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 Young Rank" sheetId="1" r:id="rId5"/>
    <sheet state="visible" name="PLV (min 500)" sheetId="2" r:id="rId6"/>
    <sheet state="visible" name="Pitch Type (min 250)" sheetId="3" r:id="rId7"/>
    <sheet state="visible" name="Appearance (min 60)" sheetId="4" r:id="rId8"/>
    <sheet state="visible" name="Player ID" sheetId="5" r:id="rId9"/>
    <sheet state="visible" name="Appearance Sheet" sheetId="6" r:id="rId10"/>
    <sheet state="visible" name="PLA Sheet" sheetId="7" r:id="rId11"/>
    <sheet state="visible" name="2024" sheetId="8" r:id="rId12"/>
    <sheet state="visible" name="2023" sheetId="9" r:id="rId13"/>
    <sheet state="visible" name="2022" sheetId="10" r:id="rId14"/>
  </sheets>
  <definedNames>
    <definedName hidden="1" localSheetId="0" name="_xlnm._FilterDatabase">'Cy Young Rank'!$A$1:$I$50500</definedName>
    <definedName hidden="1" localSheetId="1" name="_xlnm._FilterDatabase">'PLV (min 500)'!$A$1:$K$628</definedName>
    <definedName hidden="1" localSheetId="2" name="_xlnm._FilterDatabase">'Pitch Type (min 250)'!$A$1:$L$951</definedName>
    <definedName hidden="1" localSheetId="8" name="_xlnm._FilterDatabase">'2023'!$A$1:$I$683</definedName>
    <definedName hidden="1" localSheetId="9" name="_xlnm._FilterDatabase">'2022'!$A$1:$I$683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Value of all pitches (ERA-scale), using IP and the total predicted run value of pitches thrown</t>
      </text>
    </comment>
    <comment authorId="0" ref="G1">
      <text>
        <t xml:space="preserve">Pitches with PLV &gt;=5.5</t>
      </text>
    </comment>
    <comment authorId="0" ref="H1">
      <text>
        <t xml:space="preserve">Pitches with 4.5 &lt; PLV &lt; 5.5</t>
      </text>
    </comment>
    <comment authorId="0" ref="I1">
      <text>
        <t xml:space="preserve">Pitches with PLV &lt;=4.5
</t>
      </text>
    </comment>
    <comment authorId="0" ref="K1">
      <text>
        <t xml:space="preserve">Hit Luck: the actual # of hits allowed - the estimated # of hits allowed, given the quality of pitches thrown. + numbers indicate the pitcher allowed more hits than expected.
</t>
      </text>
    </comment>
  </commentList>
</comments>
</file>

<file path=xl/sharedStrings.xml><?xml version="1.0" encoding="utf-8"?>
<sst xmlns="http://schemas.openxmlformats.org/spreadsheetml/2006/main" count="62842" uniqueCount="1400">
  <si>
    <t>Pitcher</t>
  </si>
  <si>
    <t>Team</t>
  </si>
  <si>
    <t>IP</t>
  </si>
  <si>
    <t>ERA</t>
  </si>
  <si>
    <t>xERA</t>
  </si>
  <si>
    <t>MLBAMID</t>
  </si>
  <si>
    <t>Cleaned_IP</t>
  </si>
  <si>
    <t>League</t>
  </si>
  <si>
    <t>PLA</t>
  </si>
  <si>
    <t>Weighted Rate</t>
  </si>
  <si>
    <t>Runs Saved</t>
  </si>
  <si>
    <t>PLA Runs Saved</t>
  </si>
  <si>
    <t>Lg ERA</t>
  </si>
  <si>
    <t>Trevor Megill</t>
  </si>
  <si>
    <t>MIL</t>
  </si>
  <si>
    <t>Repl ERA</t>
  </si>
  <si>
    <t>MIN</t>
  </si>
  <si>
    <t>AL</t>
  </si>
  <si>
    <t>AL CY Leaders (Blend)</t>
  </si>
  <si>
    <t>NL CY Leaders (Blend)</t>
  </si>
  <si>
    <t>Tyler Rogers</t>
  </si>
  <si>
    <t>- - -</t>
  </si>
  <si>
    <t>BOS</t>
  </si>
  <si>
    <t>Name</t>
  </si>
  <si>
    <t>Reid Detmers</t>
  </si>
  <si>
    <t>LAA</t>
  </si>
  <si>
    <t>SDP</t>
  </si>
  <si>
    <t>NL</t>
  </si>
  <si>
    <t>Griffin Jax</t>
  </si>
  <si>
    <t>KCR</t>
  </si>
  <si>
    <t>Randy Rodríguez</t>
  </si>
  <si>
    <t>SFG</t>
  </si>
  <si>
    <t>Tanner Scott</t>
  </si>
  <si>
    <t>LAD</t>
  </si>
  <si>
    <t>CHC</t>
  </si>
  <si>
    <t>Janson Junk</t>
  </si>
  <si>
    <t>MIA</t>
  </si>
  <si>
    <t>SEA</t>
  </si>
  <si>
    <t>Steven Okert</t>
  </si>
  <si>
    <t>HOU</t>
  </si>
  <si>
    <t>TOR</t>
  </si>
  <si>
    <t>Aroldis Chapman</t>
  </si>
  <si>
    <t>AL CY Leaders (PLA-Only)</t>
  </si>
  <si>
    <t>NL CY Leaders (PLA-Only)</t>
  </si>
  <si>
    <t>Cristopher Sánchez</t>
  </si>
  <si>
    <t>PHI</t>
  </si>
  <si>
    <t>ATL</t>
  </si>
  <si>
    <t>Louis Varland</t>
  </si>
  <si>
    <t>Andrew Kittredge</t>
  </si>
  <si>
    <t>Adrian Morejon</t>
  </si>
  <si>
    <t>Max Kranick</t>
  </si>
  <si>
    <t>NYM</t>
  </si>
  <si>
    <t>ATH</t>
  </si>
  <si>
    <t>Gabe Speier</t>
  </si>
  <si>
    <t>TBR</t>
  </si>
  <si>
    <t>Tyler Mahle</t>
  </si>
  <si>
    <t>TEX</t>
  </si>
  <si>
    <t>Jacob deGrom</t>
  </si>
  <si>
    <t>NYY</t>
  </si>
  <si>
    <t>Josh Hader</t>
  </si>
  <si>
    <t>PIT</t>
  </si>
  <si>
    <t>Tyler Phillips</t>
  </si>
  <si>
    <t>DET</t>
  </si>
  <si>
    <t>Brandon Walter</t>
  </si>
  <si>
    <t>ARI</t>
  </si>
  <si>
    <t>Spencer Schwellenbach</t>
  </si>
  <si>
    <t>CIN</t>
  </si>
  <si>
    <t>Shota Imanaga</t>
  </si>
  <si>
    <t>BAL</t>
  </si>
  <si>
    <t>Tim Hill</t>
  </si>
  <si>
    <t>CLE</t>
  </si>
  <si>
    <t>Caleb Thielbar</t>
  </si>
  <si>
    <t>STL</t>
  </si>
  <si>
    <t>Hunter Greene</t>
  </si>
  <si>
    <t>Chris Martin</t>
  </si>
  <si>
    <t>COL</t>
  </si>
  <si>
    <t>Bryan King</t>
  </si>
  <si>
    <t>Logan Webb</t>
  </si>
  <si>
    <t>CHW</t>
  </si>
  <si>
    <t>Zack Wheeler</t>
  </si>
  <si>
    <t>WSN</t>
  </si>
  <si>
    <t>Robert Suarez</t>
  </si>
  <si>
    <t>Tyler Holton</t>
  </si>
  <si>
    <t>Steven Matz</t>
  </si>
  <si>
    <t>Tarik Skubal</t>
  </si>
  <si>
    <t>Yoshinobu Yamamoto</t>
  </si>
  <si>
    <t>Jose A. Ferrer</t>
  </si>
  <si>
    <t>Jacob Webb</t>
  </si>
  <si>
    <t>Paul Skenes</t>
  </si>
  <si>
    <t>Anthony Bender</t>
  </si>
  <si>
    <t>Bryan Woo</t>
  </si>
  <si>
    <t>Dylan Lee</t>
  </si>
  <si>
    <t>Alex Vesia</t>
  </si>
  <si>
    <t>Ryne Nelson</t>
  </si>
  <si>
    <t>Jeremiah Estrada</t>
  </si>
  <si>
    <t>Sonny Gray</t>
  </si>
  <si>
    <t>Kyle Harrison</t>
  </si>
  <si>
    <t>Drew Rasmussen</t>
  </si>
  <si>
    <t>Aaron Nola</t>
  </si>
  <si>
    <t>Jameson Taillon</t>
  </si>
  <si>
    <t>Garrett Crochet</t>
  </si>
  <si>
    <t>Carlos Vargas</t>
  </si>
  <si>
    <t>Bennett Sousa</t>
  </si>
  <si>
    <t>Shelby Miller</t>
  </si>
  <si>
    <t>Ben Casparius</t>
  </si>
  <si>
    <t>Ranger Suárez</t>
  </si>
  <si>
    <t>Grant Taylor</t>
  </si>
  <si>
    <t>Caleb Ferguson</t>
  </si>
  <si>
    <t>Trent Thornton</t>
  </si>
  <si>
    <t>Nick Pivetta</t>
  </si>
  <si>
    <t>Kevin Kelly</t>
  </si>
  <si>
    <t>Jacob Latz</t>
  </si>
  <si>
    <t>Nick Mears</t>
  </si>
  <si>
    <t>Framber Valdez</t>
  </si>
  <si>
    <t>Devin Williams</t>
  </si>
  <si>
    <t>Nathan Eovaldi</t>
  </si>
  <si>
    <t>Steven Wilson</t>
  </si>
  <si>
    <t>Jakob Junis</t>
  </si>
  <si>
    <t>Chase Burns</t>
  </si>
  <si>
    <t>Shane Bieber</t>
  </si>
  <si>
    <t>Parker Messick</t>
  </si>
  <si>
    <t>Max Meyer</t>
  </si>
  <si>
    <t>Jhoan Duran</t>
  </si>
  <si>
    <t>Ronny Henriquez</t>
  </si>
  <si>
    <t>Tristan Beck</t>
  </si>
  <si>
    <t>Casey Mize</t>
  </si>
  <si>
    <t>Pierson Ohl</t>
  </si>
  <si>
    <t>Mitch Spence</t>
  </si>
  <si>
    <t>Emilio Pagán</t>
  </si>
  <si>
    <t>Ryan Pepiot</t>
  </si>
  <si>
    <t>Jesús Luzardo</t>
  </si>
  <si>
    <t>Will Vest</t>
  </si>
  <si>
    <t>Emmanuel Clase</t>
  </si>
  <si>
    <t>Chris Paddack</t>
  </si>
  <si>
    <t>Zack Kelly</t>
  </si>
  <si>
    <t>Cade Smith</t>
  </si>
  <si>
    <t>Shohei Ohtani</t>
  </si>
  <si>
    <t>Max Scherzer</t>
  </si>
  <si>
    <t>Tanner Banks</t>
  </si>
  <si>
    <t>Kyle Finnegan</t>
  </si>
  <si>
    <t>Angel Zerpa</t>
  </si>
  <si>
    <t>Matt Festa</t>
  </si>
  <si>
    <t>Mason Fluharty</t>
  </si>
  <si>
    <t>Hunter Dobbins</t>
  </si>
  <si>
    <t>John Schreiber</t>
  </si>
  <si>
    <t>Michael McGreevy</t>
  </si>
  <si>
    <t>Justin Topa</t>
  </si>
  <si>
    <t>Michael Wacha</t>
  </si>
  <si>
    <t>Trevor Williams</t>
  </si>
  <si>
    <t>John Curtiss</t>
  </si>
  <si>
    <t>Joe Ryan</t>
  </si>
  <si>
    <t>Hoby Milner</t>
  </si>
  <si>
    <t>Richard Fitts</t>
  </si>
  <si>
    <t>Logan Gilbert</t>
  </si>
  <si>
    <t>Kenley Jansen</t>
  </si>
  <si>
    <t>Kevin Gausman</t>
  </si>
  <si>
    <t>Chris Sale</t>
  </si>
  <si>
    <t>Eduard Bazardo</t>
  </si>
  <si>
    <t>Tomoyuki Sugano</t>
  </si>
  <si>
    <t>Blake Snell</t>
  </si>
  <si>
    <t>Chase Lee</t>
  </si>
  <si>
    <t>Noah Cameron</t>
  </si>
  <si>
    <t>Luke Jackson</t>
  </si>
  <si>
    <t>Kris Bubic</t>
  </si>
  <si>
    <t>George Kirby</t>
  </si>
  <si>
    <t>Orion Kerkering</t>
  </si>
  <si>
    <t>Max Fried</t>
  </si>
  <si>
    <t>Daniel Palencia</t>
  </si>
  <si>
    <t>José Castillo</t>
  </si>
  <si>
    <t>Andrew Abbott</t>
  </si>
  <si>
    <t>Kyle Leahy</t>
  </si>
  <si>
    <t>Edward Cabrera</t>
  </si>
  <si>
    <t>Dietrich Enns</t>
  </si>
  <si>
    <t>Bailey Ober</t>
  </si>
  <si>
    <t>Chad Green</t>
  </si>
  <si>
    <t>Nabil Crismatt</t>
  </si>
  <si>
    <t>Emmet Sheehan</t>
  </si>
  <si>
    <t>Zack Littell</t>
  </si>
  <si>
    <t>Pierce Johnson</t>
  </si>
  <si>
    <t>Stephen Kolek</t>
  </si>
  <si>
    <t>Freddy Peralta</t>
  </si>
  <si>
    <t>Pablo López</t>
  </si>
  <si>
    <t>Matt Strahm</t>
  </si>
  <si>
    <t>David Bednar</t>
  </si>
  <si>
    <t>Raisel Iglesias</t>
  </si>
  <si>
    <t>Garrett Cleavinger</t>
  </si>
  <si>
    <t>Brandon Waddell</t>
  </si>
  <si>
    <t>Tyler Alexander</t>
  </si>
  <si>
    <t>Jacob Misiorowski</t>
  </si>
  <si>
    <t>Kyle Freeland</t>
  </si>
  <si>
    <t>Phil Maton</t>
  </si>
  <si>
    <t>Brandon Young</t>
  </si>
  <si>
    <t>Ryan Yarbrough</t>
  </si>
  <si>
    <t>JoJo Romero</t>
  </si>
  <si>
    <t>Nick Lodolo</t>
  </si>
  <si>
    <t>Zac Gallen</t>
  </si>
  <si>
    <t>Rico Garcia</t>
  </si>
  <si>
    <t>Colton Gordon</t>
  </si>
  <si>
    <t>Justin Wrobleski</t>
  </si>
  <si>
    <t>Taylor Clarke</t>
  </si>
  <si>
    <t>Aaron Ashby</t>
  </si>
  <si>
    <t>Troy Melton</t>
  </si>
  <si>
    <t>Ryan Weathers</t>
  </si>
  <si>
    <t>Drew Pomeranz</t>
  </si>
  <si>
    <t>Mason Englert</t>
  </si>
  <si>
    <t>Cole Ragans</t>
  </si>
  <si>
    <t>Jack Dreyer</t>
  </si>
  <si>
    <t>Michael King</t>
  </si>
  <si>
    <t>Jordan Romano</t>
  </si>
  <si>
    <t>Landen Roupp</t>
  </si>
  <si>
    <t>Bryan Abreu</t>
  </si>
  <si>
    <t>Graham Ashcraft</t>
  </si>
  <si>
    <t>Zebby Matthews</t>
  </si>
  <si>
    <t>Justin Sterner</t>
  </si>
  <si>
    <t>Steven Cruz</t>
  </si>
  <si>
    <t>Jake Bird</t>
  </si>
  <si>
    <t>Zach Eflin</t>
  </si>
  <si>
    <t>Dennis Santana</t>
  </si>
  <si>
    <t>Trevor Rogers</t>
  </si>
  <si>
    <t>Ryan Thompson</t>
  </si>
  <si>
    <t>Bailey Falter</t>
  </si>
  <si>
    <t>Tobias Myers</t>
  </si>
  <si>
    <t>Merrill Kelly</t>
  </si>
  <si>
    <t>Matt Svanson</t>
  </si>
  <si>
    <t>Ryan Bergert</t>
  </si>
  <si>
    <t>Luke Weaver</t>
  </si>
  <si>
    <t>Nick Martinez</t>
  </si>
  <si>
    <t>Hogan Harris</t>
  </si>
  <si>
    <t>Ryan Gusto</t>
  </si>
  <si>
    <t>Sandy Alcantara</t>
  </si>
  <si>
    <t>Justin Wilson</t>
  </si>
  <si>
    <t>Keegan Akin</t>
  </si>
  <si>
    <t>Yusei Kikuchi</t>
  </si>
  <si>
    <t>Scott Blewett</t>
  </si>
  <si>
    <t>Nolan McLean</t>
  </si>
  <si>
    <t>Yennier Cano</t>
  </si>
  <si>
    <t>Jonathan Bowlan</t>
  </si>
  <si>
    <t>Cole Sands</t>
  </si>
  <si>
    <t>Hunter Gaddis</t>
  </si>
  <si>
    <t>Luis Morales</t>
  </si>
  <si>
    <t>Bryan Baker</t>
  </si>
  <si>
    <t>Lake Bachar</t>
  </si>
  <si>
    <t>Shane Baz</t>
  </si>
  <si>
    <t>Gunnar Hoglund</t>
  </si>
  <si>
    <t>Dylan Dodd</t>
  </si>
  <si>
    <t>Patrick Corbin</t>
  </si>
  <si>
    <t>Matthew Boyd</t>
  </si>
  <si>
    <t>Brandon Woodruff</t>
  </si>
  <si>
    <t>Luis García</t>
  </si>
  <si>
    <t>Brock Stewart</t>
  </si>
  <si>
    <t>Garrett Whitlock</t>
  </si>
  <si>
    <t>JP Sears</t>
  </si>
  <si>
    <t>Cam Booser</t>
  </si>
  <si>
    <t>David Festa</t>
  </si>
  <si>
    <t>Matt Brash</t>
  </si>
  <si>
    <t>Logan Evans</t>
  </si>
  <si>
    <t>Andrew Heaney</t>
  </si>
  <si>
    <t>Eric Orze</t>
  </si>
  <si>
    <t>Max Lazar</t>
  </si>
  <si>
    <t>Kolby Allard</t>
  </si>
  <si>
    <t>Hurston Waldrep</t>
  </si>
  <si>
    <t>Pete Fairbanks</t>
  </si>
  <si>
    <t>Calvin Faucher</t>
  </si>
  <si>
    <t>Brandon Pfaadt</t>
  </si>
  <si>
    <t>Jason Alexander</t>
  </si>
  <si>
    <t>DL Hall</t>
  </si>
  <si>
    <t>Cade Gibson</t>
  </si>
  <si>
    <t>Carmen Mlodzinski</t>
  </si>
  <si>
    <t>Robert Garcia</t>
  </si>
  <si>
    <t>Clay Holmes</t>
  </si>
  <si>
    <t>Ryan Helsley</t>
  </si>
  <si>
    <t>Kyle Hart</t>
  </si>
  <si>
    <t>Luis Castillo</t>
  </si>
  <si>
    <t>John King</t>
  </si>
  <si>
    <t>Anthony DeSclafani</t>
  </si>
  <si>
    <t>Bryce Elder</t>
  </si>
  <si>
    <t>Spencer Bivens</t>
  </si>
  <si>
    <t>Braxton Ashcraft</t>
  </si>
  <si>
    <t>Tyler Anderson</t>
  </si>
  <si>
    <t>Abner Uribe</t>
  </si>
  <si>
    <t>Carlos Estévez</t>
  </si>
  <si>
    <t>Luis Severino</t>
  </si>
  <si>
    <t>Dylan Cease</t>
  </si>
  <si>
    <t>Connor Brogdon</t>
  </si>
  <si>
    <t>Yuki Matsui</t>
  </si>
  <si>
    <t>Carlos Rodón</t>
  </si>
  <si>
    <t>Mason Miller</t>
  </si>
  <si>
    <t>Miles Mikolas</t>
  </si>
  <si>
    <t>Tyler Kinley</t>
  </si>
  <si>
    <t>Brenan Hanifee</t>
  </si>
  <si>
    <t>Matthew Liberatore</t>
  </si>
  <si>
    <t>Brock Burke</t>
  </si>
  <si>
    <t>Ryne Stanek</t>
  </si>
  <si>
    <t>Daniel Lynch IV</t>
  </si>
  <si>
    <t>Dean Kremer</t>
  </si>
  <si>
    <t>Reed Garrett</t>
  </si>
  <si>
    <t>J.T. Ginn</t>
  </si>
  <si>
    <t>Brad Keller</t>
  </si>
  <si>
    <t>Ben Lively</t>
  </si>
  <si>
    <t>Paul Blackburn</t>
  </si>
  <si>
    <t>Yu Darvish</t>
  </si>
  <si>
    <t>Tanner Houck</t>
  </si>
  <si>
    <t>Randy Vásquez</t>
  </si>
  <si>
    <t>Robbie Ray</t>
  </si>
  <si>
    <t>Camilo Doval</t>
  </si>
  <si>
    <t>Ryan Rolison</t>
  </si>
  <si>
    <t>Slade Cecconi</t>
  </si>
  <si>
    <t>David Peterson</t>
  </si>
  <si>
    <t>Tanner Bibee</t>
  </si>
  <si>
    <t>Yerry De los Santos</t>
  </si>
  <si>
    <t>Anthony Banda</t>
  </si>
  <si>
    <t>Jeff Hoffman</t>
  </si>
  <si>
    <t>Génesis Cabrera</t>
  </si>
  <si>
    <t>Colin Rea</t>
  </si>
  <si>
    <t>Ronel Blanco</t>
  </si>
  <si>
    <t>Braydon Fisher</t>
  </si>
  <si>
    <t>Jack Flaherty</t>
  </si>
  <si>
    <t>Jordan Leasure</t>
  </si>
  <si>
    <t>Grant Anderson</t>
  </si>
  <si>
    <t>Aaron Bummer</t>
  </si>
  <si>
    <t>Mike Burrows</t>
  </si>
  <si>
    <t>Erick Fedde</t>
  </si>
  <si>
    <t>Valente Bellozo</t>
  </si>
  <si>
    <t>Eury Pérez</t>
  </si>
  <si>
    <t>Carlos Carrasco</t>
  </si>
  <si>
    <t>Cade Cavalli</t>
  </si>
  <si>
    <t>Rafael Montero</t>
  </si>
  <si>
    <t>Edwin Díaz</t>
  </si>
  <si>
    <t>Jake Woodford</t>
  </si>
  <si>
    <t>Dustin May</t>
  </si>
  <si>
    <t>Mitchell Parker</t>
  </si>
  <si>
    <t>Keider Montero</t>
  </si>
  <si>
    <t>Eric Lauer</t>
  </si>
  <si>
    <t>Kody Funderburk</t>
  </si>
  <si>
    <t>Mason Montgomery</t>
  </si>
  <si>
    <t>Davis Martin</t>
  </si>
  <si>
    <t>Jeffrey Springs</t>
  </si>
  <si>
    <t>Gordon Graceffo</t>
  </si>
  <si>
    <t>Isaac Mattson</t>
  </si>
  <si>
    <t>Hunter Brown</t>
  </si>
  <si>
    <t>Casey Legumina</t>
  </si>
  <si>
    <t>Ben Brown</t>
  </si>
  <si>
    <t>Jason Adam</t>
  </si>
  <si>
    <t>Bryce Miller</t>
  </si>
  <si>
    <t>Will Warren</t>
  </si>
  <si>
    <t>Tony Santillan</t>
  </si>
  <si>
    <t>Enyel De Los Santos</t>
  </si>
  <si>
    <t>Cade Povich</t>
  </si>
  <si>
    <t>Carlos Hernández</t>
  </si>
  <si>
    <t>Caleb Boushley</t>
  </si>
  <si>
    <t>Jack Perkins</t>
  </si>
  <si>
    <t>Landon Knack</t>
  </si>
  <si>
    <t>Tanner Gordon</t>
  </si>
  <si>
    <t>Brady Singer</t>
  </si>
  <si>
    <t>MacKenzie Gore</t>
  </si>
  <si>
    <t>Johan Oviedo</t>
  </si>
  <si>
    <t>Sean Burke</t>
  </si>
  <si>
    <t>Shinnosuke Ogasawara</t>
  </si>
  <si>
    <t>Justin Verlander</t>
  </si>
  <si>
    <t>Kaleb Ort</t>
  </si>
  <si>
    <t>Joe Ross</t>
  </si>
  <si>
    <t>Jonathan Cannon</t>
  </si>
  <si>
    <t>Taylor Rogers</t>
  </si>
  <si>
    <t>Cam Schlittler</t>
  </si>
  <si>
    <t>Ian Seymour</t>
  </si>
  <si>
    <t>Victor Vodnik</t>
  </si>
  <si>
    <t>Grant Holmes</t>
  </si>
  <si>
    <t>Brandon Eisert</t>
  </si>
  <si>
    <t>Eduardo Rodriguez</t>
  </si>
  <si>
    <t>Austin Gomber</t>
  </si>
  <si>
    <t>Juan Morillo</t>
  </si>
  <si>
    <t>Spencer Arrighetti</t>
  </si>
  <si>
    <t>Logan Allen</t>
  </si>
  <si>
    <t>Sean Manaea</t>
  </si>
  <si>
    <t>Jack Leiter</t>
  </si>
  <si>
    <t>Nic Enright</t>
  </si>
  <si>
    <t>Gavin Williams</t>
  </si>
  <si>
    <t>Jackson Jobe</t>
  </si>
  <si>
    <t>Ryan Fernandez</t>
  </si>
  <si>
    <t>Frankie Montas</t>
  </si>
  <si>
    <t>Luis Gil</t>
  </si>
  <si>
    <t>Jose Fermin</t>
  </si>
  <si>
    <t>Griffin Canning</t>
  </si>
  <si>
    <t>Marcus Stroman</t>
  </si>
  <si>
    <t>Joey Wentz</t>
  </si>
  <si>
    <t>Ryan Zeferjahn</t>
  </si>
  <si>
    <t>Tylor Megill</t>
  </si>
  <si>
    <t>Bryse Wilson</t>
  </si>
  <si>
    <t>Porter Hodge</t>
  </si>
  <si>
    <t>Jacob Lopez</t>
  </si>
  <si>
    <t>Matt Sauer</t>
  </si>
  <si>
    <t>Alek Jacob</t>
  </si>
  <si>
    <t>Kirby Yates</t>
  </si>
  <si>
    <t>Mick Abel</t>
  </si>
  <si>
    <t>Lance McCullers Jr.</t>
  </si>
  <si>
    <t>Brendon Little</t>
  </si>
  <si>
    <t>Jake Irvin</t>
  </si>
  <si>
    <t>Jorge Alcala</t>
  </si>
  <si>
    <t>Joey Cantillo</t>
  </si>
  <si>
    <t>Kyle Hendricks</t>
  </si>
  <si>
    <t>Edwin Uceta</t>
  </si>
  <si>
    <t>Héctor Neris</t>
  </si>
  <si>
    <t>Chris Murphy</t>
  </si>
  <si>
    <t>Ryan Walker</t>
  </si>
  <si>
    <t>Wandy Peralta</t>
  </si>
  <si>
    <t>Walker Buehler</t>
  </si>
  <si>
    <t>Greg Weissert</t>
  </si>
  <si>
    <t>Lucas Erceg</t>
  </si>
  <si>
    <t>Clarke Schmidt</t>
  </si>
  <si>
    <t>Riley O'Brien</t>
  </si>
  <si>
    <t>Brayan Bello</t>
  </si>
  <si>
    <t>Adrian Houser</t>
  </si>
  <si>
    <t>Nestor Cortes</t>
  </si>
  <si>
    <t>Taj Bradley</t>
  </si>
  <si>
    <t>Daysbel Hernández</t>
  </si>
  <si>
    <t>Sean Newcomb</t>
  </si>
  <si>
    <t>Lucas Giolito</t>
  </si>
  <si>
    <t>Brent Suter</t>
  </si>
  <si>
    <t>Jared Koenig</t>
  </si>
  <si>
    <t>Reese Olson</t>
  </si>
  <si>
    <t>Michael Lorenzen</t>
  </si>
  <si>
    <t>Tyler Glasnow</t>
  </si>
  <si>
    <t>Fernando Cruz</t>
  </si>
  <si>
    <t>Mitch Keller</t>
  </si>
  <si>
    <t>José Soriano</t>
  </si>
  <si>
    <t>José Berríos</t>
  </si>
  <si>
    <t>Félix Bautista</t>
  </si>
  <si>
    <t>Yariel Rodriguez</t>
  </si>
  <si>
    <t>Bowden Francis</t>
  </si>
  <si>
    <t>Andrés Muñoz</t>
  </si>
  <si>
    <t>Yohan Ramírez</t>
  </si>
  <si>
    <t>Corbin Burnes</t>
  </si>
  <si>
    <t>Andre Pallante</t>
  </si>
  <si>
    <t>Gregory Soto</t>
  </si>
  <si>
    <t>Cade Horton</t>
  </si>
  <si>
    <t>Danny Coulombe</t>
  </si>
  <si>
    <t>Michael Kelly</t>
  </si>
  <si>
    <t>Brad Lord</t>
  </si>
  <si>
    <t>Huascar Brazobán</t>
  </si>
  <si>
    <t>Tommy Kahnle</t>
  </si>
  <si>
    <t>Shawn Armstrong</t>
  </si>
  <si>
    <t>Grant Wolfram</t>
  </si>
  <si>
    <t>Sam Long</t>
  </si>
  <si>
    <t>Ryan Borucki</t>
  </si>
  <si>
    <t>Shawn Dubin</t>
  </si>
  <si>
    <t>Jordan Hicks</t>
  </si>
  <si>
    <t>Josh Simpson</t>
  </si>
  <si>
    <t>Tayler Scott</t>
  </si>
  <si>
    <t>Matt Gage</t>
  </si>
  <si>
    <t>Carson Palmquist</t>
  </si>
  <si>
    <t>Quinn Priester</t>
  </si>
  <si>
    <t>Jimmy Herget</t>
  </si>
  <si>
    <t>Seth Lugo</t>
  </si>
  <si>
    <t>Taijuan Walker</t>
  </si>
  <si>
    <t>Osvaldo Bido</t>
  </si>
  <si>
    <t>José Ureña</t>
  </si>
  <si>
    <t>Chris Bassitt</t>
  </si>
  <si>
    <t>Clayton Kershaw</t>
  </si>
  <si>
    <t>José Buttó</t>
  </si>
  <si>
    <t>Tony Gonsolin</t>
  </si>
  <si>
    <t>Ryan Pressly</t>
  </si>
  <si>
    <t>Kodai Senga</t>
  </si>
  <si>
    <t>Chris Flexen</t>
  </si>
  <si>
    <t>Chase Shugart</t>
  </si>
  <si>
    <t>Cal Quantrill</t>
  </si>
  <si>
    <t>Thomas Hatch</t>
  </si>
  <si>
    <t>Bradley Blalock</t>
  </si>
  <si>
    <t>Mark Leiter Jr.</t>
  </si>
  <si>
    <t>Juan Mejia</t>
  </si>
  <si>
    <t>George Soriano</t>
  </si>
  <si>
    <t>Shane Smith</t>
  </si>
  <si>
    <t>Elvis Alvarado</t>
  </si>
  <si>
    <t>Spencer Strider</t>
  </si>
  <si>
    <t>Martín Pérez</t>
  </si>
  <si>
    <t>Charlie Morton</t>
  </si>
  <si>
    <t>Scott Barlow</t>
  </si>
  <si>
    <t>Jose Quintana</t>
  </si>
  <si>
    <t>Kumar Rocker</t>
  </si>
  <si>
    <t>Tyler Gilbert</t>
  </si>
  <si>
    <t>Cristian Javier</t>
  </si>
  <si>
    <t>Michael Soroka</t>
  </si>
  <si>
    <t>Antonio Senzatela</t>
  </si>
  <si>
    <t>Kyle Nicolas</t>
  </si>
  <si>
    <t>Joey Lucchesi</t>
  </si>
  <si>
    <t>Luis L. Ortiz</t>
  </si>
  <si>
    <t>Travis Adams</t>
  </si>
  <si>
    <t>Angel Chivilli</t>
  </si>
  <si>
    <t>Brant Hurter</t>
  </si>
  <si>
    <t>Seth Halvorsen</t>
  </si>
  <si>
    <t>Jalen Beeks</t>
  </si>
  <si>
    <t>Simeon Woods Richardson</t>
  </si>
  <si>
    <t>Aaron Civale</t>
  </si>
  <si>
    <t>Joe Boyle</t>
  </si>
  <si>
    <t>Brennan Bernardino</t>
  </si>
  <si>
    <t>Yoendrys Gómez</t>
  </si>
  <si>
    <t>Chase Dollander</t>
  </si>
  <si>
    <t>Chad Patrick</t>
  </si>
  <si>
    <t>Mike Vasil</t>
  </si>
  <si>
    <t>David Morgan</t>
  </si>
  <si>
    <t>Seranthony Domínguez</t>
  </si>
  <si>
    <t>Javier Assad</t>
  </si>
  <si>
    <t>Carson Seymour</t>
  </si>
  <si>
    <t>Cole Winn</t>
  </si>
  <si>
    <t>Lou Trivino</t>
  </si>
  <si>
    <t>Ryan Feltner</t>
  </si>
  <si>
    <t>Tyler Ferguson</t>
  </si>
  <si>
    <t>Andrew Chafin</t>
  </si>
  <si>
    <t>Cole Henry</t>
  </si>
  <si>
    <t>Eduardo Salazar</t>
  </si>
  <si>
    <t>Emerson Hancock</t>
  </si>
  <si>
    <t>Caden Dana</t>
  </si>
  <si>
    <t>Jackson Rutledge</t>
  </si>
  <si>
    <t>Zach Agnos</t>
  </si>
  <si>
    <t>Germán Márquez</t>
  </si>
  <si>
    <t>Hayden Birdsong</t>
  </si>
  <si>
    <t>Kai-Wei Teng</t>
  </si>
  <si>
    <t>AJ Smith-Shawver</t>
  </si>
  <si>
    <t>Anthony Molina</t>
  </si>
  <si>
    <t>Lyon Richardson</t>
  </si>
  <si>
    <t>Tim Herrin</t>
  </si>
  <si>
    <t>Ian Hamilton</t>
  </si>
  <si>
    <t>Jack Kochanowicz</t>
  </si>
  <si>
    <t>Roki Sasaki</t>
  </si>
  <si>
    <t>Pitches</t>
  </si>
  <si>
    <t>PLV</t>
  </si>
  <si>
    <t>Quality Pitch</t>
  </si>
  <si>
    <t>Average Pitch</t>
  </si>
  <si>
    <t>Bad Pitch</t>
  </si>
  <si>
    <t>QP-BP</t>
  </si>
  <si>
    <t>Hit Luck</t>
  </si>
  <si>
    <t>Pitch</t>
  </si>
  <si>
    <t>IP Proxy</t>
  </si>
  <si>
    <t>CH</t>
  </si>
  <si>
    <t>SL</t>
  </si>
  <si>
    <t>MVPitches (PLA)</t>
  </si>
  <si>
    <t>Type</t>
  </si>
  <si>
    <t>SI</t>
  </si>
  <si>
    <t>FF</t>
  </si>
  <si>
    <t>FS</t>
  </si>
  <si>
    <t>ST</t>
  </si>
  <si>
    <t>FC</t>
  </si>
  <si>
    <t>CU</t>
  </si>
  <si>
    <t>José Alvarado</t>
  </si>
  <si>
    <t>Erik Sabrowski</t>
  </si>
  <si>
    <t>AJ Blubaugh</t>
  </si>
  <si>
    <t>Kyle Backhus</t>
  </si>
  <si>
    <t>Konnor Pilkington</t>
  </si>
  <si>
    <t>Jonathan Loáisiga</t>
  </si>
  <si>
    <t>Luis Peralta</t>
  </si>
  <si>
    <t>McCade Brown</t>
  </si>
  <si>
    <t>Luis Mey</t>
  </si>
  <si>
    <t>Game Date</t>
  </si>
  <si>
    <t>PLV Runs</t>
  </si>
  <si>
    <t>Didier Fuentes</t>
  </si>
  <si>
    <t>Justin Hagenman</t>
  </si>
  <si>
    <t>Logan Henderson</t>
  </si>
  <si>
    <t>Jordan Wicks</t>
  </si>
  <si>
    <t>Bubba Chandler</t>
  </si>
  <si>
    <t>Casey Lawrence</t>
  </si>
  <si>
    <t>Trevor McDonald</t>
  </si>
  <si>
    <t>Elvin Rodríguez</t>
  </si>
  <si>
    <t>Connor Gillispie</t>
  </si>
  <si>
    <t>Hayden Wesneski</t>
  </si>
  <si>
    <t>Cooper Criswell</t>
  </si>
  <si>
    <t>Andrew Alvarez</t>
  </si>
  <si>
    <t>Austin Cox</t>
  </si>
  <si>
    <t>Sawyer Gipson-Long</t>
  </si>
  <si>
    <t>José De León</t>
  </si>
  <si>
    <t>Paxton Schultz</t>
  </si>
  <si>
    <t>Jesse Scholtens</t>
  </si>
  <si>
    <t>Connelly Early</t>
  </si>
  <si>
    <t>Alan Rangel</t>
  </si>
  <si>
    <t>Tyler Wells</t>
  </si>
  <si>
    <t>Mason Barnett</t>
  </si>
  <si>
    <t>Blade Tidwell</t>
  </si>
  <si>
    <t>Brandon Sproat</t>
  </si>
  <si>
    <t>José Suarez</t>
  </si>
  <si>
    <t>Easton Lucas</t>
  </si>
  <si>
    <t>Jon Gray</t>
  </si>
  <si>
    <t>Carson Spiers</t>
  </si>
  <si>
    <t>Bobby Miller</t>
  </si>
  <si>
    <t>Jonah Tong</t>
  </si>
  <si>
    <t>Kyle Bradish</t>
  </si>
  <si>
    <t>Mason Black</t>
  </si>
  <si>
    <t>Justin Steele</t>
  </si>
  <si>
    <t>Reynaldo López</t>
  </si>
  <si>
    <t>Davis Daniel</t>
  </si>
  <si>
    <t>Carlos Rodriguez</t>
  </si>
  <si>
    <t>Kyle Gibson</t>
  </si>
  <si>
    <t>Trey Yesavage</t>
  </si>
  <si>
    <t>Adam Mazur</t>
  </si>
  <si>
    <t>Logan Gillaspie</t>
  </si>
  <si>
    <t>Victor Mederos</t>
  </si>
  <si>
    <t>Owen White</t>
  </si>
  <si>
    <t>JT Brubaker</t>
  </si>
  <si>
    <t>Luis Garcia</t>
  </si>
  <si>
    <t>Tommy Henry</t>
  </si>
  <si>
    <t>Carson Whisenhunt</t>
  </si>
  <si>
    <t>Bryce Jarvis</t>
  </si>
  <si>
    <t>Bruce Zimmermann</t>
  </si>
  <si>
    <t>Josh Winckowski</t>
  </si>
  <si>
    <t>Allan Winans</t>
  </si>
  <si>
    <t>Chase Petty</t>
  </si>
  <si>
    <t>Carson Fulmer</t>
  </si>
  <si>
    <t>Jake Eder</t>
  </si>
  <si>
    <t>Wade Miley</t>
  </si>
  <si>
    <t>Rich Hill</t>
  </si>
  <si>
    <t>Mitch Farris</t>
  </si>
  <si>
    <t>Cody Poteet</t>
  </si>
  <si>
    <t>Payton Tolle</t>
  </si>
  <si>
    <t>Carson Ragsdale</t>
  </si>
  <si>
    <t>Lazaro Estrada</t>
  </si>
  <si>
    <t>Patrick Monteverde</t>
  </si>
  <si>
    <t>Taylor Rashi</t>
  </si>
  <si>
    <t>Matt Waldron</t>
  </si>
  <si>
    <t>Luis F. Castillo</t>
  </si>
  <si>
    <t>Randy Dobnak</t>
  </si>
  <si>
    <t>Sam Aldegheri</t>
  </si>
  <si>
    <t>Thomas Harrington</t>
  </si>
  <si>
    <t>Joey Estes</t>
  </si>
  <si>
    <t>Jesse Chavez</t>
  </si>
  <si>
    <t>Chayce McDermott</t>
  </si>
  <si>
    <t>Omar Cruz</t>
  </si>
  <si>
    <t>Doug Nikhazy</t>
  </si>
  <si>
    <t>Roansy Contreras</t>
  </si>
  <si>
    <t>PlayerId</t>
  </si>
  <si>
    <t>Missing</t>
  </si>
  <si>
    <t>FGID</t>
  </si>
  <si>
    <t>playerId</t>
  </si>
  <si>
    <t>Ryan Brasier</t>
  </si>
  <si>
    <t>Blake Treinen</t>
  </si>
  <si>
    <t>Eli Morgan</t>
  </si>
  <si>
    <t>Julian Merryweather</t>
  </si>
  <si>
    <t>Nate Pearson</t>
  </si>
  <si>
    <t>Joel Payamps</t>
  </si>
  <si>
    <t>Carlos Rodon</t>
  </si>
  <si>
    <t>Bryan Hudson</t>
  </si>
  <si>
    <t>Jacob Barnes</t>
  </si>
  <si>
    <t>Jose Berrios</t>
  </si>
  <si>
    <t>Seranthony Dominguez</t>
  </si>
  <si>
    <t>Richard Lovelady</t>
  </si>
  <si>
    <t>Nick Sandlin</t>
  </si>
  <si>
    <t>Lucas Sims</t>
  </si>
  <si>
    <t>Jose Alvarado</t>
  </si>
  <si>
    <t>Colin Poche</t>
  </si>
  <si>
    <t>Justin Slaten</t>
  </si>
  <si>
    <t>Huascar Brazoban</t>
  </si>
  <si>
    <t>Danny Young</t>
  </si>
  <si>
    <t>Paul Sewald</t>
  </si>
  <si>
    <t>Carlos Estevez</t>
  </si>
  <si>
    <t>Hunter Harvey</t>
  </si>
  <si>
    <t>Emilio Pagan</t>
  </si>
  <si>
    <t>Sam Moll</t>
  </si>
  <si>
    <t>Ian Gibaut</t>
  </si>
  <si>
    <t>Randy Rodriguez</t>
  </si>
  <si>
    <t>Erik Miller</t>
  </si>
  <si>
    <t>Mike Clevinger</t>
  </si>
  <si>
    <t>Nicky Lopez</t>
  </si>
  <si>
    <t>Penn Murfee</t>
  </si>
  <si>
    <t>Ryan Johnson</t>
  </si>
  <si>
    <t>Hector Neris</t>
  </si>
  <si>
    <t>Jesus Tinoco</t>
  </si>
  <si>
    <t>Manuel Rodríguez</t>
  </si>
  <si>
    <t>Colin Holderman</t>
  </si>
  <si>
    <t>Pablo Lopez</t>
  </si>
  <si>
    <t>Chris Roycroft</t>
  </si>
  <si>
    <t>John Brebbia</t>
  </si>
  <si>
    <t>Beau Brieske</t>
  </si>
  <si>
    <t>T.J. McFarland</t>
  </si>
  <si>
    <t>Jose Leclerc</t>
  </si>
  <si>
    <t>Andres Munoz</t>
  </si>
  <si>
    <t>Hunter Bigge</t>
  </si>
  <si>
    <t>Albert Suarez</t>
  </si>
  <si>
    <t>Yimi Garcia</t>
  </si>
  <si>
    <t>A.J. Minter</t>
  </si>
  <si>
    <t>Cionel Perez</t>
  </si>
  <si>
    <t>Anthony Veneziano</t>
  </si>
  <si>
    <t>Marc Church</t>
  </si>
  <si>
    <t>Yimi García</t>
  </si>
  <si>
    <t>Edwin Diaz</t>
  </si>
  <si>
    <t>Luis Contreras</t>
  </si>
  <si>
    <t>Grant Holman</t>
  </si>
  <si>
    <t>Tayler Saucedo</t>
  </si>
  <si>
    <t>Collin Snider</t>
  </si>
  <si>
    <t>Gregory Santos</t>
  </si>
  <si>
    <t>Joe Mantiply</t>
  </si>
  <si>
    <t>Justin Lawrence</t>
  </si>
  <si>
    <t>Reynaldo Lopez</t>
  </si>
  <si>
    <t>Daysbel Hernandez</t>
  </si>
  <si>
    <t>Jake Bauers</t>
  </si>
  <si>
    <t>Elvis Peguero</t>
  </si>
  <si>
    <t>Yoendrys Gomez</t>
  </si>
  <si>
    <t>Connor Thomas</t>
  </si>
  <si>
    <t>Brent Headrick</t>
  </si>
  <si>
    <t>Evan Phillips</t>
  </si>
  <si>
    <t>Jose Soriano</t>
  </si>
  <si>
    <t>Ben Joyce</t>
  </si>
  <si>
    <t>Jorge López</t>
  </si>
  <si>
    <t>Felix Bautista</t>
  </si>
  <si>
    <t>Jose Ruiz</t>
  </si>
  <si>
    <t>Jesus Luzardo</t>
  </si>
  <si>
    <t>Carlos Hernandez</t>
  </si>
  <si>
    <t>Orlando Ribalta</t>
  </si>
  <si>
    <t>Cristian Mena</t>
  </si>
  <si>
    <t>Scott Alexander</t>
  </si>
  <si>
    <t>Manuel Rodriguez</t>
  </si>
  <si>
    <t>Jared Shuster</t>
  </si>
  <si>
    <t>Tim Mayza</t>
  </si>
  <si>
    <t>Darren McCaughan</t>
  </si>
  <si>
    <t>Josh Walker</t>
  </si>
  <si>
    <t>Gerson Garabito</t>
  </si>
  <si>
    <t>Albert Suárez</t>
  </si>
  <si>
    <t>Jose Butto</t>
  </si>
  <si>
    <t>Randy Vasquez</t>
  </si>
  <si>
    <t>Justin Martinez</t>
  </si>
  <si>
    <t>Kenta Maeda</t>
  </si>
  <si>
    <t>Tanner Rainey</t>
  </si>
  <si>
    <t>Noah Murdock</t>
  </si>
  <si>
    <t>Fraser Ellard</t>
  </si>
  <si>
    <t>Jorge Lopez</t>
  </si>
  <si>
    <t>Luis Guerrero</t>
  </si>
  <si>
    <t>Sean Guenther</t>
  </si>
  <si>
    <t>Shaun Anderson</t>
  </si>
  <si>
    <t>Matt Bowman</t>
  </si>
  <si>
    <t>Rob Zastryzny</t>
  </si>
  <si>
    <t>Xzavion Curry</t>
  </si>
  <si>
    <t>Chris Stratton</t>
  </si>
  <si>
    <t>Zak Kent</t>
  </si>
  <si>
    <t>Jaden Hill</t>
  </si>
  <si>
    <t>Tom Cosgrove</t>
  </si>
  <si>
    <t>Tyler Matzek</t>
  </si>
  <si>
    <t>Zach Thompson</t>
  </si>
  <si>
    <t>Sauryn Lao</t>
  </si>
  <si>
    <t>Bailey Horn</t>
  </si>
  <si>
    <t>Evan Sisk</t>
  </si>
  <si>
    <t>A.J. Puk</t>
  </si>
  <si>
    <t>Forrest Whitley</t>
  </si>
  <si>
    <t>Jose Suarez</t>
  </si>
  <si>
    <t>Martin Perez</t>
  </si>
  <si>
    <t>Connor Seabold</t>
  </si>
  <si>
    <t>Willi Castro</t>
  </si>
  <si>
    <t>Matt Krook</t>
  </si>
  <si>
    <t>Chris Devenski</t>
  </si>
  <si>
    <t>Touki Toussaint</t>
  </si>
  <si>
    <t>Elvin Rodriguez</t>
  </si>
  <si>
    <t>Scott McGough</t>
  </si>
  <si>
    <t>German Marquez</t>
  </si>
  <si>
    <t>Cristopher Sanchez</t>
  </si>
  <si>
    <t>Kevin Herget</t>
  </si>
  <si>
    <t>Cody Bolton</t>
  </si>
  <si>
    <t>Ezequiel Duran</t>
  </si>
  <si>
    <t>Jacob Stallings</t>
  </si>
  <si>
    <t>Michael Petersen</t>
  </si>
  <si>
    <t>Tyler Owens</t>
  </si>
  <si>
    <t>Luarbert Arias</t>
  </si>
  <si>
    <t>Jhonathan Díaz</t>
  </si>
  <si>
    <t>Nathan Wiles</t>
  </si>
  <si>
    <t>Liam Hendriks</t>
  </si>
  <si>
    <t>Kade Strowd</t>
  </si>
  <si>
    <t>Enrique Hernández</t>
  </si>
  <si>
    <t>Garrett McDaniels</t>
  </si>
  <si>
    <t>Yosver Zulueta</t>
  </si>
  <si>
    <t>Nick Burdi</t>
  </si>
  <si>
    <t>Kendall Graveman</t>
  </si>
  <si>
    <t>Miguel Castro</t>
  </si>
  <si>
    <t>Triston McKenzie</t>
  </si>
  <si>
    <t>Alan Trejo</t>
  </si>
  <si>
    <t>Jacob Amaya</t>
  </si>
  <si>
    <t>Jhonny Pereda</t>
  </si>
  <si>
    <t>Robert Stock</t>
  </si>
  <si>
    <t>Christian Koss</t>
  </si>
  <si>
    <t>Ryan Loutos</t>
  </si>
  <si>
    <t>Adam Ottavino</t>
  </si>
  <si>
    <t>Austin Warren</t>
  </si>
  <si>
    <t>Austin Hedges</t>
  </si>
  <si>
    <t>Ian Anderson</t>
  </si>
  <si>
    <t>Tucker Barnhart</t>
  </si>
  <si>
    <t>Jhonathan Diaz</t>
  </si>
  <si>
    <t>Angel Perdomo</t>
  </si>
  <si>
    <t>Leo Rivas</t>
  </si>
  <si>
    <t>Ty Adcock</t>
  </si>
  <si>
    <t>Javier Sanoja</t>
  </si>
  <si>
    <t>Colin Selby</t>
  </si>
  <si>
    <t>Jesse Hahn</t>
  </si>
  <si>
    <t>Cole Sulser</t>
  </si>
  <si>
    <t>Roddery Muñoz</t>
  </si>
  <si>
    <t>Randy Wynne</t>
  </si>
  <si>
    <t>Gavin Hollowell</t>
  </si>
  <si>
    <t>Daniel Robert</t>
  </si>
  <si>
    <t>Ethan Roberts</t>
  </si>
  <si>
    <t>Yilber Díaz</t>
  </si>
  <si>
    <t>Dedniel Núñez</t>
  </si>
  <si>
    <t>Michael Darrell-Hicks</t>
  </si>
  <si>
    <t>Anthony Maldonado</t>
  </si>
  <si>
    <t>Logan VanWey</t>
  </si>
  <si>
    <t>Roddery Munoz</t>
  </si>
  <si>
    <t>Dane Dunning</t>
  </si>
  <si>
    <t>Sean Reynolds</t>
  </si>
  <si>
    <t>Miguel Rojas</t>
  </si>
  <si>
    <t>Will Wilson</t>
  </si>
  <si>
    <t>Michael Fulmer</t>
  </si>
  <si>
    <t>Alexis Diaz</t>
  </si>
  <si>
    <t>Luke Little</t>
  </si>
  <si>
    <t>Carl Edwards Jr.</t>
  </si>
  <si>
    <t>Troy Taylor</t>
  </si>
  <si>
    <t>J.P. Feyereisen</t>
  </si>
  <si>
    <t>Caleb Freeman</t>
  </si>
  <si>
    <t>Amed Rosario</t>
  </si>
  <si>
    <t>Gary Sanchez</t>
  </si>
  <si>
    <t>Jorge Mateo</t>
  </si>
  <si>
    <t>Gary Sánchez</t>
  </si>
  <si>
    <t>Dillon Tate</t>
  </si>
  <si>
    <t>Hunter Stratton</t>
  </si>
  <si>
    <t>Drey Jameson</t>
  </si>
  <si>
    <t>José Ruiz</t>
  </si>
  <si>
    <t>Craig Yoho</t>
  </si>
  <si>
    <t>Noah Davis</t>
  </si>
  <si>
    <t>Cionel Pérez</t>
  </si>
  <si>
    <t>Zach Brzykcy</t>
  </si>
  <si>
    <t>Yilber Diaz</t>
  </si>
  <si>
    <t>Yariel Rodríguez</t>
  </si>
  <si>
    <t>Michel Otañez</t>
  </si>
  <si>
    <t>Jose Urena</t>
  </si>
  <si>
    <t>Kevin Ginkel</t>
  </si>
  <si>
    <t>Enrique Hernandez</t>
  </si>
  <si>
    <t>Genesis Cabrera</t>
  </si>
  <si>
    <t>Jose Castillo</t>
  </si>
  <si>
    <t>Ranger Suarez</t>
  </si>
  <si>
    <t>José Leclerc</t>
  </si>
  <si>
    <t>Dedniel Nunez</t>
  </si>
  <si>
    <t>Michel Otanez</t>
  </si>
  <si>
    <t>Jonathan Loaisiga</t>
  </si>
  <si>
    <t>Alexis Díaz</t>
  </si>
  <si>
    <t>Tomas Nido</t>
  </si>
  <si>
    <t>Hunter Strickland</t>
  </si>
  <si>
    <t>Easton McGee</t>
  </si>
  <si>
    <t>Tyler Wade</t>
  </si>
  <si>
    <t>Carlos Duran</t>
  </si>
  <si>
    <t>Abraham Toro</t>
  </si>
  <si>
    <t>Emmanuel Rivera</t>
  </si>
  <si>
    <t>Brooks Kriske</t>
  </si>
  <si>
    <t>Frankie Montas Jr.</t>
  </si>
  <si>
    <t>Michael Stefanic</t>
  </si>
  <si>
    <t>Yaramil Hiraldo</t>
  </si>
  <si>
    <t>Andrew Walters</t>
  </si>
  <si>
    <t>Robert Stephenson</t>
  </si>
  <si>
    <t>Jackson Kowar</t>
  </si>
  <si>
    <t>Blas Castano</t>
  </si>
  <si>
    <t>Brett de Geus</t>
  </si>
  <si>
    <t>Willie MacIver</t>
  </si>
  <si>
    <t>Cesar Salazar</t>
  </si>
  <si>
    <t>Dan Altavilla</t>
  </si>
  <si>
    <t>Alec Burleson</t>
  </si>
  <si>
    <t>Andrew Hoffmann</t>
  </si>
  <si>
    <t>Jeff Brigham</t>
  </si>
  <si>
    <t>Weston Wilson</t>
  </si>
  <si>
    <t>Pablo Reyes</t>
  </si>
  <si>
    <t>Bradgley Rodriguez</t>
  </si>
  <si>
    <t>Erik Swanson</t>
  </si>
  <si>
    <t>Vinny Capra</t>
  </si>
  <si>
    <t>Dylan Smith</t>
  </si>
  <si>
    <t>Codi Heuer</t>
  </si>
  <si>
    <t>Sean Hjelle</t>
  </si>
  <si>
    <t>Seth Johnson</t>
  </si>
  <si>
    <t>Jonah Bride</t>
  </si>
  <si>
    <t>Craig Kimbrel</t>
  </si>
  <si>
    <t>Jose Herrera</t>
  </si>
  <si>
    <t>Joe La Sorsa</t>
  </si>
  <si>
    <t>Christian Montes De Oca</t>
  </si>
  <si>
    <t>Trevor Richards</t>
  </si>
  <si>
    <t>Michael Kopech</t>
  </si>
  <si>
    <t>Eury Perez</t>
  </si>
  <si>
    <t>Justin Garza</t>
  </si>
  <si>
    <t>Michael Mercado</t>
  </si>
  <si>
    <t>Spencer Turnbull</t>
  </si>
  <si>
    <t>Andre Granillo</t>
  </si>
  <si>
    <t>Jake Rogers</t>
  </si>
  <si>
    <t>Sam Bachman</t>
  </si>
  <si>
    <t>Logan Porter</t>
  </si>
  <si>
    <t>Luke Williams</t>
  </si>
  <si>
    <t>Freddy Tarnok</t>
  </si>
  <si>
    <t>Jared Young</t>
  </si>
  <si>
    <t>Zach Pop</t>
  </si>
  <si>
    <t>Scott Effross</t>
  </si>
  <si>
    <t>Justin Bruihl</t>
  </si>
  <si>
    <t>Nick Hernandez</t>
  </si>
  <si>
    <t>Jack Little</t>
  </si>
  <si>
    <t>Wikelman Gonzalez</t>
  </si>
  <si>
    <t>Robinson Pina</t>
  </si>
  <si>
    <t>Connor Phillips</t>
  </si>
  <si>
    <t>Paul Gervase</t>
  </si>
  <si>
    <t>Luis Vazquez</t>
  </si>
  <si>
    <t>Jake Palisch</t>
  </si>
  <si>
    <t>Will Klein</t>
  </si>
  <si>
    <t>Tyler Zuber</t>
  </si>
  <si>
    <t>Bryan Hoeing</t>
  </si>
  <si>
    <t>Jonathan Pintaro</t>
  </si>
  <si>
    <t>Garrett Hampson</t>
  </si>
  <si>
    <t>Miles Mastrobuoni</t>
  </si>
  <si>
    <t>Jose Caballero</t>
  </si>
  <si>
    <t>Nate Eaton</t>
  </si>
  <si>
    <t>Joe Rock</t>
  </si>
  <si>
    <t>Tyler Heineman</t>
  </si>
  <si>
    <t>Jordan Weems</t>
  </si>
  <si>
    <t>Travis Jankowski</t>
  </si>
  <si>
    <t>Jose Trevino</t>
  </si>
  <si>
    <t>Geoff Hartlieb</t>
  </si>
  <si>
    <t>Juan Burgos</t>
  </si>
  <si>
    <t>Eduarniel Nunez</t>
  </si>
  <si>
    <t>Andry Lara</t>
  </si>
  <si>
    <t>Corbin Martin</t>
  </si>
  <si>
    <t>Clayton Beeter</t>
  </si>
  <si>
    <t>Jon Berti</t>
  </si>
  <si>
    <t>Date</t>
  </si>
  <si>
    <t>Tm</t>
  </si>
  <si>
    <t>Cleaned IP</t>
  </si>
  <si>
    <t>year_played</t>
  </si>
  <si>
    <t>pitchername</t>
  </si>
  <si>
    <t>pitcher_mlb_id</t>
  </si>
  <si>
    <t>pitchtype</t>
  </si>
  <si>
    <t>p_hand</t>
  </si>
  <si>
    <t>b_hand</t>
  </si>
  <si>
    <t>num_pitches</t>
  </si>
  <si>
    <t>subset_ip</t>
  </si>
  <si>
    <t>plv</t>
  </si>
  <si>
    <t>pitch_runs</t>
  </si>
  <si>
    <t>L</t>
  </si>
  <si>
    <t>R</t>
  </si>
  <si>
    <t>KN</t>
  </si>
  <si>
    <t>Alex Carrillo</t>
  </si>
  <si>
    <t>Alex Jackson</t>
  </si>
  <si>
    <t>Alex Lange</t>
  </si>
  <si>
    <t>Alí Sánchez</t>
  </si>
  <si>
    <t>Andrew Saalfrank</t>
  </si>
  <si>
    <t>Anthony Misiewicz</t>
  </si>
  <si>
    <t>Anthony Seigler</t>
  </si>
  <si>
    <t>SWITCH</t>
  </si>
  <si>
    <t>Austin Nola</t>
  </si>
  <si>
    <t>Austin Pope</t>
  </si>
  <si>
    <t>Ben Bowden</t>
  </si>
  <si>
    <t>Brady Basso</t>
  </si>
  <si>
    <t>Brandyn Garcia</t>
  </si>
  <si>
    <t>Brian Van Belle</t>
  </si>
  <si>
    <t>Brooks Raley</t>
  </si>
  <si>
    <t>Cam Sanders</t>
  </si>
  <si>
    <t>Casey Kelly</t>
  </si>
  <si>
    <t>Chas McCormick</t>
  </si>
  <si>
    <t>Chase Silseth</t>
  </si>
  <si>
    <t>Christian Roa</t>
  </si>
  <si>
    <t>Cody Laweryson</t>
  </si>
  <si>
    <t>Cole Wilcox</t>
  </si>
  <si>
    <t>Cooper Hummel</t>
  </si>
  <si>
    <t>Dauri Moreta</t>
  </si>
  <si>
    <t>David Robertson</t>
  </si>
  <si>
    <t>Dom Hamel</t>
  </si>
  <si>
    <t>Drew Sommers</t>
  </si>
  <si>
    <t>Dugan Darnell</t>
  </si>
  <si>
    <t>Edgardo Henriquez</t>
  </si>
  <si>
    <t>Eduarniel Núñez</t>
  </si>
  <si>
    <t>Erasmo Ramírez</t>
  </si>
  <si>
    <t>Garrett Acton</t>
  </si>
  <si>
    <t>Hayden Harris</t>
  </si>
  <si>
    <t>Hunter Barco</t>
  </si>
  <si>
    <t>Isaiah Campbell</t>
  </si>
  <si>
    <t>Isiah Kiner-Falefa</t>
  </si>
  <si>
    <t>J.P. France</t>
  </si>
  <si>
    <t>Jared Triolo</t>
  </si>
  <si>
    <t>Jayden Murray</t>
  </si>
  <si>
    <t>Jayvien Sandridge</t>
  </si>
  <si>
    <t>Joel Peguero</t>
  </si>
  <si>
    <t>Joey Gerber</t>
  </si>
  <si>
    <t>John Rooney</t>
  </si>
  <si>
    <t>Jose Corniell</t>
  </si>
  <si>
    <t>Jose Espada</t>
  </si>
  <si>
    <t>José Caballero</t>
  </si>
  <si>
    <t>José Quijada</t>
  </si>
  <si>
    <t>José Urquidy</t>
  </si>
  <si>
    <t>Jovani Morán</t>
  </si>
  <si>
    <t>Julian Fernández</t>
  </si>
  <si>
    <t>Keaton Winn</t>
  </si>
  <si>
    <t>Kevin Newman</t>
  </si>
  <si>
    <t>Kody Clemens</t>
  </si>
  <si>
    <t>Korey Lee</t>
  </si>
  <si>
    <t>Kyle Nelson</t>
  </si>
  <si>
    <t>Lucas Gilbreath</t>
  </si>
  <si>
    <t>Luinder Avila</t>
  </si>
  <si>
    <t>Luis Curvelo</t>
  </si>
  <si>
    <t>Luis Torrens</t>
  </si>
  <si>
    <t>Luke Maile</t>
  </si>
  <si>
    <t>Mason Thompson</t>
  </si>
  <si>
    <t>Michael Tonkin</t>
  </si>
  <si>
    <t>Mike Yastrzemski</t>
  </si>
  <si>
    <t>Nick Anderson</t>
  </si>
  <si>
    <t>Nick Raquet</t>
  </si>
  <si>
    <t>Niko Kavadas</t>
  </si>
  <si>
    <t>SC</t>
  </si>
  <si>
    <t>Nolan Hoffman</t>
  </si>
  <si>
    <t>Oswald Peraza</t>
  </si>
  <si>
    <t>PJ Poulin</t>
  </si>
  <si>
    <t>Philip Abner</t>
  </si>
  <si>
    <t>Reese McGuire</t>
  </si>
  <si>
    <t>Reiver Sanmartin</t>
  </si>
  <si>
    <t>Robert Gasser</t>
  </si>
  <si>
    <t>Robinson Piña</t>
  </si>
  <si>
    <t>Rolddy Muñoz</t>
  </si>
  <si>
    <t>Ron Marinaccio</t>
  </si>
  <si>
    <t>Rowdy Tellez</t>
  </si>
  <si>
    <t>Ryan Burr</t>
  </si>
  <si>
    <t>Ryan Fitzgerald</t>
  </si>
  <si>
    <t>Sammy Peralta</t>
  </si>
  <si>
    <t>Seth Martinez</t>
  </si>
  <si>
    <t>Tommy Nance</t>
  </si>
  <si>
    <t>Tomás Nido</t>
  </si>
  <si>
    <t>Vidal Bruján</t>
  </si>
  <si>
    <t>Wander Suero</t>
  </si>
  <si>
    <t>Wikelman González</t>
  </si>
  <si>
    <t>Zach Maxwell</t>
  </si>
  <si>
    <t>Andrew Nardi</t>
  </si>
  <si>
    <t>Tyson Miller</t>
  </si>
  <si>
    <t>Grayson Rodriguez</t>
  </si>
  <si>
    <t>Kutter Crawford</t>
  </si>
  <si>
    <t>James McArthur</t>
  </si>
  <si>
    <t>Austin Voth</t>
  </si>
  <si>
    <t>Jared Jones</t>
  </si>
  <si>
    <t>Chase Anderson</t>
  </si>
  <si>
    <t>Michael Grove</t>
  </si>
  <si>
    <t>Jake Diekman</t>
  </si>
  <si>
    <t>Gerrit Cole</t>
  </si>
  <si>
    <t>Patrick Sandoval</t>
  </si>
  <si>
    <t>Cody Bradford</t>
  </si>
  <si>
    <t>Joe Jiménez</t>
  </si>
  <si>
    <t>Derek Law</t>
  </si>
  <si>
    <t>Jason Foley</t>
  </si>
  <si>
    <t>Burch Smith</t>
  </si>
  <si>
    <t>Mike Baumann</t>
  </si>
  <si>
    <t>Jhony Brito</t>
  </si>
  <si>
    <t>Ross Stripling</t>
  </si>
  <si>
    <t>Jake Cousins</t>
  </si>
  <si>
    <t>Gavin Stone</t>
  </si>
  <si>
    <t>Christian Scott</t>
  </si>
  <si>
    <t>Braxton Garrett</t>
  </si>
  <si>
    <t>Joe Musgrove</t>
  </si>
  <si>
    <t>Josh Fleming</t>
  </si>
  <si>
    <t>Louie Varland</t>
  </si>
  <si>
    <t>Daniel Hudson</t>
  </si>
  <si>
    <t>Dylan Floro</t>
  </si>
  <si>
    <t>Will Smith</t>
  </si>
  <si>
    <t>Kyle Muller</t>
  </si>
  <si>
    <t>Buck Farmer</t>
  </si>
  <si>
    <t>Drew Thorpe</t>
  </si>
  <si>
    <t>Jonathan Hernández</t>
  </si>
  <si>
    <t>Yonny Chirinos</t>
  </si>
  <si>
    <t>Justin Anderson</t>
  </si>
  <si>
    <t>Cole Irvin</t>
  </si>
  <si>
    <t>Chad Kuhl</t>
  </si>
  <si>
    <t>Alex Wood</t>
  </si>
  <si>
    <t>Drew Smyly</t>
  </si>
  <si>
    <t>Marco Gonzales</t>
  </si>
  <si>
    <t>Sixto Sánchez</t>
  </si>
  <si>
    <t>Thyago Vieira</t>
  </si>
  <si>
    <t>Austin Adams</t>
  </si>
  <si>
    <t>Jordan Montgomery</t>
  </si>
  <si>
    <t>DJ Herz</t>
  </si>
  <si>
    <t>Alex Faedo</t>
  </si>
  <si>
    <t>Kyle Tyler</t>
  </si>
  <si>
    <t>Alec Marsh</t>
  </si>
  <si>
    <t>James Paxton</t>
  </si>
  <si>
    <t>Declan Cronin</t>
  </si>
  <si>
    <t>Pedro Avila</t>
  </si>
  <si>
    <t>Spencer Howard</t>
  </si>
  <si>
    <t>Matt Moore</t>
  </si>
  <si>
    <t>Peter Lambert</t>
  </si>
  <si>
    <t>Luis Medina</t>
  </si>
  <si>
    <t>Lance Lynn</t>
  </si>
  <si>
    <t>Dakota Hudson</t>
  </si>
  <si>
    <t>Ty Blach</t>
  </si>
  <si>
    <t>Nick Nastrini</t>
  </si>
  <si>
    <t>John Means</t>
  </si>
  <si>
    <t>Tommy Milone</t>
  </si>
  <si>
    <t>Trevor Kelley</t>
  </si>
  <si>
    <t>Lucas Luetge</t>
  </si>
  <si>
    <t>Collin McHugh</t>
  </si>
  <si>
    <t>Gerardo Reyes</t>
  </si>
  <si>
    <t>Yency Almonte</t>
  </si>
  <si>
    <t>Luis F. Ortiz</t>
  </si>
  <si>
    <t>Andrew Wantz</t>
  </si>
  <si>
    <t>Matt Manning</t>
  </si>
  <si>
    <t>Shane McClanahan</t>
  </si>
  <si>
    <t>Julio Urías</t>
  </si>
  <si>
    <t>Andrés Machado</t>
  </si>
  <si>
    <t>Matt Bush</t>
  </si>
  <si>
    <t>Chasen Shreve</t>
  </si>
  <si>
    <t>Gus Varland</t>
  </si>
  <si>
    <t>Brusdar Graterol</t>
  </si>
  <si>
    <t>Mike Mayers</t>
  </si>
  <si>
    <t>Josh Sborz</t>
  </si>
  <si>
    <t>Brendan White</t>
  </si>
  <si>
    <t>Sean Reid-Foley</t>
  </si>
  <si>
    <t>Andrew Vasquez</t>
  </si>
  <si>
    <t>Zack Weiss</t>
  </si>
  <si>
    <t>JT Chargois</t>
  </si>
  <si>
    <t>Josh Taylor</t>
  </si>
  <si>
    <t>Denyi Reyes</t>
  </si>
  <si>
    <t>Hyun Jin Ryu</t>
  </si>
  <si>
    <t>Vince Velasquez</t>
  </si>
  <si>
    <t>Parker Mushinski</t>
  </si>
  <si>
    <t>Jonathan Heasley</t>
  </si>
  <si>
    <t>Corey Kluber</t>
  </si>
  <si>
    <t>Phil Bickford</t>
  </si>
  <si>
    <t>Matt Barnes</t>
  </si>
  <si>
    <t>Johnny Cueto</t>
  </si>
  <si>
    <t>Trevor May</t>
  </si>
  <si>
    <t>Sam Hentges</t>
  </si>
  <si>
    <t>Zack Greinke</t>
  </si>
  <si>
    <t>Alex Cobb</t>
  </si>
  <si>
    <t>Nick Ramirez</t>
  </si>
  <si>
    <t>Adbert Alzolay</t>
  </si>
  <si>
    <t>Adam Cimber</t>
  </si>
  <si>
    <t>James Naile</t>
  </si>
  <si>
    <t>Nick Vespi</t>
  </si>
  <si>
    <t>Jordan Lyles</t>
  </si>
  <si>
    <t>Joe Kelly</t>
  </si>
  <si>
    <t>Adam Wainwright</t>
  </si>
  <si>
    <t>Ken Waldichuk</t>
  </si>
  <si>
    <t>Jimmy Yacabonis</t>
  </si>
  <si>
    <t>Austin Pruitt</t>
  </si>
  <si>
    <t>Drew Smith</t>
  </si>
  <si>
    <t>Amos Willingham</t>
  </si>
  <si>
    <t>Wil Crowe</t>
  </si>
  <si>
    <t>Anthony Bass</t>
  </si>
  <si>
    <t>Jay Jackson</t>
  </si>
  <si>
    <t>Joe Jacques</t>
  </si>
  <si>
    <t>Tucker Davidson</t>
  </si>
  <si>
    <t>Richard Bleier</t>
  </si>
  <si>
    <t>Jaime Barria</t>
  </si>
  <si>
    <t>Yunior Marte</t>
  </si>
  <si>
    <t>Thaddeus Ward</t>
  </si>
  <si>
    <t>Glenn Otto</t>
  </si>
  <si>
    <t>Jackson Stephens</t>
  </si>
  <si>
    <t>Mauricio Llovera</t>
  </si>
  <si>
    <t>Levi Stoudt</t>
  </si>
  <si>
    <t>Trevor Stephan</t>
  </si>
  <si>
    <t>Brent Honeywell Jr.</t>
  </si>
  <si>
    <t>Hobie Harris</t>
  </si>
  <si>
    <t>Peter Strzelecki</t>
  </si>
  <si>
    <t>Ben Heller</t>
  </si>
  <si>
    <t>Michael Rucker</t>
  </si>
  <si>
    <t>Trevor Gott</t>
  </si>
  <si>
    <t>Dylan Coleman</t>
  </si>
  <si>
    <t>Zack Thompson</t>
  </si>
  <si>
    <t>Aaron Loup</t>
  </si>
  <si>
    <t>Grant Hartwig</t>
  </si>
  <si>
    <t>Noah Syndergaard</t>
  </si>
  <si>
    <t>Jimmy Cordero</t>
  </si>
  <si>
    <t>Dominic Leone</t>
  </si>
  <si>
    <t>Matt Carasiti</t>
  </si>
  <si>
    <t>Jordan Balazovic</t>
  </si>
  <si>
    <t>Joel Kuhnel</t>
  </si>
  <si>
    <t>Nick Robertson</t>
  </si>
  <si>
    <t>Stephen Nogosek</t>
  </si>
  <si>
    <t>Max Castillo</t>
  </si>
  <si>
    <t>Josh Winder</t>
  </si>
  <si>
    <t>Brandon Williamson</t>
  </si>
  <si>
    <t>Brad Hand</t>
  </si>
  <si>
    <t>Drew VerHagen</t>
  </si>
  <si>
    <t>Devin Smeltzer</t>
  </si>
  <si>
    <t>Yerry de los Santos</t>
  </si>
  <si>
    <t>Tommy Hunter</t>
  </si>
  <si>
    <t>Adam Oller</t>
  </si>
  <si>
    <t>Keegan Thompson</t>
  </si>
  <si>
    <t>Brad Boxberger</t>
  </si>
  <si>
    <t>Alex Young</t>
  </si>
  <si>
    <t>Kenny Rosenberg</t>
  </si>
  <si>
    <t>Miguel Díaz</t>
  </si>
  <si>
    <t>Mitch White</t>
  </si>
  <si>
    <t>Yerry Rodríguez</t>
  </si>
  <si>
    <t>Ryan Tepera</t>
  </si>
  <si>
    <t>Adrián Martínez</t>
  </si>
  <si>
    <t>Ian Kennedy</t>
  </si>
  <si>
    <t>Kirby Snead</t>
  </si>
  <si>
    <t>Luis Cessa</t>
  </si>
  <si>
    <t>Cody Morris</t>
  </si>
  <si>
    <t>Andre Jackson</t>
  </si>
  <si>
    <t>James Karinchak</t>
  </si>
  <si>
    <t>Zach Logue</t>
  </si>
  <si>
    <t>Domingo Tapia</t>
  </si>
  <si>
    <t>Devin Sweet</t>
  </si>
  <si>
    <t>Shintaro Fujinami</t>
  </si>
  <si>
    <t>Giovanny Gallegos</t>
  </si>
  <si>
    <t>Drew Rom</t>
  </si>
  <si>
    <t>Zach Plesac</t>
  </si>
  <si>
    <t>Ray Kerr</t>
  </si>
  <si>
    <t>Zach Neal</t>
  </si>
  <si>
    <t>Taylor Hearn</t>
  </si>
  <si>
    <t>Juan Then</t>
  </si>
  <si>
    <t>Jimmy Lambert</t>
  </si>
  <si>
    <t>Darius Vines</t>
  </si>
  <si>
    <t>Domingo Germán</t>
  </si>
  <si>
    <t>J.C. Mejía</t>
  </si>
  <si>
    <t>Dylan Covey</t>
  </si>
  <si>
    <t>Luis Frías</t>
  </si>
  <si>
    <t>Anthony Kay</t>
  </si>
  <si>
    <t>Domingo Acevedo</t>
  </si>
  <si>
    <t>Dallas Keuchel</t>
  </si>
  <si>
    <t>Jovani Moran</t>
  </si>
  <si>
    <t>Zach Davies</t>
  </si>
  <si>
    <t>Josiah Gray</t>
  </si>
  <si>
    <t>Josh Staumont</t>
  </si>
  <si>
    <t>Cory Abbott</t>
  </si>
  <si>
    <t>Bryan Shaw</t>
  </si>
  <si>
    <t>Daniel Duarte</t>
  </si>
  <si>
    <t>José Cisnero</t>
  </si>
  <si>
    <t>Brandon Hughes</t>
  </si>
  <si>
    <t>Albert Abreu</t>
  </si>
  <si>
    <t>Keynan Middleton</t>
  </si>
  <si>
    <t>Matt Koch</t>
  </si>
  <si>
    <t>Jose Hernandez</t>
  </si>
  <si>
    <t>Julio Teheran</t>
  </si>
  <si>
    <t>James Kaprielian</t>
  </si>
  <si>
    <t>Nick Wittgren</t>
  </si>
  <si>
    <t>Spencer Patton</t>
  </si>
  <si>
    <t>Victor González</t>
  </si>
  <si>
    <t>Andrew Suárez</t>
  </si>
  <si>
    <t>Dany Jiménez</t>
  </si>
  <si>
    <t>Ryan Weber</t>
  </si>
  <si>
    <t>Joely Rodríguez</t>
  </si>
  <si>
    <t>Lane Ramsey</t>
  </si>
  <si>
    <t>Deivi García</t>
  </si>
  <si>
    <t>Drew Rucinski</t>
  </si>
  <si>
    <t>Kyle Wright</t>
  </si>
  <si>
    <t>Duane Underwood Jr.</t>
  </si>
  <si>
    <t>Andrew Bellatti</t>
  </si>
  <si>
    <t>Alek Manoah</t>
  </si>
  <si>
    <t>Drew Carlton</t>
  </si>
  <si>
    <t>Amir Garrett</t>
  </si>
  <si>
    <t>Brandon Bielak</t>
  </si>
  <si>
    <t>Luis Patiño</t>
  </si>
  <si>
    <t>José Cuas</t>
  </si>
  <si>
    <t>Diego Castillo</t>
  </si>
  <si>
    <t>Oliver Ortega</t>
  </si>
  <si>
    <t>Joan Adon</t>
  </si>
  <si>
    <t>Connor Overton</t>
  </si>
  <si>
    <t>Brett Kennedy</t>
  </si>
  <si>
    <t>Zach Jackson</t>
  </si>
  <si>
    <t>Karl Kauffmann</t>
  </si>
  <si>
    <t>Peyton Battenfield</t>
  </si>
  <si>
    <t>Garrett Hill</t>
  </si>
  <si>
    <t>Angel Felipe</t>
  </si>
  <si>
    <t>Javy Guerra</t>
  </si>
  <si>
    <t>Kyle Barraclough</t>
  </si>
  <si>
    <t>Chad Smith</t>
  </si>
  <si>
    <t>Chase De Jong</t>
  </si>
  <si>
    <t>Francisco Pérez</t>
  </si>
  <si>
    <t>Daniel Norris</t>
  </si>
  <si>
    <t>Madison Bumgarner</t>
  </si>
  <si>
    <t>José Marte</t>
  </si>
  <si>
    <t>Jeurys Familia</t>
  </si>
  <si>
    <t>Daniel Bard</t>
  </si>
  <si>
    <t>Trey Wingenter</t>
  </si>
  <si>
    <t>Peter Solomon</t>
  </si>
  <si>
    <t>Dinelson Lamet</t>
  </si>
  <si>
    <t>Evan Justice</t>
  </si>
  <si>
    <t>Tommy Doyle</t>
  </si>
  <si>
    <t>Jake Fishman</t>
  </si>
  <si>
    <t>Víctor Arano</t>
  </si>
  <si>
    <t>Dusten Knight</t>
  </si>
  <si>
    <t>Cody Stashak</t>
  </si>
  <si>
    <t>Darren O'Day</t>
  </si>
  <si>
    <t>Collin Wiles Jr.</t>
  </si>
  <si>
    <t>Rowan Wick</t>
  </si>
  <si>
    <t>Drew Steckenrider</t>
  </si>
  <si>
    <t>Robert Gsellman</t>
  </si>
  <si>
    <t>Luis Perdomo Jr.</t>
  </si>
  <si>
    <t>Elieser Hernández</t>
  </si>
  <si>
    <t>Mark Melancon</t>
  </si>
  <si>
    <t>Sergio Romo</t>
  </si>
  <si>
    <t>Tyler Danish</t>
  </si>
  <si>
    <t>Paolo Espino</t>
  </si>
  <si>
    <t>Matt Foster</t>
  </si>
  <si>
    <t>Phillips Valdez</t>
  </si>
  <si>
    <t>Jarlín García</t>
  </si>
  <si>
    <t>Daniel Castano</t>
  </si>
  <si>
    <t>Louis Head</t>
  </si>
  <si>
    <t>Kirk McCarty</t>
  </si>
  <si>
    <t>Joe Smith</t>
  </si>
  <si>
    <t>Darwinzon Hernández</t>
  </si>
  <si>
    <t>Aaron Sanchez</t>
  </si>
  <si>
    <t>James Norwood</t>
  </si>
  <si>
    <t>Manny Bañuelos</t>
  </si>
  <si>
    <t>Jake McGee</t>
  </si>
  <si>
    <t>Jeremy Beasley</t>
  </si>
  <si>
    <t>Art Warren</t>
  </si>
  <si>
    <t>Daulton Jefferies</t>
  </si>
  <si>
    <t>Luke Bard</t>
  </si>
  <si>
    <t>Sam Selman</t>
  </si>
  <si>
    <t>Tyler Duffey</t>
  </si>
  <si>
    <t>Tyler Cyr</t>
  </si>
  <si>
    <t>Austin Davis</t>
  </si>
  <si>
    <t>Justin Grimm</t>
  </si>
  <si>
    <t>Spenser Watkins</t>
  </si>
  <si>
    <t>Packy Naughton</t>
  </si>
  <si>
    <t>Joe Barlow</t>
  </si>
  <si>
    <t>Joey Krehbiel</t>
  </si>
  <si>
    <t>Phoenix Sanders</t>
  </si>
  <si>
    <t>Matt Wisler</t>
  </si>
  <si>
    <t>Mychal Givens</t>
  </si>
  <si>
    <t>Craig Stammen</t>
  </si>
  <si>
    <t>Tyler Beede</t>
  </si>
  <si>
    <t>Kyle Crick</t>
  </si>
  <si>
    <t>Jesús Tinoco</t>
  </si>
  <si>
    <t>Ross Detwiler</t>
  </si>
  <si>
    <t>Brett Martin</t>
  </si>
  <si>
    <t>Dylan Bundy</t>
  </si>
  <si>
    <t>Adam Kolarek</t>
  </si>
  <si>
    <t>Mike Minor</t>
  </si>
  <si>
    <t>Humberto Castellanos</t>
  </si>
  <si>
    <t>Jake Odorizzi</t>
  </si>
  <si>
    <t>Garrett Richards</t>
  </si>
  <si>
    <t>Jesús Cruz</t>
  </si>
  <si>
    <t>Tommy Romero</t>
  </si>
  <si>
    <t>Jake Reed</t>
  </si>
  <si>
    <t>Cam Vieaux</t>
  </si>
  <si>
    <t>Thomas Szapucki</t>
  </si>
  <si>
    <t>Adonis Medina</t>
  </si>
  <si>
    <t>Caleb Smith</t>
  </si>
  <si>
    <t>Dillon Peters</t>
  </si>
  <si>
    <t>Beau Sulser</t>
  </si>
  <si>
    <t>Wyatt Mills</t>
  </si>
  <si>
    <t>Yoan López</t>
  </si>
  <si>
    <t>Vladimir Gutierrez</t>
  </si>
  <si>
    <t>Chi Chi González</t>
  </si>
  <si>
    <t>Josh Rogers</t>
  </si>
  <si>
    <t>Chris Archer</t>
  </si>
  <si>
    <t>Adrian Sampson</t>
  </si>
  <si>
    <t>Angel De Jesus</t>
  </si>
  <si>
    <t>Sean Poppen</t>
  </si>
  <si>
    <t>T.J. Zeuch</t>
  </si>
  <si>
    <t>Jandel Gustave</t>
  </si>
  <si>
    <t>Eric Stout</t>
  </si>
  <si>
    <t>Corey Knebel</t>
  </si>
  <si>
    <t>Drew Hutchison</t>
  </si>
  <si>
    <t>Archie Bradley</t>
  </si>
  <si>
    <t>Steve Cishek</t>
  </si>
  <si>
    <t>Nick Nelson</t>
  </si>
  <si>
    <t>Steven Brault</t>
  </si>
  <si>
    <t>Ralph Garza Jr.</t>
  </si>
  <si>
    <t>Reyes Moronta</t>
  </si>
  <si>
    <t>Robert Dugger</t>
  </si>
  <si>
    <t>Travis Lakins Sr.</t>
  </si>
  <si>
    <t>Heath Hembree</t>
  </si>
  <si>
    <t>Sam Coonrod</t>
  </si>
  <si>
    <t>Hansel Robles</t>
  </si>
  <si>
    <t>Aníbal Sánchez</t>
  </si>
  <si>
    <t>David Price</t>
  </si>
  <si>
    <t>Anthony Gose</t>
  </si>
  <si>
    <t>Erich Uelmen</t>
  </si>
  <si>
    <t>J.B. Wendelken</t>
  </si>
  <si>
    <t>Rony García</t>
  </si>
  <si>
    <t>Justus Sheffield</t>
  </si>
  <si>
    <t>Blake Taylor</t>
  </si>
  <si>
    <t>Aaron Brooks</t>
  </si>
  <si>
    <t>Reiss Knehr</t>
  </si>
  <si>
    <t>Paul Fry</t>
  </si>
  <si>
    <t>Hirokazu Sawamura</t>
  </si>
  <si>
    <t>Alec Mills</t>
  </si>
  <si>
    <t>Norge Ruiz</t>
  </si>
  <si>
    <t>Tyler Thornburg</t>
  </si>
  <si>
    <t>Jackson Tetreault</t>
  </si>
  <si>
    <t>Jared Solomon</t>
  </si>
  <si>
    <t>Juan Minaya</t>
  </si>
  <si>
    <t>Michael Pineda</t>
  </si>
  <si>
    <t>Noé Ramirez</t>
  </si>
  <si>
    <t>Taylor Widener</t>
  </si>
  <si>
    <t>Miguel Sánchez</t>
  </si>
  <si>
    <t>Alex Colomé</t>
  </si>
  <si>
    <t>Kodi Whitley</t>
  </si>
  <si>
    <t>Matt Swarmer</t>
  </si>
  <si>
    <t>Junior Fernández</t>
  </si>
  <si>
    <t>Ashton Goudeau</t>
  </si>
  <si>
    <t>Kervin Castro</t>
  </si>
  <si>
    <t>David Phelps</t>
  </si>
  <si>
    <t>Kohei Arihara</t>
  </si>
  <si>
    <t>Jacob Lemoine</t>
  </si>
  <si>
    <t>Jharel Cotton</t>
  </si>
  <si>
    <t>Jhoulys Chacín</t>
  </si>
  <si>
    <t>Bryan Garcia</t>
  </si>
  <si>
    <t>José Álvarez</t>
  </si>
  <si>
    <t>Anthony Castro</t>
  </si>
  <si>
    <t>Luke Farrell</t>
  </si>
  <si>
    <t>Aaron Fletcher</t>
  </si>
  <si>
    <t>Wily Peralta</t>
  </si>
  <si>
    <t>Ronald Bolaños</t>
  </si>
  <si>
    <t>Justin Dunn</t>
  </si>
  <si>
    <t>Caleb Kilian</t>
  </si>
  <si>
    <t>Miguel Yajure</t>
  </si>
  <si>
    <t>Jake Brentz</t>
  </si>
  <si>
    <t>Evan Lee</t>
  </si>
  <si>
    <t>A.J. Alexy</t>
  </si>
  <si>
    <t>Anderson Espinoza</t>
  </si>
  <si>
    <t>Hanser Alberto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</si>
</sst>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%"/>
    <numFmt numFmtId="166" formatCode=" +0;-0;0."/>
    <numFmt numFmtId="167" formatCode="M/d/yyyy"/>
    <numFmt numFmtId="168" formatCode="#,##0.0"/>
    <numFmt numFmtId="169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10639"/>
        <bgColor rgb="FFB10639"/>
      </patternFill>
    </fill>
    <fill>
      <patternFill patternType="solid">
        <fgColor rgb="FF133167"/>
        <bgColor rgb="FF133167"/>
      </patternFill>
    </fill>
  </fills>
  <borders count="2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1" fillId="0" fontId="1" numFmtId="0" xfId="0" applyBorder="1" applyFont="1"/>
    <xf borderId="2" fillId="0" fontId="1" numFmtId="0" xfId="0" applyBorder="1" applyFont="1"/>
    <xf borderId="2" fillId="0" fontId="1" numFmtId="164" xfId="0" applyBorder="1" applyFont="1" applyNumberFormat="1"/>
    <xf borderId="3" fillId="0" fontId="1" numFmtId="0" xfId="0" applyBorder="1" applyFont="1"/>
    <xf borderId="4" fillId="0" fontId="1" numFmtId="0" xfId="0" applyBorder="1" applyFont="1"/>
    <xf borderId="0" fillId="0" fontId="1" numFmtId="164" xfId="0" applyFont="1" applyNumberFormat="1"/>
    <xf borderId="0" fillId="0" fontId="1" numFmtId="0" xfId="0" applyFont="1"/>
    <xf borderId="0" fillId="0" fontId="1" numFmtId="2" xfId="0" applyFont="1" applyNumberFormat="1"/>
    <xf borderId="5" fillId="0" fontId="1" numFmtId="0" xfId="0" applyBorder="1" applyFont="1"/>
    <xf borderId="6" fillId="2" fontId="2" numFmtId="0" xfId="0" applyAlignment="1" applyBorder="1" applyFill="1" applyFont="1">
      <alignment horizontal="center" readingOrder="0"/>
    </xf>
    <xf borderId="7" fillId="0" fontId="3" numFmtId="0" xfId="0" applyBorder="1" applyFont="1"/>
    <xf borderId="5" fillId="0" fontId="1" numFmtId="0" xfId="0" applyAlignment="1" applyBorder="1" applyFont="1">
      <alignment horizontal="center" readingOrder="0"/>
    </xf>
    <xf borderId="6" fillId="3" fontId="2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164" xfId="0" applyAlignment="1" applyBorder="1" applyFont="1" applyNumberFormat="1">
      <alignment horizontal="center"/>
    </xf>
    <xf borderId="8" fillId="0" fontId="1" numFmtId="0" xfId="0" applyBorder="1" applyFont="1"/>
    <xf borderId="9" fillId="0" fontId="1" numFmtId="164" xfId="0" applyAlignment="1" applyBorder="1" applyFont="1" applyNumberFormat="1">
      <alignment horizontal="center"/>
    </xf>
    <xf borderId="10" fillId="0" fontId="1" numFmtId="0" xfId="0" applyBorder="1" applyFont="1"/>
    <xf borderId="11" fillId="0" fontId="1" numFmtId="164" xfId="0" applyAlignment="1" applyBorder="1" applyFont="1" applyNumberFormat="1">
      <alignment horizontal="center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readingOrder="0"/>
    </xf>
    <xf borderId="18" fillId="0" fontId="1" numFmtId="0" xfId="0" applyAlignment="1" applyBorder="1" applyFont="1">
      <alignment horizontal="center" readingOrder="0"/>
    </xf>
    <xf borderId="11" fillId="0" fontId="1" numFmtId="164" xfId="0" applyAlignment="1" applyBorder="1" applyFont="1" applyNumberFormat="1">
      <alignment horizontal="center" readingOrder="0"/>
    </xf>
    <xf borderId="18" fillId="0" fontId="1" numFmtId="2" xfId="0" applyAlignment="1" applyBorder="1" applyFont="1" applyNumberFormat="1">
      <alignment horizontal="center" readingOrder="0"/>
    </xf>
    <xf borderId="18" fillId="0" fontId="1" numFmtId="165" xfId="0" applyAlignment="1" applyBorder="1" applyFont="1" applyNumberFormat="1">
      <alignment horizontal="center" readingOrder="0"/>
    </xf>
    <xf borderId="18" fillId="0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9" fillId="0" fontId="1" numFmtId="164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18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4" xfId="0" applyFont="1" applyNumberFormat="1"/>
    <xf borderId="1" fillId="0" fontId="1" numFmtId="166" xfId="0" applyAlignment="1" applyBorder="1" applyFont="1" applyNumberFormat="1">
      <alignment horizontal="center" readingOrder="0"/>
    </xf>
    <xf borderId="5" fillId="0" fontId="1" numFmtId="166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 readingOrder="0"/>
    </xf>
    <xf borderId="19" fillId="0" fontId="3" numFmtId="0" xfId="0" applyBorder="1" applyFont="1"/>
    <xf borderId="19" fillId="0" fontId="1" numFmtId="166" xfId="0" applyAlignment="1" applyBorder="1" applyFont="1" applyNumberFormat="1">
      <alignment horizontal="center" readingOrder="0"/>
    </xf>
    <xf borderId="7" fillId="0" fontId="1" numFmtId="4" xfId="0" applyAlignment="1" applyBorder="1" applyFont="1" applyNumberFormat="1">
      <alignment horizontal="center" readingOrder="0"/>
    </xf>
    <xf borderId="5" fillId="0" fontId="1" numFmtId="4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left" readingOrder="0"/>
    </xf>
    <xf borderId="19" fillId="0" fontId="2" numFmtId="166" xfId="0" applyAlignment="1" applyBorder="1" applyFont="1" applyNumberFormat="1">
      <alignment horizontal="center" readingOrder="0"/>
    </xf>
    <xf borderId="8" fillId="0" fontId="1" numFmtId="166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horizontal="center" readingOrder="0"/>
    </xf>
    <xf borderId="9" fillId="0" fontId="1" numFmtId="4" xfId="0" applyAlignment="1" applyBorder="1" applyFont="1" applyNumberFormat="1">
      <alignment horizontal="center" readingOrder="0"/>
    </xf>
    <xf borderId="10" fillId="0" fontId="1" numFmtId="166" xfId="0" applyAlignment="1" applyBorder="1" applyFont="1" applyNumberFormat="1">
      <alignment horizontal="left" readingOrder="0"/>
    </xf>
    <xf borderId="18" fillId="0" fontId="2" numFmtId="166" xfId="0" applyAlignment="1" applyBorder="1" applyFont="1" applyNumberFormat="1">
      <alignment horizontal="center" readingOrder="0"/>
    </xf>
    <xf borderId="11" fillId="0" fontId="1" numFmtId="4" xfId="0" applyAlignment="1" applyBorder="1" applyFont="1" applyNumberFormat="1">
      <alignment horizontal="center" readingOrder="0"/>
    </xf>
    <xf borderId="15" fillId="0" fontId="1" numFmtId="166" xfId="0" applyAlignment="1" applyBorder="1" applyFont="1" applyNumberFormat="1">
      <alignment horizontal="center" readingOrder="0"/>
    </xf>
    <xf borderId="2" fillId="0" fontId="1" numFmtId="166" xfId="0" applyAlignment="1" applyBorder="1" applyFont="1" applyNumberFormat="1">
      <alignment horizontal="left" readingOrder="0"/>
    </xf>
    <xf borderId="2" fillId="0" fontId="1" numFmtId="166" xfId="0" applyAlignment="1" applyBorder="1" applyFont="1" applyNumberFormat="1">
      <alignment horizontal="center" readingOrder="0"/>
    </xf>
    <xf borderId="2" fillId="0" fontId="1" numFmtId="4" xfId="0" applyAlignment="1" applyBorder="1" applyFont="1" applyNumberFormat="1">
      <alignment horizontal="center" readingOrder="0"/>
    </xf>
    <xf borderId="17" fillId="0" fontId="1" numFmtId="4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center" readingOrder="0"/>
    </xf>
    <xf borderId="18" fillId="0" fontId="1" numFmtId="167" xfId="0" applyAlignment="1" applyBorder="1" applyFont="1" applyNumberFormat="1">
      <alignment horizontal="center" readingOrder="0"/>
    </xf>
    <xf borderId="11" fillId="0" fontId="1" numFmtId="168" xfId="0" applyAlignment="1" applyBorder="1" applyFont="1" applyNumberFormat="1">
      <alignment horizontal="center" readingOrder="0"/>
    </xf>
    <xf borderId="18" fillId="0" fontId="1" numFmtId="4" xfId="0" applyAlignment="1" applyBorder="1" applyFont="1" applyNumberFormat="1">
      <alignment horizontal="center" readingOrder="0"/>
    </xf>
    <xf borderId="18" fillId="0" fontId="1" numFmtId="166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9" fillId="0" fontId="1" numFmtId="168" xfId="0" applyAlignment="1" applyBorder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2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6" xfId="0" applyAlignment="1" applyFont="1" applyNumberForma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D22D49"/>
          <bgColor rgb="FFD22D49"/>
        </patternFill>
      </fill>
      <border/>
    </dxf>
    <dxf>
      <font/>
      <fill>
        <patternFill patternType="solid">
          <fgColor rgb="FFC95EBE"/>
          <bgColor rgb="FFC95EBE"/>
        </patternFill>
      </fill>
      <border/>
    </dxf>
    <dxf>
      <font/>
      <fill>
        <patternFill patternType="solid">
          <fgColor rgb="FF9300C7"/>
          <bgColor rgb="FF9300C7"/>
        </patternFill>
      </fill>
      <border/>
    </dxf>
    <dxf>
      <font/>
      <fill>
        <patternFill patternType="solid">
          <fgColor rgb="FF3C44CD"/>
          <bgColor rgb="FF3C44CD"/>
        </patternFill>
      </fill>
      <border/>
    </dxf>
    <dxf>
      <font/>
      <fill>
        <patternFill patternType="solid">
          <fgColor rgb="FF00A1C5"/>
          <bgColor rgb="FF00A1C5"/>
        </patternFill>
      </fill>
      <border/>
    </dxf>
    <dxf>
      <font/>
      <fill>
        <patternFill patternType="solid">
          <fgColor rgb="FF07B526"/>
          <bgColor rgb="FF07B526"/>
        </patternFill>
      </fill>
      <border/>
    </dxf>
    <dxf>
      <font/>
      <fill>
        <patternFill patternType="solid">
          <fgColor rgb="FFC57A02"/>
          <bgColor rgb="FFC57A02"/>
        </patternFill>
      </fill>
      <border/>
    </dxf>
    <dxf>
      <font/>
      <fill>
        <patternFill patternType="solid">
          <fgColor rgb="FF933F2C"/>
          <bgColor rgb="FF933F2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8" max="8" width="9.38"/>
    <col customWidth="1" min="9" max="9" width="6.88"/>
    <col hidden="1" min="10" max="18" width="12.63"/>
    <col customWidth="1" min="19" max="19" width="3.25"/>
    <col customWidth="1" min="20" max="20" width="17.63"/>
    <col customWidth="1" min="21" max="21" width="10.13"/>
    <col customWidth="1" min="22" max="22" width="3.25"/>
    <col customWidth="1" min="23" max="23" width="19.88"/>
    <col customWidth="1" min="24" max="24" width="10.13"/>
    <col customWidth="1" min="25" max="25" width="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N1" s="1" t="s">
        <v>12</v>
      </c>
      <c r="O1" s="1">
        <v>4.06</v>
      </c>
      <c r="Q1" s="1" t="s">
        <v>1</v>
      </c>
      <c r="R1" s="1" t="s">
        <v>7</v>
      </c>
      <c r="S1" s="4"/>
      <c r="T1" s="5"/>
      <c r="U1" s="6"/>
      <c r="V1" s="7"/>
      <c r="W1" s="5"/>
      <c r="X1" s="6"/>
      <c r="Y1" s="8"/>
    </row>
    <row r="2">
      <c r="A2" s="1" t="s">
        <v>13</v>
      </c>
      <c r="B2" s="1" t="s">
        <v>14</v>
      </c>
      <c r="C2" s="1">
        <v>47.0</v>
      </c>
      <c r="D2" s="3">
        <v>2.489361904</v>
      </c>
      <c r="E2" s="3">
        <v>3.225334991</v>
      </c>
      <c r="F2" s="1">
        <v>656730.0</v>
      </c>
      <c r="G2" s="9">
        <f t="shared" ref="G2:G472" si="1">int(C2)+(C2-int(C2))*10/3</f>
        <v>47</v>
      </c>
      <c r="H2" s="10" t="str">
        <f>IFERROR(__xludf.DUMMYFUNCTION("if(B2=""- - -"",""Trade"",filter(R:R,Q:Q=B2))"),"NL")</f>
        <v>NL</v>
      </c>
      <c r="I2" s="11">
        <f t="array" ref="I2">index('PLV (min 500)'!F:F,match(F2,'PLV (min 500)'!B:B,0))</f>
        <v>1.71580117</v>
      </c>
      <c r="J2" s="10">
        <f t="array" ref="J2:J472">(indirect("D2:D"&amp;counta(A:A))+indirect("E2:E"&amp;counta(A:A))+indirect("I2:I"&amp;COUNTA(A:A)))/3</f>
        <v>2.476832688</v>
      </c>
      <c r="K2" s="10">
        <f t="array" ref="K2:K472">(O1-indirect("J2:J"&amp;counta(A:A)))*indirect("C2:C"&amp;counta(A:A))/9</f>
        <v>8.267651516</v>
      </c>
      <c r="L2" s="10">
        <f t="array" ref="L2:L472">(O1-indirect("I2:I"&amp;counta(A:A)))*indirect("C2:C"&amp;counta(A:A))/9</f>
        <v>12.24192722</v>
      </c>
      <c r="N2" s="1" t="s">
        <v>15</v>
      </c>
      <c r="O2" s="11">
        <f>O1/4.4*5.63</f>
        <v>5.194954545</v>
      </c>
      <c r="Q2" s="10" t="s">
        <v>16</v>
      </c>
      <c r="R2" s="1" t="s">
        <v>17</v>
      </c>
      <c r="S2" s="12"/>
      <c r="T2" s="13" t="s">
        <v>18</v>
      </c>
      <c r="U2" s="14"/>
      <c r="V2" s="15"/>
      <c r="W2" s="16" t="s">
        <v>19</v>
      </c>
      <c r="X2" s="14"/>
      <c r="Y2" s="12"/>
    </row>
    <row r="3">
      <c r="A3" s="1" t="s">
        <v>20</v>
      </c>
      <c r="B3" s="1" t="s">
        <v>21</v>
      </c>
      <c r="C3" s="1">
        <v>77.1</v>
      </c>
      <c r="D3" s="3">
        <v>1.978448406</v>
      </c>
      <c r="E3" s="3">
        <v>2.667309392</v>
      </c>
      <c r="F3" s="1">
        <v>643511.0</v>
      </c>
      <c r="G3" s="9">
        <f t="shared" si="1"/>
        <v>77.33333333</v>
      </c>
      <c r="H3" s="10" t="str">
        <f>IFERROR(__xludf.DUMMYFUNCTION("if(B3=""- - -"",""Trade"",filter(R:R,Q:Q=B3))"),"Trade")</f>
        <v>Trade</v>
      </c>
      <c r="I3" s="11">
        <f t="array" ref="I3">index('PLV (min 500)'!F:F,match(F3,'PLV (min 500)'!B:B,0))</f>
        <v>1.871399677</v>
      </c>
      <c r="J3" s="10">
        <v>2.1723858249188015</v>
      </c>
      <c r="K3" s="10">
        <v>16.170561433195598</v>
      </c>
      <c r="L3" s="10">
        <v>18.749009435786803</v>
      </c>
      <c r="Q3" s="10" t="s">
        <v>22</v>
      </c>
      <c r="R3" s="1" t="s">
        <v>17</v>
      </c>
      <c r="S3" s="12"/>
      <c r="T3" s="17" t="s">
        <v>23</v>
      </c>
      <c r="U3" s="18" t="s">
        <v>10</v>
      </c>
      <c r="V3" s="19"/>
      <c r="W3" s="17" t="s">
        <v>23</v>
      </c>
      <c r="X3" s="18" t="s">
        <v>10</v>
      </c>
      <c r="Y3" s="12"/>
    </row>
    <row r="4">
      <c r="A4" s="1" t="s">
        <v>24</v>
      </c>
      <c r="B4" s="1" t="s">
        <v>25</v>
      </c>
      <c r="C4" s="1">
        <v>63.2</v>
      </c>
      <c r="D4" s="3">
        <v>3.958115579</v>
      </c>
      <c r="E4" s="3">
        <v>3.601541603</v>
      </c>
      <c r="F4" s="1">
        <v>672282.0</v>
      </c>
      <c r="G4" s="9">
        <f t="shared" si="1"/>
        <v>63.66666667</v>
      </c>
      <c r="H4" s="10" t="str">
        <f>IFERROR(__xludf.DUMMYFUNCTION("if(B4=""- - -"",""Trade"",filter(R:R,Q:Q=B4))"),"AL")</f>
        <v>AL</v>
      </c>
      <c r="I4" s="11">
        <f t="array" ref="I4">index('PLV (min 500)'!F:F,match(F4,'PLV (min 500)'!B:B,0))</f>
        <v>1.908388555</v>
      </c>
      <c r="J4" s="10">
        <v>3.1560152456745936</v>
      </c>
      <c r="K4" s="10">
        <v>6.347981830373963</v>
      </c>
      <c r="L4" s="10">
        <v>15.109093702499678</v>
      </c>
      <c r="Q4" s="10" t="s">
        <v>26</v>
      </c>
      <c r="R4" s="1" t="s">
        <v>27</v>
      </c>
      <c r="S4" s="12"/>
      <c r="T4" s="20" t="str">
        <f>IFERROR(__xludf.DUMMYFUNCTION("sortn(filter({A:A,K:K},H:H=""AL"",not(ISNA(K:K))),5,,2,0)"),"Tarik Skubal")</f>
        <v>Tarik Skubal</v>
      </c>
      <c r="U4" s="21">
        <f>IFERROR(__xludf.DUMMYFUNCTION("""COMPUTED_VALUE"""),34.4984500233132)</f>
        <v>34.49845002</v>
      </c>
      <c r="V4" s="12"/>
      <c r="W4" s="20" t="str">
        <f>IFERROR(__xludf.DUMMYFUNCTION("sortn(filter({A:A,K:K},H:H=""NL"",not(ISNA(K:K))),5,,2,0)"),"Paul Skenes")</f>
        <v>Paul Skenes</v>
      </c>
      <c r="X4" s="21">
        <f>IFERROR(__xludf.DUMMYFUNCTION("""COMPUTED_VALUE"""),34.903760145242614)</f>
        <v>34.90376015</v>
      </c>
      <c r="Y4" s="12"/>
    </row>
    <row r="5">
      <c r="A5" s="1" t="s">
        <v>28</v>
      </c>
      <c r="B5" s="1" t="s">
        <v>21</v>
      </c>
      <c r="C5" s="1">
        <v>66.0</v>
      </c>
      <c r="D5" s="3">
        <v>4.227273216</v>
      </c>
      <c r="E5" s="3">
        <v>3.250700137</v>
      </c>
      <c r="F5" s="1">
        <v>643377.0</v>
      </c>
      <c r="G5" s="9">
        <f t="shared" si="1"/>
        <v>66</v>
      </c>
      <c r="H5" s="10" t="str">
        <f>IFERROR(__xludf.DUMMYFUNCTION("if(B5=""- - -"",""Trade"",filter(R:R,Q:Q=B5))"),"Trade")</f>
        <v>Trade</v>
      </c>
      <c r="I5" s="11">
        <f t="array" ref="I5">index('PLV (min 500)'!F:F,match(F5,'PLV (min 500)'!B:B,0))</f>
        <v>1.9745295</v>
      </c>
      <c r="J5" s="10">
        <v>3.1508342843632504</v>
      </c>
      <c r="K5" s="10">
        <v>6.667215248002828</v>
      </c>
      <c r="L5" s="10">
        <v>15.293450332675157</v>
      </c>
      <c r="Q5" s="10" t="s">
        <v>29</v>
      </c>
      <c r="R5" s="1" t="s">
        <v>17</v>
      </c>
      <c r="S5" s="12"/>
      <c r="T5" s="22" t="str">
        <f>IFERROR(__xludf.DUMMYFUNCTION("""COMPUTED_VALUE"""),"Garrett Crochet")</f>
        <v>Garrett Crochet</v>
      </c>
      <c r="U5" s="23">
        <f>IFERROR(__xludf.DUMMYFUNCTION("""COMPUTED_VALUE"""),31.129028020669427)</f>
        <v>31.12902802</v>
      </c>
      <c r="V5" s="12"/>
      <c r="W5" s="22" t="str">
        <f>IFERROR(__xludf.DUMMYFUNCTION("""COMPUTED_VALUE"""),"Cristopher Sánchez")</f>
        <v>Cristopher Sánchez</v>
      </c>
      <c r="X5" s="23">
        <f>IFERROR(__xludf.DUMMYFUNCTION("""COMPUTED_VALUE"""),33.33103390183877)</f>
        <v>33.3310339</v>
      </c>
      <c r="Y5" s="12"/>
    </row>
    <row r="6">
      <c r="A6" s="1" t="s">
        <v>30</v>
      </c>
      <c r="B6" s="1" t="s">
        <v>31</v>
      </c>
      <c r="C6" s="1">
        <v>50.2</v>
      </c>
      <c r="D6" s="3">
        <v>1.776316012</v>
      </c>
      <c r="E6" s="3">
        <v>2.556853785</v>
      </c>
      <c r="F6" s="1">
        <v>678495.0</v>
      </c>
      <c r="G6" s="9">
        <f t="shared" si="1"/>
        <v>50.66666667</v>
      </c>
      <c r="H6" s="10" t="str">
        <f>IFERROR(__xludf.DUMMYFUNCTION("if(B6=""- - -"",""Trade"",filter(R:R,Q:Q=B6))"),"NL")</f>
        <v>NL</v>
      </c>
      <c r="I6" s="11">
        <f t="array" ref="I6">index('PLV (min 500)'!F:F,match(F6,'PLV (min 500)'!B:B,0))</f>
        <v>2.036375349</v>
      </c>
      <c r="J6" s="10">
        <v>2.123181715317385</v>
      </c>
      <c r="K6" s="10">
        <v>10.80314198789636</v>
      </c>
      <c r="L6" s="10">
        <v>11.28732860917798</v>
      </c>
      <c r="Q6" s="10" t="s">
        <v>14</v>
      </c>
      <c r="R6" s="1" t="s">
        <v>27</v>
      </c>
      <c r="S6" s="12"/>
      <c r="T6" s="22" t="str">
        <f>IFERROR(__xludf.DUMMYFUNCTION("""COMPUTED_VALUE"""),"Bryan Woo")</f>
        <v>Bryan Woo</v>
      </c>
      <c r="U6" s="23">
        <f>IFERROR(__xludf.DUMMYFUNCTION("""COMPUTED_VALUE"""),25.02131096955754)</f>
        <v>25.02131097</v>
      </c>
      <c r="V6" s="12"/>
      <c r="W6" s="22" t="str">
        <f>IFERROR(__xludf.DUMMYFUNCTION("""COMPUTED_VALUE"""),"Yoshinobu Yamamoto")</f>
        <v>Yoshinobu Yamamoto</v>
      </c>
      <c r="X6" s="23">
        <f>IFERROR(__xludf.DUMMYFUNCTION("""COMPUTED_VALUE"""),28.694739590735324)</f>
        <v>28.69473959</v>
      </c>
      <c r="Y6" s="12"/>
    </row>
    <row r="7">
      <c r="A7" s="1" t="s">
        <v>32</v>
      </c>
      <c r="B7" s="1" t="s">
        <v>33</v>
      </c>
      <c r="C7" s="1">
        <v>57.0</v>
      </c>
      <c r="D7" s="3">
        <v>4.736842739</v>
      </c>
      <c r="E7" s="3">
        <v>4.177118439</v>
      </c>
      <c r="F7" s="1">
        <v>656945.0</v>
      </c>
      <c r="G7" s="9">
        <f t="shared" si="1"/>
        <v>57</v>
      </c>
      <c r="H7" s="10" t="str">
        <f>IFERROR(__xludf.DUMMYFUNCTION("if(B7=""- - -"",""Trade"",filter(R:R,Q:Q=B7))"),"NL")</f>
        <v>NL</v>
      </c>
      <c r="I7" s="11">
        <f t="array" ref="I7">index('PLV (min 500)'!F:F,match(F7,'PLV (min 500)'!B:B,0))</f>
        <v>2.129288053</v>
      </c>
      <c r="J7" s="10">
        <v>3.6810830769270013</v>
      </c>
      <c r="K7" s="10">
        <v>2.399807179462323</v>
      </c>
      <c r="L7" s="10">
        <v>12.227842332386981</v>
      </c>
      <c r="Q7" s="10" t="s">
        <v>34</v>
      </c>
      <c r="R7" s="1" t="s">
        <v>27</v>
      </c>
      <c r="S7" s="12"/>
      <c r="T7" s="22" t="str">
        <f>IFERROR(__xludf.DUMMYFUNCTION("""COMPUTED_VALUE"""),"Nathan Eovaldi")</f>
        <v>Nathan Eovaldi</v>
      </c>
      <c r="U7" s="23">
        <f>IFERROR(__xludf.DUMMYFUNCTION("""COMPUTED_VALUE"""),22.944523322296547)</f>
        <v>22.94452332</v>
      </c>
      <c r="V7" s="12"/>
      <c r="W7" s="22" t="str">
        <f>IFERROR(__xludf.DUMMYFUNCTION("""COMPUTED_VALUE"""),"Zack Wheeler")</f>
        <v>Zack Wheeler</v>
      </c>
      <c r="X7" s="23">
        <f>IFERROR(__xludf.DUMMYFUNCTION("""COMPUTED_VALUE"""),25.066626136302208)</f>
        <v>25.06662614</v>
      </c>
      <c r="Y7" s="12"/>
    </row>
    <row r="8">
      <c r="A8" s="1" t="s">
        <v>35</v>
      </c>
      <c r="B8" s="1" t="s">
        <v>36</v>
      </c>
      <c r="C8" s="1">
        <v>110.0</v>
      </c>
      <c r="D8" s="3">
        <v>4.17272749</v>
      </c>
      <c r="E8" s="3">
        <v>4.436317014</v>
      </c>
      <c r="F8" s="1">
        <v>676083.0</v>
      </c>
      <c r="G8" s="9">
        <f t="shared" si="1"/>
        <v>110</v>
      </c>
      <c r="H8" s="10" t="str">
        <f>IFERROR(__xludf.DUMMYFUNCTION("if(B8=""- - -"",""Trade"",filter(R:R,Q:Q=B8))"),"NL")</f>
        <v>NL</v>
      </c>
      <c r="I8" s="11">
        <f t="array" ref="I8">index('PLV (min 500)'!F:F,match(F8,'PLV (min 500)'!B:B,0))</f>
        <v>2.187423082</v>
      </c>
      <c r="J8" s="10">
        <v>3.5988225286458317</v>
      </c>
      <c r="K8" s="10">
        <v>5.636613538773163</v>
      </c>
      <c r="L8" s="10">
        <v>22.88705122076393</v>
      </c>
      <c r="Q8" s="10" t="s">
        <v>37</v>
      </c>
      <c r="R8" s="1" t="s">
        <v>17</v>
      </c>
      <c r="S8" s="12"/>
      <c r="T8" s="24" t="str">
        <f>IFERROR(__xludf.DUMMYFUNCTION("""COMPUTED_VALUE"""),"Max Fried")</f>
        <v>Max Fried</v>
      </c>
      <c r="U8" s="25">
        <f>IFERROR(__xludf.DUMMYFUNCTION("""COMPUTED_VALUE"""),22.393979989078076)</f>
        <v>22.39397999</v>
      </c>
      <c r="V8" s="12"/>
      <c r="W8" s="24" t="str">
        <f>IFERROR(__xludf.DUMMYFUNCTION("""COMPUTED_VALUE"""),"Logan Webb")</f>
        <v>Logan Webb</v>
      </c>
      <c r="X8" s="25">
        <f>IFERROR(__xludf.DUMMYFUNCTION("""COMPUTED_VALUE"""),22.4462049195448)</f>
        <v>22.44620492</v>
      </c>
      <c r="Y8" s="12"/>
    </row>
    <row r="9">
      <c r="A9" s="1" t="s">
        <v>38</v>
      </c>
      <c r="B9" s="1" t="s">
        <v>39</v>
      </c>
      <c r="C9" s="1">
        <v>71.2</v>
      </c>
      <c r="D9" s="3">
        <v>3.013954157</v>
      </c>
      <c r="E9" s="3">
        <v>2.632446781</v>
      </c>
      <c r="F9" s="1">
        <v>595345.0</v>
      </c>
      <c r="G9" s="9">
        <f t="shared" si="1"/>
        <v>71.66666667</v>
      </c>
      <c r="H9" s="10" t="str">
        <f>IFERROR(__xludf.DUMMYFUNCTION("if(B9=""- - -"",""Trade"",filter(R:R,Q:Q=B9))"),"AL")</f>
        <v>AL</v>
      </c>
      <c r="I9" s="11">
        <f t="array" ref="I9">index('PLV (min 500)'!F:F,match(F9,'PLV (min 500)'!B:B,0))</f>
        <v>2.192144191</v>
      </c>
      <c r="J9" s="10">
        <v>2.6128483762087673</v>
      </c>
      <c r="K9" s="10">
        <v>11.448577290437306</v>
      </c>
      <c r="L9" s="10">
        <v>14.776814847489694</v>
      </c>
      <c r="Q9" s="10" t="s">
        <v>40</v>
      </c>
      <c r="R9" s="1" t="s">
        <v>17</v>
      </c>
      <c r="S9" s="26"/>
      <c r="T9" s="5"/>
      <c r="U9" s="6"/>
      <c r="V9" s="27"/>
      <c r="W9" s="5"/>
      <c r="X9" s="6"/>
      <c r="Y9" s="28"/>
    </row>
    <row r="10">
      <c r="A10" s="1" t="s">
        <v>41</v>
      </c>
      <c r="B10" s="1" t="s">
        <v>22</v>
      </c>
      <c r="C10" s="1">
        <v>61.1</v>
      </c>
      <c r="D10" s="3">
        <v>1.173913141</v>
      </c>
      <c r="E10" s="3">
        <v>2.060281596</v>
      </c>
      <c r="F10" s="1">
        <v>547973.0</v>
      </c>
      <c r="G10" s="9">
        <f t="shared" si="1"/>
        <v>61.33333333</v>
      </c>
      <c r="H10" s="10" t="str">
        <f>IFERROR(__xludf.DUMMYFUNCTION("if(B10=""- - -"",""Trade"",filter(R:R,Q:Q=B10))"),"AL")</f>
        <v>AL</v>
      </c>
      <c r="I10" s="11">
        <f t="array" ref="I10">index('PLV (min 500)'!F:F,match(F10,'PLV (min 500)'!B:B,0))</f>
        <v>2.202631973</v>
      </c>
      <c r="J10" s="10">
        <v>1.8122755700417859</v>
      </c>
      <c r="K10" s="10">
        <v>15.259551407827429</v>
      </c>
      <c r="L10" s="10">
        <v>12.609465160226735</v>
      </c>
      <c r="Q10" s="10" t="s">
        <v>39</v>
      </c>
      <c r="R10" s="1" t="s">
        <v>17</v>
      </c>
      <c r="S10" s="12"/>
      <c r="T10" s="13" t="s">
        <v>42</v>
      </c>
      <c r="U10" s="14"/>
      <c r="V10" s="15"/>
      <c r="W10" s="16" t="s">
        <v>43</v>
      </c>
      <c r="X10" s="14"/>
      <c r="Y10" s="12"/>
    </row>
    <row r="11">
      <c r="A11" s="1" t="s">
        <v>44</v>
      </c>
      <c r="B11" s="1" t="s">
        <v>45</v>
      </c>
      <c r="C11" s="1">
        <v>202.0</v>
      </c>
      <c r="D11" s="3">
        <v>2.495049505</v>
      </c>
      <c r="E11" s="3">
        <v>3.023914929</v>
      </c>
      <c r="F11" s="1">
        <v>650911.0</v>
      </c>
      <c r="G11" s="9">
        <f t="shared" si="1"/>
        <v>202</v>
      </c>
      <c r="H11" s="10" t="str">
        <f>IFERROR(__xludf.DUMMYFUNCTION("if(B11=""- - -"",""Trade"",filter(R:R,Q:Q=B11))"),"NL")</f>
        <v>NL</v>
      </c>
      <c r="I11" s="11">
        <f t="array" ref="I11">index('PLV (min 500)'!F:F,match(F11,'PLV (min 500)'!B:B,0))</f>
        <v>2.205897371</v>
      </c>
      <c r="J11" s="10">
        <v>2.574953935066589</v>
      </c>
      <c r="K11" s="10">
        <v>33.33103390183877</v>
      </c>
      <c r="L11" s="10">
        <v>41.61430344640524</v>
      </c>
      <c r="Q11" s="10" t="s">
        <v>46</v>
      </c>
      <c r="R11" s="1" t="s">
        <v>27</v>
      </c>
      <c r="S11" s="12"/>
      <c r="T11" s="17" t="s">
        <v>23</v>
      </c>
      <c r="U11" s="18" t="s">
        <v>10</v>
      </c>
      <c r="V11" s="19"/>
      <c r="W11" s="17" t="s">
        <v>23</v>
      </c>
      <c r="X11" s="18" t="s">
        <v>10</v>
      </c>
      <c r="Y11" s="12"/>
    </row>
    <row r="12">
      <c r="A12" s="1" t="s">
        <v>47</v>
      </c>
      <c r="B12" s="1" t="s">
        <v>21</v>
      </c>
      <c r="C12" s="1">
        <v>72.2</v>
      </c>
      <c r="D12" s="3">
        <v>2.97247748</v>
      </c>
      <c r="E12" s="3">
        <v>3.999283276</v>
      </c>
      <c r="F12" s="1">
        <v>686973.0</v>
      </c>
      <c r="G12" s="9">
        <f t="shared" si="1"/>
        <v>72.66666667</v>
      </c>
      <c r="H12" s="10" t="str">
        <f>IFERROR(__xludf.DUMMYFUNCTION("if(B12=""- - -"",""Trade"",filter(R:R,Q:Q=B12))"),"Trade")</f>
        <v>Trade</v>
      </c>
      <c r="I12" s="11">
        <f t="array" ref="I12">index('PLV (min 500)'!F:F,match(F12,'PLV (min 500)'!B:B,0))</f>
        <v>2.212189885</v>
      </c>
      <c r="J12" s="10">
        <v>3.0613168803760984</v>
      </c>
      <c r="K12" s="10">
        <v>8.011657915205074</v>
      </c>
      <c r="L12" s="10">
        <v>14.823543365970782</v>
      </c>
      <c r="Q12" s="10" t="s">
        <v>45</v>
      </c>
      <c r="R12" s="1" t="s">
        <v>27</v>
      </c>
      <c r="S12" s="12"/>
      <c r="T12" s="20" t="str">
        <f>IFERROR(__xludf.DUMMYFUNCTION("sortn(filter({A:A,L:L},H:H=""AL"",not(ISNA(L:L))),5,,2,0)"),"Tarik Skubal")</f>
        <v>Tarik Skubal</v>
      </c>
      <c r="U12" s="21">
        <f>IFERROR(__xludf.DUMMYFUNCTION("""COMPUTED_VALUE"""),34.16875430871739)</f>
        <v>34.16875431</v>
      </c>
      <c r="V12" s="12"/>
      <c r="W12" s="20" t="str">
        <f>IFERROR(__xludf.DUMMYFUNCTION("sortn(filter({A:A,L:L},H:H=""NL"",not(ISNA(L:L))),5,,2,0)"),"Cristopher Sánchez")</f>
        <v>Cristopher Sánchez</v>
      </c>
      <c r="X12" s="21">
        <f>IFERROR(__xludf.DUMMYFUNCTION("""COMPUTED_VALUE"""),41.61430344640524)</f>
        <v>41.61430345</v>
      </c>
      <c r="Y12" s="12"/>
    </row>
    <row r="13">
      <c r="A13" s="1" t="s">
        <v>48</v>
      </c>
      <c r="B13" s="1" t="s">
        <v>21</v>
      </c>
      <c r="C13" s="1">
        <v>53.0</v>
      </c>
      <c r="D13" s="3">
        <v>3.396226782</v>
      </c>
      <c r="E13" s="3">
        <v>2.777911647</v>
      </c>
      <c r="F13" s="1">
        <v>552640.0</v>
      </c>
      <c r="G13" s="9">
        <f t="shared" si="1"/>
        <v>53</v>
      </c>
      <c r="H13" s="10" t="str">
        <f>IFERROR(__xludf.DUMMYFUNCTION("if(B13=""- - -"",""Trade"",filter(R:R,Q:Q=B13))"),"Trade")</f>
        <v>Trade</v>
      </c>
      <c r="I13" s="11">
        <f t="array" ref="I13">index('PLV (min 500)'!F:F,match(F13,'PLV (min 500)'!B:B,0))</f>
        <v>2.26751383</v>
      </c>
      <c r="J13" s="10">
        <v>2.8138840863391814</v>
      </c>
      <c r="K13" s="10">
        <v>7.338238158224818</v>
      </c>
      <c r="L13" s="10">
        <v>10.555751889896673</v>
      </c>
      <c r="Q13" s="10" t="s">
        <v>31</v>
      </c>
      <c r="R13" s="1" t="s">
        <v>27</v>
      </c>
      <c r="S13" s="12"/>
      <c r="T13" s="22" t="str">
        <f>IFERROR(__xludf.DUMMYFUNCTION("""COMPUTED_VALUE"""),"Garrett Crochet")</f>
        <v>Garrett Crochet</v>
      </c>
      <c r="U13" s="23">
        <f>IFERROR(__xludf.DUMMYFUNCTION("""COMPUTED_VALUE"""),32.909136854941636)</f>
        <v>32.90913685</v>
      </c>
      <c r="V13" s="12"/>
      <c r="W13" s="22" t="str">
        <f>IFERROR(__xludf.DUMMYFUNCTION("""COMPUTED_VALUE"""),"Logan Webb")</f>
        <v>Logan Webb</v>
      </c>
      <c r="X13" s="23">
        <f>IFERROR(__xludf.DUMMYFUNCTION("""COMPUTED_VALUE"""),36.99172800163443)</f>
        <v>36.991728</v>
      </c>
      <c r="Y13" s="12"/>
    </row>
    <row r="14">
      <c r="A14" s="1" t="s">
        <v>49</v>
      </c>
      <c r="B14" s="1" t="s">
        <v>26</v>
      </c>
      <c r="C14" s="1">
        <v>73.2</v>
      </c>
      <c r="D14" s="3">
        <v>2.076923579</v>
      </c>
      <c r="E14" s="3">
        <v>2.632385532</v>
      </c>
      <c r="F14" s="1">
        <v>670970.0</v>
      </c>
      <c r="G14" s="9">
        <f t="shared" si="1"/>
        <v>73.66666667</v>
      </c>
      <c r="H14" s="10" t="str">
        <f>IFERROR(__xludf.DUMMYFUNCTION("if(B14=""- - -"",""Trade"",filter(R:R,Q:Q=B14))"),"NL")</f>
        <v>NL</v>
      </c>
      <c r="I14" s="11">
        <f t="array" ref="I14">index('PLV (min 500)'!F:F,match(F14,'PLV (min 500)'!B:B,0))</f>
        <v>2.28510786</v>
      </c>
      <c r="J14" s="10">
        <v>2.331472323655441</v>
      </c>
      <c r="K14" s="10">
        <v>14.058691767602411</v>
      </c>
      <c r="L14" s="10">
        <v>14.435789405607238</v>
      </c>
      <c r="Q14" s="10" t="s">
        <v>25</v>
      </c>
      <c r="R14" s="1" t="s">
        <v>17</v>
      </c>
      <c r="S14" s="12"/>
      <c r="T14" s="22" t="str">
        <f>IFERROR(__xludf.DUMMYFUNCTION("""COMPUTED_VALUE"""),"Jacob deGrom")</f>
        <v>Jacob deGrom</v>
      </c>
      <c r="U14" s="23">
        <f>IFERROR(__xludf.DUMMYFUNCTION("""COMPUTED_VALUE"""),32.83847469532234)</f>
        <v>32.8384747</v>
      </c>
      <c r="V14" s="12"/>
      <c r="W14" s="22" t="str">
        <f>IFERROR(__xludf.DUMMYFUNCTION("""COMPUTED_VALUE"""),"Paul Skenes")</f>
        <v>Paul Skenes</v>
      </c>
      <c r="X14" s="23">
        <f>IFERROR(__xludf.DUMMYFUNCTION("""COMPUTED_VALUE"""),31.88381208052784)</f>
        <v>31.88381208</v>
      </c>
      <c r="Y14" s="12"/>
    </row>
    <row r="15">
      <c r="A15" s="1" t="s">
        <v>50</v>
      </c>
      <c r="B15" s="1" t="s">
        <v>51</v>
      </c>
      <c r="C15" s="1">
        <v>37.0</v>
      </c>
      <c r="D15" s="3">
        <v>3.648649401</v>
      </c>
      <c r="E15" s="3">
        <v>4.534288001</v>
      </c>
      <c r="F15" s="1">
        <v>668820.0</v>
      </c>
      <c r="G15" s="9">
        <f t="shared" si="1"/>
        <v>37</v>
      </c>
      <c r="H15" s="10" t="str">
        <f>IFERROR(__xludf.DUMMYFUNCTION("if(B15=""- - -"",""Trade"",filter(R:R,Q:Q=B15))"),"NL")</f>
        <v>NL</v>
      </c>
      <c r="I15" s="11">
        <f t="array" ref="I15">index('PLV (min 500)'!F:F,match(F15,'PLV (min 500)'!B:B,0))</f>
        <v>2.323614162</v>
      </c>
      <c r="J15" s="10">
        <v>3.502183854678854</v>
      </c>
      <c r="K15" s="10">
        <v>2.293244152986932</v>
      </c>
      <c r="L15" s="10">
        <v>7.13847511162747</v>
      </c>
      <c r="Q15" s="10" t="s">
        <v>52</v>
      </c>
      <c r="R15" s="1" t="s">
        <v>17</v>
      </c>
      <c r="S15" s="12"/>
      <c r="T15" s="22" t="str">
        <f>IFERROR(__xludf.DUMMYFUNCTION("""COMPUTED_VALUE"""),"Bryan Woo")</f>
        <v>Bryan Woo</v>
      </c>
      <c r="U15" s="23">
        <f>IFERROR(__xludf.DUMMYFUNCTION("""COMPUTED_VALUE"""),31.433001956517064)</f>
        <v>31.43300196</v>
      </c>
      <c r="V15" s="12"/>
      <c r="W15" s="22" t="str">
        <f>IFERROR(__xludf.DUMMYFUNCTION("""COMPUTED_VALUE"""),"Yoshinobu Yamamoto")</f>
        <v>Yoshinobu Yamamoto</v>
      </c>
      <c r="X15" s="23">
        <f>IFERROR(__xludf.DUMMYFUNCTION("""COMPUTED_VALUE"""),30.104188827183748)</f>
        <v>30.10418883</v>
      </c>
      <c r="Y15" s="12"/>
    </row>
    <row r="16">
      <c r="A16" s="1" t="s">
        <v>53</v>
      </c>
      <c r="B16" s="1" t="s">
        <v>37</v>
      </c>
      <c r="C16" s="1">
        <v>62.0</v>
      </c>
      <c r="D16" s="3">
        <v>2.61290403</v>
      </c>
      <c r="E16" s="3">
        <v>2.487513483</v>
      </c>
      <c r="F16" s="1">
        <v>642100.0</v>
      </c>
      <c r="G16" s="9">
        <f t="shared" si="1"/>
        <v>62</v>
      </c>
      <c r="H16" s="10" t="str">
        <f>IFERROR(__xludf.DUMMYFUNCTION("if(B16=""- - -"",""Trade"",filter(R:R,Q:Q=B16))"),"AL")</f>
        <v>AL</v>
      </c>
      <c r="I16" s="11">
        <f t="array" ref="I16">index('PLV (min 500)'!F:F,match(F16,'PLV (min 500)'!B:B,0))</f>
        <v>2.343137371</v>
      </c>
      <c r="J16" s="10">
        <v>2.481184961272191</v>
      </c>
      <c r="K16" s="10">
        <v>10.87628137790268</v>
      </c>
      <c r="L16" s="10">
        <v>11.827275889930279</v>
      </c>
      <c r="Q16" s="10" t="s">
        <v>54</v>
      </c>
      <c r="R16" s="1" t="s">
        <v>17</v>
      </c>
      <c r="S16" s="12"/>
      <c r="T16" s="24" t="str">
        <f>IFERROR(__xludf.DUMMYFUNCTION("""COMPUTED_VALUE"""),"Framber Valdez")</f>
        <v>Framber Valdez</v>
      </c>
      <c r="U16" s="25">
        <f>IFERROR(__xludf.DUMMYFUNCTION("""COMPUTED_VALUE"""),29.86511333569784)</f>
        <v>29.86511334</v>
      </c>
      <c r="V16" s="12"/>
      <c r="W16" s="24" t="str">
        <f>IFERROR(__xludf.DUMMYFUNCTION("""COMPUTED_VALUE"""),"Sonny Gray")</f>
        <v>Sonny Gray</v>
      </c>
      <c r="X16" s="25">
        <f>IFERROR(__xludf.DUMMYFUNCTION("""COMPUTED_VALUE"""),29.75378191844148)</f>
        <v>29.75378192</v>
      </c>
      <c r="Y16" s="12"/>
    </row>
    <row r="17">
      <c r="A17" s="1" t="s">
        <v>55</v>
      </c>
      <c r="B17" s="1" t="s">
        <v>56</v>
      </c>
      <c r="C17" s="1">
        <v>86.2</v>
      </c>
      <c r="D17" s="3">
        <v>2.180769295</v>
      </c>
      <c r="E17" s="3">
        <v>4.226315369</v>
      </c>
      <c r="F17" s="1">
        <v>641816.0</v>
      </c>
      <c r="G17" s="9">
        <f t="shared" si="1"/>
        <v>86.66666667</v>
      </c>
      <c r="H17" s="10" t="str">
        <f>IFERROR(__xludf.DUMMYFUNCTION("if(B17=""- - -"",""Trade"",filter(R:R,Q:Q=B17))"),"AL")</f>
        <v>AL</v>
      </c>
      <c r="I17" s="11">
        <f t="array" ref="I17">index('PLV (min 500)'!F:F,match(F17,'PLV (min 500)'!B:B,0))</f>
        <v>2.343138507</v>
      </c>
      <c r="J17" s="10">
        <v>2.9167410571646806</v>
      </c>
      <c r="K17" s="10">
        <v>10.949880096933834</v>
      </c>
      <c r="L17" s="10">
        <v>16.44371785044595</v>
      </c>
      <c r="Q17" s="10" t="s">
        <v>33</v>
      </c>
      <c r="R17" s="1" t="s">
        <v>27</v>
      </c>
      <c r="S17" s="29"/>
      <c r="T17" s="5"/>
      <c r="U17" s="6"/>
      <c r="V17" s="30"/>
      <c r="W17" s="5"/>
      <c r="X17" s="6"/>
      <c r="Y17" s="31"/>
    </row>
    <row r="18">
      <c r="A18" s="1" t="s">
        <v>57</v>
      </c>
      <c r="B18" s="1" t="s">
        <v>56</v>
      </c>
      <c r="C18" s="1">
        <v>172.2</v>
      </c>
      <c r="D18" s="3">
        <v>2.971042646</v>
      </c>
      <c r="E18" s="3">
        <v>3.356782055</v>
      </c>
      <c r="F18" s="1">
        <v>594798.0</v>
      </c>
      <c r="G18" s="9">
        <f t="shared" si="1"/>
        <v>172.6666667</v>
      </c>
      <c r="H18" s="10" t="str">
        <f>IFERROR(__xludf.DUMMYFUNCTION("if(B18=""- - -"",""Trade"",filter(R:R,Q:Q=B18))"),"AL")</f>
        <v>AL</v>
      </c>
      <c r="I18" s="11">
        <f t="array" ref="I18">index('PLV (min 500)'!F:F,match(F18,'PLV (min 500)'!B:B,0))</f>
        <v>2.343703413</v>
      </c>
      <c r="J18" s="10">
        <v>2.890509371378821</v>
      </c>
      <c r="K18" s="10">
        <v>22.376254027618554</v>
      </c>
      <c r="L18" s="10">
        <v>32.83847469532234</v>
      </c>
      <c r="Q18" s="10" t="s">
        <v>58</v>
      </c>
      <c r="R18" s="1" t="s">
        <v>17</v>
      </c>
      <c r="U18" s="9"/>
      <c r="X18" s="9"/>
    </row>
    <row r="19">
      <c r="A19" s="1" t="s">
        <v>59</v>
      </c>
      <c r="B19" s="1" t="s">
        <v>39</v>
      </c>
      <c r="C19" s="1">
        <v>52.2</v>
      </c>
      <c r="D19" s="3">
        <v>2.05063301</v>
      </c>
      <c r="E19" s="3">
        <v>1.995807119</v>
      </c>
      <c r="F19" s="1">
        <v>623352.0</v>
      </c>
      <c r="G19" s="9">
        <f t="shared" si="1"/>
        <v>52.66666667</v>
      </c>
      <c r="H19" s="10" t="str">
        <f>IFERROR(__xludf.DUMMYFUNCTION("if(B19=""- - -"",""Trade"",filter(R:R,Q:Q=B19))"),"AL")</f>
        <v>AL</v>
      </c>
      <c r="I19" s="11">
        <f t="array" ref="I19">index('PLV (min 500)'!F:F,match(F19,'PLV (min 500)'!B:B,0))</f>
        <v>2.368545608</v>
      </c>
      <c r="J19" s="10">
        <v>2.1383285788899635</v>
      </c>
      <c r="K19" s="10">
        <v>11.14569424243821</v>
      </c>
      <c r="L19" s="10">
        <v>9.81043547551463</v>
      </c>
      <c r="Q19" s="10" t="s">
        <v>60</v>
      </c>
      <c r="R19" s="1" t="s">
        <v>27</v>
      </c>
      <c r="U19" s="9"/>
      <c r="X19" s="9"/>
    </row>
    <row r="20">
      <c r="A20" s="1" t="s">
        <v>61</v>
      </c>
      <c r="B20" s="1" t="s">
        <v>36</v>
      </c>
      <c r="C20" s="1">
        <v>77.2</v>
      </c>
      <c r="D20" s="3">
        <v>2.781116176</v>
      </c>
      <c r="E20" s="3">
        <v>3.644559912</v>
      </c>
      <c r="F20" s="1">
        <v>663969.0</v>
      </c>
      <c r="G20" s="9">
        <f t="shared" si="1"/>
        <v>77.66666667</v>
      </c>
      <c r="H20" s="10" t="str">
        <f>IFERROR(__xludf.DUMMYFUNCTION("if(B20=""- - -"",""Trade"",filter(R:R,Q:Q=B20))"),"NL")</f>
        <v>NL</v>
      </c>
      <c r="I20" s="11">
        <f t="array" ref="I20">index('PLV (min 500)'!F:F,match(F20,'PLV (min 500)'!B:B,0))</f>
        <v>2.375810768</v>
      </c>
      <c r="J20" s="10">
        <v>2.933828952076716</v>
      </c>
      <c r="K20" s="10">
        <v>9.660044988853057</v>
      </c>
      <c r="L20" s="10">
        <v>14.44660096584807</v>
      </c>
      <c r="Q20" s="10" t="s">
        <v>62</v>
      </c>
      <c r="R20" s="1" t="s">
        <v>17</v>
      </c>
      <c r="U20" s="9"/>
      <c r="X20" s="9"/>
    </row>
    <row r="21">
      <c r="A21" s="1" t="s">
        <v>63</v>
      </c>
      <c r="B21" s="1" t="s">
        <v>39</v>
      </c>
      <c r="C21" s="1">
        <v>53.2</v>
      </c>
      <c r="D21" s="3">
        <v>3.354037426</v>
      </c>
      <c r="E21" s="3">
        <v>3.253160366</v>
      </c>
      <c r="F21" s="1">
        <v>687888.0</v>
      </c>
      <c r="G21" s="9">
        <f t="shared" si="1"/>
        <v>53.66666667</v>
      </c>
      <c r="H21" s="10" t="str">
        <f>IFERROR(__xludf.DUMMYFUNCTION("if(B21=""- - -"",""Trade"",filter(R:R,Q:Q=B21))"),"AL")</f>
        <v>AL</v>
      </c>
      <c r="I21" s="11">
        <f t="array" ref="I21">index('PLV (min 500)'!F:F,match(F21,'PLV (min 500)'!B:B,0))</f>
        <v>2.402945161</v>
      </c>
      <c r="J21" s="10">
        <v>3.003380984447144</v>
      </c>
      <c r="K21" s="10">
        <v>6.245792403045768</v>
      </c>
      <c r="L21" s="10">
        <v>9.795035268515091</v>
      </c>
      <c r="Q21" s="10" t="s">
        <v>64</v>
      </c>
      <c r="R21" s="1" t="s">
        <v>27</v>
      </c>
      <c r="U21" s="9"/>
      <c r="X21" s="9"/>
    </row>
    <row r="22">
      <c r="A22" s="1" t="s">
        <v>65</v>
      </c>
      <c r="B22" s="1" t="s">
        <v>46</v>
      </c>
      <c r="C22" s="1">
        <v>110.2</v>
      </c>
      <c r="D22" s="3">
        <v>3.090361517</v>
      </c>
      <c r="E22" s="3">
        <v>3.559085144</v>
      </c>
      <c r="F22" s="1">
        <v>680885.0</v>
      </c>
      <c r="G22" s="9">
        <f t="shared" si="1"/>
        <v>110.6666667</v>
      </c>
      <c r="H22" s="10" t="str">
        <f>IFERROR(__xludf.DUMMYFUNCTION("if(B22=""- - -"",""Trade"",filter(R:R,Q:Q=B22))"),"NL")</f>
        <v>NL</v>
      </c>
      <c r="I22" s="11">
        <f t="array" ref="I22">index('PLV (min 500)'!F:F,match(F22,'PLV (min 500)'!B:B,0))</f>
        <v>2.403458593</v>
      </c>
      <c r="J22" s="10">
        <v>3.0176350847670332</v>
      </c>
      <c r="K22" s="10">
        <v>12.7631792954081</v>
      </c>
      <c r="L22" s="10">
        <v>20.28342922424652</v>
      </c>
      <c r="Q22" s="10" t="s">
        <v>66</v>
      </c>
      <c r="R22" s="1" t="s">
        <v>27</v>
      </c>
      <c r="U22" s="9"/>
      <c r="X22" s="9"/>
    </row>
    <row r="23">
      <c r="A23" s="1" t="s">
        <v>67</v>
      </c>
      <c r="B23" s="1" t="s">
        <v>34</v>
      </c>
      <c r="C23" s="1">
        <v>144.2</v>
      </c>
      <c r="D23" s="3">
        <v>3.732719156</v>
      </c>
      <c r="E23" s="3">
        <v>4.062573695</v>
      </c>
      <c r="F23" s="1">
        <v>684007.0</v>
      </c>
      <c r="G23" s="9">
        <f t="shared" si="1"/>
        <v>144.6666667</v>
      </c>
      <c r="H23" s="10" t="str">
        <f>IFERROR(__xludf.DUMMYFUNCTION("if(B23=""- - -"",""Trade"",filter(R:R,Q:Q=B23))"),"NL")</f>
        <v>NL</v>
      </c>
      <c r="I23" s="11">
        <f t="array" ref="I23">index('PLV (min 500)'!F:F,match(F23,'PLV (min 500)'!B:B,0))</f>
        <v>2.404278394</v>
      </c>
      <c r="J23" s="10">
        <v>3.399857081678972</v>
      </c>
      <c r="K23" s="10">
        <v>10.576956535765797</v>
      </c>
      <c r="L23" s="10">
        <v>26.52833950887518</v>
      </c>
      <c r="Q23" s="10" t="s">
        <v>68</v>
      </c>
      <c r="R23" s="1" t="s">
        <v>17</v>
      </c>
      <c r="U23" s="9"/>
      <c r="X23" s="9"/>
    </row>
    <row r="24">
      <c r="A24" s="1" t="s">
        <v>69</v>
      </c>
      <c r="B24" s="1" t="s">
        <v>58</v>
      </c>
      <c r="C24" s="1">
        <v>67.0</v>
      </c>
      <c r="D24" s="3">
        <v>3.089552942</v>
      </c>
      <c r="E24" s="3">
        <v>3.392000422</v>
      </c>
      <c r="F24" s="1">
        <v>657612.0</v>
      </c>
      <c r="G24" s="9">
        <f t="shared" si="1"/>
        <v>67</v>
      </c>
      <c r="H24" s="10" t="str">
        <f>IFERROR(__xludf.DUMMYFUNCTION("if(B24=""- - -"",""Trade"",filter(R:R,Q:Q=B24))"),"AL")</f>
        <v>AL</v>
      </c>
      <c r="I24" s="11">
        <f t="array" ref="I24">index('PLV (min 500)'!F:F,match(F24,'PLV (min 500)'!B:B,0))</f>
        <v>2.40958706</v>
      </c>
      <c r="J24" s="10">
        <v>2.96371347459114</v>
      </c>
      <c r="K24" s="10">
        <v>8.16124413359929</v>
      </c>
      <c r="L24" s="10">
        <v>12.286407443908978</v>
      </c>
      <c r="Q24" s="10" t="s">
        <v>70</v>
      </c>
      <c r="R24" s="1" t="s">
        <v>17</v>
      </c>
      <c r="U24" s="9"/>
      <c r="X24" s="9"/>
    </row>
    <row r="25">
      <c r="A25" s="1" t="s">
        <v>71</v>
      </c>
      <c r="B25" s="1" t="s">
        <v>34</v>
      </c>
      <c r="C25" s="1">
        <v>58.0</v>
      </c>
      <c r="D25" s="3">
        <v>2.637931728</v>
      </c>
      <c r="E25" s="3">
        <v>2.48029193</v>
      </c>
      <c r="F25" s="1">
        <v>573204.0</v>
      </c>
      <c r="G25" s="9">
        <f t="shared" si="1"/>
        <v>58</v>
      </c>
      <c r="H25" s="10" t="str">
        <f>IFERROR(__xludf.DUMMYFUNCTION("if(B25=""- - -"",""Trade"",filter(R:R,Q:Q=B25))"),"NL")</f>
        <v>NL</v>
      </c>
      <c r="I25" s="11">
        <f t="array" ref="I25">index('PLV (min 500)'!F:F,match(F25,'PLV (min 500)'!B:B,0))</f>
        <v>2.423796828</v>
      </c>
      <c r="J25" s="10">
        <v>2.5140068285148054</v>
      </c>
      <c r="K25" s="10">
        <v>9.963067105126807</v>
      </c>
      <c r="L25" s="10">
        <v>10.544420444713756</v>
      </c>
      <c r="Q25" s="10" t="s">
        <v>72</v>
      </c>
      <c r="R25" s="1" t="s">
        <v>27</v>
      </c>
      <c r="U25" s="9"/>
      <c r="X25" s="9"/>
    </row>
    <row r="26">
      <c r="A26" s="1" t="s">
        <v>73</v>
      </c>
      <c r="B26" s="1" t="s">
        <v>66</v>
      </c>
      <c r="C26" s="1">
        <v>107.2</v>
      </c>
      <c r="D26" s="3">
        <v>2.758513997</v>
      </c>
      <c r="E26" s="3">
        <v>3.033351854</v>
      </c>
      <c r="F26" s="1">
        <v>668881.0</v>
      </c>
      <c r="G26" s="9">
        <f t="shared" si="1"/>
        <v>107.6666667</v>
      </c>
      <c r="H26" s="10" t="str">
        <f>IFERROR(__xludf.DUMMYFUNCTION("if(B26=""- - -"",""Trade"",filter(R:R,Q:Q=B26))"),"NL")</f>
        <v>NL</v>
      </c>
      <c r="I26" s="11">
        <f t="array" ref="I26">index('PLV (min 500)'!F:F,match(F26,'PLV (min 500)'!B:B,0))</f>
        <v>2.431789022</v>
      </c>
      <c r="J26" s="10">
        <v>2.741218290933272</v>
      </c>
      <c r="K26" s="10">
        <v>15.7081554679948</v>
      </c>
      <c r="L26" s="10">
        <v>19.393801873673304</v>
      </c>
      <c r="Q26" s="10" t="s">
        <v>51</v>
      </c>
      <c r="R26" s="1" t="s">
        <v>27</v>
      </c>
      <c r="U26" s="9"/>
      <c r="X26" s="9"/>
    </row>
    <row r="27">
      <c r="A27" s="1" t="s">
        <v>74</v>
      </c>
      <c r="B27" s="1" t="s">
        <v>56</v>
      </c>
      <c r="C27" s="1">
        <v>42.1</v>
      </c>
      <c r="D27" s="3">
        <v>2.976378579</v>
      </c>
      <c r="E27" s="3">
        <v>3.774481423</v>
      </c>
      <c r="F27" s="1">
        <v>455119.0</v>
      </c>
      <c r="G27" s="9">
        <f t="shared" si="1"/>
        <v>42.33333333</v>
      </c>
      <c r="H27" s="10" t="str">
        <f>IFERROR(__xludf.DUMMYFUNCTION("if(B27=""- - -"",""Trade"",filter(R:R,Q:Q=B27))"),"AL")</f>
        <v>AL</v>
      </c>
      <c r="I27" s="11">
        <f t="array" ref="I27">index('PLV (min 500)'!F:F,match(F27,'PLV (min 500)'!B:B,0))</f>
        <v>2.43940578</v>
      </c>
      <c r="J27" s="10">
        <v>3.0634219272014636</v>
      </c>
      <c r="K27" s="10">
        <v>4.661770762757596</v>
      </c>
      <c r="L27" s="10">
        <v>7.580779630961682</v>
      </c>
      <c r="Q27" s="10" t="s">
        <v>75</v>
      </c>
      <c r="R27" s="1" t="s">
        <v>27</v>
      </c>
      <c r="U27" s="9"/>
      <c r="X27" s="9"/>
    </row>
    <row r="28">
      <c r="A28" s="1" t="s">
        <v>76</v>
      </c>
      <c r="B28" s="1" t="s">
        <v>39</v>
      </c>
      <c r="C28" s="1">
        <v>68.0</v>
      </c>
      <c r="D28" s="3">
        <v>2.779412388</v>
      </c>
      <c r="E28" s="3">
        <v>3.059176938</v>
      </c>
      <c r="F28" s="1">
        <v>687911.0</v>
      </c>
      <c r="G28" s="9">
        <f t="shared" si="1"/>
        <v>68</v>
      </c>
      <c r="H28" s="10" t="str">
        <f>IFERROR(__xludf.DUMMYFUNCTION("if(B28=""- - -"",""Trade"",filter(R:R,Q:Q=B28))"),"AL")</f>
        <v>AL</v>
      </c>
      <c r="I28" s="11">
        <f t="array" ref="I28">index('PLV (min 500)'!F:F,match(F28,'PLV (min 500)'!B:B,0))</f>
        <v>2.442949941</v>
      </c>
      <c r="J28" s="10">
        <v>2.760513089046848</v>
      </c>
      <c r="K28" s="10">
        <v>9.818345549423812</v>
      </c>
      <c r="L28" s="10">
        <v>12.217711555826993</v>
      </c>
      <c r="Q28" s="10" t="s">
        <v>56</v>
      </c>
      <c r="R28" s="1" t="s">
        <v>17</v>
      </c>
      <c r="U28" s="9"/>
      <c r="X28" s="9"/>
    </row>
    <row r="29">
      <c r="A29" s="1" t="s">
        <v>77</v>
      </c>
      <c r="B29" s="1" t="s">
        <v>31</v>
      </c>
      <c r="C29" s="1">
        <v>207.0</v>
      </c>
      <c r="D29" s="3">
        <v>3.217391304</v>
      </c>
      <c r="E29" s="3">
        <v>3.583178837</v>
      </c>
      <c r="F29" s="1">
        <v>657277.0</v>
      </c>
      <c r="G29" s="9">
        <f t="shared" si="1"/>
        <v>207</v>
      </c>
      <c r="H29" s="10" t="str">
        <f>IFERROR(__xludf.DUMMYFUNCTION("if(B29=""- - -"",""Trade"",filter(R:R,Q:Q=B29))"),"NL")</f>
        <v>NL</v>
      </c>
      <c r="I29" s="11">
        <f t="array" ref="I29">index('PLV (min 500)'!F:F,match(F29,'PLV (min 500)'!B:B,0))</f>
        <v>2.451664</v>
      </c>
      <c r="J29" s="10">
        <v>3.0840780469763125</v>
      </c>
      <c r="K29" s="10">
        <v>22.4462049195448</v>
      </c>
      <c r="L29" s="10">
        <v>36.99172800163443</v>
      </c>
      <c r="Q29" s="10" t="s">
        <v>78</v>
      </c>
      <c r="R29" s="1" t="s">
        <v>17</v>
      </c>
      <c r="U29" s="9"/>
      <c r="X29" s="9"/>
    </row>
    <row r="30">
      <c r="A30" s="1" t="s">
        <v>79</v>
      </c>
      <c r="B30" s="1" t="s">
        <v>45</v>
      </c>
      <c r="C30" s="1">
        <v>149.2</v>
      </c>
      <c r="D30" s="3">
        <v>2.706013547</v>
      </c>
      <c r="E30" s="3">
        <v>2.481573836</v>
      </c>
      <c r="F30" s="1">
        <v>554430.0</v>
      </c>
      <c r="G30" s="9">
        <f t="shared" si="1"/>
        <v>149.6666667</v>
      </c>
      <c r="H30" s="10" t="str">
        <f>IFERROR(__xludf.DUMMYFUNCTION("if(B30=""- - -"",""Trade"",filter(R:R,Q:Q=B30))"),"NL")</f>
        <v>NL</v>
      </c>
      <c r="I30" s="11">
        <f t="array" ref="I30">index('PLV (min 500)'!F:F,match(F30,'PLV (min 500)'!B:B,0))</f>
        <v>2.456226922</v>
      </c>
      <c r="J30" s="10">
        <v>2.5479381016975875</v>
      </c>
      <c r="K30" s="10">
        <v>25.066626136302208</v>
      </c>
      <c r="L30" s="10">
        <v>26.586993691528875</v>
      </c>
      <c r="Q30" s="10" t="s">
        <v>80</v>
      </c>
      <c r="R30" s="1" t="s">
        <v>27</v>
      </c>
      <c r="U30" s="9"/>
      <c r="X30" s="9"/>
    </row>
    <row r="31">
      <c r="A31" s="1" t="s">
        <v>81</v>
      </c>
      <c r="B31" s="1" t="s">
        <v>26</v>
      </c>
      <c r="C31" s="1">
        <v>69.2</v>
      </c>
      <c r="D31" s="3">
        <v>2.971291974</v>
      </c>
      <c r="E31" s="3">
        <v>3.646250065</v>
      </c>
      <c r="F31" s="1">
        <v>663158.0</v>
      </c>
      <c r="G31" s="9">
        <f t="shared" si="1"/>
        <v>69.66666667</v>
      </c>
      <c r="H31" s="10" t="str">
        <f>IFERROR(__xludf.DUMMYFUNCTION("if(B31=""- - -"",""Trade"",filter(R:R,Q:Q=B31))"),"NL")</f>
        <v>NL</v>
      </c>
      <c r="I31" s="11">
        <f t="array" ref="I31">index('PLV (min 500)'!F:F,match(F31,'PLV (min 500)'!B:B,0))</f>
        <v>2.475297732</v>
      </c>
      <c r="J31" s="10">
        <v>3.030946590348524</v>
      </c>
      <c r="K31" s="10">
        <v>7.9122773275424585</v>
      </c>
      <c r="L31" s="10">
        <v>12.184599660271818</v>
      </c>
      <c r="Q31" s="10" t="s">
        <v>36</v>
      </c>
      <c r="R31" s="1" t="s">
        <v>27</v>
      </c>
      <c r="U31" s="9"/>
      <c r="X31" s="9"/>
    </row>
    <row r="32">
      <c r="A32" s="1" t="s">
        <v>82</v>
      </c>
      <c r="B32" s="1" t="s">
        <v>62</v>
      </c>
      <c r="C32" s="1">
        <v>78.2</v>
      </c>
      <c r="D32" s="3">
        <v>3.6610176</v>
      </c>
      <c r="E32" s="3">
        <v>3.78578843</v>
      </c>
      <c r="F32" s="1">
        <v>663947.0</v>
      </c>
      <c r="G32" s="9">
        <f t="shared" si="1"/>
        <v>78.66666667</v>
      </c>
      <c r="H32" s="10" t="str">
        <f>IFERROR(__xludf.DUMMYFUNCTION("if(B32=""- - -"",""Trade"",filter(R:R,Q:Q=B32))"),"AL")</f>
        <v>AL</v>
      </c>
      <c r="I32" s="11">
        <f t="array" ref="I32">index('PLV (min 500)'!F:F,match(F32,'PLV (min 500)'!B:B,0))</f>
        <v>2.475601399</v>
      </c>
      <c r="J32" s="10">
        <v>3.307469142848784</v>
      </c>
      <c r="K32" s="10">
        <v>6.538657003247228</v>
      </c>
      <c r="L32" s="10">
        <v>13.7666634037417</v>
      </c>
      <c r="U32" s="9"/>
      <c r="X32" s="9"/>
    </row>
    <row r="33">
      <c r="A33" s="1" t="s">
        <v>83</v>
      </c>
      <c r="B33" s="1" t="s">
        <v>21</v>
      </c>
      <c r="C33" s="1">
        <v>76.2</v>
      </c>
      <c r="D33" s="3">
        <v>3.052174546</v>
      </c>
      <c r="E33" s="3">
        <v>3.376422906</v>
      </c>
      <c r="F33" s="1">
        <v>571927.0</v>
      </c>
      <c r="G33" s="9">
        <f t="shared" si="1"/>
        <v>76.66666667</v>
      </c>
      <c r="H33" s="10" t="str">
        <f>IFERROR(__xludf.DUMMYFUNCTION("if(B33=""- - -"",""Trade"",filter(R:R,Q:Q=B33))"),"Trade")</f>
        <v>Trade</v>
      </c>
      <c r="I33" s="11">
        <f t="array" ref="I33">index('PLV (min 500)'!F:F,match(F33,'PLV (min 500)'!B:B,0))</f>
        <v>2.480159896</v>
      </c>
      <c r="J33" s="10">
        <v>2.9695857825039966</v>
      </c>
      <c r="K33" s="10">
        <v>9.232173708132827</v>
      </c>
      <c r="L33" s="10">
        <v>13.375979551331808</v>
      </c>
      <c r="U33" s="9"/>
      <c r="X33" s="9"/>
    </row>
    <row r="34">
      <c r="A34" s="1" t="s">
        <v>84</v>
      </c>
      <c r="B34" s="1" t="s">
        <v>62</v>
      </c>
      <c r="C34" s="1">
        <v>195.1</v>
      </c>
      <c r="D34" s="3">
        <v>2.211604153</v>
      </c>
      <c r="E34" s="3">
        <v>2.710346837</v>
      </c>
      <c r="F34" s="1">
        <v>669373.0</v>
      </c>
      <c r="G34" s="9">
        <f t="shared" si="1"/>
        <v>195.3333333</v>
      </c>
      <c r="H34" s="10" t="str">
        <f>IFERROR(__xludf.DUMMYFUNCTION("if(B34=""- - -"",""Trade"",filter(R:R,Q:Q=B34))"),"AL")</f>
        <v>AL</v>
      </c>
      <c r="I34" s="11">
        <f t="array" ref="I34">index('PLV (min 500)'!F:F,match(F34,'PLV (min 500)'!B:B,0))</f>
        <v>2.483788884</v>
      </c>
      <c r="J34" s="10">
        <v>2.4685799579199443</v>
      </c>
      <c r="K34" s="10">
        <v>34.4984500233132</v>
      </c>
      <c r="L34" s="10">
        <v>34.16875430871739</v>
      </c>
      <c r="U34" s="9"/>
      <c r="X34" s="9"/>
    </row>
    <row r="35">
      <c r="A35" s="1" t="s">
        <v>85</v>
      </c>
      <c r="B35" s="1" t="s">
        <v>33</v>
      </c>
      <c r="C35" s="1">
        <v>173.2</v>
      </c>
      <c r="D35" s="3">
        <v>2.487524138</v>
      </c>
      <c r="E35" s="3">
        <v>2.723582851</v>
      </c>
      <c r="F35" s="1">
        <v>808967.0</v>
      </c>
      <c r="G35" s="9">
        <f t="shared" si="1"/>
        <v>173.6666667</v>
      </c>
      <c r="H35" s="10" t="str">
        <f>IFERROR(__xludf.DUMMYFUNCTION("if(B35=""- - -"",""Trade"",filter(R:R,Q:Q=B35))"),"NL")</f>
        <v>NL</v>
      </c>
      <c r="I35" s="11">
        <f t="array" ref="I35">index('PLV (min 500)'!F:F,match(F35,'PLV (min 500)'!B:B,0))</f>
        <v>2.495694576</v>
      </c>
      <c r="J35" s="10">
        <v>2.5689338549848846</v>
      </c>
      <c r="K35" s="10">
        <v>28.694739590735324</v>
      </c>
      <c r="L35" s="10">
        <v>30.104188827183748</v>
      </c>
      <c r="U35" s="9"/>
      <c r="X35" s="9"/>
    </row>
    <row r="36">
      <c r="A36" s="1" t="s">
        <v>86</v>
      </c>
      <c r="B36" s="1" t="s">
        <v>80</v>
      </c>
      <c r="C36" s="1">
        <v>76.1</v>
      </c>
      <c r="D36" s="3">
        <v>4.480350091</v>
      </c>
      <c r="E36" s="3">
        <v>3.560608231</v>
      </c>
      <c r="F36" s="1">
        <v>678606.0</v>
      </c>
      <c r="G36" s="9">
        <f t="shared" si="1"/>
        <v>76.33333333</v>
      </c>
      <c r="H36" s="10" t="str">
        <f>IFERROR(__xludf.DUMMYFUNCTION("if(B36=""- - -"",""Trade"",filter(R:R,Q:Q=B36))"),"NL")</f>
        <v>NL</v>
      </c>
      <c r="I36" s="11">
        <f t="array" ref="I36">index('PLV (min 500)'!F:F,match(F36,'PLV (min 500)'!B:B,0))</f>
        <v>2.501055275</v>
      </c>
      <c r="J36" s="10">
        <v>3.5140045323952074</v>
      </c>
      <c r="K36" s="10">
        <v>4.616695009413854</v>
      </c>
      <c r="L36" s="10">
        <v>13.181743728708238</v>
      </c>
      <c r="U36" s="9"/>
      <c r="X36" s="9"/>
    </row>
    <row r="37">
      <c r="A37" s="1" t="s">
        <v>87</v>
      </c>
      <c r="B37" s="1" t="s">
        <v>56</v>
      </c>
      <c r="C37" s="1">
        <v>66.0</v>
      </c>
      <c r="D37" s="3">
        <v>3.000000347</v>
      </c>
      <c r="E37" s="3">
        <v>3.229065463</v>
      </c>
      <c r="F37" s="1">
        <v>657097.0</v>
      </c>
      <c r="G37" s="9">
        <f t="shared" si="1"/>
        <v>66</v>
      </c>
      <c r="H37" s="10" t="str">
        <f>IFERROR(__xludf.DUMMYFUNCTION("if(B37=""- - -"",""Trade"",filter(R:R,Q:Q=B37))"),"AL")</f>
        <v>AL</v>
      </c>
      <c r="I37" s="11">
        <f t="array" ref="I37">index('PLV (min 500)'!F:F,match(F37,'PLV (min 500)'!B:B,0))</f>
        <v>2.521603228</v>
      </c>
      <c r="J37" s="10">
        <v>2.916889679205527</v>
      </c>
      <c r="K37" s="10">
        <v>8.382809019159463</v>
      </c>
      <c r="L37" s="10">
        <v>11.281576330811726</v>
      </c>
      <c r="U37" s="9"/>
      <c r="X37" s="9"/>
    </row>
    <row r="38">
      <c r="A38" s="1" t="s">
        <v>88</v>
      </c>
      <c r="B38" s="1" t="s">
        <v>60</v>
      </c>
      <c r="C38" s="1">
        <v>187.2</v>
      </c>
      <c r="D38" s="3">
        <v>1.966252327</v>
      </c>
      <c r="E38" s="3">
        <v>2.652427079</v>
      </c>
      <c r="F38" s="1">
        <v>694973.0</v>
      </c>
      <c r="G38" s="9">
        <f t="shared" si="1"/>
        <v>187.6666667</v>
      </c>
      <c r="H38" s="10" t="str">
        <f>IFERROR(__xludf.DUMMYFUNCTION("if(B38=""- - -"",""Trade"",filter(R:R,Q:Q=B38))"),"NL")</f>
        <v>NL</v>
      </c>
      <c r="I38" s="11">
        <f t="array" ref="I38">index('PLV (min 500)'!F:F,match(F38,'PLV (min 500)'!B:B,0))</f>
        <v>2.527124419</v>
      </c>
      <c r="J38" s="10">
        <v>2.381934608401797</v>
      </c>
      <c r="K38" s="10">
        <v>34.903760145242614</v>
      </c>
      <c r="L38" s="10">
        <v>31.88381208052784</v>
      </c>
      <c r="U38" s="9"/>
      <c r="X38" s="9"/>
    </row>
    <row r="39">
      <c r="A39" s="1" t="s">
        <v>89</v>
      </c>
      <c r="B39" s="1" t="s">
        <v>36</v>
      </c>
      <c r="C39" s="1">
        <v>50.0</v>
      </c>
      <c r="D39" s="3">
        <v>2.16000033</v>
      </c>
      <c r="E39" s="3">
        <v>3.554487912</v>
      </c>
      <c r="F39" s="1">
        <v>669622.0</v>
      </c>
      <c r="G39" s="9">
        <f t="shared" si="1"/>
        <v>50</v>
      </c>
      <c r="H39" s="10" t="str">
        <f>IFERROR(__xludf.DUMMYFUNCTION("if(B39=""- - -"",""Trade"",filter(R:R,Q:Q=B39))"),"NL")</f>
        <v>NL</v>
      </c>
      <c r="I39" s="11">
        <f t="array" ref="I39">index('PLV (min 500)'!F:F,match(F39,'PLV (min 500)'!B:B,0))</f>
        <v>2.52874296</v>
      </c>
      <c r="J39" s="10">
        <v>2.747743734067433</v>
      </c>
      <c r="K39" s="10">
        <v>7.290312588514259</v>
      </c>
      <c r="L39" s="10">
        <v>8.506983554431669</v>
      </c>
      <c r="U39" s="9"/>
      <c r="X39" s="9"/>
    </row>
    <row r="40">
      <c r="A40" s="1" t="s">
        <v>90</v>
      </c>
      <c r="B40" s="1" t="s">
        <v>37</v>
      </c>
      <c r="C40" s="1">
        <v>186.2</v>
      </c>
      <c r="D40" s="3">
        <v>2.941071589</v>
      </c>
      <c r="E40" s="3">
        <v>3.070021974</v>
      </c>
      <c r="F40" s="1">
        <v>693433.0</v>
      </c>
      <c r="G40" s="9">
        <f t="shared" si="1"/>
        <v>186.6666667</v>
      </c>
      <c r="H40" s="10" t="str">
        <f>IFERROR(__xludf.DUMMYFUNCTION("if(B40=""- - -"",""Trade"",filter(R:R,Q:Q=B40))"),"AL")</f>
        <v>AL</v>
      </c>
      <c r="I40" s="11">
        <f t="array" ref="I40">index('PLV (min 500)'!F:F,match(F40,'PLV (min 500)'!B:B,0))</f>
        <v>2.540681968</v>
      </c>
      <c r="J40" s="10">
        <v>2.850591843576703</v>
      </c>
      <c r="K40" s="10">
        <v>25.02131096955754</v>
      </c>
      <c r="L40" s="10">
        <v>31.433001956517064</v>
      </c>
      <c r="U40" s="9"/>
      <c r="X40" s="9"/>
    </row>
    <row r="41">
      <c r="A41" s="1" t="s">
        <v>91</v>
      </c>
      <c r="B41" s="1" t="s">
        <v>46</v>
      </c>
      <c r="C41" s="1">
        <v>68.1</v>
      </c>
      <c r="D41" s="3">
        <v>3.29268354</v>
      </c>
      <c r="E41" s="3">
        <v>2.934893653</v>
      </c>
      <c r="F41" s="1">
        <v>669276.0</v>
      </c>
      <c r="G41" s="9">
        <f t="shared" si="1"/>
        <v>68.33333333</v>
      </c>
      <c r="H41" s="10" t="str">
        <f>IFERROR(__xludf.DUMMYFUNCTION("if(B41=""- - -"",""Trade"",filter(R:R,Q:Q=B41))"),"NL")</f>
        <v>NL</v>
      </c>
      <c r="I41" s="11">
        <f t="array" ref="I41">index('PLV (min 500)'!F:F,match(F41,'PLV (min 500)'!B:B,0))</f>
        <v>2.548583473</v>
      </c>
      <c r="J41" s="10">
        <v>2.9253868886406966</v>
      </c>
      <c r="K41" s="10">
        <v>8.585239209285392</v>
      </c>
      <c r="L41" s="10">
        <v>11.436385054889518</v>
      </c>
      <c r="U41" s="9"/>
      <c r="X41" s="9"/>
    </row>
    <row r="42">
      <c r="A42" s="1" t="s">
        <v>92</v>
      </c>
      <c r="B42" s="1" t="s">
        <v>33</v>
      </c>
      <c r="C42" s="1">
        <v>59.2</v>
      </c>
      <c r="D42" s="3">
        <v>3.016760484</v>
      </c>
      <c r="E42" s="3">
        <v>3.065324962</v>
      </c>
      <c r="F42" s="1">
        <v>681911.0</v>
      </c>
      <c r="G42" s="9">
        <f t="shared" si="1"/>
        <v>59.66666667</v>
      </c>
      <c r="H42" s="10" t="str">
        <f>IFERROR(__xludf.DUMMYFUNCTION("if(B42=""- - -"",""Trade"",filter(R:R,Q:Q=B42))"),"NL")</f>
        <v>NL</v>
      </c>
      <c r="I42" s="11">
        <f t="array" ref="I42">index('PLV (min 500)'!F:F,match(F42,'PLV (min 500)'!B:B,0))</f>
        <v>2.550087402</v>
      </c>
      <c r="J42" s="10">
        <v>2.8773909494210432</v>
      </c>
      <c r="K42" s="10">
        <v>7.778939532697136</v>
      </c>
      <c r="L42" s="10">
        <v>9.9318695317803</v>
      </c>
      <c r="U42" s="9"/>
      <c r="X42" s="9"/>
    </row>
    <row r="43">
      <c r="A43" s="1" t="s">
        <v>93</v>
      </c>
      <c r="B43" s="1" t="s">
        <v>64</v>
      </c>
      <c r="C43" s="1">
        <v>154.0</v>
      </c>
      <c r="D43" s="3">
        <v>3.389610432</v>
      </c>
      <c r="E43" s="3">
        <v>3.926755973</v>
      </c>
      <c r="F43" s="1">
        <v>669194.0</v>
      </c>
      <c r="G43" s="9">
        <f t="shared" si="1"/>
        <v>154</v>
      </c>
      <c r="H43" s="10" t="str">
        <f>IFERROR(__xludf.DUMMYFUNCTION("if(B43=""- - -"",""Trade"",filter(R:R,Q:Q=B43))"),"NL")</f>
        <v>NL</v>
      </c>
      <c r="I43" s="11">
        <f t="array" ref="I43">index('PLV (min 500)'!F:F,match(F43,'PLV (min 500)'!B:B,0))</f>
        <v>2.570977519</v>
      </c>
      <c r="J43" s="10">
        <v>3.295781308160173</v>
      </c>
      <c r="K43" s="10">
        <v>13.07663094925926</v>
      </c>
      <c r="L43" s="10">
        <v>25.478829111111118</v>
      </c>
      <c r="U43" s="9"/>
      <c r="X43" s="9"/>
    </row>
    <row r="44">
      <c r="A44" s="1" t="s">
        <v>94</v>
      </c>
      <c r="B44" s="1" t="s">
        <v>26</v>
      </c>
      <c r="C44" s="1">
        <v>73.0</v>
      </c>
      <c r="D44" s="3">
        <v>3.452055516</v>
      </c>
      <c r="E44" s="3">
        <v>2.752575019</v>
      </c>
      <c r="F44" s="1">
        <v>669093.0</v>
      </c>
      <c r="G44" s="9">
        <f t="shared" si="1"/>
        <v>73</v>
      </c>
      <c r="H44" s="10" t="str">
        <f>IFERROR(__xludf.DUMMYFUNCTION("if(B44=""- - -"",""Trade"",filter(R:R,Q:Q=B44))"),"NL")</f>
        <v>NL</v>
      </c>
      <c r="I44" s="11">
        <f t="array" ref="I44">index('PLV (min 500)'!F:F,match(F44,'PLV (min 500)'!B:B,0))</f>
        <v>2.57372248</v>
      </c>
      <c r="J44" s="10">
        <v>2.9261176715075226</v>
      </c>
      <c r="K44" s="10">
        <v>9.19704555332787</v>
      </c>
      <c r="L44" s="10">
        <v>12.055362110539171</v>
      </c>
      <c r="U44" s="9"/>
      <c r="X44" s="9"/>
    </row>
    <row r="45">
      <c r="A45" s="1" t="s">
        <v>95</v>
      </c>
      <c r="B45" s="1" t="s">
        <v>72</v>
      </c>
      <c r="C45" s="1">
        <v>180.2</v>
      </c>
      <c r="D45" s="3">
        <v>4.284133083</v>
      </c>
      <c r="E45" s="3">
        <v>3.866910349</v>
      </c>
      <c r="F45" s="1">
        <v>543243.0</v>
      </c>
      <c r="G45" s="9">
        <f t="shared" si="1"/>
        <v>180.6666667</v>
      </c>
      <c r="H45" s="10" t="str">
        <f>IFERROR(__xludf.DUMMYFUNCTION("if(B45=""- - -"",""Trade"",filter(R:R,Q:Q=B45))"),"NL")</f>
        <v>NL</v>
      </c>
      <c r="I45" s="11">
        <f t="array" ref="I45">index('PLV (min 500)'!F:F,match(F45,'PLV (min 500)'!B:B,0))</f>
        <v>2.573962057</v>
      </c>
      <c r="J45" s="10">
        <v>3.5750018297825132</v>
      </c>
      <c r="K45" s="10">
        <v>9.71074114146567</v>
      </c>
      <c r="L45" s="10">
        <v>29.75378191844148</v>
      </c>
      <c r="U45" s="9"/>
      <c r="X45" s="9"/>
    </row>
    <row r="46">
      <c r="A46" s="1" t="s">
        <v>96</v>
      </c>
      <c r="B46" s="1" t="s">
        <v>21</v>
      </c>
      <c r="C46" s="1">
        <v>35.2</v>
      </c>
      <c r="D46" s="3">
        <v>4.037383357</v>
      </c>
      <c r="E46" s="3">
        <v>4.155907807</v>
      </c>
      <c r="F46" s="1">
        <v>690986.0</v>
      </c>
      <c r="G46" s="9">
        <f t="shared" si="1"/>
        <v>35.66666667</v>
      </c>
      <c r="H46" s="10" t="str">
        <f>IFERROR(__xludf.DUMMYFUNCTION("if(B46=""- - -"",""Trade"",filter(R:R,Q:Q=B46))"),"Trade")</f>
        <v>Trade</v>
      </c>
      <c r="I46" s="11">
        <f t="array" ref="I46">index('PLV (min 500)'!F:F,match(F46,'PLV (min 500)'!B:B,0))</f>
        <v>2.582088477</v>
      </c>
      <c r="J46" s="10">
        <v>3.5917932136336543</v>
      </c>
      <c r="K46" s="10">
        <v>1.8312087644550392</v>
      </c>
      <c r="L46" s="10">
        <v>5.78027617923179</v>
      </c>
      <c r="U46" s="9"/>
      <c r="X46" s="9"/>
    </row>
    <row r="47">
      <c r="A47" s="1" t="s">
        <v>97</v>
      </c>
      <c r="B47" s="1" t="s">
        <v>54</v>
      </c>
      <c r="C47" s="1">
        <v>150.0</v>
      </c>
      <c r="D47" s="3">
        <v>2.76</v>
      </c>
      <c r="E47" s="3">
        <v>3.476413269</v>
      </c>
      <c r="F47" s="1">
        <v>656876.0</v>
      </c>
      <c r="G47" s="9">
        <f t="shared" si="1"/>
        <v>150</v>
      </c>
      <c r="H47" s="10" t="str">
        <f>IFERROR(__xludf.DUMMYFUNCTION("if(B47=""- - -"",""Trade"",filter(R:R,Q:Q=B47))"),"AL")</f>
        <v>AL</v>
      </c>
      <c r="I47" s="11">
        <f t="array" ref="I47">index('PLV (min 500)'!F:F,match(F47,'PLV (min 500)'!B:B,0))</f>
        <v>2.58727722</v>
      </c>
      <c r="J47" s="10">
        <v>2.941230162948255</v>
      </c>
      <c r="K47" s="10">
        <v>18.646163950862412</v>
      </c>
      <c r="L47" s="10">
        <v>24.54537966925393</v>
      </c>
      <c r="U47" s="9"/>
      <c r="X47" s="9"/>
    </row>
    <row r="48">
      <c r="A48" s="1" t="s">
        <v>98</v>
      </c>
      <c r="B48" s="1" t="s">
        <v>45</v>
      </c>
      <c r="C48" s="1">
        <v>94.1</v>
      </c>
      <c r="D48" s="3">
        <v>6.010601031</v>
      </c>
      <c r="E48" s="3">
        <v>4.11819752</v>
      </c>
      <c r="F48" s="1">
        <v>605400.0</v>
      </c>
      <c r="G48" s="9">
        <f t="shared" si="1"/>
        <v>94.33333333</v>
      </c>
      <c r="H48" s="10" t="str">
        <f>IFERROR(__xludf.DUMMYFUNCTION("if(B48=""- - -"",""Trade"",filter(R:R,Q:Q=B48))"),"NL")</f>
        <v>NL</v>
      </c>
      <c r="I48" s="11">
        <f t="array" ref="I48">index('PLV (min 500)'!F:F,match(F48,'PLV (min 500)'!B:B,0))</f>
        <v>2.594749039</v>
      </c>
      <c r="J48" s="10">
        <v>4.241182529986982</v>
      </c>
      <c r="K48" s="10">
        <v>-1.8943640079750008</v>
      </c>
      <c r="L48" s="10">
        <v>15.320012825975006</v>
      </c>
      <c r="U48" s="9"/>
      <c r="X48" s="9"/>
    </row>
    <row r="49">
      <c r="A49" s="1" t="s">
        <v>99</v>
      </c>
      <c r="B49" s="1" t="s">
        <v>34</v>
      </c>
      <c r="C49" s="1">
        <v>129.2</v>
      </c>
      <c r="D49" s="3">
        <v>3.678663528</v>
      </c>
      <c r="E49" s="3">
        <v>3.840333963</v>
      </c>
      <c r="F49" s="1">
        <v>592791.0</v>
      </c>
      <c r="G49" s="9">
        <f t="shared" si="1"/>
        <v>129.6666667</v>
      </c>
      <c r="H49" s="10" t="str">
        <f>IFERROR(__xludf.DUMMYFUNCTION("if(B49=""- - -"",""Trade"",filter(R:R,Q:Q=B49))"),"NL")</f>
        <v>NL</v>
      </c>
      <c r="I49" s="11">
        <f t="array" ref="I49">index('PLV (min 500)'!F:F,match(F49,'PLV (min 500)'!B:B,0))</f>
        <v>2.60831737</v>
      </c>
      <c r="J49" s="10">
        <v>3.375771620324029</v>
      </c>
      <c r="K49" s="10">
        <v>9.822478517126157</v>
      </c>
      <c r="L49" s="10">
        <v>20.839710644400704</v>
      </c>
      <c r="U49" s="9"/>
      <c r="X49" s="9"/>
    </row>
    <row r="50">
      <c r="A50" s="1" t="s">
        <v>100</v>
      </c>
      <c r="B50" s="1" t="s">
        <v>22</v>
      </c>
      <c r="C50" s="1">
        <v>205.1</v>
      </c>
      <c r="D50" s="3">
        <v>2.586039025</v>
      </c>
      <c r="E50" s="3">
        <v>2.880126139</v>
      </c>
      <c r="F50" s="1">
        <v>676979.0</v>
      </c>
      <c r="G50" s="9">
        <f t="shared" si="1"/>
        <v>205.3333333</v>
      </c>
      <c r="H50" s="10" t="str">
        <f>IFERROR(__xludf.DUMMYFUNCTION("if(B50=""- - -"",""Trade"",filter(R:R,Q:Q=B50))"),"AL")</f>
        <v>AL</v>
      </c>
      <c r="I50" s="11">
        <f t="array" ref="I50">index('PLV (min 500)'!F:F,match(F50,'PLV (min 500)'!B:B,0))</f>
        <v>2.615913059</v>
      </c>
      <c r="J50" s="10">
        <v>2.694026074178328</v>
      </c>
      <c r="K50" s="10">
        <v>31.129028020669427</v>
      </c>
      <c r="L50" s="10">
        <v>32.909136854941636</v>
      </c>
      <c r="U50" s="9"/>
      <c r="X50" s="9"/>
    </row>
    <row r="51">
      <c r="A51" s="1" t="s">
        <v>101</v>
      </c>
      <c r="B51" s="1" t="s">
        <v>37</v>
      </c>
      <c r="C51" s="1">
        <v>77.0</v>
      </c>
      <c r="D51" s="3">
        <v>3.974026762</v>
      </c>
      <c r="E51" s="3">
        <v>3.60706615</v>
      </c>
      <c r="F51" s="1">
        <v>672841.0</v>
      </c>
      <c r="G51" s="9">
        <f t="shared" si="1"/>
        <v>77</v>
      </c>
      <c r="H51" s="10" t="str">
        <f>IFERROR(__xludf.DUMMYFUNCTION("if(B51=""- - -"",""Trade"",filter(R:R,Q:Q=B51))"),"AL")</f>
        <v>AL</v>
      </c>
      <c r="I51" s="11">
        <f t="array" ref="I51">index('PLV (min 500)'!F:F,match(F51,'PLV (min 500)'!B:B,0))</f>
        <v>2.616827727</v>
      </c>
      <c r="J51" s="10">
        <v>3.399306879723591</v>
      </c>
      <c r="K51" s="10">
        <v>5.652596695698162</v>
      </c>
      <c r="L51" s="10">
        <v>12.34714055642783</v>
      </c>
      <c r="U51" s="9"/>
      <c r="X51" s="9"/>
    </row>
    <row r="52">
      <c r="A52" s="1" t="s">
        <v>102</v>
      </c>
      <c r="B52" s="1" t="s">
        <v>39</v>
      </c>
      <c r="C52" s="1">
        <v>50.2</v>
      </c>
      <c r="D52" s="3">
        <v>2.84210562</v>
      </c>
      <c r="E52" s="3">
        <v>2.880453465</v>
      </c>
      <c r="F52" s="1">
        <v>656986.0</v>
      </c>
      <c r="G52" s="9">
        <f t="shared" si="1"/>
        <v>50.66666667</v>
      </c>
      <c r="H52" s="10" t="str">
        <f>IFERROR(__xludf.DUMMYFUNCTION("if(B52=""- - -"",""Trade"",filter(R:R,Q:Q=B52))"),"AL")</f>
        <v>AL</v>
      </c>
      <c r="I52" s="11">
        <f t="array" ref="I52">index('PLV (min 500)'!F:F,match(F52,'PLV (min 500)'!B:B,0))</f>
        <v>2.625023132</v>
      </c>
      <c r="J52" s="10">
        <v>2.7825274055205593</v>
      </c>
      <c r="K52" s="10">
        <v>7.1254582492075444</v>
      </c>
      <c r="L52" s="10">
        <v>8.003982088400422</v>
      </c>
      <c r="U52" s="9"/>
      <c r="X52" s="9"/>
    </row>
    <row r="53">
      <c r="A53" s="1" t="s">
        <v>103</v>
      </c>
      <c r="B53" s="1" t="s">
        <v>21</v>
      </c>
      <c r="C53" s="1">
        <v>46.0</v>
      </c>
      <c r="D53" s="3">
        <v>2.739130605</v>
      </c>
      <c r="E53" s="3">
        <v>3.50319164</v>
      </c>
      <c r="F53" s="1">
        <v>571946.0</v>
      </c>
      <c r="G53" s="9">
        <f t="shared" si="1"/>
        <v>46</v>
      </c>
      <c r="H53" s="10" t="str">
        <f>IFERROR(__xludf.DUMMYFUNCTION("if(B53=""- - -"",""Trade"",filter(R:R,Q:Q=B53))"),"Trade")</f>
        <v>Trade</v>
      </c>
      <c r="I53" s="11">
        <f t="array" ref="I53">index('PLV (min 500)'!F:F,match(F53,'PLV (min 500)'!B:B,0))</f>
        <v>2.633247587</v>
      </c>
      <c r="J53" s="10">
        <v>2.9585232773760857</v>
      </c>
      <c r="K53" s="10">
        <v>5.629769915633338</v>
      </c>
      <c r="L53" s="10">
        <v>7.292290110233361</v>
      </c>
      <c r="U53" s="9"/>
      <c r="X53" s="9"/>
    </row>
    <row r="54">
      <c r="A54" s="1" t="s">
        <v>104</v>
      </c>
      <c r="B54" s="1" t="s">
        <v>33</v>
      </c>
      <c r="C54" s="1">
        <v>77.2</v>
      </c>
      <c r="D54" s="3">
        <v>4.635193626</v>
      </c>
      <c r="E54" s="3">
        <v>3.718531364</v>
      </c>
      <c r="F54" s="1">
        <v>676508.0</v>
      </c>
      <c r="G54" s="9">
        <f t="shared" si="1"/>
        <v>77.66666667</v>
      </c>
      <c r="H54" s="10" t="str">
        <f>IFERROR(__xludf.DUMMYFUNCTION("if(B54=""- - -"",""Trade"",filter(R:R,Q:Q=B54))"),"NL")</f>
        <v>NL</v>
      </c>
      <c r="I54" s="11">
        <f t="array" ref="I54">index('PLV (min 500)'!F:F,match(F54,'PLV (min 500)'!B:B,0))</f>
        <v>2.634136802</v>
      </c>
      <c r="J54" s="10">
        <v>3.662620597385604</v>
      </c>
      <c r="K54" s="10">
        <v>3.4086322090923704</v>
      </c>
      <c r="L54" s="10">
        <v>12.23073765261046</v>
      </c>
      <c r="U54" s="9"/>
      <c r="X54" s="9"/>
    </row>
    <row r="55">
      <c r="A55" s="1" t="s">
        <v>105</v>
      </c>
      <c r="B55" s="1" t="s">
        <v>45</v>
      </c>
      <c r="C55" s="1">
        <v>157.1</v>
      </c>
      <c r="D55" s="3">
        <v>3.203389934</v>
      </c>
      <c r="E55" s="3">
        <v>3.152643392</v>
      </c>
      <c r="F55" s="1">
        <v>624133.0</v>
      </c>
      <c r="G55" s="9">
        <f t="shared" si="1"/>
        <v>157.3333333</v>
      </c>
      <c r="H55" s="10" t="str">
        <f>IFERROR(__xludf.DUMMYFUNCTION("if(B55=""- - -"",""Trade"",filter(R:R,Q:Q=B55))"),"NL")</f>
        <v>NL</v>
      </c>
      <c r="I55" s="11">
        <f t="array" ref="I55">index('PLV (min 500)'!F:F,match(F55,'PLV (min 500)'!B:B,0))</f>
        <v>2.634706506</v>
      </c>
      <c r="J55" s="10">
        <v>2.9969132774538387</v>
      </c>
      <c r="K55" s="10">
        <v>18.556769345777987</v>
      </c>
      <c r="L55" s="10">
        <v>24.879289761178438</v>
      </c>
      <c r="U55" s="9"/>
      <c r="X55" s="9"/>
    </row>
    <row r="56">
      <c r="A56" s="1" t="s">
        <v>106</v>
      </c>
      <c r="B56" s="1" t="s">
        <v>78</v>
      </c>
      <c r="C56" s="1">
        <v>36.2</v>
      </c>
      <c r="D56" s="3">
        <v>4.90909125</v>
      </c>
      <c r="E56" s="3">
        <v>2.908661899</v>
      </c>
      <c r="F56" s="1">
        <v>691799.0</v>
      </c>
      <c r="G56" s="9">
        <f t="shared" si="1"/>
        <v>36.66666667</v>
      </c>
      <c r="H56" s="10" t="str">
        <f>IFERROR(__xludf.DUMMYFUNCTION("if(B56=""- - -"",""Trade"",filter(R:R,Q:Q=B56))"),"AL")</f>
        <v>AL</v>
      </c>
      <c r="I56" s="11">
        <f t="array" ref="I56">index('PLV (min 500)'!F:F,match(F56,'PLV (min 500)'!B:B,0))</f>
        <v>2.636438318</v>
      </c>
      <c r="J56" s="10">
        <v>3.484730488980714</v>
      </c>
      <c r="K56" s="10">
        <v>2.313861810988682</v>
      </c>
      <c r="L56" s="10">
        <v>5.725881432277161</v>
      </c>
      <c r="U56" s="9"/>
      <c r="X56" s="9"/>
    </row>
    <row r="57">
      <c r="A57" s="1" t="s">
        <v>107</v>
      </c>
      <c r="B57" s="1" t="s">
        <v>21</v>
      </c>
      <c r="C57" s="1">
        <v>65.1</v>
      </c>
      <c r="D57" s="3">
        <v>3.581633664</v>
      </c>
      <c r="E57" s="3">
        <v>3.468720334</v>
      </c>
      <c r="F57" s="1">
        <v>657571.0</v>
      </c>
      <c r="G57" s="9">
        <f t="shared" si="1"/>
        <v>65.33333333</v>
      </c>
      <c r="H57" s="10" t="str">
        <f>IFERROR(__xludf.DUMMYFUNCTION("if(B57=""- - -"",""Trade"",filter(R:R,Q:Q=B57))"),"Trade")</f>
        <v>Trade</v>
      </c>
      <c r="I57" s="11">
        <f t="array" ref="I57">index('PLV (min 500)'!F:F,match(F57,'PLV (min 500)'!B:B,0))</f>
        <v>2.638697878</v>
      </c>
      <c r="J57" s="10">
        <v>3.2296839585214943</v>
      </c>
      <c r="K57" s="10">
        <v>6.005952700027855</v>
      </c>
      <c r="L57" s="10">
        <v>10.28075201895024</v>
      </c>
      <c r="U57" s="9"/>
      <c r="X57" s="9"/>
    </row>
    <row r="58">
      <c r="A58" s="1" t="s">
        <v>108</v>
      </c>
      <c r="B58" s="1" t="s">
        <v>37</v>
      </c>
      <c r="C58" s="1">
        <v>42.1</v>
      </c>
      <c r="D58" s="3">
        <v>4.677165916</v>
      </c>
      <c r="E58" s="3">
        <v>4.853347622</v>
      </c>
      <c r="F58" s="1">
        <v>663423.0</v>
      </c>
      <c r="G58" s="9">
        <f t="shared" si="1"/>
        <v>42.33333333</v>
      </c>
      <c r="H58" s="10" t="str">
        <f>IFERROR(__xludf.DUMMYFUNCTION("if(B58=""- - -"",""Trade"",filter(R:R,Q:Q=B58))"),"AL")</f>
        <v>AL</v>
      </c>
      <c r="I58" s="11">
        <f t="array" ref="I58">index('PLV (min 500)'!F:F,match(F58,'PLV (min 500)'!B:B,0))</f>
        <v>2.639788087</v>
      </c>
      <c r="J58" s="10">
        <v>4.056767208232439</v>
      </c>
      <c r="K58" s="10">
        <v>0.015122281490477582</v>
      </c>
      <c r="L58" s="10">
        <v>6.643435727782553</v>
      </c>
      <c r="U58" s="9"/>
      <c r="X58" s="9"/>
    </row>
    <row r="59">
      <c r="A59" s="1" t="s">
        <v>109</v>
      </c>
      <c r="B59" s="1" t="s">
        <v>26</v>
      </c>
      <c r="C59" s="1">
        <v>181.2</v>
      </c>
      <c r="D59" s="3">
        <v>2.873394656</v>
      </c>
      <c r="E59" s="3">
        <v>3.967130204</v>
      </c>
      <c r="F59" s="1">
        <v>601713.0</v>
      </c>
      <c r="G59" s="9">
        <f t="shared" si="1"/>
        <v>181.6666667</v>
      </c>
      <c r="H59" s="10" t="str">
        <f>IFERROR(__xludf.DUMMYFUNCTION("if(B59=""- - -"",""Trade"",filter(R:R,Q:Q=B59))"),"NL")</f>
        <v>NL</v>
      </c>
      <c r="I59" s="11">
        <f t="array" ref="I59">index('PLV (min 500)'!F:F,match(F59,'PLV (min 500)'!B:B,0))</f>
        <v>2.643184321</v>
      </c>
      <c r="J59" s="10">
        <v>3.1612363937180894</v>
      </c>
      <c r="K59" s="10">
        <v>18.09510727314246</v>
      </c>
      <c r="L59" s="10">
        <v>28.525222334094092</v>
      </c>
      <c r="U59" s="9"/>
      <c r="X59" s="9"/>
    </row>
    <row r="60">
      <c r="A60" s="1" t="s">
        <v>110</v>
      </c>
      <c r="B60" s="1" t="s">
        <v>54</v>
      </c>
      <c r="C60" s="1">
        <v>39.2</v>
      </c>
      <c r="D60" s="3">
        <v>5.899161177</v>
      </c>
      <c r="E60" s="3">
        <v>6.373920451</v>
      </c>
      <c r="F60" s="1">
        <v>687330.0</v>
      </c>
      <c r="G60" s="9">
        <f t="shared" si="1"/>
        <v>39.66666667</v>
      </c>
      <c r="H60" s="10" t="str">
        <f>IFERROR(__xludf.DUMMYFUNCTION("if(B60=""- - -"",""Trade"",filter(R:R,Q:Q=B60))"),"AL")</f>
        <v>AL</v>
      </c>
      <c r="I60" s="11">
        <f t="array" ref="I60">index('PLV (min 500)'!F:F,match(F60,'PLV (min 500)'!B:B,0))</f>
        <v>2.646442664</v>
      </c>
      <c r="J60" s="10">
        <v>4.973174764036725</v>
      </c>
      <c r="K60" s="10">
        <v>-3.977383416693292</v>
      </c>
      <c r="L60" s="10">
        <v>6.156827507431235</v>
      </c>
      <c r="U60" s="9"/>
      <c r="X60" s="9"/>
    </row>
    <row r="61">
      <c r="A61" s="1" t="s">
        <v>111</v>
      </c>
      <c r="B61" s="1" t="s">
        <v>56</v>
      </c>
      <c r="C61" s="1">
        <v>85.2</v>
      </c>
      <c r="D61" s="3">
        <v>2.836576212</v>
      </c>
      <c r="E61" s="3">
        <v>4.114394566</v>
      </c>
      <c r="F61" s="1">
        <v>656641.0</v>
      </c>
      <c r="G61" s="9">
        <f t="shared" si="1"/>
        <v>85.66666667</v>
      </c>
      <c r="H61" s="10" t="str">
        <f>IFERROR(__xludf.DUMMYFUNCTION("if(B61=""- - -"",""Trade"",filter(R:R,Q:Q=B61))"),"AL")</f>
        <v>AL</v>
      </c>
      <c r="I61" s="11">
        <f t="array" ref="I61">index('PLV (min 500)'!F:F,match(F61,'PLV (min 500)'!B:B,0))</f>
        <v>2.64995051</v>
      </c>
      <c r="J61" s="10">
        <v>3.2003070958851496</v>
      </c>
      <c r="K61" s="10">
        <v>8.138426158953912</v>
      </c>
      <c r="L61" s="10">
        <v>13.34846850859508</v>
      </c>
      <c r="U61" s="9"/>
      <c r="X61" s="9"/>
    </row>
    <row r="62">
      <c r="A62" s="1" t="s">
        <v>112</v>
      </c>
      <c r="B62" s="1" t="s">
        <v>14</v>
      </c>
      <c r="C62" s="1">
        <v>56.2</v>
      </c>
      <c r="D62" s="3">
        <v>3.49411851</v>
      </c>
      <c r="E62" s="3">
        <v>4.400540537</v>
      </c>
      <c r="F62" s="1">
        <v>683232.0</v>
      </c>
      <c r="G62" s="9">
        <f t="shared" si="1"/>
        <v>56.66666667</v>
      </c>
      <c r="H62" s="10" t="str">
        <f>IFERROR(__xludf.DUMMYFUNCTION("if(B62=""- - -"",""Trade"",filter(R:R,Q:Q=B62))"),"NL")</f>
        <v>NL</v>
      </c>
      <c r="I62" s="11">
        <f t="array" ref="I62">index('PLV (min 500)'!F:F,match(F62,'PLV (min 500)'!B:B,0))</f>
        <v>2.658443506</v>
      </c>
      <c r="J62" s="10">
        <v>3.5177008509712095</v>
      </c>
      <c r="K62" s="10">
        <v>3.386356908379778</v>
      </c>
      <c r="L62" s="10">
        <v>8.751941663072675</v>
      </c>
      <c r="U62" s="9"/>
      <c r="X62" s="9"/>
    </row>
    <row r="63">
      <c r="A63" s="1" t="s">
        <v>113</v>
      </c>
      <c r="B63" s="1" t="s">
        <v>39</v>
      </c>
      <c r="C63" s="1">
        <v>192.0</v>
      </c>
      <c r="D63" s="3">
        <v>3.65625</v>
      </c>
      <c r="E63" s="3">
        <v>3.773689125</v>
      </c>
      <c r="F63" s="1">
        <v>664285.0</v>
      </c>
      <c r="G63" s="9">
        <f t="shared" si="1"/>
        <v>192</v>
      </c>
      <c r="H63" s="10" t="str">
        <f>IFERROR(__xludf.DUMMYFUNCTION("if(B63=""- - -"",""Trade"",filter(R:R,Q:Q=B63))"),"AL")</f>
        <v>AL</v>
      </c>
      <c r="I63" s="11">
        <f t="array" ref="I63">index('PLV (min 500)'!F:F,match(F63,'PLV (min 500)'!B:B,0))</f>
        <v>2.660072812</v>
      </c>
      <c r="J63" s="10">
        <v>3.3633373124630546</v>
      </c>
      <c r="K63" s="10">
        <v>14.862137334121494</v>
      </c>
      <c r="L63" s="10">
        <v>29.86511333569784</v>
      </c>
      <c r="U63" s="9"/>
      <c r="X63" s="9"/>
    </row>
    <row r="64">
      <c r="A64" s="1" t="s">
        <v>114</v>
      </c>
      <c r="B64" s="1" t="s">
        <v>58</v>
      </c>
      <c r="C64" s="1">
        <v>62.0</v>
      </c>
      <c r="D64" s="3">
        <v>4.790322875</v>
      </c>
      <c r="E64" s="3">
        <v>3.053004382</v>
      </c>
      <c r="F64" s="1">
        <v>642207.0</v>
      </c>
      <c r="G64" s="9">
        <f t="shared" si="1"/>
        <v>62</v>
      </c>
      <c r="H64" s="10" t="str">
        <f>IFERROR(__xludf.DUMMYFUNCTION("if(B64=""- - -"",""Trade"",filter(R:R,Q:Q=B64))"),"AL")</f>
        <v>AL</v>
      </c>
      <c r="I64" s="11">
        <f t="array" ref="I64">index('PLV (min 500)'!F:F,match(F64,'PLV (min 500)'!B:B,0))</f>
        <v>2.660842597</v>
      </c>
      <c r="J64" s="10">
        <v>3.5013899513725093</v>
      </c>
      <c r="K64" s="10">
        <v>3.8482025572116</v>
      </c>
      <c r="L64" s="10">
        <v>9.638639886523693</v>
      </c>
      <c r="U64" s="9"/>
      <c r="X64" s="9"/>
    </row>
    <row r="65">
      <c r="A65" s="1" t="s">
        <v>115</v>
      </c>
      <c r="B65" s="1" t="s">
        <v>56</v>
      </c>
      <c r="C65" s="1">
        <v>130.0</v>
      </c>
      <c r="D65" s="3">
        <v>1.730769231</v>
      </c>
      <c r="E65" s="3">
        <v>3.019513802</v>
      </c>
      <c r="F65" s="1">
        <v>543135.0</v>
      </c>
      <c r="G65" s="9">
        <f t="shared" si="1"/>
        <v>130</v>
      </c>
      <c r="H65" s="10" t="str">
        <f>IFERROR(__xludf.DUMMYFUNCTION("if(B65=""- - -"",""Trade"",filter(R:R,Q:Q=B65))"),"AL")</f>
        <v>AL</v>
      </c>
      <c r="I65" s="11">
        <f t="array" ref="I65">index('PLV (min 500)'!F:F,match(F65,'PLV (min 500)'!B:B,0))</f>
        <v>2.664315969</v>
      </c>
      <c r="J65" s="10">
        <v>2.4715330007640848</v>
      </c>
      <c r="K65" s="10">
        <v>22.944523322296547</v>
      </c>
      <c r="L65" s="10">
        <v>20.159880443556332</v>
      </c>
      <c r="U65" s="9"/>
      <c r="X65" s="9"/>
    </row>
    <row r="66">
      <c r="A66" s="1" t="s">
        <v>116</v>
      </c>
      <c r="B66" s="1" t="s">
        <v>78</v>
      </c>
      <c r="C66" s="1">
        <v>55.1</v>
      </c>
      <c r="D66" s="3">
        <v>3.415663436</v>
      </c>
      <c r="E66" s="3">
        <v>3.770881608</v>
      </c>
      <c r="F66" s="1">
        <v>621051.0</v>
      </c>
      <c r="G66" s="9">
        <f t="shared" si="1"/>
        <v>55.33333333</v>
      </c>
      <c r="H66" s="10" t="str">
        <f>IFERROR(__xludf.DUMMYFUNCTION("if(B66=""- - -"",""Trade"",filter(R:R,Q:Q=B66))"),"AL")</f>
        <v>AL</v>
      </c>
      <c r="I66" s="11">
        <f t="array" ref="I66">index('PLV (min 500)'!F:F,match(F66,'PLV (min 500)'!B:B,0))</f>
        <v>2.666451362</v>
      </c>
      <c r="J66" s="10">
        <v>3.2843321351860744</v>
      </c>
      <c r="K66" s="10">
        <v>4.748811039027476</v>
      </c>
      <c r="L66" s="10">
        <v>8.53161444201576</v>
      </c>
      <c r="U66" s="9"/>
      <c r="X66" s="9"/>
    </row>
    <row r="67">
      <c r="A67" s="1" t="s">
        <v>117</v>
      </c>
      <c r="B67" s="1" t="s">
        <v>70</v>
      </c>
      <c r="C67" s="1">
        <v>66.2</v>
      </c>
      <c r="D67" s="3">
        <v>2.970000453</v>
      </c>
      <c r="E67" s="3">
        <v>4.038621582</v>
      </c>
      <c r="F67" s="1">
        <v>596001.0</v>
      </c>
      <c r="G67" s="9">
        <f t="shared" si="1"/>
        <v>66.66666667</v>
      </c>
      <c r="H67" s="10" t="str">
        <f>IFERROR(__xludf.DUMMYFUNCTION("if(B67=""- - -"",""Trade"",filter(R:R,Q:Q=B67))"),"AL")</f>
        <v>AL</v>
      </c>
      <c r="I67" s="11">
        <f t="array" ref="I67">index('PLV (min 500)'!F:F,match(F67,'PLV (min 500)'!B:B,0))</f>
        <v>2.679552495</v>
      </c>
      <c r="J67" s="10">
        <v>3.2293915100357276</v>
      </c>
      <c r="K67" s="10">
        <v>6.109586892848313</v>
      </c>
      <c r="L67" s="10">
        <v>10.153958313767166</v>
      </c>
      <c r="U67" s="9"/>
      <c r="X67" s="9"/>
    </row>
    <row r="68">
      <c r="A68" s="1" t="s">
        <v>118</v>
      </c>
      <c r="B68" s="1" t="s">
        <v>66</v>
      </c>
      <c r="C68" s="1">
        <v>43.1</v>
      </c>
      <c r="D68" s="3">
        <v>4.569231004</v>
      </c>
      <c r="E68" s="3">
        <v>3.464355867</v>
      </c>
      <c r="F68" s="1">
        <v>695505.0</v>
      </c>
      <c r="G68" s="9">
        <f t="shared" si="1"/>
        <v>43.33333333</v>
      </c>
      <c r="H68" s="10" t="str">
        <f>IFERROR(__xludf.DUMMYFUNCTION("if(B68=""- - -"",""Trade"",filter(R:R,Q:Q=B68))"),"NL")</f>
        <v>NL</v>
      </c>
      <c r="I68" s="11">
        <f t="array" ref="I68">index('PLV (min 500)'!F:F,match(F68,'PLV (min 500)'!B:B,0))</f>
        <v>2.681063239</v>
      </c>
      <c r="J68" s="10">
        <v>3.5715500366590427</v>
      </c>
      <c r="K68" s="10">
        <v>2.339132602221694</v>
      </c>
      <c r="L68" s="10">
        <v>6.603574933342864</v>
      </c>
      <c r="U68" s="9"/>
      <c r="X68" s="9"/>
    </row>
    <row r="69">
      <c r="A69" s="1" t="s">
        <v>119</v>
      </c>
      <c r="B69" s="1" t="s">
        <v>40</v>
      </c>
      <c r="C69" s="1">
        <v>40.1</v>
      </c>
      <c r="D69" s="3">
        <v>3.570248046</v>
      </c>
      <c r="E69" s="3">
        <v>4.492425588</v>
      </c>
      <c r="F69" s="1">
        <v>669456.0</v>
      </c>
      <c r="G69" s="9">
        <f t="shared" si="1"/>
        <v>40.33333333</v>
      </c>
      <c r="H69" s="10" t="str">
        <f>IFERROR(__xludf.DUMMYFUNCTION("if(B69=""- - -"",""Trade"",filter(R:R,Q:Q=B69))"),"AL")</f>
        <v>AL</v>
      </c>
      <c r="I69" s="11">
        <f t="array" ref="I69">index('PLV (min 500)'!F:F,match(F69,'PLV (min 500)'!B:B,0))</f>
        <v>2.687684876</v>
      </c>
      <c r="J69" s="10">
        <v>3.58345283668509</v>
      </c>
      <c r="K69" s="10">
        <v>2.1232823609919866</v>
      </c>
      <c r="L69" s="10">
        <v>6.114426274464849</v>
      </c>
      <c r="U69" s="9"/>
      <c r="X69" s="9"/>
    </row>
    <row r="70">
      <c r="A70" s="1" t="s">
        <v>120</v>
      </c>
      <c r="B70" s="1" t="s">
        <v>70</v>
      </c>
      <c r="C70" s="1">
        <v>39.2</v>
      </c>
      <c r="D70" s="3">
        <v>2.72268925</v>
      </c>
      <c r="E70" s="3">
        <v>3.061209515</v>
      </c>
      <c r="F70" s="1">
        <v>800048.0</v>
      </c>
      <c r="G70" s="9">
        <f t="shared" si="1"/>
        <v>39.66666667</v>
      </c>
      <c r="H70" s="10" t="str">
        <f>IFERROR(__xludf.DUMMYFUNCTION("if(B70=""- - -"",""Trade"",filter(R:R,Q:Q=B70))"),"AL")</f>
        <v>AL</v>
      </c>
      <c r="I70" s="11">
        <f t="array" ref="I70">index('PLV (min 500)'!F:F,match(F70,'PLV (min 500)'!B:B,0))</f>
        <v>2.696092487</v>
      </c>
      <c r="J70" s="10">
        <v>2.8266637507907677</v>
      </c>
      <c r="K70" s="10">
        <v>5.3718645521113215</v>
      </c>
      <c r="L70" s="10">
        <v>5.940574943889526</v>
      </c>
      <c r="U70" s="9"/>
      <c r="X70" s="9"/>
    </row>
    <row r="71">
      <c r="A71" s="1" t="s">
        <v>121</v>
      </c>
      <c r="B71" s="1" t="s">
        <v>36</v>
      </c>
      <c r="C71" s="1">
        <v>64.2</v>
      </c>
      <c r="D71" s="3">
        <v>4.731958949</v>
      </c>
      <c r="E71" s="3">
        <v>4.781854635</v>
      </c>
      <c r="F71" s="1">
        <v>676974.0</v>
      </c>
      <c r="G71" s="9">
        <f t="shared" si="1"/>
        <v>64.66666667</v>
      </c>
      <c r="H71" s="10" t="str">
        <f>IFERROR(__xludf.DUMMYFUNCTION("if(B71=""- - -"",""Trade"",filter(R:R,Q:Q=B71))"),"NL")</f>
        <v>NL</v>
      </c>
      <c r="I71" s="11">
        <f t="array" ref="I71">index('PLV (min 500)'!F:F,match(F71,'PLV (min 500)'!B:B,0))</f>
        <v>2.700680149</v>
      </c>
      <c r="J71" s="10">
        <v>4.07149791112903</v>
      </c>
      <c r="K71" s="10">
        <v>-0.08201843272041624</v>
      </c>
      <c r="L71" s="10">
        <v>9.696481601038759</v>
      </c>
      <c r="U71" s="9"/>
      <c r="X71" s="9"/>
    </row>
    <row r="72">
      <c r="A72" s="1" t="s">
        <v>122</v>
      </c>
      <c r="B72" s="1" t="s">
        <v>21</v>
      </c>
      <c r="C72" s="1">
        <v>70.0</v>
      </c>
      <c r="D72" s="3">
        <v>2.057142913</v>
      </c>
      <c r="E72" s="3">
        <v>2.5076996</v>
      </c>
      <c r="F72" s="1">
        <v>661395.0</v>
      </c>
      <c r="G72" s="9">
        <f t="shared" si="1"/>
        <v>70</v>
      </c>
      <c r="H72" s="10" t="str">
        <f>IFERROR(__xludf.DUMMYFUNCTION("if(B72=""- - -"",""Trade"",filter(R:R,Q:Q=B72))"),"Trade")</f>
        <v>Trade</v>
      </c>
      <c r="I72" s="11">
        <f t="array" ref="I72">index('PLV (min 500)'!F:F,match(F72,'PLV (min 500)'!B:B,0))</f>
        <v>2.707236129</v>
      </c>
      <c r="J72" s="10">
        <v>2.424026213870034</v>
      </c>
      <c r="K72" s="10">
        <v>12.72424055878862</v>
      </c>
      <c r="L72" s="10">
        <v>10.521496777476976</v>
      </c>
      <c r="U72" s="9"/>
      <c r="X72" s="9"/>
    </row>
    <row r="73">
      <c r="A73" s="1" t="s">
        <v>123</v>
      </c>
      <c r="B73" s="1" t="s">
        <v>36</v>
      </c>
      <c r="C73" s="1">
        <v>73.0</v>
      </c>
      <c r="D73" s="3">
        <v>2.219178546</v>
      </c>
      <c r="E73" s="3">
        <v>2.9631386</v>
      </c>
      <c r="F73" s="1">
        <v>678692.0</v>
      </c>
      <c r="G73" s="9">
        <f t="shared" si="1"/>
        <v>73</v>
      </c>
      <c r="H73" s="10" t="str">
        <f>IFERROR(__xludf.DUMMYFUNCTION("if(B73=""- - -"",""Trade"",filter(R:R,Q:Q=B73))"),"NL")</f>
        <v>NL</v>
      </c>
      <c r="I73" s="11">
        <f t="array" ref="I73">index('PLV (min 500)'!F:F,match(F73,'PLV (min 500)'!B:B,0))</f>
        <v>2.715860836</v>
      </c>
      <c r="J73" s="10">
        <v>2.63272599390935</v>
      </c>
      <c r="K73" s="10">
        <v>11.576778049401934</v>
      </c>
      <c r="L73" s="10">
        <v>10.902462110205816</v>
      </c>
      <c r="U73" s="9"/>
      <c r="X73" s="9"/>
    </row>
    <row r="74">
      <c r="A74" s="1" t="s">
        <v>124</v>
      </c>
      <c r="B74" s="1" t="s">
        <v>31</v>
      </c>
      <c r="C74" s="1">
        <v>56.2</v>
      </c>
      <c r="D74" s="3">
        <v>4.60588256</v>
      </c>
      <c r="E74" s="3">
        <v>4.442633836</v>
      </c>
      <c r="F74" s="1">
        <v>663941.0</v>
      </c>
      <c r="G74" s="9">
        <f t="shared" si="1"/>
        <v>56.66666667</v>
      </c>
      <c r="H74" s="10" t="str">
        <f>IFERROR(__xludf.DUMMYFUNCTION("if(B74=""- - -"",""Trade"",filter(R:R,Q:Q=B74))"),"NL")</f>
        <v>NL</v>
      </c>
      <c r="I74" s="11">
        <f t="array" ref="I74">index('PLV (min 500)'!F:F,match(F74,'PLV (min 500)'!B:B,0))</f>
        <v>2.716417588</v>
      </c>
      <c r="J74" s="10">
        <v>3.9216446614224174</v>
      </c>
      <c r="K74" s="10">
        <v>0.8639522253400133</v>
      </c>
      <c r="L74" s="10">
        <v>8.38992572659782</v>
      </c>
      <c r="U74" s="9"/>
      <c r="X74" s="9"/>
    </row>
    <row r="75">
      <c r="A75" s="1" t="s">
        <v>125</v>
      </c>
      <c r="B75" s="1" t="s">
        <v>62</v>
      </c>
      <c r="C75" s="1">
        <v>149.0</v>
      </c>
      <c r="D75" s="3">
        <v>3.865771812</v>
      </c>
      <c r="E75" s="3">
        <v>3.658704756</v>
      </c>
      <c r="F75" s="1">
        <v>663554.0</v>
      </c>
      <c r="G75" s="9">
        <f t="shared" si="1"/>
        <v>149</v>
      </c>
      <c r="H75" s="10" t="str">
        <f>IFERROR(__xludf.DUMMYFUNCTION("if(B75=""- - -"",""Trade"",filter(R:R,Q:Q=B75))"),"AL")</f>
        <v>AL</v>
      </c>
      <c r="I75" s="11">
        <f t="array" ref="I75">index('PLV (min 500)'!F:F,match(F75,'PLV (min 500)'!B:B,0))</f>
        <v>2.716640819</v>
      </c>
      <c r="J75" s="10">
        <v>3.413705795566928</v>
      </c>
      <c r="K75" s="10">
        <v>10.699759606725294</v>
      </c>
      <c r="L75" s="10">
        <v>22.240057557064798</v>
      </c>
      <c r="U75" s="9"/>
      <c r="X75" s="9"/>
    </row>
    <row r="76">
      <c r="A76" s="1" t="s">
        <v>126</v>
      </c>
      <c r="B76" s="1" t="s">
        <v>16</v>
      </c>
      <c r="C76" s="1">
        <v>30.0</v>
      </c>
      <c r="D76" s="3">
        <v>5.100000162</v>
      </c>
      <c r="E76" s="3">
        <v>4.78004379</v>
      </c>
      <c r="F76" s="1">
        <v>701487.0</v>
      </c>
      <c r="G76" s="9">
        <f t="shared" si="1"/>
        <v>30</v>
      </c>
      <c r="H76" s="10" t="str">
        <f>IFERROR(__xludf.DUMMYFUNCTION("if(B76=""- - -"",""Trade"",filter(R:R,Q:Q=B76))"),"AL")</f>
        <v>AL</v>
      </c>
      <c r="I76" s="11">
        <f t="array" ref="I76">index('PLV (min 500)'!F:F,match(F76,'PLV (min 500)'!B:B,0))</f>
        <v>2.7188046</v>
      </c>
      <c r="J76" s="10">
        <v>4.199616183969791</v>
      </c>
      <c r="K76" s="10">
        <v>-0.4653872798993053</v>
      </c>
      <c r="L76" s="10">
        <v>4.470651333635421</v>
      </c>
      <c r="U76" s="9"/>
      <c r="X76" s="9"/>
    </row>
    <row r="77">
      <c r="A77" s="1" t="s">
        <v>127</v>
      </c>
      <c r="B77" s="1" t="s">
        <v>52</v>
      </c>
      <c r="C77" s="1">
        <v>84.2</v>
      </c>
      <c r="D77" s="3">
        <v>5.102362818</v>
      </c>
      <c r="E77" s="3">
        <v>5.689346049</v>
      </c>
      <c r="F77" s="1">
        <v>687765.0</v>
      </c>
      <c r="G77" s="9">
        <f t="shared" si="1"/>
        <v>84.66666667</v>
      </c>
      <c r="H77" s="10" t="str">
        <f>IFERROR(__xludf.DUMMYFUNCTION("if(B77=""- - -"",""Trade"",filter(R:R,Q:Q=B77))"),"AL")</f>
        <v>AL</v>
      </c>
      <c r="I77" s="11">
        <f t="array" ref="I77">index('PLV (min 500)'!F:F,match(F77,'PLV (min 500)'!B:B,0))</f>
        <v>2.72143311</v>
      </c>
      <c r="J77" s="10">
        <v>4.5043806590108835</v>
      </c>
      <c r="K77" s="10">
        <v>-4.157427943190714</v>
      </c>
      <c r="L77" s="10">
        <v>12.523036903916779</v>
      </c>
      <c r="U77" s="9"/>
      <c r="X77" s="9"/>
    </row>
    <row r="78">
      <c r="A78" s="1" t="s">
        <v>128</v>
      </c>
      <c r="B78" s="1" t="s">
        <v>66</v>
      </c>
      <c r="C78" s="1">
        <v>68.2</v>
      </c>
      <c r="D78" s="3">
        <v>2.883495252</v>
      </c>
      <c r="E78" s="3">
        <v>2.884330498</v>
      </c>
      <c r="F78" s="1">
        <v>641941.0</v>
      </c>
      <c r="G78" s="9">
        <f t="shared" si="1"/>
        <v>68.66666667</v>
      </c>
      <c r="H78" s="10" t="str">
        <f>IFERROR(__xludf.DUMMYFUNCTION("if(B78=""- - -"",""Trade"",filter(R:R,Q:Q=B78))"),"NL")</f>
        <v>NL</v>
      </c>
      <c r="I78" s="11">
        <f t="array" ref="I78">index('PLV (min 500)'!F:F,match(F78,'PLV (min 500)'!B:B,0))</f>
        <v>2.72388032</v>
      </c>
      <c r="J78" s="10">
        <v>2.830568690072152</v>
      </c>
      <c r="K78" s="10">
        <v>9.316357259675469</v>
      </c>
      <c r="L78" s="10">
        <v>10.12481801791531</v>
      </c>
      <c r="U78" s="9"/>
      <c r="X78" s="9"/>
    </row>
    <row r="79">
      <c r="A79" s="1" t="s">
        <v>129</v>
      </c>
      <c r="B79" s="1" t="s">
        <v>54</v>
      </c>
      <c r="C79" s="1">
        <v>167.2</v>
      </c>
      <c r="D79" s="3">
        <v>3.864811368</v>
      </c>
      <c r="E79" s="3">
        <v>3.998775282</v>
      </c>
      <c r="F79" s="1">
        <v>686752.0</v>
      </c>
      <c r="G79" s="9">
        <f t="shared" si="1"/>
        <v>167.6666667</v>
      </c>
      <c r="H79" s="10" t="str">
        <f>IFERROR(__xludf.DUMMYFUNCTION("if(B79=""- - -"",""Trade"",filter(R:R,Q:Q=B79))"),"AL")</f>
        <v>AL</v>
      </c>
      <c r="I79" s="11">
        <f t="array" ref="I79">index('PLV (min 500)'!F:F,match(F79,'PLV (min 500)'!B:B,0))</f>
        <v>2.725865678</v>
      </c>
      <c r="J79" s="10">
        <v>3.529817442664006</v>
      </c>
      <c r="K79" s="10">
        <v>9.849613731842016</v>
      </c>
      <c r="L79" s="10">
        <v>24.785250959970522</v>
      </c>
      <c r="U79" s="9"/>
      <c r="X79" s="9"/>
    </row>
    <row r="80">
      <c r="A80" s="1" t="s">
        <v>130</v>
      </c>
      <c r="B80" s="1" t="s">
        <v>45</v>
      </c>
      <c r="C80" s="1">
        <v>183.2</v>
      </c>
      <c r="D80" s="3">
        <v>3.920145408</v>
      </c>
      <c r="E80" s="3">
        <v>3.327402647</v>
      </c>
      <c r="F80" s="1">
        <v>666200.0</v>
      </c>
      <c r="G80" s="9">
        <f t="shared" si="1"/>
        <v>183.6666667</v>
      </c>
      <c r="H80" s="10" t="str">
        <f>IFERROR(__xludf.DUMMYFUNCTION("if(B80=""- - -"",""Trade"",filter(R:R,Q:Q=B80))"),"NL")</f>
        <v>NL</v>
      </c>
      <c r="I80" s="11">
        <f t="array" ref="I80">index('PLV (min 500)'!F:F,match(F80,'PLV (min 500)'!B:B,0))</f>
        <v>2.728588835</v>
      </c>
      <c r="J80" s="10">
        <v>3.3253789632852135</v>
      </c>
      <c r="K80" s="10">
        <v>14.953619325127644</v>
      </c>
      <c r="L80" s="10">
        <v>27.101613939382972</v>
      </c>
      <c r="U80" s="9"/>
      <c r="X80" s="9"/>
    </row>
    <row r="81">
      <c r="A81" s="1" t="s">
        <v>131</v>
      </c>
      <c r="B81" s="1" t="s">
        <v>62</v>
      </c>
      <c r="C81" s="1">
        <v>68.2</v>
      </c>
      <c r="D81" s="3">
        <v>3.014563553</v>
      </c>
      <c r="E81" s="3">
        <v>2.875878297</v>
      </c>
      <c r="F81" s="1">
        <v>676684.0</v>
      </c>
      <c r="G81" s="9">
        <f t="shared" si="1"/>
        <v>68.66666667</v>
      </c>
      <c r="H81" s="10" t="str">
        <f>IFERROR(__xludf.DUMMYFUNCTION("if(B81=""- - -"",""Trade"",filter(R:R,Q:Q=B81))"),"AL")</f>
        <v>AL</v>
      </c>
      <c r="I81" s="11">
        <f t="array" ref="I81">index('PLV (min 500)'!F:F,match(F81,'PLV (min 500)'!B:B,0))</f>
        <v>2.735326879</v>
      </c>
      <c r="J81" s="10">
        <v>2.8752562428359982</v>
      </c>
      <c r="K81" s="10">
        <v>8.977724915398321</v>
      </c>
      <c r="L81" s="10">
        <v>10.038078542861642</v>
      </c>
      <c r="U81" s="9"/>
      <c r="X81" s="9"/>
    </row>
    <row r="82">
      <c r="A82" s="1" t="s">
        <v>132</v>
      </c>
      <c r="B82" s="1" t="s">
        <v>70</v>
      </c>
      <c r="C82" s="1">
        <v>47.1</v>
      </c>
      <c r="D82" s="3">
        <v>3.232394714</v>
      </c>
      <c r="E82" s="3">
        <v>3.131966773</v>
      </c>
      <c r="F82" s="1">
        <v>661403.0</v>
      </c>
      <c r="G82" s="9">
        <f t="shared" si="1"/>
        <v>47.33333333</v>
      </c>
      <c r="H82" s="10" t="str">
        <f>IFERROR(__xludf.DUMMYFUNCTION("if(B82=""- - -"",""Trade"",filter(R:R,Q:Q=B82))"),"AL")</f>
        <v>AL</v>
      </c>
      <c r="I82" s="11">
        <f t="array" ref="I82">index('PLV (min 500)'!F:F,match(F82,'PLV (min 500)'!B:B,0))</f>
        <v>2.743944212</v>
      </c>
      <c r="J82" s="10">
        <v>3.0361018995642417</v>
      </c>
      <c r="K82" s="10">
        <v>5.358400058947133</v>
      </c>
      <c r="L82" s="10">
        <v>6.887358625474744</v>
      </c>
      <c r="U82" s="9"/>
      <c r="X82" s="9"/>
    </row>
    <row r="83">
      <c r="A83" s="1" t="s">
        <v>133</v>
      </c>
      <c r="B83" s="1" t="s">
        <v>21</v>
      </c>
      <c r="C83" s="1">
        <v>158.0</v>
      </c>
      <c r="D83" s="3">
        <v>5.354430444</v>
      </c>
      <c r="E83" s="3">
        <v>5.014943614</v>
      </c>
      <c r="F83" s="1">
        <v>663978.0</v>
      </c>
      <c r="G83" s="9">
        <f t="shared" si="1"/>
        <v>158</v>
      </c>
      <c r="H83" s="10" t="str">
        <f>IFERROR(__xludf.DUMMYFUNCTION("if(B83=""- - -"",""Trade"",filter(R:R,Q:Q=B83))"),"Trade")</f>
        <v>Trade</v>
      </c>
      <c r="I83" s="11">
        <f t="array" ref="I83">index('PLV (min 500)'!F:F,match(F83,'PLV (min 500)'!B:B,0))</f>
        <v>2.744567487</v>
      </c>
      <c r="J83" s="10">
        <v>4.371313848424097</v>
      </c>
      <c r="K83" s="10">
        <v>-5.465287561223042</v>
      </c>
      <c r="L83" s="10">
        <v>23.093148556775347</v>
      </c>
      <c r="U83" s="9"/>
      <c r="X83" s="9"/>
    </row>
    <row r="84">
      <c r="A84" s="1" t="s">
        <v>134</v>
      </c>
      <c r="B84" s="1" t="s">
        <v>22</v>
      </c>
      <c r="C84" s="1">
        <v>35.1</v>
      </c>
      <c r="D84" s="3">
        <v>4.58490632</v>
      </c>
      <c r="E84" s="3">
        <v>3.431954898</v>
      </c>
      <c r="F84" s="1">
        <v>677161.0</v>
      </c>
      <c r="G84" s="9">
        <f t="shared" si="1"/>
        <v>35.33333333</v>
      </c>
      <c r="H84" s="10" t="str">
        <f>IFERROR(__xludf.DUMMYFUNCTION("if(B84=""- - -"",""Trade"",filter(R:R,Q:Q=B84))"),"AL")</f>
        <v>AL</v>
      </c>
      <c r="I84" s="11">
        <f t="array" ref="I84">index('PLV (min 500)'!F:F,match(F84,'PLV (min 500)'!B:B,0))</f>
        <v>2.748165198</v>
      </c>
      <c r="J84" s="10">
        <v>3.588342138713044</v>
      </c>
      <c r="K84" s="10">
        <v>1.8394656590191265</v>
      </c>
      <c r="L84" s="10">
        <v>5.116155727257374</v>
      </c>
      <c r="U84" s="9"/>
      <c r="X84" s="9"/>
    </row>
    <row r="85">
      <c r="A85" s="1" t="s">
        <v>135</v>
      </c>
      <c r="B85" s="1" t="s">
        <v>70</v>
      </c>
      <c r="C85" s="1">
        <v>73.2</v>
      </c>
      <c r="D85" s="3">
        <v>2.932127102</v>
      </c>
      <c r="E85" s="3">
        <v>2.507430868</v>
      </c>
      <c r="F85" s="1">
        <v>671922.0</v>
      </c>
      <c r="G85" s="9">
        <f t="shared" si="1"/>
        <v>73.66666667</v>
      </c>
      <c r="H85" s="10" t="str">
        <f>IFERROR(__xludf.DUMMYFUNCTION("if(B85=""- - -"",""Trade"",filter(R:R,Q:Q=B85))"),"AL")</f>
        <v>AL</v>
      </c>
      <c r="I85" s="11">
        <f t="array" ref="I85">index('PLV (min 500)'!F:F,match(F85,'PLV (min 500)'!B:B,0))</f>
        <v>2.749224299</v>
      </c>
      <c r="J85" s="10">
        <v>2.7295940896055644</v>
      </c>
      <c r="K85" s="10">
        <v>10.820634737874741</v>
      </c>
      <c r="L85" s="10">
        <v>10.660975702957561</v>
      </c>
      <c r="U85" s="9"/>
      <c r="X85" s="9"/>
    </row>
    <row r="86">
      <c r="A86" s="1" t="s">
        <v>136</v>
      </c>
      <c r="B86" s="1" t="s">
        <v>33</v>
      </c>
      <c r="C86" s="1">
        <v>47.0</v>
      </c>
      <c r="D86" s="3">
        <v>2.872340426</v>
      </c>
      <c r="E86" s="3">
        <v>2.533503839</v>
      </c>
      <c r="F86" s="1">
        <v>660271.0</v>
      </c>
      <c r="G86" s="9">
        <f t="shared" si="1"/>
        <v>47</v>
      </c>
      <c r="H86" s="10" t="str">
        <f>IFERROR(__xludf.DUMMYFUNCTION("if(B86=""- - -"",""Trade"",filter(R:R,Q:Q=B86))"),"NL")</f>
        <v>NL</v>
      </c>
      <c r="I86" s="11">
        <f t="array" ref="I86">index('PLV (min 500)'!F:F,match(F86,'PLV (min 500)'!B:B,0))</f>
        <v>2.750395787</v>
      </c>
      <c r="J86" s="10">
        <v>2.7187466840780146</v>
      </c>
      <c r="K86" s="10">
        <v>7.004322872037033</v>
      </c>
      <c r="L86" s="10">
        <v>6.839044222222216</v>
      </c>
      <c r="U86" s="9"/>
      <c r="X86" s="9"/>
    </row>
    <row r="87">
      <c r="A87" s="1" t="s">
        <v>137</v>
      </c>
      <c r="B87" s="1" t="s">
        <v>40</v>
      </c>
      <c r="C87" s="1">
        <v>85.0</v>
      </c>
      <c r="D87" s="3">
        <v>5.188235294</v>
      </c>
      <c r="E87" s="3">
        <v>4.618074147</v>
      </c>
      <c r="F87" s="1">
        <v>453286.0</v>
      </c>
      <c r="G87" s="9">
        <f t="shared" si="1"/>
        <v>85</v>
      </c>
      <c r="H87" s="10" t="str">
        <f>IFERROR(__xludf.DUMMYFUNCTION("if(B87=""- - -"",""Trade"",filter(R:R,Q:Q=B87))"),"AL")</f>
        <v>AL</v>
      </c>
      <c r="I87" s="11">
        <f t="array" ref="I87">index('PLV (min 500)'!F:F,match(F87,'PLV (min 500)'!B:B,0))</f>
        <v>2.759406882</v>
      </c>
      <c r="J87" s="10">
        <v>4.188572107795135</v>
      </c>
      <c r="K87" s="10">
        <v>-1.214292129176281</v>
      </c>
      <c r="L87" s="10">
        <v>12.283379444137838</v>
      </c>
      <c r="U87" s="9"/>
      <c r="X87" s="9"/>
    </row>
    <row r="88">
      <c r="A88" s="1" t="s">
        <v>138</v>
      </c>
      <c r="B88" s="1" t="s">
        <v>45</v>
      </c>
      <c r="C88" s="1">
        <v>67.1</v>
      </c>
      <c r="D88" s="3">
        <v>3.074257658</v>
      </c>
      <c r="E88" s="3">
        <v>3.794772619</v>
      </c>
      <c r="F88" s="1">
        <v>621383.0</v>
      </c>
      <c r="G88" s="9">
        <f t="shared" si="1"/>
        <v>67.33333333</v>
      </c>
      <c r="H88" s="10" t="str">
        <f>IFERROR(__xludf.DUMMYFUNCTION("if(B88=""- - -"",""Trade"",filter(R:R,Q:Q=B88))"),"NL")</f>
        <v>NL</v>
      </c>
      <c r="I88" s="11">
        <f t="array" ref="I88">index('PLV (min 500)'!F:F,match(F88,'PLV (min 500)'!B:B,0))</f>
        <v>2.769509896</v>
      </c>
      <c r="J88" s="10">
        <v>3.212846724323684</v>
      </c>
      <c r="K88" s="10">
        <v>6.315998310875641</v>
      </c>
      <c r="L88" s="10">
        <v>9.621320664482491</v>
      </c>
      <c r="U88" s="9"/>
      <c r="X88" s="9"/>
    </row>
    <row r="89">
      <c r="A89" s="1" t="s">
        <v>139</v>
      </c>
      <c r="B89" s="1" t="s">
        <v>21</v>
      </c>
      <c r="C89" s="1">
        <v>57.0</v>
      </c>
      <c r="D89" s="3">
        <v>3.473684675</v>
      </c>
      <c r="E89" s="3">
        <v>3.151226664</v>
      </c>
      <c r="F89" s="1">
        <v>640448.0</v>
      </c>
      <c r="G89" s="9">
        <f t="shared" si="1"/>
        <v>57</v>
      </c>
      <c r="H89" s="10" t="str">
        <f>IFERROR(__xludf.DUMMYFUNCTION("if(B89=""- - -"",""Trade"",filter(R:R,Q:Q=B89))"),"Trade")</f>
        <v>Trade</v>
      </c>
      <c r="I89" s="11">
        <f t="array" ref="I89">index('PLV (min 500)'!F:F,match(F89,'PLV (min 500)'!B:B,0))</f>
        <v>2.772820422</v>
      </c>
      <c r="J89" s="10">
        <v>3.1325772535292464</v>
      </c>
      <c r="K89" s="10">
        <v>5.87367739431477</v>
      </c>
      <c r="L89" s="10">
        <v>8.152137329944324</v>
      </c>
      <c r="U89" s="9"/>
      <c r="X89" s="9"/>
    </row>
    <row r="90">
      <c r="A90" s="1" t="s">
        <v>140</v>
      </c>
      <c r="B90" s="1" t="s">
        <v>29</v>
      </c>
      <c r="C90" s="1">
        <v>64.2</v>
      </c>
      <c r="D90" s="3">
        <v>4.175258881</v>
      </c>
      <c r="E90" s="3">
        <v>4.007500499</v>
      </c>
      <c r="F90" s="1">
        <v>672582.0</v>
      </c>
      <c r="G90" s="9">
        <f t="shared" si="1"/>
        <v>64.66666667</v>
      </c>
      <c r="H90" s="10" t="str">
        <f>IFERROR(__xludf.DUMMYFUNCTION("if(B90=""- - -"",""Trade"",filter(R:R,Q:Q=B90))"),"AL")</f>
        <v>AL</v>
      </c>
      <c r="I90" s="11">
        <f t="array" ref="I90">index('PLV (min 500)'!F:F,match(F90,'PLV (min 500)'!B:B,0))</f>
        <v>2.775596242</v>
      </c>
      <c r="J90" s="10">
        <v>3.65278520727484</v>
      </c>
      <c r="K90" s="10">
        <v>2.9047988547728045</v>
      </c>
      <c r="L90" s="10">
        <v>9.162080141651764</v>
      </c>
      <c r="U90" s="9"/>
      <c r="X90" s="9"/>
    </row>
    <row r="91">
      <c r="A91" s="1" t="s">
        <v>141</v>
      </c>
      <c r="B91" s="1" t="s">
        <v>70</v>
      </c>
      <c r="C91" s="1">
        <v>54.2</v>
      </c>
      <c r="D91" s="3">
        <v>4.115854999</v>
      </c>
      <c r="E91" s="3">
        <v>3.460709489</v>
      </c>
      <c r="F91" s="1">
        <v>670036.0</v>
      </c>
      <c r="G91" s="9">
        <f t="shared" si="1"/>
        <v>54.66666667</v>
      </c>
      <c r="H91" s="10" t="str">
        <f>IFERROR(__xludf.DUMMYFUNCTION("if(B91=""- - -"",""Trade"",filter(R:R,Q:Q=B91))"),"AL")</f>
        <v>AL</v>
      </c>
      <c r="I91" s="11">
        <f t="array" ref="I91">index('PLV (min 500)'!F:F,match(F91,'PLV (min 500)'!B:B,0))</f>
        <v>2.788726939</v>
      </c>
      <c r="J91" s="10">
        <v>3.4550971424718306</v>
      </c>
      <c r="K91" s="10">
        <v>3.6428594308918623</v>
      </c>
      <c r="L91" s="10">
        <v>7.655888875964475</v>
      </c>
      <c r="U91" s="9"/>
      <c r="X91" s="9"/>
    </row>
    <row r="92">
      <c r="A92" s="1" t="s">
        <v>142</v>
      </c>
      <c r="B92" s="1" t="s">
        <v>40</v>
      </c>
      <c r="C92" s="1">
        <v>52.2</v>
      </c>
      <c r="D92" s="3">
        <v>4.443039476</v>
      </c>
      <c r="E92" s="3">
        <v>3.300474154</v>
      </c>
      <c r="F92" s="1">
        <v>689254.0</v>
      </c>
      <c r="G92" s="9">
        <f t="shared" si="1"/>
        <v>52.66666667</v>
      </c>
      <c r="H92" s="10" t="str">
        <f>IFERROR(__xludf.DUMMYFUNCTION("if(B92=""- - -"",""Trade"",filter(R:R,Q:Q=B92))"),"AL")</f>
        <v>AL</v>
      </c>
      <c r="I92" s="11">
        <f t="array" ref="I92">index('PLV (min 500)'!F:F,match(F92,'PLV (min 500)'!B:B,0))</f>
        <v>2.792388531</v>
      </c>
      <c r="J92" s="10">
        <v>3.5119673871209325</v>
      </c>
      <c r="K92" s="10">
        <v>3.1785891546985896</v>
      </c>
      <c r="L92" s="10">
        <v>7.352146518095779</v>
      </c>
      <c r="U92" s="9"/>
      <c r="X92" s="9"/>
    </row>
    <row r="93">
      <c r="A93" s="1" t="s">
        <v>143</v>
      </c>
      <c r="B93" s="1" t="s">
        <v>22</v>
      </c>
      <c r="C93" s="1">
        <v>61.0</v>
      </c>
      <c r="D93" s="3">
        <v>4.131147541</v>
      </c>
      <c r="E93" s="3">
        <v>3.939241117</v>
      </c>
      <c r="F93" s="1">
        <v>690928.0</v>
      </c>
      <c r="G93" s="9">
        <f t="shared" si="1"/>
        <v>61</v>
      </c>
      <c r="H93" s="10" t="str">
        <f>IFERROR(__xludf.DUMMYFUNCTION("if(B93=""- - -"",""Trade"",filter(R:R,Q:Q=B93))"),"AL")</f>
        <v>AL</v>
      </c>
      <c r="I93" s="11">
        <f t="array" ref="I93">index('PLV (min 500)'!F:F,match(F93,'PLV (min 500)'!B:B,0))</f>
        <v>2.797631852</v>
      </c>
      <c r="J93" s="10">
        <v>3.6226735034099007</v>
      </c>
      <c r="K93" s="10">
        <v>2.9641018102217815</v>
      </c>
      <c r="L93" s="10">
        <v>8.556050779332018</v>
      </c>
      <c r="U93" s="9"/>
      <c r="X93" s="9"/>
    </row>
    <row r="94">
      <c r="A94" s="1" t="s">
        <v>144</v>
      </c>
      <c r="B94" s="1" t="s">
        <v>29</v>
      </c>
      <c r="C94" s="1">
        <v>64.0</v>
      </c>
      <c r="D94" s="3">
        <v>3.796876132</v>
      </c>
      <c r="E94" s="3">
        <v>4.016685937</v>
      </c>
      <c r="F94" s="1">
        <v>670167.0</v>
      </c>
      <c r="G94" s="9">
        <f t="shared" si="1"/>
        <v>64</v>
      </c>
      <c r="H94" s="10" t="str">
        <f>IFERROR(__xludf.DUMMYFUNCTION("if(B94=""- - -"",""Trade"",filter(R:R,Q:Q=B94))"),"AL")</f>
        <v>AL</v>
      </c>
      <c r="I94" s="11">
        <f t="array" ref="I94">index('PLV (min 500)'!F:F,match(F94,'PLV (min 500)'!B:B,0))</f>
        <v>2.798141063</v>
      </c>
      <c r="J94" s="10">
        <v>3.537234377166667</v>
      </c>
      <c r="K94" s="10">
        <v>3.717444429037032</v>
      </c>
      <c r="L94" s="10">
        <v>8.973219111111108</v>
      </c>
      <c r="U94" s="9"/>
      <c r="X94" s="9"/>
    </row>
    <row r="95">
      <c r="A95" s="1" t="s">
        <v>145</v>
      </c>
      <c r="B95" s="1" t="s">
        <v>72</v>
      </c>
      <c r="C95" s="1">
        <v>95.2</v>
      </c>
      <c r="D95" s="3">
        <v>4.421602817</v>
      </c>
      <c r="E95" s="3">
        <v>4.653223037</v>
      </c>
      <c r="F95" s="1">
        <v>700241.0</v>
      </c>
      <c r="G95" s="9">
        <f t="shared" si="1"/>
        <v>95.66666667</v>
      </c>
      <c r="H95" s="10" t="str">
        <f>IFERROR(__xludf.DUMMYFUNCTION("if(B95=""- - -"",""Trade"",filter(R:R,Q:Q=B95))"),"NL")</f>
        <v>NL</v>
      </c>
      <c r="I95" s="11">
        <f t="array" ref="I95">index('PLV (min 500)'!F:F,match(F95,'PLV (min 500)'!B:B,0))</f>
        <v>2.798751418</v>
      </c>
      <c r="J95" s="10">
        <v>3.9578590907614157</v>
      </c>
      <c r="K95" s="10">
        <v>1.0804238399459094</v>
      </c>
      <c r="L95" s="10">
        <v>13.341207219926623</v>
      </c>
      <c r="U95" s="9"/>
      <c r="X95" s="9"/>
    </row>
    <row r="96">
      <c r="A96" s="1" t="s">
        <v>146</v>
      </c>
      <c r="B96" s="1" t="s">
        <v>16</v>
      </c>
      <c r="C96" s="1">
        <v>60.0</v>
      </c>
      <c r="D96" s="3">
        <v>3.900000496</v>
      </c>
      <c r="E96" s="3">
        <v>4.418625279</v>
      </c>
      <c r="F96" s="1">
        <v>623437.0</v>
      </c>
      <c r="G96" s="9">
        <f t="shared" si="1"/>
        <v>60</v>
      </c>
      <c r="H96" s="10" t="str">
        <f>IFERROR(__xludf.DUMMYFUNCTION("if(B96=""- - -"",""Trade"",filter(R:R,Q:Q=B96))"),"AL")</f>
        <v>AL</v>
      </c>
      <c r="I96" s="11">
        <f t="array" ref="I96">index('PLV (min 500)'!F:F,match(F96,'PLV (min 500)'!B:B,0))</f>
        <v>2.8006215</v>
      </c>
      <c r="J96" s="10">
        <v>3.7064157582866564</v>
      </c>
      <c r="K96" s="10">
        <v>2.357228278088955</v>
      </c>
      <c r="L96" s="10">
        <v>8.395856667600201</v>
      </c>
      <c r="U96" s="9"/>
      <c r="X96" s="9"/>
    </row>
    <row r="97">
      <c r="A97" s="1" t="s">
        <v>147</v>
      </c>
      <c r="B97" s="1" t="s">
        <v>29</v>
      </c>
      <c r="C97" s="1">
        <v>172.2</v>
      </c>
      <c r="D97" s="3">
        <v>3.857143084</v>
      </c>
      <c r="E97" s="3">
        <v>4.1680703</v>
      </c>
      <c r="F97" s="1">
        <v>608379.0</v>
      </c>
      <c r="G97" s="9">
        <f t="shared" si="1"/>
        <v>172.6666667</v>
      </c>
      <c r="H97" s="10" t="str">
        <f>IFERROR(__xludf.DUMMYFUNCTION("if(B97=""- - -"",""Trade"",filter(R:R,Q:Q=B97))"),"AL")</f>
        <v>AL</v>
      </c>
      <c r="I97" s="11">
        <f t="array" ref="I97">index('PLV (min 500)'!F:F,match(F97,'PLV (min 500)'!B:B,0))</f>
        <v>2.801649735</v>
      </c>
      <c r="J97" s="10">
        <v>3.6089543731665334</v>
      </c>
      <c r="K97" s="10">
        <v>8.630006326746987</v>
      </c>
      <c r="L97" s="10">
        <v>24.0764350607743</v>
      </c>
      <c r="U97" s="9"/>
      <c r="X97" s="9"/>
    </row>
    <row r="98">
      <c r="A98" s="1" t="s">
        <v>148</v>
      </c>
      <c r="B98" s="1" t="s">
        <v>80</v>
      </c>
      <c r="C98" s="1">
        <v>82.2</v>
      </c>
      <c r="D98" s="3">
        <v>6.205645352</v>
      </c>
      <c r="E98" s="3">
        <v>4.559051884</v>
      </c>
      <c r="F98" s="1">
        <v>592866.0</v>
      </c>
      <c r="G98" s="9">
        <f t="shared" si="1"/>
        <v>82.66666667</v>
      </c>
      <c r="H98" s="10" t="str">
        <f>IFERROR(__xludf.DUMMYFUNCTION("if(B98=""- - -"",""Trade"",filter(R:R,Q:Q=B98))"),"NL")</f>
        <v>NL</v>
      </c>
      <c r="I98" s="11">
        <f t="array" ref="I98">index('PLV (min 500)'!F:F,match(F98,'PLV (min 500)'!B:B,0))</f>
        <v>2.803226225</v>
      </c>
      <c r="J98" s="10">
        <v>4.5226411537960765</v>
      </c>
      <c r="K98" s="10">
        <v>-4.225455871337502</v>
      </c>
      <c r="L98" s="10">
        <v>11.478533808120844</v>
      </c>
      <c r="U98" s="9"/>
      <c r="X98" s="9"/>
    </row>
    <row r="99">
      <c r="A99" s="1" t="s">
        <v>149</v>
      </c>
      <c r="B99" s="1" t="s">
        <v>64</v>
      </c>
      <c r="C99" s="1">
        <v>36.2</v>
      </c>
      <c r="D99" s="3">
        <v>3.927273408</v>
      </c>
      <c r="E99" s="3">
        <v>4.277508905</v>
      </c>
      <c r="F99" s="1">
        <v>595928.0</v>
      </c>
      <c r="G99" s="9">
        <f t="shared" si="1"/>
        <v>36.66666667</v>
      </c>
      <c r="H99" s="10" t="str">
        <f>IFERROR(__xludf.DUMMYFUNCTION("if(B99=""- - -"",""Trade"",filter(R:R,Q:Q=B99))"),"NL")</f>
        <v>NL</v>
      </c>
      <c r="I99" s="11">
        <f t="array" ref="I99">index('PLV (min 500)'!F:F,match(F99,'PLV (min 500)'!B:B,0))</f>
        <v>2.803475782</v>
      </c>
      <c r="J99" s="10">
        <v>3.6694193649818714</v>
      </c>
      <c r="K99" s="10">
        <v>1.5710021097395825</v>
      </c>
      <c r="L99" s="10">
        <v>5.054019632618759</v>
      </c>
      <c r="U99" s="9"/>
      <c r="X99" s="9"/>
    </row>
    <row r="100">
      <c r="A100" s="1" t="s">
        <v>150</v>
      </c>
      <c r="B100" s="1" t="s">
        <v>16</v>
      </c>
      <c r="C100" s="1">
        <v>171.0</v>
      </c>
      <c r="D100" s="3">
        <v>3.421052632</v>
      </c>
      <c r="E100" s="3">
        <v>3.428713046</v>
      </c>
      <c r="F100" s="1">
        <v>657746.0</v>
      </c>
      <c r="G100" s="9">
        <f t="shared" si="1"/>
        <v>171</v>
      </c>
      <c r="H100" s="10" t="str">
        <f>IFERROR(__xludf.DUMMYFUNCTION("if(B100=""- - -"",""Trade"",filter(R:R,Q:Q=B100))"),"AL")</f>
        <v>AL</v>
      </c>
      <c r="I100" s="11">
        <f t="array" ref="I100">index('PLV (min 500)'!F:F,match(F100,'PLV (min 500)'!B:B,0))</f>
        <v>2.807167053</v>
      </c>
      <c r="J100" s="10">
        <v>3.218977576920969</v>
      </c>
      <c r="K100" s="10">
        <v>15.97942603850158</v>
      </c>
      <c r="L100" s="10">
        <v>23.80382599750474</v>
      </c>
      <c r="U100" s="9"/>
      <c r="X100" s="9"/>
    </row>
    <row r="101">
      <c r="A101" s="1" t="s">
        <v>151</v>
      </c>
      <c r="B101" s="1" t="s">
        <v>56</v>
      </c>
      <c r="C101" s="1">
        <v>70.1</v>
      </c>
      <c r="D101" s="3">
        <v>3.83886367</v>
      </c>
      <c r="E101" s="3">
        <v>3.792600902</v>
      </c>
      <c r="F101" s="1">
        <v>571948.0</v>
      </c>
      <c r="G101" s="9">
        <f t="shared" si="1"/>
        <v>70.33333333</v>
      </c>
      <c r="H101" s="10" t="str">
        <f>IFERROR(__xludf.DUMMYFUNCTION("if(B101=""- - -"",""Trade"",filter(R:R,Q:Q=B101))"),"AL")</f>
        <v>AL</v>
      </c>
      <c r="I101" s="11">
        <f t="array" ref="I101">index('PLV (min 500)'!F:F,match(F101,'PLV (min 500)'!B:B,0))</f>
        <v>2.809149355</v>
      </c>
      <c r="J101" s="10">
        <v>3.48020464248785</v>
      </c>
      <c r="K101" s="10">
        <v>4.5159616179557425</v>
      </c>
      <c r="L101" s="10">
        <v>9.742736686889454</v>
      </c>
      <c r="U101" s="9"/>
      <c r="X101" s="9"/>
    </row>
    <row r="102">
      <c r="A102" s="1" t="s">
        <v>152</v>
      </c>
      <c r="B102" s="1" t="s">
        <v>22</v>
      </c>
      <c r="C102" s="1">
        <v>45.0</v>
      </c>
      <c r="D102" s="3">
        <v>5.0</v>
      </c>
      <c r="E102" s="3">
        <v>5.607431016</v>
      </c>
      <c r="F102" s="1">
        <v>690916.0</v>
      </c>
      <c r="G102" s="9">
        <f t="shared" si="1"/>
        <v>45</v>
      </c>
      <c r="H102" s="10" t="str">
        <f>IFERROR(__xludf.DUMMYFUNCTION("if(B102=""- - -"",""Trade"",filter(R:R,Q:Q=B102))"),"AL")</f>
        <v>AL</v>
      </c>
      <c r="I102" s="11">
        <f t="array" ref="I102">index('PLV (min 500)'!F:F,match(F102,'PLV (min 500)'!B:B,0))</f>
        <v>2.8099164</v>
      </c>
      <c r="J102" s="10">
        <v>4.472449138749924</v>
      </c>
      <c r="K102" s="10">
        <v>-2.0622456937496203</v>
      </c>
      <c r="L102" s="10">
        <v>6.250417998751148</v>
      </c>
      <c r="U102" s="9"/>
      <c r="X102" s="9"/>
    </row>
    <row r="103">
      <c r="A103" s="1" t="s">
        <v>153</v>
      </c>
      <c r="B103" s="1" t="s">
        <v>37</v>
      </c>
      <c r="C103" s="1">
        <v>131.0</v>
      </c>
      <c r="D103" s="3">
        <v>3.435114504</v>
      </c>
      <c r="E103" s="3">
        <v>3.084206169</v>
      </c>
      <c r="F103" s="1">
        <v>669302.0</v>
      </c>
      <c r="G103" s="9">
        <f t="shared" si="1"/>
        <v>131</v>
      </c>
      <c r="H103" s="10" t="str">
        <f>IFERROR(__xludf.DUMMYFUNCTION("if(B103=""- - -"",""Trade"",filter(R:R,Q:Q=B103))"),"AL")</f>
        <v>AL</v>
      </c>
      <c r="I103" s="11">
        <f t="array" ref="I103">index('PLV (min 500)'!F:F,match(F103,'PLV (min 500)'!B:B,0))</f>
        <v>2.810051313</v>
      </c>
      <c r="J103" s="10">
        <v>3.109790662013817</v>
      </c>
      <c r="K103" s="10">
        <v>13.830824808465547</v>
      </c>
      <c r="L103" s="10">
        <v>18.19369755461886</v>
      </c>
      <c r="U103" s="9"/>
      <c r="X103" s="9"/>
    </row>
    <row r="104">
      <c r="A104" s="1" t="s">
        <v>154</v>
      </c>
      <c r="B104" s="1" t="s">
        <v>25</v>
      </c>
      <c r="C104" s="1">
        <v>59.0</v>
      </c>
      <c r="D104" s="3">
        <v>2.593220507</v>
      </c>
      <c r="E104" s="3">
        <v>3.729464883</v>
      </c>
      <c r="F104" s="1">
        <v>445276.0</v>
      </c>
      <c r="G104" s="9">
        <f t="shared" si="1"/>
        <v>59</v>
      </c>
      <c r="H104" s="10" t="str">
        <f>IFERROR(__xludf.DUMMYFUNCTION("if(B104=""- - -"",""Trade"",filter(R:R,Q:Q=B104))"),"AL")</f>
        <v>AL</v>
      </c>
      <c r="I104" s="11">
        <f t="array" ref="I104">index('PLV (min 500)'!F:F,match(F104,'PLV (min 500)'!B:B,0))</f>
        <v>2.812969678</v>
      </c>
      <c r="J104" s="10">
        <v>3.045218356036378</v>
      </c>
      <c r="K104" s="10">
        <v>6.65245744376152</v>
      </c>
      <c r="L104" s="10">
        <v>8.174976554617894</v>
      </c>
      <c r="U104" s="9"/>
      <c r="X104" s="9"/>
    </row>
    <row r="105">
      <c r="A105" s="1" t="s">
        <v>155</v>
      </c>
      <c r="B105" s="1" t="s">
        <v>40</v>
      </c>
      <c r="C105" s="1">
        <v>193.0</v>
      </c>
      <c r="D105" s="3">
        <v>3.590673575</v>
      </c>
      <c r="E105" s="3">
        <v>3.733030713</v>
      </c>
      <c r="F105" s="1">
        <v>592332.0</v>
      </c>
      <c r="G105" s="9">
        <f t="shared" si="1"/>
        <v>193</v>
      </c>
      <c r="H105" s="10" t="str">
        <f>IFERROR(__xludf.DUMMYFUNCTION("if(B105=""- - -"",""Trade"",filter(R:R,Q:Q=B105))"),"AL")</f>
        <v>AL</v>
      </c>
      <c r="I105" s="11">
        <f t="array" ref="I105">index('PLV (min 500)'!F:F,match(F105,'PLV (min 500)'!B:B,0))</f>
        <v>2.813724653</v>
      </c>
      <c r="J105" s="10">
        <v>3.3791429802978263</v>
      </c>
      <c r="K105" s="10">
        <v>14.60060053361327</v>
      </c>
      <c r="L105" s="10">
        <v>26.72568244350653</v>
      </c>
      <c r="U105" s="9"/>
      <c r="X105" s="9"/>
    </row>
    <row r="106">
      <c r="A106" s="1" t="s">
        <v>156</v>
      </c>
      <c r="B106" s="1" t="s">
        <v>46</v>
      </c>
      <c r="C106" s="1">
        <v>125.2</v>
      </c>
      <c r="D106" s="3">
        <v>2.57824935</v>
      </c>
      <c r="E106" s="3">
        <v>2.852859111</v>
      </c>
      <c r="F106" s="1">
        <v>519242.0</v>
      </c>
      <c r="G106" s="9">
        <f t="shared" si="1"/>
        <v>125.6666667</v>
      </c>
      <c r="H106" s="10" t="str">
        <f>IFERROR(__xludf.DUMMYFUNCTION("if(B106=""- - -"",""Trade"",filter(R:R,Q:Q=B106))"),"NL")</f>
        <v>NL</v>
      </c>
      <c r="I106" s="11">
        <f t="array" ref="I106">index('PLV (min 500)'!F:F,match(F106,'PLV (min 500)'!B:B,0))</f>
        <v>2.817857292</v>
      </c>
      <c r="J106" s="10">
        <v>2.7496552509157635</v>
      </c>
      <c r="K106" s="10">
        <v>18.22835139837182</v>
      </c>
      <c r="L106" s="10">
        <v>17.279585230359917</v>
      </c>
      <c r="U106" s="9"/>
      <c r="X106" s="9"/>
    </row>
    <row r="107">
      <c r="A107" s="1" t="s">
        <v>157</v>
      </c>
      <c r="B107" s="1" t="s">
        <v>37</v>
      </c>
      <c r="C107" s="1">
        <v>78.2</v>
      </c>
      <c r="D107" s="3">
        <v>2.516949478</v>
      </c>
      <c r="E107" s="3">
        <v>3.333918439</v>
      </c>
      <c r="F107" s="1">
        <v>660825.0</v>
      </c>
      <c r="G107" s="9">
        <f t="shared" si="1"/>
        <v>78.66666667</v>
      </c>
      <c r="H107" s="10" t="str">
        <f>IFERROR(__xludf.DUMMYFUNCTION("if(B107=""- - -"",""Trade"",filter(R:R,Q:Q=B107))"),"AL")</f>
        <v>AL</v>
      </c>
      <c r="I107" s="11">
        <f t="array" ref="I107">index('PLV (min 500)'!F:F,match(F107,'PLV (min 500)'!B:B,0))</f>
        <v>2.819087275</v>
      </c>
      <c r="J107" s="10">
        <v>2.889985064077535</v>
      </c>
      <c r="K107" s="10">
        <v>10.166129776570749</v>
      </c>
      <c r="L107" s="10">
        <v>10.782152786312258</v>
      </c>
      <c r="U107" s="9"/>
      <c r="X107" s="9"/>
    </row>
    <row r="108">
      <c r="A108" s="1" t="s">
        <v>158</v>
      </c>
      <c r="B108" s="1" t="s">
        <v>68</v>
      </c>
      <c r="C108" s="1">
        <v>157.0</v>
      </c>
      <c r="D108" s="3">
        <v>4.643312102</v>
      </c>
      <c r="E108" s="3">
        <v>5.787252702</v>
      </c>
      <c r="F108" s="1">
        <v>608372.0</v>
      </c>
      <c r="G108" s="9">
        <f t="shared" si="1"/>
        <v>157</v>
      </c>
      <c r="H108" s="10" t="str">
        <f>IFERROR(__xludf.DUMMYFUNCTION("if(B108=""- - -"",""Trade"",filter(R:R,Q:Q=B108))"),"AL")</f>
        <v>AL</v>
      </c>
      <c r="I108" s="11">
        <f t="array" ref="I108">index('PLV (min 500)'!F:F,match(F108,'PLV (min 500)'!B:B,0))</f>
        <v>2.821932344</v>
      </c>
      <c r="J108" s="10">
        <v>4.417499049310357</v>
      </c>
      <c r="K108" s="10">
        <v>-6.236372304636234</v>
      </c>
      <c r="L108" s="10">
        <v>21.597402444757982</v>
      </c>
      <c r="U108" s="9"/>
      <c r="X108" s="9"/>
    </row>
    <row r="109">
      <c r="A109" s="1" t="s">
        <v>159</v>
      </c>
      <c r="B109" s="1" t="s">
        <v>33</v>
      </c>
      <c r="C109" s="1">
        <v>61.1</v>
      </c>
      <c r="D109" s="3">
        <v>2.347826136</v>
      </c>
      <c r="E109" s="3">
        <v>3.270625013</v>
      </c>
      <c r="F109" s="1">
        <v>605483.0</v>
      </c>
      <c r="G109" s="9">
        <f t="shared" si="1"/>
        <v>61.33333333</v>
      </c>
      <c r="H109" s="10" t="str">
        <f>IFERROR(__xludf.DUMMYFUNCTION("if(B109=""- - -"",""Trade"",filter(R:R,Q:Q=B109))"),"NL")</f>
        <v>NL</v>
      </c>
      <c r="I109" s="11">
        <f t="array" ref="I109">index('PLV (min 500)'!F:F,match(F109,'PLV (min 500)'!B:B,0))</f>
        <v>2.821968831</v>
      </c>
      <c r="J109" s="10">
        <v>2.8134733267536713</v>
      </c>
      <c r="K109" s="10">
        <v>8.462531081705627</v>
      </c>
      <c r="L109" s="10">
        <v>8.404856045550225</v>
      </c>
      <c r="U109" s="9"/>
      <c r="X109" s="9"/>
    </row>
    <row r="110">
      <c r="A110" s="1" t="s">
        <v>160</v>
      </c>
      <c r="B110" s="1" t="s">
        <v>62</v>
      </c>
      <c r="C110" s="1">
        <v>37.1</v>
      </c>
      <c r="D110" s="3">
        <v>4.098215263</v>
      </c>
      <c r="E110" s="3">
        <v>5.094186739</v>
      </c>
      <c r="F110" s="1">
        <v>695445.0</v>
      </c>
      <c r="G110" s="9">
        <f t="shared" si="1"/>
        <v>37.33333333</v>
      </c>
      <c r="H110" s="10" t="str">
        <f>IFERROR(__xludf.DUMMYFUNCTION("if(B110=""- - -"",""Trade"",filter(R:R,Q:Q=B110))"),"AL")</f>
        <v>AL</v>
      </c>
      <c r="I110" s="11">
        <f t="array" ref="I110">index('PLV (min 500)'!F:F,match(F110,'PLV (min 500)'!B:B,0))</f>
        <v>2.825971875</v>
      </c>
      <c r="J110" s="10">
        <v>4.006124625675078</v>
      </c>
      <c r="K110" s="10">
        <v>0.2220862652727334</v>
      </c>
      <c r="L110" s="10">
        <v>5.08693815961821</v>
      </c>
      <c r="U110" s="9"/>
      <c r="X110" s="9"/>
    </row>
    <row r="111">
      <c r="A111" s="1" t="s">
        <v>161</v>
      </c>
      <c r="B111" s="1" t="s">
        <v>29</v>
      </c>
      <c r="C111" s="1">
        <v>138.1</v>
      </c>
      <c r="D111" s="3">
        <v>2.992771194</v>
      </c>
      <c r="E111" s="3">
        <v>4.079739538</v>
      </c>
      <c r="F111" s="1">
        <v>702070.0</v>
      </c>
      <c r="G111" s="9">
        <f t="shared" si="1"/>
        <v>138.3333333</v>
      </c>
      <c r="H111" s="10" t="str">
        <f>IFERROR(__xludf.DUMMYFUNCTION("if(B111=""- - -"",""Trade"",filter(R:R,Q:Q=B111))"),"AL")</f>
        <v>AL</v>
      </c>
      <c r="I111" s="11">
        <f t="array" ref="I111">index('PLV (min 500)'!F:F,match(F111,'PLV (min 500)'!B:B,0))</f>
        <v>2.830970364</v>
      </c>
      <c r="J111" s="10">
        <v>3.30116036526695</v>
      </c>
      <c r="K111" s="10">
        <v>11.643972617403797</v>
      </c>
      <c r="L111" s="10">
        <v>18.85877697323364</v>
      </c>
      <c r="U111" s="9"/>
      <c r="X111" s="9"/>
    </row>
    <row r="112">
      <c r="A112" s="1" t="s">
        <v>162</v>
      </c>
      <c r="B112" s="1" t="s">
        <v>21</v>
      </c>
      <c r="C112" s="1">
        <v>51.0</v>
      </c>
      <c r="D112" s="3">
        <v>4.058824288</v>
      </c>
      <c r="E112" s="3">
        <v>4.303786654</v>
      </c>
      <c r="F112" s="1">
        <v>592426.0</v>
      </c>
      <c r="G112" s="9">
        <f t="shared" si="1"/>
        <v>51</v>
      </c>
      <c r="H112" s="10" t="str">
        <f>IFERROR(__xludf.DUMMYFUNCTION("if(B112=""- - -"",""Trade"",filter(R:R,Q:Q=B112))"),"Trade")</f>
        <v>Trade</v>
      </c>
      <c r="I112" s="11">
        <f t="array" ref="I112">index('PLV (min 500)'!F:F,match(F112,'PLV (min 500)'!B:B,0))</f>
        <v>2.841555177</v>
      </c>
      <c r="J112" s="10">
        <v>3.7347220395273406</v>
      </c>
      <c r="K112" s="10">
        <v>1.8432417760117343</v>
      </c>
      <c r="L112" s="10">
        <v>6.904520666035209</v>
      </c>
      <c r="U112" s="9"/>
      <c r="X112" s="9"/>
    </row>
    <row r="113">
      <c r="A113" s="1" t="s">
        <v>163</v>
      </c>
      <c r="B113" s="1" t="s">
        <v>29</v>
      </c>
      <c r="C113" s="1">
        <v>116.1</v>
      </c>
      <c r="D113" s="3">
        <v>2.553008708</v>
      </c>
      <c r="E113" s="3">
        <v>3.16833001</v>
      </c>
      <c r="F113" s="1">
        <v>663460.0</v>
      </c>
      <c r="G113" s="9">
        <f t="shared" si="1"/>
        <v>116.3333333</v>
      </c>
      <c r="H113" s="10" t="str">
        <f>IFERROR(__xludf.DUMMYFUNCTION("if(B113=""- - -"",""Trade"",filter(R:R,Q:Q=B113))"),"AL")</f>
        <v>AL</v>
      </c>
      <c r="I113" s="11">
        <f t="array" ref="I113">index('PLV (min 500)'!F:F,match(F113,'PLV (min 500)'!B:B,0))</f>
        <v>2.841824115</v>
      </c>
      <c r="J113" s="10">
        <v>2.8543876108737742</v>
      </c>
      <c r="K113" s="10">
        <v>15.552399819728306</v>
      </c>
      <c r="L113" s="10">
        <v>15.714468921384928</v>
      </c>
      <c r="U113" s="9"/>
      <c r="X113" s="9"/>
    </row>
    <row r="114">
      <c r="A114" s="1" t="s">
        <v>164</v>
      </c>
      <c r="B114" s="1" t="s">
        <v>37</v>
      </c>
      <c r="C114" s="1">
        <v>126.0</v>
      </c>
      <c r="D114" s="3">
        <v>4.214285714</v>
      </c>
      <c r="E114" s="3">
        <v>3.875273454</v>
      </c>
      <c r="F114" s="1">
        <v>669923.0</v>
      </c>
      <c r="G114" s="9">
        <f t="shared" si="1"/>
        <v>126</v>
      </c>
      <c r="H114" s="10" t="str">
        <f>IFERROR(__xludf.DUMMYFUNCTION("if(B114=""- - -"",""Trade"",filter(R:R,Q:Q=B114))"),"AL")</f>
        <v>AL</v>
      </c>
      <c r="I114" s="11">
        <f t="array" ref="I114">index('PLV (min 500)'!F:F,match(F114,'PLV (min 500)'!B:B,0))</f>
        <v>2.842042428</v>
      </c>
      <c r="J114" s="10">
        <v>3.6438671987518814</v>
      </c>
      <c r="K114" s="10">
        <v>5.825859217473655</v>
      </c>
      <c r="L114" s="10">
        <v>17.051406004420954</v>
      </c>
      <c r="U114" s="9"/>
      <c r="X114" s="9"/>
    </row>
    <row r="115">
      <c r="A115" s="1" t="s">
        <v>165</v>
      </c>
      <c r="B115" s="1" t="s">
        <v>45</v>
      </c>
      <c r="C115" s="1">
        <v>60.0</v>
      </c>
      <c r="D115" s="3">
        <v>3.30000042</v>
      </c>
      <c r="E115" s="3">
        <v>3.643330228</v>
      </c>
      <c r="F115" s="1">
        <v>689147.0</v>
      </c>
      <c r="G115" s="9">
        <f t="shared" si="1"/>
        <v>60</v>
      </c>
      <c r="H115" s="10" t="str">
        <f>IFERROR(__xludf.DUMMYFUNCTION("if(B115=""- - -"",""Trade"",filter(R:R,Q:Q=B115))"),"NL")</f>
        <v>NL</v>
      </c>
      <c r="I115" s="11">
        <f t="array" ref="I115">index('PLV (min 500)'!F:F,match(F115,'PLV (min 500)'!B:B,0))</f>
        <v>2.85039705</v>
      </c>
      <c r="J115" s="10">
        <v>3.264575899254156</v>
      </c>
      <c r="K115" s="10">
        <v>5.302827338305625</v>
      </c>
      <c r="L115" s="10">
        <v>8.064019668250218</v>
      </c>
      <c r="U115" s="9"/>
      <c r="X115" s="9"/>
    </row>
    <row r="116">
      <c r="A116" s="1" t="s">
        <v>166</v>
      </c>
      <c r="B116" s="1" t="s">
        <v>58</v>
      </c>
      <c r="C116" s="1">
        <v>195.1</v>
      </c>
      <c r="D116" s="3">
        <v>2.856655364</v>
      </c>
      <c r="E116" s="3">
        <v>3.372053595</v>
      </c>
      <c r="F116" s="1">
        <v>608331.0</v>
      </c>
      <c r="G116" s="9">
        <f t="shared" si="1"/>
        <v>195.3333333</v>
      </c>
      <c r="H116" s="10" t="str">
        <f>IFERROR(__xludf.DUMMYFUNCTION("if(B116=""- - -"",""Trade"",filter(R:R,Q:Q=B116))"),"AL")</f>
        <v>AL</v>
      </c>
      <c r="I116" s="11">
        <f t="array" ref="I116">index('PLV (min 500)'!F:F,match(F116,'PLV (min 500)'!B:B,0))</f>
        <v>2.85217541</v>
      </c>
      <c r="J116" s="10">
        <v>3.026961456167592</v>
      </c>
      <c r="K116" s="10">
        <v>22.393979989078076</v>
      </c>
      <c r="L116" s="10">
        <v>26.182953067334278</v>
      </c>
      <c r="U116" s="9"/>
      <c r="X116" s="9"/>
    </row>
    <row r="117">
      <c r="A117" s="1" t="s">
        <v>167</v>
      </c>
      <c r="B117" s="1" t="s">
        <v>34</v>
      </c>
      <c r="C117" s="1">
        <v>52.2</v>
      </c>
      <c r="D117" s="3">
        <v>2.905063642</v>
      </c>
      <c r="E117" s="3">
        <v>3.253075022</v>
      </c>
      <c r="F117" s="1">
        <v>694037.0</v>
      </c>
      <c r="G117" s="9">
        <f t="shared" si="1"/>
        <v>52.66666667</v>
      </c>
      <c r="H117" s="10" t="str">
        <f>IFERROR(__xludf.DUMMYFUNCTION("if(B117=""- - -"",""Trade"",filter(R:R,Q:Q=B117))"),"NL")</f>
        <v>NL</v>
      </c>
      <c r="I117" s="11">
        <f t="array" ref="I117">index('PLV (min 500)'!F:F,match(F117,'PLV (min 500)'!B:B,0))</f>
        <v>2.859624</v>
      </c>
      <c r="J117" s="10">
        <v>3.0059208879758685</v>
      </c>
      <c r="K117" s="10">
        <v>6.11365884973996</v>
      </c>
      <c r="L117" s="10">
        <v>6.96218080041989</v>
      </c>
      <c r="U117" s="9"/>
      <c r="X117" s="9"/>
    </row>
    <row r="118">
      <c r="A118" s="1" t="s">
        <v>168</v>
      </c>
      <c r="B118" s="1" t="s">
        <v>21</v>
      </c>
      <c r="C118" s="1">
        <v>32.0</v>
      </c>
      <c r="D118" s="3">
        <v>3.937500821</v>
      </c>
      <c r="E118" s="3">
        <v>4.132683548</v>
      </c>
      <c r="F118" s="1">
        <v>620454.0</v>
      </c>
      <c r="G118" s="9">
        <f t="shared" si="1"/>
        <v>32</v>
      </c>
      <c r="H118" s="10" t="str">
        <f>IFERROR(__xludf.DUMMYFUNCTION("if(B118=""- - -"",""Trade"",filter(R:R,Q:Q=B118))"),"Trade")</f>
        <v>Trade</v>
      </c>
      <c r="I118" s="11">
        <f t="array" ref="I118">index('PLV (min 500)'!F:F,match(F118,'PLV (min 500)'!B:B,0))</f>
        <v>2.862019125</v>
      </c>
      <c r="J118" s="10">
        <v>3.644067831333333</v>
      </c>
      <c r="K118" s="10">
        <v>1.4788699330370367</v>
      </c>
      <c r="L118" s="10">
        <v>4.259487555555555</v>
      </c>
      <c r="U118" s="9"/>
      <c r="X118" s="9"/>
    </row>
    <row r="119">
      <c r="A119" s="1" t="s">
        <v>169</v>
      </c>
      <c r="B119" s="1" t="s">
        <v>66</v>
      </c>
      <c r="C119" s="1">
        <v>166.1</v>
      </c>
      <c r="D119" s="3">
        <v>2.867735559</v>
      </c>
      <c r="E119" s="3">
        <v>3.552783548</v>
      </c>
      <c r="F119" s="1">
        <v>671096.0</v>
      </c>
      <c r="G119" s="9">
        <f t="shared" si="1"/>
        <v>166.3333333</v>
      </c>
      <c r="H119" s="10" t="str">
        <f>IFERROR(__xludf.DUMMYFUNCTION("if(B119=""- - -"",""Trade"",filter(R:R,Q:Q=B119))"),"NL")</f>
        <v>NL</v>
      </c>
      <c r="I119" s="11">
        <f t="array" ref="I119">index('PLV (min 500)'!F:F,match(F119,'PLV (min 500)'!B:B,0))</f>
        <v>2.862212754</v>
      </c>
      <c r="J119" s="10">
        <v>3.094243953521458</v>
      </c>
      <c r="K119" s="10">
        <v>17.82356436889842</v>
      </c>
      <c r="L119" s="10">
        <v>22.105829070328618</v>
      </c>
      <c r="U119" s="9"/>
      <c r="X119" s="9"/>
    </row>
    <row r="120">
      <c r="A120" s="1" t="s">
        <v>170</v>
      </c>
      <c r="B120" s="1" t="s">
        <v>72</v>
      </c>
      <c r="C120" s="1">
        <v>88.0</v>
      </c>
      <c r="D120" s="3">
        <v>3.06818235</v>
      </c>
      <c r="E120" s="3">
        <v>4.434661024</v>
      </c>
      <c r="F120" s="1">
        <v>681517.0</v>
      </c>
      <c r="G120" s="9">
        <f t="shared" si="1"/>
        <v>88</v>
      </c>
      <c r="H120" s="10" t="str">
        <f>IFERROR(__xludf.DUMMYFUNCTION("if(B120=""- - -"",""Trade"",filter(R:R,Q:Q=B120))"),"NL")</f>
        <v>NL</v>
      </c>
      <c r="I120" s="11">
        <f t="array" ref="I120">index('PLV (min 500)'!F:F,match(F120,'PLV (min 500)'!B:B,0))</f>
        <v>2.862260693</v>
      </c>
      <c r="J120" s="10">
        <v>3.455034689060606</v>
      </c>
      <c r="K120" s="10">
        <v>5.915216373629629</v>
      </c>
      <c r="L120" s="10">
        <v>11.711228777777778</v>
      </c>
      <c r="U120" s="9"/>
      <c r="X120" s="9"/>
    </row>
    <row r="121">
      <c r="A121" s="1" t="s">
        <v>171</v>
      </c>
      <c r="B121" s="1" t="s">
        <v>36</v>
      </c>
      <c r="C121" s="1">
        <v>137.2</v>
      </c>
      <c r="D121" s="3">
        <v>3.530266605</v>
      </c>
      <c r="E121" s="3">
        <v>4.046557117</v>
      </c>
      <c r="F121" s="1">
        <v>665795.0</v>
      </c>
      <c r="G121" s="9">
        <f t="shared" si="1"/>
        <v>137.6666667</v>
      </c>
      <c r="H121" s="10" t="str">
        <f>IFERROR(__xludf.DUMMYFUNCTION("if(B121=""- - -"",""Trade"",filter(R:R,Q:Q=B121))"),"NL")</f>
        <v>NL</v>
      </c>
      <c r="I121" s="11">
        <f t="array" ref="I121">index('PLV (min 500)'!F:F,match(F121,'PLV (min 500)'!B:B,0))</f>
        <v>2.865139126</v>
      </c>
      <c r="J121" s="10">
        <v>3.4806542826406215</v>
      </c>
      <c r="K121" s="10">
        <v>8.831803602411853</v>
      </c>
      <c r="L121" s="10">
        <v>18.214990213724448</v>
      </c>
      <c r="U121" s="9"/>
      <c r="X121" s="9"/>
    </row>
    <row r="122">
      <c r="A122" s="1" t="s">
        <v>172</v>
      </c>
      <c r="B122" s="1" t="s">
        <v>21</v>
      </c>
      <c r="C122" s="1">
        <v>46.1</v>
      </c>
      <c r="D122" s="3">
        <v>4.079137054</v>
      </c>
      <c r="E122" s="3">
        <v>3.400117809</v>
      </c>
      <c r="F122" s="1">
        <v>608650.0</v>
      </c>
      <c r="G122" s="9">
        <f t="shared" si="1"/>
        <v>46.33333333</v>
      </c>
      <c r="H122" s="10" t="str">
        <f>IFERROR(__xludf.DUMMYFUNCTION("if(B122=""- - -"",""Trade"",filter(R:R,Q:Q=B122))"),"Trade")</f>
        <v>Trade</v>
      </c>
      <c r="I122" s="11">
        <f t="array" ref="I122">index('PLV (min 500)'!F:F,match(F122,'PLV (min 500)'!B:B,0))</f>
        <v>2.866370504</v>
      </c>
      <c r="J122" s="10">
        <v>3.448541788913824</v>
      </c>
      <c r="K122" s="10">
        <v>3.1320248367858543</v>
      </c>
      <c r="L122" s="10">
        <v>6.114035530835349</v>
      </c>
      <c r="U122" s="9"/>
      <c r="X122" s="9"/>
    </row>
    <row r="123">
      <c r="A123" s="1" t="s">
        <v>173</v>
      </c>
      <c r="B123" s="1" t="s">
        <v>16</v>
      </c>
      <c r="C123" s="1">
        <v>146.1</v>
      </c>
      <c r="D123" s="3">
        <v>5.104783777</v>
      </c>
      <c r="E123" s="3">
        <v>4.344554492</v>
      </c>
      <c r="F123" s="1">
        <v>641927.0</v>
      </c>
      <c r="G123" s="9">
        <f t="shared" si="1"/>
        <v>146.3333333</v>
      </c>
      <c r="H123" s="10" t="str">
        <f>IFERROR(__xludf.DUMMYFUNCTION("if(B123=""- - -"",""Trade"",filter(R:R,Q:Q=B123))"),"AL")</f>
        <v>AL</v>
      </c>
      <c r="I123" s="11">
        <f t="array" ref="I123">index('PLV (min 500)'!F:F,match(F123,'PLV (min 500)'!B:B,0))</f>
        <v>2.86796374</v>
      </c>
      <c r="J123" s="10">
        <v>4.105767336441814</v>
      </c>
      <c r="K123" s="10">
        <v>-0.742956428238789</v>
      </c>
      <c r="L123" s="10">
        <v>19.35072194871701</v>
      </c>
      <c r="U123" s="9"/>
      <c r="X123" s="9"/>
    </row>
    <row r="124">
      <c r="A124" s="1" t="s">
        <v>174</v>
      </c>
      <c r="B124" s="1" t="s">
        <v>40</v>
      </c>
      <c r="C124" s="1">
        <v>43.2</v>
      </c>
      <c r="D124" s="3">
        <v>5.564886793</v>
      </c>
      <c r="E124" s="3">
        <v>5.966381302</v>
      </c>
      <c r="F124" s="1">
        <v>643338.0</v>
      </c>
      <c r="G124" s="9">
        <f t="shared" si="1"/>
        <v>43.66666667</v>
      </c>
      <c r="H124" s="10" t="str">
        <f>IFERROR(__xludf.DUMMYFUNCTION("if(B124=""- - -"",""Trade"",filter(R:R,Q:Q=B124))"),"AL")</f>
        <v>AL</v>
      </c>
      <c r="I124" s="11">
        <f t="array" ref="I124">index('PLV (min 500)'!F:F,match(F124,'PLV (min 500)'!B:B,0))</f>
        <v>2.869260115</v>
      </c>
      <c r="J124" s="10">
        <v>4.80017607002443</v>
      </c>
      <c r="K124" s="10">
        <v>-3.5528451361172673</v>
      </c>
      <c r="L124" s="10">
        <v>5.715551447648214</v>
      </c>
      <c r="U124" s="9"/>
      <c r="X124" s="9"/>
    </row>
    <row r="125">
      <c r="A125" s="1" t="s">
        <v>175</v>
      </c>
      <c r="B125" s="1" t="s">
        <v>64</v>
      </c>
      <c r="C125" s="1">
        <v>34.0</v>
      </c>
      <c r="D125" s="3">
        <v>3.705882353</v>
      </c>
      <c r="E125" s="3">
        <v>4.583552179</v>
      </c>
      <c r="F125" s="1">
        <v>622503.0</v>
      </c>
      <c r="G125" s="9">
        <f t="shared" si="1"/>
        <v>34</v>
      </c>
      <c r="H125" s="10" t="str">
        <f>IFERROR(__xludf.DUMMYFUNCTION("if(B125=""- - -"",""Trade"",filter(R:R,Q:Q=B125))"),"NL")</f>
        <v>NL</v>
      </c>
      <c r="I125" s="11">
        <f t="array" ref="I125">index('PLV (min 500)'!F:F,match(F125,'PLV (min 500)'!B:B,0))</f>
        <v>2.871444971</v>
      </c>
      <c r="J125" s="10">
        <v>3.720293167557563</v>
      </c>
      <c r="K125" s="10">
        <v>1.2833369225603168</v>
      </c>
      <c r="L125" s="10">
        <v>4.490096777458725</v>
      </c>
      <c r="U125" s="9"/>
      <c r="X125" s="9"/>
    </row>
    <row r="126">
      <c r="A126" s="1" t="s">
        <v>176</v>
      </c>
      <c r="B126" s="1" t="s">
        <v>33</v>
      </c>
      <c r="C126" s="1">
        <v>73.1</v>
      </c>
      <c r="D126" s="3">
        <v>2.822727432</v>
      </c>
      <c r="E126" s="3">
        <v>2.998216317</v>
      </c>
      <c r="F126" s="1">
        <v>686218.0</v>
      </c>
      <c r="G126" s="9">
        <f t="shared" si="1"/>
        <v>73.33333333</v>
      </c>
      <c r="H126" s="10" t="str">
        <f>IFERROR(__xludf.DUMMYFUNCTION("if(B126=""- - -"",""Trade"",filter(R:R,Q:Q=B126))"),"NL")</f>
        <v>NL</v>
      </c>
      <c r="I126" s="11">
        <f t="array" ref="I126">index('PLV (min 500)'!F:F,match(F126,'PLV (min 500)'!B:B,0))</f>
        <v>2.8722843</v>
      </c>
      <c r="J126" s="10">
        <v>2.8977426830696307</v>
      </c>
      <c r="K126" s="10">
        <v>9.440112207512218</v>
      </c>
      <c r="L126" s="10">
        <v>9.64689085052554</v>
      </c>
      <c r="U126" s="9"/>
      <c r="X126" s="9"/>
    </row>
    <row r="127">
      <c r="A127" s="1" t="s">
        <v>177</v>
      </c>
      <c r="B127" s="1" t="s">
        <v>21</v>
      </c>
      <c r="C127" s="1">
        <v>186.2</v>
      </c>
      <c r="D127" s="3">
        <v>3.808928701</v>
      </c>
      <c r="E127" s="3">
        <v>4.363696828</v>
      </c>
      <c r="F127" s="1">
        <v>641793.0</v>
      </c>
      <c r="G127" s="9">
        <f t="shared" si="1"/>
        <v>186.6666667</v>
      </c>
      <c r="H127" s="10" t="str">
        <f>IFERROR(__xludf.DUMMYFUNCTION("if(B127=""- - -"",""Trade"",filter(R:R,Q:Q=B127))"),"Trade")</f>
        <v>Trade</v>
      </c>
      <c r="I127" s="11">
        <f t="array" ref="I127">index('PLV (min 500)'!F:F,match(F127,'PLV (min 500)'!B:B,0))</f>
        <v>2.873324379</v>
      </c>
      <c r="J127" s="10">
        <v>3.681983302568278</v>
      </c>
      <c r="K127" s="10">
        <v>7.820745451309613</v>
      </c>
      <c r="L127" s="10">
        <v>24.55100007612888</v>
      </c>
      <c r="U127" s="9"/>
      <c r="X127" s="9"/>
    </row>
    <row r="128">
      <c r="A128" s="1" t="s">
        <v>178</v>
      </c>
      <c r="B128" s="1" t="s">
        <v>46</v>
      </c>
      <c r="C128" s="1">
        <v>59.0</v>
      </c>
      <c r="D128" s="3">
        <v>3.050848247</v>
      </c>
      <c r="E128" s="3">
        <v>3.634958818</v>
      </c>
      <c r="F128" s="1">
        <v>572955.0</v>
      </c>
      <c r="G128" s="9">
        <f t="shared" si="1"/>
        <v>59</v>
      </c>
      <c r="H128" s="10" t="str">
        <f>IFERROR(__xludf.DUMMYFUNCTION("if(B128=""- - -"",""Trade"",filter(R:R,Q:Q=B128))"),"NL")</f>
        <v>NL</v>
      </c>
      <c r="I128" s="11">
        <f t="array" ref="I128">index('PLV (min 500)'!F:F,match(F128,'PLV (min 500)'!B:B,0))</f>
        <v>2.876542627</v>
      </c>
      <c r="J128" s="10">
        <v>3.1874498973566294</v>
      </c>
      <c r="K128" s="10">
        <v>5.720050672884316</v>
      </c>
      <c r="L128" s="10">
        <v>7.758220555875173</v>
      </c>
      <c r="U128" s="9"/>
      <c r="X128" s="9"/>
    </row>
    <row r="129">
      <c r="A129" s="1" t="s">
        <v>179</v>
      </c>
      <c r="B129" s="1" t="s">
        <v>21</v>
      </c>
      <c r="C129" s="1">
        <v>112.2</v>
      </c>
      <c r="D129" s="3">
        <v>3.514792979</v>
      </c>
      <c r="E129" s="3">
        <v>4.296156123</v>
      </c>
      <c r="F129" s="1">
        <v>663568.0</v>
      </c>
      <c r="G129" s="9">
        <f t="shared" si="1"/>
        <v>112.6666667</v>
      </c>
      <c r="H129" s="10" t="str">
        <f>IFERROR(__xludf.DUMMYFUNCTION("if(B129=""- - -"",""Trade"",filter(R:R,Q:Q=B129))"),"Trade")</f>
        <v>Trade</v>
      </c>
      <c r="I129" s="11">
        <f t="array" ref="I129">index('PLV (min 500)'!F:F,match(F129,'PLV (min 500)'!B:B,0))</f>
        <v>2.88025871</v>
      </c>
      <c r="J129" s="10">
        <v>3.563735937299088</v>
      </c>
      <c r="K129" s="10">
        <v>6.1867586483380315</v>
      </c>
      <c r="L129" s="10">
        <v>14.707441416614115</v>
      </c>
      <c r="U129" s="9"/>
      <c r="X129" s="9"/>
    </row>
    <row r="130">
      <c r="A130" s="1" t="s">
        <v>180</v>
      </c>
      <c r="B130" s="1" t="s">
        <v>14</v>
      </c>
      <c r="C130" s="1">
        <v>176.2</v>
      </c>
      <c r="D130" s="3">
        <v>2.699999922</v>
      </c>
      <c r="E130" s="3">
        <v>3.417243462</v>
      </c>
      <c r="F130" s="1">
        <v>642547.0</v>
      </c>
      <c r="G130" s="9">
        <f t="shared" si="1"/>
        <v>176.6666667</v>
      </c>
      <c r="H130" s="10" t="str">
        <f>IFERROR(__xludf.DUMMYFUNCTION("if(B130=""- - -"",""Trade"",filter(R:R,Q:Q=B130))"),"NL")</f>
        <v>NL</v>
      </c>
      <c r="I130" s="11">
        <f t="array" ref="I130">index('PLV (min 500)'!F:F,match(F130,'PLV (min 500)'!B:B,0))</f>
        <v>2.880293876</v>
      </c>
      <c r="J130" s="10">
        <v>2.9991790865104924</v>
      </c>
      <c r="K130" s="10">
        <v>20.768516106316795</v>
      </c>
      <c r="L130" s="10">
        <v>23.096024347928175</v>
      </c>
      <c r="U130" s="9"/>
      <c r="X130" s="9"/>
    </row>
    <row r="131">
      <c r="A131" s="1" t="s">
        <v>181</v>
      </c>
      <c r="B131" s="1" t="s">
        <v>16</v>
      </c>
      <c r="C131" s="1">
        <v>75.2</v>
      </c>
      <c r="D131" s="3">
        <v>2.735682911</v>
      </c>
      <c r="E131" s="3">
        <v>3.941554775</v>
      </c>
      <c r="F131" s="1">
        <v>641154.0</v>
      </c>
      <c r="G131" s="9">
        <f t="shared" si="1"/>
        <v>75.66666667</v>
      </c>
      <c r="H131" s="10" t="str">
        <f>IFERROR(__xludf.DUMMYFUNCTION("if(B131=""- - -"",""Trade"",filter(R:R,Q:Q=B131))"),"AL")</f>
        <v>AL</v>
      </c>
      <c r="I131" s="11">
        <f t="array" ref="I131">index('PLV (min 500)'!F:F,match(F131,'PLV (min 500)'!B:B,0))</f>
        <v>2.885456696</v>
      </c>
      <c r="J131" s="10">
        <v>3.1875647940075105</v>
      </c>
      <c r="K131" s="10">
        <v>7.289680832292798</v>
      </c>
      <c r="L131" s="10">
        <v>9.813961828789518</v>
      </c>
      <c r="U131" s="9"/>
      <c r="X131" s="9"/>
    </row>
    <row r="132">
      <c r="A132" s="1" t="s">
        <v>182</v>
      </c>
      <c r="B132" s="1" t="s">
        <v>45</v>
      </c>
      <c r="C132" s="1">
        <v>62.1</v>
      </c>
      <c r="D132" s="3">
        <v>2.743315732</v>
      </c>
      <c r="E132" s="3">
        <v>2.769807265</v>
      </c>
      <c r="F132" s="1">
        <v>621381.0</v>
      </c>
      <c r="G132" s="9">
        <f t="shared" si="1"/>
        <v>62.33333333</v>
      </c>
      <c r="H132" s="10" t="str">
        <f>IFERROR(__xludf.DUMMYFUNCTION("if(B132=""- - -"",""Trade"",filter(R:R,Q:Q=B132))"),"NL")</f>
        <v>NL</v>
      </c>
      <c r="I132" s="11">
        <f t="array" ref="I132">index('PLV (min 500)'!F:F,match(F132,'PLV (min 500)'!B:B,0))</f>
        <v>2.888926652</v>
      </c>
      <c r="J132" s="10">
        <v>2.800683216473955</v>
      </c>
      <c r="K132" s="10">
        <v>8.689285806329709</v>
      </c>
      <c r="L132" s="10">
        <v>8.080406098289123</v>
      </c>
      <c r="U132" s="9"/>
      <c r="X132" s="9"/>
    </row>
    <row r="133">
      <c r="A133" s="1" t="s">
        <v>183</v>
      </c>
      <c r="B133" s="1" t="s">
        <v>21</v>
      </c>
      <c r="C133" s="1">
        <v>62.2</v>
      </c>
      <c r="D133" s="3">
        <v>2.297872574</v>
      </c>
      <c r="E133" s="3">
        <v>2.848870936</v>
      </c>
      <c r="F133" s="1">
        <v>670280.0</v>
      </c>
      <c r="G133" s="9">
        <f t="shared" si="1"/>
        <v>62.66666667</v>
      </c>
      <c r="H133" s="10" t="str">
        <f>IFERROR(__xludf.DUMMYFUNCTION("if(B133=""- - -"",""Trade"",filter(R:R,Q:Q=B133))"),"Trade")</f>
        <v>Trade</v>
      </c>
      <c r="I133" s="11">
        <f t="array" ref="I133">index('PLV (min 500)'!F:F,match(F133,'PLV (min 500)'!B:B,0))</f>
        <v>2.892622739</v>
      </c>
      <c r="J133" s="10">
        <v>2.6797887497359465</v>
      </c>
      <c r="K133" s="10">
        <v>9.538793307380455</v>
      </c>
      <c r="L133" s="10">
        <v>8.067873957919154</v>
      </c>
      <c r="U133" s="9"/>
      <c r="X133" s="9"/>
    </row>
    <row r="134">
      <c r="A134" s="1" t="s">
        <v>184</v>
      </c>
      <c r="B134" s="1" t="s">
        <v>46</v>
      </c>
      <c r="C134" s="1">
        <v>67.1</v>
      </c>
      <c r="D134" s="3">
        <v>3.207921034</v>
      </c>
      <c r="E134" s="3">
        <v>3.124050026</v>
      </c>
      <c r="F134" s="1">
        <v>628452.0</v>
      </c>
      <c r="G134" s="9">
        <f t="shared" si="1"/>
        <v>67.33333333</v>
      </c>
      <c r="H134" s="10" t="str">
        <f>IFERROR(__xludf.DUMMYFUNCTION("if(B134=""- - -"",""Trade"",filter(R:R,Q:Q=B134))"),"NL")</f>
        <v>NL</v>
      </c>
      <c r="I134" s="11">
        <f t="array" ref="I134">index('PLV (min 500)'!F:F,match(F134,'PLV (min 500)'!B:B,0))</f>
        <v>2.894229713</v>
      </c>
      <c r="J134" s="10">
        <v>3.075400257757489</v>
      </c>
      <c r="K134" s="10">
        <v>7.340738078274719</v>
      </c>
      <c r="L134" s="10">
        <v>8.691465137713047</v>
      </c>
      <c r="U134" s="9"/>
      <c r="X134" s="9"/>
    </row>
    <row r="135">
      <c r="A135" s="1" t="s">
        <v>185</v>
      </c>
      <c r="B135" s="1" t="s">
        <v>54</v>
      </c>
      <c r="C135" s="1">
        <v>61.1</v>
      </c>
      <c r="D135" s="3">
        <v>2.347826574</v>
      </c>
      <c r="E135" s="3">
        <v>3.219319831</v>
      </c>
      <c r="F135" s="1">
        <v>664076.0</v>
      </c>
      <c r="G135" s="9">
        <f t="shared" si="1"/>
        <v>61.33333333</v>
      </c>
      <c r="H135" s="10" t="str">
        <f>IFERROR(__xludf.DUMMYFUNCTION("if(B135=""- - -"",""Trade"",filter(R:R,Q:Q=B135))"),"AL")</f>
        <v>AL</v>
      </c>
      <c r="I135" s="11">
        <f t="array" ref="I135">index('PLV (min 500)'!F:F,match(F135,'PLV (min 500)'!B:B,0))</f>
        <v>2.896871968</v>
      </c>
      <c r="J135" s="10">
        <v>2.8213394575319914</v>
      </c>
      <c r="K135" s="10">
        <v>8.409128793866145</v>
      </c>
      <c r="L135" s="10">
        <v>7.896346975542879</v>
      </c>
      <c r="U135" s="9"/>
      <c r="X135" s="9"/>
    </row>
    <row r="136">
      <c r="A136" s="1" t="s">
        <v>186</v>
      </c>
      <c r="B136" s="1" t="s">
        <v>51</v>
      </c>
      <c r="C136" s="1">
        <v>31.1</v>
      </c>
      <c r="D136" s="3">
        <v>3.44680886</v>
      </c>
      <c r="E136" s="3">
        <v>5.582747573</v>
      </c>
      <c r="F136" s="1">
        <v>663399.0</v>
      </c>
      <c r="G136" s="9">
        <f t="shared" si="1"/>
        <v>31.33333333</v>
      </c>
      <c r="H136" s="10" t="str">
        <f>IFERROR(__xludf.DUMMYFUNCTION("if(B136=""- - -"",""Trade"",filter(R:R,Q:Q=B136))"),"NL")</f>
        <v>NL</v>
      </c>
      <c r="I136" s="11">
        <f t="array" ref="I136">index('PLV (min 500)'!F:F,match(F136,'PLV (min 500)'!B:B,0))</f>
        <v>2.897084777</v>
      </c>
      <c r="J136" s="10">
        <v>3.975547069875521</v>
      </c>
      <c r="K136" s="10">
        <v>0.2918317918745869</v>
      </c>
      <c r="L136" s="10">
        <v>4.018518160768204</v>
      </c>
      <c r="U136" s="9"/>
      <c r="X136" s="9"/>
    </row>
    <row r="137">
      <c r="A137" s="1" t="s">
        <v>187</v>
      </c>
      <c r="B137" s="1" t="s">
        <v>21</v>
      </c>
      <c r="C137" s="1">
        <v>97.2</v>
      </c>
      <c r="D137" s="3">
        <v>4.976109782</v>
      </c>
      <c r="E137" s="3">
        <v>4.641288707</v>
      </c>
      <c r="F137" s="1">
        <v>641302.0</v>
      </c>
      <c r="G137" s="9">
        <f t="shared" si="1"/>
        <v>97.66666667</v>
      </c>
      <c r="H137" s="10" t="str">
        <f>IFERROR(__xludf.DUMMYFUNCTION("if(B137=""- - -"",""Trade"",filter(R:R,Q:Q=B137))"),"Trade")</f>
        <v>Trade</v>
      </c>
      <c r="I137" s="11">
        <f t="array" ref="I137">index('PLV (min 500)'!F:F,match(F137,'PLV (min 500)'!B:B,0))</f>
        <v>2.897310379</v>
      </c>
      <c r="J137" s="10">
        <v>4.17156962255057</v>
      </c>
      <c r="K137" s="10">
        <v>-1.204951923546161</v>
      </c>
      <c r="L137" s="10">
        <v>12.557047910561533</v>
      </c>
      <c r="U137" s="9"/>
      <c r="X137" s="9"/>
    </row>
    <row r="138">
      <c r="A138" s="1" t="s">
        <v>188</v>
      </c>
      <c r="B138" s="1" t="s">
        <v>14</v>
      </c>
      <c r="C138" s="1">
        <v>66.0</v>
      </c>
      <c r="D138" s="3">
        <v>4.363636553</v>
      </c>
      <c r="E138" s="3">
        <v>3.400063317</v>
      </c>
      <c r="F138" s="1">
        <v>694819.0</v>
      </c>
      <c r="G138" s="9">
        <f t="shared" si="1"/>
        <v>66</v>
      </c>
      <c r="H138" s="10" t="str">
        <f>IFERROR(__xludf.DUMMYFUNCTION("if(B138=""- - -"",""Trade"",filter(R:R,Q:Q=B138))"),"NL")</f>
        <v>NL</v>
      </c>
      <c r="I138" s="11">
        <f t="array" ref="I138">index('PLV (min 500)'!F:F,match(F138,'PLV (min 500)'!B:B,0))</f>
        <v>2.897399182</v>
      </c>
      <c r="J138" s="10">
        <v>3.553699684085727</v>
      </c>
      <c r="K138" s="10">
        <v>3.7128689833713318</v>
      </c>
      <c r="L138" s="10">
        <v>8.525739330113995</v>
      </c>
      <c r="U138" s="9"/>
      <c r="X138" s="9"/>
    </row>
    <row r="139">
      <c r="A139" s="1" t="s">
        <v>189</v>
      </c>
      <c r="B139" s="1" t="s">
        <v>75</v>
      </c>
      <c r="C139" s="1">
        <v>162.2</v>
      </c>
      <c r="D139" s="3">
        <v>4.979508508</v>
      </c>
      <c r="E139" s="3">
        <v>4.955948205</v>
      </c>
      <c r="F139" s="1">
        <v>607536.0</v>
      </c>
      <c r="G139" s="9">
        <f t="shared" si="1"/>
        <v>162.6666667</v>
      </c>
      <c r="H139" s="10" t="str">
        <f>IFERROR(__xludf.DUMMYFUNCTION("if(B139=""- - -"",""Trade"",filter(R:R,Q:Q=B139))"),"NL")</f>
        <v>NL</v>
      </c>
      <c r="I139" s="11">
        <f t="array" ref="I139">index('PLV (min 500)'!F:F,match(F139,'PLV (min 500)'!B:B,0))</f>
        <v>2.900128315</v>
      </c>
      <c r="J139" s="10">
        <v>4.278528342814343</v>
      </c>
      <c r="K139" s="10">
        <v>-3.938366356054052</v>
      </c>
      <c r="L139" s="10">
        <v>20.903465248348997</v>
      </c>
      <c r="U139" s="9"/>
      <c r="X139" s="9"/>
    </row>
    <row r="140">
      <c r="A140" s="1" t="s">
        <v>190</v>
      </c>
      <c r="B140" s="1" t="s">
        <v>21</v>
      </c>
      <c r="C140" s="1">
        <v>61.1</v>
      </c>
      <c r="D140" s="3">
        <v>2.78804397</v>
      </c>
      <c r="E140" s="3">
        <v>2.863350219</v>
      </c>
      <c r="F140" s="1">
        <v>664208.0</v>
      </c>
      <c r="G140" s="9">
        <f t="shared" si="1"/>
        <v>61.33333333</v>
      </c>
      <c r="H140" s="10" t="str">
        <f>IFERROR(__xludf.DUMMYFUNCTION("if(B140=""- - -"",""Trade"",filter(R:R,Q:Q=B140))"),"Trade")</f>
        <v>Trade</v>
      </c>
      <c r="I140" s="11">
        <f t="array" ref="I140">index('PLV (min 500)'!F:F,match(F140,'PLV (min 500)'!B:B,0))</f>
        <v>2.902495304</v>
      </c>
      <c r="J140" s="10">
        <v>2.851296497787867</v>
      </c>
      <c r="K140" s="10">
        <v>8.205753776129034</v>
      </c>
      <c r="L140" s="10">
        <v>7.858170767042659</v>
      </c>
      <c r="U140" s="9"/>
      <c r="X140" s="9"/>
    </row>
    <row r="141">
      <c r="A141" s="1" t="s">
        <v>191</v>
      </c>
      <c r="B141" s="1" t="s">
        <v>68</v>
      </c>
      <c r="C141" s="1">
        <v>57.2</v>
      </c>
      <c r="D141" s="3">
        <v>6.242774842</v>
      </c>
      <c r="E141" s="3">
        <v>4.27629034</v>
      </c>
      <c r="F141" s="1">
        <v>687064.0</v>
      </c>
      <c r="G141" s="9">
        <f t="shared" si="1"/>
        <v>57.66666667</v>
      </c>
      <c r="H141" s="10" t="str">
        <f>IFERROR(__xludf.DUMMYFUNCTION("if(B141=""- - -"",""Trade"",filter(R:R,Q:Q=B141))"),"AL")</f>
        <v>AL</v>
      </c>
      <c r="I141" s="11">
        <f t="array" ref="I141">index('PLV (min 500)'!F:F,match(F141,'PLV (min 500)'!B:B,0))</f>
        <v>2.903891515</v>
      </c>
      <c r="J141" s="10">
        <v>4.474318898895288</v>
      </c>
      <c r="K141" s="10">
        <v>-2.6332267796456126</v>
      </c>
      <c r="L141" s="10">
        <v>7.347711706663168</v>
      </c>
      <c r="U141" s="9"/>
      <c r="X141" s="9"/>
    </row>
    <row r="142">
      <c r="A142" s="1" t="s">
        <v>192</v>
      </c>
      <c r="B142" s="1" t="s">
        <v>58</v>
      </c>
      <c r="C142" s="1">
        <v>64.0</v>
      </c>
      <c r="D142" s="3">
        <v>4.35937526</v>
      </c>
      <c r="E142" s="3">
        <v>4.269079646</v>
      </c>
      <c r="F142" s="1">
        <v>642232.0</v>
      </c>
      <c r="G142" s="9">
        <f t="shared" si="1"/>
        <v>64</v>
      </c>
      <c r="H142" s="10" t="str">
        <f>IFERROR(__xludf.DUMMYFUNCTION("if(B142=""- - -"",""Trade"",filter(R:R,Q:Q=B142))"),"AL")</f>
        <v>AL</v>
      </c>
      <c r="I142" s="11">
        <f t="array" ref="I142">index('PLV (min 500)'!F:F,match(F142,'PLV (min 500)'!B:B,0))</f>
        <v>2.904443437</v>
      </c>
      <c r="J142" s="10">
        <v>3.8442994477879515</v>
      </c>
      <c r="K142" s="10">
        <v>1.5338705935078976</v>
      </c>
      <c r="L142" s="10">
        <v>8.217291112079259</v>
      </c>
      <c r="U142" s="9"/>
      <c r="X142" s="9"/>
    </row>
    <row r="143">
      <c r="A143" s="1" t="s">
        <v>193</v>
      </c>
      <c r="B143" s="1" t="s">
        <v>72</v>
      </c>
      <c r="C143" s="1">
        <v>61.0</v>
      </c>
      <c r="D143" s="3">
        <v>2.065574287</v>
      </c>
      <c r="E143" s="3">
        <v>3.485186334</v>
      </c>
      <c r="F143" s="1">
        <v>668941.0</v>
      </c>
      <c r="G143" s="9">
        <f t="shared" si="1"/>
        <v>61</v>
      </c>
      <c r="H143" s="10" t="str">
        <f>IFERROR(__xludf.DUMMYFUNCTION("if(B143=""- - -"",""Trade"",filter(R:R,Q:Q=B143))"),"NL")</f>
        <v>NL</v>
      </c>
      <c r="I143" s="11">
        <f t="array" ref="I143">index('PLV (min 500)'!F:F,match(F143,'PLV (min 500)'!B:B,0))</f>
        <v>2.905468967</v>
      </c>
      <c r="J143" s="10">
        <v>2.8187431960710385</v>
      </c>
      <c r="K143" s="10">
        <v>8.412962782185181</v>
      </c>
      <c r="L143" s="10">
        <v>7.825154777777773</v>
      </c>
      <c r="U143" s="9"/>
      <c r="X143" s="9"/>
    </row>
    <row r="144">
      <c r="A144" s="1" t="s">
        <v>194</v>
      </c>
      <c r="B144" s="1" t="s">
        <v>66</v>
      </c>
      <c r="C144" s="1">
        <v>156.2</v>
      </c>
      <c r="D144" s="3">
        <v>3.33191511</v>
      </c>
      <c r="E144" s="3">
        <v>3.499192693</v>
      </c>
      <c r="F144" s="1">
        <v>666157.0</v>
      </c>
      <c r="G144" s="9">
        <f t="shared" si="1"/>
        <v>156.6666667</v>
      </c>
      <c r="H144" s="10" t="str">
        <f>IFERROR(__xludf.DUMMYFUNCTION("if(B144=""- - -"",""Trade"",filter(R:R,Q:Q=B144))"),"NL")</f>
        <v>NL</v>
      </c>
      <c r="I144" s="11">
        <f t="array" ref="I144">index('PLV (min 500)'!F:F,match(F144,'PLV (min 500)'!B:B,0))</f>
        <v>2.907498389</v>
      </c>
      <c r="J144" s="10">
        <v>3.2462020641246916</v>
      </c>
      <c r="K144" s="10">
        <v>14.123915287080344</v>
      </c>
      <c r="L144" s="10">
        <v>20.002305731085503</v>
      </c>
      <c r="U144" s="9"/>
      <c r="X144" s="9"/>
    </row>
    <row r="145">
      <c r="A145" s="1" t="s">
        <v>195</v>
      </c>
      <c r="B145" s="1" t="s">
        <v>64</v>
      </c>
      <c r="C145" s="1">
        <v>192.0</v>
      </c>
      <c r="D145" s="3">
        <v>4.828125</v>
      </c>
      <c r="E145" s="3">
        <v>4.278822598</v>
      </c>
      <c r="F145" s="1">
        <v>668678.0</v>
      </c>
      <c r="G145" s="9">
        <f t="shared" si="1"/>
        <v>192</v>
      </c>
      <c r="H145" s="10" t="str">
        <f>IFERROR(__xludf.DUMMYFUNCTION("if(B145=""- - -"",""Trade"",filter(R:R,Q:Q=B145))"),"NL")</f>
        <v>NL</v>
      </c>
      <c r="I145" s="11">
        <f t="array" ref="I145">index('PLV (min 500)'!F:F,match(F145,'PLV (min 500)'!B:B,0))</f>
        <v>2.915369531</v>
      </c>
      <c r="J145" s="10">
        <v>4.007439043139009</v>
      </c>
      <c r="K145" s="10">
        <v>1.1213004130344757</v>
      </c>
      <c r="L145" s="10">
        <v>24.418783329770104</v>
      </c>
      <c r="U145" s="9"/>
      <c r="X145" s="9"/>
    </row>
    <row r="146">
      <c r="A146" s="1" t="s">
        <v>196</v>
      </c>
      <c r="B146" s="1" t="s">
        <v>21</v>
      </c>
      <c r="C146" s="1">
        <v>34.1</v>
      </c>
      <c r="D146" s="3">
        <v>3.145631534</v>
      </c>
      <c r="E146" s="3">
        <v>3.201125743</v>
      </c>
      <c r="F146" s="1">
        <v>670329.0</v>
      </c>
      <c r="G146" s="9">
        <f t="shared" si="1"/>
        <v>34.33333333</v>
      </c>
      <c r="H146" s="10" t="str">
        <f>IFERROR(__xludf.DUMMYFUNCTION("if(B146=""- - -"",""Trade"",filter(R:R,Q:Q=B146))"),"Trade")</f>
        <v>Trade</v>
      </c>
      <c r="I146" s="11">
        <f t="array" ref="I146">index('PLV (min 500)'!F:F,match(F146,'PLV (min 500)'!B:B,0))</f>
        <v>2.920480427</v>
      </c>
      <c r="J146" s="10">
        <v>3.089079234709253</v>
      </c>
      <c r="K146" s="10">
        <v>3.6787108996016076</v>
      </c>
      <c r="L146" s="10">
        <v>4.317513048327049</v>
      </c>
      <c r="U146" s="9"/>
      <c r="X146" s="9"/>
    </row>
    <row r="147">
      <c r="A147" s="1" t="s">
        <v>197</v>
      </c>
      <c r="B147" s="1" t="s">
        <v>39</v>
      </c>
      <c r="C147" s="1">
        <v>86.0</v>
      </c>
      <c r="D147" s="3">
        <v>5.337209302</v>
      </c>
      <c r="E147" s="3">
        <v>4.629926968</v>
      </c>
      <c r="F147" s="1">
        <v>676467.0</v>
      </c>
      <c r="G147" s="9">
        <f t="shared" si="1"/>
        <v>86</v>
      </c>
      <c r="H147" s="10" t="str">
        <f>IFERROR(__xludf.DUMMYFUNCTION("if(B147=""- - -"",""Trade"",filter(R:R,Q:Q=B147))"),"AL")</f>
        <v>AL</v>
      </c>
      <c r="I147" s="11">
        <f t="array" ref="I147">index('PLV (min 500)'!F:F,match(F147,'PLV (min 500)'!B:B,0))</f>
        <v>2.92128593</v>
      </c>
      <c r="J147" s="10">
        <v>4.29614073339953</v>
      </c>
      <c r="K147" s="10">
        <v>-2.2564558969288444</v>
      </c>
      <c r="L147" s="10">
        <v>10.881045555880139</v>
      </c>
      <c r="U147" s="9"/>
      <c r="X147" s="9"/>
    </row>
    <row r="148">
      <c r="A148" s="1" t="s">
        <v>198</v>
      </c>
      <c r="B148" s="1" t="s">
        <v>33</v>
      </c>
      <c r="C148" s="1">
        <v>66.2</v>
      </c>
      <c r="D148" s="3">
        <v>4.320000165</v>
      </c>
      <c r="E148" s="3">
        <v>3.412140135</v>
      </c>
      <c r="F148" s="1">
        <v>680736.0</v>
      </c>
      <c r="G148" s="9">
        <f t="shared" si="1"/>
        <v>66.66666667</v>
      </c>
      <c r="H148" s="10" t="str">
        <f>IFERROR(__xludf.DUMMYFUNCTION("if(B148=""- - -"",""Trade"",filter(R:R,Q:Q=B148))"),"NL")</f>
        <v>NL</v>
      </c>
      <c r="I148" s="11">
        <f t="array" ref="I148">index('PLV (min 500)'!F:F,match(F148,'PLV (min 500)'!B:B,0))</f>
        <v>2.921990085</v>
      </c>
      <c r="J148" s="10">
        <v>3.55137679503896</v>
      </c>
      <c r="K148" s="10">
        <v>3.7412062409356484</v>
      </c>
      <c r="L148" s="10">
        <v>8.37069515169584</v>
      </c>
      <c r="U148" s="9"/>
      <c r="X148" s="9"/>
    </row>
    <row r="149">
      <c r="A149" s="1" t="s">
        <v>199</v>
      </c>
      <c r="B149" s="1" t="s">
        <v>29</v>
      </c>
      <c r="C149" s="1">
        <v>55.1</v>
      </c>
      <c r="D149" s="3">
        <v>3.253012347</v>
      </c>
      <c r="E149" s="3">
        <v>3.657290132</v>
      </c>
      <c r="F149" s="1">
        <v>664199.0</v>
      </c>
      <c r="G149" s="9">
        <f t="shared" si="1"/>
        <v>55.33333333</v>
      </c>
      <c r="H149" s="10" t="str">
        <f>IFERROR(__xludf.DUMMYFUNCTION("if(B149=""- - -"",""Trade"",filter(R:R,Q:Q=B149))"),"AL")</f>
        <v>AL</v>
      </c>
      <c r="I149" s="11">
        <f t="array" ref="I149">index('PLV (min 500)'!F:F,match(F149,'PLV (min 500)'!B:B,0))</f>
        <v>2.922439012</v>
      </c>
      <c r="J149" s="10">
        <v>3.2775804970043274</v>
      </c>
      <c r="K149" s="10">
        <v>4.790146068340171</v>
      </c>
      <c r="L149" s="10">
        <v>6.964401159787183</v>
      </c>
      <c r="U149" s="9"/>
      <c r="X149" s="9"/>
    </row>
    <row r="150">
      <c r="A150" s="1" t="s">
        <v>200</v>
      </c>
      <c r="B150" s="1" t="s">
        <v>14</v>
      </c>
      <c r="C150" s="1">
        <v>66.2</v>
      </c>
      <c r="D150" s="3">
        <v>2.16000033</v>
      </c>
      <c r="E150" s="3">
        <v>3.100565939</v>
      </c>
      <c r="F150" s="1">
        <v>676879.0</v>
      </c>
      <c r="G150" s="9">
        <f t="shared" si="1"/>
        <v>66.66666667</v>
      </c>
      <c r="H150" s="10" t="str">
        <f>IFERROR(__xludf.DUMMYFUNCTION("if(B150=""- - -"",""Trade"",filter(R:R,Q:Q=B150))"),"NL")</f>
        <v>NL</v>
      </c>
      <c r="I150" s="11">
        <f t="array" ref="I150">index('PLV (min 500)'!F:F,match(F150,'PLV (min 500)'!B:B,0))</f>
        <v>2.92391721</v>
      </c>
      <c r="J150" s="10">
        <v>2.7281611596033155</v>
      </c>
      <c r="K150" s="10">
        <v>9.796414581584498</v>
      </c>
      <c r="L150" s="10">
        <v>8.356520078953505</v>
      </c>
      <c r="U150" s="9"/>
      <c r="X150" s="9"/>
    </row>
    <row r="151">
      <c r="A151" s="1" t="s">
        <v>201</v>
      </c>
      <c r="B151" s="1" t="s">
        <v>62</v>
      </c>
      <c r="C151" s="1">
        <v>45.2</v>
      </c>
      <c r="D151" s="3">
        <v>2.759124356</v>
      </c>
      <c r="E151" s="3">
        <v>3.639720559</v>
      </c>
      <c r="F151" s="1">
        <v>675512.0</v>
      </c>
      <c r="G151" s="9">
        <f t="shared" si="1"/>
        <v>45.66666667</v>
      </c>
      <c r="H151" s="10" t="str">
        <f>IFERROR(__xludf.DUMMYFUNCTION("if(B151=""- - -"",""Trade"",filter(R:R,Q:Q=B151))"),"AL")</f>
        <v>AL</v>
      </c>
      <c r="I151" s="11">
        <f t="array" ref="I151">index('PLV (min 500)'!F:F,match(F151,'PLV (min 500)'!B:B,0))</f>
        <v>2.928756022</v>
      </c>
      <c r="J151" s="10">
        <v>3.109200312420411</v>
      </c>
      <c r="K151" s="10">
        <v>4.775127319844157</v>
      </c>
      <c r="L151" s="10">
        <v>5.681358643754698</v>
      </c>
      <c r="U151" s="9"/>
      <c r="X151" s="9"/>
    </row>
    <row r="152">
      <c r="A152" s="1" t="s">
        <v>202</v>
      </c>
      <c r="B152" s="1" t="s">
        <v>36</v>
      </c>
      <c r="C152" s="1">
        <v>38.1</v>
      </c>
      <c r="D152" s="3">
        <v>3.99130448</v>
      </c>
      <c r="E152" s="3">
        <v>3.957883486</v>
      </c>
      <c r="F152" s="1">
        <v>677960.0</v>
      </c>
      <c r="G152" s="9">
        <f t="shared" si="1"/>
        <v>38.33333333</v>
      </c>
      <c r="H152" s="10" t="str">
        <f>IFERROR(__xludf.DUMMYFUNCTION("if(B152=""- - -"",""Trade"",filter(R:R,Q:Q=B152))"),"NL")</f>
        <v>NL</v>
      </c>
      <c r="I152" s="11">
        <f t="array" ref="I152">index('PLV (min 500)'!F:F,match(F152,'PLV (min 500)'!B:B,0))</f>
        <v>2.929082791</v>
      </c>
      <c r="J152" s="10">
        <v>3.6260902524178023</v>
      </c>
      <c r="K152" s="10">
        <v>1.8368845980979687</v>
      </c>
      <c r="L152" s="10">
        <v>4.787549517027242</v>
      </c>
      <c r="U152" s="9"/>
      <c r="X152" s="9"/>
    </row>
    <row r="153">
      <c r="A153" s="1" t="s">
        <v>203</v>
      </c>
      <c r="B153" s="1" t="s">
        <v>34</v>
      </c>
      <c r="C153" s="1">
        <v>49.2</v>
      </c>
      <c r="D153" s="3">
        <v>2.174497048</v>
      </c>
      <c r="E153" s="3">
        <v>3.477272012</v>
      </c>
      <c r="F153" s="1">
        <v>519141.0</v>
      </c>
      <c r="G153" s="9">
        <f t="shared" si="1"/>
        <v>49.66666667</v>
      </c>
      <c r="H153" s="10" t="str">
        <f>IFERROR(__xludf.DUMMYFUNCTION("if(B153=""- - -"",""Trade"",filter(R:R,Q:Q=B153))"),"NL")</f>
        <v>NL</v>
      </c>
      <c r="I153" s="11">
        <f t="array" ref="I153">index('PLV (min 500)'!F:F,match(F153,'PLV (min 500)'!B:B,0))</f>
        <v>2.930078416</v>
      </c>
      <c r="J153" s="10">
        <v>2.8606158253035776</v>
      </c>
      <c r="K153" s="10">
        <v>6.556633488340441</v>
      </c>
      <c r="L153" s="10">
        <v>6.176904659687989</v>
      </c>
      <c r="U153" s="9"/>
      <c r="X153" s="9"/>
    </row>
    <row r="154">
      <c r="A154" s="1" t="s">
        <v>204</v>
      </c>
      <c r="B154" s="1" t="s">
        <v>54</v>
      </c>
      <c r="C154" s="1">
        <v>44.2</v>
      </c>
      <c r="D154" s="3">
        <v>3.828358427</v>
      </c>
      <c r="E154" s="3">
        <v>4.264745855</v>
      </c>
      <c r="F154" s="1">
        <v>669438.0</v>
      </c>
      <c r="G154" s="9">
        <f t="shared" si="1"/>
        <v>44.66666667</v>
      </c>
      <c r="H154" s="10" t="str">
        <f>IFERROR(__xludf.DUMMYFUNCTION("if(B154=""- - -"",""Trade"",filter(R:R,Q:Q=B154))"),"AL")</f>
        <v>AL</v>
      </c>
      <c r="I154" s="11">
        <f t="array" ref="I154">index('PLV (min 500)'!F:F,match(F154,'PLV (min 500)'!B:B,0))</f>
        <v>2.931054918</v>
      </c>
      <c r="J154" s="10">
        <v>3.674719733296192</v>
      </c>
      <c r="K154" s="10">
        <v>1.892154198700923</v>
      </c>
      <c r="L154" s="10">
        <v>5.544374736591666</v>
      </c>
      <c r="U154" s="9"/>
      <c r="X154" s="9"/>
    </row>
    <row r="155">
      <c r="A155" s="1" t="s">
        <v>205</v>
      </c>
      <c r="B155" s="1" t="s">
        <v>29</v>
      </c>
      <c r="C155" s="1">
        <v>61.2</v>
      </c>
      <c r="D155" s="3">
        <v>4.670270463</v>
      </c>
      <c r="E155" s="3">
        <v>2.668361916</v>
      </c>
      <c r="F155" s="1">
        <v>666142.0</v>
      </c>
      <c r="G155" s="9">
        <f t="shared" si="1"/>
        <v>61.66666667</v>
      </c>
      <c r="H155" s="10" t="str">
        <f>IFERROR(__xludf.DUMMYFUNCTION("if(B155=""- - -"",""Trade"",filter(R:R,Q:Q=B155))"),"AL")</f>
        <v>AL</v>
      </c>
      <c r="I155" s="11">
        <f t="array" ref="I155">index('PLV (min 500)'!F:F,match(F155,'PLV (min 500)'!B:B,0))</f>
        <v>2.935169562</v>
      </c>
      <c r="J155" s="10">
        <v>3.424600647017034</v>
      </c>
      <c r="K155" s="10">
        <v>4.320715600284166</v>
      </c>
      <c r="L155" s="10">
        <v>7.648846978052499</v>
      </c>
      <c r="U155" s="9"/>
      <c r="X155" s="9"/>
    </row>
    <row r="156">
      <c r="A156" s="1" t="s">
        <v>206</v>
      </c>
      <c r="B156" s="1" t="s">
        <v>33</v>
      </c>
      <c r="C156" s="1">
        <v>76.1</v>
      </c>
      <c r="D156" s="3">
        <v>2.947598855</v>
      </c>
      <c r="E156" s="3">
        <v>2.69718162</v>
      </c>
      <c r="F156" s="1">
        <v>676263.0</v>
      </c>
      <c r="G156" s="9">
        <f t="shared" si="1"/>
        <v>76.33333333</v>
      </c>
      <c r="H156" s="10" t="str">
        <f>IFERROR(__xludf.DUMMYFUNCTION("if(B156=""- - -"",""Trade"",filter(R:R,Q:Q=B156))"),"NL")</f>
        <v>NL</v>
      </c>
      <c r="I156" s="11">
        <f t="array" ref="I156">index('PLV (min 500)'!F:F,match(F156,'PLV (min 500)'!B:B,0))</f>
        <v>2.939843004</v>
      </c>
      <c r="J156" s="10">
        <v>2.8615411598188913</v>
      </c>
      <c r="K156" s="10">
        <v>10.133635304198037</v>
      </c>
      <c r="L156" s="10">
        <v>9.471549706760772</v>
      </c>
      <c r="U156" s="9"/>
      <c r="X156" s="9"/>
    </row>
    <row r="157">
      <c r="A157" s="1" t="s">
        <v>207</v>
      </c>
      <c r="B157" s="1" t="s">
        <v>26</v>
      </c>
      <c r="C157" s="1">
        <v>73.1</v>
      </c>
      <c r="D157" s="3">
        <v>3.436363875</v>
      </c>
      <c r="E157" s="3">
        <v>4.260714517</v>
      </c>
      <c r="F157" s="1">
        <v>650633.0</v>
      </c>
      <c r="G157" s="9">
        <f t="shared" si="1"/>
        <v>73.33333333</v>
      </c>
      <c r="H157" s="10" t="str">
        <f>IFERROR(__xludf.DUMMYFUNCTION("if(B157=""- - -"",""Trade"",filter(R:R,Q:Q=B157))"),"NL")</f>
        <v>NL</v>
      </c>
      <c r="I157" s="11">
        <f t="array" ref="I157">index('PLV (min 500)'!F:F,match(F157,'PLV (min 500)'!B:B,0))</f>
        <v>2.942936918</v>
      </c>
      <c r="J157" s="10">
        <v>3.5466717699981802</v>
      </c>
      <c r="K157" s="10">
        <v>4.169365957014777</v>
      </c>
      <c r="L157" s="10">
        <v>9.073034588288781</v>
      </c>
      <c r="U157" s="9"/>
      <c r="X157" s="9"/>
    </row>
    <row r="158">
      <c r="A158" s="1" t="s">
        <v>208</v>
      </c>
      <c r="B158" s="1" t="s">
        <v>45</v>
      </c>
      <c r="C158" s="1">
        <v>42.2</v>
      </c>
      <c r="D158" s="3">
        <v>8.226563726</v>
      </c>
      <c r="E158" s="3">
        <v>4.080618091</v>
      </c>
      <c r="F158" s="1">
        <v>605447.0</v>
      </c>
      <c r="G158" s="9">
        <f t="shared" si="1"/>
        <v>42.66666667</v>
      </c>
      <c r="H158" s="10" t="str">
        <f>IFERROR(__xludf.DUMMYFUNCTION("if(B158=""- - -"",""Trade"",filter(R:R,Q:Q=B158))"),"NL")</f>
        <v>NL</v>
      </c>
      <c r="I158" s="11">
        <f t="array" ref="I158">index('PLV (min 500)'!F:F,match(F158,'PLV (min 500)'!B:B,0))</f>
        <v>2.948820609</v>
      </c>
      <c r="J158" s="10">
        <v>5.085334142117321</v>
      </c>
      <c r="K158" s="10">
        <v>-4.807677866372329</v>
      </c>
      <c r="L158" s="10">
        <v>5.210196698371909</v>
      </c>
      <c r="U158" s="9"/>
      <c r="X158" s="9"/>
    </row>
    <row r="159">
      <c r="A159" s="1" t="s">
        <v>209</v>
      </c>
      <c r="B159" s="1" t="s">
        <v>31</v>
      </c>
      <c r="C159" s="1">
        <v>106.2</v>
      </c>
      <c r="D159" s="3">
        <v>3.796875091</v>
      </c>
      <c r="E159" s="3">
        <v>4.250204829</v>
      </c>
      <c r="F159" s="1">
        <v>694738.0</v>
      </c>
      <c r="G159" s="9">
        <f t="shared" si="1"/>
        <v>106.6666667</v>
      </c>
      <c r="H159" s="10" t="str">
        <f>IFERROR(__xludf.DUMMYFUNCTION("if(B159=""- - -"",""Trade"",filter(R:R,Q:Q=B159))"),"NL")</f>
        <v>NL</v>
      </c>
      <c r="I159" s="11">
        <f t="array" ref="I159">index('PLV (min 500)'!F:F,match(F159,'PLV (min 500)'!B:B,0))</f>
        <v>2.956803919</v>
      </c>
      <c r="J159" s="10">
        <v>3.6679612796264536</v>
      </c>
      <c r="K159" s="10">
        <v>4.626056900407843</v>
      </c>
      <c r="L159" s="10">
        <v>13.017713757223548</v>
      </c>
      <c r="U159" s="9"/>
      <c r="X159" s="9"/>
    </row>
    <row r="160">
      <c r="A160" s="1" t="s">
        <v>210</v>
      </c>
      <c r="B160" s="1" t="s">
        <v>39</v>
      </c>
      <c r="C160" s="1">
        <v>71.0</v>
      </c>
      <c r="D160" s="3">
        <v>2.281690386</v>
      </c>
      <c r="E160" s="3">
        <v>3.412074852</v>
      </c>
      <c r="F160" s="1">
        <v>650556.0</v>
      </c>
      <c r="G160" s="9">
        <f t="shared" si="1"/>
        <v>71</v>
      </c>
      <c r="H160" s="10" t="str">
        <f>IFERROR(__xludf.DUMMYFUNCTION("if(B160=""- - -"",""Trade"",filter(R:R,Q:Q=B160))"),"AL")</f>
        <v>AL</v>
      </c>
      <c r="I160" s="11">
        <f t="array" ref="I160">index('PLV (min 500)'!F:F,match(F160,'PLV (min 500)'!B:B,0))</f>
        <v>2.959824549</v>
      </c>
      <c r="J160" s="10">
        <v>2.8845299290569035</v>
      </c>
      <c r="K160" s="10">
        <v>9.273152781884425</v>
      </c>
      <c r="L160" s="10">
        <v>8.679161889875495</v>
      </c>
      <c r="U160" s="9"/>
      <c r="X160" s="9"/>
    </row>
    <row r="161">
      <c r="A161" s="1" t="s">
        <v>211</v>
      </c>
      <c r="B161" s="1" t="s">
        <v>66</v>
      </c>
      <c r="C161" s="1">
        <v>65.1</v>
      </c>
      <c r="D161" s="3">
        <v>3.994898737</v>
      </c>
      <c r="E161" s="3">
        <v>3.455773908</v>
      </c>
      <c r="F161" s="1">
        <v>668933.0</v>
      </c>
      <c r="G161" s="9">
        <f t="shared" si="1"/>
        <v>65.33333333</v>
      </c>
      <c r="H161" s="10" t="str">
        <f>IFERROR(__xludf.DUMMYFUNCTION("if(B161=""- - -"",""Trade"",filter(R:R,Q:Q=B161))"),"NL")</f>
        <v>NL</v>
      </c>
      <c r="I161" s="11">
        <f t="array" ref="I161">index('PLV (min 500)'!F:F,match(F161,'PLV (min 500)'!B:B,0))</f>
        <v>2.959878306</v>
      </c>
      <c r="J161" s="10">
        <v>3.4701836502734733</v>
      </c>
      <c r="K161" s="10">
        <v>4.266338263021873</v>
      </c>
      <c r="L161" s="10">
        <v>7.957546921232289</v>
      </c>
      <c r="U161" s="9"/>
      <c r="X161" s="9"/>
    </row>
    <row r="162">
      <c r="A162" s="1" t="s">
        <v>212</v>
      </c>
      <c r="B162" s="1" t="s">
        <v>16</v>
      </c>
      <c r="C162" s="1">
        <v>79.1</v>
      </c>
      <c r="D162" s="3">
        <v>5.558823886</v>
      </c>
      <c r="E162" s="3">
        <v>4.669486909</v>
      </c>
      <c r="F162" s="1">
        <v>805673.0</v>
      </c>
      <c r="G162" s="9">
        <f t="shared" si="1"/>
        <v>79.33333333</v>
      </c>
      <c r="H162" s="10" t="str">
        <f>IFERROR(__xludf.DUMMYFUNCTION("if(B162=""- - -"",""Trade"",filter(R:R,Q:Q=B162))"),"AL")</f>
        <v>AL</v>
      </c>
      <c r="I162" s="11">
        <f t="array" ref="I162">index('PLV (min 500)'!F:F,match(F162,'PLV (min 500)'!B:B,0))</f>
        <v>2.962667231</v>
      </c>
      <c r="J162" s="10">
        <v>4.39699267533095</v>
      </c>
      <c r="K162" s="10">
        <v>-2.961791179853133</v>
      </c>
      <c r="L162" s="10">
        <v>9.644335780940596</v>
      </c>
      <c r="U162" s="9"/>
      <c r="X162" s="9"/>
    </row>
    <row r="163">
      <c r="A163" s="1" t="s">
        <v>213</v>
      </c>
      <c r="B163" s="1" t="s">
        <v>52</v>
      </c>
      <c r="C163" s="1">
        <v>65.0</v>
      </c>
      <c r="D163" s="3">
        <v>3.184615945</v>
      </c>
      <c r="E163" s="3">
        <v>3.330810646</v>
      </c>
      <c r="F163" s="1">
        <v>686993.0</v>
      </c>
      <c r="G163" s="9">
        <f t="shared" si="1"/>
        <v>65</v>
      </c>
      <c r="H163" s="10" t="str">
        <f>IFERROR(__xludf.DUMMYFUNCTION("if(B163=""- - -"",""Trade"",filter(R:R,Q:Q=B163))"),"AL")</f>
        <v>AL</v>
      </c>
      <c r="I163" s="11">
        <f t="array" ref="I163">index('PLV (min 500)'!F:F,match(F163,'PLV (min 500)'!B:B,0))</f>
        <v>2.963794015</v>
      </c>
      <c r="J163" s="10">
        <v>3.1597402020218133</v>
      </c>
      <c r="K163" s="10">
        <v>6.5018763187313455</v>
      </c>
      <c r="L163" s="10">
        <v>7.917043224527384</v>
      </c>
      <c r="U163" s="9"/>
      <c r="X163" s="9"/>
    </row>
    <row r="164">
      <c r="A164" s="1" t="s">
        <v>214</v>
      </c>
      <c r="B164" s="1" t="s">
        <v>29</v>
      </c>
      <c r="C164" s="1">
        <v>45.2</v>
      </c>
      <c r="D164" s="3">
        <v>3.744526382</v>
      </c>
      <c r="E164" s="3">
        <v>3.418601047</v>
      </c>
      <c r="F164" s="1">
        <v>674444.0</v>
      </c>
      <c r="G164" s="9">
        <f t="shared" si="1"/>
        <v>45.66666667</v>
      </c>
      <c r="H164" s="10" t="str">
        <f>IFERROR(__xludf.DUMMYFUNCTION("if(B164=""- - -"",""Trade"",filter(R:R,Q:Q=B164))"),"AL")</f>
        <v>AL</v>
      </c>
      <c r="I164" s="11">
        <f t="array" ref="I164">index('PLV (min 500)'!F:F,match(F164,'PLV (min 500)'!B:B,0))</f>
        <v>2.964621876</v>
      </c>
      <c r="J164" s="10">
        <v>3.375916435028509</v>
      </c>
      <c r="K164" s="10">
        <v>3.43561968185682</v>
      </c>
      <c r="L164" s="10">
        <v>5.5012323556593605</v>
      </c>
      <c r="U164" s="9"/>
      <c r="X164" s="9"/>
    </row>
    <row r="165">
      <c r="A165" s="1" t="s">
        <v>215</v>
      </c>
      <c r="B165" s="1" t="s">
        <v>21</v>
      </c>
      <c r="C165" s="1">
        <v>55.1</v>
      </c>
      <c r="D165" s="3">
        <v>5.530121097</v>
      </c>
      <c r="E165" s="3">
        <v>3.844699276</v>
      </c>
      <c r="F165" s="1">
        <v>656234.0</v>
      </c>
      <c r="G165" s="9">
        <f t="shared" si="1"/>
        <v>55.33333333</v>
      </c>
      <c r="H165" s="10" t="str">
        <f>IFERROR(__xludf.DUMMYFUNCTION("if(B165=""- - -"",""Trade"",filter(R:R,Q:Q=B165))"),"Trade")</f>
        <v>Trade</v>
      </c>
      <c r="I165" s="11">
        <f t="array" ref="I165">index('PLV (min 500)'!F:F,match(F165,'PLV (min 500)'!B:B,0))</f>
        <v>2.964721175</v>
      </c>
      <c r="J165" s="10">
        <v>4.113180515994851</v>
      </c>
      <c r="K165" s="10">
        <v>-0.3255829368129243</v>
      </c>
      <c r="L165" s="10">
        <v>6.70554036203902</v>
      </c>
      <c r="U165" s="9"/>
      <c r="X165" s="9"/>
    </row>
    <row r="166">
      <c r="A166" s="1" t="s">
        <v>216</v>
      </c>
      <c r="B166" s="1" t="s">
        <v>68</v>
      </c>
      <c r="C166" s="1">
        <v>71.1</v>
      </c>
      <c r="D166" s="3">
        <v>5.929906965</v>
      </c>
      <c r="E166" s="3">
        <v>4.487306981</v>
      </c>
      <c r="F166" s="1">
        <v>621107.0</v>
      </c>
      <c r="G166" s="9">
        <f t="shared" si="1"/>
        <v>71.33333333</v>
      </c>
      <c r="H166" s="10" t="str">
        <f>IFERROR(__xludf.DUMMYFUNCTION("if(B166=""- - -"",""Trade"",filter(R:R,Q:Q=B166))"),"AL")</f>
        <v>AL</v>
      </c>
      <c r="I166" s="11">
        <f t="array" ref="I166">index('PLV (min 500)'!F:F,match(F166,'PLV (min 500)'!B:B,0))</f>
        <v>2.967032019</v>
      </c>
      <c r="J166" s="10">
        <v>4.46141532158235</v>
      </c>
      <c r="K166" s="10">
        <v>-3.171181040500566</v>
      </c>
      <c r="L166" s="10">
        <v>8.63444705189832</v>
      </c>
      <c r="U166" s="9"/>
      <c r="X166" s="9"/>
    </row>
    <row r="167">
      <c r="A167" s="1" t="s">
        <v>217</v>
      </c>
      <c r="B167" s="1" t="s">
        <v>60</v>
      </c>
      <c r="C167" s="1">
        <v>70.1</v>
      </c>
      <c r="D167" s="3">
        <v>2.175355608</v>
      </c>
      <c r="E167" s="3">
        <v>3.504816661</v>
      </c>
      <c r="F167" s="1">
        <v>642701.0</v>
      </c>
      <c r="G167" s="9">
        <f t="shared" si="1"/>
        <v>70.33333333</v>
      </c>
      <c r="H167" s="10" t="str">
        <f>IFERROR(__xludf.DUMMYFUNCTION("if(B167=""- - -"",""Trade"",filter(R:R,Q:Q=B167))"),"NL")</f>
        <v>NL</v>
      </c>
      <c r="I167" s="11">
        <f t="array" ref="I167">index('PLV (min 500)'!F:F,match(F167,'PLV (min 500)'!B:B,0))</f>
        <v>2.968128939</v>
      </c>
      <c r="J167" s="10">
        <v>2.8827670691764316</v>
      </c>
      <c r="K167" s="10">
        <v>9.16933649452579</v>
      </c>
      <c r="L167" s="10">
        <v>8.504462378788485</v>
      </c>
      <c r="U167" s="9"/>
      <c r="X167" s="9"/>
    </row>
    <row r="168">
      <c r="A168" s="1" t="s">
        <v>218</v>
      </c>
      <c r="B168" s="1" t="s">
        <v>68</v>
      </c>
      <c r="C168" s="1">
        <v>109.2</v>
      </c>
      <c r="D168" s="3">
        <v>1.805471166</v>
      </c>
      <c r="E168" s="3">
        <v>3.398278723</v>
      </c>
      <c r="F168" s="1">
        <v>669432.0</v>
      </c>
      <c r="G168" s="9">
        <f t="shared" si="1"/>
        <v>109.6666667</v>
      </c>
      <c r="H168" s="10" t="str">
        <f>IFERROR(__xludf.DUMMYFUNCTION("if(B168=""- - -"",""Trade"",filter(R:R,Q:Q=B168))"),"AL")</f>
        <v>AL</v>
      </c>
      <c r="I168" s="11">
        <f t="array" ref="I168">index('PLV (min 500)'!F:F,match(F168,'PLV (min 500)'!B:B,0))</f>
        <v>2.977406535</v>
      </c>
      <c r="J168" s="10">
        <v>2.727052141378468</v>
      </c>
      <c r="K168" s="10">
        <v>16.173100684607917</v>
      </c>
      <c r="L168" s="10">
        <v>13.13546737369043</v>
      </c>
      <c r="U168" s="9"/>
      <c r="X168" s="9"/>
    </row>
    <row r="169">
      <c r="A169" s="1" t="s">
        <v>219</v>
      </c>
      <c r="B169" s="1" t="s">
        <v>64</v>
      </c>
      <c r="C169" s="1">
        <v>41.1</v>
      </c>
      <c r="D169" s="3">
        <v>3.919356044</v>
      </c>
      <c r="E169" s="3">
        <v>3.590150199</v>
      </c>
      <c r="F169" s="1">
        <v>657044.0</v>
      </c>
      <c r="G169" s="9">
        <f t="shared" si="1"/>
        <v>41.33333333</v>
      </c>
      <c r="H169" s="10" t="str">
        <f>IFERROR(__xludf.DUMMYFUNCTION("if(B169=""- - -"",""Trade"",filter(R:R,Q:Q=B169))"),"NL")</f>
        <v>NL</v>
      </c>
      <c r="I169" s="11">
        <f t="array" ref="I169">index('PLV (min 500)'!F:F,match(F169,'PLV (min 500)'!B:B,0))</f>
        <v>2.990616896</v>
      </c>
      <c r="J169" s="10">
        <v>3.500041046230628</v>
      </c>
      <c r="K169" s="10">
        <v>2.5571458888801297</v>
      </c>
      <c r="L169" s="10">
        <v>4.883516176340395</v>
      </c>
      <c r="U169" s="9"/>
      <c r="X169" s="9"/>
    </row>
    <row r="170">
      <c r="A170" s="1" t="s">
        <v>220</v>
      </c>
      <c r="B170" s="1" t="s">
        <v>21</v>
      </c>
      <c r="C170" s="1">
        <v>125.1</v>
      </c>
      <c r="D170" s="3">
        <v>4.45212784</v>
      </c>
      <c r="E170" s="3">
        <v>4.888735564</v>
      </c>
      <c r="F170" s="1">
        <v>663559.0</v>
      </c>
      <c r="G170" s="9">
        <f t="shared" si="1"/>
        <v>125.3333333</v>
      </c>
      <c r="H170" s="10" t="str">
        <f>IFERROR(__xludf.DUMMYFUNCTION("if(B170=""- - -"",""Trade"",filter(R:R,Q:Q=B170))"),"Trade")</f>
        <v>Trade</v>
      </c>
      <c r="I170" s="11">
        <f t="array" ref="I170">index('PLV (min 500)'!F:F,match(F170,'PLV (min 500)'!B:B,0))</f>
        <v>3.005010957</v>
      </c>
      <c r="J170" s="10">
        <v>4.115291453794291</v>
      </c>
      <c r="K170" s="10">
        <v>-0.7685512077406512</v>
      </c>
      <c r="L170" s="10">
        <v>14.664347692378072</v>
      </c>
      <c r="U170" s="9"/>
      <c r="X170" s="9"/>
    </row>
    <row r="171">
      <c r="A171" s="1" t="s">
        <v>221</v>
      </c>
      <c r="B171" s="1" t="s">
        <v>14</v>
      </c>
      <c r="C171" s="1">
        <v>50.2</v>
      </c>
      <c r="D171" s="3">
        <v>3.552631891</v>
      </c>
      <c r="E171" s="3">
        <v>4.387298131</v>
      </c>
      <c r="F171" s="1">
        <v>668964.0</v>
      </c>
      <c r="G171" s="9">
        <f t="shared" si="1"/>
        <v>50.66666667</v>
      </c>
      <c r="H171" s="10" t="str">
        <f>IFERROR(__xludf.DUMMYFUNCTION("if(B171=""- - -"",""Trade"",filter(R:R,Q:Q=B171))"),"NL")</f>
        <v>NL</v>
      </c>
      <c r="I171" s="11">
        <f t="array" ref="I171">index('PLV (min 500)'!F:F,match(F171,'PLV (min 500)'!B:B,0))</f>
        <v>3.006152467</v>
      </c>
      <c r="J171" s="10">
        <v>3.648694163107604</v>
      </c>
      <c r="K171" s="10">
        <v>2.294172556888695</v>
      </c>
      <c r="L171" s="10">
        <v>5.8781273489327495</v>
      </c>
      <c r="U171" s="9"/>
      <c r="X171" s="9"/>
    </row>
    <row r="172">
      <c r="A172" s="1" t="s">
        <v>222</v>
      </c>
      <c r="B172" s="1" t="s">
        <v>21</v>
      </c>
      <c r="C172" s="1">
        <v>184.0</v>
      </c>
      <c r="D172" s="3">
        <v>3.521739349</v>
      </c>
      <c r="E172" s="3">
        <v>4.147483342</v>
      </c>
      <c r="F172" s="1">
        <v>518876.0</v>
      </c>
      <c r="G172" s="9">
        <f t="shared" si="1"/>
        <v>184</v>
      </c>
      <c r="H172" s="10" t="str">
        <f>IFERROR(__xludf.DUMMYFUNCTION("if(B172=""- - -"",""Trade"",filter(R:R,Q:Q=B172))"),"Trade")</f>
        <v>Trade</v>
      </c>
      <c r="I172" s="11">
        <f t="array" ref="I172">index('PLV (min 500)'!F:F,match(F172,'PLV (min 500)'!B:B,0))</f>
        <v>3.006309864</v>
      </c>
      <c r="J172" s="10">
        <v>3.558510851699252</v>
      </c>
      <c r="K172" s="10">
        <v>10.252667031926395</v>
      </c>
      <c r="L172" s="10">
        <v>21.54210944511251</v>
      </c>
      <c r="U172" s="9"/>
      <c r="X172" s="9"/>
    </row>
    <row r="173">
      <c r="A173" s="1" t="s">
        <v>223</v>
      </c>
      <c r="B173" s="1" t="s">
        <v>72</v>
      </c>
      <c r="C173" s="1">
        <v>60.1</v>
      </c>
      <c r="D173" s="3">
        <v>1.939226805</v>
      </c>
      <c r="E173" s="3">
        <v>3.084325244</v>
      </c>
      <c r="F173" s="1">
        <v>694335.0</v>
      </c>
      <c r="G173" s="9">
        <f t="shared" si="1"/>
        <v>60.33333333</v>
      </c>
      <c r="H173" s="10" t="str">
        <f>IFERROR(__xludf.DUMMYFUNCTION("if(B173=""- - -"",""Trade"",filter(R:R,Q:Q=B173))"),"NL")</f>
        <v>NL</v>
      </c>
      <c r="I173" s="11">
        <f t="array" ref="I173">index('PLV (min 500)'!F:F,match(F173,'PLV (min 500)'!B:B,0))</f>
        <v>3.016457453</v>
      </c>
      <c r="J173" s="10">
        <v>2.6800031673351143</v>
      </c>
      <c r="K173" s="10">
        <v>9.21531218257329</v>
      </c>
      <c r="L173" s="10">
        <v>6.968545230486541</v>
      </c>
      <c r="U173" s="9"/>
      <c r="X173" s="9"/>
    </row>
    <row r="174">
      <c r="A174" s="1" t="s">
        <v>224</v>
      </c>
      <c r="B174" s="1" t="s">
        <v>21</v>
      </c>
      <c r="C174" s="1">
        <v>76.1</v>
      </c>
      <c r="D174" s="3">
        <v>3.655022078</v>
      </c>
      <c r="E174" s="3">
        <v>4.3221417</v>
      </c>
      <c r="F174" s="1">
        <v>686701.0</v>
      </c>
      <c r="G174" s="9">
        <f t="shared" si="1"/>
        <v>76.33333333</v>
      </c>
      <c r="H174" s="10" t="str">
        <f>IFERROR(__xludf.DUMMYFUNCTION("if(B174=""- - -"",""Trade"",filter(R:R,Q:Q=B174))"),"Trade")</f>
        <v>Trade</v>
      </c>
      <c r="I174" s="11">
        <f t="array" ref="I174">index('PLV (min 500)'!F:F,match(F174,'PLV (min 500)'!B:B,0))</f>
        <v>3.019903664</v>
      </c>
      <c r="J174" s="10">
        <v>3.6656891472694024</v>
      </c>
      <c r="K174" s="10">
        <v>3.3341173214220494</v>
      </c>
      <c r="L174" s="10">
        <v>8.794592353799487</v>
      </c>
      <c r="U174" s="9"/>
      <c r="X174" s="9"/>
    </row>
    <row r="175">
      <c r="A175" s="1" t="s">
        <v>225</v>
      </c>
      <c r="B175" s="1" t="s">
        <v>58</v>
      </c>
      <c r="C175" s="1">
        <v>64.2</v>
      </c>
      <c r="D175" s="3">
        <v>3.61855727</v>
      </c>
      <c r="E175" s="3">
        <v>2.938227339</v>
      </c>
      <c r="F175" s="1">
        <v>596133.0</v>
      </c>
      <c r="G175" s="9">
        <f t="shared" si="1"/>
        <v>64.66666667</v>
      </c>
      <c r="H175" s="10" t="str">
        <f>IFERROR(__xludf.DUMMYFUNCTION("if(B175=""- - -"",""Trade"",filter(R:R,Q:Q=B175))"),"AL")</f>
        <v>AL</v>
      </c>
      <c r="I175" s="11">
        <f t="array" ref="I175">index('PLV (min 500)'!F:F,match(F175,'PLV (min 500)'!B:B,0))</f>
        <v>3.023002252</v>
      </c>
      <c r="J175" s="10">
        <v>3.1932622870470033</v>
      </c>
      <c r="K175" s="10">
        <v>6.182729019064707</v>
      </c>
      <c r="L175" s="10">
        <v>7.397250601394124</v>
      </c>
      <c r="U175" s="9"/>
      <c r="X175" s="9"/>
    </row>
    <row r="176">
      <c r="A176" s="1" t="s">
        <v>226</v>
      </c>
      <c r="B176" s="1" t="s">
        <v>66</v>
      </c>
      <c r="C176" s="1">
        <v>165.2</v>
      </c>
      <c r="D176" s="3">
        <v>4.454728439</v>
      </c>
      <c r="E176" s="3">
        <v>4.038836424</v>
      </c>
      <c r="F176" s="1">
        <v>607259.0</v>
      </c>
      <c r="G176" s="9">
        <f t="shared" si="1"/>
        <v>165.6666667</v>
      </c>
      <c r="H176" s="10" t="str">
        <f>IFERROR(__xludf.DUMMYFUNCTION("if(B176=""- - -"",""Trade"",filter(R:R,Q:Q=B176))"),"NL")</f>
        <v>NL</v>
      </c>
      <c r="I176" s="11">
        <f t="array" ref="I176">index('PLV (min 500)'!F:F,match(F176,'PLV (min 500)'!B:B,0))</f>
        <v>3.024765616</v>
      </c>
      <c r="J176" s="10">
        <v>3.8394434929142847</v>
      </c>
      <c r="K176" s="10">
        <v>4.048437218951123</v>
      </c>
      <c r="L176" s="10">
        <v>19.002302253253383</v>
      </c>
      <c r="U176" s="9"/>
      <c r="X176" s="9"/>
    </row>
    <row r="177">
      <c r="A177" s="1" t="s">
        <v>227</v>
      </c>
      <c r="B177" s="1" t="s">
        <v>52</v>
      </c>
      <c r="C177" s="1">
        <v>64.2</v>
      </c>
      <c r="D177" s="3">
        <v>3.201031431</v>
      </c>
      <c r="E177" s="3">
        <v>3.848714632</v>
      </c>
      <c r="F177" s="1">
        <v>663687.0</v>
      </c>
      <c r="G177" s="9">
        <f t="shared" si="1"/>
        <v>64.66666667</v>
      </c>
      <c r="H177" s="10" t="str">
        <f>IFERROR(__xludf.DUMMYFUNCTION("if(B177=""- - -"",""Trade"",filter(R:R,Q:Q=B177))"),"AL")</f>
        <v>AL</v>
      </c>
      <c r="I177" s="11">
        <f t="array" ref="I177">index('PLV (min 500)'!F:F,match(F177,'PLV (min 500)'!B:B,0))</f>
        <v>3.025921871</v>
      </c>
      <c r="J177" s="10">
        <v>3.3585559781486576</v>
      </c>
      <c r="K177" s="10">
        <v>5.003634022539574</v>
      </c>
      <c r="L177" s="10">
        <v>7.376423983685395</v>
      </c>
      <c r="U177" s="9"/>
      <c r="X177" s="9"/>
    </row>
    <row r="178">
      <c r="A178" s="1" t="s">
        <v>228</v>
      </c>
      <c r="B178" s="1" t="s">
        <v>21</v>
      </c>
      <c r="C178" s="1">
        <v>101.2</v>
      </c>
      <c r="D178" s="3">
        <v>5.665573912</v>
      </c>
      <c r="E178" s="3">
        <v>4.606655538</v>
      </c>
      <c r="F178" s="1">
        <v>687473.0</v>
      </c>
      <c r="G178" s="9">
        <f t="shared" si="1"/>
        <v>101.6666667</v>
      </c>
      <c r="H178" s="10" t="str">
        <f>IFERROR(__xludf.DUMMYFUNCTION("if(B178=""- - -"",""Trade"",filter(R:R,Q:Q=B178))"),"Trade")</f>
        <v>Trade</v>
      </c>
      <c r="I178" s="11">
        <f t="array" ref="I178">index('PLV (min 500)'!F:F,match(F178,'PLV (min 500)'!B:B,0))</f>
        <v>3.026408488</v>
      </c>
      <c r="J178" s="10">
        <v>4.432879312798533</v>
      </c>
      <c r="K178" s="10">
        <v>-4.192820717245727</v>
      </c>
      <c r="L178" s="10">
        <v>11.622162330485073</v>
      </c>
      <c r="U178" s="9"/>
      <c r="X178" s="9"/>
    </row>
    <row r="179">
      <c r="A179" s="1" t="s">
        <v>229</v>
      </c>
      <c r="B179" s="1" t="s">
        <v>36</v>
      </c>
      <c r="C179" s="1">
        <v>174.2</v>
      </c>
      <c r="D179" s="3">
        <v>5.358778938</v>
      </c>
      <c r="E179" s="3">
        <v>4.627612998</v>
      </c>
      <c r="F179" s="1">
        <v>645261.0</v>
      </c>
      <c r="G179" s="9">
        <f t="shared" si="1"/>
        <v>174.6666667</v>
      </c>
      <c r="H179" s="10" t="str">
        <f>IFERROR(__xludf.DUMMYFUNCTION("if(B179=""- - -"",""Trade"",filter(R:R,Q:Q=B179))"),"NL")</f>
        <v>NL</v>
      </c>
      <c r="I179" s="11">
        <f t="array" ref="I179">index('PLV (min 500)'!F:F,match(F179,'PLV (min 500)'!B:B,0))</f>
        <v>3.027522572</v>
      </c>
      <c r="J179" s="10">
        <v>4.3379715028204355</v>
      </c>
      <c r="K179" s="10">
        <v>-5.380292865702215</v>
      </c>
      <c r="L179" s="10">
        <v>19.984174208582257</v>
      </c>
      <c r="U179" s="9"/>
      <c r="X179" s="9"/>
    </row>
    <row r="180">
      <c r="A180" s="1" t="s">
        <v>230</v>
      </c>
      <c r="B180" s="1" t="s">
        <v>22</v>
      </c>
      <c r="C180" s="1">
        <v>48.1</v>
      </c>
      <c r="D180" s="3">
        <v>3.351725284</v>
      </c>
      <c r="E180" s="3">
        <v>3.603121563</v>
      </c>
      <c r="F180" s="1">
        <v>458677.0</v>
      </c>
      <c r="G180" s="9">
        <f t="shared" si="1"/>
        <v>48.33333333</v>
      </c>
      <c r="H180" s="10" t="str">
        <f>IFERROR(__xludf.DUMMYFUNCTION("if(B180=""- - -"",""Trade"",filter(R:R,Q:Q=B180))"),"AL")</f>
        <v>AL</v>
      </c>
      <c r="I180" s="11">
        <f t="array" ref="I180">index('PLV (min 500)'!F:F,match(F180,'PLV (min 500)'!B:B,0))</f>
        <v>3.028035289</v>
      </c>
      <c r="J180" s="10">
        <v>3.3276273788084865</v>
      </c>
      <c r="K180" s="10">
        <v>3.914124786590198</v>
      </c>
      <c r="L180" s="10">
        <v>5.515278064292825</v>
      </c>
      <c r="U180" s="9"/>
      <c r="X180" s="9"/>
    </row>
    <row r="181">
      <c r="A181" s="1" t="s">
        <v>231</v>
      </c>
      <c r="B181" s="1" t="s">
        <v>68</v>
      </c>
      <c r="C181" s="1">
        <v>63.1</v>
      </c>
      <c r="D181" s="3">
        <v>3.410526898</v>
      </c>
      <c r="E181" s="3">
        <v>4.666864364</v>
      </c>
      <c r="F181" s="1">
        <v>669211.0</v>
      </c>
      <c r="G181" s="9">
        <f t="shared" si="1"/>
        <v>63.33333333</v>
      </c>
      <c r="H181" s="10" t="str">
        <f>IFERROR(__xludf.DUMMYFUNCTION("if(B181=""- - -"",""Trade"",filter(R:R,Q:Q=B181))"),"AL")</f>
        <v>AL</v>
      </c>
      <c r="I181" s="11">
        <f t="array" ref="I181">index('PLV (min 500)'!F:F,match(F181,'PLV (min 500)'!B:B,0))</f>
        <v>3.035200737</v>
      </c>
      <c r="J181" s="10">
        <v>3.7041973330485423</v>
      </c>
      <c r="K181" s="10">
        <v>2.4945720316263285</v>
      </c>
      <c r="L181" s="10">
        <v>7.184981498456779</v>
      </c>
      <c r="U181" s="9"/>
      <c r="X181" s="9"/>
    </row>
    <row r="182">
      <c r="A182" s="1" t="s">
        <v>232</v>
      </c>
      <c r="B182" s="1" t="s">
        <v>25</v>
      </c>
      <c r="C182" s="1">
        <v>178.1</v>
      </c>
      <c r="D182" s="3">
        <v>3.986916002</v>
      </c>
      <c r="E182" s="3">
        <v>4.471070336</v>
      </c>
      <c r="F182" s="1">
        <v>579328.0</v>
      </c>
      <c r="G182" s="9">
        <f t="shared" si="1"/>
        <v>178.3333333</v>
      </c>
      <c r="H182" s="10" t="str">
        <f>IFERROR(__xludf.DUMMYFUNCTION("if(B182=""- - -"",""Trade"",filter(R:R,Q:Q=B182))"),"AL")</f>
        <v>AL</v>
      </c>
      <c r="I182" s="11">
        <f t="array" ref="I182">index('PLV (min 500)'!F:F,match(F182,'PLV (min 500)'!B:B,0))</f>
        <v>3.035941923</v>
      </c>
      <c r="J182" s="10">
        <v>3.8313094204850944</v>
      </c>
      <c r="K182" s="10">
        <v>4.525532467956069</v>
      </c>
      <c r="L182" s="10">
        <v>20.26497149251271</v>
      </c>
      <c r="U182" s="9"/>
      <c r="X182" s="9"/>
    </row>
    <row r="183">
      <c r="A183" s="1" t="s">
        <v>233</v>
      </c>
      <c r="B183" s="1" t="s">
        <v>21</v>
      </c>
      <c r="C183" s="1">
        <v>44.1</v>
      </c>
      <c r="D183" s="3">
        <v>5.481203636</v>
      </c>
      <c r="E183" s="3">
        <v>4.646996801</v>
      </c>
      <c r="F183" s="1">
        <v>656240.0</v>
      </c>
      <c r="G183" s="9">
        <f t="shared" si="1"/>
        <v>44.33333333</v>
      </c>
      <c r="H183" s="10" t="str">
        <f>IFERROR(__xludf.DUMMYFUNCTION("if(B183=""- - -"",""Trade"",filter(R:R,Q:Q=B183))"),"Trade")</f>
        <v>Trade</v>
      </c>
      <c r="I183" s="11">
        <f t="array" ref="I183">index('PLV (min 500)'!F:F,match(F183,'PLV (min 500)'!B:B,0))</f>
        <v>3.039266165</v>
      </c>
      <c r="J183" s="10">
        <v>4.389155534122611</v>
      </c>
      <c r="K183" s="10">
        <v>-1.6128621172007944</v>
      </c>
      <c r="L183" s="10">
        <v>5.001595789697628</v>
      </c>
      <c r="U183" s="9"/>
      <c r="X183" s="9"/>
    </row>
    <row r="184">
      <c r="A184" s="1" t="s">
        <v>234</v>
      </c>
      <c r="B184" s="1" t="s">
        <v>51</v>
      </c>
      <c r="C184" s="1">
        <v>48.0</v>
      </c>
      <c r="D184" s="3">
        <v>2.0625</v>
      </c>
      <c r="E184" s="3">
        <v>3.561065046</v>
      </c>
      <c r="F184" s="1">
        <v>690997.0</v>
      </c>
      <c r="G184" s="9">
        <f t="shared" si="1"/>
        <v>48</v>
      </c>
      <c r="H184" s="10" t="str">
        <f>IFERROR(__xludf.DUMMYFUNCTION("if(B184=""- - -"",""Trade"",filter(R:R,Q:Q=B184))"),"NL")</f>
        <v>NL</v>
      </c>
      <c r="I184" s="11">
        <f t="array" ref="I184">index('PLV (min 500)'!F:F,match(F184,'PLV (min 500)'!B:B,0))</f>
        <v>3.044015062</v>
      </c>
      <c r="J184" s="10">
        <v>2.889193369478861</v>
      </c>
      <c r="K184" s="10">
        <v>6.2443020294460725</v>
      </c>
      <c r="L184" s="10">
        <v>5.418586333671551</v>
      </c>
      <c r="U184" s="9"/>
      <c r="X184" s="9"/>
    </row>
    <row r="185">
      <c r="A185" s="1" t="s">
        <v>235</v>
      </c>
      <c r="B185" s="1" t="s">
        <v>68</v>
      </c>
      <c r="C185" s="1">
        <v>58.0</v>
      </c>
      <c r="D185" s="3">
        <v>5.120690666</v>
      </c>
      <c r="E185" s="3">
        <v>3.634526539</v>
      </c>
      <c r="F185" s="1">
        <v>666974.0</v>
      </c>
      <c r="G185" s="9">
        <f t="shared" si="1"/>
        <v>58</v>
      </c>
      <c r="H185" s="10" t="str">
        <f>IFERROR(__xludf.DUMMYFUNCTION("if(B185=""- - -"",""Trade"",filter(R:R,Q:Q=B185))"),"AL")</f>
        <v>AL</v>
      </c>
      <c r="I185" s="11">
        <f t="array" ref="I185">index('PLV (min 500)'!F:F,match(F185,'PLV (min 500)'!B:B,0))</f>
        <v>3.044963328</v>
      </c>
      <c r="J185" s="10">
        <v>3.9333935109495677</v>
      </c>
      <c r="K185" s="10">
        <v>0.8159084849916725</v>
      </c>
      <c r="L185" s="10">
        <v>6.541347442752798</v>
      </c>
      <c r="U185" s="9"/>
      <c r="X185" s="9"/>
    </row>
    <row r="186">
      <c r="A186" s="1" t="s">
        <v>236</v>
      </c>
      <c r="B186" s="1" t="s">
        <v>29</v>
      </c>
      <c r="C186" s="1">
        <v>44.1</v>
      </c>
      <c r="D186" s="3">
        <v>3.8571433</v>
      </c>
      <c r="E186" s="3">
        <v>3.787926937</v>
      </c>
      <c r="F186" s="1">
        <v>680742.0</v>
      </c>
      <c r="G186" s="9">
        <f t="shared" si="1"/>
        <v>44.33333333</v>
      </c>
      <c r="H186" s="10" t="str">
        <f>IFERROR(__xludf.DUMMYFUNCTION("if(B186=""- - -"",""Trade"",filter(R:R,Q:Q=B186))"),"AL")</f>
        <v>AL</v>
      </c>
      <c r="I186" s="11">
        <f t="array" ref="I186">index('PLV (min 500)'!F:F,match(F186,'PLV (min 500)'!B:B,0))</f>
        <v>3.046485519</v>
      </c>
      <c r="J186" s="10">
        <v>3.5638519186295388</v>
      </c>
      <c r="K186" s="10">
        <v>2.431125598715258</v>
      </c>
      <c r="L186" s="10">
        <v>4.966220957445777</v>
      </c>
      <c r="U186" s="9"/>
      <c r="X186" s="9"/>
    </row>
    <row r="187">
      <c r="A187" s="1" t="s">
        <v>237</v>
      </c>
      <c r="B187" s="1" t="s">
        <v>16</v>
      </c>
      <c r="C187" s="1">
        <v>72.0</v>
      </c>
      <c r="D187" s="3">
        <v>4.500000477</v>
      </c>
      <c r="E187" s="3">
        <v>3.870416304</v>
      </c>
      <c r="F187" s="1">
        <v>663485.0</v>
      </c>
      <c r="G187" s="9">
        <f t="shared" si="1"/>
        <v>72</v>
      </c>
      <c r="H187" s="10" t="str">
        <f>IFERROR(__xludf.DUMMYFUNCTION("if(B187=""- - -"",""Trade"",filter(R:R,Q:Q=B187))"),"AL")</f>
        <v>AL</v>
      </c>
      <c r="I187" s="11">
        <f t="array" ref="I187">index('PLV (min 500)'!F:F,match(F187,'PLV (min 500)'!B:B,0))</f>
        <v>3.055883125</v>
      </c>
      <c r="J187" s="10">
        <v>3.8087666353616285</v>
      </c>
      <c r="K187" s="10">
        <v>2.0098669171069687</v>
      </c>
      <c r="L187" s="10">
        <v>8.032934999320915</v>
      </c>
      <c r="U187" s="9"/>
      <c r="X187" s="9"/>
    </row>
    <row r="188">
      <c r="A188" s="1" t="s">
        <v>238</v>
      </c>
      <c r="B188" s="1" t="s">
        <v>70</v>
      </c>
      <c r="C188" s="1">
        <v>66.2</v>
      </c>
      <c r="D188" s="3">
        <v>3.105000474</v>
      </c>
      <c r="E188" s="3">
        <v>3.614059422</v>
      </c>
      <c r="F188" s="1">
        <v>683769.0</v>
      </c>
      <c r="G188" s="9">
        <f t="shared" si="1"/>
        <v>66.66666667</v>
      </c>
      <c r="H188" s="10" t="str">
        <f>IFERROR(__xludf.DUMMYFUNCTION("if(B188=""- - -"",""Trade"",filter(R:R,Q:Q=B188))"),"AL")</f>
        <v>AL</v>
      </c>
      <c r="I188" s="11">
        <f t="array" ref="I188">index('PLV (min 500)'!F:F,match(F188,'PLV (min 500)'!B:B,0))</f>
        <v>3.062150325</v>
      </c>
      <c r="J188" s="10">
        <v>3.2604034069795857</v>
      </c>
      <c r="K188" s="10">
        <v>5.881477161994599</v>
      </c>
      <c r="L188" s="10">
        <v>7.339738721006029</v>
      </c>
      <c r="U188" s="9"/>
      <c r="X188" s="9"/>
    </row>
    <row r="189">
      <c r="A189" s="1" t="s">
        <v>239</v>
      </c>
      <c r="B189" s="1" t="s">
        <v>52</v>
      </c>
      <c r="C189" s="1">
        <v>48.2</v>
      </c>
      <c r="D189" s="3">
        <v>3.143835781</v>
      </c>
      <c r="E189" s="3">
        <v>4.422676602</v>
      </c>
      <c r="F189" s="1">
        <v>806960.0</v>
      </c>
      <c r="G189" s="9">
        <f t="shared" si="1"/>
        <v>48.66666667</v>
      </c>
      <c r="H189" s="10" t="str">
        <f>IFERROR(__xludf.DUMMYFUNCTION("if(B189=""- - -"",""Trade"",filter(R:R,Q:Q=B189))"),"AL")</f>
        <v>AL</v>
      </c>
      <c r="I189" s="11">
        <f t="array" ref="I189">index('PLV (min 500)'!F:F,match(F189,'PLV (min 500)'!B:B,0))</f>
        <v>3.066583623</v>
      </c>
      <c r="J189" s="10">
        <v>3.54436533546423</v>
      </c>
      <c r="K189" s="10">
        <v>2.7615100922915654</v>
      </c>
      <c r="L189" s="10">
        <v>5.320296594719138</v>
      </c>
      <c r="U189" s="9"/>
      <c r="X189" s="9"/>
    </row>
    <row r="190">
      <c r="A190" s="1" t="s">
        <v>240</v>
      </c>
      <c r="B190" s="1" t="s">
        <v>21</v>
      </c>
      <c r="C190" s="1">
        <v>68.2</v>
      </c>
      <c r="D190" s="3">
        <v>4.063107172</v>
      </c>
      <c r="E190" s="3">
        <v>4.005118783</v>
      </c>
      <c r="F190" s="1">
        <v>641329.0</v>
      </c>
      <c r="G190" s="9">
        <f t="shared" si="1"/>
        <v>68.66666667</v>
      </c>
      <c r="H190" s="10" t="str">
        <f>IFERROR(__xludf.DUMMYFUNCTION("if(B190=""- - -"",""Trade"",filter(R:R,Q:Q=B190))"),"Trade")</f>
        <v>Trade</v>
      </c>
      <c r="I190" s="11">
        <f t="array" ref="I190">index('PLV (min 500)'!F:F,match(F190,'PLV (min 500)'!B:B,0))</f>
        <v>3.073147471</v>
      </c>
      <c r="J190" s="10">
        <v>3.7137911419678744</v>
      </c>
      <c r="K190" s="10">
        <v>2.62349379086566</v>
      </c>
      <c r="L190" s="10">
        <v>7.4781491649303184</v>
      </c>
      <c r="U190" s="9"/>
      <c r="X190" s="9"/>
    </row>
    <row r="191">
      <c r="A191" s="1" t="s">
        <v>241</v>
      </c>
      <c r="B191" s="1" t="s">
        <v>36</v>
      </c>
      <c r="C191" s="1">
        <v>71.0</v>
      </c>
      <c r="D191" s="3">
        <v>3.929577887</v>
      </c>
      <c r="E191" s="3">
        <v>4.467878982</v>
      </c>
      <c r="F191" s="1">
        <v>669199.0</v>
      </c>
      <c r="G191" s="9">
        <f t="shared" si="1"/>
        <v>71</v>
      </c>
      <c r="H191" s="10" t="str">
        <f>IFERROR(__xludf.DUMMYFUNCTION("if(B191=""- - -"",""Trade"",filter(R:R,Q:Q=B191))"),"NL")</f>
        <v>NL</v>
      </c>
      <c r="I191" s="11">
        <f t="array" ref="I191">index('PLV (min 500)'!F:F,match(F191,'PLV (min 500)'!B:B,0))</f>
        <v>3.073221</v>
      </c>
      <c r="J191" s="10">
        <v>3.823559289623382</v>
      </c>
      <c r="K191" s="10">
        <v>1.865254492971094</v>
      </c>
      <c r="L191" s="10">
        <v>7.784589889913294</v>
      </c>
      <c r="U191" s="9"/>
      <c r="X191" s="9"/>
    </row>
    <row r="192">
      <c r="A192" s="1" t="s">
        <v>242</v>
      </c>
      <c r="B192" s="1" t="s">
        <v>54</v>
      </c>
      <c r="C192" s="1">
        <v>166.1</v>
      </c>
      <c r="D192" s="3">
        <v>4.869739628</v>
      </c>
      <c r="E192" s="3">
        <v>3.861874446</v>
      </c>
      <c r="F192" s="1">
        <v>669358.0</v>
      </c>
      <c r="G192" s="9">
        <f t="shared" si="1"/>
        <v>166.3333333</v>
      </c>
      <c r="H192" s="10" t="str">
        <f>IFERROR(__xludf.DUMMYFUNCTION("if(B192=""- - -"",""Trade"",filter(R:R,Q:Q=B192))"),"AL")</f>
        <v>AL</v>
      </c>
      <c r="I192" s="11">
        <f t="array" ref="I192">index('PLV (min 500)'!F:F,match(F192,'PLV (min 500)'!B:B,0))</f>
        <v>3.074682409</v>
      </c>
      <c r="J192" s="10">
        <v>3.9354321609659118</v>
      </c>
      <c r="K192" s="10">
        <v>2.29896867372911</v>
      </c>
      <c r="L192" s="10">
        <v>18.184583542453986</v>
      </c>
      <c r="U192" s="9"/>
      <c r="X192" s="9"/>
    </row>
    <row r="193">
      <c r="A193" s="1" t="s">
        <v>243</v>
      </c>
      <c r="B193" s="1" t="s">
        <v>52</v>
      </c>
      <c r="C193" s="1">
        <v>32.1</v>
      </c>
      <c r="D193" s="3">
        <v>6.402062107</v>
      </c>
      <c r="E193" s="3">
        <v>7.715348298</v>
      </c>
      <c r="F193" s="1">
        <v>680684.0</v>
      </c>
      <c r="G193" s="9">
        <f t="shared" si="1"/>
        <v>32.33333333</v>
      </c>
      <c r="H193" s="10" t="str">
        <f>IFERROR(__xludf.DUMMYFUNCTION("if(B193=""- - -"",""Trade"",filter(R:R,Q:Q=B193))"),"AL")</f>
        <v>AL</v>
      </c>
      <c r="I193" s="11">
        <f t="array" ref="I193">index('PLV (min 500)'!F:F,match(F193,'PLV (min 500)'!B:B,0))</f>
        <v>3.077144072</v>
      </c>
      <c r="J193" s="11">
        <v>5.731518159097281</v>
      </c>
      <c r="K193" s="9">
        <v>-5.961748100780302</v>
      </c>
      <c r="L193" s="10">
        <v>3.5055194754924357</v>
      </c>
      <c r="U193" s="9"/>
      <c r="X193" s="9"/>
    </row>
    <row r="194">
      <c r="A194" s="1" t="s">
        <v>244</v>
      </c>
      <c r="B194" s="1" t="s">
        <v>46</v>
      </c>
      <c r="C194" s="1">
        <v>35.0</v>
      </c>
      <c r="D194" s="3">
        <v>3.600000785</v>
      </c>
      <c r="E194" s="3">
        <v>3.421657712</v>
      </c>
      <c r="F194" s="1">
        <v>689266.0</v>
      </c>
      <c r="G194" s="9">
        <f t="shared" si="1"/>
        <v>35</v>
      </c>
      <c r="H194" s="10" t="str">
        <f>IFERROR(__xludf.DUMMYFUNCTION("if(B194=""- - -"",""Trade"",filter(R:R,Q:Q=B194))"),"NL")</f>
        <v>NL</v>
      </c>
      <c r="I194" s="11">
        <f t="array" ref="I194">index('PLV (min 500)'!F:F,match(F194,'PLV (min 500)'!B:B,0))</f>
        <v>3.081664029</v>
      </c>
      <c r="J194" s="10">
        <v>3.3677741753078734</v>
      </c>
      <c r="K194" s="10">
        <v>2.691989318247158</v>
      </c>
      <c r="L194" s="10">
        <v>3.804639887519258</v>
      </c>
      <c r="U194" s="9"/>
      <c r="X194" s="9"/>
    </row>
    <row r="195">
      <c r="A195" s="1" t="s">
        <v>245</v>
      </c>
      <c r="B195" s="1" t="s">
        <v>56</v>
      </c>
      <c r="C195" s="1">
        <v>155.1</v>
      </c>
      <c r="D195" s="3">
        <v>4.403433621</v>
      </c>
      <c r="E195" s="3">
        <v>4.74908474</v>
      </c>
      <c r="F195" s="1">
        <v>571578.0</v>
      </c>
      <c r="G195" s="9">
        <f t="shared" si="1"/>
        <v>155.3333333</v>
      </c>
      <c r="H195" s="10" t="str">
        <f>IFERROR(__xludf.DUMMYFUNCTION("if(B195=""- - -"",""Trade"",filter(R:R,Q:Q=B195))"),"AL")</f>
        <v>AL</v>
      </c>
      <c r="I195" s="11">
        <f t="array" ref="I195">index('PLV (min 500)'!F:F,match(F195,'PLV (min 500)'!B:B,0))</f>
        <v>3.085113979</v>
      </c>
      <c r="J195" s="10">
        <v>4.079210779882232</v>
      </c>
      <c r="K195" s="10">
        <v>-0.33106577330381093</v>
      </c>
      <c r="L195" s="10">
        <v>16.80053576798854</v>
      </c>
      <c r="U195" s="9"/>
      <c r="X195" s="9"/>
    </row>
    <row r="196">
      <c r="A196" s="1" t="s">
        <v>246</v>
      </c>
      <c r="B196" s="1" t="s">
        <v>34</v>
      </c>
      <c r="C196" s="1">
        <v>179.2</v>
      </c>
      <c r="D196" s="3">
        <v>3.205936829</v>
      </c>
      <c r="E196" s="3">
        <v>3.746659073</v>
      </c>
      <c r="F196" s="1">
        <v>571510.0</v>
      </c>
      <c r="G196" s="9">
        <f t="shared" si="1"/>
        <v>179.6666667</v>
      </c>
      <c r="H196" s="10" t="str">
        <f>IFERROR(__xludf.DUMMYFUNCTION("if(B196=""- - -"",""Trade"",filter(R:R,Q:Q=B196))"),"NL")</f>
        <v>NL</v>
      </c>
      <c r="I196" s="11">
        <f t="array" ref="I196">index('PLV (min 500)'!F:F,match(F196,'PLV (min 500)'!B:B,0))</f>
        <v>3.091238165</v>
      </c>
      <c r="J196" s="10">
        <v>3.347944689078432</v>
      </c>
      <c r="K196" s="10">
        <v>14.177812413016099</v>
      </c>
      <c r="L196" s="10">
        <v>19.28912453220387</v>
      </c>
      <c r="U196" s="9"/>
      <c r="X196" s="9"/>
    </row>
    <row r="197">
      <c r="A197" s="1" t="s">
        <v>247</v>
      </c>
      <c r="B197" s="1" t="s">
        <v>14</v>
      </c>
      <c r="C197" s="1">
        <v>64.2</v>
      </c>
      <c r="D197" s="3">
        <v>3.201031054</v>
      </c>
      <c r="E197" s="3">
        <v>2.204293757</v>
      </c>
      <c r="F197" s="1">
        <v>605540.0</v>
      </c>
      <c r="G197" s="9">
        <f t="shared" si="1"/>
        <v>64.66666667</v>
      </c>
      <c r="H197" s="10" t="str">
        <f>IFERROR(__xludf.DUMMYFUNCTION("if(B197=""- - -"",""Trade"",filter(R:R,Q:Q=B197))"),"NL")</f>
        <v>NL</v>
      </c>
      <c r="I197" s="11">
        <f t="array" ref="I197">index('PLV (min 500)'!F:F,match(F197,'PLV (min 500)'!B:B,0))</f>
        <v>3.091850165</v>
      </c>
      <c r="J197" s="10">
        <v>2.8323916585963596</v>
      </c>
      <c r="K197" s="10">
        <v>8.756939502012633</v>
      </c>
      <c r="L197" s="10">
        <v>6.906135491171232</v>
      </c>
      <c r="U197" s="9"/>
      <c r="X197" s="9"/>
    </row>
    <row r="198">
      <c r="A198" s="1" t="s">
        <v>248</v>
      </c>
      <c r="B198" s="1" t="s">
        <v>21</v>
      </c>
      <c r="C198" s="1">
        <v>55.1</v>
      </c>
      <c r="D198" s="3">
        <v>3.415663141</v>
      </c>
      <c r="E198" s="3">
        <v>4.461098756</v>
      </c>
      <c r="F198" s="1">
        <v>472610.0</v>
      </c>
      <c r="G198" s="9">
        <f t="shared" si="1"/>
        <v>55.33333333</v>
      </c>
      <c r="H198" s="10" t="str">
        <f>IFERROR(__xludf.DUMMYFUNCTION("if(B198=""- - -"",""Trade"",filter(R:R,Q:Q=B198))"),"Trade")</f>
        <v>Trade</v>
      </c>
      <c r="I198" s="11">
        <f t="array" ref="I198">index('PLV (min 500)'!F:F,match(F198,'PLV (min 500)'!B:B,0))</f>
        <v>3.093435868</v>
      </c>
      <c r="J198" s="10">
        <v>3.6567325882187434</v>
      </c>
      <c r="K198" s="10">
        <v>2.4688927099052465</v>
      </c>
      <c r="L198" s="10">
        <v>5.91752041023796</v>
      </c>
      <c r="U198" s="9"/>
      <c r="X198" s="9"/>
    </row>
    <row r="199">
      <c r="A199" s="1" t="s">
        <v>249</v>
      </c>
      <c r="B199" s="1" t="s">
        <v>21</v>
      </c>
      <c r="C199" s="1">
        <v>37.2</v>
      </c>
      <c r="D199" s="3">
        <v>2.628319161</v>
      </c>
      <c r="E199" s="3">
        <v>2.729690128</v>
      </c>
      <c r="F199" s="1">
        <v>592779.0</v>
      </c>
      <c r="G199" s="9">
        <f t="shared" si="1"/>
        <v>37.66666667</v>
      </c>
      <c r="H199" s="10" t="str">
        <f>IFERROR(__xludf.DUMMYFUNCTION("if(B199=""- - -"",""Trade"",filter(R:R,Q:Q=B199))"),"Trade")</f>
        <v>Trade</v>
      </c>
      <c r="I199" s="11">
        <f t="array" ref="I199">index('PLV (min 500)'!F:F,match(F199,'PLV (min 500)'!B:B,0))</f>
        <v>3.098166611</v>
      </c>
      <c r="J199" s="10">
        <v>2.8187252998366</v>
      </c>
      <c r="K199" s="10">
        <v>5.130602094008719</v>
      </c>
      <c r="L199" s="10">
        <v>3.9755780098928266</v>
      </c>
      <c r="U199" s="9"/>
      <c r="X199" s="9"/>
    </row>
    <row r="200">
      <c r="A200" s="1" t="s">
        <v>250</v>
      </c>
      <c r="B200" s="1" t="s">
        <v>22</v>
      </c>
      <c r="C200" s="1">
        <v>72.0</v>
      </c>
      <c r="D200" s="3">
        <v>2.250000238</v>
      </c>
      <c r="E200" s="3">
        <v>2.78925351</v>
      </c>
      <c r="F200" s="1">
        <v>676477.0</v>
      </c>
      <c r="G200" s="9">
        <f t="shared" si="1"/>
        <v>72</v>
      </c>
      <c r="H200" s="10" t="str">
        <f>IFERROR(__xludf.DUMMYFUNCTION("if(B200=""- - -"",""Trade"",filter(R:R,Q:Q=B200))"),"AL")</f>
        <v>AL</v>
      </c>
      <c r="I200" s="11">
        <f t="array" ref="I200">index('PLV (min 500)'!F:F,match(F200,'PLV (min 500)'!B:B,0))</f>
        <v>3.101135125</v>
      </c>
      <c r="J200" s="10">
        <v>2.7134629577097376</v>
      </c>
      <c r="K200" s="10">
        <v>10.772296338322096</v>
      </c>
      <c r="L200" s="10">
        <v>7.67091899896629</v>
      </c>
      <c r="U200" s="9"/>
      <c r="X200" s="9"/>
    </row>
    <row r="201">
      <c r="A201" s="1" t="s">
        <v>251</v>
      </c>
      <c r="B201" s="1" t="s">
        <v>21</v>
      </c>
      <c r="C201" s="1">
        <v>135.2</v>
      </c>
      <c r="D201" s="3">
        <v>5.041769136</v>
      </c>
      <c r="E201" s="3">
        <v>4.227381841</v>
      </c>
      <c r="F201" s="1">
        <v>676664.0</v>
      </c>
      <c r="G201" s="9">
        <f t="shared" si="1"/>
        <v>135.6666667</v>
      </c>
      <c r="H201" s="10" t="str">
        <f>IFERROR(__xludf.DUMMYFUNCTION("if(B201=""- - -"",""Trade"",filter(R:R,Q:Q=B201))"),"Trade")</f>
        <v>Trade</v>
      </c>
      <c r="I201" s="11">
        <f t="array" ref="I201">index('PLV (min 500)'!F:F,match(F201,'PLV (min 500)'!B:B,0))</f>
        <v>3.103735975</v>
      </c>
      <c r="J201" s="10">
        <v>4.1242956507464426</v>
      </c>
      <c r="K201" s="10">
        <v>-0.9658635534354539</v>
      </c>
      <c r="L201" s="10">
        <v>14.365210683071417</v>
      </c>
      <c r="U201" s="9"/>
      <c r="X201" s="9"/>
    </row>
    <row r="202">
      <c r="A202" s="1" t="s">
        <v>252</v>
      </c>
      <c r="B202" s="1" t="s">
        <v>78</v>
      </c>
      <c r="C202" s="1">
        <v>31.0</v>
      </c>
      <c r="D202" s="3">
        <v>5.516130729</v>
      </c>
      <c r="E202" s="3">
        <v>4.431048598</v>
      </c>
      <c r="F202" s="1">
        <v>592155.0</v>
      </c>
      <c r="G202" s="9">
        <f t="shared" si="1"/>
        <v>31</v>
      </c>
      <c r="H202" s="10" t="str">
        <f>IFERROR(__xludf.DUMMYFUNCTION("if(B202=""- - -"",""Trade"",filter(R:R,Q:Q=B202))"),"AL")</f>
        <v>AL</v>
      </c>
      <c r="I202" s="11">
        <f t="array" ref="I202">index('PLV (min 500)'!F:F,match(F202,'PLV (min 500)'!B:B,0))</f>
        <v>3.109153355</v>
      </c>
      <c r="J202" s="10">
        <v>4.352110893912805</v>
      </c>
      <c r="K202" s="10">
        <v>-1.0061597456996623</v>
      </c>
      <c r="L202" s="10">
        <v>3.275138444789907</v>
      </c>
      <c r="U202" s="9"/>
      <c r="X202" s="9"/>
    </row>
    <row r="203">
      <c r="A203" s="1" t="s">
        <v>253</v>
      </c>
      <c r="B203" s="1" t="s">
        <v>16</v>
      </c>
      <c r="C203" s="1">
        <v>53.1</v>
      </c>
      <c r="D203" s="3">
        <v>5.400000322</v>
      </c>
      <c r="E203" s="3">
        <v>4.843535191</v>
      </c>
      <c r="F203" s="1">
        <v>701581.0</v>
      </c>
      <c r="G203" s="9">
        <f t="shared" si="1"/>
        <v>53.33333333</v>
      </c>
      <c r="H203" s="10" t="str">
        <f>IFERROR(__xludf.DUMMYFUNCTION("if(B203=""- - -"",""Trade"",filter(R:R,Q:Q=B203))"),"AL")</f>
        <v>AL</v>
      </c>
      <c r="I203" s="11">
        <f t="array" ref="I203">index('PLV (min 500)'!F:F,match(F203,'PLV (min 500)'!B:B,0))</f>
        <v>3.1101705</v>
      </c>
      <c r="J203" s="10">
        <v>4.451235337653708</v>
      </c>
      <c r="K203" s="10">
        <v>-2.3082884921568807</v>
      </c>
      <c r="L203" s="10">
        <v>5.603994050229373</v>
      </c>
      <c r="U203" s="9"/>
      <c r="X203" s="9"/>
    </row>
    <row r="204">
      <c r="A204" s="1" t="s">
        <v>254</v>
      </c>
      <c r="B204" s="1" t="s">
        <v>37</v>
      </c>
      <c r="C204" s="1">
        <v>47.1</v>
      </c>
      <c r="D204" s="3">
        <v>2.471831451</v>
      </c>
      <c r="E204" s="3">
        <v>3.251436362</v>
      </c>
      <c r="F204" s="1">
        <v>666374.0</v>
      </c>
      <c r="G204" s="9">
        <f t="shared" si="1"/>
        <v>47.33333333</v>
      </c>
      <c r="H204" s="10" t="str">
        <f>IFERROR(__xludf.DUMMYFUNCTION("if(B204=""- - -"",""Trade"",filter(R:R,Q:Q=B204))"),"AL")</f>
        <v>AL</v>
      </c>
      <c r="I204" s="11">
        <f t="array" ref="I204">index('PLV (min 500)'!F:F,match(F204,'PLV (min 500)'!B:B,0))</f>
        <v>3.113158754</v>
      </c>
      <c r="J204" s="11">
        <v>2.945475522312559</v>
      </c>
      <c r="K204" s="9">
        <v>5.832678099897605</v>
      </c>
      <c r="L204" s="10">
        <v>4.955135854392824</v>
      </c>
      <c r="U204" s="9"/>
      <c r="X204" s="9"/>
    </row>
    <row r="205">
      <c r="A205" s="1" t="s">
        <v>255</v>
      </c>
      <c r="B205" s="1" t="s">
        <v>37</v>
      </c>
      <c r="C205" s="1">
        <v>81.1</v>
      </c>
      <c r="D205" s="3">
        <v>4.31557404</v>
      </c>
      <c r="E205" s="3">
        <v>5.22120007</v>
      </c>
      <c r="F205" s="1">
        <v>688138.0</v>
      </c>
      <c r="G205" s="9">
        <f t="shared" si="1"/>
        <v>81.33333333</v>
      </c>
      <c r="H205" s="10" t="str">
        <f>IFERROR(__xludf.DUMMYFUNCTION("if(B205=""- - -"",""Trade"",filter(R:R,Q:Q=B205))"),"AL")</f>
        <v>AL</v>
      </c>
      <c r="I205" s="11">
        <f t="array" ref="I205">index('PLV (min 500)'!F:F,match(F205,'PLV (min 500)'!B:B,0))</f>
        <v>3.115825451</v>
      </c>
      <c r="J205" s="10">
        <v>4.217533186956917</v>
      </c>
      <c r="K205" s="10">
        <v>-1.4195490513562226</v>
      </c>
      <c r="L205" s="10">
        <v>8.508061770486892</v>
      </c>
      <c r="U205" s="9"/>
      <c r="X205" s="9"/>
    </row>
    <row r="206">
      <c r="A206" s="1" t="s">
        <v>256</v>
      </c>
      <c r="B206" s="1" t="s">
        <v>21</v>
      </c>
      <c r="C206" s="1">
        <v>122.1</v>
      </c>
      <c r="D206" s="3">
        <v>5.517711229</v>
      </c>
      <c r="E206" s="3">
        <v>5.650824481</v>
      </c>
      <c r="F206" s="1">
        <v>571760.0</v>
      </c>
      <c r="G206" s="9">
        <f t="shared" si="1"/>
        <v>122.3333333</v>
      </c>
      <c r="H206" s="10" t="str">
        <f>IFERROR(__xludf.DUMMYFUNCTION("if(B206=""- - -"",""Trade"",filter(R:R,Q:Q=B206))"),"Trade")</f>
        <v>Trade</v>
      </c>
      <c r="I206" s="11">
        <f t="array" ref="I206">index('PLV (min 500)'!F:F,match(F206,'PLV (min 500)'!B:B,0))</f>
        <v>3.1241057</v>
      </c>
      <c r="J206" s="10">
        <v>4.7642138033929475</v>
      </c>
      <c r="K206" s="10">
        <v>-9.55383393269766</v>
      </c>
      <c r="L206" s="10">
        <v>12.696966000907036</v>
      </c>
      <c r="U206" s="9"/>
      <c r="X206" s="9"/>
    </row>
    <row r="207">
      <c r="A207" s="1" t="s">
        <v>257</v>
      </c>
      <c r="B207" s="1" t="s">
        <v>54</v>
      </c>
      <c r="C207" s="1">
        <v>41.2</v>
      </c>
      <c r="D207" s="3">
        <v>3.024000185</v>
      </c>
      <c r="E207" s="3">
        <v>3.629261155</v>
      </c>
      <c r="F207" s="1">
        <v>679358.0</v>
      </c>
      <c r="G207" s="9">
        <f t="shared" si="1"/>
        <v>41.66666667</v>
      </c>
      <c r="H207" s="10" t="str">
        <f>IFERROR(__xludf.DUMMYFUNCTION("if(B207=""- - -"",""Trade"",filter(R:R,Q:Q=B207))"),"AL")</f>
        <v>AL</v>
      </c>
      <c r="I207" s="11">
        <f t="array" ref="I207">index('PLV (min 500)'!F:F,match(F207,'PLV (min 500)'!B:B,0))</f>
        <v>3.124837656</v>
      </c>
      <c r="J207" s="10">
        <v>3.2593663319416692</v>
      </c>
      <c r="K207" s="10">
        <v>3.6651230137781345</v>
      </c>
      <c r="L207" s="10">
        <v>4.280965397778846</v>
      </c>
      <c r="U207" s="9"/>
      <c r="X207" s="9"/>
    </row>
    <row r="208">
      <c r="A208" s="1" t="s">
        <v>258</v>
      </c>
      <c r="B208" s="1" t="s">
        <v>45</v>
      </c>
      <c r="C208" s="1">
        <v>41.1</v>
      </c>
      <c r="D208" s="3">
        <v>4.79032317</v>
      </c>
      <c r="E208" s="3">
        <v>5.999599786</v>
      </c>
      <c r="F208" s="1">
        <v>676661.0</v>
      </c>
      <c r="G208" s="9">
        <f t="shared" si="1"/>
        <v>41.33333333</v>
      </c>
      <c r="H208" s="10" t="str">
        <f>IFERROR(__xludf.DUMMYFUNCTION("if(B208=""- - -"",""Trade"",filter(R:R,Q:Q=B208))"),"NL")</f>
        <v>NL</v>
      </c>
      <c r="I208" s="11">
        <f t="array" ref="I208">index('PLV (min 500)'!F:F,match(F208,'PLV (min 500)'!B:B,0))</f>
        <v>3.125676557</v>
      </c>
      <c r="J208" s="10">
        <v>4.638533170876021</v>
      </c>
      <c r="K208" s="10">
        <v>-2.641968147000496</v>
      </c>
      <c r="L208" s="10">
        <v>4.266743724731845</v>
      </c>
      <c r="U208" s="9"/>
      <c r="X208" s="9"/>
    </row>
    <row r="209">
      <c r="A209" s="1" t="s">
        <v>259</v>
      </c>
      <c r="B209" s="1" t="s">
        <v>70</v>
      </c>
      <c r="C209" s="1">
        <v>65.0</v>
      </c>
      <c r="D209" s="3">
        <v>2.630769501</v>
      </c>
      <c r="E209" s="3">
        <v>3.358745919</v>
      </c>
      <c r="F209" s="1">
        <v>663465.0</v>
      </c>
      <c r="G209" s="9">
        <f t="shared" si="1"/>
        <v>65</v>
      </c>
      <c r="H209" s="10" t="str">
        <f>IFERROR(__xludf.DUMMYFUNCTION("if(B209=""- - -"",""Trade"",filter(R:R,Q:Q=B209))"),"AL")</f>
        <v>AL</v>
      </c>
      <c r="I209" s="11">
        <f t="array" ref="I209">index('PLV (min 500)'!F:F,match(F209,'PLV (min 500)'!B:B,0))</f>
        <v>3.127053738</v>
      </c>
      <c r="J209" s="10">
        <v>3.038856386153846</v>
      </c>
      <c r="K209" s="10">
        <v>7.3749261</v>
      </c>
      <c r="L209" s="10">
        <v>6.737945222222221</v>
      </c>
      <c r="U209" s="9"/>
      <c r="X209" s="9"/>
    </row>
    <row r="210">
      <c r="A210" s="1" t="s">
        <v>260</v>
      </c>
      <c r="B210" s="1" t="s">
        <v>46</v>
      </c>
      <c r="C210" s="1">
        <v>56.1</v>
      </c>
      <c r="D210" s="3">
        <v>2.875739807</v>
      </c>
      <c r="E210" s="3">
        <v>3.879935363</v>
      </c>
      <c r="F210" s="1">
        <v>694462.0</v>
      </c>
      <c r="G210" s="9">
        <f t="shared" si="1"/>
        <v>56.33333333</v>
      </c>
      <c r="H210" s="10" t="str">
        <f>IFERROR(__xludf.DUMMYFUNCTION("if(B210=""- - -"",""Trade"",filter(R:R,Q:Q=B210))"),"NL")</f>
        <v>NL</v>
      </c>
      <c r="I210" s="11">
        <f t="array" ref="I210">index('PLV (min 500)'!F:F,match(F210,'PLV (min 500)'!B:B,0))</f>
        <v>3.129613935</v>
      </c>
      <c r="J210" s="10">
        <v>3.2950963682358463</v>
      </c>
      <c r="K210" s="10">
        <v>4.7678993046632225</v>
      </c>
      <c r="L210" s="10">
        <v>5.799406473656333</v>
      </c>
      <c r="U210" s="9"/>
      <c r="X210" s="9"/>
    </row>
    <row r="211">
      <c r="A211" s="1" t="s">
        <v>261</v>
      </c>
      <c r="B211" s="1" t="s">
        <v>54</v>
      </c>
      <c r="C211" s="1">
        <v>60.1</v>
      </c>
      <c r="D211" s="3">
        <v>2.834254383</v>
      </c>
      <c r="E211" s="3">
        <v>3.080291806</v>
      </c>
      <c r="F211" s="1">
        <v>664126.0</v>
      </c>
      <c r="G211" s="9">
        <f t="shared" si="1"/>
        <v>60.33333333</v>
      </c>
      <c r="H211" s="10" t="str">
        <f>IFERROR(__xludf.DUMMYFUNCTION("if(B211=""- - -"",""Trade"",filter(R:R,Q:Q=B211))"),"AL")</f>
        <v>AL</v>
      </c>
      <c r="I211" s="11">
        <f t="array" ref="I211">index('PLV (min 500)'!F:F,match(F211,'PLV (min 500)'!B:B,0))</f>
        <v>3.138042779</v>
      </c>
      <c r="J211" s="10">
        <v>3.0175296561289815</v>
      </c>
      <c r="K211" s="10">
        <v>6.961385296294243</v>
      </c>
      <c r="L211" s="10">
        <v>6.156625439871628</v>
      </c>
      <c r="U211" s="9"/>
      <c r="X211" s="9"/>
    </row>
    <row r="212">
      <c r="A212" s="1" t="s">
        <v>262</v>
      </c>
      <c r="B212" s="1" t="s">
        <v>36</v>
      </c>
      <c r="C212" s="1">
        <v>60.1</v>
      </c>
      <c r="D212" s="3">
        <v>3.281768232</v>
      </c>
      <c r="E212" s="3">
        <v>4.302006605</v>
      </c>
      <c r="F212" s="1">
        <v>676534.0</v>
      </c>
      <c r="G212" s="9">
        <f t="shared" si="1"/>
        <v>60.33333333</v>
      </c>
      <c r="H212" s="10" t="str">
        <f>IFERROR(__xludf.DUMMYFUNCTION("if(B212=""- - -"",""Trade"",filter(R:R,Q:Q=B212))"),"NL")</f>
        <v>NL</v>
      </c>
      <c r="I212" s="11">
        <f t="array" ref="I212">index('PLV (min 500)'!F:F,match(F212,'PLV (min 500)'!B:B,0))</f>
        <v>3.138800718</v>
      </c>
      <c r="J212" s="10">
        <v>3.5741918517844784</v>
      </c>
      <c r="K212" s="10">
        <v>3.2441188564169803</v>
      </c>
      <c r="L212" s="10">
        <v>6.151564091884283</v>
      </c>
      <c r="U212" s="9"/>
      <c r="X212" s="9"/>
    </row>
    <row r="213">
      <c r="A213" s="1" t="s">
        <v>263</v>
      </c>
      <c r="B213" s="1" t="s">
        <v>64</v>
      </c>
      <c r="C213" s="1">
        <v>176.2</v>
      </c>
      <c r="D213" s="3">
        <v>5.247170113</v>
      </c>
      <c r="E213" s="3">
        <v>5.278569551</v>
      </c>
      <c r="F213" s="1">
        <v>694297.0</v>
      </c>
      <c r="G213" s="9">
        <f t="shared" si="1"/>
        <v>176.6666667</v>
      </c>
      <c r="H213" s="10" t="str">
        <f>IFERROR(__xludf.DUMMYFUNCTION("if(B213=""- - -"",""Trade"",filter(R:R,Q:Q=B213))"),"NL")</f>
        <v>NL</v>
      </c>
      <c r="I213" s="11">
        <f t="array" ref="I213">index('PLV (min 500)'!F:F,match(F213,'PLV (min 500)'!B:B,0))</f>
        <v>3.151871338</v>
      </c>
      <c r="J213" s="11">
        <v>4.559203667249247</v>
      </c>
      <c r="K213" s="9">
        <v>-9.773298463257488</v>
      </c>
      <c r="L213" s="10">
        <v>17.77914114320529</v>
      </c>
      <c r="U213" s="9"/>
      <c r="X213" s="9"/>
    </row>
    <row r="214">
      <c r="A214" s="1" t="s">
        <v>264</v>
      </c>
      <c r="B214" s="1" t="s">
        <v>21</v>
      </c>
      <c r="C214" s="1">
        <v>77.1</v>
      </c>
      <c r="D214" s="3">
        <v>4.771552097</v>
      </c>
      <c r="E214" s="3">
        <v>4.85111389</v>
      </c>
      <c r="F214" s="1">
        <v>669920.0</v>
      </c>
      <c r="G214" s="9">
        <f t="shared" si="1"/>
        <v>77.33333333</v>
      </c>
      <c r="H214" s="10" t="str">
        <f>IFERROR(__xludf.DUMMYFUNCTION("if(B214=""- - -"",""Trade"",filter(R:R,Q:Q=B214))"),"Trade")</f>
        <v>Trade</v>
      </c>
      <c r="I214" s="11">
        <f t="array" ref="I214">index('PLV (min 500)'!F:F,match(F214,'PLV (min 500)'!B:B,0))</f>
        <v>3.161592698</v>
      </c>
      <c r="J214" s="10">
        <v>4.26141956161326</v>
      </c>
      <c r="K214" s="10">
        <v>-1.7254942444869303</v>
      </c>
      <c r="L214" s="10">
        <v>7.696355888505877</v>
      </c>
      <c r="U214" s="9"/>
      <c r="X214" s="9"/>
    </row>
    <row r="215">
      <c r="A215" s="1" t="s">
        <v>265</v>
      </c>
      <c r="B215" s="1" t="s">
        <v>14</v>
      </c>
      <c r="C215" s="1">
        <v>38.2</v>
      </c>
      <c r="D215" s="3">
        <v>3.491379712</v>
      </c>
      <c r="E215" s="3">
        <v>3.542974982</v>
      </c>
      <c r="F215" s="1">
        <v>669084.0</v>
      </c>
      <c r="G215" s="9">
        <f t="shared" si="1"/>
        <v>38.66666667</v>
      </c>
      <c r="H215" s="10" t="str">
        <f>IFERROR(__xludf.DUMMYFUNCTION("if(B215=""- - -"",""Trade"",filter(R:R,Q:Q=B215))"),"NL")</f>
        <v>NL</v>
      </c>
      <c r="I215" s="11">
        <f t="array" ref="I215">index('PLV (min 500)'!F:F,match(F215,'PLV (min 500)'!B:B,0))</f>
        <v>3.16242644</v>
      </c>
      <c r="J215" s="10">
        <v>3.3989270445426367</v>
      </c>
      <c r="K215" s="10">
        <v>2.8058874331634738</v>
      </c>
      <c r="L215" s="10">
        <v>3.8097011118015356</v>
      </c>
      <c r="U215" s="9"/>
      <c r="X215" s="9"/>
    </row>
    <row r="216">
      <c r="A216" s="1" t="s">
        <v>266</v>
      </c>
      <c r="B216" s="1" t="s">
        <v>36</v>
      </c>
      <c r="C216" s="1">
        <v>54.2</v>
      </c>
      <c r="D216" s="3">
        <v>2.634146832</v>
      </c>
      <c r="E216" s="3">
        <v>3.819499596</v>
      </c>
      <c r="F216" s="1">
        <v>806188.0</v>
      </c>
      <c r="G216" s="9">
        <f t="shared" si="1"/>
        <v>54.66666667</v>
      </c>
      <c r="H216" s="10" t="str">
        <f>IFERROR(__xludf.DUMMYFUNCTION("if(B216=""- - -"",""Trade"",filter(R:R,Q:Q=B216))"),"NL")</f>
        <v>NL</v>
      </c>
      <c r="I216" s="11">
        <f t="array" ref="I216">index('PLV (min 500)'!F:F,match(F216,'PLV (min 500)'!B:B,0))</f>
        <v>3.163773567</v>
      </c>
      <c r="J216" s="10">
        <v>3.205806665152999</v>
      </c>
      <c r="K216" s="10">
        <v>5.144142083189716</v>
      </c>
      <c r="L216" s="10">
        <v>5.3972747381913715</v>
      </c>
      <c r="U216" s="9"/>
      <c r="X216" s="9"/>
    </row>
    <row r="217">
      <c r="A217" s="1" t="s">
        <v>267</v>
      </c>
      <c r="B217" s="1" t="s">
        <v>60</v>
      </c>
      <c r="C217" s="1">
        <v>99.0</v>
      </c>
      <c r="D217" s="3">
        <v>3.545454819</v>
      </c>
      <c r="E217" s="3">
        <v>4.06248222</v>
      </c>
      <c r="F217" s="1">
        <v>669387.0</v>
      </c>
      <c r="G217" s="9">
        <f t="shared" si="1"/>
        <v>99</v>
      </c>
      <c r="H217" s="10" t="str">
        <f>IFERROR(__xludf.DUMMYFUNCTION("if(B217=""- - -"",""Trade"",filter(R:R,Q:Q=B217))"),"NL")</f>
        <v>NL</v>
      </c>
      <c r="I217" s="11">
        <f t="array" ref="I217">index('PLV (min 500)'!F:F,match(F217,'PLV (min 500)'!B:B,0))</f>
        <v>3.165060364</v>
      </c>
      <c r="J217" s="11">
        <v>3.590999134254748</v>
      </c>
      <c r="K217" s="9">
        <v>5.15900952319777</v>
      </c>
      <c r="L217" s="10">
        <v>9.844335998593301</v>
      </c>
      <c r="U217" s="9"/>
      <c r="X217" s="9"/>
    </row>
    <row r="218">
      <c r="A218" s="1" t="s">
        <v>268</v>
      </c>
      <c r="B218" s="1" t="s">
        <v>56</v>
      </c>
      <c r="C218" s="1">
        <v>64.0</v>
      </c>
      <c r="D218" s="3">
        <v>2.953125704</v>
      </c>
      <c r="E218" s="3">
        <v>3.806900257</v>
      </c>
      <c r="F218" s="1">
        <v>676395.0</v>
      </c>
      <c r="G218" s="9">
        <f t="shared" si="1"/>
        <v>64</v>
      </c>
      <c r="H218" s="10" t="str">
        <f>IFERROR(__xludf.DUMMYFUNCTION("if(B218=""- - -"",""Trade"",filter(R:R,Q:Q=B218))"),"AL")</f>
        <v>AL</v>
      </c>
      <c r="I218" s="11">
        <f t="array" ref="I218">index('PLV (min 500)'!F:F,match(F218,'PLV (min 500)'!B:B,0))</f>
        <v>3.165931547</v>
      </c>
      <c r="J218" s="11">
        <v>3.3086525025425537</v>
      </c>
      <c r="K218" s="9">
        <v>5.342915537475171</v>
      </c>
      <c r="L218" s="10">
        <v>6.357820112869963</v>
      </c>
      <c r="U218" s="9"/>
      <c r="X218" s="9"/>
    </row>
    <row r="219">
      <c r="A219" s="1" t="s">
        <v>269</v>
      </c>
      <c r="B219" s="1" t="s">
        <v>51</v>
      </c>
      <c r="C219" s="1">
        <v>165.2</v>
      </c>
      <c r="D219" s="3">
        <v>3.531187136</v>
      </c>
      <c r="E219" s="3">
        <v>4.326248941</v>
      </c>
      <c r="F219" s="1">
        <v>605280.0</v>
      </c>
      <c r="G219" s="9">
        <f t="shared" si="1"/>
        <v>165.6666667</v>
      </c>
      <c r="H219" s="10" t="str">
        <f>IFERROR(__xludf.DUMMYFUNCTION("if(B219=""- - -"",""Trade"",filter(R:R,Q:Q=B219))"),"NL")</f>
        <v>NL</v>
      </c>
      <c r="I219" s="11">
        <f t="array" ref="I219">index('PLV (min 500)'!F:F,match(F219,'PLV (min 500)'!B:B,0))</f>
        <v>3.166754976</v>
      </c>
      <c r="J219" s="11">
        <v>3.674730350955958</v>
      </c>
      <c r="K219" s="9">
        <v>7.071838446897298</v>
      </c>
      <c r="L219" s="10">
        <v>16.396008665180783</v>
      </c>
      <c r="U219" s="9"/>
      <c r="X219" s="9"/>
    </row>
    <row r="220">
      <c r="A220" s="1" t="s">
        <v>270</v>
      </c>
      <c r="B220" s="1" t="s">
        <v>21</v>
      </c>
      <c r="C220" s="1">
        <v>56.0</v>
      </c>
      <c r="D220" s="3">
        <v>4.500000307</v>
      </c>
      <c r="E220" s="3">
        <v>3.978055676</v>
      </c>
      <c r="F220" s="1">
        <v>664854.0</v>
      </c>
      <c r="G220" s="9">
        <f t="shared" si="1"/>
        <v>56</v>
      </c>
      <c r="H220" s="10" t="str">
        <f>IFERROR(__xludf.DUMMYFUNCTION("if(B220=""- - -"",""Trade"",filter(R:R,Q:Q=B220))"),"Trade")</f>
        <v>Trade</v>
      </c>
      <c r="I220" s="11">
        <f t="array" ref="I220">index('PLV (min 500)'!F:F,match(F220,'PLV (min 500)'!B:B,0))</f>
        <v>3.174348857</v>
      </c>
      <c r="J220" s="10">
        <v>3.8841349467331803</v>
      </c>
      <c r="K220" s="10">
        <v>1.094271442549098</v>
      </c>
      <c r="L220" s="10">
        <v>5.510718221869514</v>
      </c>
      <c r="U220" s="9"/>
      <c r="X220" s="9"/>
    </row>
    <row r="221">
      <c r="A221" s="1" t="s">
        <v>271</v>
      </c>
      <c r="B221" s="1" t="s">
        <v>26</v>
      </c>
      <c r="C221" s="1">
        <v>43.0</v>
      </c>
      <c r="D221" s="3">
        <v>5.860465896</v>
      </c>
      <c r="E221" s="3">
        <v>3.673892667</v>
      </c>
      <c r="F221" s="1">
        <v>606996.0</v>
      </c>
      <c r="G221" s="9">
        <f t="shared" si="1"/>
        <v>43</v>
      </c>
      <c r="H221" s="10" t="str">
        <f>IFERROR(__xludf.DUMMYFUNCTION("if(B221=""- - -"",""Trade"",filter(R:R,Q:Q=B221))"),"NL")</f>
        <v>NL</v>
      </c>
      <c r="I221" s="11">
        <f t="array" ref="I221">index('PLV (min 500)'!F:F,match(F221,'PLV (min 500)'!B:B,0))</f>
        <v>3.181570535</v>
      </c>
      <c r="J221" s="11">
        <v>4.238643032627906</v>
      </c>
      <c r="K221" s="9">
        <v>-0.8535167114444432</v>
      </c>
      <c r="L221" s="10">
        <v>4.196940777777775</v>
      </c>
      <c r="U221" s="9"/>
      <c r="X221" s="9"/>
    </row>
    <row r="222">
      <c r="A222" s="1" t="s">
        <v>272</v>
      </c>
      <c r="B222" s="1" t="s">
        <v>37</v>
      </c>
      <c r="C222" s="1">
        <v>180.2</v>
      </c>
      <c r="D222" s="3">
        <v>3.536900269</v>
      </c>
      <c r="E222" s="3">
        <v>4.044377426</v>
      </c>
      <c r="F222" s="1">
        <v>622491.0</v>
      </c>
      <c r="G222" s="9">
        <f t="shared" si="1"/>
        <v>180.6666667</v>
      </c>
      <c r="H222" s="10" t="str">
        <f>IFERROR(__xludf.DUMMYFUNCTION("if(B222=""- - -"",""Trade"",filter(R:R,Q:Q=B222))"),"AL")</f>
        <v>AL</v>
      </c>
      <c r="I222" s="11">
        <f t="array" ref="I222">index('PLV (min 500)'!F:F,match(F222,'PLV (min 500)'!B:B,0))</f>
        <v>3.188596633</v>
      </c>
      <c r="J222" s="10">
        <v>3.5899581093196624</v>
      </c>
      <c r="K222" s="10">
        <v>9.411283188955196</v>
      </c>
      <c r="L222" s="10">
        <v>17.447431860087804</v>
      </c>
      <c r="U222" s="9"/>
      <c r="X222" s="9"/>
    </row>
    <row r="223">
      <c r="A223" s="1" t="s">
        <v>273</v>
      </c>
      <c r="B223" s="1" t="s">
        <v>72</v>
      </c>
      <c r="C223" s="1">
        <v>48.1</v>
      </c>
      <c r="D223" s="3">
        <v>4.655173638</v>
      </c>
      <c r="E223" s="3">
        <v>4.79845548</v>
      </c>
      <c r="F223" s="1">
        <v>667463.0</v>
      </c>
      <c r="G223" s="9">
        <f t="shared" si="1"/>
        <v>48.33333333</v>
      </c>
      <c r="H223" s="10" t="str">
        <f>IFERROR(__xludf.DUMMYFUNCTION("if(B223=""- - -"",""Trade"",filter(R:R,Q:Q=B223))"),"NL")</f>
        <v>NL</v>
      </c>
      <c r="I223" s="11">
        <f t="array" ref="I223">index('PLV (min 500)'!F:F,match(F223,'PLV (min 500)'!B:B,0))</f>
        <v>3.193576759</v>
      </c>
      <c r="J223" s="10">
        <v>4.215735292214238</v>
      </c>
      <c r="K223" s="10">
        <v>-0.8323186172783194</v>
      </c>
      <c r="L223" s="10">
        <v>4.630550878809492</v>
      </c>
      <c r="U223" s="9"/>
      <c r="X223" s="9"/>
    </row>
    <row r="224">
      <c r="A224" s="1" t="s">
        <v>274</v>
      </c>
      <c r="B224" s="1" t="s">
        <v>64</v>
      </c>
      <c r="C224" s="1">
        <v>38.2</v>
      </c>
      <c r="D224" s="3">
        <v>5.120689739</v>
      </c>
      <c r="E224" s="3">
        <v>4.162467148</v>
      </c>
      <c r="F224" s="1">
        <v>543101.0</v>
      </c>
      <c r="G224" s="9">
        <f t="shared" si="1"/>
        <v>38.66666667</v>
      </c>
      <c r="H224" s="10" t="str">
        <f>IFERROR(__xludf.DUMMYFUNCTION("if(B224=""- - -"",""Trade"",filter(R:R,Q:Q=B224))"),"NL")</f>
        <v>NL</v>
      </c>
      <c r="I224" s="11">
        <f t="array" ref="I224">index('PLV (min 500)'!F:F,match(F224,'PLV (min 500)'!B:B,0))</f>
        <v>3.20364869</v>
      </c>
      <c r="J224" s="10">
        <v>4.162268525514901</v>
      </c>
      <c r="K224" s="10">
        <v>-0.4340730749632482</v>
      </c>
      <c r="L224" s="10">
        <v>3.6347355621547095</v>
      </c>
      <c r="U224" s="9"/>
      <c r="X224" s="9"/>
    </row>
    <row r="225">
      <c r="A225" s="1" t="s">
        <v>275</v>
      </c>
      <c r="B225" s="1" t="s">
        <v>46</v>
      </c>
      <c r="C225" s="1">
        <v>156.1</v>
      </c>
      <c r="D225" s="3">
        <v>5.296375439</v>
      </c>
      <c r="E225" s="3">
        <v>4.724004166</v>
      </c>
      <c r="F225" s="1">
        <v>693821.0</v>
      </c>
      <c r="G225" s="9">
        <f t="shared" si="1"/>
        <v>156.3333333</v>
      </c>
      <c r="H225" s="10" t="str">
        <f>IFERROR(__xludf.DUMMYFUNCTION("if(B225=""- - -"",""Trade"",filter(R:R,Q:Q=B225))"),"NL")</f>
        <v>NL</v>
      </c>
      <c r="I225" s="11">
        <f t="array" ref="I225">index('PLV (min 500)'!F:F,match(F225,'PLV (min 500)'!B:B,0))</f>
        <v>3.21557116</v>
      </c>
      <c r="J225" s="10">
        <v>4.411983588327758</v>
      </c>
      <c r="K225" s="10">
        <v>-6.104959793107014</v>
      </c>
      <c r="L225" s="10">
        <v>14.646149102956748</v>
      </c>
      <c r="U225" s="9"/>
      <c r="X225" s="9"/>
    </row>
    <row r="226">
      <c r="A226" s="1" t="s">
        <v>276</v>
      </c>
      <c r="B226" s="1" t="s">
        <v>31</v>
      </c>
      <c r="C226" s="1">
        <v>81.0</v>
      </c>
      <c r="D226" s="3">
        <v>4.000000377</v>
      </c>
      <c r="E226" s="3">
        <v>4.080716907</v>
      </c>
      <c r="F226" s="1">
        <v>702352.0</v>
      </c>
      <c r="G226" s="9">
        <f t="shared" si="1"/>
        <v>81</v>
      </c>
      <c r="H226" s="10" t="str">
        <f>IFERROR(__xludf.DUMMYFUNCTION("if(B226=""- - -"",""Trade"",filter(R:R,Q:Q=B226))"),"NL")</f>
        <v>NL</v>
      </c>
      <c r="I226" s="11">
        <f t="array" ref="I226">index('PLV (min 500)'!F:F,match(F226,'PLV (min 500)'!B:B,0))</f>
        <v>3.218428444</v>
      </c>
      <c r="J226" s="10">
        <v>3.766381909402014</v>
      </c>
      <c r="K226" s="10">
        <v>2.6425628153818694</v>
      </c>
      <c r="L226" s="10">
        <v>7.574144002145619</v>
      </c>
      <c r="U226" s="9"/>
      <c r="X226" s="9"/>
    </row>
    <row r="227">
      <c r="A227" s="1" t="s">
        <v>277</v>
      </c>
      <c r="B227" s="1" t="s">
        <v>60</v>
      </c>
      <c r="C227" s="1">
        <v>69.2</v>
      </c>
      <c r="D227" s="3">
        <v>2.712918759</v>
      </c>
      <c r="E227" s="3">
        <v>3.445601173</v>
      </c>
      <c r="F227" s="1">
        <v>677952.0</v>
      </c>
      <c r="G227" s="9">
        <f t="shared" si="1"/>
        <v>69.66666667</v>
      </c>
      <c r="H227" s="10" t="str">
        <f>IFERROR(__xludf.DUMMYFUNCTION("if(B227=""- - -"",""Trade"",filter(R:R,Q:Q=B227))"),"NL")</f>
        <v>NL</v>
      </c>
      <c r="I227" s="11">
        <f t="array" ref="I227">index('PLV (min 500)'!F:F,match(F227,'PLV (min 500)'!B:B,0))</f>
        <v>3.222381531</v>
      </c>
      <c r="J227" s="10">
        <v>3.1269671542845963</v>
      </c>
      <c r="K227" s="10">
        <v>7.173985880389547</v>
      </c>
      <c r="L227" s="10">
        <v>6.440355340546424</v>
      </c>
      <c r="U227" s="9"/>
      <c r="X227" s="9"/>
    </row>
    <row r="228">
      <c r="A228" s="1" t="s">
        <v>278</v>
      </c>
      <c r="B228" s="1" t="s">
        <v>25</v>
      </c>
      <c r="C228" s="1">
        <v>136.1</v>
      </c>
      <c r="D228" s="3">
        <v>4.555012395</v>
      </c>
      <c r="E228" s="3">
        <v>5.059725396</v>
      </c>
      <c r="F228" s="1">
        <v>542881.0</v>
      </c>
      <c r="G228" s="9">
        <f t="shared" si="1"/>
        <v>136.3333333</v>
      </c>
      <c r="H228" s="10" t="str">
        <f>IFERROR(__xludf.DUMMYFUNCTION("if(B228=""- - -"",""Trade"",filter(R:R,Q:Q=B228))"),"AL")</f>
        <v>AL</v>
      </c>
      <c r="I228" s="11">
        <f t="array" ref="I228">index('PLV (min 500)'!F:F,match(F228,'PLV (min 500)'!B:B,0))</f>
        <v>3.225678447</v>
      </c>
      <c r="J228" s="11">
        <v>4.280138746083789</v>
      </c>
      <c r="K228" s="9">
        <v>-3.328987038000421</v>
      </c>
      <c r="L228" s="10">
        <v>12.616795925454296</v>
      </c>
      <c r="U228" s="9"/>
      <c r="X228" s="9"/>
    </row>
    <row r="229">
      <c r="A229" s="1" t="s">
        <v>279</v>
      </c>
      <c r="B229" s="1" t="s">
        <v>14</v>
      </c>
      <c r="C229" s="1">
        <v>75.1</v>
      </c>
      <c r="D229" s="3">
        <v>1.672566485</v>
      </c>
      <c r="E229" s="3">
        <v>2.753989377</v>
      </c>
      <c r="F229" s="1">
        <v>682842.0</v>
      </c>
      <c r="G229" s="9">
        <f t="shared" si="1"/>
        <v>75.33333333</v>
      </c>
      <c r="H229" s="10" t="str">
        <f>IFERROR(__xludf.DUMMYFUNCTION("if(B229=""- - -"",""Trade"",filter(R:R,Q:Q=B229))"),"NL")</f>
        <v>NL</v>
      </c>
      <c r="I229" s="11">
        <f t="array" ref="I229">index('PLV (min 500)'!F:F,match(F229,'PLV (min 500)'!B:B,0))</f>
        <v>3.228403141</v>
      </c>
      <c r="J229" s="11">
        <v>2.551653001088122</v>
      </c>
      <c r="K229" s="9">
        <v>12.586317735364666</v>
      </c>
      <c r="L229" s="10">
        <v>6.939213787894008</v>
      </c>
      <c r="U229" s="9"/>
      <c r="X229" s="9"/>
    </row>
    <row r="230">
      <c r="A230" s="1" t="s">
        <v>280</v>
      </c>
      <c r="B230" s="1" t="s">
        <v>29</v>
      </c>
      <c r="C230" s="1">
        <v>66.0</v>
      </c>
      <c r="D230" s="3">
        <v>2.454545738</v>
      </c>
      <c r="E230" s="3">
        <v>3.685428356</v>
      </c>
      <c r="F230" s="1">
        <v>608032.0</v>
      </c>
      <c r="G230" s="9">
        <f t="shared" si="1"/>
        <v>66</v>
      </c>
      <c r="H230" s="10" t="str">
        <f>IFERROR(__xludf.DUMMYFUNCTION("if(B230=""- - -"",""Trade"",filter(R:R,Q:Q=B230))"),"AL")</f>
        <v>AL</v>
      </c>
      <c r="I230" s="11">
        <f t="array" ref="I230">index('PLV (min 500)'!F:F,match(F230,'PLV (min 500)'!B:B,0))</f>
        <v>3.233742545</v>
      </c>
      <c r="J230" s="10">
        <v>3.1245722131515152</v>
      </c>
      <c r="K230" s="10">
        <v>6.859803770222219</v>
      </c>
      <c r="L230" s="10">
        <v>6.059221333333331</v>
      </c>
      <c r="U230" s="9"/>
      <c r="X230" s="9"/>
    </row>
    <row r="231">
      <c r="A231" s="1" t="s">
        <v>281</v>
      </c>
      <c r="B231" s="1" t="s">
        <v>52</v>
      </c>
      <c r="C231" s="1">
        <v>162.2</v>
      </c>
      <c r="D231" s="3">
        <v>4.53688553</v>
      </c>
      <c r="E231" s="3">
        <v>4.59359288</v>
      </c>
      <c r="F231" s="1">
        <v>622663.0</v>
      </c>
      <c r="G231" s="9">
        <f t="shared" si="1"/>
        <v>162.6666667</v>
      </c>
      <c r="H231" s="10" t="str">
        <f>IFERROR(__xludf.DUMMYFUNCTION("if(B231=""- - -"",""Trade"",filter(R:R,Q:Q=B231))"),"AL")</f>
        <v>AL</v>
      </c>
      <c r="I231" s="11">
        <f t="array" ref="I231">index('PLV (min 500)'!F:F,match(F231,'PLV (min 500)'!B:B,0))</f>
        <v>3.23402376</v>
      </c>
      <c r="J231" s="11">
        <v>4.121500723386583</v>
      </c>
      <c r="K231" s="9">
        <v>-1.1083797037004213</v>
      </c>
      <c r="L231" s="10">
        <v>14.8859273446765</v>
      </c>
      <c r="U231" s="9"/>
      <c r="X231" s="9"/>
    </row>
    <row r="232">
      <c r="A232" s="1" t="s">
        <v>282</v>
      </c>
      <c r="B232" s="1" t="s">
        <v>26</v>
      </c>
      <c r="C232" s="1">
        <v>168.0</v>
      </c>
      <c r="D232" s="3">
        <v>4.553571429</v>
      </c>
      <c r="E232" s="3">
        <v>3.45047408</v>
      </c>
      <c r="F232" s="1">
        <v>656302.0</v>
      </c>
      <c r="G232" s="9">
        <f t="shared" si="1"/>
        <v>168</v>
      </c>
      <c r="H232" s="10" t="str">
        <f>IFERROR(__xludf.DUMMYFUNCTION("if(B232=""- - -"",""Trade"",filter(R:R,Q:Q=B232))"),"NL")</f>
        <v>NL</v>
      </c>
      <c r="I232" s="11">
        <f t="array" ref="I232">index('PLV (min 500)'!F:F,match(F232,'PLV (min 500)'!B:B,0))</f>
        <v>3.237648375</v>
      </c>
      <c r="J232" s="10">
        <v>3.747231294666667</v>
      </c>
      <c r="K232" s="10">
        <v>5.838349166222212</v>
      </c>
      <c r="L232" s="10">
        <v>15.350563666666659</v>
      </c>
      <c r="U232" s="9"/>
      <c r="X232" s="9"/>
    </row>
    <row r="233">
      <c r="A233" s="1" t="s">
        <v>283</v>
      </c>
      <c r="B233" s="1" t="s">
        <v>25</v>
      </c>
      <c r="C233" s="1">
        <v>47.0</v>
      </c>
      <c r="D233" s="3">
        <v>5.553192842</v>
      </c>
      <c r="E233" s="3">
        <v>3.845118708</v>
      </c>
      <c r="F233" s="1">
        <v>641401.0</v>
      </c>
      <c r="G233" s="9">
        <f t="shared" si="1"/>
        <v>47</v>
      </c>
      <c r="H233" s="10" t="str">
        <f>IFERROR(__xludf.DUMMYFUNCTION("if(B233=""- - -"",""Trade"",filter(R:R,Q:Q=B233))"),"AL")</f>
        <v>AL</v>
      </c>
      <c r="I233" s="11">
        <f t="array" ref="I233">index('PLV (min 500)'!F:F,match(F233,'PLV (min 500)'!B:B,0))</f>
        <v>3.239277894</v>
      </c>
      <c r="J233" s="11">
        <v>4.212529814607927</v>
      </c>
      <c r="K233" s="9">
        <v>-0.7965445873969534</v>
      </c>
      <c r="L233" s="10">
        <v>4.285993221142462</v>
      </c>
      <c r="U233" s="9"/>
      <c r="X233" s="9"/>
    </row>
    <row r="234">
      <c r="A234" s="1" t="s">
        <v>284</v>
      </c>
      <c r="B234" s="1" t="s">
        <v>26</v>
      </c>
      <c r="C234" s="1">
        <v>63.1</v>
      </c>
      <c r="D234" s="3">
        <v>3.978948167</v>
      </c>
      <c r="E234" s="3">
        <v>4.068216734</v>
      </c>
      <c r="F234" s="1">
        <v>673513.0</v>
      </c>
      <c r="G234" s="9">
        <f t="shared" si="1"/>
        <v>63.33333333</v>
      </c>
      <c r="H234" s="10" t="str">
        <f>IFERROR(__xludf.DUMMYFUNCTION("if(B234=""- - -"",""Trade"",filter(R:R,Q:Q=B234))"),"NL")</f>
        <v>NL</v>
      </c>
      <c r="I234" s="11">
        <f t="array" ref="I234">index('PLV (min 500)'!F:F,match(F234,'PLV (min 500)'!B:B,0))</f>
        <v>3.245940853</v>
      </c>
      <c r="J234" s="11">
        <v>3.7643685845666384</v>
      </c>
      <c r="K234" s="9">
        <v>2.0727047015383437</v>
      </c>
      <c r="L234" s="10">
        <v>5.7074591327372595</v>
      </c>
      <c r="U234" s="9"/>
      <c r="X234" s="9"/>
    </row>
    <row r="235">
      <c r="A235" s="1" t="s">
        <v>285</v>
      </c>
      <c r="B235" s="1" t="s">
        <v>58</v>
      </c>
      <c r="C235" s="1">
        <v>195.1</v>
      </c>
      <c r="D235" s="3">
        <v>3.087030797</v>
      </c>
      <c r="E235" s="3">
        <v>3.340480608</v>
      </c>
      <c r="F235" s="1">
        <v>607074.0</v>
      </c>
      <c r="G235" s="9">
        <f t="shared" si="1"/>
        <v>195.3333333</v>
      </c>
      <c r="H235" s="10" t="str">
        <f>IFERROR(__xludf.DUMMYFUNCTION("if(B235=""- - -"",""Trade"",filter(R:R,Q:Q=B235))"),"AL")</f>
        <v>AL</v>
      </c>
      <c r="I235" s="11">
        <f t="array" ref="I235">index('PLV (min 500)'!F:F,match(F235,'PLV (min 500)'!B:B,0))</f>
        <v>3.245967369</v>
      </c>
      <c r="J235" s="10">
        <v>3.2244929245354075</v>
      </c>
      <c r="K235" s="10">
        <v>18.111936713682436</v>
      </c>
      <c r="L235" s="10">
        <v>17.646418487214014</v>
      </c>
      <c r="U235" s="9"/>
      <c r="X235" s="9"/>
    </row>
    <row r="236">
      <c r="A236" s="1" t="s">
        <v>286</v>
      </c>
      <c r="B236" s="1" t="s">
        <v>21</v>
      </c>
      <c r="C236" s="1">
        <v>61.2</v>
      </c>
      <c r="D236" s="3">
        <v>2.627027379</v>
      </c>
      <c r="E236" s="3">
        <v>2.522232081</v>
      </c>
      <c r="F236" s="1">
        <v>695243.0</v>
      </c>
      <c r="G236" s="9">
        <f t="shared" si="1"/>
        <v>61.66666667</v>
      </c>
      <c r="H236" s="10" t="str">
        <f>IFERROR(__xludf.DUMMYFUNCTION("if(B236=""- - -"",""Trade"",filter(R:R,Q:Q=B236))"),"Trade")</f>
        <v>Trade</v>
      </c>
      <c r="I236" s="11">
        <f t="array" ref="I236">index('PLV (min 500)'!F:F,match(F236,'PLV (min 500)'!B:B,0))</f>
        <v>3.250760594</v>
      </c>
      <c r="J236" s="10">
        <v>2.800006684806293</v>
      </c>
      <c r="K236" s="10">
        <v>8.567954543317207</v>
      </c>
      <c r="L236" s="10">
        <v>5.502827957951626</v>
      </c>
      <c r="U236" s="9"/>
      <c r="X236" s="9"/>
    </row>
    <row r="237">
      <c r="A237" s="1" t="s">
        <v>287</v>
      </c>
      <c r="B237" s="1" t="s">
        <v>72</v>
      </c>
      <c r="C237" s="1">
        <v>156.1</v>
      </c>
      <c r="D237" s="3">
        <v>4.835821053</v>
      </c>
      <c r="E237" s="3">
        <v>5.266841976</v>
      </c>
      <c r="F237" s="1">
        <v>571945.0</v>
      </c>
      <c r="G237" s="9">
        <f t="shared" si="1"/>
        <v>156.3333333</v>
      </c>
      <c r="H237" s="10" t="str">
        <f>IFERROR(__xludf.DUMMYFUNCTION("if(B237=""- - -"",""Trade"",filter(R:R,Q:Q=B237))"),"NL")</f>
        <v>NL</v>
      </c>
      <c r="I237" s="11">
        <f t="array" ref="I237">index('PLV (min 500)'!F:F,match(F237,'PLV (min 500)'!B:B,0))</f>
        <v>3.251103218</v>
      </c>
      <c r="J237" s="10">
        <v>4.451255415524709</v>
      </c>
      <c r="K237" s="10">
        <v>-6.786107818156341</v>
      </c>
      <c r="L237" s="10">
        <v>14.029865304075454</v>
      </c>
      <c r="U237" s="9"/>
      <c r="X237" s="9"/>
    </row>
    <row r="238">
      <c r="A238" s="1" t="s">
        <v>288</v>
      </c>
      <c r="B238" s="1" t="s">
        <v>21</v>
      </c>
      <c r="C238" s="1">
        <v>72.2</v>
      </c>
      <c r="D238" s="3">
        <v>3.963303203</v>
      </c>
      <c r="E238" s="3">
        <v>3.512208104</v>
      </c>
      <c r="F238" s="1">
        <v>641755.0</v>
      </c>
      <c r="G238" s="9">
        <f t="shared" si="1"/>
        <v>72.66666667</v>
      </c>
      <c r="H238" s="10" t="str">
        <f>IFERROR(__xludf.DUMMYFUNCTION("if(B238=""- - -"",""Trade"",filter(R:R,Q:Q=B238))"),"Trade")</f>
        <v>Trade</v>
      </c>
      <c r="I238" s="11">
        <f t="array" ref="I238">index('PLV (min 500)'!F:F,match(F238,'PLV (min 500)'!B:B,0))</f>
        <v>3.253393982</v>
      </c>
      <c r="J238" s="10">
        <v>3.576301762878817</v>
      </c>
      <c r="K238" s="10">
        <v>3.8803347466832654</v>
      </c>
      <c r="L238" s="10">
        <v>6.47077272509424</v>
      </c>
      <c r="U238" s="9"/>
      <c r="X238" s="9"/>
    </row>
    <row r="239">
      <c r="A239" s="1" t="s">
        <v>289</v>
      </c>
      <c r="B239" s="1" t="s">
        <v>62</v>
      </c>
      <c r="C239" s="1">
        <v>60.0</v>
      </c>
      <c r="D239" s="3">
        <v>3.000000572</v>
      </c>
      <c r="E239" s="3">
        <v>4.131100794</v>
      </c>
      <c r="F239" s="1">
        <v>669724.0</v>
      </c>
      <c r="G239" s="9">
        <f t="shared" si="1"/>
        <v>60</v>
      </c>
      <c r="H239" s="10" t="str">
        <f>IFERROR(__xludf.DUMMYFUNCTION("if(B239=""- - -"",""Trade"",filter(R:R,Q:Q=B239))"),"AL")</f>
        <v>AL</v>
      </c>
      <c r="I239" s="11">
        <f t="array" ref="I239">index('PLV (min 500)'!F:F,match(F239,'PLV (min 500)'!B:B,0))</f>
        <v>3.25891125</v>
      </c>
      <c r="J239" s="10">
        <v>3.463337538684771</v>
      </c>
      <c r="K239" s="10">
        <v>3.9777497421015235</v>
      </c>
      <c r="L239" s="10">
        <v>5.340591666304565</v>
      </c>
      <c r="U239" s="9"/>
      <c r="X239" s="9"/>
    </row>
    <row r="240">
      <c r="A240" s="1" t="s">
        <v>290</v>
      </c>
      <c r="B240" s="1" t="s">
        <v>72</v>
      </c>
      <c r="C240" s="1">
        <v>151.2</v>
      </c>
      <c r="D240" s="3">
        <v>4.213187096</v>
      </c>
      <c r="E240" s="3">
        <v>4.872611417</v>
      </c>
      <c r="F240" s="1">
        <v>669461.0</v>
      </c>
      <c r="G240" s="9">
        <f t="shared" si="1"/>
        <v>151.6666667</v>
      </c>
      <c r="H240" s="10" t="str">
        <f>IFERROR(__xludf.DUMMYFUNCTION("if(B240=""- - -"",""Trade"",filter(R:R,Q:Q=B240))"),"NL")</f>
        <v>NL</v>
      </c>
      <c r="I240" s="11">
        <f t="array" ref="I240">index('PLV (min 500)'!F:F,match(F240,'PLV (min 500)'!B:B,0))</f>
        <v>3.260582664</v>
      </c>
      <c r="J240" s="10">
        <v>4.115460392221535</v>
      </c>
      <c r="K240" s="10">
        <v>-0.9317345893217932</v>
      </c>
      <c r="L240" s="10">
        <v>13.43021125043466</v>
      </c>
      <c r="U240" s="9"/>
      <c r="X240" s="9"/>
    </row>
    <row r="241">
      <c r="A241" s="1" t="s">
        <v>291</v>
      </c>
      <c r="B241" s="1" t="s">
        <v>25</v>
      </c>
      <c r="C241" s="1">
        <v>61.2</v>
      </c>
      <c r="D241" s="3">
        <v>3.356757518</v>
      </c>
      <c r="E241" s="3">
        <v>3.800380317</v>
      </c>
      <c r="F241" s="1">
        <v>656271.0</v>
      </c>
      <c r="G241" s="9">
        <f t="shared" si="1"/>
        <v>61.66666667</v>
      </c>
      <c r="H241" s="10" t="str">
        <f>IFERROR(__xludf.DUMMYFUNCTION("if(B241=""- - -"",""Trade"",filter(R:R,Q:Q=B241))"),"AL")</f>
        <v>AL</v>
      </c>
      <c r="I241" s="11">
        <f t="array" ref="I241">index('PLV (min 500)'!F:F,match(F241,'PLV (min 500)'!B:B,0))</f>
        <v>3.267590205</v>
      </c>
      <c r="J241" s="10">
        <v>3.474909346813577</v>
      </c>
      <c r="K241" s="10">
        <v>3.9786164416676724</v>
      </c>
      <c r="L241" s="10">
        <v>5.388386603003024</v>
      </c>
      <c r="U241" s="9"/>
      <c r="X241" s="9"/>
    </row>
    <row r="242">
      <c r="A242" s="1" t="s">
        <v>292</v>
      </c>
      <c r="B242" s="1" t="s">
        <v>51</v>
      </c>
      <c r="C242" s="1">
        <v>56.0</v>
      </c>
      <c r="D242" s="3">
        <v>5.303572874</v>
      </c>
      <c r="E242" s="3">
        <v>4.461877657</v>
      </c>
      <c r="F242" s="1">
        <v>592773.0</v>
      </c>
      <c r="G242" s="9">
        <f t="shared" si="1"/>
        <v>56</v>
      </c>
      <c r="H242" s="10" t="str">
        <f>IFERROR(__xludf.DUMMYFUNCTION("if(B242=""- - -"",""Trade"",filter(R:R,Q:Q=B242))"),"NL")</f>
        <v>NL</v>
      </c>
      <c r="I242" s="11">
        <f t="array" ref="I242">index('PLV (min 500)'!F:F,match(F242,'PLV (min 500)'!B:B,0))</f>
        <v>3.271021714</v>
      </c>
      <c r="J242" s="10">
        <v>4.345490748428571</v>
      </c>
      <c r="K242" s="10">
        <v>-1.7763868791111135</v>
      </c>
      <c r="L242" s="10">
        <v>4.909198222222219</v>
      </c>
      <c r="U242" s="9"/>
      <c r="X242" s="9"/>
    </row>
    <row r="243">
      <c r="A243" s="1" t="s">
        <v>293</v>
      </c>
      <c r="B243" s="1" t="s">
        <v>29</v>
      </c>
      <c r="C243" s="1">
        <v>67.2</v>
      </c>
      <c r="D243" s="3">
        <v>3.059113933</v>
      </c>
      <c r="E243" s="3">
        <v>4.527034076</v>
      </c>
      <c r="F243" s="1">
        <v>663738.0</v>
      </c>
      <c r="G243" s="9">
        <f t="shared" si="1"/>
        <v>67.66666667</v>
      </c>
      <c r="H243" s="10" t="str">
        <f>IFERROR(__xludf.DUMMYFUNCTION("if(B243=""- - -"",""Trade"",filter(R:R,Q:Q=B243))"),"AL")</f>
        <v>AL</v>
      </c>
      <c r="I243" s="11">
        <f t="array" ref="I243">index('PLV (min 500)'!F:F,match(F243,'PLV (min 500)'!B:B,0))</f>
        <v>3.271021803</v>
      </c>
      <c r="J243" s="10">
        <v>3.61905660393151</v>
      </c>
      <c r="K243" s="10">
        <v>3.2923773573113877</v>
      </c>
      <c r="L243" s="10">
        <v>5.89103720580083</v>
      </c>
      <c r="U243" s="9"/>
      <c r="X243" s="9"/>
    </row>
    <row r="244">
      <c r="A244" s="1" t="s">
        <v>294</v>
      </c>
      <c r="B244" s="1" t="s">
        <v>68</v>
      </c>
      <c r="C244" s="1">
        <v>171.2</v>
      </c>
      <c r="D244" s="3">
        <v>4.194174889</v>
      </c>
      <c r="E244" s="3">
        <v>3.87901389</v>
      </c>
      <c r="F244" s="1">
        <v>665152.0</v>
      </c>
      <c r="G244" s="9">
        <f t="shared" si="1"/>
        <v>171.6666667</v>
      </c>
      <c r="H244" s="10" t="str">
        <f>IFERROR(__xludf.DUMMYFUNCTION("if(B244=""- - -"",""Trade"",filter(R:R,Q:Q=B244))"),"AL")</f>
        <v>AL</v>
      </c>
      <c r="I244" s="11">
        <f t="array" ref="I244">index('PLV (min 500)'!F:F,match(F244,'PLV (min 500)'!B:B,0))</f>
        <v>3.276836126</v>
      </c>
      <c r="J244" s="10">
        <v>3.7833416350245375</v>
      </c>
      <c r="K244" s="10">
        <v>5.262656898199902</v>
      </c>
      <c r="L244" s="10">
        <v>14.897517246244185</v>
      </c>
      <c r="U244" s="9"/>
      <c r="X244" s="9"/>
    </row>
    <row r="245">
      <c r="A245" s="1" t="s">
        <v>295</v>
      </c>
      <c r="B245" s="1" t="s">
        <v>51</v>
      </c>
      <c r="C245" s="1">
        <v>55.1</v>
      </c>
      <c r="D245" s="3">
        <v>3.903615355</v>
      </c>
      <c r="E245" s="3">
        <v>3.496178491</v>
      </c>
      <c r="F245" s="1">
        <v>657585.0</v>
      </c>
      <c r="G245" s="9">
        <f t="shared" si="1"/>
        <v>55.33333333</v>
      </c>
      <c r="H245" s="10" t="str">
        <f>IFERROR(__xludf.DUMMYFUNCTION("if(B245=""- - -"",""Trade"",filter(R:R,Q:Q=B245))"),"NL")</f>
        <v>NL</v>
      </c>
      <c r="I245" s="11">
        <f t="array" ref="I245">index('PLV (min 500)'!F:F,match(F245,'PLV (min 500)'!B:B,0))</f>
        <v>3.281939132</v>
      </c>
      <c r="J245" s="10">
        <v>3.5605776594968592</v>
      </c>
      <c r="K245" s="10">
        <v>3.05757455130256</v>
      </c>
      <c r="L245" s="10">
        <v>4.763461533307678</v>
      </c>
      <c r="U245" s="9"/>
      <c r="X245" s="9"/>
    </row>
    <row r="246">
      <c r="A246" s="1" t="s">
        <v>296</v>
      </c>
      <c r="B246" s="1" t="s">
        <v>52</v>
      </c>
      <c r="C246" s="1">
        <v>90.1</v>
      </c>
      <c r="D246" s="3">
        <v>5.081180937</v>
      </c>
      <c r="E246" s="3">
        <v>3.742497464</v>
      </c>
      <c r="F246" s="1">
        <v>669372.0</v>
      </c>
      <c r="G246" s="9">
        <f t="shared" si="1"/>
        <v>90.33333333</v>
      </c>
      <c r="H246" s="10" t="str">
        <f>IFERROR(__xludf.DUMMYFUNCTION("if(B246=""- - -"",""Trade"",filter(R:R,Q:Q=B246))"),"AL")</f>
        <v>AL</v>
      </c>
      <c r="I246" s="11">
        <f t="array" ref="I246">index('PLV (min 500)'!F:F,match(F246,'PLV (min 500)'!B:B,0))</f>
        <v>3.283585671</v>
      </c>
      <c r="J246" s="10">
        <v>4.035754690732996</v>
      </c>
      <c r="K246" s="10">
        <v>0.24272248499522528</v>
      </c>
      <c r="L246" s="10">
        <v>7.772770113885705</v>
      </c>
      <c r="U246" s="9"/>
      <c r="X246" s="9"/>
    </row>
    <row r="247">
      <c r="A247" s="1" t="s">
        <v>297</v>
      </c>
      <c r="B247" s="1" t="s">
        <v>34</v>
      </c>
      <c r="C247" s="1">
        <v>69.2</v>
      </c>
      <c r="D247" s="3">
        <v>2.066985948</v>
      </c>
      <c r="E247" s="3">
        <v>2.790701677</v>
      </c>
      <c r="F247" s="1">
        <v>641745.0</v>
      </c>
      <c r="G247" s="9">
        <f t="shared" si="1"/>
        <v>69.66666667</v>
      </c>
      <c r="H247" s="10" t="str">
        <f>IFERROR(__xludf.DUMMYFUNCTION("if(B247=""- - -"",""Trade"",filter(R:R,Q:Q=B247))"),"NL")</f>
        <v>NL</v>
      </c>
      <c r="I247" s="11">
        <f t="array" ref="I247">index('PLV (min 500)'!F:F,match(F247,'PLV (min 500)'!B:B,0))</f>
        <v>3.28409901</v>
      </c>
      <c r="J247" s="11">
        <v>2.7139288781688418</v>
      </c>
      <c r="K247" s="9">
        <v>10.349791292301793</v>
      </c>
      <c r="L247" s="10">
        <v>5.965816504683162</v>
      </c>
      <c r="U247" s="9"/>
      <c r="X247" s="9"/>
    </row>
    <row r="248">
      <c r="A248" s="1" t="s">
        <v>298</v>
      </c>
      <c r="B248" s="1" t="s">
        <v>70</v>
      </c>
      <c r="C248" s="1">
        <v>44.2</v>
      </c>
      <c r="D248" s="3">
        <v>3.223880781</v>
      </c>
      <c r="E248" s="3">
        <v>4.615965464</v>
      </c>
      <c r="F248" s="1">
        <v>594902.0</v>
      </c>
      <c r="G248" s="9">
        <f t="shared" si="1"/>
        <v>44.66666667</v>
      </c>
      <c r="H248" s="10" t="str">
        <f>IFERROR(__xludf.DUMMYFUNCTION("if(B248=""- - -"",""Trade"",filter(R:R,Q:Q=B248))"),"AL")</f>
        <v>AL</v>
      </c>
      <c r="I248" s="11">
        <f t="array" ref="I248">index('PLV (min 500)'!F:F,match(F248,'PLV (min 500)'!B:B,0))</f>
        <v>3.29177391</v>
      </c>
      <c r="J248" s="11">
        <v>3.710540051807732</v>
      </c>
      <c r="K248" s="9">
        <v>1.7162366344553597</v>
      </c>
      <c r="L248" s="10">
        <v>3.77284368436608</v>
      </c>
      <c r="U248" s="9"/>
      <c r="X248" s="9"/>
    </row>
    <row r="249">
      <c r="A249" s="1" t="s">
        <v>299</v>
      </c>
      <c r="B249" s="1" t="s">
        <v>21</v>
      </c>
      <c r="C249" s="1">
        <v>39.0</v>
      </c>
      <c r="D249" s="3">
        <v>6.230769535</v>
      </c>
      <c r="E249" s="3">
        <v>3.976311724</v>
      </c>
      <c r="F249" s="1">
        <v>621112.0</v>
      </c>
      <c r="G249" s="9">
        <f t="shared" si="1"/>
        <v>39</v>
      </c>
      <c r="H249" s="10" t="str">
        <f>IFERROR(__xludf.DUMMYFUNCTION("if(B249=""- - -"",""Trade"",filter(R:R,Q:Q=B249))"),"Trade")</f>
        <v>Trade</v>
      </c>
      <c r="I249" s="11">
        <f t="array" ref="I249">index('PLV (min 500)'!F:F,match(F249,'PLV (min 500)'!B:B,0))</f>
        <v>3.292782</v>
      </c>
      <c r="J249" s="11">
        <v>4.499954419722954</v>
      </c>
      <c r="K249" s="9">
        <v>-1.906469152132802</v>
      </c>
      <c r="L249" s="10">
        <v>3.3246113326016036</v>
      </c>
      <c r="U249" s="9"/>
      <c r="X249" s="9"/>
    </row>
    <row r="250">
      <c r="A250" s="1" t="s">
        <v>300</v>
      </c>
      <c r="B250" s="1" t="s">
        <v>26</v>
      </c>
      <c r="C250" s="1">
        <v>72.0</v>
      </c>
      <c r="D250" s="3">
        <v>5.375</v>
      </c>
      <c r="E250" s="3">
        <v>3.624863811</v>
      </c>
      <c r="F250" s="1">
        <v>506433.0</v>
      </c>
      <c r="G250" s="9">
        <f t="shared" si="1"/>
        <v>72</v>
      </c>
      <c r="H250" s="10" t="str">
        <f>IFERROR(__xludf.DUMMYFUNCTION("if(B250=""- - -"",""Trade"",filter(R:R,Q:Q=B250))"),"NL")</f>
        <v>NL</v>
      </c>
      <c r="I250" s="11">
        <f t="array" ref="I250">index('PLV (min 500)'!F:F,match(F250,'PLV (min 500)'!B:B,0))</f>
        <v>3.293323125</v>
      </c>
      <c r="J250" s="10">
        <v>4.097728978666667</v>
      </c>
      <c r="K250" s="10">
        <v>-0.30183182933333796</v>
      </c>
      <c r="L250" s="10">
        <v>6.133414999999996</v>
      </c>
      <c r="U250" s="9"/>
      <c r="X250" s="9"/>
    </row>
    <row r="251">
      <c r="A251" s="1" t="s">
        <v>301</v>
      </c>
      <c r="B251" s="1" t="s">
        <v>22</v>
      </c>
      <c r="C251" s="1">
        <v>43.2</v>
      </c>
      <c r="D251" s="3">
        <v>8.038168407</v>
      </c>
      <c r="E251" s="3">
        <v>6.186176377</v>
      </c>
      <c r="F251" s="1">
        <v>656557.0</v>
      </c>
      <c r="G251" s="9">
        <f t="shared" si="1"/>
        <v>43.66666667</v>
      </c>
      <c r="H251" s="10" t="str">
        <f>IFERROR(__xludf.DUMMYFUNCTION("if(B251=""- - -"",""Trade"",filter(R:R,Q:Q=B251))"),"AL")</f>
        <v>AL</v>
      </c>
      <c r="I251" s="11">
        <f t="array" ref="I251">index('PLV (min 500)'!F:F,match(F251,'PLV (min 500)'!B:B,0))</f>
        <v>3.305736343</v>
      </c>
      <c r="J251" s="11">
        <v>5.8433603758287385</v>
      </c>
      <c r="K251" s="9">
        <v>-8.560129803977947</v>
      </c>
      <c r="L251" s="10">
        <v>3.6204655512661637</v>
      </c>
      <c r="U251" s="9"/>
      <c r="X251" s="9"/>
    </row>
    <row r="252">
      <c r="A252" s="1" t="s">
        <v>302</v>
      </c>
      <c r="B252" s="1" t="s">
        <v>26</v>
      </c>
      <c r="C252" s="1">
        <v>133.2</v>
      </c>
      <c r="D252" s="3">
        <v>3.837905255</v>
      </c>
      <c r="E252" s="3">
        <v>5.369849737</v>
      </c>
      <c r="F252" s="1">
        <v>681190.0</v>
      </c>
      <c r="G252" s="9">
        <f t="shared" si="1"/>
        <v>133.6666667</v>
      </c>
      <c r="H252" s="10" t="str">
        <f>IFERROR(__xludf.DUMMYFUNCTION("if(B252=""- - -"",""Trade"",filter(R:R,Q:Q=B252))"),"NL")</f>
        <v>NL</v>
      </c>
      <c r="I252" s="11">
        <f t="array" ref="I252">index('PLV (min 500)'!F:F,match(F252,'PLV (min 500)'!B:B,0))</f>
        <v>3.306492247</v>
      </c>
      <c r="J252" s="10">
        <v>4.171415746225551</v>
      </c>
      <c r="K252" s="10">
        <v>-1.6489530441381637</v>
      </c>
      <c r="L252" s="10">
        <v>11.15191474918553</v>
      </c>
      <c r="U252" s="9"/>
      <c r="X252" s="9"/>
    </row>
    <row r="253">
      <c r="A253" s="1" t="s">
        <v>303</v>
      </c>
      <c r="B253" s="1" t="s">
        <v>31</v>
      </c>
      <c r="C253" s="1">
        <v>182.1</v>
      </c>
      <c r="D253" s="3">
        <v>3.652650925</v>
      </c>
      <c r="E253" s="3">
        <v>3.704886731</v>
      </c>
      <c r="F253" s="1">
        <v>592662.0</v>
      </c>
      <c r="G253" s="9">
        <f t="shared" si="1"/>
        <v>182.3333333</v>
      </c>
      <c r="H253" s="10" t="str">
        <f>IFERROR(__xludf.DUMMYFUNCTION("if(B253=""- - -"",""Trade"",filter(R:R,Q:Q=B253))"),"NL")</f>
        <v>NL</v>
      </c>
      <c r="I253" s="11">
        <f t="array" ref="I253">index('PLV (min 500)'!F:F,match(F253,'PLV (min 500)'!B:B,0))</f>
        <v>3.315347572</v>
      </c>
      <c r="J253" s="11">
        <v>3.5576284093878594</v>
      </c>
      <c r="K253" s="9">
        <v>10.164651850052303</v>
      </c>
      <c r="L253" s="10">
        <v>15.066800789890266</v>
      </c>
      <c r="U253" s="9"/>
      <c r="X253" s="9"/>
    </row>
    <row r="254">
      <c r="A254" s="1" t="s">
        <v>304</v>
      </c>
      <c r="B254" s="1" t="s">
        <v>21</v>
      </c>
      <c r="C254" s="1">
        <v>65.1</v>
      </c>
      <c r="D254" s="3">
        <v>3.581633036</v>
      </c>
      <c r="E254" s="3">
        <v>3.542841757</v>
      </c>
      <c r="F254" s="1">
        <v>666808.0</v>
      </c>
      <c r="G254" s="9">
        <f t="shared" si="1"/>
        <v>65.33333333</v>
      </c>
      <c r="H254" s="10" t="str">
        <f>IFERROR(__xludf.DUMMYFUNCTION("if(B254=""- - -"",""Trade"",filter(R:R,Q:Q=B254))"),"Trade")</f>
        <v>Trade</v>
      </c>
      <c r="I254" s="11">
        <f t="array" ref="I254">index('PLV (min 500)'!F:F,match(F254,'PLV (min 500)'!B:B,0))</f>
        <v>3.324994485</v>
      </c>
      <c r="J254" s="10">
        <v>3.4831564259545065</v>
      </c>
      <c r="K254" s="10">
        <v>4.1725018522624</v>
      </c>
      <c r="L254" s="10">
        <v>5.316539892820537</v>
      </c>
      <c r="U254" s="9"/>
      <c r="X254" s="9"/>
    </row>
    <row r="255">
      <c r="A255" s="1" t="s">
        <v>305</v>
      </c>
      <c r="B255" s="1" t="s">
        <v>75</v>
      </c>
      <c r="C255" s="1">
        <v>42.1</v>
      </c>
      <c r="D255" s="3">
        <v>7.015748874</v>
      </c>
      <c r="E255" s="3">
        <v>5.713671261</v>
      </c>
      <c r="F255" s="1">
        <v>669020.0</v>
      </c>
      <c r="G255" s="9">
        <f t="shared" si="1"/>
        <v>42.33333333</v>
      </c>
      <c r="H255" s="10" t="str">
        <f>IFERROR(__xludf.DUMMYFUNCTION("if(B255=""- - -"",""Trade"",filter(R:R,Q:Q=B255))"),"NL")</f>
        <v>NL</v>
      </c>
      <c r="I255" s="11">
        <f t="array" ref="I255">index('PLV (min 500)'!F:F,match(F255,'PLV (min 500)'!B:B,0))</f>
        <v>3.325811102</v>
      </c>
      <c r="J255" s="11">
        <v>5.351743745691381</v>
      </c>
      <c r="K255" s="9">
        <v>-6.042490188178571</v>
      </c>
      <c r="L255" s="10">
        <v>3.4343725114087325</v>
      </c>
      <c r="U255" s="9"/>
      <c r="X255" s="9"/>
    </row>
    <row r="256">
      <c r="A256" s="1" t="s">
        <v>306</v>
      </c>
      <c r="B256" s="1" t="s">
        <v>70</v>
      </c>
      <c r="C256" s="1">
        <v>132.0</v>
      </c>
      <c r="D256" s="3">
        <v>4.295454545</v>
      </c>
      <c r="E256" s="3">
        <v>4.999245581</v>
      </c>
      <c r="F256" s="1">
        <v>677944.0</v>
      </c>
      <c r="G256" s="9">
        <f t="shared" si="1"/>
        <v>132</v>
      </c>
      <c r="H256" s="10" t="str">
        <f>IFERROR(__xludf.DUMMYFUNCTION("if(B256=""- - -"",""Trade"",filter(R:R,Q:Q=B256))"),"AL")</f>
        <v>AL</v>
      </c>
      <c r="I256" s="11">
        <f t="array" ref="I256">index('PLV (min 500)'!F:F,match(F256,'PLV (min 500)'!B:B,0))</f>
        <v>3.334544932</v>
      </c>
      <c r="J256" s="10">
        <v>4.209748352538696</v>
      </c>
      <c r="K256" s="10">
        <v>-2.196309170567551</v>
      </c>
      <c r="L256" s="10">
        <v>10.64000766963071</v>
      </c>
      <c r="U256" s="9"/>
      <c r="X256" s="9"/>
    </row>
    <row r="257">
      <c r="A257" s="1" t="s">
        <v>307</v>
      </c>
      <c r="B257" s="1" t="s">
        <v>51</v>
      </c>
      <c r="C257" s="1">
        <v>168.2</v>
      </c>
      <c r="D257" s="3">
        <v>4.215415274</v>
      </c>
      <c r="E257" s="3">
        <v>4.594171708</v>
      </c>
      <c r="F257" s="1">
        <v>656849.0</v>
      </c>
      <c r="G257" s="9">
        <f t="shared" si="1"/>
        <v>168.6666667</v>
      </c>
      <c r="H257" s="10" t="str">
        <f>IFERROR(__xludf.DUMMYFUNCTION("if(B257=""- - -"",""Trade"",filter(R:R,Q:Q=B257))"),"NL")</f>
        <v>NL</v>
      </c>
      <c r="I257" s="11">
        <f t="array" ref="I257">index('PLV (min 500)'!F:F,match(F257,'PLV (min 500)'!B:B,0))</f>
        <v>3.343789334</v>
      </c>
      <c r="J257" s="10">
        <v>4.051125438635395</v>
      </c>
      <c r="K257" s="10">
        <v>0.16585569128071373</v>
      </c>
      <c r="L257" s="10">
        <v>13.385181559664368</v>
      </c>
      <c r="U257" s="9"/>
      <c r="X257" s="9"/>
    </row>
    <row r="258">
      <c r="A258" s="1" t="s">
        <v>308</v>
      </c>
      <c r="B258" s="1" t="s">
        <v>70</v>
      </c>
      <c r="C258" s="1">
        <v>182.1</v>
      </c>
      <c r="D258" s="3">
        <v>4.244972696</v>
      </c>
      <c r="E258" s="3">
        <v>3.623819968</v>
      </c>
      <c r="F258" s="1">
        <v>676440.0</v>
      </c>
      <c r="G258" s="9">
        <f t="shared" si="1"/>
        <v>182.3333333</v>
      </c>
      <c r="H258" s="10" t="str">
        <f>IFERROR(__xludf.DUMMYFUNCTION("if(B258=""- - -"",""Trade"",filter(R:R,Q:Q=B258))"),"AL")</f>
        <v>AL</v>
      </c>
      <c r="I258" s="11">
        <f t="array" ref="I258">index('PLV (min 500)'!F:F,match(F258,'PLV (min 500)'!B:B,0))</f>
        <v>3.347248047</v>
      </c>
      <c r="J258" s="11">
        <v>3.738680237124297</v>
      </c>
      <c r="K258" s="9">
        <v>6.5013698688517145</v>
      </c>
      <c r="L258" s="10">
        <v>14.42134784148849</v>
      </c>
      <c r="U258" s="9"/>
      <c r="X258" s="9"/>
    </row>
    <row r="259">
      <c r="A259" s="1" t="s">
        <v>309</v>
      </c>
      <c r="B259" s="1" t="s">
        <v>58</v>
      </c>
      <c r="C259" s="1">
        <v>35.2</v>
      </c>
      <c r="D259" s="3">
        <v>3.280374417</v>
      </c>
      <c r="E259" s="3">
        <v>4.403871152</v>
      </c>
      <c r="F259" s="1">
        <v>660787.0</v>
      </c>
      <c r="G259" s="9">
        <f t="shared" si="1"/>
        <v>35.66666667</v>
      </c>
      <c r="H259" s="10" t="str">
        <f>IFERROR(__xludf.DUMMYFUNCTION("if(B259=""- - -"",""Trade"",filter(R:R,Q:Q=B259))"),"AL")</f>
        <v>AL</v>
      </c>
      <c r="I259" s="11">
        <f t="array" ref="I259">index('PLV (min 500)'!F:F,match(F259,'PLV (min 500)'!B:B,0))</f>
        <v>3.35182214</v>
      </c>
      <c r="J259" s="11">
        <v>3.6786892362912202</v>
      </c>
      <c r="K259" s="9">
        <v>1.4913487647276706</v>
      </c>
      <c r="L259" s="10">
        <v>2.7697622973830103</v>
      </c>
      <c r="U259" s="9"/>
      <c r="X259" s="9"/>
    </row>
    <row r="260">
      <c r="A260" s="1" t="s">
        <v>310</v>
      </c>
      <c r="B260" s="1" t="s">
        <v>33</v>
      </c>
      <c r="C260" s="1">
        <v>65.0</v>
      </c>
      <c r="D260" s="3">
        <v>3.184616274</v>
      </c>
      <c r="E260" s="3">
        <v>3.591941864</v>
      </c>
      <c r="F260" s="1">
        <v>607455.0</v>
      </c>
      <c r="G260" s="9">
        <f t="shared" si="1"/>
        <v>65</v>
      </c>
      <c r="H260" s="10" t="str">
        <f>IFERROR(__xludf.DUMMYFUNCTION("if(B260=""- - -"",""Trade"",filter(R:R,Q:Q=B260))"),"NL")</f>
        <v>NL</v>
      </c>
      <c r="I260" s="11">
        <f t="array" ref="I260">index('PLV (min 500)'!F:F,match(F260,'PLV (min 500)'!B:B,0))</f>
        <v>3.354034984</v>
      </c>
      <c r="J260" s="11">
        <v>3.3768643741191275</v>
      </c>
      <c r="K260" s="9">
        <v>4.933757298028521</v>
      </c>
      <c r="L260" s="10">
        <v>5.098636224085577</v>
      </c>
      <c r="U260" s="9"/>
      <c r="X260" s="9"/>
    </row>
    <row r="261">
      <c r="A261" s="1" t="s">
        <v>311</v>
      </c>
      <c r="B261" s="1" t="s">
        <v>40</v>
      </c>
      <c r="C261" s="1">
        <v>68.0</v>
      </c>
      <c r="D261" s="3">
        <v>4.367647549</v>
      </c>
      <c r="E261" s="3">
        <v>3.746271672</v>
      </c>
      <c r="F261" s="1">
        <v>656546.0</v>
      </c>
      <c r="G261" s="9">
        <f t="shared" si="1"/>
        <v>68</v>
      </c>
      <c r="H261" s="10" t="str">
        <f>IFERROR(__xludf.DUMMYFUNCTION("if(B261=""- - -"",""Trade"",filter(R:R,Q:Q=B261))"),"AL")</f>
        <v>AL</v>
      </c>
      <c r="I261" s="11">
        <f t="array" ref="I261">index('PLV (min 500)'!F:F,match(F261,'PLV (min 500)'!B:B,0))</f>
        <v>3.35432753</v>
      </c>
      <c r="J261" s="11">
        <v>3.822748916919021</v>
      </c>
      <c r="K261" s="9">
        <v>1.792563738834061</v>
      </c>
      <c r="L261" s="10">
        <v>5.331747552946634</v>
      </c>
      <c r="U261" s="9"/>
      <c r="X261" s="9"/>
    </row>
    <row r="262">
      <c r="A262" s="1" t="s">
        <v>312</v>
      </c>
      <c r="B262" s="1" t="s">
        <v>21</v>
      </c>
      <c r="C262" s="1">
        <v>42.2</v>
      </c>
      <c r="D262" s="3">
        <v>6.539064059</v>
      </c>
      <c r="E262" s="3">
        <v>4.66666287</v>
      </c>
      <c r="F262" s="1">
        <v>650893.0</v>
      </c>
      <c r="G262" s="9">
        <f t="shared" si="1"/>
        <v>42.66666667</v>
      </c>
      <c r="H262" s="10" t="str">
        <f>IFERROR(__xludf.DUMMYFUNCTION("if(B262=""- - -"",""Trade"",filter(R:R,Q:Q=B262))"),"Trade")</f>
        <v>Trade</v>
      </c>
      <c r="I262" s="11">
        <f t="array" ref="I262">index('PLV (min 500)'!F:F,match(F262,'PLV (min 500)'!B:B,0))</f>
        <v>3.354771937</v>
      </c>
      <c r="J262" s="10">
        <v>4.853499622157931</v>
      </c>
      <c r="K262" s="10">
        <v>-3.720631561673855</v>
      </c>
      <c r="L262" s="10">
        <v>3.3067360265117802</v>
      </c>
      <c r="U262" s="9"/>
      <c r="X262" s="9"/>
    </row>
    <row r="263">
      <c r="A263" s="1" t="s">
        <v>313</v>
      </c>
      <c r="B263" s="1" t="s">
        <v>34</v>
      </c>
      <c r="C263" s="1">
        <v>159.1</v>
      </c>
      <c r="D263" s="3">
        <v>3.953975045</v>
      </c>
      <c r="E263" s="3">
        <v>4.523656421</v>
      </c>
      <c r="F263" s="1">
        <v>607067.0</v>
      </c>
      <c r="G263" s="9">
        <f t="shared" si="1"/>
        <v>159.3333333</v>
      </c>
      <c r="H263" s="10" t="str">
        <f>IFERROR(__xludf.DUMMYFUNCTION("if(B263=""- - -"",""Trade"",filter(R:R,Q:Q=B263))"),"NL")</f>
        <v>NL</v>
      </c>
      <c r="I263" s="11">
        <f t="array" ref="I263">index('PLV (min 500)'!F:F,match(F263,'PLV (min 500)'!B:B,0))</f>
        <v>3.357331381</v>
      </c>
      <c r="J263" s="10">
        <v>3.944987615628863</v>
      </c>
      <c r="K263" s="10">
        <v>2.033163372605318</v>
      </c>
      <c r="L263" s="10">
        <v>12.421619700104866</v>
      </c>
      <c r="U263" s="9"/>
      <c r="X263" s="9"/>
    </row>
    <row r="264">
      <c r="A264" s="1" t="s">
        <v>314</v>
      </c>
      <c r="B264" s="1" t="s">
        <v>39</v>
      </c>
      <c r="C264" s="1">
        <v>48.1</v>
      </c>
      <c r="D264" s="3">
        <v>4.096551832</v>
      </c>
      <c r="E264" s="3">
        <v>3.181432884</v>
      </c>
      <c r="F264" s="1">
        <v>669854.0</v>
      </c>
      <c r="G264" s="9">
        <f t="shared" si="1"/>
        <v>48.33333333</v>
      </c>
      <c r="H264" s="10" t="str">
        <f>IFERROR(__xludf.DUMMYFUNCTION("if(B264=""- - -"",""Trade"",filter(R:R,Q:Q=B264))"),"AL")</f>
        <v>AL</v>
      </c>
      <c r="I264" s="11">
        <f t="array" ref="I264">index('PLV (min 500)'!F:F,match(F264,'PLV (min 500)'!B:B,0))</f>
        <v>3.360064903</v>
      </c>
      <c r="J264" s="11">
        <v>3.546016539823817</v>
      </c>
      <c r="K264" s="9">
        <v>2.7469560482749316</v>
      </c>
      <c r="L264" s="10">
        <v>3.7407642381136927</v>
      </c>
      <c r="U264" s="9"/>
      <c r="X264" s="9"/>
    </row>
    <row r="265">
      <c r="A265" s="1" t="s">
        <v>315</v>
      </c>
      <c r="B265" s="1" t="s">
        <v>40</v>
      </c>
      <c r="C265" s="1">
        <v>50.0</v>
      </c>
      <c r="D265" s="3">
        <v>2.700000566</v>
      </c>
      <c r="E265" s="3">
        <v>3.323818026</v>
      </c>
      <c r="F265" s="1">
        <v>680755.0</v>
      </c>
      <c r="G265" s="9">
        <f t="shared" si="1"/>
        <v>50</v>
      </c>
      <c r="H265" s="10" t="str">
        <f>IFERROR(__xludf.DUMMYFUNCTION("if(B265=""- - -"",""Trade"",filter(R:R,Q:Q=B265))"),"AL")</f>
        <v>AL</v>
      </c>
      <c r="I265" s="11">
        <f t="array" ref="I265">index('PLV (min 500)'!F:F,match(F265,'PLV (min 500)'!B:B,0))</f>
        <v>3.36425292</v>
      </c>
      <c r="J265" s="10">
        <v>3.1293571705545253</v>
      </c>
      <c r="K265" s="10">
        <v>5.170237941363746</v>
      </c>
      <c r="L265" s="10">
        <v>3.8652615574245806</v>
      </c>
      <c r="U265" s="9"/>
      <c r="X265" s="9"/>
    </row>
    <row r="266">
      <c r="A266" s="1" t="s">
        <v>316</v>
      </c>
      <c r="B266" s="1" t="s">
        <v>62</v>
      </c>
      <c r="C266" s="1">
        <v>161.0</v>
      </c>
      <c r="D266" s="3">
        <v>4.639751553</v>
      </c>
      <c r="E266" s="3">
        <v>3.972132118</v>
      </c>
      <c r="F266" s="1">
        <v>656427.0</v>
      </c>
      <c r="G266" s="9">
        <f t="shared" si="1"/>
        <v>161</v>
      </c>
      <c r="H266" s="10" t="str">
        <f>IFERROR(__xludf.DUMMYFUNCTION("if(B266=""- - -"",""Trade"",filter(R:R,Q:Q=B266))"),"AL")</f>
        <v>AL</v>
      </c>
      <c r="I266" s="11">
        <f t="array" ref="I266">index('PLV (min 500)'!F:F,match(F266,'PLV (min 500)'!B:B,0))</f>
        <v>3.37113995</v>
      </c>
      <c r="J266" s="10">
        <v>3.9943412070616424</v>
      </c>
      <c r="K266" s="10">
        <v>1.1745628514528343</v>
      </c>
      <c r="L266" s="10">
        <v>12.322940891136305</v>
      </c>
      <c r="U266" s="9"/>
      <c r="X266" s="9"/>
    </row>
    <row r="267">
      <c r="A267" s="1" t="s">
        <v>317</v>
      </c>
      <c r="B267" s="1" t="s">
        <v>78</v>
      </c>
      <c r="C267" s="1">
        <v>64.1</v>
      </c>
      <c r="D267" s="3">
        <v>3.917099452</v>
      </c>
      <c r="E267" s="3">
        <v>3.176764697</v>
      </c>
      <c r="F267" s="1">
        <v>673929.0</v>
      </c>
      <c r="G267" s="9">
        <f t="shared" si="1"/>
        <v>64.33333333</v>
      </c>
      <c r="H267" s="10" t="str">
        <f>IFERROR(__xludf.DUMMYFUNCTION("if(B267=""- - -"",""Trade"",filter(R:R,Q:Q=B267))"),"AL")</f>
        <v>AL</v>
      </c>
      <c r="I267" s="11">
        <f t="array" ref="I267">index('PLV (min 500)'!F:F,match(F267,'PLV (min 500)'!B:B,0))</f>
        <v>3.37185359</v>
      </c>
      <c r="J267" s="11">
        <v>3.4885725798096616</v>
      </c>
      <c r="K267" s="9">
        <v>4.06983307046674</v>
      </c>
      <c r="L267" s="10">
        <v>4.9011316503891145</v>
      </c>
      <c r="U267" s="9"/>
      <c r="X267" s="9"/>
    </row>
    <row r="268">
      <c r="A268" s="1" t="s">
        <v>318</v>
      </c>
      <c r="B268" s="1" t="s">
        <v>14</v>
      </c>
      <c r="C268" s="1">
        <v>69.2</v>
      </c>
      <c r="D268" s="3">
        <v>3.229665543</v>
      </c>
      <c r="E268" s="3">
        <v>3.716935941</v>
      </c>
      <c r="F268" s="1">
        <v>681982.0</v>
      </c>
      <c r="G268" s="9">
        <f t="shared" si="1"/>
        <v>69.66666667</v>
      </c>
      <c r="H268" s="10" t="str">
        <f>IFERROR(__xludf.DUMMYFUNCTION("if(B268=""- - -"",""Trade"",filter(R:R,Q:Q=B268))"),"NL")</f>
        <v>NL</v>
      </c>
      <c r="I268" s="11">
        <f t="array" ref="I268">index('PLV (min 500)'!F:F,match(F268,'PLV (min 500)'!B:B,0))</f>
        <v>3.373573392</v>
      </c>
      <c r="J268" s="11">
        <v>3.4400582919964617</v>
      </c>
      <c r="K268" s="9">
        <v>4.766662910427203</v>
      </c>
      <c r="L268" s="10">
        <v>5.277857919370501</v>
      </c>
      <c r="U268" s="9"/>
      <c r="X268" s="9"/>
    </row>
    <row r="269">
      <c r="A269" s="1" t="s">
        <v>319</v>
      </c>
      <c r="B269" s="1" t="s">
        <v>46</v>
      </c>
      <c r="C269" s="1">
        <v>54.1</v>
      </c>
      <c r="D269" s="3">
        <v>3.809817043</v>
      </c>
      <c r="E269" s="3">
        <v>4.208725019</v>
      </c>
      <c r="F269" s="1">
        <v>607481.0</v>
      </c>
      <c r="G269" s="9">
        <f t="shared" si="1"/>
        <v>54.33333333</v>
      </c>
      <c r="H269" s="10" t="str">
        <f>IFERROR(__xludf.DUMMYFUNCTION("if(B269=""- - -"",""Trade"",filter(R:R,Q:Q=B269))"),"NL")</f>
        <v>NL</v>
      </c>
      <c r="I269" s="11">
        <f t="array" ref="I269">index('PLV (min 500)'!F:F,match(F269,'PLV (min 500)'!B:B,0))</f>
        <v>3.37838643</v>
      </c>
      <c r="J269" s="11">
        <v>3.798976163926491</v>
      </c>
      <c r="K269" s="9">
        <v>1.5690432812863118</v>
      </c>
      <c r="L269" s="10">
        <v>4.0972549054367144</v>
      </c>
      <c r="U269" s="9"/>
      <c r="X269" s="9"/>
    </row>
    <row r="270">
      <c r="A270" s="1" t="s">
        <v>320</v>
      </c>
      <c r="B270" s="1" t="s">
        <v>60</v>
      </c>
      <c r="C270" s="1">
        <v>96.0</v>
      </c>
      <c r="D270" s="3">
        <v>3.937500117</v>
      </c>
      <c r="E270" s="3">
        <v>4.322540393</v>
      </c>
      <c r="F270" s="1">
        <v>681347.0</v>
      </c>
      <c r="G270" s="9">
        <f t="shared" si="1"/>
        <v>96</v>
      </c>
      <c r="H270" s="10" t="str">
        <f>IFERROR(__xludf.DUMMYFUNCTION("if(B270=""- - -"",""Trade"",filter(R:R,Q:Q=B270))"),"NL")</f>
        <v>NL</v>
      </c>
      <c r="I270" s="11">
        <f t="array" ref="I270">index('PLV (min 500)'!F:F,match(F270,'PLV (min 500)'!B:B,0))</f>
        <v>3.378403219</v>
      </c>
      <c r="J270" s="11">
        <v>3.879481243010511</v>
      </c>
      <c r="K270" s="9">
        <v>1.9255334078878785</v>
      </c>
      <c r="L270" s="10">
        <v>7.270365663663635</v>
      </c>
      <c r="U270" s="9"/>
      <c r="X270" s="9"/>
    </row>
    <row r="271">
      <c r="A271" s="1" t="s">
        <v>321</v>
      </c>
      <c r="B271" s="1" t="s">
        <v>21</v>
      </c>
      <c r="C271" s="1">
        <v>141.0</v>
      </c>
      <c r="D271" s="3">
        <v>5.489361888</v>
      </c>
      <c r="E271" s="3">
        <v>5.380752279</v>
      </c>
      <c r="F271" s="1">
        <v>607200.0</v>
      </c>
      <c r="G271" s="9">
        <f t="shared" si="1"/>
        <v>141</v>
      </c>
      <c r="H271" s="10" t="str">
        <f>IFERROR(__xludf.DUMMYFUNCTION("if(B271=""- - -"",""Trade"",filter(R:R,Q:Q=B271))"),"Trade")</f>
        <v>Trade</v>
      </c>
      <c r="I271" s="11">
        <f t="array" ref="I271">index('PLV (min 500)'!F:F,match(F271,'PLV (min 500)'!B:B,0))</f>
        <v>3.378800489</v>
      </c>
      <c r="J271" s="11">
        <v>4.749638218771259</v>
      </c>
      <c r="K271" s="9">
        <v>-10.804332094083062</v>
      </c>
      <c r="L271" s="10">
        <v>10.672125667417514</v>
      </c>
      <c r="U271" s="9"/>
      <c r="X271" s="9"/>
    </row>
    <row r="272">
      <c r="A272" s="1" t="s">
        <v>322</v>
      </c>
      <c r="B272" s="1" t="s">
        <v>36</v>
      </c>
      <c r="C272" s="1">
        <v>81.1</v>
      </c>
      <c r="D272" s="3">
        <v>4.647541165</v>
      </c>
      <c r="E272" s="3">
        <v>5.225300325</v>
      </c>
      <c r="F272" s="1">
        <v>678368.0</v>
      </c>
      <c r="G272" s="9">
        <f t="shared" si="1"/>
        <v>81.33333333</v>
      </c>
      <c r="H272" s="10" t="str">
        <f>IFERROR(__xludf.DUMMYFUNCTION("if(B272=""- - -"",""Trade"",filter(R:R,Q:Q=B272))"),"NL")</f>
        <v>NL</v>
      </c>
      <c r="I272" s="11">
        <f t="array" ref="I272">index('PLV (min 500)'!F:F,match(F272,'PLV (min 500)'!B:B,0))</f>
        <v>3.379704971</v>
      </c>
      <c r="J272" s="10">
        <v>4.417515486859119</v>
      </c>
      <c r="K272" s="10">
        <v>-3.22161177603051</v>
      </c>
      <c r="L272" s="10">
        <v>6.130214098464011</v>
      </c>
      <c r="U272" s="9"/>
      <c r="X272" s="9"/>
    </row>
    <row r="273">
      <c r="A273" s="1" t="s">
        <v>323</v>
      </c>
      <c r="B273" s="1" t="s">
        <v>36</v>
      </c>
      <c r="C273" s="1">
        <v>95.1</v>
      </c>
      <c r="D273" s="3">
        <v>4.248251975</v>
      </c>
      <c r="E273" s="3">
        <v>3.237639803</v>
      </c>
      <c r="F273" s="1">
        <v>691587.0</v>
      </c>
      <c r="G273" s="9">
        <f t="shared" si="1"/>
        <v>95.33333333</v>
      </c>
      <c r="H273" s="10" t="str">
        <f>IFERROR(__xludf.DUMMYFUNCTION("if(B273=""- - -"",""Trade"",filter(R:R,Q:Q=B273))"),"NL")</f>
        <v>NL</v>
      </c>
      <c r="I273" s="11">
        <f t="array" ref="I273">index('PLV (min 500)'!F:F,match(F273,'PLV (min 500)'!B:B,0))</f>
        <v>3.380015958</v>
      </c>
      <c r="J273" s="10">
        <v>3.6219692453276218</v>
      </c>
      <c r="K273" s="10">
        <v>4.628524974371459</v>
      </c>
      <c r="L273" s="10">
        <v>7.1851647106477055</v>
      </c>
      <c r="U273" s="9"/>
      <c r="X273" s="9"/>
    </row>
    <row r="274">
      <c r="A274" s="1" t="s">
        <v>324</v>
      </c>
      <c r="B274" s="1" t="s">
        <v>21</v>
      </c>
      <c r="C274" s="1">
        <v>45.2</v>
      </c>
      <c r="D274" s="3">
        <v>7.09489061</v>
      </c>
      <c r="E274" s="3">
        <v>5.36149305</v>
      </c>
      <c r="F274" s="1">
        <v>471911.0</v>
      </c>
      <c r="G274" s="9">
        <f t="shared" si="1"/>
        <v>45.66666667</v>
      </c>
      <c r="H274" s="10" t="str">
        <f>IFERROR(__xludf.DUMMYFUNCTION("if(B274=""- - -"",""Trade"",filter(R:R,Q:Q=B274))"),"Trade")</f>
        <v>Trade</v>
      </c>
      <c r="I274" s="11">
        <f t="array" ref="I274">index('PLV (min 500)'!F:F,match(F274,'PLV (min 500)'!B:B,0))</f>
        <v>3.385806701</v>
      </c>
      <c r="J274" s="10">
        <v>5.280730120210357</v>
      </c>
      <c r="K274" s="10">
        <v>-6.130777937056464</v>
      </c>
      <c r="L274" s="10">
        <v>3.3859485701639525</v>
      </c>
      <c r="U274" s="9"/>
      <c r="X274" s="9"/>
    </row>
    <row r="275">
      <c r="A275" s="1" t="s">
        <v>325</v>
      </c>
      <c r="B275" s="1" t="s">
        <v>80</v>
      </c>
      <c r="C275" s="1">
        <v>48.2</v>
      </c>
      <c r="D275" s="3">
        <v>4.25342488</v>
      </c>
      <c r="E275" s="3">
        <v>4.139990627</v>
      </c>
      <c r="F275" s="1">
        <v>676917.0</v>
      </c>
      <c r="G275" s="9">
        <f t="shared" si="1"/>
        <v>48.66666667</v>
      </c>
      <c r="H275" s="10" t="str">
        <f>IFERROR(__xludf.DUMMYFUNCTION("if(B275=""- - -"",""Trade"",filter(R:R,Q:Q=B275))"),"NL")</f>
        <v>NL</v>
      </c>
      <c r="I275" s="11">
        <f t="array" ref="I275">index('PLV (min 500)'!F:F,match(F275,'PLV (min 500)'!B:B,0))</f>
        <v>3.387250603</v>
      </c>
      <c r="J275" s="10">
        <v>3.926888703285242</v>
      </c>
      <c r="K275" s="10">
        <v>0.7128849446279243</v>
      </c>
      <c r="L275" s="10">
        <v>3.6029467713726624</v>
      </c>
      <c r="U275" s="9"/>
      <c r="X275" s="9"/>
    </row>
    <row r="276">
      <c r="A276" s="1" t="s">
        <v>326</v>
      </c>
      <c r="B276" s="1" t="s">
        <v>21</v>
      </c>
      <c r="C276" s="1">
        <v>60.1</v>
      </c>
      <c r="D276" s="3">
        <v>4.475138923</v>
      </c>
      <c r="E276" s="3">
        <v>3.575084524</v>
      </c>
      <c r="F276" s="1">
        <v>606160.0</v>
      </c>
      <c r="G276" s="9">
        <f t="shared" si="1"/>
        <v>60.33333333</v>
      </c>
      <c r="H276" s="10" t="str">
        <f>IFERROR(__xludf.DUMMYFUNCTION("if(B276=""- - -"",""Trade"",filter(R:R,Q:Q=B276))"),"Trade")</f>
        <v>Trade</v>
      </c>
      <c r="I276" s="11">
        <f t="array" ref="I276">index('PLV (min 500)'!F:F,match(F276,'PLV (min 500)'!B:B,0))</f>
        <v>3.39148432</v>
      </c>
      <c r="J276" s="10">
        <v>3.8139025890973635</v>
      </c>
      <c r="K276" s="10">
        <v>1.6433838216942704</v>
      </c>
      <c r="L276" s="10">
        <v>4.464199150049492</v>
      </c>
      <c r="U276" s="9"/>
      <c r="X276" s="9"/>
    </row>
    <row r="277">
      <c r="A277" s="1" t="s">
        <v>327</v>
      </c>
      <c r="B277" s="1" t="s">
        <v>51</v>
      </c>
      <c r="C277" s="1">
        <v>66.1</v>
      </c>
      <c r="D277" s="3">
        <v>1.628140828</v>
      </c>
      <c r="E277" s="3">
        <v>2.489935207</v>
      </c>
      <c r="F277" s="1">
        <v>621242.0</v>
      </c>
      <c r="G277" s="9">
        <f t="shared" si="1"/>
        <v>66.33333333</v>
      </c>
      <c r="H277" s="10" t="str">
        <f>IFERROR(__xludf.DUMMYFUNCTION("if(B277=""- - -"",""Trade"",filter(R:R,Q:Q=B277))"),"NL")</f>
        <v>NL</v>
      </c>
      <c r="I277" s="11">
        <f t="array" ref="I277">index('PLV (min 500)'!F:F,match(F277,'PLV (min 500)'!B:B,0))</f>
        <v>3.39326516</v>
      </c>
      <c r="J277" s="10">
        <v>2.5037803984876628</v>
      </c>
      <c r="K277" s="10">
        <v>11.42956840666283</v>
      </c>
      <c r="L277" s="10">
        <v>4.896796988155161</v>
      </c>
      <c r="U277" s="9"/>
      <c r="X277" s="9"/>
    </row>
    <row r="278">
      <c r="A278" s="1" t="s">
        <v>328</v>
      </c>
      <c r="B278" s="1" t="s">
        <v>64</v>
      </c>
      <c r="C278" s="1">
        <v>36.1</v>
      </c>
      <c r="D278" s="3">
        <v>6.440367874</v>
      </c>
      <c r="E278" s="3">
        <v>5.034549637</v>
      </c>
      <c r="F278" s="1">
        <v>663765.0</v>
      </c>
      <c r="G278" s="9">
        <f t="shared" si="1"/>
        <v>36.33333333</v>
      </c>
      <c r="H278" s="10" t="str">
        <f>IFERROR(__xludf.DUMMYFUNCTION("if(B278=""- - -"",""Trade"",filter(R:R,Q:Q=B278))"),"NL")</f>
        <v>NL</v>
      </c>
      <c r="I278" s="11">
        <f t="array" ref="I278">index('PLV (min 500)'!F:F,match(F278,'PLV (min 500)'!B:B,0))</f>
        <v>3.396327027</v>
      </c>
      <c r="J278" s="10">
        <v>4.957081512757887</v>
      </c>
      <c r="K278" s="10">
        <v>-3.598293623395528</v>
      </c>
      <c r="L278" s="10">
        <v>2.6620660350467458</v>
      </c>
      <c r="U278" s="9"/>
      <c r="X278" s="9"/>
    </row>
    <row r="279">
      <c r="A279" s="1" t="s">
        <v>329</v>
      </c>
      <c r="B279" s="1" t="s">
        <v>21</v>
      </c>
      <c r="C279" s="1">
        <v>132.1</v>
      </c>
      <c r="D279" s="3">
        <v>4.964735779</v>
      </c>
      <c r="E279" s="3">
        <v>5.177731852</v>
      </c>
      <c r="F279" s="1">
        <v>669160.0</v>
      </c>
      <c r="G279" s="9">
        <f t="shared" si="1"/>
        <v>132.3333333</v>
      </c>
      <c r="H279" s="10" t="str">
        <f>IFERROR(__xludf.DUMMYFUNCTION("if(B279=""- - -"",""Trade"",filter(R:R,Q:Q=B279))"),"Trade")</f>
        <v>Trade</v>
      </c>
      <c r="I279" s="11">
        <f t="array" ref="I279">index('PLV (min 500)'!F:F,match(F279,'PLV (min 500)'!B:B,0))</f>
        <v>3.397075118</v>
      </c>
      <c r="J279" s="10">
        <v>4.513180916388477</v>
      </c>
      <c r="K279" s="10">
        <v>-6.6516887838797665</v>
      </c>
      <c r="L279" s="10">
        <v>9.730264098927385</v>
      </c>
      <c r="U279" s="9"/>
      <c r="X279" s="9"/>
    </row>
    <row r="280">
      <c r="A280" s="1" t="s">
        <v>330</v>
      </c>
      <c r="B280" s="1" t="s">
        <v>80</v>
      </c>
      <c r="C280" s="1">
        <v>164.2</v>
      </c>
      <c r="D280" s="3">
        <v>5.684210746</v>
      </c>
      <c r="E280" s="3">
        <v>5.941226092</v>
      </c>
      <c r="F280" s="1">
        <v>680730.0</v>
      </c>
      <c r="G280" s="9">
        <f t="shared" si="1"/>
        <v>164.6666667</v>
      </c>
      <c r="H280" s="10" t="str">
        <f>IFERROR(__xludf.DUMMYFUNCTION("if(B280=""- - -"",""Trade"",filter(R:R,Q:Q=B280))"),"NL")</f>
        <v>NL</v>
      </c>
      <c r="I280" s="11">
        <f t="array" ref="I280">index('PLV (min 500)'!F:F,match(F280,'PLV (min 500)'!B:B,0))</f>
        <v>3.397757229</v>
      </c>
      <c r="J280" s="11">
        <v>5.007731355544963</v>
      </c>
      <c r="K280" s="9">
        <v>-17.290832064498108</v>
      </c>
      <c r="L280" s="10">
        <v>12.082251450905648</v>
      </c>
      <c r="U280" s="9"/>
      <c r="X280" s="9"/>
    </row>
    <row r="281">
      <c r="A281" s="1" t="s">
        <v>331</v>
      </c>
      <c r="B281" s="1" t="s">
        <v>62</v>
      </c>
      <c r="C281" s="1">
        <v>90.2</v>
      </c>
      <c r="D281" s="3">
        <v>4.367647181</v>
      </c>
      <c r="E281" s="3">
        <v>4.646950318</v>
      </c>
      <c r="F281" s="1">
        <v>672456.0</v>
      </c>
      <c r="G281" s="9">
        <f t="shared" si="1"/>
        <v>90.66666667</v>
      </c>
      <c r="H281" s="10" t="str">
        <f>IFERROR(__xludf.DUMMYFUNCTION("if(B281=""- - -"",""Trade"",filter(R:R,Q:Q=B281))"),"AL")</f>
        <v>AL</v>
      </c>
      <c r="I281" s="11">
        <f t="array" ref="I281">index('PLV (min 500)'!F:F,match(F281,'PLV (min 500)'!B:B,0))</f>
        <v>3.398597504</v>
      </c>
      <c r="J281" s="10">
        <v>4.137731667504679</v>
      </c>
      <c r="K281" s="10">
        <v>-0.7790440454357836</v>
      </c>
      <c r="L281" s="10">
        <v>6.628722798114873</v>
      </c>
      <c r="U281" s="9"/>
      <c r="X281" s="9"/>
    </row>
    <row r="282">
      <c r="A282" s="1" t="s">
        <v>332</v>
      </c>
      <c r="B282" s="1" t="s">
        <v>40</v>
      </c>
      <c r="C282" s="1">
        <v>104.2</v>
      </c>
      <c r="D282" s="3">
        <v>3.181528798</v>
      </c>
      <c r="E282" s="3">
        <v>3.863288189</v>
      </c>
      <c r="F282" s="1">
        <v>641778.0</v>
      </c>
      <c r="G282" s="9">
        <f t="shared" si="1"/>
        <v>104.6666667</v>
      </c>
      <c r="H282" s="10" t="str">
        <f>IFERROR(__xludf.DUMMYFUNCTION("if(B282=""- - -"",""Trade"",filter(R:R,Q:Q=B282))"),"AL")</f>
        <v>AL</v>
      </c>
      <c r="I282" s="11">
        <f t="array" ref="I282">index('PLV (min 500)'!F:F,match(F282,'PLV (min 500)'!B:B,0))</f>
        <v>3.401061105</v>
      </c>
      <c r="J282" s="10">
        <v>3.481959364017405</v>
      </c>
      <c r="K282" s="10">
        <v>6.692426029931819</v>
      </c>
      <c r="L282" s="10">
        <v>7.629048094839904</v>
      </c>
      <c r="U282" s="9"/>
      <c r="X282" s="9"/>
    </row>
    <row r="283">
      <c r="A283" s="1" t="s">
        <v>333</v>
      </c>
      <c r="B283" s="1" t="s">
        <v>16</v>
      </c>
      <c r="C283" s="1">
        <v>41.0</v>
      </c>
      <c r="D283" s="3">
        <v>3.512195776</v>
      </c>
      <c r="E283" s="3">
        <v>3.697956415</v>
      </c>
      <c r="F283" s="1">
        <v>681892.0</v>
      </c>
      <c r="G283" s="9">
        <f t="shared" si="1"/>
        <v>41</v>
      </c>
      <c r="H283" s="10" t="str">
        <f>IFERROR(__xludf.DUMMYFUNCTION("if(B283=""- - -"",""Trade"",filter(R:R,Q:Q=B283))"),"AL")</f>
        <v>AL</v>
      </c>
      <c r="I283" s="11">
        <f t="array" ref="I283">index('PLV (min 500)'!F:F,match(F283,'PLV (min 500)'!B:B,0))</f>
        <v>3.402457902</v>
      </c>
      <c r="J283" s="10">
        <v>3.537536697813008</v>
      </c>
      <c r="K283" s="10">
        <v>2.3801105988518505</v>
      </c>
      <c r="L283" s="10">
        <v>2.9954695555555575</v>
      </c>
      <c r="U283" s="9"/>
      <c r="X283" s="9"/>
    </row>
    <row r="284">
      <c r="A284" s="1" t="s">
        <v>334</v>
      </c>
      <c r="B284" s="1" t="s">
        <v>54</v>
      </c>
      <c r="C284" s="1">
        <v>46.0</v>
      </c>
      <c r="D284" s="3">
        <v>5.673914455</v>
      </c>
      <c r="E284" s="3">
        <v>4.566015311</v>
      </c>
      <c r="F284" s="1">
        <v>682254.0</v>
      </c>
      <c r="G284" s="9">
        <f t="shared" si="1"/>
        <v>46</v>
      </c>
      <c r="H284" s="10" t="str">
        <f>IFERROR(__xludf.DUMMYFUNCTION("if(B284=""- - -"",""Trade"",filter(R:R,Q:Q=B284))"),"AL")</f>
        <v>AL</v>
      </c>
      <c r="I284" s="11">
        <f t="array" ref="I284">index('PLV (min 500)'!F:F,match(F284,'PLV (min 500)'!B:B,0))</f>
        <v>3.402876131</v>
      </c>
      <c r="J284" s="10">
        <v>4.547601965527577</v>
      </c>
      <c r="K284" s="10">
        <v>-2.492187823807619</v>
      </c>
      <c r="L284" s="10">
        <v>3.358633110354918</v>
      </c>
      <c r="U284" s="9"/>
      <c r="X284" s="9"/>
    </row>
    <row r="285">
      <c r="A285" s="1" t="s">
        <v>335</v>
      </c>
      <c r="B285" s="1" t="s">
        <v>78</v>
      </c>
      <c r="C285" s="1">
        <v>142.2</v>
      </c>
      <c r="D285" s="3">
        <v>4.100467582</v>
      </c>
      <c r="E285" s="3">
        <v>5.114162644</v>
      </c>
      <c r="F285" s="1">
        <v>663436.0</v>
      </c>
      <c r="G285" s="9">
        <f t="shared" si="1"/>
        <v>142.6666667</v>
      </c>
      <c r="H285" s="10" t="str">
        <f>IFERROR(__xludf.DUMMYFUNCTION("if(B285=""- - -"",""Trade"",filter(R:R,Q:Q=B285))"),"AL")</f>
        <v>AL</v>
      </c>
      <c r="I285" s="11">
        <f t="array" ref="I285">index('PLV (min 500)'!F:F,match(F285,'PLV (min 500)'!B:B,0))</f>
        <v>3.410641451</v>
      </c>
      <c r="J285" s="11">
        <v>4.208423892253088</v>
      </c>
      <c r="K285" s="9">
        <v>-2.345097497598798</v>
      </c>
      <c r="L285" s="10">
        <v>10.259865078003598</v>
      </c>
      <c r="U285" s="9"/>
      <c r="X285" s="9"/>
    </row>
    <row r="286">
      <c r="A286" s="1" t="s">
        <v>336</v>
      </c>
      <c r="B286" s="1" t="s">
        <v>52</v>
      </c>
      <c r="C286" s="1">
        <v>171.0</v>
      </c>
      <c r="D286" s="3">
        <v>4.105263295</v>
      </c>
      <c r="E286" s="3">
        <v>4.292226043</v>
      </c>
      <c r="F286" s="1">
        <v>605488.0</v>
      </c>
      <c r="G286" s="9">
        <f t="shared" si="1"/>
        <v>171</v>
      </c>
      <c r="H286" s="10" t="str">
        <f>IFERROR(__xludf.DUMMYFUNCTION("if(B286=""- - -"",""Trade"",filter(R:R,Q:Q=B286))"),"AL")</f>
        <v>AL</v>
      </c>
      <c r="I286" s="11">
        <f t="array" ref="I286">index('PLV (min 500)'!F:F,match(F286,'PLV (min 500)'!B:B,0))</f>
        <v>3.419079158</v>
      </c>
      <c r="J286" s="10">
        <v>3.938856165271586</v>
      </c>
      <c r="K286" s="10">
        <v>2.3017328598398565</v>
      </c>
      <c r="L286" s="10">
        <v>12.177496001519579</v>
      </c>
      <c r="U286" s="9"/>
      <c r="X286" s="9"/>
    </row>
    <row r="287">
      <c r="A287" s="1" t="s">
        <v>337</v>
      </c>
      <c r="B287" s="1" t="s">
        <v>72</v>
      </c>
      <c r="C287" s="1">
        <v>43.0</v>
      </c>
      <c r="D287" s="3">
        <v>6.279070324</v>
      </c>
      <c r="E287" s="3">
        <v>4.432498286</v>
      </c>
      <c r="F287" s="1">
        <v>700669.0</v>
      </c>
      <c r="G287" s="9">
        <f t="shared" si="1"/>
        <v>43</v>
      </c>
      <c r="H287" s="10" t="str">
        <f>IFERROR(__xludf.DUMMYFUNCTION("if(B287=""- - -"",""Trade"",filter(R:R,Q:Q=B287))"),"NL")</f>
        <v>NL</v>
      </c>
      <c r="I287" s="11">
        <f t="array" ref="I287">index('PLV (min 500)'!F:F,match(F287,'PLV (min 500)'!B:B,0))</f>
        <v>3.421708326</v>
      </c>
      <c r="J287" s="10">
        <v>4.711092311833941</v>
      </c>
      <c r="K287" s="10">
        <v>-3.110774378762163</v>
      </c>
      <c r="L287" s="10">
        <v>3.049615778157966</v>
      </c>
      <c r="U287" s="9"/>
      <c r="X287" s="9"/>
    </row>
    <row r="288">
      <c r="A288" s="1" t="s">
        <v>338</v>
      </c>
      <c r="B288" s="1" t="s">
        <v>60</v>
      </c>
      <c r="C288" s="1">
        <v>47.2</v>
      </c>
      <c r="D288" s="3">
        <v>2.454545782</v>
      </c>
      <c r="E288" s="3">
        <v>3.310735213</v>
      </c>
      <c r="F288" s="1">
        <v>676755.0</v>
      </c>
      <c r="G288" s="9">
        <f t="shared" si="1"/>
        <v>47.66666667</v>
      </c>
      <c r="H288" s="10" t="str">
        <f>IFERROR(__xludf.DUMMYFUNCTION("if(B288=""- - -"",""Trade"",filter(R:R,Q:Q=B288))"),"NL")</f>
        <v>NL</v>
      </c>
      <c r="I288" s="11">
        <f t="array" ref="I288">index('PLV (min 500)'!F:F,match(F288,'PLV (min 500)'!B:B,0))</f>
        <v>3.424600699</v>
      </c>
      <c r="J288" s="10">
        <v>3.0632938981401465</v>
      </c>
      <c r="K288" s="10">
        <v>5.227169778642786</v>
      </c>
      <c r="L288" s="10">
        <v>3.3323163319283546</v>
      </c>
      <c r="U288" s="9"/>
      <c r="X288" s="9"/>
    </row>
    <row r="289">
      <c r="A289" s="1" t="s">
        <v>339</v>
      </c>
      <c r="B289" s="1" t="s">
        <v>39</v>
      </c>
      <c r="C289" s="1">
        <v>185.1</v>
      </c>
      <c r="D289" s="3">
        <v>2.428057621</v>
      </c>
      <c r="E289" s="3">
        <v>3.152061313</v>
      </c>
      <c r="F289" s="1">
        <v>686613.0</v>
      </c>
      <c r="G289" s="9">
        <f t="shared" si="1"/>
        <v>185.3333333</v>
      </c>
      <c r="H289" s="10" t="str">
        <f>IFERROR(__xludf.DUMMYFUNCTION("if(B289=""- - -"",""Trade"",filter(R:R,Q:Q=B289))"),"AL")</f>
        <v>AL</v>
      </c>
      <c r="I289" s="11">
        <f t="array" ref="I289">index('PLV (min 500)'!F:F,match(F289,'PLV (min 500)'!B:B,0))</f>
        <v>3.425189067</v>
      </c>
      <c r="J289" s="11">
        <v>3.0017693335238014</v>
      </c>
      <c r="K289" s="9">
        <v>21.764277373860477</v>
      </c>
      <c r="L289" s="10">
        <v>13.055944864181459</v>
      </c>
      <c r="U289" s="9"/>
      <c r="X289" s="9"/>
    </row>
    <row r="290">
      <c r="A290" s="1" t="s">
        <v>340</v>
      </c>
      <c r="B290" s="1" t="s">
        <v>37</v>
      </c>
      <c r="C290" s="1">
        <v>49.2</v>
      </c>
      <c r="D290" s="3">
        <v>5.617450384</v>
      </c>
      <c r="E290" s="3">
        <v>3.80896554</v>
      </c>
      <c r="F290" s="1">
        <v>668984.0</v>
      </c>
      <c r="G290" s="9">
        <f t="shared" si="1"/>
        <v>49.66666667</v>
      </c>
      <c r="H290" s="10" t="str">
        <f>IFERROR(__xludf.DUMMYFUNCTION("if(B290=""- - -"",""Trade"",filter(R:R,Q:Q=B290))"),"AL")</f>
        <v>AL</v>
      </c>
      <c r="I290" s="11">
        <f t="array" ref="I290">index('PLV (min 500)'!F:F,match(F290,'PLV (min 500)'!B:B,0))</f>
        <v>3.428100121</v>
      </c>
      <c r="J290" s="10">
        <v>4.2848386816631425</v>
      </c>
      <c r="K290" s="10">
        <v>-1.2291181264251814</v>
      </c>
      <c r="L290" s="10">
        <v>3.454386005257792</v>
      </c>
      <c r="U290" s="9"/>
      <c r="X290" s="9"/>
    </row>
    <row r="291">
      <c r="A291" s="1" t="s">
        <v>341</v>
      </c>
      <c r="B291" s="1" t="s">
        <v>34</v>
      </c>
      <c r="C291" s="1">
        <v>106.1</v>
      </c>
      <c r="D291" s="3">
        <v>5.924765174</v>
      </c>
      <c r="E291" s="3">
        <v>4.52975883</v>
      </c>
      <c r="F291" s="1">
        <v>676962.0</v>
      </c>
      <c r="G291" s="9">
        <f t="shared" si="1"/>
        <v>106.3333333</v>
      </c>
      <c r="H291" s="10" t="str">
        <f>IFERROR(__xludf.DUMMYFUNCTION("if(B291=""- - -"",""Trade"",filter(R:R,Q:Q=B291))"),"NL")</f>
        <v>NL</v>
      </c>
      <c r="I291" s="11">
        <f t="array" ref="I291">index('PLV (min 500)'!F:F,match(F291,'PLV (min 500)'!B:B,0))</f>
        <v>3.428544893</v>
      </c>
      <c r="J291" s="10">
        <v>4.627689632432901</v>
      </c>
      <c r="K291" s="10">
        <v>-6.692430000125647</v>
      </c>
      <c r="L291" s="10">
        <v>7.444154091223073</v>
      </c>
      <c r="U291" s="9"/>
      <c r="X291" s="9"/>
    </row>
    <row r="292">
      <c r="A292" s="1" t="s">
        <v>342</v>
      </c>
      <c r="B292" s="1" t="s">
        <v>26</v>
      </c>
      <c r="C292" s="1">
        <v>65.1</v>
      </c>
      <c r="D292" s="3">
        <v>1.928571579</v>
      </c>
      <c r="E292" s="3">
        <v>2.753047492</v>
      </c>
      <c r="F292" s="1">
        <v>592094.0</v>
      </c>
      <c r="G292" s="9">
        <f t="shared" si="1"/>
        <v>65.33333333</v>
      </c>
      <c r="H292" s="10" t="str">
        <f>IFERROR(__xludf.DUMMYFUNCTION("if(B292=""- - -"",""Trade"",filter(R:R,Q:Q=B292))"),"NL")</f>
        <v>NL</v>
      </c>
      <c r="I292" s="11">
        <f t="array" ref="I292">index('PLV (min 500)'!F:F,match(F292,'PLV (min 500)'!B:B,0))</f>
        <v>3.435925913</v>
      </c>
      <c r="J292" s="11">
        <v>2.7058483280066277</v>
      </c>
      <c r="K292" s="9">
        <v>9.795030427418723</v>
      </c>
      <c r="L292" s="10">
        <v>4.514135895822843</v>
      </c>
      <c r="U292" s="9"/>
      <c r="X292" s="9"/>
    </row>
    <row r="293">
      <c r="A293" s="1" t="s">
        <v>343</v>
      </c>
      <c r="B293" s="1" t="s">
        <v>37</v>
      </c>
      <c r="C293" s="1">
        <v>90.1</v>
      </c>
      <c r="D293" s="3">
        <v>5.678967109</v>
      </c>
      <c r="E293" s="3">
        <v>5.297150184</v>
      </c>
      <c r="F293" s="1">
        <v>682243.0</v>
      </c>
      <c r="G293" s="9">
        <f t="shared" si="1"/>
        <v>90.33333333</v>
      </c>
      <c r="H293" s="10" t="str">
        <f>IFERROR(__xludf.DUMMYFUNCTION("if(B293=""- - -"",""Trade"",filter(R:R,Q:Q=B293))"),"AL")</f>
        <v>AL</v>
      </c>
      <c r="I293" s="11">
        <f t="array" ref="I293">index('PLV (min 500)'!F:F,match(F293,'PLV (min 500)'!B:B,0))</f>
        <v>3.43769679</v>
      </c>
      <c r="J293" s="11">
        <v>4.804604694252231</v>
      </c>
      <c r="K293" s="9">
        <v>-7.454320328014006</v>
      </c>
      <c r="L293" s="10">
        <v>6.229946582546883</v>
      </c>
      <c r="U293" s="9"/>
      <c r="X293" s="9"/>
    </row>
    <row r="294">
      <c r="A294" s="1" t="s">
        <v>344</v>
      </c>
      <c r="B294" s="1" t="s">
        <v>58</v>
      </c>
      <c r="C294" s="1">
        <v>162.1</v>
      </c>
      <c r="D294" s="3">
        <v>4.435318414</v>
      </c>
      <c r="E294" s="3">
        <v>4.571613834</v>
      </c>
      <c r="F294" s="1">
        <v>701542.0</v>
      </c>
      <c r="G294" s="9">
        <f t="shared" si="1"/>
        <v>162.3333333</v>
      </c>
      <c r="H294" s="10" t="str">
        <f>IFERROR(__xludf.DUMMYFUNCTION("if(B294=""- - -"",""Trade"",filter(R:R,Q:Q=B294))"),"AL")</f>
        <v>AL</v>
      </c>
      <c r="I294" s="11">
        <f t="array" ref="I294">index('PLV (min 500)'!F:F,match(F294,'PLV (min 500)'!B:B,0))</f>
        <v>3.440598025</v>
      </c>
      <c r="J294" s="10">
        <v>4.149176757528046</v>
      </c>
      <c r="K294" s="10">
        <v>-1.6061724883662625</v>
      </c>
      <c r="L294" s="10">
        <v>11.156117801656798</v>
      </c>
      <c r="U294" s="9"/>
      <c r="X294" s="9"/>
    </row>
    <row r="295">
      <c r="A295" s="1" t="s">
        <v>345</v>
      </c>
      <c r="B295" s="1" t="s">
        <v>66</v>
      </c>
      <c r="C295" s="1">
        <v>73.2</v>
      </c>
      <c r="D295" s="3">
        <v>2.443439251</v>
      </c>
      <c r="E295" s="3">
        <v>4.337801806</v>
      </c>
      <c r="F295" s="1">
        <v>663574.0</v>
      </c>
      <c r="G295" s="9">
        <f t="shared" si="1"/>
        <v>73.66666667</v>
      </c>
      <c r="H295" s="10" t="str">
        <f>IFERROR(__xludf.DUMMYFUNCTION("if(B295=""- - -"",""Trade"",filter(R:R,Q:Q=B295))"),"NL")</f>
        <v>NL</v>
      </c>
      <c r="I295" s="11">
        <f t="array" ref="I295">index('PLV (min 500)'!F:F,match(F295,'PLV (min 500)'!B:B,0))</f>
        <v>3.444545281</v>
      </c>
      <c r="J295" s="10">
        <v>3.4085954459048113</v>
      </c>
      <c r="K295" s="10">
        <v>5.298090373307532</v>
      </c>
      <c r="L295" s="10">
        <v>5.005698383522599</v>
      </c>
      <c r="U295" s="9"/>
      <c r="X295" s="9"/>
    </row>
    <row r="296">
      <c r="A296" s="1" t="s">
        <v>346</v>
      </c>
      <c r="B296" s="1" t="s">
        <v>21</v>
      </c>
      <c r="C296" s="1">
        <v>66.0</v>
      </c>
      <c r="D296" s="3">
        <v>4.363637372</v>
      </c>
      <c r="E296" s="3">
        <v>4.105413127</v>
      </c>
      <c r="F296" s="1">
        <v>660853.0</v>
      </c>
      <c r="G296" s="9">
        <f t="shared" si="1"/>
        <v>66</v>
      </c>
      <c r="H296" s="10" t="str">
        <f>IFERROR(__xludf.DUMMYFUNCTION("if(B296=""- - -"",""Trade"",filter(R:R,Q:Q=B296))"),"Trade")</f>
        <v>Trade</v>
      </c>
      <c r="I296" s="11">
        <f t="array" ref="I296">index('PLV (min 500)'!F:F,match(F296,'PLV (min 500)'!B:B,0))</f>
        <v>3.447800318</v>
      </c>
      <c r="J296" s="10">
        <v>3.97228360570986</v>
      </c>
      <c r="K296" s="10">
        <v>0.64325355812769</v>
      </c>
      <c r="L296" s="10">
        <v>4.489464333716421</v>
      </c>
      <c r="U296" s="9"/>
      <c r="X296" s="9"/>
    </row>
    <row r="297">
      <c r="A297" s="1" t="s">
        <v>347</v>
      </c>
      <c r="B297" s="1" t="s">
        <v>68</v>
      </c>
      <c r="C297" s="1">
        <v>112.1</v>
      </c>
      <c r="D297" s="3">
        <v>5.207715635</v>
      </c>
      <c r="E297" s="3">
        <v>5.442941823</v>
      </c>
      <c r="F297" s="1">
        <v>700249.0</v>
      </c>
      <c r="G297" s="9">
        <f t="shared" si="1"/>
        <v>112.3333333</v>
      </c>
      <c r="H297" s="10" t="str">
        <f>IFERROR(__xludf.DUMMYFUNCTION("if(B297=""- - -"",""Trade"",filter(R:R,Q:Q=B297))"),"AL")</f>
        <v>AL</v>
      </c>
      <c r="I297" s="11">
        <f t="array" ref="I297">index('PLV (min 500)'!F:F,match(F297,'PLV (min 500)'!B:B,0))</f>
        <v>3.448972389</v>
      </c>
      <c r="J297" s="11">
        <v>4.699876615547387</v>
      </c>
      <c r="K297" s="9">
        <v>-7.970018733651347</v>
      </c>
      <c r="L297" s="10">
        <v>7.610688359245966</v>
      </c>
      <c r="U297" s="9"/>
      <c r="X297" s="9"/>
    </row>
    <row r="298">
      <c r="A298" s="1" t="s">
        <v>348</v>
      </c>
      <c r="B298" s="1" t="s">
        <v>21</v>
      </c>
      <c r="C298" s="1">
        <v>43.1</v>
      </c>
      <c r="D298" s="3">
        <v>6.230770099</v>
      </c>
      <c r="E298" s="3">
        <v>5.527998716</v>
      </c>
      <c r="F298" s="1">
        <v>672578.0</v>
      </c>
      <c r="G298" s="9">
        <f t="shared" si="1"/>
        <v>43.33333333</v>
      </c>
      <c r="H298" s="10" t="str">
        <f>IFERROR(__xludf.DUMMYFUNCTION("if(B298=""- - -"",""Trade"",filter(R:R,Q:Q=B298))"),"Trade")</f>
        <v>Trade</v>
      </c>
      <c r="I298" s="11">
        <f t="array" ref="I298">index('PLV (min 500)'!F:F,match(F298,'PLV (min 500)'!B:B,0))</f>
        <v>3.449842546</v>
      </c>
      <c r="J298" s="10">
        <v>5.069537120234237</v>
      </c>
      <c r="K298" s="10">
        <v>-4.834561098010627</v>
      </c>
      <c r="L298" s="10">
        <v>2.9219762533570073</v>
      </c>
      <c r="U298" s="9"/>
      <c r="X298" s="9"/>
    </row>
    <row r="299">
      <c r="A299" s="1" t="s">
        <v>349</v>
      </c>
      <c r="B299" s="1" t="s">
        <v>56</v>
      </c>
      <c r="C299" s="1">
        <v>43.1</v>
      </c>
      <c r="D299" s="3">
        <v>6.02307763</v>
      </c>
      <c r="E299" s="3">
        <v>5.943522553</v>
      </c>
      <c r="F299" s="1">
        <v>676961.0</v>
      </c>
      <c r="G299" s="9">
        <f t="shared" si="1"/>
        <v>43.33333333</v>
      </c>
      <c r="H299" s="10" t="str">
        <f>IFERROR(__xludf.DUMMYFUNCTION("if(B299=""- - -"",""Trade"",filter(R:R,Q:Q=B299))"),"AL")</f>
        <v>AL</v>
      </c>
      <c r="I299" s="11">
        <f t="array" ref="I299">index('PLV (min 500)'!F:F,match(F299,'PLV (min 500)'!B:B,0))</f>
        <v>3.456273531</v>
      </c>
      <c r="J299" s="11">
        <v>5.140957904598606</v>
      </c>
      <c r="K299" s="9">
        <v>-5.176587298688882</v>
      </c>
      <c r="L299" s="10">
        <v>2.891178980300028</v>
      </c>
      <c r="U299" s="9"/>
      <c r="X299" s="9"/>
    </row>
    <row r="300">
      <c r="A300" s="1" t="s">
        <v>350</v>
      </c>
      <c r="B300" s="1" t="s">
        <v>52</v>
      </c>
      <c r="C300" s="1">
        <v>38.2</v>
      </c>
      <c r="D300" s="3">
        <v>4.189655241</v>
      </c>
      <c r="E300" s="3">
        <v>3.631983755</v>
      </c>
      <c r="F300" s="1">
        <v>678022.0</v>
      </c>
      <c r="G300" s="9">
        <f t="shared" si="1"/>
        <v>38.66666667</v>
      </c>
      <c r="H300" s="10" t="str">
        <f>IFERROR(__xludf.DUMMYFUNCTION("if(B300=""- - -"",""Trade"",filter(R:R,Q:Q=B300))"),"AL")</f>
        <v>AL</v>
      </c>
      <c r="I300" s="11">
        <f t="array" ref="I300">index('PLV (min 500)'!F:F,match(F300,'PLV (min 500)'!B:B,0))</f>
        <v>3.460065362</v>
      </c>
      <c r="J300" s="10">
        <v>3.7605681193165506</v>
      </c>
      <c r="K300" s="10">
        <v>1.270921982456417</v>
      </c>
      <c r="L300" s="10">
        <v>2.5463892415025837</v>
      </c>
      <c r="U300" s="9"/>
      <c r="X300" s="9"/>
    </row>
    <row r="301">
      <c r="A301" s="1" t="s">
        <v>351</v>
      </c>
      <c r="B301" s="1" t="s">
        <v>33</v>
      </c>
      <c r="C301" s="1">
        <v>42.1</v>
      </c>
      <c r="D301" s="3">
        <v>4.889764147</v>
      </c>
      <c r="E301" s="3">
        <v>5.64936532</v>
      </c>
      <c r="F301" s="1">
        <v>689017.0</v>
      </c>
      <c r="G301" s="9">
        <f t="shared" si="1"/>
        <v>42.33333333</v>
      </c>
      <c r="H301" s="10" t="str">
        <f>IFERROR(__xludf.DUMMYFUNCTION("if(B301=""- - -"",""Trade"",filter(R:R,Q:Q=B301))"),"NL")</f>
        <v>NL</v>
      </c>
      <c r="I301" s="11">
        <f t="array" ref="I301">index('PLV (min 500)'!F:F,match(F301,'PLV (min 500)'!B:B,0))</f>
        <v>3.465009071</v>
      </c>
      <c r="J301" s="10">
        <v>4.668046179188674</v>
      </c>
      <c r="K301" s="10">
        <v>-2.844304904871466</v>
      </c>
      <c r="L301" s="10">
        <v>2.7832353476856038</v>
      </c>
      <c r="U301" s="9"/>
      <c r="X301" s="9"/>
    </row>
    <row r="302">
      <c r="A302" s="1" t="s">
        <v>352</v>
      </c>
      <c r="B302" s="1" t="s">
        <v>75</v>
      </c>
      <c r="C302" s="1">
        <v>75.1</v>
      </c>
      <c r="D302" s="3">
        <v>6.331858835</v>
      </c>
      <c r="E302" s="3">
        <v>5.887727062</v>
      </c>
      <c r="F302" s="1">
        <v>685299.0</v>
      </c>
      <c r="G302" s="9">
        <f t="shared" si="1"/>
        <v>75.33333333</v>
      </c>
      <c r="H302" s="10" t="str">
        <f>IFERROR(__xludf.DUMMYFUNCTION("if(B302=""- - -"",""Trade"",filter(R:R,Q:Q=B302))"),"NL")</f>
        <v>NL</v>
      </c>
      <c r="I302" s="11">
        <f t="array" ref="I302">index('PLV (min 500)'!F:F,match(F302,'PLV (min 500)'!B:B,0))</f>
        <v>3.473815341</v>
      </c>
      <c r="J302" s="11">
        <v>5.2311337459385205</v>
      </c>
      <c r="K302" s="9">
        <v>-9.772460479998102</v>
      </c>
      <c r="L302" s="10">
        <v>4.891385322750147</v>
      </c>
      <c r="U302" s="9"/>
      <c r="X302" s="9"/>
    </row>
    <row r="303">
      <c r="A303" s="1" t="s">
        <v>353</v>
      </c>
      <c r="B303" s="1" t="s">
        <v>66</v>
      </c>
      <c r="C303" s="1">
        <v>169.2</v>
      </c>
      <c r="D303" s="3">
        <v>4.031434426</v>
      </c>
      <c r="E303" s="3">
        <v>4.261006064</v>
      </c>
      <c r="F303" s="1">
        <v>663903.0</v>
      </c>
      <c r="G303" s="9">
        <f t="shared" si="1"/>
        <v>169.6666667</v>
      </c>
      <c r="H303" s="10" t="str">
        <f>IFERROR(__xludf.DUMMYFUNCTION("if(B303=""- - -"",""Trade"",filter(R:R,Q:Q=B303))"),"NL")</f>
        <v>NL</v>
      </c>
      <c r="I303" s="11">
        <f t="array" ref="I303">index('PLV (min 500)'!F:F,match(F303,'PLV (min 500)'!B:B,0))</f>
        <v>3.47927087</v>
      </c>
      <c r="J303" s="11">
        <v>3.9239037867415405</v>
      </c>
      <c r="K303" s="9">
        <v>2.558608809259031</v>
      </c>
      <c r="L303" s="10">
        <v>10.917707639777127</v>
      </c>
      <c r="U303" s="9"/>
      <c r="X303" s="9"/>
    </row>
    <row r="304">
      <c r="A304" s="1" t="s">
        <v>354</v>
      </c>
      <c r="B304" s="1" t="s">
        <v>80</v>
      </c>
      <c r="C304" s="1">
        <v>159.2</v>
      </c>
      <c r="D304" s="3">
        <v>4.171190245</v>
      </c>
      <c r="E304" s="3">
        <v>4.323833233</v>
      </c>
      <c r="F304" s="1">
        <v>669022.0</v>
      </c>
      <c r="G304" s="9">
        <f t="shared" si="1"/>
        <v>159.6666667</v>
      </c>
      <c r="H304" s="10" t="str">
        <f>IFERROR(__xludf.DUMMYFUNCTION("if(B304=""- - -"",""Trade"",filter(R:R,Q:Q=B304))"),"NL")</f>
        <v>NL</v>
      </c>
      <c r="I304" s="11">
        <f t="array" ref="I304">index('PLV (min 500)'!F:F,match(F304,'PLV (min 500)'!B:B,0))</f>
        <v>3.48282171</v>
      </c>
      <c r="J304" s="10">
        <v>3.992615062674323</v>
      </c>
      <c r="K304" s="10">
        <v>1.1919646691386374</v>
      </c>
      <c r="L304" s="10">
        <v>10.209642640482604</v>
      </c>
      <c r="U304" s="9"/>
      <c r="X304" s="9"/>
    </row>
    <row r="305">
      <c r="A305" s="1" t="s">
        <v>355</v>
      </c>
      <c r="B305" s="1" t="s">
        <v>60</v>
      </c>
      <c r="C305" s="1">
        <v>40.1</v>
      </c>
      <c r="D305" s="3">
        <v>3.570248046</v>
      </c>
      <c r="E305" s="3">
        <v>4.162816984</v>
      </c>
      <c r="F305" s="1">
        <v>670912.0</v>
      </c>
      <c r="G305" s="9">
        <f t="shared" si="1"/>
        <v>40.33333333</v>
      </c>
      <c r="H305" s="10" t="str">
        <f>IFERROR(__xludf.DUMMYFUNCTION("if(B305=""- - -"",""Trade"",filter(R:R,Q:Q=B305))"),"NL")</f>
        <v>NL</v>
      </c>
      <c r="I305" s="11">
        <f t="array" ref="I305">index('PLV (min 500)'!F:F,match(F305,'PLV (min 500)'!B:B,0))</f>
        <v>3.48636786</v>
      </c>
      <c r="J305" s="10">
        <v>3.7398109631776486</v>
      </c>
      <c r="K305" s="10">
        <v>1.4266200418418085</v>
      </c>
      <c r="L305" s="10">
        <v>2.555849870303209</v>
      </c>
      <c r="U305" s="9"/>
      <c r="X305" s="9"/>
    </row>
    <row r="306">
      <c r="A306" s="1" t="s">
        <v>356</v>
      </c>
      <c r="B306" s="1" t="s">
        <v>78</v>
      </c>
      <c r="C306" s="1">
        <v>134.1</v>
      </c>
      <c r="D306" s="3">
        <v>4.220843712</v>
      </c>
      <c r="E306" s="3">
        <v>4.934623491</v>
      </c>
      <c r="F306" s="1">
        <v>680732.0</v>
      </c>
      <c r="G306" s="9">
        <f t="shared" si="1"/>
        <v>134.3333333</v>
      </c>
      <c r="H306" s="10" t="str">
        <f>IFERROR(__xludf.DUMMYFUNCTION("if(B306=""- - -"",""Trade"",filter(R:R,Q:Q=B306))"),"AL")</f>
        <v>AL</v>
      </c>
      <c r="I306" s="11">
        <f t="array" ref="I306">index('PLV (min 500)'!F:F,match(F306,'PLV (min 500)'!B:B,0))</f>
        <v>3.487939258</v>
      </c>
      <c r="J306" s="10">
        <v>4.214468820426963</v>
      </c>
      <c r="K306" s="10">
        <v>-2.301585424361753</v>
      </c>
      <c r="L306" s="10">
        <v>8.52370505161474</v>
      </c>
      <c r="U306" s="9"/>
      <c r="X306" s="9"/>
    </row>
    <row r="307">
      <c r="A307" s="1" t="s">
        <v>357</v>
      </c>
      <c r="B307" s="1" t="s">
        <v>80</v>
      </c>
      <c r="C307" s="1">
        <v>38.2</v>
      </c>
      <c r="D307" s="3">
        <v>6.982759769</v>
      </c>
      <c r="E307" s="3">
        <v>5.387144513</v>
      </c>
      <c r="F307" s="1">
        <v>829272.0</v>
      </c>
      <c r="G307" s="9">
        <f t="shared" si="1"/>
        <v>38.66666667</v>
      </c>
      <c r="H307" s="10" t="str">
        <f>IFERROR(__xludf.DUMMYFUNCTION("if(B307=""- - -"",""Trade"",filter(R:R,Q:Q=B307))"),"NL")</f>
        <v>NL</v>
      </c>
      <c r="I307" s="11">
        <f t="array" ref="I307">index('PLV (min 500)'!F:F,match(F307,'PLV (min 500)'!B:B,0))</f>
        <v>3.488611112</v>
      </c>
      <c r="J307" s="11">
        <v>5.286171798012964</v>
      </c>
      <c r="K307" s="9">
        <v>-5.2044180760105805</v>
      </c>
      <c r="L307" s="10">
        <v>2.4252283911238157</v>
      </c>
      <c r="U307" s="9"/>
      <c r="X307" s="9"/>
    </row>
    <row r="308">
      <c r="A308" s="1" t="s">
        <v>358</v>
      </c>
      <c r="B308" s="1" t="s">
        <v>31</v>
      </c>
      <c r="C308" s="1">
        <v>152.0</v>
      </c>
      <c r="D308" s="3">
        <v>3.848684211</v>
      </c>
      <c r="E308" s="3">
        <v>4.236586912</v>
      </c>
      <c r="F308" s="1">
        <v>434378.0</v>
      </c>
      <c r="G308" s="9">
        <f t="shared" si="1"/>
        <v>152</v>
      </c>
      <c r="H308" s="10" t="str">
        <f>IFERROR(__xludf.DUMMYFUNCTION("if(B308=""- - -"",""Trade"",filter(R:R,Q:Q=B308))"),"NL")</f>
        <v>NL</v>
      </c>
      <c r="I308" s="11">
        <f t="array" ref="I308">index('PLV (min 500)'!F:F,match(F308,'PLV (min 500)'!B:B,0))</f>
        <v>3.490730526</v>
      </c>
      <c r="J308" s="11">
        <v>3.858667216484527</v>
      </c>
      <c r="K308" s="9">
        <v>3.4002870104835403</v>
      </c>
      <c r="L308" s="10">
        <v>9.614328886561731</v>
      </c>
      <c r="U308" s="9"/>
      <c r="X308" s="9"/>
    </row>
    <row r="309">
      <c r="A309" s="1" t="s">
        <v>359</v>
      </c>
      <c r="B309" s="1" t="s">
        <v>39</v>
      </c>
      <c r="C309" s="1">
        <v>46.0</v>
      </c>
      <c r="D309" s="3">
        <v>4.891305159</v>
      </c>
      <c r="E309" s="3">
        <v>3.399515623</v>
      </c>
      <c r="F309" s="1">
        <v>672391.0</v>
      </c>
      <c r="G309" s="9">
        <f t="shared" si="1"/>
        <v>46</v>
      </c>
      <c r="H309" s="10" t="str">
        <f>IFERROR(__xludf.DUMMYFUNCTION("if(B309=""- - -"",""Trade"",filter(R:R,Q:Q=B309))"),"AL")</f>
        <v>AL</v>
      </c>
      <c r="I309" s="11">
        <f t="array" ref="I309">index('PLV (min 500)'!F:F,match(F309,'PLV (min 500)'!B:B,0))</f>
        <v>3.491761305</v>
      </c>
      <c r="J309" s="11">
        <v>3.927527362217153</v>
      </c>
      <c r="K309" s="9">
        <v>0.6770823708901041</v>
      </c>
      <c r="L309" s="10">
        <v>2.904331109559214</v>
      </c>
      <c r="U309" s="9"/>
      <c r="X309" s="9"/>
    </row>
    <row r="310">
      <c r="A310" s="1" t="s">
        <v>360</v>
      </c>
      <c r="B310" s="1" t="s">
        <v>45</v>
      </c>
      <c r="C310" s="1">
        <v>51.0</v>
      </c>
      <c r="D310" s="3">
        <v>5.117647824</v>
      </c>
      <c r="E310" s="3">
        <v>6.075496924</v>
      </c>
      <c r="F310" s="1">
        <v>605452.0</v>
      </c>
      <c r="G310" s="9">
        <f t="shared" si="1"/>
        <v>51</v>
      </c>
      <c r="H310" s="10" t="str">
        <f>IFERROR(__xludf.DUMMYFUNCTION("if(B310=""- - -"",""Trade"",filter(R:R,Q:Q=B310))"),"NL")</f>
        <v>NL</v>
      </c>
      <c r="I310" s="11">
        <f t="array" ref="I310">index('PLV (min 500)'!F:F,match(F310,'PLV (min 500)'!B:B,0))</f>
        <v>3.495934588</v>
      </c>
      <c r="J310" s="10">
        <v>4.896359778722249</v>
      </c>
      <c r="K310" s="10">
        <v>-4.739372079426079</v>
      </c>
      <c r="L310" s="10">
        <v>3.196370667055101</v>
      </c>
      <c r="U310" s="9"/>
      <c r="X310" s="9"/>
    </row>
    <row r="311">
      <c r="A311" s="1" t="s">
        <v>361</v>
      </c>
      <c r="B311" s="1" t="s">
        <v>78</v>
      </c>
      <c r="C311" s="1">
        <v>103.2</v>
      </c>
      <c r="D311" s="3">
        <v>5.816720614</v>
      </c>
      <c r="E311" s="3">
        <v>5.343911408</v>
      </c>
      <c r="F311" s="1">
        <v>686563.0</v>
      </c>
      <c r="G311" s="9">
        <f t="shared" si="1"/>
        <v>103.6666667</v>
      </c>
      <c r="H311" s="10" t="str">
        <f>IFERROR(__xludf.DUMMYFUNCTION("if(B311=""- - -"",""Trade"",filter(R:R,Q:Q=B311))"),"AL")</f>
        <v>AL</v>
      </c>
      <c r="I311" s="11">
        <f t="array" ref="I311">index('PLV (min 500)'!F:F,match(F311,'PLV (min 500)'!B:B,0))</f>
        <v>3.512411421</v>
      </c>
      <c r="J311" s="11">
        <v>4.891014481092779</v>
      </c>
      <c r="K311" s="9">
        <v>-9.528966049863874</v>
      </c>
      <c r="L311" s="10">
        <v>6.279015702675093</v>
      </c>
      <c r="U311" s="9"/>
      <c r="X311" s="9"/>
    </row>
    <row r="312">
      <c r="A312" s="1" t="s">
        <v>362</v>
      </c>
      <c r="B312" s="1" t="s">
        <v>21</v>
      </c>
      <c r="C312" s="1">
        <v>50.2</v>
      </c>
      <c r="D312" s="3">
        <v>3.375000551</v>
      </c>
      <c r="E312" s="3">
        <v>4.136173721</v>
      </c>
      <c r="F312" s="1">
        <v>573124.0</v>
      </c>
      <c r="G312" s="9">
        <f t="shared" si="1"/>
        <v>50.66666667</v>
      </c>
      <c r="H312" s="10" t="str">
        <f>IFERROR(__xludf.DUMMYFUNCTION("if(B312=""- - -"",""Trade"",filter(R:R,Q:Q=B312))"),"Trade")</f>
        <v>Trade</v>
      </c>
      <c r="I312" s="11">
        <f t="array" ref="I312">index('PLV (min 500)'!F:F,match(F312,'PLV (min 500)'!B:B,0))</f>
        <v>3.515188263</v>
      </c>
      <c r="J312" s="10">
        <v>3.6754541783320036</v>
      </c>
      <c r="K312" s="10">
        <v>2.1449111386370445</v>
      </c>
      <c r="L312" s="10">
        <v>3.038838799733354</v>
      </c>
      <c r="U312" s="9"/>
      <c r="X312" s="9"/>
    </row>
    <row r="313">
      <c r="A313" s="1" t="s">
        <v>363</v>
      </c>
      <c r="B313" s="1" t="s">
        <v>58</v>
      </c>
      <c r="C313" s="1">
        <v>73.0</v>
      </c>
      <c r="D313" s="3">
        <v>2.95890411</v>
      </c>
      <c r="E313" s="3">
        <v>4.107644672</v>
      </c>
      <c r="F313" s="1">
        <v>693645.0</v>
      </c>
      <c r="G313" s="9">
        <f t="shared" si="1"/>
        <v>73</v>
      </c>
      <c r="H313" s="10" t="str">
        <f>IFERROR(__xludf.DUMMYFUNCTION("if(B313=""- - -"",""Trade"",filter(R:R,Q:Q=B313))"),"AL")</f>
        <v>AL</v>
      </c>
      <c r="I313" s="11">
        <f t="array" ref="I313">index('PLV (min 500)'!F:F,match(F313,'PLV (min 500)'!B:B,0))</f>
        <v>3.518011973</v>
      </c>
      <c r="J313" s="10">
        <v>3.528186918297297</v>
      </c>
      <c r="K313" s="10">
        <v>4.313594996033031</v>
      </c>
      <c r="L313" s="10">
        <v>4.396125108765766</v>
      </c>
      <c r="U313" s="9"/>
      <c r="X313" s="9"/>
    </row>
    <row r="314">
      <c r="A314" s="1" t="s">
        <v>364</v>
      </c>
      <c r="B314" s="1" t="s">
        <v>54</v>
      </c>
      <c r="C314" s="1">
        <v>57.0</v>
      </c>
      <c r="D314" s="3">
        <v>3.631579069</v>
      </c>
      <c r="E314" s="3">
        <v>3.921783102</v>
      </c>
      <c r="F314" s="1">
        <v>693855.0</v>
      </c>
      <c r="G314" s="9">
        <f t="shared" si="1"/>
        <v>57</v>
      </c>
      <c r="H314" s="10" t="str">
        <f>IFERROR(__xludf.DUMMYFUNCTION("if(B314=""- - -"",""Trade"",filter(R:R,Q:Q=B314))"),"AL")</f>
        <v>AL</v>
      </c>
      <c r="I314" s="11">
        <f t="array" ref="I314">index('PLV (min 500)'!F:F,match(F314,'PLV (min 500)'!B:B,0))</f>
        <v>3.521728579</v>
      </c>
      <c r="J314" s="11">
        <v>3.6916969166491227</v>
      </c>
      <c r="K314" s="9">
        <v>2.332586194555554</v>
      </c>
      <c r="L314" s="10">
        <v>3.4090523333333294</v>
      </c>
      <c r="U314" s="9"/>
      <c r="X314" s="9"/>
    </row>
    <row r="315">
      <c r="A315" s="1" t="s">
        <v>365</v>
      </c>
      <c r="B315" s="1" t="s">
        <v>75</v>
      </c>
      <c r="C315" s="1">
        <v>50.2</v>
      </c>
      <c r="D315" s="3">
        <v>3.019737221</v>
      </c>
      <c r="E315" s="3">
        <v>4.17103212</v>
      </c>
      <c r="F315" s="1">
        <v>680767.0</v>
      </c>
      <c r="G315" s="9">
        <f t="shared" si="1"/>
        <v>50.66666667</v>
      </c>
      <c r="H315" s="10" t="str">
        <f>IFERROR(__xludf.DUMMYFUNCTION("if(B315=""- - -"",""Trade"",filter(R:R,Q:Q=B315))"),"NL")</f>
        <v>NL</v>
      </c>
      <c r="I315" s="11">
        <f t="array" ref="I315">index('PLV (min 500)'!F:F,match(F315,'PLV (min 500)'!B:B,0))</f>
        <v>3.530898355</v>
      </c>
      <c r="J315" s="11">
        <v>3.5738892321496643</v>
      </c>
      <c r="K315" s="9">
        <v>2.711417838454093</v>
      </c>
      <c r="L315" s="10">
        <v>2.951211395162274</v>
      </c>
      <c r="U315" s="9"/>
      <c r="X315" s="9"/>
    </row>
    <row r="316">
      <c r="A316" s="1" t="s">
        <v>366</v>
      </c>
      <c r="B316" s="1" t="s">
        <v>46</v>
      </c>
      <c r="C316" s="1">
        <v>115.0</v>
      </c>
      <c r="D316" s="3">
        <v>3.991304613</v>
      </c>
      <c r="E316" s="3">
        <v>4.542440108</v>
      </c>
      <c r="F316" s="1">
        <v>656550.0</v>
      </c>
      <c r="G316" s="9">
        <f t="shared" si="1"/>
        <v>115</v>
      </c>
      <c r="H316" s="10" t="str">
        <f>IFERROR(__xludf.DUMMYFUNCTION("if(B316=""- - -"",""Trade"",filter(R:R,Q:Q=B316))"),"NL")</f>
        <v>NL</v>
      </c>
      <c r="I316" s="11">
        <f t="array" ref="I316">index('PLV (min 500)'!F:F,match(F316,'PLV (min 500)'!B:B,0))</f>
        <v>3.532396304</v>
      </c>
      <c r="J316" s="10">
        <v>4.022047008387842</v>
      </c>
      <c r="K316" s="10">
        <v>0.48495489282201226</v>
      </c>
      <c r="L316" s="10">
        <v>6.7416027801327045</v>
      </c>
      <c r="U316" s="9"/>
      <c r="X316" s="9"/>
    </row>
    <row r="317">
      <c r="A317" s="1" t="s">
        <v>367</v>
      </c>
      <c r="B317" s="1" t="s">
        <v>78</v>
      </c>
      <c r="C317" s="1">
        <v>69.2</v>
      </c>
      <c r="D317" s="3">
        <v>4.39234562</v>
      </c>
      <c r="E317" s="3">
        <v>4.09320399</v>
      </c>
      <c r="F317" s="1">
        <v>685126.0</v>
      </c>
      <c r="G317" s="9">
        <f t="shared" si="1"/>
        <v>69.66666667</v>
      </c>
      <c r="H317" s="10" t="str">
        <f>IFERROR(__xludf.DUMMYFUNCTION("if(B317=""- - -"",""Trade"",filter(R:R,Q:Q=B317))"),"AL")</f>
        <v>AL</v>
      </c>
      <c r="I317" s="11">
        <f t="array" ref="I317">index('PLV (min 500)'!F:F,match(F317,'PLV (min 500)'!B:B,0))</f>
        <v>3.546303115</v>
      </c>
      <c r="J317" s="11">
        <v>4.010617574972458</v>
      </c>
      <c r="K317" s="9">
        <v>0.37969597910065356</v>
      </c>
      <c r="L317" s="10">
        <v>3.949758271968617</v>
      </c>
      <c r="U317" s="9"/>
      <c r="X317" s="9"/>
    </row>
    <row r="318">
      <c r="A318" s="1" t="s">
        <v>368</v>
      </c>
      <c r="B318" s="1" t="s">
        <v>64</v>
      </c>
      <c r="C318" s="1">
        <v>154.1</v>
      </c>
      <c r="D318" s="3">
        <v>5.015118956</v>
      </c>
      <c r="E318" s="3">
        <v>4.511896948</v>
      </c>
      <c r="F318" s="1">
        <v>593958.0</v>
      </c>
      <c r="G318" s="9">
        <f t="shared" si="1"/>
        <v>154.3333333</v>
      </c>
      <c r="H318" s="10" t="str">
        <f>IFERROR(__xludf.DUMMYFUNCTION("if(B318=""- - -"",""Trade"",filter(R:R,Q:Q=B318))"),"NL")</f>
        <v>NL</v>
      </c>
      <c r="I318" s="11">
        <f t="array" ref="I318">index('PLV (min 500)'!F:F,match(F318,'PLV (min 500)'!B:B,0))</f>
        <v>3.549130523</v>
      </c>
      <c r="J318" s="10">
        <v>4.358715475523623</v>
      </c>
      <c r="K318" s="10">
        <v>-5.114672753132266</v>
      </c>
      <c r="L318" s="10">
        <v>8.74722071909212</v>
      </c>
      <c r="U318" s="9"/>
      <c r="X318" s="9"/>
    </row>
    <row r="319">
      <c r="A319" s="1" t="s">
        <v>369</v>
      </c>
      <c r="B319" s="1" t="s">
        <v>75</v>
      </c>
      <c r="C319" s="1">
        <v>57.2</v>
      </c>
      <c r="D319" s="3">
        <v>7.49132981</v>
      </c>
      <c r="E319" s="3">
        <v>6.041769516</v>
      </c>
      <c r="F319" s="1">
        <v>596295.0</v>
      </c>
      <c r="G319" s="9">
        <f t="shared" si="1"/>
        <v>57.66666667</v>
      </c>
      <c r="H319" s="10" t="str">
        <f>IFERROR(__xludf.DUMMYFUNCTION("if(B319=""- - -"",""Trade"",filter(R:R,Q:Q=B319))"),"NL")</f>
        <v>NL</v>
      </c>
      <c r="I319" s="11">
        <f t="array" ref="I319">index('PLV (min 500)'!F:F,match(F319,'PLV (min 500)'!B:B,0))</f>
        <v>3.56267107</v>
      </c>
      <c r="J319" s="11">
        <v>5.69859013196653</v>
      </c>
      <c r="K319" s="9">
        <v>-10.414150616498397</v>
      </c>
      <c r="L319" s="10">
        <v>3.160801644638145</v>
      </c>
      <c r="U319" s="9"/>
      <c r="X319" s="9"/>
    </row>
    <row r="320">
      <c r="A320" s="1" t="s">
        <v>370</v>
      </c>
      <c r="B320" s="1" t="s">
        <v>64</v>
      </c>
      <c r="C320" s="1">
        <v>34.1</v>
      </c>
      <c r="D320" s="3">
        <v>4.194175845</v>
      </c>
      <c r="E320" s="3">
        <v>3.730463221</v>
      </c>
      <c r="F320" s="1">
        <v>666661.0</v>
      </c>
      <c r="G320" s="9">
        <f t="shared" si="1"/>
        <v>34.33333333</v>
      </c>
      <c r="H320" s="10" t="str">
        <f>IFERROR(__xludf.DUMMYFUNCTION("if(B320=""- - -"",""Trade"",filter(R:R,Q:Q=B320))"),"NL")</f>
        <v>NL</v>
      </c>
      <c r="I320" s="11">
        <f t="array" ref="I320">index('PLV (min 500)'!F:F,match(F320,'PLV (min 500)'!B:B,0))</f>
        <v>3.563647689</v>
      </c>
      <c r="J320" s="10">
        <v>3.829428918451662</v>
      </c>
      <c r="K320" s="10">
        <v>0.8736082089775907</v>
      </c>
      <c r="L320" s="10">
        <v>1.8806237547772164</v>
      </c>
      <c r="U320" s="9"/>
      <c r="X320" s="9"/>
    </row>
    <row r="321">
      <c r="A321" s="1" t="s">
        <v>371</v>
      </c>
      <c r="B321" s="1" t="s">
        <v>39</v>
      </c>
      <c r="C321" s="1">
        <v>35.1</v>
      </c>
      <c r="D321" s="3">
        <v>5.349056796</v>
      </c>
      <c r="E321" s="3">
        <v>5.430872604</v>
      </c>
      <c r="F321" s="1">
        <v>681293.0</v>
      </c>
      <c r="G321" s="9">
        <f t="shared" si="1"/>
        <v>35.33333333</v>
      </c>
      <c r="H321" s="10" t="str">
        <f>IFERROR(__xludf.DUMMYFUNCTION("if(B321=""- - -"",""Trade"",filter(R:R,Q:Q=B321))"),"AL")</f>
        <v>AL</v>
      </c>
      <c r="I321" s="11">
        <f t="array" ref="I321">index('PLV (min 500)'!F:F,match(F321,'PLV (min 500)'!B:B,0))</f>
        <v>3.576342311</v>
      </c>
      <c r="J321" s="10">
        <v>4.785423903751092</v>
      </c>
      <c r="K321" s="10">
        <v>-2.8291532246292617</v>
      </c>
      <c r="L321" s="10">
        <v>1.8862649861122225</v>
      </c>
      <c r="U321" s="9"/>
      <c r="X321" s="9"/>
    </row>
    <row r="322">
      <c r="A322" s="1" t="s">
        <v>372</v>
      </c>
      <c r="B322" s="1" t="s">
        <v>70</v>
      </c>
      <c r="C322" s="1">
        <v>156.2</v>
      </c>
      <c r="D322" s="3">
        <v>4.251064106</v>
      </c>
      <c r="E322" s="3">
        <v>4.43945093</v>
      </c>
      <c r="F322" s="1">
        <v>671106.0</v>
      </c>
      <c r="G322" s="9">
        <f t="shared" si="1"/>
        <v>156.6666667</v>
      </c>
      <c r="H322" s="10" t="str">
        <f>IFERROR(__xludf.DUMMYFUNCTION("if(B322=""- - -"",""Trade"",filter(R:R,Q:Q=B322))"),"AL")</f>
        <v>AL</v>
      </c>
      <c r="I322" s="11">
        <f t="array" ref="I322">index('PLV (min 500)'!F:F,match(F322,'PLV (min 500)'!B:B,0))</f>
        <v>3.582247979</v>
      </c>
      <c r="J322" s="11">
        <v>4.090921004905261</v>
      </c>
      <c r="K322" s="9">
        <v>-0.536651218466868</v>
      </c>
      <c r="L322" s="10">
        <v>8.291651747177184</v>
      </c>
      <c r="U322" s="9"/>
      <c r="X322" s="9"/>
    </row>
    <row r="323">
      <c r="A323" s="1" t="s">
        <v>373</v>
      </c>
      <c r="B323" s="1" t="s">
        <v>51</v>
      </c>
      <c r="C323" s="1">
        <v>60.2</v>
      </c>
      <c r="D323" s="3">
        <v>5.63736314</v>
      </c>
      <c r="E323" s="3">
        <v>4.002174148</v>
      </c>
      <c r="F323" s="1">
        <v>640455.0</v>
      </c>
      <c r="G323" s="9">
        <f t="shared" si="1"/>
        <v>60.66666667</v>
      </c>
      <c r="H323" s="10" t="str">
        <f>IFERROR(__xludf.DUMMYFUNCTION("if(B323=""- - -"",""Trade"",filter(R:R,Q:Q=B323))"),"NL")</f>
        <v>NL</v>
      </c>
      <c r="I323" s="11">
        <f t="array" ref="I323">index('PLV (min 500)'!F:F,match(F323,'PLV (min 500)'!B:B,0))</f>
        <v>3.584643131</v>
      </c>
      <c r="J323" s="11">
        <v>4.408060139831304</v>
      </c>
      <c r="K323" s="9">
        <v>-2.3281356019827233</v>
      </c>
      <c r="L323" s="10">
        <v>3.179609276007392</v>
      </c>
      <c r="U323" s="9"/>
      <c r="X323" s="9"/>
    </row>
    <row r="324">
      <c r="A324" s="1" t="s">
        <v>374</v>
      </c>
      <c r="B324" s="1" t="s">
        <v>56</v>
      </c>
      <c r="C324" s="1">
        <v>151.2</v>
      </c>
      <c r="D324" s="3">
        <v>3.857143116</v>
      </c>
      <c r="E324" s="3">
        <v>4.453724874</v>
      </c>
      <c r="F324" s="1">
        <v>683004.0</v>
      </c>
      <c r="G324" s="9">
        <f t="shared" si="1"/>
        <v>151.6666667</v>
      </c>
      <c r="H324" s="10" t="str">
        <f>IFERROR(__xludf.DUMMYFUNCTION("if(B324=""- - -"",""Trade"",filter(R:R,Q:Q=B324))"),"AL")</f>
        <v>AL</v>
      </c>
      <c r="I324" s="11">
        <f t="array" ref="I324">index('PLV (min 500)'!F:F,match(F324,'PLV (min 500)'!B:B,0))</f>
        <v>3.588203868</v>
      </c>
      <c r="J324" s="11">
        <v>3.9663572860097833</v>
      </c>
      <c r="K324" s="9">
        <v>1.5731975950356334</v>
      </c>
      <c r="L324" s="10">
        <v>7.9261750171069245</v>
      </c>
      <c r="U324" s="9"/>
      <c r="X324" s="9"/>
    </row>
    <row r="325">
      <c r="A325" s="1" t="s">
        <v>375</v>
      </c>
      <c r="B325" s="1" t="s">
        <v>70</v>
      </c>
      <c r="C325" s="1">
        <v>31.0</v>
      </c>
      <c r="D325" s="3">
        <v>2.03225844</v>
      </c>
      <c r="E325" s="3">
        <v>3.79049409</v>
      </c>
      <c r="F325" s="1">
        <v>663671.0</v>
      </c>
      <c r="G325" s="9">
        <f t="shared" si="1"/>
        <v>31</v>
      </c>
      <c r="H325" s="10" t="str">
        <f>IFERROR(__xludf.DUMMYFUNCTION("if(B325=""- - -"",""Trade"",filter(R:R,Q:Q=B325))"),"AL")</f>
        <v>AL</v>
      </c>
      <c r="I325" s="11">
        <f t="array" ref="I325">index('PLV (min 500)'!F:F,match(F325,'PLV (min 500)'!B:B,0))</f>
        <v>3.589211323</v>
      </c>
      <c r="J325" s="11">
        <v>3.1373212842707363</v>
      </c>
      <c r="K325" s="9">
        <v>3.178115576400796</v>
      </c>
      <c r="L325" s="10">
        <v>1.62160544364684</v>
      </c>
      <c r="U325" s="9"/>
      <c r="X325" s="9"/>
    </row>
    <row r="326">
      <c r="A326" s="1" t="s">
        <v>376</v>
      </c>
      <c r="B326" s="1" t="s">
        <v>70</v>
      </c>
      <c r="C326" s="1">
        <v>167.2</v>
      </c>
      <c r="D326" s="3">
        <v>3.059642333</v>
      </c>
      <c r="E326" s="3">
        <v>4.293556112</v>
      </c>
      <c r="F326" s="1">
        <v>668909.0</v>
      </c>
      <c r="G326" s="9">
        <f t="shared" si="1"/>
        <v>167.6666667</v>
      </c>
      <c r="H326" s="10" t="str">
        <f>IFERROR(__xludf.DUMMYFUNCTION("if(B326=""- - -"",""Trade"",filter(R:R,Q:Q=B326))"),"AL")</f>
        <v>AL</v>
      </c>
      <c r="I326" s="11">
        <f t="array" ref="I326">index('PLV (min 500)'!F:F,match(F326,'PLV (min 500)'!B:B,0))</f>
        <v>3.596653789</v>
      </c>
      <c r="J326" s="11">
        <v>3.6499507448239252</v>
      </c>
      <c r="K326" s="9">
        <v>7.617803940604404</v>
      </c>
      <c r="L326" s="10">
        <v>8.607942933368797</v>
      </c>
      <c r="U326" s="9"/>
      <c r="X326" s="9"/>
    </row>
    <row r="327">
      <c r="A327" s="1" t="s">
        <v>377</v>
      </c>
      <c r="B327" s="1" t="s">
        <v>62</v>
      </c>
      <c r="C327" s="1">
        <v>49.0</v>
      </c>
      <c r="D327" s="3">
        <v>4.224489796</v>
      </c>
      <c r="E327" s="3">
        <v>4.912403048</v>
      </c>
      <c r="F327" s="1">
        <v>695549.0</v>
      </c>
      <c r="G327" s="9">
        <f t="shared" si="1"/>
        <v>49</v>
      </c>
      <c r="H327" s="10" t="str">
        <f>IFERROR(__xludf.DUMMYFUNCTION("if(B327=""- - -"",""Trade"",filter(R:R,Q:Q=B327))"),"AL")</f>
        <v>AL</v>
      </c>
      <c r="I327" s="11">
        <f t="array" ref="I327">index('PLV (min 500)'!F:F,match(F327,'PLV (min 500)'!B:B,0))</f>
        <v>3.623077286</v>
      </c>
      <c r="J327" s="10">
        <v>4.253323376546782</v>
      </c>
      <c r="K327" s="10">
        <v>-1.0525383834213717</v>
      </c>
      <c r="L327" s="10">
        <v>2.378801444847001</v>
      </c>
      <c r="U327" s="9"/>
      <c r="X327" s="9"/>
    </row>
    <row r="328">
      <c r="A328" s="1" t="s">
        <v>378</v>
      </c>
      <c r="B328" s="1" t="s">
        <v>72</v>
      </c>
      <c r="C328" s="1">
        <v>30.1</v>
      </c>
      <c r="D328" s="3">
        <v>7.714287008</v>
      </c>
      <c r="E328" s="3">
        <v>4.066698506</v>
      </c>
      <c r="F328" s="1">
        <v>681676.0</v>
      </c>
      <c r="G328" s="9">
        <f t="shared" si="1"/>
        <v>30.33333333</v>
      </c>
      <c r="H328" s="10" t="str">
        <f>IFERROR(__xludf.DUMMYFUNCTION("if(B328=""- - -"",""Trade"",filter(R:R,Q:Q=B328))"),"NL")</f>
        <v>NL</v>
      </c>
      <c r="I328" s="11">
        <f t="array" ref="I328">index('PLV (min 500)'!F:F,match(F328,'PLV (min 500)'!B:B,0))</f>
        <v>3.623806484</v>
      </c>
      <c r="J328" s="11">
        <v>5.134930665852102</v>
      </c>
      <c r="K328" s="9">
        <v>-3.5950458935720317</v>
      </c>
      <c r="L328" s="10">
        <v>1.458824982772797</v>
      </c>
      <c r="U328" s="9"/>
      <c r="X328" s="9"/>
    </row>
    <row r="329">
      <c r="A329" s="1" t="s">
        <v>379</v>
      </c>
      <c r="B329" s="1" t="s">
        <v>51</v>
      </c>
      <c r="C329" s="1">
        <v>38.2</v>
      </c>
      <c r="D329" s="3">
        <v>6.284483172</v>
      </c>
      <c r="E329" s="3">
        <v>5.323967284</v>
      </c>
      <c r="F329" s="1">
        <v>593423.0</v>
      </c>
      <c r="G329" s="9">
        <f t="shared" si="1"/>
        <v>38.66666667</v>
      </c>
      <c r="H329" s="10" t="str">
        <f>IFERROR(__xludf.DUMMYFUNCTION("if(B329=""- - -"",""Trade"",filter(R:R,Q:Q=B329))"),"NL")</f>
        <v>NL</v>
      </c>
      <c r="I329" s="11">
        <f t="array" ref="I329">index('PLV (min 500)'!F:F,match(F329,'PLV (min 500)'!B:B,0))</f>
        <v>3.644457207</v>
      </c>
      <c r="J329" s="11">
        <v>5.0843025543197955</v>
      </c>
      <c r="K329" s="9">
        <v>-4.347595286112911</v>
      </c>
      <c r="L329" s="10">
        <v>1.7637482993501614</v>
      </c>
      <c r="U329" s="9"/>
      <c r="X329" s="9"/>
    </row>
    <row r="330">
      <c r="A330" s="1" t="s">
        <v>380</v>
      </c>
      <c r="B330" s="1" t="s">
        <v>58</v>
      </c>
      <c r="C330" s="1">
        <v>57.0</v>
      </c>
      <c r="D330" s="3">
        <v>3.315789474</v>
      </c>
      <c r="E330" s="3">
        <v>4.938018647</v>
      </c>
      <c r="F330" s="1">
        <v>661563.0</v>
      </c>
      <c r="G330" s="9">
        <f t="shared" si="1"/>
        <v>57</v>
      </c>
      <c r="H330" s="10" t="str">
        <f>IFERROR(__xludf.DUMMYFUNCTION("if(B330=""- - -"",""Trade"",filter(R:R,Q:Q=B330))"),"AL")</f>
        <v>AL</v>
      </c>
      <c r="I330" s="11">
        <f t="array" ref="I330">index('PLV (min 500)'!F:F,match(F330,'PLV (min 500)'!B:B,0))</f>
        <v>3.647748316</v>
      </c>
      <c r="J330" s="10">
        <v>3.9671854789084926</v>
      </c>
      <c r="K330" s="10">
        <v>0.587825300246211</v>
      </c>
      <c r="L330" s="10">
        <v>2.610927333738633</v>
      </c>
      <c r="U330" s="9"/>
      <c r="X330" s="9"/>
    </row>
    <row r="331">
      <c r="A331" s="1" t="s">
        <v>381</v>
      </c>
      <c r="B331" s="1" t="s">
        <v>25</v>
      </c>
      <c r="C331" s="1">
        <v>34.1</v>
      </c>
      <c r="D331" s="3">
        <v>4.45631134</v>
      </c>
      <c r="E331" s="3">
        <v>4.090565967</v>
      </c>
      <c r="F331" s="1">
        <v>820862.0</v>
      </c>
      <c r="G331" s="9">
        <f t="shared" si="1"/>
        <v>34.33333333</v>
      </c>
      <c r="H331" s="10" t="str">
        <f>IFERROR(__xludf.DUMMYFUNCTION("if(B331=""- - -"",""Trade"",filter(R:R,Q:Q=B331))"),"AL")</f>
        <v>AL</v>
      </c>
      <c r="I331" s="11">
        <f t="array" ref="I331">index('PLV (min 500)'!F:F,match(F331,'PLV (min 500)'!B:B,0))</f>
        <v>3.650338922</v>
      </c>
      <c r="J331" s="10">
        <v>4.0657387431218455</v>
      </c>
      <c r="K331" s="10">
        <v>-0.021743460050549304</v>
      </c>
      <c r="L331" s="10">
        <v>1.5521603052594626</v>
      </c>
      <c r="U331" s="9"/>
      <c r="X331" s="9"/>
    </row>
    <row r="332">
      <c r="A332" s="1" t="s">
        <v>382</v>
      </c>
      <c r="B332" s="1" t="s">
        <v>51</v>
      </c>
      <c r="C332" s="1">
        <v>76.1</v>
      </c>
      <c r="D332" s="3">
        <v>3.772926016</v>
      </c>
      <c r="E332" s="3">
        <v>4.697292597</v>
      </c>
      <c r="F332" s="1">
        <v>656288.0</v>
      </c>
      <c r="G332" s="9">
        <f t="shared" si="1"/>
        <v>76.33333333</v>
      </c>
      <c r="H332" s="10" t="str">
        <f>IFERROR(__xludf.DUMMYFUNCTION("if(B332=""- - -"",""Trade"",filter(R:R,Q:Q=B332))"),"NL")</f>
        <v>NL</v>
      </c>
      <c r="I332" s="11">
        <f t="array" ref="I332">index('PLV (min 500)'!F:F,match(F332,'PLV (min 500)'!B:B,0))</f>
        <v>3.652114794</v>
      </c>
      <c r="J332" s="10">
        <v>4.040777802480288</v>
      </c>
      <c r="K332" s="10">
        <v>0.16253435902778507</v>
      </c>
      <c r="L332" s="10">
        <v>3.4488960158944737</v>
      </c>
      <c r="U332" s="9"/>
      <c r="X332" s="9"/>
    </row>
    <row r="333">
      <c r="A333" s="1" t="s">
        <v>383</v>
      </c>
      <c r="B333" s="1" t="s">
        <v>58</v>
      </c>
      <c r="C333" s="1">
        <v>39.0</v>
      </c>
      <c r="D333" s="3">
        <v>6.23076984</v>
      </c>
      <c r="E333" s="3">
        <v>5.854845929</v>
      </c>
      <c r="F333" s="1">
        <v>573186.0</v>
      </c>
      <c r="G333" s="9">
        <f t="shared" si="1"/>
        <v>39</v>
      </c>
      <c r="H333" s="10" t="str">
        <f>IFERROR(__xludf.DUMMYFUNCTION("if(B333=""- - -"",""Trade"",filter(R:R,Q:Q=B333))"),"AL")</f>
        <v>AL</v>
      </c>
      <c r="I333" s="11">
        <f t="array" ref="I333">index('PLV (min 500)'!F:F,match(F333,'PLV (min 500)'!B:B,0))</f>
        <v>3.663520615</v>
      </c>
      <c r="J333" s="10">
        <v>5.249712128128205</v>
      </c>
      <c r="K333" s="10">
        <v>-5.155419221888888</v>
      </c>
      <c r="L333" s="10">
        <v>1.7180773333333337</v>
      </c>
      <c r="U333" s="9"/>
      <c r="X333" s="9"/>
    </row>
    <row r="334">
      <c r="A334" s="1" t="s">
        <v>384</v>
      </c>
      <c r="B334" s="1" t="s">
        <v>21</v>
      </c>
      <c r="C334" s="1">
        <v>98.0</v>
      </c>
      <c r="D334" s="3">
        <v>5.602041416</v>
      </c>
      <c r="E334" s="3">
        <v>4.529925898</v>
      </c>
      <c r="F334" s="1">
        <v>666214.0</v>
      </c>
      <c r="G334" s="9">
        <f t="shared" si="1"/>
        <v>98</v>
      </c>
      <c r="H334" s="10" t="str">
        <f>IFERROR(__xludf.DUMMYFUNCTION("if(B334=""- - -"",""Trade"",filter(R:R,Q:Q=B334))"),"Trade")</f>
        <v>Trade</v>
      </c>
      <c r="I334" s="11">
        <f t="array" ref="I334">index('PLV (min 500)'!F:F,match(F334,'PLV (min 500)'!B:B,0))</f>
        <v>3.668836867</v>
      </c>
      <c r="J334" s="10">
        <v>4.600268060399063</v>
      </c>
      <c r="K334" s="10">
        <v>-5.882918879900917</v>
      </c>
      <c r="L334" s="10">
        <v>4.25933189051948</v>
      </c>
      <c r="U334" s="9"/>
      <c r="X334" s="9"/>
    </row>
    <row r="335">
      <c r="A335" s="1" t="s">
        <v>385</v>
      </c>
      <c r="B335" s="1" t="s">
        <v>25</v>
      </c>
      <c r="C335" s="1">
        <v>57.0</v>
      </c>
      <c r="D335" s="3">
        <v>4.736842739</v>
      </c>
      <c r="E335" s="3">
        <v>4.337123914</v>
      </c>
      <c r="F335" s="1">
        <v>666171.0</v>
      </c>
      <c r="G335" s="9">
        <f t="shared" si="1"/>
        <v>57</v>
      </c>
      <c r="H335" s="10" t="str">
        <f>IFERROR(__xludf.DUMMYFUNCTION("if(B335=""- - -"",""Trade"",filter(R:R,Q:Q=B335))"),"AL")</f>
        <v>AL</v>
      </c>
      <c r="I335" s="11">
        <f t="array" ref="I335">index('PLV (min 500)'!F:F,match(F335,'PLV (min 500)'!B:B,0))</f>
        <v>3.672726789</v>
      </c>
      <c r="J335" s="10">
        <v>4.248897814136417</v>
      </c>
      <c r="K335" s="10">
        <v>-1.1963528228639788</v>
      </c>
      <c r="L335" s="10">
        <v>2.4527303337414064</v>
      </c>
      <c r="U335" s="9"/>
      <c r="X335" s="9"/>
    </row>
    <row r="336">
      <c r="A336" s="1" t="s">
        <v>386</v>
      </c>
      <c r="B336" s="1" t="s">
        <v>51</v>
      </c>
      <c r="C336" s="1">
        <v>68.1</v>
      </c>
      <c r="D336" s="3">
        <v>3.951219806</v>
      </c>
      <c r="E336" s="3">
        <v>3.875325033</v>
      </c>
      <c r="F336" s="1">
        <v>656731.0</v>
      </c>
      <c r="G336" s="9">
        <f t="shared" si="1"/>
        <v>68.33333333</v>
      </c>
      <c r="H336" s="10" t="str">
        <f>IFERROR(__xludf.DUMMYFUNCTION("if(B336=""- - -"",""Trade"",filter(R:R,Q:Q=B336))"),"NL")</f>
        <v>NL</v>
      </c>
      <c r="I336" s="11">
        <f t="array" ref="I336">index('PLV (min 500)'!F:F,match(F336,'PLV (min 500)'!B:B,0))</f>
        <v>3.68465918</v>
      </c>
      <c r="J336" s="11">
        <v>3.8370680063401608</v>
      </c>
      <c r="K336" s="9">
        <v>1.686852085359447</v>
      </c>
      <c r="L336" s="10">
        <v>2.84007887117835</v>
      </c>
      <c r="U336" s="9"/>
      <c r="X336" s="9"/>
    </row>
    <row r="337">
      <c r="A337" s="1" t="s">
        <v>387</v>
      </c>
      <c r="B337" s="1" t="s">
        <v>78</v>
      </c>
      <c r="C337" s="1">
        <v>47.1</v>
      </c>
      <c r="D337" s="3">
        <v>6.654930293</v>
      </c>
      <c r="E337" s="3">
        <v>8.265027736</v>
      </c>
      <c r="F337" s="1">
        <v>669060.0</v>
      </c>
      <c r="G337" s="9">
        <f t="shared" si="1"/>
        <v>47.33333333</v>
      </c>
      <c r="H337" s="10" t="str">
        <f>IFERROR(__xludf.DUMMYFUNCTION("if(B337=""- - -"",""Trade"",filter(R:R,Q:Q=B337))"),"AL")</f>
        <v>AL</v>
      </c>
      <c r="I337" s="11">
        <f t="array" ref="I337">index('PLV (min 500)'!F:F,match(F337,'PLV (min 500)'!B:B,0))</f>
        <v>3.687782451</v>
      </c>
      <c r="J337" s="11">
        <v>6.202580159936036</v>
      </c>
      <c r="K337" s="9">
        <v>-11.212836170331926</v>
      </c>
      <c r="L337" s="10">
        <v>1.947938507437575</v>
      </c>
      <c r="U337" s="9"/>
      <c r="X337" s="9"/>
    </row>
    <row r="338">
      <c r="A338" s="1" t="s">
        <v>388</v>
      </c>
      <c r="B338" s="1" t="s">
        <v>34</v>
      </c>
      <c r="C338" s="1">
        <v>33.0</v>
      </c>
      <c r="D338" s="3">
        <v>6.272727998</v>
      </c>
      <c r="E338" s="3">
        <v>4.167216547</v>
      </c>
      <c r="F338" s="1">
        <v>687863.0</v>
      </c>
      <c r="G338" s="9">
        <f t="shared" si="1"/>
        <v>33</v>
      </c>
      <c r="H338" s="10" t="str">
        <f>IFERROR(__xludf.DUMMYFUNCTION("if(B338=""- - -"",""Trade"",filter(R:R,Q:Q=B338))"),"NL")</f>
        <v>NL</v>
      </c>
      <c r="I338" s="11">
        <f t="array" ref="I338">index('PLV (min 500)'!F:F,match(F338,'PLV (min 500)'!B:B,0))</f>
        <v>3.697021364</v>
      </c>
      <c r="J338" s="11">
        <v>4.71232196950811</v>
      </c>
      <c r="K338" s="9">
        <v>-2.3918472215297397</v>
      </c>
      <c r="L338" s="10">
        <v>1.3309216670774466</v>
      </c>
      <c r="U338" s="9"/>
      <c r="X338" s="9"/>
    </row>
    <row r="339">
      <c r="A339" s="1" t="s">
        <v>389</v>
      </c>
      <c r="B339" s="1" t="s">
        <v>52</v>
      </c>
      <c r="C339" s="1">
        <v>92.2</v>
      </c>
      <c r="D339" s="3">
        <v>4.079136761</v>
      </c>
      <c r="E339" s="3">
        <v>3.632577079</v>
      </c>
      <c r="F339" s="1">
        <v>682052.0</v>
      </c>
      <c r="G339" s="9">
        <f t="shared" si="1"/>
        <v>92.66666667</v>
      </c>
      <c r="H339" s="10" t="str">
        <f>IFERROR(__xludf.DUMMYFUNCTION("if(B339=""- - -"",""Trade"",filter(R:R,Q:Q=B339))"),"AL")</f>
        <v>AL</v>
      </c>
      <c r="I339" s="11">
        <f t="array" ref="I339">index('PLV (min 500)'!F:F,match(F339,'PLV (min 500)'!B:B,0))</f>
        <v>3.728074921</v>
      </c>
      <c r="J339" s="11">
        <v>3.813262920243069</v>
      </c>
      <c r="K339" s="9">
        <v>2.527684305954336</v>
      </c>
      <c r="L339" s="10">
        <v>3.400388034307467</v>
      </c>
      <c r="U339" s="9"/>
      <c r="X339" s="9"/>
    </row>
    <row r="340">
      <c r="A340" s="1" t="s">
        <v>390</v>
      </c>
      <c r="B340" s="1" t="s">
        <v>33</v>
      </c>
      <c r="C340" s="1">
        <v>29.2</v>
      </c>
      <c r="D340" s="3">
        <v>6.370787063</v>
      </c>
      <c r="E340" s="3">
        <v>4.90142627</v>
      </c>
      <c r="F340" s="1">
        <v>669422.0</v>
      </c>
      <c r="G340" s="9">
        <f t="shared" si="1"/>
        <v>29.66666667</v>
      </c>
      <c r="H340" s="10" t="str">
        <f>IFERROR(__xludf.DUMMYFUNCTION("if(B340=""- - -"",""Trade"",filter(R:R,Q:Q=B340))"),"NL")</f>
        <v>NL</v>
      </c>
      <c r="I340" s="11">
        <f t="array" ref="I340">index('PLV (min 500)'!F:F,match(F340,'PLV (min 500)'!B:B,0))</f>
        <v>3.74765491</v>
      </c>
      <c r="J340" s="11">
        <v>5.006622747732192</v>
      </c>
      <c r="K340" s="9">
        <v>-3.0712649148644457</v>
      </c>
      <c r="L340" s="10">
        <v>1.013386291362217</v>
      </c>
      <c r="U340" s="9"/>
      <c r="X340" s="9"/>
    </row>
    <row r="341">
      <c r="A341" s="1" t="s">
        <v>391</v>
      </c>
      <c r="B341" s="1" t="s">
        <v>26</v>
      </c>
      <c r="C341" s="1">
        <v>33.1</v>
      </c>
      <c r="D341" s="3">
        <v>5.13000137</v>
      </c>
      <c r="E341" s="3">
        <v>5.023590595</v>
      </c>
      <c r="F341" s="1">
        <v>689690.0</v>
      </c>
      <c r="G341" s="9">
        <f t="shared" si="1"/>
        <v>33.33333333</v>
      </c>
      <c r="H341" s="10" t="str">
        <f>IFERROR(__xludf.DUMMYFUNCTION("if(B341=""- - -"",""Trade"",filter(R:R,Q:Q=B341))"),"NL")</f>
        <v>NL</v>
      </c>
      <c r="I341" s="11">
        <f t="array" ref="I341">index('PLV (min 500)'!F:F,match(F341,'PLV (min 500)'!B:B,0))</f>
        <v>3.75168024</v>
      </c>
      <c r="J341" s="11">
        <v>4.635090735012506</v>
      </c>
      <c r="K341" s="9">
        <v>-2.115055925434884</v>
      </c>
      <c r="L341" s="10">
        <v>1.1339315616397976</v>
      </c>
      <c r="U341" s="9"/>
      <c r="X341" s="9"/>
    </row>
    <row r="342">
      <c r="A342" s="1" t="s">
        <v>392</v>
      </c>
      <c r="B342" s="1" t="s">
        <v>33</v>
      </c>
      <c r="C342" s="1">
        <v>41.1</v>
      </c>
      <c r="D342" s="3">
        <v>5.225807095</v>
      </c>
      <c r="E342" s="3">
        <v>4.201332408</v>
      </c>
      <c r="F342" s="1">
        <v>489446.0</v>
      </c>
      <c r="G342" s="9">
        <f t="shared" si="1"/>
        <v>41.33333333</v>
      </c>
      <c r="H342" s="10" t="str">
        <f>IFERROR(__xludf.DUMMYFUNCTION("if(B342=""- - -"",""Trade"",filter(R:R,Q:Q=B342))"),"NL")</f>
        <v>NL</v>
      </c>
      <c r="I342" s="11">
        <f t="array" ref="I342">index('PLV (min 500)'!F:F,match(F342,'PLV (min 500)'!B:B,0))</f>
        <v>3.898519766</v>
      </c>
      <c r="J342" s="10">
        <v>4.44188642308493</v>
      </c>
      <c r="K342" s="10">
        <v>-1.7439479987545154</v>
      </c>
      <c r="L342" s="10">
        <v>0.7374264007697899</v>
      </c>
      <c r="U342" s="9"/>
      <c r="X342" s="9"/>
    </row>
    <row r="343">
      <c r="A343" s="1" t="s">
        <v>393</v>
      </c>
      <c r="B343" s="1" t="s">
        <v>21</v>
      </c>
      <c r="C343" s="1">
        <v>39.0</v>
      </c>
      <c r="D343" s="3">
        <v>6.230769231</v>
      </c>
      <c r="E343" s="3">
        <v>5.071441697</v>
      </c>
      <c r="F343" s="1">
        <v>690953.0</v>
      </c>
      <c r="G343" s="9">
        <f t="shared" si="1"/>
        <v>39</v>
      </c>
      <c r="H343" s="10" t="str">
        <f>IFERROR(__xludf.DUMMYFUNCTION("if(B343=""- - -"",""Trade"",filter(R:R,Q:Q=B343))"),"Trade")</f>
        <v>Trade</v>
      </c>
      <c r="I343" s="11">
        <f t="array" ref="I343">index('PLV (min 500)'!F:F,match(F343,'PLV (min 500)'!B:B,0))</f>
        <v>4.012364077</v>
      </c>
      <c r="J343" s="10">
        <v>5.104858335111534</v>
      </c>
      <c r="K343" s="10">
        <v>-4.5277194521499835</v>
      </c>
      <c r="L343" s="10">
        <v>0.20642233155005782</v>
      </c>
      <c r="U343" s="9"/>
      <c r="X343" s="9"/>
    </row>
    <row r="344">
      <c r="A344" s="1" t="s">
        <v>394</v>
      </c>
      <c r="B344" s="1" t="s">
        <v>39</v>
      </c>
      <c r="C344" s="1">
        <v>55.1</v>
      </c>
      <c r="D344" s="3">
        <v>6.506024246</v>
      </c>
      <c r="E344" s="3">
        <v>5.333820076</v>
      </c>
      <c r="F344" s="1">
        <v>621121.0</v>
      </c>
      <c r="G344" s="9">
        <f t="shared" si="1"/>
        <v>55.33333333</v>
      </c>
      <c r="H344" s="10" t="str">
        <f>IFERROR(__xludf.DUMMYFUNCTION("if(B344=""- - -"",""Trade"",filter(R:R,Q:Q=B344))"),"AL")</f>
        <v>AL</v>
      </c>
      <c r="I344" s="11">
        <f t="array" ref="I344">index('PLV (min 500)'!F:F,match(F344,'PLV (min 500)'!B:B,0))</f>
        <v>4.217807277</v>
      </c>
      <c r="J344" s="10">
        <v>5.352550533146249</v>
      </c>
      <c r="K344" s="10">
        <v>-7.913281597373149</v>
      </c>
      <c r="L344" s="10">
        <v>-0.9661312207638661</v>
      </c>
      <c r="U344" s="9"/>
      <c r="X344" s="9"/>
    </row>
    <row r="345">
      <c r="A345" s="1" t="s">
        <v>395</v>
      </c>
      <c r="B345" s="1" t="s">
        <v>40</v>
      </c>
      <c r="C345" s="1">
        <v>68.1</v>
      </c>
      <c r="D345" s="3">
        <v>3.029269195</v>
      </c>
      <c r="E345" s="3">
        <v>3.359668789</v>
      </c>
      <c r="F345" s="1">
        <v>663893.0</v>
      </c>
      <c r="G345" s="9">
        <f t="shared" si="1"/>
        <v>68.33333333</v>
      </c>
      <c r="H345" s="10" t="str">
        <f>IFERROR(__xludf.DUMMYFUNCTION("if(B345=""- - -"",""Trade"",filter(R:R,Q:Q=B345))"),"AL")</f>
        <v>AL</v>
      </c>
      <c r="I345" s="11">
        <f t="array" ref="I345">index('PLV (min 500)'!F:F,match(F345,'PLV (min 500)'!B:B,0))</f>
        <v>3.789186849</v>
      </c>
      <c r="J345" s="10">
        <v>3.3927082778029796</v>
      </c>
      <c r="K345" s="10">
        <v>5.049174031290785</v>
      </c>
      <c r="L345" s="10">
        <v>2.0491528394723644</v>
      </c>
      <c r="U345" s="9"/>
      <c r="X345" s="9"/>
    </row>
    <row r="346">
      <c r="A346" s="1" t="s">
        <v>396</v>
      </c>
      <c r="B346" s="1" t="s">
        <v>80</v>
      </c>
      <c r="C346" s="1">
        <v>180.0</v>
      </c>
      <c r="D346" s="3">
        <v>5.7</v>
      </c>
      <c r="E346" s="3">
        <v>5.567164804</v>
      </c>
      <c r="F346" s="1">
        <v>663623.0</v>
      </c>
      <c r="G346" s="9">
        <f t="shared" si="1"/>
        <v>180</v>
      </c>
      <c r="H346" s="10" t="str">
        <f>IFERROR(__xludf.DUMMYFUNCTION("if(B346=""- - -"",""Trade"",filter(R:R,Q:Q=B346))"),"NL")</f>
        <v>NL</v>
      </c>
      <c r="I346" s="11">
        <f t="array" ref="I346">index('PLV (min 500)'!F:F,match(F346,'PLV (min 500)'!B:B,0))</f>
        <v>3.440728</v>
      </c>
      <c r="J346" s="10">
        <v>4.902630934583835</v>
      </c>
      <c r="K346" s="10">
        <v>-16.8526186916767</v>
      </c>
      <c r="L346" s="10">
        <v>12.38544000496991</v>
      </c>
      <c r="U346" s="9"/>
      <c r="X346" s="9"/>
    </row>
    <row r="347">
      <c r="A347" s="1" t="s">
        <v>397</v>
      </c>
      <c r="B347" s="1" t="s">
        <v>21</v>
      </c>
      <c r="C347" s="1">
        <v>55.0</v>
      </c>
      <c r="D347" s="3">
        <v>6.218182789</v>
      </c>
      <c r="E347" s="3">
        <v>4.485206293</v>
      </c>
      <c r="F347" s="1">
        <v>660896.0</v>
      </c>
      <c r="G347" s="9">
        <f t="shared" si="1"/>
        <v>55</v>
      </c>
      <c r="H347" s="10" t="str">
        <f>IFERROR(__xludf.DUMMYFUNCTION("if(B347=""- - -"",""Trade"",filter(R:R,Q:Q=B347))"),"Trade")</f>
        <v>Trade</v>
      </c>
      <c r="I347" s="11">
        <f t="array" ref="I347">index('PLV (min 500)'!F:F,match(F347,'PLV (min 500)'!B:B,0))</f>
        <v>4.143222818</v>
      </c>
      <c r="J347" s="10">
        <v>4.948870633419051</v>
      </c>
      <c r="K347" s="10">
        <v>-5.431987204227536</v>
      </c>
      <c r="L347" s="10">
        <v>-0.5085838893492565</v>
      </c>
      <c r="U347" s="9"/>
      <c r="X347" s="9"/>
    </row>
    <row r="348">
      <c r="A348" s="1" t="s">
        <v>398</v>
      </c>
      <c r="B348" s="1" t="s">
        <v>70</v>
      </c>
      <c r="C348" s="1">
        <v>95.1</v>
      </c>
      <c r="D348" s="3">
        <v>3.209790381</v>
      </c>
      <c r="E348" s="3">
        <v>3.712115956</v>
      </c>
      <c r="F348" s="1">
        <v>676282.0</v>
      </c>
      <c r="G348" s="9">
        <f t="shared" si="1"/>
        <v>95.33333333</v>
      </c>
      <c r="H348" s="10" t="str">
        <f>IFERROR(__xludf.DUMMYFUNCTION("if(B348=""- - -"",""Trade"",filter(R:R,Q:Q=B348))"),"AL")</f>
        <v>AL</v>
      </c>
      <c r="I348" s="11">
        <f t="array" ref="I348">index('PLV (min 500)'!F:F,match(F348,'PLV (min 500)'!B:B,0))</f>
        <v>3.630848224</v>
      </c>
      <c r="J348" s="11">
        <v>3.5175848536851735</v>
      </c>
      <c r="K348" s="9">
        <v>5.7315200460599955</v>
      </c>
      <c r="L348" s="10">
        <v>4.534703765813328</v>
      </c>
      <c r="U348" s="9"/>
      <c r="X348" s="9"/>
    </row>
    <row r="349">
      <c r="A349" s="1" t="s">
        <v>399</v>
      </c>
      <c r="B349" s="1" t="s">
        <v>25</v>
      </c>
      <c r="C349" s="1">
        <v>164.2</v>
      </c>
      <c r="D349" s="3">
        <v>4.755061022</v>
      </c>
      <c r="E349" s="3">
        <v>3.915738663</v>
      </c>
      <c r="F349" s="1">
        <v>543294.0</v>
      </c>
      <c r="G349" s="9">
        <f t="shared" si="1"/>
        <v>164.6666667</v>
      </c>
      <c r="H349" s="10" t="str">
        <f>IFERROR(__xludf.DUMMYFUNCTION("if(B349=""- - -"",""Trade"",filter(R:R,Q:Q=B349))"),"AL")</f>
        <v>AL</v>
      </c>
      <c r="I349" s="11">
        <f t="array" ref="I349">index('PLV (min 500)'!F:F,match(F349,'PLV (min 500)'!B:B,0))</f>
        <v>3.230672374</v>
      </c>
      <c r="J349" s="10">
        <v>3.9671573531101436</v>
      </c>
      <c r="K349" s="10">
        <v>1.6938625132571505</v>
      </c>
      <c r="L349" s="10">
        <v>15.130621792771446</v>
      </c>
      <c r="U349" s="9"/>
      <c r="X349" s="9"/>
    </row>
    <row r="350">
      <c r="A350" s="1" t="s">
        <v>400</v>
      </c>
      <c r="B350" s="1" t="s">
        <v>54</v>
      </c>
      <c r="C350" s="1">
        <v>76.0</v>
      </c>
      <c r="D350" s="3">
        <v>3.789474065</v>
      </c>
      <c r="E350" s="3">
        <v>3.871023809</v>
      </c>
      <c r="F350" s="1">
        <v>670955.0</v>
      </c>
      <c r="G350" s="9">
        <f t="shared" si="1"/>
        <v>76</v>
      </c>
      <c r="H350" s="10" t="str">
        <f>IFERROR(__xludf.DUMMYFUNCTION("if(B350=""- - -"",""Trade"",filter(R:R,Q:Q=B350))"),"AL")</f>
        <v>AL</v>
      </c>
      <c r="I350" s="11">
        <f t="array" ref="I350">index('PLV (min 500)'!F:F,match(F350,'PLV (min 500)'!B:B,0))</f>
        <v>3.469824474</v>
      </c>
      <c r="J350" s="11">
        <v>3.7101074493041626</v>
      </c>
      <c r="K350" s="9">
        <v>2.954648205875957</v>
      </c>
      <c r="L350" s="10">
        <v>4.983704442516769</v>
      </c>
      <c r="U350" s="9"/>
      <c r="X350" s="9"/>
    </row>
    <row r="351">
      <c r="A351" s="1" t="s">
        <v>401</v>
      </c>
      <c r="B351" s="1" t="s">
        <v>21</v>
      </c>
      <c r="C351" s="1">
        <v>26.2</v>
      </c>
      <c r="D351" s="3">
        <v>6.750001368</v>
      </c>
      <c r="E351" s="3">
        <v>4.590198885</v>
      </c>
      <c r="F351" s="1">
        <v>593576.0</v>
      </c>
      <c r="G351" s="9">
        <f t="shared" si="1"/>
        <v>26.66666667</v>
      </c>
      <c r="H351" s="10" t="str">
        <f>IFERROR(__xludf.DUMMYFUNCTION("if(B351=""- - -"",""Trade"",filter(R:R,Q:Q=B351))"),"Trade")</f>
        <v>Trade</v>
      </c>
      <c r="I351" s="11">
        <f t="array" ref="I351">index('PLV (min 500)'!F:F,match(F351,'PLV (min 500)'!B:B,0))</f>
        <v>4.324408425</v>
      </c>
      <c r="J351" s="11">
        <v>5.221536225981981</v>
      </c>
      <c r="K351" s="9">
        <v>-3.3813610134142125</v>
      </c>
      <c r="L351" s="10">
        <v>-0.7697223037315251</v>
      </c>
      <c r="U351" s="9"/>
      <c r="X351" s="9"/>
    </row>
    <row r="352">
      <c r="A352" s="1" t="s">
        <v>402</v>
      </c>
      <c r="B352" s="1" t="s">
        <v>22</v>
      </c>
      <c r="C352" s="1">
        <v>34.2</v>
      </c>
      <c r="D352" s="3">
        <v>3.115384844</v>
      </c>
      <c r="E352" s="3">
        <v>3.997678505</v>
      </c>
      <c r="F352" s="1">
        <v>669684.0</v>
      </c>
      <c r="G352" s="9">
        <f t="shared" si="1"/>
        <v>34.66666667</v>
      </c>
      <c r="H352" s="10" t="str">
        <f>IFERROR(__xludf.DUMMYFUNCTION("if(B352=""- - -"",""Trade"",filter(R:R,Q:Q=B352))"),"AL")</f>
        <v>AL</v>
      </c>
      <c r="I352" s="11">
        <f t="array" ref="I352">index('PLV (min 500)'!F:F,match(F352,'PLV (min 500)'!B:B,0))</f>
        <v>3.576031875</v>
      </c>
      <c r="J352" s="11">
        <v>3.563031741321872</v>
      </c>
      <c r="K352" s="9">
        <v>1.8884793829768851</v>
      </c>
      <c r="L352" s="10">
        <v>1.8390788751306617</v>
      </c>
      <c r="U352" s="9"/>
      <c r="X352" s="9"/>
    </row>
    <row r="353">
      <c r="A353" s="1" t="s">
        <v>403</v>
      </c>
      <c r="B353" s="1" t="s">
        <v>31</v>
      </c>
      <c r="C353" s="1">
        <v>61.1</v>
      </c>
      <c r="D353" s="3">
        <v>4.108696248</v>
      </c>
      <c r="E353" s="3">
        <v>3.833053537</v>
      </c>
      <c r="F353" s="1">
        <v>676254.0</v>
      </c>
      <c r="G353" s="9">
        <f t="shared" si="1"/>
        <v>61.33333333</v>
      </c>
      <c r="H353" s="10" t="str">
        <f>IFERROR(__xludf.DUMMYFUNCTION("if(B353=""- - -"",""Trade"",filter(R:R,Q:Q=B353))"),"NL")</f>
        <v>NL</v>
      </c>
      <c r="I353" s="11">
        <f t="array" ref="I353">index('PLV (min 500)'!F:F,match(F353,'PLV (min 500)'!B:B,0))</f>
        <v>3.481500472</v>
      </c>
      <c r="J353" s="11">
        <v>3.807750085815888</v>
      </c>
      <c r="K353" s="9">
        <v>1.7124966396276902</v>
      </c>
      <c r="L353" s="10">
        <v>3.927369014827528</v>
      </c>
      <c r="U353" s="9"/>
      <c r="X353" s="9"/>
    </row>
    <row r="354">
      <c r="A354" s="1" t="s">
        <v>404</v>
      </c>
      <c r="B354" s="1" t="s">
        <v>26</v>
      </c>
      <c r="C354" s="1">
        <v>71.2</v>
      </c>
      <c r="D354" s="3">
        <v>3.139535789</v>
      </c>
      <c r="E354" s="3">
        <v>4.007563608</v>
      </c>
      <c r="F354" s="1">
        <v>593974.0</v>
      </c>
      <c r="G354" s="9">
        <f t="shared" si="1"/>
        <v>71.66666667</v>
      </c>
      <c r="H354" s="10" t="str">
        <f>IFERROR(__xludf.DUMMYFUNCTION("if(B354=""- - -"",""Trade"",filter(R:R,Q:Q=B354))"),"NL")</f>
        <v>NL</v>
      </c>
      <c r="I354" s="11">
        <f t="array" ref="I354">index('PLV (min 500)'!F:F,match(F354,'PLV (min 500)'!B:B,0))</f>
        <v>3.346306284</v>
      </c>
      <c r="J354" s="11">
        <v>3.497801893599584</v>
      </c>
      <c r="K354" s="9">
        <v>4.447611686189955</v>
      </c>
      <c r="L354" s="10">
        <v>5.646110288169871</v>
      </c>
      <c r="U354" s="9"/>
      <c r="X354" s="9"/>
    </row>
    <row r="355">
      <c r="A355" s="1" t="s">
        <v>405</v>
      </c>
      <c r="B355" s="1" t="s">
        <v>21</v>
      </c>
      <c r="C355" s="1">
        <v>126.0</v>
      </c>
      <c r="D355" s="3">
        <v>4.928571466</v>
      </c>
      <c r="E355" s="3">
        <v>5.390532172</v>
      </c>
      <c r="F355" s="1">
        <v>621111.0</v>
      </c>
      <c r="G355" s="9">
        <f t="shared" si="1"/>
        <v>126</v>
      </c>
      <c r="H355" s="10" t="str">
        <f>IFERROR(__xludf.DUMMYFUNCTION("if(B355=""- - -"",""Trade"",filter(R:R,Q:Q=B355))"),"Trade")</f>
        <v>Trade</v>
      </c>
      <c r="I355" s="11">
        <f t="array" ref="I355">index('PLV (min 500)'!F:F,match(F355,'PLV (min 500)'!B:B,0))</f>
        <v>3.724206</v>
      </c>
      <c r="J355" s="11">
        <v>4.681103212696224</v>
      </c>
      <c r="K355" s="9">
        <v>-8.695444977747147</v>
      </c>
      <c r="L355" s="10">
        <v>4.701115998758588</v>
      </c>
      <c r="U355" s="9"/>
      <c r="X355" s="9"/>
    </row>
    <row r="356">
      <c r="A356" s="1" t="s">
        <v>406</v>
      </c>
      <c r="B356" s="1" t="s">
        <v>22</v>
      </c>
      <c r="C356" s="1">
        <v>67.0</v>
      </c>
      <c r="D356" s="3">
        <v>2.820895844</v>
      </c>
      <c r="E356" s="3">
        <v>3.421540564</v>
      </c>
      <c r="F356" s="1">
        <v>669711.0</v>
      </c>
      <c r="G356" s="9">
        <f t="shared" si="1"/>
        <v>67</v>
      </c>
      <c r="H356" s="10" t="str">
        <f>IFERROR(__xludf.DUMMYFUNCTION("if(B356=""- - -"",""Trade"",filter(R:R,Q:Q=B356))"),"AL")</f>
        <v>AL</v>
      </c>
      <c r="I356" s="11">
        <f t="array" ref="I356">index('PLV (min 500)'!F:F,match(F356,'PLV (min 500)'!B:B,0))</f>
        <v>3.40883006</v>
      </c>
      <c r="J356" s="10">
        <v>3.2170888226010828</v>
      </c>
      <c r="K356" s="10">
        <v>6.275005431747492</v>
      </c>
      <c r="L356" s="10">
        <v>4.847598443686921</v>
      </c>
      <c r="U356" s="9"/>
      <c r="X356" s="9"/>
    </row>
    <row r="357">
      <c r="A357" s="1" t="s">
        <v>407</v>
      </c>
      <c r="B357" s="1" t="s">
        <v>29</v>
      </c>
      <c r="C357" s="1">
        <v>61.1</v>
      </c>
      <c r="D357" s="3">
        <v>2.641304731</v>
      </c>
      <c r="E357" s="3">
        <v>3.833246306</v>
      </c>
      <c r="F357" s="1">
        <v>668674.0</v>
      </c>
      <c r="G357" s="9">
        <f t="shared" si="1"/>
        <v>61.33333333</v>
      </c>
      <c r="H357" s="10" t="str">
        <f>IFERROR(__xludf.DUMMYFUNCTION("if(B357=""- - -"",""Trade"",filter(R:R,Q:Q=B357))"),"AL")</f>
        <v>AL</v>
      </c>
      <c r="I357" s="11">
        <f t="array" ref="I357">index('PLV (min 500)'!F:F,match(F357,'PLV (min 500)'!B:B,0))</f>
        <v>3.333440544</v>
      </c>
      <c r="J357" s="10">
        <v>3.269330526958941</v>
      </c>
      <c r="K357" s="10">
        <v>5.367767200312076</v>
      </c>
      <c r="L357" s="10">
        <v>4.932531418791781</v>
      </c>
      <c r="U357" s="9"/>
      <c r="X357" s="9"/>
    </row>
    <row r="358">
      <c r="A358" s="1" t="s">
        <v>408</v>
      </c>
      <c r="B358" s="1" t="s">
        <v>58</v>
      </c>
      <c r="C358" s="1">
        <v>78.2</v>
      </c>
      <c r="D358" s="3">
        <v>3.317796717</v>
      </c>
      <c r="E358" s="3">
        <v>3.017018269</v>
      </c>
      <c r="F358" s="1">
        <v>657376.0</v>
      </c>
      <c r="G358" s="9">
        <f t="shared" si="1"/>
        <v>78.66666667</v>
      </c>
      <c r="H358" s="10" t="str">
        <f>IFERROR(__xludf.DUMMYFUNCTION("if(B358=""- - -"",""Trade"",filter(R:R,Q:Q=B358))"),"AL")</f>
        <v>AL</v>
      </c>
      <c r="I358" s="11">
        <f t="array" ref="I358">index('PLV (min 500)'!F:F,match(F358,'PLV (min 500)'!B:B,0))</f>
        <v>3.264320708</v>
      </c>
      <c r="J358" s="11">
        <v>3.1997118978572634</v>
      </c>
      <c r="K358" s="9">
        <v>7.47494773195133</v>
      </c>
      <c r="L358" s="10">
        <v>6.9135689630984345</v>
      </c>
      <c r="U358" s="9"/>
      <c r="X358" s="9"/>
    </row>
    <row r="359">
      <c r="A359" s="1" t="s">
        <v>409</v>
      </c>
      <c r="B359" s="1" t="s">
        <v>72</v>
      </c>
      <c r="C359" s="1">
        <v>48.0</v>
      </c>
      <c r="D359" s="3">
        <v>2.062500328</v>
      </c>
      <c r="E359" s="3">
        <v>3.591506672</v>
      </c>
      <c r="F359" s="1">
        <v>676617.0</v>
      </c>
      <c r="G359" s="9">
        <f t="shared" si="1"/>
        <v>48</v>
      </c>
      <c r="H359" s="10" t="str">
        <f>IFERROR(__xludf.DUMMYFUNCTION("if(B359=""- - -"",""Trade"",filter(R:R,Q:Q=B359))"),"NL")</f>
        <v>NL</v>
      </c>
      <c r="I359" s="11">
        <f t="array" ref="I359">index('PLV (min 500)'!F:F,match(F359,'PLV (min 500)'!B:B,0))</f>
        <v>3.236042625</v>
      </c>
      <c r="J359" s="10">
        <v>2.963349874955055</v>
      </c>
      <c r="K359" s="10">
        <v>5.848800666906371</v>
      </c>
      <c r="L359" s="10">
        <v>4.394439334052453</v>
      </c>
      <c r="U359" s="9"/>
      <c r="X359" s="9"/>
    </row>
    <row r="360">
      <c r="A360" s="1" t="s">
        <v>410</v>
      </c>
      <c r="B360" s="1" t="s">
        <v>22</v>
      </c>
      <c r="C360" s="1">
        <v>166.2</v>
      </c>
      <c r="D360" s="3">
        <v>3.348000204</v>
      </c>
      <c r="E360" s="3">
        <v>4.481964379</v>
      </c>
      <c r="F360" s="1">
        <v>678394.0</v>
      </c>
      <c r="G360" s="9">
        <f t="shared" si="1"/>
        <v>166.6666667</v>
      </c>
      <c r="H360" s="10" t="str">
        <f>IFERROR(__xludf.DUMMYFUNCTION("if(B360=""- - -"",""Trade"",filter(R:R,Q:Q=B360))"),"AL")</f>
        <v>AL</v>
      </c>
      <c r="I360" s="11">
        <f t="array" ref="I360">index('PLV (min 500)'!F:F,match(F360,'PLV (min 500)'!B:B,0))</f>
        <v>3.4399485</v>
      </c>
      <c r="J360" s="10">
        <v>3.7566376943791995</v>
      </c>
      <c r="K360" s="10">
        <v>5.602090577130776</v>
      </c>
      <c r="L360" s="10">
        <v>11.450284364125661</v>
      </c>
      <c r="U360" s="9"/>
      <c r="X360" s="9"/>
    </row>
    <row r="361">
      <c r="A361" s="1" t="s">
        <v>411</v>
      </c>
      <c r="B361" s="1" t="s">
        <v>21</v>
      </c>
      <c r="C361" s="1">
        <v>125.0</v>
      </c>
      <c r="D361" s="3">
        <v>3.312000101</v>
      </c>
      <c r="E361" s="3">
        <v>4.041611519</v>
      </c>
      <c r="F361" s="1">
        <v>605288.0</v>
      </c>
      <c r="G361" s="9">
        <f t="shared" si="1"/>
        <v>125</v>
      </c>
      <c r="H361" s="10" t="str">
        <f>IFERROR(__xludf.DUMMYFUNCTION("if(B361=""- - -"",""Trade"",filter(R:R,Q:Q=B361))"),"Trade")</f>
        <v>Trade</v>
      </c>
      <c r="I361" s="11">
        <f t="array" ref="I361">index('PLV (min 500)'!F:F,match(F361,'PLV (min 500)'!B:B,0))</f>
        <v>3.271945896</v>
      </c>
      <c r="J361" s="10">
        <v>3.5418525053682344</v>
      </c>
      <c r="K361" s="10">
        <v>7.196492980996739</v>
      </c>
      <c r="L361" s="10">
        <v>10.945195887434688</v>
      </c>
      <c r="U361" s="9"/>
      <c r="X361" s="9"/>
    </row>
    <row r="362">
      <c r="A362" s="1" t="s">
        <v>412</v>
      </c>
      <c r="B362" s="1" t="s">
        <v>21</v>
      </c>
      <c r="C362" s="1">
        <v>34.1</v>
      </c>
      <c r="D362" s="3">
        <v>6.291262369</v>
      </c>
      <c r="E362" s="3">
        <v>6.961028143</v>
      </c>
      <c r="F362" s="1">
        <v>641482.0</v>
      </c>
      <c r="G362" s="9">
        <f t="shared" si="1"/>
        <v>34.33333333</v>
      </c>
      <c r="H362" s="10" t="str">
        <f>IFERROR(__xludf.DUMMYFUNCTION("if(B362=""- - -"",""Trade"",filter(R:R,Q:Q=B362))"),"Trade")</f>
        <v>Trade</v>
      </c>
      <c r="I362" s="11">
        <f t="array" ref="I362">index('PLV (min 500)'!F:F,match(F362,'PLV (min 500)'!B:B,0))</f>
        <v>3.740618534</v>
      </c>
      <c r="J362" s="10">
        <v>5.664303015338966</v>
      </c>
      <c r="K362" s="10">
        <v>-6.078525869228751</v>
      </c>
      <c r="L362" s="10">
        <v>1.210100887780414</v>
      </c>
      <c r="U362" s="9"/>
      <c r="X362" s="9"/>
    </row>
    <row r="363">
      <c r="A363" s="1" t="s">
        <v>413</v>
      </c>
      <c r="B363" s="1" t="s">
        <v>21</v>
      </c>
      <c r="C363" s="1">
        <v>142.2</v>
      </c>
      <c r="D363" s="3">
        <v>5.046729197</v>
      </c>
      <c r="E363" s="3">
        <v>4.089863813</v>
      </c>
      <c r="F363" s="1">
        <v>671737.0</v>
      </c>
      <c r="G363" s="9">
        <f t="shared" si="1"/>
        <v>142.6666667</v>
      </c>
      <c r="H363" s="10" t="str">
        <f>IFERROR(__xludf.DUMMYFUNCTION("if(B363=""- - -"",""Trade"",filter(R:R,Q:Q=B363))"),"Trade")</f>
        <v>Trade</v>
      </c>
      <c r="I363" s="11">
        <f t="array" ref="I363">index('PLV (min 500)'!F:F,match(F363,'PLV (min 500)'!B:B,0))</f>
        <v>3.449864566</v>
      </c>
      <c r="J363" s="11">
        <v>4.195485858511136</v>
      </c>
      <c r="K363" s="9">
        <v>-2.140676564475949</v>
      </c>
      <c r="L363" s="10">
        <v>9.640139864572161</v>
      </c>
      <c r="U363" s="9"/>
      <c r="X363" s="9"/>
    </row>
    <row r="364">
      <c r="A364" s="1" t="s">
        <v>414</v>
      </c>
      <c r="B364" s="1" t="s">
        <v>46</v>
      </c>
      <c r="C364" s="1">
        <v>37.0</v>
      </c>
      <c r="D364" s="3">
        <v>3.405406108</v>
      </c>
      <c r="E364" s="3">
        <v>4.217253944</v>
      </c>
      <c r="F364" s="1">
        <v>678226.0</v>
      </c>
      <c r="G364" s="9">
        <f t="shared" si="1"/>
        <v>37</v>
      </c>
      <c r="H364" s="10" t="str">
        <f>IFERROR(__xludf.DUMMYFUNCTION("if(B364=""- - -"",""Trade"",filter(R:R,Q:Q=B364))"),"NL")</f>
        <v>NL</v>
      </c>
      <c r="I364" s="11">
        <f t="array" ref="I364">index('PLV (min 500)'!F:F,match(F364,'PLV (min 500)'!B:B,0))</f>
        <v>4.092827837</v>
      </c>
      <c r="J364" s="11">
        <v>3.9051626297984563</v>
      </c>
      <c r="K364" s="9">
        <v>0.6365536330507892</v>
      </c>
      <c r="L364" s="10">
        <v>-0.13495888706985484</v>
      </c>
      <c r="U364" s="9"/>
      <c r="X364" s="9"/>
    </row>
    <row r="365">
      <c r="A365" s="1" t="s">
        <v>415</v>
      </c>
      <c r="B365" s="1" t="s">
        <v>21</v>
      </c>
      <c r="C365" s="1">
        <v>92.1</v>
      </c>
      <c r="D365" s="3">
        <v>2.72924214</v>
      </c>
      <c r="E365" s="3">
        <v>3.87166321</v>
      </c>
      <c r="F365" s="1">
        <v>656794.0</v>
      </c>
      <c r="G365" s="9">
        <f t="shared" si="1"/>
        <v>92.33333333</v>
      </c>
      <c r="H365" s="10" t="str">
        <f>IFERROR(__xludf.DUMMYFUNCTION("if(B365=""- - -"",""Trade"",filter(R:R,Q:Q=B365))"),"Trade")</f>
        <v>Trade</v>
      </c>
      <c r="I365" s="11">
        <f t="array" ref="I365">index('PLV (min 500)'!F:F,match(F365,'PLV (min 500)'!B:B,0))</f>
        <v>3.282260654</v>
      </c>
      <c r="J365" s="10">
        <v>3.2943886678612144</v>
      </c>
      <c r="K365" s="10">
        <v>7.834755965553567</v>
      </c>
      <c r="L365" s="10">
        <v>7.958865978327371</v>
      </c>
      <c r="U365" s="9"/>
      <c r="X365" s="9"/>
    </row>
    <row r="366">
      <c r="A366" s="1" t="s">
        <v>416</v>
      </c>
      <c r="B366" s="1" t="s">
        <v>22</v>
      </c>
      <c r="C366" s="1">
        <v>145.0</v>
      </c>
      <c r="D366" s="3">
        <v>3.413793103</v>
      </c>
      <c r="E366" s="3">
        <v>5.013314615</v>
      </c>
      <c r="F366" s="1">
        <v>608337.0</v>
      </c>
      <c r="G366" s="9">
        <f t="shared" si="1"/>
        <v>145</v>
      </c>
      <c r="H366" s="10" t="str">
        <f>IFERROR(__xludf.DUMMYFUNCTION("if(B366=""- - -"",""Trade"",filter(R:R,Q:Q=B366))"),"AL")</f>
        <v>AL</v>
      </c>
      <c r="I366" s="11">
        <f t="array" ref="I366">index('PLV (min 500)'!F:F,match(F366,'PLV (min 500)'!B:B,0))</f>
        <v>3.539153917</v>
      </c>
      <c r="J366" s="11">
        <v>3.988753878389385</v>
      </c>
      <c r="K366" s="9">
        <v>1.1478541815043428</v>
      </c>
      <c r="L366" s="10">
        <v>8.39140911229083</v>
      </c>
      <c r="U366" s="9"/>
      <c r="X366" s="9"/>
    </row>
    <row r="367">
      <c r="A367" s="1" t="s">
        <v>417</v>
      </c>
      <c r="B367" s="1" t="s">
        <v>66</v>
      </c>
      <c r="C367" s="1">
        <v>67.2</v>
      </c>
      <c r="D367" s="3">
        <v>4.522167913</v>
      </c>
      <c r="E367" s="3">
        <v>4.084990638</v>
      </c>
      <c r="F367" s="1">
        <v>608718.0</v>
      </c>
      <c r="G367" s="9">
        <f t="shared" si="1"/>
        <v>67.66666667</v>
      </c>
      <c r="H367" s="10" t="str">
        <f>IFERROR(__xludf.DUMMYFUNCTION("if(B367=""- - -"",""Trade"",filter(R:R,Q:Q=B367))"),"NL")</f>
        <v>NL</v>
      </c>
      <c r="I367" s="11">
        <f t="array" ref="I367">index('PLV (min 500)'!F:F,match(F367,'PLV (min 500)'!B:B,0))</f>
        <v>3.492874419</v>
      </c>
      <c r="J367" s="10">
        <v>4.033344323285621</v>
      </c>
      <c r="K367" s="10">
        <v>0.19902905280069377</v>
      </c>
      <c r="L367" s="10">
        <v>4.23453767253543</v>
      </c>
      <c r="U367" s="9"/>
      <c r="X367" s="9"/>
    </row>
    <row r="368">
      <c r="A368" s="1" t="s">
        <v>418</v>
      </c>
      <c r="B368" s="1" t="s">
        <v>14</v>
      </c>
      <c r="C368" s="1">
        <v>66.0</v>
      </c>
      <c r="D368" s="3">
        <v>2.863636695</v>
      </c>
      <c r="E368" s="3">
        <v>2.824113274</v>
      </c>
      <c r="F368" s="1">
        <v>657649.0</v>
      </c>
      <c r="G368" s="9">
        <f t="shared" si="1"/>
        <v>66</v>
      </c>
      <c r="H368" s="10" t="str">
        <f>IFERROR(__xludf.DUMMYFUNCTION("if(B368=""- - -"",""Trade"",filter(R:R,Q:Q=B368))"),"NL")</f>
        <v>NL</v>
      </c>
      <c r="I368" s="11">
        <f t="array" ref="I368">index('PLV (min 500)'!F:F,match(F368,'PLV (min 500)'!B:B,0))</f>
        <v>3.325451591</v>
      </c>
      <c r="J368" s="11">
        <v>3.004400520087264</v>
      </c>
      <c r="K368" s="9">
        <v>7.741062852693395</v>
      </c>
      <c r="L368" s="10">
        <v>5.386688330746865</v>
      </c>
      <c r="U368" s="9"/>
      <c r="X368" s="9"/>
    </row>
    <row r="369">
      <c r="A369" s="1" t="s">
        <v>419</v>
      </c>
      <c r="B369" s="1" t="s">
        <v>62</v>
      </c>
      <c r="C369" s="1">
        <v>68.2</v>
      </c>
      <c r="D369" s="3">
        <v>3.145631184</v>
      </c>
      <c r="E369" s="3">
        <v>4.072028288</v>
      </c>
      <c r="F369" s="1">
        <v>681857.0</v>
      </c>
      <c r="G369" s="9">
        <f t="shared" si="1"/>
        <v>68.66666667</v>
      </c>
      <c r="H369" s="10" t="str">
        <f>IFERROR(__xludf.DUMMYFUNCTION("if(B369=""- - -"",""Trade"",filter(R:R,Q:Q=B369))"),"AL")</f>
        <v>AL</v>
      </c>
      <c r="I369" s="11">
        <f t="array" ref="I369">index('PLV (min 500)'!F:F,match(F369,'PLV (min 500)'!B:B,0))</f>
        <v>3.630643078</v>
      </c>
      <c r="J369" s="10">
        <v>3.6161008498840927</v>
      </c>
      <c r="K369" s="10">
        <v>3.363769115322761</v>
      </c>
      <c r="L369" s="10">
        <v>3.253571344901624</v>
      </c>
      <c r="U369" s="9"/>
      <c r="X369" s="9"/>
    </row>
    <row r="370">
      <c r="A370" s="1" t="s">
        <v>420</v>
      </c>
      <c r="B370" s="1" t="s">
        <v>29</v>
      </c>
      <c r="C370" s="1">
        <v>141.2</v>
      </c>
      <c r="D370" s="3">
        <v>4.637647392</v>
      </c>
      <c r="E370" s="3">
        <v>4.604061772</v>
      </c>
      <c r="F370" s="1">
        <v>547179.0</v>
      </c>
      <c r="G370" s="9">
        <f t="shared" si="1"/>
        <v>141.6666667</v>
      </c>
      <c r="H370" s="10" t="str">
        <f>IFERROR(__xludf.DUMMYFUNCTION("if(B370=""- - -"",""Trade"",filter(R:R,Q:Q=B370))"),"AL")</f>
        <v>AL</v>
      </c>
      <c r="I370" s="11">
        <f t="array" ref="I370">index('PLV (min 500)'!F:F,match(F370,'PLV (min 500)'!B:B,0))</f>
        <v>3.550474906</v>
      </c>
      <c r="J370" s="11">
        <v>4.264061356666437</v>
      </c>
      <c r="K370" s="9">
        <v>-3.2014959512556573</v>
      </c>
      <c r="L370" s="10">
        <v>7.993882585877483</v>
      </c>
      <c r="U370" s="9"/>
      <c r="X370" s="9"/>
    </row>
    <row r="371">
      <c r="A371" s="1" t="s">
        <v>421</v>
      </c>
      <c r="B371" s="1" t="s">
        <v>33</v>
      </c>
      <c r="C371" s="1">
        <v>90.1</v>
      </c>
      <c r="D371" s="3">
        <v>3.188192061</v>
      </c>
      <c r="E371" s="3">
        <v>3.329454494</v>
      </c>
      <c r="F371" s="1">
        <v>607192.0</v>
      </c>
      <c r="G371" s="9">
        <f t="shared" si="1"/>
        <v>90.33333333</v>
      </c>
      <c r="H371" s="10" t="str">
        <f>IFERROR(__xludf.DUMMYFUNCTION("if(B371=""- - -"",""Trade"",filter(R:R,Q:Q=B371))"),"NL")</f>
        <v>NL</v>
      </c>
      <c r="I371" s="11">
        <f t="array" ref="I371">index('PLV (min 500)'!F:F,match(F371,'PLV (min 500)'!B:B,0))</f>
        <v>3.613337369</v>
      </c>
      <c r="J371" s="11">
        <v>3.376994641339008</v>
      </c>
      <c r="K371" s="9">
        <v>6.837642535039483</v>
      </c>
      <c r="L371" s="10">
        <v>4.471589227951792</v>
      </c>
      <c r="U371" s="9"/>
      <c r="X371" s="9"/>
    </row>
    <row r="372">
      <c r="A372" s="1" t="s">
        <v>422</v>
      </c>
      <c r="B372" s="1" t="s">
        <v>58</v>
      </c>
      <c r="C372" s="1">
        <v>48.0</v>
      </c>
      <c r="D372" s="3">
        <v>3.562500849</v>
      </c>
      <c r="E372" s="3">
        <v>3.399657806</v>
      </c>
      <c r="F372" s="1">
        <v>518585.0</v>
      </c>
      <c r="G372" s="9">
        <f t="shared" si="1"/>
        <v>48</v>
      </c>
      <c r="H372" s="10" t="str">
        <f>IFERROR(__xludf.DUMMYFUNCTION("if(B372=""- - -"",""Trade"",filter(R:R,Q:Q=B372))"),"AL")</f>
        <v>AL</v>
      </c>
      <c r="I372" s="11">
        <f t="array" ref="I372">index('PLV (min 500)'!F:F,match(F372,'PLV (min 500)'!B:B,0))</f>
        <v>3.595277813</v>
      </c>
      <c r="J372" s="11">
        <v>3.5191454891916343</v>
      </c>
      <c r="K372" s="9">
        <v>2.8845573909779483</v>
      </c>
      <c r="L372" s="10">
        <v>2.4785183329338545</v>
      </c>
      <c r="U372" s="9"/>
      <c r="X372" s="9"/>
    </row>
    <row r="373">
      <c r="A373" s="1" t="s">
        <v>423</v>
      </c>
      <c r="B373" s="1" t="s">
        <v>60</v>
      </c>
      <c r="C373" s="1">
        <v>176.1</v>
      </c>
      <c r="D373" s="3">
        <v>4.185255319</v>
      </c>
      <c r="E373" s="3">
        <v>4.444461967</v>
      </c>
      <c r="F373" s="1">
        <v>656605.0</v>
      </c>
      <c r="G373" s="9">
        <f t="shared" si="1"/>
        <v>176.3333333</v>
      </c>
      <c r="H373" s="10" t="str">
        <f>IFERROR(__xludf.DUMMYFUNCTION("if(B373=""- - -"",""Trade"",filter(R:R,Q:Q=B373))"),"NL")</f>
        <v>NL</v>
      </c>
      <c r="I373" s="11">
        <f t="array" ref="I373">index('PLV (min 500)'!F:F,match(F373,'PLV (min 500)'!B:B,0))</f>
        <v>3.558360471</v>
      </c>
      <c r="J373" s="10">
        <v>4.062692585588899</v>
      </c>
      <c r="K373" s="10">
        <v>-0.05268492468947142</v>
      </c>
      <c r="L373" s="10">
        <v>9.815413455331573</v>
      </c>
      <c r="U373" s="9"/>
      <c r="X373" s="9"/>
    </row>
    <row r="374">
      <c r="A374" s="1" t="s">
        <v>424</v>
      </c>
      <c r="B374" s="1" t="s">
        <v>25</v>
      </c>
      <c r="C374" s="1">
        <v>169.0</v>
      </c>
      <c r="D374" s="3">
        <v>4.26035503</v>
      </c>
      <c r="E374" s="3">
        <v>4.026284192</v>
      </c>
      <c r="F374" s="1">
        <v>667755.0</v>
      </c>
      <c r="G374" s="9">
        <f t="shared" si="1"/>
        <v>169</v>
      </c>
      <c r="H374" s="10" t="str">
        <f>IFERROR(__xludf.DUMMYFUNCTION("if(B374=""- - -"",""Trade"",filter(R:R,Q:Q=B374))"),"AL")</f>
        <v>AL</v>
      </c>
      <c r="I374" s="11">
        <f t="array" ref="I374">index('PLV (min 500)'!F:F,match(F374,'PLV (min 500)'!B:B,0))</f>
        <v>3.482691444</v>
      </c>
      <c r="J374" s="10">
        <v>3.9231102219564717</v>
      </c>
      <c r="K374" s="10">
        <v>2.57048583215069</v>
      </c>
      <c r="L374" s="10">
        <v>10.84057177622991</v>
      </c>
      <c r="U374" s="9"/>
      <c r="X374" s="9"/>
    </row>
    <row r="375">
      <c r="A375" s="1" t="s">
        <v>425</v>
      </c>
      <c r="B375" s="1" t="s">
        <v>40</v>
      </c>
      <c r="C375" s="1">
        <v>166.0</v>
      </c>
      <c r="D375" s="3">
        <v>4.174698795</v>
      </c>
      <c r="E375" s="3">
        <v>4.791609502</v>
      </c>
      <c r="F375" s="1">
        <v>621244.0</v>
      </c>
      <c r="G375" s="9">
        <f t="shared" si="1"/>
        <v>166</v>
      </c>
      <c r="H375" s="10" t="str">
        <f>IFERROR(__xludf.DUMMYFUNCTION("if(B375=""- - -"",""Trade"",filter(R:R,Q:Q=B375))"),"AL")</f>
        <v>AL</v>
      </c>
      <c r="I375" s="11">
        <f t="array" ref="I375">index('PLV (min 500)'!F:F,match(F375,'PLV (min 500)'!B:B,0))</f>
        <v>3.105879018</v>
      </c>
      <c r="J375" s="10">
        <v>4.02406243839485</v>
      </c>
      <c r="K375" s="10">
        <v>0.6628483584949816</v>
      </c>
      <c r="L375" s="10">
        <v>17.598231442373855</v>
      </c>
      <c r="U375" s="9"/>
      <c r="X375" s="9"/>
    </row>
    <row r="376">
      <c r="A376" s="1" t="s">
        <v>426</v>
      </c>
      <c r="B376" s="1" t="s">
        <v>68</v>
      </c>
      <c r="C376" s="1">
        <v>34.2</v>
      </c>
      <c r="D376" s="3">
        <v>2.596154037</v>
      </c>
      <c r="E376" s="3">
        <v>2.834985949</v>
      </c>
      <c r="F376" s="1">
        <v>642585.0</v>
      </c>
      <c r="G376" s="9">
        <f t="shared" si="1"/>
        <v>34.66666667</v>
      </c>
      <c r="H376" s="10" t="str">
        <f>IFERROR(__xludf.DUMMYFUNCTION("if(B376=""- - -"",""Trade"",filter(R:R,Q:Q=B376))"),"AL")</f>
        <v>AL</v>
      </c>
      <c r="I376" s="11">
        <f t="array" ref="I376">index('PLV (min 500)'!F:F,match(F376,'PLV (min 500)'!B:B,0))</f>
        <v>3.822986336</v>
      </c>
      <c r="J376" s="11">
        <v>3.0847087739466765</v>
      </c>
      <c r="K376" s="9">
        <v>3.7061066590026277</v>
      </c>
      <c r="L376" s="10">
        <v>0.9006519238078821</v>
      </c>
      <c r="U376" s="9"/>
      <c r="X376" s="9"/>
    </row>
    <row r="377">
      <c r="A377" s="1" t="s">
        <v>427</v>
      </c>
      <c r="B377" s="1" t="s">
        <v>40</v>
      </c>
      <c r="C377" s="1">
        <v>73.0</v>
      </c>
      <c r="D377" s="3">
        <v>3.082192425</v>
      </c>
      <c r="E377" s="3">
        <v>4.173289381</v>
      </c>
      <c r="F377" s="1">
        <v>684320.0</v>
      </c>
      <c r="G377" s="9">
        <f t="shared" si="1"/>
        <v>73</v>
      </c>
      <c r="H377" s="10" t="str">
        <f>IFERROR(__xludf.DUMMYFUNCTION("if(B377=""- - -"",""Trade"",filter(R:R,Q:Q=B377))"),"AL")</f>
        <v>AL</v>
      </c>
      <c r="I377" s="11">
        <f t="array" ref="I377">index('PLV (min 500)'!F:F,match(F377,'PLV (min 500)'!B:B,0))</f>
        <v>3.415355384</v>
      </c>
      <c r="J377" s="11">
        <v>3.5569457299786436</v>
      </c>
      <c r="K377" s="9">
        <v>4.0803290790621105</v>
      </c>
      <c r="L377" s="10">
        <v>5.228784108075238</v>
      </c>
      <c r="U377" s="9"/>
      <c r="X377" s="9"/>
    </row>
    <row r="378">
      <c r="A378" s="1" t="s">
        <v>428</v>
      </c>
      <c r="B378" s="1" t="s">
        <v>40</v>
      </c>
      <c r="C378" s="1">
        <v>64.0</v>
      </c>
      <c r="D378" s="3">
        <v>6.04687536</v>
      </c>
      <c r="E378" s="3">
        <v>6.081622148</v>
      </c>
      <c r="F378" s="1">
        <v>670102.0</v>
      </c>
      <c r="G378" s="9">
        <f t="shared" si="1"/>
        <v>64</v>
      </c>
      <c r="H378" s="10" t="str">
        <f>IFERROR(__xludf.DUMMYFUNCTION("if(B378=""- - -"",""Trade"",filter(R:R,Q:Q=B378))"),"AL")</f>
        <v>AL</v>
      </c>
      <c r="I378" s="11">
        <f t="array" ref="I378">index('PLV (min 500)'!F:F,match(F378,'PLV (min 500)'!B:B,0))</f>
        <v>3.809880844</v>
      </c>
      <c r="J378" s="11">
        <v>5.312792783857137</v>
      </c>
      <c r="K378" s="9">
        <v>-8.908748685206312</v>
      </c>
      <c r="L378" s="10">
        <v>1.7786251123810644</v>
      </c>
      <c r="U378" s="9"/>
      <c r="X378" s="9"/>
    </row>
    <row r="379">
      <c r="A379" s="1" t="s">
        <v>429</v>
      </c>
      <c r="B379" s="1" t="s">
        <v>37</v>
      </c>
      <c r="C379" s="1">
        <v>62.1</v>
      </c>
      <c r="D379" s="3">
        <v>1.732620356</v>
      </c>
      <c r="E379" s="3">
        <v>2.811991681</v>
      </c>
      <c r="F379" s="1">
        <v>662253.0</v>
      </c>
      <c r="G379" s="9">
        <f t="shared" si="1"/>
        <v>62.33333333</v>
      </c>
      <c r="H379" s="10" t="str">
        <f>IFERROR(__xludf.DUMMYFUNCTION("if(B379=""- - -"",""Trade"",filter(R:R,Q:Q=B379))"),"AL")</f>
        <v>AL</v>
      </c>
      <c r="I379" s="11">
        <f t="array" ref="I379">index('PLV (min 500)'!F:F,match(F379,'PLV (min 500)'!B:B,0))</f>
        <v>3.535705588</v>
      </c>
      <c r="J379" s="11">
        <v>2.6934392083424368</v>
      </c>
      <c r="K379" s="9">
        <v>9.429269462437183</v>
      </c>
      <c r="L379" s="10">
        <v>3.6176314426115517</v>
      </c>
      <c r="U379" s="9"/>
      <c r="X379" s="9"/>
    </row>
    <row r="380">
      <c r="A380" s="1" t="s">
        <v>430</v>
      </c>
      <c r="B380" s="1" t="s">
        <v>60</v>
      </c>
      <c r="C380" s="1">
        <v>33.1</v>
      </c>
      <c r="D380" s="3">
        <v>5.400000824</v>
      </c>
      <c r="E380" s="3">
        <v>4.507553879</v>
      </c>
      <c r="F380" s="1">
        <v>670990.0</v>
      </c>
      <c r="G380" s="9">
        <f t="shared" si="1"/>
        <v>33.33333333</v>
      </c>
      <c r="H380" s="10" t="str">
        <f>IFERROR(__xludf.DUMMYFUNCTION("if(B380=""- - -"",""Trade"",filter(R:R,Q:Q=B380))"),"NL")</f>
        <v>NL</v>
      </c>
      <c r="I380" s="11">
        <f t="array" ref="I380">index('PLV (min 500)'!F:F,match(F380,'PLV (min 500)'!B:B,0))</f>
        <v>4.1328927</v>
      </c>
      <c r="J380" s="11">
        <v>4.68014913430578</v>
      </c>
      <c r="K380" s="9">
        <v>-2.280770705057926</v>
      </c>
      <c r="L380" s="10">
        <v>-0.26808315191822873</v>
      </c>
      <c r="U380" s="9"/>
      <c r="X380" s="9"/>
    </row>
    <row r="381">
      <c r="A381" s="1" t="s">
        <v>431</v>
      </c>
      <c r="B381" s="1" t="s">
        <v>64</v>
      </c>
      <c r="C381" s="1">
        <v>64.1</v>
      </c>
      <c r="D381" s="3">
        <v>2.658031298</v>
      </c>
      <c r="E381" s="3">
        <v>3.856388463</v>
      </c>
      <c r="F381" s="1">
        <v>669203.0</v>
      </c>
      <c r="G381" s="9">
        <f t="shared" si="1"/>
        <v>64.33333333</v>
      </c>
      <c r="H381" s="10" t="str">
        <f>IFERROR(__xludf.DUMMYFUNCTION("if(B381=""- - -"",""Trade"",filter(R:R,Q:Q=B381))"),"NL")</f>
        <v>NL</v>
      </c>
      <c r="I381" s="11">
        <f t="array" ref="I381">index('PLV (min 500)'!F:F,match(F381,'PLV (min 500)'!B:B,0))</f>
        <v>3.433359451</v>
      </c>
      <c r="J381" s="11">
        <v>3.315926403931664</v>
      </c>
      <c r="K381" s="9">
        <v>5.299457500886702</v>
      </c>
      <c r="L381" s="10">
        <v>4.463073244893444</v>
      </c>
      <c r="U381" s="9"/>
      <c r="X381" s="9"/>
    </row>
    <row r="382">
      <c r="A382" s="1" t="s">
        <v>432</v>
      </c>
      <c r="B382" s="1" t="s">
        <v>72</v>
      </c>
      <c r="C382" s="1">
        <v>162.2</v>
      </c>
      <c r="D382" s="3">
        <v>5.311475742</v>
      </c>
      <c r="E382" s="3">
        <v>4.302261326</v>
      </c>
      <c r="F382" s="1">
        <v>669467.0</v>
      </c>
      <c r="G382" s="9">
        <f t="shared" si="1"/>
        <v>162.6666667</v>
      </c>
      <c r="H382" s="10" t="str">
        <f>IFERROR(__xludf.DUMMYFUNCTION("if(B382=""- - -"",""Trade"",filter(R:R,Q:Q=B382))"),"NL")</f>
        <v>NL</v>
      </c>
      <c r="I382" s="11">
        <f t="array" ref="I382">index('PLV (min 500)'!F:F,match(F382,'PLV (min 500)'!B:B,0))</f>
        <v>3.646701774</v>
      </c>
      <c r="J382" s="11">
        <v>4.420146280786169</v>
      </c>
      <c r="K382" s="9">
        <v>-6.490636304835192</v>
      </c>
      <c r="L382" s="10">
        <v>7.448552466561084</v>
      </c>
      <c r="U382" s="9"/>
      <c r="X382" s="9"/>
    </row>
    <row r="383">
      <c r="A383" s="1" t="s">
        <v>433</v>
      </c>
      <c r="B383" s="1" t="s">
        <v>21</v>
      </c>
      <c r="C383" s="1">
        <v>60.1</v>
      </c>
      <c r="D383" s="3">
        <v>4.176796989</v>
      </c>
      <c r="E383" s="3">
        <v>3.834721941</v>
      </c>
      <c r="F383" s="1">
        <v>642397.0</v>
      </c>
      <c r="G383" s="9">
        <f t="shared" si="1"/>
        <v>60.33333333</v>
      </c>
      <c r="H383" s="10" t="str">
        <f>IFERROR(__xludf.DUMMYFUNCTION("if(B383=""- - -"",""Trade"",filter(R:R,Q:Q=B383))"),"Trade")</f>
        <v>Trade</v>
      </c>
      <c r="I383" s="11">
        <f t="array" ref="I383">index('PLV (min 500)'!F:F,match(F383,'PLV (min 500)'!B:B,0))</f>
        <v>3.717051216</v>
      </c>
      <c r="J383" s="11">
        <v>3.9095233818505855</v>
      </c>
      <c r="K383" s="9">
        <v>1.0048494167533102</v>
      </c>
      <c r="L383" s="10">
        <v>2.290135771704367</v>
      </c>
      <c r="U383" s="9"/>
      <c r="X383" s="9"/>
    </row>
    <row r="384">
      <c r="A384" s="1" t="s">
        <v>434</v>
      </c>
      <c r="B384" s="1" t="s">
        <v>34</v>
      </c>
      <c r="C384" s="1">
        <v>118.0</v>
      </c>
      <c r="D384" s="3">
        <v>2.669491698</v>
      </c>
      <c r="E384" s="3">
        <v>3.880603784</v>
      </c>
      <c r="F384" s="1">
        <v>690990.0</v>
      </c>
      <c r="G384" s="9">
        <f t="shared" si="1"/>
        <v>118</v>
      </c>
      <c r="H384" s="10" t="str">
        <f>IFERROR(__xludf.DUMMYFUNCTION("if(B384=""- - -"",""Trade"",filter(R:R,Q:Q=B384))"),"NL")</f>
        <v>NL</v>
      </c>
      <c r="I384" s="11">
        <f t="array" ref="I384">index('PLV (min 500)'!F:F,match(F384,'PLV (min 500)'!B:B,0))</f>
        <v>3.365239347</v>
      </c>
      <c r="J384" s="10">
        <v>3.3051116098192086</v>
      </c>
      <c r="K384" s="10">
        <v>9.897425560148148</v>
      </c>
      <c r="L384" s="10">
        <v>9.10908411111112</v>
      </c>
      <c r="U384" s="9"/>
      <c r="X384" s="9"/>
    </row>
    <row r="385">
      <c r="A385" s="1" t="s">
        <v>435</v>
      </c>
      <c r="B385" s="1" t="s">
        <v>21</v>
      </c>
      <c r="C385" s="1">
        <v>43.0</v>
      </c>
      <c r="D385" s="3">
        <v>2.302326194</v>
      </c>
      <c r="E385" s="3">
        <v>3.951641598</v>
      </c>
      <c r="F385" s="1">
        <v>543056.0</v>
      </c>
      <c r="G385" s="9">
        <f t="shared" si="1"/>
        <v>43</v>
      </c>
      <c r="H385" s="10" t="str">
        <f>IFERROR(__xludf.DUMMYFUNCTION("if(B385=""- - -"",""Trade"",filter(R:R,Q:Q=B385))"),"Trade")</f>
        <v>Trade</v>
      </c>
      <c r="I385" s="11">
        <f t="array" ref="I385">index('PLV (min 500)'!F:F,match(F385,'PLV (min 500)'!B:B,0))</f>
        <v>3.580280581</v>
      </c>
      <c r="J385" s="11">
        <v>3.278082791131783</v>
      </c>
      <c r="K385" s="9">
        <v>3.7358266645925897</v>
      </c>
      <c r="L385" s="10">
        <v>2.2919927777777778</v>
      </c>
      <c r="U385" s="9"/>
      <c r="X385" s="9"/>
    </row>
    <row r="386">
      <c r="A386" s="1" t="s">
        <v>436</v>
      </c>
      <c r="B386" s="1" t="s">
        <v>52</v>
      </c>
      <c r="C386" s="1">
        <v>39.2</v>
      </c>
      <c r="D386" s="3">
        <v>3.176471403</v>
      </c>
      <c r="E386" s="3">
        <v>4.836338828</v>
      </c>
      <c r="F386" s="1">
        <v>547184.0</v>
      </c>
      <c r="G386" s="9">
        <f t="shared" si="1"/>
        <v>39.66666667</v>
      </c>
      <c r="H386" s="10" t="str">
        <f>IFERROR(__xludf.DUMMYFUNCTION("if(B386=""- - -"",""Trade"",filter(R:R,Q:Q=B386))"),"AL")</f>
        <v>AL</v>
      </c>
      <c r="I386" s="11">
        <f t="array" ref="I386">index('PLV (min 500)'!F:F,match(F386,'PLV (min 500)'!B:B,0))</f>
        <v>3.569739655</v>
      </c>
      <c r="J386" s="11">
        <v>3.860849962024071</v>
      </c>
      <c r="K386" s="9">
        <v>0.8674090542951556</v>
      </c>
      <c r="L386" s="10">
        <v>2.1353561690188014</v>
      </c>
      <c r="U386" s="9"/>
      <c r="X386" s="9"/>
    </row>
    <row r="387">
      <c r="A387" s="1" t="s">
        <v>437</v>
      </c>
      <c r="B387" s="1" t="s">
        <v>80</v>
      </c>
      <c r="C387" s="1">
        <v>130.2</v>
      </c>
      <c r="D387" s="3">
        <v>4.339285799</v>
      </c>
      <c r="E387" s="3">
        <v>4.730552277</v>
      </c>
      <c r="F387" s="1">
        <v>695418.0</v>
      </c>
      <c r="G387" s="9">
        <f t="shared" si="1"/>
        <v>130.6666667</v>
      </c>
      <c r="H387" s="10" t="str">
        <f>IFERROR(__xludf.DUMMYFUNCTION("if(B387=""- - -"",""Trade"",filter(R:R,Q:Q=B387))"),"NL")</f>
        <v>NL</v>
      </c>
      <c r="I387" s="11">
        <f t="array" ref="I387">index('PLV (min 500)'!F:F,match(F387,'PLV (min 500)'!B:B,0))</f>
        <v>3.532485421</v>
      </c>
      <c r="J387" s="11">
        <v>4.200774498951763</v>
      </c>
      <c r="K387" s="9">
        <v>-2.0365377515021708</v>
      </c>
      <c r="L387" s="10">
        <v>7.63137757829351</v>
      </c>
      <c r="U387" s="9"/>
      <c r="X387" s="9"/>
    </row>
    <row r="388">
      <c r="A388" s="1" t="s">
        <v>438</v>
      </c>
      <c r="B388" s="1" t="s">
        <v>51</v>
      </c>
      <c r="C388" s="1">
        <v>63.0</v>
      </c>
      <c r="D388" s="3">
        <v>3.57142922</v>
      </c>
      <c r="E388" s="3">
        <v>3.958378397</v>
      </c>
      <c r="F388" s="1">
        <v>623211.0</v>
      </c>
      <c r="G388" s="9">
        <f t="shared" si="1"/>
        <v>63</v>
      </c>
      <c r="H388" s="10" t="str">
        <f>IFERROR(__xludf.DUMMYFUNCTION("if(B388=""- - -"",""Trade"",filter(R:R,Q:Q=B388))"),"NL")</f>
        <v>NL</v>
      </c>
      <c r="I388" s="11">
        <f t="array" ref="I388">index('PLV (min 500)'!F:F,match(F388,'PLV (min 500)'!B:B,0))</f>
        <v>3.463607428</v>
      </c>
      <c r="J388" s="11">
        <v>3.664471681820491</v>
      </c>
      <c r="K388" s="9">
        <v>2.7686982272565603</v>
      </c>
      <c r="L388" s="10">
        <v>4.174748000769686</v>
      </c>
      <c r="U388" s="9"/>
      <c r="X388" s="9"/>
    </row>
    <row r="389">
      <c r="A389" s="1" t="s">
        <v>439</v>
      </c>
      <c r="B389" s="1" t="s">
        <v>62</v>
      </c>
      <c r="C389" s="1">
        <v>63.0</v>
      </c>
      <c r="D389" s="3">
        <v>4.428572233</v>
      </c>
      <c r="E389" s="3">
        <v>4.518497982</v>
      </c>
      <c r="F389" s="1">
        <v>592454.0</v>
      </c>
      <c r="G389" s="9">
        <f t="shared" si="1"/>
        <v>63</v>
      </c>
      <c r="H389" s="10" t="str">
        <f>IFERROR(__xludf.DUMMYFUNCTION("if(B389=""- - -"",""Trade"",filter(R:R,Q:Q=B389))"),"AL")</f>
        <v>AL</v>
      </c>
      <c r="I389" s="11">
        <f t="array" ref="I389">index('PLV (min 500)'!F:F,match(F389,'PLV (min 500)'!B:B,0))</f>
        <v>3.548766429</v>
      </c>
      <c r="J389" s="11">
        <v>4.165278881246806</v>
      </c>
      <c r="K389" s="9">
        <v>-0.7369521687276448</v>
      </c>
      <c r="L389" s="10">
        <v>3.578634998817078</v>
      </c>
      <c r="U389" s="9"/>
      <c r="X389" s="9"/>
    </row>
    <row r="390">
      <c r="A390" s="1" t="s">
        <v>440</v>
      </c>
      <c r="B390" s="1" t="s">
        <v>56</v>
      </c>
      <c r="C390" s="1">
        <v>74.0</v>
      </c>
      <c r="D390" s="3">
        <v>2.310811287</v>
      </c>
      <c r="E390" s="3">
        <v>3.02394051</v>
      </c>
      <c r="F390" s="1">
        <v>542888.0</v>
      </c>
      <c r="G390" s="9">
        <f t="shared" si="1"/>
        <v>74</v>
      </c>
      <c r="H390" s="10" t="str">
        <f>IFERROR(__xludf.DUMMYFUNCTION("if(B390=""- - -"",""Trade"",filter(R:R,Q:Q=B390))"),"AL")</f>
        <v>AL</v>
      </c>
      <c r="I390" s="11">
        <f t="array" ref="I390">index('PLV (min 500)'!F:F,match(F390,'PLV (min 500)'!B:B,0))</f>
        <v>3.298777541</v>
      </c>
      <c r="J390" s="11">
        <v>2.8778431125135135</v>
      </c>
      <c r="K390" s="10">
        <v>9.719956630444441</v>
      </c>
      <c r="L390" s="10">
        <v>6.258940222222222</v>
      </c>
      <c r="U390" s="9"/>
      <c r="X390" s="9"/>
    </row>
    <row r="391">
      <c r="A391" s="1" t="s">
        <v>441</v>
      </c>
      <c r="B391" s="1" t="s">
        <v>68</v>
      </c>
      <c r="C391" s="1">
        <v>26.2</v>
      </c>
      <c r="D391" s="3">
        <v>5.400000901</v>
      </c>
      <c r="E391" s="3">
        <v>3.576079449</v>
      </c>
      <c r="F391" s="1">
        <v>664991.0</v>
      </c>
      <c r="G391" s="9">
        <f t="shared" si="1"/>
        <v>26.66666667</v>
      </c>
      <c r="H391" s="10" t="str">
        <f>IFERROR(__xludf.DUMMYFUNCTION("if(B391=""- - -"",""Trade"",filter(R:R,Q:Q=B391))"),"AL")</f>
        <v>AL</v>
      </c>
      <c r="I391" s="11">
        <f t="array" ref="I391">index('PLV (min 500)'!F:F,match(F391,'PLV (min 500)'!B:B,0))</f>
        <v>4.152227737</v>
      </c>
      <c r="J391" s="11">
        <v>4.376102695816033</v>
      </c>
      <c r="K391" s="10">
        <v>-0.9202100700422297</v>
      </c>
      <c r="L391" s="10">
        <v>-0.26848519123779246</v>
      </c>
      <c r="U391" s="9"/>
      <c r="X391" s="9"/>
    </row>
    <row r="392">
      <c r="A392" s="1" t="s">
        <v>442</v>
      </c>
      <c r="B392" s="1" t="s">
        <v>29</v>
      </c>
      <c r="C392" s="1">
        <v>40.1</v>
      </c>
      <c r="D392" s="3">
        <v>5.355372576</v>
      </c>
      <c r="E392" s="3">
        <v>4.952204722</v>
      </c>
      <c r="F392" s="1">
        <v>669674.0</v>
      </c>
      <c r="G392" s="9">
        <f t="shared" si="1"/>
        <v>40.33333333</v>
      </c>
      <c r="H392" s="10" t="str">
        <f>IFERROR(__xludf.DUMMYFUNCTION("if(B392=""- - -"",""Trade"",filter(R:R,Q:Q=B392))"),"AL")</f>
        <v>AL</v>
      </c>
      <c r="I392" s="11">
        <f t="array" ref="I392">index('PLV (min 500)'!F:F,match(F392,'PLV (min 500)'!B:B,0))</f>
        <v>4.306911917</v>
      </c>
      <c r="J392" s="11">
        <v>4.871496405094728</v>
      </c>
      <c r="K392" s="10">
        <v>-3.615667316033179</v>
      </c>
      <c r="L392" s="10">
        <v>-1.100129764788418</v>
      </c>
      <c r="U392" s="9"/>
      <c r="X392" s="9"/>
    </row>
    <row r="393">
      <c r="A393" s="1" t="s">
        <v>443</v>
      </c>
      <c r="B393" s="1" t="s">
        <v>21</v>
      </c>
      <c r="C393" s="1">
        <v>35.0</v>
      </c>
      <c r="D393" s="3">
        <v>4.62857269</v>
      </c>
      <c r="E393" s="3">
        <v>4.932217251</v>
      </c>
      <c r="F393" s="1">
        <v>621366.0</v>
      </c>
      <c r="G393" s="9">
        <f t="shared" si="1"/>
        <v>35</v>
      </c>
      <c r="H393" s="10" t="str">
        <f>IFERROR(__xludf.DUMMYFUNCTION("if(B393=""- - -"",""Trade"",filter(R:R,Q:Q=B393))"),"Trade")</f>
        <v>Trade</v>
      </c>
      <c r="I393" s="11">
        <f t="array" ref="I393">index('PLV (min 500)'!F:F,match(F393,'PLV (min 500)'!B:B,0))</f>
        <v>3.7258092</v>
      </c>
      <c r="J393" s="11">
        <v>4.4288663802978485</v>
      </c>
      <c r="K393" s="9">
        <v>-1.434480367824968</v>
      </c>
      <c r="L393" s="10">
        <v>1.2996308893028679</v>
      </c>
      <c r="U393" s="9"/>
      <c r="X393" s="9"/>
    </row>
    <row r="394">
      <c r="A394" s="1" t="s">
        <v>444</v>
      </c>
      <c r="B394" s="1" t="s">
        <v>21</v>
      </c>
      <c r="C394" s="1">
        <v>33.2</v>
      </c>
      <c r="D394" s="3">
        <v>5.079209168</v>
      </c>
      <c r="E394" s="3">
        <v>3.748098077</v>
      </c>
      <c r="F394" s="1">
        <v>681869.0</v>
      </c>
      <c r="G394" s="9">
        <f t="shared" si="1"/>
        <v>33.66666667</v>
      </c>
      <c r="H394" s="10" t="str">
        <f>IFERROR(__xludf.DUMMYFUNCTION("if(B394=""- - -"",""Trade"",filter(R:R,Q:Q=B394))"),"Trade")</f>
        <v>Trade</v>
      </c>
      <c r="I394" s="11">
        <f t="array" ref="I394">index('PLV (min 500)'!F:F,match(F394,'PLV (min 500)'!B:B,0))</f>
        <v>3.553975247</v>
      </c>
      <c r="J394" s="11">
        <v>4.127094164128001</v>
      </c>
      <c r="K394" s="10">
        <v>-0.24750291656107018</v>
      </c>
      <c r="L394" s="10">
        <v>1.8666690874279073</v>
      </c>
      <c r="U394" s="9"/>
      <c r="X394" s="9"/>
    </row>
    <row r="395">
      <c r="A395" s="1" t="s">
        <v>445</v>
      </c>
      <c r="B395" s="1" t="s">
        <v>21</v>
      </c>
      <c r="C395" s="1">
        <v>67.1</v>
      </c>
      <c r="D395" s="3">
        <v>6.950495673</v>
      </c>
      <c r="E395" s="3">
        <v>4.592457463</v>
      </c>
      <c r="F395" s="1">
        <v>663855.0</v>
      </c>
      <c r="G395" s="9">
        <f t="shared" si="1"/>
        <v>67.33333333</v>
      </c>
      <c r="H395" s="10" t="str">
        <f>IFERROR(__xludf.DUMMYFUNCTION("if(B395=""- - -"",""Trade"",filter(R:R,Q:Q=B395))"),"Trade")</f>
        <v>Trade</v>
      </c>
      <c r="I395" s="11">
        <f t="array" ref="I395">index('PLV (min 500)'!F:F,match(F395,'PLV (min 500)'!B:B,0))</f>
        <v>3.770866916</v>
      </c>
      <c r="J395" s="11">
        <v>5.104606683878747</v>
      </c>
      <c r="K395" s="9">
        <v>-7.788123165362659</v>
      </c>
      <c r="L395" s="10">
        <v>2.155647773423141</v>
      </c>
      <c r="U395" s="9"/>
      <c r="X395" s="9"/>
    </row>
    <row r="396">
      <c r="A396" s="1" t="s">
        <v>446</v>
      </c>
      <c r="B396" s="1" t="s">
        <v>36</v>
      </c>
      <c r="C396" s="1">
        <v>30.2</v>
      </c>
      <c r="D396" s="3">
        <v>7.336958043</v>
      </c>
      <c r="E396" s="3">
        <v>4.666879405</v>
      </c>
      <c r="F396" s="1">
        <v>681006.0</v>
      </c>
      <c r="G396" s="9">
        <f t="shared" si="1"/>
        <v>30.66666667</v>
      </c>
      <c r="H396" s="10" t="str">
        <f>IFERROR(__xludf.DUMMYFUNCTION("if(B396=""- - -"",""Trade"",filter(R:R,Q:Q=B396))"),"NL")</f>
        <v>NL</v>
      </c>
      <c r="I396" s="11">
        <f t="array" ref="I396">index('PLV (min 500)'!F:F,match(F396,'PLV (min 500)'!B:B,0))</f>
        <v>4.230160141</v>
      </c>
      <c r="J396" s="11">
        <v>5.41133252975279</v>
      </c>
      <c r="K396" s="9">
        <v>-4.534471377614918</v>
      </c>
      <c r="L396" s="10">
        <v>-0.570981807333637</v>
      </c>
      <c r="U396" s="9"/>
      <c r="X396" s="9"/>
    </row>
    <row r="397">
      <c r="A397" s="1" t="s">
        <v>447</v>
      </c>
      <c r="B397" s="1" t="s">
        <v>21</v>
      </c>
      <c r="C397" s="1">
        <v>27.1</v>
      </c>
      <c r="D397" s="3">
        <v>7.902440771</v>
      </c>
      <c r="E397" s="3">
        <v>6.437618864</v>
      </c>
      <c r="F397" s="1">
        <v>605463.0</v>
      </c>
      <c r="G397" s="9">
        <f t="shared" si="1"/>
        <v>27.33333333</v>
      </c>
      <c r="H397" s="10" t="str">
        <f>IFERROR(__xludf.DUMMYFUNCTION("if(B397=""- - -"",""Trade"",filter(R:R,Q:Q=B397))"),"Trade")</f>
        <v>Trade</v>
      </c>
      <c r="I397" s="11">
        <f t="array" ref="I397">index('PLV (min 500)'!F:F,match(F397,'PLV (min 500)'!B:B,0))</f>
        <v>4.327261683</v>
      </c>
      <c r="J397" s="11">
        <v>6.222440439273761</v>
      </c>
      <c r="K397" s="10">
        <v>-6.5113484338132155</v>
      </c>
      <c r="L397" s="10">
        <v>-0.8047546227174283</v>
      </c>
      <c r="U397" s="9"/>
      <c r="X397" s="9"/>
    </row>
    <row r="398">
      <c r="A398" s="1" t="s">
        <v>448</v>
      </c>
      <c r="B398" s="1" t="s">
        <v>21</v>
      </c>
      <c r="C398" s="1">
        <v>31.0</v>
      </c>
      <c r="D398" s="3">
        <v>3.19354937</v>
      </c>
      <c r="E398" s="3">
        <v>3.008000124</v>
      </c>
      <c r="F398" s="1">
        <v>657424.0</v>
      </c>
      <c r="G398" s="9">
        <f t="shared" si="1"/>
        <v>31</v>
      </c>
      <c r="H398" s="10" t="str">
        <f>IFERROR(__xludf.DUMMYFUNCTION("if(B398=""- - -"",""Trade"",filter(R:R,Q:Q=B398))"),"Trade")</f>
        <v>Trade</v>
      </c>
      <c r="I398" s="11">
        <f t="array" ref="I398">index('PLV (min 500)'!F:F,match(F398,'PLV (min 500)'!B:B,0))</f>
        <v>3.593383258</v>
      </c>
      <c r="J398" s="11">
        <v>3.2649775840215054</v>
      </c>
      <c r="K398" s="9">
        <v>2.7384105439259248</v>
      </c>
      <c r="L398" s="10">
        <v>1.6072354444444414</v>
      </c>
      <c r="U398" s="9"/>
      <c r="X398" s="9"/>
    </row>
    <row r="399">
      <c r="A399" s="1" t="s">
        <v>449</v>
      </c>
      <c r="B399" s="1" t="s">
        <v>75</v>
      </c>
      <c r="C399" s="1">
        <v>34.1</v>
      </c>
      <c r="D399" s="3">
        <v>8.912622184</v>
      </c>
      <c r="E399" s="3">
        <v>6.282600255</v>
      </c>
      <c r="F399" s="1">
        <v>687223.0</v>
      </c>
      <c r="G399" s="9">
        <f t="shared" si="1"/>
        <v>34.33333333</v>
      </c>
      <c r="H399" s="10" t="str">
        <f>IFERROR(__xludf.DUMMYFUNCTION("if(B399=""- - -"",""Trade"",filter(R:R,Q:Q=B399))"),"NL")</f>
        <v>NL</v>
      </c>
      <c r="I399" s="11">
        <f t="array" ref="I399">index('PLV (min 500)'!F:F,match(F399,'PLV (min 500)'!B:B,0))</f>
        <v>4.611269447</v>
      </c>
      <c r="J399" s="11">
        <v>6.602163961971776</v>
      </c>
      <c r="K399" s="9">
        <v>-9.631976789248618</v>
      </c>
      <c r="L399" s="10">
        <v>-2.0886986822014175</v>
      </c>
      <c r="U399" s="9"/>
      <c r="X399" s="9"/>
    </row>
    <row r="400">
      <c r="A400" s="1" t="s">
        <v>450</v>
      </c>
      <c r="B400" s="1" t="s">
        <v>14</v>
      </c>
      <c r="C400" s="1">
        <v>157.1</v>
      </c>
      <c r="D400" s="3">
        <v>3.317796838</v>
      </c>
      <c r="E400" s="3">
        <v>3.648176183</v>
      </c>
      <c r="F400" s="1">
        <v>682990.0</v>
      </c>
      <c r="G400" s="9">
        <f t="shared" si="1"/>
        <v>157.3333333</v>
      </c>
      <c r="H400" s="10" t="str">
        <f>IFERROR(__xludf.DUMMYFUNCTION("if(B400=""- - -"",""Trade"",filter(R:R,Q:Q=B400))"),"NL")</f>
        <v>NL</v>
      </c>
      <c r="I400" s="11">
        <f t="array" ref="I400">index('PLV (min 500)'!F:F,match(F400,'PLV (min 500)'!B:B,0))</f>
        <v>3.468051896</v>
      </c>
      <c r="J400" s="11">
        <v>3.478008305606354</v>
      </c>
      <c r="K400" s="10">
        <v>10.158988354360192</v>
      </c>
      <c r="L400" s="10">
        <v>10.332783018536151</v>
      </c>
      <c r="U400" s="9"/>
      <c r="X400" s="9"/>
    </row>
    <row r="401">
      <c r="A401" s="1" t="s">
        <v>451</v>
      </c>
      <c r="B401" s="1" t="s">
        <v>75</v>
      </c>
      <c r="C401" s="1">
        <v>83.1</v>
      </c>
      <c r="D401" s="3">
        <v>2.484000379</v>
      </c>
      <c r="E401" s="3">
        <v>3.308755199</v>
      </c>
      <c r="F401" s="1">
        <v>623474.0</v>
      </c>
      <c r="G401" s="9">
        <f t="shared" si="1"/>
        <v>83.33333333</v>
      </c>
      <c r="H401" s="10" t="str">
        <f>IFERROR(__xludf.DUMMYFUNCTION("if(B401=""- - -"",""Trade"",filter(R:R,Q:Q=B401))"),"NL")</f>
        <v>NL</v>
      </c>
      <c r="I401" s="11">
        <f t="array" ref="I401">index('PLV (min 500)'!F:F,match(F401,'PLV (min 500)'!B:B,0))</f>
        <v>3.41615988</v>
      </c>
      <c r="J401" s="11">
        <v>3.069638486018219</v>
      </c>
      <c r="K401" s="10">
        <v>9.144337979098442</v>
      </c>
      <c r="L401" s="10">
        <v>5.944790440828658</v>
      </c>
      <c r="U401" s="9"/>
      <c r="X401" s="9"/>
    </row>
    <row r="402">
      <c r="A402" s="1" t="s">
        <v>452</v>
      </c>
      <c r="B402" s="1" t="s">
        <v>29</v>
      </c>
      <c r="C402" s="1">
        <v>145.1</v>
      </c>
      <c r="D402" s="3">
        <v>4.149082714</v>
      </c>
      <c r="E402" s="3">
        <v>5.173013341</v>
      </c>
      <c r="F402" s="1">
        <v>607625.0</v>
      </c>
      <c r="G402" s="9">
        <f t="shared" si="1"/>
        <v>145.3333333</v>
      </c>
      <c r="H402" s="10" t="str">
        <f>IFERROR(__xludf.DUMMYFUNCTION("if(B402=""- - -"",""Trade"",filter(R:R,Q:Q=B402))"),"AL")</f>
        <v>AL</v>
      </c>
      <c r="I402" s="11">
        <f t="array" ref="I402">index('PLV (min 500)'!F:F,match(F402,'PLV (min 500)'!B:B,0))</f>
        <v>3.473334248</v>
      </c>
      <c r="J402" s="11">
        <v>4.265143434230163</v>
      </c>
      <c r="K402" s="9">
        <v>-3.3073680340885243</v>
      </c>
      <c r="L402" s="10">
        <v>9.458355628901096</v>
      </c>
      <c r="U402" s="9"/>
      <c r="X402" s="9"/>
    </row>
    <row r="403">
      <c r="A403" s="1" t="s">
        <v>453</v>
      </c>
      <c r="B403" s="1" t="s">
        <v>45</v>
      </c>
      <c r="C403" s="1">
        <v>123.2</v>
      </c>
      <c r="D403" s="3">
        <v>4.075471845</v>
      </c>
      <c r="E403" s="3">
        <v>4.572659356</v>
      </c>
      <c r="F403" s="1">
        <v>592836.0</v>
      </c>
      <c r="G403" s="9">
        <f t="shared" si="1"/>
        <v>123.6666667</v>
      </c>
      <c r="H403" s="10" t="str">
        <f>IFERROR(__xludf.DUMMYFUNCTION("if(B403=""- - -"",""Trade"",filter(R:R,Q:Q=B403))"),"NL")</f>
        <v>NL</v>
      </c>
      <c r="I403" s="11">
        <f t="array" ref="I403">index('PLV (min 500)'!F:F,match(F403,'PLV (min 500)'!B:B,0))</f>
        <v>3.69319027</v>
      </c>
      <c r="J403" s="11">
        <v>4.113773823500654</v>
      </c>
      <c r="K403" s="9">
        <v>-0.7361038950311742</v>
      </c>
      <c r="L403" s="10">
        <v>5.021217644150939</v>
      </c>
      <c r="U403" s="9"/>
      <c r="X403" s="9"/>
    </row>
    <row r="404">
      <c r="A404" s="1" t="s">
        <v>454</v>
      </c>
      <c r="B404" s="1" t="s">
        <v>52</v>
      </c>
      <c r="C404" s="1">
        <v>79.2</v>
      </c>
      <c r="D404" s="3">
        <v>5.874477456</v>
      </c>
      <c r="E404" s="3">
        <v>5.343426023</v>
      </c>
      <c r="F404" s="1">
        <v>674370.0</v>
      </c>
      <c r="G404" s="9">
        <f t="shared" si="1"/>
        <v>79.66666667</v>
      </c>
      <c r="H404" s="10" t="str">
        <f>IFERROR(__xludf.DUMMYFUNCTION("if(B404=""- - -"",""Trade"",filter(R:R,Q:Q=B404))"),"AL")</f>
        <v>AL</v>
      </c>
      <c r="I404" s="11">
        <f t="array" ref="I404">index('PLV (min 500)'!F:F,match(F404,'PLV (min 500)'!B:B,0))</f>
        <v>3.844797402</v>
      </c>
      <c r="J404" s="11">
        <v>5.0209002936490394</v>
      </c>
      <c r="K404" s="9">
        <v>-8.455922584111551</v>
      </c>
      <c r="L404" s="10">
        <v>1.893782862865346</v>
      </c>
      <c r="U404" s="9"/>
      <c r="X404" s="9"/>
    </row>
    <row r="405">
      <c r="A405" s="1" t="s">
        <v>455</v>
      </c>
      <c r="B405" s="1" t="s">
        <v>21</v>
      </c>
      <c r="C405" s="1">
        <v>55.0</v>
      </c>
      <c r="D405" s="3">
        <v>4.581818341</v>
      </c>
      <c r="E405" s="3">
        <v>6.724448991</v>
      </c>
      <c r="F405" s="1">
        <v>570632.0</v>
      </c>
      <c r="G405" s="9">
        <f t="shared" si="1"/>
        <v>55</v>
      </c>
      <c r="H405" s="10" t="str">
        <f>IFERROR(__xludf.DUMMYFUNCTION("if(B405=""- - -"",""Trade"",filter(R:R,Q:Q=B405))"),"Trade")</f>
        <v>Trade</v>
      </c>
      <c r="I405" s="11">
        <f t="array" ref="I405">index('PLV (min 500)'!F:F,match(F405,'PLV (min 500)'!B:B,0))</f>
        <v>3.818635363</v>
      </c>
      <c r="J405" s="11">
        <v>5.0416342318093585</v>
      </c>
      <c r="K405" s="9">
        <v>-5.9988758610571935</v>
      </c>
      <c r="L405" s="10">
        <v>1.4750061123839853</v>
      </c>
      <c r="U405" s="9"/>
      <c r="X405" s="9"/>
    </row>
    <row r="406">
      <c r="A406" s="1" t="s">
        <v>456</v>
      </c>
      <c r="B406" s="1" t="s">
        <v>40</v>
      </c>
      <c r="C406" s="1">
        <v>170.1</v>
      </c>
      <c r="D406" s="3">
        <v>3.962818122</v>
      </c>
      <c r="E406" s="3">
        <v>4.156083869</v>
      </c>
      <c r="F406" s="1">
        <v>605135.0</v>
      </c>
      <c r="G406" s="9">
        <f t="shared" si="1"/>
        <v>170.3333333</v>
      </c>
      <c r="H406" s="10" t="str">
        <f>IFERROR(__xludf.DUMMYFUNCTION("if(B406=""- - -"",""Trade"",filter(R:R,Q:Q=B406))"),"AL")</f>
        <v>AL</v>
      </c>
      <c r="I406" s="11">
        <f t="array" ref="I406">index('PLV (min 500)'!F:F,match(F406,'PLV (min 500)'!B:B,0))</f>
        <v>3.622228169</v>
      </c>
      <c r="J406" s="11">
        <v>3.913710053186577</v>
      </c>
      <c r="K406" s="10">
        <v>2.764879994773688</v>
      </c>
      <c r="L406" s="10">
        <v>8.27388761422108</v>
      </c>
      <c r="U406" s="9"/>
      <c r="X406" s="9"/>
    </row>
    <row r="407">
      <c r="A407" s="1" t="s">
        <v>457</v>
      </c>
      <c r="B407" s="1" t="s">
        <v>33</v>
      </c>
      <c r="C407" s="1">
        <v>112.2</v>
      </c>
      <c r="D407" s="3">
        <v>3.355029662</v>
      </c>
      <c r="E407" s="3">
        <v>3.797775847</v>
      </c>
      <c r="F407" s="1">
        <v>477132.0</v>
      </c>
      <c r="G407" s="9">
        <f t="shared" si="1"/>
        <v>112.6666667</v>
      </c>
      <c r="H407" s="10" t="str">
        <f>IFERROR(__xludf.DUMMYFUNCTION("if(B407=""- - -"",""Trade"",filter(R:R,Q:Q=B407))"),"NL")</f>
        <v>NL</v>
      </c>
      <c r="I407" s="11">
        <f t="array" ref="I407">index('PLV (min 500)'!F:F,match(F407,'PLV (min 500)'!B:B,0))</f>
        <v>3.499642704</v>
      </c>
      <c r="J407" s="11">
        <v>3.5508160709403462</v>
      </c>
      <c r="K407" s="10">
        <v>6.347826315610345</v>
      </c>
      <c r="L407" s="10">
        <v>6.985787625697715</v>
      </c>
      <c r="U407" s="9"/>
      <c r="X407" s="9"/>
    </row>
    <row r="408">
      <c r="A408" s="1" t="s">
        <v>458</v>
      </c>
      <c r="B408" s="1" t="s">
        <v>21</v>
      </c>
      <c r="C408" s="1">
        <v>67.0</v>
      </c>
      <c r="D408" s="3">
        <v>3.895523275</v>
      </c>
      <c r="E408" s="3">
        <v>4.517367219</v>
      </c>
      <c r="F408" s="1">
        <v>676130.0</v>
      </c>
      <c r="G408" s="9">
        <f t="shared" si="1"/>
        <v>67</v>
      </c>
      <c r="H408" s="10" t="str">
        <f>IFERROR(__xludf.DUMMYFUNCTION("if(B408=""- - -"",""Trade"",filter(R:R,Q:Q=B408))"),"Trade")</f>
        <v>Trade</v>
      </c>
      <c r="I408" s="11">
        <f t="array" ref="I408">index('PLV (min 500)'!F:F,match(F408,'PLV (min 500)'!B:B,0))</f>
        <v>3.617542209</v>
      </c>
      <c r="J408" s="11">
        <v>4.010144234354403</v>
      </c>
      <c r="K408" s="10">
        <v>0.3711484775838864</v>
      </c>
      <c r="L408" s="10">
        <v>3.293852443640544</v>
      </c>
      <c r="U408" s="9"/>
      <c r="X408" s="9"/>
    </row>
    <row r="409">
      <c r="A409" s="1" t="s">
        <v>459</v>
      </c>
      <c r="B409" s="1" t="s">
        <v>33</v>
      </c>
      <c r="C409" s="1">
        <v>36.0</v>
      </c>
      <c r="D409" s="3">
        <v>5.0</v>
      </c>
      <c r="E409" s="3">
        <v>5.251687527</v>
      </c>
      <c r="F409" s="1">
        <v>664062.0</v>
      </c>
      <c r="G409" s="9">
        <f t="shared" si="1"/>
        <v>36</v>
      </c>
      <c r="H409" s="10" t="str">
        <f>IFERROR(__xludf.DUMMYFUNCTION("if(B409=""- - -"",""Trade"",filter(R:R,Q:Q=B409))"),"NL")</f>
        <v>NL</v>
      </c>
      <c r="I409" s="11">
        <f t="array" ref="I409">index('PLV (min 500)'!F:F,match(F409,'PLV (min 500)'!B:B,0))</f>
        <v>3.8129395</v>
      </c>
      <c r="J409" s="11">
        <v>4.6882090089999995</v>
      </c>
      <c r="K409" s="9">
        <v>-2.5128360359999995</v>
      </c>
      <c r="L409" s="10">
        <v>0.9882420000000014</v>
      </c>
      <c r="U409" s="9"/>
      <c r="X409" s="9"/>
    </row>
    <row r="410">
      <c r="A410" s="1" t="s">
        <v>460</v>
      </c>
      <c r="B410" s="1" t="s">
        <v>34</v>
      </c>
      <c r="C410" s="1">
        <v>41.1</v>
      </c>
      <c r="D410" s="3">
        <v>4.354838844</v>
      </c>
      <c r="E410" s="3">
        <v>5.21281524</v>
      </c>
      <c r="F410" s="1">
        <v>519151.0</v>
      </c>
      <c r="G410" s="9">
        <f t="shared" si="1"/>
        <v>41.33333333</v>
      </c>
      <c r="H410" s="10" t="str">
        <f>IFERROR(__xludf.DUMMYFUNCTION("if(B410=""- - -"",""Trade"",filter(R:R,Q:Q=B410))"),"NL")</f>
        <v>NL</v>
      </c>
      <c r="I410" s="11">
        <f t="array" ref="I410">index('PLV (min 500)'!F:F,match(F410,'PLV (min 500)'!B:B,0))</f>
        <v>3.622325879</v>
      </c>
      <c r="J410" s="11">
        <v>4.3966599876871575</v>
      </c>
      <c r="K410" s="10">
        <v>-1.5374139437713543</v>
      </c>
      <c r="L410" s="10">
        <v>1.998711818952617</v>
      </c>
      <c r="U410" s="9"/>
      <c r="X410" s="9"/>
    </row>
    <row r="411">
      <c r="A411" s="1" t="s">
        <v>461</v>
      </c>
      <c r="B411" s="1" t="s">
        <v>51</v>
      </c>
      <c r="C411" s="1">
        <v>113.1</v>
      </c>
      <c r="D411" s="3">
        <v>3.017647194</v>
      </c>
      <c r="E411" s="3">
        <v>3.959687591</v>
      </c>
      <c r="F411" s="1">
        <v>673540.0</v>
      </c>
      <c r="G411" s="9">
        <f t="shared" si="1"/>
        <v>113.3333333</v>
      </c>
      <c r="H411" s="10" t="str">
        <f>IFERROR(__xludf.DUMMYFUNCTION("if(B411=""- - -"",""Trade"",filter(R:R,Q:Q=B411))"),"NL")</f>
        <v>NL</v>
      </c>
      <c r="I411" s="11">
        <f t="array" ref="I411">index('PLV (min 500)'!F:F,match(F411,'PLV (min 500)'!B:B,0))</f>
        <v>3.307331012</v>
      </c>
      <c r="J411" s="11">
        <v>3.4282219323067817</v>
      </c>
      <c r="K411" s="10">
        <v>7.939344384011438</v>
      </c>
      <c r="L411" s="10">
        <v>9.45854028353433</v>
      </c>
      <c r="U411" s="9"/>
      <c r="X411" s="9"/>
    </row>
    <row r="412">
      <c r="A412" s="1" t="s">
        <v>462</v>
      </c>
      <c r="B412" s="1" t="s">
        <v>34</v>
      </c>
      <c r="C412" s="1">
        <v>43.2</v>
      </c>
      <c r="D412" s="3">
        <v>3.091603233</v>
      </c>
      <c r="E412" s="3">
        <v>5.082254283</v>
      </c>
      <c r="F412" s="1">
        <v>623167.0</v>
      </c>
      <c r="G412" s="9">
        <f t="shared" si="1"/>
        <v>43.66666667</v>
      </c>
      <c r="H412" s="10" t="str">
        <f>IFERROR(__xludf.DUMMYFUNCTION("if(B412=""- - -"",""Trade"",filter(R:R,Q:Q=B412))"),"NL")</f>
        <v>NL</v>
      </c>
      <c r="I412" s="11">
        <f t="array" ref="I412">index('PLV (min 500)'!F:F,match(F412,'PLV (min 500)'!B:B,0))</f>
        <v>3.355097084</v>
      </c>
      <c r="J412" s="11">
        <v>3.8429848666223396</v>
      </c>
      <c r="K412" s="9">
        <v>1.041672640212768</v>
      </c>
      <c r="L412" s="10">
        <v>3.383533997438308</v>
      </c>
      <c r="U412" s="9"/>
      <c r="X412" s="9"/>
    </row>
    <row r="413">
      <c r="A413" s="1" t="s">
        <v>463</v>
      </c>
      <c r="B413" s="1" t="s">
        <v>60</v>
      </c>
      <c r="C413" s="1">
        <v>45.0</v>
      </c>
      <c r="D413" s="3">
        <v>3.400000576</v>
      </c>
      <c r="E413" s="3">
        <v>4.638700051</v>
      </c>
      <c r="F413" s="1">
        <v>663767.0</v>
      </c>
      <c r="G413" s="9">
        <f t="shared" si="1"/>
        <v>45</v>
      </c>
      <c r="H413" s="10" t="str">
        <f>IFERROR(__xludf.DUMMYFUNCTION("if(B413=""- - -"",""Trade"",filter(R:R,Q:Q=B413))"),"NL")</f>
        <v>NL</v>
      </c>
      <c r="I413" s="11">
        <f t="array" ref="I413">index('PLV (min 500)'!F:F,match(F413,'PLV (min 500)'!B:B,0))</f>
        <v>3.4308608</v>
      </c>
      <c r="J413" s="11">
        <v>3.8231871423333335</v>
      </c>
      <c r="K413" s="10">
        <v>1.1840642883333308</v>
      </c>
      <c r="L413" s="10">
        <v>3.145696</v>
      </c>
      <c r="U413" s="9"/>
      <c r="X413" s="9"/>
    </row>
    <row r="414">
      <c r="A414" s="1" t="s">
        <v>464</v>
      </c>
      <c r="B414" s="1" t="s">
        <v>21</v>
      </c>
      <c r="C414" s="1">
        <v>117.2</v>
      </c>
      <c r="D414" s="3">
        <v>6.042493097</v>
      </c>
      <c r="E414" s="3">
        <v>5.758728085</v>
      </c>
      <c r="F414" s="1">
        <v>615698.0</v>
      </c>
      <c r="G414" s="9">
        <f t="shared" si="1"/>
        <v>117.6666667</v>
      </c>
      <c r="H414" s="10" t="str">
        <f>IFERROR(__xludf.DUMMYFUNCTION("if(B414=""- - -"",""Trade"",filter(R:R,Q:Q=B414))"),"Trade")</f>
        <v>Trade</v>
      </c>
      <c r="I414" s="11">
        <f t="array" ref="I414">index('PLV (min 500)'!F:F,match(F414,'PLV (min 500)'!B:B,0))</f>
        <v>3.866353572</v>
      </c>
      <c r="J414" s="11">
        <v>5.222524917933282</v>
      </c>
      <c r="K414" s="9">
        <v>-15.138657820197857</v>
      </c>
      <c r="L414" s="10">
        <v>2.521706820561991</v>
      </c>
      <c r="U414" s="9"/>
      <c r="X414" s="9"/>
    </row>
    <row r="415">
      <c r="A415" s="1" t="s">
        <v>465</v>
      </c>
      <c r="B415" s="1" t="s">
        <v>21</v>
      </c>
      <c r="C415" s="1">
        <v>34.0</v>
      </c>
      <c r="D415" s="3">
        <v>5.823529412</v>
      </c>
      <c r="E415" s="3">
        <v>4.805185874</v>
      </c>
      <c r="F415" s="1">
        <v>641672.0</v>
      </c>
      <c r="G415" s="9">
        <f t="shared" si="1"/>
        <v>34</v>
      </c>
      <c r="H415" s="10" t="str">
        <f>IFERROR(__xludf.DUMMYFUNCTION("if(B415=""- - -"",""Trade"",filter(R:R,Q:Q=B415))"),"Trade")</f>
        <v>Trade</v>
      </c>
      <c r="I415" s="11">
        <f t="array" ref="I415">index('PLV (min 500)'!F:F,match(F415,'PLV (min 500)'!B:B,0))</f>
        <v>3.827253441</v>
      </c>
      <c r="J415" s="11">
        <v>4.818656242392157</v>
      </c>
      <c r="K415" s="9">
        <v>-2.866034693481483</v>
      </c>
      <c r="L415" s="10">
        <v>0.8792647777777776</v>
      </c>
      <c r="U415" s="9"/>
      <c r="X415" s="9"/>
    </row>
    <row r="416">
      <c r="A416" s="1" t="s">
        <v>466</v>
      </c>
      <c r="B416" s="1" t="s">
        <v>75</v>
      </c>
      <c r="C416" s="1">
        <v>58.2</v>
      </c>
      <c r="D416" s="3">
        <v>9.357954951</v>
      </c>
      <c r="E416" s="3">
        <v>7.607326305</v>
      </c>
      <c r="F416" s="1">
        <v>687134.0</v>
      </c>
      <c r="G416" s="9">
        <f t="shared" si="1"/>
        <v>58.66666667</v>
      </c>
      <c r="H416" s="10" t="str">
        <f>IFERROR(__xludf.DUMMYFUNCTION("if(B416=""- - -"",""Trade"",filter(R:R,Q:Q=B416))"),"NL")</f>
        <v>NL</v>
      </c>
      <c r="I416" s="11">
        <f t="array" ref="I416">index('PLV (min 500)'!F:F,match(F416,'PLV (min 500)'!B:B,0))</f>
        <v>4.01170679</v>
      </c>
      <c r="J416" s="11">
        <v>6.992329348651693</v>
      </c>
      <c r="K416" s="9">
        <v>-18.962396454614286</v>
      </c>
      <c r="L416" s="10">
        <v>0.3122960916238292</v>
      </c>
      <c r="U416" s="9"/>
      <c r="X416" s="9"/>
    </row>
    <row r="417">
      <c r="A417" s="1" t="s">
        <v>467</v>
      </c>
      <c r="B417" s="1" t="s">
        <v>58</v>
      </c>
      <c r="C417" s="1">
        <v>48.1</v>
      </c>
      <c r="D417" s="3">
        <v>4.841380584</v>
      </c>
      <c r="E417" s="3">
        <v>3.733669796</v>
      </c>
      <c r="F417" s="1">
        <v>643410.0</v>
      </c>
      <c r="G417" s="9">
        <f t="shared" si="1"/>
        <v>48.33333333</v>
      </c>
      <c r="H417" s="10" t="str">
        <f>IFERROR(__xludf.DUMMYFUNCTION("if(B417=""- - -"",""Trade"",filter(R:R,Q:Q=B417))"),"AL")</f>
        <v>AL</v>
      </c>
      <c r="I417" s="11">
        <f t="array" ref="I417">index('PLV (min 500)'!F:F,match(F417,'PLV (min 500)'!B:B,0))</f>
        <v>3.94344571</v>
      </c>
      <c r="J417" s="11">
        <v>4.172832030124009</v>
      </c>
      <c r="K417" s="9">
        <v>-0.6030245165516487</v>
      </c>
      <c r="L417" s="10">
        <v>0.6229179256783985</v>
      </c>
      <c r="U417" s="9"/>
      <c r="X417" s="9"/>
    </row>
    <row r="418">
      <c r="A418" s="1" t="s">
        <v>468</v>
      </c>
      <c r="B418" s="1" t="s">
        <v>75</v>
      </c>
      <c r="C418" s="1">
        <v>61.1</v>
      </c>
      <c r="D418" s="3">
        <v>3.96195685</v>
      </c>
      <c r="E418" s="3">
        <v>2.982415013</v>
      </c>
      <c r="F418" s="1">
        <v>675848.0</v>
      </c>
      <c r="G418" s="9">
        <f t="shared" si="1"/>
        <v>61.33333333</v>
      </c>
      <c r="H418" s="10" t="str">
        <f>IFERROR(__xludf.DUMMYFUNCTION("if(B418=""- - -"",""Trade"",filter(R:R,Q:Q=B418))"),"NL")</f>
        <v>NL</v>
      </c>
      <c r="I418" s="11">
        <f t="array" ref="I418">index('PLV (min 500)'!F:F,match(F418,'PLV (min 500)'!B:B,0))</f>
        <v>3.959999902</v>
      </c>
      <c r="J418" s="11">
        <v>3.6347905884415215</v>
      </c>
      <c r="K418" s="10">
        <v>2.886699449580335</v>
      </c>
      <c r="L418" s="10">
        <v>0.678889551996567</v>
      </c>
      <c r="U418" s="9"/>
      <c r="X418" s="9"/>
    </row>
    <row r="419">
      <c r="A419" s="1" t="s">
        <v>469</v>
      </c>
      <c r="B419" s="1" t="s">
        <v>36</v>
      </c>
      <c r="C419" s="1">
        <v>36.2</v>
      </c>
      <c r="D419" s="3">
        <v>8.345455124</v>
      </c>
      <c r="E419" s="3">
        <v>7.307676678</v>
      </c>
      <c r="F419" s="1">
        <v>666277.0</v>
      </c>
      <c r="G419" s="9">
        <f t="shared" si="1"/>
        <v>36.66666667</v>
      </c>
      <c r="H419" s="10" t="str">
        <f>IFERROR(__xludf.DUMMYFUNCTION("if(B419=""- - -"",""Trade"",filter(R:R,Q:Q=B419))"),"NL")</f>
        <v>NL</v>
      </c>
      <c r="I419" s="11">
        <f t="array" ref="I419">index('PLV (min 500)'!F:F,match(F419,'PLV (min 500)'!B:B,0))</f>
        <v>4.308595445</v>
      </c>
      <c r="J419" s="11">
        <v>6.653909082432623</v>
      </c>
      <c r="K419" s="10">
        <v>-10.433278753784553</v>
      </c>
      <c r="L419" s="10">
        <v>-0.99990612442032</v>
      </c>
      <c r="U419" s="9"/>
      <c r="X419" s="9"/>
    </row>
    <row r="420">
      <c r="A420" s="1" t="s">
        <v>470</v>
      </c>
      <c r="B420" s="1" t="s">
        <v>78</v>
      </c>
      <c r="C420" s="1">
        <v>146.1</v>
      </c>
      <c r="D420" s="3">
        <v>3.813211978</v>
      </c>
      <c r="E420" s="3">
        <v>3.983691255</v>
      </c>
      <c r="F420" s="1">
        <v>681343.0</v>
      </c>
      <c r="G420" s="9">
        <f t="shared" si="1"/>
        <v>146.3333333</v>
      </c>
      <c r="H420" s="10" t="str">
        <f>IFERROR(__xludf.DUMMYFUNCTION("if(B420=""- - -"",""Trade"",filter(R:R,Q:Q=B420))"),"AL")</f>
        <v>AL</v>
      </c>
      <c r="I420" s="11">
        <f t="array" ref="I420">index('PLV (min 500)'!F:F,match(F420,'PLV (min 500)'!B:B,0))</f>
        <v>3.81098413</v>
      </c>
      <c r="J420" s="11">
        <v>3.8692957875382796</v>
      </c>
      <c r="K420" s="10">
        <v>3.095765048961921</v>
      </c>
      <c r="L420" s="10">
        <v>4.042357629252451</v>
      </c>
      <c r="U420" s="9"/>
      <c r="X420" s="9"/>
    </row>
    <row r="421">
      <c r="A421" s="1" t="s">
        <v>471</v>
      </c>
      <c r="B421" s="1" t="s">
        <v>52</v>
      </c>
      <c r="C421" s="1">
        <v>42.1</v>
      </c>
      <c r="D421" s="3">
        <v>3.188976761</v>
      </c>
      <c r="E421" s="3">
        <v>3.824797187</v>
      </c>
      <c r="F421" s="1">
        <v>665660.0</v>
      </c>
      <c r="G421" s="9">
        <f t="shared" si="1"/>
        <v>42.33333333</v>
      </c>
      <c r="H421" s="10" t="str">
        <f>IFERROR(__xludf.DUMMYFUNCTION("if(B421=""- - -"",""Trade"",filter(R:R,Q:Q=B421))"),"AL")</f>
        <v>AL</v>
      </c>
      <c r="I421" s="11">
        <f t="array" ref="I421">index('PLV (min 500)'!F:F,match(F421,'PLV (min 500)'!B:B,0))</f>
        <v>4.101508135</v>
      </c>
      <c r="J421" s="11">
        <v>3.7050940275229216</v>
      </c>
      <c r="K421" s="9">
        <v>1.6601712712538872</v>
      </c>
      <c r="L421" s="10">
        <v>-0.1941658294827801</v>
      </c>
      <c r="U421" s="9"/>
      <c r="X421" s="9"/>
    </row>
    <row r="422">
      <c r="A422" s="1" t="s">
        <v>472</v>
      </c>
      <c r="B422" s="1" t="s">
        <v>46</v>
      </c>
      <c r="C422" s="1">
        <v>125.1</v>
      </c>
      <c r="D422" s="3">
        <v>4.45212784</v>
      </c>
      <c r="E422" s="3">
        <v>4.906354249</v>
      </c>
      <c r="F422" s="1">
        <v>675911.0</v>
      </c>
      <c r="G422" s="9">
        <f t="shared" si="1"/>
        <v>125.3333333</v>
      </c>
      <c r="H422" s="10" t="str">
        <f>IFERROR(__xludf.DUMMYFUNCTION("if(B422=""- - -"",""Trade"",filter(R:R,Q:Q=B422))"),"NL")</f>
        <v>NL</v>
      </c>
      <c r="I422" s="11">
        <f t="array" ref="I422">index('PLV (min 500)'!F:F,match(F422,'PLV (min 500)'!B:B,0))</f>
        <v>3.886830239</v>
      </c>
      <c r="J422" s="11">
        <v>4.41510410936431</v>
      </c>
      <c r="K422" s="9">
        <v>-4.935947120163913</v>
      </c>
      <c r="L422" s="10">
        <v>2.407059676608235</v>
      </c>
      <c r="U422" s="9"/>
      <c r="X422" s="9"/>
    </row>
    <row r="423">
      <c r="A423" s="1" t="s">
        <v>473</v>
      </c>
      <c r="B423" s="1" t="s">
        <v>78</v>
      </c>
      <c r="C423" s="1">
        <v>56.0</v>
      </c>
      <c r="D423" s="3">
        <v>3.535714466</v>
      </c>
      <c r="E423" s="3">
        <v>5.356943321</v>
      </c>
      <c r="F423" s="1">
        <v>527048.0</v>
      </c>
      <c r="G423" s="9">
        <f t="shared" si="1"/>
        <v>56</v>
      </c>
      <c r="H423" s="10" t="str">
        <f>IFERROR(__xludf.DUMMYFUNCTION("if(B423=""- - -"",""Trade"",filter(R:R,Q:Q=B423))"),"AL")</f>
        <v>AL</v>
      </c>
      <c r="I423" s="11">
        <f t="array" ref="I423">index('PLV (min 500)'!F:F,match(F423,'PLV (min 500)'!B:B,0))</f>
        <v>3.633393375</v>
      </c>
      <c r="J423" s="11">
        <v>4.175350387333334</v>
      </c>
      <c r="K423" s="9">
        <v>-0.7177357434074152</v>
      </c>
      <c r="L423" s="10">
        <v>2.6544412222222182</v>
      </c>
      <c r="U423" s="9"/>
      <c r="X423" s="9"/>
    </row>
    <row r="424">
      <c r="A424" s="1" t="s">
        <v>474</v>
      </c>
      <c r="B424" s="1" t="s">
        <v>21</v>
      </c>
      <c r="C424" s="1">
        <v>142.0</v>
      </c>
      <c r="D424" s="3">
        <v>5.830986033</v>
      </c>
      <c r="E424" s="3">
        <v>4.652442525</v>
      </c>
      <c r="F424" s="1">
        <v>450203.0</v>
      </c>
      <c r="G424" s="9">
        <f t="shared" si="1"/>
        <v>142</v>
      </c>
      <c r="H424" s="10" t="str">
        <f>IFERROR(__xludf.DUMMYFUNCTION("if(B424=""- - -"",""Trade"",filter(R:R,Q:Q=B424))"),"Trade")</f>
        <v>Trade</v>
      </c>
      <c r="I424" s="11">
        <f t="array" ref="I424">index('PLV (min 500)'!F:F,match(F424,'PLV (min 500)'!B:B,0))</f>
        <v>4.059892775</v>
      </c>
      <c r="J424" s="11">
        <v>4.847773777596948</v>
      </c>
      <c r="K424" s="10">
        <v>-12.429319602085183</v>
      </c>
      <c r="L424" s="10">
        <v>0.0016917755222682412</v>
      </c>
      <c r="U424" s="9"/>
      <c r="X424" s="9"/>
    </row>
    <row r="425">
      <c r="A425" s="1" t="s">
        <v>475</v>
      </c>
      <c r="B425" s="1" t="s">
        <v>66</v>
      </c>
      <c r="C425" s="1">
        <v>68.1</v>
      </c>
      <c r="D425" s="3">
        <v>4.214634931</v>
      </c>
      <c r="E425" s="3">
        <v>4.359432439</v>
      </c>
      <c r="F425" s="1">
        <v>605130.0</v>
      </c>
      <c r="G425" s="9">
        <f t="shared" si="1"/>
        <v>68.33333333</v>
      </c>
      <c r="H425" s="10" t="str">
        <f>IFERROR(__xludf.DUMMYFUNCTION("if(B425=""- - -"",""Trade"",filter(R:R,Q:Q=B425))"),"NL")</f>
        <v>NL</v>
      </c>
      <c r="I425" s="11">
        <f t="array" ref="I425">index('PLV (min 500)'!F:F,match(F425,'PLV (min 500)'!B:B,0))</f>
        <v>4.274552942</v>
      </c>
      <c r="J425" s="11">
        <v>4.2828734372239765</v>
      </c>
      <c r="K425" s="9">
        <v>-1.6864090083280918</v>
      </c>
      <c r="L425" s="10">
        <v>-1.6234505919842706</v>
      </c>
      <c r="U425" s="9"/>
      <c r="X425" s="9"/>
    </row>
    <row r="426">
      <c r="A426" s="1" t="s">
        <v>476</v>
      </c>
      <c r="B426" s="1" t="s">
        <v>14</v>
      </c>
      <c r="C426" s="1">
        <v>131.2</v>
      </c>
      <c r="D426" s="3">
        <v>3.964557268</v>
      </c>
      <c r="E426" s="3">
        <v>5.187186751</v>
      </c>
      <c r="F426" s="1">
        <v>500779.0</v>
      </c>
      <c r="G426" s="9">
        <f t="shared" si="1"/>
        <v>131.6666667</v>
      </c>
      <c r="H426" s="10" t="str">
        <f>IFERROR(__xludf.DUMMYFUNCTION("if(B426=""- - -"",""Trade"",filter(R:R,Q:Q=B426))"),"NL")</f>
        <v>NL</v>
      </c>
      <c r="I426" s="11">
        <f t="array" ref="I426">index('PLV (min 500)'!F:F,match(F426,'PLV (min 500)'!B:B,0))</f>
        <v>3.660872309</v>
      </c>
      <c r="J426" s="11">
        <v>4.270872109302366</v>
      </c>
      <c r="K426" s="10">
        <v>-3.074046748941164</v>
      </c>
      <c r="L426" s="10">
        <v>5.8183947857098275</v>
      </c>
      <c r="U426" s="9"/>
      <c r="X426" s="9"/>
    </row>
    <row r="427">
      <c r="A427" s="1" t="s">
        <v>477</v>
      </c>
      <c r="B427" s="1" t="s">
        <v>56</v>
      </c>
      <c r="C427" s="1">
        <v>64.1</v>
      </c>
      <c r="D427" s="3">
        <v>5.735751749</v>
      </c>
      <c r="E427" s="3">
        <v>5.736598624</v>
      </c>
      <c r="F427" s="1">
        <v>677958.0</v>
      </c>
      <c r="G427" s="9">
        <f t="shared" si="1"/>
        <v>64.33333333</v>
      </c>
      <c r="H427" s="10" t="str">
        <f>IFERROR(__xludf.DUMMYFUNCTION("if(B427=""- - -"",""Trade"",filter(R:R,Q:Q=B427))"),"AL")</f>
        <v>AL</v>
      </c>
      <c r="I427" s="11">
        <f t="array" ref="I427">index('PLV (min 500)'!F:F,match(F427,'PLV (min 500)'!B:B,0))</f>
        <v>4.060418083</v>
      </c>
      <c r="J427" s="11">
        <v>5.177589485307531</v>
      </c>
      <c r="K427" s="9">
        <v>-7.959720667579197</v>
      </c>
      <c r="L427" s="10">
        <v>-0.0029776794820301155</v>
      </c>
      <c r="U427" s="9"/>
      <c r="X427" s="9"/>
    </row>
    <row r="428">
      <c r="A428" s="1" t="s">
        <v>478</v>
      </c>
      <c r="B428" s="1" t="s">
        <v>78</v>
      </c>
      <c r="C428" s="1">
        <v>51.0</v>
      </c>
      <c r="D428" s="3">
        <v>3.882353667</v>
      </c>
      <c r="E428" s="3">
        <v>4.050308917</v>
      </c>
      <c r="F428" s="1">
        <v>656457.0</v>
      </c>
      <c r="G428" s="9">
        <f t="shared" si="1"/>
        <v>51</v>
      </c>
      <c r="H428" s="10" t="str">
        <f>IFERROR(__xludf.DUMMYFUNCTION("if(B428=""- - -"",""Trade"",filter(R:R,Q:Q=B428))"),"AL")</f>
        <v>AL</v>
      </c>
      <c r="I428" s="11">
        <f t="array" ref="I428">index('PLV (min 500)'!F:F,match(F428,'PLV (min 500)'!B:B,0))</f>
        <v>3.880137353</v>
      </c>
      <c r="J428" s="11">
        <v>3.9375999789296707</v>
      </c>
      <c r="K428" s="9">
        <v>0.6936001193985304</v>
      </c>
      <c r="L428" s="10">
        <v>1.0192216675289163</v>
      </c>
      <c r="U428" s="9"/>
      <c r="X428" s="9"/>
    </row>
    <row r="429">
      <c r="A429" s="1" t="s">
        <v>479</v>
      </c>
      <c r="B429" s="1" t="s">
        <v>39</v>
      </c>
      <c r="C429" s="1">
        <v>37.0</v>
      </c>
      <c r="D429" s="3">
        <v>4.621621622</v>
      </c>
      <c r="E429" s="3">
        <v>3.277236092</v>
      </c>
      <c r="F429" s="1">
        <v>664299.0</v>
      </c>
      <c r="G429" s="9">
        <f t="shared" si="1"/>
        <v>37</v>
      </c>
      <c r="H429" s="10" t="str">
        <f>IFERROR(__xludf.DUMMYFUNCTION("if(B429=""- - -"",""Trade"",filter(R:R,Q:Q=B429))"),"AL")</f>
        <v>AL</v>
      </c>
      <c r="I429" s="11">
        <f t="array" ref="I429">index('PLV (min 500)'!F:F,match(F429,'PLV (min 500)'!B:B,0))</f>
        <v>3.816480649</v>
      </c>
      <c r="J429" s="11">
        <v>3.9051127875839327</v>
      </c>
      <c r="K429" s="10">
        <v>0.6367585399327198</v>
      </c>
      <c r="L429" s="10">
        <v>1.0011351106870532</v>
      </c>
      <c r="U429" s="9"/>
      <c r="X429" s="9"/>
    </row>
    <row r="430">
      <c r="A430" s="1" t="s">
        <v>480</v>
      </c>
      <c r="B430" s="1" t="s">
        <v>21</v>
      </c>
      <c r="C430" s="1">
        <v>89.2</v>
      </c>
      <c r="D430" s="3">
        <v>4.516728945</v>
      </c>
      <c r="E430" s="3">
        <v>3.527526105</v>
      </c>
      <c r="F430" s="1">
        <v>647336.0</v>
      </c>
      <c r="G430" s="9">
        <f t="shared" si="1"/>
        <v>89.66666667</v>
      </c>
      <c r="H430" s="10" t="str">
        <f>IFERROR(__xludf.DUMMYFUNCTION("if(B430=""- - -"",""Trade"",filter(R:R,Q:Q=B430))"),"Trade")</f>
        <v>Trade</v>
      </c>
      <c r="I430" s="11">
        <f t="array" ref="I430">index('PLV (min 500)'!F:F,match(F430,'PLV (min 500)'!B:B,0))</f>
        <v>3.24118519</v>
      </c>
      <c r="J430" s="11">
        <v>3.7618134132894023</v>
      </c>
      <c r="K430" s="9">
        <v>2.9553603927316976</v>
      </c>
      <c r="L430" s="10">
        <v>8.115364562639556</v>
      </c>
      <c r="U430" s="9"/>
      <c r="X430" s="9"/>
    </row>
    <row r="431">
      <c r="A431" s="1" t="s">
        <v>481</v>
      </c>
      <c r="B431" s="1" t="s">
        <v>75</v>
      </c>
      <c r="C431" s="1">
        <v>130.0</v>
      </c>
      <c r="D431" s="3">
        <v>6.646154334</v>
      </c>
      <c r="E431" s="3">
        <v>6.968182593</v>
      </c>
      <c r="F431" s="1">
        <v>622608.0</v>
      </c>
      <c r="G431" s="9">
        <f t="shared" si="1"/>
        <v>130</v>
      </c>
      <c r="H431" s="10" t="str">
        <f>IFERROR(__xludf.DUMMYFUNCTION("if(B431=""- - -"",""Trade"",filter(R:R,Q:Q=B431))"),"NL")</f>
        <v>NL</v>
      </c>
      <c r="I431" s="11">
        <f t="array" ref="I431">index('PLV (min 500)'!F:F,match(F431,'PLV (min 500)'!B:B,0))</f>
        <v>4.064429631</v>
      </c>
      <c r="J431" s="11">
        <v>5.8929221859230765</v>
      </c>
      <c r="K431" s="9">
        <v>-26.475542685555556</v>
      </c>
      <c r="L431" s="10">
        <v>-0.06398355555556653</v>
      </c>
      <c r="U431" s="9"/>
      <c r="X431" s="9"/>
    </row>
    <row r="432">
      <c r="A432" s="1" t="s">
        <v>482</v>
      </c>
      <c r="B432" s="1" t="s">
        <v>60</v>
      </c>
      <c r="C432" s="1">
        <v>38.0</v>
      </c>
      <c r="D432" s="3">
        <v>4.736843056</v>
      </c>
      <c r="E432" s="3">
        <v>4.137949499</v>
      </c>
      <c r="F432" s="1">
        <v>693312.0</v>
      </c>
      <c r="G432" s="9">
        <f t="shared" si="1"/>
        <v>38</v>
      </c>
      <c r="H432" s="10" t="str">
        <f>IFERROR(__xludf.DUMMYFUNCTION("if(B432=""- - -"",""Trade"",filter(R:R,Q:Q=B432))"),"NL")</f>
        <v>NL</v>
      </c>
      <c r="I432" s="11">
        <f t="array" ref="I432">index('PLV (min 500)'!F:F,match(F432,'PLV (min 500)'!B:B,0))</f>
        <v>3.985671079</v>
      </c>
      <c r="J432" s="11">
        <v>4.286821211280827</v>
      </c>
      <c r="K432" s="10">
        <v>-0.9576895587412724</v>
      </c>
      <c r="L432" s="10">
        <v>0.31383322266507313</v>
      </c>
      <c r="U432" s="9"/>
      <c r="X432" s="9"/>
    </row>
    <row r="433">
      <c r="A433" s="1" t="s">
        <v>483</v>
      </c>
      <c r="B433" s="1" t="s">
        <v>31</v>
      </c>
      <c r="C433" s="1">
        <v>38.1</v>
      </c>
      <c r="D433" s="3">
        <v>3.756522238</v>
      </c>
      <c r="E433" s="3">
        <v>3.529108851</v>
      </c>
      <c r="F433" s="1">
        <v>664192.0</v>
      </c>
      <c r="G433" s="9">
        <f t="shared" si="1"/>
        <v>38.33333333</v>
      </c>
      <c r="H433" s="10" t="str">
        <f>IFERROR(__xludf.DUMMYFUNCTION("if(B433=""- - -"",""Trade"",filter(R:R,Q:Q=B433))"),"NL")</f>
        <v>NL</v>
      </c>
      <c r="I433" s="11">
        <f t="array" ref="I433">index('PLV (min 500)'!F:F,match(F433,'PLV (min 500)'!B:B,0))</f>
        <v>3.867630731</v>
      </c>
      <c r="J433" s="11">
        <v>3.7177539399237</v>
      </c>
      <c r="K433" s="10">
        <v>1.4488416543230023</v>
      </c>
      <c r="L433" s="10">
        <v>0.8143632397356817</v>
      </c>
      <c r="U433" s="9"/>
      <c r="X433" s="9"/>
    </row>
    <row r="434">
      <c r="A434" s="1" t="s">
        <v>484</v>
      </c>
      <c r="B434" s="1" t="s">
        <v>70</v>
      </c>
      <c r="C434" s="1">
        <v>88.2</v>
      </c>
      <c r="D434" s="3">
        <v>4.364661779</v>
      </c>
      <c r="E434" s="3">
        <v>4.757212525</v>
      </c>
      <c r="F434" s="1">
        <v>682847.0</v>
      </c>
      <c r="G434" s="9">
        <f t="shared" si="1"/>
        <v>88.66666667</v>
      </c>
      <c r="H434" s="10" t="str">
        <f>IFERROR(__xludf.DUMMYFUNCTION("if(B434=""- - -"",""Trade"",filter(R:R,Q:Q=B434))"),"AL")</f>
        <v>AL</v>
      </c>
      <c r="I434" s="11">
        <f t="array" ref="I434">index('PLV (min 500)'!F:F,match(F434,'PLV (min 500)'!B:B,0))</f>
        <v>3.889796312</v>
      </c>
      <c r="J434" s="11">
        <v>4.337223538686441</v>
      </c>
      <c r="K434" s="9">
        <v>-2.7167906791271266</v>
      </c>
      <c r="L434" s="10">
        <v>1.6679961418186409</v>
      </c>
      <c r="U434" s="9"/>
      <c r="X434" s="9"/>
    </row>
    <row r="435">
      <c r="A435" s="1" t="s">
        <v>485</v>
      </c>
      <c r="B435" s="1" t="s">
        <v>16</v>
      </c>
      <c r="C435" s="1">
        <v>33.2</v>
      </c>
      <c r="D435" s="3">
        <v>7.485149292</v>
      </c>
      <c r="E435" s="3">
        <v>6.893103548</v>
      </c>
      <c r="F435" s="1">
        <v>701519.0</v>
      </c>
      <c r="G435" s="9">
        <f t="shared" si="1"/>
        <v>33.66666667</v>
      </c>
      <c r="H435" s="10" t="str">
        <f>IFERROR(__xludf.DUMMYFUNCTION("if(B435=""- - -"",""Trade"",filter(R:R,Q:Q=B435))"),"AL")</f>
        <v>AL</v>
      </c>
      <c r="I435" s="11">
        <f t="array" ref="I435">index('PLV (min 500)'!F:F,match(F435,'PLV (min 500)'!B:B,0))</f>
        <v>4.659643158</v>
      </c>
      <c r="J435" s="11">
        <v>6.345965332789902</v>
      </c>
      <c r="K435" s="9">
        <v>-8.432672116513864</v>
      </c>
      <c r="L435" s="10">
        <v>-2.212016984208253</v>
      </c>
      <c r="U435" s="9"/>
      <c r="X435" s="9"/>
    </row>
    <row r="436">
      <c r="A436" s="1" t="s">
        <v>486</v>
      </c>
      <c r="B436" s="1" t="s">
        <v>75</v>
      </c>
      <c r="C436" s="1">
        <v>58.2</v>
      </c>
      <c r="D436" s="3">
        <v>7.056819864</v>
      </c>
      <c r="E436" s="3">
        <v>5.455852594</v>
      </c>
      <c r="F436" s="1">
        <v>683409.0</v>
      </c>
      <c r="G436" s="9">
        <f t="shared" si="1"/>
        <v>58.66666667</v>
      </c>
      <c r="H436" s="10" t="str">
        <f>IFERROR(__xludf.DUMMYFUNCTION("if(B436=""- - -"",""Trade"",filter(R:R,Q:Q=B436))"),"NL")</f>
        <v>NL</v>
      </c>
      <c r="I436" s="11">
        <f t="array" ref="I436">index('PLV (min 500)'!F:F,match(F436,'PLV (min 500)'!B:B,0))</f>
        <v>4.031740022</v>
      </c>
      <c r="J436" s="11">
        <v>5.514804160074436</v>
      </c>
      <c r="K436" s="9">
        <v>-9.407733568481357</v>
      </c>
      <c r="L436" s="10">
        <v>0.18274785628929133</v>
      </c>
      <c r="U436" s="9"/>
      <c r="X436" s="9"/>
    </row>
    <row r="437">
      <c r="A437" s="1" t="s">
        <v>487</v>
      </c>
      <c r="B437" s="1" t="s">
        <v>62</v>
      </c>
      <c r="C437" s="1">
        <v>63.0</v>
      </c>
      <c r="D437" s="3">
        <v>2.428571943</v>
      </c>
      <c r="E437" s="3">
        <v>3.631850164</v>
      </c>
      <c r="F437" s="1">
        <v>676428.0</v>
      </c>
      <c r="G437" s="9">
        <f t="shared" si="1"/>
        <v>63</v>
      </c>
      <c r="H437" s="10" t="str">
        <f>IFERROR(__xludf.DUMMYFUNCTION("if(B437=""- - -"",""Trade"",filter(R:R,Q:Q=B437))"),"AL")</f>
        <v>AL</v>
      </c>
      <c r="I437" s="11">
        <f t="array" ref="I437">index('PLV (min 500)'!F:F,match(F437,'PLV (min 500)'!B:B,0))</f>
        <v>3.827963857</v>
      </c>
      <c r="J437" s="11">
        <v>3.2961286547547934</v>
      </c>
      <c r="K437" s="10">
        <v>5.347099416716443</v>
      </c>
      <c r="L437" s="10">
        <v>1.6242529991493315</v>
      </c>
      <c r="U437" s="9"/>
      <c r="X437" s="9"/>
    </row>
    <row r="438">
      <c r="A438" s="1" t="s">
        <v>488</v>
      </c>
      <c r="B438" s="1" t="s">
        <v>75</v>
      </c>
      <c r="C438" s="1">
        <v>39.2</v>
      </c>
      <c r="D438" s="3">
        <v>4.991597439</v>
      </c>
      <c r="E438" s="3">
        <v>4.372935003</v>
      </c>
      <c r="F438" s="1">
        <v>678020.0</v>
      </c>
      <c r="G438" s="9">
        <f t="shared" si="1"/>
        <v>39.66666667</v>
      </c>
      <c r="H438" s="10" t="str">
        <f>IFERROR(__xludf.DUMMYFUNCTION("if(B438=""- - -"",""Trade"",filter(R:R,Q:Q=B438))"),"NL")</f>
        <v>NL</v>
      </c>
      <c r="I438" s="11">
        <f t="array" ref="I438">index('PLV (min 500)'!F:F,match(F438,'PLV (min 500)'!B:B,0))</f>
        <v>3.689782336</v>
      </c>
      <c r="J438" s="11">
        <v>4.351438259491842</v>
      </c>
      <c r="K438" s="9">
        <v>-1.2693755302311365</v>
      </c>
      <c r="L438" s="10">
        <v>1.6125036011288174</v>
      </c>
      <c r="U438" s="9"/>
      <c r="X438" s="9"/>
    </row>
    <row r="439">
      <c r="A439" s="1" t="s">
        <v>489</v>
      </c>
      <c r="B439" s="1" t="s">
        <v>64</v>
      </c>
      <c r="C439" s="1">
        <v>57.1</v>
      </c>
      <c r="D439" s="3">
        <v>3.767442696</v>
      </c>
      <c r="E439" s="3">
        <v>3.877863717</v>
      </c>
      <c r="F439" s="1">
        <v>656222.0</v>
      </c>
      <c r="G439" s="9">
        <f t="shared" si="1"/>
        <v>57.33333333</v>
      </c>
      <c r="H439" s="10" t="str">
        <f>IFERROR(__xludf.DUMMYFUNCTION("if(B439=""- - -"",""Trade"",filter(R:R,Q:Q=B439))"),"NL")</f>
        <v>NL</v>
      </c>
      <c r="I439" s="11">
        <f t="array" ref="I439">index('PLV (min 500)'!F:F,match(F439,'PLV (min 500)'!B:B,0))</f>
        <v>3.739259983</v>
      </c>
      <c r="J439" s="11">
        <v>3.794855465171553</v>
      </c>
      <c r="K439" s="9">
        <v>1.6821947709671452</v>
      </c>
      <c r="L439" s="10">
        <v>2.0349172220458827</v>
      </c>
      <c r="U439" s="9"/>
      <c r="X439" s="9"/>
    </row>
    <row r="440">
      <c r="A440" s="1" t="s">
        <v>490</v>
      </c>
      <c r="B440" s="1" t="s">
        <v>16</v>
      </c>
      <c r="C440" s="1">
        <v>111.1</v>
      </c>
      <c r="D440" s="3">
        <v>4.041916456</v>
      </c>
      <c r="E440" s="3">
        <v>3.791091373</v>
      </c>
      <c r="F440" s="1">
        <v>680573.0</v>
      </c>
      <c r="G440" s="9">
        <f t="shared" si="1"/>
        <v>111.3333333</v>
      </c>
      <c r="H440" s="10" t="str">
        <f>IFERROR(__xludf.DUMMYFUNCTION("if(B440=""- - -"",""Trade"",filter(R:R,Q:Q=B440))"),"AL")</f>
        <v>AL</v>
      </c>
      <c r="I440" s="11">
        <f t="array" ref="I440">index('PLV (min 500)'!F:F,match(F440,'PLV (min 500)'!B:B,0))</f>
        <v>3.898490389</v>
      </c>
      <c r="J440" s="11">
        <v>3.910499406019382</v>
      </c>
      <c r="K440" s="9">
        <v>1.8455017768051813</v>
      </c>
      <c r="L440" s="10">
        <v>1.9937464195155326</v>
      </c>
      <c r="U440" s="9"/>
      <c r="X440" s="9"/>
    </row>
    <row r="441">
      <c r="A441" s="1" t="s">
        <v>491</v>
      </c>
      <c r="B441" s="1" t="s">
        <v>21</v>
      </c>
      <c r="C441" s="1">
        <v>102.0</v>
      </c>
      <c r="D441" s="3">
        <v>4.852941176</v>
      </c>
      <c r="E441" s="3">
        <v>4.102910936</v>
      </c>
      <c r="F441" s="1">
        <v>650644.0</v>
      </c>
      <c r="G441" s="9">
        <f t="shared" si="1"/>
        <v>102</v>
      </c>
      <c r="H441" s="10" t="str">
        <f>IFERROR(__xludf.DUMMYFUNCTION("if(B441=""- - -"",""Trade"",filter(R:R,Q:Q=B441))"),"Trade")</f>
        <v>Trade</v>
      </c>
      <c r="I441" s="11">
        <f t="array" ref="I441">index('PLV (min 500)'!F:F,match(F441,'PLV (min 500)'!B:B,0))</f>
        <v>3.944812323</v>
      </c>
      <c r="J441" s="11">
        <v>4.300221478471129</v>
      </c>
      <c r="K441" s="9">
        <v>-2.7225100893394667</v>
      </c>
      <c r="L441" s="10">
        <v>1.3054603346482618</v>
      </c>
      <c r="U441" s="9"/>
      <c r="X441" s="9"/>
    </row>
    <row r="442">
      <c r="A442" s="1" t="s">
        <v>492</v>
      </c>
      <c r="B442" s="1" t="s">
        <v>54</v>
      </c>
      <c r="C442" s="1">
        <v>52.0</v>
      </c>
      <c r="D442" s="3">
        <v>4.673076923</v>
      </c>
      <c r="E442" s="3">
        <v>4.029193034</v>
      </c>
      <c r="F442" s="1">
        <v>671212.0</v>
      </c>
      <c r="G442" s="9">
        <f t="shared" si="1"/>
        <v>52</v>
      </c>
      <c r="H442" s="10" t="str">
        <f>IFERROR(__xludf.DUMMYFUNCTION("if(B442=""- - -"",""Trade"",filter(R:R,Q:Q=B442))"),"AL")</f>
        <v>AL</v>
      </c>
      <c r="I442" s="11">
        <f t="array" ref="I442">index('PLV (min 500)'!F:F,match(F442,'PLV (min 500)'!B:B,0))</f>
        <v>4.203673789</v>
      </c>
      <c r="J442" s="11">
        <v>4.301981248621913</v>
      </c>
      <c r="K442" s="9">
        <v>-1.39811388092661</v>
      </c>
      <c r="L442" s="10">
        <v>-0.8301152245576012</v>
      </c>
      <c r="U442" s="9"/>
      <c r="X442" s="9"/>
    </row>
    <row r="443">
      <c r="A443" s="1" t="s">
        <v>493</v>
      </c>
      <c r="B443" s="1" t="s">
        <v>22</v>
      </c>
      <c r="C443" s="1">
        <v>51.2</v>
      </c>
      <c r="D443" s="3">
        <v>3.13548472</v>
      </c>
      <c r="E443" s="3">
        <v>3.386272934</v>
      </c>
      <c r="F443" s="1">
        <v>657514.0</v>
      </c>
      <c r="G443" s="9">
        <f t="shared" si="1"/>
        <v>51.66666667</v>
      </c>
      <c r="H443" s="10" t="str">
        <f>IFERROR(__xludf.DUMMYFUNCTION("if(B443=""- - -"",""Trade"",filter(R:R,Q:Q=B443))"),"AL")</f>
        <v>AL</v>
      </c>
      <c r="I443" s="11">
        <f t="array" ref="I443">index('PLV (min 500)'!F:F,match(F443,'PLV (min 500)'!B:B,0))</f>
        <v>3.773005781</v>
      </c>
      <c r="J443" s="11">
        <v>3.431587811637641</v>
      </c>
      <c r="K443" s="9">
        <v>3.5749671160169734</v>
      </c>
      <c r="L443" s="10">
        <v>1.6326782241398128</v>
      </c>
      <c r="U443" s="9"/>
      <c r="X443" s="9"/>
    </row>
    <row r="444">
      <c r="A444" s="1" t="s">
        <v>494</v>
      </c>
      <c r="B444" s="1" t="s">
        <v>21</v>
      </c>
      <c r="C444" s="1">
        <v>62.2</v>
      </c>
      <c r="D444" s="3">
        <v>5.170212897</v>
      </c>
      <c r="E444" s="3">
        <v>5.133709664</v>
      </c>
      <c r="F444" s="1">
        <v>672782.0</v>
      </c>
      <c r="G444" s="9">
        <f t="shared" si="1"/>
        <v>62.66666667</v>
      </c>
      <c r="H444" s="10" t="str">
        <f>IFERROR(__xludf.DUMMYFUNCTION("if(B444=""- - -"",""Trade"",filter(R:R,Q:Q=B444))"),"Trade")</f>
        <v>Trade</v>
      </c>
      <c r="I444" s="11">
        <f t="array" ref="I444">index('PLV (min 500)'!F:F,match(F444,'PLV (min 500)'!B:B,0))</f>
        <v>4.182514707</v>
      </c>
      <c r="J444" s="11">
        <v>4.828812422830435</v>
      </c>
      <c r="K444" s="9">
        <v>-5.313348077783675</v>
      </c>
      <c r="L444" s="10">
        <v>-0.8467127562176757</v>
      </c>
      <c r="U444" s="9"/>
      <c r="X444" s="9"/>
    </row>
    <row r="445">
      <c r="A445" s="1" t="s">
        <v>495</v>
      </c>
      <c r="B445" s="1" t="s">
        <v>75</v>
      </c>
      <c r="C445" s="1">
        <v>98.0</v>
      </c>
      <c r="D445" s="3">
        <v>6.520408671</v>
      </c>
      <c r="E445" s="3">
        <v>5.103258232</v>
      </c>
      <c r="F445" s="1">
        <v>801403.0</v>
      </c>
      <c r="G445" s="9">
        <f t="shared" si="1"/>
        <v>98</v>
      </c>
      <c r="H445" s="10" t="str">
        <f>IFERROR(__xludf.DUMMYFUNCTION("if(B445=""- - -"",""Trade"",filter(R:R,Q:Q=B445))"),"NL")</f>
        <v>NL</v>
      </c>
      <c r="I445" s="11">
        <f t="array" ref="I445">index('PLV (min 500)'!F:F,match(F445,'PLV (min 500)'!B:B,0))</f>
        <v>4.318214051</v>
      </c>
      <c r="J445" s="11">
        <v>5.313960317918675</v>
      </c>
      <c r="K445" s="10">
        <v>-13.654234572892245</v>
      </c>
      <c r="L445" s="10">
        <v>-2.8116641082323</v>
      </c>
      <c r="U445" s="9"/>
      <c r="X445" s="9"/>
    </row>
    <row r="446">
      <c r="A446" s="1" t="s">
        <v>496</v>
      </c>
      <c r="B446" s="1" t="s">
        <v>14</v>
      </c>
      <c r="C446" s="1">
        <v>119.2</v>
      </c>
      <c r="D446" s="3">
        <v>3.534819017</v>
      </c>
      <c r="E446" s="3">
        <v>3.877614858</v>
      </c>
      <c r="F446" s="1">
        <v>694477.0</v>
      </c>
      <c r="G446" s="9">
        <f t="shared" si="1"/>
        <v>119.6666667</v>
      </c>
      <c r="H446" s="10" t="str">
        <f>IFERROR(__xludf.DUMMYFUNCTION("if(B446=""- - -"",""Trade"",filter(R:R,Q:Q=B446))"),"NL")</f>
        <v>NL</v>
      </c>
      <c r="I446" s="11">
        <f t="array" ref="I446">index('PLV (min 500)'!F:F,match(F446,'PLV (min 500)'!B:B,0))</f>
        <v>3.931319958</v>
      </c>
      <c r="J446" s="11">
        <v>3.7812512776916365</v>
      </c>
      <c r="K446" s="9">
        <v>3.6918719665729873</v>
      </c>
      <c r="L446" s="10">
        <v>1.7042956663856392</v>
      </c>
      <c r="U446" s="9"/>
      <c r="X446" s="9"/>
    </row>
    <row r="447">
      <c r="A447" s="1" t="s">
        <v>497</v>
      </c>
      <c r="B447" s="1" t="s">
        <v>78</v>
      </c>
      <c r="C447" s="1">
        <v>101.0</v>
      </c>
      <c r="D447" s="3">
        <v>2.495049717</v>
      </c>
      <c r="E447" s="3">
        <v>4.06903325</v>
      </c>
      <c r="F447" s="1">
        <v>678024.0</v>
      </c>
      <c r="G447" s="9">
        <f t="shared" si="1"/>
        <v>101</v>
      </c>
      <c r="H447" s="10" t="str">
        <f>IFERROR(__xludf.DUMMYFUNCTION("if(B447=""- - -"",""Trade"",filter(R:R,Q:Q=B447))"),"AL")</f>
        <v>AL</v>
      </c>
      <c r="I447" s="11">
        <f t="array" ref="I447">index('PLV (min 500)'!F:F,match(F447,'PLV (min 500)'!B:B,0))</f>
        <v>3.780716435</v>
      </c>
      <c r="J447" s="11">
        <v>3.4482664674979446</v>
      </c>
      <c r="K447" s="9">
        <v>6.865009642523061</v>
      </c>
      <c r="L447" s="10">
        <v>3.1341822239025365</v>
      </c>
      <c r="U447" s="9"/>
      <c r="X447" s="9"/>
    </row>
    <row r="448">
      <c r="A448" s="1" t="s">
        <v>498</v>
      </c>
      <c r="B448" s="1" t="s">
        <v>26</v>
      </c>
      <c r="C448" s="1">
        <v>47.1</v>
      </c>
      <c r="D448" s="3">
        <v>2.661972278</v>
      </c>
      <c r="E448" s="3">
        <v>3.735408593</v>
      </c>
      <c r="F448" s="1">
        <v>688158.0</v>
      </c>
      <c r="G448" s="9">
        <f t="shared" si="1"/>
        <v>47.33333333</v>
      </c>
      <c r="H448" s="10" t="str">
        <f>IFERROR(__xludf.DUMMYFUNCTION("if(B448=""- - -"",""Trade"",filter(R:R,Q:Q=B448))"),"NL")</f>
        <v>NL</v>
      </c>
      <c r="I448" s="11">
        <f t="array" ref="I448">index('PLV (min 500)'!F:F,match(F448,'PLV (min 500)'!B:B,0))</f>
        <v>3.865337683</v>
      </c>
      <c r="J448" s="11">
        <v>3.420906184708604</v>
      </c>
      <c r="K448" s="10">
        <v>3.344590966691637</v>
      </c>
      <c r="L448" s="10">
        <v>1.0187327916415834</v>
      </c>
      <c r="U448" s="9"/>
      <c r="X448" s="9"/>
    </row>
    <row r="449">
      <c r="A449" s="1" t="s">
        <v>499</v>
      </c>
      <c r="B449" s="1" t="s">
        <v>21</v>
      </c>
      <c r="C449" s="1">
        <v>62.2</v>
      </c>
      <c r="D449" s="3">
        <v>3.159575077</v>
      </c>
      <c r="E449" s="3">
        <v>3.243982533</v>
      </c>
      <c r="F449" s="1">
        <v>622554.0</v>
      </c>
      <c r="G449" s="9">
        <f t="shared" si="1"/>
        <v>62.66666667</v>
      </c>
      <c r="H449" s="10" t="str">
        <f>IFERROR(__xludf.DUMMYFUNCTION("if(B449=""- - -"",""Trade"",filter(R:R,Q:Q=B449))"),"Trade")</f>
        <v>Trade</v>
      </c>
      <c r="I449" s="11">
        <f t="array" ref="I449">index('PLV (min 500)'!F:F,match(F449,'PLV (min 500)'!B:B,0))</f>
        <v>4.159560399</v>
      </c>
      <c r="J449" s="11">
        <v>3.521039336282557</v>
      </c>
      <c r="K449" s="9">
        <v>3.724817031469437</v>
      </c>
      <c r="L449" s="10">
        <v>-0.6880729787027852</v>
      </c>
      <c r="U449" s="9"/>
      <c r="X449" s="9"/>
    </row>
    <row r="450">
      <c r="A450" s="1" t="s">
        <v>500</v>
      </c>
      <c r="B450" s="1" t="s">
        <v>34</v>
      </c>
      <c r="C450" s="1">
        <v>37.0</v>
      </c>
      <c r="D450" s="3">
        <v>3.648648931</v>
      </c>
      <c r="E450" s="3">
        <v>4.860272598</v>
      </c>
      <c r="F450" s="1">
        <v>665871.0</v>
      </c>
      <c r="G450" s="9">
        <f t="shared" si="1"/>
        <v>37</v>
      </c>
      <c r="H450" s="10" t="str">
        <f>IFERROR(__xludf.DUMMYFUNCTION("if(B450=""- - -"",""Trade"",filter(R:R,Q:Q=B450))"),"NL")</f>
        <v>NL</v>
      </c>
      <c r="I450" s="11">
        <f t="array" ref="I450">index('PLV (min 500)'!F:F,match(F450,'PLV (min 500)'!B:B,0))</f>
        <v>3.653541243</v>
      </c>
      <c r="J450" s="11">
        <v>4.05415425731567</v>
      </c>
      <c r="K450" s="9">
        <v>0.0240324977022452</v>
      </c>
      <c r="L450" s="10">
        <v>1.6709971123289582</v>
      </c>
      <c r="U450" s="9"/>
      <c r="X450" s="9"/>
    </row>
    <row r="451">
      <c r="A451" s="1" t="s">
        <v>501</v>
      </c>
      <c r="B451" s="1" t="s">
        <v>31</v>
      </c>
      <c r="C451" s="1">
        <v>36.0</v>
      </c>
      <c r="D451" s="3">
        <v>4.750000126</v>
      </c>
      <c r="E451" s="3">
        <v>5.934334638</v>
      </c>
      <c r="F451" s="1">
        <v>693313.0</v>
      </c>
      <c r="G451" s="9">
        <f t="shared" si="1"/>
        <v>36</v>
      </c>
      <c r="H451" s="10" t="str">
        <f>IFERROR(__xludf.DUMMYFUNCTION("if(B451=""- - -"",""Trade"",filter(R:R,Q:Q=B451))"),"NL")</f>
        <v>NL</v>
      </c>
      <c r="I451" s="11">
        <f t="array" ref="I451">index('PLV (min 500)'!F:F,match(F451,'PLV (min 500)'!B:B,0))</f>
        <v>4.12479625</v>
      </c>
      <c r="J451" s="11">
        <v>4.936377004704859</v>
      </c>
      <c r="K451" s="10">
        <v>-3.5055080188194374</v>
      </c>
      <c r="L451" s="10">
        <v>-0.2591850004583165</v>
      </c>
      <c r="U451" s="9"/>
      <c r="X451" s="9"/>
    </row>
    <row r="452">
      <c r="A452" s="1" t="s">
        <v>502</v>
      </c>
      <c r="B452" s="1" t="s">
        <v>56</v>
      </c>
      <c r="C452" s="1">
        <v>41.2</v>
      </c>
      <c r="D452" s="3">
        <v>1.512000231</v>
      </c>
      <c r="E452" s="3">
        <v>4.193895339</v>
      </c>
      <c r="F452" s="1">
        <v>668390.0</v>
      </c>
      <c r="G452" s="9">
        <f t="shared" si="1"/>
        <v>41.66666667</v>
      </c>
      <c r="H452" s="10" t="str">
        <f>IFERROR(__xludf.DUMMYFUNCTION("if(B452=""- - -"",""Trade"",filter(R:R,Q:Q=B452))"),"AL")</f>
        <v>AL</v>
      </c>
      <c r="I452" s="11">
        <f t="array" ref="I452">index('PLV (min 500)'!F:F,match(F452,'PLV (min 500)'!B:B,0))</f>
        <v>3.554691048</v>
      </c>
      <c r="J452" s="11">
        <v>3.0868622059620834</v>
      </c>
      <c r="K452" s="10">
        <v>4.454808568262461</v>
      </c>
      <c r="L452" s="10">
        <v>2.313192091898496</v>
      </c>
      <c r="U452" s="9"/>
      <c r="X452" s="9"/>
    </row>
    <row r="453">
      <c r="A453" s="1" t="s">
        <v>503</v>
      </c>
      <c r="B453" s="1" t="s">
        <v>21</v>
      </c>
      <c r="C453" s="1">
        <v>47.2</v>
      </c>
      <c r="D453" s="3">
        <v>3.965035732</v>
      </c>
      <c r="E453" s="3">
        <v>5.095806655</v>
      </c>
      <c r="F453" s="1">
        <v>642152.0</v>
      </c>
      <c r="G453" s="9">
        <f t="shared" si="1"/>
        <v>47.66666667</v>
      </c>
      <c r="H453" s="10" t="str">
        <f>IFERROR(__xludf.DUMMYFUNCTION("if(B453=""- - -"",""Trade"",filter(R:R,Q:Q=B453))"),"Trade")</f>
        <v>Trade</v>
      </c>
      <c r="I453" s="11">
        <f t="array" ref="I453">index('PLV (min 500)'!F:F,match(F453,'PLV (min 500)'!B:B,0))</f>
        <v>4.230542958</v>
      </c>
      <c r="J453" s="11">
        <v>4.430461781641207</v>
      </c>
      <c r="K453" s="9">
        <v>-1.9428662326072217</v>
      </c>
      <c r="L453" s="10">
        <v>-0.8944030682216595</v>
      </c>
      <c r="U453" s="9"/>
      <c r="X453" s="9"/>
    </row>
    <row r="454">
      <c r="A454" s="1" t="s">
        <v>504</v>
      </c>
      <c r="B454" s="1" t="s">
        <v>75</v>
      </c>
      <c r="C454" s="1">
        <v>30.1</v>
      </c>
      <c r="D454" s="3">
        <v>4.747252946</v>
      </c>
      <c r="E454" s="3">
        <v>3.299199603</v>
      </c>
      <c r="F454" s="1">
        <v>663372.0</v>
      </c>
      <c r="G454" s="9">
        <f t="shared" si="1"/>
        <v>30.33333333</v>
      </c>
      <c r="H454" s="10" t="str">
        <f>IFERROR(__xludf.DUMMYFUNCTION("if(B454=""- - -"",""Trade"",filter(R:R,Q:Q=B454))"),"NL")</f>
        <v>NL</v>
      </c>
      <c r="I454" s="11">
        <f t="array" ref="I454">index('PLV (min 500)'!F:F,match(F454,'PLV (min 500)'!B:B,0))</f>
        <v>4.104770835</v>
      </c>
      <c r="J454" s="11">
        <v>4.050407794646433</v>
      </c>
      <c r="K454" s="9">
        <v>0.032080597904706215</v>
      </c>
      <c r="L454" s="10">
        <v>-0.14973357018588004</v>
      </c>
      <c r="U454" s="9"/>
      <c r="X454" s="9"/>
    </row>
    <row r="455">
      <c r="A455" s="1" t="s">
        <v>505</v>
      </c>
      <c r="B455" s="1" t="s">
        <v>52</v>
      </c>
      <c r="C455" s="1">
        <v>58.0</v>
      </c>
      <c r="D455" s="3">
        <v>4.655173332</v>
      </c>
      <c r="E455" s="3">
        <v>3.731859388</v>
      </c>
      <c r="F455" s="1">
        <v>621053.0</v>
      </c>
      <c r="G455" s="9">
        <f t="shared" si="1"/>
        <v>58</v>
      </c>
      <c r="H455" s="10" t="str">
        <f>IFERROR(__xludf.DUMMYFUNCTION("if(B455=""- - -"",""Trade"",filter(R:R,Q:Q=B455))"),"AL")</f>
        <v>AL</v>
      </c>
      <c r="I455" s="11">
        <f t="array" ref="I455">index('PLV (min 500)'!F:F,match(F455,'PLV (min 500)'!B:B,0))</f>
        <v>4.186547379</v>
      </c>
      <c r="J455" s="11">
        <v>4.191193366340539</v>
      </c>
      <c r="K455" s="9">
        <v>-0.8454683608612564</v>
      </c>
      <c r="L455" s="10">
        <v>-0.815527553694872</v>
      </c>
      <c r="U455" s="9"/>
      <c r="X455" s="9"/>
    </row>
    <row r="456">
      <c r="A456" s="1" t="s">
        <v>506</v>
      </c>
      <c r="B456" s="1" t="s">
        <v>21</v>
      </c>
      <c r="C456" s="1">
        <v>33.2</v>
      </c>
      <c r="D456" s="3">
        <v>2.405941253</v>
      </c>
      <c r="E456" s="3">
        <v>3.442820077</v>
      </c>
      <c r="F456" s="1">
        <v>605177.0</v>
      </c>
      <c r="G456" s="9">
        <f t="shared" si="1"/>
        <v>33.66666667</v>
      </c>
      <c r="H456" s="10" t="str">
        <f>IFERROR(__xludf.DUMMYFUNCTION("if(B456=""- - -"",""Trade"",filter(R:R,Q:Q=B456))"),"Trade")</f>
        <v>Trade</v>
      </c>
      <c r="I456" s="11">
        <f t="array" ref="I456">index('PLV (min 500)'!F:F,match(F456,'PLV (min 500)'!B:B,0))</f>
        <v>4.53195802</v>
      </c>
      <c r="J456" s="11">
        <v>3.460239783207499</v>
      </c>
      <c r="K456" s="9">
        <v>2.212448799723447</v>
      </c>
      <c r="L456" s="10">
        <v>-1.7410006946074346</v>
      </c>
      <c r="U456" s="9"/>
      <c r="X456" s="9"/>
    </row>
    <row r="457">
      <c r="A457" s="1" t="s">
        <v>507</v>
      </c>
      <c r="B457" s="1" t="s">
        <v>80</v>
      </c>
      <c r="C457" s="1">
        <v>52.2</v>
      </c>
      <c r="D457" s="3">
        <v>4.272153033</v>
      </c>
      <c r="E457" s="3">
        <v>4.461812188</v>
      </c>
      <c r="F457" s="1">
        <v>669371.0</v>
      </c>
      <c r="G457" s="9">
        <f t="shared" si="1"/>
        <v>52.66666667</v>
      </c>
      <c r="H457" s="10" t="str">
        <f>IFERROR(__xludf.DUMMYFUNCTION("if(B457=""- - -"",""Trade"",filter(R:R,Q:Q=B457))"),"NL")</f>
        <v>NL</v>
      </c>
      <c r="I457" s="11">
        <f t="array" ref="I457">index('PLV (min 500)'!F:F,match(F457,'PLV (min 500)'!B:B,0))</f>
        <v>4.469687316</v>
      </c>
      <c r="J457" s="11">
        <v>4.401217512390935</v>
      </c>
      <c r="K457" s="10">
        <v>-1.9790615718674252</v>
      </c>
      <c r="L457" s="10">
        <v>-2.3761864338022702</v>
      </c>
      <c r="U457" s="9"/>
      <c r="X457" s="9"/>
    </row>
    <row r="458">
      <c r="A458" s="1" t="s">
        <v>508</v>
      </c>
      <c r="B458" s="1" t="s">
        <v>80</v>
      </c>
      <c r="C458" s="1">
        <v>29.0</v>
      </c>
      <c r="D458" s="3">
        <v>8.379311447</v>
      </c>
      <c r="E458" s="3">
        <v>5.906022338</v>
      </c>
      <c r="F458" s="1">
        <v>674285.0</v>
      </c>
      <c r="G458" s="9">
        <f t="shared" si="1"/>
        <v>29</v>
      </c>
      <c r="H458" s="10" t="str">
        <f>IFERROR(__xludf.DUMMYFUNCTION("if(B458=""- - -"",""Trade"",filter(R:R,Q:Q=B458))"),"NL")</f>
        <v>NL</v>
      </c>
      <c r="I458" s="11">
        <f t="array" ref="I458">index('PLV (min 500)'!F:F,match(F458,'PLV (min 500)'!B:B,0))</f>
        <v>4.631799724</v>
      </c>
      <c r="J458" s="11">
        <v>6.305711169659404</v>
      </c>
      <c r="K458" s="9">
        <v>-7.236180435569192</v>
      </c>
      <c r="L458" s="10">
        <v>-1.842465777263139</v>
      </c>
      <c r="U458" s="9"/>
      <c r="X458" s="9"/>
    </row>
    <row r="459">
      <c r="A459" s="1" t="s">
        <v>509</v>
      </c>
      <c r="B459" s="1" t="s">
        <v>37</v>
      </c>
      <c r="C459" s="1">
        <v>90.0</v>
      </c>
      <c r="D459" s="3">
        <v>4.900000312</v>
      </c>
      <c r="E459" s="3">
        <v>5.517320614</v>
      </c>
      <c r="F459" s="1">
        <v>676106.0</v>
      </c>
      <c r="G459" s="9">
        <f t="shared" si="1"/>
        <v>90</v>
      </c>
      <c r="H459" s="10" t="str">
        <f>IFERROR(__xludf.DUMMYFUNCTION("if(B459=""- - -"",""Trade"",filter(R:R,Q:Q=B459))"),"AL")</f>
        <v>AL</v>
      </c>
      <c r="I459" s="11">
        <f t="array" ref="I459">index('PLV (min 500)'!F:F,match(F459,'PLV (min 500)'!B:B,0))</f>
        <v>3.9016161</v>
      </c>
      <c r="J459" s="11">
        <v>4.772979008594414</v>
      </c>
      <c r="K459" s="9">
        <v>-7.129790085944148</v>
      </c>
      <c r="L459" s="10">
        <v>1.5838390021675597</v>
      </c>
      <c r="U459" s="9"/>
      <c r="X459" s="9"/>
    </row>
    <row r="460">
      <c r="A460" s="1" t="s">
        <v>510</v>
      </c>
      <c r="B460" s="1" t="s">
        <v>25</v>
      </c>
      <c r="C460" s="1">
        <v>32.1</v>
      </c>
      <c r="D460" s="3">
        <v>6.402062107</v>
      </c>
      <c r="E460" s="3">
        <v>4.837222188</v>
      </c>
      <c r="F460" s="1">
        <v>702674.0</v>
      </c>
      <c r="G460" s="9">
        <f t="shared" si="1"/>
        <v>32.33333333</v>
      </c>
      <c r="H460" s="10" t="str">
        <f>IFERROR(__xludf.DUMMYFUNCTION("if(B460=""- - -"",""Trade"",filter(R:R,Q:Q=B460))"),"AL")</f>
        <v>AL</v>
      </c>
      <c r="I460" s="11">
        <f t="array" ref="I460">index('PLV (min 500)'!F:F,match(F460,'PLV (min 500)'!B:B,0))</f>
        <v>4.270695495</v>
      </c>
      <c r="J460" s="11">
        <v>5.169993263296463</v>
      </c>
      <c r="K460" s="10">
        <v>-3.9589759724240516</v>
      </c>
      <c r="L460" s="10">
        <v>-0.7514805984388189</v>
      </c>
      <c r="U460" s="9"/>
      <c r="X460" s="9"/>
    </row>
    <row r="461">
      <c r="A461" s="1" t="s">
        <v>511</v>
      </c>
      <c r="B461" s="1" t="s">
        <v>80</v>
      </c>
      <c r="C461" s="1">
        <v>73.1</v>
      </c>
      <c r="D461" s="3">
        <v>5.768182818</v>
      </c>
      <c r="E461" s="3">
        <v>4.726653092</v>
      </c>
      <c r="F461" s="1">
        <v>671131.0</v>
      </c>
      <c r="G461" s="9">
        <f t="shared" si="1"/>
        <v>73.33333333</v>
      </c>
      <c r="H461" s="10" t="str">
        <f>IFERROR(__xludf.DUMMYFUNCTION("if(B461=""- - -"",""Trade"",filter(R:R,Q:Q=B461))"),"NL")</f>
        <v>NL</v>
      </c>
      <c r="I461" s="11">
        <f t="array" ref="I461">index('PLV (min 500)'!F:F,match(F461,'PLV (min 500)'!B:B,0))</f>
        <v>4.381945855</v>
      </c>
      <c r="J461" s="11">
        <v>4.958927254875042</v>
      </c>
      <c r="K461" s="10">
        <v>-7.301286925707288</v>
      </c>
      <c r="L461" s="10">
        <v>-2.614915774788535</v>
      </c>
      <c r="U461" s="9"/>
      <c r="X461" s="9"/>
    </row>
    <row r="462">
      <c r="A462" s="1" t="s">
        <v>512</v>
      </c>
      <c r="B462" s="1" t="s">
        <v>75</v>
      </c>
      <c r="C462" s="1">
        <v>31.1</v>
      </c>
      <c r="D462" s="3">
        <v>6.606384051</v>
      </c>
      <c r="E462" s="3">
        <v>6.493879323</v>
      </c>
      <c r="F462" s="1">
        <v>688642.0</v>
      </c>
      <c r="G462" s="9">
        <f t="shared" si="1"/>
        <v>31.33333333</v>
      </c>
      <c r="H462" s="10" t="str">
        <f>IFERROR(__xludf.DUMMYFUNCTION("if(B462=""- - -"",""Trade"",filter(R:R,Q:Q=B462))"),"NL")</f>
        <v>NL</v>
      </c>
      <c r="I462" s="11">
        <f t="array" ref="I462">index('PLV (min 500)'!F:F,match(F462,'PLV (min 500)'!B:B,0))</f>
        <v>4.097410277</v>
      </c>
      <c r="J462" s="11">
        <v>5.732557883502856</v>
      </c>
      <c r="K462" s="9">
        <v>-5.779616686326537</v>
      </c>
      <c r="L462" s="10">
        <v>-0.12927328882404698</v>
      </c>
      <c r="U462" s="9"/>
      <c r="X462" s="9"/>
    </row>
    <row r="463">
      <c r="A463" s="1" t="s">
        <v>513</v>
      </c>
      <c r="B463" s="1" t="s">
        <v>75</v>
      </c>
      <c r="C463" s="1">
        <v>126.1</v>
      </c>
      <c r="D463" s="3">
        <v>6.69657019</v>
      </c>
      <c r="E463" s="3">
        <v>5.76699029</v>
      </c>
      <c r="F463" s="1">
        <v>608566.0</v>
      </c>
      <c r="G463" s="9">
        <f t="shared" si="1"/>
        <v>126.3333333</v>
      </c>
      <c r="H463" s="10" t="str">
        <f>IFERROR(__xludf.DUMMYFUNCTION("if(B463=""- - -"",""Trade"",filter(R:R,Q:Q=B463))"),"NL")</f>
        <v>NL</v>
      </c>
      <c r="I463" s="11">
        <f t="array" ref="I463">index('PLV (min 500)'!F:F,match(F463,'PLV (min 500)'!B:B,0))</f>
        <v>4.144968332</v>
      </c>
      <c r="J463" s="11">
        <v>5.536176270821588</v>
      </c>
      <c r="K463" s="9">
        <v>-20.682869750066914</v>
      </c>
      <c r="L463" s="10">
        <v>-1.1905007470896267</v>
      </c>
      <c r="U463" s="9"/>
      <c r="X463" s="9"/>
    </row>
    <row r="464">
      <c r="A464" s="1" t="s">
        <v>514</v>
      </c>
      <c r="B464" s="1" t="s">
        <v>31</v>
      </c>
      <c r="C464" s="1">
        <v>65.2</v>
      </c>
      <c r="D464" s="3">
        <v>4.7969545</v>
      </c>
      <c r="E464" s="3">
        <v>4.685703232</v>
      </c>
      <c r="F464" s="1">
        <v>806185.0</v>
      </c>
      <c r="G464" s="9">
        <f t="shared" si="1"/>
        <v>65.66666667</v>
      </c>
      <c r="H464" s="10" t="str">
        <f>IFERROR(__xludf.DUMMYFUNCTION("if(B464=""- - -"",""Trade"",filter(R:R,Q:Q=B464))"),"NL")</f>
        <v>NL</v>
      </c>
      <c r="I464" s="11">
        <f t="array" ref="I464">index('PLV (min 500)'!F:F,match(F464,'PLV (min 500)'!B:B,0))</f>
        <v>4.468687355</v>
      </c>
      <c r="J464" s="11">
        <v>4.650448362481122</v>
      </c>
      <c r="K464" s="9">
        <v>-4.2774703593076895</v>
      </c>
      <c r="L464" s="10">
        <v>-2.9607128416564032</v>
      </c>
      <c r="U464" s="9"/>
      <c r="X464" s="9"/>
    </row>
    <row r="465">
      <c r="A465" s="1" t="s">
        <v>515</v>
      </c>
      <c r="B465" s="1" t="s">
        <v>31</v>
      </c>
      <c r="C465" s="1">
        <v>29.2</v>
      </c>
      <c r="D465" s="3">
        <v>6.370787063</v>
      </c>
      <c r="E465" s="3">
        <v>3.997378772</v>
      </c>
      <c r="F465" s="1">
        <v>678906.0</v>
      </c>
      <c r="G465" s="9">
        <f t="shared" si="1"/>
        <v>29.66666667</v>
      </c>
      <c r="H465" s="10" t="str">
        <f>IFERROR(__xludf.DUMMYFUNCTION("if(B465=""- - -"",""Trade"",filter(R:R,Q:Q=B465))"),"NL")</f>
        <v>NL</v>
      </c>
      <c r="I465" s="11">
        <f t="array" ref="I465">index('PLV (min 500)'!F:F,match(F465,'PLV (min 500)'!B:B,0))</f>
        <v>4.74701046</v>
      </c>
      <c r="J465" s="11">
        <v>5.038392098486935</v>
      </c>
      <c r="K465" s="10">
        <v>-3.174338808424279</v>
      </c>
      <c r="L465" s="10">
        <v>-2.228967271717288</v>
      </c>
      <c r="U465" s="9"/>
      <c r="X465" s="9"/>
    </row>
    <row r="466">
      <c r="A466" s="1" t="s">
        <v>516</v>
      </c>
      <c r="B466" s="1" t="s">
        <v>46</v>
      </c>
      <c r="C466" s="1">
        <v>44.1</v>
      </c>
      <c r="D466" s="3">
        <v>3.857142968</v>
      </c>
      <c r="E466" s="3">
        <v>6.283601495</v>
      </c>
      <c r="F466" s="1">
        <v>700363.0</v>
      </c>
      <c r="G466" s="9">
        <f t="shared" si="1"/>
        <v>44.33333333</v>
      </c>
      <c r="H466" s="10" t="str">
        <f>IFERROR(__xludf.DUMMYFUNCTION("if(B466=""- - -"",""Trade"",filter(R:R,Q:Q=B466))"),"NL")</f>
        <v>NL</v>
      </c>
      <c r="I466" s="11">
        <f t="array" ref="I466">index('PLV (min 500)'!F:F,match(F466,'PLV (min 500)'!B:B,0))</f>
        <v>3.991550482</v>
      </c>
      <c r="J466" s="11">
        <v>4.710764981531053</v>
      </c>
      <c r="K466" s="10">
        <v>-3.1887484095021623</v>
      </c>
      <c r="L466" s="10">
        <v>0.3354026401935176</v>
      </c>
      <c r="U466" s="9"/>
      <c r="X466" s="9"/>
    </row>
    <row r="467">
      <c r="A467" s="1" t="s">
        <v>517</v>
      </c>
      <c r="B467" s="1" t="s">
        <v>75</v>
      </c>
      <c r="C467" s="1">
        <v>34.2</v>
      </c>
      <c r="D467" s="3">
        <v>7.269231302</v>
      </c>
      <c r="E467" s="3">
        <v>7.442277634</v>
      </c>
      <c r="F467" s="1">
        <v>683627.0</v>
      </c>
      <c r="G467" s="9">
        <f t="shared" si="1"/>
        <v>34.66666667</v>
      </c>
      <c r="H467" s="10" t="str">
        <f>IFERROR(__xludf.DUMMYFUNCTION("if(B467=""- - -"",""Trade"",filter(R:R,Q:Q=B467))"),"NL")</f>
        <v>NL</v>
      </c>
      <c r="I467" s="11">
        <f t="array" ref="I467">index('PLV (min 500)'!F:F,match(F467,'PLV (min 500)'!B:B,0))</f>
        <v>4.329198433</v>
      </c>
      <c r="J467" s="11">
        <v>6.346902456300147</v>
      </c>
      <c r="K467" s="10">
        <v>-8.690229333940561</v>
      </c>
      <c r="L467" s="10">
        <v>-1.022954045021683</v>
      </c>
      <c r="U467" s="9"/>
      <c r="X467" s="9"/>
    </row>
    <row r="468">
      <c r="A468" s="1" t="s">
        <v>518</v>
      </c>
      <c r="B468" s="1" t="s">
        <v>66</v>
      </c>
      <c r="C468" s="1">
        <v>37.2</v>
      </c>
      <c r="D468" s="3">
        <v>4.539823315</v>
      </c>
      <c r="E468" s="3">
        <v>5.062315197</v>
      </c>
      <c r="F468" s="1">
        <v>680689.0</v>
      </c>
      <c r="G468" s="9">
        <f t="shared" si="1"/>
        <v>37.66666667</v>
      </c>
      <c r="H468" s="10" t="str">
        <f>IFERROR(__xludf.DUMMYFUNCTION("if(B468=""- - -"",""Trade"",filter(R:R,Q:Q=B468))"),"NL")</f>
        <v>NL</v>
      </c>
      <c r="I468" s="11">
        <f t="array" ref="I468">index('PLV (min 500)'!F:F,match(F468,'PLV (min 500)'!B:B,0))</f>
        <v>4.514262611</v>
      </c>
      <c r="J468" s="11">
        <v>4.705467040899788</v>
      </c>
      <c r="K468" s="9">
        <v>-2.667930435719126</v>
      </c>
      <c r="L468" s="10">
        <v>-1.8776187908907156</v>
      </c>
      <c r="U468" s="9"/>
      <c r="X468" s="9"/>
    </row>
    <row r="469">
      <c r="A469" s="1" t="s">
        <v>519</v>
      </c>
      <c r="B469" s="1" t="s">
        <v>70</v>
      </c>
      <c r="C469" s="1">
        <v>42.2</v>
      </c>
      <c r="D469" s="3">
        <v>4.85156409</v>
      </c>
      <c r="E469" s="3">
        <v>4.402432003</v>
      </c>
      <c r="F469" s="1">
        <v>682120.0</v>
      </c>
      <c r="G469" s="9">
        <f t="shared" si="1"/>
        <v>42.66666667</v>
      </c>
      <c r="H469" s="10" t="str">
        <f>IFERROR(__xludf.DUMMYFUNCTION("if(B469=""- - -"",""Trade"",filter(R:R,Q:Q=B469))"),"AL")</f>
        <v>AL</v>
      </c>
      <c r="I469" s="11">
        <f t="array" ref="I469">index('PLV (min 500)'!F:F,match(F469,'PLV (min 500)'!B:B,0))</f>
        <v>4.467105914</v>
      </c>
      <c r="J469" s="11">
        <v>4.573700669078999</v>
      </c>
      <c r="K469" s="9">
        <v>-2.4086853594593083</v>
      </c>
      <c r="L469" s="10">
        <v>-1.9088743978668075</v>
      </c>
      <c r="U469" s="9"/>
      <c r="X469" s="9"/>
    </row>
    <row r="470">
      <c r="A470" s="1" t="s">
        <v>520</v>
      </c>
      <c r="B470" s="1" t="s">
        <v>58</v>
      </c>
      <c r="C470" s="1">
        <v>40.0</v>
      </c>
      <c r="D470" s="3">
        <v>4.275000815</v>
      </c>
      <c r="E470" s="3">
        <v>4.125498233</v>
      </c>
      <c r="F470" s="1">
        <v>641656.0</v>
      </c>
      <c r="G470" s="9">
        <f t="shared" si="1"/>
        <v>40</v>
      </c>
      <c r="H470" s="10" t="str">
        <f>IFERROR(__xludf.DUMMYFUNCTION("if(B470=""- - -"",""Trade"",filter(R:R,Q:Q=B470))"),"AL")</f>
        <v>AL</v>
      </c>
      <c r="I470" s="11">
        <f t="array" ref="I470">index('PLV (min 500)'!F:F,match(F470,'PLV (min 500)'!B:B,0))</f>
        <v>4.115625525</v>
      </c>
      <c r="J470" s="11">
        <v>4.172041524333333</v>
      </c>
      <c r="K470" s="10">
        <v>-0.49796233037037196</v>
      </c>
      <c r="L470" s="10">
        <v>-0.24722455555555534</v>
      </c>
      <c r="U470" s="9"/>
      <c r="X470" s="9"/>
    </row>
    <row r="471">
      <c r="A471" s="1" t="s">
        <v>521</v>
      </c>
      <c r="B471" s="1" t="s">
        <v>25</v>
      </c>
      <c r="C471" s="1">
        <v>111.0</v>
      </c>
      <c r="D471" s="3">
        <v>6.810811279</v>
      </c>
      <c r="E471" s="3">
        <v>5.886520217</v>
      </c>
      <c r="F471" s="1">
        <v>686799.0</v>
      </c>
      <c r="G471" s="9">
        <f t="shared" si="1"/>
        <v>111</v>
      </c>
      <c r="H471" s="10" t="str">
        <f>IFERROR(__xludf.DUMMYFUNCTION("if(B471=""- - -"",""Trade"",filter(R:R,Q:Q=B471))"),"AL")</f>
        <v>AL</v>
      </c>
      <c r="I471" s="11">
        <f t="array" ref="I471">index('PLV (min 500)'!F:F,match(F471,'PLV (min 500)'!B:B,0))</f>
        <v>4.35640054</v>
      </c>
      <c r="J471" s="11">
        <v>5.684577345395772</v>
      </c>
      <c r="K471" s="9">
        <v>-20.036453926547864</v>
      </c>
      <c r="L471" s="10">
        <v>-3.6556066623102463</v>
      </c>
      <c r="U471" s="9"/>
      <c r="X471" s="9"/>
    </row>
    <row r="472">
      <c r="A472" s="1" t="s">
        <v>522</v>
      </c>
      <c r="B472" s="1" t="s">
        <v>33</v>
      </c>
      <c r="C472" s="1">
        <v>36.1</v>
      </c>
      <c r="D472" s="3">
        <v>4.458715752</v>
      </c>
      <c r="E472" s="3">
        <v>5.666691888</v>
      </c>
      <c r="F472" s="1">
        <v>808963.0</v>
      </c>
      <c r="G472" s="9">
        <f t="shared" si="1"/>
        <v>36.33333333</v>
      </c>
      <c r="H472" s="10" t="str">
        <f>IFERROR(__xludf.DUMMYFUNCTION("if(B472=""- - -"",""Trade"",filter(R:R,Q:Q=B472))"),"NL")</f>
        <v>NL</v>
      </c>
      <c r="I472" s="11">
        <f t="array" ref="I472">index('PLV (min 500)'!F:F,match(F472,'PLV (min 500)'!B:B,0))</f>
        <v>4.526859633</v>
      </c>
      <c r="J472" s="11">
        <v>4.884089090898425</v>
      </c>
      <c r="K472" s="9">
        <v>-3.305512909048129</v>
      </c>
      <c r="L472" s="10">
        <v>-1.8726258600332812</v>
      </c>
      <c r="U472" s="9"/>
      <c r="X472" s="9"/>
    </row>
    <row r="473">
      <c r="D473" s="3"/>
      <c r="F473" s="1"/>
      <c r="G473" s="9"/>
      <c r="J473" s="11"/>
      <c r="K473" s="9"/>
      <c r="U473" s="9"/>
      <c r="X473" s="9"/>
    </row>
    <row r="474">
      <c r="D474" s="3"/>
      <c r="F474" s="1"/>
      <c r="G474" s="9"/>
      <c r="J474" s="11"/>
      <c r="K474" s="9"/>
      <c r="U474" s="9"/>
      <c r="X474" s="9"/>
    </row>
    <row r="475">
      <c r="D475" s="3"/>
      <c r="F475" s="1"/>
      <c r="G475" s="9"/>
      <c r="J475" s="11"/>
      <c r="U475" s="9"/>
      <c r="X475" s="9"/>
    </row>
    <row r="476">
      <c r="D476" s="3"/>
      <c r="F476" s="1"/>
      <c r="G476" s="9"/>
      <c r="J476" s="11"/>
      <c r="K476" s="9"/>
      <c r="U476" s="9"/>
      <c r="X476" s="9"/>
    </row>
    <row r="477">
      <c r="D477" s="3"/>
      <c r="F477" s="1"/>
      <c r="G477" s="9"/>
      <c r="J477" s="11"/>
      <c r="K477" s="9"/>
      <c r="U477" s="9"/>
      <c r="X477" s="9"/>
    </row>
    <row r="478">
      <c r="D478" s="3"/>
      <c r="F478" s="1"/>
      <c r="G478" s="9"/>
      <c r="J478" s="11"/>
      <c r="K478" s="9"/>
      <c r="U478" s="9"/>
      <c r="X478" s="9"/>
    </row>
    <row r="479">
      <c r="D479" s="3"/>
      <c r="F479" s="1"/>
      <c r="G479" s="9"/>
      <c r="J479" s="11"/>
      <c r="K479" s="9"/>
      <c r="U479" s="9"/>
      <c r="X479" s="9"/>
    </row>
    <row r="480">
      <c r="D480" s="3"/>
      <c r="F480" s="1"/>
      <c r="G480" s="9"/>
      <c r="J480" s="11"/>
      <c r="K480" s="9"/>
      <c r="U480" s="9"/>
      <c r="X480" s="9"/>
    </row>
    <row r="481">
      <c r="D481" s="3"/>
      <c r="F481" s="1"/>
      <c r="G481" s="9"/>
      <c r="J481" s="11"/>
      <c r="K481" s="9"/>
      <c r="U481" s="9"/>
      <c r="X481" s="9"/>
    </row>
    <row r="482">
      <c r="D482" s="3"/>
      <c r="F482" s="1"/>
      <c r="G482" s="9"/>
      <c r="J482" s="11"/>
      <c r="U482" s="9"/>
      <c r="X482" s="9"/>
    </row>
    <row r="483">
      <c r="D483" s="3"/>
      <c r="F483" s="1"/>
      <c r="G483" s="9"/>
      <c r="J483" s="11"/>
      <c r="K483" s="9"/>
      <c r="U483" s="9"/>
      <c r="X483" s="9"/>
    </row>
    <row r="484">
      <c r="D484" s="3"/>
      <c r="F484" s="1"/>
      <c r="G484" s="9"/>
      <c r="J484" s="11"/>
      <c r="K484" s="9"/>
      <c r="U484" s="9"/>
      <c r="X484" s="9"/>
    </row>
    <row r="485">
      <c r="D485" s="3"/>
      <c r="F485" s="1"/>
      <c r="G485" s="9"/>
      <c r="J485" s="11"/>
      <c r="K485" s="9"/>
      <c r="U485" s="9"/>
      <c r="X485" s="9"/>
    </row>
    <row r="486">
      <c r="D486" s="3"/>
      <c r="F486" s="1"/>
      <c r="G486" s="9"/>
      <c r="J486" s="11"/>
      <c r="K486" s="9"/>
      <c r="U486" s="9"/>
      <c r="X486" s="9"/>
    </row>
    <row r="487">
      <c r="D487" s="3"/>
      <c r="F487" s="1"/>
      <c r="G487" s="9"/>
      <c r="J487" s="11"/>
      <c r="K487" s="9"/>
      <c r="U487" s="9"/>
      <c r="X487" s="9"/>
    </row>
    <row r="488">
      <c r="D488" s="3"/>
      <c r="F488" s="1"/>
      <c r="G488" s="9"/>
      <c r="J488" s="11"/>
      <c r="U488" s="9"/>
      <c r="X488" s="9"/>
    </row>
    <row r="489">
      <c r="D489" s="3"/>
      <c r="F489" s="1"/>
      <c r="G489" s="9"/>
      <c r="J489" s="11"/>
      <c r="K489" s="9"/>
      <c r="U489" s="9"/>
      <c r="X489" s="9"/>
    </row>
    <row r="490">
      <c r="D490" s="3"/>
      <c r="F490" s="1"/>
      <c r="G490" s="9"/>
      <c r="J490" s="11"/>
      <c r="K490" s="9"/>
      <c r="U490" s="9"/>
      <c r="X490" s="9"/>
    </row>
    <row r="491">
      <c r="D491" s="3"/>
      <c r="F491" s="1"/>
      <c r="G491" s="9"/>
      <c r="J491" s="11"/>
      <c r="K491" s="9"/>
      <c r="U491" s="9"/>
      <c r="X491" s="9"/>
    </row>
    <row r="492">
      <c r="D492" s="3"/>
      <c r="F492" s="1"/>
      <c r="G492" s="9"/>
      <c r="J492" s="11"/>
      <c r="K492" s="9"/>
      <c r="U492" s="9"/>
      <c r="X492" s="9"/>
    </row>
    <row r="493">
      <c r="D493" s="3"/>
      <c r="F493" s="1"/>
      <c r="G493" s="9"/>
      <c r="J493" s="11"/>
      <c r="K493" s="9"/>
      <c r="U493" s="9"/>
      <c r="X493" s="9"/>
    </row>
    <row r="494">
      <c r="D494" s="3"/>
      <c r="F494" s="1"/>
      <c r="G494" s="9"/>
      <c r="J494" s="11"/>
      <c r="K494" s="9"/>
      <c r="U494" s="9"/>
      <c r="X494" s="9"/>
    </row>
    <row r="495">
      <c r="D495" s="3"/>
      <c r="F495" s="1"/>
      <c r="G495" s="9"/>
      <c r="J495" s="11"/>
      <c r="U495" s="9"/>
      <c r="X495" s="9"/>
    </row>
    <row r="496">
      <c r="D496" s="3"/>
      <c r="F496" s="1"/>
      <c r="G496" s="9"/>
      <c r="J496" s="11"/>
      <c r="K496" s="9"/>
      <c r="U496" s="9"/>
      <c r="X496" s="9"/>
    </row>
    <row r="497">
      <c r="D497" s="3"/>
      <c r="F497" s="1"/>
      <c r="G497" s="9"/>
      <c r="J497" s="11"/>
      <c r="K497" s="9"/>
      <c r="U497" s="9"/>
      <c r="X497" s="9"/>
    </row>
    <row r="498">
      <c r="D498" s="3"/>
      <c r="F498" s="1"/>
      <c r="G498" s="9"/>
      <c r="J498" s="11"/>
      <c r="U498" s="9"/>
      <c r="X498" s="9"/>
    </row>
    <row r="499">
      <c r="D499" s="3"/>
      <c r="F499" s="1"/>
      <c r="G499" s="9"/>
      <c r="J499" s="11"/>
      <c r="U499" s="9"/>
      <c r="X499" s="9"/>
    </row>
    <row r="500">
      <c r="D500" s="3"/>
      <c r="F500" s="1"/>
      <c r="G500" s="9"/>
      <c r="J500" s="11"/>
      <c r="K500" s="9"/>
      <c r="U500" s="9"/>
      <c r="X500" s="9"/>
    </row>
    <row r="501">
      <c r="D501" s="3"/>
      <c r="F501" s="1"/>
      <c r="G501" s="9"/>
      <c r="J501" s="11"/>
      <c r="K501" s="9"/>
      <c r="U501" s="9"/>
      <c r="X501" s="9"/>
    </row>
    <row r="502">
      <c r="D502" s="3"/>
      <c r="F502" s="1"/>
      <c r="G502" s="9"/>
      <c r="J502" s="11"/>
      <c r="K502" s="9"/>
      <c r="U502" s="9"/>
      <c r="X502" s="9"/>
    </row>
    <row r="503">
      <c r="D503" s="3"/>
      <c r="F503" s="1"/>
      <c r="G503" s="9"/>
      <c r="J503" s="11"/>
      <c r="U503" s="9"/>
      <c r="X503" s="9"/>
    </row>
    <row r="504">
      <c r="D504" s="3"/>
      <c r="F504" s="1"/>
      <c r="G504" s="9"/>
      <c r="J504" s="11"/>
      <c r="K504" s="9"/>
      <c r="U504" s="9"/>
      <c r="X504" s="9"/>
    </row>
    <row r="505">
      <c r="D505" s="3"/>
      <c r="F505" s="1"/>
      <c r="G505" s="9"/>
      <c r="J505" s="11"/>
      <c r="K505" s="9"/>
      <c r="U505" s="9"/>
      <c r="X505" s="9"/>
    </row>
    <row r="506">
      <c r="D506" s="3"/>
      <c r="F506" s="1"/>
      <c r="G506" s="9"/>
      <c r="J506" s="11"/>
      <c r="K506" s="9"/>
      <c r="U506" s="9"/>
      <c r="X506" s="9"/>
    </row>
    <row r="507">
      <c r="D507" s="3"/>
      <c r="F507" s="1"/>
      <c r="G507" s="9"/>
      <c r="J507" s="11"/>
      <c r="K507" s="9"/>
      <c r="U507" s="9"/>
      <c r="X507" s="9"/>
    </row>
    <row r="508">
      <c r="D508" s="3"/>
      <c r="F508" s="1"/>
      <c r="G508" s="9"/>
      <c r="J508" s="11"/>
      <c r="U508" s="9"/>
      <c r="X508" s="9"/>
    </row>
    <row r="509">
      <c r="D509" s="3"/>
      <c r="F509" s="1"/>
      <c r="G509" s="9"/>
      <c r="J509" s="11"/>
      <c r="K509" s="9"/>
      <c r="U509" s="9"/>
      <c r="X509" s="9"/>
    </row>
    <row r="510">
      <c r="D510" s="3"/>
      <c r="F510" s="1"/>
      <c r="G510" s="9"/>
      <c r="J510" s="11"/>
      <c r="K510" s="9"/>
      <c r="U510" s="9"/>
      <c r="X510" s="9"/>
    </row>
    <row r="511">
      <c r="D511" s="3"/>
      <c r="F511" s="1"/>
      <c r="G511" s="9"/>
      <c r="J511" s="11"/>
      <c r="K511" s="9"/>
      <c r="U511" s="9"/>
      <c r="X511" s="9"/>
    </row>
    <row r="512">
      <c r="D512" s="3"/>
      <c r="F512" s="1"/>
      <c r="G512" s="9"/>
      <c r="J512" s="11"/>
      <c r="K512" s="9"/>
      <c r="U512" s="9"/>
      <c r="X512" s="9"/>
    </row>
    <row r="513">
      <c r="D513" s="3"/>
      <c r="F513" s="1"/>
      <c r="G513" s="9"/>
      <c r="J513" s="11"/>
      <c r="K513" s="9"/>
      <c r="U513" s="9"/>
      <c r="X513" s="9"/>
    </row>
    <row r="514">
      <c r="D514" s="3"/>
      <c r="F514" s="1"/>
      <c r="G514" s="9"/>
      <c r="J514" s="11"/>
      <c r="K514" s="9"/>
      <c r="U514" s="9"/>
      <c r="X514" s="9"/>
    </row>
    <row r="515">
      <c r="D515" s="3"/>
      <c r="F515" s="1"/>
      <c r="G515" s="9"/>
      <c r="J515" s="11"/>
      <c r="K515" s="9"/>
      <c r="U515" s="9"/>
      <c r="X515" s="9"/>
    </row>
    <row r="516">
      <c r="D516" s="3"/>
      <c r="F516" s="1"/>
      <c r="G516" s="9"/>
      <c r="J516" s="11"/>
      <c r="U516" s="9"/>
      <c r="X516" s="9"/>
    </row>
    <row r="517">
      <c r="D517" s="3"/>
      <c r="F517" s="1"/>
      <c r="G517" s="9"/>
      <c r="J517" s="11"/>
      <c r="K517" s="9"/>
      <c r="U517" s="9"/>
      <c r="X517" s="9"/>
    </row>
    <row r="518">
      <c r="D518" s="3"/>
      <c r="F518" s="1"/>
      <c r="G518" s="9"/>
      <c r="J518" s="11"/>
      <c r="U518" s="9"/>
      <c r="X518" s="9"/>
    </row>
    <row r="519">
      <c r="D519" s="3"/>
      <c r="F519" s="1"/>
      <c r="G519" s="9"/>
      <c r="J519" s="11"/>
      <c r="K519" s="9"/>
      <c r="U519" s="9"/>
      <c r="X519" s="9"/>
    </row>
    <row r="520">
      <c r="D520" s="3"/>
      <c r="F520" s="1"/>
      <c r="G520" s="9"/>
      <c r="J520" s="11"/>
      <c r="K520" s="9"/>
      <c r="U520" s="9"/>
      <c r="X520" s="9"/>
    </row>
    <row r="521">
      <c r="D521" s="3"/>
      <c r="F521" s="1"/>
      <c r="G521" s="9"/>
      <c r="J521" s="11"/>
      <c r="U521" s="9"/>
      <c r="X521" s="9"/>
    </row>
    <row r="522">
      <c r="D522" s="3"/>
      <c r="F522" s="1"/>
      <c r="G522" s="9"/>
      <c r="J522" s="11"/>
      <c r="K522" s="9"/>
      <c r="U522" s="9"/>
      <c r="X522" s="9"/>
    </row>
    <row r="523">
      <c r="D523" s="3"/>
      <c r="F523" s="1"/>
      <c r="G523" s="9"/>
      <c r="J523" s="11"/>
      <c r="K523" s="9"/>
      <c r="U523" s="9"/>
      <c r="X523" s="9"/>
    </row>
    <row r="524">
      <c r="D524" s="3"/>
      <c r="F524" s="1"/>
      <c r="G524" s="9"/>
      <c r="J524" s="11"/>
      <c r="U524" s="9"/>
      <c r="X524" s="9"/>
    </row>
    <row r="525">
      <c r="D525" s="3"/>
      <c r="F525" s="1"/>
      <c r="G525" s="9"/>
      <c r="J525" s="11"/>
      <c r="U525" s="9"/>
      <c r="X525" s="9"/>
    </row>
    <row r="526">
      <c r="D526" s="3"/>
      <c r="F526" s="1"/>
      <c r="G526" s="9"/>
      <c r="J526" s="11"/>
      <c r="U526" s="9"/>
      <c r="X526" s="9"/>
    </row>
    <row r="527">
      <c r="D527" s="3"/>
      <c r="F527" s="1"/>
      <c r="G527" s="9"/>
      <c r="J527" s="11"/>
      <c r="K527" s="9"/>
      <c r="U527" s="9"/>
      <c r="X527" s="9"/>
    </row>
    <row r="528">
      <c r="D528" s="3"/>
      <c r="F528" s="1"/>
      <c r="G528" s="9"/>
      <c r="J528" s="11"/>
      <c r="K528" s="9"/>
      <c r="U528" s="9"/>
      <c r="X528" s="9"/>
    </row>
    <row r="529">
      <c r="D529" s="3"/>
      <c r="F529" s="1"/>
      <c r="G529" s="9"/>
      <c r="J529" s="11"/>
      <c r="K529" s="9"/>
      <c r="U529" s="9"/>
      <c r="X529" s="9"/>
    </row>
    <row r="530">
      <c r="D530" s="3"/>
      <c r="F530" s="1"/>
      <c r="G530" s="9"/>
      <c r="J530" s="11"/>
      <c r="U530" s="9"/>
      <c r="X530" s="9"/>
    </row>
    <row r="531">
      <c r="D531" s="3"/>
      <c r="F531" s="1"/>
      <c r="G531" s="9"/>
      <c r="J531" s="11"/>
      <c r="U531" s="9"/>
      <c r="X531" s="9"/>
    </row>
    <row r="532">
      <c r="D532" s="3"/>
      <c r="F532" s="1"/>
      <c r="G532" s="9"/>
      <c r="J532" s="11"/>
      <c r="U532" s="9"/>
      <c r="X532" s="9"/>
    </row>
    <row r="533">
      <c r="D533" s="3"/>
      <c r="F533" s="1"/>
      <c r="G533" s="9"/>
      <c r="J533" s="11"/>
      <c r="U533" s="9"/>
      <c r="X533" s="9"/>
    </row>
    <row r="534">
      <c r="D534" s="3"/>
      <c r="F534" s="1"/>
      <c r="G534" s="9"/>
      <c r="J534" s="11"/>
      <c r="K534" s="9"/>
      <c r="U534" s="9"/>
      <c r="X534" s="9"/>
    </row>
    <row r="535">
      <c r="D535" s="3"/>
      <c r="F535" s="1"/>
      <c r="G535" s="9"/>
      <c r="J535" s="11"/>
      <c r="U535" s="9"/>
      <c r="X535" s="9"/>
    </row>
    <row r="536">
      <c r="D536" s="3"/>
      <c r="F536" s="1"/>
      <c r="G536" s="9"/>
      <c r="J536" s="11"/>
      <c r="K536" s="9"/>
      <c r="U536" s="9"/>
      <c r="X536" s="9"/>
    </row>
    <row r="537">
      <c r="D537" s="3"/>
      <c r="F537" s="1"/>
      <c r="G537" s="9"/>
      <c r="J537" s="11"/>
      <c r="U537" s="9"/>
      <c r="X537" s="9"/>
    </row>
    <row r="538">
      <c r="D538" s="3"/>
      <c r="F538" s="1"/>
      <c r="G538" s="9"/>
      <c r="J538" s="11"/>
      <c r="K538" s="9"/>
      <c r="U538" s="9"/>
      <c r="X538" s="9"/>
    </row>
    <row r="539">
      <c r="D539" s="3"/>
      <c r="F539" s="1"/>
      <c r="G539" s="9"/>
      <c r="J539" s="11"/>
      <c r="U539" s="9"/>
      <c r="X539" s="9"/>
    </row>
    <row r="540">
      <c r="D540" s="3"/>
      <c r="F540" s="1"/>
      <c r="G540" s="9"/>
      <c r="J540" s="11"/>
      <c r="K540" s="9"/>
      <c r="U540" s="9"/>
      <c r="X540" s="9"/>
    </row>
    <row r="541">
      <c r="D541" s="3"/>
      <c r="F541" s="1"/>
      <c r="G541" s="9"/>
      <c r="J541" s="11"/>
      <c r="K541" s="9"/>
      <c r="U541" s="9"/>
      <c r="X541" s="9"/>
    </row>
    <row r="542">
      <c r="D542" s="3"/>
      <c r="F542" s="1"/>
      <c r="G542" s="9"/>
      <c r="J542" s="11"/>
      <c r="U542" s="9"/>
      <c r="X542" s="9"/>
    </row>
    <row r="543">
      <c r="D543" s="3"/>
      <c r="F543" s="1"/>
      <c r="G543" s="9"/>
      <c r="J543" s="11"/>
      <c r="K543" s="9"/>
      <c r="U543" s="9"/>
      <c r="X543" s="9"/>
    </row>
    <row r="544">
      <c r="D544" s="3"/>
      <c r="F544" s="1"/>
      <c r="G544" s="9"/>
      <c r="J544" s="11"/>
      <c r="U544" s="9"/>
      <c r="X544" s="9"/>
    </row>
    <row r="545">
      <c r="D545" s="3"/>
      <c r="F545" s="1"/>
      <c r="G545" s="9"/>
      <c r="J545" s="11"/>
      <c r="U545" s="9"/>
      <c r="X545" s="9"/>
    </row>
    <row r="546">
      <c r="D546" s="3"/>
      <c r="F546" s="1"/>
      <c r="G546" s="9"/>
      <c r="J546" s="11"/>
      <c r="U546" s="9"/>
      <c r="X546" s="9"/>
    </row>
    <row r="547">
      <c r="D547" s="3"/>
      <c r="F547" s="1"/>
      <c r="G547" s="9"/>
      <c r="J547" s="11"/>
      <c r="U547" s="9"/>
      <c r="X547" s="9"/>
    </row>
    <row r="548">
      <c r="D548" s="3"/>
      <c r="F548" s="1"/>
      <c r="G548" s="9"/>
      <c r="J548" s="11"/>
      <c r="U548" s="9"/>
      <c r="X548" s="9"/>
    </row>
    <row r="549">
      <c r="D549" s="3"/>
      <c r="F549" s="1"/>
      <c r="G549" s="9"/>
      <c r="J549" s="11"/>
      <c r="U549" s="9"/>
      <c r="X549" s="9"/>
    </row>
    <row r="550">
      <c r="D550" s="3"/>
      <c r="F550" s="1"/>
      <c r="G550" s="9"/>
      <c r="J550" s="11"/>
      <c r="K550" s="9"/>
      <c r="U550" s="9"/>
      <c r="X550" s="9"/>
    </row>
    <row r="551">
      <c r="D551" s="3"/>
      <c r="F551" s="1"/>
      <c r="G551" s="9"/>
      <c r="J551" s="11"/>
      <c r="U551" s="9"/>
      <c r="X551" s="9"/>
    </row>
    <row r="552">
      <c r="D552" s="3"/>
      <c r="F552" s="1"/>
      <c r="G552" s="9"/>
      <c r="J552" s="11"/>
      <c r="K552" s="9"/>
      <c r="U552" s="9"/>
      <c r="X552" s="9"/>
    </row>
    <row r="553">
      <c r="D553" s="3"/>
      <c r="F553" s="1"/>
      <c r="G553" s="9"/>
      <c r="J553" s="11"/>
      <c r="K553" s="9"/>
      <c r="U553" s="9"/>
      <c r="X553" s="9"/>
    </row>
    <row r="554">
      <c r="D554" s="3"/>
      <c r="F554" s="1"/>
      <c r="G554" s="9"/>
      <c r="J554" s="11"/>
      <c r="K554" s="9"/>
      <c r="U554" s="9"/>
      <c r="X554" s="9"/>
    </row>
    <row r="555">
      <c r="D555" s="3"/>
      <c r="F555" s="1"/>
      <c r="G555" s="9"/>
      <c r="J555" s="11"/>
      <c r="U555" s="9"/>
      <c r="X555" s="9"/>
    </row>
    <row r="556">
      <c r="D556" s="3"/>
      <c r="F556" s="1"/>
      <c r="G556" s="9"/>
      <c r="J556" s="11"/>
      <c r="U556" s="9"/>
      <c r="X556" s="9"/>
    </row>
    <row r="557">
      <c r="D557" s="3"/>
      <c r="F557" s="1"/>
      <c r="G557" s="9"/>
      <c r="J557" s="11"/>
      <c r="K557" s="9"/>
      <c r="U557" s="9"/>
      <c r="X557" s="9"/>
    </row>
    <row r="558">
      <c r="D558" s="3"/>
      <c r="F558" s="1"/>
      <c r="G558" s="9"/>
      <c r="J558" s="11"/>
      <c r="K558" s="9"/>
      <c r="U558" s="9"/>
      <c r="X558" s="9"/>
    </row>
    <row r="559">
      <c r="D559" s="3"/>
      <c r="F559" s="1"/>
      <c r="G559" s="9"/>
      <c r="J559" s="11"/>
      <c r="K559" s="9"/>
      <c r="U559" s="9"/>
      <c r="X559" s="9"/>
    </row>
    <row r="560">
      <c r="D560" s="3"/>
      <c r="F560" s="1"/>
      <c r="G560" s="9"/>
      <c r="J560" s="11"/>
      <c r="U560" s="9"/>
      <c r="X560" s="9"/>
    </row>
    <row r="561">
      <c r="D561" s="3"/>
      <c r="F561" s="1"/>
      <c r="G561" s="9"/>
      <c r="J561" s="11"/>
      <c r="K561" s="9"/>
      <c r="U561" s="9"/>
      <c r="X561" s="9"/>
    </row>
    <row r="562">
      <c r="D562" s="3"/>
      <c r="F562" s="1"/>
      <c r="G562" s="9"/>
      <c r="J562" s="11"/>
      <c r="U562" s="9"/>
      <c r="X562" s="9"/>
    </row>
    <row r="563">
      <c r="D563" s="3"/>
      <c r="F563" s="1"/>
      <c r="G563" s="9"/>
      <c r="J563" s="11"/>
      <c r="U563" s="9"/>
      <c r="X563" s="9"/>
    </row>
    <row r="564">
      <c r="D564" s="3"/>
      <c r="F564" s="1"/>
      <c r="G564" s="9"/>
      <c r="J564" s="11"/>
      <c r="K564" s="9"/>
      <c r="U564" s="9"/>
      <c r="X564" s="9"/>
    </row>
    <row r="565">
      <c r="D565" s="3"/>
      <c r="F565" s="1"/>
      <c r="G565" s="9"/>
      <c r="J565" s="11"/>
      <c r="K565" s="9"/>
      <c r="U565" s="9"/>
      <c r="X565" s="9"/>
    </row>
    <row r="566">
      <c r="D566" s="3"/>
      <c r="F566" s="1"/>
      <c r="G566" s="9"/>
      <c r="J566" s="11"/>
      <c r="K566" s="9"/>
      <c r="U566" s="9"/>
      <c r="X566" s="9"/>
    </row>
    <row r="567">
      <c r="D567" s="3"/>
      <c r="F567" s="1"/>
      <c r="G567" s="9"/>
      <c r="J567" s="11"/>
      <c r="U567" s="9"/>
      <c r="X567" s="9"/>
    </row>
    <row r="568">
      <c r="D568" s="3"/>
      <c r="F568" s="1"/>
      <c r="G568" s="9"/>
      <c r="J568" s="11"/>
      <c r="U568" s="9"/>
      <c r="X568" s="9"/>
    </row>
    <row r="569">
      <c r="D569" s="3"/>
      <c r="F569" s="1"/>
      <c r="G569" s="9"/>
      <c r="J569" s="11"/>
      <c r="U569" s="9"/>
      <c r="X569" s="9"/>
    </row>
    <row r="570">
      <c r="D570" s="3"/>
      <c r="F570" s="1"/>
      <c r="G570" s="9"/>
      <c r="J570" s="11"/>
      <c r="U570" s="9"/>
      <c r="X570" s="9"/>
    </row>
    <row r="571">
      <c r="D571" s="3"/>
      <c r="F571" s="1"/>
      <c r="G571" s="9"/>
      <c r="J571" s="11"/>
      <c r="U571" s="9"/>
      <c r="X571" s="9"/>
    </row>
    <row r="572">
      <c r="D572" s="3"/>
      <c r="F572" s="1"/>
      <c r="G572" s="9"/>
      <c r="J572" s="11"/>
      <c r="U572" s="9"/>
      <c r="X572" s="9"/>
    </row>
    <row r="573">
      <c r="D573" s="3"/>
      <c r="F573" s="1"/>
      <c r="G573" s="9"/>
      <c r="J573" s="11"/>
      <c r="U573" s="9"/>
      <c r="X573" s="9"/>
    </row>
    <row r="574">
      <c r="D574" s="3"/>
      <c r="F574" s="1"/>
      <c r="G574" s="9"/>
      <c r="J574" s="11"/>
      <c r="U574" s="9"/>
      <c r="X574" s="9"/>
    </row>
    <row r="575">
      <c r="D575" s="3"/>
      <c r="F575" s="1"/>
      <c r="G575" s="9"/>
      <c r="J575" s="11"/>
      <c r="U575" s="9"/>
      <c r="X575" s="9"/>
    </row>
    <row r="576">
      <c r="D576" s="9"/>
      <c r="F576" s="1"/>
      <c r="G576" s="9"/>
      <c r="J576" s="11"/>
      <c r="U576" s="9"/>
      <c r="X576" s="9"/>
    </row>
    <row r="577">
      <c r="D577" s="9"/>
      <c r="F577" s="1"/>
      <c r="G577" s="9"/>
      <c r="J577" s="11"/>
      <c r="U577" s="9"/>
      <c r="X577" s="9"/>
    </row>
    <row r="578">
      <c r="D578" s="9"/>
      <c r="F578" s="1"/>
      <c r="G578" s="9"/>
      <c r="J578" s="11"/>
      <c r="U578" s="9"/>
      <c r="X578" s="9"/>
    </row>
    <row r="579">
      <c r="D579" s="9"/>
      <c r="F579" s="1"/>
      <c r="G579" s="9"/>
      <c r="J579" s="11"/>
      <c r="U579" s="9"/>
      <c r="X579" s="9"/>
    </row>
    <row r="580">
      <c r="D580" s="9"/>
      <c r="F580" s="1"/>
      <c r="G580" s="9"/>
      <c r="J580" s="11"/>
      <c r="U580" s="9"/>
      <c r="X580" s="9"/>
    </row>
    <row r="581">
      <c r="D581" s="9"/>
      <c r="F581" s="1"/>
      <c r="G581" s="9"/>
      <c r="J581" s="11"/>
      <c r="U581" s="9"/>
      <c r="X581" s="9"/>
    </row>
    <row r="582">
      <c r="D582" s="9"/>
      <c r="F582" s="1"/>
      <c r="G582" s="9"/>
      <c r="J582" s="11"/>
      <c r="U582" s="9"/>
      <c r="X582" s="9"/>
    </row>
    <row r="583">
      <c r="D583" s="9"/>
      <c r="F583" s="1"/>
      <c r="G583" s="9"/>
      <c r="J583" s="11"/>
      <c r="U583" s="9"/>
      <c r="X583" s="9"/>
    </row>
    <row r="584">
      <c r="D584" s="9"/>
      <c r="F584" s="1"/>
      <c r="G584" s="9"/>
      <c r="J584" s="11"/>
      <c r="U584" s="9"/>
      <c r="X584" s="9"/>
    </row>
    <row r="585">
      <c r="D585" s="9"/>
      <c r="F585" s="1"/>
      <c r="G585" s="9"/>
      <c r="J585" s="11"/>
      <c r="U585" s="9"/>
      <c r="X585" s="9"/>
    </row>
    <row r="586">
      <c r="D586" s="9"/>
      <c r="F586" s="1"/>
      <c r="G586" s="9"/>
      <c r="J586" s="11"/>
      <c r="U586" s="9"/>
      <c r="X586" s="9"/>
    </row>
    <row r="587">
      <c r="D587" s="9"/>
      <c r="F587" s="1"/>
      <c r="G587" s="9"/>
      <c r="J587" s="11"/>
      <c r="U587" s="9"/>
      <c r="X587" s="9"/>
    </row>
    <row r="588">
      <c r="D588" s="9"/>
      <c r="F588" s="1"/>
      <c r="G588" s="9"/>
      <c r="J588" s="11"/>
      <c r="U588" s="9"/>
      <c r="X588" s="9"/>
    </row>
    <row r="589">
      <c r="D589" s="9"/>
      <c r="F589" s="1"/>
      <c r="G589" s="9"/>
      <c r="J589" s="11"/>
      <c r="U589" s="9"/>
      <c r="X589" s="9"/>
    </row>
    <row r="590">
      <c r="D590" s="9"/>
      <c r="F590" s="1"/>
      <c r="G590" s="9"/>
      <c r="J590" s="11"/>
      <c r="U590" s="9"/>
      <c r="X590" s="9"/>
    </row>
    <row r="591">
      <c r="D591" s="9"/>
      <c r="F591" s="1"/>
      <c r="G591" s="9"/>
      <c r="J591" s="11"/>
      <c r="U591" s="9"/>
      <c r="X591" s="9"/>
    </row>
    <row r="592">
      <c r="D592" s="9"/>
      <c r="F592" s="1"/>
      <c r="G592" s="9"/>
      <c r="J592" s="11"/>
      <c r="U592" s="9"/>
      <c r="X592" s="9"/>
    </row>
    <row r="593">
      <c r="D593" s="9"/>
      <c r="F593" s="1"/>
      <c r="G593" s="9"/>
      <c r="J593" s="11"/>
      <c r="U593" s="9"/>
      <c r="X593" s="9"/>
    </row>
    <row r="594">
      <c r="D594" s="9"/>
      <c r="F594" s="1"/>
      <c r="G594" s="9"/>
      <c r="J594" s="11"/>
      <c r="U594" s="9"/>
      <c r="X594" s="9"/>
    </row>
    <row r="595">
      <c r="D595" s="9"/>
      <c r="F595" s="1"/>
      <c r="G595" s="9"/>
      <c r="J595" s="11"/>
      <c r="U595" s="9"/>
      <c r="X595" s="9"/>
    </row>
    <row r="596">
      <c r="D596" s="9"/>
      <c r="F596" s="1"/>
      <c r="G596" s="9"/>
      <c r="J596" s="11"/>
      <c r="U596" s="9"/>
      <c r="X596" s="9"/>
    </row>
    <row r="597">
      <c r="D597" s="9"/>
      <c r="F597" s="1"/>
      <c r="G597" s="9"/>
      <c r="J597" s="11"/>
      <c r="U597" s="9"/>
      <c r="X597" s="9"/>
    </row>
    <row r="598">
      <c r="D598" s="9"/>
      <c r="F598" s="1"/>
      <c r="G598" s="9"/>
      <c r="J598" s="11"/>
      <c r="U598" s="9"/>
      <c r="X598" s="9"/>
    </row>
    <row r="599">
      <c r="D599" s="9"/>
      <c r="F599" s="1"/>
      <c r="G599" s="9"/>
      <c r="J599" s="11"/>
      <c r="U599" s="9"/>
      <c r="X599" s="9"/>
    </row>
    <row r="600">
      <c r="D600" s="9"/>
      <c r="F600" s="1"/>
      <c r="G600" s="9"/>
      <c r="J600" s="11"/>
      <c r="U600" s="9"/>
      <c r="X600" s="9"/>
    </row>
    <row r="601">
      <c r="D601" s="9"/>
      <c r="F601" s="1"/>
      <c r="G601" s="9"/>
      <c r="J601" s="11"/>
      <c r="U601" s="9"/>
      <c r="X601" s="9"/>
    </row>
    <row r="602">
      <c r="D602" s="9"/>
      <c r="F602" s="1"/>
      <c r="G602" s="9"/>
      <c r="J602" s="11"/>
      <c r="U602" s="9"/>
      <c r="X602" s="9"/>
    </row>
    <row r="603">
      <c r="D603" s="9"/>
      <c r="F603" s="1"/>
      <c r="G603" s="9"/>
      <c r="J603" s="11"/>
      <c r="U603" s="9"/>
      <c r="X603" s="9"/>
    </row>
    <row r="604">
      <c r="D604" s="9"/>
      <c r="F604" s="1"/>
      <c r="G604" s="9"/>
      <c r="J604" s="11"/>
      <c r="U604" s="9"/>
      <c r="X604" s="9"/>
    </row>
    <row r="605">
      <c r="D605" s="9"/>
      <c r="F605" s="1"/>
      <c r="G605" s="9"/>
      <c r="J605" s="11"/>
      <c r="U605" s="9"/>
      <c r="X605" s="9"/>
    </row>
    <row r="606">
      <c r="D606" s="9"/>
      <c r="F606" s="1"/>
      <c r="G606" s="9"/>
      <c r="J606" s="11"/>
      <c r="U606" s="9"/>
      <c r="X606" s="9"/>
    </row>
    <row r="607">
      <c r="D607" s="9"/>
      <c r="F607" s="1"/>
      <c r="G607" s="9"/>
      <c r="J607" s="11"/>
      <c r="U607" s="9"/>
      <c r="X607" s="9"/>
    </row>
    <row r="608">
      <c r="D608" s="9"/>
      <c r="F608" s="1"/>
      <c r="G608" s="9"/>
      <c r="J608" s="11"/>
      <c r="U608" s="9"/>
      <c r="X608" s="9"/>
    </row>
    <row r="609">
      <c r="D609" s="9"/>
      <c r="F609" s="1"/>
      <c r="G609" s="9"/>
      <c r="J609" s="11"/>
      <c r="U609" s="9"/>
      <c r="X609" s="9"/>
    </row>
    <row r="610">
      <c r="D610" s="9"/>
      <c r="F610" s="1"/>
      <c r="G610" s="9"/>
      <c r="J610" s="11"/>
      <c r="U610" s="9"/>
      <c r="X610" s="9"/>
    </row>
    <row r="611">
      <c r="D611" s="9"/>
      <c r="F611" s="1"/>
      <c r="G611" s="9"/>
      <c r="J611" s="11"/>
      <c r="U611" s="9"/>
      <c r="X611" s="9"/>
    </row>
    <row r="612">
      <c r="D612" s="9"/>
      <c r="F612" s="1"/>
      <c r="G612" s="9"/>
      <c r="J612" s="11"/>
      <c r="U612" s="9"/>
      <c r="X612" s="9"/>
    </row>
    <row r="613">
      <c r="D613" s="9"/>
      <c r="F613" s="1"/>
      <c r="G613" s="9"/>
      <c r="J613" s="11"/>
      <c r="U613" s="9"/>
      <c r="X613" s="9"/>
    </row>
    <row r="614">
      <c r="D614" s="9"/>
      <c r="F614" s="1"/>
      <c r="G614" s="9"/>
      <c r="J614" s="11"/>
      <c r="U614" s="9"/>
      <c r="X614" s="9"/>
    </row>
    <row r="615">
      <c r="D615" s="9"/>
      <c r="F615" s="1"/>
      <c r="G615" s="9"/>
      <c r="J615" s="11"/>
      <c r="U615" s="9"/>
      <c r="X615" s="9"/>
    </row>
    <row r="616">
      <c r="D616" s="9"/>
      <c r="F616" s="1"/>
      <c r="G616" s="9"/>
      <c r="J616" s="11"/>
      <c r="U616" s="9"/>
      <c r="X616" s="9"/>
    </row>
    <row r="617">
      <c r="D617" s="9"/>
      <c r="F617" s="1"/>
      <c r="G617" s="9"/>
      <c r="J617" s="11"/>
      <c r="U617" s="9"/>
      <c r="X617" s="9"/>
    </row>
    <row r="618">
      <c r="D618" s="9"/>
      <c r="F618" s="1"/>
      <c r="G618" s="9"/>
      <c r="J618" s="11"/>
      <c r="U618" s="9"/>
      <c r="X618" s="9"/>
    </row>
    <row r="619">
      <c r="D619" s="9"/>
      <c r="F619" s="1"/>
      <c r="G619" s="9"/>
      <c r="J619" s="11"/>
      <c r="U619" s="9"/>
      <c r="X619" s="9"/>
    </row>
    <row r="620">
      <c r="D620" s="9"/>
      <c r="F620" s="1"/>
      <c r="G620" s="9"/>
      <c r="J620" s="11"/>
      <c r="U620" s="9"/>
      <c r="X620" s="9"/>
    </row>
    <row r="621">
      <c r="D621" s="9"/>
      <c r="F621" s="1"/>
      <c r="G621" s="9"/>
      <c r="J621" s="11"/>
      <c r="U621" s="9"/>
      <c r="X621" s="9"/>
    </row>
    <row r="622">
      <c r="D622" s="9"/>
      <c r="F622" s="1"/>
      <c r="G622" s="9"/>
      <c r="J622" s="11"/>
      <c r="U622" s="9"/>
      <c r="X622" s="9"/>
    </row>
    <row r="623">
      <c r="D623" s="9"/>
      <c r="F623" s="1"/>
      <c r="G623" s="9"/>
      <c r="J623" s="11"/>
      <c r="U623" s="9"/>
      <c r="X623" s="9"/>
    </row>
    <row r="624">
      <c r="D624" s="9"/>
      <c r="F624" s="1"/>
      <c r="G624" s="9"/>
      <c r="J624" s="11"/>
      <c r="U624" s="9"/>
      <c r="X624" s="9"/>
    </row>
    <row r="625">
      <c r="D625" s="9"/>
      <c r="F625" s="1"/>
      <c r="G625" s="9"/>
      <c r="J625" s="11"/>
      <c r="U625" s="9"/>
      <c r="X625" s="9"/>
    </row>
    <row r="626">
      <c r="D626" s="9"/>
      <c r="F626" s="1"/>
      <c r="G626" s="9"/>
      <c r="J626" s="11"/>
      <c r="U626" s="9"/>
      <c r="X626" s="9"/>
    </row>
    <row r="627">
      <c r="D627" s="9"/>
      <c r="F627" s="1"/>
      <c r="G627" s="9"/>
      <c r="J627" s="11"/>
      <c r="U627" s="9"/>
      <c r="X627" s="9"/>
    </row>
    <row r="628">
      <c r="D628" s="9"/>
      <c r="F628" s="1"/>
      <c r="G628" s="9"/>
      <c r="J628" s="11"/>
      <c r="U628" s="9"/>
      <c r="X628" s="9"/>
    </row>
    <row r="629">
      <c r="D629" s="9"/>
      <c r="G629" s="9"/>
      <c r="J629" s="11"/>
      <c r="U629" s="9"/>
      <c r="X629" s="9"/>
    </row>
    <row r="630">
      <c r="D630" s="9"/>
      <c r="G630" s="9"/>
      <c r="J630" s="11"/>
      <c r="U630" s="9"/>
      <c r="X630" s="9"/>
    </row>
    <row r="631">
      <c r="D631" s="9"/>
      <c r="G631" s="9"/>
      <c r="J631" s="11"/>
      <c r="U631" s="9"/>
      <c r="X631" s="9"/>
    </row>
    <row r="632">
      <c r="D632" s="9"/>
      <c r="G632" s="9"/>
      <c r="J632" s="11"/>
      <c r="U632" s="9"/>
      <c r="X632" s="9"/>
    </row>
    <row r="633">
      <c r="D633" s="9"/>
      <c r="G633" s="9"/>
      <c r="J633" s="11"/>
      <c r="U633" s="9"/>
      <c r="X633" s="9"/>
    </row>
    <row r="634">
      <c r="D634" s="9"/>
      <c r="G634" s="9"/>
      <c r="J634" s="11"/>
      <c r="U634" s="9"/>
      <c r="X634" s="9"/>
    </row>
    <row r="635">
      <c r="D635" s="9"/>
      <c r="G635" s="9"/>
      <c r="J635" s="11"/>
      <c r="U635" s="9"/>
      <c r="X635" s="9"/>
    </row>
    <row r="636">
      <c r="D636" s="9"/>
      <c r="G636" s="9"/>
      <c r="J636" s="11"/>
      <c r="U636" s="9"/>
      <c r="X636" s="9"/>
    </row>
    <row r="637">
      <c r="D637" s="9"/>
      <c r="G637" s="9"/>
      <c r="J637" s="11"/>
      <c r="U637" s="9"/>
      <c r="X637" s="9"/>
    </row>
    <row r="638">
      <c r="D638" s="9"/>
      <c r="G638" s="9"/>
      <c r="J638" s="11"/>
      <c r="U638" s="9"/>
      <c r="X638" s="9"/>
    </row>
    <row r="639">
      <c r="D639" s="9"/>
      <c r="G639" s="9"/>
      <c r="J639" s="11"/>
      <c r="U639" s="9"/>
      <c r="X639" s="9"/>
    </row>
    <row r="640">
      <c r="D640" s="9"/>
      <c r="G640" s="9"/>
      <c r="J640" s="11"/>
      <c r="U640" s="9"/>
      <c r="X640" s="9"/>
    </row>
    <row r="641">
      <c r="D641" s="9"/>
      <c r="G641" s="9"/>
      <c r="J641" s="11"/>
      <c r="U641" s="9"/>
      <c r="X641" s="9"/>
    </row>
    <row r="642">
      <c r="D642" s="9"/>
      <c r="G642" s="9"/>
      <c r="J642" s="11"/>
      <c r="U642" s="9"/>
      <c r="X642" s="9"/>
    </row>
    <row r="643">
      <c r="D643" s="9"/>
      <c r="G643" s="9"/>
      <c r="J643" s="11"/>
      <c r="U643" s="9"/>
      <c r="X643" s="9"/>
    </row>
    <row r="644">
      <c r="D644" s="9"/>
      <c r="G644" s="9"/>
      <c r="J644" s="11"/>
      <c r="U644" s="9"/>
      <c r="X644" s="9"/>
    </row>
    <row r="645">
      <c r="D645" s="9"/>
      <c r="G645" s="9"/>
      <c r="J645" s="11"/>
      <c r="U645" s="9"/>
      <c r="X645" s="9"/>
    </row>
    <row r="646">
      <c r="D646" s="9"/>
      <c r="G646" s="9"/>
      <c r="J646" s="11"/>
      <c r="U646" s="9"/>
      <c r="X646" s="9"/>
    </row>
    <row r="647">
      <c r="D647" s="9"/>
      <c r="G647" s="9"/>
      <c r="J647" s="11"/>
      <c r="U647" s="9"/>
      <c r="X647" s="9"/>
    </row>
    <row r="648">
      <c r="D648" s="9"/>
      <c r="G648" s="9"/>
      <c r="J648" s="11"/>
      <c r="U648" s="9"/>
      <c r="X648" s="9"/>
    </row>
    <row r="649">
      <c r="D649" s="9"/>
      <c r="G649" s="9"/>
      <c r="J649" s="11"/>
      <c r="U649" s="9"/>
      <c r="X649" s="9"/>
    </row>
    <row r="650">
      <c r="D650" s="9"/>
      <c r="G650" s="9"/>
      <c r="J650" s="11"/>
      <c r="U650" s="9"/>
      <c r="X650" s="9"/>
    </row>
    <row r="651">
      <c r="D651" s="9"/>
      <c r="G651" s="9"/>
      <c r="J651" s="11"/>
      <c r="U651" s="9"/>
      <c r="X651" s="9"/>
    </row>
    <row r="652">
      <c r="D652" s="9"/>
      <c r="G652" s="9"/>
      <c r="J652" s="11"/>
      <c r="U652" s="9"/>
      <c r="X652" s="9"/>
    </row>
    <row r="653">
      <c r="D653" s="9"/>
      <c r="G653" s="9"/>
      <c r="J653" s="11"/>
      <c r="U653" s="9"/>
      <c r="X653" s="9"/>
    </row>
    <row r="654">
      <c r="D654" s="9"/>
      <c r="G654" s="9"/>
      <c r="J654" s="11"/>
      <c r="U654" s="9"/>
      <c r="X654" s="9"/>
    </row>
    <row r="655">
      <c r="D655" s="9"/>
      <c r="G655" s="9"/>
      <c r="J655" s="11"/>
      <c r="U655" s="9"/>
      <c r="X655" s="9"/>
    </row>
    <row r="656">
      <c r="D656" s="9"/>
      <c r="G656" s="9"/>
      <c r="J656" s="11"/>
      <c r="U656" s="9"/>
      <c r="X656" s="9"/>
    </row>
    <row r="657">
      <c r="D657" s="9"/>
      <c r="G657" s="9"/>
      <c r="J657" s="11"/>
      <c r="U657" s="9"/>
      <c r="X657" s="9"/>
    </row>
    <row r="658">
      <c r="D658" s="9"/>
      <c r="G658" s="9"/>
      <c r="J658" s="11"/>
      <c r="U658" s="9"/>
      <c r="X658" s="9"/>
    </row>
    <row r="659">
      <c r="D659" s="9"/>
      <c r="G659" s="9"/>
      <c r="J659" s="11"/>
      <c r="U659" s="9"/>
      <c r="X659" s="9"/>
    </row>
    <row r="660">
      <c r="D660" s="9"/>
      <c r="G660" s="9"/>
      <c r="J660" s="11"/>
      <c r="U660" s="9"/>
      <c r="X660" s="9"/>
    </row>
    <row r="661">
      <c r="D661" s="9"/>
      <c r="G661" s="9"/>
      <c r="J661" s="11"/>
      <c r="U661" s="9"/>
      <c r="X661" s="9"/>
    </row>
    <row r="662">
      <c r="D662" s="9"/>
      <c r="G662" s="9"/>
      <c r="J662" s="11"/>
      <c r="U662" s="9"/>
      <c r="X662" s="9"/>
    </row>
    <row r="663">
      <c r="D663" s="9"/>
      <c r="G663" s="9"/>
      <c r="J663" s="11"/>
      <c r="U663" s="9"/>
      <c r="X663" s="9"/>
    </row>
    <row r="664">
      <c r="D664" s="9"/>
      <c r="G664" s="9"/>
      <c r="J664" s="11"/>
      <c r="U664" s="9"/>
      <c r="X664" s="9"/>
    </row>
    <row r="665">
      <c r="D665" s="9"/>
      <c r="G665" s="9"/>
      <c r="J665" s="11"/>
      <c r="U665" s="9"/>
      <c r="X665" s="9"/>
    </row>
    <row r="666">
      <c r="D666" s="9"/>
      <c r="G666" s="9"/>
      <c r="J666" s="11"/>
      <c r="U666" s="9"/>
      <c r="X666" s="9"/>
    </row>
    <row r="667">
      <c r="D667" s="9"/>
      <c r="G667" s="9"/>
      <c r="J667" s="11"/>
      <c r="U667" s="9"/>
      <c r="X667" s="9"/>
    </row>
    <row r="668">
      <c r="D668" s="9"/>
      <c r="G668" s="9"/>
      <c r="J668" s="11"/>
      <c r="U668" s="9"/>
      <c r="X668" s="9"/>
    </row>
    <row r="669">
      <c r="D669" s="9"/>
      <c r="G669" s="9"/>
      <c r="J669" s="11"/>
      <c r="U669" s="9"/>
      <c r="X669" s="9"/>
    </row>
    <row r="670">
      <c r="D670" s="9"/>
      <c r="G670" s="9"/>
      <c r="J670" s="11"/>
      <c r="U670" s="9"/>
      <c r="X670" s="9"/>
    </row>
    <row r="671">
      <c r="D671" s="9"/>
      <c r="G671" s="9"/>
      <c r="J671" s="11"/>
      <c r="U671" s="9"/>
      <c r="X671" s="9"/>
    </row>
    <row r="672">
      <c r="D672" s="9"/>
      <c r="G672" s="9"/>
      <c r="J672" s="11"/>
      <c r="U672" s="9"/>
      <c r="X672" s="9"/>
    </row>
    <row r="673">
      <c r="D673" s="9"/>
      <c r="G673" s="9"/>
      <c r="J673" s="11"/>
      <c r="U673" s="9"/>
      <c r="X673" s="9"/>
    </row>
    <row r="674">
      <c r="D674" s="9"/>
      <c r="G674" s="9"/>
      <c r="J674" s="11"/>
      <c r="U674" s="9"/>
      <c r="X674" s="9"/>
    </row>
    <row r="675">
      <c r="D675" s="9"/>
      <c r="G675" s="9"/>
      <c r="J675" s="11"/>
      <c r="U675" s="9"/>
      <c r="X675" s="9"/>
    </row>
    <row r="676">
      <c r="D676" s="9"/>
      <c r="G676" s="9"/>
      <c r="J676" s="11"/>
      <c r="U676" s="9"/>
      <c r="X676" s="9"/>
    </row>
    <row r="677">
      <c r="D677" s="9"/>
      <c r="G677" s="9"/>
      <c r="J677" s="11"/>
      <c r="U677" s="9"/>
      <c r="X677" s="9"/>
    </row>
    <row r="678">
      <c r="D678" s="9"/>
      <c r="G678" s="9"/>
      <c r="J678" s="11"/>
      <c r="U678" s="9"/>
      <c r="X678" s="9"/>
    </row>
    <row r="679">
      <c r="D679" s="9"/>
      <c r="G679" s="9"/>
      <c r="J679" s="11"/>
      <c r="U679" s="9"/>
      <c r="X679" s="9"/>
    </row>
    <row r="680">
      <c r="D680" s="9"/>
      <c r="G680" s="9"/>
      <c r="J680" s="11"/>
      <c r="U680" s="9"/>
      <c r="X680" s="9"/>
    </row>
    <row r="681">
      <c r="D681" s="9"/>
      <c r="G681" s="9"/>
      <c r="J681" s="11"/>
      <c r="U681" s="9"/>
      <c r="X681" s="9"/>
    </row>
    <row r="682">
      <c r="D682" s="9"/>
      <c r="G682" s="9"/>
      <c r="J682" s="11"/>
      <c r="U682" s="9"/>
      <c r="X682" s="9"/>
    </row>
    <row r="683">
      <c r="D683" s="9"/>
      <c r="G683" s="9"/>
      <c r="J683" s="11"/>
      <c r="U683" s="9"/>
      <c r="X683" s="9"/>
    </row>
    <row r="684">
      <c r="D684" s="9"/>
      <c r="G684" s="9"/>
      <c r="J684" s="11"/>
      <c r="U684" s="9"/>
      <c r="X684" s="9"/>
    </row>
    <row r="685">
      <c r="D685" s="9"/>
      <c r="G685" s="9"/>
      <c r="J685" s="11"/>
      <c r="U685" s="9"/>
      <c r="X685" s="9"/>
    </row>
    <row r="686">
      <c r="D686" s="9"/>
      <c r="G686" s="9"/>
      <c r="J686" s="11"/>
      <c r="U686" s="9"/>
      <c r="X686" s="9"/>
    </row>
    <row r="687">
      <c r="D687" s="9"/>
      <c r="G687" s="9"/>
      <c r="J687" s="11"/>
      <c r="U687" s="9"/>
      <c r="X687" s="9"/>
    </row>
    <row r="688">
      <c r="D688" s="9"/>
      <c r="G688" s="9"/>
      <c r="J688" s="11"/>
      <c r="U688" s="9"/>
      <c r="X688" s="9"/>
    </row>
    <row r="689">
      <c r="D689" s="9"/>
      <c r="G689" s="9"/>
      <c r="J689" s="11"/>
      <c r="U689" s="9"/>
      <c r="X689" s="9"/>
    </row>
    <row r="690">
      <c r="D690" s="9"/>
      <c r="G690" s="9"/>
      <c r="J690" s="11"/>
      <c r="U690" s="9"/>
      <c r="X690" s="9"/>
    </row>
    <row r="691">
      <c r="D691" s="9"/>
      <c r="G691" s="9"/>
      <c r="J691" s="11"/>
      <c r="U691" s="9"/>
      <c r="X691" s="9"/>
    </row>
    <row r="692">
      <c r="D692" s="9"/>
      <c r="G692" s="9"/>
      <c r="J692" s="11"/>
      <c r="U692" s="9"/>
      <c r="X692" s="9"/>
    </row>
    <row r="693">
      <c r="D693" s="9"/>
      <c r="G693" s="9"/>
      <c r="J693" s="11"/>
      <c r="U693" s="9"/>
      <c r="X693" s="9"/>
    </row>
    <row r="694">
      <c r="D694" s="9"/>
      <c r="G694" s="9"/>
      <c r="J694" s="11"/>
      <c r="U694" s="9"/>
      <c r="X694" s="9"/>
    </row>
    <row r="695">
      <c r="D695" s="9"/>
      <c r="G695" s="9"/>
      <c r="J695" s="11"/>
      <c r="U695" s="9"/>
      <c r="X695" s="9"/>
    </row>
    <row r="696">
      <c r="D696" s="9"/>
      <c r="G696" s="9"/>
      <c r="J696" s="11"/>
      <c r="U696" s="9"/>
      <c r="X696" s="9"/>
    </row>
    <row r="697">
      <c r="D697" s="9"/>
      <c r="G697" s="9"/>
      <c r="J697" s="11"/>
      <c r="U697" s="9"/>
      <c r="X697" s="9"/>
    </row>
    <row r="698">
      <c r="D698" s="9"/>
      <c r="G698" s="9"/>
      <c r="J698" s="11"/>
      <c r="U698" s="9"/>
      <c r="X698" s="9"/>
    </row>
    <row r="699">
      <c r="D699" s="9"/>
      <c r="G699" s="9"/>
      <c r="J699" s="11"/>
      <c r="U699" s="9"/>
      <c r="X699" s="9"/>
    </row>
    <row r="700">
      <c r="D700" s="9"/>
      <c r="G700" s="9"/>
      <c r="J700" s="11"/>
      <c r="U700" s="9"/>
      <c r="X700" s="9"/>
    </row>
    <row r="701">
      <c r="D701" s="9"/>
      <c r="G701" s="9"/>
      <c r="J701" s="11"/>
      <c r="U701" s="9"/>
      <c r="X701" s="9"/>
    </row>
    <row r="702">
      <c r="D702" s="9"/>
      <c r="G702" s="9"/>
      <c r="J702" s="11"/>
      <c r="U702" s="9"/>
      <c r="X702" s="9"/>
    </row>
    <row r="703">
      <c r="D703" s="9"/>
      <c r="G703" s="9"/>
      <c r="J703" s="11"/>
      <c r="U703" s="9"/>
      <c r="X703" s="9"/>
    </row>
    <row r="704">
      <c r="D704" s="9"/>
      <c r="G704" s="9"/>
      <c r="J704" s="11"/>
      <c r="U704" s="9"/>
      <c r="X704" s="9"/>
    </row>
    <row r="705">
      <c r="D705" s="9"/>
      <c r="G705" s="9"/>
      <c r="J705" s="11"/>
      <c r="U705" s="9"/>
      <c r="X705" s="9"/>
    </row>
    <row r="706">
      <c r="D706" s="9"/>
      <c r="G706" s="9"/>
      <c r="J706" s="11"/>
      <c r="U706" s="9"/>
      <c r="X706" s="9"/>
    </row>
    <row r="707">
      <c r="D707" s="9"/>
      <c r="G707" s="9"/>
      <c r="J707" s="11"/>
      <c r="U707" s="9"/>
      <c r="X707" s="9"/>
    </row>
    <row r="708">
      <c r="D708" s="9"/>
      <c r="G708" s="9"/>
      <c r="J708" s="11"/>
      <c r="U708" s="9"/>
      <c r="X708" s="9"/>
    </row>
    <row r="709">
      <c r="D709" s="9"/>
      <c r="G709" s="9"/>
      <c r="J709" s="11"/>
      <c r="U709" s="9"/>
      <c r="X709" s="9"/>
    </row>
    <row r="710">
      <c r="D710" s="9"/>
      <c r="G710" s="9"/>
      <c r="J710" s="11"/>
      <c r="U710" s="9"/>
      <c r="X710" s="9"/>
    </row>
    <row r="711">
      <c r="D711" s="9"/>
      <c r="G711" s="9"/>
      <c r="J711" s="11"/>
      <c r="U711" s="9"/>
      <c r="X711" s="9"/>
    </row>
    <row r="712">
      <c r="D712" s="9"/>
      <c r="G712" s="9"/>
      <c r="J712" s="11"/>
      <c r="U712" s="9"/>
      <c r="X712" s="9"/>
    </row>
    <row r="713">
      <c r="D713" s="9"/>
      <c r="G713" s="9"/>
      <c r="J713" s="11"/>
      <c r="U713" s="9"/>
      <c r="X713" s="9"/>
    </row>
    <row r="714">
      <c r="D714" s="9"/>
      <c r="G714" s="9"/>
      <c r="J714" s="11"/>
      <c r="U714" s="9"/>
      <c r="X714" s="9"/>
    </row>
    <row r="715">
      <c r="D715" s="9"/>
      <c r="G715" s="9"/>
      <c r="J715" s="11"/>
      <c r="U715" s="9"/>
      <c r="X715" s="9"/>
    </row>
    <row r="716">
      <c r="D716" s="9"/>
      <c r="G716" s="9"/>
      <c r="J716" s="11"/>
      <c r="U716" s="9"/>
      <c r="X716" s="9"/>
    </row>
    <row r="717">
      <c r="D717" s="9"/>
      <c r="G717" s="9"/>
      <c r="J717" s="11"/>
      <c r="U717" s="9"/>
      <c r="X717" s="9"/>
    </row>
    <row r="718">
      <c r="D718" s="9"/>
      <c r="G718" s="9"/>
      <c r="J718" s="11"/>
      <c r="U718" s="9"/>
      <c r="X718" s="9"/>
    </row>
    <row r="719">
      <c r="D719" s="9"/>
      <c r="G719" s="9"/>
      <c r="J719" s="11"/>
      <c r="U719" s="9"/>
      <c r="X719" s="9"/>
    </row>
    <row r="720">
      <c r="D720" s="9"/>
      <c r="G720" s="9"/>
      <c r="J720" s="11"/>
      <c r="U720" s="9"/>
      <c r="X720" s="9"/>
    </row>
    <row r="721">
      <c r="D721" s="9"/>
      <c r="G721" s="9"/>
      <c r="J721" s="11"/>
      <c r="U721" s="9"/>
      <c r="X721" s="9"/>
    </row>
    <row r="722">
      <c r="D722" s="9"/>
      <c r="G722" s="9"/>
      <c r="J722" s="11"/>
      <c r="U722" s="9"/>
      <c r="X722" s="9"/>
    </row>
    <row r="723">
      <c r="D723" s="9"/>
      <c r="G723" s="9"/>
      <c r="J723" s="11"/>
      <c r="U723" s="9"/>
      <c r="X723" s="9"/>
    </row>
    <row r="724">
      <c r="D724" s="9"/>
      <c r="G724" s="9"/>
      <c r="J724" s="11"/>
      <c r="U724" s="9"/>
      <c r="X724" s="9"/>
    </row>
    <row r="725">
      <c r="D725" s="9"/>
      <c r="G725" s="9"/>
      <c r="J725" s="11"/>
      <c r="U725" s="9"/>
      <c r="X725" s="9"/>
    </row>
    <row r="726">
      <c r="D726" s="9"/>
      <c r="G726" s="9"/>
      <c r="J726" s="11"/>
      <c r="U726" s="9"/>
      <c r="X726" s="9"/>
    </row>
    <row r="727">
      <c r="D727" s="9"/>
      <c r="G727" s="9"/>
      <c r="J727" s="11"/>
      <c r="U727" s="9"/>
      <c r="X727" s="9"/>
    </row>
    <row r="728">
      <c r="D728" s="9"/>
      <c r="G728" s="9"/>
      <c r="J728" s="11"/>
      <c r="U728" s="9"/>
      <c r="X728" s="9"/>
    </row>
    <row r="729">
      <c r="D729" s="9"/>
      <c r="G729" s="9"/>
      <c r="J729" s="11"/>
      <c r="U729" s="9"/>
      <c r="X729" s="9"/>
    </row>
    <row r="730">
      <c r="D730" s="9"/>
      <c r="G730" s="9"/>
      <c r="J730" s="11"/>
      <c r="U730" s="9"/>
      <c r="X730" s="9"/>
    </row>
    <row r="731">
      <c r="D731" s="9"/>
      <c r="G731" s="9"/>
      <c r="J731" s="11"/>
      <c r="U731" s="9"/>
      <c r="X731" s="9"/>
    </row>
    <row r="732">
      <c r="D732" s="9"/>
      <c r="G732" s="9"/>
      <c r="J732" s="11"/>
      <c r="U732" s="9"/>
      <c r="X732" s="9"/>
    </row>
    <row r="733">
      <c r="D733" s="9"/>
      <c r="G733" s="9"/>
      <c r="J733" s="11"/>
      <c r="U733" s="9"/>
      <c r="X733" s="9"/>
    </row>
    <row r="734">
      <c r="D734" s="9"/>
      <c r="G734" s="9"/>
      <c r="J734" s="11"/>
      <c r="U734" s="9"/>
      <c r="X734" s="9"/>
    </row>
    <row r="735">
      <c r="D735" s="9"/>
      <c r="G735" s="9"/>
      <c r="J735" s="11"/>
      <c r="U735" s="9"/>
      <c r="X735" s="9"/>
    </row>
    <row r="736">
      <c r="D736" s="9"/>
      <c r="G736" s="9"/>
      <c r="J736" s="11"/>
      <c r="U736" s="9"/>
      <c r="X736" s="9"/>
    </row>
    <row r="737">
      <c r="D737" s="9"/>
      <c r="G737" s="9"/>
      <c r="J737" s="11"/>
      <c r="U737" s="9"/>
      <c r="X737" s="9"/>
    </row>
    <row r="738">
      <c r="D738" s="9"/>
      <c r="G738" s="9"/>
      <c r="J738" s="11"/>
      <c r="U738" s="9"/>
      <c r="X738" s="9"/>
    </row>
    <row r="739">
      <c r="D739" s="9"/>
      <c r="G739" s="9"/>
      <c r="J739" s="11"/>
      <c r="U739" s="9"/>
      <c r="X739" s="9"/>
    </row>
    <row r="740">
      <c r="D740" s="9"/>
      <c r="G740" s="9"/>
      <c r="J740" s="11"/>
      <c r="U740" s="9"/>
      <c r="X740" s="9"/>
    </row>
    <row r="741">
      <c r="D741" s="9"/>
      <c r="G741" s="9"/>
      <c r="J741" s="11"/>
      <c r="U741" s="9"/>
      <c r="X741" s="9"/>
    </row>
    <row r="742">
      <c r="D742" s="9"/>
      <c r="G742" s="9"/>
      <c r="J742" s="11"/>
      <c r="U742" s="9"/>
      <c r="X742" s="9"/>
    </row>
    <row r="743">
      <c r="D743" s="9"/>
      <c r="G743" s="9"/>
      <c r="J743" s="11"/>
      <c r="U743" s="9"/>
      <c r="X743" s="9"/>
    </row>
    <row r="744">
      <c r="D744" s="9"/>
      <c r="G744" s="9"/>
      <c r="J744" s="11"/>
      <c r="U744" s="9"/>
      <c r="X744" s="9"/>
    </row>
    <row r="745">
      <c r="D745" s="9"/>
      <c r="G745" s="9"/>
      <c r="J745" s="11"/>
      <c r="U745" s="9"/>
      <c r="X745" s="9"/>
    </row>
    <row r="746">
      <c r="D746" s="9"/>
      <c r="G746" s="9"/>
      <c r="J746" s="11"/>
      <c r="U746" s="9"/>
      <c r="X746" s="9"/>
    </row>
    <row r="747">
      <c r="D747" s="9"/>
      <c r="G747" s="9"/>
      <c r="J747" s="11"/>
      <c r="U747" s="9"/>
      <c r="X747" s="9"/>
    </row>
    <row r="748">
      <c r="D748" s="9"/>
      <c r="G748" s="9"/>
      <c r="J748" s="11"/>
      <c r="U748" s="9"/>
      <c r="X748" s="9"/>
    </row>
    <row r="749">
      <c r="D749" s="9"/>
      <c r="G749" s="9"/>
      <c r="J749" s="11"/>
      <c r="U749" s="9"/>
      <c r="X749" s="9"/>
    </row>
    <row r="750">
      <c r="D750" s="9"/>
      <c r="G750" s="9"/>
      <c r="J750" s="11"/>
      <c r="U750" s="9"/>
      <c r="X750" s="9"/>
    </row>
    <row r="751">
      <c r="D751" s="9"/>
      <c r="G751" s="9"/>
      <c r="J751" s="11"/>
      <c r="U751" s="9"/>
      <c r="X751" s="9"/>
    </row>
    <row r="752">
      <c r="D752" s="9"/>
      <c r="G752" s="9"/>
      <c r="J752" s="11"/>
      <c r="U752" s="9"/>
      <c r="X752" s="9"/>
    </row>
    <row r="753">
      <c r="D753" s="9"/>
      <c r="G753" s="9"/>
      <c r="J753" s="11"/>
      <c r="U753" s="9"/>
      <c r="X753" s="9"/>
    </row>
    <row r="754">
      <c r="D754" s="9"/>
      <c r="G754" s="9"/>
      <c r="J754" s="11"/>
      <c r="U754" s="9"/>
      <c r="X754" s="9"/>
    </row>
    <row r="755">
      <c r="D755" s="9"/>
      <c r="G755" s="9"/>
      <c r="J755" s="11"/>
      <c r="U755" s="9"/>
      <c r="X755" s="9"/>
    </row>
    <row r="756">
      <c r="D756" s="9"/>
      <c r="G756" s="9"/>
      <c r="J756" s="11"/>
      <c r="U756" s="9"/>
      <c r="X756" s="9"/>
    </row>
    <row r="757">
      <c r="D757" s="9"/>
      <c r="G757" s="9"/>
      <c r="J757" s="11"/>
      <c r="U757" s="9"/>
      <c r="X757" s="9"/>
    </row>
    <row r="758">
      <c r="D758" s="9"/>
      <c r="G758" s="9"/>
      <c r="J758" s="11"/>
      <c r="U758" s="9"/>
      <c r="X758" s="9"/>
    </row>
    <row r="759">
      <c r="D759" s="9"/>
      <c r="G759" s="9"/>
      <c r="J759" s="11"/>
      <c r="U759" s="9"/>
      <c r="X759" s="9"/>
    </row>
    <row r="760">
      <c r="D760" s="9"/>
      <c r="G760" s="9"/>
      <c r="J760" s="11"/>
      <c r="U760" s="9"/>
      <c r="X760" s="9"/>
    </row>
    <row r="761">
      <c r="D761" s="9"/>
      <c r="G761" s="9"/>
      <c r="J761" s="11"/>
      <c r="U761" s="9"/>
      <c r="X761" s="9"/>
    </row>
    <row r="762">
      <c r="D762" s="9"/>
      <c r="G762" s="9"/>
      <c r="J762" s="11"/>
      <c r="U762" s="9"/>
      <c r="X762" s="9"/>
    </row>
    <row r="763">
      <c r="D763" s="9"/>
      <c r="G763" s="9"/>
      <c r="J763" s="11"/>
      <c r="U763" s="9"/>
      <c r="X763" s="9"/>
    </row>
    <row r="764">
      <c r="D764" s="9"/>
      <c r="G764" s="9"/>
      <c r="J764" s="11"/>
      <c r="U764" s="9"/>
      <c r="X764" s="9"/>
    </row>
    <row r="765">
      <c r="D765" s="9"/>
      <c r="G765" s="9"/>
      <c r="J765" s="11"/>
      <c r="U765" s="9"/>
      <c r="X765" s="9"/>
    </row>
    <row r="766">
      <c r="D766" s="9"/>
      <c r="G766" s="9"/>
      <c r="J766" s="11"/>
      <c r="U766" s="9"/>
      <c r="X766" s="9"/>
    </row>
    <row r="767">
      <c r="D767" s="9"/>
      <c r="G767" s="9"/>
      <c r="J767" s="11"/>
      <c r="U767" s="9"/>
      <c r="X767" s="9"/>
    </row>
    <row r="768">
      <c r="D768" s="9"/>
      <c r="G768" s="9"/>
      <c r="J768" s="11"/>
      <c r="U768" s="9"/>
      <c r="X768" s="9"/>
    </row>
    <row r="769">
      <c r="D769" s="9"/>
      <c r="G769" s="9"/>
      <c r="J769" s="11"/>
      <c r="U769" s="9"/>
      <c r="X769" s="9"/>
    </row>
    <row r="770">
      <c r="D770" s="9"/>
      <c r="G770" s="9"/>
      <c r="J770" s="11"/>
      <c r="U770" s="9"/>
      <c r="X770" s="9"/>
    </row>
    <row r="771">
      <c r="D771" s="9"/>
      <c r="G771" s="9"/>
      <c r="J771" s="11"/>
      <c r="U771" s="9"/>
      <c r="X771" s="9"/>
    </row>
    <row r="772">
      <c r="D772" s="9"/>
      <c r="G772" s="9"/>
      <c r="J772" s="11"/>
      <c r="U772" s="9"/>
      <c r="X772" s="9"/>
    </row>
    <row r="773">
      <c r="D773" s="9"/>
      <c r="G773" s="9"/>
      <c r="J773" s="11"/>
      <c r="U773" s="9"/>
      <c r="X773" s="9"/>
    </row>
    <row r="774">
      <c r="D774" s="9"/>
      <c r="G774" s="9"/>
      <c r="J774" s="11"/>
      <c r="U774" s="9"/>
      <c r="X774" s="9"/>
    </row>
    <row r="775">
      <c r="D775" s="9"/>
      <c r="G775" s="9"/>
      <c r="J775" s="11"/>
      <c r="U775" s="9"/>
      <c r="X775" s="9"/>
    </row>
    <row r="776">
      <c r="D776" s="9"/>
      <c r="G776" s="9"/>
      <c r="J776" s="11"/>
      <c r="U776" s="9"/>
      <c r="X776" s="9"/>
    </row>
    <row r="777">
      <c r="D777" s="9"/>
      <c r="G777" s="9"/>
      <c r="J777" s="11"/>
      <c r="U777" s="9"/>
      <c r="X777" s="9"/>
    </row>
    <row r="778">
      <c r="D778" s="9"/>
      <c r="G778" s="9"/>
      <c r="J778" s="11"/>
      <c r="U778" s="9"/>
      <c r="X778" s="9"/>
    </row>
    <row r="779">
      <c r="D779" s="9"/>
      <c r="G779" s="9"/>
      <c r="J779" s="11"/>
      <c r="U779" s="9"/>
      <c r="X779" s="9"/>
    </row>
    <row r="780">
      <c r="D780" s="9"/>
      <c r="G780" s="9"/>
      <c r="J780" s="11"/>
      <c r="U780" s="9"/>
      <c r="X780" s="9"/>
    </row>
    <row r="781">
      <c r="D781" s="9"/>
      <c r="G781" s="9"/>
      <c r="J781" s="11"/>
      <c r="U781" s="9"/>
      <c r="X781" s="9"/>
    </row>
    <row r="782">
      <c r="D782" s="9"/>
      <c r="G782" s="9"/>
      <c r="J782" s="11"/>
      <c r="U782" s="9"/>
      <c r="X782" s="9"/>
    </row>
    <row r="783">
      <c r="D783" s="9"/>
      <c r="G783" s="9"/>
      <c r="J783" s="11"/>
      <c r="U783" s="9"/>
      <c r="X783" s="9"/>
    </row>
    <row r="784">
      <c r="D784" s="9"/>
      <c r="G784" s="9"/>
      <c r="J784" s="11"/>
      <c r="U784" s="9"/>
      <c r="X784" s="9"/>
    </row>
    <row r="785">
      <c r="D785" s="9"/>
      <c r="G785" s="9"/>
      <c r="J785" s="11"/>
      <c r="U785" s="9"/>
      <c r="X785" s="9"/>
    </row>
    <row r="786">
      <c r="D786" s="9"/>
      <c r="G786" s="9"/>
      <c r="J786" s="11"/>
      <c r="U786" s="9"/>
      <c r="X786" s="9"/>
    </row>
    <row r="787">
      <c r="D787" s="9"/>
      <c r="G787" s="9"/>
      <c r="J787" s="11"/>
      <c r="U787" s="9"/>
      <c r="X787" s="9"/>
    </row>
    <row r="788">
      <c r="D788" s="9"/>
      <c r="G788" s="9"/>
      <c r="J788" s="11"/>
      <c r="U788" s="9"/>
      <c r="X788" s="9"/>
    </row>
    <row r="789">
      <c r="D789" s="9"/>
      <c r="G789" s="9"/>
      <c r="J789" s="11"/>
      <c r="U789" s="9"/>
      <c r="X789" s="9"/>
    </row>
    <row r="790">
      <c r="D790" s="9"/>
      <c r="G790" s="9"/>
      <c r="J790" s="11"/>
      <c r="U790" s="9"/>
      <c r="X790" s="9"/>
    </row>
    <row r="791">
      <c r="D791" s="9"/>
      <c r="G791" s="9"/>
      <c r="J791" s="11"/>
      <c r="U791" s="9"/>
      <c r="X791" s="9"/>
    </row>
    <row r="792">
      <c r="D792" s="9"/>
      <c r="G792" s="9"/>
      <c r="J792" s="11"/>
      <c r="U792" s="9"/>
      <c r="X792" s="9"/>
    </row>
    <row r="793">
      <c r="D793" s="9"/>
      <c r="G793" s="9"/>
      <c r="J793" s="11"/>
      <c r="U793" s="9"/>
      <c r="X793" s="9"/>
    </row>
    <row r="794">
      <c r="D794" s="9"/>
      <c r="G794" s="9"/>
      <c r="J794" s="11"/>
      <c r="U794" s="9"/>
      <c r="X794" s="9"/>
    </row>
    <row r="795">
      <c r="D795" s="9"/>
      <c r="G795" s="9"/>
      <c r="J795" s="11"/>
      <c r="U795" s="9"/>
      <c r="X795" s="9"/>
    </row>
    <row r="796">
      <c r="D796" s="9"/>
      <c r="G796" s="9"/>
      <c r="J796" s="11"/>
      <c r="U796" s="9"/>
      <c r="X796" s="9"/>
    </row>
    <row r="797">
      <c r="D797" s="9"/>
      <c r="G797" s="9"/>
      <c r="J797" s="11"/>
      <c r="U797" s="9"/>
      <c r="X797" s="9"/>
    </row>
    <row r="798">
      <c r="D798" s="9"/>
      <c r="G798" s="9"/>
      <c r="J798" s="11"/>
      <c r="U798" s="9"/>
      <c r="X798" s="9"/>
    </row>
    <row r="799">
      <c r="D799" s="9"/>
      <c r="G799" s="9"/>
      <c r="J799" s="11"/>
      <c r="U799" s="9"/>
      <c r="X799" s="9"/>
    </row>
    <row r="800">
      <c r="D800" s="9"/>
      <c r="G800" s="9"/>
      <c r="J800" s="11"/>
      <c r="U800" s="9"/>
      <c r="X800" s="9"/>
    </row>
    <row r="801">
      <c r="D801" s="9"/>
      <c r="G801" s="9"/>
      <c r="J801" s="11"/>
      <c r="U801" s="9"/>
      <c r="X801" s="9"/>
    </row>
    <row r="802">
      <c r="D802" s="9"/>
      <c r="G802" s="9"/>
      <c r="J802" s="11"/>
      <c r="U802" s="9"/>
      <c r="X802" s="9"/>
    </row>
    <row r="803">
      <c r="D803" s="9"/>
      <c r="G803" s="9"/>
      <c r="J803" s="11"/>
      <c r="U803" s="9"/>
      <c r="X803" s="9"/>
    </row>
    <row r="804">
      <c r="D804" s="9"/>
      <c r="G804" s="9"/>
      <c r="J804" s="11"/>
      <c r="U804" s="9"/>
      <c r="X804" s="9"/>
    </row>
    <row r="805">
      <c r="D805" s="9"/>
      <c r="G805" s="9"/>
      <c r="J805" s="11"/>
      <c r="U805" s="9"/>
      <c r="X805" s="9"/>
    </row>
    <row r="806">
      <c r="D806" s="9"/>
      <c r="G806" s="9"/>
      <c r="J806" s="11"/>
      <c r="U806" s="9"/>
      <c r="X806" s="9"/>
    </row>
    <row r="807">
      <c r="D807" s="9"/>
      <c r="G807" s="9"/>
      <c r="J807" s="11"/>
      <c r="U807" s="9"/>
      <c r="X807" s="9"/>
    </row>
    <row r="808">
      <c r="D808" s="9"/>
      <c r="G808" s="9"/>
      <c r="J808" s="11"/>
      <c r="U808" s="9"/>
      <c r="X808" s="9"/>
    </row>
    <row r="809">
      <c r="D809" s="9"/>
      <c r="G809" s="9"/>
      <c r="J809" s="11"/>
      <c r="U809" s="9"/>
      <c r="X809" s="9"/>
    </row>
    <row r="810">
      <c r="D810" s="9"/>
      <c r="G810" s="9"/>
      <c r="J810" s="11"/>
      <c r="U810" s="9"/>
      <c r="X810" s="9"/>
    </row>
    <row r="811">
      <c r="D811" s="9"/>
      <c r="G811" s="9"/>
      <c r="J811" s="11"/>
      <c r="U811" s="9"/>
      <c r="X811" s="9"/>
    </row>
    <row r="812">
      <c r="D812" s="9"/>
      <c r="G812" s="9"/>
      <c r="J812" s="11"/>
      <c r="U812" s="9"/>
      <c r="X812" s="9"/>
    </row>
    <row r="813">
      <c r="D813" s="9"/>
      <c r="G813" s="9"/>
      <c r="J813" s="11"/>
      <c r="U813" s="9"/>
      <c r="X813" s="9"/>
    </row>
    <row r="814">
      <c r="D814" s="9"/>
      <c r="G814" s="9"/>
      <c r="J814" s="11"/>
      <c r="U814" s="9"/>
      <c r="X814" s="9"/>
    </row>
    <row r="815">
      <c r="D815" s="9"/>
      <c r="G815" s="9"/>
      <c r="J815" s="11"/>
      <c r="U815" s="9"/>
      <c r="X815" s="9"/>
    </row>
    <row r="816">
      <c r="D816" s="9"/>
      <c r="G816" s="9"/>
      <c r="J816" s="11"/>
      <c r="U816" s="9"/>
      <c r="X816" s="9"/>
    </row>
    <row r="817">
      <c r="D817" s="9"/>
      <c r="G817" s="9"/>
      <c r="J817" s="11"/>
      <c r="U817" s="9"/>
      <c r="X817" s="9"/>
    </row>
    <row r="818">
      <c r="D818" s="9"/>
      <c r="G818" s="9"/>
      <c r="J818" s="11"/>
      <c r="U818" s="9"/>
      <c r="X818" s="9"/>
    </row>
    <row r="819">
      <c r="D819" s="9"/>
      <c r="G819" s="9"/>
      <c r="J819" s="11"/>
      <c r="U819" s="9"/>
      <c r="X819" s="9"/>
    </row>
    <row r="820">
      <c r="D820" s="9"/>
      <c r="G820" s="9"/>
      <c r="J820" s="11"/>
      <c r="U820" s="9"/>
      <c r="X820" s="9"/>
    </row>
    <row r="821">
      <c r="D821" s="9"/>
      <c r="G821" s="9"/>
      <c r="J821" s="11"/>
      <c r="U821" s="9"/>
      <c r="X821" s="9"/>
    </row>
    <row r="822">
      <c r="D822" s="9"/>
      <c r="G822" s="9"/>
      <c r="J822" s="11"/>
      <c r="U822" s="9"/>
      <c r="X822" s="9"/>
    </row>
    <row r="823">
      <c r="D823" s="9"/>
      <c r="G823" s="9"/>
      <c r="J823" s="11"/>
      <c r="U823" s="9"/>
      <c r="X823" s="9"/>
    </row>
    <row r="824">
      <c r="D824" s="9"/>
      <c r="G824" s="9"/>
      <c r="J824" s="11"/>
      <c r="U824" s="9"/>
      <c r="X824" s="9"/>
    </row>
    <row r="825">
      <c r="D825" s="9"/>
      <c r="G825" s="9"/>
      <c r="J825" s="11"/>
      <c r="U825" s="9"/>
      <c r="X825" s="9"/>
    </row>
    <row r="826">
      <c r="D826" s="9"/>
      <c r="G826" s="9"/>
      <c r="J826" s="11"/>
      <c r="U826" s="9"/>
      <c r="X826" s="9"/>
    </row>
    <row r="827">
      <c r="D827" s="9"/>
      <c r="G827" s="9"/>
      <c r="J827" s="11"/>
      <c r="U827" s="9"/>
      <c r="X827" s="9"/>
    </row>
    <row r="828">
      <c r="D828" s="9"/>
      <c r="G828" s="9"/>
      <c r="J828" s="11"/>
      <c r="U828" s="9"/>
      <c r="X828" s="9"/>
    </row>
    <row r="829">
      <c r="D829" s="9"/>
      <c r="G829" s="9"/>
      <c r="J829" s="11"/>
      <c r="U829" s="9"/>
      <c r="X829" s="9"/>
    </row>
    <row r="830">
      <c r="D830" s="9"/>
      <c r="G830" s="9"/>
      <c r="J830" s="11"/>
      <c r="U830" s="9"/>
      <c r="X830" s="9"/>
    </row>
    <row r="831">
      <c r="D831" s="9"/>
      <c r="G831" s="9"/>
      <c r="J831" s="11"/>
      <c r="U831" s="9"/>
      <c r="X831" s="9"/>
    </row>
    <row r="832">
      <c r="D832" s="9"/>
      <c r="G832" s="9"/>
      <c r="J832" s="11"/>
      <c r="U832" s="9"/>
      <c r="X832" s="9"/>
    </row>
    <row r="833">
      <c r="D833" s="9"/>
      <c r="G833" s="9"/>
      <c r="J833" s="11"/>
      <c r="U833" s="9"/>
      <c r="X833" s="9"/>
    </row>
    <row r="834">
      <c r="D834" s="9"/>
      <c r="G834" s="9"/>
      <c r="J834" s="11"/>
      <c r="U834" s="9"/>
      <c r="X834" s="9"/>
    </row>
    <row r="835">
      <c r="D835" s="9"/>
      <c r="G835" s="9"/>
      <c r="J835" s="11"/>
      <c r="U835" s="9"/>
      <c r="X835" s="9"/>
    </row>
    <row r="836">
      <c r="D836" s="9"/>
      <c r="G836" s="9"/>
      <c r="J836" s="11"/>
      <c r="U836" s="9"/>
      <c r="X836" s="9"/>
    </row>
    <row r="837">
      <c r="D837" s="9"/>
      <c r="G837" s="9"/>
      <c r="J837" s="11"/>
      <c r="U837" s="9"/>
      <c r="X837" s="9"/>
    </row>
    <row r="838">
      <c r="D838" s="9"/>
      <c r="G838" s="9"/>
      <c r="J838" s="11"/>
      <c r="U838" s="9"/>
      <c r="X838" s="9"/>
    </row>
    <row r="839">
      <c r="D839" s="9"/>
      <c r="G839" s="9"/>
      <c r="J839" s="11"/>
      <c r="U839" s="9"/>
      <c r="X839" s="9"/>
    </row>
    <row r="840">
      <c r="D840" s="9"/>
      <c r="G840" s="9"/>
      <c r="J840" s="11"/>
      <c r="U840" s="9"/>
      <c r="X840" s="9"/>
    </row>
    <row r="841">
      <c r="D841" s="9"/>
      <c r="G841" s="9"/>
      <c r="J841" s="11"/>
      <c r="U841" s="9"/>
      <c r="X841" s="9"/>
    </row>
    <row r="842">
      <c r="D842" s="9"/>
      <c r="G842" s="9"/>
      <c r="J842" s="11"/>
      <c r="U842" s="9"/>
      <c r="X842" s="9"/>
    </row>
    <row r="843">
      <c r="D843" s="9"/>
      <c r="G843" s="9"/>
      <c r="J843" s="11"/>
      <c r="U843" s="9"/>
      <c r="X843" s="9"/>
    </row>
    <row r="844">
      <c r="D844" s="9"/>
      <c r="G844" s="9"/>
      <c r="J844" s="11"/>
      <c r="U844" s="9"/>
      <c r="X844" s="9"/>
    </row>
    <row r="845">
      <c r="D845" s="9"/>
      <c r="G845" s="9"/>
      <c r="J845" s="11"/>
      <c r="U845" s="9"/>
      <c r="X845" s="9"/>
    </row>
    <row r="846">
      <c r="D846" s="9"/>
      <c r="G846" s="9"/>
      <c r="J846" s="11"/>
      <c r="U846" s="9"/>
      <c r="X846" s="9"/>
    </row>
    <row r="847">
      <c r="D847" s="9"/>
      <c r="G847" s="9"/>
      <c r="J847" s="11"/>
      <c r="U847" s="9"/>
      <c r="X847" s="9"/>
    </row>
    <row r="848">
      <c r="D848" s="9"/>
      <c r="G848" s="9"/>
      <c r="J848" s="11"/>
      <c r="U848" s="9"/>
      <c r="X848" s="9"/>
    </row>
    <row r="849">
      <c r="D849" s="9"/>
      <c r="G849" s="9"/>
      <c r="J849" s="11"/>
      <c r="U849" s="9"/>
      <c r="X849" s="9"/>
    </row>
    <row r="850">
      <c r="D850" s="9"/>
      <c r="G850" s="9"/>
      <c r="J850" s="11"/>
      <c r="U850" s="9"/>
      <c r="X850" s="9"/>
    </row>
    <row r="851">
      <c r="D851" s="9"/>
      <c r="G851" s="9"/>
      <c r="J851" s="11"/>
      <c r="U851" s="9"/>
      <c r="X851" s="9"/>
    </row>
    <row r="852">
      <c r="D852" s="9"/>
      <c r="G852" s="9"/>
      <c r="J852" s="11"/>
      <c r="U852" s="9"/>
      <c r="X852" s="9"/>
    </row>
    <row r="853">
      <c r="D853" s="9"/>
      <c r="G853" s="9"/>
      <c r="J853" s="11"/>
      <c r="U853" s="9"/>
      <c r="X853" s="9"/>
    </row>
    <row r="854">
      <c r="D854" s="9"/>
      <c r="G854" s="9"/>
      <c r="J854" s="11"/>
      <c r="U854" s="9"/>
      <c r="X854" s="9"/>
    </row>
    <row r="855">
      <c r="D855" s="9"/>
      <c r="G855" s="9"/>
      <c r="J855" s="11"/>
      <c r="U855" s="9"/>
      <c r="X855" s="9"/>
    </row>
    <row r="856">
      <c r="D856" s="9"/>
      <c r="G856" s="9"/>
      <c r="J856" s="11"/>
      <c r="U856" s="9"/>
      <c r="X856" s="9"/>
    </row>
    <row r="857">
      <c r="D857" s="9"/>
      <c r="G857" s="9"/>
      <c r="J857" s="11"/>
      <c r="U857" s="9"/>
      <c r="X857" s="9"/>
    </row>
    <row r="858">
      <c r="D858" s="9"/>
      <c r="G858" s="9"/>
      <c r="J858" s="11"/>
      <c r="U858" s="9"/>
      <c r="X858" s="9"/>
    </row>
    <row r="859">
      <c r="D859" s="9"/>
      <c r="G859" s="9"/>
      <c r="J859" s="11"/>
      <c r="U859" s="9"/>
      <c r="X859" s="9"/>
    </row>
    <row r="860">
      <c r="D860" s="9"/>
      <c r="G860" s="9"/>
      <c r="J860" s="11"/>
      <c r="U860" s="9"/>
      <c r="X860" s="9"/>
    </row>
    <row r="861">
      <c r="D861" s="9"/>
      <c r="G861" s="9"/>
      <c r="J861" s="11"/>
      <c r="U861" s="9"/>
      <c r="X861" s="9"/>
    </row>
    <row r="862">
      <c r="D862" s="9"/>
      <c r="G862" s="9"/>
      <c r="J862" s="11"/>
      <c r="U862" s="9"/>
      <c r="X862" s="9"/>
    </row>
    <row r="863">
      <c r="D863" s="9"/>
      <c r="G863" s="9"/>
      <c r="J863" s="11"/>
      <c r="U863" s="9"/>
      <c r="X863" s="9"/>
    </row>
    <row r="864">
      <c r="D864" s="9"/>
      <c r="G864" s="9"/>
      <c r="J864" s="11"/>
      <c r="U864" s="9"/>
      <c r="X864" s="9"/>
    </row>
    <row r="865">
      <c r="D865" s="9"/>
      <c r="G865" s="9"/>
      <c r="J865" s="11"/>
      <c r="U865" s="9"/>
      <c r="X865" s="9"/>
    </row>
    <row r="866">
      <c r="D866" s="9"/>
      <c r="G866" s="9"/>
      <c r="J866" s="11"/>
      <c r="U866" s="9"/>
      <c r="X866" s="9"/>
    </row>
    <row r="867">
      <c r="D867" s="9"/>
      <c r="G867" s="9"/>
      <c r="J867" s="11"/>
      <c r="U867" s="9"/>
      <c r="X867" s="9"/>
    </row>
    <row r="868">
      <c r="D868" s="9"/>
      <c r="G868" s="9"/>
      <c r="J868" s="11"/>
      <c r="U868" s="9"/>
      <c r="X868" s="9"/>
    </row>
    <row r="869">
      <c r="D869" s="9"/>
      <c r="G869" s="9"/>
      <c r="J869" s="11"/>
      <c r="U869" s="9"/>
      <c r="X869" s="9"/>
    </row>
    <row r="870">
      <c r="D870" s="9"/>
      <c r="G870" s="9"/>
      <c r="J870" s="11"/>
      <c r="U870" s="9"/>
      <c r="X870" s="9"/>
    </row>
    <row r="871">
      <c r="D871" s="9"/>
      <c r="G871" s="9"/>
      <c r="J871" s="11"/>
      <c r="U871" s="9"/>
      <c r="X871" s="9"/>
    </row>
    <row r="872">
      <c r="D872" s="9"/>
      <c r="G872" s="9"/>
      <c r="J872" s="11"/>
      <c r="U872" s="9"/>
      <c r="X872" s="9"/>
    </row>
    <row r="873">
      <c r="D873" s="9"/>
      <c r="G873" s="9"/>
      <c r="J873" s="11"/>
      <c r="U873" s="9"/>
      <c r="X873" s="9"/>
    </row>
    <row r="874">
      <c r="D874" s="9"/>
      <c r="G874" s="9"/>
      <c r="J874" s="11"/>
      <c r="U874" s="9"/>
      <c r="X874" s="9"/>
    </row>
    <row r="875">
      <c r="D875" s="9"/>
      <c r="G875" s="9"/>
      <c r="J875" s="11"/>
      <c r="U875" s="9"/>
      <c r="X875" s="9"/>
    </row>
    <row r="876">
      <c r="D876" s="9"/>
      <c r="G876" s="9"/>
      <c r="J876" s="11"/>
      <c r="U876" s="9"/>
      <c r="X876" s="9"/>
    </row>
    <row r="877">
      <c r="D877" s="9"/>
      <c r="G877" s="9"/>
      <c r="J877" s="11"/>
      <c r="U877" s="9"/>
      <c r="X877" s="9"/>
    </row>
    <row r="878">
      <c r="D878" s="9"/>
      <c r="G878" s="9"/>
      <c r="J878" s="11"/>
      <c r="U878" s="9"/>
      <c r="X878" s="9"/>
    </row>
    <row r="879">
      <c r="D879" s="9"/>
      <c r="G879" s="9"/>
      <c r="J879" s="11"/>
      <c r="U879" s="9"/>
      <c r="X879" s="9"/>
    </row>
    <row r="880">
      <c r="D880" s="9"/>
      <c r="G880" s="9"/>
      <c r="J880" s="11"/>
      <c r="U880" s="9"/>
      <c r="X880" s="9"/>
    </row>
    <row r="881">
      <c r="D881" s="9"/>
      <c r="G881" s="9"/>
      <c r="J881" s="11"/>
      <c r="U881" s="9"/>
      <c r="X881" s="9"/>
    </row>
    <row r="882">
      <c r="D882" s="9"/>
      <c r="G882" s="9"/>
      <c r="J882" s="11"/>
      <c r="U882" s="9"/>
      <c r="X882" s="9"/>
    </row>
    <row r="883">
      <c r="D883" s="9"/>
      <c r="G883" s="9"/>
      <c r="J883" s="11"/>
      <c r="U883" s="9"/>
      <c r="X883" s="9"/>
    </row>
    <row r="884">
      <c r="D884" s="9"/>
      <c r="G884" s="9"/>
      <c r="J884" s="11"/>
      <c r="U884" s="9"/>
      <c r="X884" s="9"/>
    </row>
    <row r="885">
      <c r="D885" s="9"/>
      <c r="G885" s="9"/>
      <c r="J885" s="11"/>
      <c r="U885" s="9"/>
      <c r="X885" s="9"/>
    </row>
    <row r="886">
      <c r="D886" s="9"/>
      <c r="G886" s="9"/>
      <c r="J886" s="11"/>
      <c r="U886" s="9"/>
      <c r="X886" s="9"/>
    </row>
    <row r="887">
      <c r="D887" s="9"/>
      <c r="G887" s="9"/>
      <c r="J887" s="11"/>
      <c r="U887" s="9"/>
      <c r="X887" s="9"/>
    </row>
    <row r="888">
      <c r="D888" s="9"/>
      <c r="G888" s="9"/>
      <c r="J888" s="11"/>
      <c r="U888" s="9"/>
      <c r="X888" s="9"/>
    </row>
    <row r="889">
      <c r="D889" s="9"/>
      <c r="G889" s="9"/>
      <c r="J889" s="11"/>
      <c r="U889" s="9"/>
      <c r="X889" s="9"/>
    </row>
    <row r="890">
      <c r="D890" s="9"/>
      <c r="G890" s="9"/>
      <c r="J890" s="11"/>
      <c r="U890" s="9"/>
      <c r="X890" s="9"/>
    </row>
    <row r="891">
      <c r="D891" s="9"/>
      <c r="G891" s="9"/>
      <c r="J891" s="11"/>
      <c r="U891" s="9"/>
      <c r="X891" s="9"/>
    </row>
    <row r="892">
      <c r="D892" s="9"/>
      <c r="G892" s="9"/>
      <c r="J892" s="11"/>
      <c r="U892" s="9"/>
      <c r="X892" s="9"/>
    </row>
    <row r="893">
      <c r="D893" s="9"/>
      <c r="G893" s="9"/>
      <c r="J893" s="11"/>
      <c r="U893" s="9"/>
      <c r="X893" s="9"/>
    </row>
    <row r="894">
      <c r="D894" s="9"/>
      <c r="G894" s="9"/>
      <c r="J894" s="11"/>
      <c r="U894" s="9"/>
      <c r="X894" s="9"/>
    </row>
    <row r="895">
      <c r="D895" s="9"/>
      <c r="G895" s="9"/>
      <c r="J895" s="11"/>
      <c r="U895" s="9"/>
      <c r="X895" s="9"/>
    </row>
    <row r="896">
      <c r="D896" s="9"/>
      <c r="G896" s="9"/>
      <c r="J896" s="11"/>
      <c r="U896" s="9"/>
      <c r="X896" s="9"/>
    </row>
    <row r="897">
      <c r="D897" s="9"/>
      <c r="G897" s="9"/>
      <c r="J897" s="11"/>
      <c r="U897" s="9"/>
      <c r="X897" s="9"/>
    </row>
    <row r="898">
      <c r="D898" s="9"/>
      <c r="G898" s="9"/>
      <c r="J898" s="11"/>
      <c r="U898" s="9"/>
      <c r="X898" s="9"/>
    </row>
    <row r="899">
      <c r="D899" s="9"/>
      <c r="G899" s="9"/>
      <c r="J899" s="11"/>
      <c r="U899" s="9"/>
      <c r="X899" s="9"/>
    </row>
    <row r="900">
      <c r="D900" s="9"/>
      <c r="G900" s="9"/>
      <c r="J900" s="11"/>
      <c r="U900" s="9"/>
      <c r="X900" s="9"/>
    </row>
    <row r="901">
      <c r="D901" s="9"/>
      <c r="G901" s="9"/>
      <c r="J901" s="11"/>
      <c r="U901" s="9"/>
      <c r="X901" s="9"/>
    </row>
    <row r="902">
      <c r="D902" s="9"/>
      <c r="G902" s="9"/>
      <c r="J902" s="11"/>
      <c r="U902" s="9"/>
      <c r="X902" s="9"/>
    </row>
    <row r="903">
      <c r="D903" s="9"/>
      <c r="G903" s="9"/>
      <c r="J903" s="11"/>
      <c r="U903" s="9"/>
      <c r="X903" s="9"/>
    </row>
    <row r="904">
      <c r="D904" s="9"/>
      <c r="G904" s="9"/>
      <c r="J904" s="11"/>
      <c r="U904" s="9"/>
      <c r="X904" s="9"/>
    </row>
    <row r="905">
      <c r="D905" s="9"/>
      <c r="G905" s="9"/>
      <c r="J905" s="11"/>
      <c r="U905" s="9"/>
      <c r="X905" s="9"/>
    </row>
    <row r="906">
      <c r="D906" s="9"/>
      <c r="G906" s="9"/>
      <c r="J906" s="11"/>
      <c r="U906" s="9"/>
      <c r="X906" s="9"/>
    </row>
    <row r="907">
      <c r="D907" s="9"/>
      <c r="G907" s="9"/>
      <c r="J907" s="11"/>
      <c r="U907" s="9"/>
      <c r="X907" s="9"/>
    </row>
    <row r="908">
      <c r="D908" s="9"/>
      <c r="G908" s="9"/>
      <c r="J908" s="11"/>
      <c r="U908" s="9"/>
      <c r="X908" s="9"/>
    </row>
    <row r="909">
      <c r="D909" s="9"/>
      <c r="G909" s="9"/>
      <c r="J909" s="11"/>
      <c r="U909" s="9"/>
      <c r="X909" s="9"/>
    </row>
    <row r="910">
      <c r="D910" s="9"/>
      <c r="G910" s="9"/>
      <c r="J910" s="11"/>
      <c r="U910" s="9"/>
      <c r="X910" s="9"/>
    </row>
    <row r="911">
      <c r="D911" s="9"/>
      <c r="G911" s="9"/>
      <c r="J911" s="11"/>
      <c r="U911" s="9"/>
      <c r="X911" s="9"/>
    </row>
    <row r="912">
      <c r="D912" s="9"/>
      <c r="G912" s="9"/>
      <c r="J912" s="11"/>
      <c r="U912" s="9"/>
      <c r="X912" s="9"/>
    </row>
    <row r="913">
      <c r="D913" s="9"/>
      <c r="G913" s="9"/>
      <c r="J913" s="11"/>
      <c r="U913" s="9"/>
      <c r="X913" s="9"/>
    </row>
    <row r="914">
      <c r="D914" s="9"/>
      <c r="G914" s="9"/>
      <c r="J914" s="11"/>
      <c r="U914" s="9"/>
      <c r="X914" s="9"/>
    </row>
    <row r="915">
      <c r="D915" s="9"/>
      <c r="G915" s="9"/>
      <c r="J915" s="11"/>
      <c r="U915" s="9"/>
      <c r="X915" s="9"/>
    </row>
    <row r="916">
      <c r="D916" s="9"/>
      <c r="G916" s="9"/>
      <c r="J916" s="11"/>
      <c r="U916" s="9"/>
      <c r="X916" s="9"/>
    </row>
    <row r="917">
      <c r="D917" s="9"/>
      <c r="G917" s="9"/>
      <c r="J917" s="11"/>
      <c r="U917" s="9"/>
      <c r="X917" s="9"/>
    </row>
    <row r="918">
      <c r="D918" s="9"/>
      <c r="G918" s="9"/>
      <c r="J918" s="11"/>
      <c r="U918" s="9"/>
      <c r="X918" s="9"/>
    </row>
    <row r="919">
      <c r="D919" s="9"/>
      <c r="G919" s="9"/>
      <c r="J919" s="11"/>
      <c r="U919" s="9"/>
      <c r="X919" s="9"/>
    </row>
    <row r="920">
      <c r="D920" s="9"/>
      <c r="G920" s="9"/>
      <c r="J920" s="11"/>
      <c r="U920" s="9"/>
      <c r="X920" s="9"/>
    </row>
    <row r="921">
      <c r="D921" s="9"/>
      <c r="G921" s="9"/>
      <c r="J921" s="11"/>
      <c r="U921" s="9"/>
      <c r="X921" s="9"/>
    </row>
    <row r="922">
      <c r="D922" s="9"/>
      <c r="G922" s="9"/>
      <c r="J922" s="11"/>
      <c r="U922" s="9"/>
      <c r="X922" s="9"/>
    </row>
    <row r="923">
      <c r="D923" s="9"/>
      <c r="G923" s="9"/>
      <c r="J923" s="11"/>
      <c r="U923" s="9"/>
      <c r="X923" s="9"/>
    </row>
    <row r="924">
      <c r="D924" s="9"/>
      <c r="G924" s="9"/>
      <c r="J924" s="11"/>
      <c r="U924" s="9"/>
      <c r="X924" s="9"/>
    </row>
    <row r="925">
      <c r="D925" s="9"/>
      <c r="G925" s="9"/>
      <c r="J925" s="11"/>
      <c r="U925" s="9"/>
      <c r="X925" s="9"/>
    </row>
    <row r="926">
      <c r="D926" s="9"/>
      <c r="G926" s="9"/>
      <c r="J926" s="11"/>
      <c r="U926" s="9"/>
      <c r="X926" s="9"/>
    </row>
    <row r="927">
      <c r="D927" s="9"/>
      <c r="G927" s="9"/>
      <c r="J927" s="11"/>
      <c r="U927" s="9"/>
      <c r="X927" s="9"/>
    </row>
    <row r="928">
      <c r="D928" s="9"/>
      <c r="G928" s="9"/>
      <c r="J928" s="11"/>
      <c r="U928" s="9"/>
      <c r="X928" s="9"/>
    </row>
    <row r="929">
      <c r="D929" s="9"/>
      <c r="G929" s="9"/>
      <c r="J929" s="11"/>
      <c r="U929" s="9"/>
      <c r="X929" s="9"/>
    </row>
    <row r="930">
      <c r="D930" s="9"/>
      <c r="G930" s="9"/>
      <c r="J930" s="11"/>
      <c r="U930" s="9"/>
      <c r="X930" s="9"/>
    </row>
    <row r="931">
      <c r="D931" s="9"/>
      <c r="G931" s="9"/>
      <c r="J931" s="11"/>
      <c r="U931" s="9"/>
      <c r="X931" s="9"/>
    </row>
    <row r="932">
      <c r="D932" s="9"/>
      <c r="G932" s="9"/>
      <c r="J932" s="11"/>
      <c r="U932" s="9"/>
      <c r="X932" s="9"/>
    </row>
    <row r="933">
      <c r="D933" s="9"/>
      <c r="G933" s="9"/>
      <c r="J933" s="11"/>
      <c r="U933" s="9"/>
      <c r="X933" s="9"/>
    </row>
    <row r="934">
      <c r="D934" s="9"/>
      <c r="G934" s="9"/>
      <c r="J934" s="11"/>
      <c r="U934" s="9"/>
      <c r="X934" s="9"/>
    </row>
    <row r="935">
      <c r="D935" s="9"/>
      <c r="G935" s="9"/>
      <c r="J935" s="11"/>
      <c r="U935" s="9"/>
      <c r="X935" s="9"/>
    </row>
    <row r="936">
      <c r="D936" s="9"/>
      <c r="G936" s="9"/>
      <c r="J936" s="11"/>
      <c r="U936" s="9"/>
      <c r="X936" s="9"/>
    </row>
    <row r="937">
      <c r="D937" s="9"/>
      <c r="G937" s="9"/>
      <c r="J937" s="11"/>
      <c r="U937" s="9"/>
      <c r="X937" s="9"/>
    </row>
    <row r="938">
      <c r="D938" s="9"/>
      <c r="G938" s="9"/>
      <c r="J938" s="11"/>
      <c r="U938" s="9"/>
      <c r="X938" s="9"/>
    </row>
    <row r="939">
      <c r="D939" s="9"/>
      <c r="G939" s="9"/>
      <c r="J939" s="11"/>
      <c r="U939" s="9"/>
      <c r="X939" s="9"/>
    </row>
    <row r="940">
      <c r="D940" s="9"/>
      <c r="G940" s="9"/>
      <c r="J940" s="11"/>
      <c r="U940" s="9"/>
      <c r="X940" s="9"/>
    </row>
    <row r="941">
      <c r="D941" s="9"/>
      <c r="G941" s="9"/>
      <c r="J941" s="11"/>
      <c r="U941" s="9"/>
      <c r="X941" s="9"/>
    </row>
    <row r="942">
      <c r="D942" s="9"/>
      <c r="G942" s="9"/>
      <c r="J942" s="11"/>
      <c r="U942" s="9"/>
      <c r="X942" s="9"/>
    </row>
    <row r="943">
      <c r="D943" s="9"/>
      <c r="G943" s="9"/>
      <c r="J943" s="11"/>
      <c r="U943" s="9"/>
      <c r="X943" s="9"/>
    </row>
    <row r="944">
      <c r="D944" s="9"/>
      <c r="G944" s="9"/>
      <c r="J944" s="11"/>
      <c r="U944" s="9"/>
      <c r="X944" s="9"/>
    </row>
    <row r="945">
      <c r="D945" s="9"/>
      <c r="G945" s="9"/>
      <c r="J945" s="11"/>
      <c r="U945" s="9"/>
      <c r="X945" s="9"/>
    </row>
    <row r="946">
      <c r="D946" s="9"/>
      <c r="G946" s="9"/>
      <c r="J946" s="11"/>
      <c r="U946" s="9"/>
      <c r="X946" s="9"/>
    </row>
    <row r="947">
      <c r="D947" s="9"/>
      <c r="G947" s="9"/>
      <c r="J947" s="11"/>
      <c r="U947" s="9"/>
      <c r="X947" s="9"/>
    </row>
    <row r="948">
      <c r="D948" s="9"/>
      <c r="G948" s="9"/>
      <c r="J948" s="11"/>
      <c r="U948" s="9"/>
      <c r="X948" s="9"/>
    </row>
    <row r="949">
      <c r="D949" s="9"/>
      <c r="G949" s="9"/>
      <c r="J949" s="11"/>
      <c r="U949" s="9"/>
      <c r="X949" s="9"/>
    </row>
    <row r="950">
      <c r="D950" s="9"/>
      <c r="G950" s="9"/>
      <c r="J950" s="11"/>
      <c r="U950" s="9"/>
      <c r="X950" s="9"/>
    </row>
    <row r="951">
      <c r="D951" s="9"/>
      <c r="G951" s="9"/>
      <c r="J951" s="11"/>
      <c r="U951" s="9"/>
      <c r="X951" s="9"/>
    </row>
    <row r="952">
      <c r="D952" s="9"/>
      <c r="G952" s="9"/>
      <c r="J952" s="11"/>
      <c r="U952" s="9"/>
      <c r="X952" s="9"/>
    </row>
    <row r="953">
      <c r="D953" s="9"/>
      <c r="G953" s="9"/>
      <c r="J953" s="11"/>
      <c r="U953" s="9"/>
      <c r="X953" s="9"/>
    </row>
    <row r="954">
      <c r="D954" s="9"/>
      <c r="G954" s="9"/>
      <c r="J954" s="11"/>
      <c r="U954" s="9"/>
      <c r="X954" s="9"/>
    </row>
    <row r="955">
      <c r="D955" s="9"/>
      <c r="G955" s="9"/>
      <c r="J955" s="11"/>
      <c r="U955" s="9"/>
      <c r="X955" s="9"/>
    </row>
    <row r="956">
      <c r="D956" s="9"/>
      <c r="G956" s="9"/>
      <c r="J956" s="11"/>
      <c r="U956" s="9"/>
      <c r="X956" s="9"/>
    </row>
    <row r="957">
      <c r="D957" s="9"/>
      <c r="G957" s="9"/>
      <c r="J957" s="11"/>
      <c r="U957" s="9"/>
      <c r="X957" s="9"/>
    </row>
    <row r="958">
      <c r="D958" s="9"/>
      <c r="G958" s="9"/>
      <c r="J958" s="11"/>
      <c r="U958" s="9"/>
      <c r="X958" s="9"/>
    </row>
    <row r="959">
      <c r="D959" s="9"/>
      <c r="G959" s="9"/>
      <c r="J959" s="11"/>
      <c r="U959" s="9"/>
      <c r="X959" s="9"/>
    </row>
    <row r="960">
      <c r="D960" s="9"/>
      <c r="G960" s="9"/>
      <c r="J960" s="11"/>
      <c r="U960" s="9"/>
      <c r="X960" s="9"/>
    </row>
    <row r="961">
      <c r="D961" s="9"/>
      <c r="G961" s="9"/>
      <c r="J961" s="11"/>
      <c r="U961" s="9"/>
      <c r="X961" s="9"/>
    </row>
    <row r="962">
      <c r="D962" s="9"/>
      <c r="G962" s="9"/>
      <c r="J962" s="11"/>
      <c r="U962" s="9"/>
      <c r="X962" s="9"/>
    </row>
    <row r="963">
      <c r="D963" s="9"/>
      <c r="G963" s="9"/>
      <c r="J963" s="11"/>
      <c r="U963" s="9"/>
      <c r="X963" s="9"/>
    </row>
    <row r="964">
      <c r="D964" s="9"/>
      <c r="G964" s="9"/>
      <c r="J964" s="11"/>
      <c r="U964" s="9"/>
      <c r="X964" s="9"/>
    </row>
    <row r="965">
      <c r="D965" s="9"/>
      <c r="G965" s="9"/>
      <c r="J965" s="11"/>
      <c r="U965" s="9"/>
      <c r="X965" s="9"/>
    </row>
    <row r="966">
      <c r="D966" s="9"/>
      <c r="G966" s="9"/>
      <c r="J966" s="11"/>
      <c r="U966" s="9"/>
      <c r="X966" s="9"/>
    </row>
    <row r="967">
      <c r="D967" s="9"/>
      <c r="G967" s="9"/>
      <c r="J967" s="11"/>
      <c r="U967" s="9"/>
      <c r="X967" s="9"/>
    </row>
    <row r="968">
      <c r="D968" s="9"/>
      <c r="G968" s="9"/>
      <c r="J968" s="11"/>
      <c r="U968" s="9"/>
      <c r="X968" s="9"/>
    </row>
    <row r="969">
      <c r="D969" s="9"/>
      <c r="G969" s="9"/>
      <c r="J969" s="11"/>
      <c r="U969" s="9"/>
      <c r="X969" s="9"/>
    </row>
    <row r="970">
      <c r="D970" s="9"/>
      <c r="G970" s="9"/>
      <c r="J970" s="11"/>
      <c r="U970" s="9"/>
      <c r="X970" s="9"/>
    </row>
    <row r="971">
      <c r="D971" s="9"/>
      <c r="G971" s="9"/>
      <c r="J971" s="11"/>
      <c r="U971" s="9"/>
      <c r="X971" s="9"/>
    </row>
    <row r="972">
      <c r="D972" s="9"/>
      <c r="G972" s="9"/>
      <c r="J972" s="11"/>
      <c r="U972" s="9"/>
      <c r="X972" s="9"/>
    </row>
    <row r="973">
      <c r="D973" s="9"/>
      <c r="G973" s="9"/>
      <c r="J973" s="11"/>
      <c r="U973" s="9"/>
      <c r="X973" s="9"/>
    </row>
    <row r="974">
      <c r="D974" s="9"/>
      <c r="G974" s="9"/>
      <c r="J974" s="11"/>
      <c r="U974" s="9"/>
      <c r="X974" s="9"/>
    </row>
    <row r="975">
      <c r="D975" s="9"/>
      <c r="G975" s="9"/>
      <c r="J975" s="11"/>
      <c r="U975" s="9"/>
      <c r="X975" s="9"/>
    </row>
    <row r="976">
      <c r="D976" s="9"/>
      <c r="G976" s="9"/>
      <c r="J976" s="11"/>
      <c r="U976" s="9"/>
      <c r="X976" s="9"/>
    </row>
    <row r="977">
      <c r="D977" s="9"/>
      <c r="G977" s="9"/>
      <c r="J977" s="11"/>
      <c r="U977" s="9"/>
      <c r="X977" s="9"/>
    </row>
    <row r="978">
      <c r="D978" s="9"/>
      <c r="G978" s="9"/>
      <c r="J978" s="11"/>
      <c r="U978" s="9"/>
      <c r="X978" s="9"/>
    </row>
    <row r="979">
      <c r="D979" s="9"/>
      <c r="G979" s="9"/>
      <c r="J979" s="11"/>
      <c r="U979" s="9"/>
      <c r="X979" s="9"/>
    </row>
    <row r="980">
      <c r="D980" s="9"/>
      <c r="G980" s="9"/>
      <c r="J980" s="11"/>
      <c r="U980" s="9"/>
      <c r="X980" s="9"/>
    </row>
    <row r="981">
      <c r="D981" s="9"/>
      <c r="G981" s="9"/>
      <c r="J981" s="11"/>
      <c r="U981" s="9"/>
      <c r="X981" s="9"/>
    </row>
    <row r="982">
      <c r="D982" s="9"/>
      <c r="G982" s="9"/>
      <c r="J982" s="11"/>
      <c r="U982" s="9"/>
      <c r="X982" s="9"/>
    </row>
    <row r="983">
      <c r="D983" s="9"/>
      <c r="G983" s="9"/>
      <c r="J983" s="11"/>
      <c r="U983" s="9"/>
      <c r="X983" s="9"/>
    </row>
    <row r="984">
      <c r="D984" s="9"/>
      <c r="G984" s="9"/>
      <c r="J984" s="11"/>
      <c r="U984" s="9"/>
      <c r="X984" s="9"/>
    </row>
    <row r="985">
      <c r="D985" s="9"/>
      <c r="G985" s="9"/>
      <c r="J985" s="11"/>
      <c r="U985" s="9"/>
      <c r="X985" s="9"/>
    </row>
    <row r="986">
      <c r="D986" s="9"/>
      <c r="G986" s="9"/>
      <c r="J986" s="11"/>
      <c r="U986" s="9"/>
      <c r="X986" s="9"/>
    </row>
    <row r="987">
      <c r="D987" s="9"/>
      <c r="G987" s="9"/>
      <c r="J987" s="11"/>
      <c r="U987" s="9"/>
      <c r="X987" s="9"/>
    </row>
    <row r="988">
      <c r="D988" s="9"/>
      <c r="G988" s="9"/>
      <c r="J988" s="11"/>
      <c r="U988" s="9"/>
      <c r="X988" s="9"/>
    </row>
    <row r="989">
      <c r="D989" s="9"/>
      <c r="G989" s="9"/>
      <c r="J989" s="11"/>
      <c r="U989" s="9"/>
      <c r="X989" s="9"/>
    </row>
    <row r="990">
      <c r="D990" s="9"/>
      <c r="G990" s="9"/>
      <c r="J990" s="11"/>
      <c r="U990" s="9"/>
      <c r="X990" s="9"/>
    </row>
    <row r="991">
      <c r="D991" s="9"/>
      <c r="G991" s="9"/>
      <c r="J991" s="11"/>
      <c r="U991" s="9"/>
      <c r="X991" s="9"/>
    </row>
    <row r="992">
      <c r="D992" s="9"/>
      <c r="G992" s="9"/>
      <c r="J992" s="11"/>
      <c r="U992" s="9"/>
      <c r="X992" s="9"/>
    </row>
    <row r="993">
      <c r="D993" s="9"/>
      <c r="G993" s="9"/>
      <c r="J993" s="11"/>
      <c r="U993" s="9"/>
      <c r="X993" s="9"/>
    </row>
    <row r="994">
      <c r="D994" s="9"/>
      <c r="G994" s="9"/>
      <c r="J994" s="11"/>
      <c r="U994" s="9"/>
      <c r="X994" s="9"/>
    </row>
    <row r="995">
      <c r="D995" s="9"/>
      <c r="G995" s="9"/>
      <c r="J995" s="11"/>
      <c r="U995" s="9"/>
      <c r="X995" s="9"/>
    </row>
    <row r="996">
      <c r="D996" s="9"/>
      <c r="G996" s="9"/>
      <c r="J996" s="11"/>
      <c r="U996" s="9"/>
      <c r="X996" s="9"/>
    </row>
    <row r="997">
      <c r="D997" s="9"/>
      <c r="G997" s="9"/>
      <c r="J997" s="11"/>
      <c r="U997" s="9"/>
      <c r="X997" s="9"/>
    </row>
    <row r="998">
      <c r="D998" s="9"/>
      <c r="G998" s="9"/>
      <c r="J998" s="11"/>
      <c r="U998" s="9"/>
      <c r="X998" s="9"/>
    </row>
    <row r="999">
      <c r="D999" s="9"/>
      <c r="G999" s="9"/>
      <c r="J999" s="11"/>
      <c r="U999" s="9"/>
      <c r="X999" s="9"/>
    </row>
    <row r="1000">
      <c r="D1000" s="9"/>
      <c r="G1000" s="9"/>
      <c r="J1000" s="11"/>
      <c r="U1000" s="9"/>
      <c r="X1000" s="9"/>
    </row>
    <row r="1001">
      <c r="D1001" s="9"/>
      <c r="G1001" s="9"/>
      <c r="J1001" s="11"/>
      <c r="U1001" s="9"/>
      <c r="X1001" s="9"/>
    </row>
    <row r="1002">
      <c r="D1002" s="9"/>
      <c r="G1002" s="9"/>
      <c r="J1002" s="11"/>
      <c r="U1002" s="9"/>
      <c r="X1002" s="9"/>
    </row>
    <row r="1003">
      <c r="D1003" s="9"/>
      <c r="G1003" s="9"/>
      <c r="J1003" s="11"/>
      <c r="U1003" s="9"/>
      <c r="X1003" s="9"/>
    </row>
    <row r="1004">
      <c r="D1004" s="9"/>
      <c r="G1004" s="9"/>
      <c r="J1004" s="11"/>
      <c r="U1004" s="9"/>
      <c r="X1004" s="9"/>
    </row>
    <row r="1005">
      <c r="D1005" s="9"/>
      <c r="G1005" s="9"/>
      <c r="J1005" s="11"/>
      <c r="U1005" s="9"/>
      <c r="X1005" s="9"/>
    </row>
    <row r="1006">
      <c r="D1006" s="9"/>
      <c r="G1006" s="9"/>
      <c r="J1006" s="11"/>
      <c r="U1006" s="9"/>
      <c r="X1006" s="9"/>
    </row>
    <row r="1007">
      <c r="D1007" s="9"/>
      <c r="G1007" s="9"/>
      <c r="J1007" s="11"/>
      <c r="U1007" s="9"/>
      <c r="X1007" s="9"/>
    </row>
    <row r="1008">
      <c r="D1008" s="9"/>
      <c r="G1008" s="9"/>
      <c r="J1008" s="11"/>
      <c r="U1008" s="9"/>
      <c r="X1008" s="9"/>
    </row>
    <row r="1009">
      <c r="D1009" s="9"/>
      <c r="G1009" s="9"/>
      <c r="J1009" s="11"/>
      <c r="U1009" s="9"/>
      <c r="X1009" s="9"/>
    </row>
    <row r="1010">
      <c r="D1010" s="9"/>
      <c r="G1010" s="9"/>
      <c r="J1010" s="11"/>
      <c r="U1010" s="9"/>
      <c r="X1010" s="9"/>
    </row>
    <row r="1011">
      <c r="D1011" s="9"/>
      <c r="G1011" s="9"/>
      <c r="J1011" s="11"/>
      <c r="U1011" s="9"/>
      <c r="X1011" s="9"/>
    </row>
    <row r="1012">
      <c r="D1012" s="9"/>
      <c r="G1012" s="9"/>
      <c r="J1012" s="11"/>
      <c r="U1012" s="9"/>
      <c r="X1012" s="9"/>
    </row>
    <row r="1013">
      <c r="D1013" s="9"/>
      <c r="G1013" s="9"/>
      <c r="J1013" s="11"/>
      <c r="U1013" s="9"/>
      <c r="X1013" s="9"/>
    </row>
    <row r="1014">
      <c r="D1014" s="9"/>
      <c r="G1014" s="9"/>
      <c r="J1014" s="11"/>
      <c r="U1014" s="9"/>
      <c r="X1014" s="9"/>
    </row>
    <row r="1015">
      <c r="D1015" s="9"/>
      <c r="G1015" s="9"/>
      <c r="J1015" s="11"/>
      <c r="U1015" s="9"/>
      <c r="X1015" s="9"/>
    </row>
    <row r="1016">
      <c r="D1016" s="9"/>
      <c r="G1016" s="9"/>
      <c r="J1016" s="11"/>
      <c r="U1016" s="9"/>
      <c r="X1016" s="9"/>
    </row>
    <row r="1017">
      <c r="D1017" s="9"/>
      <c r="G1017" s="9"/>
      <c r="J1017" s="11"/>
      <c r="U1017" s="9"/>
      <c r="X1017" s="9"/>
    </row>
    <row r="1018">
      <c r="D1018" s="9"/>
      <c r="G1018" s="9"/>
      <c r="J1018" s="11"/>
      <c r="U1018" s="9"/>
      <c r="X1018" s="9"/>
    </row>
    <row r="1019">
      <c r="D1019" s="9"/>
      <c r="G1019" s="9"/>
      <c r="J1019" s="11"/>
      <c r="U1019" s="9"/>
      <c r="X1019" s="9"/>
    </row>
    <row r="1020">
      <c r="D1020" s="9"/>
      <c r="G1020" s="9"/>
      <c r="J1020" s="11"/>
      <c r="U1020" s="9"/>
      <c r="X1020" s="9"/>
    </row>
    <row r="1021">
      <c r="D1021" s="9"/>
      <c r="G1021" s="9"/>
      <c r="J1021" s="11"/>
      <c r="U1021" s="9"/>
      <c r="X1021" s="9"/>
    </row>
    <row r="1022">
      <c r="D1022" s="9"/>
      <c r="G1022" s="9"/>
      <c r="J1022" s="11"/>
      <c r="U1022" s="9"/>
      <c r="X1022" s="9"/>
    </row>
    <row r="1023">
      <c r="D1023" s="9"/>
      <c r="G1023" s="9"/>
      <c r="J1023" s="11"/>
      <c r="U1023" s="9"/>
      <c r="X1023" s="9"/>
    </row>
    <row r="1024">
      <c r="D1024" s="9"/>
      <c r="G1024" s="9"/>
      <c r="J1024" s="11"/>
      <c r="U1024" s="9"/>
      <c r="X1024" s="9"/>
    </row>
    <row r="1025">
      <c r="D1025" s="9"/>
      <c r="G1025" s="9"/>
      <c r="J1025" s="11"/>
      <c r="U1025" s="9"/>
      <c r="X1025" s="9"/>
    </row>
    <row r="1026">
      <c r="D1026" s="9"/>
      <c r="G1026" s="9"/>
      <c r="J1026" s="11"/>
      <c r="U1026" s="9"/>
      <c r="X1026" s="9"/>
    </row>
    <row r="1027">
      <c r="D1027" s="9"/>
      <c r="G1027" s="9"/>
      <c r="J1027" s="11"/>
      <c r="U1027" s="9"/>
      <c r="X1027" s="9"/>
    </row>
    <row r="1028">
      <c r="D1028" s="9"/>
      <c r="G1028" s="9"/>
      <c r="J1028" s="11"/>
      <c r="U1028" s="9"/>
      <c r="X1028" s="9"/>
    </row>
    <row r="1029">
      <c r="D1029" s="9"/>
      <c r="G1029" s="9"/>
      <c r="J1029" s="11"/>
      <c r="U1029" s="9"/>
      <c r="X1029" s="9"/>
    </row>
    <row r="1030">
      <c r="D1030" s="9"/>
      <c r="G1030" s="9"/>
      <c r="J1030" s="11"/>
      <c r="U1030" s="9"/>
      <c r="X1030" s="9"/>
    </row>
    <row r="1031">
      <c r="D1031" s="9"/>
      <c r="G1031" s="9"/>
      <c r="J1031" s="11"/>
      <c r="U1031" s="9"/>
      <c r="X1031" s="9"/>
    </row>
    <row r="1032">
      <c r="D1032" s="9"/>
      <c r="G1032" s="9"/>
      <c r="J1032" s="11"/>
      <c r="U1032" s="9"/>
      <c r="X1032" s="9"/>
    </row>
    <row r="1033">
      <c r="D1033" s="9"/>
      <c r="G1033" s="9"/>
      <c r="J1033" s="11"/>
      <c r="U1033" s="9"/>
      <c r="X1033" s="9"/>
    </row>
    <row r="1034">
      <c r="D1034" s="9"/>
      <c r="G1034" s="9"/>
      <c r="J1034" s="11"/>
      <c r="U1034" s="9"/>
      <c r="X1034" s="9"/>
    </row>
    <row r="1035">
      <c r="D1035" s="9"/>
      <c r="G1035" s="9"/>
      <c r="J1035" s="11"/>
      <c r="U1035" s="9"/>
      <c r="X1035" s="9"/>
    </row>
    <row r="1036">
      <c r="D1036" s="9"/>
      <c r="G1036" s="9"/>
      <c r="J1036" s="11"/>
      <c r="U1036" s="9"/>
      <c r="X1036" s="9"/>
    </row>
    <row r="1037">
      <c r="D1037" s="9"/>
      <c r="G1037" s="9"/>
      <c r="J1037" s="11"/>
      <c r="U1037" s="9"/>
      <c r="X1037" s="9"/>
    </row>
    <row r="1038">
      <c r="D1038" s="9"/>
      <c r="G1038" s="9"/>
      <c r="J1038" s="11"/>
      <c r="U1038" s="9"/>
      <c r="X1038" s="9"/>
    </row>
    <row r="1039">
      <c r="D1039" s="9"/>
      <c r="G1039" s="9"/>
      <c r="J1039" s="11"/>
      <c r="U1039" s="9"/>
      <c r="X1039" s="9"/>
    </row>
    <row r="1040">
      <c r="D1040" s="9"/>
      <c r="G1040" s="9"/>
      <c r="J1040" s="11"/>
      <c r="U1040" s="9"/>
      <c r="X1040" s="9"/>
    </row>
    <row r="1041">
      <c r="D1041" s="9"/>
      <c r="G1041" s="9"/>
      <c r="J1041" s="11"/>
      <c r="U1041" s="9"/>
      <c r="X1041" s="9"/>
    </row>
    <row r="1042">
      <c r="D1042" s="9"/>
      <c r="G1042" s="9"/>
      <c r="J1042" s="11"/>
      <c r="U1042" s="9"/>
      <c r="X1042" s="9"/>
    </row>
    <row r="1043">
      <c r="D1043" s="9"/>
      <c r="G1043" s="9"/>
      <c r="J1043" s="11"/>
      <c r="U1043" s="9"/>
      <c r="X1043" s="9"/>
    </row>
    <row r="1044">
      <c r="D1044" s="9"/>
      <c r="G1044" s="9"/>
      <c r="J1044" s="11"/>
      <c r="U1044" s="9"/>
      <c r="X1044" s="9"/>
    </row>
    <row r="1045">
      <c r="D1045" s="9"/>
      <c r="G1045" s="9"/>
      <c r="J1045" s="11"/>
      <c r="U1045" s="9"/>
      <c r="X1045" s="9"/>
    </row>
    <row r="1046">
      <c r="D1046" s="9"/>
      <c r="G1046" s="9"/>
      <c r="J1046" s="11"/>
      <c r="U1046" s="9"/>
      <c r="X1046" s="9"/>
    </row>
    <row r="1047">
      <c r="D1047" s="9"/>
      <c r="G1047" s="9"/>
      <c r="J1047" s="11"/>
      <c r="U1047" s="9"/>
      <c r="X1047" s="9"/>
    </row>
    <row r="1048">
      <c r="D1048" s="9"/>
      <c r="G1048" s="9"/>
      <c r="J1048" s="11"/>
      <c r="U1048" s="9"/>
      <c r="X1048" s="9"/>
    </row>
    <row r="1049">
      <c r="D1049" s="9"/>
      <c r="G1049" s="9"/>
      <c r="J1049" s="11"/>
      <c r="U1049" s="9"/>
      <c r="X1049" s="9"/>
    </row>
    <row r="1050">
      <c r="D1050" s="9"/>
      <c r="G1050" s="9"/>
      <c r="J1050" s="11"/>
      <c r="U1050" s="9"/>
      <c r="X1050" s="9"/>
    </row>
    <row r="1051">
      <c r="D1051" s="9"/>
      <c r="G1051" s="9"/>
      <c r="J1051" s="11"/>
      <c r="U1051" s="9"/>
      <c r="X1051" s="9"/>
    </row>
    <row r="1052">
      <c r="D1052" s="9"/>
      <c r="G1052" s="9"/>
      <c r="J1052" s="11"/>
      <c r="U1052" s="9"/>
      <c r="X1052" s="9"/>
    </row>
    <row r="1053">
      <c r="D1053" s="9"/>
      <c r="G1053" s="9"/>
      <c r="J1053" s="11"/>
      <c r="U1053" s="9"/>
      <c r="X1053" s="9"/>
    </row>
    <row r="1054">
      <c r="D1054" s="9"/>
      <c r="G1054" s="9"/>
      <c r="J1054" s="11"/>
      <c r="U1054" s="9"/>
      <c r="X1054" s="9"/>
    </row>
    <row r="1055">
      <c r="D1055" s="9"/>
      <c r="G1055" s="9"/>
      <c r="J1055" s="11"/>
      <c r="U1055" s="9"/>
      <c r="X1055" s="9"/>
    </row>
    <row r="1056">
      <c r="D1056" s="9"/>
      <c r="G1056" s="9"/>
      <c r="J1056" s="11"/>
      <c r="U1056" s="9"/>
      <c r="X1056" s="9"/>
    </row>
    <row r="1057">
      <c r="D1057" s="9"/>
      <c r="G1057" s="9"/>
      <c r="J1057" s="11"/>
      <c r="U1057" s="9"/>
      <c r="X1057" s="9"/>
    </row>
    <row r="1058">
      <c r="D1058" s="9"/>
      <c r="G1058" s="9"/>
      <c r="J1058" s="11"/>
      <c r="U1058" s="9"/>
      <c r="X1058" s="9"/>
    </row>
    <row r="1059">
      <c r="D1059" s="9"/>
      <c r="G1059" s="9"/>
      <c r="J1059" s="11"/>
      <c r="U1059" s="9"/>
      <c r="X1059" s="9"/>
    </row>
    <row r="1060">
      <c r="D1060" s="9"/>
      <c r="G1060" s="9"/>
      <c r="J1060" s="11"/>
      <c r="U1060" s="9"/>
      <c r="X1060" s="9"/>
    </row>
    <row r="1061">
      <c r="D1061" s="9"/>
      <c r="G1061" s="9"/>
      <c r="J1061" s="11"/>
      <c r="U1061" s="9"/>
      <c r="X1061" s="9"/>
    </row>
    <row r="1062">
      <c r="D1062" s="9"/>
      <c r="G1062" s="9"/>
      <c r="J1062" s="11"/>
      <c r="U1062" s="9"/>
      <c r="X1062" s="9"/>
    </row>
    <row r="1063">
      <c r="D1063" s="9"/>
      <c r="G1063" s="9"/>
      <c r="J1063" s="11"/>
      <c r="U1063" s="9"/>
      <c r="X1063" s="9"/>
    </row>
    <row r="1064">
      <c r="D1064" s="9"/>
      <c r="G1064" s="9"/>
      <c r="J1064" s="11"/>
      <c r="U1064" s="9"/>
      <c r="X1064" s="9"/>
    </row>
    <row r="1065">
      <c r="D1065" s="9"/>
      <c r="G1065" s="9"/>
      <c r="J1065" s="11"/>
      <c r="U1065" s="9"/>
      <c r="X1065" s="9"/>
    </row>
    <row r="1066">
      <c r="D1066" s="9"/>
      <c r="G1066" s="9"/>
      <c r="J1066" s="11"/>
      <c r="U1066" s="9"/>
      <c r="X1066" s="9"/>
    </row>
    <row r="1067">
      <c r="D1067" s="9"/>
      <c r="G1067" s="9"/>
      <c r="J1067" s="11"/>
      <c r="U1067" s="9"/>
      <c r="X1067" s="9"/>
    </row>
    <row r="1068">
      <c r="D1068" s="9"/>
      <c r="G1068" s="9"/>
      <c r="J1068" s="11"/>
      <c r="U1068" s="9"/>
      <c r="X1068" s="9"/>
    </row>
    <row r="1069">
      <c r="D1069" s="9"/>
      <c r="G1069" s="9"/>
      <c r="J1069" s="11"/>
      <c r="U1069" s="9"/>
      <c r="X1069" s="9"/>
    </row>
    <row r="1070">
      <c r="D1070" s="9"/>
      <c r="G1070" s="9"/>
      <c r="J1070" s="11"/>
      <c r="U1070" s="9"/>
      <c r="X1070" s="9"/>
    </row>
    <row r="1071">
      <c r="D1071" s="9"/>
      <c r="G1071" s="9"/>
      <c r="J1071" s="11"/>
      <c r="U1071" s="9"/>
      <c r="X1071" s="9"/>
    </row>
    <row r="1072">
      <c r="D1072" s="9"/>
      <c r="G1072" s="9"/>
      <c r="J1072" s="11"/>
      <c r="U1072" s="9"/>
      <c r="X1072" s="9"/>
    </row>
    <row r="1073">
      <c r="D1073" s="9"/>
      <c r="G1073" s="9"/>
      <c r="J1073" s="11"/>
      <c r="U1073" s="9"/>
      <c r="X1073" s="9"/>
    </row>
    <row r="1074">
      <c r="D1074" s="9"/>
      <c r="G1074" s="9"/>
      <c r="J1074" s="11"/>
      <c r="U1074" s="9"/>
      <c r="X1074" s="9"/>
    </row>
    <row r="1075">
      <c r="D1075" s="9"/>
      <c r="G1075" s="9"/>
      <c r="J1075" s="11"/>
      <c r="U1075" s="9"/>
      <c r="X1075" s="9"/>
    </row>
    <row r="1076">
      <c r="D1076" s="9"/>
      <c r="G1076" s="9"/>
      <c r="J1076" s="11"/>
      <c r="U1076" s="9"/>
      <c r="X1076" s="9"/>
    </row>
    <row r="1077">
      <c r="D1077" s="9"/>
      <c r="G1077" s="9"/>
      <c r="J1077" s="11"/>
      <c r="U1077" s="9"/>
      <c r="X1077" s="9"/>
    </row>
    <row r="1078">
      <c r="D1078" s="9"/>
      <c r="G1078" s="9"/>
      <c r="J1078" s="11"/>
      <c r="U1078" s="9"/>
      <c r="X1078" s="9"/>
    </row>
    <row r="1079">
      <c r="D1079" s="9"/>
      <c r="G1079" s="9"/>
      <c r="J1079" s="11"/>
      <c r="U1079" s="9"/>
      <c r="X1079" s="9"/>
    </row>
    <row r="1080">
      <c r="D1080" s="9"/>
      <c r="G1080" s="9"/>
      <c r="J1080" s="11"/>
      <c r="U1080" s="9"/>
      <c r="X1080" s="9"/>
    </row>
    <row r="1081">
      <c r="D1081" s="9"/>
      <c r="G1081" s="9"/>
      <c r="J1081" s="11"/>
      <c r="U1081" s="9"/>
      <c r="X1081" s="9"/>
    </row>
    <row r="1082">
      <c r="D1082" s="9"/>
      <c r="G1082" s="9"/>
      <c r="J1082" s="11"/>
      <c r="U1082" s="9"/>
      <c r="X1082" s="9"/>
    </row>
    <row r="1083">
      <c r="D1083" s="9"/>
      <c r="G1083" s="9"/>
      <c r="J1083" s="11"/>
      <c r="U1083" s="9"/>
      <c r="X1083" s="9"/>
    </row>
    <row r="1084">
      <c r="D1084" s="9"/>
      <c r="G1084" s="9"/>
      <c r="J1084" s="11"/>
      <c r="U1084" s="9"/>
      <c r="X1084" s="9"/>
    </row>
    <row r="1085">
      <c r="D1085" s="9"/>
      <c r="G1085" s="9"/>
      <c r="J1085" s="11"/>
      <c r="U1085" s="9"/>
      <c r="X1085" s="9"/>
    </row>
    <row r="1086">
      <c r="D1086" s="9"/>
      <c r="G1086" s="9"/>
      <c r="J1086" s="11"/>
      <c r="U1086" s="9"/>
      <c r="X1086" s="9"/>
    </row>
    <row r="1087">
      <c r="D1087" s="9"/>
      <c r="G1087" s="9"/>
      <c r="J1087" s="11"/>
      <c r="U1087" s="9"/>
      <c r="X1087" s="9"/>
    </row>
    <row r="1088">
      <c r="D1088" s="9"/>
      <c r="G1088" s="9"/>
      <c r="J1088" s="11"/>
      <c r="U1088" s="9"/>
      <c r="X1088" s="9"/>
    </row>
    <row r="1089">
      <c r="D1089" s="9"/>
      <c r="G1089" s="9"/>
      <c r="J1089" s="11"/>
      <c r="U1089" s="9"/>
      <c r="X1089" s="9"/>
    </row>
    <row r="1090">
      <c r="D1090" s="9"/>
      <c r="G1090" s="9"/>
      <c r="J1090" s="11"/>
      <c r="U1090" s="9"/>
      <c r="X1090" s="9"/>
    </row>
    <row r="1091">
      <c r="D1091" s="9"/>
      <c r="G1091" s="9"/>
      <c r="J1091" s="11"/>
      <c r="U1091" s="9"/>
      <c r="X1091" s="9"/>
    </row>
    <row r="1092">
      <c r="D1092" s="9"/>
      <c r="G1092" s="9"/>
      <c r="J1092" s="11"/>
      <c r="U1092" s="9"/>
      <c r="X1092" s="9"/>
    </row>
    <row r="1093">
      <c r="D1093" s="9"/>
      <c r="G1093" s="9"/>
      <c r="J1093" s="11"/>
      <c r="U1093" s="9"/>
      <c r="X1093" s="9"/>
    </row>
    <row r="1094">
      <c r="D1094" s="9"/>
      <c r="G1094" s="9"/>
      <c r="J1094" s="11"/>
      <c r="U1094" s="9"/>
      <c r="X1094" s="9"/>
    </row>
    <row r="1095">
      <c r="D1095" s="9"/>
      <c r="G1095" s="9"/>
      <c r="J1095" s="11"/>
      <c r="U1095" s="9"/>
      <c r="X1095" s="9"/>
    </row>
    <row r="1096">
      <c r="D1096" s="9"/>
      <c r="G1096" s="9"/>
      <c r="J1096" s="11"/>
      <c r="U1096" s="9"/>
      <c r="X1096" s="9"/>
    </row>
    <row r="1097">
      <c r="D1097" s="9"/>
      <c r="G1097" s="9"/>
      <c r="J1097" s="11"/>
      <c r="U1097" s="9"/>
      <c r="X1097" s="9"/>
    </row>
    <row r="1098">
      <c r="D1098" s="9"/>
      <c r="G1098" s="9"/>
      <c r="J1098" s="11"/>
      <c r="U1098" s="9"/>
      <c r="X1098" s="9"/>
    </row>
    <row r="1099">
      <c r="D1099" s="9"/>
      <c r="G1099" s="9"/>
      <c r="J1099" s="11"/>
      <c r="U1099" s="9"/>
      <c r="X1099" s="9"/>
    </row>
    <row r="1100">
      <c r="D1100" s="9"/>
      <c r="G1100" s="9"/>
      <c r="J1100" s="11"/>
      <c r="U1100" s="9"/>
      <c r="X1100" s="9"/>
    </row>
    <row r="1101">
      <c r="D1101" s="9"/>
      <c r="G1101" s="9"/>
      <c r="J1101" s="11"/>
      <c r="U1101" s="9"/>
      <c r="X1101" s="9"/>
    </row>
    <row r="1102">
      <c r="D1102" s="9"/>
      <c r="G1102" s="9"/>
      <c r="J1102" s="11"/>
      <c r="U1102" s="9"/>
      <c r="X1102" s="9"/>
    </row>
    <row r="1103">
      <c r="D1103" s="9"/>
      <c r="G1103" s="9"/>
      <c r="J1103" s="11"/>
      <c r="U1103" s="9"/>
      <c r="X1103" s="9"/>
    </row>
    <row r="1104">
      <c r="D1104" s="9"/>
      <c r="G1104" s="9"/>
      <c r="J1104" s="11"/>
      <c r="U1104" s="9"/>
      <c r="X1104" s="9"/>
    </row>
    <row r="1105">
      <c r="D1105" s="9"/>
      <c r="G1105" s="9"/>
      <c r="J1105" s="11"/>
      <c r="U1105" s="9"/>
      <c r="X1105" s="9"/>
    </row>
    <row r="1106">
      <c r="D1106" s="9"/>
      <c r="G1106" s="9"/>
      <c r="J1106" s="11"/>
      <c r="U1106" s="9"/>
      <c r="X1106" s="9"/>
    </row>
    <row r="1107">
      <c r="D1107" s="9"/>
      <c r="G1107" s="9"/>
      <c r="J1107" s="11"/>
      <c r="U1107" s="9"/>
      <c r="X1107" s="9"/>
    </row>
    <row r="1108">
      <c r="D1108" s="9"/>
      <c r="G1108" s="9"/>
      <c r="J1108" s="11"/>
      <c r="U1108" s="9"/>
      <c r="X1108" s="9"/>
    </row>
    <row r="1109">
      <c r="D1109" s="9"/>
      <c r="G1109" s="9"/>
      <c r="J1109" s="11"/>
      <c r="U1109" s="9"/>
      <c r="X1109" s="9"/>
    </row>
    <row r="1110">
      <c r="D1110" s="9"/>
      <c r="G1110" s="9"/>
      <c r="J1110" s="11"/>
      <c r="U1110" s="9"/>
      <c r="X1110" s="9"/>
    </row>
    <row r="1111">
      <c r="D1111" s="9"/>
      <c r="G1111" s="9"/>
      <c r="J1111" s="11"/>
      <c r="U1111" s="9"/>
      <c r="X1111" s="9"/>
    </row>
    <row r="1112">
      <c r="D1112" s="9"/>
      <c r="G1112" s="9"/>
      <c r="J1112" s="11"/>
      <c r="U1112" s="9"/>
      <c r="X1112" s="9"/>
    </row>
    <row r="1113">
      <c r="D1113" s="9"/>
      <c r="G1113" s="9"/>
      <c r="J1113" s="11"/>
      <c r="U1113" s="9"/>
      <c r="X1113" s="9"/>
    </row>
    <row r="1114">
      <c r="D1114" s="9"/>
      <c r="G1114" s="9"/>
      <c r="J1114" s="11"/>
      <c r="U1114" s="9"/>
      <c r="X1114" s="9"/>
    </row>
    <row r="1115">
      <c r="D1115" s="9"/>
      <c r="G1115" s="9"/>
      <c r="J1115" s="11"/>
      <c r="U1115" s="9"/>
      <c r="X1115" s="9"/>
    </row>
    <row r="1116">
      <c r="D1116" s="9"/>
      <c r="G1116" s="9"/>
      <c r="J1116" s="11"/>
      <c r="U1116" s="9"/>
      <c r="X1116" s="9"/>
    </row>
    <row r="1117">
      <c r="D1117" s="9"/>
      <c r="G1117" s="9"/>
      <c r="J1117" s="11"/>
      <c r="U1117" s="9"/>
      <c r="X1117" s="9"/>
    </row>
    <row r="1118">
      <c r="D1118" s="9"/>
      <c r="G1118" s="9"/>
      <c r="J1118" s="11"/>
      <c r="U1118" s="9"/>
      <c r="X1118" s="9"/>
    </row>
    <row r="1119">
      <c r="D1119" s="9"/>
      <c r="G1119" s="9"/>
      <c r="J1119" s="11"/>
      <c r="U1119" s="9"/>
      <c r="X1119" s="9"/>
    </row>
    <row r="1120">
      <c r="D1120" s="9"/>
      <c r="G1120" s="9"/>
      <c r="J1120" s="11"/>
      <c r="U1120" s="9"/>
      <c r="X1120" s="9"/>
    </row>
    <row r="1121">
      <c r="D1121" s="9"/>
      <c r="G1121" s="9"/>
      <c r="J1121" s="11"/>
      <c r="U1121" s="9"/>
      <c r="X1121" s="9"/>
    </row>
    <row r="1122">
      <c r="D1122" s="9"/>
      <c r="G1122" s="9"/>
      <c r="J1122" s="11"/>
      <c r="U1122" s="9"/>
      <c r="X1122" s="9"/>
    </row>
    <row r="1123">
      <c r="D1123" s="9"/>
      <c r="G1123" s="9"/>
      <c r="J1123" s="11"/>
      <c r="U1123" s="9"/>
      <c r="X1123" s="9"/>
    </row>
    <row r="1124">
      <c r="D1124" s="9"/>
      <c r="G1124" s="9"/>
      <c r="J1124" s="11"/>
      <c r="U1124" s="9"/>
      <c r="X1124" s="9"/>
    </row>
    <row r="1125">
      <c r="D1125" s="9"/>
      <c r="G1125" s="9"/>
      <c r="J1125" s="11"/>
      <c r="U1125" s="9"/>
      <c r="X1125" s="9"/>
    </row>
    <row r="1126">
      <c r="D1126" s="9"/>
      <c r="G1126" s="9"/>
      <c r="J1126" s="11"/>
      <c r="U1126" s="9"/>
      <c r="X1126" s="9"/>
    </row>
    <row r="1127">
      <c r="D1127" s="9"/>
      <c r="G1127" s="9"/>
      <c r="J1127" s="11"/>
      <c r="U1127" s="9"/>
      <c r="X1127" s="9"/>
    </row>
    <row r="1128">
      <c r="D1128" s="9"/>
      <c r="G1128" s="9"/>
      <c r="J1128" s="11"/>
      <c r="U1128" s="9"/>
      <c r="X1128" s="9"/>
    </row>
    <row r="1129">
      <c r="D1129" s="9"/>
      <c r="G1129" s="9"/>
      <c r="J1129" s="11"/>
      <c r="U1129" s="9"/>
      <c r="X1129" s="9"/>
    </row>
    <row r="1130">
      <c r="D1130" s="9"/>
      <c r="G1130" s="9"/>
      <c r="J1130" s="11"/>
      <c r="U1130" s="9"/>
      <c r="X1130" s="9"/>
    </row>
    <row r="1131">
      <c r="D1131" s="9"/>
      <c r="G1131" s="9"/>
      <c r="J1131" s="11"/>
      <c r="U1131" s="9"/>
      <c r="X1131" s="9"/>
    </row>
    <row r="1132">
      <c r="D1132" s="9"/>
      <c r="G1132" s="9"/>
      <c r="J1132" s="11"/>
      <c r="U1132" s="9"/>
      <c r="X1132" s="9"/>
    </row>
    <row r="1133">
      <c r="D1133" s="9"/>
      <c r="G1133" s="9"/>
      <c r="J1133" s="11"/>
      <c r="U1133" s="9"/>
      <c r="X1133" s="9"/>
    </row>
    <row r="1134">
      <c r="D1134" s="9"/>
      <c r="G1134" s="9"/>
      <c r="J1134" s="11"/>
      <c r="U1134" s="9"/>
      <c r="X1134" s="9"/>
    </row>
    <row r="1135">
      <c r="D1135" s="9"/>
      <c r="G1135" s="9"/>
      <c r="J1135" s="11"/>
      <c r="U1135" s="9"/>
      <c r="X1135" s="9"/>
    </row>
    <row r="1136">
      <c r="D1136" s="9"/>
      <c r="G1136" s="9"/>
      <c r="J1136" s="11"/>
      <c r="U1136" s="9"/>
      <c r="X1136" s="9"/>
    </row>
    <row r="1137">
      <c r="D1137" s="9"/>
      <c r="G1137" s="9"/>
      <c r="J1137" s="11"/>
      <c r="U1137" s="9"/>
      <c r="X1137" s="9"/>
    </row>
    <row r="1138">
      <c r="D1138" s="9"/>
      <c r="G1138" s="9"/>
      <c r="J1138" s="11"/>
      <c r="U1138" s="9"/>
      <c r="X1138" s="9"/>
    </row>
    <row r="1139">
      <c r="D1139" s="9"/>
      <c r="G1139" s="9"/>
      <c r="J1139" s="11"/>
      <c r="U1139" s="9"/>
      <c r="X1139" s="9"/>
    </row>
    <row r="1140">
      <c r="D1140" s="9"/>
      <c r="G1140" s="9"/>
      <c r="J1140" s="11"/>
      <c r="U1140" s="9"/>
      <c r="X1140" s="9"/>
    </row>
    <row r="1141">
      <c r="D1141" s="9"/>
      <c r="G1141" s="9"/>
      <c r="J1141" s="11"/>
      <c r="U1141" s="9"/>
      <c r="X1141" s="9"/>
    </row>
    <row r="1142">
      <c r="D1142" s="9"/>
      <c r="G1142" s="9"/>
      <c r="J1142" s="11"/>
      <c r="U1142" s="9"/>
      <c r="X1142" s="9"/>
    </row>
    <row r="1143">
      <c r="D1143" s="9"/>
      <c r="G1143" s="9"/>
      <c r="J1143" s="11"/>
      <c r="U1143" s="9"/>
      <c r="X1143" s="9"/>
    </row>
    <row r="1144">
      <c r="D1144" s="9"/>
      <c r="G1144" s="9"/>
      <c r="J1144" s="11"/>
      <c r="U1144" s="9"/>
      <c r="X1144" s="9"/>
    </row>
    <row r="1145">
      <c r="D1145" s="9"/>
      <c r="G1145" s="9"/>
      <c r="J1145" s="11"/>
      <c r="U1145" s="9"/>
      <c r="X1145" s="9"/>
    </row>
    <row r="1146">
      <c r="D1146" s="9"/>
      <c r="G1146" s="9"/>
      <c r="J1146" s="11"/>
      <c r="U1146" s="9"/>
      <c r="X1146" s="9"/>
    </row>
    <row r="1147">
      <c r="D1147" s="9"/>
      <c r="G1147" s="9"/>
      <c r="J1147" s="11"/>
      <c r="U1147" s="9"/>
      <c r="X1147" s="9"/>
    </row>
    <row r="1148">
      <c r="D1148" s="9"/>
      <c r="G1148" s="9"/>
      <c r="J1148" s="11"/>
      <c r="U1148" s="9"/>
      <c r="X1148" s="9"/>
    </row>
    <row r="1149">
      <c r="D1149" s="9"/>
      <c r="G1149" s="9"/>
      <c r="J1149" s="11"/>
      <c r="U1149" s="9"/>
      <c r="X1149" s="9"/>
    </row>
    <row r="1150">
      <c r="D1150" s="9"/>
      <c r="G1150" s="9"/>
      <c r="J1150" s="11"/>
      <c r="U1150" s="9"/>
      <c r="X1150" s="9"/>
    </row>
    <row r="1151">
      <c r="D1151" s="9"/>
      <c r="G1151" s="9"/>
      <c r="J1151" s="11"/>
      <c r="U1151" s="9"/>
      <c r="X1151" s="9"/>
    </row>
    <row r="1152">
      <c r="D1152" s="9"/>
      <c r="G1152" s="9"/>
      <c r="J1152" s="11"/>
      <c r="U1152" s="9"/>
      <c r="X1152" s="9"/>
    </row>
    <row r="1153">
      <c r="D1153" s="9"/>
      <c r="G1153" s="9"/>
      <c r="J1153" s="11"/>
      <c r="U1153" s="9"/>
      <c r="X1153" s="9"/>
    </row>
    <row r="1154">
      <c r="D1154" s="9"/>
      <c r="G1154" s="9"/>
      <c r="J1154" s="11"/>
      <c r="U1154" s="9"/>
      <c r="X1154" s="9"/>
    </row>
    <row r="1155">
      <c r="D1155" s="9"/>
      <c r="G1155" s="9"/>
      <c r="J1155" s="11"/>
      <c r="U1155" s="9"/>
      <c r="X1155" s="9"/>
    </row>
    <row r="1156">
      <c r="D1156" s="9"/>
      <c r="G1156" s="9"/>
      <c r="J1156" s="11"/>
      <c r="U1156" s="9"/>
      <c r="X1156" s="9"/>
    </row>
    <row r="1157">
      <c r="D1157" s="9"/>
      <c r="G1157" s="9"/>
      <c r="J1157" s="11"/>
      <c r="U1157" s="9"/>
      <c r="X1157" s="9"/>
    </row>
    <row r="1158">
      <c r="D1158" s="9"/>
      <c r="G1158" s="9"/>
      <c r="J1158" s="11"/>
      <c r="U1158" s="9"/>
      <c r="X1158" s="9"/>
    </row>
    <row r="1159">
      <c r="D1159" s="9"/>
      <c r="G1159" s="9"/>
      <c r="J1159" s="11"/>
      <c r="U1159" s="9"/>
      <c r="X1159" s="9"/>
    </row>
    <row r="1160">
      <c r="D1160" s="9"/>
      <c r="G1160" s="9"/>
      <c r="J1160" s="11"/>
      <c r="U1160" s="9"/>
      <c r="X1160" s="9"/>
    </row>
    <row r="1161">
      <c r="D1161" s="9"/>
      <c r="G1161" s="9"/>
      <c r="J1161" s="11"/>
      <c r="U1161" s="9"/>
      <c r="X1161" s="9"/>
    </row>
    <row r="1162">
      <c r="D1162" s="9"/>
      <c r="G1162" s="9"/>
      <c r="J1162" s="11"/>
      <c r="U1162" s="9"/>
      <c r="X1162" s="9"/>
    </row>
    <row r="1163">
      <c r="D1163" s="9"/>
      <c r="G1163" s="9"/>
      <c r="J1163" s="11"/>
      <c r="U1163" s="9"/>
      <c r="X1163" s="9"/>
    </row>
    <row r="1164">
      <c r="D1164" s="9"/>
      <c r="G1164" s="9"/>
      <c r="J1164" s="11"/>
      <c r="U1164" s="9"/>
      <c r="X1164" s="9"/>
    </row>
    <row r="1165">
      <c r="D1165" s="9"/>
      <c r="G1165" s="9"/>
      <c r="J1165" s="11"/>
      <c r="U1165" s="9"/>
      <c r="X1165" s="9"/>
    </row>
    <row r="1166">
      <c r="D1166" s="9"/>
      <c r="G1166" s="9"/>
      <c r="J1166" s="11"/>
      <c r="U1166" s="9"/>
      <c r="X1166" s="9"/>
    </row>
    <row r="1167">
      <c r="D1167" s="9"/>
      <c r="G1167" s="9"/>
      <c r="J1167" s="11"/>
      <c r="U1167" s="9"/>
      <c r="X1167" s="9"/>
    </row>
    <row r="1168">
      <c r="D1168" s="9"/>
      <c r="G1168" s="9"/>
      <c r="J1168" s="11"/>
      <c r="U1168" s="9"/>
      <c r="X1168" s="9"/>
    </row>
    <row r="1169">
      <c r="D1169" s="9"/>
      <c r="G1169" s="9"/>
      <c r="J1169" s="11"/>
      <c r="U1169" s="9"/>
      <c r="X1169" s="9"/>
    </row>
    <row r="1170">
      <c r="D1170" s="9"/>
      <c r="G1170" s="9"/>
      <c r="J1170" s="11"/>
      <c r="U1170" s="9"/>
      <c r="X1170" s="9"/>
    </row>
    <row r="1171">
      <c r="D1171" s="9"/>
      <c r="G1171" s="9"/>
      <c r="J1171" s="11"/>
      <c r="U1171" s="9"/>
      <c r="X1171" s="9"/>
    </row>
    <row r="1172">
      <c r="D1172" s="9"/>
      <c r="G1172" s="9"/>
      <c r="J1172" s="11"/>
      <c r="U1172" s="9"/>
      <c r="X1172" s="9"/>
    </row>
    <row r="1173">
      <c r="D1173" s="9"/>
      <c r="G1173" s="9"/>
      <c r="J1173" s="11"/>
      <c r="U1173" s="9"/>
      <c r="X1173" s="9"/>
    </row>
    <row r="1174">
      <c r="D1174" s="9"/>
      <c r="G1174" s="9"/>
      <c r="J1174" s="11"/>
      <c r="U1174" s="9"/>
      <c r="X1174" s="9"/>
    </row>
    <row r="1175">
      <c r="D1175" s="9"/>
      <c r="G1175" s="9"/>
      <c r="J1175" s="11"/>
      <c r="U1175" s="9"/>
      <c r="X1175" s="9"/>
    </row>
    <row r="1176">
      <c r="D1176" s="9"/>
      <c r="G1176" s="9"/>
      <c r="J1176" s="11"/>
      <c r="U1176" s="9"/>
      <c r="X1176" s="9"/>
    </row>
    <row r="1177">
      <c r="D1177" s="9"/>
      <c r="G1177" s="9"/>
      <c r="J1177" s="11"/>
      <c r="U1177" s="9"/>
      <c r="X1177" s="9"/>
    </row>
    <row r="1178">
      <c r="D1178" s="9"/>
      <c r="G1178" s="9"/>
      <c r="J1178" s="11"/>
      <c r="U1178" s="9"/>
      <c r="X1178" s="9"/>
    </row>
    <row r="1179">
      <c r="D1179" s="9"/>
      <c r="G1179" s="9"/>
      <c r="J1179" s="11"/>
      <c r="U1179" s="9"/>
      <c r="X1179" s="9"/>
    </row>
    <row r="1180">
      <c r="D1180" s="9"/>
      <c r="G1180" s="9"/>
      <c r="J1180" s="11"/>
      <c r="U1180" s="9"/>
      <c r="X1180" s="9"/>
    </row>
    <row r="1181">
      <c r="D1181" s="9"/>
      <c r="G1181" s="9"/>
      <c r="J1181" s="11"/>
      <c r="U1181" s="9"/>
      <c r="X1181" s="9"/>
    </row>
    <row r="1182">
      <c r="D1182" s="9"/>
      <c r="G1182" s="9"/>
      <c r="J1182" s="11"/>
      <c r="U1182" s="9"/>
      <c r="X1182" s="9"/>
    </row>
    <row r="1183">
      <c r="D1183" s="9"/>
      <c r="G1183" s="9"/>
      <c r="J1183" s="11"/>
      <c r="U1183" s="9"/>
      <c r="X1183" s="9"/>
    </row>
    <row r="1184">
      <c r="D1184" s="9"/>
      <c r="G1184" s="9"/>
      <c r="J1184" s="11"/>
      <c r="U1184" s="9"/>
      <c r="X1184" s="9"/>
    </row>
    <row r="1185">
      <c r="D1185" s="9"/>
      <c r="G1185" s="9"/>
      <c r="J1185" s="11"/>
      <c r="U1185" s="9"/>
      <c r="X1185" s="9"/>
    </row>
    <row r="1186">
      <c r="D1186" s="9"/>
      <c r="G1186" s="9"/>
      <c r="J1186" s="11"/>
      <c r="U1186" s="9"/>
      <c r="X1186" s="9"/>
    </row>
    <row r="1187">
      <c r="D1187" s="9"/>
      <c r="G1187" s="9"/>
      <c r="J1187" s="11"/>
      <c r="U1187" s="9"/>
      <c r="X1187" s="9"/>
    </row>
    <row r="1188">
      <c r="D1188" s="9"/>
      <c r="G1188" s="9"/>
      <c r="J1188" s="11"/>
      <c r="U1188" s="9"/>
      <c r="X1188" s="9"/>
    </row>
    <row r="1189">
      <c r="D1189" s="9"/>
      <c r="G1189" s="9"/>
      <c r="J1189" s="11"/>
      <c r="U1189" s="9"/>
      <c r="X1189" s="9"/>
    </row>
    <row r="1190">
      <c r="D1190" s="9"/>
      <c r="G1190" s="9"/>
      <c r="J1190" s="11"/>
      <c r="U1190" s="9"/>
      <c r="X1190" s="9"/>
    </row>
    <row r="1191">
      <c r="D1191" s="9"/>
      <c r="G1191" s="9"/>
      <c r="J1191" s="11"/>
      <c r="U1191" s="9"/>
      <c r="X1191" s="9"/>
    </row>
    <row r="1192">
      <c r="D1192" s="9"/>
      <c r="G1192" s="9"/>
      <c r="J1192" s="11"/>
      <c r="U1192" s="9"/>
      <c r="X1192" s="9"/>
    </row>
    <row r="1193">
      <c r="D1193" s="9"/>
      <c r="G1193" s="9"/>
      <c r="J1193" s="11"/>
      <c r="U1193" s="9"/>
      <c r="X1193" s="9"/>
    </row>
    <row r="1194">
      <c r="D1194" s="9"/>
      <c r="G1194" s="9"/>
      <c r="J1194" s="11"/>
      <c r="U1194" s="9"/>
      <c r="X1194" s="9"/>
    </row>
    <row r="1195">
      <c r="D1195" s="9"/>
      <c r="G1195" s="9"/>
      <c r="J1195" s="11"/>
      <c r="U1195" s="9"/>
      <c r="X1195" s="9"/>
    </row>
    <row r="1196">
      <c r="D1196" s="9"/>
      <c r="G1196" s="9"/>
      <c r="J1196" s="11"/>
      <c r="U1196" s="9"/>
      <c r="X1196" s="9"/>
    </row>
    <row r="1197">
      <c r="D1197" s="9"/>
      <c r="G1197" s="9"/>
      <c r="J1197" s="11"/>
      <c r="U1197" s="9"/>
      <c r="X1197" s="9"/>
    </row>
    <row r="1198">
      <c r="D1198" s="9"/>
      <c r="G1198" s="9"/>
      <c r="J1198" s="11"/>
      <c r="U1198" s="9"/>
      <c r="X1198" s="9"/>
    </row>
    <row r="1199">
      <c r="D1199" s="9"/>
      <c r="G1199" s="9"/>
      <c r="J1199" s="11"/>
      <c r="U1199" s="9"/>
      <c r="X1199" s="9"/>
    </row>
    <row r="1200">
      <c r="D1200" s="9"/>
      <c r="G1200" s="9"/>
      <c r="J1200" s="11"/>
      <c r="U1200" s="9"/>
      <c r="X1200" s="9"/>
    </row>
    <row r="1201">
      <c r="D1201" s="9"/>
      <c r="G1201" s="9"/>
      <c r="J1201" s="11"/>
      <c r="U1201" s="9"/>
      <c r="X1201" s="9"/>
    </row>
    <row r="1202">
      <c r="D1202" s="9"/>
      <c r="G1202" s="9"/>
      <c r="J1202" s="11"/>
      <c r="U1202" s="9"/>
      <c r="X1202" s="9"/>
    </row>
    <row r="1203">
      <c r="D1203" s="9"/>
      <c r="G1203" s="9"/>
      <c r="J1203" s="11"/>
      <c r="U1203" s="9"/>
      <c r="X1203" s="9"/>
    </row>
    <row r="1204">
      <c r="D1204" s="9"/>
      <c r="G1204" s="9"/>
      <c r="J1204" s="11"/>
      <c r="U1204" s="9"/>
      <c r="X1204" s="9"/>
    </row>
    <row r="1205">
      <c r="D1205" s="9"/>
      <c r="G1205" s="9"/>
      <c r="J1205" s="11"/>
      <c r="U1205" s="9"/>
      <c r="X1205" s="9"/>
    </row>
    <row r="1206">
      <c r="D1206" s="9"/>
      <c r="G1206" s="9"/>
      <c r="J1206" s="11"/>
      <c r="U1206" s="9"/>
      <c r="X1206" s="9"/>
    </row>
    <row r="1207">
      <c r="D1207" s="9"/>
      <c r="G1207" s="9"/>
      <c r="J1207" s="11"/>
      <c r="U1207" s="9"/>
      <c r="X1207" s="9"/>
    </row>
    <row r="1208">
      <c r="D1208" s="9"/>
      <c r="G1208" s="9"/>
      <c r="J1208" s="11"/>
      <c r="U1208" s="9"/>
      <c r="X1208" s="9"/>
    </row>
    <row r="1209">
      <c r="D1209" s="9"/>
      <c r="G1209" s="9"/>
      <c r="J1209" s="11"/>
      <c r="U1209" s="9"/>
      <c r="X1209" s="9"/>
    </row>
    <row r="1210">
      <c r="D1210" s="9"/>
      <c r="G1210" s="9"/>
      <c r="J1210" s="11"/>
      <c r="U1210" s="9"/>
      <c r="X1210" s="9"/>
    </row>
    <row r="1211">
      <c r="D1211" s="9"/>
      <c r="G1211" s="9"/>
      <c r="J1211" s="11"/>
      <c r="U1211" s="9"/>
      <c r="X1211" s="9"/>
    </row>
    <row r="1212">
      <c r="D1212" s="9"/>
      <c r="G1212" s="9"/>
      <c r="J1212" s="11"/>
      <c r="U1212" s="9"/>
      <c r="X1212" s="9"/>
    </row>
    <row r="1213">
      <c r="D1213" s="9"/>
      <c r="G1213" s="9"/>
      <c r="J1213" s="11"/>
      <c r="U1213" s="9"/>
      <c r="X1213" s="9"/>
    </row>
    <row r="1214">
      <c r="D1214" s="9"/>
      <c r="G1214" s="9"/>
      <c r="J1214" s="11"/>
      <c r="U1214" s="9"/>
      <c r="X1214" s="9"/>
    </row>
    <row r="1215">
      <c r="D1215" s="9"/>
      <c r="G1215" s="9"/>
      <c r="J1215" s="11"/>
      <c r="U1215" s="9"/>
      <c r="X1215" s="9"/>
    </row>
    <row r="1216">
      <c r="D1216" s="9"/>
      <c r="G1216" s="9"/>
      <c r="J1216" s="11"/>
      <c r="U1216" s="9"/>
      <c r="X1216" s="9"/>
    </row>
    <row r="1217">
      <c r="D1217" s="9"/>
      <c r="G1217" s="9"/>
      <c r="J1217" s="11"/>
      <c r="U1217" s="9"/>
      <c r="X1217" s="9"/>
    </row>
    <row r="1218">
      <c r="D1218" s="9"/>
      <c r="G1218" s="9"/>
      <c r="J1218" s="11"/>
      <c r="U1218" s="9"/>
      <c r="X1218" s="9"/>
    </row>
    <row r="1219">
      <c r="D1219" s="9"/>
      <c r="G1219" s="9"/>
      <c r="J1219" s="11"/>
      <c r="U1219" s="9"/>
      <c r="X1219" s="9"/>
    </row>
    <row r="1220">
      <c r="D1220" s="9"/>
      <c r="G1220" s="9"/>
      <c r="J1220" s="11"/>
      <c r="U1220" s="9"/>
      <c r="X1220" s="9"/>
    </row>
    <row r="1221">
      <c r="D1221" s="9"/>
      <c r="G1221" s="9"/>
      <c r="J1221" s="11"/>
      <c r="U1221" s="9"/>
      <c r="X1221" s="9"/>
    </row>
    <row r="1222">
      <c r="D1222" s="9"/>
      <c r="G1222" s="9"/>
      <c r="J1222" s="11"/>
      <c r="U1222" s="9"/>
      <c r="X1222" s="9"/>
    </row>
    <row r="1223">
      <c r="D1223" s="9"/>
      <c r="G1223" s="9"/>
      <c r="J1223" s="11"/>
      <c r="U1223" s="9"/>
      <c r="X1223" s="9"/>
    </row>
    <row r="1224">
      <c r="D1224" s="9"/>
      <c r="G1224" s="9"/>
      <c r="J1224" s="11"/>
      <c r="U1224" s="9"/>
      <c r="X1224" s="9"/>
    </row>
    <row r="1225">
      <c r="D1225" s="9"/>
      <c r="G1225" s="9"/>
      <c r="J1225" s="11"/>
      <c r="U1225" s="9"/>
      <c r="X1225" s="9"/>
    </row>
    <row r="1226">
      <c r="D1226" s="9"/>
      <c r="G1226" s="9"/>
      <c r="J1226" s="11"/>
      <c r="U1226" s="9"/>
      <c r="X1226" s="9"/>
    </row>
    <row r="1227">
      <c r="D1227" s="9"/>
      <c r="G1227" s="9"/>
      <c r="J1227" s="11"/>
      <c r="U1227" s="9"/>
      <c r="X1227" s="9"/>
    </row>
    <row r="1228">
      <c r="D1228" s="9"/>
      <c r="G1228" s="9"/>
      <c r="J1228" s="11"/>
      <c r="U1228" s="9"/>
      <c r="X1228" s="9"/>
    </row>
    <row r="1229">
      <c r="D1229" s="9"/>
      <c r="G1229" s="9"/>
      <c r="J1229" s="11"/>
      <c r="U1229" s="9"/>
      <c r="X1229" s="9"/>
    </row>
    <row r="1230">
      <c r="D1230" s="9"/>
      <c r="G1230" s="9"/>
      <c r="J1230" s="11"/>
      <c r="U1230" s="9"/>
      <c r="X1230" s="9"/>
    </row>
    <row r="1231">
      <c r="D1231" s="9"/>
      <c r="G1231" s="9"/>
      <c r="J1231" s="11"/>
      <c r="U1231" s="9"/>
      <c r="X1231" s="9"/>
    </row>
    <row r="1232">
      <c r="D1232" s="9"/>
      <c r="G1232" s="9"/>
      <c r="J1232" s="11"/>
      <c r="U1232" s="9"/>
      <c r="X1232" s="9"/>
    </row>
    <row r="1233">
      <c r="D1233" s="9"/>
      <c r="G1233" s="9"/>
      <c r="J1233" s="11"/>
      <c r="U1233" s="9"/>
      <c r="X1233" s="9"/>
    </row>
    <row r="1234">
      <c r="D1234" s="9"/>
      <c r="G1234" s="9"/>
      <c r="J1234" s="11"/>
      <c r="U1234" s="9"/>
      <c r="X1234" s="9"/>
    </row>
    <row r="1235">
      <c r="D1235" s="9"/>
      <c r="G1235" s="9"/>
      <c r="J1235" s="11"/>
      <c r="U1235" s="9"/>
      <c r="X1235" s="9"/>
    </row>
    <row r="1236">
      <c r="D1236" s="9"/>
      <c r="G1236" s="9"/>
      <c r="J1236" s="11"/>
      <c r="U1236" s="9"/>
      <c r="X1236" s="9"/>
    </row>
    <row r="1237">
      <c r="D1237" s="9"/>
      <c r="G1237" s="9"/>
      <c r="J1237" s="11"/>
      <c r="U1237" s="9"/>
      <c r="X1237" s="9"/>
    </row>
    <row r="1238">
      <c r="D1238" s="9"/>
      <c r="G1238" s="9"/>
      <c r="J1238" s="11"/>
      <c r="U1238" s="9"/>
      <c r="X1238" s="9"/>
    </row>
    <row r="1239">
      <c r="D1239" s="9"/>
      <c r="G1239" s="9"/>
      <c r="J1239" s="11"/>
      <c r="U1239" s="9"/>
      <c r="X1239" s="9"/>
    </row>
    <row r="1240">
      <c r="D1240" s="9"/>
      <c r="G1240" s="9"/>
      <c r="J1240" s="11"/>
      <c r="U1240" s="9"/>
      <c r="X1240" s="9"/>
    </row>
    <row r="1241">
      <c r="D1241" s="9"/>
      <c r="G1241" s="9"/>
      <c r="J1241" s="11"/>
      <c r="U1241" s="9"/>
      <c r="X1241" s="9"/>
    </row>
    <row r="1242">
      <c r="D1242" s="9"/>
      <c r="G1242" s="9"/>
      <c r="J1242" s="11"/>
      <c r="U1242" s="9"/>
      <c r="X1242" s="9"/>
    </row>
    <row r="1243">
      <c r="D1243" s="9"/>
      <c r="G1243" s="9"/>
      <c r="J1243" s="11"/>
      <c r="U1243" s="9"/>
      <c r="X1243" s="9"/>
    </row>
    <row r="1244">
      <c r="D1244" s="9"/>
      <c r="G1244" s="9"/>
      <c r="J1244" s="11"/>
      <c r="U1244" s="9"/>
      <c r="X1244" s="9"/>
    </row>
    <row r="1245">
      <c r="D1245" s="9"/>
      <c r="G1245" s="9"/>
      <c r="J1245" s="11"/>
      <c r="U1245" s="9"/>
      <c r="X1245" s="9"/>
    </row>
    <row r="1246">
      <c r="D1246" s="9"/>
      <c r="G1246" s="9"/>
      <c r="J1246" s="11"/>
      <c r="U1246" s="9"/>
      <c r="X1246" s="9"/>
    </row>
    <row r="1247">
      <c r="D1247" s="9"/>
      <c r="G1247" s="9"/>
      <c r="J1247" s="11"/>
      <c r="U1247" s="9"/>
      <c r="X1247" s="9"/>
    </row>
    <row r="1248">
      <c r="D1248" s="9"/>
      <c r="G1248" s="9"/>
      <c r="J1248" s="11"/>
      <c r="U1248" s="9"/>
      <c r="X1248" s="9"/>
    </row>
    <row r="1249">
      <c r="D1249" s="9"/>
      <c r="G1249" s="9"/>
      <c r="J1249" s="11"/>
      <c r="U1249" s="9"/>
      <c r="X1249" s="9"/>
    </row>
    <row r="1250">
      <c r="D1250" s="9"/>
      <c r="G1250" s="9"/>
      <c r="J1250" s="11"/>
      <c r="U1250" s="9"/>
      <c r="X1250" s="9"/>
    </row>
    <row r="1251">
      <c r="D1251" s="9"/>
      <c r="G1251" s="9"/>
      <c r="J1251" s="11"/>
      <c r="U1251" s="9"/>
      <c r="X1251" s="9"/>
    </row>
    <row r="1252">
      <c r="D1252" s="9"/>
      <c r="G1252" s="9"/>
      <c r="J1252" s="11"/>
      <c r="U1252" s="9"/>
      <c r="X1252" s="9"/>
    </row>
    <row r="1253">
      <c r="D1253" s="9"/>
      <c r="G1253" s="9"/>
      <c r="J1253" s="11"/>
      <c r="U1253" s="9"/>
      <c r="X1253" s="9"/>
    </row>
    <row r="1254">
      <c r="D1254" s="9"/>
      <c r="G1254" s="9"/>
      <c r="J1254" s="11"/>
      <c r="U1254" s="9"/>
      <c r="X1254" s="9"/>
    </row>
    <row r="1255">
      <c r="D1255" s="9"/>
      <c r="G1255" s="9"/>
      <c r="J1255" s="11"/>
      <c r="U1255" s="9"/>
      <c r="X1255" s="9"/>
    </row>
    <row r="1256">
      <c r="D1256" s="9"/>
      <c r="G1256" s="9"/>
      <c r="J1256" s="11"/>
      <c r="U1256" s="9"/>
      <c r="X1256" s="9"/>
    </row>
    <row r="1257">
      <c r="D1257" s="9"/>
      <c r="G1257" s="9"/>
      <c r="J1257" s="11"/>
      <c r="U1257" s="9"/>
      <c r="X1257" s="9"/>
    </row>
    <row r="1258">
      <c r="D1258" s="9"/>
      <c r="G1258" s="9"/>
      <c r="J1258" s="11"/>
      <c r="U1258" s="9"/>
      <c r="X1258" s="9"/>
    </row>
    <row r="1259">
      <c r="D1259" s="9"/>
      <c r="G1259" s="9"/>
      <c r="J1259" s="11"/>
      <c r="U1259" s="9"/>
      <c r="X1259" s="9"/>
    </row>
    <row r="1260">
      <c r="D1260" s="9"/>
      <c r="G1260" s="9"/>
      <c r="J1260" s="11"/>
      <c r="U1260" s="9"/>
      <c r="X1260" s="9"/>
    </row>
    <row r="1261">
      <c r="D1261" s="9"/>
      <c r="G1261" s="9"/>
      <c r="J1261" s="11"/>
      <c r="U1261" s="9"/>
      <c r="X1261" s="9"/>
    </row>
    <row r="1262">
      <c r="D1262" s="9"/>
      <c r="G1262" s="9"/>
      <c r="J1262" s="11"/>
      <c r="U1262" s="9"/>
      <c r="X1262" s="9"/>
    </row>
    <row r="1263">
      <c r="D1263" s="9"/>
      <c r="G1263" s="9"/>
      <c r="J1263" s="11"/>
      <c r="U1263" s="9"/>
      <c r="X1263" s="9"/>
    </row>
    <row r="1264">
      <c r="D1264" s="9"/>
      <c r="G1264" s="9"/>
      <c r="J1264" s="11"/>
      <c r="U1264" s="9"/>
      <c r="X1264" s="9"/>
    </row>
    <row r="1265">
      <c r="D1265" s="9"/>
      <c r="G1265" s="9"/>
      <c r="J1265" s="11"/>
      <c r="U1265" s="9"/>
      <c r="X1265" s="9"/>
    </row>
    <row r="1266">
      <c r="D1266" s="9"/>
      <c r="G1266" s="9"/>
      <c r="J1266" s="11"/>
      <c r="U1266" s="9"/>
      <c r="X1266" s="9"/>
    </row>
    <row r="1267">
      <c r="D1267" s="9"/>
      <c r="G1267" s="9"/>
      <c r="J1267" s="11"/>
      <c r="U1267" s="9"/>
      <c r="X1267" s="9"/>
    </row>
    <row r="1268">
      <c r="D1268" s="9"/>
      <c r="G1268" s="9"/>
      <c r="J1268" s="11"/>
      <c r="U1268" s="9"/>
      <c r="X1268" s="9"/>
    </row>
    <row r="1269">
      <c r="D1269" s="9"/>
      <c r="G1269" s="9"/>
      <c r="J1269" s="11"/>
      <c r="U1269" s="9"/>
      <c r="X1269" s="9"/>
    </row>
    <row r="1270">
      <c r="D1270" s="9"/>
      <c r="G1270" s="9"/>
      <c r="J1270" s="11"/>
      <c r="U1270" s="9"/>
      <c r="X1270" s="9"/>
    </row>
    <row r="1271">
      <c r="D1271" s="9"/>
      <c r="G1271" s="9"/>
      <c r="J1271" s="11"/>
      <c r="U1271" s="9"/>
      <c r="X1271" s="9"/>
    </row>
    <row r="1272">
      <c r="D1272" s="9"/>
      <c r="G1272" s="9"/>
      <c r="J1272" s="11"/>
      <c r="U1272" s="9"/>
      <c r="X1272" s="9"/>
    </row>
    <row r="1273">
      <c r="D1273" s="9"/>
      <c r="G1273" s="9"/>
      <c r="J1273" s="11"/>
      <c r="U1273" s="9"/>
      <c r="X1273" s="9"/>
    </row>
    <row r="1274">
      <c r="D1274" s="9"/>
      <c r="G1274" s="9"/>
      <c r="J1274" s="11"/>
      <c r="U1274" s="9"/>
      <c r="X1274" s="9"/>
    </row>
    <row r="1275">
      <c r="D1275" s="9"/>
      <c r="G1275" s="9"/>
      <c r="J1275" s="11"/>
      <c r="U1275" s="9"/>
      <c r="X1275" s="9"/>
    </row>
    <row r="1276">
      <c r="D1276" s="9"/>
      <c r="G1276" s="9"/>
      <c r="J1276" s="11"/>
      <c r="U1276" s="9"/>
      <c r="X1276" s="9"/>
    </row>
    <row r="1277">
      <c r="D1277" s="9"/>
      <c r="G1277" s="9"/>
      <c r="J1277" s="11"/>
      <c r="U1277" s="9"/>
      <c r="X1277" s="9"/>
    </row>
    <row r="1278">
      <c r="D1278" s="9"/>
      <c r="G1278" s="9"/>
      <c r="J1278" s="11"/>
      <c r="U1278" s="9"/>
      <c r="X1278" s="9"/>
    </row>
    <row r="1279">
      <c r="D1279" s="9"/>
      <c r="G1279" s="9"/>
      <c r="J1279" s="11"/>
      <c r="U1279" s="9"/>
      <c r="X1279" s="9"/>
    </row>
    <row r="1280">
      <c r="D1280" s="9"/>
      <c r="G1280" s="9"/>
      <c r="J1280" s="11"/>
      <c r="U1280" s="9"/>
      <c r="X1280" s="9"/>
    </row>
    <row r="1281">
      <c r="D1281" s="9"/>
      <c r="G1281" s="9"/>
      <c r="J1281" s="11"/>
      <c r="U1281" s="9"/>
      <c r="X1281" s="9"/>
    </row>
    <row r="1282">
      <c r="D1282" s="9"/>
      <c r="G1282" s="9"/>
      <c r="J1282" s="11"/>
      <c r="U1282" s="9"/>
      <c r="X1282" s="9"/>
    </row>
    <row r="1283">
      <c r="D1283" s="9"/>
      <c r="G1283" s="9"/>
      <c r="J1283" s="11"/>
      <c r="U1283" s="9"/>
      <c r="X1283" s="9"/>
    </row>
    <row r="1284">
      <c r="D1284" s="9"/>
      <c r="G1284" s="9"/>
      <c r="J1284" s="11"/>
      <c r="U1284" s="9"/>
      <c r="X1284" s="9"/>
    </row>
    <row r="1285">
      <c r="D1285" s="9"/>
      <c r="G1285" s="9"/>
      <c r="J1285" s="11"/>
      <c r="U1285" s="9"/>
      <c r="X1285" s="9"/>
    </row>
    <row r="1286">
      <c r="D1286" s="9"/>
      <c r="G1286" s="9"/>
      <c r="J1286" s="11"/>
      <c r="U1286" s="9"/>
      <c r="X1286" s="9"/>
    </row>
    <row r="1287">
      <c r="D1287" s="9"/>
      <c r="G1287" s="9"/>
      <c r="J1287" s="11"/>
      <c r="U1287" s="9"/>
      <c r="X1287" s="9"/>
    </row>
    <row r="1288">
      <c r="D1288" s="9"/>
      <c r="G1288" s="9"/>
      <c r="J1288" s="11"/>
      <c r="U1288" s="9"/>
      <c r="X1288" s="9"/>
    </row>
    <row r="1289">
      <c r="D1289" s="9"/>
      <c r="G1289" s="9"/>
      <c r="J1289" s="11"/>
      <c r="U1289" s="9"/>
      <c r="X1289" s="9"/>
    </row>
    <row r="1290">
      <c r="D1290" s="9"/>
      <c r="G1290" s="9"/>
      <c r="J1290" s="11"/>
      <c r="U1290" s="9"/>
      <c r="X1290" s="9"/>
    </row>
    <row r="1291">
      <c r="D1291" s="9"/>
      <c r="G1291" s="9"/>
      <c r="J1291" s="11"/>
      <c r="U1291" s="9"/>
      <c r="X1291" s="9"/>
    </row>
    <row r="1292">
      <c r="D1292" s="9"/>
      <c r="G1292" s="9"/>
      <c r="J1292" s="11"/>
      <c r="U1292" s="9"/>
      <c r="X1292" s="9"/>
    </row>
    <row r="1293">
      <c r="D1293" s="9"/>
      <c r="G1293" s="9"/>
      <c r="J1293" s="11"/>
      <c r="U1293" s="9"/>
      <c r="X1293" s="9"/>
    </row>
    <row r="1294">
      <c r="D1294" s="9"/>
      <c r="G1294" s="9"/>
      <c r="J1294" s="11"/>
      <c r="U1294" s="9"/>
      <c r="X1294" s="9"/>
    </row>
    <row r="1295">
      <c r="D1295" s="9"/>
      <c r="G1295" s="9"/>
      <c r="J1295" s="11"/>
      <c r="U1295" s="9"/>
      <c r="X1295" s="9"/>
    </row>
    <row r="1296">
      <c r="D1296" s="9"/>
      <c r="G1296" s="9"/>
      <c r="J1296" s="11"/>
      <c r="U1296" s="9"/>
      <c r="X1296" s="9"/>
    </row>
    <row r="1297">
      <c r="D1297" s="9"/>
      <c r="G1297" s="9"/>
      <c r="J1297" s="11"/>
      <c r="U1297" s="9"/>
      <c r="X1297" s="9"/>
    </row>
    <row r="1298">
      <c r="D1298" s="9"/>
      <c r="G1298" s="9"/>
      <c r="J1298" s="11"/>
      <c r="U1298" s="9"/>
      <c r="X1298" s="9"/>
    </row>
    <row r="1299">
      <c r="D1299" s="9"/>
      <c r="G1299" s="9"/>
      <c r="J1299" s="11"/>
      <c r="U1299" s="9"/>
      <c r="X1299" s="9"/>
    </row>
    <row r="1300">
      <c r="D1300" s="9"/>
      <c r="G1300" s="9"/>
      <c r="J1300" s="11"/>
      <c r="U1300" s="9"/>
      <c r="X1300" s="9"/>
    </row>
    <row r="1301">
      <c r="D1301" s="9"/>
      <c r="G1301" s="9"/>
      <c r="J1301" s="11"/>
      <c r="U1301" s="9"/>
      <c r="X1301" s="9"/>
    </row>
    <row r="1302">
      <c r="D1302" s="9"/>
      <c r="G1302" s="9"/>
      <c r="J1302" s="11"/>
      <c r="U1302" s="9"/>
      <c r="X1302" s="9"/>
    </row>
    <row r="1303">
      <c r="D1303" s="9"/>
      <c r="G1303" s="9"/>
      <c r="J1303" s="11"/>
      <c r="U1303" s="9"/>
      <c r="X1303" s="9"/>
    </row>
    <row r="1304">
      <c r="D1304" s="9"/>
      <c r="G1304" s="9"/>
      <c r="J1304" s="11"/>
      <c r="U1304" s="9"/>
      <c r="X1304" s="9"/>
    </row>
    <row r="1305">
      <c r="D1305" s="9"/>
      <c r="G1305" s="9"/>
      <c r="J1305" s="11"/>
      <c r="U1305" s="9"/>
      <c r="X1305" s="9"/>
    </row>
    <row r="1306">
      <c r="D1306" s="9"/>
      <c r="G1306" s="9"/>
      <c r="J1306" s="11"/>
      <c r="U1306" s="9"/>
      <c r="X1306" s="9"/>
    </row>
    <row r="1307">
      <c r="D1307" s="9"/>
      <c r="G1307" s="9"/>
      <c r="J1307" s="11"/>
      <c r="U1307" s="9"/>
      <c r="X1307" s="9"/>
    </row>
    <row r="1308">
      <c r="D1308" s="9"/>
      <c r="G1308" s="9"/>
      <c r="J1308" s="11"/>
      <c r="U1308" s="9"/>
      <c r="X1308" s="9"/>
    </row>
    <row r="1309">
      <c r="D1309" s="9"/>
      <c r="G1309" s="9"/>
      <c r="J1309" s="11"/>
      <c r="U1309" s="9"/>
      <c r="X1309" s="9"/>
    </row>
    <row r="1310">
      <c r="D1310" s="9"/>
      <c r="G1310" s="9"/>
      <c r="J1310" s="11"/>
      <c r="U1310" s="9"/>
      <c r="X1310" s="9"/>
    </row>
    <row r="1311">
      <c r="D1311" s="9"/>
      <c r="G1311" s="9"/>
      <c r="J1311" s="11"/>
      <c r="U1311" s="9"/>
      <c r="X1311" s="9"/>
    </row>
    <row r="1312">
      <c r="D1312" s="9"/>
      <c r="G1312" s="9"/>
      <c r="J1312" s="11"/>
      <c r="U1312" s="9"/>
      <c r="X1312" s="9"/>
    </row>
    <row r="1313">
      <c r="D1313" s="9"/>
      <c r="G1313" s="9"/>
      <c r="J1313" s="11"/>
      <c r="U1313" s="9"/>
      <c r="X1313" s="9"/>
    </row>
    <row r="1314">
      <c r="D1314" s="9"/>
      <c r="G1314" s="9"/>
      <c r="J1314" s="11"/>
      <c r="U1314" s="9"/>
      <c r="X1314" s="9"/>
    </row>
    <row r="1315">
      <c r="D1315" s="9"/>
      <c r="G1315" s="9"/>
      <c r="J1315" s="11"/>
      <c r="U1315" s="9"/>
      <c r="X1315" s="9"/>
    </row>
    <row r="1316">
      <c r="D1316" s="9"/>
      <c r="G1316" s="9"/>
      <c r="J1316" s="11"/>
      <c r="U1316" s="9"/>
      <c r="X1316" s="9"/>
    </row>
    <row r="1317">
      <c r="D1317" s="9"/>
      <c r="G1317" s="9"/>
      <c r="J1317" s="11"/>
      <c r="U1317" s="9"/>
      <c r="X1317" s="9"/>
    </row>
    <row r="1318">
      <c r="D1318" s="9"/>
      <c r="G1318" s="9"/>
      <c r="J1318" s="11"/>
      <c r="U1318" s="9"/>
      <c r="X1318" s="9"/>
    </row>
    <row r="1319">
      <c r="D1319" s="9"/>
      <c r="G1319" s="9"/>
      <c r="J1319" s="11"/>
      <c r="U1319" s="9"/>
      <c r="X1319" s="9"/>
    </row>
    <row r="1320">
      <c r="D1320" s="9"/>
      <c r="G1320" s="9"/>
      <c r="J1320" s="11"/>
      <c r="U1320" s="9"/>
      <c r="X1320" s="9"/>
    </row>
    <row r="1321">
      <c r="D1321" s="9"/>
      <c r="G1321" s="9"/>
      <c r="J1321" s="11"/>
      <c r="U1321" s="9"/>
      <c r="X1321" s="9"/>
    </row>
    <row r="1322">
      <c r="D1322" s="9"/>
      <c r="G1322" s="9"/>
      <c r="J1322" s="11"/>
      <c r="U1322" s="9"/>
      <c r="X1322" s="9"/>
    </row>
    <row r="1323">
      <c r="D1323" s="9"/>
      <c r="G1323" s="9"/>
      <c r="J1323" s="11"/>
      <c r="U1323" s="9"/>
      <c r="X1323" s="9"/>
    </row>
    <row r="1324">
      <c r="D1324" s="9"/>
      <c r="G1324" s="9"/>
      <c r="J1324" s="11"/>
      <c r="U1324" s="9"/>
      <c r="X1324" s="9"/>
    </row>
    <row r="1325">
      <c r="D1325" s="9"/>
      <c r="G1325" s="9"/>
      <c r="J1325" s="11"/>
      <c r="U1325" s="9"/>
      <c r="X1325" s="9"/>
    </row>
    <row r="1326">
      <c r="D1326" s="9"/>
      <c r="G1326" s="9"/>
      <c r="J1326" s="11"/>
      <c r="U1326" s="9"/>
      <c r="X1326" s="9"/>
    </row>
    <row r="1327">
      <c r="D1327" s="9"/>
      <c r="G1327" s="9"/>
      <c r="J1327" s="11"/>
      <c r="U1327" s="9"/>
      <c r="X1327" s="9"/>
    </row>
    <row r="1328">
      <c r="D1328" s="9"/>
      <c r="G1328" s="9"/>
      <c r="J1328" s="11"/>
      <c r="U1328" s="9"/>
      <c r="X1328" s="9"/>
    </row>
    <row r="1329">
      <c r="D1329" s="9"/>
      <c r="G1329" s="9"/>
      <c r="J1329" s="11"/>
      <c r="U1329" s="9"/>
      <c r="X1329" s="9"/>
    </row>
    <row r="1330">
      <c r="D1330" s="9"/>
      <c r="G1330" s="9"/>
      <c r="J1330" s="11"/>
      <c r="U1330" s="9"/>
      <c r="X1330" s="9"/>
    </row>
    <row r="1331">
      <c r="D1331" s="9"/>
      <c r="G1331" s="9"/>
      <c r="J1331" s="11"/>
      <c r="U1331" s="9"/>
      <c r="X1331" s="9"/>
    </row>
    <row r="1332">
      <c r="D1332" s="9"/>
      <c r="G1332" s="9"/>
      <c r="J1332" s="11"/>
      <c r="U1332" s="9"/>
      <c r="X1332" s="9"/>
    </row>
    <row r="1333">
      <c r="D1333" s="9"/>
      <c r="G1333" s="9"/>
      <c r="J1333" s="11"/>
      <c r="U1333" s="9"/>
      <c r="X1333" s="9"/>
    </row>
    <row r="1334">
      <c r="D1334" s="9"/>
      <c r="G1334" s="9"/>
      <c r="J1334" s="11"/>
      <c r="U1334" s="9"/>
      <c r="X1334" s="9"/>
    </row>
    <row r="1335">
      <c r="D1335" s="9"/>
      <c r="G1335" s="9"/>
      <c r="J1335" s="11"/>
      <c r="U1335" s="9"/>
      <c r="X1335" s="9"/>
    </row>
    <row r="1336">
      <c r="D1336" s="9"/>
      <c r="G1336" s="9"/>
      <c r="J1336" s="11"/>
      <c r="U1336" s="9"/>
      <c r="X1336" s="9"/>
    </row>
    <row r="1337">
      <c r="D1337" s="9"/>
      <c r="G1337" s="9"/>
      <c r="J1337" s="11"/>
      <c r="U1337" s="9"/>
      <c r="X1337" s="9"/>
    </row>
    <row r="1338">
      <c r="D1338" s="9"/>
      <c r="G1338" s="9"/>
      <c r="J1338" s="11"/>
      <c r="U1338" s="9"/>
      <c r="X1338" s="9"/>
    </row>
    <row r="1339">
      <c r="D1339" s="9"/>
      <c r="G1339" s="9"/>
      <c r="J1339" s="11"/>
      <c r="U1339" s="9"/>
      <c r="X1339" s="9"/>
    </row>
    <row r="1340">
      <c r="D1340" s="9"/>
      <c r="G1340" s="9"/>
      <c r="J1340" s="11"/>
      <c r="U1340" s="9"/>
      <c r="X1340" s="9"/>
    </row>
    <row r="1341">
      <c r="D1341" s="9"/>
      <c r="G1341" s="9"/>
      <c r="J1341" s="11"/>
      <c r="U1341" s="9"/>
      <c r="X1341" s="9"/>
    </row>
    <row r="1342">
      <c r="D1342" s="9"/>
      <c r="G1342" s="9"/>
      <c r="J1342" s="11"/>
      <c r="U1342" s="9"/>
      <c r="X1342" s="9"/>
    </row>
    <row r="1343">
      <c r="D1343" s="9"/>
      <c r="G1343" s="9"/>
      <c r="J1343" s="11"/>
      <c r="U1343" s="9"/>
      <c r="X1343" s="9"/>
    </row>
    <row r="1344">
      <c r="D1344" s="9"/>
      <c r="G1344" s="9"/>
      <c r="J1344" s="11"/>
      <c r="U1344" s="9"/>
      <c r="X1344" s="9"/>
    </row>
    <row r="1345">
      <c r="D1345" s="9"/>
      <c r="G1345" s="9"/>
      <c r="J1345" s="11"/>
      <c r="U1345" s="9"/>
      <c r="X1345" s="9"/>
    </row>
    <row r="1346">
      <c r="D1346" s="9"/>
      <c r="G1346" s="9"/>
      <c r="J1346" s="11"/>
      <c r="U1346" s="9"/>
      <c r="X1346" s="9"/>
    </row>
    <row r="1347">
      <c r="D1347" s="9"/>
      <c r="G1347" s="9"/>
      <c r="J1347" s="11"/>
      <c r="U1347" s="9"/>
      <c r="X1347" s="9"/>
    </row>
    <row r="1348">
      <c r="D1348" s="9"/>
      <c r="G1348" s="9"/>
      <c r="J1348" s="11"/>
      <c r="U1348" s="9"/>
      <c r="X1348" s="9"/>
    </row>
    <row r="1349">
      <c r="D1349" s="9"/>
      <c r="G1349" s="9"/>
      <c r="J1349" s="11"/>
      <c r="U1349" s="9"/>
      <c r="X1349" s="9"/>
    </row>
    <row r="1350">
      <c r="D1350" s="9"/>
      <c r="G1350" s="9"/>
      <c r="J1350" s="11"/>
      <c r="U1350" s="9"/>
      <c r="X1350" s="9"/>
    </row>
    <row r="1351">
      <c r="D1351" s="9"/>
      <c r="G1351" s="9"/>
      <c r="J1351" s="11"/>
      <c r="U1351" s="9"/>
      <c r="X1351" s="9"/>
    </row>
    <row r="1352">
      <c r="D1352" s="9"/>
      <c r="G1352" s="9"/>
      <c r="J1352" s="11"/>
      <c r="U1352" s="9"/>
      <c r="X1352" s="9"/>
    </row>
    <row r="1353">
      <c r="D1353" s="9"/>
      <c r="G1353" s="9"/>
      <c r="J1353" s="11"/>
      <c r="U1353" s="9"/>
      <c r="X1353" s="9"/>
    </row>
    <row r="1354">
      <c r="D1354" s="9"/>
      <c r="G1354" s="9"/>
      <c r="J1354" s="11"/>
      <c r="U1354" s="9"/>
      <c r="X1354" s="9"/>
    </row>
    <row r="1355">
      <c r="D1355" s="9"/>
      <c r="G1355" s="9"/>
      <c r="J1355" s="11"/>
      <c r="U1355" s="9"/>
      <c r="X1355" s="9"/>
    </row>
    <row r="1356">
      <c r="D1356" s="9"/>
      <c r="G1356" s="9"/>
      <c r="J1356" s="11"/>
      <c r="U1356" s="9"/>
      <c r="X1356" s="9"/>
    </row>
    <row r="1357">
      <c r="D1357" s="9"/>
      <c r="G1357" s="9"/>
      <c r="J1357" s="11"/>
      <c r="U1357" s="9"/>
      <c r="X1357" s="9"/>
    </row>
    <row r="1358">
      <c r="D1358" s="9"/>
      <c r="G1358" s="9"/>
      <c r="J1358" s="11"/>
      <c r="U1358" s="9"/>
      <c r="X1358" s="9"/>
    </row>
    <row r="1359">
      <c r="D1359" s="9"/>
      <c r="G1359" s="9"/>
      <c r="J1359" s="11"/>
      <c r="U1359" s="9"/>
      <c r="X1359" s="9"/>
    </row>
    <row r="1360">
      <c r="D1360" s="9"/>
      <c r="G1360" s="9"/>
      <c r="J1360" s="11"/>
      <c r="U1360" s="9"/>
      <c r="X1360" s="9"/>
    </row>
    <row r="1361">
      <c r="D1361" s="9"/>
      <c r="G1361" s="9"/>
      <c r="J1361" s="11"/>
      <c r="U1361" s="9"/>
      <c r="X1361" s="9"/>
    </row>
    <row r="1362">
      <c r="D1362" s="9"/>
      <c r="G1362" s="9"/>
      <c r="J1362" s="11"/>
      <c r="U1362" s="9"/>
      <c r="X1362" s="9"/>
    </row>
    <row r="1363">
      <c r="D1363" s="9"/>
      <c r="G1363" s="9"/>
      <c r="J1363" s="11"/>
      <c r="U1363" s="9"/>
      <c r="X1363" s="9"/>
    </row>
    <row r="1364">
      <c r="D1364" s="9"/>
      <c r="G1364" s="9"/>
      <c r="J1364" s="11"/>
      <c r="U1364" s="9"/>
      <c r="X1364" s="9"/>
    </row>
    <row r="1365">
      <c r="D1365" s="9"/>
      <c r="G1365" s="9"/>
      <c r="J1365" s="11"/>
      <c r="U1365" s="9"/>
      <c r="X1365" s="9"/>
    </row>
    <row r="1366">
      <c r="D1366" s="9"/>
      <c r="G1366" s="9"/>
      <c r="J1366" s="11"/>
      <c r="U1366" s="9"/>
      <c r="X1366" s="9"/>
    </row>
    <row r="1367">
      <c r="D1367" s="9"/>
      <c r="G1367" s="9"/>
      <c r="J1367" s="11"/>
      <c r="U1367" s="9"/>
      <c r="X1367" s="9"/>
    </row>
    <row r="1368">
      <c r="D1368" s="9"/>
      <c r="G1368" s="9"/>
      <c r="J1368" s="11"/>
      <c r="U1368" s="9"/>
      <c r="X1368" s="9"/>
    </row>
    <row r="1369">
      <c r="D1369" s="9"/>
      <c r="G1369" s="9"/>
      <c r="J1369" s="11"/>
      <c r="U1369" s="9"/>
      <c r="X1369" s="9"/>
    </row>
    <row r="1370">
      <c r="D1370" s="9"/>
      <c r="G1370" s="9"/>
      <c r="J1370" s="11"/>
      <c r="U1370" s="9"/>
      <c r="X1370" s="9"/>
    </row>
    <row r="1371">
      <c r="D1371" s="9"/>
      <c r="G1371" s="9"/>
      <c r="J1371" s="11"/>
      <c r="U1371" s="9"/>
      <c r="X1371" s="9"/>
    </row>
    <row r="1372">
      <c r="D1372" s="9"/>
      <c r="G1372" s="9"/>
      <c r="J1372" s="11"/>
      <c r="U1372" s="9"/>
      <c r="X1372" s="9"/>
    </row>
    <row r="1373">
      <c r="D1373" s="9"/>
      <c r="G1373" s="9"/>
      <c r="J1373" s="11"/>
      <c r="U1373" s="9"/>
      <c r="X1373" s="9"/>
    </row>
    <row r="1374">
      <c r="D1374" s="9"/>
      <c r="G1374" s="9"/>
      <c r="J1374" s="11"/>
      <c r="U1374" s="9"/>
      <c r="X1374" s="9"/>
    </row>
    <row r="1375">
      <c r="D1375" s="9"/>
      <c r="G1375" s="9"/>
      <c r="J1375" s="11"/>
      <c r="U1375" s="9"/>
      <c r="X1375" s="9"/>
    </row>
    <row r="1376">
      <c r="D1376" s="9"/>
      <c r="G1376" s="9"/>
      <c r="J1376" s="11"/>
      <c r="U1376" s="9"/>
      <c r="X1376" s="9"/>
    </row>
    <row r="1377">
      <c r="D1377" s="9"/>
      <c r="G1377" s="9"/>
      <c r="J1377" s="11"/>
      <c r="U1377" s="9"/>
      <c r="X1377" s="9"/>
    </row>
    <row r="1378">
      <c r="D1378" s="9"/>
      <c r="G1378" s="9"/>
      <c r="J1378" s="11"/>
      <c r="U1378" s="9"/>
      <c r="X1378" s="9"/>
    </row>
    <row r="1379">
      <c r="D1379" s="9"/>
      <c r="G1379" s="9"/>
      <c r="J1379" s="11"/>
      <c r="U1379" s="9"/>
      <c r="X1379" s="9"/>
    </row>
    <row r="1380">
      <c r="D1380" s="9"/>
      <c r="G1380" s="9"/>
      <c r="J1380" s="11"/>
      <c r="U1380" s="9"/>
      <c r="X1380" s="9"/>
    </row>
    <row r="1381">
      <c r="D1381" s="9"/>
      <c r="G1381" s="9"/>
      <c r="J1381" s="11"/>
      <c r="U1381" s="9"/>
      <c r="X1381" s="9"/>
    </row>
    <row r="1382">
      <c r="D1382" s="9"/>
      <c r="G1382" s="9"/>
      <c r="J1382" s="11"/>
      <c r="U1382" s="9"/>
      <c r="X1382" s="9"/>
    </row>
    <row r="1383">
      <c r="D1383" s="9"/>
      <c r="G1383" s="9"/>
      <c r="J1383" s="11"/>
      <c r="U1383" s="9"/>
      <c r="X1383" s="9"/>
    </row>
    <row r="1384">
      <c r="D1384" s="9"/>
      <c r="G1384" s="9"/>
      <c r="J1384" s="11"/>
      <c r="U1384" s="9"/>
      <c r="X1384" s="9"/>
    </row>
    <row r="1385">
      <c r="D1385" s="9"/>
      <c r="G1385" s="9"/>
      <c r="J1385" s="11"/>
      <c r="U1385" s="9"/>
      <c r="X1385" s="9"/>
    </row>
    <row r="1386">
      <c r="D1386" s="9"/>
      <c r="G1386" s="9"/>
      <c r="J1386" s="11"/>
      <c r="U1386" s="9"/>
      <c r="X1386" s="9"/>
    </row>
    <row r="1387">
      <c r="D1387" s="9"/>
      <c r="G1387" s="9"/>
      <c r="J1387" s="11"/>
      <c r="U1387" s="9"/>
      <c r="X1387" s="9"/>
    </row>
    <row r="1388">
      <c r="D1388" s="9"/>
      <c r="G1388" s="9"/>
      <c r="J1388" s="11"/>
      <c r="U1388" s="9"/>
      <c r="X1388" s="9"/>
    </row>
    <row r="1389">
      <c r="D1389" s="9"/>
      <c r="G1389" s="9"/>
      <c r="J1389" s="11"/>
      <c r="U1389" s="9"/>
      <c r="X1389" s="9"/>
    </row>
    <row r="1390">
      <c r="D1390" s="9"/>
      <c r="G1390" s="9"/>
      <c r="J1390" s="11"/>
      <c r="U1390" s="9"/>
      <c r="X1390" s="9"/>
    </row>
    <row r="1391">
      <c r="D1391" s="9"/>
      <c r="G1391" s="9"/>
      <c r="J1391" s="11"/>
      <c r="U1391" s="9"/>
      <c r="X1391" s="9"/>
    </row>
    <row r="1392">
      <c r="D1392" s="9"/>
      <c r="G1392" s="9"/>
      <c r="J1392" s="11"/>
      <c r="U1392" s="9"/>
      <c r="X1392" s="9"/>
    </row>
    <row r="1393">
      <c r="D1393" s="9"/>
      <c r="G1393" s="9"/>
      <c r="J1393" s="11"/>
      <c r="U1393" s="9"/>
      <c r="X1393" s="9"/>
    </row>
    <row r="1394">
      <c r="D1394" s="9"/>
      <c r="G1394" s="9"/>
      <c r="J1394" s="11"/>
      <c r="U1394" s="9"/>
      <c r="X1394" s="9"/>
    </row>
    <row r="1395">
      <c r="D1395" s="9"/>
      <c r="G1395" s="9"/>
      <c r="J1395" s="11"/>
      <c r="U1395" s="9"/>
      <c r="X1395" s="9"/>
    </row>
    <row r="1396">
      <c r="D1396" s="9"/>
      <c r="G1396" s="9"/>
      <c r="J1396" s="11"/>
      <c r="U1396" s="9"/>
      <c r="X1396" s="9"/>
    </row>
    <row r="1397">
      <c r="D1397" s="9"/>
      <c r="G1397" s="9"/>
      <c r="J1397" s="11"/>
      <c r="U1397" s="9"/>
      <c r="X1397" s="9"/>
    </row>
    <row r="1398">
      <c r="D1398" s="9"/>
      <c r="G1398" s="9"/>
      <c r="J1398" s="11"/>
      <c r="U1398" s="9"/>
      <c r="X1398" s="9"/>
    </row>
    <row r="1399">
      <c r="D1399" s="9"/>
      <c r="G1399" s="9"/>
      <c r="J1399" s="11"/>
      <c r="U1399" s="9"/>
      <c r="X1399" s="9"/>
    </row>
    <row r="1400">
      <c r="D1400" s="9"/>
      <c r="G1400" s="9"/>
      <c r="J1400" s="11"/>
      <c r="U1400" s="9"/>
      <c r="X1400" s="9"/>
    </row>
    <row r="1401">
      <c r="D1401" s="9"/>
      <c r="G1401" s="9"/>
      <c r="J1401" s="11"/>
      <c r="U1401" s="9"/>
      <c r="X1401" s="9"/>
    </row>
    <row r="1402">
      <c r="D1402" s="9"/>
      <c r="G1402" s="9"/>
      <c r="J1402" s="11"/>
      <c r="U1402" s="9"/>
      <c r="X1402" s="9"/>
    </row>
    <row r="1403">
      <c r="D1403" s="9"/>
      <c r="G1403" s="9"/>
      <c r="J1403" s="11"/>
      <c r="U1403" s="9"/>
      <c r="X1403" s="9"/>
    </row>
    <row r="1404">
      <c r="D1404" s="9"/>
      <c r="G1404" s="9"/>
      <c r="J1404" s="11"/>
      <c r="U1404" s="9"/>
      <c r="X1404" s="9"/>
    </row>
    <row r="1405">
      <c r="D1405" s="9"/>
      <c r="G1405" s="9"/>
      <c r="J1405" s="11"/>
      <c r="U1405" s="9"/>
      <c r="X1405" s="9"/>
    </row>
    <row r="1406">
      <c r="D1406" s="9"/>
      <c r="G1406" s="9"/>
      <c r="J1406" s="11"/>
      <c r="U1406" s="9"/>
      <c r="X1406" s="9"/>
    </row>
    <row r="1407">
      <c r="D1407" s="9"/>
      <c r="G1407" s="9"/>
      <c r="J1407" s="11"/>
      <c r="U1407" s="9"/>
      <c r="X1407" s="9"/>
    </row>
    <row r="1408">
      <c r="D1408" s="9"/>
      <c r="G1408" s="9"/>
      <c r="J1408" s="11"/>
      <c r="U1408" s="9"/>
      <c r="X1408" s="9"/>
    </row>
    <row r="1409">
      <c r="D1409" s="9"/>
      <c r="G1409" s="9"/>
      <c r="J1409" s="11"/>
      <c r="U1409" s="9"/>
      <c r="X1409" s="9"/>
    </row>
    <row r="1410">
      <c r="D1410" s="9"/>
      <c r="G1410" s="9"/>
      <c r="J1410" s="11"/>
      <c r="U1410" s="9"/>
      <c r="X1410" s="9"/>
    </row>
    <row r="1411">
      <c r="D1411" s="9"/>
      <c r="G1411" s="9"/>
      <c r="J1411" s="11"/>
      <c r="U1411" s="9"/>
      <c r="X1411" s="9"/>
    </row>
    <row r="1412">
      <c r="D1412" s="9"/>
      <c r="G1412" s="9"/>
      <c r="J1412" s="11"/>
      <c r="U1412" s="9"/>
      <c r="X1412" s="9"/>
    </row>
    <row r="1413">
      <c r="D1413" s="9"/>
      <c r="G1413" s="9"/>
      <c r="J1413" s="11"/>
      <c r="U1413" s="9"/>
      <c r="X1413" s="9"/>
    </row>
    <row r="1414">
      <c r="D1414" s="9"/>
      <c r="G1414" s="9"/>
      <c r="J1414" s="11"/>
      <c r="U1414" s="9"/>
      <c r="X1414" s="9"/>
    </row>
    <row r="1415">
      <c r="D1415" s="9"/>
      <c r="G1415" s="9"/>
      <c r="J1415" s="11"/>
      <c r="U1415" s="9"/>
      <c r="X1415" s="9"/>
    </row>
    <row r="1416">
      <c r="D1416" s="9"/>
      <c r="G1416" s="9"/>
      <c r="J1416" s="11"/>
      <c r="U1416" s="9"/>
      <c r="X1416" s="9"/>
    </row>
    <row r="1417">
      <c r="D1417" s="9"/>
      <c r="G1417" s="9"/>
      <c r="J1417" s="11"/>
      <c r="U1417" s="9"/>
      <c r="X1417" s="9"/>
    </row>
    <row r="1418">
      <c r="D1418" s="9"/>
      <c r="G1418" s="9"/>
      <c r="J1418" s="11"/>
      <c r="U1418" s="9"/>
      <c r="X1418" s="9"/>
    </row>
    <row r="1419">
      <c r="D1419" s="9"/>
      <c r="G1419" s="9"/>
      <c r="J1419" s="11"/>
      <c r="U1419" s="9"/>
      <c r="X1419" s="9"/>
    </row>
    <row r="1420">
      <c r="D1420" s="9"/>
      <c r="G1420" s="9"/>
      <c r="J1420" s="11"/>
      <c r="U1420" s="9"/>
      <c r="X1420" s="9"/>
    </row>
    <row r="1421">
      <c r="D1421" s="9"/>
      <c r="G1421" s="9"/>
      <c r="J1421" s="11"/>
      <c r="U1421" s="9"/>
      <c r="X1421" s="9"/>
    </row>
    <row r="1422">
      <c r="D1422" s="9"/>
      <c r="G1422" s="9"/>
      <c r="J1422" s="11"/>
      <c r="U1422" s="9"/>
      <c r="X1422" s="9"/>
    </row>
    <row r="1423">
      <c r="D1423" s="9"/>
      <c r="G1423" s="9"/>
      <c r="J1423" s="11"/>
      <c r="U1423" s="9"/>
      <c r="X1423" s="9"/>
    </row>
    <row r="1424">
      <c r="D1424" s="9"/>
      <c r="G1424" s="9"/>
      <c r="J1424" s="11"/>
      <c r="U1424" s="9"/>
      <c r="X1424" s="9"/>
    </row>
    <row r="1425">
      <c r="D1425" s="9"/>
      <c r="G1425" s="9"/>
      <c r="J1425" s="11"/>
      <c r="U1425" s="9"/>
      <c r="X1425" s="9"/>
    </row>
    <row r="1426">
      <c r="D1426" s="9"/>
      <c r="G1426" s="9"/>
      <c r="J1426" s="11"/>
      <c r="U1426" s="9"/>
      <c r="X1426" s="9"/>
    </row>
    <row r="1427">
      <c r="D1427" s="9"/>
      <c r="G1427" s="9"/>
      <c r="J1427" s="11"/>
      <c r="U1427" s="9"/>
      <c r="X1427" s="9"/>
    </row>
    <row r="1428">
      <c r="D1428" s="9"/>
      <c r="G1428" s="9"/>
      <c r="J1428" s="11"/>
      <c r="U1428" s="9"/>
      <c r="X1428" s="9"/>
    </row>
    <row r="1429">
      <c r="D1429" s="9"/>
      <c r="G1429" s="9"/>
      <c r="J1429" s="11"/>
      <c r="U1429" s="9"/>
      <c r="X1429" s="9"/>
    </row>
    <row r="1430">
      <c r="D1430" s="9"/>
      <c r="G1430" s="9"/>
      <c r="J1430" s="11"/>
      <c r="U1430" s="9"/>
      <c r="X1430" s="9"/>
    </row>
    <row r="1431">
      <c r="D1431" s="9"/>
      <c r="G1431" s="9"/>
      <c r="J1431" s="11"/>
      <c r="U1431" s="9"/>
      <c r="X1431" s="9"/>
    </row>
    <row r="1432">
      <c r="D1432" s="9"/>
      <c r="G1432" s="9"/>
      <c r="J1432" s="11"/>
      <c r="U1432" s="9"/>
      <c r="X1432" s="9"/>
    </row>
    <row r="1433">
      <c r="D1433" s="9"/>
      <c r="G1433" s="9"/>
      <c r="J1433" s="11"/>
      <c r="U1433" s="9"/>
      <c r="X1433" s="9"/>
    </row>
    <row r="1434">
      <c r="D1434" s="9"/>
      <c r="G1434" s="9"/>
      <c r="J1434" s="11"/>
      <c r="U1434" s="9"/>
      <c r="X1434" s="9"/>
    </row>
    <row r="1435">
      <c r="D1435" s="9"/>
      <c r="G1435" s="9"/>
      <c r="J1435" s="11"/>
      <c r="U1435" s="9"/>
      <c r="X1435" s="9"/>
    </row>
    <row r="1436">
      <c r="D1436" s="9"/>
      <c r="G1436" s="9"/>
      <c r="J1436" s="11"/>
      <c r="U1436" s="9"/>
      <c r="X1436" s="9"/>
    </row>
    <row r="1437">
      <c r="D1437" s="9"/>
      <c r="G1437" s="9"/>
      <c r="J1437" s="11"/>
      <c r="U1437" s="9"/>
      <c r="X1437" s="9"/>
    </row>
    <row r="1438">
      <c r="D1438" s="9"/>
      <c r="G1438" s="9"/>
      <c r="J1438" s="11"/>
      <c r="U1438" s="9"/>
      <c r="X1438" s="9"/>
    </row>
    <row r="1439">
      <c r="D1439" s="9"/>
      <c r="G1439" s="9"/>
      <c r="J1439" s="11"/>
      <c r="U1439" s="9"/>
      <c r="X1439" s="9"/>
    </row>
    <row r="1440">
      <c r="D1440" s="9"/>
      <c r="G1440" s="9"/>
      <c r="J1440" s="11"/>
      <c r="U1440" s="9"/>
      <c r="X1440" s="9"/>
    </row>
    <row r="1441">
      <c r="D1441" s="9"/>
      <c r="G1441" s="9"/>
      <c r="J1441" s="11"/>
      <c r="U1441" s="9"/>
      <c r="X1441" s="9"/>
    </row>
    <row r="1442">
      <c r="D1442" s="9"/>
      <c r="G1442" s="9"/>
      <c r="J1442" s="11"/>
      <c r="U1442" s="9"/>
      <c r="X1442" s="9"/>
    </row>
    <row r="1443">
      <c r="D1443" s="9"/>
      <c r="G1443" s="9"/>
      <c r="J1443" s="11"/>
      <c r="U1443" s="9"/>
      <c r="X1443" s="9"/>
    </row>
    <row r="1444">
      <c r="D1444" s="9"/>
      <c r="G1444" s="9"/>
      <c r="J1444" s="11"/>
      <c r="U1444" s="9"/>
      <c r="X1444" s="9"/>
    </row>
    <row r="1445">
      <c r="D1445" s="9"/>
      <c r="G1445" s="9"/>
      <c r="J1445" s="11"/>
      <c r="U1445" s="9"/>
      <c r="X1445" s="9"/>
    </row>
    <row r="1446">
      <c r="D1446" s="9"/>
      <c r="G1446" s="9"/>
      <c r="J1446" s="11"/>
      <c r="U1446" s="9"/>
      <c r="X1446" s="9"/>
    </row>
    <row r="1447">
      <c r="D1447" s="9"/>
      <c r="G1447" s="9"/>
      <c r="J1447" s="11"/>
      <c r="U1447" s="9"/>
      <c r="X1447" s="9"/>
    </row>
    <row r="1448">
      <c r="D1448" s="9"/>
      <c r="G1448" s="9"/>
      <c r="J1448" s="11"/>
      <c r="U1448" s="9"/>
      <c r="X1448" s="9"/>
    </row>
    <row r="1449">
      <c r="D1449" s="9"/>
      <c r="G1449" s="9"/>
      <c r="J1449" s="11"/>
      <c r="U1449" s="9"/>
      <c r="X1449" s="9"/>
    </row>
    <row r="1450">
      <c r="D1450" s="9"/>
      <c r="G1450" s="9"/>
      <c r="J1450" s="11"/>
      <c r="U1450" s="9"/>
      <c r="X1450" s="9"/>
    </row>
    <row r="1451">
      <c r="D1451" s="9"/>
      <c r="G1451" s="9"/>
      <c r="J1451" s="11"/>
      <c r="U1451" s="9"/>
      <c r="X1451" s="9"/>
    </row>
    <row r="1452">
      <c r="D1452" s="9"/>
      <c r="G1452" s="9"/>
      <c r="J1452" s="11"/>
      <c r="U1452" s="9"/>
      <c r="X1452" s="9"/>
    </row>
    <row r="1453">
      <c r="D1453" s="9"/>
      <c r="G1453" s="9"/>
      <c r="J1453" s="11"/>
      <c r="U1453" s="9"/>
      <c r="X1453" s="9"/>
    </row>
    <row r="1454">
      <c r="D1454" s="9"/>
      <c r="G1454" s="9"/>
      <c r="J1454" s="11"/>
      <c r="U1454" s="9"/>
      <c r="X1454" s="9"/>
    </row>
    <row r="1455">
      <c r="D1455" s="9"/>
      <c r="G1455" s="9"/>
      <c r="J1455" s="11"/>
      <c r="U1455" s="9"/>
      <c r="X1455" s="9"/>
    </row>
    <row r="1456">
      <c r="D1456" s="9"/>
      <c r="G1456" s="9"/>
      <c r="J1456" s="11"/>
      <c r="U1456" s="9"/>
      <c r="X1456" s="9"/>
    </row>
    <row r="1457">
      <c r="D1457" s="9"/>
      <c r="G1457" s="9"/>
      <c r="J1457" s="11"/>
      <c r="U1457" s="9"/>
      <c r="X1457" s="9"/>
    </row>
    <row r="1458">
      <c r="D1458" s="9"/>
      <c r="G1458" s="9"/>
      <c r="J1458" s="11"/>
      <c r="U1458" s="9"/>
      <c r="X1458" s="9"/>
    </row>
    <row r="1459">
      <c r="D1459" s="9"/>
      <c r="G1459" s="9"/>
      <c r="J1459" s="11"/>
      <c r="U1459" s="9"/>
      <c r="X1459" s="9"/>
    </row>
    <row r="1460">
      <c r="D1460" s="9"/>
      <c r="G1460" s="9"/>
      <c r="J1460" s="11"/>
      <c r="U1460" s="9"/>
      <c r="X1460" s="9"/>
    </row>
    <row r="1461">
      <c r="D1461" s="9"/>
      <c r="G1461" s="9"/>
      <c r="J1461" s="11"/>
      <c r="U1461" s="9"/>
      <c r="X1461" s="9"/>
    </row>
    <row r="1462">
      <c r="D1462" s="9"/>
      <c r="G1462" s="9"/>
      <c r="J1462" s="11"/>
      <c r="U1462" s="9"/>
      <c r="X1462" s="9"/>
    </row>
    <row r="1463">
      <c r="D1463" s="9"/>
      <c r="G1463" s="9"/>
      <c r="J1463" s="11"/>
      <c r="U1463" s="9"/>
      <c r="X1463" s="9"/>
    </row>
    <row r="1464">
      <c r="D1464" s="9"/>
      <c r="G1464" s="9"/>
      <c r="J1464" s="11"/>
      <c r="U1464" s="9"/>
      <c r="X1464" s="9"/>
    </row>
    <row r="1465">
      <c r="D1465" s="9"/>
      <c r="G1465" s="9"/>
      <c r="J1465" s="11"/>
      <c r="U1465" s="9"/>
      <c r="X1465" s="9"/>
    </row>
    <row r="1466">
      <c r="D1466" s="9"/>
      <c r="G1466" s="9"/>
      <c r="J1466" s="11"/>
      <c r="U1466" s="9"/>
      <c r="X1466" s="9"/>
    </row>
    <row r="1467">
      <c r="D1467" s="9"/>
      <c r="G1467" s="9"/>
      <c r="J1467" s="11"/>
      <c r="U1467" s="9"/>
      <c r="X1467" s="9"/>
    </row>
    <row r="1468">
      <c r="D1468" s="9"/>
      <c r="G1468" s="9"/>
      <c r="J1468" s="11"/>
      <c r="U1468" s="9"/>
      <c r="X1468" s="9"/>
    </row>
    <row r="1469">
      <c r="D1469" s="9"/>
      <c r="G1469" s="9"/>
      <c r="J1469" s="11"/>
      <c r="U1469" s="9"/>
      <c r="X1469" s="9"/>
    </row>
    <row r="1470">
      <c r="D1470" s="9"/>
      <c r="G1470" s="9"/>
      <c r="J1470" s="11"/>
      <c r="U1470" s="9"/>
      <c r="X1470" s="9"/>
    </row>
    <row r="1471">
      <c r="D1471" s="9"/>
      <c r="G1471" s="9"/>
      <c r="J1471" s="11"/>
      <c r="U1471" s="9"/>
      <c r="X1471" s="9"/>
    </row>
    <row r="1472">
      <c r="D1472" s="9"/>
      <c r="G1472" s="9"/>
      <c r="J1472" s="11"/>
      <c r="U1472" s="9"/>
      <c r="X1472" s="9"/>
    </row>
    <row r="1473">
      <c r="D1473" s="9"/>
      <c r="G1473" s="9"/>
      <c r="J1473" s="11"/>
      <c r="U1473" s="9"/>
      <c r="X1473" s="9"/>
    </row>
    <row r="1474">
      <c r="D1474" s="9"/>
      <c r="G1474" s="9"/>
      <c r="J1474" s="11"/>
      <c r="U1474" s="9"/>
      <c r="X1474" s="9"/>
    </row>
    <row r="1475">
      <c r="D1475" s="9"/>
      <c r="G1475" s="9"/>
      <c r="J1475" s="11"/>
      <c r="U1475" s="9"/>
      <c r="X1475" s="9"/>
    </row>
    <row r="1476">
      <c r="D1476" s="9"/>
      <c r="G1476" s="9"/>
      <c r="J1476" s="11"/>
      <c r="U1476" s="9"/>
      <c r="X1476" s="9"/>
    </row>
    <row r="1477">
      <c r="D1477" s="9"/>
      <c r="G1477" s="9"/>
      <c r="J1477" s="11"/>
      <c r="U1477" s="9"/>
      <c r="X1477" s="9"/>
    </row>
    <row r="1478">
      <c r="D1478" s="9"/>
      <c r="G1478" s="9"/>
      <c r="J1478" s="11"/>
      <c r="U1478" s="9"/>
      <c r="X1478" s="9"/>
    </row>
    <row r="1479">
      <c r="D1479" s="9"/>
      <c r="G1479" s="9"/>
      <c r="J1479" s="11"/>
      <c r="U1479" s="9"/>
      <c r="X1479" s="9"/>
    </row>
    <row r="1480">
      <c r="D1480" s="9"/>
      <c r="G1480" s="9"/>
      <c r="J1480" s="11"/>
      <c r="U1480" s="9"/>
      <c r="X1480" s="9"/>
    </row>
    <row r="1481">
      <c r="D1481" s="9"/>
      <c r="G1481" s="9"/>
      <c r="J1481" s="11"/>
      <c r="U1481" s="9"/>
      <c r="X1481" s="9"/>
    </row>
    <row r="1482">
      <c r="D1482" s="9"/>
      <c r="G1482" s="9"/>
      <c r="J1482" s="11"/>
      <c r="U1482" s="9"/>
      <c r="X1482" s="9"/>
    </row>
    <row r="1483">
      <c r="D1483" s="9"/>
      <c r="G1483" s="9"/>
      <c r="J1483" s="11"/>
      <c r="U1483" s="9"/>
      <c r="X1483" s="9"/>
    </row>
    <row r="1484">
      <c r="D1484" s="9"/>
      <c r="G1484" s="9"/>
      <c r="J1484" s="11"/>
      <c r="U1484" s="9"/>
      <c r="X1484" s="9"/>
    </row>
    <row r="1485">
      <c r="D1485" s="9"/>
      <c r="G1485" s="9"/>
      <c r="J1485" s="11"/>
      <c r="U1485" s="9"/>
      <c r="X1485" s="9"/>
    </row>
    <row r="1486">
      <c r="D1486" s="9"/>
      <c r="G1486" s="9"/>
      <c r="J1486" s="11"/>
      <c r="U1486" s="9"/>
      <c r="X1486" s="9"/>
    </row>
    <row r="1487">
      <c r="D1487" s="9"/>
      <c r="G1487" s="9"/>
      <c r="J1487" s="11"/>
      <c r="U1487" s="9"/>
      <c r="X1487" s="9"/>
    </row>
    <row r="1488">
      <c r="D1488" s="9"/>
      <c r="G1488" s="9"/>
      <c r="J1488" s="11"/>
      <c r="U1488" s="9"/>
      <c r="X1488" s="9"/>
    </row>
    <row r="1489">
      <c r="D1489" s="9"/>
      <c r="G1489" s="9"/>
      <c r="J1489" s="11"/>
      <c r="U1489" s="9"/>
      <c r="X1489" s="9"/>
    </row>
    <row r="1490">
      <c r="D1490" s="9"/>
      <c r="G1490" s="9"/>
      <c r="J1490" s="11"/>
      <c r="U1490" s="9"/>
      <c r="X1490" s="9"/>
    </row>
    <row r="1491">
      <c r="D1491" s="9"/>
      <c r="G1491" s="9"/>
      <c r="J1491" s="11"/>
      <c r="U1491" s="9"/>
      <c r="X1491" s="9"/>
    </row>
    <row r="1492">
      <c r="D1492" s="9"/>
      <c r="G1492" s="9"/>
      <c r="J1492" s="11"/>
      <c r="U1492" s="9"/>
      <c r="X1492" s="9"/>
    </row>
    <row r="1493">
      <c r="D1493" s="9"/>
      <c r="G1493" s="9"/>
      <c r="J1493" s="11"/>
      <c r="U1493" s="9"/>
      <c r="X1493" s="9"/>
    </row>
    <row r="1494">
      <c r="D1494" s="9"/>
      <c r="G1494" s="9"/>
      <c r="J1494" s="11"/>
      <c r="U1494" s="9"/>
      <c r="X1494" s="9"/>
    </row>
    <row r="1495">
      <c r="D1495" s="9"/>
      <c r="G1495" s="9"/>
      <c r="J1495" s="11"/>
      <c r="U1495" s="9"/>
      <c r="X1495" s="9"/>
    </row>
    <row r="1496">
      <c r="D1496" s="9"/>
      <c r="G1496" s="9"/>
      <c r="J1496" s="11"/>
      <c r="U1496" s="9"/>
      <c r="X1496" s="9"/>
    </row>
    <row r="1497">
      <c r="D1497" s="9"/>
      <c r="G1497" s="9"/>
      <c r="J1497" s="11"/>
      <c r="U1497" s="9"/>
      <c r="X1497" s="9"/>
    </row>
    <row r="1498">
      <c r="D1498" s="9"/>
      <c r="G1498" s="9"/>
      <c r="J1498" s="11"/>
      <c r="U1498" s="9"/>
      <c r="X1498" s="9"/>
    </row>
    <row r="1499">
      <c r="D1499" s="9"/>
      <c r="G1499" s="9"/>
      <c r="J1499" s="11"/>
      <c r="U1499" s="9"/>
      <c r="X1499" s="9"/>
    </row>
    <row r="1500">
      <c r="D1500" s="9"/>
      <c r="G1500" s="9"/>
      <c r="J1500" s="11"/>
      <c r="U1500" s="9"/>
      <c r="X1500" s="9"/>
    </row>
    <row r="1501">
      <c r="D1501" s="9"/>
      <c r="G1501" s="9"/>
      <c r="J1501" s="11"/>
      <c r="U1501" s="9"/>
      <c r="X1501" s="9"/>
    </row>
    <row r="1502">
      <c r="D1502" s="9"/>
      <c r="G1502" s="9"/>
      <c r="J1502" s="11"/>
      <c r="U1502" s="9"/>
      <c r="X1502" s="9"/>
    </row>
    <row r="1503">
      <c r="D1503" s="9"/>
      <c r="G1503" s="9"/>
      <c r="J1503" s="11"/>
      <c r="U1503" s="9"/>
      <c r="X1503" s="9"/>
    </row>
    <row r="1504">
      <c r="D1504" s="9"/>
      <c r="G1504" s="9"/>
      <c r="J1504" s="11"/>
      <c r="U1504" s="9"/>
      <c r="X1504" s="9"/>
    </row>
    <row r="1505">
      <c r="D1505" s="9"/>
      <c r="G1505" s="9"/>
      <c r="J1505" s="11"/>
      <c r="U1505" s="9"/>
      <c r="X1505" s="9"/>
    </row>
    <row r="1506">
      <c r="D1506" s="9"/>
      <c r="G1506" s="9"/>
      <c r="J1506" s="11"/>
      <c r="U1506" s="9"/>
      <c r="X1506" s="9"/>
    </row>
    <row r="1507">
      <c r="D1507" s="9"/>
      <c r="G1507" s="9"/>
      <c r="J1507" s="11"/>
      <c r="U1507" s="9"/>
      <c r="X1507" s="9"/>
    </row>
    <row r="1508">
      <c r="D1508" s="9"/>
      <c r="G1508" s="9"/>
      <c r="J1508" s="11"/>
      <c r="U1508" s="9"/>
      <c r="X1508" s="9"/>
    </row>
    <row r="1509">
      <c r="D1509" s="9"/>
      <c r="G1509" s="9"/>
      <c r="J1509" s="11"/>
      <c r="U1509" s="9"/>
      <c r="X1509" s="9"/>
    </row>
    <row r="1510">
      <c r="D1510" s="9"/>
      <c r="G1510" s="9"/>
      <c r="J1510" s="11"/>
      <c r="U1510" s="9"/>
      <c r="X1510" s="9"/>
    </row>
    <row r="1511">
      <c r="D1511" s="9"/>
      <c r="G1511" s="9"/>
      <c r="J1511" s="11"/>
      <c r="U1511" s="9"/>
      <c r="X1511" s="9"/>
    </row>
    <row r="1512">
      <c r="D1512" s="9"/>
      <c r="G1512" s="9"/>
      <c r="J1512" s="11"/>
      <c r="U1512" s="9"/>
      <c r="X1512" s="9"/>
    </row>
    <row r="1513">
      <c r="D1513" s="9"/>
      <c r="G1513" s="9"/>
      <c r="J1513" s="11"/>
      <c r="U1513" s="9"/>
      <c r="X1513" s="9"/>
    </row>
    <row r="1514">
      <c r="D1514" s="9"/>
      <c r="G1514" s="9"/>
      <c r="J1514" s="11"/>
      <c r="U1514" s="9"/>
      <c r="X1514" s="9"/>
    </row>
    <row r="1515">
      <c r="D1515" s="9"/>
      <c r="G1515" s="9"/>
      <c r="J1515" s="11"/>
      <c r="U1515" s="9"/>
      <c r="X1515" s="9"/>
    </row>
    <row r="1516">
      <c r="D1516" s="9"/>
      <c r="G1516" s="9"/>
      <c r="J1516" s="11"/>
      <c r="U1516" s="9"/>
      <c r="X1516" s="9"/>
    </row>
    <row r="1517">
      <c r="D1517" s="9"/>
      <c r="G1517" s="9"/>
      <c r="J1517" s="11"/>
      <c r="U1517" s="9"/>
      <c r="X1517" s="9"/>
    </row>
    <row r="1518">
      <c r="D1518" s="9"/>
      <c r="G1518" s="9"/>
      <c r="J1518" s="11"/>
      <c r="U1518" s="9"/>
      <c r="X1518" s="9"/>
    </row>
    <row r="1519">
      <c r="D1519" s="9"/>
      <c r="G1519" s="9"/>
      <c r="J1519" s="11"/>
      <c r="U1519" s="9"/>
      <c r="X1519" s="9"/>
    </row>
    <row r="1520">
      <c r="D1520" s="9"/>
      <c r="G1520" s="9"/>
      <c r="J1520" s="11"/>
      <c r="U1520" s="9"/>
      <c r="X1520" s="9"/>
    </row>
    <row r="1521">
      <c r="D1521" s="9"/>
      <c r="G1521" s="9"/>
      <c r="J1521" s="11"/>
      <c r="U1521" s="9"/>
      <c r="X1521" s="9"/>
    </row>
    <row r="1522">
      <c r="D1522" s="9"/>
      <c r="G1522" s="9"/>
      <c r="J1522" s="11"/>
      <c r="U1522" s="9"/>
      <c r="X1522" s="9"/>
    </row>
    <row r="1523">
      <c r="D1523" s="9"/>
      <c r="G1523" s="9"/>
      <c r="J1523" s="11"/>
      <c r="U1523" s="9"/>
      <c r="X1523" s="9"/>
    </row>
    <row r="1524">
      <c r="D1524" s="9"/>
      <c r="G1524" s="9"/>
      <c r="J1524" s="11"/>
      <c r="U1524" s="9"/>
      <c r="X1524" s="9"/>
    </row>
    <row r="1525">
      <c r="D1525" s="9"/>
      <c r="G1525" s="9"/>
      <c r="J1525" s="11"/>
      <c r="U1525" s="9"/>
      <c r="X1525" s="9"/>
    </row>
    <row r="1526">
      <c r="D1526" s="9"/>
      <c r="G1526" s="9"/>
      <c r="J1526" s="11"/>
      <c r="U1526" s="9"/>
      <c r="X1526" s="9"/>
    </row>
    <row r="1527">
      <c r="D1527" s="9"/>
      <c r="G1527" s="9"/>
      <c r="J1527" s="11"/>
      <c r="U1527" s="9"/>
      <c r="X1527" s="9"/>
    </row>
    <row r="1528">
      <c r="D1528" s="9"/>
      <c r="G1528" s="9"/>
      <c r="J1528" s="11"/>
      <c r="U1528" s="9"/>
      <c r="X1528" s="9"/>
    </row>
    <row r="1529">
      <c r="D1529" s="9"/>
      <c r="G1529" s="9"/>
      <c r="J1529" s="11"/>
      <c r="U1529" s="9"/>
      <c r="X1529" s="9"/>
    </row>
    <row r="1530">
      <c r="D1530" s="9"/>
      <c r="G1530" s="9"/>
      <c r="J1530" s="11"/>
      <c r="U1530" s="9"/>
      <c r="X1530" s="9"/>
    </row>
    <row r="1531">
      <c r="D1531" s="9"/>
      <c r="G1531" s="9"/>
      <c r="J1531" s="11"/>
      <c r="U1531" s="9"/>
      <c r="X1531" s="9"/>
    </row>
    <row r="1532">
      <c r="D1532" s="9"/>
      <c r="G1532" s="9"/>
      <c r="J1532" s="11"/>
      <c r="U1532" s="9"/>
      <c r="X1532" s="9"/>
    </row>
    <row r="1533">
      <c r="D1533" s="9"/>
      <c r="G1533" s="9"/>
      <c r="J1533" s="11"/>
      <c r="U1533" s="9"/>
      <c r="X1533" s="9"/>
    </row>
    <row r="1534">
      <c r="D1534" s="9"/>
      <c r="G1534" s="9"/>
      <c r="J1534" s="11"/>
      <c r="U1534" s="9"/>
      <c r="X1534" s="9"/>
    </row>
    <row r="1535">
      <c r="D1535" s="9"/>
      <c r="G1535" s="9"/>
      <c r="J1535" s="11"/>
      <c r="U1535" s="9"/>
      <c r="X1535" s="9"/>
    </row>
    <row r="1536">
      <c r="D1536" s="9"/>
      <c r="G1536" s="9"/>
      <c r="J1536" s="11"/>
      <c r="U1536" s="9"/>
      <c r="X1536" s="9"/>
    </row>
    <row r="1537">
      <c r="D1537" s="9"/>
      <c r="G1537" s="9"/>
      <c r="J1537" s="11"/>
      <c r="U1537" s="9"/>
      <c r="X1537" s="9"/>
    </row>
    <row r="1538">
      <c r="D1538" s="9"/>
      <c r="G1538" s="9"/>
      <c r="J1538" s="11"/>
      <c r="U1538" s="9"/>
      <c r="X1538" s="9"/>
    </row>
    <row r="1539">
      <c r="D1539" s="9"/>
      <c r="G1539" s="9"/>
      <c r="J1539" s="11"/>
      <c r="U1539" s="9"/>
      <c r="X1539" s="9"/>
    </row>
    <row r="1540">
      <c r="D1540" s="9"/>
      <c r="G1540" s="9"/>
      <c r="J1540" s="11"/>
      <c r="U1540" s="9"/>
      <c r="X1540" s="9"/>
    </row>
    <row r="1541">
      <c r="D1541" s="9"/>
      <c r="G1541" s="9"/>
      <c r="J1541" s="11"/>
      <c r="U1541" s="9"/>
      <c r="X1541" s="9"/>
    </row>
    <row r="1542">
      <c r="D1542" s="9"/>
      <c r="G1542" s="9"/>
      <c r="J1542" s="11"/>
      <c r="U1542" s="9"/>
      <c r="X1542" s="9"/>
    </row>
    <row r="1543">
      <c r="D1543" s="9"/>
      <c r="G1543" s="9"/>
      <c r="J1543" s="11"/>
      <c r="U1543" s="9"/>
      <c r="X1543" s="9"/>
    </row>
    <row r="1544">
      <c r="D1544" s="9"/>
      <c r="G1544" s="9"/>
      <c r="J1544" s="11"/>
      <c r="U1544" s="9"/>
      <c r="X1544" s="9"/>
    </row>
    <row r="1545">
      <c r="D1545" s="9"/>
      <c r="G1545" s="9"/>
      <c r="J1545" s="11"/>
      <c r="U1545" s="9"/>
      <c r="X1545" s="9"/>
    </row>
    <row r="1546">
      <c r="D1546" s="9"/>
      <c r="G1546" s="9"/>
      <c r="J1546" s="11"/>
      <c r="U1546" s="9"/>
      <c r="X1546" s="9"/>
    </row>
    <row r="1547">
      <c r="D1547" s="9"/>
      <c r="G1547" s="9"/>
      <c r="J1547" s="11"/>
      <c r="U1547" s="9"/>
      <c r="X1547" s="9"/>
    </row>
    <row r="1548">
      <c r="D1548" s="9"/>
      <c r="G1548" s="9"/>
      <c r="J1548" s="11"/>
      <c r="U1548" s="9"/>
      <c r="X1548" s="9"/>
    </row>
    <row r="1549">
      <c r="D1549" s="9"/>
      <c r="G1549" s="9"/>
      <c r="J1549" s="11"/>
      <c r="U1549" s="9"/>
      <c r="X1549" s="9"/>
    </row>
    <row r="1550">
      <c r="D1550" s="9"/>
      <c r="G1550" s="9"/>
      <c r="J1550" s="11"/>
      <c r="U1550" s="9"/>
      <c r="X1550" s="9"/>
    </row>
    <row r="1551">
      <c r="D1551" s="9"/>
      <c r="G1551" s="9"/>
      <c r="J1551" s="11"/>
      <c r="U1551" s="9"/>
      <c r="X1551" s="9"/>
    </row>
    <row r="1552">
      <c r="D1552" s="9"/>
      <c r="G1552" s="9"/>
      <c r="J1552" s="11"/>
      <c r="U1552" s="9"/>
      <c r="X1552" s="9"/>
    </row>
    <row r="1553">
      <c r="D1553" s="9"/>
      <c r="G1553" s="9"/>
      <c r="J1553" s="11"/>
      <c r="U1553" s="9"/>
      <c r="X1553" s="9"/>
    </row>
    <row r="1554">
      <c r="D1554" s="9"/>
      <c r="G1554" s="9"/>
      <c r="J1554" s="11"/>
      <c r="U1554" s="9"/>
      <c r="X1554" s="9"/>
    </row>
    <row r="1555">
      <c r="D1555" s="9"/>
      <c r="G1555" s="9"/>
      <c r="J1555" s="11"/>
      <c r="U1555" s="9"/>
      <c r="X1555" s="9"/>
    </row>
    <row r="1556">
      <c r="D1556" s="9"/>
      <c r="G1556" s="9"/>
      <c r="J1556" s="11"/>
      <c r="U1556" s="9"/>
      <c r="X1556" s="9"/>
    </row>
    <row r="1557">
      <c r="D1557" s="9"/>
      <c r="G1557" s="9"/>
      <c r="J1557" s="11"/>
      <c r="U1557" s="9"/>
      <c r="X1557" s="9"/>
    </row>
    <row r="1558">
      <c r="D1558" s="9"/>
      <c r="G1558" s="9"/>
      <c r="J1558" s="11"/>
      <c r="U1558" s="9"/>
      <c r="X1558" s="9"/>
    </row>
    <row r="1559">
      <c r="D1559" s="9"/>
      <c r="G1559" s="9"/>
      <c r="J1559" s="11"/>
      <c r="U1559" s="9"/>
      <c r="X1559" s="9"/>
    </row>
    <row r="1560">
      <c r="D1560" s="9"/>
      <c r="G1560" s="9"/>
      <c r="J1560" s="11"/>
      <c r="U1560" s="9"/>
      <c r="X1560" s="9"/>
    </row>
    <row r="1561">
      <c r="D1561" s="9"/>
      <c r="G1561" s="9"/>
      <c r="J1561" s="11"/>
      <c r="U1561" s="9"/>
      <c r="X1561" s="9"/>
    </row>
    <row r="1562">
      <c r="D1562" s="9"/>
      <c r="G1562" s="9"/>
      <c r="J1562" s="11"/>
      <c r="U1562" s="9"/>
      <c r="X1562" s="9"/>
    </row>
    <row r="1563">
      <c r="D1563" s="9"/>
      <c r="G1563" s="9"/>
      <c r="J1563" s="11"/>
      <c r="U1563" s="9"/>
      <c r="X1563" s="9"/>
    </row>
    <row r="1564">
      <c r="D1564" s="9"/>
      <c r="G1564" s="9"/>
      <c r="J1564" s="11"/>
      <c r="U1564" s="9"/>
      <c r="X1564" s="9"/>
    </row>
    <row r="1565">
      <c r="D1565" s="9"/>
      <c r="G1565" s="9"/>
      <c r="J1565" s="11"/>
      <c r="U1565" s="9"/>
      <c r="X1565" s="9"/>
    </row>
    <row r="1566">
      <c r="D1566" s="9"/>
      <c r="G1566" s="9"/>
      <c r="J1566" s="11"/>
      <c r="U1566" s="9"/>
      <c r="X1566" s="9"/>
    </row>
    <row r="1567">
      <c r="D1567" s="9"/>
      <c r="G1567" s="9"/>
      <c r="J1567" s="11"/>
      <c r="U1567" s="9"/>
      <c r="X1567" s="9"/>
    </row>
    <row r="1568">
      <c r="D1568" s="9"/>
      <c r="G1568" s="9"/>
      <c r="J1568" s="11"/>
      <c r="U1568" s="9"/>
      <c r="X1568" s="9"/>
    </row>
    <row r="1569">
      <c r="D1569" s="9"/>
      <c r="G1569" s="9"/>
      <c r="J1569" s="11"/>
      <c r="U1569" s="9"/>
      <c r="X1569" s="9"/>
    </row>
    <row r="1570">
      <c r="D1570" s="9"/>
      <c r="G1570" s="9"/>
      <c r="J1570" s="11"/>
      <c r="U1570" s="9"/>
      <c r="X1570" s="9"/>
    </row>
    <row r="1571">
      <c r="D1571" s="9"/>
      <c r="G1571" s="9"/>
      <c r="J1571" s="11"/>
      <c r="U1571" s="9"/>
      <c r="X1571" s="9"/>
    </row>
    <row r="1572">
      <c r="D1572" s="9"/>
      <c r="G1572" s="9"/>
      <c r="J1572" s="11"/>
      <c r="U1572" s="9"/>
      <c r="X1572" s="9"/>
    </row>
    <row r="1573">
      <c r="D1573" s="9"/>
      <c r="G1573" s="9"/>
      <c r="J1573" s="11"/>
      <c r="U1573" s="9"/>
      <c r="X1573" s="9"/>
    </row>
    <row r="1574">
      <c r="D1574" s="9"/>
      <c r="G1574" s="9"/>
      <c r="J1574" s="11"/>
      <c r="U1574" s="9"/>
      <c r="X1574" s="9"/>
    </row>
    <row r="1575">
      <c r="D1575" s="9"/>
      <c r="G1575" s="9"/>
      <c r="J1575" s="11"/>
      <c r="U1575" s="9"/>
      <c r="X1575" s="9"/>
    </row>
    <row r="1576">
      <c r="D1576" s="9"/>
      <c r="G1576" s="9"/>
      <c r="J1576" s="11"/>
      <c r="U1576" s="9"/>
      <c r="X1576" s="9"/>
    </row>
    <row r="1577">
      <c r="D1577" s="9"/>
      <c r="G1577" s="9"/>
      <c r="J1577" s="11"/>
      <c r="U1577" s="9"/>
      <c r="X1577" s="9"/>
    </row>
    <row r="1578">
      <c r="D1578" s="9"/>
      <c r="G1578" s="9"/>
      <c r="J1578" s="11"/>
      <c r="U1578" s="9"/>
      <c r="X1578" s="9"/>
    </row>
    <row r="1579">
      <c r="D1579" s="9"/>
      <c r="G1579" s="9"/>
      <c r="J1579" s="11"/>
      <c r="U1579" s="9"/>
      <c r="X1579" s="9"/>
    </row>
    <row r="1580">
      <c r="D1580" s="9"/>
      <c r="G1580" s="9"/>
      <c r="J1580" s="11"/>
      <c r="U1580" s="9"/>
      <c r="X1580" s="9"/>
    </row>
    <row r="1581">
      <c r="D1581" s="9"/>
      <c r="G1581" s="9"/>
      <c r="J1581" s="11"/>
      <c r="U1581" s="9"/>
      <c r="X1581" s="9"/>
    </row>
    <row r="1582">
      <c r="D1582" s="9"/>
      <c r="G1582" s="9"/>
      <c r="J1582" s="11"/>
      <c r="U1582" s="9"/>
      <c r="X1582" s="9"/>
    </row>
    <row r="1583">
      <c r="D1583" s="9"/>
      <c r="G1583" s="9"/>
      <c r="J1583" s="11"/>
      <c r="U1583" s="9"/>
      <c r="X1583" s="9"/>
    </row>
    <row r="1584">
      <c r="D1584" s="9"/>
      <c r="G1584" s="9"/>
      <c r="J1584" s="11"/>
      <c r="U1584" s="9"/>
      <c r="X1584" s="9"/>
    </row>
    <row r="1585">
      <c r="D1585" s="9"/>
      <c r="G1585" s="9"/>
      <c r="J1585" s="11"/>
      <c r="U1585" s="9"/>
      <c r="X1585" s="9"/>
    </row>
    <row r="1586">
      <c r="D1586" s="9"/>
      <c r="G1586" s="9"/>
      <c r="J1586" s="11"/>
      <c r="U1586" s="9"/>
      <c r="X1586" s="9"/>
    </row>
    <row r="1587">
      <c r="D1587" s="9"/>
      <c r="G1587" s="9"/>
      <c r="J1587" s="11"/>
      <c r="U1587" s="9"/>
      <c r="X1587" s="9"/>
    </row>
    <row r="1588">
      <c r="D1588" s="9"/>
      <c r="G1588" s="9"/>
      <c r="J1588" s="11"/>
      <c r="U1588" s="9"/>
      <c r="X1588" s="9"/>
    </row>
    <row r="1589">
      <c r="D1589" s="9"/>
      <c r="G1589" s="9"/>
      <c r="J1589" s="11"/>
      <c r="U1589" s="9"/>
      <c r="X1589" s="9"/>
    </row>
    <row r="1590">
      <c r="D1590" s="9"/>
      <c r="G1590" s="9"/>
      <c r="J1590" s="11"/>
      <c r="U1590" s="9"/>
      <c r="X1590" s="9"/>
    </row>
    <row r="1591">
      <c r="D1591" s="9"/>
      <c r="G1591" s="9"/>
      <c r="J1591" s="11"/>
      <c r="U1591" s="9"/>
      <c r="X1591" s="9"/>
    </row>
    <row r="1592">
      <c r="D1592" s="9"/>
      <c r="G1592" s="9"/>
      <c r="J1592" s="11"/>
      <c r="U1592" s="9"/>
      <c r="X1592" s="9"/>
    </row>
    <row r="1593">
      <c r="D1593" s="9"/>
      <c r="G1593" s="9"/>
      <c r="J1593" s="11"/>
      <c r="U1593" s="9"/>
      <c r="X1593" s="9"/>
    </row>
    <row r="1594">
      <c r="D1594" s="9"/>
      <c r="G1594" s="9"/>
      <c r="J1594" s="11"/>
      <c r="U1594" s="9"/>
      <c r="X1594" s="9"/>
    </row>
    <row r="1595">
      <c r="D1595" s="9"/>
      <c r="G1595" s="9"/>
      <c r="J1595" s="11"/>
      <c r="U1595" s="9"/>
      <c r="X1595" s="9"/>
    </row>
    <row r="1596">
      <c r="D1596" s="9"/>
      <c r="G1596" s="9"/>
      <c r="J1596" s="11"/>
      <c r="U1596" s="9"/>
      <c r="X1596" s="9"/>
    </row>
    <row r="1597">
      <c r="D1597" s="9"/>
      <c r="G1597" s="9"/>
      <c r="J1597" s="11"/>
      <c r="U1597" s="9"/>
      <c r="X1597" s="9"/>
    </row>
    <row r="1598">
      <c r="D1598" s="9"/>
      <c r="G1598" s="9"/>
      <c r="J1598" s="11"/>
      <c r="U1598" s="9"/>
      <c r="X1598" s="9"/>
    </row>
    <row r="1599">
      <c r="D1599" s="9"/>
      <c r="G1599" s="9"/>
      <c r="J1599" s="11"/>
      <c r="U1599" s="9"/>
      <c r="X1599" s="9"/>
    </row>
    <row r="1600">
      <c r="D1600" s="9"/>
      <c r="G1600" s="9"/>
      <c r="J1600" s="11"/>
      <c r="U1600" s="9"/>
      <c r="X1600" s="9"/>
    </row>
    <row r="1601">
      <c r="D1601" s="9"/>
      <c r="G1601" s="9"/>
      <c r="J1601" s="11"/>
      <c r="U1601" s="9"/>
      <c r="X1601" s="9"/>
    </row>
    <row r="1602">
      <c r="D1602" s="9"/>
      <c r="G1602" s="9"/>
      <c r="J1602" s="11"/>
      <c r="U1602" s="9"/>
      <c r="X1602" s="9"/>
    </row>
    <row r="1603">
      <c r="D1603" s="9"/>
      <c r="G1603" s="9"/>
      <c r="J1603" s="11"/>
      <c r="U1603" s="9"/>
      <c r="X1603" s="9"/>
    </row>
    <row r="1604">
      <c r="D1604" s="9"/>
      <c r="G1604" s="9"/>
      <c r="J1604" s="11"/>
      <c r="U1604" s="9"/>
      <c r="X1604" s="9"/>
    </row>
    <row r="1605">
      <c r="D1605" s="9"/>
      <c r="G1605" s="9"/>
      <c r="J1605" s="11"/>
      <c r="U1605" s="9"/>
      <c r="X1605" s="9"/>
    </row>
    <row r="1606">
      <c r="D1606" s="9"/>
      <c r="G1606" s="9"/>
      <c r="J1606" s="11"/>
      <c r="U1606" s="9"/>
      <c r="X1606" s="9"/>
    </row>
    <row r="1607">
      <c r="D1607" s="9"/>
      <c r="G1607" s="9"/>
      <c r="J1607" s="11"/>
      <c r="U1607" s="9"/>
      <c r="X1607" s="9"/>
    </row>
    <row r="1608">
      <c r="D1608" s="9"/>
      <c r="G1608" s="9"/>
      <c r="J1608" s="11"/>
      <c r="U1608" s="9"/>
      <c r="X1608" s="9"/>
    </row>
    <row r="1609">
      <c r="D1609" s="9"/>
      <c r="G1609" s="9"/>
      <c r="J1609" s="11"/>
      <c r="U1609" s="9"/>
      <c r="X1609" s="9"/>
    </row>
    <row r="1610">
      <c r="D1610" s="9"/>
      <c r="G1610" s="9"/>
      <c r="J1610" s="11"/>
      <c r="U1610" s="9"/>
      <c r="X1610" s="9"/>
    </row>
    <row r="1611">
      <c r="D1611" s="9"/>
      <c r="G1611" s="9"/>
      <c r="J1611" s="11"/>
      <c r="U1611" s="9"/>
      <c r="X1611" s="9"/>
    </row>
    <row r="1612">
      <c r="D1612" s="9"/>
      <c r="G1612" s="9"/>
      <c r="J1612" s="11"/>
      <c r="U1612" s="9"/>
      <c r="X1612" s="9"/>
    </row>
    <row r="1613">
      <c r="D1613" s="9"/>
      <c r="G1613" s="9"/>
      <c r="J1613" s="11"/>
      <c r="U1613" s="9"/>
      <c r="X1613" s="9"/>
    </row>
    <row r="1614">
      <c r="D1614" s="9"/>
      <c r="G1614" s="9"/>
      <c r="J1614" s="11"/>
      <c r="U1614" s="9"/>
      <c r="X1614" s="9"/>
    </row>
    <row r="1615">
      <c r="D1615" s="9"/>
      <c r="G1615" s="9"/>
      <c r="J1615" s="11"/>
      <c r="U1615" s="9"/>
      <c r="X1615" s="9"/>
    </row>
    <row r="1616">
      <c r="D1616" s="9"/>
      <c r="G1616" s="9"/>
      <c r="J1616" s="11"/>
      <c r="U1616" s="9"/>
      <c r="X1616" s="9"/>
    </row>
    <row r="1617">
      <c r="D1617" s="9"/>
      <c r="G1617" s="9"/>
      <c r="J1617" s="11"/>
      <c r="U1617" s="9"/>
      <c r="X1617" s="9"/>
    </row>
    <row r="1618">
      <c r="D1618" s="9"/>
      <c r="G1618" s="9"/>
      <c r="J1618" s="11"/>
      <c r="U1618" s="9"/>
      <c r="X1618" s="9"/>
    </row>
    <row r="1619">
      <c r="D1619" s="9"/>
      <c r="G1619" s="9"/>
      <c r="J1619" s="11"/>
      <c r="U1619" s="9"/>
      <c r="X1619" s="9"/>
    </row>
    <row r="1620">
      <c r="D1620" s="9"/>
      <c r="G1620" s="9"/>
      <c r="J1620" s="11"/>
      <c r="U1620" s="9"/>
      <c r="X1620" s="9"/>
    </row>
    <row r="1621">
      <c r="D1621" s="9"/>
      <c r="G1621" s="9"/>
      <c r="J1621" s="11"/>
      <c r="U1621" s="9"/>
      <c r="X1621" s="9"/>
    </row>
    <row r="1622">
      <c r="D1622" s="9"/>
      <c r="G1622" s="9"/>
      <c r="J1622" s="11"/>
      <c r="U1622" s="9"/>
      <c r="X1622" s="9"/>
    </row>
    <row r="1623">
      <c r="D1623" s="9"/>
      <c r="G1623" s="9"/>
      <c r="J1623" s="11"/>
      <c r="U1623" s="9"/>
      <c r="X1623" s="9"/>
    </row>
    <row r="1624">
      <c r="D1624" s="9"/>
      <c r="G1624" s="9"/>
      <c r="J1624" s="11"/>
      <c r="U1624" s="9"/>
      <c r="X1624" s="9"/>
    </row>
    <row r="1625">
      <c r="D1625" s="9"/>
      <c r="G1625" s="9"/>
      <c r="J1625" s="11"/>
      <c r="U1625" s="9"/>
      <c r="X1625" s="9"/>
    </row>
    <row r="1626">
      <c r="D1626" s="9"/>
      <c r="G1626" s="9"/>
      <c r="J1626" s="11"/>
      <c r="U1626" s="9"/>
      <c r="X1626" s="9"/>
    </row>
    <row r="1627">
      <c r="D1627" s="9"/>
      <c r="G1627" s="9"/>
      <c r="J1627" s="11"/>
      <c r="U1627" s="9"/>
      <c r="X1627" s="9"/>
    </row>
    <row r="1628">
      <c r="D1628" s="9"/>
      <c r="G1628" s="9"/>
      <c r="J1628" s="11"/>
      <c r="U1628" s="9"/>
      <c r="X1628" s="9"/>
    </row>
    <row r="1629">
      <c r="D1629" s="9"/>
      <c r="G1629" s="9"/>
      <c r="J1629" s="11"/>
      <c r="U1629" s="9"/>
      <c r="X1629" s="9"/>
    </row>
    <row r="1630">
      <c r="D1630" s="9"/>
      <c r="G1630" s="9"/>
      <c r="J1630" s="11"/>
      <c r="U1630" s="9"/>
      <c r="X1630" s="9"/>
    </row>
    <row r="1631">
      <c r="D1631" s="9"/>
      <c r="G1631" s="9"/>
      <c r="J1631" s="11"/>
      <c r="U1631" s="9"/>
      <c r="X1631" s="9"/>
    </row>
    <row r="1632">
      <c r="D1632" s="9"/>
      <c r="G1632" s="9"/>
      <c r="J1632" s="11"/>
      <c r="U1632" s="9"/>
      <c r="X1632" s="9"/>
    </row>
    <row r="1633">
      <c r="D1633" s="9"/>
      <c r="G1633" s="9"/>
      <c r="J1633" s="11"/>
      <c r="U1633" s="9"/>
      <c r="X1633" s="9"/>
    </row>
    <row r="1634">
      <c r="D1634" s="9"/>
      <c r="G1634" s="9"/>
      <c r="J1634" s="11"/>
      <c r="U1634" s="9"/>
      <c r="X1634" s="9"/>
    </row>
    <row r="1635">
      <c r="D1635" s="9"/>
      <c r="G1635" s="9"/>
      <c r="J1635" s="11"/>
      <c r="U1635" s="9"/>
      <c r="X1635" s="9"/>
    </row>
    <row r="1636">
      <c r="D1636" s="9"/>
      <c r="G1636" s="9"/>
      <c r="J1636" s="11"/>
      <c r="U1636" s="9"/>
      <c r="X1636" s="9"/>
    </row>
    <row r="1637">
      <c r="D1637" s="9"/>
      <c r="G1637" s="9"/>
      <c r="J1637" s="11"/>
      <c r="U1637" s="9"/>
      <c r="X1637" s="9"/>
    </row>
    <row r="1638">
      <c r="D1638" s="9"/>
      <c r="G1638" s="9"/>
      <c r="J1638" s="11"/>
      <c r="U1638" s="9"/>
      <c r="X1638" s="9"/>
    </row>
    <row r="1639">
      <c r="D1639" s="9"/>
      <c r="G1639" s="9"/>
      <c r="J1639" s="11"/>
      <c r="U1639" s="9"/>
      <c r="X1639" s="9"/>
    </row>
    <row r="1640">
      <c r="D1640" s="9"/>
      <c r="G1640" s="9"/>
      <c r="J1640" s="11"/>
      <c r="U1640" s="9"/>
      <c r="X1640" s="9"/>
    </row>
    <row r="1641">
      <c r="D1641" s="9"/>
      <c r="G1641" s="9"/>
      <c r="J1641" s="11"/>
      <c r="U1641" s="9"/>
      <c r="X1641" s="9"/>
    </row>
    <row r="1642">
      <c r="D1642" s="9"/>
      <c r="G1642" s="9"/>
      <c r="J1642" s="11"/>
      <c r="U1642" s="9"/>
      <c r="X1642" s="9"/>
    </row>
    <row r="1643">
      <c r="D1643" s="9"/>
      <c r="G1643" s="9"/>
      <c r="J1643" s="11"/>
      <c r="U1643" s="9"/>
      <c r="X1643" s="9"/>
    </row>
    <row r="1644">
      <c r="D1644" s="9"/>
      <c r="G1644" s="9"/>
      <c r="J1644" s="11"/>
      <c r="U1644" s="9"/>
      <c r="X1644" s="9"/>
    </row>
    <row r="1645">
      <c r="D1645" s="9"/>
      <c r="G1645" s="9"/>
      <c r="J1645" s="11"/>
      <c r="U1645" s="9"/>
      <c r="X1645" s="9"/>
    </row>
    <row r="1646">
      <c r="D1646" s="9"/>
      <c r="G1646" s="9"/>
      <c r="J1646" s="11"/>
      <c r="U1646" s="9"/>
      <c r="X1646" s="9"/>
    </row>
    <row r="1647">
      <c r="D1647" s="9"/>
      <c r="G1647" s="9"/>
      <c r="J1647" s="11"/>
      <c r="U1647" s="9"/>
      <c r="X1647" s="9"/>
    </row>
    <row r="1648">
      <c r="D1648" s="9"/>
      <c r="G1648" s="9"/>
      <c r="J1648" s="11"/>
      <c r="U1648" s="9"/>
      <c r="X1648" s="9"/>
    </row>
    <row r="1649">
      <c r="D1649" s="9"/>
      <c r="G1649" s="9"/>
      <c r="J1649" s="11"/>
      <c r="U1649" s="9"/>
      <c r="X1649" s="9"/>
    </row>
    <row r="1650">
      <c r="D1650" s="9"/>
      <c r="G1650" s="9"/>
      <c r="J1650" s="11"/>
      <c r="U1650" s="9"/>
      <c r="X1650" s="9"/>
    </row>
    <row r="1651">
      <c r="D1651" s="9"/>
      <c r="G1651" s="9"/>
      <c r="J1651" s="11"/>
      <c r="U1651" s="9"/>
      <c r="X1651" s="9"/>
    </row>
    <row r="1652">
      <c r="D1652" s="9"/>
      <c r="G1652" s="9"/>
      <c r="J1652" s="11"/>
      <c r="U1652" s="9"/>
      <c r="X1652" s="9"/>
    </row>
    <row r="1653">
      <c r="D1653" s="9"/>
      <c r="G1653" s="9"/>
      <c r="J1653" s="11"/>
      <c r="U1653" s="9"/>
      <c r="X1653" s="9"/>
    </row>
    <row r="1654">
      <c r="D1654" s="9"/>
      <c r="G1654" s="9"/>
      <c r="J1654" s="11"/>
      <c r="U1654" s="9"/>
      <c r="X1654" s="9"/>
    </row>
    <row r="1655">
      <c r="D1655" s="9"/>
      <c r="G1655" s="9"/>
      <c r="J1655" s="11"/>
      <c r="U1655" s="9"/>
      <c r="X1655" s="9"/>
    </row>
    <row r="1656">
      <c r="D1656" s="9"/>
      <c r="G1656" s="9"/>
      <c r="J1656" s="11"/>
      <c r="U1656" s="9"/>
      <c r="X1656" s="9"/>
    </row>
    <row r="1657">
      <c r="D1657" s="9"/>
      <c r="G1657" s="9"/>
      <c r="J1657" s="11"/>
      <c r="U1657" s="9"/>
      <c r="X1657" s="9"/>
    </row>
    <row r="1658">
      <c r="D1658" s="9"/>
      <c r="G1658" s="9"/>
      <c r="J1658" s="11"/>
      <c r="U1658" s="9"/>
      <c r="X1658" s="9"/>
    </row>
    <row r="1659">
      <c r="D1659" s="9"/>
      <c r="G1659" s="9"/>
      <c r="J1659" s="11"/>
      <c r="U1659" s="9"/>
      <c r="X1659" s="9"/>
    </row>
    <row r="1660">
      <c r="D1660" s="9"/>
      <c r="G1660" s="9"/>
      <c r="J1660" s="11"/>
      <c r="U1660" s="9"/>
      <c r="X1660" s="9"/>
    </row>
    <row r="1661">
      <c r="D1661" s="9"/>
      <c r="G1661" s="9"/>
      <c r="J1661" s="11"/>
      <c r="U1661" s="9"/>
      <c r="X1661" s="9"/>
    </row>
    <row r="1662">
      <c r="D1662" s="9"/>
      <c r="G1662" s="9"/>
      <c r="J1662" s="11"/>
      <c r="U1662" s="9"/>
      <c r="X1662" s="9"/>
    </row>
    <row r="1663">
      <c r="D1663" s="9"/>
      <c r="G1663" s="9"/>
      <c r="J1663" s="11"/>
      <c r="U1663" s="9"/>
      <c r="X1663" s="9"/>
    </row>
    <row r="1664">
      <c r="D1664" s="9"/>
      <c r="G1664" s="9"/>
      <c r="J1664" s="11"/>
      <c r="U1664" s="9"/>
      <c r="X1664" s="9"/>
    </row>
    <row r="1665">
      <c r="D1665" s="9"/>
      <c r="G1665" s="9"/>
      <c r="J1665" s="11"/>
      <c r="U1665" s="9"/>
      <c r="X1665" s="9"/>
    </row>
    <row r="1666">
      <c r="D1666" s="9"/>
      <c r="G1666" s="9"/>
      <c r="J1666" s="11"/>
      <c r="U1666" s="9"/>
      <c r="X1666" s="9"/>
    </row>
    <row r="1667">
      <c r="D1667" s="9"/>
      <c r="G1667" s="9"/>
      <c r="J1667" s="11"/>
      <c r="U1667" s="9"/>
      <c r="X1667" s="9"/>
    </row>
    <row r="1668">
      <c r="D1668" s="9"/>
      <c r="G1668" s="9"/>
      <c r="J1668" s="11"/>
      <c r="U1668" s="9"/>
      <c r="X1668" s="9"/>
    </row>
    <row r="1669">
      <c r="D1669" s="9"/>
      <c r="G1669" s="9"/>
      <c r="J1669" s="11"/>
      <c r="U1669" s="9"/>
      <c r="X1669" s="9"/>
    </row>
    <row r="1670">
      <c r="D1670" s="9"/>
      <c r="G1670" s="9"/>
      <c r="J1670" s="11"/>
      <c r="U1670" s="9"/>
      <c r="X1670" s="9"/>
    </row>
    <row r="1671">
      <c r="D1671" s="9"/>
      <c r="G1671" s="9"/>
      <c r="J1671" s="11"/>
      <c r="U1671" s="9"/>
      <c r="X1671" s="9"/>
    </row>
    <row r="1672">
      <c r="D1672" s="9"/>
      <c r="G1672" s="9"/>
      <c r="J1672" s="11"/>
      <c r="U1672" s="9"/>
      <c r="X1672" s="9"/>
    </row>
    <row r="1673">
      <c r="D1673" s="9"/>
      <c r="G1673" s="9"/>
      <c r="J1673" s="11"/>
      <c r="U1673" s="9"/>
      <c r="X1673" s="9"/>
    </row>
    <row r="1674">
      <c r="D1674" s="9"/>
      <c r="G1674" s="9"/>
      <c r="J1674" s="11"/>
      <c r="U1674" s="9"/>
      <c r="X1674" s="9"/>
    </row>
    <row r="1675">
      <c r="D1675" s="9"/>
      <c r="G1675" s="9"/>
      <c r="J1675" s="11"/>
      <c r="U1675" s="9"/>
      <c r="X1675" s="9"/>
    </row>
    <row r="1676">
      <c r="D1676" s="9"/>
      <c r="G1676" s="9"/>
      <c r="J1676" s="11"/>
      <c r="U1676" s="9"/>
      <c r="X1676" s="9"/>
    </row>
    <row r="1677">
      <c r="D1677" s="9"/>
      <c r="G1677" s="9"/>
      <c r="J1677" s="11"/>
      <c r="U1677" s="9"/>
      <c r="X1677" s="9"/>
    </row>
    <row r="1678">
      <c r="D1678" s="9"/>
      <c r="G1678" s="9"/>
      <c r="J1678" s="11"/>
      <c r="U1678" s="9"/>
      <c r="X1678" s="9"/>
    </row>
    <row r="1679">
      <c r="D1679" s="9"/>
      <c r="G1679" s="9"/>
      <c r="J1679" s="11"/>
      <c r="U1679" s="9"/>
      <c r="X1679" s="9"/>
    </row>
    <row r="1680">
      <c r="D1680" s="9"/>
      <c r="G1680" s="9"/>
      <c r="J1680" s="11"/>
      <c r="U1680" s="9"/>
      <c r="X1680" s="9"/>
    </row>
    <row r="1681">
      <c r="D1681" s="9"/>
      <c r="G1681" s="9"/>
      <c r="J1681" s="11"/>
      <c r="U1681" s="9"/>
      <c r="X1681" s="9"/>
    </row>
    <row r="1682">
      <c r="D1682" s="9"/>
      <c r="G1682" s="9"/>
      <c r="J1682" s="11"/>
      <c r="U1682" s="9"/>
      <c r="X1682" s="9"/>
    </row>
    <row r="1683">
      <c r="D1683" s="9"/>
      <c r="G1683" s="9"/>
      <c r="J1683" s="11"/>
      <c r="U1683" s="9"/>
      <c r="X1683" s="9"/>
    </row>
    <row r="1684">
      <c r="D1684" s="9"/>
      <c r="G1684" s="9"/>
      <c r="J1684" s="11"/>
      <c r="U1684" s="9"/>
      <c r="X1684" s="9"/>
    </row>
    <row r="1685">
      <c r="D1685" s="9"/>
      <c r="G1685" s="9"/>
      <c r="J1685" s="11"/>
      <c r="U1685" s="9"/>
      <c r="X1685" s="9"/>
    </row>
    <row r="1686">
      <c r="D1686" s="9"/>
      <c r="G1686" s="9"/>
      <c r="J1686" s="11"/>
      <c r="U1686" s="9"/>
      <c r="X1686" s="9"/>
    </row>
    <row r="1687">
      <c r="D1687" s="9"/>
      <c r="G1687" s="9"/>
      <c r="J1687" s="11"/>
      <c r="U1687" s="9"/>
      <c r="X1687" s="9"/>
    </row>
    <row r="1688">
      <c r="D1688" s="9"/>
      <c r="G1688" s="9"/>
      <c r="J1688" s="11"/>
      <c r="U1688" s="9"/>
      <c r="X1688" s="9"/>
    </row>
    <row r="1689">
      <c r="D1689" s="9"/>
      <c r="G1689" s="9"/>
      <c r="J1689" s="11"/>
      <c r="U1689" s="9"/>
      <c r="X1689" s="9"/>
    </row>
    <row r="1690">
      <c r="D1690" s="9"/>
      <c r="G1690" s="9"/>
      <c r="J1690" s="11"/>
      <c r="U1690" s="9"/>
      <c r="X1690" s="9"/>
    </row>
    <row r="1691">
      <c r="D1691" s="9"/>
      <c r="G1691" s="9"/>
      <c r="J1691" s="11"/>
      <c r="U1691" s="9"/>
      <c r="X1691" s="9"/>
    </row>
    <row r="1692">
      <c r="D1692" s="9"/>
      <c r="G1692" s="9"/>
      <c r="J1692" s="11"/>
      <c r="U1692" s="9"/>
      <c r="X1692" s="9"/>
    </row>
    <row r="1693">
      <c r="D1693" s="9"/>
      <c r="G1693" s="9"/>
      <c r="J1693" s="11"/>
      <c r="U1693" s="9"/>
      <c r="X1693" s="9"/>
    </row>
    <row r="1694">
      <c r="D1694" s="9"/>
      <c r="G1694" s="9"/>
      <c r="J1694" s="11"/>
      <c r="U1694" s="9"/>
      <c r="X1694" s="9"/>
    </row>
    <row r="1695">
      <c r="D1695" s="9"/>
      <c r="G1695" s="9"/>
      <c r="J1695" s="11"/>
      <c r="U1695" s="9"/>
      <c r="X1695" s="9"/>
    </row>
    <row r="1696">
      <c r="D1696" s="9"/>
      <c r="G1696" s="9"/>
      <c r="J1696" s="11"/>
      <c r="U1696" s="9"/>
      <c r="X1696" s="9"/>
    </row>
    <row r="1697">
      <c r="D1697" s="9"/>
      <c r="G1697" s="9"/>
      <c r="J1697" s="11"/>
      <c r="U1697" s="9"/>
      <c r="X1697" s="9"/>
    </row>
    <row r="1698">
      <c r="D1698" s="9"/>
      <c r="G1698" s="9"/>
      <c r="J1698" s="11"/>
      <c r="U1698" s="9"/>
      <c r="X1698" s="9"/>
    </row>
    <row r="1699">
      <c r="D1699" s="9"/>
      <c r="G1699" s="9"/>
      <c r="J1699" s="11"/>
      <c r="U1699" s="9"/>
      <c r="X1699" s="9"/>
    </row>
    <row r="1700">
      <c r="D1700" s="9"/>
      <c r="G1700" s="9"/>
      <c r="J1700" s="11"/>
      <c r="U1700" s="9"/>
      <c r="X1700" s="9"/>
    </row>
    <row r="1701">
      <c r="D1701" s="9"/>
      <c r="G1701" s="9"/>
      <c r="J1701" s="11"/>
      <c r="U1701" s="9"/>
      <c r="X1701" s="9"/>
    </row>
    <row r="1702">
      <c r="D1702" s="9"/>
      <c r="G1702" s="9"/>
      <c r="J1702" s="11"/>
      <c r="U1702" s="9"/>
      <c r="X1702" s="9"/>
    </row>
    <row r="1703">
      <c r="D1703" s="9"/>
      <c r="G1703" s="9"/>
      <c r="J1703" s="11"/>
      <c r="U1703" s="9"/>
      <c r="X1703" s="9"/>
    </row>
    <row r="1704">
      <c r="D1704" s="9"/>
      <c r="G1704" s="9"/>
      <c r="J1704" s="11"/>
      <c r="U1704" s="9"/>
      <c r="X1704" s="9"/>
    </row>
    <row r="1705">
      <c r="D1705" s="9"/>
      <c r="G1705" s="9"/>
      <c r="J1705" s="11"/>
      <c r="U1705" s="9"/>
      <c r="X1705" s="9"/>
    </row>
    <row r="1706">
      <c r="D1706" s="9"/>
      <c r="G1706" s="9"/>
      <c r="J1706" s="11"/>
      <c r="U1706" s="9"/>
      <c r="X1706" s="9"/>
    </row>
    <row r="1707">
      <c r="D1707" s="9"/>
      <c r="G1707" s="9"/>
      <c r="J1707" s="11"/>
      <c r="U1707" s="9"/>
      <c r="X1707" s="9"/>
    </row>
    <row r="1708">
      <c r="D1708" s="9"/>
      <c r="G1708" s="9"/>
      <c r="J1708" s="11"/>
      <c r="U1708" s="9"/>
      <c r="X1708" s="9"/>
    </row>
    <row r="1709">
      <c r="D1709" s="9"/>
      <c r="G1709" s="9"/>
      <c r="J1709" s="11"/>
      <c r="U1709" s="9"/>
      <c r="X1709" s="9"/>
    </row>
    <row r="1710">
      <c r="D1710" s="9"/>
      <c r="G1710" s="9"/>
      <c r="J1710" s="11"/>
      <c r="U1710" s="9"/>
      <c r="X1710" s="9"/>
    </row>
    <row r="1711">
      <c r="D1711" s="9"/>
      <c r="G1711" s="9"/>
      <c r="J1711" s="11"/>
      <c r="U1711" s="9"/>
      <c r="X1711" s="9"/>
    </row>
    <row r="1712">
      <c r="D1712" s="9"/>
      <c r="G1712" s="9"/>
      <c r="J1712" s="11"/>
      <c r="U1712" s="9"/>
      <c r="X1712" s="9"/>
    </row>
    <row r="1713">
      <c r="D1713" s="9"/>
      <c r="G1713" s="9"/>
      <c r="J1713" s="11"/>
      <c r="U1713" s="9"/>
      <c r="X1713" s="9"/>
    </row>
    <row r="1714">
      <c r="D1714" s="9"/>
      <c r="G1714" s="9"/>
      <c r="J1714" s="11"/>
      <c r="U1714" s="9"/>
      <c r="X1714" s="9"/>
    </row>
    <row r="1715">
      <c r="D1715" s="9"/>
      <c r="G1715" s="9"/>
      <c r="J1715" s="11"/>
      <c r="U1715" s="9"/>
      <c r="X1715" s="9"/>
    </row>
    <row r="1716">
      <c r="D1716" s="9"/>
      <c r="G1716" s="9"/>
      <c r="J1716" s="11"/>
      <c r="U1716" s="9"/>
      <c r="X1716" s="9"/>
    </row>
    <row r="1717">
      <c r="D1717" s="9"/>
      <c r="G1717" s="9"/>
      <c r="J1717" s="11"/>
      <c r="U1717" s="9"/>
      <c r="X1717" s="9"/>
    </row>
    <row r="1718">
      <c r="D1718" s="9"/>
      <c r="G1718" s="9"/>
      <c r="J1718" s="11"/>
      <c r="U1718" s="9"/>
      <c r="X1718" s="9"/>
    </row>
    <row r="1719">
      <c r="D1719" s="9"/>
      <c r="G1719" s="9"/>
      <c r="J1719" s="11"/>
      <c r="U1719" s="9"/>
      <c r="X1719" s="9"/>
    </row>
    <row r="1720">
      <c r="D1720" s="9"/>
      <c r="G1720" s="9"/>
      <c r="J1720" s="11"/>
      <c r="U1720" s="9"/>
      <c r="X1720" s="9"/>
    </row>
    <row r="1721">
      <c r="D1721" s="9"/>
      <c r="G1721" s="9"/>
      <c r="J1721" s="11"/>
      <c r="U1721" s="9"/>
      <c r="X1721" s="9"/>
    </row>
    <row r="1722">
      <c r="D1722" s="9"/>
      <c r="G1722" s="9"/>
      <c r="J1722" s="11"/>
      <c r="U1722" s="9"/>
      <c r="X1722" s="9"/>
    </row>
    <row r="1723">
      <c r="D1723" s="9"/>
      <c r="G1723" s="9"/>
      <c r="J1723" s="11"/>
      <c r="U1723" s="9"/>
      <c r="X1723" s="9"/>
    </row>
    <row r="1724">
      <c r="D1724" s="9"/>
      <c r="G1724" s="9"/>
      <c r="J1724" s="11"/>
      <c r="U1724" s="9"/>
      <c r="X1724" s="9"/>
    </row>
    <row r="1725">
      <c r="D1725" s="9"/>
      <c r="G1725" s="9"/>
      <c r="J1725" s="11"/>
      <c r="U1725" s="9"/>
      <c r="X1725" s="9"/>
    </row>
    <row r="1726">
      <c r="D1726" s="9"/>
      <c r="G1726" s="9"/>
      <c r="J1726" s="11"/>
      <c r="U1726" s="9"/>
      <c r="X1726" s="9"/>
    </row>
    <row r="1727">
      <c r="D1727" s="9"/>
      <c r="G1727" s="9"/>
      <c r="J1727" s="11"/>
      <c r="U1727" s="9"/>
      <c r="X1727" s="9"/>
    </row>
    <row r="1728">
      <c r="D1728" s="9"/>
      <c r="G1728" s="9"/>
      <c r="J1728" s="11"/>
      <c r="U1728" s="9"/>
      <c r="X1728" s="9"/>
    </row>
    <row r="1729">
      <c r="D1729" s="9"/>
      <c r="G1729" s="9"/>
      <c r="J1729" s="11"/>
      <c r="U1729" s="9"/>
      <c r="X1729" s="9"/>
    </row>
    <row r="1730">
      <c r="D1730" s="9"/>
      <c r="G1730" s="9"/>
      <c r="J1730" s="11"/>
      <c r="U1730" s="9"/>
      <c r="X1730" s="9"/>
    </row>
    <row r="1731">
      <c r="D1731" s="9"/>
      <c r="G1731" s="9"/>
      <c r="J1731" s="11"/>
      <c r="U1731" s="9"/>
      <c r="X1731" s="9"/>
    </row>
    <row r="1732">
      <c r="D1732" s="9"/>
      <c r="G1732" s="9"/>
      <c r="J1732" s="11"/>
      <c r="U1732" s="9"/>
      <c r="X1732" s="9"/>
    </row>
    <row r="1733">
      <c r="D1733" s="9"/>
      <c r="G1733" s="9"/>
      <c r="J1733" s="11"/>
      <c r="U1733" s="9"/>
      <c r="X1733" s="9"/>
    </row>
    <row r="1734">
      <c r="D1734" s="9"/>
      <c r="G1734" s="9"/>
      <c r="J1734" s="11"/>
      <c r="U1734" s="9"/>
      <c r="X1734" s="9"/>
    </row>
    <row r="1735">
      <c r="D1735" s="9"/>
      <c r="G1735" s="9"/>
      <c r="J1735" s="11"/>
      <c r="U1735" s="9"/>
      <c r="X1735" s="9"/>
    </row>
    <row r="1736">
      <c r="D1736" s="9"/>
      <c r="G1736" s="9"/>
      <c r="J1736" s="11"/>
      <c r="U1736" s="9"/>
      <c r="X1736" s="9"/>
    </row>
    <row r="1737">
      <c r="D1737" s="9"/>
      <c r="G1737" s="9"/>
      <c r="J1737" s="11"/>
      <c r="U1737" s="9"/>
      <c r="X1737" s="9"/>
    </row>
    <row r="1738">
      <c r="D1738" s="9"/>
      <c r="G1738" s="9"/>
      <c r="J1738" s="11"/>
      <c r="U1738" s="9"/>
      <c r="X1738" s="9"/>
    </row>
    <row r="1739">
      <c r="D1739" s="9"/>
      <c r="G1739" s="9"/>
      <c r="J1739" s="11"/>
      <c r="U1739" s="9"/>
      <c r="X1739" s="9"/>
    </row>
    <row r="1740">
      <c r="D1740" s="9"/>
      <c r="G1740" s="9"/>
      <c r="J1740" s="11"/>
      <c r="U1740" s="9"/>
      <c r="X1740" s="9"/>
    </row>
    <row r="1741">
      <c r="D1741" s="9"/>
      <c r="G1741" s="9"/>
      <c r="J1741" s="11"/>
      <c r="U1741" s="9"/>
      <c r="X1741" s="9"/>
    </row>
    <row r="1742">
      <c r="D1742" s="9"/>
      <c r="G1742" s="9"/>
      <c r="J1742" s="11"/>
      <c r="U1742" s="9"/>
      <c r="X1742" s="9"/>
    </row>
    <row r="1743">
      <c r="D1743" s="9"/>
      <c r="G1743" s="9"/>
      <c r="J1743" s="11"/>
      <c r="U1743" s="9"/>
      <c r="X1743" s="9"/>
    </row>
    <row r="1744">
      <c r="D1744" s="9"/>
      <c r="G1744" s="9"/>
      <c r="J1744" s="11"/>
      <c r="U1744" s="9"/>
      <c r="X1744" s="9"/>
    </row>
    <row r="1745">
      <c r="D1745" s="9"/>
      <c r="G1745" s="9"/>
      <c r="J1745" s="11"/>
      <c r="U1745" s="9"/>
      <c r="X1745" s="9"/>
    </row>
    <row r="1746">
      <c r="D1746" s="9"/>
      <c r="G1746" s="9"/>
      <c r="J1746" s="11"/>
      <c r="U1746" s="9"/>
      <c r="X1746" s="9"/>
    </row>
    <row r="1747">
      <c r="D1747" s="9"/>
      <c r="G1747" s="9"/>
      <c r="J1747" s="11"/>
      <c r="U1747" s="9"/>
      <c r="X1747" s="9"/>
    </row>
    <row r="1748">
      <c r="D1748" s="9"/>
      <c r="G1748" s="9"/>
      <c r="J1748" s="11"/>
      <c r="U1748" s="9"/>
      <c r="X1748" s="9"/>
    </row>
    <row r="1749">
      <c r="D1749" s="9"/>
      <c r="G1749" s="9"/>
      <c r="J1749" s="11"/>
      <c r="U1749" s="9"/>
      <c r="X1749" s="9"/>
    </row>
    <row r="1750">
      <c r="D1750" s="9"/>
      <c r="G1750" s="9"/>
      <c r="J1750" s="11"/>
      <c r="U1750" s="9"/>
      <c r="X1750" s="9"/>
    </row>
    <row r="1751">
      <c r="D1751" s="9"/>
      <c r="G1751" s="9"/>
      <c r="J1751" s="11"/>
      <c r="U1751" s="9"/>
      <c r="X1751" s="9"/>
    </row>
    <row r="1752">
      <c r="D1752" s="9"/>
      <c r="G1752" s="9"/>
      <c r="J1752" s="11"/>
      <c r="U1752" s="9"/>
      <c r="X1752" s="9"/>
    </row>
    <row r="1753">
      <c r="D1753" s="9"/>
      <c r="G1753" s="9"/>
      <c r="J1753" s="11"/>
      <c r="U1753" s="9"/>
      <c r="X1753" s="9"/>
    </row>
    <row r="1754">
      <c r="D1754" s="9"/>
      <c r="G1754" s="9"/>
      <c r="J1754" s="11"/>
      <c r="U1754" s="9"/>
      <c r="X1754" s="9"/>
    </row>
    <row r="1755">
      <c r="D1755" s="9"/>
      <c r="G1755" s="9"/>
      <c r="J1755" s="11"/>
      <c r="U1755" s="9"/>
      <c r="X1755" s="9"/>
    </row>
    <row r="1756">
      <c r="D1756" s="9"/>
      <c r="G1756" s="9"/>
      <c r="J1756" s="11"/>
      <c r="U1756" s="9"/>
      <c r="X1756" s="9"/>
    </row>
    <row r="1757">
      <c r="D1757" s="9"/>
      <c r="G1757" s="9"/>
      <c r="J1757" s="11"/>
      <c r="U1757" s="9"/>
      <c r="X1757" s="9"/>
    </row>
    <row r="1758">
      <c r="D1758" s="9"/>
      <c r="G1758" s="9"/>
      <c r="J1758" s="11"/>
      <c r="U1758" s="9"/>
      <c r="X1758" s="9"/>
    </row>
    <row r="1759">
      <c r="D1759" s="9"/>
      <c r="G1759" s="9"/>
      <c r="J1759" s="11"/>
      <c r="U1759" s="9"/>
      <c r="X1759" s="9"/>
    </row>
    <row r="1760">
      <c r="D1760" s="9"/>
      <c r="G1760" s="9"/>
      <c r="J1760" s="11"/>
      <c r="U1760" s="9"/>
      <c r="X1760" s="9"/>
    </row>
    <row r="1761">
      <c r="D1761" s="9"/>
      <c r="G1761" s="9"/>
      <c r="J1761" s="11"/>
      <c r="U1761" s="9"/>
      <c r="X1761" s="9"/>
    </row>
    <row r="1762">
      <c r="D1762" s="9"/>
      <c r="G1762" s="9"/>
      <c r="J1762" s="11"/>
      <c r="U1762" s="9"/>
      <c r="X1762" s="9"/>
    </row>
    <row r="1763">
      <c r="D1763" s="9"/>
      <c r="G1763" s="9"/>
      <c r="J1763" s="11"/>
      <c r="U1763" s="9"/>
      <c r="X1763" s="9"/>
    </row>
    <row r="1764">
      <c r="D1764" s="9"/>
      <c r="G1764" s="9"/>
      <c r="J1764" s="11"/>
      <c r="U1764" s="9"/>
      <c r="X1764" s="9"/>
    </row>
    <row r="1765">
      <c r="D1765" s="9"/>
      <c r="G1765" s="9"/>
      <c r="J1765" s="11"/>
      <c r="U1765" s="9"/>
      <c r="X1765" s="9"/>
    </row>
    <row r="1766">
      <c r="D1766" s="9"/>
      <c r="G1766" s="9"/>
      <c r="J1766" s="11"/>
      <c r="U1766" s="9"/>
      <c r="X1766" s="9"/>
    </row>
    <row r="1767">
      <c r="D1767" s="9"/>
      <c r="G1767" s="9"/>
      <c r="J1767" s="11"/>
      <c r="U1767" s="9"/>
      <c r="X1767" s="9"/>
    </row>
    <row r="1768">
      <c r="D1768" s="9"/>
      <c r="G1768" s="9"/>
      <c r="J1768" s="11"/>
      <c r="U1768" s="9"/>
      <c r="X1768" s="9"/>
    </row>
    <row r="1769">
      <c r="D1769" s="9"/>
      <c r="G1769" s="9"/>
      <c r="J1769" s="11"/>
      <c r="U1769" s="9"/>
      <c r="X1769" s="9"/>
    </row>
    <row r="1770">
      <c r="D1770" s="9"/>
      <c r="G1770" s="9"/>
      <c r="J1770" s="11"/>
      <c r="U1770" s="9"/>
      <c r="X1770" s="9"/>
    </row>
    <row r="1771">
      <c r="D1771" s="9"/>
      <c r="G1771" s="9"/>
      <c r="J1771" s="11"/>
      <c r="U1771" s="9"/>
      <c r="X1771" s="9"/>
    </row>
    <row r="1772">
      <c r="D1772" s="9"/>
      <c r="G1772" s="9"/>
      <c r="J1772" s="11"/>
      <c r="U1772" s="9"/>
      <c r="X1772" s="9"/>
    </row>
    <row r="1773">
      <c r="D1773" s="9"/>
      <c r="G1773" s="9"/>
      <c r="J1773" s="11"/>
      <c r="U1773" s="9"/>
      <c r="X1773" s="9"/>
    </row>
    <row r="1774">
      <c r="D1774" s="9"/>
      <c r="G1774" s="9"/>
      <c r="J1774" s="11"/>
      <c r="U1774" s="9"/>
      <c r="X1774" s="9"/>
    </row>
    <row r="1775">
      <c r="D1775" s="9"/>
      <c r="G1775" s="9"/>
      <c r="J1775" s="11"/>
      <c r="U1775" s="9"/>
      <c r="X1775" s="9"/>
    </row>
    <row r="1776">
      <c r="D1776" s="9"/>
      <c r="G1776" s="9"/>
      <c r="J1776" s="11"/>
      <c r="U1776" s="9"/>
      <c r="X1776" s="9"/>
    </row>
    <row r="1777">
      <c r="D1777" s="9"/>
      <c r="G1777" s="9"/>
      <c r="J1777" s="11"/>
      <c r="U1777" s="9"/>
      <c r="X1777" s="9"/>
    </row>
    <row r="1778">
      <c r="D1778" s="9"/>
      <c r="G1778" s="9"/>
      <c r="J1778" s="11"/>
      <c r="U1778" s="9"/>
      <c r="X1778" s="9"/>
    </row>
    <row r="1779">
      <c r="D1779" s="9"/>
      <c r="G1779" s="9"/>
      <c r="J1779" s="11"/>
      <c r="U1779" s="9"/>
      <c r="X1779" s="9"/>
    </row>
    <row r="1780">
      <c r="D1780" s="9"/>
      <c r="G1780" s="9"/>
      <c r="J1780" s="11"/>
      <c r="U1780" s="9"/>
      <c r="X1780" s="9"/>
    </row>
    <row r="1781">
      <c r="D1781" s="9"/>
      <c r="G1781" s="9"/>
      <c r="J1781" s="11"/>
      <c r="U1781" s="9"/>
      <c r="X1781" s="9"/>
    </row>
    <row r="1782">
      <c r="D1782" s="9"/>
      <c r="G1782" s="9"/>
      <c r="J1782" s="11"/>
      <c r="U1782" s="9"/>
      <c r="X1782" s="9"/>
    </row>
    <row r="1783">
      <c r="D1783" s="9"/>
      <c r="G1783" s="9"/>
      <c r="J1783" s="11"/>
      <c r="U1783" s="9"/>
      <c r="X1783" s="9"/>
    </row>
    <row r="1784">
      <c r="D1784" s="9"/>
      <c r="G1784" s="9"/>
      <c r="J1784" s="11"/>
      <c r="U1784" s="9"/>
      <c r="X1784" s="9"/>
    </row>
    <row r="1785">
      <c r="D1785" s="9"/>
      <c r="G1785" s="9"/>
      <c r="J1785" s="11"/>
      <c r="U1785" s="9"/>
      <c r="X1785" s="9"/>
    </row>
    <row r="1786">
      <c r="D1786" s="9"/>
      <c r="G1786" s="9"/>
      <c r="J1786" s="11"/>
      <c r="U1786" s="9"/>
      <c r="X1786" s="9"/>
    </row>
    <row r="1787">
      <c r="D1787" s="9"/>
      <c r="G1787" s="9"/>
      <c r="J1787" s="11"/>
      <c r="U1787" s="9"/>
      <c r="X1787" s="9"/>
    </row>
    <row r="1788">
      <c r="D1788" s="9"/>
      <c r="G1788" s="9"/>
      <c r="J1788" s="11"/>
      <c r="U1788" s="9"/>
      <c r="X1788" s="9"/>
    </row>
    <row r="1789">
      <c r="D1789" s="9"/>
      <c r="G1789" s="9"/>
      <c r="J1789" s="11"/>
      <c r="U1789" s="9"/>
      <c r="X1789" s="9"/>
    </row>
    <row r="1790">
      <c r="D1790" s="9"/>
      <c r="G1790" s="9"/>
      <c r="J1790" s="11"/>
      <c r="U1790" s="9"/>
      <c r="X1790" s="9"/>
    </row>
    <row r="1791">
      <c r="D1791" s="9"/>
      <c r="G1791" s="9"/>
      <c r="J1791" s="11"/>
      <c r="U1791" s="9"/>
      <c r="X1791" s="9"/>
    </row>
    <row r="1792">
      <c r="D1792" s="9"/>
      <c r="G1792" s="9"/>
      <c r="J1792" s="11"/>
      <c r="U1792" s="9"/>
      <c r="X1792" s="9"/>
    </row>
    <row r="1793">
      <c r="D1793" s="9"/>
      <c r="G1793" s="9"/>
      <c r="J1793" s="11"/>
      <c r="U1793" s="9"/>
      <c r="X1793" s="9"/>
    </row>
    <row r="1794">
      <c r="D1794" s="9"/>
      <c r="G1794" s="9"/>
      <c r="J1794" s="11"/>
      <c r="U1794" s="9"/>
      <c r="X1794" s="9"/>
    </row>
    <row r="1795">
      <c r="D1795" s="9"/>
      <c r="G1795" s="9"/>
      <c r="J1795" s="11"/>
      <c r="U1795" s="9"/>
      <c r="X1795" s="9"/>
    </row>
    <row r="1796">
      <c r="D1796" s="9"/>
      <c r="G1796" s="9"/>
      <c r="J1796" s="11"/>
      <c r="U1796" s="9"/>
      <c r="X1796" s="9"/>
    </row>
    <row r="1797">
      <c r="D1797" s="9"/>
      <c r="G1797" s="9"/>
      <c r="J1797" s="11"/>
      <c r="U1797" s="9"/>
      <c r="X1797" s="9"/>
    </row>
    <row r="1798">
      <c r="D1798" s="9"/>
      <c r="G1798" s="9"/>
      <c r="J1798" s="11"/>
      <c r="U1798" s="9"/>
      <c r="X1798" s="9"/>
    </row>
    <row r="1799">
      <c r="D1799" s="9"/>
      <c r="G1799" s="9"/>
      <c r="J1799" s="11"/>
      <c r="U1799" s="9"/>
      <c r="X1799" s="9"/>
    </row>
    <row r="1800">
      <c r="D1800" s="9"/>
      <c r="G1800" s="9"/>
      <c r="J1800" s="11"/>
      <c r="U1800" s="9"/>
      <c r="X1800" s="9"/>
    </row>
    <row r="1801">
      <c r="D1801" s="9"/>
      <c r="G1801" s="9"/>
      <c r="J1801" s="11"/>
      <c r="U1801" s="9"/>
      <c r="X1801" s="9"/>
    </row>
    <row r="1802">
      <c r="D1802" s="9"/>
      <c r="G1802" s="9"/>
      <c r="J1802" s="11"/>
      <c r="U1802" s="9"/>
      <c r="X1802" s="9"/>
    </row>
    <row r="1803">
      <c r="D1803" s="9"/>
      <c r="G1803" s="9"/>
      <c r="J1803" s="11"/>
      <c r="U1803" s="9"/>
      <c r="X1803" s="9"/>
    </row>
    <row r="1804">
      <c r="D1804" s="9"/>
      <c r="G1804" s="9"/>
      <c r="J1804" s="11"/>
      <c r="U1804" s="9"/>
      <c r="X1804" s="9"/>
    </row>
    <row r="1805">
      <c r="D1805" s="9"/>
      <c r="G1805" s="9"/>
      <c r="J1805" s="11"/>
      <c r="U1805" s="9"/>
      <c r="X1805" s="9"/>
    </row>
    <row r="1806">
      <c r="D1806" s="9"/>
      <c r="G1806" s="9"/>
      <c r="J1806" s="11"/>
      <c r="U1806" s="9"/>
      <c r="X1806" s="9"/>
    </row>
    <row r="1807">
      <c r="D1807" s="9"/>
      <c r="G1807" s="9"/>
      <c r="J1807" s="11"/>
      <c r="U1807" s="9"/>
      <c r="X1807" s="9"/>
    </row>
    <row r="1808">
      <c r="D1808" s="9"/>
      <c r="G1808" s="9"/>
      <c r="J1808" s="11"/>
      <c r="U1808" s="9"/>
      <c r="X1808" s="9"/>
    </row>
    <row r="1809">
      <c r="D1809" s="9"/>
      <c r="G1809" s="9"/>
      <c r="J1809" s="11"/>
      <c r="U1809" s="9"/>
      <c r="X1809" s="9"/>
    </row>
    <row r="1810">
      <c r="D1810" s="9"/>
      <c r="G1810" s="9"/>
      <c r="J1810" s="11"/>
      <c r="U1810" s="9"/>
      <c r="X1810" s="9"/>
    </row>
    <row r="1811">
      <c r="D1811" s="9"/>
      <c r="G1811" s="9"/>
      <c r="J1811" s="11"/>
      <c r="U1811" s="9"/>
      <c r="X1811" s="9"/>
    </row>
    <row r="1812">
      <c r="D1812" s="9"/>
      <c r="G1812" s="9"/>
      <c r="J1812" s="11"/>
      <c r="U1812" s="9"/>
      <c r="X1812" s="9"/>
    </row>
    <row r="1813">
      <c r="D1813" s="9"/>
      <c r="G1813" s="9"/>
      <c r="J1813" s="11"/>
      <c r="U1813" s="9"/>
      <c r="X1813" s="9"/>
    </row>
    <row r="1814">
      <c r="D1814" s="9"/>
      <c r="G1814" s="9"/>
      <c r="J1814" s="11"/>
      <c r="U1814" s="9"/>
      <c r="X1814" s="9"/>
    </row>
    <row r="1815">
      <c r="D1815" s="9"/>
      <c r="G1815" s="9"/>
      <c r="J1815" s="11"/>
      <c r="U1815" s="9"/>
      <c r="X1815" s="9"/>
    </row>
    <row r="1816">
      <c r="D1816" s="9"/>
      <c r="G1816" s="9"/>
      <c r="J1816" s="11"/>
      <c r="U1816" s="9"/>
      <c r="X1816" s="9"/>
    </row>
    <row r="1817">
      <c r="D1817" s="9"/>
      <c r="G1817" s="9"/>
      <c r="J1817" s="11"/>
      <c r="U1817" s="9"/>
      <c r="X1817" s="9"/>
    </row>
    <row r="1818">
      <c r="D1818" s="9"/>
      <c r="G1818" s="9"/>
      <c r="J1818" s="11"/>
      <c r="U1818" s="9"/>
      <c r="X1818" s="9"/>
    </row>
    <row r="1819">
      <c r="D1819" s="9"/>
      <c r="G1819" s="9"/>
      <c r="J1819" s="11"/>
      <c r="U1819" s="9"/>
      <c r="X1819" s="9"/>
    </row>
    <row r="1820">
      <c r="D1820" s="9"/>
      <c r="G1820" s="9"/>
      <c r="J1820" s="11"/>
      <c r="U1820" s="9"/>
      <c r="X1820" s="9"/>
    </row>
    <row r="1821">
      <c r="D1821" s="9"/>
      <c r="G1821" s="9"/>
      <c r="J1821" s="11"/>
      <c r="U1821" s="9"/>
      <c r="X1821" s="9"/>
    </row>
    <row r="1822">
      <c r="D1822" s="9"/>
      <c r="G1822" s="9"/>
      <c r="J1822" s="11"/>
      <c r="U1822" s="9"/>
      <c r="X1822" s="9"/>
    </row>
    <row r="1823">
      <c r="D1823" s="9"/>
      <c r="G1823" s="9"/>
      <c r="J1823" s="11"/>
      <c r="U1823" s="9"/>
      <c r="X1823" s="9"/>
    </row>
    <row r="1824">
      <c r="D1824" s="9"/>
      <c r="G1824" s="9"/>
      <c r="J1824" s="11"/>
      <c r="U1824" s="9"/>
      <c r="X1824" s="9"/>
    </row>
    <row r="1825">
      <c r="D1825" s="9"/>
      <c r="G1825" s="9"/>
      <c r="J1825" s="11"/>
      <c r="U1825" s="9"/>
      <c r="X1825" s="9"/>
    </row>
    <row r="1826">
      <c r="D1826" s="9"/>
      <c r="G1826" s="9"/>
      <c r="J1826" s="11"/>
      <c r="U1826" s="9"/>
      <c r="X1826" s="9"/>
    </row>
    <row r="1827">
      <c r="D1827" s="9"/>
      <c r="G1827" s="9"/>
      <c r="J1827" s="11"/>
      <c r="U1827" s="9"/>
      <c r="X1827" s="9"/>
    </row>
    <row r="1828">
      <c r="D1828" s="9"/>
      <c r="G1828" s="9"/>
      <c r="J1828" s="11"/>
      <c r="U1828" s="9"/>
      <c r="X1828" s="9"/>
    </row>
    <row r="1829">
      <c r="D1829" s="9"/>
      <c r="G1829" s="9"/>
      <c r="J1829" s="11"/>
      <c r="U1829" s="9"/>
      <c r="X1829" s="9"/>
    </row>
    <row r="1830">
      <c r="D1830" s="9"/>
      <c r="G1830" s="9"/>
      <c r="J1830" s="11"/>
      <c r="U1830" s="9"/>
      <c r="X1830" s="9"/>
    </row>
    <row r="1831">
      <c r="D1831" s="9"/>
      <c r="G1831" s="9"/>
      <c r="J1831" s="11"/>
      <c r="U1831" s="9"/>
      <c r="X1831" s="9"/>
    </row>
    <row r="1832">
      <c r="D1832" s="9"/>
      <c r="G1832" s="9"/>
      <c r="J1832" s="11"/>
      <c r="U1832" s="9"/>
      <c r="X1832" s="9"/>
    </row>
    <row r="1833">
      <c r="D1833" s="9"/>
      <c r="G1833" s="9"/>
      <c r="J1833" s="11"/>
      <c r="U1833" s="9"/>
      <c r="X1833" s="9"/>
    </row>
    <row r="1834">
      <c r="D1834" s="9"/>
      <c r="G1834" s="9"/>
      <c r="J1834" s="11"/>
      <c r="U1834" s="9"/>
      <c r="X1834" s="9"/>
    </row>
    <row r="1835">
      <c r="D1835" s="9"/>
      <c r="G1835" s="9"/>
      <c r="J1835" s="11"/>
      <c r="U1835" s="9"/>
      <c r="X1835" s="9"/>
    </row>
    <row r="1836">
      <c r="D1836" s="9"/>
      <c r="G1836" s="9"/>
      <c r="J1836" s="11"/>
      <c r="U1836" s="9"/>
      <c r="X1836" s="9"/>
    </row>
    <row r="1837">
      <c r="D1837" s="9"/>
      <c r="G1837" s="9"/>
      <c r="J1837" s="11"/>
      <c r="U1837" s="9"/>
      <c r="X1837" s="9"/>
    </row>
    <row r="1838">
      <c r="D1838" s="9"/>
      <c r="G1838" s="9"/>
      <c r="J1838" s="11"/>
      <c r="U1838" s="9"/>
      <c r="X1838" s="9"/>
    </row>
    <row r="1839">
      <c r="D1839" s="9"/>
      <c r="G1839" s="9"/>
      <c r="J1839" s="11"/>
      <c r="U1839" s="9"/>
      <c r="X1839" s="9"/>
    </row>
    <row r="1840">
      <c r="D1840" s="9"/>
      <c r="G1840" s="9"/>
      <c r="J1840" s="11"/>
      <c r="U1840" s="9"/>
      <c r="X1840" s="9"/>
    </row>
    <row r="1841">
      <c r="D1841" s="9"/>
      <c r="G1841" s="9"/>
      <c r="J1841" s="11"/>
      <c r="U1841" s="9"/>
      <c r="X1841" s="9"/>
    </row>
    <row r="1842">
      <c r="D1842" s="9"/>
      <c r="G1842" s="9"/>
      <c r="J1842" s="11"/>
      <c r="U1842" s="9"/>
      <c r="X1842" s="9"/>
    </row>
    <row r="1843">
      <c r="D1843" s="9"/>
      <c r="G1843" s="9"/>
      <c r="J1843" s="11"/>
      <c r="U1843" s="9"/>
      <c r="X1843" s="9"/>
    </row>
    <row r="1844">
      <c r="D1844" s="9"/>
      <c r="G1844" s="9"/>
      <c r="J1844" s="11"/>
      <c r="U1844" s="9"/>
      <c r="X1844" s="9"/>
    </row>
    <row r="1845">
      <c r="D1845" s="9"/>
      <c r="G1845" s="9"/>
      <c r="J1845" s="11"/>
      <c r="U1845" s="9"/>
      <c r="X1845" s="9"/>
    </row>
    <row r="1846">
      <c r="D1846" s="9"/>
      <c r="G1846" s="9"/>
      <c r="J1846" s="11"/>
      <c r="U1846" s="9"/>
      <c r="X1846" s="9"/>
    </row>
    <row r="1847">
      <c r="D1847" s="9"/>
      <c r="G1847" s="9"/>
      <c r="J1847" s="11"/>
      <c r="U1847" s="9"/>
      <c r="X1847" s="9"/>
    </row>
    <row r="1848">
      <c r="D1848" s="9"/>
      <c r="G1848" s="9"/>
      <c r="J1848" s="11"/>
      <c r="U1848" s="9"/>
      <c r="X1848" s="9"/>
    </row>
    <row r="1849">
      <c r="D1849" s="9"/>
      <c r="G1849" s="9"/>
      <c r="J1849" s="11"/>
      <c r="U1849" s="9"/>
      <c r="X1849" s="9"/>
    </row>
    <row r="1850">
      <c r="D1850" s="9"/>
      <c r="G1850" s="9"/>
      <c r="J1850" s="11"/>
      <c r="U1850" s="9"/>
      <c r="X1850" s="9"/>
    </row>
    <row r="1851">
      <c r="D1851" s="9"/>
      <c r="G1851" s="9"/>
      <c r="J1851" s="11"/>
      <c r="U1851" s="9"/>
      <c r="X1851" s="9"/>
    </row>
    <row r="1852">
      <c r="D1852" s="9"/>
      <c r="G1852" s="9"/>
      <c r="J1852" s="11"/>
      <c r="U1852" s="9"/>
      <c r="X1852" s="9"/>
    </row>
    <row r="1853">
      <c r="D1853" s="9"/>
      <c r="G1853" s="9"/>
      <c r="J1853" s="11"/>
      <c r="U1853" s="9"/>
      <c r="X1853" s="9"/>
    </row>
    <row r="1854">
      <c r="D1854" s="9"/>
      <c r="G1854" s="9"/>
      <c r="J1854" s="11"/>
      <c r="U1854" s="9"/>
      <c r="X1854" s="9"/>
    </row>
    <row r="1855">
      <c r="D1855" s="9"/>
      <c r="G1855" s="9"/>
      <c r="J1855" s="11"/>
      <c r="U1855" s="9"/>
      <c r="X1855" s="9"/>
    </row>
    <row r="1856">
      <c r="D1856" s="9"/>
      <c r="G1856" s="9"/>
      <c r="J1856" s="11"/>
      <c r="U1856" s="9"/>
      <c r="X1856" s="9"/>
    </row>
    <row r="1857">
      <c r="D1857" s="9"/>
      <c r="G1857" s="9"/>
      <c r="J1857" s="11"/>
      <c r="U1857" s="9"/>
      <c r="X1857" s="9"/>
    </row>
    <row r="1858">
      <c r="D1858" s="9"/>
      <c r="G1858" s="9"/>
      <c r="J1858" s="11"/>
      <c r="U1858" s="9"/>
      <c r="X1858" s="9"/>
    </row>
    <row r="1859">
      <c r="D1859" s="9"/>
      <c r="G1859" s="9"/>
      <c r="J1859" s="11"/>
      <c r="U1859" s="9"/>
      <c r="X1859" s="9"/>
    </row>
    <row r="1860">
      <c r="D1860" s="9"/>
      <c r="G1860" s="9"/>
      <c r="J1860" s="11"/>
      <c r="U1860" s="9"/>
      <c r="X1860" s="9"/>
    </row>
    <row r="1861">
      <c r="D1861" s="9"/>
      <c r="G1861" s="9"/>
      <c r="J1861" s="11"/>
      <c r="U1861" s="9"/>
      <c r="X1861" s="9"/>
    </row>
    <row r="1862">
      <c r="D1862" s="9"/>
      <c r="G1862" s="9"/>
      <c r="J1862" s="11"/>
      <c r="U1862" s="9"/>
      <c r="X1862" s="9"/>
    </row>
    <row r="1863">
      <c r="D1863" s="9"/>
      <c r="G1863" s="9"/>
      <c r="J1863" s="11"/>
      <c r="U1863" s="9"/>
      <c r="X1863" s="9"/>
    </row>
    <row r="1864">
      <c r="D1864" s="9"/>
      <c r="G1864" s="9"/>
      <c r="J1864" s="11"/>
      <c r="U1864" s="9"/>
      <c r="X1864" s="9"/>
    </row>
    <row r="1865">
      <c r="D1865" s="9"/>
      <c r="G1865" s="9"/>
      <c r="J1865" s="11"/>
      <c r="U1865" s="9"/>
      <c r="X1865" s="9"/>
    </row>
    <row r="1866">
      <c r="D1866" s="9"/>
      <c r="G1866" s="9"/>
      <c r="J1866" s="11"/>
      <c r="U1866" s="9"/>
      <c r="X1866" s="9"/>
    </row>
    <row r="1867">
      <c r="D1867" s="9"/>
      <c r="G1867" s="9"/>
      <c r="J1867" s="11"/>
      <c r="U1867" s="9"/>
      <c r="X1867" s="9"/>
    </row>
    <row r="1868">
      <c r="D1868" s="9"/>
      <c r="G1868" s="9"/>
      <c r="J1868" s="11"/>
      <c r="U1868" s="9"/>
      <c r="X1868" s="9"/>
    </row>
    <row r="1869">
      <c r="D1869" s="9"/>
      <c r="G1869" s="9"/>
      <c r="J1869" s="11"/>
      <c r="U1869" s="9"/>
      <c r="X1869" s="9"/>
    </row>
    <row r="1870">
      <c r="D1870" s="9"/>
      <c r="G1870" s="9"/>
      <c r="J1870" s="11"/>
      <c r="U1870" s="9"/>
      <c r="X1870" s="9"/>
    </row>
    <row r="1871">
      <c r="D1871" s="9"/>
      <c r="G1871" s="9"/>
      <c r="J1871" s="11"/>
      <c r="U1871" s="9"/>
      <c r="X1871" s="9"/>
    </row>
    <row r="1872">
      <c r="D1872" s="9"/>
      <c r="G1872" s="9"/>
      <c r="J1872" s="11"/>
      <c r="U1872" s="9"/>
      <c r="X1872" s="9"/>
    </row>
    <row r="1873">
      <c r="D1873" s="9"/>
      <c r="G1873" s="9"/>
      <c r="J1873" s="11"/>
      <c r="U1873" s="9"/>
      <c r="X1873" s="9"/>
    </row>
    <row r="1874">
      <c r="D1874" s="9"/>
      <c r="G1874" s="9"/>
      <c r="J1874" s="11"/>
      <c r="U1874" s="9"/>
      <c r="X1874" s="9"/>
    </row>
    <row r="1875">
      <c r="D1875" s="9"/>
      <c r="G1875" s="9"/>
      <c r="J1875" s="11"/>
      <c r="U1875" s="9"/>
      <c r="X1875" s="9"/>
    </row>
    <row r="1876">
      <c r="D1876" s="9"/>
      <c r="G1876" s="9"/>
      <c r="J1876" s="11"/>
      <c r="U1876" s="9"/>
      <c r="X1876" s="9"/>
    </row>
    <row r="1877">
      <c r="D1877" s="9"/>
      <c r="G1877" s="9"/>
      <c r="J1877" s="11"/>
      <c r="U1877" s="9"/>
      <c r="X1877" s="9"/>
    </row>
    <row r="1878">
      <c r="D1878" s="9"/>
      <c r="G1878" s="9"/>
      <c r="J1878" s="11"/>
      <c r="U1878" s="9"/>
      <c r="X1878" s="9"/>
    </row>
    <row r="1879">
      <c r="D1879" s="9"/>
      <c r="G1879" s="9"/>
      <c r="J1879" s="11"/>
      <c r="U1879" s="9"/>
      <c r="X1879" s="9"/>
    </row>
    <row r="1880">
      <c r="D1880" s="9"/>
      <c r="G1880" s="9"/>
      <c r="J1880" s="11"/>
      <c r="U1880" s="9"/>
      <c r="X1880" s="9"/>
    </row>
    <row r="1881">
      <c r="D1881" s="9"/>
      <c r="G1881" s="9"/>
      <c r="J1881" s="11"/>
      <c r="U1881" s="9"/>
      <c r="X1881" s="9"/>
    </row>
    <row r="1882">
      <c r="D1882" s="9"/>
      <c r="G1882" s="9"/>
      <c r="J1882" s="11"/>
      <c r="U1882" s="9"/>
      <c r="X1882" s="9"/>
    </row>
    <row r="1883">
      <c r="D1883" s="9"/>
      <c r="G1883" s="9"/>
      <c r="J1883" s="11"/>
      <c r="U1883" s="9"/>
      <c r="X1883" s="9"/>
    </row>
    <row r="1884">
      <c r="D1884" s="9"/>
      <c r="G1884" s="9"/>
      <c r="J1884" s="11"/>
      <c r="U1884" s="9"/>
      <c r="X1884" s="9"/>
    </row>
    <row r="1885">
      <c r="D1885" s="9"/>
      <c r="G1885" s="9"/>
      <c r="J1885" s="11"/>
      <c r="U1885" s="9"/>
      <c r="X1885" s="9"/>
    </row>
    <row r="1886">
      <c r="D1886" s="9"/>
      <c r="G1886" s="9"/>
      <c r="J1886" s="11"/>
      <c r="U1886" s="9"/>
      <c r="X1886" s="9"/>
    </row>
    <row r="1887">
      <c r="D1887" s="9"/>
      <c r="G1887" s="9"/>
      <c r="J1887" s="11"/>
      <c r="U1887" s="9"/>
      <c r="X1887" s="9"/>
    </row>
    <row r="1888">
      <c r="D1888" s="9"/>
      <c r="G1888" s="9"/>
      <c r="J1888" s="11"/>
      <c r="U1888" s="9"/>
      <c r="X1888" s="9"/>
    </row>
    <row r="1889">
      <c r="D1889" s="9"/>
      <c r="G1889" s="9"/>
      <c r="J1889" s="11"/>
      <c r="U1889" s="9"/>
      <c r="X1889" s="9"/>
    </row>
    <row r="1890">
      <c r="D1890" s="9"/>
      <c r="G1890" s="9"/>
      <c r="J1890" s="11"/>
      <c r="U1890" s="9"/>
      <c r="X1890" s="9"/>
    </row>
    <row r="1891">
      <c r="D1891" s="9"/>
      <c r="G1891" s="9"/>
      <c r="J1891" s="11"/>
      <c r="U1891" s="9"/>
      <c r="X1891" s="9"/>
    </row>
    <row r="1892">
      <c r="D1892" s="9"/>
      <c r="G1892" s="9"/>
      <c r="J1892" s="11"/>
      <c r="U1892" s="9"/>
      <c r="X1892" s="9"/>
    </row>
    <row r="1893">
      <c r="D1893" s="9"/>
      <c r="G1893" s="9"/>
      <c r="J1893" s="11"/>
      <c r="U1893" s="9"/>
      <c r="X1893" s="9"/>
    </row>
    <row r="1894">
      <c r="D1894" s="9"/>
      <c r="G1894" s="9"/>
      <c r="J1894" s="11"/>
      <c r="U1894" s="9"/>
      <c r="X1894" s="9"/>
    </row>
    <row r="1895">
      <c r="D1895" s="9"/>
      <c r="G1895" s="9"/>
      <c r="J1895" s="11"/>
      <c r="U1895" s="9"/>
      <c r="X1895" s="9"/>
    </row>
    <row r="1896">
      <c r="D1896" s="9"/>
      <c r="G1896" s="9"/>
      <c r="J1896" s="11"/>
      <c r="U1896" s="9"/>
      <c r="X1896" s="9"/>
    </row>
    <row r="1897">
      <c r="D1897" s="9"/>
      <c r="G1897" s="9"/>
      <c r="J1897" s="11"/>
      <c r="U1897" s="9"/>
      <c r="X1897" s="9"/>
    </row>
    <row r="1898">
      <c r="D1898" s="9"/>
      <c r="G1898" s="9"/>
      <c r="J1898" s="11"/>
      <c r="U1898" s="9"/>
      <c r="X1898" s="9"/>
    </row>
    <row r="1899">
      <c r="D1899" s="9"/>
      <c r="G1899" s="9"/>
      <c r="J1899" s="11"/>
      <c r="U1899" s="9"/>
      <c r="X1899" s="9"/>
    </row>
    <row r="1900">
      <c r="D1900" s="9"/>
      <c r="G1900" s="9"/>
      <c r="J1900" s="11"/>
      <c r="U1900" s="9"/>
      <c r="X1900" s="9"/>
    </row>
    <row r="1901">
      <c r="D1901" s="9"/>
      <c r="G1901" s="9"/>
      <c r="J1901" s="11"/>
      <c r="U1901" s="9"/>
      <c r="X1901" s="9"/>
    </row>
    <row r="1902">
      <c r="D1902" s="9"/>
      <c r="G1902" s="9"/>
      <c r="J1902" s="11"/>
      <c r="U1902" s="9"/>
      <c r="X1902" s="9"/>
    </row>
    <row r="1903">
      <c r="D1903" s="9"/>
      <c r="G1903" s="9"/>
      <c r="J1903" s="11"/>
      <c r="U1903" s="9"/>
      <c r="X1903" s="9"/>
    </row>
    <row r="1904">
      <c r="D1904" s="9"/>
      <c r="G1904" s="9"/>
      <c r="J1904" s="11"/>
      <c r="U1904" s="9"/>
      <c r="X1904" s="9"/>
    </row>
    <row r="1905">
      <c r="D1905" s="9"/>
      <c r="G1905" s="9"/>
      <c r="J1905" s="11"/>
      <c r="U1905" s="9"/>
      <c r="X1905" s="9"/>
    </row>
    <row r="1906">
      <c r="D1906" s="9"/>
      <c r="G1906" s="9"/>
      <c r="J1906" s="11"/>
      <c r="U1906" s="9"/>
      <c r="X1906" s="9"/>
    </row>
    <row r="1907">
      <c r="D1907" s="9"/>
      <c r="G1907" s="9"/>
      <c r="J1907" s="11"/>
      <c r="U1907" s="9"/>
      <c r="X1907" s="9"/>
    </row>
    <row r="1908">
      <c r="D1908" s="9"/>
      <c r="G1908" s="9"/>
      <c r="J1908" s="11"/>
      <c r="U1908" s="9"/>
      <c r="X1908" s="9"/>
    </row>
    <row r="1909">
      <c r="D1909" s="9"/>
      <c r="G1909" s="9"/>
      <c r="J1909" s="11"/>
      <c r="U1909" s="9"/>
      <c r="X1909" s="9"/>
    </row>
    <row r="1910">
      <c r="D1910" s="9"/>
      <c r="G1910" s="9"/>
      <c r="J1910" s="11"/>
      <c r="U1910" s="9"/>
      <c r="X1910" s="9"/>
    </row>
    <row r="1911">
      <c r="D1911" s="9"/>
      <c r="G1911" s="9"/>
      <c r="J1911" s="11"/>
      <c r="U1911" s="9"/>
      <c r="X1911" s="9"/>
    </row>
    <row r="1912">
      <c r="D1912" s="9"/>
      <c r="G1912" s="9"/>
      <c r="J1912" s="11"/>
      <c r="U1912" s="9"/>
      <c r="X1912" s="9"/>
    </row>
    <row r="1913">
      <c r="D1913" s="9"/>
      <c r="G1913" s="9"/>
      <c r="J1913" s="11"/>
      <c r="U1913" s="9"/>
      <c r="X1913" s="9"/>
    </row>
    <row r="1914">
      <c r="D1914" s="9"/>
      <c r="G1914" s="9"/>
      <c r="J1914" s="11"/>
      <c r="U1914" s="9"/>
      <c r="X1914" s="9"/>
    </row>
    <row r="1915">
      <c r="D1915" s="9"/>
      <c r="G1915" s="9"/>
      <c r="J1915" s="11"/>
      <c r="U1915" s="9"/>
      <c r="X1915" s="9"/>
    </row>
    <row r="1916">
      <c r="D1916" s="9"/>
      <c r="G1916" s="9"/>
      <c r="J1916" s="11"/>
      <c r="U1916" s="9"/>
      <c r="X1916" s="9"/>
    </row>
    <row r="1917">
      <c r="D1917" s="9"/>
      <c r="G1917" s="9"/>
      <c r="J1917" s="11"/>
      <c r="U1917" s="9"/>
      <c r="X1917" s="9"/>
    </row>
    <row r="1918">
      <c r="D1918" s="9"/>
      <c r="G1918" s="9"/>
      <c r="J1918" s="11"/>
      <c r="U1918" s="9"/>
      <c r="X1918" s="9"/>
    </row>
    <row r="1919">
      <c r="D1919" s="9"/>
      <c r="G1919" s="9"/>
      <c r="J1919" s="11"/>
      <c r="U1919" s="9"/>
      <c r="X1919" s="9"/>
    </row>
    <row r="1920">
      <c r="D1920" s="9"/>
      <c r="G1920" s="9"/>
      <c r="J1920" s="11"/>
      <c r="U1920" s="9"/>
      <c r="X1920" s="9"/>
    </row>
    <row r="1921">
      <c r="D1921" s="9"/>
      <c r="G1921" s="9"/>
      <c r="J1921" s="11"/>
      <c r="U1921" s="9"/>
      <c r="X1921" s="9"/>
    </row>
    <row r="1922">
      <c r="D1922" s="9"/>
      <c r="G1922" s="9"/>
      <c r="J1922" s="11"/>
      <c r="U1922" s="9"/>
      <c r="X1922" s="9"/>
    </row>
    <row r="1923">
      <c r="D1923" s="9"/>
      <c r="G1923" s="9"/>
      <c r="J1923" s="11"/>
      <c r="U1923" s="9"/>
      <c r="X1923" s="9"/>
    </row>
    <row r="1924">
      <c r="D1924" s="9"/>
      <c r="G1924" s="9"/>
      <c r="J1924" s="11"/>
      <c r="U1924" s="9"/>
      <c r="X1924" s="9"/>
    </row>
    <row r="1925">
      <c r="D1925" s="9"/>
      <c r="G1925" s="9"/>
      <c r="J1925" s="11"/>
      <c r="U1925" s="9"/>
      <c r="X1925" s="9"/>
    </row>
    <row r="1926">
      <c r="D1926" s="9"/>
      <c r="G1926" s="9"/>
      <c r="J1926" s="11"/>
      <c r="U1926" s="9"/>
      <c r="X1926" s="9"/>
    </row>
    <row r="1927">
      <c r="D1927" s="9"/>
      <c r="G1927" s="9"/>
      <c r="J1927" s="11"/>
      <c r="U1927" s="9"/>
      <c r="X1927" s="9"/>
    </row>
    <row r="1928">
      <c r="D1928" s="9"/>
      <c r="G1928" s="9"/>
      <c r="J1928" s="11"/>
      <c r="U1928" s="9"/>
      <c r="X1928" s="9"/>
    </row>
    <row r="1929">
      <c r="D1929" s="9"/>
      <c r="G1929" s="9"/>
      <c r="J1929" s="11"/>
      <c r="U1929" s="9"/>
      <c r="X1929" s="9"/>
    </row>
    <row r="1930">
      <c r="D1930" s="9"/>
      <c r="G1930" s="9"/>
      <c r="J1930" s="11"/>
      <c r="U1930" s="9"/>
      <c r="X1930" s="9"/>
    </row>
    <row r="1931">
      <c r="D1931" s="9"/>
      <c r="G1931" s="9"/>
      <c r="J1931" s="11"/>
      <c r="U1931" s="9"/>
      <c r="X1931" s="9"/>
    </row>
    <row r="1932">
      <c r="D1932" s="9"/>
      <c r="G1932" s="9"/>
      <c r="J1932" s="11"/>
      <c r="U1932" s="9"/>
      <c r="X1932" s="9"/>
    </row>
    <row r="1933">
      <c r="D1933" s="9"/>
      <c r="G1933" s="9"/>
      <c r="J1933" s="11"/>
      <c r="U1933" s="9"/>
      <c r="X1933" s="9"/>
    </row>
    <row r="1934">
      <c r="D1934" s="9"/>
      <c r="G1934" s="9"/>
      <c r="J1934" s="11"/>
      <c r="U1934" s="9"/>
      <c r="X1934" s="9"/>
    </row>
    <row r="1935">
      <c r="D1935" s="9"/>
      <c r="G1935" s="9"/>
      <c r="J1935" s="11"/>
      <c r="U1935" s="9"/>
      <c r="X1935" s="9"/>
    </row>
    <row r="1936">
      <c r="D1936" s="9"/>
      <c r="G1936" s="9"/>
      <c r="J1936" s="11"/>
      <c r="U1936" s="9"/>
      <c r="X1936" s="9"/>
    </row>
    <row r="1937">
      <c r="D1937" s="9"/>
      <c r="G1937" s="9"/>
      <c r="J1937" s="11"/>
      <c r="U1937" s="9"/>
      <c r="X1937" s="9"/>
    </row>
    <row r="1938">
      <c r="D1938" s="9"/>
      <c r="G1938" s="9"/>
      <c r="J1938" s="11"/>
      <c r="U1938" s="9"/>
      <c r="X1938" s="9"/>
    </row>
    <row r="1939">
      <c r="D1939" s="9"/>
      <c r="G1939" s="9"/>
      <c r="J1939" s="11"/>
      <c r="U1939" s="9"/>
      <c r="X1939" s="9"/>
    </row>
    <row r="1940">
      <c r="D1940" s="9"/>
      <c r="G1940" s="9"/>
      <c r="J1940" s="11"/>
      <c r="U1940" s="9"/>
      <c r="X1940" s="9"/>
    </row>
    <row r="1941">
      <c r="D1941" s="9"/>
      <c r="G1941" s="9"/>
      <c r="J1941" s="11"/>
      <c r="U1941" s="9"/>
      <c r="X1941" s="9"/>
    </row>
    <row r="1942">
      <c r="D1942" s="9"/>
      <c r="G1942" s="9"/>
      <c r="J1942" s="11"/>
      <c r="U1942" s="9"/>
      <c r="X1942" s="9"/>
    </row>
    <row r="1943">
      <c r="D1943" s="9"/>
      <c r="G1943" s="9"/>
      <c r="J1943" s="11"/>
      <c r="U1943" s="9"/>
      <c r="X1943" s="9"/>
    </row>
    <row r="1944">
      <c r="D1944" s="9"/>
      <c r="G1944" s="9"/>
      <c r="J1944" s="11"/>
      <c r="U1944" s="9"/>
      <c r="X1944" s="9"/>
    </row>
    <row r="1945">
      <c r="D1945" s="9"/>
      <c r="G1945" s="9"/>
      <c r="J1945" s="11"/>
      <c r="U1945" s="9"/>
      <c r="X1945" s="9"/>
    </row>
    <row r="1946">
      <c r="D1946" s="9"/>
      <c r="G1946" s="9"/>
      <c r="J1946" s="11"/>
      <c r="U1946" s="9"/>
      <c r="X1946" s="9"/>
    </row>
    <row r="1947">
      <c r="D1947" s="9"/>
      <c r="G1947" s="9"/>
      <c r="J1947" s="11"/>
      <c r="U1947" s="9"/>
      <c r="X1947" s="9"/>
    </row>
    <row r="1948">
      <c r="D1948" s="9"/>
      <c r="G1948" s="9"/>
      <c r="J1948" s="11"/>
      <c r="U1948" s="9"/>
      <c r="X1948" s="9"/>
    </row>
    <row r="1949">
      <c r="D1949" s="9"/>
      <c r="G1949" s="9"/>
      <c r="J1949" s="11"/>
      <c r="U1949" s="9"/>
      <c r="X1949" s="9"/>
    </row>
    <row r="1950">
      <c r="D1950" s="9"/>
      <c r="G1950" s="9"/>
      <c r="J1950" s="11"/>
      <c r="U1950" s="9"/>
      <c r="X1950" s="9"/>
    </row>
    <row r="1951">
      <c r="D1951" s="9"/>
      <c r="G1951" s="9"/>
      <c r="J1951" s="11"/>
      <c r="U1951" s="9"/>
      <c r="X1951" s="9"/>
    </row>
    <row r="1952">
      <c r="D1952" s="9"/>
      <c r="G1952" s="9"/>
      <c r="J1952" s="11"/>
      <c r="U1952" s="9"/>
      <c r="X1952" s="9"/>
    </row>
    <row r="1953">
      <c r="D1953" s="9"/>
      <c r="G1953" s="9"/>
      <c r="J1953" s="11"/>
      <c r="U1953" s="9"/>
      <c r="X1953" s="9"/>
    </row>
    <row r="1954">
      <c r="D1954" s="9"/>
      <c r="G1954" s="9"/>
      <c r="J1954" s="11"/>
      <c r="U1954" s="9"/>
      <c r="X1954" s="9"/>
    </row>
    <row r="1955">
      <c r="D1955" s="9"/>
      <c r="G1955" s="9"/>
      <c r="J1955" s="11"/>
      <c r="U1955" s="9"/>
      <c r="X1955" s="9"/>
    </row>
    <row r="1956">
      <c r="D1956" s="9"/>
      <c r="G1956" s="9"/>
      <c r="J1956" s="11"/>
      <c r="U1956" s="9"/>
      <c r="X1956" s="9"/>
    </row>
    <row r="1957">
      <c r="D1957" s="9"/>
      <c r="G1957" s="9"/>
      <c r="J1957" s="11"/>
      <c r="U1957" s="9"/>
      <c r="X1957" s="9"/>
    </row>
    <row r="1958">
      <c r="D1958" s="9"/>
      <c r="G1958" s="9"/>
      <c r="J1958" s="11"/>
      <c r="U1958" s="9"/>
      <c r="X1958" s="9"/>
    </row>
    <row r="1959">
      <c r="D1959" s="9"/>
      <c r="G1959" s="9"/>
      <c r="J1959" s="11"/>
      <c r="U1959" s="9"/>
      <c r="X1959" s="9"/>
    </row>
    <row r="1960">
      <c r="D1960" s="9"/>
      <c r="G1960" s="9"/>
      <c r="J1960" s="11"/>
      <c r="U1960" s="9"/>
      <c r="X1960" s="9"/>
    </row>
    <row r="1961">
      <c r="D1961" s="9"/>
      <c r="G1961" s="9"/>
      <c r="J1961" s="11"/>
      <c r="U1961" s="9"/>
      <c r="X1961" s="9"/>
    </row>
    <row r="1962">
      <c r="D1962" s="9"/>
      <c r="G1962" s="9"/>
      <c r="J1962" s="11"/>
      <c r="U1962" s="9"/>
      <c r="X1962" s="9"/>
    </row>
    <row r="1963">
      <c r="D1963" s="9"/>
      <c r="G1963" s="9"/>
      <c r="J1963" s="11"/>
      <c r="U1963" s="9"/>
      <c r="X1963" s="9"/>
    </row>
    <row r="1964">
      <c r="D1964" s="9"/>
      <c r="G1964" s="9"/>
      <c r="J1964" s="11"/>
      <c r="U1964" s="9"/>
      <c r="X1964" s="9"/>
    </row>
    <row r="1965">
      <c r="D1965" s="9"/>
      <c r="G1965" s="9"/>
      <c r="J1965" s="11"/>
      <c r="U1965" s="9"/>
      <c r="X1965" s="9"/>
    </row>
    <row r="1966">
      <c r="D1966" s="9"/>
      <c r="G1966" s="9"/>
      <c r="J1966" s="11"/>
      <c r="U1966" s="9"/>
      <c r="X1966" s="9"/>
    </row>
    <row r="1967">
      <c r="D1967" s="9"/>
      <c r="G1967" s="9"/>
      <c r="J1967" s="11"/>
      <c r="U1967" s="9"/>
      <c r="X1967" s="9"/>
    </row>
    <row r="1968">
      <c r="D1968" s="9"/>
      <c r="G1968" s="9"/>
      <c r="J1968" s="11"/>
      <c r="U1968" s="9"/>
      <c r="X1968" s="9"/>
    </row>
    <row r="1969">
      <c r="D1969" s="9"/>
      <c r="G1969" s="9"/>
      <c r="J1969" s="11"/>
      <c r="U1969" s="9"/>
      <c r="X1969" s="9"/>
    </row>
    <row r="1970">
      <c r="D1970" s="9"/>
      <c r="G1970" s="9"/>
      <c r="J1970" s="11"/>
      <c r="U1970" s="9"/>
      <c r="X1970" s="9"/>
    </row>
    <row r="1971">
      <c r="D1971" s="9"/>
      <c r="G1971" s="9"/>
      <c r="J1971" s="11"/>
      <c r="U1971" s="9"/>
      <c r="X1971" s="9"/>
    </row>
    <row r="1972">
      <c r="D1972" s="9"/>
      <c r="G1972" s="9"/>
      <c r="J1972" s="11"/>
      <c r="U1972" s="9"/>
      <c r="X1972" s="9"/>
    </row>
    <row r="1973">
      <c r="D1973" s="9"/>
      <c r="G1973" s="9"/>
      <c r="J1973" s="11"/>
      <c r="U1973" s="9"/>
      <c r="X1973" s="9"/>
    </row>
    <row r="1974">
      <c r="D1974" s="9"/>
      <c r="G1974" s="9"/>
      <c r="J1974" s="11"/>
      <c r="U1974" s="9"/>
      <c r="X1974" s="9"/>
    </row>
    <row r="1975">
      <c r="D1975" s="9"/>
      <c r="G1975" s="9"/>
      <c r="J1975" s="11"/>
      <c r="U1975" s="9"/>
      <c r="X1975" s="9"/>
    </row>
    <row r="1976">
      <c r="D1976" s="9"/>
      <c r="G1976" s="9"/>
      <c r="J1976" s="11"/>
      <c r="U1976" s="9"/>
      <c r="X1976" s="9"/>
    </row>
    <row r="1977">
      <c r="D1977" s="9"/>
      <c r="G1977" s="9"/>
      <c r="J1977" s="11"/>
      <c r="U1977" s="9"/>
      <c r="X1977" s="9"/>
    </row>
    <row r="1978">
      <c r="D1978" s="9"/>
      <c r="G1978" s="9"/>
      <c r="J1978" s="11"/>
      <c r="U1978" s="9"/>
      <c r="X1978" s="9"/>
    </row>
    <row r="1979">
      <c r="D1979" s="9"/>
      <c r="G1979" s="9"/>
      <c r="J1979" s="11"/>
      <c r="U1979" s="9"/>
      <c r="X1979" s="9"/>
    </row>
    <row r="1980">
      <c r="D1980" s="9"/>
      <c r="G1980" s="9"/>
      <c r="J1980" s="11"/>
      <c r="U1980" s="9"/>
      <c r="X1980" s="9"/>
    </row>
    <row r="1981">
      <c r="D1981" s="9"/>
      <c r="G1981" s="9"/>
      <c r="J1981" s="11"/>
      <c r="U1981" s="9"/>
      <c r="X1981" s="9"/>
    </row>
    <row r="1982">
      <c r="D1982" s="9"/>
      <c r="G1982" s="9"/>
      <c r="J1982" s="11"/>
      <c r="U1982" s="9"/>
      <c r="X1982" s="9"/>
    </row>
    <row r="1983">
      <c r="D1983" s="9"/>
      <c r="G1983" s="9"/>
      <c r="J1983" s="11"/>
      <c r="U1983" s="9"/>
      <c r="X1983" s="9"/>
    </row>
    <row r="1984">
      <c r="D1984" s="9"/>
      <c r="G1984" s="9"/>
      <c r="J1984" s="11"/>
      <c r="U1984" s="9"/>
      <c r="X1984" s="9"/>
    </row>
    <row r="1985">
      <c r="D1985" s="9"/>
      <c r="G1985" s="9"/>
      <c r="J1985" s="11"/>
      <c r="U1985" s="9"/>
      <c r="X1985" s="9"/>
    </row>
    <row r="1986">
      <c r="D1986" s="9"/>
      <c r="G1986" s="9"/>
      <c r="J1986" s="11"/>
      <c r="U1986" s="9"/>
      <c r="X1986" s="9"/>
    </row>
    <row r="1987">
      <c r="D1987" s="9"/>
      <c r="G1987" s="9"/>
      <c r="J1987" s="11"/>
      <c r="U1987" s="9"/>
      <c r="X1987" s="9"/>
    </row>
    <row r="1988">
      <c r="D1988" s="9"/>
      <c r="G1988" s="9"/>
      <c r="J1988" s="11"/>
      <c r="U1988" s="9"/>
      <c r="X1988" s="9"/>
    </row>
    <row r="1989">
      <c r="D1989" s="9"/>
      <c r="G1989" s="9"/>
      <c r="J1989" s="11"/>
      <c r="U1989" s="9"/>
      <c r="X1989" s="9"/>
    </row>
    <row r="1990">
      <c r="D1990" s="9"/>
      <c r="G1990" s="9"/>
      <c r="J1990" s="11"/>
      <c r="U1990" s="9"/>
      <c r="X1990" s="9"/>
    </row>
    <row r="1991">
      <c r="D1991" s="9"/>
      <c r="G1991" s="9"/>
      <c r="J1991" s="11"/>
      <c r="U1991" s="9"/>
      <c r="X1991" s="9"/>
    </row>
    <row r="1992">
      <c r="D1992" s="9"/>
      <c r="G1992" s="9"/>
      <c r="J1992" s="11"/>
      <c r="U1992" s="9"/>
      <c r="X1992" s="9"/>
    </row>
    <row r="1993">
      <c r="D1993" s="9"/>
      <c r="G1993" s="9"/>
      <c r="J1993" s="11"/>
      <c r="U1993" s="9"/>
      <c r="X1993" s="9"/>
    </row>
    <row r="1994">
      <c r="D1994" s="9"/>
      <c r="G1994" s="9"/>
      <c r="J1994" s="11"/>
      <c r="U1994" s="9"/>
      <c r="X1994" s="9"/>
    </row>
    <row r="1995">
      <c r="D1995" s="9"/>
      <c r="G1995" s="9"/>
      <c r="J1995" s="11"/>
      <c r="U1995" s="9"/>
      <c r="X1995" s="9"/>
    </row>
    <row r="1996">
      <c r="D1996" s="9"/>
      <c r="G1996" s="9"/>
      <c r="J1996" s="11"/>
      <c r="U1996" s="9"/>
      <c r="X1996" s="9"/>
    </row>
    <row r="1997">
      <c r="D1997" s="9"/>
      <c r="G1997" s="9"/>
      <c r="J1997" s="11"/>
      <c r="U1997" s="9"/>
      <c r="X1997" s="9"/>
    </row>
    <row r="1998">
      <c r="D1998" s="9"/>
      <c r="G1998" s="9"/>
      <c r="J1998" s="11"/>
      <c r="U1998" s="9"/>
      <c r="X1998" s="9"/>
    </row>
    <row r="1999">
      <c r="D1999" s="9"/>
      <c r="G1999" s="9"/>
      <c r="J1999" s="11"/>
      <c r="U1999" s="9"/>
      <c r="X1999" s="9"/>
    </row>
    <row r="2000">
      <c r="D2000" s="9"/>
      <c r="G2000" s="9"/>
      <c r="J2000" s="11"/>
      <c r="U2000" s="9"/>
      <c r="X2000" s="9"/>
    </row>
    <row r="2001">
      <c r="D2001" s="9"/>
      <c r="G2001" s="9"/>
      <c r="J2001" s="11"/>
      <c r="U2001" s="9"/>
      <c r="X2001" s="9"/>
    </row>
    <row r="2002">
      <c r="D2002" s="9"/>
      <c r="G2002" s="9"/>
      <c r="J2002" s="11"/>
      <c r="U2002" s="9"/>
      <c r="X2002" s="9"/>
    </row>
    <row r="2003">
      <c r="D2003" s="9"/>
      <c r="G2003" s="9"/>
      <c r="J2003" s="11"/>
      <c r="U2003" s="9"/>
      <c r="X2003" s="9"/>
    </row>
    <row r="2004">
      <c r="D2004" s="9"/>
      <c r="G2004" s="9"/>
      <c r="J2004" s="11"/>
      <c r="U2004" s="9"/>
      <c r="X2004" s="9"/>
    </row>
    <row r="2005">
      <c r="D2005" s="9"/>
      <c r="G2005" s="9"/>
      <c r="J2005" s="11"/>
      <c r="U2005" s="9"/>
      <c r="X2005" s="9"/>
    </row>
    <row r="2006">
      <c r="D2006" s="9"/>
      <c r="G2006" s="9"/>
      <c r="J2006" s="11"/>
      <c r="U2006" s="9"/>
      <c r="X2006" s="9"/>
    </row>
    <row r="2007">
      <c r="D2007" s="9"/>
      <c r="G2007" s="9"/>
      <c r="J2007" s="11"/>
      <c r="U2007" s="9"/>
      <c r="X2007" s="9"/>
    </row>
    <row r="2008">
      <c r="D2008" s="9"/>
      <c r="G2008" s="9"/>
      <c r="J2008" s="11"/>
      <c r="U2008" s="9"/>
      <c r="X2008" s="9"/>
    </row>
    <row r="2009">
      <c r="D2009" s="9"/>
      <c r="G2009" s="9"/>
      <c r="J2009" s="11"/>
      <c r="U2009" s="9"/>
      <c r="X2009" s="9"/>
    </row>
    <row r="2010">
      <c r="D2010" s="9"/>
      <c r="G2010" s="9"/>
      <c r="J2010" s="11"/>
      <c r="U2010" s="9"/>
      <c r="X2010" s="9"/>
    </row>
    <row r="2011">
      <c r="D2011" s="9"/>
      <c r="G2011" s="9"/>
      <c r="J2011" s="11"/>
      <c r="U2011" s="9"/>
      <c r="X2011" s="9"/>
    </row>
    <row r="2012">
      <c r="D2012" s="9"/>
      <c r="G2012" s="9"/>
      <c r="J2012" s="11"/>
      <c r="U2012" s="9"/>
      <c r="X2012" s="9"/>
    </row>
    <row r="2013">
      <c r="D2013" s="9"/>
      <c r="G2013" s="9"/>
      <c r="J2013" s="11"/>
      <c r="U2013" s="9"/>
      <c r="X2013" s="9"/>
    </row>
    <row r="2014">
      <c r="D2014" s="9"/>
      <c r="G2014" s="9"/>
      <c r="J2014" s="11"/>
      <c r="U2014" s="9"/>
      <c r="X2014" s="9"/>
    </row>
    <row r="2015">
      <c r="D2015" s="9"/>
      <c r="G2015" s="9"/>
      <c r="J2015" s="11"/>
      <c r="U2015" s="9"/>
      <c r="X2015" s="9"/>
    </row>
    <row r="2016">
      <c r="D2016" s="9"/>
      <c r="G2016" s="9"/>
      <c r="J2016" s="11"/>
      <c r="U2016" s="9"/>
      <c r="X2016" s="9"/>
    </row>
    <row r="2017">
      <c r="D2017" s="9"/>
      <c r="G2017" s="9"/>
      <c r="J2017" s="11"/>
      <c r="U2017" s="9"/>
      <c r="X2017" s="9"/>
    </row>
    <row r="2018">
      <c r="D2018" s="9"/>
      <c r="G2018" s="9"/>
      <c r="J2018" s="11"/>
      <c r="U2018" s="9"/>
      <c r="X2018" s="9"/>
    </row>
    <row r="2019">
      <c r="D2019" s="9"/>
      <c r="G2019" s="9"/>
      <c r="J2019" s="11"/>
      <c r="U2019" s="9"/>
      <c r="X2019" s="9"/>
    </row>
    <row r="2020">
      <c r="D2020" s="9"/>
      <c r="G2020" s="9"/>
      <c r="J2020" s="11"/>
      <c r="U2020" s="9"/>
      <c r="X2020" s="9"/>
    </row>
    <row r="2021">
      <c r="D2021" s="9"/>
      <c r="G2021" s="9"/>
      <c r="J2021" s="11"/>
      <c r="U2021" s="9"/>
      <c r="X2021" s="9"/>
    </row>
    <row r="2022">
      <c r="D2022" s="9"/>
      <c r="G2022" s="9"/>
      <c r="J2022" s="11"/>
      <c r="U2022" s="9"/>
      <c r="X2022" s="9"/>
    </row>
    <row r="2023">
      <c r="D2023" s="9"/>
      <c r="G2023" s="9"/>
      <c r="J2023" s="11"/>
      <c r="U2023" s="9"/>
      <c r="X2023" s="9"/>
    </row>
    <row r="2024">
      <c r="D2024" s="9"/>
      <c r="G2024" s="9"/>
      <c r="J2024" s="11"/>
      <c r="U2024" s="9"/>
      <c r="X2024" s="9"/>
    </row>
    <row r="2025">
      <c r="D2025" s="9"/>
      <c r="G2025" s="9"/>
      <c r="J2025" s="11"/>
      <c r="U2025" s="9"/>
      <c r="X2025" s="9"/>
    </row>
    <row r="2026">
      <c r="D2026" s="9"/>
      <c r="G2026" s="9"/>
      <c r="J2026" s="11"/>
      <c r="U2026" s="9"/>
      <c r="X2026" s="9"/>
    </row>
    <row r="2027">
      <c r="D2027" s="9"/>
      <c r="G2027" s="9"/>
      <c r="J2027" s="11"/>
      <c r="U2027" s="9"/>
      <c r="X2027" s="9"/>
    </row>
    <row r="2028">
      <c r="D2028" s="9"/>
      <c r="G2028" s="9"/>
      <c r="J2028" s="11"/>
      <c r="U2028" s="9"/>
      <c r="X2028" s="9"/>
    </row>
    <row r="2029">
      <c r="D2029" s="9"/>
      <c r="G2029" s="9"/>
      <c r="J2029" s="11"/>
      <c r="U2029" s="9"/>
      <c r="X2029" s="9"/>
    </row>
    <row r="2030">
      <c r="D2030" s="9"/>
      <c r="G2030" s="9"/>
      <c r="J2030" s="11"/>
      <c r="U2030" s="9"/>
      <c r="X2030" s="9"/>
    </row>
    <row r="2031">
      <c r="D2031" s="9"/>
      <c r="G2031" s="9"/>
      <c r="J2031" s="11"/>
      <c r="U2031" s="9"/>
      <c r="X2031" s="9"/>
    </row>
    <row r="2032">
      <c r="D2032" s="9"/>
      <c r="G2032" s="9"/>
      <c r="J2032" s="11"/>
      <c r="U2032" s="9"/>
      <c r="X2032" s="9"/>
    </row>
    <row r="2033">
      <c r="D2033" s="9"/>
      <c r="G2033" s="9"/>
      <c r="J2033" s="11"/>
      <c r="U2033" s="9"/>
      <c r="X2033" s="9"/>
    </row>
    <row r="2034">
      <c r="D2034" s="9"/>
      <c r="G2034" s="9"/>
      <c r="J2034" s="11"/>
      <c r="U2034" s="9"/>
      <c r="X2034" s="9"/>
    </row>
    <row r="2035">
      <c r="D2035" s="9"/>
      <c r="G2035" s="9"/>
      <c r="J2035" s="11"/>
      <c r="U2035" s="9"/>
      <c r="X2035" s="9"/>
    </row>
    <row r="2036">
      <c r="D2036" s="9"/>
      <c r="G2036" s="9"/>
      <c r="J2036" s="11"/>
      <c r="U2036" s="9"/>
      <c r="X2036" s="9"/>
    </row>
    <row r="2037">
      <c r="D2037" s="9"/>
      <c r="G2037" s="9"/>
      <c r="J2037" s="11"/>
      <c r="U2037" s="9"/>
      <c r="X2037" s="9"/>
    </row>
    <row r="2038">
      <c r="D2038" s="9"/>
      <c r="G2038" s="9"/>
      <c r="J2038" s="11"/>
      <c r="U2038" s="9"/>
      <c r="X2038" s="9"/>
    </row>
    <row r="2039">
      <c r="D2039" s="9"/>
      <c r="G2039" s="9"/>
      <c r="J2039" s="11"/>
      <c r="U2039" s="9"/>
      <c r="X2039" s="9"/>
    </row>
    <row r="2040">
      <c r="D2040" s="9"/>
      <c r="G2040" s="9"/>
      <c r="J2040" s="11"/>
      <c r="U2040" s="9"/>
      <c r="X2040" s="9"/>
    </row>
    <row r="2041">
      <c r="D2041" s="9"/>
      <c r="G2041" s="9"/>
      <c r="J2041" s="11"/>
      <c r="U2041" s="9"/>
      <c r="X2041" s="9"/>
    </row>
    <row r="2042">
      <c r="D2042" s="9"/>
      <c r="G2042" s="9"/>
      <c r="J2042" s="11"/>
      <c r="U2042" s="9"/>
      <c r="X2042" s="9"/>
    </row>
    <row r="2043">
      <c r="D2043" s="9"/>
      <c r="G2043" s="9"/>
      <c r="J2043" s="11"/>
      <c r="U2043" s="9"/>
      <c r="X2043" s="9"/>
    </row>
    <row r="2044">
      <c r="D2044" s="9"/>
      <c r="G2044" s="9"/>
      <c r="J2044" s="11"/>
      <c r="U2044" s="9"/>
      <c r="X2044" s="9"/>
    </row>
    <row r="2045">
      <c r="D2045" s="9"/>
      <c r="G2045" s="9"/>
      <c r="J2045" s="11"/>
      <c r="U2045" s="9"/>
      <c r="X2045" s="9"/>
    </row>
    <row r="2046">
      <c r="D2046" s="9"/>
      <c r="G2046" s="9"/>
      <c r="J2046" s="11"/>
      <c r="U2046" s="9"/>
      <c r="X2046" s="9"/>
    </row>
    <row r="2047">
      <c r="D2047" s="9"/>
      <c r="G2047" s="9"/>
      <c r="J2047" s="11"/>
      <c r="U2047" s="9"/>
      <c r="X2047" s="9"/>
    </row>
    <row r="2048">
      <c r="D2048" s="9"/>
      <c r="G2048" s="9"/>
      <c r="J2048" s="11"/>
      <c r="U2048" s="9"/>
      <c r="X2048" s="9"/>
    </row>
    <row r="2049">
      <c r="D2049" s="9"/>
      <c r="G2049" s="9"/>
      <c r="J2049" s="11"/>
      <c r="U2049" s="9"/>
      <c r="X2049" s="9"/>
    </row>
    <row r="2050">
      <c r="D2050" s="9"/>
      <c r="G2050" s="9"/>
      <c r="J2050" s="11"/>
      <c r="U2050" s="9"/>
      <c r="X2050" s="9"/>
    </row>
    <row r="2051">
      <c r="D2051" s="9"/>
      <c r="G2051" s="9"/>
      <c r="J2051" s="11"/>
      <c r="U2051" s="9"/>
      <c r="X2051" s="9"/>
    </row>
    <row r="2052">
      <c r="D2052" s="9"/>
      <c r="G2052" s="9"/>
      <c r="J2052" s="11"/>
      <c r="U2052" s="9"/>
      <c r="X2052" s="9"/>
    </row>
    <row r="2053">
      <c r="D2053" s="9"/>
      <c r="G2053" s="9"/>
      <c r="J2053" s="11"/>
      <c r="U2053" s="9"/>
      <c r="X2053" s="9"/>
    </row>
    <row r="2054">
      <c r="D2054" s="9"/>
      <c r="G2054" s="9"/>
      <c r="J2054" s="11"/>
      <c r="U2054" s="9"/>
      <c r="X2054" s="9"/>
    </row>
    <row r="2055">
      <c r="D2055" s="9"/>
      <c r="G2055" s="9"/>
      <c r="J2055" s="11"/>
      <c r="U2055" s="9"/>
      <c r="X2055" s="9"/>
    </row>
    <row r="2056">
      <c r="D2056" s="9"/>
      <c r="G2056" s="9"/>
      <c r="J2056" s="11"/>
      <c r="U2056" s="9"/>
      <c r="X2056" s="9"/>
    </row>
    <row r="2057">
      <c r="D2057" s="9"/>
      <c r="G2057" s="9"/>
      <c r="J2057" s="11"/>
      <c r="U2057" s="9"/>
      <c r="X2057" s="9"/>
    </row>
    <row r="2058">
      <c r="D2058" s="9"/>
      <c r="G2058" s="9"/>
      <c r="J2058" s="11"/>
      <c r="U2058" s="9"/>
      <c r="X2058" s="9"/>
    </row>
    <row r="2059">
      <c r="D2059" s="9"/>
      <c r="G2059" s="9"/>
      <c r="J2059" s="11"/>
      <c r="U2059" s="9"/>
      <c r="X2059" s="9"/>
    </row>
    <row r="2060">
      <c r="D2060" s="9"/>
      <c r="G2060" s="9"/>
      <c r="J2060" s="11"/>
      <c r="U2060" s="9"/>
      <c r="X2060" s="9"/>
    </row>
    <row r="2061">
      <c r="D2061" s="9"/>
      <c r="G2061" s="9"/>
      <c r="J2061" s="11"/>
      <c r="U2061" s="9"/>
      <c r="X2061" s="9"/>
    </row>
    <row r="2062">
      <c r="D2062" s="9"/>
      <c r="G2062" s="9"/>
      <c r="J2062" s="11"/>
      <c r="U2062" s="9"/>
      <c r="X2062" s="9"/>
    </row>
    <row r="2063">
      <c r="D2063" s="9"/>
      <c r="G2063" s="9"/>
      <c r="J2063" s="11"/>
      <c r="U2063" s="9"/>
      <c r="X2063" s="9"/>
    </row>
    <row r="2064">
      <c r="D2064" s="9"/>
      <c r="G2064" s="9"/>
      <c r="J2064" s="11"/>
      <c r="U2064" s="9"/>
      <c r="X2064" s="9"/>
    </row>
    <row r="2065">
      <c r="D2065" s="9"/>
      <c r="G2065" s="9"/>
      <c r="J2065" s="11"/>
      <c r="U2065" s="9"/>
      <c r="X2065" s="9"/>
    </row>
    <row r="2066">
      <c r="D2066" s="9"/>
      <c r="G2066" s="9"/>
      <c r="J2066" s="11"/>
      <c r="U2066" s="9"/>
      <c r="X2066" s="9"/>
    </row>
    <row r="2067">
      <c r="D2067" s="9"/>
      <c r="G2067" s="9"/>
      <c r="J2067" s="11"/>
      <c r="U2067" s="9"/>
      <c r="X2067" s="9"/>
    </row>
    <row r="2068">
      <c r="D2068" s="9"/>
      <c r="G2068" s="9"/>
      <c r="J2068" s="11"/>
      <c r="U2068" s="9"/>
      <c r="X2068" s="9"/>
    </row>
    <row r="2069">
      <c r="D2069" s="9"/>
      <c r="G2069" s="9"/>
      <c r="J2069" s="11"/>
      <c r="U2069" s="9"/>
      <c r="X2069" s="9"/>
    </row>
    <row r="2070">
      <c r="D2070" s="9"/>
      <c r="G2070" s="9"/>
      <c r="J2070" s="11"/>
      <c r="U2070" s="9"/>
      <c r="X2070" s="9"/>
    </row>
    <row r="2071">
      <c r="D2071" s="9"/>
      <c r="G2071" s="9"/>
      <c r="J2071" s="11"/>
      <c r="U2071" s="9"/>
      <c r="X2071" s="9"/>
    </row>
    <row r="2072">
      <c r="D2072" s="9"/>
      <c r="G2072" s="9"/>
      <c r="J2072" s="11"/>
      <c r="U2072" s="9"/>
      <c r="X2072" s="9"/>
    </row>
    <row r="2073">
      <c r="D2073" s="9"/>
      <c r="G2073" s="9"/>
      <c r="J2073" s="11"/>
      <c r="U2073" s="9"/>
      <c r="X2073" s="9"/>
    </row>
    <row r="2074">
      <c r="D2074" s="9"/>
      <c r="G2074" s="9"/>
      <c r="J2074" s="11"/>
      <c r="U2074" s="9"/>
      <c r="X2074" s="9"/>
    </row>
    <row r="2075">
      <c r="D2075" s="9"/>
      <c r="G2075" s="9"/>
      <c r="J2075" s="11"/>
      <c r="U2075" s="9"/>
      <c r="X2075" s="9"/>
    </row>
    <row r="2076">
      <c r="D2076" s="9"/>
      <c r="G2076" s="9"/>
      <c r="J2076" s="11"/>
      <c r="U2076" s="9"/>
      <c r="X2076" s="9"/>
    </row>
    <row r="2077">
      <c r="D2077" s="9"/>
      <c r="G2077" s="9"/>
      <c r="J2077" s="11"/>
      <c r="U2077" s="9"/>
      <c r="X2077" s="9"/>
    </row>
    <row r="2078">
      <c r="D2078" s="9"/>
      <c r="G2078" s="9"/>
      <c r="J2078" s="11"/>
      <c r="U2078" s="9"/>
      <c r="X2078" s="9"/>
    </row>
    <row r="2079">
      <c r="D2079" s="9"/>
      <c r="G2079" s="9"/>
      <c r="J2079" s="11"/>
      <c r="U2079" s="9"/>
      <c r="X2079" s="9"/>
    </row>
    <row r="2080">
      <c r="D2080" s="9"/>
      <c r="G2080" s="9"/>
      <c r="J2080" s="11"/>
      <c r="U2080" s="9"/>
      <c r="X2080" s="9"/>
    </row>
    <row r="2081">
      <c r="D2081" s="9"/>
      <c r="G2081" s="9"/>
      <c r="J2081" s="11"/>
      <c r="U2081" s="9"/>
      <c r="X2081" s="9"/>
    </row>
    <row r="2082">
      <c r="D2082" s="9"/>
      <c r="G2082" s="9"/>
      <c r="J2082" s="11"/>
      <c r="U2082" s="9"/>
      <c r="X2082" s="9"/>
    </row>
    <row r="2083">
      <c r="D2083" s="9"/>
      <c r="G2083" s="9"/>
      <c r="J2083" s="11"/>
      <c r="U2083" s="9"/>
      <c r="X2083" s="9"/>
    </row>
    <row r="2084">
      <c r="D2084" s="9"/>
      <c r="G2084" s="9"/>
      <c r="J2084" s="11"/>
      <c r="U2084" s="9"/>
      <c r="X2084" s="9"/>
    </row>
    <row r="2085">
      <c r="D2085" s="9"/>
      <c r="G2085" s="9"/>
      <c r="J2085" s="11"/>
      <c r="U2085" s="9"/>
      <c r="X2085" s="9"/>
    </row>
    <row r="2086">
      <c r="D2086" s="9"/>
      <c r="G2086" s="9"/>
      <c r="J2086" s="11"/>
      <c r="U2086" s="9"/>
      <c r="X2086" s="9"/>
    </row>
    <row r="2087">
      <c r="D2087" s="9"/>
      <c r="G2087" s="9"/>
      <c r="J2087" s="11"/>
      <c r="U2087" s="9"/>
      <c r="X2087" s="9"/>
    </row>
    <row r="2088">
      <c r="D2088" s="9"/>
      <c r="G2088" s="9"/>
      <c r="J2088" s="11"/>
      <c r="U2088" s="9"/>
      <c r="X2088" s="9"/>
    </row>
    <row r="2089">
      <c r="D2089" s="9"/>
      <c r="G2089" s="9"/>
      <c r="J2089" s="11"/>
      <c r="U2089" s="9"/>
      <c r="X2089" s="9"/>
    </row>
    <row r="2090">
      <c r="D2090" s="9"/>
      <c r="G2090" s="9"/>
      <c r="J2090" s="11"/>
      <c r="U2090" s="9"/>
      <c r="X2090" s="9"/>
    </row>
    <row r="2091">
      <c r="D2091" s="9"/>
      <c r="G2091" s="9"/>
      <c r="J2091" s="11"/>
      <c r="U2091" s="9"/>
      <c r="X2091" s="9"/>
    </row>
    <row r="2092">
      <c r="D2092" s="9"/>
      <c r="G2092" s="9"/>
      <c r="J2092" s="11"/>
      <c r="U2092" s="9"/>
      <c r="X2092" s="9"/>
    </row>
    <row r="2093">
      <c r="D2093" s="9"/>
      <c r="G2093" s="9"/>
      <c r="J2093" s="11"/>
      <c r="U2093" s="9"/>
      <c r="X2093" s="9"/>
    </row>
    <row r="2094">
      <c r="D2094" s="9"/>
      <c r="G2094" s="9"/>
      <c r="J2094" s="11"/>
      <c r="U2094" s="9"/>
      <c r="X2094" s="9"/>
    </row>
    <row r="2095">
      <c r="D2095" s="9"/>
      <c r="G2095" s="9"/>
      <c r="J2095" s="11"/>
      <c r="U2095" s="9"/>
      <c r="X2095" s="9"/>
    </row>
    <row r="2096">
      <c r="D2096" s="9"/>
      <c r="G2096" s="9"/>
      <c r="J2096" s="11"/>
      <c r="U2096" s="9"/>
      <c r="X2096" s="9"/>
    </row>
    <row r="2097">
      <c r="D2097" s="9"/>
      <c r="G2097" s="9"/>
      <c r="J2097" s="11"/>
      <c r="U2097" s="9"/>
      <c r="X2097" s="9"/>
    </row>
    <row r="2098">
      <c r="D2098" s="9"/>
      <c r="G2098" s="9"/>
      <c r="J2098" s="11"/>
      <c r="U2098" s="9"/>
      <c r="X2098" s="9"/>
    </row>
    <row r="2099">
      <c r="D2099" s="9"/>
      <c r="G2099" s="9"/>
      <c r="J2099" s="11"/>
      <c r="U2099" s="9"/>
      <c r="X2099" s="9"/>
    </row>
    <row r="2100">
      <c r="D2100" s="9"/>
      <c r="G2100" s="9"/>
      <c r="J2100" s="11"/>
      <c r="U2100" s="9"/>
      <c r="X2100" s="9"/>
    </row>
    <row r="2101">
      <c r="D2101" s="9"/>
      <c r="G2101" s="9"/>
      <c r="J2101" s="11"/>
      <c r="U2101" s="9"/>
      <c r="X2101" s="9"/>
    </row>
    <row r="2102">
      <c r="D2102" s="9"/>
      <c r="G2102" s="9"/>
      <c r="J2102" s="11"/>
      <c r="U2102" s="9"/>
      <c r="X2102" s="9"/>
    </row>
    <row r="2103">
      <c r="D2103" s="9"/>
      <c r="G2103" s="9"/>
      <c r="J2103" s="11"/>
      <c r="U2103" s="9"/>
      <c r="X2103" s="9"/>
    </row>
    <row r="2104">
      <c r="D2104" s="9"/>
      <c r="G2104" s="9"/>
      <c r="J2104" s="11"/>
      <c r="U2104" s="9"/>
      <c r="X2104" s="9"/>
    </row>
    <row r="2105">
      <c r="D2105" s="9"/>
      <c r="G2105" s="9"/>
      <c r="J2105" s="11"/>
      <c r="U2105" s="9"/>
      <c r="X2105" s="9"/>
    </row>
    <row r="2106">
      <c r="D2106" s="9"/>
      <c r="G2106" s="9"/>
      <c r="J2106" s="11"/>
      <c r="U2106" s="9"/>
      <c r="X2106" s="9"/>
    </row>
    <row r="2107">
      <c r="D2107" s="9"/>
      <c r="G2107" s="9"/>
      <c r="J2107" s="11"/>
      <c r="U2107" s="9"/>
      <c r="X2107" s="9"/>
    </row>
    <row r="2108">
      <c r="D2108" s="9"/>
      <c r="G2108" s="9"/>
      <c r="J2108" s="11"/>
      <c r="U2108" s="9"/>
      <c r="X2108" s="9"/>
    </row>
    <row r="2109">
      <c r="D2109" s="9"/>
      <c r="G2109" s="9"/>
      <c r="J2109" s="11"/>
      <c r="U2109" s="9"/>
      <c r="X2109" s="9"/>
    </row>
    <row r="2110">
      <c r="D2110" s="9"/>
      <c r="G2110" s="9"/>
      <c r="J2110" s="11"/>
      <c r="U2110" s="9"/>
      <c r="X2110" s="9"/>
    </row>
    <row r="2111">
      <c r="D2111" s="9"/>
      <c r="G2111" s="9"/>
      <c r="J2111" s="11"/>
      <c r="U2111" s="9"/>
      <c r="X2111" s="9"/>
    </row>
    <row r="2112">
      <c r="D2112" s="9"/>
      <c r="G2112" s="9"/>
      <c r="J2112" s="11"/>
      <c r="U2112" s="9"/>
      <c r="X2112" s="9"/>
    </row>
    <row r="2113">
      <c r="D2113" s="9"/>
      <c r="G2113" s="9"/>
      <c r="J2113" s="11"/>
      <c r="U2113" s="9"/>
      <c r="X2113" s="9"/>
    </row>
    <row r="2114">
      <c r="D2114" s="9"/>
      <c r="G2114" s="9"/>
      <c r="J2114" s="11"/>
      <c r="U2114" s="9"/>
      <c r="X2114" s="9"/>
    </row>
    <row r="2115">
      <c r="D2115" s="9"/>
      <c r="G2115" s="9"/>
      <c r="J2115" s="11"/>
      <c r="U2115" s="9"/>
      <c r="X2115" s="9"/>
    </row>
    <row r="2116">
      <c r="D2116" s="9"/>
      <c r="G2116" s="9"/>
      <c r="J2116" s="11"/>
      <c r="U2116" s="9"/>
      <c r="X2116" s="9"/>
    </row>
    <row r="2117">
      <c r="D2117" s="9"/>
      <c r="G2117" s="9"/>
      <c r="J2117" s="11"/>
      <c r="U2117" s="9"/>
      <c r="X2117" s="9"/>
    </row>
    <row r="2118">
      <c r="D2118" s="9"/>
      <c r="G2118" s="9"/>
      <c r="J2118" s="11"/>
      <c r="U2118" s="9"/>
      <c r="X2118" s="9"/>
    </row>
    <row r="2119">
      <c r="D2119" s="9"/>
      <c r="G2119" s="9"/>
      <c r="J2119" s="11"/>
      <c r="U2119" s="9"/>
      <c r="X2119" s="9"/>
    </row>
    <row r="2120">
      <c r="D2120" s="9"/>
      <c r="G2120" s="9"/>
      <c r="J2120" s="11"/>
      <c r="U2120" s="9"/>
      <c r="X2120" s="9"/>
    </row>
    <row r="2121">
      <c r="D2121" s="9"/>
      <c r="G2121" s="9"/>
      <c r="J2121" s="11"/>
      <c r="U2121" s="9"/>
      <c r="X2121" s="9"/>
    </row>
    <row r="2122">
      <c r="D2122" s="9"/>
      <c r="G2122" s="9"/>
      <c r="J2122" s="11"/>
      <c r="U2122" s="9"/>
      <c r="X2122" s="9"/>
    </row>
    <row r="2123">
      <c r="D2123" s="9"/>
      <c r="G2123" s="9"/>
      <c r="J2123" s="11"/>
      <c r="U2123" s="9"/>
      <c r="X2123" s="9"/>
    </row>
    <row r="2124">
      <c r="D2124" s="9"/>
      <c r="G2124" s="9"/>
      <c r="J2124" s="11"/>
      <c r="U2124" s="9"/>
      <c r="X2124" s="9"/>
    </row>
    <row r="2125">
      <c r="D2125" s="9"/>
      <c r="G2125" s="9"/>
      <c r="J2125" s="11"/>
      <c r="U2125" s="9"/>
      <c r="X2125" s="9"/>
    </row>
    <row r="2126">
      <c r="D2126" s="9"/>
      <c r="G2126" s="9"/>
      <c r="J2126" s="11"/>
      <c r="U2126" s="9"/>
      <c r="X2126" s="9"/>
    </row>
    <row r="2127">
      <c r="D2127" s="9"/>
      <c r="G2127" s="9"/>
      <c r="J2127" s="11"/>
      <c r="U2127" s="9"/>
      <c r="X2127" s="9"/>
    </row>
    <row r="2128">
      <c r="D2128" s="9"/>
      <c r="G2128" s="9"/>
      <c r="J2128" s="11"/>
      <c r="U2128" s="9"/>
      <c r="X2128" s="9"/>
    </row>
    <row r="2129">
      <c r="D2129" s="9"/>
      <c r="G2129" s="9"/>
      <c r="J2129" s="11"/>
      <c r="U2129" s="9"/>
      <c r="X2129" s="9"/>
    </row>
    <row r="2130">
      <c r="D2130" s="9"/>
      <c r="G2130" s="9"/>
      <c r="J2130" s="11"/>
      <c r="U2130" s="9"/>
      <c r="X2130" s="9"/>
    </row>
    <row r="2131">
      <c r="D2131" s="9"/>
      <c r="G2131" s="9"/>
      <c r="J2131" s="11"/>
      <c r="U2131" s="9"/>
      <c r="X2131" s="9"/>
    </row>
    <row r="2132">
      <c r="D2132" s="9"/>
      <c r="G2132" s="9"/>
      <c r="J2132" s="11"/>
      <c r="U2132" s="9"/>
      <c r="X2132" s="9"/>
    </row>
    <row r="2133">
      <c r="D2133" s="9"/>
      <c r="G2133" s="9"/>
      <c r="J2133" s="11"/>
      <c r="U2133" s="9"/>
      <c r="X2133" s="9"/>
    </row>
    <row r="2134">
      <c r="D2134" s="9"/>
      <c r="G2134" s="9"/>
      <c r="J2134" s="11"/>
      <c r="U2134" s="9"/>
      <c r="X2134" s="9"/>
    </row>
    <row r="2135">
      <c r="D2135" s="9"/>
      <c r="G2135" s="9"/>
      <c r="J2135" s="11"/>
      <c r="U2135" s="9"/>
      <c r="X2135" s="9"/>
    </row>
    <row r="2136">
      <c r="D2136" s="9"/>
      <c r="G2136" s="9"/>
      <c r="J2136" s="11"/>
      <c r="U2136" s="9"/>
      <c r="X2136" s="9"/>
    </row>
    <row r="2137">
      <c r="D2137" s="9"/>
      <c r="G2137" s="9"/>
      <c r="J2137" s="11"/>
      <c r="U2137" s="9"/>
      <c r="X2137" s="9"/>
    </row>
    <row r="2138">
      <c r="D2138" s="9"/>
      <c r="G2138" s="9"/>
      <c r="J2138" s="11"/>
      <c r="U2138" s="9"/>
      <c r="X2138" s="9"/>
    </row>
    <row r="2139">
      <c r="D2139" s="9"/>
      <c r="G2139" s="9"/>
      <c r="J2139" s="11"/>
      <c r="U2139" s="9"/>
      <c r="X2139" s="9"/>
    </row>
    <row r="2140">
      <c r="D2140" s="9"/>
      <c r="G2140" s="9"/>
      <c r="J2140" s="11"/>
      <c r="U2140" s="9"/>
      <c r="X2140" s="9"/>
    </row>
    <row r="2141">
      <c r="D2141" s="9"/>
      <c r="G2141" s="9"/>
      <c r="J2141" s="11"/>
      <c r="U2141" s="9"/>
      <c r="X2141" s="9"/>
    </row>
    <row r="2142">
      <c r="D2142" s="9"/>
      <c r="G2142" s="9"/>
      <c r="J2142" s="11"/>
      <c r="U2142" s="9"/>
      <c r="X2142" s="9"/>
    </row>
    <row r="2143">
      <c r="D2143" s="9"/>
      <c r="G2143" s="9"/>
      <c r="J2143" s="11"/>
      <c r="U2143" s="9"/>
      <c r="X2143" s="9"/>
    </row>
    <row r="2144">
      <c r="D2144" s="9"/>
      <c r="G2144" s="9"/>
      <c r="J2144" s="11"/>
      <c r="U2144" s="9"/>
      <c r="X2144" s="9"/>
    </row>
    <row r="2145">
      <c r="D2145" s="9"/>
      <c r="G2145" s="9"/>
      <c r="J2145" s="11"/>
      <c r="U2145" s="9"/>
      <c r="X2145" s="9"/>
    </row>
    <row r="2146">
      <c r="D2146" s="9"/>
      <c r="G2146" s="9"/>
      <c r="J2146" s="11"/>
      <c r="U2146" s="9"/>
      <c r="X2146" s="9"/>
    </row>
    <row r="2147">
      <c r="D2147" s="9"/>
      <c r="G2147" s="9"/>
      <c r="J2147" s="11"/>
      <c r="U2147" s="9"/>
      <c r="X2147" s="9"/>
    </row>
    <row r="2148">
      <c r="D2148" s="9"/>
      <c r="G2148" s="9"/>
      <c r="J2148" s="11"/>
      <c r="U2148" s="9"/>
      <c r="X2148" s="9"/>
    </row>
    <row r="2149">
      <c r="D2149" s="9"/>
      <c r="G2149" s="9"/>
      <c r="J2149" s="11"/>
      <c r="U2149" s="9"/>
      <c r="X2149" s="9"/>
    </row>
    <row r="2150">
      <c r="D2150" s="9"/>
      <c r="G2150" s="9"/>
      <c r="J2150" s="11"/>
      <c r="U2150" s="9"/>
      <c r="X2150" s="9"/>
    </row>
    <row r="2151">
      <c r="D2151" s="9"/>
      <c r="G2151" s="9"/>
      <c r="J2151" s="11"/>
      <c r="U2151" s="9"/>
      <c r="X2151" s="9"/>
    </row>
    <row r="2152">
      <c r="D2152" s="9"/>
      <c r="G2152" s="9"/>
      <c r="J2152" s="11"/>
      <c r="U2152" s="9"/>
      <c r="X2152" s="9"/>
    </row>
    <row r="2153">
      <c r="D2153" s="9"/>
      <c r="G2153" s="9"/>
      <c r="J2153" s="11"/>
      <c r="U2153" s="9"/>
      <c r="X2153" s="9"/>
    </row>
    <row r="2154">
      <c r="D2154" s="9"/>
      <c r="G2154" s="9"/>
      <c r="J2154" s="11"/>
      <c r="U2154" s="9"/>
      <c r="X2154" s="9"/>
    </row>
    <row r="2155">
      <c r="D2155" s="9"/>
      <c r="G2155" s="9"/>
      <c r="J2155" s="11"/>
      <c r="U2155" s="9"/>
      <c r="X2155" s="9"/>
    </row>
    <row r="2156">
      <c r="D2156" s="9"/>
      <c r="G2156" s="9"/>
      <c r="J2156" s="11"/>
      <c r="U2156" s="9"/>
      <c r="X2156" s="9"/>
    </row>
    <row r="2157">
      <c r="D2157" s="9"/>
      <c r="G2157" s="9"/>
      <c r="J2157" s="11"/>
      <c r="U2157" s="9"/>
      <c r="X2157" s="9"/>
    </row>
    <row r="2158">
      <c r="D2158" s="9"/>
      <c r="G2158" s="9"/>
      <c r="J2158" s="11"/>
      <c r="U2158" s="9"/>
      <c r="X2158" s="9"/>
    </row>
    <row r="2159">
      <c r="D2159" s="9"/>
      <c r="G2159" s="9"/>
      <c r="J2159" s="11"/>
      <c r="U2159" s="9"/>
      <c r="X2159" s="9"/>
    </row>
    <row r="2160">
      <c r="D2160" s="9"/>
      <c r="G2160" s="9"/>
      <c r="J2160" s="11"/>
      <c r="U2160" s="9"/>
      <c r="X2160" s="9"/>
    </row>
    <row r="2161">
      <c r="D2161" s="9"/>
      <c r="G2161" s="9"/>
      <c r="J2161" s="11"/>
      <c r="U2161" s="9"/>
      <c r="X2161" s="9"/>
    </row>
    <row r="2162">
      <c r="D2162" s="9"/>
      <c r="G2162" s="9"/>
      <c r="J2162" s="11"/>
      <c r="U2162" s="9"/>
      <c r="X2162" s="9"/>
    </row>
    <row r="2163">
      <c r="D2163" s="9"/>
      <c r="G2163" s="9"/>
      <c r="J2163" s="11"/>
      <c r="U2163" s="9"/>
      <c r="X2163" s="9"/>
    </row>
    <row r="2164">
      <c r="D2164" s="9"/>
      <c r="G2164" s="9"/>
      <c r="J2164" s="11"/>
      <c r="U2164" s="9"/>
      <c r="X2164" s="9"/>
    </row>
    <row r="2165">
      <c r="D2165" s="9"/>
      <c r="G2165" s="9"/>
      <c r="J2165" s="11"/>
      <c r="U2165" s="9"/>
      <c r="X2165" s="9"/>
    </row>
    <row r="2166">
      <c r="D2166" s="9"/>
      <c r="G2166" s="9"/>
      <c r="J2166" s="11"/>
      <c r="U2166" s="9"/>
      <c r="X2166" s="9"/>
    </row>
    <row r="2167">
      <c r="D2167" s="9"/>
      <c r="G2167" s="9"/>
      <c r="J2167" s="11"/>
      <c r="U2167" s="9"/>
      <c r="X2167" s="9"/>
    </row>
    <row r="2168">
      <c r="D2168" s="9"/>
      <c r="G2168" s="9"/>
      <c r="J2168" s="11"/>
      <c r="U2168" s="9"/>
      <c r="X2168" s="9"/>
    </row>
    <row r="2169">
      <c r="D2169" s="9"/>
      <c r="G2169" s="9"/>
      <c r="J2169" s="11"/>
      <c r="U2169" s="9"/>
      <c r="X2169" s="9"/>
    </row>
    <row r="2170">
      <c r="D2170" s="9"/>
      <c r="G2170" s="9"/>
      <c r="J2170" s="11"/>
      <c r="U2170" s="9"/>
      <c r="X2170" s="9"/>
    </row>
    <row r="2171">
      <c r="D2171" s="9"/>
      <c r="G2171" s="9"/>
      <c r="J2171" s="11"/>
      <c r="U2171" s="9"/>
      <c r="X2171" s="9"/>
    </row>
    <row r="2172">
      <c r="D2172" s="9"/>
      <c r="G2172" s="9"/>
      <c r="J2172" s="11"/>
      <c r="U2172" s="9"/>
      <c r="X2172" s="9"/>
    </row>
    <row r="2173">
      <c r="D2173" s="9"/>
      <c r="G2173" s="9"/>
      <c r="J2173" s="11"/>
      <c r="U2173" s="9"/>
      <c r="X2173" s="9"/>
    </row>
    <row r="2174">
      <c r="D2174" s="9"/>
      <c r="G2174" s="9"/>
      <c r="J2174" s="11"/>
      <c r="U2174" s="9"/>
      <c r="X2174" s="9"/>
    </row>
    <row r="2175">
      <c r="D2175" s="9"/>
      <c r="G2175" s="9"/>
      <c r="J2175" s="11"/>
      <c r="U2175" s="9"/>
      <c r="X2175" s="9"/>
    </row>
    <row r="2176">
      <c r="D2176" s="9"/>
      <c r="G2176" s="9"/>
      <c r="J2176" s="11"/>
      <c r="U2176" s="9"/>
      <c r="X2176" s="9"/>
    </row>
    <row r="2177">
      <c r="D2177" s="9"/>
      <c r="G2177" s="9"/>
      <c r="J2177" s="11"/>
      <c r="U2177" s="9"/>
      <c r="X2177" s="9"/>
    </row>
    <row r="2178">
      <c r="D2178" s="9"/>
      <c r="G2178" s="9"/>
      <c r="J2178" s="11"/>
      <c r="U2178" s="9"/>
      <c r="X2178" s="9"/>
    </row>
    <row r="2179">
      <c r="D2179" s="9"/>
      <c r="G2179" s="9"/>
      <c r="J2179" s="11"/>
      <c r="U2179" s="9"/>
      <c r="X2179" s="9"/>
    </row>
    <row r="2180">
      <c r="D2180" s="9"/>
      <c r="G2180" s="9"/>
      <c r="J2180" s="11"/>
      <c r="U2180" s="9"/>
      <c r="X2180" s="9"/>
    </row>
    <row r="2181">
      <c r="D2181" s="9"/>
      <c r="G2181" s="9"/>
      <c r="J2181" s="11"/>
      <c r="U2181" s="9"/>
      <c r="X2181" s="9"/>
    </row>
    <row r="2182">
      <c r="D2182" s="9"/>
      <c r="G2182" s="9"/>
      <c r="J2182" s="11"/>
      <c r="U2182" s="9"/>
      <c r="X2182" s="9"/>
    </row>
    <row r="2183">
      <c r="D2183" s="9"/>
      <c r="G2183" s="9"/>
      <c r="J2183" s="11"/>
      <c r="U2183" s="9"/>
      <c r="X2183" s="9"/>
    </row>
    <row r="2184">
      <c r="D2184" s="9"/>
      <c r="G2184" s="9"/>
      <c r="J2184" s="11"/>
      <c r="U2184" s="9"/>
      <c r="X2184" s="9"/>
    </row>
    <row r="2185">
      <c r="D2185" s="9"/>
      <c r="G2185" s="9"/>
      <c r="J2185" s="11"/>
      <c r="U2185" s="9"/>
      <c r="X2185" s="9"/>
    </row>
    <row r="2186">
      <c r="D2186" s="9"/>
      <c r="G2186" s="9"/>
      <c r="J2186" s="11"/>
      <c r="U2186" s="9"/>
      <c r="X2186" s="9"/>
    </row>
    <row r="2187">
      <c r="D2187" s="9"/>
      <c r="G2187" s="9"/>
      <c r="J2187" s="11"/>
      <c r="U2187" s="9"/>
      <c r="X2187" s="9"/>
    </row>
    <row r="2188">
      <c r="D2188" s="9"/>
      <c r="G2188" s="9"/>
      <c r="J2188" s="11"/>
      <c r="U2188" s="9"/>
      <c r="X2188" s="9"/>
    </row>
    <row r="2189">
      <c r="D2189" s="9"/>
      <c r="G2189" s="9"/>
      <c r="J2189" s="11"/>
      <c r="U2189" s="9"/>
      <c r="X2189" s="9"/>
    </row>
    <row r="2190">
      <c r="D2190" s="9"/>
      <c r="G2190" s="9"/>
      <c r="J2190" s="11"/>
      <c r="U2190" s="9"/>
      <c r="X2190" s="9"/>
    </row>
    <row r="2191">
      <c r="D2191" s="9"/>
      <c r="G2191" s="9"/>
      <c r="J2191" s="11"/>
      <c r="U2191" s="9"/>
      <c r="X2191" s="9"/>
    </row>
    <row r="2192">
      <c r="D2192" s="9"/>
      <c r="G2192" s="9"/>
      <c r="J2192" s="11"/>
      <c r="U2192" s="9"/>
      <c r="X2192" s="9"/>
    </row>
    <row r="2193">
      <c r="D2193" s="9"/>
      <c r="G2193" s="9"/>
      <c r="J2193" s="11"/>
      <c r="U2193" s="9"/>
      <c r="X2193" s="9"/>
    </row>
    <row r="2194">
      <c r="D2194" s="9"/>
      <c r="G2194" s="9"/>
      <c r="J2194" s="11"/>
      <c r="U2194" s="9"/>
      <c r="X2194" s="9"/>
    </row>
    <row r="2195">
      <c r="D2195" s="9"/>
      <c r="G2195" s="9"/>
      <c r="J2195" s="11"/>
      <c r="U2195" s="9"/>
      <c r="X2195" s="9"/>
    </row>
    <row r="2196">
      <c r="D2196" s="9"/>
      <c r="G2196" s="9"/>
      <c r="J2196" s="11"/>
      <c r="U2196" s="9"/>
      <c r="X2196" s="9"/>
    </row>
    <row r="2197">
      <c r="D2197" s="9"/>
      <c r="G2197" s="9"/>
      <c r="J2197" s="11"/>
      <c r="U2197" s="9"/>
      <c r="X2197" s="9"/>
    </row>
    <row r="2198">
      <c r="D2198" s="9"/>
      <c r="G2198" s="9"/>
      <c r="J2198" s="11"/>
      <c r="U2198" s="9"/>
      <c r="X2198" s="9"/>
    </row>
    <row r="2199">
      <c r="D2199" s="9"/>
      <c r="G2199" s="9"/>
      <c r="J2199" s="11"/>
      <c r="U2199" s="9"/>
      <c r="X2199" s="9"/>
    </row>
    <row r="2200">
      <c r="D2200" s="9"/>
      <c r="G2200" s="9"/>
      <c r="J2200" s="11"/>
      <c r="U2200" s="9"/>
      <c r="X2200" s="9"/>
    </row>
    <row r="2201">
      <c r="D2201" s="9"/>
      <c r="G2201" s="9"/>
      <c r="J2201" s="11"/>
      <c r="U2201" s="9"/>
      <c r="X2201" s="9"/>
    </row>
    <row r="2202">
      <c r="D2202" s="9"/>
      <c r="G2202" s="9"/>
      <c r="J2202" s="11"/>
      <c r="U2202" s="9"/>
      <c r="X2202" s="9"/>
    </row>
    <row r="2203">
      <c r="D2203" s="9"/>
      <c r="G2203" s="9"/>
      <c r="J2203" s="11"/>
      <c r="U2203" s="9"/>
      <c r="X2203" s="9"/>
    </row>
    <row r="2204">
      <c r="D2204" s="9"/>
      <c r="G2204" s="9"/>
      <c r="J2204" s="11"/>
      <c r="U2204" s="9"/>
      <c r="X2204" s="9"/>
    </row>
    <row r="2205">
      <c r="D2205" s="9"/>
      <c r="G2205" s="9"/>
      <c r="J2205" s="11"/>
      <c r="U2205" s="9"/>
      <c r="X2205" s="9"/>
    </row>
    <row r="2206">
      <c r="D2206" s="9"/>
      <c r="G2206" s="9"/>
      <c r="J2206" s="11"/>
      <c r="U2206" s="9"/>
      <c r="X2206" s="9"/>
    </row>
    <row r="2207">
      <c r="D2207" s="9"/>
      <c r="G2207" s="9"/>
      <c r="J2207" s="11"/>
      <c r="U2207" s="9"/>
      <c r="X2207" s="9"/>
    </row>
    <row r="2208">
      <c r="D2208" s="9"/>
      <c r="G2208" s="9"/>
      <c r="J2208" s="11"/>
      <c r="U2208" s="9"/>
      <c r="X2208" s="9"/>
    </row>
    <row r="2209">
      <c r="D2209" s="9"/>
      <c r="G2209" s="9"/>
      <c r="J2209" s="11"/>
      <c r="U2209" s="9"/>
      <c r="X2209" s="9"/>
    </row>
    <row r="2210">
      <c r="D2210" s="9"/>
      <c r="G2210" s="9"/>
      <c r="J2210" s="11"/>
      <c r="U2210" s="9"/>
      <c r="X2210" s="9"/>
    </row>
    <row r="2211">
      <c r="D2211" s="9"/>
      <c r="G2211" s="9"/>
      <c r="J2211" s="11"/>
      <c r="U2211" s="9"/>
      <c r="X2211" s="9"/>
    </row>
    <row r="2212">
      <c r="D2212" s="9"/>
      <c r="G2212" s="9"/>
      <c r="J2212" s="11"/>
      <c r="U2212" s="9"/>
      <c r="X2212" s="9"/>
    </row>
    <row r="2213">
      <c r="D2213" s="9"/>
      <c r="G2213" s="9"/>
      <c r="J2213" s="11"/>
      <c r="U2213" s="9"/>
      <c r="X2213" s="9"/>
    </row>
    <row r="2214">
      <c r="D2214" s="9"/>
      <c r="G2214" s="9"/>
      <c r="J2214" s="11"/>
      <c r="U2214" s="9"/>
      <c r="X2214" s="9"/>
    </row>
    <row r="2215">
      <c r="D2215" s="9"/>
      <c r="G2215" s="9"/>
      <c r="J2215" s="11"/>
      <c r="U2215" s="9"/>
      <c r="X2215" s="9"/>
    </row>
    <row r="2216">
      <c r="D2216" s="9"/>
      <c r="G2216" s="9"/>
      <c r="J2216" s="11"/>
      <c r="U2216" s="9"/>
      <c r="X2216" s="9"/>
    </row>
    <row r="2217">
      <c r="D2217" s="9"/>
      <c r="G2217" s="9"/>
      <c r="J2217" s="11"/>
      <c r="U2217" s="9"/>
      <c r="X2217" s="9"/>
    </row>
    <row r="2218">
      <c r="D2218" s="9"/>
      <c r="G2218" s="9"/>
      <c r="J2218" s="11"/>
      <c r="U2218" s="9"/>
      <c r="X2218" s="9"/>
    </row>
    <row r="2219">
      <c r="D2219" s="9"/>
      <c r="G2219" s="9"/>
      <c r="J2219" s="11"/>
      <c r="U2219" s="9"/>
      <c r="X2219" s="9"/>
    </row>
    <row r="2220">
      <c r="D2220" s="9"/>
      <c r="G2220" s="9"/>
      <c r="J2220" s="11"/>
      <c r="U2220" s="9"/>
      <c r="X2220" s="9"/>
    </row>
    <row r="2221">
      <c r="D2221" s="9"/>
      <c r="G2221" s="9"/>
      <c r="J2221" s="11"/>
      <c r="U2221" s="9"/>
      <c r="X2221" s="9"/>
    </row>
    <row r="2222">
      <c r="D2222" s="9"/>
      <c r="G2222" s="9"/>
      <c r="J2222" s="11"/>
      <c r="U2222" s="9"/>
      <c r="X2222" s="9"/>
    </row>
    <row r="2223">
      <c r="D2223" s="9"/>
      <c r="G2223" s="9"/>
      <c r="J2223" s="11"/>
      <c r="U2223" s="9"/>
      <c r="X2223" s="9"/>
    </row>
    <row r="2224">
      <c r="D2224" s="9"/>
      <c r="G2224" s="9"/>
      <c r="J2224" s="11"/>
      <c r="U2224" s="9"/>
      <c r="X2224" s="9"/>
    </row>
    <row r="2225">
      <c r="D2225" s="9"/>
      <c r="G2225" s="9"/>
      <c r="J2225" s="11"/>
      <c r="U2225" s="9"/>
      <c r="X2225" s="9"/>
    </row>
    <row r="2226">
      <c r="D2226" s="9"/>
      <c r="G2226" s="9"/>
      <c r="J2226" s="11"/>
      <c r="U2226" s="9"/>
      <c r="X2226" s="9"/>
    </row>
    <row r="2227">
      <c r="D2227" s="9"/>
      <c r="G2227" s="9"/>
      <c r="J2227" s="11"/>
      <c r="U2227" s="9"/>
      <c r="X2227" s="9"/>
    </row>
    <row r="2228">
      <c r="D2228" s="9"/>
      <c r="G2228" s="9"/>
      <c r="J2228" s="11"/>
      <c r="U2228" s="9"/>
      <c r="X2228" s="9"/>
    </row>
    <row r="2229">
      <c r="D2229" s="9"/>
      <c r="G2229" s="9"/>
      <c r="J2229" s="11"/>
      <c r="U2229" s="9"/>
      <c r="X2229" s="9"/>
    </row>
    <row r="2230">
      <c r="D2230" s="9"/>
      <c r="G2230" s="9"/>
      <c r="J2230" s="11"/>
      <c r="U2230" s="9"/>
      <c r="X2230" s="9"/>
    </row>
    <row r="2231">
      <c r="D2231" s="9"/>
      <c r="G2231" s="9"/>
      <c r="J2231" s="11"/>
      <c r="U2231" s="9"/>
      <c r="X2231" s="9"/>
    </row>
    <row r="2232">
      <c r="D2232" s="9"/>
      <c r="G2232" s="9"/>
      <c r="J2232" s="11"/>
      <c r="U2232" s="9"/>
      <c r="X2232" s="9"/>
    </row>
    <row r="2233">
      <c r="D2233" s="9"/>
      <c r="G2233" s="9"/>
      <c r="J2233" s="11"/>
      <c r="U2233" s="9"/>
      <c r="X2233" s="9"/>
    </row>
    <row r="2234">
      <c r="D2234" s="9"/>
      <c r="G2234" s="9"/>
      <c r="J2234" s="11"/>
      <c r="U2234" s="9"/>
      <c r="X2234" s="9"/>
    </row>
    <row r="2235">
      <c r="D2235" s="9"/>
      <c r="G2235" s="9"/>
      <c r="J2235" s="11"/>
      <c r="U2235" s="9"/>
      <c r="X2235" s="9"/>
    </row>
    <row r="2236">
      <c r="D2236" s="9"/>
      <c r="G2236" s="9"/>
      <c r="J2236" s="11"/>
      <c r="U2236" s="9"/>
      <c r="X2236" s="9"/>
    </row>
    <row r="2237">
      <c r="D2237" s="9"/>
      <c r="G2237" s="9"/>
      <c r="J2237" s="11"/>
      <c r="U2237" s="9"/>
      <c r="X2237" s="9"/>
    </row>
    <row r="2238">
      <c r="D2238" s="9"/>
      <c r="G2238" s="9"/>
      <c r="J2238" s="11"/>
      <c r="U2238" s="9"/>
      <c r="X2238" s="9"/>
    </row>
    <row r="2239">
      <c r="D2239" s="9"/>
      <c r="G2239" s="9"/>
      <c r="J2239" s="11"/>
      <c r="U2239" s="9"/>
      <c r="X2239" s="9"/>
    </row>
    <row r="2240">
      <c r="D2240" s="9"/>
      <c r="G2240" s="9"/>
      <c r="J2240" s="11"/>
      <c r="U2240" s="9"/>
      <c r="X2240" s="9"/>
    </row>
    <row r="2241">
      <c r="D2241" s="9"/>
      <c r="G2241" s="9"/>
      <c r="J2241" s="11"/>
      <c r="U2241" s="9"/>
      <c r="X2241" s="9"/>
    </row>
    <row r="2242">
      <c r="D2242" s="9"/>
      <c r="G2242" s="9"/>
      <c r="J2242" s="11"/>
      <c r="U2242" s="9"/>
      <c r="X2242" s="9"/>
    </row>
    <row r="2243">
      <c r="D2243" s="9"/>
      <c r="G2243" s="9"/>
      <c r="J2243" s="11"/>
      <c r="U2243" s="9"/>
      <c r="X2243" s="9"/>
    </row>
    <row r="2244">
      <c r="D2244" s="9"/>
      <c r="G2244" s="9"/>
      <c r="J2244" s="11"/>
      <c r="U2244" s="9"/>
      <c r="X2244" s="9"/>
    </row>
    <row r="2245">
      <c r="D2245" s="9"/>
      <c r="G2245" s="9"/>
      <c r="J2245" s="11"/>
      <c r="U2245" s="9"/>
      <c r="X2245" s="9"/>
    </row>
    <row r="2246">
      <c r="D2246" s="9"/>
      <c r="G2246" s="9"/>
      <c r="J2246" s="11"/>
      <c r="U2246" s="9"/>
      <c r="X2246" s="9"/>
    </row>
    <row r="2247">
      <c r="D2247" s="9"/>
      <c r="G2247" s="9"/>
      <c r="J2247" s="11"/>
      <c r="U2247" s="9"/>
      <c r="X2247" s="9"/>
    </row>
    <row r="2248">
      <c r="D2248" s="9"/>
      <c r="G2248" s="9"/>
      <c r="J2248" s="11"/>
      <c r="U2248" s="9"/>
      <c r="X2248" s="9"/>
    </row>
    <row r="2249">
      <c r="D2249" s="9"/>
      <c r="G2249" s="9"/>
      <c r="J2249" s="11"/>
      <c r="U2249" s="9"/>
      <c r="X2249" s="9"/>
    </row>
    <row r="2250">
      <c r="D2250" s="9"/>
      <c r="G2250" s="9"/>
      <c r="J2250" s="11"/>
      <c r="U2250" s="9"/>
      <c r="X2250" s="9"/>
    </row>
    <row r="2251">
      <c r="D2251" s="9"/>
      <c r="G2251" s="9"/>
      <c r="J2251" s="11"/>
      <c r="U2251" s="9"/>
      <c r="X2251" s="9"/>
    </row>
    <row r="2252">
      <c r="D2252" s="9"/>
      <c r="G2252" s="9"/>
      <c r="J2252" s="11"/>
      <c r="U2252" s="9"/>
      <c r="X2252" s="9"/>
    </row>
    <row r="2253">
      <c r="D2253" s="9"/>
      <c r="G2253" s="9"/>
      <c r="J2253" s="11"/>
      <c r="U2253" s="9"/>
      <c r="X2253" s="9"/>
    </row>
    <row r="2254">
      <c r="D2254" s="9"/>
      <c r="G2254" s="9"/>
      <c r="J2254" s="11"/>
      <c r="U2254" s="9"/>
      <c r="X2254" s="9"/>
    </row>
    <row r="2255">
      <c r="D2255" s="9"/>
      <c r="G2255" s="9"/>
      <c r="J2255" s="11"/>
      <c r="U2255" s="9"/>
      <c r="X2255" s="9"/>
    </row>
    <row r="2256">
      <c r="D2256" s="9"/>
      <c r="G2256" s="9"/>
      <c r="J2256" s="11"/>
      <c r="U2256" s="9"/>
      <c r="X2256" s="9"/>
    </row>
    <row r="2257">
      <c r="D2257" s="9"/>
      <c r="G2257" s="9"/>
      <c r="J2257" s="11"/>
      <c r="U2257" s="9"/>
      <c r="X2257" s="9"/>
    </row>
    <row r="2258">
      <c r="D2258" s="9"/>
      <c r="G2258" s="9"/>
      <c r="J2258" s="11"/>
      <c r="U2258" s="9"/>
      <c r="X2258" s="9"/>
    </row>
    <row r="2259">
      <c r="D2259" s="9"/>
      <c r="G2259" s="9"/>
      <c r="J2259" s="11"/>
      <c r="U2259" s="9"/>
      <c r="X2259" s="9"/>
    </row>
    <row r="2260">
      <c r="D2260" s="9"/>
      <c r="G2260" s="9"/>
      <c r="J2260" s="11"/>
      <c r="U2260" s="9"/>
      <c r="X2260" s="9"/>
    </row>
    <row r="2261">
      <c r="D2261" s="9"/>
      <c r="G2261" s="9"/>
      <c r="J2261" s="11"/>
      <c r="U2261" s="9"/>
      <c r="X2261" s="9"/>
    </row>
    <row r="2262">
      <c r="D2262" s="9"/>
      <c r="G2262" s="9"/>
      <c r="J2262" s="11"/>
      <c r="U2262" s="9"/>
      <c r="X2262" s="9"/>
    </row>
    <row r="2263">
      <c r="D2263" s="9"/>
      <c r="G2263" s="9"/>
      <c r="J2263" s="11"/>
      <c r="U2263" s="9"/>
      <c r="X2263" s="9"/>
    </row>
    <row r="2264">
      <c r="D2264" s="9"/>
      <c r="G2264" s="9"/>
      <c r="J2264" s="11"/>
      <c r="U2264" s="9"/>
      <c r="X2264" s="9"/>
    </row>
    <row r="2265">
      <c r="D2265" s="9"/>
      <c r="G2265" s="9"/>
      <c r="J2265" s="11"/>
      <c r="U2265" s="9"/>
      <c r="X2265" s="9"/>
    </row>
    <row r="2266">
      <c r="D2266" s="9"/>
      <c r="G2266" s="9"/>
      <c r="J2266" s="11"/>
      <c r="U2266" s="9"/>
      <c r="X2266" s="9"/>
    </row>
    <row r="2267">
      <c r="D2267" s="9"/>
      <c r="G2267" s="9"/>
      <c r="J2267" s="11"/>
      <c r="U2267" s="9"/>
      <c r="X2267" s="9"/>
    </row>
    <row r="2268">
      <c r="D2268" s="9"/>
      <c r="G2268" s="9"/>
      <c r="J2268" s="11"/>
      <c r="U2268" s="9"/>
      <c r="X2268" s="9"/>
    </row>
    <row r="2269">
      <c r="D2269" s="9"/>
      <c r="G2269" s="9"/>
      <c r="J2269" s="11"/>
      <c r="U2269" s="9"/>
      <c r="X2269" s="9"/>
    </row>
    <row r="2270">
      <c r="D2270" s="9"/>
      <c r="G2270" s="9"/>
      <c r="J2270" s="11"/>
      <c r="U2270" s="9"/>
      <c r="X2270" s="9"/>
    </row>
    <row r="2271">
      <c r="D2271" s="9"/>
      <c r="G2271" s="9"/>
      <c r="J2271" s="11"/>
      <c r="U2271" s="9"/>
      <c r="X2271" s="9"/>
    </row>
    <row r="2272">
      <c r="D2272" s="9"/>
      <c r="G2272" s="9"/>
      <c r="J2272" s="11"/>
      <c r="U2272" s="9"/>
      <c r="X2272" s="9"/>
    </row>
    <row r="2273">
      <c r="D2273" s="9"/>
      <c r="G2273" s="9"/>
      <c r="J2273" s="11"/>
      <c r="U2273" s="9"/>
      <c r="X2273" s="9"/>
    </row>
    <row r="2274">
      <c r="D2274" s="9"/>
      <c r="G2274" s="9"/>
      <c r="J2274" s="11"/>
      <c r="U2274" s="9"/>
      <c r="X2274" s="9"/>
    </row>
    <row r="2275">
      <c r="D2275" s="9"/>
      <c r="G2275" s="9"/>
      <c r="J2275" s="11"/>
      <c r="U2275" s="9"/>
      <c r="X2275" s="9"/>
    </row>
    <row r="2276">
      <c r="D2276" s="9"/>
      <c r="G2276" s="9"/>
      <c r="J2276" s="11"/>
      <c r="U2276" s="9"/>
      <c r="X2276" s="9"/>
    </row>
    <row r="2277">
      <c r="D2277" s="9"/>
      <c r="G2277" s="9"/>
      <c r="J2277" s="11"/>
      <c r="U2277" s="9"/>
      <c r="X2277" s="9"/>
    </row>
    <row r="2278">
      <c r="D2278" s="9"/>
      <c r="G2278" s="9"/>
      <c r="J2278" s="11"/>
      <c r="U2278" s="9"/>
      <c r="X2278" s="9"/>
    </row>
    <row r="2279">
      <c r="D2279" s="9"/>
      <c r="G2279" s="9"/>
      <c r="J2279" s="11"/>
      <c r="U2279" s="9"/>
      <c r="X2279" s="9"/>
    </row>
    <row r="2280">
      <c r="D2280" s="9"/>
      <c r="G2280" s="9"/>
      <c r="J2280" s="11"/>
      <c r="U2280" s="9"/>
      <c r="X2280" s="9"/>
    </row>
    <row r="2281">
      <c r="D2281" s="9"/>
      <c r="G2281" s="9"/>
      <c r="J2281" s="11"/>
      <c r="U2281" s="9"/>
      <c r="X2281" s="9"/>
    </row>
    <row r="2282">
      <c r="D2282" s="9"/>
      <c r="G2282" s="9"/>
      <c r="J2282" s="11"/>
      <c r="U2282" s="9"/>
      <c r="X2282" s="9"/>
    </row>
    <row r="2283">
      <c r="D2283" s="9"/>
      <c r="G2283" s="9"/>
      <c r="J2283" s="11"/>
      <c r="U2283" s="9"/>
      <c r="X2283" s="9"/>
    </row>
    <row r="2284">
      <c r="D2284" s="9"/>
      <c r="G2284" s="9"/>
      <c r="J2284" s="11"/>
      <c r="U2284" s="9"/>
      <c r="X2284" s="9"/>
    </row>
    <row r="2285">
      <c r="D2285" s="9"/>
      <c r="G2285" s="9"/>
      <c r="J2285" s="11"/>
      <c r="U2285" s="9"/>
      <c r="X2285" s="9"/>
    </row>
    <row r="2286">
      <c r="D2286" s="9"/>
      <c r="G2286" s="9"/>
      <c r="J2286" s="11"/>
      <c r="U2286" s="9"/>
      <c r="X2286" s="9"/>
    </row>
    <row r="2287">
      <c r="D2287" s="9"/>
      <c r="G2287" s="9"/>
      <c r="J2287" s="11"/>
      <c r="U2287" s="9"/>
      <c r="X2287" s="9"/>
    </row>
    <row r="2288">
      <c r="D2288" s="9"/>
      <c r="G2288" s="9"/>
      <c r="J2288" s="11"/>
      <c r="U2288" s="9"/>
      <c r="X2288" s="9"/>
    </row>
    <row r="2289">
      <c r="D2289" s="9"/>
      <c r="G2289" s="9"/>
      <c r="J2289" s="11"/>
      <c r="U2289" s="9"/>
      <c r="X2289" s="9"/>
    </row>
    <row r="2290">
      <c r="D2290" s="9"/>
      <c r="G2290" s="9"/>
      <c r="J2290" s="11"/>
      <c r="U2290" s="9"/>
      <c r="X2290" s="9"/>
    </row>
    <row r="2291">
      <c r="D2291" s="9"/>
      <c r="G2291" s="9"/>
      <c r="J2291" s="11"/>
      <c r="U2291" s="9"/>
      <c r="X2291" s="9"/>
    </row>
    <row r="2292">
      <c r="D2292" s="9"/>
      <c r="G2292" s="9"/>
      <c r="J2292" s="11"/>
      <c r="U2292" s="9"/>
      <c r="X2292" s="9"/>
    </row>
    <row r="2293">
      <c r="D2293" s="9"/>
      <c r="G2293" s="9"/>
      <c r="J2293" s="11"/>
      <c r="U2293" s="9"/>
      <c r="X2293" s="9"/>
    </row>
    <row r="2294">
      <c r="D2294" s="9"/>
      <c r="G2294" s="9"/>
      <c r="J2294" s="11"/>
      <c r="U2294" s="9"/>
      <c r="X2294" s="9"/>
    </row>
    <row r="2295">
      <c r="D2295" s="9"/>
      <c r="G2295" s="9"/>
      <c r="J2295" s="11"/>
      <c r="U2295" s="9"/>
      <c r="X2295" s="9"/>
    </row>
    <row r="2296">
      <c r="D2296" s="9"/>
      <c r="G2296" s="9"/>
      <c r="J2296" s="11"/>
      <c r="U2296" s="9"/>
      <c r="X2296" s="9"/>
    </row>
    <row r="2297">
      <c r="D2297" s="9"/>
      <c r="G2297" s="9"/>
      <c r="J2297" s="11"/>
      <c r="U2297" s="9"/>
      <c r="X2297" s="9"/>
    </row>
    <row r="2298">
      <c r="D2298" s="9"/>
      <c r="G2298" s="9"/>
      <c r="J2298" s="11"/>
      <c r="U2298" s="9"/>
      <c r="X2298" s="9"/>
    </row>
    <row r="2299">
      <c r="D2299" s="9"/>
      <c r="G2299" s="9"/>
      <c r="J2299" s="11"/>
      <c r="U2299" s="9"/>
      <c r="X2299" s="9"/>
    </row>
    <row r="2300">
      <c r="D2300" s="9"/>
      <c r="G2300" s="9"/>
      <c r="J2300" s="11"/>
      <c r="U2300" s="9"/>
      <c r="X2300" s="9"/>
    </row>
    <row r="2301">
      <c r="D2301" s="9"/>
      <c r="G2301" s="9"/>
      <c r="J2301" s="11"/>
      <c r="U2301" s="9"/>
      <c r="X2301" s="9"/>
    </row>
    <row r="2302">
      <c r="D2302" s="9"/>
      <c r="G2302" s="9"/>
      <c r="J2302" s="11"/>
      <c r="U2302" s="9"/>
      <c r="X2302" s="9"/>
    </row>
    <row r="2303">
      <c r="D2303" s="9"/>
      <c r="G2303" s="9"/>
      <c r="J2303" s="11"/>
      <c r="U2303" s="9"/>
      <c r="X2303" s="9"/>
    </row>
    <row r="2304">
      <c r="D2304" s="9"/>
      <c r="G2304" s="9"/>
      <c r="J2304" s="11"/>
      <c r="U2304" s="9"/>
      <c r="X2304" s="9"/>
    </row>
    <row r="2305">
      <c r="D2305" s="9"/>
      <c r="G2305" s="9"/>
      <c r="J2305" s="11"/>
      <c r="U2305" s="9"/>
      <c r="X2305" s="9"/>
    </row>
    <row r="2306">
      <c r="D2306" s="9"/>
      <c r="G2306" s="9"/>
      <c r="J2306" s="11"/>
      <c r="U2306" s="9"/>
      <c r="X2306" s="9"/>
    </row>
    <row r="2307">
      <c r="D2307" s="9"/>
      <c r="G2307" s="9"/>
      <c r="J2307" s="11"/>
      <c r="U2307" s="9"/>
      <c r="X2307" s="9"/>
    </row>
    <row r="2308">
      <c r="D2308" s="9"/>
      <c r="G2308" s="9"/>
      <c r="J2308" s="11"/>
      <c r="U2308" s="9"/>
      <c r="X2308" s="9"/>
    </row>
    <row r="2309">
      <c r="D2309" s="9"/>
      <c r="G2309" s="9"/>
      <c r="J2309" s="11"/>
      <c r="U2309" s="9"/>
      <c r="X2309" s="9"/>
    </row>
    <row r="2310">
      <c r="D2310" s="9"/>
      <c r="G2310" s="9"/>
      <c r="J2310" s="11"/>
      <c r="U2310" s="9"/>
      <c r="X2310" s="9"/>
    </row>
    <row r="2311">
      <c r="D2311" s="9"/>
      <c r="G2311" s="9"/>
      <c r="J2311" s="11"/>
      <c r="U2311" s="9"/>
      <c r="X2311" s="9"/>
    </row>
    <row r="2312">
      <c r="D2312" s="9"/>
      <c r="G2312" s="9"/>
      <c r="J2312" s="11"/>
      <c r="U2312" s="9"/>
      <c r="X2312" s="9"/>
    </row>
    <row r="2313">
      <c r="D2313" s="9"/>
      <c r="G2313" s="9"/>
      <c r="J2313" s="11"/>
      <c r="U2313" s="9"/>
      <c r="X2313" s="9"/>
    </row>
    <row r="2314">
      <c r="D2314" s="9"/>
      <c r="G2314" s="9"/>
      <c r="J2314" s="11"/>
      <c r="U2314" s="9"/>
      <c r="X2314" s="9"/>
    </row>
    <row r="2315">
      <c r="D2315" s="9"/>
      <c r="G2315" s="9"/>
      <c r="J2315" s="11"/>
      <c r="U2315" s="9"/>
      <c r="X2315" s="9"/>
    </row>
    <row r="2316">
      <c r="D2316" s="9"/>
      <c r="G2316" s="9"/>
      <c r="J2316" s="11"/>
      <c r="U2316" s="9"/>
      <c r="X2316" s="9"/>
    </row>
    <row r="2317">
      <c r="D2317" s="9"/>
      <c r="G2317" s="9"/>
      <c r="J2317" s="11"/>
      <c r="U2317" s="9"/>
      <c r="X2317" s="9"/>
    </row>
    <row r="2318">
      <c r="D2318" s="9"/>
      <c r="G2318" s="9"/>
      <c r="J2318" s="11"/>
      <c r="U2318" s="9"/>
      <c r="X2318" s="9"/>
    </row>
    <row r="2319">
      <c r="D2319" s="9"/>
      <c r="G2319" s="9"/>
      <c r="J2319" s="11"/>
      <c r="U2319" s="9"/>
      <c r="X2319" s="9"/>
    </row>
    <row r="2320">
      <c r="D2320" s="9"/>
      <c r="G2320" s="9"/>
      <c r="J2320" s="11"/>
      <c r="U2320" s="9"/>
      <c r="X2320" s="9"/>
    </row>
    <row r="2321">
      <c r="D2321" s="9"/>
      <c r="G2321" s="9"/>
      <c r="J2321" s="11"/>
      <c r="U2321" s="9"/>
      <c r="X2321" s="9"/>
    </row>
    <row r="2322">
      <c r="D2322" s="9"/>
      <c r="G2322" s="9"/>
      <c r="J2322" s="11"/>
      <c r="U2322" s="9"/>
      <c r="X2322" s="9"/>
    </row>
    <row r="2323">
      <c r="D2323" s="9"/>
      <c r="G2323" s="9"/>
      <c r="J2323" s="11"/>
      <c r="U2323" s="9"/>
      <c r="X2323" s="9"/>
    </row>
    <row r="2324">
      <c r="D2324" s="9"/>
      <c r="G2324" s="9"/>
      <c r="J2324" s="11"/>
      <c r="U2324" s="9"/>
      <c r="X2324" s="9"/>
    </row>
    <row r="2325">
      <c r="D2325" s="9"/>
      <c r="G2325" s="9"/>
      <c r="J2325" s="11"/>
      <c r="U2325" s="9"/>
      <c r="X2325" s="9"/>
    </row>
    <row r="2326">
      <c r="D2326" s="9"/>
      <c r="G2326" s="9"/>
      <c r="J2326" s="11"/>
      <c r="U2326" s="9"/>
      <c r="X2326" s="9"/>
    </row>
    <row r="2327">
      <c r="D2327" s="9"/>
      <c r="G2327" s="9"/>
      <c r="J2327" s="11"/>
      <c r="U2327" s="9"/>
      <c r="X2327" s="9"/>
    </row>
    <row r="2328">
      <c r="D2328" s="9"/>
      <c r="G2328" s="9"/>
      <c r="J2328" s="11"/>
      <c r="U2328" s="9"/>
      <c r="X2328" s="9"/>
    </row>
    <row r="2329">
      <c r="D2329" s="9"/>
      <c r="G2329" s="9"/>
      <c r="J2329" s="11"/>
      <c r="U2329" s="9"/>
      <c r="X2329" s="9"/>
    </row>
    <row r="2330">
      <c r="D2330" s="9"/>
      <c r="G2330" s="9"/>
      <c r="J2330" s="11"/>
      <c r="U2330" s="9"/>
      <c r="X2330" s="9"/>
    </row>
    <row r="2331">
      <c r="D2331" s="9"/>
      <c r="G2331" s="9"/>
      <c r="J2331" s="11"/>
      <c r="U2331" s="9"/>
      <c r="X2331" s="9"/>
    </row>
    <row r="2332">
      <c r="D2332" s="9"/>
      <c r="G2332" s="9"/>
      <c r="J2332" s="11"/>
      <c r="U2332" s="9"/>
      <c r="X2332" s="9"/>
    </row>
    <row r="2333">
      <c r="D2333" s="9"/>
      <c r="G2333" s="9"/>
      <c r="J2333" s="11"/>
      <c r="U2333" s="9"/>
      <c r="X2333" s="9"/>
    </row>
    <row r="2334">
      <c r="D2334" s="9"/>
      <c r="G2334" s="9"/>
      <c r="J2334" s="11"/>
      <c r="U2334" s="9"/>
      <c r="X2334" s="9"/>
    </row>
    <row r="2335">
      <c r="D2335" s="9"/>
      <c r="G2335" s="9"/>
      <c r="J2335" s="11"/>
      <c r="U2335" s="9"/>
      <c r="X2335" s="9"/>
    </row>
    <row r="2336">
      <c r="D2336" s="9"/>
      <c r="G2336" s="9"/>
      <c r="J2336" s="11"/>
      <c r="U2336" s="9"/>
      <c r="X2336" s="9"/>
    </row>
    <row r="2337">
      <c r="D2337" s="9"/>
      <c r="G2337" s="9"/>
      <c r="J2337" s="11"/>
      <c r="U2337" s="9"/>
      <c r="X2337" s="9"/>
    </row>
    <row r="2338">
      <c r="D2338" s="9"/>
      <c r="G2338" s="9"/>
      <c r="J2338" s="11"/>
      <c r="U2338" s="9"/>
      <c r="X2338" s="9"/>
    </row>
    <row r="2339">
      <c r="D2339" s="9"/>
      <c r="G2339" s="9"/>
      <c r="J2339" s="11"/>
      <c r="U2339" s="9"/>
      <c r="X2339" s="9"/>
    </row>
    <row r="2340">
      <c r="D2340" s="9"/>
      <c r="G2340" s="9"/>
      <c r="J2340" s="11"/>
      <c r="U2340" s="9"/>
      <c r="X2340" s="9"/>
    </row>
    <row r="2341">
      <c r="D2341" s="9"/>
      <c r="G2341" s="9"/>
      <c r="J2341" s="11"/>
      <c r="U2341" s="9"/>
      <c r="X2341" s="9"/>
    </row>
    <row r="2342">
      <c r="D2342" s="9"/>
      <c r="G2342" s="9"/>
      <c r="J2342" s="11"/>
      <c r="U2342" s="9"/>
      <c r="X2342" s="9"/>
    </row>
    <row r="2343">
      <c r="D2343" s="9"/>
      <c r="G2343" s="9"/>
      <c r="J2343" s="11"/>
      <c r="U2343" s="9"/>
      <c r="X2343" s="9"/>
    </row>
    <row r="2344">
      <c r="D2344" s="9"/>
      <c r="G2344" s="9"/>
      <c r="J2344" s="11"/>
      <c r="U2344" s="9"/>
      <c r="X2344" s="9"/>
    </row>
    <row r="2345">
      <c r="D2345" s="9"/>
      <c r="G2345" s="9"/>
      <c r="J2345" s="11"/>
      <c r="U2345" s="9"/>
      <c r="X2345" s="9"/>
    </row>
    <row r="2346">
      <c r="D2346" s="9"/>
      <c r="G2346" s="9"/>
      <c r="J2346" s="11"/>
      <c r="U2346" s="9"/>
      <c r="X2346" s="9"/>
    </row>
    <row r="2347">
      <c r="D2347" s="9"/>
      <c r="G2347" s="9"/>
      <c r="J2347" s="11"/>
      <c r="U2347" s="9"/>
      <c r="X2347" s="9"/>
    </row>
    <row r="2348">
      <c r="D2348" s="9"/>
      <c r="G2348" s="9"/>
      <c r="J2348" s="11"/>
      <c r="U2348" s="9"/>
      <c r="X2348" s="9"/>
    </row>
    <row r="2349">
      <c r="D2349" s="9"/>
      <c r="G2349" s="9"/>
      <c r="J2349" s="11"/>
      <c r="U2349" s="9"/>
      <c r="X2349" s="9"/>
    </row>
    <row r="2350">
      <c r="D2350" s="9"/>
      <c r="G2350" s="9"/>
      <c r="J2350" s="11"/>
      <c r="U2350" s="9"/>
      <c r="X2350" s="9"/>
    </row>
    <row r="2351">
      <c r="D2351" s="9"/>
      <c r="G2351" s="9"/>
      <c r="J2351" s="11"/>
      <c r="U2351" s="9"/>
      <c r="X2351" s="9"/>
    </row>
    <row r="2352">
      <c r="D2352" s="9"/>
      <c r="G2352" s="9"/>
      <c r="J2352" s="11"/>
      <c r="U2352" s="9"/>
      <c r="X2352" s="9"/>
    </row>
    <row r="2353">
      <c r="D2353" s="9"/>
      <c r="G2353" s="9"/>
      <c r="J2353" s="11"/>
      <c r="U2353" s="9"/>
      <c r="X2353" s="9"/>
    </row>
    <row r="2354">
      <c r="D2354" s="9"/>
      <c r="G2354" s="9"/>
      <c r="J2354" s="11"/>
      <c r="U2354" s="9"/>
      <c r="X2354" s="9"/>
    </row>
    <row r="2355">
      <c r="D2355" s="9"/>
      <c r="G2355" s="9"/>
      <c r="J2355" s="11"/>
      <c r="U2355" s="9"/>
      <c r="X2355" s="9"/>
    </row>
    <row r="2356">
      <c r="D2356" s="9"/>
      <c r="G2356" s="9"/>
      <c r="J2356" s="11"/>
      <c r="U2356" s="9"/>
      <c r="X2356" s="9"/>
    </row>
    <row r="2357">
      <c r="D2357" s="9"/>
      <c r="G2357" s="9"/>
      <c r="J2357" s="11"/>
      <c r="U2357" s="9"/>
      <c r="X2357" s="9"/>
    </row>
    <row r="2358">
      <c r="D2358" s="9"/>
      <c r="G2358" s="9"/>
      <c r="J2358" s="11"/>
      <c r="U2358" s="9"/>
      <c r="X2358" s="9"/>
    </row>
    <row r="2359">
      <c r="D2359" s="9"/>
      <c r="G2359" s="9"/>
      <c r="J2359" s="11"/>
      <c r="U2359" s="9"/>
      <c r="X2359" s="9"/>
    </row>
    <row r="2360">
      <c r="D2360" s="9"/>
      <c r="G2360" s="9"/>
      <c r="J2360" s="11"/>
      <c r="U2360" s="9"/>
      <c r="X2360" s="9"/>
    </row>
    <row r="2361">
      <c r="D2361" s="9"/>
      <c r="G2361" s="9"/>
      <c r="J2361" s="11"/>
      <c r="U2361" s="9"/>
      <c r="X2361" s="9"/>
    </row>
    <row r="2362">
      <c r="D2362" s="9"/>
      <c r="G2362" s="9"/>
      <c r="J2362" s="11"/>
      <c r="U2362" s="9"/>
      <c r="X2362" s="9"/>
    </row>
    <row r="2363">
      <c r="D2363" s="9"/>
      <c r="G2363" s="9"/>
      <c r="J2363" s="11"/>
      <c r="U2363" s="9"/>
      <c r="X2363" s="9"/>
    </row>
    <row r="2364">
      <c r="D2364" s="9"/>
      <c r="G2364" s="9"/>
      <c r="J2364" s="11"/>
      <c r="U2364" s="9"/>
      <c r="X2364" s="9"/>
    </row>
    <row r="2365">
      <c r="D2365" s="9"/>
      <c r="G2365" s="9"/>
      <c r="J2365" s="11"/>
      <c r="U2365" s="9"/>
      <c r="X2365" s="9"/>
    </row>
    <row r="2366">
      <c r="D2366" s="9"/>
      <c r="G2366" s="9"/>
      <c r="J2366" s="11"/>
      <c r="U2366" s="9"/>
      <c r="X2366" s="9"/>
    </row>
    <row r="2367">
      <c r="D2367" s="9"/>
      <c r="G2367" s="9"/>
      <c r="J2367" s="11"/>
      <c r="U2367" s="9"/>
      <c r="X2367" s="9"/>
    </row>
    <row r="2368">
      <c r="D2368" s="9"/>
      <c r="G2368" s="9"/>
      <c r="J2368" s="11"/>
      <c r="U2368" s="9"/>
      <c r="X2368" s="9"/>
    </row>
    <row r="2369">
      <c r="D2369" s="9"/>
      <c r="G2369" s="9"/>
      <c r="J2369" s="11"/>
      <c r="U2369" s="9"/>
      <c r="X2369" s="9"/>
    </row>
    <row r="2370">
      <c r="D2370" s="9"/>
      <c r="G2370" s="9"/>
      <c r="J2370" s="11"/>
      <c r="U2370" s="9"/>
      <c r="X2370" s="9"/>
    </row>
    <row r="2371">
      <c r="D2371" s="9"/>
      <c r="G2371" s="9"/>
      <c r="J2371" s="11"/>
      <c r="U2371" s="9"/>
      <c r="X2371" s="9"/>
    </row>
    <row r="2372">
      <c r="D2372" s="9"/>
      <c r="G2372" s="9"/>
      <c r="J2372" s="11"/>
      <c r="U2372" s="9"/>
      <c r="X2372" s="9"/>
    </row>
    <row r="2373">
      <c r="D2373" s="9"/>
      <c r="G2373" s="9"/>
      <c r="J2373" s="11"/>
      <c r="U2373" s="9"/>
      <c r="X2373" s="9"/>
    </row>
    <row r="2374">
      <c r="D2374" s="9"/>
      <c r="G2374" s="9"/>
      <c r="J2374" s="11"/>
      <c r="U2374" s="9"/>
      <c r="X2374" s="9"/>
    </row>
    <row r="2375">
      <c r="D2375" s="9"/>
      <c r="G2375" s="9"/>
      <c r="J2375" s="11"/>
      <c r="U2375" s="9"/>
      <c r="X2375" s="9"/>
    </row>
    <row r="2376">
      <c r="D2376" s="9"/>
      <c r="G2376" s="9"/>
      <c r="J2376" s="11"/>
      <c r="U2376" s="9"/>
      <c r="X2376" s="9"/>
    </row>
    <row r="2377">
      <c r="D2377" s="9"/>
      <c r="G2377" s="9"/>
      <c r="J2377" s="11"/>
      <c r="U2377" s="9"/>
      <c r="X2377" s="9"/>
    </row>
    <row r="2378">
      <c r="D2378" s="9"/>
      <c r="G2378" s="9"/>
      <c r="J2378" s="11"/>
      <c r="U2378" s="9"/>
      <c r="X2378" s="9"/>
    </row>
    <row r="2379">
      <c r="D2379" s="9"/>
      <c r="G2379" s="9"/>
      <c r="J2379" s="11"/>
      <c r="U2379" s="9"/>
      <c r="X2379" s="9"/>
    </row>
    <row r="2380">
      <c r="D2380" s="9"/>
      <c r="G2380" s="9"/>
      <c r="J2380" s="11"/>
      <c r="U2380" s="9"/>
      <c r="X2380" s="9"/>
    </row>
    <row r="2381">
      <c r="D2381" s="9"/>
      <c r="G2381" s="9"/>
      <c r="J2381" s="11"/>
      <c r="U2381" s="9"/>
      <c r="X2381" s="9"/>
    </row>
    <row r="2382">
      <c r="D2382" s="9"/>
      <c r="G2382" s="9"/>
      <c r="J2382" s="11"/>
      <c r="U2382" s="9"/>
      <c r="X2382" s="9"/>
    </row>
    <row r="2383">
      <c r="D2383" s="9"/>
      <c r="G2383" s="9"/>
      <c r="J2383" s="11"/>
      <c r="U2383" s="9"/>
      <c r="X2383" s="9"/>
    </row>
    <row r="2384">
      <c r="D2384" s="9"/>
      <c r="G2384" s="9"/>
      <c r="J2384" s="11"/>
      <c r="U2384" s="9"/>
      <c r="X2384" s="9"/>
    </row>
    <row r="2385">
      <c r="D2385" s="9"/>
      <c r="G2385" s="9"/>
      <c r="J2385" s="11"/>
      <c r="U2385" s="9"/>
      <c r="X2385" s="9"/>
    </row>
    <row r="2386">
      <c r="D2386" s="9"/>
      <c r="G2386" s="9"/>
      <c r="J2386" s="11"/>
      <c r="U2386" s="9"/>
      <c r="X2386" s="9"/>
    </row>
    <row r="2387">
      <c r="D2387" s="9"/>
      <c r="G2387" s="9"/>
      <c r="J2387" s="11"/>
      <c r="U2387" s="9"/>
      <c r="X2387" s="9"/>
    </row>
    <row r="2388">
      <c r="D2388" s="9"/>
      <c r="G2388" s="9"/>
      <c r="J2388" s="11"/>
      <c r="U2388" s="9"/>
      <c r="X2388" s="9"/>
    </row>
    <row r="2389">
      <c r="D2389" s="9"/>
      <c r="G2389" s="9"/>
      <c r="J2389" s="11"/>
      <c r="U2389" s="9"/>
      <c r="X2389" s="9"/>
    </row>
    <row r="2390">
      <c r="D2390" s="9"/>
      <c r="G2390" s="9"/>
      <c r="J2390" s="11"/>
      <c r="U2390" s="9"/>
      <c r="X2390" s="9"/>
    </row>
    <row r="2391">
      <c r="D2391" s="9"/>
      <c r="G2391" s="9"/>
      <c r="J2391" s="11"/>
      <c r="U2391" s="9"/>
      <c r="X2391" s="9"/>
    </row>
    <row r="2392">
      <c r="D2392" s="9"/>
      <c r="G2392" s="9"/>
      <c r="J2392" s="11"/>
      <c r="U2392" s="9"/>
      <c r="X2392" s="9"/>
    </row>
    <row r="2393">
      <c r="D2393" s="9"/>
      <c r="G2393" s="9"/>
      <c r="J2393" s="11"/>
      <c r="U2393" s="9"/>
      <c r="X2393" s="9"/>
    </row>
    <row r="2394">
      <c r="D2394" s="9"/>
      <c r="G2394" s="9"/>
      <c r="J2394" s="11"/>
      <c r="U2394" s="9"/>
      <c r="X2394" s="9"/>
    </row>
    <row r="2395">
      <c r="D2395" s="9"/>
      <c r="G2395" s="9"/>
      <c r="J2395" s="11"/>
      <c r="U2395" s="9"/>
      <c r="X2395" s="9"/>
    </row>
    <row r="2396">
      <c r="D2396" s="9"/>
      <c r="G2396" s="9"/>
      <c r="J2396" s="11"/>
      <c r="U2396" s="9"/>
      <c r="X2396" s="9"/>
    </row>
    <row r="2397">
      <c r="D2397" s="9"/>
      <c r="G2397" s="9"/>
      <c r="J2397" s="11"/>
      <c r="U2397" s="9"/>
      <c r="X2397" s="9"/>
    </row>
    <row r="2398">
      <c r="D2398" s="9"/>
      <c r="G2398" s="9"/>
      <c r="J2398" s="11"/>
      <c r="U2398" s="9"/>
      <c r="X2398" s="9"/>
    </row>
    <row r="2399">
      <c r="D2399" s="9"/>
      <c r="G2399" s="9"/>
      <c r="J2399" s="11"/>
      <c r="U2399" s="9"/>
      <c r="X2399" s="9"/>
    </row>
    <row r="2400">
      <c r="D2400" s="9"/>
      <c r="G2400" s="9"/>
      <c r="J2400" s="11"/>
      <c r="U2400" s="9"/>
      <c r="X2400" s="9"/>
    </row>
    <row r="2401">
      <c r="D2401" s="9"/>
      <c r="G2401" s="9"/>
      <c r="J2401" s="11"/>
      <c r="U2401" s="9"/>
      <c r="X2401" s="9"/>
    </row>
    <row r="2402">
      <c r="D2402" s="9"/>
      <c r="G2402" s="9"/>
      <c r="J2402" s="11"/>
      <c r="U2402" s="9"/>
      <c r="X2402" s="9"/>
    </row>
    <row r="2403">
      <c r="D2403" s="9"/>
      <c r="G2403" s="9"/>
      <c r="J2403" s="11"/>
      <c r="U2403" s="9"/>
      <c r="X2403" s="9"/>
    </row>
    <row r="2404">
      <c r="D2404" s="9"/>
      <c r="G2404" s="9"/>
      <c r="J2404" s="11"/>
      <c r="U2404" s="9"/>
      <c r="X2404" s="9"/>
    </row>
    <row r="2405">
      <c r="D2405" s="9"/>
      <c r="G2405" s="9"/>
      <c r="J2405" s="11"/>
      <c r="U2405" s="9"/>
      <c r="X2405" s="9"/>
    </row>
    <row r="2406">
      <c r="D2406" s="9"/>
      <c r="G2406" s="9"/>
      <c r="J2406" s="11"/>
      <c r="U2406" s="9"/>
      <c r="X2406" s="9"/>
    </row>
    <row r="2407">
      <c r="D2407" s="9"/>
      <c r="G2407" s="9"/>
      <c r="J2407" s="11"/>
      <c r="U2407" s="9"/>
      <c r="X2407" s="9"/>
    </row>
    <row r="2408">
      <c r="D2408" s="9"/>
      <c r="G2408" s="9"/>
      <c r="J2408" s="11"/>
      <c r="U2408" s="9"/>
      <c r="X2408" s="9"/>
    </row>
    <row r="2409">
      <c r="D2409" s="9"/>
      <c r="G2409" s="9"/>
      <c r="J2409" s="11"/>
      <c r="U2409" s="9"/>
      <c r="X2409" s="9"/>
    </row>
    <row r="2410">
      <c r="D2410" s="9"/>
      <c r="G2410" s="9"/>
      <c r="J2410" s="11"/>
      <c r="U2410" s="9"/>
      <c r="X2410" s="9"/>
    </row>
    <row r="2411">
      <c r="D2411" s="9"/>
      <c r="G2411" s="9"/>
      <c r="J2411" s="11"/>
      <c r="U2411" s="9"/>
      <c r="X2411" s="9"/>
    </row>
    <row r="2412">
      <c r="D2412" s="9"/>
      <c r="G2412" s="9"/>
      <c r="J2412" s="11"/>
      <c r="U2412" s="9"/>
      <c r="X2412" s="9"/>
    </row>
    <row r="2413">
      <c r="D2413" s="9"/>
      <c r="G2413" s="9"/>
      <c r="J2413" s="11"/>
      <c r="U2413" s="9"/>
      <c r="X2413" s="9"/>
    </row>
    <row r="2414">
      <c r="D2414" s="9"/>
      <c r="G2414" s="9"/>
      <c r="J2414" s="11"/>
      <c r="U2414" s="9"/>
      <c r="X2414" s="9"/>
    </row>
    <row r="2415">
      <c r="D2415" s="9"/>
      <c r="G2415" s="9"/>
      <c r="J2415" s="11"/>
      <c r="U2415" s="9"/>
      <c r="X2415" s="9"/>
    </row>
    <row r="2416">
      <c r="D2416" s="9"/>
      <c r="G2416" s="9"/>
      <c r="J2416" s="11"/>
      <c r="U2416" s="9"/>
      <c r="X2416" s="9"/>
    </row>
    <row r="2417">
      <c r="D2417" s="9"/>
      <c r="G2417" s="9"/>
      <c r="J2417" s="11"/>
      <c r="U2417" s="9"/>
      <c r="X2417" s="9"/>
    </row>
    <row r="2418">
      <c r="D2418" s="9"/>
      <c r="G2418" s="9"/>
      <c r="J2418" s="11"/>
      <c r="U2418" s="9"/>
      <c r="X2418" s="9"/>
    </row>
    <row r="2419">
      <c r="D2419" s="9"/>
      <c r="G2419" s="9"/>
      <c r="J2419" s="11"/>
      <c r="U2419" s="9"/>
      <c r="X2419" s="9"/>
    </row>
    <row r="2420">
      <c r="D2420" s="9"/>
      <c r="G2420" s="9"/>
      <c r="J2420" s="11"/>
      <c r="U2420" s="9"/>
      <c r="X2420" s="9"/>
    </row>
    <row r="2421">
      <c r="D2421" s="9"/>
      <c r="G2421" s="9"/>
      <c r="J2421" s="11"/>
      <c r="U2421" s="9"/>
      <c r="X2421" s="9"/>
    </row>
    <row r="2422">
      <c r="D2422" s="9"/>
      <c r="G2422" s="9"/>
      <c r="J2422" s="11"/>
      <c r="U2422" s="9"/>
      <c r="X2422" s="9"/>
    </row>
    <row r="2423">
      <c r="D2423" s="9"/>
      <c r="G2423" s="9"/>
      <c r="J2423" s="11"/>
      <c r="U2423" s="9"/>
      <c r="X2423" s="9"/>
    </row>
    <row r="2424">
      <c r="D2424" s="9"/>
      <c r="G2424" s="9"/>
      <c r="J2424" s="11"/>
      <c r="U2424" s="9"/>
      <c r="X2424" s="9"/>
    </row>
    <row r="2425">
      <c r="D2425" s="9"/>
      <c r="G2425" s="9"/>
      <c r="J2425" s="11"/>
      <c r="U2425" s="9"/>
      <c r="X2425" s="9"/>
    </row>
    <row r="2426">
      <c r="D2426" s="9"/>
      <c r="G2426" s="9"/>
      <c r="J2426" s="11"/>
      <c r="U2426" s="9"/>
      <c r="X2426" s="9"/>
    </row>
    <row r="2427">
      <c r="D2427" s="9"/>
      <c r="G2427" s="9"/>
      <c r="J2427" s="11"/>
      <c r="U2427" s="9"/>
      <c r="X2427" s="9"/>
    </row>
    <row r="2428">
      <c r="D2428" s="9"/>
      <c r="G2428" s="9"/>
      <c r="J2428" s="11"/>
      <c r="U2428" s="9"/>
      <c r="X2428" s="9"/>
    </row>
    <row r="2429">
      <c r="D2429" s="9"/>
      <c r="G2429" s="9"/>
      <c r="J2429" s="11"/>
      <c r="U2429" s="9"/>
      <c r="X2429" s="9"/>
    </row>
    <row r="2430">
      <c r="D2430" s="9"/>
      <c r="G2430" s="9"/>
      <c r="J2430" s="11"/>
      <c r="U2430" s="9"/>
      <c r="X2430" s="9"/>
    </row>
    <row r="2431">
      <c r="D2431" s="9"/>
      <c r="G2431" s="9"/>
      <c r="J2431" s="11"/>
      <c r="U2431" s="9"/>
      <c r="X2431" s="9"/>
    </row>
    <row r="2432">
      <c r="D2432" s="9"/>
      <c r="G2432" s="9"/>
      <c r="J2432" s="11"/>
      <c r="U2432" s="9"/>
      <c r="X2432" s="9"/>
    </row>
    <row r="2433">
      <c r="D2433" s="9"/>
      <c r="G2433" s="9"/>
      <c r="J2433" s="11"/>
      <c r="U2433" s="9"/>
      <c r="X2433" s="9"/>
    </row>
    <row r="2434">
      <c r="D2434" s="9"/>
      <c r="G2434" s="9"/>
      <c r="J2434" s="11"/>
      <c r="U2434" s="9"/>
      <c r="X2434" s="9"/>
    </row>
    <row r="2435">
      <c r="D2435" s="9"/>
      <c r="G2435" s="9"/>
      <c r="J2435" s="11"/>
      <c r="U2435" s="9"/>
      <c r="X2435" s="9"/>
    </row>
    <row r="2436">
      <c r="D2436" s="9"/>
      <c r="G2436" s="9"/>
      <c r="J2436" s="11"/>
      <c r="U2436" s="9"/>
      <c r="X2436" s="9"/>
    </row>
    <row r="2437">
      <c r="D2437" s="9"/>
      <c r="G2437" s="9"/>
      <c r="J2437" s="11"/>
      <c r="U2437" s="9"/>
      <c r="X2437" s="9"/>
    </row>
    <row r="2438">
      <c r="D2438" s="9"/>
      <c r="G2438" s="9"/>
      <c r="J2438" s="11"/>
      <c r="U2438" s="9"/>
      <c r="X2438" s="9"/>
    </row>
    <row r="2439">
      <c r="D2439" s="9"/>
      <c r="G2439" s="9"/>
      <c r="J2439" s="11"/>
      <c r="U2439" s="9"/>
      <c r="X2439" s="9"/>
    </row>
    <row r="2440">
      <c r="D2440" s="9"/>
      <c r="G2440" s="9"/>
      <c r="J2440" s="11"/>
      <c r="U2440" s="9"/>
      <c r="X2440" s="9"/>
    </row>
    <row r="2441">
      <c r="D2441" s="9"/>
      <c r="G2441" s="9"/>
      <c r="J2441" s="11"/>
      <c r="U2441" s="9"/>
      <c r="X2441" s="9"/>
    </row>
    <row r="2442">
      <c r="D2442" s="9"/>
      <c r="G2442" s="9"/>
      <c r="J2442" s="11"/>
      <c r="U2442" s="9"/>
      <c r="X2442" s="9"/>
    </row>
    <row r="2443">
      <c r="D2443" s="9"/>
      <c r="G2443" s="9"/>
      <c r="J2443" s="11"/>
      <c r="U2443" s="9"/>
      <c r="X2443" s="9"/>
    </row>
    <row r="2444">
      <c r="D2444" s="9"/>
      <c r="G2444" s="9"/>
      <c r="J2444" s="11"/>
      <c r="U2444" s="9"/>
      <c r="X2444" s="9"/>
    </row>
    <row r="2445">
      <c r="D2445" s="9"/>
      <c r="G2445" s="9"/>
      <c r="J2445" s="11"/>
      <c r="U2445" s="9"/>
      <c r="X2445" s="9"/>
    </row>
    <row r="2446">
      <c r="D2446" s="9"/>
      <c r="G2446" s="9"/>
      <c r="J2446" s="11"/>
      <c r="U2446" s="9"/>
      <c r="X2446" s="9"/>
    </row>
    <row r="2447">
      <c r="D2447" s="9"/>
      <c r="G2447" s="9"/>
      <c r="J2447" s="11"/>
      <c r="U2447" s="9"/>
      <c r="X2447" s="9"/>
    </row>
    <row r="2448">
      <c r="D2448" s="9"/>
      <c r="G2448" s="9"/>
      <c r="J2448" s="11"/>
      <c r="U2448" s="9"/>
      <c r="X2448" s="9"/>
    </row>
    <row r="2449">
      <c r="D2449" s="9"/>
      <c r="G2449" s="9"/>
      <c r="J2449" s="11"/>
      <c r="U2449" s="9"/>
      <c r="X2449" s="9"/>
    </row>
    <row r="2450">
      <c r="D2450" s="9"/>
      <c r="G2450" s="9"/>
      <c r="J2450" s="11"/>
      <c r="U2450" s="9"/>
      <c r="X2450" s="9"/>
    </row>
    <row r="2451">
      <c r="D2451" s="9"/>
      <c r="G2451" s="9"/>
      <c r="J2451" s="11"/>
      <c r="U2451" s="9"/>
      <c r="X2451" s="9"/>
    </row>
    <row r="2452">
      <c r="D2452" s="9"/>
      <c r="G2452" s="9"/>
      <c r="J2452" s="11"/>
      <c r="U2452" s="9"/>
      <c r="X2452" s="9"/>
    </row>
    <row r="2453">
      <c r="D2453" s="9"/>
      <c r="G2453" s="9"/>
      <c r="J2453" s="11"/>
      <c r="U2453" s="9"/>
      <c r="X2453" s="9"/>
    </row>
    <row r="2454">
      <c r="D2454" s="9"/>
      <c r="G2454" s="9"/>
      <c r="J2454" s="11"/>
      <c r="U2454" s="9"/>
      <c r="X2454" s="9"/>
    </row>
    <row r="2455">
      <c r="D2455" s="9"/>
      <c r="G2455" s="9"/>
      <c r="J2455" s="11"/>
      <c r="U2455" s="9"/>
      <c r="X2455" s="9"/>
    </row>
    <row r="2456">
      <c r="D2456" s="9"/>
      <c r="G2456" s="9"/>
      <c r="J2456" s="11"/>
      <c r="U2456" s="9"/>
      <c r="X2456" s="9"/>
    </row>
    <row r="2457">
      <c r="D2457" s="9"/>
      <c r="G2457" s="9"/>
      <c r="J2457" s="11"/>
      <c r="U2457" s="9"/>
      <c r="X2457" s="9"/>
    </row>
    <row r="2458">
      <c r="D2458" s="9"/>
      <c r="G2458" s="9"/>
      <c r="J2458" s="11"/>
      <c r="U2458" s="9"/>
      <c r="X2458" s="9"/>
    </row>
    <row r="2459">
      <c r="D2459" s="9"/>
      <c r="G2459" s="9"/>
      <c r="J2459" s="11"/>
      <c r="U2459" s="9"/>
      <c r="X2459" s="9"/>
    </row>
    <row r="2460">
      <c r="D2460" s="9"/>
      <c r="G2460" s="9"/>
      <c r="J2460" s="11"/>
      <c r="U2460" s="9"/>
      <c r="X2460" s="9"/>
    </row>
    <row r="2461">
      <c r="D2461" s="9"/>
      <c r="G2461" s="9"/>
      <c r="J2461" s="11"/>
      <c r="U2461" s="9"/>
      <c r="X2461" s="9"/>
    </row>
    <row r="2462">
      <c r="D2462" s="9"/>
      <c r="G2462" s="9"/>
      <c r="J2462" s="11"/>
      <c r="U2462" s="9"/>
      <c r="X2462" s="9"/>
    </row>
    <row r="2463">
      <c r="D2463" s="9"/>
      <c r="G2463" s="9"/>
      <c r="J2463" s="11"/>
      <c r="U2463" s="9"/>
      <c r="X2463" s="9"/>
    </row>
    <row r="2464">
      <c r="D2464" s="9"/>
      <c r="G2464" s="9"/>
      <c r="J2464" s="11"/>
      <c r="U2464" s="9"/>
      <c r="X2464" s="9"/>
    </row>
    <row r="2465">
      <c r="D2465" s="9"/>
      <c r="G2465" s="9"/>
      <c r="J2465" s="11"/>
      <c r="U2465" s="9"/>
      <c r="X2465" s="9"/>
    </row>
    <row r="2466">
      <c r="D2466" s="9"/>
      <c r="G2466" s="9"/>
      <c r="J2466" s="11"/>
      <c r="U2466" s="9"/>
      <c r="X2466" s="9"/>
    </row>
    <row r="2467">
      <c r="D2467" s="9"/>
      <c r="G2467" s="9"/>
      <c r="J2467" s="11"/>
      <c r="U2467" s="9"/>
      <c r="X2467" s="9"/>
    </row>
    <row r="2468">
      <c r="D2468" s="9"/>
      <c r="G2468" s="9"/>
      <c r="J2468" s="11"/>
      <c r="U2468" s="9"/>
      <c r="X2468" s="9"/>
    </row>
    <row r="2469">
      <c r="D2469" s="9"/>
      <c r="G2469" s="9"/>
      <c r="J2469" s="11"/>
      <c r="U2469" s="9"/>
      <c r="X2469" s="9"/>
    </row>
    <row r="2470">
      <c r="D2470" s="9"/>
      <c r="G2470" s="9"/>
      <c r="J2470" s="11"/>
      <c r="U2470" s="9"/>
      <c r="X2470" s="9"/>
    </row>
    <row r="2471">
      <c r="D2471" s="9"/>
      <c r="G2471" s="9"/>
      <c r="J2471" s="11"/>
      <c r="U2471" s="9"/>
      <c r="X2471" s="9"/>
    </row>
    <row r="2472">
      <c r="D2472" s="9"/>
      <c r="G2472" s="9"/>
      <c r="J2472" s="11"/>
      <c r="U2472" s="9"/>
      <c r="X2472" s="9"/>
    </row>
    <row r="2473">
      <c r="D2473" s="9"/>
      <c r="G2473" s="9"/>
      <c r="J2473" s="11"/>
      <c r="U2473" s="9"/>
      <c r="X2473" s="9"/>
    </row>
    <row r="2474">
      <c r="D2474" s="9"/>
      <c r="G2474" s="9"/>
      <c r="J2474" s="11"/>
      <c r="U2474" s="9"/>
      <c r="X2474" s="9"/>
    </row>
    <row r="2475">
      <c r="D2475" s="9"/>
      <c r="G2475" s="9"/>
      <c r="J2475" s="11"/>
      <c r="U2475" s="9"/>
      <c r="X2475" s="9"/>
    </row>
    <row r="2476">
      <c r="D2476" s="9"/>
      <c r="G2476" s="9"/>
      <c r="J2476" s="11"/>
      <c r="U2476" s="9"/>
      <c r="X2476" s="9"/>
    </row>
    <row r="2477">
      <c r="D2477" s="9"/>
      <c r="G2477" s="9"/>
      <c r="J2477" s="11"/>
      <c r="U2477" s="9"/>
      <c r="X2477" s="9"/>
    </row>
    <row r="2478">
      <c r="D2478" s="9"/>
      <c r="G2478" s="9"/>
      <c r="J2478" s="11"/>
      <c r="U2478" s="9"/>
      <c r="X2478" s="9"/>
    </row>
    <row r="2479">
      <c r="D2479" s="9"/>
      <c r="G2479" s="9"/>
      <c r="J2479" s="11"/>
      <c r="U2479" s="9"/>
      <c r="X2479" s="9"/>
    </row>
    <row r="2480">
      <c r="D2480" s="9"/>
      <c r="G2480" s="9"/>
      <c r="J2480" s="11"/>
      <c r="U2480" s="9"/>
      <c r="X2480" s="9"/>
    </row>
    <row r="2481">
      <c r="D2481" s="9"/>
      <c r="G2481" s="9"/>
      <c r="J2481" s="11"/>
      <c r="U2481" s="9"/>
      <c r="X2481" s="9"/>
    </row>
    <row r="2482">
      <c r="D2482" s="9"/>
      <c r="G2482" s="9"/>
      <c r="J2482" s="11"/>
      <c r="U2482" s="9"/>
      <c r="X2482" s="9"/>
    </row>
    <row r="2483">
      <c r="D2483" s="9"/>
      <c r="G2483" s="9"/>
      <c r="J2483" s="11"/>
      <c r="U2483" s="9"/>
      <c r="X2483" s="9"/>
    </row>
    <row r="2484">
      <c r="D2484" s="9"/>
      <c r="G2484" s="9"/>
      <c r="J2484" s="11"/>
      <c r="U2484" s="9"/>
      <c r="X2484" s="9"/>
    </row>
    <row r="2485">
      <c r="D2485" s="9"/>
      <c r="G2485" s="9"/>
      <c r="J2485" s="11"/>
      <c r="U2485" s="9"/>
      <c r="X2485" s="9"/>
    </row>
    <row r="2486">
      <c r="D2486" s="9"/>
      <c r="G2486" s="9"/>
      <c r="J2486" s="11"/>
      <c r="U2486" s="9"/>
      <c r="X2486" s="9"/>
    </row>
    <row r="2487">
      <c r="D2487" s="9"/>
      <c r="G2487" s="9"/>
      <c r="J2487" s="11"/>
      <c r="U2487" s="9"/>
      <c r="X2487" s="9"/>
    </row>
    <row r="2488">
      <c r="D2488" s="9"/>
      <c r="G2488" s="9"/>
      <c r="J2488" s="11"/>
      <c r="U2488" s="9"/>
      <c r="X2488" s="9"/>
    </row>
    <row r="2489">
      <c r="D2489" s="9"/>
      <c r="G2489" s="9"/>
      <c r="J2489" s="11"/>
      <c r="U2489" s="9"/>
      <c r="X2489" s="9"/>
    </row>
    <row r="2490">
      <c r="D2490" s="9"/>
      <c r="G2490" s="9"/>
      <c r="J2490" s="11"/>
      <c r="U2490" s="9"/>
      <c r="X2490" s="9"/>
    </row>
    <row r="2491">
      <c r="D2491" s="9"/>
      <c r="G2491" s="9"/>
      <c r="J2491" s="11"/>
      <c r="U2491" s="9"/>
      <c r="X2491" s="9"/>
    </row>
    <row r="2492">
      <c r="D2492" s="9"/>
      <c r="G2492" s="9"/>
      <c r="J2492" s="11"/>
      <c r="U2492" s="9"/>
      <c r="X2492" s="9"/>
    </row>
    <row r="2493">
      <c r="D2493" s="9"/>
      <c r="G2493" s="9"/>
      <c r="J2493" s="11"/>
      <c r="U2493" s="9"/>
      <c r="X2493" s="9"/>
    </row>
    <row r="2494">
      <c r="D2494" s="9"/>
      <c r="G2494" s="9"/>
      <c r="J2494" s="11"/>
      <c r="U2494" s="9"/>
      <c r="X2494" s="9"/>
    </row>
    <row r="2495">
      <c r="D2495" s="9"/>
      <c r="G2495" s="9"/>
      <c r="J2495" s="11"/>
      <c r="U2495" s="9"/>
      <c r="X2495" s="9"/>
    </row>
    <row r="2496">
      <c r="D2496" s="9"/>
      <c r="G2496" s="9"/>
      <c r="J2496" s="11"/>
      <c r="U2496" s="9"/>
      <c r="X2496" s="9"/>
    </row>
    <row r="2497">
      <c r="D2497" s="9"/>
      <c r="G2497" s="9"/>
      <c r="J2497" s="11"/>
      <c r="U2497" s="9"/>
      <c r="X2497" s="9"/>
    </row>
    <row r="2498">
      <c r="D2498" s="9"/>
      <c r="G2498" s="9"/>
      <c r="J2498" s="11"/>
      <c r="U2498" s="9"/>
      <c r="X2498" s="9"/>
    </row>
    <row r="2499">
      <c r="D2499" s="9"/>
      <c r="G2499" s="9"/>
      <c r="J2499" s="11"/>
      <c r="U2499" s="9"/>
      <c r="X2499" s="9"/>
    </row>
    <row r="2500">
      <c r="D2500" s="9"/>
      <c r="G2500" s="9"/>
      <c r="J2500" s="11"/>
      <c r="U2500" s="9"/>
      <c r="X2500" s="9"/>
    </row>
    <row r="2501">
      <c r="D2501" s="9"/>
      <c r="G2501" s="9"/>
      <c r="J2501" s="11"/>
      <c r="U2501" s="9"/>
      <c r="X2501" s="9"/>
    </row>
    <row r="2502">
      <c r="D2502" s="9"/>
      <c r="G2502" s="9"/>
      <c r="J2502" s="11"/>
      <c r="U2502" s="9"/>
      <c r="X2502" s="9"/>
    </row>
    <row r="2503">
      <c r="D2503" s="9"/>
      <c r="G2503" s="9"/>
      <c r="J2503" s="11"/>
      <c r="U2503" s="9"/>
      <c r="X2503" s="9"/>
    </row>
    <row r="2504">
      <c r="D2504" s="9"/>
      <c r="G2504" s="9"/>
      <c r="J2504" s="11"/>
      <c r="U2504" s="9"/>
      <c r="X2504" s="9"/>
    </row>
    <row r="2505">
      <c r="D2505" s="9"/>
      <c r="G2505" s="9"/>
      <c r="J2505" s="11"/>
      <c r="U2505" s="9"/>
      <c r="X2505" s="9"/>
    </row>
    <row r="2506">
      <c r="D2506" s="9"/>
      <c r="G2506" s="9"/>
      <c r="J2506" s="11"/>
      <c r="U2506" s="9"/>
      <c r="X2506" s="9"/>
    </row>
    <row r="2507">
      <c r="D2507" s="9"/>
      <c r="G2507" s="9"/>
      <c r="J2507" s="11"/>
      <c r="U2507" s="9"/>
      <c r="X2507" s="9"/>
    </row>
    <row r="2508">
      <c r="D2508" s="9"/>
      <c r="G2508" s="9"/>
      <c r="J2508" s="11"/>
      <c r="U2508" s="9"/>
      <c r="X2508" s="9"/>
    </row>
    <row r="2509">
      <c r="D2509" s="9"/>
      <c r="G2509" s="9"/>
      <c r="J2509" s="11"/>
      <c r="U2509" s="9"/>
      <c r="X2509" s="9"/>
    </row>
    <row r="2510">
      <c r="D2510" s="9"/>
      <c r="G2510" s="9"/>
      <c r="J2510" s="11"/>
      <c r="U2510" s="9"/>
      <c r="X2510" s="9"/>
    </row>
    <row r="2511">
      <c r="D2511" s="9"/>
      <c r="G2511" s="9"/>
      <c r="J2511" s="11"/>
      <c r="U2511" s="9"/>
      <c r="X2511" s="9"/>
    </row>
    <row r="2512">
      <c r="D2512" s="9"/>
      <c r="G2512" s="9"/>
      <c r="J2512" s="11"/>
      <c r="U2512" s="9"/>
      <c r="X2512" s="9"/>
    </row>
    <row r="2513">
      <c r="D2513" s="9"/>
      <c r="G2513" s="9"/>
      <c r="J2513" s="11"/>
      <c r="U2513" s="9"/>
      <c r="X2513" s="9"/>
    </row>
    <row r="2514">
      <c r="D2514" s="9"/>
      <c r="G2514" s="9"/>
      <c r="J2514" s="11"/>
      <c r="U2514" s="9"/>
      <c r="X2514" s="9"/>
    </row>
    <row r="2515">
      <c r="D2515" s="9"/>
      <c r="G2515" s="9"/>
      <c r="J2515" s="11"/>
      <c r="U2515" s="9"/>
      <c r="X2515" s="9"/>
    </row>
    <row r="2516">
      <c r="D2516" s="9"/>
      <c r="G2516" s="9"/>
      <c r="J2516" s="11"/>
      <c r="U2516" s="9"/>
      <c r="X2516" s="9"/>
    </row>
    <row r="2517">
      <c r="D2517" s="9"/>
      <c r="G2517" s="9"/>
      <c r="J2517" s="11"/>
      <c r="U2517" s="9"/>
      <c r="X2517" s="9"/>
    </row>
    <row r="2518">
      <c r="D2518" s="9"/>
      <c r="G2518" s="9"/>
      <c r="J2518" s="11"/>
      <c r="U2518" s="9"/>
      <c r="X2518" s="9"/>
    </row>
    <row r="2519">
      <c r="D2519" s="9"/>
      <c r="G2519" s="9"/>
      <c r="J2519" s="11"/>
      <c r="U2519" s="9"/>
      <c r="X2519" s="9"/>
    </row>
    <row r="2520">
      <c r="D2520" s="9"/>
      <c r="G2520" s="9"/>
      <c r="J2520" s="11"/>
      <c r="U2520" s="9"/>
      <c r="X2520" s="9"/>
    </row>
    <row r="2521">
      <c r="D2521" s="9"/>
      <c r="G2521" s="9"/>
      <c r="J2521" s="11"/>
      <c r="U2521" s="9"/>
      <c r="X2521" s="9"/>
    </row>
    <row r="2522">
      <c r="D2522" s="9"/>
      <c r="G2522" s="9"/>
      <c r="J2522" s="11"/>
      <c r="U2522" s="9"/>
      <c r="X2522" s="9"/>
    </row>
    <row r="2523">
      <c r="D2523" s="9"/>
      <c r="G2523" s="9"/>
      <c r="J2523" s="11"/>
      <c r="U2523" s="9"/>
      <c r="X2523" s="9"/>
    </row>
    <row r="2524">
      <c r="D2524" s="9"/>
      <c r="G2524" s="9"/>
      <c r="J2524" s="11"/>
      <c r="U2524" s="9"/>
      <c r="X2524" s="9"/>
    </row>
    <row r="2525">
      <c r="D2525" s="9"/>
      <c r="G2525" s="9"/>
      <c r="J2525" s="11"/>
      <c r="U2525" s="9"/>
      <c r="X2525" s="9"/>
    </row>
    <row r="2526">
      <c r="D2526" s="9"/>
      <c r="G2526" s="9"/>
      <c r="J2526" s="11"/>
      <c r="U2526" s="9"/>
      <c r="X2526" s="9"/>
    </row>
    <row r="2527">
      <c r="D2527" s="9"/>
      <c r="G2527" s="9"/>
      <c r="J2527" s="11"/>
      <c r="U2527" s="9"/>
      <c r="X2527" s="9"/>
    </row>
    <row r="2528">
      <c r="D2528" s="9"/>
      <c r="G2528" s="9"/>
      <c r="J2528" s="11"/>
      <c r="U2528" s="9"/>
      <c r="X2528" s="9"/>
    </row>
    <row r="2529">
      <c r="D2529" s="9"/>
      <c r="G2529" s="9"/>
      <c r="J2529" s="11"/>
      <c r="U2529" s="9"/>
      <c r="X2529" s="9"/>
    </row>
    <row r="2530">
      <c r="D2530" s="9"/>
      <c r="G2530" s="9"/>
      <c r="J2530" s="11"/>
      <c r="U2530" s="9"/>
      <c r="X2530" s="9"/>
    </row>
    <row r="2531">
      <c r="D2531" s="9"/>
      <c r="G2531" s="9"/>
      <c r="J2531" s="11"/>
      <c r="U2531" s="9"/>
      <c r="X2531" s="9"/>
    </row>
    <row r="2532">
      <c r="D2532" s="9"/>
      <c r="G2532" s="9"/>
      <c r="J2532" s="11"/>
      <c r="U2532" s="9"/>
      <c r="X2532" s="9"/>
    </row>
    <row r="2533">
      <c r="D2533" s="9"/>
      <c r="G2533" s="9"/>
      <c r="J2533" s="11"/>
      <c r="U2533" s="9"/>
      <c r="X2533" s="9"/>
    </row>
    <row r="2534">
      <c r="D2534" s="9"/>
      <c r="G2534" s="9"/>
      <c r="J2534" s="11"/>
      <c r="U2534" s="9"/>
      <c r="X2534" s="9"/>
    </row>
    <row r="2535">
      <c r="D2535" s="9"/>
      <c r="G2535" s="9"/>
      <c r="J2535" s="11"/>
      <c r="U2535" s="9"/>
      <c r="X2535" s="9"/>
    </row>
    <row r="2536">
      <c r="D2536" s="9"/>
      <c r="G2536" s="9"/>
      <c r="J2536" s="11"/>
      <c r="U2536" s="9"/>
      <c r="X2536" s="9"/>
    </row>
    <row r="2537">
      <c r="D2537" s="9"/>
      <c r="G2537" s="9"/>
      <c r="J2537" s="11"/>
      <c r="U2537" s="9"/>
      <c r="X2537" s="9"/>
    </row>
    <row r="2538">
      <c r="D2538" s="9"/>
      <c r="G2538" s="9"/>
      <c r="J2538" s="11"/>
      <c r="U2538" s="9"/>
      <c r="X2538" s="9"/>
    </row>
    <row r="2539">
      <c r="D2539" s="9"/>
      <c r="G2539" s="9"/>
      <c r="J2539" s="11"/>
      <c r="U2539" s="9"/>
      <c r="X2539" s="9"/>
    </row>
    <row r="2540">
      <c r="D2540" s="9"/>
      <c r="G2540" s="9"/>
      <c r="J2540" s="11"/>
      <c r="U2540" s="9"/>
      <c r="X2540" s="9"/>
    </row>
    <row r="2541">
      <c r="D2541" s="9"/>
      <c r="G2541" s="9"/>
      <c r="J2541" s="11"/>
      <c r="U2541" s="9"/>
      <c r="X2541" s="9"/>
    </row>
    <row r="2542">
      <c r="D2542" s="9"/>
      <c r="G2542" s="9"/>
      <c r="J2542" s="11"/>
      <c r="U2542" s="9"/>
      <c r="X2542" s="9"/>
    </row>
    <row r="2543">
      <c r="D2543" s="9"/>
      <c r="G2543" s="9"/>
      <c r="J2543" s="11"/>
      <c r="U2543" s="9"/>
      <c r="X2543" s="9"/>
    </row>
    <row r="2544">
      <c r="D2544" s="9"/>
      <c r="G2544" s="9"/>
      <c r="J2544" s="11"/>
      <c r="U2544" s="9"/>
      <c r="X2544" s="9"/>
    </row>
    <row r="2545">
      <c r="D2545" s="9"/>
      <c r="G2545" s="9"/>
      <c r="J2545" s="11"/>
      <c r="U2545" s="9"/>
      <c r="X2545" s="9"/>
    </row>
    <row r="2546">
      <c r="D2546" s="9"/>
      <c r="G2546" s="9"/>
      <c r="J2546" s="11"/>
      <c r="U2546" s="9"/>
      <c r="X2546" s="9"/>
    </row>
    <row r="2547">
      <c r="D2547" s="9"/>
      <c r="G2547" s="9"/>
      <c r="J2547" s="11"/>
      <c r="U2547" s="9"/>
      <c r="X2547" s="9"/>
    </row>
    <row r="2548">
      <c r="D2548" s="9"/>
      <c r="G2548" s="9"/>
      <c r="J2548" s="11"/>
      <c r="U2548" s="9"/>
      <c r="X2548" s="9"/>
    </row>
    <row r="2549">
      <c r="D2549" s="9"/>
      <c r="G2549" s="9"/>
      <c r="J2549" s="11"/>
      <c r="U2549" s="9"/>
      <c r="X2549" s="9"/>
    </row>
    <row r="2550">
      <c r="D2550" s="9"/>
      <c r="G2550" s="9"/>
      <c r="J2550" s="11"/>
      <c r="U2550" s="9"/>
      <c r="X2550" s="9"/>
    </row>
    <row r="2551">
      <c r="D2551" s="9"/>
      <c r="G2551" s="9"/>
      <c r="J2551" s="11"/>
      <c r="U2551" s="9"/>
      <c r="X2551" s="9"/>
    </row>
    <row r="2552">
      <c r="D2552" s="9"/>
      <c r="G2552" s="9"/>
      <c r="J2552" s="11"/>
      <c r="U2552" s="9"/>
      <c r="X2552" s="9"/>
    </row>
    <row r="2553">
      <c r="D2553" s="9"/>
      <c r="G2553" s="9"/>
      <c r="J2553" s="11"/>
      <c r="U2553" s="9"/>
      <c r="X2553" s="9"/>
    </row>
    <row r="2554">
      <c r="D2554" s="9"/>
      <c r="G2554" s="9"/>
      <c r="J2554" s="11"/>
      <c r="U2554" s="9"/>
      <c r="X2554" s="9"/>
    </row>
    <row r="2555">
      <c r="D2555" s="9"/>
      <c r="G2555" s="9"/>
      <c r="J2555" s="11"/>
      <c r="U2555" s="9"/>
      <c r="X2555" s="9"/>
    </row>
    <row r="2556">
      <c r="D2556" s="9"/>
      <c r="G2556" s="9"/>
      <c r="J2556" s="11"/>
      <c r="U2556" s="9"/>
      <c r="X2556" s="9"/>
    </row>
    <row r="2557">
      <c r="D2557" s="9"/>
      <c r="G2557" s="9"/>
      <c r="J2557" s="11"/>
      <c r="U2557" s="9"/>
      <c r="X2557" s="9"/>
    </row>
    <row r="2558">
      <c r="D2558" s="9"/>
      <c r="G2558" s="9"/>
      <c r="J2558" s="11"/>
      <c r="U2558" s="9"/>
      <c r="X2558" s="9"/>
    </row>
    <row r="2559">
      <c r="D2559" s="9"/>
      <c r="G2559" s="9"/>
      <c r="J2559" s="11"/>
      <c r="U2559" s="9"/>
      <c r="X2559" s="9"/>
    </row>
    <row r="2560">
      <c r="D2560" s="9"/>
      <c r="G2560" s="9"/>
      <c r="J2560" s="11"/>
      <c r="U2560" s="9"/>
      <c r="X2560" s="9"/>
    </row>
    <row r="2561">
      <c r="D2561" s="9"/>
      <c r="G2561" s="9"/>
      <c r="J2561" s="11"/>
      <c r="U2561" s="9"/>
      <c r="X2561" s="9"/>
    </row>
    <row r="2562">
      <c r="D2562" s="9"/>
      <c r="G2562" s="9"/>
      <c r="J2562" s="11"/>
      <c r="U2562" s="9"/>
      <c r="X2562" s="9"/>
    </row>
    <row r="2563">
      <c r="D2563" s="9"/>
      <c r="G2563" s="9"/>
      <c r="J2563" s="11"/>
      <c r="U2563" s="9"/>
      <c r="X2563" s="9"/>
    </row>
    <row r="2564">
      <c r="D2564" s="9"/>
      <c r="G2564" s="9"/>
      <c r="J2564" s="11"/>
      <c r="U2564" s="9"/>
      <c r="X2564" s="9"/>
    </row>
    <row r="2565">
      <c r="D2565" s="9"/>
      <c r="G2565" s="9"/>
      <c r="J2565" s="11"/>
      <c r="U2565" s="9"/>
      <c r="X2565" s="9"/>
    </row>
    <row r="2566">
      <c r="D2566" s="9"/>
      <c r="G2566" s="9"/>
      <c r="J2566" s="11"/>
      <c r="U2566" s="9"/>
      <c r="X2566" s="9"/>
    </row>
    <row r="2567">
      <c r="D2567" s="9"/>
      <c r="G2567" s="9"/>
      <c r="J2567" s="11"/>
      <c r="U2567" s="9"/>
      <c r="X2567" s="9"/>
    </row>
    <row r="2568">
      <c r="D2568" s="9"/>
      <c r="G2568" s="9"/>
      <c r="J2568" s="11"/>
      <c r="U2568" s="9"/>
      <c r="X2568" s="9"/>
    </row>
    <row r="2569">
      <c r="D2569" s="9"/>
      <c r="G2569" s="9"/>
      <c r="J2569" s="11"/>
      <c r="U2569" s="9"/>
      <c r="X2569" s="9"/>
    </row>
    <row r="2570">
      <c r="D2570" s="9"/>
      <c r="G2570" s="9"/>
      <c r="J2570" s="11"/>
      <c r="U2570" s="9"/>
      <c r="X2570" s="9"/>
    </row>
    <row r="2571">
      <c r="D2571" s="9"/>
      <c r="G2571" s="9"/>
      <c r="J2571" s="11"/>
      <c r="U2571" s="9"/>
      <c r="X2571" s="9"/>
    </row>
    <row r="2572">
      <c r="D2572" s="9"/>
      <c r="G2572" s="9"/>
      <c r="J2572" s="11"/>
      <c r="U2572" s="9"/>
      <c r="X2572" s="9"/>
    </row>
    <row r="2573">
      <c r="D2573" s="9"/>
      <c r="G2573" s="9"/>
      <c r="J2573" s="11"/>
      <c r="U2573" s="9"/>
      <c r="X2573" s="9"/>
    </row>
    <row r="2574">
      <c r="D2574" s="9"/>
      <c r="G2574" s="9"/>
      <c r="J2574" s="11"/>
      <c r="U2574" s="9"/>
      <c r="X2574" s="9"/>
    </row>
    <row r="2575">
      <c r="D2575" s="9"/>
      <c r="G2575" s="9"/>
      <c r="J2575" s="11"/>
      <c r="U2575" s="9"/>
      <c r="X2575" s="9"/>
    </row>
    <row r="2576">
      <c r="D2576" s="9"/>
      <c r="G2576" s="9"/>
      <c r="J2576" s="11"/>
      <c r="U2576" s="9"/>
      <c r="X2576" s="9"/>
    </row>
    <row r="2577">
      <c r="D2577" s="9"/>
      <c r="G2577" s="9"/>
      <c r="J2577" s="11"/>
      <c r="U2577" s="9"/>
      <c r="X2577" s="9"/>
    </row>
    <row r="2578">
      <c r="D2578" s="9"/>
      <c r="G2578" s="9"/>
      <c r="J2578" s="11"/>
      <c r="U2578" s="9"/>
      <c r="X2578" s="9"/>
    </row>
    <row r="2579">
      <c r="D2579" s="9"/>
      <c r="G2579" s="9"/>
      <c r="J2579" s="11"/>
      <c r="U2579" s="9"/>
      <c r="X2579" s="9"/>
    </row>
    <row r="2580">
      <c r="D2580" s="9"/>
      <c r="G2580" s="9"/>
      <c r="J2580" s="11"/>
      <c r="U2580" s="9"/>
      <c r="X2580" s="9"/>
    </row>
    <row r="2581">
      <c r="D2581" s="9"/>
      <c r="G2581" s="9"/>
      <c r="J2581" s="11"/>
      <c r="U2581" s="9"/>
      <c r="X2581" s="9"/>
    </row>
    <row r="2582">
      <c r="D2582" s="9"/>
      <c r="G2582" s="9"/>
      <c r="J2582" s="11"/>
      <c r="U2582" s="9"/>
      <c r="X2582" s="9"/>
    </row>
    <row r="2583">
      <c r="D2583" s="9"/>
      <c r="G2583" s="9"/>
      <c r="J2583" s="11"/>
      <c r="U2583" s="9"/>
      <c r="X2583" s="9"/>
    </row>
    <row r="2584">
      <c r="D2584" s="9"/>
      <c r="G2584" s="9"/>
      <c r="J2584" s="11"/>
      <c r="U2584" s="9"/>
      <c r="X2584" s="9"/>
    </row>
    <row r="2585">
      <c r="D2585" s="9"/>
      <c r="G2585" s="9"/>
      <c r="J2585" s="11"/>
      <c r="U2585" s="9"/>
      <c r="X2585" s="9"/>
    </row>
    <row r="2586">
      <c r="D2586" s="9"/>
      <c r="G2586" s="9"/>
      <c r="J2586" s="11"/>
      <c r="U2586" s="9"/>
      <c r="X2586" s="9"/>
    </row>
    <row r="2587">
      <c r="D2587" s="9"/>
      <c r="G2587" s="9"/>
      <c r="J2587" s="11"/>
      <c r="U2587" s="9"/>
      <c r="X2587" s="9"/>
    </row>
    <row r="2588">
      <c r="D2588" s="9"/>
      <c r="G2588" s="9"/>
      <c r="J2588" s="11"/>
      <c r="U2588" s="9"/>
      <c r="X2588" s="9"/>
    </row>
    <row r="2589">
      <c r="D2589" s="9"/>
      <c r="G2589" s="9"/>
      <c r="J2589" s="11"/>
      <c r="U2589" s="9"/>
      <c r="X2589" s="9"/>
    </row>
    <row r="2590">
      <c r="D2590" s="9"/>
      <c r="G2590" s="9"/>
      <c r="J2590" s="11"/>
      <c r="U2590" s="9"/>
      <c r="X2590" s="9"/>
    </row>
    <row r="2591">
      <c r="D2591" s="9"/>
      <c r="G2591" s="9"/>
      <c r="J2591" s="11"/>
      <c r="U2591" s="9"/>
      <c r="X2591" s="9"/>
    </row>
    <row r="2592">
      <c r="D2592" s="9"/>
      <c r="G2592" s="9"/>
      <c r="J2592" s="11"/>
      <c r="U2592" s="9"/>
      <c r="X2592" s="9"/>
    </row>
    <row r="2593">
      <c r="D2593" s="9"/>
      <c r="G2593" s="9"/>
      <c r="J2593" s="11"/>
      <c r="U2593" s="9"/>
      <c r="X2593" s="9"/>
    </row>
    <row r="2594">
      <c r="D2594" s="9"/>
      <c r="G2594" s="9"/>
      <c r="J2594" s="11"/>
      <c r="U2594" s="9"/>
      <c r="X2594" s="9"/>
    </row>
    <row r="2595">
      <c r="D2595" s="9"/>
      <c r="G2595" s="9"/>
      <c r="J2595" s="11"/>
      <c r="U2595" s="9"/>
      <c r="X2595" s="9"/>
    </row>
    <row r="2596">
      <c r="D2596" s="9"/>
      <c r="G2596" s="9"/>
      <c r="J2596" s="11"/>
      <c r="U2596" s="9"/>
      <c r="X2596" s="9"/>
    </row>
    <row r="2597">
      <c r="D2597" s="9"/>
      <c r="G2597" s="9"/>
      <c r="J2597" s="11"/>
      <c r="U2597" s="9"/>
      <c r="X2597" s="9"/>
    </row>
    <row r="2598">
      <c r="D2598" s="9"/>
      <c r="G2598" s="9"/>
      <c r="J2598" s="11"/>
      <c r="U2598" s="9"/>
      <c r="X2598" s="9"/>
    </row>
    <row r="2599">
      <c r="D2599" s="9"/>
      <c r="G2599" s="9"/>
      <c r="J2599" s="11"/>
      <c r="U2599" s="9"/>
      <c r="X2599" s="9"/>
    </row>
    <row r="2600">
      <c r="D2600" s="9"/>
      <c r="G2600" s="9"/>
      <c r="J2600" s="11"/>
      <c r="U2600" s="9"/>
      <c r="X2600" s="9"/>
    </row>
    <row r="2601">
      <c r="D2601" s="9"/>
      <c r="G2601" s="9"/>
      <c r="J2601" s="11"/>
      <c r="U2601" s="9"/>
      <c r="X2601" s="9"/>
    </row>
    <row r="2602">
      <c r="D2602" s="9"/>
      <c r="G2602" s="9"/>
      <c r="J2602" s="11"/>
      <c r="U2602" s="9"/>
      <c r="X2602" s="9"/>
    </row>
    <row r="2603">
      <c r="D2603" s="9"/>
      <c r="G2603" s="9"/>
      <c r="J2603" s="11"/>
      <c r="U2603" s="9"/>
      <c r="X2603" s="9"/>
    </row>
    <row r="2604">
      <c r="D2604" s="9"/>
      <c r="G2604" s="9"/>
      <c r="J2604" s="11"/>
      <c r="U2604" s="9"/>
      <c r="X2604" s="9"/>
    </row>
    <row r="2605">
      <c r="D2605" s="9"/>
      <c r="G2605" s="9"/>
      <c r="J2605" s="11"/>
      <c r="U2605" s="9"/>
      <c r="X2605" s="9"/>
    </row>
    <row r="2606">
      <c r="D2606" s="9"/>
      <c r="G2606" s="9"/>
      <c r="J2606" s="11"/>
      <c r="U2606" s="9"/>
      <c r="X2606" s="9"/>
    </row>
    <row r="2607">
      <c r="D2607" s="9"/>
      <c r="G2607" s="9"/>
      <c r="J2607" s="11"/>
      <c r="U2607" s="9"/>
      <c r="X2607" s="9"/>
    </row>
    <row r="2608">
      <c r="D2608" s="9"/>
      <c r="G2608" s="9"/>
      <c r="J2608" s="11"/>
      <c r="U2608" s="9"/>
      <c r="X2608" s="9"/>
    </row>
    <row r="2609">
      <c r="D2609" s="9"/>
      <c r="G2609" s="9"/>
      <c r="J2609" s="11"/>
      <c r="U2609" s="9"/>
      <c r="X2609" s="9"/>
    </row>
    <row r="2610">
      <c r="D2610" s="9"/>
      <c r="G2610" s="9"/>
      <c r="J2610" s="11"/>
      <c r="U2610" s="9"/>
      <c r="X2610" s="9"/>
    </row>
    <row r="2611">
      <c r="D2611" s="9"/>
      <c r="G2611" s="9"/>
      <c r="J2611" s="11"/>
      <c r="U2611" s="9"/>
      <c r="X2611" s="9"/>
    </row>
    <row r="2612">
      <c r="D2612" s="9"/>
      <c r="G2612" s="9"/>
      <c r="J2612" s="11"/>
      <c r="U2612" s="9"/>
      <c r="X2612" s="9"/>
    </row>
    <row r="2613">
      <c r="D2613" s="9"/>
      <c r="G2613" s="9"/>
      <c r="J2613" s="11"/>
      <c r="U2613" s="9"/>
      <c r="X2613" s="9"/>
    </row>
    <row r="2614">
      <c r="D2614" s="9"/>
      <c r="G2614" s="9"/>
      <c r="J2614" s="11"/>
      <c r="U2614" s="9"/>
      <c r="X2614" s="9"/>
    </row>
    <row r="2615">
      <c r="D2615" s="9"/>
      <c r="G2615" s="9"/>
      <c r="J2615" s="11"/>
      <c r="U2615" s="9"/>
      <c r="X2615" s="9"/>
    </row>
    <row r="2616">
      <c r="D2616" s="9"/>
      <c r="G2616" s="9"/>
      <c r="J2616" s="11"/>
      <c r="U2616" s="9"/>
      <c r="X2616" s="9"/>
    </row>
    <row r="2617">
      <c r="D2617" s="9"/>
      <c r="G2617" s="9"/>
      <c r="J2617" s="11"/>
      <c r="U2617" s="9"/>
      <c r="X2617" s="9"/>
    </row>
    <row r="2618">
      <c r="D2618" s="9"/>
      <c r="G2618" s="9"/>
      <c r="J2618" s="11"/>
      <c r="U2618" s="9"/>
      <c r="X2618" s="9"/>
    </row>
    <row r="2619">
      <c r="D2619" s="9"/>
      <c r="G2619" s="9"/>
      <c r="J2619" s="11"/>
      <c r="U2619" s="9"/>
      <c r="X2619" s="9"/>
    </row>
    <row r="2620">
      <c r="D2620" s="9"/>
      <c r="G2620" s="9"/>
      <c r="J2620" s="11"/>
      <c r="U2620" s="9"/>
      <c r="X2620" s="9"/>
    </row>
    <row r="2621">
      <c r="D2621" s="9"/>
      <c r="G2621" s="9"/>
      <c r="J2621" s="11"/>
      <c r="U2621" s="9"/>
      <c r="X2621" s="9"/>
    </row>
    <row r="2622">
      <c r="D2622" s="9"/>
      <c r="G2622" s="9"/>
      <c r="J2622" s="11"/>
      <c r="U2622" s="9"/>
      <c r="X2622" s="9"/>
    </row>
    <row r="2623">
      <c r="D2623" s="9"/>
      <c r="G2623" s="9"/>
      <c r="J2623" s="11"/>
      <c r="U2623" s="9"/>
      <c r="X2623" s="9"/>
    </row>
    <row r="2624">
      <c r="D2624" s="9"/>
      <c r="G2624" s="9"/>
      <c r="J2624" s="11"/>
      <c r="U2624" s="9"/>
      <c r="X2624" s="9"/>
    </row>
    <row r="2625">
      <c r="D2625" s="9"/>
      <c r="G2625" s="9"/>
      <c r="J2625" s="11"/>
      <c r="U2625" s="9"/>
      <c r="X2625" s="9"/>
    </row>
    <row r="2626">
      <c r="D2626" s="9"/>
      <c r="G2626" s="9"/>
      <c r="J2626" s="11"/>
      <c r="U2626" s="9"/>
      <c r="X2626" s="9"/>
    </row>
    <row r="2627">
      <c r="D2627" s="9"/>
      <c r="G2627" s="9"/>
      <c r="J2627" s="11"/>
      <c r="U2627" s="9"/>
      <c r="X2627" s="9"/>
    </row>
    <row r="2628">
      <c r="D2628" s="9"/>
      <c r="G2628" s="9"/>
      <c r="J2628" s="11"/>
      <c r="U2628" s="9"/>
      <c r="X2628" s="9"/>
    </row>
    <row r="2629">
      <c r="D2629" s="9"/>
      <c r="G2629" s="9"/>
      <c r="J2629" s="11"/>
      <c r="U2629" s="9"/>
      <c r="X2629" s="9"/>
    </row>
    <row r="2630">
      <c r="D2630" s="9"/>
      <c r="G2630" s="9"/>
      <c r="J2630" s="11"/>
      <c r="U2630" s="9"/>
      <c r="X2630" s="9"/>
    </row>
    <row r="2631">
      <c r="D2631" s="9"/>
      <c r="G2631" s="9"/>
      <c r="J2631" s="11"/>
      <c r="U2631" s="9"/>
      <c r="X2631" s="9"/>
    </row>
    <row r="2632">
      <c r="D2632" s="9"/>
      <c r="G2632" s="9"/>
      <c r="J2632" s="11"/>
      <c r="U2632" s="9"/>
      <c r="X2632" s="9"/>
    </row>
    <row r="2633">
      <c r="D2633" s="9"/>
      <c r="G2633" s="9"/>
      <c r="J2633" s="11"/>
      <c r="U2633" s="9"/>
      <c r="X2633" s="9"/>
    </row>
    <row r="2634">
      <c r="D2634" s="9"/>
      <c r="G2634" s="9"/>
      <c r="J2634" s="11"/>
      <c r="U2634" s="9"/>
      <c r="X2634" s="9"/>
    </row>
    <row r="2635">
      <c r="D2635" s="9"/>
      <c r="G2635" s="9"/>
      <c r="J2635" s="11"/>
      <c r="U2635" s="9"/>
      <c r="X2635" s="9"/>
    </row>
    <row r="2636">
      <c r="D2636" s="9"/>
      <c r="G2636" s="9"/>
      <c r="J2636" s="11"/>
      <c r="U2636" s="9"/>
      <c r="X2636" s="9"/>
    </row>
    <row r="2637">
      <c r="D2637" s="9"/>
      <c r="G2637" s="9"/>
      <c r="J2637" s="11"/>
      <c r="U2637" s="9"/>
      <c r="X2637" s="9"/>
    </row>
    <row r="2638">
      <c r="D2638" s="9"/>
      <c r="G2638" s="9"/>
      <c r="J2638" s="11"/>
      <c r="U2638" s="9"/>
      <c r="X2638" s="9"/>
    </row>
    <row r="2639">
      <c r="D2639" s="9"/>
      <c r="G2639" s="9"/>
      <c r="J2639" s="11"/>
      <c r="U2639" s="9"/>
      <c r="X2639" s="9"/>
    </row>
    <row r="2640">
      <c r="D2640" s="9"/>
      <c r="G2640" s="9"/>
      <c r="J2640" s="11"/>
      <c r="U2640" s="9"/>
      <c r="X2640" s="9"/>
    </row>
    <row r="2641">
      <c r="D2641" s="9"/>
      <c r="G2641" s="9"/>
      <c r="J2641" s="11"/>
      <c r="U2641" s="9"/>
      <c r="X2641" s="9"/>
    </row>
    <row r="2642">
      <c r="D2642" s="9"/>
      <c r="G2642" s="9"/>
      <c r="J2642" s="11"/>
      <c r="U2642" s="9"/>
      <c r="X2642" s="9"/>
    </row>
    <row r="2643">
      <c r="D2643" s="9"/>
      <c r="G2643" s="9"/>
      <c r="J2643" s="11"/>
      <c r="U2643" s="9"/>
      <c r="X2643" s="9"/>
    </row>
    <row r="2644">
      <c r="D2644" s="9"/>
      <c r="G2644" s="9"/>
      <c r="J2644" s="11"/>
      <c r="U2644" s="9"/>
      <c r="X2644" s="9"/>
    </row>
    <row r="2645">
      <c r="D2645" s="9"/>
      <c r="G2645" s="9"/>
      <c r="J2645" s="11"/>
      <c r="U2645" s="9"/>
      <c r="X2645" s="9"/>
    </row>
    <row r="2646">
      <c r="D2646" s="9"/>
      <c r="G2646" s="9"/>
      <c r="J2646" s="11"/>
      <c r="U2646" s="9"/>
      <c r="X2646" s="9"/>
    </row>
    <row r="2647">
      <c r="D2647" s="9"/>
      <c r="G2647" s="9"/>
      <c r="J2647" s="11"/>
      <c r="U2647" s="9"/>
      <c r="X2647" s="9"/>
    </row>
    <row r="2648">
      <c r="D2648" s="9"/>
      <c r="G2648" s="9"/>
      <c r="J2648" s="11"/>
      <c r="U2648" s="9"/>
      <c r="X2648" s="9"/>
    </row>
    <row r="2649">
      <c r="D2649" s="9"/>
      <c r="G2649" s="9"/>
      <c r="J2649" s="11"/>
      <c r="U2649" s="9"/>
      <c r="X2649" s="9"/>
    </row>
    <row r="2650">
      <c r="D2650" s="9"/>
      <c r="G2650" s="9"/>
      <c r="J2650" s="11"/>
      <c r="U2650" s="9"/>
      <c r="X2650" s="9"/>
    </row>
    <row r="2651">
      <c r="D2651" s="9"/>
      <c r="G2651" s="9"/>
      <c r="J2651" s="11"/>
      <c r="U2651" s="9"/>
      <c r="X2651" s="9"/>
    </row>
    <row r="2652">
      <c r="D2652" s="9"/>
      <c r="G2652" s="9"/>
      <c r="J2652" s="11"/>
      <c r="U2652" s="9"/>
      <c r="X2652" s="9"/>
    </row>
    <row r="2653">
      <c r="D2653" s="9"/>
      <c r="G2653" s="9"/>
      <c r="J2653" s="11"/>
      <c r="U2653" s="9"/>
      <c r="X2653" s="9"/>
    </row>
    <row r="2654">
      <c r="D2654" s="9"/>
      <c r="G2654" s="9"/>
      <c r="J2654" s="11"/>
      <c r="U2654" s="9"/>
      <c r="X2654" s="9"/>
    </row>
    <row r="2655">
      <c r="D2655" s="9"/>
      <c r="G2655" s="9"/>
      <c r="J2655" s="11"/>
      <c r="U2655" s="9"/>
      <c r="X2655" s="9"/>
    </row>
    <row r="2656">
      <c r="D2656" s="9"/>
      <c r="G2656" s="9"/>
      <c r="J2656" s="11"/>
      <c r="U2656" s="9"/>
      <c r="X2656" s="9"/>
    </row>
    <row r="2657">
      <c r="D2657" s="9"/>
      <c r="G2657" s="9"/>
      <c r="J2657" s="11"/>
      <c r="U2657" s="9"/>
      <c r="X2657" s="9"/>
    </row>
    <row r="2658">
      <c r="D2658" s="9"/>
      <c r="G2658" s="9"/>
      <c r="J2658" s="11"/>
      <c r="U2658" s="9"/>
      <c r="X2658" s="9"/>
    </row>
    <row r="2659">
      <c r="D2659" s="9"/>
      <c r="G2659" s="9"/>
      <c r="J2659" s="11"/>
      <c r="U2659" s="9"/>
      <c r="X2659" s="9"/>
    </row>
    <row r="2660">
      <c r="D2660" s="9"/>
      <c r="G2660" s="9"/>
      <c r="J2660" s="11"/>
      <c r="U2660" s="9"/>
      <c r="X2660" s="9"/>
    </row>
    <row r="2661">
      <c r="D2661" s="9"/>
      <c r="G2661" s="9"/>
      <c r="J2661" s="11"/>
      <c r="U2661" s="9"/>
      <c r="X2661" s="9"/>
    </row>
    <row r="2662">
      <c r="D2662" s="9"/>
      <c r="G2662" s="9"/>
      <c r="J2662" s="11"/>
      <c r="U2662" s="9"/>
      <c r="X2662" s="9"/>
    </row>
    <row r="2663">
      <c r="D2663" s="9"/>
      <c r="G2663" s="9"/>
      <c r="J2663" s="11"/>
      <c r="U2663" s="9"/>
      <c r="X2663" s="9"/>
    </row>
    <row r="2664">
      <c r="D2664" s="9"/>
      <c r="G2664" s="9"/>
      <c r="J2664" s="11"/>
      <c r="U2664" s="9"/>
      <c r="X2664" s="9"/>
    </row>
    <row r="2665">
      <c r="D2665" s="9"/>
      <c r="G2665" s="9"/>
      <c r="J2665" s="11"/>
      <c r="U2665" s="9"/>
      <c r="X2665" s="9"/>
    </row>
    <row r="2666">
      <c r="D2666" s="9"/>
      <c r="G2666" s="9"/>
      <c r="J2666" s="11"/>
      <c r="U2666" s="9"/>
      <c r="X2666" s="9"/>
    </row>
    <row r="2667">
      <c r="D2667" s="9"/>
      <c r="G2667" s="9"/>
      <c r="J2667" s="11"/>
      <c r="U2667" s="9"/>
      <c r="X2667" s="9"/>
    </row>
    <row r="2668">
      <c r="D2668" s="9"/>
      <c r="G2668" s="9"/>
      <c r="J2668" s="11"/>
      <c r="U2668" s="9"/>
      <c r="X2668" s="9"/>
    </row>
    <row r="2669">
      <c r="D2669" s="9"/>
      <c r="G2669" s="9"/>
      <c r="J2669" s="11"/>
      <c r="U2669" s="9"/>
      <c r="X2669" s="9"/>
    </row>
    <row r="2670">
      <c r="D2670" s="9"/>
      <c r="G2670" s="9"/>
      <c r="J2670" s="11"/>
      <c r="U2670" s="9"/>
      <c r="X2670" s="9"/>
    </row>
    <row r="2671">
      <c r="D2671" s="9"/>
      <c r="G2671" s="9"/>
      <c r="J2671" s="11"/>
      <c r="U2671" s="9"/>
      <c r="X2671" s="9"/>
    </row>
    <row r="2672">
      <c r="D2672" s="9"/>
      <c r="G2672" s="9"/>
      <c r="J2672" s="11"/>
      <c r="U2672" s="9"/>
      <c r="X2672" s="9"/>
    </row>
    <row r="2673">
      <c r="D2673" s="9"/>
      <c r="G2673" s="9"/>
      <c r="J2673" s="11"/>
      <c r="U2673" s="9"/>
      <c r="X2673" s="9"/>
    </row>
    <row r="2674">
      <c r="D2674" s="9"/>
      <c r="G2674" s="9"/>
      <c r="J2674" s="11"/>
      <c r="U2674" s="9"/>
      <c r="X2674" s="9"/>
    </row>
    <row r="2675">
      <c r="D2675" s="9"/>
      <c r="G2675" s="9"/>
      <c r="J2675" s="11"/>
      <c r="U2675" s="9"/>
      <c r="X2675" s="9"/>
    </row>
    <row r="2676">
      <c r="D2676" s="9"/>
      <c r="G2676" s="9"/>
      <c r="J2676" s="11"/>
      <c r="U2676" s="9"/>
      <c r="X2676" s="9"/>
    </row>
    <row r="2677">
      <c r="D2677" s="9"/>
      <c r="G2677" s="9"/>
      <c r="J2677" s="11"/>
      <c r="U2677" s="9"/>
      <c r="X2677" s="9"/>
    </row>
    <row r="2678">
      <c r="D2678" s="9"/>
      <c r="G2678" s="9"/>
      <c r="J2678" s="11"/>
      <c r="U2678" s="9"/>
      <c r="X2678" s="9"/>
    </row>
    <row r="2679">
      <c r="D2679" s="9"/>
      <c r="G2679" s="9"/>
      <c r="J2679" s="11"/>
      <c r="U2679" s="9"/>
      <c r="X2679" s="9"/>
    </row>
    <row r="2680">
      <c r="D2680" s="9"/>
      <c r="G2680" s="9"/>
      <c r="J2680" s="11"/>
      <c r="U2680" s="9"/>
      <c r="X2680" s="9"/>
    </row>
    <row r="2681">
      <c r="D2681" s="9"/>
      <c r="G2681" s="9"/>
      <c r="J2681" s="11"/>
      <c r="U2681" s="9"/>
      <c r="X2681" s="9"/>
    </row>
    <row r="2682">
      <c r="D2682" s="9"/>
      <c r="G2682" s="9"/>
      <c r="J2682" s="11"/>
      <c r="U2682" s="9"/>
      <c r="X2682" s="9"/>
    </row>
    <row r="2683">
      <c r="D2683" s="9"/>
      <c r="G2683" s="9"/>
      <c r="J2683" s="11"/>
      <c r="U2683" s="9"/>
      <c r="X2683" s="9"/>
    </row>
    <row r="2684">
      <c r="D2684" s="9"/>
      <c r="G2684" s="9"/>
      <c r="J2684" s="11"/>
      <c r="U2684" s="9"/>
      <c r="X2684" s="9"/>
    </row>
    <row r="2685">
      <c r="D2685" s="9"/>
      <c r="G2685" s="9"/>
      <c r="J2685" s="11"/>
      <c r="U2685" s="9"/>
      <c r="X2685" s="9"/>
    </row>
    <row r="2686">
      <c r="D2686" s="9"/>
      <c r="G2686" s="9"/>
      <c r="J2686" s="11"/>
      <c r="U2686" s="9"/>
      <c r="X2686" s="9"/>
    </row>
    <row r="2687">
      <c r="D2687" s="9"/>
      <c r="G2687" s="9"/>
      <c r="J2687" s="11"/>
      <c r="U2687" s="9"/>
      <c r="X2687" s="9"/>
    </row>
    <row r="2688">
      <c r="D2688" s="9"/>
      <c r="G2688" s="9"/>
      <c r="J2688" s="11"/>
      <c r="U2688" s="9"/>
      <c r="X2688" s="9"/>
    </row>
    <row r="2689">
      <c r="D2689" s="9"/>
      <c r="G2689" s="9"/>
      <c r="J2689" s="11"/>
      <c r="U2689" s="9"/>
      <c r="X2689" s="9"/>
    </row>
    <row r="2690">
      <c r="D2690" s="9"/>
      <c r="G2690" s="9"/>
      <c r="J2690" s="11"/>
      <c r="U2690" s="9"/>
      <c r="X2690" s="9"/>
    </row>
    <row r="2691">
      <c r="D2691" s="9"/>
      <c r="G2691" s="9"/>
      <c r="J2691" s="11"/>
      <c r="U2691" s="9"/>
      <c r="X2691" s="9"/>
    </row>
    <row r="2692">
      <c r="D2692" s="9"/>
      <c r="G2692" s="9"/>
      <c r="J2692" s="11"/>
      <c r="U2692" s="9"/>
      <c r="X2692" s="9"/>
    </row>
    <row r="2693">
      <c r="D2693" s="9"/>
      <c r="G2693" s="9"/>
      <c r="J2693" s="11"/>
      <c r="U2693" s="9"/>
      <c r="X2693" s="9"/>
    </row>
    <row r="2694">
      <c r="D2694" s="9"/>
      <c r="G2694" s="9"/>
      <c r="J2694" s="11"/>
      <c r="U2694" s="9"/>
      <c r="X2694" s="9"/>
    </row>
    <row r="2695">
      <c r="D2695" s="9"/>
      <c r="G2695" s="9"/>
      <c r="J2695" s="11"/>
      <c r="U2695" s="9"/>
      <c r="X2695" s="9"/>
    </row>
    <row r="2696">
      <c r="D2696" s="9"/>
      <c r="G2696" s="9"/>
      <c r="J2696" s="11"/>
      <c r="U2696" s="9"/>
      <c r="X2696" s="9"/>
    </row>
    <row r="2697">
      <c r="D2697" s="9"/>
      <c r="G2697" s="9"/>
      <c r="J2697" s="11"/>
      <c r="U2697" s="9"/>
      <c r="X2697" s="9"/>
    </row>
    <row r="2698">
      <c r="D2698" s="9"/>
      <c r="G2698" s="9"/>
      <c r="J2698" s="11"/>
      <c r="U2698" s="9"/>
      <c r="X2698" s="9"/>
    </row>
    <row r="2699">
      <c r="D2699" s="9"/>
      <c r="G2699" s="9"/>
      <c r="J2699" s="11"/>
      <c r="U2699" s="9"/>
      <c r="X2699" s="9"/>
    </row>
    <row r="2700">
      <c r="D2700" s="9"/>
      <c r="G2700" s="9"/>
      <c r="J2700" s="11"/>
      <c r="U2700" s="9"/>
      <c r="X2700" s="9"/>
    </row>
    <row r="2701">
      <c r="D2701" s="9"/>
      <c r="G2701" s="9"/>
      <c r="J2701" s="11"/>
      <c r="U2701" s="9"/>
      <c r="X2701" s="9"/>
    </row>
    <row r="2702">
      <c r="D2702" s="9"/>
      <c r="G2702" s="9"/>
      <c r="J2702" s="11"/>
      <c r="U2702" s="9"/>
      <c r="X2702" s="9"/>
    </row>
    <row r="2703">
      <c r="D2703" s="9"/>
      <c r="G2703" s="9"/>
      <c r="J2703" s="11"/>
      <c r="U2703" s="9"/>
      <c r="X2703" s="9"/>
    </row>
    <row r="2704">
      <c r="D2704" s="9"/>
      <c r="G2704" s="9"/>
      <c r="J2704" s="11"/>
      <c r="U2704" s="9"/>
      <c r="X2704" s="9"/>
    </row>
    <row r="2705">
      <c r="D2705" s="9"/>
      <c r="G2705" s="9"/>
      <c r="J2705" s="11"/>
      <c r="U2705" s="9"/>
      <c r="X2705" s="9"/>
    </row>
    <row r="2706">
      <c r="D2706" s="9"/>
      <c r="G2706" s="9"/>
      <c r="J2706" s="11"/>
      <c r="U2706" s="9"/>
      <c r="X2706" s="9"/>
    </row>
    <row r="2707">
      <c r="D2707" s="9"/>
      <c r="G2707" s="9"/>
      <c r="J2707" s="11"/>
      <c r="U2707" s="9"/>
      <c r="X2707" s="9"/>
    </row>
    <row r="2708">
      <c r="D2708" s="9"/>
      <c r="G2708" s="9"/>
      <c r="J2708" s="11"/>
      <c r="U2708" s="9"/>
      <c r="X2708" s="9"/>
    </row>
    <row r="2709">
      <c r="D2709" s="9"/>
      <c r="G2709" s="9"/>
      <c r="J2709" s="11"/>
      <c r="U2709" s="9"/>
      <c r="X2709" s="9"/>
    </row>
    <row r="2710">
      <c r="D2710" s="9"/>
      <c r="G2710" s="9"/>
      <c r="J2710" s="11"/>
      <c r="U2710" s="9"/>
      <c r="X2710" s="9"/>
    </row>
    <row r="2711">
      <c r="D2711" s="9"/>
      <c r="G2711" s="9"/>
      <c r="J2711" s="11"/>
      <c r="U2711" s="9"/>
      <c r="X2711" s="9"/>
    </row>
    <row r="2712">
      <c r="D2712" s="9"/>
      <c r="G2712" s="9"/>
      <c r="J2712" s="11"/>
      <c r="U2712" s="9"/>
      <c r="X2712" s="9"/>
    </row>
    <row r="2713">
      <c r="D2713" s="9"/>
      <c r="G2713" s="9"/>
      <c r="J2713" s="11"/>
      <c r="U2713" s="9"/>
      <c r="X2713" s="9"/>
    </row>
    <row r="2714">
      <c r="D2714" s="9"/>
      <c r="G2714" s="9"/>
      <c r="J2714" s="11"/>
      <c r="U2714" s="9"/>
      <c r="X2714" s="9"/>
    </row>
    <row r="2715">
      <c r="D2715" s="9"/>
      <c r="G2715" s="9"/>
      <c r="J2715" s="11"/>
      <c r="U2715" s="9"/>
      <c r="X2715" s="9"/>
    </row>
    <row r="2716">
      <c r="D2716" s="9"/>
      <c r="G2716" s="9"/>
      <c r="J2716" s="11"/>
      <c r="U2716" s="9"/>
      <c r="X2716" s="9"/>
    </row>
    <row r="2717">
      <c r="D2717" s="9"/>
      <c r="G2717" s="9"/>
      <c r="J2717" s="11"/>
      <c r="U2717" s="9"/>
      <c r="X2717" s="9"/>
    </row>
    <row r="2718">
      <c r="D2718" s="9"/>
      <c r="G2718" s="9"/>
      <c r="J2718" s="11"/>
      <c r="U2718" s="9"/>
      <c r="X2718" s="9"/>
    </row>
    <row r="2719">
      <c r="D2719" s="9"/>
      <c r="G2719" s="9"/>
      <c r="J2719" s="11"/>
      <c r="U2719" s="9"/>
      <c r="X2719" s="9"/>
    </row>
    <row r="2720">
      <c r="D2720" s="9"/>
      <c r="G2720" s="9"/>
      <c r="J2720" s="11"/>
      <c r="U2720" s="9"/>
      <c r="X2720" s="9"/>
    </row>
    <row r="2721">
      <c r="D2721" s="9"/>
      <c r="G2721" s="9"/>
      <c r="J2721" s="11"/>
      <c r="U2721" s="9"/>
      <c r="X2721" s="9"/>
    </row>
    <row r="2722">
      <c r="D2722" s="9"/>
      <c r="G2722" s="9"/>
      <c r="J2722" s="11"/>
      <c r="U2722" s="9"/>
      <c r="X2722" s="9"/>
    </row>
    <row r="2723">
      <c r="D2723" s="9"/>
      <c r="G2723" s="9"/>
      <c r="J2723" s="11"/>
      <c r="U2723" s="9"/>
      <c r="X2723" s="9"/>
    </row>
    <row r="2724">
      <c r="D2724" s="9"/>
      <c r="G2724" s="9"/>
      <c r="J2724" s="11"/>
      <c r="U2724" s="9"/>
      <c r="X2724" s="9"/>
    </row>
    <row r="2725">
      <c r="D2725" s="9"/>
      <c r="G2725" s="9"/>
      <c r="J2725" s="11"/>
      <c r="U2725" s="9"/>
      <c r="X2725" s="9"/>
    </row>
    <row r="2726">
      <c r="D2726" s="9"/>
      <c r="G2726" s="9"/>
      <c r="J2726" s="11"/>
      <c r="U2726" s="9"/>
      <c r="X2726" s="9"/>
    </row>
    <row r="2727">
      <c r="D2727" s="9"/>
      <c r="G2727" s="9"/>
      <c r="J2727" s="11"/>
      <c r="U2727" s="9"/>
      <c r="X2727" s="9"/>
    </row>
    <row r="2728">
      <c r="D2728" s="9"/>
      <c r="G2728" s="9"/>
      <c r="J2728" s="11"/>
      <c r="U2728" s="9"/>
      <c r="X2728" s="9"/>
    </row>
    <row r="2729">
      <c r="D2729" s="9"/>
      <c r="G2729" s="9"/>
      <c r="J2729" s="11"/>
      <c r="U2729" s="9"/>
      <c r="X2729" s="9"/>
    </row>
    <row r="2730">
      <c r="D2730" s="9"/>
      <c r="G2730" s="9"/>
      <c r="J2730" s="11"/>
      <c r="U2730" s="9"/>
      <c r="X2730" s="9"/>
    </row>
    <row r="2731">
      <c r="D2731" s="9"/>
      <c r="G2731" s="9"/>
      <c r="J2731" s="11"/>
      <c r="U2731" s="9"/>
      <c r="X2731" s="9"/>
    </row>
    <row r="2732">
      <c r="D2732" s="9"/>
      <c r="G2732" s="9"/>
      <c r="J2732" s="11"/>
      <c r="U2732" s="9"/>
      <c r="X2732" s="9"/>
    </row>
    <row r="2733">
      <c r="D2733" s="9"/>
      <c r="G2733" s="9"/>
      <c r="J2733" s="11"/>
      <c r="U2733" s="9"/>
      <c r="X2733" s="9"/>
    </row>
    <row r="2734">
      <c r="D2734" s="9"/>
      <c r="G2734" s="9"/>
      <c r="J2734" s="11"/>
      <c r="U2734" s="9"/>
      <c r="X2734" s="9"/>
    </row>
    <row r="2735">
      <c r="D2735" s="9"/>
      <c r="G2735" s="9"/>
      <c r="J2735" s="11"/>
      <c r="U2735" s="9"/>
      <c r="X2735" s="9"/>
    </row>
    <row r="2736">
      <c r="D2736" s="9"/>
      <c r="G2736" s="9"/>
      <c r="J2736" s="11"/>
      <c r="U2736" s="9"/>
      <c r="X2736" s="9"/>
    </row>
    <row r="2737">
      <c r="D2737" s="9"/>
      <c r="G2737" s="9"/>
      <c r="J2737" s="11"/>
      <c r="U2737" s="9"/>
      <c r="X2737" s="9"/>
    </row>
    <row r="2738">
      <c r="D2738" s="9"/>
      <c r="G2738" s="9"/>
      <c r="J2738" s="11"/>
      <c r="U2738" s="9"/>
      <c r="X2738" s="9"/>
    </row>
    <row r="2739">
      <c r="D2739" s="9"/>
      <c r="G2739" s="9"/>
      <c r="J2739" s="11"/>
      <c r="U2739" s="9"/>
      <c r="X2739" s="9"/>
    </row>
    <row r="2740">
      <c r="D2740" s="9"/>
      <c r="G2740" s="9"/>
      <c r="J2740" s="11"/>
      <c r="U2740" s="9"/>
      <c r="X2740" s="9"/>
    </row>
    <row r="2741">
      <c r="D2741" s="9"/>
      <c r="G2741" s="9"/>
      <c r="J2741" s="11"/>
      <c r="U2741" s="9"/>
      <c r="X2741" s="9"/>
    </row>
    <row r="2742">
      <c r="D2742" s="9"/>
      <c r="G2742" s="9"/>
      <c r="J2742" s="11"/>
      <c r="U2742" s="9"/>
      <c r="X2742" s="9"/>
    </row>
    <row r="2743">
      <c r="D2743" s="9"/>
      <c r="G2743" s="9"/>
      <c r="J2743" s="11"/>
      <c r="U2743" s="9"/>
      <c r="X2743" s="9"/>
    </row>
    <row r="2744">
      <c r="D2744" s="9"/>
      <c r="G2744" s="9"/>
      <c r="J2744" s="11"/>
      <c r="U2744" s="9"/>
      <c r="X2744" s="9"/>
    </row>
    <row r="2745">
      <c r="D2745" s="9"/>
      <c r="G2745" s="9"/>
      <c r="J2745" s="11"/>
      <c r="U2745" s="9"/>
      <c r="X2745" s="9"/>
    </row>
    <row r="2746">
      <c r="D2746" s="9"/>
      <c r="G2746" s="9"/>
      <c r="J2746" s="11"/>
      <c r="U2746" s="9"/>
      <c r="X2746" s="9"/>
    </row>
    <row r="2747">
      <c r="D2747" s="9"/>
      <c r="G2747" s="9"/>
      <c r="J2747" s="11"/>
      <c r="U2747" s="9"/>
      <c r="X2747" s="9"/>
    </row>
    <row r="2748">
      <c r="D2748" s="9"/>
      <c r="G2748" s="9"/>
      <c r="J2748" s="11"/>
      <c r="U2748" s="9"/>
      <c r="X2748" s="9"/>
    </row>
    <row r="2749">
      <c r="D2749" s="9"/>
      <c r="G2749" s="9"/>
      <c r="J2749" s="11"/>
      <c r="U2749" s="9"/>
      <c r="X2749" s="9"/>
    </row>
    <row r="2750">
      <c r="D2750" s="9"/>
      <c r="G2750" s="9"/>
      <c r="J2750" s="11"/>
      <c r="U2750" s="9"/>
      <c r="X2750" s="9"/>
    </row>
    <row r="2751">
      <c r="D2751" s="9"/>
      <c r="G2751" s="9"/>
      <c r="J2751" s="11"/>
      <c r="U2751" s="9"/>
      <c r="X2751" s="9"/>
    </row>
    <row r="2752">
      <c r="D2752" s="9"/>
      <c r="G2752" s="9"/>
      <c r="J2752" s="11"/>
      <c r="U2752" s="9"/>
      <c r="X2752" s="9"/>
    </row>
    <row r="2753">
      <c r="D2753" s="9"/>
      <c r="G2753" s="9"/>
      <c r="J2753" s="11"/>
      <c r="U2753" s="9"/>
      <c r="X2753" s="9"/>
    </row>
    <row r="2754">
      <c r="D2754" s="9"/>
      <c r="G2754" s="9"/>
      <c r="J2754" s="11"/>
      <c r="U2754" s="9"/>
      <c r="X2754" s="9"/>
    </row>
    <row r="2755">
      <c r="D2755" s="9"/>
      <c r="G2755" s="9"/>
      <c r="J2755" s="11"/>
      <c r="U2755" s="9"/>
      <c r="X2755" s="9"/>
    </row>
    <row r="2756">
      <c r="D2756" s="9"/>
      <c r="G2756" s="9"/>
      <c r="J2756" s="11"/>
      <c r="U2756" s="9"/>
      <c r="X2756" s="9"/>
    </row>
    <row r="2757">
      <c r="D2757" s="9"/>
      <c r="G2757" s="9"/>
      <c r="J2757" s="11"/>
      <c r="U2757" s="9"/>
      <c r="X2757" s="9"/>
    </row>
    <row r="2758">
      <c r="D2758" s="9"/>
      <c r="G2758" s="9"/>
      <c r="J2758" s="11"/>
      <c r="U2758" s="9"/>
      <c r="X2758" s="9"/>
    </row>
    <row r="2759">
      <c r="D2759" s="9"/>
      <c r="G2759" s="9"/>
      <c r="J2759" s="11"/>
      <c r="U2759" s="9"/>
      <c r="X2759" s="9"/>
    </row>
    <row r="2760">
      <c r="D2760" s="9"/>
      <c r="G2760" s="9"/>
      <c r="J2760" s="11"/>
      <c r="U2760" s="9"/>
      <c r="X2760" s="9"/>
    </row>
    <row r="2761">
      <c r="D2761" s="9"/>
      <c r="G2761" s="9"/>
      <c r="J2761" s="11"/>
      <c r="U2761" s="9"/>
      <c r="X2761" s="9"/>
    </row>
    <row r="2762">
      <c r="D2762" s="9"/>
      <c r="G2762" s="9"/>
      <c r="J2762" s="11"/>
      <c r="U2762" s="9"/>
      <c r="X2762" s="9"/>
    </row>
    <row r="2763">
      <c r="D2763" s="9"/>
      <c r="G2763" s="9"/>
      <c r="J2763" s="11"/>
      <c r="U2763" s="9"/>
      <c r="X2763" s="9"/>
    </row>
    <row r="2764">
      <c r="D2764" s="9"/>
      <c r="G2764" s="9"/>
      <c r="J2764" s="11"/>
      <c r="U2764" s="9"/>
      <c r="X2764" s="9"/>
    </row>
    <row r="2765">
      <c r="D2765" s="9"/>
      <c r="G2765" s="9"/>
      <c r="J2765" s="11"/>
      <c r="U2765" s="9"/>
      <c r="X2765" s="9"/>
    </row>
    <row r="2766">
      <c r="D2766" s="9"/>
      <c r="G2766" s="9"/>
      <c r="J2766" s="11"/>
      <c r="U2766" s="9"/>
      <c r="X2766" s="9"/>
    </row>
    <row r="2767">
      <c r="D2767" s="9"/>
      <c r="G2767" s="9"/>
      <c r="J2767" s="11"/>
      <c r="U2767" s="9"/>
      <c r="X2767" s="9"/>
    </row>
    <row r="2768">
      <c r="D2768" s="9"/>
      <c r="G2768" s="9"/>
      <c r="J2768" s="11"/>
      <c r="U2768" s="9"/>
      <c r="X2768" s="9"/>
    </row>
    <row r="2769">
      <c r="D2769" s="9"/>
      <c r="G2769" s="9"/>
      <c r="J2769" s="11"/>
      <c r="U2769" s="9"/>
      <c r="X2769" s="9"/>
    </row>
    <row r="2770">
      <c r="D2770" s="9"/>
      <c r="G2770" s="9"/>
      <c r="J2770" s="11"/>
      <c r="U2770" s="9"/>
      <c r="X2770" s="9"/>
    </row>
    <row r="2771">
      <c r="D2771" s="9"/>
      <c r="G2771" s="9"/>
      <c r="J2771" s="11"/>
      <c r="U2771" s="9"/>
      <c r="X2771" s="9"/>
    </row>
    <row r="2772">
      <c r="D2772" s="9"/>
      <c r="G2772" s="9"/>
      <c r="J2772" s="11"/>
      <c r="U2772" s="9"/>
      <c r="X2772" s="9"/>
    </row>
    <row r="2773">
      <c r="D2773" s="9"/>
      <c r="G2773" s="9"/>
      <c r="J2773" s="11"/>
      <c r="U2773" s="9"/>
      <c r="X2773" s="9"/>
    </row>
    <row r="2774">
      <c r="D2774" s="9"/>
      <c r="G2774" s="9"/>
      <c r="J2774" s="11"/>
      <c r="U2774" s="9"/>
      <c r="X2774" s="9"/>
    </row>
    <row r="2775">
      <c r="D2775" s="9"/>
      <c r="G2775" s="9"/>
      <c r="J2775" s="11"/>
      <c r="U2775" s="9"/>
      <c r="X2775" s="9"/>
    </row>
    <row r="2776">
      <c r="D2776" s="9"/>
      <c r="G2776" s="9"/>
      <c r="J2776" s="11"/>
      <c r="U2776" s="9"/>
      <c r="X2776" s="9"/>
    </row>
    <row r="2777">
      <c r="D2777" s="9"/>
      <c r="G2777" s="9"/>
      <c r="J2777" s="11"/>
      <c r="U2777" s="9"/>
      <c r="X2777" s="9"/>
    </row>
    <row r="2778">
      <c r="D2778" s="9"/>
      <c r="G2778" s="9"/>
      <c r="J2778" s="11"/>
      <c r="U2778" s="9"/>
      <c r="X2778" s="9"/>
    </row>
    <row r="2779">
      <c r="D2779" s="9"/>
      <c r="G2779" s="9"/>
      <c r="J2779" s="11"/>
      <c r="U2779" s="9"/>
      <c r="X2779" s="9"/>
    </row>
    <row r="2780">
      <c r="D2780" s="9"/>
      <c r="G2780" s="9"/>
      <c r="J2780" s="11"/>
      <c r="U2780" s="9"/>
      <c r="X2780" s="9"/>
    </row>
    <row r="2781">
      <c r="D2781" s="9"/>
      <c r="G2781" s="9"/>
      <c r="J2781" s="11"/>
      <c r="U2781" s="9"/>
      <c r="X2781" s="9"/>
    </row>
    <row r="2782">
      <c r="D2782" s="9"/>
      <c r="G2782" s="9"/>
      <c r="J2782" s="11"/>
      <c r="U2782" s="9"/>
      <c r="X2782" s="9"/>
    </row>
    <row r="2783">
      <c r="D2783" s="9"/>
      <c r="G2783" s="9"/>
      <c r="J2783" s="11"/>
      <c r="U2783" s="9"/>
      <c r="X2783" s="9"/>
    </row>
    <row r="2784">
      <c r="D2784" s="9"/>
      <c r="G2784" s="9"/>
      <c r="J2784" s="11"/>
      <c r="U2784" s="9"/>
      <c r="X2784" s="9"/>
    </row>
    <row r="2785">
      <c r="D2785" s="9"/>
      <c r="G2785" s="9"/>
      <c r="J2785" s="11"/>
      <c r="U2785" s="9"/>
      <c r="X2785" s="9"/>
    </row>
    <row r="2786">
      <c r="D2786" s="9"/>
      <c r="G2786" s="9"/>
      <c r="J2786" s="11"/>
      <c r="U2786" s="9"/>
      <c r="X2786" s="9"/>
    </row>
    <row r="2787">
      <c r="D2787" s="9"/>
      <c r="G2787" s="9"/>
      <c r="J2787" s="11"/>
      <c r="U2787" s="9"/>
      <c r="X2787" s="9"/>
    </row>
    <row r="2788">
      <c r="D2788" s="9"/>
      <c r="G2788" s="9"/>
      <c r="J2788" s="11"/>
      <c r="U2788" s="9"/>
      <c r="X2788" s="9"/>
    </row>
    <row r="2789">
      <c r="D2789" s="9"/>
      <c r="G2789" s="9"/>
      <c r="J2789" s="11"/>
      <c r="U2789" s="9"/>
      <c r="X2789" s="9"/>
    </row>
    <row r="2790">
      <c r="D2790" s="9"/>
      <c r="G2790" s="9"/>
      <c r="J2790" s="11"/>
      <c r="U2790" s="9"/>
      <c r="X2790" s="9"/>
    </row>
    <row r="2791">
      <c r="D2791" s="9"/>
      <c r="G2791" s="9"/>
      <c r="J2791" s="11"/>
      <c r="U2791" s="9"/>
      <c r="X2791" s="9"/>
    </row>
    <row r="2792">
      <c r="D2792" s="9"/>
      <c r="G2792" s="9"/>
      <c r="J2792" s="11"/>
      <c r="U2792" s="9"/>
      <c r="X2792" s="9"/>
    </row>
    <row r="2793">
      <c r="D2793" s="9"/>
      <c r="G2793" s="9"/>
      <c r="J2793" s="11"/>
      <c r="U2793" s="9"/>
      <c r="X2793" s="9"/>
    </row>
    <row r="2794">
      <c r="D2794" s="9"/>
      <c r="G2794" s="9"/>
      <c r="J2794" s="11"/>
      <c r="U2794" s="9"/>
      <c r="X2794" s="9"/>
    </row>
    <row r="2795">
      <c r="D2795" s="9"/>
      <c r="G2795" s="9"/>
      <c r="J2795" s="11"/>
      <c r="U2795" s="9"/>
      <c r="X2795" s="9"/>
    </row>
    <row r="2796">
      <c r="D2796" s="9"/>
      <c r="G2796" s="9"/>
      <c r="J2796" s="11"/>
      <c r="U2796" s="9"/>
      <c r="X2796" s="9"/>
    </row>
    <row r="2797">
      <c r="D2797" s="9"/>
      <c r="G2797" s="9"/>
      <c r="J2797" s="11"/>
      <c r="U2797" s="9"/>
      <c r="X2797" s="9"/>
    </row>
    <row r="2798">
      <c r="D2798" s="9"/>
      <c r="G2798" s="9"/>
      <c r="J2798" s="11"/>
      <c r="U2798" s="9"/>
      <c r="X2798" s="9"/>
    </row>
    <row r="2799">
      <c r="D2799" s="9"/>
      <c r="G2799" s="9"/>
      <c r="J2799" s="11"/>
      <c r="U2799" s="9"/>
      <c r="X2799" s="9"/>
    </row>
    <row r="2800">
      <c r="D2800" s="9"/>
      <c r="G2800" s="9"/>
      <c r="J2800" s="11"/>
      <c r="U2800" s="9"/>
      <c r="X2800" s="9"/>
    </row>
    <row r="2801">
      <c r="D2801" s="9"/>
      <c r="G2801" s="9"/>
      <c r="J2801" s="11"/>
      <c r="U2801" s="9"/>
      <c r="X2801" s="9"/>
    </row>
    <row r="2802">
      <c r="D2802" s="9"/>
      <c r="G2802" s="9"/>
      <c r="J2802" s="11"/>
      <c r="U2802" s="9"/>
      <c r="X2802" s="9"/>
    </row>
    <row r="2803">
      <c r="D2803" s="9"/>
      <c r="G2803" s="9"/>
      <c r="J2803" s="11"/>
      <c r="U2803" s="9"/>
      <c r="X2803" s="9"/>
    </row>
    <row r="2804">
      <c r="D2804" s="9"/>
      <c r="G2804" s="9"/>
      <c r="J2804" s="11"/>
      <c r="U2804" s="9"/>
      <c r="X2804" s="9"/>
    </row>
    <row r="2805">
      <c r="D2805" s="9"/>
      <c r="G2805" s="9"/>
      <c r="J2805" s="11"/>
      <c r="U2805" s="9"/>
      <c r="X2805" s="9"/>
    </row>
    <row r="2806">
      <c r="D2806" s="9"/>
      <c r="G2806" s="9"/>
      <c r="J2806" s="11"/>
      <c r="U2806" s="9"/>
      <c r="X2806" s="9"/>
    </row>
    <row r="2807">
      <c r="D2807" s="9"/>
      <c r="G2807" s="9"/>
      <c r="J2807" s="11"/>
      <c r="U2807" s="9"/>
      <c r="X2807" s="9"/>
    </row>
    <row r="2808">
      <c r="D2808" s="9"/>
      <c r="G2808" s="9"/>
      <c r="J2808" s="11"/>
      <c r="U2808" s="9"/>
      <c r="X2808" s="9"/>
    </row>
    <row r="2809">
      <c r="D2809" s="9"/>
      <c r="G2809" s="9"/>
      <c r="J2809" s="11"/>
      <c r="U2809" s="9"/>
      <c r="X2809" s="9"/>
    </row>
    <row r="2810">
      <c r="D2810" s="9"/>
      <c r="G2810" s="9"/>
      <c r="J2810" s="11"/>
      <c r="U2810" s="9"/>
      <c r="X2810" s="9"/>
    </row>
    <row r="2811">
      <c r="D2811" s="9"/>
      <c r="G2811" s="9"/>
      <c r="J2811" s="11"/>
      <c r="U2811" s="9"/>
      <c r="X2811" s="9"/>
    </row>
    <row r="2812">
      <c r="D2812" s="9"/>
      <c r="G2812" s="9"/>
      <c r="J2812" s="11"/>
      <c r="U2812" s="9"/>
      <c r="X2812" s="9"/>
    </row>
    <row r="2813">
      <c r="D2813" s="9"/>
      <c r="G2813" s="9"/>
      <c r="J2813" s="11"/>
      <c r="U2813" s="9"/>
      <c r="X2813" s="9"/>
    </row>
    <row r="2814">
      <c r="D2814" s="9"/>
      <c r="G2814" s="9"/>
      <c r="J2814" s="11"/>
      <c r="U2814" s="9"/>
      <c r="X2814" s="9"/>
    </row>
    <row r="2815">
      <c r="D2815" s="9"/>
      <c r="G2815" s="9"/>
      <c r="J2815" s="11"/>
      <c r="U2815" s="9"/>
      <c r="X2815" s="9"/>
    </row>
    <row r="2816">
      <c r="D2816" s="9"/>
      <c r="G2816" s="9"/>
      <c r="J2816" s="11"/>
      <c r="U2816" s="9"/>
      <c r="X2816" s="9"/>
    </row>
    <row r="2817">
      <c r="D2817" s="9"/>
      <c r="G2817" s="9"/>
      <c r="J2817" s="11"/>
      <c r="U2817" s="9"/>
      <c r="X2817" s="9"/>
    </row>
    <row r="2818">
      <c r="D2818" s="9"/>
      <c r="G2818" s="9"/>
      <c r="J2818" s="11"/>
      <c r="U2818" s="9"/>
      <c r="X2818" s="9"/>
    </row>
    <row r="2819">
      <c r="D2819" s="9"/>
      <c r="G2819" s="9"/>
      <c r="J2819" s="11"/>
      <c r="U2819" s="9"/>
      <c r="X2819" s="9"/>
    </row>
    <row r="2820">
      <c r="D2820" s="9"/>
      <c r="G2820" s="9"/>
      <c r="J2820" s="11"/>
      <c r="U2820" s="9"/>
      <c r="X2820" s="9"/>
    </row>
    <row r="2821">
      <c r="D2821" s="9"/>
      <c r="G2821" s="9"/>
      <c r="J2821" s="11"/>
      <c r="U2821" s="9"/>
      <c r="X2821" s="9"/>
    </row>
    <row r="2822">
      <c r="D2822" s="9"/>
      <c r="G2822" s="9"/>
      <c r="J2822" s="11"/>
      <c r="U2822" s="9"/>
      <c r="X2822" s="9"/>
    </row>
    <row r="2823">
      <c r="D2823" s="9"/>
      <c r="G2823" s="9"/>
      <c r="J2823" s="11"/>
      <c r="U2823" s="9"/>
      <c r="X2823" s="9"/>
    </row>
    <row r="2824">
      <c r="D2824" s="9"/>
      <c r="G2824" s="9"/>
      <c r="J2824" s="11"/>
      <c r="U2824" s="9"/>
      <c r="X2824" s="9"/>
    </row>
    <row r="2825">
      <c r="D2825" s="9"/>
      <c r="G2825" s="9"/>
      <c r="J2825" s="11"/>
      <c r="U2825" s="9"/>
      <c r="X2825" s="9"/>
    </row>
    <row r="2826">
      <c r="D2826" s="9"/>
      <c r="G2826" s="9"/>
      <c r="J2826" s="11"/>
      <c r="U2826" s="9"/>
      <c r="X2826" s="9"/>
    </row>
    <row r="2827">
      <c r="D2827" s="9"/>
      <c r="G2827" s="9"/>
      <c r="J2827" s="11"/>
      <c r="U2827" s="9"/>
      <c r="X2827" s="9"/>
    </row>
    <row r="2828">
      <c r="D2828" s="9"/>
      <c r="G2828" s="9"/>
      <c r="J2828" s="11"/>
      <c r="U2828" s="9"/>
      <c r="X2828" s="9"/>
    </row>
    <row r="2829">
      <c r="D2829" s="9"/>
      <c r="G2829" s="9"/>
      <c r="J2829" s="11"/>
      <c r="U2829" s="9"/>
      <c r="X2829" s="9"/>
    </row>
    <row r="2830">
      <c r="D2830" s="9"/>
      <c r="G2830" s="9"/>
      <c r="J2830" s="11"/>
      <c r="U2830" s="9"/>
      <c r="X2830" s="9"/>
    </row>
    <row r="2831">
      <c r="D2831" s="9"/>
      <c r="G2831" s="9"/>
      <c r="J2831" s="11"/>
      <c r="U2831" s="9"/>
      <c r="X2831" s="9"/>
    </row>
    <row r="2832">
      <c r="D2832" s="9"/>
      <c r="G2832" s="9"/>
      <c r="J2832" s="11"/>
      <c r="U2832" s="9"/>
      <c r="X2832" s="9"/>
    </row>
    <row r="2833">
      <c r="D2833" s="9"/>
      <c r="G2833" s="9"/>
      <c r="J2833" s="11"/>
      <c r="U2833" s="9"/>
      <c r="X2833" s="9"/>
    </row>
    <row r="2834">
      <c r="D2834" s="9"/>
      <c r="G2834" s="9"/>
      <c r="J2834" s="11"/>
      <c r="U2834" s="9"/>
      <c r="X2834" s="9"/>
    </row>
    <row r="2835">
      <c r="D2835" s="9"/>
      <c r="G2835" s="9"/>
      <c r="J2835" s="11"/>
      <c r="U2835" s="9"/>
      <c r="X2835" s="9"/>
    </row>
    <row r="2836">
      <c r="D2836" s="9"/>
      <c r="G2836" s="9"/>
      <c r="J2836" s="11"/>
      <c r="U2836" s="9"/>
      <c r="X2836" s="9"/>
    </row>
    <row r="2837">
      <c r="D2837" s="9"/>
      <c r="G2837" s="9"/>
      <c r="J2837" s="11"/>
      <c r="U2837" s="9"/>
      <c r="X2837" s="9"/>
    </row>
    <row r="2838">
      <c r="D2838" s="9"/>
      <c r="G2838" s="9"/>
      <c r="J2838" s="11"/>
      <c r="U2838" s="9"/>
      <c r="X2838" s="9"/>
    </row>
    <row r="2839">
      <c r="D2839" s="9"/>
      <c r="G2839" s="9"/>
      <c r="J2839" s="11"/>
      <c r="U2839" s="9"/>
      <c r="X2839" s="9"/>
    </row>
    <row r="2840">
      <c r="D2840" s="9"/>
      <c r="G2840" s="9"/>
      <c r="J2840" s="11"/>
      <c r="U2840" s="9"/>
      <c r="X2840" s="9"/>
    </row>
    <row r="2841">
      <c r="D2841" s="9"/>
      <c r="G2841" s="9"/>
      <c r="J2841" s="11"/>
      <c r="U2841" s="9"/>
      <c r="X2841" s="9"/>
    </row>
    <row r="2842">
      <c r="D2842" s="9"/>
      <c r="G2842" s="9"/>
      <c r="J2842" s="11"/>
      <c r="U2842" s="9"/>
      <c r="X2842" s="9"/>
    </row>
    <row r="2843">
      <c r="D2843" s="9"/>
      <c r="G2843" s="9"/>
      <c r="J2843" s="11"/>
      <c r="U2843" s="9"/>
      <c r="X2843" s="9"/>
    </row>
    <row r="2844">
      <c r="D2844" s="9"/>
      <c r="G2844" s="9"/>
      <c r="J2844" s="11"/>
      <c r="U2844" s="9"/>
      <c r="X2844" s="9"/>
    </row>
    <row r="2845">
      <c r="D2845" s="9"/>
      <c r="G2845" s="9"/>
      <c r="J2845" s="11"/>
      <c r="U2845" s="9"/>
      <c r="X2845" s="9"/>
    </row>
    <row r="2846">
      <c r="D2846" s="9"/>
      <c r="G2846" s="9"/>
      <c r="J2846" s="11"/>
      <c r="U2846" s="9"/>
      <c r="X2846" s="9"/>
    </row>
    <row r="2847">
      <c r="D2847" s="9"/>
      <c r="G2847" s="9"/>
      <c r="J2847" s="11"/>
      <c r="U2847" s="9"/>
      <c r="X2847" s="9"/>
    </row>
    <row r="2848">
      <c r="D2848" s="9"/>
      <c r="G2848" s="9"/>
      <c r="J2848" s="11"/>
      <c r="U2848" s="9"/>
      <c r="X2848" s="9"/>
    </row>
    <row r="2849">
      <c r="D2849" s="9"/>
      <c r="G2849" s="9"/>
      <c r="J2849" s="11"/>
      <c r="U2849" s="9"/>
      <c r="X2849" s="9"/>
    </row>
    <row r="2850">
      <c r="D2850" s="9"/>
      <c r="G2850" s="9"/>
      <c r="J2850" s="11"/>
      <c r="U2850" s="9"/>
      <c r="X2850" s="9"/>
    </row>
    <row r="2851">
      <c r="D2851" s="9"/>
      <c r="G2851" s="9"/>
      <c r="J2851" s="11"/>
      <c r="U2851" s="9"/>
      <c r="X2851" s="9"/>
    </row>
    <row r="2852">
      <c r="D2852" s="9"/>
      <c r="G2852" s="9"/>
      <c r="J2852" s="11"/>
      <c r="U2852" s="9"/>
      <c r="X2852" s="9"/>
    </row>
    <row r="2853">
      <c r="D2853" s="9"/>
      <c r="G2853" s="9"/>
      <c r="J2853" s="11"/>
      <c r="U2853" s="9"/>
      <c r="X2853" s="9"/>
    </row>
    <row r="2854">
      <c r="D2854" s="9"/>
      <c r="G2854" s="9"/>
      <c r="J2854" s="11"/>
      <c r="U2854" s="9"/>
      <c r="X2854" s="9"/>
    </row>
    <row r="2855">
      <c r="D2855" s="9"/>
      <c r="G2855" s="9"/>
      <c r="J2855" s="11"/>
      <c r="U2855" s="9"/>
      <c r="X2855" s="9"/>
    </row>
    <row r="2856">
      <c r="D2856" s="9"/>
      <c r="G2856" s="9"/>
      <c r="J2856" s="11"/>
      <c r="U2856" s="9"/>
      <c r="X2856" s="9"/>
    </row>
    <row r="2857">
      <c r="D2857" s="9"/>
      <c r="G2857" s="9"/>
      <c r="J2857" s="11"/>
      <c r="U2857" s="9"/>
      <c r="X2857" s="9"/>
    </row>
    <row r="2858">
      <c r="D2858" s="9"/>
      <c r="G2858" s="9"/>
      <c r="J2858" s="11"/>
      <c r="U2858" s="9"/>
      <c r="X2858" s="9"/>
    </row>
    <row r="2859">
      <c r="D2859" s="9"/>
      <c r="G2859" s="9"/>
      <c r="J2859" s="11"/>
      <c r="U2859" s="9"/>
      <c r="X2859" s="9"/>
    </row>
    <row r="2860">
      <c r="D2860" s="9"/>
      <c r="G2860" s="9"/>
      <c r="J2860" s="11"/>
      <c r="U2860" s="9"/>
      <c r="X2860" s="9"/>
    </row>
    <row r="2861">
      <c r="D2861" s="9"/>
      <c r="G2861" s="9"/>
      <c r="J2861" s="11"/>
      <c r="U2861" s="9"/>
      <c r="X2861" s="9"/>
    </row>
    <row r="2862">
      <c r="D2862" s="9"/>
      <c r="G2862" s="9"/>
      <c r="J2862" s="11"/>
      <c r="U2862" s="9"/>
      <c r="X2862" s="9"/>
    </row>
    <row r="2863">
      <c r="D2863" s="9"/>
      <c r="G2863" s="9"/>
      <c r="J2863" s="11"/>
      <c r="U2863" s="9"/>
      <c r="X2863" s="9"/>
    </row>
    <row r="2864">
      <c r="D2864" s="9"/>
      <c r="G2864" s="9"/>
      <c r="J2864" s="11"/>
      <c r="U2864" s="9"/>
      <c r="X2864" s="9"/>
    </row>
    <row r="2865">
      <c r="D2865" s="9"/>
      <c r="G2865" s="9"/>
      <c r="J2865" s="11"/>
      <c r="U2865" s="9"/>
      <c r="X2865" s="9"/>
    </row>
    <row r="2866">
      <c r="D2866" s="9"/>
      <c r="G2866" s="9"/>
      <c r="J2866" s="11"/>
      <c r="U2866" s="9"/>
      <c r="X2866" s="9"/>
    </row>
    <row r="2867">
      <c r="D2867" s="9"/>
      <c r="G2867" s="9"/>
      <c r="J2867" s="11"/>
      <c r="U2867" s="9"/>
      <c r="X2867" s="9"/>
    </row>
    <row r="2868">
      <c r="D2868" s="9"/>
      <c r="G2868" s="9"/>
      <c r="J2868" s="11"/>
      <c r="U2868" s="9"/>
      <c r="X2868" s="9"/>
    </row>
    <row r="2869">
      <c r="D2869" s="9"/>
      <c r="G2869" s="9"/>
      <c r="J2869" s="11"/>
      <c r="U2869" s="9"/>
      <c r="X2869" s="9"/>
    </row>
    <row r="2870">
      <c r="D2870" s="9"/>
      <c r="G2870" s="9"/>
      <c r="J2870" s="11"/>
      <c r="U2870" s="9"/>
      <c r="X2870" s="9"/>
    </row>
    <row r="2871">
      <c r="D2871" s="9"/>
      <c r="G2871" s="9"/>
      <c r="J2871" s="11"/>
      <c r="U2871" s="9"/>
      <c r="X2871" s="9"/>
    </row>
    <row r="2872">
      <c r="D2872" s="9"/>
      <c r="G2872" s="9"/>
      <c r="J2872" s="11"/>
      <c r="U2872" s="9"/>
      <c r="X2872" s="9"/>
    </row>
    <row r="2873">
      <c r="D2873" s="9"/>
      <c r="G2873" s="9"/>
      <c r="J2873" s="11"/>
      <c r="U2873" s="9"/>
      <c r="X2873" s="9"/>
    </row>
    <row r="2874">
      <c r="D2874" s="9"/>
      <c r="G2874" s="9"/>
      <c r="J2874" s="11"/>
      <c r="U2874" s="9"/>
      <c r="X2874" s="9"/>
    </row>
    <row r="2875">
      <c r="D2875" s="9"/>
      <c r="G2875" s="9"/>
      <c r="J2875" s="11"/>
      <c r="U2875" s="9"/>
      <c r="X2875" s="9"/>
    </row>
    <row r="2876">
      <c r="D2876" s="9"/>
      <c r="G2876" s="9"/>
      <c r="J2876" s="11"/>
      <c r="U2876" s="9"/>
      <c r="X2876" s="9"/>
    </row>
    <row r="2877">
      <c r="D2877" s="9"/>
      <c r="G2877" s="9"/>
      <c r="J2877" s="11"/>
      <c r="U2877" s="9"/>
      <c r="X2877" s="9"/>
    </row>
    <row r="2878">
      <c r="D2878" s="9"/>
      <c r="G2878" s="9"/>
      <c r="J2878" s="11"/>
      <c r="U2878" s="9"/>
      <c r="X2878" s="9"/>
    </row>
    <row r="2879">
      <c r="D2879" s="9"/>
      <c r="G2879" s="9"/>
      <c r="J2879" s="11"/>
      <c r="U2879" s="9"/>
      <c r="X2879" s="9"/>
    </row>
    <row r="2880">
      <c r="D2880" s="9"/>
      <c r="G2880" s="9"/>
      <c r="J2880" s="11"/>
      <c r="U2880" s="9"/>
      <c r="X2880" s="9"/>
    </row>
    <row r="2881">
      <c r="D2881" s="9"/>
      <c r="G2881" s="9"/>
      <c r="J2881" s="11"/>
      <c r="U2881" s="9"/>
      <c r="X2881" s="9"/>
    </row>
    <row r="2882">
      <c r="D2882" s="9"/>
      <c r="G2882" s="9"/>
      <c r="J2882" s="11"/>
      <c r="U2882" s="9"/>
      <c r="X2882" s="9"/>
    </row>
    <row r="2883">
      <c r="D2883" s="9"/>
      <c r="G2883" s="9"/>
      <c r="J2883" s="11"/>
      <c r="U2883" s="9"/>
      <c r="X2883" s="9"/>
    </row>
    <row r="2884">
      <c r="D2884" s="9"/>
      <c r="G2884" s="9"/>
      <c r="J2884" s="11"/>
      <c r="U2884" s="9"/>
      <c r="X2884" s="9"/>
    </row>
    <row r="2885">
      <c r="D2885" s="9"/>
      <c r="G2885" s="9"/>
      <c r="J2885" s="11"/>
      <c r="U2885" s="9"/>
      <c r="X2885" s="9"/>
    </row>
    <row r="2886">
      <c r="D2886" s="9"/>
      <c r="G2886" s="9"/>
      <c r="J2886" s="11"/>
      <c r="U2886" s="9"/>
      <c r="X2886" s="9"/>
    </row>
    <row r="2887">
      <c r="D2887" s="9"/>
      <c r="G2887" s="9"/>
      <c r="J2887" s="11"/>
      <c r="U2887" s="9"/>
      <c r="X2887" s="9"/>
    </row>
    <row r="2888">
      <c r="D2888" s="9"/>
      <c r="G2888" s="9"/>
      <c r="J2888" s="11"/>
      <c r="U2888" s="9"/>
      <c r="X2888" s="9"/>
    </row>
    <row r="2889">
      <c r="D2889" s="9"/>
      <c r="G2889" s="9"/>
      <c r="J2889" s="11"/>
      <c r="U2889" s="9"/>
      <c r="X2889" s="9"/>
    </row>
    <row r="2890">
      <c r="D2890" s="9"/>
      <c r="G2890" s="9"/>
      <c r="J2890" s="11"/>
      <c r="U2890" s="9"/>
      <c r="X2890" s="9"/>
    </row>
    <row r="2891">
      <c r="D2891" s="9"/>
      <c r="G2891" s="9"/>
      <c r="J2891" s="11"/>
      <c r="U2891" s="9"/>
      <c r="X2891" s="9"/>
    </row>
    <row r="2892">
      <c r="D2892" s="9"/>
      <c r="G2892" s="9"/>
      <c r="J2892" s="11"/>
      <c r="U2892" s="9"/>
      <c r="X2892" s="9"/>
    </row>
    <row r="2893">
      <c r="D2893" s="9"/>
      <c r="G2893" s="9"/>
      <c r="J2893" s="11"/>
      <c r="U2893" s="9"/>
      <c r="X2893" s="9"/>
    </row>
    <row r="2894">
      <c r="D2894" s="9"/>
      <c r="G2894" s="9"/>
      <c r="J2894" s="11"/>
      <c r="U2894" s="9"/>
      <c r="X2894" s="9"/>
    </row>
    <row r="2895">
      <c r="D2895" s="9"/>
      <c r="G2895" s="9"/>
      <c r="J2895" s="11"/>
      <c r="U2895" s="9"/>
      <c r="X2895" s="9"/>
    </row>
    <row r="2896">
      <c r="D2896" s="9"/>
      <c r="G2896" s="9"/>
      <c r="J2896" s="11"/>
      <c r="U2896" s="9"/>
      <c r="X2896" s="9"/>
    </row>
    <row r="2897">
      <c r="D2897" s="9"/>
      <c r="G2897" s="9"/>
      <c r="J2897" s="11"/>
      <c r="U2897" s="9"/>
      <c r="X2897" s="9"/>
    </row>
    <row r="2898">
      <c r="D2898" s="9"/>
      <c r="G2898" s="9"/>
      <c r="J2898" s="11"/>
      <c r="U2898" s="9"/>
      <c r="X2898" s="9"/>
    </row>
    <row r="2899">
      <c r="D2899" s="9"/>
      <c r="G2899" s="9"/>
      <c r="J2899" s="11"/>
      <c r="U2899" s="9"/>
      <c r="X2899" s="9"/>
    </row>
    <row r="2900">
      <c r="D2900" s="9"/>
      <c r="G2900" s="9"/>
      <c r="J2900" s="11"/>
      <c r="U2900" s="9"/>
      <c r="X2900" s="9"/>
    </row>
    <row r="2901">
      <c r="D2901" s="9"/>
      <c r="G2901" s="9"/>
      <c r="J2901" s="11"/>
      <c r="U2901" s="9"/>
      <c r="X2901" s="9"/>
    </row>
    <row r="2902">
      <c r="D2902" s="9"/>
      <c r="G2902" s="9"/>
      <c r="J2902" s="11"/>
      <c r="U2902" s="9"/>
      <c r="X2902" s="9"/>
    </row>
    <row r="2903">
      <c r="D2903" s="9"/>
      <c r="G2903" s="9"/>
      <c r="J2903" s="11"/>
      <c r="U2903" s="9"/>
      <c r="X2903" s="9"/>
    </row>
    <row r="2904">
      <c r="D2904" s="9"/>
      <c r="G2904" s="9"/>
      <c r="J2904" s="11"/>
      <c r="U2904" s="9"/>
      <c r="X2904" s="9"/>
    </row>
    <row r="2905">
      <c r="D2905" s="9"/>
      <c r="G2905" s="9"/>
      <c r="J2905" s="11"/>
      <c r="U2905" s="9"/>
      <c r="X2905" s="9"/>
    </row>
    <row r="2906">
      <c r="D2906" s="9"/>
      <c r="G2906" s="9"/>
      <c r="J2906" s="11"/>
      <c r="U2906" s="9"/>
      <c r="X2906" s="9"/>
    </row>
    <row r="2907">
      <c r="D2907" s="9"/>
      <c r="G2907" s="9"/>
      <c r="J2907" s="11"/>
      <c r="U2907" s="9"/>
      <c r="X2907" s="9"/>
    </row>
    <row r="2908">
      <c r="D2908" s="9"/>
      <c r="G2908" s="9"/>
      <c r="J2908" s="11"/>
      <c r="U2908" s="9"/>
      <c r="X2908" s="9"/>
    </row>
    <row r="2909">
      <c r="D2909" s="9"/>
      <c r="G2909" s="9"/>
      <c r="J2909" s="11"/>
      <c r="U2909" s="9"/>
      <c r="X2909" s="9"/>
    </row>
    <row r="2910">
      <c r="D2910" s="9"/>
      <c r="G2910" s="9"/>
      <c r="J2910" s="11"/>
      <c r="U2910" s="9"/>
      <c r="X2910" s="9"/>
    </row>
    <row r="2911">
      <c r="D2911" s="9"/>
      <c r="G2911" s="9"/>
      <c r="J2911" s="11"/>
      <c r="U2911" s="9"/>
      <c r="X2911" s="9"/>
    </row>
    <row r="2912">
      <c r="D2912" s="9"/>
      <c r="G2912" s="9"/>
      <c r="J2912" s="11"/>
      <c r="U2912" s="9"/>
      <c r="X2912" s="9"/>
    </row>
    <row r="2913">
      <c r="D2913" s="9"/>
      <c r="G2913" s="9"/>
      <c r="J2913" s="11"/>
      <c r="U2913" s="9"/>
      <c r="X2913" s="9"/>
    </row>
    <row r="2914">
      <c r="D2914" s="9"/>
      <c r="G2914" s="9"/>
      <c r="J2914" s="11"/>
      <c r="U2914" s="9"/>
      <c r="X2914" s="9"/>
    </row>
    <row r="2915">
      <c r="D2915" s="9"/>
      <c r="G2915" s="9"/>
      <c r="J2915" s="11"/>
      <c r="U2915" s="9"/>
      <c r="X2915" s="9"/>
    </row>
    <row r="2916">
      <c r="D2916" s="9"/>
      <c r="G2916" s="9"/>
      <c r="J2916" s="11"/>
      <c r="U2916" s="9"/>
      <c r="X2916" s="9"/>
    </row>
    <row r="2917">
      <c r="D2917" s="9"/>
      <c r="G2917" s="9"/>
      <c r="J2917" s="11"/>
      <c r="U2917" s="9"/>
      <c r="X2917" s="9"/>
    </row>
    <row r="2918">
      <c r="D2918" s="9"/>
      <c r="G2918" s="9"/>
      <c r="J2918" s="11"/>
      <c r="U2918" s="9"/>
      <c r="X2918" s="9"/>
    </row>
    <row r="2919">
      <c r="D2919" s="9"/>
      <c r="G2919" s="9"/>
      <c r="J2919" s="11"/>
      <c r="U2919" s="9"/>
      <c r="X2919" s="9"/>
    </row>
    <row r="2920">
      <c r="D2920" s="9"/>
      <c r="G2920" s="9"/>
      <c r="J2920" s="11"/>
      <c r="U2920" s="9"/>
      <c r="X2920" s="9"/>
    </row>
    <row r="2921">
      <c r="D2921" s="9"/>
      <c r="G2921" s="9"/>
      <c r="J2921" s="11"/>
      <c r="U2921" s="9"/>
      <c r="X2921" s="9"/>
    </row>
    <row r="2922">
      <c r="D2922" s="9"/>
      <c r="G2922" s="9"/>
      <c r="J2922" s="11"/>
      <c r="U2922" s="9"/>
      <c r="X2922" s="9"/>
    </row>
    <row r="2923">
      <c r="D2923" s="9"/>
      <c r="G2923" s="9"/>
      <c r="J2923" s="11"/>
      <c r="U2923" s="9"/>
      <c r="X2923" s="9"/>
    </row>
    <row r="2924">
      <c r="D2924" s="9"/>
      <c r="G2924" s="9"/>
      <c r="J2924" s="11"/>
      <c r="U2924" s="9"/>
      <c r="X2924" s="9"/>
    </row>
    <row r="2925">
      <c r="D2925" s="9"/>
      <c r="G2925" s="9"/>
      <c r="J2925" s="11"/>
      <c r="U2925" s="9"/>
      <c r="X2925" s="9"/>
    </row>
    <row r="2926">
      <c r="D2926" s="9"/>
      <c r="G2926" s="9"/>
      <c r="J2926" s="11"/>
      <c r="U2926" s="9"/>
      <c r="X2926" s="9"/>
    </row>
    <row r="2927">
      <c r="D2927" s="9"/>
      <c r="G2927" s="9"/>
      <c r="J2927" s="11"/>
      <c r="U2927" s="9"/>
      <c r="X2927" s="9"/>
    </row>
    <row r="2928">
      <c r="D2928" s="9"/>
      <c r="G2928" s="9"/>
      <c r="J2928" s="11"/>
      <c r="U2928" s="9"/>
      <c r="X2928" s="9"/>
    </row>
    <row r="2929">
      <c r="D2929" s="9"/>
      <c r="G2929" s="9"/>
      <c r="J2929" s="11"/>
      <c r="U2929" s="9"/>
      <c r="X2929" s="9"/>
    </row>
    <row r="2930">
      <c r="D2930" s="9"/>
      <c r="G2930" s="9"/>
      <c r="J2930" s="11"/>
      <c r="U2930" s="9"/>
      <c r="X2930" s="9"/>
    </row>
    <row r="2931">
      <c r="D2931" s="9"/>
      <c r="G2931" s="9"/>
      <c r="J2931" s="11"/>
      <c r="U2931" s="9"/>
      <c r="X2931" s="9"/>
    </row>
    <row r="2932">
      <c r="D2932" s="9"/>
      <c r="G2932" s="9"/>
      <c r="J2932" s="11"/>
      <c r="U2932" s="9"/>
      <c r="X2932" s="9"/>
    </row>
    <row r="2933">
      <c r="D2933" s="9"/>
      <c r="G2933" s="9"/>
      <c r="J2933" s="11"/>
      <c r="U2933" s="9"/>
      <c r="X2933" s="9"/>
    </row>
    <row r="2934">
      <c r="D2934" s="9"/>
      <c r="G2934" s="9"/>
      <c r="J2934" s="11"/>
      <c r="U2934" s="9"/>
      <c r="X2934" s="9"/>
    </row>
    <row r="2935">
      <c r="D2935" s="9"/>
      <c r="G2935" s="9"/>
      <c r="J2935" s="11"/>
      <c r="U2935" s="9"/>
      <c r="X2935" s="9"/>
    </row>
    <row r="2936">
      <c r="D2936" s="9"/>
      <c r="G2936" s="9"/>
      <c r="J2936" s="11"/>
      <c r="U2936" s="9"/>
      <c r="X2936" s="9"/>
    </row>
    <row r="2937">
      <c r="D2937" s="9"/>
      <c r="G2937" s="9"/>
      <c r="J2937" s="11"/>
      <c r="U2937" s="9"/>
      <c r="X2937" s="9"/>
    </row>
    <row r="2938">
      <c r="D2938" s="9"/>
      <c r="G2938" s="9"/>
      <c r="J2938" s="11"/>
      <c r="U2938" s="9"/>
      <c r="X2938" s="9"/>
    </row>
    <row r="2939">
      <c r="D2939" s="9"/>
      <c r="G2939" s="9"/>
      <c r="J2939" s="11"/>
      <c r="U2939" s="9"/>
      <c r="X2939" s="9"/>
    </row>
    <row r="2940">
      <c r="D2940" s="9"/>
      <c r="G2940" s="9"/>
      <c r="J2940" s="11"/>
      <c r="U2940" s="9"/>
      <c r="X2940" s="9"/>
    </row>
    <row r="2941">
      <c r="D2941" s="9"/>
      <c r="G2941" s="9"/>
      <c r="J2941" s="11"/>
      <c r="U2941" s="9"/>
      <c r="X2941" s="9"/>
    </row>
    <row r="2942">
      <c r="D2942" s="9"/>
      <c r="G2942" s="9"/>
      <c r="J2942" s="11"/>
      <c r="U2942" s="9"/>
      <c r="X2942" s="9"/>
    </row>
    <row r="2943">
      <c r="D2943" s="9"/>
      <c r="G2943" s="9"/>
      <c r="J2943" s="11"/>
      <c r="U2943" s="9"/>
      <c r="X2943" s="9"/>
    </row>
    <row r="2944">
      <c r="D2944" s="9"/>
      <c r="G2944" s="9"/>
      <c r="J2944" s="11"/>
      <c r="U2944" s="9"/>
      <c r="X2944" s="9"/>
    </row>
    <row r="2945">
      <c r="D2945" s="9"/>
      <c r="G2945" s="9"/>
      <c r="J2945" s="11"/>
      <c r="U2945" s="9"/>
      <c r="X2945" s="9"/>
    </row>
    <row r="2946">
      <c r="D2946" s="9"/>
      <c r="G2946" s="9"/>
      <c r="J2946" s="11"/>
      <c r="U2946" s="9"/>
      <c r="X2946" s="9"/>
    </row>
    <row r="2947">
      <c r="D2947" s="9"/>
      <c r="G2947" s="9"/>
      <c r="J2947" s="11"/>
      <c r="U2947" s="9"/>
      <c r="X2947" s="9"/>
    </row>
    <row r="2948">
      <c r="D2948" s="9"/>
      <c r="G2948" s="9"/>
      <c r="J2948" s="11"/>
      <c r="U2948" s="9"/>
      <c r="X2948" s="9"/>
    </row>
    <row r="2949">
      <c r="D2949" s="9"/>
      <c r="G2949" s="9"/>
      <c r="J2949" s="11"/>
      <c r="U2949" s="9"/>
      <c r="X2949" s="9"/>
    </row>
    <row r="2950">
      <c r="D2950" s="9"/>
      <c r="G2950" s="9"/>
      <c r="J2950" s="11"/>
      <c r="U2950" s="9"/>
      <c r="X2950" s="9"/>
    </row>
    <row r="2951">
      <c r="D2951" s="9"/>
      <c r="G2951" s="9"/>
      <c r="J2951" s="11"/>
      <c r="U2951" s="9"/>
      <c r="X2951" s="9"/>
    </row>
    <row r="2952">
      <c r="D2952" s="9"/>
      <c r="G2952" s="9"/>
      <c r="J2952" s="11"/>
      <c r="U2952" s="9"/>
      <c r="X2952" s="9"/>
    </row>
    <row r="2953">
      <c r="D2953" s="9"/>
      <c r="G2953" s="9"/>
      <c r="J2953" s="11"/>
      <c r="U2953" s="9"/>
      <c r="X2953" s="9"/>
    </row>
    <row r="2954">
      <c r="D2954" s="9"/>
      <c r="G2954" s="9"/>
      <c r="J2954" s="11"/>
      <c r="U2954" s="9"/>
      <c r="X2954" s="9"/>
    </row>
    <row r="2955">
      <c r="D2955" s="9"/>
      <c r="G2955" s="9"/>
      <c r="J2955" s="11"/>
      <c r="U2955" s="9"/>
      <c r="X2955" s="9"/>
    </row>
    <row r="2956">
      <c r="D2956" s="9"/>
      <c r="G2956" s="9"/>
      <c r="J2956" s="11"/>
      <c r="U2956" s="9"/>
      <c r="X2956" s="9"/>
    </row>
    <row r="2957">
      <c r="D2957" s="9"/>
      <c r="G2957" s="9"/>
      <c r="J2957" s="11"/>
      <c r="U2957" s="9"/>
      <c r="X2957" s="9"/>
    </row>
    <row r="2958">
      <c r="D2958" s="9"/>
      <c r="G2958" s="9"/>
      <c r="J2958" s="11"/>
      <c r="U2958" s="9"/>
      <c r="X2958" s="9"/>
    </row>
    <row r="2959">
      <c r="D2959" s="9"/>
      <c r="G2959" s="9"/>
      <c r="J2959" s="11"/>
      <c r="U2959" s="9"/>
      <c r="X2959" s="9"/>
    </row>
    <row r="2960">
      <c r="D2960" s="9"/>
      <c r="G2960" s="9"/>
      <c r="J2960" s="11"/>
      <c r="U2960" s="9"/>
      <c r="X2960" s="9"/>
    </row>
    <row r="2961">
      <c r="D2961" s="9"/>
      <c r="G2961" s="9"/>
      <c r="J2961" s="11"/>
      <c r="U2961" s="9"/>
      <c r="X2961" s="9"/>
    </row>
    <row r="2962">
      <c r="D2962" s="9"/>
      <c r="G2962" s="9"/>
      <c r="J2962" s="11"/>
      <c r="U2962" s="9"/>
      <c r="X2962" s="9"/>
    </row>
    <row r="2963">
      <c r="D2963" s="9"/>
      <c r="G2963" s="9"/>
      <c r="J2963" s="11"/>
      <c r="U2963" s="9"/>
      <c r="X2963" s="9"/>
    </row>
    <row r="2964">
      <c r="D2964" s="9"/>
      <c r="G2964" s="9"/>
      <c r="J2964" s="11"/>
      <c r="U2964" s="9"/>
      <c r="X2964" s="9"/>
    </row>
    <row r="2965">
      <c r="D2965" s="9"/>
      <c r="G2965" s="9"/>
      <c r="J2965" s="11"/>
      <c r="U2965" s="9"/>
      <c r="X2965" s="9"/>
    </row>
    <row r="2966">
      <c r="D2966" s="9"/>
      <c r="G2966" s="9"/>
      <c r="J2966" s="11"/>
      <c r="U2966" s="9"/>
      <c r="X2966" s="9"/>
    </row>
    <row r="2967">
      <c r="D2967" s="9"/>
      <c r="G2967" s="9"/>
      <c r="J2967" s="11"/>
      <c r="U2967" s="9"/>
      <c r="X2967" s="9"/>
    </row>
    <row r="2968">
      <c r="D2968" s="9"/>
      <c r="G2968" s="9"/>
      <c r="J2968" s="11"/>
      <c r="U2968" s="9"/>
      <c r="X2968" s="9"/>
    </row>
    <row r="2969">
      <c r="D2969" s="9"/>
      <c r="G2969" s="9"/>
      <c r="J2969" s="11"/>
      <c r="U2969" s="9"/>
      <c r="X2969" s="9"/>
    </row>
    <row r="2970">
      <c r="D2970" s="9"/>
      <c r="G2970" s="9"/>
      <c r="J2970" s="11"/>
      <c r="U2970" s="9"/>
      <c r="X2970" s="9"/>
    </row>
    <row r="2971">
      <c r="D2971" s="9"/>
      <c r="G2971" s="9"/>
      <c r="J2971" s="11"/>
      <c r="U2971" s="9"/>
      <c r="X2971" s="9"/>
    </row>
    <row r="2972">
      <c r="D2972" s="9"/>
      <c r="G2972" s="9"/>
      <c r="J2972" s="11"/>
      <c r="U2972" s="9"/>
      <c r="X2972" s="9"/>
    </row>
    <row r="2973">
      <c r="D2973" s="9"/>
      <c r="G2973" s="9"/>
      <c r="J2973" s="11"/>
      <c r="U2973" s="9"/>
      <c r="X2973" s="9"/>
    </row>
    <row r="2974">
      <c r="D2974" s="9"/>
      <c r="G2974" s="9"/>
      <c r="J2974" s="11"/>
      <c r="U2974" s="9"/>
      <c r="X2974" s="9"/>
    </row>
    <row r="2975">
      <c r="D2975" s="9"/>
      <c r="G2975" s="9"/>
      <c r="J2975" s="11"/>
      <c r="U2975" s="9"/>
      <c r="X2975" s="9"/>
    </row>
    <row r="2976">
      <c r="D2976" s="9"/>
      <c r="G2976" s="9"/>
      <c r="J2976" s="11"/>
      <c r="U2976" s="9"/>
      <c r="X2976" s="9"/>
    </row>
    <row r="2977">
      <c r="D2977" s="9"/>
      <c r="G2977" s="9"/>
      <c r="J2977" s="11"/>
      <c r="U2977" s="9"/>
      <c r="X2977" s="9"/>
    </row>
    <row r="2978">
      <c r="D2978" s="9"/>
      <c r="G2978" s="9"/>
      <c r="J2978" s="11"/>
      <c r="U2978" s="9"/>
      <c r="X2978" s="9"/>
    </row>
    <row r="2979">
      <c r="D2979" s="9"/>
      <c r="G2979" s="9"/>
      <c r="J2979" s="11"/>
      <c r="U2979" s="9"/>
      <c r="X2979" s="9"/>
    </row>
    <row r="2980">
      <c r="D2980" s="9"/>
      <c r="G2980" s="9"/>
      <c r="J2980" s="11"/>
      <c r="U2980" s="9"/>
      <c r="X2980" s="9"/>
    </row>
    <row r="2981">
      <c r="D2981" s="9"/>
      <c r="G2981" s="9"/>
      <c r="J2981" s="11"/>
      <c r="U2981" s="9"/>
      <c r="X2981" s="9"/>
    </row>
    <row r="2982">
      <c r="D2982" s="9"/>
      <c r="G2982" s="9"/>
      <c r="J2982" s="11"/>
      <c r="U2982" s="9"/>
      <c r="X2982" s="9"/>
    </row>
    <row r="2983">
      <c r="D2983" s="9"/>
      <c r="G2983" s="9"/>
      <c r="J2983" s="11"/>
      <c r="U2983" s="9"/>
      <c r="X2983" s="9"/>
    </row>
    <row r="2984">
      <c r="D2984" s="9"/>
      <c r="G2984" s="9"/>
      <c r="J2984" s="11"/>
      <c r="U2984" s="9"/>
      <c r="X2984" s="9"/>
    </row>
    <row r="2985">
      <c r="D2985" s="9"/>
      <c r="G2985" s="9"/>
      <c r="J2985" s="11"/>
      <c r="U2985" s="9"/>
      <c r="X2985" s="9"/>
    </row>
    <row r="2986">
      <c r="D2986" s="9"/>
      <c r="G2986" s="9"/>
      <c r="J2986" s="11"/>
      <c r="U2986" s="9"/>
      <c r="X2986" s="9"/>
    </row>
    <row r="2987">
      <c r="D2987" s="9"/>
      <c r="G2987" s="9"/>
      <c r="J2987" s="11"/>
      <c r="U2987" s="9"/>
      <c r="X2987" s="9"/>
    </row>
    <row r="2988">
      <c r="D2988" s="9"/>
      <c r="G2988" s="9"/>
      <c r="J2988" s="11"/>
      <c r="U2988" s="9"/>
      <c r="X2988" s="9"/>
    </row>
    <row r="2989">
      <c r="D2989" s="9"/>
      <c r="G2989" s="9"/>
      <c r="J2989" s="11"/>
      <c r="U2989" s="9"/>
      <c r="X2989" s="9"/>
    </row>
    <row r="2990">
      <c r="D2990" s="9"/>
      <c r="G2990" s="9"/>
      <c r="J2990" s="11"/>
      <c r="U2990" s="9"/>
      <c r="X2990" s="9"/>
    </row>
    <row r="2991">
      <c r="D2991" s="9"/>
      <c r="G2991" s="9"/>
      <c r="J2991" s="11"/>
      <c r="U2991" s="9"/>
      <c r="X2991" s="9"/>
    </row>
    <row r="2992">
      <c r="D2992" s="9"/>
      <c r="G2992" s="9"/>
      <c r="J2992" s="11"/>
      <c r="U2992" s="9"/>
      <c r="X2992" s="9"/>
    </row>
    <row r="2993">
      <c r="D2993" s="9"/>
      <c r="G2993" s="9"/>
      <c r="J2993" s="11"/>
      <c r="U2993" s="9"/>
      <c r="X2993" s="9"/>
    </row>
    <row r="2994">
      <c r="D2994" s="9"/>
      <c r="G2994" s="9"/>
      <c r="J2994" s="11"/>
      <c r="U2994" s="9"/>
      <c r="X2994" s="9"/>
    </row>
    <row r="2995">
      <c r="D2995" s="9"/>
      <c r="G2995" s="9"/>
      <c r="J2995" s="11"/>
      <c r="U2995" s="9"/>
      <c r="X2995" s="9"/>
    </row>
    <row r="2996">
      <c r="D2996" s="9"/>
      <c r="G2996" s="9"/>
      <c r="J2996" s="11"/>
      <c r="U2996" s="9"/>
      <c r="X2996" s="9"/>
    </row>
    <row r="2997">
      <c r="D2997" s="9"/>
      <c r="G2997" s="9"/>
      <c r="J2997" s="11"/>
      <c r="U2997" s="9"/>
      <c r="X2997" s="9"/>
    </row>
    <row r="2998">
      <c r="D2998" s="9"/>
      <c r="G2998" s="9"/>
      <c r="J2998" s="11"/>
      <c r="U2998" s="9"/>
      <c r="X2998" s="9"/>
    </row>
    <row r="2999">
      <c r="D2999" s="9"/>
      <c r="G2999" s="9"/>
      <c r="J2999" s="11"/>
      <c r="U2999" s="9"/>
      <c r="X2999" s="9"/>
    </row>
    <row r="3000">
      <c r="D3000" s="9"/>
      <c r="G3000" s="9"/>
      <c r="J3000" s="11"/>
      <c r="U3000" s="9"/>
      <c r="X3000" s="9"/>
    </row>
    <row r="3001">
      <c r="D3001" s="9"/>
      <c r="G3001" s="9"/>
      <c r="J3001" s="11"/>
      <c r="U3001" s="9"/>
      <c r="X3001" s="9"/>
    </row>
    <row r="3002">
      <c r="D3002" s="9"/>
      <c r="G3002" s="9"/>
      <c r="J3002" s="11"/>
      <c r="U3002" s="9"/>
      <c r="X3002" s="9"/>
    </row>
    <row r="3003">
      <c r="D3003" s="9"/>
      <c r="G3003" s="9"/>
      <c r="J3003" s="11"/>
      <c r="U3003" s="9"/>
      <c r="X3003" s="9"/>
    </row>
    <row r="3004">
      <c r="D3004" s="9"/>
      <c r="G3004" s="9"/>
      <c r="J3004" s="11"/>
      <c r="U3004" s="9"/>
      <c r="X3004" s="9"/>
    </row>
    <row r="3005">
      <c r="D3005" s="9"/>
      <c r="G3005" s="9"/>
      <c r="J3005" s="11"/>
      <c r="U3005" s="9"/>
      <c r="X3005" s="9"/>
    </row>
    <row r="3006">
      <c r="D3006" s="9"/>
      <c r="G3006" s="9"/>
      <c r="J3006" s="11"/>
      <c r="U3006" s="9"/>
      <c r="X3006" s="9"/>
    </row>
    <row r="3007">
      <c r="D3007" s="9"/>
      <c r="G3007" s="9"/>
      <c r="J3007" s="11"/>
      <c r="U3007" s="9"/>
      <c r="X3007" s="9"/>
    </row>
    <row r="3008">
      <c r="D3008" s="9"/>
      <c r="G3008" s="9"/>
      <c r="J3008" s="11"/>
      <c r="U3008" s="9"/>
      <c r="X3008" s="9"/>
    </row>
    <row r="3009">
      <c r="D3009" s="9"/>
      <c r="G3009" s="9"/>
      <c r="J3009" s="11"/>
      <c r="U3009" s="9"/>
      <c r="X3009" s="9"/>
    </row>
    <row r="3010">
      <c r="D3010" s="9"/>
      <c r="G3010" s="9"/>
      <c r="J3010" s="11"/>
      <c r="U3010" s="9"/>
      <c r="X3010" s="9"/>
    </row>
    <row r="3011">
      <c r="D3011" s="9"/>
      <c r="G3011" s="9"/>
      <c r="J3011" s="11"/>
      <c r="U3011" s="9"/>
      <c r="X3011" s="9"/>
    </row>
    <row r="3012">
      <c r="D3012" s="9"/>
      <c r="G3012" s="9"/>
      <c r="J3012" s="11"/>
      <c r="U3012" s="9"/>
      <c r="X3012" s="9"/>
    </row>
    <row r="3013">
      <c r="D3013" s="9"/>
      <c r="G3013" s="9"/>
      <c r="J3013" s="11"/>
      <c r="U3013" s="9"/>
      <c r="X3013" s="9"/>
    </row>
    <row r="3014">
      <c r="D3014" s="9"/>
      <c r="G3014" s="9"/>
      <c r="J3014" s="11"/>
      <c r="U3014" s="9"/>
      <c r="X3014" s="9"/>
    </row>
    <row r="3015">
      <c r="D3015" s="9"/>
      <c r="G3015" s="9"/>
      <c r="J3015" s="11"/>
      <c r="U3015" s="9"/>
      <c r="X3015" s="9"/>
    </row>
    <row r="3016">
      <c r="D3016" s="9"/>
      <c r="G3016" s="9"/>
      <c r="J3016" s="11"/>
      <c r="U3016" s="9"/>
      <c r="X3016" s="9"/>
    </row>
    <row r="3017">
      <c r="D3017" s="9"/>
      <c r="G3017" s="9"/>
      <c r="J3017" s="11"/>
      <c r="U3017" s="9"/>
      <c r="X3017" s="9"/>
    </row>
    <row r="3018">
      <c r="D3018" s="9"/>
      <c r="G3018" s="9"/>
      <c r="J3018" s="11"/>
      <c r="U3018" s="9"/>
      <c r="X3018" s="9"/>
    </row>
    <row r="3019">
      <c r="D3019" s="9"/>
      <c r="G3019" s="9"/>
      <c r="J3019" s="11"/>
      <c r="U3019" s="9"/>
      <c r="X3019" s="9"/>
    </row>
    <row r="3020">
      <c r="D3020" s="9"/>
      <c r="G3020" s="9"/>
      <c r="J3020" s="11"/>
      <c r="U3020" s="9"/>
      <c r="X3020" s="9"/>
    </row>
    <row r="3021">
      <c r="D3021" s="9"/>
      <c r="G3021" s="9"/>
      <c r="J3021" s="11"/>
      <c r="U3021" s="9"/>
      <c r="X3021" s="9"/>
    </row>
    <row r="3022">
      <c r="D3022" s="9"/>
      <c r="G3022" s="9"/>
      <c r="J3022" s="11"/>
      <c r="U3022" s="9"/>
      <c r="X3022" s="9"/>
    </row>
    <row r="3023">
      <c r="D3023" s="9"/>
      <c r="G3023" s="9"/>
      <c r="J3023" s="11"/>
      <c r="U3023" s="9"/>
      <c r="X3023" s="9"/>
    </row>
    <row r="3024">
      <c r="D3024" s="9"/>
      <c r="G3024" s="9"/>
      <c r="J3024" s="11"/>
      <c r="U3024" s="9"/>
      <c r="X3024" s="9"/>
    </row>
    <row r="3025">
      <c r="D3025" s="9"/>
      <c r="G3025" s="9"/>
      <c r="J3025" s="11"/>
      <c r="U3025" s="9"/>
      <c r="X3025" s="9"/>
    </row>
    <row r="3026">
      <c r="D3026" s="9"/>
      <c r="G3026" s="9"/>
      <c r="J3026" s="11"/>
      <c r="U3026" s="9"/>
      <c r="X3026" s="9"/>
    </row>
    <row r="3027">
      <c r="D3027" s="9"/>
      <c r="G3027" s="9"/>
      <c r="J3027" s="11"/>
      <c r="U3027" s="9"/>
      <c r="X3027" s="9"/>
    </row>
    <row r="3028">
      <c r="D3028" s="9"/>
      <c r="G3028" s="9"/>
      <c r="J3028" s="11"/>
      <c r="U3028" s="9"/>
      <c r="X3028" s="9"/>
    </row>
    <row r="3029">
      <c r="D3029" s="9"/>
      <c r="G3029" s="9"/>
      <c r="J3029" s="11"/>
      <c r="U3029" s="9"/>
      <c r="X3029" s="9"/>
    </row>
    <row r="3030">
      <c r="D3030" s="9"/>
      <c r="G3030" s="9"/>
      <c r="J3030" s="11"/>
      <c r="U3030" s="9"/>
      <c r="X3030" s="9"/>
    </row>
    <row r="3031">
      <c r="D3031" s="9"/>
      <c r="G3031" s="9"/>
      <c r="J3031" s="11"/>
      <c r="U3031" s="9"/>
      <c r="X3031" s="9"/>
    </row>
    <row r="3032">
      <c r="D3032" s="9"/>
      <c r="G3032" s="9"/>
      <c r="J3032" s="11"/>
      <c r="U3032" s="9"/>
      <c r="X3032" s="9"/>
    </row>
    <row r="3033">
      <c r="D3033" s="9"/>
      <c r="G3033" s="9"/>
      <c r="J3033" s="11"/>
      <c r="U3033" s="9"/>
      <c r="X3033" s="9"/>
    </row>
    <row r="3034">
      <c r="D3034" s="9"/>
      <c r="G3034" s="9"/>
      <c r="J3034" s="11"/>
      <c r="U3034" s="9"/>
      <c r="X3034" s="9"/>
    </row>
    <row r="3035">
      <c r="D3035" s="9"/>
      <c r="G3035" s="9"/>
      <c r="J3035" s="11"/>
      <c r="U3035" s="9"/>
      <c r="X3035" s="9"/>
    </row>
    <row r="3036">
      <c r="D3036" s="9"/>
      <c r="G3036" s="9"/>
      <c r="J3036" s="11"/>
      <c r="U3036" s="9"/>
      <c r="X3036" s="9"/>
    </row>
    <row r="3037">
      <c r="D3037" s="9"/>
      <c r="G3037" s="9"/>
      <c r="J3037" s="11"/>
      <c r="U3037" s="9"/>
      <c r="X3037" s="9"/>
    </row>
    <row r="3038">
      <c r="D3038" s="9"/>
      <c r="G3038" s="9"/>
      <c r="J3038" s="11"/>
      <c r="U3038" s="9"/>
      <c r="X3038" s="9"/>
    </row>
    <row r="3039">
      <c r="D3039" s="9"/>
      <c r="G3039" s="9"/>
      <c r="J3039" s="11"/>
      <c r="U3039" s="9"/>
      <c r="X3039" s="9"/>
    </row>
    <row r="3040">
      <c r="D3040" s="9"/>
      <c r="G3040" s="9"/>
      <c r="J3040" s="11"/>
      <c r="U3040" s="9"/>
      <c r="X3040" s="9"/>
    </row>
    <row r="3041">
      <c r="D3041" s="9"/>
      <c r="G3041" s="9"/>
      <c r="J3041" s="11"/>
      <c r="U3041" s="9"/>
      <c r="X3041" s="9"/>
    </row>
    <row r="3042">
      <c r="D3042" s="9"/>
      <c r="G3042" s="9"/>
      <c r="J3042" s="11"/>
      <c r="U3042" s="9"/>
      <c r="X3042" s="9"/>
    </row>
    <row r="3043">
      <c r="D3043" s="9"/>
      <c r="G3043" s="9"/>
      <c r="J3043" s="11"/>
      <c r="U3043" s="9"/>
      <c r="X3043" s="9"/>
    </row>
    <row r="3044">
      <c r="D3044" s="9"/>
      <c r="G3044" s="9"/>
      <c r="J3044" s="11"/>
      <c r="U3044" s="9"/>
      <c r="X3044" s="9"/>
    </row>
    <row r="3045">
      <c r="D3045" s="9"/>
      <c r="G3045" s="9"/>
      <c r="J3045" s="11"/>
      <c r="U3045" s="9"/>
      <c r="X3045" s="9"/>
    </row>
    <row r="3046">
      <c r="D3046" s="9"/>
      <c r="G3046" s="9"/>
      <c r="J3046" s="11"/>
      <c r="U3046" s="9"/>
      <c r="X3046" s="9"/>
    </row>
    <row r="3047">
      <c r="D3047" s="9"/>
      <c r="G3047" s="9"/>
      <c r="J3047" s="11"/>
      <c r="U3047" s="9"/>
      <c r="X3047" s="9"/>
    </row>
    <row r="3048">
      <c r="D3048" s="9"/>
      <c r="G3048" s="9"/>
      <c r="J3048" s="11"/>
      <c r="U3048" s="9"/>
      <c r="X3048" s="9"/>
    </row>
    <row r="3049">
      <c r="D3049" s="9"/>
      <c r="G3049" s="9"/>
      <c r="J3049" s="11"/>
      <c r="U3049" s="9"/>
      <c r="X3049" s="9"/>
    </row>
    <row r="3050">
      <c r="D3050" s="9"/>
      <c r="G3050" s="9"/>
      <c r="J3050" s="11"/>
      <c r="U3050" s="9"/>
      <c r="X3050" s="9"/>
    </row>
    <row r="3051">
      <c r="D3051" s="9"/>
      <c r="G3051" s="9"/>
      <c r="J3051" s="11"/>
      <c r="U3051" s="9"/>
      <c r="X3051" s="9"/>
    </row>
    <row r="3052">
      <c r="D3052" s="9"/>
      <c r="G3052" s="9"/>
      <c r="J3052" s="11"/>
      <c r="U3052" s="9"/>
      <c r="X3052" s="9"/>
    </row>
    <row r="3053">
      <c r="D3053" s="9"/>
      <c r="G3053" s="9"/>
      <c r="J3053" s="11"/>
      <c r="U3053" s="9"/>
      <c r="X3053" s="9"/>
    </row>
    <row r="3054">
      <c r="D3054" s="9"/>
      <c r="G3054" s="9"/>
      <c r="J3054" s="11"/>
      <c r="U3054" s="9"/>
      <c r="X3054" s="9"/>
    </row>
    <row r="3055">
      <c r="D3055" s="9"/>
      <c r="G3055" s="9"/>
      <c r="J3055" s="11"/>
      <c r="U3055" s="9"/>
      <c r="X3055" s="9"/>
    </row>
    <row r="3056">
      <c r="D3056" s="9"/>
      <c r="G3056" s="9"/>
      <c r="J3056" s="11"/>
      <c r="U3056" s="9"/>
      <c r="X3056" s="9"/>
    </row>
    <row r="3057">
      <c r="D3057" s="9"/>
      <c r="G3057" s="9"/>
      <c r="J3057" s="11"/>
      <c r="U3057" s="9"/>
      <c r="X3057" s="9"/>
    </row>
    <row r="3058">
      <c r="D3058" s="9"/>
      <c r="G3058" s="9"/>
      <c r="J3058" s="11"/>
      <c r="U3058" s="9"/>
      <c r="X3058" s="9"/>
    </row>
    <row r="3059">
      <c r="D3059" s="9"/>
      <c r="G3059" s="9"/>
      <c r="J3059" s="11"/>
      <c r="U3059" s="9"/>
      <c r="X3059" s="9"/>
    </row>
    <row r="3060">
      <c r="D3060" s="9"/>
      <c r="G3060" s="9"/>
      <c r="J3060" s="11"/>
      <c r="U3060" s="9"/>
      <c r="X3060" s="9"/>
    </row>
    <row r="3061">
      <c r="D3061" s="9"/>
      <c r="G3061" s="9"/>
      <c r="J3061" s="11"/>
      <c r="U3061" s="9"/>
      <c r="X3061" s="9"/>
    </row>
    <row r="3062">
      <c r="D3062" s="9"/>
      <c r="G3062" s="9"/>
      <c r="J3062" s="11"/>
      <c r="U3062" s="9"/>
      <c r="X3062" s="9"/>
    </row>
    <row r="3063">
      <c r="D3063" s="9"/>
      <c r="G3063" s="9"/>
      <c r="J3063" s="11"/>
      <c r="U3063" s="9"/>
      <c r="X3063" s="9"/>
    </row>
    <row r="3064">
      <c r="D3064" s="9"/>
      <c r="G3064" s="9"/>
      <c r="J3064" s="11"/>
      <c r="U3064" s="9"/>
      <c r="X3064" s="9"/>
    </row>
    <row r="3065">
      <c r="D3065" s="9"/>
      <c r="G3065" s="9"/>
      <c r="J3065" s="11"/>
      <c r="U3065" s="9"/>
      <c r="X3065" s="9"/>
    </row>
    <row r="3066">
      <c r="D3066" s="9"/>
      <c r="G3066" s="9"/>
      <c r="J3066" s="11"/>
      <c r="U3066" s="9"/>
      <c r="X3066" s="9"/>
    </row>
    <row r="3067">
      <c r="D3067" s="9"/>
      <c r="G3067" s="9"/>
      <c r="J3067" s="11"/>
      <c r="U3067" s="9"/>
      <c r="X3067" s="9"/>
    </row>
    <row r="3068">
      <c r="D3068" s="9"/>
      <c r="G3068" s="9"/>
      <c r="J3068" s="11"/>
      <c r="U3068" s="9"/>
      <c r="X3068" s="9"/>
    </row>
    <row r="3069">
      <c r="D3069" s="9"/>
      <c r="G3069" s="9"/>
      <c r="J3069" s="11"/>
      <c r="U3069" s="9"/>
      <c r="X3069" s="9"/>
    </row>
    <row r="3070">
      <c r="D3070" s="9"/>
      <c r="G3070" s="9"/>
      <c r="J3070" s="11"/>
      <c r="U3070" s="9"/>
      <c r="X3070" s="9"/>
    </row>
    <row r="3071">
      <c r="D3071" s="9"/>
      <c r="G3071" s="9"/>
      <c r="J3071" s="11"/>
      <c r="U3071" s="9"/>
      <c r="X3071" s="9"/>
    </row>
    <row r="3072">
      <c r="D3072" s="9"/>
      <c r="G3072" s="9"/>
      <c r="J3072" s="11"/>
      <c r="U3072" s="9"/>
      <c r="X3072" s="9"/>
    </row>
    <row r="3073">
      <c r="D3073" s="9"/>
      <c r="G3073" s="9"/>
      <c r="J3073" s="11"/>
      <c r="U3073" s="9"/>
      <c r="X3073" s="9"/>
    </row>
    <row r="3074">
      <c r="D3074" s="9"/>
      <c r="G3074" s="9"/>
      <c r="J3074" s="11"/>
      <c r="U3074" s="9"/>
      <c r="X3074" s="9"/>
    </row>
    <row r="3075">
      <c r="D3075" s="9"/>
      <c r="G3075" s="9"/>
      <c r="J3075" s="11"/>
      <c r="U3075" s="9"/>
      <c r="X3075" s="9"/>
    </row>
    <row r="3076">
      <c r="D3076" s="9"/>
      <c r="G3076" s="9"/>
      <c r="J3076" s="11"/>
      <c r="U3076" s="9"/>
      <c r="X3076" s="9"/>
    </row>
    <row r="3077">
      <c r="D3077" s="9"/>
      <c r="G3077" s="9"/>
      <c r="J3077" s="11"/>
      <c r="U3077" s="9"/>
      <c r="X3077" s="9"/>
    </row>
    <row r="3078">
      <c r="D3078" s="9"/>
      <c r="G3078" s="9"/>
      <c r="J3078" s="11"/>
      <c r="U3078" s="9"/>
      <c r="X3078" s="9"/>
    </row>
    <row r="3079">
      <c r="D3079" s="9"/>
      <c r="G3079" s="9"/>
      <c r="J3079" s="11"/>
      <c r="U3079" s="9"/>
      <c r="X3079" s="9"/>
    </row>
    <row r="3080">
      <c r="D3080" s="9"/>
      <c r="G3080" s="9"/>
      <c r="J3080" s="11"/>
      <c r="U3080" s="9"/>
      <c r="X3080" s="9"/>
    </row>
    <row r="3081">
      <c r="D3081" s="9"/>
      <c r="G3081" s="9"/>
      <c r="J3081" s="11"/>
      <c r="U3081" s="9"/>
      <c r="X3081" s="9"/>
    </row>
    <row r="3082">
      <c r="D3082" s="9"/>
      <c r="G3082" s="9"/>
      <c r="J3082" s="11"/>
      <c r="U3082" s="9"/>
      <c r="X3082" s="9"/>
    </row>
    <row r="3083">
      <c r="D3083" s="9"/>
      <c r="G3083" s="9"/>
      <c r="J3083" s="11"/>
      <c r="U3083" s="9"/>
      <c r="X3083" s="9"/>
    </row>
    <row r="3084">
      <c r="D3084" s="9"/>
      <c r="G3084" s="9"/>
      <c r="J3084" s="11"/>
      <c r="U3084" s="9"/>
      <c r="X3084" s="9"/>
    </row>
    <row r="3085">
      <c r="D3085" s="9"/>
      <c r="G3085" s="9"/>
      <c r="J3085" s="11"/>
      <c r="U3085" s="9"/>
      <c r="X3085" s="9"/>
    </row>
    <row r="3086">
      <c r="D3086" s="9"/>
      <c r="G3086" s="9"/>
      <c r="J3086" s="11"/>
      <c r="U3086" s="9"/>
      <c r="X3086" s="9"/>
    </row>
    <row r="3087">
      <c r="D3087" s="9"/>
      <c r="G3087" s="9"/>
      <c r="J3087" s="11"/>
      <c r="U3087" s="9"/>
      <c r="X3087" s="9"/>
    </row>
    <row r="3088">
      <c r="D3088" s="9"/>
      <c r="G3088" s="9"/>
      <c r="J3088" s="11"/>
      <c r="U3088" s="9"/>
      <c r="X3088" s="9"/>
    </row>
    <row r="3089">
      <c r="D3089" s="9"/>
      <c r="G3089" s="9"/>
      <c r="J3089" s="11"/>
      <c r="U3089" s="9"/>
      <c r="X3089" s="9"/>
    </row>
    <row r="3090">
      <c r="D3090" s="9"/>
      <c r="G3090" s="9"/>
      <c r="J3090" s="11"/>
      <c r="U3090" s="9"/>
      <c r="X3090" s="9"/>
    </row>
    <row r="3091">
      <c r="D3091" s="9"/>
      <c r="G3091" s="9"/>
      <c r="J3091" s="11"/>
      <c r="U3091" s="9"/>
      <c r="X3091" s="9"/>
    </row>
    <row r="3092">
      <c r="D3092" s="9"/>
      <c r="G3092" s="9"/>
      <c r="J3092" s="11"/>
      <c r="U3092" s="9"/>
      <c r="X3092" s="9"/>
    </row>
    <row r="3093">
      <c r="D3093" s="9"/>
      <c r="G3093" s="9"/>
      <c r="J3093" s="11"/>
      <c r="U3093" s="9"/>
      <c r="X3093" s="9"/>
    </row>
    <row r="3094">
      <c r="D3094" s="9"/>
      <c r="G3094" s="9"/>
      <c r="J3094" s="11"/>
      <c r="U3094" s="9"/>
      <c r="X3094" s="9"/>
    </row>
    <row r="3095">
      <c r="D3095" s="9"/>
      <c r="G3095" s="9"/>
      <c r="J3095" s="11"/>
      <c r="U3095" s="9"/>
      <c r="X3095" s="9"/>
    </row>
    <row r="3096">
      <c r="D3096" s="9"/>
      <c r="G3096" s="9"/>
      <c r="J3096" s="11"/>
      <c r="U3096" s="9"/>
      <c r="X3096" s="9"/>
    </row>
    <row r="3097">
      <c r="D3097" s="9"/>
      <c r="G3097" s="9"/>
      <c r="J3097" s="11"/>
      <c r="U3097" s="9"/>
      <c r="X3097" s="9"/>
    </row>
    <row r="3098">
      <c r="D3098" s="9"/>
      <c r="G3098" s="9"/>
      <c r="J3098" s="11"/>
      <c r="U3098" s="9"/>
      <c r="X3098" s="9"/>
    </row>
    <row r="3099">
      <c r="D3099" s="9"/>
      <c r="G3099" s="9"/>
      <c r="J3099" s="11"/>
      <c r="U3099" s="9"/>
      <c r="X3099" s="9"/>
    </row>
    <row r="3100">
      <c r="D3100" s="9"/>
      <c r="G3100" s="9"/>
      <c r="J3100" s="11"/>
      <c r="U3100" s="9"/>
      <c r="X3100" s="9"/>
    </row>
    <row r="3101">
      <c r="D3101" s="9"/>
      <c r="G3101" s="9"/>
      <c r="J3101" s="11"/>
      <c r="U3101" s="9"/>
      <c r="X3101" s="9"/>
    </row>
    <row r="3102">
      <c r="D3102" s="9"/>
      <c r="G3102" s="9"/>
      <c r="J3102" s="11"/>
      <c r="U3102" s="9"/>
      <c r="X3102" s="9"/>
    </row>
    <row r="3103">
      <c r="D3103" s="9"/>
      <c r="G3103" s="9"/>
      <c r="J3103" s="11"/>
      <c r="U3103" s="9"/>
      <c r="X3103" s="9"/>
    </row>
    <row r="3104">
      <c r="D3104" s="9"/>
      <c r="G3104" s="9"/>
      <c r="J3104" s="11"/>
      <c r="U3104" s="9"/>
      <c r="X3104" s="9"/>
    </row>
    <row r="3105">
      <c r="D3105" s="9"/>
      <c r="G3105" s="9"/>
      <c r="J3105" s="11"/>
      <c r="U3105" s="9"/>
      <c r="X3105" s="9"/>
    </row>
    <row r="3106">
      <c r="D3106" s="9"/>
      <c r="G3106" s="9"/>
      <c r="J3106" s="11"/>
      <c r="U3106" s="9"/>
      <c r="X3106" s="9"/>
    </row>
    <row r="3107">
      <c r="D3107" s="9"/>
      <c r="G3107" s="9"/>
      <c r="J3107" s="11"/>
      <c r="U3107" s="9"/>
      <c r="X3107" s="9"/>
    </row>
    <row r="3108">
      <c r="D3108" s="9"/>
      <c r="G3108" s="9"/>
      <c r="J3108" s="11"/>
      <c r="U3108" s="9"/>
      <c r="X3108" s="9"/>
    </row>
    <row r="3109">
      <c r="D3109" s="9"/>
      <c r="G3109" s="9"/>
      <c r="J3109" s="11"/>
      <c r="U3109" s="9"/>
      <c r="X3109" s="9"/>
    </row>
    <row r="3110">
      <c r="D3110" s="9"/>
      <c r="G3110" s="9"/>
      <c r="J3110" s="11"/>
      <c r="U3110" s="9"/>
      <c r="X3110" s="9"/>
    </row>
    <row r="3111">
      <c r="D3111" s="9"/>
      <c r="G3111" s="9"/>
      <c r="J3111" s="11"/>
      <c r="U3111" s="9"/>
      <c r="X3111" s="9"/>
    </row>
    <row r="3112">
      <c r="D3112" s="9"/>
      <c r="G3112" s="9"/>
      <c r="J3112" s="11"/>
      <c r="U3112" s="9"/>
      <c r="X3112" s="9"/>
    </row>
    <row r="3113">
      <c r="D3113" s="9"/>
      <c r="G3113" s="9"/>
      <c r="J3113" s="11"/>
      <c r="U3113" s="9"/>
      <c r="X3113" s="9"/>
    </row>
    <row r="3114">
      <c r="D3114" s="9"/>
      <c r="G3114" s="9"/>
      <c r="J3114" s="11"/>
      <c r="U3114" s="9"/>
      <c r="X3114" s="9"/>
    </row>
    <row r="3115">
      <c r="D3115" s="9"/>
      <c r="G3115" s="9"/>
      <c r="J3115" s="11"/>
      <c r="U3115" s="9"/>
      <c r="X3115" s="9"/>
    </row>
    <row r="3116">
      <c r="D3116" s="9"/>
      <c r="G3116" s="9"/>
      <c r="J3116" s="11"/>
      <c r="U3116" s="9"/>
      <c r="X3116" s="9"/>
    </row>
    <row r="3117">
      <c r="D3117" s="9"/>
      <c r="G3117" s="9"/>
      <c r="J3117" s="11"/>
      <c r="U3117" s="9"/>
      <c r="X3117" s="9"/>
    </row>
    <row r="3118">
      <c r="D3118" s="9"/>
      <c r="G3118" s="9"/>
      <c r="J3118" s="11"/>
      <c r="U3118" s="9"/>
      <c r="X3118" s="9"/>
    </row>
    <row r="3119">
      <c r="D3119" s="9"/>
      <c r="G3119" s="9"/>
      <c r="J3119" s="11"/>
      <c r="U3119" s="9"/>
      <c r="X3119" s="9"/>
    </row>
    <row r="3120">
      <c r="D3120" s="9"/>
      <c r="G3120" s="9"/>
      <c r="J3120" s="11"/>
      <c r="U3120" s="9"/>
      <c r="X3120" s="9"/>
    </row>
    <row r="3121">
      <c r="D3121" s="9"/>
      <c r="G3121" s="9"/>
      <c r="J3121" s="11"/>
      <c r="U3121" s="9"/>
      <c r="X3121" s="9"/>
    </row>
    <row r="3122">
      <c r="D3122" s="9"/>
      <c r="G3122" s="9"/>
      <c r="J3122" s="11"/>
      <c r="U3122" s="9"/>
      <c r="X3122" s="9"/>
    </row>
    <row r="3123">
      <c r="D3123" s="9"/>
      <c r="G3123" s="9"/>
      <c r="J3123" s="11"/>
      <c r="U3123" s="9"/>
      <c r="X3123" s="9"/>
    </row>
    <row r="3124">
      <c r="D3124" s="9"/>
      <c r="G3124" s="9"/>
      <c r="J3124" s="11"/>
      <c r="U3124" s="9"/>
      <c r="X3124" s="9"/>
    </row>
    <row r="3125">
      <c r="D3125" s="9"/>
      <c r="G3125" s="9"/>
      <c r="J3125" s="11"/>
      <c r="U3125" s="9"/>
      <c r="X3125" s="9"/>
    </row>
    <row r="3126">
      <c r="D3126" s="9"/>
      <c r="G3126" s="9"/>
      <c r="J3126" s="11"/>
      <c r="U3126" s="9"/>
      <c r="X3126" s="9"/>
    </row>
    <row r="3127">
      <c r="D3127" s="9"/>
      <c r="G3127" s="9"/>
      <c r="J3127" s="11"/>
      <c r="U3127" s="9"/>
      <c r="X3127" s="9"/>
    </row>
    <row r="3128">
      <c r="D3128" s="9"/>
      <c r="G3128" s="9"/>
      <c r="J3128" s="11"/>
      <c r="U3128" s="9"/>
      <c r="X3128" s="9"/>
    </row>
    <row r="3129">
      <c r="D3129" s="9"/>
      <c r="G3129" s="9"/>
      <c r="J3129" s="11"/>
      <c r="U3129" s="9"/>
      <c r="X3129" s="9"/>
    </row>
    <row r="3130">
      <c r="D3130" s="9"/>
      <c r="G3130" s="9"/>
      <c r="J3130" s="11"/>
      <c r="U3130" s="9"/>
      <c r="X3130" s="9"/>
    </row>
    <row r="3131">
      <c r="D3131" s="9"/>
      <c r="G3131" s="9"/>
      <c r="J3131" s="11"/>
      <c r="U3131" s="9"/>
      <c r="X3131" s="9"/>
    </row>
    <row r="3132">
      <c r="D3132" s="9"/>
      <c r="G3132" s="9"/>
      <c r="J3132" s="11"/>
      <c r="U3132" s="9"/>
      <c r="X3132" s="9"/>
    </row>
    <row r="3133">
      <c r="D3133" s="9"/>
      <c r="G3133" s="9"/>
      <c r="J3133" s="11"/>
      <c r="U3133" s="9"/>
      <c r="X3133" s="9"/>
    </row>
    <row r="3134">
      <c r="D3134" s="9"/>
      <c r="G3134" s="9"/>
      <c r="J3134" s="11"/>
      <c r="U3134" s="9"/>
      <c r="X3134" s="9"/>
    </row>
    <row r="3135">
      <c r="D3135" s="9"/>
      <c r="G3135" s="9"/>
      <c r="J3135" s="11"/>
      <c r="U3135" s="9"/>
      <c r="X3135" s="9"/>
    </row>
    <row r="3136">
      <c r="D3136" s="9"/>
      <c r="G3136" s="9"/>
      <c r="J3136" s="11"/>
      <c r="U3136" s="9"/>
      <c r="X3136" s="9"/>
    </row>
    <row r="3137">
      <c r="D3137" s="9"/>
      <c r="G3137" s="9"/>
      <c r="J3137" s="11"/>
      <c r="U3137" s="9"/>
      <c r="X3137" s="9"/>
    </row>
    <row r="3138">
      <c r="D3138" s="9"/>
      <c r="G3138" s="9"/>
      <c r="J3138" s="11"/>
      <c r="U3138" s="9"/>
      <c r="X3138" s="9"/>
    </row>
    <row r="3139">
      <c r="D3139" s="9"/>
      <c r="G3139" s="9"/>
      <c r="J3139" s="11"/>
      <c r="U3139" s="9"/>
      <c r="X3139" s="9"/>
    </row>
    <row r="3140">
      <c r="D3140" s="9"/>
      <c r="G3140" s="9"/>
      <c r="J3140" s="11"/>
      <c r="U3140" s="9"/>
      <c r="X3140" s="9"/>
    </row>
    <row r="3141">
      <c r="D3141" s="9"/>
      <c r="G3141" s="9"/>
      <c r="J3141" s="11"/>
      <c r="U3141" s="9"/>
      <c r="X3141" s="9"/>
    </row>
    <row r="3142">
      <c r="D3142" s="9"/>
      <c r="G3142" s="9"/>
      <c r="J3142" s="11"/>
      <c r="U3142" s="9"/>
      <c r="X3142" s="9"/>
    </row>
    <row r="3143">
      <c r="D3143" s="9"/>
      <c r="G3143" s="9"/>
      <c r="J3143" s="11"/>
      <c r="U3143" s="9"/>
      <c r="X3143" s="9"/>
    </row>
    <row r="3144">
      <c r="D3144" s="9"/>
      <c r="G3144" s="9"/>
      <c r="J3144" s="11"/>
      <c r="U3144" s="9"/>
      <c r="X3144" s="9"/>
    </row>
    <row r="3145">
      <c r="D3145" s="9"/>
      <c r="G3145" s="9"/>
      <c r="J3145" s="11"/>
      <c r="U3145" s="9"/>
      <c r="X3145" s="9"/>
    </row>
    <row r="3146">
      <c r="D3146" s="9"/>
      <c r="G3146" s="9"/>
      <c r="J3146" s="11"/>
      <c r="U3146" s="9"/>
      <c r="X3146" s="9"/>
    </row>
    <row r="3147">
      <c r="D3147" s="9"/>
      <c r="G3147" s="9"/>
      <c r="J3147" s="11"/>
      <c r="U3147" s="9"/>
      <c r="X3147" s="9"/>
    </row>
    <row r="3148">
      <c r="D3148" s="9"/>
      <c r="G3148" s="9"/>
      <c r="J3148" s="11"/>
      <c r="U3148" s="9"/>
      <c r="X3148" s="9"/>
    </row>
    <row r="3149">
      <c r="D3149" s="9"/>
      <c r="G3149" s="9"/>
      <c r="J3149" s="11"/>
      <c r="U3149" s="9"/>
      <c r="X3149" s="9"/>
    </row>
    <row r="3150">
      <c r="D3150" s="9"/>
      <c r="G3150" s="9"/>
      <c r="J3150" s="11"/>
      <c r="U3150" s="9"/>
      <c r="X3150" s="9"/>
    </row>
    <row r="3151">
      <c r="D3151" s="9"/>
      <c r="G3151" s="9"/>
      <c r="J3151" s="11"/>
      <c r="U3151" s="9"/>
      <c r="X3151" s="9"/>
    </row>
    <row r="3152">
      <c r="D3152" s="9"/>
      <c r="G3152" s="9"/>
      <c r="J3152" s="11"/>
      <c r="U3152" s="9"/>
      <c r="X3152" s="9"/>
    </row>
    <row r="3153">
      <c r="D3153" s="9"/>
      <c r="G3153" s="9"/>
      <c r="J3153" s="11"/>
      <c r="U3153" s="9"/>
      <c r="X3153" s="9"/>
    </row>
    <row r="3154">
      <c r="D3154" s="9"/>
      <c r="G3154" s="9"/>
      <c r="J3154" s="11"/>
      <c r="U3154" s="9"/>
      <c r="X3154" s="9"/>
    </row>
    <row r="3155">
      <c r="D3155" s="9"/>
      <c r="G3155" s="9"/>
      <c r="J3155" s="11"/>
      <c r="U3155" s="9"/>
      <c r="X3155" s="9"/>
    </row>
    <row r="3156">
      <c r="D3156" s="9"/>
      <c r="G3156" s="9"/>
      <c r="J3156" s="11"/>
      <c r="U3156" s="9"/>
      <c r="X3156" s="9"/>
    </row>
    <row r="3157">
      <c r="D3157" s="9"/>
      <c r="G3157" s="9"/>
      <c r="J3157" s="11"/>
      <c r="U3157" s="9"/>
      <c r="X3157" s="9"/>
    </row>
    <row r="3158">
      <c r="D3158" s="9"/>
      <c r="G3158" s="9"/>
      <c r="J3158" s="11"/>
      <c r="U3158" s="9"/>
      <c r="X3158" s="9"/>
    </row>
    <row r="3159">
      <c r="D3159" s="9"/>
      <c r="G3159" s="9"/>
      <c r="J3159" s="11"/>
      <c r="U3159" s="9"/>
      <c r="X3159" s="9"/>
    </row>
    <row r="3160">
      <c r="D3160" s="9"/>
      <c r="G3160" s="9"/>
      <c r="J3160" s="11"/>
      <c r="U3160" s="9"/>
      <c r="X3160" s="9"/>
    </row>
    <row r="3161">
      <c r="D3161" s="9"/>
      <c r="G3161" s="9"/>
      <c r="J3161" s="11"/>
      <c r="U3161" s="9"/>
      <c r="X3161" s="9"/>
    </row>
    <row r="3162">
      <c r="D3162" s="9"/>
      <c r="G3162" s="9"/>
      <c r="J3162" s="11"/>
      <c r="U3162" s="9"/>
      <c r="X3162" s="9"/>
    </row>
    <row r="3163">
      <c r="D3163" s="9"/>
      <c r="G3163" s="9"/>
      <c r="J3163" s="11"/>
      <c r="U3163" s="9"/>
      <c r="X3163" s="9"/>
    </row>
    <row r="3164">
      <c r="D3164" s="9"/>
      <c r="G3164" s="9"/>
      <c r="J3164" s="11"/>
      <c r="U3164" s="9"/>
      <c r="X3164" s="9"/>
    </row>
    <row r="3165">
      <c r="D3165" s="9"/>
      <c r="G3165" s="9"/>
      <c r="J3165" s="11"/>
      <c r="U3165" s="9"/>
      <c r="X3165" s="9"/>
    </row>
    <row r="3166">
      <c r="D3166" s="9"/>
      <c r="G3166" s="9"/>
      <c r="J3166" s="11"/>
      <c r="U3166" s="9"/>
      <c r="X3166" s="9"/>
    </row>
    <row r="3167">
      <c r="D3167" s="9"/>
      <c r="G3167" s="9"/>
      <c r="J3167" s="11"/>
      <c r="U3167" s="9"/>
      <c r="X3167" s="9"/>
    </row>
    <row r="3168">
      <c r="D3168" s="9"/>
      <c r="G3168" s="9"/>
      <c r="J3168" s="11"/>
      <c r="U3168" s="9"/>
      <c r="X3168" s="9"/>
    </row>
    <row r="3169">
      <c r="D3169" s="9"/>
      <c r="G3169" s="9"/>
      <c r="J3169" s="11"/>
      <c r="U3169" s="9"/>
      <c r="X3169" s="9"/>
    </row>
    <row r="3170">
      <c r="D3170" s="9"/>
      <c r="G3170" s="9"/>
      <c r="J3170" s="11"/>
      <c r="U3170" s="9"/>
      <c r="X3170" s="9"/>
    </row>
    <row r="3171">
      <c r="D3171" s="9"/>
      <c r="G3171" s="9"/>
      <c r="J3171" s="11"/>
      <c r="U3171" s="9"/>
      <c r="X3171" s="9"/>
    </row>
    <row r="3172">
      <c r="D3172" s="9"/>
      <c r="G3172" s="9"/>
      <c r="J3172" s="11"/>
      <c r="U3172" s="9"/>
      <c r="X3172" s="9"/>
    </row>
    <row r="3173">
      <c r="D3173" s="9"/>
      <c r="G3173" s="9"/>
      <c r="J3173" s="11"/>
      <c r="U3173" s="9"/>
      <c r="X3173" s="9"/>
    </row>
    <row r="3174">
      <c r="D3174" s="9"/>
      <c r="G3174" s="9"/>
      <c r="J3174" s="11"/>
      <c r="U3174" s="9"/>
      <c r="X3174" s="9"/>
    </row>
    <row r="3175">
      <c r="D3175" s="9"/>
      <c r="G3175" s="9"/>
      <c r="J3175" s="11"/>
      <c r="U3175" s="9"/>
      <c r="X3175" s="9"/>
    </row>
    <row r="3176">
      <c r="D3176" s="9"/>
      <c r="G3176" s="9"/>
      <c r="J3176" s="11"/>
      <c r="U3176" s="9"/>
      <c r="X3176" s="9"/>
    </row>
    <row r="3177">
      <c r="D3177" s="9"/>
      <c r="G3177" s="9"/>
      <c r="J3177" s="11"/>
      <c r="U3177" s="9"/>
      <c r="X3177" s="9"/>
    </row>
    <row r="3178">
      <c r="D3178" s="9"/>
      <c r="G3178" s="9"/>
      <c r="J3178" s="11"/>
      <c r="U3178" s="9"/>
      <c r="X3178" s="9"/>
    </row>
    <row r="3179">
      <c r="D3179" s="9"/>
      <c r="G3179" s="9"/>
      <c r="J3179" s="11"/>
      <c r="U3179" s="9"/>
      <c r="X3179" s="9"/>
    </row>
    <row r="3180">
      <c r="D3180" s="9"/>
      <c r="G3180" s="9"/>
      <c r="J3180" s="11"/>
      <c r="U3180" s="9"/>
      <c r="X3180" s="9"/>
    </row>
    <row r="3181">
      <c r="D3181" s="9"/>
      <c r="G3181" s="9"/>
      <c r="J3181" s="11"/>
      <c r="U3181" s="9"/>
      <c r="X3181" s="9"/>
    </row>
    <row r="3182">
      <c r="D3182" s="9"/>
      <c r="G3182" s="9"/>
      <c r="J3182" s="11"/>
      <c r="U3182" s="9"/>
      <c r="X3182" s="9"/>
    </row>
    <row r="3183">
      <c r="D3183" s="9"/>
      <c r="G3183" s="9"/>
      <c r="J3183" s="11"/>
      <c r="U3183" s="9"/>
      <c r="X3183" s="9"/>
    </row>
    <row r="3184">
      <c r="D3184" s="9"/>
      <c r="G3184" s="9"/>
      <c r="J3184" s="11"/>
      <c r="U3184" s="9"/>
      <c r="X3184" s="9"/>
    </row>
    <row r="3185">
      <c r="D3185" s="9"/>
      <c r="G3185" s="9"/>
      <c r="J3185" s="11"/>
      <c r="U3185" s="9"/>
      <c r="X3185" s="9"/>
    </row>
    <row r="3186">
      <c r="D3186" s="9"/>
      <c r="G3186" s="9"/>
      <c r="J3186" s="11"/>
      <c r="U3186" s="9"/>
      <c r="X3186" s="9"/>
    </row>
    <row r="3187">
      <c r="D3187" s="9"/>
      <c r="G3187" s="9"/>
      <c r="J3187" s="11"/>
      <c r="U3187" s="9"/>
      <c r="X3187" s="9"/>
    </row>
    <row r="3188">
      <c r="D3188" s="9"/>
      <c r="G3188" s="9"/>
      <c r="J3188" s="11"/>
      <c r="U3188" s="9"/>
      <c r="X3188" s="9"/>
    </row>
    <row r="3189">
      <c r="D3189" s="9"/>
      <c r="G3189" s="9"/>
      <c r="J3189" s="11"/>
      <c r="U3189" s="9"/>
      <c r="X3189" s="9"/>
    </row>
    <row r="3190">
      <c r="D3190" s="9"/>
      <c r="G3190" s="9"/>
      <c r="J3190" s="11"/>
      <c r="U3190" s="9"/>
      <c r="X3190" s="9"/>
    </row>
    <row r="3191">
      <c r="D3191" s="9"/>
      <c r="G3191" s="9"/>
      <c r="J3191" s="11"/>
      <c r="U3191" s="9"/>
      <c r="X3191" s="9"/>
    </row>
    <row r="3192">
      <c r="D3192" s="9"/>
      <c r="G3192" s="9"/>
      <c r="J3192" s="11"/>
      <c r="U3192" s="9"/>
      <c r="X3192" s="9"/>
    </row>
    <row r="3193">
      <c r="D3193" s="9"/>
      <c r="G3193" s="9"/>
      <c r="J3193" s="11"/>
      <c r="U3193" s="9"/>
      <c r="X3193" s="9"/>
    </row>
    <row r="3194">
      <c r="D3194" s="9"/>
      <c r="G3194" s="9"/>
      <c r="J3194" s="11"/>
      <c r="U3194" s="9"/>
      <c r="X3194" s="9"/>
    </row>
    <row r="3195">
      <c r="D3195" s="9"/>
      <c r="G3195" s="9"/>
      <c r="J3195" s="11"/>
      <c r="U3195" s="9"/>
      <c r="X3195" s="9"/>
    </row>
    <row r="3196">
      <c r="D3196" s="9"/>
      <c r="G3196" s="9"/>
      <c r="J3196" s="11"/>
      <c r="U3196" s="9"/>
      <c r="X3196" s="9"/>
    </row>
    <row r="3197">
      <c r="D3197" s="9"/>
      <c r="G3197" s="9"/>
      <c r="J3197" s="11"/>
      <c r="U3197" s="9"/>
      <c r="X3197" s="9"/>
    </row>
    <row r="3198">
      <c r="D3198" s="9"/>
      <c r="G3198" s="9"/>
      <c r="J3198" s="11"/>
      <c r="U3198" s="9"/>
      <c r="X3198" s="9"/>
    </row>
    <row r="3199">
      <c r="D3199" s="9"/>
      <c r="G3199" s="9"/>
      <c r="J3199" s="11"/>
      <c r="U3199" s="9"/>
      <c r="X3199" s="9"/>
    </row>
    <row r="3200">
      <c r="D3200" s="9"/>
      <c r="G3200" s="9"/>
      <c r="J3200" s="11"/>
      <c r="U3200" s="9"/>
      <c r="X3200" s="9"/>
    </row>
    <row r="3201">
      <c r="D3201" s="9"/>
      <c r="G3201" s="9"/>
      <c r="J3201" s="11"/>
      <c r="U3201" s="9"/>
      <c r="X3201" s="9"/>
    </row>
    <row r="3202">
      <c r="D3202" s="9"/>
      <c r="G3202" s="9"/>
      <c r="J3202" s="11"/>
      <c r="U3202" s="9"/>
      <c r="X3202" s="9"/>
    </row>
    <row r="3203">
      <c r="D3203" s="9"/>
      <c r="G3203" s="9"/>
      <c r="J3203" s="11"/>
      <c r="U3203" s="9"/>
      <c r="X3203" s="9"/>
    </row>
    <row r="3204">
      <c r="D3204" s="9"/>
      <c r="G3204" s="9"/>
      <c r="J3204" s="11"/>
      <c r="U3204" s="9"/>
      <c r="X3204" s="9"/>
    </row>
    <row r="3205">
      <c r="D3205" s="9"/>
      <c r="G3205" s="9"/>
      <c r="J3205" s="11"/>
      <c r="U3205" s="9"/>
      <c r="X3205" s="9"/>
    </row>
    <row r="3206">
      <c r="D3206" s="9"/>
      <c r="G3206" s="9"/>
      <c r="J3206" s="11"/>
      <c r="U3206" s="9"/>
      <c r="X3206" s="9"/>
    </row>
    <row r="3207">
      <c r="D3207" s="9"/>
      <c r="G3207" s="9"/>
      <c r="J3207" s="11"/>
      <c r="U3207" s="9"/>
      <c r="X3207" s="9"/>
    </row>
    <row r="3208">
      <c r="D3208" s="9"/>
      <c r="G3208" s="9"/>
      <c r="J3208" s="11"/>
      <c r="U3208" s="9"/>
      <c r="X3208" s="9"/>
    </row>
    <row r="3209">
      <c r="D3209" s="9"/>
      <c r="G3209" s="9"/>
      <c r="J3209" s="11"/>
      <c r="U3209" s="9"/>
      <c r="X3209" s="9"/>
    </row>
    <row r="3210">
      <c r="D3210" s="9"/>
      <c r="G3210" s="9"/>
      <c r="J3210" s="11"/>
      <c r="U3210" s="9"/>
      <c r="X3210" s="9"/>
    </row>
    <row r="3211">
      <c r="D3211" s="9"/>
      <c r="G3211" s="9"/>
      <c r="J3211" s="11"/>
      <c r="U3211" s="9"/>
      <c r="X3211" s="9"/>
    </row>
    <row r="3212">
      <c r="D3212" s="9"/>
      <c r="G3212" s="9"/>
      <c r="J3212" s="11"/>
      <c r="U3212" s="9"/>
      <c r="X3212" s="9"/>
    </row>
    <row r="3213">
      <c r="D3213" s="9"/>
      <c r="G3213" s="9"/>
      <c r="J3213" s="11"/>
      <c r="U3213" s="9"/>
      <c r="X3213" s="9"/>
    </row>
    <row r="3214">
      <c r="D3214" s="9"/>
      <c r="G3214" s="9"/>
      <c r="J3214" s="11"/>
      <c r="U3214" s="9"/>
      <c r="X3214" s="9"/>
    </row>
    <row r="3215">
      <c r="D3215" s="9"/>
      <c r="G3215" s="9"/>
      <c r="J3215" s="11"/>
      <c r="U3215" s="9"/>
      <c r="X3215" s="9"/>
    </row>
    <row r="3216">
      <c r="D3216" s="9"/>
      <c r="G3216" s="9"/>
      <c r="J3216" s="11"/>
      <c r="U3216" s="9"/>
      <c r="X3216" s="9"/>
    </row>
    <row r="3217">
      <c r="D3217" s="9"/>
      <c r="G3217" s="9"/>
      <c r="J3217" s="11"/>
      <c r="U3217" s="9"/>
      <c r="X3217" s="9"/>
    </row>
    <row r="3218">
      <c r="D3218" s="9"/>
      <c r="G3218" s="9"/>
      <c r="J3218" s="11"/>
      <c r="U3218" s="9"/>
      <c r="X3218" s="9"/>
    </row>
    <row r="3219">
      <c r="D3219" s="9"/>
      <c r="G3219" s="9"/>
      <c r="J3219" s="11"/>
      <c r="U3219" s="9"/>
      <c r="X3219" s="9"/>
    </row>
    <row r="3220">
      <c r="D3220" s="9"/>
      <c r="G3220" s="9"/>
      <c r="J3220" s="11"/>
      <c r="U3220" s="9"/>
      <c r="X3220" s="9"/>
    </row>
    <row r="3221">
      <c r="D3221" s="9"/>
      <c r="G3221" s="9"/>
      <c r="J3221" s="11"/>
      <c r="U3221" s="9"/>
      <c r="X3221" s="9"/>
    </row>
    <row r="3222">
      <c r="D3222" s="9"/>
      <c r="G3222" s="9"/>
      <c r="J3222" s="11"/>
      <c r="U3222" s="9"/>
      <c r="X3222" s="9"/>
    </row>
    <row r="3223">
      <c r="D3223" s="9"/>
      <c r="G3223" s="9"/>
      <c r="J3223" s="11"/>
      <c r="U3223" s="9"/>
      <c r="X3223" s="9"/>
    </row>
    <row r="3224">
      <c r="D3224" s="9"/>
      <c r="G3224" s="9"/>
      <c r="J3224" s="11"/>
      <c r="U3224" s="9"/>
      <c r="X3224" s="9"/>
    </row>
    <row r="3225">
      <c r="D3225" s="9"/>
      <c r="G3225" s="9"/>
      <c r="J3225" s="11"/>
      <c r="U3225" s="9"/>
      <c r="X3225" s="9"/>
    </row>
    <row r="3226">
      <c r="D3226" s="9"/>
      <c r="G3226" s="9"/>
      <c r="J3226" s="11"/>
      <c r="U3226" s="9"/>
      <c r="X3226" s="9"/>
    </row>
    <row r="3227">
      <c r="D3227" s="9"/>
      <c r="G3227" s="9"/>
      <c r="J3227" s="11"/>
      <c r="U3227" s="9"/>
      <c r="X3227" s="9"/>
    </row>
    <row r="3228">
      <c r="D3228" s="9"/>
      <c r="G3228" s="9"/>
      <c r="J3228" s="11"/>
      <c r="U3228" s="9"/>
      <c r="X3228" s="9"/>
    </row>
    <row r="3229">
      <c r="D3229" s="9"/>
      <c r="G3229" s="9"/>
      <c r="J3229" s="11"/>
      <c r="U3229" s="9"/>
      <c r="X3229" s="9"/>
    </row>
    <row r="3230">
      <c r="D3230" s="9"/>
      <c r="G3230" s="9"/>
      <c r="J3230" s="11"/>
      <c r="U3230" s="9"/>
      <c r="X3230" s="9"/>
    </row>
    <row r="3231">
      <c r="D3231" s="9"/>
      <c r="G3231" s="9"/>
      <c r="J3231" s="11"/>
      <c r="U3231" s="9"/>
      <c r="X3231" s="9"/>
    </row>
    <row r="3232">
      <c r="D3232" s="9"/>
      <c r="G3232" s="9"/>
      <c r="J3232" s="11"/>
      <c r="U3232" s="9"/>
      <c r="X3232" s="9"/>
    </row>
    <row r="3233">
      <c r="D3233" s="9"/>
      <c r="G3233" s="9"/>
      <c r="J3233" s="11"/>
      <c r="U3233" s="9"/>
      <c r="X3233" s="9"/>
    </row>
    <row r="3234">
      <c r="D3234" s="9"/>
      <c r="G3234" s="9"/>
      <c r="J3234" s="11"/>
      <c r="U3234" s="9"/>
      <c r="X3234" s="9"/>
    </row>
    <row r="3235">
      <c r="D3235" s="9"/>
      <c r="G3235" s="9"/>
      <c r="J3235" s="11"/>
      <c r="U3235" s="9"/>
      <c r="X3235" s="9"/>
    </row>
    <row r="3236">
      <c r="D3236" s="9"/>
      <c r="G3236" s="9"/>
      <c r="J3236" s="11"/>
      <c r="U3236" s="9"/>
      <c r="X3236" s="9"/>
    </row>
    <row r="3237">
      <c r="D3237" s="9"/>
      <c r="G3237" s="9"/>
      <c r="J3237" s="11"/>
      <c r="U3237" s="9"/>
      <c r="X3237" s="9"/>
    </row>
    <row r="3238">
      <c r="D3238" s="9"/>
      <c r="G3238" s="9"/>
      <c r="J3238" s="11"/>
      <c r="U3238" s="9"/>
      <c r="X3238" s="9"/>
    </row>
    <row r="3239">
      <c r="D3239" s="9"/>
      <c r="G3239" s="9"/>
      <c r="J3239" s="11"/>
      <c r="U3239" s="9"/>
      <c r="X3239" s="9"/>
    </row>
    <row r="3240">
      <c r="D3240" s="9"/>
      <c r="G3240" s="9"/>
      <c r="J3240" s="11"/>
      <c r="U3240" s="9"/>
      <c r="X3240" s="9"/>
    </row>
    <row r="3241">
      <c r="D3241" s="9"/>
      <c r="G3241" s="9"/>
      <c r="J3241" s="11"/>
      <c r="U3241" s="9"/>
      <c r="X3241" s="9"/>
    </row>
    <row r="3242">
      <c r="D3242" s="9"/>
      <c r="G3242" s="9"/>
      <c r="J3242" s="11"/>
      <c r="U3242" s="9"/>
      <c r="X3242" s="9"/>
    </row>
    <row r="3243">
      <c r="D3243" s="9"/>
      <c r="G3243" s="9"/>
      <c r="J3243" s="11"/>
      <c r="U3243" s="9"/>
      <c r="X3243" s="9"/>
    </row>
    <row r="3244">
      <c r="D3244" s="9"/>
      <c r="G3244" s="9"/>
      <c r="J3244" s="11"/>
      <c r="U3244" s="9"/>
      <c r="X3244" s="9"/>
    </row>
    <row r="3245">
      <c r="D3245" s="9"/>
      <c r="G3245" s="9"/>
      <c r="J3245" s="11"/>
      <c r="U3245" s="9"/>
      <c r="X3245" s="9"/>
    </row>
    <row r="3246">
      <c r="D3246" s="9"/>
      <c r="G3246" s="9"/>
      <c r="J3246" s="11"/>
      <c r="U3246" s="9"/>
      <c r="X3246" s="9"/>
    </row>
    <row r="3247">
      <c r="D3247" s="9"/>
      <c r="G3247" s="9"/>
      <c r="J3247" s="11"/>
      <c r="U3247" s="9"/>
      <c r="X3247" s="9"/>
    </row>
    <row r="3248">
      <c r="D3248" s="9"/>
      <c r="G3248" s="9"/>
      <c r="J3248" s="11"/>
      <c r="U3248" s="9"/>
      <c r="X3248" s="9"/>
    </row>
    <row r="3249">
      <c r="D3249" s="9"/>
      <c r="G3249" s="9"/>
      <c r="J3249" s="11"/>
      <c r="U3249" s="9"/>
      <c r="X3249" s="9"/>
    </row>
    <row r="3250">
      <c r="D3250" s="9"/>
      <c r="G3250" s="9"/>
      <c r="J3250" s="11"/>
      <c r="U3250" s="9"/>
      <c r="X3250" s="9"/>
    </row>
    <row r="3251">
      <c r="D3251" s="9"/>
      <c r="G3251" s="9"/>
      <c r="J3251" s="11"/>
      <c r="U3251" s="9"/>
      <c r="X3251" s="9"/>
    </row>
    <row r="3252">
      <c r="D3252" s="9"/>
      <c r="G3252" s="9"/>
      <c r="J3252" s="11"/>
      <c r="U3252" s="9"/>
      <c r="X3252" s="9"/>
    </row>
    <row r="3253">
      <c r="D3253" s="9"/>
      <c r="G3253" s="9"/>
      <c r="J3253" s="11"/>
      <c r="U3253" s="9"/>
      <c r="X3253" s="9"/>
    </row>
    <row r="3254">
      <c r="D3254" s="9"/>
      <c r="G3254" s="9"/>
      <c r="J3254" s="11"/>
      <c r="U3254" s="9"/>
      <c r="X3254" s="9"/>
    </row>
    <row r="3255">
      <c r="D3255" s="9"/>
      <c r="G3255" s="9"/>
      <c r="J3255" s="11"/>
      <c r="U3255" s="9"/>
      <c r="X3255" s="9"/>
    </row>
    <row r="3256">
      <c r="D3256" s="9"/>
      <c r="G3256" s="9"/>
      <c r="J3256" s="11"/>
      <c r="U3256" s="9"/>
      <c r="X3256" s="9"/>
    </row>
    <row r="3257">
      <c r="D3257" s="9"/>
      <c r="G3257" s="9"/>
      <c r="J3257" s="11"/>
      <c r="U3257" s="9"/>
      <c r="X3257" s="9"/>
    </row>
    <row r="3258">
      <c r="D3258" s="9"/>
      <c r="G3258" s="9"/>
      <c r="J3258" s="11"/>
      <c r="U3258" s="9"/>
      <c r="X3258" s="9"/>
    </row>
    <row r="3259">
      <c r="D3259" s="9"/>
      <c r="G3259" s="9"/>
      <c r="J3259" s="11"/>
      <c r="U3259" s="9"/>
      <c r="X3259" s="9"/>
    </row>
    <row r="3260">
      <c r="D3260" s="9"/>
      <c r="G3260" s="9"/>
      <c r="J3260" s="11"/>
      <c r="U3260" s="9"/>
      <c r="X3260" s="9"/>
    </row>
    <row r="3261">
      <c r="D3261" s="9"/>
      <c r="G3261" s="9"/>
      <c r="J3261" s="11"/>
      <c r="U3261" s="9"/>
      <c r="X3261" s="9"/>
    </row>
    <row r="3262">
      <c r="D3262" s="9"/>
      <c r="G3262" s="9"/>
      <c r="J3262" s="11"/>
      <c r="U3262" s="9"/>
      <c r="X3262" s="9"/>
    </row>
    <row r="3263">
      <c r="D3263" s="9"/>
      <c r="G3263" s="9"/>
      <c r="J3263" s="11"/>
      <c r="U3263" s="9"/>
      <c r="X3263" s="9"/>
    </row>
    <row r="3264">
      <c r="D3264" s="9"/>
      <c r="G3264" s="9"/>
      <c r="J3264" s="11"/>
      <c r="U3264" s="9"/>
      <c r="X3264" s="9"/>
    </row>
    <row r="3265">
      <c r="D3265" s="9"/>
      <c r="G3265" s="9"/>
      <c r="J3265" s="11"/>
      <c r="U3265" s="9"/>
      <c r="X3265" s="9"/>
    </row>
    <row r="3266">
      <c r="D3266" s="9"/>
      <c r="G3266" s="9"/>
      <c r="J3266" s="11"/>
      <c r="U3266" s="9"/>
      <c r="X3266" s="9"/>
    </row>
    <row r="3267">
      <c r="D3267" s="9"/>
      <c r="G3267" s="9"/>
      <c r="J3267" s="11"/>
      <c r="U3267" s="9"/>
      <c r="X3267" s="9"/>
    </row>
    <row r="3268">
      <c r="D3268" s="9"/>
      <c r="G3268" s="9"/>
      <c r="J3268" s="11"/>
      <c r="U3268" s="9"/>
      <c r="X3268" s="9"/>
    </row>
    <row r="3269">
      <c r="D3269" s="9"/>
      <c r="G3269" s="9"/>
      <c r="J3269" s="11"/>
      <c r="U3269" s="9"/>
      <c r="X3269" s="9"/>
    </row>
    <row r="3270">
      <c r="D3270" s="9"/>
      <c r="G3270" s="9"/>
      <c r="J3270" s="11"/>
      <c r="U3270" s="9"/>
      <c r="X3270" s="9"/>
    </row>
    <row r="3271">
      <c r="D3271" s="9"/>
      <c r="G3271" s="9"/>
      <c r="J3271" s="11"/>
      <c r="U3271" s="9"/>
      <c r="X3271" s="9"/>
    </row>
    <row r="3272">
      <c r="D3272" s="9"/>
      <c r="G3272" s="9"/>
      <c r="J3272" s="11"/>
      <c r="U3272" s="9"/>
      <c r="X3272" s="9"/>
    </row>
    <row r="3273">
      <c r="D3273" s="9"/>
      <c r="G3273" s="9"/>
      <c r="J3273" s="11"/>
      <c r="U3273" s="9"/>
      <c r="X3273" s="9"/>
    </row>
    <row r="3274">
      <c r="D3274" s="9"/>
      <c r="G3274" s="9"/>
      <c r="J3274" s="11"/>
      <c r="U3274" s="9"/>
      <c r="X3274" s="9"/>
    </row>
    <row r="3275">
      <c r="D3275" s="9"/>
      <c r="G3275" s="9"/>
      <c r="J3275" s="11"/>
      <c r="U3275" s="9"/>
      <c r="X3275" s="9"/>
    </row>
    <row r="3276">
      <c r="D3276" s="9"/>
      <c r="G3276" s="9"/>
      <c r="J3276" s="11"/>
      <c r="U3276" s="9"/>
      <c r="X3276" s="9"/>
    </row>
    <row r="3277">
      <c r="D3277" s="9"/>
      <c r="G3277" s="9"/>
      <c r="J3277" s="11"/>
      <c r="U3277" s="9"/>
      <c r="X3277" s="9"/>
    </row>
    <row r="3278">
      <c r="D3278" s="9"/>
      <c r="G3278" s="9"/>
      <c r="J3278" s="11"/>
      <c r="U3278" s="9"/>
      <c r="X3278" s="9"/>
    </row>
    <row r="3279">
      <c r="D3279" s="9"/>
      <c r="G3279" s="9"/>
      <c r="J3279" s="11"/>
      <c r="U3279" s="9"/>
      <c r="X3279" s="9"/>
    </row>
    <row r="3280">
      <c r="D3280" s="9"/>
      <c r="G3280" s="9"/>
      <c r="J3280" s="11"/>
      <c r="U3280" s="9"/>
      <c r="X3280" s="9"/>
    </row>
    <row r="3281">
      <c r="D3281" s="9"/>
      <c r="G3281" s="9"/>
      <c r="J3281" s="11"/>
      <c r="U3281" s="9"/>
      <c r="X3281" s="9"/>
    </row>
    <row r="3282">
      <c r="D3282" s="9"/>
      <c r="G3282" s="9"/>
      <c r="J3282" s="11"/>
      <c r="U3282" s="9"/>
      <c r="X3282" s="9"/>
    </row>
    <row r="3283">
      <c r="D3283" s="9"/>
      <c r="G3283" s="9"/>
      <c r="J3283" s="11"/>
      <c r="U3283" s="9"/>
      <c r="X3283" s="9"/>
    </row>
    <row r="3284">
      <c r="D3284" s="9"/>
      <c r="G3284" s="9"/>
      <c r="J3284" s="11"/>
      <c r="U3284" s="9"/>
      <c r="X3284" s="9"/>
    </row>
    <row r="3285">
      <c r="D3285" s="9"/>
      <c r="G3285" s="9"/>
      <c r="J3285" s="11"/>
      <c r="U3285" s="9"/>
      <c r="X3285" s="9"/>
    </row>
    <row r="3286">
      <c r="D3286" s="9"/>
      <c r="G3286" s="9"/>
      <c r="J3286" s="11"/>
      <c r="U3286" s="9"/>
      <c r="X3286" s="9"/>
    </row>
    <row r="3287">
      <c r="D3287" s="9"/>
      <c r="G3287" s="9"/>
      <c r="J3287" s="11"/>
      <c r="U3287" s="9"/>
      <c r="X3287" s="9"/>
    </row>
    <row r="3288">
      <c r="D3288" s="9"/>
      <c r="G3288" s="9"/>
      <c r="J3288" s="11"/>
      <c r="U3288" s="9"/>
      <c r="X3288" s="9"/>
    </row>
    <row r="3289">
      <c r="D3289" s="9"/>
      <c r="G3289" s="9"/>
      <c r="J3289" s="11"/>
      <c r="U3289" s="9"/>
      <c r="X3289" s="9"/>
    </row>
    <row r="3290">
      <c r="D3290" s="9"/>
      <c r="G3290" s="9"/>
      <c r="J3290" s="11"/>
      <c r="U3290" s="9"/>
      <c r="X3290" s="9"/>
    </row>
    <row r="3291">
      <c r="D3291" s="9"/>
      <c r="G3291" s="9"/>
      <c r="J3291" s="11"/>
      <c r="U3291" s="9"/>
      <c r="X3291" s="9"/>
    </row>
    <row r="3292">
      <c r="D3292" s="9"/>
      <c r="G3292" s="9"/>
      <c r="J3292" s="11"/>
      <c r="U3292" s="9"/>
      <c r="X3292" s="9"/>
    </row>
    <row r="3293">
      <c r="D3293" s="9"/>
      <c r="G3293" s="9"/>
      <c r="J3293" s="11"/>
      <c r="U3293" s="9"/>
      <c r="X3293" s="9"/>
    </row>
    <row r="3294">
      <c r="D3294" s="9"/>
      <c r="G3294" s="9"/>
      <c r="J3294" s="11"/>
      <c r="U3294" s="9"/>
      <c r="X3294" s="9"/>
    </row>
    <row r="3295">
      <c r="D3295" s="9"/>
      <c r="G3295" s="9"/>
      <c r="J3295" s="11"/>
      <c r="U3295" s="9"/>
      <c r="X3295" s="9"/>
    </row>
    <row r="3296">
      <c r="D3296" s="9"/>
      <c r="G3296" s="9"/>
      <c r="J3296" s="11"/>
      <c r="U3296" s="9"/>
      <c r="X3296" s="9"/>
    </row>
    <row r="3297">
      <c r="D3297" s="9"/>
      <c r="G3297" s="9"/>
      <c r="J3297" s="11"/>
      <c r="U3297" s="9"/>
      <c r="X3297" s="9"/>
    </row>
    <row r="3298">
      <c r="D3298" s="9"/>
      <c r="G3298" s="9"/>
      <c r="J3298" s="11"/>
      <c r="U3298" s="9"/>
      <c r="X3298" s="9"/>
    </row>
    <row r="3299">
      <c r="D3299" s="9"/>
      <c r="G3299" s="9"/>
      <c r="J3299" s="11"/>
      <c r="U3299" s="9"/>
      <c r="X3299" s="9"/>
    </row>
    <row r="3300">
      <c r="D3300" s="9"/>
      <c r="G3300" s="9"/>
      <c r="J3300" s="11"/>
      <c r="U3300" s="9"/>
      <c r="X3300" s="9"/>
    </row>
    <row r="3301">
      <c r="D3301" s="9"/>
      <c r="G3301" s="9"/>
      <c r="J3301" s="11"/>
      <c r="U3301" s="9"/>
      <c r="X3301" s="9"/>
    </row>
    <row r="3302">
      <c r="D3302" s="9"/>
      <c r="G3302" s="9"/>
      <c r="J3302" s="11"/>
      <c r="U3302" s="9"/>
      <c r="X3302" s="9"/>
    </row>
    <row r="3303">
      <c r="D3303" s="9"/>
      <c r="G3303" s="9"/>
      <c r="J3303" s="11"/>
      <c r="U3303" s="9"/>
      <c r="X3303" s="9"/>
    </row>
    <row r="3304">
      <c r="D3304" s="9"/>
      <c r="G3304" s="9"/>
      <c r="J3304" s="11"/>
      <c r="U3304" s="9"/>
      <c r="X3304" s="9"/>
    </row>
    <row r="3305">
      <c r="D3305" s="9"/>
      <c r="G3305" s="9"/>
      <c r="J3305" s="11"/>
      <c r="U3305" s="9"/>
      <c r="X3305" s="9"/>
    </row>
    <row r="3306">
      <c r="D3306" s="9"/>
      <c r="G3306" s="9"/>
      <c r="J3306" s="11"/>
      <c r="U3306" s="9"/>
      <c r="X3306" s="9"/>
    </row>
    <row r="3307">
      <c r="D3307" s="9"/>
      <c r="G3307" s="9"/>
      <c r="J3307" s="11"/>
      <c r="U3307" s="9"/>
      <c r="X3307" s="9"/>
    </row>
    <row r="3308">
      <c r="D3308" s="9"/>
      <c r="G3308" s="9"/>
      <c r="J3308" s="11"/>
      <c r="U3308" s="9"/>
      <c r="X3308" s="9"/>
    </row>
    <row r="3309">
      <c r="D3309" s="9"/>
      <c r="G3309" s="9"/>
      <c r="J3309" s="11"/>
      <c r="U3309" s="9"/>
      <c r="X3309" s="9"/>
    </row>
    <row r="3310">
      <c r="D3310" s="9"/>
      <c r="G3310" s="9"/>
      <c r="J3310" s="11"/>
      <c r="U3310" s="9"/>
      <c r="X3310" s="9"/>
    </row>
    <row r="3311">
      <c r="D3311" s="9"/>
      <c r="G3311" s="9"/>
      <c r="J3311" s="11"/>
      <c r="U3311" s="9"/>
      <c r="X3311" s="9"/>
    </row>
    <row r="3312">
      <c r="D3312" s="9"/>
      <c r="G3312" s="9"/>
      <c r="J3312" s="11"/>
      <c r="U3312" s="9"/>
      <c r="X3312" s="9"/>
    </row>
    <row r="3313">
      <c r="D3313" s="9"/>
      <c r="G3313" s="9"/>
      <c r="J3313" s="11"/>
      <c r="U3313" s="9"/>
      <c r="X3313" s="9"/>
    </row>
    <row r="3314">
      <c r="D3314" s="9"/>
      <c r="G3314" s="9"/>
      <c r="J3314" s="11"/>
      <c r="U3314" s="9"/>
      <c r="X3314" s="9"/>
    </row>
    <row r="3315">
      <c r="D3315" s="9"/>
      <c r="G3315" s="9"/>
      <c r="J3315" s="11"/>
      <c r="U3315" s="9"/>
      <c r="X3315" s="9"/>
    </row>
    <row r="3316">
      <c r="D3316" s="9"/>
      <c r="G3316" s="9"/>
      <c r="J3316" s="11"/>
      <c r="U3316" s="9"/>
      <c r="X3316" s="9"/>
    </row>
    <row r="3317">
      <c r="D3317" s="9"/>
      <c r="G3317" s="9"/>
      <c r="J3317" s="11"/>
      <c r="U3317" s="9"/>
      <c r="X3317" s="9"/>
    </row>
    <row r="3318">
      <c r="D3318" s="9"/>
      <c r="G3318" s="9"/>
      <c r="J3318" s="11"/>
      <c r="U3318" s="9"/>
      <c r="X3318" s="9"/>
    </row>
    <row r="3319">
      <c r="D3319" s="9"/>
      <c r="G3319" s="9"/>
      <c r="J3319" s="11"/>
      <c r="U3319" s="9"/>
      <c r="X3319" s="9"/>
    </row>
    <row r="3320">
      <c r="D3320" s="9"/>
      <c r="G3320" s="9"/>
      <c r="J3320" s="11"/>
      <c r="U3320" s="9"/>
      <c r="X3320" s="9"/>
    </row>
    <row r="3321">
      <c r="D3321" s="9"/>
      <c r="G3321" s="9"/>
      <c r="J3321" s="11"/>
      <c r="U3321" s="9"/>
      <c r="X3321" s="9"/>
    </row>
    <row r="3322">
      <c r="D3322" s="9"/>
      <c r="G3322" s="9"/>
      <c r="J3322" s="11"/>
      <c r="U3322" s="9"/>
      <c r="X3322" s="9"/>
    </row>
    <row r="3323">
      <c r="D3323" s="9"/>
      <c r="G3323" s="9"/>
      <c r="J3323" s="11"/>
      <c r="U3323" s="9"/>
      <c r="X3323" s="9"/>
    </row>
    <row r="3324">
      <c r="D3324" s="9"/>
      <c r="G3324" s="9"/>
      <c r="J3324" s="11"/>
      <c r="U3324" s="9"/>
      <c r="X3324" s="9"/>
    </row>
    <row r="3325">
      <c r="D3325" s="9"/>
      <c r="G3325" s="9"/>
      <c r="J3325" s="11"/>
      <c r="U3325" s="9"/>
      <c r="X3325" s="9"/>
    </row>
    <row r="3326">
      <c r="D3326" s="9"/>
      <c r="G3326" s="9"/>
      <c r="J3326" s="11"/>
      <c r="U3326" s="9"/>
      <c r="X3326" s="9"/>
    </row>
    <row r="3327">
      <c r="D3327" s="9"/>
      <c r="G3327" s="9"/>
      <c r="J3327" s="11"/>
      <c r="U3327" s="9"/>
      <c r="X3327" s="9"/>
    </row>
    <row r="3328">
      <c r="D3328" s="9"/>
      <c r="G3328" s="9"/>
      <c r="J3328" s="11"/>
      <c r="U3328" s="9"/>
      <c r="X3328" s="9"/>
    </row>
    <row r="3329">
      <c r="D3329" s="9"/>
      <c r="G3329" s="9"/>
      <c r="J3329" s="11"/>
      <c r="U3329" s="9"/>
      <c r="X3329" s="9"/>
    </row>
    <row r="3330">
      <c r="D3330" s="9"/>
      <c r="G3330" s="9"/>
      <c r="J3330" s="11"/>
      <c r="U3330" s="9"/>
      <c r="X3330" s="9"/>
    </row>
    <row r="3331">
      <c r="D3331" s="9"/>
      <c r="G3331" s="9"/>
      <c r="J3331" s="11"/>
      <c r="U3331" s="9"/>
      <c r="X3331" s="9"/>
    </row>
    <row r="3332">
      <c r="D3332" s="9"/>
      <c r="G3332" s="9"/>
      <c r="J3332" s="11"/>
      <c r="U3332" s="9"/>
      <c r="X3332" s="9"/>
    </row>
    <row r="3333">
      <c r="D3333" s="9"/>
      <c r="G3333" s="9"/>
      <c r="J3333" s="11"/>
      <c r="U3333" s="9"/>
      <c r="X3333" s="9"/>
    </row>
    <row r="3334">
      <c r="D3334" s="9"/>
      <c r="G3334" s="9"/>
      <c r="J3334" s="11"/>
      <c r="U3334" s="9"/>
      <c r="X3334" s="9"/>
    </row>
    <row r="3335">
      <c r="D3335" s="9"/>
      <c r="G3335" s="9"/>
      <c r="J3335" s="11"/>
      <c r="U3335" s="9"/>
      <c r="X3335" s="9"/>
    </row>
    <row r="3336">
      <c r="D3336" s="9"/>
      <c r="G3336" s="9"/>
      <c r="J3336" s="11"/>
      <c r="U3336" s="9"/>
      <c r="X3336" s="9"/>
    </row>
    <row r="3337">
      <c r="D3337" s="9"/>
      <c r="G3337" s="9"/>
      <c r="J3337" s="11"/>
      <c r="U3337" s="9"/>
      <c r="X3337" s="9"/>
    </row>
    <row r="3338">
      <c r="D3338" s="9"/>
      <c r="G3338" s="9"/>
      <c r="J3338" s="11"/>
      <c r="U3338" s="9"/>
      <c r="X3338" s="9"/>
    </row>
    <row r="3339">
      <c r="D3339" s="9"/>
      <c r="G3339" s="9"/>
      <c r="J3339" s="11"/>
      <c r="U3339" s="9"/>
      <c r="X3339" s="9"/>
    </row>
    <row r="3340">
      <c r="D3340" s="9"/>
      <c r="G3340" s="9"/>
      <c r="J3340" s="11"/>
      <c r="U3340" s="9"/>
      <c r="X3340" s="9"/>
    </row>
    <row r="3341">
      <c r="D3341" s="9"/>
      <c r="G3341" s="9"/>
      <c r="J3341" s="11"/>
      <c r="U3341" s="9"/>
      <c r="X3341" s="9"/>
    </row>
    <row r="3342">
      <c r="D3342" s="9"/>
      <c r="G3342" s="9"/>
      <c r="J3342" s="11"/>
      <c r="U3342" s="9"/>
      <c r="X3342" s="9"/>
    </row>
    <row r="3343">
      <c r="D3343" s="9"/>
      <c r="G3343" s="9"/>
      <c r="J3343" s="11"/>
      <c r="U3343" s="9"/>
      <c r="X3343" s="9"/>
    </row>
    <row r="3344">
      <c r="D3344" s="9"/>
      <c r="G3344" s="9"/>
      <c r="J3344" s="11"/>
      <c r="U3344" s="9"/>
      <c r="X3344" s="9"/>
    </row>
    <row r="3345">
      <c r="D3345" s="9"/>
      <c r="G3345" s="9"/>
      <c r="J3345" s="11"/>
      <c r="U3345" s="9"/>
      <c r="X3345" s="9"/>
    </row>
    <row r="3346">
      <c r="D3346" s="9"/>
      <c r="G3346" s="9"/>
      <c r="J3346" s="11"/>
      <c r="U3346" s="9"/>
      <c r="X3346" s="9"/>
    </row>
    <row r="3347">
      <c r="D3347" s="9"/>
      <c r="G3347" s="9"/>
      <c r="J3347" s="11"/>
      <c r="U3347" s="9"/>
      <c r="X3347" s="9"/>
    </row>
    <row r="3348">
      <c r="D3348" s="9"/>
      <c r="G3348" s="9"/>
      <c r="J3348" s="11"/>
      <c r="U3348" s="9"/>
      <c r="X3348" s="9"/>
    </row>
    <row r="3349">
      <c r="D3349" s="9"/>
      <c r="G3349" s="9"/>
      <c r="J3349" s="11"/>
      <c r="U3349" s="9"/>
      <c r="X3349" s="9"/>
    </row>
    <row r="3350">
      <c r="D3350" s="9"/>
      <c r="G3350" s="9"/>
      <c r="J3350" s="11"/>
      <c r="U3350" s="9"/>
      <c r="X3350" s="9"/>
    </row>
    <row r="3351">
      <c r="D3351" s="9"/>
      <c r="G3351" s="9"/>
      <c r="J3351" s="11"/>
      <c r="U3351" s="9"/>
      <c r="X3351" s="9"/>
    </row>
    <row r="3352">
      <c r="D3352" s="9"/>
      <c r="G3352" s="9"/>
      <c r="J3352" s="11"/>
      <c r="U3352" s="9"/>
      <c r="X3352" s="9"/>
    </row>
    <row r="3353">
      <c r="D3353" s="9"/>
      <c r="G3353" s="9"/>
      <c r="J3353" s="11"/>
      <c r="U3353" s="9"/>
      <c r="X3353" s="9"/>
    </row>
    <row r="3354">
      <c r="D3354" s="9"/>
      <c r="G3354" s="9"/>
      <c r="J3354" s="11"/>
      <c r="U3354" s="9"/>
      <c r="X3354" s="9"/>
    </row>
    <row r="3355">
      <c r="D3355" s="9"/>
      <c r="G3355" s="9"/>
      <c r="J3355" s="11"/>
      <c r="U3355" s="9"/>
      <c r="X3355" s="9"/>
    </row>
    <row r="3356">
      <c r="D3356" s="9"/>
      <c r="G3356" s="9"/>
      <c r="J3356" s="11"/>
      <c r="U3356" s="9"/>
      <c r="X3356" s="9"/>
    </row>
    <row r="3357">
      <c r="D3357" s="9"/>
      <c r="G3357" s="9"/>
      <c r="J3357" s="11"/>
      <c r="U3357" s="9"/>
      <c r="X3357" s="9"/>
    </row>
    <row r="3358">
      <c r="D3358" s="9"/>
      <c r="G3358" s="9"/>
      <c r="J3358" s="11"/>
      <c r="U3358" s="9"/>
      <c r="X3358" s="9"/>
    </row>
    <row r="3359">
      <c r="D3359" s="9"/>
      <c r="G3359" s="9"/>
      <c r="J3359" s="11"/>
      <c r="U3359" s="9"/>
      <c r="X3359" s="9"/>
    </row>
    <row r="3360">
      <c r="D3360" s="9"/>
      <c r="G3360" s="9"/>
      <c r="J3360" s="11"/>
      <c r="U3360" s="9"/>
      <c r="X3360" s="9"/>
    </row>
    <row r="3361">
      <c r="D3361" s="9"/>
      <c r="G3361" s="9"/>
      <c r="J3361" s="11"/>
      <c r="U3361" s="9"/>
      <c r="X3361" s="9"/>
    </row>
    <row r="3362">
      <c r="D3362" s="9"/>
      <c r="G3362" s="9"/>
      <c r="J3362" s="11"/>
      <c r="U3362" s="9"/>
      <c r="X3362" s="9"/>
    </row>
    <row r="3363">
      <c r="D3363" s="9"/>
      <c r="G3363" s="9"/>
      <c r="J3363" s="11"/>
      <c r="U3363" s="9"/>
      <c r="X3363" s="9"/>
    </row>
    <row r="3364">
      <c r="D3364" s="9"/>
      <c r="G3364" s="9"/>
      <c r="J3364" s="11"/>
      <c r="U3364" s="9"/>
      <c r="X3364" s="9"/>
    </row>
    <row r="3365">
      <c r="D3365" s="9"/>
      <c r="G3365" s="9"/>
      <c r="J3365" s="11"/>
      <c r="U3365" s="9"/>
      <c r="X3365" s="9"/>
    </row>
    <row r="3366">
      <c r="D3366" s="9"/>
      <c r="G3366" s="9"/>
      <c r="J3366" s="11"/>
      <c r="U3366" s="9"/>
      <c r="X3366" s="9"/>
    </row>
    <row r="3367">
      <c r="D3367" s="9"/>
      <c r="G3367" s="9"/>
      <c r="J3367" s="11"/>
      <c r="U3367" s="9"/>
      <c r="X3367" s="9"/>
    </row>
    <row r="3368">
      <c r="D3368" s="9"/>
      <c r="G3368" s="9"/>
      <c r="J3368" s="11"/>
      <c r="U3368" s="9"/>
      <c r="X3368" s="9"/>
    </row>
    <row r="3369">
      <c r="D3369" s="9"/>
      <c r="G3369" s="9"/>
      <c r="J3369" s="11"/>
      <c r="U3369" s="9"/>
      <c r="X3369" s="9"/>
    </row>
    <row r="3370">
      <c r="D3370" s="9"/>
      <c r="G3370" s="9"/>
      <c r="J3370" s="11"/>
      <c r="U3370" s="9"/>
      <c r="X3370" s="9"/>
    </row>
    <row r="3371">
      <c r="D3371" s="9"/>
      <c r="G3371" s="9"/>
      <c r="J3371" s="11"/>
      <c r="U3371" s="9"/>
      <c r="X3371" s="9"/>
    </row>
    <row r="3372">
      <c r="D3372" s="9"/>
      <c r="G3372" s="9"/>
      <c r="J3372" s="11"/>
      <c r="U3372" s="9"/>
      <c r="X3372" s="9"/>
    </row>
    <row r="3373">
      <c r="D3373" s="9"/>
      <c r="G3373" s="9"/>
      <c r="J3373" s="11"/>
      <c r="U3373" s="9"/>
      <c r="X3373" s="9"/>
    </row>
    <row r="3374">
      <c r="D3374" s="9"/>
      <c r="G3374" s="9"/>
      <c r="J3374" s="11"/>
      <c r="U3374" s="9"/>
      <c r="X3374" s="9"/>
    </row>
    <row r="3375">
      <c r="D3375" s="9"/>
      <c r="G3375" s="9"/>
      <c r="J3375" s="11"/>
      <c r="U3375" s="9"/>
      <c r="X3375" s="9"/>
    </row>
    <row r="3376">
      <c r="D3376" s="9"/>
      <c r="G3376" s="9"/>
      <c r="J3376" s="11"/>
      <c r="U3376" s="9"/>
      <c r="X3376" s="9"/>
    </row>
    <row r="3377">
      <c r="D3377" s="9"/>
      <c r="G3377" s="9"/>
      <c r="J3377" s="11"/>
      <c r="U3377" s="9"/>
      <c r="X3377" s="9"/>
    </row>
    <row r="3378">
      <c r="D3378" s="9"/>
      <c r="G3378" s="9"/>
      <c r="J3378" s="11"/>
      <c r="U3378" s="9"/>
      <c r="X3378" s="9"/>
    </row>
    <row r="3379">
      <c r="D3379" s="9"/>
      <c r="G3379" s="9"/>
      <c r="J3379" s="11"/>
      <c r="U3379" s="9"/>
      <c r="X3379" s="9"/>
    </row>
    <row r="3380">
      <c r="D3380" s="9"/>
      <c r="G3380" s="9"/>
      <c r="J3380" s="11"/>
      <c r="U3380" s="9"/>
      <c r="X3380" s="9"/>
    </row>
    <row r="3381">
      <c r="D3381" s="9"/>
      <c r="G3381" s="9"/>
      <c r="J3381" s="11"/>
      <c r="U3381" s="9"/>
      <c r="X3381" s="9"/>
    </row>
    <row r="3382">
      <c r="D3382" s="9"/>
      <c r="G3382" s="9"/>
      <c r="J3382" s="11"/>
      <c r="U3382" s="9"/>
      <c r="X3382" s="9"/>
    </row>
    <row r="3383">
      <c r="D3383" s="9"/>
      <c r="G3383" s="9"/>
      <c r="J3383" s="11"/>
      <c r="U3383" s="9"/>
      <c r="X3383" s="9"/>
    </row>
    <row r="3384">
      <c r="D3384" s="9"/>
      <c r="G3384" s="9"/>
      <c r="J3384" s="11"/>
      <c r="U3384" s="9"/>
      <c r="X3384" s="9"/>
    </row>
    <row r="3385">
      <c r="D3385" s="9"/>
      <c r="G3385" s="9"/>
      <c r="J3385" s="11"/>
      <c r="U3385" s="9"/>
      <c r="X3385" s="9"/>
    </row>
    <row r="3386">
      <c r="D3386" s="9"/>
      <c r="G3386" s="9"/>
      <c r="J3386" s="11"/>
      <c r="U3386" s="9"/>
      <c r="X3386" s="9"/>
    </row>
    <row r="3387">
      <c r="D3387" s="9"/>
      <c r="G3387" s="9"/>
      <c r="J3387" s="11"/>
      <c r="U3387" s="9"/>
      <c r="X3387" s="9"/>
    </row>
    <row r="3388">
      <c r="D3388" s="9"/>
      <c r="G3388" s="9"/>
      <c r="J3388" s="11"/>
      <c r="U3388" s="9"/>
      <c r="X3388" s="9"/>
    </row>
    <row r="3389">
      <c r="D3389" s="9"/>
      <c r="G3389" s="9"/>
      <c r="J3389" s="11"/>
      <c r="U3389" s="9"/>
      <c r="X3389" s="9"/>
    </row>
    <row r="3390">
      <c r="D3390" s="9"/>
      <c r="G3390" s="9"/>
      <c r="J3390" s="11"/>
      <c r="U3390" s="9"/>
      <c r="X3390" s="9"/>
    </row>
    <row r="3391">
      <c r="D3391" s="9"/>
      <c r="G3391" s="9"/>
      <c r="J3391" s="11"/>
      <c r="U3391" s="9"/>
      <c r="X3391" s="9"/>
    </row>
    <row r="3392">
      <c r="D3392" s="9"/>
      <c r="G3392" s="9"/>
      <c r="J3392" s="11"/>
      <c r="U3392" s="9"/>
      <c r="X3392" s="9"/>
    </row>
    <row r="3393">
      <c r="D3393" s="9"/>
      <c r="G3393" s="9"/>
      <c r="J3393" s="11"/>
      <c r="U3393" s="9"/>
      <c r="X3393" s="9"/>
    </row>
    <row r="3394">
      <c r="D3394" s="9"/>
      <c r="G3394" s="9"/>
      <c r="J3394" s="11"/>
      <c r="U3394" s="9"/>
      <c r="X3394" s="9"/>
    </row>
    <row r="3395">
      <c r="D3395" s="9"/>
      <c r="G3395" s="9"/>
      <c r="J3395" s="11"/>
      <c r="U3395" s="9"/>
      <c r="X3395" s="9"/>
    </row>
    <row r="3396">
      <c r="D3396" s="9"/>
      <c r="G3396" s="9"/>
      <c r="J3396" s="11"/>
      <c r="U3396" s="9"/>
      <c r="X3396" s="9"/>
    </row>
    <row r="3397">
      <c r="D3397" s="9"/>
      <c r="G3397" s="9"/>
      <c r="J3397" s="11"/>
      <c r="U3397" s="9"/>
      <c r="X3397" s="9"/>
    </row>
    <row r="3398">
      <c r="D3398" s="9"/>
      <c r="G3398" s="9"/>
      <c r="J3398" s="11"/>
      <c r="U3398" s="9"/>
      <c r="X3398" s="9"/>
    </row>
    <row r="3399">
      <c r="D3399" s="9"/>
      <c r="G3399" s="9"/>
      <c r="J3399" s="11"/>
      <c r="U3399" s="9"/>
      <c r="X3399" s="9"/>
    </row>
    <row r="3400">
      <c r="D3400" s="9"/>
      <c r="G3400" s="9"/>
      <c r="J3400" s="11"/>
      <c r="U3400" s="9"/>
      <c r="X3400" s="9"/>
    </row>
    <row r="3401">
      <c r="D3401" s="9"/>
      <c r="G3401" s="9"/>
      <c r="J3401" s="11"/>
      <c r="U3401" s="9"/>
      <c r="X3401" s="9"/>
    </row>
    <row r="3402">
      <c r="D3402" s="9"/>
      <c r="G3402" s="9"/>
      <c r="J3402" s="11"/>
      <c r="U3402" s="9"/>
      <c r="X3402" s="9"/>
    </row>
    <row r="3403">
      <c r="D3403" s="9"/>
      <c r="G3403" s="9"/>
      <c r="J3403" s="11"/>
      <c r="U3403" s="9"/>
      <c r="X3403" s="9"/>
    </row>
    <row r="3404">
      <c r="D3404" s="9"/>
      <c r="G3404" s="9"/>
      <c r="J3404" s="11"/>
      <c r="U3404" s="9"/>
      <c r="X3404" s="9"/>
    </row>
    <row r="3405">
      <c r="D3405" s="9"/>
      <c r="G3405" s="9"/>
      <c r="J3405" s="11"/>
      <c r="U3405" s="9"/>
      <c r="X3405" s="9"/>
    </row>
    <row r="3406">
      <c r="D3406" s="9"/>
      <c r="G3406" s="9"/>
      <c r="J3406" s="11"/>
      <c r="U3406" s="9"/>
      <c r="X3406" s="9"/>
    </row>
    <row r="3407">
      <c r="D3407" s="9"/>
      <c r="G3407" s="9"/>
      <c r="J3407" s="11"/>
      <c r="U3407" s="9"/>
      <c r="X3407" s="9"/>
    </row>
    <row r="3408">
      <c r="D3408" s="9"/>
      <c r="G3408" s="9"/>
      <c r="J3408" s="11"/>
      <c r="U3408" s="9"/>
      <c r="X3408" s="9"/>
    </row>
    <row r="3409">
      <c r="D3409" s="9"/>
      <c r="G3409" s="9"/>
      <c r="J3409" s="11"/>
      <c r="U3409" s="9"/>
      <c r="X3409" s="9"/>
    </row>
    <row r="3410">
      <c r="D3410" s="9"/>
      <c r="G3410" s="9"/>
      <c r="J3410" s="11"/>
      <c r="U3410" s="9"/>
      <c r="X3410" s="9"/>
    </row>
    <row r="3411">
      <c r="D3411" s="9"/>
      <c r="G3411" s="9"/>
      <c r="J3411" s="11"/>
      <c r="U3411" s="9"/>
      <c r="X3411" s="9"/>
    </row>
    <row r="3412">
      <c r="D3412" s="9"/>
      <c r="G3412" s="9"/>
      <c r="J3412" s="11"/>
      <c r="U3412" s="9"/>
      <c r="X3412" s="9"/>
    </row>
    <row r="3413">
      <c r="D3413" s="9"/>
      <c r="G3413" s="9"/>
      <c r="J3413" s="11"/>
      <c r="U3413" s="9"/>
      <c r="X3413" s="9"/>
    </row>
    <row r="3414">
      <c r="D3414" s="9"/>
      <c r="G3414" s="9"/>
      <c r="J3414" s="11"/>
      <c r="U3414" s="9"/>
      <c r="X3414" s="9"/>
    </row>
    <row r="3415">
      <c r="D3415" s="9"/>
      <c r="G3415" s="9"/>
      <c r="J3415" s="11"/>
      <c r="U3415" s="9"/>
      <c r="X3415" s="9"/>
    </row>
    <row r="3416">
      <c r="D3416" s="9"/>
      <c r="G3416" s="9"/>
      <c r="J3416" s="11"/>
      <c r="U3416" s="9"/>
      <c r="X3416" s="9"/>
    </row>
    <row r="3417">
      <c r="D3417" s="9"/>
      <c r="G3417" s="9"/>
      <c r="J3417" s="11"/>
      <c r="U3417" s="9"/>
      <c r="X3417" s="9"/>
    </row>
    <row r="3418">
      <c r="D3418" s="9"/>
      <c r="G3418" s="9"/>
      <c r="J3418" s="11"/>
      <c r="U3418" s="9"/>
      <c r="X3418" s="9"/>
    </row>
    <row r="3419">
      <c r="D3419" s="9"/>
      <c r="G3419" s="9"/>
      <c r="J3419" s="11"/>
      <c r="U3419" s="9"/>
      <c r="X3419" s="9"/>
    </row>
    <row r="3420">
      <c r="D3420" s="9"/>
      <c r="G3420" s="9"/>
      <c r="J3420" s="11"/>
      <c r="U3420" s="9"/>
      <c r="X3420" s="9"/>
    </row>
    <row r="3421">
      <c r="D3421" s="9"/>
      <c r="G3421" s="9"/>
      <c r="J3421" s="11"/>
      <c r="U3421" s="9"/>
      <c r="X3421" s="9"/>
    </row>
    <row r="3422">
      <c r="D3422" s="9"/>
      <c r="G3422" s="9"/>
      <c r="J3422" s="11"/>
      <c r="U3422" s="9"/>
      <c r="X3422" s="9"/>
    </row>
    <row r="3423">
      <c r="D3423" s="9"/>
      <c r="G3423" s="9"/>
      <c r="J3423" s="11"/>
      <c r="U3423" s="9"/>
      <c r="X3423" s="9"/>
    </row>
    <row r="3424">
      <c r="D3424" s="9"/>
      <c r="G3424" s="9"/>
      <c r="J3424" s="11"/>
      <c r="U3424" s="9"/>
      <c r="X3424" s="9"/>
    </row>
    <row r="3425">
      <c r="D3425" s="9"/>
      <c r="G3425" s="9"/>
      <c r="J3425" s="11"/>
      <c r="U3425" s="9"/>
      <c r="X3425" s="9"/>
    </row>
    <row r="3426">
      <c r="D3426" s="9"/>
      <c r="G3426" s="9"/>
      <c r="J3426" s="11"/>
      <c r="U3426" s="9"/>
      <c r="X3426" s="9"/>
    </row>
    <row r="3427">
      <c r="D3427" s="9"/>
      <c r="G3427" s="9"/>
      <c r="J3427" s="11"/>
      <c r="U3427" s="9"/>
      <c r="X3427" s="9"/>
    </row>
    <row r="3428">
      <c r="D3428" s="9"/>
      <c r="G3428" s="9"/>
      <c r="J3428" s="11"/>
      <c r="U3428" s="9"/>
      <c r="X3428" s="9"/>
    </row>
    <row r="3429">
      <c r="D3429" s="9"/>
      <c r="G3429" s="9"/>
      <c r="J3429" s="11"/>
      <c r="U3429" s="9"/>
      <c r="X3429" s="9"/>
    </row>
    <row r="3430">
      <c r="D3430" s="9"/>
      <c r="G3430" s="9"/>
      <c r="J3430" s="11"/>
      <c r="U3430" s="9"/>
      <c r="X3430" s="9"/>
    </row>
    <row r="3431">
      <c r="D3431" s="9"/>
      <c r="G3431" s="9"/>
      <c r="J3431" s="11"/>
      <c r="U3431" s="9"/>
      <c r="X3431" s="9"/>
    </row>
    <row r="3432">
      <c r="D3432" s="9"/>
      <c r="G3432" s="9"/>
      <c r="J3432" s="11"/>
      <c r="U3432" s="9"/>
      <c r="X3432" s="9"/>
    </row>
    <row r="3433">
      <c r="D3433" s="9"/>
      <c r="G3433" s="9"/>
      <c r="J3433" s="11"/>
      <c r="U3433" s="9"/>
      <c r="X3433" s="9"/>
    </row>
    <row r="3434">
      <c r="D3434" s="9"/>
      <c r="G3434" s="9"/>
      <c r="J3434" s="11"/>
      <c r="U3434" s="9"/>
      <c r="X3434" s="9"/>
    </row>
    <row r="3435">
      <c r="D3435" s="9"/>
      <c r="G3435" s="9"/>
      <c r="J3435" s="11"/>
      <c r="U3435" s="9"/>
      <c r="X3435" s="9"/>
    </row>
    <row r="3436">
      <c r="D3436" s="9"/>
      <c r="G3436" s="9"/>
      <c r="J3436" s="11"/>
      <c r="U3436" s="9"/>
      <c r="X3436" s="9"/>
    </row>
    <row r="3437">
      <c r="D3437" s="9"/>
      <c r="G3437" s="9"/>
      <c r="J3437" s="11"/>
      <c r="U3437" s="9"/>
      <c r="X3437" s="9"/>
    </row>
    <row r="3438">
      <c r="D3438" s="9"/>
      <c r="G3438" s="9"/>
      <c r="J3438" s="11"/>
      <c r="U3438" s="9"/>
      <c r="X3438" s="9"/>
    </row>
    <row r="3439">
      <c r="D3439" s="9"/>
      <c r="G3439" s="9"/>
      <c r="J3439" s="11"/>
      <c r="U3439" s="9"/>
      <c r="X3439" s="9"/>
    </row>
    <row r="3440">
      <c r="D3440" s="9"/>
      <c r="G3440" s="9"/>
      <c r="J3440" s="11"/>
      <c r="U3440" s="9"/>
      <c r="X3440" s="9"/>
    </row>
    <row r="3441">
      <c r="D3441" s="9"/>
      <c r="G3441" s="9"/>
      <c r="J3441" s="11"/>
      <c r="U3441" s="9"/>
      <c r="X3441" s="9"/>
    </row>
    <row r="3442">
      <c r="D3442" s="9"/>
      <c r="G3442" s="9"/>
      <c r="J3442" s="11"/>
      <c r="U3442" s="9"/>
      <c r="X3442" s="9"/>
    </row>
    <row r="3443">
      <c r="D3443" s="9"/>
      <c r="G3443" s="9"/>
      <c r="J3443" s="11"/>
      <c r="U3443" s="9"/>
      <c r="X3443" s="9"/>
    </row>
    <row r="3444">
      <c r="D3444" s="9"/>
      <c r="G3444" s="9"/>
      <c r="J3444" s="11"/>
      <c r="U3444" s="9"/>
      <c r="X3444" s="9"/>
    </row>
    <row r="3445">
      <c r="D3445" s="9"/>
      <c r="G3445" s="9"/>
      <c r="J3445" s="11"/>
      <c r="U3445" s="9"/>
      <c r="X3445" s="9"/>
    </row>
    <row r="3446">
      <c r="D3446" s="9"/>
      <c r="G3446" s="9"/>
      <c r="J3446" s="11"/>
      <c r="U3446" s="9"/>
      <c r="X3446" s="9"/>
    </row>
    <row r="3447">
      <c r="D3447" s="9"/>
      <c r="G3447" s="9"/>
      <c r="J3447" s="11"/>
      <c r="U3447" s="9"/>
      <c r="X3447" s="9"/>
    </row>
    <row r="3448">
      <c r="D3448" s="9"/>
      <c r="G3448" s="9"/>
      <c r="J3448" s="11"/>
      <c r="U3448" s="9"/>
      <c r="X3448" s="9"/>
    </row>
    <row r="3449">
      <c r="D3449" s="9"/>
      <c r="G3449" s="9"/>
      <c r="J3449" s="11"/>
      <c r="U3449" s="9"/>
      <c r="X3449" s="9"/>
    </row>
    <row r="3450">
      <c r="D3450" s="9"/>
      <c r="G3450" s="9"/>
      <c r="J3450" s="11"/>
      <c r="U3450" s="9"/>
      <c r="X3450" s="9"/>
    </row>
    <row r="3451">
      <c r="D3451" s="9"/>
      <c r="G3451" s="9"/>
      <c r="J3451" s="11"/>
      <c r="U3451" s="9"/>
      <c r="X3451" s="9"/>
    </row>
    <row r="3452">
      <c r="D3452" s="9"/>
      <c r="G3452" s="9"/>
      <c r="J3452" s="11"/>
      <c r="U3452" s="9"/>
      <c r="X3452" s="9"/>
    </row>
    <row r="3453">
      <c r="D3453" s="9"/>
      <c r="G3453" s="9"/>
      <c r="J3453" s="11"/>
      <c r="U3453" s="9"/>
      <c r="X3453" s="9"/>
    </row>
    <row r="3454">
      <c r="D3454" s="9"/>
      <c r="G3454" s="9"/>
      <c r="J3454" s="11"/>
      <c r="U3454" s="9"/>
      <c r="X3454" s="9"/>
    </row>
    <row r="3455">
      <c r="D3455" s="9"/>
      <c r="G3455" s="9"/>
      <c r="J3455" s="11"/>
      <c r="U3455" s="9"/>
      <c r="X3455" s="9"/>
    </row>
    <row r="3456">
      <c r="D3456" s="9"/>
      <c r="G3456" s="9"/>
      <c r="J3456" s="11"/>
      <c r="U3456" s="9"/>
      <c r="X3456" s="9"/>
    </row>
    <row r="3457">
      <c r="D3457" s="9"/>
      <c r="G3457" s="9"/>
      <c r="J3457" s="11"/>
      <c r="U3457" s="9"/>
      <c r="X3457" s="9"/>
    </row>
    <row r="3458">
      <c r="D3458" s="9"/>
      <c r="G3458" s="9"/>
      <c r="J3458" s="11"/>
      <c r="U3458" s="9"/>
      <c r="X3458" s="9"/>
    </row>
    <row r="3459">
      <c r="D3459" s="9"/>
      <c r="G3459" s="9"/>
      <c r="J3459" s="11"/>
      <c r="U3459" s="9"/>
      <c r="X3459" s="9"/>
    </row>
    <row r="3460">
      <c r="D3460" s="9"/>
      <c r="G3460" s="9"/>
      <c r="J3460" s="11"/>
      <c r="U3460" s="9"/>
      <c r="X3460" s="9"/>
    </row>
    <row r="3461">
      <c r="D3461" s="9"/>
      <c r="G3461" s="9"/>
      <c r="J3461" s="11"/>
      <c r="U3461" s="9"/>
      <c r="X3461" s="9"/>
    </row>
    <row r="3462">
      <c r="D3462" s="9"/>
      <c r="G3462" s="9"/>
      <c r="J3462" s="11"/>
      <c r="U3462" s="9"/>
      <c r="X3462" s="9"/>
    </row>
    <row r="3463">
      <c r="D3463" s="9"/>
      <c r="G3463" s="9"/>
      <c r="J3463" s="11"/>
      <c r="U3463" s="9"/>
      <c r="X3463" s="9"/>
    </row>
    <row r="3464">
      <c r="D3464" s="9"/>
      <c r="G3464" s="9"/>
      <c r="J3464" s="11"/>
      <c r="U3464" s="9"/>
      <c r="X3464" s="9"/>
    </row>
    <row r="3465">
      <c r="D3465" s="9"/>
      <c r="G3465" s="9"/>
      <c r="J3465" s="11"/>
      <c r="U3465" s="9"/>
      <c r="X3465" s="9"/>
    </row>
    <row r="3466">
      <c r="D3466" s="9"/>
      <c r="G3466" s="9"/>
      <c r="J3466" s="11"/>
      <c r="U3466" s="9"/>
      <c r="X3466" s="9"/>
    </row>
    <row r="3467">
      <c r="D3467" s="9"/>
      <c r="G3467" s="9"/>
      <c r="J3467" s="11"/>
      <c r="U3467" s="9"/>
      <c r="X3467" s="9"/>
    </row>
    <row r="3468">
      <c r="D3468" s="9"/>
      <c r="G3468" s="9"/>
      <c r="J3468" s="11"/>
      <c r="U3468" s="9"/>
      <c r="X3468" s="9"/>
    </row>
    <row r="3469">
      <c r="D3469" s="9"/>
      <c r="G3469" s="9"/>
      <c r="J3469" s="11"/>
      <c r="U3469" s="9"/>
      <c r="X3469" s="9"/>
    </row>
    <row r="3470">
      <c r="D3470" s="9"/>
      <c r="G3470" s="9"/>
      <c r="J3470" s="11"/>
      <c r="U3470" s="9"/>
      <c r="X3470" s="9"/>
    </row>
    <row r="3471">
      <c r="D3471" s="9"/>
      <c r="G3471" s="9"/>
      <c r="J3471" s="11"/>
      <c r="U3471" s="9"/>
      <c r="X3471" s="9"/>
    </row>
    <row r="3472">
      <c r="D3472" s="9"/>
      <c r="G3472" s="9"/>
      <c r="J3472" s="11"/>
      <c r="U3472" s="9"/>
      <c r="X3472" s="9"/>
    </row>
    <row r="3473">
      <c r="D3473" s="9"/>
      <c r="G3473" s="9"/>
      <c r="J3473" s="11"/>
      <c r="U3473" s="9"/>
      <c r="X3473" s="9"/>
    </row>
    <row r="3474">
      <c r="D3474" s="9"/>
      <c r="G3474" s="9"/>
      <c r="J3474" s="11"/>
      <c r="U3474" s="9"/>
      <c r="X3474" s="9"/>
    </row>
    <row r="3475">
      <c r="D3475" s="9"/>
      <c r="G3475" s="9"/>
      <c r="J3475" s="11"/>
      <c r="U3475" s="9"/>
      <c r="X3475" s="9"/>
    </row>
    <row r="3476">
      <c r="D3476" s="9"/>
      <c r="G3476" s="9"/>
      <c r="J3476" s="11"/>
      <c r="U3476" s="9"/>
      <c r="X3476" s="9"/>
    </row>
    <row r="3477">
      <c r="D3477" s="9"/>
      <c r="G3477" s="9"/>
      <c r="J3477" s="11"/>
      <c r="U3477" s="9"/>
      <c r="X3477" s="9"/>
    </row>
    <row r="3478">
      <c r="D3478" s="9"/>
      <c r="G3478" s="9"/>
      <c r="J3478" s="11"/>
      <c r="U3478" s="9"/>
      <c r="X3478" s="9"/>
    </row>
    <row r="3479">
      <c r="D3479" s="9"/>
      <c r="G3479" s="9"/>
      <c r="J3479" s="11"/>
      <c r="U3479" s="9"/>
      <c r="X3479" s="9"/>
    </row>
    <row r="3480">
      <c r="D3480" s="9"/>
      <c r="G3480" s="9"/>
      <c r="J3480" s="11"/>
      <c r="U3480" s="9"/>
      <c r="X3480" s="9"/>
    </row>
    <row r="3481">
      <c r="D3481" s="9"/>
      <c r="G3481" s="9"/>
      <c r="J3481" s="11"/>
      <c r="U3481" s="9"/>
      <c r="X3481" s="9"/>
    </row>
    <row r="3482">
      <c r="D3482" s="9"/>
      <c r="G3482" s="9"/>
      <c r="J3482" s="11"/>
      <c r="U3482" s="9"/>
      <c r="X3482" s="9"/>
    </row>
    <row r="3483">
      <c r="D3483" s="9"/>
      <c r="G3483" s="9"/>
      <c r="J3483" s="11"/>
      <c r="U3483" s="9"/>
      <c r="X3483" s="9"/>
    </row>
    <row r="3484">
      <c r="D3484" s="9"/>
      <c r="G3484" s="9"/>
      <c r="J3484" s="11"/>
      <c r="U3484" s="9"/>
      <c r="X3484" s="9"/>
    </row>
    <row r="3485">
      <c r="D3485" s="9"/>
      <c r="G3485" s="9"/>
      <c r="J3485" s="11"/>
      <c r="U3485" s="9"/>
      <c r="X3485" s="9"/>
    </row>
    <row r="3486">
      <c r="D3486" s="9"/>
      <c r="G3486" s="9"/>
      <c r="J3486" s="11"/>
      <c r="U3486" s="9"/>
      <c r="X3486" s="9"/>
    </row>
    <row r="3487">
      <c r="D3487" s="9"/>
      <c r="G3487" s="9"/>
      <c r="J3487" s="11"/>
      <c r="U3487" s="9"/>
      <c r="X3487" s="9"/>
    </row>
    <row r="3488">
      <c r="D3488" s="9"/>
      <c r="G3488" s="9"/>
      <c r="J3488" s="11"/>
      <c r="U3488" s="9"/>
      <c r="X3488" s="9"/>
    </row>
    <row r="3489">
      <c r="D3489" s="9"/>
      <c r="G3489" s="9"/>
      <c r="J3489" s="11"/>
      <c r="U3489" s="9"/>
      <c r="X3489" s="9"/>
    </row>
    <row r="3490">
      <c r="D3490" s="9"/>
      <c r="G3490" s="9"/>
      <c r="J3490" s="11"/>
      <c r="U3490" s="9"/>
      <c r="X3490" s="9"/>
    </row>
    <row r="3491">
      <c r="D3491" s="9"/>
      <c r="G3491" s="9"/>
      <c r="J3491" s="11"/>
      <c r="U3491" s="9"/>
      <c r="X3491" s="9"/>
    </row>
    <row r="3492">
      <c r="D3492" s="9"/>
      <c r="G3492" s="9"/>
      <c r="J3492" s="11"/>
      <c r="U3492" s="9"/>
      <c r="X3492" s="9"/>
    </row>
    <row r="3493">
      <c r="D3493" s="9"/>
      <c r="G3493" s="9"/>
      <c r="J3493" s="11"/>
      <c r="U3493" s="9"/>
      <c r="X3493" s="9"/>
    </row>
    <row r="3494">
      <c r="D3494" s="9"/>
      <c r="G3494" s="9"/>
      <c r="J3494" s="11"/>
      <c r="U3494" s="9"/>
      <c r="X3494" s="9"/>
    </row>
    <row r="3495">
      <c r="D3495" s="9"/>
      <c r="G3495" s="9"/>
      <c r="J3495" s="11"/>
      <c r="U3495" s="9"/>
      <c r="X3495" s="9"/>
    </row>
    <row r="3496">
      <c r="D3496" s="9"/>
      <c r="G3496" s="9"/>
      <c r="J3496" s="11"/>
      <c r="U3496" s="9"/>
      <c r="X3496" s="9"/>
    </row>
    <row r="3497">
      <c r="D3497" s="9"/>
      <c r="G3497" s="9"/>
      <c r="J3497" s="11"/>
      <c r="U3497" s="9"/>
      <c r="X3497" s="9"/>
    </row>
    <row r="3498">
      <c r="D3498" s="9"/>
      <c r="G3498" s="9"/>
      <c r="J3498" s="11"/>
      <c r="U3498" s="9"/>
      <c r="X3498" s="9"/>
    </row>
    <row r="3499">
      <c r="D3499" s="9"/>
      <c r="G3499" s="9"/>
      <c r="J3499" s="11"/>
      <c r="U3499" s="9"/>
      <c r="X3499" s="9"/>
    </row>
    <row r="3500">
      <c r="D3500" s="9"/>
      <c r="G3500" s="9"/>
      <c r="J3500" s="11"/>
      <c r="U3500" s="9"/>
      <c r="X3500" s="9"/>
    </row>
    <row r="3501">
      <c r="D3501" s="9"/>
      <c r="G3501" s="9"/>
      <c r="J3501" s="11"/>
      <c r="U3501" s="9"/>
      <c r="X3501" s="9"/>
    </row>
    <row r="3502">
      <c r="D3502" s="9"/>
      <c r="G3502" s="9"/>
      <c r="J3502" s="11"/>
      <c r="U3502" s="9"/>
      <c r="X3502" s="9"/>
    </row>
    <row r="3503">
      <c r="D3503" s="9"/>
      <c r="G3503" s="9"/>
      <c r="J3503" s="11"/>
      <c r="U3503" s="9"/>
      <c r="X3503" s="9"/>
    </row>
    <row r="3504">
      <c r="D3504" s="9"/>
      <c r="G3504" s="9"/>
      <c r="J3504" s="11"/>
      <c r="U3504" s="9"/>
      <c r="X3504" s="9"/>
    </row>
    <row r="3505">
      <c r="D3505" s="9"/>
      <c r="G3505" s="9"/>
      <c r="J3505" s="11"/>
      <c r="U3505" s="9"/>
      <c r="X3505" s="9"/>
    </row>
    <row r="3506">
      <c r="D3506" s="9"/>
      <c r="G3506" s="9"/>
      <c r="J3506" s="11"/>
      <c r="U3506" s="9"/>
      <c r="X3506" s="9"/>
    </row>
    <row r="3507">
      <c r="D3507" s="9"/>
      <c r="G3507" s="9"/>
      <c r="J3507" s="11"/>
      <c r="U3507" s="9"/>
      <c r="X3507" s="9"/>
    </row>
    <row r="3508">
      <c r="D3508" s="9"/>
      <c r="G3508" s="9"/>
      <c r="J3508" s="11"/>
      <c r="U3508" s="9"/>
      <c r="X3508" s="9"/>
    </row>
    <row r="3509">
      <c r="D3509" s="9"/>
      <c r="G3509" s="9"/>
      <c r="J3509" s="11"/>
      <c r="U3509" s="9"/>
      <c r="X3509" s="9"/>
    </row>
    <row r="3510">
      <c r="D3510" s="9"/>
      <c r="G3510" s="9"/>
      <c r="J3510" s="11"/>
      <c r="U3510" s="9"/>
      <c r="X3510" s="9"/>
    </row>
    <row r="3511">
      <c r="D3511" s="9"/>
      <c r="G3511" s="9"/>
      <c r="J3511" s="11"/>
      <c r="U3511" s="9"/>
      <c r="X3511" s="9"/>
    </row>
    <row r="3512">
      <c r="D3512" s="9"/>
      <c r="G3512" s="9"/>
      <c r="J3512" s="11"/>
      <c r="U3512" s="9"/>
      <c r="X3512" s="9"/>
    </row>
    <row r="3513">
      <c r="D3513" s="9"/>
      <c r="G3513" s="9"/>
      <c r="J3513" s="11"/>
      <c r="U3513" s="9"/>
      <c r="X3513" s="9"/>
    </row>
    <row r="3514">
      <c r="D3514" s="9"/>
      <c r="G3514" s="9"/>
      <c r="J3514" s="11"/>
      <c r="U3514" s="9"/>
      <c r="X3514" s="9"/>
    </row>
    <row r="3515">
      <c r="D3515" s="9"/>
      <c r="G3515" s="9"/>
      <c r="J3515" s="11"/>
      <c r="U3515" s="9"/>
      <c r="X3515" s="9"/>
    </row>
    <row r="3516">
      <c r="D3516" s="9"/>
      <c r="G3516" s="9"/>
      <c r="J3516" s="11"/>
      <c r="U3516" s="9"/>
      <c r="X3516" s="9"/>
    </row>
    <row r="3517">
      <c r="D3517" s="9"/>
      <c r="G3517" s="9"/>
      <c r="J3517" s="11"/>
      <c r="U3517" s="9"/>
      <c r="X3517" s="9"/>
    </row>
    <row r="3518">
      <c r="D3518" s="9"/>
      <c r="G3518" s="9"/>
      <c r="J3518" s="11"/>
      <c r="U3518" s="9"/>
      <c r="X3518" s="9"/>
    </row>
    <row r="3519">
      <c r="D3519" s="9"/>
      <c r="G3519" s="9"/>
      <c r="J3519" s="11"/>
      <c r="U3519" s="9"/>
      <c r="X3519" s="9"/>
    </row>
    <row r="3520">
      <c r="D3520" s="9"/>
      <c r="G3520" s="9"/>
      <c r="J3520" s="11"/>
      <c r="U3520" s="9"/>
      <c r="X3520" s="9"/>
    </row>
    <row r="3521">
      <c r="D3521" s="9"/>
      <c r="G3521" s="9"/>
      <c r="J3521" s="11"/>
      <c r="U3521" s="9"/>
      <c r="X3521" s="9"/>
    </row>
    <row r="3522">
      <c r="D3522" s="9"/>
      <c r="G3522" s="9"/>
      <c r="J3522" s="11"/>
      <c r="U3522" s="9"/>
      <c r="X3522" s="9"/>
    </row>
    <row r="3523">
      <c r="D3523" s="9"/>
      <c r="G3523" s="9"/>
      <c r="J3523" s="11"/>
      <c r="U3523" s="9"/>
      <c r="X3523" s="9"/>
    </row>
    <row r="3524">
      <c r="D3524" s="9"/>
      <c r="G3524" s="9"/>
      <c r="J3524" s="11"/>
      <c r="U3524" s="9"/>
      <c r="X3524" s="9"/>
    </row>
    <row r="3525">
      <c r="D3525" s="9"/>
      <c r="G3525" s="9"/>
      <c r="J3525" s="11"/>
      <c r="U3525" s="9"/>
      <c r="X3525" s="9"/>
    </row>
    <row r="3526">
      <c r="D3526" s="9"/>
      <c r="G3526" s="9"/>
      <c r="J3526" s="11"/>
      <c r="U3526" s="9"/>
      <c r="X3526" s="9"/>
    </row>
    <row r="3527">
      <c r="D3527" s="9"/>
      <c r="G3527" s="9"/>
      <c r="J3527" s="11"/>
      <c r="U3527" s="9"/>
      <c r="X3527" s="9"/>
    </row>
    <row r="3528">
      <c r="D3528" s="9"/>
      <c r="G3528" s="9"/>
      <c r="J3528" s="11"/>
      <c r="U3528" s="9"/>
      <c r="X3528" s="9"/>
    </row>
    <row r="3529">
      <c r="D3529" s="9"/>
      <c r="G3529" s="9"/>
      <c r="J3529" s="11"/>
      <c r="U3529" s="9"/>
      <c r="X3529" s="9"/>
    </row>
    <row r="3530">
      <c r="D3530" s="9"/>
      <c r="G3530" s="9"/>
      <c r="J3530" s="11"/>
      <c r="U3530" s="9"/>
      <c r="X3530" s="9"/>
    </row>
    <row r="3531">
      <c r="D3531" s="9"/>
      <c r="G3531" s="9"/>
      <c r="J3531" s="11"/>
      <c r="U3531" s="9"/>
      <c r="X3531" s="9"/>
    </row>
    <row r="3532">
      <c r="D3532" s="9"/>
      <c r="G3532" s="9"/>
      <c r="J3532" s="11"/>
      <c r="U3532" s="9"/>
      <c r="X3532" s="9"/>
    </row>
    <row r="3533">
      <c r="D3533" s="9"/>
      <c r="G3533" s="9"/>
      <c r="J3533" s="11"/>
      <c r="U3533" s="9"/>
      <c r="X3533" s="9"/>
    </row>
    <row r="3534">
      <c r="D3534" s="9"/>
      <c r="G3534" s="9"/>
      <c r="J3534" s="11"/>
      <c r="U3534" s="9"/>
      <c r="X3534" s="9"/>
    </row>
    <row r="3535">
      <c r="D3535" s="9"/>
      <c r="G3535" s="9"/>
      <c r="J3535" s="11"/>
      <c r="U3535" s="9"/>
      <c r="X3535" s="9"/>
    </row>
    <row r="3536">
      <c r="D3536" s="9"/>
      <c r="G3536" s="9"/>
      <c r="J3536" s="11"/>
      <c r="U3536" s="9"/>
      <c r="X3536" s="9"/>
    </row>
    <row r="3537">
      <c r="D3537" s="9"/>
      <c r="G3537" s="9"/>
      <c r="J3537" s="11"/>
      <c r="U3537" s="9"/>
      <c r="X3537" s="9"/>
    </row>
    <row r="3538">
      <c r="D3538" s="9"/>
      <c r="G3538" s="9"/>
      <c r="J3538" s="11"/>
      <c r="U3538" s="9"/>
      <c r="X3538" s="9"/>
    </row>
    <row r="3539">
      <c r="D3539" s="9"/>
      <c r="G3539" s="9"/>
      <c r="J3539" s="11"/>
      <c r="U3539" s="9"/>
      <c r="X3539" s="9"/>
    </row>
    <row r="3540">
      <c r="D3540" s="9"/>
      <c r="G3540" s="9"/>
      <c r="J3540" s="11"/>
      <c r="U3540" s="9"/>
      <c r="X3540" s="9"/>
    </row>
    <row r="3541">
      <c r="D3541" s="9"/>
      <c r="G3541" s="9"/>
      <c r="J3541" s="11"/>
      <c r="U3541" s="9"/>
      <c r="X3541" s="9"/>
    </row>
    <row r="3542">
      <c r="D3542" s="9"/>
      <c r="G3542" s="9"/>
      <c r="J3542" s="11"/>
      <c r="U3542" s="9"/>
      <c r="X3542" s="9"/>
    </row>
    <row r="3543">
      <c r="D3543" s="9"/>
      <c r="G3543" s="9"/>
      <c r="J3543" s="11"/>
      <c r="U3543" s="9"/>
      <c r="X3543" s="9"/>
    </row>
    <row r="3544">
      <c r="D3544" s="9"/>
      <c r="G3544" s="9"/>
      <c r="J3544" s="11"/>
      <c r="U3544" s="9"/>
      <c r="X3544" s="9"/>
    </row>
    <row r="3545">
      <c r="D3545" s="9"/>
      <c r="G3545" s="9"/>
      <c r="J3545" s="11"/>
      <c r="U3545" s="9"/>
      <c r="X3545" s="9"/>
    </row>
    <row r="3546">
      <c r="D3546" s="9"/>
      <c r="G3546" s="9"/>
      <c r="J3546" s="11"/>
      <c r="U3546" s="9"/>
      <c r="X3546" s="9"/>
    </row>
    <row r="3547">
      <c r="D3547" s="9"/>
      <c r="G3547" s="9"/>
      <c r="J3547" s="11"/>
      <c r="U3547" s="9"/>
      <c r="X3547" s="9"/>
    </row>
    <row r="3548">
      <c r="D3548" s="9"/>
      <c r="G3548" s="9"/>
      <c r="J3548" s="11"/>
      <c r="U3548" s="9"/>
      <c r="X3548" s="9"/>
    </row>
    <row r="3549">
      <c r="D3549" s="9"/>
      <c r="G3549" s="9"/>
      <c r="J3549" s="11"/>
      <c r="U3549" s="9"/>
      <c r="X3549" s="9"/>
    </row>
    <row r="3550">
      <c r="D3550" s="9"/>
      <c r="G3550" s="9"/>
      <c r="J3550" s="11"/>
      <c r="U3550" s="9"/>
      <c r="X3550" s="9"/>
    </row>
    <row r="3551">
      <c r="D3551" s="9"/>
      <c r="G3551" s="9"/>
      <c r="J3551" s="11"/>
      <c r="U3551" s="9"/>
      <c r="X3551" s="9"/>
    </row>
    <row r="3552">
      <c r="D3552" s="9"/>
      <c r="G3552" s="9"/>
      <c r="J3552" s="11"/>
      <c r="U3552" s="9"/>
      <c r="X3552" s="9"/>
    </row>
    <row r="3553">
      <c r="D3553" s="9"/>
      <c r="G3553" s="9"/>
      <c r="J3553" s="11"/>
      <c r="U3553" s="9"/>
      <c r="X3553" s="9"/>
    </row>
    <row r="3554">
      <c r="D3554" s="9"/>
      <c r="G3554" s="9"/>
      <c r="J3554" s="11"/>
      <c r="U3554" s="9"/>
      <c r="X3554" s="9"/>
    </row>
    <row r="3555">
      <c r="D3555" s="9"/>
      <c r="G3555" s="9"/>
      <c r="J3555" s="11"/>
      <c r="U3555" s="9"/>
      <c r="X3555" s="9"/>
    </row>
    <row r="3556">
      <c r="D3556" s="9"/>
      <c r="G3556" s="9"/>
      <c r="J3556" s="11"/>
      <c r="U3556" s="9"/>
      <c r="X3556" s="9"/>
    </row>
    <row r="3557">
      <c r="D3557" s="9"/>
      <c r="G3557" s="9"/>
      <c r="J3557" s="11"/>
      <c r="U3557" s="9"/>
      <c r="X3557" s="9"/>
    </row>
    <row r="3558">
      <c r="D3558" s="9"/>
      <c r="G3558" s="9"/>
      <c r="J3558" s="11"/>
      <c r="U3558" s="9"/>
      <c r="X3558" s="9"/>
    </row>
    <row r="3559">
      <c r="D3559" s="9"/>
      <c r="G3559" s="9"/>
      <c r="J3559" s="11"/>
      <c r="U3559" s="9"/>
      <c r="X3559" s="9"/>
    </row>
    <row r="3560">
      <c r="D3560" s="9"/>
      <c r="G3560" s="9"/>
      <c r="J3560" s="11"/>
      <c r="U3560" s="9"/>
      <c r="X3560" s="9"/>
    </row>
    <row r="3561">
      <c r="D3561" s="9"/>
      <c r="G3561" s="9"/>
      <c r="J3561" s="11"/>
      <c r="U3561" s="9"/>
      <c r="X3561" s="9"/>
    </row>
    <row r="3562">
      <c r="D3562" s="9"/>
      <c r="G3562" s="9"/>
      <c r="J3562" s="11"/>
      <c r="U3562" s="9"/>
      <c r="X3562" s="9"/>
    </row>
    <row r="3563">
      <c r="D3563" s="9"/>
      <c r="G3563" s="9"/>
      <c r="J3563" s="11"/>
      <c r="U3563" s="9"/>
      <c r="X3563" s="9"/>
    </row>
    <row r="3564">
      <c r="D3564" s="9"/>
      <c r="G3564" s="9"/>
      <c r="J3564" s="11"/>
      <c r="U3564" s="9"/>
      <c r="X3564" s="9"/>
    </row>
    <row r="3565">
      <c r="D3565" s="9"/>
      <c r="G3565" s="9"/>
      <c r="J3565" s="11"/>
      <c r="U3565" s="9"/>
      <c r="X3565" s="9"/>
    </row>
    <row r="3566">
      <c r="D3566" s="9"/>
      <c r="G3566" s="9"/>
      <c r="J3566" s="11"/>
      <c r="U3566" s="9"/>
      <c r="X3566" s="9"/>
    </row>
    <row r="3567">
      <c r="D3567" s="9"/>
      <c r="G3567" s="9"/>
      <c r="J3567" s="11"/>
      <c r="U3567" s="9"/>
      <c r="X3567" s="9"/>
    </row>
    <row r="3568">
      <c r="D3568" s="9"/>
      <c r="G3568" s="9"/>
      <c r="J3568" s="11"/>
      <c r="U3568" s="9"/>
      <c r="X3568" s="9"/>
    </row>
    <row r="3569">
      <c r="D3569" s="9"/>
      <c r="G3569" s="9"/>
      <c r="J3569" s="11"/>
      <c r="U3569" s="9"/>
      <c r="X3569" s="9"/>
    </row>
    <row r="3570">
      <c r="D3570" s="9"/>
      <c r="G3570" s="9"/>
      <c r="J3570" s="11"/>
      <c r="U3570" s="9"/>
      <c r="X3570" s="9"/>
    </row>
    <row r="3571">
      <c r="D3571" s="9"/>
      <c r="G3571" s="9"/>
      <c r="J3571" s="11"/>
      <c r="U3571" s="9"/>
      <c r="X3571" s="9"/>
    </row>
    <row r="3572">
      <c r="D3572" s="9"/>
      <c r="G3572" s="9"/>
      <c r="J3572" s="11"/>
      <c r="U3572" s="9"/>
      <c r="X3572" s="9"/>
    </row>
    <row r="3573">
      <c r="D3573" s="9"/>
      <c r="G3573" s="9"/>
      <c r="J3573" s="11"/>
      <c r="U3573" s="9"/>
      <c r="X3573" s="9"/>
    </row>
    <row r="3574">
      <c r="D3574" s="9"/>
      <c r="G3574" s="9"/>
      <c r="J3574" s="11"/>
      <c r="U3574" s="9"/>
      <c r="X3574" s="9"/>
    </row>
    <row r="3575">
      <c r="D3575" s="9"/>
      <c r="G3575" s="9"/>
      <c r="J3575" s="11"/>
      <c r="U3575" s="9"/>
      <c r="X3575" s="9"/>
    </row>
    <row r="3576">
      <c r="D3576" s="9"/>
      <c r="G3576" s="9"/>
      <c r="J3576" s="11"/>
      <c r="U3576" s="9"/>
      <c r="X3576" s="9"/>
    </row>
    <row r="3577">
      <c r="D3577" s="9"/>
      <c r="G3577" s="9"/>
      <c r="J3577" s="11"/>
      <c r="U3577" s="9"/>
      <c r="X3577" s="9"/>
    </row>
    <row r="3578">
      <c r="D3578" s="9"/>
      <c r="G3578" s="9"/>
      <c r="J3578" s="11"/>
      <c r="U3578" s="9"/>
      <c r="X3578" s="9"/>
    </row>
    <row r="3579">
      <c r="D3579" s="9"/>
      <c r="G3579" s="9"/>
      <c r="J3579" s="11"/>
      <c r="U3579" s="9"/>
      <c r="X3579" s="9"/>
    </row>
    <row r="3580">
      <c r="D3580" s="9"/>
      <c r="G3580" s="9"/>
      <c r="J3580" s="11"/>
      <c r="U3580" s="9"/>
      <c r="X3580" s="9"/>
    </row>
    <row r="3581">
      <c r="D3581" s="9"/>
      <c r="G3581" s="9"/>
      <c r="J3581" s="11"/>
      <c r="U3581" s="9"/>
      <c r="X3581" s="9"/>
    </row>
    <row r="3582">
      <c r="D3582" s="9"/>
      <c r="G3582" s="9"/>
      <c r="J3582" s="11"/>
      <c r="U3582" s="9"/>
      <c r="X3582" s="9"/>
    </row>
    <row r="3583">
      <c r="D3583" s="9"/>
      <c r="G3583" s="9"/>
      <c r="J3583" s="11"/>
      <c r="U3583" s="9"/>
      <c r="X3583" s="9"/>
    </row>
    <row r="3584">
      <c r="D3584" s="9"/>
      <c r="G3584" s="9"/>
      <c r="J3584" s="11"/>
      <c r="U3584" s="9"/>
      <c r="X3584" s="9"/>
    </row>
    <row r="3585">
      <c r="D3585" s="9"/>
      <c r="G3585" s="9"/>
      <c r="J3585" s="11"/>
      <c r="U3585" s="9"/>
      <c r="X3585" s="9"/>
    </row>
    <row r="3586">
      <c r="D3586" s="9"/>
      <c r="G3586" s="9"/>
      <c r="J3586" s="11"/>
      <c r="U3586" s="9"/>
      <c r="X3586" s="9"/>
    </row>
    <row r="3587">
      <c r="D3587" s="9"/>
      <c r="G3587" s="9"/>
      <c r="J3587" s="11"/>
      <c r="U3587" s="9"/>
      <c r="X3587" s="9"/>
    </row>
    <row r="3588">
      <c r="D3588" s="9"/>
      <c r="G3588" s="9"/>
      <c r="J3588" s="11"/>
      <c r="U3588" s="9"/>
      <c r="X3588" s="9"/>
    </row>
    <row r="3589">
      <c r="D3589" s="9"/>
      <c r="G3589" s="9"/>
      <c r="J3589" s="11"/>
      <c r="U3589" s="9"/>
      <c r="X3589" s="9"/>
    </row>
    <row r="3590">
      <c r="D3590" s="9"/>
      <c r="G3590" s="9"/>
      <c r="J3590" s="11"/>
      <c r="U3590" s="9"/>
      <c r="X3590" s="9"/>
    </row>
    <row r="3591">
      <c r="D3591" s="9"/>
      <c r="G3591" s="9"/>
      <c r="J3591" s="11"/>
      <c r="U3591" s="9"/>
      <c r="X3591" s="9"/>
    </row>
    <row r="3592">
      <c r="D3592" s="9"/>
      <c r="G3592" s="9"/>
      <c r="J3592" s="11"/>
      <c r="U3592" s="9"/>
      <c r="X3592" s="9"/>
    </row>
    <row r="3593">
      <c r="D3593" s="9"/>
      <c r="G3593" s="9"/>
      <c r="J3593" s="11"/>
      <c r="U3593" s="9"/>
      <c r="X3593" s="9"/>
    </row>
    <row r="3594">
      <c r="D3594" s="9"/>
      <c r="G3594" s="9"/>
      <c r="J3594" s="11"/>
      <c r="U3594" s="9"/>
      <c r="X3594" s="9"/>
    </row>
    <row r="3595">
      <c r="D3595" s="9"/>
      <c r="G3595" s="9"/>
      <c r="J3595" s="11"/>
      <c r="U3595" s="9"/>
      <c r="X3595" s="9"/>
    </row>
    <row r="3596">
      <c r="D3596" s="9"/>
      <c r="G3596" s="9"/>
      <c r="J3596" s="11"/>
      <c r="U3596" s="9"/>
      <c r="X3596" s="9"/>
    </row>
    <row r="3597">
      <c r="D3597" s="9"/>
      <c r="G3597" s="9"/>
      <c r="J3597" s="11"/>
      <c r="U3597" s="9"/>
      <c r="X3597" s="9"/>
    </row>
    <row r="3598">
      <c r="D3598" s="9"/>
      <c r="G3598" s="9"/>
      <c r="J3598" s="11"/>
      <c r="U3598" s="9"/>
      <c r="X3598" s="9"/>
    </row>
    <row r="3599">
      <c r="D3599" s="9"/>
      <c r="G3599" s="9"/>
      <c r="J3599" s="11"/>
      <c r="U3599" s="9"/>
      <c r="X3599" s="9"/>
    </row>
    <row r="3600">
      <c r="D3600" s="9"/>
      <c r="G3600" s="9"/>
      <c r="J3600" s="11"/>
      <c r="U3600" s="9"/>
      <c r="X3600" s="9"/>
    </row>
    <row r="3601">
      <c r="D3601" s="9"/>
      <c r="G3601" s="9"/>
      <c r="J3601" s="11"/>
      <c r="U3601" s="9"/>
      <c r="X3601" s="9"/>
    </row>
    <row r="3602">
      <c r="D3602" s="9"/>
      <c r="G3602" s="9"/>
      <c r="J3602" s="11"/>
      <c r="U3602" s="9"/>
      <c r="X3602" s="9"/>
    </row>
    <row r="3603">
      <c r="D3603" s="9"/>
      <c r="G3603" s="9"/>
      <c r="J3603" s="11"/>
      <c r="U3603" s="9"/>
      <c r="X3603" s="9"/>
    </row>
    <row r="3604">
      <c r="D3604" s="9"/>
      <c r="G3604" s="9"/>
      <c r="J3604" s="11"/>
      <c r="U3604" s="9"/>
      <c r="X3604" s="9"/>
    </row>
    <row r="3605">
      <c r="D3605" s="9"/>
      <c r="G3605" s="9"/>
      <c r="J3605" s="11"/>
      <c r="U3605" s="9"/>
      <c r="X3605" s="9"/>
    </row>
    <row r="3606">
      <c r="D3606" s="9"/>
      <c r="G3606" s="9"/>
      <c r="J3606" s="11"/>
      <c r="U3606" s="9"/>
      <c r="X3606" s="9"/>
    </row>
    <row r="3607">
      <c r="D3607" s="9"/>
      <c r="G3607" s="9"/>
      <c r="J3607" s="11"/>
      <c r="U3607" s="9"/>
      <c r="X3607" s="9"/>
    </row>
    <row r="3608">
      <c r="D3608" s="9"/>
      <c r="G3608" s="9"/>
      <c r="J3608" s="11"/>
      <c r="U3608" s="9"/>
      <c r="X3608" s="9"/>
    </row>
    <row r="3609">
      <c r="D3609" s="9"/>
      <c r="G3609" s="9"/>
      <c r="J3609" s="11"/>
      <c r="U3609" s="9"/>
      <c r="X3609" s="9"/>
    </row>
    <row r="3610">
      <c r="D3610" s="9"/>
      <c r="G3610" s="9"/>
      <c r="J3610" s="11"/>
      <c r="U3610" s="9"/>
      <c r="X3610" s="9"/>
    </row>
    <row r="3611">
      <c r="D3611" s="9"/>
      <c r="G3611" s="9"/>
      <c r="J3611" s="11"/>
      <c r="U3611" s="9"/>
      <c r="X3611" s="9"/>
    </row>
    <row r="3612">
      <c r="D3612" s="9"/>
      <c r="G3612" s="9"/>
      <c r="J3612" s="11"/>
      <c r="U3612" s="9"/>
      <c r="X3612" s="9"/>
    </row>
    <row r="3613">
      <c r="D3613" s="9"/>
      <c r="G3613" s="9"/>
      <c r="J3613" s="11"/>
      <c r="U3613" s="9"/>
      <c r="X3613" s="9"/>
    </row>
    <row r="3614">
      <c r="D3614" s="9"/>
      <c r="G3614" s="9"/>
      <c r="J3614" s="11"/>
      <c r="U3614" s="9"/>
      <c r="X3614" s="9"/>
    </row>
    <row r="3615">
      <c r="D3615" s="9"/>
      <c r="G3615" s="9"/>
      <c r="J3615" s="11"/>
      <c r="U3615" s="9"/>
      <c r="X3615" s="9"/>
    </row>
    <row r="3616">
      <c r="D3616" s="9"/>
      <c r="G3616" s="9"/>
      <c r="J3616" s="11"/>
      <c r="U3616" s="9"/>
      <c r="X3616" s="9"/>
    </row>
    <row r="3617">
      <c r="D3617" s="9"/>
      <c r="G3617" s="9"/>
      <c r="J3617" s="11"/>
      <c r="U3617" s="9"/>
      <c r="X3617" s="9"/>
    </row>
    <row r="3618">
      <c r="D3618" s="9"/>
      <c r="G3618" s="9"/>
      <c r="J3618" s="11"/>
      <c r="U3618" s="9"/>
      <c r="X3618" s="9"/>
    </row>
    <row r="3619">
      <c r="D3619" s="9"/>
      <c r="G3619" s="9"/>
      <c r="J3619" s="11"/>
      <c r="U3619" s="9"/>
      <c r="X3619" s="9"/>
    </row>
    <row r="3620">
      <c r="D3620" s="9"/>
      <c r="G3620" s="9"/>
      <c r="J3620" s="11"/>
      <c r="U3620" s="9"/>
      <c r="X3620" s="9"/>
    </row>
    <row r="3621">
      <c r="D3621" s="9"/>
      <c r="G3621" s="9"/>
      <c r="J3621" s="11"/>
      <c r="U3621" s="9"/>
      <c r="X3621" s="9"/>
    </row>
    <row r="3622">
      <c r="D3622" s="9"/>
      <c r="G3622" s="9"/>
      <c r="J3622" s="11"/>
      <c r="U3622" s="9"/>
      <c r="X3622" s="9"/>
    </row>
    <row r="3623">
      <c r="D3623" s="9"/>
      <c r="G3623" s="9"/>
      <c r="J3623" s="11"/>
      <c r="U3623" s="9"/>
      <c r="X3623" s="9"/>
    </row>
    <row r="3624">
      <c r="D3624" s="9"/>
      <c r="G3624" s="9"/>
      <c r="J3624" s="11"/>
      <c r="U3624" s="9"/>
      <c r="X3624" s="9"/>
    </row>
    <row r="3625">
      <c r="D3625" s="9"/>
      <c r="G3625" s="9"/>
      <c r="J3625" s="11"/>
      <c r="U3625" s="9"/>
      <c r="X3625" s="9"/>
    </row>
    <row r="3626">
      <c r="D3626" s="9"/>
      <c r="G3626" s="9"/>
      <c r="J3626" s="11"/>
      <c r="U3626" s="9"/>
      <c r="X3626" s="9"/>
    </row>
    <row r="3627">
      <c r="D3627" s="9"/>
      <c r="G3627" s="9"/>
      <c r="J3627" s="11"/>
      <c r="U3627" s="9"/>
      <c r="X3627" s="9"/>
    </row>
    <row r="3628">
      <c r="D3628" s="9"/>
      <c r="G3628" s="9"/>
      <c r="J3628" s="11"/>
      <c r="U3628" s="9"/>
      <c r="X3628" s="9"/>
    </row>
    <row r="3629">
      <c r="D3629" s="9"/>
      <c r="G3629" s="9"/>
      <c r="J3629" s="11"/>
      <c r="U3629" s="9"/>
      <c r="X3629" s="9"/>
    </row>
    <row r="3630">
      <c r="D3630" s="9"/>
      <c r="G3630" s="9"/>
      <c r="J3630" s="11"/>
      <c r="U3630" s="9"/>
      <c r="X3630" s="9"/>
    </row>
    <row r="3631">
      <c r="D3631" s="9"/>
      <c r="G3631" s="9"/>
      <c r="J3631" s="11"/>
      <c r="U3631" s="9"/>
      <c r="X3631" s="9"/>
    </row>
    <row r="3632">
      <c r="D3632" s="9"/>
      <c r="G3632" s="9"/>
      <c r="J3632" s="11"/>
      <c r="U3632" s="9"/>
      <c r="X3632" s="9"/>
    </row>
    <row r="3633">
      <c r="D3633" s="9"/>
      <c r="G3633" s="9"/>
      <c r="J3633" s="11"/>
      <c r="U3633" s="9"/>
      <c r="X3633" s="9"/>
    </row>
    <row r="3634">
      <c r="D3634" s="9"/>
      <c r="G3634" s="9"/>
      <c r="J3634" s="11"/>
      <c r="U3634" s="9"/>
      <c r="X3634" s="9"/>
    </row>
    <row r="3635">
      <c r="D3635" s="9"/>
      <c r="G3635" s="9"/>
      <c r="J3635" s="11"/>
      <c r="U3635" s="9"/>
      <c r="X3635" s="9"/>
    </row>
    <row r="3636">
      <c r="D3636" s="9"/>
      <c r="G3636" s="9"/>
      <c r="J3636" s="11"/>
      <c r="U3636" s="9"/>
      <c r="X3636" s="9"/>
    </row>
    <row r="3637">
      <c r="D3637" s="9"/>
      <c r="G3637" s="9"/>
      <c r="J3637" s="11"/>
      <c r="U3637" s="9"/>
      <c r="X3637" s="9"/>
    </row>
    <row r="3638">
      <c r="D3638" s="9"/>
      <c r="G3638" s="9"/>
      <c r="J3638" s="11"/>
      <c r="U3638" s="9"/>
      <c r="X3638" s="9"/>
    </row>
    <row r="3639">
      <c r="D3639" s="9"/>
      <c r="G3639" s="9"/>
      <c r="J3639" s="11"/>
      <c r="U3639" s="9"/>
      <c r="X3639" s="9"/>
    </row>
    <row r="3640">
      <c r="D3640" s="9"/>
      <c r="G3640" s="9"/>
      <c r="J3640" s="11"/>
      <c r="U3640" s="9"/>
      <c r="X3640" s="9"/>
    </row>
    <row r="3641">
      <c r="D3641" s="9"/>
      <c r="G3641" s="9"/>
      <c r="J3641" s="11"/>
      <c r="U3641" s="9"/>
      <c r="X3641" s="9"/>
    </row>
    <row r="3642">
      <c r="D3642" s="9"/>
      <c r="G3642" s="9"/>
      <c r="J3642" s="11"/>
      <c r="U3642" s="9"/>
      <c r="X3642" s="9"/>
    </row>
    <row r="3643">
      <c r="D3643" s="9"/>
      <c r="G3643" s="9"/>
      <c r="J3643" s="11"/>
      <c r="U3643" s="9"/>
      <c r="X3643" s="9"/>
    </row>
    <row r="3644">
      <c r="D3644" s="9"/>
      <c r="G3644" s="9"/>
      <c r="J3644" s="11"/>
      <c r="U3644" s="9"/>
      <c r="X3644" s="9"/>
    </row>
    <row r="3645">
      <c r="D3645" s="9"/>
      <c r="G3645" s="9"/>
      <c r="J3645" s="11"/>
      <c r="U3645" s="9"/>
      <c r="X3645" s="9"/>
    </row>
    <row r="3646">
      <c r="D3646" s="9"/>
      <c r="G3646" s="9"/>
      <c r="J3646" s="11"/>
      <c r="U3646" s="9"/>
      <c r="X3646" s="9"/>
    </row>
    <row r="3647">
      <c r="D3647" s="9"/>
      <c r="G3647" s="9"/>
      <c r="J3647" s="11"/>
      <c r="U3647" s="9"/>
      <c r="X3647" s="9"/>
    </row>
    <row r="3648">
      <c r="D3648" s="9"/>
      <c r="G3648" s="9"/>
      <c r="J3648" s="11"/>
      <c r="U3648" s="9"/>
      <c r="X3648" s="9"/>
    </row>
    <row r="3649">
      <c r="D3649" s="9"/>
      <c r="G3649" s="9"/>
      <c r="J3649" s="11"/>
      <c r="U3649" s="9"/>
      <c r="X3649" s="9"/>
    </row>
    <row r="3650">
      <c r="D3650" s="9"/>
      <c r="G3650" s="9"/>
      <c r="J3650" s="11"/>
      <c r="U3650" s="9"/>
      <c r="X3650" s="9"/>
    </row>
    <row r="3651">
      <c r="D3651" s="9"/>
      <c r="G3651" s="9"/>
      <c r="J3651" s="11"/>
      <c r="U3651" s="9"/>
      <c r="X3651" s="9"/>
    </row>
    <row r="3652">
      <c r="D3652" s="9"/>
      <c r="G3652" s="9"/>
      <c r="J3652" s="11"/>
      <c r="U3652" s="9"/>
      <c r="X3652" s="9"/>
    </row>
    <row r="3653">
      <c r="D3653" s="9"/>
      <c r="G3653" s="9"/>
      <c r="J3653" s="11"/>
      <c r="U3653" s="9"/>
      <c r="X3653" s="9"/>
    </row>
    <row r="3654">
      <c r="D3654" s="9"/>
      <c r="G3654" s="9"/>
      <c r="J3654" s="11"/>
      <c r="U3654" s="9"/>
      <c r="X3654" s="9"/>
    </row>
    <row r="3655">
      <c r="D3655" s="9"/>
      <c r="G3655" s="9"/>
      <c r="J3655" s="11"/>
      <c r="U3655" s="9"/>
      <c r="X3655" s="9"/>
    </row>
    <row r="3656">
      <c r="D3656" s="9"/>
      <c r="G3656" s="9"/>
      <c r="J3656" s="11"/>
      <c r="U3656" s="9"/>
      <c r="X3656" s="9"/>
    </row>
    <row r="3657">
      <c r="D3657" s="9"/>
      <c r="G3657" s="9"/>
      <c r="J3657" s="11"/>
      <c r="U3657" s="9"/>
      <c r="X3657" s="9"/>
    </row>
    <row r="3658">
      <c r="D3658" s="9"/>
      <c r="G3658" s="9"/>
      <c r="J3658" s="11"/>
      <c r="U3658" s="9"/>
      <c r="X3658" s="9"/>
    </row>
    <row r="3659">
      <c r="D3659" s="9"/>
      <c r="G3659" s="9"/>
      <c r="J3659" s="11"/>
      <c r="U3659" s="9"/>
      <c r="X3659" s="9"/>
    </row>
    <row r="3660">
      <c r="D3660" s="9"/>
      <c r="G3660" s="9"/>
      <c r="J3660" s="11"/>
      <c r="U3660" s="9"/>
      <c r="X3660" s="9"/>
    </row>
    <row r="3661">
      <c r="D3661" s="9"/>
      <c r="G3661" s="9"/>
      <c r="J3661" s="11"/>
      <c r="U3661" s="9"/>
      <c r="X3661" s="9"/>
    </row>
    <row r="3662">
      <c r="D3662" s="9"/>
      <c r="G3662" s="9"/>
      <c r="J3662" s="11"/>
      <c r="U3662" s="9"/>
      <c r="X3662" s="9"/>
    </row>
    <row r="3663">
      <c r="D3663" s="9"/>
      <c r="G3663" s="9"/>
      <c r="J3663" s="11"/>
      <c r="U3663" s="9"/>
      <c r="X3663" s="9"/>
    </row>
    <row r="3664">
      <c r="D3664" s="9"/>
      <c r="G3664" s="9"/>
      <c r="J3664" s="11"/>
      <c r="U3664" s="9"/>
      <c r="X3664" s="9"/>
    </row>
    <row r="3665">
      <c r="D3665" s="9"/>
      <c r="G3665" s="9"/>
      <c r="J3665" s="11"/>
      <c r="U3665" s="9"/>
      <c r="X3665" s="9"/>
    </row>
    <row r="3666">
      <c r="D3666" s="9"/>
      <c r="G3666" s="9"/>
      <c r="J3666" s="11"/>
      <c r="U3666" s="9"/>
      <c r="X3666" s="9"/>
    </row>
    <row r="3667">
      <c r="D3667" s="9"/>
      <c r="G3667" s="9"/>
      <c r="J3667" s="11"/>
      <c r="U3667" s="9"/>
      <c r="X3667" s="9"/>
    </row>
    <row r="3668">
      <c r="D3668" s="9"/>
      <c r="G3668" s="9"/>
      <c r="J3668" s="11"/>
      <c r="U3668" s="9"/>
      <c r="X3668" s="9"/>
    </row>
    <row r="3669">
      <c r="D3669" s="9"/>
      <c r="G3669" s="9"/>
      <c r="J3669" s="11"/>
      <c r="U3669" s="9"/>
      <c r="X3669" s="9"/>
    </row>
    <row r="3670">
      <c r="D3670" s="9"/>
      <c r="G3670" s="9"/>
      <c r="J3670" s="11"/>
      <c r="U3670" s="9"/>
      <c r="X3670" s="9"/>
    </row>
    <row r="3671">
      <c r="D3671" s="9"/>
      <c r="G3671" s="9"/>
      <c r="J3671" s="11"/>
      <c r="U3671" s="9"/>
      <c r="X3671" s="9"/>
    </row>
    <row r="3672">
      <c r="D3672" s="9"/>
      <c r="G3672" s="9"/>
      <c r="J3672" s="11"/>
      <c r="U3672" s="9"/>
      <c r="X3672" s="9"/>
    </row>
    <row r="3673">
      <c r="D3673" s="9"/>
      <c r="G3673" s="9"/>
      <c r="J3673" s="11"/>
      <c r="U3673" s="9"/>
      <c r="X3673" s="9"/>
    </row>
    <row r="3674">
      <c r="D3674" s="9"/>
      <c r="G3674" s="9"/>
      <c r="J3674" s="11"/>
      <c r="U3674" s="9"/>
      <c r="X3674" s="9"/>
    </row>
    <row r="3675">
      <c r="D3675" s="9"/>
      <c r="G3675" s="9"/>
      <c r="J3675" s="11"/>
      <c r="U3675" s="9"/>
      <c r="X3675" s="9"/>
    </row>
    <row r="3676">
      <c r="D3676" s="9"/>
      <c r="G3676" s="9"/>
      <c r="J3676" s="11"/>
      <c r="U3676" s="9"/>
      <c r="X3676" s="9"/>
    </row>
    <row r="3677">
      <c r="D3677" s="9"/>
      <c r="G3677" s="9"/>
      <c r="J3677" s="11"/>
      <c r="U3677" s="9"/>
      <c r="X3677" s="9"/>
    </row>
    <row r="3678">
      <c r="D3678" s="9"/>
      <c r="G3678" s="9"/>
      <c r="J3678" s="11"/>
      <c r="U3678" s="9"/>
      <c r="X3678" s="9"/>
    </row>
    <row r="3679">
      <c r="D3679" s="9"/>
      <c r="G3679" s="9"/>
      <c r="J3679" s="11"/>
      <c r="U3679" s="9"/>
      <c r="X3679" s="9"/>
    </row>
    <row r="3680">
      <c r="D3680" s="9"/>
      <c r="G3680" s="9"/>
      <c r="J3680" s="11"/>
      <c r="U3680" s="9"/>
      <c r="X3680" s="9"/>
    </row>
    <row r="3681">
      <c r="D3681" s="9"/>
      <c r="G3681" s="9"/>
      <c r="J3681" s="11"/>
      <c r="U3681" s="9"/>
      <c r="X3681" s="9"/>
    </row>
    <row r="3682">
      <c r="D3682" s="9"/>
      <c r="G3682" s="9"/>
      <c r="J3682" s="11"/>
      <c r="U3682" s="9"/>
      <c r="X3682" s="9"/>
    </row>
    <row r="3683">
      <c r="D3683" s="9"/>
      <c r="G3683" s="9"/>
      <c r="J3683" s="11"/>
      <c r="U3683" s="9"/>
      <c r="X3683" s="9"/>
    </row>
    <row r="3684">
      <c r="D3684" s="9"/>
      <c r="G3684" s="9"/>
      <c r="J3684" s="11"/>
      <c r="U3684" s="9"/>
      <c r="X3684" s="9"/>
    </row>
    <row r="3685">
      <c r="D3685" s="9"/>
      <c r="G3685" s="9"/>
      <c r="J3685" s="11"/>
      <c r="U3685" s="9"/>
      <c r="X3685" s="9"/>
    </row>
    <row r="3686">
      <c r="D3686" s="9"/>
      <c r="G3686" s="9"/>
      <c r="J3686" s="11"/>
      <c r="U3686" s="9"/>
      <c r="X3686" s="9"/>
    </row>
    <row r="3687">
      <c r="D3687" s="9"/>
      <c r="G3687" s="9"/>
      <c r="J3687" s="11"/>
      <c r="U3687" s="9"/>
      <c r="X3687" s="9"/>
    </row>
    <row r="3688">
      <c r="D3688" s="9"/>
      <c r="G3688" s="9"/>
      <c r="J3688" s="11"/>
      <c r="U3688" s="9"/>
      <c r="X3688" s="9"/>
    </row>
    <row r="3689">
      <c r="D3689" s="9"/>
      <c r="G3689" s="9"/>
      <c r="J3689" s="11"/>
      <c r="U3689" s="9"/>
      <c r="X3689" s="9"/>
    </row>
    <row r="3690">
      <c r="D3690" s="9"/>
      <c r="G3690" s="9"/>
      <c r="J3690" s="11"/>
      <c r="U3690" s="9"/>
      <c r="X3690" s="9"/>
    </row>
    <row r="3691">
      <c r="D3691" s="9"/>
      <c r="G3691" s="9"/>
      <c r="J3691" s="11"/>
      <c r="U3691" s="9"/>
      <c r="X3691" s="9"/>
    </row>
    <row r="3692">
      <c r="D3692" s="9"/>
      <c r="G3692" s="9"/>
      <c r="J3692" s="11"/>
      <c r="U3692" s="9"/>
      <c r="X3692" s="9"/>
    </row>
    <row r="3693">
      <c r="D3693" s="9"/>
      <c r="G3693" s="9"/>
      <c r="J3693" s="11"/>
      <c r="U3693" s="9"/>
      <c r="X3693" s="9"/>
    </row>
    <row r="3694">
      <c r="D3694" s="9"/>
      <c r="G3694" s="9"/>
      <c r="J3694" s="11"/>
      <c r="U3694" s="9"/>
      <c r="X3694" s="9"/>
    </row>
    <row r="3695">
      <c r="D3695" s="9"/>
      <c r="G3695" s="9"/>
      <c r="J3695" s="11"/>
      <c r="U3695" s="9"/>
      <c r="X3695" s="9"/>
    </row>
    <row r="3696">
      <c r="D3696" s="9"/>
      <c r="G3696" s="9"/>
      <c r="J3696" s="11"/>
      <c r="U3696" s="9"/>
      <c r="X3696" s="9"/>
    </row>
    <row r="3697">
      <c r="D3697" s="9"/>
      <c r="G3697" s="9"/>
      <c r="J3697" s="11"/>
      <c r="U3697" s="9"/>
      <c r="X3697" s="9"/>
    </row>
    <row r="3698">
      <c r="D3698" s="9"/>
      <c r="G3698" s="9"/>
      <c r="J3698" s="11"/>
      <c r="U3698" s="9"/>
      <c r="X3698" s="9"/>
    </row>
    <row r="3699">
      <c r="D3699" s="9"/>
      <c r="G3699" s="9"/>
      <c r="J3699" s="11"/>
      <c r="U3699" s="9"/>
      <c r="X3699" s="9"/>
    </row>
    <row r="3700">
      <c r="D3700" s="9"/>
      <c r="G3700" s="9"/>
      <c r="J3700" s="11"/>
      <c r="U3700" s="9"/>
      <c r="X3700" s="9"/>
    </row>
    <row r="3701">
      <c r="D3701" s="9"/>
      <c r="G3701" s="9"/>
      <c r="J3701" s="11"/>
      <c r="U3701" s="9"/>
      <c r="X3701" s="9"/>
    </row>
    <row r="3702">
      <c r="D3702" s="9"/>
      <c r="G3702" s="9"/>
      <c r="J3702" s="11"/>
      <c r="U3702" s="9"/>
      <c r="X3702" s="9"/>
    </row>
    <row r="3703">
      <c r="D3703" s="9"/>
      <c r="G3703" s="9"/>
      <c r="J3703" s="11"/>
      <c r="U3703" s="9"/>
      <c r="X3703" s="9"/>
    </row>
    <row r="3704">
      <c r="D3704" s="9"/>
      <c r="G3704" s="9"/>
      <c r="J3704" s="11"/>
      <c r="U3704" s="9"/>
      <c r="X3704" s="9"/>
    </row>
    <row r="3705">
      <c r="D3705" s="9"/>
      <c r="G3705" s="9"/>
      <c r="J3705" s="11"/>
      <c r="U3705" s="9"/>
      <c r="X3705" s="9"/>
    </row>
    <row r="3706">
      <c r="D3706" s="9"/>
      <c r="G3706" s="9"/>
      <c r="J3706" s="11"/>
      <c r="U3706" s="9"/>
      <c r="X3706" s="9"/>
    </row>
    <row r="3707">
      <c r="D3707" s="9"/>
      <c r="G3707" s="9"/>
      <c r="J3707" s="11"/>
      <c r="U3707" s="9"/>
      <c r="X3707" s="9"/>
    </row>
    <row r="3708">
      <c r="D3708" s="9"/>
      <c r="G3708" s="9"/>
      <c r="J3708" s="11"/>
      <c r="U3708" s="9"/>
      <c r="X3708" s="9"/>
    </row>
    <row r="3709">
      <c r="D3709" s="9"/>
      <c r="G3709" s="9"/>
      <c r="J3709" s="11"/>
      <c r="U3709" s="9"/>
      <c r="X3709" s="9"/>
    </row>
    <row r="3710">
      <c r="D3710" s="9"/>
      <c r="G3710" s="9"/>
      <c r="J3710" s="11"/>
      <c r="U3710" s="9"/>
      <c r="X3710" s="9"/>
    </row>
    <row r="3711">
      <c r="D3711" s="9"/>
      <c r="G3711" s="9"/>
      <c r="J3711" s="11"/>
      <c r="U3711" s="9"/>
      <c r="X3711" s="9"/>
    </row>
    <row r="3712">
      <c r="D3712" s="9"/>
      <c r="G3712" s="9"/>
      <c r="J3712" s="11"/>
      <c r="U3712" s="9"/>
      <c r="X3712" s="9"/>
    </row>
    <row r="3713">
      <c r="D3713" s="9"/>
      <c r="G3713" s="9"/>
      <c r="J3713" s="11"/>
      <c r="U3713" s="9"/>
      <c r="X3713" s="9"/>
    </row>
    <row r="3714">
      <c r="D3714" s="9"/>
      <c r="G3714" s="9"/>
      <c r="J3714" s="11"/>
      <c r="U3714" s="9"/>
      <c r="X3714" s="9"/>
    </row>
    <row r="3715">
      <c r="D3715" s="9"/>
      <c r="G3715" s="9"/>
      <c r="J3715" s="11"/>
      <c r="U3715" s="9"/>
      <c r="X3715" s="9"/>
    </row>
    <row r="3716">
      <c r="D3716" s="9"/>
      <c r="G3716" s="9"/>
      <c r="J3716" s="11"/>
      <c r="U3716" s="9"/>
      <c r="X3716" s="9"/>
    </row>
    <row r="3717">
      <c r="D3717" s="9"/>
      <c r="G3717" s="9"/>
      <c r="J3717" s="11"/>
      <c r="U3717" s="9"/>
      <c r="X3717" s="9"/>
    </row>
    <row r="3718">
      <c r="D3718" s="9"/>
      <c r="G3718" s="9"/>
      <c r="J3718" s="11"/>
      <c r="U3718" s="9"/>
      <c r="X3718" s="9"/>
    </row>
    <row r="3719">
      <c r="D3719" s="9"/>
      <c r="G3719" s="9"/>
      <c r="J3719" s="11"/>
      <c r="U3719" s="9"/>
      <c r="X3719" s="9"/>
    </row>
    <row r="3720">
      <c r="D3720" s="9"/>
      <c r="G3720" s="9"/>
      <c r="J3720" s="11"/>
      <c r="U3720" s="9"/>
      <c r="X3720" s="9"/>
    </row>
    <row r="3721">
      <c r="D3721" s="9"/>
      <c r="G3721" s="9"/>
      <c r="J3721" s="11"/>
      <c r="U3721" s="9"/>
      <c r="X3721" s="9"/>
    </row>
    <row r="3722">
      <c r="D3722" s="9"/>
      <c r="G3722" s="9"/>
      <c r="J3722" s="11"/>
      <c r="U3722" s="9"/>
      <c r="X3722" s="9"/>
    </row>
    <row r="3723">
      <c r="D3723" s="9"/>
      <c r="G3723" s="9"/>
      <c r="J3723" s="11"/>
      <c r="U3723" s="9"/>
      <c r="X3723" s="9"/>
    </row>
    <row r="3724">
      <c r="D3724" s="9"/>
      <c r="G3724" s="9"/>
      <c r="J3724" s="11"/>
      <c r="U3724" s="9"/>
      <c r="X3724" s="9"/>
    </row>
    <row r="3725">
      <c r="D3725" s="9"/>
      <c r="G3725" s="9"/>
      <c r="J3725" s="11"/>
      <c r="U3725" s="9"/>
      <c r="X3725" s="9"/>
    </row>
    <row r="3726">
      <c r="D3726" s="9"/>
      <c r="G3726" s="9"/>
      <c r="J3726" s="11"/>
      <c r="U3726" s="9"/>
      <c r="X3726" s="9"/>
    </row>
    <row r="3727">
      <c r="D3727" s="9"/>
      <c r="G3727" s="9"/>
      <c r="J3727" s="11"/>
      <c r="U3727" s="9"/>
      <c r="X3727" s="9"/>
    </row>
    <row r="3728">
      <c r="D3728" s="9"/>
      <c r="G3728" s="9"/>
      <c r="J3728" s="11"/>
      <c r="U3728" s="9"/>
      <c r="X3728" s="9"/>
    </row>
    <row r="3729">
      <c r="D3729" s="9"/>
      <c r="G3729" s="9"/>
      <c r="J3729" s="11"/>
      <c r="U3729" s="9"/>
      <c r="X3729" s="9"/>
    </row>
    <row r="3730">
      <c r="D3730" s="9"/>
      <c r="G3730" s="9"/>
      <c r="J3730" s="11"/>
      <c r="U3730" s="9"/>
      <c r="X3730" s="9"/>
    </row>
    <row r="3731">
      <c r="D3731" s="9"/>
      <c r="G3731" s="9"/>
      <c r="J3731" s="11"/>
      <c r="U3731" s="9"/>
      <c r="X3731" s="9"/>
    </row>
    <row r="3732">
      <c r="D3732" s="9"/>
      <c r="G3732" s="9"/>
      <c r="J3732" s="11"/>
      <c r="U3732" s="9"/>
      <c r="X3732" s="9"/>
    </row>
    <row r="3733">
      <c r="D3733" s="9"/>
      <c r="G3733" s="9"/>
      <c r="J3733" s="11"/>
      <c r="U3733" s="9"/>
      <c r="X3733" s="9"/>
    </row>
    <row r="3734">
      <c r="D3734" s="9"/>
      <c r="G3734" s="9"/>
      <c r="J3734" s="11"/>
      <c r="U3734" s="9"/>
      <c r="X3734" s="9"/>
    </row>
    <row r="3735">
      <c r="D3735" s="9"/>
      <c r="G3735" s="9"/>
      <c r="J3735" s="11"/>
      <c r="U3735" s="9"/>
      <c r="X3735" s="9"/>
    </row>
    <row r="3736">
      <c r="D3736" s="9"/>
      <c r="G3736" s="9"/>
      <c r="J3736" s="11"/>
      <c r="U3736" s="9"/>
      <c r="X3736" s="9"/>
    </row>
    <row r="3737">
      <c r="D3737" s="9"/>
      <c r="G3737" s="9"/>
      <c r="J3737" s="11"/>
      <c r="U3737" s="9"/>
      <c r="X3737" s="9"/>
    </row>
    <row r="3738">
      <c r="D3738" s="9"/>
      <c r="G3738" s="9"/>
      <c r="J3738" s="11"/>
      <c r="U3738" s="9"/>
      <c r="X3738" s="9"/>
    </row>
    <row r="3739">
      <c r="D3739" s="9"/>
      <c r="G3739" s="9"/>
      <c r="J3739" s="11"/>
      <c r="U3739" s="9"/>
      <c r="X3739" s="9"/>
    </row>
    <row r="3740">
      <c r="D3740" s="9"/>
      <c r="G3740" s="9"/>
      <c r="J3740" s="11"/>
      <c r="U3740" s="9"/>
      <c r="X3740" s="9"/>
    </row>
    <row r="3741">
      <c r="D3741" s="9"/>
      <c r="G3741" s="9"/>
      <c r="J3741" s="11"/>
      <c r="U3741" s="9"/>
      <c r="X3741" s="9"/>
    </row>
    <row r="3742">
      <c r="D3742" s="9"/>
      <c r="G3742" s="9"/>
      <c r="J3742" s="11"/>
      <c r="U3742" s="9"/>
      <c r="X3742" s="9"/>
    </row>
    <row r="3743">
      <c r="D3743" s="9"/>
      <c r="G3743" s="9"/>
      <c r="J3743" s="11"/>
      <c r="U3743" s="9"/>
      <c r="X3743" s="9"/>
    </row>
    <row r="3744">
      <c r="D3744" s="9"/>
      <c r="G3744" s="9"/>
      <c r="J3744" s="11"/>
      <c r="U3744" s="9"/>
      <c r="X3744" s="9"/>
    </row>
    <row r="3745">
      <c r="D3745" s="9"/>
      <c r="G3745" s="9"/>
      <c r="J3745" s="11"/>
      <c r="U3745" s="9"/>
      <c r="X3745" s="9"/>
    </row>
    <row r="3746">
      <c r="D3746" s="9"/>
      <c r="G3746" s="9"/>
      <c r="J3746" s="11"/>
      <c r="U3746" s="9"/>
      <c r="X3746" s="9"/>
    </row>
    <row r="3747">
      <c r="D3747" s="9"/>
      <c r="G3747" s="9"/>
      <c r="J3747" s="11"/>
      <c r="U3747" s="9"/>
      <c r="X3747" s="9"/>
    </row>
    <row r="3748">
      <c r="D3748" s="9"/>
      <c r="G3748" s="9"/>
      <c r="J3748" s="11"/>
      <c r="U3748" s="9"/>
      <c r="X3748" s="9"/>
    </row>
    <row r="3749">
      <c r="D3749" s="9"/>
      <c r="G3749" s="9"/>
      <c r="J3749" s="11"/>
      <c r="U3749" s="9"/>
      <c r="X3749" s="9"/>
    </row>
    <row r="3750">
      <c r="D3750" s="9"/>
      <c r="G3750" s="9"/>
      <c r="J3750" s="11"/>
      <c r="U3750" s="9"/>
      <c r="X3750" s="9"/>
    </row>
    <row r="3751">
      <c r="D3751" s="9"/>
      <c r="G3751" s="9"/>
      <c r="J3751" s="11"/>
      <c r="U3751" s="9"/>
      <c r="X3751" s="9"/>
    </row>
    <row r="3752">
      <c r="D3752" s="9"/>
      <c r="G3752" s="9"/>
      <c r="J3752" s="11"/>
      <c r="U3752" s="9"/>
      <c r="X3752" s="9"/>
    </row>
    <row r="3753">
      <c r="D3753" s="9"/>
      <c r="G3753" s="9"/>
      <c r="J3753" s="11"/>
      <c r="U3753" s="9"/>
      <c r="X3753" s="9"/>
    </row>
    <row r="3754">
      <c r="D3754" s="9"/>
      <c r="G3754" s="9"/>
      <c r="J3754" s="11"/>
      <c r="U3754" s="9"/>
      <c r="X3754" s="9"/>
    </row>
    <row r="3755">
      <c r="D3755" s="9"/>
      <c r="G3755" s="9"/>
      <c r="J3755" s="11"/>
      <c r="U3755" s="9"/>
      <c r="X3755" s="9"/>
    </row>
    <row r="3756">
      <c r="D3756" s="9"/>
      <c r="G3756" s="9"/>
      <c r="J3756" s="11"/>
      <c r="U3756" s="9"/>
      <c r="X3756" s="9"/>
    </row>
    <row r="3757">
      <c r="D3757" s="9"/>
      <c r="G3757" s="9"/>
      <c r="J3757" s="11"/>
      <c r="U3757" s="9"/>
      <c r="X3757" s="9"/>
    </row>
    <row r="3758">
      <c r="D3758" s="9"/>
      <c r="G3758" s="9"/>
      <c r="J3758" s="11"/>
      <c r="U3758" s="9"/>
      <c r="X3758" s="9"/>
    </row>
    <row r="3759">
      <c r="D3759" s="9"/>
      <c r="G3759" s="9"/>
      <c r="J3759" s="11"/>
      <c r="U3759" s="9"/>
      <c r="X3759" s="9"/>
    </row>
    <row r="3760">
      <c r="D3760" s="9"/>
      <c r="G3760" s="9"/>
      <c r="J3760" s="11"/>
      <c r="U3760" s="9"/>
      <c r="X3760" s="9"/>
    </row>
    <row r="3761">
      <c r="D3761" s="9"/>
      <c r="G3761" s="9"/>
      <c r="J3761" s="11"/>
      <c r="U3761" s="9"/>
      <c r="X3761" s="9"/>
    </row>
    <row r="3762">
      <c r="D3762" s="9"/>
      <c r="G3762" s="9"/>
      <c r="J3762" s="11"/>
      <c r="U3762" s="9"/>
      <c r="X3762" s="9"/>
    </row>
    <row r="3763">
      <c r="D3763" s="9"/>
      <c r="G3763" s="9"/>
      <c r="J3763" s="11"/>
      <c r="U3763" s="9"/>
      <c r="X3763" s="9"/>
    </row>
    <row r="3764">
      <c r="D3764" s="9"/>
      <c r="G3764" s="9"/>
      <c r="J3764" s="11"/>
      <c r="U3764" s="9"/>
      <c r="X3764" s="9"/>
    </row>
    <row r="3765">
      <c r="D3765" s="9"/>
      <c r="G3765" s="9"/>
      <c r="J3765" s="11"/>
      <c r="U3765" s="9"/>
      <c r="X3765" s="9"/>
    </row>
    <row r="3766">
      <c r="D3766" s="9"/>
      <c r="G3766" s="9"/>
      <c r="J3766" s="11"/>
      <c r="U3766" s="9"/>
      <c r="X3766" s="9"/>
    </row>
    <row r="3767">
      <c r="D3767" s="9"/>
      <c r="G3767" s="9"/>
      <c r="J3767" s="11"/>
      <c r="U3767" s="9"/>
      <c r="X3767" s="9"/>
    </row>
    <row r="3768">
      <c r="D3768" s="9"/>
      <c r="G3768" s="9"/>
      <c r="J3768" s="11"/>
      <c r="U3768" s="9"/>
      <c r="X3768" s="9"/>
    </row>
    <row r="3769">
      <c r="D3769" s="9"/>
      <c r="G3769" s="9"/>
      <c r="J3769" s="11"/>
      <c r="U3769" s="9"/>
      <c r="X3769" s="9"/>
    </row>
    <row r="3770">
      <c r="D3770" s="9"/>
      <c r="G3770" s="9"/>
      <c r="J3770" s="11"/>
      <c r="U3770" s="9"/>
      <c r="X3770" s="9"/>
    </row>
    <row r="3771">
      <c r="D3771" s="9"/>
      <c r="G3771" s="9"/>
      <c r="J3771" s="11"/>
      <c r="U3771" s="9"/>
      <c r="X3771" s="9"/>
    </row>
    <row r="3772">
      <c r="D3772" s="9"/>
      <c r="G3772" s="9"/>
      <c r="J3772" s="11"/>
      <c r="U3772" s="9"/>
      <c r="X3772" s="9"/>
    </row>
    <row r="3773">
      <c r="D3773" s="9"/>
      <c r="G3773" s="9"/>
      <c r="J3773" s="11"/>
      <c r="U3773" s="9"/>
      <c r="X3773" s="9"/>
    </row>
    <row r="3774">
      <c r="D3774" s="9"/>
      <c r="G3774" s="9"/>
      <c r="J3774" s="11"/>
      <c r="U3774" s="9"/>
      <c r="X3774" s="9"/>
    </row>
    <row r="3775">
      <c r="D3775" s="9"/>
      <c r="G3775" s="9"/>
      <c r="J3775" s="11"/>
      <c r="U3775" s="9"/>
      <c r="X3775" s="9"/>
    </row>
    <row r="3776">
      <c r="D3776" s="9"/>
      <c r="G3776" s="9"/>
      <c r="J3776" s="11"/>
      <c r="U3776" s="9"/>
      <c r="X3776" s="9"/>
    </row>
    <row r="3777">
      <c r="D3777" s="9"/>
      <c r="G3777" s="9"/>
      <c r="J3777" s="11"/>
      <c r="U3777" s="9"/>
      <c r="X3777" s="9"/>
    </row>
    <row r="3778">
      <c r="D3778" s="9"/>
      <c r="G3778" s="9"/>
      <c r="J3778" s="11"/>
      <c r="U3778" s="9"/>
      <c r="X3778" s="9"/>
    </row>
    <row r="3779">
      <c r="D3779" s="9"/>
      <c r="G3779" s="9"/>
      <c r="J3779" s="11"/>
      <c r="U3779" s="9"/>
      <c r="X3779" s="9"/>
    </row>
    <row r="3780">
      <c r="D3780" s="9"/>
      <c r="G3780" s="9"/>
      <c r="J3780" s="11"/>
      <c r="U3780" s="9"/>
      <c r="X3780" s="9"/>
    </row>
    <row r="3781">
      <c r="D3781" s="9"/>
      <c r="G3781" s="9"/>
      <c r="J3781" s="11"/>
      <c r="U3781" s="9"/>
      <c r="X3781" s="9"/>
    </row>
    <row r="3782">
      <c r="D3782" s="9"/>
      <c r="G3782" s="9"/>
      <c r="J3782" s="11"/>
      <c r="U3782" s="9"/>
      <c r="X3782" s="9"/>
    </row>
    <row r="3783">
      <c r="D3783" s="9"/>
      <c r="G3783" s="9"/>
      <c r="J3783" s="11"/>
      <c r="U3783" s="9"/>
      <c r="X3783" s="9"/>
    </row>
    <row r="3784">
      <c r="D3784" s="9"/>
      <c r="G3784" s="9"/>
      <c r="J3784" s="11"/>
      <c r="U3784" s="9"/>
      <c r="X3784" s="9"/>
    </row>
    <row r="3785">
      <c r="D3785" s="9"/>
      <c r="G3785" s="9"/>
      <c r="J3785" s="11"/>
      <c r="U3785" s="9"/>
      <c r="X3785" s="9"/>
    </row>
    <row r="3786">
      <c r="D3786" s="9"/>
      <c r="G3786" s="9"/>
      <c r="J3786" s="11"/>
      <c r="U3786" s="9"/>
      <c r="X3786" s="9"/>
    </row>
    <row r="3787">
      <c r="D3787" s="9"/>
      <c r="G3787" s="9"/>
      <c r="J3787" s="11"/>
      <c r="U3787" s="9"/>
      <c r="X3787" s="9"/>
    </row>
    <row r="3788">
      <c r="D3788" s="9"/>
      <c r="G3788" s="9"/>
      <c r="J3788" s="11"/>
      <c r="U3788" s="9"/>
      <c r="X3788" s="9"/>
    </row>
    <row r="3789">
      <c r="D3789" s="9"/>
      <c r="G3789" s="9"/>
      <c r="J3789" s="11"/>
      <c r="U3789" s="9"/>
      <c r="X3789" s="9"/>
    </row>
    <row r="3790">
      <c r="D3790" s="9"/>
      <c r="G3790" s="9"/>
      <c r="J3790" s="11"/>
      <c r="U3790" s="9"/>
      <c r="X3790" s="9"/>
    </row>
    <row r="3791">
      <c r="D3791" s="9"/>
      <c r="G3791" s="9"/>
      <c r="J3791" s="11"/>
      <c r="U3791" s="9"/>
      <c r="X3791" s="9"/>
    </row>
    <row r="3792">
      <c r="D3792" s="9"/>
      <c r="G3792" s="9"/>
      <c r="J3792" s="11"/>
      <c r="U3792" s="9"/>
      <c r="X3792" s="9"/>
    </row>
    <row r="3793">
      <c r="D3793" s="9"/>
      <c r="G3793" s="9"/>
      <c r="J3793" s="11"/>
      <c r="U3793" s="9"/>
      <c r="X3793" s="9"/>
    </row>
    <row r="3794">
      <c r="D3794" s="9"/>
      <c r="G3794" s="9"/>
      <c r="J3794" s="11"/>
      <c r="U3794" s="9"/>
      <c r="X3794" s="9"/>
    </row>
    <row r="3795">
      <c r="D3795" s="9"/>
      <c r="G3795" s="9"/>
      <c r="J3795" s="11"/>
      <c r="U3795" s="9"/>
      <c r="X3795" s="9"/>
    </row>
    <row r="3796">
      <c r="D3796" s="9"/>
      <c r="G3796" s="9"/>
      <c r="J3796" s="11"/>
      <c r="U3796" s="9"/>
      <c r="X3796" s="9"/>
    </row>
    <row r="3797">
      <c r="D3797" s="9"/>
      <c r="G3797" s="9"/>
      <c r="J3797" s="11"/>
      <c r="U3797" s="9"/>
      <c r="X3797" s="9"/>
    </row>
    <row r="3798">
      <c r="D3798" s="9"/>
      <c r="G3798" s="9"/>
      <c r="J3798" s="11"/>
      <c r="U3798" s="9"/>
      <c r="X3798" s="9"/>
    </row>
    <row r="3799">
      <c r="D3799" s="9"/>
      <c r="G3799" s="9"/>
      <c r="J3799" s="11"/>
      <c r="U3799" s="9"/>
      <c r="X3799" s="9"/>
    </row>
    <row r="3800">
      <c r="D3800" s="9"/>
      <c r="G3800" s="9"/>
      <c r="J3800" s="11"/>
      <c r="U3800" s="9"/>
      <c r="X3800" s="9"/>
    </row>
    <row r="3801">
      <c r="D3801" s="9"/>
      <c r="G3801" s="9"/>
      <c r="J3801" s="11"/>
      <c r="U3801" s="9"/>
      <c r="X3801" s="9"/>
    </row>
    <row r="3802">
      <c r="D3802" s="9"/>
      <c r="G3802" s="9"/>
      <c r="J3802" s="11"/>
      <c r="U3802" s="9"/>
      <c r="X3802" s="9"/>
    </row>
    <row r="3803">
      <c r="D3803" s="9"/>
      <c r="G3803" s="9"/>
      <c r="J3803" s="11"/>
      <c r="U3803" s="9"/>
      <c r="X3803" s="9"/>
    </row>
    <row r="3804">
      <c r="D3804" s="9"/>
      <c r="G3804" s="9"/>
      <c r="J3804" s="11"/>
      <c r="U3804" s="9"/>
      <c r="X3804" s="9"/>
    </row>
    <row r="3805">
      <c r="D3805" s="9"/>
      <c r="G3805" s="9"/>
      <c r="J3805" s="11"/>
      <c r="U3805" s="9"/>
      <c r="X3805" s="9"/>
    </row>
    <row r="3806">
      <c r="D3806" s="9"/>
      <c r="G3806" s="9"/>
      <c r="J3806" s="11"/>
      <c r="U3806" s="9"/>
      <c r="X3806" s="9"/>
    </row>
    <row r="3807">
      <c r="D3807" s="9"/>
      <c r="G3807" s="9"/>
      <c r="J3807" s="11"/>
      <c r="U3807" s="9"/>
      <c r="X3807" s="9"/>
    </row>
    <row r="3808">
      <c r="D3808" s="9"/>
      <c r="G3808" s="9"/>
      <c r="J3808" s="11"/>
      <c r="U3808" s="9"/>
      <c r="X3808" s="9"/>
    </row>
    <row r="3809">
      <c r="D3809" s="9"/>
      <c r="G3809" s="9"/>
      <c r="J3809" s="11"/>
      <c r="U3809" s="9"/>
      <c r="X3809" s="9"/>
    </row>
    <row r="3810">
      <c r="D3810" s="9"/>
      <c r="G3810" s="9"/>
      <c r="J3810" s="11"/>
      <c r="U3810" s="9"/>
      <c r="X3810" s="9"/>
    </row>
    <row r="3811">
      <c r="D3811" s="9"/>
      <c r="G3811" s="9"/>
      <c r="J3811" s="11"/>
      <c r="U3811" s="9"/>
      <c r="X3811" s="9"/>
    </row>
    <row r="3812">
      <c r="D3812" s="9"/>
      <c r="G3812" s="9"/>
      <c r="J3812" s="11"/>
      <c r="U3812" s="9"/>
      <c r="X3812" s="9"/>
    </row>
    <row r="3813">
      <c r="D3813" s="9"/>
      <c r="G3813" s="9"/>
      <c r="J3813" s="11"/>
      <c r="U3813" s="9"/>
      <c r="X3813" s="9"/>
    </row>
    <row r="3814">
      <c r="D3814" s="9"/>
      <c r="G3814" s="9"/>
      <c r="J3814" s="11"/>
      <c r="U3814" s="9"/>
      <c r="X3814" s="9"/>
    </row>
    <row r="3815">
      <c r="D3815" s="9"/>
      <c r="G3815" s="9"/>
      <c r="J3815" s="11"/>
      <c r="U3815" s="9"/>
      <c r="X3815" s="9"/>
    </row>
    <row r="3816">
      <c r="D3816" s="9"/>
      <c r="G3816" s="9"/>
      <c r="J3816" s="11"/>
      <c r="U3816" s="9"/>
      <c r="X3816" s="9"/>
    </row>
    <row r="3817">
      <c r="D3817" s="9"/>
      <c r="G3817" s="9"/>
      <c r="J3817" s="11"/>
      <c r="U3817" s="9"/>
      <c r="X3817" s="9"/>
    </row>
    <row r="3818">
      <c r="D3818" s="9"/>
      <c r="G3818" s="9"/>
      <c r="J3818" s="11"/>
      <c r="U3818" s="9"/>
      <c r="X3818" s="9"/>
    </row>
    <row r="3819">
      <c r="D3819" s="9"/>
      <c r="G3819" s="9"/>
      <c r="J3819" s="11"/>
      <c r="U3819" s="9"/>
      <c r="X3819" s="9"/>
    </row>
    <row r="3820">
      <c r="D3820" s="9"/>
      <c r="G3820" s="9"/>
      <c r="J3820" s="11"/>
      <c r="U3820" s="9"/>
      <c r="X3820" s="9"/>
    </row>
    <row r="3821">
      <c r="D3821" s="9"/>
      <c r="G3821" s="9"/>
      <c r="J3821" s="11"/>
      <c r="U3821" s="9"/>
      <c r="X3821" s="9"/>
    </row>
    <row r="3822">
      <c r="D3822" s="9"/>
      <c r="G3822" s="9"/>
      <c r="J3822" s="11"/>
      <c r="U3822" s="9"/>
      <c r="X3822" s="9"/>
    </row>
    <row r="3823">
      <c r="D3823" s="9"/>
      <c r="G3823" s="9"/>
      <c r="J3823" s="11"/>
      <c r="U3823" s="9"/>
      <c r="X3823" s="9"/>
    </row>
    <row r="3824">
      <c r="D3824" s="9"/>
      <c r="G3824" s="9"/>
      <c r="J3824" s="11"/>
      <c r="U3824" s="9"/>
      <c r="X3824" s="9"/>
    </row>
    <row r="3825">
      <c r="D3825" s="9"/>
      <c r="G3825" s="9"/>
      <c r="J3825" s="11"/>
      <c r="U3825" s="9"/>
      <c r="X3825" s="9"/>
    </row>
    <row r="3826">
      <c r="D3826" s="9"/>
      <c r="G3826" s="9"/>
      <c r="J3826" s="11"/>
      <c r="U3826" s="9"/>
      <c r="X3826" s="9"/>
    </row>
    <row r="3827">
      <c r="D3827" s="9"/>
      <c r="G3827" s="9"/>
      <c r="J3827" s="11"/>
      <c r="U3827" s="9"/>
      <c r="X3827" s="9"/>
    </row>
    <row r="3828">
      <c r="D3828" s="9"/>
      <c r="G3828" s="9"/>
      <c r="J3828" s="11"/>
      <c r="U3828" s="9"/>
      <c r="X3828" s="9"/>
    </row>
    <row r="3829">
      <c r="D3829" s="9"/>
      <c r="G3829" s="9"/>
      <c r="J3829" s="11"/>
      <c r="U3829" s="9"/>
      <c r="X3829" s="9"/>
    </row>
    <row r="3830">
      <c r="D3830" s="9"/>
      <c r="G3830" s="9"/>
      <c r="J3830" s="11"/>
      <c r="U3830" s="9"/>
      <c r="X3830" s="9"/>
    </row>
    <row r="3831">
      <c r="D3831" s="9"/>
      <c r="G3831" s="9"/>
      <c r="J3831" s="11"/>
      <c r="U3831" s="9"/>
      <c r="X3831" s="9"/>
    </row>
    <row r="3832">
      <c r="D3832" s="9"/>
      <c r="G3832" s="9"/>
      <c r="J3832" s="11"/>
      <c r="U3832" s="9"/>
      <c r="X3832" s="9"/>
    </row>
    <row r="3833">
      <c r="D3833" s="9"/>
      <c r="G3833" s="9"/>
      <c r="J3833" s="11"/>
      <c r="U3833" s="9"/>
      <c r="X3833" s="9"/>
    </row>
    <row r="3834">
      <c r="D3834" s="9"/>
      <c r="G3834" s="9"/>
      <c r="J3834" s="11"/>
      <c r="U3834" s="9"/>
      <c r="X3834" s="9"/>
    </row>
    <row r="3835">
      <c r="D3835" s="9"/>
      <c r="G3835" s="9"/>
      <c r="J3835" s="11"/>
      <c r="U3835" s="9"/>
      <c r="X3835" s="9"/>
    </row>
    <row r="3836">
      <c r="D3836" s="9"/>
      <c r="G3836" s="9"/>
      <c r="J3836" s="11"/>
      <c r="U3836" s="9"/>
      <c r="X3836" s="9"/>
    </row>
    <row r="3837">
      <c r="D3837" s="9"/>
      <c r="G3837" s="9"/>
      <c r="J3837" s="11"/>
      <c r="U3837" s="9"/>
      <c r="X3837" s="9"/>
    </row>
    <row r="3838">
      <c r="D3838" s="9"/>
      <c r="G3838" s="9"/>
      <c r="J3838" s="11"/>
      <c r="U3838" s="9"/>
      <c r="X3838" s="9"/>
    </row>
    <row r="3839">
      <c r="D3839" s="9"/>
      <c r="G3839" s="9"/>
      <c r="J3839" s="11"/>
      <c r="U3839" s="9"/>
      <c r="X3839" s="9"/>
    </row>
    <row r="3840">
      <c r="D3840" s="9"/>
      <c r="G3840" s="9"/>
      <c r="J3840" s="11"/>
      <c r="U3840" s="9"/>
      <c r="X3840" s="9"/>
    </row>
    <row r="3841">
      <c r="D3841" s="9"/>
      <c r="G3841" s="9"/>
      <c r="J3841" s="11"/>
      <c r="U3841" s="9"/>
      <c r="X3841" s="9"/>
    </row>
    <row r="3842">
      <c r="D3842" s="9"/>
      <c r="G3842" s="9"/>
      <c r="J3842" s="11"/>
      <c r="U3842" s="9"/>
      <c r="X3842" s="9"/>
    </row>
    <row r="3843">
      <c r="D3843" s="9"/>
      <c r="G3843" s="9"/>
      <c r="J3843" s="11"/>
      <c r="U3843" s="9"/>
      <c r="X3843" s="9"/>
    </row>
    <row r="3844">
      <c r="D3844" s="9"/>
      <c r="G3844" s="9"/>
      <c r="J3844" s="11"/>
      <c r="U3844" s="9"/>
      <c r="X3844" s="9"/>
    </row>
    <row r="3845">
      <c r="D3845" s="9"/>
      <c r="G3845" s="9"/>
      <c r="J3845" s="11"/>
      <c r="U3845" s="9"/>
      <c r="X3845" s="9"/>
    </row>
    <row r="3846">
      <c r="D3846" s="9"/>
      <c r="G3846" s="9"/>
      <c r="J3846" s="11"/>
      <c r="U3846" s="9"/>
      <c r="X3846" s="9"/>
    </row>
    <row r="3847">
      <c r="D3847" s="9"/>
      <c r="G3847" s="9"/>
      <c r="J3847" s="11"/>
      <c r="U3847" s="9"/>
      <c r="X3847" s="9"/>
    </row>
    <row r="3848">
      <c r="D3848" s="9"/>
      <c r="G3848" s="9"/>
      <c r="J3848" s="11"/>
      <c r="U3848" s="9"/>
      <c r="X3848" s="9"/>
    </row>
    <row r="3849">
      <c r="D3849" s="9"/>
      <c r="G3849" s="9"/>
      <c r="J3849" s="11"/>
      <c r="U3849" s="9"/>
      <c r="X3849" s="9"/>
    </row>
    <row r="3850">
      <c r="D3850" s="9"/>
      <c r="G3850" s="9"/>
      <c r="J3850" s="11"/>
      <c r="U3850" s="9"/>
      <c r="X3850" s="9"/>
    </row>
    <row r="3851">
      <c r="D3851" s="9"/>
      <c r="G3851" s="9"/>
      <c r="J3851" s="11"/>
      <c r="U3851" s="9"/>
      <c r="X3851" s="9"/>
    </row>
    <row r="3852">
      <c r="D3852" s="9"/>
      <c r="G3852" s="9"/>
      <c r="J3852" s="11"/>
      <c r="U3852" s="9"/>
      <c r="X3852" s="9"/>
    </row>
    <row r="3853">
      <c r="D3853" s="9"/>
      <c r="G3853" s="9"/>
      <c r="J3853" s="11"/>
      <c r="U3853" s="9"/>
      <c r="X3853" s="9"/>
    </row>
    <row r="3854">
      <c r="D3854" s="9"/>
      <c r="G3854" s="9"/>
      <c r="J3854" s="11"/>
      <c r="U3854" s="9"/>
      <c r="X3854" s="9"/>
    </row>
    <row r="3855">
      <c r="D3855" s="9"/>
      <c r="G3855" s="9"/>
      <c r="J3855" s="11"/>
      <c r="U3855" s="9"/>
      <c r="X3855" s="9"/>
    </row>
    <row r="3856">
      <c r="D3856" s="9"/>
      <c r="G3856" s="9"/>
      <c r="J3856" s="11"/>
      <c r="U3856" s="9"/>
      <c r="X3856" s="9"/>
    </row>
    <row r="3857">
      <c r="D3857" s="9"/>
      <c r="G3857" s="9"/>
      <c r="J3857" s="11"/>
      <c r="U3857" s="9"/>
      <c r="X3857" s="9"/>
    </row>
    <row r="3858">
      <c r="D3858" s="9"/>
      <c r="G3858" s="9"/>
      <c r="J3858" s="11"/>
      <c r="U3858" s="9"/>
      <c r="X3858" s="9"/>
    </row>
    <row r="3859">
      <c r="D3859" s="9"/>
      <c r="G3859" s="9"/>
      <c r="J3859" s="11"/>
      <c r="U3859" s="9"/>
      <c r="X3859" s="9"/>
    </row>
    <row r="3860">
      <c r="D3860" s="9"/>
      <c r="G3860" s="9"/>
      <c r="J3860" s="11"/>
      <c r="U3860" s="9"/>
      <c r="X3860" s="9"/>
    </row>
    <row r="3861">
      <c r="D3861" s="9"/>
      <c r="G3861" s="9"/>
      <c r="J3861" s="11"/>
      <c r="U3861" s="9"/>
      <c r="X3861" s="9"/>
    </row>
    <row r="3862">
      <c r="D3862" s="9"/>
      <c r="G3862" s="9"/>
      <c r="J3862" s="11"/>
      <c r="U3862" s="9"/>
      <c r="X3862" s="9"/>
    </row>
    <row r="3863">
      <c r="D3863" s="9"/>
      <c r="G3863" s="9"/>
      <c r="J3863" s="11"/>
      <c r="U3863" s="9"/>
      <c r="X3863" s="9"/>
    </row>
    <row r="3864">
      <c r="D3864" s="9"/>
      <c r="G3864" s="9"/>
      <c r="J3864" s="11"/>
      <c r="U3864" s="9"/>
      <c r="X3864" s="9"/>
    </row>
    <row r="3865">
      <c r="D3865" s="9"/>
      <c r="G3865" s="9"/>
      <c r="J3865" s="11"/>
      <c r="U3865" s="9"/>
      <c r="X3865" s="9"/>
    </row>
    <row r="3866">
      <c r="D3866" s="9"/>
      <c r="G3866" s="9"/>
      <c r="J3866" s="11"/>
      <c r="U3866" s="9"/>
      <c r="X3866" s="9"/>
    </row>
    <row r="3867">
      <c r="D3867" s="9"/>
      <c r="G3867" s="9"/>
      <c r="J3867" s="11"/>
      <c r="U3867" s="9"/>
      <c r="X3867" s="9"/>
    </row>
    <row r="3868">
      <c r="D3868" s="9"/>
      <c r="G3868" s="9"/>
      <c r="J3868" s="11"/>
      <c r="U3868" s="9"/>
      <c r="X3868" s="9"/>
    </row>
    <row r="3869">
      <c r="D3869" s="9"/>
      <c r="G3869" s="9"/>
      <c r="J3869" s="11"/>
      <c r="U3869" s="9"/>
      <c r="X3869" s="9"/>
    </row>
    <row r="3870">
      <c r="D3870" s="9"/>
      <c r="G3870" s="9"/>
      <c r="J3870" s="11"/>
      <c r="U3870" s="9"/>
      <c r="X3870" s="9"/>
    </row>
    <row r="3871">
      <c r="D3871" s="9"/>
      <c r="G3871" s="9"/>
      <c r="J3871" s="11"/>
      <c r="U3871" s="9"/>
      <c r="X3871" s="9"/>
    </row>
    <row r="3872">
      <c r="D3872" s="9"/>
      <c r="G3872" s="9"/>
      <c r="J3872" s="11"/>
      <c r="U3872" s="9"/>
      <c r="X3872" s="9"/>
    </row>
    <row r="3873">
      <c r="D3873" s="9"/>
      <c r="G3873" s="9"/>
      <c r="J3873" s="11"/>
      <c r="U3873" s="9"/>
      <c r="X3873" s="9"/>
    </row>
    <row r="3874">
      <c r="D3874" s="9"/>
      <c r="G3874" s="9"/>
      <c r="J3874" s="11"/>
      <c r="U3874" s="9"/>
      <c r="X3874" s="9"/>
    </row>
    <row r="3875">
      <c r="D3875" s="9"/>
      <c r="G3875" s="9"/>
      <c r="J3875" s="11"/>
      <c r="U3875" s="9"/>
      <c r="X3875" s="9"/>
    </row>
    <row r="3876">
      <c r="D3876" s="9"/>
      <c r="G3876" s="9"/>
      <c r="J3876" s="11"/>
      <c r="U3876" s="9"/>
      <c r="X3876" s="9"/>
    </row>
    <row r="3877">
      <c r="D3877" s="9"/>
      <c r="G3877" s="9"/>
      <c r="J3877" s="11"/>
      <c r="U3877" s="9"/>
      <c r="X3877" s="9"/>
    </row>
    <row r="3878">
      <c r="D3878" s="9"/>
      <c r="G3878" s="9"/>
      <c r="J3878" s="11"/>
      <c r="U3878" s="9"/>
      <c r="X3878" s="9"/>
    </row>
    <row r="3879">
      <c r="D3879" s="9"/>
      <c r="G3879" s="9"/>
      <c r="J3879" s="11"/>
      <c r="U3879" s="9"/>
      <c r="X3879" s="9"/>
    </row>
    <row r="3880">
      <c r="D3880" s="9"/>
      <c r="G3880" s="9"/>
      <c r="J3880" s="11"/>
      <c r="U3880" s="9"/>
      <c r="X3880" s="9"/>
    </row>
    <row r="3881">
      <c r="D3881" s="9"/>
      <c r="G3881" s="9"/>
      <c r="J3881" s="11"/>
      <c r="U3881" s="9"/>
      <c r="X3881" s="9"/>
    </row>
    <row r="3882">
      <c r="D3882" s="9"/>
      <c r="G3882" s="9"/>
      <c r="J3882" s="11"/>
      <c r="U3882" s="9"/>
      <c r="X3882" s="9"/>
    </row>
    <row r="3883">
      <c r="D3883" s="9"/>
      <c r="G3883" s="9"/>
      <c r="J3883" s="11"/>
      <c r="U3883" s="9"/>
      <c r="X3883" s="9"/>
    </row>
    <row r="3884">
      <c r="D3884" s="9"/>
      <c r="G3884" s="9"/>
      <c r="J3884" s="11"/>
      <c r="U3884" s="9"/>
      <c r="X3884" s="9"/>
    </row>
    <row r="3885">
      <c r="D3885" s="9"/>
      <c r="G3885" s="9"/>
      <c r="J3885" s="11"/>
      <c r="U3885" s="9"/>
      <c r="X3885" s="9"/>
    </row>
    <row r="3886">
      <c r="D3886" s="9"/>
      <c r="G3886" s="9"/>
      <c r="J3886" s="11"/>
      <c r="U3886" s="9"/>
      <c r="X3886" s="9"/>
    </row>
    <row r="3887">
      <c r="D3887" s="9"/>
      <c r="G3887" s="9"/>
      <c r="J3887" s="11"/>
      <c r="U3887" s="9"/>
      <c r="X3887" s="9"/>
    </row>
    <row r="3888">
      <c r="D3888" s="9"/>
      <c r="G3888" s="9"/>
      <c r="J3888" s="11"/>
      <c r="U3888" s="9"/>
      <c r="X3888" s="9"/>
    </row>
    <row r="3889">
      <c r="D3889" s="9"/>
      <c r="G3889" s="9"/>
      <c r="J3889" s="11"/>
      <c r="U3889" s="9"/>
      <c r="X3889" s="9"/>
    </row>
    <row r="3890">
      <c r="D3890" s="9"/>
      <c r="G3890" s="9"/>
      <c r="J3890" s="11"/>
      <c r="U3890" s="9"/>
      <c r="X3890" s="9"/>
    </row>
    <row r="3891">
      <c r="D3891" s="9"/>
      <c r="G3891" s="9"/>
      <c r="J3891" s="11"/>
      <c r="U3891" s="9"/>
      <c r="X3891" s="9"/>
    </row>
    <row r="3892">
      <c r="D3892" s="9"/>
      <c r="G3892" s="9"/>
      <c r="J3892" s="11"/>
      <c r="U3892" s="9"/>
      <c r="X3892" s="9"/>
    </row>
    <row r="3893">
      <c r="D3893" s="9"/>
      <c r="G3893" s="9"/>
      <c r="J3893" s="11"/>
      <c r="U3893" s="9"/>
      <c r="X3893" s="9"/>
    </row>
    <row r="3894">
      <c r="D3894" s="9"/>
      <c r="G3894" s="9"/>
      <c r="J3894" s="11"/>
      <c r="U3894" s="9"/>
      <c r="X3894" s="9"/>
    </row>
    <row r="3895">
      <c r="D3895" s="9"/>
      <c r="G3895" s="9"/>
      <c r="J3895" s="11"/>
      <c r="U3895" s="9"/>
      <c r="X3895" s="9"/>
    </row>
    <row r="3896">
      <c r="D3896" s="9"/>
      <c r="G3896" s="9"/>
      <c r="J3896" s="11"/>
      <c r="U3896" s="9"/>
      <c r="X3896" s="9"/>
    </row>
    <row r="3897">
      <c r="D3897" s="9"/>
      <c r="G3897" s="9"/>
      <c r="J3897" s="11"/>
      <c r="U3897" s="9"/>
      <c r="X3897" s="9"/>
    </row>
    <row r="3898">
      <c r="D3898" s="9"/>
      <c r="G3898" s="9"/>
      <c r="J3898" s="11"/>
      <c r="U3898" s="9"/>
      <c r="X3898" s="9"/>
    </row>
    <row r="3899">
      <c r="D3899" s="9"/>
      <c r="G3899" s="9"/>
      <c r="J3899" s="11"/>
      <c r="U3899" s="9"/>
      <c r="X3899" s="9"/>
    </row>
    <row r="3900">
      <c r="D3900" s="9"/>
      <c r="G3900" s="9"/>
      <c r="J3900" s="11"/>
      <c r="U3900" s="9"/>
      <c r="X3900" s="9"/>
    </row>
    <row r="3901">
      <c r="D3901" s="9"/>
      <c r="G3901" s="9"/>
      <c r="J3901" s="11"/>
      <c r="U3901" s="9"/>
      <c r="X3901" s="9"/>
    </row>
    <row r="3902">
      <c r="D3902" s="9"/>
      <c r="G3902" s="9"/>
      <c r="J3902" s="11"/>
      <c r="U3902" s="9"/>
      <c r="X3902" s="9"/>
    </row>
    <row r="3903">
      <c r="D3903" s="9"/>
      <c r="G3903" s="9"/>
      <c r="J3903" s="11"/>
      <c r="U3903" s="9"/>
      <c r="X3903" s="9"/>
    </row>
    <row r="3904">
      <c r="D3904" s="9"/>
      <c r="G3904" s="9"/>
      <c r="J3904" s="11"/>
      <c r="U3904" s="9"/>
      <c r="X3904" s="9"/>
    </row>
    <row r="3905">
      <c r="D3905" s="9"/>
      <c r="G3905" s="9"/>
      <c r="J3905" s="11"/>
      <c r="U3905" s="9"/>
      <c r="X3905" s="9"/>
    </row>
    <row r="3906">
      <c r="D3906" s="9"/>
      <c r="G3906" s="9"/>
      <c r="J3906" s="11"/>
      <c r="U3906" s="9"/>
      <c r="X3906" s="9"/>
    </row>
    <row r="3907">
      <c r="D3907" s="9"/>
      <c r="G3907" s="9"/>
      <c r="J3907" s="11"/>
      <c r="U3907" s="9"/>
      <c r="X3907" s="9"/>
    </row>
    <row r="3908">
      <c r="D3908" s="9"/>
      <c r="G3908" s="9"/>
      <c r="J3908" s="11"/>
      <c r="U3908" s="9"/>
      <c r="X3908" s="9"/>
    </row>
    <row r="3909">
      <c r="D3909" s="9"/>
      <c r="G3909" s="9"/>
      <c r="J3909" s="11"/>
      <c r="U3909" s="9"/>
      <c r="X3909" s="9"/>
    </row>
    <row r="3910">
      <c r="D3910" s="9"/>
      <c r="G3910" s="9"/>
      <c r="J3910" s="11"/>
      <c r="U3910" s="9"/>
      <c r="X3910" s="9"/>
    </row>
    <row r="3911">
      <c r="D3911" s="9"/>
      <c r="G3911" s="9"/>
      <c r="J3911" s="11"/>
      <c r="U3911" s="9"/>
      <c r="X3911" s="9"/>
    </row>
    <row r="3912">
      <c r="D3912" s="9"/>
      <c r="G3912" s="9"/>
      <c r="J3912" s="11"/>
      <c r="U3912" s="9"/>
      <c r="X3912" s="9"/>
    </row>
    <row r="3913">
      <c r="D3913" s="9"/>
      <c r="G3913" s="9"/>
      <c r="J3913" s="11"/>
      <c r="U3913" s="9"/>
      <c r="X3913" s="9"/>
    </row>
    <row r="3914">
      <c r="D3914" s="9"/>
      <c r="G3914" s="9"/>
      <c r="J3914" s="11"/>
      <c r="U3914" s="9"/>
      <c r="X3914" s="9"/>
    </row>
    <row r="3915">
      <c r="D3915" s="9"/>
      <c r="G3915" s="9"/>
      <c r="J3915" s="11"/>
      <c r="U3915" s="9"/>
      <c r="X3915" s="9"/>
    </row>
    <row r="3916">
      <c r="D3916" s="9"/>
      <c r="G3916" s="9"/>
      <c r="J3916" s="11"/>
      <c r="U3916" s="9"/>
      <c r="X3916" s="9"/>
    </row>
    <row r="3917">
      <c r="D3917" s="9"/>
      <c r="G3917" s="9"/>
      <c r="J3917" s="11"/>
      <c r="U3917" s="9"/>
      <c r="X3917" s="9"/>
    </row>
    <row r="3918">
      <c r="D3918" s="9"/>
      <c r="G3918" s="9"/>
      <c r="J3918" s="11"/>
      <c r="U3918" s="9"/>
      <c r="X3918" s="9"/>
    </row>
    <row r="3919">
      <c r="D3919" s="9"/>
      <c r="G3919" s="9"/>
      <c r="J3919" s="11"/>
      <c r="U3919" s="9"/>
      <c r="X3919" s="9"/>
    </row>
    <row r="3920">
      <c r="D3920" s="9"/>
      <c r="G3920" s="9"/>
      <c r="J3920" s="11"/>
      <c r="U3920" s="9"/>
      <c r="X3920" s="9"/>
    </row>
    <row r="3921">
      <c r="D3921" s="9"/>
      <c r="G3921" s="9"/>
      <c r="J3921" s="11"/>
      <c r="U3921" s="9"/>
      <c r="X3921" s="9"/>
    </row>
    <row r="3922">
      <c r="D3922" s="9"/>
      <c r="G3922" s="9"/>
      <c r="J3922" s="11"/>
      <c r="U3922" s="9"/>
      <c r="X3922" s="9"/>
    </row>
    <row r="3923">
      <c r="D3923" s="9"/>
      <c r="G3923" s="9"/>
      <c r="J3923" s="11"/>
      <c r="U3923" s="9"/>
      <c r="X3923" s="9"/>
    </row>
    <row r="3924">
      <c r="D3924" s="9"/>
      <c r="G3924" s="9"/>
      <c r="J3924" s="11"/>
      <c r="U3924" s="9"/>
      <c r="X3924" s="9"/>
    </row>
    <row r="3925">
      <c r="D3925" s="9"/>
      <c r="G3925" s="9"/>
      <c r="J3925" s="11"/>
      <c r="U3925" s="9"/>
      <c r="X3925" s="9"/>
    </row>
    <row r="3926">
      <c r="D3926" s="9"/>
      <c r="G3926" s="9"/>
      <c r="J3926" s="11"/>
      <c r="U3926" s="9"/>
      <c r="X3926" s="9"/>
    </row>
    <row r="3927">
      <c r="D3927" s="9"/>
      <c r="G3927" s="9"/>
      <c r="J3927" s="11"/>
      <c r="U3927" s="9"/>
      <c r="X3927" s="9"/>
    </row>
    <row r="3928">
      <c r="D3928" s="9"/>
      <c r="G3928" s="9"/>
      <c r="J3928" s="11"/>
      <c r="U3928" s="9"/>
      <c r="X3928" s="9"/>
    </row>
    <row r="3929">
      <c r="D3929" s="9"/>
      <c r="G3929" s="9"/>
      <c r="J3929" s="11"/>
      <c r="U3929" s="9"/>
      <c r="X3929" s="9"/>
    </row>
    <row r="3930">
      <c r="D3930" s="9"/>
      <c r="G3930" s="9"/>
      <c r="J3930" s="11"/>
      <c r="U3930" s="9"/>
      <c r="X3930" s="9"/>
    </row>
    <row r="3931">
      <c r="D3931" s="9"/>
      <c r="G3931" s="9"/>
      <c r="J3931" s="11"/>
      <c r="U3931" s="9"/>
      <c r="X3931" s="9"/>
    </row>
    <row r="3932">
      <c r="D3932" s="9"/>
      <c r="G3932" s="9"/>
      <c r="J3932" s="11"/>
      <c r="U3932" s="9"/>
      <c r="X3932" s="9"/>
    </row>
    <row r="3933">
      <c r="D3933" s="9"/>
      <c r="G3933" s="9"/>
      <c r="J3933" s="11"/>
      <c r="U3933" s="9"/>
      <c r="X3933" s="9"/>
    </row>
    <row r="3934">
      <c r="D3934" s="9"/>
      <c r="G3934" s="9"/>
      <c r="J3934" s="11"/>
      <c r="U3934" s="9"/>
      <c r="X3934" s="9"/>
    </row>
    <row r="3935">
      <c r="D3935" s="9"/>
      <c r="G3935" s="9"/>
      <c r="J3935" s="11"/>
      <c r="U3935" s="9"/>
      <c r="X3935" s="9"/>
    </row>
    <row r="3936">
      <c r="D3936" s="9"/>
      <c r="G3936" s="9"/>
      <c r="J3936" s="11"/>
      <c r="U3936" s="9"/>
      <c r="X3936" s="9"/>
    </row>
    <row r="3937">
      <c r="D3937" s="9"/>
      <c r="G3937" s="9"/>
      <c r="J3937" s="11"/>
      <c r="U3937" s="9"/>
      <c r="X3937" s="9"/>
    </row>
    <row r="3938">
      <c r="D3938" s="9"/>
      <c r="G3938" s="9"/>
      <c r="J3938" s="11"/>
      <c r="U3938" s="9"/>
      <c r="X3938" s="9"/>
    </row>
    <row r="3939">
      <c r="D3939" s="9"/>
      <c r="G3939" s="9"/>
      <c r="J3939" s="11"/>
      <c r="U3939" s="9"/>
      <c r="X3939" s="9"/>
    </row>
    <row r="3940">
      <c r="D3940" s="9"/>
      <c r="G3940" s="9"/>
      <c r="J3940" s="11"/>
      <c r="U3940" s="9"/>
      <c r="X3940" s="9"/>
    </row>
    <row r="3941">
      <c r="D3941" s="9"/>
      <c r="G3941" s="9"/>
      <c r="J3941" s="11"/>
      <c r="U3941" s="9"/>
      <c r="X3941" s="9"/>
    </row>
    <row r="3942">
      <c r="D3942" s="9"/>
      <c r="G3942" s="9"/>
      <c r="J3942" s="11"/>
      <c r="U3942" s="9"/>
      <c r="X3942" s="9"/>
    </row>
    <row r="3943">
      <c r="D3943" s="9"/>
      <c r="G3943" s="9"/>
      <c r="J3943" s="11"/>
      <c r="U3943" s="9"/>
      <c r="X3943" s="9"/>
    </row>
    <row r="3944">
      <c r="D3944" s="9"/>
      <c r="G3944" s="9"/>
      <c r="J3944" s="11"/>
      <c r="U3944" s="9"/>
      <c r="X3944" s="9"/>
    </row>
    <row r="3945">
      <c r="D3945" s="9"/>
      <c r="G3945" s="9"/>
      <c r="J3945" s="11"/>
      <c r="U3945" s="9"/>
      <c r="X3945" s="9"/>
    </row>
    <row r="3946">
      <c r="D3946" s="9"/>
      <c r="G3946" s="9"/>
      <c r="J3946" s="11"/>
      <c r="U3946" s="9"/>
      <c r="X3946" s="9"/>
    </row>
    <row r="3947">
      <c r="D3947" s="9"/>
      <c r="G3947" s="9"/>
      <c r="J3947" s="11"/>
      <c r="U3947" s="9"/>
      <c r="X3947" s="9"/>
    </row>
    <row r="3948">
      <c r="D3948" s="9"/>
      <c r="G3948" s="9"/>
      <c r="J3948" s="11"/>
      <c r="U3948" s="9"/>
      <c r="X3948" s="9"/>
    </row>
    <row r="3949">
      <c r="D3949" s="9"/>
      <c r="G3949" s="9"/>
      <c r="J3949" s="11"/>
      <c r="U3949" s="9"/>
      <c r="X3949" s="9"/>
    </row>
    <row r="3950">
      <c r="D3950" s="9"/>
      <c r="G3950" s="9"/>
      <c r="J3950" s="11"/>
      <c r="U3950" s="9"/>
      <c r="X3950" s="9"/>
    </row>
    <row r="3951">
      <c r="D3951" s="9"/>
      <c r="G3951" s="9"/>
      <c r="J3951" s="11"/>
      <c r="U3951" s="9"/>
      <c r="X3951" s="9"/>
    </row>
    <row r="3952">
      <c r="D3952" s="9"/>
      <c r="G3952" s="9"/>
      <c r="J3952" s="11"/>
      <c r="U3952" s="9"/>
      <c r="X3952" s="9"/>
    </row>
    <row r="3953">
      <c r="D3953" s="9"/>
      <c r="G3953" s="9"/>
      <c r="J3953" s="11"/>
      <c r="U3953" s="9"/>
      <c r="X3953" s="9"/>
    </row>
    <row r="3954">
      <c r="D3954" s="9"/>
      <c r="G3954" s="9"/>
      <c r="J3954" s="11"/>
      <c r="U3954" s="9"/>
      <c r="X3954" s="9"/>
    </row>
    <row r="3955">
      <c r="D3955" s="9"/>
      <c r="G3955" s="9"/>
      <c r="J3955" s="11"/>
      <c r="U3955" s="9"/>
      <c r="X3955" s="9"/>
    </row>
    <row r="3956">
      <c r="D3956" s="9"/>
      <c r="G3956" s="9"/>
      <c r="J3956" s="11"/>
      <c r="U3956" s="9"/>
      <c r="X3956" s="9"/>
    </row>
    <row r="3957">
      <c r="D3957" s="9"/>
      <c r="G3957" s="9"/>
      <c r="J3957" s="11"/>
      <c r="U3957" s="9"/>
      <c r="X3957" s="9"/>
    </row>
    <row r="3958">
      <c r="D3958" s="9"/>
      <c r="G3958" s="9"/>
      <c r="J3958" s="11"/>
      <c r="U3958" s="9"/>
      <c r="X3958" s="9"/>
    </row>
    <row r="3959">
      <c r="D3959" s="9"/>
      <c r="G3959" s="9"/>
      <c r="J3959" s="11"/>
      <c r="U3959" s="9"/>
      <c r="X3959" s="9"/>
    </row>
    <row r="3960">
      <c r="D3960" s="9"/>
      <c r="G3960" s="9"/>
      <c r="J3960" s="11"/>
      <c r="U3960" s="9"/>
      <c r="X3960" s="9"/>
    </row>
    <row r="3961">
      <c r="D3961" s="9"/>
      <c r="G3961" s="9"/>
      <c r="J3961" s="11"/>
      <c r="U3961" s="9"/>
      <c r="X3961" s="9"/>
    </row>
    <row r="3962">
      <c r="D3962" s="9"/>
      <c r="G3962" s="9"/>
      <c r="J3962" s="11"/>
      <c r="U3962" s="9"/>
      <c r="X3962" s="9"/>
    </row>
    <row r="3963">
      <c r="D3963" s="9"/>
      <c r="G3963" s="9"/>
      <c r="J3963" s="11"/>
      <c r="U3963" s="9"/>
      <c r="X3963" s="9"/>
    </row>
    <row r="3964">
      <c r="D3964" s="9"/>
      <c r="G3964" s="9"/>
      <c r="J3964" s="11"/>
      <c r="U3964" s="9"/>
      <c r="X3964" s="9"/>
    </row>
    <row r="3965">
      <c r="D3965" s="9"/>
      <c r="G3965" s="9"/>
      <c r="J3965" s="11"/>
      <c r="U3965" s="9"/>
      <c r="X3965" s="9"/>
    </row>
    <row r="3966">
      <c r="D3966" s="9"/>
      <c r="G3966" s="9"/>
      <c r="J3966" s="11"/>
      <c r="U3966" s="9"/>
      <c r="X3966" s="9"/>
    </row>
    <row r="3967">
      <c r="D3967" s="9"/>
      <c r="G3967" s="9"/>
      <c r="J3967" s="11"/>
      <c r="U3967" s="9"/>
      <c r="X3967" s="9"/>
    </row>
    <row r="3968">
      <c r="D3968" s="9"/>
      <c r="G3968" s="9"/>
      <c r="J3968" s="11"/>
      <c r="U3968" s="9"/>
      <c r="X3968" s="9"/>
    </row>
    <row r="3969">
      <c r="D3969" s="9"/>
      <c r="G3969" s="9"/>
      <c r="J3969" s="11"/>
      <c r="U3969" s="9"/>
      <c r="X3969" s="9"/>
    </row>
    <row r="3970">
      <c r="D3970" s="9"/>
      <c r="G3970" s="9"/>
      <c r="J3970" s="11"/>
      <c r="U3970" s="9"/>
      <c r="X3970" s="9"/>
    </row>
    <row r="3971">
      <c r="D3971" s="9"/>
      <c r="G3971" s="9"/>
      <c r="J3971" s="11"/>
      <c r="U3971" s="9"/>
      <c r="X3971" s="9"/>
    </row>
    <row r="3972">
      <c r="D3972" s="9"/>
      <c r="G3972" s="9"/>
      <c r="J3972" s="11"/>
      <c r="U3972" s="9"/>
      <c r="X3972" s="9"/>
    </row>
    <row r="3973">
      <c r="D3973" s="9"/>
      <c r="G3973" s="9"/>
      <c r="J3973" s="11"/>
      <c r="U3973" s="9"/>
      <c r="X3973" s="9"/>
    </row>
    <row r="3974">
      <c r="D3974" s="9"/>
      <c r="G3974" s="9"/>
      <c r="J3974" s="11"/>
      <c r="U3974" s="9"/>
      <c r="X3974" s="9"/>
    </row>
    <row r="3975">
      <c r="D3975" s="9"/>
      <c r="G3975" s="9"/>
      <c r="J3975" s="11"/>
      <c r="U3975" s="9"/>
      <c r="X3975" s="9"/>
    </row>
    <row r="3976">
      <c r="D3976" s="9"/>
      <c r="G3976" s="9"/>
      <c r="J3976" s="11"/>
      <c r="U3976" s="9"/>
      <c r="X3976" s="9"/>
    </row>
    <row r="3977">
      <c r="D3977" s="9"/>
      <c r="G3977" s="9"/>
      <c r="J3977" s="11"/>
      <c r="U3977" s="9"/>
      <c r="X3977" s="9"/>
    </row>
    <row r="3978">
      <c r="D3978" s="9"/>
      <c r="G3978" s="9"/>
      <c r="J3978" s="11"/>
      <c r="U3978" s="9"/>
      <c r="X3978" s="9"/>
    </row>
    <row r="3979">
      <c r="D3979" s="9"/>
      <c r="G3979" s="9"/>
      <c r="J3979" s="11"/>
      <c r="U3979" s="9"/>
      <c r="X3979" s="9"/>
    </row>
    <row r="3980">
      <c r="D3980" s="9"/>
      <c r="G3980" s="9"/>
      <c r="J3980" s="11"/>
      <c r="U3980" s="9"/>
      <c r="X3980" s="9"/>
    </row>
    <row r="3981">
      <c r="D3981" s="9"/>
      <c r="G3981" s="9"/>
      <c r="J3981" s="11"/>
      <c r="U3981" s="9"/>
      <c r="X3981" s="9"/>
    </row>
    <row r="3982">
      <c r="D3982" s="9"/>
      <c r="G3982" s="9"/>
      <c r="J3982" s="11"/>
      <c r="U3982" s="9"/>
      <c r="X3982" s="9"/>
    </row>
    <row r="3983">
      <c r="D3983" s="9"/>
      <c r="G3983" s="9"/>
      <c r="J3983" s="11"/>
      <c r="U3983" s="9"/>
      <c r="X3983" s="9"/>
    </row>
    <row r="3984">
      <c r="D3984" s="9"/>
      <c r="G3984" s="9"/>
      <c r="J3984" s="11"/>
      <c r="U3984" s="9"/>
      <c r="X3984" s="9"/>
    </row>
    <row r="3985">
      <c r="D3985" s="9"/>
      <c r="G3985" s="9"/>
      <c r="J3985" s="11"/>
      <c r="U3985" s="9"/>
      <c r="X3985" s="9"/>
    </row>
    <row r="3986">
      <c r="D3986" s="9"/>
      <c r="G3986" s="9"/>
      <c r="J3986" s="11"/>
      <c r="U3986" s="9"/>
      <c r="X3986" s="9"/>
    </row>
    <row r="3987">
      <c r="D3987" s="9"/>
      <c r="G3987" s="9"/>
      <c r="J3987" s="11"/>
      <c r="U3987" s="9"/>
      <c r="X3987" s="9"/>
    </row>
    <row r="3988">
      <c r="D3988" s="9"/>
      <c r="G3988" s="9"/>
      <c r="J3988" s="11"/>
      <c r="U3988" s="9"/>
      <c r="X3988" s="9"/>
    </row>
    <row r="3989">
      <c r="D3989" s="9"/>
      <c r="G3989" s="9"/>
      <c r="J3989" s="11"/>
      <c r="U3989" s="9"/>
      <c r="X3989" s="9"/>
    </row>
    <row r="3990">
      <c r="D3990" s="9"/>
      <c r="G3990" s="9"/>
      <c r="J3990" s="11"/>
      <c r="U3990" s="9"/>
      <c r="X3990" s="9"/>
    </row>
    <row r="3991">
      <c r="D3991" s="9"/>
      <c r="G3991" s="9"/>
      <c r="J3991" s="11"/>
      <c r="U3991" s="9"/>
      <c r="X3991" s="9"/>
    </row>
    <row r="3992">
      <c r="D3992" s="9"/>
      <c r="G3992" s="9"/>
      <c r="J3992" s="11"/>
      <c r="U3992" s="9"/>
      <c r="X3992" s="9"/>
    </row>
    <row r="3993">
      <c r="D3993" s="9"/>
      <c r="G3993" s="9"/>
      <c r="J3993" s="11"/>
      <c r="U3993" s="9"/>
      <c r="X3993" s="9"/>
    </row>
    <row r="3994">
      <c r="D3994" s="9"/>
      <c r="G3994" s="9"/>
      <c r="J3994" s="11"/>
      <c r="U3994" s="9"/>
      <c r="X3994" s="9"/>
    </row>
    <row r="3995">
      <c r="D3995" s="9"/>
      <c r="G3995" s="9"/>
      <c r="J3995" s="11"/>
      <c r="U3995" s="9"/>
      <c r="X3995" s="9"/>
    </row>
    <row r="3996">
      <c r="D3996" s="9"/>
      <c r="G3996" s="9"/>
      <c r="J3996" s="11"/>
      <c r="U3996" s="9"/>
      <c r="X3996" s="9"/>
    </row>
    <row r="3997">
      <c r="D3997" s="9"/>
      <c r="G3997" s="9"/>
      <c r="J3997" s="11"/>
      <c r="U3997" s="9"/>
      <c r="X3997" s="9"/>
    </row>
    <row r="3998">
      <c r="D3998" s="9"/>
      <c r="G3998" s="9"/>
      <c r="J3998" s="11"/>
      <c r="U3998" s="9"/>
      <c r="X3998" s="9"/>
    </row>
    <row r="3999">
      <c r="D3999" s="9"/>
      <c r="G3999" s="9"/>
      <c r="J3999" s="11"/>
      <c r="U3999" s="9"/>
      <c r="X3999" s="9"/>
    </row>
    <row r="4000">
      <c r="D4000" s="9"/>
      <c r="G4000" s="9"/>
      <c r="J4000" s="11"/>
      <c r="U4000" s="9"/>
      <c r="X4000" s="9"/>
    </row>
    <row r="4001">
      <c r="D4001" s="9"/>
      <c r="G4001" s="9"/>
      <c r="J4001" s="11"/>
      <c r="U4001" s="9"/>
      <c r="X4001" s="9"/>
    </row>
    <row r="4002">
      <c r="D4002" s="9"/>
      <c r="G4002" s="9"/>
      <c r="J4002" s="11"/>
      <c r="U4002" s="9"/>
      <c r="X4002" s="9"/>
    </row>
    <row r="4003">
      <c r="D4003" s="9"/>
      <c r="G4003" s="9"/>
      <c r="J4003" s="11"/>
      <c r="U4003" s="9"/>
      <c r="X4003" s="9"/>
    </row>
    <row r="4004">
      <c r="D4004" s="9"/>
      <c r="G4004" s="9"/>
      <c r="J4004" s="11"/>
      <c r="U4004" s="9"/>
      <c r="X4004" s="9"/>
    </row>
    <row r="4005">
      <c r="D4005" s="9"/>
      <c r="G4005" s="9"/>
      <c r="J4005" s="11"/>
      <c r="U4005" s="9"/>
      <c r="X4005" s="9"/>
    </row>
    <row r="4006">
      <c r="D4006" s="9"/>
      <c r="G4006" s="9"/>
      <c r="J4006" s="11"/>
      <c r="U4006" s="9"/>
      <c r="X4006" s="9"/>
    </row>
    <row r="4007">
      <c r="D4007" s="9"/>
      <c r="G4007" s="9"/>
      <c r="J4007" s="11"/>
      <c r="U4007" s="9"/>
      <c r="X4007" s="9"/>
    </row>
    <row r="4008">
      <c r="D4008" s="9"/>
      <c r="G4008" s="9"/>
      <c r="J4008" s="11"/>
      <c r="U4008" s="9"/>
      <c r="X4008" s="9"/>
    </row>
    <row r="4009">
      <c r="D4009" s="9"/>
      <c r="G4009" s="9"/>
      <c r="J4009" s="11"/>
      <c r="U4009" s="9"/>
      <c r="X4009" s="9"/>
    </row>
    <row r="4010">
      <c r="D4010" s="9"/>
      <c r="G4010" s="9"/>
      <c r="J4010" s="11"/>
      <c r="U4010" s="9"/>
      <c r="X4010" s="9"/>
    </row>
    <row r="4011">
      <c r="D4011" s="9"/>
      <c r="G4011" s="9"/>
      <c r="J4011" s="11"/>
      <c r="U4011" s="9"/>
      <c r="X4011" s="9"/>
    </row>
    <row r="4012">
      <c r="D4012" s="9"/>
      <c r="G4012" s="9"/>
      <c r="J4012" s="11"/>
      <c r="U4012" s="9"/>
      <c r="X4012" s="9"/>
    </row>
    <row r="4013">
      <c r="D4013" s="9"/>
      <c r="G4013" s="9"/>
      <c r="J4013" s="11"/>
      <c r="U4013" s="9"/>
      <c r="X4013" s="9"/>
    </row>
    <row r="4014">
      <c r="D4014" s="9"/>
      <c r="G4014" s="9"/>
      <c r="J4014" s="11"/>
      <c r="U4014" s="9"/>
      <c r="X4014" s="9"/>
    </row>
    <row r="4015">
      <c r="D4015" s="9"/>
      <c r="G4015" s="9"/>
      <c r="J4015" s="11"/>
      <c r="U4015" s="9"/>
      <c r="X4015" s="9"/>
    </row>
    <row r="4016">
      <c r="D4016" s="9"/>
      <c r="G4016" s="9"/>
      <c r="J4016" s="11"/>
      <c r="U4016" s="9"/>
      <c r="X4016" s="9"/>
    </row>
    <row r="4017">
      <c r="D4017" s="9"/>
      <c r="G4017" s="9"/>
      <c r="J4017" s="11"/>
      <c r="U4017" s="9"/>
      <c r="X4017" s="9"/>
    </row>
    <row r="4018">
      <c r="D4018" s="9"/>
      <c r="G4018" s="9"/>
      <c r="J4018" s="11"/>
      <c r="U4018" s="9"/>
      <c r="X4018" s="9"/>
    </row>
    <row r="4019">
      <c r="D4019" s="9"/>
      <c r="G4019" s="9"/>
      <c r="J4019" s="11"/>
      <c r="U4019" s="9"/>
      <c r="X4019" s="9"/>
    </row>
    <row r="4020">
      <c r="D4020" s="9"/>
      <c r="G4020" s="9"/>
      <c r="J4020" s="11"/>
      <c r="U4020" s="9"/>
      <c r="X4020" s="9"/>
    </row>
    <row r="4021">
      <c r="D4021" s="9"/>
      <c r="G4021" s="9"/>
      <c r="J4021" s="11"/>
      <c r="U4021" s="9"/>
      <c r="X4021" s="9"/>
    </row>
    <row r="4022">
      <c r="D4022" s="9"/>
      <c r="G4022" s="9"/>
      <c r="J4022" s="11"/>
      <c r="U4022" s="9"/>
      <c r="X4022" s="9"/>
    </row>
    <row r="4023">
      <c r="D4023" s="9"/>
      <c r="G4023" s="9"/>
      <c r="J4023" s="11"/>
      <c r="U4023" s="9"/>
      <c r="X4023" s="9"/>
    </row>
    <row r="4024">
      <c r="D4024" s="9"/>
      <c r="G4024" s="9"/>
      <c r="J4024" s="11"/>
      <c r="U4024" s="9"/>
      <c r="X4024" s="9"/>
    </row>
    <row r="4025">
      <c r="D4025" s="9"/>
      <c r="G4025" s="9"/>
      <c r="J4025" s="11"/>
      <c r="U4025" s="9"/>
      <c r="X4025" s="9"/>
    </row>
    <row r="4026">
      <c r="D4026" s="9"/>
      <c r="G4026" s="9"/>
      <c r="J4026" s="11"/>
      <c r="U4026" s="9"/>
      <c r="X4026" s="9"/>
    </row>
    <row r="4027">
      <c r="D4027" s="9"/>
      <c r="G4027" s="9"/>
      <c r="J4027" s="11"/>
      <c r="U4027" s="9"/>
      <c r="X4027" s="9"/>
    </row>
    <row r="4028">
      <c r="D4028" s="9"/>
      <c r="G4028" s="9"/>
      <c r="J4028" s="11"/>
      <c r="U4028" s="9"/>
      <c r="X4028" s="9"/>
    </row>
    <row r="4029">
      <c r="D4029" s="9"/>
      <c r="G4029" s="9"/>
      <c r="J4029" s="11"/>
      <c r="U4029" s="9"/>
      <c r="X4029" s="9"/>
    </row>
    <row r="4030">
      <c r="D4030" s="9"/>
      <c r="G4030" s="9"/>
      <c r="J4030" s="11"/>
      <c r="U4030" s="9"/>
      <c r="X4030" s="9"/>
    </row>
    <row r="4031">
      <c r="D4031" s="9"/>
      <c r="G4031" s="9"/>
      <c r="J4031" s="11"/>
      <c r="U4031" s="9"/>
      <c r="X4031" s="9"/>
    </row>
    <row r="4032">
      <c r="D4032" s="9"/>
      <c r="G4032" s="9"/>
      <c r="J4032" s="11"/>
      <c r="U4032" s="9"/>
      <c r="X4032" s="9"/>
    </row>
    <row r="4033">
      <c r="D4033" s="9"/>
      <c r="G4033" s="9"/>
      <c r="J4033" s="11"/>
      <c r="U4033" s="9"/>
      <c r="X4033" s="9"/>
    </row>
    <row r="4034">
      <c r="D4034" s="9"/>
      <c r="G4034" s="9"/>
      <c r="J4034" s="11"/>
      <c r="U4034" s="9"/>
      <c r="X4034" s="9"/>
    </row>
    <row r="4035">
      <c r="D4035" s="9"/>
      <c r="G4035" s="9"/>
      <c r="J4035" s="11"/>
      <c r="U4035" s="9"/>
      <c r="X4035" s="9"/>
    </row>
    <row r="4036">
      <c r="D4036" s="9"/>
      <c r="G4036" s="9"/>
      <c r="J4036" s="11"/>
      <c r="U4036" s="9"/>
      <c r="X4036" s="9"/>
    </row>
    <row r="4037">
      <c r="D4037" s="9"/>
      <c r="G4037" s="9"/>
      <c r="J4037" s="11"/>
      <c r="U4037" s="9"/>
      <c r="X4037" s="9"/>
    </row>
    <row r="4038">
      <c r="D4038" s="9"/>
      <c r="G4038" s="9"/>
      <c r="J4038" s="11"/>
      <c r="U4038" s="9"/>
      <c r="X4038" s="9"/>
    </row>
    <row r="4039">
      <c r="D4039" s="9"/>
      <c r="G4039" s="9"/>
      <c r="J4039" s="11"/>
      <c r="U4039" s="9"/>
      <c r="X4039" s="9"/>
    </row>
    <row r="4040">
      <c r="D4040" s="9"/>
      <c r="G4040" s="9"/>
      <c r="J4040" s="11"/>
      <c r="U4040" s="9"/>
      <c r="X4040" s="9"/>
    </row>
    <row r="4041">
      <c r="D4041" s="9"/>
      <c r="G4041" s="9"/>
      <c r="J4041" s="11"/>
      <c r="U4041" s="9"/>
      <c r="X4041" s="9"/>
    </row>
    <row r="4042">
      <c r="D4042" s="9"/>
      <c r="G4042" s="9"/>
      <c r="J4042" s="11"/>
      <c r="U4042" s="9"/>
      <c r="X4042" s="9"/>
    </row>
    <row r="4043">
      <c r="D4043" s="9"/>
      <c r="G4043" s="9"/>
      <c r="J4043" s="11"/>
      <c r="U4043" s="9"/>
      <c r="X4043" s="9"/>
    </row>
    <row r="4044">
      <c r="D4044" s="9"/>
      <c r="G4044" s="9"/>
      <c r="J4044" s="11"/>
      <c r="U4044" s="9"/>
      <c r="X4044" s="9"/>
    </row>
    <row r="4045">
      <c r="D4045" s="9"/>
      <c r="G4045" s="9"/>
      <c r="J4045" s="11"/>
      <c r="U4045" s="9"/>
      <c r="X4045" s="9"/>
    </row>
    <row r="4046">
      <c r="D4046" s="9"/>
      <c r="G4046" s="9"/>
      <c r="J4046" s="11"/>
      <c r="U4046" s="9"/>
      <c r="X4046" s="9"/>
    </row>
    <row r="4047">
      <c r="D4047" s="9"/>
      <c r="G4047" s="9"/>
      <c r="J4047" s="11"/>
      <c r="U4047" s="9"/>
      <c r="X4047" s="9"/>
    </row>
    <row r="4048">
      <c r="D4048" s="9"/>
      <c r="G4048" s="9"/>
      <c r="J4048" s="11"/>
      <c r="U4048" s="9"/>
      <c r="X4048" s="9"/>
    </row>
    <row r="4049">
      <c r="D4049" s="9"/>
      <c r="G4049" s="9"/>
      <c r="J4049" s="11"/>
      <c r="U4049" s="9"/>
      <c r="X4049" s="9"/>
    </row>
    <row r="4050">
      <c r="D4050" s="9"/>
      <c r="G4050" s="9"/>
      <c r="J4050" s="11"/>
      <c r="U4050" s="9"/>
      <c r="X4050" s="9"/>
    </row>
    <row r="4051">
      <c r="D4051" s="9"/>
      <c r="G4051" s="9"/>
      <c r="J4051" s="11"/>
      <c r="U4051" s="9"/>
      <c r="X4051" s="9"/>
    </row>
    <row r="4052">
      <c r="D4052" s="9"/>
      <c r="G4052" s="9"/>
      <c r="J4052" s="11"/>
      <c r="U4052" s="9"/>
      <c r="X4052" s="9"/>
    </row>
    <row r="4053">
      <c r="D4053" s="9"/>
      <c r="G4053" s="9"/>
      <c r="J4053" s="11"/>
      <c r="U4053" s="9"/>
      <c r="X4053" s="9"/>
    </row>
    <row r="4054">
      <c r="D4054" s="9"/>
      <c r="G4054" s="9"/>
      <c r="J4054" s="11"/>
      <c r="U4054" s="9"/>
      <c r="X4054" s="9"/>
    </row>
    <row r="4055">
      <c r="D4055" s="9"/>
      <c r="G4055" s="9"/>
      <c r="J4055" s="11"/>
      <c r="U4055" s="9"/>
      <c r="X4055" s="9"/>
    </row>
    <row r="4056">
      <c r="D4056" s="9"/>
      <c r="G4056" s="9"/>
      <c r="J4056" s="11"/>
      <c r="U4056" s="9"/>
      <c r="X4056" s="9"/>
    </row>
    <row r="4057">
      <c r="D4057" s="9"/>
      <c r="G4057" s="9"/>
      <c r="J4057" s="11"/>
      <c r="U4057" s="9"/>
      <c r="X4057" s="9"/>
    </row>
    <row r="4058">
      <c r="D4058" s="9"/>
      <c r="G4058" s="9"/>
      <c r="J4058" s="11"/>
      <c r="U4058" s="9"/>
      <c r="X4058" s="9"/>
    </row>
    <row r="4059">
      <c r="D4059" s="9"/>
      <c r="G4059" s="9"/>
      <c r="J4059" s="11"/>
      <c r="U4059" s="9"/>
      <c r="X4059" s="9"/>
    </row>
    <row r="4060">
      <c r="D4060" s="9"/>
      <c r="G4060" s="9"/>
      <c r="J4060" s="11"/>
      <c r="U4060" s="9"/>
      <c r="X4060" s="9"/>
    </row>
    <row r="4061">
      <c r="D4061" s="9"/>
      <c r="G4061" s="9"/>
      <c r="J4061" s="11"/>
      <c r="U4061" s="9"/>
      <c r="X4061" s="9"/>
    </row>
    <row r="4062">
      <c r="D4062" s="9"/>
      <c r="G4062" s="9"/>
      <c r="J4062" s="11"/>
      <c r="U4062" s="9"/>
      <c r="X4062" s="9"/>
    </row>
    <row r="4063">
      <c r="D4063" s="9"/>
      <c r="G4063" s="9"/>
      <c r="J4063" s="11"/>
      <c r="U4063" s="9"/>
      <c r="X4063" s="9"/>
    </row>
    <row r="4064">
      <c r="D4064" s="9"/>
      <c r="G4064" s="9"/>
      <c r="J4064" s="11"/>
      <c r="U4064" s="9"/>
      <c r="X4064" s="9"/>
    </row>
    <row r="4065">
      <c r="D4065" s="9"/>
      <c r="G4065" s="9"/>
      <c r="J4065" s="11"/>
      <c r="U4065" s="9"/>
      <c r="X4065" s="9"/>
    </row>
    <row r="4066">
      <c r="D4066" s="9"/>
      <c r="G4066" s="9"/>
      <c r="J4066" s="11"/>
      <c r="U4066" s="9"/>
      <c r="X4066" s="9"/>
    </row>
    <row r="4067">
      <c r="D4067" s="9"/>
      <c r="G4067" s="9"/>
      <c r="J4067" s="11"/>
      <c r="U4067" s="9"/>
      <c r="X4067" s="9"/>
    </row>
    <row r="4068">
      <c r="D4068" s="9"/>
      <c r="G4068" s="9"/>
      <c r="J4068" s="11"/>
      <c r="U4068" s="9"/>
      <c r="X4068" s="9"/>
    </row>
    <row r="4069">
      <c r="D4069" s="9"/>
      <c r="G4069" s="9"/>
      <c r="J4069" s="11"/>
      <c r="U4069" s="9"/>
      <c r="X4069" s="9"/>
    </row>
    <row r="4070">
      <c r="D4070" s="9"/>
      <c r="G4070" s="9"/>
      <c r="J4070" s="11"/>
      <c r="U4070" s="9"/>
      <c r="X4070" s="9"/>
    </row>
    <row r="4071">
      <c r="D4071" s="9"/>
      <c r="G4071" s="9"/>
      <c r="J4071" s="11"/>
      <c r="U4071" s="9"/>
      <c r="X4071" s="9"/>
    </row>
    <row r="4072">
      <c r="D4072" s="9"/>
      <c r="G4072" s="9"/>
      <c r="J4072" s="11"/>
      <c r="U4072" s="9"/>
      <c r="X4072" s="9"/>
    </row>
    <row r="4073">
      <c r="D4073" s="9"/>
      <c r="G4073" s="9"/>
      <c r="J4073" s="11"/>
      <c r="U4073" s="9"/>
      <c r="X4073" s="9"/>
    </row>
    <row r="4074">
      <c r="D4074" s="9"/>
      <c r="G4074" s="9"/>
      <c r="J4074" s="11"/>
      <c r="U4074" s="9"/>
      <c r="X4074" s="9"/>
    </row>
    <row r="4075">
      <c r="D4075" s="9"/>
      <c r="G4075" s="9"/>
      <c r="J4075" s="11"/>
      <c r="U4075" s="9"/>
      <c r="X4075" s="9"/>
    </row>
    <row r="4076">
      <c r="D4076" s="9"/>
      <c r="G4076" s="9"/>
      <c r="J4076" s="11"/>
      <c r="U4076" s="9"/>
      <c r="X4076" s="9"/>
    </row>
    <row r="4077">
      <c r="D4077" s="9"/>
      <c r="G4077" s="9"/>
      <c r="J4077" s="11"/>
      <c r="U4077" s="9"/>
      <c r="X4077" s="9"/>
    </row>
    <row r="4078">
      <c r="D4078" s="9"/>
      <c r="G4078" s="9"/>
      <c r="J4078" s="11"/>
      <c r="U4078" s="9"/>
      <c r="X4078" s="9"/>
    </row>
    <row r="4079">
      <c r="D4079" s="9"/>
      <c r="G4079" s="9"/>
      <c r="J4079" s="11"/>
      <c r="U4079" s="9"/>
      <c r="X4079" s="9"/>
    </row>
    <row r="4080">
      <c r="D4080" s="9"/>
      <c r="G4080" s="9"/>
      <c r="J4080" s="11"/>
      <c r="U4080" s="9"/>
      <c r="X4080" s="9"/>
    </row>
    <row r="4081">
      <c r="D4081" s="9"/>
      <c r="G4081" s="9"/>
      <c r="J4081" s="11"/>
      <c r="U4081" s="9"/>
      <c r="X4081" s="9"/>
    </row>
    <row r="4082">
      <c r="D4082" s="9"/>
      <c r="G4082" s="9"/>
      <c r="J4082" s="11"/>
      <c r="U4082" s="9"/>
      <c r="X4082" s="9"/>
    </row>
    <row r="4083">
      <c r="D4083" s="9"/>
      <c r="G4083" s="9"/>
      <c r="J4083" s="11"/>
      <c r="U4083" s="9"/>
      <c r="X4083" s="9"/>
    </row>
    <row r="4084">
      <c r="D4084" s="9"/>
      <c r="G4084" s="9"/>
      <c r="J4084" s="11"/>
      <c r="U4084" s="9"/>
      <c r="X4084" s="9"/>
    </row>
    <row r="4085">
      <c r="D4085" s="9"/>
      <c r="G4085" s="9"/>
      <c r="J4085" s="11"/>
      <c r="U4085" s="9"/>
      <c r="X4085" s="9"/>
    </row>
    <row r="4086">
      <c r="D4086" s="9"/>
      <c r="G4086" s="9"/>
      <c r="J4086" s="11"/>
      <c r="U4086" s="9"/>
      <c r="X4086" s="9"/>
    </row>
    <row r="4087">
      <c r="D4087" s="9"/>
      <c r="G4087" s="9"/>
      <c r="J4087" s="11"/>
      <c r="U4087" s="9"/>
      <c r="X4087" s="9"/>
    </row>
    <row r="4088">
      <c r="D4088" s="9"/>
      <c r="G4088" s="9"/>
      <c r="J4088" s="11"/>
      <c r="U4088" s="9"/>
      <c r="X4088" s="9"/>
    </row>
    <row r="4089">
      <c r="D4089" s="9"/>
      <c r="G4089" s="9"/>
      <c r="J4089" s="11"/>
      <c r="U4089" s="9"/>
      <c r="X4089" s="9"/>
    </row>
    <row r="4090">
      <c r="D4090" s="9"/>
      <c r="G4090" s="9"/>
      <c r="J4090" s="11"/>
      <c r="U4090" s="9"/>
      <c r="X4090" s="9"/>
    </row>
    <row r="4091">
      <c r="D4091" s="9"/>
      <c r="G4091" s="9"/>
      <c r="J4091" s="11"/>
      <c r="U4091" s="9"/>
      <c r="X4091" s="9"/>
    </row>
    <row r="4092">
      <c r="D4092" s="9"/>
      <c r="G4092" s="9"/>
      <c r="J4092" s="11"/>
      <c r="U4092" s="9"/>
      <c r="X4092" s="9"/>
    </row>
    <row r="4093">
      <c r="D4093" s="9"/>
      <c r="G4093" s="9"/>
      <c r="J4093" s="11"/>
      <c r="U4093" s="9"/>
      <c r="X4093" s="9"/>
    </row>
    <row r="4094">
      <c r="D4094" s="9"/>
      <c r="G4094" s="9"/>
      <c r="J4094" s="11"/>
      <c r="U4094" s="9"/>
      <c r="X4094" s="9"/>
    </row>
    <row r="4095">
      <c r="D4095" s="9"/>
      <c r="G4095" s="9"/>
      <c r="J4095" s="11"/>
      <c r="U4095" s="9"/>
      <c r="X4095" s="9"/>
    </row>
    <row r="4096">
      <c r="D4096" s="9"/>
      <c r="G4096" s="9"/>
      <c r="J4096" s="11"/>
      <c r="U4096" s="9"/>
      <c r="X4096" s="9"/>
    </row>
    <row r="4097">
      <c r="D4097" s="9"/>
      <c r="G4097" s="9"/>
      <c r="J4097" s="11"/>
      <c r="U4097" s="9"/>
      <c r="X4097" s="9"/>
    </row>
    <row r="4098">
      <c r="D4098" s="9"/>
      <c r="G4098" s="9"/>
      <c r="J4098" s="11"/>
      <c r="U4098" s="9"/>
      <c r="X4098" s="9"/>
    </row>
    <row r="4099">
      <c r="D4099" s="9"/>
      <c r="G4099" s="9"/>
      <c r="J4099" s="11"/>
      <c r="U4099" s="9"/>
      <c r="X4099" s="9"/>
    </row>
    <row r="4100">
      <c r="D4100" s="9"/>
      <c r="G4100" s="9"/>
      <c r="J4100" s="11"/>
      <c r="U4100" s="9"/>
      <c r="X4100" s="9"/>
    </row>
    <row r="4101">
      <c r="D4101" s="9"/>
      <c r="G4101" s="9"/>
      <c r="J4101" s="11"/>
      <c r="U4101" s="9"/>
      <c r="X4101" s="9"/>
    </row>
    <row r="4102">
      <c r="D4102" s="9"/>
      <c r="G4102" s="9"/>
      <c r="J4102" s="11"/>
      <c r="U4102" s="9"/>
      <c r="X4102" s="9"/>
    </row>
    <row r="4103">
      <c r="D4103" s="9"/>
      <c r="G4103" s="9"/>
      <c r="J4103" s="11"/>
      <c r="U4103" s="9"/>
      <c r="X4103" s="9"/>
    </row>
    <row r="4104">
      <c r="D4104" s="9"/>
      <c r="G4104" s="9"/>
      <c r="J4104" s="11"/>
      <c r="U4104" s="9"/>
      <c r="X4104" s="9"/>
    </row>
    <row r="4105">
      <c r="D4105" s="9"/>
      <c r="G4105" s="9"/>
      <c r="J4105" s="11"/>
      <c r="U4105" s="9"/>
      <c r="X4105" s="9"/>
    </row>
    <row r="4106">
      <c r="D4106" s="9"/>
      <c r="G4106" s="9"/>
      <c r="J4106" s="11"/>
      <c r="U4106" s="9"/>
      <c r="X4106" s="9"/>
    </row>
    <row r="4107">
      <c r="D4107" s="9"/>
      <c r="G4107" s="9"/>
      <c r="J4107" s="11"/>
      <c r="U4107" s="9"/>
      <c r="X4107" s="9"/>
    </row>
    <row r="4108">
      <c r="D4108" s="9"/>
      <c r="G4108" s="9"/>
      <c r="J4108" s="11"/>
      <c r="U4108" s="9"/>
      <c r="X4108" s="9"/>
    </row>
    <row r="4109">
      <c r="D4109" s="9"/>
      <c r="G4109" s="9"/>
      <c r="J4109" s="11"/>
      <c r="U4109" s="9"/>
      <c r="X4109" s="9"/>
    </row>
    <row r="4110">
      <c r="D4110" s="9"/>
      <c r="G4110" s="9"/>
      <c r="J4110" s="11"/>
      <c r="U4110" s="9"/>
      <c r="X4110" s="9"/>
    </row>
    <row r="4111">
      <c r="D4111" s="9"/>
      <c r="G4111" s="9"/>
      <c r="J4111" s="11"/>
      <c r="U4111" s="9"/>
      <c r="X4111" s="9"/>
    </row>
    <row r="4112">
      <c r="D4112" s="9"/>
      <c r="G4112" s="9"/>
      <c r="J4112" s="11"/>
      <c r="U4112" s="9"/>
      <c r="X4112" s="9"/>
    </row>
    <row r="4113">
      <c r="D4113" s="9"/>
      <c r="G4113" s="9"/>
      <c r="J4113" s="11"/>
      <c r="U4113" s="9"/>
      <c r="X4113" s="9"/>
    </row>
    <row r="4114">
      <c r="D4114" s="9"/>
      <c r="G4114" s="9"/>
      <c r="J4114" s="11"/>
      <c r="U4114" s="9"/>
      <c r="X4114" s="9"/>
    </row>
    <row r="4115">
      <c r="D4115" s="9"/>
      <c r="G4115" s="9"/>
      <c r="J4115" s="11"/>
      <c r="U4115" s="9"/>
      <c r="X4115" s="9"/>
    </row>
    <row r="4116">
      <c r="D4116" s="9"/>
      <c r="G4116" s="9"/>
      <c r="J4116" s="11"/>
      <c r="U4116" s="9"/>
      <c r="X4116" s="9"/>
    </row>
    <row r="4117">
      <c r="D4117" s="9"/>
      <c r="G4117" s="9"/>
      <c r="J4117" s="11"/>
      <c r="U4117" s="9"/>
      <c r="X4117" s="9"/>
    </row>
    <row r="4118">
      <c r="D4118" s="9"/>
      <c r="G4118" s="9"/>
      <c r="J4118" s="11"/>
      <c r="U4118" s="9"/>
      <c r="X4118" s="9"/>
    </row>
    <row r="4119">
      <c r="D4119" s="9"/>
      <c r="G4119" s="9"/>
      <c r="J4119" s="11"/>
      <c r="U4119" s="9"/>
      <c r="X4119" s="9"/>
    </row>
    <row r="4120">
      <c r="D4120" s="9"/>
      <c r="G4120" s="9"/>
      <c r="J4120" s="11"/>
      <c r="U4120" s="9"/>
      <c r="X4120" s="9"/>
    </row>
    <row r="4121">
      <c r="D4121" s="9"/>
      <c r="G4121" s="9"/>
      <c r="J4121" s="11"/>
      <c r="U4121" s="9"/>
      <c r="X4121" s="9"/>
    </row>
    <row r="4122">
      <c r="D4122" s="9"/>
      <c r="G4122" s="9"/>
      <c r="J4122" s="11"/>
      <c r="U4122" s="9"/>
      <c r="X4122" s="9"/>
    </row>
    <row r="4123">
      <c r="D4123" s="9"/>
      <c r="G4123" s="9"/>
      <c r="J4123" s="11"/>
      <c r="U4123" s="9"/>
      <c r="X4123" s="9"/>
    </row>
    <row r="4124">
      <c r="D4124" s="9"/>
      <c r="G4124" s="9"/>
      <c r="J4124" s="11"/>
      <c r="U4124" s="9"/>
      <c r="X4124" s="9"/>
    </row>
    <row r="4125">
      <c r="D4125" s="9"/>
      <c r="G4125" s="9"/>
      <c r="J4125" s="11"/>
      <c r="U4125" s="9"/>
      <c r="X4125" s="9"/>
    </row>
    <row r="4126">
      <c r="D4126" s="9"/>
      <c r="G4126" s="9"/>
      <c r="J4126" s="11"/>
      <c r="U4126" s="9"/>
      <c r="X4126" s="9"/>
    </row>
    <row r="4127">
      <c r="D4127" s="9"/>
      <c r="G4127" s="9"/>
      <c r="J4127" s="11"/>
      <c r="U4127" s="9"/>
      <c r="X4127" s="9"/>
    </row>
    <row r="4128">
      <c r="D4128" s="9"/>
      <c r="G4128" s="9"/>
      <c r="J4128" s="11"/>
      <c r="U4128" s="9"/>
      <c r="X4128" s="9"/>
    </row>
    <row r="4129">
      <c r="D4129" s="9"/>
      <c r="G4129" s="9"/>
      <c r="J4129" s="11"/>
      <c r="U4129" s="9"/>
      <c r="X4129" s="9"/>
    </row>
    <row r="4130">
      <c r="D4130" s="9"/>
      <c r="G4130" s="9"/>
      <c r="J4130" s="11"/>
      <c r="U4130" s="9"/>
      <c r="X4130" s="9"/>
    </row>
    <row r="4131">
      <c r="D4131" s="9"/>
      <c r="G4131" s="9"/>
      <c r="J4131" s="11"/>
      <c r="U4131" s="9"/>
      <c r="X4131" s="9"/>
    </row>
    <row r="4132">
      <c r="D4132" s="9"/>
      <c r="G4132" s="9"/>
      <c r="J4132" s="11"/>
      <c r="U4132" s="9"/>
      <c r="X4132" s="9"/>
    </row>
    <row r="4133">
      <c r="D4133" s="9"/>
      <c r="G4133" s="9"/>
      <c r="J4133" s="11"/>
      <c r="U4133" s="9"/>
      <c r="X4133" s="9"/>
    </row>
    <row r="4134">
      <c r="D4134" s="9"/>
      <c r="G4134" s="9"/>
      <c r="J4134" s="11"/>
      <c r="U4134" s="9"/>
      <c r="X4134" s="9"/>
    </row>
    <row r="4135">
      <c r="D4135" s="9"/>
      <c r="G4135" s="9"/>
      <c r="J4135" s="11"/>
      <c r="U4135" s="9"/>
      <c r="X4135" s="9"/>
    </row>
    <row r="4136">
      <c r="D4136" s="9"/>
      <c r="G4136" s="9"/>
      <c r="J4136" s="11"/>
      <c r="U4136" s="9"/>
      <c r="X4136" s="9"/>
    </row>
    <row r="4137">
      <c r="D4137" s="9"/>
      <c r="G4137" s="9"/>
      <c r="J4137" s="11"/>
      <c r="U4137" s="9"/>
      <c r="X4137" s="9"/>
    </row>
    <row r="4138">
      <c r="D4138" s="9"/>
      <c r="G4138" s="9"/>
      <c r="J4138" s="11"/>
      <c r="U4138" s="9"/>
      <c r="X4138" s="9"/>
    </row>
    <row r="4139">
      <c r="D4139" s="9"/>
      <c r="G4139" s="9"/>
      <c r="J4139" s="11"/>
      <c r="U4139" s="9"/>
      <c r="X4139" s="9"/>
    </row>
    <row r="4140">
      <c r="D4140" s="9"/>
      <c r="G4140" s="9"/>
      <c r="J4140" s="11"/>
      <c r="U4140" s="9"/>
      <c r="X4140" s="9"/>
    </row>
    <row r="4141">
      <c r="D4141" s="9"/>
      <c r="G4141" s="9"/>
      <c r="J4141" s="11"/>
      <c r="U4141" s="9"/>
      <c r="X4141" s="9"/>
    </row>
    <row r="4142">
      <c r="D4142" s="9"/>
      <c r="G4142" s="9"/>
      <c r="J4142" s="11"/>
      <c r="U4142" s="9"/>
      <c r="X4142" s="9"/>
    </row>
    <row r="4143">
      <c r="D4143" s="9"/>
      <c r="G4143" s="9"/>
      <c r="J4143" s="11"/>
      <c r="U4143" s="9"/>
      <c r="X4143" s="9"/>
    </row>
    <row r="4144">
      <c r="D4144" s="9"/>
      <c r="G4144" s="9"/>
      <c r="J4144" s="11"/>
      <c r="U4144" s="9"/>
      <c r="X4144" s="9"/>
    </row>
    <row r="4145">
      <c r="D4145" s="9"/>
      <c r="G4145" s="9"/>
      <c r="J4145" s="11"/>
      <c r="U4145" s="9"/>
      <c r="X4145" s="9"/>
    </row>
    <row r="4146">
      <c r="D4146" s="9"/>
      <c r="G4146" s="9"/>
      <c r="J4146" s="11"/>
      <c r="U4146" s="9"/>
      <c r="X4146" s="9"/>
    </row>
    <row r="4147">
      <c r="D4147" s="9"/>
      <c r="G4147" s="9"/>
      <c r="J4147" s="11"/>
      <c r="U4147" s="9"/>
      <c r="X4147" s="9"/>
    </row>
    <row r="4148">
      <c r="D4148" s="9"/>
      <c r="G4148" s="9"/>
      <c r="J4148" s="11"/>
      <c r="U4148" s="9"/>
      <c r="X4148" s="9"/>
    </row>
    <row r="4149">
      <c r="D4149" s="9"/>
      <c r="G4149" s="9"/>
      <c r="J4149" s="11"/>
      <c r="U4149" s="9"/>
      <c r="X4149" s="9"/>
    </row>
    <row r="4150">
      <c r="D4150" s="9"/>
      <c r="G4150" s="9"/>
      <c r="J4150" s="11"/>
      <c r="U4150" s="9"/>
      <c r="X4150" s="9"/>
    </row>
    <row r="4151">
      <c r="D4151" s="9"/>
      <c r="G4151" s="9"/>
      <c r="J4151" s="11"/>
      <c r="U4151" s="9"/>
      <c r="X4151" s="9"/>
    </row>
    <row r="4152">
      <c r="D4152" s="9"/>
      <c r="G4152" s="9"/>
      <c r="J4152" s="11"/>
      <c r="U4152" s="9"/>
      <c r="X4152" s="9"/>
    </row>
    <row r="4153">
      <c r="D4153" s="9"/>
      <c r="G4153" s="9"/>
      <c r="J4153" s="11"/>
      <c r="U4153" s="9"/>
      <c r="X4153" s="9"/>
    </row>
    <row r="4154">
      <c r="D4154" s="9"/>
      <c r="G4154" s="9"/>
      <c r="J4154" s="11"/>
      <c r="U4154" s="9"/>
      <c r="X4154" s="9"/>
    </row>
    <row r="4155">
      <c r="D4155" s="9"/>
      <c r="G4155" s="9"/>
      <c r="J4155" s="11"/>
      <c r="U4155" s="9"/>
      <c r="X4155" s="9"/>
    </row>
    <row r="4156">
      <c r="D4156" s="9"/>
      <c r="G4156" s="9"/>
      <c r="J4156" s="11"/>
      <c r="U4156" s="9"/>
      <c r="X4156" s="9"/>
    </row>
    <row r="4157">
      <c r="D4157" s="9"/>
      <c r="G4157" s="9"/>
      <c r="J4157" s="11"/>
      <c r="U4157" s="9"/>
      <c r="X4157" s="9"/>
    </row>
    <row r="4158">
      <c r="D4158" s="9"/>
      <c r="G4158" s="9"/>
      <c r="J4158" s="11"/>
      <c r="U4158" s="9"/>
      <c r="X4158" s="9"/>
    </row>
    <row r="4159">
      <c r="D4159" s="9"/>
      <c r="G4159" s="9"/>
      <c r="J4159" s="11"/>
      <c r="U4159" s="9"/>
      <c r="X4159" s="9"/>
    </row>
    <row r="4160">
      <c r="D4160" s="9"/>
      <c r="G4160" s="9"/>
      <c r="J4160" s="11"/>
      <c r="U4160" s="9"/>
      <c r="X4160" s="9"/>
    </row>
    <row r="4161">
      <c r="D4161" s="9"/>
      <c r="G4161" s="9"/>
      <c r="J4161" s="11"/>
      <c r="U4161" s="9"/>
      <c r="X4161" s="9"/>
    </row>
    <row r="4162">
      <c r="D4162" s="9"/>
      <c r="G4162" s="9"/>
      <c r="J4162" s="11"/>
      <c r="U4162" s="9"/>
      <c r="X4162" s="9"/>
    </row>
    <row r="4163">
      <c r="D4163" s="9"/>
      <c r="G4163" s="9"/>
      <c r="J4163" s="11"/>
      <c r="U4163" s="9"/>
      <c r="X4163" s="9"/>
    </row>
    <row r="4164">
      <c r="D4164" s="9"/>
      <c r="G4164" s="9"/>
      <c r="J4164" s="11"/>
      <c r="U4164" s="9"/>
      <c r="X4164" s="9"/>
    </row>
    <row r="4165">
      <c r="D4165" s="9"/>
      <c r="G4165" s="9"/>
      <c r="J4165" s="11"/>
      <c r="U4165" s="9"/>
      <c r="X4165" s="9"/>
    </row>
    <row r="4166">
      <c r="D4166" s="9"/>
      <c r="G4166" s="9"/>
      <c r="J4166" s="11"/>
      <c r="U4166" s="9"/>
      <c r="X4166" s="9"/>
    </row>
    <row r="4167">
      <c r="D4167" s="9"/>
      <c r="G4167" s="9"/>
      <c r="J4167" s="11"/>
      <c r="U4167" s="9"/>
      <c r="X4167" s="9"/>
    </row>
    <row r="4168">
      <c r="D4168" s="9"/>
      <c r="G4168" s="9"/>
      <c r="J4168" s="11"/>
      <c r="U4168" s="9"/>
      <c r="X4168" s="9"/>
    </row>
    <row r="4169">
      <c r="D4169" s="9"/>
      <c r="G4169" s="9"/>
      <c r="J4169" s="11"/>
      <c r="U4169" s="9"/>
      <c r="X4169" s="9"/>
    </row>
    <row r="4170">
      <c r="D4170" s="9"/>
      <c r="G4170" s="9"/>
      <c r="J4170" s="11"/>
      <c r="U4170" s="9"/>
      <c r="X4170" s="9"/>
    </row>
    <row r="4171">
      <c r="D4171" s="9"/>
      <c r="G4171" s="9"/>
      <c r="J4171" s="11"/>
      <c r="U4171" s="9"/>
      <c r="X4171" s="9"/>
    </row>
    <row r="4172">
      <c r="D4172" s="9"/>
      <c r="G4172" s="9"/>
      <c r="J4172" s="11"/>
      <c r="U4172" s="9"/>
      <c r="X4172" s="9"/>
    </row>
    <row r="4173">
      <c r="D4173" s="9"/>
      <c r="G4173" s="9"/>
      <c r="J4173" s="11"/>
      <c r="U4173" s="9"/>
      <c r="X4173" s="9"/>
    </row>
    <row r="4174">
      <c r="D4174" s="9"/>
      <c r="G4174" s="9"/>
      <c r="J4174" s="11"/>
      <c r="U4174" s="9"/>
      <c r="X4174" s="9"/>
    </row>
    <row r="4175">
      <c r="D4175" s="9"/>
      <c r="G4175" s="9"/>
      <c r="J4175" s="11"/>
      <c r="U4175" s="9"/>
      <c r="X4175" s="9"/>
    </row>
    <row r="4176">
      <c r="D4176" s="9"/>
      <c r="G4176" s="9"/>
      <c r="J4176" s="11"/>
      <c r="U4176" s="9"/>
      <c r="X4176" s="9"/>
    </row>
    <row r="4177">
      <c r="D4177" s="9"/>
      <c r="G4177" s="9"/>
      <c r="J4177" s="11"/>
      <c r="U4177" s="9"/>
      <c r="X4177" s="9"/>
    </row>
    <row r="4178">
      <c r="D4178" s="9"/>
      <c r="G4178" s="9"/>
      <c r="J4178" s="11"/>
      <c r="U4178" s="9"/>
      <c r="X4178" s="9"/>
    </row>
    <row r="4179">
      <c r="D4179" s="9"/>
      <c r="G4179" s="9"/>
      <c r="J4179" s="11"/>
      <c r="U4179" s="9"/>
      <c r="X4179" s="9"/>
    </row>
    <row r="4180">
      <c r="D4180" s="9"/>
      <c r="G4180" s="9"/>
      <c r="J4180" s="11"/>
      <c r="U4180" s="9"/>
      <c r="X4180" s="9"/>
    </row>
    <row r="4181">
      <c r="D4181" s="9"/>
      <c r="G4181" s="9"/>
      <c r="J4181" s="11"/>
      <c r="U4181" s="9"/>
      <c r="X4181" s="9"/>
    </row>
    <row r="4182">
      <c r="D4182" s="9"/>
      <c r="G4182" s="9"/>
      <c r="J4182" s="11"/>
      <c r="U4182" s="9"/>
      <c r="X4182" s="9"/>
    </row>
    <row r="4183">
      <c r="D4183" s="9"/>
      <c r="G4183" s="9"/>
      <c r="J4183" s="11"/>
      <c r="U4183" s="9"/>
      <c r="X4183" s="9"/>
    </row>
    <row r="4184">
      <c r="D4184" s="9"/>
      <c r="G4184" s="9"/>
      <c r="J4184" s="11"/>
      <c r="U4184" s="9"/>
      <c r="X4184" s="9"/>
    </row>
    <row r="4185">
      <c r="D4185" s="9"/>
      <c r="G4185" s="9"/>
      <c r="J4185" s="11"/>
      <c r="U4185" s="9"/>
      <c r="X4185" s="9"/>
    </row>
    <row r="4186">
      <c r="D4186" s="9"/>
      <c r="G4186" s="9"/>
      <c r="J4186" s="11"/>
      <c r="U4186" s="9"/>
      <c r="X4186" s="9"/>
    </row>
    <row r="4187">
      <c r="D4187" s="9"/>
      <c r="G4187" s="9"/>
      <c r="J4187" s="11"/>
      <c r="U4187" s="9"/>
      <c r="X4187" s="9"/>
    </row>
    <row r="4188">
      <c r="D4188" s="9"/>
      <c r="G4188" s="9"/>
      <c r="J4188" s="11"/>
      <c r="U4188" s="9"/>
      <c r="X4188" s="9"/>
    </row>
    <row r="4189">
      <c r="D4189" s="9"/>
      <c r="G4189" s="9"/>
      <c r="J4189" s="11"/>
      <c r="U4189" s="9"/>
      <c r="X4189" s="9"/>
    </row>
    <row r="4190">
      <c r="D4190" s="9"/>
      <c r="G4190" s="9"/>
      <c r="J4190" s="11"/>
      <c r="U4190" s="9"/>
      <c r="X4190" s="9"/>
    </row>
    <row r="4191">
      <c r="D4191" s="9"/>
      <c r="G4191" s="9"/>
      <c r="J4191" s="11"/>
      <c r="U4191" s="9"/>
      <c r="X4191" s="9"/>
    </row>
    <row r="4192">
      <c r="D4192" s="9"/>
      <c r="G4192" s="9"/>
      <c r="J4192" s="11"/>
      <c r="U4192" s="9"/>
      <c r="X4192" s="9"/>
    </row>
    <row r="4193">
      <c r="D4193" s="9"/>
      <c r="G4193" s="9"/>
      <c r="J4193" s="11"/>
      <c r="U4193" s="9"/>
      <c r="X4193" s="9"/>
    </row>
    <row r="4194">
      <c r="D4194" s="9"/>
      <c r="G4194" s="9"/>
      <c r="J4194" s="11"/>
      <c r="U4194" s="9"/>
      <c r="X4194" s="9"/>
    </row>
    <row r="4195">
      <c r="D4195" s="9"/>
      <c r="G4195" s="9"/>
      <c r="J4195" s="11"/>
      <c r="U4195" s="9"/>
      <c r="X4195" s="9"/>
    </row>
    <row r="4196">
      <c r="D4196" s="9"/>
      <c r="G4196" s="9"/>
      <c r="J4196" s="11"/>
      <c r="U4196" s="9"/>
      <c r="X4196" s="9"/>
    </row>
    <row r="4197">
      <c r="D4197" s="9"/>
      <c r="G4197" s="9"/>
      <c r="J4197" s="11"/>
      <c r="U4197" s="9"/>
      <c r="X4197" s="9"/>
    </row>
    <row r="4198">
      <c r="D4198" s="9"/>
      <c r="G4198" s="9"/>
      <c r="J4198" s="11"/>
      <c r="U4198" s="9"/>
      <c r="X4198" s="9"/>
    </row>
    <row r="4199">
      <c r="D4199" s="9"/>
      <c r="G4199" s="9"/>
      <c r="J4199" s="11"/>
      <c r="U4199" s="9"/>
      <c r="X4199" s="9"/>
    </row>
    <row r="4200">
      <c r="D4200" s="9"/>
      <c r="G4200" s="9"/>
      <c r="J4200" s="11"/>
      <c r="U4200" s="9"/>
      <c r="X4200" s="9"/>
    </row>
    <row r="4201">
      <c r="D4201" s="9"/>
      <c r="G4201" s="9"/>
      <c r="J4201" s="11"/>
      <c r="U4201" s="9"/>
      <c r="X4201" s="9"/>
    </row>
    <row r="4202">
      <c r="D4202" s="9"/>
      <c r="G4202" s="9"/>
      <c r="J4202" s="11"/>
      <c r="U4202" s="9"/>
      <c r="X4202" s="9"/>
    </row>
    <row r="4203">
      <c r="D4203" s="9"/>
      <c r="G4203" s="9"/>
      <c r="J4203" s="11"/>
      <c r="U4203" s="9"/>
      <c r="X4203" s="9"/>
    </row>
    <row r="4204">
      <c r="D4204" s="9"/>
      <c r="G4204" s="9"/>
      <c r="J4204" s="11"/>
      <c r="U4204" s="9"/>
      <c r="X4204" s="9"/>
    </row>
    <row r="4205">
      <c r="D4205" s="9"/>
      <c r="G4205" s="9"/>
      <c r="J4205" s="11"/>
      <c r="U4205" s="9"/>
      <c r="X4205" s="9"/>
    </row>
    <row r="4206">
      <c r="D4206" s="9"/>
      <c r="G4206" s="9"/>
      <c r="J4206" s="11"/>
      <c r="U4206" s="9"/>
      <c r="X4206" s="9"/>
    </row>
    <row r="4207">
      <c r="D4207" s="9"/>
      <c r="G4207" s="9"/>
      <c r="J4207" s="11"/>
      <c r="U4207" s="9"/>
      <c r="X4207" s="9"/>
    </row>
    <row r="4208">
      <c r="D4208" s="9"/>
      <c r="G4208" s="9"/>
      <c r="J4208" s="11"/>
      <c r="U4208" s="9"/>
      <c r="X4208" s="9"/>
    </row>
    <row r="4209">
      <c r="D4209" s="9"/>
      <c r="G4209" s="9"/>
      <c r="J4209" s="11"/>
      <c r="U4209" s="9"/>
      <c r="X4209" s="9"/>
    </row>
    <row r="4210">
      <c r="D4210" s="9"/>
      <c r="G4210" s="9"/>
      <c r="J4210" s="11"/>
      <c r="U4210" s="9"/>
      <c r="X4210" s="9"/>
    </row>
    <row r="4211">
      <c r="D4211" s="9"/>
      <c r="G4211" s="9"/>
      <c r="J4211" s="11"/>
      <c r="U4211" s="9"/>
      <c r="X4211" s="9"/>
    </row>
    <row r="4212">
      <c r="D4212" s="9"/>
      <c r="G4212" s="9"/>
      <c r="J4212" s="11"/>
      <c r="U4212" s="9"/>
      <c r="X4212" s="9"/>
    </row>
    <row r="4213">
      <c r="D4213" s="9"/>
      <c r="G4213" s="9"/>
      <c r="J4213" s="11"/>
      <c r="U4213" s="9"/>
      <c r="X4213" s="9"/>
    </row>
    <row r="4214">
      <c r="D4214" s="9"/>
      <c r="G4214" s="9"/>
      <c r="J4214" s="11"/>
      <c r="U4214" s="9"/>
      <c r="X4214" s="9"/>
    </row>
    <row r="4215">
      <c r="D4215" s="9"/>
      <c r="G4215" s="9"/>
      <c r="J4215" s="11"/>
      <c r="U4215" s="9"/>
      <c r="X4215" s="9"/>
    </row>
    <row r="4216">
      <c r="D4216" s="9"/>
      <c r="G4216" s="9"/>
      <c r="J4216" s="11"/>
      <c r="U4216" s="9"/>
      <c r="X4216" s="9"/>
    </row>
    <row r="4217">
      <c r="D4217" s="9"/>
      <c r="G4217" s="9"/>
      <c r="J4217" s="11"/>
      <c r="U4217" s="9"/>
      <c r="X4217" s="9"/>
    </row>
    <row r="4218">
      <c r="D4218" s="9"/>
      <c r="G4218" s="9"/>
      <c r="J4218" s="11"/>
      <c r="U4218" s="9"/>
      <c r="X4218" s="9"/>
    </row>
    <row r="4219">
      <c r="D4219" s="9"/>
      <c r="G4219" s="9"/>
      <c r="J4219" s="11"/>
      <c r="U4219" s="9"/>
      <c r="X4219" s="9"/>
    </row>
    <row r="4220">
      <c r="D4220" s="9"/>
      <c r="G4220" s="9"/>
      <c r="J4220" s="11"/>
      <c r="U4220" s="9"/>
      <c r="X4220" s="9"/>
    </row>
    <row r="4221">
      <c r="D4221" s="9"/>
      <c r="G4221" s="9"/>
      <c r="J4221" s="11"/>
      <c r="U4221" s="9"/>
      <c r="X4221" s="9"/>
    </row>
    <row r="4222">
      <c r="D4222" s="9"/>
      <c r="G4222" s="9"/>
      <c r="J4222" s="11"/>
      <c r="U4222" s="9"/>
      <c r="X4222" s="9"/>
    </row>
    <row r="4223">
      <c r="D4223" s="9"/>
      <c r="G4223" s="9"/>
      <c r="J4223" s="11"/>
      <c r="U4223" s="9"/>
      <c r="X4223" s="9"/>
    </row>
    <row r="4224">
      <c r="D4224" s="9"/>
      <c r="G4224" s="9"/>
      <c r="J4224" s="11"/>
      <c r="U4224" s="9"/>
      <c r="X4224" s="9"/>
    </row>
    <row r="4225">
      <c r="D4225" s="9"/>
      <c r="G4225" s="9"/>
      <c r="J4225" s="11"/>
      <c r="U4225" s="9"/>
      <c r="X4225" s="9"/>
    </row>
    <row r="4226">
      <c r="D4226" s="9"/>
      <c r="G4226" s="9"/>
      <c r="J4226" s="11"/>
      <c r="U4226" s="9"/>
      <c r="X4226" s="9"/>
    </row>
    <row r="4227">
      <c r="D4227" s="9"/>
      <c r="G4227" s="9"/>
      <c r="J4227" s="11"/>
      <c r="U4227" s="9"/>
      <c r="X4227" s="9"/>
    </row>
    <row r="4228">
      <c r="D4228" s="9"/>
      <c r="G4228" s="9"/>
      <c r="J4228" s="11"/>
      <c r="U4228" s="9"/>
      <c r="X4228" s="9"/>
    </row>
    <row r="4229">
      <c r="D4229" s="9"/>
      <c r="G4229" s="9"/>
      <c r="J4229" s="11"/>
      <c r="U4229" s="9"/>
      <c r="X4229" s="9"/>
    </row>
    <row r="4230">
      <c r="D4230" s="9"/>
      <c r="G4230" s="9"/>
      <c r="J4230" s="11"/>
      <c r="U4230" s="9"/>
      <c r="X4230" s="9"/>
    </row>
    <row r="4231">
      <c r="D4231" s="9"/>
      <c r="G4231" s="9"/>
      <c r="J4231" s="11"/>
      <c r="U4231" s="9"/>
      <c r="X4231" s="9"/>
    </row>
    <row r="4232">
      <c r="D4232" s="9"/>
      <c r="G4232" s="9"/>
      <c r="J4232" s="11"/>
      <c r="U4232" s="9"/>
      <c r="X4232" s="9"/>
    </row>
    <row r="4233">
      <c r="D4233" s="9"/>
      <c r="G4233" s="9"/>
      <c r="J4233" s="11"/>
      <c r="U4233" s="9"/>
      <c r="X4233" s="9"/>
    </row>
    <row r="4234">
      <c r="D4234" s="9"/>
      <c r="G4234" s="9"/>
      <c r="J4234" s="11"/>
      <c r="U4234" s="9"/>
      <c r="X4234" s="9"/>
    </row>
    <row r="4235">
      <c r="D4235" s="9"/>
      <c r="G4235" s="9"/>
      <c r="J4235" s="11"/>
      <c r="U4235" s="9"/>
      <c r="X4235" s="9"/>
    </row>
    <row r="4236">
      <c r="D4236" s="9"/>
      <c r="G4236" s="9"/>
      <c r="J4236" s="11"/>
      <c r="U4236" s="9"/>
      <c r="X4236" s="9"/>
    </row>
    <row r="4237">
      <c r="D4237" s="9"/>
      <c r="G4237" s="9"/>
      <c r="J4237" s="11"/>
      <c r="U4237" s="9"/>
      <c r="X4237" s="9"/>
    </row>
    <row r="4238">
      <c r="D4238" s="9"/>
      <c r="G4238" s="9"/>
      <c r="J4238" s="11"/>
      <c r="U4238" s="9"/>
      <c r="X4238" s="9"/>
    </row>
    <row r="4239">
      <c r="D4239" s="9"/>
      <c r="G4239" s="9"/>
      <c r="J4239" s="11"/>
      <c r="U4239" s="9"/>
      <c r="X4239" s="9"/>
    </row>
    <row r="4240">
      <c r="D4240" s="9"/>
      <c r="G4240" s="9"/>
      <c r="J4240" s="11"/>
      <c r="U4240" s="9"/>
      <c r="X4240" s="9"/>
    </row>
    <row r="4241">
      <c r="D4241" s="9"/>
      <c r="G4241" s="9"/>
      <c r="J4241" s="11"/>
      <c r="U4241" s="9"/>
      <c r="X4241" s="9"/>
    </row>
    <row r="4242">
      <c r="D4242" s="9"/>
      <c r="G4242" s="9"/>
      <c r="J4242" s="11"/>
      <c r="U4242" s="9"/>
      <c r="X4242" s="9"/>
    </row>
    <row r="4243">
      <c r="D4243" s="9"/>
      <c r="G4243" s="9"/>
      <c r="J4243" s="11"/>
      <c r="U4243" s="9"/>
      <c r="X4243" s="9"/>
    </row>
    <row r="4244">
      <c r="D4244" s="9"/>
      <c r="G4244" s="9"/>
      <c r="J4244" s="11"/>
      <c r="U4244" s="9"/>
      <c r="X4244" s="9"/>
    </row>
    <row r="4245">
      <c r="D4245" s="9"/>
      <c r="G4245" s="9"/>
      <c r="J4245" s="11"/>
      <c r="U4245" s="9"/>
      <c r="X4245" s="9"/>
    </row>
    <row r="4246">
      <c r="D4246" s="9"/>
      <c r="G4246" s="9"/>
      <c r="J4246" s="11"/>
      <c r="U4246" s="9"/>
      <c r="X4246" s="9"/>
    </row>
    <row r="4247">
      <c r="D4247" s="9"/>
      <c r="G4247" s="9"/>
      <c r="J4247" s="11"/>
      <c r="U4247" s="9"/>
      <c r="X4247" s="9"/>
    </row>
    <row r="4248">
      <c r="D4248" s="9"/>
      <c r="G4248" s="9"/>
      <c r="J4248" s="11"/>
      <c r="U4248" s="9"/>
      <c r="X4248" s="9"/>
    </row>
    <row r="4249">
      <c r="D4249" s="9"/>
      <c r="G4249" s="9"/>
      <c r="J4249" s="11"/>
      <c r="U4249" s="9"/>
      <c r="X4249" s="9"/>
    </row>
    <row r="4250">
      <c r="D4250" s="9"/>
      <c r="G4250" s="9"/>
      <c r="J4250" s="11"/>
      <c r="U4250" s="9"/>
      <c r="X4250" s="9"/>
    </row>
    <row r="4251">
      <c r="D4251" s="9"/>
      <c r="G4251" s="9"/>
      <c r="J4251" s="11"/>
      <c r="U4251" s="9"/>
      <c r="X4251" s="9"/>
    </row>
    <row r="4252">
      <c r="D4252" s="9"/>
      <c r="G4252" s="9"/>
      <c r="J4252" s="11"/>
      <c r="U4252" s="9"/>
      <c r="X4252" s="9"/>
    </row>
    <row r="4253">
      <c r="D4253" s="9"/>
      <c r="G4253" s="9"/>
      <c r="J4253" s="11"/>
      <c r="U4253" s="9"/>
      <c r="X4253" s="9"/>
    </row>
    <row r="4254">
      <c r="D4254" s="9"/>
      <c r="G4254" s="9"/>
      <c r="J4254" s="11"/>
      <c r="U4254" s="9"/>
      <c r="X4254" s="9"/>
    </row>
    <row r="4255">
      <c r="D4255" s="9"/>
      <c r="G4255" s="9"/>
      <c r="J4255" s="11"/>
      <c r="U4255" s="9"/>
      <c r="X4255" s="9"/>
    </row>
    <row r="4256">
      <c r="D4256" s="9"/>
      <c r="G4256" s="9"/>
      <c r="J4256" s="11"/>
      <c r="U4256" s="9"/>
      <c r="X4256" s="9"/>
    </row>
    <row r="4257">
      <c r="D4257" s="9"/>
      <c r="G4257" s="9"/>
      <c r="J4257" s="11"/>
      <c r="U4257" s="9"/>
      <c r="X4257" s="9"/>
    </row>
    <row r="4258">
      <c r="D4258" s="9"/>
      <c r="G4258" s="9"/>
      <c r="J4258" s="11"/>
      <c r="U4258" s="9"/>
      <c r="X4258" s="9"/>
    </row>
    <row r="4259">
      <c r="D4259" s="9"/>
      <c r="G4259" s="9"/>
      <c r="J4259" s="11"/>
      <c r="U4259" s="9"/>
      <c r="X4259" s="9"/>
    </row>
    <row r="4260">
      <c r="D4260" s="9"/>
      <c r="G4260" s="9"/>
      <c r="J4260" s="11"/>
      <c r="U4260" s="9"/>
      <c r="X4260" s="9"/>
    </row>
    <row r="4261">
      <c r="D4261" s="9"/>
      <c r="G4261" s="9"/>
      <c r="J4261" s="11"/>
      <c r="U4261" s="9"/>
      <c r="X4261" s="9"/>
    </row>
    <row r="4262">
      <c r="D4262" s="9"/>
      <c r="G4262" s="9"/>
      <c r="J4262" s="11"/>
      <c r="U4262" s="9"/>
      <c r="X4262" s="9"/>
    </row>
    <row r="4263">
      <c r="D4263" s="9"/>
      <c r="G4263" s="9"/>
      <c r="J4263" s="11"/>
      <c r="U4263" s="9"/>
      <c r="X4263" s="9"/>
    </row>
    <row r="4264">
      <c r="D4264" s="9"/>
      <c r="G4264" s="9"/>
      <c r="J4264" s="11"/>
      <c r="U4264" s="9"/>
      <c r="X4264" s="9"/>
    </row>
    <row r="4265">
      <c r="D4265" s="9"/>
      <c r="G4265" s="9"/>
      <c r="J4265" s="11"/>
      <c r="U4265" s="9"/>
      <c r="X4265" s="9"/>
    </row>
    <row r="4266">
      <c r="D4266" s="9"/>
      <c r="G4266" s="9"/>
      <c r="J4266" s="11"/>
      <c r="U4266" s="9"/>
      <c r="X4266" s="9"/>
    </row>
    <row r="4267">
      <c r="D4267" s="9"/>
      <c r="G4267" s="9"/>
      <c r="J4267" s="11"/>
      <c r="U4267" s="9"/>
      <c r="X4267" s="9"/>
    </row>
    <row r="4268">
      <c r="D4268" s="9"/>
      <c r="G4268" s="9"/>
      <c r="J4268" s="11"/>
      <c r="U4268" s="9"/>
      <c r="X4268" s="9"/>
    </row>
    <row r="4269">
      <c r="D4269" s="9"/>
      <c r="G4269" s="9"/>
      <c r="J4269" s="11"/>
      <c r="U4269" s="9"/>
      <c r="X4269" s="9"/>
    </row>
    <row r="4270">
      <c r="D4270" s="9"/>
      <c r="G4270" s="9"/>
      <c r="J4270" s="11"/>
      <c r="U4270" s="9"/>
      <c r="X4270" s="9"/>
    </row>
    <row r="4271">
      <c r="D4271" s="9"/>
      <c r="G4271" s="9"/>
      <c r="J4271" s="11"/>
      <c r="U4271" s="9"/>
      <c r="X4271" s="9"/>
    </row>
    <row r="4272">
      <c r="D4272" s="9"/>
      <c r="G4272" s="9"/>
      <c r="J4272" s="11"/>
      <c r="U4272" s="9"/>
      <c r="X4272" s="9"/>
    </row>
    <row r="4273">
      <c r="D4273" s="9"/>
      <c r="G4273" s="9"/>
      <c r="J4273" s="11"/>
      <c r="U4273" s="9"/>
      <c r="X4273" s="9"/>
    </row>
    <row r="4274">
      <c r="D4274" s="9"/>
      <c r="G4274" s="9"/>
      <c r="J4274" s="11"/>
      <c r="U4274" s="9"/>
      <c r="X4274" s="9"/>
    </row>
    <row r="4275">
      <c r="D4275" s="9"/>
      <c r="G4275" s="9"/>
      <c r="J4275" s="11"/>
      <c r="U4275" s="9"/>
      <c r="X4275" s="9"/>
    </row>
    <row r="4276">
      <c r="D4276" s="9"/>
      <c r="G4276" s="9"/>
      <c r="J4276" s="11"/>
      <c r="U4276" s="9"/>
      <c r="X4276" s="9"/>
    </row>
    <row r="4277">
      <c r="D4277" s="9"/>
      <c r="G4277" s="9"/>
      <c r="J4277" s="11"/>
      <c r="U4277" s="9"/>
      <c r="X4277" s="9"/>
    </row>
    <row r="4278">
      <c r="D4278" s="9"/>
      <c r="G4278" s="9"/>
      <c r="J4278" s="11"/>
      <c r="U4278" s="9"/>
      <c r="X4278" s="9"/>
    </row>
    <row r="4279">
      <c r="D4279" s="9"/>
      <c r="G4279" s="9"/>
      <c r="J4279" s="11"/>
      <c r="U4279" s="9"/>
      <c r="X4279" s="9"/>
    </row>
    <row r="4280">
      <c r="D4280" s="9"/>
      <c r="G4280" s="9"/>
      <c r="J4280" s="11"/>
      <c r="U4280" s="9"/>
      <c r="X4280" s="9"/>
    </row>
    <row r="4281">
      <c r="D4281" s="9"/>
      <c r="G4281" s="9"/>
      <c r="J4281" s="11"/>
      <c r="U4281" s="9"/>
      <c r="X4281" s="9"/>
    </row>
    <row r="4282">
      <c r="D4282" s="9"/>
      <c r="G4282" s="9"/>
      <c r="J4282" s="11"/>
      <c r="U4282" s="9"/>
      <c r="X4282" s="9"/>
    </row>
    <row r="4283">
      <c r="D4283" s="9"/>
      <c r="G4283" s="9"/>
      <c r="J4283" s="11"/>
      <c r="U4283" s="9"/>
      <c r="X4283" s="9"/>
    </row>
    <row r="4284">
      <c r="D4284" s="9"/>
      <c r="G4284" s="9"/>
      <c r="J4284" s="11"/>
      <c r="U4284" s="9"/>
      <c r="X4284" s="9"/>
    </row>
    <row r="4285">
      <c r="D4285" s="9"/>
      <c r="G4285" s="9"/>
      <c r="J4285" s="11"/>
      <c r="U4285" s="9"/>
      <c r="X4285" s="9"/>
    </row>
    <row r="4286">
      <c r="D4286" s="9"/>
      <c r="G4286" s="9"/>
      <c r="J4286" s="11"/>
      <c r="U4286" s="9"/>
      <c r="X4286" s="9"/>
    </row>
    <row r="4287">
      <c r="D4287" s="9"/>
      <c r="G4287" s="9"/>
      <c r="J4287" s="11"/>
      <c r="U4287" s="9"/>
      <c r="X4287" s="9"/>
    </row>
    <row r="4288">
      <c r="D4288" s="9"/>
      <c r="G4288" s="9"/>
      <c r="J4288" s="11"/>
      <c r="U4288" s="9"/>
      <c r="X4288" s="9"/>
    </row>
    <row r="4289">
      <c r="D4289" s="9"/>
      <c r="G4289" s="9"/>
      <c r="J4289" s="11"/>
      <c r="U4289" s="9"/>
      <c r="X4289" s="9"/>
    </row>
    <row r="4290">
      <c r="D4290" s="9"/>
      <c r="G4290" s="9"/>
      <c r="J4290" s="11"/>
      <c r="U4290" s="9"/>
      <c r="X4290" s="9"/>
    </row>
    <row r="4291">
      <c r="D4291" s="9"/>
      <c r="G4291" s="9"/>
      <c r="J4291" s="11"/>
      <c r="U4291" s="9"/>
      <c r="X4291" s="9"/>
    </row>
    <row r="4292">
      <c r="D4292" s="9"/>
      <c r="G4292" s="9"/>
      <c r="J4292" s="11"/>
      <c r="U4292" s="9"/>
      <c r="X4292" s="9"/>
    </row>
    <row r="4293">
      <c r="D4293" s="9"/>
      <c r="G4293" s="9"/>
      <c r="J4293" s="11"/>
      <c r="U4293" s="9"/>
      <c r="X4293" s="9"/>
    </row>
    <row r="4294">
      <c r="D4294" s="9"/>
      <c r="G4294" s="9"/>
      <c r="J4294" s="11"/>
      <c r="U4294" s="9"/>
      <c r="X4294" s="9"/>
    </row>
    <row r="4295">
      <c r="D4295" s="9"/>
      <c r="G4295" s="9"/>
      <c r="J4295" s="11"/>
      <c r="U4295" s="9"/>
      <c r="X4295" s="9"/>
    </row>
    <row r="4296">
      <c r="D4296" s="9"/>
      <c r="G4296" s="9"/>
      <c r="J4296" s="11"/>
      <c r="U4296" s="9"/>
      <c r="X4296" s="9"/>
    </row>
    <row r="4297">
      <c r="D4297" s="9"/>
      <c r="G4297" s="9"/>
      <c r="J4297" s="11"/>
      <c r="U4297" s="9"/>
      <c r="X4297" s="9"/>
    </row>
    <row r="4298">
      <c r="D4298" s="9"/>
      <c r="G4298" s="9"/>
      <c r="J4298" s="11"/>
      <c r="U4298" s="9"/>
      <c r="X4298" s="9"/>
    </row>
    <row r="4299">
      <c r="D4299" s="9"/>
      <c r="G4299" s="9"/>
      <c r="J4299" s="11"/>
      <c r="U4299" s="9"/>
      <c r="X4299" s="9"/>
    </row>
    <row r="4300">
      <c r="D4300" s="9"/>
      <c r="G4300" s="9"/>
      <c r="J4300" s="11"/>
      <c r="U4300" s="9"/>
      <c r="X4300" s="9"/>
    </row>
    <row r="4301">
      <c r="D4301" s="9"/>
      <c r="G4301" s="9"/>
      <c r="J4301" s="11"/>
      <c r="U4301" s="9"/>
      <c r="X4301" s="9"/>
    </row>
    <row r="4302">
      <c r="D4302" s="9"/>
      <c r="G4302" s="9"/>
      <c r="J4302" s="11"/>
      <c r="U4302" s="9"/>
      <c r="X4302" s="9"/>
    </row>
    <row r="4303">
      <c r="D4303" s="9"/>
      <c r="G4303" s="9"/>
      <c r="J4303" s="11"/>
      <c r="U4303" s="9"/>
      <c r="X4303" s="9"/>
    </row>
    <row r="4304">
      <c r="D4304" s="9"/>
      <c r="G4304" s="9"/>
      <c r="J4304" s="11"/>
      <c r="U4304" s="9"/>
      <c r="X4304" s="9"/>
    </row>
    <row r="4305">
      <c r="D4305" s="9"/>
      <c r="G4305" s="9"/>
      <c r="J4305" s="11"/>
      <c r="U4305" s="9"/>
      <c r="X4305" s="9"/>
    </row>
    <row r="4306">
      <c r="D4306" s="9"/>
      <c r="G4306" s="9"/>
      <c r="J4306" s="11"/>
      <c r="U4306" s="9"/>
      <c r="X4306" s="9"/>
    </row>
    <row r="4307">
      <c r="D4307" s="9"/>
      <c r="G4307" s="9"/>
      <c r="J4307" s="11"/>
      <c r="U4307" s="9"/>
      <c r="X4307" s="9"/>
    </row>
    <row r="4308">
      <c r="D4308" s="9"/>
      <c r="G4308" s="9"/>
      <c r="J4308" s="11"/>
      <c r="U4308" s="9"/>
      <c r="X4308" s="9"/>
    </row>
    <row r="4309">
      <c r="D4309" s="9"/>
      <c r="G4309" s="9"/>
      <c r="J4309" s="11"/>
      <c r="U4309" s="9"/>
      <c r="X4309" s="9"/>
    </row>
    <row r="4310">
      <c r="D4310" s="9"/>
      <c r="G4310" s="9"/>
      <c r="J4310" s="11"/>
      <c r="U4310" s="9"/>
      <c r="X4310" s="9"/>
    </row>
    <row r="4311">
      <c r="D4311" s="9"/>
      <c r="G4311" s="9"/>
      <c r="J4311" s="11"/>
      <c r="U4311" s="9"/>
      <c r="X4311" s="9"/>
    </row>
    <row r="4312">
      <c r="D4312" s="9"/>
      <c r="G4312" s="9"/>
      <c r="J4312" s="11"/>
      <c r="U4312" s="9"/>
      <c r="X4312" s="9"/>
    </row>
    <row r="4313">
      <c r="D4313" s="9"/>
      <c r="G4313" s="9"/>
      <c r="J4313" s="11"/>
      <c r="U4313" s="9"/>
      <c r="X4313" s="9"/>
    </row>
    <row r="4314">
      <c r="D4314" s="9"/>
      <c r="G4314" s="9"/>
      <c r="J4314" s="11"/>
      <c r="U4314" s="9"/>
      <c r="X4314" s="9"/>
    </row>
    <row r="4315">
      <c r="D4315" s="9"/>
      <c r="G4315" s="9"/>
      <c r="J4315" s="11"/>
      <c r="U4315" s="9"/>
      <c r="X4315" s="9"/>
    </row>
    <row r="4316">
      <c r="D4316" s="9"/>
      <c r="G4316" s="9"/>
      <c r="J4316" s="11"/>
      <c r="U4316" s="9"/>
      <c r="X4316" s="9"/>
    </row>
    <row r="4317">
      <c r="D4317" s="9"/>
      <c r="G4317" s="9"/>
      <c r="J4317" s="11"/>
      <c r="U4317" s="9"/>
      <c r="X4317" s="9"/>
    </row>
    <row r="4318">
      <c r="D4318" s="9"/>
      <c r="G4318" s="9"/>
      <c r="J4318" s="11"/>
      <c r="U4318" s="9"/>
      <c r="X4318" s="9"/>
    </row>
    <row r="4319">
      <c r="D4319" s="9"/>
      <c r="G4319" s="9"/>
      <c r="J4319" s="11"/>
      <c r="U4319" s="9"/>
      <c r="X4319" s="9"/>
    </row>
    <row r="4320">
      <c r="D4320" s="9"/>
      <c r="G4320" s="9"/>
      <c r="J4320" s="11"/>
      <c r="U4320" s="9"/>
      <c r="X4320" s="9"/>
    </row>
    <row r="4321">
      <c r="D4321" s="9"/>
      <c r="G4321" s="9"/>
      <c r="J4321" s="11"/>
      <c r="U4321" s="9"/>
      <c r="X4321" s="9"/>
    </row>
    <row r="4322">
      <c r="D4322" s="9"/>
      <c r="G4322" s="9"/>
      <c r="J4322" s="11"/>
      <c r="U4322" s="9"/>
      <c r="X4322" s="9"/>
    </row>
    <row r="4323">
      <c r="D4323" s="9"/>
      <c r="G4323" s="9"/>
      <c r="J4323" s="11"/>
      <c r="U4323" s="9"/>
      <c r="X4323" s="9"/>
    </row>
    <row r="4324">
      <c r="D4324" s="9"/>
      <c r="G4324" s="9"/>
      <c r="J4324" s="11"/>
      <c r="U4324" s="9"/>
      <c r="X4324" s="9"/>
    </row>
    <row r="4325">
      <c r="D4325" s="9"/>
      <c r="G4325" s="9"/>
      <c r="J4325" s="11"/>
      <c r="U4325" s="9"/>
      <c r="X4325" s="9"/>
    </row>
    <row r="4326">
      <c r="D4326" s="9"/>
      <c r="G4326" s="9"/>
      <c r="J4326" s="11"/>
      <c r="U4326" s="9"/>
      <c r="X4326" s="9"/>
    </row>
    <row r="4327">
      <c r="D4327" s="9"/>
      <c r="G4327" s="9"/>
      <c r="J4327" s="11"/>
      <c r="U4327" s="9"/>
      <c r="X4327" s="9"/>
    </row>
    <row r="4328">
      <c r="D4328" s="9"/>
      <c r="G4328" s="9"/>
      <c r="J4328" s="11"/>
      <c r="U4328" s="9"/>
      <c r="X4328" s="9"/>
    </row>
    <row r="4329">
      <c r="D4329" s="9"/>
      <c r="G4329" s="9"/>
      <c r="J4329" s="11"/>
      <c r="U4329" s="9"/>
      <c r="X4329" s="9"/>
    </row>
    <row r="4330">
      <c r="D4330" s="9"/>
      <c r="G4330" s="9"/>
      <c r="J4330" s="11"/>
      <c r="U4330" s="9"/>
      <c r="X4330" s="9"/>
    </row>
    <row r="4331">
      <c r="D4331" s="9"/>
      <c r="G4331" s="9"/>
      <c r="J4331" s="11"/>
      <c r="U4331" s="9"/>
      <c r="X4331" s="9"/>
    </row>
    <row r="4332">
      <c r="D4332" s="9"/>
      <c r="G4332" s="9"/>
      <c r="J4332" s="11"/>
      <c r="U4332" s="9"/>
      <c r="X4332" s="9"/>
    </row>
    <row r="4333">
      <c r="D4333" s="9"/>
      <c r="G4333" s="9"/>
      <c r="J4333" s="11"/>
      <c r="U4333" s="9"/>
      <c r="X4333" s="9"/>
    </row>
    <row r="4334">
      <c r="D4334" s="9"/>
      <c r="G4334" s="9"/>
      <c r="J4334" s="11"/>
      <c r="U4334" s="9"/>
      <c r="X4334" s="9"/>
    </row>
    <row r="4335">
      <c r="D4335" s="9"/>
      <c r="G4335" s="9"/>
      <c r="J4335" s="11"/>
      <c r="U4335" s="9"/>
      <c r="X4335" s="9"/>
    </row>
    <row r="4336">
      <c r="D4336" s="9"/>
      <c r="G4336" s="9"/>
      <c r="J4336" s="11"/>
      <c r="U4336" s="9"/>
      <c r="X4336" s="9"/>
    </row>
    <row r="4337">
      <c r="D4337" s="9"/>
      <c r="G4337" s="9"/>
      <c r="J4337" s="11"/>
      <c r="U4337" s="9"/>
      <c r="X4337" s="9"/>
    </row>
    <row r="4338">
      <c r="D4338" s="9"/>
      <c r="G4338" s="9"/>
      <c r="J4338" s="11"/>
      <c r="U4338" s="9"/>
      <c r="X4338" s="9"/>
    </row>
    <row r="4339">
      <c r="D4339" s="9"/>
      <c r="G4339" s="9"/>
      <c r="J4339" s="11"/>
      <c r="U4339" s="9"/>
      <c r="X4339" s="9"/>
    </row>
    <row r="4340">
      <c r="D4340" s="9"/>
      <c r="G4340" s="9"/>
      <c r="J4340" s="11"/>
      <c r="U4340" s="9"/>
      <c r="X4340" s="9"/>
    </row>
    <row r="4341">
      <c r="D4341" s="9"/>
      <c r="G4341" s="9"/>
      <c r="J4341" s="11"/>
      <c r="U4341" s="9"/>
      <c r="X4341" s="9"/>
    </row>
    <row r="4342">
      <c r="D4342" s="9"/>
      <c r="G4342" s="9"/>
      <c r="J4342" s="11"/>
      <c r="U4342" s="9"/>
      <c r="X4342" s="9"/>
    </row>
    <row r="4343">
      <c r="D4343" s="9"/>
      <c r="G4343" s="9"/>
      <c r="J4343" s="11"/>
      <c r="U4343" s="9"/>
      <c r="X4343" s="9"/>
    </row>
    <row r="4344">
      <c r="D4344" s="9"/>
      <c r="G4344" s="9"/>
      <c r="J4344" s="11"/>
      <c r="U4344" s="9"/>
      <c r="X4344" s="9"/>
    </row>
    <row r="4345">
      <c r="D4345" s="9"/>
      <c r="G4345" s="9"/>
      <c r="J4345" s="11"/>
      <c r="U4345" s="9"/>
      <c r="X4345" s="9"/>
    </row>
    <row r="4346">
      <c r="D4346" s="9"/>
      <c r="G4346" s="9"/>
      <c r="J4346" s="11"/>
      <c r="U4346" s="9"/>
      <c r="X4346" s="9"/>
    </row>
    <row r="4347">
      <c r="D4347" s="9"/>
      <c r="G4347" s="9"/>
      <c r="J4347" s="11"/>
      <c r="U4347" s="9"/>
      <c r="X4347" s="9"/>
    </row>
    <row r="4348">
      <c r="D4348" s="9"/>
      <c r="G4348" s="9"/>
      <c r="J4348" s="11"/>
      <c r="U4348" s="9"/>
      <c r="X4348" s="9"/>
    </row>
    <row r="4349">
      <c r="D4349" s="9"/>
      <c r="G4349" s="9"/>
      <c r="J4349" s="11"/>
      <c r="U4349" s="9"/>
      <c r="X4349" s="9"/>
    </row>
    <row r="4350">
      <c r="D4350" s="9"/>
      <c r="G4350" s="9"/>
      <c r="J4350" s="11"/>
      <c r="U4350" s="9"/>
      <c r="X4350" s="9"/>
    </row>
    <row r="4351">
      <c r="D4351" s="9"/>
      <c r="G4351" s="9"/>
      <c r="J4351" s="11"/>
      <c r="U4351" s="9"/>
      <c r="X4351" s="9"/>
    </row>
    <row r="4352">
      <c r="D4352" s="9"/>
      <c r="G4352" s="9"/>
      <c r="J4352" s="11"/>
      <c r="U4352" s="9"/>
      <c r="X4352" s="9"/>
    </row>
    <row r="4353">
      <c r="D4353" s="9"/>
      <c r="G4353" s="9"/>
      <c r="J4353" s="11"/>
      <c r="U4353" s="9"/>
      <c r="X4353" s="9"/>
    </row>
    <row r="4354">
      <c r="D4354" s="9"/>
      <c r="G4354" s="9"/>
      <c r="J4354" s="11"/>
      <c r="U4354" s="9"/>
      <c r="X4354" s="9"/>
    </row>
    <row r="4355">
      <c r="D4355" s="9"/>
      <c r="G4355" s="9"/>
      <c r="J4355" s="11"/>
      <c r="U4355" s="9"/>
      <c r="X4355" s="9"/>
    </row>
    <row r="4356">
      <c r="D4356" s="9"/>
      <c r="G4356" s="9"/>
      <c r="J4356" s="11"/>
      <c r="U4356" s="9"/>
      <c r="X4356" s="9"/>
    </row>
    <row r="4357">
      <c r="D4357" s="9"/>
      <c r="G4357" s="9"/>
      <c r="J4357" s="11"/>
      <c r="U4357" s="9"/>
      <c r="X4357" s="9"/>
    </row>
    <row r="4358">
      <c r="D4358" s="9"/>
      <c r="G4358" s="9"/>
      <c r="J4358" s="11"/>
      <c r="U4358" s="9"/>
      <c r="X4358" s="9"/>
    </row>
    <row r="4359">
      <c r="D4359" s="9"/>
      <c r="G4359" s="9"/>
      <c r="J4359" s="11"/>
      <c r="U4359" s="9"/>
      <c r="X4359" s="9"/>
    </row>
    <row r="4360">
      <c r="D4360" s="9"/>
      <c r="G4360" s="9"/>
      <c r="J4360" s="11"/>
      <c r="U4360" s="9"/>
      <c r="X4360" s="9"/>
    </row>
    <row r="4361">
      <c r="D4361" s="9"/>
      <c r="G4361" s="9"/>
      <c r="J4361" s="11"/>
      <c r="U4361" s="9"/>
      <c r="X4361" s="9"/>
    </row>
    <row r="4362">
      <c r="D4362" s="9"/>
      <c r="G4362" s="9"/>
      <c r="J4362" s="11"/>
      <c r="U4362" s="9"/>
      <c r="X4362" s="9"/>
    </row>
    <row r="4363">
      <c r="D4363" s="9"/>
      <c r="G4363" s="9"/>
      <c r="J4363" s="11"/>
      <c r="U4363" s="9"/>
      <c r="X4363" s="9"/>
    </row>
    <row r="4364">
      <c r="D4364" s="9"/>
      <c r="G4364" s="9"/>
      <c r="J4364" s="11"/>
      <c r="U4364" s="9"/>
      <c r="X4364" s="9"/>
    </row>
    <row r="4365">
      <c r="D4365" s="9"/>
      <c r="G4365" s="9"/>
      <c r="J4365" s="11"/>
      <c r="U4365" s="9"/>
      <c r="X4365" s="9"/>
    </row>
    <row r="4366">
      <c r="D4366" s="9"/>
      <c r="G4366" s="9"/>
      <c r="J4366" s="11"/>
      <c r="U4366" s="9"/>
      <c r="X4366" s="9"/>
    </row>
    <row r="4367">
      <c r="D4367" s="9"/>
      <c r="G4367" s="9"/>
      <c r="J4367" s="11"/>
      <c r="U4367" s="9"/>
      <c r="X4367" s="9"/>
    </row>
    <row r="4368">
      <c r="D4368" s="9"/>
      <c r="G4368" s="9"/>
      <c r="J4368" s="11"/>
      <c r="U4368" s="9"/>
      <c r="X4368" s="9"/>
    </row>
    <row r="4369">
      <c r="D4369" s="9"/>
      <c r="G4369" s="9"/>
      <c r="J4369" s="11"/>
      <c r="U4369" s="9"/>
      <c r="X4369" s="9"/>
    </row>
    <row r="4370">
      <c r="D4370" s="9"/>
      <c r="G4370" s="9"/>
      <c r="J4370" s="11"/>
      <c r="U4370" s="9"/>
      <c r="X4370" s="9"/>
    </row>
    <row r="4371">
      <c r="D4371" s="9"/>
      <c r="G4371" s="9"/>
      <c r="J4371" s="11"/>
      <c r="U4371" s="9"/>
      <c r="X4371" s="9"/>
    </row>
    <row r="4372">
      <c r="D4372" s="9"/>
      <c r="G4372" s="9"/>
      <c r="J4372" s="11"/>
      <c r="U4372" s="9"/>
      <c r="X4372" s="9"/>
    </row>
    <row r="4373">
      <c r="D4373" s="9"/>
      <c r="G4373" s="9"/>
      <c r="J4373" s="11"/>
      <c r="U4373" s="9"/>
      <c r="X4373" s="9"/>
    </row>
    <row r="4374">
      <c r="D4374" s="9"/>
      <c r="G4374" s="9"/>
      <c r="J4374" s="11"/>
      <c r="U4374" s="9"/>
      <c r="X4374" s="9"/>
    </row>
    <row r="4375">
      <c r="D4375" s="9"/>
      <c r="G4375" s="9"/>
      <c r="J4375" s="11"/>
      <c r="U4375" s="9"/>
      <c r="X4375" s="9"/>
    </row>
    <row r="4376">
      <c r="D4376" s="9"/>
      <c r="G4376" s="9"/>
      <c r="J4376" s="11"/>
      <c r="U4376" s="9"/>
      <c r="X4376" s="9"/>
    </row>
    <row r="4377">
      <c r="D4377" s="9"/>
      <c r="G4377" s="9"/>
      <c r="J4377" s="11"/>
      <c r="U4377" s="9"/>
      <c r="X4377" s="9"/>
    </row>
    <row r="4378">
      <c r="D4378" s="9"/>
      <c r="G4378" s="9"/>
      <c r="J4378" s="11"/>
      <c r="U4378" s="9"/>
      <c r="X4378" s="9"/>
    </row>
    <row r="4379">
      <c r="D4379" s="9"/>
      <c r="G4379" s="9"/>
      <c r="J4379" s="11"/>
      <c r="U4379" s="9"/>
      <c r="X4379" s="9"/>
    </row>
    <row r="4380">
      <c r="D4380" s="9"/>
      <c r="G4380" s="9"/>
      <c r="J4380" s="11"/>
      <c r="U4380" s="9"/>
      <c r="X4380" s="9"/>
    </row>
    <row r="4381">
      <c r="D4381" s="9"/>
      <c r="G4381" s="9"/>
      <c r="J4381" s="11"/>
      <c r="U4381" s="9"/>
      <c r="X4381" s="9"/>
    </row>
    <row r="4382">
      <c r="D4382" s="9"/>
      <c r="G4382" s="9"/>
      <c r="J4382" s="11"/>
      <c r="U4382" s="9"/>
      <c r="X4382" s="9"/>
    </row>
    <row r="4383">
      <c r="D4383" s="9"/>
      <c r="G4383" s="9"/>
      <c r="J4383" s="11"/>
      <c r="U4383" s="9"/>
      <c r="X4383" s="9"/>
    </row>
    <row r="4384">
      <c r="D4384" s="9"/>
      <c r="G4384" s="9"/>
      <c r="J4384" s="11"/>
      <c r="U4384" s="9"/>
      <c r="X4384" s="9"/>
    </row>
    <row r="4385">
      <c r="D4385" s="9"/>
      <c r="G4385" s="9"/>
      <c r="J4385" s="11"/>
      <c r="U4385" s="9"/>
      <c r="X4385" s="9"/>
    </row>
    <row r="4386">
      <c r="D4386" s="9"/>
      <c r="G4386" s="9"/>
      <c r="J4386" s="11"/>
      <c r="U4386" s="9"/>
      <c r="X4386" s="9"/>
    </row>
    <row r="4387">
      <c r="D4387" s="9"/>
      <c r="G4387" s="9"/>
      <c r="J4387" s="11"/>
      <c r="U4387" s="9"/>
      <c r="X4387" s="9"/>
    </row>
    <row r="4388">
      <c r="D4388" s="9"/>
      <c r="G4388" s="9"/>
      <c r="J4388" s="11"/>
      <c r="U4388" s="9"/>
      <c r="X4388" s="9"/>
    </row>
    <row r="4389">
      <c r="D4389" s="9"/>
      <c r="G4389" s="9"/>
      <c r="J4389" s="11"/>
      <c r="U4389" s="9"/>
      <c r="X4389" s="9"/>
    </row>
    <row r="4390">
      <c r="D4390" s="9"/>
      <c r="G4390" s="9"/>
      <c r="J4390" s="11"/>
      <c r="U4390" s="9"/>
      <c r="X4390" s="9"/>
    </row>
    <row r="4391">
      <c r="D4391" s="9"/>
      <c r="G4391" s="9"/>
      <c r="J4391" s="11"/>
      <c r="U4391" s="9"/>
      <c r="X4391" s="9"/>
    </row>
    <row r="4392">
      <c r="D4392" s="9"/>
      <c r="G4392" s="9"/>
      <c r="J4392" s="11"/>
      <c r="U4392" s="9"/>
      <c r="X4392" s="9"/>
    </row>
    <row r="4393">
      <c r="D4393" s="9"/>
      <c r="G4393" s="9"/>
      <c r="J4393" s="11"/>
      <c r="U4393" s="9"/>
      <c r="X4393" s="9"/>
    </row>
    <row r="4394">
      <c r="D4394" s="9"/>
      <c r="G4394" s="9"/>
      <c r="J4394" s="11"/>
      <c r="U4394" s="9"/>
      <c r="X4394" s="9"/>
    </row>
    <row r="4395">
      <c r="D4395" s="9"/>
      <c r="G4395" s="9"/>
      <c r="J4395" s="11"/>
      <c r="U4395" s="9"/>
      <c r="X4395" s="9"/>
    </row>
    <row r="4396">
      <c r="D4396" s="9"/>
      <c r="G4396" s="9"/>
      <c r="J4396" s="11"/>
      <c r="U4396" s="9"/>
      <c r="X4396" s="9"/>
    </row>
    <row r="4397">
      <c r="D4397" s="9"/>
      <c r="G4397" s="9"/>
      <c r="J4397" s="11"/>
      <c r="U4397" s="9"/>
      <c r="X4397" s="9"/>
    </row>
    <row r="4398">
      <c r="D4398" s="9"/>
      <c r="G4398" s="9"/>
      <c r="J4398" s="11"/>
      <c r="U4398" s="9"/>
      <c r="X4398" s="9"/>
    </row>
    <row r="4399">
      <c r="D4399" s="9"/>
      <c r="G4399" s="9"/>
      <c r="J4399" s="11"/>
      <c r="U4399" s="9"/>
      <c r="X4399" s="9"/>
    </row>
    <row r="4400">
      <c r="D4400" s="9"/>
      <c r="G4400" s="9"/>
      <c r="J4400" s="11"/>
      <c r="U4400" s="9"/>
      <c r="X4400" s="9"/>
    </row>
    <row r="4401">
      <c r="D4401" s="9"/>
      <c r="G4401" s="9"/>
      <c r="J4401" s="11"/>
      <c r="U4401" s="9"/>
      <c r="X4401" s="9"/>
    </row>
    <row r="4402">
      <c r="D4402" s="9"/>
      <c r="G4402" s="9"/>
      <c r="J4402" s="11"/>
      <c r="U4402" s="9"/>
      <c r="X4402" s="9"/>
    </row>
    <row r="4403">
      <c r="D4403" s="9"/>
      <c r="G4403" s="9"/>
      <c r="J4403" s="11"/>
      <c r="U4403" s="9"/>
      <c r="X4403" s="9"/>
    </row>
    <row r="4404">
      <c r="D4404" s="9"/>
      <c r="G4404" s="9"/>
      <c r="J4404" s="11"/>
      <c r="U4404" s="9"/>
      <c r="X4404" s="9"/>
    </row>
    <row r="4405">
      <c r="D4405" s="9"/>
      <c r="G4405" s="9"/>
      <c r="J4405" s="11"/>
      <c r="U4405" s="9"/>
      <c r="X4405" s="9"/>
    </row>
    <row r="4406">
      <c r="D4406" s="9"/>
      <c r="G4406" s="9"/>
      <c r="J4406" s="11"/>
      <c r="U4406" s="9"/>
      <c r="X4406" s="9"/>
    </row>
    <row r="4407">
      <c r="D4407" s="9"/>
      <c r="G4407" s="9"/>
      <c r="J4407" s="11"/>
      <c r="U4407" s="9"/>
      <c r="X4407" s="9"/>
    </row>
    <row r="4408">
      <c r="D4408" s="9"/>
      <c r="G4408" s="9"/>
      <c r="J4408" s="11"/>
      <c r="U4408" s="9"/>
      <c r="X4408" s="9"/>
    </row>
    <row r="4409">
      <c r="D4409" s="9"/>
      <c r="G4409" s="9"/>
      <c r="J4409" s="11"/>
      <c r="U4409" s="9"/>
      <c r="X4409" s="9"/>
    </row>
    <row r="4410">
      <c r="D4410" s="9"/>
      <c r="G4410" s="9"/>
      <c r="J4410" s="11"/>
      <c r="U4410" s="9"/>
      <c r="X4410" s="9"/>
    </row>
    <row r="4411">
      <c r="D4411" s="9"/>
      <c r="G4411" s="9"/>
      <c r="J4411" s="11"/>
      <c r="U4411" s="9"/>
      <c r="X4411" s="9"/>
    </row>
    <row r="4412">
      <c r="D4412" s="9"/>
      <c r="G4412" s="9"/>
      <c r="J4412" s="11"/>
      <c r="U4412" s="9"/>
      <c r="X4412" s="9"/>
    </row>
    <row r="4413">
      <c r="D4413" s="9"/>
      <c r="G4413" s="9"/>
      <c r="J4413" s="11"/>
      <c r="U4413" s="9"/>
      <c r="X4413" s="9"/>
    </row>
    <row r="4414">
      <c r="D4414" s="9"/>
      <c r="G4414" s="9"/>
      <c r="J4414" s="11"/>
      <c r="U4414" s="9"/>
      <c r="X4414" s="9"/>
    </row>
    <row r="4415">
      <c r="D4415" s="9"/>
      <c r="G4415" s="9"/>
      <c r="J4415" s="11"/>
      <c r="U4415" s="9"/>
      <c r="X4415" s="9"/>
    </row>
    <row r="4416">
      <c r="D4416" s="9"/>
      <c r="G4416" s="9"/>
      <c r="J4416" s="11"/>
      <c r="U4416" s="9"/>
      <c r="X4416" s="9"/>
    </row>
    <row r="4417">
      <c r="D4417" s="9"/>
      <c r="G4417" s="9"/>
      <c r="J4417" s="11"/>
      <c r="U4417" s="9"/>
      <c r="X4417" s="9"/>
    </row>
    <row r="4418">
      <c r="D4418" s="9"/>
      <c r="G4418" s="9"/>
      <c r="J4418" s="11"/>
      <c r="U4418" s="9"/>
      <c r="X4418" s="9"/>
    </row>
    <row r="4419">
      <c r="D4419" s="9"/>
      <c r="G4419" s="9"/>
      <c r="J4419" s="11"/>
      <c r="U4419" s="9"/>
      <c r="X4419" s="9"/>
    </row>
    <row r="4420">
      <c r="D4420" s="9"/>
      <c r="G4420" s="9"/>
      <c r="J4420" s="11"/>
      <c r="U4420" s="9"/>
      <c r="X4420" s="9"/>
    </row>
    <row r="4421">
      <c r="D4421" s="9"/>
      <c r="G4421" s="9"/>
      <c r="J4421" s="11"/>
      <c r="U4421" s="9"/>
      <c r="X4421" s="9"/>
    </row>
    <row r="4422">
      <c r="D4422" s="9"/>
      <c r="G4422" s="9"/>
      <c r="J4422" s="11"/>
      <c r="U4422" s="9"/>
      <c r="X4422" s="9"/>
    </row>
    <row r="4423">
      <c r="D4423" s="9"/>
      <c r="G4423" s="9"/>
      <c r="J4423" s="11"/>
      <c r="U4423" s="9"/>
      <c r="X4423" s="9"/>
    </row>
    <row r="4424">
      <c r="D4424" s="9"/>
      <c r="G4424" s="9"/>
      <c r="J4424" s="11"/>
      <c r="U4424" s="9"/>
      <c r="X4424" s="9"/>
    </row>
    <row r="4425">
      <c r="D4425" s="9"/>
      <c r="G4425" s="9"/>
      <c r="J4425" s="11"/>
      <c r="U4425" s="9"/>
      <c r="X4425" s="9"/>
    </row>
    <row r="4426">
      <c r="D4426" s="9"/>
      <c r="G4426" s="9"/>
      <c r="J4426" s="11"/>
      <c r="U4426" s="9"/>
      <c r="X4426" s="9"/>
    </row>
    <row r="4427">
      <c r="D4427" s="9"/>
      <c r="G4427" s="9"/>
      <c r="J4427" s="11"/>
      <c r="U4427" s="9"/>
      <c r="X4427" s="9"/>
    </row>
    <row r="4428">
      <c r="D4428" s="9"/>
      <c r="G4428" s="9"/>
      <c r="J4428" s="11"/>
      <c r="U4428" s="9"/>
      <c r="X4428" s="9"/>
    </row>
    <row r="4429">
      <c r="D4429" s="9"/>
      <c r="G4429" s="9"/>
      <c r="J4429" s="11"/>
      <c r="U4429" s="9"/>
      <c r="X4429" s="9"/>
    </row>
    <row r="4430">
      <c r="D4430" s="9"/>
      <c r="G4430" s="9"/>
      <c r="J4430" s="11"/>
      <c r="U4430" s="9"/>
      <c r="X4430" s="9"/>
    </row>
    <row r="4431">
      <c r="D4431" s="9"/>
      <c r="G4431" s="9"/>
      <c r="J4431" s="11"/>
      <c r="U4431" s="9"/>
      <c r="X4431" s="9"/>
    </row>
    <row r="4432">
      <c r="D4432" s="9"/>
      <c r="G4432" s="9"/>
      <c r="J4432" s="11"/>
      <c r="U4432" s="9"/>
      <c r="X4432" s="9"/>
    </row>
    <row r="4433">
      <c r="D4433" s="9"/>
      <c r="G4433" s="9"/>
      <c r="J4433" s="11"/>
      <c r="U4433" s="9"/>
      <c r="X4433" s="9"/>
    </row>
    <row r="4434">
      <c r="D4434" s="9"/>
      <c r="G4434" s="9"/>
      <c r="J4434" s="11"/>
      <c r="U4434" s="9"/>
      <c r="X4434" s="9"/>
    </row>
    <row r="4435">
      <c r="D4435" s="9"/>
      <c r="G4435" s="9"/>
      <c r="J4435" s="11"/>
      <c r="U4435" s="9"/>
      <c r="X4435" s="9"/>
    </row>
    <row r="4436">
      <c r="D4436" s="9"/>
      <c r="G4436" s="9"/>
      <c r="J4436" s="11"/>
      <c r="U4436" s="9"/>
      <c r="X4436" s="9"/>
    </row>
    <row r="4437">
      <c r="D4437" s="9"/>
      <c r="G4437" s="9"/>
      <c r="J4437" s="11"/>
      <c r="U4437" s="9"/>
      <c r="X4437" s="9"/>
    </row>
    <row r="4438">
      <c r="D4438" s="9"/>
      <c r="G4438" s="9"/>
      <c r="J4438" s="11"/>
      <c r="U4438" s="9"/>
      <c r="X4438" s="9"/>
    </row>
    <row r="4439">
      <c r="D4439" s="9"/>
      <c r="G4439" s="9"/>
      <c r="J4439" s="11"/>
      <c r="U4439" s="9"/>
      <c r="X4439" s="9"/>
    </row>
    <row r="4440">
      <c r="D4440" s="9"/>
      <c r="G4440" s="9"/>
      <c r="J4440" s="11"/>
      <c r="U4440" s="9"/>
      <c r="X4440" s="9"/>
    </row>
    <row r="4441">
      <c r="D4441" s="9"/>
      <c r="G4441" s="9"/>
      <c r="J4441" s="11"/>
      <c r="U4441" s="9"/>
      <c r="X4441" s="9"/>
    </row>
    <row r="4442">
      <c r="D4442" s="9"/>
      <c r="G4442" s="9"/>
      <c r="J4442" s="11"/>
      <c r="U4442" s="9"/>
      <c r="X4442" s="9"/>
    </row>
    <row r="4443">
      <c r="D4443" s="9"/>
      <c r="G4443" s="9"/>
      <c r="J4443" s="11"/>
      <c r="U4443" s="9"/>
      <c r="X4443" s="9"/>
    </row>
    <row r="4444">
      <c r="D4444" s="9"/>
      <c r="G4444" s="9"/>
      <c r="J4444" s="11"/>
      <c r="U4444" s="9"/>
      <c r="X4444" s="9"/>
    </row>
    <row r="4445">
      <c r="D4445" s="9"/>
      <c r="G4445" s="9"/>
      <c r="J4445" s="11"/>
      <c r="U4445" s="9"/>
      <c r="X4445" s="9"/>
    </row>
    <row r="4446">
      <c r="D4446" s="9"/>
      <c r="G4446" s="9"/>
      <c r="J4446" s="11"/>
      <c r="U4446" s="9"/>
      <c r="X4446" s="9"/>
    </row>
    <row r="4447">
      <c r="D4447" s="9"/>
      <c r="G4447" s="9"/>
      <c r="J4447" s="11"/>
      <c r="U4447" s="9"/>
      <c r="X4447" s="9"/>
    </row>
    <row r="4448">
      <c r="D4448" s="9"/>
      <c r="G4448" s="9"/>
      <c r="J4448" s="11"/>
      <c r="U4448" s="9"/>
      <c r="X4448" s="9"/>
    </row>
    <row r="4449">
      <c r="D4449" s="9"/>
      <c r="G4449" s="9"/>
      <c r="J4449" s="11"/>
      <c r="U4449" s="9"/>
      <c r="X4449" s="9"/>
    </row>
    <row r="4450">
      <c r="D4450" s="9"/>
      <c r="G4450" s="9"/>
      <c r="J4450" s="11"/>
      <c r="U4450" s="9"/>
      <c r="X4450" s="9"/>
    </row>
    <row r="4451">
      <c r="D4451" s="9"/>
      <c r="G4451" s="9"/>
      <c r="J4451" s="11"/>
      <c r="U4451" s="9"/>
      <c r="X4451" s="9"/>
    </row>
    <row r="4452">
      <c r="D4452" s="9"/>
      <c r="G4452" s="9"/>
      <c r="J4452" s="11"/>
      <c r="U4452" s="9"/>
      <c r="X4452" s="9"/>
    </row>
    <row r="4453">
      <c r="D4453" s="9"/>
      <c r="G4453" s="9"/>
      <c r="J4453" s="11"/>
      <c r="U4453" s="9"/>
      <c r="X4453" s="9"/>
    </row>
    <row r="4454">
      <c r="D4454" s="9"/>
      <c r="G4454" s="9"/>
      <c r="J4454" s="11"/>
      <c r="U4454" s="9"/>
      <c r="X4454" s="9"/>
    </row>
    <row r="4455">
      <c r="D4455" s="9"/>
      <c r="G4455" s="9"/>
      <c r="J4455" s="11"/>
      <c r="U4455" s="9"/>
      <c r="X4455" s="9"/>
    </row>
    <row r="4456">
      <c r="D4456" s="9"/>
      <c r="G4456" s="9"/>
      <c r="J4456" s="11"/>
      <c r="U4456" s="9"/>
      <c r="X4456" s="9"/>
    </row>
    <row r="4457">
      <c r="D4457" s="9"/>
      <c r="G4457" s="9"/>
      <c r="J4457" s="11"/>
      <c r="U4457" s="9"/>
      <c r="X4457" s="9"/>
    </row>
    <row r="4458">
      <c r="D4458" s="9"/>
      <c r="G4458" s="9"/>
      <c r="J4458" s="11"/>
      <c r="U4458" s="9"/>
      <c r="X4458" s="9"/>
    </row>
    <row r="4459">
      <c r="D4459" s="9"/>
      <c r="G4459" s="9"/>
      <c r="J4459" s="11"/>
      <c r="U4459" s="9"/>
      <c r="X4459" s="9"/>
    </row>
    <row r="4460">
      <c r="D4460" s="9"/>
      <c r="G4460" s="9"/>
      <c r="J4460" s="11"/>
      <c r="U4460" s="9"/>
      <c r="X4460" s="9"/>
    </row>
    <row r="4461">
      <c r="D4461" s="9"/>
      <c r="G4461" s="9"/>
      <c r="J4461" s="11"/>
      <c r="U4461" s="9"/>
      <c r="X4461" s="9"/>
    </row>
    <row r="4462">
      <c r="D4462" s="9"/>
      <c r="G4462" s="9"/>
      <c r="J4462" s="11"/>
      <c r="U4462" s="9"/>
      <c r="X4462" s="9"/>
    </row>
    <row r="4463">
      <c r="D4463" s="9"/>
      <c r="G4463" s="9"/>
      <c r="J4463" s="11"/>
      <c r="U4463" s="9"/>
      <c r="X4463" s="9"/>
    </row>
    <row r="4464">
      <c r="D4464" s="9"/>
      <c r="G4464" s="9"/>
      <c r="J4464" s="11"/>
      <c r="U4464" s="9"/>
      <c r="X4464" s="9"/>
    </row>
    <row r="4465">
      <c r="D4465" s="9"/>
      <c r="G4465" s="9"/>
      <c r="J4465" s="11"/>
      <c r="U4465" s="9"/>
      <c r="X4465" s="9"/>
    </row>
    <row r="4466">
      <c r="D4466" s="9"/>
      <c r="G4466" s="9"/>
      <c r="J4466" s="11"/>
      <c r="U4466" s="9"/>
      <c r="X4466" s="9"/>
    </row>
    <row r="4467">
      <c r="D4467" s="9"/>
      <c r="G4467" s="9"/>
      <c r="J4467" s="11"/>
      <c r="U4467" s="9"/>
      <c r="X4467" s="9"/>
    </row>
    <row r="4468">
      <c r="D4468" s="9"/>
      <c r="G4468" s="9"/>
      <c r="J4468" s="11"/>
      <c r="U4468" s="9"/>
      <c r="X4468" s="9"/>
    </row>
    <row r="4469">
      <c r="D4469" s="9"/>
      <c r="G4469" s="9"/>
      <c r="J4469" s="11"/>
      <c r="U4469" s="9"/>
      <c r="X4469" s="9"/>
    </row>
    <row r="4470">
      <c r="D4470" s="9"/>
      <c r="G4470" s="9"/>
      <c r="J4470" s="11"/>
      <c r="U4470" s="9"/>
      <c r="X4470" s="9"/>
    </row>
    <row r="4471">
      <c r="D4471" s="9"/>
      <c r="G4471" s="9"/>
      <c r="J4471" s="11"/>
      <c r="U4471" s="9"/>
      <c r="X4471" s="9"/>
    </row>
    <row r="4472">
      <c r="D4472" s="9"/>
      <c r="G4472" s="9"/>
      <c r="J4472" s="11"/>
      <c r="U4472" s="9"/>
      <c r="X4472" s="9"/>
    </row>
    <row r="4473">
      <c r="D4473" s="9"/>
      <c r="G4473" s="9"/>
      <c r="J4473" s="11"/>
      <c r="U4473" s="9"/>
      <c r="X4473" s="9"/>
    </row>
    <row r="4474">
      <c r="D4474" s="9"/>
      <c r="G4474" s="9"/>
      <c r="J4474" s="11"/>
      <c r="U4474" s="9"/>
      <c r="X4474" s="9"/>
    </row>
    <row r="4475">
      <c r="D4475" s="9"/>
      <c r="G4475" s="9"/>
      <c r="J4475" s="11"/>
      <c r="U4475" s="9"/>
      <c r="X4475" s="9"/>
    </row>
    <row r="4476">
      <c r="D4476" s="9"/>
      <c r="G4476" s="9"/>
      <c r="J4476" s="11"/>
      <c r="U4476" s="9"/>
      <c r="X4476" s="9"/>
    </row>
    <row r="4477">
      <c r="D4477" s="9"/>
      <c r="G4477" s="9"/>
      <c r="J4477" s="11"/>
      <c r="U4477" s="9"/>
      <c r="X4477" s="9"/>
    </row>
    <row r="4478">
      <c r="D4478" s="9"/>
      <c r="G4478" s="9"/>
      <c r="J4478" s="11"/>
      <c r="U4478" s="9"/>
      <c r="X4478" s="9"/>
    </row>
    <row r="4479">
      <c r="D4479" s="9"/>
      <c r="G4479" s="9"/>
      <c r="J4479" s="11"/>
      <c r="U4479" s="9"/>
      <c r="X4479" s="9"/>
    </row>
    <row r="4480">
      <c r="D4480" s="9"/>
      <c r="G4480" s="9"/>
      <c r="J4480" s="11"/>
      <c r="U4480" s="9"/>
      <c r="X4480" s="9"/>
    </row>
    <row r="4481">
      <c r="D4481" s="9"/>
      <c r="G4481" s="9"/>
      <c r="J4481" s="11"/>
      <c r="U4481" s="9"/>
      <c r="X4481" s="9"/>
    </row>
    <row r="4482">
      <c r="D4482" s="9"/>
      <c r="G4482" s="9"/>
      <c r="J4482" s="11"/>
      <c r="U4482" s="9"/>
      <c r="X4482" s="9"/>
    </row>
    <row r="4483">
      <c r="D4483" s="9"/>
      <c r="G4483" s="9"/>
      <c r="J4483" s="11"/>
      <c r="U4483" s="9"/>
      <c r="X4483" s="9"/>
    </row>
    <row r="4484">
      <c r="D4484" s="9"/>
      <c r="G4484" s="9"/>
      <c r="J4484" s="11"/>
      <c r="U4484" s="9"/>
      <c r="X4484" s="9"/>
    </row>
    <row r="4485">
      <c r="D4485" s="9"/>
      <c r="G4485" s="9"/>
      <c r="J4485" s="11"/>
      <c r="U4485" s="9"/>
      <c r="X4485" s="9"/>
    </row>
    <row r="4486">
      <c r="D4486" s="9"/>
      <c r="G4486" s="9"/>
      <c r="J4486" s="11"/>
      <c r="U4486" s="9"/>
      <c r="X4486" s="9"/>
    </row>
    <row r="4487">
      <c r="D4487" s="9"/>
      <c r="G4487" s="9"/>
      <c r="J4487" s="11"/>
      <c r="U4487" s="9"/>
      <c r="X4487" s="9"/>
    </row>
    <row r="4488">
      <c r="D4488" s="9"/>
      <c r="G4488" s="9"/>
      <c r="J4488" s="11"/>
      <c r="U4488" s="9"/>
      <c r="X4488" s="9"/>
    </row>
    <row r="4489">
      <c r="D4489" s="9"/>
      <c r="G4489" s="9"/>
      <c r="J4489" s="11"/>
      <c r="U4489" s="9"/>
      <c r="X4489" s="9"/>
    </row>
    <row r="4490">
      <c r="D4490" s="9"/>
      <c r="G4490" s="9"/>
      <c r="J4490" s="11"/>
      <c r="U4490" s="9"/>
      <c r="X4490" s="9"/>
    </row>
    <row r="4491">
      <c r="D4491" s="9"/>
      <c r="G4491" s="9"/>
      <c r="J4491" s="11"/>
      <c r="U4491" s="9"/>
      <c r="X4491" s="9"/>
    </row>
    <row r="4492">
      <c r="D4492" s="9"/>
      <c r="G4492" s="9"/>
      <c r="J4492" s="11"/>
      <c r="U4492" s="9"/>
      <c r="X4492" s="9"/>
    </row>
    <row r="4493">
      <c r="D4493" s="9"/>
      <c r="G4493" s="9"/>
      <c r="J4493" s="11"/>
      <c r="U4493" s="9"/>
      <c r="X4493" s="9"/>
    </row>
    <row r="4494">
      <c r="D4494" s="9"/>
      <c r="G4494" s="9"/>
      <c r="J4494" s="11"/>
      <c r="U4494" s="9"/>
      <c r="X4494" s="9"/>
    </row>
    <row r="4495">
      <c r="D4495" s="9"/>
      <c r="G4495" s="9"/>
      <c r="J4495" s="11"/>
      <c r="U4495" s="9"/>
      <c r="X4495" s="9"/>
    </row>
    <row r="4496">
      <c r="D4496" s="9"/>
      <c r="G4496" s="9"/>
      <c r="J4496" s="11"/>
      <c r="U4496" s="9"/>
      <c r="X4496" s="9"/>
    </row>
    <row r="4497">
      <c r="D4497" s="9"/>
      <c r="G4497" s="9"/>
      <c r="J4497" s="11"/>
      <c r="U4497" s="9"/>
      <c r="X4497" s="9"/>
    </row>
    <row r="4498">
      <c r="D4498" s="9"/>
      <c r="G4498" s="9"/>
      <c r="J4498" s="11"/>
      <c r="U4498" s="9"/>
      <c r="X4498" s="9"/>
    </row>
    <row r="4499">
      <c r="D4499" s="9"/>
      <c r="G4499" s="9"/>
      <c r="J4499" s="11"/>
      <c r="U4499" s="9"/>
      <c r="X4499" s="9"/>
    </row>
    <row r="4500">
      <c r="D4500" s="9"/>
      <c r="G4500" s="9"/>
      <c r="J4500" s="11"/>
      <c r="U4500" s="9"/>
      <c r="X4500" s="9"/>
    </row>
    <row r="4501">
      <c r="D4501" s="9"/>
      <c r="G4501" s="9"/>
      <c r="J4501" s="11"/>
      <c r="U4501" s="9"/>
      <c r="X4501" s="9"/>
    </row>
    <row r="4502">
      <c r="D4502" s="9"/>
      <c r="G4502" s="9"/>
      <c r="J4502" s="11"/>
      <c r="U4502" s="9"/>
      <c r="X4502" s="9"/>
    </row>
    <row r="4503">
      <c r="D4503" s="9"/>
      <c r="G4503" s="9"/>
      <c r="J4503" s="11"/>
      <c r="U4503" s="9"/>
      <c r="X4503" s="9"/>
    </row>
    <row r="4504">
      <c r="D4504" s="9"/>
      <c r="G4504" s="9"/>
      <c r="J4504" s="11"/>
      <c r="U4504" s="9"/>
      <c r="X4504" s="9"/>
    </row>
    <row r="4505">
      <c r="D4505" s="9"/>
      <c r="G4505" s="9"/>
      <c r="J4505" s="11"/>
      <c r="U4505" s="9"/>
      <c r="X4505" s="9"/>
    </row>
    <row r="4506">
      <c r="D4506" s="9"/>
      <c r="G4506" s="9"/>
      <c r="J4506" s="11"/>
      <c r="U4506" s="9"/>
      <c r="X4506" s="9"/>
    </row>
    <row r="4507">
      <c r="D4507" s="9"/>
      <c r="G4507" s="9"/>
      <c r="J4507" s="11"/>
      <c r="U4507" s="9"/>
      <c r="X4507" s="9"/>
    </row>
    <row r="4508">
      <c r="D4508" s="9"/>
      <c r="G4508" s="9"/>
      <c r="J4508" s="11"/>
      <c r="U4508" s="9"/>
      <c r="X4508" s="9"/>
    </row>
    <row r="4509">
      <c r="D4509" s="9"/>
      <c r="G4509" s="9"/>
      <c r="J4509" s="11"/>
      <c r="U4509" s="9"/>
      <c r="X4509" s="9"/>
    </row>
    <row r="4510">
      <c r="D4510" s="9"/>
      <c r="G4510" s="9"/>
      <c r="J4510" s="11"/>
      <c r="U4510" s="9"/>
      <c r="X4510" s="9"/>
    </row>
    <row r="4511">
      <c r="D4511" s="9"/>
      <c r="G4511" s="9"/>
      <c r="J4511" s="11"/>
      <c r="U4511" s="9"/>
      <c r="X4511" s="9"/>
    </row>
    <row r="4512">
      <c r="D4512" s="9"/>
      <c r="G4512" s="9"/>
      <c r="J4512" s="11"/>
      <c r="U4512" s="9"/>
      <c r="X4512" s="9"/>
    </row>
    <row r="4513">
      <c r="D4513" s="9"/>
      <c r="G4513" s="9"/>
      <c r="J4513" s="11"/>
      <c r="U4513" s="9"/>
      <c r="X4513" s="9"/>
    </row>
    <row r="4514">
      <c r="D4514" s="9"/>
      <c r="G4514" s="9"/>
      <c r="J4514" s="11"/>
      <c r="U4514" s="9"/>
      <c r="X4514" s="9"/>
    </row>
    <row r="4515">
      <c r="D4515" s="9"/>
      <c r="G4515" s="9"/>
      <c r="J4515" s="11"/>
      <c r="U4515" s="9"/>
      <c r="X4515" s="9"/>
    </row>
    <row r="4516">
      <c r="D4516" s="9"/>
      <c r="G4516" s="9"/>
      <c r="J4516" s="11"/>
      <c r="U4516" s="9"/>
      <c r="X4516" s="9"/>
    </row>
    <row r="4517">
      <c r="D4517" s="9"/>
      <c r="G4517" s="9"/>
      <c r="J4517" s="11"/>
      <c r="U4517" s="9"/>
      <c r="X4517" s="9"/>
    </row>
    <row r="4518">
      <c r="D4518" s="9"/>
      <c r="G4518" s="9"/>
      <c r="J4518" s="11"/>
      <c r="U4518" s="9"/>
      <c r="X4518" s="9"/>
    </row>
    <row r="4519">
      <c r="D4519" s="9"/>
      <c r="G4519" s="9"/>
      <c r="J4519" s="11"/>
      <c r="U4519" s="9"/>
      <c r="X4519" s="9"/>
    </row>
    <row r="4520">
      <c r="D4520" s="9"/>
      <c r="G4520" s="9"/>
      <c r="J4520" s="11"/>
      <c r="U4520" s="9"/>
      <c r="X4520" s="9"/>
    </row>
    <row r="4521">
      <c r="D4521" s="9"/>
      <c r="G4521" s="9"/>
      <c r="J4521" s="11"/>
      <c r="U4521" s="9"/>
      <c r="X4521" s="9"/>
    </row>
    <row r="4522">
      <c r="D4522" s="9"/>
      <c r="G4522" s="9"/>
      <c r="J4522" s="11"/>
      <c r="U4522" s="9"/>
      <c r="X4522" s="9"/>
    </row>
    <row r="4523">
      <c r="D4523" s="9"/>
      <c r="G4523" s="9"/>
      <c r="J4523" s="11"/>
      <c r="U4523" s="9"/>
      <c r="X4523" s="9"/>
    </row>
    <row r="4524">
      <c r="D4524" s="9"/>
      <c r="G4524" s="9"/>
      <c r="J4524" s="11"/>
      <c r="U4524" s="9"/>
      <c r="X4524" s="9"/>
    </row>
    <row r="4525">
      <c r="D4525" s="9"/>
      <c r="G4525" s="9"/>
      <c r="J4525" s="11"/>
      <c r="U4525" s="9"/>
      <c r="X4525" s="9"/>
    </row>
    <row r="4526">
      <c r="D4526" s="9"/>
      <c r="G4526" s="9"/>
      <c r="J4526" s="11"/>
      <c r="U4526" s="9"/>
      <c r="X4526" s="9"/>
    </row>
    <row r="4527">
      <c r="D4527" s="9"/>
      <c r="G4527" s="9"/>
      <c r="J4527" s="11"/>
      <c r="U4527" s="9"/>
      <c r="X4527" s="9"/>
    </row>
    <row r="4528">
      <c r="D4528" s="9"/>
      <c r="G4528" s="9"/>
      <c r="J4528" s="11"/>
      <c r="U4528" s="9"/>
      <c r="X4528" s="9"/>
    </row>
    <row r="4529">
      <c r="D4529" s="9"/>
      <c r="G4529" s="9"/>
      <c r="J4529" s="11"/>
      <c r="U4529" s="9"/>
      <c r="X4529" s="9"/>
    </row>
    <row r="4530">
      <c r="D4530" s="9"/>
      <c r="G4530" s="9"/>
      <c r="J4530" s="11"/>
      <c r="U4530" s="9"/>
      <c r="X4530" s="9"/>
    </row>
    <row r="4531">
      <c r="D4531" s="9"/>
      <c r="G4531" s="9"/>
      <c r="J4531" s="11"/>
      <c r="U4531" s="9"/>
      <c r="X4531" s="9"/>
    </row>
    <row r="4532">
      <c r="D4532" s="9"/>
      <c r="G4532" s="9"/>
      <c r="J4532" s="11"/>
      <c r="U4532" s="9"/>
      <c r="X4532" s="9"/>
    </row>
    <row r="4533">
      <c r="D4533" s="9"/>
      <c r="G4533" s="9"/>
      <c r="J4533" s="11"/>
      <c r="U4533" s="9"/>
      <c r="X4533" s="9"/>
    </row>
    <row r="4534">
      <c r="D4534" s="9"/>
      <c r="G4534" s="9"/>
      <c r="J4534" s="11"/>
      <c r="U4534" s="9"/>
      <c r="X4534" s="9"/>
    </row>
    <row r="4535">
      <c r="D4535" s="9"/>
      <c r="G4535" s="9"/>
      <c r="J4535" s="11"/>
      <c r="U4535" s="9"/>
      <c r="X4535" s="9"/>
    </row>
    <row r="4536">
      <c r="D4536" s="9"/>
      <c r="G4536" s="9"/>
      <c r="J4536" s="11"/>
      <c r="U4536" s="9"/>
      <c r="X4536" s="9"/>
    </row>
    <row r="4537">
      <c r="D4537" s="9"/>
      <c r="G4537" s="9"/>
      <c r="J4537" s="11"/>
      <c r="U4537" s="9"/>
      <c r="X4537" s="9"/>
    </row>
    <row r="4538">
      <c r="D4538" s="9"/>
      <c r="G4538" s="9"/>
      <c r="J4538" s="11"/>
      <c r="U4538" s="9"/>
      <c r="X4538" s="9"/>
    </row>
    <row r="4539">
      <c r="D4539" s="9"/>
      <c r="G4539" s="9"/>
      <c r="J4539" s="11"/>
      <c r="U4539" s="9"/>
      <c r="X4539" s="9"/>
    </row>
    <row r="4540">
      <c r="D4540" s="9"/>
      <c r="G4540" s="9"/>
      <c r="J4540" s="11"/>
      <c r="U4540" s="9"/>
      <c r="X4540" s="9"/>
    </row>
    <row r="4541">
      <c r="D4541" s="9"/>
      <c r="G4541" s="9"/>
      <c r="J4541" s="11"/>
      <c r="U4541" s="9"/>
      <c r="X4541" s="9"/>
    </row>
    <row r="4542">
      <c r="D4542" s="9"/>
      <c r="G4542" s="9"/>
      <c r="J4542" s="11"/>
      <c r="U4542" s="9"/>
      <c r="X4542" s="9"/>
    </row>
    <row r="4543">
      <c r="D4543" s="9"/>
      <c r="G4543" s="9"/>
      <c r="J4543" s="11"/>
      <c r="U4543" s="9"/>
      <c r="X4543" s="9"/>
    </row>
    <row r="4544">
      <c r="D4544" s="9"/>
      <c r="G4544" s="9"/>
      <c r="J4544" s="11"/>
      <c r="U4544" s="9"/>
      <c r="X4544" s="9"/>
    </row>
    <row r="4545">
      <c r="D4545" s="9"/>
      <c r="G4545" s="9"/>
      <c r="J4545" s="11"/>
      <c r="U4545" s="9"/>
      <c r="X4545" s="9"/>
    </row>
    <row r="4546">
      <c r="D4546" s="9"/>
      <c r="G4546" s="9"/>
      <c r="J4546" s="11"/>
      <c r="U4546" s="9"/>
      <c r="X4546" s="9"/>
    </row>
    <row r="4547">
      <c r="D4547" s="9"/>
      <c r="G4547" s="9"/>
      <c r="J4547" s="11"/>
      <c r="U4547" s="9"/>
      <c r="X4547" s="9"/>
    </row>
    <row r="4548">
      <c r="D4548" s="9"/>
      <c r="G4548" s="9"/>
      <c r="J4548" s="11"/>
      <c r="U4548" s="9"/>
      <c r="X4548" s="9"/>
    </row>
    <row r="4549">
      <c r="D4549" s="9"/>
      <c r="G4549" s="9"/>
      <c r="J4549" s="11"/>
      <c r="U4549" s="9"/>
      <c r="X4549" s="9"/>
    </row>
    <row r="4550">
      <c r="D4550" s="9"/>
      <c r="G4550" s="9"/>
      <c r="J4550" s="11"/>
      <c r="U4550" s="9"/>
      <c r="X4550" s="9"/>
    </row>
    <row r="4551">
      <c r="D4551" s="9"/>
      <c r="G4551" s="9"/>
      <c r="J4551" s="11"/>
      <c r="U4551" s="9"/>
      <c r="X4551" s="9"/>
    </row>
    <row r="4552">
      <c r="D4552" s="9"/>
      <c r="G4552" s="9"/>
      <c r="J4552" s="11"/>
      <c r="U4552" s="9"/>
      <c r="X4552" s="9"/>
    </row>
    <row r="4553">
      <c r="D4553" s="9"/>
      <c r="G4553" s="9"/>
      <c r="J4553" s="11"/>
      <c r="U4553" s="9"/>
      <c r="X4553" s="9"/>
    </row>
    <row r="4554">
      <c r="D4554" s="9"/>
      <c r="G4554" s="9"/>
      <c r="J4554" s="11"/>
      <c r="U4554" s="9"/>
      <c r="X4554" s="9"/>
    </row>
    <row r="4555">
      <c r="D4555" s="9"/>
      <c r="G4555" s="9"/>
      <c r="J4555" s="11"/>
      <c r="U4555" s="9"/>
      <c r="X4555" s="9"/>
    </row>
    <row r="4556">
      <c r="D4556" s="9"/>
      <c r="G4556" s="9"/>
      <c r="J4556" s="11"/>
      <c r="U4556" s="9"/>
      <c r="X4556" s="9"/>
    </row>
    <row r="4557">
      <c r="D4557" s="9"/>
      <c r="G4557" s="9"/>
      <c r="J4557" s="11"/>
      <c r="U4557" s="9"/>
      <c r="X4557" s="9"/>
    </row>
    <row r="4558">
      <c r="D4558" s="9"/>
      <c r="G4558" s="9"/>
      <c r="J4558" s="11"/>
      <c r="U4558" s="9"/>
      <c r="X4558" s="9"/>
    </row>
    <row r="4559">
      <c r="D4559" s="9"/>
      <c r="G4559" s="9"/>
      <c r="J4559" s="11"/>
      <c r="U4559" s="9"/>
      <c r="X4559" s="9"/>
    </row>
    <row r="4560">
      <c r="D4560" s="9"/>
      <c r="G4560" s="9"/>
      <c r="J4560" s="11"/>
      <c r="U4560" s="9"/>
      <c r="X4560" s="9"/>
    </row>
    <row r="4561">
      <c r="D4561" s="9"/>
      <c r="G4561" s="9"/>
      <c r="J4561" s="11"/>
      <c r="U4561" s="9"/>
      <c r="X4561" s="9"/>
    </row>
    <row r="4562">
      <c r="D4562" s="9"/>
      <c r="G4562" s="9"/>
      <c r="J4562" s="11"/>
      <c r="U4562" s="9"/>
      <c r="X4562" s="9"/>
    </row>
    <row r="4563">
      <c r="D4563" s="9"/>
      <c r="G4563" s="9"/>
      <c r="J4563" s="11"/>
      <c r="U4563" s="9"/>
      <c r="X4563" s="9"/>
    </row>
    <row r="4564">
      <c r="D4564" s="9"/>
      <c r="G4564" s="9"/>
      <c r="J4564" s="11"/>
      <c r="U4564" s="9"/>
      <c r="X4564" s="9"/>
    </row>
    <row r="4565">
      <c r="D4565" s="9"/>
      <c r="G4565" s="9"/>
      <c r="J4565" s="11"/>
      <c r="U4565" s="9"/>
      <c r="X4565" s="9"/>
    </row>
    <row r="4566">
      <c r="D4566" s="9"/>
      <c r="G4566" s="9"/>
      <c r="J4566" s="11"/>
      <c r="U4566" s="9"/>
      <c r="X4566" s="9"/>
    </row>
    <row r="4567">
      <c r="D4567" s="9"/>
      <c r="G4567" s="9"/>
      <c r="J4567" s="11"/>
      <c r="U4567" s="9"/>
      <c r="X4567" s="9"/>
    </row>
    <row r="4568">
      <c r="D4568" s="9"/>
      <c r="G4568" s="9"/>
      <c r="J4568" s="11"/>
      <c r="U4568" s="9"/>
      <c r="X4568" s="9"/>
    </row>
    <row r="4569">
      <c r="D4569" s="9"/>
      <c r="G4569" s="9"/>
      <c r="J4569" s="11"/>
      <c r="U4569" s="9"/>
      <c r="X4569" s="9"/>
    </row>
    <row r="4570">
      <c r="D4570" s="9"/>
      <c r="G4570" s="9"/>
      <c r="J4570" s="11"/>
      <c r="U4570" s="9"/>
      <c r="X4570" s="9"/>
    </row>
    <row r="4571">
      <c r="D4571" s="9"/>
      <c r="G4571" s="9"/>
      <c r="J4571" s="11"/>
      <c r="U4571" s="9"/>
      <c r="X4571" s="9"/>
    </row>
    <row r="4572">
      <c r="D4572" s="9"/>
      <c r="G4572" s="9"/>
      <c r="J4572" s="11"/>
      <c r="U4572" s="9"/>
      <c r="X4572" s="9"/>
    </row>
    <row r="4573">
      <c r="D4573" s="9"/>
      <c r="G4573" s="9"/>
      <c r="J4573" s="11"/>
      <c r="U4573" s="9"/>
      <c r="X4573" s="9"/>
    </row>
    <row r="4574">
      <c r="D4574" s="9"/>
      <c r="G4574" s="9"/>
      <c r="J4574" s="11"/>
      <c r="U4574" s="9"/>
      <c r="X4574" s="9"/>
    </row>
    <row r="4575">
      <c r="D4575" s="9"/>
      <c r="G4575" s="9"/>
      <c r="J4575" s="11"/>
      <c r="U4575" s="9"/>
      <c r="X4575" s="9"/>
    </row>
    <row r="4576">
      <c r="D4576" s="9"/>
      <c r="G4576" s="9"/>
      <c r="J4576" s="11"/>
      <c r="U4576" s="9"/>
      <c r="X4576" s="9"/>
    </row>
    <row r="4577">
      <c r="D4577" s="9"/>
      <c r="G4577" s="9"/>
      <c r="J4577" s="11"/>
      <c r="U4577" s="9"/>
      <c r="X4577" s="9"/>
    </row>
    <row r="4578">
      <c r="D4578" s="9"/>
      <c r="G4578" s="9"/>
      <c r="J4578" s="11"/>
      <c r="U4578" s="9"/>
      <c r="X4578" s="9"/>
    </row>
    <row r="4579">
      <c r="D4579" s="9"/>
      <c r="G4579" s="9"/>
      <c r="J4579" s="11"/>
      <c r="U4579" s="9"/>
      <c r="X4579" s="9"/>
    </row>
    <row r="4580">
      <c r="D4580" s="9"/>
      <c r="G4580" s="9"/>
      <c r="J4580" s="11"/>
      <c r="U4580" s="9"/>
      <c r="X4580" s="9"/>
    </row>
    <row r="4581">
      <c r="D4581" s="9"/>
      <c r="G4581" s="9"/>
      <c r="J4581" s="11"/>
      <c r="U4581" s="9"/>
      <c r="X4581" s="9"/>
    </row>
    <row r="4582">
      <c r="D4582" s="9"/>
      <c r="G4582" s="9"/>
      <c r="J4582" s="11"/>
      <c r="U4582" s="9"/>
      <c r="X4582" s="9"/>
    </row>
    <row r="4583">
      <c r="D4583" s="9"/>
      <c r="G4583" s="9"/>
      <c r="J4583" s="11"/>
      <c r="U4583" s="9"/>
      <c r="X4583" s="9"/>
    </row>
    <row r="4584">
      <c r="D4584" s="9"/>
      <c r="G4584" s="9"/>
      <c r="J4584" s="11"/>
      <c r="U4584" s="9"/>
      <c r="X4584" s="9"/>
    </row>
    <row r="4585">
      <c r="D4585" s="9"/>
      <c r="G4585" s="9"/>
      <c r="J4585" s="11"/>
      <c r="U4585" s="9"/>
      <c r="X4585" s="9"/>
    </row>
    <row r="4586">
      <c r="D4586" s="9"/>
      <c r="G4586" s="9"/>
      <c r="J4586" s="11"/>
      <c r="U4586" s="9"/>
      <c r="X4586" s="9"/>
    </row>
    <row r="4587">
      <c r="D4587" s="9"/>
      <c r="G4587" s="9"/>
      <c r="J4587" s="11"/>
      <c r="U4587" s="9"/>
      <c r="X4587" s="9"/>
    </row>
    <row r="4588">
      <c r="D4588" s="9"/>
      <c r="G4588" s="9"/>
      <c r="J4588" s="11"/>
      <c r="U4588" s="9"/>
      <c r="X4588" s="9"/>
    </row>
    <row r="4589">
      <c r="D4589" s="9"/>
      <c r="G4589" s="9"/>
      <c r="J4589" s="11"/>
      <c r="U4589" s="9"/>
      <c r="X4589" s="9"/>
    </row>
    <row r="4590">
      <c r="D4590" s="9"/>
      <c r="G4590" s="9"/>
      <c r="J4590" s="11"/>
      <c r="U4590" s="9"/>
      <c r="X4590" s="9"/>
    </row>
    <row r="4591">
      <c r="D4591" s="9"/>
      <c r="G4591" s="9"/>
      <c r="J4591" s="11"/>
      <c r="U4591" s="9"/>
      <c r="X4591" s="9"/>
    </row>
    <row r="4592">
      <c r="D4592" s="9"/>
      <c r="G4592" s="9"/>
      <c r="J4592" s="11"/>
      <c r="U4592" s="9"/>
      <c r="X4592" s="9"/>
    </row>
    <row r="4593">
      <c r="D4593" s="9"/>
      <c r="G4593" s="9"/>
      <c r="J4593" s="11"/>
      <c r="U4593" s="9"/>
      <c r="X4593" s="9"/>
    </row>
    <row r="4594">
      <c r="D4594" s="9"/>
      <c r="G4594" s="9"/>
      <c r="J4594" s="11"/>
      <c r="U4594" s="9"/>
      <c r="X4594" s="9"/>
    </row>
    <row r="4595">
      <c r="D4595" s="9"/>
      <c r="G4595" s="9"/>
      <c r="J4595" s="11"/>
      <c r="U4595" s="9"/>
      <c r="X4595" s="9"/>
    </row>
    <row r="4596">
      <c r="D4596" s="9"/>
      <c r="G4596" s="9"/>
      <c r="J4596" s="11"/>
      <c r="U4596" s="9"/>
      <c r="X4596" s="9"/>
    </row>
    <row r="4597">
      <c r="D4597" s="9"/>
      <c r="G4597" s="9"/>
      <c r="J4597" s="11"/>
      <c r="U4597" s="9"/>
      <c r="X4597" s="9"/>
    </row>
    <row r="4598">
      <c r="D4598" s="9"/>
      <c r="G4598" s="9"/>
      <c r="J4598" s="11"/>
      <c r="U4598" s="9"/>
      <c r="X4598" s="9"/>
    </row>
    <row r="4599">
      <c r="D4599" s="9"/>
      <c r="G4599" s="9"/>
      <c r="J4599" s="11"/>
      <c r="U4599" s="9"/>
      <c r="X4599" s="9"/>
    </row>
    <row r="4600">
      <c r="D4600" s="9"/>
      <c r="G4600" s="9"/>
      <c r="J4600" s="11"/>
      <c r="U4600" s="9"/>
      <c r="X4600" s="9"/>
    </row>
    <row r="4601">
      <c r="D4601" s="9"/>
      <c r="G4601" s="9"/>
      <c r="J4601" s="11"/>
      <c r="U4601" s="9"/>
      <c r="X4601" s="9"/>
    </row>
    <row r="4602">
      <c r="D4602" s="9"/>
      <c r="G4602" s="9"/>
      <c r="J4602" s="11"/>
      <c r="U4602" s="9"/>
      <c r="X4602" s="9"/>
    </row>
    <row r="4603">
      <c r="D4603" s="9"/>
      <c r="G4603" s="9"/>
      <c r="J4603" s="11"/>
      <c r="U4603" s="9"/>
      <c r="X4603" s="9"/>
    </row>
    <row r="4604">
      <c r="D4604" s="9"/>
      <c r="G4604" s="9"/>
      <c r="J4604" s="11"/>
      <c r="U4604" s="9"/>
      <c r="X4604" s="9"/>
    </row>
    <row r="4605">
      <c r="D4605" s="9"/>
      <c r="G4605" s="9"/>
      <c r="J4605" s="11"/>
      <c r="U4605" s="9"/>
      <c r="X4605" s="9"/>
    </row>
    <row r="4606">
      <c r="D4606" s="9"/>
      <c r="G4606" s="9"/>
      <c r="J4606" s="11"/>
      <c r="U4606" s="9"/>
      <c r="X4606" s="9"/>
    </row>
    <row r="4607">
      <c r="D4607" s="9"/>
      <c r="G4607" s="9"/>
      <c r="J4607" s="11"/>
      <c r="U4607" s="9"/>
      <c r="X4607" s="9"/>
    </row>
    <row r="4608">
      <c r="D4608" s="9"/>
      <c r="G4608" s="9"/>
      <c r="J4608" s="11"/>
      <c r="U4608" s="9"/>
      <c r="X4608" s="9"/>
    </row>
    <row r="4609">
      <c r="D4609" s="9"/>
      <c r="G4609" s="9"/>
      <c r="J4609" s="11"/>
      <c r="U4609" s="9"/>
      <c r="X4609" s="9"/>
    </row>
    <row r="4610">
      <c r="D4610" s="9"/>
      <c r="G4610" s="9"/>
      <c r="J4610" s="11"/>
      <c r="U4610" s="9"/>
      <c r="X4610" s="9"/>
    </row>
    <row r="4611">
      <c r="D4611" s="9"/>
      <c r="G4611" s="9"/>
      <c r="J4611" s="11"/>
      <c r="U4611" s="9"/>
      <c r="X4611" s="9"/>
    </row>
    <row r="4612">
      <c r="D4612" s="9"/>
      <c r="G4612" s="9"/>
      <c r="J4612" s="11"/>
      <c r="U4612" s="9"/>
      <c r="X4612" s="9"/>
    </row>
    <row r="4613">
      <c r="D4613" s="9"/>
      <c r="G4613" s="9"/>
      <c r="J4613" s="11"/>
      <c r="U4613" s="9"/>
      <c r="X4613" s="9"/>
    </row>
    <row r="4614">
      <c r="D4614" s="9"/>
      <c r="G4614" s="9"/>
      <c r="J4614" s="11"/>
      <c r="U4614" s="9"/>
      <c r="X4614" s="9"/>
    </row>
    <row r="4615">
      <c r="D4615" s="9"/>
      <c r="G4615" s="9"/>
      <c r="J4615" s="11"/>
      <c r="U4615" s="9"/>
      <c r="X4615" s="9"/>
    </row>
    <row r="4616">
      <c r="D4616" s="9"/>
      <c r="G4616" s="9"/>
      <c r="J4616" s="11"/>
      <c r="U4616" s="9"/>
      <c r="X4616" s="9"/>
    </row>
    <row r="4617">
      <c r="D4617" s="9"/>
      <c r="G4617" s="9"/>
      <c r="J4617" s="11"/>
      <c r="U4617" s="9"/>
      <c r="X4617" s="9"/>
    </row>
    <row r="4618">
      <c r="D4618" s="9"/>
      <c r="G4618" s="9"/>
      <c r="J4618" s="11"/>
      <c r="U4618" s="9"/>
      <c r="X4618" s="9"/>
    </row>
    <row r="4619">
      <c r="D4619" s="9"/>
      <c r="G4619" s="9"/>
      <c r="J4619" s="11"/>
      <c r="U4619" s="9"/>
      <c r="X4619" s="9"/>
    </row>
    <row r="4620">
      <c r="D4620" s="9"/>
      <c r="G4620" s="9"/>
      <c r="J4620" s="11"/>
      <c r="U4620" s="9"/>
      <c r="X4620" s="9"/>
    </row>
    <row r="4621">
      <c r="D4621" s="9"/>
      <c r="G4621" s="9"/>
      <c r="J4621" s="11"/>
      <c r="U4621" s="9"/>
      <c r="X4621" s="9"/>
    </row>
    <row r="4622">
      <c r="D4622" s="9"/>
      <c r="G4622" s="9"/>
      <c r="J4622" s="11"/>
      <c r="U4622" s="9"/>
      <c r="X4622" s="9"/>
    </row>
    <row r="4623">
      <c r="D4623" s="9"/>
      <c r="G4623" s="9"/>
      <c r="J4623" s="11"/>
      <c r="U4623" s="9"/>
      <c r="X4623" s="9"/>
    </row>
    <row r="4624">
      <c r="D4624" s="9"/>
      <c r="G4624" s="9"/>
      <c r="J4624" s="11"/>
      <c r="U4624" s="9"/>
      <c r="X4624" s="9"/>
    </row>
    <row r="4625">
      <c r="D4625" s="9"/>
      <c r="G4625" s="9"/>
      <c r="J4625" s="11"/>
      <c r="U4625" s="9"/>
      <c r="X4625" s="9"/>
    </row>
    <row r="4626">
      <c r="D4626" s="9"/>
      <c r="G4626" s="9"/>
      <c r="J4626" s="11"/>
      <c r="U4626" s="9"/>
      <c r="X4626" s="9"/>
    </row>
    <row r="4627">
      <c r="D4627" s="9"/>
      <c r="G4627" s="9"/>
      <c r="J4627" s="11"/>
      <c r="U4627" s="9"/>
      <c r="X4627" s="9"/>
    </row>
    <row r="4628">
      <c r="D4628" s="9"/>
      <c r="G4628" s="9"/>
      <c r="J4628" s="11"/>
      <c r="U4628" s="9"/>
      <c r="X4628" s="9"/>
    </row>
    <row r="4629">
      <c r="D4629" s="9"/>
      <c r="G4629" s="9"/>
      <c r="J4629" s="11"/>
      <c r="U4629" s="9"/>
      <c r="X4629" s="9"/>
    </row>
    <row r="4630">
      <c r="D4630" s="9"/>
      <c r="G4630" s="9"/>
      <c r="J4630" s="11"/>
      <c r="U4630" s="9"/>
      <c r="X4630" s="9"/>
    </row>
    <row r="4631">
      <c r="D4631" s="9"/>
      <c r="G4631" s="9"/>
      <c r="J4631" s="11"/>
      <c r="U4631" s="9"/>
      <c r="X4631" s="9"/>
    </row>
    <row r="4632">
      <c r="D4632" s="9"/>
      <c r="G4632" s="9"/>
      <c r="J4632" s="11"/>
      <c r="U4632" s="9"/>
      <c r="X4632" s="9"/>
    </row>
    <row r="4633">
      <c r="D4633" s="9"/>
      <c r="G4633" s="9"/>
      <c r="J4633" s="11"/>
      <c r="U4633" s="9"/>
      <c r="X4633" s="9"/>
    </row>
    <row r="4634">
      <c r="D4634" s="9"/>
      <c r="G4634" s="9"/>
      <c r="J4634" s="11"/>
      <c r="U4634" s="9"/>
      <c r="X4634" s="9"/>
    </row>
    <row r="4635">
      <c r="D4635" s="9"/>
      <c r="G4635" s="9"/>
      <c r="J4635" s="11"/>
      <c r="U4635" s="9"/>
      <c r="X4635" s="9"/>
    </row>
    <row r="4636">
      <c r="D4636" s="9"/>
      <c r="G4636" s="9"/>
      <c r="J4636" s="11"/>
      <c r="U4636" s="9"/>
      <c r="X4636" s="9"/>
    </row>
    <row r="4637">
      <c r="D4637" s="9"/>
      <c r="G4637" s="9"/>
      <c r="J4637" s="11"/>
      <c r="U4637" s="9"/>
      <c r="X4637" s="9"/>
    </row>
    <row r="4638">
      <c r="D4638" s="9"/>
      <c r="G4638" s="9"/>
      <c r="J4638" s="11"/>
      <c r="U4638" s="9"/>
      <c r="X4638" s="9"/>
    </row>
    <row r="4639">
      <c r="D4639" s="9"/>
      <c r="G4639" s="9"/>
      <c r="J4639" s="11"/>
      <c r="U4639" s="9"/>
      <c r="X4639" s="9"/>
    </row>
    <row r="4640">
      <c r="D4640" s="9"/>
      <c r="G4640" s="9"/>
      <c r="J4640" s="11"/>
      <c r="U4640" s="9"/>
      <c r="X4640" s="9"/>
    </row>
    <row r="4641">
      <c r="D4641" s="9"/>
      <c r="G4641" s="9"/>
      <c r="J4641" s="11"/>
      <c r="U4641" s="9"/>
      <c r="X4641" s="9"/>
    </row>
    <row r="4642">
      <c r="D4642" s="9"/>
      <c r="G4642" s="9"/>
      <c r="J4642" s="11"/>
      <c r="U4642" s="9"/>
      <c r="X4642" s="9"/>
    </row>
    <row r="4643">
      <c r="D4643" s="9"/>
      <c r="G4643" s="9"/>
      <c r="J4643" s="11"/>
      <c r="U4643" s="9"/>
      <c r="X4643" s="9"/>
    </row>
    <row r="4644">
      <c r="D4644" s="9"/>
      <c r="G4644" s="9"/>
      <c r="J4644" s="11"/>
      <c r="U4644" s="9"/>
      <c r="X4644" s="9"/>
    </row>
    <row r="4645">
      <c r="D4645" s="9"/>
      <c r="G4645" s="9"/>
      <c r="J4645" s="11"/>
      <c r="U4645" s="9"/>
      <c r="X4645" s="9"/>
    </row>
    <row r="4646">
      <c r="D4646" s="9"/>
      <c r="G4646" s="9"/>
      <c r="J4646" s="11"/>
      <c r="U4646" s="9"/>
      <c r="X4646" s="9"/>
    </row>
    <row r="4647">
      <c r="D4647" s="9"/>
      <c r="G4647" s="9"/>
      <c r="J4647" s="11"/>
      <c r="U4647" s="9"/>
      <c r="X4647" s="9"/>
    </row>
    <row r="4648">
      <c r="D4648" s="9"/>
      <c r="G4648" s="9"/>
      <c r="J4648" s="11"/>
      <c r="U4648" s="9"/>
      <c r="X4648" s="9"/>
    </row>
    <row r="4649">
      <c r="D4649" s="9"/>
      <c r="G4649" s="9"/>
      <c r="J4649" s="11"/>
      <c r="U4649" s="9"/>
      <c r="X4649" s="9"/>
    </row>
    <row r="4650">
      <c r="D4650" s="9"/>
      <c r="G4650" s="9"/>
      <c r="J4650" s="11"/>
      <c r="U4650" s="9"/>
      <c r="X4650" s="9"/>
    </row>
    <row r="4651">
      <c r="D4651" s="9"/>
      <c r="G4651" s="9"/>
      <c r="J4651" s="11"/>
      <c r="U4651" s="9"/>
      <c r="X4651" s="9"/>
    </row>
    <row r="4652">
      <c r="D4652" s="9"/>
      <c r="G4652" s="9"/>
      <c r="J4652" s="11"/>
      <c r="U4652" s="9"/>
      <c r="X4652" s="9"/>
    </row>
    <row r="4653">
      <c r="D4653" s="9"/>
      <c r="G4653" s="9"/>
      <c r="J4653" s="11"/>
      <c r="U4653" s="9"/>
      <c r="X4653" s="9"/>
    </row>
    <row r="4654">
      <c r="D4654" s="9"/>
      <c r="G4654" s="9"/>
      <c r="J4654" s="11"/>
      <c r="U4654" s="9"/>
      <c r="X4654" s="9"/>
    </row>
    <row r="4655">
      <c r="D4655" s="9"/>
      <c r="G4655" s="9"/>
      <c r="J4655" s="11"/>
      <c r="U4655" s="9"/>
      <c r="X4655" s="9"/>
    </row>
    <row r="4656">
      <c r="D4656" s="9"/>
      <c r="G4656" s="9"/>
      <c r="J4656" s="11"/>
      <c r="U4656" s="9"/>
      <c r="X4656" s="9"/>
    </row>
    <row r="4657">
      <c r="D4657" s="9"/>
      <c r="G4657" s="9"/>
      <c r="J4657" s="11"/>
      <c r="U4657" s="9"/>
      <c r="X4657" s="9"/>
    </row>
    <row r="4658">
      <c r="D4658" s="9"/>
      <c r="G4658" s="9"/>
      <c r="J4658" s="11"/>
      <c r="U4658" s="9"/>
      <c r="X4658" s="9"/>
    </row>
    <row r="4659">
      <c r="D4659" s="9"/>
      <c r="G4659" s="9"/>
      <c r="J4659" s="11"/>
      <c r="U4659" s="9"/>
      <c r="X4659" s="9"/>
    </row>
    <row r="4660">
      <c r="D4660" s="9"/>
      <c r="G4660" s="9"/>
      <c r="J4660" s="11"/>
      <c r="U4660" s="9"/>
      <c r="X4660" s="9"/>
    </row>
    <row r="4661">
      <c r="D4661" s="9"/>
      <c r="G4661" s="9"/>
      <c r="J4661" s="11"/>
      <c r="U4661" s="9"/>
      <c r="X4661" s="9"/>
    </row>
    <row r="4662">
      <c r="D4662" s="9"/>
      <c r="G4662" s="9"/>
      <c r="J4662" s="11"/>
      <c r="U4662" s="9"/>
      <c r="X4662" s="9"/>
    </row>
    <row r="4663">
      <c r="D4663" s="9"/>
      <c r="G4663" s="9"/>
      <c r="J4663" s="11"/>
      <c r="U4663" s="9"/>
      <c r="X4663" s="9"/>
    </row>
    <row r="4664">
      <c r="D4664" s="9"/>
      <c r="G4664" s="9"/>
      <c r="J4664" s="11"/>
      <c r="U4664" s="9"/>
      <c r="X4664" s="9"/>
    </row>
    <row r="4665">
      <c r="D4665" s="9"/>
      <c r="G4665" s="9"/>
      <c r="J4665" s="11"/>
      <c r="U4665" s="9"/>
      <c r="X4665" s="9"/>
    </row>
    <row r="4666">
      <c r="D4666" s="9"/>
      <c r="G4666" s="9"/>
      <c r="J4666" s="11"/>
      <c r="U4666" s="9"/>
      <c r="X4666" s="9"/>
    </row>
    <row r="4667">
      <c r="D4667" s="9"/>
      <c r="G4667" s="9"/>
      <c r="J4667" s="11"/>
      <c r="U4667" s="9"/>
      <c r="X4667" s="9"/>
    </row>
    <row r="4668">
      <c r="D4668" s="9"/>
      <c r="G4668" s="9"/>
      <c r="J4668" s="11"/>
      <c r="U4668" s="9"/>
      <c r="X4668" s="9"/>
    </row>
    <row r="4669">
      <c r="D4669" s="9"/>
      <c r="G4669" s="9"/>
      <c r="J4669" s="11"/>
      <c r="U4669" s="9"/>
      <c r="X4669" s="9"/>
    </row>
    <row r="4670">
      <c r="D4670" s="9"/>
      <c r="G4670" s="9"/>
      <c r="J4670" s="11"/>
      <c r="U4670" s="9"/>
      <c r="X4670" s="9"/>
    </row>
    <row r="4671">
      <c r="D4671" s="9"/>
      <c r="G4671" s="9"/>
      <c r="J4671" s="11"/>
      <c r="U4671" s="9"/>
      <c r="X4671" s="9"/>
    </row>
    <row r="4672">
      <c r="D4672" s="9"/>
      <c r="G4672" s="9"/>
      <c r="J4672" s="11"/>
      <c r="U4672" s="9"/>
      <c r="X4672" s="9"/>
    </row>
    <row r="4673">
      <c r="D4673" s="9"/>
      <c r="G4673" s="9"/>
      <c r="J4673" s="11"/>
      <c r="U4673" s="9"/>
      <c r="X4673" s="9"/>
    </row>
    <row r="4674">
      <c r="D4674" s="9"/>
      <c r="G4674" s="9"/>
      <c r="J4674" s="11"/>
      <c r="U4674" s="9"/>
      <c r="X4674" s="9"/>
    </row>
    <row r="4675">
      <c r="D4675" s="9"/>
      <c r="G4675" s="9"/>
      <c r="J4675" s="11"/>
      <c r="U4675" s="9"/>
      <c r="X4675" s="9"/>
    </row>
    <row r="4676">
      <c r="D4676" s="9"/>
      <c r="G4676" s="9"/>
      <c r="J4676" s="11"/>
      <c r="U4676" s="9"/>
      <c r="X4676" s="9"/>
    </row>
    <row r="4677">
      <c r="D4677" s="9"/>
      <c r="G4677" s="9"/>
      <c r="J4677" s="11"/>
      <c r="U4677" s="9"/>
      <c r="X4677" s="9"/>
    </row>
    <row r="4678">
      <c r="D4678" s="9"/>
      <c r="G4678" s="9"/>
      <c r="J4678" s="11"/>
      <c r="U4678" s="9"/>
      <c r="X4678" s="9"/>
    </row>
    <row r="4679">
      <c r="D4679" s="9"/>
      <c r="G4679" s="9"/>
      <c r="J4679" s="11"/>
      <c r="U4679" s="9"/>
      <c r="X4679" s="9"/>
    </row>
    <row r="4680">
      <c r="D4680" s="9"/>
      <c r="G4680" s="9"/>
      <c r="J4680" s="11"/>
      <c r="U4680" s="9"/>
      <c r="X4680" s="9"/>
    </row>
    <row r="4681">
      <c r="D4681" s="9"/>
      <c r="G4681" s="9"/>
      <c r="J4681" s="11"/>
      <c r="U4681" s="9"/>
      <c r="X4681" s="9"/>
    </row>
    <row r="4682">
      <c r="D4682" s="9"/>
      <c r="G4682" s="9"/>
      <c r="J4682" s="11"/>
      <c r="U4682" s="9"/>
      <c r="X4682" s="9"/>
    </row>
    <row r="4683">
      <c r="D4683" s="9"/>
      <c r="G4683" s="9"/>
      <c r="J4683" s="11"/>
      <c r="U4683" s="9"/>
      <c r="X4683" s="9"/>
    </row>
    <row r="4684">
      <c r="D4684" s="9"/>
      <c r="G4684" s="9"/>
      <c r="J4684" s="11"/>
      <c r="U4684" s="9"/>
      <c r="X4684" s="9"/>
    </row>
    <row r="4685">
      <c r="D4685" s="9"/>
      <c r="G4685" s="9"/>
      <c r="J4685" s="11"/>
      <c r="U4685" s="9"/>
      <c r="X4685" s="9"/>
    </row>
    <row r="4686">
      <c r="D4686" s="9"/>
      <c r="G4686" s="9"/>
      <c r="J4686" s="11"/>
      <c r="U4686" s="9"/>
      <c r="X4686" s="9"/>
    </row>
    <row r="4687">
      <c r="D4687" s="9"/>
      <c r="G4687" s="9"/>
      <c r="J4687" s="11"/>
      <c r="U4687" s="9"/>
      <c r="X4687" s="9"/>
    </row>
    <row r="4688">
      <c r="D4688" s="9"/>
      <c r="G4688" s="9"/>
      <c r="J4688" s="11"/>
      <c r="U4688" s="9"/>
      <c r="X4688" s="9"/>
    </row>
    <row r="4689">
      <c r="D4689" s="9"/>
      <c r="G4689" s="9"/>
      <c r="J4689" s="11"/>
      <c r="U4689" s="9"/>
      <c r="X4689" s="9"/>
    </row>
    <row r="4690">
      <c r="D4690" s="9"/>
      <c r="G4690" s="9"/>
      <c r="J4690" s="11"/>
      <c r="U4690" s="9"/>
      <c r="X4690" s="9"/>
    </row>
    <row r="4691">
      <c r="D4691" s="9"/>
      <c r="G4691" s="9"/>
      <c r="J4691" s="11"/>
      <c r="U4691" s="9"/>
      <c r="X4691" s="9"/>
    </row>
    <row r="4692">
      <c r="D4692" s="9"/>
      <c r="G4692" s="9"/>
      <c r="J4692" s="11"/>
      <c r="U4692" s="9"/>
      <c r="X4692" s="9"/>
    </row>
    <row r="4693">
      <c r="D4693" s="9"/>
      <c r="G4693" s="9"/>
      <c r="J4693" s="11"/>
      <c r="U4693" s="9"/>
      <c r="X4693" s="9"/>
    </row>
    <row r="4694">
      <c r="D4694" s="9"/>
      <c r="G4694" s="9"/>
      <c r="J4694" s="11"/>
      <c r="U4694" s="9"/>
      <c r="X4694" s="9"/>
    </row>
    <row r="4695">
      <c r="D4695" s="9"/>
      <c r="G4695" s="9"/>
      <c r="J4695" s="11"/>
      <c r="U4695" s="9"/>
      <c r="X4695" s="9"/>
    </row>
    <row r="4696">
      <c r="D4696" s="9"/>
      <c r="G4696" s="9"/>
      <c r="J4696" s="11"/>
      <c r="U4696" s="9"/>
      <c r="X4696" s="9"/>
    </row>
    <row r="4697">
      <c r="D4697" s="9"/>
      <c r="G4697" s="9"/>
      <c r="J4697" s="11"/>
      <c r="U4697" s="9"/>
      <c r="X4697" s="9"/>
    </row>
    <row r="4698">
      <c r="D4698" s="9"/>
      <c r="G4698" s="9"/>
      <c r="J4698" s="11"/>
      <c r="U4698" s="9"/>
      <c r="X4698" s="9"/>
    </row>
    <row r="4699">
      <c r="D4699" s="9"/>
      <c r="G4699" s="9"/>
      <c r="J4699" s="11"/>
      <c r="U4699" s="9"/>
      <c r="X4699" s="9"/>
    </row>
    <row r="4700">
      <c r="D4700" s="9"/>
      <c r="G4700" s="9"/>
      <c r="J4700" s="11"/>
      <c r="U4700" s="9"/>
      <c r="X4700" s="9"/>
    </row>
    <row r="4701">
      <c r="D4701" s="9"/>
      <c r="G4701" s="9"/>
      <c r="J4701" s="11"/>
      <c r="U4701" s="9"/>
      <c r="X4701" s="9"/>
    </row>
    <row r="4702">
      <c r="D4702" s="9"/>
      <c r="G4702" s="9"/>
      <c r="J4702" s="11"/>
      <c r="U4702" s="9"/>
      <c r="X4702" s="9"/>
    </row>
    <row r="4703">
      <c r="D4703" s="9"/>
      <c r="G4703" s="9"/>
      <c r="J4703" s="11"/>
      <c r="U4703" s="9"/>
      <c r="X4703" s="9"/>
    </row>
    <row r="4704">
      <c r="D4704" s="9"/>
      <c r="G4704" s="9"/>
      <c r="J4704" s="11"/>
      <c r="U4704" s="9"/>
      <c r="X4704" s="9"/>
    </row>
    <row r="4705">
      <c r="D4705" s="9"/>
      <c r="G4705" s="9"/>
      <c r="J4705" s="11"/>
      <c r="U4705" s="9"/>
      <c r="X4705" s="9"/>
    </row>
    <row r="4706">
      <c r="D4706" s="9"/>
      <c r="G4706" s="9"/>
      <c r="J4706" s="11"/>
      <c r="U4706" s="9"/>
      <c r="X4706" s="9"/>
    </row>
    <row r="4707">
      <c r="D4707" s="9"/>
      <c r="G4707" s="9"/>
      <c r="J4707" s="11"/>
      <c r="U4707" s="9"/>
      <c r="X4707" s="9"/>
    </row>
    <row r="4708">
      <c r="D4708" s="9"/>
      <c r="G4708" s="9"/>
      <c r="J4708" s="11"/>
      <c r="U4708" s="9"/>
      <c r="X4708" s="9"/>
    </row>
    <row r="4709">
      <c r="D4709" s="9"/>
      <c r="G4709" s="9"/>
      <c r="J4709" s="11"/>
      <c r="U4709" s="9"/>
      <c r="X4709" s="9"/>
    </row>
    <row r="4710">
      <c r="D4710" s="9"/>
      <c r="G4710" s="9"/>
      <c r="J4710" s="11"/>
      <c r="U4710" s="9"/>
      <c r="X4710" s="9"/>
    </row>
    <row r="4711">
      <c r="D4711" s="9"/>
      <c r="G4711" s="9"/>
      <c r="J4711" s="11"/>
      <c r="U4711" s="9"/>
      <c r="X4711" s="9"/>
    </row>
    <row r="4712">
      <c r="D4712" s="9"/>
      <c r="G4712" s="9"/>
      <c r="J4712" s="11"/>
      <c r="U4712" s="9"/>
      <c r="X4712" s="9"/>
    </row>
    <row r="4713">
      <c r="D4713" s="9"/>
      <c r="G4713" s="9"/>
      <c r="J4713" s="11"/>
      <c r="U4713" s="9"/>
      <c r="X4713" s="9"/>
    </row>
    <row r="4714">
      <c r="D4714" s="9"/>
      <c r="G4714" s="9"/>
      <c r="J4714" s="11"/>
      <c r="U4714" s="9"/>
      <c r="X4714" s="9"/>
    </row>
    <row r="4715">
      <c r="D4715" s="9"/>
      <c r="G4715" s="9"/>
      <c r="J4715" s="11"/>
      <c r="U4715" s="9"/>
      <c r="X4715" s="9"/>
    </row>
    <row r="4716">
      <c r="D4716" s="9"/>
      <c r="G4716" s="9"/>
      <c r="J4716" s="11"/>
      <c r="U4716" s="9"/>
      <c r="X4716" s="9"/>
    </row>
    <row r="4717">
      <c r="D4717" s="9"/>
      <c r="G4717" s="9"/>
      <c r="J4717" s="11"/>
      <c r="U4717" s="9"/>
      <c r="X4717" s="9"/>
    </row>
    <row r="4718">
      <c r="D4718" s="9"/>
      <c r="G4718" s="9"/>
      <c r="J4718" s="11"/>
      <c r="U4718" s="9"/>
      <c r="X4718" s="9"/>
    </row>
    <row r="4719">
      <c r="D4719" s="9"/>
      <c r="G4719" s="9"/>
      <c r="J4719" s="11"/>
      <c r="U4719" s="9"/>
      <c r="X4719" s="9"/>
    </row>
    <row r="4720">
      <c r="D4720" s="9"/>
      <c r="G4720" s="9"/>
      <c r="J4720" s="11"/>
      <c r="U4720" s="9"/>
      <c r="X4720" s="9"/>
    </row>
    <row r="4721">
      <c r="D4721" s="9"/>
      <c r="G4721" s="9"/>
      <c r="J4721" s="11"/>
      <c r="U4721" s="9"/>
      <c r="X4721" s="9"/>
    </row>
    <row r="4722">
      <c r="D4722" s="9"/>
      <c r="G4722" s="9"/>
      <c r="J4722" s="11"/>
      <c r="U4722" s="9"/>
      <c r="X4722" s="9"/>
    </row>
    <row r="4723">
      <c r="D4723" s="9"/>
      <c r="G4723" s="9"/>
      <c r="J4723" s="11"/>
      <c r="U4723" s="9"/>
      <c r="X4723" s="9"/>
    </row>
    <row r="4724">
      <c r="D4724" s="9"/>
      <c r="G4724" s="9"/>
      <c r="J4724" s="11"/>
      <c r="U4724" s="9"/>
      <c r="X4724" s="9"/>
    </row>
    <row r="4725">
      <c r="D4725" s="9"/>
      <c r="G4725" s="9"/>
      <c r="J4725" s="11"/>
      <c r="U4725" s="9"/>
      <c r="X4725" s="9"/>
    </row>
    <row r="4726">
      <c r="D4726" s="9"/>
      <c r="G4726" s="9"/>
      <c r="J4726" s="11"/>
      <c r="U4726" s="9"/>
      <c r="X4726" s="9"/>
    </row>
    <row r="4727">
      <c r="D4727" s="9"/>
      <c r="G4727" s="9"/>
      <c r="J4727" s="11"/>
      <c r="U4727" s="9"/>
      <c r="X4727" s="9"/>
    </row>
    <row r="4728">
      <c r="D4728" s="9"/>
      <c r="G4728" s="9"/>
      <c r="J4728" s="11"/>
      <c r="U4728" s="9"/>
      <c r="X4728" s="9"/>
    </row>
    <row r="4729">
      <c r="D4729" s="9"/>
      <c r="G4729" s="9"/>
      <c r="J4729" s="11"/>
      <c r="U4729" s="9"/>
      <c r="X4729" s="9"/>
    </row>
    <row r="4730">
      <c r="D4730" s="9"/>
      <c r="G4730" s="9"/>
      <c r="J4730" s="11"/>
      <c r="U4730" s="9"/>
      <c r="X4730" s="9"/>
    </row>
    <row r="4731">
      <c r="D4731" s="9"/>
      <c r="G4731" s="9"/>
      <c r="J4731" s="11"/>
      <c r="U4731" s="9"/>
      <c r="X4731" s="9"/>
    </row>
    <row r="4732">
      <c r="D4732" s="9"/>
      <c r="G4732" s="9"/>
      <c r="J4732" s="11"/>
      <c r="U4732" s="9"/>
      <c r="X4732" s="9"/>
    </row>
    <row r="4733">
      <c r="D4733" s="9"/>
      <c r="G4733" s="9"/>
      <c r="J4733" s="11"/>
      <c r="U4733" s="9"/>
      <c r="X4733" s="9"/>
    </row>
    <row r="4734">
      <c r="D4734" s="9"/>
      <c r="G4734" s="9"/>
      <c r="J4734" s="11"/>
      <c r="U4734" s="9"/>
      <c r="X4734" s="9"/>
    </row>
    <row r="4735">
      <c r="D4735" s="9"/>
      <c r="G4735" s="9"/>
      <c r="J4735" s="11"/>
      <c r="U4735" s="9"/>
      <c r="X4735" s="9"/>
    </row>
    <row r="4736">
      <c r="D4736" s="9"/>
      <c r="G4736" s="9"/>
      <c r="J4736" s="11"/>
      <c r="U4736" s="9"/>
      <c r="X4736" s="9"/>
    </row>
    <row r="4737">
      <c r="D4737" s="9"/>
      <c r="G4737" s="9"/>
      <c r="J4737" s="11"/>
      <c r="U4737" s="9"/>
      <c r="X4737" s="9"/>
    </row>
    <row r="4738">
      <c r="D4738" s="9"/>
      <c r="G4738" s="9"/>
      <c r="J4738" s="11"/>
      <c r="U4738" s="9"/>
      <c r="X4738" s="9"/>
    </row>
    <row r="4739">
      <c r="D4739" s="9"/>
      <c r="G4739" s="9"/>
      <c r="J4739" s="11"/>
      <c r="U4739" s="9"/>
      <c r="X4739" s="9"/>
    </row>
    <row r="4740">
      <c r="D4740" s="9"/>
      <c r="G4740" s="9"/>
      <c r="J4740" s="11"/>
      <c r="U4740" s="9"/>
      <c r="X4740" s="9"/>
    </row>
    <row r="4741">
      <c r="D4741" s="9"/>
      <c r="G4741" s="9"/>
      <c r="J4741" s="11"/>
      <c r="U4741" s="9"/>
      <c r="X4741" s="9"/>
    </row>
    <row r="4742">
      <c r="D4742" s="9"/>
      <c r="G4742" s="9"/>
      <c r="J4742" s="11"/>
      <c r="U4742" s="9"/>
      <c r="X4742" s="9"/>
    </row>
    <row r="4743">
      <c r="D4743" s="9"/>
      <c r="G4743" s="9"/>
      <c r="J4743" s="11"/>
      <c r="U4743" s="9"/>
      <c r="X4743" s="9"/>
    </row>
    <row r="4744">
      <c r="D4744" s="9"/>
      <c r="G4744" s="9"/>
      <c r="J4744" s="11"/>
      <c r="U4744" s="9"/>
      <c r="X4744" s="9"/>
    </row>
    <row r="4745">
      <c r="D4745" s="9"/>
      <c r="G4745" s="9"/>
      <c r="J4745" s="11"/>
      <c r="U4745" s="9"/>
      <c r="X4745" s="9"/>
    </row>
    <row r="4746">
      <c r="D4746" s="9"/>
      <c r="G4746" s="9"/>
      <c r="J4746" s="11"/>
      <c r="U4746" s="9"/>
      <c r="X4746" s="9"/>
    </row>
    <row r="4747">
      <c r="D4747" s="9"/>
      <c r="G4747" s="9"/>
      <c r="J4747" s="11"/>
      <c r="U4747" s="9"/>
      <c r="X4747" s="9"/>
    </row>
    <row r="4748">
      <c r="D4748" s="9"/>
      <c r="G4748" s="9"/>
      <c r="J4748" s="11"/>
      <c r="U4748" s="9"/>
      <c r="X4748" s="9"/>
    </row>
    <row r="4749">
      <c r="D4749" s="9"/>
      <c r="G4749" s="9"/>
      <c r="J4749" s="11"/>
      <c r="U4749" s="9"/>
      <c r="X4749" s="9"/>
    </row>
    <row r="4750">
      <c r="D4750" s="9"/>
      <c r="G4750" s="9"/>
      <c r="J4750" s="11"/>
      <c r="U4750" s="9"/>
      <c r="X4750" s="9"/>
    </row>
    <row r="4751">
      <c r="D4751" s="9"/>
      <c r="G4751" s="9"/>
      <c r="J4751" s="11"/>
      <c r="U4751" s="9"/>
      <c r="X4751" s="9"/>
    </row>
    <row r="4752">
      <c r="D4752" s="9"/>
      <c r="G4752" s="9"/>
      <c r="J4752" s="11"/>
      <c r="U4752" s="9"/>
      <c r="X4752" s="9"/>
    </row>
    <row r="4753">
      <c r="D4753" s="9"/>
      <c r="G4753" s="9"/>
      <c r="J4753" s="11"/>
      <c r="U4753" s="9"/>
      <c r="X4753" s="9"/>
    </row>
    <row r="4754">
      <c r="D4754" s="9"/>
      <c r="G4754" s="9"/>
      <c r="J4754" s="11"/>
      <c r="U4754" s="9"/>
      <c r="X4754" s="9"/>
    </row>
    <row r="4755">
      <c r="D4755" s="9"/>
      <c r="G4755" s="9"/>
      <c r="J4755" s="11"/>
      <c r="U4755" s="9"/>
      <c r="X4755" s="9"/>
    </row>
    <row r="4756">
      <c r="D4756" s="9"/>
      <c r="G4756" s="9"/>
      <c r="J4756" s="11"/>
      <c r="U4756" s="9"/>
      <c r="X4756" s="9"/>
    </row>
    <row r="4757">
      <c r="D4757" s="9"/>
      <c r="G4757" s="9"/>
      <c r="J4757" s="11"/>
      <c r="U4757" s="9"/>
      <c r="X4757" s="9"/>
    </row>
    <row r="4758">
      <c r="D4758" s="9"/>
      <c r="G4758" s="9"/>
      <c r="J4758" s="11"/>
      <c r="U4758" s="9"/>
      <c r="X4758" s="9"/>
    </row>
    <row r="4759">
      <c r="D4759" s="9"/>
      <c r="G4759" s="9"/>
      <c r="J4759" s="11"/>
      <c r="U4759" s="9"/>
      <c r="X4759" s="9"/>
    </row>
    <row r="4760">
      <c r="D4760" s="9"/>
      <c r="G4760" s="9"/>
      <c r="J4760" s="11"/>
      <c r="U4760" s="9"/>
      <c r="X4760" s="9"/>
    </row>
    <row r="4761">
      <c r="D4761" s="9"/>
      <c r="G4761" s="9"/>
      <c r="J4761" s="11"/>
      <c r="U4761" s="9"/>
      <c r="X4761" s="9"/>
    </row>
    <row r="4762">
      <c r="D4762" s="9"/>
      <c r="G4762" s="9"/>
      <c r="J4762" s="11"/>
      <c r="U4762" s="9"/>
      <c r="X4762" s="9"/>
    </row>
    <row r="4763">
      <c r="D4763" s="9"/>
      <c r="G4763" s="9"/>
      <c r="J4763" s="11"/>
      <c r="U4763" s="9"/>
      <c r="X4763" s="9"/>
    </row>
    <row r="4764">
      <c r="D4764" s="9"/>
      <c r="G4764" s="9"/>
      <c r="J4764" s="11"/>
      <c r="U4764" s="9"/>
      <c r="X4764" s="9"/>
    </row>
    <row r="4765">
      <c r="D4765" s="9"/>
      <c r="G4765" s="9"/>
      <c r="J4765" s="11"/>
      <c r="U4765" s="9"/>
      <c r="X4765" s="9"/>
    </row>
    <row r="4766">
      <c r="D4766" s="9"/>
      <c r="G4766" s="9"/>
      <c r="J4766" s="11"/>
      <c r="U4766" s="9"/>
      <c r="X4766" s="9"/>
    </row>
    <row r="4767">
      <c r="D4767" s="9"/>
      <c r="G4767" s="9"/>
      <c r="J4767" s="11"/>
      <c r="U4767" s="9"/>
      <c r="X4767" s="9"/>
    </row>
    <row r="4768">
      <c r="D4768" s="9"/>
      <c r="G4768" s="9"/>
      <c r="J4768" s="11"/>
      <c r="U4768" s="9"/>
      <c r="X4768" s="9"/>
    </row>
    <row r="4769">
      <c r="D4769" s="9"/>
      <c r="G4769" s="9"/>
      <c r="J4769" s="11"/>
      <c r="U4769" s="9"/>
      <c r="X4769" s="9"/>
    </row>
    <row r="4770">
      <c r="D4770" s="9"/>
      <c r="G4770" s="9"/>
      <c r="J4770" s="11"/>
      <c r="U4770" s="9"/>
      <c r="X4770" s="9"/>
    </row>
    <row r="4771">
      <c r="D4771" s="9"/>
      <c r="G4771" s="9"/>
      <c r="J4771" s="11"/>
      <c r="U4771" s="9"/>
      <c r="X4771" s="9"/>
    </row>
    <row r="4772">
      <c r="D4772" s="9"/>
      <c r="G4772" s="9"/>
      <c r="J4772" s="11"/>
      <c r="U4772" s="9"/>
      <c r="X4772" s="9"/>
    </row>
    <row r="4773">
      <c r="D4773" s="9"/>
      <c r="G4773" s="9"/>
      <c r="J4773" s="11"/>
      <c r="U4773" s="9"/>
      <c r="X4773" s="9"/>
    </row>
    <row r="4774">
      <c r="D4774" s="9"/>
      <c r="G4774" s="9"/>
      <c r="J4774" s="11"/>
      <c r="U4774" s="9"/>
      <c r="X4774" s="9"/>
    </row>
    <row r="4775">
      <c r="D4775" s="9"/>
      <c r="G4775" s="9"/>
      <c r="J4775" s="11"/>
      <c r="U4775" s="9"/>
      <c r="X4775" s="9"/>
    </row>
    <row r="4776">
      <c r="D4776" s="9"/>
      <c r="G4776" s="9"/>
      <c r="J4776" s="11"/>
      <c r="U4776" s="9"/>
      <c r="X4776" s="9"/>
    </row>
    <row r="4777">
      <c r="D4777" s="9"/>
      <c r="G4777" s="9"/>
      <c r="J4777" s="11"/>
      <c r="U4777" s="9"/>
      <c r="X4777" s="9"/>
    </row>
    <row r="4778">
      <c r="D4778" s="9"/>
      <c r="G4778" s="9"/>
      <c r="J4778" s="11"/>
      <c r="U4778" s="9"/>
      <c r="X4778" s="9"/>
    </row>
    <row r="4779">
      <c r="D4779" s="9"/>
      <c r="G4779" s="9"/>
      <c r="J4779" s="11"/>
      <c r="U4779" s="9"/>
      <c r="X4779" s="9"/>
    </row>
    <row r="4780">
      <c r="D4780" s="9"/>
      <c r="G4780" s="9"/>
      <c r="J4780" s="11"/>
      <c r="U4780" s="9"/>
      <c r="X4780" s="9"/>
    </row>
    <row r="4781">
      <c r="D4781" s="9"/>
      <c r="G4781" s="9"/>
      <c r="J4781" s="11"/>
      <c r="U4781" s="9"/>
      <c r="X4781" s="9"/>
    </row>
    <row r="4782">
      <c r="D4782" s="9"/>
      <c r="G4782" s="9"/>
      <c r="J4782" s="11"/>
      <c r="U4782" s="9"/>
      <c r="X4782" s="9"/>
    </row>
    <row r="4783">
      <c r="D4783" s="9"/>
      <c r="G4783" s="9"/>
      <c r="J4783" s="11"/>
      <c r="U4783" s="9"/>
      <c r="X4783" s="9"/>
    </row>
    <row r="4784">
      <c r="D4784" s="9"/>
      <c r="G4784" s="9"/>
      <c r="J4784" s="11"/>
      <c r="U4784" s="9"/>
      <c r="X4784" s="9"/>
    </row>
    <row r="4785">
      <c r="D4785" s="9"/>
      <c r="G4785" s="9"/>
      <c r="J4785" s="11"/>
      <c r="U4785" s="9"/>
      <c r="X4785" s="9"/>
    </row>
    <row r="4786">
      <c r="D4786" s="9"/>
      <c r="G4786" s="9"/>
      <c r="J4786" s="11"/>
      <c r="U4786" s="9"/>
      <c r="X4786" s="9"/>
    </row>
    <row r="4787">
      <c r="D4787" s="9"/>
      <c r="G4787" s="9"/>
      <c r="J4787" s="11"/>
      <c r="U4787" s="9"/>
      <c r="X4787" s="9"/>
    </row>
    <row r="4788">
      <c r="D4788" s="9"/>
      <c r="G4788" s="9"/>
      <c r="J4788" s="11"/>
      <c r="U4788" s="9"/>
      <c r="X4788" s="9"/>
    </row>
    <row r="4789">
      <c r="D4789" s="9"/>
      <c r="G4789" s="9"/>
      <c r="J4789" s="11"/>
      <c r="U4789" s="9"/>
      <c r="X4789" s="9"/>
    </row>
    <row r="4790">
      <c r="D4790" s="9"/>
      <c r="G4790" s="9"/>
      <c r="J4790" s="11"/>
      <c r="U4790" s="9"/>
      <c r="X4790" s="9"/>
    </row>
    <row r="4791">
      <c r="D4791" s="9"/>
      <c r="G4791" s="9"/>
      <c r="J4791" s="11"/>
      <c r="U4791" s="9"/>
      <c r="X4791" s="9"/>
    </row>
    <row r="4792">
      <c r="D4792" s="9"/>
      <c r="G4792" s="9"/>
      <c r="J4792" s="11"/>
      <c r="U4792" s="9"/>
      <c r="X4792" s="9"/>
    </row>
    <row r="4793">
      <c r="D4793" s="9"/>
      <c r="G4793" s="9"/>
      <c r="J4793" s="11"/>
      <c r="U4793" s="9"/>
      <c r="X4793" s="9"/>
    </row>
    <row r="4794">
      <c r="D4794" s="9"/>
      <c r="G4794" s="9"/>
      <c r="J4794" s="11"/>
      <c r="U4794" s="9"/>
      <c r="X4794" s="9"/>
    </row>
    <row r="4795">
      <c r="D4795" s="9"/>
      <c r="G4795" s="9"/>
      <c r="J4795" s="11"/>
      <c r="U4795" s="9"/>
      <c r="X4795" s="9"/>
    </row>
    <row r="4796">
      <c r="D4796" s="9"/>
      <c r="G4796" s="9"/>
      <c r="J4796" s="11"/>
      <c r="U4796" s="9"/>
      <c r="X4796" s="9"/>
    </row>
    <row r="4797">
      <c r="D4797" s="9"/>
      <c r="G4797" s="9"/>
      <c r="J4797" s="11"/>
      <c r="U4797" s="9"/>
      <c r="X4797" s="9"/>
    </row>
    <row r="4798">
      <c r="D4798" s="9"/>
      <c r="G4798" s="9"/>
      <c r="J4798" s="11"/>
      <c r="U4798" s="9"/>
      <c r="X4798" s="9"/>
    </row>
    <row r="4799">
      <c r="D4799" s="9"/>
      <c r="G4799" s="9"/>
      <c r="J4799" s="11"/>
      <c r="U4799" s="9"/>
      <c r="X4799" s="9"/>
    </row>
    <row r="4800">
      <c r="D4800" s="9"/>
      <c r="G4800" s="9"/>
      <c r="J4800" s="11"/>
      <c r="U4800" s="9"/>
      <c r="X4800" s="9"/>
    </row>
    <row r="4801">
      <c r="D4801" s="9"/>
      <c r="G4801" s="9"/>
      <c r="J4801" s="11"/>
      <c r="U4801" s="9"/>
      <c r="X4801" s="9"/>
    </row>
    <row r="4802">
      <c r="D4802" s="9"/>
      <c r="G4802" s="9"/>
      <c r="J4802" s="11"/>
      <c r="U4802" s="9"/>
      <c r="X4802" s="9"/>
    </row>
    <row r="4803">
      <c r="D4803" s="9"/>
      <c r="G4803" s="9"/>
      <c r="J4803" s="11"/>
      <c r="U4803" s="9"/>
      <c r="X4803" s="9"/>
    </row>
    <row r="4804">
      <c r="D4804" s="9"/>
      <c r="G4804" s="9"/>
      <c r="J4804" s="11"/>
      <c r="U4804" s="9"/>
      <c r="X4804" s="9"/>
    </row>
    <row r="4805">
      <c r="D4805" s="9"/>
      <c r="G4805" s="9"/>
      <c r="J4805" s="11"/>
      <c r="U4805" s="9"/>
      <c r="X4805" s="9"/>
    </row>
    <row r="4806">
      <c r="D4806" s="9"/>
      <c r="G4806" s="9"/>
      <c r="J4806" s="11"/>
      <c r="U4806" s="9"/>
      <c r="X4806" s="9"/>
    </row>
    <row r="4807">
      <c r="D4807" s="9"/>
      <c r="G4807" s="9"/>
      <c r="J4807" s="11"/>
      <c r="U4807" s="9"/>
      <c r="X4807" s="9"/>
    </row>
    <row r="4808">
      <c r="D4808" s="9"/>
      <c r="G4808" s="9"/>
      <c r="J4808" s="11"/>
      <c r="U4808" s="9"/>
      <c r="X4808" s="9"/>
    </row>
    <row r="4809">
      <c r="D4809" s="9"/>
      <c r="G4809" s="9"/>
      <c r="J4809" s="11"/>
      <c r="U4809" s="9"/>
      <c r="X4809" s="9"/>
    </row>
    <row r="4810">
      <c r="D4810" s="9"/>
      <c r="G4810" s="9"/>
      <c r="J4810" s="11"/>
      <c r="U4810" s="9"/>
      <c r="X4810" s="9"/>
    </row>
    <row r="4811">
      <c r="D4811" s="9"/>
      <c r="G4811" s="9"/>
      <c r="J4811" s="11"/>
      <c r="U4811" s="9"/>
      <c r="X4811" s="9"/>
    </row>
    <row r="4812">
      <c r="D4812" s="9"/>
      <c r="G4812" s="9"/>
      <c r="J4812" s="11"/>
      <c r="U4812" s="9"/>
      <c r="X4812" s="9"/>
    </row>
    <row r="4813">
      <c r="D4813" s="9"/>
      <c r="G4813" s="9"/>
      <c r="J4813" s="11"/>
      <c r="U4813" s="9"/>
      <c r="X4813" s="9"/>
    </row>
    <row r="4814">
      <c r="D4814" s="9"/>
      <c r="G4814" s="9"/>
      <c r="J4814" s="11"/>
      <c r="U4814" s="9"/>
      <c r="X4814" s="9"/>
    </row>
    <row r="4815">
      <c r="D4815" s="9"/>
      <c r="G4815" s="9"/>
      <c r="J4815" s="11"/>
      <c r="U4815" s="9"/>
      <c r="X4815" s="9"/>
    </row>
    <row r="4816">
      <c r="D4816" s="9"/>
      <c r="G4816" s="9"/>
      <c r="J4816" s="11"/>
      <c r="U4816" s="9"/>
      <c r="X4816" s="9"/>
    </row>
    <row r="4817">
      <c r="D4817" s="9"/>
      <c r="G4817" s="9"/>
      <c r="J4817" s="11"/>
      <c r="U4817" s="9"/>
      <c r="X4817" s="9"/>
    </row>
    <row r="4818">
      <c r="D4818" s="9"/>
      <c r="G4818" s="9"/>
      <c r="J4818" s="11"/>
      <c r="U4818" s="9"/>
      <c r="X4818" s="9"/>
    </row>
    <row r="4819">
      <c r="D4819" s="9"/>
      <c r="G4819" s="9"/>
      <c r="J4819" s="11"/>
      <c r="U4819" s="9"/>
      <c r="X4819" s="9"/>
    </row>
    <row r="4820">
      <c r="D4820" s="9"/>
      <c r="G4820" s="9"/>
      <c r="J4820" s="11"/>
      <c r="U4820" s="9"/>
      <c r="X4820" s="9"/>
    </row>
    <row r="4821">
      <c r="D4821" s="9"/>
      <c r="G4821" s="9"/>
      <c r="J4821" s="11"/>
      <c r="U4821" s="9"/>
      <c r="X4821" s="9"/>
    </row>
    <row r="4822">
      <c r="D4822" s="9"/>
      <c r="G4822" s="9"/>
      <c r="J4822" s="11"/>
      <c r="U4822" s="9"/>
      <c r="X4822" s="9"/>
    </row>
    <row r="4823">
      <c r="D4823" s="9"/>
      <c r="G4823" s="9"/>
      <c r="J4823" s="11"/>
      <c r="U4823" s="9"/>
      <c r="X4823" s="9"/>
    </row>
    <row r="4824">
      <c r="D4824" s="9"/>
      <c r="G4824" s="9"/>
      <c r="J4824" s="11"/>
      <c r="U4824" s="9"/>
      <c r="X4824" s="9"/>
    </row>
    <row r="4825">
      <c r="D4825" s="9"/>
      <c r="G4825" s="9"/>
      <c r="J4825" s="11"/>
      <c r="U4825" s="9"/>
      <c r="X4825" s="9"/>
    </row>
    <row r="4826">
      <c r="D4826" s="9"/>
      <c r="G4826" s="9"/>
      <c r="J4826" s="11"/>
      <c r="U4826" s="9"/>
      <c r="X4826" s="9"/>
    </row>
    <row r="4827">
      <c r="D4827" s="9"/>
      <c r="G4827" s="9"/>
      <c r="J4827" s="11"/>
      <c r="U4827" s="9"/>
      <c r="X4827" s="9"/>
    </row>
    <row r="4828">
      <c r="D4828" s="9"/>
      <c r="G4828" s="9"/>
      <c r="J4828" s="11"/>
      <c r="U4828" s="9"/>
      <c r="X4828" s="9"/>
    </row>
    <row r="4829">
      <c r="D4829" s="9"/>
      <c r="G4829" s="9"/>
      <c r="J4829" s="11"/>
      <c r="U4829" s="9"/>
      <c r="X4829" s="9"/>
    </row>
    <row r="4830">
      <c r="D4830" s="9"/>
      <c r="G4830" s="9"/>
      <c r="J4830" s="11"/>
      <c r="U4830" s="9"/>
      <c r="X4830" s="9"/>
    </row>
    <row r="4831">
      <c r="D4831" s="9"/>
      <c r="G4831" s="9"/>
      <c r="J4831" s="11"/>
      <c r="U4831" s="9"/>
      <c r="X4831" s="9"/>
    </row>
    <row r="4832">
      <c r="D4832" s="9"/>
      <c r="G4832" s="9"/>
      <c r="J4832" s="11"/>
      <c r="U4832" s="9"/>
      <c r="X4832" s="9"/>
    </row>
    <row r="4833">
      <c r="D4833" s="9"/>
      <c r="G4833" s="9"/>
      <c r="J4833" s="11"/>
      <c r="U4833" s="9"/>
      <c r="X4833" s="9"/>
    </row>
    <row r="4834">
      <c r="D4834" s="9"/>
      <c r="G4834" s="9"/>
      <c r="J4834" s="11"/>
      <c r="U4834" s="9"/>
      <c r="X4834" s="9"/>
    </row>
    <row r="4835">
      <c r="D4835" s="9"/>
      <c r="G4835" s="9"/>
      <c r="J4835" s="11"/>
      <c r="U4835" s="9"/>
      <c r="X4835" s="9"/>
    </row>
    <row r="4836">
      <c r="D4836" s="9"/>
      <c r="G4836" s="9"/>
      <c r="J4836" s="11"/>
      <c r="U4836" s="9"/>
      <c r="X4836" s="9"/>
    </row>
    <row r="4837">
      <c r="D4837" s="9"/>
      <c r="G4837" s="9"/>
      <c r="J4837" s="11"/>
      <c r="U4837" s="9"/>
      <c r="X4837" s="9"/>
    </row>
    <row r="4838">
      <c r="D4838" s="9"/>
      <c r="G4838" s="9"/>
      <c r="J4838" s="11"/>
      <c r="U4838" s="9"/>
      <c r="X4838" s="9"/>
    </row>
    <row r="4839">
      <c r="D4839" s="9"/>
      <c r="G4839" s="9"/>
      <c r="J4839" s="11"/>
      <c r="U4839" s="9"/>
      <c r="X4839" s="9"/>
    </row>
    <row r="4840">
      <c r="D4840" s="9"/>
      <c r="G4840" s="9"/>
      <c r="J4840" s="11"/>
      <c r="U4840" s="9"/>
      <c r="X4840" s="9"/>
    </row>
    <row r="4841">
      <c r="D4841" s="9"/>
      <c r="G4841" s="9"/>
      <c r="J4841" s="11"/>
      <c r="U4841" s="9"/>
      <c r="X4841" s="9"/>
    </row>
    <row r="4842">
      <c r="D4842" s="9"/>
      <c r="G4842" s="9"/>
      <c r="J4842" s="11"/>
      <c r="U4842" s="9"/>
      <c r="X4842" s="9"/>
    </row>
    <row r="4843">
      <c r="D4843" s="9"/>
      <c r="G4843" s="9"/>
      <c r="J4843" s="11"/>
      <c r="U4843" s="9"/>
      <c r="X4843" s="9"/>
    </row>
    <row r="4844">
      <c r="D4844" s="9"/>
      <c r="G4844" s="9"/>
      <c r="J4844" s="11"/>
      <c r="U4844" s="9"/>
      <c r="X4844" s="9"/>
    </row>
    <row r="4845">
      <c r="D4845" s="9"/>
      <c r="G4845" s="9"/>
      <c r="J4845" s="11"/>
      <c r="U4845" s="9"/>
      <c r="X4845" s="9"/>
    </row>
    <row r="4846">
      <c r="D4846" s="9"/>
      <c r="G4846" s="9"/>
      <c r="J4846" s="11"/>
      <c r="U4846" s="9"/>
      <c r="X4846" s="9"/>
    </row>
    <row r="4847">
      <c r="D4847" s="9"/>
      <c r="G4847" s="9"/>
      <c r="J4847" s="11"/>
      <c r="U4847" s="9"/>
      <c r="X4847" s="9"/>
    </row>
    <row r="4848">
      <c r="D4848" s="9"/>
      <c r="G4848" s="9"/>
      <c r="J4848" s="11"/>
      <c r="U4848" s="9"/>
      <c r="X4848" s="9"/>
    </row>
    <row r="4849">
      <c r="D4849" s="9"/>
      <c r="G4849" s="9"/>
      <c r="J4849" s="11"/>
      <c r="U4849" s="9"/>
      <c r="X4849" s="9"/>
    </row>
    <row r="4850">
      <c r="D4850" s="9"/>
      <c r="G4850" s="9"/>
      <c r="J4850" s="11"/>
      <c r="U4850" s="9"/>
      <c r="X4850" s="9"/>
    </row>
    <row r="4851">
      <c r="D4851" s="9"/>
      <c r="G4851" s="9"/>
      <c r="J4851" s="11"/>
      <c r="U4851" s="9"/>
      <c r="X4851" s="9"/>
    </row>
    <row r="4852">
      <c r="D4852" s="9"/>
      <c r="G4852" s="9"/>
      <c r="J4852" s="11"/>
      <c r="U4852" s="9"/>
      <c r="X4852" s="9"/>
    </row>
    <row r="4853">
      <c r="D4853" s="9"/>
      <c r="G4853" s="9"/>
      <c r="J4853" s="11"/>
      <c r="U4853" s="9"/>
      <c r="X4853" s="9"/>
    </row>
    <row r="4854">
      <c r="D4854" s="9"/>
      <c r="G4854" s="9"/>
      <c r="J4854" s="11"/>
      <c r="U4854" s="9"/>
      <c r="X4854" s="9"/>
    </row>
    <row r="4855">
      <c r="D4855" s="9"/>
      <c r="G4855" s="9"/>
      <c r="J4855" s="11"/>
      <c r="U4855" s="9"/>
      <c r="X4855" s="9"/>
    </row>
    <row r="4856">
      <c r="D4856" s="9"/>
      <c r="G4856" s="9"/>
      <c r="J4856" s="11"/>
      <c r="U4856" s="9"/>
      <c r="X4856" s="9"/>
    </row>
    <row r="4857">
      <c r="D4857" s="9"/>
      <c r="G4857" s="9"/>
      <c r="J4857" s="11"/>
      <c r="U4857" s="9"/>
      <c r="X4857" s="9"/>
    </row>
    <row r="4858">
      <c r="D4858" s="9"/>
      <c r="G4858" s="9"/>
      <c r="J4858" s="11"/>
      <c r="U4858" s="9"/>
      <c r="X4858" s="9"/>
    </row>
    <row r="4859">
      <c r="D4859" s="9"/>
      <c r="G4859" s="9"/>
      <c r="J4859" s="11"/>
      <c r="U4859" s="9"/>
      <c r="X4859" s="9"/>
    </row>
    <row r="4860">
      <c r="D4860" s="9"/>
      <c r="G4860" s="9"/>
      <c r="J4860" s="11"/>
      <c r="U4860" s="9"/>
      <c r="X4860" s="9"/>
    </row>
    <row r="4861">
      <c r="D4861" s="9"/>
      <c r="G4861" s="9"/>
      <c r="J4861" s="11"/>
      <c r="U4861" s="9"/>
      <c r="X4861" s="9"/>
    </row>
    <row r="4862">
      <c r="D4862" s="9"/>
      <c r="G4862" s="9"/>
      <c r="J4862" s="11"/>
      <c r="U4862" s="9"/>
      <c r="X4862" s="9"/>
    </row>
    <row r="4863">
      <c r="D4863" s="9"/>
      <c r="G4863" s="9"/>
      <c r="J4863" s="11"/>
      <c r="U4863" s="9"/>
      <c r="X4863" s="9"/>
    </row>
    <row r="4864">
      <c r="D4864" s="9"/>
      <c r="G4864" s="9"/>
      <c r="J4864" s="11"/>
      <c r="U4864" s="9"/>
      <c r="X4864" s="9"/>
    </row>
    <row r="4865">
      <c r="D4865" s="9"/>
      <c r="G4865" s="9"/>
      <c r="J4865" s="11"/>
      <c r="U4865" s="9"/>
      <c r="X4865" s="9"/>
    </row>
    <row r="4866">
      <c r="D4866" s="9"/>
      <c r="G4866" s="9"/>
      <c r="J4866" s="11"/>
      <c r="U4866" s="9"/>
      <c r="X4866" s="9"/>
    </row>
    <row r="4867">
      <c r="D4867" s="9"/>
      <c r="G4867" s="9"/>
      <c r="J4867" s="11"/>
      <c r="U4867" s="9"/>
      <c r="X4867" s="9"/>
    </row>
    <row r="4868">
      <c r="D4868" s="9"/>
      <c r="G4868" s="9"/>
      <c r="J4868" s="11"/>
      <c r="U4868" s="9"/>
      <c r="X4868" s="9"/>
    </row>
    <row r="4869">
      <c r="D4869" s="9"/>
      <c r="G4869" s="9"/>
      <c r="J4869" s="11"/>
      <c r="U4869" s="9"/>
      <c r="X4869" s="9"/>
    </row>
    <row r="4870">
      <c r="D4870" s="9"/>
      <c r="G4870" s="9"/>
      <c r="J4870" s="11"/>
      <c r="U4870" s="9"/>
      <c r="X4870" s="9"/>
    </row>
    <row r="4871">
      <c r="D4871" s="9"/>
      <c r="G4871" s="9"/>
      <c r="J4871" s="11"/>
      <c r="U4871" s="9"/>
      <c r="X4871" s="9"/>
    </row>
    <row r="4872">
      <c r="D4872" s="9"/>
      <c r="G4872" s="9"/>
      <c r="J4872" s="11"/>
      <c r="U4872" s="9"/>
      <c r="X4872" s="9"/>
    </row>
    <row r="4873">
      <c r="D4873" s="9"/>
      <c r="G4873" s="9"/>
      <c r="J4873" s="11"/>
      <c r="U4873" s="9"/>
      <c r="X4873" s="9"/>
    </row>
    <row r="4874">
      <c r="D4874" s="9"/>
      <c r="G4874" s="9"/>
      <c r="J4874" s="11"/>
      <c r="U4874" s="9"/>
      <c r="X4874" s="9"/>
    </row>
    <row r="4875">
      <c r="D4875" s="9"/>
      <c r="G4875" s="9"/>
      <c r="J4875" s="11"/>
      <c r="U4875" s="9"/>
      <c r="X4875" s="9"/>
    </row>
    <row r="4876">
      <c r="D4876" s="9"/>
      <c r="G4876" s="9"/>
      <c r="J4876" s="11"/>
      <c r="U4876" s="9"/>
      <c r="X4876" s="9"/>
    </row>
    <row r="4877">
      <c r="D4877" s="9"/>
      <c r="G4877" s="9"/>
      <c r="J4877" s="11"/>
      <c r="U4877" s="9"/>
      <c r="X4877" s="9"/>
    </row>
    <row r="4878">
      <c r="D4878" s="9"/>
      <c r="G4878" s="9"/>
      <c r="J4878" s="11"/>
      <c r="U4878" s="9"/>
      <c r="X4878" s="9"/>
    </row>
    <row r="4879">
      <c r="D4879" s="9"/>
      <c r="G4879" s="9"/>
      <c r="J4879" s="11"/>
      <c r="U4879" s="9"/>
      <c r="X4879" s="9"/>
    </row>
    <row r="4880">
      <c r="D4880" s="9"/>
      <c r="G4880" s="9"/>
      <c r="J4880" s="11"/>
      <c r="U4880" s="9"/>
      <c r="X4880" s="9"/>
    </row>
    <row r="4881">
      <c r="D4881" s="9"/>
      <c r="G4881" s="9"/>
      <c r="J4881" s="11"/>
      <c r="U4881" s="9"/>
      <c r="X4881" s="9"/>
    </row>
    <row r="4882">
      <c r="D4882" s="9"/>
      <c r="G4882" s="9"/>
      <c r="J4882" s="11"/>
      <c r="U4882" s="9"/>
      <c r="X4882" s="9"/>
    </row>
    <row r="4883">
      <c r="D4883" s="9"/>
      <c r="G4883" s="9"/>
      <c r="J4883" s="11"/>
      <c r="U4883" s="9"/>
      <c r="X4883" s="9"/>
    </row>
    <row r="4884">
      <c r="D4884" s="9"/>
      <c r="G4884" s="9"/>
      <c r="J4884" s="11"/>
      <c r="U4884" s="9"/>
      <c r="X4884" s="9"/>
    </row>
    <row r="4885">
      <c r="D4885" s="9"/>
      <c r="G4885" s="9"/>
      <c r="J4885" s="11"/>
      <c r="U4885" s="9"/>
      <c r="X4885" s="9"/>
    </row>
    <row r="4886">
      <c r="D4886" s="9"/>
      <c r="G4886" s="9"/>
      <c r="J4886" s="11"/>
      <c r="U4886" s="9"/>
      <c r="X4886" s="9"/>
    </row>
    <row r="4887">
      <c r="D4887" s="9"/>
      <c r="G4887" s="9"/>
      <c r="J4887" s="11"/>
      <c r="U4887" s="9"/>
      <c r="X4887" s="9"/>
    </row>
    <row r="4888">
      <c r="D4888" s="9"/>
      <c r="G4888" s="9"/>
      <c r="J4888" s="11"/>
      <c r="U4888" s="9"/>
      <c r="X4888" s="9"/>
    </row>
    <row r="4889">
      <c r="D4889" s="9"/>
      <c r="G4889" s="9"/>
      <c r="J4889" s="11"/>
      <c r="U4889" s="9"/>
      <c r="X4889" s="9"/>
    </row>
    <row r="4890">
      <c r="D4890" s="9"/>
      <c r="G4890" s="9"/>
      <c r="J4890" s="11"/>
      <c r="U4890" s="9"/>
      <c r="X4890" s="9"/>
    </row>
    <row r="4891">
      <c r="D4891" s="9"/>
      <c r="G4891" s="9"/>
      <c r="J4891" s="11"/>
      <c r="U4891" s="9"/>
      <c r="X4891" s="9"/>
    </row>
    <row r="4892">
      <c r="D4892" s="9"/>
      <c r="G4892" s="9"/>
      <c r="J4892" s="11"/>
      <c r="U4892" s="9"/>
      <c r="X4892" s="9"/>
    </row>
    <row r="4893">
      <c r="D4893" s="9"/>
      <c r="G4893" s="9"/>
      <c r="J4893" s="11"/>
      <c r="U4893" s="9"/>
      <c r="X4893" s="9"/>
    </row>
    <row r="4894">
      <c r="D4894" s="9"/>
      <c r="G4894" s="9"/>
      <c r="J4894" s="11"/>
      <c r="U4894" s="9"/>
      <c r="X4894" s="9"/>
    </row>
    <row r="4895">
      <c r="D4895" s="9"/>
      <c r="G4895" s="9"/>
      <c r="J4895" s="11"/>
      <c r="U4895" s="9"/>
      <c r="X4895" s="9"/>
    </row>
    <row r="4896">
      <c r="D4896" s="9"/>
      <c r="G4896" s="9"/>
      <c r="J4896" s="11"/>
      <c r="U4896" s="9"/>
      <c r="X4896" s="9"/>
    </row>
    <row r="4897">
      <c r="D4897" s="9"/>
      <c r="G4897" s="9"/>
      <c r="J4897" s="11"/>
      <c r="U4897" s="9"/>
      <c r="X4897" s="9"/>
    </row>
    <row r="4898">
      <c r="D4898" s="9"/>
      <c r="G4898" s="9"/>
      <c r="J4898" s="11"/>
      <c r="U4898" s="9"/>
      <c r="X4898" s="9"/>
    </row>
    <row r="4899">
      <c r="D4899" s="9"/>
      <c r="G4899" s="9"/>
      <c r="J4899" s="11"/>
      <c r="U4899" s="9"/>
      <c r="X4899" s="9"/>
    </row>
    <row r="4900">
      <c r="D4900" s="9"/>
      <c r="G4900" s="9"/>
      <c r="J4900" s="11"/>
      <c r="U4900" s="9"/>
      <c r="X4900" s="9"/>
    </row>
    <row r="4901">
      <c r="D4901" s="9"/>
      <c r="G4901" s="9"/>
      <c r="J4901" s="11"/>
      <c r="U4901" s="9"/>
      <c r="X4901" s="9"/>
    </row>
    <row r="4902">
      <c r="D4902" s="9"/>
      <c r="G4902" s="9"/>
      <c r="J4902" s="11"/>
      <c r="U4902" s="9"/>
      <c r="X4902" s="9"/>
    </row>
    <row r="4903">
      <c r="D4903" s="9"/>
      <c r="G4903" s="9"/>
      <c r="J4903" s="11"/>
      <c r="U4903" s="9"/>
      <c r="X4903" s="9"/>
    </row>
    <row r="4904">
      <c r="D4904" s="9"/>
      <c r="G4904" s="9"/>
      <c r="J4904" s="11"/>
      <c r="U4904" s="9"/>
      <c r="X4904" s="9"/>
    </row>
    <row r="4905">
      <c r="D4905" s="9"/>
      <c r="G4905" s="9"/>
      <c r="J4905" s="11"/>
      <c r="U4905" s="9"/>
      <c r="X4905" s="9"/>
    </row>
    <row r="4906">
      <c r="D4906" s="9"/>
      <c r="G4906" s="9"/>
      <c r="J4906" s="11"/>
      <c r="U4906" s="9"/>
      <c r="X4906" s="9"/>
    </row>
    <row r="4907">
      <c r="D4907" s="9"/>
      <c r="G4907" s="9"/>
      <c r="J4907" s="11"/>
      <c r="U4907" s="9"/>
      <c r="X4907" s="9"/>
    </row>
    <row r="4908">
      <c r="D4908" s="9"/>
      <c r="G4908" s="9"/>
      <c r="J4908" s="11"/>
      <c r="U4908" s="9"/>
      <c r="X4908" s="9"/>
    </row>
    <row r="4909">
      <c r="D4909" s="9"/>
      <c r="G4909" s="9"/>
      <c r="J4909" s="11"/>
      <c r="U4909" s="9"/>
      <c r="X4909" s="9"/>
    </row>
    <row r="4910">
      <c r="D4910" s="9"/>
      <c r="G4910" s="9"/>
      <c r="J4910" s="11"/>
      <c r="U4910" s="9"/>
      <c r="X4910" s="9"/>
    </row>
    <row r="4911">
      <c r="D4911" s="9"/>
      <c r="G4911" s="9"/>
      <c r="J4911" s="11"/>
      <c r="U4911" s="9"/>
      <c r="X4911" s="9"/>
    </row>
    <row r="4912">
      <c r="D4912" s="9"/>
      <c r="G4912" s="9"/>
      <c r="J4912" s="11"/>
      <c r="U4912" s="9"/>
      <c r="X4912" s="9"/>
    </row>
    <row r="4913">
      <c r="D4913" s="9"/>
      <c r="G4913" s="9"/>
      <c r="J4913" s="11"/>
      <c r="U4913" s="9"/>
      <c r="X4913" s="9"/>
    </row>
    <row r="4914">
      <c r="D4914" s="9"/>
      <c r="G4914" s="9"/>
      <c r="J4914" s="11"/>
      <c r="U4914" s="9"/>
      <c r="X4914" s="9"/>
    </row>
    <row r="4915">
      <c r="D4915" s="9"/>
      <c r="G4915" s="9"/>
      <c r="J4915" s="11"/>
      <c r="U4915" s="9"/>
      <c r="X4915" s="9"/>
    </row>
    <row r="4916">
      <c r="D4916" s="9"/>
      <c r="G4916" s="9"/>
      <c r="J4916" s="11"/>
      <c r="U4916" s="9"/>
      <c r="X4916" s="9"/>
    </row>
    <row r="4917">
      <c r="D4917" s="9"/>
      <c r="G4917" s="9"/>
      <c r="J4917" s="11"/>
      <c r="U4917" s="9"/>
      <c r="X4917" s="9"/>
    </row>
    <row r="4918">
      <c r="D4918" s="9"/>
      <c r="G4918" s="9"/>
      <c r="J4918" s="11"/>
      <c r="U4918" s="9"/>
      <c r="X4918" s="9"/>
    </row>
    <row r="4919">
      <c r="D4919" s="9"/>
      <c r="G4919" s="9"/>
      <c r="J4919" s="11"/>
      <c r="U4919" s="9"/>
      <c r="X4919" s="9"/>
    </row>
    <row r="4920">
      <c r="D4920" s="9"/>
      <c r="G4920" s="9"/>
      <c r="J4920" s="11"/>
      <c r="U4920" s="9"/>
      <c r="X4920" s="9"/>
    </row>
    <row r="4921">
      <c r="D4921" s="9"/>
      <c r="G4921" s="9"/>
      <c r="J4921" s="11"/>
      <c r="U4921" s="9"/>
      <c r="X4921" s="9"/>
    </row>
    <row r="4922">
      <c r="D4922" s="9"/>
      <c r="G4922" s="9"/>
      <c r="J4922" s="11"/>
      <c r="U4922" s="9"/>
      <c r="X4922" s="9"/>
    </row>
    <row r="4923">
      <c r="D4923" s="9"/>
      <c r="G4923" s="9"/>
      <c r="J4923" s="11"/>
      <c r="U4923" s="9"/>
      <c r="X4923" s="9"/>
    </row>
    <row r="4924">
      <c r="D4924" s="9"/>
      <c r="G4924" s="9"/>
      <c r="J4924" s="11"/>
      <c r="U4924" s="9"/>
      <c r="X4924" s="9"/>
    </row>
    <row r="4925">
      <c r="D4925" s="9"/>
      <c r="G4925" s="9"/>
      <c r="J4925" s="11"/>
      <c r="U4925" s="9"/>
      <c r="X4925" s="9"/>
    </row>
    <row r="4926">
      <c r="D4926" s="9"/>
      <c r="G4926" s="9"/>
      <c r="J4926" s="11"/>
      <c r="U4926" s="9"/>
      <c r="X4926" s="9"/>
    </row>
    <row r="4927">
      <c r="D4927" s="9"/>
      <c r="G4927" s="9"/>
      <c r="J4927" s="11"/>
      <c r="U4927" s="9"/>
      <c r="X4927" s="9"/>
    </row>
    <row r="4928">
      <c r="D4928" s="9"/>
      <c r="G4928" s="9"/>
      <c r="J4928" s="11"/>
      <c r="U4928" s="9"/>
      <c r="X4928" s="9"/>
    </row>
    <row r="4929">
      <c r="D4929" s="9"/>
      <c r="G4929" s="9"/>
      <c r="J4929" s="11"/>
      <c r="U4929" s="9"/>
      <c r="X4929" s="9"/>
    </row>
    <row r="4930">
      <c r="D4930" s="9"/>
      <c r="G4930" s="9"/>
      <c r="J4930" s="11"/>
      <c r="U4930" s="9"/>
      <c r="X4930" s="9"/>
    </row>
    <row r="4931">
      <c r="D4931" s="9"/>
      <c r="G4931" s="9"/>
      <c r="J4931" s="11"/>
      <c r="U4931" s="9"/>
      <c r="X4931" s="9"/>
    </row>
    <row r="4932">
      <c r="D4932" s="9"/>
      <c r="G4932" s="9"/>
      <c r="J4932" s="11"/>
      <c r="U4932" s="9"/>
      <c r="X4932" s="9"/>
    </row>
    <row r="4933">
      <c r="D4933" s="9"/>
      <c r="G4933" s="9"/>
      <c r="J4933" s="11"/>
      <c r="U4933" s="9"/>
      <c r="X4933" s="9"/>
    </row>
    <row r="4934">
      <c r="D4934" s="9"/>
      <c r="G4934" s="9"/>
      <c r="J4934" s="11"/>
      <c r="U4934" s="9"/>
      <c r="X4934" s="9"/>
    </row>
    <row r="4935">
      <c r="D4935" s="9"/>
      <c r="G4935" s="9"/>
      <c r="J4935" s="11"/>
      <c r="U4935" s="9"/>
      <c r="X4935" s="9"/>
    </row>
    <row r="4936">
      <c r="D4936" s="9"/>
      <c r="G4936" s="9"/>
      <c r="J4936" s="11"/>
      <c r="U4936" s="9"/>
      <c r="X4936" s="9"/>
    </row>
    <row r="4937">
      <c r="D4937" s="9"/>
      <c r="G4937" s="9"/>
      <c r="J4937" s="11"/>
      <c r="U4937" s="9"/>
      <c r="X4937" s="9"/>
    </row>
    <row r="4938">
      <c r="D4938" s="9"/>
      <c r="G4938" s="9"/>
      <c r="J4938" s="11"/>
      <c r="U4938" s="9"/>
      <c r="X4938" s="9"/>
    </row>
    <row r="4939">
      <c r="D4939" s="9"/>
      <c r="G4939" s="9"/>
      <c r="J4939" s="11"/>
      <c r="U4939" s="9"/>
      <c r="X4939" s="9"/>
    </row>
    <row r="4940">
      <c r="D4940" s="9"/>
      <c r="G4940" s="9"/>
      <c r="J4940" s="11"/>
      <c r="U4940" s="9"/>
      <c r="X4940" s="9"/>
    </row>
    <row r="4941">
      <c r="D4941" s="9"/>
      <c r="G4941" s="9"/>
      <c r="J4941" s="11"/>
      <c r="U4941" s="9"/>
      <c r="X4941" s="9"/>
    </row>
    <row r="4942">
      <c r="D4942" s="9"/>
      <c r="G4942" s="9"/>
      <c r="J4942" s="11"/>
      <c r="U4942" s="9"/>
      <c r="X4942" s="9"/>
    </row>
    <row r="4943">
      <c r="D4943" s="9"/>
      <c r="G4943" s="9"/>
      <c r="J4943" s="11"/>
      <c r="U4943" s="9"/>
      <c r="X4943" s="9"/>
    </row>
    <row r="4944">
      <c r="D4944" s="9"/>
      <c r="G4944" s="9"/>
      <c r="J4944" s="11"/>
      <c r="U4944" s="9"/>
      <c r="X4944" s="9"/>
    </row>
    <row r="4945">
      <c r="D4945" s="9"/>
      <c r="G4945" s="9"/>
      <c r="J4945" s="11"/>
      <c r="U4945" s="9"/>
      <c r="X4945" s="9"/>
    </row>
    <row r="4946">
      <c r="D4946" s="9"/>
      <c r="G4946" s="9"/>
      <c r="J4946" s="11"/>
      <c r="U4946" s="9"/>
      <c r="X4946" s="9"/>
    </row>
    <row r="4947">
      <c r="D4947" s="9"/>
      <c r="G4947" s="9"/>
      <c r="J4947" s="11"/>
      <c r="U4947" s="9"/>
      <c r="X4947" s="9"/>
    </row>
    <row r="4948">
      <c r="D4948" s="9"/>
      <c r="G4948" s="9"/>
      <c r="J4948" s="11"/>
      <c r="U4948" s="9"/>
      <c r="X4948" s="9"/>
    </row>
    <row r="4949">
      <c r="D4949" s="9"/>
      <c r="G4949" s="9"/>
      <c r="J4949" s="11"/>
      <c r="U4949" s="9"/>
      <c r="X4949" s="9"/>
    </row>
    <row r="4950">
      <c r="D4950" s="9"/>
      <c r="G4950" s="9"/>
      <c r="J4950" s="11"/>
      <c r="U4950" s="9"/>
      <c r="X4950" s="9"/>
    </row>
    <row r="4951">
      <c r="D4951" s="9"/>
      <c r="G4951" s="9"/>
      <c r="J4951" s="11"/>
      <c r="U4951" s="9"/>
      <c r="X4951" s="9"/>
    </row>
    <row r="4952">
      <c r="D4952" s="9"/>
      <c r="G4952" s="9"/>
      <c r="J4952" s="11"/>
      <c r="U4952" s="9"/>
      <c r="X4952" s="9"/>
    </row>
    <row r="4953">
      <c r="D4953" s="9"/>
      <c r="G4953" s="9"/>
      <c r="J4953" s="11"/>
      <c r="U4953" s="9"/>
      <c r="X4953" s="9"/>
    </row>
    <row r="4954">
      <c r="D4954" s="9"/>
      <c r="G4954" s="9"/>
      <c r="J4954" s="11"/>
      <c r="U4954" s="9"/>
      <c r="X4954" s="9"/>
    </row>
    <row r="4955">
      <c r="D4955" s="9"/>
      <c r="G4955" s="9"/>
      <c r="J4955" s="11"/>
      <c r="U4955" s="9"/>
      <c r="X4955" s="9"/>
    </row>
    <row r="4956">
      <c r="D4956" s="9"/>
      <c r="G4956" s="9"/>
      <c r="J4956" s="11"/>
      <c r="U4956" s="9"/>
      <c r="X4956" s="9"/>
    </row>
    <row r="4957">
      <c r="D4957" s="9"/>
      <c r="G4957" s="9"/>
      <c r="J4957" s="11"/>
      <c r="U4957" s="9"/>
      <c r="X4957" s="9"/>
    </row>
    <row r="4958">
      <c r="D4958" s="9"/>
      <c r="G4958" s="9"/>
      <c r="J4958" s="11"/>
      <c r="U4958" s="9"/>
      <c r="X4958" s="9"/>
    </row>
    <row r="4959">
      <c r="D4959" s="9"/>
      <c r="G4959" s="9"/>
      <c r="J4959" s="11"/>
      <c r="U4959" s="9"/>
      <c r="X4959" s="9"/>
    </row>
    <row r="4960">
      <c r="D4960" s="9"/>
      <c r="G4960" s="9"/>
      <c r="J4960" s="11"/>
      <c r="U4960" s="9"/>
      <c r="X4960" s="9"/>
    </row>
    <row r="4961">
      <c r="D4961" s="9"/>
      <c r="G4961" s="9"/>
      <c r="J4961" s="11"/>
      <c r="U4961" s="9"/>
      <c r="X4961" s="9"/>
    </row>
    <row r="4962">
      <c r="D4962" s="9"/>
      <c r="G4962" s="9"/>
      <c r="J4962" s="11"/>
      <c r="U4962" s="9"/>
      <c r="X4962" s="9"/>
    </row>
    <row r="4963">
      <c r="D4963" s="9"/>
      <c r="G4963" s="9"/>
      <c r="J4963" s="11"/>
      <c r="U4963" s="9"/>
      <c r="X4963" s="9"/>
    </row>
    <row r="4964">
      <c r="D4964" s="9"/>
      <c r="G4964" s="9"/>
      <c r="J4964" s="11"/>
      <c r="U4964" s="9"/>
      <c r="X4964" s="9"/>
    </row>
    <row r="4965">
      <c r="D4965" s="9"/>
      <c r="G4965" s="9"/>
      <c r="J4965" s="11"/>
      <c r="U4965" s="9"/>
      <c r="X4965" s="9"/>
    </row>
    <row r="4966">
      <c r="D4966" s="9"/>
      <c r="G4966" s="9"/>
      <c r="J4966" s="11"/>
      <c r="U4966" s="9"/>
      <c r="X4966" s="9"/>
    </row>
    <row r="4967">
      <c r="D4967" s="9"/>
      <c r="G4967" s="9"/>
      <c r="J4967" s="11"/>
      <c r="U4967" s="9"/>
      <c r="X4967" s="9"/>
    </row>
    <row r="4968">
      <c r="D4968" s="9"/>
      <c r="G4968" s="9"/>
      <c r="J4968" s="11"/>
      <c r="U4968" s="9"/>
      <c r="X4968" s="9"/>
    </row>
    <row r="4969">
      <c r="D4969" s="9"/>
      <c r="G4969" s="9"/>
      <c r="J4969" s="11"/>
      <c r="U4969" s="9"/>
      <c r="X4969" s="9"/>
    </row>
    <row r="4970">
      <c r="D4970" s="9"/>
      <c r="G4970" s="9"/>
      <c r="J4970" s="11"/>
      <c r="U4970" s="9"/>
      <c r="X4970" s="9"/>
    </row>
    <row r="4971">
      <c r="D4971" s="9"/>
      <c r="G4971" s="9"/>
      <c r="J4971" s="11"/>
      <c r="U4971" s="9"/>
      <c r="X4971" s="9"/>
    </row>
    <row r="4972">
      <c r="D4972" s="9"/>
      <c r="G4972" s="9"/>
      <c r="J4972" s="11"/>
      <c r="U4972" s="9"/>
      <c r="X4972" s="9"/>
    </row>
    <row r="4973">
      <c r="D4973" s="9"/>
      <c r="G4973" s="9"/>
      <c r="J4973" s="11"/>
      <c r="U4973" s="9"/>
      <c r="X4973" s="9"/>
    </row>
    <row r="4974">
      <c r="D4974" s="9"/>
      <c r="G4974" s="9"/>
      <c r="J4974" s="11"/>
      <c r="U4974" s="9"/>
      <c r="X4974" s="9"/>
    </row>
    <row r="4975">
      <c r="D4975" s="9"/>
      <c r="G4975" s="9"/>
      <c r="J4975" s="11"/>
      <c r="U4975" s="9"/>
      <c r="X4975" s="9"/>
    </row>
    <row r="4976">
      <c r="D4976" s="9"/>
      <c r="G4976" s="9"/>
      <c r="J4976" s="11"/>
      <c r="U4976" s="9"/>
      <c r="X4976" s="9"/>
    </row>
    <row r="4977">
      <c r="D4977" s="9"/>
      <c r="G4977" s="9"/>
      <c r="J4977" s="11"/>
      <c r="U4977" s="9"/>
      <c r="X4977" s="9"/>
    </row>
    <row r="4978">
      <c r="D4978" s="9"/>
      <c r="G4978" s="9"/>
      <c r="J4978" s="11"/>
      <c r="U4978" s="9"/>
      <c r="X4978" s="9"/>
    </row>
    <row r="4979">
      <c r="D4979" s="9"/>
      <c r="G4979" s="9"/>
      <c r="J4979" s="11"/>
      <c r="U4979" s="9"/>
      <c r="X4979" s="9"/>
    </row>
    <row r="4980">
      <c r="D4980" s="9"/>
      <c r="G4980" s="9"/>
      <c r="J4980" s="11"/>
      <c r="U4980" s="9"/>
      <c r="X4980" s="9"/>
    </row>
    <row r="4981">
      <c r="D4981" s="9"/>
      <c r="G4981" s="9"/>
      <c r="J4981" s="11"/>
      <c r="U4981" s="9"/>
      <c r="X4981" s="9"/>
    </row>
    <row r="4982">
      <c r="D4982" s="9"/>
      <c r="G4982" s="9"/>
      <c r="J4982" s="11"/>
      <c r="U4982" s="9"/>
      <c r="X4982" s="9"/>
    </row>
    <row r="4983">
      <c r="D4983" s="9"/>
      <c r="G4983" s="9"/>
      <c r="J4983" s="11"/>
      <c r="U4983" s="9"/>
      <c r="X4983" s="9"/>
    </row>
    <row r="4984">
      <c r="D4984" s="9"/>
      <c r="G4984" s="9"/>
      <c r="J4984" s="11"/>
      <c r="U4984" s="9"/>
      <c r="X4984" s="9"/>
    </row>
    <row r="4985">
      <c r="D4985" s="9"/>
      <c r="G4985" s="9"/>
      <c r="J4985" s="11"/>
      <c r="U4985" s="9"/>
      <c r="X4985" s="9"/>
    </row>
    <row r="4986">
      <c r="D4986" s="9"/>
      <c r="G4986" s="9"/>
      <c r="J4986" s="11"/>
      <c r="U4986" s="9"/>
      <c r="X4986" s="9"/>
    </row>
    <row r="4987">
      <c r="D4987" s="9"/>
      <c r="G4987" s="9"/>
      <c r="J4987" s="11"/>
      <c r="U4987" s="9"/>
      <c r="X4987" s="9"/>
    </row>
    <row r="4988">
      <c r="D4988" s="9"/>
      <c r="G4988" s="9"/>
      <c r="J4988" s="11"/>
      <c r="U4988" s="9"/>
      <c r="X4988" s="9"/>
    </row>
    <row r="4989">
      <c r="D4989" s="9"/>
      <c r="G4989" s="9"/>
      <c r="J4989" s="11"/>
      <c r="U4989" s="9"/>
      <c r="X4989" s="9"/>
    </row>
    <row r="4990">
      <c r="D4990" s="9"/>
      <c r="G4990" s="9"/>
      <c r="J4990" s="11"/>
      <c r="U4990" s="9"/>
      <c r="X4990" s="9"/>
    </row>
    <row r="4991">
      <c r="D4991" s="9"/>
      <c r="G4991" s="9"/>
      <c r="J4991" s="11"/>
      <c r="U4991" s="9"/>
      <c r="X4991" s="9"/>
    </row>
    <row r="4992">
      <c r="D4992" s="9"/>
      <c r="G4992" s="9"/>
      <c r="J4992" s="11"/>
      <c r="U4992" s="9"/>
      <c r="X4992" s="9"/>
    </row>
    <row r="4993">
      <c r="D4993" s="9"/>
      <c r="G4993" s="9"/>
      <c r="J4993" s="11"/>
      <c r="U4993" s="9"/>
      <c r="X4993" s="9"/>
    </row>
    <row r="4994">
      <c r="D4994" s="9"/>
      <c r="G4994" s="9"/>
      <c r="J4994" s="11"/>
      <c r="U4994" s="9"/>
      <c r="X4994" s="9"/>
    </row>
    <row r="4995">
      <c r="D4995" s="9"/>
      <c r="G4995" s="9"/>
      <c r="J4995" s="11"/>
      <c r="U4995" s="9"/>
      <c r="X4995" s="9"/>
    </row>
    <row r="4996">
      <c r="D4996" s="9"/>
      <c r="G4996" s="9"/>
      <c r="J4996" s="11"/>
      <c r="U4996" s="9"/>
      <c r="X4996" s="9"/>
    </row>
    <row r="4997">
      <c r="D4997" s="9"/>
      <c r="G4997" s="9"/>
      <c r="J4997" s="11"/>
      <c r="U4997" s="9"/>
      <c r="X4997" s="9"/>
    </row>
    <row r="4998">
      <c r="D4998" s="9"/>
      <c r="G4998" s="9"/>
      <c r="J4998" s="11"/>
      <c r="U4998" s="9"/>
      <c r="X4998" s="9"/>
    </row>
    <row r="4999">
      <c r="D4999" s="9"/>
      <c r="G4999" s="9"/>
      <c r="J4999" s="11"/>
      <c r="U4999" s="9"/>
      <c r="X4999" s="9"/>
    </row>
    <row r="5000">
      <c r="D5000" s="9"/>
      <c r="G5000" s="9"/>
      <c r="J5000" s="11"/>
      <c r="U5000" s="9"/>
      <c r="X5000" s="9"/>
    </row>
    <row r="5001">
      <c r="D5001" s="9"/>
      <c r="G5001" s="9"/>
      <c r="J5001" s="11"/>
      <c r="U5001" s="9"/>
      <c r="X5001" s="9"/>
    </row>
    <row r="5002">
      <c r="D5002" s="9"/>
      <c r="G5002" s="9"/>
      <c r="J5002" s="11"/>
      <c r="U5002" s="9"/>
      <c r="X5002" s="9"/>
    </row>
    <row r="5003">
      <c r="D5003" s="9"/>
      <c r="G5003" s="9"/>
      <c r="J5003" s="11"/>
      <c r="U5003" s="9"/>
      <c r="X5003" s="9"/>
    </row>
    <row r="5004">
      <c r="D5004" s="9"/>
      <c r="G5004" s="9"/>
      <c r="J5004" s="11"/>
      <c r="U5004" s="9"/>
      <c r="X5004" s="9"/>
    </row>
    <row r="5005">
      <c r="D5005" s="9"/>
      <c r="G5005" s="9"/>
      <c r="J5005" s="11"/>
      <c r="U5005" s="9"/>
      <c r="X5005" s="9"/>
    </row>
    <row r="5006">
      <c r="D5006" s="9"/>
      <c r="G5006" s="9"/>
      <c r="J5006" s="11"/>
      <c r="U5006" s="9"/>
      <c r="X5006" s="9"/>
    </row>
    <row r="5007">
      <c r="D5007" s="9"/>
      <c r="G5007" s="9"/>
      <c r="J5007" s="11"/>
      <c r="U5007" s="9"/>
      <c r="X5007" s="9"/>
    </row>
    <row r="5008">
      <c r="D5008" s="9"/>
      <c r="G5008" s="9"/>
      <c r="J5008" s="11"/>
      <c r="U5008" s="9"/>
      <c r="X5008" s="9"/>
    </row>
    <row r="5009">
      <c r="D5009" s="9"/>
      <c r="G5009" s="9"/>
      <c r="J5009" s="11"/>
      <c r="U5009" s="9"/>
      <c r="X5009" s="9"/>
    </row>
    <row r="5010">
      <c r="D5010" s="9"/>
      <c r="G5010" s="9"/>
      <c r="J5010" s="11"/>
      <c r="U5010" s="9"/>
      <c r="X5010" s="9"/>
    </row>
    <row r="5011">
      <c r="D5011" s="9"/>
      <c r="G5011" s="9"/>
      <c r="J5011" s="11"/>
      <c r="U5011" s="9"/>
      <c r="X5011" s="9"/>
    </row>
    <row r="5012">
      <c r="D5012" s="9"/>
      <c r="G5012" s="9"/>
      <c r="J5012" s="11"/>
      <c r="U5012" s="9"/>
      <c r="X5012" s="9"/>
    </row>
    <row r="5013">
      <c r="D5013" s="9"/>
      <c r="G5013" s="9"/>
      <c r="J5013" s="11"/>
      <c r="U5013" s="9"/>
      <c r="X5013" s="9"/>
    </row>
    <row r="5014">
      <c r="D5014" s="9"/>
      <c r="G5014" s="9"/>
      <c r="J5014" s="11"/>
      <c r="U5014" s="9"/>
      <c r="X5014" s="9"/>
    </row>
    <row r="5015">
      <c r="D5015" s="9"/>
      <c r="G5015" s="9"/>
      <c r="J5015" s="11"/>
      <c r="U5015" s="9"/>
      <c r="X5015" s="9"/>
    </row>
    <row r="5016">
      <c r="D5016" s="9"/>
      <c r="G5016" s="9"/>
      <c r="J5016" s="11"/>
      <c r="U5016" s="9"/>
      <c r="X5016" s="9"/>
    </row>
    <row r="5017">
      <c r="D5017" s="9"/>
      <c r="G5017" s="9"/>
      <c r="J5017" s="11"/>
      <c r="U5017" s="9"/>
      <c r="X5017" s="9"/>
    </row>
    <row r="5018">
      <c r="D5018" s="9"/>
      <c r="G5018" s="9"/>
      <c r="J5018" s="11"/>
      <c r="U5018" s="9"/>
      <c r="X5018" s="9"/>
    </row>
    <row r="5019">
      <c r="D5019" s="9"/>
      <c r="G5019" s="9"/>
      <c r="J5019" s="11"/>
      <c r="U5019" s="9"/>
      <c r="X5019" s="9"/>
    </row>
    <row r="5020">
      <c r="D5020" s="9"/>
      <c r="G5020" s="9"/>
      <c r="J5020" s="11"/>
      <c r="U5020" s="9"/>
      <c r="X5020" s="9"/>
    </row>
    <row r="5021">
      <c r="D5021" s="9"/>
      <c r="G5021" s="9"/>
      <c r="J5021" s="11"/>
      <c r="U5021" s="9"/>
      <c r="X5021" s="9"/>
    </row>
    <row r="5022">
      <c r="D5022" s="9"/>
      <c r="G5022" s="9"/>
      <c r="J5022" s="11"/>
      <c r="U5022" s="9"/>
      <c r="X5022" s="9"/>
    </row>
    <row r="5023">
      <c r="D5023" s="9"/>
      <c r="G5023" s="9"/>
      <c r="J5023" s="11"/>
      <c r="U5023" s="9"/>
      <c r="X5023" s="9"/>
    </row>
    <row r="5024">
      <c r="D5024" s="9"/>
      <c r="G5024" s="9"/>
      <c r="J5024" s="11"/>
      <c r="U5024" s="9"/>
      <c r="X5024" s="9"/>
    </row>
    <row r="5025">
      <c r="D5025" s="9"/>
      <c r="G5025" s="9"/>
      <c r="J5025" s="11"/>
      <c r="U5025" s="9"/>
      <c r="X5025" s="9"/>
    </row>
    <row r="5026">
      <c r="D5026" s="9"/>
      <c r="G5026" s="9"/>
      <c r="J5026" s="11"/>
      <c r="U5026" s="9"/>
      <c r="X5026" s="9"/>
    </row>
    <row r="5027">
      <c r="D5027" s="9"/>
      <c r="G5027" s="9"/>
      <c r="J5027" s="11"/>
      <c r="U5027" s="9"/>
      <c r="X5027" s="9"/>
    </row>
    <row r="5028">
      <c r="D5028" s="9"/>
      <c r="G5028" s="9"/>
      <c r="J5028" s="11"/>
      <c r="U5028" s="9"/>
      <c r="X5028" s="9"/>
    </row>
    <row r="5029">
      <c r="D5029" s="9"/>
      <c r="G5029" s="9"/>
      <c r="J5029" s="11"/>
      <c r="U5029" s="9"/>
      <c r="X5029" s="9"/>
    </row>
    <row r="5030">
      <c r="D5030" s="9"/>
      <c r="G5030" s="9"/>
      <c r="J5030" s="11"/>
      <c r="U5030" s="9"/>
      <c r="X5030" s="9"/>
    </row>
    <row r="5031">
      <c r="D5031" s="9"/>
      <c r="G5031" s="9"/>
      <c r="J5031" s="11"/>
      <c r="U5031" s="9"/>
      <c r="X5031" s="9"/>
    </row>
    <row r="5032">
      <c r="D5032" s="9"/>
      <c r="G5032" s="9"/>
      <c r="J5032" s="11"/>
      <c r="U5032" s="9"/>
      <c r="X5032" s="9"/>
    </row>
    <row r="5033">
      <c r="D5033" s="9"/>
      <c r="G5033" s="9"/>
      <c r="J5033" s="11"/>
      <c r="U5033" s="9"/>
      <c r="X5033" s="9"/>
    </row>
    <row r="5034">
      <c r="D5034" s="9"/>
      <c r="G5034" s="9"/>
      <c r="J5034" s="11"/>
      <c r="U5034" s="9"/>
      <c r="X5034" s="9"/>
    </row>
    <row r="5035">
      <c r="D5035" s="9"/>
      <c r="G5035" s="9"/>
      <c r="J5035" s="11"/>
      <c r="U5035" s="9"/>
      <c r="X5035" s="9"/>
    </row>
    <row r="5036">
      <c r="D5036" s="9"/>
      <c r="G5036" s="9"/>
      <c r="J5036" s="11"/>
      <c r="U5036" s="9"/>
      <c r="X5036" s="9"/>
    </row>
    <row r="5037">
      <c r="D5037" s="9"/>
      <c r="G5037" s="9"/>
      <c r="J5037" s="11"/>
      <c r="U5037" s="9"/>
      <c r="X5037" s="9"/>
    </row>
    <row r="5038">
      <c r="D5038" s="9"/>
      <c r="G5038" s="9"/>
      <c r="J5038" s="11"/>
      <c r="U5038" s="9"/>
      <c r="X5038" s="9"/>
    </row>
    <row r="5039">
      <c r="D5039" s="9"/>
      <c r="G5039" s="9"/>
      <c r="J5039" s="11"/>
      <c r="U5039" s="9"/>
      <c r="X5039" s="9"/>
    </row>
    <row r="5040">
      <c r="D5040" s="9"/>
      <c r="G5040" s="9"/>
      <c r="J5040" s="11"/>
      <c r="U5040" s="9"/>
      <c r="X5040" s="9"/>
    </row>
    <row r="5041">
      <c r="D5041" s="9"/>
      <c r="G5041" s="9"/>
      <c r="J5041" s="11"/>
      <c r="U5041" s="9"/>
      <c r="X5041" s="9"/>
    </row>
    <row r="5042">
      <c r="D5042" s="9"/>
      <c r="G5042" s="9"/>
      <c r="J5042" s="11"/>
      <c r="U5042" s="9"/>
      <c r="X5042" s="9"/>
    </row>
    <row r="5043">
      <c r="D5043" s="9"/>
      <c r="G5043" s="9"/>
      <c r="J5043" s="11"/>
      <c r="U5043" s="9"/>
      <c r="X5043" s="9"/>
    </row>
    <row r="5044">
      <c r="D5044" s="9"/>
      <c r="G5044" s="9"/>
      <c r="J5044" s="11"/>
      <c r="U5044" s="9"/>
      <c r="X5044" s="9"/>
    </row>
    <row r="5045">
      <c r="D5045" s="9"/>
      <c r="G5045" s="9"/>
      <c r="J5045" s="11"/>
      <c r="U5045" s="9"/>
      <c r="X5045" s="9"/>
    </row>
    <row r="5046">
      <c r="D5046" s="9"/>
      <c r="G5046" s="9"/>
      <c r="J5046" s="11"/>
      <c r="U5046" s="9"/>
      <c r="X5046" s="9"/>
    </row>
    <row r="5047">
      <c r="D5047" s="9"/>
      <c r="G5047" s="9"/>
      <c r="J5047" s="11"/>
      <c r="U5047" s="9"/>
      <c r="X5047" s="9"/>
    </row>
    <row r="5048">
      <c r="D5048" s="9"/>
      <c r="G5048" s="9"/>
      <c r="J5048" s="11"/>
      <c r="U5048" s="9"/>
      <c r="X5048" s="9"/>
    </row>
    <row r="5049">
      <c r="D5049" s="9"/>
      <c r="G5049" s="9"/>
      <c r="J5049" s="11"/>
      <c r="U5049" s="9"/>
      <c r="X5049" s="9"/>
    </row>
    <row r="5050">
      <c r="D5050" s="9"/>
      <c r="G5050" s="9"/>
      <c r="J5050" s="11"/>
      <c r="U5050" s="9"/>
      <c r="X5050" s="9"/>
    </row>
    <row r="5051">
      <c r="D5051" s="9"/>
      <c r="G5051" s="9"/>
      <c r="J5051" s="11"/>
      <c r="U5051" s="9"/>
      <c r="X5051" s="9"/>
    </row>
    <row r="5052">
      <c r="D5052" s="9"/>
      <c r="G5052" s="9"/>
      <c r="J5052" s="11"/>
      <c r="U5052" s="9"/>
      <c r="X5052" s="9"/>
    </row>
    <row r="5053">
      <c r="D5053" s="9"/>
      <c r="G5053" s="9"/>
      <c r="J5053" s="11"/>
      <c r="U5053" s="9"/>
      <c r="X5053" s="9"/>
    </row>
    <row r="5054">
      <c r="D5054" s="9"/>
      <c r="G5054" s="9"/>
      <c r="J5054" s="11"/>
      <c r="U5054" s="9"/>
      <c r="X5054" s="9"/>
    </row>
    <row r="5055">
      <c r="D5055" s="9"/>
      <c r="G5055" s="9"/>
      <c r="J5055" s="11"/>
      <c r="U5055" s="9"/>
      <c r="X5055" s="9"/>
    </row>
    <row r="5056">
      <c r="D5056" s="9"/>
      <c r="G5056" s="9"/>
      <c r="J5056" s="11"/>
      <c r="U5056" s="9"/>
      <c r="X5056" s="9"/>
    </row>
    <row r="5057">
      <c r="D5057" s="9"/>
      <c r="G5057" s="9"/>
      <c r="J5057" s="11"/>
      <c r="U5057" s="9"/>
      <c r="X5057" s="9"/>
    </row>
    <row r="5058">
      <c r="D5058" s="9"/>
      <c r="G5058" s="9"/>
      <c r="J5058" s="11"/>
      <c r="U5058" s="9"/>
      <c r="X5058" s="9"/>
    </row>
    <row r="5059">
      <c r="D5059" s="9"/>
      <c r="G5059" s="9"/>
      <c r="J5059" s="11"/>
      <c r="U5059" s="9"/>
      <c r="X5059" s="9"/>
    </row>
    <row r="5060">
      <c r="D5060" s="9"/>
      <c r="G5060" s="9"/>
      <c r="J5060" s="11"/>
      <c r="U5060" s="9"/>
      <c r="X5060" s="9"/>
    </row>
    <row r="5061">
      <c r="D5061" s="9"/>
      <c r="G5061" s="9"/>
      <c r="J5061" s="11"/>
      <c r="U5061" s="9"/>
      <c r="X5061" s="9"/>
    </row>
    <row r="5062">
      <c r="D5062" s="9"/>
      <c r="G5062" s="9"/>
      <c r="J5062" s="11"/>
      <c r="U5062" s="9"/>
      <c r="X5062" s="9"/>
    </row>
    <row r="5063">
      <c r="D5063" s="9"/>
      <c r="G5063" s="9"/>
      <c r="J5063" s="11"/>
      <c r="U5063" s="9"/>
      <c r="X5063" s="9"/>
    </row>
    <row r="5064">
      <c r="D5064" s="9"/>
      <c r="G5064" s="9"/>
      <c r="J5064" s="11"/>
      <c r="U5064" s="9"/>
      <c r="X5064" s="9"/>
    </row>
    <row r="5065">
      <c r="D5065" s="9"/>
      <c r="G5065" s="9"/>
      <c r="J5065" s="11"/>
      <c r="U5065" s="9"/>
      <c r="X5065" s="9"/>
    </row>
    <row r="5066">
      <c r="D5066" s="9"/>
      <c r="G5066" s="9"/>
      <c r="J5066" s="11"/>
      <c r="U5066" s="9"/>
      <c r="X5066" s="9"/>
    </row>
    <row r="5067">
      <c r="D5067" s="9"/>
      <c r="G5067" s="9"/>
      <c r="J5067" s="11"/>
      <c r="U5067" s="9"/>
      <c r="X5067" s="9"/>
    </row>
    <row r="5068">
      <c r="D5068" s="9"/>
      <c r="G5068" s="9"/>
      <c r="J5068" s="11"/>
      <c r="U5068" s="9"/>
      <c r="X5068" s="9"/>
    </row>
    <row r="5069">
      <c r="D5069" s="9"/>
      <c r="G5069" s="9"/>
      <c r="J5069" s="11"/>
      <c r="U5069" s="9"/>
      <c r="X5069" s="9"/>
    </row>
    <row r="5070">
      <c r="D5070" s="9"/>
      <c r="G5070" s="9"/>
      <c r="J5070" s="11"/>
      <c r="U5070" s="9"/>
      <c r="X5070" s="9"/>
    </row>
    <row r="5071">
      <c r="D5071" s="9"/>
      <c r="G5071" s="9"/>
      <c r="J5071" s="11"/>
      <c r="U5071" s="9"/>
      <c r="X5071" s="9"/>
    </row>
    <row r="5072">
      <c r="D5072" s="9"/>
      <c r="G5072" s="9"/>
      <c r="J5072" s="11"/>
      <c r="U5072" s="9"/>
      <c r="X5072" s="9"/>
    </row>
    <row r="5073">
      <c r="D5073" s="9"/>
      <c r="G5073" s="9"/>
      <c r="J5073" s="11"/>
      <c r="U5073" s="9"/>
      <c r="X5073" s="9"/>
    </row>
    <row r="5074">
      <c r="D5074" s="9"/>
      <c r="G5074" s="9"/>
      <c r="J5074" s="11"/>
      <c r="U5074" s="9"/>
      <c r="X5074" s="9"/>
    </row>
    <row r="5075">
      <c r="D5075" s="9"/>
      <c r="G5075" s="9"/>
      <c r="J5075" s="11"/>
      <c r="U5075" s="9"/>
      <c r="X5075" s="9"/>
    </row>
    <row r="5076">
      <c r="D5076" s="9"/>
      <c r="G5076" s="9"/>
      <c r="J5076" s="11"/>
      <c r="U5076" s="9"/>
      <c r="X5076" s="9"/>
    </row>
    <row r="5077">
      <c r="D5077" s="9"/>
      <c r="G5077" s="9"/>
      <c r="J5077" s="11"/>
      <c r="U5077" s="9"/>
      <c r="X5077" s="9"/>
    </row>
    <row r="5078">
      <c r="D5078" s="9"/>
      <c r="G5078" s="9"/>
      <c r="J5078" s="11"/>
      <c r="U5078" s="9"/>
      <c r="X5078" s="9"/>
    </row>
    <row r="5079">
      <c r="D5079" s="9"/>
      <c r="G5079" s="9"/>
      <c r="J5079" s="11"/>
      <c r="U5079" s="9"/>
      <c r="X5079" s="9"/>
    </row>
    <row r="5080">
      <c r="D5080" s="9"/>
      <c r="G5080" s="9"/>
      <c r="J5080" s="11"/>
      <c r="U5080" s="9"/>
      <c r="X5080" s="9"/>
    </row>
    <row r="5081">
      <c r="D5081" s="9"/>
      <c r="G5081" s="9"/>
      <c r="J5081" s="11"/>
      <c r="U5081" s="9"/>
      <c r="X5081" s="9"/>
    </row>
    <row r="5082">
      <c r="D5082" s="9"/>
      <c r="G5082" s="9"/>
      <c r="J5082" s="11"/>
      <c r="U5082" s="9"/>
      <c r="X5082" s="9"/>
    </row>
    <row r="5083">
      <c r="D5083" s="9"/>
      <c r="G5083" s="9"/>
      <c r="J5083" s="11"/>
      <c r="U5083" s="9"/>
      <c r="X5083" s="9"/>
    </row>
    <row r="5084">
      <c r="D5084" s="9"/>
      <c r="G5084" s="9"/>
      <c r="J5084" s="11"/>
      <c r="U5084" s="9"/>
      <c r="X5084" s="9"/>
    </row>
    <row r="5085">
      <c r="D5085" s="9"/>
      <c r="G5085" s="9"/>
      <c r="J5085" s="11"/>
      <c r="U5085" s="9"/>
      <c r="X5085" s="9"/>
    </row>
    <row r="5086">
      <c r="D5086" s="9"/>
      <c r="G5086" s="9"/>
      <c r="J5086" s="11"/>
      <c r="U5086" s="9"/>
      <c r="X5086" s="9"/>
    </row>
    <row r="5087">
      <c r="D5087" s="9"/>
      <c r="G5087" s="9"/>
      <c r="J5087" s="11"/>
      <c r="U5087" s="9"/>
      <c r="X5087" s="9"/>
    </row>
    <row r="5088">
      <c r="D5088" s="9"/>
      <c r="G5088" s="9"/>
      <c r="J5088" s="11"/>
      <c r="U5088" s="9"/>
      <c r="X5088" s="9"/>
    </row>
    <row r="5089">
      <c r="D5089" s="9"/>
      <c r="G5089" s="9"/>
      <c r="J5089" s="11"/>
      <c r="U5089" s="9"/>
      <c r="X5089" s="9"/>
    </row>
    <row r="5090">
      <c r="D5090" s="9"/>
      <c r="G5090" s="9"/>
      <c r="J5090" s="11"/>
      <c r="U5090" s="9"/>
      <c r="X5090" s="9"/>
    </row>
    <row r="5091">
      <c r="D5091" s="9"/>
      <c r="G5091" s="9"/>
      <c r="J5091" s="11"/>
      <c r="U5091" s="9"/>
      <c r="X5091" s="9"/>
    </row>
    <row r="5092">
      <c r="D5092" s="9"/>
      <c r="G5092" s="9"/>
      <c r="J5092" s="11"/>
      <c r="U5092" s="9"/>
      <c r="X5092" s="9"/>
    </row>
    <row r="5093">
      <c r="D5093" s="9"/>
      <c r="G5093" s="9"/>
      <c r="J5093" s="11"/>
      <c r="U5093" s="9"/>
      <c r="X5093" s="9"/>
    </row>
    <row r="5094">
      <c r="D5094" s="9"/>
      <c r="G5094" s="9"/>
      <c r="J5094" s="11"/>
      <c r="U5094" s="9"/>
      <c r="X5094" s="9"/>
    </row>
    <row r="5095">
      <c r="D5095" s="9"/>
      <c r="G5095" s="9"/>
      <c r="J5095" s="11"/>
      <c r="U5095" s="9"/>
      <c r="X5095" s="9"/>
    </row>
    <row r="5096">
      <c r="D5096" s="9"/>
      <c r="G5096" s="9"/>
      <c r="J5096" s="11"/>
      <c r="U5096" s="9"/>
      <c r="X5096" s="9"/>
    </row>
    <row r="5097">
      <c r="D5097" s="9"/>
      <c r="G5097" s="9"/>
      <c r="J5097" s="11"/>
      <c r="U5097" s="9"/>
      <c r="X5097" s="9"/>
    </row>
    <row r="5098">
      <c r="D5098" s="9"/>
      <c r="G5098" s="9"/>
      <c r="J5098" s="11"/>
      <c r="U5098" s="9"/>
      <c r="X5098" s="9"/>
    </row>
    <row r="5099">
      <c r="D5099" s="9"/>
      <c r="G5099" s="9"/>
      <c r="J5099" s="11"/>
      <c r="U5099" s="9"/>
      <c r="X5099" s="9"/>
    </row>
    <row r="5100">
      <c r="D5100" s="9"/>
      <c r="G5100" s="9"/>
      <c r="J5100" s="11"/>
      <c r="U5100" s="9"/>
      <c r="X5100" s="9"/>
    </row>
    <row r="5101">
      <c r="D5101" s="9"/>
      <c r="G5101" s="9"/>
      <c r="J5101" s="11"/>
      <c r="U5101" s="9"/>
      <c r="X5101" s="9"/>
    </row>
    <row r="5102">
      <c r="D5102" s="9"/>
      <c r="G5102" s="9"/>
      <c r="J5102" s="11"/>
      <c r="U5102" s="9"/>
      <c r="X5102" s="9"/>
    </row>
    <row r="5103">
      <c r="D5103" s="9"/>
      <c r="G5103" s="9"/>
      <c r="J5103" s="11"/>
      <c r="U5103" s="9"/>
      <c r="X5103" s="9"/>
    </row>
    <row r="5104">
      <c r="D5104" s="9"/>
      <c r="G5104" s="9"/>
      <c r="J5104" s="11"/>
      <c r="U5104" s="9"/>
      <c r="X5104" s="9"/>
    </row>
    <row r="5105">
      <c r="D5105" s="9"/>
      <c r="G5105" s="9"/>
      <c r="J5105" s="11"/>
      <c r="U5105" s="9"/>
      <c r="X5105" s="9"/>
    </row>
    <row r="5106">
      <c r="D5106" s="9"/>
      <c r="G5106" s="9"/>
      <c r="J5106" s="11"/>
      <c r="U5106" s="9"/>
      <c r="X5106" s="9"/>
    </row>
    <row r="5107">
      <c r="D5107" s="9"/>
      <c r="G5107" s="9"/>
      <c r="J5107" s="11"/>
      <c r="U5107" s="9"/>
      <c r="X5107" s="9"/>
    </row>
    <row r="5108">
      <c r="D5108" s="9"/>
      <c r="G5108" s="9"/>
      <c r="J5108" s="11"/>
      <c r="U5108" s="9"/>
      <c r="X5108" s="9"/>
    </row>
    <row r="5109">
      <c r="D5109" s="9"/>
      <c r="G5109" s="9"/>
      <c r="J5109" s="11"/>
      <c r="U5109" s="9"/>
      <c r="X5109" s="9"/>
    </row>
    <row r="5110">
      <c r="D5110" s="9"/>
      <c r="G5110" s="9"/>
      <c r="J5110" s="11"/>
      <c r="U5110" s="9"/>
      <c r="X5110" s="9"/>
    </row>
    <row r="5111">
      <c r="D5111" s="9"/>
      <c r="G5111" s="9"/>
      <c r="J5111" s="11"/>
      <c r="U5111" s="9"/>
      <c r="X5111" s="9"/>
    </row>
    <row r="5112">
      <c r="D5112" s="9"/>
      <c r="G5112" s="9"/>
      <c r="J5112" s="11"/>
      <c r="U5112" s="9"/>
      <c r="X5112" s="9"/>
    </row>
    <row r="5113">
      <c r="D5113" s="9"/>
      <c r="G5113" s="9"/>
      <c r="J5113" s="11"/>
      <c r="U5113" s="9"/>
      <c r="X5113" s="9"/>
    </row>
    <row r="5114">
      <c r="D5114" s="9"/>
      <c r="G5114" s="9"/>
      <c r="J5114" s="11"/>
      <c r="U5114" s="9"/>
      <c r="X5114" s="9"/>
    </row>
    <row r="5115">
      <c r="D5115" s="9"/>
      <c r="G5115" s="9"/>
      <c r="J5115" s="11"/>
      <c r="U5115" s="9"/>
      <c r="X5115" s="9"/>
    </row>
    <row r="5116">
      <c r="D5116" s="9"/>
      <c r="G5116" s="9"/>
      <c r="J5116" s="11"/>
      <c r="U5116" s="9"/>
      <c r="X5116" s="9"/>
    </row>
    <row r="5117">
      <c r="D5117" s="9"/>
      <c r="G5117" s="9"/>
      <c r="J5117" s="11"/>
      <c r="U5117" s="9"/>
      <c r="X5117" s="9"/>
    </row>
    <row r="5118">
      <c r="D5118" s="9"/>
      <c r="G5118" s="9"/>
      <c r="J5118" s="11"/>
      <c r="U5118" s="9"/>
      <c r="X5118" s="9"/>
    </row>
    <row r="5119">
      <c r="D5119" s="9"/>
      <c r="G5119" s="9"/>
      <c r="J5119" s="11"/>
      <c r="U5119" s="9"/>
      <c r="X5119" s="9"/>
    </row>
    <row r="5120">
      <c r="D5120" s="9"/>
      <c r="G5120" s="9"/>
      <c r="J5120" s="11"/>
      <c r="U5120" s="9"/>
      <c r="X5120" s="9"/>
    </row>
    <row r="5121">
      <c r="D5121" s="9"/>
      <c r="G5121" s="9"/>
      <c r="J5121" s="11"/>
      <c r="U5121" s="9"/>
      <c r="X5121" s="9"/>
    </row>
    <row r="5122">
      <c r="D5122" s="9"/>
      <c r="G5122" s="9"/>
      <c r="J5122" s="11"/>
      <c r="U5122" s="9"/>
      <c r="X5122" s="9"/>
    </row>
    <row r="5123">
      <c r="D5123" s="9"/>
      <c r="G5123" s="9"/>
      <c r="J5123" s="11"/>
      <c r="U5123" s="9"/>
      <c r="X5123" s="9"/>
    </row>
    <row r="5124">
      <c r="D5124" s="9"/>
      <c r="G5124" s="9"/>
      <c r="J5124" s="11"/>
      <c r="U5124" s="9"/>
      <c r="X5124" s="9"/>
    </row>
    <row r="5125">
      <c r="D5125" s="9"/>
      <c r="G5125" s="9"/>
      <c r="J5125" s="11"/>
      <c r="U5125" s="9"/>
      <c r="X5125" s="9"/>
    </row>
    <row r="5126">
      <c r="D5126" s="9"/>
      <c r="G5126" s="9"/>
      <c r="J5126" s="11"/>
      <c r="U5126" s="9"/>
      <c r="X5126" s="9"/>
    </row>
    <row r="5127">
      <c r="D5127" s="9"/>
      <c r="G5127" s="9"/>
      <c r="J5127" s="11"/>
      <c r="U5127" s="9"/>
      <c r="X5127" s="9"/>
    </row>
    <row r="5128">
      <c r="D5128" s="9"/>
      <c r="G5128" s="9"/>
      <c r="J5128" s="11"/>
      <c r="U5128" s="9"/>
      <c r="X5128" s="9"/>
    </row>
    <row r="5129">
      <c r="D5129" s="9"/>
      <c r="G5129" s="9"/>
      <c r="J5129" s="11"/>
      <c r="U5129" s="9"/>
      <c r="X5129" s="9"/>
    </row>
    <row r="5130">
      <c r="D5130" s="9"/>
      <c r="G5130" s="9"/>
      <c r="J5130" s="11"/>
      <c r="U5130" s="9"/>
      <c r="X5130" s="9"/>
    </row>
    <row r="5131">
      <c r="D5131" s="9"/>
      <c r="G5131" s="9"/>
      <c r="J5131" s="11"/>
      <c r="U5131" s="9"/>
      <c r="X5131" s="9"/>
    </row>
    <row r="5132">
      <c r="D5132" s="9"/>
      <c r="G5132" s="9"/>
      <c r="J5132" s="11"/>
      <c r="U5132" s="9"/>
      <c r="X5132" s="9"/>
    </row>
    <row r="5133">
      <c r="D5133" s="9"/>
      <c r="G5133" s="9"/>
      <c r="J5133" s="11"/>
      <c r="U5133" s="9"/>
      <c r="X5133" s="9"/>
    </row>
    <row r="5134">
      <c r="D5134" s="9"/>
      <c r="G5134" s="9"/>
      <c r="J5134" s="11"/>
      <c r="U5134" s="9"/>
      <c r="X5134" s="9"/>
    </row>
    <row r="5135">
      <c r="D5135" s="9"/>
      <c r="G5135" s="9"/>
      <c r="J5135" s="11"/>
      <c r="U5135" s="9"/>
      <c r="X5135" s="9"/>
    </row>
    <row r="5136">
      <c r="D5136" s="9"/>
      <c r="G5136" s="9"/>
      <c r="J5136" s="11"/>
      <c r="U5136" s="9"/>
      <c r="X5136" s="9"/>
    </row>
    <row r="5137">
      <c r="D5137" s="9"/>
      <c r="G5137" s="9"/>
      <c r="J5137" s="11"/>
      <c r="U5137" s="9"/>
      <c r="X5137" s="9"/>
    </row>
    <row r="5138">
      <c r="D5138" s="9"/>
      <c r="G5138" s="9"/>
      <c r="J5138" s="11"/>
      <c r="U5138" s="9"/>
      <c r="X5138" s="9"/>
    </row>
    <row r="5139">
      <c r="D5139" s="9"/>
      <c r="G5139" s="9"/>
      <c r="J5139" s="11"/>
      <c r="U5139" s="9"/>
      <c r="X5139" s="9"/>
    </row>
    <row r="5140">
      <c r="D5140" s="9"/>
      <c r="G5140" s="9"/>
      <c r="J5140" s="11"/>
      <c r="U5140" s="9"/>
      <c r="X5140" s="9"/>
    </row>
    <row r="5141">
      <c r="D5141" s="9"/>
      <c r="G5141" s="9"/>
      <c r="J5141" s="11"/>
      <c r="U5141" s="9"/>
      <c r="X5141" s="9"/>
    </row>
    <row r="5142">
      <c r="D5142" s="9"/>
      <c r="G5142" s="9"/>
      <c r="J5142" s="11"/>
      <c r="U5142" s="9"/>
      <c r="X5142" s="9"/>
    </row>
    <row r="5143">
      <c r="D5143" s="9"/>
      <c r="G5143" s="9"/>
      <c r="J5143" s="11"/>
      <c r="U5143" s="9"/>
      <c r="X5143" s="9"/>
    </row>
    <row r="5144">
      <c r="D5144" s="9"/>
      <c r="G5144" s="9"/>
      <c r="J5144" s="11"/>
      <c r="U5144" s="9"/>
      <c r="X5144" s="9"/>
    </row>
    <row r="5145">
      <c r="D5145" s="9"/>
      <c r="G5145" s="9"/>
      <c r="J5145" s="11"/>
      <c r="U5145" s="9"/>
      <c r="X5145" s="9"/>
    </row>
    <row r="5146">
      <c r="D5146" s="9"/>
      <c r="G5146" s="9"/>
      <c r="J5146" s="11"/>
      <c r="U5146" s="9"/>
      <c r="X5146" s="9"/>
    </row>
    <row r="5147">
      <c r="D5147" s="9"/>
      <c r="G5147" s="9"/>
      <c r="J5147" s="11"/>
      <c r="U5147" s="9"/>
      <c r="X5147" s="9"/>
    </row>
    <row r="5148">
      <c r="D5148" s="9"/>
      <c r="G5148" s="9"/>
      <c r="J5148" s="11"/>
      <c r="U5148" s="9"/>
      <c r="X5148" s="9"/>
    </row>
    <row r="5149">
      <c r="D5149" s="9"/>
      <c r="G5149" s="9"/>
      <c r="J5149" s="11"/>
      <c r="U5149" s="9"/>
      <c r="X5149" s="9"/>
    </row>
    <row r="5150">
      <c r="D5150" s="9"/>
      <c r="G5150" s="9"/>
      <c r="J5150" s="11"/>
      <c r="U5150" s="9"/>
      <c r="X5150" s="9"/>
    </row>
    <row r="5151">
      <c r="D5151" s="9"/>
      <c r="G5151" s="9"/>
      <c r="J5151" s="11"/>
      <c r="U5151" s="9"/>
      <c r="X5151" s="9"/>
    </row>
    <row r="5152">
      <c r="D5152" s="9"/>
      <c r="G5152" s="9"/>
      <c r="J5152" s="11"/>
      <c r="U5152" s="9"/>
      <c r="X5152" s="9"/>
    </row>
    <row r="5153">
      <c r="D5153" s="9"/>
      <c r="G5153" s="9"/>
      <c r="J5153" s="11"/>
      <c r="U5153" s="9"/>
      <c r="X5153" s="9"/>
    </row>
    <row r="5154">
      <c r="D5154" s="9"/>
      <c r="G5154" s="9"/>
      <c r="J5154" s="11"/>
      <c r="U5154" s="9"/>
      <c r="X5154" s="9"/>
    </row>
    <row r="5155">
      <c r="D5155" s="9"/>
      <c r="G5155" s="9"/>
      <c r="J5155" s="11"/>
      <c r="U5155" s="9"/>
      <c r="X5155" s="9"/>
    </row>
    <row r="5156">
      <c r="D5156" s="9"/>
      <c r="G5156" s="9"/>
      <c r="J5156" s="11"/>
      <c r="U5156" s="9"/>
      <c r="X5156" s="9"/>
    </row>
    <row r="5157">
      <c r="D5157" s="9"/>
      <c r="G5157" s="9"/>
      <c r="J5157" s="11"/>
      <c r="U5157" s="9"/>
      <c r="X5157" s="9"/>
    </row>
    <row r="5158">
      <c r="D5158" s="9"/>
      <c r="G5158" s="9"/>
      <c r="J5158" s="11"/>
      <c r="U5158" s="9"/>
      <c r="X5158" s="9"/>
    </row>
    <row r="5159">
      <c r="D5159" s="9"/>
      <c r="G5159" s="9"/>
      <c r="J5159" s="11"/>
      <c r="U5159" s="9"/>
      <c r="X5159" s="9"/>
    </row>
    <row r="5160">
      <c r="D5160" s="9"/>
      <c r="G5160" s="9"/>
      <c r="J5160" s="11"/>
      <c r="U5160" s="9"/>
      <c r="X5160" s="9"/>
    </row>
    <row r="5161">
      <c r="D5161" s="9"/>
      <c r="G5161" s="9"/>
      <c r="J5161" s="11"/>
      <c r="U5161" s="9"/>
      <c r="X5161" s="9"/>
    </row>
    <row r="5162">
      <c r="D5162" s="9"/>
      <c r="G5162" s="9"/>
      <c r="J5162" s="11"/>
      <c r="U5162" s="9"/>
      <c r="X5162" s="9"/>
    </row>
    <row r="5163">
      <c r="D5163" s="9"/>
      <c r="G5163" s="9"/>
      <c r="J5163" s="11"/>
      <c r="U5163" s="9"/>
      <c r="X5163" s="9"/>
    </row>
    <row r="5164">
      <c r="D5164" s="9"/>
      <c r="G5164" s="9"/>
      <c r="J5164" s="11"/>
      <c r="U5164" s="9"/>
      <c r="X5164" s="9"/>
    </row>
    <row r="5165">
      <c r="D5165" s="9"/>
      <c r="G5165" s="9"/>
      <c r="J5165" s="11"/>
      <c r="U5165" s="9"/>
      <c r="X5165" s="9"/>
    </row>
    <row r="5166">
      <c r="D5166" s="9"/>
      <c r="G5166" s="9"/>
      <c r="J5166" s="11"/>
      <c r="U5166" s="9"/>
      <c r="X5166" s="9"/>
    </row>
    <row r="5167">
      <c r="D5167" s="9"/>
      <c r="G5167" s="9"/>
      <c r="J5167" s="11"/>
      <c r="U5167" s="9"/>
      <c r="X5167" s="9"/>
    </row>
    <row r="5168">
      <c r="D5168" s="9"/>
      <c r="G5168" s="9"/>
      <c r="J5168" s="11"/>
      <c r="U5168" s="9"/>
      <c r="X5168" s="9"/>
    </row>
    <row r="5169">
      <c r="D5169" s="9"/>
      <c r="G5169" s="9"/>
      <c r="J5169" s="11"/>
      <c r="U5169" s="9"/>
      <c r="X5169" s="9"/>
    </row>
    <row r="5170">
      <c r="D5170" s="9"/>
      <c r="G5170" s="9"/>
      <c r="J5170" s="11"/>
      <c r="U5170" s="9"/>
      <c r="X5170" s="9"/>
    </row>
    <row r="5171">
      <c r="D5171" s="9"/>
      <c r="G5171" s="9"/>
      <c r="J5171" s="11"/>
      <c r="U5171" s="9"/>
      <c r="X5171" s="9"/>
    </row>
    <row r="5172">
      <c r="D5172" s="9"/>
      <c r="G5172" s="9"/>
      <c r="J5172" s="11"/>
      <c r="U5172" s="9"/>
      <c r="X5172" s="9"/>
    </row>
    <row r="5173">
      <c r="D5173" s="9"/>
      <c r="G5173" s="9"/>
      <c r="J5173" s="11"/>
      <c r="U5173" s="9"/>
      <c r="X5173" s="9"/>
    </row>
    <row r="5174">
      <c r="D5174" s="9"/>
      <c r="G5174" s="9"/>
      <c r="J5174" s="11"/>
      <c r="U5174" s="9"/>
      <c r="X5174" s="9"/>
    </row>
    <row r="5175">
      <c r="D5175" s="9"/>
      <c r="G5175" s="9"/>
      <c r="J5175" s="11"/>
      <c r="U5175" s="9"/>
      <c r="X5175" s="9"/>
    </row>
    <row r="5176">
      <c r="D5176" s="9"/>
      <c r="G5176" s="9"/>
      <c r="J5176" s="11"/>
      <c r="U5176" s="9"/>
      <c r="X5176" s="9"/>
    </row>
    <row r="5177">
      <c r="D5177" s="9"/>
      <c r="G5177" s="9"/>
      <c r="J5177" s="11"/>
      <c r="U5177" s="9"/>
      <c r="X5177" s="9"/>
    </row>
    <row r="5178">
      <c r="D5178" s="9"/>
      <c r="G5178" s="9"/>
      <c r="J5178" s="11"/>
      <c r="U5178" s="9"/>
      <c r="X5178" s="9"/>
    </row>
    <row r="5179">
      <c r="D5179" s="9"/>
      <c r="G5179" s="9"/>
      <c r="J5179" s="11"/>
      <c r="U5179" s="9"/>
      <c r="X5179" s="9"/>
    </row>
    <row r="5180">
      <c r="D5180" s="9"/>
      <c r="G5180" s="9"/>
      <c r="J5180" s="11"/>
      <c r="U5180" s="9"/>
      <c r="X5180" s="9"/>
    </row>
    <row r="5181">
      <c r="D5181" s="9"/>
      <c r="G5181" s="9"/>
      <c r="J5181" s="11"/>
      <c r="U5181" s="9"/>
      <c r="X5181" s="9"/>
    </row>
    <row r="5182">
      <c r="D5182" s="9"/>
      <c r="G5182" s="9"/>
      <c r="J5182" s="11"/>
      <c r="U5182" s="9"/>
      <c r="X5182" s="9"/>
    </row>
    <row r="5183">
      <c r="D5183" s="9"/>
      <c r="G5183" s="9"/>
      <c r="J5183" s="11"/>
      <c r="U5183" s="9"/>
      <c r="X5183" s="9"/>
    </row>
    <row r="5184">
      <c r="D5184" s="9"/>
      <c r="G5184" s="9"/>
      <c r="J5184" s="11"/>
      <c r="U5184" s="9"/>
      <c r="X5184" s="9"/>
    </row>
    <row r="5185">
      <c r="D5185" s="9"/>
      <c r="G5185" s="9"/>
      <c r="J5185" s="11"/>
      <c r="U5185" s="9"/>
      <c r="X5185" s="9"/>
    </row>
    <row r="5186">
      <c r="D5186" s="9"/>
      <c r="G5186" s="9"/>
      <c r="J5186" s="11"/>
      <c r="U5186" s="9"/>
      <c r="X5186" s="9"/>
    </row>
    <row r="5187">
      <c r="D5187" s="9"/>
      <c r="G5187" s="9"/>
      <c r="J5187" s="11"/>
      <c r="U5187" s="9"/>
      <c r="X5187" s="9"/>
    </row>
    <row r="5188">
      <c r="D5188" s="9"/>
      <c r="G5188" s="9"/>
      <c r="J5188" s="11"/>
      <c r="U5188" s="9"/>
      <c r="X5188" s="9"/>
    </row>
    <row r="5189">
      <c r="D5189" s="9"/>
      <c r="G5189" s="9"/>
      <c r="J5189" s="11"/>
      <c r="U5189" s="9"/>
      <c r="X5189" s="9"/>
    </row>
    <row r="5190">
      <c r="D5190" s="9"/>
      <c r="G5190" s="9"/>
      <c r="J5190" s="11"/>
      <c r="U5190" s="9"/>
      <c r="X5190" s="9"/>
    </row>
    <row r="5191">
      <c r="D5191" s="9"/>
      <c r="G5191" s="9"/>
      <c r="J5191" s="11"/>
      <c r="U5191" s="9"/>
      <c r="X5191" s="9"/>
    </row>
    <row r="5192">
      <c r="D5192" s="9"/>
      <c r="G5192" s="9"/>
      <c r="J5192" s="11"/>
      <c r="U5192" s="9"/>
      <c r="X5192" s="9"/>
    </row>
    <row r="5193">
      <c r="D5193" s="9"/>
      <c r="G5193" s="9"/>
      <c r="J5193" s="11"/>
      <c r="U5193" s="9"/>
      <c r="X5193" s="9"/>
    </row>
    <row r="5194">
      <c r="D5194" s="9"/>
      <c r="G5194" s="9"/>
      <c r="J5194" s="11"/>
      <c r="U5194" s="9"/>
      <c r="X5194" s="9"/>
    </row>
    <row r="5195">
      <c r="D5195" s="9"/>
      <c r="G5195" s="9"/>
      <c r="J5195" s="11"/>
      <c r="U5195" s="9"/>
      <c r="X5195" s="9"/>
    </row>
    <row r="5196">
      <c r="D5196" s="9"/>
      <c r="G5196" s="9"/>
      <c r="J5196" s="11"/>
      <c r="U5196" s="9"/>
      <c r="X5196" s="9"/>
    </row>
    <row r="5197">
      <c r="D5197" s="9"/>
      <c r="G5197" s="9"/>
      <c r="J5197" s="11"/>
      <c r="U5197" s="9"/>
      <c r="X5197" s="9"/>
    </row>
    <row r="5198">
      <c r="D5198" s="9"/>
      <c r="G5198" s="9"/>
      <c r="J5198" s="11"/>
      <c r="U5198" s="9"/>
      <c r="X5198" s="9"/>
    </row>
    <row r="5199">
      <c r="D5199" s="9"/>
      <c r="G5199" s="9"/>
      <c r="J5199" s="11"/>
      <c r="U5199" s="9"/>
      <c r="X5199" s="9"/>
    </row>
    <row r="5200">
      <c r="D5200" s="9"/>
      <c r="G5200" s="9"/>
      <c r="J5200" s="11"/>
      <c r="U5200" s="9"/>
      <c r="X5200" s="9"/>
    </row>
    <row r="5201">
      <c r="D5201" s="9"/>
      <c r="G5201" s="9"/>
      <c r="J5201" s="11"/>
      <c r="U5201" s="9"/>
      <c r="X5201" s="9"/>
    </row>
    <row r="5202">
      <c r="D5202" s="9"/>
      <c r="G5202" s="9"/>
      <c r="J5202" s="11"/>
      <c r="U5202" s="9"/>
      <c r="X5202" s="9"/>
    </row>
    <row r="5203">
      <c r="D5203" s="9"/>
      <c r="G5203" s="9"/>
      <c r="J5203" s="11"/>
      <c r="U5203" s="9"/>
      <c r="X5203" s="9"/>
    </row>
    <row r="5204">
      <c r="D5204" s="9"/>
      <c r="G5204" s="9"/>
      <c r="J5204" s="11"/>
      <c r="U5204" s="9"/>
      <c r="X5204" s="9"/>
    </row>
    <row r="5205">
      <c r="D5205" s="9"/>
      <c r="G5205" s="9"/>
      <c r="J5205" s="11"/>
      <c r="U5205" s="9"/>
      <c r="X5205" s="9"/>
    </row>
    <row r="5206">
      <c r="D5206" s="9"/>
      <c r="G5206" s="9"/>
      <c r="J5206" s="11"/>
      <c r="U5206" s="9"/>
      <c r="X5206" s="9"/>
    </row>
    <row r="5207">
      <c r="D5207" s="9"/>
      <c r="G5207" s="9"/>
      <c r="J5207" s="11"/>
      <c r="U5207" s="9"/>
      <c r="X5207" s="9"/>
    </row>
    <row r="5208">
      <c r="D5208" s="9"/>
      <c r="G5208" s="9"/>
      <c r="J5208" s="11"/>
      <c r="U5208" s="9"/>
      <c r="X5208" s="9"/>
    </row>
    <row r="5209">
      <c r="D5209" s="9"/>
      <c r="G5209" s="9"/>
      <c r="J5209" s="11"/>
      <c r="U5209" s="9"/>
      <c r="X5209" s="9"/>
    </row>
    <row r="5210">
      <c r="D5210" s="9"/>
      <c r="G5210" s="9"/>
      <c r="J5210" s="11"/>
      <c r="U5210" s="9"/>
      <c r="X5210" s="9"/>
    </row>
    <row r="5211">
      <c r="D5211" s="9"/>
      <c r="G5211" s="9"/>
      <c r="J5211" s="11"/>
      <c r="U5211" s="9"/>
      <c r="X5211" s="9"/>
    </row>
    <row r="5212">
      <c r="D5212" s="9"/>
      <c r="G5212" s="9"/>
      <c r="J5212" s="11"/>
      <c r="U5212" s="9"/>
      <c r="X5212" s="9"/>
    </row>
    <row r="5213">
      <c r="D5213" s="9"/>
      <c r="G5213" s="9"/>
      <c r="J5213" s="11"/>
      <c r="U5213" s="9"/>
      <c r="X5213" s="9"/>
    </row>
    <row r="5214">
      <c r="D5214" s="9"/>
      <c r="G5214" s="9"/>
      <c r="J5214" s="11"/>
      <c r="U5214" s="9"/>
      <c r="X5214" s="9"/>
    </row>
    <row r="5215">
      <c r="D5215" s="9"/>
      <c r="G5215" s="9"/>
      <c r="J5215" s="11"/>
      <c r="U5215" s="9"/>
      <c r="X5215" s="9"/>
    </row>
    <row r="5216">
      <c r="D5216" s="9"/>
      <c r="G5216" s="9"/>
      <c r="J5216" s="11"/>
      <c r="U5216" s="9"/>
      <c r="X5216" s="9"/>
    </row>
    <row r="5217">
      <c r="D5217" s="9"/>
      <c r="G5217" s="9"/>
      <c r="J5217" s="11"/>
      <c r="U5217" s="9"/>
      <c r="X5217" s="9"/>
    </row>
    <row r="5218">
      <c r="D5218" s="9"/>
      <c r="G5218" s="9"/>
      <c r="J5218" s="11"/>
      <c r="U5218" s="9"/>
      <c r="X5218" s="9"/>
    </row>
    <row r="5219">
      <c r="D5219" s="9"/>
      <c r="G5219" s="9"/>
      <c r="J5219" s="11"/>
      <c r="U5219" s="9"/>
      <c r="X5219" s="9"/>
    </row>
    <row r="5220">
      <c r="D5220" s="9"/>
      <c r="G5220" s="9"/>
      <c r="J5220" s="11"/>
      <c r="U5220" s="9"/>
      <c r="X5220" s="9"/>
    </row>
    <row r="5221">
      <c r="D5221" s="9"/>
      <c r="G5221" s="9"/>
      <c r="J5221" s="11"/>
      <c r="U5221" s="9"/>
      <c r="X5221" s="9"/>
    </row>
    <row r="5222">
      <c r="D5222" s="9"/>
      <c r="G5222" s="9"/>
      <c r="J5222" s="11"/>
      <c r="U5222" s="9"/>
      <c r="X5222" s="9"/>
    </row>
    <row r="5223">
      <c r="D5223" s="9"/>
      <c r="G5223" s="9"/>
      <c r="J5223" s="11"/>
      <c r="U5223" s="9"/>
      <c r="X5223" s="9"/>
    </row>
    <row r="5224">
      <c r="D5224" s="9"/>
      <c r="G5224" s="9"/>
      <c r="J5224" s="11"/>
      <c r="U5224" s="9"/>
      <c r="X5224" s="9"/>
    </row>
    <row r="5225">
      <c r="D5225" s="9"/>
      <c r="G5225" s="9"/>
      <c r="J5225" s="11"/>
      <c r="U5225" s="9"/>
      <c r="X5225" s="9"/>
    </row>
    <row r="5226">
      <c r="D5226" s="9"/>
      <c r="G5226" s="9"/>
      <c r="J5226" s="11"/>
      <c r="U5226" s="9"/>
      <c r="X5226" s="9"/>
    </row>
    <row r="5227">
      <c r="D5227" s="9"/>
      <c r="G5227" s="9"/>
      <c r="J5227" s="11"/>
      <c r="U5227" s="9"/>
      <c r="X5227" s="9"/>
    </row>
    <row r="5228">
      <c r="D5228" s="9"/>
      <c r="G5228" s="9"/>
      <c r="J5228" s="11"/>
      <c r="U5228" s="9"/>
      <c r="X5228" s="9"/>
    </row>
    <row r="5229">
      <c r="D5229" s="9"/>
      <c r="G5229" s="9"/>
      <c r="J5229" s="11"/>
      <c r="U5229" s="9"/>
      <c r="X5229" s="9"/>
    </row>
    <row r="5230">
      <c r="D5230" s="9"/>
      <c r="G5230" s="9"/>
      <c r="J5230" s="11"/>
      <c r="U5230" s="9"/>
      <c r="X5230" s="9"/>
    </row>
    <row r="5231">
      <c r="D5231" s="9"/>
      <c r="G5231" s="9"/>
      <c r="J5231" s="11"/>
      <c r="U5231" s="9"/>
      <c r="X5231" s="9"/>
    </row>
    <row r="5232">
      <c r="D5232" s="9"/>
      <c r="G5232" s="9"/>
      <c r="J5232" s="11"/>
      <c r="U5232" s="9"/>
      <c r="X5232" s="9"/>
    </row>
    <row r="5233">
      <c r="D5233" s="9"/>
      <c r="G5233" s="9"/>
      <c r="J5233" s="11"/>
      <c r="U5233" s="9"/>
      <c r="X5233" s="9"/>
    </row>
    <row r="5234">
      <c r="D5234" s="9"/>
      <c r="G5234" s="9"/>
      <c r="J5234" s="11"/>
      <c r="U5234" s="9"/>
      <c r="X5234" s="9"/>
    </row>
    <row r="5235">
      <c r="D5235" s="9"/>
      <c r="G5235" s="9"/>
      <c r="J5235" s="11"/>
      <c r="U5235" s="9"/>
      <c r="X5235" s="9"/>
    </row>
    <row r="5236">
      <c r="D5236" s="9"/>
      <c r="G5236" s="9"/>
      <c r="J5236" s="11"/>
      <c r="U5236" s="9"/>
      <c r="X5236" s="9"/>
    </row>
    <row r="5237">
      <c r="D5237" s="9"/>
      <c r="G5237" s="9"/>
      <c r="J5237" s="11"/>
      <c r="U5237" s="9"/>
      <c r="X5237" s="9"/>
    </row>
    <row r="5238">
      <c r="D5238" s="9"/>
      <c r="G5238" s="9"/>
      <c r="J5238" s="11"/>
      <c r="U5238" s="9"/>
      <c r="X5238" s="9"/>
    </row>
    <row r="5239">
      <c r="D5239" s="9"/>
      <c r="G5239" s="9"/>
      <c r="J5239" s="11"/>
      <c r="U5239" s="9"/>
      <c r="X5239" s="9"/>
    </row>
    <row r="5240">
      <c r="D5240" s="9"/>
      <c r="G5240" s="9"/>
      <c r="J5240" s="11"/>
      <c r="U5240" s="9"/>
      <c r="X5240" s="9"/>
    </row>
    <row r="5241">
      <c r="D5241" s="9"/>
      <c r="G5241" s="9"/>
      <c r="J5241" s="11"/>
      <c r="U5241" s="9"/>
      <c r="X5241" s="9"/>
    </row>
    <row r="5242">
      <c r="D5242" s="9"/>
      <c r="G5242" s="9"/>
      <c r="J5242" s="11"/>
      <c r="U5242" s="9"/>
      <c r="X5242" s="9"/>
    </row>
    <row r="5243">
      <c r="D5243" s="9"/>
      <c r="G5243" s="9"/>
      <c r="J5243" s="11"/>
      <c r="U5243" s="9"/>
      <c r="X5243" s="9"/>
    </row>
    <row r="5244">
      <c r="D5244" s="9"/>
      <c r="G5244" s="9"/>
      <c r="J5244" s="11"/>
      <c r="U5244" s="9"/>
      <c r="X5244" s="9"/>
    </row>
    <row r="5245">
      <c r="D5245" s="9"/>
      <c r="G5245" s="9"/>
      <c r="J5245" s="11"/>
      <c r="U5245" s="9"/>
      <c r="X5245" s="9"/>
    </row>
    <row r="5246">
      <c r="D5246" s="9"/>
      <c r="G5246" s="9"/>
      <c r="J5246" s="11"/>
      <c r="U5246" s="9"/>
      <c r="X5246" s="9"/>
    </row>
    <row r="5247">
      <c r="D5247" s="9"/>
      <c r="G5247" s="9"/>
      <c r="J5247" s="11"/>
      <c r="U5247" s="9"/>
      <c r="X5247" s="9"/>
    </row>
    <row r="5248">
      <c r="D5248" s="9"/>
      <c r="G5248" s="9"/>
      <c r="J5248" s="11"/>
      <c r="U5248" s="9"/>
      <c r="X5248" s="9"/>
    </row>
    <row r="5249">
      <c r="D5249" s="9"/>
      <c r="G5249" s="9"/>
      <c r="J5249" s="11"/>
      <c r="U5249" s="9"/>
      <c r="X5249" s="9"/>
    </row>
    <row r="5250">
      <c r="D5250" s="9"/>
      <c r="G5250" s="9"/>
      <c r="J5250" s="11"/>
      <c r="U5250" s="9"/>
      <c r="X5250" s="9"/>
    </row>
    <row r="5251">
      <c r="D5251" s="9"/>
      <c r="G5251" s="9"/>
      <c r="J5251" s="11"/>
      <c r="U5251" s="9"/>
      <c r="X5251" s="9"/>
    </row>
    <row r="5252">
      <c r="D5252" s="9"/>
      <c r="G5252" s="9"/>
      <c r="J5252" s="11"/>
      <c r="U5252" s="9"/>
      <c r="X5252" s="9"/>
    </row>
    <row r="5253">
      <c r="D5253" s="9"/>
      <c r="G5253" s="9"/>
      <c r="J5253" s="11"/>
      <c r="U5253" s="9"/>
      <c r="X5253" s="9"/>
    </row>
    <row r="5254">
      <c r="D5254" s="9"/>
      <c r="G5254" s="9"/>
      <c r="J5254" s="11"/>
      <c r="U5254" s="9"/>
      <c r="X5254" s="9"/>
    </row>
    <row r="5255">
      <c r="D5255" s="9"/>
      <c r="G5255" s="9"/>
      <c r="J5255" s="11"/>
      <c r="U5255" s="9"/>
      <c r="X5255" s="9"/>
    </row>
    <row r="5256">
      <c r="D5256" s="9"/>
      <c r="G5256" s="9"/>
      <c r="J5256" s="11"/>
      <c r="U5256" s="9"/>
      <c r="X5256" s="9"/>
    </row>
    <row r="5257">
      <c r="D5257" s="9"/>
      <c r="G5257" s="9"/>
      <c r="J5257" s="11"/>
      <c r="U5257" s="9"/>
      <c r="X5257" s="9"/>
    </row>
    <row r="5258">
      <c r="D5258" s="9"/>
      <c r="G5258" s="9"/>
      <c r="J5258" s="11"/>
      <c r="U5258" s="9"/>
      <c r="X5258" s="9"/>
    </row>
    <row r="5259">
      <c r="D5259" s="9"/>
      <c r="G5259" s="9"/>
      <c r="J5259" s="11"/>
      <c r="U5259" s="9"/>
      <c r="X5259" s="9"/>
    </row>
    <row r="5260">
      <c r="D5260" s="9"/>
      <c r="G5260" s="9"/>
      <c r="J5260" s="11"/>
      <c r="U5260" s="9"/>
      <c r="X5260" s="9"/>
    </row>
    <row r="5261">
      <c r="D5261" s="9"/>
      <c r="G5261" s="9"/>
      <c r="J5261" s="11"/>
      <c r="U5261" s="9"/>
      <c r="X5261" s="9"/>
    </row>
    <row r="5262">
      <c r="D5262" s="9"/>
      <c r="G5262" s="9"/>
      <c r="J5262" s="11"/>
      <c r="U5262" s="9"/>
      <c r="X5262" s="9"/>
    </row>
    <row r="5263">
      <c r="D5263" s="9"/>
      <c r="G5263" s="9"/>
      <c r="J5263" s="11"/>
      <c r="U5263" s="9"/>
      <c r="X5263" s="9"/>
    </row>
    <row r="5264">
      <c r="D5264" s="9"/>
      <c r="G5264" s="9"/>
      <c r="J5264" s="11"/>
      <c r="U5264" s="9"/>
      <c r="X5264" s="9"/>
    </row>
    <row r="5265">
      <c r="D5265" s="9"/>
      <c r="G5265" s="9"/>
      <c r="J5265" s="11"/>
      <c r="U5265" s="9"/>
      <c r="X5265" s="9"/>
    </row>
    <row r="5266">
      <c r="D5266" s="9"/>
      <c r="G5266" s="9"/>
      <c r="J5266" s="11"/>
      <c r="U5266" s="9"/>
      <c r="X5266" s="9"/>
    </row>
    <row r="5267">
      <c r="D5267" s="9"/>
      <c r="G5267" s="9"/>
      <c r="J5267" s="11"/>
      <c r="U5267" s="9"/>
      <c r="X5267" s="9"/>
    </row>
    <row r="5268">
      <c r="D5268" s="9"/>
      <c r="G5268" s="9"/>
      <c r="J5268" s="11"/>
      <c r="U5268" s="9"/>
      <c r="X5268" s="9"/>
    </row>
    <row r="5269">
      <c r="D5269" s="9"/>
      <c r="G5269" s="9"/>
      <c r="J5269" s="11"/>
      <c r="U5269" s="9"/>
      <c r="X5269" s="9"/>
    </row>
    <row r="5270">
      <c r="D5270" s="9"/>
      <c r="G5270" s="9"/>
      <c r="J5270" s="11"/>
      <c r="U5270" s="9"/>
      <c r="X5270" s="9"/>
    </row>
    <row r="5271">
      <c r="D5271" s="9"/>
      <c r="G5271" s="9"/>
      <c r="J5271" s="11"/>
      <c r="U5271" s="9"/>
      <c r="X5271" s="9"/>
    </row>
    <row r="5272">
      <c r="D5272" s="9"/>
      <c r="G5272" s="9"/>
      <c r="J5272" s="11"/>
      <c r="U5272" s="9"/>
      <c r="X5272" s="9"/>
    </row>
    <row r="5273">
      <c r="D5273" s="9"/>
      <c r="G5273" s="9"/>
      <c r="J5273" s="11"/>
      <c r="U5273" s="9"/>
      <c r="X5273" s="9"/>
    </row>
    <row r="5274">
      <c r="D5274" s="9"/>
      <c r="G5274" s="9"/>
      <c r="J5274" s="11"/>
      <c r="U5274" s="9"/>
      <c r="X5274" s="9"/>
    </row>
    <row r="5275">
      <c r="D5275" s="9"/>
      <c r="G5275" s="9"/>
      <c r="J5275" s="11"/>
      <c r="U5275" s="9"/>
      <c r="X5275" s="9"/>
    </row>
    <row r="5276">
      <c r="D5276" s="9"/>
      <c r="G5276" s="9"/>
      <c r="J5276" s="11"/>
      <c r="U5276" s="9"/>
      <c r="X5276" s="9"/>
    </row>
    <row r="5277">
      <c r="D5277" s="9"/>
      <c r="G5277" s="9"/>
      <c r="J5277" s="11"/>
      <c r="U5277" s="9"/>
      <c r="X5277" s="9"/>
    </row>
    <row r="5278">
      <c r="D5278" s="9"/>
      <c r="G5278" s="9"/>
      <c r="J5278" s="11"/>
      <c r="U5278" s="9"/>
      <c r="X5278" s="9"/>
    </row>
    <row r="5279">
      <c r="D5279" s="9"/>
      <c r="G5279" s="9"/>
      <c r="J5279" s="11"/>
      <c r="U5279" s="9"/>
      <c r="X5279" s="9"/>
    </row>
    <row r="5280">
      <c r="D5280" s="9"/>
      <c r="G5280" s="9"/>
      <c r="J5280" s="11"/>
      <c r="U5280" s="9"/>
      <c r="X5280" s="9"/>
    </row>
    <row r="5281">
      <c r="D5281" s="9"/>
      <c r="G5281" s="9"/>
      <c r="J5281" s="11"/>
      <c r="U5281" s="9"/>
      <c r="X5281" s="9"/>
    </row>
    <row r="5282">
      <c r="D5282" s="9"/>
      <c r="G5282" s="9"/>
      <c r="J5282" s="11"/>
      <c r="U5282" s="9"/>
      <c r="X5282" s="9"/>
    </row>
    <row r="5283">
      <c r="D5283" s="9"/>
      <c r="G5283" s="9"/>
      <c r="J5283" s="11"/>
      <c r="U5283" s="9"/>
      <c r="X5283" s="9"/>
    </row>
    <row r="5284">
      <c r="D5284" s="9"/>
      <c r="G5284" s="9"/>
      <c r="J5284" s="11"/>
      <c r="U5284" s="9"/>
      <c r="X5284" s="9"/>
    </row>
    <row r="5285">
      <c r="D5285" s="9"/>
      <c r="G5285" s="9"/>
      <c r="J5285" s="11"/>
      <c r="U5285" s="9"/>
      <c r="X5285" s="9"/>
    </row>
    <row r="5286">
      <c r="D5286" s="9"/>
      <c r="G5286" s="9"/>
      <c r="J5286" s="11"/>
      <c r="U5286" s="9"/>
      <c r="X5286" s="9"/>
    </row>
    <row r="5287">
      <c r="D5287" s="9"/>
      <c r="G5287" s="9"/>
      <c r="J5287" s="11"/>
      <c r="U5287" s="9"/>
      <c r="X5287" s="9"/>
    </row>
    <row r="5288">
      <c r="D5288" s="9"/>
      <c r="G5288" s="9"/>
      <c r="J5288" s="11"/>
      <c r="U5288" s="9"/>
      <c r="X5288" s="9"/>
    </row>
    <row r="5289">
      <c r="D5289" s="9"/>
      <c r="G5289" s="9"/>
      <c r="J5289" s="11"/>
      <c r="U5289" s="9"/>
      <c r="X5289" s="9"/>
    </row>
    <row r="5290">
      <c r="D5290" s="9"/>
      <c r="G5290" s="9"/>
      <c r="J5290" s="11"/>
      <c r="U5290" s="9"/>
      <c r="X5290" s="9"/>
    </row>
    <row r="5291">
      <c r="D5291" s="9"/>
      <c r="G5291" s="9"/>
      <c r="J5291" s="11"/>
      <c r="U5291" s="9"/>
      <c r="X5291" s="9"/>
    </row>
    <row r="5292">
      <c r="D5292" s="9"/>
      <c r="G5292" s="9"/>
      <c r="J5292" s="11"/>
      <c r="U5292" s="9"/>
      <c r="X5292" s="9"/>
    </row>
    <row r="5293">
      <c r="D5293" s="9"/>
      <c r="G5293" s="9"/>
      <c r="J5293" s="11"/>
      <c r="U5293" s="9"/>
      <c r="X5293" s="9"/>
    </row>
    <row r="5294">
      <c r="D5294" s="9"/>
      <c r="G5294" s="9"/>
      <c r="J5294" s="11"/>
      <c r="U5294" s="9"/>
      <c r="X5294" s="9"/>
    </row>
    <row r="5295">
      <c r="D5295" s="9"/>
      <c r="G5295" s="9"/>
      <c r="J5295" s="11"/>
      <c r="U5295" s="9"/>
      <c r="X5295" s="9"/>
    </row>
    <row r="5296">
      <c r="D5296" s="9"/>
      <c r="G5296" s="9"/>
      <c r="J5296" s="11"/>
      <c r="U5296" s="9"/>
      <c r="X5296" s="9"/>
    </row>
    <row r="5297">
      <c r="D5297" s="9"/>
      <c r="G5297" s="9"/>
      <c r="J5297" s="11"/>
      <c r="U5297" s="9"/>
      <c r="X5297" s="9"/>
    </row>
    <row r="5298">
      <c r="D5298" s="9"/>
      <c r="G5298" s="9"/>
      <c r="J5298" s="11"/>
      <c r="U5298" s="9"/>
      <c r="X5298" s="9"/>
    </row>
    <row r="5299">
      <c r="D5299" s="9"/>
      <c r="G5299" s="9"/>
      <c r="J5299" s="11"/>
      <c r="U5299" s="9"/>
      <c r="X5299" s="9"/>
    </row>
    <row r="5300">
      <c r="D5300" s="9"/>
      <c r="G5300" s="9"/>
      <c r="J5300" s="11"/>
      <c r="U5300" s="9"/>
      <c r="X5300" s="9"/>
    </row>
    <row r="5301">
      <c r="D5301" s="9"/>
      <c r="G5301" s="9"/>
      <c r="J5301" s="11"/>
      <c r="U5301" s="9"/>
      <c r="X5301" s="9"/>
    </row>
    <row r="5302">
      <c r="D5302" s="9"/>
      <c r="G5302" s="9"/>
      <c r="J5302" s="11"/>
      <c r="U5302" s="9"/>
      <c r="X5302" s="9"/>
    </row>
    <row r="5303">
      <c r="D5303" s="9"/>
      <c r="G5303" s="9"/>
      <c r="J5303" s="11"/>
      <c r="U5303" s="9"/>
      <c r="X5303" s="9"/>
    </row>
    <row r="5304">
      <c r="D5304" s="9"/>
      <c r="G5304" s="9"/>
      <c r="J5304" s="11"/>
      <c r="U5304" s="9"/>
      <c r="X5304" s="9"/>
    </row>
    <row r="5305">
      <c r="D5305" s="9"/>
      <c r="G5305" s="9"/>
      <c r="J5305" s="11"/>
      <c r="U5305" s="9"/>
      <c r="X5305" s="9"/>
    </row>
    <row r="5306">
      <c r="D5306" s="9"/>
      <c r="G5306" s="9"/>
      <c r="J5306" s="11"/>
      <c r="U5306" s="9"/>
      <c r="X5306" s="9"/>
    </row>
    <row r="5307">
      <c r="D5307" s="9"/>
      <c r="G5307" s="9"/>
      <c r="J5307" s="11"/>
      <c r="U5307" s="9"/>
      <c r="X5307" s="9"/>
    </row>
    <row r="5308">
      <c r="D5308" s="9"/>
      <c r="G5308" s="9"/>
      <c r="J5308" s="11"/>
      <c r="U5308" s="9"/>
      <c r="X5308" s="9"/>
    </row>
    <row r="5309">
      <c r="D5309" s="9"/>
      <c r="G5309" s="9"/>
      <c r="J5309" s="11"/>
      <c r="U5309" s="9"/>
      <c r="X5309" s="9"/>
    </row>
    <row r="5310">
      <c r="D5310" s="9"/>
      <c r="G5310" s="9"/>
      <c r="J5310" s="11"/>
      <c r="U5310" s="9"/>
      <c r="X5310" s="9"/>
    </row>
    <row r="5311">
      <c r="D5311" s="9"/>
      <c r="G5311" s="9"/>
      <c r="J5311" s="11"/>
      <c r="U5311" s="9"/>
      <c r="X5311" s="9"/>
    </row>
    <row r="5312">
      <c r="D5312" s="9"/>
      <c r="G5312" s="9"/>
      <c r="J5312" s="11"/>
      <c r="U5312" s="9"/>
      <c r="X5312" s="9"/>
    </row>
    <row r="5313">
      <c r="D5313" s="9"/>
      <c r="G5313" s="9"/>
      <c r="J5313" s="11"/>
      <c r="U5313" s="9"/>
      <c r="X5313" s="9"/>
    </row>
    <row r="5314">
      <c r="D5314" s="9"/>
      <c r="G5314" s="9"/>
      <c r="J5314" s="11"/>
      <c r="U5314" s="9"/>
      <c r="X5314" s="9"/>
    </row>
    <row r="5315">
      <c r="D5315" s="9"/>
      <c r="G5315" s="9"/>
      <c r="J5315" s="11"/>
      <c r="U5315" s="9"/>
      <c r="X5315" s="9"/>
    </row>
    <row r="5316">
      <c r="D5316" s="9"/>
      <c r="G5316" s="9"/>
      <c r="J5316" s="11"/>
      <c r="U5316" s="9"/>
      <c r="X5316" s="9"/>
    </row>
    <row r="5317">
      <c r="D5317" s="9"/>
      <c r="G5317" s="9"/>
      <c r="J5317" s="11"/>
      <c r="U5317" s="9"/>
      <c r="X5317" s="9"/>
    </row>
    <row r="5318">
      <c r="D5318" s="9"/>
      <c r="G5318" s="9"/>
      <c r="J5318" s="11"/>
      <c r="U5318" s="9"/>
      <c r="X5318" s="9"/>
    </row>
    <row r="5319">
      <c r="D5319" s="9"/>
      <c r="G5319" s="9"/>
      <c r="J5319" s="11"/>
      <c r="U5319" s="9"/>
      <c r="X5319" s="9"/>
    </row>
    <row r="5320">
      <c r="D5320" s="9"/>
      <c r="G5320" s="9"/>
      <c r="J5320" s="11"/>
      <c r="U5320" s="9"/>
      <c r="X5320" s="9"/>
    </row>
    <row r="5321">
      <c r="D5321" s="9"/>
      <c r="G5321" s="9"/>
      <c r="J5321" s="11"/>
      <c r="U5321" s="9"/>
      <c r="X5321" s="9"/>
    </row>
    <row r="5322">
      <c r="D5322" s="9"/>
      <c r="G5322" s="9"/>
      <c r="J5322" s="11"/>
      <c r="U5322" s="9"/>
      <c r="X5322" s="9"/>
    </row>
    <row r="5323">
      <c r="D5323" s="9"/>
      <c r="G5323" s="9"/>
      <c r="J5323" s="11"/>
      <c r="U5323" s="9"/>
      <c r="X5323" s="9"/>
    </row>
    <row r="5324">
      <c r="D5324" s="9"/>
      <c r="G5324" s="9"/>
      <c r="J5324" s="11"/>
      <c r="U5324" s="9"/>
      <c r="X5324" s="9"/>
    </row>
    <row r="5325">
      <c r="D5325" s="9"/>
      <c r="G5325" s="9"/>
      <c r="J5325" s="11"/>
      <c r="U5325" s="9"/>
      <c r="X5325" s="9"/>
    </row>
    <row r="5326">
      <c r="D5326" s="9"/>
      <c r="G5326" s="9"/>
      <c r="J5326" s="11"/>
      <c r="U5326" s="9"/>
      <c r="X5326" s="9"/>
    </row>
    <row r="5327">
      <c r="D5327" s="9"/>
      <c r="G5327" s="9"/>
      <c r="J5327" s="11"/>
      <c r="U5327" s="9"/>
      <c r="X5327" s="9"/>
    </row>
    <row r="5328">
      <c r="D5328" s="9"/>
      <c r="G5328" s="9"/>
      <c r="J5328" s="11"/>
      <c r="U5328" s="9"/>
      <c r="X5328" s="9"/>
    </row>
    <row r="5329">
      <c r="D5329" s="9"/>
      <c r="G5329" s="9"/>
      <c r="J5329" s="11"/>
      <c r="U5329" s="9"/>
      <c r="X5329" s="9"/>
    </row>
    <row r="5330">
      <c r="D5330" s="9"/>
      <c r="G5330" s="9"/>
      <c r="J5330" s="11"/>
      <c r="U5330" s="9"/>
      <c r="X5330" s="9"/>
    </row>
    <row r="5331">
      <c r="D5331" s="9"/>
      <c r="G5331" s="9"/>
      <c r="J5331" s="11"/>
      <c r="U5331" s="9"/>
      <c r="X5331" s="9"/>
    </row>
    <row r="5332">
      <c r="D5332" s="9"/>
      <c r="G5332" s="9"/>
      <c r="J5332" s="11"/>
      <c r="U5332" s="9"/>
      <c r="X5332" s="9"/>
    </row>
    <row r="5333">
      <c r="D5333" s="9"/>
      <c r="G5333" s="9"/>
      <c r="J5333" s="11"/>
      <c r="U5333" s="9"/>
      <c r="X5333" s="9"/>
    </row>
    <row r="5334">
      <c r="D5334" s="9"/>
      <c r="G5334" s="9"/>
      <c r="J5334" s="11"/>
      <c r="U5334" s="9"/>
      <c r="X5334" s="9"/>
    </row>
    <row r="5335">
      <c r="D5335" s="9"/>
      <c r="G5335" s="9"/>
      <c r="J5335" s="11"/>
      <c r="U5335" s="9"/>
      <c r="X5335" s="9"/>
    </row>
    <row r="5336">
      <c r="D5336" s="9"/>
      <c r="G5336" s="9"/>
      <c r="J5336" s="11"/>
      <c r="U5336" s="9"/>
      <c r="X5336" s="9"/>
    </row>
    <row r="5337">
      <c r="D5337" s="9"/>
      <c r="G5337" s="9"/>
      <c r="J5337" s="11"/>
      <c r="U5337" s="9"/>
      <c r="X5337" s="9"/>
    </row>
    <row r="5338">
      <c r="D5338" s="9"/>
      <c r="G5338" s="9"/>
      <c r="J5338" s="11"/>
      <c r="U5338" s="9"/>
      <c r="X5338" s="9"/>
    </row>
    <row r="5339">
      <c r="D5339" s="9"/>
      <c r="G5339" s="9"/>
      <c r="J5339" s="11"/>
      <c r="U5339" s="9"/>
      <c r="X5339" s="9"/>
    </row>
    <row r="5340">
      <c r="D5340" s="9"/>
      <c r="G5340" s="9"/>
      <c r="J5340" s="11"/>
      <c r="U5340" s="9"/>
      <c r="X5340" s="9"/>
    </row>
    <row r="5341">
      <c r="D5341" s="9"/>
      <c r="G5341" s="9"/>
      <c r="J5341" s="11"/>
      <c r="U5341" s="9"/>
      <c r="X5341" s="9"/>
    </row>
    <row r="5342">
      <c r="D5342" s="9"/>
      <c r="G5342" s="9"/>
      <c r="J5342" s="11"/>
      <c r="U5342" s="9"/>
      <c r="X5342" s="9"/>
    </row>
    <row r="5343">
      <c r="D5343" s="9"/>
      <c r="G5343" s="9"/>
      <c r="J5343" s="11"/>
      <c r="U5343" s="9"/>
      <c r="X5343" s="9"/>
    </row>
    <row r="5344">
      <c r="D5344" s="9"/>
      <c r="G5344" s="9"/>
      <c r="J5344" s="11"/>
      <c r="U5344" s="9"/>
      <c r="X5344" s="9"/>
    </row>
    <row r="5345">
      <c r="D5345" s="9"/>
      <c r="G5345" s="9"/>
      <c r="J5345" s="11"/>
      <c r="U5345" s="9"/>
      <c r="X5345" s="9"/>
    </row>
    <row r="5346">
      <c r="D5346" s="9"/>
      <c r="G5346" s="9"/>
      <c r="J5346" s="11"/>
      <c r="U5346" s="9"/>
      <c r="X5346" s="9"/>
    </row>
    <row r="5347">
      <c r="D5347" s="9"/>
      <c r="G5347" s="9"/>
      <c r="J5347" s="11"/>
      <c r="U5347" s="9"/>
      <c r="X5347" s="9"/>
    </row>
    <row r="5348">
      <c r="D5348" s="9"/>
      <c r="G5348" s="9"/>
      <c r="J5348" s="11"/>
      <c r="U5348" s="9"/>
      <c r="X5348" s="9"/>
    </row>
    <row r="5349">
      <c r="D5349" s="9"/>
      <c r="G5349" s="9"/>
      <c r="J5349" s="11"/>
      <c r="U5349" s="9"/>
      <c r="X5349" s="9"/>
    </row>
    <row r="5350">
      <c r="D5350" s="9"/>
      <c r="G5350" s="9"/>
      <c r="J5350" s="11"/>
      <c r="U5350" s="9"/>
      <c r="X5350" s="9"/>
    </row>
    <row r="5351">
      <c r="D5351" s="9"/>
      <c r="G5351" s="9"/>
      <c r="J5351" s="11"/>
      <c r="U5351" s="9"/>
      <c r="X5351" s="9"/>
    </row>
    <row r="5352">
      <c r="D5352" s="9"/>
      <c r="G5352" s="9"/>
      <c r="J5352" s="11"/>
      <c r="U5352" s="9"/>
      <c r="X5352" s="9"/>
    </row>
    <row r="5353">
      <c r="D5353" s="9"/>
      <c r="G5353" s="9"/>
      <c r="J5353" s="11"/>
      <c r="U5353" s="9"/>
      <c r="X5353" s="9"/>
    </row>
    <row r="5354">
      <c r="D5354" s="9"/>
      <c r="G5354" s="9"/>
      <c r="J5354" s="11"/>
      <c r="U5354" s="9"/>
      <c r="X5354" s="9"/>
    </row>
    <row r="5355">
      <c r="D5355" s="9"/>
      <c r="G5355" s="9"/>
      <c r="J5355" s="11"/>
      <c r="U5355" s="9"/>
      <c r="X5355" s="9"/>
    </row>
    <row r="5356">
      <c r="D5356" s="9"/>
      <c r="G5356" s="9"/>
      <c r="J5356" s="11"/>
      <c r="U5356" s="9"/>
      <c r="X5356" s="9"/>
    </row>
    <row r="5357">
      <c r="D5357" s="9"/>
      <c r="G5357" s="9"/>
      <c r="J5357" s="11"/>
      <c r="U5357" s="9"/>
      <c r="X5357" s="9"/>
    </row>
    <row r="5358">
      <c r="D5358" s="9"/>
      <c r="G5358" s="9"/>
      <c r="J5358" s="11"/>
      <c r="U5358" s="9"/>
      <c r="X5358" s="9"/>
    </row>
    <row r="5359">
      <c r="D5359" s="9"/>
      <c r="G5359" s="9"/>
      <c r="J5359" s="11"/>
      <c r="U5359" s="9"/>
      <c r="X5359" s="9"/>
    </row>
    <row r="5360">
      <c r="D5360" s="9"/>
      <c r="G5360" s="9"/>
      <c r="J5360" s="11"/>
      <c r="U5360" s="9"/>
      <c r="X5360" s="9"/>
    </row>
    <row r="5361">
      <c r="D5361" s="9"/>
      <c r="G5361" s="9"/>
      <c r="J5361" s="11"/>
      <c r="U5361" s="9"/>
      <c r="X5361" s="9"/>
    </row>
    <row r="5362">
      <c r="D5362" s="9"/>
      <c r="G5362" s="9"/>
      <c r="J5362" s="11"/>
      <c r="U5362" s="9"/>
      <c r="X5362" s="9"/>
    </row>
    <row r="5363">
      <c r="D5363" s="9"/>
      <c r="G5363" s="9"/>
      <c r="J5363" s="11"/>
      <c r="U5363" s="9"/>
      <c r="X5363" s="9"/>
    </row>
    <row r="5364">
      <c r="D5364" s="9"/>
      <c r="G5364" s="9"/>
      <c r="J5364" s="11"/>
      <c r="U5364" s="9"/>
      <c r="X5364" s="9"/>
    </row>
    <row r="5365">
      <c r="D5365" s="9"/>
      <c r="G5365" s="9"/>
      <c r="J5365" s="11"/>
      <c r="U5365" s="9"/>
      <c r="X5365" s="9"/>
    </row>
    <row r="5366">
      <c r="D5366" s="9"/>
      <c r="G5366" s="9"/>
      <c r="J5366" s="11"/>
      <c r="U5366" s="9"/>
      <c r="X5366" s="9"/>
    </row>
    <row r="5367">
      <c r="D5367" s="9"/>
      <c r="G5367" s="9"/>
      <c r="J5367" s="11"/>
      <c r="U5367" s="9"/>
      <c r="X5367" s="9"/>
    </row>
    <row r="5368">
      <c r="D5368" s="9"/>
      <c r="G5368" s="9"/>
      <c r="J5368" s="11"/>
      <c r="U5368" s="9"/>
      <c r="X5368" s="9"/>
    </row>
    <row r="5369">
      <c r="D5369" s="9"/>
      <c r="G5369" s="9"/>
      <c r="J5369" s="11"/>
      <c r="U5369" s="9"/>
      <c r="X5369" s="9"/>
    </row>
    <row r="5370">
      <c r="D5370" s="9"/>
      <c r="G5370" s="9"/>
      <c r="J5370" s="11"/>
      <c r="U5370" s="9"/>
      <c r="X5370" s="9"/>
    </row>
    <row r="5371">
      <c r="D5371" s="9"/>
      <c r="G5371" s="9"/>
      <c r="J5371" s="11"/>
      <c r="U5371" s="9"/>
      <c r="X5371" s="9"/>
    </row>
    <row r="5372">
      <c r="D5372" s="9"/>
      <c r="G5372" s="9"/>
      <c r="J5372" s="11"/>
      <c r="U5372" s="9"/>
      <c r="X5372" s="9"/>
    </row>
    <row r="5373">
      <c r="D5373" s="9"/>
      <c r="G5373" s="9"/>
      <c r="J5373" s="11"/>
      <c r="U5373" s="9"/>
      <c r="X5373" s="9"/>
    </row>
    <row r="5374">
      <c r="D5374" s="9"/>
      <c r="G5374" s="9"/>
      <c r="J5374" s="11"/>
      <c r="U5374" s="9"/>
      <c r="X5374" s="9"/>
    </row>
    <row r="5375">
      <c r="D5375" s="9"/>
      <c r="G5375" s="9"/>
      <c r="J5375" s="11"/>
      <c r="U5375" s="9"/>
      <c r="X5375" s="9"/>
    </row>
    <row r="5376">
      <c r="D5376" s="9"/>
      <c r="G5376" s="9"/>
      <c r="J5376" s="11"/>
      <c r="U5376" s="9"/>
      <c r="X5376" s="9"/>
    </row>
    <row r="5377">
      <c r="D5377" s="9"/>
      <c r="G5377" s="9"/>
      <c r="J5377" s="11"/>
      <c r="U5377" s="9"/>
      <c r="X5377" s="9"/>
    </row>
    <row r="5378">
      <c r="D5378" s="9"/>
      <c r="G5378" s="9"/>
      <c r="J5378" s="11"/>
      <c r="U5378" s="9"/>
      <c r="X5378" s="9"/>
    </row>
    <row r="5379">
      <c r="D5379" s="9"/>
      <c r="G5379" s="9"/>
      <c r="J5379" s="11"/>
      <c r="U5379" s="9"/>
      <c r="X5379" s="9"/>
    </row>
    <row r="5380">
      <c r="D5380" s="9"/>
      <c r="G5380" s="9"/>
      <c r="J5380" s="11"/>
      <c r="U5380" s="9"/>
      <c r="X5380" s="9"/>
    </row>
    <row r="5381">
      <c r="D5381" s="9"/>
      <c r="G5381" s="9"/>
      <c r="J5381" s="11"/>
      <c r="U5381" s="9"/>
      <c r="X5381" s="9"/>
    </row>
    <row r="5382">
      <c r="D5382" s="9"/>
      <c r="G5382" s="9"/>
      <c r="J5382" s="11"/>
      <c r="U5382" s="9"/>
      <c r="X5382" s="9"/>
    </row>
    <row r="5383">
      <c r="D5383" s="9"/>
      <c r="G5383" s="9"/>
      <c r="J5383" s="11"/>
      <c r="U5383" s="9"/>
      <c r="X5383" s="9"/>
    </row>
    <row r="5384">
      <c r="D5384" s="9"/>
      <c r="G5384" s="9"/>
      <c r="J5384" s="11"/>
      <c r="U5384" s="9"/>
      <c r="X5384" s="9"/>
    </row>
    <row r="5385">
      <c r="D5385" s="9"/>
      <c r="G5385" s="9"/>
      <c r="J5385" s="11"/>
      <c r="U5385" s="9"/>
      <c r="X5385" s="9"/>
    </row>
    <row r="5386">
      <c r="D5386" s="9"/>
      <c r="G5386" s="9"/>
      <c r="J5386" s="11"/>
      <c r="U5386" s="9"/>
      <c r="X5386" s="9"/>
    </row>
    <row r="5387">
      <c r="D5387" s="9"/>
      <c r="G5387" s="9"/>
      <c r="J5387" s="11"/>
      <c r="U5387" s="9"/>
      <c r="X5387" s="9"/>
    </row>
    <row r="5388">
      <c r="D5388" s="9"/>
      <c r="G5388" s="9"/>
      <c r="J5388" s="11"/>
      <c r="U5388" s="9"/>
      <c r="X5388" s="9"/>
    </row>
    <row r="5389">
      <c r="D5389" s="9"/>
      <c r="G5389" s="9"/>
      <c r="J5389" s="11"/>
      <c r="U5389" s="9"/>
      <c r="X5389" s="9"/>
    </row>
    <row r="5390">
      <c r="D5390" s="9"/>
      <c r="G5390" s="9"/>
      <c r="J5390" s="11"/>
      <c r="U5390" s="9"/>
      <c r="X5390" s="9"/>
    </row>
    <row r="5391">
      <c r="D5391" s="9"/>
      <c r="G5391" s="9"/>
      <c r="J5391" s="11"/>
      <c r="U5391" s="9"/>
      <c r="X5391" s="9"/>
    </row>
    <row r="5392">
      <c r="D5392" s="9"/>
      <c r="G5392" s="9"/>
      <c r="J5392" s="11"/>
      <c r="U5392" s="9"/>
      <c r="X5392" s="9"/>
    </row>
    <row r="5393">
      <c r="D5393" s="9"/>
      <c r="G5393" s="9"/>
      <c r="J5393" s="11"/>
      <c r="U5393" s="9"/>
      <c r="X5393" s="9"/>
    </row>
    <row r="5394">
      <c r="D5394" s="9"/>
      <c r="G5394" s="9"/>
      <c r="J5394" s="11"/>
      <c r="U5394" s="9"/>
      <c r="X5394" s="9"/>
    </row>
    <row r="5395">
      <c r="D5395" s="9"/>
      <c r="G5395" s="9"/>
      <c r="J5395" s="11"/>
      <c r="U5395" s="9"/>
      <c r="X5395" s="9"/>
    </row>
    <row r="5396">
      <c r="D5396" s="9"/>
      <c r="G5396" s="9"/>
      <c r="J5396" s="11"/>
      <c r="U5396" s="9"/>
      <c r="X5396" s="9"/>
    </row>
    <row r="5397">
      <c r="D5397" s="9"/>
      <c r="G5397" s="9"/>
      <c r="J5397" s="11"/>
      <c r="U5397" s="9"/>
      <c r="X5397" s="9"/>
    </row>
    <row r="5398">
      <c r="D5398" s="9"/>
      <c r="G5398" s="9"/>
      <c r="J5398" s="11"/>
      <c r="U5398" s="9"/>
      <c r="X5398" s="9"/>
    </row>
    <row r="5399">
      <c r="D5399" s="9"/>
      <c r="G5399" s="9"/>
      <c r="J5399" s="11"/>
      <c r="U5399" s="9"/>
      <c r="X5399" s="9"/>
    </row>
    <row r="5400">
      <c r="D5400" s="9"/>
      <c r="G5400" s="9"/>
      <c r="J5400" s="11"/>
      <c r="U5400" s="9"/>
      <c r="X5400" s="9"/>
    </row>
    <row r="5401">
      <c r="D5401" s="9"/>
      <c r="G5401" s="9"/>
      <c r="J5401" s="11"/>
      <c r="U5401" s="9"/>
      <c r="X5401" s="9"/>
    </row>
    <row r="5402">
      <c r="D5402" s="9"/>
      <c r="G5402" s="9"/>
      <c r="J5402" s="11"/>
      <c r="U5402" s="9"/>
      <c r="X5402" s="9"/>
    </row>
    <row r="5403">
      <c r="D5403" s="9"/>
      <c r="G5403" s="9"/>
      <c r="J5403" s="11"/>
      <c r="U5403" s="9"/>
      <c r="X5403" s="9"/>
    </row>
    <row r="5404">
      <c r="D5404" s="9"/>
      <c r="G5404" s="9"/>
      <c r="J5404" s="11"/>
      <c r="U5404" s="9"/>
      <c r="X5404" s="9"/>
    </row>
    <row r="5405">
      <c r="D5405" s="9"/>
      <c r="G5405" s="9"/>
      <c r="J5405" s="11"/>
      <c r="U5405" s="9"/>
      <c r="X5405" s="9"/>
    </row>
    <row r="5406">
      <c r="D5406" s="9"/>
      <c r="G5406" s="9"/>
      <c r="J5406" s="11"/>
      <c r="U5406" s="9"/>
      <c r="X5406" s="9"/>
    </row>
    <row r="5407">
      <c r="D5407" s="9"/>
      <c r="G5407" s="9"/>
      <c r="J5407" s="11"/>
      <c r="U5407" s="9"/>
      <c r="X5407" s="9"/>
    </row>
    <row r="5408">
      <c r="D5408" s="9"/>
      <c r="G5408" s="9"/>
      <c r="J5408" s="11"/>
      <c r="U5408" s="9"/>
      <c r="X5408" s="9"/>
    </row>
    <row r="5409">
      <c r="D5409" s="9"/>
      <c r="G5409" s="9"/>
      <c r="J5409" s="11"/>
      <c r="U5409" s="9"/>
      <c r="X5409" s="9"/>
    </row>
    <row r="5410">
      <c r="D5410" s="9"/>
      <c r="G5410" s="9"/>
      <c r="J5410" s="11"/>
      <c r="U5410" s="9"/>
      <c r="X5410" s="9"/>
    </row>
    <row r="5411">
      <c r="D5411" s="9"/>
      <c r="G5411" s="9"/>
      <c r="J5411" s="11"/>
      <c r="U5411" s="9"/>
      <c r="X5411" s="9"/>
    </row>
    <row r="5412">
      <c r="D5412" s="9"/>
      <c r="G5412" s="9"/>
      <c r="J5412" s="11"/>
      <c r="U5412" s="9"/>
      <c r="X5412" s="9"/>
    </row>
    <row r="5413">
      <c r="D5413" s="9"/>
      <c r="G5413" s="9"/>
      <c r="J5413" s="11"/>
      <c r="U5413" s="9"/>
      <c r="X5413" s="9"/>
    </row>
    <row r="5414">
      <c r="D5414" s="9"/>
      <c r="G5414" s="9"/>
      <c r="J5414" s="11"/>
      <c r="U5414" s="9"/>
      <c r="X5414" s="9"/>
    </row>
    <row r="5415">
      <c r="D5415" s="9"/>
      <c r="G5415" s="9"/>
      <c r="J5415" s="11"/>
      <c r="U5415" s="9"/>
      <c r="X5415" s="9"/>
    </row>
    <row r="5416">
      <c r="D5416" s="9"/>
      <c r="G5416" s="9"/>
      <c r="J5416" s="11"/>
      <c r="U5416" s="9"/>
      <c r="X5416" s="9"/>
    </row>
    <row r="5417">
      <c r="D5417" s="9"/>
      <c r="G5417" s="9"/>
      <c r="J5417" s="11"/>
      <c r="U5417" s="9"/>
      <c r="X5417" s="9"/>
    </row>
    <row r="5418">
      <c r="D5418" s="9"/>
      <c r="G5418" s="9"/>
      <c r="J5418" s="11"/>
      <c r="U5418" s="9"/>
      <c r="X5418" s="9"/>
    </row>
    <row r="5419">
      <c r="D5419" s="9"/>
      <c r="G5419" s="9"/>
      <c r="J5419" s="11"/>
      <c r="U5419" s="9"/>
      <c r="X5419" s="9"/>
    </row>
    <row r="5420">
      <c r="D5420" s="9"/>
      <c r="G5420" s="9"/>
      <c r="J5420" s="11"/>
      <c r="U5420" s="9"/>
      <c r="X5420" s="9"/>
    </row>
    <row r="5421">
      <c r="D5421" s="9"/>
      <c r="G5421" s="9"/>
      <c r="J5421" s="11"/>
      <c r="U5421" s="9"/>
      <c r="X5421" s="9"/>
    </row>
    <row r="5422">
      <c r="D5422" s="9"/>
      <c r="G5422" s="9"/>
      <c r="J5422" s="11"/>
      <c r="U5422" s="9"/>
      <c r="X5422" s="9"/>
    </row>
    <row r="5423">
      <c r="D5423" s="9"/>
      <c r="G5423" s="9"/>
      <c r="J5423" s="11"/>
      <c r="U5423" s="9"/>
      <c r="X5423" s="9"/>
    </row>
    <row r="5424">
      <c r="D5424" s="9"/>
      <c r="G5424" s="9"/>
      <c r="J5424" s="11"/>
      <c r="U5424" s="9"/>
      <c r="X5424" s="9"/>
    </row>
    <row r="5425">
      <c r="D5425" s="9"/>
      <c r="G5425" s="9"/>
      <c r="J5425" s="11"/>
      <c r="U5425" s="9"/>
      <c r="X5425" s="9"/>
    </row>
    <row r="5426">
      <c r="D5426" s="9"/>
      <c r="G5426" s="9"/>
      <c r="J5426" s="11"/>
      <c r="U5426" s="9"/>
      <c r="X5426" s="9"/>
    </row>
    <row r="5427">
      <c r="D5427" s="9"/>
      <c r="G5427" s="9"/>
      <c r="J5427" s="11"/>
      <c r="U5427" s="9"/>
      <c r="X5427" s="9"/>
    </row>
    <row r="5428">
      <c r="D5428" s="9"/>
      <c r="G5428" s="9"/>
      <c r="J5428" s="11"/>
      <c r="U5428" s="9"/>
      <c r="X5428" s="9"/>
    </row>
    <row r="5429">
      <c r="D5429" s="9"/>
      <c r="G5429" s="9"/>
      <c r="J5429" s="11"/>
      <c r="U5429" s="9"/>
      <c r="X5429" s="9"/>
    </row>
    <row r="5430">
      <c r="D5430" s="9"/>
      <c r="G5430" s="9"/>
      <c r="J5430" s="11"/>
      <c r="U5430" s="9"/>
      <c r="X5430" s="9"/>
    </row>
    <row r="5431">
      <c r="D5431" s="9"/>
      <c r="G5431" s="9"/>
      <c r="J5431" s="11"/>
      <c r="U5431" s="9"/>
      <c r="X5431" s="9"/>
    </row>
    <row r="5432">
      <c r="D5432" s="9"/>
      <c r="G5432" s="9"/>
      <c r="J5432" s="11"/>
      <c r="U5432" s="9"/>
      <c r="X5432" s="9"/>
    </row>
    <row r="5433">
      <c r="D5433" s="9"/>
      <c r="G5433" s="9"/>
      <c r="J5433" s="11"/>
      <c r="U5433" s="9"/>
      <c r="X5433" s="9"/>
    </row>
    <row r="5434">
      <c r="D5434" s="9"/>
      <c r="G5434" s="9"/>
      <c r="J5434" s="11"/>
      <c r="U5434" s="9"/>
      <c r="X5434" s="9"/>
    </row>
    <row r="5435">
      <c r="D5435" s="9"/>
      <c r="G5435" s="9"/>
      <c r="J5435" s="11"/>
      <c r="U5435" s="9"/>
      <c r="X5435" s="9"/>
    </row>
    <row r="5436">
      <c r="D5436" s="9"/>
      <c r="G5436" s="9"/>
      <c r="J5436" s="11"/>
      <c r="U5436" s="9"/>
      <c r="X5436" s="9"/>
    </row>
    <row r="5437">
      <c r="D5437" s="9"/>
      <c r="G5437" s="9"/>
      <c r="J5437" s="11"/>
      <c r="U5437" s="9"/>
      <c r="X5437" s="9"/>
    </row>
    <row r="5438">
      <c r="D5438" s="9"/>
      <c r="G5438" s="9"/>
      <c r="J5438" s="11"/>
      <c r="U5438" s="9"/>
      <c r="X5438" s="9"/>
    </row>
    <row r="5439">
      <c r="D5439" s="9"/>
      <c r="G5439" s="9"/>
      <c r="J5439" s="11"/>
      <c r="U5439" s="9"/>
      <c r="X5439" s="9"/>
    </row>
    <row r="5440">
      <c r="D5440" s="9"/>
      <c r="G5440" s="9"/>
      <c r="J5440" s="11"/>
      <c r="U5440" s="9"/>
      <c r="X5440" s="9"/>
    </row>
    <row r="5441">
      <c r="D5441" s="9"/>
      <c r="G5441" s="9"/>
      <c r="J5441" s="11"/>
      <c r="U5441" s="9"/>
      <c r="X5441" s="9"/>
    </row>
    <row r="5442">
      <c r="D5442" s="9"/>
      <c r="G5442" s="9"/>
      <c r="J5442" s="11"/>
      <c r="U5442" s="9"/>
      <c r="X5442" s="9"/>
    </row>
    <row r="5443">
      <c r="D5443" s="9"/>
      <c r="G5443" s="9"/>
      <c r="J5443" s="11"/>
      <c r="U5443" s="9"/>
      <c r="X5443" s="9"/>
    </row>
    <row r="5444">
      <c r="D5444" s="9"/>
      <c r="G5444" s="9"/>
      <c r="J5444" s="11"/>
      <c r="U5444" s="9"/>
      <c r="X5444" s="9"/>
    </row>
    <row r="5445">
      <c r="D5445" s="9"/>
      <c r="G5445" s="9"/>
      <c r="J5445" s="11"/>
      <c r="U5445" s="9"/>
      <c r="X5445" s="9"/>
    </row>
    <row r="5446">
      <c r="D5446" s="9"/>
      <c r="G5446" s="9"/>
      <c r="J5446" s="11"/>
      <c r="U5446" s="9"/>
      <c r="X5446" s="9"/>
    </row>
    <row r="5447">
      <c r="D5447" s="9"/>
      <c r="G5447" s="9"/>
      <c r="J5447" s="11"/>
      <c r="U5447" s="9"/>
      <c r="X5447" s="9"/>
    </row>
    <row r="5448">
      <c r="D5448" s="9"/>
      <c r="G5448" s="9"/>
      <c r="J5448" s="11"/>
      <c r="U5448" s="9"/>
      <c r="X5448" s="9"/>
    </row>
    <row r="5449">
      <c r="D5449" s="9"/>
      <c r="G5449" s="9"/>
      <c r="J5449" s="11"/>
      <c r="U5449" s="9"/>
      <c r="X5449" s="9"/>
    </row>
    <row r="5450">
      <c r="D5450" s="9"/>
      <c r="G5450" s="9"/>
      <c r="J5450" s="11"/>
      <c r="U5450" s="9"/>
      <c r="X5450" s="9"/>
    </row>
    <row r="5451">
      <c r="D5451" s="9"/>
      <c r="G5451" s="9"/>
      <c r="J5451" s="11"/>
      <c r="U5451" s="9"/>
      <c r="X5451" s="9"/>
    </row>
    <row r="5452">
      <c r="D5452" s="9"/>
      <c r="G5452" s="9"/>
      <c r="J5452" s="11"/>
      <c r="U5452" s="9"/>
      <c r="X5452" s="9"/>
    </row>
    <row r="5453">
      <c r="D5453" s="9"/>
      <c r="G5453" s="9"/>
      <c r="J5453" s="11"/>
      <c r="U5453" s="9"/>
      <c r="X5453" s="9"/>
    </row>
    <row r="5454">
      <c r="D5454" s="9"/>
      <c r="G5454" s="9"/>
      <c r="J5454" s="11"/>
      <c r="U5454" s="9"/>
      <c r="X5454" s="9"/>
    </row>
    <row r="5455">
      <c r="D5455" s="9"/>
      <c r="G5455" s="9"/>
      <c r="J5455" s="11"/>
      <c r="U5455" s="9"/>
      <c r="X5455" s="9"/>
    </row>
    <row r="5456">
      <c r="D5456" s="9"/>
      <c r="G5456" s="9"/>
      <c r="J5456" s="11"/>
      <c r="U5456" s="9"/>
      <c r="X5456" s="9"/>
    </row>
    <row r="5457">
      <c r="D5457" s="9"/>
      <c r="G5457" s="9"/>
      <c r="J5457" s="11"/>
      <c r="U5457" s="9"/>
      <c r="X5457" s="9"/>
    </row>
    <row r="5458">
      <c r="D5458" s="9"/>
      <c r="G5458" s="9"/>
      <c r="J5458" s="11"/>
      <c r="U5458" s="9"/>
      <c r="X5458" s="9"/>
    </row>
    <row r="5459">
      <c r="D5459" s="9"/>
      <c r="G5459" s="9"/>
      <c r="J5459" s="11"/>
      <c r="U5459" s="9"/>
      <c r="X5459" s="9"/>
    </row>
    <row r="5460">
      <c r="D5460" s="9"/>
      <c r="G5460" s="9"/>
      <c r="J5460" s="11"/>
      <c r="U5460" s="9"/>
      <c r="X5460" s="9"/>
    </row>
    <row r="5461">
      <c r="D5461" s="9"/>
      <c r="G5461" s="9"/>
      <c r="J5461" s="11"/>
      <c r="U5461" s="9"/>
      <c r="X5461" s="9"/>
    </row>
    <row r="5462">
      <c r="D5462" s="9"/>
      <c r="G5462" s="9"/>
      <c r="J5462" s="11"/>
      <c r="U5462" s="9"/>
      <c r="X5462" s="9"/>
    </row>
    <row r="5463">
      <c r="D5463" s="9"/>
      <c r="G5463" s="9"/>
      <c r="J5463" s="11"/>
      <c r="U5463" s="9"/>
      <c r="X5463" s="9"/>
    </row>
    <row r="5464">
      <c r="D5464" s="9"/>
      <c r="G5464" s="9"/>
      <c r="J5464" s="11"/>
      <c r="U5464" s="9"/>
      <c r="X5464" s="9"/>
    </row>
    <row r="5465">
      <c r="D5465" s="9"/>
      <c r="G5465" s="9"/>
      <c r="J5465" s="11"/>
      <c r="U5465" s="9"/>
      <c r="X5465" s="9"/>
    </row>
    <row r="5466">
      <c r="D5466" s="9"/>
      <c r="G5466" s="9"/>
      <c r="J5466" s="11"/>
      <c r="U5466" s="9"/>
      <c r="X5466" s="9"/>
    </row>
    <row r="5467">
      <c r="D5467" s="9"/>
      <c r="G5467" s="9"/>
      <c r="J5467" s="11"/>
      <c r="U5467" s="9"/>
      <c r="X5467" s="9"/>
    </row>
    <row r="5468">
      <c r="D5468" s="9"/>
      <c r="G5468" s="9"/>
      <c r="J5468" s="11"/>
      <c r="U5468" s="9"/>
      <c r="X5468" s="9"/>
    </row>
    <row r="5469">
      <c r="D5469" s="9"/>
      <c r="G5469" s="9"/>
      <c r="J5469" s="11"/>
      <c r="U5469" s="9"/>
      <c r="X5469" s="9"/>
    </row>
    <row r="5470">
      <c r="D5470" s="9"/>
      <c r="G5470" s="9"/>
      <c r="J5470" s="11"/>
      <c r="U5470" s="9"/>
      <c r="X5470" s="9"/>
    </row>
    <row r="5471">
      <c r="D5471" s="9"/>
      <c r="G5471" s="9"/>
      <c r="J5471" s="11"/>
      <c r="U5471" s="9"/>
      <c r="X5471" s="9"/>
    </row>
    <row r="5472">
      <c r="D5472" s="9"/>
      <c r="G5472" s="9"/>
      <c r="J5472" s="11"/>
      <c r="U5472" s="9"/>
      <c r="X5472" s="9"/>
    </row>
    <row r="5473">
      <c r="D5473" s="9"/>
      <c r="G5473" s="9"/>
      <c r="J5473" s="11"/>
      <c r="U5473" s="9"/>
      <c r="X5473" s="9"/>
    </row>
    <row r="5474">
      <c r="D5474" s="9"/>
      <c r="G5474" s="9"/>
      <c r="J5474" s="11"/>
      <c r="U5474" s="9"/>
      <c r="X5474" s="9"/>
    </row>
    <row r="5475">
      <c r="D5475" s="9"/>
      <c r="G5475" s="9"/>
      <c r="J5475" s="11"/>
      <c r="U5475" s="9"/>
      <c r="X5475" s="9"/>
    </row>
    <row r="5476">
      <c r="D5476" s="9"/>
      <c r="G5476" s="9"/>
      <c r="J5476" s="11"/>
      <c r="U5476" s="9"/>
      <c r="X5476" s="9"/>
    </row>
    <row r="5477">
      <c r="D5477" s="9"/>
      <c r="G5477" s="9"/>
      <c r="J5477" s="11"/>
      <c r="U5477" s="9"/>
      <c r="X5477" s="9"/>
    </row>
    <row r="5478">
      <c r="D5478" s="9"/>
      <c r="G5478" s="9"/>
      <c r="J5478" s="11"/>
      <c r="U5478" s="9"/>
      <c r="X5478" s="9"/>
    </row>
    <row r="5479">
      <c r="D5479" s="9"/>
      <c r="G5479" s="9"/>
      <c r="J5479" s="11"/>
      <c r="U5479" s="9"/>
      <c r="X5479" s="9"/>
    </row>
    <row r="5480">
      <c r="D5480" s="9"/>
      <c r="G5480" s="9"/>
      <c r="J5480" s="11"/>
      <c r="U5480" s="9"/>
      <c r="X5480" s="9"/>
    </row>
    <row r="5481">
      <c r="D5481" s="9"/>
      <c r="G5481" s="9"/>
      <c r="J5481" s="11"/>
      <c r="U5481" s="9"/>
      <c r="X5481" s="9"/>
    </row>
    <row r="5482">
      <c r="D5482" s="9"/>
      <c r="G5482" s="9"/>
      <c r="J5482" s="11"/>
      <c r="U5482" s="9"/>
      <c r="X5482" s="9"/>
    </row>
    <row r="5483">
      <c r="D5483" s="9"/>
      <c r="G5483" s="9"/>
      <c r="J5483" s="11"/>
      <c r="U5483" s="9"/>
      <c r="X5483" s="9"/>
    </row>
    <row r="5484">
      <c r="D5484" s="9"/>
      <c r="G5484" s="9"/>
      <c r="J5484" s="11"/>
      <c r="U5484" s="9"/>
      <c r="X5484" s="9"/>
    </row>
    <row r="5485">
      <c r="D5485" s="9"/>
      <c r="G5485" s="9"/>
      <c r="J5485" s="11"/>
      <c r="U5485" s="9"/>
      <c r="X5485" s="9"/>
    </row>
    <row r="5486">
      <c r="D5486" s="9"/>
      <c r="G5486" s="9"/>
      <c r="J5486" s="11"/>
      <c r="U5486" s="9"/>
      <c r="X5486" s="9"/>
    </row>
    <row r="5487">
      <c r="D5487" s="9"/>
      <c r="G5487" s="9"/>
      <c r="J5487" s="11"/>
      <c r="U5487" s="9"/>
      <c r="X5487" s="9"/>
    </row>
    <row r="5488">
      <c r="D5488" s="9"/>
      <c r="G5488" s="9"/>
      <c r="J5488" s="11"/>
      <c r="U5488" s="9"/>
      <c r="X5488" s="9"/>
    </row>
    <row r="5489">
      <c r="D5489" s="9"/>
      <c r="G5489" s="9"/>
      <c r="J5489" s="11"/>
      <c r="U5489" s="9"/>
      <c r="X5489" s="9"/>
    </row>
    <row r="5490">
      <c r="D5490" s="9"/>
      <c r="G5490" s="9"/>
      <c r="J5490" s="11"/>
      <c r="U5490" s="9"/>
      <c r="X5490" s="9"/>
    </row>
    <row r="5491">
      <c r="D5491" s="9"/>
      <c r="G5491" s="9"/>
      <c r="J5491" s="11"/>
      <c r="U5491" s="9"/>
      <c r="X5491" s="9"/>
    </row>
    <row r="5492">
      <c r="D5492" s="9"/>
      <c r="G5492" s="9"/>
      <c r="J5492" s="11"/>
      <c r="U5492" s="9"/>
      <c r="X5492" s="9"/>
    </row>
    <row r="5493">
      <c r="D5493" s="9"/>
      <c r="G5493" s="9"/>
      <c r="J5493" s="11"/>
      <c r="U5493" s="9"/>
      <c r="X5493" s="9"/>
    </row>
    <row r="5494">
      <c r="D5494" s="9"/>
      <c r="G5494" s="9"/>
      <c r="J5494" s="11"/>
      <c r="U5494" s="9"/>
      <c r="X5494" s="9"/>
    </row>
    <row r="5495">
      <c r="D5495" s="9"/>
      <c r="G5495" s="9"/>
      <c r="J5495" s="11"/>
      <c r="U5495" s="9"/>
      <c r="X5495" s="9"/>
    </row>
    <row r="5496">
      <c r="D5496" s="9"/>
      <c r="G5496" s="9"/>
      <c r="J5496" s="11"/>
      <c r="U5496" s="9"/>
      <c r="X5496" s="9"/>
    </row>
    <row r="5497">
      <c r="D5497" s="9"/>
      <c r="G5497" s="9"/>
      <c r="J5497" s="11"/>
      <c r="U5497" s="9"/>
      <c r="X5497" s="9"/>
    </row>
    <row r="5498">
      <c r="D5498" s="9"/>
      <c r="G5498" s="9"/>
      <c r="J5498" s="11"/>
      <c r="U5498" s="9"/>
      <c r="X5498" s="9"/>
    </row>
    <row r="5499">
      <c r="D5499" s="9"/>
      <c r="G5499" s="9"/>
      <c r="J5499" s="11"/>
      <c r="U5499" s="9"/>
      <c r="X5499" s="9"/>
    </row>
    <row r="5500">
      <c r="D5500" s="9"/>
      <c r="G5500" s="9"/>
      <c r="J5500" s="11"/>
      <c r="U5500" s="9"/>
      <c r="X5500" s="9"/>
    </row>
    <row r="5501">
      <c r="D5501" s="9"/>
      <c r="G5501" s="9"/>
      <c r="J5501" s="11"/>
      <c r="U5501" s="9"/>
      <c r="X5501" s="9"/>
    </row>
    <row r="5502">
      <c r="D5502" s="9"/>
      <c r="G5502" s="9"/>
      <c r="J5502" s="11"/>
      <c r="U5502" s="9"/>
      <c r="X5502" s="9"/>
    </row>
    <row r="5503">
      <c r="D5503" s="9"/>
      <c r="G5503" s="9"/>
      <c r="J5503" s="11"/>
      <c r="U5503" s="9"/>
      <c r="X5503" s="9"/>
    </row>
    <row r="5504">
      <c r="D5504" s="9"/>
      <c r="G5504" s="9"/>
      <c r="J5504" s="11"/>
      <c r="U5504" s="9"/>
      <c r="X5504" s="9"/>
    </row>
    <row r="5505">
      <c r="D5505" s="9"/>
      <c r="G5505" s="9"/>
      <c r="J5505" s="11"/>
      <c r="U5505" s="9"/>
      <c r="X5505" s="9"/>
    </row>
    <row r="5506">
      <c r="D5506" s="9"/>
      <c r="G5506" s="9"/>
      <c r="J5506" s="11"/>
      <c r="U5506" s="9"/>
      <c r="X5506" s="9"/>
    </row>
    <row r="5507">
      <c r="D5507" s="9"/>
      <c r="G5507" s="9"/>
      <c r="J5507" s="11"/>
      <c r="U5507" s="9"/>
      <c r="X5507" s="9"/>
    </row>
    <row r="5508">
      <c r="D5508" s="9"/>
      <c r="G5508" s="9"/>
      <c r="J5508" s="11"/>
      <c r="U5508" s="9"/>
      <c r="X5508" s="9"/>
    </row>
    <row r="5509">
      <c r="D5509" s="9"/>
      <c r="G5509" s="9"/>
      <c r="J5509" s="11"/>
      <c r="U5509" s="9"/>
      <c r="X5509" s="9"/>
    </row>
    <row r="5510">
      <c r="D5510" s="9"/>
      <c r="G5510" s="9"/>
      <c r="J5510" s="11"/>
      <c r="U5510" s="9"/>
      <c r="X5510" s="9"/>
    </row>
    <row r="5511">
      <c r="D5511" s="9"/>
      <c r="G5511" s="9"/>
      <c r="J5511" s="11"/>
      <c r="U5511" s="9"/>
      <c r="X5511" s="9"/>
    </row>
    <row r="5512">
      <c r="D5512" s="9"/>
      <c r="G5512" s="9"/>
      <c r="J5512" s="11"/>
      <c r="U5512" s="9"/>
      <c r="X5512" s="9"/>
    </row>
    <row r="5513">
      <c r="D5513" s="9"/>
      <c r="G5513" s="9"/>
      <c r="J5513" s="11"/>
      <c r="U5513" s="9"/>
      <c r="X5513" s="9"/>
    </row>
    <row r="5514">
      <c r="D5514" s="9"/>
      <c r="G5514" s="9"/>
      <c r="J5514" s="11"/>
      <c r="U5514" s="9"/>
      <c r="X5514" s="9"/>
    </row>
    <row r="5515">
      <c r="D5515" s="9"/>
      <c r="G5515" s="9"/>
      <c r="J5515" s="11"/>
      <c r="U5515" s="9"/>
      <c r="X5515" s="9"/>
    </row>
    <row r="5516">
      <c r="D5516" s="9"/>
      <c r="G5516" s="9"/>
      <c r="J5516" s="11"/>
      <c r="U5516" s="9"/>
      <c r="X5516" s="9"/>
    </row>
    <row r="5517">
      <c r="D5517" s="9"/>
      <c r="G5517" s="9"/>
      <c r="J5517" s="11"/>
      <c r="U5517" s="9"/>
      <c r="X5517" s="9"/>
    </row>
    <row r="5518">
      <c r="D5518" s="9"/>
      <c r="G5518" s="9"/>
      <c r="J5518" s="11"/>
      <c r="U5518" s="9"/>
      <c r="X5518" s="9"/>
    </row>
    <row r="5519">
      <c r="D5519" s="9"/>
      <c r="G5519" s="9"/>
      <c r="J5519" s="11"/>
      <c r="U5519" s="9"/>
      <c r="X5519" s="9"/>
    </row>
    <row r="5520">
      <c r="D5520" s="9"/>
      <c r="G5520" s="9"/>
      <c r="J5520" s="11"/>
      <c r="U5520" s="9"/>
      <c r="X5520" s="9"/>
    </row>
    <row r="5521">
      <c r="D5521" s="9"/>
      <c r="G5521" s="9"/>
      <c r="J5521" s="11"/>
      <c r="U5521" s="9"/>
      <c r="X5521" s="9"/>
    </row>
    <row r="5522">
      <c r="D5522" s="9"/>
      <c r="G5522" s="9"/>
      <c r="J5522" s="11"/>
      <c r="U5522" s="9"/>
      <c r="X5522" s="9"/>
    </row>
    <row r="5523">
      <c r="D5523" s="9"/>
      <c r="G5523" s="9"/>
      <c r="J5523" s="11"/>
      <c r="U5523" s="9"/>
      <c r="X5523" s="9"/>
    </row>
    <row r="5524">
      <c r="D5524" s="9"/>
      <c r="G5524" s="9"/>
      <c r="J5524" s="11"/>
      <c r="U5524" s="9"/>
      <c r="X5524" s="9"/>
    </row>
    <row r="5525">
      <c r="D5525" s="9"/>
      <c r="G5525" s="9"/>
      <c r="J5525" s="11"/>
      <c r="U5525" s="9"/>
      <c r="X5525" s="9"/>
    </row>
    <row r="5526">
      <c r="D5526" s="9"/>
      <c r="G5526" s="9"/>
      <c r="J5526" s="11"/>
      <c r="U5526" s="9"/>
      <c r="X5526" s="9"/>
    </row>
    <row r="5527">
      <c r="D5527" s="9"/>
      <c r="G5527" s="9"/>
      <c r="J5527" s="11"/>
      <c r="U5527" s="9"/>
      <c r="X5527" s="9"/>
    </row>
    <row r="5528">
      <c r="D5528" s="9"/>
      <c r="G5528" s="9"/>
      <c r="J5528" s="11"/>
      <c r="U5528" s="9"/>
      <c r="X5528" s="9"/>
    </row>
    <row r="5529">
      <c r="D5529" s="9"/>
      <c r="G5529" s="9"/>
      <c r="J5529" s="11"/>
      <c r="U5529" s="9"/>
      <c r="X5529" s="9"/>
    </row>
    <row r="5530">
      <c r="D5530" s="9"/>
      <c r="G5530" s="9"/>
      <c r="J5530" s="11"/>
      <c r="U5530" s="9"/>
      <c r="X5530" s="9"/>
    </row>
    <row r="5531">
      <c r="D5531" s="9"/>
      <c r="G5531" s="9"/>
      <c r="J5531" s="11"/>
      <c r="U5531" s="9"/>
      <c r="X5531" s="9"/>
    </row>
    <row r="5532">
      <c r="D5532" s="9"/>
      <c r="G5532" s="9"/>
      <c r="J5532" s="11"/>
      <c r="U5532" s="9"/>
      <c r="X5532" s="9"/>
    </row>
    <row r="5533">
      <c r="D5533" s="9"/>
      <c r="G5533" s="9"/>
      <c r="J5533" s="11"/>
      <c r="U5533" s="9"/>
      <c r="X5533" s="9"/>
    </row>
    <row r="5534">
      <c r="D5534" s="9"/>
      <c r="G5534" s="9"/>
      <c r="J5534" s="11"/>
      <c r="U5534" s="9"/>
      <c r="X5534" s="9"/>
    </row>
    <row r="5535">
      <c r="D5535" s="9"/>
      <c r="G5535" s="9"/>
      <c r="J5535" s="11"/>
      <c r="U5535" s="9"/>
      <c r="X5535" s="9"/>
    </row>
    <row r="5536">
      <c r="D5536" s="9"/>
      <c r="G5536" s="9"/>
      <c r="J5536" s="11"/>
      <c r="U5536" s="9"/>
      <c r="X5536" s="9"/>
    </row>
    <row r="5537">
      <c r="D5537" s="9"/>
      <c r="G5537" s="9"/>
      <c r="J5537" s="11"/>
      <c r="U5537" s="9"/>
      <c r="X5537" s="9"/>
    </row>
    <row r="5538">
      <c r="D5538" s="9"/>
      <c r="G5538" s="9"/>
      <c r="J5538" s="11"/>
      <c r="U5538" s="9"/>
      <c r="X5538" s="9"/>
    </row>
    <row r="5539">
      <c r="D5539" s="9"/>
      <c r="G5539" s="9"/>
      <c r="J5539" s="11"/>
      <c r="U5539" s="9"/>
      <c r="X5539" s="9"/>
    </row>
    <row r="5540">
      <c r="D5540" s="9"/>
      <c r="G5540" s="9"/>
      <c r="J5540" s="11"/>
      <c r="U5540" s="9"/>
      <c r="X5540" s="9"/>
    </row>
    <row r="5541">
      <c r="D5541" s="9"/>
      <c r="G5541" s="9"/>
      <c r="J5541" s="11"/>
      <c r="U5541" s="9"/>
      <c r="X5541" s="9"/>
    </row>
    <row r="5542">
      <c r="D5542" s="9"/>
      <c r="G5542" s="9"/>
      <c r="J5542" s="11"/>
      <c r="U5542" s="9"/>
      <c r="X5542" s="9"/>
    </row>
    <row r="5543">
      <c r="D5543" s="9"/>
      <c r="G5543" s="9"/>
      <c r="J5543" s="11"/>
      <c r="U5543" s="9"/>
      <c r="X5543" s="9"/>
    </row>
    <row r="5544">
      <c r="D5544" s="9"/>
      <c r="G5544" s="9"/>
      <c r="J5544" s="11"/>
      <c r="U5544" s="9"/>
      <c r="X5544" s="9"/>
    </row>
    <row r="5545">
      <c r="D5545" s="9"/>
      <c r="G5545" s="9"/>
      <c r="J5545" s="11"/>
      <c r="U5545" s="9"/>
      <c r="X5545" s="9"/>
    </row>
    <row r="5546">
      <c r="D5546" s="9"/>
      <c r="G5546" s="9"/>
      <c r="J5546" s="11"/>
      <c r="U5546" s="9"/>
      <c r="X5546" s="9"/>
    </row>
    <row r="5547">
      <c r="D5547" s="9"/>
      <c r="G5547" s="9"/>
      <c r="J5547" s="11"/>
      <c r="U5547" s="9"/>
      <c r="X5547" s="9"/>
    </row>
    <row r="5548">
      <c r="D5548" s="9"/>
      <c r="G5548" s="9"/>
      <c r="J5548" s="11"/>
      <c r="U5548" s="9"/>
      <c r="X5548" s="9"/>
    </row>
    <row r="5549">
      <c r="D5549" s="9"/>
      <c r="G5549" s="9"/>
      <c r="J5549" s="11"/>
      <c r="U5549" s="9"/>
      <c r="X5549" s="9"/>
    </row>
    <row r="5550">
      <c r="D5550" s="9"/>
      <c r="G5550" s="9"/>
      <c r="J5550" s="11"/>
      <c r="U5550" s="9"/>
      <c r="X5550" s="9"/>
    </row>
    <row r="5551">
      <c r="D5551" s="9"/>
      <c r="G5551" s="9"/>
      <c r="J5551" s="11"/>
      <c r="U5551" s="9"/>
      <c r="X5551" s="9"/>
    </row>
    <row r="5552">
      <c r="D5552" s="9"/>
      <c r="G5552" s="9"/>
      <c r="J5552" s="11"/>
      <c r="U5552" s="9"/>
      <c r="X5552" s="9"/>
    </row>
    <row r="5553">
      <c r="D5553" s="9"/>
      <c r="G5553" s="9"/>
      <c r="J5553" s="11"/>
      <c r="U5553" s="9"/>
      <c r="X5553" s="9"/>
    </row>
    <row r="5554">
      <c r="D5554" s="9"/>
      <c r="G5554" s="9"/>
      <c r="J5554" s="11"/>
      <c r="U5554" s="9"/>
      <c r="X5554" s="9"/>
    </row>
    <row r="5555">
      <c r="D5555" s="9"/>
      <c r="G5555" s="9"/>
      <c r="J5555" s="11"/>
      <c r="U5555" s="9"/>
      <c r="X5555" s="9"/>
    </row>
    <row r="5556">
      <c r="D5556" s="9"/>
      <c r="G5556" s="9"/>
      <c r="J5556" s="11"/>
      <c r="U5556" s="9"/>
      <c r="X5556" s="9"/>
    </row>
    <row r="5557">
      <c r="D5557" s="9"/>
      <c r="G5557" s="9"/>
      <c r="J5557" s="11"/>
      <c r="U5557" s="9"/>
      <c r="X5557" s="9"/>
    </row>
    <row r="5558">
      <c r="D5558" s="9"/>
      <c r="G5558" s="9"/>
      <c r="J5558" s="11"/>
      <c r="U5558" s="9"/>
      <c r="X5558" s="9"/>
    </row>
    <row r="5559">
      <c r="D5559" s="9"/>
      <c r="G5559" s="9"/>
      <c r="J5559" s="11"/>
      <c r="U5559" s="9"/>
      <c r="X5559" s="9"/>
    </row>
    <row r="5560">
      <c r="D5560" s="9"/>
      <c r="G5560" s="9"/>
      <c r="J5560" s="11"/>
      <c r="U5560" s="9"/>
      <c r="X5560" s="9"/>
    </row>
    <row r="5561">
      <c r="D5561" s="9"/>
      <c r="G5561" s="9"/>
      <c r="J5561" s="11"/>
      <c r="U5561" s="9"/>
      <c r="X5561" s="9"/>
    </row>
    <row r="5562">
      <c r="D5562" s="9"/>
      <c r="G5562" s="9"/>
      <c r="J5562" s="11"/>
      <c r="U5562" s="9"/>
      <c r="X5562" s="9"/>
    </row>
    <row r="5563">
      <c r="D5563" s="9"/>
      <c r="G5563" s="9"/>
      <c r="J5563" s="11"/>
      <c r="U5563" s="9"/>
      <c r="X5563" s="9"/>
    </row>
    <row r="5564">
      <c r="D5564" s="9"/>
      <c r="G5564" s="9"/>
      <c r="J5564" s="11"/>
      <c r="U5564" s="9"/>
      <c r="X5564" s="9"/>
    </row>
    <row r="5565">
      <c r="D5565" s="9"/>
      <c r="G5565" s="9"/>
      <c r="J5565" s="11"/>
      <c r="U5565" s="9"/>
      <c r="X5565" s="9"/>
    </row>
    <row r="5566">
      <c r="D5566" s="9"/>
      <c r="G5566" s="9"/>
      <c r="J5566" s="11"/>
      <c r="U5566" s="9"/>
      <c r="X5566" s="9"/>
    </row>
    <row r="5567">
      <c r="D5567" s="9"/>
      <c r="G5567" s="9"/>
      <c r="J5567" s="11"/>
      <c r="U5567" s="9"/>
      <c r="X5567" s="9"/>
    </row>
    <row r="5568">
      <c r="D5568" s="9"/>
      <c r="G5568" s="9"/>
      <c r="J5568" s="11"/>
      <c r="U5568" s="9"/>
      <c r="X5568" s="9"/>
    </row>
    <row r="5569">
      <c r="D5569" s="9"/>
      <c r="G5569" s="9"/>
      <c r="J5569" s="11"/>
      <c r="U5569" s="9"/>
      <c r="X5569" s="9"/>
    </row>
    <row r="5570">
      <c r="D5570" s="9"/>
      <c r="G5570" s="9"/>
      <c r="J5570" s="11"/>
      <c r="U5570" s="9"/>
      <c r="X5570" s="9"/>
    </row>
    <row r="5571">
      <c r="D5571" s="9"/>
      <c r="G5571" s="9"/>
      <c r="J5571" s="11"/>
      <c r="U5571" s="9"/>
      <c r="X5571" s="9"/>
    </row>
    <row r="5572">
      <c r="D5572" s="9"/>
      <c r="G5572" s="9"/>
      <c r="J5572" s="11"/>
      <c r="U5572" s="9"/>
      <c r="X5572" s="9"/>
    </row>
    <row r="5573">
      <c r="D5573" s="9"/>
      <c r="G5573" s="9"/>
      <c r="J5573" s="11"/>
      <c r="U5573" s="9"/>
      <c r="X5573" s="9"/>
    </row>
    <row r="5574">
      <c r="D5574" s="9"/>
      <c r="G5574" s="9"/>
      <c r="J5574" s="11"/>
      <c r="U5574" s="9"/>
      <c r="X5574" s="9"/>
    </row>
    <row r="5575">
      <c r="D5575" s="9"/>
      <c r="G5575" s="9"/>
      <c r="J5575" s="11"/>
      <c r="U5575" s="9"/>
      <c r="X5575" s="9"/>
    </row>
    <row r="5576">
      <c r="D5576" s="9"/>
      <c r="G5576" s="9"/>
      <c r="J5576" s="11"/>
      <c r="U5576" s="9"/>
      <c r="X5576" s="9"/>
    </row>
    <row r="5577">
      <c r="D5577" s="9"/>
      <c r="G5577" s="9"/>
      <c r="J5577" s="11"/>
      <c r="U5577" s="9"/>
      <c r="X5577" s="9"/>
    </row>
    <row r="5578">
      <c r="D5578" s="9"/>
      <c r="G5578" s="9"/>
      <c r="J5578" s="11"/>
      <c r="U5578" s="9"/>
      <c r="X5578" s="9"/>
    </row>
    <row r="5579">
      <c r="D5579" s="9"/>
      <c r="G5579" s="9"/>
      <c r="J5579" s="11"/>
      <c r="U5579" s="9"/>
      <c r="X5579" s="9"/>
    </row>
    <row r="5580">
      <c r="D5580" s="9"/>
      <c r="G5580" s="9"/>
      <c r="J5580" s="11"/>
      <c r="U5580" s="9"/>
      <c r="X5580" s="9"/>
    </row>
    <row r="5581">
      <c r="D5581" s="9"/>
      <c r="G5581" s="9"/>
      <c r="J5581" s="11"/>
      <c r="U5581" s="9"/>
      <c r="X5581" s="9"/>
    </row>
    <row r="5582">
      <c r="D5582" s="9"/>
      <c r="G5582" s="9"/>
      <c r="J5582" s="11"/>
      <c r="U5582" s="9"/>
      <c r="X5582" s="9"/>
    </row>
    <row r="5583">
      <c r="D5583" s="9"/>
      <c r="G5583" s="9"/>
      <c r="J5583" s="11"/>
      <c r="U5583" s="9"/>
      <c r="X5583" s="9"/>
    </row>
    <row r="5584">
      <c r="D5584" s="9"/>
      <c r="G5584" s="9"/>
      <c r="J5584" s="11"/>
      <c r="U5584" s="9"/>
      <c r="X5584" s="9"/>
    </row>
    <row r="5585">
      <c r="D5585" s="9"/>
      <c r="G5585" s="9"/>
      <c r="J5585" s="11"/>
      <c r="U5585" s="9"/>
      <c r="X5585" s="9"/>
    </row>
    <row r="5586">
      <c r="D5586" s="9"/>
      <c r="G5586" s="9"/>
      <c r="J5586" s="11"/>
      <c r="U5586" s="9"/>
      <c r="X5586" s="9"/>
    </row>
    <row r="5587">
      <c r="D5587" s="9"/>
      <c r="G5587" s="9"/>
      <c r="J5587" s="11"/>
      <c r="U5587" s="9"/>
      <c r="X5587" s="9"/>
    </row>
    <row r="5588">
      <c r="D5588" s="9"/>
      <c r="G5588" s="9"/>
      <c r="J5588" s="11"/>
      <c r="U5588" s="9"/>
      <c r="X5588" s="9"/>
    </row>
    <row r="5589">
      <c r="D5589" s="9"/>
      <c r="G5589" s="9"/>
      <c r="J5589" s="11"/>
      <c r="U5589" s="9"/>
      <c r="X5589" s="9"/>
    </row>
    <row r="5590">
      <c r="D5590" s="9"/>
      <c r="G5590" s="9"/>
      <c r="J5590" s="11"/>
      <c r="U5590" s="9"/>
      <c r="X5590" s="9"/>
    </row>
    <row r="5591">
      <c r="D5591" s="9"/>
      <c r="G5591" s="9"/>
      <c r="J5591" s="11"/>
      <c r="U5591" s="9"/>
      <c r="X5591" s="9"/>
    </row>
    <row r="5592">
      <c r="D5592" s="9"/>
      <c r="G5592" s="9"/>
      <c r="J5592" s="11"/>
      <c r="U5592" s="9"/>
      <c r="X5592" s="9"/>
    </row>
    <row r="5593">
      <c r="D5593" s="9"/>
      <c r="G5593" s="9"/>
      <c r="J5593" s="11"/>
      <c r="U5593" s="9"/>
      <c r="X5593" s="9"/>
    </row>
    <row r="5594">
      <c r="D5594" s="9"/>
      <c r="G5594" s="9"/>
      <c r="J5594" s="11"/>
      <c r="U5594" s="9"/>
      <c r="X5594" s="9"/>
    </row>
    <row r="5595">
      <c r="D5595" s="9"/>
      <c r="G5595" s="9"/>
      <c r="J5595" s="11"/>
      <c r="U5595" s="9"/>
      <c r="X5595" s="9"/>
    </row>
    <row r="5596">
      <c r="D5596" s="9"/>
      <c r="G5596" s="9"/>
      <c r="J5596" s="11"/>
      <c r="U5596" s="9"/>
      <c r="X5596" s="9"/>
    </row>
    <row r="5597">
      <c r="D5597" s="9"/>
      <c r="G5597" s="9"/>
      <c r="J5597" s="11"/>
      <c r="U5597" s="9"/>
      <c r="X5597" s="9"/>
    </row>
    <row r="5598">
      <c r="D5598" s="9"/>
      <c r="G5598" s="9"/>
      <c r="J5598" s="11"/>
      <c r="U5598" s="9"/>
      <c r="X5598" s="9"/>
    </row>
    <row r="5599">
      <c r="D5599" s="9"/>
      <c r="G5599" s="9"/>
      <c r="J5599" s="11"/>
      <c r="U5599" s="9"/>
      <c r="X5599" s="9"/>
    </row>
    <row r="5600">
      <c r="D5600" s="9"/>
      <c r="G5600" s="9"/>
      <c r="J5600" s="11"/>
      <c r="U5600" s="9"/>
      <c r="X5600" s="9"/>
    </row>
    <row r="5601">
      <c r="D5601" s="9"/>
      <c r="G5601" s="9"/>
      <c r="J5601" s="11"/>
      <c r="U5601" s="9"/>
      <c r="X5601" s="9"/>
    </row>
    <row r="5602">
      <c r="D5602" s="9"/>
      <c r="G5602" s="9"/>
      <c r="J5602" s="11"/>
      <c r="U5602" s="9"/>
      <c r="X5602" s="9"/>
    </row>
    <row r="5603">
      <c r="D5603" s="9"/>
      <c r="G5603" s="9"/>
      <c r="J5603" s="11"/>
      <c r="U5603" s="9"/>
      <c r="X5603" s="9"/>
    </row>
    <row r="5604">
      <c r="D5604" s="9"/>
      <c r="G5604" s="9"/>
      <c r="J5604" s="11"/>
      <c r="U5604" s="9"/>
      <c r="X5604" s="9"/>
    </row>
    <row r="5605">
      <c r="D5605" s="9"/>
      <c r="G5605" s="9"/>
      <c r="J5605" s="11"/>
      <c r="U5605" s="9"/>
      <c r="X5605" s="9"/>
    </row>
    <row r="5606">
      <c r="D5606" s="9"/>
      <c r="G5606" s="9"/>
      <c r="J5606" s="11"/>
      <c r="U5606" s="9"/>
      <c r="X5606" s="9"/>
    </row>
    <row r="5607">
      <c r="D5607" s="9"/>
      <c r="G5607" s="9"/>
      <c r="J5607" s="11"/>
      <c r="U5607" s="9"/>
      <c r="X5607" s="9"/>
    </row>
    <row r="5608">
      <c r="D5608" s="9"/>
      <c r="G5608" s="9"/>
      <c r="J5608" s="11"/>
      <c r="U5608" s="9"/>
      <c r="X5608" s="9"/>
    </row>
    <row r="5609">
      <c r="D5609" s="9"/>
      <c r="G5609" s="9"/>
      <c r="J5609" s="11"/>
      <c r="U5609" s="9"/>
      <c r="X5609" s="9"/>
    </row>
    <row r="5610">
      <c r="D5610" s="9"/>
      <c r="G5610" s="9"/>
      <c r="J5610" s="11"/>
      <c r="U5610" s="9"/>
      <c r="X5610" s="9"/>
    </row>
    <row r="5611">
      <c r="D5611" s="9"/>
      <c r="G5611" s="9"/>
      <c r="J5611" s="11"/>
      <c r="U5611" s="9"/>
      <c r="X5611" s="9"/>
    </row>
    <row r="5612">
      <c r="D5612" s="9"/>
      <c r="G5612" s="9"/>
      <c r="J5612" s="11"/>
      <c r="U5612" s="9"/>
      <c r="X5612" s="9"/>
    </row>
    <row r="5613">
      <c r="D5613" s="9"/>
      <c r="G5613" s="9"/>
      <c r="J5613" s="11"/>
      <c r="U5613" s="9"/>
      <c r="X5613" s="9"/>
    </row>
    <row r="5614">
      <c r="D5614" s="9"/>
      <c r="G5614" s="9"/>
      <c r="J5614" s="11"/>
      <c r="U5614" s="9"/>
      <c r="X5614" s="9"/>
    </row>
    <row r="5615">
      <c r="D5615" s="9"/>
      <c r="G5615" s="9"/>
      <c r="J5615" s="11"/>
      <c r="U5615" s="9"/>
      <c r="X5615" s="9"/>
    </row>
    <row r="5616">
      <c r="D5616" s="9"/>
      <c r="G5616" s="9"/>
      <c r="J5616" s="11"/>
      <c r="U5616" s="9"/>
      <c r="X5616" s="9"/>
    </row>
    <row r="5617">
      <c r="D5617" s="9"/>
      <c r="G5617" s="9"/>
      <c r="J5617" s="11"/>
      <c r="U5617" s="9"/>
      <c r="X5617" s="9"/>
    </row>
    <row r="5618">
      <c r="D5618" s="9"/>
      <c r="G5618" s="9"/>
      <c r="J5618" s="11"/>
      <c r="U5618" s="9"/>
      <c r="X5618" s="9"/>
    </row>
    <row r="5619">
      <c r="D5619" s="9"/>
      <c r="G5619" s="9"/>
      <c r="J5619" s="11"/>
      <c r="U5619" s="9"/>
      <c r="X5619" s="9"/>
    </row>
    <row r="5620">
      <c r="D5620" s="9"/>
      <c r="G5620" s="9"/>
      <c r="J5620" s="11"/>
      <c r="U5620" s="9"/>
      <c r="X5620" s="9"/>
    </row>
    <row r="5621">
      <c r="D5621" s="9"/>
      <c r="G5621" s="9"/>
      <c r="J5621" s="11"/>
      <c r="U5621" s="9"/>
      <c r="X5621" s="9"/>
    </row>
    <row r="5622">
      <c r="D5622" s="9"/>
      <c r="G5622" s="9"/>
      <c r="J5622" s="11"/>
      <c r="U5622" s="9"/>
      <c r="X5622" s="9"/>
    </row>
    <row r="5623">
      <c r="D5623" s="9"/>
      <c r="G5623" s="9"/>
      <c r="J5623" s="11"/>
      <c r="U5623" s="9"/>
      <c r="X5623" s="9"/>
    </row>
    <row r="5624">
      <c r="D5624" s="9"/>
      <c r="G5624" s="9"/>
      <c r="J5624" s="11"/>
      <c r="U5624" s="9"/>
      <c r="X5624" s="9"/>
    </row>
    <row r="5625">
      <c r="D5625" s="9"/>
      <c r="G5625" s="9"/>
      <c r="J5625" s="11"/>
      <c r="U5625" s="9"/>
      <c r="X5625" s="9"/>
    </row>
    <row r="5626">
      <c r="D5626" s="9"/>
      <c r="G5626" s="9"/>
      <c r="J5626" s="11"/>
      <c r="U5626" s="9"/>
      <c r="X5626" s="9"/>
    </row>
    <row r="5627">
      <c r="D5627" s="9"/>
      <c r="G5627" s="9"/>
      <c r="J5627" s="11"/>
      <c r="U5627" s="9"/>
      <c r="X5627" s="9"/>
    </row>
    <row r="5628">
      <c r="D5628" s="9"/>
      <c r="G5628" s="9"/>
      <c r="J5628" s="11"/>
      <c r="U5628" s="9"/>
      <c r="X5628" s="9"/>
    </row>
    <row r="5629">
      <c r="D5629" s="9"/>
      <c r="G5629" s="9"/>
      <c r="J5629" s="11"/>
      <c r="U5629" s="9"/>
      <c r="X5629" s="9"/>
    </row>
    <row r="5630">
      <c r="D5630" s="9"/>
      <c r="G5630" s="9"/>
      <c r="J5630" s="11"/>
      <c r="U5630" s="9"/>
      <c r="X5630" s="9"/>
    </row>
    <row r="5631">
      <c r="D5631" s="9"/>
      <c r="G5631" s="9"/>
      <c r="J5631" s="11"/>
      <c r="U5631" s="9"/>
      <c r="X5631" s="9"/>
    </row>
    <row r="5632">
      <c r="D5632" s="9"/>
      <c r="G5632" s="9"/>
      <c r="J5632" s="11"/>
      <c r="U5632" s="9"/>
      <c r="X5632" s="9"/>
    </row>
    <row r="5633">
      <c r="D5633" s="9"/>
      <c r="G5633" s="9"/>
      <c r="J5633" s="11"/>
      <c r="U5633" s="9"/>
      <c r="X5633" s="9"/>
    </row>
    <row r="5634">
      <c r="D5634" s="9"/>
      <c r="G5634" s="9"/>
      <c r="J5634" s="11"/>
      <c r="U5634" s="9"/>
      <c r="X5634" s="9"/>
    </row>
    <row r="5635">
      <c r="D5635" s="9"/>
      <c r="G5635" s="9"/>
      <c r="J5635" s="11"/>
      <c r="U5635" s="9"/>
      <c r="X5635" s="9"/>
    </row>
    <row r="5636">
      <c r="D5636" s="9"/>
      <c r="G5636" s="9"/>
      <c r="J5636" s="11"/>
      <c r="U5636" s="9"/>
      <c r="X5636" s="9"/>
    </row>
    <row r="5637">
      <c r="D5637" s="9"/>
      <c r="G5637" s="9"/>
      <c r="J5637" s="11"/>
      <c r="U5637" s="9"/>
      <c r="X5637" s="9"/>
    </row>
    <row r="5638">
      <c r="D5638" s="9"/>
      <c r="G5638" s="9"/>
      <c r="J5638" s="11"/>
      <c r="U5638" s="9"/>
      <c r="X5638" s="9"/>
    </row>
    <row r="5639">
      <c r="D5639" s="9"/>
      <c r="G5639" s="9"/>
      <c r="J5639" s="11"/>
      <c r="U5639" s="9"/>
      <c r="X5639" s="9"/>
    </row>
    <row r="5640">
      <c r="D5640" s="9"/>
      <c r="G5640" s="9"/>
      <c r="J5640" s="11"/>
      <c r="U5640" s="9"/>
      <c r="X5640" s="9"/>
    </row>
    <row r="5641">
      <c r="D5641" s="9"/>
      <c r="G5641" s="9"/>
      <c r="J5641" s="11"/>
      <c r="U5641" s="9"/>
      <c r="X5641" s="9"/>
    </row>
    <row r="5642">
      <c r="D5642" s="9"/>
      <c r="G5642" s="9"/>
      <c r="J5642" s="11"/>
      <c r="U5642" s="9"/>
      <c r="X5642" s="9"/>
    </row>
    <row r="5643">
      <c r="D5643" s="9"/>
      <c r="G5643" s="9"/>
      <c r="J5643" s="11"/>
      <c r="U5643" s="9"/>
      <c r="X5643" s="9"/>
    </row>
    <row r="5644">
      <c r="D5644" s="9"/>
      <c r="G5644" s="9"/>
      <c r="J5644" s="11"/>
      <c r="U5644" s="9"/>
      <c r="X5644" s="9"/>
    </row>
    <row r="5645">
      <c r="D5645" s="9"/>
      <c r="G5645" s="9"/>
      <c r="J5645" s="11"/>
      <c r="U5645" s="9"/>
      <c r="X5645" s="9"/>
    </row>
    <row r="5646">
      <c r="D5646" s="9"/>
      <c r="G5646" s="9"/>
      <c r="J5646" s="11"/>
      <c r="U5646" s="9"/>
      <c r="X5646" s="9"/>
    </row>
    <row r="5647">
      <c r="D5647" s="9"/>
      <c r="G5647" s="9"/>
      <c r="J5647" s="11"/>
      <c r="U5647" s="9"/>
      <c r="X5647" s="9"/>
    </row>
    <row r="5648">
      <c r="D5648" s="9"/>
      <c r="G5648" s="9"/>
      <c r="J5648" s="11"/>
      <c r="U5648" s="9"/>
      <c r="X5648" s="9"/>
    </row>
    <row r="5649">
      <c r="D5649" s="9"/>
      <c r="G5649" s="9"/>
      <c r="J5649" s="11"/>
      <c r="U5649" s="9"/>
      <c r="X5649" s="9"/>
    </row>
    <row r="5650">
      <c r="D5650" s="9"/>
      <c r="G5650" s="9"/>
      <c r="J5650" s="11"/>
      <c r="U5650" s="9"/>
      <c r="X5650" s="9"/>
    </row>
    <row r="5651">
      <c r="D5651" s="9"/>
      <c r="G5651" s="9"/>
      <c r="J5651" s="11"/>
      <c r="U5651" s="9"/>
      <c r="X5651" s="9"/>
    </row>
    <row r="5652">
      <c r="D5652" s="9"/>
      <c r="G5652" s="9"/>
      <c r="J5652" s="11"/>
      <c r="U5652" s="9"/>
      <c r="X5652" s="9"/>
    </row>
    <row r="5653">
      <c r="D5653" s="9"/>
      <c r="G5653" s="9"/>
      <c r="J5653" s="11"/>
      <c r="U5653" s="9"/>
      <c r="X5653" s="9"/>
    </row>
    <row r="5654">
      <c r="D5654" s="9"/>
      <c r="G5654" s="9"/>
      <c r="J5654" s="11"/>
      <c r="U5654" s="9"/>
      <c r="X5654" s="9"/>
    </row>
    <row r="5655">
      <c r="D5655" s="9"/>
      <c r="G5655" s="9"/>
      <c r="J5655" s="11"/>
      <c r="U5655" s="9"/>
      <c r="X5655" s="9"/>
    </row>
    <row r="5656">
      <c r="D5656" s="9"/>
      <c r="G5656" s="9"/>
      <c r="J5656" s="11"/>
      <c r="U5656" s="9"/>
      <c r="X5656" s="9"/>
    </row>
    <row r="5657">
      <c r="D5657" s="9"/>
      <c r="G5657" s="9"/>
      <c r="J5657" s="11"/>
      <c r="U5657" s="9"/>
      <c r="X5657" s="9"/>
    </row>
    <row r="5658">
      <c r="D5658" s="9"/>
      <c r="G5658" s="9"/>
      <c r="J5658" s="11"/>
      <c r="U5658" s="9"/>
      <c r="X5658" s="9"/>
    </row>
    <row r="5659">
      <c r="D5659" s="9"/>
      <c r="G5659" s="9"/>
      <c r="J5659" s="11"/>
      <c r="U5659" s="9"/>
      <c r="X5659" s="9"/>
    </row>
    <row r="5660">
      <c r="D5660" s="9"/>
      <c r="G5660" s="9"/>
      <c r="J5660" s="11"/>
      <c r="U5660" s="9"/>
      <c r="X5660" s="9"/>
    </row>
    <row r="5661">
      <c r="D5661" s="9"/>
      <c r="G5661" s="9"/>
      <c r="J5661" s="11"/>
      <c r="U5661" s="9"/>
      <c r="X5661" s="9"/>
    </row>
    <row r="5662">
      <c r="D5662" s="9"/>
      <c r="G5662" s="9"/>
      <c r="J5662" s="11"/>
      <c r="U5662" s="9"/>
      <c r="X5662" s="9"/>
    </row>
    <row r="5663">
      <c r="D5663" s="9"/>
      <c r="G5663" s="9"/>
      <c r="J5663" s="11"/>
      <c r="U5663" s="9"/>
      <c r="X5663" s="9"/>
    </row>
    <row r="5664">
      <c r="D5664" s="9"/>
      <c r="G5664" s="9"/>
      <c r="J5664" s="11"/>
      <c r="U5664" s="9"/>
      <c r="X5664" s="9"/>
    </row>
    <row r="5665">
      <c r="D5665" s="9"/>
      <c r="G5665" s="9"/>
      <c r="J5665" s="11"/>
      <c r="U5665" s="9"/>
      <c r="X5665" s="9"/>
    </row>
    <row r="5666">
      <c r="D5666" s="9"/>
      <c r="G5666" s="9"/>
      <c r="J5666" s="11"/>
      <c r="U5666" s="9"/>
      <c r="X5666" s="9"/>
    </row>
    <row r="5667">
      <c r="D5667" s="9"/>
      <c r="G5667" s="9"/>
      <c r="J5667" s="11"/>
      <c r="U5667" s="9"/>
      <c r="X5667" s="9"/>
    </row>
    <row r="5668">
      <c r="D5668" s="9"/>
      <c r="G5668" s="9"/>
      <c r="J5668" s="11"/>
      <c r="U5668" s="9"/>
      <c r="X5668" s="9"/>
    </row>
    <row r="5669">
      <c r="D5669" s="9"/>
      <c r="G5669" s="9"/>
      <c r="J5669" s="11"/>
      <c r="U5669" s="9"/>
      <c r="X5669" s="9"/>
    </row>
    <row r="5670">
      <c r="D5670" s="9"/>
      <c r="G5670" s="9"/>
      <c r="J5670" s="11"/>
      <c r="U5670" s="9"/>
      <c r="X5670" s="9"/>
    </row>
    <row r="5671">
      <c r="D5671" s="9"/>
      <c r="G5671" s="9"/>
      <c r="J5671" s="11"/>
      <c r="U5671" s="9"/>
      <c r="X5671" s="9"/>
    </row>
    <row r="5672">
      <c r="D5672" s="9"/>
      <c r="G5672" s="9"/>
      <c r="J5672" s="11"/>
      <c r="U5672" s="9"/>
      <c r="X5672" s="9"/>
    </row>
    <row r="5673">
      <c r="D5673" s="9"/>
      <c r="G5673" s="9"/>
      <c r="J5673" s="11"/>
      <c r="U5673" s="9"/>
      <c r="X5673" s="9"/>
    </row>
    <row r="5674">
      <c r="D5674" s="9"/>
      <c r="G5674" s="9"/>
      <c r="J5674" s="11"/>
      <c r="U5674" s="9"/>
      <c r="X5674" s="9"/>
    </row>
    <row r="5675">
      <c r="D5675" s="9"/>
      <c r="G5675" s="9"/>
      <c r="J5675" s="11"/>
      <c r="U5675" s="9"/>
      <c r="X5675" s="9"/>
    </row>
    <row r="5676">
      <c r="D5676" s="9"/>
      <c r="G5676" s="9"/>
      <c r="J5676" s="11"/>
      <c r="U5676" s="9"/>
      <c r="X5676" s="9"/>
    </row>
    <row r="5677">
      <c r="D5677" s="9"/>
      <c r="G5677" s="9"/>
      <c r="J5677" s="11"/>
      <c r="U5677" s="9"/>
      <c r="X5677" s="9"/>
    </row>
    <row r="5678">
      <c r="D5678" s="9"/>
      <c r="G5678" s="9"/>
      <c r="J5678" s="11"/>
      <c r="U5678" s="9"/>
      <c r="X5678" s="9"/>
    </row>
    <row r="5679">
      <c r="D5679" s="9"/>
      <c r="G5679" s="9"/>
      <c r="J5679" s="11"/>
      <c r="U5679" s="9"/>
      <c r="X5679" s="9"/>
    </row>
    <row r="5680">
      <c r="D5680" s="9"/>
      <c r="G5680" s="9"/>
      <c r="J5680" s="11"/>
      <c r="U5680" s="9"/>
      <c r="X5680" s="9"/>
    </row>
    <row r="5681">
      <c r="D5681" s="9"/>
      <c r="G5681" s="9"/>
      <c r="J5681" s="11"/>
      <c r="U5681" s="9"/>
      <c r="X5681" s="9"/>
    </row>
    <row r="5682">
      <c r="D5682" s="9"/>
      <c r="G5682" s="9"/>
      <c r="J5682" s="11"/>
      <c r="U5682" s="9"/>
      <c r="X5682" s="9"/>
    </row>
    <row r="5683">
      <c r="D5683" s="9"/>
      <c r="G5683" s="9"/>
      <c r="J5683" s="11"/>
      <c r="U5683" s="9"/>
      <c r="X5683" s="9"/>
    </row>
    <row r="5684">
      <c r="D5684" s="9"/>
      <c r="G5684" s="9"/>
      <c r="J5684" s="11"/>
      <c r="U5684" s="9"/>
      <c r="X5684" s="9"/>
    </row>
    <row r="5685">
      <c r="D5685" s="9"/>
      <c r="G5685" s="9"/>
      <c r="J5685" s="11"/>
      <c r="U5685" s="9"/>
      <c r="X5685" s="9"/>
    </row>
    <row r="5686">
      <c r="D5686" s="9"/>
      <c r="G5686" s="9"/>
      <c r="J5686" s="11"/>
      <c r="U5686" s="9"/>
      <c r="X5686" s="9"/>
    </row>
    <row r="5687">
      <c r="D5687" s="9"/>
      <c r="G5687" s="9"/>
      <c r="J5687" s="11"/>
      <c r="U5687" s="9"/>
      <c r="X5687" s="9"/>
    </row>
    <row r="5688">
      <c r="D5688" s="9"/>
      <c r="G5688" s="9"/>
      <c r="J5688" s="11"/>
      <c r="U5688" s="9"/>
      <c r="X5688" s="9"/>
    </row>
    <row r="5689">
      <c r="D5689" s="9"/>
      <c r="G5689" s="9"/>
      <c r="J5689" s="11"/>
      <c r="U5689" s="9"/>
      <c r="X5689" s="9"/>
    </row>
    <row r="5690">
      <c r="D5690" s="9"/>
      <c r="G5690" s="9"/>
      <c r="J5690" s="11"/>
      <c r="U5690" s="9"/>
      <c r="X5690" s="9"/>
    </row>
    <row r="5691">
      <c r="D5691" s="9"/>
      <c r="G5691" s="9"/>
      <c r="J5691" s="11"/>
      <c r="U5691" s="9"/>
      <c r="X5691" s="9"/>
    </row>
    <row r="5692">
      <c r="D5692" s="9"/>
      <c r="G5692" s="9"/>
      <c r="J5692" s="11"/>
      <c r="U5692" s="9"/>
      <c r="X5692" s="9"/>
    </row>
    <row r="5693">
      <c r="D5693" s="9"/>
      <c r="G5693" s="9"/>
      <c r="J5693" s="11"/>
      <c r="U5693" s="9"/>
      <c r="X5693" s="9"/>
    </row>
    <row r="5694">
      <c r="D5694" s="9"/>
      <c r="G5694" s="9"/>
      <c r="J5694" s="11"/>
      <c r="U5694" s="9"/>
      <c r="X5694" s="9"/>
    </row>
    <row r="5695">
      <c r="D5695" s="9"/>
      <c r="G5695" s="9"/>
      <c r="J5695" s="11"/>
      <c r="U5695" s="9"/>
      <c r="X5695" s="9"/>
    </row>
    <row r="5696">
      <c r="D5696" s="9"/>
      <c r="G5696" s="9"/>
      <c r="J5696" s="11"/>
      <c r="U5696" s="9"/>
      <c r="X5696" s="9"/>
    </row>
    <row r="5697">
      <c r="D5697" s="9"/>
      <c r="G5697" s="9"/>
      <c r="J5697" s="11"/>
      <c r="U5697" s="9"/>
      <c r="X5697" s="9"/>
    </row>
    <row r="5698">
      <c r="D5698" s="9"/>
      <c r="G5698" s="9"/>
      <c r="J5698" s="11"/>
      <c r="U5698" s="9"/>
      <c r="X5698" s="9"/>
    </row>
    <row r="5699">
      <c r="D5699" s="9"/>
      <c r="G5699" s="9"/>
      <c r="J5699" s="11"/>
      <c r="U5699" s="9"/>
      <c r="X5699" s="9"/>
    </row>
    <row r="5700">
      <c r="D5700" s="9"/>
      <c r="G5700" s="9"/>
      <c r="J5700" s="11"/>
      <c r="U5700" s="9"/>
      <c r="X5700" s="9"/>
    </row>
    <row r="5701">
      <c r="D5701" s="9"/>
      <c r="G5701" s="9"/>
      <c r="J5701" s="11"/>
      <c r="U5701" s="9"/>
      <c r="X5701" s="9"/>
    </row>
    <row r="5702">
      <c r="D5702" s="9"/>
      <c r="G5702" s="9"/>
      <c r="J5702" s="11"/>
      <c r="U5702" s="9"/>
      <c r="X5702" s="9"/>
    </row>
    <row r="5703">
      <c r="D5703" s="9"/>
      <c r="G5703" s="9"/>
      <c r="J5703" s="11"/>
      <c r="U5703" s="9"/>
      <c r="X5703" s="9"/>
    </row>
    <row r="5704">
      <c r="D5704" s="9"/>
      <c r="G5704" s="9"/>
      <c r="J5704" s="11"/>
      <c r="U5704" s="9"/>
      <c r="X5704" s="9"/>
    </row>
    <row r="5705">
      <c r="D5705" s="9"/>
      <c r="G5705" s="9"/>
      <c r="J5705" s="11"/>
      <c r="U5705" s="9"/>
      <c r="X5705" s="9"/>
    </row>
    <row r="5706">
      <c r="D5706" s="9"/>
      <c r="G5706" s="9"/>
      <c r="J5706" s="11"/>
      <c r="U5706" s="9"/>
      <c r="X5706" s="9"/>
    </row>
    <row r="5707">
      <c r="D5707" s="9"/>
      <c r="G5707" s="9"/>
      <c r="J5707" s="11"/>
      <c r="U5707" s="9"/>
      <c r="X5707" s="9"/>
    </row>
    <row r="5708">
      <c r="D5708" s="9"/>
      <c r="G5708" s="9"/>
      <c r="J5708" s="11"/>
      <c r="U5708" s="9"/>
      <c r="X5708" s="9"/>
    </row>
    <row r="5709">
      <c r="D5709" s="9"/>
      <c r="G5709" s="9"/>
      <c r="J5709" s="11"/>
      <c r="U5709" s="9"/>
      <c r="X5709" s="9"/>
    </row>
    <row r="5710">
      <c r="D5710" s="9"/>
      <c r="G5710" s="9"/>
      <c r="J5710" s="11"/>
      <c r="U5710" s="9"/>
      <c r="X5710" s="9"/>
    </row>
    <row r="5711">
      <c r="D5711" s="9"/>
      <c r="G5711" s="9"/>
      <c r="J5711" s="11"/>
      <c r="U5711" s="9"/>
      <c r="X5711" s="9"/>
    </row>
    <row r="5712">
      <c r="D5712" s="9"/>
      <c r="G5712" s="9"/>
      <c r="J5712" s="11"/>
      <c r="U5712" s="9"/>
      <c r="X5712" s="9"/>
    </row>
    <row r="5713">
      <c r="D5713" s="9"/>
      <c r="G5713" s="9"/>
      <c r="J5713" s="11"/>
      <c r="U5713" s="9"/>
      <c r="X5713" s="9"/>
    </row>
    <row r="5714">
      <c r="D5714" s="9"/>
      <c r="G5714" s="9"/>
      <c r="J5714" s="11"/>
      <c r="U5714" s="9"/>
      <c r="X5714" s="9"/>
    </row>
    <row r="5715">
      <c r="D5715" s="9"/>
      <c r="G5715" s="9"/>
      <c r="J5715" s="11"/>
      <c r="U5715" s="9"/>
      <c r="X5715" s="9"/>
    </row>
    <row r="5716">
      <c r="D5716" s="9"/>
      <c r="G5716" s="9"/>
      <c r="J5716" s="11"/>
      <c r="U5716" s="9"/>
      <c r="X5716" s="9"/>
    </row>
    <row r="5717">
      <c r="D5717" s="9"/>
      <c r="G5717" s="9"/>
      <c r="J5717" s="11"/>
      <c r="U5717" s="9"/>
      <c r="X5717" s="9"/>
    </row>
    <row r="5718">
      <c r="D5718" s="9"/>
      <c r="G5718" s="9"/>
      <c r="J5718" s="11"/>
      <c r="U5718" s="9"/>
      <c r="X5718" s="9"/>
    </row>
    <row r="5719">
      <c r="D5719" s="9"/>
      <c r="G5719" s="9"/>
      <c r="J5719" s="11"/>
      <c r="U5719" s="9"/>
      <c r="X5719" s="9"/>
    </row>
    <row r="5720">
      <c r="D5720" s="9"/>
      <c r="G5720" s="9"/>
      <c r="J5720" s="11"/>
      <c r="U5720" s="9"/>
      <c r="X5720" s="9"/>
    </row>
    <row r="5721">
      <c r="D5721" s="9"/>
      <c r="G5721" s="9"/>
      <c r="J5721" s="11"/>
      <c r="U5721" s="9"/>
      <c r="X5721" s="9"/>
    </row>
    <row r="5722">
      <c r="D5722" s="9"/>
      <c r="G5722" s="9"/>
      <c r="J5722" s="11"/>
      <c r="U5722" s="9"/>
      <c r="X5722" s="9"/>
    </row>
    <row r="5723">
      <c r="D5723" s="9"/>
      <c r="G5723" s="9"/>
      <c r="J5723" s="11"/>
      <c r="U5723" s="9"/>
      <c r="X5723" s="9"/>
    </row>
    <row r="5724">
      <c r="D5724" s="9"/>
      <c r="G5724" s="9"/>
      <c r="J5724" s="11"/>
      <c r="U5724" s="9"/>
      <c r="X5724" s="9"/>
    </row>
    <row r="5725">
      <c r="D5725" s="9"/>
      <c r="G5725" s="9"/>
      <c r="J5725" s="11"/>
      <c r="U5725" s="9"/>
      <c r="X5725" s="9"/>
    </row>
    <row r="5726">
      <c r="D5726" s="9"/>
      <c r="G5726" s="9"/>
      <c r="J5726" s="11"/>
      <c r="U5726" s="9"/>
      <c r="X5726" s="9"/>
    </row>
    <row r="5727">
      <c r="D5727" s="9"/>
      <c r="G5727" s="9"/>
      <c r="J5727" s="11"/>
      <c r="U5727" s="9"/>
      <c r="X5727" s="9"/>
    </row>
    <row r="5728">
      <c r="D5728" s="9"/>
      <c r="G5728" s="9"/>
      <c r="J5728" s="11"/>
      <c r="U5728" s="9"/>
      <c r="X5728" s="9"/>
    </row>
    <row r="5729">
      <c r="D5729" s="9"/>
      <c r="G5729" s="9"/>
      <c r="J5729" s="11"/>
      <c r="U5729" s="9"/>
      <c r="X5729" s="9"/>
    </row>
    <row r="5730">
      <c r="D5730" s="9"/>
      <c r="G5730" s="9"/>
      <c r="J5730" s="11"/>
      <c r="U5730" s="9"/>
      <c r="X5730" s="9"/>
    </row>
    <row r="5731">
      <c r="D5731" s="9"/>
      <c r="G5731" s="9"/>
      <c r="J5731" s="11"/>
      <c r="U5731" s="9"/>
      <c r="X5731" s="9"/>
    </row>
    <row r="5732">
      <c r="D5732" s="9"/>
      <c r="G5732" s="9"/>
      <c r="J5732" s="11"/>
      <c r="U5732" s="9"/>
      <c r="X5732" s="9"/>
    </row>
    <row r="5733">
      <c r="D5733" s="9"/>
      <c r="G5733" s="9"/>
      <c r="J5733" s="11"/>
      <c r="U5733" s="9"/>
      <c r="X5733" s="9"/>
    </row>
    <row r="5734">
      <c r="D5734" s="9"/>
      <c r="G5734" s="9"/>
      <c r="J5734" s="11"/>
      <c r="U5734" s="9"/>
      <c r="X5734" s="9"/>
    </row>
    <row r="5735">
      <c r="D5735" s="9"/>
      <c r="G5735" s="9"/>
      <c r="J5735" s="11"/>
      <c r="U5735" s="9"/>
      <c r="X5735" s="9"/>
    </row>
    <row r="5736">
      <c r="D5736" s="9"/>
      <c r="G5736" s="9"/>
      <c r="J5736" s="11"/>
      <c r="U5736" s="9"/>
      <c r="X5736" s="9"/>
    </row>
    <row r="5737">
      <c r="D5737" s="9"/>
      <c r="G5737" s="9"/>
      <c r="J5737" s="11"/>
      <c r="U5737" s="9"/>
      <c r="X5737" s="9"/>
    </row>
    <row r="5738">
      <c r="D5738" s="9"/>
      <c r="G5738" s="9"/>
      <c r="J5738" s="11"/>
      <c r="U5738" s="9"/>
      <c r="X5738" s="9"/>
    </row>
    <row r="5739">
      <c r="D5739" s="9"/>
      <c r="G5739" s="9"/>
      <c r="J5739" s="11"/>
      <c r="U5739" s="9"/>
      <c r="X5739" s="9"/>
    </row>
    <row r="5740">
      <c r="D5740" s="9"/>
      <c r="G5740" s="9"/>
      <c r="J5740" s="11"/>
      <c r="U5740" s="9"/>
      <c r="X5740" s="9"/>
    </row>
    <row r="5741">
      <c r="D5741" s="9"/>
      <c r="G5741" s="9"/>
      <c r="J5741" s="11"/>
      <c r="U5741" s="9"/>
      <c r="X5741" s="9"/>
    </row>
    <row r="5742">
      <c r="D5742" s="9"/>
      <c r="G5742" s="9"/>
      <c r="J5742" s="11"/>
      <c r="U5742" s="9"/>
      <c r="X5742" s="9"/>
    </row>
    <row r="5743">
      <c r="D5743" s="9"/>
      <c r="G5743" s="9"/>
      <c r="J5743" s="11"/>
      <c r="U5743" s="9"/>
      <c r="X5743" s="9"/>
    </row>
    <row r="5744">
      <c r="D5744" s="9"/>
      <c r="G5744" s="9"/>
      <c r="J5744" s="11"/>
      <c r="U5744" s="9"/>
      <c r="X5744" s="9"/>
    </row>
    <row r="5745">
      <c r="D5745" s="9"/>
      <c r="G5745" s="9"/>
      <c r="J5745" s="11"/>
      <c r="U5745" s="9"/>
      <c r="X5745" s="9"/>
    </row>
    <row r="5746">
      <c r="D5746" s="9"/>
      <c r="G5746" s="9"/>
      <c r="J5746" s="11"/>
      <c r="U5746" s="9"/>
      <c r="X5746" s="9"/>
    </row>
    <row r="5747">
      <c r="D5747" s="9"/>
      <c r="G5747" s="9"/>
      <c r="J5747" s="11"/>
      <c r="U5747" s="9"/>
      <c r="X5747" s="9"/>
    </row>
    <row r="5748">
      <c r="D5748" s="9"/>
      <c r="G5748" s="9"/>
      <c r="J5748" s="11"/>
      <c r="U5748" s="9"/>
      <c r="X5748" s="9"/>
    </row>
    <row r="5749">
      <c r="D5749" s="9"/>
      <c r="G5749" s="9"/>
      <c r="J5749" s="11"/>
      <c r="U5749" s="9"/>
      <c r="X5749" s="9"/>
    </row>
    <row r="5750">
      <c r="D5750" s="9"/>
      <c r="G5750" s="9"/>
      <c r="J5750" s="11"/>
      <c r="U5750" s="9"/>
      <c r="X5750" s="9"/>
    </row>
    <row r="5751">
      <c r="D5751" s="9"/>
      <c r="G5751" s="9"/>
      <c r="J5751" s="11"/>
      <c r="U5751" s="9"/>
      <c r="X5751" s="9"/>
    </row>
    <row r="5752">
      <c r="D5752" s="9"/>
      <c r="G5752" s="9"/>
      <c r="J5752" s="11"/>
      <c r="U5752" s="9"/>
      <c r="X5752" s="9"/>
    </row>
    <row r="5753">
      <c r="D5753" s="9"/>
      <c r="G5753" s="9"/>
      <c r="J5753" s="11"/>
      <c r="U5753" s="9"/>
      <c r="X5753" s="9"/>
    </row>
    <row r="5754">
      <c r="D5754" s="9"/>
      <c r="G5754" s="9"/>
      <c r="J5754" s="11"/>
      <c r="U5754" s="9"/>
      <c r="X5754" s="9"/>
    </row>
    <row r="5755">
      <c r="D5755" s="9"/>
      <c r="G5755" s="9"/>
      <c r="J5755" s="11"/>
      <c r="U5755" s="9"/>
      <c r="X5755" s="9"/>
    </row>
    <row r="5756">
      <c r="D5756" s="9"/>
      <c r="G5756" s="9"/>
      <c r="J5756" s="11"/>
      <c r="U5756" s="9"/>
      <c r="X5756" s="9"/>
    </row>
    <row r="5757">
      <c r="D5757" s="9"/>
      <c r="G5757" s="9"/>
      <c r="J5757" s="11"/>
      <c r="U5757" s="9"/>
      <c r="X5757" s="9"/>
    </row>
    <row r="5758">
      <c r="D5758" s="9"/>
      <c r="G5758" s="9"/>
      <c r="J5758" s="11"/>
      <c r="U5758" s="9"/>
      <c r="X5758" s="9"/>
    </row>
    <row r="5759">
      <c r="D5759" s="9"/>
      <c r="G5759" s="9"/>
      <c r="J5759" s="11"/>
      <c r="U5759" s="9"/>
      <c r="X5759" s="9"/>
    </row>
    <row r="5760">
      <c r="D5760" s="9"/>
      <c r="G5760" s="9"/>
      <c r="J5760" s="11"/>
      <c r="U5760" s="9"/>
      <c r="X5760" s="9"/>
    </row>
    <row r="5761">
      <c r="D5761" s="9"/>
      <c r="G5761" s="9"/>
      <c r="J5761" s="11"/>
      <c r="U5761" s="9"/>
      <c r="X5761" s="9"/>
    </row>
    <row r="5762">
      <c r="D5762" s="9"/>
      <c r="G5762" s="9"/>
      <c r="J5762" s="11"/>
      <c r="U5762" s="9"/>
      <c r="X5762" s="9"/>
    </row>
    <row r="5763">
      <c r="D5763" s="9"/>
      <c r="G5763" s="9"/>
      <c r="J5763" s="11"/>
      <c r="U5763" s="9"/>
      <c r="X5763" s="9"/>
    </row>
    <row r="5764">
      <c r="D5764" s="9"/>
      <c r="G5764" s="9"/>
      <c r="J5764" s="11"/>
      <c r="U5764" s="9"/>
      <c r="X5764" s="9"/>
    </row>
    <row r="5765">
      <c r="D5765" s="9"/>
      <c r="G5765" s="9"/>
      <c r="J5765" s="11"/>
      <c r="U5765" s="9"/>
      <c r="X5765" s="9"/>
    </row>
    <row r="5766">
      <c r="D5766" s="9"/>
      <c r="G5766" s="9"/>
      <c r="J5766" s="11"/>
      <c r="U5766" s="9"/>
      <c r="X5766" s="9"/>
    </row>
    <row r="5767">
      <c r="D5767" s="9"/>
      <c r="G5767" s="9"/>
      <c r="J5767" s="11"/>
      <c r="U5767" s="9"/>
      <c r="X5767" s="9"/>
    </row>
    <row r="5768">
      <c r="D5768" s="9"/>
      <c r="G5768" s="9"/>
      <c r="J5768" s="11"/>
      <c r="U5768" s="9"/>
      <c r="X5768" s="9"/>
    </row>
    <row r="5769">
      <c r="D5769" s="9"/>
      <c r="G5769" s="9"/>
      <c r="J5769" s="11"/>
      <c r="U5769" s="9"/>
      <c r="X5769" s="9"/>
    </row>
    <row r="5770">
      <c r="D5770" s="9"/>
      <c r="G5770" s="9"/>
      <c r="J5770" s="11"/>
      <c r="U5770" s="9"/>
      <c r="X5770" s="9"/>
    </row>
    <row r="5771">
      <c r="D5771" s="9"/>
      <c r="G5771" s="9"/>
      <c r="J5771" s="11"/>
      <c r="U5771" s="9"/>
      <c r="X5771" s="9"/>
    </row>
    <row r="5772">
      <c r="D5772" s="9"/>
      <c r="G5772" s="9"/>
      <c r="J5772" s="11"/>
      <c r="U5772" s="9"/>
      <c r="X5772" s="9"/>
    </row>
    <row r="5773">
      <c r="D5773" s="9"/>
      <c r="G5773" s="9"/>
      <c r="J5773" s="11"/>
      <c r="U5773" s="9"/>
      <c r="X5773" s="9"/>
    </row>
    <row r="5774">
      <c r="D5774" s="9"/>
      <c r="G5774" s="9"/>
      <c r="J5774" s="11"/>
      <c r="U5774" s="9"/>
      <c r="X5774" s="9"/>
    </row>
    <row r="5775">
      <c r="D5775" s="9"/>
      <c r="G5775" s="9"/>
      <c r="J5775" s="11"/>
      <c r="U5775" s="9"/>
      <c r="X5775" s="9"/>
    </row>
    <row r="5776">
      <c r="D5776" s="9"/>
      <c r="G5776" s="9"/>
      <c r="J5776" s="11"/>
      <c r="U5776" s="9"/>
      <c r="X5776" s="9"/>
    </row>
    <row r="5777">
      <c r="D5777" s="9"/>
      <c r="G5777" s="9"/>
      <c r="J5777" s="11"/>
      <c r="U5777" s="9"/>
      <c r="X5777" s="9"/>
    </row>
    <row r="5778">
      <c r="D5778" s="9"/>
      <c r="G5778" s="9"/>
      <c r="J5778" s="11"/>
      <c r="U5778" s="9"/>
      <c r="X5778" s="9"/>
    </row>
    <row r="5779">
      <c r="D5779" s="9"/>
      <c r="G5779" s="9"/>
      <c r="J5779" s="11"/>
      <c r="U5779" s="9"/>
      <c r="X5779" s="9"/>
    </row>
    <row r="5780">
      <c r="D5780" s="9"/>
      <c r="G5780" s="9"/>
      <c r="J5780" s="11"/>
      <c r="U5780" s="9"/>
      <c r="X5780" s="9"/>
    </row>
    <row r="5781">
      <c r="D5781" s="9"/>
      <c r="G5781" s="9"/>
      <c r="J5781" s="11"/>
      <c r="U5781" s="9"/>
      <c r="X5781" s="9"/>
    </row>
    <row r="5782">
      <c r="D5782" s="9"/>
      <c r="G5782" s="9"/>
      <c r="J5782" s="11"/>
      <c r="U5782" s="9"/>
      <c r="X5782" s="9"/>
    </row>
    <row r="5783">
      <c r="D5783" s="9"/>
      <c r="G5783" s="9"/>
      <c r="J5783" s="11"/>
      <c r="U5783" s="9"/>
      <c r="X5783" s="9"/>
    </row>
    <row r="5784">
      <c r="D5784" s="9"/>
      <c r="G5784" s="9"/>
      <c r="J5784" s="11"/>
      <c r="U5784" s="9"/>
      <c r="X5784" s="9"/>
    </row>
    <row r="5785">
      <c r="D5785" s="9"/>
      <c r="G5785" s="9"/>
      <c r="J5785" s="11"/>
      <c r="U5785" s="9"/>
      <c r="X5785" s="9"/>
    </row>
    <row r="5786">
      <c r="D5786" s="9"/>
      <c r="G5786" s="9"/>
      <c r="J5786" s="11"/>
      <c r="U5786" s="9"/>
      <c r="X5786" s="9"/>
    </row>
    <row r="5787">
      <c r="D5787" s="9"/>
      <c r="G5787" s="9"/>
      <c r="J5787" s="11"/>
      <c r="U5787" s="9"/>
      <c r="X5787" s="9"/>
    </row>
    <row r="5788">
      <c r="D5788" s="9"/>
      <c r="G5788" s="9"/>
      <c r="J5788" s="11"/>
      <c r="U5788" s="9"/>
      <c r="X5788" s="9"/>
    </row>
    <row r="5789">
      <c r="D5789" s="9"/>
      <c r="G5789" s="9"/>
      <c r="J5789" s="11"/>
      <c r="U5789" s="9"/>
      <c r="X5789" s="9"/>
    </row>
    <row r="5790">
      <c r="D5790" s="9"/>
      <c r="G5790" s="9"/>
      <c r="J5790" s="11"/>
      <c r="U5790" s="9"/>
      <c r="X5790" s="9"/>
    </row>
    <row r="5791">
      <c r="D5791" s="9"/>
      <c r="G5791" s="9"/>
      <c r="J5791" s="11"/>
      <c r="U5791" s="9"/>
      <c r="X5791" s="9"/>
    </row>
    <row r="5792">
      <c r="D5792" s="9"/>
      <c r="G5792" s="9"/>
      <c r="J5792" s="11"/>
      <c r="U5792" s="9"/>
      <c r="X5792" s="9"/>
    </row>
    <row r="5793">
      <c r="D5793" s="9"/>
      <c r="G5793" s="9"/>
      <c r="J5793" s="11"/>
      <c r="U5793" s="9"/>
      <c r="X5793" s="9"/>
    </row>
    <row r="5794">
      <c r="D5794" s="9"/>
      <c r="G5794" s="9"/>
      <c r="J5794" s="11"/>
      <c r="U5794" s="9"/>
      <c r="X5794" s="9"/>
    </row>
    <row r="5795">
      <c r="D5795" s="9"/>
      <c r="G5795" s="9"/>
      <c r="J5795" s="11"/>
      <c r="U5795" s="9"/>
      <c r="X5795" s="9"/>
    </row>
    <row r="5796">
      <c r="D5796" s="9"/>
      <c r="G5796" s="9"/>
      <c r="J5796" s="11"/>
      <c r="U5796" s="9"/>
      <c r="X5796" s="9"/>
    </row>
    <row r="5797">
      <c r="D5797" s="9"/>
      <c r="G5797" s="9"/>
      <c r="J5797" s="11"/>
      <c r="U5797" s="9"/>
      <c r="X5797" s="9"/>
    </row>
    <row r="5798">
      <c r="D5798" s="9"/>
      <c r="G5798" s="9"/>
      <c r="J5798" s="11"/>
      <c r="U5798" s="9"/>
      <c r="X5798" s="9"/>
    </row>
    <row r="5799">
      <c r="D5799" s="9"/>
      <c r="G5799" s="9"/>
      <c r="J5799" s="11"/>
      <c r="U5799" s="9"/>
      <c r="X5799" s="9"/>
    </row>
    <row r="5800">
      <c r="D5800" s="9"/>
      <c r="G5800" s="9"/>
      <c r="J5800" s="11"/>
      <c r="U5800" s="9"/>
      <c r="X5800" s="9"/>
    </row>
    <row r="5801">
      <c r="D5801" s="9"/>
      <c r="G5801" s="9"/>
      <c r="J5801" s="11"/>
      <c r="U5801" s="9"/>
      <c r="X5801" s="9"/>
    </row>
    <row r="5802">
      <c r="D5802" s="9"/>
      <c r="G5802" s="9"/>
      <c r="J5802" s="11"/>
      <c r="U5802" s="9"/>
      <c r="X5802" s="9"/>
    </row>
    <row r="5803">
      <c r="D5803" s="9"/>
      <c r="G5803" s="9"/>
      <c r="J5803" s="11"/>
      <c r="U5803" s="9"/>
      <c r="X5803" s="9"/>
    </row>
    <row r="5804">
      <c r="D5804" s="9"/>
      <c r="G5804" s="9"/>
      <c r="J5804" s="11"/>
      <c r="U5804" s="9"/>
      <c r="X5804" s="9"/>
    </row>
    <row r="5805">
      <c r="D5805" s="9"/>
      <c r="G5805" s="9"/>
      <c r="J5805" s="11"/>
      <c r="U5805" s="9"/>
      <c r="X5805" s="9"/>
    </row>
    <row r="5806">
      <c r="D5806" s="9"/>
      <c r="G5806" s="9"/>
      <c r="J5806" s="11"/>
      <c r="U5806" s="9"/>
      <c r="X5806" s="9"/>
    </row>
    <row r="5807">
      <c r="D5807" s="9"/>
      <c r="G5807" s="9"/>
      <c r="J5807" s="11"/>
      <c r="U5807" s="9"/>
      <c r="X5807" s="9"/>
    </row>
    <row r="5808">
      <c r="D5808" s="9"/>
      <c r="G5808" s="9"/>
      <c r="J5808" s="11"/>
      <c r="U5808" s="9"/>
      <c r="X5808" s="9"/>
    </row>
    <row r="5809">
      <c r="D5809" s="9"/>
      <c r="G5809" s="9"/>
      <c r="J5809" s="11"/>
      <c r="U5809" s="9"/>
      <c r="X5809" s="9"/>
    </row>
    <row r="5810">
      <c r="D5810" s="9"/>
      <c r="G5810" s="9"/>
      <c r="J5810" s="11"/>
      <c r="U5810" s="9"/>
      <c r="X5810" s="9"/>
    </row>
    <row r="5811">
      <c r="D5811" s="9"/>
      <c r="G5811" s="9"/>
      <c r="J5811" s="11"/>
      <c r="U5811" s="9"/>
      <c r="X5811" s="9"/>
    </row>
    <row r="5812">
      <c r="D5812" s="9"/>
      <c r="G5812" s="9"/>
      <c r="J5812" s="11"/>
      <c r="U5812" s="9"/>
      <c r="X5812" s="9"/>
    </row>
    <row r="5813">
      <c r="D5813" s="9"/>
      <c r="G5813" s="9"/>
      <c r="J5813" s="11"/>
      <c r="U5813" s="9"/>
      <c r="X5813" s="9"/>
    </row>
    <row r="5814">
      <c r="D5814" s="9"/>
      <c r="G5814" s="9"/>
      <c r="J5814" s="11"/>
      <c r="U5814" s="9"/>
      <c r="X5814" s="9"/>
    </row>
    <row r="5815">
      <c r="D5815" s="9"/>
      <c r="G5815" s="9"/>
      <c r="J5815" s="11"/>
      <c r="U5815" s="9"/>
      <c r="X5815" s="9"/>
    </row>
    <row r="5816">
      <c r="D5816" s="9"/>
      <c r="G5816" s="9"/>
      <c r="J5816" s="11"/>
      <c r="U5816" s="9"/>
      <c r="X5816" s="9"/>
    </row>
    <row r="5817">
      <c r="D5817" s="9"/>
      <c r="G5817" s="9"/>
      <c r="J5817" s="11"/>
      <c r="U5817" s="9"/>
      <c r="X5817" s="9"/>
    </row>
    <row r="5818">
      <c r="D5818" s="9"/>
      <c r="G5818" s="9"/>
      <c r="J5818" s="11"/>
      <c r="U5818" s="9"/>
      <c r="X5818" s="9"/>
    </row>
    <row r="5819">
      <c r="D5819" s="9"/>
      <c r="G5819" s="9"/>
      <c r="J5819" s="11"/>
      <c r="U5819" s="9"/>
      <c r="X5819" s="9"/>
    </row>
    <row r="5820">
      <c r="D5820" s="9"/>
      <c r="G5820" s="9"/>
      <c r="J5820" s="11"/>
      <c r="U5820" s="9"/>
      <c r="X5820" s="9"/>
    </row>
    <row r="5821">
      <c r="D5821" s="9"/>
      <c r="G5821" s="9"/>
      <c r="J5821" s="11"/>
      <c r="U5821" s="9"/>
      <c r="X5821" s="9"/>
    </row>
    <row r="5822">
      <c r="D5822" s="9"/>
      <c r="G5822" s="9"/>
      <c r="J5822" s="11"/>
      <c r="U5822" s="9"/>
      <c r="X5822" s="9"/>
    </row>
    <row r="5823">
      <c r="D5823" s="9"/>
      <c r="G5823" s="9"/>
      <c r="J5823" s="11"/>
      <c r="U5823" s="9"/>
      <c r="X5823" s="9"/>
    </row>
    <row r="5824">
      <c r="D5824" s="9"/>
      <c r="G5824" s="9"/>
      <c r="J5824" s="11"/>
      <c r="U5824" s="9"/>
      <c r="X5824" s="9"/>
    </row>
    <row r="5825">
      <c r="D5825" s="9"/>
      <c r="G5825" s="9"/>
      <c r="J5825" s="11"/>
      <c r="U5825" s="9"/>
      <c r="X5825" s="9"/>
    </row>
    <row r="5826">
      <c r="D5826" s="9"/>
      <c r="G5826" s="9"/>
      <c r="J5826" s="11"/>
      <c r="U5826" s="9"/>
      <c r="X5826" s="9"/>
    </row>
    <row r="5827">
      <c r="D5827" s="9"/>
      <c r="G5827" s="9"/>
      <c r="J5827" s="11"/>
      <c r="U5827" s="9"/>
      <c r="X5827" s="9"/>
    </row>
    <row r="5828">
      <c r="D5828" s="9"/>
      <c r="G5828" s="9"/>
      <c r="J5828" s="11"/>
      <c r="U5828" s="9"/>
      <c r="X5828" s="9"/>
    </row>
    <row r="5829">
      <c r="D5829" s="9"/>
      <c r="G5829" s="9"/>
      <c r="J5829" s="11"/>
      <c r="U5829" s="9"/>
      <c r="X5829" s="9"/>
    </row>
    <row r="5830">
      <c r="D5830" s="9"/>
      <c r="G5830" s="9"/>
      <c r="J5830" s="11"/>
      <c r="U5830" s="9"/>
      <c r="X5830" s="9"/>
    </row>
    <row r="5831">
      <c r="D5831" s="9"/>
      <c r="G5831" s="9"/>
      <c r="J5831" s="11"/>
      <c r="U5831" s="9"/>
      <c r="X5831" s="9"/>
    </row>
    <row r="5832">
      <c r="D5832" s="9"/>
      <c r="G5832" s="9"/>
      <c r="J5832" s="11"/>
      <c r="U5832" s="9"/>
      <c r="X5832" s="9"/>
    </row>
    <row r="5833">
      <c r="D5833" s="9"/>
      <c r="G5833" s="9"/>
      <c r="J5833" s="11"/>
      <c r="U5833" s="9"/>
      <c r="X5833" s="9"/>
    </row>
    <row r="5834">
      <c r="D5834" s="9"/>
      <c r="G5834" s="9"/>
      <c r="J5834" s="11"/>
      <c r="U5834" s="9"/>
      <c r="X5834" s="9"/>
    </row>
    <row r="5835">
      <c r="D5835" s="9"/>
      <c r="G5835" s="9"/>
      <c r="J5835" s="11"/>
      <c r="U5835" s="9"/>
      <c r="X5835" s="9"/>
    </row>
    <row r="5836">
      <c r="D5836" s="9"/>
      <c r="G5836" s="9"/>
      <c r="J5836" s="11"/>
      <c r="U5836" s="9"/>
      <c r="X5836" s="9"/>
    </row>
    <row r="5837">
      <c r="D5837" s="9"/>
      <c r="G5837" s="9"/>
      <c r="J5837" s="11"/>
      <c r="U5837" s="9"/>
      <c r="X5837" s="9"/>
    </row>
    <row r="5838">
      <c r="D5838" s="9"/>
      <c r="G5838" s="9"/>
      <c r="J5838" s="11"/>
      <c r="U5838" s="9"/>
      <c r="X5838" s="9"/>
    </row>
    <row r="5839">
      <c r="D5839" s="9"/>
      <c r="G5839" s="9"/>
      <c r="J5839" s="11"/>
      <c r="U5839" s="9"/>
      <c r="X5839" s="9"/>
    </row>
    <row r="5840">
      <c r="D5840" s="9"/>
      <c r="G5840" s="9"/>
      <c r="J5840" s="11"/>
      <c r="U5840" s="9"/>
      <c r="X5840" s="9"/>
    </row>
    <row r="5841">
      <c r="D5841" s="9"/>
      <c r="G5841" s="9"/>
      <c r="J5841" s="11"/>
      <c r="U5841" s="9"/>
      <c r="X5841" s="9"/>
    </row>
    <row r="5842">
      <c r="D5842" s="9"/>
      <c r="G5842" s="9"/>
      <c r="J5842" s="11"/>
      <c r="U5842" s="9"/>
      <c r="X5842" s="9"/>
    </row>
    <row r="5843">
      <c r="D5843" s="9"/>
      <c r="G5843" s="9"/>
      <c r="J5843" s="11"/>
      <c r="U5843" s="9"/>
      <c r="X5843" s="9"/>
    </row>
    <row r="5844">
      <c r="D5844" s="9"/>
      <c r="G5844" s="9"/>
      <c r="J5844" s="11"/>
      <c r="U5844" s="9"/>
      <c r="X5844" s="9"/>
    </row>
    <row r="5845">
      <c r="D5845" s="9"/>
      <c r="G5845" s="9"/>
      <c r="J5845" s="11"/>
      <c r="U5845" s="9"/>
      <c r="X5845" s="9"/>
    </row>
    <row r="5846">
      <c r="D5846" s="9"/>
      <c r="G5846" s="9"/>
      <c r="J5846" s="11"/>
      <c r="U5846" s="9"/>
      <c r="X5846" s="9"/>
    </row>
    <row r="5847">
      <c r="D5847" s="9"/>
      <c r="G5847" s="9"/>
      <c r="J5847" s="11"/>
      <c r="U5847" s="9"/>
      <c r="X5847" s="9"/>
    </row>
    <row r="5848">
      <c r="D5848" s="9"/>
      <c r="G5848" s="9"/>
      <c r="J5848" s="11"/>
      <c r="U5848" s="9"/>
      <c r="X5848" s="9"/>
    </row>
    <row r="5849">
      <c r="D5849" s="9"/>
      <c r="G5849" s="9"/>
      <c r="J5849" s="11"/>
      <c r="U5849" s="9"/>
      <c r="X5849" s="9"/>
    </row>
    <row r="5850">
      <c r="D5850" s="9"/>
      <c r="G5850" s="9"/>
      <c r="J5850" s="11"/>
      <c r="U5850" s="9"/>
      <c r="X5850" s="9"/>
    </row>
    <row r="5851">
      <c r="D5851" s="9"/>
      <c r="G5851" s="9"/>
      <c r="J5851" s="11"/>
      <c r="U5851" s="9"/>
      <c r="X5851" s="9"/>
    </row>
    <row r="5852">
      <c r="D5852" s="9"/>
      <c r="G5852" s="9"/>
      <c r="J5852" s="11"/>
      <c r="U5852" s="9"/>
      <c r="X5852" s="9"/>
    </row>
    <row r="5853">
      <c r="D5853" s="9"/>
      <c r="G5853" s="9"/>
      <c r="J5853" s="11"/>
      <c r="U5853" s="9"/>
      <c r="X5853" s="9"/>
    </row>
    <row r="5854">
      <c r="D5854" s="9"/>
      <c r="G5854" s="9"/>
      <c r="J5854" s="11"/>
      <c r="U5854" s="9"/>
      <c r="X5854" s="9"/>
    </row>
    <row r="5855">
      <c r="D5855" s="9"/>
      <c r="G5855" s="9"/>
      <c r="J5855" s="11"/>
      <c r="U5855" s="9"/>
      <c r="X5855" s="9"/>
    </row>
    <row r="5856">
      <c r="D5856" s="9"/>
      <c r="G5856" s="9"/>
      <c r="J5856" s="11"/>
      <c r="U5856" s="9"/>
      <c r="X5856" s="9"/>
    </row>
    <row r="5857">
      <c r="D5857" s="9"/>
      <c r="G5857" s="9"/>
      <c r="J5857" s="11"/>
      <c r="U5857" s="9"/>
      <c r="X5857" s="9"/>
    </row>
    <row r="5858">
      <c r="D5858" s="9"/>
      <c r="G5858" s="9"/>
      <c r="J5858" s="11"/>
      <c r="U5858" s="9"/>
      <c r="X5858" s="9"/>
    </row>
    <row r="5859">
      <c r="D5859" s="9"/>
      <c r="G5859" s="9"/>
      <c r="J5859" s="11"/>
      <c r="U5859" s="9"/>
      <c r="X5859" s="9"/>
    </row>
    <row r="5860">
      <c r="D5860" s="9"/>
      <c r="G5860" s="9"/>
      <c r="J5860" s="11"/>
      <c r="U5860" s="9"/>
      <c r="X5860" s="9"/>
    </row>
    <row r="5861">
      <c r="D5861" s="9"/>
      <c r="G5861" s="9"/>
      <c r="J5861" s="11"/>
      <c r="U5861" s="9"/>
      <c r="X5861" s="9"/>
    </row>
    <row r="5862">
      <c r="D5862" s="9"/>
      <c r="G5862" s="9"/>
      <c r="J5862" s="11"/>
      <c r="U5862" s="9"/>
      <c r="X5862" s="9"/>
    </row>
    <row r="5863">
      <c r="D5863" s="9"/>
      <c r="G5863" s="9"/>
      <c r="J5863" s="11"/>
      <c r="U5863" s="9"/>
      <c r="X5863" s="9"/>
    </row>
    <row r="5864">
      <c r="D5864" s="9"/>
      <c r="G5864" s="9"/>
      <c r="J5864" s="11"/>
      <c r="U5864" s="9"/>
      <c r="X5864" s="9"/>
    </row>
    <row r="5865">
      <c r="D5865" s="9"/>
      <c r="G5865" s="9"/>
      <c r="J5865" s="11"/>
      <c r="U5865" s="9"/>
      <c r="X5865" s="9"/>
    </row>
    <row r="5866">
      <c r="D5866" s="9"/>
      <c r="G5866" s="9"/>
      <c r="J5866" s="11"/>
      <c r="U5866" s="9"/>
      <c r="X5866" s="9"/>
    </row>
    <row r="5867">
      <c r="D5867" s="9"/>
      <c r="G5867" s="9"/>
      <c r="J5867" s="11"/>
      <c r="U5867" s="9"/>
      <c r="X5867" s="9"/>
    </row>
    <row r="5868">
      <c r="D5868" s="9"/>
      <c r="G5868" s="9"/>
      <c r="J5868" s="11"/>
      <c r="U5868" s="9"/>
      <c r="X5868" s="9"/>
    </row>
    <row r="5869">
      <c r="D5869" s="9"/>
      <c r="G5869" s="9"/>
      <c r="J5869" s="11"/>
      <c r="U5869" s="9"/>
      <c r="X5869" s="9"/>
    </row>
    <row r="5870">
      <c r="D5870" s="9"/>
      <c r="G5870" s="9"/>
      <c r="J5870" s="11"/>
      <c r="U5870" s="9"/>
      <c r="X5870" s="9"/>
    </row>
    <row r="5871">
      <c r="D5871" s="9"/>
      <c r="G5871" s="9"/>
      <c r="J5871" s="11"/>
      <c r="U5871" s="9"/>
      <c r="X5871" s="9"/>
    </row>
    <row r="5872">
      <c r="D5872" s="9"/>
      <c r="G5872" s="9"/>
      <c r="J5872" s="11"/>
      <c r="U5872" s="9"/>
      <c r="X5872" s="9"/>
    </row>
    <row r="5873">
      <c r="D5873" s="9"/>
      <c r="G5873" s="9"/>
      <c r="J5873" s="11"/>
      <c r="U5873" s="9"/>
      <c r="X5873" s="9"/>
    </row>
    <row r="5874">
      <c r="D5874" s="9"/>
      <c r="G5874" s="9"/>
      <c r="J5874" s="11"/>
      <c r="U5874" s="9"/>
      <c r="X5874" s="9"/>
    </row>
    <row r="5875">
      <c r="D5875" s="9"/>
      <c r="G5875" s="9"/>
      <c r="J5875" s="11"/>
      <c r="U5875" s="9"/>
      <c r="X5875" s="9"/>
    </row>
    <row r="5876">
      <c r="D5876" s="9"/>
      <c r="G5876" s="9"/>
      <c r="J5876" s="11"/>
      <c r="U5876" s="9"/>
      <c r="X5876" s="9"/>
    </row>
    <row r="5877">
      <c r="D5877" s="9"/>
      <c r="G5877" s="9"/>
      <c r="J5877" s="11"/>
      <c r="U5877" s="9"/>
      <c r="X5877" s="9"/>
    </row>
    <row r="5878">
      <c r="D5878" s="9"/>
      <c r="G5878" s="9"/>
      <c r="J5878" s="11"/>
      <c r="U5878" s="9"/>
      <c r="X5878" s="9"/>
    </row>
    <row r="5879">
      <c r="D5879" s="9"/>
      <c r="G5879" s="9"/>
      <c r="J5879" s="11"/>
      <c r="U5879" s="9"/>
      <c r="X5879" s="9"/>
    </row>
    <row r="5880">
      <c r="D5880" s="9"/>
      <c r="G5880" s="9"/>
      <c r="J5880" s="11"/>
      <c r="U5880" s="9"/>
      <c r="X5880" s="9"/>
    </row>
    <row r="5881">
      <c r="D5881" s="9"/>
      <c r="G5881" s="9"/>
      <c r="J5881" s="11"/>
      <c r="U5881" s="9"/>
      <c r="X5881" s="9"/>
    </row>
    <row r="5882">
      <c r="D5882" s="9"/>
      <c r="G5882" s="9"/>
      <c r="J5882" s="11"/>
      <c r="U5882" s="9"/>
      <c r="X5882" s="9"/>
    </row>
    <row r="5883">
      <c r="D5883" s="9"/>
      <c r="G5883" s="9"/>
      <c r="J5883" s="11"/>
      <c r="U5883" s="9"/>
      <c r="X5883" s="9"/>
    </row>
    <row r="5884">
      <c r="D5884" s="9"/>
      <c r="G5884" s="9"/>
      <c r="J5884" s="11"/>
      <c r="U5884" s="9"/>
      <c r="X5884" s="9"/>
    </row>
    <row r="5885">
      <c r="D5885" s="9"/>
      <c r="G5885" s="9"/>
      <c r="J5885" s="11"/>
      <c r="U5885" s="9"/>
      <c r="X5885" s="9"/>
    </row>
    <row r="5886">
      <c r="D5886" s="9"/>
      <c r="G5886" s="9"/>
      <c r="J5886" s="11"/>
      <c r="U5886" s="9"/>
      <c r="X5886" s="9"/>
    </row>
    <row r="5887">
      <c r="D5887" s="9"/>
      <c r="G5887" s="9"/>
      <c r="J5887" s="11"/>
      <c r="U5887" s="9"/>
      <c r="X5887" s="9"/>
    </row>
    <row r="5888">
      <c r="D5888" s="9"/>
      <c r="G5888" s="9"/>
      <c r="J5888" s="11"/>
      <c r="U5888" s="9"/>
      <c r="X5888" s="9"/>
    </row>
    <row r="5889">
      <c r="D5889" s="9"/>
      <c r="G5889" s="9"/>
      <c r="J5889" s="11"/>
      <c r="U5889" s="9"/>
      <c r="X5889" s="9"/>
    </row>
    <row r="5890">
      <c r="D5890" s="9"/>
      <c r="G5890" s="9"/>
      <c r="J5890" s="11"/>
      <c r="U5890" s="9"/>
      <c r="X5890" s="9"/>
    </row>
    <row r="5891">
      <c r="D5891" s="9"/>
      <c r="G5891" s="9"/>
      <c r="J5891" s="11"/>
      <c r="U5891" s="9"/>
      <c r="X5891" s="9"/>
    </row>
    <row r="5892">
      <c r="D5892" s="9"/>
      <c r="G5892" s="9"/>
      <c r="J5892" s="11"/>
      <c r="U5892" s="9"/>
      <c r="X5892" s="9"/>
    </row>
    <row r="5893">
      <c r="D5893" s="9"/>
      <c r="G5893" s="9"/>
      <c r="J5893" s="11"/>
      <c r="U5893" s="9"/>
      <c r="X5893" s="9"/>
    </row>
    <row r="5894">
      <c r="D5894" s="9"/>
      <c r="G5894" s="9"/>
      <c r="J5894" s="11"/>
      <c r="U5894" s="9"/>
      <c r="X5894" s="9"/>
    </row>
    <row r="5895">
      <c r="D5895" s="9"/>
      <c r="G5895" s="9"/>
      <c r="J5895" s="11"/>
      <c r="U5895" s="9"/>
      <c r="X5895" s="9"/>
    </row>
    <row r="5896">
      <c r="D5896" s="9"/>
      <c r="G5896" s="9"/>
      <c r="J5896" s="11"/>
      <c r="U5896" s="9"/>
      <c r="X5896" s="9"/>
    </row>
    <row r="5897">
      <c r="D5897" s="9"/>
      <c r="G5897" s="9"/>
      <c r="J5897" s="11"/>
      <c r="U5897" s="9"/>
      <c r="X5897" s="9"/>
    </row>
    <row r="5898">
      <c r="D5898" s="9"/>
      <c r="G5898" s="9"/>
      <c r="J5898" s="11"/>
      <c r="U5898" s="9"/>
      <c r="X5898" s="9"/>
    </row>
    <row r="5899">
      <c r="D5899" s="9"/>
      <c r="G5899" s="9"/>
      <c r="J5899" s="11"/>
      <c r="U5899" s="9"/>
      <c r="X5899" s="9"/>
    </row>
    <row r="5900">
      <c r="D5900" s="9"/>
      <c r="G5900" s="9"/>
      <c r="J5900" s="11"/>
      <c r="U5900" s="9"/>
      <c r="X5900" s="9"/>
    </row>
    <row r="5901">
      <c r="D5901" s="9"/>
      <c r="G5901" s="9"/>
      <c r="J5901" s="11"/>
      <c r="U5901" s="9"/>
      <c r="X5901" s="9"/>
    </row>
    <row r="5902">
      <c r="D5902" s="9"/>
      <c r="G5902" s="9"/>
      <c r="J5902" s="11"/>
      <c r="U5902" s="9"/>
      <c r="X5902" s="9"/>
    </row>
    <row r="5903">
      <c r="D5903" s="9"/>
      <c r="G5903" s="9"/>
      <c r="J5903" s="11"/>
      <c r="U5903" s="9"/>
      <c r="X5903" s="9"/>
    </row>
    <row r="5904">
      <c r="D5904" s="9"/>
      <c r="G5904" s="9"/>
      <c r="J5904" s="11"/>
      <c r="U5904" s="9"/>
      <c r="X5904" s="9"/>
    </row>
    <row r="5905">
      <c r="D5905" s="9"/>
      <c r="G5905" s="9"/>
      <c r="J5905" s="11"/>
      <c r="U5905" s="9"/>
      <c r="X5905" s="9"/>
    </row>
    <row r="5906">
      <c r="D5906" s="9"/>
      <c r="G5906" s="9"/>
      <c r="J5906" s="11"/>
      <c r="U5906" s="9"/>
      <c r="X5906" s="9"/>
    </row>
    <row r="5907">
      <c r="D5907" s="9"/>
      <c r="G5907" s="9"/>
      <c r="J5907" s="11"/>
      <c r="U5907" s="9"/>
      <c r="X5907" s="9"/>
    </row>
    <row r="5908">
      <c r="D5908" s="9"/>
      <c r="G5908" s="9"/>
      <c r="J5908" s="11"/>
      <c r="U5908" s="9"/>
      <c r="X5908" s="9"/>
    </row>
    <row r="5909">
      <c r="D5909" s="9"/>
      <c r="G5909" s="9"/>
      <c r="J5909" s="11"/>
      <c r="U5909" s="9"/>
      <c r="X5909" s="9"/>
    </row>
    <row r="5910">
      <c r="D5910" s="9"/>
      <c r="G5910" s="9"/>
      <c r="J5910" s="11"/>
      <c r="U5910" s="9"/>
      <c r="X5910" s="9"/>
    </row>
    <row r="5911">
      <c r="D5911" s="9"/>
      <c r="G5911" s="9"/>
      <c r="J5911" s="11"/>
      <c r="U5911" s="9"/>
      <c r="X5911" s="9"/>
    </row>
    <row r="5912">
      <c r="D5912" s="9"/>
      <c r="G5912" s="9"/>
      <c r="J5912" s="11"/>
      <c r="U5912" s="9"/>
      <c r="X5912" s="9"/>
    </row>
    <row r="5913">
      <c r="D5913" s="9"/>
      <c r="G5913" s="9"/>
      <c r="J5913" s="11"/>
      <c r="U5913" s="9"/>
      <c r="X5913" s="9"/>
    </row>
    <row r="5914">
      <c r="D5914" s="9"/>
      <c r="G5914" s="9"/>
      <c r="J5914" s="11"/>
      <c r="U5914" s="9"/>
      <c r="X5914" s="9"/>
    </row>
    <row r="5915">
      <c r="D5915" s="9"/>
      <c r="G5915" s="9"/>
      <c r="J5915" s="11"/>
      <c r="U5915" s="9"/>
      <c r="X5915" s="9"/>
    </row>
    <row r="5916">
      <c r="D5916" s="9"/>
      <c r="G5916" s="9"/>
      <c r="J5916" s="11"/>
      <c r="U5916" s="9"/>
      <c r="X5916" s="9"/>
    </row>
    <row r="5917">
      <c r="D5917" s="9"/>
      <c r="G5917" s="9"/>
      <c r="J5917" s="11"/>
      <c r="U5917" s="9"/>
      <c r="X5917" s="9"/>
    </row>
    <row r="5918">
      <c r="D5918" s="9"/>
      <c r="G5918" s="9"/>
      <c r="J5918" s="11"/>
      <c r="U5918" s="9"/>
      <c r="X5918" s="9"/>
    </row>
    <row r="5919">
      <c r="D5919" s="9"/>
      <c r="G5919" s="9"/>
      <c r="J5919" s="11"/>
      <c r="U5919" s="9"/>
      <c r="X5919" s="9"/>
    </row>
    <row r="5920">
      <c r="D5920" s="9"/>
      <c r="G5920" s="9"/>
      <c r="J5920" s="11"/>
      <c r="U5920" s="9"/>
      <c r="X5920" s="9"/>
    </row>
    <row r="5921">
      <c r="D5921" s="9"/>
      <c r="G5921" s="9"/>
      <c r="J5921" s="11"/>
      <c r="U5921" s="9"/>
      <c r="X5921" s="9"/>
    </row>
    <row r="5922">
      <c r="D5922" s="9"/>
      <c r="G5922" s="9"/>
      <c r="J5922" s="11"/>
      <c r="U5922" s="9"/>
      <c r="X5922" s="9"/>
    </row>
    <row r="5923">
      <c r="D5923" s="9"/>
      <c r="G5923" s="9"/>
      <c r="J5923" s="11"/>
      <c r="U5923" s="9"/>
      <c r="X5923" s="9"/>
    </row>
    <row r="5924">
      <c r="D5924" s="9"/>
      <c r="G5924" s="9"/>
      <c r="J5924" s="11"/>
      <c r="U5924" s="9"/>
      <c r="X5924" s="9"/>
    </row>
    <row r="5925">
      <c r="D5925" s="9"/>
      <c r="G5925" s="9"/>
      <c r="J5925" s="11"/>
      <c r="U5925" s="9"/>
      <c r="X5925" s="9"/>
    </row>
    <row r="5926">
      <c r="D5926" s="9"/>
      <c r="G5926" s="9"/>
      <c r="J5926" s="11"/>
      <c r="U5926" s="9"/>
      <c r="X5926" s="9"/>
    </row>
    <row r="5927">
      <c r="D5927" s="9"/>
      <c r="G5927" s="9"/>
      <c r="J5927" s="11"/>
      <c r="U5927" s="9"/>
      <c r="X5927" s="9"/>
    </row>
    <row r="5928">
      <c r="D5928" s="9"/>
      <c r="G5928" s="9"/>
      <c r="J5928" s="11"/>
      <c r="U5928" s="9"/>
      <c r="X5928" s="9"/>
    </row>
    <row r="5929">
      <c r="D5929" s="9"/>
      <c r="G5929" s="9"/>
      <c r="J5929" s="11"/>
      <c r="U5929" s="9"/>
      <c r="X5929" s="9"/>
    </row>
    <row r="5930">
      <c r="D5930" s="9"/>
      <c r="G5930" s="9"/>
      <c r="J5930" s="11"/>
      <c r="U5930" s="9"/>
      <c r="X5930" s="9"/>
    </row>
    <row r="5931">
      <c r="D5931" s="9"/>
      <c r="G5931" s="9"/>
      <c r="J5931" s="11"/>
      <c r="U5931" s="9"/>
      <c r="X5931" s="9"/>
    </row>
    <row r="5932">
      <c r="D5932" s="9"/>
      <c r="G5932" s="9"/>
      <c r="J5932" s="11"/>
      <c r="U5932" s="9"/>
      <c r="X5932" s="9"/>
    </row>
    <row r="5933">
      <c r="D5933" s="9"/>
      <c r="G5933" s="9"/>
      <c r="J5933" s="11"/>
      <c r="U5933" s="9"/>
      <c r="X5933" s="9"/>
    </row>
    <row r="5934">
      <c r="D5934" s="9"/>
      <c r="G5934" s="9"/>
      <c r="J5934" s="11"/>
      <c r="U5934" s="9"/>
      <c r="X5934" s="9"/>
    </row>
    <row r="5935">
      <c r="D5935" s="9"/>
      <c r="G5935" s="9"/>
      <c r="J5935" s="11"/>
      <c r="U5935" s="9"/>
      <c r="X5935" s="9"/>
    </row>
    <row r="5936">
      <c r="D5936" s="9"/>
      <c r="G5936" s="9"/>
      <c r="J5936" s="11"/>
      <c r="U5936" s="9"/>
      <c r="X5936" s="9"/>
    </row>
    <row r="5937">
      <c r="D5937" s="9"/>
      <c r="G5937" s="9"/>
      <c r="J5937" s="11"/>
      <c r="U5937" s="9"/>
      <c r="X5937" s="9"/>
    </row>
    <row r="5938">
      <c r="D5938" s="9"/>
      <c r="G5938" s="9"/>
      <c r="J5938" s="11"/>
      <c r="U5938" s="9"/>
      <c r="X5938" s="9"/>
    </row>
    <row r="5939">
      <c r="D5939" s="9"/>
      <c r="G5939" s="9"/>
      <c r="J5939" s="11"/>
      <c r="U5939" s="9"/>
      <c r="X5939" s="9"/>
    </row>
    <row r="5940">
      <c r="D5940" s="9"/>
      <c r="G5940" s="9"/>
      <c r="J5940" s="11"/>
      <c r="U5940" s="9"/>
      <c r="X5940" s="9"/>
    </row>
    <row r="5941">
      <c r="D5941" s="9"/>
      <c r="G5941" s="9"/>
      <c r="J5941" s="11"/>
      <c r="U5941" s="9"/>
      <c r="X5941" s="9"/>
    </row>
    <row r="5942">
      <c r="D5942" s="9"/>
      <c r="G5942" s="9"/>
      <c r="J5942" s="11"/>
      <c r="U5942" s="9"/>
      <c r="X5942" s="9"/>
    </row>
    <row r="5943">
      <c r="D5943" s="9"/>
      <c r="G5943" s="9"/>
      <c r="J5943" s="11"/>
      <c r="U5943" s="9"/>
      <c r="X5943" s="9"/>
    </row>
    <row r="5944">
      <c r="D5944" s="9"/>
      <c r="G5944" s="9"/>
      <c r="J5944" s="11"/>
      <c r="U5944" s="9"/>
      <c r="X5944" s="9"/>
    </row>
    <row r="5945">
      <c r="D5945" s="9"/>
      <c r="G5945" s="9"/>
      <c r="J5945" s="11"/>
      <c r="U5945" s="9"/>
      <c r="X5945" s="9"/>
    </row>
    <row r="5946">
      <c r="D5946" s="9"/>
      <c r="G5946" s="9"/>
      <c r="J5946" s="11"/>
      <c r="U5946" s="9"/>
      <c r="X5946" s="9"/>
    </row>
    <row r="5947">
      <c r="D5947" s="9"/>
      <c r="G5947" s="9"/>
      <c r="J5947" s="11"/>
      <c r="U5947" s="9"/>
      <c r="X5947" s="9"/>
    </row>
    <row r="5948">
      <c r="D5948" s="9"/>
      <c r="G5948" s="9"/>
      <c r="J5948" s="11"/>
      <c r="U5948" s="9"/>
      <c r="X5948" s="9"/>
    </row>
    <row r="5949">
      <c r="D5949" s="9"/>
      <c r="G5949" s="9"/>
      <c r="J5949" s="11"/>
      <c r="U5949" s="9"/>
      <c r="X5949" s="9"/>
    </row>
    <row r="5950">
      <c r="D5950" s="9"/>
      <c r="G5950" s="9"/>
      <c r="J5950" s="11"/>
      <c r="U5950" s="9"/>
      <c r="X5950" s="9"/>
    </row>
    <row r="5951">
      <c r="D5951" s="9"/>
      <c r="G5951" s="9"/>
      <c r="J5951" s="11"/>
      <c r="U5951" s="9"/>
      <c r="X5951" s="9"/>
    </row>
    <row r="5952">
      <c r="D5952" s="9"/>
      <c r="G5952" s="9"/>
      <c r="J5952" s="11"/>
      <c r="U5952" s="9"/>
      <c r="X5952" s="9"/>
    </row>
    <row r="5953">
      <c r="D5953" s="9"/>
      <c r="G5953" s="9"/>
      <c r="J5953" s="11"/>
      <c r="U5953" s="9"/>
      <c r="X5953" s="9"/>
    </row>
    <row r="5954">
      <c r="D5954" s="9"/>
      <c r="G5954" s="9"/>
      <c r="J5954" s="11"/>
      <c r="U5954" s="9"/>
      <c r="X5954" s="9"/>
    </row>
    <row r="5955">
      <c r="D5955" s="9"/>
      <c r="G5955" s="9"/>
      <c r="J5955" s="11"/>
      <c r="U5955" s="9"/>
      <c r="X5955" s="9"/>
    </row>
    <row r="5956">
      <c r="D5956" s="9"/>
      <c r="G5956" s="9"/>
      <c r="J5956" s="11"/>
      <c r="U5956" s="9"/>
      <c r="X5956" s="9"/>
    </row>
    <row r="5957">
      <c r="D5957" s="9"/>
      <c r="G5957" s="9"/>
      <c r="J5957" s="11"/>
      <c r="U5957" s="9"/>
      <c r="X5957" s="9"/>
    </row>
    <row r="5958">
      <c r="D5958" s="9"/>
      <c r="G5958" s="9"/>
      <c r="J5958" s="11"/>
      <c r="U5958" s="9"/>
      <c r="X5958" s="9"/>
    </row>
    <row r="5959">
      <c r="D5959" s="9"/>
      <c r="G5959" s="9"/>
      <c r="J5959" s="11"/>
      <c r="U5959" s="9"/>
      <c r="X5959" s="9"/>
    </row>
    <row r="5960">
      <c r="D5960" s="9"/>
      <c r="G5960" s="9"/>
      <c r="J5960" s="11"/>
      <c r="U5960" s="9"/>
      <c r="X5960" s="9"/>
    </row>
    <row r="5961">
      <c r="D5961" s="9"/>
      <c r="G5961" s="9"/>
      <c r="J5961" s="11"/>
      <c r="U5961" s="9"/>
      <c r="X5961" s="9"/>
    </row>
    <row r="5962">
      <c r="D5962" s="9"/>
      <c r="G5962" s="9"/>
      <c r="J5962" s="11"/>
      <c r="U5962" s="9"/>
      <c r="X5962" s="9"/>
    </row>
    <row r="5963">
      <c r="D5963" s="9"/>
      <c r="G5963" s="9"/>
      <c r="J5963" s="11"/>
      <c r="U5963" s="9"/>
      <c r="X5963" s="9"/>
    </row>
    <row r="5964">
      <c r="D5964" s="9"/>
      <c r="G5964" s="9"/>
      <c r="J5964" s="11"/>
      <c r="U5964" s="9"/>
      <c r="X5964" s="9"/>
    </row>
    <row r="5965">
      <c r="D5965" s="9"/>
      <c r="G5965" s="9"/>
      <c r="J5965" s="11"/>
      <c r="U5965" s="9"/>
      <c r="X5965" s="9"/>
    </row>
    <row r="5966">
      <c r="D5966" s="9"/>
      <c r="G5966" s="9"/>
      <c r="J5966" s="11"/>
      <c r="U5966" s="9"/>
      <c r="X5966" s="9"/>
    </row>
    <row r="5967">
      <c r="D5967" s="9"/>
      <c r="G5967" s="9"/>
      <c r="J5967" s="11"/>
      <c r="U5967" s="9"/>
      <c r="X5967" s="9"/>
    </row>
    <row r="5968">
      <c r="D5968" s="9"/>
      <c r="G5968" s="9"/>
      <c r="J5968" s="11"/>
      <c r="U5968" s="9"/>
      <c r="X5968" s="9"/>
    </row>
    <row r="5969">
      <c r="D5969" s="9"/>
      <c r="G5969" s="9"/>
      <c r="J5969" s="11"/>
      <c r="U5969" s="9"/>
      <c r="X5969" s="9"/>
    </row>
    <row r="5970">
      <c r="D5970" s="9"/>
      <c r="G5970" s="9"/>
      <c r="J5970" s="11"/>
      <c r="U5970" s="9"/>
      <c r="X5970" s="9"/>
    </row>
    <row r="5971">
      <c r="D5971" s="9"/>
      <c r="G5971" s="9"/>
      <c r="J5971" s="11"/>
      <c r="U5971" s="9"/>
      <c r="X5971" s="9"/>
    </row>
    <row r="5972">
      <c r="D5972" s="9"/>
      <c r="G5972" s="9"/>
      <c r="J5972" s="11"/>
      <c r="U5972" s="9"/>
      <c r="X5972" s="9"/>
    </row>
    <row r="5973">
      <c r="D5973" s="9"/>
      <c r="G5973" s="9"/>
      <c r="J5973" s="11"/>
      <c r="U5973" s="9"/>
      <c r="X5973" s="9"/>
    </row>
    <row r="5974">
      <c r="D5974" s="9"/>
      <c r="G5974" s="9"/>
      <c r="J5974" s="11"/>
      <c r="U5974" s="9"/>
      <c r="X5974" s="9"/>
    </row>
    <row r="5975">
      <c r="D5975" s="9"/>
      <c r="G5975" s="9"/>
      <c r="J5975" s="11"/>
      <c r="U5975" s="9"/>
      <c r="X5975" s="9"/>
    </row>
    <row r="5976">
      <c r="D5976" s="9"/>
      <c r="G5976" s="9"/>
      <c r="J5976" s="11"/>
      <c r="U5976" s="9"/>
      <c r="X5976" s="9"/>
    </row>
    <row r="5977">
      <c r="D5977" s="9"/>
      <c r="G5977" s="9"/>
      <c r="J5977" s="11"/>
      <c r="U5977" s="9"/>
      <c r="X5977" s="9"/>
    </row>
    <row r="5978">
      <c r="D5978" s="9"/>
      <c r="G5978" s="9"/>
      <c r="J5978" s="11"/>
      <c r="U5978" s="9"/>
      <c r="X5978" s="9"/>
    </row>
    <row r="5979">
      <c r="D5979" s="9"/>
      <c r="G5979" s="9"/>
      <c r="J5979" s="11"/>
      <c r="U5979" s="9"/>
      <c r="X5979" s="9"/>
    </row>
    <row r="5980">
      <c r="D5980" s="9"/>
      <c r="G5980" s="9"/>
      <c r="J5980" s="11"/>
      <c r="U5980" s="9"/>
      <c r="X5980" s="9"/>
    </row>
    <row r="5981">
      <c r="D5981" s="9"/>
      <c r="G5981" s="9"/>
      <c r="J5981" s="11"/>
      <c r="U5981" s="9"/>
      <c r="X5981" s="9"/>
    </row>
    <row r="5982">
      <c r="D5982" s="9"/>
      <c r="G5982" s="9"/>
      <c r="J5982" s="11"/>
      <c r="U5982" s="9"/>
      <c r="X5982" s="9"/>
    </row>
    <row r="5983">
      <c r="D5983" s="9"/>
      <c r="G5983" s="9"/>
      <c r="J5983" s="11"/>
      <c r="U5983" s="9"/>
      <c r="X5983" s="9"/>
    </row>
    <row r="5984">
      <c r="D5984" s="9"/>
      <c r="G5984" s="9"/>
      <c r="J5984" s="11"/>
      <c r="U5984" s="9"/>
      <c r="X5984" s="9"/>
    </row>
    <row r="5985">
      <c r="D5985" s="9"/>
      <c r="G5985" s="9"/>
      <c r="J5985" s="11"/>
      <c r="U5985" s="9"/>
      <c r="X5985" s="9"/>
    </row>
    <row r="5986">
      <c r="D5986" s="9"/>
      <c r="G5986" s="9"/>
      <c r="J5986" s="11"/>
      <c r="U5986" s="9"/>
      <c r="X5986" s="9"/>
    </row>
    <row r="5987">
      <c r="D5987" s="9"/>
      <c r="G5987" s="9"/>
      <c r="J5987" s="11"/>
      <c r="U5987" s="9"/>
      <c r="X5987" s="9"/>
    </row>
    <row r="5988">
      <c r="D5988" s="9"/>
      <c r="G5988" s="9"/>
      <c r="J5988" s="11"/>
      <c r="U5988" s="9"/>
      <c r="X5988" s="9"/>
    </row>
    <row r="5989">
      <c r="D5989" s="9"/>
      <c r="G5989" s="9"/>
      <c r="J5989" s="11"/>
      <c r="U5989" s="9"/>
      <c r="X5989" s="9"/>
    </row>
    <row r="5990">
      <c r="D5990" s="9"/>
      <c r="G5990" s="9"/>
      <c r="J5990" s="11"/>
      <c r="U5990" s="9"/>
      <c r="X5990" s="9"/>
    </row>
    <row r="5991">
      <c r="D5991" s="9"/>
      <c r="G5991" s="9"/>
      <c r="J5991" s="11"/>
      <c r="U5991" s="9"/>
      <c r="X5991" s="9"/>
    </row>
    <row r="5992">
      <c r="D5992" s="9"/>
      <c r="G5992" s="9"/>
      <c r="J5992" s="11"/>
      <c r="U5992" s="9"/>
      <c r="X5992" s="9"/>
    </row>
    <row r="5993">
      <c r="D5993" s="9"/>
      <c r="G5993" s="9"/>
      <c r="J5993" s="11"/>
      <c r="U5993" s="9"/>
      <c r="X5993" s="9"/>
    </row>
    <row r="5994">
      <c r="D5994" s="9"/>
      <c r="G5994" s="9"/>
      <c r="J5994" s="11"/>
      <c r="U5994" s="9"/>
      <c r="X5994" s="9"/>
    </row>
    <row r="5995">
      <c r="D5995" s="9"/>
      <c r="G5995" s="9"/>
      <c r="J5995" s="11"/>
      <c r="U5995" s="9"/>
      <c r="X5995" s="9"/>
    </row>
    <row r="5996">
      <c r="D5996" s="9"/>
      <c r="G5996" s="9"/>
      <c r="J5996" s="11"/>
      <c r="U5996" s="9"/>
      <c r="X5996" s="9"/>
    </row>
    <row r="5997">
      <c r="D5997" s="9"/>
      <c r="G5997" s="9"/>
      <c r="J5997" s="11"/>
      <c r="U5997" s="9"/>
      <c r="X5997" s="9"/>
    </row>
    <row r="5998">
      <c r="D5998" s="9"/>
      <c r="G5998" s="9"/>
      <c r="J5998" s="11"/>
      <c r="U5998" s="9"/>
      <c r="X5998" s="9"/>
    </row>
    <row r="5999">
      <c r="D5999" s="9"/>
      <c r="G5999" s="9"/>
      <c r="J5999" s="11"/>
      <c r="U5999" s="9"/>
      <c r="X5999" s="9"/>
    </row>
    <row r="6000">
      <c r="D6000" s="9"/>
      <c r="G6000" s="9"/>
      <c r="J6000" s="11"/>
      <c r="U6000" s="9"/>
      <c r="X6000" s="9"/>
    </row>
    <row r="6001">
      <c r="D6001" s="9"/>
      <c r="G6001" s="9"/>
      <c r="J6001" s="11"/>
      <c r="U6001" s="9"/>
      <c r="X6001" s="9"/>
    </row>
    <row r="6002">
      <c r="D6002" s="9"/>
      <c r="G6002" s="9"/>
      <c r="J6002" s="11"/>
      <c r="U6002" s="9"/>
      <c r="X6002" s="9"/>
    </row>
    <row r="6003">
      <c r="D6003" s="9"/>
      <c r="G6003" s="9"/>
      <c r="J6003" s="11"/>
      <c r="U6003" s="9"/>
      <c r="X6003" s="9"/>
    </row>
    <row r="6004">
      <c r="D6004" s="9"/>
      <c r="G6004" s="9"/>
      <c r="J6004" s="11"/>
      <c r="U6004" s="9"/>
      <c r="X6004" s="9"/>
    </row>
    <row r="6005">
      <c r="D6005" s="9"/>
      <c r="G6005" s="9"/>
      <c r="J6005" s="11"/>
      <c r="U6005" s="9"/>
      <c r="X6005" s="9"/>
    </row>
    <row r="6006">
      <c r="D6006" s="9"/>
      <c r="G6006" s="9"/>
      <c r="J6006" s="11"/>
      <c r="U6006" s="9"/>
      <c r="X6006" s="9"/>
    </row>
    <row r="6007">
      <c r="D6007" s="9"/>
      <c r="G6007" s="9"/>
      <c r="J6007" s="11"/>
      <c r="U6007" s="9"/>
      <c r="X6007" s="9"/>
    </row>
    <row r="6008">
      <c r="D6008" s="9"/>
      <c r="G6008" s="9"/>
      <c r="J6008" s="11"/>
      <c r="U6008" s="9"/>
      <c r="X6008" s="9"/>
    </row>
    <row r="6009">
      <c r="D6009" s="9"/>
      <c r="G6009" s="9"/>
      <c r="J6009" s="11"/>
      <c r="U6009" s="9"/>
      <c r="X6009" s="9"/>
    </row>
    <row r="6010">
      <c r="D6010" s="9"/>
      <c r="G6010" s="9"/>
      <c r="J6010" s="11"/>
      <c r="U6010" s="9"/>
      <c r="X6010" s="9"/>
    </row>
    <row r="6011">
      <c r="D6011" s="9"/>
      <c r="G6011" s="9"/>
      <c r="J6011" s="11"/>
      <c r="U6011" s="9"/>
      <c r="X6011" s="9"/>
    </row>
    <row r="6012">
      <c r="D6012" s="9"/>
      <c r="G6012" s="9"/>
      <c r="J6012" s="11"/>
      <c r="U6012" s="9"/>
      <c r="X6012" s="9"/>
    </row>
    <row r="6013">
      <c r="D6013" s="9"/>
      <c r="G6013" s="9"/>
      <c r="J6013" s="11"/>
      <c r="U6013" s="9"/>
      <c r="X6013" s="9"/>
    </row>
    <row r="6014">
      <c r="D6014" s="9"/>
      <c r="G6014" s="9"/>
      <c r="J6014" s="11"/>
      <c r="U6014" s="9"/>
      <c r="X6014" s="9"/>
    </row>
    <row r="6015">
      <c r="D6015" s="9"/>
      <c r="G6015" s="9"/>
      <c r="J6015" s="11"/>
      <c r="U6015" s="9"/>
      <c r="X6015" s="9"/>
    </row>
    <row r="6016">
      <c r="D6016" s="9"/>
      <c r="G6016" s="9"/>
      <c r="J6016" s="11"/>
      <c r="U6016" s="9"/>
      <c r="X6016" s="9"/>
    </row>
    <row r="6017">
      <c r="D6017" s="9"/>
      <c r="G6017" s="9"/>
      <c r="J6017" s="11"/>
      <c r="U6017" s="9"/>
      <c r="X6017" s="9"/>
    </row>
    <row r="6018">
      <c r="D6018" s="9"/>
      <c r="G6018" s="9"/>
      <c r="J6018" s="11"/>
      <c r="U6018" s="9"/>
      <c r="X6018" s="9"/>
    </row>
    <row r="6019">
      <c r="D6019" s="9"/>
      <c r="G6019" s="9"/>
      <c r="J6019" s="11"/>
      <c r="U6019" s="9"/>
      <c r="X6019" s="9"/>
    </row>
    <row r="6020">
      <c r="D6020" s="9"/>
      <c r="G6020" s="9"/>
      <c r="J6020" s="11"/>
      <c r="U6020" s="9"/>
      <c r="X6020" s="9"/>
    </row>
    <row r="6021">
      <c r="D6021" s="9"/>
      <c r="G6021" s="9"/>
      <c r="J6021" s="11"/>
      <c r="U6021" s="9"/>
      <c r="X6021" s="9"/>
    </row>
    <row r="6022">
      <c r="D6022" s="9"/>
      <c r="G6022" s="9"/>
      <c r="J6022" s="11"/>
      <c r="U6022" s="9"/>
      <c r="X6022" s="9"/>
    </row>
    <row r="6023">
      <c r="D6023" s="9"/>
      <c r="G6023" s="9"/>
      <c r="J6023" s="11"/>
      <c r="U6023" s="9"/>
      <c r="X6023" s="9"/>
    </row>
    <row r="6024">
      <c r="D6024" s="9"/>
      <c r="G6024" s="9"/>
      <c r="J6024" s="11"/>
      <c r="U6024" s="9"/>
      <c r="X6024" s="9"/>
    </row>
    <row r="6025">
      <c r="D6025" s="9"/>
      <c r="G6025" s="9"/>
      <c r="J6025" s="11"/>
      <c r="U6025" s="9"/>
      <c r="X6025" s="9"/>
    </row>
    <row r="6026">
      <c r="D6026" s="9"/>
      <c r="G6026" s="9"/>
      <c r="J6026" s="11"/>
      <c r="U6026" s="9"/>
      <c r="X6026" s="9"/>
    </row>
    <row r="6027">
      <c r="D6027" s="9"/>
      <c r="G6027" s="9"/>
      <c r="J6027" s="11"/>
      <c r="U6027" s="9"/>
      <c r="X6027" s="9"/>
    </row>
    <row r="6028">
      <c r="D6028" s="9"/>
      <c r="G6028" s="9"/>
      <c r="J6028" s="11"/>
      <c r="U6028" s="9"/>
      <c r="X6028" s="9"/>
    </row>
    <row r="6029">
      <c r="D6029" s="9"/>
      <c r="G6029" s="9"/>
      <c r="J6029" s="11"/>
      <c r="U6029" s="9"/>
      <c r="X6029" s="9"/>
    </row>
    <row r="6030">
      <c r="D6030" s="9"/>
      <c r="G6030" s="9"/>
      <c r="J6030" s="11"/>
      <c r="U6030" s="9"/>
      <c r="X6030" s="9"/>
    </row>
    <row r="6031">
      <c r="D6031" s="9"/>
      <c r="G6031" s="9"/>
      <c r="J6031" s="11"/>
      <c r="U6031" s="9"/>
      <c r="X6031" s="9"/>
    </row>
    <row r="6032">
      <c r="D6032" s="9"/>
      <c r="G6032" s="9"/>
      <c r="J6032" s="11"/>
      <c r="U6032" s="9"/>
      <c r="X6032" s="9"/>
    </row>
    <row r="6033">
      <c r="D6033" s="9"/>
      <c r="G6033" s="9"/>
      <c r="J6033" s="11"/>
      <c r="U6033" s="9"/>
      <c r="X6033" s="9"/>
    </row>
    <row r="6034">
      <c r="D6034" s="9"/>
      <c r="G6034" s="9"/>
      <c r="J6034" s="11"/>
      <c r="U6034" s="9"/>
      <c r="X6034" s="9"/>
    </row>
    <row r="6035">
      <c r="D6035" s="9"/>
      <c r="G6035" s="9"/>
      <c r="J6035" s="11"/>
      <c r="U6035" s="9"/>
      <c r="X6035" s="9"/>
    </row>
    <row r="6036">
      <c r="D6036" s="9"/>
      <c r="G6036" s="9"/>
      <c r="J6036" s="11"/>
      <c r="U6036" s="9"/>
      <c r="X6036" s="9"/>
    </row>
    <row r="6037">
      <c r="D6037" s="9"/>
      <c r="G6037" s="9"/>
      <c r="J6037" s="11"/>
      <c r="U6037" s="9"/>
      <c r="X6037" s="9"/>
    </row>
    <row r="6038">
      <c r="D6038" s="9"/>
      <c r="G6038" s="9"/>
      <c r="J6038" s="11"/>
      <c r="U6038" s="9"/>
      <c r="X6038" s="9"/>
    </row>
    <row r="6039">
      <c r="D6039" s="9"/>
      <c r="G6039" s="9"/>
      <c r="J6039" s="11"/>
      <c r="U6039" s="9"/>
      <c r="X6039" s="9"/>
    </row>
    <row r="6040">
      <c r="D6040" s="9"/>
      <c r="G6040" s="9"/>
      <c r="J6040" s="11"/>
      <c r="U6040" s="9"/>
      <c r="X6040" s="9"/>
    </row>
    <row r="6041">
      <c r="D6041" s="9"/>
      <c r="G6041" s="9"/>
      <c r="J6041" s="11"/>
      <c r="U6041" s="9"/>
      <c r="X6041" s="9"/>
    </row>
    <row r="6042">
      <c r="D6042" s="9"/>
      <c r="G6042" s="9"/>
      <c r="J6042" s="11"/>
      <c r="U6042" s="9"/>
      <c r="X6042" s="9"/>
    </row>
    <row r="6043">
      <c r="D6043" s="9"/>
      <c r="G6043" s="9"/>
      <c r="J6043" s="11"/>
      <c r="U6043" s="9"/>
      <c r="X6043" s="9"/>
    </row>
    <row r="6044">
      <c r="D6044" s="9"/>
      <c r="G6044" s="9"/>
      <c r="J6044" s="11"/>
      <c r="U6044" s="9"/>
      <c r="X6044" s="9"/>
    </row>
    <row r="6045">
      <c r="D6045" s="9"/>
      <c r="G6045" s="9"/>
      <c r="J6045" s="11"/>
      <c r="U6045" s="9"/>
      <c r="X6045" s="9"/>
    </row>
    <row r="6046">
      <c r="D6046" s="9"/>
      <c r="G6046" s="9"/>
      <c r="J6046" s="11"/>
      <c r="U6046" s="9"/>
      <c r="X6046" s="9"/>
    </row>
    <row r="6047">
      <c r="D6047" s="9"/>
      <c r="G6047" s="9"/>
      <c r="J6047" s="11"/>
      <c r="U6047" s="9"/>
      <c r="X6047" s="9"/>
    </row>
    <row r="6048">
      <c r="D6048" s="9"/>
      <c r="G6048" s="9"/>
      <c r="J6048" s="11"/>
      <c r="U6048" s="9"/>
      <c r="X6048" s="9"/>
    </row>
    <row r="6049">
      <c r="D6049" s="9"/>
      <c r="G6049" s="9"/>
      <c r="J6049" s="11"/>
      <c r="U6049" s="9"/>
      <c r="X6049" s="9"/>
    </row>
    <row r="6050">
      <c r="D6050" s="9"/>
      <c r="G6050" s="9"/>
      <c r="J6050" s="11"/>
      <c r="U6050" s="9"/>
      <c r="X6050" s="9"/>
    </row>
    <row r="6051">
      <c r="D6051" s="9"/>
      <c r="G6051" s="9"/>
      <c r="J6051" s="11"/>
      <c r="U6051" s="9"/>
      <c r="X6051" s="9"/>
    </row>
    <row r="6052">
      <c r="D6052" s="9"/>
      <c r="G6052" s="9"/>
      <c r="J6052" s="11"/>
      <c r="U6052" s="9"/>
      <c r="X6052" s="9"/>
    </row>
    <row r="6053">
      <c r="D6053" s="9"/>
      <c r="G6053" s="9"/>
      <c r="J6053" s="11"/>
      <c r="U6053" s="9"/>
      <c r="X6053" s="9"/>
    </row>
    <row r="6054">
      <c r="D6054" s="9"/>
      <c r="G6054" s="9"/>
      <c r="J6054" s="11"/>
      <c r="U6054" s="9"/>
      <c r="X6054" s="9"/>
    </row>
    <row r="6055">
      <c r="D6055" s="9"/>
      <c r="G6055" s="9"/>
      <c r="J6055" s="11"/>
      <c r="U6055" s="9"/>
      <c r="X6055" s="9"/>
    </row>
    <row r="6056">
      <c r="D6056" s="9"/>
      <c r="G6056" s="9"/>
      <c r="J6056" s="11"/>
      <c r="U6056" s="9"/>
      <c r="X6056" s="9"/>
    </row>
    <row r="6057">
      <c r="D6057" s="9"/>
      <c r="G6057" s="9"/>
      <c r="J6057" s="11"/>
      <c r="U6057" s="9"/>
      <c r="X6057" s="9"/>
    </row>
    <row r="6058">
      <c r="D6058" s="9"/>
      <c r="G6058" s="9"/>
      <c r="J6058" s="11"/>
      <c r="U6058" s="9"/>
      <c r="X6058" s="9"/>
    </row>
    <row r="6059">
      <c r="D6059" s="9"/>
      <c r="G6059" s="9"/>
      <c r="J6059" s="11"/>
      <c r="U6059" s="9"/>
      <c r="X6059" s="9"/>
    </row>
    <row r="6060">
      <c r="D6060" s="9"/>
      <c r="G6060" s="9"/>
      <c r="J6060" s="11"/>
      <c r="U6060" s="9"/>
      <c r="X6060" s="9"/>
    </row>
    <row r="6061">
      <c r="D6061" s="9"/>
      <c r="G6061" s="9"/>
      <c r="J6061" s="11"/>
      <c r="U6061" s="9"/>
      <c r="X6061" s="9"/>
    </row>
    <row r="6062">
      <c r="D6062" s="9"/>
      <c r="G6062" s="9"/>
      <c r="J6062" s="11"/>
      <c r="U6062" s="9"/>
      <c r="X6062" s="9"/>
    </row>
    <row r="6063">
      <c r="D6063" s="9"/>
      <c r="G6063" s="9"/>
      <c r="J6063" s="11"/>
      <c r="U6063" s="9"/>
      <c r="X6063" s="9"/>
    </row>
    <row r="6064">
      <c r="D6064" s="9"/>
      <c r="G6064" s="9"/>
      <c r="J6064" s="11"/>
      <c r="U6064" s="9"/>
      <c r="X6064" s="9"/>
    </row>
    <row r="6065">
      <c r="D6065" s="9"/>
      <c r="G6065" s="9"/>
      <c r="J6065" s="11"/>
      <c r="U6065" s="9"/>
      <c r="X6065" s="9"/>
    </row>
    <row r="6066">
      <c r="D6066" s="9"/>
      <c r="G6066" s="9"/>
      <c r="J6066" s="11"/>
      <c r="U6066" s="9"/>
      <c r="X6066" s="9"/>
    </row>
    <row r="6067">
      <c r="D6067" s="9"/>
      <c r="G6067" s="9"/>
      <c r="J6067" s="11"/>
      <c r="U6067" s="9"/>
      <c r="X6067" s="9"/>
    </row>
    <row r="6068">
      <c r="D6068" s="9"/>
      <c r="G6068" s="9"/>
      <c r="J6068" s="11"/>
      <c r="U6068" s="9"/>
      <c r="X6068" s="9"/>
    </row>
    <row r="6069">
      <c r="D6069" s="9"/>
      <c r="G6069" s="9"/>
      <c r="J6069" s="11"/>
      <c r="U6069" s="9"/>
      <c r="X6069" s="9"/>
    </row>
    <row r="6070">
      <c r="D6070" s="9"/>
      <c r="G6070" s="9"/>
      <c r="J6070" s="11"/>
      <c r="U6070" s="9"/>
      <c r="X6070" s="9"/>
    </row>
    <row r="6071">
      <c r="D6071" s="9"/>
      <c r="G6071" s="9"/>
      <c r="J6071" s="11"/>
      <c r="U6071" s="9"/>
      <c r="X6071" s="9"/>
    </row>
    <row r="6072">
      <c r="D6072" s="9"/>
      <c r="G6072" s="9"/>
      <c r="J6072" s="11"/>
      <c r="U6072" s="9"/>
      <c r="X6072" s="9"/>
    </row>
    <row r="6073">
      <c r="D6073" s="9"/>
      <c r="G6073" s="9"/>
      <c r="J6073" s="11"/>
      <c r="U6073" s="9"/>
      <c r="X6073" s="9"/>
    </row>
    <row r="6074">
      <c r="D6074" s="9"/>
      <c r="G6074" s="9"/>
      <c r="J6074" s="11"/>
      <c r="U6074" s="9"/>
      <c r="X6074" s="9"/>
    </row>
    <row r="6075">
      <c r="D6075" s="9"/>
      <c r="G6075" s="9"/>
      <c r="J6075" s="11"/>
      <c r="U6075" s="9"/>
      <c r="X6075" s="9"/>
    </row>
    <row r="6076">
      <c r="D6076" s="9"/>
      <c r="G6076" s="9"/>
      <c r="J6076" s="11"/>
      <c r="U6076" s="9"/>
      <c r="X6076" s="9"/>
    </row>
    <row r="6077">
      <c r="D6077" s="9"/>
      <c r="G6077" s="9"/>
      <c r="J6077" s="11"/>
      <c r="U6077" s="9"/>
      <c r="X6077" s="9"/>
    </row>
    <row r="6078">
      <c r="D6078" s="9"/>
      <c r="G6078" s="9"/>
      <c r="J6078" s="11"/>
      <c r="U6078" s="9"/>
      <c r="X6078" s="9"/>
    </row>
    <row r="6079">
      <c r="D6079" s="9"/>
      <c r="G6079" s="9"/>
      <c r="J6079" s="11"/>
      <c r="U6079" s="9"/>
      <c r="X6079" s="9"/>
    </row>
    <row r="6080">
      <c r="D6080" s="9"/>
      <c r="G6080" s="9"/>
      <c r="J6080" s="11"/>
      <c r="U6080" s="9"/>
      <c r="X6080" s="9"/>
    </row>
    <row r="6081">
      <c r="D6081" s="9"/>
      <c r="G6081" s="9"/>
      <c r="J6081" s="11"/>
      <c r="U6081" s="9"/>
      <c r="X6081" s="9"/>
    </row>
    <row r="6082">
      <c r="D6082" s="9"/>
      <c r="G6082" s="9"/>
      <c r="J6082" s="11"/>
      <c r="U6082" s="9"/>
      <c r="X6082" s="9"/>
    </row>
    <row r="6083">
      <c r="D6083" s="9"/>
      <c r="G6083" s="9"/>
      <c r="J6083" s="11"/>
      <c r="U6083" s="9"/>
      <c r="X6083" s="9"/>
    </row>
    <row r="6084">
      <c r="D6084" s="9"/>
      <c r="G6084" s="9"/>
      <c r="J6084" s="11"/>
      <c r="U6084" s="9"/>
      <c r="X6084" s="9"/>
    </row>
    <row r="6085">
      <c r="D6085" s="9"/>
      <c r="G6085" s="9"/>
      <c r="J6085" s="11"/>
      <c r="U6085" s="9"/>
      <c r="X6085" s="9"/>
    </row>
    <row r="6086">
      <c r="D6086" s="9"/>
      <c r="G6086" s="9"/>
      <c r="J6086" s="11"/>
      <c r="U6086" s="9"/>
      <c r="X6086" s="9"/>
    </row>
    <row r="6087">
      <c r="D6087" s="9"/>
      <c r="G6087" s="9"/>
      <c r="J6087" s="11"/>
      <c r="U6087" s="9"/>
      <c r="X6087" s="9"/>
    </row>
    <row r="6088">
      <c r="D6088" s="9"/>
      <c r="G6088" s="9"/>
      <c r="J6088" s="11"/>
      <c r="U6088" s="9"/>
      <c r="X6088" s="9"/>
    </row>
    <row r="6089">
      <c r="D6089" s="9"/>
      <c r="G6089" s="9"/>
      <c r="J6089" s="11"/>
      <c r="U6089" s="9"/>
      <c r="X6089" s="9"/>
    </row>
    <row r="6090">
      <c r="D6090" s="9"/>
      <c r="G6090" s="9"/>
      <c r="J6090" s="11"/>
      <c r="U6090" s="9"/>
      <c r="X6090" s="9"/>
    </row>
    <row r="6091">
      <c r="D6091" s="9"/>
      <c r="G6091" s="9"/>
      <c r="J6091" s="11"/>
      <c r="U6091" s="9"/>
      <c r="X6091" s="9"/>
    </row>
    <row r="6092">
      <c r="D6092" s="9"/>
      <c r="G6092" s="9"/>
      <c r="J6092" s="11"/>
      <c r="U6092" s="9"/>
      <c r="X6092" s="9"/>
    </row>
    <row r="6093">
      <c r="D6093" s="9"/>
      <c r="G6093" s="9"/>
      <c r="J6093" s="11"/>
      <c r="U6093" s="9"/>
      <c r="X6093" s="9"/>
    </row>
    <row r="6094">
      <c r="D6094" s="9"/>
      <c r="G6094" s="9"/>
      <c r="J6094" s="11"/>
      <c r="U6094" s="9"/>
      <c r="X6094" s="9"/>
    </row>
    <row r="6095">
      <c r="D6095" s="9"/>
      <c r="G6095" s="9"/>
      <c r="J6095" s="11"/>
      <c r="U6095" s="9"/>
      <c r="X6095" s="9"/>
    </row>
    <row r="6096">
      <c r="D6096" s="9"/>
      <c r="G6096" s="9"/>
      <c r="J6096" s="11"/>
      <c r="U6096" s="9"/>
      <c r="X6096" s="9"/>
    </row>
    <row r="6097">
      <c r="D6097" s="9"/>
      <c r="G6097" s="9"/>
      <c r="J6097" s="11"/>
      <c r="U6097" s="9"/>
      <c r="X6097" s="9"/>
    </row>
    <row r="6098">
      <c r="D6098" s="9"/>
      <c r="G6098" s="9"/>
      <c r="J6098" s="11"/>
      <c r="U6098" s="9"/>
      <c r="X6098" s="9"/>
    </row>
    <row r="6099">
      <c r="D6099" s="9"/>
      <c r="G6099" s="9"/>
      <c r="J6099" s="11"/>
      <c r="U6099" s="9"/>
      <c r="X6099" s="9"/>
    </row>
    <row r="6100">
      <c r="D6100" s="9"/>
      <c r="G6100" s="9"/>
      <c r="J6100" s="11"/>
      <c r="U6100" s="9"/>
      <c r="X6100" s="9"/>
    </row>
    <row r="6101">
      <c r="D6101" s="9"/>
      <c r="G6101" s="9"/>
      <c r="J6101" s="11"/>
      <c r="U6101" s="9"/>
      <c r="X6101" s="9"/>
    </row>
    <row r="6102">
      <c r="D6102" s="9"/>
      <c r="G6102" s="9"/>
      <c r="J6102" s="11"/>
      <c r="U6102" s="9"/>
      <c r="X6102" s="9"/>
    </row>
    <row r="6103">
      <c r="D6103" s="9"/>
      <c r="G6103" s="9"/>
      <c r="J6103" s="11"/>
      <c r="U6103" s="9"/>
      <c r="X6103" s="9"/>
    </row>
    <row r="6104">
      <c r="D6104" s="9"/>
      <c r="G6104" s="9"/>
      <c r="J6104" s="11"/>
      <c r="U6104" s="9"/>
      <c r="X6104" s="9"/>
    </row>
    <row r="6105">
      <c r="D6105" s="9"/>
      <c r="G6105" s="9"/>
      <c r="J6105" s="11"/>
      <c r="U6105" s="9"/>
      <c r="X6105" s="9"/>
    </row>
    <row r="6106">
      <c r="D6106" s="9"/>
      <c r="G6106" s="9"/>
      <c r="J6106" s="11"/>
      <c r="U6106" s="9"/>
      <c r="X6106" s="9"/>
    </row>
    <row r="6107">
      <c r="D6107" s="9"/>
      <c r="G6107" s="9"/>
      <c r="J6107" s="11"/>
      <c r="U6107" s="9"/>
      <c r="X6107" s="9"/>
    </row>
    <row r="6108">
      <c r="D6108" s="9"/>
      <c r="G6108" s="9"/>
      <c r="J6108" s="11"/>
      <c r="U6108" s="9"/>
      <c r="X6108" s="9"/>
    </row>
    <row r="6109">
      <c r="D6109" s="9"/>
      <c r="G6109" s="9"/>
      <c r="J6109" s="11"/>
      <c r="U6109" s="9"/>
      <c r="X6109" s="9"/>
    </row>
    <row r="6110">
      <c r="D6110" s="9"/>
      <c r="G6110" s="9"/>
      <c r="J6110" s="11"/>
      <c r="U6110" s="9"/>
      <c r="X6110" s="9"/>
    </row>
    <row r="6111">
      <c r="D6111" s="9"/>
      <c r="G6111" s="9"/>
      <c r="J6111" s="11"/>
      <c r="U6111" s="9"/>
      <c r="X6111" s="9"/>
    </row>
    <row r="6112">
      <c r="D6112" s="9"/>
      <c r="G6112" s="9"/>
      <c r="J6112" s="11"/>
      <c r="U6112" s="9"/>
      <c r="X6112" s="9"/>
    </row>
    <row r="6113">
      <c r="D6113" s="9"/>
      <c r="G6113" s="9"/>
      <c r="J6113" s="11"/>
      <c r="U6113" s="9"/>
      <c r="X6113" s="9"/>
    </row>
    <row r="6114">
      <c r="D6114" s="9"/>
      <c r="G6114" s="9"/>
      <c r="J6114" s="11"/>
      <c r="U6114" s="9"/>
      <c r="X6114" s="9"/>
    </row>
    <row r="6115">
      <c r="D6115" s="9"/>
      <c r="G6115" s="9"/>
      <c r="J6115" s="11"/>
      <c r="U6115" s="9"/>
      <c r="X6115" s="9"/>
    </row>
    <row r="6116">
      <c r="D6116" s="9"/>
      <c r="G6116" s="9"/>
      <c r="J6116" s="11"/>
      <c r="U6116" s="9"/>
      <c r="X6116" s="9"/>
    </row>
    <row r="6117">
      <c r="D6117" s="9"/>
      <c r="G6117" s="9"/>
      <c r="J6117" s="11"/>
      <c r="U6117" s="9"/>
      <c r="X6117" s="9"/>
    </row>
    <row r="6118">
      <c r="D6118" s="9"/>
      <c r="G6118" s="9"/>
      <c r="J6118" s="11"/>
      <c r="U6118" s="9"/>
      <c r="X6118" s="9"/>
    </row>
    <row r="6119">
      <c r="D6119" s="9"/>
      <c r="G6119" s="9"/>
      <c r="J6119" s="11"/>
      <c r="U6119" s="9"/>
      <c r="X6119" s="9"/>
    </row>
    <row r="6120">
      <c r="D6120" s="9"/>
      <c r="G6120" s="9"/>
      <c r="J6120" s="11"/>
      <c r="U6120" s="9"/>
      <c r="X6120" s="9"/>
    </row>
    <row r="6121">
      <c r="D6121" s="9"/>
      <c r="G6121" s="9"/>
      <c r="J6121" s="11"/>
      <c r="U6121" s="9"/>
      <c r="X6121" s="9"/>
    </row>
    <row r="6122">
      <c r="D6122" s="9"/>
      <c r="G6122" s="9"/>
      <c r="J6122" s="11"/>
      <c r="U6122" s="9"/>
      <c r="X6122" s="9"/>
    </row>
    <row r="6123">
      <c r="D6123" s="9"/>
      <c r="G6123" s="9"/>
      <c r="J6123" s="11"/>
      <c r="U6123" s="9"/>
      <c r="X6123" s="9"/>
    </row>
    <row r="6124">
      <c r="D6124" s="9"/>
      <c r="G6124" s="9"/>
      <c r="J6124" s="11"/>
      <c r="U6124" s="9"/>
      <c r="X6124" s="9"/>
    </row>
    <row r="6125">
      <c r="D6125" s="9"/>
      <c r="G6125" s="9"/>
      <c r="J6125" s="11"/>
      <c r="U6125" s="9"/>
      <c r="X6125" s="9"/>
    </row>
    <row r="6126">
      <c r="D6126" s="9"/>
      <c r="G6126" s="9"/>
      <c r="J6126" s="11"/>
      <c r="U6126" s="9"/>
      <c r="X6126" s="9"/>
    </row>
    <row r="6127">
      <c r="D6127" s="9"/>
      <c r="G6127" s="9"/>
      <c r="J6127" s="11"/>
      <c r="U6127" s="9"/>
      <c r="X6127" s="9"/>
    </row>
    <row r="6128">
      <c r="D6128" s="9"/>
      <c r="G6128" s="9"/>
      <c r="J6128" s="11"/>
      <c r="U6128" s="9"/>
      <c r="X6128" s="9"/>
    </row>
    <row r="6129">
      <c r="D6129" s="9"/>
      <c r="G6129" s="9"/>
      <c r="J6129" s="11"/>
      <c r="U6129" s="9"/>
      <c r="X6129" s="9"/>
    </row>
    <row r="6130">
      <c r="D6130" s="9"/>
      <c r="G6130" s="9"/>
      <c r="J6130" s="11"/>
      <c r="U6130" s="9"/>
      <c r="X6130" s="9"/>
    </row>
    <row r="6131">
      <c r="D6131" s="9"/>
      <c r="G6131" s="9"/>
      <c r="J6131" s="11"/>
      <c r="U6131" s="9"/>
      <c r="X6131" s="9"/>
    </row>
    <row r="6132">
      <c r="D6132" s="9"/>
      <c r="G6132" s="9"/>
      <c r="J6132" s="11"/>
      <c r="U6132" s="9"/>
      <c r="X6132" s="9"/>
    </row>
    <row r="6133">
      <c r="D6133" s="9"/>
      <c r="G6133" s="9"/>
      <c r="J6133" s="11"/>
      <c r="U6133" s="9"/>
      <c r="X6133" s="9"/>
    </row>
    <row r="6134">
      <c r="D6134" s="9"/>
      <c r="G6134" s="9"/>
      <c r="J6134" s="11"/>
      <c r="U6134" s="9"/>
      <c r="X6134" s="9"/>
    </row>
    <row r="6135">
      <c r="D6135" s="9"/>
      <c r="G6135" s="9"/>
      <c r="J6135" s="11"/>
      <c r="U6135" s="9"/>
      <c r="X6135" s="9"/>
    </row>
    <row r="6136">
      <c r="D6136" s="9"/>
      <c r="G6136" s="9"/>
      <c r="J6136" s="11"/>
      <c r="U6136" s="9"/>
      <c r="X6136" s="9"/>
    </row>
    <row r="6137">
      <c r="D6137" s="9"/>
      <c r="G6137" s="9"/>
      <c r="J6137" s="11"/>
      <c r="U6137" s="9"/>
      <c r="X6137" s="9"/>
    </row>
    <row r="6138">
      <c r="D6138" s="9"/>
      <c r="G6138" s="9"/>
      <c r="J6138" s="11"/>
      <c r="U6138" s="9"/>
      <c r="X6138" s="9"/>
    </row>
    <row r="6139">
      <c r="D6139" s="9"/>
      <c r="G6139" s="9"/>
      <c r="J6139" s="11"/>
      <c r="U6139" s="9"/>
      <c r="X6139" s="9"/>
    </row>
    <row r="6140">
      <c r="D6140" s="9"/>
      <c r="G6140" s="9"/>
      <c r="J6140" s="11"/>
      <c r="U6140" s="9"/>
      <c r="X6140" s="9"/>
    </row>
    <row r="6141">
      <c r="D6141" s="9"/>
      <c r="G6141" s="9"/>
      <c r="J6141" s="11"/>
      <c r="U6141" s="9"/>
      <c r="X6141" s="9"/>
    </row>
    <row r="6142">
      <c r="D6142" s="9"/>
      <c r="G6142" s="9"/>
      <c r="J6142" s="11"/>
      <c r="U6142" s="9"/>
      <c r="X6142" s="9"/>
    </row>
    <row r="6143">
      <c r="D6143" s="9"/>
      <c r="G6143" s="9"/>
      <c r="J6143" s="11"/>
      <c r="U6143" s="9"/>
      <c r="X6143" s="9"/>
    </row>
    <row r="6144">
      <c r="D6144" s="9"/>
      <c r="G6144" s="9"/>
      <c r="J6144" s="11"/>
      <c r="U6144" s="9"/>
      <c r="X6144" s="9"/>
    </row>
    <row r="6145">
      <c r="D6145" s="9"/>
      <c r="G6145" s="9"/>
      <c r="J6145" s="11"/>
      <c r="U6145" s="9"/>
      <c r="X6145" s="9"/>
    </row>
    <row r="6146">
      <c r="D6146" s="9"/>
      <c r="G6146" s="9"/>
      <c r="J6146" s="11"/>
      <c r="U6146" s="9"/>
      <c r="X6146" s="9"/>
    </row>
    <row r="6147">
      <c r="D6147" s="9"/>
      <c r="G6147" s="9"/>
      <c r="J6147" s="11"/>
      <c r="U6147" s="9"/>
      <c r="X6147" s="9"/>
    </row>
    <row r="6148">
      <c r="D6148" s="9"/>
      <c r="G6148" s="9"/>
      <c r="J6148" s="11"/>
      <c r="U6148" s="9"/>
      <c r="X6148" s="9"/>
    </row>
    <row r="6149">
      <c r="D6149" s="9"/>
      <c r="G6149" s="9"/>
      <c r="J6149" s="11"/>
      <c r="U6149" s="9"/>
      <c r="X6149" s="9"/>
    </row>
    <row r="6150">
      <c r="D6150" s="9"/>
      <c r="G6150" s="9"/>
      <c r="J6150" s="11"/>
      <c r="U6150" s="9"/>
      <c r="X6150" s="9"/>
    </row>
    <row r="6151">
      <c r="D6151" s="9"/>
      <c r="G6151" s="9"/>
      <c r="J6151" s="11"/>
      <c r="U6151" s="9"/>
      <c r="X6151" s="9"/>
    </row>
    <row r="6152">
      <c r="D6152" s="9"/>
      <c r="G6152" s="9"/>
      <c r="J6152" s="11"/>
      <c r="U6152" s="9"/>
      <c r="X6152" s="9"/>
    </row>
    <row r="6153">
      <c r="D6153" s="9"/>
      <c r="G6153" s="9"/>
      <c r="J6153" s="11"/>
      <c r="U6153" s="9"/>
      <c r="X6153" s="9"/>
    </row>
    <row r="6154">
      <c r="D6154" s="9"/>
      <c r="G6154" s="9"/>
      <c r="J6154" s="11"/>
      <c r="U6154" s="9"/>
      <c r="X6154" s="9"/>
    </row>
    <row r="6155">
      <c r="D6155" s="9"/>
      <c r="G6155" s="9"/>
      <c r="J6155" s="11"/>
      <c r="U6155" s="9"/>
      <c r="X6155" s="9"/>
    </row>
    <row r="6156">
      <c r="D6156" s="9"/>
      <c r="G6156" s="9"/>
      <c r="J6156" s="11"/>
      <c r="U6156" s="9"/>
      <c r="X6156" s="9"/>
    </row>
    <row r="6157">
      <c r="D6157" s="9"/>
      <c r="G6157" s="9"/>
      <c r="J6157" s="11"/>
      <c r="U6157" s="9"/>
      <c r="X6157" s="9"/>
    </row>
    <row r="6158">
      <c r="D6158" s="9"/>
      <c r="G6158" s="9"/>
      <c r="J6158" s="11"/>
      <c r="U6158" s="9"/>
      <c r="X6158" s="9"/>
    </row>
    <row r="6159">
      <c r="D6159" s="9"/>
      <c r="G6159" s="9"/>
      <c r="J6159" s="11"/>
      <c r="U6159" s="9"/>
      <c r="X6159" s="9"/>
    </row>
    <row r="6160">
      <c r="D6160" s="9"/>
      <c r="G6160" s="9"/>
      <c r="J6160" s="11"/>
      <c r="U6160" s="9"/>
      <c r="X6160" s="9"/>
    </row>
    <row r="6161">
      <c r="D6161" s="9"/>
      <c r="G6161" s="9"/>
      <c r="J6161" s="11"/>
      <c r="U6161" s="9"/>
      <c r="X6161" s="9"/>
    </row>
    <row r="6162">
      <c r="D6162" s="9"/>
      <c r="G6162" s="9"/>
      <c r="J6162" s="11"/>
      <c r="U6162" s="9"/>
      <c r="X6162" s="9"/>
    </row>
    <row r="6163">
      <c r="D6163" s="9"/>
      <c r="G6163" s="9"/>
      <c r="J6163" s="11"/>
      <c r="U6163" s="9"/>
      <c r="X6163" s="9"/>
    </row>
    <row r="6164">
      <c r="D6164" s="9"/>
      <c r="G6164" s="9"/>
      <c r="J6164" s="11"/>
      <c r="U6164" s="9"/>
      <c r="X6164" s="9"/>
    </row>
    <row r="6165">
      <c r="D6165" s="9"/>
      <c r="G6165" s="9"/>
      <c r="J6165" s="11"/>
      <c r="U6165" s="9"/>
      <c r="X6165" s="9"/>
    </row>
    <row r="6166">
      <c r="D6166" s="9"/>
      <c r="G6166" s="9"/>
      <c r="J6166" s="11"/>
      <c r="U6166" s="9"/>
      <c r="X6166" s="9"/>
    </row>
    <row r="6167">
      <c r="D6167" s="9"/>
      <c r="G6167" s="9"/>
      <c r="J6167" s="11"/>
      <c r="U6167" s="9"/>
      <c r="X6167" s="9"/>
    </row>
    <row r="6168">
      <c r="D6168" s="9"/>
      <c r="G6168" s="9"/>
      <c r="J6168" s="11"/>
      <c r="U6168" s="9"/>
      <c r="X6168" s="9"/>
    </row>
    <row r="6169">
      <c r="D6169" s="9"/>
      <c r="G6169" s="9"/>
      <c r="J6169" s="11"/>
      <c r="U6169" s="9"/>
      <c r="X6169" s="9"/>
    </row>
    <row r="6170">
      <c r="D6170" s="9"/>
      <c r="G6170" s="9"/>
      <c r="J6170" s="11"/>
      <c r="U6170" s="9"/>
      <c r="X6170" s="9"/>
    </row>
    <row r="6171">
      <c r="D6171" s="9"/>
      <c r="G6171" s="9"/>
      <c r="J6171" s="11"/>
      <c r="U6171" s="9"/>
      <c r="X6171" s="9"/>
    </row>
    <row r="6172">
      <c r="D6172" s="9"/>
      <c r="G6172" s="9"/>
      <c r="J6172" s="11"/>
      <c r="U6172" s="9"/>
      <c r="X6172" s="9"/>
    </row>
    <row r="6173">
      <c r="D6173" s="9"/>
      <c r="G6173" s="9"/>
      <c r="J6173" s="11"/>
      <c r="U6173" s="9"/>
      <c r="X6173" s="9"/>
    </row>
    <row r="6174">
      <c r="D6174" s="9"/>
      <c r="G6174" s="9"/>
      <c r="J6174" s="11"/>
      <c r="U6174" s="9"/>
      <c r="X6174" s="9"/>
    </row>
    <row r="6175">
      <c r="D6175" s="9"/>
      <c r="G6175" s="9"/>
      <c r="J6175" s="11"/>
      <c r="U6175" s="9"/>
      <c r="X6175" s="9"/>
    </row>
    <row r="6176">
      <c r="D6176" s="9"/>
      <c r="G6176" s="9"/>
      <c r="J6176" s="11"/>
      <c r="U6176" s="9"/>
      <c r="X6176" s="9"/>
    </row>
    <row r="6177">
      <c r="D6177" s="9"/>
      <c r="G6177" s="9"/>
      <c r="J6177" s="11"/>
      <c r="U6177" s="9"/>
      <c r="X6177" s="9"/>
    </row>
    <row r="6178">
      <c r="D6178" s="9"/>
      <c r="G6178" s="9"/>
      <c r="J6178" s="11"/>
      <c r="U6178" s="9"/>
      <c r="X6178" s="9"/>
    </row>
    <row r="6179">
      <c r="D6179" s="9"/>
      <c r="G6179" s="9"/>
      <c r="J6179" s="11"/>
      <c r="U6179" s="9"/>
      <c r="X6179" s="9"/>
    </row>
    <row r="6180">
      <c r="D6180" s="9"/>
      <c r="G6180" s="9"/>
      <c r="J6180" s="11"/>
      <c r="U6180" s="9"/>
      <c r="X6180" s="9"/>
    </row>
    <row r="6181">
      <c r="D6181" s="9"/>
      <c r="G6181" s="9"/>
      <c r="J6181" s="11"/>
      <c r="U6181" s="9"/>
      <c r="X6181" s="9"/>
    </row>
    <row r="6182">
      <c r="D6182" s="9"/>
      <c r="G6182" s="9"/>
      <c r="J6182" s="11"/>
      <c r="U6182" s="9"/>
      <c r="X6182" s="9"/>
    </row>
    <row r="6183">
      <c r="D6183" s="9"/>
      <c r="G6183" s="9"/>
      <c r="J6183" s="11"/>
      <c r="U6183" s="9"/>
      <c r="X6183" s="9"/>
    </row>
    <row r="6184">
      <c r="D6184" s="9"/>
      <c r="G6184" s="9"/>
      <c r="J6184" s="11"/>
      <c r="U6184" s="9"/>
      <c r="X6184" s="9"/>
    </row>
    <row r="6185">
      <c r="D6185" s="9"/>
      <c r="G6185" s="9"/>
      <c r="J6185" s="11"/>
      <c r="U6185" s="9"/>
      <c r="X6185" s="9"/>
    </row>
    <row r="6186">
      <c r="D6186" s="9"/>
      <c r="G6186" s="9"/>
      <c r="J6186" s="11"/>
      <c r="U6186" s="9"/>
      <c r="X6186" s="9"/>
    </row>
    <row r="6187">
      <c r="D6187" s="9"/>
      <c r="G6187" s="9"/>
      <c r="J6187" s="11"/>
      <c r="U6187" s="9"/>
      <c r="X6187" s="9"/>
    </row>
    <row r="6188">
      <c r="D6188" s="9"/>
      <c r="G6188" s="9"/>
      <c r="J6188" s="11"/>
      <c r="U6188" s="9"/>
      <c r="X6188" s="9"/>
    </row>
    <row r="6189">
      <c r="D6189" s="9"/>
      <c r="G6189" s="9"/>
      <c r="J6189" s="11"/>
      <c r="U6189" s="9"/>
      <c r="X6189" s="9"/>
    </row>
    <row r="6190">
      <c r="D6190" s="9"/>
      <c r="G6190" s="9"/>
      <c r="J6190" s="11"/>
      <c r="U6190" s="9"/>
      <c r="X6190" s="9"/>
    </row>
    <row r="6191">
      <c r="D6191" s="9"/>
      <c r="G6191" s="9"/>
      <c r="J6191" s="11"/>
      <c r="U6191" s="9"/>
      <c r="X6191" s="9"/>
    </row>
    <row r="6192">
      <c r="D6192" s="9"/>
      <c r="G6192" s="9"/>
      <c r="J6192" s="11"/>
      <c r="U6192" s="9"/>
      <c r="X6192" s="9"/>
    </row>
    <row r="6193">
      <c r="D6193" s="9"/>
      <c r="G6193" s="9"/>
      <c r="J6193" s="11"/>
      <c r="U6193" s="9"/>
      <c r="X6193" s="9"/>
    </row>
    <row r="6194">
      <c r="D6194" s="9"/>
      <c r="G6194" s="9"/>
      <c r="J6194" s="11"/>
      <c r="U6194" s="9"/>
      <c r="X6194" s="9"/>
    </row>
    <row r="6195">
      <c r="D6195" s="9"/>
      <c r="G6195" s="9"/>
      <c r="J6195" s="11"/>
      <c r="U6195" s="9"/>
      <c r="X6195" s="9"/>
    </row>
    <row r="6196">
      <c r="D6196" s="9"/>
      <c r="G6196" s="9"/>
      <c r="J6196" s="11"/>
      <c r="U6196" s="9"/>
      <c r="X6196" s="9"/>
    </row>
    <row r="6197">
      <c r="D6197" s="9"/>
      <c r="G6197" s="9"/>
      <c r="J6197" s="11"/>
      <c r="U6197" s="9"/>
      <c r="X6197" s="9"/>
    </row>
    <row r="6198">
      <c r="D6198" s="9"/>
      <c r="G6198" s="9"/>
      <c r="J6198" s="11"/>
      <c r="U6198" s="9"/>
      <c r="X6198" s="9"/>
    </row>
    <row r="6199">
      <c r="D6199" s="9"/>
      <c r="G6199" s="9"/>
      <c r="J6199" s="11"/>
      <c r="U6199" s="9"/>
      <c r="X6199" s="9"/>
    </row>
    <row r="6200">
      <c r="D6200" s="9"/>
      <c r="G6200" s="9"/>
      <c r="J6200" s="11"/>
      <c r="U6200" s="9"/>
      <c r="X6200" s="9"/>
    </row>
    <row r="6201">
      <c r="D6201" s="9"/>
      <c r="G6201" s="9"/>
      <c r="J6201" s="11"/>
      <c r="U6201" s="9"/>
      <c r="X6201" s="9"/>
    </row>
    <row r="6202">
      <c r="D6202" s="9"/>
      <c r="G6202" s="9"/>
      <c r="J6202" s="11"/>
      <c r="U6202" s="9"/>
      <c r="X6202" s="9"/>
    </row>
    <row r="6203">
      <c r="D6203" s="9"/>
      <c r="G6203" s="9"/>
      <c r="J6203" s="11"/>
      <c r="U6203" s="9"/>
      <c r="X6203" s="9"/>
    </row>
    <row r="6204">
      <c r="D6204" s="9"/>
      <c r="G6204" s="9"/>
      <c r="J6204" s="11"/>
      <c r="U6204" s="9"/>
      <c r="X6204" s="9"/>
    </row>
    <row r="6205">
      <c r="D6205" s="9"/>
      <c r="G6205" s="9"/>
      <c r="J6205" s="11"/>
      <c r="U6205" s="9"/>
      <c r="X6205" s="9"/>
    </row>
    <row r="6206">
      <c r="D6206" s="9"/>
      <c r="G6206" s="9"/>
      <c r="J6206" s="11"/>
      <c r="U6206" s="9"/>
      <c r="X6206" s="9"/>
    </row>
    <row r="6207">
      <c r="D6207" s="9"/>
      <c r="G6207" s="9"/>
      <c r="J6207" s="11"/>
      <c r="U6207" s="9"/>
      <c r="X6207" s="9"/>
    </row>
    <row r="6208">
      <c r="D6208" s="9"/>
      <c r="G6208" s="9"/>
      <c r="J6208" s="11"/>
      <c r="U6208" s="9"/>
      <c r="X6208" s="9"/>
    </row>
    <row r="6209">
      <c r="D6209" s="9"/>
      <c r="G6209" s="9"/>
      <c r="J6209" s="11"/>
      <c r="U6209" s="9"/>
      <c r="X6209" s="9"/>
    </row>
    <row r="6210">
      <c r="D6210" s="9"/>
      <c r="G6210" s="9"/>
      <c r="J6210" s="11"/>
      <c r="U6210" s="9"/>
      <c r="X6210" s="9"/>
    </row>
    <row r="6211">
      <c r="D6211" s="9"/>
      <c r="G6211" s="9"/>
      <c r="J6211" s="11"/>
      <c r="U6211" s="9"/>
      <c r="X6211" s="9"/>
    </row>
    <row r="6212">
      <c r="D6212" s="9"/>
      <c r="G6212" s="9"/>
      <c r="J6212" s="11"/>
      <c r="U6212" s="9"/>
      <c r="X6212" s="9"/>
    </row>
    <row r="6213">
      <c r="D6213" s="9"/>
      <c r="G6213" s="9"/>
      <c r="J6213" s="11"/>
      <c r="U6213" s="9"/>
      <c r="X6213" s="9"/>
    </row>
    <row r="6214">
      <c r="D6214" s="9"/>
      <c r="G6214" s="9"/>
      <c r="J6214" s="11"/>
      <c r="U6214" s="9"/>
      <c r="X6214" s="9"/>
    </row>
    <row r="6215">
      <c r="D6215" s="9"/>
      <c r="G6215" s="9"/>
      <c r="J6215" s="11"/>
      <c r="U6215" s="9"/>
      <c r="X6215" s="9"/>
    </row>
    <row r="6216">
      <c r="D6216" s="9"/>
      <c r="G6216" s="9"/>
      <c r="J6216" s="11"/>
      <c r="U6216" s="9"/>
      <c r="X6216" s="9"/>
    </row>
    <row r="6217">
      <c r="D6217" s="9"/>
      <c r="G6217" s="9"/>
      <c r="J6217" s="11"/>
      <c r="U6217" s="9"/>
      <c r="X6217" s="9"/>
    </row>
    <row r="6218">
      <c r="D6218" s="9"/>
      <c r="G6218" s="9"/>
      <c r="J6218" s="11"/>
      <c r="U6218" s="9"/>
      <c r="X6218" s="9"/>
    </row>
    <row r="6219">
      <c r="D6219" s="9"/>
      <c r="G6219" s="9"/>
      <c r="J6219" s="11"/>
      <c r="U6219" s="9"/>
      <c r="X6219" s="9"/>
    </row>
    <row r="6220">
      <c r="D6220" s="9"/>
      <c r="G6220" s="9"/>
      <c r="J6220" s="11"/>
      <c r="U6220" s="9"/>
      <c r="X6220" s="9"/>
    </row>
    <row r="6221">
      <c r="D6221" s="9"/>
      <c r="G6221" s="9"/>
      <c r="J6221" s="11"/>
      <c r="U6221" s="9"/>
      <c r="X6221" s="9"/>
    </row>
    <row r="6222">
      <c r="D6222" s="9"/>
      <c r="G6222" s="9"/>
      <c r="J6222" s="11"/>
      <c r="U6222" s="9"/>
      <c r="X6222" s="9"/>
    </row>
    <row r="6223">
      <c r="D6223" s="9"/>
      <c r="G6223" s="9"/>
      <c r="J6223" s="11"/>
      <c r="U6223" s="9"/>
      <c r="X6223" s="9"/>
    </row>
    <row r="6224">
      <c r="D6224" s="9"/>
      <c r="G6224" s="9"/>
      <c r="J6224" s="11"/>
      <c r="U6224" s="9"/>
      <c r="X6224" s="9"/>
    </row>
    <row r="6225">
      <c r="D6225" s="9"/>
      <c r="G6225" s="9"/>
      <c r="J6225" s="11"/>
      <c r="U6225" s="9"/>
      <c r="X6225" s="9"/>
    </row>
    <row r="6226">
      <c r="D6226" s="9"/>
      <c r="G6226" s="9"/>
      <c r="J6226" s="11"/>
      <c r="U6226" s="9"/>
      <c r="X6226" s="9"/>
    </row>
    <row r="6227">
      <c r="D6227" s="9"/>
      <c r="G6227" s="9"/>
      <c r="J6227" s="11"/>
      <c r="U6227" s="9"/>
      <c r="X6227" s="9"/>
    </row>
    <row r="6228">
      <c r="D6228" s="9"/>
      <c r="G6228" s="9"/>
      <c r="J6228" s="11"/>
      <c r="U6228" s="9"/>
      <c r="X6228" s="9"/>
    </row>
    <row r="6229">
      <c r="D6229" s="9"/>
      <c r="G6229" s="9"/>
      <c r="J6229" s="11"/>
      <c r="U6229" s="9"/>
      <c r="X6229" s="9"/>
    </row>
    <row r="6230">
      <c r="D6230" s="9"/>
      <c r="G6230" s="9"/>
      <c r="J6230" s="11"/>
      <c r="U6230" s="9"/>
      <c r="X6230" s="9"/>
    </row>
    <row r="6231">
      <c r="D6231" s="9"/>
      <c r="G6231" s="9"/>
      <c r="J6231" s="11"/>
      <c r="U6231" s="9"/>
      <c r="X6231" s="9"/>
    </row>
    <row r="6232">
      <c r="D6232" s="9"/>
      <c r="G6232" s="9"/>
      <c r="J6232" s="11"/>
      <c r="U6232" s="9"/>
      <c r="X6232" s="9"/>
    </row>
    <row r="6233">
      <c r="D6233" s="9"/>
      <c r="G6233" s="9"/>
      <c r="J6233" s="11"/>
      <c r="U6233" s="9"/>
      <c r="X6233" s="9"/>
    </row>
    <row r="6234">
      <c r="D6234" s="9"/>
      <c r="G6234" s="9"/>
      <c r="J6234" s="11"/>
      <c r="U6234" s="9"/>
      <c r="X6234" s="9"/>
    </row>
    <row r="6235">
      <c r="D6235" s="9"/>
      <c r="G6235" s="9"/>
      <c r="J6235" s="11"/>
      <c r="U6235" s="9"/>
      <c r="X6235" s="9"/>
    </row>
    <row r="6236">
      <c r="D6236" s="9"/>
      <c r="G6236" s="9"/>
      <c r="J6236" s="11"/>
      <c r="U6236" s="9"/>
      <c r="X6236" s="9"/>
    </row>
    <row r="6237">
      <c r="D6237" s="9"/>
      <c r="G6237" s="9"/>
      <c r="J6237" s="11"/>
      <c r="U6237" s="9"/>
      <c r="X6237" s="9"/>
    </row>
    <row r="6238">
      <c r="D6238" s="9"/>
      <c r="G6238" s="9"/>
      <c r="J6238" s="11"/>
      <c r="U6238" s="9"/>
      <c r="X6238" s="9"/>
    </row>
    <row r="6239">
      <c r="D6239" s="9"/>
      <c r="G6239" s="9"/>
      <c r="J6239" s="11"/>
      <c r="U6239" s="9"/>
      <c r="X6239" s="9"/>
    </row>
    <row r="6240">
      <c r="D6240" s="9"/>
      <c r="G6240" s="9"/>
      <c r="J6240" s="11"/>
      <c r="U6240" s="9"/>
      <c r="X6240" s="9"/>
    </row>
    <row r="6241">
      <c r="D6241" s="9"/>
      <c r="G6241" s="9"/>
      <c r="J6241" s="11"/>
      <c r="U6241" s="9"/>
      <c r="X6241" s="9"/>
    </row>
    <row r="6242">
      <c r="D6242" s="9"/>
      <c r="G6242" s="9"/>
      <c r="J6242" s="11"/>
      <c r="U6242" s="9"/>
      <c r="X6242" s="9"/>
    </row>
    <row r="6243">
      <c r="D6243" s="9"/>
      <c r="G6243" s="9"/>
      <c r="J6243" s="11"/>
      <c r="U6243" s="9"/>
      <c r="X6243" s="9"/>
    </row>
    <row r="6244">
      <c r="D6244" s="9"/>
      <c r="G6244" s="9"/>
      <c r="J6244" s="11"/>
      <c r="U6244" s="9"/>
      <c r="X6244" s="9"/>
    </row>
    <row r="6245">
      <c r="D6245" s="9"/>
      <c r="G6245" s="9"/>
      <c r="J6245" s="11"/>
      <c r="U6245" s="9"/>
      <c r="X6245" s="9"/>
    </row>
    <row r="6246">
      <c r="D6246" s="9"/>
      <c r="G6246" s="9"/>
      <c r="J6246" s="11"/>
      <c r="U6246" s="9"/>
      <c r="X6246" s="9"/>
    </row>
    <row r="6247">
      <c r="D6247" s="9"/>
      <c r="G6247" s="9"/>
      <c r="J6247" s="11"/>
      <c r="U6247" s="9"/>
      <c r="X6247" s="9"/>
    </row>
    <row r="6248">
      <c r="D6248" s="9"/>
      <c r="G6248" s="9"/>
      <c r="J6248" s="11"/>
      <c r="U6248" s="9"/>
      <c r="X6248" s="9"/>
    </row>
    <row r="6249">
      <c r="D6249" s="9"/>
      <c r="G6249" s="9"/>
      <c r="J6249" s="11"/>
      <c r="U6249" s="9"/>
      <c r="X6249" s="9"/>
    </row>
    <row r="6250">
      <c r="D6250" s="9"/>
      <c r="G6250" s="9"/>
      <c r="J6250" s="11"/>
      <c r="U6250" s="9"/>
      <c r="X6250" s="9"/>
    </row>
    <row r="6251">
      <c r="D6251" s="9"/>
      <c r="G6251" s="9"/>
      <c r="J6251" s="11"/>
      <c r="U6251" s="9"/>
      <c r="X6251" s="9"/>
    </row>
    <row r="6252">
      <c r="D6252" s="9"/>
      <c r="G6252" s="9"/>
      <c r="J6252" s="11"/>
      <c r="U6252" s="9"/>
      <c r="X6252" s="9"/>
    </row>
    <row r="6253">
      <c r="D6253" s="9"/>
      <c r="G6253" s="9"/>
      <c r="J6253" s="11"/>
      <c r="U6253" s="9"/>
      <c r="X6253" s="9"/>
    </row>
    <row r="6254">
      <c r="D6254" s="9"/>
      <c r="G6254" s="9"/>
      <c r="J6254" s="11"/>
      <c r="U6254" s="9"/>
      <c r="X6254" s="9"/>
    </row>
    <row r="6255">
      <c r="D6255" s="9"/>
      <c r="G6255" s="9"/>
      <c r="J6255" s="11"/>
      <c r="U6255" s="9"/>
      <c r="X6255" s="9"/>
    </row>
    <row r="6256">
      <c r="D6256" s="9"/>
      <c r="G6256" s="9"/>
      <c r="J6256" s="11"/>
      <c r="U6256" s="9"/>
      <c r="X6256" s="9"/>
    </row>
    <row r="6257">
      <c r="D6257" s="9"/>
      <c r="G6257" s="9"/>
      <c r="J6257" s="11"/>
      <c r="U6257" s="9"/>
      <c r="X6257" s="9"/>
    </row>
    <row r="6258">
      <c r="D6258" s="9"/>
      <c r="G6258" s="9"/>
      <c r="J6258" s="11"/>
      <c r="U6258" s="9"/>
      <c r="X6258" s="9"/>
    </row>
    <row r="6259">
      <c r="D6259" s="9"/>
      <c r="G6259" s="9"/>
      <c r="J6259" s="11"/>
      <c r="U6259" s="9"/>
      <c r="X6259" s="9"/>
    </row>
    <row r="6260">
      <c r="D6260" s="9"/>
      <c r="G6260" s="9"/>
      <c r="J6260" s="11"/>
      <c r="U6260" s="9"/>
      <c r="X6260" s="9"/>
    </row>
    <row r="6261">
      <c r="D6261" s="9"/>
      <c r="G6261" s="9"/>
      <c r="J6261" s="11"/>
      <c r="U6261" s="9"/>
      <c r="X6261" s="9"/>
    </row>
    <row r="6262">
      <c r="D6262" s="9"/>
      <c r="G6262" s="9"/>
      <c r="J6262" s="11"/>
      <c r="U6262" s="9"/>
      <c r="X6262" s="9"/>
    </row>
    <row r="6263">
      <c r="D6263" s="9"/>
      <c r="G6263" s="9"/>
      <c r="J6263" s="11"/>
      <c r="U6263" s="9"/>
      <c r="X6263" s="9"/>
    </row>
    <row r="6264">
      <c r="D6264" s="9"/>
      <c r="G6264" s="9"/>
      <c r="J6264" s="11"/>
      <c r="U6264" s="9"/>
      <c r="X6264" s="9"/>
    </row>
    <row r="6265">
      <c r="D6265" s="9"/>
      <c r="G6265" s="9"/>
      <c r="J6265" s="11"/>
      <c r="U6265" s="9"/>
      <c r="X6265" s="9"/>
    </row>
    <row r="6266">
      <c r="D6266" s="9"/>
      <c r="G6266" s="9"/>
      <c r="J6266" s="11"/>
      <c r="U6266" s="9"/>
      <c r="X6266" s="9"/>
    </row>
    <row r="6267">
      <c r="D6267" s="9"/>
      <c r="G6267" s="9"/>
      <c r="J6267" s="11"/>
      <c r="U6267" s="9"/>
      <c r="X6267" s="9"/>
    </row>
    <row r="6268">
      <c r="D6268" s="9"/>
      <c r="G6268" s="9"/>
      <c r="J6268" s="11"/>
      <c r="U6268" s="9"/>
      <c r="X6268" s="9"/>
    </row>
    <row r="6269">
      <c r="D6269" s="9"/>
      <c r="G6269" s="9"/>
      <c r="J6269" s="11"/>
      <c r="U6269" s="9"/>
      <c r="X6269" s="9"/>
    </row>
    <row r="6270">
      <c r="D6270" s="9"/>
      <c r="G6270" s="9"/>
      <c r="J6270" s="11"/>
      <c r="U6270" s="9"/>
      <c r="X6270" s="9"/>
    </row>
    <row r="6271">
      <c r="D6271" s="9"/>
      <c r="G6271" s="9"/>
      <c r="J6271" s="11"/>
      <c r="U6271" s="9"/>
      <c r="X6271" s="9"/>
    </row>
    <row r="6272">
      <c r="D6272" s="9"/>
      <c r="G6272" s="9"/>
      <c r="J6272" s="11"/>
      <c r="U6272" s="9"/>
      <c r="X6272" s="9"/>
    </row>
    <row r="6273">
      <c r="D6273" s="9"/>
      <c r="G6273" s="9"/>
      <c r="J6273" s="11"/>
      <c r="U6273" s="9"/>
      <c r="X6273" s="9"/>
    </row>
    <row r="6274">
      <c r="D6274" s="9"/>
      <c r="G6274" s="9"/>
      <c r="J6274" s="11"/>
      <c r="U6274" s="9"/>
      <c r="X6274" s="9"/>
    </row>
    <row r="6275">
      <c r="D6275" s="9"/>
      <c r="G6275" s="9"/>
      <c r="J6275" s="11"/>
      <c r="U6275" s="9"/>
      <c r="X6275" s="9"/>
    </row>
    <row r="6276">
      <c r="D6276" s="9"/>
      <c r="G6276" s="9"/>
      <c r="J6276" s="11"/>
      <c r="U6276" s="9"/>
      <c r="X6276" s="9"/>
    </row>
    <row r="6277">
      <c r="D6277" s="9"/>
      <c r="G6277" s="9"/>
      <c r="J6277" s="11"/>
      <c r="U6277" s="9"/>
      <c r="X6277" s="9"/>
    </row>
    <row r="6278">
      <c r="D6278" s="9"/>
      <c r="G6278" s="9"/>
      <c r="J6278" s="11"/>
      <c r="U6278" s="9"/>
      <c r="X6278" s="9"/>
    </row>
    <row r="6279">
      <c r="D6279" s="9"/>
      <c r="G6279" s="9"/>
      <c r="J6279" s="11"/>
      <c r="U6279" s="9"/>
      <c r="X6279" s="9"/>
    </row>
    <row r="6280">
      <c r="D6280" s="9"/>
      <c r="G6280" s="9"/>
      <c r="J6280" s="11"/>
      <c r="U6280" s="9"/>
      <c r="X6280" s="9"/>
    </row>
    <row r="6281">
      <c r="D6281" s="9"/>
      <c r="G6281" s="9"/>
      <c r="J6281" s="11"/>
      <c r="U6281" s="9"/>
      <c r="X6281" s="9"/>
    </row>
    <row r="6282">
      <c r="D6282" s="9"/>
      <c r="G6282" s="9"/>
      <c r="J6282" s="11"/>
      <c r="U6282" s="9"/>
      <c r="X6282" s="9"/>
    </row>
    <row r="6283">
      <c r="D6283" s="9"/>
      <c r="G6283" s="9"/>
      <c r="J6283" s="11"/>
      <c r="U6283" s="9"/>
      <c r="X6283" s="9"/>
    </row>
    <row r="6284">
      <c r="D6284" s="9"/>
      <c r="G6284" s="9"/>
      <c r="J6284" s="11"/>
      <c r="U6284" s="9"/>
      <c r="X6284" s="9"/>
    </row>
    <row r="6285">
      <c r="D6285" s="9"/>
      <c r="G6285" s="9"/>
      <c r="J6285" s="11"/>
      <c r="U6285" s="9"/>
      <c r="X6285" s="9"/>
    </row>
    <row r="6286">
      <c r="D6286" s="9"/>
      <c r="G6286" s="9"/>
      <c r="J6286" s="11"/>
      <c r="U6286" s="9"/>
      <c r="X6286" s="9"/>
    </row>
    <row r="6287">
      <c r="D6287" s="9"/>
      <c r="G6287" s="9"/>
      <c r="J6287" s="11"/>
      <c r="U6287" s="9"/>
      <c r="X6287" s="9"/>
    </row>
    <row r="6288">
      <c r="D6288" s="9"/>
      <c r="G6288" s="9"/>
      <c r="J6288" s="11"/>
      <c r="U6288" s="9"/>
      <c r="X6288" s="9"/>
    </row>
    <row r="6289">
      <c r="D6289" s="9"/>
      <c r="G6289" s="9"/>
      <c r="J6289" s="11"/>
      <c r="U6289" s="9"/>
      <c r="X6289" s="9"/>
    </row>
    <row r="6290">
      <c r="D6290" s="9"/>
      <c r="G6290" s="9"/>
      <c r="J6290" s="11"/>
      <c r="U6290" s="9"/>
      <c r="X6290" s="9"/>
    </row>
    <row r="6291">
      <c r="D6291" s="9"/>
      <c r="G6291" s="9"/>
      <c r="J6291" s="11"/>
      <c r="U6291" s="9"/>
      <c r="X6291" s="9"/>
    </row>
    <row r="6292">
      <c r="D6292" s="9"/>
      <c r="G6292" s="9"/>
      <c r="J6292" s="11"/>
      <c r="U6292" s="9"/>
      <c r="X6292" s="9"/>
    </row>
    <row r="6293">
      <c r="D6293" s="9"/>
      <c r="G6293" s="9"/>
      <c r="J6293" s="11"/>
      <c r="U6293" s="9"/>
      <c r="X6293" s="9"/>
    </row>
    <row r="6294">
      <c r="D6294" s="9"/>
      <c r="G6294" s="9"/>
      <c r="J6294" s="11"/>
      <c r="U6294" s="9"/>
      <c r="X6294" s="9"/>
    </row>
    <row r="6295">
      <c r="D6295" s="9"/>
      <c r="G6295" s="9"/>
      <c r="J6295" s="11"/>
      <c r="U6295" s="9"/>
      <c r="X6295" s="9"/>
    </row>
    <row r="6296">
      <c r="D6296" s="9"/>
      <c r="G6296" s="9"/>
      <c r="J6296" s="11"/>
      <c r="U6296" s="9"/>
      <c r="X6296" s="9"/>
    </row>
    <row r="6297">
      <c r="D6297" s="9"/>
      <c r="G6297" s="9"/>
      <c r="J6297" s="11"/>
      <c r="U6297" s="9"/>
      <c r="X6297" s="9"/>
    </row>
    <row r="6298">
      <c r="D6298" s="9"/>
      <c r="G6298" s="9"/>
      <c r="J6298" s="11"/>
      <c r="U6298" s="9"/>
      <c r="X6298" s="9"/>
    </row>
    <row r="6299">
      <c r="D6299" s="9"/>
      <c r="G6299" s="9"/>
      <c r="J6299" s="11"/>
      <c r="U6299" s="9"/>
      <c r="X6299" s="9"/>
    </row>
    <row r="6300">
      <c r="D6300" s="9"/>
      <c r="G6300" s="9"/>
      <c r="J6300" s="11"/>
      <c r="U6300" s="9"/>
      <c r="X6300" s="9"/>
    </row>
    <row r="6301">
      <c r="D6301" s="9"/>
      <c r="G6301" s="9"/>
      <c r="J6301" s="11"/>
      <c r="U6301" s="9"/>
      <c r="X6301" s="9"/>
    </row>
    <row r="6302">
      <c r="D6302" s="9"/>
      <c r="G6302" s="9"/>
      <c r="J6302" s="11"/>
      <c r="U6302" s="9"/>
      <c r="X6302" s="9"/>
    </row>
    <row r="6303">
      <c r="D6303" s="9"/>
      <c r="G6303" s="9"/>
      <c r="J6303" s="11"/>
      <c r="U6303" s="9"/>
      <c r="X6303" s="9"/>
    </row>
    <row r="6304">
      <c r="D6304" s="9"/>
      <c r="G6304" s="9"/>
      <c r="J6304" s="11"/>
      <c r="U6304" s="9"/>
      <c r="X6304" s="9"/>
    </row>
    <row r="6305">
      <c r="D6305" s="9"/>
      <c r="G6305" s="9"/>
      <c r="J6305" s="11"/>
      <c r="U6305" s="9"/>
      <c r="X6305" s="9"/>
    </row>
    <row r="6306">
      <c r="D6306" s="9"/>
      <c r="G6306" s="9"/>
      <c r="J6306" s="11"/>
      <c r="U6306" s="9"/>
      <c r="X6306" s="9"/>
    </row>
    <row r="6307">
      <c r="D6307" s="9"/>
      <c r="G6307" s="9"/>
      <c r="J6307" s="11"/>
      <c r="U6307" s="9"/>
      <c r="X6307" s="9"/>
    </row>
    <row r="6308">
      <c r="D6308" s="9"/>
      <c r="G6308" s="9"/>
      <c r="J6308" s="11"/>
      <c r="U6308" s="9"/>
      <c r="X6308" s="9"/>
    </row>
    <row r="6309">
      <c r="D6309" s="9"/>
      <c r="G6309" s="9"/>
      <c r="J6309" s="11"/>
      <c r="U6309" s="9"/>
      <c r="X6309" s="9"/>
    </row>
    <row r="6310">
      <c r="D6310" s="9"/>
      <c r="G6310" s="9"/>
      <c r="J6310" s="11"/>
      <c r="U6310" s="9"/>
      <c r="X6310" s="9"/>
    </row>
    <row r="6311">
      <c r="D6311" s="9"/>
      <c r="G6311" s="9"/>
      <c r="J6311" s="11"/>
      <c r="U6311" s="9"/>
      <c r="X6311" s="9"/>
    </row>
    <row r="6312">
      <c r="D6312" s="9"/>
      <c r="G6312" s="9"/>
      <c r="J6312" s="11"/>
      <c r="U6312" s="9"/>
      <c r="X6312" s="9"/>
    </row>
    <row r="6313">
      <c r="D6313" s="9"/>
      <c r="G6313" s="9"/>
      <c r="J6313" s="11"/>
      <c r="U6313" s="9"/>
      <c r="X6313" s="9"/>
    </row>
    <row r="6314">
      <c r="D6314" s="9"/>
      <c r="G6314" s="9"/>
      <c r="J6314" s="11"/>
      <c r="U6314" s="9"/>
      <c r="X6314" s="9"/>
    </row>
    <row r="6315">
      <c r="D6315" s="9"/>
      <c r="G6315" s="9"/>
      <c r="J6315" s="11"/>
      <c r="U6315" s="9"/>
      <c r="X6315" s="9"/>
    </row>
    <row r="6316">
      <c r="D6316" s="9"/>
      <c r="G6316" s="9"/>
      <c r="J6316" s="11"/>
      <c r="U6316" s="9"/>
      <c r="X6316" s="9"/>
    </row>
    <row r="6317">
      <c r="D6317" s="9"/>
      <c r="G6317" s="9"/>
      <c r="J6317" s="11"/>
      <c r="U6317" s="9"/>
      <c r="X6317" s="9"/>
    </row>
    <row r="6318">
      <c r="D6318" s="9"/>
      <c r="G6318" s="9"/>
      <c r="J6318" s="11"/>
      <c r="U6318" s="9"/>
      <c r="X6318" s="9"/>
    </row>
    <row r="6319">
      <c r="D6319" s="9"/>
      <c r="G6319" s="9"/>
      <c r="J6319" s="11"/>
      <c r="U6319" s="9"/>
      <c r="X6319" s="9"/>
    </row>
    <row r="6320">
      <c r="D6320" s="9"/>
      <c r="G6320" s="9"/>
      <c r="J6320" s="11"/>
      <c r="U6320" s="9"/>
      <c r="X6320" s="9"/>
    </row>
    <row r="6321">
      <c r="D6321" s="9"/>
      <c r="G6321" s="9"/>
      <c r="J6321" s="11"/>
      <c r="U6321" s="9"/>
      <c r="X6321" s="9"/>
    </row>
    <row r="6322">
      <c r="D6322" s="9"/>
      <c r="G6322" s="9"/>
      <c r="J6322" s="11"/>
      <c r="U6322" s="9"/>
      <c r="X6322" s="9"/>
    </row>
    <row r="6323">
      <c r="D6323" s="9"/>
      <c r="G6323" s="9"/>
      <c r="J6323" s="11"/>
      <c r="U6323" s="9"/>
      <c r="X6323" s="9"/>
    </row>
    <row r="6324">
      <c r="D6324" s="9"/>
      <c r="G6324" s="9"/>
      <c r="J6324" s="11"/>
      <c r="U6324" s="9"/>
      <c r="X6324" s="9"/>
    </row>
    <row r="6325">
      <c r="D6325" s="9"/>
      <c r="G6325" s="9"/>
      <c r="J6325" s="11"/>
      <c r="U6325" s="9"/>
      <c r="X6325" s="9"/>
    </row>
    <row r="6326">
      <c r="D6326" s="9"/>
      <c r="G6326" s="9"/>
      <c r="J6326" s="11"/>
      <c r="U6326" s="9"/>
      <c r="X6326" s="9"/>
    </row>
    <row r="6327">
      <c r="D6327" s="9"/>
      <c r="G6327" s="9"/>
      <c r="J6327" s="11"/>
      <c r="U6327" s="9"/>
      <c r="X6327" s="9"/>
    </row>
    <row r="6328">
      <c r="D6328" s="9"/>
      <c r="G6328" s="9"/>
      <c r="J6328" s="11"/>
      <c r="U6328" s="9"/>
      <c r="X6328" s="9"/>
    </row>
    <row r="6329">
      <c r="D6329" s="9"/>
      <c r="G6329" s="9"/>
      <c r="J6329" s="11"/>
      <c r="U6329" s="9"/>
      <c r="X6329" s="9"/>
    </row>
    <row r="6330">
      <c r="D6330" s="9"/>
      <c r="G6330" s="9"/>
      <c r="J6330" s="11"/>
      <c r="U6330" s="9"/>
      <c r="X6330" s="9"/>
    </row>
    <row r="6331">
      <c r="D6331" s="9"/>
      <c r="G6331" s="9"/>
      <c r="J6331" s="11"/>
      <c r="U6331" s="9"/>
      <c r="X6331" s="9"/>
    </row>
    <row r="6332">
      <c r="D6332" s="9"/>
      <c r="G6332" s="9"/>
      <c r="J6332" s="11"/>
      <c r="U6332" s="9"/>
      <c r="X6332" s="9"/>
    </row>
    <row r="6333">
      <c r="D6333" s="9"/>
      <c r="G6333" s="9"/>
      <c r="J6333" s="11"/>
      <c r="U6333" s="9"/>
      <c r="X6333" s="9"/>
    </row>
    <row r="6334">
      <c r="D6334" s="9"/>
      <c r="G6334" s="9"/>
      <c r="J6334" s="11"/>
      <c r="U6334" s="9"/>
      <c r="X6334" s="9"/>
    </row>
    <row r="6335">
      <c r="D6335" s="9"/>
      <c r="G6335" s="9"/>
      <c r="J6335" s="11"/>
      <c r="U6335" s="9"/>
      <c r="X6335" s="9"/>
    </row>
    <row r="6336">
      <c r="D6336" s="9"/>
      <c r="G6336" s="9"/>
      <c r="J6336" s="11"/>
      <c r="U6336" s="9"/>
      <c r="X6336" s="9"/>
    </row>
    <row r="6337">
      <c r="D6337" s="9"/>
      <c r="G6337" s="9"/>
      <c r="J6337" s="11"/>
      <c r="U6337" s="9"/>
      <c r="X6337" s="9"/>
    </row>
    <row r="6338">
      <c r="D6338" s="9"/>
      <c r="G6338" s="9"/>
      <c r="J6338" s="11"/>
      <c r="U6338" s="9"/>
      <c r="X6338" s="9"/>
    </row>
    <row r="6339">
      <c r="D6339" s="9"/>
      <c r="G6339" s="9"/>
      <c r="J6339" s="11"/>
      <c r="U6339" s="9"/>
      <c r="X6339" s="9"/>
    </row>
    <row r="6340">
      <c r="D6340" s="9"/>
      <c r="G6340" s="9"/>
      <c r="J6340" s="11"/>
      <c r="U6340" s="9"/>
      <c r="X6340" s="9"/>
    </row>
    <row r="6341">
      <c r="D6341" s="9"/>
      <c r="G6341" s="9"/>
      <c r="J6341" s="11"/>
      <c r="U6341" s="9"/>
      <c r="X6341" s="9"/>
    </row>
    <row r="6342">
      <c r="D6342" s="9"/>
      <c r="G6342" s="9"/>
      <c r="J6342" s="11"/>
      <c r="U6342" s="9"/>
      <c r="X6342" s="9"/>
    </row>
    <row r="6343">
      <c r="D6343" s="9"/>
      <c r="G6343" s="9"/>
      <c r="J6343" s="11"/>
      <c r="U6343" s="9"/>
      <c r="X6343" s="9"/>
    </row>
    <row r="6344">
      <c r="D6344" s="9"/>
      <c r="G6344" s="9"/>
      <c r="J6344" s="11"/>
      <c r="U6344" s="9"/>
      <c r="X6344" s="9"/>
    </row>
    <row r="6345">
      <c r="D6345" s="9"/>
      <c r="G6345" s="9"/>
      <c r="J6345" s="11"/>
      <c r="U6345" s="9"/>
      <c r="X6345" s="9"/>
    </row>
    <row r="6346">
      <c r="D6346" s="9"/>
      <c r="G6346" s="9"/>
      <c r="J6346" s="11"/>
      <c r="U6346" s="9"/>
      <c r="X6346" s="9"/>
    </row>
    <row r="6347">
      <c r="D6347" s="9"/>
      <c r="G6347" s="9"/>
      <c r="J6347" s="11"/>
      <c r="U6347" s="9"/>
      <c r="X6347" s="9"/>
    </row>
    <row r="6348">
      <c r="D6348" s="9"/>
      <c r="G6348" s="9"/>
      <c r="J6348" s="11"/>
      <c r="U6348" s="9"/>
      <c r="X6348" s="9"/>
    </row>
    <row r="6349">
      <c r="D6349" s="9"/>
      <c r="G6349" s="9"/>
      <c r="J6349" s="11"/>
      <c r="U6349" s="9"/>
      <c r="X6349" s="9"/>
    </row>
    <row r="6350">
      <c r="D6350" s="9"/>
      <c r="G6350" s="9"/>
      <c r="J6350" s="11"/>
      <c r="U6350" s="9"/>
      <c r="X6350" s="9"/>
    </row>
    <row r="6351">
      <c r="D6351" s="9"/>
      <c r="G6351" s="9"/>
      <c r="J6351" s="11"/>
      <c r="U6351" s="9"/>
      <c r="X6351" s="9"/>
    </row>
    <row r="6352">
      <c r="D6352" s="9"/>
      <c r="G6352" s="9"/>
      <c r="J6352" s="11"/>
      <c r="U6352" s="9"/>
      <c r="X6352" s="9"/>
    </row>
    <row r="6353">
      <c r="D6353" s="9"/>
      <c r="G6353" s="9"/>
      <c r="J6353" s="11"/>
      <c r="U6353" s="9"/>
      <c r="X6353" s="9"/>
    </row>
    <row r="6354">
      <c r="D6354" s="9"/>
      <c r="G6354" s="9"/>
      <c r="J6354" s="11"/>
      <c r="U6354" s="9"/>
      <c r="X6354" s="9"/>
    </row>
    <row r="6355">
      <c r="D6355" s="9"/>
      <c r="G6355" s="9"/>
      <c r="J6355" s="11"/>
      <c r="U6355" s="9"/>
      <c r="X6355" s="9"/>
    </row>
    <row r="6356">
      <c r="D6356" s="9"/>
      <c r="G6356" s="9"/>
      <c r="J6356" s="11"/>
      <c r="U6356" s="9"/>
      <c r="X6356" s="9"/>
    </row>
    <row r="6357">
      <c r="D6357" s="9"/>
      <c r="G6357" s="9"/>
      <c r="J6357" s="11"/>
      <c r="U6357" s="9"/>
      <c r="X6357" s="9"/>
    </row>
    <row r="6358">
      <c r="D6358" s="9"/>
      <c r="G6358" s="9"/>
      <c r="J6358" s="11"/>
      <c r="U6358" s="9"/>
      <c r="X6358" s="9"/>
    </row>
    <row r="6359">
      <c r="D6359" s="9"/>
      <c r="G6359" s="9"/>
      <c r="J6359" s="11"/>
      <c r="U6359" s="9"/>
      <c r="X6359" s="9"/>
    </row>
    <row r="6360">
      <c r="D6360" s="9"/>
      <c r="G6360" s="9"/>
      <c r="J6360" s="11"/>
      <c r="U6360" s="9"/>
      <c r="X6360" s="9"/>
    </row>
    <row r="6361">
      <c r="D6361" s="9"/>
      <c r="G6361" s="9"/>
      <c r="J6361" s="11"/>
      <c r="U6361" s="9"/>
      <c r="X6361" s="9"/>
    </row>
    <row r="6362">
      <c r="D6362" s="9"/>
      <c r="G6362" s="9"/>
      <c r="J6362" s="11"/>
      <c r="U6362" s="9"/>
      <c r="X6362" s="9"/>
    </row>
    <row r="6363">
      <c r="D6363" s="9"/>
      <c r="G6363" s="9"/>
      <c r="J6363" s="11"/>
      <c r="U6363" s="9"/>
      <c r="X6363" s="9"/>
    </row>
    <row r="6364">
      <c r="D6364" s="9"/>
      <c r="G6364" s="9"/>
      <c r="J6364" s="11"/>
      <c r="U6364" s="9"/>
      <c r="X6364" s="9"/>
    </row>
    <row r="6365">
      <c r="D6365" s="9"/>
      <c r="G6365" s="9"/>
      <c r="J6365" s="11"/>
      <c r="U6365" s="9"/>
      <c r="X6365" s="9"/>
    </row>
    <row r="6366">
      <c r="D6366" s="9"/>
      <c r="G6366" s="9"/>
      <c r="J6366" s="11"/>
      <c r="U6366" s="9"/>
      <c r="X6366" s="9"/>
    </row>
    <row r="6367">
      <c r="D6367" s="9"/>
      <c r="G6367" s="9"/>
      <c r="J6367" s="11"/>
      <c r="U6367" s="9"/>
      <c r="X6367" s="9"/>
    </row>
    <row r="6368">
      <c r="D6368" s="9"/>
      <c r="G6368" s="9"/>
      <c r="J6368" s="11"/>
      <c r="U6368" s="9"/>
      <c r="X6368" s="9"/>
    </row>
    <row r="6369">
      <c r="D6369" s="9"/>
      <c r="G6369" s="9"/>
      <c r="J6369" s="11"/>
      <c r="U6369" s="9"/>
      <c r="X6369" s="9"/>
    </row>
    <row r="6370">
      <c r="D6370" s="9"/>
      <c r="G6370" s="9"/>
      <c r="J6370" s="11"/>
      <c r="U6370" s="9"/>
      <c r="X6370" s="9"/>
    </row>
    <row r="6371">
      <c r="D6371" s="9"/>
      <c r="G6371" s="9"/>
      <c r="J6371" s="11"/>
      <c r="U6371" s="9"/>
      <c r="X6371" s="9"/>
    </row>
    <row r="6372">
      <c r="D6372" s="9"/>
      <c r="G6372" s="9"/>
      <c r="J6372" s="11"/>
      <c r="U6372" s="9"/>
      <c r="X6372" s="9"/>
    </row>
    <row r="6373">
      <c r="D6373" s="9"/>
      <c r="G6373" s="9"/>
      <c r="J6373" s="11"/>
      <c r="U6373" s="9"/>
      <c r="X6373" s="9"/>
    </row>
    <row r="6374">
      <c r="D6374" s="9"/>
      <c r="G6374" s="9"/>
      <c r="J6374" s="11"/>
      <c r="U6374" s="9"/>
      <c r="X6374" s="9"/>
    </row>
    <row r="6375">
      <c r="D6375" s="9"/>
      <c r="G6375" s="9"/>
      <c r="J6375" s="11"/>
      <c r="U6375" s="9"/>
      <c r="X6375" s="9"/>
    </row>
    <row r="6376">
      <c r="D6376" s="9"/>
      <c r="G6376" s="9"/>
      <c r="J6376" s="11"/>
      <c r="U6376" s="9"/>
      <c r="X6376" s="9"/>
    </row>
    <row r="6377">
      <c r="D6377" s="9"/>
      <c r="G6377" s="9"/>
      <c r="J6377" s="11"/>
      <c r="U6377" s="9"/>
      <c r="X6377" s="9"/>
    </row>
    <row r="6378">
      <c r="D6378" s="9"/>
      <c r="G6378" s="9"/>
      <c r="J6378" s="11"/>
      <c r="U6378" s="9"/>
      <c r="X6378" s="9"/>
    </row>
    <row r="6379">
      <c r="D6379" s="9"/>
      <c r="G6379" s="9"/>
      <c r="J6379" s="11"/>
      <c r="U6379" s="9"/>
      <c r="X6379" s="9"/>
    </row>
    <row r="6380">
      <c r="D6380" s="9"/>
      <c r="G6380" s="9"/>
      <c r="J6380" s="11"/>
      <c r="U6380" s="9"/>
      <c r="X6380" s="9"/>
    </row>
    <row r="6381">
      <c r="D6381" s="9"/>
      <c r="G6381" s="9"/>
      <c r="J6381" s="11"/>
      <c r="U6381" s="9"/>
      <c r="X6381" s="9"/>
    </row>
    <row r="6382">
      <c r="D6382" s="9"/>
      <c r="G6382" s="9"/>
      <c r="J6382" s="11"/>
      <c r="U6382" s="9"/>
      <c r="X6382" s="9"/>
    </row>
    <row r="6383">
      <c r="D6383" s="9"/>
      <c r="G6383" s="9"/>
      <c r="J6383" s="11"/>
      <c r="U6383" s="9"/>
      <c r="X6383" s="9"/>
    </row>
    <row r="6384">
      <c r="D6384" s="9"/>
      <c r="G6384" s="9"/>
      <c r="J6384" s="11"/>
      <c r="U6384" s="9"/>
      <c r="X6384" s="9"/>
    </row>
    <row r="6385">
      <c r="D6385" s="9"/>
      <c r="G6385" s="9"/>
      <c r="J6385" s="11"/>
      <c r="U6385" s="9"/>
      <c r="X6385" s="9"/>
    </row>
    <row r="6386">
      <c r="D6386" s="9"/>
      <c r="G6386" s="9"/>
      <c r="J6386" s="11"/>
      <c r="U6386" s="9"/>
      <c r="X6386" s="9"/>
    </row>
    <row r="6387">
      <c r="D6387" s="9"/>
      <c r="G6387" s="9"/>
      <c r="J6387" s="11"/>
      <c r="U6387" s="9"/>
      <c r="X6387" s="9"/>
    </row>
    <row r="6388">
      <c r="D6388" s="9"/>
      <c r="G6388" s="9"/>
      <c r="J6388" s="11"/>
      <c r="U6388" s="9"/>
      <c r="X6388" s="9"/>
    </row>
    <row r="6389">
      <c r="D6389" s="9"/>
      <c r="G6389" s="9"/>
      <c r="J6389" s="11"/>
      <c r="U6389" s="9"/>
      <c r="X6389" s="9"/>
    </row>
    <row r="6390">
      <c r="D6390" s="9"/>
      <c r="G6390" s="9"/>
      <c r="J6390" s="11"/>
      <c r="U6390" s="9"/>
      <c r="X6390" s="9"/>
    </row>
    <row r="6391">
      <c r="D6391" s="9"/>
      <c r="G6391" s="9"/>
      <c r="J6391" s="11"/>
      <c r="U6391" s="9"/>
      <c r="X6391" s="9"/>
    </row>
    <row r="6392">
      <c r="D6392" s="9"/>
      <c r="G6392" s="9"/>
      <c r="J6392" s="11"/>
      <c r="U6392" s="9"/>
      <c r="X6392" s="9"/>
    </row>
    <row r="6393">
      <c r="D6393" s="9"/>
      <c r="G6393" s="9"/>
      <c r="J6393" s="11"/>
      <c r="U6393" s="9"/>
      <c r="X6393" s="9"/>
    </row>
    <row r="6394">
      <c r="D6394" s="9"/>
      <c r="G6394" s="9"/>
      <c r="J6394" s="11"/>
      <c r="U6394" s="9"/>
      <c r="X6394" s="9"/>
    </row>
    <row r="6395">
      <c r="D6395" s="9"/>
      <c r="G6395" s="9"/>
      <c r="J6395" s="11"/>
      <c r="U6395" s="9"/>
      <c r="X6395" s="9"/>
    </row>
    <row r="6396">
      <c r="D6396" s="9"/>
      <c r="G6396" s="9"/>
      <c r="J6396" s="11"/>
      <c r="U6396" s="9"/>
      <c r="X6396" s="9"/>
    </row>
    <row r="6397">
      <c r="D6397" s="9"/>
      <c r="G6397" s="9"/>
      <c r="J6397" s="11"/>
      <c r="U6397" s="9"/>
      <c r="X6397" s="9"/>
    </row>
    <row r="6398">
      <c r="D6398" s="9"/>
      <c r="G6398" s="9"/>
      <c r="J6398" s="11"/>
      <c r="U6398" s="9"/>
      <c r="X6398" s="9"/>
    </row>
    <row r="6399">
      <c r="D6399" s="9"/>
      <c r="G6399" s="9"/>
      <c r="J6399" s="11"/>
      <c r="U6399" s="9"/>
      <c r="X6399" s="9"/>
    </row>
    <row r="6400">
      <c r="D6400" s="9"/>
      <c r="G6400" s="9"/>
      <c r="J6400" s="11"/>
      <c r="U6400" s="9"/>
      <c r="X6400" s="9"/>
    </row>
    <row r="6401">
      <c r="D6401" s="9"/>
      <c r="G6401" s="9"/>
      <c r="J6401" s="11"/>
      <c r="U6401" s="9"/>
      <c r="X6401" s="9"/>
    </row>
    <row r="6402">
      <c r="D6402" s="9"/>
      <c r="G6402" s="9"/>
      <c r="J6402" s="11"/>
      <c r="U6402" s="9"/>
      <c r="X6402" s="9"/>
    </row>
    <row r="6403">
      <c r="D6403" s="9"/>
      <c r="G6403" s="9"/>
      <c r="J6403" s="11"/>
      <c r="U6403" s="9"/>
      <c r="X6403" s="9"/>
    </row>
    <row r="6404">
      <c r="D6404" s="9"/>
      <c r="G6404" s="9"/>
      <c r="J6404" s="11"/>
      <c r="U6404" s="9"/>
      <c r="X6404" s="9"/>
    </row>
    <row r="6405">
      <c r="D6405" s="9"/>
      <c r="G6405" s="9"/>
      <c r="J6405" s="11"/>
      <c r="U6405" s="9"/>
      <c r="X6405" s="9"/>
    </row>
    <row r="6406">
      <c r="D6406" s="9"/>
      <c r="G6406" s="9"/>
      <c r="J6406" s="11"/>
      <c r="U6406" s="9"/>
      <c r="X6406" s="9"/>
    </row>
    <row r="6407">
      <c r="D6407" s="9"/>
      <c r="G6407" s="9"/>
      <c r="J6407" s="11"/>
      <c r="U6407" s="9"/>
      <c r="X6407" s="9"/>
    </row>
    <row r="6408">
      <c r="D6408" s="9"/>
      <c r="G6408" s="9"/>
      <c r="J6408" s="11"/>
      <c r="U6408" s="9"/>
      <c r="X6408" s="9"/>
    </row>
    <row r="6409">
      <c r="D6409" s="9"/>
      <c r="G6409" s="9"/>
      <c r="J6409" s="11"/>
      <c r="U6409" s="9"/>
      <c r="X6409" s="9"/>
    </row>
    <row r="6410">
      <c r="D6410" s="9"/>
      <c r="G6410" s="9"/>
      <c r="J6410" s="11"/>
      <c r="U6410" s="9"/>
      <c r="X6410" s="9"/>
    </row>
    <row r="6411">
      <c r="D6411" s="9"/>
      <c r="G6411" s="9"/>
      <c r="J6411" s="11"/>
      <c r="U6411" s="9"/>
      <c r="X6411" s="9"/>
    </row>
    <row r="6412">
      <c r="D6412" s="9"/>
      <c r="G6412" s="9"/>
      <c r="J6412" s="11"/>
      <c r="U6412" s="9"/>
      <c r="X6412" s="9"/>
    </row>
    <row r="6413">
      <c r="D6413" s="9"/>
      <c r="G6413" s="9"/>
      <c r="J6413" s="11"/>
      <c r="U6413" s="9"/>
      <c r="X6413" s="9"/>
    </row>
    <row r="6414">
      <c r="D6414" s="9"/>
      <c r="G6414" s="9"/>
      <c r="J6414" s="11"/>
      <c r="U6414" s="9"/>
      <c r="X6414" s="9"/>
    </row>
    <row r="6415">
      <c r="D6415" s="9"/>
      <c r="G6415" s="9"/>
      <c r="J6415" s="11"/>
      <c r="U6415" s="9"/>
      <c r="X6415" s="9"/>
    </row>
    <row r="6416">
      <c r="D6416" s="9"/>
      <c r="G6416" s="9"/>
      <c r="J6416" s="11"/>
      <c r="U6416" s="9"/>
      <c r="X6416" s="9"/>
    </row>
    <row r="6417">
      <c r="D6417" s="9"/>
      <c r="G6417" s="9"/>
      <c r="J6417" s="11"/>
      <c r="U6417" s="9"/>
      <c r="X6417" s="9"/>
    </row>
    <row r="6418">
      <c r="D6418" s="9"/>
      <c r="G6418" s="9"/>
      <c r="J6418" s="11"/>
      <c r="U6418" s="9"/>
      <c r="X6418" s="9"/>
    </row>
    <row r="6419">
      <c r="D6419" s="9"/>
      <c r="G6419" s="9"/>
      <c r="J6419" s="11"/>
      <c r="U6419" s="9"/>
      <c r="X6419" s="9"/>
    </row>
    <row r="6420">
      <c r="D6420" s="9"/>
      <c r="G6420" s="9"/>
      <c r="J6420" s="11"/>
      <c r="U6420" s="9"/>
      <c r="X6420" s="9"/>
    </row>
    <row r="6421">
      <c r="D6421" s="9"/>
      <c r="G6421" s="9"/>
      <c r="J6421" s="11"/>
      <c r="U6421" s="9"/>
      <c r="X6421" s="9"/>
    </row>
    <row r="6422">
      <c r="D6422" s="9"/>
      <c r="G6422" s="9"/>
      <c r="J6422" s="11"/>
      <c r="U6422" s="9"/>
      <c r="X6422" s="9"/>
    </row>
    <row r="6423">
      <c r="D6423" s="9"/>
      <c r="G6423" s="9"/>
      <c r="J6423" s="11"/>
      <c r="U6423" s="9"/>
      <c r="X6423" s="9"/>
    </row>
    <row r="6424">
      <c r="D6424" s="9"/>
      <c r="G6424" s="9"/>
      <c r="J6424" s="11"/>
      <c r="U6424" s="9"/>
      <c r="X6424" s="9"/>
    </row>
    <row r="6425">
      <c r="D6425" s="9"/>
      <c r="G6425" s="9"/>
      <c r="J6425" s="11"/>
      <c r="U6425" s="9"/>
      <c r="X6425" s="9"/>
    </row>
    <row r="6426">
      <c r="D6426" s="9"/>
      <c r="G6426" s="9"/>
      <c r="J6426" s="11"/>
      <c r="U6426" s="9"/>
      <c r="X6426" s="9"/>
    </row>
    <row r="6427">
      <c r="D6427" s="9"/>
      <c r="G6427" s="9"/>
      <c r="J6427" s="11"/>
      <c r="U6427" s="9"/>
      <c r="X6427" s="9"/>
    </row>
    <row r="6428">
      <c r="D6428" s="9"/>
      <c r="G6428" s="9"/>
      <c r="J6428" s="11"/>
      <c r="U6428" s="9"/>
      <c r="X6428" s="9"/>
    </row>
    <row r="6429">
      <c r="D6429" s="9"/>
      <c r="G6429" s="9"/>
      <c r="J6429" s="11"/>
      <c r="U6429" s="9"/>
      <c r="X6429" s="9"/>
    </row>
    <row r="6430">
      <c r="D6430" s="9"/>
      <c r="G6430" s="9"/>
      <c r="J6430" s="11"/>
      <c r="U6430" s="9"/>
      <c r="X6430" s="9"/>
    </row>
    <row r="6431">
      <c r="D6431" s="9"/>
      <c r="G6431" s="9"/>
      <c r="J6431" s="11"/>
      <c r="U6431" s="9"/>
      <c r="X6431" s="9"/>
    </row>
    <row r="6432">
      <c r="D6432" s="9"/>
      <c r="G6432" s="9"/>
      <c r="J6432" s="11"/>
      <c r="U6432" s="9"/>
      <c r="X6432" s="9"/>
    </row>
    <row r="6433">
      <c r="D6433" s="9"/>
      <c r="G6433" s="9"/>
      <c r="J6433" s="11"/>
      <c r="U6433" s="9"/>
      <c r="X6433" s="9"/>
    </row>
    <row r="6434">
      <c r="D6434" s="9"/>
      <c r="G6434" s="9"/>
      <c r="J6434" s="11"/>
      <c r="U6434" s="9"/>
      <c r="X6434" s="9"/>
    </row>
    <row r="6435">
      <c r="D6435" s="9"/>
      <c r="G6435" s="9"/>
      <c r="J6435" s="11"/>
      <c r="U6435" s="9"/>
      <c r="X6435" s="9"/>
    </row>
    <row r="6436">
      <c r="D6436" s="9"/>
      <c r="G6436" s="9"/>
      <c r="J6436" s="11"/>
      <c r="U6436" s="9"/>
      <c r="X6436" s="9"/>
    </row>
    <row r="6437">
      <c r="D6437" s="9"/>
      <c r="G6437" s="9"/>
      <c r="J6437" s="11"/>
      <c r="U6437" s="9"/>
      <c r="X6437" s="9"/>
    </row>
    <row r="6438">
      <c r="D6438" s="9"/>
      <c r="G6438" s="9"/>
      <c r="J6438" s="11"/>
      <c r="U6438" s="9"/>
      <c r="X6438" s="9"/>
    </row>
    <row r="6439">
      <c r="D6439" s="9"/>
      <c r="G6439" s="9"/>
      <c r="J6439" s="11"/>
      <c r="U6439" s="9"/>
      <c r="X6439" s="9"/>
    </row>
    <row r="6440">
      <c r="D6440" s="9"/>
      <c r="G6440" s="9"/>
      <c r="J6440" s="11"/>
      <c r="U6440" s="9"/>
      <c r="X6440" s="9"/>
    </row>
    <row r="6441">
      <c r="D6441" s="9"/>
      <c r="G6441" s="9"/>
      <c r="J6441" s="11"/>
      <c r="U6441" s="9"/>
      <c r="X6441" s="9"/>
    </row>
    <row r="6442">
      <c r="D6442" s="9"/>
      <c r="G6442" s="9"/>
      <c r="J6442" s="11"/>
      <c r="U6442" s="9"/>
      <c r="X6442" s="9"/>
    </row>
    <row r="6443">
      <c r="D6443" s="9"/>
      <c r="G6443" s="9"/>
      <c r="J6443" s="11"/>
      <c r="U6443" s="9"/>
      <c r="X6443" s="9"/>
    </row>
    <row r="6444">
      <c r="D6444" s="9"/>
      <c r="G6444" s="9"/>
      <c r="J6444" s="11"/>
      <c r="U6444" s="9"/>
      <c r="X6444" s="9"/>
    </row>
    <row r="6445">
      <c r="D6445" s="9"/>
      <c r="G6445" s="9"/>
      <c r="J6445" s="11"/>
      <c r="U6445" s="9"/>
      <c r="X6445" s="9"/>
    </row>
    <row r="6446">
      <c r="D6446" s="9"/>
      <c r="G6446" s="9"/>
      <c r="J6446" s="11"/>
      <c r="U6446" s="9"/>
      <c r="X6446" s="9"/>
    </row>
    <row r="6447">
      <c r="D6447" s="9"/>
      <c r="G6447" s="9"/>
      <c r="J6447" s="11"/>
      <c r="U6447" s="9"/>
      <c r="X6447" s="9"/>
    </row>
    <row r="6448">
      <c r="D6448" s="9"/>
      <c r="G6448" s="9"/>
      <c r="J6448" s="11"/>
      <c r="U6448" s="9"/>
      <c r="X6448" s="9"/>
    </row>
    <row r="6449">
      <c r="D6449" s="9"/>
      <c r="G6449" s="9"/>
      <c r="J6449" s="11"/>
      <c r="U6449" s="9"/>
      <c r="X6449" s="9"/>
    </row>
    <row r="6450">
      <c r="D6450" s="9"/>
      <c r="G6450" s="9"/>
      <c r="J6450" s="11"/>
      <c r="U6450" s="9"/>
      <c r="X6450" s="9"/>
    </row>
    <row r="6451">
      <c r="D6451" s="9"/>
      <c r="G6451" s="9"/>
      <c r="J6451" s="11"/>
      <c r="U6451" s="9"/>
      <c r="X6451" s="9"/>
    </row>
    <row r="6452">
      <c r="D6452" s="9"/>
      <c r="G6452" s="9"/>
      <c r="J6452" s="11"/>
      <c r="U6452" s="9"/>
      <c r="X6452" s="9"/>
    </row>
    <row r="6453">
      <c r="D6453" s="9"/>
      <c r="G6453" s="9"/>
      <c r="J6453" s="11"/>
      <c r="U6453" s="9"/>
      <c r="X6453" s="9"/>
    </row>
    <row r="6454">
      <c r="D6454" s="9"/>
      <c r="G6454" s="9"/>
      <c r="J6454" s="11"/>
      <c r="U6454" s="9"/>
      <c r="X6454" s="9"/>
    </row>
    <row r="6455">
      <c r="D6455" s="9"/>
      <c r="G6455" s="9"/>
      <c r="J6455" s="11"/>
      <c r="U6455" s="9"/>
      <c r="X6455" s="9"/>
    </row>
    <row r="6456">
      <c r="D6456" s="9"/>
      <c r="G6456" s="9"/>
      <c r="J6456" s="11"/>
      <c r="U6456" s="9"/>
      <c r="X6456" s="9"/>
    </row>
    <row r="6457">
      <c r="D6457" s="9"/>
      <c r="G6457" s="9"/>
      <c r="J6457" s="11"/>
      <c r="U6457" s="9"/>
      <c r="X6457" s="9"/>
    </row>
    <row r="6458">
      <c r="D6458" s="9"/>
      <c r="G6458" s="9"/>
      <c r="J6458" s="11"/>
      <c r="U6458" s="9"/>
      <c r="X6458" s="9"/>
    </row>
    <row r="6459">
      <c r="D6459" s="9"/>
      <c r="G6459" s="9"/>
      <c r="J6459" s="11"/>
      <c r="U6459" s="9"/>
      <c r="X6459" s="9"/>
    </row>
    <row r="6460">
      <c r="D6460" s="9"/>
      <c r="G6460" s="9"/>
      <c r="J6460" s="11"/>
      <c r="U6460" s="9"/>
      <c r="X6460" s="9"/>
    </row>
    <row r="6461">
      <c r="D6461" s="9"/>
      <c r="G6461" s="9"/>
      <c r="J6461" s="11"/>
      <c r="U6461" s="9"/>
      <c r="X6461" s="9"/>
    </row>
    <row r="6462">
      <c r="D6462" s="9"/>
      <c r="G6462" s="9"/>
      <c r="J6462" s="11"/>
      <c r="U6462" s="9"/>
      <c r="X6462" s="9"/>
    </row>
    <row r="6463">
      <c r="D6463" s="9"/>
      <c r="G6463" s="9"/>
      <c r="J6463" s="11"/>
      <c r="U6463" s="9"/>
      <c r="X6463" s="9"/>
    </row>
    <row r="6464">
      <c r="D6464" s="9"/>
      <c r="G6464" s="9"/>
      <c r="J6464" s="11"/>
      <c r="U6464" s="9"/>
      <c r="X6464" s="9"/>
    </row>
    <row r="6465">
      <c r="D6465" s="9"/>
      <c r="G6465" s="9"/>
      <c r="J6465" s="11"/>
      <c r="U6465" s="9"/>
      <c r="X6465" s="9"/>
    </row>
    <row r="6466">
      <c r="D6466" s="9"/>
      <c r="G6466" s="9"/>
      <c r="J6466" s="11"/>
      <c r="U6466" s="9"/>
      <c r="X6466" s="9"/>
    </row>
    <row r="6467">
      <c r="D6467" s="9"/>
      <c r="G6467" s="9"/>
      <c r="J6467" s="11"/>
      <c r="U6467" s="9"/>
      <c r="X6467" s="9"/>
    </row>
    <row r="6468">
      <c r="D6468" s="9"/>
      <c r="G6468" s="9"/>
      <c r="J6468" s="11"/>
      <c r="U6468" s="9"/>
      <c r="X6468" s="9"/>
    </row>
    <row r="6469">
      <c r="D6469" s="9"/>
      <c r="G6469" s="9"/>
      <c r="J6469" s="11"/>
      <c r="U6469" s="9"/>
      <c r="X6469" s="9"/>
    </row>
    <row r="6470">
      <c r="D6470" s="9"/>
      <c r="G6470" s="9"/>
      <c r="J6470" s="11"/>
      <c r="U6470" s="9"/>
      <c r="X6470" s="9"/>
    </row>
    <row r="6471">
      <c r="D6471" s="9"/>
      <c r="G6471" s="9"/>
      <c r="J6471" s="11"/>
      <c r="U6471" s="9"/>
      <c r="X6471" s="9"/>
    </row>
    <row r="6472">
      <c r="D6472" s="9"/>
      <c r="G6472" s="9"/>
      <c r="J6472" s="11"/>
      <c r="U6472" s="9"/>
      <c r="X6472" s="9"/>
    </row>
    <row r="6473">
      <c r="D6473" s="9"/>
      <c r="G6473" s="9"/>
      <c r="J6473" s="11"/>
      <c r="U6473" s="9"/>
      <c r="X6473" s="9"/>
    </row>
    <row r="6474">
      <c r="D6474" s="9"/>
      <c r="G6474" s="9"/>
      <c r="J6474" s="11"/>
      <c r="U6474" s="9"/>
      <c r="X6474" s="9"/>
    </row>
    <row r="6475">
      <c r="D6475" s="9"/>
      <c r="G6475" s="9"/>
      <c r="J6475" s="11"/>
      <c r="U6475" s="9"/>
      <c r="X6475" s="9"/>
    </row>
    <row r="6476">
      <c r="D6476" s="9"/>
      <c r="G6476" s="9"/>
      <c r="J6476" s="11"/>
      <c r="U6476" s="9"/>
      <c r="X6476" s="9"/>
    </row>
    <row r="6477">
      <c r="D6477" s="9"/>
      <c r="G6477" s="9"/>
      <c r="J6477" s="11"/>
      <c r="U6477" s="9"/>
      <c r="X6477" s="9"/>
    </row>
    <row r="6478">
      <c r="D6478" s="9"/>
      <c r="G6478" s="9"/>
      <c r="J6478" s="11"/>
      <c r="U6478" s="9"/>
      <c r="X6478" s="9"/>
    </row>
    <row r="6479">
      <c r="D6479" s="9"/>
      <c r="G6479" s="9"/>
      <c r="J6479" s="11"/>
      <c r="U6479" s="9"/>
      <c r="X6479" s="9"/>
    </row>
    <row r="6480">
      <c r="D6480" s="9"/>
      <c r="G6480" s="9"/>
      <c r="J6480" s="11"/>
      <c r="U6480" s="9"/>
      <c r="X6480" s="9"/>
    </row>
    <row r="6481">
      <c r="D6481" s="9"/>
      <c r="G6481" s="9"/>
      <c r="J6481" s="11"/>
      <c r="U6481" s="9"/>
      <c r="X6481" s="9"/>
    </row>
    <row r="6482">
      <c r="D6482" s="9"/>
      <c r="G6482" s="9"/>
      <c r="J6482" s="11"/>
      <c r="U6482" s="9"/>
      <c r="X6482" s="9"/>
    </row>
    <row r="6483">
      <c r="D6483" s="9"/>
      <c r="G6483" s="9"/>
      <c r="J6483" s="11"/>
      <c r="U6483" s="9"/>
      <c r="X6483" s="9"/>
    </row>
    <row r="6484">
      <c r="D6484" s="9"/>
      <c r="G6484" s="9"/>
      <c r="J6484" s="11"/>
      <c r="U6484" s="9"/>
      <c r="X6484" s="9"/>
    </row>
    <row r="6485">
      <c r="D6485" s="9"/>
      <c r="G6485" s="9"/>
      <c r="J6485" s="11"/>
      <c r="U6485" s="9"/>
      <c r="X6485" s="9"/>
    </row>
    <row r="6486">
      <c r="D6486" s="9"/>
      <c r="G6486" s="9"/>
      <c r="J6486" s="11"/>
      <c r="U6486" s="9"/>
      <c r="X6486" s="9"/>
    </row>
    <row r="6487">
      <c r="D6487" s="9"/>
      <c r="G6487" s="9"/>
      <c r="J6487" s="11"/>
      <c r="U6487" s="9"/>
      <c r="X6487" s="9"/>
    </row>
    <row r="6488">
      <c r="D6488" s="9"/>
      <c r="G6488" s="9"/>
      <c r="J6488" s="11"/>
      <c r="U6488" s="9"/>
      <c r="X6488" s="9"/>
    </row>
    <row r="6489">
      <c r="D6489" s="9"/>
      <c r="G6489" s="9"/>
      <c r="J6489" s="11"/>
      <c r="U6489" s="9"/>
      <c r="X6489" s="9"/>
    </row>
    <row r="6490">
      <c r="D6490" s="9"/>
      <c r="G6490" s="9"/>
      <c r="J6490" s="11"/>
      <c r="U6490" s="9"/>
      <c r="X6490" s="9"/>
    </row>
    <row r="6491">
      <c r="D6491" s="9"/>
      <c r="G6491" s="9"/>
      <c r="J6491" s="11"/>
      <c r="U6491" s="9"/>
      <c r="X6491" s="9"/>
    </row>
    <row r="6492">
      <c r="D6492" s="9"/>
      <c r="G6492" s="9"/>
      <c r="J6492" s="11"/>
      <c r="U6492" s="9"/>
      <c r="X6492" s="9"/>
    </row>
    <row r="6493">
      <c r="D6493" s="9"/>
      <c r="G6493" s="9"/>
      <c r="J6493" s="11"/>
      <c r="U6493" s="9"/>
      <c r="X6493" s="9"/>
    </row>
    <row r="6494">
      <c r="D6494" s="9"/>
      <c r="G6494" s="9"/>
      <c r="J6494" s="11"/>
      <c r="U6494" s="9"/>
      <c r="X6494" s="9"/>
    </row>
    <row r="6495">
      <c r="D6495" s="9"/>
      <c r="G6495" s="9"/>
      <c r="J6495" s="11"/>
      <c r="U6495" s="9"/>
      <c r="X6495" s="9"/>
    </row>
    <row r="6496">
      <c r="D6496" s="9"/>
      <c r="G6496" s="9"/>
      <c r="J6496" s="11"/>
      <c r="U6496" s="9"/>
      <c r="X6496" s="9"/>
    </row>
    <row r="6497">
      <c r="D6497" s="9"/>
      <c r="G6497" s="9"/>
      <c r="J6497" s="11"/>
      <c r="U6497" s="9"/>
      <c r="X6497" s="9"/>
    </row>
    <row r="6498">
      <c r="D6498" s="9"/>
      <c r="G6498" s="9"/>
      <c r="J6498" s="11"/>
      <c r="U6498" s="9"/>
      <c r="X6498" s="9"/>
    </row>
    <row r="6499">
      <c r="D6499" s="9"/>
      <c r="G6499" s="9"/>
      <c r="J6499" s="11"/>
      <c r="U6499" s="9"/>
      <c r="X6499" s="9"/>
    </row>
    <row r="6500">
      <c r="D6500" s="9"/>
      <c r="G6500" s="9"/>
      <c r="J6500" s="11"/>
      <c r="U6500" s="9"/>
      <c r="X6500" s="9"/>
    </row>
    <row r="6501">
      <c r="D6501" s="9"/>
      <c r="G6501" s="9"/>
      <c r="J6501" s="11"/>
      <c r="U6501" s="9"/>
      <c r="X6501" s="9"/>
    </row>
    <row r="6502">
      <c r="D6502" s="9"/>
      <c r="G6502" s="9"/>
      <c r="J6502" s="11"/>
      <c r="U6502" s="9"/>
      <c r="X6502" s="9"/>
    </row>
    <row r="6503">
      <c r="D6503" s="9"/>
      <c r="G6503" s="9"/>
      <c r="J6503" s="11"/>
      <c r="U6503" s="9"/>
      <c r="X6503" s="9"/>
    </row>
    <row r="6504">
      <c r="D6504" s="9"/>
      <c r="G6504" s="9"/>
      <c r="J6504" s="11"/>
      <c r="U6504" s="9"/>
      <c r="X6504" s="9"/>
    </row>
    <row r="6505">
      <c r="D6505" s="9"/>
      <c r="G6505" s="9"/>
      <c r="J6505" s="11"/>
      <c r="U6505" s="9"/>
      <c r="X6505" s="9"/>
    </row>
    <row r="6506">
      <c r="D6506" s="9"/>
      <c r="G6506" s="9"/>
      <c r="J6506" s="11"/>
      <c r="U6506" s="9"/>
      <c r="X6506" s="9"/>
    </row>
    <row r="6507">
      <c r="D6507" s="9"/>
      <c r="G6507" s="9"/>
      <c r="J6507" s="11"/>
      <c r="U6507" s="9"/>
      <c r="X6507" s="9"/>
    </row>
    <row r="6508">
      <c r="D6508" s="9"/>
      <c r="G6508" s="9"/>
      <c r="J6508" s="11"/>
      <c r="U6508" s="9"/>
      <c r="X6508" s="9"/>
    </row>
    <row r="6509">
      <c r="D6509" s="9"/>
      <c r="G6509" s="9"/>
      <c r="J6509" s="11"/>
      <c r="U6509" s="9"/>
      <c r="X6509" s="9"/>
    </row>
    <row r="6510">
      <c r="D6510" s="9"/>
      <c r="G6510" s="9"/>
      <c r="J6510" s="11"/>
      <c r="U6510" s="9"/>
      <c r="X6510" s="9"/>
    </row>
    <row r="6511">
      <c r="D6511" s="9"/>
      <c r="G6511" s="9"/>
      <c r="J6511" s="11"/>
      <c r="U6511" s="9"/>
      <c r="X6511" s="9"/>
    </row>
    <row r="6512">
      <c r="D6512" s="9"/>
      <c r="G6512" s="9"/>
      <c r="J6512" s="11"/>
      <c r="U6512" s="9"/>
      <c r="X6512" s="9"/>
    </row>
    <row r="6513">
      <c r="D6513" s="9"/>
      <c r="G6513" s="9"/>
      <c r="J6513" s="11"/>
      <c r="U6513" s="9"/>
      <c r="X6513" s="9"/>
    </row>
    <row r="6514">
      <c r="D6514" s="9"/>
      <c r="G6514" s="9"/>
      <c r="J6514" s="11"/>
      <c r="U6514" s="9"/>
      <c r="X6514" s="9"/>
    </row>
    <row r="6515">
      <c r="D6515" s="9"/>
      <c r="G6515" s="9"/>
      <c r="J6515" s="11"/>
      <c r="U6515" s="9"/>
      <c r="X6515" s="9"/>
    </row>
    <row r="6516">
      <c r="D6516" s="9"/>
      <c r="G6516" s="9"/>
      <c r="J6516" s="11"/>
      <c r="U6516" s="9"/>
      <c r="X6516" s="9"/>
    </row>
    <row r="6517">
      <c r="D6517" s="9"/>
      <c r="G6517" s="9"/>
      <c r="J6517" s="11"/>
      <c r="U6517" s="9"/>
      <c r="X6517" s="9"/>
    </row>
    <row r="6518">
      <c r="D6518" s="9"/>
      <c r="G6518" s="9"/>
      <c r="J6518" s="11"/>
      <c r="U6518" s="9"/>
      <c r="X6518" s="9"/>
    </row>
    <row r="6519">
      <c r="D6519" s="9"/>
      <c r="G6519" s="9"/>
      <c r="J6519" s="11"/>
      <c r="U6519" s="9"/>
      <c r="X6519" s="9"/>
    </row>
    <row r="6520">
      <c r="D6520" s="9"/>
      <c r="G6520" s="9"/>
      <c r="J6520" s="11"/>
      <c r="U6520" s="9"/>
      <c r="X6520" s="9"/>
    </row>
    <row r="6521">
      <c r="D6521" s="9"/>
      <c r="G6521" s="9"/>
      <c r="J6521" s="11"/>
      <c r="U6521" s="9"/>
      <c r="X6521" s="9"/>
    </row>
    <row r="6522">
      <c r="D6522" s="9"/>
      <c r="G6522" s="9"/>
      <c r="J6522" s="11"/>
      <c r="U6522" s="9"/>
      <c r="X6522" s="9"/>
    </row>
    <row r="6523">
      <c r="D6523" s="9"/>
      <c r="G6523" s="9"/>
      <c r="J6523" s="11"/>
      <c r="U6523" s="9"/>
      <c r="X6523" s="9"/>
    </row>
    <row r="6524">
      <c r="D6524" s="9"/>
      <c r="G6524" s="9"/>
      <c r="J6524" s="11"/>
      <c r="U6524" s="9"/>
      <c r="X6524" s="9"/>
    </row>
    <row r="6525">
      <c r="D6525" s="9"/>
      <c r="G6525" s="9"/>
      <c r="J6525" s="11"/>
      <c r="U6525" s="9"/>
      <c r="X6525" s="9"/>
    </row>
    <row r="6526">
      <c r="D6526" s="9"/>
      <c r="G6526" s="9"/>
      <c r="J6526" s="11"/>
      <c r="U6526" s="9"/>
      <c r="X6526" s="9"/>
    </row>
    <row r="6527">
      <c r="D6527" s="9"/>
      <c r="G6527" s="9"/>
      <c r="J6527" s="11"/>
      <c r="U6527" s="9"/>
      <c r="X6527" s="9"/>
    </row>
    <row r="6528">
      <c r="D6528" s="9"/>
      <c r="G6528" s="9"/>
      <c r="J6528" s="11"/>
      <c r="U6528" s="9"/>
      <c r="X6528" s="9"/>
    </row>
    <row r="6529">
      <c r="D6529" s="9"/>
      <c r="G6529" s="9"/>
      <c r="J6529" s="11"/>
      <c r="U6529" s="9"/>
      <c r="X6529" s="9"/>
    </row>
    <row r="6530">
      <c r="D6530" s="9"/>
      <c r="G6530" s="9"/>
      <c r="J6530" s="11"/>
      <c r="U6530" s="9"/>
      <c r="X6530" s="9"/>
    </row>
    <row r="6531">
      <c r="D6531" s="9"/>
      <c r="G6531" s="9"/>
      <c r="J6531" s="11"/>
      <c r="U6531" s="9"/>
      <c r="X6531" s="9"/>
    </row>
    <row r="6532">
      <c r="D6532" s="9"/>
      <c r="G6532" s="9"/>
      <c r="J6532" s="11"/>
      <c r="U6532" s="9"/>
      <c r="X6532" s="9"/>
    </row>
    <row r="6533">
      <c r="D6533" s="9"/>
      <c r="G6533" s="9"/>
      <c r="J6533" s="11"/>
      <c r="U6533" s="9"/>
      <c r="X6533" s="9"/>
    </row>
    <row r="6534">
      <c r="D6534" s="9"/>
      <c r="G6534" s="9"/>
      <c r="J6534" s="11"/>
      <c r="U6534" s="9"/>
      <c r="X6534" s="9"/>
    </row>
    <row r="6535">
      <c r="D6535" s="9"/>
      <c r="G6535" s="9"/>
      <c r="J6535" s="11"/>
      <c r="U6535" s="9"/>
      <c r="X6535" s="9"/>
    </row>
    <row r="6536">
      <c r="D6536" s="9"/>
      <c r="G6536" s="9"/>
      <c r="J6536" s="11"/>
      <c r="U6536" s="9"/>
      <c r="X6536" s="9"/>
    </row>
    <row r="6537">
      <c r="D6537" s="9"/>
      <c r="G6537" s="9"/>
      <c r="J6537" s="11"/>
      <c r="U6537" s="9"/>
      <c r="X6537" s="9"/>
    </row>
    <row r="6538">
      <c r="D6538" s="9"/>
      <c r="G6538" s="9"/>
      <c r="J6538" s="11"/>
      <c r="U6538" s="9"/>
      <c r="X6538" s="9"/>
    </row>
    <row r="6539">
      <c r="D6539" s="9"/>
      <c r="G6539" s="9"/>
      <c r="J6539" s="11"/>
      <c r="U6539" s="9"/>
      <c r="X6539" s="9"/>
    </row>
    <row r="6540">
      <c r="D6540" s="9"/>
      <c r="G6540" s="9"/>
      <c r="J6540" s="11"/>
      <c r="U6540" s="9"/>
      <c r="X6540" s="9"/>
    </row>
    <row r="6541">
      <c r="D6541" s="9"/>
      <c r="G6541" s="9"/>
      <c r="J6541" s="11"/>
      <c r="U6541" s="9"/>
      <c r="X6541" s="9"/>
    </row>
    <row r="6542">
      <c r="D6542" s="9"/>
      <c r="G6542" s="9"/>
      <c r="J6542" s="11"/>
      <c r="U6542" s="9"/>
      <c r="X6542" s="9"/>
    </row>
    <row r="6543">
      <c r="D6543" s="9"/>
      <c r="G6543" s="9"/>
      <c r="J6543" s="11"/>
      <c r="U6543" s="9"/>
      <c r="X6543" s="9"/>
    </row>
    <row r="6544">
      <c r="D6544" s="9"/>
      <c r="G6544" s="9"/>
      <c r="J6544" s="11"/>
      <c r="U6544" s="9"/>
      <c r="X6544" s="9"/>
    </row>
    <row r="6545">
      <c r="D6545" s="9"/>
      <c r="G6545" s="9"/>
      <c r="J6545" s="11"/>
      <c r="U6545" s="9"/>
      <c r="X6545" s="9"/>
    </row>
    <row r="6546">
      <c r="D6546" s="9"/>
      <c r="G6546" s="9"/>
      <c r="J6546" s="11"/>
      <c r="U6546" s="9"/>
      <c r="X6546" s="9"/>
    </row>
    <row r="6547">
      <c r="D6547" s="9"/>
      <c r="G6547" s="9"/>
      <c r="J6547" s="11"/>
      <c r="U6547" s="9"/>
      <c r="X6547" s="9"/>
    </row>
    <row r="6548">
      <c r="D6548" s="9"/>
      <c r="G6548" s="9"/>
      <c r="J6548" s="11"/>
      <c r="U6548" s="9"/>
      <c r="X6548" s="9"/>
    </row>
    <row r="6549">
      <c r="D6549" s="9"/>
      <c r="G6549" s="9"/>
      <c r="J6549" s="11"/>
      <c r="U6549" s="9"/>
      <c r="X6549" s="9"/>
    </row>
    <row r="6550">
      <c r="D6550" s="9"/>
      <c r="G6550" s="9"/>
      <c r="J6550" s="11"/>
      <c r="U6550" s="9"/>
      <c r="X6550" s="9"/>
    </row>
    <row r="6551">
      <c r="D6551" s="9"/>
      <c r="G6551" s="9"/>
      <c r="J6551" s="11"/>
      <c r="U6551" s="9"/>
      <c r="X6551" s="9"/>
    </row>
    <row r="6552">
      <c r="D6552" s="9"/>
      <c r="G6552" s="9"/>
      <c r="J6552" s="11"/>
      <c r="U6552" s="9"/>
      <c r="X6552" s="9"/>
    </row>
    <row r="6553">
      <c r="D6553" s="9"/>
      <c r="G6553" s="9"/>
      <c r="J6553" s="11"/>
      <c r="U6553" s="9"/>
      <c r="X6553" s="9"/>
    </row>
    <row r="6554">
      <c r="D6554" s="9"/>
      <c r="G6554" s="9"/>
      <c r="J6554" s="11"/>
      <c r="U6554" s="9"/>
      <c r="X6554" s="9"/>
    </row>
    <row r="6555">
      <c r="D6555" s="9"/>
      <c r="G6555" s="9"/>
      <c r="J6555" s="11"/>
      <c r="U6555" s="9"/>
      <c r="X6555" s="9"/>
    </row>
    <row r="6556">
      <c r="D6556" s="9"/>
      <c r="G6556" s="9"/>
      <c r="J6556" s="11"/>
      <c r="U6556" s="9"/>
      <c r="X6556" s="9"/>
    </row>
    <row r="6557">
      <c r="D6557" s="9"/>
      <c r="G6557" s="9"/>
      <c r="J6557" s="11"/>
      <c r="U6557" s="9"/>
      <c r="X6557" s="9"/>
    </row>
    <row r="6558">
      <c r="D6558" s="9"/>
      <c r="G6558" s="9"/>
      <c r="J6558" s="11"/>
      <c r="U6558" s="9"/>
      <c r="X6558" s="9"/>
    </row>
    <row r="6559">
      <c r="D6559" s="9"/>
      <c r="G6559" s="9"/>
      <c r="J6559" s="11"/>
      <c r="U6559" s="9"/>
      <c r="X6559" s="9"/>
    </row>
    <row r="6560">
      <c r="D6560" s="9"/>
      <c r="G6560" s="9"/>
      <c r="J6560" s="11"/>
      <c r="U6560" s="9"/>
      <c r="X6560" s="9"/>
    </row>
    <row r="6561">
      <c r="D6561" s="9"/>
      <c r="G6561" s="9"/>
      <c r="J6561" s="11"/>
      <c r="U6561" s="9"/>
      <c r="X6561" s="9"/>
    </row>
    <row r="6562">
      <c r="D6562" s="9"/>
      <c r="G6562" s="9"/>
      <c r="J6562" s="11"/>
      <c r="U6562" s="9"/>
      <c r="X6562" s="9"/>
    </row>
    <row r="6563">
      <c r="D6563" s="9"/>
      <c r="G6563" s="9"/>
      <c r="J6563" s="11"/>
      <c r="U6563" s="9"/>
      <c r="X6563" s="9"/>
    </row>
    <row r="6564">
      <c r="D6564" s="9"/>
      <c r="G6564" s="9"/>
      <c r="J6564" s="11"/>
      <c r="U6564" s="9"/>
      <c r="X6564" s="9"/>
    </row>
    <row r="6565">
      <c r="D6565" s="9"/>
      <c r="G6565" s="9"/>
      <c r="J6565" s="11"/>
      <c r="U6565" s="9"/>
      <c r="X6565" s="9"/>
    </row>
    <row r="6566">
      <c r="D6566" s="9"/>
      <c r="G6566" s="9"/>
      <c r="J6566" s="11"/>
      <c r="U6566" s="9"/>
      <c r="X6566" s="9"/>
    </row>
    <row r="6567">
      <c r="D6567" s="9"/>
      <c r="G6567" s="9"/>
      <c r="J6567" s="11"/>
      <c r="U6567" s="9"/>
      <c r="X6567" s="9"/>
    </row>
    <row r="6568">
      <c r="D6568" s="9"/>
      <c r="G6568" s="9"/>
      <c r="J6568" s="11"/>
      <c r="U6568" s="9"/>
      <c r="X6568" s="9"/>
    </row>
    <row r="6569">
      <c r="D6569" s="9"/>
      <c r="G6569" s="9"/>
      <c r="J6569" s="11"/>
      <c r="U6569" s="9"/>
      <c r="X6569" s="9"/>
    </row>
    <row r="6570">
      <c r="D6570" s="9"/>
      <c r="G6570" s="9"/>
      <c r="J6570" s="11"/>
      <c r="U6570" s="9"/>
      <c r="X6570" s="9"/>
    </row>
    <row r="6571">
      <c r="D6571" s="9"/>
      <c r="G6571" s="9"/>
      <c r="J6571" s="11"/>
      <c r="U6571" s="9"/>
      <c r="X6571" s="9"/>
    </row>
    <row r="6572">
      <c r="D6572" s="9"/>
      <c r="G6572" s="9"/>
      <c r="J6572" s="11"/>
      <c r="U6572" s="9"/>
      <c r="X6572" s="9"/>
    </row>
    <row r="6573">
      <c r="D6573" s="9"/>
      <c r="G6573" s="9"/>
      <c r="J6573" s="11"/>
      <c r="U6573" s="9"/>
      <c r="X6573" s="9"/>
    </row>
    <row r="6574">
      <c r="D6574" s="9"/>
      <c r="G6574" s="9"/>
      <c r="J6574" s="11"/>
      <c r="U6574" s="9"/>
      <c r="X6574" s="9"/>
    </row>
    <row r="6575">
      <c r="D6575" s="9"/>
      <c r="G6575" s="9"/>
      <c r="J6575" s="11"/>
      <c r="U6575" s="9"/>
      <c r="X6575" s="9"/>
    </row>
    <row r="6576">
      <c r="D6576" s="9"/>
      <c r="G6576" s="9"/>
      <c r="J6576" s="11"/>
      <c r="U6576" s="9"/>
      <c r="X6576" s="9"/>
    </row>
    <row r="6577">
      <c r="D6577" s="9"/>
      <c r="G6577" s="9"/>
      <c r="J6577" s="11"/>
      <c r="U6577" s="9"/>
      <c r="X6577" s="9"/>
    </row>
    <row r="6578">
      <c r="D6578" s="9"/>
      <c r="G6578" s="9"/>
      <c r="J6578" s="11"/>
      <c r="U6578" s="9"/>
      <c r="X6578" s="9"/>
    </row>
    <row r="6579">
      <c r="D6579" s="9"/>
      <c r="G6579" s="9"/>
      <c r="J6579" s="11"/>
      <c r="U6579" s="9"/>
      <c r="X6579" s="9"/>
    </row>
    <row r="6580">
      <c r="D6580" s="9"/>
      <c r="G6580" s="9"/>
      <c r="J6580" s="11"/>
      <c r="U6580" s="9"/>
      <c r="X6580" s="9"/>
    </row>
    <row r="6581">
      <c r="D6581" s="9"/>
      <c r="G6581" s="9"/>
      <c r="J6581" s="11"/>
      <c r="U6581" s="9"/>
      <c r="X6581" s="9"/>
    </row>
    <row r="6582">
      <c r="D6582" s="9"/>
      <c r="G6582" s="9"/>
      <c r="J6582" s="11"/>
      <c r="U6582" s="9"/>
      <c r="X6582" s="9"/>
    </row>
    <row r="6583">
      <c r="D6583" s="9"/>
      <c r="G6583" s="9"/>
      <c r="J6583" s="11"/>
      <c r="U6583" s="9"/>
      <c r="X6583" s="9"/>
    </row>
    <row r="6584">
      <c r="D6584" s="9"/>
      <c r="G6584" s="9"/>
      <c r="J6584" s="11"/>
      <c r="U6584" s="9"/>
      <c r="X6584" s="9"/>
    </row>
    <row r="6585">
      <c r="D6585" s="9"/>
      <c r="G6585" s="9"/>
      <c r="J6585" s="11"/>
      <c r="U6585" s="9"/>
      <c r="X6585" s="9"/>
    </row>
    <row r="6586">
      <c r="D6586" s="9"/>
      <c r="G6586" s="9"/>
      <c r="J6586" s="11"/>
      <c r="U6586" s="9"/>
      <c r="X6586" s="9"/>
    </row>
    <row r="6587">
      <c r="D6587" s="9"/>
      <c r="G6587" s="9"/>
      <c r="J6587" s="11"/>
      <c r="U6587" s="9"/>
      <c r="X6587" s="9"/>
    </row>
    <row r="6588">
      <c r="D6588" s="9"/>
      <c r="G6588" s="9"/>
      <c r="J6588" s="11"/>
      <c r="U6588" s="9"/>
      <c r="X6588" s="9"/>
    </row>
    <row r="6589">
      <c r="D6589" s="9"/>
      <c r="G6589" s="9"/>
      <c r="J6589" s="11"/>
      <c r="U6589" s="9"/>
      <c r="X6589" s="9"/>
    </row>
    <row r="6590">
      <c r="D6590" s="9"/>
      <c r="G6590" s="9"/>
      <c r="J6590" s="11"/>
      <c r="U6590" s="9"/>
      <c r="X6590" s="9"/>
    </row>
    <row r="6591">
      <c r="D6591" s="9"/>
      <c r="G6591" s="9"/>
      <c r="J6591" s="11"/>
      <c r="U6591" s="9"/>
      <c r="X6591" s="9"/>
    </row>
    <row r="6592">
      <c r="D6592" s="9"/>
      <c r="G6592" s="9"/>
      <c r="J6592" s="11"/>
      <c r="U6592" s="9"/>
      <c r="X6592" s="9"/>
    </row>
    <row r="6593">
      <c r="D6593" s="9"/>
      <c r="G6593" s="9"/>
      <c r="J6593" s="11"/>
      <c r="U6593" s="9"/>
      <c r="X6593" s="9"/>
    </row>
    <row r="6594">
      <c r="D6594" s="9"/>
      <c r="G6594" s="9"/>
      <c r="J6594" s="11"/>
      <c r="U6594" s="9"/>
      <c r="X6594" s="9"/>
    </row>
    <row r="6595">
      <c r="D6595" s="9"/>
      <c r="G6595" s="9"/>
      <c r="J6595" s="11"/>
      <c r="U6595" s="9"/>
      <c r="X6595" s="9"/>
    </row>
    <row r="6596">
      <c r="D6596" s="9"/>
      <c r="G6596" s="9"/>
      <c r="J6596" s="11"/>
      <c r="U6596" s="9"/>
      <c r="X6596" s="9"/>
    </row>
    <row r="6597">
      <c r="D6597" s="9"/>
      <c r="G6597" s="9"/>
      <c r="J6597" s="11"/>
      <c r="U6597" s="9"/>
      <c r="X6597" s="9"/>
    </row>
    <row r="6598">
      <c r="D6598" s="9"/>
      <c r="G6598" s="9"/>
      <c r="J6598" s="11"/>
      <c r="U6598" s="9"/>
      <c r="X6598" s="9"/>
    </row>
    <row r="6599">
      <c r="D6599" s="9"/>
      <c r="G6599" s="9"/>
      <c r="J6599" s="11"/>
      <c r="U6599" s="9"/>
      <c r="X6599" s="9"/>
    </row>
    <row r="6600">
      <c r="D6600" s="9"/>
      <c r="G6600" s="9"/>
      <c r="J6600" s="11"/>
      <c r="U6600" s="9"/>
      <c r="X6600" s="9"/>
    </row>
    <row r="6601">
      <c r="D6601" s="9"/>
      <c r="G6601" s="9"/>
      <c r="J6601" s="11"/>
      <c r="U6601" s="9"/>
      <c r="X6601" s="9"/>
    </row>
    <row r="6602">
      <c r="D6602" s="9"/>
      <c r="G6602" s="9"/>
      <c r="J6602" s="11"/>
      <c r="U6602" s="9"/>
      <c r="X6602" s="9"/>
    </row>
    <row r="6603">
      <c r="D6603" s="9"/>
      <c r="G6603" s="9"/>
      <c r="J6603" s="11"/>
      <c r="U6603" s="9"/>
      <c r="X6603" s="9"/>
    </row>
    <row r="6604">
      <c r="D6604" s="9"/>
      <c r="G6604" s="9"/>
      <c r="J6604" s="11"/>
      <c r="U6604" s="9"/>
      <c r="X6604" s="9"/>
    </row>
    <row r="6605">
      <c r="D6605" s="9"/>
      <c r="G6605" s="9"/>
      <c r="J6605" s="11"/>
      <c r="U6605" s="9"/>
      <c r="X6605" s="9"/>
    </row>
    <row r="6606">
      <c r="D6606" s="9"/>
      <c r="G6606" s="9"/>
      <c r="J6606" s="11"/>
      <c r="U6606" s="9"/>
      <c r="X6606" s="9"/>
    </row>
    <row r="6607">
      <c r="D6607" s="9"/>
      <c r="G6607" s="9"/>
      <c r="J6607" s="11"/>
      <c r="U6607" s="9"/>
      <c r="X6607" s="9"/>
    </row>
    <row r="6608">
      <c r="D6608" s="9"/>
      <c r="G6608" s="9"/>
      <c r="J6608" s="11"/>
      <c r="U6608" s="9"/>
      <c r="X6608" s="9"/>
    </row>
    <row r="6609">
      <c r="D6609" s="9"/>
      <c r="G6609" s="9"/>
      <c r="J6609" s="11"/>
      <c r="U6609" s="9"/>
      <c r="X6609" s="9"/>
    </row>
    <row r="6610">
      <c r="D6610" s="9"/>
      <c r="G6610" s="9"/>
      <c r="J6610" s="11"/>
      <c r="U6610" s="9"/>
      <c r="X6610" s="9"/>
    </row>
    <row r="6611">
      <c r="D6611" s="9"/>
      <c r="G6611" s="9"/>
      <c r="J6611" s="11"/>
      <c r="U6611" s="9"/>
      <c r="X6611" s="9"/>
    </row>
    <row r="6612">
      <c r="D6612" s="9"/>
      <c r="G6612" s="9"/>
      <c r="J6612" s="11"/>
      <c r="U6612" s="9"/>
      <c r="X6612" s="9"/>
    </row>
    <row r="6613">
      <c r="D6613" s="9"/>
      <c r="G6613" s="9"/>
      <c r="J6613" s="11"/>
      <c r="U6613" s="9"/>
      <c r="X6613" s="9"/>
    </row>
    <row r="6614">
      <c r="D6614" s="9"/>
      <c r="G6614" s="9"/>
      <c r="J6614" s="11"/>
      <c r="U6614" s="9"/>
      <c r="X6614" s="9"/>
    </row>
    <row r="6615">
      <c r="D6615" s="9"/>
      <c r="G6615" s="9"/>
      <c r="J6615" s="11"/>
      <c r="U6615" s="9"/>
      <c r="X6615" s="9"/>
    </row>
    <row r="6616">
      <c r="D6616" s="9"/>
      <c r="G6616" s="9"/>
      <c r="J6616" s="11"/>
      <c r="U6616" s="9"/>
      <c r="X6616" s="9"/>
    </row>
    <row r="6617">
      <c r="D6617" s="9"/>
      <c r="G6617" s="9"/>
      <c r="J6617" s="11"/>
      <c r="U6617" s="9"/>
      <c r="X6617" s="9"/>
    </row>
    <row r="6618">
      <c r="D6618" s="9"/>
      <c r="G6618" s="9"/>
      <c r="J6618" s="11"/>
      <c r="U6618" s="9"/>
      <c r="X6618" s="9"/>
    </row>
    <row r="6619">
      <c r="D6619" s="9"/>
      <c r="G6619" s="9"/>
      <c r="J6619" s="11"/>
      <c r="U6619" s="9"/>
      <c r="X6619" s="9"/>
    </row>
    <row r="6620">
      <c r="D6620" s="9"/>
      <c r="G6620" s="9"/>
      <c r="J6620" s="11"/>
      <c r="U6620" s="9"/>
      <c r="X6620" s="9"/>
    </row>
    <row r="6621">
      <c r="D6621" s="9"/>
      <c r="G6621" s="9"/>
      <c r="J6621" s="11"/>
      <c r="U6621" s="9"/>
      <c r="X6621" s="9"/>
    </row>
    <row r="6622">
      <c r="D6622" s="9"/>
      <c r="G6622" s="9"/>
      <c r="J6622" s="11"/>
      <c r="U6622" s="9"/>
      <c r="X6622" s="9"/>
    </row>
    <row r="6623">
      <c r="D6623" s="9"/>
      <c r="G6623" s="9"/>
      <c r="J6623" s="11"/>
      <c r="U6623" s="9"/>
      <c r="X6623" s="9"/>
    </row>
    <row r="6624">
      <c r="D6624" s="9"/>
      <c r="G6624" s="9"/>
      <c r="J6624" s="11"/>
      <c r="U6624" s="9"/>
      <c r="X6624" s="9"/>
    </row>
    <row r="6625">
      <c r="D6625" s="9"/>
      <c r="G6625" s="9"/>
      <c r="J6625" s="11"/>
      <c r="U6625" s="9"/>
      <c r="X6625" s="9"/>
    </row>
    <row r="6626">
      <c r="D6626" s="9"/>
      <c r="G6626" s="9"/>
      <c r="J6626" s="11"/>
      <c r="U6626" s="9"/>
      <c r="X6626" s="9"/>
    </row>
    <row r="6627">
      <c r="D6627" s="9"/>
      <c r="G6627" s="9"/>
      <c r="J6627" s="11"/>
      <c r="U6627" s="9"/>
      <c r="X6627" s="9"/>
    </row>
    <row r="6628">
      <c r="D6628" s="9"/>
      <c r="G6628" s="9"/>
      <c r="J6628" s="11"/>
      <c r="U6628" s="9"/>
      <c r="X6628" s="9"/>
    </row>
    <row r="6629">
      <c r="D6629" s="9"/>
      <c r="G6629" s="9"/>
      <c r="J6629" s="11"/>
      <c r="U6629" s="9"/>
      <c r="X6629" s="9"/>
    </row>
    <row r="6630">
      <c r="D6630" s="9"/>
      <c r="G6630" s="9"/>
      <c r="J6630" s="11"/>
      <c r="U6630" s="9"/>
      <c r="X6630" s="9"/>
    </row>
    <row r="6631">
      <c r="D6631" s="9"/>
      <c r="G6631" s="9"/>
      <c r="J6631" s="11"/>
      <c r="U6631" s="9"/>
      <c r="X6631" s="9"/>
    </row>
    <row r="6632">
      <c r="D6632" s="9"/>
      <c r="G6632" s="9"/>
      <c r="J6632" s="11"/>
      <c r="U6632" s="9"/>
      <c r="X6632" s="9"/>
    </row>
    <row r="6633">
      <c r="D6633" s="9"/>
      <c r="G6633" s="9"/>
      <c r="J6633" s="11"/>
      <c r="U6633" s="9"/>
      <c r="X6633" s="9"/>
    </row>
    <row r="6634">
      <c r="D6634" s="9"/>
      <c r="G6634" s="9"/>
      <c r="J6634" s="11"/>
      <c r="U6634" s="9"/>
      <c r="X6634" s="9"/>
    </row>
    <row r="6635">
      <c r="D6635" s="9"/>
      <c r="G6635" s="9"/>
      <c r="J6635" s="11"/>
      <c r="U6635" s="9"/>
      <c r="X6635" s="9"/>
    </row>
    <row r="6636">
      <c r="D6636" s="9"/>
      <c r="G6636" s="9"/>
      <c r="J6636" s="11"/>
      <c r="U6636" s="9"/>
      <c r="X6636" s="9"/>
    </row>
    <row r="6637">
      <c r="D6637" s="9"/>
      <c r="G6637" s="9"/>
      <c r="J6637" s="11"/>
      <c r="U6637" s="9"/>
      <c r="X6637" s="9"/>
    </row>
    <row r="6638">
      <c r="D6638" s="9"/>
      <c r="G6638" s="9"/>
      <c r="J6638" s="11"/>
      <c r="U6638" s="9"/>
      <c r="X6638" s="9"/>
    </row>
    <row r="6639">
      <c r="D6639" s="9"/>
      <c r="G6639" s="9"/>
      <c r="J6639" s="11"/>
      <c r="U6639" s="9"/>
      <c r="X6639" s="9"/>
    </row>
    <row r="6640">
      <c r="D6640" s="9"/>
      <c r="G6640" s="9"/>
      <c r="J6640" s="11"/>
      <c r="U6640" s="9"/>
      <c r="X6640" s="9"/>
    </row>
    <row r="6641">
      <c r="D6641" s="9"/>
      <c r="G6641" s="9"/>
      <c r="J6641" s="11"/>
      <c r="U6641" s="9"/>
      <c r="X6641" s="9"/>
    </row>
    <row r="6642">
      <c r="D6642" s="9"/>
      <c r="G6642" s="9"/>
      <c r="J6642" s="11"/>
      <c r="U6642" s="9"/>
      <c r="X6642" s="9"/>
    </row>
    <row r="6643">
      <c r="D6643" s="9"/>
      <c r="G6643" s="9"/>
      <c r="J6643" s="11"/>
      <c r="U6643" s="9"/>
      <c r="X6643" s="9"/>
    </row>
    <row r="6644">
      <c r="D6644" s="9"/>
      <c r="G6644" s="9"/>
      <c r="J6644" s="11"/>
      <c r="U6644" s="9"/>
      <c r="X6644" s="9"/>
    </row>
    <row r="6645">
      <c r="D6645" s="9"/>
      <c r="G6645" s="9"/>
      <c r="J6645" s="11"/>
      <c r="U6645" s="9"/>
      <c r="X6645" s="9"/>
    </row>
    <row r="6646">
      <c r="D6646" s="9"/>
      <c r="G6646" s="9"/>
      <c r="J6646" s="11"/>
      <c r="U6646" s="9"/>
      <c r="X6646" s="9"/>
    </row>
    <row r="6647">
      <c r="D6647" s="9"/>
      <c r="G6647" s="9"/>
      <c r="J6647" s="11"/>
      <c r="U6647" s="9"/>
      <c r="X6647" s="9"/>
    </row>
    <row r="6648">
      <c r="D6648" s="9"/>
      <c r="G6648" s="9"/>
      <c r="J6648" s="11"/>
      <c r="U6648" s="9"/>
      <c r="X6648" s="9"/>
    </row>
    <row r="6649">
      <c r="D6649" s="9"/>
      <c r="G6649" s="9"/>
      <c r="J6649" s="11"/>
      <c r="U6649" s="9"/>
      <c r="X6649" s="9"/>
    </row>
    <row r="6650">
      <c r="D6650" s="9"/>
      <c r="G6650" s="9"/>
      <c r="J6650" s="11"/>
      <c r="U6650" s="9"/>
      <c r="X6650" s="9"/>
    </row>
    <row r="6651">
      <c r="D6651" s="9"/>
      <c r="G6651" s="9"/>
      <c r="J6651" s="11"/>
      <c r="U6651" s="9"/>
      <c r="X6651" s="9"/>
    </row>
    <row r="6652">
      <c r="D6652" s="9"/>
      <c r="G6652" s="9"/>
      <c r="J6652" s="11"/>
      <c r="U6652" s="9"/>
      <c r="X6652" s="9"/>
    </row>
    <row r="6653">
      <c r="D6653" s="9"/>
      <c r="G6653" s="9"/>
      <c r="J6653" s="11"/>
      <c r="U6653" s="9"/>
      <c r="X6653" s="9"/>
    </row>
    <row r="6654">
      <c r="D6654" s="9"/>
      <c r="G6654" s="9"/>
      <c r="J6654" s="11"/>
      <c r="U6654" s="9"/>
      <c r="X6654" s="9"/>
    </row>
    <row r="6655">
      <c r="D6655" s="9"/>
      <c r="G6655" s="9"/>
      <c r="J6655" s="11"/>
      <c r="U6655" s="9"/>
      <c r="X6655" s="9"/>
    </row>
    <row r="6656">
      <c r="D6656" s="9"/>
      <c r="G6656" s="9"/>
      <c r="J6656" s="11"/>
      <c r="U6656" s="9"/>
      <c r="X6656" s="9"/>
    </row>
    <row r="6657">
      <c r="D6657" s="9"/>
      <c r="G6657" s="9"/>
      <c r="J6657" s="11"/>
      <c r="U6657" s="9"/>
      <c r="X6657" s="9"/>
    </row>
    <row r="6658">
      <c r="D6658" s="9"/>
      <c r="G6658" s="9"/>
      <c r="J6658" s="11"/>
      <c r="U6658" s="9"/>
      <c r="X6658" s="9"/>
    </row>
    <row r="6659">
      <c r="D6659" s="9"/>
      <c r="G6659" s="9"/>
      <c r="J6659" s="11"/>
      <c r="U6659" s="9"/>
      <c r="X6659" s="9"/>
    </row>
    <row r="6660">
      <c r="D6660" s="9"/>
      <c r="G6660" s="9"/>
      <c r="J6660" s="11"/>
      <c r="U6660" s="9"/>
      <c r="X6660" s="9"/>
    </row>
    <row r="6661">
      <c r="D6661" s="9"/>
      <c r="G6661" s="9"/>
      <c r="J6661" s="11"/>
      <c r="U6661" s="9"/>
      <c r="X6661" s="9"/>
    </row>
    <row r="6662">
      <c r="D6662" s="9"/>
      <c r="G6662" s="9"/>
      <c r="J6662" s="11"/>
      <c r="U6662" s="9"/>
      <c r="X6662" s="9"/>
    </row>
    <row r="6663">
      <c r="D6663" s="9"/>
      <c r="G6663" s="9"/>
      <c r="J6663" s="11"/>
      <c r="U6663" s="9"/>
      <c r="X6663" s="9"/>
    </row>
    <row r="6664">
      <c r="D6664" s="9"/>
      <c r="G6664" s="9"/>
      <c r="J6664" s="11"/>
      <c r="U6664" s="9"/>
      <c r="X6664" s="9"/>
    </row>
    <row r="6665">
      <c r="D6665" s="9"/>
      <c r="G6665" s="9"/>
      <c r="J6665" s="11"/>
      <c r="U6665" s="9"/>
      <c r="X6665" s="9"/>
    </row>
    <row r="6666">
      <c r="D6666" s="9"/>
      <c r="G6666" s="9"/>
      <c r="J6666" s="11"/>
      <c r="U6666" s="9"/>
      <c r="X6666" s="9"/>
    </row>
    <row r="6667">
      <c r="D6667" s="9"/>
      <c r="G6667" s="9"/>
      <c r="J6667" s="11"/>
      <c r="U6667" s="9"/>
      <c r="X6667" s="9"/>
    </row>
    <row r="6668">
      <c r="D6668" s="9"/>
      <c r="G6668" s="9"/>
      <c r="J6668" s="11"/>
      <c r="U6668" s="9"/>
      <c r="X6668" s="9"/>
    </row>
    <row r="6669">
      <c r="D6669" s="9"/>
      <c r="G6669" s="9"/>
      <c r="J6669" s="11"/>
      <c r="U6669" s="9"/>
      <c r="X6669" s="9"/>
    </row>
    <row r="6670">
      <c r="D6670" s="9"/>
      <c r="G6670" s="9"/>
      <c r="J6670" s="11"/>
      <c r="U6670" s="9"/>
      <c r="X6670" s="9"/>
    </row>
    <row r="6671">
      <c r="D6671" s="9"/>
      <c r="G6671" s="9"/>
      <c r="J6671" s="11"/>
      <c r="U6671" s="9"/>
      <c r="X6671" s="9"/>
    </row>
    <row r="6672">
      <c r="D6672" s="9"/>
      <c r="G6672" s="9"/>
      <c r="J6672" s="11"/>
      <c r="U6672" s="9"/>
      <c r="X6672" s="9"/>
    </row>
    <row r="6673">
      <c r="D6673" s="9"/>
      <c r="G6673" s="9"/>
      <c r="J6673" s="11"/>
      <c r="U6673" s="9"/>
      <c r="X6673" s="9"/>
    </row>
    <row r="6674">
      <c r="D6674" s="9"/>
      <c r="G6674" s="9"/>
      <c r="J6674" s="11"/>
      <c r="U6674" s="9"/>
      <c r="X6674" s="9"/>
    </row>
    <row r="6675">
      <c r="D6675" s="9"/>
      <c r="G6675" s="9"/>
      <c r="J6675" s="11"/>
      <c r="U6675" s="9"/>
      <c r="X6675" s="9"/>
    </row>
    <row r="6676">
      <c r="D6676" s="9"/>
      <c r="G6676" s="9"/>
      <c r="J6676" s="11"/>
      <c r="U6676" s="9"/>
      <c r="X6676" s="9"/>
    </row>
    <row r="6677">
      <c r="D6677" s="9"/>
      <c r="G6677" s="9"/>
      <c r="J6677" s="11"/>
      <c r="U6677" s="9"/>
      <c r="X6677" s="9"/>
    </row>
    <row r="6678">
      <c r="D6678" s="9"/>
      <c r="G6678" s="9"/>
      <c r="J6678" s="11"/>
      <c r="U6678" s="9"/>
      <c r="X6678" s="9"/>
    </row>
    <row r="6679">
      <c r="D6679" s="9"/>
      <c r="G6679" s="9"/>
      <c r="J6679" s="11"/>
      <c r="U6679" s="9"/>
      <c r="X6679" s="9"/>
    </row>
    <row r="6680">
      <c r="D6680" s="9"/>
      <c r="G6680" s="9"/>
      <c r="J6680" s="11"/>
      <c r="U6680" s="9"/>
      <c r="X6680" s="9"/>
    </row>
    <row r="6681">
      <c r="D6681" s="9"/>
      <c r="G6681" s="9"/>
      <c r="J6681" s="11"/>
      <c r="U6681" s="9"/>
      <c r="X6681" s="9"/>
    </row>
    <row r="6682">
      <c r="D6682" s="9"/>
      <c r="G6682" s="9"/>
      <c r="J6682" s="11"/>
      <c r="U6682" s="9"/>
      <c r="X6682" s="9"/>
    </row>
    <row r="6683">
      <c r="D6683" s="9"/>
      <c r="G6683" s="9"/>
      <c r="J6683" s="11"/>
      <c r="U6683" s="9"/>
      <c r="X6683" s="9"/>
    </row>
    <row r="6684">
      <c r="D6684" s="9"/>
      <c r="G6684" s="9"/>
      <c r="J6684" s="11"/>
      <c r="U6684" s="9"/>
      <c r="X6684" s="9"/>
    </row>
    <row r="6685">
      <c r="D6685" s="9"/>
      <c r="G6685" s="9"/>
      <c r="J6685" s="11"/>
      <c r="U6685" s="9"/>
      <c r="X6685" s="9"/>
    </row>
    <row r="6686">
      <c r="D6686" s="9"/>
      <c r="G6686" s="9"/>
      <c r="J6686" s="11"/>
      <c r="U6686" s="9"/>
      <c r="X6686" s="9"/>
    </row>
    <row r="6687">
      <c r="D6687" s="9"/>
      <c r="G6687" s="9"/>
      <c r="J6687" s="11"/>
      <c r="U6687" s="9"/>
      <c r="X6687" s="9"/>
    </row>
    <row r="6688">
      <c r="D6688" s="9"/>
      <c r="G6688" s="9"/>
      <c r="J6688" s="11"/>
      <c r="U6688" s="9"/>
      <c r="X6688" s="9"/>
    </row>
    <row r="6689">
      <c r="D6689" s="9"/>
      <c r="G6689" s="9"/>
      <c r="J6689" s="11"/>
      <c r="U6689" s="9"/>
      <c r="X6689" s="9"/>
    </row>
    <row r="6690">
      <c r="D6690" s="9"/>
      <c r="G6690" s="9"/>
      <c r="J6690" s="11"/>
      <c r="U6690" s="9"/>
      <c r="X6690" s="9"/>
    </row>
    <row r="6691">
      <c r="D6691" s="9"/>
      <c r="G6691" s="9"/>
      <c r="J6691" s="11"/>
      <c r="U6691" s="9"/>
      <c r="X6691" s="9"/>
    </row>
    <row r="6692">
      <c r="D6692" s="9"/>
      <c r="G6692" s="9"/>
      <c r="J6692" s="11"/>
      <c r="U6692" s="9"/>
      <c r="X6692" s="9"/>
    </row>
    <row r="6693">
      <c r="D6693" s="9"/>
      <c r="G6693" s="9"/>
      <c r="J6693" s="11"/>
      <c r="U6693" s="9"/>
      <c r="X6693" s="9"/>
    </row>
    <row r="6694">
      <c r="D6694" s="9"/>
      <c r="G6694" s="9"/>
      <c r="J6694" s="11"/>
      <c r="U6694" s="9"/>
      <c r="X6694" s="9"/>
    </row>
    <row r="6695">
      <c r="D6695" s="9"/>
      <c r="G6695" s="9"/>
      <c r="J6695" s="11"/>
      <c r="U6695" s="9"/>
      <c r="X6695" s="9"/>
    </row>
    <row r="6696">
      <c r="D6696" s="9"/>
      <c r="G6696" s="9"/>
      <c r="J6696" s="11"/>
      <c r="U6696" s="9"/>
      <c r="X6696" s="9"/>
    </row>
    <row r="6697">
      <c r="D6697" s="9"/>
      <c r="G6697" s="9"/>
      <c r="J6697" s="11"/>
      <c r="U6697" s="9"/>
      <c r="X6697" s="9"/>
    </row>
    <row r="6698">
      <c r="D6698" s="9"/>
      <c r="G6698" s="9"/>
      <c r="J6698" s="11"/>
      <c r="U6698" s="9"/>
      <c r="X6698" s="9"/>
    </row>
    <row r="6699">
      <c r="D6699" s="9"/>
      <c r="G6699" s="9"/>
      <c r="J6699" s="11"/>
      <c r="U6699" s="9"/>
      <c r="X6699" s="9"/>
    </row>
    <row r="6700">
      <c r="D6700" s="9"/>
      <c r="G6700" s="9"/>
      <c r="J6700" s="11"/>
      <c r="U6700" s="9"/>
      <c r="X6700" s="9"/>
    </row>
    <row r="6701">
      <c r="D6701" s="9"/>
      <c r="G6701" s="9"/>
      <c r="J6701" s="11"/>
      <c r="U6701" s="9"/>
      <c r="X6701" s="9"/>
    </row>
    <row r="6702">
      <c r="D6702" s="9"/>
      <c r="G6702" s="9"/>
      <c r="J6702" s="11"/>
      <c r="U6702" s="9"/>
      <c r="X6702" s="9"/>
    </row>
    <row r="6703">
      <c r="D6703" s="9"/>
      <c r="G6703" s="9"/>
      <c r="J6703" s="11"/>
      <c r="U6703" s="9"/>
      <c r="X6703" s="9"/>
    </row>
    <row r="6704">
      <c r="D6704" s="9"/>
      <c r="G6704" s="9"/>
      <c r="J6704" s="11"/>
      <c r="U6704" s="9"/>
      <c r="X6704" s="9"/>
    </row>
    <row r="6705">
      <c r="D6705" s="9"/>
      <c r="G6705" s="9"/>
      <c r="J6705" s="11"/>
      <c r="U6705" s="9"/>
      <c r="X6705" s="9"/>
    </row>
    <row r="6706">
      <c r="D6706" s="9"/>
      <c r="G6706" s="9"/>
      <c r="J6706" s="11"/>
      <c r="U6706" s="9"/>
      <c r="X6706" s="9"/>
    </row>
    <row r="6707">
      <c r="D6707" s="9"/>
      <c r="G6707" s="9"/>
      <c r="J6707" s="11"/>
      <c r="U6707" s="9"/>
      <c r="X6707" s="9"/>
    </row>
    <row r="6708">
      <c r="D6708" s="9"/>
      <c r="G6708" s="9"/>
      <c r="J6708" s="11"/>
      <c r="U6708" s="9"/>
      <c r="X6708" s="9"/>
    </row>
    <row r="6709">
      <c r="D6709" s="9"/>
      <c r="G6709" s="9"/>
      <c r="J6709" s="11"/>
      <c r="U6709" s="9"/>
      <c r="X6709" s="9"/>
    </row>
    <row r="6710">
      <c r="D6710" s="9"/>
      <c r="G6710" s="9"/>
      <c r="J6710" s="11"/>
      <c r="U6710" s="9"/>
      <c r="X6710" s="9"/>
    </row>
    <row r="6711">
      <c r="D6711" s="9"/>
      <c r="G6711" s="9"/>
      <c r="J6711" s="11"/>
      <c r="U6711" s="9"/>
      <c r="X6711" s="9"/>
    </row>
    <row r="6712">
      <c r="D6712" s="9"/>
      <c r="G6712" s="9"/>
      <c r="J6712" s="11"/>
      <c r="U6712" s="9"/>
      <c r="X6712" s="9"/>
    </row>
    <row r="6713">
      <c r="D6713" s="9"/>
      <c r="G6713" s="9"/>
      <c r="J6713" s="11"/>
      <c r="U6713" s="9"/>
      <c r="X6713" s="9"/>
    </row>
    <row r="6714">
      <c r="D6714" s="9"/>
      <c r="G6714" s="9"/>
      <c r="J6714" s="11"/>
      <c r="U6714" s="9"/>
      <c r="X6714" s="9"/>
    </row>
    <row r="6715">
      <c r="D6715" s="9"/>
      <c r="G6715" s="9"/>
      <c r="J6715" s="11"/>
      <c r="U6715" s="9"/>
      <c r="X6715" s="9"/>
    </row>
    <row r="6716">
      <c r="D6716" s="9"/>
      <c r="G6716" s="9"/>
      <c r="J6716" s="11"/>
      <c r="U6716" s="9"/>
      <c r="X6716" s="9"/>
    </row>
    <row r="6717">
      <c r="D6717" s="9"/>
      <c r="G6717" s="9"/>
      <c r="J6717" s="11"/>
      <c r="U6717" s="9"/>
      <c r="X6717" s="9"/>
    </row>
    <row r="6718">
      <c r="D6718" s="9"/>
      <c r="G6718" s="9"/>
      <c r="J6718" s="11"/>
      <c r="U6718" s="9"/>
      <c r="X6718" s="9"/>
    </row>
    <row r="6719">
      <c r="D6719" s="9"/>
      <c r="G6719" s="9"/>
      <c r="J6719" s="11"/>
      <c r="U6719" s="9"/>
      <c r="X6719" s="9"/>
    </row>
    <row r="6720">
      <c r="D6720" s="9"/>
      <c r="G6720" s="9"/>
      <c r="J6720" s="11"/>
      <c r="U6720" s="9"/>
      <c r="X6720" s="9"/>
    </row>
    <row r="6721">
      <c r="D6721" s="9"/>
      <c r="G6721" s="9"/>
      <c r="J6721" s="11"/>
      <c r="U6721" s="9"/>
      <c r="X6721" s="9"/>
    </row>
    <row r="6722">
      <c r="D6722" s="9"/>
      <c r="G6722" s="9"/>
      <c r="J6722" s="11"/>
      <c r="U6722" s="9"/>
      <c r="X6722" s="9"/>
    </row>
    <row r="6723">
      <c r="D6723" s="9"/>
      <c r="G6723" s="9"/>
      <c r="J6723" s="11"/>
      <c r="U6723" s="9"/>
      <c r="X6723" s="9"/>
    </row>
    <row r="6724">
      <c r="D6724" s="9"/>
      <c r="G6724" s="9"/>
      <c r="J6724" s="11"/>
      <c r="U6724" s="9"/>
      <c r="X6724" s="9"/>
    </row>
    <row r="6725">
      <c r="D6725" s="9"/>
      <c r="G6725" s="9"/>
      <c r="J6725" s="11"/>
      <c r="U6725" s="9"/>
      <c r="X6725" s="9"/>
    </row>
    <row r="6726">
      <c r="D6726" s="9"/>
      <c r="G6726" s="9"/>
      <c r="J6726" s="11"/>
      <c r="U6726" s="9"/>
      <c r="X6726" s="9"/>
    </row>
    <row r="6727">
      <c r="D6727" s="9"/>
      <c r="G6727" s="9"/>
      <c r="J6727" s="11"/>
      <c r="U6727" s="9"/>
      <c r="X6727" s="9"/>
    </row>
    <row r="6728">
      <c r="D6728" s="9"/>
      <c r="G6728" s="9"/>
      <c r="J6728" s="11"/>
      <c r="U6728" s="9"/>
      <c r="X6728" s="9"/>
    </row>
    <row r="6729">
      <c r="D6729" s="9"/>
      <c r="G6729" s="9"/>
      <c r="J6729" s="11"/>
      <c r="U6729" s="9"/>
      <c r="X6729" s="9"/>
    </row>
    <row r="6730">
      <c r="D6730" s="9"/>
      <c r="G6730" s="9"/>
      <c r="J6730" s="11"/>
      <c r="U6730" s="9"/>
      <c r="X6730" s="9"/>
    </row>
    <row r="6731">
      <c r="D6731" s="9"/>
      <c r="G6731" s="9"/>
      <c r="J6731" s="11"/>
      <c r="U6731" s="9"/>
      <c r="X6731" s="9"/>
    </row>
    <row r="6732">
      <c r="D6732" s="9"/>
      <c r="G6732" s="9"/>
      <c r="J6732" s="11"/>
      <c r="U6732" s="9"/>
      <c r="X6732" s="9"/>
    </row>
    <row r="6733">
      <c r="D6733" s="9"/>
      <c r="G6733" s="9"/>
      <c r="J6733" s="11"/>
      <c r="U6733" s="9"/>
      <c r="X6733" s="9"/>
    </row>
    <row r="6734">
      <c r="D6734" s="9"/>
      <c r="G6734" s="9"/>
      <c r="J6734" s="11"/>
      <c r="U6734" s="9"/>
      <c r="X6734" s="9"/>
    </row>
    <row r="6735">
      <c r="D6735" s="9"/>
      <c r="G6735" s="9"/>
      <c r="J6735" s="11"/>
      <c r="U6735" s="9"/>
      <c r="X6735" s="9"/>
    </row>
    <row r="6736">
      <c r="D6736" s="9"/>
      <c r="G6736" s="9"/>
      <c r="J6736" s="11"/>
      <c r="U6736" s="9"/>
      <c r="X6736" s="9"/>
    </row>
    <row r="6737">
      <c r="D6737" s="9"/>
      <c r="G6737" s="9"/>
      <c r="J6737" s="11"/>
      <c r="U6737" s="9"/>
      <c r="X6737" s="9"/>
    </row>
    <row r="6738">
      <c r="D6738" s="9"/>
      <c r="G6738" s="9"/>
      <c r="J6738" s="11"/>
      <c r="U6738" s="9"/>
      <c r="X6738" s="9"/>
    </row>
    <row r="6739">
      <c r="D6739" s="9"/>
      <c r="G6739" s="9"/>
      <c r="J6739" s="11"/>
      <c r="U6739" s="9"/>
      <c r="X6739" s="9"/>
    </row>
    <row r="6740">
      <c r="D6740" s="9"/>
      <c r="G6740" s="9"/>
      <c r="J6740" s="11"/>
      <c r="U6740" s="9"/>
      <c r="X6740" s="9"/>
    </row>
    <row r="6741">
      <c r="D6741" s="9"/>
      <c r="G6741" s="9"/>
      <c r="J6741" s="11"/>
      <c r="U6741" s="9"/>
      <c r="X6741" s="9"/>
    </row>
    <row r="6742">
      <c r="D6742" s="9"/>
      <c r="G6742" s="9"/>
      <c r="J6742" s="11"/>
      <c r="U6742" s="9"/>
      <c r="X6742" s="9"/>
    </row>
    <row r="6743">
      <c r="D6743" s="9"/>
      <c r="G6743" s="9"/>
      <c r="J6743" s="11"/>
      <c r="U6743" s="9"/>
      <c r="X6743" s="9"/>
    </row>
    <row r="6744">
      <c r="D6744" s="9"/>
      <c r="G6744" s="9"/>
      <c r="J6744" s="11"/>
      <c r="U6744" s="9"/>
      <c r="X6744" s="9"/>
    </row>
    <row r="6745">
      <c r="D6745" s="9"/>
      <c r="G6745" s="9"/>
      <c r="J6745" s="11"/>
      <c r="U6745" s="9"/>
      <c r="X6745" s="9"/>
    </row>
    <row r="6746">
      <c r="D6746" s="9"/>
      <c r="G6746" s="9"/>
      <c r="J6746" s="11"/>
      <c r="U6746" s="9"/>
      <c r="X6746" s="9"/>
    </row>
    <row r="6747">
      <c r="D6747" s="9"/>
      <c r="G6747" s="9"/>
      <c r="J6747" s="11"/>
      <c r="U6747" s="9"/>
      <c r="X6747" s="9"/>
    </row>
    <row r="6748">
      <c r="D6748" s="9"/>
      <c r="G6748" s="9"/>
      <c r="J6748" s="11"/>
      <c r="U6748" s="9"/>
      <c r="X6748" s="9"/>
    </row>
    <row r="6749">
      <c r="D6749" s="9"/>
      <c r="G6749" s="9"/>
      <c r="J6749" s="11"/>
      <c r="U6749" s="9"/>
      <c r="X6749" s="9"/>
    </row>
    <row r="6750">
      <c r="D6750" s="9"/>
      <c r="G6750" s="9"/>
      <c r="J6750" s="11"/>
      <c r="U6750" s="9"/>
      <c r="X6750" s="9"/>
    </row>
    <row r="6751">
      <c r="D6751" s="9"/>
      <c r="G6751" s="9"/>
      <c r="J6751" s="11"/>
      <c r="U6751" s="9"/>
      <c r="X6751" s="9"/>
    </row>
    <row r="6752">
      <c r="D6752" s="9"/>
      <c r="G6752" s="9"/>
      <c r="J6752" s="11"/>
      <c r="U6752" s="9"/>
      <c r="X6752" s="9"/>
    </row>
    <row r="6753">
      <c r="D6753" s="9"/>
      <c r="G6753" s="9"/>
      <c r="J6753" s="11"/>
      <c r="U6753" s="9"/>
      <c r="X6753" s="9"/>
    </row>
    <row r="6754">
      <c r="D6754" s="9"/>
      <c r="G6754" s="9"/>
      <c r="J6754" s="11"/>
      <c r="U6754" s="9"/>
      <c r="X6754" s="9"/>
    </row>
    <row r="6755">
      <c r="D6755" s="9"/>
      <c r="G6755" s="9"/>
      <c r="J6755" s="11"/>
      <c r="U6755" s="9"/>
      <c r="X6755" s="9"/>
    </row>
    <row r="6756">
      <c r="D6756" s="9"/>
      <c r="G6756" s="9"/>
      <c r="J6756" s="11"/>
      <c r="U6756" s="9"/>
      <c r="X6756" s="9"/>
    </row>
    <row r="6757">
      <c r="D6757" s="9"/>
      <c r="G6757" s="9"/>
      <c r="J6757" s="11"/>
      <c r="U6757" s="9"/>
      <c r="X6757" s="9"/>
    </row>
    <row r="6758">
      <c r="D6758" s="9"/>
      <c r="G6758" s="9"/>
      <c r="J6758" s="11"/>
      <c r="U6758" s="9"/>
      <c r="X6758" s="9"/>
    </row>
    <row r="6759">
      <c r="D6759" s="9"/>
      <c r="G6759" s="9"/>
      <c r="J6759" s="11"/>
      <c r="U6759" s="9"/>
      <c r="X6759" s="9"/>
    </row>
    <row r="6760">
      <c r="D6760" s="9"/>
      <c r="G6760" s="9"/>
      <c r="J6760" s="11"/>
      <c r="U6760" s="9"/>
      <c r="X6760" s="9"/>
    </row>
    <row r="6761">
      <c r="D6761" s="9"/>
      <c r="G6761" s="9"/>
      <c r="J6761" s="11"/>
      <c r="U6761" s="9"/>
      <c r="X6761" s="9"/>
    </row>
    <row r="6762">
      <c r="D6762" s="9"/>
      <c r="G6762" s="9"/>
      <c r="J6762" s="11"/>
      <c r="U6762" s="9"/>
      <c r="X6762" s="9"/>
    </row>
    <row r="6763">
      <c r="D6763" s="9"/>
      <c r="G6763" s="9"/>
      <c r="J6763" s="11"/>
      <c r="U6763" s="9"/>
      <c r="X6763" s="9"/>
    </row>
    <row r="6764">
      <c r="D6764" s="9"/>
      <c r="G6764" s="9"/>
      <c r="J6764" s="11"/>
      <c r="U6764" s="9"/>
      <c r="X6764" s="9"/>
    </row>
    <row r="6765">
      <c r="D6765" s="9"/>
      <c r="G6765" s="9"/>
      <c r="J6765" s="11"/>
      <c r="U6765" s="9"/>
      <c r="X6765" s="9"/>
    </row>
    <row r="6766">
      <c r="D6766" s="9"/>
      <c r="G6766" s="9"/>
      <c r="J6766" s="11"/>
      <c r="U6766" s="9"/>
      <c r="X6766" s="9"/>
    </row>
    <row r="6767">
      <c r="D6767" s="9"/>
      <c r="G6767" s="9"/>
      <c r="J6767" s="11"/>
      <c r="U6767" s="9"/>
      <c r="X6767" s="9"/>
    </row>
    <row r="6768">
      <c r="D6768" s="9"/>
      <c r="G6768" s="9"/>
      <c r="J6768" s="11"/>
      <c r="U6768" s="9"/>
      <c r="X6768" s="9"/>
    </row>
    <row r="6769">
      <c r="D6769" s="9"/>
      <c r="G6769" s="9"/>
      <c r="J6769" s="11"/>
      <c r="U6769" s="9"/>
      <c r="X6769" s="9"/>
    </row>
    <row r="6770">
      <c r="D6770" s="9"/>
      <c r="G6770" s="9"/>
      <c r="J6770" s="11"/>
      <c r="U6770" s="9"/>
      <c r="X6770" s="9"/>
    </row>
    <row r="6771">
      <c r="D6771" s="9"/>
      <c r="G6771" s="9"/>
      <c r="J6771" s="11"/>
      <c r="U6771" s="9"/>
      <c r="X6771" s="9"/>
    </row>
    <row r="6772">
      <c r="D6772" s="9"/>
      <c r="G6772" s="9"/>
      <c r="J6772" s="11"/>
      <c r="U6772" s="9"/>
      <c r="X6772" s="9"/>
    </row>
    <row r="6773">
      <c r="D6773" s="9"/>
      <c r="G6773" s="9"/>
      <c r="J6773" s="11"/>
      <c r="U6773" s="9"/>
      <c r="X6773" s="9"/>
    </row>
    <row r="6774">
      <c r="D6774" s="9"/>
      <c r="G6774" s="9"/>
      <c r="J6774" s="11"/>
      <c r="U6774" s="9"/>
      <c r="X6774" s="9"/>
    </row>
    <row r="6775">
      <c r="D6775" s="9"/>
      <c r="G6775" s="9"/>
      <c r="J6775" s="11"/>
      <c r="U6775" s="9"/>
      <c r="X6775" s="9"/>
    </row>
    <row r="6776">
      <c r="D6776" s="9"/>
      <c r="G6776" s="9"/>
      <c r="J6776" s="11"/>
      <c r="U6776" s="9"/>
      <c r="X6776" s="9"/>
    </row>
    <row r="6777">
      <c r="D6777" s="9"/>
      <c r="G6777" s="9"/>
      <c r="J6777" s="11"/>
      <c r="U6777" s="9"/>
      <c r="X6777" s="9"/>
    </row>
    <row r="6778">
      <c r="D6778" s="9"/>
      <c r="G6778" s="9"/>
      <c r="J6778" s="11"/>
      <c r="U6778" s="9"/>
      <c r="X6778" s="9"/>
    </row>
    <row r="6779">
      <c r="D6779" s="9"/>
      <c r="G6779" s="9"/>
      <c r="J6779" s="11"/>
      <c r="U6779" s="9"/>
      <c r="X6779" s="9"/>
    </row>
    <row r="6780">
      <c r="D6780" s="9"/>
      <c r="G6780" s="9"/>
      <c r="J6780" s="11"/>
      <c r="U6780" s="9"/>
      <c r="X6780" s="9"/>
    </row>
    <row r="6781">
      <c r="D6781" s="9"/>
      <c r="G6781" s="9"/>
      <c r="J6781" s="11"/>
      <c r="U6781" s="9"/>
      <c r="X6781" s="9"/>
    </row>
    <row r="6782">
      <c r="D6782" s="9"/>
      <c r="G6782" s="9"/>
      <c r="J6782" s="11"/>
      <c r="U6782" s="9"/>
      <c r="X6782" s="9"/>
    </row>
    <row r="6783">
      <c r="D6783" s="9"/>
      <c r="G6783" s="9"/>
      <c r="J6783" s="11"/>
      <c r="U6783" s="9"/>
      <c r="X6783" s="9"/>
    </row>
    <row r="6784">
      <c r="D6784" s="9"/>
      <c r="G6784" s="9"/>
      <c r="J6784" s="11"/>
      <c r="U6784" s="9"/>
      <c r="X6784" s="9"/>
    </row>
    <row r="6785">
      <c r="D6785" s="9"/>
      <c r="G6785" s="9"/>
      <c r="J6785" s="11"/>
      <c r="U6785" s="9"/>
      <c r="X6785" s="9"/>
    </row>
    <row r="6786">
      <c r="D6786" s="9"/>
      <c r="G6786" s="9"/>
      <c r="J6786" s="11"/>
      <c r="U6786" s="9"/>
      <c r="X6786" s="9"/>
    </row>
    <row r="6787">
      <c r="D6787" s="9"/>
      <c r="G6787" s="9"/>
      <c r="J6787" s="11"/>
      <c r="U6787" s="9"/>
      <c r="X6787" s="9"/>
    </row>
    <row r="6788">
      <c r="D6788" s="9"/>
      <c r="G6788" s="9"/>
      <c r="J6788" s="11"/>
      <c r="U6788" s="9"/>
      <c r="X6788" s="9"/>
    </row>
    <row r="6789">
      <c r="D6789" s="9"/>
      <c r="G6789" s="9"/>
      <c r="J6789" s="11"/>
      <c r="U6789" s="9"/>
      <c r="X6789" s="9"/>
    </row>
    <row r="6790">
      <c r="D6790" s="9"/>
      <c r="G6790" s="9"/>
      <c r="J6790" s="11"/>
      <c r="U6790" s="9"/>
      <c r="X6790" s="9"/>
    </row>
    <row r="6791">
      <c r="D6791" s="9"/>
      <c r="G6791" s="9"/>
      <c r="J6791" s="11"/>
      <c r="U6791" s="9"/>
      <c r="X6791" s="9"/>
    </row>
    <row r="6792">
      <c r="D6792" s="9"/>
      <c r="G6792" s="9"/>
      <c r="J6792" s="11"/>
      <c r="U6792" s="9"/>
      <c r="X6792" s="9"/>
    </row>
    <row r="6793">
      <c r="D6793" s="9"/>
      <c r="G6793" s="9"/>
      <c r="J6793" s="11"/>
      <c r="U6793" s="9"/>
      <c r="X6793" s="9"/>
    </row>
    <row r="6794">
      <c r="D6794" s="9"/>
      <c r="G6794" s="9"/>
      <c r="J6794" s="11"/>
      <c r="U6794" s="9"/>
      <c r="X6794" s="9"/>
    </row>
    <row r="6795">
      <c r="D6795" s="9"/>
      <c r="G6795" s="9"/>
      <c r="J6795" s="11"/>
      <c r="U6795" s="9"/>
      <c r="X6795" s="9"/>
    </row>
    <row r="6796">
      <c r="D6796" s="9"/>
      <c r="G6796" s="9"/>
      <c r="J6796" s="11"/>
      <c r="U6796" s="9"/>
      <c r="X6796" s="9"/>
    </row>
    <row r="6797">
      <c r="D6797" s="9"/>
      <c r="G6797" s="9"/>
      <c r="J6797" s="11"/>
      <c r="U6797" s="9"/>
      <c r="X6797" s="9"/>
    </row>
    <row r="6798">
      <c r="D6798" s="9"/>
      <c r="G6798" s="9"/>
      <c r="J6798" s="11"/>
      <c r="U6798" s="9"/>
      <c r="X6798" s="9"/>
    </row>
    <row r="6799">
      <c r="D6799" s="9"/>
      <c r="G6799" s="9"/>
      <c r="J6799" s="11"/>
      <c r="U6799" s="9"/>
      <c r="X6799" s="9"/>
    </row>
    <row r="6800">
      <c r="D6800" s="9"/>
      <c r="G6800" s="9"/>
      <c r="J6800" s="11"/>
      <c r="U6800" s="9"/>
      <c r="X6800" s="9"/>
    </row>
    <row r="6801">
      <c r="D6801" s="9"/>
      <c r="G6801" s="9"/>
      <c r="J6801" s="11"/>
      <c r="U6801" s="9"/>
      <c r="X6801" s="9"/>
    </row>
    <row r="6802">
      <c r="D6802" s="9"/>
      <c r="G6802" s="9"/>
      <c r="J6802" s="11"/>
      <c r="U6802" s="9"/>
      <c r="X6802" s="9"/>
    </row>
    <row r="6803">
      <c r="D6803" s="9"/>
      <c r="G6803" s="9"/>
      <c r="J6803" s="11"/>
      <c r="U6803" s="9"/>
      <c r="X6803" s="9"/>
    </row>
    <row r="6804">
      <c r="D6804" s="9"/>
      <c r="G6804" s="9"/>
      <c r="J6804" s="11"/>
      <c r="U6804" s="9"/>
      <c r="X6804" s="9"/>
    </row>
    <row r="6805">
      <c r="D6805" s="9"/>
      <c r="G6805" s="9"/>
      <c r="J6805" s="11"/>
      <c r="U6805" s="9"/>
      <c r="X6805" s="9"/>
    </row>
    <row r="6806">
      <c r="D6806" s="9"/>
      <c r="G6806" s="9"/>
      <c r="J6806" s="11"/>
      <c r="U6806" s="9"/>
      <c r="X6806" s="9"/>
    </row>
    <row r="6807">
      <c r="D6807" s="9"/>
      <c r="G6807" s="9"/>
      <c r="J6807" s="11"/>
      <c r="U6807" s="9"/>
      <c r="X6807" s="9"/>
    </row>
    <row r="6808">
      <c r="D6808" s="9"/>
      <c r="G6808" s="9"/>
      <c r="J6808" s="11"/>
      <c r="U6808" s="9"/>
      <c r="X6808" s="9"/>
    </row>
    <row r="6809">
      <c r="D6809" s="9"/>
      <c r="G6809" s="9"/>
      <c r="J6809" s="11"/>
      <c r="U6809" s="9"/>
      <c r="X6809" s="9"/>
    </row>
    <row r="6810">
      <c r="D6810" s="9"/>
      <c r="G6810" s="9"/>
      <c r="J6810" s="11"/>
      <c r="U6810" s="9"/>
      <c r="X6810" s="9"/>
    </row>
    <row r="6811">
      <c r="D6811" s="9"/>
      <c r="G6811" s="9"/>
      <c r="J6811" s="11"/>
      <c r="U6811" s="9"/>
      <c r="X6811" s="9"/>
    </row>
    <row r="6812">
      <c r="D6812" s="9"/>
      <c r="G6812" s="9"/>
      <c r="J6812" s="11"/>
      <c r="U6812" s="9"/>
      <c r="X6812" s="9"/>
    </row>
    <row r="6813">
      <c r="D6813" s="9"/>
      <c r="G6813" s="9"/>
      <c r="J6813" s="11"/>
      <c r="U6813" s="9"/>
      <c r="X6813" s="9"/>
    </row>
    <row r="6814">
      <c r="D6814" s="9"/>
      <c r="G6814" s="9"/>
      <c r="J6814" s="11"/>
      <c r="U6814" s="9"/>
      <c r="X6814" s="9"/>
    </row>
    <row r="6815">
      <c r="D6815" s="9"/>
      <c r="G6815" s="9"/>
      <c r="J6815" s="11"/>
      <c r="U6815" s="9"/>
      <c r="X6815" s="9"/>
    </row>
    <row r="6816">
      <c r="D6816" s="9"/>
      <c r="G6816" s="9"/>
      <c r="J6816" s="11"/>
      <c r="U6816" s="9"/>
      <c r="X6816" s="9"/>
    </row>
    <row r="6817">
      <c r="D6817" s="9"/>
      <c r="G6817" s="9"/>
      <c r="J6817" s="11"/>
      <c r="U6817" s="9"/>
      <c r="X6817" s="9"/>
    </row>
    <row r="6818">
      <c r="D6818" s="9"/>
      <c r="G6818" s="9"/>
      <c r="J6818" s="11"/>
      <c r="U6818" s="9"/>
      <c r="X6818" s="9"/>
    </row>
    <row r="6819">
      <c r="D6819" s="9"/>
      <c r="G6819" s="9"/>
      <c r="J6819" s="11"/>
      <c r="U6819" s="9"/>
      <c r="X6819" s="9"/>
    </row>
    <row r="6820">
      <c r="D6820" s="9"/>
      <c r="G6820" s="9"/>
      <c r="J6820" s="11"/>
      <c r="U6820" s="9"/>
      <c r="X6820" s="9"/>
    </row>
    <row r="6821">
      <c r="D6821" s="9"/>
      <c r="G6821" s="9"/>
      <c r="J6821" s="11"/>
      <c r="U6821" s="9"/>
      <c r="X6821" s="9"/>
    </row>
    <row r="6822">
      <c r="D6822" s="9"/>
      <c r="G6822" s="9"/>
      <c r="J6822" s="11"/>
      <c r="U6822" s="9"/>
      <c r="X6822" s="9"/>
    </row>
    <row r="6823">
      <c r="D6823" s="9"/>
      <c r="G6823" s="9"/>
      <c r="J6823" s="11"/>
      <c r="U6823" s="9"/>
      <c r="X6823" s="9"/>
    </row>
    <row r="6824">
      <c r="D6824" s="9"/>
      <c r="G6824" s="9"/>
      <c r="J6824" s="11"/>
      <c r="U6824" s="9"/>
      <c r="X6824" s="9"/>
    </row>
    <row r="6825">
      <c r="D6825" s="9"/>
      <c r="G6825" s="9"/>
      <c r="J6825" s="11"/>
      <c r="U6825" s="9"/>
      <c r="X6825" s="9"/>
    </row>
    <row r="6826">
      <c r="D6826" s="9"/>
      <c r="G6826" s="9"/>
      <c r="J6826" s="11"/>
      <c r="U6826" s="9"/>
      <c r="X6826" s="9"/>
    </row>
    <row r="6827">
      <c r="D6827" s="9"/>
      <c r="G6827" s="9"/>
      <c r="J6827" s="11"/>
      <c r="U6827" s="9"/>
      <c r="X6827" s="9"/>
    </row>
    <row r="6828">
      <c r="D6828" s="9"/>
      <c r="G6828" s="9"/>
      <c r="J6828" s="11"/>
      <c r="U6828" s="9"/>
      <c r="X6828" s="9"/>
    </row>
    <row r="6829">
      <c r="D6829" s="9"/>
      <c r="G6829" s="9"/>
      <c r="J6829" s="11"/>
      <c r="U6829" s="9"/>
      <c r="X6829" s="9"/>
    </row>
    <row r="6830">
      <c r="D6830" s="9"/>
      <c r="G6830" s="9"/>
      <c r="J6830" s="11"/>
      <c r="U6830" s="9"/>
      <c r="X6830" s="9"/>
    </row>
    <row r="6831">
      <c r="D6831" s="9"/>
      <c r="G6831" s="9"/>
      <c r="J6831" s="11"/>
      <c r="U6831" s="9"/>
      <c r="X6831" s="9"/>
    </row>
    <row r="6832">
      <c r="D6832" s="9"/>
      <c r="G6832" s="9"/>
      <c r="J6832" s="11"/>
      <c r="U6832" s="9"/>
      <c r="X6832" s="9"/>
    </row>
    <row r="6833">
      <c r="D6833" s="9"/>
      <c r="G6833" s="9"/>
      <c r="J6833" s="11"/>
      <c r="U6833" s="9"/>
      <c r="X6833" s="9"/>
    </row>
    <row r="6834">
      <c r="D6834" s="9"/>
      <c r="G6834" s="9"/>
      <c r="J6834" s="11"/>
      <c r="U6834" s="9"/>
      <c r="X6834" s="9"/>
    </row>
    <row r="6835">
      <c r="D6835" s="9"/>
      <c r="G6835" s="9"/>
      <c r="J6835" s="11"/>
      <c r="U6835" s="9"/>
      <c r="X6835" s="9"/>
    </row>
    <row r="6836">
      <c r="D6836" s="9"/>
      <c r="G6836" s="9"/>
      <c r="J6836" s="11"/>
      <c r="U6836" s="9"/>
      <c r="X6836" s="9"/>
    </row>
    <row r="6837">
      <c r="D6837" s="9"/>
      <c r="G6837" s="9"/>
      <c r="J6837" s="11"/>
      <c r="U6837" s="9"/>
      <c r="X6837" s="9"/>
    </row>
    <row r="6838">
      <c r="D6838" s="9"/>
      <c r="G6838" s="9"/>
      <c r="J6838" s="11"/>
      <c r="U6838" s="9"/>
      <c r="X6838" s="9"/>
    </row>
    <row r="6839">
      <c r="D6839" s="9"/>
      <c r="G6839" s="9"/>
      <c r="J6839" s="11"/>
      <c r="U6839" s="9"/>
      <c r="X6839" s="9"/>
    </row>
    <row r="6840">
      <c r="D6840" s="9"/>
      <c r="G6840" s="9"/>
      <c r="J6840" s="11"/>
      <c r="U6840" s="9"/>
      <c r="X6840" s="9"/>
    </row>
    <row r="6841">
      <c r="D6841" s="9"/>
      <c r="G6841" s="9"/>
      <c r="J6841" s="11"/>
      <c r="U6841" s="9"/>
      <c r="X6841" s="9"/>
    </row>
    <row r="6842">
      <c r="D6842" s="9"/>
      <c r="G6842" s="9"/>
      <c r="J6842" s="11"/>
      <c r="U6842" s="9"/>
      <c r="X6842" s="9"/>
    </row>
    <row r="6843">
      <c r="D6843" s="9"/>
      <c r="G6843" s="9"/>
      <c r="J6843" s="11"/>
      <c r="U6843" s="9"/>
      <c r="X6843" s="9"/>
    </row>
    <row r="6844">
      <c r="D6844" s="9"/>
      <c r="G6844" s="9"/>
      <c r="J6844" s="11"/>
      <c r="U6844" s="9"/>
      <c r="X6844" s="9"/>
    </row>
    <row r="6845">
      <c r="D6845" s="9"/>
      <c r="G6845" s="9"/>
      <c r="J6845" s="11"/>
      <c r="U6845" s="9"/>
      <c r="X6845" s="9"/>
    </row>
    <row r="6846">
      <c r="D6846" s="9"/>
      <c r="G6846" s="9"/>
      <c r="J6846" s="11"/>
      <c r="U6846" s="9"/>
      <c r="X6846" s="9"/>
    </row>
    <row r="6847">
      <c r="D6847" s="9"/>
      <c r="G6847" s="9"/>
      <c r="J6847" s="11"/>
      <c r="U6847" s="9"/>
      <c r="X6847" s="9"/>
    </row>
    <row r="6848">
      <c r="D6848" s="9"/>
      <c r="G6848" s="9"/>
      <c r="J6848" s="11"/>
      <c r="U6848" s="9"/>
      <c r="X6848" s="9"/>
    </row>
    <row r="6849">
      <c r="D6849" s="9"/>
      <c r="G6849" s="9"/>
      <c r="J6849" s="11"/>
      <c r="U6849" s="9"/>
      <c r="X6849" s="9"/>
    </row>
    <row r="6850">
      <c r="D6850" s="9"/>
      <c r="G6850" s="9"/>
      <c r="J6850" s="11"/>
      <c r="U6850" s="9"/>
      <c r="X6850" s="9"/>
    </row>
    <row r="6851">
      <c r="D6851" s="9"/>
      <c r="G6851" s="9"/>
      <c r="J6851" s="11"/>
      <c r="U6851" s="9"/>
      <c r="X6851" s="9"/>
    </row>
    <row r="6852">
      <c r="D6852" s="9"/>
      <c r="G6852" s="9"/>
      <c r="J6852" s="11"/>
      <c r="U6852" s="9"/>
      <c r="X6852" s="9"/>
    </row>
    <row r="6853">
      <c r="D6853" s="9"/>
      <c r="G6853" s="9"/>
      <c r="J6853" s="11"/>
      <c r="U6853" s="9"/>
      <c r="X6853" s="9"/>
    </row>
    <row r="6854">
      <c r="D6854" s="9"/>
      <c r="G6854" s="9"/>
      <c r="J6854" s="11"/>
      <c r="U6854" s="9"/>
      <c r="X6854" s="9"/>
    </row>
    <row r="6855">
      <c r="D6855" s="9"/>
      <c r="G6855" s="9"/>
      <c r="J6855" s="11"/>
      <c r="U6855" s="9"/>
      <c r="X6855" s="9"/>
    </row>
    <row r="6856">
      <c r="D6856" s="9"/>
      <c r="G6856" s="9"/>
      <c r="J6856" s="11"/>
      <c r="U6856" s="9"/>
      <c r="X6856" s="9"/>
    </row>
    <row r="6857">
      <c r="D6857" s="9"/>
      <c r="G6857" s="9"/>
      <c r="J6857" s="11"/>
      <c r="U6857" s="9"/>
      <c r="X6857" s="9"/>
    </row>
    <row r="6858">
      <c r="D6858" s="9"/>
      <c r="G6858" s="9"/>
      <c r="J6858" s="11"/>
      <c r="U6858" s="9"/>
      <c r="X6858" s="9"/>
    </row>
    <row r="6859">
      <c r="D6859" s="9"/>
      <c r="G6859" s="9"/>
      <c r="J6859" s="11"/>
      <c r="U6859" s="9"/>
      <c r="X6859" s="9"/>
    </row>
    <row r="6860">
      <c r="D6860" s="9"/>
      <c r="G6860" s="9"/>
      <c r="J6860" s="11"/>
      <c r="U6860" s="9"/>
      <c r="X6860" s="9"/>
    </row>
    <row r="6861">
      <c r="D6861" s="9"/>
      <c r="G6861" s="9"/>
      <c r="J6861" s="11"/>
      <c r="U6861" s="9"/>
      <c r="X6861" s="9"/>
    </row>
    <row r="6862">
      <c r="D6862" s="9"/>
      <c r="G6862" s="9"/>
      <c r="J6862" s="11"/>
      <c r="U6862" s="9"/>
      <c r="X6862" s="9"/>
    </row>
    <row r="6863">
      <c r="D6863" s="9"/>
      <c r="G6863" s="9"/>
      <c r="J6863" s="11"/>
      <c r="U6863" s="9"/>
      <c r="X6863" s="9"/>
    </row>
    <row r="6864">
      <c r="D6864" s="9"/>
      <c r="G6864" s="9"/>
      <c r="J6864" s="11"/>
      <c r="U6864" s="9"/>
      <c r="X6864" s="9"/>
    </row>
    <row r="6865">
      <c r="D6865" s="9"/>
      <c r="G6865" s="9"/>
      <c r="J6865" s="11"/>
      <c r="U6865" s="9"/>
      <c r="X6865" s="9"/>
    </row>
    <row r="6866">
      <c r="D6866" s="9"/>
      <c r="G6866" s="9"/>
      <c r="J6866" s="11"/>
      <c r="U6866" s="9"/>
      <c r="X6866" s="9"/>
    </row>
    <row r="6867">
      <c r="D6867" s="9"/>
      <c r="G6867" s="9"/>
      <c r="J6867" s="11"/>
      <c r="U6867" s="9"/>
      <c r="X6867" s="9"/>
    </row>
    <row r="6868">
      <c r="D6868" s="9"/>
      <c r="G6868" s="9"/>
      <c r="J6868" s="11"/>
      <c r="U6868" s="9"/>
      <c r="X6868" s="9"/>
    </row>
    <row r="6869">
      <c r="D6869" s="9"/>
      <c r="G6869" s="9"/>
      <c r="J6869" s="11"/>
      <c r="U6869" s="9"/>
      <c r="X6869" s="9"/>
    </row>
    <row r="6870">
      <c r="D6870" s="9"/>
      <c r="G6870" s="9"/>
      <c r="J6870" s="11"/>
      <c r="U6870" s="9"/>
      <c r="X6870" s="9"/>
    </row>
    <row r="6871">
      <c r="D6871" s="9"/>
      <c r="G6871" s="9"/>
      <c r="J6871" s="11"/>
      <c r="U6871" s="9"/>
      <c r="X6871" s="9"/>
    </row>
    <row r="6872">
      <c r="D6872" s="9"/>
      <c r="G6872" s="9"/>
      <c r="J6872" s="11"/>
      <c r="U6872" s="9"/>
      <c r="X6872" s="9"/>
    </row>
    <row r="6873">
      <c r="D6873" s="9"/>
      <c r="G6873" s="9"/>
      <c r="J6873" s="11"/>
      <c r="U6873" s="9"/>
      <c r="X6873" s="9"/>
    </row>
    <row r="6874">
      <c r="D6874" s="9"/>
      <c r="G6874" s="9"/>
      <c r="J6874" s="11"/>
      <c r="U6874" s="9"/>
      <c r="X6874" s="9"/>
    </row>
    <row r="6875">
      <c r="D6875" s="9"/>
      <c r="G6875" s="9"/>
      <c r="J6875" s="11"/>
      <c r="U6875" s="9"/>
      <c r="X6875" s="9"/>
    </row>
    <row r="6876">
      <c r="D6876" s="9"/>
      <c r="G6876" s="9"/>
      <c r="J6876" s="11"/>
      <c r="U6876" s="9"/>
      <c r="X6876" s="9"/>
    </row>
    <row r="6877">
      <c r="D6877" s="9"/>
      <c r="G6877" s="9"/>
      <c r="J6877" s="11"/>
      <c r="U6877" s="9"/>
      <c r="X6877" s="9"/>
    </row>
    <row r="6878">
      <c r="D6878" s="9"/>
      <c r="G6878" s="9"/>
      <c r="J6878" s="11"/>
      <c r="U6878" s="9"/>
      <c r="X6878" s="9"/>
    </row>
    <row r="6879">
      <c r="D6879" s="9"/>
      <c r="G6879" s="9"/>
      <c r="J6879" s="11"/>
      <c r="U6879" s="9"/>
      <c r="X6879" s="9"/>
    </row>
    <row r="6880">
      <c r="D6880" s="9"/>
      <c r="G6880" s="9"/>
      <c r="J6880" s="11"/>
      <c r="U6880" s="9"/>
      <c r="X6880" s="9"/>
    </row>
    <row r="6881">
      <c r="D6881" s="9"/>
      <c r="G6881" s="9"/>
      <c r="J6881" s="11"/>
      <c r="U6881" s="9"/>
      <c r="X6881" s="9"/>
    </row>
    <row r="6882">
      <c r="D6882" s="9"/>
      <c r="G6882" s="9"/>
      <c r="J6882" s="11"/>
      <c r="U6882" s="9"/>
      <c r="X6882" s="9"/>
    </row>
    <row r="6883">
      <c r="D6883" s="9"/>
      <c r="G6883" s="9"/>
      <c r="J6883" s="11"/>
      <c r="U6883" s="9"/>
      <c r="X6883" s="9"/>
    </row>
    <row r="6884">
      <c r="D6884" s="9"/>
      <c r="G6884" s="9"/>
      <c r="J6884" s="11"/>
      <c r="U6884" s="9"/>
      <c r="X6884" s="9"/>
    </row>
    <row r="6885">
      <c r="D6885" s="9"/>
      <c r="G6885" s="9"/>
      <c r="J6885" s="11"/>
      <c r="U6885" s="9"/>
      <c r="X6885" s="9"/>
    </row>
    <row r="6886">
      <c r="D6886" s="9"/>
      <c r="G6886" s="9"/>
      <c r="J6886" s="11"/>
      <c r="U6886" s="9"/>
      <c r="X6886" s="9"/>
    </row>
    <row r="6887">
      <c r="D6887" s="9"/>
      <c r="G6887" s="9"/>
      <c r="J6887" s="11"/>
      <c r="U6887" s="9"/>
      <c r="X6887" s="9"/>
    </row>
    <row r="6888">
      <c r="D6888" s="9"/>
      <c r="G6888" s="9"/>
      <c r="J6888" s="11"/>
      <c r="U6888" s="9"/>
      <c r="X6888" s="9"/>
    </row>
    <row r="6889">
      <c r="D6889" s="9"/>
      <c r="G6889" s="9"/>
      <c r="J6889" s="11"/>
      <c r="U6889" s="9"/>
      <c r="X6889" s="9"/>
    </row>
    <row r="6890">
      <c r="D6890" s="9"/>
      <c r="G6890" s="9"/>
      <c r="J6890" s="11"/>
      <c r="U6890" s="9"/>
      <c r="X6890" s="9"/>
    </row>
    <row r="6891">
      <c r="D6891" s="9"/>
      <c r="G6891" s="9"/>
      <c r="J6891" s="11"/>
      <c r="U6891" s="9"/>
      <c r="X6891" s="9"/>
    </row>
    <row r="6892">
      <c r="D6892" s="9"/>
      <c r="G6892" s="9"/>
      <c r="J6892" s="11"/>
      <c r="U6892" s="9"/>
      <c r="X6892" s="9"/>
    </row>
    <row r="6893">
      <c r="D6893" s="9"/>
      <c r="G6893" s="9"/>
      <c r="J6893" s="11"/>
      <c r="U6893" s="9"/>
      <c r="X6893" s="9"/>
    </row>
    <row r="6894">
      <c r="D6894" s="9"/>
      <c r="G6894" s="9"/>
      <c r="J6894" s="11"/>
      <c r="U6894" s="9"/>
      <c r="X6894" s="9"/>
    </row>
    <row r="6895">
      <c r="D6895" s="9"/>
      <c r="G6895" s="9"/>
      <c r="J6895" s="11"/>
      <c r="U6895" s="9"/>
      <c r="X6895" s="9"/>
    </row>
    <row r="6896">
      <c r="D6896" s="9"/>
      <c r="G6896" s="9"/>
      <c r="J6896" s="11"/>
      <c r="U6896" s="9"/>
      <c r="X6896" s="9"/>
    </row>
    <row r="6897">
      <c r="D6897" s="9"/>
      <c r="G6897" s="9"/>
      <c r="J6897" s="11"/>
      <c r="U6897" s="9"/>
      <c r="X6897" s="9"/>
    </row>
    <row r="6898">
      <c r="D6898" s="9"/>
      <c r="G6898" s="9"/>
      <c r="J6898" s="11"/>
      <c r="U6898" s="9"/>
      <c r="X6898" s="9"/>
    </row>
    <row r="6899">
      <c r="D6899" s="9"/>
      <c r="G6899" s="9"/>
      <c r="J6899" s="11"/>
      <c r="U6899" s="9"/>
      <c r="X6899" s="9"/>
    </row>
    <row r="6900">
      <c r="D6900" s="9"/>
      <c r="G6900" s="9"/>
      <c r="J6900" s="11"/>
      <c r="U6900" s="9"/>
      <c r="X6900" s="9"/>
    </row>
    <row r="6901">
      <c r="D6901" s="9"/>
      <c r="G6901" s="9"/>
      <c r="J6901" s="11"/>
      <c r="U6901" s="9"/>
      <c r="X6901" s="9"/>
    </row>
    <row r="6902">
      <c r="D6902" s="9"/>
      <c r="G6902" s="9"/>
      <c r="J6902" s="11"/>
      <c r="U6902" s="9"/>
      <c r="X6902" s="9"/>
    </row>
    <row r="6903">
      <c r="D6903" s="9"/>
      <c r="G6903" s="9"/>
      <c r="J6903" s="11"/>
      <c r="U6903" s="9"/>
      <c r="X6903" s="9"/>
    </row>
    <row r="6904">
      <c r="D6904" s="9"/>
      <c r="G6904" s="9"/>
      <c r="J6904" s="11"/>
      <c r="U6904" s="9"/>
      <c r="X6904" s="9"/>
    </row>
    <row r="6905">
      <c r="D6905" s="9"/>
      <c r="G6905" s="9"/>
      <c r="J6905" s="11"/>
      <c r="U6905" s="9"/>
      <c r="X6905" s="9"/>
    </row>
    <row r="6906">
      <c r="D6906" s="9"/>
      <c r="G6906" s="9"/>
      <c r="J6906" s="11"/>
      <c r="U6906" s="9"/>
      <c r="X6906" s="9"/>
    </row>
    <row r="6907">
      <c r="D6907" s="9"/>
      <c r="G6907" s="9"/>
      <c r="J6907" s="11"/>
      <c r="U6907" s="9"/>
      <c r="X6907" s="9"/>
    </row>
    <row r="6908">
      <c r="D6908" s="9"/>
      <c r="G6908" s="9"/>
      <c r="J6908" s="11"/>
      <c r="U6908" s="9"/>
      <c r="X6908" s="9"/>
    </row>
    <row r="6909">
      <c r="D6909" s="9"/>
      <c r="G6909" s="9"/>
      <c r="J6909" s="11"/>
      <c r="U6909" s="9"/>
      <c r="X6909" s="9"/>
    </row>
    <row r="6910">
      <c r="D6910" s="9"/>
      <c r="G6910" s="9"/>
      <c r="J6910" s="11"/>
      <c r="U6910" s="9"/>
      <c r="X6910" s="9"/>
    </row>
    <row r="6911">
      <c r="D6911" s="9"/>
      <c r="G6911" s="9"/>
      <c r="J6911" s="11"/>
      <c r="U6911" s="9"/>
      <c r="X6911" s="9"/>
    </row>
    <row r="6912">
      <c r="D6912" s="9"/>
      <c r="G6912" s="9"/>
      <c r="J6912" s="11"/>
      <c r="U6912" s="9"/>
      <c r="X6912" s="9"/>
    </row>
    <row r="6913">
      <c r="D6913" s="9"/>
      <c r="G6913" s="9"/>
      <c r="J6913" s="11"/>
      <c r="U6913" s="9"/>
      <c r="X6913" s="9"/>
    </row>
    <row r="6914">
      <c r="D6914" s="9"/>
      <c r="G6914" s="9"/>
      <c r="J6914" s="11"/>
      <c r="U6914" s="9"/>
      <c r="X6914" s="9"/>
    </row>
    <row r="6915">
      <c r="D6915" s="9"/>
      <c r="G6915" s="9"/>
      <c r="J6915" s="11"/>
      <c r="U6915" s="9"/>
      <c r="X6915" s="9"/>
    </row>
    <row r="6916">
      <c r="D6916" s="9"/>
      <c r="G6916" s="9"/>
      <c r="J6916" s="11"/>
      <c r="U6916" s="9"/>
      <c r="X6916" s="9"/>
    </row>
    <row r="6917">
      <c r="D6917" s="9"/>
      <c r="G6917" s="9"/>
      <c r="J6917" s="11"/>
      <c r="U6917" s="9"/>
      <c r="X6917" s="9"/>
    </row>
    <row r="6918">
      <c r="D6918" s="9"/>
      <c r="G6918" s="9"/>
      <c r="J6918" s="11"/>
      <c r="U6918" s="9"/>
      <c r="X6918" s="9"/>
    </row>
    <row r="6919">
      <c r="D6919" s="9"/>
      <c r="G6919" s="9"/>
      <c r="J6919" s="11"/>
      <c r="U6919" s="9"/>
      <c r="X6919" s="9"/>
    </row>
    <row r="6920">
      <c r="D6920" s="9"/>
      <c r="G6920" s="9"/>
      <c r="J6920" s="11"/>
      <c r="U6920" s="9"/>
      <c r="X6920" s="9"/>
    </row>
    <row r="6921">
      <c r="D6921" s="9"/>
      <c r="G6921" s="9"/>
      <c r="J6921" s="11"/>
      <c r="U6921" s="9"/>
      <c r="X6921" s="9"/>
    </row>
    <row r="6922">
      <c r="D6922" s="9"/>
      <c r="G6922" s="9"/>
      <c r="J6922" s="11"/>
      <c r="U6922" s="9"/>
      <c r="X6922" s="9"/>
    </row>
    <row r="6923">
      <c r="D6923" s="9"/>
      <c r="G6923" s="9"/>
      <c r="J6923" s="11"/>
      <c r="U6923" s="9"/>
      <c r="X6923" s="9"/>
    </row>
    <row r="6924">
      <c r="D6924" s="9"/>
      <c r="G6924" s="9"/>
      <c r="J6924" s="11"/>
      <c r="U6924" s="9"/>
      <c r="X6924" s="9"/>
    </row>
    <row r="6925">
      <c r="D6925" s="9"/>
      <c r="G6925" s="9"/>
      <c r="J6925" s="11"/>
      <c r="U6925" s="9"/>
      <c r="X6925" s="9"/>
    </row>
    <row r="6926">
      <c r="D6926" s="9"/>
      <c r="G6926" s="9"/>
      <c r="J6926" s="11"/>
      <c r="U6926" s="9"/>
      <c r="X6926" s="9"/>
    </row>
    <row r="6927">
      <c r="D6927" s="9"/>
      <c r="G6927" s="9"/>
      <c r="J6927" s="11"/>
      <c r="U6927" s="9"/>
      <c r="X6927" s="9"/>
    </row>
    <row r="6928">
      <c r="D6928" s="9"/>
      <c r="G6928" s="9"/>
      <c r="J6928" s="11"/>
      <c r="U6928" s="9"/>
      <c r="X6928" s="9"/>
    </row>
    <row r="6929">
      <c r="D6929" s="9"/>
      <c r="G6929" s="9"/>
      <c r="J6929" s="11"/>
      <c r="U6929" s="9"/>
      <c r="X6929" s="9"/>
    </row>
    <row r="6930">
      <c r="D6930" s="9"/>
      <c r="G6930" s="9"/>
      <c r="J6930" s="11"/>
      <c r="U6930" s="9"/>
      <c r="X6930" s="9"/>
    </row>
    <row r="6931">
      <c r="D6931" s="9"/>
      <c r="G6931" s="9"/>
      <c r="J6931" s="11"/>
      <c r="U6931" s="9"/>
      <c r="X6931" s="9"/>
    </row>
    <row r="6932">
      <c r="D6932" s="9"/>
      <c r="G6932" s="9"/>
      <c r="J6932" s="11"/>
      <c r="U6932" s="9"/>
      <c r="X6932" s="9"/>
    </row>
    <row r="6933">
      <c r="D6933" s="9"/>
      <c r="G6933" s="9"/>
      <c r="J6933" s="11"/>
      <c r="U6933" s="9"/>
      <c r="X6933" s="9"/>
    </row>
    <row r="6934">
      <c r="D6934" s="9"/>
      <c r="G6934" s="9"/>
      <c r="J6934" s="11"/>
      <c r="U6934" s="9"/>
      <c r="X6934" s="9"/>
    </row>
    <row r="6935">
      <c r="D6935" s="9"/>
      <c r="G6935" s="9"/>
      <c r="J6935" s="11"/>
      <c r="U6935" s="9"/>
      <c r="X6935" s="9"/>
    </row>
    <row r="6936">
      <c r="D6936" s="9"/>
      <c r="G6936" s="9"/>
      <c r="J6936" s="11"/>
      <c r="U6936" s="9"/>
      <c r="X6936" s="9"/>
    </row>
    <row r="6937">
      <c r="D6937" s="9"/>
      <c r="G6937" s="9"/>
      <c r="J6937" s="11"/>
      <c r="U6937" s="9"/>
      <c r="X6937" s="9"/>
    </row>
    <row r="6938">
      <c r="D6938" s="9"/>
      <c r="G6938" s="9"/>
      <c r="J6938" s="11"/>
      <c r="U6938" s="9"/>
      <c r="X6938" s="9"/>
    </row>
    <row r="6939">
      <c r="D6939" s="9"/>
      <c r="G6939" s="9"/>
      <c r="J6939" s="11"/>
      <c r="U6939" s="9"/>
      <c r="X6939" s="9"/>
    </row>
    <row r="6940">
      <c r="D6940" s="9"/>
      <c r="G6940" s="9"/>
      <c r="J6940" s="11"/>
      <c r="U6940" s="9"/>
      <c r="X6940" s="9"/>
    </row>
    <row r="6941">
      <c r="D6941" s="9"/>
      <c r="G6941" s="9"/>
      <c r="J6941" s="11"/>
      <c r="U6941" s="9"/>
      <c r="X6941" s="9"/>
    </row>
    <row r="6942">
      <c r="D6942" s="9"/>
      <c r="G6942" s="9"/>
      <c r="J6942" s="11"/>
      <c r="U6942" s="9"/>
      <c r="X6942" s="9"/>
    </row>
    <row r="6943">
      <c r="D6943" s="9"/>
      <c r="G6943" s="9"/>
      <c r="J6943" s="11"/>
      <c r="U6943" s="9"/>
      <c r="X6943" s="9"/>
    </row>
    <row r="6944">
      <c r="D6944" s="9"/>
      <c r="G6944" s="9"/>
      <c r="J6944" s="11"/>
      <c r="U6944" s="9"/>
      <c r="X6944" s="9"/>
    </row>
    <row r="6945">
      <c r="D6945" s="9"/>
      <c r="G6945" s="9"/>
      <c r="J6945" s="11"/>
      <c r="U6945" s="9"/>
      <c r="X6945" s="9"/>
    </row>
    <row r="6946">
      <c r="D6946" s="9"/>
      <c r="G6946" s="9"/>
      <c r="J6946" s="11"/>
      <c r="U6946" s="9"/>
      <c r="X6946" s="9"/>
    </row>
    <row r="6947">
      <c r="D6947" s="9"/>
      <c r="G6947" s="9"/>
      <c r="J6947" s="11"/>
      <c r="U6947" s="9"/>
      <c r="X6947" s="9"/>
    </row>
    <row r="6948">
      <c r="D6948" s="9"/>
      <c r="G6948" s="9"/>
      <c r="J6948" s="11"/>
      <c r="U6948" s="9"/>
      <c r="X6948" s="9"/>
    </row>
    <row r="6949">
      <c r="D6949" s="9"/>
      <c r="G6949" s="9"/>
      <c r="J6949" s="11"/>
      <c r="U6949" s="9"/>
      <c r="X6949" s="9"/>
    </row>
    <row r="6950">
      <c r="D6950" s="9"/>
      <c r="G6950" s="9"/>
      <c r="J6950" s="11"/>
      <c r="U6950" s="9"/>
      <c r="X6950" s="9"/>
    </row>
    <row r="6951">
      <c r="D6951" s="9"/>
      <c r="G6951" s="9"/>
      <c r="J6951" s="11"/>
      <c r="U6951" s="9"/>
      <c r="X6951" s="9"/>
    </row>
    <row r="6952">
      <c r="D6952" s="9"/>
      <c r="G6952" s="9"/>
      <c r="J6952" s="11"/>
      <c r="U6952" s="9"/>
      <c r="X6952" s="9"/>
    </row>
    <row r="6953">
      <c r="D6953" s="9"/>
      <c r="G6953" s="9"/>
      <c r="J6953" s="11"/>
      <c r="U6953" s="9"/>
      <c r="X6953" s="9"/>
    </row>
    <row r="6954">
      <c r="D6954" s="9"/>
      <c r="G6954" s="9"/>
      <c r="J6954" s="11"/>
      <c r="U6954" s="9"/>
      <c r="X6954" s="9"/>
    </row>
    <row r="6955">
      <c r="D6955" s="9"/>
      <c r="G6955" s="9"/>
      <c r="J6955" s="11"/>
      <c r="U6955" s="9"/>
      <c r="X6955" s="9"/>
    </row>
    <row r="6956">
      <c r="D6956" s="9"/>
      <c r="G6956" s="9"/>
      <c r="J6956" s="11"/>
      <c r="U6956" s="9"/>
      <c r="X6956" s="9"/>
    </row>
    <row r="6957">
      <c r="D6957" s="9"/>
      <c r="G6957" s="9"/>
      <c r="J6957" s="11"/>
      <c r="U6957" s="9"/>
      <c r="X6957" s="9"/>
    </row>
    <row r="6958">
      <c r="D6958" s="9"/>
      <c r="G6958" s="9"/>
      <c r="J6958" s="11"/>
      <c r="U6958" s="9"/>
      <c r="X6958" s="9"/>
    </row>
    <row r="6959">
      <c r="D6959" s="9"/>
      <c r="G6959" s="9"/>
      <c r="J6959" s="11"/>
      <c r="U6959" s="9"/>
      <c r="X6959" s="9"/>
    </row>
    <row r="6960">
      <c r="D6960" s="9"/>
      <c r="G6960" s="9"/>
      <c r="J6960" s="11"/>
      <c r="U6960" s="9"/>
      <c r="X6960" s="9"/>
    </row>
    <row r="6961">
      <c r="D6961" s="9"/>
      <c r="G6961" s="9"/>
      <c r="J6961" s="11"/>
      <c r="U6961" s="9"/>
      <c r="X6961" s="9"/>
    </row>
    <row r="6962">
      <c r="D6962" s="9"/>
      <c r="G6962" s="9"/>
      <c r="J6962" s="11"/>
      <c r="U6962" s="9"/>
      <c r="X6962" s="9"/>
    </row>
    <row r="6963">
      <c r="D6963" s="9"/>
      <c r="G6963" s="9"/>
      <c r="J6963" s="11"/>
      <c r="U6963" s="9"/>
      <c r="X6963" s="9"/>
    </row>
    <row r="6964">
      <c r="D6964" s="9"/>
      <c r="G6964" s="9"/>
      <c r="J6964" s="11"/>
      <c r="U6964" s="9"/>
      <c r="X6964" s="9"/>
    </row>
    <row r="6965">
      <c r="D6965" s="9"/>
      <c r="G6965" s="9"/>
      <c r="J6965" s="11"/>
      <c r="U6965" s="9"/>
      <c r="X6965" s="9"/>
    </row>
    <row r="6966">
      <c r="D6966" s="9"/>
      <c r="G6966" s="9"/>
      <c r="J6966" s="11"/>
      <c r="U6966" s="9"/>
      <c r="X6966" s="9"/>
    </row>
    <row r="6967">
      <c r="D6967" s="9"/>
      <c r="G6967" s="9"/>
      <c r="J6967" s="11"/>
      <c r="U6967" s="9"/>
      <c r="X6967" s="9"/>
    </row>
    <row r="6968">
      <c r="D6968" s="9"/>
      <c r="G6968" s="9"/>
      <c r="J6968" s="11"/>
      <c r="U6968" s="9"/>
      <c r="X6968" s="9"/>
    </row>
    <row r="6969">
      <c r="D6969" s="9"/>
      <c r="G6969" s="9"/>
      <c r="J6969" s="11"/>
      <c r="U6969" s="9"/>
      <c r="X6969" s="9"/>
    </row>
    <row r="6970">
      <c r="D6970" s="9"/>
      <c r="G6970" s="9"/>
      <c r="J6970" s="11"/>
      <c r="U6970" s="9"/>
      <c r="X6970" s="9"/>
    </row>
    <row r="6971">
      <c r="D6971" s="9"/>
      <c r="G6971" s="9"/>
      <c r="J6971" s="11"/>
      <c r="U6971" s="9"/>
      <c r="X6971" s="9"/>
    </row>
    <row r="6972">
      <c r="D6972" s="9"/>
      <c r="G6972" s="9"/>
      <c r="J6972" s="11"/>
      <c r="U6972" s="9"/>
      <c r="X6972" s="9"/>
    </row>
    <row r="6973">
      <c r="D6973" s="9"/>
      <c r="G6973" s="9"/>
      <c r="J6973" s="11"/>
      <c r="U6973" s="9"/>
      <c r="X6973" s="9"/>
    </row>
    <row r="6974">
      <c r="D6974" s="9"/>
      <c r="G6974" s="9"/>
      <c r="J6974" s="11"/>
      <c r="U6974" s="9"/>
      <c r="X6974" s="9"/>
    </row>
    <row r="6975">
      <c r="D6975" s="9"/>
      <c r="G6975" s="9"/>
      <c r="J6975" s="11"/>
      <c r="U6975" s="9"/>
      <c r="X6975" s="9"/>
    </row>
    <row r="6976">
      <c r="D6976" s="9"/>
      <c r="G6976" s="9"/>
      <c r="J6976" s="11"/>
      <c r="U6976" s="9"/>
      <c r="X6976" s="9"/>
    </row>
    <row r="6977">
      <c r="D6977" s="9"/>
      <c r="G6977" s="9"/>
      <c r="J6977" s="11"/>
      <c r="U6977" s="9"/>
      <c r="X6977" s="9"/>
    </row>
    <row r="6978">
      <c r="D6978" s="9"/>
      <c r="G6978" s="9"/>
      <c r="J6978" s="11"/>
      <c r="U6978" s="9"/>
      <c r="X6978" s="9"/>
    </row>
    <row r="6979">
      <c r="D6979" s="9"/>
      <c r="G6979" s="9"/>
      <c r="J6979" s="11"/>
      <c r="U6979" s="9"/>
      <c r="X6979" s="9"/>
    </row>
    <row r="6980">
      <c r="D6980" s="9"/>
      <c r="G6980" s="9"/>
      <c r="J6980" s="11"/>
      <c r="U6980" s="9"/>
      <c r="X6980" s="9"/>
    </row>
    <row r="6981">
      <c r="D6981" s="9"/>
      <c r="G6981" s="9"/>
      <c r="J6981" s="11"/>
      <c r="U6981" s="9"/>
      <c r="X6981" s="9"/>
    </row>
    <row r="6982">
      <c r="D6982" s="9"/>
      <c r="G6982" s="9"/>
      <c r="J6982" s="11"/>
      <c r="U6982" s="9"/>
      <c r="X6982" s="9"/>
    </row>
    <row r="6983">
      <c r="D6983" s="9"/>
      <c r="G6983" s="9"/>
      <c r="J6983" s="11"/>
      <c r="U6983" s="9"/>
      <c r="X6983" s="9"/>
    </row>
    <row r="6984">
      <c r="D6984" s="9"/>
      <c r="G6984" s="9"/>
      <c r="J6984" s="11"/>
      <c r="U6984" s="9"/>
      <c r="X6984" s="9"/>
    </row>
    <row r="6985">
      <c r="D6985" s="9"/>
      <c r="G6985" s="9"/>
      <c r="J6985" s="11"/>
      <c r="U6985" s="9"/>
      <c r="X6985" s="9"/>
    </row>
    <row r="6986">
      <c r="D6986" s="9"/>
      <c r="G6986" s="9"/>
      <c r="J6986" s="11"/>
      <c r="U6986" s="9"/>
      <c r="X6986" s="9"/>
    </row>
    <row r="6987">
      <c r="D6987" s="9"/>
      <c r="G6987" s="9"/>
      <c r="J6987" s="11"/>
      <c r="U6987" s="9"/>
      <c r="X6987" s="9"/>
    </row>
    <row r="6988">
      <c r="D6988" s="9"/>
      <c r="G6988" s="9"/>
      <c r="J6988" s="11"/>
      <c r="U6988" s="9"/>
      <c r="X6988" s="9"/>
    </row>
    <row r="6989">
      <c r="D6989" s="9"/>
      <c r="G6989" s="9"/>
      <c r="J6989" s="11"/>
      <c r="U6989" s="9"/>
      <c r="X6989" s="9"/>
    </row>
    <row r="6990">
      <c r="D6990" s="9"/>
      <c r="G6990" s="9"/>
      <c r="J6990" s="11"/>
      <c r="U6990" s="9"/>
      <c r="X6990" s="9"/>
    </row>
    <row r="6991">
      <c r="D6991" s="9"/>
      <c r="G6991" s="9"/>
      <c r="J6991" s="11"/>
      <c r="U6991" s="9"/>
      <c r="X6991" s="9"/>
    </row>
    <row r="6992">
      <c r="D6992" s="9"/>
      <c r="G6992" s="9"/>
      <c r="J6992" s="11"/>
      <c r="U6992" s="9"/>
      <c r="X6992" s="9"/>
    </row>
    <row r="6993">
      <c r="D6993" s="9"/>
      <c r="G6993" s="9"/>
      <c r="J6993" s="11"/>
      <c r="U6993" s="9"/>
      <c r="X6993" s="9"/>
    </row>
    <row r="6994">
      <c r="D6994" s="9"/>
      <c r="G6994" s="9"/>
      <c r="J6994" s="11"/>
      <c r="U6994" s="9"/>
      <c r="X6994" s="9"/>
    </row>
    <row r="6995">
      <c r="D6995" s="9"/>
      <c r="G6995" s="9"/>
      <c r="J6995" s="11"/>
      <c r="U6995" s="9"/>
      <c r="X6995" s="9"/>
    </row>
    <row r="6996">
      <c r="D6996" s="9"/>
      <c r="G6996" s="9"/>
      <c r="J6996" s="11"/>
      <c r="U6996" s="9"/>
      <c r="X6996" s="9"/>
    </row>
    <row r="6997">
      <c r="D6997" s="9"/>
      <c r="G6997" s="9"/>
      <c r="J6997" s="11"/>
      <c r="U6997" s="9"/>
      <c r="X6997" s="9"/>
    </row>
    <row r="6998">
      <c r="D6998" s="9"/>
      <c r="G6998" s="9"/>
      <c r="J6998" s="11"/>
      <c r="U6998" s="9"/>
      <c r="X6998" s="9"/>
    </row>
    <row r="6999">
      <c r="D6999" s="9"/>
      <c r="G6999" s="9"/>
      <c r="J6999" s="11"/>
      <c r="U6999" s="9"/>
      <c r="X6999" s="9"/>
    </row>
    <row r="7000">
      <c r="D7000" s="9"/>
      <c r="G7000" s="9"/>
      <c r="J7000" s="11"/>
      <c r="U7000" s="9"/>
      <c r="X7000" s="9"/>
    </row>
    <row r="7001">
      <c r="D7001" s="9"/>
      <c r="G7001" s="9"/>
      <c r="J7001" s="11"/>
      <c r="U7001" s="9"/>
      <c r="X7001" s="9"/>
    </row>
    <row r="7002">
      <c r="D7002" s="9"/>
      <c r="G7002" s="9"/>
      <c r="J7002" s="11"/>
      <c r="U7002" s="9"/>
      <c r="X7002" s="9"/>
    </row>
    <row r="7003">
      <c r="D7003" s="9"/>
      <c r="G7003" s="9"/>
      <c r="J7003" s="11"/>
      <c r="U7003" s="9"/>
      <c r="X7003" s="9"/>
    </row>
    <row r="7004">
      <c r="D7004" s="9"/>
      <c r="G7004" s="9"/>
      <c r="J7004" s="11"/>
      <c r="U7004" s="9"/>
      <c r="X7004" s="9"/>
    </row>
    <row r="7005">
      <c r="D7005" s="9"/>
      <c r="G7005" s="9"/>
      <c r="J7005" s="11"/>
      <c r="U7005" s="9"/>
      <c r="X7005" s="9"/>
    </row>
    <row r="7006">
      <c r="D7006" s="9"/>
      <c r="G7006" s="9"/>
      <c r="J7006" s="11"/>
      <c r="U7006" s="9"/>
      <c r="X7006" s="9"/>
    </row>
    <row r="7007">
      <c r="D7007" s="9"/>
      <c r="G7007" s="9"/>
      <c r="J7007" s="11"/>
      <c r="U7007" s="9"/>
      <c r="X7007" s="9"/>
    </row>
    <row r="7008">
      <c r="D7008" s="9"/>
      <c r="G7008" s="9"/>
      <c r="J7008" s="11"/>
      <c r="U7008" s="9"/>
      <c r="X7008" s="9"/>
    </row>
    <row r="7009">
      <c r="D7009" s="9"/>
      <c r="G7009" s="9"/>
      <c r="J7009" s="11"/>
      <c r="U7009" s="9"/>
      <c r="X7009" s="9"/>
    </row>
    <row r="7010">
      <c r="D7010" s="9"/>
      <c r="G7010" s="9"/>
      <c r="J7010" s="11"/>
      <c r="U7010" s="9"/>
      <c r="X7010" s="9"/>
    </row>
    <row r="7011">
      <c r="D7011" s="9"/>
      <c r="G7011" s="9"/>
      <c r="J7011" s="11"/>
      <c r="U7011" s="9"/>
      <c r="X7011" s="9"/>
    </row>
    <row r="7012">
      <c r="D7012" s="9"/>
      <c r="G7012" s="9"/>
      <c r="J7012" s="11"/>
      <c r="U7012" s="9"/>
      <c r="X7012" s="9"/>
    </row>
    <row r="7013">
      <c r="D7013" s="9"/>
      <c r="G7013" s="9"/>
      <c r="J7013" s="11"/>
      <c r="U7013" s="9"/>
      <c r="X7013" s="9"/>
    </row>
    <row r="7014">
      <c r="D7014" s="9"/>
      <c r="G7014" s="9"/>
      <c r="J7014" s="11"/>
      <c r="U7014" s="9"/>
      <c r="X7014" s="9"/>
    </row>
    <row r="7015">
      <c r="D7015" s="9"/>
      <c r="G7015" s="9"/>
      <c r="J7015" s="11"/>
      <c r="U7015" s="9"/>
      <c r="X7015" s="9"/>
    </row>
    <row r="7016">
      <c r="D7016" s="9"/>
      <c r="G7016" s="9"/>
      <c r="J7016" s="11"/>
      <c r="U7016" s="9"/>
      <c r="X7016" s="9"/>
    </row>
    <row r="7017">
      <c r="D7017" s="9"/>
      <c r="G7017" s="9"/>
      <c r="J7017" s="11"/>
      <c r="U7017" s="9"/>
      <c r="X7017" s="9"/>
    </row>
    <row r="7018">
      <c r="D7018" s="9"/>
      <c r="G7018" s="9"/>
      <c r="J7018" s="11"/>
      <c r="U7018" s="9"/>
      <c r="X7018" s="9"/>
    </row>
    <row r="7019">
      <c r="D7019" s="9"/>
      <c r="G7019" s="9"/>
      <c r="J7019" s="11"/>
      <c r="U7019" s="9"/>
      <c r="X7019" s="9"/>
    </row>
    <row r="7020">
      <c r="D7020" s="9"/>
      <c r="G7020" s="9"/>
      <c r="J7020" s="11"/>
      <c r="U7020" s="9"/>
      <c r="X7020" s="9"/>
    </row>
    <row r="7021">
      <c r="D7021" s="9"/>
      <c r="G7021" s="9"/>
      <c r="J7021" s="11"/>
      <c r="U7021" s="9"/>
      <c r="X7021" s="9"/>
    </row>
    <row r="7022">
      <c r="D7022" s="9"/>
      <c r="G7022" s="9"/>
      <c r="J7022" s="11"/>
      <c r="U7022" s="9"/>
      <c r="X7022" s="9"/>
    </row>
    <row r="7023">
      <c r="D7023" s="9"/>
      <c r="G7023" s="9"/>
      <c r="J7023" s="11"/>
      <c r="U7023" s="9"/>
      <c r="X7023" s="9"/>
    </row>
    <row r="7024">
      <c r="D7024" s="9"/>
      <c r="G7024" s="9"/>
      <c r="J7024" s="11"/>
      <c r="U7024" s="9"/>
      <c r="X7024" s="9"/>
    </row>
    <row r="7025">
      <c r="D7025" s="9"/>
      <c r="G7025" s="9"/>
      <c r="J7025" s="11"/>
      <c r="U7025" s="9"/>
      <c r="X7025" s="9"/>
    </row>
    <row r="7026">
      <c r="D7026" s="9"/>
      <c r="G7026" s="9"/>
      <c r="J7026" s="11"/>
      <c r="U7026" s="9"/>
      <c r="X7026" s="9"/>
    </row>
    <row r="7027">
      <c r="D7027" s="9"/>
      <c r="G7027" s="9"/>
      <c r="J7027" s="11"/>
      <c r="U7027" s="9"/>
      <c r="X7027" s="9"/>
    </row>
    <row r="7028">
      <c r="D7028" s="9"/>
      <c r="G7028" s="9"/>
      <c r="J7028" s="11"/>
      <c r="U7028" s="9"/>
      <c r="X7028" s="9"/>
    </row>
    <row r="7029">
      <c r="D7029" s="9"/>
      <c r="G7029" s="9"/>
      <c r="J7029" s="11"/>
      <c r="U7029" s="9"/>
      <c r="X7029" s="9"/>
    </row>
    <row r="7030">
      <c r="D7030" s="9"/>
      <c r="G7030" s="9"/>
      <c r="J7030" s="11"/>
      <c r="U7030" s="9"/>
      <c r="X7030" s="9"/>
    </row>
    <row r="7031">
      <c r="D7031" s="9"/>
      <c r="G7031" s="9"/>
      <c r="J7031" s="11"/>
      <c r="U7031" s="9"/>
      <c r="X7031" s="9"/>
    </row>
    <row r="7032">
      <c r="D7032" s="9"/>
      <c r="G7032" s="9"/>
      <c r="J7032" s="11"/>
      <c r="U7032" s="9"/>
      <c r="X7032" s="9"/>
    </row>
    <row r="7033">
      <c r="D7033" s="9"/>
      <c r="G7033" s="9"/>
      <c r="J7033" s="11"/>
      <c r="U7033" s="9"/>
      <c r="X7033" s="9"/>
    </row>
    <row r="7034">
      <c r="D7034" s="9"/>
      <c r="G7034" s="9"/>
      <c r="J7034" s="11"/>
      <c r="U7034" s="9"/>
      <c r="X7034" s="9"/>
    </row>
    <row r="7035">
      <c r="D7035" s="9"/>
      <c r="G7035" s="9"/>
      <c r="J7035" s="11"/>
      <c r="U7035" s="9"/>
      <c r="X7035" s="9"/>
    </row>
    <row r="7036">
      <c r="D7036" s="9"/>
      <c r="G7036" s="9"/>
      <c r="J7036" s="11"/>
      <c r="U7036" s="9"/>
      <c r="X7036" s="9"/>
    </row>
    <row r="7037">
      <c r="D7037" s="9"/>
      <c r="G7037" s="9"/>
      <c r="J7037" s="11"/>
      <c r="U7037" s="9"/>
      <c r="X7037" s="9"/>
    </row>
    <row r="7038">
      <c r="D7038" s="9"/>
      <c r="G7038" s="9"/>
      <c r="J7038" s="11"/>
      <c r="U7038" s="9"/>
      <c r="X7038" s="9"/>
    </row>
    <row r="7039">
      <c r="D7039" s="9"/>
      <c r="G7039" s="9"/>
      <c r="J7039" s="11"/>
      <c r="U7039" s="9"/>
      <c r="X7039" s="9"/>
    </row>
    <row r="7040">
      <c r="D7040" s="9"/>
      <c r="G7040" s="9"/>
      <c r="J7040" s="11"/>
      <c r="U7040" s="9"/>
      <c r="X7040" s="9"/>
    </row>
    <row r="7041">
      <c r="D7041" s="9"/>
      <c r="G7041" s="9"/>
      <c r="J7041" s="11"/>
      <c r="U7041" s="9"/>
      <c r="X7041" s="9"/>
    </row>
    <row r="7042">
      <c r="D7042" s="9"/>
      <c r="G7042" s="9"/>
      <c r="J7042" s="11"/>
      <c r="U7042" s="9"/>
      <c r="X7042" s="9"/>
    </row>
    <row r="7043">
      <c r="D7043" s="9"/>
      <c r="G7043" s="9"/>
      <c r="J7043" s="11"/>
      <c r="U7043" s="9"/>
      <c r="X7043" s="9"/>
    </row>
    <row r="7044">
      <c r="D7044" s="9"/>
      <c r="G7044" s="9"/>
      <c r="J7044" s="11"/>
      <c r="U7044" s="9"/>
      <c r="X7044" s="9"/>
    </row>
    <row r="7045">
      <c r="D7045" s="9"/>
      <c r="G7045" s="9"/>
      <c r="J7045" s="11"/>
      <c r="U7045" s="9"/>
      <c r="X7045" s="9"/>
    </row>
    <row r="7046">
      <c r="D7046" s="9"/>
      <c r="G7046" s="9"/>
      <c r="J7046" s="11"/>
      <c r="U7046" s="9"/>
      <c r="X7046" s="9"/>
    </row>
    <row r="7047">
      <c r="D7047" s="9"/>
      <c r="G7047" s="9"/>
      <c r="J7047" s="11"/>
      <c r="U7047" s="9"/>
      <c r="X7047" s="9"/>
    </row>
    <row r="7048">
      <c r="D7048" s="9"/>
      <c r="G7048" s="9"/>
      <c r="J7048" s="11"/>
      <c r="U7048" s="9"/>
      <c r="X7048" s="9"/>
    </row>
    <row r="7049">
      <c r="D7049" s="9"/>
      <c r="G7049" s="9"/>
      <c r="J7049" s="11"/>
      <c r="U7049" s="9"/>
      <c r="X7049" s="9"/>
    </row>
    <row r="7050">
      <c r="D7050" s="9"/>
      <c r="G7050" s="9"/>
      <c r="J7050" s="11"/>
      <c r="U7050" s="9"/>
      <c r="X7050" s="9"/>
    </row>
    <row r="7051">
      <c r="D7051" s="9"/>
      <c r="G7051" s="9"/>
      <c r="J7051" s="11"/>
      <c r="U7051" s="9"/>
      <c r="X7051" s="9"/>
    </row>
    <row r="7052">
      <c r="D7052" s="9"/>
      <c r="G7052" s="9"/>
      <c r="J7052" s="11"/>
      <c r="U7052" s="9"/>
      <c r="X7052" s="9"/>
    </row>
    <row r="7053">
      <c r="D7053" s="9"/>
      <c r="G7053" s="9"/>
      <c r="J7053" s="11"/>
      <c r="U7053" s="9"/>
      <c r="X7053" s="9"/>
    </row>
    <row r="7054">
      <c r="D7054" s="9"/>
      <c r="G7054" s="9"/>
      <c r="J7054" s="11"/>
      <c r="U7054" s="9"/>
      <c r="X7054" s="9"/>
    </row>
    <row r="7055">
      <c r="D7055" s="9"/>
      <c r="G7055" s="9"/>
      <c r="J7055" s="11"/>
      <c r="U7055" s="9"/>
      <c r="X7055" s="9"/>
    </row>
    <row r="7056">
      <c r="D7056" s="9"/>
      <c r="G7056" s="9"/>
      <c r="J7056" s="11"/>
      <c r="U7056" s="9"/>
      <c r="X7056" s="9"/>
    </row>
    <row r="7057">
      <c r="D7057" s="9"/>
      <c r="G7057" s="9"/>
      <c r="J7057" s="11"/>
      <c r="U7057" s="9"/>
      <c r="X7057" s="9"/>
    </row>
    <row r="7058">
      <c r="D7058" s="9"/>
      <c r="G7058" s="9"/>
      <c r="J7058" s="11"/>
      <c r="U7058" s="9"/>
      <c r="X7058" s="9"/>
    </row>
    <row r="7059">
      <c r="D7059" s="9"/>
      <c r="G7059" s="9"/>
      <c r="J7059" s="11"/>
      <c r="U7059" s="9"/>
      <c r="X7059" s="9"/>
    </row>
    <row r="7060">
      <c r="D7060" s="9"/>
      <c r="G7060" s="9"/>
      <c r="J7060" s="11"/>
      <c r="U7060" s="9"/>
      <c r="X7060" s="9"/>
    </row>
    <row r="7061">
      <c r="D7061" s="9"/>
      <c r="G7061" s="9"/>
      <c r="J7061" s="11"/>
      <c r="U7061" s="9"/>
      <c r="X7061" s="9"/>
    </row>
    <row r="7062">
      <c r="D7062" s="9"/>
      <c r="G7062" s="9"/>
      <c r="J7062" s="11"/>
      <c r="U7062" s="9"/>
      <c r="X7062" s="9"/>
    </row>
    <row r="7063">
      <c r="D7063" s="9"/>
      <c r="G7063" s="9"/>
      <c r="J7063" s="11"/>
      <c r="U7063" s="9"/>
      <c r="X7063" s="9"/>
    </row>
    <row r="7064">
      <c r="D7064" s="9"/>
      <c r="G7064" s="9"/>
      <c r="J7064" s="11"/>
      <c r="U7064" s="9"/>
      <c r="X7064" s="9"/>
    </row>
    <row r="7065">
      <c r="D7065" s="9"/>
      <c r="G7065" s="9"/>
      <c r="J7065" s="11"/>
      <c r="U7065" s="9"/>
      <c r="X7065" s="9"/>
    </row>
    <row r="7066">
      <c r="D7066" s="9"/>
      <c r="G7066" s="9"/>
      <c r="J7066" s="11"/>
      <c r="U7066" s="9"/>
      <c r="X7066" s="9"/>
    </row>
    <row r="7067">
      <c r="D7067" s="9"/>
      <c r="G7067" s="9"/>
      <c r="J7067" s="11"/>
      <c r="U7067" s="9"/>
      <c r="X7067" s="9"/>
    </row>
    <row r="7068">
      <c r="D7068" s="9"/>
      <c r="G7068" s="9"/>
      <c r="J7068" s="11"/>
      <c r="U7068" s="9"/>
      <c r="X7068" s="9"/>
    </row>
    <row r="7069">
      <c r="D7069" s="9"/>
      <c r="G7069" s="9"/>
      <c r="J7069" s="11"/>
      <c r="U7069" s="9"/>
      <c r="X7069" s="9"/>
    </row>
    <row r="7070">
      <c r="D7070" s="9"/>
      <c r="G7070" s="9"/>
      <c r="J7070" s="11"/>
      <c r="U7070" s="9"/>
      <c r="X7070" s="9"/>
    </row>
    <row r="7071">
      <c r="D7071" s="9"/>
      <c r="G7071" s="9"/>
      <c r="J7071" s="11"/>
      <c r="U7071" s="9"/>
      <c r="X7071" s="9"/>
    </row>
    <row r="7072">
      <c r="D7072" s="9"/>
      <c r="G7072" s="9"/>
      <c r="J7072" s="11"/>
      <c r="U7072" s="9"/>
      <c r="X7072" s="9"/>
    </row>
    <row r="7073">
      <c r="D7073" s="9"/>
      <c r="G7073" s="9"/>
      <c r="J7073" s="11"/>
      <c r="U7073" s="9"/>
      <c r="X7073" s="9"/>
    </row>
    <row r="7074">
      <c r="D7074" s="9"/>
      <c r="G7074" s="9"/>
      <c r="J7074" s="11"/>
      <c r="U7074" s="9"/>
      <c r="X7074" s="9"/>
    </row>
    <row r="7075">
      <c r="D7075" s="9"/>
      <c r="G7075" s="9"/>
      <c r="J7075" s="11"/>
      <c r="U7075" s="9"/>
      <c r="X7075" s="9"/>
    </row>
    <row r="7076">
      <c r="D7076" s="9"/>
      <c r="G7076" s="9"/>
      <c r="J7076" s="11"/>
      <c r="U7076" s="9"/>
      <c r="X7076" s="9"/>
    </row>
    <row r="7077">
      <c r="D7077" s="9"/>
      <c r="G7077" s="9"/>
      <c r="J7077" s="11"/>
      <c r="U7077" s="9"/>
      <c r="X7077" s="9"/>
    </row>
    <row r="7078">
      <c r="D7078" s="9"/>
      <c r="G7078" s="9"/>
      <c r="J7078" s="11"/>
      <c r="U7078" s="9"/>
      <c r="X7078" s="9"/>
    </row>
    <row r="7079">
      <c r="D7079" s="9"/>
      <c r="G7079" s="9"/>
      <c r="J7079" s="11"/>
      <c r="U7079" s="9"/>
      <c r="X7079" s="9"/>
    </row>
    <row r="7080">
      <c r="D7080" s="9"/>
      <c r="G7080" s="9"/>
      <c r="J7080" s="11"/>
      <c r="U7080" s="9"/>
      <c r="X7080" s="9"/>
    </row>
    <row r="7081">
      <c r="D7081" s="9"/>
      <c r="G7081" s="9"/>
      <c r="J7081" s="11"/>
      <c r="U7081" s="9"/>
      <c r="X7081" s="9"/>
    </row>
    <row r="7082">
      <c r="D7082" s="9"/>
      <c r="G7082" s="9"/>
      <c r="J7082" s="11"/>
      <c r="U7082" s="9"/>
      <c r="X7082" s="9"/>
    </row>
    <row r="7083">
      <c r="D7083" s="9"/>
      <c r="G7083" s="9"/>
      <c r="J7083" s="11"/>
      <c r="U7083" s="9"/>
      <c r="X7083" s="9"/>
    </row>
    <row r="7084">
      <c r="D7084" s="9"/>
      <c r="G7084" s="9"/>
      <c r="J7084" s="11"/>
      <c r="U7084" s="9"/>
      <c r="X7084" s="9"/>
    </row>
    <row r="7085">
      <c r="D7085" s="9"/>
      <c r="G7085" s="9"/>
      <c r="J7085" s="11"/>
      <c r="U7085" s="9"/>
      <c r="X7085" s="9"/>
    </row>
    <row r="7086">
      <c r="D7086" s="9"/>
      <c r="G7086" s="9"/>
      <c r="J7086" s="11"/>
      <c r="U7086" s="9"/>
      <c r="X7086" s="9"/>
    </row>
    <row r="7087">
      <c r="D7087" s="9"/>
      <c r="G7087" s="9"/>
      <c r="J7087" s="11"/>
      <c r="U7087" s="9"/>
      <c r="X7087" s="9"/>
    </row>
    <row r="7088">
      <c r="D7088" s="9"/>
      <c r="G7088" s="9"/>
      <c r="J7088" s="11"/>
      <c r="U7088" s="9"/>
      <c r="X7088" s="9"/>
    </row>
    <row r="7089">
      <c r="D7089" s="9"/>
      <c r="G7089" s="9"/>
      <c r="J7089" s="11"/>
      <c r="U7089" s="9"/>
      <c r="X7089" s="9"/>
    </row>
    <row r="7090">
      <c r="D7090" s="9"/>
      <c r="G7090" s="9"/>
      <c r="J7090" s="11"/>
      <c r="U7090" s="9"/>
      <c r="X7090" s="9"/>
    </row>
    <row r="7091">
      <c r="D7091" s="9"/>
      <c r="G7091" s="9"/>
      <c r="J7091" s="11"/>
      <c r="U7091" s="9"/>
      <c r="X7091" s="9"/>
    </row>
    <row r="7092">
      <c r="D7092" s="9"/>
      <c r="G7092" s="9"/>
      <c r="J7092" s="11"/>
      <c r="U7092" s="9"/>
      <c r="X7092" s="9"/>
    </row>
    <row r="7093">
      <c r="D7093" s="9"/>
      <c r="G7093" s="9"/>
      <c r="J7093" s="11"/>
      <c r="U7093" s="9"/>
      <c r="X7093" s="9"/>
    </row>
    <row r="7094">
      <c r="D7094" s="9"/>
      <c r="G7094" s="9"/>
      <c r="J7094" s="11"/>
      <c r="U7094" s="9"/>
      <c r="X7094" s="9"/>
    </row>
    <row r="7095">
      <c r="D7095" s="9"/>
      <c r="G7095" s="9"/>
      <c r="J7095" s="11"/>
      <c r="U7095" s="9"/>
      <c r="X7095" s="9"/>
    </row>
    <row r="7096">
      <c r="D7096" s="9"/>
      <c r="G7096" s="9"/>
      <c r="J7096" s="11"/>
      <c r="U7096" s="9"/>
      <c r="X7096" s="9"/>
    </row>
    <row r="7097">
      <c r="D7097" s="9"/>
      <c r="G7097" s="9"/>
      <c r="J7097" s="11"/>
      <c r="U7097" s="9"/>
      <c r="X7097" s="9"/>
    </row>
    <row r="7098">
      <c r="D7098" s="9"/>
      <c r="G7098" s="9"/>
      <c r="J7098" s="11"/>
      <c r="U7098" s="9"/>
      <c r="X7098" s="9"/>
    </row>
    <row r="7099">
      <c r="D7099" s="9"/>
      <c r="G7099" s="9"/>
      <c r="J7099" s="11"/>
      <c r="U7099" s="9"/>
      <c r="X7099" s="9"/>
    </row>
    <row r="7100">
      <c r="D7100" s="9"/>
      <c r="G7100" s="9"/>
      <c r="J7100" s="11"/>
      <c r="U7100" s="9"/>
      <c r="X7100" s="9"/>
    </row>
    <row r="7101">
      <c r="D7101" s="9"/>
      <c r="G7101" s="9"/>
      <c r="J7101" s="11"/>
      <c r="U7101" s="9"/>
      <c r="X7101" s="9"/>
    </row>
    <row r="7102">
      <c r="D7102" s="9"/>
      <c r="G7102" s="9"/>
      <c r="J7102" s="11"/>
      <c r="U7102" s="9"/>
      <c r="X7102" s="9"/>
    </row>
    <row r="7103">
      <c r="D7103" s="9"/>
      <c r="G7103" s="9"/>
      <c r="J7103" s="11"/>
      <c r="U7103" s="9"/>
      <c r="X7103" s="9"/>
    </row>
    <row r="7104">
      <c r="D7104" s="9"/>
      <c r="G7104" s="9"/>
      <c r="J7104" s="11"/>
      <c r="U7104" s="9"/>
      <c r="X7104" s="9"/>
    </row>
    <row r="7105">
      <c r="D7105" s="9"/>
      <c r="G7105" s="9"/>
      <c r="J7105" s="11"/>
      <c r="U7105" s="9"/>
      <c r="X7105" s="9"/>
    </row>
    <row r="7106">
      <c r="D7106" s="9"/>
      <c r="G7106" s="9"/>
      <c r="J7106" s="11"/>
      <c r="U7106" s="9"/>
      <c r="X7106" s="9"/>
    </row>
    <row r="7107">
      <c r="D7107" s="9"/>
      <c r="G7107" s="9"/>
      <c r="J7107" s="11"/>
      <c r="U7107" s="9"/>
      <c r="X7107" s="9"/>
    </row>
    <row r="7108">
      <c r="D7108" s="9"/>
      <c r="G7108" s="9"/>
      <c r="J7108" s="11"/>
      <c r="U7108" s="9"/>
      <c r="X7108" s="9"/>
    </row>
    <row r="7109">
      <c r="D7109" s="9"/>
      <c r="G7109" s="9"/>
      <c r="J7109" s="11"/>
      <c r="U7109" s="9"/>
      <c r="X7109" s="9"/>
    </row>
    <row r="7110">
      <c r="D7110" s="9"/>
      <c r="G7110" s="9"/>
      <c r="J7110" s="11"/>
      <c r="U7110" s="9"/>
      <c r="X7110" s="9"/>
    </row>
    <row r="7111">
      <c r="D7111" s="9"/>
      <c r="G7111" s="9"/>
      <c r="J7111" s="11"/>
      <c r="U7111" s="9"/>
      <c r="X7111" s="9"/>
    </row>
    <row r="7112">
      <c r="D7112" s="9"/>
      <c r="G7112" s="9"/>
      <c r="J7112" s="11"/>
      <c r="U7112" s="9"/>
      <c r="X7112" s="9"/>
    </row>
    <row r="7113">
      <c r="D7113" s="9"/>
      <c r="G7113" s="9"/>
      <c r="J7113" s="11"/>
      <c r="U7113" s="9"/>
      <c r="X7113" s="9"/>
    </row>
    <row r="7114">
      <c r="D7114" s="9"/>
      <c r="G7114" s="9"/>
      <c r="J7114" s="11"/>
      <c r="U7114" s="9"/>
      <c r="X7114" s="9"/>
    </row>
    <row r="7115">
      <c r="D7115" s="9"/>
      <c r="G7115" s="9"/>
      <c r="J7115" s="11"/>
      <c r="U7115" s="9"/>
      <c r="X7115" s="9"/>
    </row>
    <row r="7116">
      <c r="D7116" s="9"/>
      <c r="G7116" s="9"/>
      <c r="J7116" s="11"/>
      <c r="U7116" s="9"/>
      <c r="X7116" s="9"/>
    </row>
    <row r="7117">
      <c r="D7117" s="9"/>
      <c r="G7117" s="9"/>
      <c r="J7117" s="11"/>
      <c r="U7117" s="9"/>
      <c r="X7117" s="9"/>
    </row>
    <row r="7118">
      <c r="D7118" s="9"/>
      <c r="G7118" s="9"/>
      <c r="J7118" s="11"/>
      <c r="U7118" s="9"/>
      <c r="X7118" s="9"/>
    </row>
    <row r="7119">
      <c r="D7119" s="9"/>
      <c r="G7119" s="9"/>
      <c r="J7119" s="11"/>
      <c r="U7119" s="9"/>
      <c r="X7119" s="9"/>
    </row>
    <row r="7120">
      <c r="D7120" s="9"/>
      <c r="G7120" s="9"/>
      <c r="J7120" s="11"/>
      <c r="U7120" s="9"/>
      <c r="X7120" s="9"/>
    </row>
    <row r="7121">
      <c r="D7121" s="9"/>
      <c r="G7121" s="9"/>
      <c r="J7121" s="11"/>
      <c r="U7121" s="9"/>
      <c r="X7121" s="9"/>
    </row>
    <row r="7122">
      <c r="D7122" s="9"/>
      <c r="G7122" s="9"/>
      <c r="J7122" s="11"/>
      <c r="U7122" s="9"/>
      <c r="X7122" s="9"/>
    </row>
    <row r="7123">
      <c r="D7123" s="9"/>
      <c r="G7123" s="9"/>
      <c r="J7123" s="11"/>
      <c r="U7123" s="9"/>
      <c r="X7123" s="9"/>
    </row>
    <row r="7124">
      <c r="D7124" s="9"/>
      <c r="G7124" s="9"/>
      <c r="J7124" s="11"/>
      <c r="U7124" s="9"/>
      <c r="X7124" s="9"/>
    </row>
    <row r="7125">
      <c r="D7125" s="9"/>
      <c r="G7125" s="9"/>
      <c r="J7125" s="11"/>
      <c r="U7125" s="9"/>
      <c r="X7125" s="9"/>
    </row>
    <row r="7126">
      <c r="D7126" s="9"/>
      <c r="G7126" s="9"/>
      <c r="J7126" s="11"/>
      <c r="U7126" s="9"/>
      <c r="X7126" s="9"/>
    </row>
    <row r="7127">
      <c r="D7127" s="9"/>
      <c r="G7127" s="9"/>
      <c r="J7127" s="11"/>
      <c r="U7127" s="9"/>
      <c r="X7127" s="9"/>
    </row>
    <row r="7128">
      <c r="D7128" s="9"/>
      <c r="G7128" s="9"/>
      <c r="J7128" s="11"/>
      <c r="U7128" s="9"/>
      <c r="X7128" s="9"/>
    </row>
    <row r="7129">
      <c r="D7129" s="9"/>
      <c r="G7129" s="9"/>
      <c r="J7129" s="11"/>
      <c r="U7129" s="9"/>
      <c r="X7129" s="9"/>
    </row>
    <row r="7130">
      <c r="D7130" s="9"/>
      <c r="G7130" s="9"/>
      <c r="J7130" s="11"/>
      <c r="U7130" s="9"/>
      <c r="X7130" s="9"/>
    </row>
    <row r="7131">
      <c r="D7131" s="9"/>
      <c r="G7131" s="9"/>
      <c r="J7131" s="11"/>
      <c r="U7131" s="9"/>
      <c r="X7131" s="9"/>
    </row>
    <row r="7132">
      <c r="D7132" s="9"/>
      <c r="G7132" s="9"/>
      <c r="J7132" s="11"/>
      <c r="U7132" s="9"/>
      <c r="X7132" s="9"/>
    </row>
    <row r="7133">
      <c r="D7133" s="9"/>
      <c r="G7133" s="9"/>
      <c r="J7133" s="11"/>
      <c r="U7133" s="9"/>
      <c r="X7133" s="9"/>
    </row>
    <row r="7134">
      <c r="D7134" s="9"/>
      <c r="G7134" s="9"/>
      <c r="J7134" s="11"/>
      <c r="U7134" s="9"/>
      <c r="X7134" s="9"/>
    </row>
    <row r="7135">
      <c r="D7135" s="9"/>
      <c r="G7135" s="9"/>
      <c r="J7135" s="11"/>
      <c r="U7135" s="9"/>
      <c r="X7135" s="9"/>
    </row>
    <row r="7136">
      <c r="D7136" s="9"/>
      <c r="G7136" s="9"/>
      <c r="J7136" s="11"/>
      <c r="U7136" s="9"/>
      <c r="X7136" s="9"/>
    </row>
    <row r="7137">
      <c r="D7137" s="9"/>
      <c r="G7137" s="9"/>
      <c r="J7137" s="11"/>
      <c r="U7137" s="9"/>
      <c r="X7137" s="9"/>
    </row>
    <row r="7138">
      <c r="D7138" s="9"/>
      <c r="G7138" s="9"/>
      <c r="J7138" s="11"/>
      <c r="U7138" s="9"/>
      <c r="X7138" s="9"/>
    </row>
    <row r="7139">
      <c r="D7139" s="9"/>
      <c r="G7139" s="9"/>
      <c r="J7139" s="11"/>
      <c r="U7139" s="9"/>
      <c r="X7139" s="9"/>
    </row>
    <row r="7140">
      <c r="D7140" s="9"/>
      <c r="G7140" s="9"/>
      <c r="J7140" s="11"/>
      <c r="U7140" s="9"/>
      <c r="X7140" s="9"/>
    </row>
    <row r="7141">
      <c r="D7141" s="9"/>
      <c r="G7141" s="9"/>
      <c r="J7141" s="11"/>
      <c r="U7141" s="9"/>
      <c r="X7141" s="9"/>
    </row>
    <row r="7142">
      <c r="D7142" s="9"/>
      <c r="G7142" s="9"/>
      <c r="J7142" s="11"/>
      <c r="U7142" s="9"/>
      <c r="X7142" s="9"/>
    </row>
    <row r="7143">
      <c r="D7143" s="9"/>
      <c r="G7143" s="9"/>
      <c r="J7143" s="11"/>
      <c r="U7143" s="9"/>
      <c r="X7143" s="9"/>
    </row>
    <row r="7144">
      <c r="D7144" s="9"/>
      <c r="G7144" s="9"/>
      <c r="J7144" s="11"/>
      <c r="U7144" s="9"/>
      <c r="X7144" s="9"/>
    </row>
    <row r="7145">
      <c r="D7145" s="9"/>
      <c r="G7145" s="9"/>
      <c r="J7145" s="11"/>
      <c r="U7145" s="9"/>
      <c r="X7145" s="9"/>
    </row>
    <row r="7146">
      <c r="D7146" s="9"/>
      <c r="G7146" s="9"/>
      <c r="J7146" s="11"/>
      <c r="U7146" s="9"/>
      <c r="X7146" s="9"/>
    </row>
    <row r="7147">
      <c r="D7147" s="9"/>
      <c r="G7147" s="9"/>
      <c r="J7147" s="11"/>
      <c r="U7147" s="9"/>
      <c r="X7147" s="9"/>
    </row>
    <row r="7148">
      <c r="D7148" s="9"/>
      <c r="G7148" s="9"/>
      <c r="J7148" s="11"/>
      <c r="U7148" s="9"/>
      <c r="X7148" s="9"/>
    </row>
    <row r="7149">
      <c r="D7149" s="9"/>
      <c r="G7149" s="9"/>
      <c r="J7149" s="11"/>
      <c r="U7149" s="9"/>
      <c r="X7149" s="9"/>
    </row>
    <row r="7150">
      <c r="D7150" s="9"/>
      <c r="G7150" s="9"/>
      <c r="J7150" s="11"/>
      <c r="U7150" s="9"/>
      <c r="X7150" s="9"/>
    </row>
    <row r="7151">
      <c r="D7151" s="9"/>
      <c r="G7151" s="9"/>
      <c r="J7151" s="11"/>
      <c r="U7151" s="9"/>
      <c r="X7151" s="9"/>
    </row>
    <row r="7152">
      <c r="D7152" s="9"/>
      <c r="G7152" s="9"/>
      <c r="J7152" s="11"/>
      <c r="U7152" s="9"/>
      <c r="X7152" s="9"/>
    </row>
    <row r="7153">
      <c r="D7153" s="9"/>
      <c r="G7153" s="9"/>
      <c r="J7153" s="11"/>
      <c r="U7153" s="9"/>
      <c r="X7153" s="9"/>
    </row>
    <row r="7154">
      <c r="D7154" s="9"/>
      <c r="G7154" s="9"/>
      <c r="J7154" s="11"/>
      <c r="U7154" s="9"/>
      <c r="X7154" s="9"/>
    </row>
    <row r="7155">
      <c r="D7155" s="9"/>
      <c r="G7155" s="9"/>
      <c r="J7155" s="11"/>
      <c r="U7155" s="9"/>
      <c r="X7155" s="9"/>
    </row>
    <row r="7156">
      <c r="D7156" s="9"/>
      <c r="G7156" s="9"/>
      <c r="J7156" s="11"/>
      <c r="U7156" s="9"/>
      <c r="X7156" s="9"/>
    </row>
    <row r="7157">
      <c r="D7157" s="9"/>
      <c r="G7157" s="9"/>
      <c r="J7157" s="11"/>
      <c r="U7157" s="9"/>
      <c r="X7157" s="9"/>
    </row>
    <row r="7158">
      <c r="D7158" s="9"/>
      <c r="G7158" s="9"/>
      <c r="J7158" s="11"/>
      <c r="U7158" s="9"/>
      <c r="X7158" s="9"/>
    </row>
    <row r="7159">
      <c r="D7159" s="9"/>
      <c r="G7159" s="9"/>
      <c r="J7159" s="11"/>
      <c r="U7159" s="9"/>
      <c r="X7159" s="9"/>
    </row>
    <row r="7160">
      <c r="D7160" s="9"/>
      <c r="G7160" s="9"/>
      <c r="J7160" s="11"/>
      <c r="U7160" s="9"/>
      <c r="X7160" s="9"/>
    </row>
    <row r="7161">
      <c r="D7161" s="9"/>
      <c r="G7161" s="9"/>
      <c r="J7161" s="11"/>
      <c r="U7161" s="9"/>
      <c r="X7161" s="9"/>
    </row>
    <row r="7162">
      <c r="D7162" s="9"/>
      <c r="G7162" s="9"/>
      <c r="J7162" s="11"/>
      <c r="U7162" s="9"/>
      <c r="X7162" s="9"/>
    </row>
    <row r="7163">
      <c r="D7163" s="9"/>
      <c r="G7163" s="9"/>
      <c r="J7163" s="11"/>
      <c r="U7163" s="9"/>
      <c r="X7163" s="9"/>
    </row>
    <row r="7164">
      <c r="D7164" s="9"/>
      <c r="G7164" s="9"/>
      <c r="J7164" s="11"/>
      <c r="U7164" s="9"/>
      <c r="X7164" s="9"/>
    </row>
    <row r="7165">
      <c r="D7165" s="9"/>
      <c r="G7165" s="9"/>
      <c r="J7165" s="11"/>
      <c r="U7165" s="9"/>
      <c r="X7165" s="9"/>
    </row>
    <row r="7166">
      <c r="D7166" s="9"/>
      <c r="G7166" s="9"/>
      <c r="J7166" s="11"/>
      <c r="U7166" s="9"/>
      <c r="X7166" s="9"/>
    </row>
    <row r="7167">
      <c r="D7167" s="9"/>
      <c r="G7167" s="9"/>
      <c r="J7167" s="11"/>
      <c r="U7167" s="9"/>
      <c r="X7167" s="9"/>
    </row>
    <row r="7168">
      <c r="D7168" s="9"/>
      <c r="G7168" s="9"/>
      <c r="J7168" s="11"/>
      <c r="U7168" s="9"/>
      <c r="X7168" s="9"/>
    </row>
    <row r="7169">
      <c r="D7169" s="9"/>
      <c r="G7169" s="9"/>
      <c r="J7169" s="11"/>
      <c r="U7169" s="9"/>
      <c r="X7169" s="9"/>
    </row>
    <row r="7170">
      <c r="D7170" s="9"/>
      <c r="G7170" s="9"/>
      <c r="J7170" s="11"/>
      <c r="U7170" s="9"/>
      <c r="X7170" s="9"/>
    </row>
    <row r="7171">
      <c r="D7171" s="9"/>
      <c r="G7171" s="9"/>
      <c r="J7171" s="11"/>
      <c r="U7171" s="9"/>
      <c r="X7171" s="9"/>
    </row>
    <row r="7172">
      <c r="D7172" s="9"/>
      <c r="G7172" s="9"/>
      <c r="J7172" s="11"/>
      <c r="U7172" s="9"/>
      <c r="X7172" s="9"/>
    </row>
    <row r="7173">
      <c r="D7173" s="9"/>
      <c r="G7173" s="9"/>
      <c r="J7173" s="11"/>
      <c r="U7173" s="9"/>
      <c r="X7173" s="9"/>
    </row>
    <row r="7174">
      <c r="D7174" s="9"/>
      <c r="G7174" s="9"/>
      <c r="J7174" s="11"/>
      <c r="U7174" s="9"/>
      <c r="X7174" s="9"/>
    </row>
    <row r="7175">
      <c r="D7175" s="9"/>
      <c r="G7175" s="9"/>
      <c r="J7175" s="11"/>
      <c r="U7175" s="9"/>
      <c r="X7175" s="9"/>
    </row>
    <row r="7176">
      <c r="D7176" s="9"/>
      <c r="G7176" s="9"/>
      <c r="J7176" s="11"/>
      <c r="U7176" s="9"/>
      <c r="X7176" s="9"/>
    </row>
    <row r="7177">
      <c r="D7177" s="9"/>
      <c r="G7177" s="9"/>
      <c r="J7177" s="11"/>
      <c r="U7177" s="9"/>
      <c r="X7177" s="9"/>
    </row>
    <row r="7178">
      <c r="D7178" s="9"/>
      <c r="G7178" s="9"/>
      <c r="J7178" s="11"/>
      <c r="U7178" s="9"/>
      <c r="X7178" s="9"/>
    </row>
    <row r="7179">
      <c r="D7179" s="9"/>
      <c r="G7179" s="9"/>
      <c r="J7179" s="11"/>
      <c r="U7179" s="9"/>
      <c r="X7179" s="9"/>
    </row>
    <row r="7180">
      <c r="D7180" s="9"/>
      <c r="G7180" s="9"/>
      <c r="J7180" s="11"/>
      <c r="U7180" s="9"/>
      <c r="X7180" s="9"/>
    </row>
    <row r="7181">
      <c r="D7181" s="9"/>
      <c r="G7181" s="9"/>
      <c r="J7181" s="11"/>
      <c r="U7181" s="9"/>
      <c r="X7181" s="9"/>
    </row>
    <row r="7182">
      <c r="D7182" s="9"/>
      <c r="G7182" s="9"/>
      <c r="J7182" s="11"/>
      <c r="U7182" s="9"/>
      <c r="X7182" s="9"/>
    </row>
    <row r="7183">
      <c r="D7183" s="9"/>
      <c r="G7183" s="9"/>
      <c r="J7183" s="11"/>
      <c r="U7183" s="9"/>
      <c r="X7183" s="9"/>
    </row>
    <row r="7184">
      <c r="D7184" s="9"/>
      <c r="G7184" s="9"/>
      <c r="J7184" s="11"/>
      <c r="U7184" s="9"/>
      <c r="X7184" s="9"/>
    </row>
    <row r="7185">
      <c r="D7185" s="9"/>
      <c r="G7185" s="9"/>
      <c r="J7185" s="11"/>
      <c r="U7185" s="9"/>
      <c r="X7185" s="9"/>
    </row>
    <row r="7186">
      <c r="D7186" s="9"/>
      <c r="G7186" s="9"/>
      <c r="J7186" s="11"/>
      <c r="U7186" s="9"/>
      <c r="X7186" s="9"/>
    </row>
    <row r="7187">
      <c r="D7187" s="9"/>
      <c r="G7187" s="9"/>
      <c r="J7187" s="11"/>
      <c r="U7187" s="9"/>
      <c r="X7187" s="9"/>
    </row>
    <row r="7188">
      <c r="D7188" s="9"/>
      <c r="G7188" s="9"/>
      <c r="J7188" s="11"/>
      <c r="U7188" s="9"/>
      <c r="X7188" s="9"/>
    </row>
    <row r="7189">
      <c r="D7189" s="9"/>
      <c r="G7189" s="9"/>
      <c r="J7189" s="11"/>
      <c r="U7189" s="9"/>
      <c r="X7189" s="9"/>
    </row>
    <row r="7190">
      <c r="D7190" s="9"/>
      <c r="G7190" s="9"/>
      <c r="J7190" s="11"/>
      <c r="U7190" s="9"/>
      <c r="X7190" s="9"/>
    </row>
    <row r="7191">
      <c r="D7191" s="9"/>
      <c r="G7191" s="9"/>
      <c r="J7191" s="11"/>
      <c r="U7191" s="9"/>
      <c r="X7191" s="9"/>
    </row>
    <row r="7192">
      <c r="D7192" s="9"/>
      <c r="G7192" s="9"/>
      <c r="J7192" s="11"/>
      <c r="U7192" s="9"/>
      <c r="X7192" s="9"/>
    </row>
    <row r="7193">
      <c r="D7193" s="9"/>
      <c r="G7193" s="9"/>
      <c r="J7193" s="11"/>
      <c r="U7193" s="9"/>
      <c r="X7193" s="9"/>
    </row>
    <row r="7194">
      <c r="D7194" s="9"/>
      <c r="G7194" s="9"/>
      <c r="J7194" s="11"/>
      <c r="U7194" s="9"/>
      <c r="X7194" s="9"/>
    </row>
    <row r="7195">
      <c r="D7195" s="9"/>
      <c r="G7195" s="9"/>
      <c r="J7195" s="11"/>
      <c r="U7195" s="9"/>
      <c r="X7195" s="9"/>
    </row>
    <row r="7196">
      <c r="D7196" s="9"/>
      <c r="G7196" s="9"/>
      <c r="J7196" s="11"/>
      <c r="U7196" s="9"/>
      <c r="X7196" s="9"/>
    </row>
    <row r="7197">
      <c r="D7197" s="9"/>
      <c r="G7197" s="9"/>
      <c r="J7197" s="11"/>
      <c r="U7197" s="9"/>
      <c r="X7197" s="9"/>
    </row>
    <row r="7198">
      <c r="D7198" s="9"/>
      <c r="G7198" s="9"/>
      <c r="J7198" s="11"/>
      <c r="U7198" s="9"/>
      <c r="X7198" s="9"/>
    </row>
    <row r="7199">
      <c r="D7199" s="9"/>
      <c r="G7199" s="9"/>
      <c r="J7199" s="11"/>
      <c r="U7199" s="9"/>
      <c r="X7199" s="9"/>
    </row>
    <row r="7200">
      <c r="D7200" s="9"/>
      <c r="G7200" s="9"/>
      <c r="J7200" s="11"/>
      <c r="U7200" s="9"/>
      <c r="X7200" s="9"/>
    </row>
    <row r="7201">
      <c r="D7201" s="9"/>
      <c r="G7201" s="9"/>
      <c r="J7201" s="11"/>
      <c r="U7201" s="9"/>
      <c r="X7201" s="9"/>
    </row>
    <row r="7202">
      <c r="D7202" s="9"/>
      <c r="G7202" s="9"/>
      <c r="J7202" s="11"/>
      <c r="U7202" s="9"/>
      <c r="X7202" s="9"/>
    </row>
    <row r="7203">
      <c r="D7203" s="9"/>
      <c r="G7203" s="9"/>
      <c r="J7203" s="11"/>
      <c r="U7203" s="9"/>
      <c r="X7203" s="9"/>
    </row>
    <row r="7204">
      <c r="D7204" s="9"/>
      <c r="G7204" s="9"/>
      <c r="J7204" s="11"/>
      <c r="U7204" s="9"/>
      <c r="X7204" s="9"/>
    </row>
    <row r="7205">
      <c r="D7205" s="9"/>
      <c r="G7205" s="9"/>
      <c r="J7205" s="11"/>
      <c r="U7205" s="9"/>
      <c r="X7205" s="9"/>
    </row>
    <row r="7206">
      <c r="D7206" s="9"/>
      <c r="G7206" s="9"/>
      <c r="J7206" s="11"/>
      <c r="U7206" s="9"/>
      <c r="X7206" s="9"/>
    </row>
    <row r="7207">
      <c r="D7207" s="9"/>
      <c r="G7207" s="9"/>
      <c r="J7207" s="11"/>
      <c r="U7207" s="9"/>
      <c r="X7207" s="9"/>
    </row>
    <row r="7208">
      <c r="D7208" s="9"/>
      <c r="G7208" s="9"/>
      <c r="J7208" s="11"/>
      <c r="U7208" s="9"/>
      <c r="X7208" s="9"/>
    </row>
    <row r="7209">
      <c r="D7209" s="9"/>
      <c r="G7209" s="9"/>
      <c r="J7209" s="11"/>
      <c r="U7209" s="9"/>
      <c r="X7209" s="9"/>
    </row>
    <row r="7210">
      <c r="D7210" s="9"/>
      <c r="G7210" s="9"/>
      <c r="J7210" s="11"/>
      <c r="U7210" s="9"/>
      <c r="X7210" s="9"/>
    </row>
    <row r="7211">
      <c r="D7211" s="9"/>
      <c r="G7211" s="9"/>
      <c r="J7211" s="11"/>
      <c r="U7211" s="9"/>
      <c r="X7211" s="9"/>
    </row>
    <row r="7212">
      <c r="D7212" s="9"/>
      <c r="G7212" s="9"/>
      <c r="J7212" s="11"/>
      <c r="U7212" s="9"/>
      <c r="X7212" s="9"/>
    </row>
    <row r="7213">
      <c r="D7213" s="9"/>
      <c r="G7213" s="9"/>
      <c r="J7213" s="11"/>
      <c r="U7213" s="9"/>
      <c r="X7213" s="9"/>
    </row>
    <row r="7214">
      <c r="D7214" s="9"/>
      <c r="G7214" s="9"/>
      <c r="J7214" s="11"/>
      <c r="U7214" s="9"/>
      <c r="X7214" s="9"/>
    </row>
    <row r="7215">
      <c r="D7215" s="9"/>
      <c r="G7215" s="9"/>
      <c r="J7215" s="11"/>
      <c r="U7215" s="9"/>
      <c r="X7215" s="9"/>
    </row>
    <row r="7216">
      <c r="D7216" s="9"/>
      <c r="G7216" s="9"/>
      <c r="J7216" s="11"/>
      <c r="U7216" s="9"/>
      <c r="X7216" s="9"/>
    </row>
    <row r="7217">
      <c r="D7217" s="9"/>
      <c r="G7217" s="9"/>
      <c r="J7217" s="11"/>
      <c r="U7217" s="9"/>
      <c r="X7217" s="9"/>
    </row>
    <row r="7218">
      <c r="D7218" s="9"/>
      <c r="G7218" s="9"/>
      <c r="J7218" s="11"/>
      <c r="U7218" s="9"/>
      <c r="X7218" s="9"/>
    </row>
    <row r="7219">
      <c r="D7219" s="9"/>
      <c r="G7219" s="9"/>
      <c r="J7219" s="11"/>
      <c r="U7219" s="9"/>
      <c r="X7219" s="9"/>
    </row>
    <row r="7220">
      <c r="D7220" s="9"/>
      <c r="G7220" s="9"/>
      <c r="J7220" s="11"/>
      <c r="U7220" s="9"/>
      <c r="X7220" s="9"/>
    </row>
    <row r="7221">
      <c r="D7221" s="9"/>
      <c r="G7221" s="9"/>
      <c r="J7221" s="11"/>
      <c r="U7221" s="9"/>
      <c r="X7221" s="9"/>
    </row>
    <row r="7222">
      <c r="D7222" s="9"/>
      <c r="G7222" s="9"/>
      <c r="J7222" s="11"/>
      <c r="U7222" s="9"/>
      <c r="X7222" s="9"/>
    </row>
    <row r="7223">
      <c r="D7223" s="9"/>
      <c r="G7223" s="9"/>
      <c r="J7223" s="11"/>
      <c r="U7223" s="9"/>
      <c r="X7223" s="9"/>
    </row>
    <row r="7224">
      <c r="D7224" s="9"/>
      <c r="G7224" s="9"/>
      <c r="J7224" s="11"/>
      <c r="U7224" s="9"/>
      <c r="X7224" s="9"/>
    </row>
    <row r="7225">
      <c r="D7225" s="9"/>
      <c r="G7225" s="9"/>
      <c r="J7225" s="11"/>
      <c r="U7225" s="9"/>
      <c r="X7225" s="9"/>
    </row>
    <row r="7226">
      <c r="D7226" s="9"/>
      <c r="G7226" s="9"/>
      <c r="J7226" s="11"/>
      <c r="U7226" s="9"/>
      <c r="X7226" s="9"/>
    </row>
    <row r="7227">
      <c r="D7227" s="9"/>
      <c r="G7227" s="9"/>
      <c r="J7227" s="11"/>
      <c r="U7227" s="9"/>
      <c r="X7227" s="9"/>
    </row>
    <row r="7228">
      <c r="D7228" s="9"/>
      <c r="G7228" s="9"/>
      <c r="J7228" s="11"/>
      <c r="U7228" s="9"/>
      <c r="X7228" s="9"/>
    </row>
    <row r="7229">
      <c r="D7229" s="9"/>
      <c r="G7229" s="9"/>
      <c r="J7229" s="11"/>
      <c r="U7229" s="9"/>
      <c r="X7229" s="9"/>
    </row>
    <row r="7230">
      <c r="D7230" s="9"/>
      <c r="G7230" s="9"/>
      <c r="J7230" s="11"/>
      <c r="U7230" s="9"/>
      <c r="X7230" s="9"/>
    </row>
    <row r="7231">
      <c r="D7231" s="9"/>
      <c r="G7231" s="9"/>
      <c r="J7231" s="11"/>
      <c r="U7231" s="9"/>
      <c r="X7231" s="9"/>
    </row>
    <row r="7232">
      <c r="D7232" s="9"/>
      <c r="G7232" s="9"/>
      <c r="J7232" s="11"/>
      <c r="U7232" s="9"/>
      <c r="X7232" s="9"/>
    </row>
    <row r="7233">
      <c r="D7233" s="9"/>
      <c r="G7233" s="9"/>
      <c r="J7233" s="11"/>
      <c r="U7233" s="9"/>
      <c r="X7233" s="9"/>
    </row>
    <row r="7234">
      <c r="D7234" s="9"/>
      <c r="G7234" s="9"/>
      <c r="J7234" s="11"/>
      <c r="U7234" s="9"/>
      <c r="X7234" s="9"/>
    </row>
    <row r="7235">
      <c r="D7235" s="9"/>
      <c r="G7235" s="9"/>
      <c r="J7235" s="11"/>
      <c r="U7235" s="9"/>
      <c r="X7235" s="9"/>
    </row>
    <row r="7236">
      <c r="D7236" s="9"/>
      <c r="G7236" s="9"/>
      <c r="J7236" s="11"/>
      <c r="U7236" s="9"/>
      <c r="X7236" s="9"/>
    </row>
    <row r="7237">
      <c r="D7237" s="9"/>
      <c r="G7237" s="9"/>
      <c r="J7237" s="11"/>
      <c r="U7237" s="9"/>
      <c r="X7237" s="9"/>
    </row>
    <row r="7238">
      <c r="D7238" s="9"/>
      <c r="G7238" s="9"/>
      <c r="J7238" s="11"/>
      <c r="U7238" s="9"/>
      <c r="X7238" s="9"/>
    </row>
    <row r="7239">
      <c r="D7239" s="9"/>
      <c r="G7239" s="9"/>
      <c r="J7239" s="11"/>
      <c r="U7239" s="9"/>
      <c r="X7239" s="9"/>
    </row>
    <row r="7240">
      <c r="D7240" s="9"/>
      <c r="G7240" s="9"/>
      <c r="J7240" s="11"/>
      <c r="U7240" s="9"/>
      <c r="X7240" s="9"/>
    </row>
    <row r="7241">
      <c r="D7241" s="9"/>
      <c r="G7241" s="9"/>
      <c r="J7241" s="11"/>
      <c r="U7241" s="9"/>
      <c r="X7241" s="9"/>
    </row>
    <row r="7242">
      <c r="D7242" s="9"/>
      <c r="G7242" s="9"/>
      <c r="J7242" s="11"/>
      <c r="U7242" s="9"/>
      <c r="X7242" s="9"/>
    </row>
    <row r="7243">
      <c r="D7243" s="9"/>
      <c r="G7243" s="9"/>
      <c r="J7243" s="11"/>
      <c r="U7243" s="9"/>
      <c r="X7243" s="9"/>
    </row>
    <row r="7244">
      <c r="D7244" s="9"/>
      <c r="G7244" s="9"/>
      <c r="J7244" s="11"/>
      <c r="U7244" s="9"/>
      <c r="X7244" s="9"/>
    </row>
    <row r="7245">
      <c r="D7245" s="9"/>
      <c r="G7245" s="9"/>
      <c r="J7245" s="11"/>
      <c r="U7245" s="9"/>
      <c r="X7245" s="9"/>
    </row>
    <row r="7246">
      <c r="D7246" s="9"/>
      <c r="G7246" s="9"/>
      <c r="J7246" s="11"/>
      <c r="U7246" s="9"/>
      <c r="X7246" s="9"/>
    </row>
    <row r="7247">
      <c r="D7247" s="9"/>
      <c r="G7247" s="9"/>
      <c r="J7247" s="11"/>
      <c r="U7247" s="9"/>
      <c r="X7247" s="9"/>
    </row>
    <row r="7248">
      <c r="D7248" s="9"/>
      <c r="G7248" s="9"/>
      <c r="J7248" s="11"/>
      <c r="U7248" s="9"/>
      <c r="X7248" s="9"/>
    </row>
    <row r="7249">
      <c r="D7249" s="9"/>
      <c r="G7249" s="9"/>
      <c r="J7249" s="11"/>
      <c r="U7249" s="9"/>
      <c r="X7249" s="9"/>
    </row>
    <row r="7250">
      <c r="D7250" s="9"/>
      <c r="G7250" s="9"/>
      <c r="J7250" s="11"/>
      <c r="U7250" s="9"/>
      <c r="X7250" s="9"/>
    </row>
    <row r="7251">
      <c r="D7251" s="9"/>
      <c r="G7251" s="9"/>
      <c r="J7251" s="11"/>
      <c r="U7251" s="9"/>
      <c r="X7251" s="9"/>
    </row>
    <row r="7252">
      <c r="D7252" s="9"/>
      <c r="G7252" s="9"/>
      <c r="J7252" s="11"/>
      <c r="U7252" s="9"/>
      <c r="X7252" s="9"/>
    </row>
    <row r="7253">
      <c r="D7253" s="9"/>
      <c r="G7253" s="9"/>
      <c r="J7253" s="11"/>
      <c r="U7253" s="9"/>
      <c r="X7253" s="9"/>
    </row>
    <row r="7254">
      <c r="D7254" s="9"/>
      <c r="G7254" s="9"/>
      <c r="J7254" s="11"/>
      <c r="U7254" s="9"/>
      <c r="X7254" s="9"/>
    </row>
    <row r="7255">
      <c r="D7255" s="9"/>
      <c r="G7255" s="9"/>
      <c r="J7255" s="11"/>
      <c r="U7255" s="9"/>
      <c r="X7255" s="9"/>
    </row>
    <row r="7256">
      <c r="D7256" s="9"/>
      <c r="G7256" s="9"/>
      <c r="J7256" s="11"/>
      <c r="U7256" s="9"/>
      <c r="X7256" s="9"/>
    </row>
    <row r="7257">
      <c r="D7257" s="9"/>
      <c r="G7257" s="9"/>
      <c r="J7257" s="11"/>
      <c r="U7257" s="9"/>
      <c r="X7257" s="9"/>
    </row>
    <row r="7258">
      <c r="D7258" s="9"/>
      <c r="G7258" s="9"/>
      <c r="J7258" s="11"/>
      <c r="U7258" s="9"/>
      <c r="X7258" s="9"/>
    </row>
    <row r="7259">
      <c r="D7259" s="9"/>
      <c r="G7259" s="9"/>
      <c r="J7259" s="11"/>
      <c r="U7259" s="9"/>
      <c r="X7259" s="9"/>
    </row>
    <row r="7260">
      <c r="D7260" s="9"/>
      <c r="G7260" s="9"/>
      <c r="J7260" s="11"/>
      <c r="U7260" s="9"/>
      <c r="X7260" s="9"/>
    </row>
    <row r="7261">
      <c r="D7261" s="9"/>
      <c r="G7261" s="9"/>
      <c r="J7261" s="11"/>
      <c r="U7261" s="9"/>
      <c r="X7261" s="9"/>
    </row>
    <row r="7262">
      <c r="D7262" s="9"/>
      <c r="G7262" s="9"/>
      <c r="J7262" s="11"/>
      <c r="U7262" s="9"/>
      <c r="X7262" s="9"/>
    </row>
    <row r="7263">
      <c r="D7263" s="9"/>
      <c r="G7263" s="9"/>
      <c r="J7263" s="11"/>
      <c r="U7263" s="9"/>
      <c r="X7263" s="9"/>
    </row>
    <row r="7264">
      <c r="D7264" s="9"/>
      <c r="G7264" s="9"/>
      <c r="J7264" s="11"/>
      <c r="U7264" s="9"/>
      <c r="X7264" s="9"/>
    </row>
    <row r="7265">
      <c r="D7265" s="9"/>
      <c r="G7265" s="9"/>
      <c r="J7265" s="11"/>
      <c r="U7265" s="9"/>
      <c r="X7265" s="9"/>
    </row>
    <row r="7266">
      <c r="D7266" s="9"/>
      <c r="G7266" s="9"/>
      <c r="J7266" s="11"/>
      <c r="U7266" s="9"/>
      <c r="X7266" s="9"/>
    </row>
    <row r="7267">
      <c r="D7267" s="9"/>
      <c r="G7267" s="9"/>
      <c r="J7267" s="11"/>
      <c r="U7267" s="9"/>
      <c r="X7267" s="9"/>
    </row>
    <row r="7268">
      <c r="D7268" s="9"/>
      <c r="G7268" s="9"/>
      <c r="J7268" s="11"/>
      <c r="U7268" s="9"/>
      <c r="X7268" s="9"/>
    </row>
    <row r="7269">
      <c r="D7269" s="9"/>
      <c r="G7269" s="9"/>
      <c r="J7269" s="11"/>
      <c r="U7269" s="9"/>
      <c r="X7269" s="9"/>
    </row>
    <row r="7270">
      <c r="D7270" s="9"/>
      <c r="G7270" s="9"/>
      <c r="J7270" s="11"/>
      <c r="U7270" s="9"/>
      <c r="X7270" s="9"/>
    </row>
    <row r="7271">
      <c r="D7271" s="9"/>
      <c r="G7271" s="9"/>
      <c r="J7271" s="11"/>
      <c r="U7271" s="9"/>
      <c r="X7271" s="9"/>
    </row>
    <row r="7272">
      <c r="D7272" s="9"/>
      <c r="G7272" s="9"/>
      <c r="J7272" s="11"/>
      <c r="U7272" s="9"/>
      <c r="X7272" s="9"/>
    </row>
    <row r="7273">
      <c r="D7273" s="9"/>
      <c r="G7273" s="9"/>
      <c r="J7273" s="11"/>
      <c r="U7273" s="9"/>
      <c r="X7273" s="9"/>
    </row>
    <row r="7274">
      <c r="D7274" s="9"/>
      <c r="G7274" s="9"/>
      <c r="J7274" s="11"/>
      <c r="U7274" s="9"/>
      <c r="X7274" s="9"/>
    </row>
    <row r="7275">
      <c r="D7275" s="9"/>
      <c r="G7275" s="9"/>
      <c r="J7275" s="11"/>
      <c r="U7275" s="9"/>
      <c r="X7275" s="9"/>
    </row>
    <row r="7276">
      <c r="D7276" s="9"/>
      <c r="G7276" s="9"/>
      <c r="J7276" s="11"/>
      <c r="U7276" s="9"/>
      <c r="X7276" s="9"/>
    </row>
    <row r="7277">
      <c r="D7277" s="9"/>
      <c r="G7277" s="9"/>
      <c r="J7277" s="11"/>
      <c r="U7277" s="9"/>
      <c r="X7277" s="9"/>
    </row>
    <row r="7278">
      <c r="D7278" s="9"/>
      <c r="G7278" s="9"/>
      <c r="J7278" s="11"/>
      <c r="U7278" s="9"/>
      <c r="X7278" s="9"/>
    </row>
    <row r="7279">
      <c r="D7279" s="9"/>
      <c r="G7279" s="9"/>
      <c r="J7279" s="11"/>
      <c r="U7279" s="9"/>
      <c r="X7279" s="9"/>
    </row>
    <row r="7280">
      <c r="D7280" s="9"/>
      <c r="G7280" s="9"/>
      <c r="J7280" s="11"/>
      <c r="U7280" s="9"/>
      <c r="X7280" s="9"/>
    </row>
    <row r="7281">
      <c r="D7281" s="9"/>
      <c r="G7281" s="9"/>
      <c r="J7281" s="11"/>
      <c r="U7281" s="9"/>
      <c r="X7281" s="9"/>
    </row>
    <row r="7282">
      <c r="D7282" s="9"/>
      <c r="G7282" s="9"/>
      <c r="J7282" s="11"/>
      <c r="U7282" s="9"/>
      <c r="X7282" s="9"/>
    </row>
    <row r="7283">
      <c r="D7283" s="9"/>
      <c r="G7283" s="9"/>
      <c r="J7283" s="11"/>
      <c r="U7283" s="9"/>
      <c r="X7283" s="9"/>
    </row>
    <row r="7284">
      <c r="D7284" s="9"/>
      <c r="G7284" s="9"/>
      <c r="J7284" s="11"/>
      <c r="U7284" s="9"/>
      <c r="X7284" s="9"/>
    </row>
    <row r="7285">
      <c r="D7285" s="9"/>
      <c r="G7285" s="9"/>
      <c r="J7285" s="11"/>
      <c r="U7285" s="9"/>
      <c r="X7285" s="9"/>
    </row>
    <row r="7286">
      <c r="D7286" s="9"/>
      <c r="G7286" s="9"/>
      <c r="J7286" s="11"/>
      <c r="U7286" s="9"/>
      <c r="X7286" s="9"/>
    </row>
    <row r="7287">
      <c r="D7287" s="9"/>
      <c r="G7287" s="9"/>
      <c r="J7287" s="11"/>
      <c r="U7287" s="9"/>
      <c r="X7287" s="9"/>
    </row>
    <row r="7288">
      <c r="D7288" s="9"/>
      <c r="G7288" s="9"/>
      <c r="J7288" s="11"/>
      <c r="U7288" s="9"/>
      <c r="X7288" s="9"/>
    </row>
    <row r="7289">
      <c r="D7289" s="9"/>
      <c r="G7289" s="9"/>
      <c r="J7289" s="11"/>
      <c r="U7289" s="9"/>
      <c r="X7289" s="9"/>
    </row>
    <row r="7290">
      <c r="D7290" s="9"/>
      <c r="G7290" s="9"/>
      <c r="J7290" s="11"/>
      <c r="U7290" s="9"/>
      <c r="X7290" s="9"/>
    </row>
    <row r="7291">
      <c r="D7291" s="9"/>
      <c r="G7291" s="9"/>
      <c r="J7291" s="11"/>
      <c r="U7291" s="9"/>
      <c r="X7291" s="9"/>
    </row>
    <row r="7292">
      <c r="D7292" s="9"/>
      <c r="G7292" s="9"/>
      <c r="J7292" s="11"/>
      <c r="U7292" s="9"/>
      <c r="X7292" s="9"/>
    </row>
    <row r="7293">
      <c r="D7293" s="9"/>
      <c r="G7293" s="9"/>
      <c r="J7293" s="11"/>
      <c r="U7293" s="9"/>
      <c r="X7293" s="9"/>
    </row>
    <row r="7294">
      <c r="D7294" s="9"/>
      <c r="G7294" s="9"/>
      <c r="J7294" s="11"/>
      <c r="U7294" s="9"/>
      <c r="X7294" s="9"/>
    </row>
    <row r="7295">
      <c r="D7295" s="9"/>
      <c r="G7295" s="9"/>
      <c r="J7295" s="11"/>
      <c r="U7295" s="9"/>
      <c r="X7295" s="9"/>
    </row>
    <row r="7296">
      <c r="D7296" s="9"/>
      <c r="G7296" s="9"/>
      <c r="J7296" s="11"/>
      <c r="U7296" s="9"/>
      <c r="X7296" s="9"/>
    </row>
    <row r="7297">
      <c r="D7297" s="9"/>
      <c r="G7297" s="9"/>
      <c r="J7297" s="11"/>
      <c r="U7297" s="9"/>
      <c r="X7297" s="9"/>
    </row>
    <row r="7298">
      <c r="D7298" s="9"/>
      <c r="G7298" s="9"/>
      <c r="J7298" s="11"/>
      <c r="U7298" s="9"/>
      <c r="X7298" s="9"/>
    </row>
    <row r="7299">
      <c r="D7299" s="9"/>
      <c r="G7299" s="9"/>
      <c r="J7299" s="11"/>
      <c r="U7299" s="9"/>
      <c r="X7299" s="9"/>
    </row>
    <row r="7300">
      <c r="D7300" s="9"/>
      <c r="G7300" s="9"/>
      <c r="J7300" s="11"/>
      <c r="U7300" s="9"/>
      <c r="X7300" s="9"/>
    </row>
    <row r="7301">
      <c r="D7301" s="9"/>
      <c r="G7301" s="9"/>
      <c r="J7301" s="11"/>
      <c r="U7301" s="9"/>
      <c r="X7301" s="9"/>
    </row>
    <row r="7302">
      <c r="D7302" s="9"/>
      <c r="G7302" s="9"/>
      <c r="J7302" s="11"/>
      <c r="U7302" s="9"/>
      <c r="X7302" s="9"/>
    </row>
    <row r="7303">
      <c r="D7303" s="9"/>
      <c r="G7303" s="9"/>
      <c r="J7303" s="11"/>
      <c r="U7303" s="9"/>
      <c r="X7303" s="9"/>
    </row>
    <row r="7304">
      <c r="D7304" s="9"/>
      <c r="G7304" s="9"/>
      <c r="J7304" s="11"/>
      <c r="U7304" s="9"/>
      <c r="X7304" s="9"/>
    </row>
    <row r="7305">
      <c r="D7305" s="9"/>
      <c r="G7305" s="9"/>
      <c r="J7305" s="11"/>
      <c r="U7305" s="9"/>
      <c r="X7305" s="9"/>
    </row>
    <row r="7306">
      <c r="D7306" s="9"/>
      <c r="G7306" s="9"/>
      <c r="J7306" s="11"/>
      <c r="U7306" s="9"/>
      <c r="X7306" s="9"/>
    </row>
    <row r="7307">
      <c r="D7307" s="9"/>
      <c r="G7307" s="9"/>
      <c r="J7307" s="11"/>
      <c r="U7307" s="9"/>
      <c r="X7307" s="9"/>
    </row>
    <row r="7308">
      <c r="D7308" s="9"/>
      <c r="G7308" s="9"/>
      <c r="J7308" s="11"/>
      <c r="U7308" s="9"/>
      <c r="X7308" s="9"/>
    </row>
    <row r="7309">
      <c r="D7309" s="9"/>
      <c r="G7309" s="9"/>
      <c r="J7309" s="11"/>
      <c r="U7309" s="9"/>
      <c r="X7309" s="9"/>
    </row>
    <row r="7310">
      <c r="D7310" s="9"/>
      <c r="G7310" s="9"/>
      <c r="J7310" s="11"/>
      <c r="U7310" s="9"/>
      <c r="X7310" s="9"/>
    </row>
    <row r="7311">
      <c r="D7311" s="9"/>
      <c r="G7311" s="9"/>
      <c r="J7311" s="11"/>
      <c r="U7311" s="9"/>
      <c r="X7311" s="9"/>
    </row>
    <row r="7312">
      <c r="D7312" s="9"/>
      <c r="G7312" s="9"/>
      <c r="J7312" s="11"/>
      <c r="U7312" s="9"/>
      <c r="X7312" s="9"/>
    </row>
    <row r="7313">
      <c r="D7313" s="9"/>
      <c r="G7313" s="9"/>
      <c r="J7313" s="11"/>
      <c r="U7313" s="9"/>
      <c r="X7313" s="9"/>
    </row>
    <row r="7314">
      <c r="D7314" s="9"/>
      <c r="G7314" s="9"/>
      <c r="J7314" s="11"/>
      <c r="U7314" s="9"/>
      <c r="X7314" s="9"/>
    </row>
    <row r="7315">
      <c r="D7315" s="9"/>
      <c r="G7315" s="9"/>
      <c r="J7315" s="11"/>
      <c r="U7315" s="9"/>
      <c r="X7315" s="9"/>
    </row>
    <row r="7316">
      <c r="D7316" s="9"/>
      <c r="G7316" s="9"/>
      <c r="J7316" s="11"/>
      <c r="U7316" s="9"/>
      <c r="X7316" s="9"/>
    </row>
    <row r="7317">
      <c r="D7317" s="9"/>
      <c r="G7317" s="9"/>
      <c r="J7317" s="11"/>
      <c r="U7317" s="9"/>
      <c r="X7317" s="9"/>
    </row>
    <row r="7318">
      <c r="D7318" s="9"/>
      <c r="G7318" s="9"/>
      <c r="J7318" s="11"/>
      <c r="U7318" s="9"/>
      <c r="X7318" s="9"/>
    </row>
    <row r="7319">
      <c r="D7319" s="9"/>
      <c r="G7319" s="9"/>
      <c r="J7319" s="11"/>
      <c r="U7319" s="9"/>
      <c r="X7319" s="9"/>
    </row>
    <row r="7320">
      <c r="D7320" s="9"/>
      <c r="G7320" s="9"/>
      <c r="J7320" s="11"/>
      <c r="U7320" s="9"/>
      <c r="X7320" s="9"/>
    </row>
    <row r="7321">
      <c r="D7321" s="9"/>
      <c r="G7321" s="9"/>
      <c r="J7321" s="11"/>
      <c r="U7321" s="9"/>
      <c r="X7321" s="9"/>
    </row>
    <row r="7322">
      <c r="D7322" s="9"/>
      <c r="G7322" s="9"/>
      <c r="J7322" s="11"/>
      <c r="U7322" s="9"/>
      <c r="X7322" s="9"/>
    </row>
    <row r="7323">
      <c r="D7323" s="9"/>
      <c r="G7323" s="9"/>
      <c r="J7323" s="11"/>
      <c r="U7323" s="9"/>
      <c r="X7323" s="9"/>
    </row>
    <row r="7324">
      <c r="D7324" s="9"/>
      <c r="G7324" s="9"/>
      <c r="J7324" s="11"/>
      <c r="U7324" s="9"/>
      <c r="X7324" s="9"/>
    </row>
    <row r="7325">
      <c r="D7325" s="9"/>
      <c r="G7325" s="9"/>
      <c r="J7325" s="11"/>
      <c r="U7325" s="9"/>
      <c r="X7325" s="9"/>
    </row>
    <row r="7326">
      <c r="D7326" s="9"/>
      <c r="G7326" s="9"/>
      <c r="J7326" s="11"/>
      <c r="U7326" s="9"/>
      <c r="X7326" s="9"/>
    </row>
    <row r="7327">
      <c r="D7327" s="9"/>
      <c r="G7327" s="9"/>
      <c r="J7327" s="11"/>
      <c r="U7327" s="9"/>
      <c r="X7327" s="9"/>
    </row>
    <row r="7328">
      <c r="D7328" s="9"/>
      <c r="G7328" s="9"/>
      <c r="J7328" s="11"/>
      <c r="U7328" s="9"/>
      <c r="X7328" s="9"/>
    </row>
    <row r="7329">
      <c r="D7329" s="9"/>
      <c r="G7329" s="9"/>
      <c r="J7329" s="11"/>
      <c r="U7329" s="9"/>
      <c r="X7329" s="9"/>
    </row>
    <row r="7330">
      <c r="D7330" s="9"/>
      <c r="G7330" s="9"/>
      <c r="J7330" s="11"/>
      <c r="U7330" s="9"/>
      <c r="X7330" s="9"/>
    </row>
    <row r="7331">
      <c r="D7331" s="9"/>
      <c r="G7331" s="9"/>
      <c r="J7331" s="11"/>
      <c r="U7331" s="9"/>
      <c r="X7331" s="9"/>
    </row>
    <row r="7332">
      <c r="D7332" s="9"/>
      <c r="G7332" s="9"/>
      <c r="J7332" s="11"/>
      <c r="U7332" s="9"/>
      <c r="X7332" s="9"/>
    </row>
    <row r="7333">
      <c r="D7333" s="9"/>
      <c r="G7333" s="9"/>
      <c r="J7333" s="11"/>
      <c r="U7333" s="9"/>
      <c r="X7333" s="9"/>
    </row>
    <row r="7334">
      <c r="D7334" s="9"/>
      <c r="G7334" s="9"/>
      <c r="J7334" s="11"/>
      <c r="U7334" s="9"/>
      <c r="X7334" s="9"/>
    </row>
    <row r="7335">
      <c r="D7335" s="9"/>
      <c r="G7335" s="9"/>
      <c r="J7335" s="11"/>
      <c r="U7335" s="9"/>
      <c r="X7335" s="9"/>
    </row>
    <row r="7336">
      <c r="D7336" s="9"/>
      <c r="G7336" s="9"/>
      <c r="J7336" s="11"/>
      <c r="U7336" s="9"/>
      <c r="X7336" s="9"/>
    </row>
    <row r="7337">
      <c r="D7337" s="9"/>
      <c r="G7337" s="9"/>
      <c r="J7337" s="11"/>
      <c r="U7337" s="9"/>
      <c r="X7337" s="9"/>
    </row>
    <row r="7338">
      <c r="D7338" s="9"/>
      <c r="G7338" s="9"/>
      <c r="J7338" s="11"/>
      <c r="U7338" s="9"/>
      <c r="X7338" s="9"/>
    </row>
    <row r="7339">
      <c r="D7339" s="9"/>
      <c r="G7339" s="9"/>
      <c r="J7339" s="11"/>
      <c r="U7339" s="9"/>
      <c r="X7339" s="9"/>
    </row>
    <row r="7340">
      <c r="D7340" s="9"/>
      <c r="G7340" s="9"/>
      <c r="J7340" s="11"/>
      <c r="U7340" s="9"/>
      <c r="X7340" s="9"/>
    </row>
    <row r="7341">
      <c r="D7341" s="9"/>
      <c r="G7341" s="9"/>
      <c r="J7341" s="11"/>
      <c r="U7341" s="9"/>
      <c r="X7341" s="9"/>
    </row>
    <row r="7342">
      <c r="D7342" s="9"/>
      <c r="G7342" s="9"/>
      <c r="J7342" s="11"/>
      <c r="U7342" s="9"/>
      <c r="X7342" s="9"/>
    </row>
    <row r="7343">
      <c r="D7343" s="9"/>
      <c r="G7343" s="9"/>
      <c r="J7343" s="11"/>
      <c r="U7343" s="9"/>
      <c r="X7343" s="9"/>
    </row>
    <row r="7344">
      <c r="D7344" s="9"/>
      <c r="G7344" s="9"/>
      <c r="J7344" s="11"/>
      <c r="U7344" s="9"/>
      <c r="X7344" s="9"/>
    </row>
    <row r="7345">
      <c r="D7345" s="9"/>
      <c r="G7345" s="9"/>
      <c r="J7345" s="11"/>
      <c r="U7345" s="9"/>
      <c r="X7345" s="9"/>
    </row>
    <row r="7346">
      <c r="D7346" s="9"/>
      <c r="G7346" s="9"/>
      <c r="J7346" s="11"/>
      <c r="U7346" s="9"/>
      <c r="X7346" s="9"/>
    </row>
    <row r="7347">
      <c r="D7347" s="9"/>
      <c r="G7347" s="9"/>
      <c r="J7347" s="11"/>
      <c r="U7347" s="9"/>
      <c r="X7347" s="9"/>
    </row>
    <row r="7348">
      <c r="D7348" s="9"/>
      <c r="G7348" s="9"/>
      <c r="J7348" s="11"/>
      <c r="U7348" s="9"/>
      <c r="X7348" s="9"/>
    </row>
    <row r="7349">
      <c r="D7349" s="9"/>
      <c r="G7349" s="9"/>
      <c r="J7349" s="11"/>
      <c r="U7349" s="9"/>
      <c r="X7349" s="9"/>
    </row>
    <row r="7350">
      <c r="D7350" s="9"/>
      <c r="G7350" s="9"/>
      <c r="J7350" s="11"/>
      <c r="U7350" s="9"/>
      <c r="X7350" s="9"/>
    </row>
    <row r="7351">
      <c r="D7351" s="9"/>
      <c r="G7351" s="9"/>
      <c r="J7351" s="11"/>
      <c r="U7351" s="9"/>
      <c r="X7351" s="9"/>
    </row>
    <row r="7352">
      <c r="D7352" s="9"/>
      <c r="G7352" s="9"/>
      <c r="J7352" s="11"/>
      <c r="U7352" s="9"/>
      <c r="X7352" s="9"/>
    </row>
    <row r="7353">
      <c r="D7353" s="9"/>
      <c r="G7353" s="9"/>
      <c r="J7353" s="11"/>
      <c r="U7353" s="9"/>
      <c r="X7353" s="9"/>
    </row>
    <row r="7354">
      <c r="D7354" s="9"/>
      <c r="G7354" s="9"/>
      <c r="J7354" s="11"/>
      <c r="U7354" s="9"/>
      <c r="X7354" s="9"/>
    </row>
    <row r="7355">
      <c r="D7355" s="9"/>
      <c r="G7355" s="9"/>
      <c r="J7355" s="11"/>
      <c r="U7355" s="9"/>
      <c r="X7355" s="9"/>
    </row>
    <row r="7356">
      <c r="D7356" s="9"/>
      <c r="G7356" s="9"/>
      <c r="J7356" s="11"/>
      <c r="U7356" s="9"/>
      <c r="X7356" s="9"/>
    </row>
    <row r="7357">
      <c r="D7357" s="9"/>
      <c r="G7357" s="9"/>
      <c r="J7357" s="11"/>
      <c r="U7357" s="9"/>
      <c r="X7357" s="9"/>
    </row>
    <row r="7358">
      <c r="D7358" s="9"/>
      <c r="G7358" s="9"/>
      <c r="J7358" s="11"/>
      <c r="U7358" s="9"/>
      <c r="X7358" s="9"/>
    </row>
    <row r="7359">
      <c r="D7359" s="9"/>
      <c r="G7359" s="9"/>
      <c r="J7359" s="11"/>
      <c r="U7359" s="9"/>
      <c r="X7359" s="9"/>
    </row>
    <row r="7360">
      <c r="D7360" s="9"/>
      <c r="G7360" s="9"/>
      <c r="J7360" s="11"/>
      <c r="U7360" s="9"/>
      <c r="X7360" s="9"/>
    </row>
    <row r="7361">
      <c r="D7361" s="9"/>
      <c r="G7361" s="9"/>
      <c r="J7361" s="11"/>
      <c r="U7361" s="9"/>
      <c r="X7361" s="9"/>
    </row>
    <row r="7362">
      <c r="D7362" s="9"/>
      <c r="G7362" s="9"/>
      <c r="J7362" s="11"/>
      <c r="U7362" s="9"/>
      <c r="X7362" s="9"/>
    </row>
    <row r="7363">
      <c r="D7363" s="9"/>
      <c r="G7363" s="9"/>
      <c r="J7363" s="11"/>
      <c r="U7363" s="9"/>
      <c r="X7363" s="9"/>
    </row>
    <row r="7364">
      <c r="D7364" s="9"/>
      <c r="G7364" s="9"/>
      <c r="J7364" s="11"/>
      <c r="U7364" s="9"/>
      <c r="X7364" s="9"/>
    </row>
    <row r="7365">
      <c r="D7365" s="9"/>
      <c r="G7365" s="9"/>
      <c r="J7365" s="11"/>
      <c r="U7365" s="9"/>
      <c r="X7365" s="9"/>
    </row>
    <row r="7366">
      <c r="D7366" s="9"/>
      <c r="G7366" s="9"/>
      <c r="J7366" s="11"/>
      <c r="U7366" s="9"/>
      <c r="X7366" s="9"/>
    </row>
    <row r="7367">
      <c r="D7367" s="9"/>
      <c r="G7367" s="9"/>
      <c r="J7367" s="11"/>
      <c r="U7367" s="9"/>
      <c r="X7367" s="9"/>
    </row>
    <row r="7368">
      <c r="D7368" s="9"/>
      <c r="G7368" s="9"/>
      <c r="J7368" s="11"/>
      <c r="U7368" s="9"/>
      <c r="X7368" s="9"/>
    </row>
    <row r="7369">
      <c r="D7369" s="9"/>
      <c r="G7369" s="9"/>
      <c r="J7369" s="11"/>
      <c r="U7369" s="9"/>
      <c r="X7369" s="9"/>
    </row>
    <row r="7370">
      <c r="D7370" s="9"/>
      <c r="G7370" s="9"/>
      <c r="J7370" s="11"/>
      <c r="U7370" s="9"/>
      <c r="X7370" s="9"/>
    </row>
    <row r="7371">
      <c r="D7371" s="9"/>
      <c r="G7371" s="9"/>
      <c r="J7371" s="11"/>
      <c r="U7371" s="9"/>
      <c r="X7371" s="9"/>
    </row>
    <row r="7372">
      <c r="D7372" s="9"/>
      <c r="G7372" s="9"/>
      <c r="J7372" s="11"/>
      <c r="U7372" s="9"/>
      <c r="X7372" s="9"/>
    </row>
    <row r="7373">
      <c r="D7373" s="9"/>
      <c r="G7373" s="9"/>
      <c r="J7373" s="11"/>
      <c r="U7373" s="9"/>
      <c r="X7373" s="9"/>
    </row>
    <row r="7374">
      <c r="D7374" s="9"/>
      <c r="G7374" s="9"/>
      <c r="J7374" s="11"/>
      <c r="U7374" s="9"/>
      <c r="X7374" s="9"/>
    </row>
    <row r="7375">
      <c r="D7375" s="9"/>
      <c r="G7375" s="9"/>
      <c r="J7375" s="11"/>
      <c r="U7375" s="9"/>
      <c r="X7375" s="9"/>
    </row>
    <row r="7376">
      <c r="D7376" s="9"/>
      <c r="G7376" s="9"/>
      <c r="J7376" s="11"/>
      <c r="U7376" s="9"/>
      <c r="X7376" s="9"/>
    </row>
    <row r="7377">
      <c r="D7377" s="9"/>
      <c r="G7377" s="9"/>
      <c r="J7377" s="11"/>
      <c r="U7377" s="9"/>
      <c r="X7377" s="9"/>
    </row>
    <row r="7378">
      <c r="D7378" s="9"/>
      <c r="G7378" s="9"/>
      <c r="J7378" s="11"/>
      <c r="U7378" s="9"/>
      <c r="X7378" s="9"/>
    </row>
    <row r="7379">
      <c r="D7379" s="9"/>
      <c r="G7379" s="9"/>
      <c r="J7379" s="11"/>
      <c r="U7379" s="9"/>
      <c r="X7379" s="9"/>
    </row>
    <row r="7380">
      <c r="D7380" s="9"/>
      <c r="G7380" s="9"/>
      <c r="J7380" s="11"/>
      <c r="U7380" s="9"/>
      <c r="X7380" s="9"/>
    </row>
    <row r="7381">
      <c r="D7381" s="9"/>
      <c r="G7381" s="9"/>
      <c r="J7381" s="11"/>
      <c r="U7381" s="9"/>
      <c r="X7381" s="9"/>
    </row>
    <row r="7382">
      <c r="D7382" s="9"/>
      <c r="G7382" s="9"/>
      <c r="J7382" s="11"/>
      <c r="U7382" s="9"/>
      <c r="X7382" s="9"/>
    </row>
    <row r="7383">
      <c r="D7383" s="9"/>
      <c r="G7383" s="9"/>
      <c r="J7383" s="11"/>
      <c r="U7383" s="9"/>
      <c r="X7383" s="9"/>
    </row>
    <row r="7384">
      <c r="D7384" s="9"/>
      <c r="G7384" s="9"/>
      <c r="J7384" s="11"/>
      <c r="U7384" s="9"/>
      <c r="X7384" s="9"/>
    </row>
    <row r="7385">
      <c r="D7385" s="9"/>
      <c r="G7385" s="9"/>
      <c r="J7385" s="11"/>
      <c r="U7385" s="9"/>
      <c r="X7385" s="9"/>
    </row>
    <row r="7386">
      <c r="D7386" s="9"/>
      <c r="G7386" s="9"/>
      <c r="J7386" s="11"/>
      <c r="U7386" s="9"/>
      <c r="X7386" s="9"/>
    </row>
    <row r="7387">
      <c r="D7387" s="9"/>
      <c r="G7387" s="9"/>
      <c r="J7387" s="11"/>
      <c r="U7387" s="9"/>
      <c r="X7387" s="9"/>
    </row>
    <row r="7388">
      <c r="D7388" s="9"/>
      <c r="G7388" s="9"/>
      <c r="J7388" s="11"/>
      <c r="U7388" s="9"/>
      <c r="X7388" s="9"/>
    </row>
    <row r="7389">
      <c r="D7389" s="9"/>
      <c r="G7389" s="9"/>
      <c r="J7389" s="11"/>
      <c r="U7389" s="9"/>
      <c r="X7389" s="9"/>
    </row>
    <row r="7390">
      <c r="D7390" s="9"/>
      <c r="G7390" s="9"/>
      <c r="J7390" s="11"/>
      <c r="U7390" s="9"/>
      <c r="X7390" s="9"/>
    </row>
    <row r="7391">
      <c r="D7391" s="9"/>
      <c r="G7391" s="9"/>
      <c r="J7391" s="11"/>
      <c r="U7391" s="9"/>
      <c r="X7391" s="9"/>
    </row>
    <row r="7392">
      <c r="D7392" s="9"/>
      <c r="G7392" s="9"/>
      <c r="J7392" s="11"/>
      <c r="U7392" s="9"/>
      <c r="X7392" s="9"/>
    </row>
    <row r="7393">
      <c r="D7393" s="9"/>
      <c r="G7393" s="9"/>
      <c r="J7393" s="11"/>
      <c r="U7393" s="9"/>
      <c r="X7393" s="9"/>
    </row>
    <row r="7394">
      <c r="D7394" s="9"/>
      <c r="G7394" s="9"/>
      <c r="J7394" s="11"/>
      <c r="U7394" s="9"/>
      <c r="X7394" s="9"/>
    </row>
    <row r="7395">
      <c r="D7395" s="9"/>
      <c r="G7395" s="9"/>
      <c r="J7395" s="11"/>
      <c r="U7395" s="9"/>
      <c r="X7395" s="9"/>
    </row>
    <row r="7396">
      <c r="D7396" s="9"/>
      <c r="G7396" s="9"/>
      <c r="J7396" s="11"/>
      <c r="U7396" s="9"/>
      <c r="X7396" s="9"/>
    </row>
    <row r="7397">
      <c r="D7397" s="9"/>
      <c r="G7397" s="9"/>
      <c r="J7397" s="11"/>
      <c r="U7397" s="9"/>
      <c r="X7397" s="9"/>
    </row>
    <row r="7398">
      <c r="D7398" s="9"/>
      <c r="G7398" s="9"/>
      <c r="J7398" s="11"/>
      <c r="U7398" s="9"/>
      <c r="X7398" s="9"/>
    </row>
    <row r="7399">
      <c r="D7399" s="9"/>
      <c r="G7399" s="9"/>
      <c r="J7399" s="11"/>
      <c r="U7399" s="9"/>
      <c r="X7399" s="9"/>
    </row>
    <row r="7400">
      <c r="D7400" s="9"/>
      <c r="G7400" s="9"/>
      <c r="J7400" s="11"/>
      <c r="U7400" s="9"/>
      <c r="X7400" s="9"/>
    </row>
    <row r="7401">
      <c r="D7401" s="9"/>
      <c r="G7401" s="9"/>
      <c r="J7401" s="11"/>
      <c r="U7401" s="9"/>
      <c r="X7401" s="9"/>
    </row>
    <row r="7402">
      <c r="D7402" s="9"/>
      <c r="G7402" s="9"/>
      <c r="J7402" s="11"/>
      <c r="U7402" s="9"/>
      <c r="X7402" s="9"/>
    </row>
    <row r="7403">
      <c r="D7403" s="9"/>
      <c r="G7403" s="9"/>
      <c r="J7403" s="11"/>
      <c r="U7403" s="9"/>
      <c r="X7403" s="9"/>
    </row>
    <row r="7404">
      <c r="D7404" s="9"/>
      <c r="G7404" s="9"/>
      <c r="J7404" s="11"/>
      <c r="U7404" s="9"/>
      <c r="X7404" s="9"/>
    </row>
    <row r="7405">
      <c r="D7405" s="9"/>
      <c r="G7405" s="9"/>
      <c r="J7405" s="11"/>
      <c r="U7405" s="9"/>
      <c r="X7405" s="9"/>
    </row>
    <row r="7406">
      <c r="D7406" s="9"/>
      <c r="G7406" s="9"/>
      <c r="J7406" s="11"/>
      <c r="U7406" s="9"/>
      <c r="X7406" s="9"/>
    </row>
    <row r="7407">
      <c r="D7407" s="9"/>
      <c r="G7407" s="9"/>
      <c r="J7407" s="11"/>
      <c r="U7407" s="9"/>
      <c r="X7407" s="9"/>
    </row>
    <row r="7408">
      <c r="D7408" s="9"/>
      <c r="G7408" s="9"/>
      <c r="J7408" s="11"/>
      <c r="U7408" s="9"/>
      <c r="X7408" s="9"/>
    </row>
    <row r="7409">
      <c r="D7409" s="9"/>
      <c r="G7409" s="9"/>
      <c r="J7409" s="11"/>
      <c r="U7409" s="9"/>
      <c r="X7409" s="9"/>
    </row>
    <row r="7410">
      <c r="D7410" s="9"/>
      <c r="G7410" s="9"/>
      <c r="J7410" s="11"/>
      <c r="U7410" s="9"/>
      <c r="X7410" s="9"/>
    </row>
    <row r="7411">
      <c r="D7411" s="9"/>
      <c r="G7411" s="9"/>
      <c r="J7411" s="11"/>
      <c r="U7411" s="9"/>
      <c r="X7411" s="9"/>
    </row>
    <row r="7412">
      <c r="D7412" s="9"/>
      <c r="G7412" s="9"/>
      <c r="J7412" s="11"/>
      <c r="U7412" s="9"/>
      <c r="X7412" s="9"/>
    </row>
    <row r="7413">
      <c r="D7413" s="9"/>
      <c r="G7413" s="9"/>
      <c r="J7413" s="11"/>
      <c r="U7413" s="9"/>
      <c r="X7413" s="9"/>
    </row>
    <row r="7414">
      <c r="D7414" s="9"/>
      <c r="G7414" s="9"/>
      <c r="J7414" s="11"/>
      <c r="U7414" s="9"/>
      <c r="X7414" s="9"/>
    </row>
    <row r="7415">
      <c r="D7415" s="9"/>
      <c r="G7415" s="9"/>
      <c r="J7415" s="11"/>
      <c r="U7415" s="9"/>
      <c r="X7415" s="9"/>
    </row>
    <row r="7416">
      <c r="D7416" s="9"/>
      <c r="G7416" s="9"/>
      <c r="J7416" s="11"/>
      <c r="U7416" s="9"/>
      <c r="X7416" s="9"/>
    </row>
    <row r="7417">
      <c r="D7417" s="9"/>
      <c r="G7417" s="9"/>
      <c r="J7417" s="11"/>
      <c r="U7417" s="9"/>
      <c r="X7417" s="9"/>
    </row>
    <row r="7418">
      <c r="D7418" s="9"/>
      <c r="G7418" s="9"/>
      <c r="J7418" s="11"/>
      <c r="U7418" s="9"/>
      <c r="X7418" s="9"/>
    </row>
    <row r="7419">
      <c r="D7419" s="9"/>
      <c r="G7419" s="9"/>
      <c r="J7419" s="11"/>
      <c r="U7419" s="9"/>
      <c r="X7419" s="9"/>
    </row>
    <row r="7420">
      <c r="D7420" s="9"/>
      <c r="G7420" s="9"/>
      <c r="J7420" s="11"/>
      <c r="U7420" s="9"/>
      <c r="X7420" s="9"/>
    </row>
    <row r="7421">
      <c r="D7421" s="9"/>
      <c r="G7421" s="9"/>
      <c r="J7421" s="11"/>
      <c r="U7421" s="9"/>
      <c r="X7421" s="9"/>
    </row>
    <row r="7422">
      <c r="D7422" s="9"/>
      <c r="G7422" s="9"/>
      <c r="J7422" s="11"/>
      <c r="U7422" s="9"/>
      <c r="X7422" s="9"/>
    </row>
    <row r="7423">
      <c r="D7423" s="9"/>
      <c r="G7423" s="9"/>
      <c r="J7423" s="11"/>
      <c r="U7423" s="9"/>
      <c r="X7423" s="9"/>
    </row>
    <row r="7424">
      <c r="D7424" s="9"/>
      <c r="G7424" s="9"/>
      <c r="J7424" s="11"/>
      <c r="U7424" s="9"/>
      <c r="X7424" s="9"/>
    </row>
    <row r="7425">
      <c r="D7425" s="9"/>
      <c r="G7425" s="9"/>
      <c r="J7425" s="11"/>
      <c r="U7425" s="9"/>
      <c r="X7425" s="9"/>
    </row>
    <row r="7426">
      <c r="D7426" s="9"/>
      <c r="G7426" s="9"/>
      <c r="J7426" s="11"/>
      <c r="U7426" s="9"/>
      <c r="X7426" s="9"/>
    </row>
    <row r="7427">
      <c r="D7427" s="9"/>
      <c r="G7427" s="9"/>
      <c r="J7427" s="11"/>
      <c r="U7427" s="9"/>
      <c r="X7427" s="9"/>
    </row>
    <row r="7428">
      <c r="D7428" s="9"/>
      <c r="G7428" s="9"/>
      <c r="J7428" s="11"/>
      <c r="U7428" s="9"/>
      <c r="X7428" s="9"/>
    </row>
    <row r="7429">
      <c r="D7429" s="9"/>
      <c r="G7429" s="9"/>
      <c r="J7429" s="11"/>
      <c r="U7429" s="9"/>
      <c r="X7429" s="9"/>
    </row>
    <row r="7430">
      <c r="D7430" s="9"/>
      <c r="G7430" s="9"/>
      <c r="J7430" s="11"/>
      <c r="U7430" s="9"/>
      <c r="X7430" s="9"/>
    </row>
    <row r="7431">
      <c r="D7431" s="9"/>
      <c r="G7431" s="9"/>
      <c r="J7431" s="11"/>
      <c r="U7431" s="9"/>
      <c r="X7431" s="9"/>
    </row>
    <row r="7432">
      <c r="D7432" s="9"/>
      <c r="G7432" s="9"/>
      <c r="J7432" s="11"/>
      <c r="U7432" s="9"/>
      <c r="X7432" s="9"/>
    </row>
    <row r="7433">
      <c r="D7433" s="9"/>
      <c r="G7433" s="9"/>
      <c r="J7433" s="11"/>
      <c r="U7433" s="9"/>
      <c r="X7433" s="9"/>
    </row>
    <row r="7434">
      <c r="D7434" s="9"/>
      <c r="G7434" s="9"/>
      <c r="J7434" s="11"/>
      <c r="U7434" s="9"/>
      <c r="X7434" s="9"/>
    </row>
    <row r="7435">
      <c r="D7435" s="9"/>
      <c r="G7435" s="9"/>
      <c r="J7435" s="11"/>
      <c r="U7435" s="9"/>
      <c r="X7435" s="9"/>
    </row>
    <row r="7436">
      <c r="D7436" s="9"/>
      <c r="G7436" s="9"/>
      <c r="J7436" s="11"/>
      <c r="U7436" s="9"/>
      <c r="X7436" s="9"/>
    </row>
    <row r="7437">
      <c r="D7437" s="9"/>
      <c r="G7437" s="9"/>
      <c r="J7437" s="11"/>
      <c r="U7437" s="9"/>
      <c r="X7437" s="9"/>
    </row>
    <row r="7438">
      <c r="D7438" s="9"/>
      <c r="G7438" s="9"/>
      <c r="J7438" s="11"/>
      <c r="U7438" s="9"/>
      <c r="X7438" s="9"/>
    </row>
    <row r="7439">
      <c r="D7439" s="9"/>
      <c r="G7439" s="9"/>
      <c r="J7439" s="11"/>
      <c r="U7439" s="9"/>
      <c r="X7439" s="9"/>
    </row>
    <row r="7440">
      <c r="D7440" s="9"/>
      <c r="G7440" s="9"/>
      <c r="J7440" s="11"/>
      <c r="U7440" s="9"/>
      <c r="X7440" s="9"/>
    </row>
    <row r="7441">
      <c r="D7441" s="9"/>
      <c r="G7441" s="9"/>
      <c r="J7441" s="11"/>
      <c r="U7441" s="9"/>
      <c r="X7441" s="9"/>
    </row>
    <row r="7442">
      <c r="D7442" s="9"/>
      <c r="G7442" s="9"/>
      <c r="J7442" s="11"/>
      <c r="U7442" s="9"/>
      <c r="X7442" s="9"/>
    </row>
    <row r="7443">
      <c r="D7443" s="9"/>
      <c r="G7443" s="9"/>
      <c r="J7443" s="11"/>
      <c r="U7443" s="9"/>
      <c r="X7443" s="9"/>
    </row>
    <row r="7444">
      <c r="D7444" s="9"/>
      <c r="G7444" s="9"/>
      <c r="J7444" s="11"/>
      <c r="U7444" s="9"/>
      <c r="X7444" s="9"/>
    </row>
    <row r="7445">
      <c r="D7445" s="9"/>
      <c r="G7445" s="9"/>
      <c r="J7445" s="11"/>
      <c r="U7445" s="9"/>
      <c r="X7445" s="9"/>
    </row>
    <row r="7446">
      <c r="D7446" s="9"/>
      <c r="G7446" s="9"/>
      <c r="J7446" s="11"/>
      <c r="U7446" s="9"/>
      <c r="X7446" s="9"/>
    </row>
    <row r="7447">
      <c r="D7447" s="9"/>
      <c r="G7447" s="9"/>
      <c r="J7447" s="11"/>
      <c r="U7447" s="9"/>
      <c r="X7447" s="9"/>
    </row>
    <row r="7448">
      <c r="D7448" s="9"/>
      <c r="G7448" s="9"/>
      <c r="J7448" s="11"/>
      <c r="U7448" s="9"/>
      <c r="X7448" s="9"/>
    </row>
    <row r="7449">
      <c r="D7449" s="9"/>
      <c r="G7449" s="9"/>
      <c r="J7449" s="11"/>
      <c r="U7449" s="9"/>
      <c r="X7449" s="9"/>
    </row>
    <row r="7450">
      <c r="D7450" s="9"/>
      <c r="G7450" s="9"/>
      <c r="J7450" s="11"/>
      <c r="U7450" s="9"/>
      <c r="X7450" s="9"/>
    </row>
    <row r="7451">
      <c r="D7451" s="9"/>
      <c r="G7451" s="9"/>
      <c r="J7451" s="11"/>
      <c r="U7451" s="9"/>
      <c r="X7451" s="9"/>
    </row>
    <row r="7452">
      <c r="D7452" s="9"/>
      <c r="G7452" s="9"/>
      <c r="J7452" s="11"/>
      <c r="U7452" s="9"/>
      <c r="X7452" s="9"/>
    </row>
    <row r="7453">
      <c r="D7453" s="9"/>
      <c r="G7453" s="9"/>
      <c r="J7453" s="11"/>
      <c r="U7453" s="9"/>
      <c r="X7453" s="9"/>
    </row>
    <row r="7454">
      <c r="D7454" s="9"/>
      <c r="G7454" s="9"/>
      <c r="J7454" s="11"/>
      <c r="U7454" s="9"/>
      <c r="X7454" s="9"/>
    </row>
    <row r="7455">
      <c r="D7455" s="9"/>
      <c r="G7455" s="9"/>
      <c r="J7455" s="11"/>
      <c r="U7455" s="9"/>
      <c r="X7455" s="9"/>
    </row>
    <row r="7456">
      <c r="D7456" s="9"/>
      <c r="G7456" s="9"/>
      <c r="J7456" s="11"/>
      <c r="U7456" s="9"/>
      <c r="X7456" s="9"/>
    </row>
    <row r="7457">
      <c r="D7457" s="9"/>
      <c r="G7457" s="9"/>
      <c r="J7457" s="11"/>
      <c r="U7457" s="9"/>
      <c r="X7457" s="9"/>
    </row>
    <row r="7458">
      <c r="D7458" s="9"/>
      <c r="G7458" s="9"/>
      <c r="J7458" s="11"/>
      <c r="U7458" s="9"/>
      <c r="X7458" s="9"/>
    </row>
    <row r="7459">
      <c r="D7459" s="9"/>
      <c r="G7459" s="9"/>
      <c r="J7459" s="11"/>
      <c r="U7459" s="9"/>
      <c r="X7459" s="9"/>
    </row>
    <row r="7460">
      <c r="D7460" s="9"/>
      <c r="G7460" s="9"/>
      <c r="J7460" s="11"/>
      <c r="U7460" s="9"/>
      <c r="X7460" s="9"/>
    </row>
    <row r="7461">
      <c r="D7461" s="9"/>
      <c r="G7461" s="9"/>
      <c r="J7461" s="11"/>
      <c r="U7461" s="9"/>
      <c r="X7461" s="9"/>
    </row>
    <row r="7462">
      <c r="D7462" s="9"/>
      <c r="G7462" s="9"/>
      <c r="J7462" s="11"/>
      <c r="U7462" s="9"/>
      <c r="X7462" s="9"/>
    </row>
    <row r="7463">
      <c r="D7463" s="9"/>
      <c r="G7463" s="9"/>
      <c r="J7463" s="11"/>
      <c r="U7463" s="9"/>
      <c r="X7463" s="9"/>
    </row>
    <row r="7464">
      <c r="D7464" s="9"/>
      <c r="G7464" s="9"/>
      <c r="J7464" s="11"/>
      <c r="U7464" s="9"/>
      <c r="X7464" s="9"/>
    </row>
    <row r="7465">
      <c r="D7465" s="9"/>
      <c r="G7465" s="9"/>
      <c r="J7465" s="11"/>
      <c r="U7465" s="9"/>
      <c r="X7465" s="9"/>
    </row>
    <row r="7466">
      <c r="D7466" s="9"/>
      <c r="G7466" s="9"/>
      <c r="J7466" s="11"/>
      <c r="U7466" s="9"/>
      <c r="X7466" s="9"/>
    </row>
    <row r="7467">
      <c r="D7467" s="9"/>
      <c r="G7467" s="9"/>
      <c r="J7467" s="11"/>
      <c r="U7467" s="9"/>
      <c r="X7467" s="9"/>
    </row>
    <row r="7468">
      <c r="D7468" s="9"/>
      <c r="G7468" s="9"/>
      <c r="J7468" s="11"/>
      <c r="U7468" s="9"/>
      <c r="X7468" s="9"/>
    </row>
    <row r="7469">
      <c r="D7469" s="9"/>
      <c r="G7469" s="9"/>
      <c r="J7469" s="11"/>
      <c r="U7469" s="9"/>
      <c r="X7469" s="9"/>
    </row>
    <row r="7470">
      <c r="D7470" s="9"/>
      <c r="G7470" s="9"/>
      <c r="J7470" s="11"/>
      <c r="U7470" s="9"/>
      <c r="X7470" s="9"/>
    </row>
    <row r="7471">
      <c r="D7471" s="9"/>
      <c r="G7471" s="9"/>
      <c r="J7471" s="11"/>
      <c r="U7471" s="9"/>
      <c r="X7471" s="9"/>
    </row>
    <row r="7472">
      <c r="D7472" s="9"/>
      <c r="G7472" s="9"/>
      <c r="J7472" s="11"/>
      <c r="U7472" s="9"/>
      <c r="X7472" s="9"/>
    </row>
    <row r="7473">
      <c r="D7473" s="9"/>
      <c r="G7473" s="9"/>
      <c r="J7473" s="11"/>
      <c r="U7473" s="9"/>
      <c r="X7473" s="9"/>
    </row>
    <row r="7474">
      <c r="D7474" s="9"/>
      <c r="G7474" s="9"/>
      <c r="J7474" s="11"/>
      <c r="U7474" s="9"/>
      <c r="X7474" s="9"/>
    </row>
    <row r="7475">
      <c r="D7475" s="9"/>
      <c r="G7475" s="9"/>
      <c r="J7475" s="11"/>
      <c r="U7475" s="9"/>
      <c r="X7475" s="9"/>
    </row>
    <row r="7476">
      <c r="D7476" s="9"/>
      <c r="G7476" s="9"/>
      <c r="J7476" s="11"/>
      <c r="U7476" s="9"/>
      <c r="X7476" s="9"/>
    </row>
    <row r="7477">
      <c r="D7477" s="9"/>
      <c r="G7477" s="9"/>
      <c r="J7477" s="11"/>
      <c r="U7477" s="9"/>
      <c r="X7477" s="9"/>
    </row>
    <row r="7478">
      <c r="D7478" s="9"/>
      <c r="G7478" s="9"/>
      <c r="J7478" s="11"/>
      <c r="U7478" s="9"/>
      <c r="X7478" s="9"/>
    </row>
    <row r="7479">
      <c r="D7479" s="9"/>
      <c r="G7479" s="9"/>
      <c r="J7479" s="11"/>
      <c r="U7479" s="9"/>
      <c r="X7479" s="9"/>
    </row>
    <row r="7480">
      <c r="D7480" s="9"/>
      <c r="G7480" s="9"/>
      <c r="J7480" s="11"/>
      <c r="U7480" s="9"/>
      <c r="X7480" s="9"/>
    </row>
    <row r="7481">
      <c r="D7481" s="9"/>
      <c r="G7481" s="9"/>
      <c r="J7481" s="11"/>
      <c r="U7481" s="9"/>
      <c r="X7481" s="9"/>
    </row>
    <row r="7482">
      <c r="D7482" s="9"/>
      <c r="G7482" s="9"/>
      <c r="J7482" s="11"/>
      <c r="U7482" s="9"/>
      <c r="X7482" s="9"/>
    </row>
    <row r="7483">
      <c r="D7483" s="9"/>
      <c r="G7483" s="9"/>
      <c r="J7483" s="11"/>
      <c r="U7483" s="9"/>
      <c r="X7483" s="9"/>
    </row>
    <row r="7484">
      <c r="D7484" s="9"/>
      <c r="G7484" s="9"/>
      <c r="J7484" s="11"/>
      <c r="U7484" s="9"/>
      <c r="X7484" s="9"/>
    </row>
    <row r="7485">
      <c r="D7485" s="9"/>
      <c r="G7485" s="9"/>
      <c r="J7485" s="11"/>
      <c r="U7485" s="9"/>
      <c r="X7485" s="9"/>
    </row>
    <row r="7486">
      <c r="D7486" s="9"/>
      <c r="G7486" s="9"/>
      <c r="J7486" s="11"/>
      <c r="U7486" s="9"/>
      <c r="X7486" s="9"/>
    </row>
    <row r="7487">
      <c r="D7487" s="9"/>
      <c r="G7487" s="9"/>
      <c r="J7487" s="11"/>
      <c r="U7487" s="9"/>
      <c r="X7487" s="9"/>
    </row>
    <row r="7488">
      <c r="D7488" s="9"/>
      <c r="G7488" s="9"/>
      <c r="J7488" s="11"/>
      <c r="U7488" s="9"/>
      <c r="X7488" s="9"/>
    </row>
    <row r="7489">
      <c r="D7489" s="9"/>
      <c r="G7489" s="9"/>
      <c r="J7489" s="11"/>
      <c r="U7489" s="9"/>
      <c r="X7489" s="9"/>
    </row>
    <row r="7490">
      <c r="D7490" s="9"/>
      <c r="G7490" s="9"/>
      <c r="J7490" s="11"/>
      <c r="U7490" s="9"/>
      <c r="X7490" s="9"/>
    </row>
    <row r="7491">
      <c r="D7491" s="9"/>
      <c r="G7491" s="9"/>
      <c r="J7491" s="11"/>
      <c r="U7491" s="9"/>
      <c r="X7491" s="9"/>
    </row>
    <row r="7492">
      <c r="D7492" s="9"/>
      <c r="G7492" s="9"/>
      <c r="J7492" s="11"/>
      <c r="U7492" s="9"/>
      <c r="X7492" s="9"/>
    </row>
    <row r="7493">
      <c r="D7493" s="9"/>
      <c r="G7493" s="9"/>
      <c r="J7493" s="11"/>
      <c r="U7493" s="9"/>
      <c r="X7493" s="9"/>
    </row>
    <row r="7494">
      <c r="D7494" s="9"/>
      <c r="G7494" s="9"/>
      <c r="J7494" s="11"/>
      <c r="U7494" s="9"/>
      <c r="X7494" s="9"/>
    </row>
    <row r="7495">
      <c r="D7495" s="9"/>
      <c r="G7495" s="9"/>
      <c r="J7495" s="11"/>
      <c r="U7495" s="9"/>
      <c r="X7495" s="9"/>
    </row>
    <row r="7496">
      <c r="D7496" s="9"/>
      <c r="G7496" s="9"/>
      <c r="J7496" s="11"/>
      <c r="U7496" s="9"/>
      <c r="X7496" s="9"/>
    </row>
    <row r="7497">
      <c r="D7497" s="9"/>
      <c r="G7497" s="9"/>
      <c r="J7497" s="11"/>
      <c r="U7497" s="9"/>
      <c r="X7497" s="9"/>
    </row>
    <row r="7498">
      <c r="D7498" s="9"/>
      <c r="G7498" s="9"/>
      <c r="J7498" s="11"/>
      <c r="U7498" s="9"/>
      <c r="X7498" s="9"/>
    </row>
    <row r="7499">
      <c r="D7499" s="9"/>
      <c r="G7499" s="9"/>
      <c r="J7499" s="11"/>
      <c r="U7499" s="9"/>
      <c r="X7499" s="9"/>
    </row>
    <row r="7500">
      <c r="D7500" s="9"/>
      <c r="G7500" s="9"/>
      <c r="J7500" s="11"/>
      <c r="U7500" s="9"/>
      <c r="X7500" s="9"/>
    </row>
    <row r="7501">
      <c r="D7501" s="9"/>
      <c r="G7501" s="9"/>
      <c r="J7501" s="11"/>
      <c r="U7501" s="9"/>
      <c r="X7501" s="9"/>
    </row>
    <row r="7502">
      <c r="D7502" s="9"/>
      <c r="G7502" s="9"/>
      <c r="J7502" s="11"/>
      <c r="U7502" s="9"/>
      <c r="X7502" s="9"/>
    </row>
    <row r="7503">
      <c r="D7503" s="9"/>
      <c r="G7503" s="9"/>
      <c r="J7503" s="11"/>
      <c r="U7503" s="9"/>
      <c r="X7503" s="9"/>
    </row>
    <row r="7504">
      <c r="D7504" s="9"/>
      <c r="G7504" s="9"/>
      <c r="J7504" s="11"/>
      <c r="U7504" s="9"/>
      <c r="X7504" s="9"/>
    </row>
    <row r="7505">
      <c r="D7505" s="9"/>
      <c r="G7505" s="9"/>
      <c r="J7505" s="11"/>
      <c r="U7505" s="9"/>
      <c r="X7505" s="9"/>
    </row>
    <row r="7506">
      <c r="D7506" s="9"/>
      <c r="G7506" s="9"/>
      <c r="J7506" s="11"/>
      <c r="U7506" s="9"/>
      <c r="X7506" s="9"/>
    </row>
    <row r="7507">
      <c r="D7507" s="9"/>
      <c r="G7507" s="9"/>
      <c r="J7507" s="11"/>
      <c r="U7507" s="9"/>
      <c r="X7507" s="9"/>
    </row>
    <row r="7508">
      <c r="D7508" s="9"/>
      <c r="G7508" s="9"/>
      <c r="J7508" s="11"/>
      <c r="U7508" s="9"/>
      <c r="X7508" s="9"/>
    </row>
    <row r="7509">
      <c r="D7509" s="9"/>
      <c r="G7509" s="9"/>
      <c r="J7509" s="11"/>
      <c r="U7509" s="9"/>
      <c r="X7509" s="9"/>
    </row>
    <row r="7510">
      <c r="D7510" s="9"/>
      <c r="G7510" s="9"/>
      <c r="J7510" s="11"/>
      <c r="U7510" s="9"/>
      <c r="X7510" s="9"/>
    </row>
    <row r="7511">
      <c r="D7511" s="9"/>
      <c r="G7511" s="9"/>
      <c r="J7511" s="11"/>
      <c r="U7511" s="9"/>
      <c r="X7511" s="9"/>
    </row>
    <row r="7512">
      <c r="D7512" s="9"/>
      <c r="G7512" s="9"/>
      <c r="J7512" s="11"/>
      <c r="U7512" s="9"/>
      <c r="X7512" s="9"/>
    </row>
    <row r="7513">
      <c r="D7513" s="9"/>
      <c r="G7513" s="9"/>
      <c r="J7513" s="11"/>
      <c r="U7513" s="9"/>
      <c r="X7513" s="9"/>
    </row>
    <row r="7514">
      <c r="D7514" s="9"/>
      <c r="G7514" s="9"/>
      <c r="J7514" s="11"/>
      <c r="U7514" s="9"/>
      <c r="X7514" s="9"/>
    </row>
    <row r="7515">
      <c r="D7515" s="9"/>
      <c r="G7515" s="9"/>
      <c r="J7515" s="11"/>
      <c r="U7515" s="9"/>
      <c r="X7515" s="9"/>
    </row>
    <row r="7516">
      <c r="D7516" s="9"/>
      <c r="G7516" s="9"/>
      <c r="J7516" s="11"/>
      <c r="U7516" s="9"/>
      <c r="X7516" s="9"/>
    </row>
    <row r="7517">
      <c r="D7517" s="9"/>
      <c r="G7517" s="9"/>
      <c r="J7517" s="11"/>
      <c r="U7517" s="9"/>
      <c r="X7517" s="9"/>
    </row>
    <row r="7518">
      <c r="D7518" s="9"/>
      <c r="G7518" s="9"/>
      <c r="J7518" s="11"/>
      <c r="U7518" s="9"/>
      <c r="X7518" s="9"/>
    </row>
    <row r="7519">
      <c r="D7519" s="9"/>
      <c r="G7519" s="9"/>
      <c r="J7519" s="11"/>
      <c r="U7519" s="9"/>
      <c r="X7519" s="9"/>
    </row>
    <row r="7520">
      <c r="D7520" s="9"/>
      <c r="G7520" s="9"/>
      <c r="J7520" s="11"/>
      <c r="U7520" s="9"/>
      <c r="X7520" s="9"/>
    </row>
    <row r="7521">
      <c r="D7521" s="9"/>
      <c r="G7521" s="9"/>
      <c r="J7521" s="11"/>
      <c r="U7521" s="9"/>
      <c r="X7521" s="9"/>
    </row>
    <row r="7522">
      <c r="D7522" s="9"/>
      <c r="G7522" s="9"/>
      <c r="J7522" s="11"/>
      <c r="U7522" s="9"/>
      <c r="X7522" s="9"/>
    </row>
    <row r="7523">
      <c r="D7523" s="9"/>
      <c r="G7523" s="9"/>
      <c r="J7523" s="11"/>
      <c r="U7523" s="9"/>
      <c r="X7523" s="9"/>
    </row>
    <row r="7524">
      <c r="D7524" s="9"/>
      <c r="G7524" s="9"/>
      <c r="J7524" s="11"/>
      <c r="U7524" s="9"/>
      <c r="X7524" s="9"/>
    </row>
    <row r="7525">
      <c r="D7525" s="9"/>
      <c r="G7525" s="9"/>
      <c r="J7525" s="11"/>
      <c r="U7525" s="9"/>
      <c r="X7525" s="9"/>
    </row>
    <row r="7526">
      <c r="D7526" s="9"/>
      <c r="G7526" s="9"/>
      <c r="J7526" s="11"/>
      <c r="U7526" s="9"/>
      <c r="X7526" s="9"/>
    </row>
    <row r="7527">
      <c r="D7527" s="9"/>
      <c r="G7527" s="9"/>
      <c r="J7527" s="11"/>
      <c r="U7527" s="9"/>
      <c r="X7527" s="9"/>
    </row>
    <row r="7528">
      <c r="D7528" s="9"/>
      <c r="G7528" s="9"/>
      <c r="J7528" s="11"/>
      <c r="U7528" s="9"/>
      <c r="X7528" s="9"/>
    </row>
    <row r="7529">
      <c r="D7529" s="9"/>
      <c r="G7529" s="9"/>
      <c r="J7529" s="11"/>
      <c r="U7529" s="9"/>
      <c r="X7529" s="9"/>
    </row>
    <row r="7530">
      <c r="D7530" s="9"/>
      <c r="G7530" s="9"/>
      <c r="J7530" s="11"/>
      <c r="U7530" s="9"/>
      <c r="X7530" s="9"/>
    </row>
    <row r="7531">
      <c r="D7531" s="9"/>
      <c r="G7531" s="9"/>
      <c r="J7531" s="11"/>
      <c r="U7531" s="9"/>
      <c r="X7531" s="9"/>
    </row>
    <row r="7532">
      <c r="D7532" s="9"/>
      <c r="G7532" s="9"/>
      <c r="J7532" s="11"/>
      <c r="U7532" s="9"/>
      <c r="X7532" s="9"/>
    </row>
    <row r="7533">
      <c r="D7533" s="9"/>
      <c r="G7533" s="9"/>
      <c r="J7533" s="11"/>
      <c r="U7533" s="9"/>
      <c r="X7533" s="9"/>
    </row>
    <row r="7534">
      <c r="D7534" s="9"/>
      <c r="G7534" s="9"/>
      <c r="J7534" s="11"/>
      <c r="U7534" s="9"/>
      <c r="X7534" s="9"/>
    </row>
    <row r="7535">
      <c r="D7535" s="9"/>
      <c r="G7535" s="9"/>
      <c r="J7535" s="11"/>
      <c r="U7535" s="9"/>
      <c r="X7535" s="9"/>
    </row>
    <row r="7536">
      <c r="D7536" s="9"/>
      <c r="G7536" s="9"/>
      <c r="J7536" s="11"/>
      <c r="U7536" s="9"/>
      <c r="X7536" s="9"/>
    </row>
    <row r="7537">
      <c r="D7537" s="9"/>
      <c r="G7537" s="9"/>
      <c r="J7537" s="11"/>
      <c r="U7537" s="9"/>
      <c r="X7537" s="9"/>
    </row>
    <row r="7538">
      <c r="D7538" s="9"/>
      <c r="G7538" s="9"/>
      <c r="J7538" s="11"/>
      <c r="U7538" s="9"/>
      <c r="X7538" s="9"/>
    </row>
    <row r="7539">
      <c r="D7539" s="9"/>
      <c r="G7539" s="9"/>
      <c r="J7539" s="11"/>
      <c r="U7539" s="9"/>
      <c r="X7539" s="9"/>
    </row>
    <row r="7540">
      <c r="D7540" s="9"/>
      <c r="G7540" s="9"/>
      <c r="J7540" s="11"/>
      <c r="U7540" s="9"/>
      <c r="X7540" s="9"/>
    </row>
    <row r="7541">
      <c r="D7541" s="9"/>
      <c r="G7541" s="9"/>
      <c r="J7541" s="11"/>
      <c r="U7541" s="9"/>
      <c r="X7541" s="9"/>
    </row>
    <row r="7542">
      <c r="D7542" s="9"/>
      <c r="G7542" s="9"/>
      <c r="J7542" s="11"/>
      <c r="U7542" s="9"/>
      <c r="X7542" s="9"/>
    </row>
    <row r="7543">
      <c r="D7543" s="9"/>
      <c r="G7543" s="9"/>
      <c r="J7543" s="11"/>
      <c r="U7543" s="9"/>
      <c r="X7543" s="9"/>
    </row>
    <row r="7544">
      <c r="D7544" s="9"/>
      <c r="G7544" s="9"/>
      <c r="J7544" s="11"/>
      <c r="U7544" s="9"/>
      <c r="X7544" s="9"/>
    </row>
    <row r="7545">
      <c r="D7545" s="9"/>
      <c r="G7545" s="9"/>
      <c r="J7545" s="11"/>
      <c r="U7545" s="9"/>
      <c r="X7545" s="9"/>
    </row>
    <row r="7546">
      <c r="D7546" s="9"/>
      <c r="G7546" s="9"/>
      <c r="J7546" s="11"/>
      <c r="U7546" s="9"/>
      <c r="X7546" s="9"/>
    </row>
    <row r="7547">
      <c r="D7547" s="9"/>
      <c r="G7547" s="9"/>
      <c r="J7547" s="11"/>
      <c r="U7547" s="9"/>
      <c r="X7547" s="9"/>
    </row>
    <row r="7548">
      <c r="D7548" s="9"/>
      <c r="G7548" s="9"/>
      <c r="J7548" s="11"/>
      <c r="U7548" s="9"/>
      <c r="X7548" s="9"/>
    </row>
    <row r="7549">
      <c r="D7549" s="9"/>
      <c r="G7549" s="9"/>
      <c r="J7549" s="11"/>
      <c r="U7549" s="9"/>
      <c r="X7549" s="9"/>
    </row>
    <row r="7550">
      <c r="D7550" s="9"/>
      <c r="G7550" s="9"/>
      <c r="J7550" s="11"/>
      <c r="U7550" s="9"/>
      <c r="X7550" s="9"/>
    </row>
    <row r="7551">
      <c r="D7551" s="9"/>
      <c r="G7551" s="9"/>
      <c r="J7551" s="11"/>
      <c r="U7551" s="9"/>
      <c r="X7551" s="9"/>
    </row>
    <row r="7552">
      <c r="D7552" s="9"/>
      <c r="G7552" s="9"/>
      <c r="J7552" s="11"/>
      <c r="U7552" s="9"/>
      <c r="X7552" s="9"/>
    </row>
    <row r="7553">
      <c r="D7553" s="9"/>
      <c r="G7553" s="9"/>
      <c r="J7553" s="11"/>
      <c r="U7553" s="9"/>
      <c r="X7553" s="9"/>
    </row>
    <row r="7554">
      <c r="D7554" s="9"/>
      <c r="G7554" s="9"/>
      <c r="J7554" s="11"/>
      <c r="U7554" s="9"/>
      <c r="X7554" s="9"/>
    </row>
    <row r="7555">
      <c r="D7555" s="9"/>
      <c r="G7555" s="9"/>
      <c r="J7555" s="11"/>
      <c r="U7555" s="9"/>
      <c r="X7555" s="9"/>
    </row>
    <row r="7556">
      <c r="D7556" s="9"/>
      <c r="G7556" s="9"/>
      <c r="J7556" s="11"/>
      <c r="U7556" s="9"/>
      <c r="X7556" s="9"/>
    </row>
    <row r="7557">
      <c r="D7557" s="9"/>
      <c r="G7557" s="9"/>
      <c r="J7557" s="11"/>
      <c r="U7557" s="9"/>
      <c r="X7557" s="9"/>
    </row>
    <row r="7558">
      <c r="D7558" s="9"/>
      <c r="G7558" s="9"/>
      <c r="J7558" s="11"/>
      <c r="U7558" s="9"/>
      <c r="X7558" s="9"/>
    </row>
    <row r="7559">
      <c r="D7559" s="9"/>
      <c r="G7559" s="9"/>
      <c r="J7559" s="11"/>
      <c r="U7559" s="9"/>
      <c r="X7559" s="9"/>
    </row>
    <row r="7560">
      <c r="D7560" s="9"/>
      <c r="G7560" s="9"/>
      <c r="J7560" s="11"/>
      <c r="U7560" s="9"/>
      <c r="X7560" s="9"/>
    </row>
    <row r="7561">
      <c r="D7561" s="9"/>
      <c r="G7561" s="9"/>
      <c r="J7561" s="11"/>
      <c r="U7561" s="9"/>
      <c r="X7561" s="9"/>
    </row>
    <row r="7562">
      <c r="D7562" s="9"/>
      <c r="G7562" s="9"/>
      <c r="J7562" s="11"/>
      <c r="U7562" s="9"/>
      <c r="X7562" s="9"/>
    </row>
    <row r="7563">
      <c r="D7563" s="9"/>
      <c r="G7563" s="9"/>
      <c r="J7563" s="11"/>
      <c r="U7563" s="9"/>
      <c r="X7563" s="9"/>
    </row>
    <row r="7564">
      <c r="D7564" s="9"/>
      <c r="G7564" s="9"/>
      <c r="J7564" s="11"/>
      <c r="U7564" s="9"/>
      <c r="X7564" s="9"/>
    </row>
    <row r="7565">
      <c r="D7565" s="9"/>
      <c r="G7565" s="9"/>
      <c r="J7565" s="11"/>
      <c r="U7565" s="9"/>
      <c r="X7565" s="9"/>
    </row>
    <row r="7566">
      <c r="D7566" s="9"/>
      <c r="G7566" s="9"/>
      <c r="J7566" s="11"/>
      <c r="U7566" s="9"/>
      <c r="X7566" s="9"/>
    </row>
    <row r="7567">
      <c r="D7567" s="9"/>
      <c r="G7567" s="9"/>
      <c r="J7567" s="11"/>
      <c r="U7567" s="9"/>
      <c r="X7567" s="9"/>
    </row>
    <row r="7568">
      <c r="D7568" s="9"/>
      <c r="G7568" s="9"/>
      <c r="J7568" s="11"/>
      <c r="U7568" s="9"/>
      <c r="X7568" s="9"/>
    </row>
    <row r="7569">
      <c r="D7569" s="9"/>
      <c r="G7569" s="9"/>
      <c r="J7569" s="11"/>
      <c r="U7569" s="9"/>
      <c r="X7569" s="9"/>
    </row>
    <row r="7570">
      <c r="D7570" s="9"/>
      <c r="G7570" s="9"/>
      <c r="J7570" s="11"/>
      <c r="U7570" s="9"/>
      <c r="X7570" s="9"/>
    </row>
    <row r="7571">
      <c r="D7571" s="9"/>
      <c r="G7571" s="9"/>
      <c r="J7571" s="11"/>
      <c r="U7571" s="9"/>
      <c r="X7571" s="9"/>
    </row>
    <row r="7572">
      <c r="D7572" s="9"/>
      <c r="G7572" s="9"/>
      <c r="J7572" s="11"/>
      <c r="U7572" s="9"/>
      <c r="X7572" s="9"/>
    </row>
    <row r="7573">
      <c r="D7573" s="9"/>
      <c r="G7573" s="9"/>
      <c r="J7573" s="11"/>
      <c r="U7573" s="9"/>
      <c r="X7573" s="9"/>
    </row>
    <row r="7574">
      <c r="D7574" s="9"/>
      <c r="G7574" s="9"/>
      <c r="J7574" s="11"/>
      <c r="U7574" s="9"/>
      <c r="X7574" s="9"/>
    </row>
    <row r="7575">
      <c r="D7575" s="9"/>
      <c r="G7575" s="9"/>
      <c r="J7575" s="11"/>
      <c r="U7575" s="9"/>
      <c r="X7575" s="9"/>
    </row>
    <row r="7576">
      <c r="D7576" s="9"/>
      <c r="G7576" s="9"/>
      <c r="J7576" s="11"/>
      <c r="U7576" s="9"/>
      <c r="X7576" s="9"/>
    </row>
    <row r="7577">
      <c r="D7577" s="9"/>
      <c r="G7577" s="9"/>
      <c r="J7577" s="11"/>
      <c r="U7577" s="9"/>
      <c r="X7577" s="9"/>
    </row>
    <row r="7578">
      <c r="D7578" s="9"/>
      <c r="G7578" s="9"/>
      <c r="J7578" s="11"/>
      <c r="U7578" s="9"/>
      <c r="X7578" s="9"/>
    </row>
    <row r="7579">
      <c r="D7579" s="9"/>
      <c r="G7579" s="9"/>
      <c r="J7579" s="11"/>
      <c r="U7579" s="9"/>
      <c r="X7579" s="9"/>
    </row>
    <row r="7580">
      <c r="D7580" s="9"/>
      <c r="G7580" s="9"/>
      <c r="J7580" s="11"/>
      <c r="U7580" s="9"/>
      <c r="X7580" s="9"/>
    </row>
    <row r="7581">
      <c r="D7581" s="9"/>
      <c r="G7581" s="9"/>
      <c r="J7581" s="11"/>
      <c r="U7581" s="9"/>
      <c r="X7581" s="9"/>
    </row>
    <row r="7582">
      <c r="D7582" s="9"/>
      <c r="G7582" s="9"/>
      <c r="J7582" s="11"/>
      <c r="U7582" s="9"/>
      <c r="X7582" s="9"/>
    </row>
    <row r="7583">
      <c r="D7583" s="9"/>
      <c r="G7583" s="9"/>
      <c r="J7583" s="11"/>
      <c r="U7583" s="9"/>
      <c r="X7583" s="9"/>
    </row>
    <row r="7584">
      <c r="D7584" s="9"/>
      <c r="G7584" s="9"/>
      <c r="J7584" s="11"/>
      <c r="U7584" s="9"/>
      <c r="X7584" s="9"/>
    </row>
    <row r="7585">
      <c r="D7585" s="9"/>
      <c r="G7585" s="9"/>
      <c r="J7585" s="11"/>
      <c r="U7585" s="9"/>
      <c r="X7585" s="9"/>
    </row>
    <row r="7586">
      <c r="D7586" s="9"/>
      <c r="G7586" s="9"/>
      <c r="J7586" s="11"/>
      <c r="U7586" s="9"/>
      <c r="X7586" s="9"/>
    </row>
    <row r="7587">
      <c r="D7587" s="9"/>
      <c r="G7587" s="9"/>
      <c r="J7587" s="11"/>
      <c r="U7587" s="9"/>
      <c r="X7587" s="9"/>
    </row>
    <row r="7588">
      <c r="D7588" s="9"/>
      <c r="G7588" s="9"/>
      <c r="J7588" s="11"/>
      <c r="U7588" s="9"/>
      <c r="X7588" s="9"/>
    </row>
    <row r="7589">
      <c r="D7589" s="9"/>
      <c r="G7589" s="9"/>
      <c r="J7589" s="11"/>
      <c r="U7589" s="9"/>
      <c r="X7589" s="9"/>
    </row>
    <row r="7590">
      <c r="D7590" s="9"/>
      <c r="G7590" s="9"/>
      <c r="J7590" s="11"/>
      <c r="U7590" s="9"/>
      <c r="X7590" s="9"/>
    </row>
    <row r="7591">
      <c r="D7591" s="9"/>
      <c r="G7591" s="9"/>
      <c r="J7591" s="11"/>
      <c r="U7591" s="9"/>
      <c r="X7591" s="9"/>
    </row>
    <row r="7592">
      <c r="D7592" s="9"/>
      <c r="G7592" s="9"/>
      <c r="J7592" s="11"/>
      <c r="U7592" s="9"/>
      <c r="X7592" s="9"/>
    </row>
    <row r="7593">
      <c r="D7593" s="9"/>
      <c r="G7593" s="9"/>
      <c r="J7593" s="11"/>
      <c r="U7593" s="9"/>
      <c r="X7593" s="9"/>
    </row>
    <row r="7594">
      <c r="D7594" s="9"/>
      <c r="G7594" s="9"/>
      <c r="J7594" s="11"/>
      <c r="U7594" s="9"/>
      <c r="X7594" s="9"/>
    </row>
    <row r="7595">
      <c r="D7595" s="9"/>
      <c r="G7595" s="9"/>
      <c r="J7595" s="11"/>
      <c r="U7595" s="9"/>
      <c r="X7595" s="9"/>
    </row>
    <row r="7596">
      <c r="D7596" s="9"/>
      <c r="G7596" s="9"/>
      <c r="J7596" s="11"/>
      <c r="U7596" s="9"/>
      <c r="X7596" s="9"/>
    </row>
    <row r="7597">
      <c r="D7597" s="9"/>
      <c r="G7597" s="9"/>
      <c r="J7597" s="11"/>
      <c r="U7597" s="9"/>
      <c r="X7597" s="9"/>
    </row>
    <row r="7598">
      <c r="D7598" s="9"/>
      <c r="G7598" s="9"/>
      <c r="J7598" s="11"/>
      <c r="U7598" s="9"/>
      <c r="X7598" s="9"/>
    </row>
    <row r="7599">
      <c r="D7599" s="9"/>
      <c r="G7599" s="9"/>
      <c r="J7599" s="11"/>
      <c r="U7599" s="9"/>
      <c r="X7599" s="9"/>
    </row>
    <row r="7600">
      <c r="D7600" s="9"/>
      <c r="G7600" s="9"/>
      <c r="J7600" s="11"/>
      <c r="U7600" s="9"/>
      <c r="X7600" s="9"/>
    </row>
    <row r="7601">
      <c r="D7601" s="9"/>
      <c r="G7601" s="9"/>
      <c r="J7601" s="11"/>
      <c r="U7601" s="9"/>
      <c r="X7601" s="9"/>
    </row>
    <row r="7602">
      <c r="D7602" s="9"/>
      <c r="G7602" s="9"/>
      <c r="J7602" s="11"/>
      <c r="U7602" s="9"/>
      <c r="X7602" s="9"/>
    </row>
    <row r="7603">
      <c r="D7603" s="9"/>
      <c r="G7603" s="9"/>
      <c r="J7603" s="11"/>
      <c r="U7603" s="9"/>
      <c r="X7603" s="9"/>
    </row>
    <row r="7604">
      <c r="D7604" s="9"/>
      <c r="G7604" s="9"/>
      <c r="J7604" s="11"/>
      <c r="U7604" s="9"/>
      <c r="X7604" s="9"/>
    </row>
    <row r="7605">
      <c r="D7605" s="9"/>
      <c r="G7605" s="9"/>
      <c r="J7605" s="11"/>
      <c r="U7605" s="9"/>
      <c r="X7605" s="9"/>
    </row>
    <row r="7606">
      <c r="D7606" s="9"/>
      <c r="G7606" s="9"/>
      <c r="J7606" s="11"/>
      <c r="U7606" s="9"/>
      <c r="X7606" s="9"/>
    </row>
    <row r="7607">
      <c r="D7607" s="9"/>
      <c r="G7607" s="9"/>
      <c r="J7607" s="11"/>
      <c r="U7607" s="9"/>
      <c r="X7607" s="9"/>
    </row>
    <row r="7608">
      <c r="D7608" s="9"/>
      <c r="G7608" s="9"/>
      <c r="J7608" s="11"/>
      <c r="U7608" s="9"/>
      <c r="X7608" s="9"/>
    </row>
    <row r="7609">
      <c r="D7609" s="9"/>
      <c r="G7609" s="9"/>
      <c r="J7609" s="11"/>
      <c r="U7609" s="9"/>
      <c r="X7609" s="9"/>
    </row>
    <row r="7610">
      <c r="D7610" s="9"/>
      <c r="G7610" s="9"/>
      <c r="J7610" s="11"/>
      <c r="U7610" s="9"/>
      <c r="X7610" s="9"/>
    </row>
    <row r="7611">
      <c r="D7611" s="9"/>
      <c r="G7611" s="9"/>
      <c r="J7611" s="11"/>
      <c r="U7611" s="9"/>
      <c r="X7611" s="9"/>
    </row>
    <row r="7612">
      <c r="D7612" s="9"/>
      <c r="G7612" s="9"/>
      <c r="J7612" s="11"/>
      <c r="U7612" s="9"/>
      <c r="X7612" s="9"/>
    </row>
    <row r="7613">
      <c r="D7613" s="9"/>
      <c r="G7613" s="9"/>
      <c r="J7613" s="11"/>
      <c r="U7613" s="9"/>
      <c r="X7613" s="9"/>
    </row>
    <row r="7614">
      <c r="D7614" s="9"/>
      <c r="G7614" s="9"/>
      <c r="J7614" s="11"/>
      <c r="U7614" s="9"/>
      <c r="X7614" s="9"/>
    </row>
    <row r="7615">
      <c r="D7615" s="9"/>
      <c r="G7615" s="9"/>
      <c r="J7615" s="11"/>
      <c r="U7615" s="9"/>
      <c r="X7615" s="9"/>
    </row>
    <row r="7616">
      <c r="D7616" s="9"/>
      <c r="G7616" s="9"/>
      <c r="J7616" s="11"/>
      <c r="U7616" s="9"/>
      <c r="X7616" s="9"/>
    </row>
    <row r="7617">
      <c r="D7617" s="9"/>
      <c r="G7617" s="9"/>
      <c r="J7617" s="11"/>
      <c r="U7617" s="9"/>
      <c r="X7617" s="9"/>
    </row>
    <row r="7618">
      <c r="D7618" s="9"/>
      <c r="G7618" s="9"/>
      <c r="J7618" s="11"/>
      <c r="U7618" s="9"/>
      <c r="X7618" s="9"/>
    </row>
    <row r="7619">
      <c r="D7619" s="9"/>
      <c r="G7619" s="9"/>
      <c r="J7619" s="11"/>
      <c r="U7619" s="9"/>
      <c r="X7619" s="9"/>
    </row>
    <row r="7620">
      <c r="D7620" s="9"/>
      <c r="G7620" s="9"/>
      <c r="J7620" s="11"/>
      <c r="U7620" s="9"/>
      <c r="X7620" s="9"/>
    </row>
    <row r="7621">
      <c r="D7621" s="9"/>
      <c r="G7621" s="9"/>
      <c r="J7621" s="11"/>
      <c r="U7621" s="9"/>
      <c r="X7621" s="9"/>
    </row>
    <row r="7622">
      <c r="D7622" s="9"/>
      <c r="G7622" s="9"/>
      <c r="J7622" s="11"/>
      <c r="U7622" s="9"/>
      <c r="X7622" s="9"/>
    </row>
    <row r="7623">
      <c r="D7623" s="9"/>
      <c r="G7623" s="9"/>
      <c r="J7623" s="11"/>
      <c r="U7623" s="9"/>
      <c r="X7623" s="9"/>
    </row>
    <row r="7624">
      <c r="D7624" s="9"/>
      <c r="G7624" s="9"/>
      <c r="J7624" s="11"/>
      <c r="U7624" s="9"/>
      <c r="X7624" s="9"/>
    </row>
    <row r="7625">
      <c r="D7625" s="9"/>
      <c r="G7625" s="9"/>
      <c r="J7625" s="11"/>
      <c r="U7625" s="9"/>
      <c r="X7625" s="9"/>
    </row>
    <row r="7626">
      <c r="D7626" s="9"/>
      <c r="G7626" s="9"/>
      <c r="J7626" s="11"/>
      <c r="U7626" s="9"/>
      <c r="X7626" s="9"/>
    </row>
    <row r="7627">
      <c r="D7627" s="9"/>
      <c r="G7627" s="9"/>
      <c r="J7627" s="11"/>
      <c r="U7627" s="9"/>
      <c r="X7627" s="9"/>
    </row>
    <row r="7628">
      <c r="D7628" s="9"/>
      <c r="G7628" s="9"/>
      <c r="J7628" s="11"/>
      <c r="U7628" s="9"/>
      <c r="X7628" s="9"/>
    </row>
    <row r="7629">
      <c r="D7629" s="9"/>
      <c r="G7629" s="9"/>
      <c r="J7629" s="11"/>
      <c r="U7629" s="9"/>
      <c r="X7629" s="9"/>
    </row>
    <row r="7630">
      <c r="D7630" s="9"/>
      <c r="G7630" s="9"/>
      <c r="J7630" s="11"/>
      <c r="U7630" s="9"/>
      <c r="X7630" s="9"/>
    </row>
    <row r="7631">
      <c r="D7631" s="9"/>
      <c r="G7631" s="9"/>
      <c r="J7631" s="11"/>
      <c r="U7631" s="9"/>
      <c r="X7631" s="9"/>
    </row>
    <row r="7632">
      <c r="D7632" s="9"/>
      <c r="G7632" s="9"/>
      <c r="J7632" s="11"/>
      <c r="U7632" s="9"/>
      <c r="X7632" s="9"/>
    </row>
    <row r="7633">
      <c r="D7633" s="9"/>
      <c r="G7633" s="9"/>
      <c r="J7633" s="11"/>
      <c r="U7633" s="9"/>
      <c r="X7633" s="9"/>
    </row>
    <row r="7634">
      <c r="D7634" s="9"/>
      <c r="G7634" s="9"/>
      <c r="J7634" s="11"/>
      <c r="U7634" s="9"/>
      <c r="X7634" s="9"/>
    </row>
    <row r="7635">
      <c r="D7635" s="9"/>
      <c r="G7635" s="9"/>
      <c r="J7635" s="11"/>
      <c r="U7635" s="9"/>
      <c r="X7635" s="9"/>
    </row>
    <row r="7636">
      <c r="D7636" s="9"/>
      <c r="G7636" s="9"/>
      <c r="J7636" s="11"/>
      <c r="U7636" s="9"/>
      <c r="X7636" s="9"/>
    </row>
    <row r="7637">
      <c r="D7637" s="9"/>
      <c r="G7637" s="9"/>
      <c r="J7637" s="11"/>
      <c r="U7637" s="9"/>
      <c r="X7637" s="9"/>
    </row>
    <row r="7638">
      <c r="D7638" s="9"/>
      <c r="G7638" s="9"/>
      <c r="J7638" s="11"/>
      <c r="U7638" s="9"/>
      <c r="X7638" s="9"/>
    </row>
    <row r="7639">
      <c r="D7639" s="9"/>
      <c r="G7639" s="9"/>
      <c r="J7639" s="11"/>
      <c r="U7639" s="9"/>
      <c r="X7639" s="9"/>
    </row>
    <row r="7640">
      <c r="D7640" s="9"/>
      <c r="G7640" s="9"/>
      <c r="J7640" s="11"/>
      <c r="U7640" s="9"/>
      <c r="X7640" s="9"/>
    </row>
    <row r="7641">
      <c r="D7641" s="9"/>
      <c r="G7641" s="9"/>
      <c r="J7641" s="11"/>
      <c r="U7641" s="9"/>
      <c r="X7641" s="9"/>
    </row>
    <row r="7642">
      <c r="D7642" s="9"/>
      <c r="G7642" s="9"/>
      <c r="J7642" s="11"/>
      <c r="U7642" s="9"/>
      <c r="X7642" s="9"/>
    </row>
    <row r="7643">
      <c r="D7643" s="9"/>
      <c r="G7643" s="9"/>
      <c r="J7643" s="11"/>
      <c r="U7643" s="9"/>
      <c r="X7643" s="9"/>
    </row>
    <row r="7644">
      <c r="D7644" s="9"/>
      <c r="G7644" s="9"/>
      <c r="J7644" s="11"/>
      <c r="U7644" s="9"/>
      <c r="X7644" s="9"/>
    </row>
    <row r="7645">
      <c r="D7645" s="9"/>
      <c r="G7645" s="9"/>
      <c r="J7645" s="11"/>
      <c r="U7645" s="9"/>
      <c r="X7645" s="9"/>
    </row>
    <row r="7646">
      <c r="D7646" s="9"/>
      <c r="G7646" s="9"/>
      <c r="J7646" s="11"/>
      <c r="U7646" s="9"/>
      <c r="X7646" s="9"/>
    </row>
    <row r="7647">
      <c r="D7647" s="9"/>
      <c r="G7647" s="9"/>
      <c r="J7647" s="11"/>
      <c r="U7647" s="9"/>
      <c r="X7647" s="9"/>
    </row>
    <row r="7648">
      <c r="D7648" s="9"/>
      <c r="G7648" s="9"/>
      <c r="J7648" s="11"/>
      <c r="U7648" s="9"/>
      <c r="X7648" s="9"/>
    </row>
    <row r="7649">
      <c r="D7649" s="9"/>
      <c r="G7649" s="9"/>
      <c r="J7649" s="11"/>
      <c r="U7649" s="9"/>
      <c r="X7649" s="9"/>
    </row>
    <row r="7650">
      <c r="D7650" s="9"/>
      <c r="G7650" s="9"/>
      <c r="J7650" s="11"/>
      <c r="U7650" s="9"/>
      <c r="X7650" s="9"/>
    </row>
    <row r="7651">
      <c r="D7651" s="9"/>
      <c r="G7651" s="9"/>
      <c r="J7651" s="11"/>
      <c r="U7651" s="9"/>
      <c r="X7651" s="9"/>
    </row>
    <row r="7652">
      <c r="D7652" s="9"/>
      <c r="G7652" s="9"/>
      <c r="J7652" s="11"/>
      <c r="U7652" s="9"/>
      <c r="X7652" s="9"/>
    </row>
    <row r="7653">
      <c r="D7653" s="9"/>
      <c r="G7653" s="9"/>
      <c r="J7653" s="11"/>
      <c r="U7653" s="9"/>
      <c r="X7653" s="9"/>
    </row>
    <row r="7654">
      <c r="D7654" s="9"/>
      <c r="G7654" s="9"/>
      <c r="J7654" s="11"/>
      <c r="U7654" s="9"/>
      <c r="X7654" s="9"/>
    </row>
    <row r="7655">
      <c r="D7655" s="9"/>
      <c r="G7655" s="9"/>
      <c r="J7655" s="11"/>
      <c r="U7655" s="9"/>
      <c r="X7655" s="9"/>
    </row>
    <row r="7656">
      <c r="D7656" s="9"/>
      <c r="G7656" s="9"/>
      <c r="J7656" s="11"/>
      <c r="U7656" s="9"/>
      <c r="X7656" s="9"/>
    </row>
    <row r="7657">
      <c r="D7657" s="9"/>
      <c r="G7657" s="9"/>
      <c r="J7657" s="11"/>
      <c r="U7657" s="9"/>
      <c r="X7657" s="9"/>
    </row>
    <row r="7658">
      <c r="D7658" s="9"/>
      <c r="G7658" s="9"/>
      <c r="J7658" s="11"/>
      <c r="U7658" s="9"/>
      <c r="X7658" s="9"/>
    </row>
    <row r="7659">
      <c r="D7659" s="9"/>
      <c r="G7659" s="9"/>
      <c r="J7659" s="11"/>
      <c r="U7659" s="9"/>
      <c r="X7659" s="9"/>
    </row>
    <row r="7660">
      <c r="D7660" s="9"/>
      <c r="G7660" s="9"/>
      <c r="J7660" s="11"/>
      <c r="U7660" s="9"/>
      <c r="X7660" s="9"/>
    </row>
    <row r="7661">
      <c r="D7661" s="9"/>
      <c r="G7661" s="9"/>
      <c r="J7661" s="11"/>
      <c r="U7661" s="9"/>
      <c r="X7661" s="9"/>
    </row>
    <row r="7662">
      <c r="D7662" s="9"/>
      <c r="G7662" s="9"/>
      <c r="J7662" s="11"/>
      <c r="U7662" s="9"/>
      <c r="X7662" s="9"/>
    </row>
    <row r="7663">
      <c r="D7663" s="9"/>
      <c r="G7663" s="9"/>
      <c r="J7663" s="11"/>
      <c r="U7663" s="9"/>
      <c r="X7663" s="9"/>
    </row>
    <row r="7664">
      <c r="D7664" s="9"/>
      <c r="G7664" s="9"/>
      <c r="J7664" s="11"/>
      <c r="U7664" s="9"/>
      <c r="X7664" s="9"/>
    </row>
    <row r="7665">
      <c r="D7665" s="9"/>
      <c r="G7665" s="9"/>
      <c r="J7665" s="11"/>
      <c r="U7665" s="9"/>
      <c r="X7665" s="9"/>
    </row>
    <row r="7666">
      <c r="D7666" s="9"/>
      <c r="G7666" s="9"/>
      <c r="J7666" s="11"/>
      <c r="U7666" s="9"/>
      <c r="X7666" s="9"/>
    </row>
    <row r="7667">
      <c r="D7667" s="9"/>
      <c r="G7667" s="9"/>
      <c r="J7667" s="11"/>
      <c r="U7667" s="9"/>
      <c r="X7667" s="9"/>
    </row>
    <row r="7668">
      <c r="D7668" s="9"/>
      <c r="G7668" s="9"/>
      <c r="J7668" s="11"/>
      <c r="U7668" s="9"/>
      <c r="X7668" s="9"/>
    </row>
    <row r="7669">
      <c r="D7669" s="9"/>
      <c r="G7669" s="9"/>
      <c r="J7669" s="11"/>
      <c r="U7669" s="9"/>
      <c r="X7669" s="9"/>
    </row>
    <row r="7670">
      <c r="D7670" s="9"/>
      <c r="G7670" s="9"/>
      <c r="J7670" s="11"/>
      <c r="U7670" s="9"/>
      <c r="X7670" s="9"/>
    </row>
    <row r="7671">
      <c r="D7671" s="9"/>
      <c r="G7671" s="9"/>
      <c r="J7671" s="11"/>
      <c r="U7671" s="9"/>
      <c r="X7671" s="9"/>
    </row>
    <row r="7672">
      <c r="D7672" s="9"/>
      <c r="G7672" s="9"/>
      <c r="J7672" s="11"/>
      <c r="U7672" s="9"/>
      <c r="X7672" s="9"/>
    </row>
    <row r="7673">
      <c r="D7673" s="9"/>
      <c r="G7673" s="9"/>
      <c r="J7673" s="11"/>
      <c r="U7673" s="9"/>
      <c r="X7673" s="9"/>
    </row>
    <row r="7674">
      <c r="D7674" s="9"/>
      <c r="G7674" s="9"/>
      <c r="J7674" s="11"/>
      <c r="U7674" s="9"/>
      <c r="X7674" s="9"/>
    </row>
    <row r="7675">
      <c r="D7675" s="9"/>
      <c r="G7675" s="9"/>
      <c r="J7675" s="11"/>
      <c r="U7675" s="9"/>
      <c r="X7675" s="9"/>
    </row>
    <row r="7676">
      <c r="D7676" s="9"/>
      <c r="G7676" s="9"/>
      <c r="J7676" s="11"/>
      <c r="U7676" s="9"/>
      <c r="X7676" s="9"/>
    </row>
    <row r="7677">
      <c r="D7677" s="9"/>
      <c r="G7677" s="9"/>
      <c r="J7677" s="11"/>
      <c r="U7677" s="9"/>
      <c r="X7677" s="9"/>
    </row>
    <row r="7678">
      <c r="D7678" s="9"/>
      <c r="G7678" s="9"/>
      <c r="J7678" s="11"/>
      <c r="U7678" s="9"/>
      <c r="X7678" s="9"/>
    </row>
    <row r="7679">
      <c r="D7679" s="9"/>
      <c r="G7679" s="9"/>
      <c r="J7679" s="11"/>
      <c r="U7679" s="9"/>
      <c r="X7679" s="9"/>
    </row>
    <row r="7680">
      <c r="D7680" s="9"/>
      <c r="G7680" s="9"/>
      <c r="J7680" s="11"/>
      <c r="U7680" s="9"/>
      <c r="X7680" s="9"/>
    </row>
    <row r="7681">
      <c r="D7681" s="9"/>
      <c r="G7681" s="9"/>
      <c r="J7681" s="11"/>
      <c r="U7681" s="9"/>
      <c r="X7681" s="9"/>
    </row>
    <row r="7682">
      <c r="D7682" s="9"/>
      <c r="G7682" s="9"/>
      <c r="J7682" s="11"/>
      <c r="U7682" s="9"/>
      <c r="X7682" s="9"/>
    </row>
    <row r="7683">
      <c r="D7683" s="9"/>
      <c r="G7683" s="9"/>
      <c r="J7683" s="11"/>
      <c r="U7683" s="9"/>
      <c r="X7683" s="9"/>
    </row>
    <row r="7684">
      <c r="D7684" s="9"/>
      <c r="G7684" s="9"/>
      <c r="J7684" s="11"/>
      <c r="U7684" s="9"/>
      <c r="X7684" s="9"/>
    </row>
    <row r="7685">
      <c r="D7685" s="9"/>
      <c r="G7685" s="9"/>
      <c r="J7685" s="11"/>
      <c r="U7685" s="9"/>
      <c r="X7685" s="9"/>
    </row>
    <row r="7686">
      <c r="D7686" s="9"/>
      <c r="G7686" s="9"/>
      <c r="J7686" s="11"/>
      <c r="U7686" s="9"/>
      <c r="X7686" s="9"/>
    </row>
    <row r="7687">
      <c r="D7687" s="9"/>
      <c r="G7687" s="9"/>
      <c r="J7687" s="11"/>
      <c r="U7687" s="9"/>
      <c r="X7687" s="9"/>
    </row>
    <row r="7688">
      <c r="D7688" s="9"/>
      <c r="G7688" s="9"/>
      <c r="J7688" s="11"/>
      <c r="U7688" s="9"/>
      <c r="X7688" s="9"/>
    </row>
    <row r="7689">
      <c r="D7689" s="9"/>
      <c r="G7689" s="9"/>
      <c r="J7689" s="11"/>
      <c r="U7689" s="9"/>
      <c r="X7689" s="9"/>
    </row>
    <row r="7690">
      <c r="D7690" s="9"/>
      <c r="G7690" s="9"/>
      <c r="J7690" s="11"/>
      <c r="U7690" s="9"/>
      <c r="X7690" s="9"/>
    </row>
    <row r="7691">
      <c r="D7691" s="9"/>
      <c r="G7691" s="9"/>
      <c r="J7691" s="11"/>
      <c r="U7691" s="9"/>
      <c r="X7691" s="9"/>
    </row>
    <row r="7692">
      <c r="D7692" s="9"/>
      <c r="G7692" s="9"/>
      <c r="J7692" s="11"/>
      <c r="U7692" s="9"/>
      <c r="X7692" s="9"/>
    </row>
    <row r="7693">
      <c r="D7693" s="9"/>
      <c r="G7693" s="9"/>
      <c r="J7693" s="11"/>
      <c r="U7693" s="9"/>
      <c r="X7693" s="9"/>
    </row>
    <row r="7694">
      <c r="D7694" s="9"/>
      <c r="G7694" s="9"/>
      <c r="J7694" s="11"/>
      <c r="U7694" s="9"/>
      <c r="X7694" s="9"/>
    </row>
    <row r="7695">
      <c r="D7695" s="9"/>
      <c r="G7695" s="9"/>
      <c r="J7695" s="11"/>
      <c r="U7695" s="9"/>
      <c r="X7695" s="9"/>
    </row>
    <row r="7696">
      <c r="D7696" s="9"/>
      <c r="G7696" s="9"/>
      <c r="J7696" s="11"/>
      <c r="U7696" s="9"/>
      <c r="X7696" s="9"/>
    </row>
    <row r="7697">
      <c r="D7697" s="9"/>
      <c r="G7697" s="9"/>
      <c r="J7697" s="11"/>
      <c r="U7697" s="9"/>
      <c r="X7697" s="9"/>
    </row>
    <row r="7698">
      <c r="D7698" s="9"/>
      <c r="G7698" s="9"/>
      <c r="J7698" s="11"/>
      <c r="U7698" s="9"/>
      <c r="X7698" s="9"/>
    </row>
    <row r="7699">
      <c r="D7699" s="9"/>
      <c r="G7699" s="9"/>
      <c r="J7699" s="11"/>
      <c r="U7699" s="9"/>
      <c r="X7699" s="9"/>
    </row>
    <row r="7700">
      <c r="D7700" s="9"/>
      <c r="G7700" s="9"/>
      <c r="J7700" s="11"/>
      <c r="U7700" s="9"/>
      <c r="X7700" s="9"/>
    </row>
    <row r="7701">
      <c r="D7701" s="9"/>
      <c r="G7701" s="9"/>
      <c r="J7701" s="11"/>
      <c r="U7701" s="9"/>
      <c r="X7701" s="9"/>
    </row>
    <row r="7702">
      <c r="D7702" s="9"/>
      <c r="G7702" s="9"/>
      <c r="J7702" s="11"/>
      <c r="U7702" s="9"/>
      <c r="X7702" s="9"/>
    </row>
    <row r="7703">
      <c r="D7703" s="9"/>
      <c r="G7703" s="9"/>
      <c r="J7703" s="11"/>
      <c r="U7703" s="9"/>
      <c r="X7703" s="9"/>
    </row>
    <row r="7704">
      <c r="D7704" s="9"/>
      <c r="G7704" s="9"/>
      <c r="J7704" s="11"/>
      <c r="U7704" s="9"/>
      <c r="X7704" s="9"/>
    </row>
    <row r="7705">
      <c r="D7705" s="9"/>
      <c r="G7705" s="9"/>
      <c r="J7705" s="11"/>
      <c r="U7705" s="9"/>
      <c r="X7705" s="9"/>
    </row>
    <row r="7706">
      <c r="D7706" s="9"/>
      <c r="G7706" s="9"/>
      <c r="J7706" s="11"/>
      <c r="U7706" s="9"/>
      <c r="X7706" s="9"/>
    </row>
    <row r="7707">
      <c r="D7707" s="9"/>
      <c r="G7707" s="9"/>
      <c r="J7707" s="11"/>
      <c r="U7707" s="9"/>
      <c r="X7707" s="9"/>
    </row>
    <row r="7708">
      <c r="D7708" s="9"/>
      <c r="G7708" s="9"/>
      <c r="J7708" s="11"/>
      <c r="U7708" s="9"/>
      <c r="X7708" s="9"/>
    </row>
    <row r="7709">
      <c r="D7709" s="9"/>
      <c r="G7709" s="9"/>
      <c r="J7709" s="11"/>
      <c r="U7709" s="9"/>
      <c r="X7709" s="9"/>
    </row>
    <row r="7710">
      <c r="D7710" s="9"/>
      <c r="G7710" s="9"/>
      <c r="J7710" s="11"/>
      <c r="U7710" s="9"/>
      <c r="X7710" s="9"/>
    </row>
    <row r="7711">
      <c r="D7711" s="9"/>
      <c r="G7711" s="9"/>
      <c r="J7711" s="11"/>
      <c r="U7711" s="9"/>
      <c r="X7711" s="9"/>
    </row>
    <row r="7712">
      <c r="D7712" s="9"/>
      <c r="G7712" s="9"/>
      <c r="J7712" s="11"/>
      <c r="U7712" s="9"/>
      <c r="X7712" s="9"/>
    </row>
    <row r="7713">
      <c r="D7713" s="9"/>
      <c r="G7713" s="9"/>
      <c r="J7713" s="11"/>
      <c r="U7713" s="9"/>
      <c r="X7713" s="9"/>
    </row>
    <row r="7714">
      <c r="D7714" s="9"/>
      <c r="G7714" s="9"/>
      <c r="J7714" s="11"/>
      <c r="U7714" s="9"/>
      <c r="X7714" s="9"/>
    </row>
    <row r="7715">
      <c r="D7715" s="9"/>
      <c r="G7715" s="9"/>
      <c r="J7715" s="11"/>
      <c r="U7715" s="9"/>
      <c r="X7715" s="9"/>
    </row>
    <row r="7716">
      <c r="D7716" s="9"/>
      <c r="G7716" s="9"/>
      <c r="J7716" s="11"/>
      <c r="U7716" s="9"/>
      <c r="X7716" s="9"/>
    </row>
    <row r="7717">
      <c r="D7717" s="9"/>
      <c r="G7717" s="9"/>
      <c r="J7717" s="11"/>
      <c r="U7717" s="9"/>
      <c r="X7717" s="9"/>
    </row>
    <row r="7718">
      <c r="D7718" s="9"/>
      <c r="G7718" s="9"/>
      <c r="J7718" s="11"/>
      <c r="U7718" s="9"/>
      <c r="X7718" s="9"/>
    </row>
    <row r="7719">
      <c r="D7719" s="9"/>
      <c r="G7719" s="9"/>
      <c r="J7719" s="11"/>
      <c r="U7719" s="9"/>
      <c r="X7719" s="9"/>
    </row>
    <row r="7720">
      <c r="D7720" s="9"/>
      <c r="G7720" s="9"/>
      <c r="J7720" s="11"/>
      <c r="U7720" s="9"/>
      <c r="X7720" s="9"/>
    </row>
    <row r="7721">
      <c r="D7721" s="9"/>
      <c r="G7721" s="9"/>
      <c r="J7721" s="11"/>
      <c r="U7721" s="9"/>
      <c r="X7721" s="9"/>
    </row>
    <row r="7722">
      <c r="D7722" s="9"/>
      <c r="G7722" s="9"/>
      <c r="J7722" s="11"/>
      <c r="U7722" s="9"/>
      <c r="X7722" s="9"/>
    </row>
    <row r="7723">
      <c r="D7723" s="9"/>
      <c r="G7723" s="9"/>
      <c r="J7723" s="11"/>
      <c r="U7723" s="9"/>
      <c r="X7723" s="9"/>
    </row>
    <row r="7724">
      <c r="D7724" s="9"/>
      <c r="G7724" s="9"/>
      <c r="J7724" s="11"/>
      <c r="U7724" s="9"/>
      <c r="X7724" s="9"/>
    </row>
    <row r="7725">
      <c r="D7725" s="9"/>
      <c r="G7725" s="9"/>
      <c r="J7725" s="11"/>
      <c r="U7725" s="9"/>
      <c r="X7725" s="9"/>
    </row>
    <row r="7726">
      <c r="D7726" s="9"/>
      <c r="G7726" s="9"/>
      <c r="J7726" s="11"/>
      <c r="U7726" s="9"/>
      <c r="X7726" s="9"/>
    </row>
    <row r="7727">
      <c r="D7727" s="9"/>
      <c r="G7727" s="9"/>
      <c r="J7727" s="11"/>
      <c r="U7727" s="9"/>
      <c r="X7727" s="9"/>
    </row>
    <row r="7728">
      <c r="D7728" s="9"/>
      <c r="G7728" s="9"/>
      <c r="J7728" s="11"/>
      <c r="U7728" s="9"/>
      <c r="X7728" s="9"/>
    </row>
    <row r="7729">
      <c r="D7729" s="9"/>
      <c r="G7729" s="9"/>
      <c r="J7729" s="11"/>
      <c r="U7729" s="9"/>
      <c r="X7729" s="9"/>
    </row>
    <row r="7730">
      <c r="D7730" s="9"/>
      <c r="G7730" s="9"/>
      <c r="J7730" s="11"/>
      <c r="U7730" s="9"/>
      <c r="X7730" s="9"/>
    </row>
    <row r="7731">
      <c r="D7731" s="9"/>
      <c r="G7731" s="9"/>
      <c r="J7731" s="11"/>
      <c r="U7731" s="9"/>
      <c r="X7731" s="9"/>
    </row>
    <row r="7732">
      <c r="D7732" s="9"/>
      <c r="G7732" s="9"/>
      <c r="J7732" s="11"/>
      <c r="U7732" s="9"/>
      <c r="X7732" s="9"/>
    </row>
    <row r="7733">
      <c r="D7733" s="9"/>
      <c r="G7733" s="9"/>
      <c r="J7733" s="11"/>
      <c r="U7733" s="9"/>
      <c r="X7733" s="9"/>
    </row>
    <row r="7734">
      <c r="D7734" s="9"/>
      <c r="G7734" s="9"/>
      <c r="J7734" s="11"/>
      <c r="U7734" s="9"/>
      <c r="X7734" s="9"/>
    </row>
    <row r="7735">
      <c r="D7735" s="9"/>
      <c r="G7735" s="9"/>
      <c r="J7735" s="11"/>
      <c r="U7735" s="9"/>
      <c r="X7735" s="9"/>
    </row>
    <row r="7736">
      <c r="D7736" s="9"/>
      <c r="G7736" s="9"/>
      <c r="J7736" s="11"/>
      <c r="U7736" s="9"/>
      <c r="X7736" s="9"/>
    </row>
    <row r="7737">
      <c r="D7737" s="9"/>
      <c r="G7737" s="9"/>
      <c r="J7737" s="11"/>
      <c r="U7737" s="9"/>
      <c r="X7737" s="9"/>
    </row>
    <row r="7738">
      <c r="D7738" s="9"/>
      <c r="G7738" s="9"/>
      <c r="J7738" s="11"/>
      <c r="U7738" s="9"/>
      <c r="X7738" s="9"/>
    </row>
    <row r="7739">
      <c r="D7739" s="9"/>
      <c r="G7739" s="9"/>
      <c r="J7739" s="11"/>
      <c r="U7739" s="9"/>
      <c r="X7739" s="9"/>
    </row>
    <row r="7740">
      <c r="D7740" s="9"/>
      <c r="G7740" s="9"/>
      <c r="J7740" s="11"/>
      <c r="U7740" s="9"/>
      <c r="X7740" s="9"/>
    </row>
    <row r="7741">
      <c r="D7741" s="9"/>
      <c r="G7741" s="9"/>
      <c r="J7741" s="11"/>
      <c r="U7741" s="9"/>
      <c r="X7741" s="9"/>
    </row>
    <row r="7742">
      <c r="D7742" s="9"/>
      <c r="G7742" s="9"/>
      <c r="J7742" s="11"/>
      <c r="U7742" s="9"/>
      <c r="X7742" s="9"/>
    </row>
    <row r="7743">
      <c r="D7743" s="9"/>
      <c r="G7743" s="9"/>
      <c r="J7743" s="11"/>
      <c r="U7743" s="9"/>
      <c r="X7743" s="9"/>
    </row>
    <row r="7744">
      <c r="D7744" s="9"/>
      <c r="G7744" s="9"/>
      <c r="J7744" s="11"/>
      <c r="U7744" s="9"/>
      <c r="X7744" s="9"/>
    </row>
    <row r="7745">
      <c r="D7745" s="9"/>
      <c r="G7745" s="9"/>
      <c r="J7745" s="11"/>
      <c r="U7745" s="9"/>
      <c r="X7745" s="9"/>
    </row>
    <row r="7746">
      <c r="D7746" s="9"/>
      <c r="G7746" s="9"/>
      <c r="J7746" s="11"/>
      <c r="U7746" s="9"/>
      <c r="X7746" s="9"/>
    </row>
    <row r="7747">
      <c r="D7747" s="9"/>
      <c r="G7747" s="9"/>
      <c r="J7747" s="11"/>
      <c r="U7747" s="9"/>
      <c r="X7747" s="9"/>
    </row>
    <row r="7748">
      <c r="D7748" s="9"/>
      <c r="G7748" s="9"/>
      <c r="J7748" s="11"/>
      <c r="U7748" s="9"/>
      <c r="X7748" s="9"/>
    </row>
    <row r="7749">
      <c r="D7749" s="9"/>
      <c r="G7749" s="9"/>
      <c r="J7749" s="11"/>
      <c r="U7749" s="9"/>
      <c r="X7749" s="9"/>
    </row>
    <row r="7750">
      <c r="D7750" s="9"/>
      <c r="G7750" s="9"/>
      <c r="J7750" s="11"/>
      <c r="U7750" s="9"/>
      <c r="X7750" s="9"/>
    </row>
    <row r="7751">
      <c r="D7751" s="9"/>
      <c r="G7751" s="9"/>
      <c r="J7751" s="11"/>
      <c r="U7751" s="9"/>
      <c r="X7751" s="9"/>
    </row>
    <row r="7752">
      <c r="D7752" s="9"/>
      <c r="G7752" s="9"/>
      <c r="J7752" s="11"/>
      <c r="U7752" s="9"/>
      <c r="X7752" s="9"/>
    </row>
    <row r="7753">
      <c r="D7753" s="9"/>
      <c r="G7753" s="9"/>
      <c r="J7753" s="11"/>
      <c r="U7753" s="9"/>
      <c r="X7753" s="9"/>
    </row>
    <row r="7754">
      <c r="D7754" s="9"/>
      <c r="G7754" s="9"/>
      <c r="J7754" s="11"/>
      <c r="U7754" s="9"/>
      <c r="X7754" s="9"/>
    </row>
    <row r="7755">
      <c r="D7755" s="9"/>
      <c r="G7755" s="9"/>
      <c r="J7755" s="11"/>
      <c r="U7755" s="9"/>
      <c r="X7755" s="9"/>
    </row>
    <row r="7756">
      <c r="D7756" s="9"/>
      <c r="G7756" s="9"/>
      <c r="J7756" s="11"/>
      <c r="U7756" s="9"/>
      <c r="X7756" s="9"/>
    </row>
    <row r="7757">
      <c r="D7757" s="9"/>
      <c r="G7757" s="9"/>
      <c r="J7757" s="11"/>
      <c r="U7757" s="9"/>
      <c r="X7757" s="9"/>
    </row>
    <row r="7758">
      <c r="D7758" s="9"/>
      <c r="G7758" s="9"/>
      <c r="J7758" s="11"/>
      <c r="U7758" s="9"/>
      <c r="X7758" s="9"/>
    </row>
    <row r="7759">
      <c r="D7759" s="9"/>
      <c r="G7759" s="9"/>
      <c r="J7759" s="11"/>
      <c r="U7759" s="9"/>
      <c r="X7759" s="9"/>
    </row>
    <row r="7760">
      <c r="D7760" s="9"/>
      <c r="G7760" s="9"/>
      <c r="J7760" s="11"/>
      <c r="U7760" s="9"/>
      <c r="X7760" s="9"/>
    </row>
    <row r="7761">
      <c r="D7761" s="9"/>
      <c r="G7761" s="9"/>
      <c r="J7761" s="11"/>
      <c r="U7761" s="9"/>
      <c r="X7761" s="9"/>
    </row>
    <row r="7762">
      <c r="D7762" s="9"/>
      <c r="G7762" s="9"/>
      <c r="J7762" s="11"/>
      <c r="U7762" s="9"/>
      <c r="X7762" s="9"/>
    </row>
    <row r="7763">
      <c r="D7763" s="9"/>
      <c r="G7763" s="9"/>
      <c r="J7763" s="11"/>
      <c r="U7763" s="9"/>
      <c r="X7763" s="9"/>
    </row>
    <row r="7764">
      <c r="D7764" s="9"/>
      <c r="G7764" s="9"/>
      <c r="J7764" s="11"/>
      <c r="U7764" s="9"/>
      <c r="X7764" s="9"/>
    </row>
    <row r="7765">
      <c r="D7765" s="9"/>
      <c r="G7765" s="9"/>
      <c r="J7765" s="11"/>
      <c r="U7765" s="9"/>
      <c r="X7765" s="9"/>
    </row>
    <row r="7766">
      <c r="D7766" s="9"/>
      <c r="G7766" s="9"/>
      <c r="J7766" s="11"/>
      <c r="U7766" s="9"/>
      <c r="X7766" s="9"/>
    </row>
    <row r="7767">
      <c r="D7767" s="9"/>
      <c r="G7767" s="9"/>
      <c r="J7767" s="11"/>
      <c r="U7767" s="9"/>
      <c r="X7767" s="9"/>
    </row>
    <row r="7768">
      <c r="D7768" s="9"/>
      <c r="G7768" s="9"/>
      <c r="J7768" s="11"/>
      <c r="U7768" s="9"/>
      <c r="X7768" s="9"/>
    </row>
    <row r="7769">
      <c r="D7769" s="9"/>
      <c r="G7769" s="9"/>
      <c r="J7769" s="11"/>
      <c r="U7769" s="9"/>
      <c r="X7769" s="9"/>
    </row>
    <row r="7770">
      <c r="D7770" s="9"/>
      <c r="G7770" s="9"/>
      <c r="J7770" s="11"/>
      <c r="U7770" s="9"/>
      <c r="X7770" s="9"/>
    </row>
    <row r="7771">
      <c r="D7771" s="9"/>
      <c r="G7771" s="9"/>
      <c r="J7771" s="11"/>
      <c r="U7771" s="9"/>
      <c r="X7771" s="9"/>
    </row>
    <row r="7772">
      <c r="D7772" s="9"/>
      <c r="G7772" s="9"/>
      <c r="J7772" s="11"/>
      <c r="U7772" s="9"/>
      <c r="X7772" s="9"/>
    </row>
    <row r="7773">
      <c r="D7773" s="9"/>
      <c r="G7773" s="9"/>
      <c r="J7773" s="11"/>
      <c r="U7773" s="9"/>
      <c r="X7773" s="9"/>
    </row>
    <row r="7774">
      <c r="D7774" s="9"/>
      <c r="G7774" s="9"/>
      <c r="J7774" s="11"/>
      <c r="U7774" s="9"/>
      <c r="X7774" s="9"/>
    </row>
    <row r="7775">
      <c r="D7775" s="9"/>
      <c r="G7775" s="9"/>
      <c r="J7775" s="11"/>
      <c r="U7775" s="9"/>
      <c r="X7775" s="9"/>
    </row>
    <row r="7776">
      <c r="D7776" s="9"/>
      <c r="G7776" s="9"/>
      <c r="J7776" s="11"/>
      <c r="U7776" s="9"/>
      <c r="X7776" s="9"/>
    </row>
    <row r="7777">
      <c r="D7777" s="9"/>
      <c r="G7777" s="9"/>
      <c r="J7777" s="11"/>
      <c r="U7777" s="9"/>
      <c r="X7777" s="9"/>
    </row>
    <row r="7778">
      <c r="D7778" s="9"/>
      <c r="G7778" s="9"/>
      <c r="J7778" s="11"/>
      <c r="U7778" s="9"/>
      <c r="X7778" s="9"/>
    </row>
    <row r="7779">
      <c r="D7779" s="9"/>
      <c r="G7779" s="9"/>
      <c r="J7779" s="11"/>
      <c r="U7779" s="9"/>
      <c r="X7779" s="9"/>
    </row>
    <row r="7780">
      <c r="D7780" s="9"/>
      <c r="G7780" s="9"/>
      <c r="J7780" s="11"/>
      <c r="U7780" s="9"/>
      <c r="X7780" s="9"/>
    </row>
    <row r="7781">
      <c r="D7781" s="9"/>
      <c r="G7781" s="9"/>
      <c r="J7781" s="11"/>
      <c r="U7781" s="9"/>
      <c r="X7781" s="9"/>
    </row>
    <row r="7782">
      <c r="D7782" s="9"/>
      <c r="G7782" s="9"/>
      <c r="J7782" s="11"/>
      <c r="U7782" s="9"/>
      <c r="X7782" s="9"/>
    </row>
    <row r="7783">
      <c r="D7783" s="9"/>
      <c r="G7783" s="9"/>
      <c r="J7783" s="11"/>
      <c r="U7783" s="9"/>
      <c r="X7783" s="9"/>
    </row>
    <row r="7784">
      <c r="D7784" s="9"/>
      <c r="G7784" s="9"/>
      <c r="J7784" s="11"/>
      <c r="U7784" s="9"/>
      <c r="X7784" s="9"/>
    </row>
    <row r="7785">
      <c r="D7785" s="9"/>
      <c r="G7785" s="9"/>
      <c r="J7785" s="11"/>
      <c r="U7785" s="9"/>
      <c r="X7785" s="9"/>
    </row>
    <row r="7786">
      <c r="D7786" s="9"/>
      <c r="G7786" s="9"/>
      <c r="J7786" s="11"/>
      <c r="U7786" s="9"/>
      <c r="X7786" s="9"/>
    </row>
    <row r="7787">
      <c r="D7787" s="9"/>
      <c r="G7787" s="9"/>
      <c r="J7787" s="11"/>
      <c r="U7787" s="9"/>
      <c r="X7787" s="9"/>
    </row>
    <row r="7788">
      <c r="D7788" s="9"/>
      <c r="G7788" s="9"/>
      <c r="J7788" s="11"/>
      <c r="U7788" s="9"/>
      <c r="X7788" s="9"/>
    </row>
    <row r="7789">
      <c r="D7789" s="9"/>
      <c r="G7789" s="9"/>
      <c r="J7789" s="11"/>
      <c r="U7789" s="9"/>
      <c r="X7789" s="9"/>
    </row>
    <row r="7790">
      <c r="D7790" s="9"/>
      <c r="G7790" s="9"/>
      <c r="J7790" s="11"/>
      <c r="U7790" s="9"/>
      <c r="X7790" s="9"/>
    </row>
    <row r="7791">
      <c r="D7791" s="9"/>
      <c r="G7791" s="9"/>
      <c r="J7791" s="11"/>
      <c r="U7791" s="9"/>
      <c r="X7791" s="9"/>
    </row>
    <row r="7792">
      <c r="D7792" s="9"/>
      <c r="G7792" s="9"/>
      <c r="J7792" s="11"/>
      <c r="U7792" s="9"/>
      <c r="X7792" s="9"/>
    </row>
    <row r="7793">
      <c r="D7793" s="9"/>
      <c r="G7793" s="9"/>
      <c r="J7793" s="11"/>
      <c r="U7793" s="9"/>
      <c r="X7793" s="9"/>
    </row>
    <row r="7794">
      <c r="D7794" s="9"/>
      <c r="G7794" s="9"/>
      <c r="J7794" s="11"/>
      <c r="U7794" s="9"/>
      <c r="X7794" s="9"/>
    </row>
    <row r="7795">
      <c r="D7795" s="9"/>
      <c r="G7795" s="9"/>
      <c r="J7795" s="11"/>
      <c r="U7795" s="9"/>
      <c r="X7795" s="9"/>
    </row>
    <row r="7796">
      <c r="D7796" s="9"/>
      <c r="G7796" s="9"/>
      <c r="J7796" s="11"/>
      <c r="U7796" s="9"/>
      <c r="X7796" s="9"/>
    </row>
    <row r="7797">
      <c r="D7797" s="9"/>
      <c r="G7797" s="9"/>
      <c r="J7797" s="11"/>
      <c r="U7797" s="9"/>
      <c r="X7797" s="9"/>
    </row>
    <row r="7798">
      <c r="D7798" s="9"/>
      <c r="G7798" s="9"/>
      <c r="J7798" s="11"/>
      <c r="U7798" s="9"/>
      <c r="X7798" s="9"/>
    </row>
    <row r="7799">
      <c r="D7799" s="9"/>
      <c r="G7799" s="9"/>
      <c r="J7799" s="11"/>
      <c r="U7799" s="9"/>
      <c r="X7799" s="9"/>
    </row>
    <row r="7800">
      <c r="D7800" s="9"/>
      <c r="G7800" s="9"/>
      <c r="J7800" s="11"/>
      <c r="U7800" s="9"/>
      <c r="X7800" s="9"/>
    </row>
    <row r="7801">
      <c r="D7801" s="9"/>
      <c r="G7801" s="9"/>
      <c r="J7801" s="11"/>
      <c r="U7801" s="9"/>
      <c r="X7801" s="9"/>
    </row>
    <row r="7802">
      <c r="D7802" s="9"/>
      <c r="G7802" s="9"/>
      <c r="J7802" s="11"/>
      <c r="U7802" s="9"/>
      <c r="X7802" s="9"/>
    </row>
    <row r="7803">
      <c r="D7803" s="9"/>
      <c r="G7803" s="9"/>
      <c r="J7803" s="11"/>
      <c r="U7803" s="9"/>
      <c r="X7803" s="9"/>
    </row>
    <row r="7804">
      <c r="D7804" s="9"/>
      <c r="G7804" s="9"/>
      <c r="J7804" s="11"/>
      <c r="U7804" s="9"/>
      <c r="X7804" s="9"/>
    </row>
    <row r="7805">
      <c r="D7805" s="9"/>
      <c r="G7805" s="9"/>
      <c r="J7805" s="11"/>
      <c r="U7805" s="9"/>
      <c r="X7805" s="9"/>
    </row>
    <row r="7806">
      <c r="D7806" s="9"/>
      <c r="G7806" s="9"/>
      <c r="J7806" s="11"/>
      <c r="U7806" s="9"/>
      <c r="X7806" s="9"/>
    </row>
    <row r="7807">
      <c r="D7807" s="9"/>
      <c r="G7807" s="9"/>
      <c r="J7807" s="11"/>
      <c r="U7807" s="9"/>
      <c r="X7807" s="9"/>
    </row>
    <row r="7808">
      <c r="D7808" s="9"/>
      <c r="G7808" s="9"/>
      <c r="J7808" s="11"/>
      <c r="U7808" s="9"/>
      <c r="X7808" s="9"/>
    </row>
    <row r="7809">
      <c r="D7809" s="9"/>
      <c r="G7809" s="9"/>
      <c r="J7809" s="11"/>
      <c r="U7809" s="9"/>
      <c r="X7809" s="9"/>
    </row>
    <row r="7810">
      <c r="D7810" s="9"/>
      <c r="G7810" s="9"/>
      <c r="J7810" s="11"/>
      <c r="U7810" s="9"/>
      <c r="X7810" s="9"/>
    </row>
    <row r="7811">
      <c r="D7811" s="9"/>
      <c r="G7811" s="9"/>
      <c r="J7811" s="11"/>
      <c r="U7811" s="9"/>
      <c r="X7811" s="9"/>
    </row>
    <row r="7812">
      <c r="D7812" s="9"/>
      <c r="G7812" s="9"/>
      <c r="J7812" s="11"/>
      <c r="U7812" s="9"/>
      <c r="X7812" s="9"/>
    </row>
    <row r="7813">
      <c r="D7813" s="9"/>
      <c r="G7813" s="9"/>
      <c r="J7813" s="11"/>
      <c r="U7813" s="9"/>
      <c r="X7813" s="9"/>
    </row>
    <row r="7814">
      <c r="D7814" s="9"/>
      <c r="G7814" s="9"/>
      <c r="J7814" s="11"/>
      <c r="U7814" s="9"/>
      <c r="X7814" s="9"/>
    </row>
    <row r="7815">
      <c r="D7815" s="9"/>
      <c r="G7815" s="9"/>
      <c r="J7815" s="11"/>
      <c r="U7815" s="9"/>
      <c r="X7815" s="9"/>
    </row>
    <row r="7816">
      <c r="D7816" s="9"/>
      <c r="G7816" s="9"/>
      <c r="J7816" s="11"/>
      <c r="U7816" s="9"/>
      <c r="X7816" s="9"/>
    </row>
    <row r="7817">
      <c r="D7817" s="9"/>
      <c r="G7817" s="9"/>
      <c r="J7817" s="11"/>
      <c r="U7817" s="9"/>
      <c r="X7817" s="9"/>
    </row>
    <row r="7818">
      <c r="D7818" s="9"/>
      <c r="G7818" s="9"/>
      <c r="J7818" s="11"/>
      <c r="U7818" s="9"/>
      <c r="X7818" s="9"/>
    </row>
    <row r="7819">
      <c r="D7819" s="9"/>
      <c r="G7819" s="9"/>
      <c r="J7819" s="11"/>
      <c r="U7819" s="9"/>
      <c r="X7819" s="9"/>
    </row>
    <row r="7820">
      <c r="D7820" s="9"/>
      <c r="G7820" s="9"/>
      <c r="J7820" s="11"/>
      <c r="U7820" s="9"/>
      <c r="X7820" s="9"/>
    </row>
    <row r="7821">
      <c r="D7821" s="9"/>
      <c r="G7821" s="9"/>
      <c r="J7821" s="11"/>
      <c r="U7821" s="9"/>
      <c r="X7821" s="9"/>
    </row>
    <row r="7822">
      <c r="D7822" s="9"/>
      <c r="G7822" s="9"/>
      <c r="J7822" s="11"/>
      <c r="U7822" s="9"/>
      <c r="X7822" s="9"/>
    </row>
    <row r="7823">
      <c r="D7823" s="9"/>
      <c r="G7823" s="9"/>
      <c r="J7823" s="11"/>
      <c r="U7823" s="9"/>
      <c r="X7823" s="9"/>
    </row>
    <row r="7824">
      <c r="D7824" s="9"/>
      <c r="G7824" s="9"/>
      <c r="J7824" s="11"/>
      <c r="U7824" s="9"/>
      <c r="X7824" s="9"/>
    </row>
    <row r="7825">
      <c r="D7825" s="9"/>
      <c r="G7825" s="9"/>
      <c r="J7825" s="11"/>
      <c r="U7825" s="9"/>
      <c r="X7825" s="9"/>
    </row>
    <row r="7826">
      <c r="D7826" s="9"/>
      <c r="G7826" s="9"/>
      <c r="J7826" s="11"/>
      <c r="U7826" s="9"/>
      <c r="X7826" s="9"/>
    </row>
    <row r="7827">
      <c r="D7827" s="9"/>
      <c r="G7827" s="9"/>
      <c r="J7827" s="11"/>
      <c r="U7827" s="9"/>
      <c r="X7827" s="9"/>
    </row>
    <row r="7828">
      <c r="D7828" s="9"/>
      <c r="G7828" s="9"/>
      <c r="J7828" s="11"/>
      <c r="U7828" s="9"/>
      <c r="X7828" s="9"/>
    </row>
    <row r="7829">
      <c r="D7829" s="9"/>
      <c r="G7829" s="9"/>
      <c r="J7829" s="11"/>
      <c r="U7829" s="9"/>
      <c r="X7829" s="9"/>
    </row>
    <row r="7830">
      <c r="D7830" s="9"/>
      <c r="G7830" s="9"/>
      <c r="J7830" s="11"/>
      <c r="U7830" s="9"/>
      <c r="X7830" s="9"/>
    </row>
    <row r="7831">
      <c r="D7831" s="9"/>
      <c r="G7831" s="9"/>
      <c r="J7831" s="11"/>
      <c r="U7831" s="9"/>
      <c r="X7831" s="9"/>
    </row>
    <row r="7832">
      <c r="D7832" s="9"/>
      <c r="G7832" s="9"/>
      <c r="J7832" s="11"/>
      <c r="U7832" s="9"/>
      <c r="X7832" s="9"/>
    </row>
    <row r="7833">
      <c r="D7833" s="9"/>
      <c r="G7833" s="9"/>
      <c r="J7833" s="11"/>
      <c r="U7833" s="9"/>
      <c r="X7833" s="9"/>
    </row>
    <row r="7834">
      <c r="D7834" s="9"/>
      <c r="G7834" s="9"/>
      <c r="J7834" s="11"/>
      <c r="U7834" s="9"/>
      <c r="X7834" s="9"/>
    </row>
    <row r="7835">
      <c r="D7835" s="9"/>
      <c r="G7835" s="9"/>
      <c r="J7835" s="11"/>
      <c r="U7835" s="9"/>
      <c r="X7835" s="9"/>
    </row>
    <row r="7836">
      <c r="D7836" s="9"/>
      <c r="G7836" s="9"/>
      <c r="J7836" s="11"/>
      <c r="U7836" s="9"/>
      <c r="X7836" s="9"/>
    </row>
    <row r="7837">
      <c r="D7837" s="9"/>
      <c r="G7837" s="9"/>
      <c r="J7837" s="11"/>
      <c r="U7837" s="9"/>
      <c r="X7837" s="9"/>
    </row>
    <row r="7838">
      <c r="D7838" s="9"/>
      <c r="G7838" s="9"/>
      <c r="J7838" s="11"/>
      <c r="U7838" s="9"/>
      <c r="X7838" s="9"/>
    </row>
    <row r="7839">
      <c r="D7839" s="9"/>
      <c r="G7839" s="9"/>
      <c r="J7839" s="11"/>
      <c r="U7839" s="9"/>
      <c r="X7839" s="9"/>
    </row>
    <row r="7840">
      <c r="D7840" s="9"/>
      <c r="G7840" s="9"/>
      <c r="J7840" s="11"/>
      <c r="U7840" s="9"/>
      <c r="X7840" s="9"/>
    </row>
    <row r="7841">
      <c r="D7841" s="9"/>
      <c r="G7841" s="9"/>
      <c r="J7841" s="11"/>
      <c r="U7841" s="9"/>
      <c r="X7841" s="9"/>
    </row>
    <row r="7842">
      <c r="D7842" s="9"/>
      <c r="G7842" s="9"/>
      <c r="J7842" s="11"/>
      <c r="U7842" s="9"/>
      <c r="X7842" s="9"/>
    </row>
    <row r="7843">
      <c r="D7843" s="9"/>
      <c r="G7843" s="9"/>
      <c r="J7843" s="11"/>
      <c r="U7843" s="9"/>
      <c r="X7843" s="9"/>
    </row>
    <row r="7844">
      <c r="D7844" s="9"/>
      <c r="G7844" s="9"/>
      <c r="J7844" s="11"/>
      <c r="U7844" s="9"/>
      <c r="X7844" s="9"/>
    </row>
    <row r="7845">
      <c r="D7845" s="9"/>
      <c r="G7845" s="9"/>
      <c r="J7845" s="11"/>
      <c r="U7845" s="9"/>
      <c r="X7845" s="9"/>
    </row>
    <row r="7846">
      <c r="D7846" s="9"/>
      <c r="G7846" s="9"/>
      <c r="J7846" s="11"/>
      <c r="U7846" s="9"/>
      <c r="X7846" s="9"/>
    </row>
    <row r="7847">
      <c r="D7847" s="9"/>
      <c r="G7847" s="9"/>
      <c r="J7847" s="11"/>
      <c r="U7847" s="9"/>
      <c r="X7847" s="9"/>
    </row>
    <row r="7848">
      <c r="D7848" s="9"/>
      <c r="G7848" s="9"/>
      <c r="J7848" s="11"/>
      <c r="U7848" s="9"/>
      <c r="X7848" s="9"/>
    </row>
    <row r="7849">
      <c r="D7849" s="9"/>
      <c r="G7849" s="9"/>
      <c r="J7849" s="11"/>
      <c r="U7849" s="9"/>
      <c r="X7849" s="9"/>
    </row>
    <row r="7850">
      <c r="D7850" s="9"/>
      <c r="G7850" s="9"/>
      <c r="J7850" s="11"/>
      <c r="U7850" s="9"/>
      <c r="X7850" s="9"/>
    </row>
    <row r="7851">
      <c r="D7851" s="9"/>
      <c r="G7851" s="9"/>
      <c r="J7851" s="11"/>
      <c r="U7851" s="9"/>
      <c r="X7851" s="9"/>
    </row>
    <row r="7852">
      <c r="D7852" s="9"/>
      <c r="G7852" s="9"/>
      <c r="J7852" s="11"/>
      <c r="U7852" s="9"/>
      <c r="X7852" s="9"/>
    </row>
    <row r="7853">
      <c r="D7853" s="9"/>
      <c r="G7853" s="9"/>
      <c r="J7853" s="11"/>
      <c r="U7853" s="9"/>
      <c r="X7853" s="9"/>
    </row>
    <row r="7854">
      <c r="D7854" s="9"/>
      <c r="G7854" s="9"/>
      <c r="J7854" s="11"/>
      <c r="U7854" s="9"/>
      <c r="X7854" s="9"/>
    </row>
    <row r="7855">
      <c r="D7855" s="9"/>
      <c r="G7855" s="9"/>
      <c r="J7855" s="11"/>
      <c r="U7855" s="9"/>
      <c r="X7855" s="9"/>
    </row>
    <row r="7856">
      <c r="D7856" s="9"/>
      <c r="G7856" s="9"/>
      <c r="J7856" s="11"/>
      <c r="U7856" s="9"/>
      <c r="X7856" s="9"/>
    </row>
    <row r="7857">
      <c r="D7857" s="9"/>
      <c r="G7857" s="9"/>
      <c r="J7857" s="11"/>
      <c r="U7857" s="9"/>
      <c r="X7857" s="9"/>
    </row>
    <row r="7858">
      <c r="D7858" s="9"/>
      <c r="G7858" s="9"/>
      <c r="J7858" s="11"/>
      <c r="U7858" s="9"/>
      <c r="X7858" s="9"/>
    </row>
    <row r="7859">
      <c r="D7859" s="9"/>
      <c r="G7859" s="9"/>
      <c r="J7859" s="11"/>
      <c r="U7859" s="9"/>
      <c r="X7859" s="9"/>
    </row>
    <row r="7860">
      <c r="D7860" s="9"/>
      <c r="G7860" s="9"/>
      <c r="J7860" s="11"/>
      <c r="U7860" s="9"/>
      <c r="X7860" s="9"/>
    </row>
    <row r="7861">
      <c r="D7861" s="9"/>
      <c r="G7861" s="9"/>
      <c r="J7861" s="11"/>
      <c r="U7861" s="9"/>
      <c r="X7861" s="9"/>
    </row>
    <row r="7862">
      <c r="D7862" s="9"/>
      <c r="G7862" s="9"/>
      <c r="J7862" s="11"/>
      <c r="U7862" s="9"/>
      <c r="X7862" s="9"/>
    </row>
    <row r="7863">
      <c r="D7863" s="9"/>
      <c r="G7863" s="9"/>
      <c r="J7863" s="11"/>
      <c r="U7863" s="9"/>
      <c r="X7863" s="9"/>
    </row>
    <row r="7864">
      <c r="D7864" s="9"/>
      <c r="G7864" s="9"/>
      <c r="J7864" s="11"/>
      <c r="U7864" s="9"/>
      <c r="X7864" s="9"/>
    </row>
    <row r="7865">
      <c r="D7865" s="9"/>
      <c r="G7865" s="9"/>
      <c r="J7865" s="11"/>
      <c r="U7865" s="9"/>
      <c r="X7865" s="9"/>
    </row>
    <row r="7866">
      <c r="D7866" s="9"/>
      <c r="G7866" s="9"/>
      <c r="J7866" s="11"/>
      <c r="U7866" s="9"/>
      <c r="X7866" s="9"/>
    </row>
    <row r="7867">
      <c r="D7867" s="9"/>
      <c r="G7867" s="9"/>
      <c r="J7867" s="11"/>
      <c r="U7867" s="9"/>
      <c r="X7867" s="9"/>
    </row>
    <row r="7868">
      <c r="D7868" s="9"/>
      <c r="G7868" s="9"/>
      <c r="J7868" s="11"/>
      <c r="U7868" s="9"/>
      <c r="X7868" s="9"/>
    </row>
    <row r="7869">
      <c r="D7869" s="9"/>
      <c r="G7869" s="9"/>
      <c r="J7869" s="11"/>
      <c r="U7869" s="9"/>
      <c r="X7869" s="9"/>
    </row>
    <row r="7870">
      <c r="D7870" s="9"/>
      <c r="G7870" s="9"/>
      <c r="J7870" s="11"/>
      <c r="U7870" s="9"/>
      <c r="X7870" s="9"/>
    </row>
    <row r="7871">
      <c r="D7871" s="9"/>
      <c r="G7871" s="9"/>
      <c r="J7871" s="11"/>
      <c r="U7871" s="9"/>
      <c r="X7871" s="9"/>
    </row>
    <row r="7872">
      <c r="D7872" s="9"/>
      <c r="G7872" s="9"/>
      <c r="J7872" s="11"/>
      <c r="U7872" s="9"/>
      <c r="X7872" s="9"/>
    </row>
    <row r="7873">
      <c r="D7873" s="9"/>
      <c r="G7873" s="9"/>
      <c r="J7873" s="11"/>
      <c r="U7873" s="9"/>
      <c r="X7873" s="9"/>
    </row>
    <row r="7874">
      <c r="D7874" s="9"/>
      <c r="G7874" s="9"/>
      <c r="J7874" s="11"/>
      <c r="U7874" s="9"/>
      <c r="X7874" s="9"/>
    </row>
    <row r="7875">
      <c r="D7875" s="9"/>
      <c r="G7875" s="9"/>
      <c r="J7875" s="11"/>
      <c r="U7875" s="9"/>
      <c r="X7875" s="9"/>
    </row>
    <row r="7876">
      <c r="D7876" s="9"/>
      <c r="G7876" s="9"/>
      <c r="J7876" s="11"/>
      <c r="U7876" s="9"/>
      <c r="X7876" s="9"/>
    </row>
    <row r="7877">
      <c r="D7877" s="9"/>
      <c r="G7877" s="9"/>
      <c r="J7877" s="11"/>
      <c r="U7877" s="9"/>
      <c r="X7877" s="9"/>
    </row>
    <row r="7878">
      <c r="D7878" s="9"/>
      <c r="G7878" s="9"/>
      <c r="J7878" s="11"/>
      <c r="U7878" s="9"/>
      <c r="X7878" s="9"/>
    </row>
    <row r="7879">
      <c r="D7879" s="9"/>
      <c r="G7879" s="9"/>
      <c r="J7879" s="11"/>
      <c r="U7879" s="9"/>
      <c r="X7879" s="9"/>
    </row>
    <row r="7880">
      <c r="D7880" s="9"/>
      <c r="G7880" s="9"/>
      <c r="J7880" s="11"/>
      <c r="U7880" s="9"/>
      <c r="X7880" s="9"/>
    </row>
    <row r="7881">
      <c r="D7881" s="9"/>
      <c r="G7881" s="9"/>
      <c r="J7881" s="11"/>
      <c r="U7881" s="9"/>
      <c r="X7881" s="9"/>
    </row>
    <row r="7882">
      <c r="D7882" s="9"/>
      <c r="G7882" s="9"/>
      <c r="J7882" s="11"/>
      <c r="U7882" s="9"/>
      <c r="X7882" s="9"/>
    </row>
    <row r="7883">
      <c r="D7883" s="9"/>
      <c r="G7883" s="9"/>
      <c r="J7883" s="11"/>
      <c r="U7883" s="9"/>
      <c r="X7883" s="9"/>
    </row>
    <row r="7884">
      <c r="D7884" s="9"/>
      <c r="G7884" s="9"/>
      <c r="J7884" s="11"/>
      <c r="U7884" s="9"/>
      <c r="X7884" s="9"/>
    </row>
    <row r="7885">
      <c r="D7885" s="9"/>
      <c r="G7885" s="9"/>
      <c r="J7885" s="11"/>
      <c r="U7885" s="9"/>
      <c r="X7885" s="9"/>
    </row>
    <row r="7886">
      <c r="D7886" s="9"/>
      <c r="G7886" s="9"/>
      <c r="J7886" s="11"/>
      <c r="U7886" s="9"/>
      <c r="X7886" s="9"/>
    </row>
    <row r="7887">
      <c r="D7887" s="9"/>
      <c r="G7887" s="9"/>
      <c r="J7887" s="11"/>
      <c r="U7887" s="9"/>
      <c r="X7887" s="9"/>
    </row>
    <row r="7888">
      <c r="D7888" s="9"/>
      <c r="G7888" s="9"/>
      <c r="J7888" s="11"/>
      <c r="U7888" s="9"/>
      <c r="X7888" s="9"/>
    </row>
    <row r="7889">
      <c r="D7889" s="9"/>
      <c r="G7889" s="9"/>
      <c r="J7889" s="11"/>
      <c r="U7889" s="9"/>
      <c r="X7889" s="9"/>
    </row>
    <row r="7890">
      <c r="D7890" s="9"/>
      <c r="G7890" s="9"/>
      <c r="J7890" s="11"/>
      <c r="U7890" s="9"/>
      <c r="X7890" s="9"/>
    </row>
    <row r="7891">
      <c r="D7891" s="9"/>
      <c r="G7891" s="9"/>
      <c r="J7891" s="11"/>
      <c r="U7891" s="9"/>
      <c r="X7891" s="9"/>
    </row>
    <row r="7892">
      <c r="D7892" s="9"/>
      <c r="G7892" s="9"/>
      <c r="J7892" s="11"/>
      <c r="U7892" s="9"/>
      <c r="X7892" s="9"/>
    </row>
    <row r="7893">
      <c r="D7893" s="9"/>
      <c r="G7893" s="9"/>
      <c r="J7893" s="11"/>
      <c r="U7893" s="9"/>
      <c r="X7893" s="9"/>
    </row>
    <row r="7894">
      <c r="D7894" s="9"/>
      <c r="G7894" s="9"/>
      <c r="J7894" s="11"/>
      <c r="U7894" s="9"/>
      <c r="X7894" s="9"/>
    </row>
    <row r="7895">
      <c r="D7895" s="9"/>
      <c r="G7895" s="9"/>
      <c r="J7895" s="11"/>
      <c r="U7895" s="9"/>
      <c r="X7895" s="9"/>
    </row>
    <row r="7896">
      <c r="D7896" s="9"/>
      <c r="G7896" s="9"/>
      <c r="J7896" s="11"/>
      <c r="U7896" s="9"/>
      <c r="X7896" s="9"/>
    </row>
    <row r="7897">
      <c r="D7897" s="9"/>
      <c r="G7897" s="9"/>
      <c r="J7897" s="11"/>
      <c r="U7897" s="9"/>
      <c r="X7897" s="9"/>
    </row>
    <row r="7898">
      <c r="D7898" s="9"/>
      <c r="G7898" s="9"/>
      <c r="J7898" s="11"/>
      <c r="U7898" s="9"/>
      <c r="X7898" s="9"/>
    </row>
    <row r="7899">
      <c r="D7899" s="9"/>
      <c r="G7899" s="9"/>
      <c r="J7899" s="11"/>
      <c r="U7899" s="9"/>
      <c r="X7899" s="9"/>
    </row>
    <row r="7900">
      <c r="D7900" s="9"/>
      <c r="G7900" s="9"/>
      <c r="J7900" s="11"/>
      <c r="U7900" s="9"/>
      <c r="X7900" s="9"/>
    </row>
    <row r="7901">
      <c r="D7901" s="9"/>
      <c r="G7901" s="9"/>
      <c r="J7901" s="11"/>
      <c r="U7901" s="9"/>
      <c r="X7901" s="9"/>
    </row>
    <row r="7902">
      <c r="D7902" s="9"/>
      <c r="G7902" s="9"/>
      <c r="J7902" s="11"/>
      <c r="U7902" s="9"/>
      <c r="X7902" s="9"/>
    </row>
    <row r="7903">
      <c r="D7903" s="9"/>
      <c r="G7903" s="9"/>
      <c r="J7903" s="11"/>
      <c r="U7903" s="9"/>
      <c r="X7903" s="9"/>
    </row>
    <row r="7904">
      <c r="D7904" s="9"/>
      <c r="G7904" s="9"/>
      <c r="J7904" s="11"/>
      <c r="U7904" s="9"/>
      <c r="X7904" s="9"/>
    </row>
    <row r="7905">
      <c r="D7905" s="9"/>
      <c r="G7905" s="9"/>
      <c r="J7905" s="11"/>
      <c r="U7905" s="9"/>
      <c r="X7905" s="9"/>
    </row>
    <row r="7906">
      <c r="D7906" s="9"/>
      <c r="G7906" s="9"/>
      <c r="J7906" s="11"/>
      <c r="U7906" s="9"/>
      <c r="X7906" s="9"/>
    </row>
    <row r="7907">
      <c r="D7907" s="9"/>
      <c r="G7907" s="9"/>
      <c r="J7907" s="11"/>
      <c r="U7907" s="9"/>
      <c r="X7907" s="9"/>
    </row>
    <row r="7908">
      <c r="D7908" s="9"/>
      <c r="G7908" s="9"/>
      <c r="J7908" s="11"/>
      <c r="U7908" s="9"/>
      <c r="X7908" s="9"/>
    </row>
    <row r="7909">
      <c r="D7909" s="9"/>
      <c r="G7909" s="9"/>
      <c r="J7909" s="11"/>
      <c r="U7909" s="9"/>
      <c r="X7909" s="9"/>
    </row>
    <row r="7910">
      <c r="D7910" s="9"/>
      <c r="G7910" s="9"/>
      <c r="J7910" s="11"/>
      <c r="U7910" s="9"/>
      <c r="X7910" s="9"/>
    </row>
    <row r="7911">
      <c r="D7911" s="9"/>
      <c r="G7911" s="9"/>
      <c r="J7911" s="11"/>
      <c r="U7911" s="9"/>
      <c r="X7911" s="9"/>
    </row>
    <row r="7912">
      <c r="D7912" s="9"/>
      <c r="G7912" s="9"/>
      <c r="J7912" s="11"/>
      <c r="U7912" s="9"/>
      <c r="X7912" s="9"/>
    </row>
    <row r="7913">
      <c r="D7913" s="9"/>
      <c r="G7913" s="9"/>
      <c r="J7913" s="11"/>
      <c r="U7913" s="9"/>
      <c r="X7913" s="9"/>
    </row>
    <row r="7914">
      <c r="D7914" s="9"/>
      <c r="G7914" s="9"/>
      <c r="J7914" s="11"/>
      <c r="U7914" s="9"/>
      <c r="X7914" s="9"/>
    </row>
    <row r="7915">
      <c r="D7915" s="9"/>
      <c r="G7915" s="9"/>
      <c r="J7915" s="11"/>
      <c r="U7915" s="9"/>
      <c r="X7915" s="9"/>
    </row>
    <row r="7916">
      <c r="D7916" s="9"/>
      <c r="G7916" s="9"/>
      <c r="J7916" s="11"/>
      <c r="U7916" s="9"/>
      <c r="X7916" s="9"/>
    </row>
    <row r="7917">
      <c r="D7917" s="9"/>
      <c r="G7917" s="9"/>
      <c r="J7917" s="11"/>
      <c r="U7917" s="9"/>
      <c r="X7917" s="9"/>
    </row>
    <row r="7918">
      <c r="D7918" s="9"/>
      <c r="G7918" s="9"/>
      <c r="J7918" s="11"/>
      <c r="U7918" s="9"/>
      <c r="X7918" s="9"/>
    </row>
    <row r="7919">
      <c r="D7919" s="9"/>
      <c r="G7919" s="9"/>
      <c r="J7919" s="11"/>
      <c r="U7919" s="9"/>
      <c r="X7919" s="9"/>
    </row>
    <row r="7920">
      <c r="D7920" s="9"/>
      <c r="G7920" s="9"/>
      <c r="J7920" s="11"/>
      <c r="U7920" s="9"/>
      <c r="X7920" s="9"/>
    </row>
    <row r="7921">
      <c r="D7921" s="9"/>
      <c r="G7921" s="9"/>
      <c r="J7921" s="11"/>
      <c r="U7921" s="9"/>
      <c r="X7921" s="9"/>
    </row>
    <row r="7922">
      <c r="D7922" s="9"/>
      <c r="G7922" s="9"/>
      <c r="J7922" s="11"/>
      <c r="U7922" s="9"/>
      <c r="X7922" s="9"/>
    </row>
    <row r="7923">
      <c r="D7923" s="9"/>
      <c r="G7923" s="9"/>
      <c r="J7923" s="11"/>
      <c r="U7923" s="9"/>
      <c r="X7923" s="9"/>
    </row>
    <row r="7924">
      <c r="D7924" s="9"/>
      <c r="G7924" s="9"/>
      <c r="J7924" s="11"/>
      <c r="U7924" s="9"/>
      <c r="X7924" s="9"/>
    </row>
    <row r="7925">
      <c r="D7925" s="9"/>
      <c r="G7925" s="9"/>
      <c r="J7925" s="11"/>
      <c r="U7925" s="9"/>
      <c r="X7925" s="9"/>
    </row>
    <row r="7926">
      <c r="D7926" s="9"/>
      <c r="G7926" s="9"/>
      <c r="J7926" s="11"/>
      <c r="U7926" s="9"/>
      <c r="X7926" s="9"/>
    </row>
    <row r="7927">
      <c r="D7927" s="9"/>
      <c r="G7927" s="9"/>
      <c r="J7927" s="11"/>
      <c r="U7927" s="9"/>
      <c r="X7927" s="9"/>
    </row>
    <row r="7928">
      <c r="D7928" s="9"/>
      <c r="G7928" s="9"/>
      <c r="J7928" s="11"/>
      <c r="U7928" s="9"/>
      <c r="X7928" s="9"/>
    </row>
    <row r="7929">
      <c r="D7929" s="9"/>
      <c r="G7929" s="9"/>
      <c r="J7929" s="11"/>
      <c r="U7929" s="9"/>
      <c r="X7929" s="9"/>
    </row>
    <row r="7930">
      <c r="D7930" s="9"/>
      <c r="G7930" s="9"/>
      <c r="J7930" s="11"/>
      <c r="U7930" s="9"/>
      <c r="X7930" s="9"/>
    </row>
    <row r="7931">
      <c r="D7931" s="9"/>
      <c r="G7931" s="9"/>
      <c r="J7931" s="11"/>
      <c r="U7931" s="9"/>
      <c r="X7931" s="9"/>
    </row>
    <row r="7932">
      <c r="D7932" s="9"/>
      <c r="G7932" s="9"/>
      <c r="J7932" s="11"/>
      <c r="U7932" s="9"/>
      <c r="X7932" s="9"/>
    </row>
    <row r="7933">
      <c r="D7933" s="9"/>
      <c r="G7933" s="9"/>
      <c r="J7933" s="11"/>
      <c r="U7933" s="9"/>
      <c r="X7933" s="9"/>
    </row>
    <row r="7934">
      <c r="D7934" s="9"/>
      <c r="G7934" s="9"/>
      <c r="J7934" s="11"/>
      <c r="U7934" s="9"/>
      <c r="X7934" s="9"/>
    </row>
    <row r="7935">
      <c r="D7935" s="9"/>
      <c r="G7935" s="9"/>
      <c r="J7935" s="11"/>
      <c r="U7935" s="9"/>
      <c r="X7935" s="9"/>
    </row>
    <row r="7936">
      <c r="D7936" s="9"/>
      <c r="G7936" s="9"/>
      <c r="J7936" s="11"/>
      <c r="U7936" s="9"/>
      <c r="X7936" s="9"/>
    </row>
    <row r="7937">
      <c r="D7937" s="9"/>
      <c r="G7937" s="9"/>
      <c r="J7937" s="11"/>
      <c r="U7937" s="9"/>
      <c r="X7937" s="9"/>
    </row>
    <row r="7938">
      <c r="D7938" s="9"/>
      <c r="G7938" s="9"/>
      <c r="J7938" s="11"/>
      <c r="U7938" s="9"/>
      <c r="X7938" s="9"/>
    </row>
    <row r="7939">
      <c r="D7939" s="9"/>
      <c r="G7939" s="9"/>
      <c r="J7939" s="11"/>
      <c r="U7939" s="9"/>
      <c r="X7939" s="9"/>
    </row>
    <row r="7940">
      <c r="D7940" s="9"/>
      <c r="G7940" s="9"/>
      <c r="J7940" s="11"/>
      <c r="U7940" s="9"/>
      <c r="X7940" s="9"/>
    </row>
    <row r="7941">
      <c r="D7941" s="9"/>
      <c r="G7941" s="9"/>
      <c r="J7941" s="11"/>
      <c r="U7941" s="9"/>
      <c r="X7941" s="9"/>
    </row>
    <row r="7942">
      <c r="D7942" s="9"/>
      <c r="G7942" s="9"/>
      <c r="J7942" s="11"/>
      <c r="U7942" s="9"/>
      <c r="X7942" s="9"/>
    </row>
    <row r="7943">
      <c r="D7943" s="9"/>
      <c r="G7943" s="9"/>
      <c r="J7943" s="11"/>
      <c r="U7943" s="9"/>
      <c r="X7943" s="9"/>
    </row>
    <row r="7944">
      <c r="D7944" s="9"/>
      <c r="G7944" s="9"/>
      <c r="J7944" s="11"/>
      <c r="U7944" s="9"/>
      <c r="X7944" s="9"/>
    </row>
    <row r="7945">
      <c r="D7945" s="9"/>
      <c r="G7945" s="9"/>
      <c r="J7945" s="11"/>
      <c r="U7945" s="9"/>
      <c r="X7945" s="9"/>
    </row>
    <row r="7946">
      <c r="D7946" s="9"/>
      <c r="G7946" s="9"/>
      <c r="J7946" s="11"/>
      <c r="U7946" s="9"/>
      <c r="X7946" s="9"/>
    </row>
    <row r="7947">
      <c r="D7947" s="9"/>
      <c r="G7947" s="9"/>
      <c r="J7947" s="11"/>
      <c r="U7947" s="9"/>
      <c r="X7947" s="9"/>
    </row>
    <row r="7948">
      <c r="D7948" s="9"/>
      <c r="G7948" s="9"/>
      <c r="J7948" s="11"/>
      <c r="U7948" s="9"/>
      <c r="X7948" s="9"/>
    </row>
    <row r="7949">
      <c r="D7949" s="9"/>
      <c r="G7949" s="9"/>
      <c r="J7949" s="11"/>
      <c r="U7949" s="9"/>
      <c r="X7949" s="9"/>
    </row>
    <row r="7950">
      <c r="D7950" s="9"/>
      <c r="G7950" s="9"/>
      <c r="J7950" s="11"/>
      <c r="U7950" s="9"/>
      <c r="X7950" s="9"/>
    </row>
    <row r="7951">
      <c r="D7951" s="9"/>
      <c r="G7951" s="9"/>
      <c r="J7951" s="11"/>
      <c r="U7951" s="9"/>
      <c r="X7951" s="9"/>
    </row>
    <row r="7952">
      <c r="D7952" s="9"/>
      <c r="G7952" s="9"/>
      <c r="J7952" s="11"/>
      <c r="U7952" s="9"/>
      <c r="X7952" s="9"/>
    </row>
    <row r="7953">
      <c r="D7953" s="9"/>
      <c r="G7953" s="9"/>
      <c r="J7953" s="11"/>
      <c r="U7953" s="9"/>
      <c r="X7953" s="9"/>
    </row>
    <row r="7954">
      <c r="D7954" s="9"/>
      <c r="G7954" s="9"/>
      <c r="J7954" s="11"/>
      <c r="U7954" s="9"/>
      <c r="X7954" s="9"/>
    </row>
    <row r="7955">
      <c r="D7955" s="9"/>
      <c r="G7955" s="9"/>
      <c r="J7955" s="11"/>
      <c r="U7955" s="9"/>
      <c r="X7955" s="9"/>
    </row>
    <row r="7956">
      <c r="D7956" s="9"/>
      <c r="G7956" s="9"/>
      <c r="J7956" s="11"/>
      <c r="U7956" s="9"/>
      <c r="X7956" s="9"/>
    </row>
    <row r="7957">
      <c r="D7957" s="9"/>
      <c r="G7957" s="9"/>
      <c r="J7957" s="11"/>
      <c r="U7957" s="9"/>
      <c r="X7957" s="9"/>
    </row>
    <row r="7958">
      <c r="D7958" s="9"/>
      <c r="G7958" s="9"/>
      <c r="J7958" s="11"/>
      <c r="U7958" s="9"/>
      <c r="X7958" s="9"/>
    </row>
    <row r="7959">
      <c r="D7959" s="9"/>
      <c r="G7959" s="9"/>
      <c r="J7959" s="11"/>
      <c r="U7959" s="9"/>
      <c r="X7959" s="9"/>
    </row>
    <row r="7960">
      <c r="D7960" s="9"/>
      <c r="G7960" s="9"/>
      <c r="J7960" s="11"/>
      <c r="U7960" s="9"/>
      <c r="X7960" s="9"/>
    </row>
    <row r="7961">
      <c r="D7961" s="9"/>
      <c r="G7961" s="9"/>
      <c r="J7961" s="11"/>
      <c r="U7961" s="9"/>
      <c r="X7961" s="9"/>
    </row>
    <row r="7962">
      <c r="D7962" s="9"/>
      <c r="G7962" s="9"/>
      <c r="J7962" s="11"/>
      <c r="U7962" s="9"/>
      <c r="X7962" s="9"/>
    </row>
    <row r="7963">
      <c r="D7963" s="9"/>
      <c r="G7963" s="9"/>
      <c r="J7963" s="11"/>
      <c r="U7963" s="9"/>
      <c r="X7963" s="9"/>
    </row>
    <row r="7964">
      <c r="D7964" s="9"/>
      <c r="G7964" s="9"/>
      <c r="J7964" s="11"/>
      <c r="U7964" s="9"/>
      <c r="X7964" s="9"/>
    </row>
    <row r="7965">
      <c r="D7965" s="9"/>
      <c r="G7965" s="9"/>
      <c r="J7965" s="11"/>
      <c r="U7965" s="9"/>
      <c r="X7965" s="9"/>
    </row>
    <row r="7966">
      <c r="D7966" s="9"/>
      <c r="G7966" s="9"/>
      <c r="J7966" s="11"/>
      <c r="U7966" s="9"/>
      <c r="X7966" s="9"/>
    </row>
    <row r="7967">
      <c r="D7967" s="9"/>
      <c r="G7967" s="9"/>
      <c r="J7967" s="11"/>
      <c r="U7967" s="9"/>
      <c r="X7967" s="9"/>
    </row>
    <row r="7968">
      <c r="D7968" s="9"/>
      <c r="G7968" s="9"/>
      <c r="J7968" s="11"/>
      <c r="U7968" s="9"/>
      <c r="X7968" s="9"/>
    </row>
    <row r="7969">
      <c r="D7969" s="9"/>
      <c r="G7969" s="9"/>
      <c r="J7969" s="11"/>
      <c r="U7969" s="9"/>
      <c r="X7969" s="9"/>
    </row>
    <row r="7970">
      <c r="D7970" s="9"/>
      <c r="G7970" s="9"/>
      <c r="J7970" s="11"/>
      <c r="U7970" s="9"/>
      <c r="X7970" s="9"/>
    </row>
    <row r="7971">
      <c r="D7971" s="9"/>
      <c r="G7971" s="9"/>
      <c r="J7971" s="11"/>
      <c r="U7971" s="9"/>
      <c r="X7971" s="9"/>
    </row>
    <row r="7972">
      <c r="D7972" s="9"/>
      <c r="G7972" s="9"/>
      <c r="J7972" s="11"/>
      <c r="U7972" s="9"/>
      <c r="X7972" s="9"/>
    </row>
    <row r="7973">
      <c r="D7973" s="9"/>
      <c r="G7973" s="9"/>
      <c r="J7973" s="11"/>
      <c r="U7973" s="9"/>
      <c r="X7973" s="9"/>
    </row>
    <row r="7974">
      <c r="D7974" s="9"/>
      <c r="G7974" s="9"/>
      <c r="J7974" s="11"/>
      <c r="U7974" s="9"/>
      <c r="X7974" s="9"/>
    </row>
    <row r="7975">
      <c r="D7975" s="9"/>
      <c r="G7975" s="9"/>
      <c r="J7975" s="11"/>
      <c r="U7975" s="9"/>
      <c r="X7975" s="9"/>
    </row>
    <row r="7976">
      <c r="D7976" s="9"/>
      <c r="G7976" s="9"/>
      <c r="J7976" s="11"/>
      <c r="U7976" s="9"/>
      <c r="X7976" s="9"/>
    </row>
    <row r="7977">
      <c r="D7977" s="9"/>
      <c r="G7977" s="9"/>
      <c r="J7977" s="11"/>
      <c r="U7977" s="9"/>
      <c r="X7977" s="9"/>
    </row>
    <row r="7978">
      <c r="D7978" s="9"/>
      <c r="G7978" s="9"/>
      <c r="J7978" s="11"/>
      <c r="U7978" s="9"/>
      <c r="X7978" s="9"/>
    </row>
    <row r="7979">
      <c r="D7979" s="9"/>
      <c r="G7979" s="9"/>
      <c r="J7979" s="11"/>
      <c r="U7979" s="9"/>
      <c r="X7979" s="9"/>
    </row>
    <row r="7980">
      <c r="D7980" s="9"/>
      <c r="G7980" s="9"/>
      <c r="J7980" s="11"/>
      <c r="U7980" s="9"/>
      <c r="X7980" s="9"/>
    </row>
    <row r="7981">
      <c r="D7981" s="9"/>
      <c r="G7981" s="9"/>
      <c r="J7981" s="11"/>
      <c r="U7981" s="9"/>
      <c r="X7981" s="9"/>
    </row>
    <row r="7982">
      <c r="D7982" s="9"/>
      <c r="G7982" s="9"/>
      <c r="J7982" s="11"/>
      <c r="U7982" s="9"/>
      <c r="X7982" s="9"/>
    </row>
    <row r="7983">
      <c r="D7983" s="9"/>
      <c r="G7983" s="9"/>
      <c r="J7983" s="11"/>
      <c r="U7983" s="9"/>
      <c r="X7983" s="9"/>
    </row>
    <row r="7984">
      <c r="D7984" s="9"/>
      <c r="G7984" s="9"/>
      <c r="J7984" s="11"/>
      <c r="U7984" s="9"/>
      <c r="X7984" s="9"/>
    </row>
    <row r="7985">
      <c r="D7985" s="9"/>
      <c r="G7985" s="9"/>
      <c r="J7985" s="11"/>
      <c r="U7985" s="9"/>
      <c r="X7985" s="9"/>
    </row>
    <row r="7986">
      <c r="D7986" s="9"/>
      <c r="G7986" s="9"/>
      <c r="J7986" s="11"/>
      <c r="U7986" s="9"/>
      <c r="X7986" s="9"/>
    </row>
    <row r="7987">
      <c r="D7987" s="9"/>
      <c r="G7987" s="9"/>
      <c r="J7987" s="11"/>
      <c r="U7987" s="9"/>
      <c r="X7987" s="9"/>
    </row>
    <row r="7988">
      <c r="D7988" s="9"/>
      <c r="G7988" s="9"/>
      <c r="J7988" s="11"/>
      <c r="U7988" s="9"/>
      <c r="X7988" s="9"/>
    </row>
    <row r="7989">
      <c r="D7989" s="9"/>
      <c r="G7989" s="9"/>
      <c r="J7989" s="11"/>
      <c r="U7989" s="9"/>
      <c r="X7989" s="9"/>
    </row>
    <row r="7990">
      <c r="D7990" s="9"/>
      <c r="G7990" s="9"/>
      <c r="J7990" s="11"/>
      <c r="U7990" s="9"/>
      <c r="X7990" s="9"/>
    </row>
    <row r="7991">
      <c r="D7991" s="9"/>
      <c r="G7991" s="9"/>
      <c r="J7991" s="11"/>
      <c r="U7991" s="9"/>
      <c r="X7991" s="9"/>
    </row>
    <row r="7992">
      <c r="D7992" s="9"/>
      <c r="G7992" s="9"/>
      <c r="J7992" s="11"/>
      <c r="U7992" s="9"/>
      <c r="X7992" s="9"/>
    </row>
    <row r="7993">
      <c r="D7993" s="9"/>
      <c r="G7993" s="9"/>
      <c r="J7993" s="11"/>
      <c r="U7993" s="9"/>
      <c r="X7993" s="9"/>
    </row>
    <row r="7994">
      <c r="D7994" s="9"/>
      <c r="G7994" s="9"/>
      <c r="J7994" s="11"/>
      <c r="U7994" s="9"/>
      <c r="X7994" s="9"/>
    </row>
    <row r="7995">
      <c r="D7995" s="9"/>
      <c r="G7995" s="9"/>
      <c r="J7995" s="11"/>
      <c r="U7995" s="9"/>
      <c r="X7995" s="9"/>
    </row>
    <row r="7996">
      <c r="D7996" s="9"/>
      <c r="G7996" s="9"/>
      <c r="J7996" s="11"/>
      <c r="U7996" s="9"/>
      <c r="X7996" s="9"/>
    </row>
    <row r="7997">
      <c r="D7997" s="9"/>
      <c r="G7997" s="9"/>
      <c r="J7997" s="11"/>
      <c r="U7997" s="9"/>
      <c r="X7997" s="9"/>
    </row>
    <row r="7998">
      <c r="D7998" s="9"/>
      <c r="G7998" s="9"/>
      <c r="J7998" s="11"/>
      <c r="U7998" s="9"/>
      <c r="X7998" s="9"/>
    </row>
    <row r="7999">
      <c r="D7999" s="9"/>
      <c r="G7999" s="9"/>
      <c r="J7999" s="11"/>
      <c r="U7999" s="9"/>
      <c r="X7999" s="9"/>
    </row>
    <row r="8000">
      <c r="D8000" s="9"/>
      <c r="G8000" s="9"/>
      <c r="J8000" s="11"/>
      <c r="U8000" s="9"/>
      <c r="X8000" s="9"/>
    </row>
    <row r="8001">
      <c r="D8001" s="9"/>
      <c r="G8001" s="9"/>
      <c r="J8001" s="11"/>
      <c r="U8001" s="9"/>
      <c r="X8001" s="9"/>
    </row>
    <row r="8002">
      <c r="D8002" s="9"/>
      <c r="G8002" s="9"/>
      <c r="J8002" s="11"/>
      <c r="U8002" s="9"/>
      <c r="X8002" s="9"/>
    </row>
    <row r="8003">
      <c r="D8003" s="9"/>
      <c r="G8003" s="9"/>
      <c r="J8003" s="11"/>
      <c r="U8003" s="9"/>
      <c r="X8003" s="9"/>
    </row>
    <row r="8004">
      <c r="D8004" s="9"/>
      <c r="G8004" s="9"/>
      <c r="J8004" s="11"/>
      <c r="U8004" s="9"/>
      <c r="X8004" s="9"/>
    </row>
    <row r="8005">
      <c r="D8005" s="9"/>
      <c r="G8005" s="9"/>
      <c r="J8005" s="11"/>
      <c r="U8005" s="9"/>
      <c r="X8005" s="9"/>
    </row>
    <row r="8006">
      <c r="D8006" s="9"/>
      <c r="G8006" s="9"/>
      <c r="J8006" s="11"/>
      <c r="U8006" s="9"/>
      <c r="X8006" s="9"/>
    </row>
    <row r="8007">
      <c r="D8007" s="9"/>
      <c r="G8007" s="9"/>
      <c r="J8007" s="11"/>
      <c r="U8007" s="9"/>
      <c r="X8007" s="9"/>
    </row>
    <row r="8008">
      <c r="D8008" s="9"/>
      <c r="G8008" s="9"/>
      <c r="J8008" s="11"/>
      <c r="U8008" s="9"/>
      <c r="X8008" s="9"/>
    </row>
    <row r="8009">
      <c r="D8009" s="9"/>
      <c r="G8009" s="9"/>
      <c r="J8009" s="11"/>
      <c r="U8009" s="9"/>
      <c r="X8009" s="9"/>
    </row>
    <row r="8010">
      <c r="D8010" s="9"/>
      <c r="G8010" s="9"/>
      <c r="J8010" s="11"/>
      <c r="U8010" s="9"/>
      <c r="X8010" s="9"/>
    </row>
    <row r="8011">
      <c r="D8011" s="9"/>
      <c r="G8011" s="9"/>
      <c r="J8011" s="11"/>
      <c r="U8011" s="9"/>
      <c r="X8011" s="9"/>
    </row>
    <row r="8012">
      <c r="D8012" s="9"/>
      <c r="G8012" s="9"/>
      <c r="J8012" s="11"/>
      <c r="U8012" s="9"/>
      <c r="X8012" s="9"/>
    </row>
    <row r="8013">
      <c r="D8013" s="9"/>
      <c r="G8013" s="9"/>
      <c r="J8013" s="11"/>
      <c r="U8013" s="9"/>
      <c r="X8013" s="9"/>
    </row>
    <row r="8014">
      <c r="D8014" s="9"/>
      <c r="G8014" s="9"/>
      <c r="J8014" s="11"/>
      <c r="U8014" s="9"/>
      <c r="X8014" s="9"/>
    </row>
    <row r="8015">
      <c r="D8015" s="9"/>
      <c r="G8015" s="9"/>
      <c r="J8015" s="11"/>
      <c r="U8015" s="9"/>
      <c r="X8015" s="9"/>
    </row>
    <row r="8016">
      <c r="D8016" s="9"/>
      <c r="G8016" s="9"/>
      <c r="J8016" s="11"/>
      <c r="U8016" s="9"/>
      <c r="X8016" s="9"/>
    </row>
    <row r="8017">
      <c r="D8017" s="9"/>
      <c r="G8017" s="9"/>
      <c r="J8017" s="11"/>
      <c r="U8017" s="9"/>
      <c r="X8017" s="9"/>
    </row>
    <row r="8018">
      <c r="D8018" s="9"/>
      <c r="G8018" s="9"/>
      <c r="J8018" s="11"/>
      <c r="U8018" s="9"/>
      <c r="X8018" s="9"/>
    </row>
    <row r="8019">
      <c r="D8019" s="9"/>
      <c r="G8019" s="9"/>
      <c r="J8019" s="11"/>
      <c r="U8019" s="9"/>
      <c r="X8019" s="9"/>
    </row>
    <row r="8020">
      <c r="D8020" s="9"/>
      <c r="G8020" s="9"/>
      <c r="J8020" s="11"/>
      <c r="U8020" s="9"/>
      <c r="X8020" s="9"/>
    </row>
    <row r="8021">
      <c r="D8021" s="9"/>
      <c r="G8021" s="9"/>
      <c r="J8021" s="11"/>
      <c r="U8021" s="9"/>
      <c r="X8021" s="9"/>
    </row>
    <row r="8022">
      <c r="D8022" s="9"/>
      <c r="G8022" s="9"/>
      <c r="J8022" s="11"/>
      <c r="U8022" s="9"/>
      <c r="X8022" s="9"/>
    </row>
    <row r="8023">
      <c r="D8023" s="9"/>
      <c r="G8023" s="9"/>
      <c r="J8023" s="11"/>
      <c r="U8023" s="9"/>
      <c r="X8023" s="9"/>
    </row>
    <row r="8024">
      <c r="D8024" s="9"/>
      <c r="G8024" s="9"/>
      <c r="J8024" s="11"/>
      <c r="U8024" s="9"/>
      <c r="X8024" s="9"/>
    </row>
    <row r="8025">
      <c r="D8025" s="9"/>
      <c r="G8025" s="9"/>
      <c r="J8025" s="11"/>
      <c r="U8025" s="9"/>
      <c r="X8025" s="9"/>
    </row>
    <row r="8026">
      <c r="D8026" s="9"/>
      <c r="G8026" s="9"/>
      <c r="J8026" s="11"/>
      <c r="U8026" s="9"/>
      <c r="X8026" s="9"/>
    </row>
    <row r="8027">
      <c r="D8027" s="9"/>
      <c r="G8027" s="9"/>
      <c r="J8027" s="11"/>
      <c r="U8027" s="9"/>
      <c r="X8027" s="9"/>
    </row>
    <row r="8028">
      <c r="D8028" s="9"/>
      <c r="G8028" s="9"/>
      <c r="J8028" s="11"/>
      <c r="U8028" s="9"/>
      <c r="X8028" s="9"/>
    </row>
    <row r="8029">
      <c r="D8029" s="9"/>
      <c r="G8029" s="9"/>
      <c r="J8029" s="11"/>
      <c r="U8029" s="9"/>
      <c r="X8029" s="9"/>
    </row>
    <row r="8030">
      <c r="D8030" s="9"/>
      <c r="G8030" s="9"/>
      <c r="J8030" s="11"/>
      <c r="U8030" s="9"/>
      <c r="X8030" s="9"/>
    </row>
    <row r="8031">
      <c r="D8031" s="9"/>
      <c r="G8031" s="9"/>
      <c r="J8031" s="11"/>
      <c r="U8031" s="9"/>
      <c r="X8031" s="9"/>
    </row>
    <row r="8032">
      <c r="D8032" s="9"/>
      <c r="G8032" s="9"/>
      <c r="J8032" s="11"/>
      <c r="U8032" s="9"/>
      <c r="X8032" s="9"/>
    </row>
    <row r="8033">
      <c r="D8033" s="9"/>
      <c r="G8033" s="9"/>
      <c r="J8033" s="11"/>
      <c r="U8033" s="9"/>
      <c r="X8033" s="9"/>
    </row>
    <row r="8034">
      <c r="D8034" s="9"/>
      <c r="G8034" s="9"/>
      <c r="J8034" s="11"/>
      <c r="U8034" s="9"/>
      <c r="X8034" s="9"/>
    </row>
    <row r="8035">
      <c r="D8035" s="9"/>
      <c r="G8035" s="9"/>
      <c r="J8035" s="11"/>
      <c r="U8035" s="9"/>
      <c r="X8035" s="9"/>
    </row>
    <row r="8036">
      <c r="D8036" s="9"/>
      <c r="G8036" s="9"/>
      <c r="J8036" s="11"/>
      <c r="U8036" s="9"/>
      <c r="X8036" s="9"/>
    </row>
    <row r="8037">
      <c r="D8037" s="9"/>
      <c r="G8037" s="9"/>
      <c r="J8037" s="11"/>
      <c r="U8037" s="9"/>
      <c r="X8037" s="9"/>
    </row>
    <row r="8038">
      <c r="D8038" s="9"/>
      <c r="G8038" s="9"/>
      <c r="J8038" s="11"/>
      <c r="U8038" s="9"/>
      <c r="X8038" s="9"/>
    </row>
    <row r="8039">
      <c r="D8039" s="9"/>
      <c r="G8039" s="9"/>
      <c r="J8039" s="11"/>
      <c r="U8039" s="9"/>
      <c r="X8039" s="9"/>
    </row>
    <row r="8040">
      <c r="D8040" s="9"/>
      <c r="G8040" s="9"/>
      <c r="J8040" s="11"/>
      <c r="U8040" s="9"/>
      <c r="X8040" s="9"/>
    </row>
    <row r="8041">
      <c r="D8041" s="9"/>
      <c r="G8041" s="9"/>
      <c r="J8041" s="11"/>
      <c r="U8041" s="9"/>
      <c r="X8041" s="9"/>
    </row>
    <row r="8042">
      <c r="D8042" s="9"/>
      <c r="G8042" s="9"/>
      <c r="J8042" s="11"/>
      <c r="U8042" s="9"/>
      <c r="X8042" s="9"/>
    </row>
    <row r="8043">
      <c r="D8043" s="9"/>
      <c r="G8043" s="9"/>
      <c r="J8043" s="11"/>
      <c r="U8043" s="9"/>
      <c r="X8043" s="9"/>
    </row>
    <row r="8044">
      <c r="D8044" s="9"/>
      <c r="G8044" s="9"/>
      <c r="J8044" s="11"/>
      <c r="U8044" s="9"/>
      <c r="X8044" s="9"/>
    </row>
    <row r="8045">
      <c r="D8045" s="9"/>
      <c r="G8045" s="9"/>
      <c r="J8045" s="11"/>
      <c r="U8045" s="9"/>
      <c r="X8045" s="9"/>
    </row>
    <row r="8046">
      <c r="D8046" s="9"/>
      <c r="G8046" s="9"/>
      <c r="J8046" s="11"/>
      <c r="U8046" s="9"/>
      <c r="X8046" s="9"/>
    </row>
    <row r="8047">
      <c r="D8047" s="9"/>
      <c r="G8047" s="9"/>
      <c r="J8047" s="11"/>
      <c r="U8047" s="9"/>
      <c r="X8047" s="9"/>
    </row>
    <row r="8048">
      <c r="D8048" s="9"/>
      <c r="G8048" s="9"/>
      <c r="J8048" s="11"/>
      <c r="U8048" s="9"/>
      <c r="X8048" s="9"/>
    </row>
    <row r="8049">
      <c r="D8049" s="9"/>
      <c r="G8049" s="9"/>
      <c r="J8049" s="11"/>
      <c r="U8049" s="9"/>
      <c r="X8049" s="9"/>
    </row>
    <row r="8050">
      <c r="D8050" s="9"/>
      <c r="G8050" s="9"/>
      <c r="J8050" s="11"/>
      <c r="U8050" s="9"/>
      <c r="X8050" s="9"/>
    </row>
    <row r="8051">
      <c r="D8051" s="9"/>
      <c r="G8051" s="9"/>
      <c r="J8051" s="11"/>
      <c r="U8051" s="9"/>
      <c r="X8051" s="9"/>
    </row>
    <row r="8052">
      <c r="D8052" s="9"/>
      <c r="G8052" s="9"/>
      <c r="J8052" s="11"/>
      <c r="U8052" s="9"/>
      <c r="X8052" s="9"/>
    </row>
    <row r="8053">
      <c r="D8053" s="9"/>
      <c r="G8053" s="9"/>
      <c r="J8053" s="11"/>
      <c r="U8053" s="9"/>
      <c r="X8053" s="9"/>
    </row>
    <row r="8054">
      <c r="D8054" s="9"/>
      <c r="G8054" s="9"/>
      <c r="J8054" s="11"/>
      <c r="U8054" s="9"/>
      <c r="X8054" s="9"/>
    </row>
    <row r="8055">
      <c r="D8055" s="9"/>
      <c r="G8055" s="9"/>
      <c r="J8055" s="11"/>
      <c r="U8055" s="9"/>
      <c r="X8055" s="9"/>
    </row>
    <row r="8056">
      <c r="D8056" s="9"/>
      <c r="G8056" s="9"/>
      <c r="J8056" s="11"/>
      <c r="U8056" s="9"/>
      <c r="X8056" s="9"/>
    </row>
    <row r="8057">
      <c r="D8057" s="9"/>
      <c r="G8057" s="9"/>
      <c r="J8057" s="11"/>
      <c r="U8057" s="9"/>
      <c r="X8057" s="9"/>
    </row>
    <row r="8058">
      <c r="D8058" s="9"/>
      <c r="G8058" s="9"/>
      <c r="J8058" s="11"/>
      <c r="U8058" s="9"/>
      <c r="X8058" s="9"/>
    </row>
    <row r="8059">
      <c r="D8059" s="9"/>
      <c r="G8059" s="9"/>
      <c r="J8059" s="11"/>
      <c r="U8059" s="9"/>
      <c r="X8059" s="9"/>
    </row>
    <row r="8060">
      <c r="D8060" s="9"/>
      <c r="G8060" s="9"/>
      <c r="J8060" s="11"/>
      <c r="U8060" s="9"/>
      <c r="X8060" s="9"/>
    </row>
    <row r="8061">
      <c r="D8061" s="9"/>
      <c r="G8061" s="9"/>
      <c r="J8061" s="11"/>
      <c r="U8061" s="9"/>
      <c r="X8061" s="9"/>
    </row>
    <row r="8062">
      <c r="D8062" s="9"/>
      <c r="G8062" s="9"/>
      <c r="J8062" s="11"/>
      <c r="U8062" s="9"/>
      <c r="X8062" s="9"/>
    </row>
    <row r="8063">
      <c r="D8063" s="9"/>
      <c r="G8063" s="9"/>
      <c r="J8063" s="11"/>
      <c r="U8063" s="9"/>
      <c r="X8063" s="9"/>
    </row>
    <row r="8064">
      <c r="D8064" s="9"/>
      <c r="G8064" s="9"/>
      <c r="J8064" s="11"/>
      <c r="U8064" s="9"/>
      <c r="X8064" s="9"/>
    </row>
    <row r="8065">
      <c r="D8065" s="9"/>
      <c r="G8065" s="9"/>
      <c r="J8065" s="11"/>
      <c r="U8065" s="9"/>
      <c r="X8065" s="9"/>
    </row>
    <row r="8066">
      <c r="D8066" s="9"/>
      <c r="G8066" s="9"/>
      <c r="J8066" s="11"/>
      <c r="U8066" s="9"/>
      <c r="X8066" s="9"/>
    </row>
    <row r="8067">
      <c r="D8067" s="9"/>
      <c r="G8067" s="9"/>
      <c r="J8067" s="11"/>
      <c r="U8067" s="9"/>
      <c r="X8067" s="9"/>
    </row>
    <row r="8068">
      <c r="D8068" s="9"/>
      <c r="G8068" s="9"/>
      <c r="J8068" s="11"/>
      <c r="U8068" s="9"/>
      <c r="X8068" s="9"/>
    </row>
    <row r="8069">
      <c r="D8069" s="9"/>
      <c r="G8069" s="9"/>
      <c r="J8069" s="11"/>
      <c r="U8069" s="9"/>
      <c r="X8069" s="9"/>
    </row>
    <row r="8070">
      <c r="D8070" s="9"/>
      <c r="G8070" s="9"/>
      <c r="J8070" s="11"/>
      <c r="U8070" s="9"/>
      <c r="X8070" s="9"/>
    </row>
    <row r="8071">
      <c r="D8071" s="9"/>
      <c r="G8071" s="9"/>
      <c r="J8071" s="11"/>
      <c r="U8071" s="9"/>
      <c r="X8071" s="9"/>
    </row>
    <row r="8072">
      <c r="D8072" s="9"/>
      <c r="G8072" s="9"/>
      <c r="J8072" s="11"/>
      <c r="U8072" s="9"/>
      <c r="X8072" s="9"/>
    </row>
    <row r="8073">
      <c r="D8073" s="9"/>
      <c r="G8073" s="9"/>
      <c r="J8073" s="11"/>
      <c r="U8073" s="9"/>
      <c r="X8073" s="9"/>
    </row>
    <row r="8074">
      <c r="D8074" s="9"/>
      <c r="G8074" s="9"/>
      <c r="J8074" s="11"/>
      <c r="U8074" s="9"/>
      <c r="X8074" s="9"/>
    </row>
    <row r="8075">
      <c r="D8075" s="9"/>
      <c r="G8075" s="9"/>
      <c r="J8075" s="11"/>
      <c r="U8075" s="9"/>
      <c r="X8075" s="9"/>
    </row>
    <row r="8076">
      <c r="D8076" s="9"/>
      <c r="G8076" s="9"/>
      <c r="J8076" s="11"/>
      <c r="U8076" s="9"/>
      <c r="X8076" s="9"/>
    </row>
    <row r="8077">
      <c r="D8077" s="9"/>
      <c r="G8077" s="9"/>
      <c r="J8077" s="11"/>
      <c r="U8077" s="9"/>
      <c r="X8077" s="9"/>
    </row>
    <row r="8078">
      <c r="D8078" s="9"/>
      <c r="G8078" s="9"/>
      <c r="J8078" s="11"/>
      <c r="U8078" s="9"/>
      <c r="X8078" s="9"/>
    </row>
    <row r="8079">
      <c r="D8079" s="9"/>
      <c r="G8079" s="9"/>
      <c r="J8079" s="11"/>
      <c r="U8079" s="9"/>
      <c r="X8079" s="9"/>
    </row>
    <row r="8080">
      <c r="D8080" s="9"/>
      <c r="G8080" s="9"/>
      <c r="J8080" s="11"/>
      <c r="U8080" s="9"/>
      <c r="X8080" s="9"/>
    </row>
    <row r="8081">
      <c r="D8081" s="9"/>
      <c r="G8081" s="9"/>
      <c r="J8081" s="11"/>
      <c r="U8081" s="9"/>
      <c r="X8081" s="9"/>
    </row>
    <row r="8082">
      <c r="D8082" s="9"/>
      <c r="G8082" s="9"/>
      <c r="J8082" s="11"/>
      <c r="U8082" s="9"/>
      <c r="X8082" s="9"/>
    </row>
    <row r="8083">
      <c r="D8083" s="9"/>
      <c r="G8083" s="9"/>
      <c r="J8083" s="11"/>
      <c r="U8083" s="9"/>
      <c r="X8083" s="9"/>
    </row>
    <row r="8084">
      <c r="D8084" s="9"/>
      <c r="G8084" s="9"/>
      <c r="J8084" s="11"/>
      <c r="U8084" s="9"/>
      <c r="X8084" s="9"/>
    </row>
    <row r="8085">
      <c r="D8085" s="9"/>
      <c r="G8085" s="9"/>
      <c r="J8085" s="11"/>
      <c r="U8085" s="9"/>
      <c r="X8085" s="9"/>
    </row>
    <row r="8086">
      <c r="D8086" s="9"/>
      <c r="G8086" s="9"/>
      <c r="J8086" s="11"/>
      <c r="U8086" s="9"/>
      <c r="X8086" s="9"/>
    </row>
    <row r="8087">
      <c r="D8087" s="9"/>
      <c r="G8087" s="9"/>
      <c r="J8087" s="11"/>
      <c r="U8087" s="9"/>
      <c r="X8087" s="9"/>
    </row>
    <row r="8088">
      <c r="D8088" s="9"/>
      <c r="G8088" s="9"/>
      <c r="J8088" s="11"/>
      <c r="U8088" s="9"/>
      <c r="X8088" s="9"/>
    </row>
    <row r="8089">
      <c r="D8089" s="9"/>
      <c r="G8089" s="9"/>
      <c r="J8089" s="11"/>
      <c r="U8089" s="9"/>
      <c r="X8089" s="9"/>
    </row>
    <row r="8090">
      <c r="D8090" s="9"/>
      <c r="G8090" s="9"/>
      <c r="J8090" s="11"/>
      <c r="U8090" s="9"/>
      <c r="X8090" s="9"/>
    </row>
    <row r="8091">
      <c r="D8091" s="9"/>
      <c r="G8091" s="9"/>
      <c r="J8091" s="11"/>
      <c r="U8091" s="9"/>
      <c r="X8091" s="9"/>
    </row>
    <row r="8092">
      <c r="D8092" s="9"/>
      <c r="G8092" s="9"/>
      <c r="J8092" s="11"/>
      <c r="U8092" s="9"/>
      <c r="X8092" s="9"/>
    </row>
    <row r="8093">
      <c r="D8093" s="9"/>
      <c r="G8093" s="9"/>
      <c r="J8093" s="11"/>
      <c r="U8093" s="9"/>
      <c r="X8093" s="9"/>
    </row>
    <row r="8094">
      <c r="D8094" s="9"/>
      <c r="G8094" s="9"/>
      <c r="J8094" s="11"/>
      <c r="U8094" s="9"/>
      <c r="X8094" s="9"/>
    </row>
    <row r="8095">
      <c r="D8095" s="9"/>
      <c r="G8095" s="9"/>
      <c r="J8095" s="11"/>
      <c r="U8095" s="9"/>
      <c r="X8095" s="9"/>
    </row>
    <row r="8096">
      <c r="D8096" s="9"/>
      <c r="G8096" s="9"/>
      <c r="J8096" s="11"/>
      <c r="U8096" s="9"/>
      <c r="X8096" s="9"/>
    </row>
    <row r="8097">
      <c r="D8097" s="9"/>
      <c r="G8097" s="9"/>
      <c r="J8097" s="11"/>
      <c r="U8097" s="9"/>
      <c r="X8097" s="9"/>
    </row>
    <row r="8098">
      <c r="D8098" s="9"/>
      <c r="G8098" s="9"/>
      <c r="J8098" s="11"/>
      <c r="U8098" s="9"/>
      <c r="X8098" s="9"/>
    </row>
    <row r="8099">
      <c r="D8099" s="9"/>
      <c r="G8099" s="9"/>
      <c r="J8099" s="11"/>
      <c r="U8099" s="9"/>
      <c r="X8099" s="9"/>
    </row>
    <row r="8100">
      <c r="D8100" s="9"/>
      <c r="G8100" s="9"/>
      <c r="J8100" s="11"/>
      <c r="U8100" s="9"/>
      <c r="X8100" s="9"/>
    </row>
    <row r="8101">
      <c r="D8101" s="9"/>
      <c r="G8101" s="9"/>
      <c r="J8101" s="11"/>
      <c r="U8101" s="9"/>
      <c r="X8101" s="9"/>
    </row>
    <row r="8102">
      <c r="D8102" s="9"/>
      <c r="G8102" s="9"/>
      <c r="J8102" s="11"/>
      <c r="U8102" s="9"/>
      <c r="X8102" s="9"/>
    </row>
    <row r="8103">
      <c r="D8103" s="9"/>
      <c r="G8103" s="9"/>
      <c r="J8103" s="11"/>
      <c r="U8103" s="9"/>
      <c r="X8103" s="9"/>
    </row>
    <row r="8104">
      <c r="D8104" s="9"/>
      <c r="G8104" s="9"/>
      <c r="J8104" s="11"/>
      <c r="U8104" s="9"/>
      <c r="X8104" s="9"/>
    </row>
    <row r="8105">
      <c r="D8105" s="9"/>
      <c r="G8105" s="9"/>
      <c r="J8105" s="11"/>
      <c r="U8105" s="9"/>
      <c r="X8105" s="9"/>
    </row>
    <row r="8106">
      <c r="D8106" s="9"/>
      <c r="G8106" s="9"/>
      <c r="J8106" s="11"/>
      <c r="U8106" s="9"/>
      <c r="X8106" s="9"/>
    </row>
    <row r="8107">
      <c r="D8107" s="9"/>
      <c r="G8107" s="9"/>
      <c r="J8107" s="11"/>
      <c r="U8107" s="9"/>
      <c r="X8107" s="9"/>
    </row>
    <row r="8108">
      <c r="D8108" s="9"/>
      <c r="G8108" s="9"/>
      <c r="J8108" s="11"/>
      <c r="U8108" s="9"/>
      <c r="X8108" s="9"/>
    </row>
    <row r="8109">
      <c r="D8109" s="9"/>
      <c r="G8109" s="9"/>
      <c r="J8109" s="11"/>
      <c r="U8109" s="9"/>
      <c r="X8109" s="9"/>
    </row>
    <row r="8110">
      <c r="D8110" s="9"/>
      <c r="G8110" s="9"/>
      <c r="J8110" s="11"/>
      <c r="U8110" s="9"/>
      <c r="X8110" s="9"/>
    </row>
    <row r="8111">
      <c r="D8111" s="9"/>
      <c r="G8111" s="9"/>
      <c r="J8111" s="11"/>
      <c r="U8111" s="9"/>
      <c r="X8111" s="9"/>
    </row>
    <row r="8112">
      <c r="D8112" s="9"/>
      <c r="G8112" s="9"/>
      <c r="J8112" s="11"/>
      <c r="U8112" s="9"/>
      <c r="X8112" s="9"/>
    </row>
    <row r="8113">
      <c r="D8113" s="9"/>
      <c r="G8113" s="9"/>
      <c r="J8113" s="11"/>
      <c r="U8113" s="9"/>
      <c r="X8113" s="9"/>
    </row>
    <row r="8114">
      <c r="D8114" s="9"/>
      <c r="G8114" s="9"/>
      <c r="J8114" s="11"/>
      <c r="U8114" s="9"/>
      <c r="X8114" s="9"/>
    </row>
    <row r="8115">
      <c r="D8115" s="9"/>
      <c r="G8115" s="9"/>
      <c r="J8115" s="11"/>
      <c r="U8115" s="9"/>
      <c r="X8115" s="9"/>
    </row>
    <row r="8116">
      <c r="D8116" s="9"/>
      <c r="G8116" s="9"/>
      <c r="J8116" s="11"/>
      <c r="U8116" s="9"/>
      <c r="X8116" s="9"/>
    </row>
    <row r="8117">
      <c r="D8117" s="9"/>
      <c r="G8117" s="9"/>
      <c r="J8117" s="11"/>
      <c r="U8117" s="9"/>
      <c r="X8117" s="9"/>
    </row>
    <row r="8118">
      <c r="D8118" s="9"/>
      <c r="G8118" s="9"/>
      <c r="J8118" s="11"/>
      <c r="U8118" s="9"/>
      <c r="X8118" s="9"/>
    </row>
    <row r="8119">
      <c r="D8119" s="9"/>
      <c r="G8119" s="9"/>
      <c r="J8119" s="11"/>
      <c r="U8119" s="9"/>
      <c r="X8119" s="9"/>
    </row>
    <row r="8120">
      <c r="D8120" s="9"/>
      <c r="G8120" s="9"/>
      <c r="J8120" s="11"/>
      <c r="U8120" s="9"/>
      <c r="X8120" s="9"/>
    </row>
    <row r="8121">
      <c r="D8121" s="9"/>
      <c r="G8121" s="9"/>
      <c r="J8121" s="11"/>
      <c r="U8121" s="9"/>
      <c r="X8121" s="9"/>
    </row>
    <row r="8122">
      <c r="D8122" s="9"/>
      <c r="G8122" s="9"/>
      <c r="J8122" s="11"/>
      <c r="U8122" s="9"/>
      <c r="X8122" s="9"/>
    </row>
    <row r="8123">
      <c r="D8123" s="9"/>
      <c r="G8123" s="9"/>
      <c r="J8123" s="11"/>
      <c r="U8123" s="9"/>
      <c r="X8123" s="9"/>
    </row>
    <row r="8124">
      <c r="D8124" s="9"/>
      <c r="G8124" s="9"/>
      <c r="J8124" s="11"/>
      <c r="U8124" s="9"/>
      <c r="X8124" s="9"/>
    </row>
    <row r="8125">
      <c r="D8125" s="9"/>
      <c r="G8125" s="9"/>
      <c r="J8125" s="11"/>
      <c r="U8125" s="9"/>
      <c r="X8125" s="9"/>
    </row>
    <row r="8126">
      <c r="D8126" s="9"/>
      <c r="G8126" s="9"/>
      <c r="J8126" s="11"/>
      <c r="U8126" s="9"/>
      <c r="X8126" s="9"/>
    </row>
    <row r="8127">
      <c r="D8127" s="9"/>
      <c r="G8127" s="9"/>
      <c r="J8127" s="11"/>
      <c r="U8127" s="9"/>
      <c r="X8127" s="9"/>
    </row>
    <row r="8128">
      <c r="D8128" s="9"/>
      <c r="G8128" s="9"/>
      <c r="J8128" s="11"/>
      <c r="U8128" s="9"/>
      <c r="X8128" s="9"/>
    </row>
    <row r="8129">
      <c r="D8129" s="9"/>
      <c r="G8129" s="9"/>
      <c r="J8129" s="11"/>
      <c r="U8129" s="9"/>
      <c r="X8129" s="9"/>
    </row>
    <row r="8130">
      <c r="D8130" s="9"/>
      <c r="G8130" s="9"/>
      <c r="J8130" s="11"/>
      <c r="U8130" s="9"/>
      <c r="X8130" s="9"/>
    </row>
    <row r="8131">
      <c r="D8131" s="9"/>
      <c r="G8131" s="9"/>
      <c r="J8131" s="11"/>
      <c r="U8131" s="9"/>
      <c r="X8131" s="9"/>
    </row>
    <row r="8132">
      <c r="D8132" s="9"/>
      <c r="G8132" s="9"/>
      <c r="J8132" s="11"/>
      <c r="U8132" s="9"/>
      <c r="X8132" s="9"/>
    </row>
    <row r="8133">
      <c r="D8133" s="9"/>
      <c r="G8133" s="9"/>
      <c r="J8133" s="11"/>
      <c r="U8133" s="9"/>
      <c r="X8133" s="9"/>
    </row>
    <row r="8134">
      <c r="D8134" s="9"/>
      <c r="G8134" s="9"/>
      <c r="J8134" s="11"/>
      <c r="U8134" s="9"/>
      <c r="X8134" s="9"/>
    </row>
    <row r="8135">
      <c r="D8135" s="9"/>
      <c r="G8135" s="9"/>
      <c r="J8135" s="11"/>
      <c r="U8135" s="9"/>
      <c r="X8135" s="9"/>
    </row>
    <row r="8136">
      <c r="D8136" s="9"/>
      <c r="G8136" s="9"/>
      <c r="J8136" s="11"/>
      <c r="U8136" s="9"/>
      <c r="X8136" s="9"/>
    </row>
    <row r="8137">
      <c r="D8137" s="9"/>
      <c r="G8137" s="9"/>
      <c r="J8137" s="11"/>
      <c r="U8137" s="9"/>
      <c r="X8137" s="9"/>
    </row>
    <row r="8138">
      <c r="D8138" s="9"/>
      <c r="G8138" s="9"/>
      <c r="J8138" s="11"/>
      <c r="U8138" s="9"/>
      <c r="X8138" s="9"/>
    </row>
    <row r="8139">
      <c r="D8139" s="9"/>
      <c r="G8139" s="9"/>
      <c r="J8139" s="11"/>
      <c r="U8139" s="9"/>
      <c r="X8139" s="9"/>
    </row>
    <row r="8140">
      <c r="D8140" s="9"/>
      <c r="G8140" s="9"/>
      <c r="J8140" s="11"/>
      <c r="U8140" s="9"/>
      <c r="X8140" s="9"/>
    </row>
    <row r="8141">
      <c r="D8141" s="9"/>
      <c r="G8141" s="9"/>
      <c r="J8141" s="11"/>
      <c r="U8141" s="9"/>
      <c r="X8141" s="9"/>
    </row>
    <row r="8142">
      <c r="D8142" s="9"/>
      <c r="G8142" s="9"/>
      <c r="J8142" s="11"/>
      <c r="U8142" s="9"/>
      <c r="X8142" s="9"/>
    </row>
    <row r="8143">
      <c r="D8143" s="9"/>
      <c r="G8143" s="9"/>
      <c r="J8143" s="11"/>
      <c r="U8143" s="9"/>
      <c r="X8143" s="9"/>
    </row>
    <row r="8144">
      <c r="D8144" s="9"/>
      <c r="G8144" s="9"/>
      <c r="J8144" s="11"/>
      <c r="U8144" s="9"/>
      <c r="X8144" s="9"/>
    </row>
    <row r="8145">
      <c r="D8145" s="9"/>
      <c r="G8145" s="9"/>
      <c r="J8145" s="11"/>
      <c r="U8145" s="9"/>
      <c r="X8145" s="9"/>
    </row>
    <row r="8146">
      <c r="D8146" s="9"/>
      <c r="G8146" s="9"/>
      <c r="J8146" s="11"/>
      <c r="U8146" s="9"/>
      <c r="X8146" s="9"/>
    </row>
    <row r="8147">
      <c r="D8147" s="9"/>
      <c r="G8147" s="9"/>
      <c r="J8147" s="11"/>
      <c r="U8147" s="9"/>
      <c r="X8147" s="9"/>
    </row>
    <row r="8148">
      <c r="D8148" s="9"/>
      <c r="G8148" s="9"/>
      <c r="J8148" s="11"/>
      <c r="U8148" s="9"/>
      <c r="X8148" s="9"/>
    </row>
    <row r="8149">
      <c r="D8149" s="9"/>
      <c r="G8149" s="9"/>
      <c r="J8149" s="11"/>
      <c r="U8149" s="9"/>
      <c r="X8149" s="9"/>
    </row>
    <row r="8150">
      <c r="D8150" s="9"/>
      <c r="G8150" s="9"/>
      <c r="J8150" s="11"/>
      <c r="U8150" s="9"/>
      <c r="X8150" s="9"/>
    </row>
    <row r="8151">
      <c r="D8151" s="9"/>
      <c r="G8151" s="9"/>
      <c r="J8151" s="11"/>
      <c r="U8151" s="9"/>
      <c r="X8151" s="9"/>
    </row>
    <row r="8152">
      <c r="D8152" s="9"/>
      <c r="G8152" s="9"/>
      <c r="J8152" s="11"/>
      <c r="U8152" s="9"/>
      <c r="X8152" s="9"/>
    </row>
    <row r="8153">
      <c r="D8153" s="9"/>
      <c r="G8153" s="9"/>
      <c r="J8153" s="11"/>
      <c r="U8153" s="9"/>
      <c r="X8153" s="9"/>
    </row>
    <row r="8154">
      <c r="D8154" s="9"/>
      <c r="G8154" s="9"/>
      <c r="J8154" s="11"/>
      <c r="U8154" s="9"/>
      <c r="X8154" s="9"/>
    </row>
    <row r="8155">
      <c r="D8155" s="9"/>
      <c r="G8155" s="9"/>
      <c r="J8155" s="11"/>
      <c r="U8155" s="9"/>
      <c r="X8155" s="9"/>
    </row>
    <row r="8156">
      <c r="D8156" s="9"/>
      <c r="G8156" s="9"/>
      <c r="J8156" s="11"/>
      <c r="U8156" s="9"/>
      <c r="X8156" s="9"/>
    </row>
    <row r="8157">
      <c r="D8157" s="9"/>
      <c r="G8157" s="9"/>
      <c r="J8157" s="11"/>
      <c r="U8157" s="9"/>
      <c r="X8157" s="9"/>
    </row>
    <row r="8158">
      <c r="D8158" s="9"/>
      <c r="G8158" s="9"/>
      <c r="J8158" s="11"/>
      <c r="U8158" s="9"/>
      <c r="X8158" s="9"/>
    </row>
    <row r="8159">
      <c r="D8159" s="9"/>
      <c r="G8159" s="9"/>
      <c r="J8159" s="11"/>
      <c r="U8159" s="9"/>
      <c r="X8159" s="9"/>
    </row>
    <row r="8160">
      <c r="D8160" s="9"/>
      <c r="G8160" s="9"/>
      <c r="J8160" s="11"/>
      <c r="U8160" s="9"/>
      <c r="X8160" s="9"/>
    </row>
    <row r="8161">
      <c r="D8161" s="9"/>
      <c r="G8161" s="9"/>
      <c r="J8161" s="11"/>
      <c r="U8161" s="9"/>
      <c r="X8161" s="9"/>
    </row>
    <row r="8162">
      <c r="D8162" s="9"/>
      <c r="G8162" s="9"/>
      <c r="J8162" s="11"/>
      <c r="U8162" s="9"/>
      <c r="X8162" s="9"/>
    </row>
    <row r="8163">
      <c r="D8163" s="9"/>
      <c r="G8163" s="9"/>
      <c r="J8163" s="11"/>
      <c r="U8163" s="9"/>
      <c r="X8163" s="9"/>
    </row>
    <row r="8164">
      <c r="D8164" s="9"/>
      <c r="G8164" s="9"/>
      <c r="J8164" s="11"/>
      <c r="U8164" s="9"/>
      <c r="X8164" s="9"/>
    </row>
    <row r="8165">
      <c r="D8165" s="9"/>
      <c r="G8165" s="9"/>
      <c r="J8165" s="11"/>
      <c r="U8165" s="9"/>
      <c r="X8165" s="9"/>
    </row>
    <row r="8166">
      <c r="D8166" s="9"/>
      <c r="G8166" s="9"/>
      <c r="J8166" s="11"/>
      <c r="U8166" s="9"/>
      <c r="X8166" s="9"/>
    </row>
    <row r="8167">
      <c r="D8167" s="9"/>
      <c r="G8167" s="9"/>
      <c r="J8167" s="11"/>
      <c r="U8167" s="9"/>
      <c r="X8167" s="9"/>
    </row>
    <row r="8168">
      <c r="D8168" s="9"/>
      <c r="G8168" s="9"/>
      <c r="J8168" s="11"/>
      <c r="U8168" s="9"/>
      <c r="X8168" s="9"/>
    </row>
    <row r="8169">
      <c r="D8169" s="9"/>
      <c r="G8169" s="9"/>
      <c r="J8169" s="11"/>
      <c r="U8169" s="9"/>
      <c r="X8169" s="9"/>
    </row>
    <row r="8170">
      <c r="D8170" s="9"/>
      <c r="G8170" s="9"/>
      <c r="J8170" s="11"/>
      <c r="U8170" s="9"/>
      <c r="X8170" s="9"/>
    </row>
    <row r="8171">
      <c r="D8171" s="9"/>
      <c r="G8171" s="9"/>
      <c r="J8171" s="11"/>
      <c r="U8171" s="9"/>
      <c r="X8171" s="9"/>
    </row>
    <row r="8172">
      <c r="D8172" s="9"/>
      <c r="G8172" s="9"/>
      <c r="J8172" s="11"/>
      <c r="U8172" s="9"/>
      <c r="X8172" s="9"/>
    </row>
    <row r="8173">
      <c r="D8173" s="9"/>
      <c r="G8173" s="9"/>
      <c r="J8173" s="11"/>
      <c r="U8173" s="9"/>
      <c r="X8173" s="9"/>
    </row>
    <row r="8174">
      <c r="D8174" s="9"/>
      <c r="G8174" s="9"/>
      <c r="J8174" s="11"/>
      <c r="U8174" s="9"/>
      <c r="X8174" s="9"/>
    </row>
    <row r="8175">
      <c r="D8175" s="9"/>
      <c r="G8175" s="9"/>
      <c r="J8175" s="11"/>
      <c r="U8175" s="9"/>
      <c r="X8175" s="9"/>
    </row>
    <row r="8176">
      <c r="D8176" s="9"/>
      <c r="G8176" s="9"/>
      <c r="J8176" s="11"/>
      <c r="U8176" s="9"/>
      <c r="X8176" s="9"/>
    </row>
    <row r="8177">
      <c r="D8177" s="9"/>
      <c r="G8177" s="9"/>
      <c r="J8177" s="11"/>
      <c r="U8177" s="9"/>
      <c r="X8177" s="9"/>
    </row>
    <row r="8178">
      <c r="D8178" s="9"/>
      <c r="G8178" s="9"/>
      <c r="J8178" s="11"/>
      <c r="U8178" s="9"/>
      <c r="X8178" s="9"/>
    </row>
    <row r="8179">
      <c r="D8179" s="9"/>
      <c r="G8179" s="9"/>
      <c r="J8179" s="11"/>
      <c r="U8179" s="9"/>
      <c r="X8179" s="9"/>
    </row>
    <row r="8180">
      <c r="D8180" s="9"/>
      <c r="G8180" s="9"/>
      <c r="J8180" s="11"/>
      <c r="U8180" s="9"/>
      <c r="X8180" s="9"/>
    </row>
    <row r="8181">
      <c r="D8181" s="9"/>
      <c r="G8181" s="9"/>
      <c r="J8181" s="11"/>
      <c r="U8181" s="9"/>
      <c r="X8181" s="9"/>
    </row>
    <row r="8182">
      <c r="D8182" s="9"/>
      <c r="G8182" s="9"/>
      <c r="J8182" s="11"/>
      <c r="U8182" s="9"/>
      <c r="X8182" s="9"/>
    </row>
    <row r="8183">
      <c r="D8183" s="9"/>
      <c r="G8183" s="9"/>
      <c r="J8183" s="11"/>
      <c r="U8183" s="9"/>
      <c r="X8183" s="9"/>
    </row>
    <row r="8184">
      <c r="D8184" s="9"/>
      <c r="G8184" s="9"/>
      <c r="J8184" s="11"/>
      <c r="U8184" s="9"/>
      <c r="X8184" s="9"/>
    </row>
    <row r="8185">
      <c r="D8185" s="9"/>
      <c r="G8185" s="9"/>
      <c r="J8185" s="11"/>
      <c r="U8185" s="9"/>
      <c r="X8185" s="9"/>
    </row>
    <row r="8186">
      <c r="D8186" s="9"/>
      <c r="G8186" s="9"/>
      <c r="J8186" s="11"/>
      <c r="U8186" s="9"/>
      <c r="X8186" s="9"/>
    </row>
    <row r="8187">
      <c r="D8187" s="9"/>
      <c r="G8187" s="9"/>
      <c r="J8187" s="11"/>
      <c r="U8187" s="9"/>
      <c r="X8187" s="9"/>
    </row>
    <row r="8188">
      <c r="D8188" s="9"/>
      <c r="G8188" s="9"/>
      <c r="J8188" s="11"/>
      <c r="U8188" s="9"/>
      <c r="X8188" s="9"/>
    </row>
    <row r="8189">
      <c r="D8189" s="9"/>
      <c r="G8189" s="9"/>
      <c r="J8189" s="11"/>
      <c r="U8189" s="9"/>
      <c r="X8189" s="9"/>
    </row>
    <row r="8190">
      <c r="D8190" s="9"/>
      <c r="G8190" s="9"/>
      <c r="J8190" s="11"/>
      <c r="U8190" s="9"/>
      <c r="X8190" s="9"/>
    </row>
    <row r="8191">
      <c r="D8191" s="9"/>
      <c r="G8191" s="9"/>
      <c r="J8191" s="11"/>
      <c r="U8191" s="9"/>
      <c r="X8191" s="9"/>
    </row>
    <row r="8192">
      <c r="D8192" s="9"/>
      <c r="G8192" s="9"/>
      <c r="J8192" s="11"/>
      <c r="U8192" s="9"/>
      <c r="X8192" s="9"/>
    </row>
    <row r="8193">
      <c r="D8193" s="9"/>
      <c r="G8193" s="9"/>
      <c r="J8193" s="11"/>
      <c r="U8193" s="9"/>
      <c r="X8193" s="9"/>
    </row>
    <row r="8194">
      <c r="D8194" s="9"/>
      <c r="G8194" s="9"/>
      <c r="J8194" s="11"/>
      <c r="U8194" s="9"/>
      <c r="X8194" s="9"/>
    </row>
    <row r="8195">
      <c r="D8195" s="9"/>
      <c r="G8195" s="9"/>
      <c r="J8195" s="11"/>
      <c r="U8195" s="9"/>
      <c r="X8195" s="9"/>
    </row>
    <row r="8196">
      <c r="D8196" s="9"/>
      <c r="G8196" s="9"/>
      <c r="J8196" s="11"/>
      <c r="U8196" s="9"/>
      <c r="X8196" s="9"/>
    </row>
    <row r="8197">
      <c r="D8197" s="9"/>
      <c r="G8197" s="9"/>
      <c r="J8197" s="11"/>
      <c r="U8197" s="9"/>
      <c r="X8197" s="9"/>
    </row>
    <row r="8198">
      <c r="D8198" s="9"/>
      <c r="G8198" s="9"/>
      <c r="J8198" s="11"/>
      <c r="U8198" s="9"/>
      <c r="X8198" s="9"/>
    </row>
    <row r="8199">
      <c r="D8199" s="9"/>
      <c r="G8199" s="9"/>
      <c r="J8199" s="11"/>
      <c r="U8199" s="9"/>
      <c r="X8199" s="9"/>
    </row>
    <row r="8200">
      <c r="D8200" s="9"/>
      <c r="G8200" s="9"/>
      <c r="J8200" s="11"/>
      <c r="U8200" s="9"/>
      <c r="X8200" s="9"/>
    </row>
    <row r="8201">
      <c r="D8201" s="9"/>
      <c r="G8201" s="9"/>
      <c r="J8201" s="11"/>
      <c r="U8201" s="9"/>
      <c r="X8201" s="9"/>
    </row>
    <row r="8202">
      <c r="D8202" s="9"/>
      <c r="G8202" s="9"/>
      <c r="J8202" s="11"/>
      <c r="U8202" s="9"/>
      <c r="X8202" s="9"/>
    </row>
    <row r="8203">
      <c r="D8203" s="9"/>
      <c r="G8203" s="9"/>
      <c r="J8203" s="11"/>
      <c r="U8203" s="9"/>
      <c r="X8203" s="9"/>
    </row>
    <row r="8204">
      <c r="D8204" s="9"/>
      <c r="G8204" s="9"/>
      <c r="J8204" s="11"/>
      <c r="U8204" s="9"/>
      <c r="X8204" s="9"/>
    </row>
    <row r="8205">
      <c r="D8205" s="9"/>
      <c r="G8205" s="9"/>
      <c r="J8205" s="11"/>
      <c r="U8205" s="9"/>
      <c r="X8205" s="9"/>
    </row>
    <row r="8206">
      <c r="D8206" s="9"/>
      <c r="G8206" s="9"/>
      <c r="J8206" s="11"/>
      <c r="U8206" s="9"/>
      <c r="X8206" s="9"/>
    </row>
    <row r="8207">
      <c r="D8207" s="9"/>
      <c r="G8207" s="9"/>
      <c r="J8207" s="11"/>
      <c r="U8207" s="9"/>
      <c r="X8207" s="9"/>
    </row>
    <row r="8208">
      <c r="D8208" s="9"/>
      <c r="G8208" s="9"/>
      <c r="J8208" s="11"/>
      <c r="U8208" s="9"/>
      <c r="X8208" s="9"/>
    </row>
    <row r="8209">
      <c r="D8209" s="9"/>
      <c r="G8209" s="9"/>
      <c r="J8209" s="11"/>
      <c r="U8209" s="9"/>
      <c r="X8209" s="9"/>
    </row>
    <row r="8210">
      <c r="D8210" s="9"/>
      <c r="G8210" s="9"/>
      <c r="J8210" s="11"/>
      <c r="U8210" s="9"/>
      <c r="X8210" s="9"/>
    </row>
    <row r="8211">
      <c r="D8211" s="9"/>
      <c r="G8211" s="9"/>
      <c r="J8211" s="11"/>
      <c r="U8211" s="9"/>
      <c r="X8211" s="9"/>
    </row>
    <row r="8212">
      <c r="D8212" s="9"/>
      <c r="G8212" s="9"/>
      <c r="J8212" s="11"/>
      <c r="U8212" s="9"/>
      <c r="X8212" s="9"/>
    </row>
    <row r="8213">
      <c r="D8213" s="9"/>
      <c r="G8213" s="9"/>
      <c r="J8213" s="11"/>
      <c r="U8213" s="9"/>
      <c r="X8213" s="9"/>
    </row>
    <row r="8214">
      <c r="D8214" s="9"/>
      <c r="G8214" s="9"/>
      <c r="J8214" s="11"/>
      <c r="U8214" s="9"/>
      <c r="X8214" s="9"/>
    </row>
    <row r="8215">
      <c r="D8215" s="9"/>
      <c r="G8215" s="9"/>
      <c r="J8215" s="11"/>
      <c r="U8215" s="9"/>
      <c r="X8215" s="9"/>
    </row>
    <row r="8216">
      <c r="D8216" s="9"/>
      <c r="G8216" s="9"/>
      <c r="J8216" s="11"/>
      <c r="U8216" s="9"/>
      <c r="X8216" s="9"/>
    </row>
    <row r="8217">
      <c r="D8217" s="9"/>
      <c r="G8217" s="9"/>
      <c r="J8217" s="11"/>
      <c r="U8217" s="9"/>
      <c r="X8217" s="9"/>
    </row>
    <row r="8218">
      <c r="D8218" s="9"/>
      <c r="G8218" s="9"/>
      <c r="J8218" s="11"/>
      <c r="U8218" s="9"/>
      <c r="X8218" s="9"/>
    </row>
    <row r="8219">
      <c r="D8219" s="9"/>
      <c r="G8219" s="9"/>
      <c r="J8219" s="11"/>
      <c r="U8219" s="9"/>
      <c r="X8219" s="9"/>
    </row>
    <row r="8220">
      <c r="D8220" s="9"/>
      <c r="G8220" s="9"/>
      <c r="J8220" s="11"/>
      <c r="U8220" s="9"/>
      <c r="X8220" s="9"/>
    </row>
    <row r="8221">
      <c r="D8221" s="9"/>
      <c r="G8221" s="9"/>
      <c r="J8221" s="11"/>
      <c r="U8221" s="9"/>
      <c r="X8221" s="9"/>
    </row>
    <row r="8222">
      <c r="D8222" s="9"/>
      <c r="G8222" s="9"/>
      <c r="J8222" s="11"/>
      <c r="U8222" s="9"/>
      <c r="X8222" s="9"/>
    </row>
    <row r="8223">
      <c r="D8223" s="9"/>
      <c r="G8223" s="9"/>
      <c r="J8223" s="11"/>
      <c r="U8223" s="9"/>
      <c r="X8223" s="9"/>
    </row>
    <row r="8224">
      <c r="D8224" s="9"/>
      <c r="G8224" s="9"/>
      <c r="J8224" s="11"/>
      <c r="U8224" s="9"/>
      <c r="X8224" s="9"/>
    </row>
    <row r="8225">
      <c r="D8225" s="9"/>
      <c r="G8225" s="9"/>
      <c r="J8225" s="11"/>
      <c r="U8225" s="9"/>
      <c r="X8225" s="9"/>
    </row>
    <row r="8226">
      <c r="D8226" s="9"/>
      <c r="G8226" s="9"/>
      <c r="J8226" s="11"/>
      <c r="U8226" s="9"/>
      <c r="X8226" s="9"/>
    </row>
    <row r="8227">
      <c r="D8227" s="9"/>
      <c r="G8227" s="9"/>
      <c r="J8227" s="11"/>
      <c r="U8227" s="9"/>
      <c r="X8227" s="9"/>
    </row>
    <row r="8228">
      <c r="D8228" s="9"/>
      <c r="G8228" s="9"/>
      <c r="J8228" s="11"/>
      <c r="U8228" s="9"/>
      <c r="X8228" s="9"/>
    </row>
    <row r="8229">
      <c r="D8229" s="9"/>
      <c r="G8229" s="9"/>
      <c r="J8229" s="11"/>
      <c r="U8229" s="9"/>
      <c r="X8229" s="9"/>
    </row>
    <row r="8230">
      <c r="D8230" s="9"/>
      <c r="G8230" s="9"/>
      <c r="J8230" s="11"/>
      <c r="U8230" s="9"/>
      <c r="X8230" s="9"/>
    </row>
    <row r="8231">
      <c r="D8231" s="9"/>
      <c r="G8231" s="9"/>
      <c r="J8231" s="11"/>
      <c r="U8231" s="9"/>
      <c r="X8231" s="9"/>
    </row>
    <row r="8232">
      <c r="D8232" s="9"/>
      <c r="G8232" s="9"/>
      <c r="J8232" s="11"/>
      <c r="U8232" s="9"/>
      <c r="X8232" s="9"/>
    </row>
    <row r="8233">
      <c r="D8233" s="9"/>
      <c r="G8233" s="9"/>
      <c r="J8233" s="11"/>
      <c r="U8233" s="9"/>
      <c r="X8233" s="9"/>
    </row>
    <row r="8234">
      <c r="D8234" s="9"/>
      <c r="G8234" s="9"/>
      <c r="J8234" s="11"/>
      <c r="U8234" s="9"/>
      <c r="X8234" s="9"/>
    </row>
    <row r="8235">
      <c r="D8235" s="9"/>
      <c r="G8235" s="9"/>
      <c r="J8235" s="11"/>
      <c r="U8235" s="9"/>
      <c r="X8235" s="9"/>
    </row>
    <row r="8236">
      <c r="D8236" s="9"/>
      <c r="G8236" s="9"/>
      <c r="J8236" s="11"/>
      <c r="U8236" s="9"/>
      <c r="X8236" s="9"/>
    </row>
    <row r="8237">
      <c r="D8237" s="9"/>
      <c r="G8237" s="9"/>
      <c r="J8237" s="11"/>
      <c r="U8237" s="9"/>
      <c r="X8237" s="9"/>
    </row>
    <row r="8238">
      <c r="D8238" s="9"/>
      <c r="G8238" s="9"/>
      <c r="J8238" s="11"/>
      <c r="U8238" s="9"/>
      <c r="X8238" s="9"/>
    </row>
    <row r="8239">
      <c r="D8239" s="9"/>
      <c r="G8239" s="9"/>
      <c r="J8239" s="11"/>
      <c r="U8239" s="9"/>
      <c r="X8239" s="9"/>
    </row>
    <row r="8240">
      <c r="D8240" s="9"/>
      <c r="G8240" s="9"/>
      <c r="J8240" s="11"/>
      <c r="U8240" s="9"/>
      <c r="X8240" s="9"/>
    </row>
    <row r="8241">
      <c r="D8241" s="9"/>
      <c r="G8241" s="9"/>
      <c r="J8241" s="11"/>
      <c r="U8241" s="9"/>
      <c r="X8241" s="9"/>
    </row>
    <row r="8242">
      <c r="D8242" s="9"/>
      <c r="G8242" s="9"/>
      <c r="J8242" s="11"/>
      <c r="U8242" s="9"/>
      <c r="X8242" s="9"/>
    </row>
    <row r="8243">
      <c r="D8243" s="9"/>
      <c r="G8243" s="9"/>
      <c r="J8243" s="11"/>
      <c r="U8243" s="9"/>
      <c r="X8243" s="9"/>
    </row>
    <row r="8244">
      <c r="D8244" s="9"/>
      <c r="G8244" s="9"/>
      <c r="J8244" s="11"/>
      <c r="U8244" s="9"/>
      <c r="X8244" s="9"/>
    </row>
    <row r="8245">
      <c r="D8245" s="9"/>
      <c r="G8245" s="9"/>
      <c r="J8245" s="11"/>
      <c r="U8245" s="9"/>
      <c r="X8245" s="9"/>
    </row>
    <row r="8246">
      <c r="D8246" s="9"/>
      <c r="G8246" s="9"/>
      <c r="J8246" s="11"/>
      <c r="U8246" s="9"/>
      <c r="X8246" s="9"/>
    </row>
    <row r="8247">
      <c r="D8247" s="9"/>
      <c r="G8247" s="9"/>
      <c r="J8247" s="11"/>
      <c r="U8247" s="9"/>
      <c r="X8247" s="9"/>
    </row>
    <row r="8248">
      <c r="D8248" s="9"/>
      <c r="G8248" s="9"/>
      <c r="J8248" s="11"/>
      <c r="U8248" s="9"/>
      <c r="X8248" s="9"/>
    </row>
    <row r="8249">
      <c r="D8249" s="9"/>
      <c r="G8249" s="9"/>
      <c r="J8249" s="11"/>
      <c r="U8249" s="9"/>
      <c r="X8249" s="9"/>
    </row>
    <row r="8250">
      <c r="D8250" s="9"/>
      <c r="G8250" s="9"/>
      <c r="J8250" s="11"/>
      <c r="U8250" s="9"/>
      <c r="X8250" s="9"/>
    </row>
    <row r="8251">
      <c r="D8251" s="9"/>
      <c r="G8251" s="9"/>
      <c r="J8251" s="11"/>
      <c r="U8251" s="9"/>
      <c r="X8251" s="9"/>
    </row>
    <row r="8252">
      <c r="D8252" s="9"/>
      <c r="G8252" s="9"/>
      <c r="J8252" s="11"/>
      <c r="U8252" s="9"/>
      <c r="X8252" s="9"/>
    </row>
    <row r="8253">
      <c r="D8253" s="9"/>
      <c r="G8253" s="9"/>
      <c r="J8253" s="11"/>
      <c r="U8253" s="9"/>
      <c r="X8253" s="9"/>
    </row>
    <row r="8254">
      <c r="D8254" s="9"/>
      <c r="G8254" s="9"/>
      <c r="J8254" s="11"/>
      <c r="U8254" s="9"/>
      <c r="X8254" s="9"/>
    </row>
    <row r="8255">
      <c r="D8255" s="9"/>
      <c r="G8255" s="9"/>
      <c r="J8255" s="11"/>
      <c r="U8255" s="9"/>
      <c r="X8255" s="9"/>
    </row>
    <row r="8256">
      <c r="D8256" s="9"/>
      <c r="G8256" s="9"/>
      <c r="J8256" s="11"/>
      <c r="U8256" s="9"/>
      <c r="X8256" s="9"/>
    </row>
    <row r="8257">
      <c r="D8257" s="9"/>
      <c r="G8257" s="9"/>
      <c r="J8257" s="11"/>
      <c r="U8257" s="9"/>
      <c r="X8257" s="9"/>
    </row>
    <row r="8258">
      <c r="D8258" s="9"/>
      <c r="G8258" s="9"/>
      <c r="J8258" s="11"/>
      <c r="U8258" s="9"/>
      <c r="X8258" s="9"/>
    </row>
    <row r="8259">
      <c r="D8259" s="9"/>
      <c r="G8259" s="9"/>
      <c r="J8259" s="11"/>
      <c r="U8259" s="9"/>
      <c r="X8259" s="9"/>
    </row>
    <row r="8260">
      <c r="D8260" s="9"/>
      <c r="G8260" s="9"/>
      <c r="J8260" s="11"/>
      <c r="U8260" s="9"/>
      <c r="X8260" s="9"/>
    </row>
    <row r="8261">
      <c r="D8261" s="9"/>
      <c r="G8261" s="9"/>
      <c r="J8261" s="11"/>
      <c r="U8261" s="9"/>
      <c r="X8261" s="9"/>
    </row>
    <row r="8262">
      <c r="D8262" s="9"/>
      <c r="G8262" s="9"/>
      <c r="J8262" s="11"/>
      <c r="U8262" s="9"/>
      <c r="X8262" s="9"/>
    </row>
    <row r="8263">
      <c r="D8263" s="9"/>
      <c r="G8263" s="9"/>
      <c r="J8263" s="11"/>
      <c r="U8263" s="9"/>
      <c r="X8263" s="9"/>
    </row>
    <row r="8264">
      <c r="D8264" s="9"/>
      <c r="G8264" s="9"/>
      <c r="J8264" s="11"/>
      <c r="U8264" s="9"/>
      <c r="X8264" s="9"/>
    </row>
    <row r="8265">
      <c r="D8265" s="9"/>
      <c r="G8265" s="9"/>
      <c r="J8265" s="11"/>
      <c r="U8265" s="9"/>
      <c r="X8265" s="9"/>
    </row>
    <row r="8266">
      <c r="D8266" s="9"/>
      <c r="G8266" s="9"/>
      <c r="J8266" s="11"/>
      <c r="U8266" s="9"/>
      <c r="X8266" s="9"/>
    </row>
    <row r="8267">
      <c r="D8267" s="9"/>
      <c r="G8267" s="9"/>
      <c r="J8267" s="11"/>
      <c r="U8267" s="9"/>
      <c r="X8267" s="9"/>
    </row>
    <row r="8268">
      <c r="D8268" s="9"/>
      <c r="G8268" s="9"/>
      <c r="J8268" s="11"/>
      <c r="U8268" s="9"/>
      <c r="X8268" s="9"/>
    </row>
    <row r="8269">
      <c r="D8269" s="9"/>
      <c r="G8269" s="9"/>
      <c r="J8269" s="11"/>
      <c r="U8269" s="9"/>
      <c r="X8269" s="9"/>
    </row>
    <row r="8270">
      <c r="D8270" s="9"/>
      <c r="G8270" s="9"/>
      <c r="J8270" s="11"/>
      <c r="U8270" s="9"/>
      <c r="X8270" s="9"/>
    </row>
    <row r="8271">
      <c r="D8271" s="9"/>
      <c r="G8271" s="9"/>
      <c r="J8271" s="11"/>
      <c r="U8271" s="9"/>
      <c r="X8271" s="9"/>
    </row>
    <row r="8272">
      <c r="D8272" s="9"/>
      <c r="G8272" s="9"/>
      <c r="J8272" s="11"/>
      <c r="U8272" s="9"/>
      <c r="X8272" s="9"/>
    </row>
    <row r="8273">
      <c r="D8273" s="9"/>
      <c r="G8273" s="9"/>
      <c r="J8273" s="11"/>
      <c r="U8273" s="9"/>
      <c r="X8273" s="9"/>
    </row>
    <row r="8274">
      <c r="D8274" s="9"/>
      <c r="G8274" s="9"/>
      <c r="J8274" s="11"/>
      <c r="U8274" s="9"/>
      <c r="X8274" s="9"/>
    </row>
    <row r="8275">
      <c r="D8275" s="9"/>
      <c r="G8275" s="9"/>
      <c r="J8275" s="11"/>
      <c r="U8275" s="9"/>
      <c r="X8275" s="9"/>
    </row>
    <row r="8276">
      <c r="D8276" s="9"/>
      <c r="G8276" s="9"/>
      <c r="J8276" s="11"/>
      <c r="U8276" s="9"/>
      <c r="X8276" s="9"/>
    </row>
    <row r="8277">
      <c r="D8277" s="9"/>
      <c r="G8277" s="9"/>
      <c r="J8277" s="11"/>
      <c r="U8277" s="9"/>
      <c r="X8277" s="9"/>
    </row>
    <row r="8278">
      <c r="D8278" s="9"/>
      <c r="G8278" s="9"/>
      <c r="J8278" s="11"/>
      <c r="U8278" s="9"/>
      <c r="X8278" s="9"/>
    </row>
    <row r="8279">
      <c r="D8279" s="9"/>
      <c r="G8279" s="9"/>
      <c r="J8279" s="11"/>
      <c r="U8279" s="9"/>
      <c r="X8279" s="9"/>
    </row>
    <row r="8280">
      <c r="D8280" s="9"/>
      <c r="G8280" s="9"/>
      <c r="J8280" s="11"/>
      <c r="U8280" s="9"/>
      <c r="X8280" s="9"/>
    </row>
    <row r="8281">
      <c r="D8281" s="9"/>
      <c r="G8281" s="9"/>
      <c r="J8281" s="11"/>
      <c r="U8281" s="9"/>
      <c r="X8281" s="9"/>
    </row>
    <row r="8282">
      <c r="D8282" s="9"/>
      <c r="G8282" s="9"/>
      <c r="J8282" s="11"/>
      <c r="U8282" s="9"/>
      <c r="X8282" s="9"/>
    </row>
    <row r="8283">
      <c r="D8283" s="9"/>
      <c r="G8283" s="9"/>
      <c r="J8283" s="11"/>
      <c r="U8283" s="9"/>
      <c r="X8283" s="9"/>
    </row>
    <row r="8284">
      <c r="D8284" s="9"/>
      <c r="G8284" s="9"/>
      <c r="J8284" s="11"/>
      <c r="U8284" s="9"/>
      <c r="X8284" s="9"/>
    </row>
    <row r="8285">
      <c r="D8285" s="9"/>
      <c r="G8285" s="9"/>
      <c r="J8285" s="11"/>
      <c r="U8285" s="9"/>
      <c r="X8285" s="9"/>
    </row>
    <row r="8286">
      <c r="D8286" s="9"/>
      <c r="G8286" s="9"/>
      <c r="J8286" s="11"/>
      <c r="U8286" s="9"/>
      <c r="X8286" s="9"/>
    </row>
    <row r="8287">
      <c r="D8287" s="9"/>
      <c r="G8287" s="9"/>
      <c r="J8287" s="11"/>
      <c r="U8287" s="9"/>
      <c r="X8287" s="9"/>
    </row>
    <row r="8288">
      <c r="D8288" s="9"/>
      <c r="G8288" s="9"/>
      <c r="J8288" s="11"/>
      <c r="U8288" s="9"/>
      <c r="X8288" s="9"/>
    </row>
    <row r="8289">
      <c r="D8289" s="9"/>
      <c r="G8289" s="9"/>
      <c r="J8289" s="11"/>
      <c r="U8289" s="9"/>
      <c r="X8289" s="9"/>
    </row>
    <row r="8290">
      <c r="D8290" s="9"/>
      <c r="G8290" s="9"/>
      <c r="J8290" s="11"/>
      <c r="U8290" s="9"/>
      <c r="X8290" s="9"/>
    </row>
    <row r="8291">
      <c r="D8291" s="9"/>
      <c r="G8291" s="9"/>
      <c r="J8291" s="11"/>
      <c r="U8291" s="9"/>
      <c r="X8291" s="9"/>
    </row>
    <row r="8292">
      <c r="D8292" s="9"/>
      <c r="G8292" s="9"/>
      <c r="J8292" s="11"/>
      <c r="U8292" s="9"/>
      <c r="X8292" s="9"/>
    </row>
    <row r="8293">
      <c r="D8293" s="9"/>
      <c r="G8293" s="9"/>
      <c r="J8293" s="11"/>
      <c r="U8293" s="9"/>
      <c r="X8293" s="9"/>
    </row>
    <row r="8294">
      <c r="D8294" s="9"/>
      <c r="G8294" s="9"/>
      <c r="J8294" s="11"/>
      <c r="U8294" s="9"/>
      <c r="X8294" s="9"/>
    </row>
    <row r="8295">
      <c r="D8295" s="9"/>
      <c r="G8295" s="9"/>
      <c r="J8295" s="11"/>
      <c r="U8295" s="9"/>
      <c r="X8295" s="9"/>
    </row>
    <row r="8296">
      <c r="D8296" s="9"/>
      <c r="G8296" s="9"/>
      <c r="J8296" s="11"/>
      <c r="U8296" s="9"/>
      <c r="X8296" s="9"/>
    </row>
    <row r="8297">
      <c r="D8297" s="9"/>
      <c r="G8297" s="9"/>
      <c r="J8297" s="11"/>
      <c r="U8297" s="9"/>
      <c r="X8297" s="9"/>
    </row>
    <row r="8298">
      <c r="D8298" s="9"/>
      <c r="G8298" s="9"/>
      <c r="J8298" s="11"/>
      <c r="U8298" s="9"/>
      <c r="X8298" s="9"/>
    </row>
    <row r="8299">
      <c r="D8299" s="9"/>
      <c r="G8299" s="9"/>
      <c r="J8299" s="11"/>
      <c r="U8299" s="9"/>
      <c r="X8299" s="9"/>
    </row>
    <row r="8300">
      <c r="D8300" s="9"/>
      <c r="G8300" s="9"/>
      <c r="J8300" s="11"/>
      <c r="U8300" s="9"/>
      <c r="X8300" s="9"/>
    </row>
    <row r="8301">
      <c r="D8301" s="9"/>
      <c r="G8301" s="9"/>
      <c r="J8301" s="11"/>
      <c r="U8301" s="9"/>
      <c r="X8301" s="9"/>
    </row>
    <row r="8302">
      <c r="D8302" s="9"/>
      <c r="G8302" s="9"/>
      <c r="J8302" s="11"/>
      <c r="U8302" s="9"/>
      <c r="X8302" s="9"/>
    </row>
    <row r="8303">
      <c r="D8303" s="9"/>
      <c r="G8303" s="9"/>
      <c r="J8303" s="11"/>
      <c r="U8303" s="9"/>
      <c r="X8303" s="9"/>
    </row>
    <row r="8304">
      <c r="D8304" s="9"/>
      <c r="G8304" s="9"/>
      <c r="J8304" s="11"/>
      <c r="U8304" s="9"/>
      <c r="X8304" s="9"/>
    </row>
    <row r="8305">
      <c r="D8305" s="9"/>
      <c r="G8305" s="9"/>
      <c r="J8305" s="11"/>
      <c r="U8305" s="9"/>
      <c r="X8305" s="9"/>
    </row>
    <row r="8306">
      <c r="D8306" s="9"/>
      <c r="G8306" s="9"/>
      <c r="J8306" s="11"/>
      <c r="U8306" s="9"/>
      <c r="X8306" s="9"/>
    </row>
    <row r="8307">
      <c r="D8307" s="9"/>
      <c r="G8307" s="9"/>
      <c r="J8307" s="11"/>
      <c r="U8307" s="9"/>
      <c r="X8307" s="9"/>
    </row>
    <row r="8308">
      <c r="D8308" s="9"/>
      <c r="G8308" s="9"/>
      <c r="J8308" s="11"/>
      <c r="U8308" s="9"/>
      <c r="X8308" s="9"/>
    </row>
    <row r="8309">
      <c r="D8309" s="9"/>
      <c r="G8309" s="9"/>
      <c r="J8309" s="11"/>
      <c r="U8309" s="9"/>
      <c r="X8309" s="9"/>
    </row>
    <row r="8310">
      <c r="D8310" s="9"/>
      <c r="G8310" s="9"/>
      <c r="J8310" s="11"/>
      <c r="U8310" s="9"/>
      <c r="X8310" s="9"/>
    </row>
    <row r="8311">
      <c r="D8311" s="9"/>
      <c r="G8311" s="9"/>
      <c r="J8311" s="11"/>
      <c r="U8311" s="9"/>
      <c r="X8311" s="9"/>
    </row>
    <row r="8312">
      <c r="D8312" s="9"/>
      <c r="G8312" s="9"/>
      <c r="J8312" s="11"/>
      <c r="U8312" s="9"/>
      <c r="X8312" s="9"/>
    </row>
    <row r="8313">
      <c r="D8313" s="9"/>
      <c r="G8313" s="9"/>
      <c r="J8313" s="11"/>
      <c r="U8313" s="9"/>
      <c r="X8313" s="9"/>
    </row>
    <row r="8314">
      <c r="D8314" s="9"/>
      <c r="G8314" s="9"/>
      <c r="J8314" s="11"/>
      <c r="U8314" s="9"/>
      <c r="X8314" s="9"/>
    </row>
    <row r="8315">
      <c r="D8315" s="9"/>
      <c r="G8315" s="9"/>
      <c r="J8315" s="11"/>
      <c r="U8315" s="9"/>
      <c r="X8315" s="9"/>
    </row>
    <row r="8316">
      <c r="D8316" s="9"/>
      <c r="G8316" s="9"/>
      <c r="J8316" s="11"/>
      <c r="U8316" s="9"/>
      <c r="X8316" s="9"/>
    </row>
    <row r="8317">
      <c r="D8317" s="9"/>
      <c r="G8317" s="9"/>
      <c r="J8317" s="11"/>
      <c r="U8317" s="9"/>
      <c r="X8317" s="9"/>
    </row>
    <row r="8318">
      <c r="D8318" s="9"/>
      <c r="G8318" s="9"/>
      <c r="J8318" s="11"/>
      <c r="U8318" s="9"/>
      <c r="X8318" s="9"/>
    </row>
    <row r="8319">
      <c r="D8319" s="9"/>
      <c r="G8319" s="9"/>
      <c r="J8319" s="11"/>
      <c r="U8319" s="9"/>
      <c r="X8319" s="9"/>
    </row>
    <row r="8320">
      <c r="D8320" s="9"/>
      <c r="G8320" s="9"/>
      <c r="J8320" s="11"/>
      <c r="U8320" s="9"/>
      <c r="X8320" s="9"/>
    </row>
    <row r="8321">
      <c r="D8321" s="9"/>
      <c r="G8321" s="9"/>
      <c r="J8321" s="11"/>
      <c r="U8321" s="9"/>
      <c r="X8321" s="9"/>
    </row>
    <row r="8322">
      <c r="D8322" s="9"/>
      <c r="G8322" s="9"/>
      <c r="J8322" s="11"/>
      <c r="U8322" s="9"/>
      <c r="X8322" s="9"/>
    </row>
    <row r="8323">
      <c r="D8323" s="9"/>
      <c r="G8323" s="9"/>
      <c r="J8323" s="11"/>
      <c r="U8323" s="9"/>
      <c r="X8323" s="9"/>
    </row>
    <row r="8324">
      <c r="D8324" s="9"/>
      <c r="G8324" s="9"/>
      <c r="J8324" s="11"/>
      <c r="U8324" s="9"/>
      <c r="X8324" s="9"/>
    </row>
    <row r="8325">
      <c r="D8325" s="9"/>
      <c r="G8325" s="9"/>
      <c r="J8325" s="11"/>
      <c r="U8325" s="9"/>
      <c r="X8325" s="9"/>
    </row>
    <row r="8326">
      <c r="D8326" s="9"/>
      <c r="G8326" s="9"/>
      <c r="J8326" s="11"/>
      <c r="U8326" s="9"/>
      <c r="X8326" s="9"/>
    </row>
    <row r="8327">
      <c r="D8327" s="9"/>
      <c r="G8327" s="9"/>
      <c r="J8327" s="11"/>
      <c r="U8327" s="9"/>
      <c r="X8327" s="9"/>
    </row>
    <row r="8328">
      <c r="D8328" s="9"/>
      <c r="G8328" s="9"/>
      <c r="J8328" s="11"/>
      <c r="U8328" s="9"/>
      <c r="X8328" s="9"/>
    </row>
    <row r="8329">
      <c r="D8329" s="9"/>
      <c r="G8329" s="9"/>
      <c r="J8329" s="11"/>
      <c r="U8329" s="9"/>
      <c r="X8329" s="9"/>
    </row>
    <row r="8330">
      <c r="D8330" s="9"/>
      <c r="G8330" s="9"/>
      <c r="J8330" s="11"/>
      <c r="U8330" s="9"/>
      <c r="X8330" s="9"/>
    </row>
    <row r="8331">
      <c r="D8331" s="9"/>
      <c r="G8331" s="9"/>
      <c r="J8331" s="11"/>
      <c r="U8331" s="9"/>
      <c r="X8331" s="9"/>
    </row>
    <row r="8332">
      <c r="D8332" s="9"/>
      <c r="G8332" s="9"/>
      <c r="J8332" s="11"/>
      <c r="U8332" s="9"/>
      <c r="X8332" s="9"/>
    </row>
    <row r="8333">
      <c r="D8333" s="9"/>
      <c r="G8333" s="9"/>
      <c r="J8333" s="11"/>
      <c r="U8333" s="9"/>
      <c r="X8333" s="9"/>
    </row>
    <row r="8334">
      <c r="D8334" s="9"/>
      <c r="G8334" s="9"/>
      <c r="J8334" s="11"/>
      <c r="U8334" s="9"/>
      <c r="X8334" s="9"/>
    </row>
    <row r="8335">
      <c r="D8335" s="9"/>
      <c r="G8335" s="9"/>
      <c r="J8335" s="11"/>
      <c r="U8335" s="9"/>
      <c r="X8335" s="9"/>
    </row>
    <row r="8336">
      <c r="D8336" s="9"/>
      <c r="G8336" s="9"/>
      <c r="J8336" s="11"/>
      <c r="U8336" s="9"/>
      <c r="X8336" s="9"/>
    </row>
    <row r="8337">
      <c r="D8337" s="9"/>
      <c r="G8337" s="9"/>
      <c r="J8337" s="11"/>
      <c r="U8337" s="9"/>
      <c r="X8337" s="9"/>
    </row>
    <row r="8338">
      <c r="D8338" s="9"/>
      <c r="G8338" s="9"/>
      <c r="J8338" s="11"/>
      <c r="U8338" s="9"/>
      <c r="X8338" s="9"/>
    </row>
    <row r="8339">
      <c r="D8339" s="9"/>
      <c r="G8339" s="9"/>
      <c r="J8339" s="11"/>
      <c r="U8339" s="9"/>
      <c r="X8339" s="9"/>
    </row>
    <row r="8340">
      <c r="D8340" s="9"/>
      <c r="G8340" s="9"/>
      <c r="J8340" s="11"/>
      <c r="U8340" s="9"/>
      <c r="X8340" s="9"/>
    </row>
    <row r="8341">
      <c r="D8341" s="9"/>
      <c r="G8341" s="9"/>
      <c r="J8341" s="11"/>
      <c r="U8341" s="9"/>
      <c r="X8341" s="9"/>
    </row>
    <row r="8342">
      <c r="D8342" s="9"/>
      <c r="G8342" s="9"/>
      <c r="J8342" s="11"/>
      <c r="U8342" s="9"/>
      <c r="X8342" s="9"/>
    </row>
    <row r="8343">
      <c r="D8343" s="9"/>
      <c r="G8343" s="9"/>
      <c r="J8343" s="11"/>
      <c r="U8343" s="9"/>
      <c r="X8343" s="9"/>
    </row>
    <row r="8344">
      <c r="D8344" s="9"/>
      <c r="G8344" s="9"/>
      <c r="J8344" s="11"/>
      <c r="U8344" s="9"/>
      <c r="X8344" s="9"/>
    </row>
    <row r="8345">
      <c r="D8345" s="9"/>
      <c r="G8345" s="9"/>
      <c r="J8345" s="11"/>
      <c r="U8345" s="9"/>
      <c r="X8345" s="9"/>
    </row>
    <row r="8346">
      <c r="D8346" s="9"/>
      <c r="G8346" s="9"/>
      <c r="J8346" s="11"/>
      <c r="U8346" s="9"/>
      <c r="X8346" s="9"/>
    </row>
    <row r="8347">
      <c r="D8347" s="9"/>
      <c r="G8347" s="9"/>
      <c r="J8347" s="11"/>
      <c r="U8347" s="9"/>
      <c r="X8347" s="9"/>
    </row>
    <row r="8348">
      <c r="D8348" s="9"/>
      <c r="G8348" s="9"/>
      <c r="J8348" s="11"/>
      <c r="U8348" s="9"/>
      <c r="X8348" s="9"/>
    </row>
    <row r="8349">
      <c r="D8349" s="9"/>
      <c r="G8349" s="9"/>
      <c r="J8349" s="11"/>
      <c r="U8349" s="9"/>
      <c r="X8349" s="9"/>
    </row>
    <row r="8350">
      <c r="D8350" s="9"/>
      <c r="G8350" s="9"/>
      <c r="J8350" s="11"/>
      <c r="U8350" s="9"/>
      <c r="X8350" s="9"/>
    </row>
    <row r="8351">
      <c r="D8351" s="9"/>
      <c r="G8351" s="9"/>
      <c r="J8351" s="11"/>
      <c r="U8351" s="9"/>
      <c r="X8351" s="9"/>
    </row>
    <row r="8352">
      <c r="D8352" s="9"/>
      <c r="G8352" s="9"/>
      <c r="J8352" s="11"/>
      <c r="U8352" s="9"/>
      <c r="X8352" s="9"/>
    </row>
    <row r="8353">
      <c r="D8353" s="9"/>
      <c r="G8353" s="9"/>
      <c r="J8353" s="11"/>
      <c r="U8353" s="9"/>
      <c r="X8353" s="9"/>
    </row>
    <row r="8354">
      <c r="D8354" s="9"/>
      <c r="G8354" s="9"/>
      <c r="J8354" s="11"/>
      <c r="U8354" s="9"/>
      <c r="X8354" s="9"/>
    </row>
    <row r="8355">
      <c r="D8355" s="9"/>
      <c r="G8355" s="9"/>
      <c r="J8355" s="11"/>
      <c r="U8355" s="9"/>
      <c r="X8355" s="9"/>
    </row>
    <row r="8356">
      <c r="D8356" s="9"/>
      <c r="G8356" s="9"/>
      <c r="J8356" s="11"/>
      <c r="U8356" s="9"/>
      <c r="X8356" s="9"/>
    </row>
    <row r="8357">
      <c r="D8357" s="9"/>
      <c r="G8357" s="9"/>
      <c r="J8357" s="11"/>
      <c r="U8357" s="9"/>
      <c r="X8357" s="9"/>
    </row>
    <row r="8358">
      <c r="D8358" s="9"/>
      <c r="G8358" s="9"/>
      <c r="J8358" s="11"/>
      <c r="U8358" s="9"/>
      <c r="X8358" s="9"/>
    </row>
    <row r="8359">
      <c r="D8359" s="9"/>
      <c r="G8359" s="9"/>
      <c r="J8359" s="11"/>
      <c r="U8359" s="9"/>
      <c r="X8359" s="9"/>
    </row>
    <row r="8360">
      <c r="D8360" s="9"/>
      <c r="G8360" s="9"/>
      <c r="J8360" s="11"/>
      <c r="U8360" s="9"/>
      <c r="X8360" s="9"/>
    </row>
    <row r="8361">
      <c r="D8361" s="9"/>
      <c r="G8361" s="9"/>
      <c r="J8361" s="11"/>
      <c r="U8361" s="9"/>
      <c r="X8361" s="9"/>
    </row>
    <row r="8362">
      <c r="D8362" s="9"/>
      <c r="G8362" s="9"/>
      <c r="J8362" s="11"/>
      <c r="U8362" s="9"/>
      <c r="X8362" s="9"/>
    </row>
    <row r="8363">
      <c r="D8363" s="9"/>
      <c r="G8363" s="9"/>
      <c r="J8363" s="11"/>
      <c r="U8363" s="9"/>
      <c r="X8363" s="9"/>
    </row>
    <row r="8364">
      <c r="D8364" s="9"/>
      <c r="G8364" s="9"/>
      <c r="J8364" s="11"/>
      <c r="U8364" s="9"/>
      <c r="X8364" s="9"/>
    </row>
    <row r="8365">
      <c r="D8365" s="9"/>
      <c r="G8365" s="9"/>
      <c r="J8365" s="11"/>
      <c r="U8365" s="9"/>
      <c r="X8365" s="9"/>
    </row>
    <row r="8366">
      <c r="D8366" s="9"/>
      <c r="G8366" s="9"/>
      <c r="J8366" s="11"/>
      <c r="U8366" s="9"/>
      <c r="X8366" s="9"/>
    </row>
    <row r="8367">
      <c r="D8367" s="9"/>
      <c r="G8367" s="9"/>
      <c r="J8367" s="11"/>
      <c r="U8367" s="9"/>
      <c r="X8367" s="9"/>
    </row>
    <row r="8368">
      <c r="D8368" s="9"/>
      <c r="G8368" s="9"/>
      <c r="J8368" s="11"/>
      <c r="U8368" s="9"/>
      <c r="X8368" s="9"/>
    </row>
    <row r="8369">
      <c r="D8369" s="9"/>
      <c r="G8369" s="9"/>
      <c r="J8369" s="11"/>
      <c r="U8369" s="9"/>
      <c r="X8369" s="9"/>
    </row>
    <row r="8370">
      <c r="D8370" s="9"/>
      <c r="G8370" s="9"/>
      <c r="J8370" s="11"/>
      <c r="U8370" s="9"/>
      <c r="X8370" s="9"/>
    </row>
    <row r="8371">
      <c r="D8371" s="9"/>
      <c r="G8371" s="9"/>
      <c r="J8371" s="11"/>
      <c r="U8371" s="9"/>
      <c r="X8371" s="9"/>
    </row>
    <row r="8372">
      <c r="D8372" s="9"/>
      <c r="G8372" s="9"/>
      <c r="J8372" s="11"/>
      <c r="U8372" s="9"/>
      <c r="X8372" s="9"/>
    </row>
    <row r="8373">
      <c r="D8373" s="9"/>
      <c r="G8373" s="9"/>
      <c r="J8373" s="11"/>
      <c r="U8373" s="9"/>
      <c r="X8373" s="9"/>
    </row>
    <row r="8374">
      <c r="D8374" s="9"/>
      <c r="G8374" s="9"/>
      <c r="J8374" s="11"/>
      <c r="U8374" s="9"/>
      <c r="X8374" s="9"/>
    </row>
    <row r="8375">
      <c r="D8375" s="9"/>
      <c r="G8375" s="9"/>
      <c r="J8375" s="11"/>
      <c r="U8375" s="9"/>
      <c r="X8375" s="9"/>
    </row>
    <row r="8376">
      <c r="D8376" s="9"/>
      <c r="G8376" s="9"/>
      <c r="J8376" s="11"/>
      <c r="U8376" s="9"/>
      <c r="X8376" s="9"/>
    </row>
    <row r="8377">
      <c r="D8377" s="9"/>
      <c r="G8377" s="9"/>
      <c r="J8377" s="11"/>
      <c r="U8377" s="9"/>
      <c r="X8377" s="9"/>
    </row>
    <row r="8378">
      <c r="D8378" s="9"/>
      <c r="G8378" s="9"/>
      <c r="J8378" s="11"/>
      <c r="U8378" s="9"/>
      <c r="X8378" s="9"/>
    </row>
    <row r="8379">
      <c r="D8379" s="9"/>
      <c r="G8379" s="9"/>
      <c r="J8379" s="11"/>
      <c r="U8379" s="9"/>
      <c r="X8379" s="9"/>
    </row>
    <row r="8380">
      <c r="D8380" s="9"/>
      <c r="G8380" s="9"/>
      <c r="J8380" s="11"/>
      <c r="U8380" s="9"/>
      <c r="X8380" s="9"/>
    </row>
    <row r="8381">
      <c r="D8381" s="9"/>
      <c r="G8381" s="9"/>
      <c r="J8381" s="11"/>
      <c r="U8381" s="9"/>
      <c r="X8381" s="9"/>
    </row>
    <row r="8382">
      <c r="D8382" s="9"/>
      <c r="G8382" s="9"/>
      <c r="J8382" s="11"/>
      <c r="U8382" s="9"/>
      <c r="X8382" s="9"/>
    </row>
    <row r="8383">
      <c r="D8383" s="9"/>
      <c r="G8383" s="9"/>
      <c r="J8383" s="11"/>
      <c r="U8383" s="9"/>
      <c r="X8383" s="9"/>
    </row>
    <row r="8384">
      <c r="D8384" s="9"/>
      <c r="G8384" s="9"/>
      <c r="J8384" s="11"/>
      <c r="U8384" s="9"/>
      <c r="X8384" s="9"/>
    </row>
    <row r="8385">
      <c r="D8385" s="9"/>
      <c r="G8385" s="9"/>
      <c r="J8385" s="11"/>
      <c r="U8385" s="9"/>
      <c r="X8385" s="9"/>
    </row>
    <row r="8386">
      <c r="D8386" s="9"/>
      <c r="G8386" s="9"/>
      <c r="J8386" s="11"/>
      <c r="U8386" s="9"/>
      <c r="X8386" s="9"/>
    </row>
    <row r="8387">
      <c r="D8387" s="9"/>
      <c r="G8387" s="9"/>
      <c r="J8387" s="11"/>
      <c r="U8387" s="9"/>
      <c r="X8387" s="9"/>
    </row>
    <row r="8388">
      <c r="D8388" s="9"/>
      <c r="G8388" s="9"/>
      <c r="J8388" s="11"/>
      <c r="U8388" s="9"/>
      <c r="X8388" s="9"/>
    </row>
    <row r="8389">
      <c r="D8389" s="9"/>
      <c r="G8389" s="9"/>
      <c r="J8389" s="11"/>
      <c r="U8389" s="9"/>
      <c r="X8389" s="9"/>
    </row>
    <row r="8390">
      <c r="D8390" s="9"/>
      <c r="G8390" s="9"/>
      <c r="J8390" s="11"/>
      <c r="U8390" s="9"/>
      <c r="X8390" s="9"/>
    </row>
    <row r="8391">
      <c r="D8391" s="9"/>
      <c r="G8391" s="9"/>
      <c r="J8391" s="11"/>
      <c r="U8391" s="9"/>
      <c r="X8391" s="9"/>
    </row>
    <row r="8392">
      <c r="D8392" s="9"/>
      <c r="G8392" s="9"/>
      <c r="J8392" s="11"/>
      <c r="U8392" s="9"/>
      <c r="X8392" s="9"/>
    </row>
    <row r="8393">
      <c r="D8393" s="9"/>
      <c r="G8393" s="9"/>
      <c r="J8393" s="11"/>
      <c r="U8393" s="9"/>
      <c r="X8393" s="9"/>
    </row>
    <row r="8394">
      <c r="D8394" s="9"/>
      <c r="G8394" s="9"/>
      <c r="J8394" s="11"/>
      <c r="U8394" s="9"/>
      <c r="X8394" s="9"/>
    </row>
    <row r="8395">
      <c r="D8395" s="9"/>
      <c r="G8395" s="9"/>
      <c r="J8395" s="11"/>
      <c r="U8395" s="9"/>
      <c r="X8395" s="9"/>
    </row>
    <row r="8396">
      <c r="D8396" s="9"/>
      <c r="G8396" s="9"/>
      <c r="J8396" s="11"/>
      <c r="U8396" s="9"/>
      <c r="X8396" s="9"/>
    </row>
    <row r="8397">
      <c r="D8397" s="9"/>
      <c r="G8397" s="9"/>
      <c r="J8397" s="11"/>
      <c r="U8397" s="9"/>
      <c r="X8397" s="9"/>
    </row>
    <row r="8398">
      <c r="D8398" s="9"/>
      <c r="G8398" s="9"/>
      <c r="J8398" s="11"/>
      <c r="U8398" s="9"/>
      <c r="X8398" s="9"/>
    </row>
    <row r="8399">
      <c r="D8399" s="9"/>
      <c r="G8399" s="9"/>
      <c r="J8399" s="11"/>
      <c r="U8399" s="9"/>
      <c r="X8399" s="9"/>
    </row>
    <row r="8400">
      <c r="D8400" s="9"/>
      <c r="G8400" s="9"/>
      <c r="J8400" s="11"/>
      <c r="U8400" s="9"/>
      <c r="X8400" s="9"/>
    </row>
    <row r="8401">
      <c r="D8401" s="9"/>
      <c r="G8401" s="9"/>
      <c r="J8401" s="11"/>
      <c r="U8401" s="9"/>
      <c r="X8401" s="9"/>
    </row>
    <row r="8402">
      <c r="D8402" s="9"/>
      <c r="G8402" s="9"/>
      <c r="J8402" s="11"/>
      <c r="U8402" s="9"/>
      <c r="X8402" s="9"/>
    </row>
    <row r="8403">
      <c r="D8403" s="9"/>
      <c r="G8403" s="9"/>
      <c r="J8403" s="11"/>
      <c r="U8403" s="9"/>
      <c r="X8403" s="9"/>
    </row>
    <row r="8404">
      <c r="D8404" s="9"/>
      <c r="G8404" s="9"/>
      <c r="J8404" s="11"/>
      <c r="U8404" s="9"/>
      <c r="X8404" s="9"/>
    </row>
    <row r="8405">
      <c r="D8405" s="9"/>
      <c r="G8405" s="9"/>
      <c r="J8405" s="11"/>
      <c r="U8405" s="9"/>
      <c r="X8405" s="9"/>
    </row>
    <row r="8406">
      <c r="D8406" s="9"/>
      <c r="G8406" s="9"/>
      <c r="J8406" s="11"/>
      <c r="U8406" s="9"/>
      <c r="X8406" s="9"/>
    </row>
    <row r="8407">
      <c r="D8407" s="9"/>
      <c r="G8407" s="9"/>
      <c r="J8407" s="11"/>
      <c r="U8407" s="9"/>
      <c r="X8407" s="9"/>
    </row>
    <row r="8408">
      <c r="D8408" s="9"/>
      <c r="G8408" s="9"/>
      <c r="J8408" s="11"/>
      <c r="U8408" s="9"/>
      <c r="X8408" s="9"/>
    </row>
    <row r="8409">
      <c r="D8409" s="9"/>
      <c r="G8409" s="9"/>
      <c r="J8409" s="11"/>
      <c r="U8409" s="9"/>
      <c r="X8409" s="9"/>
    </row>
    <row r="8410">
      <c r="D8410" s="9"/>
      <c r="G8410" s="9"/>
      <c r="J8410" s="11"/>
      <c r="U8410" s="9"/>
      <c r="X8410" s="9"/>
    </row>
    <row r="8411">
      <c r="D8411" s="9"/>
      <c r="G8411" s="9"/>
      <c r="J8411" s="11"/>
      <c r="U8411" s="9"/>
      <c r="X8411" s="9"/>
    </row>
    <row r="8412">
      <c r="D8412" s="9"/>
      <c r="G8412" s="9"/>
      <c r="J8412" s="11"/>
      <c r="U8412" s="9"/>
      <c r="X8412" s="9"/>
    </row>
    <row r="8413">
      <c r="D8413" s="9"/>
      <c r="G8413" s="9"/>
      <c r="J8413" s="11"/>
      <c r="U8413" s="9"/>
      <c r="X8413" s="9"/>
    </row>
    <row r="8414">
      <c r="D8414" s="9"/>
      <c r="G8414" s="9"/>
      <c r="J8414" s="11"/>
      <c r="U8414" s="9"/>
      <c r="X8414" s="9"/>
    </row>
    <row r="8415">
      <c r="D8415" s="9"/>
      <c r="G8415" s="9"/>
      <c r="J8415" s="11"/>
      <c r="U8415" s="9"/>
      <c r="X8415" s="9"/>
    </row>
    <row r="8416">
      <c r="D8416" s="9"/>
      <c r="G8416" s="9"/>
      <c r="J8416" s="11"/>
      <c r="U8416" s="9"/>
      <c r="X8416" s="9"/>
    </row>
    <row r="8417">
      <c r="D8417" s="9"/>
      <c r="G8417" s="9"/>
      <c r="J8417" s="11"/>
      <c r="U8417" s="9"/>
      <c r="X8417" s="9"/>
    </row>
    <row r="8418">
      <c r="D8418" s="9"/>
      <c r="G8418" s="9"/>
      <c r="J8418" s="11"/>
      <c r="U8418" s="9"/>
      <c r="X8418" s="9"/>
    </row>
    <row r="8419">
      <c r="D8419" s="9"/>
      <c r="G8419" s="9"/>
      <c r="J8419" s="11"/>
      <c r="U8419" s="9"/>
      <c r="X8419" s="9"/>
    </row>
    <row r="8420">
      <c r="D8420" s="9"/>
      <c r="G8420" s="9"/>
      <c r="J8420" s="11"/>
      <c r="U8420" s="9"/>
      <c r="X8420" s="9"/>
    </row>
    <row r="8421">
      <c r="D8421" s="9"/>
      <c r="G8421" s="9"/>
      <c r="J8421" s="11"/>
      <c r="U8421" s="9"/>
      <c r="X8421" s="9"/>
    </row>
    <row r="8422">
      <c r="D8422" s="9"/>
      <c r="G8422" s="9"/>
      <c r="J8422" s="11"/>
      <c r="U8422" s="9"/>
      <c r="X8422" s="9"/>
    </row>
    <row r="8423">
      <c r="D8423" s="9"/>
      <c r="G8423" s="9"/>
      <c r="J8423" s="11"/>
      <c r="U8423" s="9"/>
      <c r="X8423" s="9"/>
    </row>
    <row r="8424">
      <c r="D8424" s="9"/>
      <c r="G8424" s="9"/>
      <c r="J8424" s="11"/>
      <c r="U8424" s="9"/>
      <c r="X8424" s="9"/>
    </row>
    <row r="8425">
      <c r="D8425" s="9"/>
      <c r="G8425" s="9"/>
      <c r="J8425" s="11"/>
      <c r="U8425" s="9"/>
      <c r="X8425" s="9"/>
    </row>
    <row r="8426">
      <c r="D8426" s="9"/>
      <c r="G8426" s="9"/>
      <c r="J8426" s="11"/>
      <c r="U8426" s="9"/>
      <c r="X8426" s="9"/>
    </row>
    <row r="8427">
      <c r="D8427" s="9"/>
      <c r="G8427" s="9"/>
      <c r="J8427" s="11"/>
      <c r="U8427" s="9"/>
      <c r="X8427" s="9"/>
    </row>
    <row r="8428">
      <c r="D8428" s="9"/>
      <c r="G8428" s="9"/>
      <c r="J8428" s="11"/>
      <c r="U8428" s="9"/>
      <c r="X8428" s="9"/>
    </row>
    <row r="8429">
      <c r="D8429" s="9"/>
      <c r="G8429" s="9"/>
      <c r="J8429" s="11"/>
      <c r="U8429" s="9"/>
      <c r="X8429" s="9"/>
    </row>
    <row r="8430">
      <c r="D8430" s="9"/>
      <c r="G8430" s="9"/>
      <c r="J8430" s="11"/>
      <c r="U8430" s="9"/>
      <c r="X8430" s="9"/>
    </row>
    <row r="8431">
      <c r="D8431" s="9"/>
      <c r="G8431" s="9"/>
      <c r="J8431" s="11"/>
      <c r="U8431" s="9"/>
      <c r="X8431" s="9"/>
    </row>
    <row r="8432">
      <c r="D8432" s="9"/>
      <c r="G8432" s="9"/>
      <c r="J8432" s="11"/>
      <c r="U8432" s="9"/>
      <c r="X8432" s="9"/>
    </row>
    <row r="8433">
      <c r="D8433" s="9"/>
      <c r="G8433" s="9"/>
      <c r="J8433" s="11"/>
      <c r="U8433" s="9"/>
      <c r="X8433" s="9"/>
    </row>
    <row r="8434">
      <c r="D8434" s="9"/>
      <c r="G8434" s="9"/>
      <c r="J8434" s="11"/>
      <c r="U8434" s="9"/>
      <c r="X8434" s="9"/>
    </row>
    <row r="8435">
      <c r="D8435" s="9"/>
      <c r="G8435" s="9"/>
      <c r="J8435" s="11"/>
      <c r="U8435" s="9"/>
      <c r="X8435" s="9"/>
    </row>
    <row r="8436">
      <c r="D8436" s="9"/>
      <c r="G8436" s="9"/>
      <c r="J8436" s="11"/>
      <c r="U8436" s="9"/>
      <c r="X8436" s="9"/>
    </row>
    <row r="8437">
      <c r="D8437" s="9"/>
      <c r="G8437" s="9"/>
      <c r="J8437" s="11"/>
      <c r="U8437" s="9"/>
      <c r="X8437" s="9"/>
    </row>
    <row r="8438">
      <c r="D8438" s="9"/>
      <c r="G8438" s="9"/>
      <c r="J8438" s="11"/>
      <c r="U8438" s="9"/>
      <c r="X8438" s="9"/>
    </row>
    <row r="8439">
      <c r="D8439" s="9"/>
      <c r="G8439" s="9"/>
      <c r="J8439" s="11"/>
      <c r="U8439" s="9"/>
      <c r="X8439" s="9"/>
    </row>
    <row r="8440">
      <c r="D8440" s="9"/>
      <c r="G8440" s="9"/>
      <c r="J8440" s="11"/>
      <c r="U8440" s="9"/>
      <c r="X8440" s="9"/>
    </row>
    <row r="8441">
      <c r="D8441" s="9"/>
      <c r="G8441" s="9"/>
      <c r="J8441" s="11"/>
      <c r="U8441" s="9"/>
      <c r="X8441" s="9"/>
    </row>
    <row r="8442">
      <c r="D8442" s="9"/>
      <c r="G8442" s="9"/>
      <c r="J8442" s="11"/>
      <c r="U8442" s="9"/>
      <c r="X8442" s="9"/>
    </row>
    <row r="8443">
      <c r="D8443" s="9"/>
      <c r="G8443" s="9"/>
      <c r="J8443" s="11"/>
      <c r="U8443" s="9"/>
      <c r="X8443" s="9"/>
    </row>
    <row r="8444">
      <c r="D8444" s="9"/>
      <c r="G8444" s="9"/>
      <c r="J8444" s="11"/>
      <c r="U8444" s="9"/>
      <c r="X8444" s="9"/>
    </row>
    <row r="8445">
      <c r="D8445" s="9"/>
      <c r="G8445" s="9"/>
      <c r="J8445" s="11"/>
      <c r="U8445" s="9"/>
      <c r="X8445" s="9"/>
    </row>
    <row r="8446">
      <c r="D8446" s="9"/>
      <c r="G8446" s="9"/>
      <c r="J8446" s="11"/>
      <c r="U8446" s="9"/>
      <c r="X8446" s="9"/>
    </row>
    <row r="8447">
      <c r="D8447" s="9"/>
      <c r="G8447" s="9"/>
      <c r="J8447" s="11"/>
      <c r="U8447" s="9"/>
      <c r="X8447" s="9"/>
    </row>
    <row r="8448">
      <c r="D8448" s="9"/>
      <c r="G8448" s="9"/>
      <c r="J8448" s="11"/>
      <c r="U8448" s="9"/>
      <c r="X8448" s="9"/>
    </row>
    <row r="8449">
      <c r="D8449" s="9"/>
      <c r="G8449" s="9"/>
      <c r="J8449" s="11"/>
      <c r="U8449" s="9"/>
      <c r="X8449" s="9"/>
    </row>
    <row r="8450">
      <c r="D8450" s="9"/>
      <c r="G8450" s="9"/>
      <c r="J8450" s="11"/>
      <c r="U8450" s="9"/>
      <c r="X8450" s="9"/>
    </row>
    <row r="8451">
      <c r="D8451" s="9"/>
      <c r="G8451" s="9"/>
      <c r="J8451" s="11"/>
      <c r="U8451" s="9"/>
      <c r="X8451" s="9"/>
    </row>
    <row r="8452">
      <c r="D8452" s="9"/>
      <c r="G8452" s="9"/>
      <c r="J8452" s="11"/>
      <c r="U8452" s="9"/>
      <c r="X8452" s="9"/>
    </row>
    <row r="8453">
      <c r="D8453" s="9"/>
      <c r="G8453" s="9"/>
      <c r="J8453" s="11"/>
      <c r="U8453" s="9"/>
      <c r="X8453" s="9"/>
    </row>
    <row r="8454">
      <c r="D8454" s="9"/>
      <c r="G8454" s="9"/>
      <c r="J8454" s="11"/>
      <c r="U8454" s="9"/>
      <c r="X8454" s="9"/>
    </row>
    <row r="8455">
      <c r="D8455" s="9"/>
      <c r="G8455" s="9"/>
      <c r="J8455" s="11"/>
      <c r="U8455" s="9"/>
      <c r="X8455" s="9"/>
    </row>
    <row r="8456">
      <c r="D8456" s="9"/>
      <c r="G8456" s="9"/>
      <c r="J8456" s="11"/>
      <c r="U8456" s="9"/>
      <c r="X8456" s="9"/>
    </row>
    <row r="8457">
      <c r="D8457" s="9"/>
      <c r="G8457" s="9"/>
      <c r="J8457" s="11"/>
      <c r="U8457" s="9"/>
      <c r="X8457" s="9"/>
    </row>
    <row r="8458">
      <c r="D8458" s="9"/>
      <c r="G8458" s="9"/>
      <c r="J8458" s="11"/>
      <c r="U8458" s="9"/>
      <c r="X8458" s="9"/>
    </row>
    <row r="8459">
      <c r="D8459" s="9"/>
      <c r="G8459" s="9"/>
      <c r="J8459" s="11"/>
      <c r="U8459" s="9"/>
      <c r="X8459" s="9"/>
    </row>
    <row r="8460">
      <c r="D8460" s="9"/>
      <c r="G8460" s="9"/>
      <c r="J8460" s="11"/>
      <c r="U8460" s="9"/>
      <c r="X8460" s="9"/>
    </row>
    <row r="8461">
      <c r="D8461" s="9"/>
      <c r="G8461" s="9"/>
      <c r="J8461" s="11"/>
      <c r="U8461" s="9"/>
      <c r="X8461" s="9"/>
    </row>
    <row r="8462">
      <c r="D8462" s="9"/>
      <c r="G8462" s="9"/>
      <c r="J8462" s="11"/>
      <c r="U8462" s="9"/>
      <c r="X8462" s="9"/>
    </row>
    <row r="8463">
      <c r="D8463" s="9"/>
      <c r="G8463" s="9"/>
      <c r="J8463" s="11"/>
      <c r="U8463" s="9"/>
      <c r="X8463" s="9"/>
    </row>
    <row r="8464">
      <c r="D8464" s="9"/>
      <c r="G8464" s="9"/>
      <c r="J8464" s="11"/>
      <c r="U8464" s="9"/>
      <c r="X8464" s="9"/>
    </row>
    <row r="8465">
      <c r="D8465" s="9"/>
      <c r="G8465" s="9"/>
      <c r="J8465" s="11"/>
      <c r="U8465" s="9"/>
      <c r="X8465" s="9"/>
    </row>
    <row r="8466">
      <c r="D8466" s="9"/>
      <c r="G8466" s="9"/>
      <c r="J8466" s="11"/>
      <c r="U8466" s="9"/>
      <c r="X8466" s="9"/>
    </row>
    <row r="8467">
      <c r="D8467" s="9"/>
      <c r="G8467" s="9"/>
      <c r="J8467" s="11"/>
      <c r="U8467" s="9"/>
      <c r="X8467" s="9"/>
    </row>
    <row r="8468">
      <c r="D8468" s="9"/>
      <c r="G8468" s="9"/>
      <c r="J8468" s="11"/>
      <c r="U8468" s="9"/>
      <c r="X8468" s="9"/>
    </row>
    <row r="8469">
      <c r="D8469" s="9"/>
      <c r="G8469" s="9"/>
      <c r="J8469" s="11"/>
      <c r="U8469" s="9"/>
      <c r="X8469" s="9"/>
    </row>
    <row r="8470">
      <c r="D8470" s="9"/>
      <c r="G8470" s="9"/>
      <c r="J8470" s="11"/>
      <c r="U8470" s="9"/>
      <c r="X8470" s="9"/>
    </row>
    <row r="8471">
      <c r="D8471" s="9"/>
      <c r="G8471" s="9"/>
      <c r="J8471" s="11"/>
      <c r="U8471" s="9"/>
      <c r="X8471" s="9"/>
    </row>
    <row r="8472">
      <c r="D8472" s="9"/>
      <c r="G8472" s="9"/>
      <c r="J8472" s="11"/>
      <c r="U8472" s="9"/>
      <c r="X8472" s="9"/>
    </row>
    <row r="8473">
      <c r="D8473" s="9"/>
      <c r="G8473" s="9"/>
      <c r="J8473" s="11"/>
      <c r="U8473" s="9"/>
      <c r="X8473" s="9"/>
    </row>
    <row r="8474">
      <c r="D8474" s="9"/>
      <c r="G8474" s="9"/>
      <c r="J8474" s="11"/>
      <c r="U8474" s="9"/>
      <c r="X8474" s="9"/>
    </row>
    <row r="8475">
      <c r="D8475" s="9"/>
      <c r="G8475" s="9"/>
      <c r="J8475" s="11"/>
      <c r="U8475" s="9"/>
      <c r="X8475" s="9"/>
    </row>
    <row r="8476">
      <c r="D8476" s="9"/>
      <c r="G8476" s="9"/>
      <c r="J8476" s="11"/>
      <c r="U8476" s="9"/>
      <c r="X8476" s="9"/>
    </row>
    <row r="8477">
      <c r="D8477" s="9"/>
      <c r="G8477" s="9"/>
      <c r="J8477" s="11"/>
      <c r="U8477" s="9"/>
      <c r="X8477" s="9"/>
    </row>
    <row r="8478">
      <c r="D8478" s="9"/>
      <c r="G8478" s="9"/>
      <c r="J8478" s="11"/>
      <c r="U8478" s="9"/>
      <c r="X8478" s="9"/>
    </row>
    <row r="8479">
      <c r="D8479" s="9"/>
      <c r="G8479" s="9"/>
      <c r="J8479" s="11"/>
      <c r="U8479" s="9"/>
      <c r="X8479" s="9"/>
    </row>
    <row r="8480">
      <c r="D8480" s="9"/>
      <c r="G8480" s="9"/>
      <c r="J8480" s="11"/>
      <c r="U8480" s="9"/>
      <c r="X8480" s="9"/>
    </row>
    <row r="8481">
      <c r="D8481" s="9"/>
      <c r="G8481" s="9"/>
      <c r="J8481" s="11"/>
      <c r="U8481" s="9"/>
      <c r="X8481" s="9"/>
    </row>
    <row r="8482">
      <c r="D8482" s="9"/>
      <c r="G8482" s="9"/>
      <c r="J8482" s="11"/>
      <c r="U8482" s="9"/>
      <c r="X8482" s="9"/>
    </row>
    <row r="8483">
      <c r="D8483" s="9"/>
      <c r="G8483" s="9"/>
      <c r="J8483" s="11"/>
      <c r="U8483" s="9"/>
      <c r="X8483" s="9"/>
    </row>
    <row r="8484">
      <c r="D8484" s="9"/>
      <c r="G8484" s="9"/>
      <c r="J8484" s="11"/>
      <c r="U8484" s="9"/>
      <c r="X8484" s="9"/>
    </row>
    <row r="8485">
      <c r="D8485" s="9"/>
      <c r="G8485" s="9"/>
      <c r="J8485" s="11"/>
      <c r="U8485" s="9"/>
      <c r="X8485" s="9"/>
    </row>
    <row r="8486">
      <c r="D8486" s="9"/>
      <c r="G8486" s="9"/>
      <c r="J8486" s="11"/>
      <c r="U8486" s="9"/>
      <c r="X8486" s="9"/>
    </row>
    <row r="8487">
      <c r="D8487" s="9"/>
      <c r="G8487" s="9"/>
      <c r="J8487" s="11"/>
      <c r="U8487" s="9"/>
      <c r="X8487" s="9"/>
    </row>
    <row r="8488">
      <c r="D8488" s="9"/>
      <c r="G8488" s="9"/>
      <c r="J8488" s="11"/>
      <c r="U8488" s="9"/>
      <c r="X8488" s="9"/>
    </row>
    <row r="8489">
      <c r="D8489" s="9"/>
      <c r="G8489" s="9"/>
      <c r="J8489" s="11"/>
      <c r="U8489" s="9"/>
      <c r="X8489" s="9"/>
    </row>
    <row r="8490">
      <c r="D8490" s="9"/>
      <c r="G8490" s="9"/>
      <c r="J8490" s="11"/>
      <c r="U8490" s="9"/>
      <c r="X8490" s="9"/>
    </row>
    <row r="8491">
      <c r="D8491" s="9"/>
      <c r="G8491" s="9"/>
      <c r="J8491" s="11"/>
      <c r="U8491" s="9"/>
      <c r="X8491" s="9"/>
    </row>
    <row r="8492">
      <c r="D8492" s="9"/>
      <c r="G8492" s="9"/>
      <c r="J8492" s="11"/>
      <c r="U8492" s="9"/>
      <c r="X8492" s="9"/>
    </row>
    <row r="8493">
      <c r="D8493" s="9"/>
      <c r="G8493" s="9"/>
      <c r="J8493" s="11"/>
      <c r="U8493" s="9"/>
      <c r="X8493" s="9"/>
    </row>
    <row r="8494">
      <c r="D8494" s="9"/>
      <c r="G8494" s="9"/>
      <c r="J8494" s="11"/>
      <c r="U8494" s="9"/>
      <c r="X8494" s="9"/>
    </row>
    <row r="8495">
      <c r="D8495" s="9"/>
      <c r="G8495" s="9"/>
      <c r="J8495" s="11"/>
      <c r="U8495" s="9"/>
      <c r="X8495" s="9"/>
    </row>
    <row r="8496">
      <c r="D8496" s="9"/>
      <c r="G8496" s="9"/>
      <c r="J8496" s="11"/>
      <c r="U8496" s="9"/>
      <c r="X8496" s="9"/>
    </row>
    <row r="8497">
      <c r="D8497" s="9"/>
      <c r="G8497" s="9"/>
      <c r="J8497" s="11"/>
      <c r="U8497" s="9"/>
      <c r="X8497" s="9"/>
    </row>
    <row r="8498">
      <c r="D8498" s="9"/>
      <c r="G8498" s="9"/>
      <c r="J8498" s="11"/>
      <c r="U8498" s="9"/>
      <c r="X8498" s="9"/>
    </row>
    <row r="8499">
      <c r="D8499" s="9"/>
      <c r="G8499" s="9"/>
      <c r="J8499" s="11"/>
      <c r="U8499" s="9"/>
      <c r="X8499" s="9"/>
    </row>
    <row r="8500">
      <c r="D8500" s="9"/>
      <c r="G8500" s="9"/>
      <c r="J8500" s="11"/>
      <c r="U8500" s="9"/>
      <c r="X8500" s="9"/>
    </row>
    <row r="8501">
      <c r="D8501" s="9"/>
      <c r="G8501" s="9"/>
      <c r="J8501" s="11"/>
      <c r="U8501" s="9"/>
      <c r="X8501" s="9"/>
    </row>
    <row r="8502">
      <c r="D8502" s="9"/>
      <c r="G8502" s="9"/>
      <c r="J8502" s="11"/>
      <c r="U8502" s="9"/>
      <c r="X8502" s="9"/>
    </row>
    <row r="8503">
      <c r="D8503" s="9"/>
      <c r="G8503" s="9"/>
      <c r="J8503" s="11"/>
      <c r="U8503" s="9"/>
      <c r="X8503" s="9"/>
    </row>
    <row r="8504">
      <c r="D8504" s="9"/>
      <c r="G8504" s="9"/>
      <c r="J8504" s="11"/>
      <c r="U8504" s="9"/>
      <c r="X8504" s="9"/>
    </row>
    <row r="8505">
      <c r="D8505" s="9"/>
      <c r="G8505" s="9"/>
      <c r="J8505" s="11"/>
      <c r="U8505" s="9"/>
      <c r="X8505" s="9"/>
    </row>
    <row r="8506">
      <c r="D8506" s="9"/>
      <c r="G8506" s="9"/>
      <c r="J8506" s="11"/>
      <c r="U8506" s="9"/>
      <c r="X8506" s="9"/>
    </row>
    <row r="8507">
      <c r="D8507" s="9"/>
      <c r="G8507" s="9"/>
      <c r="J8507" s="11"/>
      <c r="U8507" s="9"/>
      <c r="X8507" s="9"/>
    </row>
    <row r="8508">
      <c r="D8508" s="9"/>
      <c r="G8508" s="9"/>
      <c r="J8508" s="11"/>
      <c r="U8508" s="9"/>
      <c r="X8508" s="9"/>
    </row>
    <row r="8509">
      <c r="D8509" s="9"/>
      <c r="G8509" s="9"/>
      <c r="J8509" s="11"/>
      <c r="U8509" s="9"/>
      <c r="X8509" s="9"/>
    </row>
    <row r="8510">
      <c r="D8510" s="9"/>
      <c r="G8510" s="9"/>
      <c r="J8510" s="11"/>
      <c r="U8510" s="9"/>
      <c r="X8510" s="9"/>
    </row>
    <row r="8511">
      <c r="D8511" s="9"/>
      <c r="G8511" s="9"/>
      <c r="J8511" s="11"/>
      <c r="U8511" s="9"/>
      <c r="X8511" s="9"/>
    </row>
    <row r="8512">
      <c r="D8512" s="9"/>
      <c r="G8512" s="9"/>
      <c r="J8512" s="11"/>
      <c r="U8512" s="9"/>
      <c r="X8512" s="9"/>
    </row>
    <row r="8513">
      <c r="D8513" s="9"/>
      <c r="G8513" s="9"/>
      <c r="J8513" s="11"/>
      <c r="U8513" s="9"/>
      <c r="X8513" s="9"/>
    </row>
    <row r="8514">
      <c r="D8514" s="9"/>
      <c r="G8514" s="9"/>
      <c r="J8514" s="11"/>
      <c r="U8514" s="9"/>
      <c r="X8514" s="9"/>
    </row>
    <row r="8515">
      <c r="D8515" s="9"/>
      <c r="G8515" s="9"/>
      <c r="J8515" s="11"/>
      <c r="U8515" s="9"/>
      <c r="X8515" s="9"/>
    </row>
    <row r="8516">
      <c r="D8516" s="9"/>
      <c r="G8516" s="9"/>
      <c r="J8516" s="11"/>
      <c r="U8516" s="9"/>
      <c r="X8516" s="9"/>
    </row>
    <row r="8517">
      <c r="D8517" s="9"/>
      <c r="G8517" s="9"/>
      <c r="J8517" s="11"/>
      <c r="U8517" s="9"/>
      <c r="X8517" s="9"/>
    </row>
    <row r="8518">
      <c r="D8518" s="9"/>
      <c r="G8518" s="9"/>
      <c r="J8518" s="11"/>
      <c r="U8518" s="9"/>
      <c r="X8518" s="9"/>
    </row>
    <row r="8519">
      <c r="D8519" s="9"/>
      <c r="G8519" s="9"/>
      <c r="J8519" s="11"/>
      <c r="U8519" s="9"/>
      <c r="X8519" s="9"/>
    </row>
    <row r="8520">
      <c r="D8520" s="9"/>
      <c r="G8520" s="9"/>
      <c r="J8520" s="11"/>
      <c r="U8520" s="9"/>
      <c r="X8520" s="9"/>
    </row>
    <row r="8521">
      <c r="D8521" s="9"/>
      <c r="G8521" s="9"/>
      <c r="J8521" s="11"/>
      <c r="U8521" s="9"/>
      <c r="X8521" s="9"/>
    </row>
    <row r="8522">
      <c r="D8522" s="9"/>
      <c r="G8522" s="9"/>
      <c r="J8522" s="11"/>
      <c r="U8522" s="9"/>
      <c r="X8522" s="9"/>
    </row>
    <row r="8523">
      <c r="D8523" s="9"/>
      <c r="G8523" s="9"/>
      <c r="J8523" s="11"/>
      <c r="U8523" s="9"/>
      <c r="X8523" s="9"/>
    </row>
    <row r="8524">
      <c r="D8524" s="9"/>
      <c r="G8524" s="9"/>
      <c r="J8524" s="11"/>
      <c r="U8524" s="9"/>
      <c r="X8524" s="9"/>
    </row>
    <row r="8525">
      <c r="D8525" s="9"/>
      <c r="G8525" s="9"/>
      <c r="J8525" s="11"/>
      <c r="U8525" s="9"/>
      <c r="X8525" s="9"/>
    </row>
    <row r="8526">
      <c r="D8526" s="9"/>
      <c r="G8526" s="9"/>
      <c r="J8526" s="11"/>
      <c r="U8526" s="9"/>
      <c r="X8526" s="9"/>
    </row>
    <row r="8527">
      <c r="D8527" s="9"/>
      <c r="G8527" s="9"/>
      <c r="J8527" s="11"/>
      <c r="U8527" s="9"/>
      <c r="X8527" s="9"/>
    </row>
    <row r="8528">
      <c r="D8528" s="9"/>
      <c r="G8528" s="9"/>
      <c r="J8528" s="11"/>
      <c r="U8528" s="9"/>
      <c r="X8528" s="9"/>
    </row>
    <row r="8529">
      <c r="D8529" s="9"/>
      <c r="G8529" s="9"/>
      <c r="J8529" s="11"/>
      <c r="U8529" s="9"/>
      <c r="X8529" s="9"/>
    </row>
    <row r="8530">
      <c r="D8530" s="9"/>
      <c r="G8530" s="9"/>
      <c r="J8530" s="11"/>
      <c r="U8530" s="9"/>
      <c r="X8530" s="9"/>
    </row>
    <row r="8531">
      <c r="D8531" s="9"/>
      <c r="G8531" s="9"/>
      <c r="J8531" s="11"/>
      <c r="U8531" s="9"/>
      <c r="X8531" s="9"/>
    </row>
    <row r="8532">
      <c r="D8532" s="9"/>
      <c r="G8532" s="9"/>
      <c r="J8532" s="11"/>
      <c r="U8532" s="9"/>
      <c r="X8532" s="9"/>
    </row>
    <row r="8533">
      <c r="D8533" s="9"/>
      <c r="G8533" s="9"/>
      <c r="J8533" s="11"/>
      <c r="U8533" s="9"/>
      <c r="X8533" s="9"/>
    </row>
    <row r="8534">
      <c r="D8534" s="9"/>
      <c r="G8534" s="9"/>
      <c r="J8534" s="11"/>
      <c r="U8534" s="9"/>
      <c r="X8534" s="9"/>
    </row>
    <row r="8535">
      <c r="D8535" s="9"/>
      <c r="G8535" s="9"/>
      <c r="J8535" s="11"/>
      <c r="U8535" s="9"/>
      <c r="X8535" s="9"/>
    </row>
    <row r="8536">
      <c r="D8536" s="9"/>
      <c r="G8536" s="9"/>
      <c r="J8536" s="11"/>
      <c r="U8536" s="9"/>
      <c r="X8536" s="9"/>
    </row>
    <row r="8537">
      <c r="D8537" s="9"/>
      <c r="G8537" s="9"/>
      <c r="J8537" s="11"/>
      <c r="U8537" s="9"/>
      <c r="X8537" s="9"/>
    </row>
    <row r="8538">
      <c r="D8538" s="9"/>
      <c r="G8538" s="9"/>
      <c r="J8538" s="11"/>
      <c r="U8538" s="9"/>
      <c r="X8538" s="9"/>
    </row>
    <row r="8539">
      <c r="D8539" s="9"/>
      <c r="G8539" s="9"/>
      <c r="J8539" s="11"/>
      <c r="U8539" s="9"/>
      <c r="X8539" s="9"/>
    </row>
    <row r="8540">
      <c r="D8540" s="9"/>
      <c r="G8540" s="9"/>
      <c r="J8540" s="11"/>
      <c r="U8540" s="9"/>
      <c r="X8540" s="9"/>
    </row>
    <row r="8541">
      <c r="D8541" s="9"/>
      <c r="G8541" s="9"/>
      <c r="J8541" s="11"/>
      <c r="U8541" s="9"/>
      <c r="X8541" s="9"/>
    </row>
    <row r="8542">
      <c r="D8542" s="9"/>
      <c r="G8542" s="9"/>
      <c r="J8542" s="11"/>
      <c r="U8542" s="9"/>
      <c r="X8542" s="9"/>
    </row>
    <row r="8543">
      <c r="D8543" s="9"/>
      <c r="G8543" s="9"/>
      <c r="J8543" s="11"/>
      <c r="U8543" s="9"/>
      <c r="X8543" s="9"/>
    </row>
    <row r="8544">
      <c r="D8544" s="9"/>
      <c r="G8544" s="9"/>
      <c r="J8544" s="11"/>
      <c r="U8544" s="9"/>
      <c r="X8544" s="9"/>
    </row>
    <row r="8545">
      <c r="D8545" s="9"/>
      <c r="G8545" s="9"/>
      <c r="J8545" s="11"/>
      <c r="U8545" s="9"/>
      <c r="X8545" s="9"/>
    </row>
    <row r="8546">
      <c r="D8546" s="9"/>
      <c r="G8546" s="9"/>
      <c r="J8546" s="11"/>
      <c r="U8546" s="9"/>
      <c r="X8546" s="9"/>
    </row>
    <row r="8547">
      <c r="D8547" s="9"/>
      <c r="G8547" s="9"/>
      <c r="J8547" s="11"/>
      <c r="U8547" s="9"/>
      <c r="X8547" s="9"/>
    </row>
    <row r="8548">
      <c r="D8548" s="9"/>
      <c r="G8548" s="9"/>
      <c r="J8548" s="11"/>
      <c r="U8548" s="9"/>
      <c r="X8548" s="9"/>
    </row>
    <row r="8549">
      <c r="D8549" s="9"/>
      <c r="G8549" s="9"/>
      <c r="J8549" s="11"/>
      <c r="U8549" s="9"/>
      <c r="X8549" s="9"/>
    </row>
    <row r="8550">
      <c r="D8550" s="9"/>
      <c r="G8550" s="9"/>
      <c r="J8550" s="11"/>
      <c r="U8550" s="9"/>
      <c r="X8550" s="9"/>
    </row>
    <row r="8551">
      <c r="D8551" s="9"/>
      <c r="G8551" s="9"/>
      <c r="J8551" s="11"/>
      <c r="U8551" s="9"/>
      <c r="X8551" s="9"/>
    </row>
    <row r="8552">
      <c r="D8552" s="9"/>
      <c r="G8552" s="9"/>
      <c r="J8552" s="11"/>
      <c r="U8552" s="9"/>
      <c r="X8552" s="9"/>
    </row>
    <row r="8553">
      <c r="D8553" s="9"/>
      <c r="G8553" s="9"/>
      <c r="J8553" s="11"/>
      <c r="U8553" s="9"/>
      <c r="X8553" s="9"/>
    </row>
    <row r="8554">
      <c r="D8554" s="9"/>
      <c r="G8554" s="9"/>
      <c r="J8554" s="11"/>
      <c r="U8554" s="9"/>
      <c r="X8554" s="9"/>
    </row>
    <row r="8555">
      <c r="D8555" s="9"/>
      <c r="G8555" s="9"/>
      <c r="J8555" s="11"/>
      <c r="U8555" s="9"/>
      <c r="X8555" s="9"/>
    </row>
    <row r="8556">
      <c r="D8556" s="9"/>
      <c r="G8556" s="9"/>
      <c r="J8556" s="11"/>
      <c r="U8556" s="9"/>
      <c r="X8556" s="9"/>
    </row>
    <row r="8557">
      <c r="D8557" s="9"/>
      <c r="G8557" s="9"/>
      <c r="J8557" s="11"/>
      <c r="U8557" s="9"/>
      <c r="X8557" s="9"/>
    </row>
    <row r="8558">
      <c r="D8558" s="9"/>
      <c r="G8558" s="9"/>
      <c r="J8558" s="11"/>
      <c r="U8558" s="9"/>
      <c r="X8558" s="9"/>
    </row>
    <row r="8559">
      <c r="D8559" s="9"/>
      <c r="G8559" s="9"/>
      <c r="J8559" s="11"/>
      <c r="U8559" s="9"/>
      <c r="X8559" s="9"/>
    </row>
    <row r="8560">
      <c r="D8560" s="9"/>
      <c r="G8560" s="9"/>
      <c r="J8560" s="11"/>
      <c r="U8560" s="9"/>
      <c r="X8560" s="9"/>
    </row>
    <row r="8561">
      <c r="D8561" s="9"/>
      <c r="G8561" s="9"/>
      <c r="J8561" s="11"/>
      <c r="U8561" s="9"/>
      <c r="X8561" s="9"/>
    </row>
    <row r="8562">
      <c r="D8562" s="9"/>
      <c r="G8562" s="9"/>
      <c r="J8562" s="11"/>
      <c r="U8562" s="9"/>
      <c r="X8562" s="9"/>
    </row>
    <row r="8563">
      <c r="D8563" s="9"/>
      <c r="G8563" s="9"/>
      <c r="J8563" s="11"/>
      <c r="U8563" s="9"/>
      <c r="X8563" s="9"/>
    </row>
    <row r="8564">
      <c r="D8564" s="9"/>
      <c r="G8564" s="9"/>
      <c r="J8564" s="11"/>
      <c r="U8564" s="9"/>
      <c r="X8564" s="9"/>
    </row>
    <row r="8565">
      <c r="D8565" s="9"/>
      <c r="G8565" s="9"/>
      <c r="J8565" s="11"/>
      <c r="U8565" s="9"/>
      <c r="X8565" s="9"/>
    </row>
    <row r="8566">
      <c r="D8566" s="9"/>
      <c r="G8566" s="9"/>
      <c r="J8566" s="11"/>
      <c r="U8566" s="9"/>
      <c r="X8566" s="9"/>
    </row>
    <row r="8567">
      <c r="D8567" s="9"/>
      <c r="G8567" s="9"/>
      <c r="J8567" s="11"/>
      <c r="U8567" s="9"/>
      <c r="X8567" s="9"/>
    </row>
    <row r="8568">
      <c r="D8568" s="9"/>
      <c r="G8568" s="9"/>
      <c r="J8568" s="11"/>
      <c r="U8568" s="9"/>
      <c r="X8568" s="9"/>
    </row>
    <row r="8569">
      <c r="D8569" s="9"/>
      <c r="G8569" s="9"/>
      <c r="J8569" s="11"/>
      <c r="U8569" s="9"/>
      <c r="X8569" s="9"/>
    </row>
    <row r="8570">
      <c r="D8570" s="9"/>
      <c r="G8570" s="9"/>
      <c r="J8570" s="11"/>
      <c r="U8570" s="9"/>
      <c r="X8570" s="9"/>
    </row>
    <row r="8571">
      <c r="D8571" s="9"/>
      <c r="G8571" s="9"/>
      <c r="J8571" s="11"/>
      <c r="U8571" s="9"/>
      <c r="X8571" s="9"/>
    </row>
    <row r="8572">
      <c r="D8572" s="9"/>
      <c r="G8572" s="9"/>
      <c r="J8572" s="11"/>
      <c r="U8572" s="9"/>
      <c r="X8572" s="9"/>
    </row>
    <row r="8573">
      <c r="D8573" s="9"/>
      <c r="G8573" s="9"/>
      <c r="J8573" s="11"/>
      <c r="U8573" s="9"/>
      <c r="X8573" s="9"/>
    </row>
    <row r="8574">
      <c r="D8574" s="9"/>
      <c r="G8574" s="9"/>
      <c r="J8574" s="11"/>
      <c r="U8574" s="9"/>
      <c r="X8574" s="9"/>
    </row>
    <row r="8575">
      <c r="D8575" s="9"/>
      <c r="G8575" s="9"/>
      <c r="J8575" s="11"/>
      <c r="U8575" s="9"/>
      <c r="X8575" s="9"/>
    </row>
    <row r="8576">
      <c r="D8576" s="9"/>
      <c r="G8576" s="9"/>
      <c r="J8576" s="11"/>
      <c r="U8576" s="9"/>
      <c r="X8576" s="9"/>
    </row>
    <row r="8577">
      <c r="D8577" s="9"/>
      <c r="G8577" s="9"/>
      <c r="J8577" s="11"/>
      <c r="U8577" s="9"/>
      <c r="X8577" s="9"/>
    </row>
    <row r="8578">
      <c r="D8578" s="9"/>
      <c r="G8578" s="9"/>
      <c r="J8578" s="11"/>
      <c r="U8578" s="9"/>
      <c r="X8578" s="9"/>
    </row>
    <row r="8579">
      <c r="D8579" s="9"/>
      <c r="G8579" s="9"/>
      <c r="J8579" s="11"/>
      <c r="U8579" s="9"/>
      <c r="X8579" s="9"/>
    </row>
    <row r="8580">
      <c r="D8580" s="9"/>
      <c r="G8580" s="9"/>
      <c r="J8580" s="11"/>
      <c r="U8580" s="9"/>
      <c r="X8580" s="9"/>
    </row>
    <row r="8581">
      <c r="D8581" s="9"/>
      <c r="G8581" s="9"/>
      <c r="J8581" s="11"/>
      <c r="U8581" s="9"/>
      <c r="X8581" s="9"/>
    </row>
    <row r="8582">
      <c r="D8582" s="9"/>
      <c r="G8582" s="9"/>
      <c r="J8582" s="11"/>
      <c r="U8582" s="9"/>
      <c r="X8582" s="9"/>
    </row>
    <row r="8583">
      <c r="D8583" s="9"/>
      <c r="G8583" s="9"/>
      <c r="J8583" s="11"/>
      <c r="U8583" s="9"/>
      <c r="X8583" s="9"/>
    </row>
    <row r="8584">
      <c r="D8584" s="9"/>
      <c r="G8584" s="9"/>
      <c r="J8584" s="11"/>
      <c r="U8584" s="9"/>
      <c r="X8584" s="9"/>
    </row>
    <row r="8585">
      <c r="D8585" s="9"/>
      <c r="G8585" s="9"/>
      <c r="J8585" s="11"/>
      <c r="U8585" s="9"/>
      <c r="X8585" s="9"/>
    </row>
    <row r="8586">
      <c r="D8586" s="9"/>
      <c r="G8586" s="9"/>
      <c r="J8586" s="11"/>
      <c r="U8586" s="9"/>
      <c r="X8586" s="9"/>
    </row>
    <row r="8587">
      <c r="D8587" s="9"/>
      <c r="G8587" s="9"/>
      <c r="J8587" s="11"/>
      <c r="U8587" s="9"/>
      <c r="X8587" s="9"/>
    </row>
    <row r="8588">
      <c r="D8588" s="9"/>
      <c r="G8588" s="9"/>
      <c r="J8588" s="11"/>
      <c r="U8588" s="9"/>
      <c r="X8588" s="9"/>
    </row>
    <row r="8589">
      <c r="D8589" s="9"/>
      <c r="G8589" s="9"/>
      <c r="J8589" s="11"/>
      <c r="U8589" s="9"/>
      <c r="X8589" s="9"/>
    </row>
    <row r="8590">
      <c r="D8590" s="9"/>
      <c r="G8590" s="9"/>
      <c r="J8590" s="11"/>
      <c r="U8590" s="9"/>
      <c r="X8590" s="9"/>
    </row>
    <row r="8591">
      <c r="D8591" s="9"/>
      <c r="G8591" s="9"/>
      <c r="J8591" s="11"/>
      <c r="U8591" s="9"/>
      <c r="X8591" s="9"/>
    </row>
    <row r="8592">
      <c r="D8592" s="9"/>
      <c r="G8592" s="9"/>
      <c r="J8592" s="11"/>
      <c r="U8592" s="9"/>
      <c r="X8592" s="9"/>
    </row>
    <row r="8593">
      <c r="D8593" s="9"/>
      <c r="G8593" s="9"/>
      <c r="J8593" s="11"/>
      <c r="U8593" s="9"/>
      <c r="X8593" s="9"/>
    </row>
    <row r="8594">
      <c r="D8594" s="9"/>
      <c r="G8594" s="9"/>
      <c r="J8594" s="11"/>
      <c r="U8594" s="9"/>
      <c r="X8594" s="9"/>
    </row>
    <row r="8595">
      <c r="D8595" s="9"/>
      <c r="G8595" s="9"/>
      <c r="J8595" s="11"/>
      <c r="U8595" s="9"/>
      <c r="X8595" s="9"/>
    </row>
    <row r="8596">
      <c r="D8596" s="9"/>
      <c r="G8596" s="9"/>
      <c r="J8596" s="11"/>
      <c r="U8596" s="9"/>
      <c r="X8596" s="9"/>
    </row>
    <row r="8597">
      <c r="D8597" s="9"/>
      <c r="G8597" s="9"/>
      <c r="J8597" s="11"/>
      <c r="U8597" s="9"/>
      <c r="X8597" s="9"/>
    </row>
    <row r="8598">
      <c r="D8598" s="9"/>
      <c r="G8598" s="9"/>
      <c r="J8598" s="11"/>
      <c r="U8598" s="9"/>
      <c r="X8598" s="9"/>
    </row>
    <row r="8599">
      <c r="D8599" s="9"/>
      <c r="G8599" s="9"/>
      <c r="J8599" s="11"/>
      <c r="U8599" s="9"/>
      <c r="X8599" s="9"/>
    </row>
    <row r="8600">
      <c r="D8600" s="9"/>
      <c r="G8600" s="9"/>
      <c r="J8600" s="11"/>
      <c r="U8600" s="9"/>
      <c r="X8600" s="9"/>
    </row>
    <row r="8601">
      <c r="D8601" s="9"/>
      <c r="G8601" s="9"/>
      <c r="J8601" s="11"/>
      <c r="U8601" s="9"/>
      <c r="X8601" s="9"/>
    </row>
    <row r="8602">
      <c r="D8602" s="9"/>
      <c r="G8602" s="9"/>
      <c r="J8602" s="11"/>
      <c r="U8602" s="9"/>
      <c r="X8602" s="9"/>
    </row>
    <row r="8603">
      <c r="D8603" s="9"/>
      <c r="G8603" s="9"/>
      <c r="J8603" s="11"/>
      <c r="U8603" s="9"/>
      <c r="X8603" s="9"/>
    </row>
    <row r="8604">
      <c r="D8604" s="9"/>
      <c r="G8604" s="9"/>
      <c r="J8604" s="11"/>
      <c r="U8604" s="9"/>
      <c r="X8604" s="9"/>
    </row>
    <row r="8605">
      <c r="D8605" s="9"/>
      <c r="G8605" s="9"/>
      <c r="J8605" s="11"/>
      <c r="U8605" s="9"/>
      <c r="X8605" s="9"/>
    </row>
    <row r="8606">
      <c r="D8606" s="9"/>
      <c r="G8606" s="9"/>
      <c r="J8606" s="11"/>
      <c r="U8606" s="9"/>
      <c r="X8606" s="9"/>
    </row>
    <row r="8607">
      <c r="D8607" s="9"/>
      <c r="G8607" s="9"/>
      <c r="J8607" s="11"/>
      <c r="U8607" s="9"/>
      <c r="X8607" s="9"/>
    </row>
    <row r="8608">
      <c r="D8608" s="9"/>
      <c r="G8608" s="9"/>
      <c r="J8608" s="11"/>
      <c r="U8608" s="9"/>
      <c r="X8608" s="9"/>
    </row>
    <row r="8609">
      <c r="D8609" s="9"/>
      <c r="G8609" s="9"/>
      <c r="J8609" s="11"/>
      <c r="U8609" s="9"/>
      <c r="X8609" s="9"/>
    </row>
    <row r="8610">
      <c r="D8610" s="9"/>
      <c r="G8610" s="9"/>
      <c r="J8610" s="11"/>
      <c r="U8610" s="9"/>
      <c r="X8610" s="9"/>
    </row>
    <row r="8611">
      <c r="D8611" s="9"/>
      <c r="G8611" s="9"/>
      <c r="J8611" s="11"/>
      <c r="U8611" s="9"/>
      <c r="X8611" s="9"/>
    </row>
    <row r="8612">
      <c r="D8612" s="9"/>
      <c r="G8612" s="9"/>
      <c r="J8612" s="11"/>
      <c r="U8612" s="9"/>
      <c r="X8612" s="9"/>
    </row>
    <row r="8613">
      <c r="D8613" s="9"/>
      <c r="G8613" s="9"/>
      <c r="J8613" s="11"/>
      <c r="U8613" s="9"/>
      <c r="X8613" s="9"/>
    </row>
    <row r="8614">
      <c r="D8614" s="9"/>
      <c r="G8614" s="9"/>
      <c r="J8614" s="11"/>
      <c r="U8614" s="9"/>
      <c r="X8614" s="9"/>
    </row>
    <row r="8615">
      <c r="D8615" s="9"/>
      <c r="G8615" s="9"/>
      <c r="J8615" s="11"/>
      <c r="U8615" s="9"/>
      <c r="X8615" s="9"/>
    </row>
    <row r="8616">
      <c r="D8616" s="9"/>
      <c r="G8616" s="9"/>
      <c r="J8616" s="11"/>
      <c r="U8616" s="9"/>
      <c r="X8616" s="9"/>
    </row>
    <row r="8617">
      <c r="D8617" s="9"/>
      <c r="G8617" s="9"/>
      <c r="J8617" s="11"/>
      <c r="U8617" s="9"/>
      <c r="X8617" s="9"/>
    </row>
    <row r="8618">
      <c r="D8618" s="9"/>
      <c r="G8618" s="9"/>
      <c r="J8618" s="11"/>
      <c r="U8618" s="9"/>
      <c r="X8618" s="9"/>
    </row>
    <row r="8619">
      <c r="D8619" s="9"/>
      <c r="G8619" s="9"/>
      <c r="J8619" s="11"/>
      <c r="U8619" s="9"/>
      <c r="X8619" s="9"/>
    </row>
    <row r="8620">
      <c r="D8620" s="9"/>
      <c r="G8620" s="9"/>
      <c r="J8620" s="11"/>
      <c r="U8620" s="9"/>
      <c r="X8620" s="9"/>
    </row>
    <row r="8621">
      <c r="D8621" s="9"/>
      <c r="G8621" s="9"/>
      <c r="J8621" s="11"/>
      <c r="U8621" s="9"/>
      <c r="X8621" s="9"/>
    </row>
    <row r="8622">
      <c r="D8622" s="9"/>
      <c r="G8622" s="9"/>
      <c r="J8622" s="11"/>
      <c r="U8622" s="9"/>
      <c r="X8622" s="9"/>
    </row>
    <row r="8623">
      <c r="D8623" s="9"/>
      <c r="G8623" s="9"/>
      <c r="J8623" s="11"/>
      <c r="U8623" s="9"/>
      <c r="X8623" s="9"/>
    </row>
    <row r="8624">
      <c r="D8624" s="9"/>
      <c r="G8624" s="9"/>
      <c r="J8624" s="11"/>
      <c r="U8624" s="9"/>
      <c r="X8624" s="9"/>
    </row>
    <row r="8625">
      <c r="D8625" s="9"/>
      <c r="G8625" s="9"/>
      <c r="J8625" s="11"/>
      <c r="U8625" s="9"/>
      <c r="X8625" s="9"/>
    </row>
    <row r="8626">
      <c r="D8626" s="9"/>
      <c r="G8626" s="9"/>
      <c r="J8626" s="11"/>
      <c r="U8626" s="9"/>
      <c r="X8626" s="9"/>
    </row>
    <row r="8627">
      <c r="D8627" s="9"/>
      <c r="G8627" s="9"/>
      <c r="J8627" s="11"/>
      <c r="U8627" s="9"/>
      <c r="X8627" s="9"/>
    </row>
    <row r="8628">
      <c r="D8628" s="9"/>
      <c r="G8628" s="9"/>
      <c r="J8628" s="11"/>
      <c r="U8628" s="9"/>
      <c r="X8628" s="9"/>
    </row>
    <row r="8629">
      <c r="D8629" s="9"/>
      <c r="G8629" s="9"/>
      <c r="J8629" s="11"/>
      <c r="U8629" s="9"/>
      <c r="X8629" s="9"/>
    </row>
    <row r="8630">
      <c r="D8630" s="9"/>
      <c r="G8630" s="9"/>
      <c r="J8630" s="11"/>
      <c r="U8630" s="9"/>
      <c r="X8630" s="9"/>
    </row>
    <row r="8631">
      <c r="D8631" s="9"/>
      <c r="G8631" s="9"/>
      <c r="J8631" s="11"/>
      <c r="U8631" s="9"/>
      <c r="X8631" s="9"/>
    </row>
    <row r="8632">
      <c r="D8632" s="9"/>
      <c r="G8632" s="9"/>
      <c r="J8632" s="11"/>
      <c r="U8632" s="9"/>
      <c r="X8632" s="9"/>
    </row>
    <row r="8633">
      <c r="D8633" s="9"/>
      <c r="G8633" s="9"/>
      <c r="J8633" s="11"/>
      <c r="U8633" s="9"/>
      <c r="X8633" s="9"/>
    </row>
    <row r="8634">
      <c r="D8634" s="9"/>
      <c r="G8634" s="9"/>
      <c r="J8634" s="11"/>
      <c r="U8634" s="9"/>
      <c r="X8634" s="9"/>
    </row>
    <row r="8635">
      <c r="D8635" s="9"/>
      <c r="G8635" s="9"/>
      <c r="J8635" s="11"/>
      <c r="U8635" s="9"/>
      <c r="X8635" s="9"/>
    </row>
    <row r="8636">
      <c r="D8636" s="9"/>
      <c r="G8636" s="9"/>
      <c r="J8636" s="11"/>
      <c r="U8636" s="9"/>
      <c r="X8636" s="9"/>
    </row>
    <row r="8637">
      <c r="D8637" s="9"/>
      <c r="G8637" s="9"/>
      <c r="J8637" s="11"/>
      <c r="U8637" s="9"/>
      <c r="X8637" s="9"/>
    </row>
    <row r="8638">
      <c r="D8638" s="9"/>
      <c r="G8638" s="9"/>
      <c r="J8638" s="11"/>
      <c r="U8638" s="9"/>
      <c r="X8638" s="9"/>
    </row>
    <row r="8639">
      <c r="D8639" s="9"/>
      <c r="G8639" s="9"/>
      <c r="J8639" s="11"/>
      <c r="U8639" s="9"/>
      <c r="X8639" s="9"/>
    </row>
    <row r="8640">
      <c r="D8640" s="9"/>
      <c r="G8640" s="9"/>
      <c r="J8640" s="11"/>
      <c r="U8640" s="9"/>
      <c r="X8640" s="9"/>
    </row>
    <row r="8641">
      <c r="D8641" s="9"/>
      <c r="G8641" s="9"/>
      <c r="J8641" s="11"/>
      <c r="U8641" s="9"/>
      <c r="X8641" s="9"/>
    </row>
    <row r="8642">
      <c r="D8642" s="9"/>
      <c r="G8642" s="9"/>
      <c r="J8642" s="11"/>
      <c r="U8642" s="9"/>
      <c r="X8642" s="9"/>
    </row>
    <row r="8643">
      <c r="D8643" s="9"/>
      <c r="G8643" s="9"/>
      <c r="J8643" s="11"/>
      <c r="U8643" s="9"/>
      <c r="X8643" s="9"/>
    </row>
    <row r="8644">
      <c r="D8644" s="9"/>
      <c r="G8644" s="9"/>
      <c r="J8644" s="11"/>
      <c r="U8644" s="9"/>
      <c r="X8644" s="9"/>
    </row>
    <row r="8645">
      <c r="D8645" s="9"/>
      <c r="G8645" s="9"/>
      <c r="J8645" s="11"/>
      <c r="U8645" s="9"/>
      <c r="X8645" s="9"/>
    </row>
    <row r="8646">
      <c r="D8646" s="9"/>
      <c r="G8646" s="9"/>
      <c r="J8646" s="11"/>
      <c r="U8646" s="9"/>
      <c r="X8646" s="9"/>
    </row>
    <row r="8647">
      <c r="D8647" s="9"/>
      <c r="G8647" s="9"/>
      <c r="J8647" s="11"/>
      <c r="U8647" s="9"/>
      <c r="X8647" s="9"/>
    </row>
    <row r="8648">
      <c r="D8648" s="9"/>
      <c r="G8648" s="9"/>
      <c r="J8648" s="11"/>
      <c r="U8648" s="9"/>
      <c r="X8648" s="9"/>
    </row>
    <row r="8649">
      <c r="D8649" s="9"/>
      <c r="G8649" s="9"/>
      <c r="J8649" s="11"/>
      <c r="U8649" s="9"/>
      <c r="X8649" s="9"/>
    </row>
    <row r="8650">
      <c r="D8650" s="9"/>
      <c r="G8650" s="9"/>
      <c r="J8650" s="11"/>
      <c r="U8650" s="9"/>
      <c r="X8650" s="9"/>
    </row>
    <row r="8651">
      <c r="D8651" s="9"/>
      <c r="G8651" s="9"/>
      <c r="J8651" s="11"/>
      <c r="U8651" s="9"/>
      <c r="X8651" s="9"/>
    </row>
    <row r="8652">
      <c r="D8652" s="9"/>
      <c r="G8652" s="9"/>
      <c r="J8652" s="11"/>
      <c r="U8652" s="9"/>
      <c r="X8652" s="9"/>
    </row>
    <row r="8653">
      <c r="D8653" s="9"/>
      <c r="G8653" s="9"/>
      <c r="J8653" s="11"/>
      <c r="U8653" s="9"/>
      <c r="X8653" s="9"/>
    </row>
    <row r="8654">
      <c r="D8654" s="9"/>
      <c r="G8654" s="9"/>
      <c r="J8654" s="11"/>
      <c r="U8654" s="9"/>
      <c r="X8654" s="9"/>
    </row>
    <row r="8655">
      <c r="D8655" s="9"/>
      <c r="G8655" s="9"/>
      <c r="J8655" s="11"/>
      <c r="U8655" s="9"/>
      <c r="X8655" s="9"/>
    </row>
    <row r="8656">
      <c r="D8656" s="9"/>
      <c r="G8656" s="9"/>
      <c r="J8656" s="11"/>
      <c r="U8656" s="9"/>
      <c r="X8656" s="9"/>
    </row>
    <row r="8657">
      <c r="D8657" s="9"/>
      <c r="G8657" s="9"/>
      <c r="J8657" s="11"/>
      <c r="U8657" s="9"/>
      <c r="X8657" s="9"/>
    </row>
    <row r="8658">
      <c r="D8658" s="9"/>
      <c r="G8658" s="9"/>
      <c r="J8658" s="11"/>
      <c r="U8658" s="9"/>
      <c r="X8658" s="9"/>
    </row>
    <row r="8659">
      <c r="D8659" s="9"/>
      <c r="G8659" s="9"/>
      <c r="J8659" s="11"/>
      <c r="U8659" s="9"/>
      <c r="X8659" s="9"/>
    </row>
    <row r="8660">
      <c r="D8660" s="9"/>
      <c r="G8660" s="9"/>
      <c r="J8660" s="11"/>
      <c r="U8660" s="9"/>
      <c r="X8660" s="9"/>
    </row>
    <row r="8661">
      <c r="D8661" s="9"/>
      <c r="G8661" s="9"/>
      <c r="J8661" s="11"/>
      <c r="U8661" s="9"/>
      <c r="X8661" s="9"/>
    </row>
    <row r="8662">
      <c r="D8662" s="9"/>
      <c r="G8662" s="9"/>
      <c r="J8662" s="11"/>
      <c r="U8662" s="9"/>
      <c r="X8662" s="9"/>
    </row>
    <row r="8663">
      <c r="D8663" s="9"/>
      <c r="G8663" s="9"/>
      <c r="J8663" s="11"/>
      <c r="U8663" s="9"/>
      <c r="X8663" s="9"/>
    </row>
    <row r="8664">
      <c r="D8664" s="9"/>
      <c r="G8664" s="9"/>
      <c r="J8664" s="11"/>
      <c r="U8664" s="9"/>
      <c r="X8664" s="9"/>
    </row>
    <row r="8665">
      <c r="D8665" s="9"/>
      <c r="G8665" s="9"/>
      <c r="J8665" s="11"/>
      <c r="U8665" s="9"/>
      <c r="X8665" s="9"/>
    </row>
    <row r="8666">
      <c r="D8666" s="9"/>
      <c r="G8666" s="9"/>
      <c r="J8666" s="11"/>
      <c r="U8666" s="9"/>
      <c r="X8666" s="9"/>
    </row>
    <row r="8667">
      <c r="D8667" s="9"/>
      <c r="G8667" s="9"/>
      <c r="J8667" s="11"/>
      <c r="U8667" s="9"/>
      <c r="X8667" s="9"/>
    </row>
    <row r="8668">
      <c r="D8668" s="9"/>
      <c r="G8668" s="9"/>
      <c r="J8668" s="11"/>
      <c r="U8668" s="9"/>
      <c r="X8668" s="9"/>
    </row>
    <row r="8669">
      <c r="D8669" s="9"/>
      <c r="G8669" s="9"/>
      <c r="J8669" s="11"/>
      <c r="U8669" s="9"/>
      <c r="X8669" s="9"/>
    </row>
    <row r="8670">
      <c r="D8670" s="9"/>
      <c r="G8670" s="9"/>
      <c r="J8670" s="11"/>
      <c r="U8670" s="9"/>
      <c r="X8670" s="9"/>
    </row>
    <row r="8671">
      <c r="D8671" s="9"/>
      <c r="G8671" s="9"/>
      <c r="J8671" s="11"/>
      <c r="U8671" s="9"/>
      <c r="X8671" s="9"/>
    </row>
    <row r="8672">
      <c r="D8672" s="9"/>
      <c r="G8672" s="9"/>
      <c r="J8672" s="11"/>
      <c r="U8672" s="9"/>
      <c r="X8672" s="9"/>
    </row>
    <row r="8673">
      <c r="D8673" s="9"/>
      <c r="G8673" s="9"/>
      <c r="J8673" s="11"/>
      <c r="U8673" s="9"/>
      <c r="X8673" s="9"/>
    </row>
    <row r="8674">
      <c r="D8674" s="9"/>
      <c r="G8674" s="9"/>
      <c r="J8674" s="11"/>
      <c r="U8674" s="9"/>
      <c r="X8674" s="9"/>
    </row>
    <row r="8675">
      <c r="D8675" s="9"/>
      <c r="G8675" s="9"/>
      <c r="J8675" s="11"/>
      <c r="U8675" s="9"/>
      <c r="X8675" s="9"/>
    </row>
    <row r="8676">
      <c r="D8676" s="9"/>
      <c r="G8676" s="9"/>
      <c r="J8676" s="11"/>
      <c r="U8676" s="9"/>
      <c r="X8676" s="9"/>
    </row>
    <row r="8677">
      <c r="D8677" s="9"/>
      <c r="G8677" s="9"/>
      <c r="J8677" s="11"/>
      <c r="U8677" s="9"/>
      <c r="X8677" s="9"/>
    </row>
    <row r="8678">
      <c r="D8678" s="9"/>
      <c r="G8678" s="9"/>
      <c r="J8678" s="11"/>
      <c r="U8678" s="9"/>
      <c r="X8678" s="9"/>
    </row>
    <row r="8679">
      <c r="D8679" s="9"/>
      <c r="G8679" s="9"/>
      <c r="J8679" s="11"/>
      <c r="U8679" s="9"/>
      <c r="X8679" s="9"/>
    </row>
    <row r="8680">
      <c r="D8680" s="9"/>
      <c r="G8680" s="9"/>
      <c r="J8680" s="11"/>
      <c r="U8680" s="9"/>
      <c r="X8680" s="9"/>
    </row>
    <row r="8681">
      <c r="D8681" s="9"/>
      <c r="G8681" s="9"/>
      <c r="J8681" s="11"/>
      <c r="U8681" s="9"/>
      <c r="X8681" s="9"/>
    </row>
    <row r="8682">
      <c r="D8682" s="9"/>
      <c r="G8682" s="9"/>
      <c r="J8682" s="11"/>
      <c r="U8682" s="9"/>
      <c r="X8682" s="9"/>
    </row>
    <row r="8683">
      <c r="D8683" s="9"/>
      <c r="G8683" s="9"/>
      <c r="J8683" s="11"/>
      <c r="U8683" s="9"/>
      <c r="X8683" s="9"/>
    </row>
    <row r="8684">
      <c r="D8684" s="9"/>
      <c r="G8684" s="9"/>
      <c r="J8684" s="11"/>
      <c r="U8684" s="9"/>
      <c r="X8684" s="9"/>
    </row>
    <row r="8685">
      <c r="D8685" s="9"/>
      <c r="G8685" s="9"/>
      <c r="J8685" s="11"/>
      <c r="U8685" s="9"/>
      <c r="X8685" s="9"/>
    </row>
    <row r="8686">
      <c r="D8686" s="9"/>
      <c r="G8686" s="9"/>
      <c r="J8686" s="11"/>
      <c r="U8686" s="9"/>
      <c r="X8686" s="9"/>
    </row>
    <row r="8687">
      <c r="D8687" s="9"/>
      <c r="G8687" s="9"/>
      <c r="J8687" s="11"/>
      <c r="U8687" s="9"/>
      <c r="X8687" s="9"/>
    </row>
    <row r="8688">
      <c r="D8688" s="9"/>
      <c r="G8688" s="9"/>
      <c r="J8688" s="11"/>
      <c r="U8688" s="9"/>
      <c r="X8688" s="9"/>
    </row>
    <row r="8689">
      <c r="D8689" s="9"/>
      <c r="G8689" s="9"/>
      <c r="J8689" s="11"/>
      <c r="U8689" s="9"/>
      <c r="X8689" s="9"/>
    </row>
    <row r="8690">
      <c r="D8690" s="9"/>
      <c r="G8690" s="9"/>
      <c r="J8690" s="11"/>
      <c r="U8690" s="9"/>
      <c r="X8690" s="9"/>
    </row>
    <row r="8691">
      <c r="D8691" s="9"/>
      <c r="G8691" s="9"/>
      <c r="J8691" s="11"/>
      <c r="U8691" s="9"/>
      <c r="X8691" s="9"/>
    </row>
    <row r="8692">
      <c r="D8692" s="9"/>
      <c r="G8692" s="9"/>
      <c r="J8692" s="11"/>
      <c r="U8692" s="9"/>
      <c r="X8692" s="9"/>
    </row>
    <row r="8693">
      <c r="D8693" s="9"/>
      <c r="G8693" s="9"/>
      <c r="J8693" s="11"/>
      <c r="U8693" s="9"/>
      <c r="X8693" s="9"/>
    </row>
    <row r="8694">
      <c r="D8694" s="9"/>
      <c r="G8694" s="9"/>
      <c r="J8694" s="11"/>
      <c r="U8694" s="9"/>
      <c r="X8694" s="9"/>
    </row>
    <row r="8695">
      <c r="D8695" s="9"/>
      <c r="G8695" s="9"/>
      <c r="J8695" s="11"/>
      <c r="U8695" s="9"/>
      <c r="X8695" s="9"/>
    </row>
    <row r="8696">
      <c r="D8696" s="9"/>
      <c r="G8696" s="9"/>
      <c r="J8696" s="11"/>
      <c r="U8696" s="9"/>
      <c r="X8696" s="9"/>
    </row>
    <row r="8697">
      <c r="D8697" s="9"/>
      <c r="G8697" s="9"/>
      <c r="J8697" s="11"/>
      <c r="U8697" s="9"/>
      <c r="X8697" s="9"/>
    </row>
    <row r="8698">
      <c r="D8698" s="9"/>
      <c r="G8698" s="9"/>
      <c r="J8698" s="11"/>
      <c r="U8698" s="9"/>
      <c r="X8698" s="9"/>
    </row>
    <row r="8699">
      <c r="D8699" s="9"/>
      <c r="G8699" s="9"/>
      <c r="J8699" s="11"/>
      <c r="U8699" s="9"/>
      <c r="X8699" s="9"/>
    </row>
    <row r="8700">
      <c r="D8700" s="9"/>
      <c r="G8700" s="9"/>
      <c r="J8700" s="11"/>
      <c r="U8700" s="9"/>
      <c r="X8700" s="9"/>
    </row>
    <row r="8701">
      <c r="D8701" s="9"/>
      <c r="G8701" s="9"/>
      <c r="J8701" s="11"/>
      <c r="U8701" s="9"/>
      <c r="X8701" s="9"/>
    </row>
    <row r="8702">
      <c r="D8702" s="9"/>
      <c r="G8702" s="9"/>
      <c r="J8702" s="11"/>
      <c r="U8702" s="9"/>
      <c r="X8702" s="9"/>
    </row>
    <row r="8703">
      <c r="D8703" s="9"/>
      <c r="G8703" s="9"/>
      <c r="J8703" s="11"/>
      <c r="U8703" s="9"/>
      <c r="X8703" s="9"/>
    </row>
    <row r="8704">
      <c r="D8704" s="9"/>
      <c r="G8704" s="9"/>
      <c r="J8704" s="11"/>
      <c r="U8704" s="9"/>
      <c r="X8704" s="9"/>
    </row>
    <row r="8705">
      <c r="D8705" s="9"/>
      <c r="G8705" s="9"/>
      <c r="J8705" s="11"/>
      <c r="U8705" s="9"/>
      <c r="X8705" s="9"/>
    </row>
    <row r="8706">
      <c r="D8706" s="9"/>
      <c r="G8706" s="9"/>
      <c r="J8706" s="11"/>
      <c r="U8706" s="9"/>
      <c r="X8706" s="9"/>
    </row>
    <row r="8707">
      <c r="D8707" s="9"/>
      <c r="G8707" s="9"/>
      <c r="J8707" s="11"/>
      <c r="U8707" s="9"/>
      <c r="X8707" s="9"/>
    </row>
    <row r="8708">
      <c r="D8708" s="9"/>
      <c r="G8708" s="9"/>
      <c r="J8708" s="11"/>
      <c r="U8708" s="9"/>
      <c r="X8708" s="9"/>
    </row>
    <row r="8709">
      <c r="D8709" s="9"/>
      <c r="G8709" s="9"/>
      <c r="J8709" s="11"/>
      <c r="U8709" s="9"/>
      <c r="X8709" s="9"/>
    </row>
    <row r="8710">
      <c r="D8710" s="9"/>
      <c r="G8710" s="9"/>
      <c r="J8710" s="11"/>
      <c r="U8710" s="9"/>
      <c r="X8710" s="9"/>
    </row>
    <row r="8711">
      <c r="D8711" s="9"/>
      <c r="G8711" s="9"/>
      <c r="J8711" s="11"/>
      <c r="U8711" s="9"/>
      <c r="X8711" s="9"/>
    </row>
    <row r="8712">
      <c r="D8712" s="9"/>
      <c r="G8712" s="9"/>
      <c r="J8712" s="11"/>
      <c r="U8712" s="9"/>
      <c r="X8712" s="9"/>
    </row>
    <row r="8713">
      <c r="D8713" s="9"/>
      <c r="G8713" s="9"/>
      <c r="J8713" s="11"/>
      <c r="U8713" s="9"/>
      <c r="X8713" s="9"/>
    </row>
    <row r="8714">
      <c r="D8714" s="9"/>
      <c r="G8714" s="9"/>
      <c r="J8714" s="11"/>
      <c r="U8714" s="9"/>
      <c r="X8714" s="9"/>
    </row>
    <row r="8715">
      <c r="D8715" s="9"/>
      <c r="G8715" s="9"/>
      <c r="J8715" s="11"/>
      <c r="U8715" s="9"/>
      <c r="X8715" s="9"/>
    </row>
    <row r="8716">
      <c r="D8716" s="9"/>
      <c r="G8716" s="9"/>
      <c r="J8716" s="11"/>
      <c r="U8716" s="9"/>
      <c r="X8716" s="9"/>
    </row>
    <row r="8717">
      <c r="D8717" s="9"/>
      <c r="G8717" s="9"/>
      <c r="J8717" s="11"/>
      <c r="U8717" s="9"/>
      <c r="X8717" s="9"/>
    </row>
    <row r="8718">
      <c r="D8718" s="9"/>
      <c r="G8718" s="9"/>
      <c r="J8718" s="11"/>
      <c r="U8718" s="9"/>
      <c r="X8718" s="9"/>
    </row>
    <row r="8719">
      <c r="D8719" s="9"/>
      <c r="G8719" s="9"/>
      <c r="J8719" s="11"/>
      <c r="U8719" s="9"/>
      <c r="X8719" s="9"/>
    </row>
    <row r="8720">
      <c r="D8720" s="9"/>
      <c r="G8720" s="9"/>
      <c r="J8720" s="11"/>
      <c r="U8720" s="9"/>
      <c r="X8720" s="9"/>
    </row>
    <row r="8721">
      <c r="D8721" s="9"/>
      <c r="G8721" s="9"/>
      <c r="J8721" s="11"/>
      <c r="U8721" s="9"/>
      <c r="X8721" s="9"/>
    </row>
    <row r="8722">
      <c r="D8722" s="9"/>
      <c r="G8722" s="9"/>
      <c r="J8722" s="11"/>
      <c r="U8722" s="9"/>
      <c r="X8722" s="9"/>
    </row>
    <row r="8723">
      <c r="D8723" s="9"/>
      <c r="G8723" s="9"/>
      <c r="J8723" s="11"/>
      <c r="U8723" s="9"/>
      <c r="X8723" s="9"/>
    </row>
    <row r="8724">
      <c r="D8724" s="9"/>
      <c r="G8724" s="9"/>
      <c r="J8724" s="11"/>
      <c r="U8724" s="9"/>
      <c r="X8724" s="9"/>
    </row>
    <row r="8725">
      <c r="D8725" s="9"/>
      <c r="G8725" s="9"/>
      <c r="J8725" s="11"/>
      <c r="U8725" s="9"/>
      <c r="X8725" s="9"/>
    </row>
    <row r="8726">
      <c r="D8726" s="9"/>
      <c r="G8726" s="9"/>
      <c r="J8726" s="11"/>
      <c r="U8726" s="9"/>
      <c r="X8726" s="9"/>
    </row>
    <row r="8727">
      <c r="D8727" s="9"/>
      <c r="G8727" s="9"/>
      <c r="J8727" s="11"/>
      <c r="U8727" s="9"/>
      <c r="X8727" s="9"/>
    </row>
    <row r="8728">
      <c r="D8728" s="9"/>
      <c r="G8728" s="9"/>
      <c r="J8728" s="11"/>
      <c r="U8728" s="9"/>
      <c r="X8728" s="9"/>
    </row>
    <row r="8729">
      <c r="D8729" s="9"/>
      <c r="G8729" s="9"/>
      <c r="J8729" s="11"/>
      <c r="U8729" s="9"/>
      <c r="X8729" s="9"/>
    </row>
    <row r="8730">
      <c r="D8730" s="9"/>
      <c r="G8730" s="9"/>
      <c r="J8730" s="11"/>
      <c r="U8730" s="9"/>
      <c r="X8730" s="9"/>
    </row>
    <row r="8731">
      <c r="D8731" s="9"/>
      <c r="G8731" s="9"/>
      <c r="J8731" s="11"/>
      <c r="U8731" s="9"/>
      <c r="X8731" s="9"/>
    </row>
    <row r="8732">
      <c r="D8732" s="9"/>
      <c r="G8732" s="9"/>
      <c r="J8732" s="11"/>
      <c r="U8732" s="9"/>
      <c r="X8732" s="9"/>
    </row>
    <row r="8733">
      <c r="D8733" s="9"/>
      <c r="G8733" s="9"/>
      <c r="J8733" s="11"/>
      <c r="U8733" s="9"/>
      <c r="X8733" s="9"/>
    </row>
    <row r="8734">
      <c r="D8734" s="9"/>
      <c r="G8734" s="9"/>
      <c r="J8734" s="11"/>
      <c r="U8734" s="9"/>
      <c r="X8734" s="9"/>
    </row>
    <row r="8735">
      <c r="D8735" s="9"/>
      <c r="G8735" s="9"/>
      <c r="J8735" s="11"/>
      <c r="U8735" s="9"/>
      <c r="X8735" s="9"/>
    </row>
    <row r="8736">
      <c r="D8736" s="9"/>
      <c r="G8736" s="9"/>
      <c r="J8736" s="11"/>
      <c r="U8736" s="9"/>
      <c r="X8736" s="9"/>
    </row>
    <row r="8737">
      <c r="D8737" s="9"/>
      <c r="G8737" s="9"/>
      <c r="J8737" s="11"/>
      <c r="U8737" s="9"/>
      <c r="X8737" s="9"/>
    </row>
    <row r="8738">
      <c r="D8738" s="9"/>
      <c r="G8738" s="9"/>
      <c r="J8738" s="11"/>
      <c r="U8738" s="9"/>
      <c r="X8738" s="9"/>
    </row>
    <row r="8739">
      <c r="D8739" s="9"/>
      <c r="G8739" s="9"/>
      <c r="J8739" s="11"/>
      <c r="U8739" s="9"/>
      <c r="X8739" s="9"/>
    </row>
    <row r="8740">
      <c r="D8740" s="9"/>
      <c r="G8740" s="9"/>
      <c r="J8740" s="11"/>
      <c r="U8740" s="9"/>
      <c r="X8740" s="9"/>
    </row>
    <row r="8741">
      <c r="D8741" s="9"/>
      <c r="G8741" s="9"/>
      <c r="J8741" s="11"/>
      <c r="U8741" s="9"/>
      <c r="X8741" s="9"/>
    </row>
    <row r="8742">
      <c r="D8742" s="9"/>
      <c r="G8742" s="9"/>
      <c r="J8742" s="11"/>
      <c r="U8742" s="9"/>
      <c r="X8742" s="9"/>
    </row>
    <row r="8743">
      <c r="D8743" s="9"/>
      <c r="G8743" s="9"/>
      <c r="J8743" s="11"/>
      <c r="U8743" s="9"/>
      <c r="X8743" s="9"/>
    </row>
    <row r="8744">
      <c r="D8744" s="9"/>
      <c r="G8744" s="9"/>
      <c r="J8744" s="11"/>
      <c r="U8744" s="9"/>
      <c r="X8744" s="9"/>
    </row>
    <row r="8745">
      <c r="D8745" s="9"/>
      <c r="G8745" s="9"/>
      <c r="J8745" s="11"/>
      <c r="U8745" s="9"/>
      <c r="X8745" s="9"/>
    </row>
    <row r="8746">
      <c r="D8746" s="9"/>
      <c r="G8746" s="9"/>
      <c r="J8746" s="11"/>
      <c r="U8746" s="9"/>
      <c r="X8746" s="9"/>
    </row>
    <row r="8747">
      <c r="D8747" s="9"/>
      <c r="G8747" s="9"/>
      <c r="J8747" s="11"/>
      <c r="U8747" s="9"/>
      <c r="X8747" s="9"/>
    </row>
    <row r="8748">
      <c r="D8748" s="9"/>
      <c r="G8748" s="9"/>
      <c r="J8748" s="11"/>
      <c r="U8748" s="9"/>
      <c r="X8748" s="9"/>
    </row>
    <row r="8749">
      <c r="D8749" s="9"/>
      <c r="G8749" s="9"/>
      <c r="J8749" s="11"/>
      <c r="U8749" s="9"/>
      <c r="X8749" s="9"/>
    </row>
    <row r="8750">
      <c r="D8750" s="9"/>
      <c r="G8750" s="9"/>
      <c r="J8750" s="11"/>
      <c r="U8750" s="9"/>
      <c r="X8750" s="9"/>
    </row>
    <row r="8751">
      <c r="D8751" s="9"/>
      <c r="G8751" s="9"/>
      <c r="J8751" s="11"/>
      <c r="U8751" s="9"/>
      <c r="X8751" s="9"/>
    </row>
    <row r="8752">
      <c r="D8752" s="9"/>
      <c r="G8752" s="9"/>
      <c r="J8752" s="11"/>
      <c r="U8752" s="9"/>
      <c r="X8752" s="9"/>
    </row>
    <row r="8753">
      <c r="D8753" s="9"/>
      <c r="G8753" s="9"/>
      <c r="J8753" s="11"/>
      <c r="U8753" s="9"/>
      <c r="X8753" s="9"/>
    </row>
    <row r="8754">
      <c r="D8754" s="9"/>
      <c r="G8754" s="9"/>
      <c r="J8754" s="11"/>
      <c r="U8754" s="9"/>
      <c r="X8754" s="9"/>
    </row>
    <row r="8755">
      <c r="D8755" s="9"/>
      <c r="G8755" s="9"/>
      <c r="J8755" s="11"/>
      <c r="U8755" s="9"/>
      <c r="X8755" s="9"/>
    </row>
    <row r="8756">
      <c r="D8756" s="9"/>
      <c r="G8756" s="9"/>
      <c r="J8756" s="11"/>
      <c r="U8756" s="9"/>
      <c r="X8756" s="9"/>
    </row>
    <row r="8757">
      <c r="D8757" s="9"/>
      <c r="G8757" s="9"/>
      <c r="J8757" s="11"/>
      <c r="U8757" s="9"/>
      <c r="X8757" s="9"/>
    </row>
    <row r="8758">
      <c r="D8758" s="9"/>
      <c r="G8758" s="9"/>
      <c r="J8758" s="11"/>
      <c r="U8758" s="9"/>
      <c r="X8758" s="9"/>
    </row>
    <row r="8759">
      <c r="D8759" s="9"/>
      <c r="G8759" s="9"/>
      <c r="J8759" s="11"/>
      <c r="U8759" s="9"/>
      <c r="X8759" s="9"/>
    </row>
    <row r="8760">
      <c r="D8760" s="9"/>
      <c r="G8760" s="9"/>
      <c r="J8760" s="11"/>
      <c r="U8760" s="9"/>
      <c r="X8760" s="9"/>
    </row>
    <row r="8761">
      <c r="D8761" s="9"/>
      <c r="G8761" s="9"/>
      <c r="J8761" s="11"/>
      <c r="U8761" s="9"/>
      <c r="X8761" s="9"/>
    </row>
    <row r="8762">
      <c r="D8762" s="9"/>
      <c r="G8762" s="9"/>
      <c r="J8762" s="11"/>
      <c r="U8762" s="9"/>
      <c r="X8762" s="9"/>
    </row>
    <row r="8763">
      <c r="D8763" s="9"/>
      <c r="G8763" s="9"/>
      <c r="J8763" s="11"/>
      <c r="U8763" s="9"/>
      <c r="X8763" s="9"/>
    </row>
    <row r="8764">
      <c r="D8764" s="9"/>
      <c r="G8764" s="9"/>
      <c r="J8764" s="11"/>
      <c r="U8764" s="9"/>
      <c r="X8764" s="9"/>
    </row>
    <row r="8765">
      <c r="D8765" s="9"/>
      <c r="G8765" s="9"/>
      <c r="J8765" s="11"/>
      <c r="U8765" s="9"/>
      <c r="X8765" s="9"/>
    </row>
    <row r="8766">
      <c r="D8766" s="9"/>
      <c r="G8766" s="9"/>
      <c r="J8766" s="11"/>
      <c r="U8766" s="9"/>
      <c r="X8766" s="9"/>
    </row>
    <row r="8767">
      <c r="D8767" s="9"/>
      <c r="G8767" s="9"/>
      <c r="J8767" s="11"/>
      <c r="U8767" s="9"/>
      <c r="X8767" s="9"/>
    </row>
    <row r="8768">
      <c r="D8768" s="9"/>
      <c r="G8768" s="9"/>
      <c r="J8768" s="11"/>
      <c r="U8768" s="9"/>
      <c r="X8768" s="9"/>
    </row>
    <row r="8769">
      <c r="D8769" s="9"/>
      <c r="G8769" s="9"/>
      <c r="J8769" s="11"/>
      <c r="U8769" s="9"/>
      <c r="X8769" s="9"/>
    </row>
    <row r="8770">
      <c r="D8770" s="9"/>
      <c r="G8770" s="9"/>
      <c r="J8770" s="11"/>
      <c r="U8770" s="9"/>
      <c r="X8770" s="9"/>
    </row>
    <row r="8771">
      <c r="D8771" s="9"/>
      <c r="G8771" s="9"/>
      <c r="J8771" s="11"/>
      <c r="U8771" s="9"/>
      <c r="X8771" s="9"/>
    </row>
    <row r="8772">
      <c r="D8772" s="9"/>
      <c r="G8772" s="9"/>
      <c r="J8772" s="11"/>
      <c r="U8772" s="9"/>
      <c r="X8772" s="9"/>
    </row>
    <row r="8773">
      <c r="D8773" s="9"/>
      <c r="G8773" s="9"/>
      <c r="J8773" s="11"/>
      <c r="U8773" s="9"/>
      <c r="X8773" s="9"/>
    </row>
    <row r="8774">
      <c r="D8774" s="9"/>
      <c r="G8774" s="9"/>
      <c r="J8774" s="11"/>
      <c r="U8774" s="9"/>
      <c r="X8774" s="9"/>
    </row>
    <row r="8775">
      <c r="D8775" s="9"/>
      <c r="G8775" s="9"/>
      <c r="J8775" s="11"/>
      <c r="U8775" s="9"/>
      <c r="X8775" s="9"/>
    </row>
    <row r="8776">
      <c r="D8776" s="9"/>
      <c r="G8776" s="9"/>
      <c r="J8776" s="11"/>
      <c r="U8776" s="9"/>
      <c r="X8776" s="9"/>
    </row>
    <row r="8777">
      <c r="D8777" s="9"/>
      <c r="G8777" s="9"/>
      <c r="J8777" s="11"/>
      <c r="U8777" s="9"/>
      <c r="X8777" s="9"/>
    </row>
    <row r="8778">
      <c r="D8778" s="9"/>
      <c r="G8778" s="9"/>
      <c r="J8778" s="11"/>
      <c r="U8778" s="9"/>
      <c r="X8778" s="9"/>
    </row>
    <row r="8779">
      <c r="D8779" s="9"/>
      <c r="G8779" s="9"/>
      <c r="J8779" s="11"/>
      <c r="U8779" s="9"/>
      <c r="X8779" s="9"/>
    </row>
    <row r="8780">
      <c r="D8780" s="9"/>
      <c r="G8780" s="9"/>
      <c r="J8780" s="11"/>
      <c r="U8780" s="9"/>
      <c r="X8780" s="9"/>
    </row>
    <row r="8781">
      <c r="D8781" s="9"/>
      <c r="G8781" s="9"/>
      <c r="J8781" s="11"/>
      <c r="U8781" s="9"/>
      <c r="X8781" s="9"/>
    </row>
    <row r="8782">
      <c r="D8782" s="9"/>
      <c r="G8782" s="9"/>
      <c r="J8782" s="11"/>
      <c r="U8782" s="9"/>
      <c r="X8782" s="9"/>
    </row>
    <row r="8783">
      <c r="D8783" s="9"/>
      <c r="G8783" s="9"/>
      <c r="J8783" s="11"/>
      <c r="U8783" s="9"/>
      <c r="X8783" s="9"/>
    </row>
    <row r="8784">
      <c r="D8784" s="9"/>
      <c r="G8784" s="9"/>
      <c r="J8784" s="11"/>
      <c r="U8784" s="9"/>
      <c r="X8784" s="9"/>
    </row>
    <row r="8785">
      <c r="D8785" s="9"/>
      <c r="G8785" s="9"/>
      <c r="J8785" s="11"/>
      <c r="U8785" s="9"/>
      <c r="X8785" s="9"/>
    </row>
    <row r="8786">
      <c r="D8786" s="9"/>
      <c r="G8786" s="9"/>
      <c r="J8786" s="11"/>
      <c r="U8786" s="9"/>
      <c r="X8786" s="9"/>
    </row>
    <row r="8787">
      <c r="D8787" s="9"/>
      <c r="G8787" s="9"/>
      <c r="J8787" s="11"/>
      <c r="U8787" s="9"/>
      <c r="X8787" s="9"/>
    </row>
    <row r="8788">
      <c r="D8788" s="9"/>
      <c r="G8788" s="9"/>
      <c r="J8788" s="11"/>
      <c r="U8788" s="9"/>
      <c r="X8788" s="9"/>
    </row>
    <row r="8789">
      <c r="D8789" s="9"/>
      <c r="G8789" s="9"/>
      <c r="J8789" s="11"/>
      <c r="U8789" s="9"/>
      <c r="X8789" s="9"/>
    </row>
    <row r="8790">
      <c r="D8790" s="9"/>
      <c r="G8790" s="9"/>
      <c r="J8790" s="11"/>
      <c r="U8790" s="9"/>
      <c r="X8790" s="9"/>
    </row>
    <row r="8791">
      <c r="D8791" s="9"/>
      <c r="G8791" s="9"/>
      <c r="J8791" s="11"/>
      <c r="U8791" s="9"/>
      <c r="X8791" s="9"/>
    </row>
    <row r="8792">
      <c r="D8792" s="9"/>
      <c r="G8792" s="9"/>
      <c r="J8792" s="11"/>
      <c r="U8792" s="9"/>
      <c r="X8792" s="9"/>
    </row>
    <row r="8793">
      <c r="D8793" s="9"/>
      <c r="G8793" s="9"/>
      <c r="J8793" s="11"/>
      <c r="U8793" s="9"/>
      <c r="X8793" s="9"/>
    </row>
    <row r="8794">
      <c r="D8794" s="9"/>
      <c r="G8794" s="9"/>
      <c r="J8794" s="11"/>
      <c r="U8794" s="9"/>
      <c r="X8794" s="9"/>
    </row>
    <row r="8795">
      <c r="D8795" s="9"/>
      <c r="G8795" s="9"/>
      <c r="J8795" s="11"/>
      <c r="U8795" s="9"/>
      <c r="X8795" s="9"/>
    </row>
    <row r="8796">
      <c r="D8796" s="9"/>
      <c r="G8796" s="9"/>
      <c r="J8796" s="11"/>
      <c r="U8796" s="9"/>
      <c r="X8796" s="9"/>
    </row>
    <row r="8797">
      <c r="D8797" s="9"/>
      <c r="G8797" s="9"/>
      <c r="J8797" s="11"/>
      <c r="U8797" s="9"/>
      <c r="X8797" s="9"/>
    </row>
    <row r="8798">
      <c r="D8798" s="9"/>
      <c r="G8798" s="9"/>
      <c r="J8798" s="11"/>
      <c r="U8798" s="9"/>
      <c r="X8798" s="9"/>
    </row>
    <row r="8799">
      <c r="D8799" s="9"/>
      <c r="G8799" s="9"/>
      <c r="J8799" s="11"/>
      <c r="U8799" s="9"/>
      <c r="X8799" s="9"/>
    </row>
    <row r="8800">
      <c r="D8800" s="9"/>
      <c r="G8800" s="9"/>
      <c r="J8800" s="11"/>
      <c r="U8800" s="9"/>
      <c r="X8800" s="9"/>
    </row>
    <row r="8801">
      <c r="D8801" s="9"/>
      <c r="G8801" s="9"/>
      <c r="J8801" s="11"/>
      <c r="U8801" s="9"/>
      <c r="X8801" s="9"/>
    </row>
    <row r="8802">
      <c r="D8802" s="9"/>
      <c r="G8802" s="9"/>
      <c r="J8802" s="11"/>
      <c r="U8802" s="9"/>
      <c r="X8802" s="9"/>
    </row>
    <row r="8803">
      <c r="D8803" s="9"/>
      <c r="G8803" s="9"/>
      <c r="J8803" s="11"/>
      <c r="U8803" s="9"/>
      <c r="X8803" s="9"/>
    </row>
    <row r="8804">
      <c r="D8804" s="9"/>
      <c r="G8804" s="9"/>
      <c r="J8804" s="11"/>
      <c r="U8804" s="9"/>
      <c r="X8804" s="9"/>
    </row>
    <row r="8805">
      <c r="D8805" s="9"/>
      <c r="G8805" s="9"/>
      <c r="J8805" s="11"/>
      <c r="U8805" s="9"/>
      <c r="X8805" s="9"/>
    </row>
    <row r="8806">
      <c r="D8806" s="9"/>
      <c r="G8806" s="9"/>
      <c r="J8806" s="11"/>
      <c r="U8806" s="9"/>
      <c r="X8806" s="9"/>
    </row>
    <row r="8807">
      <c r="D8807" s="9"/>
      <c r="G8807" s="9"/>
      <c r="J8807" s="11"/>
      <c r="U8807" s="9"/>
      <c r="X8807" s="9"/>
    </row>
    <row r="8808">
      <c r="D8808" s="9"/>
      <c r="G8808" s="9"/>
      <c r="J8808" s="11"/>
      <c r="U8808" s="9"/>
      <c r="X8808" s="9"/>
    </row>
    <row r="8809">
      <c r="D8809" s="9"/>
      <c r="G8809" s="9"/>
      <c r="J8809" s="11"/>
      <c r="U8809" s="9"/>
      <c r="X8809" s="9"/>
    </row>
    <row r="8810">
      <c r="D8810" s="9"/>
      <c r="G8810" s="9"/>
      <c r="J8810" s="11"/>
      <c r="U8810" s="9"/>
      <c r="X8810" s="9"/>
    </row>
    <row r="8811">
      <c r="D8811" s="9"/>
      <c r="G8811" s="9"/>
      <c r="J8811" s="11"/>
      <c r="U8811" s="9"/>
      <c r="X8811" s="9"/>
    </row>
    <row r="8812">
      <c r="D8812" s="9"/>
      <c r="G8812" s="9"/>
      <c r="J8812" s="11"/>
      <c r="U8812" s="9"/>
      <c r="X8812" s="9"/>
    </row>
    <row r="8813">
      <c r="D8813" s="9"/>
      <c r="G8813" s="9"/>
      <c r="J8813" s="11"/>
      <c r="U8813" s="9"/>
      <c r="X8813" s="9"/>
    </row>
    <row r="8814">
      <c r="D8814" s="9"/>
      <c r="G8814" s="9"/>
      <c r="J8814" s="11"/>
      <c r="U8814" s="9"/>
      <c r="X8814" s="9"/>
    </row>
    <row r="8815">
      <c r="D8815" s="9"/>
      <c r="G8815" s="9"/>
      <c r="J8815" s="11"/>
      <c r="U8815" s="9"/>
      <c r="X8815" s="9"/>
    </row>
    <row r="8816">
      <c r="D8816" s="9"/>
      <c r="G8816" s="9"/>
      <c r="J8816" s="11"/>
      <c r="U8816" s="9"/>
      <c r="X8816" s="9"/>
    </row>
    <row r="8817">
      <c r="D8817" s="9"/>
      <c r="G8817" s="9"/>
      <c r="J8817" s="11"/>
      <c r="U8817" s="9"/>
      <c r="X8817" s="9"/>
    </row>
    <row r="8818">
      <c r="D8818" s="9"/>
      <c r="G8818" s="9"/>
      <c r="J8818" s="11"/>
      <c r="U8818" s="9"/>
      <c r="X8818" s="9"/>
    </row>
    <row r="8819">
      <c r="D8819" s="9"/>
      <c r="G8819" s="9"/>
      <c r="J8819" s="11"/>
      <c r="U8819" s="9"/>
      <c r="X8819" s="9"/>
    </row>
    <row r="8820">
      <c r="D8820" s="9"/>
      <c r="G8820" s="9"/>
      <c r="J8820" s="11"/>
      <c r="U8820" s="9"/>
      <c r="X8820" s="9"/>
    </row>
    <row r="8821">
      <c r="D8821" s="9"/>
      <c r="G8821" s="9"/>
      <c r="J8821" s="11"/>
      <c r="U8821" s="9"/>
      <c r="X8821" s="9"/>
    </row>
    <row r="8822">
      <c r="D8822" s="9"/>
      <c r="G8822" s="9"/>
      <c r="J8822" s="11"/>
      <c r="U8822" s="9"/>
      <c r="X8822" s="9"/>
    </row>
    <row r="8823">
      <c r="D8823" s="9"/>
      <c r="G8823" s="9"/>
      <c r="J8823" s="11"/>
      <c r="U8823" s="9"/>
      <c r="X8823" s="9"/>
    </row>
    <row r="8824">
      <c r="D8824" s="9"/>
      <c r="G8824" s="9"/>
      <c r="J8824" s="11"/>
      <c r="U8824" s="9"/>
      <c r="X8824" s="9"/>
    </row>
    <row r="8825">
      <c r="D8825" s="9"/>
      <c r="G8825" s="9"/>
      <c r="J8825" s="11"/>
      <c r="U8825" s="9"/>
      <c r="X8825" s="9"/>
    </row>
    <row r="8826">
      <c r="D8826" s="9"/>
      <c r="G8826" s="9"/>
      <c r="J8826" s="11"/>
      <c r="U8826" s="9"/>
      <c r="X8826" s="9"/>
    </row>
    <row r="8827">
      <c r="D8827" s="9"/>
      <c r="G8827" s="9"/>
      <c r="J8827" s="11"/>
      <c r="U8827" s="9"/>
      <c r="X8827" s="9"/>
    </row>
    <row r="8828">
      <c r="D8828" s="9"/>
      <c r="G8828" s="9"/>
      <c r="J8828" s="11"/>
      <c r="U8828" s="9"/>
      <c r="X8828" s="9"/>
    </row>
    <row r="8829">
      <c r="D8829" s="9"/>
      <c r="G8829" s="9"/>
      <c r="J8829" s="11"/>
      <c r="U8829" s="9"/>
      <c r="X8829" s="9"/>
    </row>
    <row r="8830">
      <c r="D8830" s="9"/>
      <c r="G8830" s="9"/>
      <c r="J8830" s="11"/>
      <c r="U8830" s="9"/>
      <c r="X8830" s="9"/>
    </row>
    <row r="8831">
      <c r="D8831" s="9"/>
      <c r="G8831" s="9"/>
      <c r="J8831" s="11"/>
      <c r="U8831" s="9"/>
      <c r="X8831" s="9"/>
    </row>
    <row r="8832">
      <c r="D8832" s="9"/>
      <c r="G8832" s="9"/>
      <c r="J8832" s="11"/>
      <c r="U8832" s="9"/>
      <c r="X8832" s="9"/>
    </row>
    <row r="8833">
      <c r="D8833" s="9"/>
      <c r="G8833" s="9"/>
      <c r="J8833" s="11"/>
      <c r="U8833" s="9"/>
      <c r="X8833" s="9"/>
    </row>
    <row r="8834">
      <c r="D8834" s="9"/>
      <c r="G8834" s="9"/>
      <c r="J8834" s="11"/>
      <c r="U8834" s="9"/>
      <c r="X8834" s="9"/>
    </row>
    <row r="8835">
      <c r="D8835" s="9"/>
      <c r="G8835" s="9"/>
      <c r="J8835" s="11"/>
      <c r="U8835" s="9"/>
      <c r="X8835" s="9"/>
    </row>
    <row r="8836">
      <c r="D8836" s="9"/>
      <c r="G8836" s="9"/>
      <c r="J8836" s="11"/>
      <c r="U8836" s="9"/>
      <c r="X8836" s="9"/>
    </row>
    <row r="8837">
      <c r="D8837" s="9"/>
      <c r="G8837" s="9"/>
      <c r="J8837" s="11"/>
      <c r="U8837" s="9"/>
      <c r="X8837" s="9"/>
    </row>
    <row r="8838">
      <c r="D8838" s="9"/>
      <c r="G8838" s="9"/>
      <c r="J8838" s="11"/>
      <c r="U8838" s="9"/>
      <c r="X8838" s="9"/>
    </row>
    <row r="8839">
      <c r="D8839" s="9"/>
      <c r="G8839" s="9"/>
      <c r="J8839" s="11"/>
      <c r="U8839" s="9"/>
      <c r="X8839" s="9"/>
    </row>
    <row r="8840">
      <c r="D8840" s="9"/>
      <c r="G8840" s="9"/>
      <c r="J8840" s="11"/>
      <c r="U8840" s="9"/>
      <c r="X8840" s="9"/>
    </row>
    <row r="8841">
      <c r="D8841" s="9"/>
      <c r="G8841" s="9"/>
      <c r="J8841" s="11"/>
      <c r="U8841" s="9"/>
      <c r="X8841" s="9"/>
    </row>
    <row r="8842">
      <c r="D8842" s="9"/>
      <c r="G8842" s="9"/>
      <c r="J8842" s="11"/>
      <c r="U8842" s="9"/>
      <c r="X8842" s="9"/>
    </row>
    <row r="8843">
      <c r="D8843" s="9"/>
      <c r="G8843" s="9"/>
      <c r="J8843" s="11"/>
      <c r="U8843" s="9"/>
      <c r="X8843" s="9"/>
    </row>
    <row r="8844">
      <c r="D8844" s="9"/>
      <c r="G8844" s="9"/>
      <c r="J8844" s="11"/>
      <c r="U8844" s="9"/>
      <c r="X8844" s="9"/>
    </row>
    <row r="8845">
      <c r="D8845" s="9"/>
      <c r="G8845" s="9"/>
      <c r="J8845" s="11"/>
      <c r="U8845" s="9"/>
      <c r="X8845" s="9"/>
    </row>
    <row r="8846">
      <c r="D8846" s="9"/>
      <c r="G8846" s="9"/>
      <c r="J8846" s="11"/>
      <c r="U8846" s="9"/>
      <c r="X8846" s="9"/>
    </row>
    <row r="8847">
      <c r="D8847" s="9"/>
      <c r="G8847" s="9"/>
      <c r="J8847" s="11"/>
      <c r="U8847" s="9"/>
      <c r="X8847" s="9"/>
    </row>
    <row r="8848">
      <c r="D8848" s="9"/>
      <c r="G8848" s="9"/>
      <c r="J8848" s="11"/>
      <c r="U8848" s="9"/>
      <c r="X8848" s="9"/>
    </row>
    <row r="8849">
      <c r="D8849" s="9"/>
      <c r="G8849" s="9"/>
      <c r="J8849" s="11"/>
      <c r="U8849" s="9"/>
      <c r="X8849" s="9"/>
    </row>
    <row r="8850">
      <c r="D8850" s="9"/>
      <c r="G8850" s="9"/>
      <c r="J8850" s="11"/>
      <c r="U8850" s="9"/>
      <c r="X8850" s="9"/>
    </row>
    <row r="8851">
      <c r="D8851" s="9"/>
      <c r="G8851" s="9"/>
      <c r="J8851" s="11"/>
      <c r="U8851" s="9"/>
      <c r="X8851" s="9"/>
    </row>
    <row r="8852">
      <c r="D8852" s="9"/>
      <c r="G8852" s="9"/>
      <c r="J8852" s="11"/>
      <c r="U8852" s="9"/>
      <c r="X8852" s="9"/>
    </row>
    <row r="8853">
      <c r="D8853" s="9"/>
      <c r="G8853" s="9"/>
      <c r="J8853" s="11"/>
      <c r="U8853" s="9"/>
      <c r="X8853" s="9"/>
    </row>
    <row r="8854">
      <c r="D8854" s="9"/>
      <c r="G8854" s="9"/>
      <c r="J8854" s="11"/>
      <c r="U8854" s="9"/>
      <c r="X8854" s="9"/>
    </row>
    <row r="8855">
      <c r="D8855" s="9"/>
      <c r="G8855" s="9"/>
      <c r="J8855" s="11"/>
      <c r="U8855" s="9"/>
      <c r="X8855" s="9"/>
    </row>
    <row r="8856">
      <c r="D8856" s="9"/>
      <c r="G8856" s="9"/>
      <c r="J8856" s="11"/>
      <c r="U8856" s="9"/>
      <c r="X8856" s="9"/>
    </row>
    <row r="8857">
      <c r="D8857" s="9"/>
      <c r="G8857" s="9"/>
      <c r="J8857" s="11"/>
      <c r="U8857" s="9"/>
      <c r="X8857" s="9"/>
    </row>
    <row r="8858">
      <c r="D8858" s="9"/>
      <c r="G8858" s="9"/>
      <c r="J8858" s="11"/>
      <c r="U8858" s="9"/>
      <c r="X8858" s="9"/>
    </row>
    <row r="8859">
      <c r="D8859" s="9"/>
      <c r="G8859" s="9"/>
      <c r="J8859" s="11"/>
      <c r="U8859" s="9"/>
      <c r="X8859" s="9"/>
    </row>
    <row r="8860">
      <c r="D8860" s="9"/>
      <c r="G8860" s="9"/>
      <c r="J8860" s="11"/>
      <c r="U8860" s="9"/>
      <c r="X8860" s="9"/>
    </row>
    <row r="8861">
      <c r="D8861" s="9"/>
      <c r="G8861" s="9"/>
      <c r="J8861" s="11"/>
      <c r="U8861" s="9"/>
      <c r="X8861" s="9"/>
    </row>
    <row r="8862">
      <c r="D8862" s="9"/>
      <c r="G8862" s="9"/>
      <c r="J8862" s="11"/>
      <c r="U8862" s="9"/>
      <c r="X8862" s="9"/>
    </row>
    <row r="8863">
      <c r="D8863" s="9"/>
      <c r="G8863" s="9"/>
      <c r="J8863" s="11"/>
      <c r="U8863" s="9"/>
      <c r="X8863" s="9"/>
    </row>
    <row r="8864">
      <c r="D8864" s="9"/>
      <c r="G8864" s="9"/>
      <c r="J8864" s="11"/>
      <c r="U8864" s="9"/>
      <c r="X8864" s="9"/>
    </row>
    <row r="8865">
      <c r="D8865" s="9"/>
      <c r="G8865" s="9"/>
      <c r="J8865" s="11"/>
      <c r="U8865" s="9"/>
      <c r="X8865" s="9"/>
    </row>
    <row r="8866">
      <c r="D8866" s="9"/>
      <c r="G8866" s="9"/>
      <c r="J8866" s="11"/>
      <c r="U8866" s="9"/>
      <c r="X8866" s="9"/>
    </row>
    <row r="8867">
      <c r="D8867" s="9"/>
      <c r="G8867" s="9"/>
      <c r="J8867" s="11"/>
      <c r="U8867" s="9"/>
      <c r="X8867" s="9"/>
    </row>
    <row r="8868">
      <c r="D8868" s="9"/>
      <c r="G8868" s="9"/>
      <c r="J8868" s="11"/>
      <c r="U8868" s="9"/>
      <c r="X8868" s="9"/>
    </row>
    <row r="8869">
      <c r="D8869" s="9"/>
      <c r="G8869" s="9"/>
      <c r="J8869" s="11"/>
      <c r="U8869" s="9"/>
      <c r="X8869" s="9"/>
    </row>
    <row r="8870">
      <c r="D8870" s="9"/>
      <c r="G8870" s="9"/>
      <c r="J8870" s="11"/>
      <c r="U8870" s="9"/>
      <c r="X8870" s="9"/>
    </row>
    <row r="8871">
      <c r="D8871" s="9"/>
      <c r="G8871" s="9"/>
      <c r="J8871" s="11"/>
      <c r="U8871" s="9"/>
      <c r="X8871" s="9"/>
    </row>
    <row r="8872">
      <c r="D8872" s="9"/>
      <c r="G8872" s="9"/>
      <c r="J8872" s="11"/>
      <c r="U8872" s="9"/>
      <c r="X8872" s="9"/>
    </row>
    <row r="8873">
      <c r="D8873" s="9"/>
      <c r="G8873" s="9"/>
      <c r="J8873" s="11"/>
      <c r="U8873" s="9"/>
      <c r="X8873" s="9"/>
    </row>
    <row r="8874">
      <c r="D8874" s="9"/>
      <c r="G8874" s="9"/>
      <c r="J8874" s="11"/>
      <c r="U8874" s="9"/>
      <c r="X8874" s="9"/>
    </row>
    <row r="8875">
      <c r="D8875" s="9"/>
      <c r="G8875" s="9"/>
      <c r="J8875" s="11"/>
      <c r="U8875" s="9"/>
      <c r="X8875" s="9"/>
    </row>
    <row r="8876">
      <c r="D8876" s="9"/>
      <c r="G8876" s="9"/>
      <c r="J8876" s="11"/>
      <c r="U8876" s="9"/>
      <c r="X8876" s="9"/>
    </row>
    <row r="8877">
      <c r="D8877" s="9"/>
      <c r="G8877" s="9"/>
      <c r="J8877" s="11"/>
      <c r="U8877" s="9"/>
      <c r="X8877" s="9"/>
    </row>
    <row r="8878">
      <c r="D8878" s="9"/>
      <c r="G8878" s="9"/>
      <c r="J8878" s="11"/>
      <c r="U8878" s="9"/>
      <c r="X8878" s="9"/>
    </row>
    <row r="8879">
      <c r="D8879" s="9"/>
      <c r="G8879" s="9"/>
      <c r="J8879" s="11"/>
      <c r="U8879" s="9"/>
      <c r="X8879" s="9"/>
    </row>
    <row r="8880">
      <c r="D8880" s="9"/>
      <c r="G8880" s="9"/>
      <c r="J8880" s="11"/>
      <c r="U8880" s="9"/>
      <c r="X8880" s="9"/>
    </row>
    <row r="8881">
      <c r="D8881" s="9"/>
      <c r="G8881" s="9"/>
      <c r="J8881" s="11"/>
      <c r="U8881" s="9"/>
      <c r="X8881" s="9"/>
    </row>
    <row r="8882">
      <c r="D8882" s="9"/>
      <c r="G8882" s="9"/>
      <c r="J8882" s="11"/>
      <c r="U8882" s="9"/>
      <c r="X8882" s="9"/>
    </row>
    <row r="8883">
      <c r="D8883" s="9"/>
      <c r="G8883" s="9"/>
      <c r="J8883" s="11"/>
      <c r="U8883" s="9"/>
      <c r="X8883" s="9"/>
    </row>
    <row r="8884">
      <c r="D8884" s="9"/>
      <c r="G8884" s="9"/>
      <c r="J8884" s="11"/>
      <c r="U8884" s="9"/>
      <c r="X8884" s="9"/>
    </row>
    <row r="8885">
      <c r="D8885" s="9"/>
      <c r="G8885" s="9"/>
      <c r="J8885" s="11"/>
      <c r="U8885" s="9"/>
      <c r="X8885" s="9"/>
    </row>
    <row r="8886">
      <c r="D8886" s="9"/>
      <c r="G8886" s="9"/>
      <c r="J8886" s="11"/>
      <c r="U8886" s="9"/>
      <c r="X8886" s="9"/>
    </row>
    <row r="8887">
      <c r="D8887" s="9"/>
      <c r="G8887" s="9"/>
      <c r="J8887" s="11"/>
      <c r="U8887" s="9"/>
      <c r="X8887" s="9"/>
    </row>
    <row r="8888">
      <c r="D8888" s="9"/>
      <c r="G8888" s="9"/>
      <c r="J8888" s="11"/>
      <c r="U8888" s="9"/>
      <c r="X8888" s="9"/>
    </row>
    <row r="8889">
      <c r="D8889" s="9"/>
      <c r="G8889" s="9"/>
      <c r="J8889" s="11"/>
      <c r="U8889" s="9"/>
      <c r="X8889" s="9"/>
    </row>
    <row r="8890">
      <c r="D8890" s="9"/>
      <c r="G8890" s="9"/>
      <c r="J8890" s="11"/>
      <c r="U8890" s="9"/>
      <c r="X8890" s="9"/>
    </row>
    <row r="8891">
      <c r="D8891" s="9"/>
      <c r="G8891" s="9"/>
      <c r="J8891" s="11"/>
      <c r="U8891" s="9"/>
      <c r="X8891" s="9"/>
    </row>
    <row r="8892">
      <c r="D8892" s="9"/>
      <c r="G8892" s="9"/>
      <c r="J8892" s="11"/>
      <c r="U8892" s="9"/>
      <c r="X8892" s="9"/>
    </row>
    <row r="8893">
      <c r="D8893" s="9"/>
      <c r="G8893" s="9"/>
      <c r="J8893" s="11"/>
      <c r="U8893" s="9"/>
      <c r="X8893" s="9"/>
    </row>
    <row r="8894">
      <c r="D8894" s="9"/>
      <c r="G8894" s="9"/>
      <c r="J8894" s="11"/>
      <c r="U8894" s="9"/>
      <c r="X8894" s="9"/>
    </row>
    <row r="8895">
      <c r="D8895" s="9"/>
      <c r="G8895" s="9"/>
      <c r="J8895" s="11"/>
      <c r="U8895" s="9"/>
      <c r="X8895" s="9"/>
    </row>
    <row r="8896">
      <c r="D8896" s="9"/>
      <c r="G8896" s="9"/>
      <c r="J8896" s="11"/>
      <c r="U8896" s="9"/>
      <c r="X8896" s="9"/>
    </row>
    <row r="8897">
      <c r="D8897" s="9"/>
      <c r="G8897" s="9"/>
      <c r="J8897" s="11"/>
      <c r="U8897" s="9"/>
      <c r="X8897" s="9"/>
    </row>
    <row r="8898">
      <c r="D8898" s="9"/>
      <c r="G8898" s="9"/>
      <c r="J8898" s="11"/>
      <c r="U8898" s="9"/>
      <c r="X8898" s="9"/>
    </row>
    <row r="8899">
      <c r="D8899" s="9"/>
      <c r="G8899" s="9"/>
      <c r="J8899" s="11"/>
      <c r="U8899" s="9"/>
      <c r="X8899" s="9"/>
    </row>
    <row r="8900">
      <c r="D8900" s="9"/>
      <c r="G8900" s="9"/>
      <c r="J8900" s="11"/>
      <c r="U8900" s="9"/>
      <c r="X8900" s="9"/>
    </row>
    <row r="8901">
      <c r="D8901" s="9"/>
      <c r="G8901" s="9"/>
      <c r="J8901" s="11"/>
      <c r="U8901" s="9"/>
      <c r="X8901" s="9"/>
    </row>
    <row r="8902">
      <c r="D8902" s="9"/>
      <c r="G8902" s="9"/>
      <c r="J8902" s="11"/>
      <c r="U8902" s="9"/>
      <c r="X8902" s="9"/>
    </row>
    <row r="8903">
      <c r="D8903" s="9"/>
      <c r="G8903" s="9"/>
      <c r="J8903" s="11"/>
      <c r="U8903" s="9"/>
      <c r="X8903" s="9"/>
    </row>
    <row r="8904">
      <c r="D8904" s="9"/>
      <c r="G8904" s="9"/>
      <c r="J8904" s="11"/>
      <c r="U8904" s="9"/>
      <c r="X8904" s="9"/>
    </row>
    <row r="8905">
      <c r="D8905" s="9"/>
      <c r="G8905" s="9"/>
      <c r="J8905" s="11"/>
      <c r="U8905" s="9"/>
      <c r="X8905" s="9"/>
    </row>
    <row r="8906">
      <c r="D8906" s="9"/>
      <c r="G8906" s="9"/>
      <c r="J8906" s="11"/>
      <c r="U8906" s="9"/>
      <c r="X8906" s="9"/>
    </row>
    <row r="8907">
      <c r="D8907" s="9"/>
      <c r="G8907" s="9"/>
      <c r="J8907" s="11"/>
      <c r="U8907" s="9"/>
      <c r="X8907" s="9"/>
    </row>
    <row r="8908">
      <c r="D8908" s="9"/>
      <c r="G8908" s="9"/>
      <c r="J8908" s="11"/>
      <c r="U8908" s="9"/>
      <c r="X8908" s="9"/>
    </row>
    <row r="8909">
      <c r="D8909" s="9"/>
      <c r="G8909" s="9"/>
      <c r="J8909" s="11"/>
      <c r="U8909" s="9"/>
      <c r="X8909" s="9"/>
    </row>
    <row r="8910">
      <c r="D8910" s="9"/>
      <c r="G8910" s="9"/>
      <c r="J8910" s="11"/>
      <c r="U8910" s="9"/>
      <c r="X8910" s="9"/>
    </row>
    <row r="8911">
      <c r="D8911" s="9"/>
      <c r="G8911" s="9"/>
      <c r="J8911" s="11"/>
      <c r="U8911" s="9"/>
      <c r="X8911" s="9"/>
    </row>
    <row r="8912">
      <c r="D8912" s="9"/>
      <c r="G8912" s="9"/>
      <c r="J8912" s="11"/>
      <c r="U8912" s="9"/>
      <c r="X8912" s="9"/>
    </row>
    <row r="8913">
      <c r="D8913" s="9"/>
      <c r="G8913" s="9"/>
      <c r="J8913" s="11"/>
      <c r="U8913" s="9"/>
      <c r="X8913" s="9"/>
    </row>
    <row r="8914">
      <c r="D8914" s="9"/>
      <c r="G8914" s="9"/>
      <c r="J8914" s="11"/>
      <c r="U8914" s="9"/>
      <c r="X8914" s="9"/>
    </row>
    <row r="8915">
      <c r="D8915" s="9"/>
      <c r="G8915" s="9"/>
      <c r="J8915" s="11"/>
      <c r="U8915" s="9"/>
      <c r="X8915" s="9"/>
    </row>
    <row r="8916">
      <c r="D8916" s="9"/>
      <c r="G8916" s="9"/>
      <c r="J8916" s="11"/>
      <c r="U8916" s="9"/>
      <c r="X8916" s="9"/>
    </row>
    <row r="8917">
      <c r="D8917" s="9"/>
      <c r="G8917" s="9"/>
      <c r="J8917" s="11"/>
      <c r="U8917" s="9"/>
      <c r="X8917" s="9"/>
    </row>
    <row r="8918">
      <c r="D8918" s="9"/>
      <c r="G8918" s="9"/>
      <c r="J8918" s="11"/>
      <c r="U8918" s="9"/>
      <c r="X8918" s="9"/>
    </row>
    <row r="8919">
      <c r="D8919" s="9"/>
      <c r="G8919" s="9"/>
      <c r="J8919" s="11"/>
      <c r="U8919" s="9"/>
      <c r="X8919" s="9"/>
    </row>
    <row r="8920">
      <c r="D8920" s="9"/>
      <c r="G8920" s="9"/>
      <c r="J8920" s="11"/>
      <c r="U8920" s="9"/>
      <c r="X8920" s="9"/>
    </row>
    <row r="8921">
      <c r="D8921" s="9"/>
      <c r="G8921" s="9"/>
      <c r="J8921" s="11"/>
      <c r="U8921" s="9"/>
      <c r="X8921" s="9"/>
    </row>
    <row r="8922">
      <c r="D8922" s="9"/>
      <c r="G8922" s="9"/>
      <c r="J8922" s="11"/>
      <c r="U8922" s="9"/>
      <c r="X8922" s="9"/>
    </row>
    <row r="8923">
      <c r="D8923" s="9"/>
      <c r="G8923" s="9"/>
      <c r="J8923" s="11"/>
      <c r="U8923" s="9"/>
      <c r="X8923" s="9"/>
    </row>
    <row r="8924">
      <c r="D8924" s="9"/>
      <c r="G8924" s="9"/>
      <c r="J8924" s="11"/>
      <c r="U8924" s="9"/>
      <c r="X8924" s="9"/>
    </row>
    <row r="8925">
      <c r="D8925" s="9"/>
      <c r="G8925" s="9"/>
      <c r="J8925" s="11"/>
      <c r="U8925" s="9"/>
      <c r="X8925" s="9"/>
    </row>
    <row r="8926">
      <c r="D8926" s="9"/>
      <c r="G8926" s="9"/>
      <c r="J8926" s="11"/>
      <c r="U8926" s="9"/>
      <c r="X8926" s="9"/>
    </row>
    <row r="8927">
      <c r="D8927" s="9"/>
      <c r="G8927" s="9"/>
      <c r="J8927" s="11"/>
      <c r="U8927" s="9"/>
      <c r="X8927" s="9"/>
    </row>
    <row r="8928">
      <c r="D8928" s="9"/>
      <c r="G8928" s="9"/>
      <c r="J8928" s="11"/>
      <c r="U8928" s="9"/>
      <c r="X8928" s="9"/>
    </row>
    <row r="8929">
      <c r="D8929" s="9"/>
      <c r="G8929" s="9"/>
      <c r="J8929" s="11"/>
      <c r="U8929" s="9"/>
      <c r="X8929" s="9"/>
    </row>
    <row r="8930">
      <c r="D8930" s="9"/>
      <c r="G8930" s="9"/>
      <c r="J8930" s="11"/>
      <c r="U8930" s="9"/>
      <c r="X8930" s="9"/>
    </row>
    <row r="8931">
      <c r="D8931" s="9"/>
      <c r="G8931" s="9"/>
      <c r="J8931" s="11"/>
      <c r="U8931" s="9"/>
      <c r="X8931" s="9"/>
    </row>
    <row r="8932">
      <c r="D8932" s="9"/>
      <c r="G8932" s="9"/>
      <c r="J8932" s="11"/>
      <c r="U8932" s="9"/>
      <c r="X8932" s="9"/>
    </row>
    <row r="8933">
      <c r="D8933" s="9"/>
      <c r="G8933" s="9"/>
      <c r="J8933" s="11"/>
      <c r="U8933" s="9"/>
      <c r="X8933" s="9"/>
    </row>
    <row r="8934">
      <c r="D8934" s="9"/>
      <c r="G8934" s="9"/>
      <c r="J8934" s="11"/>
      <c r="U8934" s="9"/>
      <c r="X8934" s="9"/>
    </row>
    <row r="8935">
      <c r="D8935" s="9"/>
      <c r="G8935" s="9"/>
      <c r="J8935" s="11"/>
      <c r="U8935" s="9"/>
      <c r="X8935" s="9"/>
    </row>
    <row r="8936">
      <c r="D8936" s="9"/>
      <c r="G8936" s="9"/>
      <c r="J8936" s="11"/>
      <c r="U8936" s="9"/>
      <c r="X8936" s="9"/>
    </row>
    <row r="8937">
      <c r="D8937" s="9"/>
      <c r="G8937" s="9"/>
      <c r="J8937" s="11"/>
      <c r="U8937" s="9"/>
      <c r="X8937" s="9"/>
    </row>
    <row r="8938">
      <c r="D8938" s="9"/>
      <c r="G8938" s="9"/>
      <c r="J8938" s="11"/>
      <c r="U8938" s="9"/>
      <c r="X8938" s="9"/>
    </row>
    <row r="8939">
      <c r="D8939" s="9"/>
      <c r="G8939" s="9"/>
      <c r="J8939" s="11"/>
      <c r="U8939" s="9"/>
      <c r="X8939" s="9"/>
    </row>
    <row r="8940">
      <c r="D8940" s="9"/>
      <c r="G8940" s="9"/>
      <c r="J8940" s="11"/>
      <c r="U8940" s="9"/>
      <c r="X8940" s="9"/>
    </row>
    <row r="8941">
      <c r="D8941" s="9"/>
      <c r="G8941" s="9"/>
      <c r="J8941" s="11"/>
      <c r="U8941" s="9"/>
      <c r="X8941" s="9"/>
    </row>
    <row r="8942">
      <c r="D8942" s="9"/>
      <c r="G8942" s="9"/>
      <c r="J8942" s="11"/>
      <c r="U8942" s="9"/>
      <c r="X8942" s="9"/>
    </row>
    <row r="8943">
      <c r="D8943" s="9"/>
      <c r="G8943" s="9"/>
      <c r="J8943" s="11"/>
      <c r="U8943" s="9"/>
      <c r="X8943" s="9"/>
    </row>
    <row r="8944">
      <c r="D8944" s="9"/>
      <c r="G8944" s="9"/>
      <c r="J8944" s="11"/>
      <c r="U8944" s="9"/>
      <c r="X8944" s="9"/>
    </row>
    <row r="8945">
      <c r="D8945" s="9"/>
      <c r="G8945" s="9"/>
      <c r="J8945" s="11"/>
      <c r="U8945" s="9"/>
      <c r="X8945" s="9"/>
    </row>
    <row r="8946">
      <c r="D8946" s="9"/>
      <c r="G8946" s="9"/>
      <c r="J8946" s="11"/>
      <c r="U8946" s="9"/>
      <c r="X8946" s="9"/>
    </row>
    <row r="8947">
      <c r="D8947" s="9"/>
      <c r="G8947" s="9"/>
      <c r="J8947" s="11"/>
      <c r="U8947" s="9"/>
      <c r="X8947" s="9"/>
    </row>
    <row r="8948">
      <c r="D8948" s="9"/>
      <c r="G8948" s="9"/>
      <c r="J8948" s="11"/>
      <c r="U8948" s="9"/>
      <c r="X8948" s="9"/>
    </row>
    <row r="8949">
      <c r="D8949" s="9"/>
      <c r="G8949" s="9"/>
      <c r="J8949" s="11"/>
      <c r="U8949" s="9"/>
      <c r="X8949" s="9"/>
    </row>
    <row r="8950">
      <c r="D8950" s="9"/>
      <c r="G8950" s="9"/>
      <c r="J8950" s="11"/>
      <c r="U8950" s="9"/>
      <c r="X8950" s="9"/>
    </row>
    <row r="8951">
      <c r="D8951" s="9"/>
      <c r="G8951" s="9"/>
      <c r="J8951" s="11"/>
      <c r="U8951" s="9"/>
      <c r="X8951" s="9"/>
    </row>
    <row r="8952">
      <c r="D8952" s="9"/>
      <c r="G8952" s="9"/>
      <c r="J8952" s="11"/>
      <c r="U8952" s="9"/>
      <c r="X8952" s="9"/>
    </row>
    <row r="8953">
      <c r="D8953" s="9"/>
      <c r="G8953" s="9"/>
      <c r="J8953" s="11"/>
      <c r="U8953" s="9"/>
      <c r="X8953" s="9"/>
    </row>
    <row r="8954">
      <c r="D8954" s="9"/>
      <c r="G8954" s="9"/>
      <c r="J8954" s="11"/>
      <c r="U8954" s="9"/>
      <c r="X8954" s="9"/>
    </row>
    <row r="8955">
      <c r="D8955" s="9"/>
      <c r="G8955" s="9"/>
      <c r="J8955" s="11"/>
      <c r="U8955" s="9"/>
      <c r="X8955" s="9"/>
    </row>
    <row r="8956">
      <c r="D8956" s="9"/>
      <c r="G8956" s="9"/>
      <c r="J8956" s="11"/>
      <c r="U8956" s="9"/>
      <c r="X8956" s="9"/>
    </row>
    <row r="8957">
      <c r="D8957" s="9"/>
      <c r="G8957" s="9"/>
      <c r="J8957" s="11"/>
      <c r="U8957" s="9"/>
      <c r="X8957" s="9"/>
    </row>
    <row r="8958">
      <c r="D8958" s="9"/>
      <c r="G8958" s="9"/>
      <c r="J8958" s="11"/>
      <c r="U8958" s="9"/>
      <c r="X8958" s="9"/>
    </row>
    <row r="8959">
      <c r="D8959" s="9"/>
      <c r="G8959" s="9"/>
      <c r="J8959" s="11"/>
      <c r="U8959" s="9"/>
      <c r="X8959" s="9"/>
    </row>
    <row r="8960">
      <c r="D8960" s="9"/>
      <c r="G8960" s="9"/>
      <c r="J8960" s="11"/>
      <c r="U8960" s="9"/>
      <c r="X8960" s="9"/>
    </row>
    <row r="8961">
      <c r="D8961" s="9"/>
      <c r="G8961" s="9"/>
      <c r="J8961" s="11"/>
      <c r="U8961" s="9"/>
      <c r="X8961" s="9"/>
    </row>
    <row r="8962">
      <c r="D8962" s="9"/>
      <c r="G8962" s="9"/>
      <c r="J8962" s="11"/>
      <c r="U8962" s="9"/>
      <c r="X8962" s="9"/>
    </row>
    <row r="8963">
      <c r="D8963" s="9"/>
      <c r="G8963" s="9"/>
      <c r="J8963" s="11"/>
      <c r="U8963" s="9"/>
      <c r="X8963" s="9"/>
    </row>
    <row r="8964">
      <c r="D8964" s="9"/>
      <c r="G8964" s="9"/>
      <c r="J8964" s="11"/>
      <c r="U8964" s="9"/>
      <c r="X8964" s="9"/>
    </row>
    <row r="8965">
      <c r="D8965" s="9"/>
      <c r="G8965" s="9"/>
      <c r="J8965" s="11"/>
      <c r="U8965" s="9"/>
      <c r="X8965" s="9"/>
    </row>
    <row r="8966">
      <c r="D8966" s="9"/>
      <c r="G8966" s="9"/>
      <c r="J8966" s="11"/>
      <c r="U8966" s="9"/>
      <c r="X8966" s="9"/>
    </row>
    <row r="8967">
      <c r="D8967" s="9"/>
      <c r="G8967" s="9"/>
      <c r="J8967" s="11"/>
      <c r="U8967" s="9"/>
      <c r="X8967" s="9"/>
    </row>
    <row r="8968">
      <c r="D8968" s="9"/>
      <c r="G8968" s="9"/>
      <c r="J8968" s="11"/>
      <c r="U8968" s="9"/>
      <c r="X8968" s="9"/>
    </row>
    <row r="8969">
      <c r="D8969" s="9"/>
      <c r="G8969" s="9"/>
      <c r="J8969" s="11"/>
      <c r="U8969" s="9"/>
      <c r="X8969" s="9"/>
    </row>
    <row r="8970">
      <c r="D8970" s="9"/>
      <c r="G8970" s="9"/>
      <c r="J8970" s="11"/>
      <c r="U8970" s="9"/>
      <c r="X8970" s="9"/>
    </row>
    <row r="8971">
      <c r="D8971" s="9"/>
      <c r="G8971" s="9"/>
      <c r="J8971" s="11"/>
      <c r="U8971" s="9"/>
      <c r="X8971" s="9"/>
    </row>
    <row r="8972">
      <c r="D8972" s="9"/>
      <c r="G8972" s="9"/>
      <c r="J8972" s="11"/>
      <c r="U8972" s="9"/>
      <c r="X8972" s="9"/>
    </row>
    <row r="8973">
      <c r="D8973" s="9"/>
      <c r="G8973" s="9"/>
      <c r="J8973" s="11"/>
      <c r="U8973" s="9"/>
      <c r="X8973" s="9"/>
    </row>
    <row r="8974">
      <c r="D8974" s="9"/>
      <c r="G8974" s="9"/>
      <c r="J8974" s="11"/>
      <c r="U8974" s="9"/>
      <c r="X8974" s="9"/>
    </row>
    <row r="8975">
      <c r="D8975" s="9"/>
      <c r="G8975" s="9"/>
      <c r="J8975" s="11"/>
      <c r="U8975" s="9"/>
      <c r="X8975" s="9"/>
    </row>
    <row r="8976">
      <c r="D8976" s="9"/>
      <c r="G8976" s="9"/>
      <c r="J8976" s="11"/>
      <c r="U8976" s="9"/>
      <c r="X8976" s="9"/>
    </row>
    <row r="8977">
      <c r="D8977" s="9"/>
      <c r="G8977" s="9"/>
      <c r="J8977" s="11"/>
      <c r="U8977" s="9"/>
      <c r="X8977" s="9"/>
    </row>
    <row r="8978">
      <c r="D8978" s="9"/>
      <c r="G8978" s="9"/>
      <c r="J8978" s="11"/>
      <c r="U8978" s="9"/>
      <c r="X8978" s="9"/>
    </row>
    <row r="8979">
      <c r="D8979" s="9"/>
      <c r="G8979" s="9"/>
      <c r="J8979" s="11"/>
      <c r="U8979" s="9"/>
      <c r="X8979" s="9"/>
    </row>
    <row r="8980">
      <c r="D8980" s="9"/>
      <c r="G8980" s="9"/>
      <c r="J8980" s="11"/>
      <c r="U8980" s="9"/>
      <c r="X8980" s="9"/>
    </row>
    <row r="8981">
      <c r="D8981" s="9"/>
      <c r="G8981" s="9"/>
      <c r="J8981" s="11"/>
      <c r="U8981" s="9"/>
      <c r="X8981" s="9"/>
    </row>
    <row r="8982">
      <c r="D8982" s="9"/>
      <c r="G8982" s="9"/>
      <c r="J8982" s="11"/>
      <c r="U8982" s="9"/>
      <c r="X8982" s="9"/>
    </row>
    <row r="8983">
      <c r="D8983" s="9"/>
      <c r="G8983" s="9"/>
      <c r="J8983" s="11"/>
      <c r="U8983" s="9"/>
      <c r="X8983" s="9"/>
    </row>
    <row r="8984">
      <c r="D8984" s="9"/>
      <c r="G8984" s="9"/>
      <c r="J8984" s="11"/>
      <c r="U8984" s="9"/>
      <c r="X8984" s="9"/>
    </row>
    <row r="8985">
      <c r="D8985" s="9"/>
      <c r="G8985" s="9"/>
      <c r="J8985" s="11"/>
      <c r="U8985" s="9"/>
      <c r="X8985" s="9"/>
    </row>
    <row r="8986">
      <c r="D8986" s="9"/>
      <c r="G8986" s="9"/>
      <c r="J8986" s="11"/>
      <c r="U8986" s="9"/>
      <c r="X8986" s="9"/>
    </row>
    <row r="8987">
      <c r="D8987" s="9"/>
      <c r="G8987" s="9"/>
      <c r="J8987" s="11"/>
      <c r="U8987" s="9"/>
      <c r="X8987" s="9"/>
    </row>
    <row r="8988">
      <c r="D8988" s="9"/>
      <c r="G8988" s="9"/>
      <c r="J8988" s="11"/>
      <c r="U8988" s="9"/>
      <c r="X8988" s="9"/>
    </row>
    <row r="8989">
      <c r="D8989" s="9"/>
      <c r="G8989" s="9"/>
      <c r="J8989" s="11"/>
      <c r="U8989" s="9"/>
      <c r="X8989" s="9"/>
    </row>
    <row r="8990">
      <c r="D8990" s="9"/>
      <c r="G8990" s="9"/>
      <c r="J8990" s="11"/>
      <c r="U8990" s="9"/>
      <c r="X8990" s="9"/>
    </row>
    <row r="8991">
      <c r="D8991" s="9"/>
      <c r="G8991" s="9"/>
      <c r="J8991" s="11"/>
      <c r="U8991" s="9"/>
      <c r="X8991" s="9"/>
    </row>
    <row r="8992">
      <c r="D8992" s="9"/>
      <c r="G8992" s="9"/>
      <c r="J8992" s="11"/>
      <c r="U8992" s="9"/>
      <c r="X8992" s="9"/>
    </row>
    <row r="8993">
      <c r="D8993" s="9"/>
      <c r="G8993" s="9"/>
      <c r="J8993" s="11"/>
      <c r="U8993" s="9"/>
      <c r="X8993" s="9"/>
    </row>
    <row r="8994">
      <c r="D8994" s="9"/>
      <c r="G8994" s="9"/>
      <c r="J8994" s="11"/>
      <c r="U8994" s="9"/>
      <c r="X8994" s="9"/>
    </row>
    <row r="8995">
      <c r="D8995" s="9"/>
      <c r="G8995" s="9"/>
      <c r="J8995" s="11"/>
      <c r="U8995" s="9"/>
      <c r="X8995" s="9"/>
    </row>
    <row r="8996">
      <c r="D8996" s="9"/>
      <c r="G8996" s="9"/>
      <c r="J8996" s="11"/>
      <c r="U8996" s="9"/>
      <c r="X8996" s="9"/>
    </row>
    <row r="8997">
      <c r="D8997" s="9"/>
      <c r="G8997" s="9"/>
      <c r="J8997" s="11"/>
      <c r="U8997" s="9"/>
      <c r="X8997" s="9"/>
    </row>
    <row r="8998">
      <c r="D8998" s="9"/>
      <c r="G8998" s="9"/>
      <c r="J8998" s="11"/>
      <c r="U8998" s="9"/>
      <c r="X8998" s="9"/>
    </row>
    <row r="8999">
      <c r="D8999" s="9"/>
      <c r="G8999" s="9"/>
      <c r="J8999" s="11"/>
      <c r="U8999" s="9"/>
      <c r="X8999" s="9"/>
    </row>
    <row r="9000">
      <c r="D9000" s="9"/>
      <c r="G9000" s="9"/>
      <c r="J9000" s="11"/>
      <c r="U9000" s="9"/>
      <c r="X9000" s="9"/>
    </row>
    <row r="9001">
      <c r="D9001" s="9"/>
      <c r="G9001" s="9"/>
      <c r="J9001" s="11"/>
      <c r="U9001" s="9"/>
      <c r="X9001" s="9"/>
    </row>
    <row r="9002">
      <c r="D9002" s="9"/>
      <c r="G9002" s="9"/>
      <c r="J9002" s="11"/>
      <c r="U9002" s="9"/>
      <c r="X9002" s="9"/>
    </row>
    <row r="9003">
      <c r="D9003" s="9"/>
      <c r="G9003" s="9"/>
      <c r="J9003" s="11"/>
      <c r="U9003" s="9"/>
      <c r="X9003" s="9"/>
    </row>
    <row r="9004">
      <c r="D9004" s="9"/>
      <c r="G9004" s="9"/>
      <c r="J9004" s="11"/>
      <c r="U9004" s="9"/>
      <c r="X9004" s="9"/>
    </row>
    <row r="9005">
      <c r="D9005" s="9"/>
      <c r="G9005" s="9"/>
      <c r="J9005" s="11"/>
      <c r="U9005" s="9"/>
      <c r="X9005" s="9"/>
    </row>
    <row r="9006">
      <c r="D9006" s="9"/>
      <c r="G9006" s="9"/>
      <c r="J9006" s="11"/>
      <c r="U9006" s="9"/>
      <c r="X9006" s="9"/>
    </row>
    <row r="9007">
      <c r="D9007" s="9"/>
      <c r="G9007" s="9"/>
      <c r="J9007" s="11"/>
      <c r="U9007" s="9"/>
      <c r="X9007" s="9"/>
    </row>
    <row r="9008">
      <c r="D9008" s="9"/>
      <c r="G9008" s="9"/>
      <c r="J9008" s="11"/>
      <c r="U9008" s="9"/>
      <c r="X9008" s="9"/>
    </row>
    <row r="9009">
      <c r="D9009" s="9"/>
      <c r="G9009" s="9"/>
      <c r="J9009" s="11"/>
      <c r="U9009" s="9"/>
      <c r="X9009" s="9"/>
    </row>
    <row r="9010">
      <c r="D9010" s="9"/>
      <c r="G9010" s="9"/>
      <c r="J9010" s="11"/>
      <c r="U9010" s="9"/>
      <c r="X9010" s="9"/>
    </row>
    <row r="9011">
      <c r="D9011" s="9"/>
      <c r="G9011" s="9"/>
      <c r="J9011" s="11"/>
      <c r="U9011" s="9"/>
      <c r="X9011" s="9"/>
    </row>
    <row r="9012">
      <c r="D9012" s="9"/>
      <c r="G9012" s="9"/>
      <c r="J9012" s="11"/>
      <c r="U9012" s="9"/>
      <c r="X9012" s="9"/>
    </row>
    <row r="9013">
      <c r="D9013" s="9"/>
      <c r="G9013" s="9"/>
      <c r="J9013" s="11"/>
      <c r="U9013" s="9"/>
      <c r="X9013" s="9"/>
    </row>
    <row r="9014">
      <c r="D9014" s="9"/>
      <c r="G9014" s="9"/>
      <c r="J9014" s="11"/>
      <c r="U9014" s="9"/>
      <c r="X9014" s="9"/>
    </row>
    <row r="9015">
      <c r="D9015" s="9"/>
      <c r="G9015" s="9"/>
      <c r="J9015" s="11"/>
      <c r="U9015" s="9"/>
      <c r="X9015" s="9"/>
    </row>
    <row r="9016">
      <c r="D9016" s="9"/>
      <c r="G9016" s="9"/>
      <c r="J9016" s="11"/>
      <c r="U9016" s="9"/>
      <c r="X9016" s="9"/>
    </row>
    <row r="9017">
      <c r="D9017" s="9"/>
      <c r="G9017" s="9"/>
      <c r="J9017" s="11"/>
      <c r="U9017" s="9"/>
      <c r="X9017" s="9"/>
    </row>
    <row r="9018">
      <c r="D9018" s="9"/>
      <c r="G9018" s="9"/>
      <c r="J9018" s="11"/>
      <c r="U9018" s="9"/>
      <c r="X9018" s="9"/>
    </row>
    <row r="9019">
      <c r="D9019" s="9"/>
      <c r="G9019" s="9"/>
      <c r="J9019" s="11"/>
      <c r="U9019" s="9"/>
      <c r="X9019" s="9"/>
    </row>
    <row r="9020">
      <c r="D9020" s="9"/>
      <c r="G9020" s="9"/>
      <c r="J9020" s="11"/>
      <c r="U9020" s="9"/>
      <c r="X9020" s="9"/>
    </row>
    <row r="9021">
      <c r="D9021" s="9"/>
      <c r="G9021" s="9"/>
      <c r="J9021" s="11"/>
      <c r="U9021" s="9"/>
      <c r="X9021" s="9"/>
    </row>
    <row r="9022">
      <c r="D9022" s="9"/>
      <c r="G9022" s="9"/>
      <c r="J9022" s="11"/>
      <c r="U9022" s="9"/>
      <c r="X9022" s="9"/>
    </row>
    <row r="9023">
      <c r="D9023" s="9"/>
      <c r="G9023" s="9"/>
      <c r="J9023" s="11"/>
      <c r="U9023" s="9"/>
      <c r="X9023" s="9"/>
    </row>
    <row r="9024">
      <c r="D9024" s="9"/>
      <c r="G9024" s="9"/>
      <c r="J9024" s="11"/>
      <c r="U9024" s="9"/>
      <c r="X9024" s="9"/>
    </row>
    <row r="9025">
      <c r="D9025" s="9"/>
      <c r="G9025" s="9"/>
      <c r="J9025" s="11"/>
      <c r="U9025" s="9"/>
      <c r="X9025" s="9"/>
    </row>
    <row r="9026">
      <c r="D9026" s="9"/>
      <c r="G9026" s="9"/>
      <c r="J9026" s="11"/>
      <c r="U9026" s="9"/>
      <c r="X9026" s="9"/>
    </row>
    <row r="9027">
      <c r="D9027" s="9"/>
      <c r="G9027" s="9"/>
      <c r="J9027" s="11"/>
      <c r="U9027" s="9"/>
      <c r="X9027" s="9"/>
    </row>
    <row r="9028">
      <c r="D9028" s="9"/>
      <c r="G9028" s="9"/>
      <c r="J9028" s="11"/>
      <c r="U9028" s="9"/>
      <c r="X9028" s="9"/>
    </row>
    <row r="9029">
      <c r="D9029" s="9"/>
      <c r="G9029" s="9"/>
      <c r="J9029" s="11"/>
      <c r="U9029" s="9"/>
      <c r="X9029" s="9"/>
    </row>
    <row r="9030">
      <c r="D9030" s="9"/>
      <c r="G9030" s="9"/>
      <c r="J9030" s="11"/>
      <c r="U9030" s="9"/>
      <c r="X9030" s="9"/>
    </row>
    <row r="9031">
      <c r="D9031" s="9"/>
      <c r="G9031" s="9"/>
      <c r="J9031" s="11"/>
      <c r="U9031" s="9"/>
      <c r="X9031" s="9"/>
    </row>
    <row r="9032">
      <c r="D9032" s="9"/>
      <c r="G9032" s="9"/>
      <c r="J9032" s="11"/>
      <c r="U9032" s="9"/>
      <c r="X9032" s="9"/>
    </row>
    <row r="9033">
      <c r="D9033" s="9"/>
      <c r="G9033" s="9"/>
      <c r="J9033" s="11"/>
      <c r="U9033" s="9"/>
      <c r="X9033" s="9"/>
    </row>
    <row r="9034">
      <c r="D9034" s="9"/>
      <c r="G9034" s="9"/>
      <c r="J9034" s="11"/>
      <c r="U9034" s="9"/>
      <c r="X9034" s="9"/>
    </row>
    <row r="9035">
      <c r="D9035" s="9"/>
      <c r="G9035" s="9"/>
      <c r="J9035" s="11"/>
      <c r="U9035" s="9"/>
      <c r="X9035" s="9"/>
    </row>
    <row r="9036">
      <c r="D9036" s="9"/>
      <c r="G9036" s="9"/>
      <c r="J9036" s="11"/>
      <c r="U9036" s="9"/>
      <c r="X9036" s="9"/>
    </row>
    <row r="9037">
      <c r="D9037" s="9"/>
      <c r="G9037" s="9"/>
      <c r="J9037" s="11"/>
      <c r="U9037" s="9"/>
      <c r="X9037" s="9"/>
    </row>
    <row r="9038">
      <c r="D9038" s="9"/>
      <c r="G9038" s="9"/>
      <c r="J9038" s="11"/>
      <c r="U9038" s="9"/>
      <c r="X9038" s="9"/>
    </row>
    <row r="9039">
      <c r="D9039" s="9"/>
      <c r="G9039" s="9"/>
      <c r="J9039" s="11"/>
      <c r="U9039" s="9"/>
      <c r="X9039" s="9"/>
    </row>
    <row r="9040">
      <c r="D9040" s="9"/>
      <c r="G9040" s="9"/>
      <c r="J9040" s="11"/>
      <c r="U9040" s="9"/>
      <c r="X9040" s="9"/>
    </row>
    <row r="9041">
      <c r="D9041" s="9"/>
      <c r="G9041" s="9"/>
      <c r="J9041" s="11"/>
      <c r="U9041" s="9"/>
      <c r="X9041" s="9"/>
    </row>
    <row r="9042">
      <c r="D9042" s="9"/>
      <c r="G9042" s="9"/>
      <c r="J9042" s="11"/>
      <c r="U9042" s="9"/>
      <c r="X9042" s="9"/>
    </row>
    <row r="9043">
      <c r="D9043" s="9"/>
      <c r="G9043" s="9"/>
      <c r="J9043" s="11"/>
      <c r="U9043" s="9"/>
      <c r="X9043" s="9"/>
    </row>
    <row r="9044">
      <c r="D9044" s="9"/>
      <c r="G9044" s="9"/>
      <c r="J9044" s="11"/>
      <c r="U9044" s="9"/>
      <c r="X9044" s="9"/>
    </row>
    <row r="9045">
      <c r="D9045" s="9"/>
      <c r="G9045" s="9"/>
      <c r="J9045" s="11"/>
      <c r="U9045" s="9"/>
      <c r="X9045" s="9"/>
    </row>
    <row r="9046">
      <c r="D9046" s="9"/>
      <c r="G9046" s="9"/>
      <c r="J9046" s="11"/>
      <c r="U9046" s="9"/>
      <c r="X9046" s="9"/>
    </row>
    <row r="9047">
      <c r="D9047" s="9"/>
      <c r="G9047" s="9"/>
      <c r="J9047" s="11"/>
      <c r="U9047" s="9"/>
      <c r="X9047" s="9"/>
    </row>
    <row r="9048">
      <c r="D9048" s="9"/>
      <c r="G9048" s="9"/>
      <c r="J9048" s="11"/>
      <c r="U9048" s="9"/>
      <c r="X9048" s="9"/>
    </row>
    <row r="9049">
      <c r="D9049" s="9"/>
      <c r="G9049" s="9"/>
      <c r="J9049" s="11"/>
      <c r="U9049" s="9"/>
      <c r="X9049" s="9"/>
    </row>
    <row r="9050">
      <c r="D9050" s="9"/>
      <c r="G9050" s="9"/>
      <c r="J9050" s="11"/>
      <c r="U9050" s="9"/>
      <c r="X9050" s="9"/>
    </row>
    <row r="9051">
      <c r="D9051" s="9"/>
      <c r="G9051" s="9"/>
      <c r="J9051" s="11"/>
      <c r="U9051" s="9"/>
      <c r="X9051" s="9"/>
    </row>
    <row r="9052">
      <c r="D9052" s="9"/>
      <c r="G9052" s="9"/>
      <c r="J9052" s="11"/>
      <c r="U9052" s="9"/>
      <c r="X9052" s="9"/>
    </row>
    <row r="9053">
      <c r="D9053" s="9"/>
      <c r="G9053" s="9"/>
      <c r="J9053" s="11"/>
      <c r="U9053" s="9"/>
      <c r="X9053" s="9"/>
    </row>
    <row r="9054">
      <c r="D9054" s="9"/>
      <c r="G9054" s="9"/>
      <c r="J9054" s="11"/>
      <c r="U9054" s="9"/>
      <c r="X9054" s="9"/>
    </row>
    <row r="9055">
      <c r="D9055" s="9"/>
      <c r="G9055" s="9"/>
      <c r="J9055" s="11"/>
      <c r="U9055" s="9"/>
      <c r="X9055" s="9"/>
    </row>
    <row r="9056">
      <c r="D9056" s="9"/>
      <c r="G9056" s="9"/>
      <c r="J9056" s="11"/>
      <c r="U9056" s="9"/>
      <c r="X9056" s="9"/>
    </row>
    <row r="9057">
      <c r="D9057" s="9"/>
      <c r="G9057" s="9"/>
      <c r="J9057" s="11"/>
      <c r="U9057" s="9"/>
      <c r="X9057" s="9"/>
    </row>
    <row r="9058">
      <c r="D9058" s="9"/>
      <c r="G9058" s="9"/>
      <c r="J9058" s="11"/>
      <c r="U9058" s="9"/>
      <c r="X9058" s="9"/>
    </row>
    <row r="9059">
      <c r="D9059" s="9"/>
      <c r="G9059" s="9"/>
      <c r="J9059" s="11"/>
      <c r="U9059" s="9"/>
      <c r="X9059" s="9"/>
    </row>
    <row r="9060">
      <c r="D9060" s="9"/>
      <c r="G9060" s="9"/>
      <c r="J9060" s="11"/>
      <c r="U9060" s="9"/>
      <c r="X9060" s="9"/>
    </row>
    <row r="9061">
      <c r="D9061" s="9"/>
      <c r="G9061" s="9"/>
      <c r="J9061" s="11"/>
      <c r="U9061" s="9"/>
      <c r="X9061" s="9"/>
    </row>
    <row r="9062">
      <c r="D9062" s="9"/>
      <c r="G9062" s="9"/>
      <c r="J9062" s="11"/>
      <c r="U9062" s="9"/>
      <c r="X9062" s="9"/>
    </row>
    <row r="9063">
      <c r="D9063" s="9"/>
      <c r="G9063" s="9"/>
      <c r="J9063" s="11"/>
      <c r="U9063" s="9"/>
      <c r="X9063" s="9"/>
    </row>
    <row r="9064">
      <c r="D9064" s="9"/>
      <c r="G9064" s="9"/>
      <c r="J9064" s="11"/>
      <c r="U9064" s="9"/>
      <c r="X9064" s="9"/>
    </row>
    <row r="9065">
      <c r="D9065" s="9"/>
      <c r="G9065" s="9"/>
      <c r="J9065" s="11"/>
      <c r="U9065" s="9"/>
      <c r="X9065" s="9"/>
    </row>
    <row r="9066">
      <c r="D9066" s="9"/>
      <c r="G9066" s="9"/>
      <c r="J9066" s="11"/>
      <c r="U9066" s="9"/>
      <c r="X9066" s="9"/>
    </row>
    <row r="9067">
      <c r="D9067" s="9"/>
      <c r="G9067" s="9"/>
      <c r="J9067" s="11"/>
      <c r="U9067" s="9"/>
      <c r="X9067" s="9"/>
    </row>
    <row r="9068">
      <c r="D9068" s="9"/>
      <c r="G9068" s="9"/>
      <c r="J9068" s="11"/>
      <c r="U9068" s="9"/>
      <c r="X9068" s="9"/>
    </row>
    <row r="9069">
      <c r="D9069" s="9"/>
      <c r="G9069" s="9"/>
      <c r="J9069" s="11"/>
      <c r="U9069" s="9"/>
      <c r="X9069" s="9"/>
    </row>
    <row r="9070">
      <c r="D9070" s="9"/>
      <c r="G9070" s="9"/>
      <c r="J9070" s="11"/>
      <c r="U9070" s="9"/>
      <c r="X9070" s="9"/>
    </row>
    <row r="9071">
      <c r="D9071" s="9"/>
      <c r="G9071" s="9"/>
      <c r="J9071" s="11"/>
      <c r="U9071" s="9"/>
      <c r="X9071" s="9"/>
    </row>
    <row r="9072">
      <c r="D9072" s="9"/>
      <c r="G9072" s="9"/>
      <c r="J9072" s="11"/>
      <c r="U9072" s="9"/>
      <c r="X9072" s="9"/>
    </row>
    <row r="9073">
      <c r="D9073" s="9"/>
      <c r="G9073" s="9"/>
      <c r="J9073" s="11"/>
      <c r="U9073" s="9"/>
      <c r="X9073" s="9"/>
    </row>
    <row r="9074">
      <c r="D9074" s="9"/>
      <c r="G9074" s="9"/>
      <c r="J9074" s="11"/>
      <c r="U9074" s="9"/>
      <c r="X9074" s="9"/>
    </row>
    <row r="9075">
      <c r="D9075" s="9"/>
      <c r="G9075" s="9"/>
      <c r="J9075" s="11"/>
      <c r="U9075" s="9"/>
      <c r="X9075" s="9"/>
    </row>
    <row r="9076">
      <c r="D9076" s="9"/>
      <c r="G9076" s="9"/>
      <c r="J9076" s="11"/>
      <c r="U9076" s="9"/>
      <c r="X9076" s="9"/>
    </row>
    <row r="9077">
      <c r="D9077" s="9"/>
      <c r="G9077" s="9"/>
      <c r="J9077" s="11"/>
      <c r="U9077" s="9"/>
      <c r="X9077" s="9"/>
    </row>
    <row r="9078">
      <c r="D9078" s="9"/>
      <c r="G9078" s="9"/>
      <c r="J9078" s="11"/>
      <c r="U9078" s="9"/>
      <c r="X9078" s="9"/>
    </row>
    <row r="9079">
      <c r="D9079" s="9"/>
      <c r="G9079" s="9"/>
      <c r="J9079" s="11"/>
      <c r="U9079" s="9"/>
      <c r="X9079" s="9"/>
    </row>
    <row r="9080">
      <c r="D9080" s="9"/>
      <c r="G9080" s="9"/>
      <c r="J9080" s="11"/>
      <c r="U9080" s="9"/>
      <c r="X9080" s="9"/>
    </row>
    <row r="9081">
      <c r="D9081" s="9"/>
      <c r="G9081" s="9"/>
      <c r="J9081" s="11"/>
      <c r="U9081" s="9"/>
      <c r="X9081" s="9"/>
    </row>
    <row r="9082">
      <c r="D9082" s="9"/>
      <c r="G9082" s="9"/>
      <c r="J9082" s="11"/>
      <c r="U9082" s="9"/>
      <c r="X9082" s="9"/>
    </row>
    <row r="9083">
      <c r="D9083" s="9"/>
      <c r="G9083" s="9"/>
      <c r="J9083" s="11"/>
      <c r="U9083" s="9"/>
      <c r="X9083" s="9"/>
    </row>
    <row r="9084">
      <c r="D9084" s="9"/>
      <c r="G9084" s="9"/>
      <c r="J9084" s="11"/>
      <c r="U9084" s="9"/>
      <c r="X9084" s="9"/>
    </row>
    <row r="9085">
      <c r="D9085" s="9"/>
      <c r="G9085" s="9"/>
      <c r="J9085" s="11"/>
      <c r="U9085" s="9"/>
      <c r="X9085" s="9"/>
    </row>
    <row r="9086">
      <c r="D9086" s="9"/>
      <c r="G9086" s="9"/>
      <c r="J9086" s="11"/>
      <c r="U9086" s="9"/>
      <c r="X9086" s="9"/>
    </row>
    <row r="9087">
      <c r="D9087" s="9"/>
      <c r="G9087" s="9"/>
      <c r="J9087" s="11"/>
      <c r="U9087" s="9"/>
      <c r="X9087" s="9"/>
    </row>
    <row r="9088">
      <c r="D9088" s="9"/>
      <c r="G9088" s="9"/>
      <c r="J9088" s="11"/>
      <c r="U9088" s="9"/>
      <c r="X9088" s="9"/>
    </row>
    <row r="9089">
      <c r="D9089" s="9"/>
      <c r="G9089" s="9"/>
      <c r="J9089" s="11"/>
      <c r="U9089" s="9"/>
      <c r="X9089" s="9"/>
    </row>
    <row r="9090">
      <c r="D9090" s="9"/>
      <c r="G9090" s="9"/>
      <c r="J9090" s="11"/>
      <c r="U9090" s="9"/>
      <c r="X9090" s="9"/>
    </row>
    <row r="9091">
      <c r="D9091" s="9"/>
      <c r="G9091" s="9"/>
      <c r="J9091" s="11"/>
      <c r="U9091" s="9"/>
      <c r="X9091" s="9"/>
    </row>
    <row r="9092">
      <c r="D9092" s="9"/>
      <c r="G9092" s="9"/>
      <c r="J9092" s="11"/>
      <c r="U9092" s="9"/>
      <c r="X9092" s="9"/>
    </row>
    <row r="9093">
      <c r="D9093" s="9"/>
      <c r="G9093" s="9"/>
      <c r="J9093" s="11"/>
      <c r="U9093" s="9"/>
      <c r="X9093" s="9"/>
    </row>
    <row r="9094">
      <c r="D9094" s="9"/>
      <c r="G9094" s="9"/>
      <c r="J9094" s="11"/>
      <c r="U9094" s="9"/>
      <c r="X9094" s="9"/>
    </row>
    <row r="9095">
      <c r="D9095" s="9"/>
      <c r="G9095" s="9"/>
      <c r="J9095" s="11"/>
      <c r="U9095" s="9"/>
      <c r="X9095" s="9"/>
    </row>
    <row r="9096">
      <c r="D9096" s="9"/>
      <c r="G9096" s="9"/>
      <c r="J9096" s="11"/>
      <c r="U9096" s="9"/>
      <c r="X9096" s="9"/>
    </row>
    <row r="9097">
      <c r="D9097" s="9"/>
      <c r="G9097" s="9"/>
      <c r="J9097" s="11"/>
      <c r="U9097" s="9"/>
      <c r="X9097" s="9"/>
    </row>
    <row r="9098">
      <c r="D9098" s="9"/>
      <c r="G9098" s="9"/>
      <c r="J9098" s="11"/>
      <c r="U9098" s="9"/>
      <c r="X9098" s="9"/>
    </row>
    <row r="9099">
      <c r="D9099" s="9"/>
      <c r="G9099" s="9"/>
      <c r="J9099" s="11"/>
      <c r="U9099" s="9"/>
      <c r="X9099" s="9"/>
    </row>
    <row r="9100">
      <c r="D9100" s="9"/>
      <c r="G9100" s="9"/>
      <c r="J9100" s="11"/>
      <c r="U9100" s="9"/>
      <c r="X9100" s="9"/>
    </row>
    <row r="9101">
      <c r="D9101" s="9"/>
      <c r="G9101" s="9"/>
      <c r="J9101" s="11"/>
      <c r="U9101" s="9"/>
      <c r="X9101" s="9"/>
    </row>
    <row r="9102">
      <c r="D9102" s="9"/>
      <c r="G9102" s="9"/>
      <c r="J9102" s="11"/>
      <c r="U9102" s="9"/>
      <c r="X9102" s="9"/>
    </row>
    <row r="9103">
      <c r="D9103" s="9"/>
      <c r="G9103" s="9"/>
      <c r="J9103" s="11"/>
      <c r="U9103" s="9"/>
      <c r="X9103" s="9"/>
    </row>
    <row r="9104">
      <c r="D9104" s="9"/>
      <c r="G9104" s="9"/>
      <c r="J9104" s="11"/>
      <c r="U9104" s="9"/>
      <c r="X9104" s="9"/>
    </row>
    <row r="9105">
      <c r="D9105" s="9"/>
      <c r="G9105" s="9"/>
      <c r="J9105" s="11"/>
      <c r="U9105" s="9"/>
      <c r="X9105" s="9"/>
    </row>
    <row r="9106">
      <c r="D9106" s="9"/>
      <c r="G9106" s="9"/>
      <c r="J9106" s="11"/>
      <c r="U9106" s="9"/>
      <c r="X9106" s="9"/>
    </row>
    <row r="9107">
      <c r="D9107" s="9"/>
      <c r="G9107" s="9"/>
      <c r="J9107" s="11"/>
      <c r="U9107" s="9"/>
      <c r="X9107" s="9"/>
    </row>
    <row r="9108">
      <c r="D9108" s="9"/>
      <c r="G9108" s="9"/>
      <c r="J9108" s="11"/>
      <c r="U9108" s="9"/>
      <c r="X9108" s="9"/>
    </row>
    <row r="9109">
      <c r="D9109" s="9"/>
      <c r="G9109" s="9"/>
      <c r="J9109" s="11"/>
      <c r="U9109" s="9"/>
      <c r="X9109" s="9"/>
    </row>
    <row r="9110">
      <c r="D9110" s="9"/>
      <c r="G9110" s="9"/>
      <c r="J9110" s="11"/>
      <c r="U9110" s="9"/>
      <c r="X9110" s="9"/>
    </row>
    <row r="9111">
      <c r="D9111" s="9"/>
      <c r="G9111" s="9"/>
      <c r="J9111" s="11"/>
      <c r="U9111" s="9"/>
      <c r="X9111" s="9"/>
    </row>
    <row r="9112">
      <c r="D9112" s="9"/>
      <c r="G9112" s="9"/>
      <c r="J9112" s="11"/>
      <c r="U9112" s="9"/>
      <c r="X9112" s="9"/>
    </row>
    <row r="9113">
      <c r="D9113" s="9"/>
      <c r="G9113" s="9"/>
      <c r="J9113" s="11"/>
      <c r="U9113" s="9"/>
      <c r="X9113" s="9"/>
    </row>
    <row r="9114">
      <c r="D9114" s="9"/>
      <c r="G9114" s="9"/>
      <c r="J9114" s="11"/>
      <c r="U9114" s="9"/>
      <c r="X9114" s="9"/>
    </row>
    <row r="9115">
      <c r="D9115" s="9"/>
      <c r="G9115" s="9"/>
      <c r="J9115" s="11"/>
      <c r="U9115" s="9"/>
      <c r="X9115" s="9"/>
    </row>
    <row r="9116">
      <c r="D9116" s="9"/>
      <c r="G9116" s="9"/>
      <c r="J9116" s="11"/>
      <c r="U9116" s="9"/>
      <c r="X9116" s="9"/>
    </row>
    <row r="9117">
      <c r="D9117" s="9"/>
      <c r="G9117" s="9"/>
      <c r="J9117" s="11"/>
      <c r="U9117" s="9"/>
      <c r="X9117" s="9"/>
    </row>
    <row r="9118">
      <c r="D9118" s="9"/>
      <c r="G9118" s="9"/>
      <c r="J9118" s="11"/>
      <c r="U9118" s="9"/>
      <c r="X9118" s="9"/>
    </row>
    <row r="9119">
      <c r="D9119" s="9"/>
      <c r="G9119" s="9"/>
      <c r="J9119" s="11"/>
      <c r="U9119" s="9"/>
      <c r="X9119" s="9"/>
    </row>
    <row r="9120">
      <c r="D9120" s="9"/>
      <c r="G9120" s="9"/>
      <c r="J9120" s="11"/>
      <c r="U9120" s="9"/>
      <c r="X9120" s="9"/>
    </row>
    <row r="9121">
      <c r="D9121" s="9"/>
      <c r="G9121" s="9"/>
      <c r="J9121" s="11"/>
      <c r="U9121" s="9"/>
      <c r="X9121" s="9"/>
    </row>
    <row r="9122">
      <c r="D9122" s="9"/>
      <c r="G9122" s="9"/>
      <c r="J9122" s="11"/>
      <c r="U9122" s="9"/>
      <c r="X9122" s="9"/>
    </row>
    <row r="9123">
      <c r="D9123" s="9"/>
      <c r="G9123" s="9"/>
      <c r="J9123" s="11"/>
      <c r="U9123" s="9"/>
      <c r="X9123" s="9"/>
    </row>
    <row r="9124">
      <c r="D9124" s="9"/>
      <c r="G9124" s="9"/>
      <c r="J9124" s="11"/>
      <c r="U9124" s="9"/>
      <c r="X9124" s="9"/>
    </row>
    <row r="9125">
      <c r="D9125" s="9"/>
      <c r="G9125" s="9"/>
      <c r="J9125" s="11"/>
      <c r="U9125" s="9"/>
      <c r="X9125" s="9"/>
    </row>
    <row r="9126">
      <c r="D9126" s="9"/>
      <c r="G9126" s="9"/>
      <c r="J9126" s="11"/>
      <c r="U9126" s="9"/>
      <c r="X9126" s="9"/>
    </row>
    <row r="9127">
      <c r="D9127" s="9"/>
      <c r="G9127" s="9"/>
      <c r="J9127" s="11"/>
      <c r="U9127" s="9"/>
      <c r="X9127" s="9"/>
    </row>
    <row r="9128">
      <c r="D9128" s="9"/>
      <c r="G9128" s="9"/>
      <c r="J9128" s="11"/>
      <c r="U9128" s="9"/>
      <c r="X9128" s="9"/>
    </row>
    <row r="9129">
      <c r="D9129" s="9"/>
      <c r="G9129" s="9"/>
      <c r="J9129" s="11"/>
      <c r="U9129" s="9"/>
      <c r="X9129" s="9"/>
    </row>
    <row r="9130">
      <c r="D9130" s="9"/>
      <c r="G9130" s="9"/>
      <c r="J9130" s="11"/>
      <c r="U9130" s="9"/>
      <c r="X9130" s="9"/>
    </row>
    <row r="9131">
      <c r="D9131" s="9"/>
      <c r="G9131" s="9"/>
      <c r="J9131" s="11"/>
      <c r="U9131" s="9"/>
      <c r="X9131" s="9"/>
    </row>
    <row r="9132">
      <c r="D9132" s="9"/>
      <c r="G9132" s="9"/>
      <c r="J9132" s="11"/>
      <c r="U9132" s="9"/>
      <c r="X9132" s="9"/>
    </row>
    <row r="9133">
      <c r="D9133" s="9"/>
      <c r="G9133" s="9"/>
      <c r="J9133" s="11"/>
      <c r="U9133" s="9"/>
      <c r="X9133" s="9"/>
    </row>
    <row r="9134">
      <c r="D9134" s="9"/>
      <c r="G9134" s="9"/>
      <c r="J9134" s="11"/>
      <c r="U9134" s="9"/>
      <c r="X9134" s="9"/>
    </row>
    <row r="9135">
      <c r="D9135" s="9"/>
      <c r="G9135" s="9"/>
      <c r="J9135" s="11"/>
      <c r="U9135" s="9"/>
      <c r="X9135" s="9"/>
    </row>
    <row r="9136">
      <c r="D9136" s="9"/>
      <c r="G9136" s="9"/>
      <c r="J9136" s="11"/>
      <c r="U9136" s="9"/>
      <c r="X9136" s="9"/>
    </row>
    <row r="9137">
      <c r="D9137" s="9"/>
      <c r="G9137" s="9"/>
      <c r="J9137" s="11"/>
      <c r="U9137" s="9"/>
      <c r="X9137" s="9"/>
    </row>
    <row r="9138">
      <c r="D9138" s="9"/>
      <c r="G9138" s="9"/>
      <c r="J9138" s="11"/>
      <c r="U9138" s="9"/>
      <c r="X9138" s="9"/>
    </row>
    <row r="9139">
      <c r="D9139" s="9"/>
      <c r="G9139" s="9"/>
      <c r="J9139" s="11"/>
      <c r="U9139" s="9"/>
      <c r="X9139" s="9"/>
    </row>
    <row r="9140">
      <c r="D9140" s="9"/>
      <c r="G9140" s="9"/>
      <c r="J9140" s="11"/>
      <c r="U9140" s="9"/>
      <c r="X9140" s="9"/>
    </row>
    <row r="9141">
      <c r="D9141" s="9"/>
      <c r="G9141" s="9"/>
      <c r="J9141" s="11"/>
      <c r="U9141" s="9"/>
      <c r="X9141" s="9"/>
    </row>
    <row r="9142">
      <c r="D9142" s="9"/>
      <c r="G9142" s="9"/>
      <c r="J9142" s="11"/>
      <c r="U9142" s="9"/>
      <c r="X9142" s="9"/>
    </row>
    <row r="9143">
      <c r="D9143" s="9"/>
      <c r="G9143" s="9"/>
      <c r="J9143" s="11"/>
      <c r="U9143" s="9"/>
      <c r="X9143" s="9"/>
    </row>
    <row r="9144">
      <c r="D9144" s="9"/>
      <c r="G9144" s="9"/>
      <c r="J9144" s="11"/>
      <c r="U9144" s="9"/>
      <c r="X9144" s="9"/>
    </row>
    <row r="9145">
      <c r="D9145" s="9"/>
      <c r="G9145" s="9"/>
      <c r="J9145" s="11"/>
      <c r="U9145" s="9"/>
      <c r="X9145" s="9"/>
    </row>
    <row r="9146">
      <c r="D9146" s="9"/>
      <c r="G9146" s="9"/>
      <c r="J9146" s="11"/>
      <c r="U9146" s="9"/>
      <c r="X9146" s="9"/>
    </row>
    <row r="9147">
      <c r="D9147" s="9"/>
      <c r="G9147" s="9"/>
      <c r="J9147" s="11"/>
      <c r="U9147" s="9"/>
      <c r="X9147" s="9"/>
    </row>
    <row r="9148">
      <c r="D9148" s="9"/>
      <c r="G9148" s="9"/>
      <c r="J9148" s="11"/>
      <c r="U9148" s="9"/>
      <c r="X9148" s="9"/>
    </row>
    <row r="9149">
      <c r="D9149" s="9"/>
      <c r="G9149" s="9"/>
      <c r="J9149" s="11"/>
      <c r="U9149" s="9"/>
      <c r="X9149" s="9"/>
    </row>
    <row r="9150">
      <c r="D9150" s="9"/>
      <c r="G9150" s="9"/>
      <c r="J9150" s="11"/>
      <c r="U9150" s="9"/>
      <c r="X9150" s="9"/>
    </row>
    <row r="9151">
      <c r="D9151" s="9"/>
      <c r="G9151" s="9"/>
      <c r="J9151" s="11"/>
      <c r="U9151" s="9"/>
      <c r="X9151" s="9"/>
    </row>
    <row r="9152">
      <c r="D9152" s="9"/>
      <c r="G9152" s="9"/>
      <c r="J9152" s="11"/>
      <c r="U9152" s="9"/>
      <c r="X9152" s="9"/>
    </row>
    <row r="9153">
      <c r="D9153" s="9"/>
      <c r="G9153" s="9"/>
      <c r="J9153" s="11"/>
      <c r="U9153" s="9"/>
      <c r="X9153" s="9"/>
    </row>
    <row r="9154">
      <c r="D9154" s="9"/>
      <c r="G9154" s="9"/>
      <c r="J9154" s="11"/>
      <c r="U9154" s="9"/>
      <c r="X9154" s="9"/>
    </row>
    <row r="9155">
      <c r="D9155" s="9"/>
      <c r="G9155" s="9"/>
      <c r="J9155" s="11"/>
      <c r="U9155" s="9"/>
      <c r="X9155" s="9"/>
    </row>
    <row r="9156">
      <c r="D9156" s="9"/>
      <c r="G9156" s="9"/>
      <c r="J9156" s="11"/>
      <c r="U9156" s="9"/>
      <c r="X9156" s="9"/>
    </row>
    <row r="9157">
      <c r="D9157" s="9"/>
      <c r="G9157" s="9"/>
      <c r="J9157" s="11"/>
      <c r="U9157" s="9"/>
      <c r="X9157" s="9"/>
    </row>
    <row r="9158">
      <c r="D9158" s="9"/>
      <c r="G9158" s="9"/>
      <c r="J9158" s="11"/>
      <c r="U9158" s="9"/>
      <c r="X9158" s="9"/>
    </row>
    <row r="9159">
      <c r="D9159" s="9"/>
      <c r="G9159" s="9"/>
      <c r="J9159" s="11"/>
      <c r="U9159" s="9"/>
      <c r="X9159" s="9"/>
    </row>
    <row r="9160">
      <c r="D9160" s="9"/>
      <c r="G9160" s="9"/>
      <c r="J9160" s="11"/>
      <c r="U9160" s="9"/>
      <c r="X9160" s="9"/>
    </row>
    <row r="9161">
      <c r="D9161" s="9"/>
      <c r="G9161" s="9"/>
      <c r="J9161" s="11"/>
      <c r="U9161" s="9"/>
      <c r="X9161" s="9"/>
    </row>
    <row r="9162">
      <c r="D9162" s="9"/>
      <c r="G9162" s="9"/>
      <c r="J9162" s="11"/>
      <c r="U9162" s="9"/>
      <c r="X9162" s="9"/>
    </row>
    <row r="9163">
      <c r="D9163" s="9"/>
      <c r="G9163" s="9"/>
      <c r="J9163" s="11"/>
      <c r="U9163" s="9"/>
      <c r="X9163" s="9"/>
    </row>
    <row r="9164">
      <c r="D9164" s="9"/>
      <c r="G9164" s="9"/>
      <c r="J9164" s="11"/>
      <c r="U9164" s="9"/>
      <c r="X9164" s="9"/>
    </row>
    <row r="9165">
      <c r="D9165" s="9"/>
      <c r="G9165" s="9"/>
      <c r="J9165" s="11"/>
      <c r="U9165" s="9"/>
      <c r="X9165" s="9"/>
    </row>
    <row r="9166">
      <c r="D9166" s="9"/>
      <c r="G9166" s="9"/>
      <c r="J9166" s="11"/>
      <c r="U9166" s="9"/>
      <c r="X9166" s="9"/>
    </row>
    <row r="9167">
      <c r="D9167" s="9"/>
      <c r="G9167" s="9"/>
      <c r="J9167" s="11"/>
      <c r="U9167" s="9"/>
      <c r="X9167" s="9"/>
    </row>
    <row r="9168">
      <c r="D9168" s="9"/>
      <c r="G9168" s="9"/>
      <c r="J9168" s="11"/>
      <c r="U9168" s="9"/>
      <c r="X9168" s="9"/>
    </row>
    <row r="9169">
      <c r="D9169" s="9"/>
      <c r="G9169" s="9"/>
      <c r="J9169" s="11"/>
      <c r="U9169" s="9"/>
      <c r="X9169" s="9"/>
    </row>
    <row r="9170">
      <c r="D9170" s="9"/>
      <c r="G9170" s="9"/>
      <c r="J9170" s="11"/>
      <c r="U9170" s="9"/>
      <c r="X9170" s="9"/>
    </row>
    <row r="9171">
      <c r="D9171" s="9"/>
      <c r="G9171" s="9"/>
      <c r="J9171" s="11"/>
      <c r="U9171" s="9"/>
      <c r="X9171" s="9"/>
    </row>
    <row r="9172">
      <c r="D9172" s="9"/>
      <c r="G9172" s="9"/>
      <c r="J9172" s="11"/>
      <c r="U9172" s="9"/>
      <c r="X9172" s="9"/>
    </row>
    <row r="9173">
      <c r="D9173" s="9"/>
      <c r="G9173" s="9"/>
      <c r="J9173" s="11"/>
      <c r="U9173" s="9"/>
      <c r="X9173" s="9"/>
    </row>
    <row r="9174">
      <c r="D9174" s="9"/>
      <c r="G9174" s="9"/>
      <c r="J9174" s="11"/>
      <c r="U9174" s="9"/>
      <c r="X9174" s="9"/>
    </row>
    <row r="9175">
      <c r="D9175" s="9"/>
      <c r="G9175" s="9"/>
      <c r="J9175" s="11"/>
      <c r="U9175" s="9"/>
      <c r="X9175" s="9"/>
    </row>
    <row r="9176">
      <c r="D9176" s="9"/>
      <c r="G9176" s="9"/>
      <c r="J9176" s="11"/>
      <c r="U9176" s="9"/>
      <c r="X9176" s="9"/>
    </row>
    <row r="9177">
      <c r="D9177" s="9"/>
      <c r="G9177" s="9"/>
      <c r="J9177" s="11"/>
      <c r="U9177" s="9"/>
      <c r="X9177" s="9"/>
    </row>
    <row r="9178">
      <c r="D9178" s="9"/>
      <c r="G9178" s="9"/>
      <c r="J9178" s="11"/>
      <c r="U9178" s="9"/>
      <c r="X9178" s="9"/>
    </row>
    <row r="9179">
      <c r="D9179" s="9"/>
      <c r="G9179" s="9"/>
      <c r="J9179" s="11"/>
      <c r="U9179" s="9"/>
      <c r="X9179" s="9"/>
    </row>
    <row r="9180">
      <c r="D9180" s="9"/>
      <c r="G9180" s="9"/>
      <c r="J9180" s="11"/>
      <c r="U9180" s="9"/>
      <c r="X9180" s="9"/>
    </row>
    <row r="9181">
      <c r="D9181" s="9"/>
      <c r="G9181" s="9"/>
      <c r="J9181" s="11"/>
      <c r="U9181" s="9"/>
      <c r="X9181" s="9"/>
    </row>
    <row r="9182">
      <c r="D9182" s="9"/>
      <c r="G9182" s="9"/>
      <c r="J9182" s="11"/>
      <c r="U9182" s="9"/>
      <c r="X9182" s="9"/>
    </row>
    <row r="9183">
      <c r="D9183" s="9"/>
      <c r="G9183" s="9"/>
      <c r="J9183" s="11"/>
      <c r="U9183" s="9"/>
      <c r="X9183" s="9"/>
    </row>
    <row r="9184">
      <c r="D9184" s="9"/>
      <c r="G9184" s="9"/>
      <c r="J9184" s="11"/>
      <c r="U9184" s="9"/>
      <c r="X9184" s="9"/>
    </row>
    <row r="9185">
      <c r="D9185" s="9"/>
      <c r="G9185" s="9"/>
      <c r="J9185" s="11"/>
      <c r="U9185" s="9"/>
      <c r="X9185" s="9"/>
    </row>
    <row r="9186">
      <c r="D9186" s="9"/>
      <c r="G9186" s="9"/>
      <c r="J9186" s="11"/>
      <c r="U9186" s="9"/>
      <c r="X9186" s="9"/>
    </row>
    <row r="9187">
      <c r="D9187" s="9"/>
      <c r="G9187" s="9"/>
      <c r="J9187" s="11"/>
      <c r="U9187" s="9"/>
      <c r="X9187" s="9"/>
    </row>
    <row r="9188">
      <c r="D9188" s="9"/>
      <c r="G9188" s="9"/>
      <c r="J9188" s="11"/>
      <c r="U9188" s="9"/>
      <c r="X9188" s="9"/>
    </row>
    <row r="9189">
      <c r="D9189" s="9"/>
      <c r="G9189" s="9"/>
      <c r="J9189" s="11"/>
      <c r="U9189" s="9"/>
      <c r="X9189" s="9"/>
    </row>
    <row r="9190">
      <c r="D9190" s="9"/>
      <c r="G9190" s="9"/>
      <c r="J9190" s="11"/>
      <c r="U9190" s="9"/>
      <c r="X9190" s="9"/>
    </row>
    <row r="9191">
      <c r="D9191" s="9"/>
      <c r="G9191" s="9"/>
      <c r="J9191" s="11"/>
      <c r="U9191" s="9"/>
      <c r="X9191" s="9"/>
    </row>
    <row r="9192">
      <c r="D9192" s="9"/>
      <c r="G9192" s="9"/>
      <c r="J9192" s="11"/>
      <c r="U9192" s="9"/>
      <c r="X9192" s="9"/>
    </row>
    <row r="9193">
      <c r="D9193" s="9"/>
      <c r="G9193" s="9"/>
      <c r="J9193" s="11"/>
      <c r="U9193" s="9"/>
      <c r="X9193" s="9"/>
    </row>
    <row r="9194">
      <c r="D9194" s="9"/>
      <c r="G9194" s="9"/>
      <c r="J9194" s="11"/>
      <c r="U9194" s="9"/>
      <c r="X9194" s="9"/>
    </row>
    <row r="9195">
      <c r="D9195" s="9"/>
      <c r="G9195" s="9"/>
      <c r="J9195" s="11"/>
      <c r="U9195" s="9"/>
      <c r="X9195" s="9"/>
    </row>
    <row r="9196">
      <c r="D9196" s="9"/>
      <c r="G9196" s="9"/>
      <c r="J9196" s="11"/>
      <c r="U9196" s="9"/>
      <c r="X9196" s="9"/>
    </row>
    <row r="9197">
      <c r="D9197" s="9"/>
      <c r="G9197" s="9"/>
      <c r="J9197" s="11"/>
      <c r="U9197" s="9"/>
      <c r="X9197" s="9"/>
    </row>
    <row r="9198">
      <c r="D9198" s="9"/>
      <c r="G9198" s="9"/>
      <c r="J9198" s="11"/>
      <c r="U9198" s="9"/>
      <c r="X9198" s="9"/>
    </row>
    <row r="9199">
      <c r="D9199" s="9"/>
      <c r="G9199" s="9"/>
      <c r="J9199" s="11"/>
      <c r="U9199" s="9"/>
      <c r="X9199" s="9"/>
    </row>
    <row r="9200">
      <c r="D9200" s="9"/>
      <c r="G9200" s="9"/>
      <c r="J9200" s="11"/>
      <c r="U9200" s="9"/>
      <c r="X9200" s="9"/>
    </row>
    <row r="9201">
      <c r="D9201" s="9"/>
      <c r="G9201" s="9"/>
      <c r="J9201" s="11"/>
      <c r="U9201" s="9"/>
      <c r="X9201" s="9"/>
    </row>
    <row r="9202">
      <c r="D9202" s="9"/>
      <c r="G9202" s="9"/>
      <c r="J9202" s="11"/>
      <c r="U9202" s="9"/>
      <c r="X9202" s="9"/>
    </row>
    <row r="9203">
      <c r="D9203" s="9"/>
      <c r="G9203" s="9"/>
      <c r="J9203" s="11"/>
      <c r="U9203" s="9"/>
      <c r="X9203" s="9"/>
    </row>
    <row r="9204">
      <c r="D9204" s="9"/>
      <c r="G9204" s="9"/>
      <c r="J9204" s="11"/>
      <c r="U9204" s="9"/>
      <c r="X9204" s="9"/>
    </row>
    <row r="9205">
      <c r="D9205" s="9"/>
      <c r="G9205" s="9"/>
      <c r="J9205" s="11"/>
      <c r="U9205" s="9"/>
      <c r="X9205" s="9"/>
    </row>
    <row r="9206">
      <c r="D9206" s="9"/>
      <c r="G9206" s="9"/>
      <c r="J9206" s="11"/>
      <c r="U9206" s="9"/>
      <c r="X9206" s="9"/>
    </row>
    <row r="9207">
      <c r="D9207" s="9"/>
      <c r="G9207" s="9"/>
      <c r="J9207" s="11"/>
      <c r="U9207" s="9"/>
      <c r="X9207" s="9"/>
    </row>
    <row r="9208">
      <c r="D9208" s="9"/>
      <c r="G9208" s="9"/>
      <c r="J9208" s="11"/>
      <c r="U9208" s="9"/>
      <c r="X9208" s="9"/>
    </row>
    <row r="9209">
      <c r="D9209" s="9"/>
      <c r="G9209" s="9"/>
      <c r="J9209" s="11"/>
      <c r="U9209" s="9"/>
      <c r="X9209" s="9"/>
    </row>
    <row r="9210">
      <c r="D9210" s="9"/>
      <c r="G9210" s="9"/>
      <c r="J9210" s="11"/>
      <c r="U9210" s="9"/>
      <c r="X9210" s="9"/>
    </row>
    <row r="9211">
      <c r="D9211" s="9"/>
      <c r="G9211" s="9"/>
      <c r="J9211" s="11"/>
      <c r="U9211" s="9"/>
      <c r="X9211" s="9"/>
    </row>
    <row r="9212">
      <c r="D9212" s="9"/>
      <c r="G9212" s="9"/>
      <c r="J9212" s="11"/>
      <c r="U9212" s="9"/>
      <c r="X9212" s="9"/>
    </row>
    <row r="9213">
      <c r="D9213" s="9"/>
      <c r="G9213" s="9"/>
      <c r="J9213" s="11"/>
      <c r="U9213" s="9"/>
      <c r="X9213" s="9"/>
    </row>
    <row r="9214">
      <c r="D9214" s="9"/>
      <c r="G9214" s="9"/>
      <c r="J9214" s="11"/>
      <c r="U9214" s="9"/>
      <c r="X9214" s="9"/>
    </row>
    <row r="9215">
      <c r="D9215" s="9"/>
      <c r="G9215" s="9"/>
      <c r="J9215" s="11"/>
      <c r="U9215" s="9"/>
      <c r="X9215" s="9"/>
    </row>
    <row r="9216">
      <c r="D9216" s="9"/>
      <c r="G9216" s="9"/>
      <c r="J9216" s="11"/>
      <c r="U9216" s="9"/>
      <c r="X9216" s="9"/>
    </row>
    <row r="9217">
      <c r="D9217" s="9"/>
      <c r="G9217" s="9"/>
      <c r="J9217" s="11"/>
      <c r="U9217" s="9"/>
      <c r="X9217" s="9"/>
    </row>
    <row r="9218">
      <c r="D9218" s="9"/>
      <c r="G9218" s="9"/>
      <c r="J9218" s="11"/>
      <c r="U9218" s="9"/>
      <c r="X9218" s="9"/>
    </row>
    <row r="9219">
      <c r="D9219" s="9"/>
      <c r="G9219" s="9"/>
      <c r="J9219" s="11"/>
      <c r="U9219" s="9"/>
      <c r="X9219" s="9"/>
    </row>
    <row r="9220">
      <c r="D9220" s="9"/>
      <c r="G9220" s="9"/>
      <c r="J9220" s="11"/>
      <c r="U9220" s="9"/>
      <c r="X9220" s="9"/>
    </row>
    <row r="9221">
      <c r="D9221" s="9"/>
      <c r="G9221" s="9"/>
      <c r="J9221" s="11"/>
      <c r="U9221" s="9"/>
      <c r="X9221" s="9"/>
    </row>
    <row r="9222">
      <c r="D9222" s="9"/>
      <c r="G9222" s="9"/>
      <c r="J9222" s="11"/>
      <c r="U9222" s="9"/>
      <c r="X9222" s="9"/>
    </row>
    <row r="9223">
      <c r="D9223" s="9"/>
      <c r="G9223" s="9"/>
      <c r="J9223" s="11"/>
      <c r="U9223" s="9"/>
      <c r="X9223" s="9"/>
    </row>
    <row r="9224">
      <c r="D9224" s="9"/>
      <c r="G9224" s="9"/>
      <c r="J9224" s="11"/>
      <c r="U9224" s="9"/>
      <c r="X9224" s="9"/>
    </row>
    <row r="9225">
      <c r="D9225" s="9"/>
      <c r="G9225" s="9"/>
      <c r="J9225" s="11"/>
      <c r="U9225" s="9"/>
      <c r="X9225" s="9"/>
    </row>
    <row r="9226">
      <c r="D9226" s="9"/>
      <c r="G9226" s="9"/>
      <c r="J9226" s="11"/>
      <c r="U9226" s="9"/>
      <c r="X9226" s="9"/>
    </row>
    <row r="9227">
      <c r="D9227" s="9"/>
      <c r="G9227" s="9"/>
      <c r="J9227" s="11"/>
      <c r="U9227" s="9"/>
      <c r="X9227" s="9"/>
    </row>
    <row r="9228">
      <c r="D9228" s="9"/>
      <c r="G9228" s="9"/>
      <c r="J9228" s="11"/>
      <c r="U9228" s="9"/>
      <c r="X9228" s="9"/>
    </row>
    <row r="9229">
      <c r="D9229" s="9"/>
      <c r="G9229" s="9"/>
      <c r="J9229" s="11"/>
      <c r="U9229" s="9"/>
      <c r="X9229" s="9"/>
    </row>
    <row r="9230">
      <c r="D9230" s="9"/>
      <c r="G9230" s="9"/>
      <c r="J9230" s="11"/>
      <c r="U9230" s="9"/>
      <c r="X9230" s="9"/>
    </row>
    <row r="9231">
      <c r="D9231" s="9"/>
      <c r="G9231" s="9"/>
      <c r="J9231" s="11"/>
      <c r="U9231" s="9"/>
      <c r="X9231" s="9"/>
    </row>
    <row r="9232">
      <c r="D9232" s="9"/>
      <c r="G9232" s="9"/>
      <c r="J9232" s="11"/>
      <c r="U9232" s="9"/>
      <c r="X9232" s="9"/>
    </row>
    <row r="9233">
      <c r="D9233" s="9"/>
      <c r="G9233" s="9"/>
      <c r="J9233" s="11"/>
      <c r="U9233" s="9"/>
      <c r="X9233" s="9"/>
    </row>
    <row r="9234">
      <c r="D9234" s="9"/>
      <c r="G9234" s="9"/>
      <c r="J9234" s="11"/>
      <c r="U9234" s="9"/>
      <c r="X9234" s="9"/>
    </row>
    <row r="9235">
      <c r="D9235" s="9"/>
      <c r="G9235" s="9"/>
      <c r="J9235" s="11"/>
      <c r="U9235" s="9"/>
      <c r="X9235" s="9"/>
    </row>
    <row r="9236">
      <c r="D9236" s="9"/>
      <c r="G9236" s="9"/>
      <c r="J9236" s="11"/>
      <c r="U9236" s="9"/>
      <c r="X9236" s="9"/>
    </row>
    <row r="9237">
      <c r="D9237" s="9"/>
      <c r="G9237" s="9"/>
      <c r="J9237" s="11"/>
      <c r="U9237" s="9"/>
      <c r="X9237" s="9"/>
    </row>
    <row r="9238">
      <c r="D9238" s="9"/>
      <c r="G9238" s="9"/>
      <c r="J9238" s="11"/>
      <c r="U9238" s="9"/>
      <c r="X9238" s="9"/>
    </row>
    <row r="9239">
      <c r="D9239" s="9"/>
      <c r="G9239" s="9"/>
      <c r="J9239" s="11"/>
      <c r="U9239" s="9"/>
      <c r="X9239" s="9"/>
    </row>
    <row r="9240">
      <c r="D9240" s="9"/>
      <c r="G9240" s="9"/>
      <c r="J9240" s="11"/>
      <c r="U9240" s="9"/>
      <c r="X9240" s="9"/>
    </row>
    <row r="9241">
      <c r="D9241" s="9"/>
      <c r="G9241" s="9"/>
      <c r="J9241" s="11"/>
      <c r="U9241" s="9"/>
      <c r="X9241" s="9"/>
    </row>
    <row r="9242">
      <c r="D9242" s="9"/>
      <c r="G9242" s="9"/>
      <c r="J9242" s="11"/>
      <c r="U9242" s="9"/>
      <c r="X9242" s="9"/>
    </row>
    <row r="9243">
      <c r="D9243" s="9"/>
      <c r="G9243" s="9"/>
      <c r="J9243" s="11"/>
      <c r="U9243" s="9"/>
      <c r="X9243" s="9"/>
    </row>
    <row r="9244">
      <c r="D9244" s="9"/>
      <c r="G9244" s="9"/>
      <c r="J9244" s="11"/>
      <c r="U9244" s="9"/>
      <c r="X9244" s="9"/>
    </row>
    <row r="9245">
      <c r="D9245" s="9"/>
      <c r="G9245" s="9"/>
      <c r="J9245" s="11"/>
      <c r="U9245" s="9"/>
      <c r="X9245" s="9"/>
    </row>
    <row r="9246">
      <c r="D9246" s="9"/>
      <c r="G9246" s="9"/>
      <c r="J9246" s="11"/>
      <c r="U9246" s="9"/>
      <c r="X9246" s="9"/>
    </row>
    <row r="9247">
      <c r="D9247" s="9"/>
      <c r="G9247" s="9"/>
      <c r="J9247" s="11"/>
      <c r="U9247" s="9"/>
      <c r="X9247" s="9"/>
    </row>
    <row r="9248">
      <c r="D9248" s="9"/>
      <c r="G9248" s="9"/>
      <c r="J9248" s="11"/>
      <c r="U9248" s="9"/>
      <c r="X9248" s="9"/>
    </row>
    <row r="9249">
      <c r="D9249" s="9"/>
      <c r="G9249" s="9"/>
      <c r="J9249" s="11"/>
      <c r="U9249" s="9"/>
      <c r="X9249" s="9"/>
    </row>
    <row r="9250">
      <c r="D9250" s="9"/>
      <c r="G9250" s="9"/>
      <c r="J9250" s="11"/>
      <c r="U9250" s="9"/>
      <c r="X9250" s="9"/>
    </row>
    <row r="9251">
      <c r="D9251" s="9"/>
      <c r="G9251" s="9"/>
      <c r="J9251" s="11"/>
      <c r="U9251" s="9"/>
      <c r="X9251" s="9"/>
    </row>
    <row r="9252">
      <c r="D9252" s="9"/>
      <c r="G9252" s="9"/>
      <c r="J9252" s="11"/>
      <c r="U9252" s="9"/>
      <c r="X9252" s="9"/>
    </row>
    <row r="9253">
      <c r="D9253" s="9"/>
      <c r="G9253" s="9"/>
      <c r="J9253" s="11"/>
      <c r="U9253" s="9"/>
      <c r="X9253" s="9"/>
    </row>
    <row r="9254">
      <c r="D9254" s="9"/>
      <c r="G9254" s="9"/>
      <c r="J9254" s="11"/>
      <c r="U9254" s="9"/>
      <c r="X9254" s="9"/>
    </row>
    <row r="9255">
      <c r="D9255" s="9"/>
      <c r="G9255" s="9"/>
      <c r="J9255" s="11"/>
      <c r="U9255" s="9"/>
      <c r="X9255" s="9"/>
    </row>
    <row r="9256">
      <c r="D9256" s="9"/>
      <c r="G9256" s="9"/>
      <c r="J9256" s="11"/>
      <c r="U9256" s="9"/>
      <c r="X9256" s="9"/>
    </row>
    <row r="9257">
      <c r="D9257" s="9"/>
      <c r="G9257" s="9"/>
      <c r="J9257" s="11"/>
      <c r="U9257" s="9"/>
      <c r="X9257" s="9"/>
    </row>
    <row r="9258">
      <c r="D9258" s="9"/>
      <c r="G9258" s="9"/>
      <c r="J9258" s="11"/>
      <c r="U9258" s="9"/>
      <c r="X9258" s="9"/>
    </row>
    <row r="9259">
      <c r="D9259" s="9"/>
      <c r="G9259" s="9"/>
      <c r="J9259" s="11"/>
      <c r="U9259" s="9"/>
      <c r="X9259" s="9"/>
    </row>
    <row r="9260">
      <c r="D9260" s="9"/>
      <c r="G9260" s="9"/>
      <c r="J9260" s="11"/>
      <c r="U9260" s="9"/>
      <c r="X9260" s="9"/>
    </row>
    <row r="9261">
      <c r="D9261" s="9"/>
      <c r="G9261" s="9"/>
      <c r="J9261" s="11"/>
      <c r="U9261" s="9"/>
      <c r="X9261" s="9"/>
    </row>
    <row r="9262">
      <c r="D9262" s="9"/>
      <c r="G9262" s="9"/>
      <c r="J9262" s="11"/>
      <c r="U9262" s="9"/>
      <c r="X9262" s="9"/>
    </row>
    <row r="9263">
      <c r="D9263" s="9"/>
      <c r="G9263" s="9"/>
      <c r="J9263" s="11"/>
      <c r="U9263" s="9"/>
      <c r="X9263" s="9"/>
    </row>
    <row r="9264">
      <c r="D9264" s="9"/>
      <c r="G9264" s="9"/>
      <c r="J9264" s="11"/>
      <c r="U9264" s="9"/>
      <c r="X9264" s="9"/>
    </row>
    <row r="9265">
      <c r="D9265" s="9"/>
      <c r="G9265" s="9"/>
      <c r="J9265" s="11"/>
      <c r="U9265" s="9"/>
      <c r="X9265" s="9"/>
    </row>
    <row r="9266">
      <c r="D9266" s="9"/>
      <c r="G9266" s="9"/>
      <c r="J9266" s="11"/>
      <c r="U9266" s="9"/>
      <c r="X9266" s="9"/>
    </row>
    <row r="9267">
      <c r="D9267" s="9"/>
      <c r="G9267" s="9"/>
      <c r="J9267" s="11"/>
      <c r="U9267" s="9"/>
      <c r="X9267" s="9"/>
    </row>
    <row r="9268">
      <c r="D9268" s="9"/>
      <c r="G9268" s="9"/>
      <c r="J9268" s="11"/>
      <c r="U9268" s="9"/>
      <c r="X9268" s="9"/>
    </row>
    <row r="9269">
      <c r="D9269" s="9"/>
      <c r="G9269" s="9"/>
      <c r="J9269" s="11"/>
      <c r="U9269" s="9"/>
      <c r="X9269" s="9"/>
    </row>
    <row r="9270">
      <c r="D9270" s="9"/>
      <c r="G9270" s="9"/>
      <c r="J9270" s="11"/>
      <c r="U9270" s="9"/>
      <c r="X9270" s="9"/>
    </row>
    <row r="9271">
      <c r="D9271" s="9"/>
      <c r="G9271" s="9"/>
      <c r="J9271" s="11"/>
      <c r="U9271" s="9"/>
      <c r="X9271" s="9"/>
    </row>
    <row r="9272">
      <c r="D9272" s="9"/>
      <c r="G9272" s="9"/>
      <c r="J9272" s="11"/>
      <c r="U9272" s="9"/>
      <c r="X9272" s="9"/>
    </row>
    <row r="9273">
      <c r="D9273" s="9"/>
      <c r="G9273" s="9"/>
      <c r="J9273" s="11"/>
      <c r="U9273" s="9"/>
      <c r="X9273" s="9"/>
    </row>
    <row r="9274">
      <c r="D9274" s="9"/>
      <c r="G9274" s="9"/>
      <c r="J9274" s="11"/>
      <c r="U9274" s="9"/>
      <c r="X9274" s="9"/>
    </row>
    <row r="9275">
      <c r="D9275" s="9"/>
      <c r="G9275" s="9"/>
      <c r="J9275" s="11"/>
      <c r="U9275" s="9"/>
      <c r="X9275" s="9"/>
    </row>
    <row r="9276">
      <c r="D9276" s="9"/>
      <c r="G9276" s="9"/>
      <c r="J9276" s="11"/>
      <c r="U9276" s="9"/>
      <c r="X9276" s="9"/>
    </row>
    <row r="9277">
      <c r="D9277" s="9"/>
      <c r="G9277" s="9"/>
      <c r="J9277" s="11"/>
      <c r="U9277" s="9"/>
      <c r="X9277" s="9"/>
    </row>
    <row r="9278">
      <c r="D9278" s="9"/>
      <c r="G9278" s="9"/>
      <c r="J9278" s="11"/>
      <c r="U9278" s="9"/>
      <c r="X9278" s="9"/>
    </row>
    <row r="9279">
      <c r="D9279" s="9"/>
      <c r="G9279" s="9"/>
      <c r="J9279" s="11"/>
      <c r="U9279" s="9"/>
      <c r="X9279" s="9"/>
    </row>
    <row r="9280">
      <c r="D9280" s="9"/>
      <c r="G9280" s="9"/>
      <c r="J9280" s="11"/>
      <c r="U9280" s="9"/>
      <c r="X9280" s="9"/>
    </row>
    <row r="9281">
      <c r="D9281" s="9"/>
      <c r="G9281" s="9"/>
      <c r="J9281" s="11"/>
      <c r="U9281" s="9"/>
      <c r="X9281" s="9"/>
    </row>
    <row r="9282">
      <c r="D9282" s="9"/>
      <c r="G9282" s="9"/>
      <c r="J9282" s="11"/>
      <c r="U9282" s="9"/>
      <c r="X9282" s="9"/>
    </row>
    <row r="9283">
      <c r="D9283" s="9"/>
      <c r="G9283" s="9"/>
      <c r="J9283" s="11"/>
      <c r="U9283" s="9"/>
      <c r="X9283" s="9"/>
    </row>
    <row r="9284">
      <c r="D9284" s="9"/>
      <c r="G9284" s="9"/>
      <c r="J9284" s="11"/>
      <c r="U9284" s="9"/>
      <c r="X9284" s="9"/>
    </row>
    <row r="9285">
      <c r="D9285" s="9"/>
      <c r="G9285" s="9"/>
      <c r="J9285" s="11"/>
      <c r="U9285" s="9"/>
      <c r="X9285" s="9"/>
    </row>
    <row r="9286">
      <c r="D9286" s="9"/>
      <c r="G9286" s="9"/>
      <c r="J9286" s="11"/>
      <c r="U9286" s="9"/>
      <c r="X9286" s="9"/>
    </row>
    <row r="9287">
      <c r="D9287" s="9"/>
      <c r="G9287" s="9"/>
      <c r="J9287" s="11"/>
      <c r="U9287" s="9"/>
      <c r="X9287" s="9"/>
    </row>
    <row r="9288">
      <c r="D9288" s="9"/>
      <c r="G9288" s="9"/>
      <c r="J9288" s="11"/>
      <c r="U9288" s="9"/>
      <c r="X9288" s="9"/>
    </row>
    <row r="9289">
      <c r="D9289" s="9"/>
      <c r="G9289" s="9"/>
      <c r="J9289" s="11"/>
      <c r="U9289" s="9"/>
      <c r="X9289" s="9"/>
    </row>
    <row r="9290">
      <c r="D9290" s="9"/>
      <c r="G9290" s="9"/>
      <c r="J9290" s="11"/>
      <c r="U9290" s="9"/>
      <c r="X9290" s="9"/>
    </row>
    <row r="9291">
      <c r="D9291" s="9"/>
      <c r="G9291" s="9"/>
      <c r="J9291" s="11"/>
      <c r="U9291" s="9"/>
      <c r="X9291" s="9"/>
    </row>
    <row r="9292">
      <c r="D9292" s="9"/>
      <c r="G9292" s="9"/>
      <c r="J9292" s="11"/>
      <c r="U9292" s="9"/>
      <c r="X9292" s="9"/>
    </row>
    <row r="9293">
      <c r="D9293" s="9"/>
      <c r="G9293" s="9"/>
      <c r="J9293" s="11"/>
      <c r="U9293" s="9"/>
      <c r="X9293" s="9"/>
    </row>
    <row r="9294">
      <c r="D9294" s="9"/>
      <c r="G9294" s="9"/>
      <c r="J9294" s="11"/>
      <c r="U9294" s="9"/>
      <c r="X9294" s="9"/>
    </row>
    <row r="9295">
      <c r="D9295" s="9"/>
      <c r="G9295" s="9"/>
      <c r="J9295" s="11"/>
      <c r="U9295" s="9"/>
      <c r="X9295" s="9"/>
    </row>
    <row r="9296">
      <c r="D9296" s="9"/>
      <c r="G9296" s="9"/>
      <c r="J9296" s="11"/>
      <c r="U9296" s="9"/>
      <c r="X9296" s="9"/>
    </row>
    <row r="9297">
      <c r="D9297" s="9"/>
      <c r="G9297" s="9"/>
      <c r="J9297" s="11"/>
      <c r="U9297" s="9"/>
      <c r="X9297" s="9"/>
    </row>
    <row r="9298">
      <c r="D9298" s="9"/>
      <c r="G9298" s="9"/>
      <c r="J9298" s="11"/>
      <c r="U9298" s="9"/>
      <c r="X9298" s="9"/>
    </row>
    <row r="9299">
      <c r="D9299" s="9"/>
      <c r="G9299" s="9"/>
      <c r="J9299" s="11"/>
      <c r="U9299" s="9"/>
      <c r="X9299" s="9"/>
    </row>
    <row r="9300">
      <c r="D9300" s="9"/>
      <c r="G9300" s="9"/>
      <c r="J9300" s="11"/>
      <c r="U9300" s="9"/>
      <c r="X9300" s="9"/>
    </row>
    <row r="9301">
      <c r="D9301" s="9"/>
      <c r="G9301" s="9"/>
      <c r="J9301" s="11"/>
      <c r="U9301" s="9"/>
      <c r="X9301" s="9"/>
    </row>
    <row r="9302">
      <c r="D9302" s="9"/>
      <c r="G9302" s="9"/>
      <c r="J9302" s="11"/>
      <c r="U9302" s="9"/>
      <c r="X9302" s="9"/>
    </row>
    <row r="9303">
      <c r="D9303" s="9"/>
      <c r="G9303" s="9"/>
      <c r="J9303" s="11"/>
      <c r="U9303" s="9"/>
      <c r="X9303" s="9"/>
    </row>
    <row r="9304">
      <c r="D9304" s="9"/>
      <c r="G9304" s="9"/>
      <c r="J9304" s="11"/>
      <c r="U9304" s="9"/>
      <c r="X9304" s="9"/>
    </row>
    <row r="9305">
      <c r="D9305" s="9"/>
      <c r="G9305" s="9"/>
      <c r="J9305" s="11"/>
      <c r="U9305" s="9"/>
      <c r="X9305" s="9"/>
    </row>
    <row r="9306">
      <c r="D9306" s="9"/>
      <c r="G9306" s="9"/>
      <c r="J9306" s="11"/>
      <c r="U9306" s="9"/>
      <c r="X9306" s="9"/>
    </row>
    <row r="9307">
      <c r="D9307" s="9"/>
      <c r="G9307" s="9"/>
      <c r="J9307" s="11"/>
      <c r="U9307" s="9"/>
      <c r="X9307" s="9"/>
    </row>
    <row r="9308">
      <c r="D9308" s="9"/>
      <c r="G9308" s="9"/>
      <c r="J9308" s="11"/>
      <c r="U9308" s="9"/>
      <c r="X9308" s="9"/>
    </row>
    <row r="9309">
      <c r="D9309" s="9"/>
      <c r="G9309" s="9"/>
      <c r="J9309" s="11"/>
      <c r="U9309" s="9"/>
      <c r="X9309" s="9"/>
    </row>
    <row r="9310">
      <c r="D9310" s="9"/>
      <c r="G9310" s="9"/>
      <c r="J9310" s="11"/>
      <c r="U9310" s="9"/>
      <c r="X9310" s="9"/>
    </row>
    <row r="9311">
      <c r="D9311" s="9"/>
      <c r="G9311" s="9"/>
      <c r="J9311" s="11"/>
      <c r="U9311" s="9"/>
      <c r="X9311" s="9"/>
    </row>
    <row r="9312">
      <c r="D9312" s="9"/>
      <c r="G9312" s="9"/>
      <c r="J9312" s="11"/>
      <c r="U9312" s="9"/>
      <c r="X9312" s="9"/>
    </row>
    <row r="9313">
      <c r="D9313" s="9"/>
      <c r="G9313" s="9"/>
      <c r="J9313" s="11"/>
      <c r="U9313" s="9"/>
      <c r="X9313" s="9"/>
    </row>
    <row r="9314">
      <c r="D9314" s="9"/>
      <c r="G9314" s="9"/>
      <c r="J9314" s="11"/>
      <c r="U9314" s="9"/>
      <c r="X9314" s="9"/>
    </row>
    <row r="9315">
      <c r="D9315" s="9"/>
      <c r="G9315" s="9"/>
      <c r="J9315" s="11"/>
      <c r="U9315" s="9"/>
      <c r="X9315" s="9"/>
    </row>
    <row r="9316">
      <c r="D9316" s="9"/>
      <c r="G9316" s="9"/>
      <c r="J9316" s="11"/>
      <c r="U9316" s="9"/>
      <c r="X9316" s="9"/>
    </row>
    <row r="9317">
      <c r="D9317" s="9"/>
      <c r="G9317" s="9"/>
      <c r="J9317" s="11"/>
      <c r="U9317" s="9"/>
      <c r="X9317" s="9"/>
    </row>
    <row r="9318">
      <c r="D9318" s="9"/>
      <c r="G9318" s="9"/>
      <c r="J9318" s="11"/>
      <c r="U9318" s="9"/>
      <c r="X9318" s="9"/>
    </row>
    <row r="9319">
      <c r="D9319" s="9"/>
      <c r="G9319" s="9"/>
      <c r="J9319" s="11"/>
      <c r="U9319" s="9"/>
      <c r="X9319" s="9"/>
    </row>
    <row r="9320">
      <c r="D9320" s="9"/>
      <c r="G9320" s="9"/>
      <c r="J9320" s="11"/>
      <c r="U9320" s="9"/>
      <c r="X9320" s="9"/>
    </row>
    <row r="9321">
      <c r="D9321" s="9"/>
      <c r="G9321" s="9"/>
      <c r="J9321" s="11"/>
      <c r="U9321" s="9"/>
      <c r="X9321" s="9"/>
    </row>
    <row r="9322">
      <c r="D9322" s="9"/>
      <c r="G9322" s="9"/>
      <c r="J9322" s="11"/>
      <c r="U9322" s="9"/>
      <c r="X9322" s="9"/>
    </row>
    <row r="9323">
      <c r="D9323" s="9"/>
      <c r="G9323" s="9"/>
      <c r="J9323" s="11"/>
      <c r="U9323" s="9"/>
      <c r="X9323" s="9"/>
    </row>
    <row r="9324">
      <c r="D9324" s="9"/>
      <c r="G9324" s="9"/>
      <c r="J9324" s="11"/>
      <c r="U9324" s="9"/>
      <c r="X9324" s="9"/>
    </row>
    <row r="9325">
      <c r="D9325" s="9"/>
      <c r="G9325" s="9"/>
      <c r="J9325" s="11"/>
      <c r="U9325" s="9"/>
      <c r="X9325" s="9"/>
    </row>
    <row r="9326">
      <c r="D9326" s="9"/>
      <c r="G9326" s="9"/>
      <c r="J9326" s="11"/>
      <c r="U9326" s="9"/>
      <c r="X9326" s="9"/>
    </row>
    <row r="9327">
      <c r="D9327" s="9"/>
      <c r="G9327" s="9"/>
      <c r="J9327" s="11"/>
      <c r="U9327" s="9"/>
      <c r="X9327" s="9"/>
    </row>
    <row r="9328">
      <c r="D9328" s="9"/>
      <c r="G9328" s="9"/>
      <c r="J9328" s="11"/>
      <c r="U9328" s="9"/>
      <c r="X9328" s="9"/>
    </row>
    <row r="9329">
      <c r="D9329" s="9"/>
      <c r="G9329" s="9"/>
      <c r="J9329" s="11"/>
      <c r="U9329" s="9"/>
      <c r="X9329" s="9"/>
    </row>
    <row r="9330">
      <c r="D9330" s="9"/>
      <c r="G9330" s="9"/>
      <c r="J9330" s="11"/>
      <c r="U9330" s="9"/>
      <c r="X9330" s="9"/>
    </row>
    <row r="9331">
      <c r="D9331" s="9"/>
      <c r="G9331" s="9"/>
      <c r="J9331" s="11"/>
      <c r="U9331" s="9"/>
      <c r="X9331" s="9"/>
    </row>
    <row r="9332">
      <c r="D9332" s="9"/>
      <c r="G9332" s="9"/>
      <c r="J9332" s="11"/>
      <c r="U9332" s="9"/>
      <c r="X9332" s="9"/>
    </row>
    <row r="9333">
      <c r="D9333" s="9"/>
      <c r="G9333" s="9"/>
      <c r="J9333" s="11"/>
      <c r="U9333" s="9"/>
      <c r="X9333" s="9"/>
    </row>
    <row r="9334">
      <c r="D9334" s="9"/>
      <c r="G9334" s="9"/>
      <c r="J9334" s="11"/>
      <c r="U9334" s="9"/>
      <c r="X9334" s="9"/>
    </row>
    <row r="9335">
      <c r="D9335" s="9"/>
      <c r="G9335" s="9"/>
      <c r="J9335" s="11"/>
      <c r="U9335" s="9"/>
      <c r="X9335" s="9"/>
    </row>
    <row r="9336">
      <c r="D9336" s="9"/>
      <c r="G9336" s="9"/>
      <c r="J9336" s="11"/>
      <c r="U9336" s="9"/>
      <c r="X9336" s="9"/>
    </row>
    <row r="9337">
      <c r="D9337" s="9"/>
      <c r="G9337" s="9"/>
      <c r="J9337" s="11"/>
      <c r="U9337" s="9"/>
      <c r="X9337" s="9"/>
    </row>
    <row r="9338">
      <c r="D9338" s="9"/>
      <c r="G9338" s="9"/>
      <c r="J9338" s="11"/>
      <c r="U9338" s="9"/>
      <c r="X9338" s="9"/>
    </row>
    <row r="9339">
      <c r="D9339" s="9"/>
      <c r="G9339" s="9"/>
      <c r="J9339" s="11"/>
      <c r="U9339" s="9"/>
      <c r="X9339" s="9"/>
    </row>
    <row r="9340">
      <c r="D9340" s="9"/>
      <c r="G9340" s="9"/>
      <c r="J9340" s="11"/>
      <c r="U9340" s="9"/>
      <c r="X9340" s="9"/>
    </row>
    <row r="9341">
      <c r="D9341" s="9"/>
      <c r="G9341" s="9"/>
      <c r="J9341" s="11"/>
      <c r="U9341" s="9"/>
      <c r="X9341" s="9"/>
    </row>
    <row r="9342">
      <c r="D9342" s="9"/>
      <c r="G9342" s="9"/>
      <c r="J9342" s="11"/>
      <c r="U9342" s="9"/>
      <c r="X9342" s="9"/>
    </row>
    <row r="9343">
      <c r="D9343" s="9"/>
      <c r="G9343" s="9"/>
      <c r="J9343" s="11"/>
      <c r="U9343" s="9"/>
      <c r="X9343" s="9"/>
    </row>
    <row r="9344">
      <c r="D9344" s="9"/>
      <c r="G9344" s="9"/>
      <c r="J9344" s="11"/>
      <c r="U9344" s="9"/>
      <c r="X9344" s="9"/>
    </row>
    <row r="9345">
      <c r="D9345" s="9"/>
      <c r="G9345" s="9"/>
      <c r="J9345" s="11"/>
      <c r="U9345" s="9"/>
      <c r="X9345" s="9"/>
    </row>
    <row r="9346">
      <c r="D9346" s="9"/>
      <c r="G9346" s="9"/>
      <c r="J9346" s="11"/>
      <c r="U9346" s="9"/>
      <c r="X9346" s="9"/>
    </row>
    <row r="9347">
      <c r="D9347" s="9"/>
      <c r="G9347" s="9"/>
      <c r="J9347" s="11"/>
      <c r="U9347" s="9"/>
      <c r="X9347" s="9"/>
    </row>
    <row r="9348">
      <c r="D9348" s="9"/>
      <c r="G9348" s="9"/>
      <c r="J9348" s="11"/>
      <c r="U9348" s="9"/>
      <c r="X9348" s="9"/>
    </row>
    <row r="9349">
      <c r="D9349" s="9"/>
      <c r="G9349" s="9"/>
      <c r="J9349" s="11"/>
      <c r="U9349" s="9"/>
      <c r="X9349" s="9"/>
    </row>
    <row r="9350">
      <c r="D9350" s="9"/>
      <c r="G9350" s="9"/>
      <c r="J9350" s="11"/>
      <c r="U9350" s="9"/>
      <c r="X9350" s="9"/>
    </row>
    <row r="9351">
      <c r="D9351" s="9"/>
      <c r="G9351" s="9"/>
      <c r="J9351" s="11"/>
      <c r="U9351" s="9"/>
      <c r="X9351" s="9"/>
    </row>
    <row r="9352">
      <c r="D9352" s="9"/>
      <c r="G9352" s="9"/>
      <c r="J9352" s="11"/>
      <c r="U9352" s="9"/>
      <c r="X9352" s="9"/>
    </row>
    <row r="9353">
      <c r="D9353" s="9"/>
      <c r="G9353" s="9"/>
      <c r="J9353" s="11"/>
      <c r="U9353" s="9"/>
      <c r="X9353" s="9"/>
    </row>
    <row r="9354">
      <c r="D9354" s="9"/>
      <c r="G9354" s="9"/>
      <c r="J9354" s="11"/>
      <c r="U9354" s="9"/>
      <c r="X9354" s="9"/>
    </row>
    <row r="9355">
      <c r="D9355" s="9"/>
      <c r="G9355" s="9"/>
      <c r="J9355" s="11"/>
      <c r="U9355" s="9"/>
      <c r="X9355" s="9"/>
    </row>
    <row r="9356">
      <c r="D9356" s="9"/>
      <c r="G9356" s="9"/>
      <c r="J9356" s="11"/>
      <c r="U9356" s="9"/>
      <c r="X9356" s="9"/>
    </row>
    <row r="9357">
      <c r="D9357" s="9"/>
      <c r="G9357" s="9"/>
      <c r="J9357" s="11"/>
      <c r="U9357" s="9"/>
      <c r="X9357" s="9"/>
    </row>
    <row r="9358">
      <c r="D9358" s="9"/>
      <c r="G9358" s="9"/>
      <c r="J9358" s="11"/>
      <c r="U9358" s="9"/>
      <c r="X9358" s="9"/>
    </row>
    <row r="9359">
      <c r="D9359" s="9"/>
      <c r="G9359" s="9"/>
      <c r="J9359" s="11"/>
      <c r="U9359" s="9"/>
      <c r="X9359" s="9"/>
    </row>
    <row r="9360">
      <c r="D9360" s="9"/>
      <c r="G9360" s="9"/>
      <c r="J9360" s="11"/>
      <c r="U9360" s="9"/>
      <c r="X9360" s="9"/>
    </row>
    <row r="9361">
      <c r="D9361" s="9"/>
      <c r="G9361" s="9"/>
      <c r="J9361" s="11"/>
      <c r="U9361" s="9"/>
      <c r="X9361" s="9"/>
    </row>
    <row r="9362">
      <c r="D9362" s="9"/>
      <c r="G9362" s="9"/>
      <c r="J9362" s="11"/>
      <c r="U9362" s="9"/>
      <c r="X9362" s="9"/>
    </row>
    <row r="9363">
      <c r="D9363" s="9"/>
      <c r="G9363" s="9"/>
      <c r="J9363" s="11"/>
      <c r="U9363" s="9"/>
      <c r="X9363" s="9"/>
    </row>
    <row r="9364">
      <c r="D9364" s="9"/>
      <c r="G9364" s="9"/>
      <c r="J9364" s="11"/>
      <c r="U9364" s="9"/>
      <c r="X9364" s="9"/>
    </row>
    <row r="9365">
      <c r="D9365" s="9"/>
      <c r="G9365" s="9"/>
      <c r="J9365" s="11"/>
      <c r="U9365" s="9"/>
      <c r="X9365" s="9"/>
    </row>
    <row r="9366">
      <c r="D9366" s="9"/>
      <c r="G9366" s="9"/>
      <c r="J9366" s="11"/>
      <c r="U9366" s="9"/>
      <c r="X9366" s="9"/>
    </row>
    <row r="9367">
      <c r="D9367" s="9"/>
      <c r="G9367" s="9"/>
      <c r="J9367" s="11"/>
      <c r="U9367" s="9"/>
      <c r="X9367" s="9"/>
    </row>
    <row r="9368">
      <c r="D9368" s="9"/>
      <c r="G9368" s="9"/>
      <c r="J9368" s="11"/>
      <c r="U9368" s="9"/>
      <c r="X9368" s="9"/>
    </row>
    <row r="9369">
      <c r="D9369" s="9"/>
      <c r="G9369" s="9"/>
      <c r="J9369" s="11"/>
      <c r="U9369" s="9"/>
      <c r="X9369" s="9"/>
    </row>
    <row r="9370">
      <c r="D9370" s="9"/>
      <c r="G9370" s="9"/>
      <c r="J9370" s="11"/>
      <c r="U9370" s="9"/>
      <c r="X9370" s="9"/>
    </row>
    <row r="9371">
      <c r="D9371" s="9"/>
      <c r="G9371" s="9"/>
      <c r="J9371" s="11"/>
      <c r="U9371" s="9"/>
      <c r="X9371" s="9"/>
    </row>
    <row r="9372">
      <c r="D9372" s="9"/>
      <c r="G9372" s="9"/>
      <c r="J9372" s="11"/>
      <c r="U9372" s="9"/>
      <c r="X9372" s="9"/>
    </row>
    <row r="9373">
      <c r="D9373" s="9"/>
      <c r="G9373" s="9"/>
      <c r="J9373" s="11"/>
      <c r="U9373" s="9"/>
      <c r="X9373" s="9"/>
    </row>
    <row r="9374">
      <c r="D9374" s="9"/>
      <c r="G9374" s="9"/>
      <c r="J9374" s="11"/>
      <c r="U9374" s="9"/>
      <c r="X9374" s="9"/>
    </row>
    <row r="9375">
      <c r="D9375" s="9"/>
      <c r="G9375" s="9"/>
      <c r="J9375" s="11"/>
      <c r="U9375" s="9"/>
      <c r="X9375" s="9"/>
    </row>
    <row r="9376">
      <c r="D9376" s="9"/>
      <c r="G9376" s="9"/>
      <c r="J9376" s="11"/>
      <c r="U9376" s="9"/>
      <c r="X9376" s="9"/>
    </row>
    <row r="9377">
      <c r="D9377" s="9"/>
      <c r="G9377" s="9"/>
      <c r="J9377" s="11"/>
      <c r="U9377" s="9"/>
      <c r="X9377" s="9"/>
    </row>
    <row r="9378">
      <c r="D9378" s="9"/>
      <c r="G9378" s="9"/>
      <c r="J9378" s="11"/>
      <c r="U9378" s="9"/>
      <c r="X9378" s="9"/>
    </row>
    <row r="9379">
      <c r="D9379" s="9"/>
      <c r="G9379" s="9"/>
      <c r="J9379" s="11"/>
      <c r="U9379" s="9"/>
      <c r="X9379" s="9"/>
    </row>
    <row r="9380">
      <c r="D9380" s="9"/>
      <c r="G9380" s="9"/>
      <c r="J9380" s="11"/>
      <c r="U9380" s="9"/>
      <c r="X9380" s="9"/>
    </row>
    <row r="9381">
      <c r="D9381" s="9"/>
      <c r="G9381" s="9"/>
      <c r="J9381" s="11"/>
      <c r="U9381" s="9"/>
      <c r="X9381" s="9"/>
    </row>
    <row r="9382">
      <c r="D9382" s="9"/>
      <c r="G9382" s="9"/>
      <c r="J9382" s="11"/>
      <c r="U9382" s="9"/>
      <c r="X9382" s="9"/>
    </row>
    <row r="9383">
      <c r="D9383" s="9"/>
      <c r="G9383" s="9"/>
      <c r="J9383" s="11"/>
      <c r="U9383" s="9"/>
      <c r="X9383" s="9"/>
    </row>
    <row r="9384">
      <c r="D9384" s="9"/>
      <c r="G9384" s="9"/>
      <c r="J9384" s="11"/>
      <c r="U9384" s="9"/>
      <c r="X9384" s="9"/>
    </row>
    <row r="9385">
      <c r="D9385" s="9"/>
      <c r="G9385" s="9"/>
      <c r="J9385" s="11"/>
      <c r="U9385" s="9"/>
      <c r="X9385" s="9"/>
    </row>
    <row r="9386">
      <c r="D9386" s="9"/>
      <c r="G9386" s="9"/>
      <c r="J9386" s="11"/>
      <c r="U9386" s="9"/>
      <c r="X9386" s="9"/>
    </row>
    <row r="9387">
      <c r="D9387" s="9"/>
      <c r="G9387" s="9"/>
      <c r="J9387" s="11"/>
      <c r="U9387" s="9"/>
      <c r="X9387" s="9"/>
    </row>
    <row r="9388">
      <c r="D9388" s="9"/>
      <c r="G9388" s="9"/>
      <c r="J9388" s="11"/>
      <c r="U9388" s="9"/>
      <c r="X9388" s="9"/>
    </row>
    <row r="9389">
      <c r="D9389" s="9"/>
      <c r="G9389" s="9"/>
      <c r="J9389" s="11"/>
      <c r="U9389" s="9"/>
      <c r="X9389" s="9"/>
    </row>
    <row r="9390">
      <c r="D9390" s="9"/>
      <c r="G9390" s="9"/>
      <c r="J9390" s="11"/>
      <c r="U9390" s="9"/>
      <c r="X9390" s="9"/>
    </row>
    <row r="9391">
      <c r="D9391" s="9"/>
      <c r="G9391" s="9"/>
      <c r="J9391" s="11"/>
      <c r="U9391" s="9"/>
      <c r="X9391" s="9"/>
    </row>
    <row r="9392">
      <c r="D9392" s="9"/>
      <c r="G9392" s="9"/>
      <c r="J9392" s="11"/>
      <c r="U9392" s="9"/>
      <c r="X9392" s="9"/>
    </row>
    <row r="9393">
      <c r="D9393" s="9"/>
      <c r="G9393" s="9"/>
      <c r="J9393" s="11"/>
      <c r="U9393" s="9"/>
      <c r="X9393" s="9"/>
    </row>
    <row r="9394">
      <c r="D9394" s="9"/>
      <c r="G9394" s="9"/>
      <c r="J9394" s="11"/>
      <c r="U9394" s="9"/>
      <c r="X9394" s="9"/>
    </row>
    <row r="9395">
      <c r="D9395" s="9"/>
      <c r="G9395" s="9"/>
      <c r="J9395" s="11"/>
      <c r="U9395" s="9"/>
      <c r="X9395" s="9"/>
    </row>
    <row r="9396">
      <c r="D9396" s="9"/>
      <c r="G9396" s="9"/>
      <c r="J9396" s="11"/>
      <c r="U9396" s="9"/>
      <c r="X9396" s="9"/>
    </row>
    <row r="9397">
      <c r="D9397" s="9"/>
      <c r="G9397" s="9"/>
      <c r="J9397" s="11"/>
      <c r="U9397" s="9"/>
      <c r="X9397" s="9"/>
    </row>
    <row r="9398">
      <c r="D9398" s="9"/>
      <c r="G9398" s="9"/>
      <c r="J9398" s="11"/>
      <c r="U9398" s="9"/>
      <c r="X9398" s="9"/>
    </row>
    <row r="9399">
      <c r="D9399" s="9"/>
      <c r="G9399" s="9"/>
      <c r="J9399" s="11"/>
      <c r="U9399" s="9"/>
      <c r="X9399" s="9"/>
    </row>
    <row r="9400">
      <c r="D9400" s="9"/>
      <c r="G9400" s="9"/>
      <c r="J9400" s="11"/>
      <c r="U9400" s="9"/>
      <c r="X9400" s="9"/>
    </row>
    <row r="9401">
      <c r="D9401" s="9"/>
      <c r="G9401" s="9"/>
      <c r="J9401" s="11"/>
      <c r="U9401" s="9"/>
      <c r="X9401" s="9"/>
    </row>
    <row r="9402">
      <c r="D9402" s="9"/>
      <c r="G9402" s="9"/>
      <c r="J9402" s="11"/>
      <c r="U9402" s="9"/>
      <c r="X9402" s="9"/>
    </row>
    <row r="9403">
      <c r="D9403" s="9"/>
      <c r="G9403" s="9"/>
      <c r="J9403" s="11"/>
      <c r="U9403" s="9"/>
      <c r="X9403" s="9"/>
    </row>
    <row r="9404">
      <c r="D9404" s="9"/>
      <c r="G9404" s="9"/>
      <c r="J9404" s="11"/>
      <c r="U9404" s="9"/>
      <c r="X9404" s="9"/>
    </row>
    <row r="9405">
      <c r="D9405" s="9"/>
      <c r="G9405" s="9"/>
      <c r="J9405" s="11"/>
      <c r="U9405" s="9"/>
      <c r="X9405" s="9"/>
    </row>
    <row r="9406">
      <c r="D9406" s="9"/>
      <c r="G9406" s="9"/>
      <c r="J9406" s="11"/>
      <c r="U9406" s="9"/>
      <c r="X9406" s="9"/>
    </row>
    <row r="9407">
      <c r="D9407" s="9"/>
      <c r="G9407" s="9"/>
      <c r="J9407" s="11"/>
      <c r="U9407" s="9"/>
      <c r="X9407" s="9"/>
    </row>
    <row r="9408">
      <c r="D9408" s="9"/>
      <c r="G9408" s="9"/>
      <c r="J9408" s="11"/>
      <c r="U9408" s="9"/>
      <c r="X9408" s="9"/>
    </row>
    <row r="9409">
      <c r="D9409" s="9"/>
      <c r="G9409" s="9"/>
      <c r="J9409" s="11"/>
      <c r="U9409" s="9"/>
      <c r="X9409" s="9"/>
    </row>
    <row r="9410">
      <c r="D9410" s="9"/>
      <c r="G9410" s="9"/>
      <c r="J9410" s="11"/>
      <c r="U9410" s="9"/>
      <c r="X9410" s="9"/>
    </row>
    <row r="9411">
      <c r="D9411" s="9"/>
      <c r="G9411" s="9"/>
      <c r="J9411" s="11"/>
      <c r="U9411" s="9"/>
      <c r="X9411" s="9"/>
    </row>
    <row r="9412">
      <c r="D9412" s="9"/>
      <c r="G9412" s="9"/>
      <c r="J9412" s="11"/>
      <c r="U9412" s="9"/>
      <c r="X9412" s="9"/>
    </row>
    <row r="9413">
      <c r="D9413" s="9"/>
      <c r="G9413" s="9"/>
      <c r="J9413" s="11"/>
      <c r="U9413" s="9"/>
      <c r="X9413" s="9"/>
    </row>
    <row r="9414">
      <c r="D9414" s="9"/>
      <c r="G9414" s="9"/>
      <c r="J9414" s="11"/>
      <c r="U9414" s="9"/>
      <c r="X9414" s="9"/>
    </row>
    <row r="9415">
      <c r="D9415" s="9"/>
      <c r="G9415" s="9"/>
      <c r="J9415" s="11"/>
      <c r="U9415" s="9"/>
      <c r="X9415" s="9"/>
    </row>
    <row r="9416">
      <c r="D9416" s="9"/>
      <c r="G9416" s="9"/>
      <c r="J9416" s="11"/>
      <c r="U9416" s="9"/>
      <c r="X9416" s="9"/>
    </row>
    <row r="9417">
      <c r="D9417" s="9"/>
      <c r="G9417" s="9"/>
      <c r="J9417" s="11"/>
      <c r="U9417" s="9"/>
      <c r="X9417" s="9"/>
    </row>
    <row r="9418">
      <c r="D9418" s="9"/>
      <c r="G9418" s="9"/>
      <c r="J9418" s="11"/>
      <c r="U9418" s="9"/>
      <c r="X9418" s="9"/>
    </row>
    <row r="9419">
      <c r="D9419" s="9"/>
      <c r="G9419" s="9"/>
      <c r="J9419" s="11"/>
      <c r="U9419" s="9"/>
      <c r="X9419" s="9"/>
    </row>
    <row r="9420">
      <c r="D9420" s="9"/>
      <c r="G9420" s="9"/>
      <c r="J9420" s="11"/>
      <c r="U9420" s="9"/>
      <c r="X9420" s="9"/>
    </row>
    <row r="9421">
      <c r="D9421" s="9"/>
      <c r="G9421" s="9"/>
      <c r="J9421" s="11"/>
      <c r="U9421" s="9"/>
      <c r="X9421" s="9"/>
    </row>
    <row r="9422">
      <c r="D9422" s="9"/>
      <c r="G9422" s="9"/>
      <c r="J9422" s="11"/>
      <c r="U9422" s="9"/>
      <c r="X9422" s="9"/>
    </row>
    <row r="9423">
      <c r="D9423" s="9"/>
      <c r="G9423" s="9"/>
      <c r="J9423" s="11"/>
      <c r="U9423" s="9"/>
      <c r="X9423" s="9"/>
    </row>
    <row r="9424">
      <c r="D9424" s="9"/>
      <c r="G9424" s="9"/>
      <c r="J9424" s="11"/>
      <c r="U9424" s="9"/>
      <c r="X9424" s="9"/>
    </row>
    <row r="9425">
      <c r="D9425" s="9"/>
      <c r="G9425" s="9"/>
      <c r="J9425" s="11"/>
      <c r="U9425" s="9"/>
      <c r="X9425" s="9"/>
    </row>
    <row r="9426">
      <c r="D9426" s="9"/>
      <c r="G9426" s="9"/>
      <c r="J9426" s="11"/>
      <c r="U9426" s="9"/>
      <c r="X9426" s="9"/>
    </row>
    <row r="9427">
      <c r="D9427" s="9"/>
      <c r="G9427" s="9"/>
      <c r="J9427" s="11"/>
      <c r="U9427" s="9"/>
      <c r="X9427" s="9"/>
    </row>
    <row r="9428">
      <c r="D9428" s="9"/>
      <c r="G9428" s="9"/>
      <c r="J9428" s="11"/>
      <c r="U9428" s="9"/>
      <c r="X9428" s="9"/>
    </row>
    <row r="9429">
      <c r="D9429" s="9"/>
      <c r="G9429" s="9"/>
      <c r="J9429" s="11"/>
      <c r="U9429" s="9"/>
      <c r="X9429" s="9"/>
    </row>
    <row r="9430">
      <c r="D9430" s="9"/>
      <c r="G9430" s="9"/>
      <c r="J9430" s="11"/>
      <c r="U9430" s="9"/>
      <c r="X9430" s="9"/>
    </row>
    <row r="9431">
      <c r="D9431" s="9"/>
      <c r="G9431" s="9"/>
      <c r="J9431" s="11"/>
      <c r="U9431" s="9"/>
      <c r="X9431" s="9"/>
    </row>
    <row r="9432">
      <c r="D9432" s="9"/>
      <c r="G9432" s="9"/>
      <c r="J9432" s="11"/>
      <c r="U9432" s="9"/>
      <c r="X9432" s="9"/>
    </row>
    <row r="9433">
      <c r="D9433" s="9"/>
      <c r="G9433" s="9"/>
      <c r="J9433" s="11"/>
      <c r="U9433" s="9"/>
      <c r="X9433" s="9"/>
    </row>
    <row r="9434">
      <c r="D9434" s="9"/>
      <c r="G9434" s="9"/>
      <c r="J9434" s="11"/>
      <c r="U9434" s="9"/>
      <c r="X9434" s="9"/>
    </row>
    <row r="9435">
      <c r="D9435" s="9"/>
      <c r="G9435" s="9"/>
      <c r="J9435" s="11"/>
      <c r="U9435" s="9"/>
      <c r="X9435" s="9"/>
    </row>
    <row r="9436">
      <c r="D9436" s="9"/>
      <c r="G9436" s="9"/>
      <c r="J9436" s="11"/>
      <c r="U9436" s="9"/>
      <c r="X9436" s="9"/>
    </row>
    <row r="9437">
      <c r="D9437" s="9"/>
      <c r="G9437" s="9"/>
      <c r="J9437" s="11"/>
      <c r="U9437" s="9"/>
      <c r="X9437" s="9"/>
    </row>
    <row r="9438">
      <c r="D9438" s="9"/>
      <c r="G9438" s="9"/>
      <c r="J9438" s="11"/>
      <c r="U9438" s="9"/>
      <c r="X9438" s="9"/>
    </row>
    <row r="9439">
      <c r="D9439" s="9"/>
      <c r="G9439" s="9"/>
      <c r="J9439" s="11"/>
      <c r="U9439" s="9"/>
      <c r="X9439" s="9"/>
    </row>
    <row r="9440">
      <c r="D9440" s="9"/>
      <c r="G9440" s="9"/>
      <c r="J9440" s="11"/>
      <c r="U9440" s="9"/>
      <c r="X9440" s="9"/>
    </row>
    <row r="9441">
      <c r="D9441" s="9"/>
      <c r="G9441" s="9"/>
      <c r="J9441" s="11"/>
      <c r="U9441" s="9"/>
      <c r="X9441" s="9"/>
    </row>
    <row r="9442">
      <c r="D9442" s="9"/>
      <c r="G9442" s="9"/>
      <c r="J9442" s="11"/>
      <c r="U9442" s="9"/>
      <c r="X9442" s="9"/>
    </row>
    <row r="9443">
      <c r="D9443" s="9"/>
      <c r="G9443" s="9"/>
      <c r="J9443" s="11"/>
      <c r="U9443" s="9"/>
      <c r="X9443" s="9"/>
    </row>
    <row r="9444">
      <c r="D9444" s="9"/>
      <c r="G9444" s="9"/>
      <c r="J9444" s="11"/>
      <c r="U9444" s="9"/>
      <c r="X9444" s="9"/>
    </row>
    <row r="9445">
      <c r="D9445" s="9"/>
      <c r="G9445" s="9"/>
      <c r="J9445" s="11"/>
      <c r="U9445" s="9"/>
      <c r="X9445" s="9"/>
    </row>
    <row r="9446">
      <c r="D9446" s="9"/>
      <c r="G9446" s="9"/>
      <c r="J9446" s="11"/>
      <c r="U9446" s="9"/>
      <c r="X9446" s="9"/>
    </row>
    <row r="9447">
      <c r="D9447" s="9"/>
      <c r="G9447" s="9"/>
      <c r="J9447" s="11"/>
      <c r="U9447" s="9"/>
      <c r="X9447" s="9"/>
    </row>
    <row r="9448">
      <c r="D9448" s="9"/>
      <c r="G9448" s="9"/>
      <c r="J9448" s="11"/>
      <c r="U9448" s="9"/>
      <c r="X9448" s="9"/>
    </row>
    <row r="9449">
      <c r="D9449" s="9"/>
      <c r="G9449" s="9"/>
      <c r="J9449" s="11"/>
      <c r="U9449" s="9"/>
      <c r="X9449" s="9"/>
    </row>
    <row r="9450">
      <c r="D9450" s="9"/>
      <c r="G9450" s="9"/>
      <c r="J9450" s="11"/>
      <c r="U9450" s="9"/>
      <c r="X9450" s="9"/>
    </row>
    <row r="9451">
      <c r="D9451" s="9"/>
      <c r="G9451" s="9"/>
      <c r="J9451" s="11"/>
      <c r="U9451" s="9"/>
      <c r="X9451" s="9"/>
    </row>
    <row r="9452">
      <c r="D9452" s="9"/>
      <c r="G9452" s="9"/>
      <c r="J9452" s="11"/>
      <c r="U9452" s="9"/>
      <c r="X9452" s="9"/>
    </row>
    <row r="9453">
      <c r="D9453" s="9"/>
      <c r="G9453" s="9"/>
      <c r="J9453" s="11"/>
      <c r="U9453" s="9"/>
      <c r="X9453" s="9"/>
    </row>
    <row r="9454">
      <c r="D9454" s="9"/>
      <c r="G9454" s="9"/>
      <c r="J9454" s="11"/>
      <c r="U9454" s="9"/>
      <c r="X9454" s="9"/>
    </row>
    <row r="9455">
      <c r="D9455" s="9"/>
      <c r="G9455" s="9"/>
      <c r="J9455" s="11"/>
      <c r="U9455" s="9"/>
      <c r="X9455" s="9"/>
    </row>
    <row r="9456">
      <c r="D9456" s="9"/>
      <c r="G9456" s="9"/>
      <c r="J9456" s="11"/>
      <c r="U9456" s="9"/>
      <c r="X9456" s="9"/>
    </row>
    <row r="9457">
      <c r="D9457" s="9"/>
      <c r="G9457" s="9"/>
      <c r="J9457" s="11"/>
      <c r="U9457" s="9"/>
      <c r="X9457" s="9"/>
    </row>
    <row r="9458">
      <c r="D9458" s="9"/>
      <c r="G9458" s="9"/>
      <c r="J9458" s="11"/>
      <c r="U9458" s="9"/>
      <c r="X9458" s="9"/>
    </row>
    <row r="9459">
      <c r="D9459" s="9"/>
      <c r="G9459" s="9"/>
      <c r="J9459" s="11"/>
      <c r="U9459" s="9"/>
      <c r="X9459" s="9"/>
    </row>
    <row r="9460">
      <c r="D9460" s="9"/>
      <c r="G9460" s="9"/>
      <c r="J9460" s="11"/>
      <c r="U9460" s="9"/>
      <c r="X9460" s="9"/>
    </row>
    <row r="9461">
      <c r="D9461" s="9"/>
      <c r="G9461" s="9"/>
      <c r="J9461" s="11"/>
      <c r="U9461" s="9"/>
      <c r="X9461" s="9"/>
    </row>
    <row r="9462">
      <c r="D9462" s="9"/>
      <c r="G9462" s="9"/>
      <c r="J9462" s="11"/>
      <c r="U9462" s="9"/>
      <c r="X9462" s="9"/>
    </row>
    <row r="9463">
      <c r="D9463" s="9"/>
      <c r="G9463" s="9"/>
      <c r="J9463" s="11"/>
      <c r="U9463" s="9"/>
      <c r="X9463" s="9"/>
    </row>
    <row r="9464">
      <c r="D9464" s="9"/>
      <c r="G9464" s="9"/>
      <c r="J9464" s="11"/>
      <c r="U9464" s="9"/>
      <c r="X9464" s="9"/>
    </row>
    <row r="9465">
      <c r="D9465" s="9"/>
      <c r="G9465" s="9"/>
      <c r="J9465" s="11"/>
      <c r="U9465" s="9"/>
      <c r="X9465" s="9"/>
    </row>
    <row r="9466">
      <c r="D9466" s="9"/>
      <c r="G9466" s="9"/>
      <c r="J9466" s="11"/>
      <c r="U9466" s="9"/>
      <c r="X9466" s="9"/>
    </row>
    <row r="9467">
      <c r="D9467" s="9"/>
      <c r="G9467" s="9"/>
      <c r="J9467" s="11"/>
      <c r="U9467" s="9"/>
      <c r="X9467" s="9"/>
    </row>
    <row r="9468">
      <c r="D9468" s="9"/>
      <c r="G9468" s="9"/>
      <c r="J9468" s="11"/>
      <c r="U9468" s="9"/>
      <c r="X9468" s="9"/>
    </row>
    <row r="9469">
      <c r="D9469" s="9"/>
      <c r="G9469" s="9"/>
      <c r="J9469" s="11"/>
      <c r="U9469" s="9"/>
      <c r="X9469" s="9"/>
    </row>
    <row r="9470">
      <c r="D9470" s="9"/>
      <c r="G9470" s="9"/>
      <c r="J9470" s="11"/>
      <c r="U9470" s="9"/>
      <c r="X9470" s="9"/>
    </row>
    <row r="9471">
      <c r="D9471" s="9"/>
      <c r="G9471" s="9"/>
      <c r="J9471" s="11"/>
      <c r="U9471" s="9"/>
      <c r="X9471" s="9"/>
    </row>
    <row r="9472">
      <c r="D9472" s="9"/>
      <c r="G9472" s="9"/>
      <c r="J9472" s="11"/>
      <c r="U9472" s="9"/>
      <c r="X9472" s="9"/>
    </row>
    <row r="9473">
      <c r="D9473" s="9"/>
      <c r="G9473" s="9"/>
      <c r="J9473" s="11"/>
      <c r="U9473" s="9"/>
      <c r="X9473" s="9"/>
    </row>
    <row r="9474">
      <c r="D9474" s="9"/>
      <c r="G9474" s="9"/>
      <c r="J9474" s="11"/>
      <c r="U9474" s="9"/>
      <c r="X9474" s="9"/>
    </row>
    <row r="9475">
      <c r="D9475" s="9"/>
      <c r="G9475" s="9"/>
      <c r="J9475" s="11"/>
      <c r="U9475" s="9"/>
      <c r="X9475" s="9"/>
    </row>
    <row r="9476">
      <c r="D9476" s="9"/>
      <c r="G9476" s="9"/>
      <c r="J9476" s="11"/>
      <c r="U9476" s="9"/>
      <c r="X9476" s="9"/>
    </row>
    <row r="9477">
      <c r="D9477" s="9"/>
      <c r="G9477" s="9"/>
      <c r="J9477" s="11"/>
      <c r="U9477" s="9"/>
      <c r="X9477" s="9"/>
    </row>
    <row r="9478">
      <c r="D9478" s="9"/>
      <c r="G9478" s="9"/>
      <c r="J9478" s="11"/>
      <c r="U9478" s="9"/>
      <c r="X9478" s="9"/>
    </row>
    <row r="9479">
      <c r="D9479" s="9"/>
      <c r="G9479" s="9"/>
      <c r="J9479" s="11"/>
      <c r="U9479" s="9"/>
      <c r="X9479" s="9"/>
    </row>
    <row r="9480">
      <c r="D9480" s="9"/>
      <c r="G9480" s="9"/>
      <c r="J9480" s="11"/>
      <c r="U9480" s="9"/>
      <c r="X9480" s="9"/>
    </row>
    <row r="9481">
      <c r="D9481" s="9"/>
      <c r="G9481" s="9"/>
      <c r="J9481" s="11"/>
      <c r="U9481" s="9"/>
      <c r="X9481" s="9"/>
    </row>
    <row r="9482">
      <c r="D9482" s="9"/>
      <c r="G9482" s="9"/>
      <c r="J9482" s="11"/>
      <c r="U9482" s="9"/>
      <c r="X9482" s="9"/>
    </row>
    <row r="9483">
      <c r="D9483" s="9"/>
      <c r="G9483" s="9"/>
      <c r="J9483" s="11"/>
      <c r="U9483" s="9"/>
      <c r="X9483" s="9"/>
    </row>
    <row r="9484">
      <c r="D9484" s="9"/>
      <c r="G9484" s="9"/>
      <c r="J9484" s="11"/>
      <c r="U9484" s="9"/>
      <c r="X9484" s="9"/>
    </row>
    <row r="9485">
      <c r="D9485" s="9"/>
      <c r="G9485" s="9"/>
      <c r="J9485" s="11"/>
      <c r="U9485" s="9"/>
      <c r="X9485" s="9"/>
    </row>
    <row r="9486">
      <c r="D9486" s="9"/>
      <c r="G9486" s="9"/>
      <c r="J9486" s="11"/>
      <c r="U9486" s="9"/>
      <c r="X9486" s="9"/>
    </row>
    <row r="9487">
      <c r="D9487" s="9"/>
      <c r="G9487" s="9"/>
      <c r="J9487" s="11"/>
      <c r="U9487" s="9"/>
      <c r="X9487" s="9"/>
    </row>
    <row r="9488">
      <c r="D9488" s="9"/>
      <c r="G9488" s="9"/>
      <c r="J9488" s="11"/>
      <c r="U9488" s="9"/>
      <c r="X9488" s="9"/>
    </row>
    <row r="9489">
      <c r="D9489" s="9"/>
      <c r="G9489" s="9"/>
      <c r="J9489" s="11"/>
      <c r="U9489" s="9"/>
      <c r="X9489" s="9"/>
    </row>
    <row r="9490">
      <c r="D9490" s="9"/>
      <c r="G9490" s="9"/>
      <c r="J9490" s="11"/>
      <c r="U9490" s="9"/>
      <c r="X9490" s="9"/>
    </row>
    <row r="9491">
      <c r="D9491" s="9"/>
      <c r="G9491" s="9"/>
      <c r="J9491" s="11"/>
      <c r="U9491" s="9"/>
      <c r="X9491" s="9"/>
    </row>
    <row r="9492">
      <c r="D9492" s="9"/>
      <c r="G9492" s="9"/>
      <c r="J9492" s="11"/>
      <c r="U9492" s="9"/>
      <c r="X9492" s="9"/>
    </row>
    <row r="9493">
      <c r="D9493" s="9"/>
      <c r="G9493" s="9"/>
      <c r="J9493" s="11"/>
      <c r="U9493" s="9"/>
      <c r="X9493" s="9"/>
    </row>
    <row r="9494">
      <c r="D9494" s="9"/>
      <c r="G9494" s="9"/>
      <c r="J9494" s="11"/>
      <c r="U9494" s="9"/>
      <c r="X9494" s="9"/>
    </row>
    <row r="9495">
      <c r="D9495" s="9"/>
      <c r="G9495" s="9"/>
      <c r="J9495" s="11"/>
      <c r="U9495" s="9"/>
      <c r="X9495" s="9"/>
    </row>
    <row r="9496">
      <c r="D9496" s="9"/>
      <c r="G9496" s="9"/>
      <c r="J9496" s="11"/>
      <c r="U9496" s="9"/>
      <c r="X9496" s="9"/>
    </row>
    <row r="9497">
      <c r="D9497" s="9"/>
      <c r="G9497" s="9"/>
      <c r="J9497" s="11"/>
      <c r="U9497" s="9"/>
      <c r="X9497" s="9"/>
    </row>
    <row r="9498">
      <c r="D9498" s="9"/>
      <c r="G9498" s="9"/>
      <c r="J9498" s="11"/>
      <c r="U9498" s="9"/>
      <c r="X9498" s="9"/>
    </row>
    <row r="9499">
      <c r="D9499" s="9"/>
      <c r="G9499" s="9"/>
      <c r="J9499" s="11"/>
      <c r="U9499" s="9"/>
      <c r="X9499" s="9"/>
    </row>
    <row r="9500">
      <c r="D9500" s="9"/>
      <c r="G9500" s="9"/>
      <c r="J9500" s="11"/>
      <c r="U9500" s="9"/>
      <c r="X9500" s="9"/>
    </row>
    <row r="9501">
      <c r="D9501" s="9"/>
      <c r="G9501" s="9"/>
      <c r="J9501" s="11"/>
      <c r="U9501" s="9"/>
      <c r="X9501" s="9"/>
    </row>
    <row r="9502">
      <c r="D9502" s="9"/>
      <c r="G9502" s="9"/>
      <c r="J9502" s="11"/>
      <c r="U9502" s="9"/>
      <c r="X9502" s="9"/>
    </row>
    <row r="9503">
      <c r="D9503" s="9"/>
      <c r="G9503" s="9"/>
      <c r="J9503" s="11"/>
      <c r="U9503" s="9"/>
      <c r="X9503" s="9"/>
    </row>
    <row r="9504">
      <c r="D9504" s="9"/>
      <c r="G9504" s="9"/>
      <c r="J9504" s="11"/>
      <c r="U9504" s="9"/>
      <c r="X9504" s="9"/>
    </row>
    <row r="9505">
      <c r="D9505" s="9"/>
      <c r="G9505" s="9"/>
      <c r="J9505" s="11"/>
      <c r="U9505" s="9"/>
      <c r="X9505" s="9"/>
    </row>
    <row r="9506">
      <c r="D9506" s="9"/>
      <c r="G9506" s="9"/>
      <c r="J9506" s="11"/>
      <c r="U9506" s="9"/>
      <c r="X9506" s="9"/>
    </row>
    <row r="9507">
      <c r="D9507" s="9"/>
      <c r="G9507" s="9"/>
      <c r="J9507" s="11"/>
      <c r="U9507" s="9"/>
      <c r="X9507" s="9"/>
    </row>
    <row r="9508">
      <c r="D9508" s="9"/>
      <c r="G9508" s="9"/>
      <c r="J9508" s="11"/>
      <c r="U9508" s="9"/>
      <c r="X9508" s="9"/>
    </row>
    <row r="9509">
      <c r="D9509" s="9"/>
      <c r="G9509" s="9"/>
      <c r="J9509" s="11"/>
      <c r="U9509" s="9"/>
      <c r="X9509" s="9"/>
    </row>
    <row r="9510">
      <c r="D9510" s="9"/>
      <c r="G9510" s="9"/>
      <c r="J9510" s="11"/>
      <c r="U9510" s="9"/>
      <c r="X9510" s="9"/>
    </row>
    <row r="9511">
      <c r="D9511" s="9"/>
      <c r="G9511" s="9"/>
      <c r="J9511" s="11"/>
      <c r="U9511" s="9"/>
      <c r="X9511" s="9"/>
    </row>
    <row r="9512">
      <c r="D9512" s="9"/>
      <c r="G9512" s="9"/>
      <c r="J9512" s="11"/>
      <c r="U9512" s="9"/>
      <c r="X9512" s="9"/>
    </row>
    <row r="9513">
      <c r="D9513" s="9"/>
      <c r="G9513" s="9"/>
      <c r="J9513" s="11"/>
      <c r="U9513" s="9"/>
      <c r="X9513" s="9"/>
    </row>
    <row r="9514">
      <c r="D9514" s="9"/>
      <c r="G9514" s="9"/>
      <c r="J9514" s="11"/>
      <c r="U9514" s="9"/>
      <c r="X9514" s="9"/>
    </row>
    <row r="9515">
      <c r="D9515" s="9"/>
      <c r="G9515" s="9"/>
      <c r="J9515" s="11"/>
      <c r="U9515" s="9"/>
      <c r="X9515" s="9"/>
    </row>
    <row r="9516">
      <c r="D9516" s="9"/>
      <c r="G9516" s="9"/>
      <c r="J9516" s="11"/>
      <c r="U9516" s="9"/>
      <c r="X9516" s="9"/>
    </row>
    <row r="9517">
      <c r="D9517" s="9"/>
      <c r="G9517" s="9"/>
      <c r="J9517" s="11"/>
      <c r="U9517" s="9"/>
      <c r="X9517" s="9"/>
    </row>
    <row r="9518">
      <c r="D9518" s="9"/>
      <c r="G9518" s="9"/>
      <c r="J9518" s="11"/>
      <c r="U9518" s="9"/>
      <c r="X9518" s="9"/>
    </row>
    <row r="9519">
      <c r="D9519" s="9"/>
      <c r="G9519" s="9"/>
      <c r="J9519" s="11"/>
      <c r="U9519" s="9"/>
      <c r="X9519" s="9"/>
    </row>
    <row r="9520">
      <c r="D9520" s="9"/>
      <c r="G9520" s="9"/>
      <c r="J9520" s="11"/>
      <c r="U9520" s="9"/>
      <c r="X9520" s="9"/>
    </row>
    <row r="9521">
      <c r="D9521" s="9"/>
      <c r="G9521" s="9"/>
      <c r="J9521" s="11"/>
      <c r="U9521" s="9"/>
      <c r="X9521" s="9"/>
    </row>
    <row r="9522">
      <c r="D9522" s="9"/>
      <c r="G9522" s="9"/>
      <c r="J9522" s="11"/>
      <c r="U9522" s="9"/>
      <c r="X9522" s="9"/>
    </row>
    <row r="9523">
      <c r="D9523" s="9"/>
      <c r="G9523" s="9"/>
      <c r="J9523" s="11"/>
      <c r="U9523" s="9"/>
      <c r="X9523" s="9"/>
    </row>
    <row r="9524">
      <c r="D9524" s="9"/>
      <c r="G9524" s="9"/>
      <c r="J9524" s="11"/>
      <c r="U9524" s="9"/>
      <c r="X9524" s="9"/>
    </row>
    <row r="9525">
      <c r="D9525" s="9"/>
      <c r="G9525" s="9"/>
      <c r="J9525" s="11"/>
      <c r="U9525" s="9"/>
      <c r="X9525" s="9"/>
    </row>
    <row r="9526">
      <c r="D9526" s="9"/>
      <c r="G9526" s="9"/>
      <c r="J9526" s="11"/>
      <c r="U9526" s="9"/>
      <c r="X9526" s="9"/>
    </row>
    <row r="9527">
      <c r="D9527" s="9"/>
      <c r="G9527" s="9"/>
      <c r="J9527" s="11"/>
      <c r="U9527" s="9"/>
      <c r="X9527" s="9"/>
    </row>
    <row r="9528">
      <c r="D9528" s="9"/>
      <c r="G9528" s="9"/>
      <c r="J9528" s="11"/>
      <c r="U9528" s="9"/>
      <c r="X9528" s="9"/>
    </row>
    <row r="9529">
      <c r="D9529" s="9"/>
      <c r="G9529" s="9"/>
      <c r="J9529" s="11"/>
      <c r="U9529" s="9"/>
      <c r="X9529" s="9"/>
    </row>
    <row r="9530">
      <c r="D9530" s="9"/>
      <c r="G9530" s="9"/>
      <c r="J9530" s="11"/>
      <c r="U9530" s="9"/>
      <c r="X9530" s="9"/>
    </row>
    <row r="9531">
      <c r="D9531" s="9"/>
      <c r="G9531" s="9"/>
      <c r="J9531" s="11"/>
      <c r="U9531" s="9"/>
      <c r="X9531" s="9"/>
    </row>
    <row r="9532">
      <c r="D9532" s="9"/>
      <c r="G9532" s="9"/>
      <c r="J9532" s="11"/>
      <c r="U9532" s="9"/>
      <c r="X9532" s="9"/>
    </row>
    <row r="9533">
      <c r="D9533" s="9"/>
      <c r="G9533" s="9"/>
      <c r="J9533" s="11"/>
      <c r="U9533" s="9"/>
      <c r="X9533" s="9"/>
    </row>
    <row r="9534">
      <c r="D9534" s="9"/>
      <c r="G9534" s="9"/>
      <c r="J9534" s="11"/>
      <c r="U9534" s="9"/>
      <c r="X9534" s="9"/>
    </row>
    <row r="9535">
      <c r="D9535" s="9"/>
      <c r="G9535" s="9"/>
      <c r="J9535" s="11"/>
      <c r="U9535" s="9"/>
      <c r="X9535" s="9"/>
    </row>
    <row r="9536">
      <c r="D9536" s="9"/>
      <c r="G9536" s="9"/>
      <c r="J9536" s="11"/>
      <c r="U9536" s="9"/>
      <c r="X9536" s="9"/>
    </row>
    <row r="9537">
      <c r="D9537" s="9"/>
      <c r="G9537" s="9"/>
      <c r="J9537" s="11"/>
      <c r="U9537" s="9"/>
      <c r="X9537" s="9"/>
    </row>
    <row r="9538">
      <c r="D9538" s="9"/>
      <c r="G9538" s="9"/>
      <c r="J9538" s="11"/>
      <c r="U9538" s="9"/>
      <c r="X9538" s="9"/>
    </row>
    <row r="9539">
      <c r="D9539" s="9"/>
      <c r="G9539" s="9"/>
      <c r="J9539" s="11"/>
      <c r="U9539" s="9"/>
      <c r="X9539" s="9"/>
    </row>
    <row r="9540">
      <c r="D9540" s="9"/>
      <c r="G9540" s="9"/>
      <c r="J9540" s="11"/>
      <c r="U9540" s="9"/>
      <c r="X9540" s="9"/>
    </row>
    <row r="9541">
      <c r="D9541" s="9"/>
      <c r="G9541" s="9"/>
      <c r="J9541" s="11"/>
      <c r="U9541" s="9"/>
      <c r="X9541" s="9"/>
    </row>
    <row r="9542">
      <c r="D9542" s="9"/>
      <c r="G9542" s="9"/>
      <c r="J9542" s="11"/>
      <c r="U9542" s="9"/>
      <c r="X9542" s="9"/>
    </row>
    <row r="9543">
      <c r="D9543" s="9"/>
      <c r="G9543" s="9"/>
      <c r="J9543" s="11"/>
      <c r="U9543" s="9"/>
      <c r="X9543" s="9"/>
    </row>
    <row r="9544">
      <c r="D9544" s="9"/>
      <c r="G9544" s="9"/>
      <c r="J9544" s="11"/>
      <c r="U9544" s="9"/>
      <c r="X9544" s="9"/>
    </row>
    <row r="9545">
      <c r="D9545" s="9"/>
      <c r="G9545" s="9"/>
      <c r="J9545" s="11"/>
      <c r="U9545" s="9"/>
      <c r="X9545" s="9"/>
    </row>
    <row r="9546">
      <c r="D9546" s="9"/>
      <c r="G9546" s="9"/>
      <c r="J9546" s="11"/>
      <c r="U9546" s="9"/>
      <c r="X9546" s="9"/>
    </row>
    <row r="9547">
      <c r="D9547" s="9"/>
      <c r="G9547" s="9"/>
      <c r="J9547" s="11"/>
      <c r="U9547" s="9"/>
      <c r="X9547" s="9"/>
    </row>
    <row r="9548">
      <c r="D9548" s="9"/>
      <c r="G9548" s="9"/>
      <c r="J9548" s="11"/>
      <c r="U9548" s="9"/>
      <c r="X9548" s="9"/>
    </row>
    <row r="9549">
      <c r="D9549" s="9"/>
      <c r="G9549" s="9"/>
      <c r="J9549" s="11"/>
      <c r="U9549" s="9"/>
      <c r="X9549" s="9"/>
    </row>
    <row r="9550">
      <c r="D9550" s="9"/>
      <c r="G9550" s="9"/>
      <c r="J9550" s="11"/>
      <c r="U9550" s="9"/>
      <c r="X9550" s="9"/>
    </row>
    <row r="9551">
      <c r="D9551" s="9"/>
      <c r="G9551" s="9"/>
      <c r="J9551" s="11"/>
      <c r="U9551" s="9"/>
      <c r="X9551" s="9"/>
    </row>
    <row r="9552">
      <c r="D9552" s="9"/>
      <c r="G9552" s="9"/>
      <c r="J9552" s="11"/>
      <c r="U9552" s="9"/>
      <c r="X9552" s="9"/>
    </row>
    <row r="9553">
      <c r="D9553" s="9"/>
      <c r="G9553" s="9"/>
      <c r="J9553" s="11"/>
      <c r="U9553" s="9"/>
      <c r="X9553" s="9"/>
    </row>
    <row r="9554">
      <c r="D9554" s="9"/>
      <c r="G9554" s="9"/>
      <c r="J9554" s="11"/>
      <c r="U9554" s="9"/>
      <c r="X9554" s="9"/>
    </row>
    <row r="9555">
      <c r="D9555" s="9"/>
      <c r="G9555" s="9"/>
      <c r="J9555" s="11"/>
      <c r="U9555" s="9"/>
      <c r="X9555" s="9"/>
    </row>
    <row r="9556">
      <c r="D9556" s="9"/>
      <c r="G9556" s="9"/>
      <c r="J9556" s="11"/>
      <c r="U9556" s="9"/>
      <c r="X9556" s="9"/>
    </row>
    <row r="9557">
      <c r="D9557" s="9"/>
      <c r="G9557" s="9"/>
      <c r="J9557" s="11"/>
      <c r="U9557" s="9"/>
      <c r="X9557" s="9"/>
    </row>
    <row r="9558">
      <c r="D9558" s="9"/>
      <c r="G9558" s="9"/>
      <c r="J9558" s="11"/>
      <c r="U9558" s="9"/>
      <c r="X9558" s="9"/>
    </row>
    <row r="9559">
      <c r="D9559" s="9"/>
      <c r="G9559" s="9"/>
      <c r="J9559" s="11"/>
      <c r="U9559" s="9"/>
      <c r="X9559" s="9"/>
    </row>
    <row r="9560">
      <c r="D9560" s="9"/>
      <c r="G9560" s="9"/>
      <c r="J9560" s="11"/>
      <c r="U9560" s="9"/>
      <c r="X9560" s="9"/>
    </row>
    <row r="9561">
      <c r="D9561" s="9"/>
      <c r="G9561" s="9"/>
      <c r="J9561" s="11"/>
      <c r="U9561" s="9"/>
      <c r="X9561" s="9"/>
    </row>
    <row r="9562">
      <c r="D9562" s="9"/>
      <c r="G9562" s="9"/>
      <c r="J9562" s="11"/>
      <c r="U9562" s="9"/>
      <c r="X9562" s="9"/>
    </row>
    <row r="9563">
      <c r="D9563" s="9"/>
      <c r="G9563" s="9"/>
      <c r="J9563" s="11"/>
      <c r="U9563" s="9"/>
      <c r="X9563" s="9"/>
    </row>
    <row r="9564">
      <c r="D9564" s="9"/>
      <c r="G9564" s="9"/>
      <c r="J9564" s="11"/>
      <c r="U9564" s="9"/>
      <c r="X9564" s="9"/>
    </row>
    <row r="9565">
      <c r="D9565" s="9"/>
      <c r="G9565" s="9"/>
      <c r="J9565" s="11"/>
      <c r="U9565" s="9"/>
      <c r="X9565" s="9"/>
    </row>
    <row r="9566">
      <c r="D9566" s="9"/>
      <c r="G9566" s="9"/>
      <c r="J9566" s="11"/>
      <c r="U9566" s="9"/>
      <c r="X9566" s="9"/>
    </row>
    <row r="9567">
      <c r="D9567" s="9"/>
      <c r="G9567" s="9"/>
      <c r="J9567" s="11"/>
      <c r="U9567" s="9"/>
      <c r="X9567" s="9"/>
    </row>
    <row r="9568">
      <c r="D9568" s="9"/>
      <c r="G9568" s="9"/>
      <c r="J9568" s="11"/>
      <c r="U9568" s="9"/>
      <c r="X9568" s="9"/>
    </row>
    <row r="9569">
      <c r="D9569" s="9"/>
      <c r="G9569" s="9"/>
      <c r="J9569" s="11"/>
      <c r="U9569" s="9"/>
      <c r="X9569" s="9"/>
    </row>
    <row r="9570">
      <c r="D9570" s="9"/>
      <c r="G9570" s="9"/>
      <c r="J9570" s="11"/>
      <c r="U9570" s="9"/>
      <c r="X9570" s="9"/>
    </row>
    <row r="9571">
      <c r="D9571" s="9"/>
      <c r="G9571" s="9"/>
      <c r="J9571" s="11"/>
      <c r="U9571" s="9"/>
      <c r="X9571" s="9"/>
    </row>
    <row r="9572">
      <c r="D9572" s="9"/>
      <c r="G9572" s="9"/>
      <c r="J9572" s="11"/>
      <c r="U9572" s="9"/>
      <c r="X9572" s="9"/>
    </row>
    <row r="9573">
      <c r="D9573" s="9"/>
      <c r="G9573" s="9"/>
      <c r="J9573" s="11"/>
      <c r="U9573" s="9"/>
      <c r="X9573" s="9"/>
    </row>
    <row r="9574">
      <c r="D9574" s="9"/>
      <c r="G9574" s="9"/>
      <c r="J9574" s="11"/>
      <c r="U9574" s="9"/>
      <c r="X9574" s="9"/>
    </row>
    <row r="9575">
      <c r="D9575" s="9"/>
      <c r="G9575" s="9"/>
      <c r="J9575" s="11"/>
      <c r="U9575" s="9"/>
      <c r="X9575" s="9"/>
    </row>
    <row r="9576">
      <c r="D9576" s="9"/>
      <c r="G9576" s="9"/>
      <c r="J9576" s="11"/>
      <c r="U9576" s="9"/>
      <c r="X9576" s="9"/>
    </row>
    <row r="9577">
      <c r="D9577" s="9"/>
      <c r="G9577" s="9"/>
      <c r="J9577" s="11"/>
      <c r="U9577" s="9"/>
      <c r="X9577" s="9"/>
    </row>
    <row r="9578">
      <c r="D9578" s="9"/>
      <c r="G9578" s="9"/>
      <c r="J9578" s="11"/>
      <c r="U9578" s="9"/>
      <c r="X9578" s="9"/>
    </row>
    <row r="9579">
      <c r="D9579" s="9"/>
      <c r="G9579" s="9"/>
      <c r="J9579" s="11"/>
      <c r="U9579" s="9"/>
      <c r="X9579" s="9"/>
    </row>
    <row r="9580">
      <c r="D9580" s="9"/>
      <c r="G9580" s="9"/>
      <c r="J9580" s="11"/>
      <c r="U9580" s="9"/>
      <c r="X9580" s="9"/>
    </row>
    <row r="9581">
      <c r="D9581" s="9"/>
      <c r="G9581" s="9"/>
      <c r="J9581" s="11"/>
      <c r="U9581" s="9"/>
      <c r="X9581" s="9"/>
    </row>
    <row r="9582">
      <c r="D9582" s="9"/>
      <c r="G9582" s="9"/>
      <c r="J9582" s="11"/>
      <c r="U9582" s="9"/>
      <c r="X9582" s="9"/>
    </row>
    <row r="9583">
      <c r="D9583" s="9"/>
      <c r="G9583" s="9"/>
      <c r="J9583" s="11"/>
      <c r="U9583" s="9"/>
      <c r="X9583" s="9"/>
    </row>
    <row r="9584">
      <c r="D9584" s="9"/>
      <c r="G9584" s="9"/>
      <c r="J9584" s="11"/>
      <c r="U9584" s="9"/>
      <c r="X9584" s="9"/>
    </row>
    <row r="9585">
      <c r="D9585" s="9"/>
      <c r="G9585" s="9"/>
      <c r="J9585" s="11"/>
      <c r="U9585" s="9"/>
      <c r="X9585" s="9"/>
    </row>
    <row r="9586">
      <c r="D9586" s="9"/>
      <c r="G9586" s="9"/>
      <c r="J9586" s="11"/>
      <c r="U9586" s="9"/>
      <c r="X9586" s="9"/>
    </row>
    <row r="9587">
      <c r="D9587" s="9"/>
      <c r="G9587" s="9"/>
      <c r="J9587" s="11"/>
      <c r="U9587" s="9"/>
      <c r="X9587" s="9"/>
    </row>
    <row r="9588">
      <c r="D9588" s="9"/>
      <c r="G9588" s="9"/>
      <c r="J9588" s="11"/>
      <c r="U9588" s="9"/>
      <c r="X9588" s="9"/>
    </row>
    <row r="9589">
      <c r="D9589" s="9"/>
      <c r="G9589" s="9"/>
      <c r="J9589" s="11"/>
      <c r="U9589" s="9"/>
      <c r="X9589" s="9"/>
    </row>
    <row r="9590">
      <c r="D9590" s="9"/>
      <c r="G9590" s="9"/>
      <c r="J9590" s="11"/>
      <c r="U9590" s="9"/>
      <c r="X9590" s="9"/>
    </row>
    <row r="9591">
      <c r="D9591" s="9"/>
      <c r="G9591" s="9"/>
      <c r="J9591" s="11"/>
      <c r="U9591" s="9"/>
      <c r="X9591" s="9"/>
    </row>
    <row r="9592">
      <c r="D9592" s="9"/>
      <c r="G9592" s="9"/>
      <c r="J9592" s="11"/>
      <c r="U9592" s="9"/>
      <c r="X9592" s="9"/>
    </row>
    <row r="9593">
      <c r="D9593" s="9"/>
      <c r="G9593" s="9"/>
      <c r="J9593" s="11"/>
      <c r="U9593" s="9"/>
      <c r="X9593" s="9"/>
    </row>
    <row r="9594">
      <c r="D9594" s="9"/>
      <c r="G9594" s="9"/>
      <c r="J9594" s="11"/>
      <c r="U9594" s="9"/>
      <c r="X9594" s="9"/>
    </row>
    <row r="9595">
      <c r="D9595" s="9"/>
      <c r="G9595" s="9"/>
      <c r="J9595" s="11"/>
      <c r="U9595" s="9"/>
      <c r="X9595" s="9"/>
    </row>
    <row r="9596">
      <c r="D9596" s="9"/>
      <c r="G9596" s="9"/>
      <c r="J9596" s="11"/>
      <c r="U9596" s="9"/>
      <c r="X9596" s="9"/>
    </row>
    <row r="9597">
      <c r="D9597" s="9"/>
      <c r="G9597" s="9"/>
      <c r="J9597" s="11"/>
      <c r="U9597" s="9"/>
      <c r="X9597" s="9"/>
    </row>
    <row r="9598">
      <c r="D9598" s="9"/>
      <c r="G9598" s="9"/>
      <c r="J9598" s="11"/>
      <c r="U9598" s="9"/>
      <c r="X9598" s="9"/>
    </row>
    <row r="9599">
      <c r="D9599" s="9"/>
      <c r="G9599" s="9"/>
      <c r="J9599" s="11"/>
      <c r="U9599" s="9"/>
      <c r="X9599" s="9"/>
    </row>
    <row r="9600">
      <c r="D9600" s="9"/>
      <c r="G9600" s="9"/>
      <c r="J9600" s="11"/>
      <c r="U9600" s="9"/>
      <c r="X9600" s="9"/>
    </row>
    <row r="9601">
      <c r="D9601" s="9"/>
      <c r="G9601" s="9"/>
      <c r="J9601" s="11"/>
      <c r="U9601" s="9"/>
      <c r="X9601" s="9"/>
    </row>
    <row r="9602">
      <c r="D9602" s="9"/>
      <c r="G9602" s="9"/>
      <c r="J9602" s="11"/>
      <c r="U9602" s="9"/>
      <c r="X9602" s="9"/>
    </row>
    <row r="9603">
      <c r="D9603" s="9"/>
      <c r="G9603" s="9"/>
      <c r="J9603" s="11"/>
      <c r="U9603" s="9"/>
      <c r="X9603" s="9"/>
    </row>
    <row r="9604">
      <c r="D9604" s="9"/>
      <c r="G9604" s="9"/>
      <c r="J9604" s="11"/>
      <c r="U9604" s="9"/>
      <c r="X9604" s="9"/>
    </row>
    <row r="9605">
      <c r="D9605" s="9"/>
      <c r="G9605" s="9"/>
      <c r="J9605" s="11"/>
      <c r="U9605" s="9"/>
      <c r="X9605" s="9"/>
    </row>
    <row r="9606">
      <c r="D9606" s="9"/>
      <c r="G9606" s="9"/>
      <c r="J9606" s="11"/>
      <c r="U9606" s="9"/>
      <c r="X9606" s="9"/>
    </row>
    <row r="9607">
      <c r="D9607" s="9"/>
      <c r="G9607" s="9"/>
      <c r="J9607" s="11"/>
      <c r="U9607" s="9"/>
      <c r="X9607" s="9"/>
    </row>
    <row r="9608">
      <c r="D9608" s="9"/>
      <c r="G9608" s="9"/>
      <c r="J9608" s="11"/>
      <c r="U9608" s="9"/>
      <c r="X9608" s="9"/>
    </row>
    <row r="9609">
      <c r="D9609" s="9"/>
      <c r="G9609" s="9"/>
      <c r="J9609" s="11"/>
      <c r="U9609" s="9"/>
      <c r="X9609" s="9"/>
    </row>
    <row r="9610">
      <c r="D9610" s="9"/>
      <c r="G9610" s="9"/>
      <c r="J9610" s="11"/>
      <c r="U9610" s="9"/>
      <c r="X9610" s="9"/>
    </row>
    <row r="9611">
      <c r="D9611" s="9"/>
      <c r="G9611" s="9"/>
      <c r="J9611" s="11"/>
      <c r="U9611" s="9"/>
      <c r="X9611" s="9"/>
    </row>
    <row r="9612">
      <c r="D9612" s="9"/>
      <c r="G9612" s="9"/>
      <c r="J9612" s="11"/>
      <c r="U9612" s="9"/>
      <c r="X9612" s="9"/>
    </row>
    <row r="9613">
      <c r="D9613" s="9"/>
      <c r="G9613" s="9"/>
      <c r="J9613" s="11"/>
      <c r="U9613" s="9"/>
      <c r="X9613" s="9"/>
    </row>
    <row r="9614">
      <c r="D9614" s="9"/>
      <c r="G9614" s="9"/>
      <c r="J9614" s="11"/>
      <c r="U9614" s="9"/>
      <c r="X9614" s="9"/>
    </row>
    <row r="9615">
      <c r="D9615" s="9"/>
      <c r="G9615" s="9"/>
      <c r="J9615" s="11"/>
      <c r="U9615" s="9"/>
      <c r="X9615" s="9"/>
    </row>
    <row r="9616">
      <c r="D9616" s="9"/>
      <c r="G9616" s="9"/>
      <c r="J9616" s="11"/>
      <c r="U9616" s="9"/>
      <c r="X9616" s="9"/>
    </row>
    <row r="9617">
      <c r="D9617" s="9"/>
      <c r="G9617" s="9"/>
      <c r="J9617" s="11"/>
      <c r="U9617" s="9"/>
      <c r="X9617" s="9"/>
    </row>
    <row r="9618">
      <c r="D9618" s="9"/>
      <c r="G9618" s="9"/>
      <c r="J9618" s="11"/>
      <c r="U9618" s="9"/>
      <c r="X9618" s="9"/>
    </row>
    <row r="9619">
      <c r="D9619" s="9"/>
      <c r="G9619" s="9"/>
      <c r="J9619" s="11"/>
      <c r="U9619" s="9"/>
      <c r="X9619" s="9"/>
    </row>
    <row r="9620">
      <c r="D9620" s="9"/>
      <c r="G9620" s="9"/>
      <c r="J9620" s="11"/>
      <c r="U9620" s="9"/>
      <c r="X9620" s="9"/>
    </row>
    <row r="9621">
      <c r="D9621" s="9"/>
      <c r="G9621" s="9"/>
      <c r="J9621" s="11"/>
      <c r="U9621" s="9"/>
      <c r="X9621" s="9"/>
    </row>
    <row r="9622">
      <c r="D9622" s="9"/>
      <c r="G9622" s="9"/>
      <c r="J9622" s="11"/>
      <c r="U9622" s="9"/>
      <c r="X9622" s="9"/>
    </row>
    <row r="9623">
      <c r="D9623" s="9"/>
      <c r="G9623" s="9"/>
      <c r="J9623" s="11"/>
      <c r="U9623" s="9"/>
      <c r="X9623" s="9"/>
    </row>
    <row r="9624">
      <c r="D9624" s="9"/>
      <c r="G9624" s="9"/>
      <c r="J9624" s="11"/>
      <c r="U9624" s="9"/>
      <c r="X9624" s="9"/>
    </row>
    <row r="9625">
      <c r="D9625" s="9"/>
      <c r="G9625" s="9"/>
      <c r="J9625" s="11"/>
      <c r="U9625" s="9"/>
      <c r="X9625" s="9"/>
    </row>
    <row r="9626">
      <c r="D9626" s="9"/>
      <c r="G9626" s="9"/>
      <c r="J9626" s="11"/>
      <c r="U9626" s="9"/>
      <c r="X9626" s="9"/>
    </row>
    <row r="9627">
      <c r="D9627" s="9"/>
      <c r="G9627" s="9"/>
      <c r="J9627" s="11"/>
      <c r="U9627" s="9"/>
      <c r="X9627" s="9"/>
    </row>
    <row r="9628">
      <c r="D9628" s="9"/>
      <c r="G9628" s="9"/>
      <c r="J9628" s="11"/>
      <c r="U9628" s="9"/>
      <c r="X9628" s="9"/>
    </row>
    <row r="9629">
      <c r="D9629" s="9"/>
      <c r="G9629" s="9"/>
      <c r="J9629" s="11"/>
      <c r="U9629" s="9"/>
      <c r="X9629" s="9"/>
    </row>
    <row r="9630">
      <c r="D9630" s="9"/>
      <c r="G9630" s="9"/>
      <c r="J9630" s="11"/>
      <c r="U9630" s="9"/>
      <c r="X9630" s="9"/>
    </row>
    <row r="9631">
      <c r="D9631" s="9"/>
      <c r="G9631" s="9"/>
      <c r="J9631" s="11"/>
      <c r="U9631" s="9"/>
      <c r="X9631" s="9"/>
    </row>
    <row r="9632">
      <c r="D9632" s="9"/>
      <c r="G9632" s="9"/>
      <c r="J9632" s="11"/>
      <c r="U9632" s="9"/>
      <c r="X9632" s="9"/>
    </row>
    <row r="9633">
      <c r="D9633" s="9"/>
      <c r="G9633" s="9"/>
      <c r="J9633" s="11"/>
      <c r="U9633" s="9"/>
      <c r="X9633" s="9"/>
    </row>
    <row r="9634">
      <c r="D9634" s="9"/>
      <c r="G9634" s="9"/>
      <c r="J9634" s="11"/>
      <c r="U9634" s="9"/>
      <c r="X9634" s="9"/>
    </row>
    <row r="9635">
      <c r="D9635" s="9"/>
      <c r="G9635" s="9"/>
      <c r="J9635" s="11"/>
      <c r="U9635" s="9"/>
      <c r="X9635" s="9"/>
    </row>
    <row r="9636">
      <c r="D9636" s="9"/>
      <c r="G9636" s="9"/>
      <c r="J9636" s="11"/>
      <c r="U9636" s="9"/>
      <c r="X9636" s="9"/>
    </row>
    <row r="9637">
      <c r="D9637" s="9"/>
      <c r="G9637" s="9"/>
      <c r="J9637" s="11"/>
      <c r="U9637" s="9"/>
      <c r="X9637" s="9"/>
    </row>
    <row r="9638">
      <c r="D9638" s="9"/>
      <c r="G9638" s="9"/>
      <c r="J9638" s="11"/>
      <c r="U9638" s="9"/>
      <c r="X9638" s="9"/>
    </row>
    <row r="9639">
      <c r="D9639" s="9"/>
      <c r="G9639" s="9"/>
      <c r="J9639" s="11"/>
      <c r="U9639" s="9"/>
      <c r="X9639" s="9"/>
    </row>
    <row r="9640">
      <c r="D9640" s="9"/>
      <c r="G9640" s="9"/>
      <c r="J9640" s="11"/>
      <c r="U9640" s="9"/>
      <c r="X9640" s="9"/>
    </row>
    <row r="9641">
      <c r="D9641" s="9"/>
      <c r="G9641" s="9"/>
      <c r="J9641" s="11"/>
      <c r="U9641" s="9"/>
      <c r="X9641" s="9"/>
    </row>
    <row r="9642">
      <c r="D9642" s="9"/>
      <c r="G9642" s="9"/>
      <c r="J9642" s="11"/>
      <c r="U9642" s="9"/>
      <c r="X9642" s="9"/>
    </row>
    <row r="9643">
      <c r="D9643" s="9"/>
      <c r="G9643" s="9"/>
      <c r="J9643" s="11"/>
      <c r="U9643" s="9"/>
      <c r="X9643" s="9"/>
    </row>
    <row r="9644">
      <c r="D9644" s="9"/>
      <c r="G9644" s="9"/>
      <c r="J9644" s="11"/>
      <c r="U9644" s="9"/>
      <c r="X9644" s="9"/>
    </row>
    <row r="9645">
      <c r="D9645" s="9"/>
      <c r="G9645" s="9"/>
      <c r="J9645" s="11"/>
      <c r="U9645" s="9"/>
      <c r="X9645" s="9"/>
    </row>
    <row r="9646">
      <c r="D9646" s="9"/>
      <c r="G9646" s="9"/>
      <c r="J9646" s="11"/>
      <c r="U9646" s="9"/>
      <c r="X9646" s="9"/>
    </row>
    <row r="9647">
      <c r="D9647" s="9"/>
      <c r="G9647" s="9"/>
      <c r="J9647" s="11"/>
      <c r="U9647" s="9"/>
      <c r="X9647" s="9"/>
    </row>
    <row r="9648">
      <c r="D9648" s="9"/>
      <c r="G9648" s="9"/>
      <c r="J9648" s="11"/>
      <c r="U9648" s="9"/>
      <c r="X9648" s="9"/>
    </row>
    <row r="9649">
      <c r="D9649" s="9"/>
      <c r="G9649" s="9"/>
      <c r="J9649" s="11"/>
      <c r="U9649" s="9"/>
      <c r="X9649" s="9"/>
    </row>
    <row r="9650">
      <c r="D9650" s="9"/>
      <c r="G9650" s="9"/>
      <c r="J9650" s="11"/>
      <c r="U9650" s="9"/>
      <c r="X9650" s="9"/>
    </row>
    <row r="9651">
      <c r="D9651" s="9"/>
      <c r="G9651" s="9"/>
      <c r="J9651" s="11"/>
      <c r="U9651" s="9"/>
      <c r="X9651" s="9"/>
    </row>
    <row r="9652">
      <c r="D9652" s="9"/>
      <c r="G9652" s="9"/>
      <c r="J9652" s="11"/>
      <c r="U9652" s="9"/>
      <c r="X9652" s="9"/>
    </row>
    <row r="9653">
      <c r="D9653" s="9"/>
      <c r="G9653" s="9"/>
      <c r="J9653" s="11"/>
      <c r="U9653" s="9"/>
      <c r="X9653" s="9"/>
    </row>
    <row r="9654">
      <c r="D9654" s="9"/>
      <c r="G9654" s="9"/>
      <c r="J9654" s="11"/>
      <c r="U9654" s="9"/>
      <c r="X9654" s="9"/>
    </row>
    <row r="9655">
      <c r="D9655" s="9"/>
      <c r="G9655" s="9"/>
      <c r="J9655" s="11"/>
      <c r="U9655" s="9"/>
      <c r="X9655" s="9"/>
    </row>
    <row r="9656">
      <c r="D9656" s="9"/>
      <c r="G9656" s="9"/>
      <c r="J9656" s="11"/>
      <c r="U9656" s="9"/>
      <c r="X9656" s="9"/>
    </row>
    <row r="9657">
      <c r="D9657" s="9"/>
      <c r="G9657" s="9"/>
      <c r="J9657" s="11"/>
      <c r="U9657" s="9"/>
      <c r="X9657" s="9"/>
    </row>
    <row r="9658">
      <c r="D9658" s="9"/>
      <c r="G9658" s="9"/>
      <c r="J9658" s="11"/>
      <c r="U9658" s="9"/>
      <c r="X9658" s="9"/>
    </row>
    <row r="9659">
      <c r="D9659" s="9"/>
      <c r="G9659" s="9"/>
      <c r="J9659" s="11"/>
      <c r="U9659" s="9"/>
      <c r="X9659" s="9"/>
    </row>
    <row r="9660">
      <c r="D9660" s="9"/>
      <c r="G9660" s="9"/>
      <c r="J9660" s="11"/>
      <c r="U9660" s="9"/>
      <c r="X9660" s="9"/>
    </row>
    <row r="9661">
      <c r="D9661" s="9"/>
      <c r="G9661" s="9"/>
      <c r="J9661" s="11"/>
      <c r="U9661" s="9"/>
      <c r="X9661" s="9"/>
    </row>
    <row r="9662">
      <c r="D9662" s="9"/>
      <c r="G9662" s="9"/>
      <c r="J9662" s="11"/>
      <c r="U9662" s="9"/>
      <c r="X9662" s="9"/>
    </row>
    <row r="9663">
      <c r="D9663" s="9"/>
      <c r="G9663" s="9"/>
      <c r="J9663" s="11"/>
      <c r="U9663" s="9"/>
      <c r="X9663" s="9"/>
    </row>
    <row r="9664">
      <c r="D9664" s="9"/>
      <c r="G9664" s="9"/>
      <c r="J9664" s="11"/>
      <c r="U9664" s="9"/>
      <c r="X9664" s="9"/>
    </row>
    <row r="9665">
      <c r="D9665" s="9"/>
      <c r="G9665" s="9"/>
      <c r="J9665" s="11"/>
      <c r="U9665" s="9"/>
      <c r="X9665" s="9"/>
    </row>
    <row r="9666">
      <c r="D9666" s="9"/>
      <c r="G9666" s="9"/>
      <c r="J9666" s="11"/>
      <c r="U9666" s="9"/>
      <c r="X9666" s="9"/>
    </row>
    <row r="9667">
      <c r="D9667" s="9"/>
      <c r="G9667" s="9"/>
      <c r="J9667" s="11"/>
      <c r="U9667" s="9"/>
      <c r="X9667" s="9"/>
    </row>
    <row r="9668">
      <c r="D9668" s="9"/>
      <c r="G9668" s="9"/>
      <c r="J9668" s="11"/>
      <c r="U9668" s="9"/>
      <c r="X9668" s="9"/>
    </row>
    <row r="9669">
      <c r="D9669" s="9"/>
      <c r="G9669" s="9"/>
      <c r="J9669" s="11"/>
      <c r="U9669" s="9"/>
      <c r="X9669" s="9"/>
    </row>
    <row r="9670">
      <c r="D9670" s="9"/>
      <c r="G9670" s="9"/>
      <c r="J9670" s="11"/>
      <c r="U9670" s="9"/>
      <c r="X9670" s="9"/>
    </row>
    <row r="9671">
      <c r="D9671" s="9"/>
      <c r="G9671" s="9"/>
      <c r="J9671" s="11"/>
      <c r="U9671" s="9"/>
      <c r="X9671" s="9"/>
    </row>
    <row r="9672">
      <c r="D9672" s="9"/>
      <c r="G9672" s="9"/>
      <c r="J9672" s="11"/>
      <c r="U9672" s="9"/>
      <c r="X9672" s="9"/>
    </row>
    <row r="9673">
      <c r="D9673" s="9"/>
      <c r="G9673" s="9"/>
      <c r="J9673" s="11"/>
      <c r="U9673" s="9"/>
      <c r="X9673" s="9"/>
    </row>
    <row r="9674">
      <c r="D9674" s="9"/>
      <c r="G9674" s="9"/>
      <c r="J9674" s="11"/>
      <c r="U9674" s="9"/>
      <c r="X9674" s="9"/>
    </row>
    <row r="9675">
      <c r="D9675" s="9"/>
      <c r="G9675" s="9"/>
      <c r="J9675" s="11"/>
      <c r="U9675" s="9"/>
      <c r="X9675" s="9"/>
    </row>
    <row r="9676">
      <c r="D9676" s="9"/>
      <c r="G9676" s="9"/>
      <c r="J9676" s="11"/>
      <c r="U9676" s="9"/>
      <c r="X9676" s="9"/>
    </row>
    <row r="9677">
      <c r="D9677" s="9"/>
      <c r="G9677" s="9"/>
      <c r="J9677" s="11"/>
      <c r="U9677" s="9"/>
      <c r="X9677" s="9"/>
    </row>
    <row r="9678">
      <c r="D9678" s="9"/>
      <c r="G9678" s="9"/>
      <c r="J9678" s="11"/>
      <c r="U9678" s="9"/>
      <c r="X9678" s="9"/>
    </row>
    <row r="9679">
      <c r="D9679" s="9"/>
      <c r="G9679" s="9"/>
      <c r="J9679" s="11"/>
      <c r="U9679" s="9"/>
      <c r="X9679" s="9"/>
    </row>
    <row r="9680">
      <c r="D9680" s="9"/>
      <c r="G9680" s="9"/>
      <c r="J9680" s="11"/>
      <c r="U9680" s="9"/>
      <c r="X9680" s="9"/>
    </row>
    <row r="9681">
      <c r="D9681" s="9"/>
      <c r="G9681" s="9"/>
      <c r="J9681" s="11"/>
      <c r="U9681" s="9"/>
      <c r="X9681" s="9"/>
    </row>
    <row r="9682">
      <c r="D9682" s="9"/>
      <c r="G9682" s="9"/>
      <c r="J9682" s="11"/>
      <c r="U9682" s="9"/>
      <c r="X9682" s="9"/>
    </row>
    <row r="9683">
      <c r="D9683" s="9"/>
      <c r="G9683" s="9"/>
      <c r="J9683" s="11"/>
      <c r="U9683" s="9"/>
      <c r="X9683" s="9"/>
    </row>
    <row r="9684">
      <c r="D9684" s="9"/>
      <c r="G9684" s="9"/>
      <c r="J9684" s="11"/>
      <c r="U9684" s="9"/>
      <c r="X9684" s="9"/>
    </row>
    <row r="9685">
      <c r="D9685" s="9"/>
      <c r="G9685" s="9"/>
      <c r="J9685" s="11"/>
      <c r="U9685" s="9"/>
      <c r="X9685" s="9"/>
    </row>
    <row r="9686">
      <c r="D9686" s="9"/>
      <c r="G9686" s="9"/>
      <c r="J9686" s="11"/>
      <c r="U9686" s="9"/>
      <c r="X9686" s="9"/>
    </row>
    <row r="9687">
      <c r="D9687" s="9"/>
      <c r="G9687" s="9"/>
      <c r="J9687" s="11"/>
      <c r="U9687" s="9"/>
      <c r="X9687" s="9"/>
    </row>
    <row r="9688">
      <c r="D9688" s="9"/>
      <c r="G9688" s="9"/>
      <c r="J9688" s="11"/>
      <c r="U9688" s="9"/>
      <c r="X9688" s="9"/>
    </row>
    <row r="9689">
      <c r="D9689" s="9"/>
      <c r="G9689" s="9"/>
      <c r="J9689" s="11"/>
      <c r="U9689" s="9"/>
      <c r="X9689" s="9"/>
    </row>
    <row r="9690">
      <c r="D9690" s="9"/>
      <c r="G9690" s="9"/>
      <c r="J9690" s="11"/>
      <c r="U9690" s="9"/>
      <c r="X9690" s="9"/>
    </row>
    <row r="9691">
      <c r="D9691" s="9"/>
      <c r="G9691" s="9"/>
      <c r="J9691" s="11"/>
      <c r="U9691" s="9"/>
      <c r="X9691" s="9"/>
    </row>
    <row r="9692">
      <c r="D9692" s="9"/>
      <c r="G9692" s="9"/>
      <c r="J9692" s="11"/>
      <c r="U9692" s="9"/>
      <c r="X9692" s="9"/>
    </row>
    <row r="9693">
      <c r="D9693" s="9"/>
      <c r="G9693" s="9"/>
      <c r="J9693" s="11"/>
      <c r="U9693" s="9"/>
      <c r="X9693" s="9"/>
    </row>
    <row r="9694">
      <c r="D9694" s="9"/>
      <c r="G9694" s="9"/>
      <c r="J9694" s="11"/>
      <c r="U9694" s="9"/>
      <c r="X9694" s="9"/>
    </row>
    <row r="9695">
      <c r="D9695" s="9"/>
      <c r="G9695" s="9"/>
      <c r="J9695" s="11"/>
      <c r="U9695" s="9"/>
      <c r="X9695" s="9"/>
    </row>
    <row r="9696">
      <c r="D9696" s="9"/>
      <c r="G9696" s="9"/>
      <c r="J9696" s="11"/>
      <c r="U9696" s="9"/>
      <c r="X9696" s="9"/>
    </row>
    <row r="9697">
      <c r="D9697" s="9"/>
      <c r="G9697" s="9"/>
      <c r="J9697" s="11"/>
      <c r="U9697" s="9"/>
      <c r="X9697" s="9"/>
    </row>
    <row r="9698">
      <c r="D9698" s="9"/>
      <c r="G9698" s="9"/>
      <c r="J9698" s="11"/>
      <c r="U9698" s="9"/>
      <c r="X9698" s="9"/>
    </row>
    <row r="9699">
      <c r="D9699" s="9"/>
      <c r="G9699" s="9"/>
      <c r="J9699" s="11"/>
      <c r="U9699" s="9"/>
      <c r="X9699" s="9"/>
    </row>
    <row r="9700">
      <c r="D9700" s="9"/>
      <c r="G9700" s="9"/>
      <c r="J9700" s="11"/>
      <c r="U9700" s="9"/>
      <c r="X9700" s="9"/>
    </row>
    <row r="9701">
      <c r="D9701" s="9"/>
      <c r="G9701" s="9"/>
      <c r="J9701" s="11"/>
      <c r="U9701" s="9"/>
      <c r="X9701" s="9"/>
    </row>
    <row r="9702">
      <c r="D9702" s="9"/>
      <c r="G9702" s="9"/>
      <c r="J9702" s="11"/>
      <c r="U9702" s="9"/>
      <c r="X9702" s="9"/>
    </row>
    <row r="9703">
      <c r="D9703" s="9"/>
      <c r="G9703" s="9"/>
      <c r="J9703" s="11"/>
      <c r="U9703" s="9"/>
      <c r="X9703" s="9"/>
    </row>
    <row r="9704">
      <c r="D9704" s="9"/>
      <c r="G9704" s="9"/>
      <c r="J9704" s="11"/>
      <c r="U9704" s="9"/>
      <c r="X9704" s="9"/>
    </row>
    <row r="9705">
      <c r="D9705" s="9"/>
      <c r="G9705" s="9"/>
      <c r="J9705" s="11"/>
      <c r="U9705" s="9"/>
      <c r="X9705" s="9"/>
    </row>
    <row r="9706">
      <c r="D9706" s="9"/>
      <c r="G9706" s="9"/>
      <c r="J9706" s="11"/>
      <c r="U9706" s="9"/>
      <c r="X9706" s="9"/>
    </row>
    <row r="9707">
      <c r="D9707" s="9"/>
      <c r="G9707" s="9"/>
      <c r="J9707" s="11"/>
      <c r="U9707" s="9"/>
      <c r="X9707" s="9"/>
    </row>
    <row r="9708">
      <c r="D9708" s="9"/>
      <c r="G9708" s="9"/>
      <c r="J9708" s="11"/>
      <c r="U9708" s="9"/>
      <c r="X9708" s="9"/>
    </row>
    <row r="9709">
      <c r="D9709" s="9"/>
      <c r="G9709" s="9"/>
      <c r="J9709" s="11"/>
      <c r="U9709" s="9"/>
      <c r="X9709" s="9"/>
    </row>
    <row r="9710">
      <c r="D9710" s="9"/>
      <c r="G9710" s="9"/>
      <c r="J9710" s="11"/>
      <c r="U9710" s="9"/>
      <c r="X9710" s="9"/>
    </row>
    <row r="9711">
      <c r="D9711" s="9"/>
      <c r="G9711" s="9"/>
      <c r="J9711" s="11"/>
      <c r="U9711" s="9"/>
      <c r="X9711" s="9"/>
    </row>
    <row r="9712">
      <c r="D9712" s="9"/>
      <c r="G9712" s="9"/>
      <c r="J9712" s="11"/>
      <c r="U9712" s="9"/>
      <c r="X9712" s="9"/>
    </row>
    <row r="9713">
      <c r="D9713" s="9"/>
      <c r="G9713" s="9"/>
      <c r="J9713" s="11"/>
      <c r="U9713" s="9"/>
      <c r="X9713" s="9"/>
    </row>
    <row r="9714">
      <c r="D9714" s="9"/>
      <c r="G9714" s="9"/>
      <c r="J9714" s="11"/>
      <c r="U9714" s="9"/>
      <c r="X9714" s="9"/>
    </row>
    <row r="9715">
      <c r="D9715" s="9"/>
      <c r="G9715" s="9"/>
      <c r="J9715" s="11"/>
      <c r="U9715" s="9"/>
      <c r="X9715" s="9"/>
    </row>
    <row r="9716">
      <c r="D9716" s="9"/>
      <c r="G9716" s="9"/>
      <c r="J9716" s="11"/>
      <c r="U9716" s="9"/>
      <c r="X9716" s="9"/>
    </row>
    <row r="9717">
      <c r="D9717" s="9"/>
      <c r="G9717" s="9"/>
      <c r="J9717" s="11"/>
      <c r="U9717" s="9"/>
      <c r="X9717" s="9"/>
    </row>
    <row r="9718">
      <c r="D9718" s="9"/>
      <c r="G9718" s="9"/>
      <c r="J9718" s="11"/>
      <c r="U9718" s="9"/>
      <c r="X9718" s="9"/>
    </row>
    <row r="9719">
      <c r="D9719" s="9"/>
      <c r="G9719" s="9"/>
      <c r="J9719" s="11"/>
      <c r="U9719" s="9"/>
      <c r="X9719" s="9"/>
    </row>
    <row r="9720">
      <c r="D9720" s="9"/>
      <c r="G9720" s="9"/>
      <c r="J9720" s="11"/>
      <c r="U9720" s="9"/>
      <c r="X9720" s="9"/>
    </row>
    <row r="9721">
      <c r="D9721" s="9"/>
      <c r="G9721" s="9"/>
      <c r="J9721" s="11"/>
      <c r="U9721" s="9"/>
      <c r="X9721" s="9"/>
    </row>
    <row r="9722">
      <c r="D9722" s="9"/>
      <c r="G9722" s="9"/>
      <c r="J9722" s="11"/>
      <c r="U9722" s="9"/>
      <c r="X9722" s="9"/>
    </row>
    <row r="9723">
      <c r="D9723" s="9"/>
      <c r="G9723" s="9"/>
      <c r="J9723" s="11"/>
      <c r="U9723" s="9"/>
      <c r="X9723" s="9"/>
    </row>
    <row r="9724">
      <c r="D9724" s="9"/>
      <c r="G9724" s="9"/>
      <c r="J9724" s="11"/>
      <c r="U9724" s="9"/>
      <c r="X9724" s="9"/>
    </row>
    <row r="9725">
      <c r="D9725" s="9"/>
      <c r="G9725" s="9"/>
      <c r="J9725" s="11"/>
      <c r="U9725" s="9"/>
      <c r="X9725" s="9"/>
    </row>
    <row r="9726">
      <c r="D9726" s="9"/>
      <c r="G9726" s="9"/>
      <c r="J9726" s="11"/>
      <c r="U9726" s="9"/>
      <c r="X9726" s="9"/>
    </row>
    <row r="9727">
      <c r="D9727" s="9"/>
      <c r="G9727" s="9"/>
      <c r="J9727" s="11"/>
      <c r="U9727" s="9"/>
      <c r="X9727" s="9"/>
    </row>
    <row r="9728">
      <c r="D9728" s="9"/>
      <c r="G9728" s="9"/>
      <c r="J9728" s="11"/>
      <c r="U9728" s="9"/>
      <c r="X9728" s="9"/>
    </row>
    <row r="9729">
      <c r="D9729" s="9"/>
      <c r="G9729" s="9"/>
      <c r="J9729" s="11"/>
      <c r="U9729" s="9"/>
      <c r="X9729" s="9"/>
    </row>
    <row r="9730">
      <c r="D9730" s="9"/>
      <c r="G9730" s="9"/>
      <c r="J9730" s="11"/>
      <c r="U9730" s="9"/>
      <c r="X9730" s="9"/>
    </row>
    <row r="9731">
      <c r="D9731" s="9"/>
      <c r="G9731" s="9"/>
      <c r="J9731" s="11"/>
      <c r="U9731" s="9"/>
      <c r="X9731" s="9"/>
    </row>
    <row r="9732">
      <c r="D9732" s="9"/>
      <c r="G9732" s="9"/>
      <c r="J9732" s="11"/>
      <c r="U9732" s="9"/>
      <c r="X9732" s="9"/>
    </row>
    <row r="9733">
      <c r="D9733" s="9"/>
      <c r="G9733" s="9"/>
      <c r="J9733" s="11"/>
      <c r="U9733" s="9"/>
      <c r="X9733" s="9"/>
    </row>
    <row r="9734">
      <c r="D9734" s="9"/>
      <c r="G9734" s="9"/>
      <c r="J9734" s="11"/>
      <c r="U9734" s="9"/>
      <c r="X9734" s="9"/>
    </row>
    <row r="9735">
      <c r="D9735" s="9"/>
      <c r="G9735" s="9"/>
      <c r="J9735" s="11"/>
      <c r="U9735" s="9"/>
      <c r="X9735" s="9"/>
    </row>
    <row r="9736">
      <c r="D9736" s="9"/>
      <c r="G9736" s="9"/>
      <c r="J9736" s="11"/>
      <c r="U9736" s="9"/>
      <c r="X9736" s="9"/>
    </row>
    <row r="9737">
      <c r="D9737" s="9"/>
      <c r="G9737" s="9"/>
      <c r="J9737" s="11"/>
      <c r="U9737" s="9"/>
      <c r="X9737" s="9"/>
    </row>
    <row r="9738">
      <c r="D9738" s="9"/>
      <c r="G9738" s="9"/>
      <c r="J9738" s="11"/>
      <c r="U9738" s="9"/>
      <c r="X9738" s="9"/>
    </row>
    <row r="9739">
      <c r="D9739" s="9"/>
      <c r="G9739" s="9"/>
      <c r="J9739" s="11"/>
      <c r="U9739" s="9"/>
      <c r="X9739" s="9"/>
    </row>
    <row r="9740">
      <c r="D9740" s="9"/>
      <c r="G9740" s="9"/>
      <c r="J9740" s="11"/>
      <c r="U9740" s="9"/>
      <c r="X9740" s="9"/>
    </row>
    <row r="9741">
      <c r="D9741" s="9"/>
      <c r="G9741" s="9"/>
      <c r="J9741" s="11"/>
      <c r="U9741" s="9"/>
      <c r="X9741" s="9"/>
    </row>
    <row r="9742">
      <c r="D9742" s="9"/>
      <c r="G9742" s="9"/>
      <c r="J9742" s="11"/>
      <c r="U9742" s="9"/>
      <c r="X9742" s="9"/>
    </row>
    <row r="9743">
      <c r="D9743" s="9"/>
      <c r="G9743" s="9"/>
      <c r="J9743" s="11"/>
      <c r="U9743" s="9"/>
      <c r="X9743" s="9"/>
    </row>
    <row r="9744">
      <c r="D9744" s="9"/>
      <c r="G9744" s="9"/>
      <c r="J9744" s="11"/>
      <c r="U9744" s="9"/>
      <c r="X9744" s="9"/>
    </row>
    <row r="9745">
      <c r="D9745" s="9"/>
      <c r="G9745" s="9"/>
      <c r="J9745" s="11"/>
      <c r="U9745" s="9"/>
      <c r="X9745" s="9"/>
    </row>
    <row r="9746">
      <c r="D9746" s="9"/>
      <c r="G9746" s="9"/>
      <c r="J9746" s="11"/>
      <c r="U9746" s="9"/>
      <c r="X9746" s="9"/>
    </row>
    <row r="9747">
      <c r="D9747" s="9"/>
      <c r="G9747" s="9"/>
      <c r="J9747" s="11"/>
      <c r="U9747" s="9"/>
      <c r="X9747" s="9"/>
    </row>
    <row r="9748">
      <c r="D9748" s="9"/>
      <c r="G9748" s="9"/>
      <c r="J9748" s="11"/>
      <c r="U9748" s="9"/>
      <c r="X9748" s="9"/>
    </row>
    <row r="9749">
      <c r="D9749" s="9"/>
      <c r="G9749" s="9"/>
      <c r="J9749" s="11"/>
      <c r="U9749" s="9"/>
      <c r="X9749" s="9"/>
    </row>
    <row r="9750">
      <c r="D9750" s="9"/>
      <c r="G9750" s="9"/>
      <c r="J9750" s="11"/>
      <c r="U9750" s="9"/>
      <c r="X9750" s="9"/>
    </row>
    <row r="9751">
      <c r="D9751" s="9"/>
      <c r="G9751" s="9"/>
      <c r="J9751" s="11"/>
      <c r="U9751" s="9"/>
      <c r="X9751" s="9"/>
    </row>
    <row r="9752">
      <c r="D9752" s="9"/>
      <c r="G9752" s="9"/>
      <c r="J9752" s="11"/>
      <c r="U9752" s="9"/>
      <c r="X9752" s="9"/>
    </row>
    <row r="9753">
      <c r="D9753" s="9"/>
      <c r="G9753" s="9"/>
      <c r="J9753" s="11"/>
      <c r="U9753" s="9"/>
      <c r="X9753" s="9"/>
    </row>
    <row r="9754">
      <c r="D9754" s="9"/>
      <c r="G9754" s="9"/>
      <c r="J9754" s="11"/>
      <c r="U9754" s="9"/>
      <c r="X9754" s="9"/>
    </row>
    <row r="9755">
      <c r="D9755" s="9"/>
      <c r="G9755" s="9"/>
      <c r="J9755" s="11"/>
      <c r="U9755" s="9"/>
      <c r="X9755" s="9"/>
    </row>
    <row r="9756">
      <c r="D9756" s="9"/>
      <c r="G9756" s="9"/>
      <c r="J9756" s="11"/>
      <c r="U9756" s="9"/>
      <c r="X9756" s="9"/>
    </row>
    <row r="9757">
      <c r="D9757" s="9"/>
      <c r="G9757" s="9"/>
      <c r="J9757" s="11"/>
      <c r="U9757" s="9"/>
      <c r="X9757" s="9"/>
    </row>
    <row r="9758">
      <c r="D9758" s="9"/>
      <c r="G9758" s="9"/>
      <c r="J9758" s="11"/>
      <c r="U9758" s="9"/>
      <c r="X9758" s="9"/>
    </row>
    <row r="9759">
      <c r="D9759" s="9"/>
      <c r="G9759" s="9"/>
      <c r="J9759" s="11"/>
      <c r="U9759" s="9"/>
      <c r="X9759" s="9"/>
    </row>
    <row r="9760">
      <c r="D9760" s="9"/>
      <c r="G9760" s="9"/>
      <c r="J9760" s="11"/>
      <c r="U9760" s="9"/>
      <c r="X9760" s="9"/>
    </row>
    <row r="9761">
      <c r="D9761" s="9"/>
      <c r="G9761" s="9"/>
      <c r="J9761" s="11"/>
      <c r="U9761" s="9"/>
      <c r="X9761" s="9"/>
    </row>
    <row r="9762">
      <c r="D9762" s="9"/>
      <c r="G9762" s="9"/>
      <c r="J9762" s="11"/>
      <c r="U9762" s="9"/>
      <c r="X9762" s="9"/>
    </row>
    <row r="9763">
      <c r="D9763" s="9"/>
      <c r="G9763" s="9"/>
      <c r="J9763" s="11"/>
      <c r="U9763" s="9"/>
      <c r="X9763" s="9"/>
    </row>
    <row r="9764">
      <c r="D9764" s="9"/>
      <c r="G9764" s="9"/>
      <c r="J9764" s="11"/>
      <c r="U9764" s="9"/>
      <c r="X9764" s="9"/>
    </row>
    <row r="9765">
      <c r="D9765" s="9"/>
      <c r="G9765" s="9"/>
      <c r="J9765" s="11"/>
      <c r="U9765" s="9"/>
      <c r="X9765" s="9"/>
    </row>
    <row r="9766">
      <c r="D9766" s="9"/>
      <c r="G9766" s="9"/>
      <c r="J9766" s="11"/>
      <c r="U9766" s="9"/>
      <c r="X9766" s="9"/>
    </row>
    <row r="9767">
      <c r="D9767" s="9"/>
      <c r="G9767" s="9"/>
      <c r="J9767" s="11"/>
      <c r="U9767" s="9"/>
      <c r="X9767" s="9"/>
    </row>
    <row r="9768">
      <c r="D9768" s="9"/>
      <c r="G9768" s="9"/>
      <c r="J9768" s="11"/>
      <c r="U9768" s="9"/>
      <c r="X9768" s="9"/>
    </row>
    <row r="9769">
      <c r="D9769" s="9"/>
      <c r="G9769" s="9"/>
      <c r="J9769" s="11"/>
      <c r="U9769" s="9"/>
      <c r="X9769" s="9"/>
    </row>
    <row r="9770">
      <c r="D9770" s="9"/>
      <c r="G9770" s="9"/>
      <c r="J9770" s="11"/>
      <c r="U9770" s="9"/>
      <c r="X9770" s="9"/>
    </row>
    <row r="9771">
      <c r="D9771" s="9"/>
      <c r="G9771" s="9"/>
      <c r="J9771" s="11"/>
      <c r="U9771" s="9"/>
      <c r="X9771" s="9"/>
    </row>
    <row r="9772">
      <c r="D9772" s="9"/>
      <c r="G9772" s="9"/>
      <c r="J9772" s="11"/>
      <c r="U9772" s="9"/>
      <c r="X9772" s="9"/>
    </row>
    <row r="9773">
      <c r="D9773" s="9"/>
      <c r="G9773" s="9"/>
      <c r="J9773" s="11"/>
      <c r="U9773" s="9"/>
      <c r="X9773" s="9"/>
    </row>
    <row r="9774">
      <c r="D9774" s="9"/>
      <c r="G9774" s="9"/>
      <c r="J9774" s="11"/>
      <c r="U9774" s="9"/>
      <c r="X9774" s="9"/>
    </row>
    <row r="9775">
      <c r="D9775" s="9"/>
      <c r="G9775" s="9"/>
      <c r="J9775" s="11"/>
      <c r="U9775" s="9"/>
      <c r="X9775" s="9"/>
    </row>
    <row r="9776">
      <c r="D9776" s="9"/>
      <c r="G9776" s="9"/>
      <c r="J9776" s="11"/>
      <c r="U9776" s="9"/>
      <c r="X9776" s="9"/>
    </row>
    <row r="9777">
      <c r="D9777" s="9"/>
      <c r="G9777" s="9"/>
      <c r="J9777" s="11"/>
      <c r="U9777" s="9"/>
      <c r="X9777" s="9"/>
    </row>
    <row r="9778">
      <c r="D9778" s="9"/>
      <c r="G9778" s="9"/>
      <c r="J9778" s="11"/>
      <c r="U9778" s="9"/>
      <c r="X9778" s="9"/>
    </row>
    <row r="9779">
      <c r="D9779" s="9"/>
      <c r="G9779" s="9"/>
      <c r="J9779" s="11"/>
      <c r="U9779" s="9"/>
      <c r="X9779" s="9"/>
    </row>
    <row r="9780">
      <c r="D9780" s="9"/>
      <c r="G9780" s="9"/>
      <c r="J9780" s="11"/>
      <c r="U9780" s="9"/>
      <c r="X9780" s="9"/>
    </row>
    <row r="9781">
      <c r="D9781" s="9"/>
      <c r="G9781" s="9"/>
      <c r="J9781" s="11"/>
      <c r="U9781" s="9"/>
      <c r="X9781" s="9"/>
    </row>
    <row r="9782">
      <c r="D9782" s="9"/>
      <c r="G9782" s="9"/>
      <c r="J9782" s="11"/>
      <c r="U9782" s="9"/>
      <c r="X9782" s="9"/>
    </row>
    <row r="9783">
      <c r="D9783" s="9"/>
      <c r="G9783" s="9"/>
      <c r="J9783" s="11"/>
      <c r="U9783" s="9"/>
      <c r="X9783" s="9"/>
    </row>
    <row r="9784">
      <c r="D9784" s="9"/>
      <c r="G9784" s="9"/>
      <c r="J9784" s="11"/>
      <c r="U9784" s="9"/>
      <c r="X9784" s="9"/>
    </row>
    <row r="9785">
      <c r="D9785" s="9"/>
      <c r="G9785" s="9"/>
      <c r="J9785" s="11"/>
      <c r="U9785" s="9"/>
      <c r="X9785" s="9"/>
    </row>
    <row r="9786">
      <c r="D9786" s="9"/>
      <c r="G9786" s="9"/>
      <c r="J9786" s="11"/>
      <c r="U9786" s="9"/>
      <c r="X9786" s="9"/>
    </row>
    <row r="9787">
      <c r="D9787" s="9"/>
      <c r="G9787" s="9"/>
      <c r="J9787" s="11"/>
      <c r="U9787" s="9"/>
      <c r="X9787" s="9"/>
    </row>
    <row r="9788">
      <c r="D9788" s="9"/>
      <c r="G9788" s="9"/>
      <c r="J9788" s="11"/>
      <c r="U9788" s="9"/>
      <c r="X9788" s="9"/>
    </row>
    <row r="9789">
      <c r="D9789" s="9"/>
      <c r="G9789" s="9"/>
      <c r="J9789" s="11"/>
      <c r="U9789" s="9"/>
      <c r="X9789" s="9"/>
    </row>
    <row r="9790">
      <c r="D9790" s="9"/>
      <c r="G9790" s="9"/>
      <c r="J9790" s="11"/>
      <c r="U9790" s="9"/>
      <c r="X9790" s="9"/>
    </row>
    <row r="9791">
      <c r="D9791" s="9"/>
      <c r="G9791" s="9"/>
      <c r="J9791" s="11"/>
      <c r="U9791" s="9"/>
      <c r="X9791" s="9"/>
    </row>
    <row r="9792">
      <c r="D9792" s="9"/>
      <c r="G9792" s="9"/>
      <c r="J9792" s="11"/>
      <c r="U9792" s="9"/>
      <c r="X9792" s="9"/>
    </row>
    <row r="9793">
      <c r="D9793" s="9"/>
      <c r="G9793" s="9"/>
      <c r="J9793" s="11"/>
      <c r="U9793" s="9"/>
      <c r="X9793" s="9"/>
    </row>
    <row r="9794">
      <c r="D9794" s="9"/>
      <c r="G9794" s="9"/>
      <c r="J9794" s="11"/>
      <c r="U9794" s="9"/>
      <c r="X9794" s="9"/>
    </row>
    <row r="9795">
      <c r="D9795" s="9"/>
      <c r="G9795" s="9"/>
      <c r="J9795" s="11"/>
      <c r="U9795" s="9"/>
      <c r="X9795" s="9"/>
    </row>
    <row r="9796">
      <c r="D9796" s="9"/>
      <c r="G9796" s="9"/>
      <c r="J9796" s="11"/>
      <c r="U9796" s="9"/>
      <c r="X9796" s="9"/>
    </row>
    <row r="9797">
      <c r="D9797" s="9"/>
      <c r="G9797" s="9"/>
      <c r="J9797" s="11"/>
      <c r="U9797" s="9"/>
      <c r="X9797" s="9"/>
    </row>
    <row r="9798">
      <c r="D9798" s="9"/>
      <c r="G9798" s="9"/>
      <c r="J9798" s="11"/>
      <c r="U9798" s="9"/>
      <c r="X9798" s="9"/>
    </row>
    <row r="9799">
      <c r="D9799" s="9"/>
      <c r="G9799" s="9"/>
      <c r="J9799" s="11"/>
      <c r="U9799" s="9"/>
      <c r="X9799" s="9"/>
    </row>
    <row r="9800">
      <c r="D9800" s="9"/>
      <c r="G9800" s="9"/>
      <c r="J9800" s="11"/>
      <c r="U9800" s="9"/>
      <c r="X9800" s="9"/>
    </row>
    <row r="9801">
      <c r="D9801" s="9"/>
      <c r="G9801" s="9"/>
      <c r="J9801" s="11"/>
      <c r="U9801" s="9"/>
      <c r="X9801" s="9"/>
    </row>
    <row r="9802">
      <c r="D9802" s="9"/>
      <c r="G9802" s="9"/>
      <c r="J9802" s="11"/>
      <c r="U9802" s="9"/>
      <c r="X9802" s="9"/>
    </row>
    <row r="9803">
      <c r="D9803" s="9"/>
      <c r="G9803" s="9"/>
      <c r="J9803" s="11"/>
      <c r="U9803" s="9"/>
      <c r="X9803" s="9"/>
    </row>
    <row r="9804">
      <c r="D9804" s="9"/>
      <c r="G9804" s="9"/>
      <c r="J9804" s="11"/>
      <c r="U9804" s="9"/>
      <c r="X9804" s="9"/>
    </row>
    <row r="9805">
      <c r="D9805" s="9"/>
      <c r="G9805" s="9"/>
      <c r="J9805" s="11"/>
      <c r="U9805" s="9"/>
      <c r="X9805" s="9"/>
    </row>
    <row r="9806">
      <c r="D9806" s="9"/>
      <c r="G9806" s="9"/>
      <c r="J9806" s="11"/>
      <c r="U9806" s="9"/>
      <c r="X9806" s="9"/>
    </row>
    <row r="9807">
      <c r="D9807" s="9"/>
      <c r="G9807" s="9"/>
      <c r="J9807" s="11"/>
      <c r="U9807" s="9"/>
      <c r="X9807" s="9"/>
    </row>
    <row r="9808">
      <c r="D9808" s="9"/>
      <c r="G9808" s="9"/>
      <c r="J9808" s="11"/>
      <c r="U9808" s="9"/>
      <c r="X9808" s="9"/>
    </row>
    <row r="9809">
      <c r="D9809" s="9"/>
      <c r="G9809" s="9"/>
      <c r="J9809" s="11"/>
      <c r="U9809" s="9"/>
      <c r="X9809" s="9"/>
    </row>
    <row r="9810">
      <c r="D9810" s="9"/>
      <c r="G9810" s="9"/>
      <c r="J9810" s="11"/>
      <c r="U9810" s="9"/>
      <c r="X9810" s="9"/>
    </row>
    <row r="9811">
      <c r="D9811" s="9"/>
      <c r="G9811" s="9"/>
      <c r="J9811" s="11"/>
      <c r="U9811" s="9"/>
      <c r="X9811" s="9"/>
    </row>
    <row r="9812">
      <c r="D9812" s="9"/>
      <c r="G9812" s="9"/>
      <c r="J9812" s="11"/>
      <c r="U9812" s="9"/>
      <c r="X9812" s="9"/>
    </row>
    <row r="9813">
      <c r="D9813" s="9"/>
      <c r="G9813" s="9"/>
      <c r="J9813" s="11"/>
      <c r="U9813" s="9"/>
      <c r="X9813" s="9"/>
    </row>
    <row r="9814">
      <c r="D9814" s="9"/>
      <c r="G9814" s="9"/>
      <c r="J9814" s="11"/>
      <c r="U9814" s="9"/>
      <c r="X9814" s="9"/>
    </row>
    <row r="9815">
      <c r="D9815" s="9"/>
      <c r="G9815" s="9"/>
      <c r="J9815" s="11"/>
      <c r="U9815" s="9"/>
      <c r="X9815" s="9"/>
    </row>
    <row r="9816">
      <c r="D9816" s="9"/>
      <c r="G9816" s="9"/>
      <c r="J9816" s="11"/>
      <c r="U9816" s="9"/>
      <c r="X9816" s="9"/>
    </row>
    <row r="9817">
      <c r="D9817" s="9"/>
      <c r="G9817" s="9"/>
      <c r="J9817" s="11"/>
      <c r="U9817" s="9"/>
      <c r="X9817" s="9"/>
    </row>
    <row r="9818">
      <c r="D9818" s="9"/>
      <c r="G9818" s="9"/>
      <c r="J9818" s="11"/>
      <c r="U9818" s="9"/>
      <c r="X9818" s="9"/>
    </row>
    <row r="9819">
      <c r="D9819" s="9"/>
      <c r="G9819" s="9"/>
      <c r="J9819" s="11"/>
      <c r="U9819" s="9"/>
      <c r="X9819" s="9"/>
    </row>
    <row r="9820">
      <c r="D9820" s="9"/>
      <c r="G9820" s="9"/>
      <c r="J9820" s="11"/>
      <c r="U9820" s="9"/>
      <c r="X9820" s="9"/>
    </row>
    <row r="9821">
      <c r="D9821" s="9"/>
      <c r="G9821" s="9"/>
      <c r="J9821" s="11"/>
      <c r="U9821" s="9"/>
      <c r="X9821" s="9"/>
    </row>
    <row r="9822">
      <c r="D9822" s="9"/>
      <c r="G9822" s="9"/>
      <c r="J9822" s="11"/>
      <c r="U9822" s="9"/>
      <c r="X9822" s="9"/>
    </row>
    <row r="9823">
      <c r="D9823" s="9"/>
      <c r="G9823" s="9"/>
      <c r="J9823" s="11"/>
      <c r="U9823" s="9"/>
      <c r="X9823" s="9"/>
    </row>
    <row r="9824">
      <c r="D9824" s="9"/>
      <c r="G9824" s="9"/>
      <c r="J9824" s="11"/>
      <c r="U9824" s="9"/>
      <c r="X9824" s="9"/>
    </row>
    <row r="9825">
      <c r="D9825" s="9"/>
      <c r="G9825" s="9"/>
      <c r="J9825" s="11"/>
      <c r="U9825" s="9"/>
      <c r="X9825" s="9"/>
    </row>
    <row r="9826">
      <c r="D9826" s="9"/>
      <c r="G9826" s="9"/>
      <c r="J9826" s="11"/>
      <c r="U9826" s="9"/>
      <c r="X9826" s="9"/>
    </row>
    <row r="9827">
      <c r="D9827" s="9"/>
      <c r="G9827" s="9"/>
      <c r="J9827" s="11"/>
      <c r="U9827" s="9"/>
      <c r="X9827" s="9"/>
    </row>
    <row r="9828">
      <c r="D9828" s="9"/>
      <c r="G9828" s="9"/>
      <c r="J9828" s="11"/>
      <c r="U9828" s="9"/>
      <c r="X9828" s="9"/>
    </row>
    <row r="9829">
      <c r="D9829" s="9"/>
      <c r="G9829" s="9"/>
      <c r="J9829" s="11"/>
      <c r="U9829" s="9"/>
      <c r="X9829" s="9"/>
    </row>
    <row r="9830">
      <c r="D9830" s="9"/>
      <c r="G9830" s="9"/>
      <c r="J9830" s="11"/>
      <c r="U9830" s="9"/>
      <c r="X9830" s="9"/>
    </row>
    <row r="9831">
      <c r="D9831" s="9"/>
      <c r="G9831" s="9"/>
      <c r="J9831" s="11"/>
      <c r="U9831" s="9"/>
      <c r="X9831" s="9"/>
    </row>
    <row r="9832">
      <c r="D9832" s="9"/>
      <c r="G9832" s="9"/>
      <c r="J9832" s="11"/>
      <c r="U9832" s="9"/>
      <c r="X9832" s="9"/>
    </row>
    <row r="9833">
      <c r="D9833" s="9"/>
      <c r="G9833" s="9"/>
      <c r="J9833" s="11"/>
      <c r="U9833" s="9"/>
      <c r="X9833" s="9"/>
    </row>
    <row r="9834">
      <c r="D9834" s="9"/>
      <c r="G9834" s="9"/>
      <c r="J9834" s="11"/>
      <c r="U9834" s="9"/>
      <c r="X9834" s="9"/>
    </row>
    <row r="9835">
      <c r="D9835" s="9"/>
      <c r="G9835" s="9"/>
      <c r="J9835" s="11"/>
      <c r="U9835" s="9"/>
      <c r="X9835" s="9"/>
    </row>
    <row r="9836">
      <c r="D9836" s="9"/>
      <c r="G9836" s="9"/>
      <c r="J9836" s="11"/>
      <c r="U9836" s="9"/>
      <c r="X9836" s="9"/>
    </row>
    <row r="9837">
      <c r="D9837" s="9"/>
      <c r="G9837" s="9"/>
      <c r="J9837" s="11"/>
      <c r="U9837" s="9"/>
      <c r="X9837" s="9"/>
    </row>
    <row r="9838">
      <c r="D9838" s="9"/>
      <c r="G9838" s="9"/>
      <c r="J9838" s="11"/>
      <c r="U9838" s="9"/>
      <c r="X9838" s="9"/>
    </row>
    <row r="9839">
      <c r="D9839" s="9"/>
      <c r="G9839" s="9"/>
      <c r="J9839" s="11"/>
      <c r="U9839" s="9"/>
      <c r="X9839" s="9"/>
    </row>
    <row r="9840">
      <c r="D9840" s="9"/>
      <c r="G9840" s="9"/>
      <c r="J9840" s="11"/>
      <c r="U9840" s="9"/>
      <c r="X9840" s="9"/>
    </row>
    <row r="9841">
      <c r="D9841" s="9"/>
      <c r="G9841" s="9"/>
      <c r="J9841" s="11"/>
      <c r="U9841" s="9"/>
      <c r="X9841" s="9"/>
    </row>
    <row r="9842">
      <c r="D9842" s="9"/>
      <c r="G9842" s="9"/>
      <c r="J9842" s="11"/>
      <c r="U9842" s="9"/>
      <c r="X9842" s="9"/>
    </row>
    <row r="9843">
      <c r="D9843" s="9"/>
      <c r="G9843" s="9"/>
      <c r="J9843" s="11"/>
      <c r="U9843" s="9"/>
      <c r="X9843" s="9"/>
    </row>
    <row r="9844">
      <c r="D9844" s="9"/>
      <c r="G9844" s="9"/>
      <c r="J9844" s="11"/>
      <c r="U9844" s="9"/>
      <c r="X9844" s="9"/>
    </row>
    <row r="9845">
      <c r="D9845" s="9"/>
      <c r="G9845" s="9"/>
      <c r="J9845" s="11"/>
      <c r="U9845" s="9"/>
      <c r="X9845" s="9"/>
    </row>
    <row r="9846">
      <c r="D9846" s="9"/>
      <c r="G9846" s="9"/>
      <c r="J9846" s="11"/>
      <c r="U9846" s="9"/>
      <c r="X9846" s="9"/>
    </row>
    <row r="9847">
      <c r="D9847" s="9"/>
      <c r="G9847" s="9"/>
      <c r="J9847" s="11"/>
      <c r="U9847" s="9"/>
      <c r="X9847" s="9"/>
    </row>
    <row r="9848">
      <c r="D9848" s="9"/>
      <c r="G9848" s="9"/>
      <c r="J9848" s="11"/>
      <c r="U9848" s="9"/>
      <c r="X9848" s="9"/>
    </row>
    <row r="9849">
      <c r="D9849" s="9"/>
      <c r="G9849" s="9"/>
      <c r="J9849" s="11"/>
      <c r="U9849" s="9"/>
      <c r="X9849" s="9"/>
    </row>
    <row r="9850">
      <c r="D9850" s="9"/>
      <c r="G9850" s="9"/>
      <c r="J9850" s="11"/>
      <c r="U9850" s="9"/>
      <c r="X9850" s="9"/>
    </row>
    <row r="9851">
      <c r="D9851" s="9"/>
      <c r="G9851" s="9"/>
      <c r="J9851" s="11"/>
      <c r="U9851" s="9"/>
      <c r="X9851" s="9"/>
    </row>
    <row r="9852">
      <c r="D9852" s="9"/>
      <c r="G9852" s="9"/>
      <c r="J9852" s="11"/>
      <c r="U9852" s="9"/>
      <c r="X9852" s="9"/>
    </row>
    <row r="9853">
      <c r="D9853" s="9"/>
      <c r="G9853" s="9"/>
      <c r="J9853" s="11"/>
      <c r="U9853" s="9"/>
      <c r="X9853" s="9"/>
    </row>
    <row r="9854">
      <c r="D9854" s="9"/>
      <c r="G9854" s="9"/>
      <c r="J9854" s="11"/>
      <c r="U9854" s="9"/>
      <c r="X9854" s="9"/>
    </row>
    <row r="9855">
      <c r="D9855" s="9"/>
      <c r="G9855" s="9"/>
      <c r="J9855" s="11"/>
      <c r="U9855" s="9"/>
      <c r="X9855" s="9"/>
    </row>
    <row r="9856">
      <c r="D9856" s="9"/>
      <c r="G9856" s="9"/>
      <c r="J9856" s="11"/>
      <c r="U9856" s="9"/>
      <c r="X9856" s="9"/>
    </row>
    <row r="9857">
      <c r="D9857" s="9"/>
      <c r="G9857" s="9"/>
      <c r="J9857" s="11"/>
      <c r="U9857" s="9"/>
      <c r="X9857" s="9"/>
    </row>
    <row r="9858">
      <c r="D9858" s="9"/>
      <c r="G9858" s="9"/>
      <c r="J9858" s="11"/>
      <c r="U9858" s="9"/>
      <c r="X9858" s="9"/>
    </row>
    <row r="9859">
      <c r="D9859" s="9"/>
      <c r="G9859" s="9"/>
      <c r="J9859" s="11"/>
      <c r="U9859" s="9"/>
      <c r="X9859" s="9"/>
    </row>
    <row r="9860">
      <c r="D9860" s="9"/>
      <c r="G9860" s="9"/>
      <c r="J9860" s="11"/>
      <c r="U9860" s="9"/>
      <c r="X9860" s="9"/>
    </row>
    <row r="9861">
      <c r="D9861" s="9"/>
      <c r="G9861" s="9"/>
      <c r="J9861" s="11"/>
      <c r="U9861" s="9"/>
      <c r="X9861" s="9"/>
    </row>
    <row r="9862">
      <c r="D9862" s="9"/>
      <c r="G9862" s="9"/>
      <c r="J9862" s="11"/>
      <c r="U9862" s="9"/>
      <c r="X9862" s="9"/>
    </row>
    <row r="9863">
      <c r="D9863" s="9"/>
      <c r="G9863" s="9"/>
      <c r="J9863" s="11"/>
      <c r="U9863" s="9"/>
      <c r="X9863" s="9"/>
    </row>
    <row r="9864">
      <c r="D9864" s="9"/>
      <c r="G9864" s="9"/>
      <c r="J9864" s="11"/>
      <c r="U9864" s="9"/>
      <c r="X9864" s="9"/>
    </row>
    <row r="9865">
      <c r="D9865" s="9"/>
      <c r="G9865" s="9"/>
      <c r="J9865" s="11"/>
      <c r="U9865" s="9"/>
      <c r="X9865" s="9"/>
    </row>
    <row r="9866">
      <c r="D9866" s="9"/>
      <c r="G9866" s="9"/>
      <c r="J9866" s="11"/>
      <c r="U9866" s="9"/>
      <c r="X9866" s="9"/>
    </row>
    <row r="9867">
      <c r="D9867" s="9"/>
      <c r="G9867" s="9"/>
      <c r="J9867" s="11"/>
      <c r="U9867" s="9"/>
      <c r="X9867" s="9"/>
    </row>
    <row r="9868">
      <c r="D9868" s="9"/>
      <c r="G9868" s="9"/>
      <c r="J9868" s="11"/>
      <c r="U9868" s="9"/>
      <c r="X9868" s="9"/>
    </row>
    <row r="9869">
      <c r="D9869" s="9"/>
      <c r="G9869" s="9"/>
      <c r="J9869" s="11"/>
      <c r="U9869" s="9"/>
      <c r="X9869" s="9"/>
    </row>
    <row r="9870">
      <c r="D9870" s="9"/>
      <c r="G9870" s="9"/>
      <c r="J9870" s="11"/>
      <c r="U9870" s="9"/>
      <c r="X9870" s="9"/>
    </row>
    <row r="9871">
      <c r="D9871" s="9"/>
      <c r="G9871" s="9"/>
      <c r="J9871" s="11"/>
      <c r="U9871" s="9"/>
      <c r="X9871" s="9"/>
    </row>
    <row r="9872">
      <c r="D9872" s="9"/>
      <c r="G9872" s="9"/>
      <c r="J9872" s="11"/>
      <c r="U9872" s="9"/>
      <c r="X9872" s="9"/>
    </row>
    <row r="9873">
      <c r="D9873" s="9"/>
      <c r="G9873" s="9"/>
      <c r="J9873" s="11"/>
      <c r="U9873" s="9"/>
      <c r="X9873" s="9"/>
    </row>
    <row r="9874">
      <c r="D9874" s="9"/>
      <c r="G9874" s="9"/>
      <c r="J9874" s="11"/>
      <c r="U9874" s="9"/>
      <c r="X9874" s="9"/>
    </row>
    <row r="9875">
      <c r="D9875" s="9"/>
      <c r="G9875" s="9"/>
      <c r="J9875" s="11"/>
      <c r="U9875" s="9"/>
      <c r="X9875" s="9"/>
    </row>
    <row r="9876">
      <c r="D9876" s="9"/>
      <c r="G9876" s="9"/>
      <c r="J9876" s="11"/>
      <c r="U9876" s="9"/>
      <c r="X9876" s="9"/>
    </row>
    <row r="9877">
      <c r="D9877" s="9"/>
      <c r="G9877" s="9"/>
      <c r="J9877" s="11"/>
      <c r="U9877" s="9"/>
      <c r="X9877" s="9"/>
    </row>
    <row r="9878">
      <c r="D9878" s="9"/>
      <c r="G9878" s="9"/>
      <c r="J9878" s="11"/>
      <c r="U9878" s="9"/>
      <c r="X9878" s="9"/>
    </row>
    <row r="9879">
      <c r="D9879" s="9"/>
      <c r="G9879" s="9"/>
      <c r="J9879" s="11"/>
      <c r="U9879" s="9"/>
      <c r="X9879" s="9"/>
    </row>
    <row r="9880">
      <c r="D9880" s="9"/>
      <c r="G9880" s="9"/>
      <c r="J9880" s="11"/>
      <c r="U9880" s="9"/>
      <c r="X9880" s="9"/>
    </row>
    <row r="9881">
      <c r="D9881" s="9"/>
      <c r="G9881" s="9"/>
      <c r="J9881" s="11"/>
      <c r="U9881" s="9"/>
      <c r="X9881" s="9"/>
    </row>
    <row r="9882">
      <c r="D9882" s="9"/>
      <c r="G9882" s="9"/>
      <c r="J9882" s="11"/>
      <c r="U9882" s="9"/>
      <c r="X9882" s="9"/>
    </row>
    <row r="9883">
      <c r="D9883" s="9"/>
      <c r="G9883" s="9"/>
      <c r="J9883" s="11"/>
      <c r="U9883" s="9"/>
      <c r="X9883" s="9"/>
    </row>
    <row r="9884">
      <c r="D9884" s="9"/>
      <c r="G9884" s="9"/>
      <c r="J9884" s="11"/>
      <c r="U9884" s="9"/>
      <c r="X9884" s="9"/>
    </row>
    <row r="9885">
      <c r="D9885" s="9"/>
      <c r="G9885" s="9"/>
      <c r="J9885" s="11"/>
      <c r="U9885" s="9"/>
      <c r="X9885" s="9"/>
    </row>
    <row r="9886">
      <c r="D9886" s="9"/>
      <c r="G9886" s="9"/>
      <c r="J9886" s="11"/>
      <c r="U9886" s="9"/>
      <c r="X9886" s="9"/>
    </row>
    <row r="9887">
      <c r="D9887" s="9"/>
      <c r="G9887" s="9"/>
      <c r="J9887" s="11"/>
      <c r="U9887" s="9"/>
      <c r="X9887" s="9"/>
    </row>
    <row r="9888">
      <c r="D9888" s="9"/>
      <c r="G9888" s="9"/>
      <c r="J9888" s="11"/>
      <c r="U9888" s="9"/>
      <c r="X9888" s="9"/>
    </row>
    <row r="9889">
      <c r="D9889" s="9"/>
      <c r="G9889" s="9"/>
      <c r="J9889" s="11"/>
      <c r="U9889" s="9"/>
      <c r="X9889" s="9"/>
    </row>
    <row r="9890">
      <c r="D9890" s="9"/>
      <c r="G9890" s="9"/>
      <c r="J9890" s="11"/>
      <c r="U9890" s="9"/>
      <c r="X9890" s="9"/>
    </row>
    <row r="9891">
      <c r="D9891" s="9"/>
      <c r="G9891" s="9"/>
      <c r="J9891" s="11"/>
      <c r="U9891" s="9"/>
      <c r="X9891" s="9"/>
    </row>
    <row r="9892">
      <c r="D9892" s="9"/>
      <c r="G9892" s="9"/>
      <c r="J9892" s="11"/>
      <c r="U9892" s="9"/>
      <c r="X9892" s="9"/>
    </row>
    <row r="9893">
      <c r="D9893" s="9"/>
      <c r="G9893" s="9"/>
      <c r="J9893" s="11"/>
      <c r="U9893" s="9"/>
      <c r="X9893" s="9"/>
    </row>
    <row r="9894">
      <c r="D9894" s="9"/>
      <c r="G9894" s="9"/>
      <c r="J9894" s="11"/>
      <c r="U9894" s="9"/>
      <c r="X9894" s="9"/>
    </row>
    <row r="9895">
      <c r="D9895" s="9"/>
      <c r="G9895" s="9"/>
      <c r="J9895" s="11"/>
      <c r="U9895" s="9"/>
      <c r="X9895" s="9"/>
    </row>
    <row r="9896">
      <c r="D9896" s="9"/>
      <c r="G9896" s="9"/>
      <c r="J9896" s="11"/>
      <c r="U9896" s="9"/>
      <c r="X9896" s="9"/>
    </row>
    <row r="9897">
      <c r="D9897" s="9"/>
      <c r="G9897" s="9"/>
      <c r="J9897" s="11"/>
      <c r="U9897" s="9"/>
      <c r="X9897" s="9"/>
    </row>
    <row r="9898">
      <c r="D9898" s="9"/>
      <c r="G9898" s="9"/>
      <c r="J9898" s="11"/>
      <c r="U9898" s="9"/>
      <c r="X9898" s="9"/>
    </row>
    <row r="9899">
      <c r="D9899" s="9"/>
      <c r="G9899" s="9"/>
      <c r="J9899" s="11"/>
      <c r="U9899" s="9"/>
      <c r="X9899" s="9"/>
    </row>
    <row r="9900">
      <c r="D9900" s="9"/>
      <c r="G9900" s="9"/>
      <c r="J9900" s="11"/>
      <c r="U9900" s="9"/>
      <c r="X9900" s="9"/>
    </row>
    <row r="9901">
      <c r="D9901" s="9"/>
      <c r="G9901" s="9"/>
      <c r="J9901" s="11"/>
      <c r="U9901" s="9"/>
      <c r="X9901" s="9"/>
    </row>
    <row r="9902">
      <c r="D9902" s="9"/>
      <c r="G9902" s="9"/>
      <c r="J9902" s="11"/>
      <c r="U9902" s="9"/>
      <c r="X9902" s="9"/>
    </row>
    <row r="9903">
      <c r="D9903" s="9"/>
      <c r="G9903" s="9"/>
      <c r="J9903" s="11"/>
      <c r="U9903" s="9"/>
      <c r="X9903" s="9"/>
    </row>
    <row r="9904">
      <c r="D9904" s="9"/>
      <c r="G9904" s="9"/>
      <c r="J9904" s="11"/>
      <c r="U9904" s="9"/>
      <c r="X9904" s="9"/>
    </row>
    <row r="9905">
      <c r="D9905" s="9"/>
      <c r="G9905" s="9"/>
      <c r="J9905" s="11"/>
      <c r="U9905" s="9"/>
      <c r="X9905" s="9"/>
    </row>
    <row r="9906">
      <c r="D9906" s="9"/>
      <c r="G9906" s="9"/>
      <c r="J9906" s="11"/>
      <c r="U9906" s="9"/>
      <c r="X9906" s="9"/>
    </row>
    <row r="9907">
      <c r="D9907" s="9"/>
      <c r="G9907" s="9"/>
      <c r="J9907" s="11"/>
      <c r="U9907" s="9"/>
      <c r="X9907" s="9"/>
    </row>
    <row r="9908">
      <c r="D9908" s="9"/>
      <c r="G9908" s="9"/>
      <c r="J9908" s="11"/>
      <c r="U9908" s="9"/>
      <c r="X9908" s="9"/>
    </row>
    <row r="9909">
      <c r="D9909" s="9"/>
      <c r="G9909" s="9"/>
      <c r="J9909" s="11"/>
      <c r="U9909" s="9"/>
      <c r="X9909" s="9"/>
    </row>
    <row r="9910">
      <c r="D9910" s="9"/>
      <c r="G9910" s="9"/>
      <c r="J9910" s="11"/>
      <c r="U9910" s="9"/>
      <c r="X9910" s="9"/>
    </row>
    <row r="9911">
      <c r="D9911" s="9"/>
      <c r="G9911" s="9"/>
      <c r="J9911" s="11"/>
      <c r="U9911" s="9"/>
      <c r="X9911" s="9"/>
    </row>
    <row r="9912">
      <c r="D9912" s="9"/>
      <c r="G9912" s="9"/>
      <c r="J9912" s="11"/>
      <c r="U9912" s="9"/>
      <c r="X9912" s="9"/>
    </row>
    <row r="9913">
      <c r="D9913" s="9"/>
      <c r="G9913" s="9"/>
      <c r="J9913" s="11"/>
      <c r="U9913" s="9"/>
      <c r="X9913" s="9"/>
    </row>
    <row r="9914">
      <c r="D9914" s="9"/>
      <c r="G9914" s="9"/>
      <c r="J9914" s="11"/>
      <c r="U9914" s="9"/>
      <c r="X9914" s="9"/>
    </row>
    <row r="9915">
      <c r="D9915" s="9"/>
      <c r="G9915" s="9"/>
      <c r="J9915" s="11"/>
      <c r="U9915" s="9"/>
      <c r="X9915" s="9"/>
    </row>
    <row r="9916">
      <c r="D9916" s="9"/>
      <c r="G9916" s="9"/>
      <c r="J9916" s="11"/>
      <c r="U9916" s="9"/>
      <c r="X9916" s="9"/>
    </row>
    <row r="9917">
      <c r="D9917" s="9"/>
      <c r="G9917" s="9"/>
      <c r="J9917" s="11"/>
      <c r="U9917" s="9"/>
      <c r="X9917" s="9"/>
    </row>
    <row r="9918">
      <c r="D9918" s="9"/>
      <c r="G9918" s="9"/>
      <c r="J9918" s="11"/>
      <c r="U9918" s="9"/>
      <c r="X9918" s="9"/>
    </row>
    <row r="9919">
      <c r="D9919" s="9"/>
      <c r="G9919" s="9"/>
      <c r="J9919" s="11"/>
      <c r="U9919" s="9"/>
      <c r="X9919" s="9"/>
    </row>
    <row r="9920">
      <c r="D9920" s="9"/>
      <c r="G9920" s="9"/>
      <c r="J9920" s="11"/>
      <c r="U9920" s="9"/>
      <c r="X9920" s="9"/>
    </row>
    <row r="9921">
      <c r="D9921" s="9"/>
      <c r="G9921" s="9"/>
      <c r="J9921" s="11"/>
      <c r="U9921" s="9"/>
      <c r="X9921" s="9"/>
    </row>
    <row r="9922">
      <c r="D9922" s="9"/>
      <c r="G9922" s="9"/>
      <c r="J9922" s="11"/>
      <c r="U9922" s="9"/>
      <c r="X9922" s="9"/>
    </row>
    <row r="9923">
      <c r="D9923" s="9"/>
      <c r="G9923" s="9"/>
      <c r="J9923" s="11"/>
      <c r="U9923" s="9"/>
      <c r="X9923" s="9"/>
    </row>
    <row r="9924">
      <c r="D9924" s="9"/>
      <c r="G9924" s="9"/>
      <c r="J9924" s="11"/>
      <c r="U9924" s="9"/>
      <c r="X9924" s="9"/>
    </row>
    <row r="9925">
      <c r="D9925" s="9"/>
      <c r="G9925" s="9"/>
      <c r="J9925" s="11"/>
      <c r="U9925" s="9"/>
      <c r="X9925" s="9"/>
    </row>
    <row r="9926">
      <c r="D9926" s="9"/>
      <c r="G9926" s="9"/>
      <c r="J9926" s="11"/>
      <c r="U9926" s="9"/>
      <c r="X9926" s="9"/>
    </row>
    <row r="9927">
      <c r="D9927" s="9"/>
      <c r="G9927" s="9"/>
      <c r="J9927" s="11"/>
      <c r="U9927" s="9"/>
      <c r="X9927" s="9"/>
    </row>
    <row r="9928">
      <c r="D9928" s="9"/>
      <c r="G9928" s="9"/>
      <c r="J9928" s="11"/>
      <c r="U9928" s="9"/>
      <c r="X9928" s="9"/>
    </row>
    <row r="9929">
      <c r="D9929" s="9"/>
      <c r="G9929" s="9"/>
      <c r="J9929" s="11"/>
      <c r="U9929" s="9"/>
      <c r="X9929" s="9"/>
    </row>
    <row r="9930">
      <c r="D9930" s="9"/>
      <c r="G9930" s="9"/>
      <c r="J9930" s="11"/>
      <c r="U9930" s="9"/>
      <c r="X9930" s="9"/>
    </row>
    <row r="9931">
      <c r="D9931" s="9"/>
      <c r="G9931" s="9"/>
      <c r="J9931" s="11"/>
      <c r="U9931" s="9"/>
      <c r="X9931" s="9"/>
    </row>
    <row r="9932">
      <c r="D9932" s="9"/>
      <c r="G9932" s="9"/>
      <c r="J9932" s="11"/>
      <c r="U9932" s="9"/>
      <c r="X9932" s="9"/>
    </row>
    <row r="9933">
      <c r="D9933" s="9"/>
      <c r="G9933" s="9"/>
      <c r="J9933" s="11"/>
      <c r="U9933" s="9"/>
      <c r="X9933" s="9"/>
    </row>
    <row r="9934">
      <c r="D9934" s="9"/>
      <c r="G9934" s="9"/>
      <c r="J9934" s="11"/>
      <c r="U9934" s="9"/>
      <c r="X9934" s="9"/>
    </row>
    <row r="9935">
      <c r="D9935" s="9"/>
      <c r="G9935" s="9"/>
      <c r="J9935" s="11"/>
      <c r="U9935" s="9"/>
      <c r="X9935" s="9"/>
    </row>
    <row r="9936">
      <c r="D9936" s="9"/>
      <c r="G9936" s="9"/>
      <c r="J9936" s="11"/>
      <c r="U9936" s="9"/>
      <c r="X9936" s="9"/>
    </row>
    <row r="9937">
      <c r="D9937" s="9"/>
      <c r="G9937" s="9"/>
      <c r="J9937" s="11"/>
      <c r="U9937" s="9"/>
      <c r="X9937" s="9"/>
    </row>
    <row r="9938">
      <c r="D9938" s="9"/>
      <c r="G9938" s="9"/>
      <c r="J9938" s="11"/>
      <c r="U9938" s="9"/>
      <c r="X9938" s="9"/>
    </row>
    <row r="9939">
      <c r="D9939" s="9"/>
      <c r="G9939" s="9"/>
      <c r="J9939" s="11"/>
      <c r="U9939" s="9"/>
      <c r="X9939" s="9"/>
    </row>
    <row r="9940">
      <c r="D9940" s="9"/>
      <c r="G9940" s="9"/>
      <c r="J9940" s="11"/>
      <c r="U9940" s="9"/>
      <c r="X9940" s="9"/>
    </row>
    <row r="9941">
      <c r="D9941" s="9"/>
      <c r="G9941" s="9"/>
      <c r="J9941" s="11"/>
      <c r="U9941" s="9"/>
      <c r="X9941" s="9"/>
    </row>
    <row r="9942">
      <c r="D9942" s="9"/>
      <c r="G9942" s="9"/>
      <c r="J9942" s="11"/>
      <c r="U9942" s="9"/>
      <c r="X9942" s="9"/>
    </row>
    <row r="9943">
      <c r="D9943" s="9"/>
      <c r="G9943" s="9"/>
      <c r="J9943" s="11"/>
      <c r="U9943" s="9"/>
      <c r="X9943" s="9"/>
    </row>
    <row r="9944">
      <c r="D9944" s="9"/>
      <c r="G9944" s="9"/>
      <c r="J9944" s="11"/>
      <c r="U9944" s="9"/>
      <c r="X9944" s="9"/>
    </row>
    <row r="9945">
      <c r="D9945" s="9"/>
      <c r="G9945" s="9"/>
      <c r="J9945" s="11"/>
      <c r="U9945" s="9"/>
      <c r="X9945" s="9"/>
    </row>
    <row r="9946">
      <c r="D9946" s="9"/>
      <c r="G9946" s="9"/>
      <c r="J9946" s="11"/>
      <c r="U9946" s="9"/>
      <c r="X9946" s="9"/>
    </row>
    <row r="9947">
      <c r="D9947" s="9"/>
      <c r="G9947" s="9"/>
      <c r="J9947" s="11"/>
      <c r="U9947" s="9"/>
      <c r="X9947" s="9"/>
    </row>
    <row r="9948">
      <c r="D9948" s="9"/>
      <c r="G9948" s="9"/>
      <c r="J9948" s="11"/>
      <c r="U9948" s="9"/>
      <c r="X9948" s="9"/>
    </row>
    <row r="9949">
      <c r="D9949" s="9"/>
      <c r="G9949" s="9"/>
      <c r="J9949" s="11"/>
      <c r="U9949" s="9"/>
      <c r="X9949" s="9"/>
    </row>
    <row r="9950">
      <c r="D9950" s="9"/>
      <c r="G9950" s="9"/>
      <c r="J9950" s="11"/>
      <c r="U9950" s="9"/>
      <c r="X9950" s="9"/>
    </row>
    <row r="9951">
      <c r="D9951" s="9"/>
      <c r="G9951" s="9"/>
      <c r="J9951" s="11"/>
      <c r="U9951" s="9"/>
      <c r="X9951" s="9"/>
    </row>
    <row r="9952">
      <c r="D9952" s="9"/>
      <c r="G9952" s="9"/>
      <c r="J9952" s="11"/>
      <c r="U9952" s="9"/>
      <c r="X9952" s="9"/>
    </row>
    <row r="9953">
      <c r="D9953" s="9"/>
      <c r="G9953" s="9"/>
      <c r="J9953" s="11"/>
      <c r="U9953" s="9"/>
      <c r="X9953" s="9"/>
    </row>
    <row r="9954">
      <c r="D9954" s="9"/>
      <c r="G9954" s="9"/>
      <c r="J9954" s="11"/>
      <c r="U9954" s="9"/>
      <c r="X9954" s="9"/>
    </row>
    <row r="9955">
      <c r="D9955" s="9"/>
      <c r="G9955" s="9"/>
      <c r="J9955" s="11"/>
      <c r="U9955" s="9"/>
      <c r="X9955" s="9"/>
    </row>
    <row r="9956">
      <c r="D9956" s="9"/>
      <c r="G9956" s="9"/>
      <c r="J9956" s="11"/>
      <c r="U9956" s="9"/>
      <c r="X9956" s="9"/>
    </row>
    <row r="9957">
      <c r="D9957" s="9"/>
      <c r="G9957" s="9"/>
      <c r="J9957" s="11"/>
      <c r="U9957" s="9"/>
      <c r="X9957" s="9"/>
    </row>
    <row r="9958">
      <c r="D9958" s="9"/>
      <c r="G9958" s="9"/>
      <c r="J9958" s="11"/>
      <c r="U9958" s="9"/>
      <c r="X9958" s="9"/>
    </row>
    <row r="9959">
      <c r="D9959" s="9"/>
      <c r="G9959" s="9"/>
      <c r="J9959" s="11"/>
      <c r="U9959" s="9"/>
      <c r="X9959" s="9"/>
    </row>
    <row r="9960">
      <c r="D9960" s="9"/>
      <c r="G9960" s="9"/>
      <c r="J9960" s="11"/>
      <c r="U9960" s="9"/>
      <c r="X9960" s="9"/>
    </row>
    <row r="9961">
      <c r="D9961" s="9"/>
      <c r="G9961" s="9"/>
      <c r="J9961" s="11"/>
      <c r="U9961" s="9"/>
      <c r="X9961" s="9"/>
    </row>
    <row r="9962">
      <c r="D9962" s="9"/>
      <c r="G9962" s="9"/>
      <c r="J9962" s="11"/>
      <c r="U9962" s="9"/>
      <c r="X9962" s="9"/>
    </row>
    <row r="9963">
      <c r="D9963" s="9"/>
      <c r="G9963" s="9"/>
      <c r="J9963" s="11"/>
      <c r="U9963" s="9"/>
      <c r="X9963" s="9"/>
    </row>
    <row r="9964">
      <c r="D9964" s="9"/>
      <c r="G9964" s="9"/>
      <c r="J9964" s="11"/>
      <c r="U9964" s="9"/>
      <c r="X9964" s="9"/>
    </row>
    <row r="9965">
      <c r="D9965" s="9"/>
      <c r="G9965" s="9"/>
      <c r="J9965" s="11"/>
      <c r="U9965" s="9"/>
      <c r="X9965" s="9"/>
    </row>
    <row r="9966">
      <c r="D9966" s="9"/>
      <c r="G9966" s="9"/>
      <c r="J9966" s="11"/>
      <c r="U9966" s="9"/>
      <c r="X9966" s="9"/>
    </row>
    <row r="9967">
      <c r="D9967" s="9"/>
      <c r="G9967" s="9"/>
      <c r="J9967" s="11"/>
      <c r="U9967" s="9"/>
      <c r="X9967" s="9"/>
    </row>
    <row r="9968">
      <c r="D9968" s="9"/>
      <c r="G9968" s="9"/>
      <c r="J9968" s="11"/>
      <c r="U9968" s="9"/>
      <c r="X9968" s="9"/>
    </row>
    <row r="9969">
      <c r="D9969" s="9"/>
      <c r="G9969" s="9"/>
      <c r="J9969" s="11"/>
      <c r="U9969" s="9"/>
      <c r="X9969" s="9"/>
    </row>
    <row r="9970">
      <c r="D9970" s="9"/>
      <c r="G9970" s="9"/>
      <c r="J9970" s="11"/>
      <c r="U9970" s="9"/>
      <c r="X9970" s="9"/>
    </row>
    <row r="9971">
      <c r="D9971" s="9"/>
      <c r="G9971" s="9"/>
      <c r="J9971" s="11"/>
      <c r="U9971" s="9"/>
      <c r="X9971" s="9"/>
    </row>
    <row r="9972">
      <c r="D9972" s="9"/>
      <c r="G9972" s="9"/>
      <c r="J9972" s="11"/>
      <c r="U9972" s="9"/>
      <c r="X9972" s="9"/>
    </row>
    <row r="9973">
      <c r="D9973" s="9"/>
      <c r="G9973" s="9"/>
      <c r="J9973" s="11"/>
      <c r="U9973" s="9"/>
      <c r="X9973" s="9"/>
    </row>
    <row r="9974">
      <c r="D9974" s="9"/>
      <c r="G9974" s="9"/>
      <c r="J9974" s="11"/>
      <c r="U9974" s="9"/>
      <c r="X9974" s="9"/>
    </row>
    <row r="9975">
      <c r="D9975" s="9"/>
      <c r="G9975" s="9"/>
      <c r="J9975" s="11"/>
      <c r="U9975" s="9"/>
      <c r="X9975" s="9"/>
    </row>
    <row r="9976">
      <c r="D9976" s="9"/>
      <c r="G9976" s="9"/>
      <c r="J9976" s="11"/>
      <c r="U9976" s="9"/>
      <c r="X9976" s="9"/>
    </row>
    <row r="9977">
      <c r="D9977" s="9"/>
      <c r="G9977" s="9"/>
      <c r="J9977" s="11"/>
      <c r="U9977" s="9"/>
      <c r="X9977" s="9"/>
    </row>
    <row r="9978">
      <c r="D9978" s="9"/>
      <c r="G9978" s="9"/>
      <c r="J9978" s="11"/>
      <c r="U9978" s="9"/>
      <c r="X9978" s="9"/>
    </row>
    <row r="9979">
      <c r="D9979" s="9"/>
      <c r="G9979" s="9"/>
      <c r="J9979" s="11"/>
      <c r="U9979" s="9"/>
      <c r="X9979" s="9"/>
    </row>
    <row r="9980">
      <c r="D9980" s="9"/>
      <c r="G9980" s="9"/>
      <c r="J9980" s="11"/>
      <c r="U9980" s="9"/>
      <c r="X9980" s="9"/>
    </row>
    <row r="9981">
      <c r="D9981" s="9"/>
      <c r="G9981" s="9"/>
      <c r="J9981" s="11"/>
      <c r="U9981" s="9"/>
      <c r="X9981" s="9"/>
    </row>
    <row r="9982">
      <c r="D9982" s="9"/>
      <c r="G9982" s="9"/>
      <c r="J9982" s="11"/>
      <c r="U9982" s="9"/>
      <c r="X9982" s="9"/>
    </row>
    <row r="9983">
      <c r="D9983" s="9"/>
      <c r="G9983" s="9"/>
      <c r="J9983" s="11"/>
      <c r="U9983" s="9"/>
      <c r="X9983" s="9"/>
    </row>
    <row r="9984">
      <c r="D9984" s="9"/>
      <c r="G9984" s="9"/>
      <c r="J9984" s="11"/>
      <c r="U9984" s="9"/>
      <c r="X9984" s="9"/>
    </row>
    <row r="9985">
      <c r="D9985" s="9"/>
      <c r="G9985" s="9"/>
      <c r="J9985" s="11"/>
      <c r="U9985" s="9"/>
      <c r="X9985" s="9"/>
    </row>
    <row r="9986">
      <c r="D9986" s="9"/>
      <c r="G9986" s="9"/>
      <c r="J9986" s="11"/>
      <c r="U9986" s="9"/>
      <c r="X9986" s="9"/>
    </row>
    <row r="9987">
      <c r="D9987" s="9"/>
      <c r="G9987" s="9"/>
      <c r="J9987" s="11"/>
      <c r="U9987" s="9"/>
      <c r="X9987" s="9"/>
    </row>
    <row r="9988">
      <c r="D9988" s="9"/>
      <c r="G9988" s="9"/>
      <c r="J9988" s="11"/>
      <c r="U9988" s="9"/>
      <c r="X9988" s="9"/>
    </row>
    <row r="9989">
      <c r="D9989" s="9"/>
      <c r="G9989" s="9"/>
      <c r="J9989" s="11"/>
      <c r="U9989" s="9"/>
      <c r="X9989" s="9"/>
    </row>
    <row r="9990">
      <c r="D9990" s="9"/>
      <c r="G9990" s="9"/>
      <c r="J9990" s="11"/>
      <c r="U9990" s="9"/>
      <c r="X9990" s="9"/>
    </row>
    <row r="9991">
      <c r="D9991" s="9"/>
      <c r="G9991" s="9"/>
      <c r="J9991" s="11"/>
      <c r="U9991" s="9"/>
      <c r="X9991" s="9"/>
    </row>
    <row r="9992">
      <c r="D9992" s="9"/>
      <c r="G9992" s="9"/>
      <c r="J9992" s="11"/>
      <c r="U9992" s="9"/>
      <c r="X9992" s="9"/>
    </row>
    <row r="9993">
      <c r="D9993" s="9"/>
      <c r="G9993" s="9"/>
      <c r="J9993" s="11"/>
      <c r="U9993" s="9"/>
      <c r="X9993" s="9"/>
    </row>
    <row r="9994">
      <c r="D9994" s="9"/>
      <c r="G9994" s="9"/>
      <c r="J9994" s="11"/>
      <c r="U9994" s="9"/>
      <c r="X9994" s="9"/>
    </row>
    <row r="9995">
      <c r="D9995" s="9"/>
      <c r="G9995" s="9"/>
      <c r="J9995" s="11"/>
      <c r="U9995" s="9"/>
      <c r="X9995" s="9"/>
    </row>
    <row r="9996">
      <c r="D9996" s="9"/>
      <c r="G9996" s="9"/>
      <c r="J9996" s="11"/>
      <c r="U9996" s="9"/>
      <c r="X9996" s="9"/>
    </row>
    <row r="9997">
      <c r="D9997" s="9"/>
      <c r="G9997" s="9"/>
      <c r="J9997" s="11"/>
      <c r="U9997" s="9"/>
      <c r="X9997" s="9"/>
    </row>
    <row r="9998">
      <c r="D9998" s="9"/>
      <c r="G9998" s="9"/>
      <c r="J9998" s="11"/>
      <c r="U9998" s="9"/>
      <c r="X9998" s="9"/>
    </row>
    <row r="9999">
      <c r="D9999" s="9"/>
      <c r="G9999" s="9"/>
      <c r="J9999" s="11"/>
      <c r="U9999" s="9"/>
      <c r="X9999" s="9"/>
    </row>
    <row r="10000">
      <c r="D10000" s="9"/>
      <c r="G10000" s="9"/>
      <c r="J10000" s="11"/>
      <c r="U10000" s="9"/>
      <c r="X10000" s="9"/>
    </row>
    <row r="10001">
      <c r="D10001" s="9"/>
      <c r="G10001" s="9"/>
      <c r="J10001" s="11"/>
      <c r="U10001" s="9"/>
      <c r="X10001" s="9"/>
    </row>
    <row r="10002">
      <c r="D10002" s="9"/>
      <c r="G10002" s="9"/>
      <c r="J10002" s="11"/>
      <c r="U10002" s="9"/>
      <c r="X10002" s="9"/>
    </row>
    <row r="10003">
      <c r="D10003" s="9"/>
      <c r="G10003" s="9"/>
      <c r="J10003" s="11"/>
      <c r="U10003" s="9"/>
      <c r="X10003" s="9"/>
    </row>
    <row r="10004">
      <c r="D10004" s="9"/>
      <c r="G10004" s="9"/>
      <c r="J10004" s="11"/>
      <c r="U10004" s="9"/>
      <c r="X10004" s="9"/>
    </row>
    <row r="10005">
      <c r="D10005" s="9"/>
      <c r="G10005" s="9"/>
      <c r="J10005" s="11"/>
      <c r="U10005" s="9"/>
      <c r="X10005" s="9"/>
    </row>
    <row r="10006">
      <c r="D10006" s="9"/>
      <c r="G10006" s="9"/>
      <c r="J10006" s="11"/>
      <c r="U10006" s="9"/>
      <c r="X10006" s="9"/>
    </row>
    <row r="10007">
      <c r="D10007" s="9"/>
      <c r="G10007" s="9"/>
      <c r="J10007" s="11"/>
      <c r="U10007" s="9"/>
      <c r="X10007" s="9"/>
    </row>
    <row r="10008">
      <c r="D10008" s="9"/>
      <c r="G10008" s="9"/>
      <c r="J10008" s="11"/>
      <c r="U10008" s="9"/>
      <c r="X10008" s="9"/>
    </row>
    <row r="10009">
      <c r="D10009" s="9"/>
      <c r="G10009" s="9"/>
      <c r="J10009" s="11"/>
      <c r="U10009" s="9"/>
      <c r="X10009" s="9"/>
    </row>
    <row r="10010">
      <c r="D10010" s="9"/>
      <c r="G10010" s="9"/>
      <c r="J10010" s="11"/>
      <c r="U10010" s="9"/>
      <c r="X10010" s="9"/>
    </row>
    <row r="10011">
      <c r="D10011" s="9"/>
      <c r="G10011" s="9"/>
      <c r="J10011" s="11"/>
      <c r="U10011" s="9"/>
      <c r="X10011" s="9"/>
    </row>
    <row r="10012">
      <c r="D10012" s="9"/>
      <c r="G10012" s="9"/>
      <c r="J10012" s="11"/>
      <c r="U10012" s="9"/>
      <c r="X10012" s="9"/>
    </row>
    <row r="10013">
      <c r="D10013" s="9"/>
      <c r="G10013" s="9"/>
      <c r="J10013" s="11"/>
      <c r="U10013" s="9"/>
      <c r="X10013" s="9"/>
    </row>
    <row r="10014">
      <c r="D10014" s="9"/>
      <c r="G10014" s="9"/>
      <c r="J10014" s="11"/>
      <c r="U10014" s="9"/>
      <c r="X10014" s="9"/>
    </row>
    <row r="10015">
      <c r="D10015" s="9"/>
      <c r="G10015" s="9"/>
      <c r="J10015" s="11"/>
      <c r="U10015" s="9"/>
      <c r="X10015" s="9"/>
    </row>
    <row r="10016">
      <c r="D10016" s="9"/>
      <c r="G10016" s="9"/>
      <c r="J10016" s="11"/>
      <c r="U10016" s="9"/>
      <c r="X10016" s="9"/>
    </row>
    <row r="10017">
      <c r="D10017" s="9"/>
      <c r="G10017" s="9"/>
      <c r="J10017" s="11"/>
      <c r="U10017" s="9"/>
      <c r="X10017" s="9"/>
    </row>
    <row r="10018">
      <c r="D10018" s="9"/>
      <c r="G10018" s="9"/>
      <c r="J10018" s="11"/>
      <c r="U10018" s="9"/>
      <c r="X10018" s="9"/>
    </row>
    <row r="10019">
      <c r="D10019" s="9"/>
      <c r="G10019" s="9"/>
      <c r="J10019" s="11"/>
      <c r="U10019" s="9"/>
      <c r="X10019" s="9"/>
    </row>
    <row r="10020">
      <c r="D10020" s="9"/>
      <c r="G10020" s="9"/>
      <c r="J10020" s="11"/>
      <c r="U10020" s="9"/>
      <c r="X10020" s="9"/>
    </row>
    <row r="10021">
      <c r="D10021" s="9"/>
      <c r="G10021" s="9"/>
      <c r="J10021" s="11"/>
      <c r="U10021" s="9"/>
      <c r="X10021" s="9"/>
    </row>
    <row r="10022">
      <c r="D10022" s="9"/>
      <c r="G10022" s="9"/>
      <c r="J10022" s="11"/>
      <c r="U10022" s="9"/>
      <c r="X10022" s="9"/>
    </row>
    <row r="10023">
      <c r="D10023" s="9"/>
      <c r="G10023" s="9"/>
      <c r="J10023" s="11"/>
      <c r="U10023" s="9"/>
      <c r="X10023" s="9"/>
    </row>
    <row r="10024">
      <c r="D10024" s="9"/>
      <c r="G10024" s="9"/>
      <c r="J10024" s="11"/>
      <c r="U10024" s="9"/>
      <c r="X10024" s="9"/>
    </row>
    <row r="10025">
      <c r="D10025" s="9"/>
      <c r="G10025" s="9"/>
      <c r="J10025" s="11"/>
      <c r="U10025" s="9"/>
      <c r="X10025" s="9"/>
    </row>
    <row r="10026">
      <c r="D10026" s="9"/>
      <c r="G10026" s="9"/>
      <c r="J10026" s="11"/>
      <c r="U10026" s="9"/>
      <c r="X10026" s="9"/>
    </row>
    <row r="10027">
      <c r="D10027" s="9"/>
      <c r="G10027" s="9"/>
      <c r="J10027" s="11"/>
      <c r="U10027" s="9"/>
      <c r="X10027" s="9"/>
    </row>
    <row r="10028">
      <c r="D10028" s="9"/>
      <c r="G10028" s="9"/>
      <c r="J10028" s="11"/>
      <c r="U10028" s="9"/>
      <c r="X10028" s="9"/>
    </row>
    <row r="10029">
      <c r="D10029" s="9"/>
      <c r="G10029" s="9"/>
      <c r="J10029" s="11"/>
      <c r="U10029" s="9"/>
      <c r="X10029" s="9"/>
    </row>
    <row r="10030">
      <c r="D10030" s="9"/>
      <c r="G10030" s="9"/>
      <c r="J10030" s="11"/>
      <c r="U10030" s="9"/>
      <c r="X10030" s="9"/>
    </row>
    <row r="10031">
      <c r="D10031" s="9"/>
      <c r="G10031" s="9"/>
      <c r="J10031" s="11"/>
      <c r="U10031" s="9"/>
      <c r="X10031" s="9"/>
    </row>
    <row r="10032">
      <c r="D10032" s="9"/>
      <c r="G10032" s="9"/>
      <c r="J10032" s="11"/>
      <c r="U10032" s="9"/>
      <c r="X10032" s="9"/>
    </row>
    <row r="10033">
      <c r="D10033" s="9"/>
      <c r="G10033" s="9"/>
      <c r="J10033" s="11"/>
      <c r="U10033" s="9"/>
      <c r="X10033" s="9"/>
    </row>
    <row r="10034">
      <c r="D10034" s="9"/>
      <c r="G10034" s="9"/>
      <c r="J10034" s="11"/>
      <c r="U10034" s="9"/>
      <c r="X10034" s="9"/>
    </row>
    <row r="10035">
      <c r="D10035" s="9"/>
      <c r="G10035" s="9"/>
      <c r="J10035" s="11"/>
      <c r="U10035" s="9"/>
      <c r="X10035" s="9"/>
    </row>
    <row r="10036">
      <c r="D10036" s="9"/>
      <c r="G10036" s="9"/>
      <c r="J10036" s="11"/>
      <c r="U10036" s="9"/>
      <c r="X10036" s="9"/>
    </row>
    <row r="10037">
      <c r="D10037" s="9"/>
      <c r="G10037" s="9"/>
      <c r="J10037" s="11"/>
      <c r="U10037" s="9"/>
      <c r="X10037" s="9"/>
    </row>
    <row r="10038">
      <c r="D10038" s="9"/>
      <c r="G10038" s="9"/>
      <c r="J10038" s="11"/>
      <c r="U10038" s="9"/>
      <c r="X10038" s="9"/>
    </row>
    <row r="10039">
      <c r="D10039" s="9"/>
      <c r="G10039" s="9"/>
      <c r="J10039" s="11"/>
      <c r="U10039" s="9"/>
      <c r="X10039" s="9"/>
    </row>
    <row r="10040">
      <c r="D10040" s="9"/>
      <c r="G10040" s="9"/>
      <c r="J10040" s="11"/>
      <c r="U10040" s="9"/>
      <c r="X10040" s="9"/>
    </row>
    <row r="10041">
      <c r="D10041" s="9"/>
      <c r="G10041" s="9"/>
      <c r="J10041" s="11"/>
      <c r="U10041" s="9"/>
      <c r="X10041" s="9"/>
    </row>
    <row r="10042">
      <c r="D10042" s="9"/>
      <c r="G10042" s="9"/>
      <c r="J10042" s="11"/>
      <c r="U10042" s="9"/>
      <c r="X10042" s="9"/>
    </row>
    <row r="10043">
      <c r="D10043" s="9"/>
      <c r="G10043" s="9"/>
      <c r="J10043" s="11"/>
      <c r="U10043" s="9"/>
      <c r="X10043" s="9"/>
    </row>
    <row r="10044">
      <c r="D10044" s="9"/>
      <c r="G10044" s="9"/>
      <c r="J10044" s="11"/>
      <c r="U10044" s="9"/>
      <c r="X10044" s="9"/>
    </row>
    <row r="10045">
      <c r="D10045" s="9"/>
      <c r="G10045" s="9"/>
      <c r="J10045" s="11"/>
      <c r="U10045" s="9"/>
      <c r="X10045" s="9"/>
    </row>
    <row r="10046">
      <c r="D10046" s="9"/>
      <c r="G10046" s="9"/>
      <c r="J10046" s="11"/>
      <c r="U10046" s="9"/>
      <c r="X10046" s="9"/>
    </row>
    <row r="10047">
      <c r="D10047" s="9"/>
      <c r="G10047" s="9"/>
      <c r="J10047" s="11"/>
      <c r="U10047" s="9"/>
      <c r="X10047" s="9"/>
    </row>
    <row r="10048">
      <c r="D10048" s="9"/>
      <c r="G10048" s="9"/>
      <c r="J10048" s="11"/>
      <c r="U10048" s="9"/>
      <c r="X10048" s="9"/>
    </row>
    <row r="10049">
      <c r="D10049" s="9"/>
      <c r="G10049" s="9"/>
      <c r="J10049" s="11"/>
      <c r="U10049" s="9"/>
      <c r="X10049" s="9"/>
    </row>
    <row r="10050">
      <c r="D10050" s="9"/>
      <c r="G10050" s="9"/>
      <c r="J10050" s="11"/>
      <c r="U10050" s="9"/>
      <c r="X10050" s="9"/>
    </row>
    <row r="10051">
      <c r="D10051" s="9"/>
      <c r="G10051" s="9"/>
      <c r="J10051" s="11"/>
      <c r="U10051" s="9"/>
      <c r="X10051" s="9"/>
    </row>
    <row r="10052">
      <c r="D10052" s="9"/>
      <c r="G10052" s="9"/>
      <c r="J10052" s="11"/>
      <c r="U10052" s="9"/>
      <c r="X10052" s="9"/>
    </row>
    <row r="10053">
      <c r="D10053" s="9"/>
      <c r="G10053" s="9"/>
      <c r="J10053" s="11"/>
      <c r="U10053" s="9"/>
      <c r="X10053" s="9"/>
    </row>
    <row r="10054">
      <c r="D10054" s="9"/>
      <c r="G10054" s="9"/>
      <c r="J10054" s="11"/>
      <c r="U10054" s="9"/>
      <c r="X10054" s="9"/>
    </row>
    <row r="10055">
      <c r="D10055" s="9"/>
      <c r="G10055" s="9"/>
      <c r="J10055" s="11"/>
      <c r="U10055" s="9"/>
      <c r="X10055" s="9"/>
    </row>
    <row r="10056">
      <c r="D10056" s="9"/>
      <c r="G10056" s="9"/>
      <c r="J10056" s="11"/>
      <c r="U10056" s="9"/>
      <c r="X10056" s="9"/>
    </row>
    <row r="10057">
      <c r="D10057" s="9"/>
      <c r="G10057" s="9"/>
      <c r="J10057" s="11"/>
      <c r="U10057" s="9"/>
      <c r="X10057" s="9"/>
    </row>
    <row r="10058">
      <c r="D10058" s="9"/>
      <c r="G10058" s="9"/>
      <c r="J10058" s="11"/>
      <c r="U10058" s="9"/>
      <c r="X10058" s="9"/>
    </row>
    <row r="10059">
      <c r="D10059" s="9"/>
      <c r="G10059" s="9"/>
      <c r="J10059" s="11"/>
      <c r="U10059" s="9"/>
      <c r="X10059" s="9"/>
    </row>
    <row r="10060">
      <c r="D10060" s="9"/>
      <c r="G10060" s="9"/>
      <c r="J10060" s="11"/>
      <c r="U10060" s="9"/>
      <c r="X10060" s="9"/>
    </row>
    <row r="10061">
      <c r="D10061" s="9"/>
      <c r="G10061" s="9"/>
      <c r="J10061" s="11"/>
      <c r="U10061" s="9"/>
      <c r="X10061" s="9"/>
    </row>
    <row r="10062">
      <c r="D10062" s="9"/>
      <c r="G10062" s="9"/>
      <c r="J10062" s="11"/>
      <c r="U10062" s="9"/>
      <c r="X10062" s="9"/>
    </row>
    <row r="10063">
      <c r="D10063" s="9"/>
      <c r="G10063" s="9"/>
      <c r="J10063" s="11"/>
      <c r="U10063" s="9"/>
      <c r="X10063" s="9"/>
    </row>
    <row r="10064">
      <c r="D10064" s="9"/>
      <c r="G10064" s="9"/>
      <c r="J10064" s="11"/>
      <c r="U10064" s="9"/>
      <c r="X10064" s="9"/>
    </row>
    <row r="10065">
      <c r="D10065" s="9"/>
      <c r="G10065" s="9"/>
      <c r="J10065" s="11"/>
      <c r="U10065" s="9"/>
      <c r="X10065" s="9"/>
    </row>
    <row r="10066">
      <c r="D10066" s="9"/>
      <c r="G10066" s="9"/>
      <c r="J10066" s="11"/>
      <c r="U10066" s="9"/>
      <c r="X10066" s="9"/>
    </row>
    <row r="10067">
      <c r="D10067" s="9"/>
      <c r="G10067" s="9"/>
      <c r="J10067" s="11"/>
      <c r="U10067" s="9"/>
      <c r="X10067" s="9"/>
    </row>
    <row r="10068">
      <c r="D10068" s="9"/>
      <c r="G10068" s="9"/>
      <c r="J10068" s="11"/>
      <c r="U10068" s="9"/>
      <c r="X10068" s="9"/>
    </row>
    <row r="10069">
      <c r="D10069" s="9"/>
      <c r="G10069" s="9"/>
      <c r="J10069" s="11"/>
      <c r="U10069" s="9"/>
      <c r="X10069" s="9"/>
    </row>
    <row r="10070">
      <c r="D10070" s="9"/>
      <c r="G10070" s="9"/>
      <c r="J10070" s="11"/>
      <c r="U10070" s="9"/>
      <c r="X10070" s="9"/>
    </row>
    <row r="10071">
      <c r="D10071" s="9"/>
      <c r="G10071" s="9"/>
      <c r="J10071" s="11"/>
      <c r="U10071" s="9"/>
      <c r="X10071" s="9"/>
    </row>
    <row r="10072">
      <c r="D10072" s="9"/>
      <c r="G10072" s="9"/>
      <c r="J10072" s="11"/>
      <c r="U10072" s="9"/>
      <c r="X10072" s="9"/>
    </row>
    <row r="10073">
      <c r="D10073" s="9"/>
      <c r="G10073" s="9"/>
      <c r="J10073" s="11"/>
      <c r="U10073" s="9"/>
      <c r="X10073" s="9"/>
    </row>
    <row r="10074">
      <c r="D10074" s="9"/>
      <c r="G10074" s="9"/>
      <c r="J10074" s="11"/>
      <c r="U10074" s="9"/>
      <c r="X10074" s="9"/>
    </row>
    <row r="10075">
      <c r="D10075" s="9"/>
      <c r="G10075" s="9"/>
      <c r="J10075" s="11"/>
      <c r="U10075" s="9"/>
      <c r="X10075" s="9"/>
    </row>
    <row r="10076">
      <c r="D10076" s="9"/>
      <c r="G10076" s="9"/>
      <c r="J10076" s="11"/>
      <c r="U10076" s="9"/>
      <c r="X10076" s="9"/>
    </row>
    <row r="10077">
      <c r="D10077" s="9"/>
      <c r="G10077" s="9"/>
      <c r="J10077" s="11"/>
      <c r="U10077" s="9"/>
      <c r="X10077" s="9"/>
    </row>
    <row r="10078">
      <c r="D10078" s="9"/>
      <c r="G10078" s="9"/>
      <c r="J10078" s="11"/>
      <c r="U10078" s="9"/>
      <c r="X10078" s="9"/>
    </row>
    <row r="10079">
      <c r="D10079" s="9"/>
      <c r="G10079" s="9"/>
      <c r="J10079" s="11"/>
      <c r="U10079" s="9"/>
      <c r="X10079" s="9"/>
    </row>
    <row r="10080">
      <c r="D10080" s="9"/>
      <c r="G10080" s="9"/>
      <c r="J10080" s="11"/>
      <c r="U10080" s="9"/>
      <c r="X10080" s="9"/>
    </row>
    <row r="10081">
      <c r="D10081" s="9"/>
      <c r="G10081" s="9"/>
      <c r="J10081" s="11"/>
      <c r="U10081" s="9"/>
      <c r="X10081" s="9"/>
    </row>
    <row r="10082">
      <c r="D10082" s="9"/>
      <c r="G10082" s="9"/>
      <c r="J10082" s="11"/>
      <c r="U10082" s="9"/>
      <c r="X10082" s="9"/>
    </row>
    <row r="10083">
      <c r="D10083" s="9"/>
      <c r="G10083" s="9"/>
      <c r="J10083" s="11"/>
      <c r="U10083" s="9"/>
      <c r="X10083" s="9"/>
    </row>
    <row r="10084">
      <c r="D10084" s="9"/>
      <c r="G10084" s="9"/>
      <c r="J10084" s="11"/>
      <c r="U10084" s="9"/>
      <c r="X10084" s="9"/>
    </row>
    <row r="10085">
      <c r="D10085" s="9"/>
      <c r="G10085" s="9"/>
      <c r="J10085" s="11"/>
      <c r="U10085" s="9"/>
      <c r="X10085" s="9"/>
    </row>
    <row r="10086">
      <c r="D10086" s="9"/>
      <c r="G10086" s="9"/>
      <c r="J10086" s="11"/>
      <c r="U10086" s="9"/>
      <c r="X10086" s="9"/>
    </row>
    <row r="10087">
      <c r="D10087" s="9"/>
      <c r="G10087" s="9"/>
      <c r="J10087" s="11"/>
      <c r="U10087" s="9"/>
      <c r="X10087" s="9"/>
    </row>
    <row r="10088">
      <c r="D10088" s="9"/>
      <c r="G10088" s="9"/>
      <c r="J10088" s="11"/>
      <c r="U10088" s="9"/>
      <c r="X10088" s="9"/>
    </row>
    <row r="10089">
      <c r="D10089" s="9"/>
      <c r="G10089" s="9"/>
      <c r="J10089" s="11"/>
      <c r="U10089" s="9"/>
      <c r="X10089" s="9"/>
    </row>
    <row r="10090">
      <c r="D10090" s="9"/>
      <c r="G10090" s="9"/>
      <c r="J10090" s="11"/>
      <c r="U10090" s="9"/>
      <c r="X10090" s="9"/>
    </row>
    <row r="10091">
      <c r="D10091" s="9"/>
      <c r="G10091" s="9"/>
      <c r="J10091" s="11"/>
      <c r="U10091" s="9"/>
      <c r="X10091" s="9"/>
    </row>
    <row r="10092">
      <c r="D10092" s="9"/>
      <c r="G10092" s="9"/>
      <c r="J10092" s="11"/>
      <c r="U10092" s="9"/>
      <c r="X10092" s="9"/>
    </row>
    <row r="10093">
      <c r="D10093" s="9"/>
      <c r="G10093" s="9"/>
      <c r="J10093" s="11"/>
      <c r="U10093" s="9"/>
      <c r="X10093" s="9"/>
    </row>
    <row r="10094">
      <c r="D10094" s="9"/>
      <c r="G10094" s="9"/>
      <c r="J10094" s="11"/>
      <c r="U10094" s="9"/>
      <c r="X10094" s="9"/>
    </row>
    <row r="10095">
      <c r="D10095" s="9"/>
      <c r="G10095" s="9"/>
      <c r="J10095" s="11"/>
      <c r="U10095" s="9"/>
      <c r="X10095" s="9"/>
    </row>
    <row r="10096">
      <c r="D10096" s="9"/>
      <c r="G10096" s="9"/>
      <c r="J10096" s="11"/>
      <c r="U10096" s="9"/>
      <c r="X10096" s="9"/>
    </row>
    <row r="10097">
      <c r="D10097" s="9"/>
      <c r="G10097" s="9"/>
      <c r="J10097" s="11"/>
      <c r="U10097" s="9"/>
      <c r="X10097" s="9"/>
    </row>
    <row r="10098">
      <c r="D10098" s="9"/>
      <c r="G10098" s="9"/>
      <c r="J10098" s="11"/>
      <c r="U10098" s="9"/>
      <c r="X10098" s="9"/>
    </row>
    <row r="10099">
      <c r="D10099" s="9"/>
      <c r="G10099" s="9"/>
      <c r="J10099" s="11"/>
      <c r="U10099" s="9"/>
      <c r="X10099" s="9"/>
    </row>
    <row r="10100">
      <c r="D10100" s="9"/>
      <c r="G10100" s="9"/>
      <c r="J10100" s="11"/>
      <c r="U10100" s="9"/>
      <c r="X10100" s="9"/>
    </row>
    <row r="10101">
      <c r="D10101" s="9"/>
      <c r="G10101" s="9"/>
      <c r="J10101" s="11"/>
      <c r="U10101" s="9"/>
      <c r="X10101" s="9"/>
    </row>
    <row r="10102">
      <c r="D10102" s="9"/>
      <c r="G10102" s="9"/>
      <c r="J10102" s="11"/>
      <c r="U10102" s="9"/>
      <c r="X10102" s="9"/>
    </row>
    <row r="10103">
      <c r="D10103" s="9"/>
      <c r="G10103" s="9"/>
      <c r="J10103" s="11"/>
      <c r="U10103" s="9"/>
      <c r="X10103" s="9"/>
    </row>
    <row r="10104">
      <c r="D10104" s="9"/>
      <c r="G10104" s="9"/>
      <c r="J10104" s="11"/>
      <c r="U10104" s="9"/>
      <c r="X10104" s="9"/>
    </row>
    <row r="10105">
      <c r="D10105" s="9"/>
      <c r="G10105" s="9"/>
      <c r="J10105" s="11"/>
      <c r="U10105" s="9"/>
      <c r="X10105" s="9"/>
    </row>
    <row r="10106">
      <c r="D10106" s="9"/>
      <c r="G10106" s="9"/>
      <c r="J10106" s="11"/>
      <c r="U10106" s="9"/>
      <c r="X10106" s="9"/>
    </row>
    <row r="10107">
      <c r="D10107" s="9"/>
      <c r="G10107" s="9"/>
      <c r="J10107" s="11"/>
      <c r="U10107" s="9"/>
      <c r="X10107" s="9"/>
    </row>
    <row r="10108">
      <c r="D10108" s="9"/>
      <c r="G10108" s="9"/>
      <c r="J10108" s="11"/>
      <c r="U10108" s="9"/>
      <c r="X10108" s="9"/>
    </row>
    <row r="10109">
      <c r="D10109" s="9"/>
      <c r="G10109" s="9"/>
      <c r="J10109" s="11"/>
      <c r="U10109" s="9"/>
      <c r="X10109" s="9"/>
    </row>
    <row r="10110">
      <c r="D10110" s="9"/>
      <c r="G10110" s="9"/>
      <c r="J10110" s="11"/>
      <c r="U10110" s="9"/>
      <c r="X10110" s="9"/>
    </row>
    <row r="10111">
      <c r="D10111" s="9"/>
      <c r="G10111" s="9"/>
      <c r="J10111" s="11"/>
      <c r="U10111" s="9"/>
      <c r="X10111" s="9"/>
    </row>
    <row r="10112">
      <c r="D10112" s="9"/>
      <c r="G10112" s="9"/>
      <c r="J10112" s="11"/>
      <c r="U10112" s="9"/>
      <c r="X10112" s="9"/>
    </row>
    <row r="10113">
      <c r="D10113" s="9"/>
      <c r="G10113" s="9"/>
      <c r="J10113" s="11"/>
      <c r="U10113" s="9"/>
      <c r="X10113" s="9"/>
    </row>
    <row r="10114">
      <c r="D10114" s="9"/>
      <c r="G10114" s="9"/>
      <c r="J10114" s="11"/>
      <c r="U10114" s="9"/>
      <c r="X10114" s="9"/>
    </row>
    <row r="10115">
      <c r="D10115" s="9"/>
      <c r="G10115" s="9"/>
      <c r="J10115" s="11"/>
      <c r="U10115" s="9"/>
      <c r="X10115" s="9"/>
    </row>
    <row r="10116">
      <c r="D10116" s="9"/>
      <c r="G10116" s="9"/>
      <c r="J10116" s="11"/>
      <c r="U10116" s="9"/>
      <c r="X10116" s="9"/>
    </row>
    <row r="10117">
      <c r="D10117" s="9"/>
      <c r="G10117" s="9"/>
      <c r="J10117" s="11"/>
      <c r="U10117" s="9"/>
      <c r="X10117" s="9"/>
    </row>
    <row r="10118">
      <c r="D10118" s="9"/>
      <c r="G10118" s="9"/>
      <c r="J10118" s="11"/>
      <c r="U10118" s="9"/>
      <c r="X10118" s="9"/>
    </row>
    <row r="10119">
      <c r="D10119" s="9"/>
      <c r="G10119" s="9"/>
      <c r="J10119" s="11"/>
      <c r="U10119" s="9"/>
      <c r="X10119" s="9"/>
    </row>
    <row r="10120">
      <c r="D10120" s="9"/>
      <c r="G10120" s="9"/>
      <c r="J10120" s="11"/>
      <c r="U10120" s="9"/>
      <c r="X10120" s="9"/>
    </row>
    <row r="10121">
      <c r="D10121" s="9"/>
      <c r="G10121" s="9"/>
      <c r="J10121" s="11"/>
      <c r="U10121" s="9"/>
      <c r="X10121" s="9"/>
    </row>
    <row r="10122">
      <c r="D10122" s="9"/>
      <c r="G10122" s="9"/>
      <c r="J10122" s="11"/>
      <c r="U10122" s="9"/>
      <c r="X10122" s="9"/>
    </row>
    <row r="10123">
      <c r="D10123" s="9"/>
      <c r="G10123" s="9"/>
      <c r="J10123" s="11"/>
      <c r="U10123" s="9"/>
      <c r="X10123" s="9"/>
    </row>
    <row r="10124">
      <c r="D10124" s="9"/>
      <c r="G10124" s="9"/>
      <c r="J10124" s="11"/>
      <c r="U10124" s="9"/>
      <c r="X10124" s="9"/>
    </row>
    <row r="10125">
      <c r="D10125" s="9"/>
      <c r="G10125" s="9"/>
      <c r="J10125" s="11"/>
      <c r="U10125" s="9"/>
      <c r="X10125" s="9"/>
    </row>
    <row r="10126">
      <c r="D10126" s="9"/>
      <c r="G10126" s="9"/>
      <c r="J10126" s="11"/>
      <c r="U10126" s="9"/>
      <c r="X10126" s="9"/>
    </row>
    <row r="10127">
      <c r="D10127" s="9"/>
      <c r="G10127" s="9"/>
      <c r="J10127" s="11"/>
      <c r="U10127" s="9"/>
      <c r="X10127" s="9"/>
    </row>
    <row r="10128">
      <c r="D10128" s="9"/>
      <c r="G10128" s="9"/>
      <c r="J10128" s="11"/>
      <c r="U10128" s="9"/>
      <c r="X10128" s="9"/>
    </row>
    <row r="10129">
      <c r="D10129" s="9"/>
      <c r="G10129" s="9"/>
      <c r="J10129" s="11"/>
      <c r="U10129" s="9"/>
      <c r="X10129" s="9"/>
    </row>
    <row r="10130">
      <c r="D10130" s="9"/>
      <c r="G10130" s="9"/>
      <c r="J10130" s="11"/>
      <c r="U10130" s="9"/>
      <c r="X10130" s="9"/>
    </row>
    <row r="10131">
      <c r="D10131" s="9"/>
      <c r="G10131" s="9"/>
      <c r="J10131" s="11"/>
      <c r="U10131" s="9"/>
      <c r="X10131" s="9"/>
    </row>
    <row r="10132">
      <c r="D10132" s="9"/>
      <c r="G10132" s="9"/>
      <c r="J10132" s="11"/>
      <c r="U10132" s="9"/>
      <c r="X10132" s="9"/>
    </row>
    <row r="10133">
      <c r="D10133" s="9"/>
      <c r="G10133" s="9"/>
      <c r="J10133" s="11"/>
      <c r="U10133" s="9"/>
      <c r="X10133" s="9"/>
    </row>
    <row r="10134">
      <c r="D10134" s="9"/>
      <c r="G10134" s="9"/>
      <c r="J10134" s="11"/>
      <c r="U10134" s="9"/>
      <c r="X10134" s="9"/>
    </row>
    <row r="10135">
      <c r="D10135" s="9"/>
      <c r="G10135" s="9"/>
      <c r="J10135" s="11"/>
      <c r="U10135" s="9"/>
      <c r="X10135" s="9"/>
    </row>
    <row r="10136">
      <c r="D10136" s="9"/>
      <c r="G10136" s="9"/>
      <c r="J10136" s="11"/>
      <c r="U10136" s="9"/>
      <c r="X10136" s="9"/>
    </row>
    <row r="10137">
      <c r="D10137" s="9"/>
      <c r="G10137" s="9"/>
      <c r="J10137" s="11"/>
      <c r="U10137" s="9"/>
      <c r="X10137" s="9"/>
    </row>
    <row r="10138">
      <c r="D10138" s="9"/>
      <c r="G10138" s="9"/>
      <c r="J10138" s="11"/>
      <c r="U10138" s="9"/>
      <c r="X10138" s="9"/>
    </row>
    <row r="10139">
      <c r="D10139" s="9"/>
      <c r="G10139" s="9"/>
      <c r="J10139" s="11"/>
      <c r="U10139" s="9"/>
      <c r="X10139" s="9"/>
    </row>
    <row r="10140">
      <c r="D10140" s="9"/>
      <c r="G10140" s="9"/>
      <c r="J10140" s="11"/>
      <c r="U10140" s="9"/>
      <c r="X10140" s="9"/>
    </row>
    <row r="10141">
      <c r="D10141" s="9"/>
      <c r="G10141" s="9"/>
      <c r="J10141" s="11"/>
      <c r="U10141" s="9"/>
      <c r="X10141" s="9"/>
    </row>
    <row r="10142">
      <c r="D10142" s="9"/>
      <c r="G10142" s="9"/>
      <c r="J10142" s="11"/>
      <c r="U10142" s="9"/>
      <c r="X10142" s="9"/>
    </row>
    <row r="10143">
      <c r="D10143" s="9"/>
      <c r="G10143" s="9"/>
      <c r="J10143" s="11"/>
      <c r="U10143" s="9"/>
      <c r="X10143" s="9"/>
    </row>
    <row r="10144">
      <c r="D10144" s="9"/>
      <c r="G10144" s="9"/>
      <c r="J10144" s="11"/>
      <c r="U10144" s="9"/>
      <c r="X10144" s="9"/>
    </row>
    <row r="10145">
      <c r="D10145" s="9"/>
      <c r="G10145" s="9"/>
      <c r="J10145" s="11"/>
      <c r="U10145" s="9"/>
      <c r="X10145" s="9"/>
    </row>
    <row r="10146">
      <c r="D10146" s="9"/>
      <c r="G10146" s="9"/>
      <c r="J10146" s="11"/>
      <c r="U10146" s="9"/>
      <c r="X10146" s="9"/>
    </row>
    <row r="10147">
      <c r="D10147" s="9"/>
      <c r="G10147" s="9"/>
      <c r="J10147" s="11"/>
      <c r="U10147" s="9"/>
      <c r="X10147" s="9"/>
    </row>
    <row r="10148">
      <c r="D10148" s="9"/>
      <c r="G10148" s="9"/>
      <c r="J10148" s="11"/>
      <c r="U10148" s="9"/>
      <c r="X10148" s="9"/>
    </row>
    <row r="10149">
      <c r="D10149" s="9"/>
      <c r="G10149" s="9"/>
      <c r="J10149" s="11"/>
      <c r="U10149" s="9"/>
      <c r="X10149" s="9"/>
    </row>
    <row r="10150">
      <c r="D10150" s="9"/>
      <c r="G10150" s="9"/>
      <c r="J10150" s="11"/>
      <c r="U10150" s="9"/>
      <c r="X10150" s="9"/>
    </row>
    <row r="10151">
      <c r="D10151" s="9"/>
      <c r="G10151" s="9"/>
      <c r="J10151" s="11"/>
      <c r="U10151" s="9"/>
      <c r="X10151" s="9"/>
    </row>
    <row r="10152">
      <c r="D10152" s="9"/>
      <c r="G10152" s="9"/>
      <c r="J10152" s="11"/>
      <c r="U10152" s="9"/>
      <c r="X10152" s="9"/>
    </row>
    <row r="10153">
      <c r="D10153" s="9"/>
      <c r="G10153" s="9"/>
      <c r="J10153" s="11"/>
      <c r="U10153" s="9"/>
      <c r="X10153" s="9"/>
    </row>
    <row r="10154">
      <c r="D10154" s="9"/>
      <c r="G10154" s="9"/>
      <c r="J10154" s="11"/>
      <c r="U10154" s="9"/>
      <c r="X10154" s="9"/>
    </row>
    <row r="10155">
      <c r="D10155" s="9"/>
      <c r="G10155" s="9"/>
      <c r="J10155" s="11"/>
      <c r="U10155" s="9"/>
      <c r="X10155" s="9"/>
    </row>
    <row r="10156">
      <c r="D10156" s="9"/>
      <c r="G10156" s="9"/>
      <c r="J10156" s="11"/>
      <c r="U10156" s="9"/>
      <c r="X10156" s="9"/>
    </row>
    <row r="10157">
      <c r="D10157" s="9"/>
      <c r="G10157" s="9"/>
      <c r="J10157" s="11"/>
      <c r="U10157" s="9"/>
      <c r="X10157" s="9"/>
    </row>
    <row r="10158">
      <c r="D10158" s="9"/>
      <c r="G10158" s="9"/>
      <c r="J10158" s="11"/>
      <c r="U10158" s="9"/>
      <c r="X10158" s="9"/>
    </row>
    <row r="10159">
      <c r="D10159" s="9"/>
      <c r="G10159" s="9"/>
      <c r="J10159" s="11"/>
      <c r="U10159" s="9"/>
      <c r="X10159" s="9"/>
    </row>
    <row r="10160">
      <c r="D10160" s="9"/>
      <c r="G10160" s="9"/>
      <c r="J10160" s="11"/>
      <c r="U10160" s="9"/>
      <c r="X10160" s="9"/>
    </row>
    <row r="10161">
      <c r="D10161" s="9"/>
      <c r="G10161" s="9"/>
      <c r="J10161" s="11"/>
      <c r="U10161" s="9"/>
      <c r="X10161" s="9"/>
    </row>
    <row r="10162">
      <c r="D10162" s="9"/>
      <c r="G10162" s="9"/>
      <c r="J10162" s="11"/>
      <c r="U10162" s="9"/>
      <c r="X10162" s="9"/>
    </row>
    <row r="10163">
      <c r="D10163" s="9"/>
      <c r="G10163" s="9"/>
      <c r="J10163" s="11"/>
      <c r="U10163" s="9"/>
      <c r="X10163" s="9"/>
    </row>
    <row r="10164">
      <c r="D10164" s="9"/>
      <c r="G10164" s="9"/>
      <c r="J10164" s="11"/>
      <c r="U10164" s="9"/>
      <c r="X10164" s="9"/>
    </row>
    <row r="10165">
      <c r="D10165" s="9"/>
      <c r="G10165" s="9"/>
      <c r="J10165" s="11"/>
      <c r="U10165" s="9"/>
      <c r="X10165" s="9"/>
    </row>
    <row r="10166">
      <c r="D10166" s="9"/>
      <c r="G10166" s="9"/>
      <c r="J10166" s="11"/>
      <c r="U10166" s="9"/>
      <c r="X10166" s="9"/>
    </row>
    <row r="10167">
      <c r="D10167" s="9"/>
      <c r="G10167" s="9"/>
      <c r="J10167" s="11"/>
      <c r="U10167" s="9"/>
      <c r="X10167" s="9"/>
    </row>
    <row r="10168">
      <c r="D10168" s="9"/>
      <c r="G10168" s="9"/>
      <c r="J10168" s="11"/>
      <c r="U10168" s="9"/>
      <c r="X10168" s="9"/>
    </row>
    <row r="10169">
      <c r="D10169" s="9"/>
      <c r="G10169" s="9"/>
      <c r="J10169" s="11"/>
      <c r="U10169" s="9"/>
      <c r="X10169" s="9"/>
    </row>
    <row r="10170">
      <c r="D10170" s="9"/>
      <c r="G10170" s="9"/>
      <c r="J10170" s="11"/>
      <c r="U10170" s="9"/>
      <c r="X10170" s="9"/>
    </row>
    <row r="10171">
      <c r="D10171" s="9"/>
      <c r="G10171" s="9"/>
      <c r="J10171" s="11"/>
      <c r="U10171" s="9"/>
      <c r="X10171" s="9"/>
    </row>
    <row r="10172">
      <c r="D10172" s="9"/>
      <c r="G10172" s="9"/>
      <c r="J10172" s="11"/>
      <c r="U10172" s="9"/>
      <c r="X10172" s="9"/>
    </row>
    <row r="10173">
      <c r="D10173" s="9"/>
      <c r="G10173" s="9"/>
      <c r="J10173" s="11"/>
      <c r="U10173" s="9"/>
      <c r="X10173" s="9"/>
    </row>
    <row r="10174">
      <c r="D10174" s="9"/>
      <c r="G10174" s="9"/>
      <c r="J10174" s="11"/>
      <c r="U10174" s="9"/>
      <c r="X10174" s="9"/>
    </row>
    <row r="10175">
      <c r="D10175" s="9"/>
      <c r="G10175" s="9"/>
      <c r="J10175" s="11"/>
      <c r="U10175" s="9"/>
      <c r="X10175" s="9"/>
    </row>
    <row r="10176">
      <c r="D10176" s="9"/>
      <c r="G10176" s="9"/>
      <c r="J10176" s="11"/>
      <c r="U10176" s="9"/>
      <c r="X10176" s="9"/>
    </row>
    <row r="10177">
      <c r="D10177" s="9"/>
      <c r="G10177" s="9"/>
      <c r="J10177" s="11"/>
      <c r="U10177" s="9"/>
      <c r="X10177" s="9"/>
    </row>
    <row r="10178">
      <c r="D10178" s="9"/>
      <c r="G10178" s="9"/>
      <c r="J10178" s="11"/>
      <c r="U10178" s="9"/>
      <c r="X10178" s="9"/>
    </row>
    <row r="10179">
      <c r="D10179" s="9"/>
      <c r="G10179" s="9"/>
      <c r="J10179" s="11"/>
      <c r="U10179" s="9"/>
      <c r="X10179" s="9"/>
    </row>
    <row r="10180">
      <c r="D10180" s="9"/>
      <c r="G10180" s="9"/>
      <c r="J10180" s="11"/>
      <c r="U10180" s="9"/>
      <c r="X10180" s="9"/>
    </row>
    <row r="10181">
      <c r="D10181" s="9"/>
      <c r="G10181" s="9"/>
      <c r="J10181" s="11"/>
      <c r="U10181" s="9"/>
      <c r="X10181" s="9"/>
    </row>
    <row r="10182">
      <c r="D10182" s="9"/>
      <c r="G10182" s="9"/>
      <c r="J10182" s="11"/>
      <c r="U10182" s="9"/>
      <c r="X10182" s="9"/>
    </row>
    <row r="10183">
      <c r="D10183" s="9"/>
      <c r="G10183" s="9"/>
      <c r="J10183" s="11"/>
      <c r="U10183" s="9"/>
      <c r="X10183" s="9"/>
    </row>
    <row r="10184">
      <c r="D10184" s="9"/>
      <c r="G10184" s="9"/>
      <c r="J10184" s="11"/>
      <c r="U10184" s="9"/>
      <c r="X10184" s="9"/>
    </row>
    <row r="10185">
      <c r="D10185" s="9"/>
      <c r="G10185" s="9"/>
      <c r="J10185" s="11"/>
      <c r="U10185" s="9"/>
      <c r="X10185" s="9"/>
    </row>
    <row r="10186">
      <c r="D10186" s="9"/>
      <c r="G10186" s="9"/>
      <c r="J10186" s="11"/>
      <c r="U10186" s="9"/>
      <c r="X10186" s="9"/>
    </row>
    <row r="10187">
      <c r="D10187" s="9"/>
      <c r="G10187" s="9"/>
      <c r="J10187" s="11"/>
      <c r="U10187" s="9"/>
      <c r="X10187" s="9"/>
    </row>
    <row r="10188">
      <c r="D10188" s="9"/>
      <c r="G10188" s="9"/>
      <c r="J10188" s="11"/>
      <c r="U10188" s="9"/>
      <c r="X10188" s="9"/>
    </row>
    <row r="10189">
      <c r="D10189" s="9"/>
      <c r="G10189" s="9"/>
      <c r="J10189" s="11"/>
      <c r="U10189" s="9"/>
      <c r="X10189" s="9"/>
    </row>
    <row r="10190">
      <c r="D10190" s="9"/>
      <c r="G10190" s="9"/>
      <c r="J10190" s="11"/>
      <c r="U10190" s="9"/>
      <c r="X10190" s="9"/>
    </row>
    <row r="10191">
      <c r="D10191" s="9"/>
      <c r="G10191" s="9"/>
      <c r="J10191" s="11"/>
      <c r="U10191" s="9"/>
      <c r="X10191" s="9"/>
    </row>
    <row r="10192">
      <c r="D10192" s="9"/>
      <c r="G10192" s="9"/>
      <c r="J10192" s="11"/>
      <c r="U10192" s="9"/>
      <c r="X10192" s="9"/>
    </row>
    <row r="10193">
      <c r="D10193" s="9"/>
      <c r="G10193" s="9"/>
      <c r="J10193" s="11"/>
      <c r="U10193" s="9"/>
      <c r="X10193" s="9"/>
    </row>
    <row r="10194">
      <c r="D10194" s="9"/>
      <c r="G10194" s="9"/>
      <c r="J10194" s="11"/>
      <c r="U10194" s="9"/>
      <c r="X10194" s="9"/>
    </row>
    <row r="10195">
      <c r="D10195" s="9"/>
      <c r="G10195" s="9"/>
      <c r="J10195" s="11"/>
      <c r="U10195" s="9"/>
      <c r="X10195" s="9"/>
    </row>
    <row r="10196">
      <c r="D10196" s="9"/>
      <c r="G10196" s="9"/>
      <c r="J10196" s="11"/>
      <c r="U10196" s="9"/>
      <c r="X10196" s="9"/>
    </row>
    <row r="10197">
      <c r="D10197" s="9"/>
      <c r="G10197" s="9"/>
      <c r="J10197" s="11"/>
      <c r="U10197" s="9"/>
      <c r="X10197" s="9"/>
    </row>
    <row r="10198">
      <c r="D10198" s="9"/>
      <c r="G10198" s="9"/>
      <c r="J10198" s="11"/>
      <c r="U10198" s="9"/>
      <c r="X10198" s="9"/>
    </row>
    <row r="10199">
      <c r="D10199" s="9"/>
      <c r="G10199" s="9"/>
      <c r="J10199" s="11"/>
      <c r="U10199" s="9"/>
      <c r="X10199" s="9"/>
    </row>
    <row r="10200">
      <c r="D10200" s="9"/>
      <c r="G10200" s="9"/>
      <c r="J10200" s="11"/>
      <c r="U10200" s="9"/>
      <c r="X10200" s="9"/>
    </row>
    <row r="10201">
      <c r="D10201" s="9"/>
      <c r="G10201" s="9"/>
      <c r="J10201" s="11"/>
      <c r="U10201" s="9"/>
      <c r="X10201" s="9"/>
    </row>
    <row r="10202">
      <c r="D10202" s="9"/>
      <c r="G10202" s="9"/>
      <c r="J10202" s="11"/>
      <c r="U10202" s="9"/>
      <c r="X10202" s="9"/>
    </row>
    <row r="10203">
      <c r="D10203" s="9"/>
      <c r="G10203" s="9"/>
      <c r="J10203" s="11"/>
      <c r="U10203" s="9"/>
      <c r="X10203" s="9"/>
    </row>
    <row r="10204">
      <c r="D10204" s="9"/>
      <c r="G10204" s="9"/>
      <c r="J10204" s="11"/>
      <c r="U10204" s="9"/>
      <c r="X10204" s="9"/>
    </row>
    <row r="10205">
      <c r="D10205" s="9"/>
      <c r="G10205" s="9"/>
      <c r="J10205" s="11"/>
      <c r="U10205" s="9"/>
      <c r="X10205" s="9"/>
    </row>
    <row r="10206">
      <c r="D10206" s="9"/>
      <c r="G10206" s="9"/>
      <c r="J10206" s="11"/>
      <c r="U10206" s="9"/>
      <c r="X10206" s="9"/>
    </row>
    <row r="10207">
      <c r="D10207" s="9"/>
      <c r="G10207" s="9"/>
      <c r="J10207" s="11"/>
      <c r="U10207" s="9"/>
      <c r="X10207" s="9"/>
    </row>
    <row r="10208">
      <c r="D10208" s="9"/>
      <c r="G10208" s="9"/>
      <c r="J10208" s="11"/>
      <c r="U10208" s="9"/>
      <c r="X10208" s="9"/>
    </row>
    <row r="10209">
      <c r="D10209" s="9"/>
      <c r="G10209" s="9"/>
      <c r="J10209" s="11"/>
      <c r="U10209" s="9"/>
      <c r="X10209" s="9"/>
    </row>
    <row r="10210">
      <c r="D10210" s="9"/>
      <c r="G10210" s="9"/>
      <c r="J10210" s="11"/>
      <c r="U10210" s="9"/>
      <c r="X10210" s="9"/>
    </row>
    <row r="10211">
      <c r="D10211" s="9"/>
      <c r="G10211" s="9"/>
      <c r="J10211" s="11"/>
      <c r="U10211" s="9"/>
      <c r="X10211" s="9"/>
    </row>
    <row r="10212">
      <c r="D10212" s="9"/>
      <c r="G10212" s="9"/>
      <c r="J10212" s="11"/>
      <c r="U10212" s="9"/>
      <c r="X10212" s="9"/>
    </row>
    <row r="10213">
      <c r="D10213" s="9"/>
      <c r="G10213" s="9"/>
      <c r="J10213" s="11"/>
      <c r="U10213" s="9"/>
      <c r="X10213" s="9"/>
    </row>
    <row r="10214">
      <c r="D10214" s="9"/>
      <c r="G10214" s="9"/>
      <c r="J10214" s="11"/>
      <c r="U10214" s="9"/>
      <c r="X10214" s="9"/>
    </row>
    <row r="10215">
      <c r="D10215" s="9"/>
      <c r="G10215" s="9"/>
      <c r="J10215" s="11"/>
      <c r="U10215" s="9"/>
      <c r="X10215" s="9"/>
    </row>
    <row r="10216">
      <c r="D10216" s="9"/>
      <c r="G10216" s="9"/>
      <c r="J10216" s="11"/>
      <c r="U10216" s="9"/>
      <c r="X10216" s="9"/>
    </row>
    <row r="10217">
      <c r="D10217" s="9"/>
      <c r="G10217" s="9"/>
      <c r="J10217" s="11"/>
      <c r="U10217" s="9"/>
      <c r="X10217" s="9"/>
    </row>
    <row r="10218">
      <c r="D10218" s="9"/>
      <c r="G10218" s="9"/>
      <c r="J10218" s="11"/>
      <c r="U10218" s="9"/>
      <c r="X10218" s="9"/>
    </row>
    <row r="10219">
      <c r="D10219" s="9"/>
      <c r="G10219" s="9"/>
      <c r="J10219" s="11"/>
      <c r="U10219" s="9"/>
      <c r="X10219" s="9"/>
    </row>
    <row r="10220">
      <c r="D10220" s="9"/>
      <c r="G10220" s="9"/>
      <c r="J10220" s="11"/>
      <c r="U10220" s="9"/>
      <c r="X10220" s="9"/>
    </row>
    <row r="10221">
      <c r="D10221" s="9"/>
      <c r="G10221" s="9"/>
      <c r="J10221" s="11"/>
      <c r="U10221" s="9"/>
      <c r="X10221" s="9"/>
    </row>
    <row r="10222">
      <c r="D10222" s="9"/>
      <c r="G10222" s="9"/>
      <c r="J10222" s="11"/>
      <c r="U10222" s="9"/>
      <c r="X10222" s="9"/>
    </row>
    <row r="10223">
      <c r="D10223" s="9"/>
      <c r="G10223" s="9"/>
      <c r="J10223" s="11"/>
      <c r="U10223" s="9"/>
      <c r="X10223" s="9"/>
    </row>
    <row r="10224">
      <c r="D10224" s="9"/>
      <c r="G10224" s="9"/>
      <c r="J10224" s="11"/>
      <c r="U10224" s="9"/>
      <c r="X10224" s="9"/>
    </row>
    <row r="10225">
      <c r="D10225" s="9"/>
      <c r="G10225" s="9"/>
      <c r="J10225" s="11"/>
      <c r="U10225" s="9"/>
      <c r="X10225" s="9"/>
    </row>
    <row r="10226">
      <c r="D10226" s="9"/>
      <c r="G10226" s="9"/>
      <c r="J10226" s="11"/>
      <c r="U10226" s="9"/>
      <c r="X10226" s="9"/>
    </row>
    <row r="10227">
      <c r="D10227" s="9"/>
      <c r="G10227" s="9"/>
      <c r="J10227" s="11"/>
      <c r="U10227" s="9"/>
      <c r="X10227" s="9"/>
    </row>
    <row r="10228">
      <c r="D10228" s="9"/>
      <c r="G10228" s="9"/>
      <c r="J10228" s="11"/>
      <c r="U10228" s="9"/>
      <c r="X10228" s="9"/>
    </row>
    <row r="10229">
      <c r="D10229" s="9"/>
      <c r="G10229" s="9"/>
      <c r="J10229" s="11"/>
      <c r="U10229" s="9"/>
      <c r="X10229" s="9"/>
    </row>
    <row r="10230">
      <c r="D10230" s="9"/>
      <c r="G10230" s="9"/>
      <c r="J10230" s="11"/>
      <c r="U10230" s="9"/>
      <c r="X10230" s="9"/>
    </row>
    <row r="10231">
      <c r="D10231" s="9"/>
      <c r="G10231" s="9"/>
      <c r="J10231" s="11"/>
      <c r="U10231" s="9"/>
      <c r="X10231" s="9"/>
    </row>
    <row r="10232">
      <c r="D10232" s="9"/>
      <c r="G10232" s="9"/>
      <c r="J10232" s="11"/>
      <c r="U10232" s="9"/>
      <c r="X10232" s="9"/>
    </row>
    <row r="10233">
      <c r="D10233" s="9"/>
      <c r="G10233" s="9"/>
      <c r="J10233" s="11"/>
      <c r="U10233" s="9"/>
      <c r="X10233" s="9"/>
    </row>
    <row r="10234">
      <c r="D10234" s="9"/>
      <c r="G10234" s="9"/>
      <c r="J10234" s="11"/>
      <c r="U10234" s="9"/>
      <c r="X10234" s="9"/>
    </row>
    <row r="10235">
      <c r="D10235" s="9"/>
      <c r="G10235" s="9"/>
      <c r="J10235" s="11"/>
      <c r="U10235" s="9"/>
      <c r="X10235" s="9"/>
    </row>
    <row r="10236">
      <c r="D10236" s="9"/>
      <c r="G10236" s="9"/>
      <c r="J10236" s="11"/>
      <c r="U10236" s="9"/>
      <c r="X10236" s="9"/>
    </row>
    <row r="10237">
      <c r="D10237" s="9"/>
      <c r="G10237" s="9"/>
      <c r="J10237" s="11"/>
      <c r="U10237" s="9"/>
      <c r="X10237" s="9"/>
    </row>
    <row r="10238">
      <c r="D10238" s="9"/>
      <c r="G10238" s="9"/>
      <c r="J10238" s="11"/>
      <c r="U10238" s="9"/>
      <c r="X10238" s="9"/>
    </row>
    <row r="10239">
      <c r="D10239" s="9"/>
      <c r="G10239" s="9"/>
      <c r="J10239" s="11"/>
      <c r="U10239" s="9"/>
      <c r="X10239" s="9"/>
    </row>
    <row r="10240">
      <c r="D10240" s="9"/>
      <c r="G10240" s="9"/>
      <c r="J10240" s="11"/>
      <c r="U10240" s="9"/>
      <c r="X10240" s="9"/>
    </row>
    <row r="10241">
      <c r="D10241" s="9"/>
      <c r="G10241" s="9"/>
      <c r="J10241" s="11"/>
      <c r="U10241" s="9"/>
      <c r="X10241" s="9"/>
    </row>
    <row r="10242">
      <c r="D10242" s="9"/>
      <c r="G10242" s="9"/>
      <c r="J10242" s="11"/>
      <c r="U10242" s="9"/>
      <c r="X10242" s="9"/>
    </row>
    <row r="10243">
      <c r="D10243" s="9"/>
      <c r="G10243" s="9"/>
      <c r="J10243" s="11"/>
      <c r="U10243" s="9"/>
      <c r="X10243" s="9"/>
    </row>
    <row r="10244">
      <c r="D10244" s="9"/>
      <c r="G10244" s="9"/>
      <c r="J10244" s="11"/>
      <c r="U10244" s="9"/>
      <c r="X10244" s="9"/>
    </row>
    <row r="10245">
      <c r="D10245" s="9"/>
      <c r="G10245" s="9"/>
      <c r="J10245" s="11"/>
      <c r="U10245" s="9"/>
      <c r="X10245" s="9"/>
    </row>
    <row r="10246">
      <c r="D10246" s="9"/>
      <c r="G10246" s="9"/>
      <c r="J10246" s="11"/>
      <c r="U10246" s="9"/>
      <c r="X10246" s="9"/>
    </row>
    <row r="10247">
      <c r="D10247" s="9"/>
      <c r="G10247" s="9"/>
      <c r="J10247" s="11"/>
      <c r="U10247" s="9"/>
      <c r="X10247" s="9"/>
    </row>
    <row r="10248">
      <c r="D10248" s="9"/>
      <c r="G10248" s="9"/>
      <c r="J10248" s="11"/>
      <c r="U10248" s="9"/>
      <c r="X10248" s="9"/>
    </row>
    <row r="10249">
      <c r="D10249" s="9"/>
      <c r="G10249" s="9"/>
      <c r="J10249" s="11"/>
      <c r="U10249" s="9"/>
      <c r="X10249" s="9"/>
    </row>
    <row r="10250">
      <c r="D10250" s="9"/>
      <c r="G10250" s="9"/>
      <c r="J10250" s="11"/>
      <c r="U10250" s="9"/>
      <c r="X10250" s="9"/>
    </row>
    <row r="10251">
      <c r="D10251" s="9"/>
      <c r="G10251" s="9"/>
      <c r="J10251" s="11"/>
      <c r="U10251" s="9"/>
      <c r="X10251" s="9"/>
    </row>
    <row r="10252">
      <c r="D10252" s="9"/>
      <c r="G10252" s="9"/>
      <c r="J10252" s="11"/>
      <c r="U10252" s="9"/>
      <c r="X10252" s="9"/>
    </row>
    <row r="10253">
      <c r="D10253" s="9"/>
      <c r="G10253" s="9"/>
      <c r="J10253" s="11"/>
      <c r="U10253" s="9"/>
      <c r="X10253" s="9"/>
    </row>
    <row r="10254">
      <c r="D10254" s="9"/>
      <c r="G10254" s="9"/>
      <c r="J10254" s="11"/>
      <c r="U10254" s="9"/>
      <c r="X10254" s="9"/>
    </row>
    <row r="10255">
      <c r="D10255" s="9"/>
      <c r="G10255" s="9"/>
      <c r="J10255" s="11"/>
      <c r="U10255" s="9"/>
      <c r="X10255" s="9"/>
    </row>
    <row r="10256">
      <c r="D10256" s="9"/>
      <c r="G10256" s="9"/>
      <c r="J10256" s="11"/>
      <c r="U10256" s="9"/>
      <c r="X10256" s="9"/>
    </row>
    <row r="10257">
      <c r="D10257" s="9"/>
      <c r="G10257" s="9"/>
      <c r="J10257" s="11"/>
      <c r="U10257" s="9"/>
      <c r="X10257" s="9"/>
    </row>
    <row r="10258">
      <c r="D10258" s="9"/>
      <c r="G10258" s="9"/>
      <c r="J10258" s="11"/>
      <c r="U10258" s="9"/>
      <c r="X10258" s="9"/>
    </row>
    <row r="10259">
      <c r="D10259" s="9"/>
      <c r="G10259" s="9"/>
      <c r="J10259" s="11"/>
      <c r="U10259" s="9"/>
      <c r="X10259" s="9"/>
    </row>
    <row r="10260">
      <c r="D10260" s="9"/>
      <c r="G10260" s="9"/>
      <c r="J10260" s="11"/>
      <c r="U10260" s="9"/>
      <c r="X10260" s="9"/>
    </row>
    <row r="10261">
      <c r="D10261" s="9"/>
      <c r="G10261" s="9"/>
      <c r="J10261" s="11"/>
      <c r="U10261" s="9"/>
      <c r="X10261" s="9"/>
    </row>
    <row r="10262">
      <c r="D10262" s="9"/>
      <c r="G10262" s="9"/>
      <c r="J10262" s="11"/>
      <c r="U10262" s="9"/>
      <c r="X10262" s="9"/>
    </row>
    <row r="10263">
      <c r="D10263" s="9"/>
      <c r="G10263" s="9"/>
      <c r="J10263" s="11"/>
      <c r="U10263" s="9"/>
      <c r="X10263" s="9"/>
    </row>
    <row r="10264">
      <c r="D10264" s="9"/>
      <c r="G10264" s="9"/>
      <c r="J10264" s="11"/>
      <c r="U10264" s="9"/>
      <c r="X10264" s="9"/>
    </row>
    <row r="10265">
      <c r="D10265" s="9"/>
      <c r="G10265" s="9"/>
      <c r="J10265" s="11"/>
      <c r="U10265" s="9"/>
      <c r="X10265" s="9"/>
    </row>
    <row r="10266">
      <c r="D10266" s="9"/>
      <c r="G10266" s="9"/>
      <c r="J10266" s="11"/>
      <c r="U10266" s="9"/>
      <c r="X10266" s="9"/>
    </row>
    <row r="10267">
      <c r="D10267" s="9"/>
      <c r="G10267" s="9"/>
      <c r="J10267" s="11"/>
      <c r="U10267" s="9"/>
      <c r="X10267" s="9"/>
    </row>
    <row r="10268">
      <c r="D10268" s="9"/>
      <c r="G10268" s="9"/>
      <c r="J10268" s="11"/>
      <c r="U10268" s="9"/>
      <c r="X10268" s="9"/>
    </row>
    <row r="10269">
      <c r="D10269" s="9"/>
      <c r="G10269" s="9"/>
      <c r="J10269" s="11"/>
      <c r="U10269" s="9"/>
      <c r="X10269" s="9"/>
    </row>
    <row r="10270">
      <c r="D10270" s="9"/>
      <c r="G10270" s="9"/>
      <c r="J10270" s="11"/>
      <c r="U10270" s="9"/>
      <c r="X10270" s="9"/>
    </row>
    <row r="10271">
      <c r="D10271" s="9"/>
      <c r="G10271" s="9"/>
      <c r="J10271" s="11"/>
      <c r="U10271" s="9"/>
      <c r="X10271" s="9"/>
    </row>
    <row r="10272">
      <c r="D10272" s="9"/>
      <c r="G10272" s="9"/>
      <c r="J10272" s="11"/>
      <c r="U10272" s="9"/>
      <c r="X10272" s="9"/>
    </row>
    <row r="10273">
      <c r="D10273" s="9"/>
      <c r="G10273" s="9"/>
      <c r="J10273" s="11"/>
      <c r="U10273" s="9"/>
      <c r="X10273" s="9"/>
    </row>
    <row r="10274">
      <c r="D10274" s="9"/>
      <c r="G10274" s="9"/>
      <c r="J10274" s="11"/>
      <c r="U10274" s="9"/>
      <c r="X10274" s="9"/>
    </row>
    <row r="10275">
      <c r="D10275" s="9"/>
      <c r="G10275" s="9"/>
      <c r="J10275" s="11"/>
      <c r="U10275" s="9"/>
      <c r="X10275" s="9"/>
    </row>
    <row r="10276">
      <c r="D10276" s="9"/>
      <c r="G10276" s="9"/>
      <c r="J10276" s="11"/>
      <c r="U10276" s="9"/>
      <c r="X10276" s="9"/>
    </row>
    <row r="10277">
      <c r="D10277" s="9"/>
      <c r="G10277" s="9"/>
      <c r="J10277" s="11"/>
      <c r="U10277" s="9"/>
      <c r="X10277" s="9"/>
    </row>
    <row r="10278">
      <c r="D10278" s="9"/>
      <c r="G10278" s="9"/>
      <c r="J10278" s="11"/>
      <c r="U10278" s="9"/>
      <c r="X10278" s="9"/>
    </row>
    <row r="10279">
      <c r="D10279" s="9"/>
      <c r="G10279" s="9"/>
      <c r="J10279" s="11"/>
      <c r="U10279" s="9"/>
      <c r="X10279" s="9"/>
    </row>
    <row r="10280">
      <c r="D10280" s="9"/>
      <c r="G10280" s="9"/>
      <c r="J10280" s="11"/>
      <c r="U10280" s="9"/>
      <c r="X10280" s="9"/>
    </row>
    <row r="10281">
      <c r="D10281" s="9"/>
      <c r="G10281" s="9"/>
      <c r="J10281" s="11"/>
      <c r="U10281" s="9"/>
      <c r="X10281" s="9"/>
    </row>
    <row r="10282">
      <c r="D10282" s="9"/>
      <c r="G10282" s="9"/>
      <c r="J10282" s="11"/>
      <c r="U10282" s="9"/>
      <c r="X10282" s="9"/>
    </row>
    <row r="10283">
      <c r="D10283" s="9"/>
      <c r="G10283" s="9"/>
      <c r="J10283" s="11"/>
      <c r="U10283" s="9"/>
      <c r="X10283" s="9"/>
    </row>
    <row r="10284">
      <c r="D10284" s="9"/>
      <c r="G10284" s="9"/>
      <c r="J10284" s="11"/>
      <c r="U10284" s="9"/>
      <c r="X10284" s="9"/>
    </row>
    <row r="10285">
      <c r="D10285" s="9"/>
      <c r="G10285" s="9"/>
      <c r="J10285" s="11"/>
      <c r="U10285" s="9"/>
      <c r="X10285" s="9"/>
    </row>
    <row r="10286">
      <c r="D10286" s="9"/>
      <c r="G10286" s="9"/>
      <c r="J10286" s="11"/>
      <c r="U10286" s="9"/>
      <c r="X10286" s="9"/>
    </row>
    <row r="10287">
      <c r="D10287" s="9"/>
      <c r="G10287" s="9"/>
      <c r="J10287" s="11"/>
      <c r="U10287" s="9"/>
      <c r="X10287" s="9"/>
    </row>
    <row r="10288">
      <c r="D10288" s="9"/>
      <c r="G10288" s="9"/>
      <c r="J10288" s="11"/>
      <c r="U10288" s="9"/>
      <c r="X10288" s="9"/>
    </row>
    <row r="10289">
      <c r="D10289" s="9"/>
      <c r="G10289" s="9"/>
      <c r="J10289" s="11"/>
      <c r="U10289" s="9"/>
      <c r="X10289" s="9"/>
    </row>
    <row r="10290">
      <c r="D10290" s="9"/>
      <c r="G10290" s="9"/>
      <c r="J10290" s="11"/>
      <c r="U10290" s="9"/>
      <c r="X10290" s="9"/>
    </row>
    <row r="10291">
      <c r="D10291" s="9"/>
      <c r="G10291" s="9"/>
      <c r="J10291" s="11"/>
      <c r="U10291" s="9"/>
      <c r="X10291" s="9"/>
    </row>
    <row r="10292">
      <c r="D10292" s="9"/>
      <c r="G10292" s="9"/>
      <c r="J10292" s="11"/>
      <c r="U10292" s="9"/>
      <c r="X10292" s="9"/>
    </row>
    <row r="10293">
      <c r="D10293" s="9"/>
      <c r="G10293" s="9"/>
      <c r="J10293" s="11"/>
      <c r="U10293" s="9"/>
      <c r="X10293" s="9"/>
    </row>
    <row r="10294">
      <c r="D10294" s="9"/>
      <c r="G10294" s="9"/>
      <c r="J10294" s="11"/>
      <c r="U10294" s="9"/>
      <c r="X10294" s="9"/>
    </row>
    <row r="10295">
      <c r="D10295" s="9"/>
      <c r="G10295" s="9"/>
      <c r="J10295" s="11"/>
      <c r="U10295" s="9"/>
      <c r="X10295" s="9"/>
    </row>
    <row r="10296">
      <c r="D10296" s="9"/>
      <c r="G10296" s="9"/>
      <c r="J10296" s="11"/>
      <c r="U10296" s="9"/>
      <c r="X10296" s="9"/>
    </row>
    <row r="10297">
      <c r="D10297" s="9"/>
      <c r="G10297" s="9"/>
      <c r="J10297" s="11"/>
      <c r="U10297" s="9"/>
      <c r="X10297" s="9"/>
    </row>
    <row r="10298">
      <c r="D10298" s="9"/>
      <c r="G10298" s="9"/>
      <c r="J10298" s="11"/>
      <c r="U10298" s="9"/>
      <c r="X10298" s="9"/>
    </row>
    <row r="10299">
      <c r="D10299" s="9"/>
      <c r="G10299" s="9"/>
      <c r="J10299" s="11"/>
      <c r="U10299" s="9"/>
      <c r="X10299" s="9"/>
    </row>
    <row r="10300">
      <c r="D10300" s="9"/>
      <c r="G10300" s="9"/>
      <c r="J10300" s="11"/>
      <c r="U10300" s="9"/>
      <c r="X10300" s="9"/>
    </row>
    <row r="10301">
      <c r="D10301" s="9"/>
      <c r="G10301" s="9"/>
      <c r="J10301" s="11"/>
      <c r="U10301" s="9"/>
      <c r="X10301" s="9"/>
    </row>
    <row r="10302">
      <c r="D10302" s="9"/>
      <c r="G10302" s="9"/>
      <c r="J10302" s="11"/>
      <c r="U10302" s="9"/>
      <c r="X10302" s="9"/>
    </row>
    <row r="10303">
      <c r="D10303" s="9"/>
      <c r="G10303" s="9"/>
      <c r="J10303" s="11"/>
      <c r="U10303" s="9"/>
      <c r="X10303" s="9"/>
    </row>
    <row r="10304">
      <c r="D10304" s="9"/>
      <c r="G10304" s="9"/>
      <c r="J10304" s="11"/>
      <c r="U10304" s="9"/>
      <c r="X10304" s="9"/>
    </row>
    <row r="10305">
      <c r="D10305" s="9"/>
      <c r="G10305" s="9"/>
      <c r="J10305" s="11"/>
      <c r="U10305" s="9"/>
      <c r="X10305" s="9"/>
    </row>
    <row r="10306">
      <c r="D10306" s="9"/>
      <c r="G10306" s="9"/>
      <c r="J10306" s="11"/>
      <c r="U10306" s="9"/>
      <c r="X10306" s="9"/>
    </row>
    <row r="10307">
      <c r="D10307" s="9"/>
      <c r="G10307" s="9"/>
      <c r="J10307" s="11"/>
      <c r="U10307" s="9"/>
      <c r="X10307" s="9"/>
    </row>
    <row r="10308">
      <c r="D10308" s="9"/>
      <c r="G10308" s="9"/>
      <c r="J10308" s="11"/>
      <c r="U10308" s="9"/>
      <c r="X10308" s="9"/>
    </row>
    <row r="10309">
      <c r="D10309" s="9"/>
      <c r="G10309" s="9"/>
      <c r="J10309" s="11"/>
      <c r="U10309" s="9"/>
      <c r="X10309" s="9"/>
    </row>
    <row r="10310">
      <c r="D10310" s="9"/>
      <c r="G10310" s="9"/>
      <c r="J10310" s="11"/>
      <c r="U10310" s="9"/>
      <c r="X10310" s="9"/>
    </row>
    <row r="10311">
      <c r="D10311" s="9"/>
      <c r="G10311" s="9"/>
      <c r="J10311" s="11"/>
      <c r="U10311" s="9"/>
      <c r="X10311" s="9"/>
    </row>
    <row r="10312">
      <c r="D10312" s="9"/>
      <c r="G10312" s="9"/>
      <c r="J10312" s="11"/>
      <c r="U10312" s="9"/>
      <c r="X10312" s="9"/>
    </row>
    <row r="10313">
      <c r="D10313" s="9"/>
      <c r="G10313" s="9"/>
      <c r="J10313" s="11"/>
      <c r="U10313" s="9"/>
      <c r="X10313" s="9"/>
    </row>
    <row r="10314">
      <c r="D10314" s="9"/>
      <c r="G10314" s="9"/>
      <c r="J10314" s="11"/>
      <c r="U10314" s="9"/>
      <c r="X10314" s="9"/>
    </row>
    <row r="10315">
      <c r="D10315" s="9"/>
      <c r="G10315" s="9"/>
      <c r="J10315" s="11"/>
      <c r="U10315" s="9"/>
      <c r="X10315" s="9"/>
    </row>
    <row r="10316">
      <c r="D10316" s="9"/>
      <c r="G10316" s="9"/>
      <c r="J10316" s="11"/>
      <c r="U10316" s="9"/>
      <c r="X10316" s="9"/>
    </row>
    <row r="10317">
      <c r="D10317" s="9"/>
      <c r="G10317" s="9"/>
      <c r="J10317" s="11"/>
      <c r="U10317" s="9"/>
      <c r="X10317" s="9"/>
    </row>
    <row r="10318">
      <c r="D10318" s="9"/>
      <c r="G10318" s="9"/>
      <c r="J10318" s="11"/>
      <c r="U10318" s="9"/>
      <c r="X10318" s="9"/>
    </row>
    <row r="10319">
      <c r="D10319" s="9"/>
      <c r="G10319" s="9"/>
      <c r="J10319" s="11"/>
      <c r="U10319" s="9"/>
      <c r="X10319" s="9"/>
    </row>
    <row r="10320">
      <c r="D10320" s="9"/>
      <c r="G10320" s="9"/>
      <c r="J10320" s="11"/>
      <c r="U10320" s="9"/>
      <c r="X10320" s="9"/>
    </row>
    <row r="10321">
      <c r="D10321" s="9"/>
      <c r="G10321" s="9"/>
      <c r="J10321" s="11"/>
      <c r="U10321" s="9"/>
      <c r="X10321" s="9"/>
    </row>
    <row r="10322">
      <c r="D10322" s="9"/>
      <c r="G10322" s="9"/>
      <c r="J10322" s="11"/>
      <c r="U10322" s="9"/>
      <c r="X10322" s="9"/>
    </row>
    <row r="10323">
      <c r="D10323" s="9"/>
      <c r="G10323" s="9"/>
      <c r="J10323" s="11"/>
      <c r="U10323" s="9"/>
      <c r="X10323" s="9"/>
    </row>
    <row r="10324">
      <c r="D10324" s="9"/>
      <c r="G10324" s="9"/>
      <c r="J10324" s="11"/>
      <c r="U10324" s="9"/>
      <c r="X10324" s="9"/>
    </row>
    <row r="10325">
      <c r="D10325" s="9"/>
      <c r="G10325" s="9"/>
      <c r="J10325" s="11"/>
      <c r="U10325" s="9"/>
      <c r="X10325" s="9"/>
    </row>
    <row r="10326">
      <c r="D10326" s="9"/>
      <c r="G10326" s="9"/>
      <c r="J10326" s="11"/>
      <c r="U10326" s="9"/>
      <c r="X10326" s="9"/>
    </row>
    <row r="10327">
      <c r="D10327" s="9"/>
      <c r="G10327" s="9"/>
      <c r="J10327" s="11"/>
      <c r="U10327" s="9"/>
      <c r="X10327" s="9"/>
    </row>
    <row r="10328">
      <c r="D10328" s="9"/>
      <c r="G10328" s="9"/>
      <c r="J10328" s="11"/>
      <c r="U10328" s="9"/>
      <c r="X10328" s="9"/>
    </row>
    <row r="10329">
      <c r="D10329" s="9"/>
      <c r="G10329" s="9"/>
      <c r="J10329" s="11"/>
      <c r="U10329" s="9"/>
      <c r="X10329" s="9"/>
    </row>
    <row r="10330">
      <c r="D10330" s="9"/>
      <c r="G10330" s="9"/>
      <c r="J10330" s="11"/>
      <c r="U10330" s="9"/>
      <c r="X10330" s="9"/>
    </row>
    <row r="10331">
      <c r="D10331" s="9"/>
      <c r="G10331" s="9"/>
      <c r="J10331" s="11"/>
      <c r="U10331" s="9"/>
      <c r="X10331" s="9"/>
    </row>
    <row r="10332">
      <c r="D10332" s="9"/>
      <c r="G10332" s="9"/>
      <c r="J10332" s="11"/>
      <c r="U10332" s="9"/>
      <c r="X10332" s="9"/>
    </row>
    <row r="10333">
      <c r="D10333" s="9"/>
      <c r="G10333" s="9"/>
      <c r="J10333" s="11"/>
      <c r="U10333" s="9"/>
      <c r="X10333" s="9"/>
    </row>
    <row r="10334">
      <c r="D10334" s="9"/>
      <c r="G10334" s="9"/>
      <c r="J10334" s="11"/>
      <c r="U10334" s="9"/>
      <c r="X10334" s="9"/>
    </row>
    <row r="10335">
      <c r="D10335" s="9"/>
      <c r="G10335" s="9"/>
      <c r="J10335" s="11"/>
      <c r="U10335" s="9"/>
      <c r="X10335" s="9"/>
    </row>
    <row r="10336">
      <c r="D10336" s="9"/>
      <c r="G10336" s="9"/>
      <c r="J10336" s="11"/>
      <c r="U10336" s="9"/>
      <c r="X10336" s="9"/>
    </row>
    <row r="10337">
      <c r="D10337" s="9"/>
      <c r="G10337" s="9"/>
      <c r="J10337" s="11"/>
      <c r="U10337" s="9"/>
      <c r="X10337" s="9"/>
    </row>
    <row r="10338">
      <c r="D10338" s="9"/>
      <c r="G10338" s="9"/>
      <c r="J10338" s="11"/>
      <c r="U10338" s="9"/>
      <c r="X10338" s="9"/>
    </row>
    <row r="10339">
      <c r="D10339" s="9"/>
      <c r="G10339" s="9"/>
      <c r="J10339" s="11"/>
      <c r="U10339" s="9"/>
      <c r="X10339" s="9"/>
    </row>
    <row r="10340">
      <c r="D10340" s="9"/>
      <c r="G10340" s="9"/>
      <c r="J10340" s="11"/>
      <c r="U10340" s="9"/>
      <c r="X10340" s="9"/>
    </row>
    <row r="10341">
      <c r="D10341" s="9"/>
      <c r="G10341" s="9"/>
      <c r="J10341" s="11"/>
      <c r="U10341" s="9"/>
      <c r="X10341" s="9"/>
    </row>
    <row r="10342">
      <c r="D10342" s="9"/>
      <c r="G10342" s="9"/>
      <c r="J10342" s="11"/>
      <c r="U10342" s="9"/>
      <c r="X10342" s="9"/>
    </row>
    <row r="10343">
      <c r="D10343" s="9"/>
      <c r="G10343" s="9"/>
      <c r="J10343" s="11"/>
      <c r="U10343" s="9"/>
      <c r="X10343" s="9"/>
    </row>
    <row r="10344">
      <c r="D10344" s="9"/>
      <c r="G10344" s="9"/>
      <c r="J10344" s="11"/>
      <c r="U10344" s="9"/>
      <c r="X10344" s="9"/>
    </row>
    <row r="10345">
      <c r="D10345" s="9"/>
      <c r="G10345" s="9"/>
      <c r="J10345" s="11"/>
      <c r="U10345" s="9"/>
      <c r="X10345" s="9"/>
    </row>
    <row r="10346">
      <c r="D10346" s="9"/>
      <c r="G10346" s="9"/>
      <c r="J10346" s="11"/>
      <c r="U10346" s="9"/>
      <c r="X10346" s="9"/>
    </row>
    <row r="10347">
      <c r="D10347" s="9"/>
      <c r="G10347" s="9"/>
      <c r="J10347" s="11"/>
      <c r="U10347" s="9"/>
      <c r="X10347" s="9"/>
    </row>
    <row r="10348">
      <c r="D10348" s="9"/>
      <c r="G10348" s="9"/>
      <c r="J10348" s="11"/>
      <c r="U10348" s="9"/>
      <c r="X10348" s="9"/>
    </row>
    <row r="10349">
      <c r="D10349" s="9"/>
      <c r="G10349" s="9"/>
      <c r="J10349" s="11"/>
      <c r="U10349" s="9"/>
      <c r="X10349" s="9"/>
    </row>
    <row r="10350">
      <c r="D10350" s="9"/>
      <c r="G10350" s="9"/>
      <c r="J10350" s="11"/>
      <c r="U10350" s="9"/>
      <c r="X10350" s="9"/>
    </row>
    <row r="10351">
      <c r="D10351" s="9"/>
      <c r="G10351" s="9"/>
      <c r="J10351" s="11"/>
      <c r="U10351" s="9"/>
      <c r="X10351" s="9"/>
    </row>
    <row r="10352">
      <c r="D10352" s="9"/>
      <c r="G10352" s="9"/>
      <c r="J10352" s="11"/>
      <c r="U10352" s="9"/>
      <c r="X10352" s="9"/>
    </row>
    <row r="10353">
      <c r="D10353" s="9"/>
      <c r="G10353" s="9"/>
      <c r="J10353" s="11"/>
      <c r="U10353" s="9"/>
      <c r="X10353" s="9"/>
    </row>
    <row r="10354">
      <c r="D10354" s="9"/>
      <c r="G10354" s="9"/>
      <c r="J10354" s="11"/>
      <c r="U10354" s="9"/>
      <c r="X10354" s="9"/>
    </row>
    <row r="10355">
      <c r="D10355" s="9"/>
      <c r="G10355" s="9"/>
      <c r="J10355" s="11"/>
      <c r="U10355" s="9"/>
      <c r="X10355" s="9"/>
    </row>
    <row r="10356">
      <c r="D10356" s="9"/>
      <c r="G10356" s="9"/>
      <c r="J10356" s="11"/>
      <c r="U10356" s="9"/>
      <c r="X10356" s="9"/>
    </row>
    <row r="10357">
      <c r="D10357" s="9"/>
      <c r="G10357" s="9"/>
      <c r="J10357" s="11"/>
      <c r="U10357" s="9"/>
      <c r="X10357" s="9"/>
    </row>
    <row r="10358">
      <c r="D10358" s="9"/>
      <c r="G10358" s="9"/>
      <c r="J10358" s="11"/>
      <c r="U10358" s="9"/>
      <c r="X10358" s="9"/>
    </row>
    <row r="10359">
      <c r="D10359" s="9"/>
      <c r="G10359" s="9"/>
      <c r="J10359" s="11"/>
      <c r="U10359" s="9"/>
      <c r="X10359" s="9"/>
    </row>
    <row r="10360">
      <c r="D10360" s="9"/>
      <c r="G10360" s="9"/>
      <c r="J10360" s="11"/>
      <c r="U10360" s="9"/>
      <c r="X10360" s="9"/>
    </row>
    <row r="10361">
      <c r="D10361" s="9"/>
      <c r="G10361" s="9"/>
      <c r="J10361" s="11"/>
      <c r="U10361" s="9"/>
      <c r="X10361" s="9"/>
    </row>
    <row r="10362">
      <c r="D10362" s="9"/>
      <c r="G10362" s="9"/>
      <c r="J10362" s="11"/>
      <c r="U10362" s="9"/>
      <c r="X10362" s="9"/>
    </row>
    <row r="10363">
      <c r="D10363" s="9"/>
      <c r="G10363" s="9"/>
      <c r="J10363" s="11"/>
      <c r="U10363" s="9"/>
      <c r="X10363" s="9"/>
    </row>
    <row r="10364">
      <c r="D10364" s="9"/>
      <c r="G10364" s="9"/>
      <c r="J10364" s="11"/>
      <c r="U10364" s="9"/>
      <c r="X10364" s="9"/>
    </row>
    <row r="10365">
      <c r="D10365" s="9"/>
      <c r="G10365" s="9"/>
      <c r="J10365" s="11"/>
      <c r="U10365" s="9"/>
      <c r="X10365" s="9"/>
    </row>
    <row r="10366">
      <c r="D10366" s="9"/>
      <c r="G10366" s="9"/>
      <c r="J10366" s="11"/>
      <c r="U10366" s="9"/>
      <c r="X10366" s="9"/>
    </row>
    <row r="10367">
      <c r="D10367" s="9"/>
      <c r="G10367" s="9"/>
      <c r="J10367" s="11"/>
      <c r="U10367" s="9"/>
      <c r="X10367" s="9"/>
    </row>
    <row r="10368">
      <c r="D10368" s="9"/>
      <c r="G10368" s="9"/>
      <c r="J10368" s="11"/>
      <c r="U10368" s="9"/>
      <c r="X10368" s="9"/>
    </row>
    <row r="10369">
      <c r="D10369" s="9"/>
      <c r="G10369" s="9"/>
      <c r="J10369" s="11"/>
      <c r="U10369" s="9"/>
      <c r="X10369" s="9"/>
    </row>
    <row r="10370">
      <c r="D10370" s="9"/>
      <c r="G10370" s="9"/>
      <c r="J10370" s="11"/>
      <c r="U10370" s="9"/>
      <c r="X10370" s="9"/>
    </row>
    <row r="10371">
      <c r="D10371" s="9"/>
      <c r="G10371" s="9"/>
      <c r="J10371" s="11"/>
      <c r="U10371" s="9"/>
      <c r="X10371" s="9"/>
    </row>
    <row r="10372">
      <c r="D10372" s="9"/>
      <c r="G10372" s="9"/>
      <c r="J10372" s="11"/>
      <c r="U10372" s="9"/>
      <c r="X10372" s="9"/>
    </row>
    <row r="10373">
      <c r="D10373" s="9"/>
      <c r="G10373" s="9"/>
      <c r="J10373" s="11"/>
      <c r="U10373" s="9"/>
      <c r="X10373" s="9"/>
    </row>
    <row r="10374">
      <c r="D10374" s="9"/>
      <c r="G10374" s="9"/>
      <c r="J10374" s="11"/>
      <c r="U10374" s="9"/>
      <c r="X10374" s="9"/>
    </row>
    <row r="10375">
      <c r="D10375" s="9"/>
      <c r="G10375" s="9"/>
      <c r="J10375" s="11"/>
      <c r="U10375" s="9"/>
      <c r="X10375" s="9"/>
    </row>
    <row r="10376">
      <c r="D10376" s="9"/>
      <c r="G10376" s="9"/>
      <c r="J10376" s="11"/>
      <c r="U10376" s="9"/>
      <c r="X10376" s="9"/>
    </row>
    <row r="10377">
      <c r="D10377" s="9"/>
      <c r="G10377" s="9"/>
      <c r="J10377" s="11"/>
      <c r="U10377" s="9"/>
      <c r="X10377" s="9"/>
    </row>
    <row r="10378">
      <c r="D10378" s="9"/>
      <c r="G10378" s="9"/>
      <c r="J10378" s="11"/>
      <c r="U10378" s="9"/>
      <c r="X10378" s="9"/>
    </row>
    <row r="10379">
      <c r="D10379" s="9"/>
      <c r="G10379" s="9"/>
      <c r="J10379" s="11"/>
      <c r="U10379" s="9"/>
      <c r="X10379" s="9"/>
    </row>
    <row r="10380">
      <c r="D10380" s="9"/>
      <c r="G10380" s="9"/>
      <c r="J10380" s="11"/>
      <c r="U10380" s="9"/>
      <c r="X10380" s="9"/>
    </row>
    <row r="10381">
      <c r="D10381" s="9"/>
      <c r="G10381" s="9"/>
      <c r="J10381" s="11"/>
      <c r="U10381" s="9"/>
      <c r="X10381" s="9"/>
    </row>
    <row r="10382">
      <c r="D10382" s="9"/>
      <c r="G10382" s="9"/>
      <c r="J10382" s="11"/>
      <c r="U10382" s="9"/>
      <c r="X10382" s="9"/>
    </row>
    <row r="10383">
      <c r="D10383" s="9"/>
      <c r="G10383" s="9"/>
      <c r="J10383" s="11"/>
      <c r="U10383" s="9"/>
      <c r="X10383" s="9"/>
    </row>
    <row r="10384">
      <c r="D10384" s="9"/>
      <c r="G10384" s="9"/>
      <c r="J10384" s="11"/>
      <c r="U10384" s="9"/>
      <c r="X10384" s="9"/>
    </row>
    <row r="10385">
      <c r="D10385" s="9"/>
      <c r="G10385" s="9"/>
      <c r="J10385" s="11"/>
      <c r="U10385" s="9"/>
      <c r="X10385" s="9"/>
    </row>
    <row r="10386">
      <c r="D10386" s="9"/>
      <c r="G10386" s="9"/>
      <c r="J10386" s="11"/>
      <c r="U10386" s="9"/>
      <c r="X10386" s="9"/>
    </row>
    <row r="10387">
      <c r="D10387" s="9"/>
      <c r="G10387" s="9"/>
      <c r="J10387" s="11"/>
      <c r="U10387" s="9"/>
      <c r="X10387" s="9"/>
    </row>
    <row r="10388">
      <c r="D10388" s="9"/>
      <c r="G10388" s="9"/>
      <c r="J10388" s="11"/>
      <c r="U10388" s="9"/>
      <c r="X10388" s="9"/>
    </row>
    <row r="10389">
      <c r="D10389" s="9"/>
      <c r="G10389" s="9"/>
      <c r="J10389" s="11"/>
      <c r="U10389" s="9"/>
      <c r="X10389" s="9"/>
    </row>
    <row r="10390">
      <c r="D10390" s="9"/>
      <c r="G10390" s="9"/>
      <c r="J10390" s="11"/>
      <c r="U10390" s="9"/>
      <c r="X10390" s="9"/>
    </row>
    <row r="10391">
      <c r="D10391" s="9"/>
      <c r="G10391" s="9"/>
      <c r="J10391" s="11"/>
      <c r="U10391" s="9"/>
      <c r="X10391" s="9"/>
    </row>
    <row r="10392">
      <c r="D10392" s="9"/>
      <c r="G10392" s="9"/>
      <c r="J10392" s="11"/>
      <c r="U10392" s="9"/>
      <c r="X10392" s="9"/>
    </row>
    <row r="10393">
      <c r="D10393" s="9"/>
      <c r="G10393" s="9"/>
      <c r="J10393" s="11"/>
      <c r="U10393" s="9"/>
      <c r="X10393" s="9"/>
    </row>
    <row r="10394">
      <c r="D10394" s="9"/>
      <c r="G10394" s="9"/>
      <c r="J10394" s="11"/>
      <c r="U10394" s="9"/>
      <c r="X10394" s="9"/>
    </row>
    <row r="10395">
      <c r="D10395" s="9"/>
      <c r="G10395" s="9"/>
      <c r="J10395" s="11"/>
      <c r="U10395" s="9"/>
      <c r="X10395" s="9"/>
    </row>
    <row r="10396">
      <c r="D10396" s="9"/>
      <c r="G10396" s="9"/>
      <c r="J10396" s="11"/>
      <c r="U10396" s="9"/>
      <c r="X10396" s="9"/>
    </row>
    <row r="10397">
      <c r="D10397" s="9"/>
      <c r="G10397" s="9"/>
      <c r="J10397" s="11"/>
      <c r="U10397" s="9"/>
      <c r="X10397" s="9"/>
    </row>
    <row r="10398">
      <c r="D10398" s="9"/>
      <c r="G10398" s="9"/>
      <c r="J10398" s="11"/>
      <c r="U10398" s="9"/>
      <c r="X10398" s="9"/>
    </row>
    <row r="10399">
      <c r="D10399" s="9"/>
      <c r="G10399" s="9"/>
      <c r="J10399" s="11"/>
      <c r="U10399" s="9"/>
      <c r="X10399" s="9"/>
    </row>
    <row r="10400">
      <c r="D10400" s="9"/>
      <c r="G10400" s="9"/>
      <c r="J10400" s="11"/>
      <c r="U10400" s="9"/>
      <c r="X10400" s="9"/>
    </row>
    <row r="10401">
      <c r="D10401" s="9"/>
      <c r="G10401" s="9"/>
      <c r="J10401" s="11"/>
      <c r="U10401" s="9"/>
      <c r="X10401" s="9"/>
    </row>
    <row r="10402">
      <c r="D10402" s="9"/>
      <c r="G10402" s="9"/>
      <c r="J10402" s="11"/>
      <c r="U10402" s="9"/>
      <c r="X10402" s="9"/>
    </row>
    <row r="10403">
      <c r="D10403" s="9"/>
      <c r="G10403" s="9"/>
      <c r="J10403" s="11"/>
      <c r="U10403" s="9"/>
      <c r="X10403" s="9"/>
    </row>
    <row r="10404">
      <c r="D10404" s="9"/>
      <c r="G10404" s="9"/>
      <c r="J10404" s="11"/>
      <c r="U10404" s="9"/>
      <c r="X10404" s="9"/>
    </row>
    <row r="10405">
      <c r="D10405" s="9"/>
      <c r="G10405" s="9"/>
      <c r="J10405" s="11"/>
      <c r="U10405" s="9"/>
      <c r="X10405" s="9"/>
    </row>
    <row r="10406">
      <c r="D10406" s="9"/>
      <c r="G10406" s="9"/>
      <c r="J10406" s="11"/>
      <c r="U10406" s="9"/>
      <c r="X10406" s="9"/>
    </row>
    <row r="10407">
      <c r="D10407" s="9"/>
      <c r="G10407" s="9"/>
      <c r="J10407" s="11"/>
      <c r="U10407" s="9"/>
      <c r="X10407" s="9"/>
    </row>
    <row r="10408">
      <c r="D10408" s="9"/>
      <c r="G10408" s="9"/>
      <c r="J10408" s="11"/>
      <c r="U10408" s="9"/>
      <c r="X10408" s="9"/>
    </row>
    <row r="10409">
      <c r="D10409" s="9"/>
      <c r="G10409" s="9"/>
      <c r="J10409" s="11"/>
      <c r="U10409" s="9"/>
      <c r="X10409" s="9"/>
    </row>
    <row r="10410">
      <c r="D10410" s="9"/>
      <c r="G10410" s="9"/>
      <c r="J10410" s="11"/>
      <c r="U10410" s="9"/>
      <c r="X10410" s="9"/>
    </row>
    <row r="10411">
      <c r="D10411" s="9"/>
      <c r="G10411" s="9"/>
      <c r="J10411" s="11"/>
      <c r="U10411" s="9"/>
      <c r="X10411" s="9"/>
    </row>
    <row r="10412">
      <c r="D10412" s="9"/>
      <c r="G10412" s="9"/>
      <c r="J10412" s="11"/>
      <c r="U10412" s="9"/>
      <c r="X10412" s="9"/>
    </row>
    <row r="10413">
      <c r="D10413" s="9"/>
      <c r="G10413" s="9"/>
      <c r="J10413" s="11"/>
      <c r="U10413" s="9"/>
      <c r="X10413" s="9"/>
    </row>
    <row r="10414">
      <c r="D10414" s="9"/>
      <c r="G10414" s="9"/>
      <c r="J10414" s="11"/>
      <c r="U10414" s="9"/>
      <c r="X10414" s="9"/>
    </row>
    <row r="10415">
      <c r="D10415" s="9"/>
      <c r="G10415" s="9"/>
      <c r="J10415" s="11"/>
      <c r="U10415" s="9"/>
      <c r="X10415" s="9"/>
    </row>
    <row r="10416">
      <c r="D10416" s="9"/>
      <c r="G10416" s="9"/>
      <c r="J10416" s="11"/>
      <c r="U10416" s="9"/>
      <c r="X10416" s="9"/>
    </row>
    <row r="10417">
      <c r="D10417" s="9"/>
      <c r="G10417" s="9"/>
      <c r="J10417" s="11"/>
      <c r="U10417" s="9"/>
      <c r="X10417" s="9"/>
    </row>
    <row r="10418">
      <c r="D10418" s="9"/>
      <c r="G10418" s="9"/>
      <c r="J10418" s="11"/>
      <c r="U10418" s="9"/>
      <c r="X10418" s="9"/>
    </row>
    <row r="10419">
      <c r="D10419" s="9"/>
      <c r="G10419" s="9"/>
      <c r="J10419" s="11"/>
      <c r="U10419" s="9"/>
      <c r="X10419" s="9"/>
    </row>
    <row r="10420">
      <c r="D10420" s="9"/>
      <c r="G10420" s="9"/>
      <c r="J10420" s="11"/>
      <c r="U10420" s="9"/>
      <c r="X10420" s="9"/>
    </row>
    <row r="10421">
      <c r="D10421" s="9"/>
      <c r="G10421" s="9"/>
      <c r="J10421" s="11"/>
      <c r="U10421" s="9"/>
      <c r="X10421" s="9"/>
    </row>
    <row r="10422">
      <c r="D10422" s="9"/>
      <c r="G10422" s="9"/>
      <c r="J10422" s="11"/>
      <c r="U10422" s="9"/>
      <c r="X10422" s="9"/>
    </row>
    <row r="10423">
      <c r="D10423" s="9"/>
      <c r="G10423" s="9"/>
      <c r="J10423" s="11"/>
      <c r="U10423" s="9"/>
      <c r="X10423" s="9"/>
    </row>
    <row r="10424">
      <c r="D10424" s="9"/>
      <c r="G10424" s="9"/>
      <c r="J10424" s="11"/>
      <c r="U10424" s="9"/>
      <c r="X10424" s="9"/>
    </row>
    <row r="10425">
      <c r="D10425" s="9"/>
      <c r="G10425" s="9"/>
      <c r="J10425" s="11"/>
      <c r="U10425" s="9"/>
      <c r="X10425" s="9"/>
    </row>
    <row r="10426">
      <c r="D10426" s="9"/>
      <c r="G10426" s="9"/>
      <c r="J10426" s="11"/>
      <c r="U10426" s="9"/>
      <c r="X10426" s="9"/>
    </row>
    <row r="10427">
      <c r="D10427" s="9"/>
      <c r="G10427" s="9"/>
      <c r="J10427" s="11"/>
      <c r="U10427" s="9"/>
      <c r="X10427" s="9"/>
    </row>
    <row r="10428">
      <c r="D10428" s="9"/>
      <c r="G10428" s="9"/>
      <c r="J10428" s="11"/>
      <c r="U10428" s="9"/>
      <c r="X10428" s="9"/>
    </row>
    <row r="10429">
      <c r="D10429" s="9"/>
      <c r="G10429" s="9"/>
      <c r="J10429" s="11"/>
      <c r="U10429" s="9"/>
      <c r="X10429" s="9"/>
    </row>
    <row r="10430">
      <c r="D10430" s="9"/>
      <c r="G10430" s="9"/>
      <c r="J10430" s="11"/>
      <c r="U10430" s="9"/>
      <c r="X10430" s="9"/>
    </row>
    <row r="10431">
      <c r="D10431" s="9"/>
      <c r="G10431" s="9"/>
      <c r="J10431" s="11"/>
      <c r="U10431" s="9"/>
      <c r="X10431" s="9"/>
    </row>
    <row r="10432">
      <c r="D10432" s="9"/>
      <c r="G10432" s="9"/>
      <c r="J10432" s="11"/>
      <c r="U10432" s="9"/>
      <c r="X10432" s="9"/>
    </row>
    <row r="10433">
      <c r="D10433" s="9"/>
      <c r="G10433" s="9"/>
      <c r="J10433" s="11"/>
      <c r="U10433" s="9"/>
      <c r="X10433" s="9"/>
    </row>
    <row r="10434">
      <c r="D10434" s="9"/>
      <c r="G10434" s="9"/>
      <c r="J10434" s="11"/>
      <c r="U10434" s="9"/>
      <c r="X10434" s="9"/>
    </row>
    <row r="10435">
      <c r="D10435" s="9"/>
      <c r="G10435" s="9"/>
      <c r="J10435" s="11"/>
      <c r="U10435" s="9"/>
      <c r="X10435" s="9"/>
    </row>
    <row r="10436">
      <c r="D10436" s="9"/>
      <c r="G10436" s="9"/>
      <c r="J10436" s="11"/>
      <c r="U10436" s="9"/>
      <c r="X10436" s="9"/>
    </row>
    <row r="10437">
      <c r="D10437" s="9"/>
      <c r="G10437" s="9"/>
      <c r="J10437" s="11"/>
      <c r="U10437" s="9"/>
      <c r="X10437" s="9"/>
    </row>
    <row r="10438">
      <c r="D10438" s="9"/>
      <c r="G10438" s="9"/>
      <c r="J10438" s="11"/>
      <c r="U10438" s="9"/>
      <c r="X10438" s="9"/>
    </row>
    <row r="10439">
      <c r="D10439" s="9"/>
      <c r="G10439" s="9"/>
      <c r="J10439" s="11"/>
      <c r="U10439" s="9"/>
      <c r="X10439" s="9"/>
    </row>
    <row r="10440">
      <c r="D10440" s="9"/>
      <c r="G10440" s="9"/>
      <c r="J10440" s="11"/>
      <c r="U10440" s="9"/>
      <c r="X10440" s="9"/>
    </row>
    <row r="10441">
      <c r="D10441" s="9"/>
      <c r="G10441" s="9"/>
      <c r="J10441" s="11"/>
      <c r="U10441" s="9"/>
      <c r="X10441" s="9"/>
    </row>
    <row r="10442">
      <c r="D10442" s="9"/>
      <c r="G10442" s="9"/>
      <c r="J10442" s="11"/>
      <c r="U10442" s="9"/>
      <c r="X10442" s="9"/>
    </row>
    <row r="10443">
      <c r="D10443" s="9"/>
      <c r="G10443" s="9"/>
      <c r="J10443" s="11"/>
      <c r="U10443" s="9"/>
      <c r="X10443" s="9"/>
    </row>
    <row r="10444">
      <c r="D10444" s="9"/>
      <c r="G10444" s="9"/>
      <c r="J10444" s="11"/>
      <c r="U10444" s="9"/>
      <c r="X10444" s="9"/>
    </row>
    <row r="10445">
      <c r="D10445" s="9"/>
      <c r="G10445" s="9"/>
      <c r="J10445" s="11"/>
      <c r="U10445" s="9"/>
      <c r="X10445" s="9"/>
    </row>
    <row r="10446">
      <c r="D10446" s="9"/>
      <c r="G10446" s="9"/>
      <c r="J10446" s="11"/>
      <c r="U10446" s="9"/>
      <c r="X10446" s="9"/>
    </row>
    <row r="10447">
      <c r="D10447" s="9"/>
      <c r="G10447" s="9"/>
      <c r="J10447" s="11"/>
      <c r="U10447" s="9"/>
      <c r="X10447" s="9"/>
    </row>
    <row r="10448">
      <c r="D10448" s="9"/>
      <c r="G10448" s="9"/>
      <c r="J10448" s="11"/>
      <c r="U10448" s="9"/>
      <c r="X10448" s="9"/>
    </row>
    <row r="10449">
      <c r="D10449" s="9"/>
      <c r="G10449" s="9"/>
      <c r="J10449" s="11"/>
      <c r="U10449" s="9"/>
      <c r="X10449" s="9"/>
    </row>
    <row r="10450">
      <c r="D10450" s="9"/>
      <c r="G10450" s="9"/>
      <c r="J10450" s="11"/>
      <c r="U10450" s="9"/>
      <c r="X10450" s="9"/>
    </row>
    <row r="10451">
      <c r="D10451" s="9"/>
      <c r="G10451" s="9"/>
      <c r="J10451" s="11"/>
      <c r="U10451" s="9"/>
      <c r="X10451" s="9"/>
    </row>
    <row r="10452">
      <c r="D10452" s="9"/>
      <c r="G10452" s="9"/>
      <c r="J10452" s="11"/>
      <c r="U10452" s="9"/>
      <c r="X10452" s="9"/>
    </row>
    <row r="10453">
      <c r="D10453" s="9"/>
      <c r="G10453" s="9"/>
      <c r="J10453" s="11"/>
      <c r="U10453" s="9"/>
      <c r="X10453" s="9"/>
    </row>
    <row r="10454">
      <c r="D10454" s="9"/>
      <c r="G10454" s="9"/>
      <c r="J10454" s="11"/>
      <c r="U10454" s="9"/>
      <c r="X10454" s="9"/>
    </row>
    <row r="10455">
      <c r="D10455" s="9"/>
      <c r="G10455" s="9"/>
      <c r="J10455" s="11"/>
      <c r="U10455" s="9"/>
      <c r="X10455" s="9"/>
    </row>
    <row r="10456">
      <c r="D10456" s="9"/>
      <c r="G10456" s="9"/>
      <c r="J10456" s="11"/>
      <c r="U10456" s="9"/>
      <c r="X10456" s="9"/>
    </row>
    <row r="10457">
      <c r="D10457" s="9"/>
      <c r="G10457" s="9"/>
      <c r="J10457" s="11"/>
      <c r="U10457" s="9"/>
      <c r="X10457" s="9"/>
    </row>
    <row r="10458">
      <c r="D10458" s="9"/>
      <c r="G10458" s="9"/>
      <c r="J10458" s="11"/>
      <c r="U10458" s="9"/>
      <c r="X10458" s="9"/>
    </row>
    <row r="10459">
      <c r="D10459" s="9"/>
      <c r="G10459" s="9"/>
      <c r="J10459" s="11"/>
      <c r="U10459" s="9"/>
      <c r="X10459" s="9"/>
    </row>
    <row r="10460">
      <c r="D10460" s="9"/>
      <c r="G10460" s="9"/>
      <c r="J10460" s="11"/>
      <c r="U10460" s="9"/>
      <c r="X10460" s="9"/>
    </row>
    <row r="10461">
      <c r="D10461" s="9"/>
      <c r="G10461" s="9"/>
      <c r="J10461" s="11"/>
      <c r="U10461" s="9"/>
      <c r="X10461" s="9"/>
    </row>
    <row r="10462">
      <c r="D10462" s="9"/>
      <c r="G10462" s="9"/>
      <c r="J10462" s="11"/>
      <c r="U10462" s="9"/>
      <c r="X10462" s="9"/>
    </row>
    <row r="10463">
      <c r="D10463" s="9"/>
      <c r="G10463" s="9"/>
      <c r="J10463" s="11"/>
      <c r="U10463" s="9"/>
      <c r="X10463" s="9"/>
    </row>
    <row r="10464">
      <c r="D10464" s="9"/>
      <c r="G10464" s="9"/>
      <c r="J10464" s="11"/>
      <c r="U10464" s="9"/>
      <c r="X10464" s="9"/>
    </row>
    <row r="10465">
      <c r="D10465" s="9"/>
      <c r="G10465" s="9"/>
      <c r="J10465" s="11"/>
      <c r="U10465" s="9"/>
      <c r="X10465" s="9"/>
    </row>
    <row r="10466">
      <c r="D10466" s="9"/>
      <c r="G10466" s="9"/>
      <c r="J10466" s="11"/>
      <c r="U10466" s="9"/>
      <c r="X10466" s="9"/>
    </row>
    <row r="10467">
      <c r="D10467" s="9"/>
      <c r="G10467" s="9"/>
      <c r="J10467" s="11"/>
      <c r="U10467" s="9"/>
      <c r="X10467" s="9"/>
    </row>
    <row r="10468">
      <c r="D10468" s="9"/>
      <c r="G10468" s="9"/>
      <c r="J10468" s="11"/>
      <c r="U10468" s="9"/>
      <c r="X10468" s="9"/>
    </row>
    <row r="10469">
      <c r="D10469" s="9"/>
      <c r="G10469" s="9"/>
      <c r="J10469" s="11"/>
      <c r="U10469" s="9"/>
      <c r="X10469" s="9"/>
    </row>
    <row r="10470">
      <c r="D10470" s="9"/>
      <c r="G10470" s="9"/>
      <c r="J10470" s="11"/>
      <c r="U10470" s="9"/>
      <c r="X10470" s="9"/>
    </row>
    <row r="10471">
      <c r="D10471" s="9"/>
      <c r="G10471" s="9"/>
      <c r="J10471" s="11"/>
      <c r="U10471" s="9"/>
      <c r="X10471" s="9"/>
    </row>
    <row r="10472">
      <c r="D10472" s="9"/>
      <c r="G10472" s="9"/>
      <c r="J10472" s="11"/>
      <c r="U10472" s="9"/>
      <c r="X10472" s="9"/>
    </row>
    <row r="10473">
      <c r="D10473" s="9"/>
      <c r="G10473" s="9"/>
      <c r="J10473" s="11"/>
      <c r="U10473" s="9"/>
      <c r="X10473" s="9"/>
    </row>
    <row r="10474">
      <c r="D10474" s="9"/>
      <c r="G10474" s="9"/>
      <c r="J10474" s="11"/>
      <c r="U10474" s="9"/>
      <c r="X10474" s="9"/>
    </row>
    <row r="10475">
      <c r="D10475" s="9"/>
      <c r="G10475" s="9"/>
      <c r="J10475" s="11"/>
      <c r="U10475" s="9"/>
      <c r="X10475" s="9"/>
    </row>
    <row r="10476">
      <c r="D10476" s="9"/>
      <c r="G10476" s="9"/>
      <c r="J10476" s="11"/>
      <c r="U10476" s="9"/>
      <c r="X10476" s="9"/>
    </row>
    <row r="10477">
      <c r="D10477" s="9"/>
      <c r="G10477" s="9"/>
      <c r="J10477" s="11"/>
      <c r="U10477" s="9"/>
      <c r="X10477" s="9"/>
    </row>
    <row r="10478">
      <c r="D10478" s="9"/>
      <c r="G10478" s="9"/>
      <c r="J10478" s="11"/>
      <c r="U10478" s="9"/>
      <c r="X10478" s="9"/>
    </row>
    <row r="10479">
      <c r="D10479" s="9"/>
      <c r="G10479" s="9"/>
      <c r="J10479" s="11"/>
      <c r="U10479" s="9"/>
      <c r="X10479" s="9"/>
    </row>
    <row r="10480">
      <c r="D10480" s="9"/>
      <c r="G10480" s="9"/>
      <c r="J10480" s="11"/>
      <c r="U10480" s="9"/>
      <c r="X10480" s="9"/>
    </row>
    <row r="10481">
      <c r="D10481" s="9"/>
      <c r="G10481" s="9"/>
      <c r="J10481" s="11"/>
      <c r="U10481" s="9"/>
      <c r="X10481" s="9"/>
    </row>
    <row r="10482">
      <c r="D10482" s="9"/>
      <c r="G10482" s="9"/>
      <c r="J10482" s="11"/>
      <c r="U10482" s="9"/>
      <c r="X10482" s="9"/>
    </row>
    <row r="10483">
      <c r="D10483" s="9"/>
      <c r="G10483" s="9"/>
      <c r="J10483" s="11"/>
      <c r="U10483" s="9"/>
      <c r="X10483" s="9"/>
    </row>
    <row r="10484">
      <c r="D10484" s="9"/>
      <c r="G10484" s="9"/>
      <c r="J10484" s="11"/>
      <c r="U10484" s="9"/>
      <c r="X10484" s="9"/>
    </row>
    <row r="10485">
      <c r="D10485" s="9"/>
      <c r="G10485" s="9"/>
      <c r="J10485" s="11"/>
      <c r="U10485" s="9"/>
      <c r="X10485" s="9"/>
    </row>
    <row r="10486">
      <c r="D10486" s="9"/>
      <c r="G10486" s="9"/>
      <c r="J10486" s="11"/>
      <c r="U10486" s="9"/>
      <c r="X10486" s="9"/>
    </row>
    <row r="10487">
      <c r="D10487" s="9"/>
      <c r="G10487" s="9"/>
      <c r="J10487" s="11"/>
      <c r="U10487" s="9"/>
      <c r="X10487" s="9"/>
    </row>
    <row r="10488">
      <c r="D10488" s="9"/>
      <c r="G10488" s="9"/>
      <c r="J10488" s="11"/>
      <c r="U10488" s="9"/>
      <c r="X10488" s="9"/>
    </row>
    <row r="10489">
      <c r="D10489" s="9"/>
      <c r="G10489" s="9"/>
      <c r="J10489" s="11"/>
      <c r="U10489" s="9"/>
      <c r="X10489" s="9"/>
    </row>
    <row r="10490">
      <c r="D10490" s="9"/>
      <c r="G10490" s="9"/>
      <c r="J10490" s="11"/>
      <c r="U10490" s="9"/>
      <c r="X10490" s="9"/>
    </row>
    <row r="10491">
      <c r="D10491" s="9"/>
      <c r="G10491" s="9"/>
      <c r="J10491" s="11"/>
      <c r="U10491" s="9"/>
      <c r="X10491" s="9"/>
    </row>
    <row r="10492">
      <c r="D10492" s="9"/>
      <c r="G10492" s="9"/>
      <c r="J10492" s="11"/>
      <c r="U10492" s="9"/>
      <c r="X10492" s="9"/>
    </row>
    <row r="10493">
      <c r="D10493" s="9"/>
      <c r="G10493" s="9"/>
      <c r="J10493" s="11"/>
      <c r="U10493" s="9"/>
      <c r="X10493" s="9"/>
    </row>
    <row r="10494">
      <c r="D10494" s="9"/>
      <c r="G10494" s="9"/>
      <c r="J10494" s="11"/>
      <c r="U10494" s="9"/>
      <c r="X10494" s="9"/>
    </row>
    <row r="10495">
      <c r="D10495" s="9"/>
      <c r="G10495" s="9"/>
      <c r="J10495" s="11"/>
      <c r="U10495" s="9"/>
      <c r="X10495" s="9"/>
    </row>
    <row r="10496">
      <c r="D10496" s="9"/>
      <c r="G10496" s="9"/>
      <c r="J10496" s="11"/>
      <c r="U10496" s="9"/>
      <c r="X10496" s="9"/>
    </row>
    <row r="10497">
      <c r="D10497" s="9"/>
      <c r="G10497" s="9"/>
      <c r="J10497" s="11"/>
      <c r="U10497" s="9"/>
      <c r="X10497" s="9"/>
    </row>
    <row r="10498">
      <c r="D10498" s="9"/>
      <c r="G10498" s="9"/>
      <c r="J10498" s="11"/>
      <c r="U10498" s="9"/>
      <c r="X10498" s="9"/>
    </row>
    <row r="10499">
      <c r="D10499" s="9"/>
      <c r="G10499" s="9"/>
      <c r="J10499" s="11"/>
      <c r="U10499" s="9"/>
      <c r="X10499" s="9"/>
    </row>
    <row r="10500">
      <c r="D10500" s="9"/>
      <c r="G10500" s="9"/>
      <c r="J10500" s="11"/>
      <c r="U10500" s="9"/>
      <c r="X10500" s="9"/>
    </row>
    <row r="10501">
      <c r="D10501" s="9"/>
      <c r="G10501" s="9"/>
      <c r="J10501" s="11"/>
      <c r="U10501" s="9"/>
      <c r="X10501" s="9"/>
    </row>
    <row r="10502">
      <c r="D10502" s="9"/>
      <c r="G10502" s="9"/>
      <c r="J10502" s="11"/>
      <c r="U10502" s="9"/>
      <c r="X10502" s="9"/>
    </row>
    <row r="10503">
      <c r="D10503" s="9"/>
      <c r="G10503" s="9"/>
      <c r="J10503" s="11"/>
      <c r="U10503" s="9"/>
      <c r="X10503" s="9"/>
    </row>
    <row r="10504">
      <c r="D10504" s="9"/>
      <c r="G10504" s="9"/>
      <c r="J10504" s="11"/>
      <c r="U10504" s="9"/>
      <c r="X10504" s="9"/>
    </row>
    <row r="10505">
      <c r="D10505" s="9"/>
      <c r="G10505" s="9"/>
      <c r="J10505" s="11"/>
      <c r="U10505" s="9"/>
      <c r="X10505" s="9"/>
    </row>
    <row r="10506">
      <c r="D10506" s="9"/>
      <c r="G10506" s="9"/>
      <c r="J10506" s="11"/>
      <c r="U10506" s="9"/>
      <c r="X10506" s="9"/>
    </row>
    <row r="10507">
      <c r="D10507" s="9"/>
      <c r="G10507" s="9"/>
      <c r="J10507" s="11"/>
      <c r="U10507" s="9"/>
      <c r="X10507" s="9"/>
    </row>
    <row r="10508">
      <c r="D10508" s="9"/>
      <c r="G10508" s="9"/>
      <c r="J10508" s="11"/>
      <c r="U10508" s="9"/>
      <c r="X10508" s="9"/>
    </row>
    <row r="10509">
      <c r="D10509" s="9"/>
      <c r="G10509" s="9"/>
      <c r="J10509" s="11"/>
      <c r="U10509" s="9"/>
      <c r="X10509" s="9"/>
    </row>
    <row r="10510">
      <c r="D10510" s="9"/>
      <c r="G10510" s="9"/>
      <c r="J10510" s="11"/>
      <c r="U10510" s="9"/>
      <c r="X10510" s="9"/>
    </row>
    <row r="10511">
      <c r="D10511" s="9"/>
      <c r="G10511" s="9"/>
      <c r="J10511" s="11"/>
      <c r="U10511" s="9"/>
      <c r="X10511" s="9"/>
    </row>
    <row r="10512">
      <c r="D10512" s="9"/>
      <c r="G10512" s="9"/>
      <c r="J10512" s="11"/>
      <c r="U10512" s="9"/>
      <c r="X10512" s="9"/>
    </row>
    <row r="10513">
      <c r="D10513" s="9"/>
      <c r="G10513" s="9"/>
      <c r="J10513" s="11"/>
      <c r="U10513" s="9"/>
      <c r="X10513" s="9"/>
    </row>
    <row r="10514">
      <c r="D10514" s="9"/>
      <c r="G10514" s="9"/>
      <c r="J10514" s="11"/>
      <c r="U10514" s="9"/>
      <c r="X10514" s="9"/>
    </row>
    <row r="10515">
      <c r="D10515" s="9"/>
      <c r="G10515" s="9"/>
      <c r="J10515" s="11"/>
      <c r="U10515" s="9"/>
      <c r="X10515" s="9"/>
    </row>
    <row r="10516">
      <c r="D10516" s="9"/>
      <c r="G10516" s="9"/>
      <c r="J10516" s="11"/>
      <c r="U10516" s="9"/>
      <c r="X10516" s="9"/>
    </row>
    <row r="10517">
      <c r="D10517" s="9"/>
      <c r="G10517" s="9"/>
      <c r="J10517" s="11"/>
      <c r="U10517" s="9"/>
      <c r="X10517" s="9"/>
    </row>
    <row r="10518">
      <c r="D10518" s="9"/>
      <c r="G10518" s="9"/>
      <c r="J10518" s="11"/>
      <c r="U10518" s="9"/>
      <c r="X10518" s="9"/>
    </row>
    <row r="10519">
      <c r="D10519" s="9"/>
      <c r="G10519" s="9"/>
      <c r="J10519" s="11"/>
      <c r="U10519" s="9"/>
      <c r="X10519" s="9"/>
    </row>
    <row r="10520">
      <c r="D10520" s="9"/>
      <c r="G10520" s="9"/>
      <c r="J10520" s="11"/>
      <c r="U10520" s="9"/>
      <c r="X10520" s="9"/>
    </row>
    <row r="10521">
      <c r="D10521" s="9"/>
      <c r="G10521" s="9"/>
      <c r="J10521" s="11"/>
      <c r="U10521" s="9"/>
      <c r="X10521" s="9"/>
    </row>
    <row r="10522">
      <c r="D10522" s="9"/>
      <c r="G10522" s="9"/>
      <c r="J10522" s="11"/>
      <c r="U10522" s="9"/>
      <c r="X10522" s="9"/>
    </row>
    <row r="10523">
      <c r="D10523" s="9"/>
      <c r="G10523" s="9"/>
      <c r="J10523" s="11"/>
      <c r="U10523" s="9"/>
      <c r="X10523" s="9"/>
    </row>
    <row r="10524">
      <c r="D10524" s="9"/>
      <c r="G10524" s="9"/>
      <c r="J10524" s="11"/>
      <c r="U10524" s="9"/>
      <c r="X10524" s="9"/>
    </row>
    <row r="10525">
      <c r="D10525" s="9"/>
      <c r="G10525" s="9"/>
      <c r="J10525" s="11"/>
      <c r="U10525" s="9"/>
      <c r="X10525" s="9"/>
    </row>
    <row r="10526">
      <c r="D10526" s="9"/>
      <c r="G10526" s="9"/>
      <c r="J10526" s="11"/>
      <c r="U10526" s="9"/>
      <c r="X10526" s="9"/>
    </row>
    <row r="10527">
      <c r="D10527" s="9"/>
      <c r="G10527" s="9"/>
      <c r="J10527" s="11"/>
      <c r="U10527" s="9"/>
      <c r="X10527" s="9"/>
    </row>
    <row r="10528">
      <c r="D10528" s="9"/>
      <c r="G10528" s="9"/>
      <c r="J10528" s="11"/>
      <c r="U10528" s="9"/>
      <c r="X10528" s="9"/>
    </row>
    <row r="10529">
      <c r="D10529" s="9"/>
      <c r="G10529" s="9"/>
      <c r="J10529" s="11"/>
      <c r="U10529" s="9"/>
      <c r="X10529" s="9"/>
    </row>
    <row r="10530">
      <c r="D10530" s="9"/>
      <c r="G10530" s="9"/>
      <c r="J10530" s="11"/>
      <c r="U10530" s="9"/>
      <c r="X10530" s="9"/>
    </row>
    <row r="10531">
      <c r="D10531" s="9"/>
      <c r="G10531" s="9"/>
      <c r="J10531" s="11"/>
      <c r="U10531" s="9"/>
      <c r="X10531" s="9"/>
    </row>
    <row r="10532">
      <c r="D10532" s="9"/>
      <c r="G10532" s="9"/>
      <c r="J10532" s="11"/>
      <c r="U10532" s="9"/>
      <c r="X10532" s="9"/>
    </row>
    <row r="10533">
      <c r="D10533" s="9"/>
      <c r="G10533" s="9"/>
      <c r="J10533" s="11"/>
      <c r="U10533" s="9"/>
      <c r="X10533" s="9"/>
    </row>
    <row r="10534">
      <c r="D10534" s="9"/>
      <c r="G10534" s="9"/>
      <c r="J10534" s="11"/>
      <c r="U10534" s="9"/>
      <c r="X10534" s="9"/>
    </row>
    <row r="10535">
      <c r="D10535" s="9"/>
      <c r="G10535" s="9"/>
      <c r="J10535" s="11"/>
      <c r="U10535" s="9"/>
      <c r="X10535" s="9"/>
    </row>
    <row r="10536">
      <c r="D10536" s="9"/>
      <c r="G10536" s="9"/>
      <c r="J10536" s="11"/>
      <c r="U10536" s="9"/>
      <c r="X10536" s="9"/>
    </row>
    <row r="10537">
      <c r="D10537" s="9"/>
      <c r="G10537" s="9"/>
      <c r="J10537" s="11"/>
      <c r="U10537" s="9"/>
      <c r="X10537" s="9"/>
    </row>
    <row r="10538">
      <c r="D10538" s="9"/>
      <c r="G10538" s="9"/>
      <c r="J10538" s="11"/>
      <c r="U10538" s="9"/>
      <c r="X10538" s="9"/>
    </row>
    <row r="10539">
      <c r="D10539" s="9"/>
      <c r="G10539" s="9"/>
      <c r="J10539" s="11"/>
      <c r="U10539" s="9"/>
      <c r="X10539" s="9"/>
    </row>
    <row r="10540">
      <c r="D10540" s="9"/>
      <c r="G10540" s="9"/>
      <c r="J10540" s="11"/>
      <c r="U10540" s="9"/>
      <c r="X10540" s="9"/>
    </row>
    <row r="10541">
      <c r="D10541" s="9"/>
      <c r="G10541" s="9"/>
      <c r="J10541" s="11"/>
      <c r="U10541" s="9"/>
      <c r="X10541" s="9"/>
    </row>
    <row r="10542">
      <c r="D10542" s="9"/>
      <c r="G10542" s="9"/>
      <c r="J10542" s="11"/>
      <c r="U10542" s="9"/>
      <c r="X10542" s="9"/>
    </row>
    <row r="10543">
      <c r="D10543" s="9"/>
      <c r="G10543" s="9"/>
      <c r="J10543" s="11"/>
      <c r="U10543" s="9"/>
      <c r="X10543" s="9"/>
    </row>
    <row r="10544">
      <c r="D10544" s="9"/>
      <c r="G10544" s="9"/>
      <c r="J10544" s="11"/>
      <c r="U10544" s="9"/>
      <c r="X10544" s="9"/>
    </row>
    <row r="10545">
      <c r="D10545" s="9"/>
      <c r="G10545" s="9"/>
      <c r="J10545" s="11"/>
      <c r="U10545" s="9"/>
      <c r="X10545" s="9"/>
    </row>
    <row r="10546">
      <c r="D10546" s="9"/>
      <c r="G10546" s="9"/>
      <c r="J10546" s="11"/>
      <c r="U10546" s="9"/>
      <c r="X10546" s="9"/>
    </row>
    <row r="10547">
      <c r="D10547" s="9"/>
      <c r="G10547" s="9"/>
      <c r="J10547" s="11"/>
      <c r="U10547" s="9"/>
      <c r="X10547" s="9"/>
    </row>
    <row r="10548">
      <c r="D10548" s="9"/>
      <c r="G10548" s="9"/>
      <c r="J10548" s="11"/>
      <c r="U10548" s="9"/>
      <c r="X10548" s="9"/>
    </row>
    <row r="10549">
      <c r="D10549" s="9"/>
      <c r="G10549" s="9"/>
      <c r="J10549" s="11"/>
      <c r="U10549" s="9"/>
      <c r="X10549" s="9"/>
    </row>
    <row r="10550">
      <c r="D10550" s="9"/>
      <c r="G10550" s="9"/>
      <c r="J10550" s="11"/>
      <c r="U10550" s="9"/>
      <c r="X10550" s="9"/>
    </row>
    <row r="10551">
      <c r="D10551" s="9"/>
      <c r="G10551" s="9"/>
      <c r="J10551" s="11"/>
      <c r="U10551" s="9"/>
      <c r="X10551" s="9"/>
    </row>
    <row r="10552">
      <c r="D10552" s="9"/>
      <c r="G10552" s="9"/>
      <c r="J10552" s="11"/>
      <c r="U10552" s="9"/>
      <c r="X10552" s="9"/>
    </row>
    <row r="10553">
      <c r="D10553" s="9"/>
      <c r="G10553" s="9"/>
      <c r="J10553" s="11"/>
      <c r="U10553" s="9"/>
      <c r="X10553" s="9"/>
    </row>
    <row r="10554">
      <c r="D10554" s="9"/>
      <c r="G10554" s="9"/>
      <c r="J10554" s="11"/>
      <c r="U10554" s="9"/>
      <c r="X10554" s="9"/>
    </row>
    <row r="10555">
      <c r="D10555" s="9"/>
      <c r="G10555" s="9"/>
      <c r="J10555" s="11"/>
      <c r="U10555" s="9"/>
      <c r="X10555" s="9"/>
    </row>
    <row r="10556">
      <c r="D10556" s="9"/>
      <c r="G10556" s="9"/>
      <c r="J10556" s="11"/>
      <c r="U10556" s="9"/>
      <c r="X10556" s="9"/>
    </row>
    <row r="10557">
      <c r="D10557" s="9"/>
      <c r="G10557" s="9"/>
      <c r="J10557" s="11"/>
      <c r="U10557" s="9"/>
      <c r="X10557" s="9"/>
    </row>
    <row r="10558">
      <c r="D10558" s="9"/>
      <c r="G10558" s="9"/>
      <c r="J10558" s="11"/>
      <c r="U10558" s="9"/>
      <c r="X10558" s="9"/>
    </row>
    <row r="10559">
      <c r="D10559" s="9"/>
      <c r="G10559" s="9"/>
      <c r="J10559" s="11"/>
      <c r="U10559" s="9"/>
      <c r="X10559" s="9"/>
    </row>
    <row r="10560">
      <c r="D10560" s="9"/>
      <c r="G10560" s="9"/>
      <c r="J10560" s="11"/>
      <c r="U10560" s="9"/>
      <c r="X10560" s="9"/>
    </row>
    <row r="10561">
      <c r="D10561" s="9"/>
      <c r="G10561" s="9"/>
      <c r="J10561" s="11"/>
      <c r="U10561" s="9"/>
      <c r="X10561" s="9"/>
    </row>
    <row r="10562">
      <c r="D10562" s="9"/>
      <c r="G10562" s="9"/>
      <c r="J10562" s="11"/>
      <c r="U10562" s="9"/>
      <c r="X10562" s="9"/>
    </row>
    <row r="10563">
      <c r="D10563" s="9"/>
      <c r="G10563" s="9"/>
      <c r="J10563" s="11"/>
      <c r="U10563" s="9"/>
      <c r="X10563" s="9"/>
    </row>
    <row r="10564">
      <c r="D10564" s="9"/>
      <c r="G10564" s="9"/>
      <c r="J10564" s="11"/>
      <c r="U10564" s="9"/>
      <c r="X10564" s="9"/>
    </row>
    <row r="10565">
      <c r="D10565" s="9"/>
      <c r="G10565" s="9"/>
      <c r="J10565" s="11"/>
      <c r="U10565" s="9"/>
      <c r="X10565" s="9"/>
    </row>
    <row r="10566">
      <c r="D10566" s="9"/>
      <c r="G10566" s="9"/>
      <c r="J10566" s="11"/>
      <c r="U10566" s="9"/>
      <c r="X10566" s="9"/>
    </row>
    <row r="10567">
      <c r="D10567" s="9"/>
      <c r="G10567" s="9"/>
      <c r="J10567" s="11"/>
      <c r="U10567" s="9"/>
      <c r="X10567" s="9"/>
    </row>
    <row r="10568">
      <c r="D10568" s="9"/>
      <c r="G10568" s="9"/>
      <c r="J10568" s="11"/>
      <c r="U10568" s="9"/>
      <c r="X10568" s="9"/>
    </row>
    <row r="10569">
      <c r="D10569" s="9"/>
      <c r="G10569" s="9"/>
      <c r="J10569" s="11"/>
      <c r="U10569" s="9"/>
      <c r="X10569" s="9"/>
    </row>
    <row r="10570">
      <c r="D10570" s="9"/>
      <c r="G10570" s="9"/>
      <c r="J10570" s="11"/>
      <c r="U10570" s="9"/>
      <c r="X10570" s="9"/>
    </row>
    <row r="10571">
      <c r="D10571" s="9"/>
      <c r="G10571" s="9"/>
      <c r="J10571" s="11"/>
      <c r="U10571" s="9"/>
      <c r="X10571" s="9"/>
    </row>
    <row r="10572">
      <c r="D10572" s="9"/>
      <c r="G10572" s="9"/>
      <c r="J10572" s="11"/>
      <c r="U10572" s="9"/>
      <c r="X10572" s="9"/>
    </row>
    <row r="10573">
      <c r="D10573" s="9"/>
      <c r="G10573" s="9"/>
      <c r="J10573" s="11"/>
      <c r="U10573" s="9"/>
      <c r="X10573" s="9"/>
    </row>
    <row r="10574">
      <c r="D10574" s="9"/>
      <c r="G10574" s="9"/>
      <c r="J10574" s="11"/>
      <c r="U10574" s="9"/>
      <c r="X10574" s="9"/>
    </row>
    <row r="10575">
      <c r="D10575" s="9"/>
      <c r="G10575" s="9"/>
      <c r="J10575" s="11"/>
      <c r="U10575" s="9"/>
      <c r="X10575" s="9"/>
    </row>
    <row r="10576">
      <c r="D10576" s="9"/>
      <c r="G10576" s="9"/>
      <c r="J10576" s="11"/>
      <c r="U10576" s="9"/>
      <c r="X10576" s="9"/>
    </row>
    <row r="10577">
      <c r="D10577" s="9"/>
      <c r="G10577" s="9"/>
      <c r="J10577" s="11"/>
      <c r="U10577" s="9"/>
      <c r="X10577" s="9"/>
    </row>
    <row r="10578">
      <c r="D10578" s="9"/>
      <c r="G10578" s="9"/>
      <c r="J10578" s="11"/>
      <c r="U10578" s="9"/>
      <c r="X10578" s="9"/>
    </row>
    <row r="10579">
      <c r="D10579" s="9"/>
      <c r="G10579" s="9"/>
      <c r="J10579" s="11"/>
      <c r="U10579" s="9"/>
      <c r="X10579" s="9"/>
    </row>
    <row r="10580">
      <c r="D10580" s="9"/>
      <c r="G10580" s="9"/>
      <c r="J10580" s="11"/>
      <c r="U10580" s="9"/>
      <c r="X10580" s="9"/>
    </row>
    <row r="10581">
      <c r="D10581" s="9"/>
      <c r="G10581" s="9"/>
      <c r="J10581" s="11"/>
      <c r="U10581" s="9"/>
      <c r="X10581" s="9"/>
    </row>
    <row r="10582">
      <c r="D10582" s="9"/>
      <c r="G10582" s="9"/>
      <c r="J10582" s="11"/>
      <c r="U10582" s="9"/>
      <c r="X10582" s="9"/>
    </row>
    <row r="10583">
      <c r="D10583" s="9"/>
      <c r="G10583" s="9"/>
      <c r="J10583" s="11"/>
      <c r="U10583" s="9"/>
      <c r="X10583" s="9"/>
    </row>
    <row r="10584">
      <c r="D10584" s="9"/>
      <c r="G10584" s="9"/>
      <c r="J10584" s="11"/>
      <c r="U10584" s="9"/>
      <c r="X10584" s="9"/>
    </row>
    <row r="10585">
      <c r="D10585" s="9"/>
      <c r="G10585" s="9"/>
      <c r="J10585" s="11"/>
      <c r="U10585" s="9"/>
      <c r="X10585" s="9"/>
    </row>
    <row r="10586">
      <c r="D10586" s="9"/>
      <c r="G10586" s="9"/>
      <c r="J10586" s="11"/>
      <c r="U10586" s="9"/>
      <c r="X10586" s="9"/>
    </row>
    <row r="10587">
      <c r="D10587" s="9"/>
      <c r="G10587" s="9"/>
      <c r="J10587" s="11"/>
      <c r="U10587" s="9"/>
      <c r="X10587" s="9"/>
    </row>
    <row r="10588">
      <c r="D10588" s="9"/>
      <c r="G10588" s="9"/>
      <c r="J10588" s="11"/>
      <c r="U10588" s="9"/>
      <c r="X10588" s="9"/>
    </row>
    <row r="10589">
      <c r="D10589" s="9"/>
      <c r="G10589" s="9"/>
      <c r="J10589" s="11"/>
      <c r="U10589" s="9"/>
      <c r="X10589" s="9"/>
    </row>
    <row r="10590">
      <c r="D10590" s="9"/>
      <c r="G10590" s="9"/>
      <c r="J10590" s="11"/>
      <c r="U10590" s="9"/>
      <c r="X10590" s="9"/>
    </row>
    <row r="10591">
      <c r="D10591" s="9"/>
      <c r="G10591" s="9"/>
      <c r="J10591" s="11"/>
      <c r="U10591" s="9"/>
      <c r="X10591" s="9"/>
    </row>
    <row r="10592">
      <c r="D10592" s="9"/>
      <c r="G10592" s="9"/>
      <c r="J10592" s="11"/>
      <c r="U10592" s="9"/>
      <c r="X10592" s="9"/>
    </row>
    <row r="10593">
      <c r="D10593" s="9"/>
      <c r="G10593" s="9"/>
      <c r="J10593" s="11"/>
      <c r="U10593" s="9"/>
      <c r="X10593" s="9"/>
    </row>
    <row r="10594">
      <c r="D10594" s="9"/>
      <c r="G10594" s="9"/>
      <c r="J10594" s="11"/>
      <c r="U10594" s="9"/>
      <c r="X10594" s="9"/>
    </row>
    <row r="10595">
      <c r="D10595" s="9"/>
      <c r="G10595" s="9"/>
      <c r="J10595" s="11"/>
      <c r="U10595" s="9"/>
      <c r="X10595" s="9"/>
    </row>
    <row r="10596">
      <c r="D10596" s="9"/>
      <c r="G10596" s="9"/>
      <c r="J10596" s="11"/>
      <c r="U10596" s="9"/>
      <c r="X10596" s="9"/>
    </row>
    <row r="10597">
      <c r="D10597" s="9"/>
      <c r="G10597" s="9"/>
      <c r="J10597" s="11"/>
      <c r="U10597" s="9"/>
      <c r="X10597" s="9"/>
    </row>
    <row r="10598">
      <c r="D10598" s="9"/>
      <c r="G10598" s="9"/>
      <c r="J10598" s="11"/>
      <c r="U10598" s="9"/>
      <c r="X10598" s="9"/>
    </row>
    <row r="10599">
      <c r="D10599" s="9"/>
      <c r="G10599" s="9"/>
      <c r="J10599" s="11"/>
      <c r="U10599" s="9"/>
      <c r="X10599" s="9"/>
    </row>
    <row r="10600">
      <c r="D10600" s="9"/>
      <c r="G10600" s="9"/>
      <c r="J10600" s="11"/>
      <c r="U10600" s="9"/>
      <c r="X10600" s="9"/>
    </row>
    <row r="10601">
      <c r="D10601" s="9"/>
      <c r="G10601" s="9"/>
      <c r="J10601" s="11"/>
      <c r="U10601" s="9"/>
      <c r="X10601" s="9"/>
    </row>
    <row r="10602">
      <c r="D10602" s="9"/>
      <c r="G10602" s="9"/>
      <c r="J10602" s="11"/>
      <c r="U10602" s="9"/>
      <c r="X10602" s="9"/>
    </row>
    <row r="10603">
      <c r="D10603" s="9"/>
      <c r="G10603" s="9"/>
      <c r="J10603" s="11"/>
      <c r="U10603" s="9"/>
      <c r="X10603" s="9"/>
    </row>
    <row r="10604">
      <c r="D10604" s="9"/>
      <c r="G10604" s="9"/>
      <c r="J10604" s="11"/>
      <c r="U10604" s="9"/>
      <c r="X10604" s="9"/>
    </row>
    <row r="10605">
      <c r="D10605" s="9"/>
      <c r="G10605" s="9"/>
      <c r="J10605" s="11"/>
      <c r="U10605" s="9"/>
      <c r="X10605" s="9"/>
    </row>
    <row r="10606">
      <c r="D10606" s="9"/>
      <c r="G10606" s="9"/>
      <c r="J10606" s="11"/>
      <c r="U10606" s="9"/>
      <c r="X10606" s="9"/>
    </row>
    <row r="10607">
      <c r="D10607" s="9"/>
      <c r="G10607" s="9"/>
      <c r="J10607" s="11"/>
      <c r="U10607" s="9"/>
      <c r="X10607" s="9"/>
    </row>
    <row r="10608">
      <c r="D10608" s="9"/>
      <c r="G10608" s="9"/>
      <c r="J10608" s="11"/>
      <c r="U10608" s="9"/>
      <c r="X10608" s="9"/>
    </row>
    <row r="10609">
      <c r="D10609" s="9"/>
      <c r="G10609" s="9"/>
      <c r="J10609" s="11"/>
      <c r="U10609" s="9"/>
      <c r="X10609" s="9"/>
    </row>
    <row r="10610">
      <c r="D10610" s="9"/>
      <c r="G10610" s="9"/>
      <c r="J10610" s="11"/>
      <c r="U10610" s="9"/>
      <c r="X10610" s="9"/>
    </row>
    <row r="10611">
      <c r="D10611" s="9"/>
      <c r="G10611" s="9"/>
      <c r="J10611" s="11"/>
      <c r="U10611" s="9"/>
      <c r="X10611" s="9"/>
    </row>
    <row r="10612">
      <c r="D10612" s="9"/>
      <c r="G10612" s="9"/>
      <c r="J10612" s="11"/>
      <c r="U10612" s="9"/>
      <c r="X10612" s="9"/>
    </row>
    <row r="10613">
      <c r="D10613" s="9"/>
      <c r="G10613" s="9"/>
      <c r="J10613" s="11"/>
      <c r="U10613" s="9"/>
      <c r="X10613" s="9"/>
    </row>
    <row r="10614">
      <c r="D10614" s="9"/>
      <c r="G10614" s="9"/>
      <c r="J10614" s="11"/>
      <c r="U10614" s="9"/>
      <c r="X10614" s="9"/>
    </row>
    <row r="10615">
      <c r="D10615" s="9"/>
      <c r="G10615" s="9"/>
      <c r="J10615" s="11"/>
      <c r="U10615" s="9"/>
      <c r="X10615" s="9"/>
    </row>
    <row r="10616">
      <c r="D10616" s="9"/>
      <c r="G10616" s="9"/>
      <c r="J10616" s="11"/>
      <c r="U10616" s="9"/>
      <c r="X10616" s="9"/>
    </row>
    <row r="10617">
      <c r="D10617" s="9"/>
      <c r="G10617" s="9"/>
      <c r="J10617" s="11"/>
      <c r="U10617" s="9"/>
      <c r="X10617" s="9"/>
    </row>
    <row r="10618">
      <c r="D10618" s="9"/>
      <c r="G10618" s="9"/>
      <c r="J10618" s="11"/>
      <c r="U10618" s="9"/>
      <c r="X10618" s="9"/>
    </row>
    <row r="10619">
      <c r="D10619" s="9"/>
      <c r="G10619" s="9"/>
      <c r="J10619" s="11"/>
      <c r="U10619" s="9"/>
      <c r="X10619" s="9"/>
    </row>
    <row r="10620">
      <c r="D10620" s="9"/>
      <c r="G10620" s="9"/>
      <c r="J10620" s="11"/>
      <c r="U10620" s="9"/>
      <c r="X10620" s="9"/>
    </row>
    <row r="10621">
      <c r="D10621" s="9"/>
      <c r="G10621" s="9"/>
      <c r="J10621" s="11"/>
      <c r="U10621" s="9"/>
      <c r="X10621" s="9"/>
    </row>
    <row r="10622">
      <c r="D10622" s="9"/>
      <c r="G10622" s="9"/>
      <c r="J10622" s="11"/>
      <c r="U10622" s="9"/>
      <c r="X10622" s="9"/>
    </row>
    <row r="10623">
      <c r="D10623" s="9"/>
      <c r="G10623" s="9"/>
      <c r="J10623" s="11"/>
      <c r="U10623" s="9"/>
      <c r="X10623" s="9"/>
    </row>
    <row r="10624">
      <c r="D10624" s="9"/>
      <c r="G10624" s="9"/>
      <c r="J10624" s="11"/>
      <c r="U10624" s="9"/>
      <c r="X10624" s="9"/>
    </row>
    <row r="10625">
      <c r="D10625" s="9"/>
      <c r="G10625" s="9"/>
      <c r="J10625" s="11"/>
      <c r="U10625" s="9"/>
      <c r="X10625" s="9"/>
    </row>
    <row r="10626">
      <c r="D10626" s="9"/>
      <c r="G10626" s="9"/>
      <c r="J10626" s="11"/>
      <c r="U10626" s="9"/>
      <c r="X10626" s="9"/>
    </row>
    <row r="10627">
      <c r="D10627" s="9"/>
      <c r="G10627" s="9"/>
      <c r="J10627" s="11"/>
      <c r="U10627" s="9"/>
      <c r="X10627" s="9"/>
    </row>
    <row r="10628">
      <c r="D10628" s="9"/>
      <c r="G10628" s="9"/>
      <c r="J10628" s="11"/>
      <c r="U10628" s="9"/>
      <c r="X10628" s="9"/>
    </row>
    <row r="10629">
      <c r="D10629" s="9"/>
      <c r="G10629" s="9"/>
      <c r="J10629" s="11"/>
      <c r="U10629" s="9"/>
      <c r="X10629" s="9"/>
    </row>
    <row r="10630">
      <c r="D10630" s="9"/>
      <c r="G10630" s="9"/>
      <c r="J10630" s="11"/>
      <c r="U10630" s="9"/>
      <c r="X10630" s="9"/>
    </row>
    <row r="10631">
      <c r="D10631" s="9"/>
      <c r="G10631" s="9"/>
      <c r="J10631" s="11"/>
      <c r="U10631" s="9"/>
      <c r="X10631" s="9"/>
    </row>
    <row r="10632">
      <c r="D10632" s="9"/>
      <c r="G10632" s="9"/>
      <c r="J10632" s="11"/>
      <c r="U10632" s="9"/>
      <c r="X10632" s="9"/>
    </row>
    <row r="10633">
      <c r="D10633" s="9"/>
      <c r="G10633" s="9"/>
      <c r="J10633" s="11"/>
      <c r="U10633" s="9"/>
      <c r="X10633" s="9"/>
    </row>
    <row r="10634">
      <c r="D10634" s="9"/>
      <c r="G10634" s="9"/>
      <c r="J10634" s="11"/>
      <c r="U10634" s="9"/>
      <c r="X10634" s="9"/>
    </row>
    <row r="10635">
      <c r="D10635" s="9"/>
      <c r="G10635" s="9"/>
      <c r="J10635" s="11"/>
      <c r="U10635" s="9"/>
      <c r="X10635" s="9"/>
    </row>
    <row r="10636">
      <c r="D10636" s="9"/>
      <c r="G10636" s="9"/>
      <c r="J10636" s="11"/>
      <c r="U10636" s="9"/>
      <c r="X10636" s="9"/>
    </row>
    <row r="10637">
      <c r="D10637" s="9"/>
      <c r="G10637" s="9"/>
      <c r="J10637" s="11"/>
      <c r="U10637" s="9"/>
      <c r="X10637" s="9"/>
    </row>
    <row r="10638">
      <c r="D10638" s="9"/>
      <c r="G10638" s="9"/>
      <c r="J10638" s="11"/>
      <c r="U10638" s="9"/>
      <c r="X10638" s="9"/>
    </row>
    <row r="10639">
      <c r="D10639" s="9"/>
      <c r="G10639" s="9"/>
      <c r="J10639" s="11"/>
      <c r="U10639" s="9"/>
      <c r="X10639" s="9"/>
    </row>
    <row r="10640">
      <c r="D10640" s="9"/>
      <c r="G10640" s="9"/>
      <c r="J10640" s="11"/>
      <c r="U10640" s="9"/>
      <c r="X10640" s="9"/>
    </row>
    <row r="10641">
      <c r="D10641" s="9"/>
      <c r="G10641" s="9"/>
      <c r="J10641" s="11"/>
      <c r="U10641" s="9"/>
      <c r="X10641" s="9"/>
    </row>
    <row r="10642">
      <c r="D10642" s="9"/>
      <c r="G10642" s="9"/>
      <c r="J10642" s="11"/>
      <c r="U10642" s="9"/>
      <c r="X10642" s="9"/>
    </row>
    <row r="10643">
      <c r="D10643" s="9"/>
      <c r="G10643" s="9"/>
      <c r="J10643" s="11"/>
      <c r="U10643" s="9"/>
      <c r="X10643" s="9"/>
    </row>
    <row r="10644">
      <c r="D10644" s="9"/>
      <c r="G10644" s="9"/>
      <c r="J10644" s="11"/>
      <c r="U10644" s="9"/>
      <c r="X10644" s="9"/>
    </row>
    <row r="10645">
      <c r="D10645" s="9"/>
      <c r="G10645" s="9"/>
      <c r="J10645" s="11"/>
      <c r="U10645" s="9"/>
      <c r="X10645" s="9"/>
    </row>
    <row r="10646">
      <c r="D10646" s="9"/>
      <c r="G10646" s="9"/>
      <c r="J10646" s="11"/>
      <c r="U10646" s="9"/>
      <c r="X10646" s="9"/>
    </row>
    <row r="10647">
      <c r="D10647" s="9"/>
      <c r="G10647" s="9"/>
      <c r="J10647" s="11"/>
      <c r="U10647" s="9"/>
      <c r="X10647" s="9"/>
    </row>
    <row r="10648">
      <c r="D10648" s="9"/>
      <c r="G10648" s="9"/>
      <c r="J10648" s="11"/>
      <c r="U10648" s="9"/>
      <c r="X10648" s="9"/>
    </row>
    <row r="10649">
      <c r="D10649" s="9"/>
      <c r="G10649" s="9"/>
      <c r="J10649" s="11"/>
      <c r="U10649" s="9"/>
      <c r="X10649" s="9"/>
    </row>
    <row r="10650">
      <c r="D10650" s="9"/>
      <c r="G10650" s="9"/>
      <c r="J10650" s="11"/>
      <c r="U10650" s="9"/>
      <c r="X10650" s="9"/>
    </row>
    <row r="10651">
      <c r="D10651" s="9"/>
      <c r="G10651" s="9"/>
      <c r="J10651" s="11"/>
      <c r="U10651" s="9"/>
      <c r="X10651" s="9"/>
    </row>
    <row r="10652">
      <c r="D10652" s="9"/>
      <c r="G10652" s="9"/>
      <c r="J10652" s="11"/>
      <c r="U10652" s="9"/>
      <c r="X10652" s="9"/>
    </row>
    <row r="10653">
      <c r="D10653" s="9"/>
      <c r="G10653" s="9"/>
      <c r="J10653" s="11"/>
      <c r="U10653" s="9"/>
      <c r="X10653" s="9"/>
    </row>
    <row r="10654">
      <c r="D10654" s="9"/>
      <c r="G10654" s="9"/>
      <c r="J10654" s="11"/>
      <c r="U10654" s="9"/>
      <c r="X10654" s="9"/>
    </row>
    <row r="10655">
      <c r="D10655" s="9"/>
      <c r="G10655" s="9"/>
      <c r="J10655" s="11"/>
      <c r="U10655" s="9"/>
      <c r="X10655" s="9"/>
    </row>
    <row r="10656">
      <c r="D10656" s="9"/>
      <c r="G10656" s="9"/>
      <c r="J10656" s="11"/>
      <c r="U10656" s="9"/>
      <c r="X10656" s="9"/>
    </row>
    <row r="10657">
      <c r="D10657" s="9"/>
      <c r="G10657" s="9"/>
      <c r="J10657" s="11"/>
      <c r="U10657" s="9"/>
      <c r="X10657" s="9"/>
    </row>
    <row r="10658">
      <c r="D10658" s="9"/>
      <c r="G10658" s="9"/>
      <c r="J10658" s="11"/>
      <c r="U10658" s="9"/>
      <c r="X10658" s="9"/>
    </row>
    <row r="10659">
      <c r="D10659" s="9"/>
      <c r="G10659" s="9"/>
      <c r="J10659" s="11"/>
      <c r="U10659" s="9"/>
      <c r="X10659" s="9"/>
    </row>
    <row r="10660">
      <c r="D10660" s="9"/>
      <c r="G10660" s="9"/>
      <c r="J10660" s="11"/>
      <c r="U10660" s="9"/>
      <c r="X10660" s="9"/>
    </row>
    <row r="10661">
      <c r="D10661" s="9"/>
      <c r="G10661" s="9"/>
      <c r="J10661" s="11"/>
      <c r="U10661" s="9"/>
      <c r="X10661" s="9"/>
    </row>
    <row r="10662">
      <c r="D10662" s="9"/>
      <c r="G10662" s="9"/>
      <c r="J10662" s="11"/>
      <c r="U10662" s="9"/>
      <c r="X10662" s="9"/>
    </row>
    <row r="10663">
      <c r="D10663" s="9"/>
      <c r="G10663" s="9"/>
      <c r="J10663" s="11"/>
      <c r="U10663" s="9"/>
      <c r="X10663" s="9"/>
    </row>
    <row r="10664">
      <c r="D10664" s="9"/>
      <c r="G10664" s="9"/>
      <c r="J10664" s="11"/>
      <c r="U10664" s="9"/>
      <c r="X10664" s="9"/>
    </row>
    <row r="10665">
      <c r="D10665" s="9"/>
      <c r="G10665" s="9"/>
      <c r="J10665" s="11"/>
      <c r="U10665" s="9"/>
      <c r="X10665" s="9"/>
    </row>
    <row r="10666">
      <c r="D10666" s="9"/>
      <c r="G10666" s="9"/>
      <c r="J10666" s="11"/>
      <c r="U10666" s="9"/>
      <c r="X10666" s="9"/>
    </row>
    <row r="10667">
      <c r="D10667" s="9"/>
      <c r="G10667" s="9"/>
      <c r="J10667" s="11"/>
      <c r="U10667" s="9"/>
      <c r="X10667" s="9"/>
    </row>
    <row r="10668">
      <c r="D10668" s="9"/>
      <c r="G10668" s="9"/>
      <c r="J10668" s="11"/>
      <c r="U10668" s="9"/>
      <c r="X10668" s="9"/>
    </row>
    <row r="10669">
      <c r="D10669" s="9"/>
      <c r="G10669" s="9"/>
      <c r="J10669" s="11"/>
      <c r="U10669" s="9"/>
      <c r="X10669" s="9"/>
    </row>
    <row r="10670">
      <c r="D10670" s="9"/>
      <c r="G10670" s="9"/>
      <c r="J10670" s="11"/>
      <c r="U10670" s="9"/>
      <c r="X10670" s="9"/>
    </row>
    <row r="10671">
      <c r="D10671" s="9"/>
      <c r="G10671" s="9"/>
      <c r="J10671" s="11"/>
      <c r="U10671" s="9"/>
      <c r="X10671" s="9"/>
    </row>
    <row r="10672">
      <c r="D10672" s="9"/>
      <c r="G10672" s="9"/>
      <c r="J10672" s="11"/>
      <c r="U10672" s="9"/>
      <c r="X10672" s="9"/>
    </row>
    <row r="10673">
      <c r="D10673" s="9"/>
      <c r="G10673" s="9"/>
      <c r="J10673" s="11"/>
      <c r="U10673" s="9"/>
      <c r="X10673" s="9"/>
    </row>
    <row r="10674">
      <c r="D10674" s="9"/>
      <c r="G10674" s="9"/>
      <c r="J10674" s="11"/>
      <c r="U10674" s="9"/>
      <c r="X10674" s="9"/>
    </row>
    <row r="10675">
      <c r="D10675" s="9"/>
      <c r="G10675" s="9"/>
      <c r="J10675" s="11"/>
      <c r="U10675" s="9"/>
      <c r="X10675" s="9"/>
    </row>
    <row r="10676">
      <c r="D10676" s="9"/>
      <c r="G10676" s="9"/>
      <c r="J10676" s="11"/>
      <c r="U10676" s="9"/>
      <c r="X10676" s="9"/>
    </row>
    <row r="10677">
      <c r="D10677" s="9"/>
      <c r="G10677" s="9"/>
      <c r="J10677" s="11"/>
      <c r="U10677" s="9"/>
      <c r="X10677" s="9"/>
    </row>
    <row r="10678">
      <c r="D10678" s="9"/>
      <c r="G10678" s="9"/>
      <c r="J10678" s="11"/>
      <c r="U10678" s="9"/>
      <c r="X10678" s="9"/>
    </row>
    <row r="10679">
      <c r="D10679" s="9"/>
      <c r="G10679" s="9"/>
      <c r="J10679" s="11"/>
      <c r="U10679" s="9"/>
      <c r="X10679" s="9"/>
    </row>
    <row r="10680">
      <c r="D10680" s="9"/>
      <c r="G10680" s="9"/>
      <c r="J10680" s="11"/>
      <c r="U10680" s="9"/>
      <c r="X10680" s="9"/>
    </row>
    <row r="10681">
      <c r="D10681" s="9"/>
      <c r="G10681" s="9"/>
      <c r="J10681" s="11"/>
      <c r="U10681" s="9"/>
      <c r="X10681" s="9"/>
    </row>
    <row r="10682">
      <c r="D10682" s="9"/>
      <c r="G10682" s="9"/>
      <c r="J10682" s="11"/>
      <c r="U10682" s="9"/>
      <c r="X10682" s="9"/>
    </row>
    <row r="10683">
      <c r="D10683" s="9"/>
      <c r="G10683" s="9"/>
      <c r="J10683" s="11"/>
      <c r="U10683" s="9"/>
      <c r="X10683" s="9"/>
    </row>
    <row r="10684">
      <c r="D10684" s="9"/>
      <c r="G10684" s="9"/>
      <c r="J10684" s="11"/>
      <c r="U10684" s="9"/>
      <c r="X10684" s="9"/>
    </row>
    <row r="10685">
      <c r="D10685" s="9"/>
      <c r="G10685" s="9"/>
      <c r="J10685" s="11"/>
      <c r="U10685" s="9"/>
      <c r="X10685" s="9"/>
    </row>
    <row r="10686">
      <c r="D10686" s="9"/>
      <c r="G10686" s="9"/>
      <c r="J10686" s="11"/>
      <c r="U10686" s="9"/>
      <c r="X10686" s="9"/>
    </row>
    <row r="10687">
      <c r="D10687" s="9"/>
      <c r="G10687" s="9"/>
      <c r="J10687" s="11"/>
      <c r="U10687" s="9"/>
      <c r="X10687" s="9"/>
    </row>
    <row r="10688">
      <c r="D10688" s="9"/>
      <c r="G10688" s="9"/>
      <c r="J10688" s="11"/>
      <c r="U10688" s="9"/>
      <c r="X10688" s="9"/>
    </row>
    <row r="10689">
      <c r="D10689" s="9"/>
      <c r="G10689" s="9"/>
      <c r="J10689" s="11"/>
      <c r="U10689" s="9"/>
      <c r="X10689" s="9"/>
    </row>
    <row r="10690">
      <c r="D10690" s="9"/>
      <c r="G10690" s="9"/>
      <c r="J10690" s="11"/>
      <c r="U10690" s="9"/>
      <c r="X10690" s="9"/>
    </row>
    <row r="10691">
      <c r="D10691" s="9"/>
      <c r="G10691" s="9"/>
      <c r="J10691" s="11"/>
      <c r="U10691" s="9"/>
      <c r="X10691" s="9"/>
    </row>
    <row r="10692">
      <c r="D10692" s="9"/>
      <c r="G10692" s="9"/>
      <c r="J10692" s="11"/>
      <c r="U10692" s="9"/>
      <c r="X10692" s="9"/>
    </row>
    <row r="10693">
      <c r="D10693" s="9"/>
      <c r="G10693" s="9"/>
      <c r="J10693" s="11"/>
      <c r="U10693" s="9"/>
      <c r="X10693" s="9"/>
    </row>
    <row r="10694">
      <c r="D10694" s="9"/>
      <c r="G10694" s="9"/>
      <c r="J10694" s="11"/>
      <c r="U10694" s="9"/>
      <c r="X10694" s="9"/>
    </row>
    <row r="10695">
      <c r="D10695" s="9"/>
      <c r="G10695" s="9"/>
      <c r="J10695" s="11"/>
      <c r="U10695" s="9"/>
      <c r="X10695" s="9"/>
    </row>
    <row r="10696">
      <c r="D10696" s="9"/>
      <c r="G10696" s="9"/>
      <c r="J10696" s="11"/>
      <c r="U10696" s="9"/>
      <c r="X10696" s="9"/>
    </row>
    <row r="10697">
      <c r="D10697" s="9"/>
      <c r="G10697" s="9"/>
      <c r="J10697" s="11"/>
      <c r="U10697" s="9"/>
      <c r="X10697" s="9"/>
    </row>
    <row r="10698">
      <c r="D10698" s="9"/>
      <c r="G10698" s="9"/>
      <c r="J10698" s="11"/>
      <c r="U10698" s="9"/>
      <c r="X10698" s="9"/>
    </row>
    <row r="10699">
      <c r="D10699" s="9"/>
      <c r="G10699" s="9"/>
      <c r="J10699" s="11"/>
      <c r="U10699" s="9"/>
      <c r="X10699" s="9"/>
    </row>
    <row r="10700">
      <c r="D10700" s="9"/>
      <c r="G10700" s="9"/>
      <c r="J10700" s="11"/>
      <c r="U10700" s="9"/>
      <c r="X10700" s="9"/>
    </row>
    <row r="10701">
      <c r="D10701" s="9"/>
      <c r="G10701" s="9"/>
      <c r="J10701" s="11"/>
      <c r="U10701" s="9"/>
      <c r="X10701" s="9"/>
    </row>
    <row r="10702">
      <c r="D10702" s="9"/>
      <c r="G10702" s="9"/>
      <c r="J10702" s="11"/>
      <c r="U10702" s="9"/>
      <c r="X10702" s="9"/>
    </row>
    <row r="10703">
      <c r="D10703" s="9"/>
      <c r="G10703" s="9"/>
      <c r="J10703" s="11"/>
      <c r="U10703" s="9"/>
      <c r="X10703" s="9"/>
    </row>
    <row r="10704">
      <c r="D10704" s="9"/>
      <c r="G10704" s="9"/>
      <c r="J10704" s="11"/>
      <c r="U10704" s="9"/>
      <c r="X10704" s="9"/>
    </row>
    <row r="10705">
      <c r="D10705" s="9"/>
      <c r="G10705" s="9"/>
      <c r="J10705" s="11"/>
      <c r="U10705" s="9"/>
      <c r="X10705" s="9"/>
    </row>
    <row r="10706">
      <c r="D10706" s="9"/>
      <c r="G10706" s="9"/>
      <c r="J10706" s="11"/>
      <c r="U10706" s="9"/>
      <c r="X10706" s="9"/>
    </row>
    <row r="10707">
      <c r="D10707" s="9"/>
      <c r="G10707" s="9"/>
      <c r="J10707" s="11"/>
      <c r="U10707" s="9"/>
      <c r="X10707" s="9"/>
    </row>
    <row r="10708">
      <c r="D10708" s="9"/>
      <c r="G10708" s="9"/>
      <c r="J10708" s="11"/>
      <c r="U10708" s="9"/>
      <c r="X10708" s="9"/>
    </row>
    <row r="10709">
      <c r="D10709" s="9"/>
      <c r="G10709" s="9"/>
      <c r="J10709" s="11"/>
      <c r="U10709" s="9"/>
      <c r="X10709" s="9"/>
    </row>
    <row r="10710">
      <c r="D10710" s="9"/>
      <c r="G10710" s="9"/>
      <c r="J10710" s="11"/>
      <c r="U10710" s="9"/>
      <c r="X10710" s="9"/>
    </row>
    <row r="10711">
      <c r="D10711" s="9"/>
      <c r="G10711" s="9"/>
      <c r="J10711" s="11"/>
      <c r="U10711" s="9"/>
      <c r="X10711" s="9"/>
    </row>
    <row r="10712">
      <c r="D10712" s="9"/>
      <c r="G10712" s="9"/>
      <c r="J10712" s="11"/>
      <c r="U10712" s="9"/>
      <c r="X10712" s="9"/>
    </row>
    <row r="10713">
      <c r="D10713" s="9"/>
      <c r="G10713" s="9"/>
      <c r="J10713" s="11"/>
      <c r="U10713" s="9"/>
      <c r="X10713" s="9"/>
    </row>
    <row r="10714">
      <c r="D10714" s="9"/>
      <c r="G10714" s="9"/>
      <c r="J10714" s="11"/>
      <c r="U10714" s="9"/>
      <c r="X10714" s="9"/>
    </row>
    <row r="10715">
      <c r="D10715" s="9"/>
      <c r="G10715" s="9"/>
      <c r="J10715" s="11"/>
      <c r="U10715" s="9"/>
      <c r="X10715" s="9"/>
    </row>
    <row r="10716">
      <c r="D10716" s="9"/>
      <c r="G10716" s="9"/>
      <c r="J10716" s="11"/>
      <c r="U10716" s="9"/>
      <c r="X10716" s="9"/>
    </row>
    <row r="10717">
      <c r="D10717" s="9"/>
      <c r="G10717" s="9"/>
      <c r="J10717" s="11"/>
      <c r="U10717" s="9"/>
      <c r="X10717" s="9"/>
    </row>
    <row r="10718">
      <c r="D10718" s="9"/>
      <c r="G10718" s="9"/>
      <c r="J10718" s="11"/>
      <c r="U10718" s="9"/>
      <c r="X10718" s="9"/>
    </row>
    <row r="10719">
      <c r="D10719" s="9"/>
      <c r="G10719" s="9"/>
      <c r="J10719" s="11"/>
      <c r="U10719" s="9"/>
      <c r="X10719" s="9"/>
    </row>
    <row r="10720">
      <c r="D10720" s="9"/>
      <c r="G10720" s="9"/>
      <c r="J10720" s="11"/>
      <c r="U10720" s="9"/>
      <c r="X10720" s="9"/>
    </row>
    <row r="10721">
      <c r="D10721" s="9"/>
      <c r="G10721" s="9"/>
      <c r="J10721" s="11"/>
      <c r="U10721" s="9"/>
      <c r="X10721" s="9"/>
    </row>
    <row r="10722">
      <c r="D10722" s="9"/>
      <c r="G10722" s="9"/>
      <c r="J10722" s="11"/>
      <c r="U10722" s="9"/>
      <c r="X10722" s="9"/>
    </row>
    <row r="10723">
      <c r="D10723" s="9"/>
      <c r="G10723" s="9"/>
      <c r="J10723" s="11"/>
      <c r="U10723" s="9"/>
      <c r="X10723" s="9"/>
    </row>
    <row r="10724">
      <c r="D10724" s="9"/>
      <c r="G10724" s="9"/>
      <c r="J10724" s="11"/>
      <c r="U10724" s="9"/>
      <c r="X10724" s="9"/>
    </row>
    <row r="10725">
      <c r="D10725" s="9"/>
      <c r="G10725" s="9"/>
      <c r="J10725" s="11"/>
      <c r="U10725" s="9"/>
      <c r="X10725" s="9"/>
    </row>
    <row r="10726">
      <c r="D10726" s="9"/>
      <c r="G10726" s="9"/>
      <c r="J10726" s="11"/>
      <c r="U10726" s="9"/>
      <c r="X10726" s="9"/>
    </row>
    <row r="10727">
      <c r="D10727" s="9"/>
      <c r="G10727" s="9"/>
      <c r="J10727" s="11"/>
      <c r="U10727" s="9"/>
      <c r="X10727" s="9"/>
    </row>
    <row r="10728">
      <c r="D10728" s="9"/>
      <c r="G10728" s="9"/>
      <c r="J10728" s="11"/>
      <c r="U10728" s="9"/>
      <c r="X10728" s="9"/>
    </row>
    <row r="10729">
      <c r="D10729" s="9"/>
      <c r="G10729" s="9"/>
      <c r="J10729" s="11"/>
      <c r="U10729" s="9"/>
      <c r="X10729" s="9"/>
    </row>
    <row r="10730">
      <c r="D10730" s="9"/>
      <c r="G10730" s="9"/>
      <c r="J10730" s="11"/>
      <c r="U10730" s="9"/>
      <c r="X10730" s="9"/>
    </row>
    <row r="10731">
      <c r="D10731" s="9"/>
      <c r="G10731" s="9"/>
      <c r="J10731" s="11"/>
      <c r="U10731" s="9"/>
      <c r="X10731" s="9"/>
    </row>
    <row r="10732">
      <c r="D10732" s="9"/>
      <c r="G10732" s="9"/>
      <c r="J10732" s="11"/>
      <c r="U10732" s="9"/>
      <c r="X10732" s="9"/>
    </row>
    <row r="10733">
      <c r="D10733" s="9"/>
      <c r="G10733" s="9"/>
      <c r="J10733" s="11"/>
      <c r="U10733" s="9"/>
      <c r="X10733" s="9"/>
    </row>
    <row r="10734">
      <c r="D10734" s="9"/>
      <c r="G10734" s="9"/>
      <c r="J10734" s="11"/>
      <c r="U10734" s="9"/>
      <c r="X10734" s="9"/>
    </row>
    <row r="10735">
      <c r="D10735" s="9"/>
      <c r="G10735" s="9"/>
      <c r="J10735" s="11"/>
      <c r="U10735" s="9"/>
      <c r="X10735" s="9"/>
    </row>
    <row r="10736">
      <c r="D10736" s="9"/>
      <c r="G10736" s="9"/>
      <c r="J10736" s="11"/>
      <c r="U10736" s="9"/>
      <c r="X10736" s="9"/>
    </row>
    <row r="10737">
      <c r="D10737" s="9"/>
      <c r="G10737" s="9"/>
      <c r="J10737" s="11"/>
      <c r="U10737" s="9"/>
      <c r="X10737" s="9"/>
    </row>
    <row r="10738">
      <c r="D10738" s="9"/>
      <c r="G10738" s="9"/>
      <c r="J10738" s="11"/>
      <c r="U10738" s="9"/>
      <c r="X10738" s="9"/>
    </row>
    <row r="10739">
      <c r="D10739" s="9"/>
      <c r="G10739" s="9"/>
      <c r="J10739" s="11"/>
      <c r="U10739" s="9"/>
      <c r="X10739" s="9"/>
    </row>
    <row r="10740">
      <c r="D10740" s="9"/>
      <c r="G10740" s="9"/>
      <c r="J10740" s="11"/>
      <c r="U10740" s="9"/>
      <c r="X10740" s="9"/>
    </row>
    <row r="10741">
      <c r="D10741" s="9"/>
      <c r="G10741" s="9"/>
      <c r="J10741" s="11"/>
      <c r="U10741" s="9"/>
      <c r="X10741" s="9"/>
    </row>
    <row r="10742">
      <c r="D10742" s="9"/>
      <c r="G10742" s="9"/>
      <c r="J10742" s="11"/>
      <c r="U10742" s="9"/>
      <c r="X10742" s="9"/>
    </row>
    <row r="10743">
      <c r="D10743" s="9"/>
      <c r="G10743" s="9"/>
      <c r="J10743" s="11"/>
      <c r="U10743" s="9"/>
      <c r="X10743" s="9"/>
    </row>
    <row r="10744">
      <c r="D10744" s="9"/>
      <c r="G10744" s="9"/>
      <c r="J10744" s="11"/>
      <c r="U10744" s="9"/>
      <c r="X10744" s="9"/>
    </row>
    <row r="10745">
      <c r="D10745" s="9"/>
      <c r="G10745" s="9"/>
      <c r="J10745" s="11"/>
      <c r="U10745" s="9"/>
      <c r="X10745" s="9"/>
    </row>
    <row r="10746">
      <c r="D10746" s="9"/>
      <c r="G10746" s="9"/>
      <c r="J10746" s="11"/>
      <c r="U10746" s="9"/>
      <c r="X10746" s="9"/>
    </row>
    <row r="10747">
      <c r="D10747" s="9"/>
      <c r="G10747" s="9"/>
      <c r="J10747" s="11"/>
      <c r="U10747" s="9"/>
      <c r="X10747" s="9"/>
    </row>
    <row r="10748">
      <c r="D10748" s="9"/>
      <c r="G10748" s="9"/>
      <c r="J10748" s="11"/>
      <c r="U10748" s="9"/>
      <c r="X10748" s="9"/>
    </row>
    <row r="10749">
      <c r="D10749" s="9"/>
      <c r="G10749" s="9"/>
      <c r="J10749" s="11"/>
      <c r="U10749" s="9"/>
      <c r="X10749" s="9"/>
    </row>
    <row r="10750">
      <c r="D10750" s="9"/>
      <c r="G10750" s="9"/>
      <c r="J10750" s="11"/>
      <c r="U10750" s="9"/>
      <c r="X10750" s="9"/>
    </row>
    <row r="10751">
      <c r="D10751" s="9"/>
      <c r="G10751" s="9"/>
      <c r="J10751" s="11"/>
      <c r="U10751" s="9"/>
      <c r="X10751" s="9"/>
    </row>
    <row r="10752">
      <c r="D10752" s="9"/>
      <c r="G10752" s="9"/>
      <c r="J10752" s="11"/>
      <c r="U10752" s="9"/>
      <c r="X10752" s="9"/>
    </row>
    <row r="10753">
      <c r="D10753" s="9"/>
      <c r="G10753" s="9"/>
      <c r="J10753" s="11"/>
      <c r="U10753" s="9"/>
      <c r="X10753" s="9"/>
    </row>
    <row r="10754">
      <c r="D10754" s="9"/>
      <c r="G10754" s="9"/>
      <c r="J10754" s="11"/>
      <c r="U10754" s="9"/>
      <c r="X10754" s="9"/>
    </row>
    <row r="10755">
      <c r="D10755" s="9"/>
      <c r="G10755" s="9"/>
      <c r="J10755" s="11"/>
      <c r="U10755" s="9"/>
      <c r="X10755" s="9"/>
    </row>
    <row r="10756">
      <c r="D10756" s="9"/>
      <c r="G10756" s="9"/>
      <c r="J10756" s="11"/>
      <c r="U10756" s="9"/>
      <c r="X10756" s="9"/>
    </row>
    <row r="10757">
      <c r="D10757" s="9"/>
      <c r="G10757" s="9"/>
      <c r="J10757" s="11"/>
      <c r="U10757" s="9"/>
      <c r="X10757" s="9"/>
    </row>
    <row r="10758">
      <c r="D10758" s="9"/>
      <c r="G10758" s="9"/>
      <c r="J10758" s="11"/>
      <c r="U10758" s="9"/>
      <c r="X10758" s="9"/>
    </row>
    <row r="10759">
      <c r="D10759" s="9"/>
      <c r="G10759" s="9"/>
      <c r="J10759" s="11"/>
      <c r="U10759" s="9"/>
      <c r="X10759" s="9"/>
    </row>
    <row r="10760">
      <c r="D10760" s="9"/>
      <c r="G10760" s="9"/>
      <c r="J10760" s="11"/>
      <c r="U10760" s="9"/>
      <c r="X10760" s="9"/>
    </row>
    <row r="10761">
      <c r="D10761" s="9"/>
      <c r="G10761" s="9"/>
      <c r="J10761" s="11"/>
      <c r="U10761" s="9"/>
      <c r="X10761" s="9"/>
    </row>
    <row r="10762">
      <c r="D10762" s="9"/>
      <c r="G10762" s="9"/>
      <c r="J10762" s="11"/>
      <c r="U10762" s="9"/>
      <c r="X10762" s="9"/>
    </row>
    <row r="10763">
      <c r="D10763" s="9"/>
      <c r="G10763" s="9"/>
      <c r="J10763" s="11"/>
      <c r="U10763" s="9"/>
      <c r="X10763" s="9"/>
    </row>
    <row r="10764">
      <c r="D10764" s="9"/>
      <c r="G10764" s="9"/>
      <c r="J10764" s="11"/>
      <c r="U10764" s="9"/>
      <c r="X10764" s="9"/>
    </row>
    <row r="10765">
      <c r="D10765" s="9"/>
      <c r="G10765" s="9"/>
      <c r="J10765" s="11"/>
      <c r="U10765" s="9"/>
      <c r="X10765" s="9"/>
    </row>
    <row r="10766">
      <c r="D10766" s="9"/>
      <c r="G10766" s="9"/>
      <c r="J10766" s="11"/>
      <c r="U10766" s="9"/>
      <c r="X10766" s="9"/>
    </row>
    <row r="10767">
      <c r="D10767" s="9"/>
      <c r="G10767" s="9"/>
      <c r="J10767" s="11"/>
      <c r="U10767" s="9"/>
      <c r="X10767" s="9"/>
    </row>
    <row r="10768">
      <c r="D10768" s="9"/>
      <c r="G10768" s="9"/>
      <c r="J10768" s="11"/>
      <c r="U10768" s="9"/>
      <c r="X10768" s="9"/>
    </row>
    <row r="10769">
      <c r="D10769" s="9"/>
      <c r="G10769" s="9"/>
      <c r="J10769" s="11"/>
      <c r="U10769" s="9"/>
      <c r="X10769" s="9"/>
    </row>
    <row r="10770">
      <c r="D10770" s="9"/>
      <c r="G10770" s="9"/>
      <c r="J10770" s="11"/>
      <c r="U10770" s="9"/>
      <c r="X10770" s="9"/>
    </row>
    <row r="10771">
      <c r="D10771" s="9"/>
      <c r="G10771" s="9"/>
      <c r="J10771" s="11"/>
      <c r="U10771" s="9"/>
      <c r="X10771" s="9"/>
    </row>
    <row r="10772">
      <c r="D10772" s="9"/>
      <c r="G10772" s="9"/>
      <c r="J10772" s="11"/>
      <c r="U10772" s="9"/>
      <c r="X10772" s="9"/>
    </row>
    <row r="10773">
      <c r="D10773" s="9"/>
      <c r="G10773" s="9"/>
      <c r="J10773" s="11"/>
      <c r="U10773" s="9"/>
      <c r="X10773" s="9"/>
    </row>
    <row r="10774">
      <c r="D10774" s="9"/>
      <c r="G10774" s="9"/>
      <c r="J10774" s="11"/>
      <c r="U10774" s="9"/>
      <c r="X10774" s="9"/>
    </row>
    <row r="10775">
      <c r="D10775" s="9"/>
      <c r="G10775" s="9"/>
      <c r="J10775" s="11"/>
      <c r="U10775" s="9"/>
      <c r="X10775" s="9"/>
    </row>
    <row r="10776">
      <c r="D10776" s="9"/>
      <c r="G10776" s="9"/>
      <c r="J10776" s="11"/>
      <c r="U10776" s="9"/>
      <c r="X10776" s="9"/>
    </row>
    <row r="10777">
      <c r="D10777" s="9"/>
      <c r="G10777" s="9"/>
      <c r="J10777" s="11"/>
      <c r="U10777" s="9"/>
      <c r="X10777" s="9"/>
    </row>
    <row r="10778">
      <c r="D10778" s="9"/>
      <c r="G10778" s="9"/>
      <c r="J10778" s="11"/>
      <c r="U10778" s="9"/>
      <c r="X10778" s="9"/>
    </row>
    <row r="10779">
      <c r="D10779" s="9"/>
      <c r="G10779" s="9"/>
      <c r="J10779" s="11"/>
      <c r="U10779" s="9"/>
      <c r="X10779" s="9"/>
    </row>
    <row r="10780">
      <c r="D10780" s="9"/>
      <c r="G10780" s="9"/>
      <c r="J10780" s="11"/>
      <c r="U10780" s="9"/>
      <c r="X10780" s="9"/>
    </row>
    <row r="10781">
      <c r="D10781" s="9"/>
      <c r="G10781" s="9"/>
      <c r="J10781" s="11"/>
      <c r="U10781" s="9"/>
      <c r="X10781" s="9"/>
    </row>
    <row r="10782">
      <c r="D10782" s="9"/>
      <c r="G10782" s="9"/>
      <c r="J10782" s="11"/>
      <c r="U10782" s="9"/>
      <c r="X10782" s="9"/>
    </row>
    <row r="10783">
      <c r="D10783" s="9"/>
      <c r="G10783" s="9"/>
      <c r="J10783" s="11"/>
      <c r="U10783" s="9"/>
      <c r="X10783" s="9"/>
    </row>
    <row r="10784">
      <c r="D10784" s="9"/>
      <c r="G10784" s="9"/>
      <c r="J10784" s="11"/>
      <c r="U10784" s="9"/>
      <c r="X10784" s="9"/>
    </row>
    <row r="10785">
      <c r="D10785" s="9"/>
      <c r="G10785" s="9"/>
      <c r="J10785" s="11"/>
      <c r="U10785" s="9"/>
      <c r="X10785" s="9"/>
    </row>
    <row r="10786">
      <c r="D10786" s="9"/>
      <c r="G10786" s="9"/>
      <c r="J10786" s="11"/>
      <c r="U10786" s="9"/>
      <c r="X10786" s="9"/>
    </row>
    <row r="10787">
      <c r="D10787" s="9"/>
      <c r="G10787" s="9"/>
      <c r="J10787" s="11"/>
      <c r="U10787" s="9"/>
      <c r="X10787" s="9"/>
    </row>
    <row r="10788">
      <c r="D10788" s="9"/>
      <c r="G10788" s="9"/>
      <c r="J10788" s="11"/>
      <c r="U10788" s="9"/>
      <c r="X10788" s="9"/>
    </row>
    <row r="10789">
      <c r="D10789" s="9"/>
      <c r="G10789" s="9"/>
      <c r="J10789" s="11"/>
      <c r="U10789" s="9"/>
      <c r="X10789" s="9"/>
    </row>
    <row r="10790">
      <c r="D10790" s="9"/>
      <c r="G10790" s="9"/>
      <c r="J10790" s="11"/>
      <c r="U10790" s="9"/>
      <c r="X10790" s="9"/>
    </row>
    <row r="10791">
      <c r="D10791" s="9"/>
      <c r="G10791" s="9"/>
      <c r="J10791" s="11"/>
      <c r="U10791" s="9"/>
      <c r="X10791" s="9"/>
    </row>
    <row r="10792">
      <c r="D10792" s="9"/>
      <c r="G10792" s="9"/>
      <c r="J10792" s="11"/>
      <c r="U10792" s="9"/>
      <c r="X10792" s="9"/>
    </row>
    <row r="10793">
      <c r="D10793" s="9"/>
      <c r="G10793" s="9"/>
      <c r="J10793" s="11"/>
      <c r="U10793" s="9"/>
      <c r="X10793" s="9"/>
    </row>
    <row r="10794">
      <c r="D10794" s="9"/>
      <c r="G10794" s="9"/>
      <c r="J10794" s="11"/>
      <c r="U10794" s="9"/>
      <c r="X10794" s="9"/>
    </row>
    <row r="10795">
      <c r="D10795" s="9"/>
      <c r="G10795" s="9"/>
      <c r="J10795" s="11"/>
      <c r="U10795" s="9"/>
      <c r="X10795" s="9"/>
    </row>
    <row r="10796">
      <c r="D10796" s="9"/>
      <c r="G10796" s="9"/>
      <c r="J10796" s="11"/>
      <c r="U10796" s="9"/>
      <c r="X10796" s="9"/>
    </row>
    <row r="10797">
      <c r="D10797" s="9"/>
      <c r="G10797" s="9"/>
      <c r="J10797" s="11"/>
      <c r="U10797" s="9"/>
      <c r="X10797" s="9"/>
    </row>
    <row r="10798">
      <c r="D10798" s="9"/>
      <c r="G10798" s="9"/>
      <c r="J10798" s="11"/>
      <c r="U10798" s="9"/>
      <c r="X10798" s="9"/>
    </row>
    <row r="10799">
      <c r="D10799" s="9"/>
      <c r="G10799" s="9"/>
      <c r="J10799" s="11"/>
      <c r="U10799" s="9"/>
      <c r="X10799" s="9"/>
    </row>
    <row r="10800">
      <c r="D10800" s="9"/>
      <c r="G10800" s="9"/>
      <c r="J10800" s="11"/>
      <c r="U10800" s="9"/>
      <c r="X10800" s="9"/>
    </row>
    <row r="10801">
      <c r="D10801" s="9"/>
      <c r="G10801" s="9"/>
      <c r="J10801" s="11"/>
      <c r="U10801" s="9"/>
      <c r="X10801" s="9"/>
    </row>
    <row r="10802">
      <c r="D10802" s="9"/>
      <c r="G10802" s="9"/>
      <c r="J10802" s="11"/>
      <c r="U10802" s="9"/>
      <c r="X10802" s="9"/>
    </row>
    <row r="10803">
      <c r="D10803" s="9"/>
      <c r="G10803" s="9"/>
      <c r="J10803" s="11"/>
      <c r="U10803" s="9"/>
      <c r="X10803" s="9"/>
    </row>
    <row r="10804">
      <c r="D10804" s="9"/>
      <c r="G10804" s="9"/>
      <c r="J10804" s="11"/>
      <c r="U10804" s="9"/>
      <c r="X10804" s="9"/>
    </row>
    <row r="10805">
      <c r="D10805" s="9"/>
      <c r="G10805" s="9"/>
      <c r="J10805" s="11"/>
      <c r="U10805" s="9"/>
      <c r="X10805" s="9"/>
    </row>
    <row r="10806">
      <c r="D10806" s="9"/>
      <c r="G10806" s="9"/>
      <c r="J10806" s="11"/>
      <c r="U10806" s="9"/>
      <c r="X10806" s="9"/>
    </row>
    <row r="10807">
      <c r="D10807" s="9"/>
      <c r="G10807" s="9"/>
      <c r="J10807" s="11"/>
      <c r="U10807" s="9"/>
      <c r="X10807" s="9"/>
    </row>
    <row r="10808">
      <c r="D10808" s="9"/>
      <c r="G10808" s="9"/>
      <c r="J10808" s="11"/>
      <c r="U10808" s="9"/>
      <c r="X10808" s="9"/>
    </row>
    <row r="10809">
      <c r="D10809" s="9"/>
      <c r="G10809" s="9"/>
      <c r="J10809" s="11"/>
      <c r="U10809" s="9"/>
      <c r="X10809" s="9"/>
    </row>
    <row r="10810">
      <c r="D10810" s="9"/>
      <c r="G10810" s="9"/>
      <c r="J10810" s="11"/>
      <c r="U10810" s="9"/>
      <c r="X10810" s="9"/>
    </row>
    <row r="10811">
      <c r="D10811" s="9"/>
      <c r="G10811" s="9"/>
      <c r="J10811" s="11"/>
      <c r="U10811" s="9"/>
      <c r="X10811" s="9"/>
    </row>
    <row r="10812">
      <c r="D10812" s="9"/>
      <c r="G10812" s="9"/>
      <c r="J10812" s="11"/>
      <c r="U10812" s="9"/>
      <c r="X10812" s="9"/>
    </row>
    <row r="10813">
      <c r="D10813" s="9"/>
      <c r="G10813" s="9"/>
      <c r="J10813" s="11"/>
      <c r="U10813" s="9"/>
      <c r="X10813" s="9"/>
    </row>
    <row r="10814">
      <c r="D10814" s="9"/>
      <c r="G10814" s="9"/>
      <c r="J10814" s="11"/>
      <c r="U10814" s="9"/>
      <c r="X10814" s="9"/>
    </row>
    <row r="10815">
      <c r="D10815" s="9"/>
      <c r="G10815" s="9"/>
      <c r="J10815" s="11"/>
      <c r="U10815" s="9"/>
      <c r="X10815" s="9"/>
    </row>
    <row r="10816">
      <c r="D10816" s="9"/>
      <c r="G10816" s="9"/>
      <c r="J10816" s="11"/>
      <c r="U10816" s="9"/>
      <c r="X10816" s="9"/>
    </row>
    <row r="10817">
      <c r="D10817" s="9"/>
      <c r="G10817" s="9"/>
      <c r="J10817" s="11"/>
      <c r="U10817" s="9"/>
      <c r="X10817" s="9"/>
    </row>
    <row r="10818">
      <c r="D10818" s="9"/>
      <c r="G10818" s="9"/>
      <c r="J10818" s="11"/>
      <c r="U10818" s="9"/>
      <c r="X10818" s="9"/>
    </row>
    <row r="10819">
      <c r="D10819" s="9"/>
      <c r="G10819" s="9"/>
      <c r="J10819" s="11"/>
      <c r="U10819" s="9"/>
      <c r="X10819" s="9"/>
    </row>
    <row r="10820">
      <c r="D10820" s="9"/>
      <c r="G10820" s="9"/>
      <c r="J10820" s="11"/>
      <c r="U10820" s="9"/>
      <c r="X10820" s="9"/>
    </row>
    <row r="10821">
      <c r="D10821" s="9"/>
      <c r="G10821" s="9"/>
      <c r="J10821" s="11"/>
      <c r="U10821" s="9"/>
      <c r="X10821" s="9"/>
    </row>
    <row r="10822">
      <c r="D10822" s="9"/>
      <c r="G10822" s="9"/>
      <c r="J10822" s="11"/>
      <c r="U10822" s="9"/>
      <c r="X10822" s="9"/>
    </row>
    <row r="10823">
      <c r="D10823" s="9"/>
      <c r="G10823" s="9"/>
      <c r="J10823" s="11"/>
      <c r="U10823" s="9"/>
      <c r="X10823" s="9"/>
    </row>
    <row r="10824">
      <c r="D10824" s="9"/>
      <c r="G10824" s="9"/>
      <c r="J10824" s="11"/>
      <c r="U10824" s="9"/>
      <c r="X10824" s="9"/>
    </row>
    <row r="10825">
      <c r="D10825" s="9"/>
      <c r="G10825" s="9"/>
      <c r="J10825" s="11"/>
      <c r="U10825" s="9"/>
      <c r="X10825" s="9"/>
    </row>
    <row r="10826">
      <c r="D10826" s="9"/>
      <c r="G10826" s="9"/>
      <c r="J10826" s="11"/>
      <c r="U10826" s="9"/>
      <c r="X10826" s="9"/>
    </row>
    <row r="10827">
      <c r="D10827" s="9"/>
      <c r="G10827" s="9"/>
      <c r="J10827" s="11"/>
      <c r="U10827" s="9"/>
      <c r="X10827" s="9"/>
    </row>
    <row r="10828">
      <c r="D10828" s="9"/>
      <c r="G10828" s="9"/>
      <c r="J10828" s="11"/>
      <c r="U10828" s="9"/>
      <c r="X10828" s="9"/>
    </row>
    <row r="10829">
      <c r="D10829" s="9"/>
      <c r="G10829" s="9"/>
      <c r="J10829" s="11"/>
      <c r="U10829" s="9"/>
      <c r="X10829" s="9"/>
    </row>
    <row r="10830">
      <c r="D10830" s="9"/>
      <c r="G10830" s="9"/>
      <c r="J10830" s="11"/>
      <c r="U10830" s="9"/>
      <c r="X10830" s="9"/>
    </row>
    <row r="10831">
      <c r="D10831" s="9"/>
      <c r="G10831" s="9"/>
      <c r="J10831" s="11"/>
      <c r="U10831" s="9"/>
      <c r="X10831" s="9"/>
    </row>
    <row r="10832">
      <c r="D10832" s="9"/>
      <c r="G10832" s="9"/>
      <c r="J10832" s="11"/>
      <c r="U10832" s="9"/>
      <c r="X10832" s="9"/>
    </row>
    <row r="10833">
      <c r="D10833" s="9"/>
      <c r="G10833" s="9"/>
      <c r="J10833" s="11"/>
      <c r="U10833" s="9"/>
      <c r="X10833" s="9"/>
    </row>
    <row r="10834">
      <c r="D10834" s="9"/>
      <c r="G10834" s="9"/>
      <c r="J10834" s="11"/>
      <c r="U10834" s="9"/>
      <c r="X10834" s="9"/>
    </row>
    <row r="10835">
      <c r="D10835" s="9"/>
      <c r="G10835" s="9"/>
      <c r="J10835" s="11"/>
      <c r="U10835" s="9"/>
      <c r="X10835" s="9"/>
    </row>
    <row r="10836">
      <c r="D10836" s="9"/>
      <c r="G10836" s="9"/>
      <c r="J10836" s="11"/>
      <c r="U10836" s="9"/>
      <c r="X10836" s="9"/>
    </row>
    <row r="10837">
      <c r="D10837" s="9"/>
      <c r="G10837" s="9"/>
      <c r="J10837" s="11"/>
      <c r="U10837" s="9"/>
      <c r="X10837" s="9"/>
    </row>
    <row r="10838">
      <c r="D10838" s="9"/>
      <c r="G10838" s="9"/>
      <c r="J10838" s="11"/>
      <c r="U10838" s="9"/>
      <c r="X10838" s="9"/>
    </row>
    <row r="10839">
      <c r="D10839" s="9"/>
      <c r="G10839" s="9"/>
      <c r="J10839" s="11"/>
      <c r="U10839" s="9"/>
      <c r="X10839" s="9"/>
    </row>
    <row r="10840">
      <c r="D10840" s="9"/>
      <c r="G10840" s="9"/>
      <c r="J10840" s="11"/>
      <c r="U10840" s="9"/>
      <c r="X10840" s="9"/>
    </row>
    <row r="10841">
      <c r="D10841" s="9"/>
      <c r="G10841" s="9"/>
      <c r="J10841" s="11"/>
      <c r="U10841" s="9"/>
      <c r="X10841" s="9"/>
    </row>
    <row r="10842">
      <c r="D10842" s="9"/>
      <c r="G10842" s="9"/>
      <c r="J10842" s="11"/>
      <c r="U10842" s="9"/>
      <c r="X10842" s="9"/>
    </row>
    <row r="10843">
      <c r="D10843" s="9"/>
      <c r="G10843" s="9"/>
      <c r="J10843" s="11"/>
      <c r="U10843" s="9"/>
      <c r="X10843" s="9"/>
    </row>
    <row r="10844">
      <c r="D10844" s="9"/>
      <c r="G10844" s="9"/>
      <c r="J10844" s="11"/>
      <c r="U10844" s="9"/>
      <c r="X10844" s="9"/>
    </row>
    <row r="10845">
      <c r="D10845" s="9"/>
      <c r="G10845" s="9"/>
      <c r="J10845" s="11"/>
      <c r="U10845" s="9"/>
      <c r="X10845" s="9"/>
    </row>
    <row r="10846">
      <c r="D10846" s="9"/>
      <c r="G10846" s="9"/>
      <c r="J10846" s="11"/>
      <c r="U10846" s="9"/>
      <c r="X10846" s="9"/>
    </row>
    <row r="10847">
      <c r="D10847" s="9"/>
      <c r="G10847" s="9"/>
      <c r="J10847" s="11"/>
      <c r="U10847" s="9"/>
      <c r="X10847" s="9"/>
    </row>
    <row r="10848">
      <c r="D10848" s="9"/>
      <c r="G10848" s="9"/>
      <c r="J10848" s="11"/>
      <c r="U10848" s="9"/>
      <c r="X10848" s="9"/>
    </row>
    <row r="10849">
      <c r="D10849" s="9"/>
      <c r="G10849" s="9"/>
      <c r="J10849" s="11"/>
      <c r="U10849" s="9"/>
      <c r="X10849" s="9"/>
    </row>
    <row r="10850">
      <c r="D10850" s="9"/>
      <c r="G10850" s="9"/>
      <c r="J10850" s="11"/>
      <c r="U10850" s="9"/>
      <c r="X10850" s="9"/>
    </row>
    <row r="10851">
      <c r="D10851" s="9"/>
      <c r="G10851" s="9"/>
      <c r="J10851" s="11"/>
      <c r="U10851" s="9"/>
      <c r="X10851" s="9"/>
    </row>
    <row r="10852">
      <c r="D10852" s="9"/>
      <c r="G10852" s="9"/>
      <c r="J10852" s="11"/>
      <c r="U10852" s="9"/>
      <c r="X10852" s="9"/>
    </row>
    <row r="10853">
      <c r="D10853" s="9"/>
      <c r="G10853" s="9"/>
      <c r="J10853" s="11"/>
      <c r="U10853" s="9"/>
      <c r="X10853" s="9"/>
    </row>
    <row r="10854">
      <c r="D10854" s="9"/>
      <c r="G10854" s="9"/>
      <c r="J10854" s="11"/>
      <c r="U10854" s="9"/>
      <c r="X10854" s="9"/>
    </row>
    <row r="10855">
      <c r="D10855" s="9"/>
      <c r="G10855" s="9"/>
      <c r="J10855" s="11"/>
      <c r="U10855" s="9"/>
      <c r="X10855" s="9"/>
    </row>
    <row r="10856">
      <c r="D10856" s="9"/>
      <c r="G10856" s="9"/>
      <c r="J10856" s="11"/>
      <c r="U10856" s="9"/>
      <c r="X10856" s="9"/>
    </row>
    <row r="10857">
      <c r="D10857" s="9"/>
      <c r="G10857" s="9"/>
      <c r="J10857" s="11"/>
      <c r="U10857" s="9"/>
      <c r="X10857" s="9"/>
    </row>
    <row r="10858">
      <c r="D10858" s="9"/>
      <c r="G10858" s="9"/>
      <c r="J10858" s="11"/>
      <c r="U10858" s="9"/>
      <c r="X10858" s="9"/>
    </row>
    <row r="10859">
      <c r="D10859" s="9"/>
      <c r="G10859" s="9"/>
      <c r="J10859" s="11"/>
      <c r="U10859" s="9"/>
      <c r="X10859" s="9"/>
    </row>
    <row r="10860">
      <c r="D10860" s="9"/>
      <c r="G10860" s="9"/>
      <c r="J10860" s="11"/>
      <c r="U10860" s="9"/>
      <c r="X10860" s="9"/>
    </row>
    <row r="10861">
      <c r="D10861" s="9"/>
      <c r="G10861" s="9"/>
      <c r="J10861" s="11"/>
      <c r="U10861" s="9"/>
      <c r="X10861" s="9"/>
    </row>
    <row r="10862">
      <c r="D10862" s="9"/>
      <c r="G10862" s="9"/>
      <c r="J10862" s="11"/>
      <c r="U10862" s="9"/>
      <c r="X10862" s="9"/>
    </row>
    <row r="10863">
      <c r="D10863" s="9"/>
      <c r="G10863" s="9"/>
      <c r="J10863" s="11"/>
      <c r="U10863" s="9"/>
      <c r="X10863" s="9"/>
    </row>
    <row r="10864">
      <c r="D10864" s="9"/>
      <c r="G10864" s="9"/>
      <c r="J10864" s="11"/>
      <c r="U10864" s="9"/>
      <c r="X10864" s="9"/>
    </row>
    <row r="10865">
      <c r="D10865" s="9"/>
      <c r="G10865" s="9"/>
      <c r="J10865" s="11"/>
      <c r="U10865" s="9"/>
      <c r="X10865" s="9"/>
    </row>
    <row r="10866">
      <c r="D10866" s="9"/>
      <c r="G10866" s="9"/>
      <c r="J10866" s="11"/>
      <c r="U10866" s="9"/>
      <c r="X10866" s="9"/>
    </row>
    <row r="10867">
      <c r="D10867" s="9"/>
      <c r="G10867" s="9"/>
      <c r="J10867" s="11"/>
      <c r="U10867" s="9"/>
      <c r="X10867" s="9"/>
    </row>
    <row r="10868">
      <c r="D10868" s="9"/>
      <c r="G10868" s="9"/>
      <c r="J10868" s="11"/>
      <c r="U10868" s="9"/>
      <c r="X10868" s="9"/>
    </row>
    <row r="10869">
      <c r="D10869" s="9"/>
      <c r="G10869" s="9"/>
      <c r="J10869" s="11"/>
      <c r="U10869" s="9"/>
      <c r="X10869" s="9"/>
    </row>
    <row r="10870">
      <c r="D10870" s="9"/>
      <c r="G10870" s="9"/>
      <c r="J10870" s="11"/>
      <c r="U10870" s="9"/>
      <c r="X10870" s="9"/>
    </row>
    <row r="10871">
      <c r="D10871" s="9"/>
      <c r="G10871" s="9"/>
      <c r="J10871" s="11"/>
      <c r="U10871" s="9"/>
      <c r="X10871" s="9"/>
    </row>
    <row r="10872">
      <c r="D10872" s="9"/>
      <c r="G10872" s="9"/>
      <c r="J10872" s="11"/>
      <c r="U10872" s="9"/>
      <c r="X10872" s="9"/>
    </row>
    <row r="10873">
      <c r="D10873" s="9"/>
      <c r="G10873" s="9"/>
      <c r="J10873" s="11"/>
      <c r="U10873" s="9"/>
      <c r="X10873" s="9"/>
    </row>
    <row r="10874">
      <c r="D10874" s="9"/>
      <c r="G10874" s="9"/>
      <c r="J10874" s="11"/>
      <c r="U10874" s="9"/>
      <c r="X10874" s="9"/>
    </row>
    <row r="10875">
      <c r="D10875" s="9"/>
      <c r="G10875" s="9"/>
      <c r="J10875" s="11"/>
      <c r="U10875" s="9"/>
      <c r="X10875" s="9"/>
    </row>
    <row r="10876">
      <c r="D10876" s="9"/>
      <c r="G10876" s="9"/>
      <c r="J10876" s="11"/>
      <c r="U10876" s="9"/>
      <c r="X10876" s="9"/>
    </row>
    <row r="10877">
      <c r="D10877" s="9"/>
      <c r="G10877" s="9"/>
      <c r="J10877" s="11"/>
      <c r="U10877" s="9"/>
      <c r="X10877" s="9"/>
    </row>
    <row r="10878">
      <c r="D10878" s="9"/>
      <c r="G10878" s="9"/>
      <c r="J10878" s="11"/>
      <c r="U10878" s="9"/>
      <c r="X10878" s="9"/>
    </row>
    <row r="10879">
      <c r="D10879" s="9"/>
      <c r="G10879" s="9"/>
      <c r="J10879" s="11"/>
      <c r="U10879" s="9"/>
      <c r="X10879" s="9"/>
    </row>
    <row r="10880">
      <c r="D10880" s="9"/>
      <c r="G10880" s="9"/>
      <c r="J10880" s="11"/>
      <c r="U10880" s="9"/>
      <c r="X10880" s="9"/>
    </row>
    <row r="10881">
      <c r="D10881" s="9"/>
      <c r="G10881" s="9"/>
      <c r="J10881" s="11"/>
      <c r="U10881" s="9"/>
      <c r="X10881" s="9"/>
    </row>
    <row r="10882">
      <c r="D10882" s="9"/>
      <c r="G10882" s="9"/>
      <c r="J10882" s="11"/>
      <c r="U10882" s="9"/>
      <c r="X10882" s="9"/>
    </row>
    <row r="10883">
      <c r="D10883" s="9"/>
      <c r="G10883" s="9"/>
      <c r="J10883" s="11"/>
      <c r="U10883" s="9"/>
      <c r="X10883" s="9"/>
    </row>
    <row r="10884">
      <c r="D10884" s="9"/>
      <c r="G10884" s="9"/>
      <c r="J10884" s="11"/>
      <c r="U10884" s="9"/>
      <c r="X10884" s="9"/>
    </row>
    <row r="10885">
      <c r="D10885" s="9"/>
      <c r="G10885" s="9"/>
      <c r="J10885" s="11"/>
      <c r="U10885" s="9"/>
      <c r="X10885" s="9"/>
    </row>
    <row r="10886">
      <c r="D10886" s="9"/>
      <c r="G10886" s="9"/>
      <c r="J10886" s="11"/>
      <c r="U10886" s="9"/>
      <c r="X10886" s="9"/>
    </row>
    <row r="10887">
      <c r="D10887" s="9"/>
      <c r="G10887" s="9"/>
      <c r="J10887" s="11"/>
      <c r="U10887" s="9"/>
      <c r="X10887" s="9"/>
    </row>
    <row r="10888">
      <c r="D10888" s="9"/>
      <c r="G10888" s="9"/>
      <c r="J10888" s="11"/>
      <c r="U10888" s="9"/>
      <c r="X10888" s="9"/>
    </row>
    <row r="10889">
      <c r="D10889" s="9"/>
      <c r="G10889" s="9"/>
      <c r="J10889" s="11"/>
      <c r="U10889" s="9"/>
      <c r="X10889" s="9"/>
    </row>
    <row r="10890">
      <c r="D10890" s="9"/>
      <c r="G10890" s="9"/>
      <c r="J10890" s="11"/>
      <c r="U10890" s="9"/>
      <c r="X10890" s="9"/>
    </row>
    <row r="10891">
      <c r="D10891" s="9"/>
      <c r="G10891" s="9"/>
      <c r="J10891" s="11"/>
      <c r="U10891" s="9"/>
      <c r="X10891" s="9"/>
    </row>
    <row r="10892">
      <c r="D10892" s="9"/>
      <c r="G10892" s="9"/>
      <c r="J10892" s="11"/>
      <c r="U10892" s="9"/>
      <c r="X10892" s="9"/>
    </row>
    <row r="10893">
      <c r="D10893" s="9"/>
      <c r="G10893" s="9"/>
      <c r="J10893" s="11"/>
      <c r="U10893" s="9"/>
      <c r="X10893" s="9"/>
    </row>
    <row r="10894">
      <c r="D10894" s="9"/>
      <c r="G10894" s="9"/>
      <c r="J10894" s="11"/>
      <c r="U10894" s="9"/>
      <c r="X10894" s="9"/>
    </row>
    <row r="10895">
      <c r="D10895" s="9"/>
      <c r="G10895" s="9"/>
      <c r="J10895" s="11"/>
      <c r="U10895" s="9"/>
      <c r="X10895" s="9"/>
    </row>
    <row r="10896">
      <c r="D10896" s="9"/>
      <c r="G10896" s="9"/>
      <c r="J10896" s="11"/>
      <c r="U10896" s="9"/>
      <c r="X10896" s="9"/>
    </row>
    <row r="10897">
      <c r="D10897" s="9"/>
      <c r="G10897" s="9"/>
      <c r="J10897" s="11"/>
      <c r="U10897" s="9"/>
      <c r="X10897" s="9"/>
    </row>
    <row r="10898">
      <c r="D10898" s="9"/>
      <c r="G10898" s="9"/>
      <c r="J10898" s="11"/>
      <c r="U10898" s="9"/>
      <c r="X10898" s="9"/>
    </row>
    <row r="10899">
      <c r="D10899" s="9"/>
      <c r="G10899" s="9"/>
      <c r="J10899" s="11"/>
      <c r="U10899" s="9"/>
      <c r="X10899" s="9"/>
    </row>
    <row r="10900">
      <c r="D10900" s="9"/>
      <c r="G10900" s="9"/>
      <c r="J10900" s="11"/>
      <c r="U10900" s="9"/>
      <c r="X10900" s="9"/>
    </row>
    <row r="10901">
      <c r="D10901" s="9"/>
      <c r="G10901" s="9"/>
      <c r="J10901" s="11"/>
      <c r="U10901" s="9"/>
      <c r="X10901" s="9"/>
    </row>
    <row r="10902">
      <c r="D10902" s="9"/>
      <c r="G10902" s="9"/>
      <c r="J10902" s="11"/>
      <c r="U10902" s="9"/>
      <c r="X10902" s="9"/>
    </row>
    <row r="10903">
      <c r="D10903" s="9"/>
      <c r="G10903" s="9"/>
      <c r="J10903" s="11"/>
      <c r="U10903" s="9"/>
      <c r="X10903" s="9"/>
    </row>
    <row r="10904">
      <c r="D10904" s="9"/>
      <c r="G10904" s="9"/>
      <c r="J10904" s="11"/>
      <c r="U10904" s="9"/>
      <c r="X10904" s="9"/>
    </row>
    <row r="10905">
      <c r="D10905" s="9"/>
      <c r="G10905" s="9"/>
      <c r="J10905" s="11"/>
      <c r="U10905" s="9"/>
      <c r="X10905" s="9"/>
    </row>
    <row r="10906">
      <c r="D10906" s="9"/>
      <c r="G10906" s="9"/>
      <c r="J10906" s="11"/>
      <c r="U10906" s="9"/>
      <c r="X10906" s="9"/>
    </row>
    <row r="10907">
      <c r="D10907" s="9"/>
      <c r="G10907" s="9"/>
      <c r="J10907" s="11"/>
      <c r="U10907" s="9"/>
      <c r="X10907" s="9"/>
    </row>
    <row r="10908">
      <c r="D10908" s="9"/>
      <c r="G10908" s="9"/>
      <c r="J10908" s="11"/>
      <c r="U10908" s="9"/>
      <c r="X10908" s="9"/>
    </row>
    <row r="10909">
      <c r="D10909" s="9"/>
      <c r="G10909" s="9"/>
      <c r="J10909" s="11"/>
      <c r="U10909" s="9"/>
      <c r="X10909" s="9"/>
    </row>
    <row r="10910">
      <c r="D10910" s="9"/>
      <c r="G10910" s="9"/>
      <c r="J10910" s="11"/>
      <c r="U10910" s="9"/>
      <c r="X10910" s="9"/>
    </row>
    <row r="10911">
      <c r="D10911" s="9"/>
      <c r="G10911" s="9"/>
      <c r="J10911" s="11"/>
      <c r="U10911" s="9"/>
      <c r="X10911" s="9"/>
    </row>
    <row r="10912">
      <c r="D10912" s="9"/>
      <c r="G10912" s="9"/>
      <c r="J10912" s="11"/>
      <c r="U10912" s="9"/>
      <c r="X10912" s="9"/>
    </row>
    <row r="10913">
      <c r="D10913" s="9"/>
      <c r="G10913" s="9"/>
      <c r="J10913" s="11"/>
      <c r="U10913" s="9"/>
      <c r="X10913" s="9"/>
    </row>
    <row r="10914">
      <c r="D10914" s="9"/>
      <c r="G10914" s="9"/>
      <c r="J10914" s="11"/>
      <c r="U10914" s="9"/>
      <c r="X10914" s="9"/>
    </row>
    <row r="10915">
      <c r="D10915" s="9"/>
      <c r="G10915" s="9"/>
      <c r="J10915" s="11"/>
      <c r="U10915" s="9"/>
      <c r="X10915" s="9"/>
    </row>
    <row r="10916">
      <c r="D10916" s="9"/>
      <c r="G10916" s="9"/>
      <c r="J10916" s="11"/>
      <c r="U10916" s="9"/>
      <c r="X10916" s="9"/>
    </row>
    <row r="10917">
      <c r="D10917" s="9"/>
      <c r="G10917" s="9"/>
      <c r="J10917" s="11"/>
      <c r="U10917" s="9"/>
      <c r="X10917" s="9"/>
    </row>
    <row r="10918">
      <c r="D10918" s="9"/>
      <c r="G10918" s="9"/>
      <c r="J10918" s="11"/>
      <c r="U10918" s="9"/>
      <c r="X10918" s="9"/>
    </row>
    <row r="10919">
      <c r="D10919" s="9"/>
      <c r="G10919" s="9"/>
      <c r="J10919" s="11"/>
      <c r="U10919" s="9"/>
      <c r="X10919" s="9"/>
    </row>
    <row r="10920">
      <c r="D10920" s="9"/>
      <c r="G10920" s="9"/>
      <c r="J10920" s="11"/>
      <c r="U10920" s="9"/>
      <c r="X10920" s="9"/>
    </row>
    <row r="10921">
      <c r="D10921" s="9"/>
      <c r="G10921" s="9"/>
      <c r="J10921" s="11"/>
      <c r="U10921" s="9"/>
      <c r="X10921" s="9"/>
    </row>
    <row r="10922">
      <c r="D10922" s="9"/>
      <c r="G10922" s="9"/>
      <c r="J10922" s="11"/>
      <c r="U10922" s="9"/>
      <c r="X10922" s="9"/>
    </row>
    <row r="10923">
      <c r="D10923" s="9"/>
      <c r="G10923" s="9"/>
      <c r="J10923" s="11"/>
      <c r="U10923" s="9"/>
      <c r="X10923" s="9"/>
    </row>
    <row r="10924">
      <c r="D10924" s="9"/>
      <c r="G10924" s="9"/>
      <c r="J10924" s="11"/>
      <c r="U10924" s="9"/>
      <c r="X10924" s="9"/>
    </row>
    <row r="10925">
      <c r="D10925" s="9"/>
      <c r="G10925" s="9"/>
      <c r="J10925" s="11"/>
      <c r="U10925" s="9"/>
      <c r="X10925" s="9"/>
    </row>
    <row r="10926">
      <c r="D10926" s="9"/>
      <c r="G10926" s="9"/>
      <c r="J10926" s="11"/>
      <c r="U10926" s="9"/>
      <c r="X10926" s="9"/>
    </row>
    <row r="10927">
      <c r="D10927" s="9"/>
      <c r="G10927" s="9"/>
      <c r="J10927" s="11"/>
      <c r="U10927" s="9"/>
      <c r="X10927" s="9"/>
    </row>
    <row r="10928">
      <c r="D10928" s="9"/>
      <c r="G10928" s="9"/>
      <c r="J10928" s="11"/>
      <c r="U10928" s="9"/>
      <c r="X10928" s="9"/>
    </row>
    <row r="10929">
      <c r="D10929" s="9"/>
      <c r="G10929" s="9"/>
      <c r="J10929" s="11"/>
      <c r="U10929" s="9"/>
      <c r="X10929" s="9"/>
    </row>
    <row r="10930">
      <c r="D10930" s="9"/>
      <c r="G10930" s="9"/>
      <c r="J10930" s="11"/>
      <c r="U10930" s="9"/>
      <c r="X10930" s="9"/>
    </row>
    <row r="10931">
      <c r="D10931" s="9"/>
      <c r="G10931" s="9"/>
      <c r="J10931" s="11"/>
      <c r="U10931" s="9"/>
      <c r="X10931" s="9"/>
    </row>
    <row r="10932">
      <c r="D10932" s="9"/>
      <c r="G10932" s="9"/>
      <c r="J10932" s="11"/>
      <c r="U10932" s="9"/>
      <c r="X10932" s="9"/>
    </row>
    <row r="10933">
      <c r="D10933" s="9"/>
      <c r="G10933" s="9"/>
      <c r="J10933" s="11"/>
      <c r="U10933" s="9"/>
      <c r="X10933" s="9"/>
    </row>
    <row r="10934">
      <c r="D10934" s="9"/>
      <c r="G10934" s="9"/>
      <c r="J10934" s="11"/>
      <c r="U10934" s="9"/>
      <c r="X10934" s="9"/>
    </row>
    <row r="10935">
      <c r="D10935" s="9"/>
      <c r="G10935" s="9"/>
      <c r="J10935" s="11"/>
      <c r="U10935" s="9"/>
      <c r="X10935" s="9"/>
    </row>
    <row r="10936">
      <c r="D10936" s="9"/>
      <c r="G10936" s="9"/>
      <c r="J10936" s="11"/>
      <c r="U10936" s="9"/>
      <c r="X10936" s="9"/>
    </row>
    <row r="10937">
      <c r="D10937" s="9"/>
      <c r="G10937" s="9"/>
      <c r="J10937" s="11"/>
      <c r="U10937" s="9"/>
      <c r="X10937" s="9"/>
    </row>
    <row r="10938">
      <c r="D10938" s="9"/>
      <c r="G10938" s="9"/>
      <c r="J10938" s="11"/>
      <c r="U10938" s="9"/>
      <c r="X10938" s="9"/>
    </row>
    <row r="10939">
      <c r="D10939" s="9"/>
      <c r="G10939" s="9"/>
      <c r="J10939" s="11"/>
      <c r="U10939" s="9"/>
      <c r="X10939" s="9"/>
    </row>
    <row r="10940">
      <c r="D10940" s="9"/>
      <c r="G10940" s="9"/>
      <c r="J10940" s="11"/>
      <c r="U10940" s="9"/>
      <c r="X10940" s="9"/>
    </row>
    <row r="10941">
      <c r="D10941" s="9"/>
      <c r="G10941" s="9"/>
      <c r="J10941" s="11"/>
      <c r="U10941" s="9"/>
      <c r="X10941" s="9"/>
    </row>
    <row r="10942">
      <c r="D10942" s="9"/>
      <c r="G10942" s="9"/>
      <c r="J10942" s="11"/>
      <c r="U10942" s="9"/>
      <c r="X10942" s="9"/>
    </row>
    <row r="10943">
      <c r="D10943" s="9"/>
      <c r="G10943" s="9"/>
      <c r="J10943" s="11"/>
      <c r="U10943" s="9"/>
      <c r="X10943" s="9"/>
    </row>
    <row r="10944">
      <c r="D10944" s="9"/>
      <c r="G10944" s="9"/>
      <c r="J10944" s="11"/>
      <c r="U10944" s="9"/>
      <c r="X10944" s="9"/>
    </row>
    <row r="10945">
      <c r="D10945" s="9"/>
      <c r="G10945" s="9"/>
      <c r="J10945" s="11"/>
      <c r="U10945" s="9"/>
      <c r="X10945" s="9"/>
    </row>
    <row r="10946">
      <c r="D10946" s="9"/>
      <c r="G10946" s="9"/>
      <c r="J10946" s="11"/>
      <c r="U10946" s="9"/>
      <c r="X10946" s="9"/>
    </row>
    <row r="10947">
      <c r="D10947" s="9"/>
      <c r="G10947" s="9"/>
      <c r="J10947" s="11"/>
      <c r="U10947" s="9"/>
      <c r="X10947" s="9"/>
    </row>
    <row r="10948">
      <c r="D10948" s="9"/>
      <c r="G10948" s="9"/>
      <c r="J10948" s="11"/>
      <c r="U10948" s="9"/>
      <c r="X10948" s="9"/>
    </row>
    <row r="10949">
      <c r="D10949" s="9"/>
      <c r="G10949" s="9"/>
      <c r="J10949" s="11"/>
      <c r="U10949" s="9"/>
      <c r="X10949" s="9"/>
    </row>
    <row r="10950">
      <c r="D10950" s="9"/>
      <c r="G10950" s="9"/>
      <c r="J10950" s="11"/>
      <c r="U10950" s="9"/>
      <c r="X10950" s="9"/>
    </row>
    <row r="10951">
      <c r="D10951" s="9"/>
      <c r="G10951" s="9"/>
      <c r="J10951" s="11"/>
      <c r="U10951" s="9"/>
      <c r="X10951" s="9"/>
    </row>
    <row r="10952">
      <c r="D10952" s="9"/>
      <c r="G10952" s="9"/>
      <c r="J10952" s="11"/>
      <c r="U10952" s="9"/>
      <c r="X10952" s="9"/>
    </row>
    <row r="10953">
      <c r="D10953" s="9"/>
      <c r="G10953" s="9"/>
      <c r="J10953" s="11"/>
      <c r="U10953" s="9"/>
      <c r="X10953" s="9"/>
    </row>
    <row r="10954">
      <c r="D10954" s="9"/>
      <c r="G10954" s="9"/>
      <c r="J10954" s="11"/>
      <c r="U10954" s="9"/>
      <c r="X10954" s="9"/>
    </row>
    <row r="10955">
      <c r="D10955" s="9"/>
      <c r="G10955" s="9"/>
      <c r="J10955" s="11"/>
      <c r="U10955" s="9"/>
      <c r="X10955" s="9"/>
    </row>
    <row r="10956">
      <c r="D10956" s="9"/>
      <c r="G10956" s="9"/>
      <c r="J10956" s="11"/>
      <c r="U10956" s="9"/>
      <c r="X10956" s="9"/>
    </row>
    <row r="10957">
      <c r="D10957" s="9"/>
      <c r="G10957" s="9"/>
      <c r="J10957" s="11"/>
      <c r="U10957" s="9"/>
      <c r="X10957" s="9"/>
    </row>
    <row r="10958">
      <c r="D10958" s="9"/>
      <c r="G10958" s="9"/>
      <c r="J10958" s="11"/>
      <c r="U10958" s="9"/>
      <c r="X10958" s="9"/>
    </row>
    <row r="10959">
      <c r="D10959" s="9"/>
      <c r="G10959" s="9"/>
      <c r="J10959" s="11"/>
      <c r="U10959" s="9"/>
      <c r="X10959" s="9"/>
    </row>
    <row r="10960">
      <c r="D10960" s="9"/>
      <c r="G10960" s="9"/>
      <c r="J10960" s="11"/>
      <c r="U10960" s="9"/>
      <c r="X10960" s="9"/>
    </row>
    <row r="10961">
      <c r="D10961" s="9"/>
      <c r="G10961" s="9"/>
      <c r="J10961" s="11"/>
      <c r="U10961" s="9"/>
      <c r="X10961" s="9"/>
    </row>
    <row r="10962">
      <c r="D10962" s="9"/>
      <c r="G10962" s="9"/>
      <c r="J10962" s="11"/>
      <c r="U10962" s="9"/>
      <c r="X10962" s="9"/>
    </row>
    <row r="10963">
      <c r="D10963" s="9"/>
      <c r="G10963" s="9"/>
      <c r="J10963" s="11"/>
      <c r="U10963" s="9"/>
      <c r="X10963" s="9"/>
    </row>
    <row r="10964">
      <c r="D10964" s="9"/>
      <c r="G10964" s="9"/>
      <c r="J10964" s="11"/>
      <c r="U10964" s="9"/>
      <c r="X10964" s="9"/>
    </row>
    <row r="10965">
      <c r="D10965" s="9"/>
      <c r="G10965" s="9"/>
      <c r="J10965" s="11"/>
      <c r="U10965" s="9"/>
      <c r="X10965" s="9"/>
    </row>
    <row r="10966">
      <c r="D10966" s="9"/>
      <c r="G10966" s="9"/>
      <c r="J10966" s="11"/>
      <c r="U10966" s="9"/>
      <c r="X10966" s="9"/>
    </row>
    <row r="10967">
      <c r="D10967" s="9"/>
      <c r="G10967" s="9"/>
      <c r="J10967" s="11"/>
      <c r="U10967" s="9"/>
      <c r="X10967" s="9"/>
    </row>
    <row r="10968">
      <c r="D10968" s="9"/>
      <c r="G10968" s="9"/>
      <c r="J10968" s="11"/>
      <c r="U10968" s="9"/>
      <c r="X10968" s="9"/>
    </row>
    <row r="10969">
      <c r="D10969" s="9"/>
      <c r="G10969" s="9"/>
      <c r="J10969" s="11"/>
      <c r="U10969" s="9"/>
      <c r="X10969" s="9"/>
    </row>
    <row r="10970">
      <c r="D10970" s="9"/>
      <c r="G10970" s="9"/>
      <c r="J10970" s="11"/>
      <c r="U10970" s="9"/>
      <c r="X10970" s="9"/>
    </row>
    <row r="10971">
      <c r="D10971" s="9"/>
      <c r="G10971" s="9"/>
      <c r="J10971" s="11"/>
      <c r="U10971" s="9"/>
      <c r="X10971" s="9"/>
    </row>
    <row r="10972">
      <c r="D10972" s="9"/>
      <c r="G10972" s="9"/>
      <c r="J10972" s="11"/>
      <c r="U10972" s="9"/>
      <c r="X10972" s="9"/>
    </row>
    <row r="10973">
      <c r="D10973" s="9"/>
      <c r="G10973" s="9"/>
      <c r="J10973" s="11"/>
      <c r="U10973" s="9"/>
      <c r="X10973" s="9"/>
    </row>
    <row r="10974">
      <c r="D10974" s="9"/>
      <c r="G10974" s="9"/>
      <c r="J10974" s="11"/>
      <c r="U10974" s="9"/>
      <c r="X10974" s="9"/>
    </row>
    <row r="10975">
      <c r="D10975" s="9"/>
      <c r="G10975" s="9"/>
      <c r="J10975" s="11"/>
      <c r="U10975" s="9"/>
      <c r="X10975" s="9"/>
    </row>
    <row r="10976">
      <c r="D10976" s="9"/>
      <c r="G10976" s="9"/>
      <c r="J10976" s="11"/>
      <c r="U10976" s="9"/>
      <c r="X10976" s="9"/>
    </row>
    <row r="10977">
      <c r="D10977" s="9"/>
      <c r="G10977" s="9"/>
      <c r="J10977" s="11"/>
      <c r="U10977" s="9"/>
      <c r="X10977" s="9"/>
    </row>
    <row r="10978">
      <c r="D10978" s="9"/>
      <c r="G10978" s="9"/>
      <c r="J10978" s="11"/>
      <c r="U10978" s="9"/>
      <c r="X10978" s="9"/>
    </row>
    <row r="10979">
      <c r="D10979" s="9"/>
      <c r="G10979" s="9"/>
      <c r="J10979" s="11"/>
      <c r="U10979" s="9"/>
      <c r="X10979" s="9"/>
    </row>
    <row r="10980">
      <c r="D10980" s="9"/>
      <c r="G10980" s="9"/>
      <c r="J10980" s="11"/>
      <c r="U10980" s="9"/>
      <c r="X10980" s="9"/>
    </row>
    <row r="10981">
      <c r="D10981" s="9"/>
      <c r="G10981" s="9"/>
      <c r="J10981" s="11"/>
      <c r="U10981" s="9"/>
      <c r="X10981" s="9"/>
    </row>
    <row r="10982">
      <c r="D10982" s="9"/>
      <c r="G10982" s="9"/>
      <c r="J10982" s="11"/>
      <c r="U10982" s="9"/>
      <c r="X10982" s="9"/>
    </row>
    <row r="10983">
      <c r="D10983" s="9"/>
      <c r="G10983" s="9"/>
      <c r="J10983" s="11"/>
      <c r="U10983" s="9"/>
      <c r="X10983" s="9"/>
    </row>
    <row r="10984">
      <c r="D10984" s="9"/>
      <c r="G10984" s="9"/>
      <c r="J10984" s="11"/>
      <c r="U10984" s="9"/>
      <c r="X10984" s="9"/>
    </row>
    <row r="10985">
      <c r="D10985" s="9"/>
      <c r="G10985" s="9"/>
      <c r="J10985" s="11"/>
      <c r="U10985" s="9"/>
      <c r="X10985" s="9"/>
    </row>
    <row r="10986">
      <c r="D10986" s="9"/>
      <c r="G10986" s="9"/>
      <c r="J10986" s="11"/>
      <c r="U10986" s="9"/>
      <c r="X10986" s="9"/>
    </row>
    <row r="10987">
      <c r="D10987" s="9"/>
      <c r="G10987" s="9"/>
      <c r="J10987" s="11"/>
      <c r="U10987" s="9"/>
      <c r="X10987" s="9"/>
    </row>
    <row r="10988">
      <c r="D10988" s="9"/>
      <c r="G10988" s="9"/>
      <c r="J10988" s="11"/>
      <c r="U10988" s="9"/>
      <c r="X10988" s="9"/>
    </row>
    <row r="10989">
      <c r="D10989" s="9"/>
      <c r="G10989" s="9"/>
      <c r="J10989" s="11"/>
      <c r="U10989" s="9"/>
      <c r="X10989" s="9"/>
    </row>
    <row r="10990">
      <c r="D10990" s="9"/>
      <c r="G10990" s="9"/>
      <c r="J10990" s="11"/>
      <c r="U10990" s="9"/>
      <c r="X10990" s="9"/>
    </row>
    <row r="10991">
      <c r="D10991" s="9"/>
      <c r="G10991" s="9"/>
      <c r="J10991" s="11"/>
      <c r="U10991" s="9"/>
      <c r="X10991" s="9"/>
    </row>
    <row r="10992">
      <c r="D10992" s="9"/>
      <c r="G10992" s="9"/>
      <c r="J10992" s="11"/>
      <c r="U10992" s="9"/>
      <c r="X10992" s="9"/>
    </row>
    <row r="10993">
      <c r="D10993" s="9"/>
      <c r="G10993" s="9"/>
      <c r="J10993" s="11"/>
      <c r="U10993" s="9"/>
      <c r="X10993" s="9"/>
    </row>
    <row r="10994">
      <c r="D10994" s="9"/>
      <c r="G10994" s="9"/>
      <c r="J10994" s="11"/>
      <c r="U10994" s="9"/>
      <c r="X10994" s="9"/>
    </row>
    <row r="10995">
      <c r="D10995" s="9"/>
      <c r="G10995" s="9"/>
      <c r="J10995" s="11"/>
      <c r="U10995" s="9"/>
      <c r="X10995" s="9"/>
    </row>
    <row r="10996">
      <c r="D10996" s="9"/>
      <c r="G10996" s="9"/>
      <c r="J10996" s="11"/>
      <c r="U10996" s="9"/>
      <c r="X10996" s="9"/>
    </row>
    <row r="10997">
      <c r="D10997" s="9"/>
      <c r="G10997" s="9"/>
      <c r="J10997" s="11"/>
      <c r="U10997" s="9"/>
      <c r="X10997" s="9"/>
    </row>
    <row r="10998">
      <c r="D10998" s="9"/>
      <c r="G10998" s="9"/>
      <c r="J10998" s="11"/>
      <c r="U10998" s="9"/>
      <c r="X10998" s="9"/>
    </row>
    <row r="10999">
      <c r="D10999" s="9"/>
      <c r="G10999" s="9"/>
      <c r="J10999" s="11"/>
      <c r="U10999" s="9"/>
      <c r="X10999" s="9"/>
    </row>
    <row r="11000">
      <c r="D11000" s="9"/>
      <c r="G11000" s="9"/>
      <c r="J11000" s="11"/>
      <c r="U11000" s="9"/>
      <c r="X11000" s="9"/>
    </row>
    <row r="11001">
      <c r="D11001" s="9"/>
      <c r="G11001" s="9"/>
      <c r="J11001" s="11"/>
      <c r="U11001" s="9"/>
      <c r="X11001" s="9"/>
    </row>
    <row r="11002">
      <c r="D11002" s="9"/>
      <c r="G11002" s="9"/>
      <c r="J11002" s="11"/>
      <c r="U11002" s="9"/>
      <c r="X11002" s="9"/>
    </row>
    <row r="11003">
      <c r="D11003" s="9"/>
      <c r="G11003" s="9"/>
      <c r="J11003" s="11"/>
      <c r="U11003" s="9"/>
      <c r="X11003" s="9"/>
    </row>
    <row r="11004">
      <c r="D11004" s="9"/>
      <c r="G11004" s="9"/>
      <c r="J11004" s="11"/>
      <c r="U11004" s="9"/>
      <c r="X11004" s="9"/>
    </row>
    <row r="11005">
      <c r="D11005" s="9"/>
      <c r="G11005" s="9"/>
      <c r="J11005" s="11"/>
      <c r="U11005" s="9"/>
      <c r="X11005" s="9"/>
    </row>
    <row r="11006">
      <c r="D11006" s="9"/>
      <c r="G11006" s="9"/>
      <c r="J11006" s="11"/>
      <c r="U11006" s="9"/>
      <c r="X11006" s="9"/>
    </row>
    <row r="11007">
      <c r="D11007" s="9"/>
      <c r="G11007" s="9"/>
      <c r="J11007" s="11"/>
      <c r="U11007" s="9"/>
      <c r="X11007" s="9"/>
    </row>
    <row r="11008">
      <c r="D11008" s="9"/>
      <c r="G11008" s="9"/>
      <c r="J11008" s="11"/>
      <c r="U11008" s="9"/>
      <c r="X11008" s="9"/>
    </row>
    <row r="11009">
      <c r="D11009" s="9"/>
      <c r="G11009" s="9"/>
      <c r="J11009" s="11"/>
      <c r="U11009" s="9"/>
      <c r="X11009" s="9"/>
    </row>
    <row r="11010">
      <c r="D11010" s="9"/>
      <c r="G11010" s="9"/>
      <c r="J11010" s="11"/>
      <c r="U11010" s="9"/>
      <c r="X11010" s="9"/>
    </row>
    <row r="11011">
      <c r="D11011" s="9"/>
      <c r="G11011" s="9"/>
      <c r="J11011" s="11"/>
      <c r="U11011" s="9"/>
      <c r="X11011" s="9"/>
    </row>
    <row r="11012">
      <c r="D11012" s="9"/>
      <c r="G11012" s="9"/>
      <c r="J11012" s="11"/>
      <c r="U11012" s="9"/>
      <c r="X11012" s="9"/>
    </row>
    <row r="11013">
      <c r="D11013" s="9"/>
      <c r="G11013" s="9"/>
      <c r="J11013" s="11"/>
      <c r="U11013" s="9"/>
      <c r="X11013" s="9"/>
    </row>
    <row r="11014">
      <c r="D11014" s="9"/>
      <c r="G11014" s="9"/>
      <c r="J11014" s="11"/>
      <c r="U11014" s="9"/>
      <c r="X11014" s="9"/>
    </row>
    <row r="11015">
      <c r="D11015" s="9"/>
      <c r="G11015" s="9"/>
      <c r="J11015" s="11"/>
      <c r="U11015" s="9"/>
      <c r="X11015" s="9"/>
    </row>
    <row r="11016">
      <c r="D11016" s="9"/>
      <c r="G11016" s="9"/>
      <c r="J11016" s="11"/>
      <c r="U11016" s="9"/>
      <c r="X11016" s="9"/>
    </row>
    <row r="11017">
      <c r="D11017" s="9"/>
      <c r="G11017" s="9"/>
      <c r="J11017" s="11"/>
      <c r="U11017" s="9"/>
      <c r="X11017" s="9"/>
    </row>
    <row r="11018">
      <c r="D11018" s="9"/>
      <c r="G11018" s="9"/>
      <c r="J11018" s="11"/>
      <c r="U11018" s="9"/>
      <c r="X11018" s="9"/>
    </row>
    <row r="11019">
      <c r="D11019" s="9"/>
      <c r="G11019" s="9"/>
      <c r="J11019" s="11"/>
      <c r="U11019" s="9"/>
      <c r="X11019" s="9"/>
    </row>
    <row r="11020">
      <c r="D11020" s="9"/>
      <c r="G11020" s="9"/>
      <c r="J11020" s="11"/>
      <c r="U11020" s="9"/>
      <c r="X11020" s="9"/>
    </row>
    <row r="11021">
      <c r="D11021" s="9"/>
      <c r="G11021" s="9"/>
      <c r="J11021" s="11"/>
      <c r="U11021" s="9"/>
      <c r="X11021" s="9"/>
    </row>
    <row r="11022">
      <c r="D11022" s="9"/>
      <c r="G11022" s="9"/>
      <c r="J11022" s="11"/>
      <c r="U11022" s="9"/>
      <c r="X11022" s="9"/>
    </row>
    <row r="11023">
      <c r="D11023" s="9"/>
      <c r="G11023" s="9"/>
      <c r="J11023" s="11"/>
      <c r="U11023" s="9"/>
      <c r="X11023" s="9"/>
    </row>
    <row r="11024">
      <c r="D11024" s="9"/>
      <c r="G11024" s="9"/>
      <c r="J11024" s="11"/>
      <c r="U11024" s="9"/>
      <c r="X11024" s="9"/>
    </row>
    <row r="11025">
      <c r="D11025" s="9"/>
      <c r="G11025" s="9"/>
      <c r="J11025" s="11"/>
      <c r="U11025" s="9"/>
      <c r="X11025" s="9"/>
    </row>
    <row r="11026">
      <c r="D11026" s="9"/>
      <c r="G11026" s="9"/>
      <c r="J11026" s="11"/>
      <c r="U11026" s="9"/>
      <c r="X11026" s="9"/>
    </row>
    <row r="11027">
      <c r="D11027" s="9"/>
      <c r="G11027" s="9"/>
      <c r="J11027" s="11"/>
      <c r="U11027" s="9"/>
      <c r="X11027" s="9"/>
    </row>
    <row r="11028">
      <c r="D11028" s="9"/>
      <c r="G11028" s="9"/>
      <c r="J11028" s="11"/>
      <c r="U11028" s="9"/>
      <c r="X11028" s="9"/>
    </row>
    <row r="11029">
      <c r="D11029" s="9"/>
      <c r="G11029" s="9"/>
      <c r="J11029" s="11"/>
      <c r="U11029" s="9"/>
      <c r="X11029" s="9"/>
    </row>
    <row r="11030">
      <c r="D11030" s="9"/>
      <c r="G11030" s="9"/>
      <c r="J11030" s="11"/>
      <c r="U11030" s="9"/>
      <c r="X11030" s="9"/>
    </row>
    <row r="11031">
      <c r="D11031" s="9"/>
      <c r="G11031" s="9"/>
      <c r="J11031" s="11"/>
      <c r="U11031" s="9"/>
      <c r="X11031" s="9"/>
    </row>
    <row r="11032">
      <c r="D11032" s="9"/>
      <c r="G11032" s="9"/>
      <c r="J11032" s="11"/>
      <c r="U11032" s="9"/>
      <c r="X11032" s="9"/>
    </row>
    <row r="11033">
      <c r="D11033" s="9"/>
      <c r="G11033" s="9"/>
      <c r="J11033" s="11"/>
      <c r="U11033" s="9"/>
      <c r="X11033" s="9"/>
    </row>
    <row r="11034">
      <c r="D11034" s="9"/>
      <c r="G11034" s="9"/>
      <c r="J11034" s="11"/>
      <c r="U11034" s="9"/>
      <c r="X11034" s="9"/>
    </row>
    <row r="11035">
      <c r="D11035" s="9"/>
      <c r="G11035" s="9"/>
      <c r="J11035" s="11"/>
      <c r="U11035" s="9"/>
      <c r="X11035" s="9"/>
    </row>
    <row r="11036">
      <c r="D11036" s="9"/>
      <c r="G11036" s="9"/>
      <c r="J11036" s="11"/>
      <c r="U11036" s="9"/>
      <c r="X11036" s="9"/>
    </row>
    <row r="11037">
      <c r="D11037" s="9"/>
      <c r="G11037" s="9"/>
      <c r="J11037" s="11"/>
      <c r="U11037" s="9"/>
      <c r="X11037" s="9"/>
    </row>
    <row r="11038">
      <c r="D11038" s="9"/>
      <c r="G11038" s="9"/>
      <c r="J11038" s="11"/>
      <c r="U11038" s="9"/>
      <c r="X11038" s="9"/>
    </row>
    <row r="11039">
      <c r="D11039" s="9"/>
      <c r="G11039" s="9"/>
      <c r="J11039" s="11"/>
      <c r="U11039" s="9"/>
      <c r="X11039" s="9"/>
    </row>
    <row r="11040">
      <c r="D11040" s="9"/>
      <c r="G11040" s="9"/>
      <c r="J11040" s="11"/>
      <c r="U11040" s="9"/>
      <c r="X11040" s="9"/>
    </row>
    <row r="11041">
      <c r="D11041" s="9"/>
      <c r="G11041" s="9"/>
      <c r="J11041" s="11"/>
      <c r="U11041" s="9"/>
      <c r="X11041" s="9"/>
    </row>
    <row r="11042">
      <c r="D11042" s="9"/>
      <c r="G11042" s="9"/>
      <c r="J11042" s="11"/>
      <c r="U11042" s="9"/>
      <c r="X11042" s="9"/>
    </row>
    <row r="11043">
      <c r="D11043" s="9"/>
      <c r="G11043" s="9"/>
      <c r="J11043" s="11"/>
      <c r="U11043" s="9"/>
      <c r="X11043" s="9"/>
    </row>
    <row r="11044">
      <c r="D11044" s="9"/>
      <c r="G11044" s="9"/>
      <c r="J11044" s="11"/>
      <c r="U11044" s="9"/>
      <c r="X11044" s="9"/>
    </row>
    <row r="11045">
      <c r="D11045" s="9"/>
      <c r="G11045" s="9"/>
      <c r="J11045" s="11"/>
      <c r="U11045" s="9"/>
      <c r="X11045" s="9"/>
    </row>
    <row r="11046">
      <c r="D11046" s="9"/>
      <c r="G11046" s="9"/>
      <c r="J11046" s="11"/>
      <c r="U11046" s="9"/>
      <c r="X11046" s="9"/>
    </row>
    <row r="11047">
      <c r="D11047" s="9"/>
      <c r="G11047" s="9"/>
      <c r="J11047" s="11"/>
      <c r="U11047" s="9"/>
      <c r="X11047" s="9"/>
    </row>
    <row r="11048">
      <c r="D11048" s="9"/>
      <c r="G11048" s="9"/>
      <c r="J11048" s="11"/>
      <c r="U11048" s="9"/>
      <c r="X11048" s="9"/>
    </row>
    <row r="11049">
      <c r="D11049" s="9"/>
      <c r="G11049" s="9"/>
      <c r="J11049" s="11"/>
      <c r="U11049" s="9"/>
      <c r="X11049" s="9"/>
    </row>
    <row r="11050">
      <c r="D11050" s="9"/>
      <c r="G11050" s="9"/>
      <c r="J11050" s="11"/>
      <c r="U11050" s="9"/>
      <c r="X11050" s="9"/>
    </row>
    <row r="11051">
      <c r="D11051" s="9"/>
      <c r="G11051" s="9"/>
      <c r="J11051" s="11"/>
      <c r="U11051" s="9"/>
      <c r="X11051" s="9"/>
    </row>
    <row r="11052">
      <c r="D11052" s="9"/>
      <c r="G11052" s="9"/>
      <c r="J11052" s="11"/>
      <c r="U11052" s="9"/>
      <c r="X11052" s="9"/>
    </row>
    <row r="11053">
      <c r="D11053" s="9"/>
      <c r="G11053" s="9"/>
      <c r="J11053" s="11"/>
      <c r="U11053" s="9"/>
      <c r="X11053" s="9"/>
    </row>
    <row r="11054">
      <c r="D11054" s="9"/>
      <c r="G11054" s="9"/>
      <c r="J11054" s="11"/>
      <c r="U11054" s="9"/>
      <c r="X11054" s="9"/>
    </row>
    <row r="11055">
      <c r="D11055" s="9"/>
      <c r="G11055" s="9"/>
      <c r="J11055" s="11"/>
      <c r="U11055" s="9"/>
      <c r="X11055" s="9"/>
    </row>
    <row r="11056">
      <c r="D11056" s="9"/>
      <c r="G11056" s="9"/>
      <c r="J11056" s="11"/>
      <c r="U11056" s="9"/>
      <c r="X11056" s="9"/>
    </row>
    <row r="11057">
      <c r="D11057" s="9"/>
      <c r="G11057" s="9"/>
      <c r="J11057" s="11"/>
      <c r="U11057" s="9"/>
      <c r="X11057" s="9"/>
    </row>
    <row r="11058">
      <c r="D11058" s="9"/>
      <c r="G11058" s="9"/>
      <c r="J11058" s="11"/>
      <c r="U11058" s="9"/>
      <c r="X11058" s="9"/>
    </row>
    <row r="11059">
      <c r="D11059" s="9"/>
      <c r="G11059" s="9"/>
      <c r="J11059" s="11"/>
      <c r="U11059" s="9"/>
      <c r="X11059" s="9"/>
    </row>
    <row r="11060">
      <c r="D11060" s="9"/>
      <c r="G11060" s="9"/>
      <c r="J11060" s="11"/>
      <c r="U11060" s="9"/>
      <c r="X11060" s="9"/>
    </row>
    <row r="11061">
      <c r="D11061" s="9"/>
      <c r="G11061" s="9"/>
      <c r="J11061" s="11"/>
      <c r="U11061" s="9"/>
      <c r="X11061" s="9"/>
    </row>
    <row r="11062">
      <c r="D11062" s="9"/>
      <c r="G11062" s="9"/>
      <c r="J11062" s="11"/>
      <c r="U11062" s="9"/>
      <c r="X11062" s="9"/>
    </row>
    <row r="11063">
      <c r="D11063" s="9"/>
      <c r="G11063" s="9"/>
      <c r="J11063" s="11"/>
      <c r="U11063" s="9"/>
      <c r="X11063" s="9"/>
    </row>
    <row r="11064">
      <c r="D11064" s="9"/>
      <c r="G11064" s="9"/>
      <c r="J11064" s="11"/>
      <c r="U11064" s="9"/>
      <c r="X11064" s="9"/>
    </row>
    <row r="11065">
      <c r="D11065" s="9"/>
      <c r="G11065" s="9"/>
      <c r="J11065" s="11"/>
      <c r="U11065" s="9"/>
      <c r="X11065" s="9"/>
    </row>
    <row r="11066">
      <c r="D11066" s="9"/>
      <c r="G11066" s="9"/>
      <c r="J11066" s="11"/>
      <c r="U11066" s="9"/>
      <c r="X11066" s="9"/>
    </row>
    <row r="11067">
      <c r="D11067" s="9"/>
      <c r="G11067" s="9"/>
      <c r="J11067" s="11"/>
      <c r="U11067" s="9"/>
      <c r="X11067" s="9"/>
    </row>
    <row r="11068">
      <c r="D11068" s="9"/>
      <c r="G11068" s="9"/>
      <c r="J11068" s="11"/>
      <c r="U11068" s="9"/>
      <c r="X11068" s="9"/>
    </row>
    <row r="11069">
      <c r="D11069" s="9"/>
      <c r="G11069" s="9"/>
      <c r="J11069" s="11"/>
      <c r="U11069" s="9"/>
      <c r="X11069" s="9"/>
    </row>
    <row r="11070">
      <c r="D11070" s="9"/>
      <c r="G11070" s="9"/>
      <c r="J11070" s="11"/>
      <c r="U11070" s="9"/>
      <c r="X11070" s="9"/>
    </row>
    <row r="11071">
      <c r="D11071" s="9"/>
      <c r="G11071" s="9"/>
      <c r="J11071" s="11"/>
      <c r="U11071" s="9"/>
      <c r="X11071" s="9"/>
    </row>
    <row r="11072">
      <c r="D11072" s="9"/>
      <c r="G11072" s="9"/>
      <c r="J11072" s="11"/>
      <c r="U11072" s="9"/>
      <c r="X11072" s="9"/>
    </row>
    <row r="11073">
      <c r="D11073" s="9"/>
      <c r="G11073" s="9"/>
      <c r="J11073" s="11"/>
      <c r="U11073" s="9"/>
      <c r="X11073" s="9"/>
    </row>
    <row r="11074">
      <c r="D11074" s="9"/>
      <c r="G11074" s="9"/>
      <c r="J11074" s="11"/>
      <c r="U11074" s="9"/>
      <c r="X11074" s="9"/>
    </row>
    <row r="11075">
      <c r="D11075" s="9"/>
      <c r="G11075" s="9"/>
      <c r="J11075" s="11"/>
      <c r="U11075" s="9"/>
      <c r="X11075" s="9"/>
    </row>
    <row r="11076">
      <c r="D11076" s="9"/>
      <c r="G11076" s="9"/>
      <c r="J11076" s="11"/>
      <c r="U11076" s="9"/>
      <c r="X11076" s="9"/>
    </row>
    <row r="11077">
      <c r="D11077" s="9"/>
      <c r="G11077" s="9"/>
      <c r="J11077" s="11"/>
      <c r="U11077" s="9"/>
      <c r="X11077" s="9"/>
    </row>
    <row r="11078">
      <c r="D11078" s="9"/>
      <c r="G11078" s="9"/>
      <c r="J11078" s="11"/>
      <c r="U11078" s="9"/>
      <c r="X11078" s="9"/>
    </row>
    <row r="11079">
      <c r="D11079" s="9"/>
      <c r="G11079" s="9"/>
      <c r="J11079" s="11"/>
      <c r="U11079" s="9"/>
      <c r="X11079" s="9"/>
    </row>
    <row r="11080">
      <c r="D11080" s="9"/>
      <c r="G11080" s="9"/>
      <c r="J11080" s="11"/>
      <c r="U11080" s="9"/>
      <c r="X11080" s="9"/>
    </row>
    <row r="11081">
      <c r="D11081" s="9"/>
      <c r="G11081" s="9"/>
      <c r="J11081" s="11"/>
      <c r="U11081" s="9"/>
      <c r="X11081" s="9"/>
    </row>
    <row r="11082">
      <c r="D11082" s="9"/>
      <c r="G11082" s="9"/>
      <c r="J11082" s="11"/>
      <c r="U11082" s="9"/>
      <c r="X11082" s="9"/>
    </row>
    <row r="11083">
      <c r="D11083" s="9"/>
      <c r="G11083" s="9"/>
      <c r="J11083" s="11"/>
      <c r="U11083" s="9"/>
      <c r="X11083" s="9"/>
    </row>
    <row r="11084">
      <c r="D11084" s="9"/>
      <c r="G11084" s="9"/>
      <c r="J11084" s="11"/>
      <c r="U11084" s="9"/>
      <c r="X11084" s="9"/>
    </row>
    <row r="11085">
      <c r="D11085" s="9"/>
      <c r="G11085" s="9"/>
      <c r="J11085" s="11"/>
      <c r="U11085" s="9"/>
      <c r="X11085" s="9"/>
    </row>
    <row r="11086">
      <c r="D11086" s="9"/>
      <c r="G11086" s="9"/>
      <c r="J11086" s="11"/>
      <c r="U11086" s="9"/>
      <c r="X11086" s="9"/>
    </row>
    <row r="11087">
      <c r="D11087" s="9"/>
      <c r="G11087" s="9"/>
      <c r="J11087" s="11"/>
      <c r="U11087" s="9"/>
      <c r="X11087" s="9"/>
    </row>
    <row r="11088">
      <c r="D11088" s="9"/>
      <c r="G11088" s="9"/>
      <c r="J11088" s="11"/>
      <c r="U11088" s="9"/>
      <c r="X11088" s="9"/>
    </row>
    <row r="11089">
      <c r="D11089" s="9"/>
      <c r="G11089" s="9"/>
      <c r="J11089" s="11"/>
      <c r="U11089" s="9"/>
      <c r="X11089" s="9"/>
    </row>
    <row r="11090">
      <c r="D11090" s="9"/>
      <c r="G11090" s="9"/>
      <c r="J11090" s="11"/>
      <c r="U11090" s="9"/>
      <c r="X11090" s="9"/>
    </row>
    <row r="11091">
      <c r="D11091" s="9"/>
      <c r="G11091" s="9"/>
      <c r="J11091" s="11"/>
      <c r="U11091" s="9"/>
      <c r="X11091" s="9"/>
    </row>
    <row r="11092">
      <c r="D11092" s="9"/>
      <c r="G11092" s="9"/>
      <c r="J11092" s="11"/>
      <c r="U11092" s="9"/>
      <c r="X11092" s="9"/>
    </row>
    <row r="11093">
      <c r="D11093" s="9"/>
      <c r="G11093" s="9"/>
      <c r="J11093" s="11"/>
      <c r="U11093" s="9"/>
      <c r="X11093" s="9"/>
    </row>
    <row r="11094">
      <c r="D11094" s="9"/>
      <c r="G11094" s="9"/>
      <c r="J11094" s="11"/>
      <c r="U11094" s="9"/>
      <c r="X11094" s="9"/>
    </row>
    <row r="11095">
      <c r="D11095" s="9"/>
      <c r="G11095" s="9"/>
      <c r="J11095" s="11"/>
      <c r="U11095" s="9"/>
      <c r="X11095" s="9"/>
    </row>
    <row r="11096">
      <c r="D11096" s="9"/>
      <c r="G11096" s="9"/>
      <c r="J11096" s="11"/>
      <c r="U11096" s="9"/>
      <c r="X11096" s="9"/>
    </row>
    <row r="11097">
      <c r="D11097" s="9"/>
      <c r="G11097" s="9"/>
      <c r="J11097" s="11"/>
      <c r="U11097" s="9"/>
      <c r="X11097" s="9"/>
    </row>
    <row r="11098">
      <c r="D11098" s="9"/>
      <c r="G11098" s="9"/>
      <c r="J11098" s="11"/>
      <c r="U11098" s="9"/>
      <c r="X11098" s="9"/>
    </row>
    <row r="11099">
      <c r="D11099" s="9"/>
      <c r="G11099" s="9"/>
      <c r="J11099" s="11"/>
      <c r="U11099" s="9"/>
      <c r="X11099" s="9"/>
    </row>
    <row r="11100">
      <c r="D11100" s="9"/>
      <c r="G11100" s="9"/>
      <c r="J11100" s="11"/>
      <c r="U11100" s="9"/>
      <c r="X11100" s="9"/>
    </row>
    <row r="11101">
      <c r="D11101" s="9"/>
      <c r="G11101" s="9"/>
      <c r="J11101" s="11"/>
      <c r="U11101" s="9"/>
      <c r="X11101" s="9"/>
    </row>
    <row r="11102">
      <c r="D11102" s="9"/>
      <c r="G11102" s="9"/>
      <c r="J11102" s="11"/>
      <c r="U11102" s="9"/>
      <c r="X11102" s="9"/>
    </row>
    <row r="11103">
      <c r="D11103" s="9"/>
      <c r="G11103" s="9"/>
      <c r="J11103" s="11"/>
      <c r="U11103" s="9"/>
      <c r="X11103" s="9"/>
    </row>
    <row r="11104">
      <c r="D11104" s="9"/>
      <c r="G11104" s="9"/>
      <c r="J11104" s="11"/>
      <c r="U11104" s="9"/>
      <c r="X11104" s="9"/>
    </row>
    <row r="11105">
      <c r="D11105" s="9"/>
      <c r="G11105" s="9"/>
      <c r="J11105" s="11"/>
      <c r="U11105" s="9"/>
      <c r="X11105" s="9"/>
    </row>
    <row r="11106">
      <c r="D11106" s="9"/>
      <c r="G11106" s="9"/>
      <c r="J11106" s="11"/>
      <c r="U11106" s="9"/>
      <c r="X11106" s="9"/>
    </row>
    <row r="11107">
      <c r="D11107" s="9"/>
      <c r="G11107" s="9"/>
      <c r="J11107" s="11"/>
      <c r="U11107" s="9"/>
      <c r="X11107" s="9"/>
    </row>
    <row r="11108">
      <c r="D11108" s="9"/>
      <c r="G11108" s="9"/>
      <c r="J11108" s="11"/>
      <c r="U11108" s="9"/>
      <c r="X11108" s="9"/>
    </row>
    <row r="11109">
      <c r="D11109" s="9"/>
      <c r="G11109" s="9"/>
      <c r="J11109" s="11"/>
      <c r="U11109" s="9"/>
      <c r="X11109" s="9"/>
    </row>
    <row r="11110">
      <c r="D11110" s="9"/>
      <c r="G11110" s="9"/>
      <c r="J11110" s="11"/>
      <c r="U11110" s="9"/>
      <c r="X11110" s="9"/>
    </row>
    <row r="11111">
      <c r="D11111" s="9"/>
      <c r="G11111" s="9"/>
      <c r="J11111" s="11"/>
      <c r="U11111" s="9"/>
      <c r="X11111" s="9"/>
    </row>
    <row r="11112">
      <c r="D11112" s="9"/>
      <c r="G11112" s="9"/>
      <c r="J11112" s="11"/>
      <c r="U11112" s="9"/>
      <c r="X11112" s="9"/>
    </row>
    <row r="11113">
      <c r="D11113" s="9"/>
      <c r="G11113" s="9"/>
      <c r="J11113" s="11"/>
      <c r="U11113" s="9"/>
      <c r="X11113" s="9"/>
    </row>
    <row r="11114">
      <c r="D11114" s="9"/>
      <c r="G11114" s="9"/>
      <c r="J11114" s="11"/>
      <c r="U11114" s="9"/>
      <c r="X11114" s="9"/>
    </row>
    <row r="11115">
      <c r="D11115" s="9"/>
      <c r="G11115" s="9"/>
      <c r="J11115" s="11"/>
      <c r="U11115" s="9"/>
      <c r="X11115" s="9"/>
    </row>
    <row r="11116">
      <c r="D11116" s="9"/>
      <c r="G11116" s="9"/>
      <c r="J11116" s="11"/>
      <c r="U11116" s="9"/>
      <c r="X11116" s="9"/>
    </row>
    <row r="11117">
      <c r="D11117" s="9"/>
      <c r="G11117" s="9"/>
      <c r="J11117" s="11"/>
      <c r="U11117" s="9"/>
      <c r="X11117" s="9"/>
    </row>
    <row r="11118">
      <c r="D11118" s="9"/>
      <c r="G11118" s="9"/>
      <c r="J11118" s="11"/>
      <c r="U11118" s="9"/>
      <c r="X11118" s="9"/>
    </row>
    <row r="11119">
      <c r="D11119" s="9"/>
      <c r="G11119" s="9"/>
      <c r="J11119" s="11"/>
      <c r="U11119" s="9"/>
      <c r="X11119" s="9"/>
    </row>
    <row r="11120">
      <c r="D11120" s="9"/>
      <c r="G11120" s="9"/>
      <c r="J11120" s="11"/>
      <c r="U11120" s="9"/>
      <c r="X11120" s="9"/>
    </row>
    <row r="11121">
      <c r="D11121" s="9"/>
      <c r="G11121" s="9"/>
      <c r="J11121" s="11"/>
      <c r="U11121" s="9"/>
      <c r="X11121" s="9"/>
    </row>
    <row r="11122">
      <c r="D11122" s="9"/>
      <c r="G11122" s="9"/>
      <c r="J11122" s="11"/>
      <c r="U11122" s="9"/>
      <c r="X11122" s="9"/>
    </row>
    <row r="11123">
      <c r="D11123" s="9"/>
      <c r="G11123" s="9"/>
      <c r="J11123" s="11"/>
      <c r="U11123" s="9"/>
      <c r="X11123" s="9"/>
    </row>
    <row r="11124">
      <c r="D11124" s="9"/>
      <c r="G11124" s="9"/>
      <c r="J11124" s="11"/>
      <c r="U11124" s="9"/>
      <c r="X11124" s="9"/>
    </row>
    <row r="11125">
      <c r="D11125" s="9"/>
      <c r="G11125" s="9"/>
      <c r="J11125" s="11"/>
      <c r="U11125" s="9"/>
      <c r="X11125" s="9"/>
    </row>
    <row r="11126">
      <c r="D11126" s="9"/>
      <c r="G11126" s="9"/>
      <c r="J11126" s="11"/>
      <c r="U11126" s="9"/>
      <c r="X11126" s="9"/>
    </row>
    <row r="11127">
      <c r="D11127" s="9"/>
      <c r="G11127" s="9"/>
      <c r="J11127" s="11"/>
      <c r="U11127" s="9"/>
      <c r="X11127" s="9"/>
    </row>
    <row r="11128">
      <c r="D11128" s="9"/>
      <c r="G11128" s="9"/>
      <c r="J11128" s="11"/>
      <c r="U11128" s="9"/>
      <c r="X11128" s="9"/>
    </row>
    <row r="11129">
      <c r="D11129" s="9"/>
      <c r="G11129" s="9"/>
      <c r="J11129" s="11"/>
      <c r="U11129" s="9"/>
      <c r="X11129" s="9"/>
    </row>
    <row r="11130">
      <c r="D11130" s="9"/>
      <c r="G11130" s="9"/>
      <c r="J11130" s="11"/>
      <c r="U11130" s="9"/>
      <c r="X11130" s="9"/>
    </row>
    <row r="11131">
      <c r="D11131" s="9"/>
      <c r="G11131" s="9"/>
      <c r="J11131" s="11"/>
      <c r="U11131" s="9"/>
      <c r="X11131" s="9"/>
    </row>
    <row r="11132">
      <c r="D11132" s="9"/>
      <c r="G11132" s="9"/>
      <c r="J11132" s="11"/>
      <c r="U11132" s="9"/>
      <c r="X11132" s="9"/>
    </row>
    <row r="11133">
      <c r="D11133" s="9"/>
      <c r="G11133" s="9"/>
      <c r="J11133" s="11"/>
      <c r="U11133" s="9"/>
      <c r="X11133" s="9"/>
    </row>
    <row r="11134">
      <c r="D11134" s="9"/>
      <c r="G11134" s="9"/>
      <c r="J11134" s="11"/>
      <c r="U11134" s="9"/>
      <c r="X11134" s="9"/>
    </row>
    <row r="11135">
      <c r="D11135" s="9"/>
      <c r="G11135" s="9"/>
      <c r="J11135" s="11"/>
      <c r="U11135" s="9"/>
      <c r="X11135" s="9"/>
    </row>
    <row r="11136">
      <c r="D11136" s="9"/>
      <c r="G11136" s="9"/>
      <c r="J11136" s="11"/>
      <c r="U11136" s="9"/>
      <c r="X11136" s="9"/>
    </row>
    <row r="11137">
      <c r="D11137" s="9"/>
      <c r="G11137" s="9"/>
      <c r="J11137" s="11"/>
      <c r="U11137" s="9"/>
      <c r="X11137" s="9"/>
    </row>
    <row r="11138">
      <c r="D11138" s="9"/>
      <c r="G11138" s="9"/>
      <c r="J11138" s="11"/>
      <c r="U11138" s="9"/>
      <c r="X11138" s="9"/>
    </row>
    <row r="11139">
      <c r="D11139" s="9"/>
      <c r="G11139" s="9"/>
      <c r="J11139" s="11"/>
      <c r="U11139" s="9"/>
      <c r="X11139" s="9"/>
    </row>
    <row r="11140">
      <c r="D11140" s="9"/>
      <c r="G11140" s="9"/>
      <c r="J11140" s="11"/>
      <c r="U11140" s="9"/>
      <c r="X11140" s="9"/>
    </row>
    <row r="11141">
      <c r="D11141" s="9"/>
      <c r="G11141" s="9"/>
      <c r="J11141" s="11"/>
      <c r="U11141" s="9"/>
      <c r="X11141" s="9"/>
    </row>
    <row r="11142">
      <c r="D11142" s="9"/>
      <c r="G11142" s="9"/>
      <c r="J11142" s="11"/>
      <c r="U11142" s="9"/>
      <c r="X11142" s="9"/>
    </row>
    <row r="11143">
      <c r="D11143" s="9"/>
      <c r="G11143" s="9"/>
      <c r="J11143" s="11"/>
      <c r="U11143" s="9"/>
      <c r="X11143" s="9"/>
    </row>
    <row r="11144">
      <c r="D11144" s="9"/>
      <c r="G11144" s="9"/>
      <c r="J11144" s="11"/>
      <c r="U11144" s="9"/>
      <c r="X11144" s="9"/>
    </row>
    <row r="11145">
      <c r="D11145" s="9"/>
      <c r="G11145" s="9"/>
      <c r="J11145" s="11"/>
      <c r="U11145" s="9"/>
      <c r="X11145" s="9"/>
    </row>
    <row r="11146">
      <c r="D11146" s="9"/>
      <c r="G11146" s="9"/>
      <c r="J11146" s="11"/>
      <c r="U11146" s="9"/>
      <c r="X11146" s="9"/>
    </row>
    <row r="11147">
      <c r="D11147" s="9"/>
      <c r="G11147" s="9"/>
      <c r="J11147" s="11"/>
      <c r="U11147" s="9"/>
      <c r="X11147" s="9"/>
    </row>
    <row r="11148">
      <c r="D11148" s="9"/>
      <c r="G11148" s="9"/>
      <c r="J11148" s="11"/>
      <c r="U11148" s="9"/>
      <c r="X11148" s="9"/>
    </row>
    <row r="11149">
      <c r="D11149" s="9"/>
      <c r="G11149" s="9"/>
      <c r="J11149" s="11"/>
      <c r="U11149" s="9"/>
      <c r="X11149" s="9"/>
    </row>
    <row r="11150">
      <c r="D11150" s="9"/>
      <c r="G11150" s="9"/>
      <c r="J11150" s="11"/>
      <c r="U11150" s="9"/>
      <c r="X11150" s="9"/>
    </row>
    <row r="11151">
      <c r="D11151" s="9"/>
      <c r="G11151" s="9"/>
      <c r="J11151" s="11"/>
      <c r="U11151" s="9"/>
      <c r="X11151" s="9"/>
    </row>
    <row r="11152">
      <c r="D11152" s="9"/>
      <c r="G11152" s="9"/>
      <c r="J11152" s="11"/>
      <c r="U11152" s="9"/>
      <c r="X11152" s="9"/>
    </row>
    <row r="11153">
      <c r="D11153" s="9"/>
      <c r="G11153" s="9"/>
      <c r="J11153" s="11"/>
      <c r="U11153" s="9"/>
      <c r="X11153" s="9"/>
    </row>
    <row r="11154">
      <c r="D11154" s="9"/>
      <c r="G11154" s="9"/>
      <c r="J11154" s="11"/>
      <c r="U11154" s="9"/>
      <c r="X11154" s="9"/>
    </row>
    <row r="11155">
      <c r="D11155" s="9"/>
      <c r="G11155" s="9"/>
      <c r="J11155" s="11"/>
      <c r="U11155" s="9"/>
      <c r="X11155" s="9"/>
    </row>
    <row r="11156">
      <c r="D11156" s="9"/>
      <c r="G11156" s="9"/>
      <c r="J11156" s="11"/>
      <c r="U11156" s="9"/>
      <c r="X11156" s="9"/>
    </row>
    <row r="11157">
      <c r="D11157" s="9"/>
      <c r="G11157" s="9"/>
      <c r="J11157" s="11"/>
      <c r="U11157" s="9"/>
      <c r="X11157" s="9"/>
    </row>
    <row r="11158">
      <c r="D11158" s="9"/>
      <c r="G11158" s="9"/>
      <c r="J11158" s="11"/>
      <c r="U11158" s="9"/>
      <c r="X11158" s="9"/>
    </row>
    <row r="11159">
      <c r="D11159" s="9"/>
      <c r="G11159" s="9"/>
      <c r="J11159" s="11"/>
      <c r="U11159" s="9"/>
      <c r="X11159" s="9"/>
    </row>
    <row r="11160">
      <c r="D11160" s="9"/>
      <c r="G11160" s="9"/>
      <c r="J11160" s="11"/>
      <c r="U11160" s="9"/>
      <c r="X11160" s="9"/>
    </row>
    <row r="11161">
      <c r="D11161" s="9"/>
      <c r="G11161" s="9"/>
      <c r="J11161" s="11"/>
      <c r="U11161" s="9"/>
      <c r="X11161" s="9"/>
    </row>
    <row r="11162">
      <c r="D11162" s="9"/>
      <c r="G11162" s="9"/>
      <c r="J11162" s="11"/>
      <c r="U11162" s="9"/>
      <c r="X11162" s="9"/>
    </row>
    <row r="11163">
      <c r="D11163" s="9"/>
      <c r="G11163" s="9"/>
      <c r="J11163" s="11"/>
      <c r="U11163" s="9"/>
      <c r="X11163" s="9"/>
    </row>
    <row r="11164">
      <c r="D11164" s="9"/>
      <c r="G11164" s="9"/>
      <c r="J11164" s="11"/>
      <c r="U11164" s="9"/>
      <c r="X11164" s="9"/>
    </row>
    <row r="11165">
      <c r="D11165" s="9"/>
      <c r="G11165" s="9"/>
      <c r="J11165" s="11"/>
      <c r="U11165" s="9"/>
      <c r="X11165" s="9"/>
    </row>
    <row r="11166">
      <c r="D11166" s="9"/>
      <c r="G11166" s="9"/>
      <c r="J11166" s="11"/>
      <c r="U11166" s="9"/>
      <c r="X11166" s="9"/>
    </row>
    <row r="11167">
      <c r="D11167" s="9"/>
      <c r="G11167" s="9"/>
      <c r="J11167" s="11"/>
      <c r="U11167" s="9"/>
      <c r="X11167" s="9"/>
    </row>
    <row r="11168">
      <c r="D11168" s="9"/>
      <c r="G11168" s="9"/>
      <c r="J11168" s="11"/>
      <c r="U11168" s="9"/>
      <c r="X11168" s="9"/>
    </row>
    <row r="11169">
      <c r="D11169" s="9"/>
      <c r="G11169" s="9"/>
      <c r="J11169" s="11"/>
      <c r="U11169" s="9"/>
      <c r="X11169" s="9"/>
    </row>
    <row r="11170">
      <c r="D11170" s="9"/>
      <c r="G11170" s="9"/>
      <c r="J11170" s="11"/>
      <c r="U11170" s="9"/>
      <c r="X11170" s="9"/>
    </row>
    <row r="11171">
      <c r="D11171" s="9"/>
      <c r="G11171" s="9"/>
      <c r="J11171" s="11"/>
      <c r="U11171" s="9"/>
      <c r="X11171" s="9"/>
    </row>
    <row r="11172">
      <c r="D11172" s="9"/>
      <c r="G11172" s="9"/>
      <c r="J11172" s="11"/>
      <c r="U11172" s="9"/>
      <c r="X11172" s="9"/>
    </row>
    <row r="11173">
      <c r="D11173" s="9"/>
      <c r="G11173" s="9"/>
      <c r="J11173" s="11"/>
      <c r="U11173" s="9"/>
      <c r="X11173" s="9"/>
    </row>
    <row r="11174">
      <c r="D11174" s="9"/>
      <c r="G11174" s="9"/>
      <c r="J11174" s="11"/>
      <c r="U11174" s="9"/>
      <c r="X11174" s="9"/>
    </row>
    <row r="11175">
      <c r="D11175" s="9"/>
      <c r="G11175" s="9"/>
      <c r="J11175" s="11"/>
      <c r="U11175" s="9"/>
      <c r="X11175" s="9"/>
    </row>
    <row r="11176">
      <c r="D11176" s="9"/>
      <c r="G11176" s="9"/>
      <c r="J11176" s="11"/>
      <c r="U11176" s="9"/>
      <c r="X11176" s="9"/>
    </row>
    <row r="11177">
      <c r="D11177" s="9"/>
      <c r="G11177" s="9"/>
      <c r="J11177" s="11"/>
      <c r="U11177" s="9"/>
      <c r="X11177" s="9"/>
    </row>
    <row r="11178">
      <c r="D11178" s="9"/>
      <c r="G11178" s="9"/>
      <c r="J11178" s="11"/>
      <c r="U11178" s="9"/>
      <c r="X11178" s="9"/>
    </row>
    <row r="11179">
      <c r="D11179" s="9"/>
      <c r="G11179" s="9"/>
      <c r="J11179" s="11"/>
      <c r="U11179" s="9"/>
      <c r="X11179" s="9"/>
    </row>
    <row r="11180">
      <c r="D11180" s="9"/>
      <c r="G11180" s="9"/>
      <c r="J11180" s="11"/>
      <c r="U11180" s="9"/>
      <c r="X11180" s="9"/>
    </row>
    <row r="11181">
      <c r="D11181" s="9"/>
      <c r="G11181" s="9"/>
      <c r="J11181" s="11"/>
      <c r="U11181" s="9"/>
      <c r="X11181" s="9"/>
    </row>
    <row r="11182">
      <c r="D11182" s="9"/>
      <c r="G11182" s="9"/>
      <c r="J11182" s="11"/>
      <c r="U11182" s="9"/>
      <c r="X11182" s="9"/>
    </row>
    <row r="11183">
      <c r="D11183" s="9"/>
      <c r="G11183" s="9"/>
      <c r="J11183" s="11"/>
      <c r="U11183" s="9"/>
      <c r="X11183" s="9"/>
    </row>
    <row r="11184">
      <c r="D11184" s="9"/>
      <c r="G11184" s="9"/>
      <c r="J11184" s="11"/>
      <c r="U11184" s="9"/>
      <c r="X11184" s="9"/>
    </row>
    <row r="11185">
      <c r="D11185" s="9"/>
      <c r="G11185" s="9"/>
      <c r="J11185" s="11"/>
      <c r="U11185" s="9"/>
      <c r="X11185" s="9"/>
    </row>
    <row r="11186">
      <c r="D11186" s="9"/>
      <c r="G11186" s="9"/>
      <c r="J11186" s="11"/>
      <c r="U11186" s="9"/>
      <c r="X11186" s="9"/>
    </row>
    <row r="11187">
      <c r="D11187" s="9"/>
      <c r="G11187" s="9"/>
      <c r="J11187" s="11"/>
      <c r="U11187" s="9"/>
      <c r="X11187" s="9"/>
    </row>
    <row r="11188">
      <c r="D11188" s="9"/>
      <c r="G11188" s="9"/>
      <c r="J11188" s="11"/>
      <c r="U11188" s="9"/>
      <c r="X11188" s="9"/>
    </row>
    <row r="11189">
      <c r="D11189" s="9"/>
      <c r="G11189" s="9"/>
      <c r="J11189" s="11"/>
      <c r="U11189" s="9"/>
      <c r="X11189" s="9"/>
    </row>
    <row r="11190">
      <c r="D11190" s="9"/>
      <c r="G11190" s="9"/>
      <c r="J11190" s="11"/>
      <c r="U11190" s="9"/>
      <c r="X11190" s="9"/>
    </row>
    <row r="11191">
      <c r="D11191" s="9"/>
      <c r="G11191" s="9"/>
      <c r="J11191" s="11"/>
      <c r="U11191" s="9"/>
      <c r="X11191" s="9"/>
    </row>
    <row r="11192">
      <c r="D11192" s="9"/>
      <c r="G11192" s="9"/>
      <c r="J11192" s="11"/>
      <c r="U11192" s="9"/>
      <c r="X11192" s="9"/>
    </row>
    <row r="11193">
      <c r="D11193" s="9"/>
      <c r="G11193" s="9"/>
      <c r="J11193" s="11"/>
      <c r="U11193" s="9"/>
      <c r="X11193" s="9"/>
    </row>
    <row r="11194">
      <c r="D11194" s="9"/>
      <c r="G11194" s="9"/>
      <c r="J11194" s="11"/>
      <c r="U11194" s="9"/>
      <c r="X11194" s="9"/>
    </row>
    <row r="11195">
      <c r="D11195" s="9"/>
      <c r="G11195" s="9"/>
      <c r="J11195" s="11"/>
      <c r="U11195" s="9"/>
      <c r="X11195" s="9"/>
    </row>
    <row r="11196">
      <c r="D11196" s="9"/>
      <c r="G11196" s="9"/>
      <c r="J11196" s="11"/>
      <c r="U11196" s="9"/>
      <c r="X11196" s="9"/>
    </row>
    <row r="11197">
      <c r="D11197" s="9"/>
      <c r="G11197" s="9"/>
      <c r="J11197" s="11"/>
      <c r="U11197" s="9"/>
      <c r="X11197" s="9"/>
    </row>
    <row r="11198">
      <c r="D11198" s="9"/>
      <c r="G11198" s="9"/>
      <c r="J11198" s="11"/>
      <c r="U11198" s="9"/>
      <c r="X11198" s="9"/>
    </row>
    <row r="11199">
      <c r="D11199" s="9"/>
      <c r="G11199" s="9"/>
      <c r="J11199" s="11"/>
      <c r="U11199" s="9"/>
      <c r="X11199" s="9"/>
    </row>
    <row r="11200">
      <c r="D11200" s="9"/>
      <c r="G11200" s="9"/>
      <c r="J11200" s="11"/>
      <c r="U11200" s="9"/>
      <c r="X11200" s="9"/>
    </row>
    <row r="11201">
      <c r="D11201" s="9"/>
      <c r="G11201" s="9"/>
      <c r="J11201" s="11"/>
      <c r="U11201" s="9"/>
      <c r="X11201" s="9"/>
    </row>
    <row r="11202">
      <c r="D11202" s="9"/>
      <c r="G11202" s="9"/>
      <c r="J11202" s="11"/>
      <c r="U11202" s="9"/>
      <c r="X11202" s="9"/>
    </row>
    <row r="11203">
      <c r="D11203" s="9"/>
      <c r="G11203" s="9"/>
      <c r="J11203" s="11"/>
      <c r="U11203" s="9"/>
      <c r="X11203" s="9"/>
    </row>
    <row r="11204">
      <c r="D11204" s="9"/>
      <c r="G11204" s="9"/>
      <c r="J11204" s="11"/>
      <c r="U11204" s="9"/>
      <c r="X11204" s="9"/>
    </row>
    <row r="11205">
      <c r="D11205" s="9"/>
      <c r="G11205" s="9"/>
      <c r="J11205" s="11"/>
      <c r="U11205" s="9"/>
      <c r="X11205" s="9"/>
    </row>
    <row r="11206">
      <c r="D11206" s="9"/>
      <c r="G11206" s="9"/>
      <c r="J11206" s="11"/>
      <c r="U11206" s="9"/>
      <c r="X11206" s="9"/>
    </row>
    <row r="11207">
      <c r="D11207" s="9"/>
      <c r="G11207" s="9"/>
      <c r="J11207" s="11"/>
      <c r="U11207" s="9"/>
      <c r="X11207" s="9"/>
    </row>
    <row r="11208">
      <c r="D11208" s="9"/>
      <c r="G11208" s="9"/>
      <c r="J11208" s="11"/>
      <c r="U11208" s="9"/>
      <c r="X11208" s="9"/>
    </row>
    <row r="11209">
      <c r="D11209" s="9"/>
      <c r="G11209" s="9"/>
      <c r="J11209" s="11"/>
      <c r="U11209" s="9"/>
      <c r="X11209" s="9"/>
    </row>
    <row r="11210">
      <c r="D11210" s="9"/>
      <c r="G11210" s="9"/>
      <c r="J11210" s="11"/>
      <c r="U11210" s="9"/>
      <c r="X11210" s="9"/>
    </row>
    <row r="11211">
      <c r="D11211" s="9"/>
      <c r="G11211" s="9"/>
      <c r="J11211" s="11"/>
      <c r="U11211" s="9"/>
      <c r="X11211" s="9"/>
    </row>
    <row r="11212">
      <c r="D11212" s="9"/>
      <c r="G11212" s="9"/>
      <c r="J11212" s="11"/>
      <c r="U11212" s="9"/>
      <c r="X11212" s="9"/>
    </row>
    <row r="11213">
      <c r="D11213" s="9"/>
      <c r="G11213" s="9"/>
      <c r="J11213" s="11"/>
      <c r="U11213" s="9"/>
      <c r="X11213" s="9"/>
    </row>
    <row r="11214">
      <c r="D11214" s="9"/>
      <c r="G11214" s="9"/>
      <c r="J11214" s="11"/>
      <c r="U11214" s="9"/>
      <c r="X11214" s="9"/>
    </row>
    <row r="11215">
      <c r="D11215" s="9"/>
      <c r="G11215" s="9"/>
      <c r="J11215" s="11"/>
      <c r="U11215" s="9"/>
      <c r="X11215" s="9"/>
    </row>
    <row r="11216">
      <c r="D11216" s="9"/>
      <c r="G11216" s="9"/>
      <c r="J11216" s="11"/>
      <c r="U11216" s="9"/>
      <c r="X11216" s="9"/>
    </row>
    <row r="11217">
      <c r="D11217" s="9"/>
      <c r="G11217" s="9"/>
      <c r="J11217" s="11"/>
      <c r="U11217" s="9"/>
      <c r="X11217" s="9"/>
    </row>
    <row r="11218">
      <c r="D11218" s="9"/>
      <c r="G11218" s="9"/>
      <c r="J11218" s="11"/>
      <c r="U11218" s="9"/>
      <c r="X11218" s="9"/>
    </row>
    <row r="11219">
      <c r="D11219" s="9"/>
      <c r="G11219" s="9"/>
      <c r="J11219" s="11"/>
      <c r="U11219" s="9"/>
      <c r="X11219" s="9"/>
    </row>
    <row r="11220">
      <c r="D11220" s="9"/>
      <c r="G11220" s="9"/>
      <c r="J11220" s="11"/>
      <c r="U11220" s="9"/>
      <c r="X11220" s="9"/>
    </row>
    <row r="11221">
      <c r="D11221" s="9"/>
      <c r="G11221" s="9"/>
      <c r="J11221" s="11"/>
      <c r="U11221" s="9"/>
      <c r="X11221" s="9"/>
    </row>
    <row r="11222">
      <c r="D11222" s="9"/>
      <c r="G11222" s="9"/>
      <c r="J11222" s="11"/>
      <c r="U11222" s="9"/>
      <c r="X11222" s="9"/>
    </row>
    <row r="11223">
      <c r="D11223" s="9"/>
      <c r="G11223" s="9"/>
      <c r="J11223" s="11"/>
      <c r="U11223" s="9"/>
      <c r="X11223" s="9"/>
    </row>
    <row r="11224">
      <c r="D11224" s="9"/>
      <c r="G11224" s="9"/>
      <c r="J11224" s="11"/>
      <c r="U11224" s="9"/>
      <c r="X11224" s="9"/>
    </row>
    <row r="11225">
      <c r="D11225" s="9"/>
      <c r="G11225" s="9"/>
      <c r="J11225" s="11"/>
      <c r="U11225" s="9"/>
      <c r="X11225" s="9"/>
    </row>
    <row r="11226">
      <c r="D11226" s="9"/>
      <c r="G11226" s="9"/>
      <c r="J11226" s="11"/>
      <c r="U11226" s="9"/>
      <c r="X11226" s="9"/>
    </row>
    <row r="11227">
      <c r="D11227" s="9"/>
      <c r="G11227" s="9"/>
      <c r="J11227" s="11"/>
      <c r="U11227" s="9"/>
      <c r="X11227" s="9"/>
    </row>
    <row r="11228">
      <c r="D11228" s="9"/>
      <c r="G11228" s="9"/>
      <c r="J11228" s="11"/>
      <c r="U11228" s="9"/>
      <c r="X11228" s="9"/>
    </row>
    <row r="11229">
      <c r="D11229" s="9"/>
      <c r="G11229" s="9"/>
      <c r="J11229" s="11"/>
      <c r="U11229" s="9"/>
      <c r="X11229" s="9"/>
    </row>
    <row r="11230">
      <c r="D11230" s="9"/>
      <c r="G11230" s="9"/>
      <c r="J11230" s="11"/>
      <c r="U11230" s="9"/>
      <c r="X11230" s="9"/>
    </row>
    <row r="11231">
      <c r="D11231" s="9"/>
      <c r="G11231" s="9"/>
      <c r="J11231" s="11"/>
      <c r="U11231" s="9"/>
      <c r="X11231" s="9"/>
    </row>
    <row r="11232">
      <c r="D11232" s="9"/>
      <c r="G11232" s="9"/>
      <c r="J11232" s="11"/>
      <c r="U11232" s="9"/>
      <c r="X11232" s="9"/>
    </row>
    <row r="11233">
      <c r="D11233" s="9"/>
      <c r="G11233" s="9"/>
      <c r="J11233" s="11"/>
      <c r="U11233" s="9"/>
      <c r="X11233" s="9"/>
    </row>
    <row r="11234">
      <c r="D11234" s="9"/>
      <c r="G11234" s="9"/>
      <c r="J11234" s="11"/>
      <c r="U11234" s="9"/>
      <c r="X11234" s="9"/>
    </row>
    <row r="11235">
      <c r="D11235" s="9"/>
      <c r="G11235" s="9"/>
      <c r="J11235" s="11"/>
      <c r="U11235" s="9"/>
      <c r="X11235" s="9"/>
    </row>
    <row r="11236">
      <c r="D11236" s="9"/>
      <c r="G11236" s="9"/>
      <c r="J11236" s="11"/>
      <c r="U11236" s="9"/>
      <c r="X11236" s="9"/>
    </row>
    <row r="11237">
      <c r="D11237" s="9"/>
      <c r="G11237" s="9"/>
      <c r="J11237" s="11"/>
      <c r="U11237" s="9"/>
      <c r="X11237" s="9"/>
    </row>
    <row r="11238">
      <c r="D11238" s="9"/>
      <c r="G11238" s="9"/>
      <c r="J11238" s="11"/>
      <c r="U11238" s="9"/>
      <c r="X11238" s="9"/>
    </row>
    <row r="11239">
      <c r="D11239" s="9"/>
      <c r="G11239" s="9"/>
      <c r="J11239" s="11"/>
      <c r="U11239" s="9"/>
      <c r="X11239" s="9"/>
    </row>
    <row r="11240">
      <c r="D11240" s="9"/>
      <c r="G11240" s="9"/>
      <c r="J11240" s="11"/>
      <c r="U11240" s="9"/>
      <c r="X11240" s="9"/>
    </row>
    <row r="11241">
      <c r="D11241" s="9"/>
      <c r="G11241" s="9"/>
      <c r="J11241" s="11"/>
      <c r="U11241" s="9"/>
      <c r="X11241" s="9"/>
    </row>
    <row r="11242">
      <c r="D11242" s="9"/>
      <c r="G11242" s="9"/>
      <c r="J11242" s="11"/>
      <c r="U11242" s="9"/>
      <c r="X11242" s="9"/>
    </row>
    <row r="11243">
      <c r="D11243" s="9"/>
      <c r="G11243" s="9"/>
      <c r="J11243" s="11"/>
      <c r="U11243" s="9"/>
      <c r="X11243" s="9"/>
    </row>
    <row r="11244">
      <c r="D11244" s="9"/>
      <c r="G11244" s="9"/>
      <c r="J11244" s="11"/>
      <c r="U11244" s="9"/>
      <c r="X11244" s="9"/>
    </row>
    <row r="11245">
      <c r="D11245" s="9"/>
      <c r="G11245" s="9"/>
      <c r="J11245" s="11"/>
      <c r="U11245" s="9"/>
      <c r="X11245" s="9"/>
    </row>
    <row r="11246">
      <c r="D11246" s="9"/>
      <c r="G11246" s="9"/>
      <c r="J11246" s="11"/>
      <c r="U11246" s="9"/>
      <c r="X11246" s="9"/>
    </row>
    <row r="11247">
      <c r="D11247" s="9"/>
      <c r="G11247" s="9"/>
      <c r="J11247" s="11"/>
      <c r="U11247" s="9"/>
      <c r="X11247" s="9"/>
    </row>
    <row r="11248">
      <c r="D11248" s="9"/>
      <c r="G11248" s="9"/>
      <c r="J11248" s="11"/>
      <c r="U11248" s="9"/>
      <c r="X11248" s="9"/>
    </row>
    <row r="11249">
      <c r="D11249" s="9"/>
      <c r="G11249" s="9"/>
      <c r="J11249" s="11"/>
      <c r="U11249" s="9"/>
      <c r="X11249" s="9"/>
    </row>
    <row r="11250">
      <c r="D11250" s="9"/>
      <c r="G11250" s="9"/>
      <c r="J11250" s="11"/>
      <c r="U11250" s="9"/>
      <c r="X11250" s="9"/>
    </row>
    <row r="11251">
      <c r="D11251" s="9"/>
      <c r="G11251" s="9"/>
      <c r="J11251" s="11"/>
      <c r="U11251" s="9"/>
      <c r="X11251" s="9"/>
    </row>
    <row r="11252">
      <c r="D11252" s="9"/>
      <c r="G11252" s="9"/>
      <c r="J11252" s="11"/>
      <c r="U11252" s="9"/>
      <c r="X11252" s="9"/>
    </row>
    <row r="11253">
      <c r="D11253" s="9"/>
      <c r="G11253" s="9"/>
      <c r="J11253" s="11"/>
      <c r="U11253" s="9"/>
      <c r="X11253" s="9"/>
    </row>
    <row r="11254">
      <c r="D11254" s="9"/>
      <c r="G11254" s="9"/>
      <c r="J11254" s="11"/>
      <c r="U11254" s="9"/>
      <c r="X11254" s="9"/>
    </row>
    <row r="11255">
      <c r="D11255" s="9"/>
      <c r="G11255" s="9"/>
      <c r="J11255" s="11"/>
      <c r="U11255" s="9"/>
      <c r="X11255" s="9"/>
    </row>
    <row r="11256">
      <c r="D11256" s="9"/>
      <c r="G11256" s="9"/>
      <c r="J11256" s="11"/>
      <c r="U11256" s="9"/>
      <c r="X11256" s="9"/>
    </row>
    <row r="11257">
      <c r="D11257" s="9"/>
      <c r="G11257" s="9"/>
      <c r="J11257" s="11"/>
      <c r="U11257" s="9"/>
      <c r="X11257" s="9"/>
    </row>
    <row r="11258">
      <c r="D11258" s="9"/>
      <c r="G11258" s="9"/>
      <c r="J11258" s="11"/>
      <c r="U11258" s="9"/>
      <c r="X11258" s="9"/>
    </row>
    <row r="11259">
      <c r="D11259" s="9"/>
      <c r="G11259" s="9"/>
      <c r="J11259" s="11"/>
      <c r="U11259" s="9"/>
      <c r="X11259" s="9"/>
    </row>
    <row r="11260">
      <c r="D11260" s="9"/>
      <c r="G11260" s="9"/>
      <c r="J11260" s="11"/>
      <c r="U11260" s="9"/>
      <c r="X11260" s="9"/>
    </row>
    <row r="11261">
      <c r="D11261" s="9"/>
      <c r="G11261" s="9"/>
      <c r="J11261" s="11"/>
      <c r="U11261" s="9"/>
      <c r="X11261" s="9"/>
    </row>
    <row r="11262">
      <c r="D11262" s="9"/>
      <c r="G11262" s="9"/>
      <c r="J11262" s="11"/>
      <c r="U11262" s="9"/>
      <c r="X11262" s="9"/>
    </row>
    <row r="11263">
      <c r="D11263" s="9"/>
      <c r="G11263" s="9"/>
      <c r="J11263" s="11"/>
      <c r="U11263" s="9"/>
      <c r="X11263" s="9"/>
    </row>
    <row r="11264">
      <c r="D11264" s="9"/>
      <c r="G11264" s="9"/>
      <c r="J11264" s="11"/>
      <c r="U11264" s="9"/>
      <c r="X11264" s="9"/>
    </row>
    <row r="11265">
      <c r="D11265" s="9"/>
      <c r="G11265" s="9"/>
      <c r="J11265" s="11"/>
      <c r="U11265" s="9"/>
      <c r="X11265" s="9"/>
    </row>
    <row r="11266">
      <c r="D11266" s="9"/>
      <c r="G11266" s="9"/>
      <c r="J11266" s="11"/>
      <c r="U11266" s="9"/>
      <c r="X11266" s="9"/>
    </row>
    <row r="11267">
      <c r="D11267" s="9"/>
      <c r="G11267" s="9"/>
      <c r="J11267" s="11"/>
      <c r="U11267" s="9"/>
      <c r="X11267" s="9"/>
    </row>
    <row r="11268">
      <c r="D11268" s="9"/>
      <c r="G11268" s="9"/>
      <c r="J11268" s="11"/>
      <c r="U11268" s="9"/>
      <c r="X11268" s="9"/>
    </row>
    <row r="11269">
      <c r="D11269" s="9"/>
      <c r="G11269" s="9"/>
      <c r="J11269" s="11"/>
      <c r="U11269" s="9"/>
      <c r="X11269" s="9"/>
    </row>
    <row r="11270">
      <c r="D11270" s="9"/>
      <c r="G11270" s="9"/>
      <c r="J11270" s="11"/>
      <c r="U11270" s="9"/>
      <c r="X11270" s="9"/>
    </row>
    <row r="11271">
      <c r="D11271" s="9"/>
      <c r="G11271" s="9"/>
      <c r="J11271" s="11"/>
      <c r="U11271" s="9"/>
      <c r="X11271" s="9"/>
    </row>
    <row r="11272">
      <c r="D11272" s="9"/>
      <c r="G11272" s="9"/>
      <c r="J11272" s="11"/>
      <c r="U11272" s="9"/>
      <c r="X11272" s="9"/>
    </row>
    <row r="11273">
      <c r="D11273" s="9"/>
      <c r="G11273" s="9"/>
      <c r="J11273" s="11"/>
      <c r="U11273" s="9"/>
      <c r="X11273" s="9"/>
    </row>
    <row r="11274">
      <c r="D11274" s="9"/>
      <c r="G11274" s="9"/>
      <c r="J11274" s="11"/>
      <c r="U11274" s="9"/>
      <c r="X11274" s="9"/>
    </row>
    <row r="11275">
      <c r="D11275" s="9"/>
      <c r="G11275" s="9"/>
      <c r="J11275" s="11"/>
      <c r="U11275" s="9"/>
      <c r="X11275" s="9"/>
    </row>
    <row r="11276">
      <c r="D11276" s="9"/>
      <c r="G11276" s="9"/>
      <c r="J11276" s="11"/>
      <c r="U11276" s="9"/>
      <c r="X11276" s="9"/>
    </row>
    <row r="11277">
      <c r="D11277" s="9"/>
      <c r="G11277" s="9"/>
      <c r="J11277" s="11"/>
      <c r="U11277" s="9"/>
      <c r="X11277" s="9"/>
    </row>
    <row r="11278">
      <c r="D11278" s="9"/>
      <c r="G11278" s="9"/>
      <c r="J11278" s="11"/>
      <c r="U11278" s="9"/>
      <c r="X11278" s="9"/>
    </row>
    <row r="11279">
      <c r="D11279" s="9"/>
      <c r="G11279" s="9"/>
      <c r="J11279" s="11"/>
      <c r="U11279" s="9"/>
      <c r="X11279" s="9"/>
    </row>
    <row r="11280">
      <c r="D11280" s="9"/>
      <c r="G11280" s="9"/>
      <c r="J11280" s="11"/>
      <c r="U11280" s="9"/>
      <c r="X11280" s="9"/>
    </row>
    <row r="11281">
      <c r="D11281" s="9"/>
      <c r="G11281" s="9"/>
      <c r="J11281" s="11"/>
      <c r="U11281" s="9"/>
      <c r="X11281" s="9"/>
    </row>
    <row r="11282">
      <c r="D11282" s="9"/>
      <c r="G11282" s="9"/>
      <c r="J11282" s="11"/>
      <c r="U11282" s="9"/>
      <c r="X11282" s="9"/>
    </row>
    <row r="11283">
      <c r="D11283" s="9"/>
      <c r="G11283" s="9"/>
      <c r="J11283" s="11"/>
      <c r="U11283" s="9"/>
      <c r="X11283" s="9"/>
    </row>
    <row r="11284">
      <c r="D11284" s="9"/>
      <c r="G11284" s="9"/>
      <c r="J11284" s="11"/>
      <c r="U11284" s="9"/>
      <c r="X11284" s="9"/>
    </row>
    <row r="11285">
      <c r="D11285" s="9"/>
      <c r="G11285" s="9"/>
      <c r="J11285" s="11"/>
      <c r="U11285" s="9"/>
      <c r="X11285" s="9"/>
    </row>
    <row r="11286">
      <c r="D11286" s="9"/>
      <c r="G11286" s="9"/>
      <c r="J11286" s="11"/>
      <c r="U11286" s="9"/>
      <c r="X11286" s="9"/>
    </row>
    <row r="11287">
      <c r="D11287" s="9"/>
      <c r="G11287" s="9"/>
      <c r="J11287" s="11"/>
      <c r="U11287" s="9"/>
      <c r="X11287" s="9"/>
    </row>
    <row r="11288">
      <c r="D11288" s="9"/>
      <c r="G11288" s="9"/>
      <c r="J11288" s="11"/>
      <c r="U11288" s="9"/>
      <c r="X11288" s="9"/>
    </row>
    <row r="11289">
      <c r="D11289" s="9"/>
      <c r="G11289" s="9"/>
      <c r="J11289" s="11"/>
      <c r="U11289" s="9"/>
      <c r="X11289" s="9"/>
    </row>
    <row r="11290">
      <c r="D11290" s="9"/>
      <c r="G11290" s="9"/>
      <c r="J11290" s="11"/>
      <c r="U11290" s="9"/>
      <c r="X11290" s="9"/>
    </row>
    <row r="11291">
      <c r="D11291" s="9"/>
      <c r="G11291" s="9"/>
      <c r="J11291" s="11"/>
      <c r="U11291" s="9"/>
      <c r="X11291" s="9"/>
    </row>
    <row r="11292">
      <c r="D11292" s="9"/>
      <c r="G11292" s="9"/>
      <c r="J11292" s="11"/>
      <c r="U11292" s="9"/>
      <c r="X11292" s="9"/>
    </row>
    <row r="11293">
      <c r="D11293" s="9"/>
      <c r="G11293" s="9"/>
      <c r="J11293" s="11"/>
      <c r="U11293" s="9"/>
      <c r="X11293" s="9"/>
    </row>
    <row r="11294">
      <c r="D11294" s="9"/>
      <c r="G11294" s="9"/>
      <c r="J11294" s="11"/>
      <c r="U11294" s="9"/>
      <c r="X11294" s="9"/>
    </row>
    <row r="11295">
      <c r="D11295" s="9"/>
      <c r="G11295" s="9"/>
      <c r="J11295" s="11"/>
      <c r="U11295" s="9"/>
      <c r="X11295" s="9"/>
    </row>
    <row r="11296">
      <c r="D11296" s="9"/>
      <c r="G11296" s="9"/>
      <c r="J11296" s="11"/>
      <c r="U11296" s="9"/>
      <c r="X11296" s="9"/>
    </row>
    <row r="11297">
      <c r="D11297" s="9"/>
      <c r="G11297" s="9"/>
      <c r="J11297" s="11"/>
      <c r="U11297" s="9"/>
      <c r="X11297" s="9"/>
    </row>
    <row r="11298">
      <c r="D11298" s="9"/>
      <c r="G11298" s="9"/>
      <c r="J11298" s="11"/>
      <c r="U11298" s="9"/>
      <c r="X11298" s="9"/>
    </row>
    <row r="11299">
      <c r="D11299" s="9"/>
      <c r="G11299" s="9"/>
      <c r="J11299" s="11"/>
      <c r="U11299" s="9"/>
      <c r="X11299" s="9"/>
    </row>
    <row r="11300">
      <c r="D11300" s="9"/>
      <c r="G11300" s="9"/>
      <c r="J11300" s="11"/>
      <c r="U11300" s="9"/>
      <c r="X11300" s="9"/>
    </row>
    <row r="11301">
      <c r="D11301" s="9"/>
      <c r="G11301" s="9"/>
      <c r="J11301" s="11"/>
      <c r="U11301" s="9"/>
      <c r="X11301" s="9"/>
    </row>
    <row r="11302">
      <c r="D11302" s="9"/>
      <c r="G11302" s="9"/>
      <c r="J11302" s="11"/>
      <c r="U11302" s="9"/>
      <c r="X11302" s="9"/>
    </row>
    <row r="11303">
      <c r="D11303" s="9"/>
      <c r="G11303" s="9"/>
      <c r="J11303" s="11"/>
      <c r="U11303" s="9"/>
      <c r="X11303" s="9"/>
    </row>
    <row r="11304">
      <c r="D11304" s="9"/>
      <c r="G11304" s="9"/>
      <c r="J11304" s="11"/>
      <c r="U11304" s="9"/>
      <c r="X11304" s="9"/>
    </row>
    <row r="11305">
      <c r="D11305" s="9"/>
      <c r="G11305" s="9"/>
      <c r="J11305" s="11"/>
      <c r="U11305" s="9"/>
      <c r="X11305" s="9"/>
    </row>
    <row r="11306">
      <c r="D11306" s="9"/>
      <c r="G11306" s="9"/>
      <c r="J11306" s="11"/>
      <c r="U11306" s="9"/>
      <c r="X11306" s="9"/>
    </row>
    <row r="11307">
      <c r="D11307" s="9"/>
      <c r="G11307" s="9"/>
      <c r="J11307" s="11"/>
      <c r="U11307" s="9"/>
      <c r="X11307" s="9"/>
    </row>
    <row r="11308">
      <c r="D11308" s="9"/>
      <c r="G11308" s="9"/>
      <c r="J11308" s="11"/>
      <c r="U11308" s="9"/>
      <c r="X11308" s="9"/>
    </row>
    <row r="11309">
      <c r="D11309" s="9"/>
      <c r="G11309" s="9"/>
      <c r="J11309" s="11"/>
      <c r="U11309" s="9"/>
      <c r="X11309" s="9"/>
    </row>
    <row r="11310">
      <c r="D11310" s="9"/>
      <c r="G11310" s="9"/>
      <c r="J11310" s="11"/>
      <c r="U11310" s="9"/>
      <c r="X11310" s="9"/>
    </row>
    <row r="11311">
      <c r="D11311" s="9"/>
      <c r="G11311" s="9"/>
      <c r="J11311" s="11"/>
      <c r="U11311" s="9"/>
      <c r="X11311" s="9"/>
    </row>
    <row r="11312">
      <c r="D11312" s="9"/>
      <c r="G11312" s="9"/>
      <c r="J11312" s="11"/>
      <c r="U11312" s="9"/>
      <c r="X11312" s="9"/>
    </row>
    <row r="11313">
      <c r="D11313" s="9"/>
      <c r="G11313" s="9"/>
      <c r="J11313" s="11"/>
      <c r="U11313" s="9"/>
      <c r="X11313" s="9"/>
    </row>
    <row r="11314">
      <c r="D11314" s="9"/>
      <c r="G11314" s="9"/>
      <c r="J11314" s="11"/>
      <c r="U11314" s="9"/>
      <c r="X11314" s="9"/>
    </row>
    <row r="11315">
      <c r="D11315" s="9"/>
      <c r="G11315" s="9"/>
      <c r="J11315" s="11"/>
      <c r="U11315" s="9"/>
      <c r="X11315" s="9"/>
    </row>
    <row r="11316">
      <c r="D11316" s="9"/>
      <c r="G11316" s="9"/>
      <c r="J11316" s="11"/>
      <c r="U11316" s="9"/>
      <c r="X11316" s="9"/>
    </row>
    <row r="11317">
      <c r="D11317" s="9"/>
      <c r="G11317" s="9"/>
      <c r="J11317" s="11"/>
      <c r="U11317" s="9"/>
      <c r="X11317" s="9"/>
    </row>
    <row r="11318">
      <c r="D11318" s="9"/>
      <c r="G11318" s="9"/>
      <c r="J11318" s="11"/>
      <c r="U11318" s="9"/>
      <c r="X11318" s="9"/>
    </row>
    <row r="11319">
      <c r="D11319" s="9"/>
      <c r="G11319" s="9"/>
      <c r="J11319" s="11"/>
      <c r="U11319" s="9"/>
      <c r="X11319" s="9"/>
    </row>
    <row r="11320">
      <c r="D11320" s="9"/>
      <c r="G11320" s="9"/>
      <c r="J11320" s="11"/>
      <c r="U11320" s="9"/>
      <c r="X11320" s="9"/>
    </row>
    <row r="11321">
      <c r="D11321" s="9"/>
      <c r="G11321" s="9"/>
      <c r="J11321" s="11"/>
      <c r="U11321" s="9"/>
      <c r="X11321" s="9"/>
    </row>
    <row r="11322">
      <c r="D11322" s="9"/>
      <c r="G11322" s="9"/>
      <c r="J11322" s="11"/>
      <c r="U11322" s="9"/>
      <c r="X11322" s="9"/>
    </row>
    <row r="11323">
      <c r="D11323" s="9"/>
      <c r="G11323" s="9"/>
      <c r="J11323" s="11"/>
      <c r="U11323" s="9"/>
      <c r="X11323" s="9"/>
    </row>
    <row r="11324">
      <c r="D11324" s="9"/>
      <c r="G11324" s="9"/>
      <c r="J11324" s="11"/>
      <c r="U11324" s="9"/>
      <c r="X11324" s="9"/>
    </row>
    <row r="11325">
      <c r="D11325" s="9"/>
      <c r="G11325" s="9"/>
      <c r="J11325" s="11"/>
      <c r="U11325" s="9"/>
      <c r="X11325" s="9"/>
    </row>
    <row r="11326">
      <c r="D11326" s="9"/>
      <c r="G11326" s="9"/>
      <c r="J11326" s="11"/>
      <c r="U11326" s="9"/>
      <c r="X11326" s="9"/>
    </row>
    <row r="11327">
      <c r="D11327" s="9"/>
      <c r="G11327" s="9"/>
      <c r="J11327" s="11"/>
      <c r="U11327" s="9"/>
      <c r="X11327" s="9"/>
    </row>
    <row r="11328">
      <c r="D11328" s="9"/>
      <c r="G11328" s="9"/>
      <c r="J11328" s="11"/>
      <c r="U11328" s="9"/>
      <c r="X11328" s="9"/>
    </row>
    <row r="11329">
      <c r="D11329" s="9"/>
      <c r="G11329" s="9"/>
      <c r="J11329" s="11"/>
      <c r="U11329" s="9"/>
      <c r="X11329" s="9"/>
    </row>
    <row r="11330">
      <c r="D11330" s="9"/>
      <c r="G11330" s="9"/>
      <c r="J11330" s="11"/>
      <c r="U11330" s="9"/>
      <c r="X11330" s="9"/>
    </row>
    <row r="11331">
      <c r="D11331" s="9"/>
      <c r="G11331" s="9"/>
      <c r="J11331" s="11"/>
      <c r="U11331" s="9"/>
      <c r="X11331" s="9"/>
    </row>
    <row r="11332">
      <c r="D11332" s="9"/>
      <c r="G11332" s="9"/>
      <c r="J11332" s="11"/>
      <c r="U11332" s="9"/>
      <c r="X11332" s="9"/>
    </row>
    <row r="11333">
      <c r="D11333" s="9"/>
      <c r="G11333" s="9"/>
      <c r="J11333" s="11"/>
      <c r="U11333" s="9"/>
      <c r="X11333" s="9"/>
    </row>
    <row r="11334">
      <c r="D11334" s="9"/>
      <c r="G11334" s="9"/>
      <c r="J11334" s="11"/>
      <c r="U11334" s="9"/>
      <c r="X11334" s="9"/>
    </row>
    <row r="11335">
      <c r="D11335" s="9"/>
      <c r="G11335" s="9"/>
      <c r="J11335" s="11"/>
      <c r="U11335" s="9"/>
      <c r="X11335" s="9"/>
    </row>
    <row r="11336">
      <c r="D11336" s="9"/>
      <c r="G11336" s="9"/>
      <c r="J11336" s="11"/>
      <c r="U11336" s="9"/>
      <c r="X11336" s="9"/>
    </row>
    <row r="11337">
      <c r="D11337" s="9"/>
      <c r="G11337" s="9"/>
      <c r="J11337" s="11"/>
      <c r="U11337" s="9"/>
      <c r="X11337" s="9"/>
    </row>
    <row r="11338">
      <c r="D11338" s="9"/>
      <c r="G11338" s="9"/>
      <c r="J11338" s="11"/>
      <c r="U11338" s="9"/>
      <c r="X11338" s="9"/>
    </row>
    <row r="11339">
      <c r="D11339" s="9"/>
      <c r="G11339" s="9"/>
      <c r="J11339" s="11"/>
      <c r="U11339" s="9"/>
      <c r="X11339" s="9"/>
    </row>
    <row r="11340">
      <c r="D11340" s="9"/>
      <c r="G11340" s="9"/>
      <c r="J11340" s="11"/>
      <c r="U11340" s="9"/>
      <c r="X11340" s="9"/>
    </row>
    <row r="11341">
      <c r="D11341" s="9"/>
      <c r="G11341" s="9"/>
      <c r="J11341" s="11"/>
      <c r="U11341" s="9"/>
      <c r="X11341" s="9"/>
    </row>
    <row r="11342">
      <c r="D11342" s="9"/>
      <c r="G11342" s="9"/>
      <c r="J11342" s="11"/>
      <c r="U11342" s="9"/>
      <c r="X11342" s="9"/>
    </row>
    <row r="11343">
      <c r="D11343" s="9"/>
      <c r="G11343" s="9"/>
      <c r="J11343" s="11"/>
      <c r="U11343" s="9"/>
      <c r="X11343" s="9"/>
    </row>
    <row r="11344">
      <c r="D11344" s="9"/>
      <c r="G11344" s="9"/>
      <c r="J11344" s="11"/>
      <c r="U11344" s="9"/>
      <c r="X11344" s="9"/>
    </row>
    <row r="11345">
      <c r="D11345" s="9"/>
      <c r="G11345" s="9"/>
      <c r="J11345" s="11"/>
      <c r="U11345" s="9"/>
      <c r="X11345" s="9"/>
    </row>
    <row r="11346">
      <c r="D11346" s="9"/>
      <c r="G11346" s="9"/>
      <c r="J11346" s="11"/>
      <c r="U11346" s="9"/>
      <c r="X11346" s="9"/>
    </row>
    <row r="11347">
      <c r="D11347" s="9"/>
      <c r="G11347" s="9"/>
      <c r="J11347" s="11"/>
      <c r="U11347" s="9"/>
      <c r="X11347" s="9"/>
    </row>
    <row r="11348">
      <c r="D11348" s="9"/>
      <c r="G11348" s="9"/>
      <c r="J11348" s="11"/>
      <c r="U11348" s="9"/>
      <c r="X11348" s="9"/>
    </row>
    <row r="11349">
      <c r="D11349" s="9"/>
      <c r="G11349" s="9"/>
      <c r="J11349" s="11"/>
      <c r="U11349" s="9"/>
      <c r="X11349" s="9"/>
    </row>
    <row r="11350">
      <c r="D11350" s="9"/>
      <c r="G11350" s="9"/>
      <c r="J11350" s="11"/>
      <c r="U11350" s="9"/>
      <c r="X11350" s="9"/>
    </row>
    <row r="11351">
      <c r="D11351" s="9"/>
      <c r="G11351" s="9"/>
      <c r="J11351" s="11"/>
      <c r="U11351" s="9"/>
      <c r="X11351" s="9"/>
    </row>
    <row r="11352">
      <c r="D11352" s="9"/>
      <c r="G11352" s="9"/>
      <c r="J11352" s="11"/>
      <c r="U11352" s="9"/>
      <c r="X11352" s="9"/>
    </row>
    <row r="11353">
      <c r="D11353" s="9"/>
      <c r="G11353" s="9"/>
      <c r="J11353" s="11"/>
      <c r="U11353" s="9"/>
      <c r="X11353" s="9"/>
    </row>
    <row r="11354">
      <c r="D11354" s="9"/>
      <c r="G11354" s="9"/>
      <c r="J11354" s="11"/>
      <c r="U11354" s="9"/>
      <c r="X11354" s="9"/>
    </row>
    <row r="11355">
      <c r="D11355" s="9"/>
      <c r="G11355" s="9"/>
      <c r="J11355" s="11"/>
      <c r="U11355" s="9"/>
      <c r="X11355" s="9"/>
    </row>
    <row r="11356">
      <c r="D11356" s="9"/>
      <c r="G11356" s="9"/>
      <c r="J11356" s="11"/>
      <c r="U11356" s="9"/>
      <c r="X11356" s="9"/>
    </row>
    <row r="11357">
      <c r="D11357" s="9"/>
      <c r="G11357" s="9"/>
      <c r="J11357" s="11"/>
      <c r="U11357" s="9"/>
      <c r="X11357" s="9"/>
    </row>
    <row r="11358">
      <c r="D11358" s="9"/>
      <c r="G11358" s="9"/>
      <c r="J11358" s="11"/>
      <c r="U11358" s="9"/>
      <c r="X11358" s="9"/>
    </row>
    <row r="11359">
      <c r="D11359" s="9"/>
      <c r="G11359" s="9"/>
      <c r="J11359" s="11"/>
      <c r="U11359" s="9"/>
      <c r="X11359" s="9"/>
    </row>
    <row r="11360">
      <c r="D11360" s="9"/>
      <c r="G11360" s="9"/>
      <c r="J11360" s="11"/>
      <c r="U11360" s="9"/>
      <c r="X11360" s="9"/>
    </row>
    <row r="11361">
      <c r="D11361" s="9"/>
      <c r="G11361" s="9"/>
      <c r="J11361" s="11"/>
      <c r="U11361" s="9"/>
      <c r="X11361" s="9"/>
    </row>
    <row r="11362">
      <c r="D11362" s="9"/>
      <c r="G11362" s="9"/>
      <c r="J11362" s="11"/>
      <c r="U11362" s="9"/>
      <c r="X11362" s="9"/>
    </row>
    <row r="11363">
      <c r="D11363" s="9"/>
      <c r="G11363" s="9"/>
      <c r="J11363" s="11"/>
      <c r="U11363" s="9"/>
      <c r="X11363" s="9"/>
    </row>
    <row r="11364">
      <c r="D11364" s="9"/>
      <c r="G11364" s="9"/>
      <c r="J11364" s="11"/>
      <c r="U11364" s="9"/>
      <c r="X11364" s="9"/>
    </row>
    <row r="11365">
      <c r="D11365" s="9"/>
      <c r="G11365" s="9"/>
      <c r="J11365" s="11"/>
      <c r="U11365" s="9"/>
      <c r="X11365" s="9"/>
    </row>
    <row r="11366">
      <c r="D11366" s="9"/>
      <c r="G11366" s="9"/>
      <c r="J11366" s="11"/>
      <c r="U11366" s="9"/>
      <c r="X11366" s="9"/>
    </row>
    <row r="11367">
      <c r="D11367" s="9"/>
      <c r="G11367" s="9"/>
      <c r="J11367" s="11"/>
      <c r="U11367" s="9"/>
      <c r="X11367" s="9"/>
    </row>
    <row r="11368">
      <c r="D11368" s="9"/>
      <c r="G11368" s="9"/>
      <c r="J11368" s="11"/>
      <c r="U11368" s="9"/>
      <c r="X11368" s="9"/>
    </row>
    <row r="11369">
      <c r="D11369" s="9"/>
      <c r="G11369" s="9"/>
      <c r="J11369" s="11"/>
      <c r="U11369" s="9"/>
      <c r="X11369" s="9"/>
    </row>
    <row r="11370">
      <c r="D11370" s="9"/>
      <c r="G11370" s="9"/>
      <c r="J11370" s="11"/>
      <c r="U11370" s="9"/>
      <c r="X11370" s="9"/>
    </row>
    <row r="11371">
      <c r="D11371" s="9"/>
      <c r="G11371" s="9"/>
      <c r="J11371" s="11"/>
      <c r="U11371" s="9"/>
      <c r="X11371" s="9"/>
    </row>
    <row r="11372">
      <c r="D11372" s="9"/>
      <c r="G11372" s="9"/>
      <c r="J11372" s="11"/>
      <c r="U11372" s="9"/>
      <c r="X11372" s="9"/>
    </row>
    <row r="11373">
      <c r="D11373" s="9"/>
      <c r="G11373" s="9"/>
      <c r="J11373" s="11"/>
      <c r="U11373" s="9"/>
      <c r="X11373" s="9"/>
    </row>
    <row r="11374">
      <c r="D11374" s="9"/>
      <c r="G11374" s="9"/>
      <c r="J11374" s="11"/>
      <c r="U11374" s="9"/>
      <c r="X11374" s="9"/>
    </row>
    <row r="11375">
      <c r="D11375" s="9"/>
      <c r="G11375" s="9"/>
      <c r="J11375" s="11"/>
      <c r="U11375" s="9"/>
      <c r="X11375" s="9"/>
    </row>
    <row r="11376">
      <c r="D11376" s="9"/>
      <c r="G11376" s="9"/>
      <c r="J11376" s="11"/>
      <c r="U11376" s="9"/>
      <c r="X11376" s="9"/>
    </row>
    <row r="11377">
      <c r="D11377" s="9"/>
      <c r="G11377" s="9"/>
      <c r="J11377" s="11"/>
      <c r="U11377" s="9"/>
      <c r="X11377" s="9"/>
    </row>
    <row r="11378">
      <c r="D11378" s="9"/>
      <c r="G11378" s="9"/>
      <c r="J11378" s="11"/>
      <c r="U11378" s="9"/>
      <c r="X11378" s="9"/>
    </row>
    <row r="11379">
      <c r="D11379" s="9"/>
      <c r="G11379" s="9"/>
      <c r="J11379" s="11"/>
      <c r="U11379" s="9"/>
      <c r="X11379" s="9"/>
    </row>
    <row r="11380">
      <c r="D11380" s="9"/>
      <c r="G11380" s="9"/>
      <c r="J11380" s="11"/>
      <c r="U11380" s="9"/>
      <c r="X11380" s="9"/>
    </row>
    <row r="11381">
      <c r="D11381" s="9"/>
      <c r="G11381" s="9"/>
      <c r="J11381" s="11"/>
      <c r="U11381" s="9"/>
      <c r="X11381" s="9"/>
    </row>
    <row r="11382">
      <c r="D11382" s="9"/>
      <c r="G11382" s="9"/>
      <c r="J11382" s="11"/>
      <c r="U11382" s="9"/>
      <c r="X11382" s="9"/>
    </row>
    <row r="11383">
      <c r="D11383" s="9"/>
      <c r="G11383" s="9"/>
      <c r="J11383" s="11"/>
      <c r="U11383" s="9"/>
      <c r="X11383" s="9"/>
    </row>
    <row r="11384">
      <c r="D11384" s="9"/>
      <c r="G11384" s="9"/>
      <c r="J11384" s="11"/>
      <c r="U11384" s="9"/>
      <c r="X11384" s="9"/>
    </row>
    <row r="11385">
      <c r="D11385" s="9"/>
      <c r="G11385" s="9"/>
      <c r="J11385" s="11"/>
      <c r="U11385" s="9"/>
      <c r="X11385" s="9"/>
    </row>
    <row r="11386">
      <c r="D11386" s="9"/>
      <c r="G11386" s="9"/>
      <c r="J11386" s="11"/>
      <c r="U11386" s="9"/>
      <c r="X11386" s="9"/>
    </row>
    <row r="11387">
      <c r="D11387" s="9"/>
      <c r="G11387" s="9"/>
      <c r="J11387" s="11"/>
      <c r="U11387" s="9"/>
      <c r="X11387" s="9"/>
    </row>
    <row r="11388">
      <c r="D11388" s="9"/>
      <c r="G11388" s="9"/>
      <c r="J11388" s="11"/>
      <c r="U11388" s="9"/>
      <c r="X11388" s="9"/>
    </row>
    <row r="11389">
      <c r="D11389" s="9"/>
      <c r="G11389" s="9"/>
      <c r="J11389" s="11"/>
      <c r="U11389" s="9"/>
      <c r="X11389" s="9"/>
    </row>
    <row r="11390">
      <c r="D11390" s="9"/>
      <c r="G11390" s="9"/>
      <c r="J11390" s="11"/>
      <c r="U11390" s="9"/>
      <c r="X11390" s="9"/>
    </row>
    <row r="11391">
      <c r="D11391" s="9"/>
      <c r="G11391" s="9"/>
      <c r="J11391" s="11"/>
      <c r="U11391" s="9"/>
      <c r="X11391" s="9"/>
    </row>
    <row r="11392">
      <c r="D11392" s="9"/>
      <c r="G11392" s="9"/>
      <c r="J11392" s="11"/>
      <c r="U11392" s="9"/>
      <c r="X11392" s="9"/>
    </row>
    <row r="11393">
      <c r="D11393" s="9"/>
      <c r="G11393" s="9"/>
      <c r="J11393" s="11"/>
      <c r="U11393" s="9"/>
      <c r="X11393" s="9"/>
    </row>
    <row r="11394">
      <c r="D11394" s="9"/>
      <c r="G11394" s="9"/>
      <c r="J11394" s="11"/>
      <c r="U11394" s="9"/>
      <c r="X11394" s="9"/>
    </row>
    <row r="11395">
      <c r="D11395" s="9"/>
      <c r="G11395" s="9"/>
      <c r="J11395" s="11"/>
      <c r="U11395" s="9"/>
      <c r="X11395" s="9"/>
    </row>
    <row r="11396">
      <c r="D11396" s="9"/>
      <c r="G11396" s="9"/>
      <c r="J11396" s="11"/>
      <c r="U11396" s="9"/>
      <c r="X11396" s="9"/>
    </row>
    <row r="11397">
      <c r="D11397" s="9"/>
      <c r="G11397" s="9"/>
      <c r="J11397" s="11"/>
      <c r="U11397" s="9"/>
      <c r="X11397" s="9"/>
    </row>
    <row r="11398">
      <c r="D11398" s="9"/>
      <c r="G11398" s="9"/>
      <c r="J11398" s="11"/>
      <c r="U11398" s="9"/>
      <c r="X11398" s="9"/>
    </row>
    <row r="11399">
      <c r="D11399" s="9"/>
      <c r="G11399" s="9"/>
      <c r="J11399" s="11"/>
      <c r="U11399" s="9"/>
      <c r="X11399" s="9"/>
    </row>
    <row r="11400">
      <c r="D11400" s="9"/>
      <c r="G11400" s="9"/>
      <c r="J11400" s="11"/>
      <c r="U11400" s="9"/>
      <c r="X11400" s="9"/>
    </row>
    <row r="11401">
      <c r="D11401" s="9"/>
      <c r="G11401" s="9"/>
      <c r="J11401" s="11"/>
      <c r="U11401" s="9"/>
      <c r="X11401" s="9"/>
    </row>
    <row r="11402">
      <c r="D11402" s="9"/>
      <c r="G11402" s="9"/>
      <c r="J11402" s="11"/>
      <c r="U11402" s="9"/>
      <c r="X11402" s="9"/>
    </row>
    <row r="11403">
      <c r="D11403" s="9"/>
      <c r="G11403" s="9"/>
      <c r="J11403" s="11"/>
      <c r="U11403" s="9"/>
      <c r="X11403" s="9"/>
    </row>
    <row r="11404">
      <c r="D11404" s="9"/>
      <c r="G11404" s="9"/>
      <c r="J11404" s="11"/>
      <c r="U11404" s="9"/>
      <c r="X11404" s="9"/>
    </row>
    <row r="11405">
      <c r="D11405" s="9"/>
      <c r="G11405" s="9"/>
      <c r="J11405" s="11"/>
      <c r="U11405" s="9"/>
      <c r="X11405" s="9"/>
    </row>
    <row r="11406">
      <c r="D11406" s="9"/>
      <c r="G11406" s="9"/>
      <c r="J11406" s="11"/>
      <c r="U11406" s="9"/>
      <c r="X11406" s="9"/>
    </row>
    <row r="11407">
      <c r="D11407" s="9"/>
      <c r="G11407" s="9"/>
      <c r="J11407" s="11"/>
      <c r="U11407" s="9"/>
      <c r="X11407" s="9"/>
    </row>
    <row r="11408">
      <c r="D11408" s="9"/>
      <c r="G11408" s="9"/>
      <c r="J11408" s="11"/>
      <c r="U11408" s="9"/>
      <c r="X11408" s="9"/>
    </row>
    <row r="11409">
      <c r="D11409" s="9"/>
      <c r="G11409" s="9"/>
      <c r="J11409" s="11"/>
      <c r="U11409" s="9"/>
      <c r="X11409" s="9"/>
    </row>
    <row r="11410">
      <c r="D11410" s="9"/>
      <c r="G11410" s="9"/>
      <c r="J11410" s="11"/>
      <c r="U11410" s="9"/>
      <c r="X11410" s="9"/>
    </row>
    <row r="11411">
      <c r="D11411" s="9"/>
      <c r="G11411" s="9"/>
      <c r="J11411" s="11"/>
      <c r="U11411" s="9"/>
      <c r="X11411" s="9"/>
    </row>
    <row r="11412">
      <c r="D11412" s="9"/>
      <c r="G11412" s="9"/>
      <c r="J11412" s="11"/>
      <c r="U11412" s="9"/>
      <c r="X11412" s="9"/>
    </row>
    <row r="11413">
      <c r="D11413" s="9"/>
      <c r="G11413" s="9"/>
      <c r="J11413" s="11"/>
      <c r="U11413" s="9"/>
      <c r="X11413" s="9"/>
    </row>
    <row r="11414">
      <c r="D11414" s="9"/>
      <c r="G11414" s="9"/>
      <c r="J11414" s="11"/>
      <c r="U11414" s="9"/>
      <c r="X11414" s="9"/>
    </row>
    <row r="11415">
      <c r="D11415" s="9"/>
      <c r="G11415" s="9"/>
      <c r="J11415" s="11"/>
      <c r="U11415" s="9"/>
      <c r="X11415" s="9"/>
    </row>
    <row r="11416">
      <c r="D11416" s="9"/>
      <c r="G11416" s="9"/>
      <c r="J11416" s="11"/>
      <c r="U11416" s="9"/>
      <c r="X11416" s="9"/>
    </row>
    <row r="11417">
      <c r="D11417" s="9"/>
      <c r="G11417" s="9"/>
      <c r="J11417" s="11"/>
      <c r="U11417" s="9"/>
      <c r="X11417" s="9"/>
    </row>
    <row r="11418">
      <c r="D11418" s="9"/>
      <c r="G11418" s="9"/>
      <c r="J11418" s="11"/>
      <c r="U11418" s="9"/>
      <c r="X11418" s="9"/>
    </row>
    <row r="11419">
      <c r="D11419" s="9"/>
      <c r="G11419" s="9"/>
      <c r="J11419" s="11"/>
      <c r="U11419" s="9"/>
      <c r="X11419" s="9"/>
    </row>
    <row r="11420">
      <c r="D11420" s="9"/>
      <c r="G11420" s="9"/>
      <c r="J11420" s="11"/>
      <c r="U11420" s="9"/>
      <c r="X11420" s="9"/>
    </row>
    <row r="11421">
      <c r="D11421" s="9"/>
      <c r="G11421" s="9"/>
      <c r="J11421" s="11"/>
      <c r="U11421" s="9"/>
      <c r="X11421" s="9"/>
    </row>
    <row r="11422">
      <c r="D11422" s="9"/>
      <c r="G11422" s="9"/>
      <c r="J11422" s="11"/>
      <c r="U11422" s="9"/>
      <c r="X11422" s="9"/>
    </row>
    <row r="11423">
      <c r="D11423" s="9"/>
      <c r="G11423" s="9"/>
      <c r="J11423" s="11"/>
      <c r="U11423" s="9"/>
      <c r="X11423" s="9"/>
    </row>
    <row r="11424">
      <c r="D11424" s="9"/>
      <c r="G11424" s="9"/>
      <c r="J11424" s="11"/>
      <c r="U11424" s="9"/>
      <c r="X11424" s="9"/>
    </row>
    <row r="11425">
      <c r="D11425" s="9"/>
      <c r="G11425" s="9"/>
      <c r="J11425" s="11"/>
      <c r="U11425" s="9"/>
      <c r="X11425" s="9"/>
    </row>
    <row r="11426">
      <c r="D11426" s="9"/>
      <c r="G11426" s="9"/>
      <c r="J11426" s="11"/>
      <c r="U11426" s="9"/>
      <c r="X11426" s="9"/>
    </row>
    <row r="11427">
      <c r="D11427" s="9"/>
      <c r="G11427" s="9"/>
      <c r="J11427" s="11"/>
      <c r="U11427" s="9"/>
      <c r="X11427" s="9"/>
    </row>
    <row r="11428">
      <c r="D11428" s="9"/>
      <c r="G11428" s="9"/>
      <c r="J11428" s="11"/>
      <c r="U11428" s="9"/>
      <c r="X11428" s="9"/>
    </row>
    <row r="11429">
      <c r="D11429" s="9"/>
      <c r="G11429" s="9"/>
      <c r="J11429" s="11"/>
      <c r="U11429" s="9"/>
      <c r="X11429" s="9"/>
    </row>
    <row r="11430">
      <c r="D11430" s="9"/>
      <c r="G11430" s="9"/>
      <c r="J11430" s="11"/>
      <c r="U11430" s="9"/>
      <c r="X11430" s="9"/>
    </row>
    <row r="11431">
      <c r="D11431" s="9"/>
      <c r="G11431" s="9"/>
      <c r="J11431" s="11"/>
      <c r="U11431" s="9"/>
      <c r="X11431" s="9"/>
    </row>
    <row r="11432">
      <c r="D11432" s="9"/>
      <c r="G11432" s="9"/>
      <c r="J11432" s="11"/>
      <c r="U11432" s="9"/>
      <c r="X11432" s="9"/>
    </row>
    <row r="11433">
      <c r="D11433" s="9"/>
      <c r="G11433" s="9"/>
      <c r="J11433" s="11"/>
      <c r="U11433" s="9"/>
      <c r="X11433" s="9"/>
    </row>
    <row r="11434">
      <c r="D11434" s="9"/>
      <c r="G11434" s="9"/>
      <c r="J11434" s="11"/>
      <c r="U11434" s="9"/>
      <c r="X11434" s="9"/>
    </row>
    <row r="11435">
      <c r="D11435" s="9"/>
      <c r="G11435" s="9"/>
      <c r="J11435" s="11"/>
      <c r="U11435" s="9"/>
      <c r="X11435" s="9"/>
    </row>
    <row r="11436">
      <c r="D11436" s="9"/>
      <c r="G11436" s="9"/>
      <c r="J11436" s="11"/>
      <c r="U11436" s="9"/>
      <c r="X11436" s="9"/>
    </row>
    <row r="11437">
      <c r="D11437" s="9"/>
      <c r="G11437" s="9"/>
      <c r="J11437" s="11"/>
      <c r="U11437" s="9"/>
      <c r="X11437" s="9"/>
    </row>
    <row r="11438">
      <c r="D11438" s="9"/>
      <c r="G11438" s="9"/>
      <c r="J11438" s="11"/>
      <c r="U11438" s="9"/>
      <c r="X11438" s="9"/>
    </row>
    <row r="11439">
      <c r="D11439" s="9"/>
      <c r="G11439" s="9"/>
      <c r="J11439" s="11"/>
      <c r="U11439" s="9"/>
      <c r="X11439" s="9"/>
    </row>
    <row r="11440">
      <c r="D11440" s="9"/>
      <c r="G11440" s="9"/>
      <c r="J11440" s="11"/>
      <c r="U11440" s="9"/>
      <c r="X11440" s="9"/>
    </row>
    <row r="11441">
      <c r="D11441" s="9"/>
      <c r="G11441" s="9"/>
      <c r="J11441" s="11"/>
      <c r="U11441" s="9"/>
      <c r="X11441" s="9"/>
    </row>
    <row r="11442">
      <c r="D11442" s="9"/>
      <c r="G11442" s="9"/>
      <c r="J11442" s="11"/>
      <c r="U11442" s="9"/>
      <c r="X11442" s="9"/>
    </row>
    <row r="11443">
      <c r="D11443" s="9"/>
      <c r="G11443" s="9"/>
      <c r="J11443" s="11"/>
      <c r="U11443" s="9"/>
      <c r="X11443" s="9"/>
    </row>
    <row r="11444">
      <c r="D11444" s="9"/>
      <c r="G11444" s="9"/>
      <c r="J11444" s="11"/>
      <c r="U11444" s="9"/>
      <c r="X11444" s="9"/>
    </row>
    <row r="11445">
      <c r="D11445" s="9"/>
      <c r="G11445" s="9"/>
      <c r="J11445" s="11"/>
      <c r="U11445" s="9"/>
      <c r="X11445" s="9"/>
    </row>
    <row r="11446">
      <c r="D11446" s="9"/>
      <c r="G11446" s="9"/>
      <c r="J11446" s="11"/>
      <c r="U11446" s="9"/>
      <c r="X11446" s="9"/>
    </row>
    <row r="11447">
      <c r="D11447" s="9"/>
      <c r="G11447" s="9"/>
      <c r="J11447" s="11"/>
      <c r="U11447" s="9"/>
      <c r="X11447" s="9"/>
    </row>
    <row r="11448">
      <c r="D11448" s="9"/>
      <c r="G11448" s="9"/>
      <c r="J11448" s="11"/>
      <c r="U11448" s="9"/>
      <c r="X11448" s="9"/>
    </row>
    <row r="11449">
      <c r="D11449" s="9"/>
      <c r="G11449" s="9"/>
      <c r="J11449" s="11"/>
      <c r="U11449" s="9"/>
      <c r="X11449" s="9"/>
    </row>
    <row r="11450">
      <c r="D11450" s="9"/>
      <c r="G11450" s="9"/>
      <c r="J11450" s="11"/>
      <c r="U11450" s="9"/>
      <c r="X11450" s="9"/>
    </row>
    <row r="11451">
      <c r="D11451" s="9"/>
      <c r="G11451" s="9"/>
      <c r="J11451" s="11"/>
      <c r="U11451" s="9"/>
      <c r="X11451" s="9"/>
    </row>
    <row r="11452">
      <c r="D11452" s="9"/>
      <c r="G11452" s="9"/>
      <c r="J11452" s="11"/>
      <c r="U11452" s="9"/>
      <c r="X11452" s="9"/>
    </row>
    <row r="11453">
      <c r="D11453" s="9"/>
      <c r="G11453" s="9"/>
      <c r="J11453" s="11"/>
      <c r="U11453" s="9"/>
      <c r="X11453" s="9"/>
    </row>
    <row r="11454">
      <c r="D11454" s="9"/>
      <c r="G11454" s="9"/>
      <c r="J11454" s="11"/>
      <c r="U11454" s="9"/>
      <c r="X11454" s="9"/>
    </row>
    <row r="11455">
      <c r="D11455" s="9"/>
      <c r="G11455" s="9"/>
      <c r="J11455" s="11"/>
      <c r="U11455" s="9"/>
      <c r="X11455" s="9"/>
    </row>
    <row r="11456">
      <c r="D11456" s="9"/>
      <c r="G11456" s="9"/>
      <c r="J11456" s="11"/>
      <c r="U11456" s="9"/>
      <c r="X11456" s="9"/>
    </row>
    <row r="11457">
      <c r="D11457" s="9"/>
      <c r="G11457" s="9"/>
      <c r="J11457" s="11"/>
      <c r="U11457" s="9"/>
      <c r="X11457" s="9"/>
    </row>
    <row r="11458">
      <c r="D11458" s="9"/>
      <c r="G11458" s="9"/>
      <c r="J11458" s="11"/>
      <c r="U11458" s="9"/>
      <c r="X11458" s="9"/>
    </row>
    <row r="11459">
      <c r="D11459" s="9"/>
      <c r="G11459" s="9"/>
      <c r="J11459" s="11"/>
      <c r="U11459" s="9"/>
      <c r="X11459" s="9"/>
    </row>
    <row r="11460">
      <c r="D11460" s="9"/>
      <c r="G11460" s="9"/>
      <c r="J11460" s="11"/>
      <c r="U11460" s="9"/>
      <c r="X11460" s="9"/>
    </row>
    <row r="11461">
      <c r="D11461" s="9"/>
      <c r="G11461" s="9"/>
      <c r="J11461" s="11"/>
      <c r="U11461" s="9"/>
      <c r="X11461" s="9"/>
    </row>
    <row r="11462">
      <c r="D11462" s="9"/>
      <c r="G11462" s="9"/>
      <c r="J11462" s="11"/>
      <c r="U11462" s="9"/>
      <c r="X11462" s="9"/>
    </row>
    <row r="11463">
      <c r="D11463" s="9"/>
      <c r="G11463" s="9"/>
      <c r="J11463" s="11"/>
      <c r="U11463" s="9"/>
      <c r="X11463" s="9"/>
    </row>
    <row r="11464">
      <c r="D11464" s="9"/>
      <c r="G11464" s="9"/>
      <c r="J11464" s="11"/>
      <c r="U11464" s="9"/>
      <c r="X11464" s="9"/>
    </row>
    <row r="11465">
      <c r="D11465" s="9"/>
      <c r="G11465" s="9"/>
      <c r="J11465" s="11"/>
      <c r="U11465" s="9"/>
      <c r="X11465" s="9"/>
    </row>
    <row r="11466">
      <c r="D11466" s="9"/>
      <c r="G11466" s="9"/>
      <c r="J11466" s="11"/>
      <c r="U11466" s="9"/>
      <c r="X11466" s="9"/>
    </row>
    <row r="11467">
      <c r="D11467" s="9"/>
      <c r="G11467" s="9"/>
      <c r="J11467" s="11"/>
      <c r="U11467" s="9"/>
      <c r="X11467" s="9"/>
    </row>
    <row r="11468">
      <c r="D11468" s="9"/>
      <c r="G11468" s="9"/>
      <c r="J11468" s="11"/>
      <c r="U11468" s="9"/>
      <c r="X11468" s="9"/>
    </row>
    <row r="11469">
      <c r="D11469" s="9"/>
      <c r="G11469" s="9"/>
      <c r="J11469" s="11"/>
      <c r="U11469" s="9"/>
      <c r="X11469" s="9"/>
    </row>
    <row r="11470">
      <c r="D11470" s="9"/>
      <c r="G11470" s="9"/>
      <c r="J11470" s="11"/>
      <c r="U11470" s="9"/>
      <c r="X11470" s="9"/>
    </row>
    <row r="11471">
      <c r="D11471" s="9"/>
      <c r="G11471" s="9"/>
      <c r="J11471" s="11"/>
      <c r="U11471" s="9"/>
      <c r="X11471" s="9"/>
    </row>
    <row r="11472">
      <c r="D11472" s="9"/>
      <c r="G11472" s="9"/>
      <c r="J11472" s="11"/>
      <c r="U11472" s="9"/>
      <c r="X11472" s="9"/>
    </row>
    <row r="11473">
      <c r="D11473" s="9"/>
      <c r="G11473" s="9"/>
      <c r="J11473" s="11"/>
      <c r="U11473" s="9"/>
      <c r="X11473" s="9"/>
    </row>
    <row r="11474">
      <c r="D11474" s="9"/>
      <c r="G11474" s="9"/>
      <c r="J11474" s="11"/>
      <c r="U11474" s="9"/>
      <c r="X11474" s="9"/>
    </row>
    <row r="11475">
      <c r="D11475" s="9"/>
      <c r="G11475" s="9"/>
      <c r="J11475" s="11"/>
      <c r="U11475" s="9"/>
      <c r="X11475" s="9"/>
    </row>
    <row r="11476">
      <c r="D11476" s="9"/>
      <c r="G11476" s="9"/>
      <c r="J11476" s="11"/>
      <c r="U11476" s="9"/>
      <c r="X11476" s="9"/>
    </row>
    <row r="11477">
      <c r="D11477" s="9"/>
      <c r="G11477" s="9"/>
      <c r="J11477" s="11"/>
      <c r="U11477" s="9"/>
      <c r="X11477" s="9"/>
    </row>
    <row r="11478">
      <c r="D11478" s="9"/>
      <c r="G11478" s="9"/>
      <c r="J11478" s="11"/>
      <c r="U11478" s="9"/>
      <c r="X11478" s="9"/>
    </row>
    <row r="11479">
      <c r="D11479" s="9"/>
      <c r="G11479" s="9"/>
      <c r="J11479" s="11"/>
      <c r="U11479" s="9"/>
      <c r="X11479" s="9"/>
    </row>
    <row r="11480">
      <c r="D11480" s="9"/>
      <c r="G11480" s="9"/>
      <c r="J11480" s="11"/>
      <c r="U11480" s="9"/>
      <c r="X11480" s="9"/>
    </row>
    <row r="11481">
      <c r="D11481" s="9"/>
      <c r="G11481" s="9"/>
      <c r="J11481" s="11"/>
      <c r="U11481" s="9"/>
      <c r="X11481" s="9"/>
    </row>
    <row r="11482">
      <c r="D11482" s="9"/>
      <c r="G11482" s="9"/>
      <c r="J11482" s="11"/>
      <c r="U11482" s="9"/>
      <c r="X11482" s="9"/>
    </row>
    <row r="11483">
      <c r="D11483" s="9"/>
      <c r="G11483" s="9"/>
      <c r="J11483" s="11"/>
      <c r="U11483" s="9"/>
      <c r="X11483" s="9"/>
    </row>
    <row r="11484">
      <c r="D11484" s="9"/>
      <c r="G11484" s="9"/>
      <c r="J11484" s="11"/>
      <c r="U11484" s="9"/>
      <c r="X11484" s="9"/>
    </row>
    <row r="11485">
      <c r="D11485" s="9"/>
      <c r="G11485" s="9"/>
      <c r="J11485" s="11"/>
      <c r="U11485" s="9"/>
      <c r="X11485" s="9"/>
    </row>
    <row r="11486">
      <c r="D11486" s="9"/>
      <c r="G11486" s="9"/>
      <c r="J11486" s="11"/>
      <c r="U11486" s="9"/>
      <c r="X11486" s="9"/>
    </row>
    <row r="11487">
      <c r="D11487" s="9"/>
      <c r="G11487" s="9"/>
      <c r="J11487" s="11"/>
      <c r="U11487" s="9"/>
      <c r="X11487" s="9"/>
    </row>
    <row r="11488">
      <c r="D11488" s="9"/>
      <c r="G11488" s="9"/>
      <c r="J11488" s="11"/>
      <c r="U11488" s="9"/>
      <c r="X11488" s="9"/>
    </row>
    <row r="11489">
      <c r="D11489" s="9"/>
      <c r="G11489" s="9"/>
      <c r="J11489" s="11"/>
      <c r="U11489" s="9"/>
      <c r="X11489" s="9"/>
    </row>
    <row r="11490">
      <c r="D11490" s="9"/>
      <c r="G11490" s="9"/>
      <c r="J11490" s="11"/>
      <c r="U11490" s="9"/>
      <c r="X11490" s="9"/>
    </row>
    <row r="11491">
      <c r="D11491" s="9"/>
      <c r="G11491" s="9"/>
      <c r="J11491" s="11"/>
      <c r="U11491" s="9"/>
      <c r="X11491" s="9"/>
    </row>
    <row r="11492">
      <c r="D11492" s="9"/>
      <c r="G11492" s="9"/>
      <c r="J11492" s="11"/>
      <c r="U11492" s="9"/>
      <c r="X11492" s="9"/>
    </row>
    <row r="11493">
      <c r="D11493" s="9"/>
      <c r="G11493" s="9"/>
      <c r="J11493" s="11"/>
      <c r="U11493" s="9"/>
      <c r="X11493" s="9"/>
    </row>
    <row r="11494">
      <c r="D11494" s="9"/>
      <c r="G11494" s="9"/>
      <c r="J11494" s="11"/>
      <c r="U11494" s="9"/>
      <c r="X11494" s="9"/>
    </row>
    <row r="11495">
      <c r="D11495" s="9"/>
      <c r="G11495" s="9"/>
      <c r="J11495" s="11"/>
      <c r="U11495" s="9"/>
      <c r="X11495" s="9"/>
    </row>
    <row r="11496">
      <c r="D11496" s="9"/>
      <c r="G11496" s="9"/>
      <c r="J11496" s="11"/>
      <c r="U11496" s="9"/>
      <c r="X11496" s="9"/>
    </row>
    <row r="11497">
      <c r="D11497" s="9"/>
      <c r="G11497" s="9"/>
      <c r="J11497" s="11"/>
      <c r="U11497" s="9"/>
      <c r="X11497" s="9"/>
    </row>
    <row r="11498">
      <c r="D11498" s="9"/>
      <c r="G11498" s="9"/>
      <c r="J11498" s="11"/>
      <c r="U11498" s="9"/>
      <c r="X11498" s="9"/>
    </row>
    <row r="11499">
      <c r="D11499" s="9"/>
      <c r="G11499" s="9"/>
      <c r="J11499" s="11"/>
      <c r="U11499" s="9"/>
      <c r="X11499" s="9"/>
    </row>
    <row r="11500">
      <c r="D11500" s="9"/>
      <c r="G11500" s="9"/>
      <c r="J11500" s="11"/>
      <c r="U11500" s="9"/>
      <c r="X11500" s="9"/>
    </row>
    <row r="11501">
      <c r="D11501" s="9"/>
      <c r="G11501" s="9"/>
      <c r="J11501" s="11"/>
      <c r="U11501" s="9"/>
      <c r="X11501" s="9"/>
    </row>
    <row r="11502">
      <c r="D11502" s="9"/>
      <c r="G11502" s="9"/>
      <c r="J11502" s="11"/>
      <c r="U11502" s="9"/>
      <c r="X11502" s="9"/>
    </row>
    <row r="11503">
      <c r="D11503" s="9"/>
      <c r="G11503" s="9"/>
      <c r="J11503" s="11"/>
      <c r="U11503" s="9"/>
      <c r="X11503" s="9"/>
    </row>
    <row r="11504">
      <c r="D11504" s="9"/>
      <c r="G11504" s="9"/>
      <c r="J11504" s="11"/>
      <c r="U11504" s="9"/>
      <c r="X11504" s="9"/>
    </row>
    <row r="11505">
      <c r="D11505" s="9"/>
      <c r="G11505" s="9"/>
      <c r="J11505" s="11"/>
      <c r="U11505" s="9"/>
      <c r="X11505" s="9"/>
    </row>
    <row r="11506">
      <c r="D11506" s="9"/>
      <c r="G11506" s="9"/>
      <c r="J11506" s="11"/>
      <c r="U11506" s="9"/>
      <c r="X11506" s="9"/>
    </row>
    <row r="11507">
      <c r="D11507" s="9"/>
      <c r="G11507" s="9"/>
      <c r="J11507" s="11"/>
      <c r="U11507" s="9"/>
      <c r="X11507" s="9"/>
    </row>
    <row r="11508">
      <c r="D11508" s="9"/>
      <c r="G11508" s="9"/>
      <c r="J11508" s="11"/>
      <c r="U11508" s="9"/>
      <c r="X11508" s="9"/>
    </row>
    <row r="11509">
      <c r="D11509" s="9"/>
      <c r="G11509" s="9"/>
      <c r="J11509" s="11"/>
      <c r="U11509" s="9"/>
      <c r="X11509" s="9"/>
    </row>
    <row r="11510">
      <c r="D11510" s="9"/>
      <c r="G11510" s="9"/>
      <c r="J11510" s="11"/>
      <c r="U11510" s="9"/>
      <c r="X11510" s="9"/>
    </row>
    <row r="11511">
      <c r="D11511" s="9"/>
      <c r="G11511" s="9"/>
      <c r="J11511" s="11"/>
      <c r="U11511" s="9"/>
      <c r="X11511" s="9"/>
    </row>
    <row r="11512">
      <c r="D11512" s="9"/>
      <c r="G11512" s="9"/>
      <c r="J11512" s="11"/>
      <c r="U11512" s="9"/>
      <c r="X11512" s="9"/>
    </row>
    <row r="11513">
      <c r="D11513" s="9"/>
      <c r="G11513" s="9"/>
      <c r="J11513" s="11"/>
      <c r="U11513" s="9"/>
      <c r="X11513" s="9"/>
    </row>
    <row r="11514">
      <c r="D11514" s="9"/>
      <c r="G11514" s="9"/>
      <c r="J11514" s="11"/>
      <c r="U11514" s="9"/>
      <c r="X11514" s="9"/>
    </row>
    <row r="11515">
      <c r="D11515" s="9"/>
      <c r="G11515" s="9"/>
      <c r="J11515" s="11"/>
      <c r="U11515" s="9"/>
      <c r="X11515" s="9"/>
    </row>
    <row r="11516">
      <c r="D11516" s="9"/>
      <c r="G11516" s="9"/>
      <c r="J11516" s="11"/>
      <c r="U11516" s="9"/>
      <c r="X11516" s="9"/>
    </row>
    <row r="11517">
      <c r="D11517" s="9"/>
      <c r="G11517" s="9"/>
      <c r="J11517" s="11"/>
      <c r="U11517" s="9"/>
      <c r="X11517" s="9"/>
    </row>
    <row r="11518">
      <c r="D11518" s="9"/>
      <c r="G11518" s="9"/>
      <c r="J11518" s="11"/>
      <c r="U11518" s="9"/>
      <c r="X11518" s="9"/>
    </row>
    <row r="11519">
      <c r="D11519" s="9"/>
      <c r="G11519" s="9"/>
      <c r="J11519" s="11"/>
      <c r="U11519" s="9"/>
      <c r="X11519" s="9"/>
    </row>
    <row r="11520">
      <c r="D11520" s="9"/>
      <c r="G11520" s="9"/>
      <c r="J11520" s="11"/>
      <c r="U11520" s="9"/>
      <c r="X11520" s="9"/>
    </row>
    <row r="11521">
      <c r="D11521" s="9"/>
      <c r="G11521" s="9"/>
      <c r="J11521" s="11"/>
      <c r="U11521" s="9"/>
      <c r="X11521" s="9"/>
    </row>
    <row r="11522">
      <c r="D11522" s="9"/>
      <c r="G11522" s="9"/>
      <c r="J11522" s="11"/>
      <c r="U11522" s="9"/>
      <c r="X11522" s="9"/>
    </row>
    <row r="11523">
      <c r="D11523" s="9"/>
      <c r="G11523" s="9"/>
      <c r="J11523" s="11"/>
      <c r="U11523" s="9"/>
      <c r="X11523" s="9"/>
    </row>
    <row r="11524">
      <c r="D11524" s="9"/>
      <c r="G11524" s="9"/>
      <c r="J11524" s="11"/>
      <c r="U11524" s="9"/>
      <c r="X11524" s="9"/>
    </row>
    <row r="11525">
      <c r="D11525" s="9"/>
      <c r="G11525" s="9"/>
      <c r="J11525" s="11"/>
      <c r="U11525" s="9"/>
      <c r="X11525" s="9"/>
    </row>
    <row r="11526">
      <c r="D11526" s="9"/>
      <c r="G11526" s="9"/>
      <c r="J11526" s="11"/>
      <c r="U11526" s="9"/>
      <c r="X11526" s="9"/>
    </row>
    <row r="11527">
      <c r="D11527" s="9"/>
      <c r="G11527" s="9"/>
      <c r="J11527" s="11"/>
      <c r="U11527" s="9"/>
      <c r="X11527" s="9"/>
    </row>
    <row r="11528">
      <c r="D11528" s="9"/>
      <c r="G11528" s="9"/>
      <c r="J11528" s="11"/>
      <c r="U11528" s="9"/>
      <c r="X11528" s="9"/>
    </row>
    <row r="11529">
      <c r="D11529" s="9"/>
      <c r="G11529" s="9"/>
      <c r="J11529" s="11"/>
      <c r="U11529" s="9"/>
      <c r="X11529" s="9"/>
    </row>
    <row r="11530">
      <c r="D11530" s="9"/>
      <c r="G11530" s="9"/>
      <c r="J11530" s="11"/>
      <c r="U11530" s="9"/>
      <c r="X11530" s="9"/>
    </row>
    <row r="11531">
      <c r="D11531" s="9"/>
      <c r="G11531" s="9"/>
      <c r="J11531" s="11"/>
      <c r="U11531" s="9"/>
      <c r="X11531" s="9"/>
    </row>
    <row r="11532">
      <c r="D11532" s="9"/>
      <c r="G11532" s="9"/>
      <c r="J11532" s="11"/>
      <c r="U11532" s="9"/>
      <c r="X11532" s="9"/>
    </row>
    <row r="11533">
      <c r="D11533" s="9"/>
      <c r="G11533" s="9"/>
      <c r="J11533" s="11"/>
      <c r="U11533" s="9"/>
      <c r="X11533" s="9"/>
    </row>
    <row r="11534">
      <c r="D11534" s="9"/>
      <c r="G11534" s="9"/>
      <c r="J11534" s="11"/>
      <c r="U11534" s="9"/>
      <c r="X11534" s="9"/>
    </row>
    <row r="11535">
      <c r="D11535" s="9"/>
      <c r="G11535" s="9"/>
      <c r="J11535" s="11"/>
      <c r="U11535" s="9"/>
      <c r="X11535" s="9"/>
    </row>
    <row r="11536">
      <c r="D11536" s="9"/>
      <c r="G11536" s="9"/>
      <c r="J11536" s="11"/>
      <c r="U11536" s="9"/>
      <c r="X11536" s="9"/>
    </row>
    <row r="11537">
      <c r="D11537" s="9"/>
      <c r="G11537" s="9"/>
      <c r="J11537" s="11"/>
      <c r="U11537" s="9"/>
      <c r="X11537" s="9"/>
    </row>
    <row r="11538">
      <c r="D11538" s="9"/>
      <c r="G11538" s="9"/>
      <c r="J11538" s="11"/>
      <c r="U11538" s="9"/>
      <c r="X11538" s="9"/>
    </row>
    <row r="11539">
      <c r="D11539" s="9"/>
      <c r="G11539" s="9"/>
      <c r="J11539" s="11"/>
      <c r="U11539" s="9"/>
      <c r="X11539" s="9"/>
    </row>
    <row r="11540">
      <c r="D11540" s="9"/>
      <c r="G11540" s="9"/>
      <c r="J11540" s="11"/>
      <c r="U11540" s="9"/>
      <c r="X11540" s="9"/>
    </row>
    <row r="11541">
      <c r="D11541" s="9"/>
      <c r="G11541" s="9"/>
      <c r="J11541" s="11"/>
      <c r="U11541" s="9"/>
      <c r="X11541" s="9"/>
    </row>
    <row r="11542">
      <c r="D11542" s="9"/>
      <c r="G11542" s="9"/>
      <c r="J11542" s="11"/>
      <c r="U11542" s="9"/>
      <c r="X11542" s="9"/>
    </row>
    <row r="11543">
      <c r="D11543" s="9"/>
      <c r="G11543" s="9"/>
      <c r="J11543" s="11"/>
      <c r="U11543" s="9"/>
      <c r="X11543" s="9"/>
    </row>
    <row r="11544">
      <c r="D11544" s="9"/>
      <c r="G11544" s="9"/>
      <c r="J11544" s="11"/>
      <c r="U11544" s="9"/>
      <c r="X11544" s="9"/>
    </row>
    <row r="11545">
      <c r="D11545" s="9"/>
      <c r="G11545" s="9"/>
      <c r="J11545" s="11"/>
      <c r="U11545" s="9"/>
      <c r="X11545" s="9"/>
    </row>
    <row r="11546">
      <c r="D11546" s="9"/>
      <c r="G11546" s="9"/>
      <c r="J11546" s="11"/>
      <c r="U11546" s="9"/>
      <c r="X11546" s="9"/>
    </row>
    <row r="11547">
      <c r="D11547" s="9"/>
      <c r="G11547" s="9"/>
      <c r="J11547" s="11"/>
      <c r="U11547" s="9"/>
      <c r="X11547" s="9"/>
    </row>
    <row r="11548">
      <c r="D11548" s="9"/>
      <c r="G11548" s="9"/>
      <c r="J11548" s="11"/>
      <c r="U11548" s="9"/>
      <c r="X11548" s="9"/>
    </row>
    <row r="11549">
      <c r="D11549" s="9"/>
      <c r="G11549" s="9"/>
      <c r="J11549" s="11"/>
      <c r="U11549" s="9"/>
      <c r="X11549" s="9"/>
    </row>
    <row r="11550">
      <c r="D11550" s="9"/>
      <c r="G11550" s="9"/>
      <c r="J11550" s="11"/>
      <c r="U11550" s="9"/>
      <c r="X11550" s="9"/>
    </row>
    <row r="11551">
      <c r="D11551" s="9"/>
      <c r="G11551" s="9"/>
      <c r="J11551" s="11"/>
      <c r="U11551" s="9"/>
      <c r="X11551" s="9"/>
    </row>
    <row r="11552">
      <c r="D11552" s="9"/>
      <c r="G11552" s="9"/>
      <c r="J11552" s="11"/>
      <c r="U11552" s="9"/>
      <c r="X11552" s="9"/>
    </row>
    <row r="11553">
      <c r="D11553" s="9"/>
      <c r="G11553" s="9"/>
      <c r="J11553" s="11"/>
      <c r="U11553" s="9"/>
      <c r="X11553" s="9"/>
    </row>
    <row r="11554">
      <c r="D11554" s="9"/>
      <c r="G11554" s="9"/>
      <c r="J11554" s="11"/>
      <c r="U11554" s="9"/>
      <c r="X11554" s="9"/>
    </row>
    <row r="11555">
      <c r="D11555" s="9"/>
      <c r="G11555" s="9"/>
      <c r="J11555" s="11"/>
      <c r="U11555" s="9"/>
      <c r="X11555" s="9"/>
    </row>
    <row r="11556">
      <c r="D11556" s="9"/>
      <c r="G11556" s="9"/>
      <c r="J11556" s="11"/>
      <c r="U11556" s="9"/>
      <c r="X11556" s="9"/>
    </row>
    <row r="11557">
      <c r="D11557" s="9"/>
      <c r="G11557" s="9"/>
      <c r="J11557" s="11"/>
      <c r="U11557" s="9"/>
      <c r="X11557" s="9"/>
    </row>
    <row r="11558">
      <c r="D11558" s="9"/>
      <c r="G11558" s="9"/>
      <c r="J11558" s="11"/>
      <c r="U11558" s="9"/>
      <c r="X11558" s="9"/>
    </row>
    <row r="11559">
      <c r="D11559" s="9"/>
      <c r="G11559" s="9"/>
      <c r="J11559" s="11"/>
      <c r="U11559" s="9"/>
      <c r="X11559" s="9"/>
    </row>
    <row r="11560">
      <c r="D11560" s="9"/>
      <c r="G11560" s="9"/>
      <c r="J11560" s="11"/>
      <c r="U11560" s="9"/>
      <c r="X11560" s="9"/>
    </row>
    <row r="11561">
      <c r="D11561" s="9"/>
      <c r="G11561" s="9"/>
      <c r="J11561" s="11"/>
      <c r="U11561" s="9"/>
      <c r="X11561" s="9"/>
    </row>
    <row r="11562">
      <c r="D11562" s="9"/>
      <c r="G11562" s="9"/>
      <c r="J11562" s="11"/>
      <c r="U11562" s="9"/>
      <c r="X11562" s="9"/>
    </row>
    <row r="11563">
      <c r="D11563" s="9"/>
      <c r="G11563" s="9"/>
      <c r="J11563" s="11"/>
      <c r="U11563" s="9"/>
      <c r="X11563" s="9"/>
    </row>
    <row r="11564">
      <c r="D11564" s="9"/>
      <c r="G11564" s="9"/>
      <c r="J11564" s="11"/>
      <c r="U11564" s="9"/>
      <c r="X11564" s="9"/>
    </row>
    <row r="11565">
      <c r="D11565" s="9"/>
      <c r="G11565" s="9"/>
      <c r="J11565" s="11"/>
      <c r="U11565" s="9"/>
      <c r="X11565" s="9"/>
    </row>
    <row r="11566">
      <c r="D11566" s="9"/>
      <c r="G11566" s="9"/>
      <c r="J11566" s="11"/>
      <c r="U11566" s="9"/>
      <c r="X11566" s="9"/>
    </row>
    <row r="11567">
      <c r="D11567" s="9"/>
      <c r="G11567" s="9"/>
      <c r="J11567" s="11"/>
      <c r="U11567" s="9"/>
      <c r="X11567" s="9"/>
    </row>
    <row r="11568">
      <c r="D11568" s="9"/>
      <c r="G11568" s="9"/>
      <c r="J11568" s="11"/>
      <c r="U11568" s="9"/>
      <c r="X11568" s="9"/>
    </row>
    <row r="11569">
      <c r="D11569" s="9"/>
      <c r="G11569" s="9"/>
      <c r="J11569" s="11"/>
      <c r="U11569" s="9"/>
      <c r="X11569" s="9"/>
    </row>
    <row r="11570">
      <c r="D11570" s="9"/>
      <c r="G11570" s="9"/>
      <c r="J11570" s="11"/>
      <c r="U11570" s="9"/>
      <c r="X11570" s="9"/>
    </row>
    <row r="11571">
      <c r="D11571" s="9"/>
      <c r="G11571" s="9"/>
      <c r="J11571" s="11"/>
      <c r="U11571" s="9"/>
      <c r="X11571" s="9"/>
    </row>
    <row r="11572">
      <c r="D11572" s="9"/>
      <c r="G11572" s="9"/>
      <c r="J11572" s="11"/>
      <c r="U11572" s="9"/>
      <c r="X11572" s="9"/>
    </row>
    <row r="11573">
      <c r="D11573" s="9"/>
      <c r="G11573" s="9"/>
      <c r="J11573" s="11"/>
      <c r="U11573" s="9"/>
      <c r="X11573" s="9"/>
    </row>
    <row r="11574">
      <c r="D11574" s="9"/>
      <c r="G11574" s="9"/>
      <c r="J11574" s="11"/>
      <c r="U11574" s="9"/>
      <c r="X11574" s="9"/>
    </row>
    <row r="11575">
      <c r="D11575" s="9"/>
      <c r="G11575" s="9"/>
      <c r="J11575" s="11"/>
      <c r="U11575" s="9"/>
      <c r="X11575" s="9"/>
    </row>
    <row r="11576">
      <c r="D11576" s="9"/>
      <c r="G11576" s="9"/>
      <c r="J11576" s="11"/>
      <c r="U11576" s="9"/>
      <c r="X11576" s="9"/>
    </row>
    <row r="11577">
      <c r="D11577" s="9"/>
      <c r="G11577" s="9"/>
      <c r="J11577" s="11"/>
      <c r="U11577" s="9"/>
      <c r="X11577" s="9"/>
    </row>
    <row r="11578">
      <c r="D11578" s="9"/>
      <c r="G11578" s="9"/>
      <c r="J11578" s="11"/>
      <c r="U11578" s="9"/>
      <c r="X11578" s="9"/>
    </row>
    <row r="11579">
      <c r="D11579" s="9"/>
      <c r="G11579" s="9"/>
      <c r="J11579" s="11"/>
      <c r="U11579" s="9"/>
      <c r="X11579" s="9"/>
    </row>
    <row r="11580">
      <c r="D11580" s="9"/>
      <c r="G11580" s="9"/>
      <c r="J11580" s="11"/>
      <c r="U11580" s="9"/>
      <c r="X11580" s="9"/>
    </row>
    <row r="11581">
      <c r="D11581" s="9"/>
      <c r="G11581" s="9"/>
      <c r="J11581" s="11"/>
      <c r="U11581" s="9"/>
      <c r="X11581" s="9"/>
    </row>
    <row r="11582">
      <c r="D11582" s="9"/>
      <c r="G11582" s="9"/>
      <c r="J11582" s="11"/>
      <c r="U11582" s="9"/>
      <c r="X11582" s="9"/>
    </row>
    <row r="11583">
      <c r="D11583" s="9"/>
      <c r="G11583" s="9"/>
      <c r="J11583" s="11"/>
      <c r="U11583" s="9"/>
      <c r="X11583" s="9"/>
    </row>
    <row r="11584">
      <c r="D11584" s="9"/>
      <c r="G11584" s="9"/>
      <c r="J11584" s="11"/>
      <c r="U11584" s="9"/>
      <c r="X11584" s="9"/>
    </row>
    <row r="11585">
      <c r="D11585" s="9"/>
      <c r="G11585" s="9"/>
      <c r="J11585" s="11"/>
      <c r="U11585" s="9"/>
      <c r="X11585" s="9"/>
    </row>
    <row r="11586">
      <c r="D11586" s="9"/>
      <c r="G11586" s="9"/>
      <c r="J11586" s="11"/>
      <c r="U11586" s="9"/>
      <c r="X11586" s="9"/>
    </row>
    <row r="11587">
      <c r="D11587" s="9"/>
      <c r="G11587" s="9"/>
      <c r="J11587" s="11"/>
      <c r="U11587" s="9"/>
      <c r="X11587" s="9"/>
    </row>
    <row r="11588">
      <c r="D11588" s="9"/>
      <c r="G11588" s="9"/>
      <c r="J11588" s="11"/>
      <c r="U11588" s="9"/>
      <c r="X11588" s="9"/>
    </row>
    <row r="11589">
      <c r="D11589" s="9"/>
      <c r="G11589" s="9"/>
      <c r="J11589" s="11"/>
      <c r="U11589" s="9"/>
      <c r="X11589" s="9"/>
    </row>
    <row r="11590">
      <c r="D11590" s="9"/>
      <c r="G11590" s="9"/>
      <c r="J11590" s="11"/>
      <c r="U11590" s="9"/>
      <c r="X11590" s="9"/>
    </row>
    <row r="11591">
      <c r="D11591" s="9"/>
      <c r="G11591" s="9"/>
      <c r="J11591" s="11"/>
      <c r="U11591" s="9"/>
      <c r="X11591" s="9"/>
    </row>
    <row r="11592">
      <c r="D11592" s="9"/>
      <c r="G11592" s="9"/>
      <c r="J11592" s="11"/>
      <c r="U11592" s="9"/>
      <c r="X11592" s="9"/>
    </row>
    <row r="11593">
      <c r="D11593" s="9"/>
      <c r="G11593" s="9"/>
      <c r="J11593" s="11"/>
      <c r="U11593" s="9"/>
      <c r="X11593" s="9"/>
    </row>
    <row r="11594">
      <c r="D11594" s="9"/>
      <c r="G11594" s="9"/>
      <c r="J11594" s="11"/>
      <c r="U11594" s="9"/>
      <c r="X11594" s="9"/>
    </row>
    <row r="11595">
      <c r="D11595" s="9"/>
      <c r="G11595" s="9"/>
      <c r="J11595" s="11"/>
      <c r="U11595" s="9"/>
      <c r="X11595" s="9"/>
    </row>
    <row r="11596">
      <c r="D11596" s="9"/>
      <c r="G11596" s="9"/>
      <c r="J11596" s="11"/>
      <c r="U11596" s="9"/>
      <c r="X11596" s="9"/>
    </row>
    <row r="11597">
      <c r="D11597" s="9"/>
      <c r="G11597" s="9"/>
      <c r="J11597" s="11"/>
      <c r="U11597" s="9"/>
      <c r="X11597" s="9"/>
    </row>
    <row r="11598">
      <c r="D11598" s="9"/>
      <c r="G11598" s="9"/>
      <c r="J11598" s="11"/>
      <c r="U11598" s="9"/>
      <c r="X11598" s="9"/>
    </row>
    <row r="11599">
      <c r="D11599" s="9"/>
      <c r="G11599" s="9"/>
      <c r="J11599" s="11"/>
      <c r="U11599" s="9"/>
      <c r="X11599" s="9"/>
    </row>
    <row r="11600">
      <c r="D11600" s="9"/>
      <c r="G11600" s="9"/>
      <c r="J11600" s="11"/>
      <c r="U11600" s="9"/>
      <c r="X11600" s="9"/>
    </row>
    <row r="11601">
      <c r="D11601" s="9"/>
      <c r="G11601" s="9"/>
      <c r="J11601" s="11"/>
      <c r="U11601" s="9"/>
      <c r="X11601" s="9"/>
    </row>
    <row r="11602">
      <c r="D11602" s="9"/>
      <c r="G11602" s="9"/>
      <c r="J11602" s="11"/>
      <c r="U11602" s="9"/>
      <c r="X11602" s="9"/>
    </row>
    <row r="11603">
      <c r="D11603" s="9"/>
      <c r="G11603" s="9"/>
      <c r="J11603" s="11"/>
      <c r="U11603" s="9"/>
      <c r="X11603" s="9"/>
    </row>
    <row r="11604">
      <c r="D11604" s="9"/>
      <c r="G11604" s="9"/>
      <c r="J11604" s="11"/>
      <c r="U11604" s="9"/>
      <c r="X11604" s="9"/>
    </row>
    <row r="11605">
      <c r="D11605" s="9"/>
      <c r="G11605" s="9"/>
      <c r="J11605" s="11"/>
      <c r="U11605" s="9"/>
      <c r="X11605" s="9"/>
    </row>
    <row r="11606">
      <c r="D11606" s="9"/>
      <c r="G11606" s="9"/>
      <c r="J11606" s="11"/>
      <c r="U11606" s="9"/>
      <c r="X11606" s="9"/>
    </row>
    <row r="11607">
      <c r="D11607" s="9"/>
      <c r="G11607" s="9"/>
      <c r="J11607" s="11"/>
      <c r="U11607" s="9"/>
      <c r="X11607" s="9"/>
    </row>
    <row r="11608">
      <c r="D11608" s="9"/>
      <c r="G11608" s="9"/>
      <c r="J11608" s="11"/>
      <c r="U11608" s="9"/>
      <c r="X11608" s="9"/>
    </row>
    <row r="11609">
      <c r="D11609" s="9"/>
      <c r="G11609" s="9"/>
      <c r="J11609" s="11"/>
      <c r="U11609" s="9"/>
      <c r="X11609" s="9"/>
    </row>
    <row r="11610">
      <c r="D11610" s="9"/>
      <c r="G11610" s="9"/>
      <c r="J11610" s="11"/>
      <c r="U11610" s="9"/>
      <c r="X11610" s="9"/>
    </row>
    <row r="11611">
      <c r="D11611" s="9"/>
      <c r="G11611" s="9"/>
      <c r="J11611" s="11"/>
      <c r="U11611" s="9"/>
      <c r="X11611" s="9"/>
    </row>
    <row r="11612">
      <c r="D11612" s="9"/>
      <c r="G11612" s="9"/>
      <c r="J11612" s="11"/>
      <c r="U11612" s="9"/>
      <c r="X11612" s="9"/>
    </row>
    <row r="11613">
      <c r="D11613" s="9"/>
      <c r="G11613" s="9"/>
      <c r="J11613" s="11"/>
      <c r="U11613" s="9"/>
      <c r="X11613" s="9"/>
    </row>
    <row r="11614">
      <c r="D11614" s="9"/>
      <c r="G11614" s="9"/>
      <c r="J11614" s="11"/>
      <c r="U11614" s="9"/>
      <c r="X11614" s="9"/>
    </row>
    <row r="11615">
      <c r="D11615" s="9"/>
      <c r="G11615" s="9"/>
      <c r="J11615" s="11"/>
      <c r="U11615" s="9"/>
      <c r="X11615" s="9"/>
    </row>
    <row r="11616">
      <c r="D11616" s="9"/>
      <c r="G11616" s="9"/>
      <c r="J11616" s="11"/>
      <c r="U11616" s="9"/>
      <c r="X11616" s="9"/>
    </row>
    <row r="11617">
      <c r="D11617" s="9"/>
      <c r="G11617" s="9"/>
      <c r="J11617" s="11"/>
      <c r="U11617" s="9"/>
      <c r="X11617" s="9"/>
    </row>
    <row r="11618">
      <c r="D11618" s="9"/>
      <c r="G11618" s="9"/>
      <c r="J11618" s="11"/>
      <c r="U11618" s="9"/>
      <c r="X11618" s="9"/>
    </row>
    <row r="11619">
      <c r="D11619" s="9"/>
      <c r="G11619" s="9"/>
      <c r="J11619" s="11"/>
      <c r="U11619" s="9"/>
      <c r="X11619" s="9"/>
    </row>
    <row r="11620">
      <c r="D11620" s="9"/>
      <c r="G11620" s="9"/>
      <c r="J11620" s="11"/>
      <c r="U11620" s="9"/>
      <c r="X11620" s="9"/>
    </row>
    <row r="11621">
      <c r="D11621" s="9"/>
      <c r="G11621" s="9"/>
      <c r="J11621" s="11"/>
      <c r="U11621" s="9"/>
      <c r="X11621" s="9"/>
    </row>
    <row r="11622">
      <c r="D11622" s="9"/>
      <c r="G11622" s="9"/>
      <c r="J11622" s="11"/>
      <c r="U11622" s="9"/>
      <c r="X11622" s="9"/>
    </row>
    <row r="11623">
      <c r="D11623" s="9"/>
      <c r="G11623" s="9"/>
      <c r="J11623" s="11"/>
      <c r="U11623" s="9"/>
      <c r="X11623" s="9"/>
    </row>
    <row r="11624">
      <c r="D11624" s="9"/>
      <c r="G11624" s="9"/>
      <c r="J11624" s="11"/>
      <c r="U11624" s="9"/>
      <c r="X11624" s="9"/>
    </row>
    <row r="11625">
      <c r="D11625" s="9"/>
      <c r="G11625" s="9"/>
      <c r="J11625" s="11"/>
      <c r="U11625" s="9"/>
      <c r="X11625" s="9"/>
    </row>
    <row r="11626">
      <c r="D11626" s="9"/>
      <c r="G11626" s="9"/>
      <c r="J11626" s="11"/>
      <c r="U11626" s="9"/>
      <c r="X11626" s="9"/>
    </row>
    <row r="11627">
      <c r="D11627" s="9"/>
      <c r="G11627" s="9"/>
      <c r="J11627" s="11"/>
      <c r="U11627" s="9"/>
      <c r="X11627" s="9"/>
    </row>
    <row r="11628">
      <c r="D11628" s="9"/>
      <c r="G11628" s="9"/>
      <c r="J11628" s="11"/>
      <c r="U11628" s="9"/>
      <c r="X11628" s="9"/>
    </row>
    <row r="11629">
      <c r="D11629" s="9"/>
      <c r="G11629" s="9"/>
      <c r="J11629" s="11"/>
      <c r="U11629" s="9"/>
      <c r="X11629" s="9"/>
    </row>
    <row r="11630">
      <c r="D11630" s="9"/>
      <c r="G11630" s="9"/>
      <c r="J11630" s="11"/>
      <c r="U11630" s="9"/>
      <c r="X11630" s="9"/>
    </row>
    <row r="11631">
      <c r="D11631" s="9"/>
      <c r="G11631" s="9"/>
      <c r="J11631" s="11"/>
      <c r="U11631" s="9"/>
      <c r="X11631" s="9"/>
    </row>
    <row r="11632">
      <c r="D11632" s="9"/>
      <c r="G11632" s="9"/>
      <c r="J11632" s="11"/>
      <c r="U11632" s="9"/>
      <c r="X11632" s="9"/>
    </row>
    <row r="11633">
      <c r="D11633" s="9"/>
      <c r="G11633" s="9"/>
      <c r="J11633" s="11"/>
      <c r="U11633" s="9"/>
      <c r="X11633" s="9"/>
    </row>
    <row r="11634">
      <c r="D11634" s="9"/>
      <c r="G11634" s="9"/>
      <c r="J11634" s="11"/>
      <c r="U11634" s="9"/>
      <c r="X11634" s="9"/>
    </row>
    <row r="11635">
      <c r="D11635" s="9"/>
      <c r="G11635" s="9"/>
      <c r="J11635" s="11"/>
      <c r="U11635" s="9"/>
      <c r="X11635" s="9"/>
    </row>
    <row r="11636">
      <c r="D11636" s="9"/>
      <c r="G11636" s="9"/>
      <c r="J11636" s="11"/>
      <c r="U11636" s="9"/>
      <c r="X11636" s="9"/>
    </row>
    <row r="11637">
      <c r="D11637" s="9"/>
      <c r="G11637" s="9"/>
      <c r="J11637" s="11"/>
      <c r="U11637" s="9"/>
      <c r="X11637" s="9"/>
    </row>
    <row r="11638">
      <c r="D11638" s="9"/>
      <c r="G11638" s="9"/>
      <c r="J11638" s="11"/>
      <c r="U11638" s="9"/>
      <c r="X11638" s="9"/>
    </row>
    <row r="11639">
      <c r="D11639" s="9"/>
      <c r="G11639" s="9"/>
      <c r="J11639" s="11"/>
      <c r="U11639" s="9"/>
      <c r="X11639" s="9"/>
    </row>
    <row r="11640">
      <c r="D11640" s="9"/>
      <c r="G11640" s="9"/>
      <c r="J11640" s="11"/>
      <c r="U11640" s="9"/>
      <c r="X11640" s="9"/>
    </row>
    <row r="11641">
      <c r="D11641" s="9"/>
      <c r="G11641" s="9"/>
      <c r="J11641" s="11"/>
      <c r="U11641" s="9"/>
      <c r="X11641" s="9"/>
    </row>
    <row r="11642">
      <c r="D11642" s="9"/>
      <c r="G11642" s="9"/>
      <c r="J11642" s="11"/>
      <c r="U11642" s="9"/>
      <c r="X11642" s="9"/>
    </row>
    <row r="11643">
      <c r="D11643" s="9"/>
      <c r="G11643" s="9"/>
      <c r="J11643" s="11"/>
      <c r="U11643" s="9"/>
      <c r="X11643" s="9"/>
    </row>
    <row r="11644">
      <c r="D11644" s="9"/>
      <c r="G11644" s="9"/>
      <c r="J11644" s="11"/>
      <c r="U11644" s="9"/>
      <c r="X11644" s="9"/>
    </row>
    <row r="11645">
      <c r="D11645" s="9"/>
      <c r="G11645" s="9"/>
      <c r="J11645" s="11"/>
      <c r="U11645" s="9"/>
      <c r="X11645" s="9"/>
    </row>
    <row r="11646">
      <c r="D11646" s="9"/>
      <c r="G11646" s="9"/>
      <c r="J11646" s="11"/>
      <c r="U11646" s="9"/>
      <c r="X11646" s="9"/>
    </row>
    <row r="11647">
      <c r="D11647" s="9"/>
      <c r="G11647" s="9"/>
      <c r="J11647" s="11"/>
      <c r="U11647" s="9"/>
      <c r="X11647" s="9"/>
    </row>
    <row r="11648">
      <c r="D11648" s="9"/>
      <c r="G11648" s="9"/>
      <c r="J11648" s="11"/>
      <c r="U11648" s="9"/>
      <c r="X11648" s="9"/>
    </row>
    <row r="11649">
      <c r="D11649" s="9"/>
      <c r="G11649" s="9"/>
      <c r="J11649" s="11"/>
      <c r="U11649" s="9"/>
      <c r="X11649" s="9"/>
    </row>
    <row r="11650">
      <c r="D11650" s="9"/>
      <c r="G11650" s="9"/>
      <c r="J11650" s="11"/>
      <c r="U11650" s="9"/>
      <c r="X11650" s="9"/>
    </row>
    <row r="11651">
      <c r="D11651" s="9"/>
      <c r="G11651" s="9"/>
      <c r="J11651" s="11"/>
      <c r="U11651" s="9"/>
      <c r="X11651" s="9"/>
    </row>
    <row r="11652">
      <c r="D11652" s="9"/>
      <c r="G11652" s="9"/>
      <c r="J11652" s="11"/>
      <c r="U11652" s="9"/>
      <c r="X11652" s="9"/>
    </row>
    <row r="11653">
      <c r="D11653" s="9"/>
      <c r="G11653" s="9"/>
      <c r="J11653" s="11"/>
      <c r="U11653" s="9"/>
      <c r="X11653" s="9"/>
    </row>
    <row r="11654">
      <c r="D11654" s="9"/>
      <c r="G11654" s="9"/>
      <c r="J11654" s="11"/>
      <c r="U11654" s="9"/>
      <c r="X11654" s="9"/>
    </row>
    <row r="11655">
      <c r="D11655" s="9"/>
      <c r="G11655" s="9"/>
      <c r="J11655" s="11"/>
      <c r="U11655" s="9"/>
      <c r="X11655" s="9"/>
    </row>
    <row r="11656">
      <c r="D11656" s="9"/>
      <c r="G11656" s="9"/>
      <c r="J11656" s="11"/>
      <c r="U11656" s="9"/>
      <c r="X11656" s="9"/>
    </row>
    <row r="11657">
      <c r="D11657" s="9"/>
      <c r="G11657" s="9"/>
      <c r="J11657" s="11"/>
      <c r="U11657" s="9"/>
      <c r="X11657" s="9"/>
    </row>
    <row r="11658">
      <c r="D11658" s="9"/>
      <c r="G11658" s="9"/>
      <c r="J11658" s="11"/>
      <c r="U11658" s="9"/>
      <c r="X11658" s="9"/>
    </row>
    <row r="11659">
      <c r="D11659" s="9"/>
      <c r="G11659" s="9"/>
      <c r="J11659" s="11"/>
      <c r="U11659" s="9"/>
      <c r="X11659" s="9"/>
    </row>
    <row r="11660">
      <c r="D11660" s="9"/>
      <c r="G11660" s="9"/>
      <c r="J11660" s="11"/>
      <c r="U11660" s="9"/>
      <c r="X11660" s="9"/>
    </row>
    <row r="11661">
      <c r="D11661" s="9"/>
      <c r="G11661" s="9"/>
      <c r="J11661" s="11"/>
      <c r="U11661" s="9"/>
      <c r="X11661" s="9"/>
    </row>
    <row r="11662">
      <c r="D11662" s="9"/>
      <c r="G11662" s="9"/>
      <c r="J11662" s="11"/>
      <c r="U11662" s="9"/>
      <c r="X11662" s="9"/>
    </row>
    <row r="11663">
      <c r="D11663" s="9"/>
      <c r="G11663" s="9"/>
      <c r="J11663" s="11"/>
      <c r="U11663" s="9"/>
      <c r="X11663" s="9"/>
    </row>
    <row r="11664">
      <c r="D11664" s="9"/>
      <c r="G11664" s="9"/>
      <c r="J11664" s="11"/>
      <c r="U11664" s="9"/>
      <c r="X11664" s="9"/>
    </row>
    <row r="11665">
      <c r="D11665" s="9"/>
      <c r="G11665" s="9"/>
      <c r="J11665" s="11"/>
      <c r="U11665" s="9"/>
      <c r="X11665" s="9"/>
    </row>
    <row r="11666">
      <c r="D11666" s="9"/>
      <c r="G11666" s="9"/>
      <c r="J11666" s="11"/>
      <c r="U11666" s="9"/>
      <c r="X11666" s="9"/>
    </row>
    <row r="11667">
      <c r="D11667" s="9"/>
      <c r="G11667" s="9"/>
      <c r="J11667" s="11"/>
      <c r="U11667" s="9"/>
      <c r="X11667" s="9"/>
    </row>
    <row r="11668">
      <c r="D11668" s="9"/>
      <c r="G11668" s="9"/>
      <c r="J11668" s="11"/>
      <c r="U11668" s="9"/>
      <c r="X11668" s="9"/>
    </row>
    <row r="11669">
      <c r="D11669" s="9"/>
      <c r="G11669" s="9"/>
      <c r="J11669" s="11"/>
      <c r="U11669" s="9"/>
      <c r="X11669" s="9"/>
    </row>
    <row r="11670">
      <c r="D11670" s="9"/>
      <c r="G11670" s="9"/>
      <c r="J11670" s="11"/>
      <c r="U11670" s="9"/>
      <c r="X11670" s="9"/>
    </row>
    <row r="11671">
      <c r="D11671" s="9"/>
      <c r="G11671" s="9"/>
      <c r="J11671" s="11"/>
      <c r="U11671" s="9"/>
      <c r="X11671" s="9"/>
    </row>
    <row r="11672">
      <c r="D11672" s="9"/>
      <c r="G11672" s="9"/>
      <c r="J11672" s="11"/>
      <c r="U11672" s="9"/>
      <c r="X11672" s="9"/>
    </row>
    <row r="11673">
      <c r="D11673" s="9"/>
      <c r="G11673" s="9"/>
      <c r="J11673" s="11"/>
      <c r="U11673" s="9"/>
      <c r="X11673" s="9"/>
    </row>
    <row r="11674">
      <c r="D11674" s="9"/>
      <c r="G11674" s="9"/>
      <c r="J11674" s="11"/>
      <c r="U11674" s="9"/>
      <c r="X11674" s="9"/>
    </row>
    <row r="11675">
      <c r="D11675" s="9"/>
      <c r="G11675" s="9"/>
      <c r="J11675" s="11"/>
      <c r="U11675" s="9"/>
      <c r="X11675" s="9"/>
    </row>
    <row r="11676">
      <c r="D11676" s="9"/>
      <c r="G11676" s="9"/>
      <c r="J11676" s="11"/>
      <c r="U11676" s="9"/>
      <c r="X11676" s="9"/>
    </row>
    <row r="11677">
      <c r="D11677" s="9"/>
      <c r="G11677" s="9"/>
      <c r="J11677" s="11"/>
      <c r="U11677" s="9"/>
      <c r="X11677" s="9"/>
    </row>
    <row r="11678">
      <c r="D11678" s="9"/>
      <c r="G11678" s="9"/>
      <c r="J11678" s="11"/>
      <c r="U11678" s="9"/>
      <c r="X11678" s="9"/>
    </row>
    <row r="11679">
      <c r="D11679" s="9"/>
      <c r="G11679" s="9"/>
      <c r="J11679" s="11"/>
      <c r="U11679" s="9"/>
      <c r="X11679" s="9"/>
    </row>
    <row r="11680">
      <c r="D11680" s="9"/>
      <c r="G11680" s="9"/>
      <c r="J11680" s="11"/>
      <c r="U11680" s="9"/>
      <c r="X11680" s="9"/>
    </row>
    <row r="11681">
      <c r="D11681" s="9"/>
      <c r="G11681" s="9"/>
      <c r="J11681" s="11"/>
      <c r="U11681" s="9"/>
      <c r="X11681" s="9"/>
    </row>
    <row r="11682">
      <c r="D11682" s="9"/>
      <c r="G11682" s="9"/>
      <c r="J11682" s="11"/>
      <c r="U11682" s="9"/>
      <c r="X11682" s="9"/>
    </row>
    <row r="11683">
      <c r="D11683" s="9"/>
      <c r="G11683" s="9"/>
      <c r="J11683" s="11"/>
      <c r="U11683" s="9"/>
      <c r="X11683" s="9"/>
    </row>
    <row r="11684">
      <c r="D11684" s="9"/>
      <c r="G11684" s="9"/>
      <c r="J11684" s="11"/>
      <c r="U11684" s="9"/>
      <c r="X11684" s="9"/>
    </row>
    <row r="11685">
      <c r="D11685" s="9"/>
      <c r="G11685" s="9"/>
      <c r="J11685" s="11"/>
      <c r="U11685" s="9"/>
      <c r="X11685" s="9"/>
    </row>
    <row r="11686">
      <c r="D11686" s="9"/>
      <c r="G11686" s="9"/>
      <c r="J11686" s="11"/>
      <c r="U11686" s="9"/>
      <c r="X11686" s="9"/>
    </row>
    <row r="11687">
      <c r="D11687" s="9"/>
      <c r="G11687" s="9"/>
      <c r="J11687" s="11"/>
      <c r="U11687" s="9"/>
      <c r="X11687" s="9"/>
    </row>
    <row r="11688">
      <c r="D11688" s="9"/>
      <c r="G11688" s="9"/>
      <c r="J11688" s="11"/>
      <c r="U11688" s="9"/>
      <c r="X11688" s="9"/>
    </row>
    <row r="11689">
      <c r="D11689" s="9"/>
      <c r="G11689" s="9"/>
      <c r="J11689" s="11"/>
      <c r="U11689" s="9"/>
      <c r="X11689" s="9"/>
    </row>
    <row r="11690">
      <c r="D11690" s="9"/>
      <c r="G11690" s="9"/>
      <c r="J11690" s="11"/>
      <c r="U11690" s="9"/>
      <c r="X11690" s="9"/>
    </row>
    <row r="11691">
      <c r="D11691" s="9"/>
      <c r="G11691" s="9"/>
      <c r="J11691" s="11"/>
      <c r="U11691" s="9"/>
      <c r="X11691" s="9"/>
    </row>
    <row r="11692">
      <c r="D11692" s="9"/>
      <c r="G11692" s="9"/>
      <c r="J11692" s="11"/>
      <c r="U11692" s="9"/>
      <c r="X11692" s="9"/>
    </row>
    <row r="11693">
      <c r="D11693" s="9"/>
      <c r="G11693" s="9"/>
      <c r="J11693" s="11"/>
      <c r="U11693" s="9"/>
      <c r="X11693" s="9"/>
    </row>
    <row r="11694">
      <c r="D11694" s="9"/>
      <c r="G11694" s="9"/>
      <c r="J11694" s="11"/>
      <c r="U11694" s="9"/>
      <c r="X11694" s="9"/>
    </row>
    <row r="11695">
      <c r="D11695" s="9"/>
      <c r="G11695" s="9"/>
      <c r="J11695" s="11"/>
      <c r="U11695" s="9"/>
      <c r="X11695" s="9"/>
    </row>
    <row r="11696">
      <c r="D11696" s="9"/>
      <c r="G11696" s="9"/>
      <c r="J11696" s="11"/>
      <c r="U11696" s="9"/>
      <c r="X11696" s="9"/>
    </row>
    <row r="11697">
      <c r="D11697" s="9"/>
      <c r="G11697" s="9"/>
      <c r="J11697" s="11"/>
      <c r="U11697" s="9"/>
      <c r="X11697" s="9"/>
    </row>
    <row r="11698">
      <c r="D11698" s="9"/>
      <c r="G11698" s="9"/>
      <c r="J11698" s="11"/>
      <c r="U11698" s="9"/>
      <c r="X11698" s="9"/>
    </row>
    <row r="11699">
      <c r="D11699" s="9"/>
      <c r="G11699" s="9"/>
      <c r="J11699" s="11"/>
      <c r="U11699" s="9"/>
      <c r="X11699" s="9"/>
    </row>
    <row r="11700">
      <c r="D11700" s="9"/>
      <c r="G11700" s="9"/>
      <c r="J11700" s="11"/>
      <c r="U11700" s="9"/>
      <c r="X11700" s="9"/>
    </row>
    <row r="11701">
      <c r="D11701" s="9"/>
      <c r="G11701" s="9"/>
      <c r="J11701" s="11"/>
      <c r="U11701" s="9"/>
      <c r="X11701" s="9"/>
    </row>
    <row r="11702">
      <c r="D11702" s="9"/>
      <c r="G11702" s="9"/>
      <c r="J11702" s="11"/>
      <c r="U11702" s="9"/>
      <c r="X11702" s="9"/>
    </row>
    <row r="11703">
      <c r="D11703" s="9"/>
      <c r="G11703" s="9"/>
      <c r="J11703" s="11"/>
      <c r="U11703" s="9"/>
      <c r="X11703" s="9"/>
    </row>
    <row r="11704">
      <c r="D11704" s="9"/>
      <c r="G11704" s="9"/>
      <c r="J11704" s="11"/>
      <c r="U11704" s="9"/>
      <c r="X11704" s="9"/>
    </row>
    <row r="11705">
      <c r="D11705" s="9"/>
      <c r="G11705" s="9"/>
      <c r="J11705" s="11"/>
      <c r="U11705" s="9"/>
      <c r="X11705" s="9"/>
    </row>
    <row r="11706">
      <c r="D11706" s="9"/>
      <c r="G11706" s="9"/>
      <c r="J11706" s="11"/>
      <c r="U11706" s="9"/>
      <c r="X11706" s="9"/>
    </row>
    <row r="11707">
      <c r="D11707" s="9"/>
      <c r="G11707" s="9"/>
      <c r="J11707" s="11"/>
      <c r="U11707" s="9"/>
      <c r="X11707" s="9"/>
    </row>
    <row r="11708">
      <c r="D11708" s="9"/>
      <c r="G11708" s="9"/>
      <c r="J11708" s="11"/>
      <c r="U11708" s="9"/>
      <c r="X11708" s="9"/>
    </row>
    <row r="11709">
      <c r="D11709" s="9"/>
      <c r="G11709" s="9"/>
      <c r="J11709" s="11"/>
      <c r="U11709" s="9"/>
      <c r="X11709" s="9"/>
    </row>
    <row r="11710">
      <c r="D11710" s="9"/>
      <c r="G11710" s="9"/>
      <c r="J11710" s="11"/>
      <c r="U11710" s="9"/>
      <c r="X11710" s="9"/>
    </row>
    <row r="11711">
      <c r="D11711" s="9"/>
      <c r="G11711" s="9"/>
      <c r="J11711" s="11"/>
      <c r="U11711" s="9"/>
      <c r="X11711" s="9"/>
    </row>
    <row r="11712">
      <c r="D11712" s="9"/>
      <c r="G11712" s="9"/>
      <c r="J11712" s="11"/>
      <c r="U11712" s="9"/>
      <c r="X11712" s="9"/>
    </row>
    <row r="11713">
      <c r="D11713" s="9"/>
      <c r="G11713" s="9"/>
      <c r="J11713" s="11"/>
      <c r="U11713" s="9"/>
      <c r="X11713" s="9"/>
    </row>
    <row r="11714">
      <c r="D11714" s="9"/>
      <c r="G11714" s="9"/>
      <c r="J11714" s="11"/>
      <c r="U11714" s="9"/>
      <c r="X11714" s="9"/>
    </row>
    <row r="11715">
      <c r="D11715" s="9"/>
      <c r="G11715" s="9"/>
      <c r="J11715" s="11"/>
      <c r="U11715" s="9"/>
      <c r="X11715" s="9"/>
    </row>
    <row r="11716">
      <c r="D11716" s="9"/>
      <c r="G11716" s="9"/>
      <c r="J11716" s="11"/>
      <c r="U11716" s="9"/>
      <c r="X11716" s="9"/>
    </row>
    <row r="11717">
      <c r="D11717" s="9"/>
      <c r="G11717" s="9"/>
      <c r="J11717" s="11"/>
      <c r="U11717" s="9"/>
      <c r="X11717" s="9"/>
    </row>
    <row r="11718">
      <c r="D11718" s="9"/>
      <c r="G11718" s="9"/>
      <c r="J11718" s="11"/>
      <c r="U11718" s="9"/>
      <c r="X11718" s="9"/>
    </row>
    <row r="11719">
      <c r="D11719" s="9"/>
      <c r="G11719" s="9"/>
      <c r="J11719" s="11"/>
      <c r="U11719" s="9"/>
      <c r="X11719" s="9"/>
    </row>
    <row r="11720">
      <c r="D11720" s="9"/>
      <c r="G11720" s="9"/>
      <c r="J11720" s="11"/>
      <c r="U11720" s="9"/>
      <c r="X11720" s="9"/>
    </row>
    <row r="11721">
      <c r="D11721" s="9"/>
      <c r="G11721" s="9"/>
      <c r="J11721" s="11"/>
      <c r="U11721" s="9"/>
      <c r="X11721" s="9"/>
    </row>
    <row r="11722">
      <c r="D11722" s="9"/>
      <c r="G11722" s="9"/>
      <c r="J11722" s="11"/>
      <c r="U11722" s="9"/>
      <c r="X11722" s="9"/>
    </row>
    <row r="11723">
      <c r="D11723" s="9"/>
      <c r="G11723" s="9"/>
      <c r="J11723" s="11"/>
      <c r="U11723" s="9"/>
      <c r="X11723" s="9"/>
    </row>
    <row r="11724">
      <c r="D11724" s="9"/>
      <c r="G11724" s="9"/>
      <c r="J11724" s="11"/>
      <c r="U11724" s="9"/>
      <c r="X11724" s="9"/>
    </row>
    <row r="11725">
      <c r="D11725" s="9"/>
      <c r="G11725" s="9"/>
      <c r="J11725" s="11"/>
      <c r="U11725" s="9"/>
      <c r="X11725" s="9"/>
    </row>
    <row r="11726">
      <c r="D11726" s="9"/>
      <c r="G11726" s="9"/>
      <c r="J11726" s="11"/>
      <c r="U11726" s="9"/>
      <c r="X11726" s="9"/>
    </row>
    <row r="11727">
      <c r="D11727" s="9"/>
      <c r="G11727" s="9"/>
      <c r="J11727" s="11"/>
      <c r="U11727" s="9"/>
      <c r="X11727" s="9"/>
    </row>
    <row r="11728">
      <c r="D11728" s="9"/>
      <c r="G11728" s="9"/>
      <c r="J11728" s="11"/>
      <c r="U11728" s="9"/>
      <c r="X11728" s="9"/>
    </row>
    <row r="11729">
      <c r="D11729" s="9"/>
      <c r="G11729" s="9"/>
      <c r="J11729" s="11"/>
      <c r="U11729" s="9"/>
      <c r="X11729" s="9"/>
    </row>
    <row r="11730">
      <c r="D11730" s="9"/>
      <c r="G11730" s="9"/>
      <c r="J11730" s="11"/>
      <c r="U11730" s="9"/>
      <c r="X11730" s="9"/>
    </row>
    <row r="11731">
      <c r="D11731" s="9"/>
      <c r="G11731" s="9"/>
      <c r="J11731" s="11"/>
      <c r="U11731" s="9"/>
      <c r="X11731" s="9"/>
    </row>
    <row r="11732">
      <c r="D11732" s="9"/>
      <c r="G11732" s="9"/>
      <c r="J11732" s="11"/>
      <c r="U11732" s="9"/>
      <c r="X11732" s="9"/>
    </row>
    <row r="11733">
      <c r="D11733" s="9"/>
      <c r="G11733" s="9"/>
      <c r="J11733" s="11"/>
      <c r="U11733" s="9"/>
      <c r="X11733" s="9"/>
    </row>
    <row r="11734">
      <c r="D11734" s="9"/>
      <c r="G11734" s="9"/>
      <c r="J11734" s="11"/>
      <c r="U11734" s="9"/>
      <c r="X11734" s="9"/>
    </row>
    <row r="11735">
      <c r="D11735" s="9"/>
      <c r="G11735" s="9"/>
      <c r="J11735" s="11"/>
      <c r="U11735" s="9"/>
      <c r="X11735" s="9"/>
    </row>
    <row r="11736">
      <c r="D11736" s="9"/>
      <c r="G11736" s="9"/>
      <c r="J11736" s="11"/>
      <c r="U11736" s="9"/>
      <c r="X11736" s="9"/>
    </row>
    <row r="11737">
      <c r="D11737" s="9"/>
      <c r="G11737" s="9"/>
      <c r="J11737" s="11"/>
      <c r="U11737" s="9"/>
      <c r="X11737" s="9"/>
    </row>
    <row r="11738">
      <c r="D11738" s="9"/>
      <c r="G11738" s="9"/>
      <c r="J11738" s="11"/>
      <c r="U11738" s="9"/>
      <c r="X11738" s="9"/>
    </row>
    <row r="11739">
      <c r="D11739" s="9"/>
      <c r="G11739" s="9"/>
      <c r="J11739" s="11"/>
      <c r="U11739" s="9"/>
      <c r="X11739" s="9"/>
    </row>
    <row r="11740">
      <c r="D11740" s="9"/>
      <c r="G11740" s="9"/>
      <c r="J11740" s="11"/>
      <c r="U11740" s="9"/>
      <c r="X11740" s="9"/>
    </row>
    <row r="11741">
      <c r="D11741" s="9"/>
      <c r="G11741" s="9"/>
      <c r="J11741" s="11"/>
      <c r="U11741" s="9"/>
      <c r="X11741" s="9"/>
    </row>
    <row r="11742">
      <c r="D11742" s="9"/>
      <c r="G11742" s="9"/>
      <c r="J11742" s="11"/>
      <c r="U11742" s="9"/>
      <c r="X11742" s="9"/>
    </row>
    <row r="11743">
      <c r="D11743" s="9"/>
      <c r="G11743" s="9"/>
      <c r="J11743" s="11"/>
      <c r="U11743" s="9"/>
      <c r="X11743" s="9"/>
    </row>
    <row r="11744">
      <c r="D11744" s="9"/>
      <c r="G11744" s="9"/>
      <c r="J11744" s="11"/>
      <c r="U11744" s="9"/>
      <c r="X11744" s="9"/>
    </row>
    <row r="11745">
      <c r="D11745" s="9"/>
      <c r="G11745" s="9"/>
      <c r="J11745" s="11"/>
      <c r="U11745" s="9"/>
      <c r="X11745" s="9"/>
    </row>
    <row r="11746">
      <c r="D11746" s="9"/>
      <c r="G11746" s="9"/>
      <c r="J11746" s="11"/>
      <c r="U11746" s="9"/>
      <c r="X11746" s="9"/>
    </row>
    <row r="11747">
      <c r="D11747" s="9"/>
      <c r="G11747" s="9"/>
      <c r="J11747" s="11"/>
      <c r="U11747" s="9"/>
      <c r="X11747" s="9"/>
    </row>
    <row r="11748">
      <c r="D11748" s="9"/>
      <c r="G11748" s="9"/>
      <c r="J11748" s="11"/>
      <c r="U11748" s="9"/>
      <c r="X11748" s="9"/>
    </row>
    <row r="11749">
      <c r="D11749" s="9"/>
      <c r="G11749" s="9"/>
      <c r="J11749" s="11"/>
      <c r="U11749" s="9"/>
      <c r="X11749" s="9"/>
    </row>
    <row r="11750">
      <c r="D11750" s="9"/>
      <c r="G11750" s="9"/>
      <c r="J11750" s="11"/>
      <c r="U11750" s="9"/>
      <c r="X11750" s="9"/>
    </row>
    <row r="11751">
      <c r="D11751" s="9"/>
      <c r="G11751" s="9"/>
      <c r="J11751" s="11"/>
      <c r="U11751" s="9"/>
      <c r="X11751" s="9"/>
    </row>
    <row r="11752">
      <c r="D11752" s="9"/>
      <c r="G11752" s="9"/>
      <c r="J11752" s="11"/>
      <c r="U11752" s="9"/>
      <c r="X11752" s="9"/>
    </row>
    <row r="11753">
      <c r="D11753" s="9"/>
      <c r="G11753" s="9"/>
      <c r="J11753" s="11"/>
      <c r="U11753" s="9"/>
      <c r="X11753" s="9"/>
    </row>
    <row r="11754">
      <c r="D11754" s="9"/>
      <c r="G11754" s="9"/>
      <c r="J11754" s="11"/>
      <c r="U11754" s="9"/>
      <c r="X11754" s="9"/>
    </row>
    <row r="11755">
      <c r="D11755" s="9"/>
      <c r="G11755" s="9"/>
      <c r="J11755" s="11"/>
      <c r="U11755" s="9"/>
      <c r="X11755" s="9"/>
    </row>
    <row r="11756">
      <c r="D11756" s="9"/>
      <c r="G11756" s="9"/>
      <c r="J11756" s="11"/>
      <c r="U11756" s="9"/>
      <c r="X11756" s="9"/>
    </row>
    <row r="11757">
      <c r="D11757" s="9"/>
      <c r="G11757" s="9"/>
      <c r="J11757" s="11"/>
      <c r="U11757" s="9"/>
      <c r="X11757" s="9"/>
    </row>
    <row r="11758">
      <c r="D11758" s="9"/>
      <c r="G11758" s="9"/>
      <c r="J11758" s="11"/>
      <c r="U11758" s="9"/>
      <c r="X11758" s="9"/>
    </row>
    <row r="11759">
      <c r="D11759" s="9"/>
      <c r="G11759" s="9"/>
      <c r="J11759" s="11"/>
      <c r="U11759" s="9"/>
      <c r="X11759" s="9"/>
    </row>
    <row r="11760">
      <c r="D11760" s="9"/>
      <c r="G11760" s="9"/>
      <c r="J11760" s="11"/>
      <c r="U11760" s="9"/>
      <c r="X11760" s="9"/>
    </row>
    <row r="11761">
      <c r="D11761" s="9"/>
      <c r="G11761" s="9"/>
      <c r="J11761" s="11"/>
      <c r="U11761" s="9"/>
      <c r="X11761" s="9"/>
    </row>
    <row r="11762">
      <c r="D11762" s="9"/>
      <c r="G11762" s="9"/>
      <c r="J11762" s="11"/>
      <c r="U11762" s="9"/>
      <c r="X11762" s="9"/>
    </row>
    <row r="11763">
      <c r="D11763" s="9"/>
      <c r="G11763" s="9"/>
      <c r="J11763" s="11"/>
      <c r="U11763" s="9"/>
      <c r="X11763" s="9"/>
    </row>
    <row r="11764">
      <c r="D11764" s="9"/>
      <c r="G11764" s="9"/>
      <c r="J11764" s="11"/>
      <c r="U11764" s="9"/>
      <c r="X11764" s="9"/>
    </row>
    <row r="11765">
      <c r="D11765" s="9"/>
      <c r="G11765" s="9"/>
      <c r="J11765" s="11"/>
      <c r="U11765" s="9"/>
      <c r="X11765" s="9"/>
    </row>
    <row r="11766">
      <c r="D11766" s="9"/>
      <c r="G11766" s="9"/>
      <c r="J11766" s="11"/>
      <c r="U11766" s="9"/>
      <c r="X11766" s="9"/>
    </row>
    <row r="11767">
      <c r="D11767" s="9"/>
      <c r="G11767" s="9"/>
      <c r="J11767" s="11"/>
      <c r="U11767" s="9"/>
      <c r="X11767" s="9"/>
    </row>
    <row r="11768">
      <c r="D11768" s="9"/>
      <c r="G11768" s="9"/>
      <c r="J11768" s="11"/>
      <c r="U11768" s="9"/>
      <c r="X11768" s="9"/>
    </row>
    <row r="11769">
      <c r="D11769" s="9"/>
      <c r="G11769" s="9"/>
      <c r="J11769" s="11"/>
      <c r="U11769" s="9"/>
      <c r="X11769" s="9"/>
    </row>
    <row r="11770">
      <c r="D11770" s="9"/>
      <c r="G11770" s="9"/>
      <c r="J11770" s="11"/>
      <c r="U11770" s="9"/>
      <c r="X11770" s="9"/>
    </row>
    <row r="11771">
      <c r="D11771" s="9"/>
      <c r="G11771" s="9"/>
      <c r="J11771" s="11"/>
      <c r="U11771" s="9"/>
      <c r="X11771" s="9"/>
    </row>
    <row r="11772">
      <c r="D11772" s="9"/>
      <c r="G11772" s="9"/>
      <c r="J11772" s="11"/>
      <c r="U11772" s="9"/>
      <c r="X11772" s="9"/>
    </row>
    <row r="11773">
      <c r="D11773" s="9"/>
      <c r="G11773" s="9"/>
      <c r="J11773" s="11"/>
      <c r="U11773" s="9"/>
      <c r="X11773" s="9"/>
    </row>
    <row r="11774">
      <c r="D11774" s="9"/>
      <c r="G11774" s="9"/>
      <c r="J11774" s="11"/>
      <c r="U11774" s="9"/>
      <c r="X11774" s="9"/>
    </row>
    <row r="11775">
      <c r="D11775" s="9"/>
      <c r="G11775" s="9"/>
      <c r="J11775" s="11"/>
      <c r="U11775" s="9"/>
      <c r="X11775" s="9"/>
    </row>
    <row r="11776">
      <c r="D11776" s="9"/>
      <c r="G11776" s="9"/>
      <c r="J11776" s="11"/>
      <c r="U11776" s="9"/>
      <c r="X11776" s="9"/>
    </row>
    <row r="11777">
      <c r="D11777" s="9"/>
      <c r="G11777" s="9"/>
      <c r="J11777" s="11"/>
      <c r="U11777" s="9"/>
      <c r="X11777" s="9"/>
    </row>
    <row r="11778">
      <c r="D11778" s="9"/>
      <c r="G11778" s="9"/>
      <c r="J11778" s="11"/>
      <c r="U11778" s="9"/>
      <c r="X11778" s="9"/>
    </row>
    <row r="11779">
      <c r="D11779" s="9"/>
      <c r="G11779" s="9"/>
      <c r="J11779" s="11"/>
      <c r="U11779" s="9"/>
      <c r="X11779" s="9"/>
    </row>
    <row r="11780">
      <c r="D11780" s="9"/>
      <c r="G11780" s="9"/>
      <c r="J11780" s="11"/>
      <c r="U11780" s="9"/>
      <c r="X11780" s="9"/>
    </row>
    <row r="11781">
      <c r="D11781" s="9"/>
      <c r="G11781" s="9"/>
      <c r="J11781" s="11"/>
      <c r="U11781" s="9"/>
      <c r="X11781" s="9"/>
    </row>
    <row r="11782">
      <c r="D11782" s="9"/>
      <c r="G11782" s="9"/>
      <c r="J11782" s="11"/>
      <c r="U11782" s="9"/>
      <c r="X11782" s="9"/>
    </row>
    <row r="11783">
      <c r="D11783" s="9"/>
      <c r="G11783" s="9"/>
      <c r="J11783" s="11"/>
      <c r="U11783" s="9"/>
      <c r="X11783" s="9"/>
    </row>
    <row r="11784">
      <c r="D11784" s="9"/>
      <c r="G11784" s="9"/>
      <c r="J11784" s="11"/>
      <c r="U11784" s="9"/>
      <c r="X11784" s="9"/>
    </row>
    <row r="11785">
      <c r="D11785" s="9"/>
      <c r="G11785" s="9"/>
      <c r="J11785" s="11"/>
      <c r="U11785" s="9"/>
      <c r="X11785" s="9"/>
    </row>
    <row r="11786">
      <c r="D11786" s="9"/>
      <c r="G11786" s="9"/>
      <c r="J11786" s="11"/>
      <c r="U11786" s="9"/>
      <c r="X11786" s="9"/>
    </row>
    <row r="11787">
      <c r="D11787" s="9"/>
      <c r="G11787" s="9"/>
      <c r="J11787" s="11"/>
      <c r="U11787" s="9"/>
      <c r="X11787" s="9"/>
    </row>
    <row r="11788">
      <c r="D11788" s="9"/>
      <c r="G11788" s="9"/>
      <c r="J11788" s="11"/>
      <c r="U11788" s="9"/>
      <c r="X11788" s="9"/>
    </row>
    <row r="11789">
      <c r="D11789" s="9"/>
      <c r="G11789" s="9"/>
      <c r="J11789" s="11"/>
      <c r="U11789" s="9"/>
      <c r="X11789" s="9"/>
    </row>
    <row r="11790">
      <c r="D11790" s="9"/>
      <c r="G11790" s="9"/>
      <c r="J11790" s="11"/>
      <c r="U11790" s="9"/>
      <c r="X11790" s="9"/>
    </row>
    <row r="11791">
      <c r="D11791" s="9"/>
      <c r="G11791" s="9"/>
      <c r="J11791" s="11"/>
      <c r="U11791" s="9"/>
      <c r="X11791" s="9"/>
    </row>
    <row r="11792">
      <c r="D11792" s="9"/>
      <c r="G11792" s="9"/>
      <c r="J11792" s="11"/>
      <c r="U11792" s="9"/>
      <c r="X11792" s="9"/>
    </row>
    <row r="11793">
      <c r="D11793" s="9"/>
      <c r="G11793" s="9"/>
      <c r="J11793" s="11"/>
      <c r="U11793" s="9"/>
      <c r="X11793" s="9"/>
    </row>
    <row r="11794">
      <c r="D11794" s="9"/>
      <c r="G11794" s="9"/>
      <c r="J11794" s="11"/>
      <c r="U11794" s="9"/>
      <c r="X11794" s="9"/>
    </row>
    <row r="11795">
      <c r="D11795" s="9"/>
      <c r="G11795" s="9"/>
      <c r="J11795" s="11"/>
      <c r="U11795" s="9"/>
      <c r="X11795" s="9"/>
    </row>
    <row r="11796">
      <c r="D11796" s="9"/>
      <c r="G11796" s="9"/>
      <c r="J11796" s="11"/>
      <c r="U11796" s="9"/>
      <c r="X11796" s="9"/>
    </row>
    <row r="11797">
      <c r="D11797" s="9"/>
      <c r="G11797" s="9"/>
      <c r="J11797" s="11"/>
      <c r="U11797" s="9"/>
      <c r="X11797" s="9"/>
    </row>
    <row r="11798">
      <c r="D11798" s="9"/>
      <c r="G11798" s="9"/>
      <c r="J11798" s="11"/>
      <c r="U11798" s="9"/>
      <c r="X11798" s="9"/>
    </row>
    <row r="11799">
      <c r="D11799" s="9"/>
      <c r="G11799" s="9"/>
      <c r="J11799" s="11"/>
      <c r="U11799" s="9"/>
      <c r="X11799" s="9"/>
    </row>
    <row r="11800">
      <c r="D11800" s="9"/>
      <c r="G11800" s="9"/>
      <c r="J11800" s="11"/>
      <c r="U11800" s="9"/>
      <c r="X11800" s="9"/>
    </row>
    <row r="11801">
      <c r="D11801" s="9"/>
      <c r="G11801" s="9"/>
      <c r="J11801" s="11"/>
      <c r="U11801" s="9"/>
      <c r="X11801" s="9"/>
    </row>
    <row r="11802">
      <c r="D11802" s="9"/>
      <c r="G11802" s="9"/>
      <c r="J11802" s="11"/>
      <c r="U11802" s="9"/>
      <c r="X11802" s="9"/>
    </row>
    <row r="11803">
      <c r="D11803" s="9"/>
      <c r="G11803" s="9"/>
      <c r="J11803" s="11"/>
      <c r="U11803" s="9"/>
      <c r="X11803" s="9"/>
    </row>
    <row r="11804">
      <c r="D11804" s="9"/>
      <c r="G11804" s="9"/>
      <c r="J11804" s="11"/>
      <c r="U11804" s="9"/>
      <c r="X11804" s="9"/>
    </row>
    <row r="11805">
      <c r="D11805" s="9"/>
      <c r="G11805" s="9"/>
      <c r="J11805" s="11"/>
      <c r="U11805" s="9"/>
      <c r="X11805" s="9"/>
    </row>
    <row r="11806">
      <c r="D11806" s="9"/>
      <c r="G11806" s="9"/>
      <c r="J11806" s="11"/>
      <c r="U11806" s="9"/>
      <c r="X11806" s="9"/>
    </row>
    <row r="11807">
      <c r="D11807" s="9"/>
      <c r="G11807" s="9"/>
      <c r="J11807" s="11"/>
      <c r="U11807" s="9"/>
      <c r="X11807" s="9"/>
    </row>
    <row r="11808">
      <c r="D11808" s="9"/>
      <c r="G11808" s="9"/>
      <c r="J11808" s="11"/>
      <c r="U11808" s="9"/>
      <c r="X11808" s="9"/>
    </row>
    <row r="11809">
      <c r="D11809" s="9"/>
      <c r="G11809" s="9"/>
      <c r="J11809" s="11"/>
      <c r="U11809" s="9"/>
      <c r="X11809" s="9"/>
    </row>
    <row r="11810">
      <c r="D11810" s="9"/>
      <c r="G11810" s="9"/>
      <c r="J11810" s="11"/>
      <c r="U11810" s="9"/>
      <c r="X11810" s="9"/>
    </row>
    <row r="11811">
      <c r="D11811" s="9"/>
      <c r="G11811" s="9"/>
      <c r="J11811" s="11"/>
      <c r="U11811" s="9"/>
      <c r="X11811" s="9"/>
    </row>
    <row r="11812">
      <c r="D11812" s="9"/>
      <c r="G11812" s="9"/>
      <c r="J11812" s="11"/>
      <c r="U11812" s="9"/>
      <c r="X11812" s="9"/>
    </row>
    <row r="11813">
      <c r="D11813" s="9"/>
      <c r="G11813" s="9"/>
      <c r="J11813" s="11"/>
      <c r="U11813" s="9"/>
      <c r="X11813" s="9"/>
    </row>
    <row r="11814">
      <c r="D11814" s="9"/>
      <c r="G11814" s="9"/>
      <c r="J11814" s="11"/>
      <c r="U11814" s="9"/>
      <c r="X11814" s="9"/>
    </row>
    <row r="11815">
      <c r="D11815" s="9"/>
      <c r="G11815" s="9"/>
      <c r="J11815" s="11"/>
      <c r="U11815" s="9"/>
      <c r="X11815" s="9"/>
    </row>
    <row r="11816">
      <c r="D11816" s="9"/>
      <c r="G11816" s="9"/>
      <c r="J11816" s="11"/>
      <c r="U11816" s="9"/>
      <c r="X11816" s="9"/>
    </row>
    <row r="11817">
      <c r="D11817" s="9"/>
      <c r="G11817" s="9"/>
      <c r="J11817" s="11"/>
      <c r="U11817" s="9"/>
      <c r="X11817" s="9"/>
    </row>
    <row r="11818">
      <c r="D11818" s="9"/>
      <c r="G11818" s="9"/>
      <c r="J11818" s="11"/>
      <c r="U11818" s="9"/>
      <c r="X11818" s="9"/>
    </row>
    <row r="11819">
      <c r="D11819" s="9"/>
      <c r="G11819" s="9"/>
      <c r="J11819" s="11"/>
      <c r="U11819" s="9"/>
      <c r="X11819" s="9"/>
    </row>
    <row r="11820">
      <c r="D11820" s="9"/>
      <c r="G11820" s="9"/>
      <c r="J11820" s="11"/>
      <c r="U11820" s="9"/>
      <c r="X11820" s="9"/>
    </row>
    <row r="11821">
      <c r="D11821" s="9"/>
      <c r="G11821" s="9"/>
      <c r="J11821" s="11"/>
      <c r="U11821" s="9"/>
      <c r="X11821" s="9"/>
    </row>
    <row r="11822">
      <c r="D11822" s="9"/>
      <c r="G11822" s="9"/>
      <c r="J11822" s="11"/>
      <c r="U11822" s="9"/>
      <c r="X11822" s="9"/>
    </row>
    <row r="11823">
      <c r="D11823" s="9"/>
      <c r="G11823" s="9"/>
      <c r="J11823" s="11"/>
      <c r="U11823" s="9"/>
      <c r="X11823" s="9"/>
    </row>
    <row r="11824">
      <c r="D11824" s="9"/>
      <c r="G11824" s="9"/>
      <c r="J11824" s="11"/>
      <c r="U11824" s="9"/>
      <c r="X11824" s="9"/>
    </row>
    <row r="11825">
      <c r="D11825" s="9"/>
      <c r="G11825" s="9"/>
      <c r="J11825" s="11"/>
      <c r="U11825" s="9"/>
      <c r="X11825" s="9"/>
    </row>
    <row r="11826">
      <c r="D11826" s="9"/>
      <c r="G11826" s="9"/>
      <c r="J11826" s="11"/>
      <c r="U11826" s="9"/>
      <c r="X11826" s="9"/>
    </row>
    <row r="11827">
      <c r="D11827" s="9"/>
      <c r="G11827" s="9"/>
      <c r="J11827" s="11"/>
      <c r="U11827" s="9"/>
      <c r="X11827" s="9"/>
    </row>
    <row r="11828">
      <c r="D11828" s="9"/>
      <c r="G11828" s="9"/>
      <c r="J11828" s="11"/>
      <c r="U11828" s="9"/>
      <c r="X11828" s="9"/>
    </row>
    <row r="11829">
      <c r="D11829" s="9"/>
      <c r="G11829" s="9"/>
      <c r="J11829" s="11"/>
      <c r="U11829" s="9"/>
      <c r="X11829" s="9"/>
    </row>
    <row r="11830">
      <c r="D11830" s="9"/>
      <c r="G11830" s="9"/>
      <c r="J11830" s="11"/>
      <c r="U11830" s="9"/>
      <c r="X11830" s="9"/>
    </row>
    <row r="11831">
      <c r="D11831" s="9"/>
      <c r="G11831" s="9"/>
      <c r="J11831" s="11"/>
      <c r="U11831" s="9"/>
      <c r="X11831" s="9"/>
    </row>
    <row r="11832">
      <c r="D11832" s="9"/>
      <c r="G11832" s="9"/>
      <c r="J11832" s="11"/>
      <c r="U11832" s="9"/>
      <c r="X11832" s="9"/>
    </row>
    <row r="11833">
      <c r="D11833" s="9"/>
      <c r="G11833" s="9"/>
      <c r="J11833" s="11"/>
      <c r="U11833" s="9"/>
      <c r="X11833" s="9"/>
    </row>
    <row r="11834">
      <c r="D11834" s="9"/>
      <c r="G11834" s="9"/>
      <c r="J11834" s="11"/>
      <c r="U11834" s="9"/>
      <c r="X11834" s="9"/>
    </row>
    <row r="11835">
      <c r="D11835" s="9"/>
      <c r="G11835" s="9"/>
      <c r="J11835" s="11"/>
      <c r="U11835" s="9"/>
      <c r="X11835" s="9"/>
    </row>
    <row r="11836">
      <c r="D11836" s="9"/>
      <c r="G11836" s="9"/>
      <c r="J11836" s="11"/>
      <c r="U11836" s="9"/>
      <c r="X11836" s="9"/>
    </row>
    <row r="11837">
      <c r="D11837" s="9"/>
      <c r="G11837" s="9"/>
      <c r="J11837" s="11"/>
      <c r="U11837" s="9"/>
      <c r="X11837" s="9"/>
    </row>
    <row r="11838">
      <c r="D11838" s="9"/>
      <c r="G11838" s="9"/>
      <c r="J11838" s="11"/>
      <c r="U11838" s="9"/>
      <c r="X11838" s="9"/>
    </row>
    <row r="11839">
      <c r="D11839" s="9"/>
      <c r="G11839" s="9"/>
      <c r="J11839" s="11"/>
      <c r="U11839" s="9"/>
      <c r="X11839" s="9"/>
    </row>
    <row r="11840">
      <c r="D11840" s="9"/>
      <c r="G11840" s="9"/>
      <c r="J11840" s="11"/>
      <c r="U11840" s="9"/>
      <c r="X11840" s="9"/>
    </row>
    <row r="11841">
      <c r="D11841" s="9"/>
      <c r="G11841" s="9"/>
      <c r="J11841" s="11"/>
      <c r="U11841" s="9"/>
      <c r="X11841" s="9"/>
    </row>
    <row r="11842">
      <c r="D11842" s="9"/>
      <c r="G11842" s="9"/>
      <c r="J11842" s="11"/>
      <c r="U11842" s="9"/>
      <c r="X11842" s="9"/>
    </row>
    <row r="11843">
      <c r="D11843" s="9"/>
      <c r="G11843" s="9"/>
      <c r="J11843" s="11"/>
      <c r="U11843" s="9"/>
      <c r="X11843" s="9"/>
    </row>
    <row r="11844">
      <c r="D11844" s="9"/>
      <c r="G11844" s="9"/>
      <c r="J11844" s="11"/>
      <c r="U11844" s="9"/>
      <c r="X11844" s="9"/>
    </row>
    <row r="11845">
      <c r="D11845" s="9"/>
      <c r="G11845" s="9"/>
      <c r="J11845" s="11"/>
      <c r="U11845" s="9"/>
      <c r="X11845" s="9"/>
    </row>
    <row r="11846">
      <c r="D11846" s="9"/>
      <c r="G11846" s="9"/>
      <c r="J11846" s="11"/>
      <c r="U11846" s="9"/>
      <c r="X11846" s="9"/>
    </row>
    <row r="11847">
      <c r="D11847" s="9"/>
      <c r="G11847" s="9"/>
      <c r="J11847" s="11"/>
      <c r="U11847" s="9"/>
      <c r="X11847" s="9"/>
    </row>
    <row r="11848">
      <c r="D11848" s="9"/>
      <c r="G11848" s="9"/>
      <c r="J11848" s="11"/>
      <c r="U11848" s="9"/>
      <c r="X11848" s="9"/>
    </row>
    <row r="11849">
      <c r="D11849" s="9"/>
      <c r="G11849" s="9"/>
      <c r="J11849" s="11"/>
      <c r="U11849" s="9"/>
      <c r="X11849" s="9"/>
    </row>
    <row r="11850">
      <c r="D11850" s="9"/>
      <c r="G11850" s="9"/>
      <c r="J11850" s="11"/>
      <c r="U11850" s="9"/>
      <c r="X11850" s="9"/>
    </row>
    <row r="11851">
      <c r="D11851" s="9"/>
      <c r="G11851" s="9"/>
      <c r="J11851" s="11"/>
      <c r="U11851" s="9"/>
      <c r="X11851" s="9"/>
    </row>
    <row r="11852">
      <c r="D11852" s="9"/>
      <c r="G11852" s="9"/>
      <c r="J11852" s="11"/>
      <c r="U11852" s="9"/>
      <c r="X11852" s="9"/>
    </row>
    <row r="11853">
      <c r="D11853" s="9"/>
      <c r="G11853" s="9"/>
      <c r="J11853" s="11"/>
      <c r="U11853" s="9"/>
      <c r="X11853" s="9"/>
    </row>
    <row r="11854">
      <c r="D11854" s="9"/>
      <c r="G11854" s="9"/>
      <c r="J11854" s="11"/>
      <c r="U11854" s="9"/>
      <c r="X11854" s="9"/>
    </row>
    <row r="11855">
      <c r="D11855" s="9"/>
      <c r="G11855" s="9"/>
      <c r="J11855" s="11"/>
      <c r="U11855" s="9"/>
      <c r="X11855" s="9"/>
    </row>
    <row r="11856">
      <c r="D11856" s="9"/>
      <c r="G11856" s="9"/>
      <c r="J11856" s="11"/>
      <c r="U11856" s="9"/>
      <c r="X11856" s="9"/>
    </row>
    <row r="11857">
      <c r="D11857" s="9"/>
      <c r="G11857" s="9"/>
      <c r="J11857" s="11"/>
      <c r="U11857" s="9"/>
      <c r="X11857" s="9"/>
    </row>
    <row r="11858">
      <c r="D11858" s="9"/>
      <c r="G11858" s="9"/>
      <c r="J11858" s="11"/>
      <c r="U11858" s="9"/>
      <c r="X11858" s="9"/>
    </row>
    <row r="11859">
      <c r="D11859" s="9"/>
      <c r="G11859" s="9"/>
      <c r="J11859" s="11"/>
      <c r="U11859" s="9"/>
      <c r="X11859" s="9"/>
    </row>
    <row r="11860">
      <c r="D11860" s="9"/>
      <c r="G11860" s="9"/>
      <c r="J11860" s="11"/>
      <c r="U11860" s="9"/>
      <c r="X11860" s="9"/>
    </row>
    <row r="11861">
      <c r="D11861" s="9"/>
      <c r="G11861" s="9"/>
      <c r="J11861" s="11"/>
      <c r="U11861" s="9"/>
      <c r="X11861" s="9"/>
    </row>
    <row r="11862">
      <c r="D11862" s="9"/>
      <c r="G11862" s="9"/>
      <c r="J11862" s="11"/>
      <c r="U11862" s="9"/>
      <c r="X11862" s="9"/>
    </row>
    <row r="11863">
      <c r="D11863" s="9"/>
      <c r="G11863" s="9"/>
      <c r="J11863" s="11"/>
      <c r="U11863" s="9"/>
      <c r="X11863" s="9"/>
    </row>
    <row r="11864">
      <c r="D11864" s="9"/>
      <c r="G11864" s="9"/>
      <c r="J11864" s="11"/>
      <c r="U11864" s="9"/>
      <c r="X11864" s="9"/>
    </row>
    <row r="11865">
      <c r="D11865" s="9"/>
      <c r="G11865" s="9"/>
      <c r="J11865" s="11"/>
      <c r="U11865" s="9"/>
      <c r="X11865" s="9"/>
    </row>
    <row r="11866">
      <c r="D11866" s="9"/>
      <c r="G11866" s="9"/>
      <c r="J11866" s="11"/>
      <c r="U11866" s="9"/>
      <c r="X11866" s="9"/>
    </row>
    <row r="11867">
      <c r="D11867" s="9"/>
      <c r="G11867" s="9"/>
      <c r="J11867" s="11"/>
      <c r="U11867" s="9"/>
      <c r="X11867" s="9"/>
    </row>
    <row r="11868">
      <c r="D11868" s="9"/>
      <c r="G11868" s="9"/>
      <c r="J11868" s="11"/>
      <c r="U11868" s="9"/>
      <c r="X11868" s="9"/>
    </row>
    <row r="11869">
      <c r="D11869" s="9"/>
      <c r="G11869" s="9"/>
      <c r="J11869" s="11"/>
      <c r="U11869" s="9"/>
      <c r="X11869" s="9"/>
    </row>
    <row r="11870">
      <c r="D11870" s="9"/>
      <c r="G11870" s="9"/>
      <c r="J11870" s="11"/>
      <c r="U11870" s="9"/>
      <c r="X11870" s="9"/>
    </row>
    <row r="11871">
      <c r="D11871" s="9"/>
      <c r="G11871" s="9"/>
      <c r="J11871" s="11"/>
      <c r="U11871" s="9"/>
      <c r="X11871" s="9"/>
    </row>
    <row r="11872">
      <c r="D11872" s="9"/>
      <c r="G11872" s="9"/>
      <c r="J11872" s="11"/>
      <c r="U11872" s="9"/>
      <c r="X11872" s="9"/>
    </row>
    <row r="11873">
      <c r="D11873" s="9"/>
      <c r="G11873" s="9"/>
      <c r="J11873" s="11"/>
      <c r="U11873" s="9"/>
      <c r="X11873" s="9"/>
    </row>
    <row r="11874">
      <c r="D11874" s="9"/>
      <c r="G11874" s="9"/>
      <c r="J11874" s="11"/>
      <c r="U11874" s="9"/>
      <c r="X11874" s="9"/>
    </row>
    <row r="11875">
      <c r="D11875" s="9"/>
      <c r="G11875" s="9"/>
      <c r="J11875" s="11"/>
      <c r="U11875" s="9"/>
      <c r="X11875" s="9"/>
    </row>
    <row r="11876">
      <c r="D11876" s="9"/>
      <c r="G11876" s="9"/>
      <c r="J11876" s="11"/>
      <c r="U11876" s="9"/>
      <c r="X11876" s="9"/>
    </row>
    <row r="11877">
      <c r="D11877" s="9"/>
      <c r="G11877" s="9"/>
      <c r="J11877" s="11"/>
      <c r="U11877" s="9"/>
      <c r="X11877" s="9"/>
    </row>
    <row r="11878">
      <c r="D11878" s="9"/>
      <c r="G11878" s="9"/>
      <c r="J11878" s="11"/>
      <c r="U11878" s="9"/>
      <c r="X11878" s="9"/>
    </row>
    <row r="11879">
      <c r="D11879" s="9"/>
      <c r="G11879" s="9"/>
      <c r="J11879" s="11"/>
      <c r="U11879" s="9"/>
      <c r="X11879" s="9"/>
    </row>
    <row r="11880">
      <c r="D11880" s="9"/>
      <c r="G11880" s="9"/>
      <c r="J11880" s="11"/>
      <c r="U11880" s="9"/>
      <c r="X11880" s="9"/>
    </row>
    <row r="11881">
      <c r="D11881" s="9"/>
      <c r="G11881" s="9"/>
      <c r="J11881" s="11"/>
      <c r="U11881" s="9"/>
      <c r="X11881" s="9"/>
    </row>
    <row r="11882">
      <c r="D11882" s="9"/>
      <c r="G11882" s="9"/>
      <c r="J11882" s="11"/>
      <c r="U11882" s="9"/>
      <c r="X11882" s="9"/>
    </row>
    <row r="11883">
      <c r="D11883" s="9"/>
      <c r="G11883" s="9"/>
      <c r="J11883" s="11"/>
      <c r="U11883" s="9"/>
      <c r="X11883" s="9"/>
    </row>
    <row r="11884">
      <c r="D11884" s="9"/>
      <c r="G11884" s="9"/>
      <c r="J11884" s="11"/>
      <c r="U11884" s="9"/>
      <c r="X11884" s="9"/>
    </row>
    <row r="11885">
      <c r="D11885" s="9"/>
      <c r="G11885" s="9"/>
      <c r="J11885" s="11"/>
      <c r="U11885" s="9"/>
      <c r="X11885" s="9"/>
    </row>
    <row r="11886">
      <c r="D11886" s="9"/>
      <c r="G11886" s="9"/>
      <c r="J11886" s="11"/>
      <c r="U11886" s="9"/>
      <c r="X11886" s="9"/>
    </row>
    <row r="11887">
      <c r="D11887" s="9"/>
      <c r="G11887" s="9"/>
      <c r="J11887" s="11"/>
      <c r="U11887" s="9"/>
      <c r="X11887" s="9"/>
    </row>
    <row r="11888">
      <c r="D11888" s="9"/>
      <c r="G11888" s="9"/>
      <c r="J11888" s="11"/>
      <c r="U11888" s="9"/>
      <c r="X11888" s="9"/>
    </row>
    <row r="11889">
      <c r="D11889" s="9"/>
      <c r="G11889" s="9"/>
      <c r="J11889" s="11"/>
      <c r="U11889" s="9"/>
      <c r="X11889" s="9"/>
    </row>
    <row r="11890">
      <c r="D11890" s="9"/>
      <c r="G11890" s="9"/>
      <c r="J11890" s="11"/>
      <c r="U11890" s="9"/>
      <c r="X11890" s="9"/>
    </row>
    <row r="11891">
      <c r="D11891" s="9"/>
      <c r="G11891" s="9"/>
      <c r="J11891" s="11"/>
      <c r="U11891" s="9"/>
      <c r="X11891" s="9"/>
    </row>
    <row r="11892">
      <c r="D11892" s="9"/>
      <c r="G11892" s="9"/>
      <c r="J11892" s="11"/>
      <c r="U11892" s="9"/>
      <c r="X11892" s="9"/>
    </row>
    <row r="11893">
      <c r="D11893" s="9"/>
      <c r="G11893" s="9"/>
      <c r="J11893" s="11"/>
      <c r="U11893" s="9"/>
      <c r="X11893" s="9"/>
    </row>
    <row r="11894">
      <c r="D11894" s="9"/>
      <c r="G11894" s="9"/>
      <c r="J11894" s="11"/>
      <c r="U11894" s="9"/>
      <c r="X11894" s="9"/>
    </row>
    <row r="11895">
      <c r="D11895" s="9"/>
      <c r="G11895" s="9"/>
      <c r="J11895" s="11"/>
      <c r="U11895" s="9"/>
      <c r="X11895" s="9"/>
    </row>
    <row r="11896">
      <c r="D11896" s="9"/>
      <c r="G11896" s="9"/>
      <c r="J11896" s="11"/>
      <c r="U11896" s="9"/>
      <c r="X11896" s="9"/>
    </row>
    <row r="11897">
      <c r="D11897" s="9"/>
      <c r="G11897" s="9"/>
      <c r="J11897" s="11"/>
      <c r="U11897" s="9"/>
      <c r="X11897" s="9"/>
    </row>
    <row r="11898">
      <c r="D11898" s="9"/>
      <c r="G11898" s="9"/>
      <c r="J11898" s="11"/>
      <c r="U11898" s="9"/>
      <c r="X11898" s="9"/>
    </row>
    <row r="11899">
      <c r="D11899" s="9"/>
      <c r="G11899" s="9"/>
      <c r="J11899" s="11"/>
      <c r="U11899" s="9"/>
      <c r="X11899" s="9"/>
    </row>
    <row r="11900">
      <c r="D11900" s="9"/>
      <c r="G11900" s="9"/>
      <c r="J11900" s="11"/>
      <c r="U11900" s="9"/>
      <c r="X11900" s="9"/>
    </row>
    <row r="11901">
      <c r="D11901" s="9"/>
      <c r="G11901" s="9"/>
      <c r="J11901" s="11"/>
      <c r="U11901" s="9"/>
      <c r="X11901" s="9"/>
    </row>
    <row r="11902">
      <c r="D11902" s="9"/>
      <c r="G11902" s="9"/>
      <c r="J11902" s="11"/>
      <c r="U11902" s="9"/>
      <c r="X11902" s="9"/>
    </row>
    <row r="11903">
      <c r="D11903" s="9"/>
      <c r="G11903" s="9"/>
      <c r="J11903" s="11"/>
      <c r="U11903" s="9"/>
      <c r="X11903" s="9"/>
    </row>
    <row r="11904">
      <c r="D11904" s="9"/>
      <c r="G11904" s="9"/>
      <c r="J11904" s="11"/>
      <c r="U11904" s="9"/>
      <c r="X11904" s="9"/>
    </row>
    <row r="11905">
      <c r="D11905" s="9"/>
      <c r="G11905" s="9"/>
      <c r="J11905" s="11"/>
      <c r="U11905" s="9"/>
      <c r="X11905" s="9"/>
    </row>
    <row r="11906">
      <c r="D11906" s="9"/>
      <c r="G11906" s="9"/>
      <c r="J11906" s="11"/>
      <c r="U11906" s="9"/>
      <c r="X11906" s="9"/>
    </row>
    <row r="11907">
      <c r="D11907" s="9"/>
      <c r="G11907" s="9"/>
      <c r="J11907" s="11"/>
      <c r="U11907" s="9"/>
      <c r="X11907" s="9"/>
    </row>
    <row r="11908">
      <c r="D11908" s="9"/>
      <c r="G11908" s="9"/>
      <c r="J11908" s="11"/>
      <c r="U11908" s="9"/>
      <c r="X11908" s="9"/>
    </row>
    <row r="11909">
      <c r="D11909" s="9"/>
      <c r="G11909" s="9"/>
      <c r="J11909" s="11"/>
      <c r="U11909" s="9"/>
      <c r="X11909" s="9"/>
    </row>
    <row r="11910">
      <c r="D11910" s="9"/>
      <c r="G11910" s="9"/>
      <c r="J11910" s="11"/>
      <c r="U11910" s="9"/>
      <c r="X11910" s="9"/>
    </row>
    <row r="11911">
      <c r="D11911" s="9"/>
      <c r="G11911" s="9"/>
      <c r="J11911" s="11"/>
      <c r="U11911" s="9"/>
      <c r="X11911" s="9"/>
    </row>
    <row r="11912">
      <c r="D11912" s="9"/>
      <c r="G11912" s="9"/>
      <c r="J11912" s="11"/>
      <c r="U11912" s="9"/>
      <c r="X11912" s="9"/>
    </row>
    <row r="11913">
      <c r="D11913" s="9"/>
      <c r="G11913" s="9"/>
      <c r="J11913" s="11"/>
      <c r="U11913" s="9"/>
      <c r="X11913" s="9"/>
    </row>
    <row r="11914">
      <c r="D11914" s="9"/>
      <c r="G11914" s="9"/>
      <c r="J11914" s="11"/>
      <c r="U11914" s="9"/>
      <c r="X11914" s="9"/>
    </row>
    <row r="11915">
      <c r="D11915" s="9"/>
      <c r="G11915" s="9"/>
      <c r="J11915" s="11"/>
      <c r="U11915" s="9"/>
      <c r="X11915" s="9"/>
    </row>
    <row r="11916">
      <c r="D11916" s="9"/>
      <c r="G11916" s="9"/>
      <c r="J11916" s="11"/>
      <c r="U11916" s="9"/>
      <c r="X11916" s="9"/>
    </row>
    <row r="11917">
      <c r="D11917" s="9"/>
      <c r="G11917" s="9"/>
      <c r="J11917" s="11"/>
      <c r="U11917" s="9"/>
      <c r="X11917" s="9"/>
    </row>
    <row r="11918">
      <c r="D11918" s="9"/>
      <c r="G11918" s="9"/>
      <c r="J11918" s="11"/>
      <c r="U11918" s="9"/>
      <c r="X11918" s="9"/>
    </row>
    <row r="11919">
      <c r="D11919" s="9"/>
      <c r="G11919" s="9"/>
      <c r="J11919" s="11"/>
      <c r="U11919" s="9"/>
      <c r="X11919" s="9"/>
    </row>
    <row r="11920">
      <c r="D11920" s="9"/>
      <c r="G11920" s="9"/>
      <c r="J11920" s="11"/>
      <c r="U11920" s="9"/>
      <c r="X11920" s="9"/>
    </row>
    <row r="11921">
      <c r="D11921" s="9"/>
      <c r="G11921" s="9"/>
      <c r="J11921" s="11"/>
      <c r="U11921" s="9"/>
      <c r="X11921" s="9"/>
    </row>
    <row r="11922">
      <c r="D11922" s="9"/>
      <c r="G11922" s="9"/>
      <c r="J11922" s="11"/>
      <c r="U11922" s="9"/>
      <c r="X11922" s="9"/>
    </row>
    <row r="11923">
      <c r="D11923" s="9"/>
      <c r="G11923" s="9"/>
      <c r="J11923" s="11"/>
      <c r="U11923" s="9"/>
      <c r="X11923" s="9"/>
    </row>
    <row r="11924">
      <c r="D11924" s="9"/>
      <c r="G11924" s="9"/>
      <c r="J11924" s="11"/>
      <c r="U11924" s="9"/>
      <c r="X11924" s="9"/>
    </row>
    <row r="11925">
      <c r="D11925" s="9"/>
      <c r="G11925" s="9"/>
      <c r="J11925" s="11"/>
      <c r="U11925" s="9"/>
      <c r="X11925" s="9"/>
    </row>
    <row r="11926">
      <c r="D11926" s="9"/>
      <c r="G11926" s="9"/>
      <c r="J11926" s="11"/>
      <c r="U11926" s="9"/>
      <c r="X11926" s="9"/>
    </row>
    <row r="11927">
      <c r="D11927" s="9"/>
      <c r="G11927" s="9"/>
      <c r="J11927" s="11"/>
      <c r="U11927" s="9"/>
      <c r="X11927" s="9"/>
    </row>
    <row r="11928">
      <c r="D11928" s="9"/>
      <c r="G11928" s="9"/>
      <c r="J11928" s="11"/>
      <c r="U11928" s="9"/>
      <c r="X11928" s="9"/>
    </row>
    <row r="11929">
      <c r="D11929" s="9"/>
      <c r="G11929" s="9"/>
      <c r="J11929" s="11"/>
      <c r="U11929" s="9"/>
      <c r="X11929" s="9"/>
    </row>
    <row r="11930">
      <c r="D11930" s="9"/>
      <c r="G11930" s="9"/>
      <c r="J11930" s="11"/>
      <c r="U11930" s="9"/>
      <c r="X11930" s="9"/>
    </row>
    <row r="11931">
      <c r="D11931" s="9"/>
      <c r="G11931" s="9"/>
      <c r="J11931" s="11"/>
      <c r="U11931" s="9"/>
      <c r="X11931" s="9"/>
    </row>
    <row r="11932">
      <c r="D11932" s="9"/>
      <c r="G11932" s="9"/>
      <c r="J11932" s="11"/>
      <c r="U11932" s="9"/>
      <c r="X11932" s="9"/>
    </row>
    <row r="11933">
      <c r="D11933" s="9"/>
      <c r="G11933" s="9"/>
      <c r="J11933" s="11"/>
      <c r="U11933" s="9"/>
      <c r="X11933" s="9"/>
    </row>
    <row r="11934">
      <c r="D11934" s="9"/>
      <c r="G11934" s="9"/>
      <c r="J11934" s="11"/>
      <c r="U11934" s="9"/>
      <c r="X11934" s="9"/>
    </row>
    <row r="11935">
      <c r="D11935" s="9"/>
      <c r="G11935" s="9"/>
      <c r="J11935" s="11"/>
      <c r="U11935" s="9"/>
      <c r="X11935" s="9"/>
    </row>
    <row r="11936">
      <c r="D11936" s="9"/>
      <c r="G11936" s="9"/>
      <c r="J11936" s="11"/>
      <c r="U11936" s="9"/>
      <c r="X11936" s="9"/>
    </row>
    <row r="11937">
      <c r="D11937" s="9"/>
      <c r="G11937" s="9"/>
      <c r="J11937" s="11"/>
      <c r="U11937" s="9"/>
      <c r="X11937" s="9"/>
    </row>
    <row r="11938">
      <c r="D11938" s="9"/>
      <c r="G11938" s="9"/>
      <c r="J11938" s="11"/>
      <c r="U11938" s="9"/>
      <c r="X11938" s="9"/>
    </row>
    <row r="11939">
      <c r="D11939" s="9"/>
      <c r="G11939" s="9"/>
      <c r="J11939" s="11"/>
      <c r="U11939" s="9"/>
      <c r="X11939" s="9"/>
    </row>
    <row r="11940">
      <c r="D11940" s="9"/>
      <c r="G11940" s="9"/>
      <c r="J11940" s="11"/>
      <c r="U11940" s="9"/>
      <c r="X11940" s="9"/>
    </row>
    <row r="11941">
      <c r="D11941" s="9"/>
      <c r="G11941" s="9"/>
      <c r="J11941" s="11"/>
      <c r="U11941" s="9"/>
      <c r="X11941" s="9"/>
    </row>
    <row r="11942">
      <c r="D11942" s="9"/>
      <c r="G11942" s="9"/>
      <c r="J11942" s="11"/>
      <c r="U11942" s="9"/>
      <c r="X11942" s="9"/>
    </row>
    <row r="11943">
      <c r="D11943" s="9"/>
      <c r="G11943" s="9"/>
      <c r="J11943" s="11"/>
      <c r="U11943" s="9"/>
      <c r="X11943" s="9"/>
    </row>
    <row r="11944">
      <c r="D11944" s="9"/>
      <c r="G11944" s="9"/>
      <c r="J11944" s="11"/>
      <c r="U11944" s="9"/>
      <c r="X11944" s="9"/>
    </row>
    <row r="11945">
      <c r="D11945" s="9"/>
      <c r="G11945" s="9"/>
      <c r="J11945" s="11"/>
      <c r="U11945" s="9"/>
      <c r="X11945" s="9"/>
    </row>
    <row r="11946">
      <c r="D11946" s="9"/>
      <c r="G11946" s="9"/>
      <c r="J11946" s="11"/>
      <c r="U11946" s="9"/>
      <c r="X11946" s="9"/>
    </row>
    <row r="11947">
      <c r="D11947" s="9"/>
      <c r="G11947" s="9"/>
      <c r="J11947" s="11"/>
      <c r="U11947" s="9"/>
      <c r="X11947" s="9"/>
    </row>
    <row r="11948">
      <c r="D11948" s="9"/>
      <c r="G11948" s="9"/>
      <c r="J11948" s="11"/>
      <c r="U11948" s="9"/>
      <c r="X11948" s="9"/>
    </row>
    <row r="11949">
      <c r="D11949" s="9"/>
      <c r="G11949" s="9"/>
      <c r="J11949" s="11"/>
      <c r="U11949" s="9"/>
      <c r="X11949" s="9"/>
    </row>
    <row r="11950">
      <c r="D11950" s="9"/>
      <c r="G11950" s="9"/>
      <c r="J11950" s="11"/>
      <c r="U11950" s="9"/>
      <c r="X11950" s="9"/>
    </row>
    <row r="11951">
      <c r="D11951" s="9"/>
      <c r="G11951" s="9"/>
      <c r="J11951" s="11"/>
      <c r="U11951" s="9"/>
      <c r="X11951" s="9"/>
    </row>
    <row r="11952">
      <c r="D11952" s="9"/>
      <c r="G11952" s="9"/>
      <c r="J11952" s="11"/>
      <c r="U11952" s="9"/>
      <c r="X11952" s="9"/>
    </row>
    <row r="11953">
      <c r="D11953" s="9"/>
      <c r="G11953" s="9"/>
      <c r="J11953" s="11"/>
      <c r="U11953" s="9"/>
      <c r="X11953" s="9"/>
    </row>
    <row r="11954">
      <c r="D11954" s="9"/>
      <c r="G11954" s="9"/>
      <c r="J11954" s="11"/>
      <c r="U11954" s="9"/>
      <c r="X11954" s="9"/>
    </row>
    <row r="11955">
      <c r="D11955" s="9"/>
      <c r="G11955" s="9"/>
      <c r="J11955" s="11"/>
      <c r="U11955" s="9"/>
      <c r="X11955" s="9"/>
    </row>
    <row r="11956">
      <c r="D11956" s="9"/>
      <c r="G11956" s="9"/>
      <c r="J11956" s="11"/>
      <c r="U11956" s="9"/>
      <c r="X11956" s="9"/>
    </row>
    <row r="11957">
      <c r="D11957" s="9"/>
      <c r="G11957" s="9"/>
      <c r="J11957" s="11"/>
      <c r="U11957" s="9"/>
      <c r="X11957" s="9"/>
    </row>
    <row r="11958">
      <c r="D11958" s="9"/>
      <c r="G11958" s="9"/>
      <c r="J11958" s="11"/>
      <c r="U11958" s="9"/>
      <c r="X11958" s="9"/>
    </row>
    <row r="11959">
      <c r="D11959" s="9"/>
      <c r="G11959" s="9"/>
      <c r="J11959" s="11"/>
      <c r="U11959" s="9"/>
      <c r="X11959" s="9"/>
    </row>
    <row r="11960">
      <c r="D11960" s="9"/>
      <c r="G11960" s="9"/>
      <c r="J11960" s="11"/>
      <c r="U11960" s="9"/>
      <c r="X11960" s="9"/>
    </row>
    <row r="11961">
      <c r="D11961" s="9"/>
      <c r="G11961" s="9"/>
      <c r="J11961" s="11"/>
      <c r="U11961" s="9"/>
      <c r="X11961" s="9"/>
    </row>
    <row r="11962">
      <c r="D11962" s="9"/>
      <c r="G11962" s="9"/>
      <c r="J11962" s="11"/>
      <c r="U11962" s="9"/>
      <c r="X11962" s="9"/>
    </row>
    <row r="11963">
      <c r="D11963" s="9"/>
      <c r="G11963" s="9"/>
      <c r="J11963" s="11"/>
      <c r="U11963" s="9"/>
      <c r="X11963" s="9"/>
    </row>
    <row r="11964">
      <c r="D11964" s="9"/>
      <c r="G11964" s="9"/>
      <c r="J11964" s="11"/>
      <c r="U11964" s="9"/>
      <c r="X11964" s="9"/>
    </row>
    <row r="11965">
      <c r="D11965" s="9"/>
      <c r="G11965" s="9"/>
      <c r="J11965" s="11"/>
      <c r="U11965" s="9"/>
      <c r="X11965" s="9"/>
    </row>
    <row r="11966">
      <c r="D11966" s="9"/>
      <c r="G11966" s="9"/>
      <c r="J11966" s="11"/>
      <c r="U11966" s="9"/>
      <c r="X11966" s="9"/>
    </row>
    <row r="11967">
      <c r="D11967" s="9"/>
      <c r="G11967" s="9"/>
      <c r="J11967" s="11"/>
      <c r="U11967" s="9"/>
      <c r="X11967" s="9"/>
    </row>
    <row r="11968">
      <c r="D11968" s="9"/>
      <c r="G11968" s="9"/>
      <c r="J11968" s="11"/>
      <c r="U11968" s="9"/>
      <c r="X11968" s="9"/>
    </row>
    <row r="11969">
      <c r="D11969" s="9"/>
      <c r="G11969" s="9"/>
      <c r="J11969" s="11"/>
      <c r="U11969" s="9"/>
      <c r="X11969" s="9"/>
    </row>
    <row r="11970">
      <c r="D11970" s="9"/>
      <c r="G11970" s="9"/>
      <c r="J11970" s="11"/>
      <c r="U11970" s="9"/>
      <c r="X11970" s="9"/>
    </row>
    <row r="11971">
      <c r="D11971" s="9"/>
      <c r="G11971" s="9"/>
      <c r="J11971" s="11"/>
      <c r="U11971" s="9"/>
      <c r="X11971" s="9"/>
    </row>
    <row r="11972">
      <c r="D11972" s="9"/>
      <c r="G11972" s="9"/>
      <c r="J11972" s="11"/>
      <c r="U11972" s="9"/>
      <c r="X11972" s="9"/>
    </row>
    <row r="11973">
      <c r="D11973" s="9"/>
      <c r="G11973" s="9"/>
      <c r="J11973" s="11"/>
      <c r="U11973" s="9"/>
      <c r="X11973" s="9"/>
    </row>
    <row r="11974">
      <c r="D11974" s="9"/>
      <c r="G11974" s="9"/>
      <c r="J11974" s="11"/>
      <c r="U11974" s="9"/>
      <c r="X11974" s="9"/>
    </row>
    <row r="11975">
      <c r="D11975" s="9"/>
      <c r="G11975" s="9"/>
      <c r="J11975" s="11"/>
      <c r="U11975" s="9"/>
      <c r="X11975" s="9"/>
    </row>
    <row r="11976">
      <c r="D11976" s="9"/>
      <c r="G11976" s="9"/>
      <c r="J11976" s="11"/>
      <c r="U11976" s="9"/>
      <c r="X11976" s="9"/>
    </row>
    <row r="11977">
      <c r="D11977" s="9"/>
      <c r="G11977" s="9"/>
      <c r="J11977" s="11"/>
      <c r="U11977" s="9"/>
      <c r="X11977" s="9"/>
    </row>
    <row r="11978">
      <c r="D11978" s="9"/>
      <c r="G11978" s="9"/>
      <c r="J11978" s="11"/>
      <c r="U11978" s="9"/>
      <c r="X11978" s="9"/>
    </row>
    <row r="11979">
      <c r="D11979" s="9"/>
      <c r="G11979" s="9"/>
      <c r="J11979" s="11"/>
      <c r="U11979" s="9"/>
      <c r="X11979" s="9"/>
    </row>
    <row r="11980">
      <c r="D11980" s="9"/>
      <c r="G11980" s="9"/>
      <c r="J11980" s="11"/>
      <c r="U11980" s="9"/>
      <c r="X11980" s="9"/>
    </row>
    <row r="11981">
      <c r="D11981" s="9"/>
      <c r="G11981" s="9"/>
      <c r="J11981" s="11"/>
      <c r="U11981" s="9"/>
      <c r="X11981" s="9"/>
    </row>
    <row r="11982">
      <c r="D11982" s="9"/>
      <c r="G11982" s="9"/>
      <c r="J11982" s="11"/>
      <c r="U11982" s="9"/>
      <c r="X11982" s="9"/>
    </row>
    <row r="11983">
      <c r="D11983" s="9"/>
      <c r="G11983" s="9"/>
      <c r="J11983" s="11"/>
      <c r="U11983" s="9"/>
      <c r="X11983" s="9"/>
    </row>
    <row r="11984">
      <c r="D11984" s="9"/>
      <c r="G11984" s="9"/>
      <c r="J11984" s="11"/>
      <c r="U11984" s="9"/>
      <c r="X11984" s="9"/>
    </row>
    <row r="11985">
      <c r="D11985" s="9"/>
      <c r="G11985" s="9"/>
      <c r="J11985" s="11"/>
      <c r="U11985" s="9"/>
      <c r="X11985" s="9"/>
    </row>
    <row r="11986">
      <c r="D11986" s="9"/>
      <c r="G11986" s="9"/>
      <c r="J11986" s="11"/>
      <c r="U11986" s="9"/>
      <c r="X11986" s="9"/>
    </row>
    <row r="11987">
      <c r="D11987" s="9"/>
      <c r="G11987" s="9"/>
      <c r="J11987" s="11"/>
      <c r="U11987" s="9"/>
      <c r="X11987" s="9"/>
    </row>
    <row r="11988">
      <c r="D11988" s="9"/>
      <c r="G11988" s="9"/>
      <c r="J11988" s="11"/>
      <c r="U11988" s="9"/>
      <c r="X11988" s="9"/>
    </row>
    <row r="11989">
      <c r="D11989" s="9"/>
      <c r="G11989" s="9"/>
      <c r="J11989" s="11"/>
      <c r="U11989" s="9"/>
      <c r="X11989" s="9"/>
    </row>
    <row r="11990">
      <c r="D11990" s="9"/>
      <c r="G11990" s="9"/>
      <c r="J11990" s="11"/>
      <c r="U11990" s="9"/>
      <c r="X11990" s="9"/>
    </row>
    <row r="11991">
      <c r="D11991" s="9"/>
      <c r="G11991" s="9"/>
      <c r="J11991" s="11"/>
      <c r="U11991" s="9"/>
      <c r="X11991" s="9"/>
    </row>
    <row r="11992">
      <c r="D11992" s="9"/>
      <c r="G11992" s="9"/>
      <c r="J11992" s="11"/>
      <c r="U11992" s="9"/>
      <c r="X11992" s="9"/>
    </row>
    <row r="11993">
      <c r="D11993" s="9"/>
      <c r="G11993" s="9"/>
      <c r="J11993" s="11"/>
      <c r="U11993" s="9"/>
      <c r="X11993" s="9"/>
    </row>
    <row r="11994">
      <c r="D11994" s="9"/>
      <c r="G11994" s="9"/>
      <c r="J11994" s="11"/>
      <c r="U11994" s="9"/>
      <c r="X11994" s="9"/>
    </row>
    <row r="11995">
      <c r="D11995" s="9"/>
      <c r="G11995" s="9"/>
      <c r="J11995" s="11"/>
      <c r="U11995" s="9"/>
      <c r="X11995" s="9"/>
    </row>
    <row r="11996">
      <c r="D11996" s="9"/>
      <c r="G11996" s="9"/>
      <c r="J11996" s="11"/>
      <c r="U11996" s="9"/>
      <c r="X11996" s="9"/>
    </row>
    <row r="11997">
      <c r="D11997" s="9"/>
      <c r="G11997" s="9"/>
      <c r="J11997" s="11"/>
      <c r="U11997" s="9"/>
      <c r="X11997" s="9"/>
    </row>
    <row r="11998">
      <c r="D11998" s="9"/>
      <c r="G11998" s="9"/>
      <c r="J11998" s="11"/>
      <c r="U11998" s="9"/>
      <c r="X11998" s="9"/>
    </row>
    <row r="11999">
      <c r="D11999" s="9"/>
      <c r="G11999" s="9"/>
      <c r="J11999" s="11"/>
      <c r="U11999" s="9"/>
      <c r="X11999" s="9"/>
    </row>
    <row r="12000">
      <c r="D12000" s="9"/>
      <c r="G12000" s="9"/>
      <c r="J12000" s="11"/>
      <c r="U12000" s="9"/>
      <c r="X12000" s="9"/>
    </row>
    <row r="12001">
      <c r="D12001" s="9"/>
      <c r="G12001" s="9"/>
      <c r="J12001" s="11"/>
      <c r="U12001" s="9"/>
      <c r="X12001" s="9"/>
    </row>
    <row r="12002">
      <c r="D12002" s="9"/>
      <c r="G12002" s="9"/>
      <c r="J12002" s="11"/>
      <c r="U12002" s="9"/>
      <c r="X12002" s="9"/>
    </row>
    <row r="12003">
      <c r="D12003" s="9"/>
      <c r="G12003" s="9"/>
      <c r="J12003" s="11"/>
      <c r="U12003" s="9"/>
      <c r="X12003" s="9"/>
    </row>
    <row r="12004">
      <c r="D12004" s="9"/>
      <c r="G12004" s="9"/>
      <c r="J12004" s="11"/>
      <c r="U12004" s="9"/>
      <c r="X12004" s="9"/>
    </row>
    <row r="12005">
      <c r="D12005" s="9"/>
      <c r="G12005" s="9"/>
      <c r="J12005" s="11"/>
      <c r="U12005" s="9"/>
      <c r="X12005" s="9"/>
    </row>
    <row r="12006">
      <c r="D12006" s="9"/>
      <c r="G12006" s="9"/>
      <c r="J12006" s="11"/>
      <c r="U12006" s="9"/>
      <c r="X12006" s="9"/>
    </row>
    <row r="12007">
      <c r="D12007" s="9"/>
      <c r="G12007" s="9"/>
      <c r="J12007" s="11"/>
      <c r="U12007" s="9"/>
      <c r="X12007" s="9"/>
    </row>
    <row r="12008">
      <c r="D12008" s="9"/>
      <c r="G12008" s="9"/>
      <c r="J12008" s="11"/>
      <c r="U12008" s="9"/>
      <c r="X12008" s="9"/>
    </row>
    <row r="12009">
      <c r="D12009" s="9"/>
      <c r="G12009" s="9"/>
      <c r="J12009" s="11"/>
      <c r="U12009" s="9"/>
      <c r="X12009" s="9"/>
    </row>
    <row r="12010">
      <c r="D12010" s="9"/>
      <c r="G12010" s="9"/>
      <c r="J12010" s="11"/>
      <c r="U12010" s="9"/>
      <c r="X12010" s="9"/>
    </row>
    <row r="12011">
      <c r="D12011" s="9"/>
      <c r="G12011" s="9"/>
      <c r="J12011" s="11"/>
      <c r="U12011" s="9"/>
      <c r="X12011" s="9"/>
    </row>
    <row r="12012">
      <c r="D12012" s="9"/>
      <c r="G12012" s="9"/>
      <c r="J12012" s="11"/>
      <c r="U12012" s="9"/>
      <c r="X12012" s="9"/>
    </row>
    <row r="12013">
      <c r="D12013" s="9"/>
      <c r="G12013" s="9"/>
      <c r="J12013" s="11"/>
      <c r="U12013" s="9"/>
      <c r="X12013" s="9"/>
    </row>
    <row r="12014">
      <c r="D12014" s="9"/>
      <c r="G12014" s="9"/>
      <c r="J12014" s="11"/>
      <c r="U12014" s="9"/>
      <c r="X12014" s="9"/>
    </row>
    <row r="12015">
      <c r="D12015" s="9"/>
      <c r="G12015" s="9"/>
      <c r="J12015" s="11"/>
      <c r="U12015" s="9"/>
      <c r="X12015" s="9"/>
    </row>
    <row r="12016">
      <c r="D12016" s="9"/>
      <c r="G12016" s="9"/>
      <c r="J12016" s="11"/>
      <c r="U12016" s="9"/>
      <c r="X12016" s="9"/>
    </row>
    <row r="12017">
      <c r="D12017" s="9"/>
      <c r="G12017" s="9"/>
      <c r="J12017" s="11"/>
      <c r="U12017" s="9"/>
      <c r="X12017" s="9"/>
    </row>
    <row r="12018">
      <c r="D12018" s="9"/>
      <c r="G12018" s="9"/>
      <c r="J12018" s="11"/>
      <c r="U12018" s="9"/>
      <c r="X12018" s="9"/>
    </row>
    <row r="12019">
      <c r="D12019" s="9"/>
      <c r="G12019" s="9"/>
      <c r="J12019" s="11"/>
      <c r="U12019" s="9"/>
      <c r="X12019" s="9"/>
    </row>
    <row r="12020">
      <c r="D12020" s="9"/>
      <c r="G12020" s="9"/>
      <c r="J12020" s="11"/>
      <c r="U12020" s="9"/>
      <c r="X12020" s="9"/>
    </row>
    <row r="12021">
      <c r="D12021" s="9"/>
      <c r="G12021" s="9"/>
      <c r="J12021" s="11"/>
      <c r="U12021" s="9"/>
      <c r="X12021" s="9"/>
    </row>
    <row r="12022">
      <c r="D12022" s="9"/>
      <c r="G12022" s="9"/>
      <c r="J12022" s="11"/>
      <c r="U12022" s="9"/>
      <c r="X12022" s="9"/>
    </row>
    <row r="12023">
      <c r="D12023" s="9"/>
      <c r="G12023" s="9"/>
      <c r="J12023" s="11"/>
      <c r="U12023" s="9"/>
      <c r="X12023" s="9"/>
    </row>
    <row r="12024">
      <c r="D12024" s="9"/>
      <c r="G12024" s="9"/>
      <c r="J12024" s="11"/>
      <c r="U12024" s="9"/>
      <c r="X12024" s="9"/>
    </row>
    <row r="12025">
      <c r="D12025" s="9"/>
      <c r="G12025" s="9"/>
      <c r="J12025" s="11"/>
      <c r="U12025" s="9"/>
      <c r="X12025" s="9"/>
    </row>
    <row r="12026">
      <c r="D12026" s="9"/>
      <c r="G12026" s="9"/>
      <c r="J12026" s="11"/>
      <c r="U12026" s="9"/>
      <c r="X12026" s="9"/>
    </row>
    <row r="12027">
      <c r="D12027" s="9"/>
      <c r="G12027" s="9"/>
      <c r="J12027" s="11"/>
      <c r="U12027" s="9"/>
      <c r="X12027" s="9"/>
    </row>
    <row r="12028">
      <c r="D12028" s="9"/>
      <c r="G12028" s="9"/>
      <c r="J12028" s="11"/>
      <c r="U12028" s="9"/>
      <c r="X12028" s="9"/>
    </row>
    <row r="12029">
      <c r="D12029" s="9"/>
      <c r="G12029" s="9"/>
      <c r="J12029" s="11"/>
      <c r="U12029" s="9"/>
      <c r="X12029" s="9"/>
    </row>
    <row r="12030">
      <c r="D12030" s="9"/>
      <c r="G12030" s="9"/>
      <c r="J12030" s="11"/>
      <c r="U12030" s="9"/>
      <c r="X12030" s="9"/>
    </row>
    <row r="12031">
      <c r="D12031" s="9"/>
      <c r="G12031" s="9"/>
      <c r="J12031" s="11"/>
      <c r="U12031" s="9"/>
      <c r="X12031" s="9"/>
    </row>
    <row r="12032">
      <c r="D12032" s="9"/>
      <c r="G12032" s="9"/>
      <c r="J12032" s="11"/>
      <c r="U12032" s="9"/>
      <c r="X12032" s="9"/>
    </row>
    <row r="12033">
      <c r="D12033" s="9"/>
      <c r="G12033" s="9"/>
      <c r="J12033" s="11"/>
      <c r="U12033" s="9"/>
      <c r="X12033" s="9"/>
    </row>
    <row r="12034">
      <c r="D12034" s="9"/>
      <c r="G12034" s="9"/>
      <c r="J12034" s="11"/>
      <c r="U12034" s="9"/>
      <c r="X12034" s="9"/>
    </row>
    <row r="12035">
      <c r="D12035" s="9"/>
      <c r="G12035" s="9"/>
      <c r="J12035" s="11"/>
      <c r="U12035" s="9"/>
      <c r="X12035" s="9"/>
    </row>
    <row r="12036">
      <c r="D12036" s="9"/>
      <c r="G12036" s="9"/>
      <c r="J12036" s="11"/>
      <c r="U12036" s="9"/>
      <c r="X12036" s="9"/>
    </row>
    <row r="12037">
      <c r="D12037" s="9"/>
      <c r="G12037" s="9"/>
      <c r="J12037" s="11"/>
      <c r="U12037" s="9"/>
      <c r="X12037" s="9"/>
    </row>
    <row r="12038">
      <c r="D12038" s="9"/>
      <c r="G12038" s="9"/>
      <c r="J12038" s="11"/>
      <c r="U12038" s="9"/>
      <c r="X12038" s="9"/>
    </row>
    <row r="12039">
      <c r="D12039" s="9"/>
      <c r="G12039" s="9"/>
      <c r="J12039" s="11"/>
      <c r="U12039" s="9"/>
      <c r="X12039" s="9"/>
    </row>
    <row r="12040">
      <c r="D12040" s="9"/>
      <c r="G12040" s="9"/>
      <c r="J12040" s="11"/>
      <c r="U12040" s="9"/>
      <c r="X12040" s="9"/>
    </row>
    <row r="12041">
      <c r="D12041" s="9"/>
      <c r="G12041" s="9"/>
      <c r="J12041" s="11"/>
      <c r="U12041" s="9"/>
      <c r="X12041" s="9"/>
    </row>
    <row r="12042">
      <c r="D12042" s="9"/>
      <c r="G12042" s="9"/>
      <c r="J12042" s="11"/>
      <c r="U12042" s="9"/>
      <c r="X12042" s="9"/>
    </row>
    <row r="12043">
      <c r="D12043" s="9"/>
      <c r="G12043" s="9"/>
      <c r="J12043" s="11"/>
      <c r="U12043" s="9"/>
      <c r="X12043" s="9"/>
    </row>
    <row r="12044">
      <c r="D12044" s="9"/>
      <c r="G12044" s="9"/>
      <c r="J12044" s="11"/>
      <c r="U12044" s="9"/>
      <c r="X12044" s="9"/>
    </row>
    <row r="12045">
      <c r="D12045" s="9"/>
      <c r="G12045" s="9"/>
      <c r="J12045" s="11"/>
      <c r="U12045" s="9"/>
      <c r="X12045" s="9"/>
    </row>
    <row r="12046">
      <c r="D12046" s="9"/>
      <c r="G12046" s="9"/>
      <c r="J12046" s="11"/>
      <c r="U12046" s="9"/>
      <c r="X12046" s="9"/>
    </row>
    <row r="12047">
      <c r="D12047" s="9"/>
      <c r="G12047" s="9"/>
      <c r="J12047" s="11"/>
      <c r="U12047" s="9"/>
      <c r="X12047" s="9"/>
    </row>
    <row r="12048">
      <c r="D12048" s="9"/>
      <c r="G12048" s="9"/>
      <c r="J12048" s="11"/>
      <c r="U12048" s="9"/>
      <c r="X12048" s="9"/>
    </row>
    <row r="12049">
      <c r="D12049" s="9"/>
      <c r="G12049" s="9"/>
      <c r="J12049" s="11"/>
      <c r="U12049" s="9"/>
      <c r="X12049" s="9"/>
    </row>
    <row r="12050">
      <c r="D12050" s="9"/>
      <c r="G12050" s="9"/>
      <c r="J12050" s="11"/>
      <c r="U12050" s="9"/>
      <c r="X12050" s="9"/>
    </row>
    <row r="12051">
      <c r="D12051" s="9"/>
      <c r="G12051" s="9"/>
      <c r="J12051" s="11"/>
      <c r="U12051" s="9"/>
      <c r="X12051" s="9"/>
    </row>
    <row r="12052">
      <c r="D12052" s="9"/>
      <c r="G12052" s="9"/>
      <c r="J12052" s="11"/>
      <c r="U12052" s="9"/>
      <c r="X12052" s="9"/>
    </row>
    <row r="12053">
      <c r="D12053" s="9"/>
      <c r="G12053" s="9"/>
      <c r="J12053" s="11"/>
      <c r="U12053" s="9"/>
      <c r="X12053" s="9"/>
    </row>
    <row r="12054">
      <c r="D12054" s="9"/>
      <c r="G12054" s="9"/>
      <c r="J12054" s="11"/>
      <c r="U12054" s="9"/>
      <c r="X12054" s="9"/>
    </row>
    <row r="12055">
      <c r="D12055" s="9"/>
      <c r="G12055" s="9"/>
      <c r="J12055" s="11"/>
      <c r="U12055" s="9"/>
      <c r="X12055" s="9"/>
    </row>
    <row r="12056">
      <c r="D12056" s="9"/>
      <c r="G12056" s="9"/>
      <c r="J12056" s="11"/>
      <c r="U12056" s="9"/>
      <c r="X12056" s="9"/>
    </row>
    <row r="12057">
      <c r="D12057" s="9"/>
      <c r="G12057" s="9"/>
      <c r="J12057" s="11"/>
      <c r="U12057" s="9"/>
      <c r="X12057" s="9"/>
    </row>
    <row r="12058">
      <c r="D12058" s="9"/>
      <c r="G12058" s="9"/>
      <c r="J12058" s="11"/>
      <c r="U12058" s="9"/>
      <c r="X12058" s="9"/>
    </row>
    <row r="12059">
      <c r="D12059" s="9"/>
      <c r="G12059" s="9"/>
      <c r="J12059" s="11"/>
      <c r="U12059" s="9"/>
      <c r="X12059" s="9"/>
    </row>
    <row r="12060">
      <c r="D12060" s="9"/>
      <c r="G12060" s="9"/>
      <c r="J12060" s="11"/>
      <c r="U12060" s="9"/>
      <c r="X12060" s="9"/>
    </row>
    <row r="12061">
      <c r="D12061" s="9"/>
      <c r="G12061" s="9"/>
      <c r="J12061" s="11"/>
      <c r="U12061" s="9"/>
      <c r="X12061" s="9"/>
    </row>
    <row r="12062">
      <c r="D12062" s="9"/>
      <c r="G12062" s="9"/>
      <c r="J12062" s="11"/>
      <c r="U12062" s="9"/>
      <c r="X12062" s="9"/>
    </row>
    <row r="12063">
      <c r="D12063" s="9"/>
      <c r="G12063" s="9"/>
      <c r="J12063" s="11"/>
      <c r="U12063" s="9"/>
      <c r="X12063" s="9"/>
    </row>
    <row r="12064">
      <c r="D12064" s="9"/>
      <c r="G12064" s="9"/>
      <c r="J12064" s="11"/>
      <c r="U12064" s="9"/>
      <c r="X12064" s="9"/>
    </row>
    <row r="12065">
      <c r="D12065" s="9"/>
      <c r="G12065" s="9"/>
      <c r="J12065" s="11"/>
      <c r="U12065" s="9"/>
      <c r="X12065" s="9"/>
    </row>
    <row r="12066">
      <c r="D12066" s="9"/>
      <c r="G12066" s="9"/>
      <c r="J12066" s="11"/>
      <c r="U12066" s="9"/>
      <c r="X12066" s="9"/>
    </row>
    <row r="12067">
      <c r="D12067" s="9"/>
      <c r="G12067" s="9"/>
      <c r="J12067" s="11"/>
      <c r="U12067" s="9"/>
      <c r="X12067" s="9"/>
    </row>
    <row r="12068">
      <c r="D12068" s="9"/>
      <c r="G12068" s="9"/>
      <c r="J12068" s="11"/>
      <c r="U12068" s="9"/>
      <c r="X12068" s="9"/>
    </row>
    <row r="12069">
      <c r="D12069" s="9"/>
      <c r="G12069" s="9"/>
      <c r="J12069" s="11"/>
      <c r="U12069" s="9"/>
      <c r="X12069" s="9"/>
    </row>
    <row r="12070">
      <c r="D12070" s="9"/>
      <c r="G12070" s="9"/>
      <c r="J12070" s="11"/>
      <c r="U12070" s="9"/>
      <c r="X12070" s="9"/>
    </row>
    <row r="12071">
      <c r="D12071" s="9"/>
      <c r="G12071" s="9"/>
      <c r="J12071" s="11"/>
      <c r="U12071" s="9"/>
      <c r="X12071" s="9"/>
    </row>
    <row r="12072">
      <c r="D12072" s="9"/>
      <c r="G12072" s="9"/>
      <c r="J12072" s="11"/>
      <c r="U12072" s="9"/>
      <c r="X12072" s="9"/>
    </row>
    <row r="12073">
      <c r="D12073" s="9"/>
      <c r="G12073" s="9"/>
      <c r="J12073" s="11"/>
      <c r="U12073" s="9"/>
      <c r="X12073" s="9"/>
    </row>
    <row r="12074">
      <c r="D12074" s="9"/>
      <c r="G12074" s="9"/>
      <c r="J12074" s="11"/>
      <c r="U12074" s="9"/>
      <c r="X12074" s="9"/>
    </row>
    <row r="12075">
      <c r="D12075" s="9"/>
      <c r="G12075" s="9"/>
      <c r="J12075" s="11"/>
      <c r="U12075" s="9"/>
      <c r="X12075" s="9"/>
    </row>
    <row r="12076">
      <c r="D12076" s="9"/>
      <c r="G12076" s="9"/>
      <c r="J12076" s="11"/>
      <c r="U12076" s="9"/>
      <c r="X12076" s="9"/>
    </row>
    <row r="12077">
      <c r="D12077" s="9"/>
      <c r="G12077" s="9"/>
      <c r="J12077" s="11"/>
      <c r="U12077" s="9"/>
      <c r="X12077" s="9"/>
    </row>
    <row r="12078">
      <c r="D12078" s="9"/>
      <c r="G12078" s="9"/>
      <c r="J12078" s="11"/>
      <c r="U12078" s="9"/>
      <c r="X12078" s="9"/>
    </row>
    <row r="12079">
      <c r="D12079" s="9"/>
      <c r="G12079" s="9"/>
      <c r="J12079" s="11"/>
      <c r="U12079" s="9"/>
      <c r="X12079" s="9"/>
    </row>
    <row r="12080">
      <c r="D12080" s="9"/>
      <c r="G12080" s="9"/>
      <c r="J12080" s="11"/>
      <c r="U12080" s="9"/>
      <c r="X12080" s="9"/>
    </row>
    <row r="12081">
      <c r="D12081" s="9"/>
      <c r="G12081" s="9"/>
      <c r="J12081" s="11"/>
      <c r="U12081" s="9"/>
      <c r="X12081" s="9"/>
    </row>
    <row r="12082">
      <c r="D12082" s="9"/>
      <c r="G12082" s="9"/>
      <c r="J12082" s="11"/>
      <c r="U12082" s="9"/>
      <c r="X12082" s="9"/>
    </row>
    <row r="12083">
      <c r="D12083" s="9"/>
      <c r="G12083" s="9"/>
      <c r="J12083" s="11"/>
      <c r="U12083" s="9"/>
      <c r="X12083" s="9"/>
    </row>
    <row r="12084">
      <c r="D12084" s="9"/>
      <c r="G12084" s="9"/>
      <c r="J12084" s="11"/>
      <c r="U12084" s="9"/>
      <c r="X12084" s="9"/>
    </row>
    <row r="12085">
      <c r="D12085" s="9"/>
      <c r="G12085" s="9"/>
      <c r="J12085" s="11"/>
      <c r="U12085" s="9"/>
      <c r="X12085" s="9"/>
    </row>
    <row r="12086">
      <c r="D12086" s="9"/>
      <c r="G12086" s="9"/>
      <c r="J12086" s="11"/>
      <c r="U12086" s="9"/>
      <c r="X12086" s="9"/>
    </row>
    <row r="12087">
      <c r="D12087" s="9"/>
      <c r="G12087" s="9"/>
      <c r="J12087" s="11"/>
      <c r="U12087" s="9"/>
      <c r="X12087" s="9"/>
    </row>
    <row r="12088">
      <c r="D12088" s="9"/>
      <c r="G12088" s="9"/>
      <c r="J12088" s="11"/>
      <c r="U12088" s="9"/>
      <c r="X12088" s="9"/>
    </row>
    <row r="12089">
      <c r="D12089" s="9"/>
      <c r="G12089" s="9"/>
      <c r="J12089" s="11"/>
      <c r="U12089" s="9"/>
      <c r="X12089" s="9"/>
    </row>
    <row r="12090">
      <c r="D12090" s="9"/>
      <c r="G12090" s="9"/>
      <c r="J12090" s="11"/>
      <c r="U12090" s="9"/>
      <c r="X12090" s="9"/>
    </row>
    <row r="12091">
      <c r="D12091" s="9"/>
      <c r="G12091" s="9"/>
      <c r="J12091" s="11"/>
      <c r="U12091" s="9"/>
      <c r="X12091" s="9"/>
    </row>
    <row r="12092">
      <c r="D12092" s="9"/>
      <c r="G12092" s="9"/>
      <c r="J12092" s="11"/>
      <c r="U12092" s="9"/>
      <c r="X12092" s="9"/>
    </row>
    <row r="12093">
      <c r="D12093" s="9"/>
      <c r="G12093" s="9"/>
      <c r="J12093" s="11"/>
      <c r="U12093" s="9"/>
      <c r="X12093" s="9"/>
    </row>
    <row r="12094">
      <c r="D12094" s="9"/>
      <c r="G12094" s="9"/>
      <c r="J12094" s="11"/>
      <c r="U12094" s="9"/>
      <c r="X12094" s="9"/>
    </row>
    <row r="12095">
      <c r="D12095" s="9"/>
      <c r="G12095" s="9"/>
      <c r="J12095" s="11"/>
      <c r="U12095" s="9"/>
      <c r="X12095" s="9"/>
    </row>
    <row r="12096">
      <c r="D12096" s="9"/>
      <c r="G12096" s="9"/>
      <c r="J12096" s="11"/>
      <c r="U12096" s="9"/>
      <c r="X12096" s="9"/>
    </row>
    <row r="12097">
      <c r="D12097" s="9"/>
      <c r="G12097" s="9"/>
      <c r="J12097" s="11"/>
      <c r="U12097" s="9"/>
      <c r="X12097" s="9"/>
    </row>
    <row r="12098">
      <c r="D12098" s="9"/>
      <c r="G12098" s="9"/>
      <c r="J12098" s="11"/>
      <c r="U12098" s="9"/>
      <c r="X12098" s="9"/>
    </row>
    <row r="12099">
      <c r="D12099" s="9"/>
      <c r="G12099" s="9"/>
      <c r="J12099" s="11"/>
      <c r="U12099" s="9"/>
      <c r="X12099" s="9"/>
    </row>
    <row r="12100">
      <c r="D12100" s="9"/>
      <c r="G12100" s="9"/>
      <c r="J12100" s="11"/>
      <c r="U12100" s="9"/>
      <c r="X12100" s="9"/>
    </row>
    <row r="12101">
      <c r="D12101" s="9"/>
      <c r="G12101" s="9"/>
      <c r="J12101" s="11"/>
      <c r="U12101" s="9"/>
      <c r="X12101" s="9"/>
    </row>
    <row r="12102">
      <c r="D12102" s="9"/>
      <c r="G12102" s="9"/>
      <c r="J12102" s="11"/>
      <c r="U12102" s="9"/>
      <c r="X12102" s="9"/>
    </row>
    <row r="12103">
      <c r="D12103" s="9"/>
      <c r="G12103" s="9"/>
      <c r="J12103" s="11"/>
      <c r="U12103" s="9"/>
      <c r="X12103" s="9"/>
    </row>
    <row r="12104">
      <c r="D12104" s="9"/>
      <c r="G12104" s="9"/>
      <c r="J12104" s="11"/>
      <c r="U12104" s="9"/>
      <c r="X12104" s="9"/>
    </row>
    <row r="12105">
      <c r="D12105" s="9"/>
      <c r="G12105" s="9"/>
      <c r="J12105" s="11"/>
      <c r="U12105" s="9"/>
      <c r="X12105" s="9"/>
    </row>
    <row r="12106">
      <c r="D12106" s="9"/>
      <c r="G12106" s="9"/>
      <c r="J12106" s="11"/>
      <c r="U12106" s="9"/>
      <c r="X12106" s="9"/>
    </row>
    <row r="12107">
      <c r="D12107" s="9"/>
      <c r="G12107" s="9"/>
      <c r="J12107" s="11"/>
      <c r="U12107" s="9"/>
      <c r="X12107" s="9"/>
    </row>
    <row r="12108">
      <c r="D12108" s="9"/>
      <c r="G12108" s="9"/>
      <c r="J12108" s="11"/>
      <c r="U12108" s="9"/>
      <c r="X12108" s="9"/>
    </row>
    <row r="12109">
      <c r="D12109" s="9"/>
      <c r="G12109" s="9"/>
      <c r="J12109" s="11"/>
      <c r="U12109" s="9"/>
      <c r="X12109" s="9"/>
    </row>
    <row r="12110">
      <c r="D12110" s="9"/>
      <c r="G12110" s="9"/>
      <c r="J12110" s="11"/>
      <c r="U12110" s="9"/>
      <c r="X12110" s="9"/>
    </row>
    <row r="12111">
      <c r="D12111" s="9"/>
      <c r="G12111" s="9"/>
      <c r="J12111" s="11"/>
      <c r="U12111" s="9"/>
      <c r="X12111" s="9"/>
    </row>
    <row r="12112">
      <c r="D12112" s="9"/>
      <c r="G12112" s="9"/>
      <c r="J12112" s="11"/>
      <c r="U12112" s="9"/>
      <c r="X12112" s="9"/>
    </row>
    <row r="12113">
      <c r="D12113" s="9"/>
      <c r="G12113" s="9"/>
      <c r="J12113" s="11"/>
      <c r="U12113" s="9"/>
      <c r="X12113" s="9"/>
    </row>
    <row r="12114">
      <c r="D12114" s="9"/>
      <c r="G12114" s="9"/>
      <c r="J12114" s="11"/>
      <c r="U12114" s="9"/>
      <c r="X12114" s="9"/>
    </row>
    <row r="12115">
      <c r="D12115" s="9"/>
      <c r="G12115" s="9"/>
      <c r="J12115" s="11"/>
      <c r="U12115" s="9"/>
      <c r="X12115" s="9"/>
    </row>
    <row r="12116">
      <c r="D12116" s="9"/>
      <c r="G12116" s="9"/>
      <c r="J12116" s="11"/>
      <c r="U12116" s="9"/>
      <c r="X12116" s="9"/>
    </row>
    <row r="12117">
      <c r="D12117" s="9"/>
      <c r="G12117" s="9"/>
      <c r="J12117" s="11"/>
      <c r="U12117" s="9"/>
      <c r="X12117" s="9"/>
    </row>
    <row r="12118">
      <c r="D12118" s="9"/>
      <c r="G12118" s="9"/>
      <c r="J12118" s="11"/>
      <c r="U12118" s="9"/>
      <c r="X12118" s="9"/>
    </row>
    <row r="12119">
      <c r="D12119" s="9"/>
      <c r="G12119" s="9"/>
      <c r="J12119" s="11"/>
      <c r="U12119" s="9"/>
      <c r="X12119" s="9"/>
    </row>
    <row r="12120">
      <c r="D12120" s="9"/>
      <c r="G12120" s="9"/>
      <c r="J12120" s="11"/>
      <c r="U12120" s="9"/>
      <c r="X12120" s="9"/>
    </row>
    <row r="12121">
      <c r="D12121" s="9"/>
      <c r="G12121" s="9"/>
      <c r="J12121" s="11"/>
      <c r="U12121" s="9"/>
      <c r="X12121" s="9"/>
    </row>
    <row r="12122">
      <c r="D12122" s="9"/>
      <c r="G12122" s="9"/>
      <c r="J12122" s="11"/>
      <c r="U12122" s="9"/>
      <c r="X12122" s="9"/>
    </row>
    <row r="12123">
      <c r="D12123" s="9"/>
      <c r="G12123" s="9"/>
      <c r="J12123" s="11"/>
      <c r="U12123" s="9"/>
      <c r="X12123" s="9"/>
    </row>
    <row r="12124">
      <c r="D12124" s="9"/>
      <c r="G12124" s="9"/>
      <c r="J12124" s="11"/>
      <c r="U12124" s="9"/>
      <c r="X12124" s="9"/>
    </row>
    <row r="12125">
      <c r="D12125" s="9"/>
      <c r="G12125" s="9"/>
      <c r="J12125" s="11"/>
      <c r="U12125" s="9"/>
      <c r="X12125" s="9"/>
    </row>
    <row r="12126">
      <c r="D12126" s="9"/>
      <c r="G12126" s="9"/>
      <c r="J12126" s="11"/>
      <c r="U12126" s="9"/>
      <c r="X12126" s="9"/>
    </row>
    <row r="12127">
      <c r="D12127" s="9"/>
      <c r="G12127" s="9"/>
      <c r="J12127" s="11"/>
      <c r="U12127" s="9"/>
      <c r="X12127" s="9"/>
    </row>
    <row r="12128">
      <c r="D12128" s="9"/>
      <c r="G12128" s="9"/>
      <c r="J12128" s="11"/>
      <c r="U12128" s="9"/>
      <c r="X12128" s="9"/>
    </row>
    <row r="12129">
      <c r="D12129" s="9"/>
      <c r="G12129" s="9"/>
      <c r="J12129" s="11"/>
      <c r="U12129" s="9"/>
      <c r="X12129" s="9"/>
    </row>
    <row r="12130">
      <c r="D12130" s="9"/>
      <c r="G12130" s="9"/>
      <c r="J12130" s="11"/>
      <c r="U12130" s="9"/>
      <c r="X12130" s="9"/>
    </row>
    <row r="12131">
      <c r="D12131" s="9"/>
      <c r="G12131" s="9"/>
      <c r="J12131" s="11"/>
      <c r="U12131" s="9"/>
      <c r="X12131" s="9"/>
    </row>
    <row r="12132">
      <c r="D12132" s="9"/>
      <c r="G12132" s="9"/>
      <c r="J12132" s="11"/>
      <c r="U12132" s="9"/>
      <c r="X12132" s="9"/>
    </row>
    <row r="12133">
      <c r="D12133" s="9"/>
      <c r="G12133" s="9"/>
      <c r="J12133" s="11"/>
      <c r="U12133" s="9"/>
      <c r="X12133" s="9"/>
    </row>
    <row r="12134">
      <c r="D12134" s="9"/>
      <c r="G12134" s="9"/>
      <c r="J12134" s="11"/>
      <c r="U12134" s="9"/>
      <c r="X12134" s="9"/>
    </row>
    <row r="12135">
      <c r="D12135" s="9"/>
      <c r="G12135" s="9"/>
      <c r="J12135" s="11"/>
      <c r="U12135" s="9"/>
      <c r="X12135" s="9"/>
    </row>
    <row r="12136">
      <c r="D12136" s="9"/>
      <c r="G12136" s="9"/>
      <c r="J12136" s="11"/>
      <c r="U12136" s="9"/>
      <c r="X12136" s="9"/>
    </row>
    <row r="12137">
      <c r="D12137" s="9"/>
      <c r="G12137" s="9"/>
      <c r="J12137" s="11"/>
      <c r="U12137" s="9"/>
      <c r="X12137" s="9"/>
    </row>
    <row r="12138">
      <c r="D12138" s="9"/>
      <c r="G12138" s="9"/>
      <c r="J12138" s="11"/>
      <c r="U12138" s="9"/>
      <c r="X12138" s="9"/>
    </row>
    <row r="12139">
      <c r="D12139" s="9"/>
      <c r="G12139" s="9"/>
      <c r="J12139" s="11"/>
      <c r="U12139" s="9"/>
      <c r="X12139" s="9"/>
    </row>
    <row r="12140">
      <c r="D12140" s="9"/>
      <c r="G12140" s="9"/>
      <c r="J12140" s="11"/>
      <c r="U12140" s="9"/>
      <c r="X12140" s="9"/>
    </row>
    <row r="12141">
      <c r="D12141" s="9"/>
      <c r="G12141" s="9"/>
      <c r="J12141" s="11"/>
      <c r="U12141" s="9"/>
      <c r="X12141" s="9"/>
    </row>
    <row r="12142">
      <c r="D12142" s="9"/>
      <c r="G12142" s="9"/>
      <c r="J12142" s="11"/>
      <c r="U12142" s="9"/>
      <c r="X12142" s="9"/>
    </row>
    <row r="12143">
      <c r="D12143" s="9"/>
      <c r="G12143" s="9"/>
      <c r="J12143" s="11"/>
      <c r="U12143" s="9"/>
      <c r="X12143" s="9"/>
    </row>
    <row r="12144">
      <c r="D12144" s="9"/>
      <c r="G12144" s="9"/>
      <c r="J12144" s="11"/>
      <c r="U12144" s="9"/>
      <c r="X12144" s="9"/>
    </row>
    <row r="12145">
      <c r="D12145" s="9"/>
      <c r="G12145" s="9"/>
      <c r="J12145" s="11"/>
      <c r="U12145" s="9"/>
      <c r="X12145" s="9"/>
    </row>
    <row r="12146">
      <c r="D12146" s="9"/>
      <c r="G12146" s="9"/>
      <c r="J12146" s="11"/>
      <c r="U12146" s="9"/>
      <c r="X12146" s="9"/>
    </row>
    <row r="12147">
      <c r="D12147" s="9"/>
      <c r="G12147" s="9"/>
      <c r="J12147" s="11"/>
      <c r="U12147" s="9"/>
      <c r="X12147" s="9"/>
    </row>
    <row r="12148">
      <c r="D12148" s="9"/>
      <c r="G12148" s="9"/>
      <c r="J12148" s="11"/>
      <c r="U12148" s="9"/>
      <c r="X12148" s="9"/>
    </row>
    <row r="12149">
      <c r="D12149" s="9"/>
      <c r="G12149" s="9"/>
      <c r="J12149" s="11"/>
      <c r="U12149" s="9"/>
      <c r="X12149" s="9"/>
    </row>
    <row r="12150">
      <c r="D12150" s="9"/>
      <c r="G12150" s="9"/>
      <c r="J12150" s="11"/>
      <c r="U12150" s="9"/>
      <c r="X12150" s="9"/>
    </row>
    <row r="12151">
      <c r="D12151" s="9"/>
      <c r="G12151" s="9"/>
      <c r="J12151" s="11"/>
      <c r="U12151" s="9"/>
      <c r="X12151" s="9"/>
    </row>
    <row r="12152">
      <c r="D12152" s="9"/>
      <c r="G12152" s="9"/>
      <c r="J12152" s="11"/>
      <c r="U12152" s="9"/>
      <c r="X12152" s="9"/>
    </row>
    <row r="12153">
      <c r="D12153" s="9"/>
      <c r="G12153" s="9"/>
      <c r="J12153" s="11"/>
      <c r="U12153" s="9"/>
      <c r="X12153" s="9"/>
    </row>
    <row r="12154">
      <c r="D12154" s="9"/>
      <c r="G12154" s="9"/>
      <c r="J12154" s="11"/>
      <c r="U12154" s="9"/>
      <c r="X12154" s="9"/>
    </row>
    <row r="12155">
      <c r="D12155" s="9"/>
      <c r="G12155" s="9"/>
      <c r="J12155" s="11"/>
      <c r="U12155" s="9"/>
      <c r="X12155" s="9"/>
    </row>
    <row r="12156">
      <c r="D12156" s="9"/>
      <c r="G12156" s="9"/>
      <c r="J12156" s="11"/>
      <c r="U12156" s="9"/>
      <c r="X12156" s="9"/>
    </row>
    <row r="12157">
      <c r="D12157" s="9"/>
      <c r="G12157" s="9"/>
      <c r="J12157" s="11"/>
      <c r="U12157" s="9"/>
      <c r="X12157" s="9"/>
    </row>
    <row r="12158">
      <c r="D12158" s="9"/>
      <c r="G12158" s="9"/>
      <c r="J12158" s="11"/>
      <c r="U12158" s="9"/>
      <c r="X12158" s="9"/>
    </row>
    <row r="12159">
      <c r="D12159" s="9"/>
      <c r="G12159" s="9"/>
      <c r="J12159" s="11"/>
      <c r="U12159" s="9"/>
      <c r="X12159" s="9"/>
    </row>
    <row r="12160">
      <c r="D12160" s="9"/>
      <c r="G12160" s="9"/>
      <c r="J12160" s="11"/>
      <c r="U12160" s="9"/>
      <c r="X12160" s="9"/>
    </row>
    <row r="12161">
      <c r="D12161" s="9"/>
      <c r="G12161" s="9"/>
      <c r="J12161" s="11"/>
      <c r="U12161" s="9"/>
      <c r="X12161" s="9"/>
    </row>
    <row r="12162">
      <c r="D12162" s="9"/>
      <c r="G12162" s="9"/>
      <c r="J12162" s="11"/>
      <c r="U12162" s="9"/>
      <c r="X12162" s="9"/>
    </row>
    <row r="12163">
      <c r="D12163" s="9"/>
      <c r="G12163" s="9"/>
      <c r="J12163" s="11"/>
      <c r="U12163" s="9"/>
      <c r="X12163" s="9"/>
    </row>
    <row r="12164">
      <c r="D12164" s="9"/>
      <c r="G12164" s="9"/>
      <c r="J12164" s="11"/>
      <c r="U12164" s="9"/>
      <c r="X12164" s="9"/>
    </row>
    <row r="12165">
      <c r="D12165" s="9"/>
      <c r="G12165" s="9"/>
      <c r="J12165" s="11"/>
      <c r="U12165" s="9"/>
      <c r="X12165" s="9"/>
    </row>
    <row r="12166">
      <c r="D12166" s="9"/>
      <c r="G12166" s="9"/>
      <c r="J12166" s="11"/>
      <c r="U12166" s="9"/>
      <c r="X12166" s="9"/>
    </row>
    <row r="12167">
      <c r="D12167" s="9"/>
      <c r="G12167" s="9"/>
      <c r="J12167" s="11"/>
      <c r="U12167" s="9"/>
      <c r="X12167" s="9"/>
    </row>
    <row r="12168">
      <c r="D12168" s="9"/>
      <c r="G12168" s="9"/>
      <c r="J12168" s="11"/>
      <c r="U12168" s="9"/>
      <c r="X12168" s="9"/>
    </row>
    <row r="12169">
      <c r="D12169" s="9"/>
      <c r="G12169" s="9"/>
      <c r="J12169" s="11"/>
      <c r="U12169" s="9"/>
      <c r="X12169" s="9"/>
    </row>
    <row r="12170">
      <c r="D12170" s="9"/>
      <c r="G12170" s="9"/>
      <c r="J12170" s="11"/>
      <c r="U12170" s="9"/>
      <c r="X12170" s="9"/>
    </row>
    <row r="12171">
      <c r="D12171" s="9"/>
      <c r="G12171" s="9"/>
      <c r="J12171" s="11"/>
      <c r="U12171" s="9"/>
      <c r="X12171" s="9"/>
    </row>
    <row r="12172">
      <c r="D12172" s="9"/>
      <c r="G12172" s="9"/>
      <c r="J12172" s="11"/>
      <c r="U12172" s="9"/>
      <c r="X12172" s="9"/>
    </row>
    <row r="12173">
      <c r="D12173" s="9"/>
      <c r="G12173" s="9"/>
      <c r="J12173" s="11"/>
      <c r="U12173" s="9"/>
      <c r="X12173" s="9"/>
    </row>
    <row r="12174">
      <c r="D12174" s="9"/>
      <c r="G12174" s="9"/>
      <c r="J12174" s="11"/>
      <c r="U12174" s="9"/>
      <c r="X12174" s="9"/>
    </row>
    <row r="12175">
      <c r="D12175" s="9"/>
      <c r="G12175" s="9"/>
      <c r="J12175" s="11"/>
      <c r="U12175" s="9"/>
      <c r="X12175" s="9"/>
    </row>
    <row r="12176">
      <c r="D12176" s="9"/>
      <c r="G12176" s="9"/>
      <c r="J12176" s="11"/>
      <c r="U12176" s="9"/>
      <c r="X12176" s="9"/>
    </row>
    <row r="12177">
      <c r="D12177" s="9"/>
      <c r="G12177" s="9"/>
      <c r="J12177" s="11"/>
      <c r="U12177" s="9"/>
      <c r="X12177" s="9"/>
    </row>
    <row r="12178">
      <c r="D12178" s="9"/>
      <c r="G12178" s="9"/>
      <c r="J12178" s="11"/>
      <c r="U12178" s="9"/>
      <c r="X12178" s="9"/>
    </row>
    <row r="12179">
      <c r="D12179" s="9"/>
      <c r="G12179" s="9"/>
      <c r="J12179" s="11"/>
      <c r="U12179" s="9"/>
      <c r="X12179" s="9"/>
    </row>
    <row r="12180">
      <c r="D12180" s="9"/>
      <c r="G12180" s="9"/>
      <c r="J12180" s="11"/>
      <c r="U12180" s="9"/>
      <c r="X12180" s="9"/>
    </row>
    <row r="12181">
      <c r="D12181" s="9"/>
      <c r="G12181" s="9"/>
      <c r="J12181" s="11"/>
      <c r="U12181" s="9"/>
      <c r="X12181" s="9"/>
    </row>
    <row r="12182">
      <c r="D12182" s="9"/>
      <c r="G12182" s="9"/>
      <c r="J12182" s="11"/>
      <c r="U12182" s="9"/>
      <c r="X12182" s="9"/>
    </row>
    <row r="12183">
      <c r="D12183" s="9"/>
      <c r="G12183" s="9"/>
      <c r="J12183" s="11"/>
      <c r="U12183" s="9"/>
      <c r="X12183" s="9"/>
    </row>
    <row r="12184">
      <c r="D12184" s="9"/>
      <c r="G12184" s="9"/>
      <c r="J12184" s="11"/>
      <c r="U12184" s="9"/>
      <c r="X12184" s="9"/>
    </row>
    <row r="12185">
      <c r="D12185" s="9"/>
      <c r="G12185" s="9"/>
      <c r="J12185" s="11"/>
      <c r="U12185" s="9"/>
      <c r="X12185" s="9"/>
    </row>
    <row r="12186">
      <c r="D12186" s="9"/>
      <c r="G12186" s="9"/>
      <c r="J12186" s="11"/>
      <c r="U12186" s="9"/>
      <c r="X12186" s="9"/>
    </row>
    <row r="12187">
      <c r="D12187" s="9"/>
      <c r="G12187" s="9"/>
      <c r="J12187" s="11"/>
      <c r="U12187" s="9"/>
      <c r="X12187" s="9"/>
    </row>
    <row r="12188">
      <c r="D12188" s="9"/>
      <c r="G12188" s="9"/>
      <c r="J12188" s="11"/>
      <c r="U12188" s="9"/>
      <c r="X12188" s="9"/>
    </row>
    <row r="12189">
      <c r="D12189" s="9"/>
      <c r="G12189" s="9"/>
      <c r="J12189" s="11"/>
      <c r="U12189" s="9"/>
      <c r="X12189" s="9"/>
    </row>
    <row r="12190">
      <c r="D12190" s="9"/>
      <c r="G12190" s="9"/>
      <c r="J12190" s="11"/>
      <c r="U12190" s="9"/>
      <c r="X12190" s="9"/>
    </row>
    <row r="12191">
      <c r="D12191" s="9"/>
      <c r="G12191" s="9"/>
      <c r="J12191" s="11"/>
      <c r="U12191" s="9"/>
      <c r="X12191" s="9"/>
    </row>
    <row r="12192">
      <c r="D12192" s="9"/>
      <c r="G12192" s="9"/>
      <c r="J12192" s="11"/>
      <c r="U12192" s="9"/>
      <c r="X12192" s="9"/>
    </row>
    <row r="12193">
      <c r="D12193" s="9"/>
      <c r="G12193" s="9"/>
      <c r="J12193" s="11"/>
      <c r="U12193" s="9"/>
      <c r="X12193" s="9"/>
    </row>
    <row r="12194">
      <c r="D12194" s="9"/>
      <c r="G12194" s="9"/>
      <c r="J12194" s="11"/>
      <c r="U12194" s="9"/>
      <c r="X12194" s="9"/>
    </row>
    <row r="12195">
      <c r="D12195" s="9"/>
      <c r="G12195" s="9"/>
      <c r="J12195" s="11"/>
      <c r="U12195" s="9"/>
      <c r="X12195" s="9"/>
    </row>
    <row r="12196">
      <c r="D12196" s="9"/>
      <c r="G12196" s="9"/>
      <c r="J12196" s="11"/>
      <c r="U12196" s="9"/>
      <c r="X12196" s="9"/>
    </row>
    <row r="12197">
      <c r="D12197" s="9"/>
      <c r="G12197" s="9"/>
      <c r="J12197" s="11"/>
      <c r="U12197" s="9"/>
      <c r="X12197" s="9"/>
    </row>
    <row r="12198">
      <c r="D12198" s="9"/>
      <c r="G12198" s="9"/>
      <c r="J12198" s="11"/>
      <c r="U12198" s="9"/>
      <c r="X12198" s="9"/>
    </row>
    <row r="12199">
      <c r="D12199" s="9"/>
      <c r="G12199" s="9"/>
      <c r="J12199" s="11"/>
      <c r="U12199" s="9"/>
      <c r="X12199" s="9"/>
    </row>
    <row r="12200">
      <c r="D12200" s="9"/>
      <c r="G12200" s="9"/>
      <c r="J12200" s="11"/>
      <c r="U12200" s="9"/>
      <c r="X12200" s="9"/>
    </row>
    <row r="12201">
      <c r="D12201" s="9"/>
      <c r="G12201" s="9"/>
      <c r="J12201" s="11"/>
      <c r="U12201" s="9"/>
      <c r="X12201" s="9"/>
    </row>
    <row r="12202">
      <c r="D12202" s="9"/>
      <c r="G12202" s="9"/>
      <c r="J12202" s="11"/>
      <c r="U12202" s="9"/>
      <c r="X12202" s="9"/>
    </row>
    <row r="12203">
      <c r="D12203" s="9"/>
      <c r="G12203" s="9"/>
      <c r="J12203" s="11"/>
      <c r="U12203" s="9"/>
      <c r="X12203" s="9"/>
    </row>
    <row r="12204">
      <c r="D12204" s="9"/>
      <c r="G12204" s="9"/>
      <c r="J12204" s="11"/>
      <c r="U12204" s="9"/>
      <c r="X12204" s="9"/>
    </row>
    <row r="12205">
      <c r="D12205" s="9"/>
      <c r="G12205" s="9"/>
      <c r="J12205" s="11"/>
      <c r="U12205" s="9"/>
      <c r="X12205" s="9"/>
    </row>
    <row r="12206">
      <c r="D12206" s="9"/>
      <c r="G12206" s="9"/>
      <c r="J12206" s="11"/>
      <c r="U12206" s="9"/>
      <c r="X12206" s="9"/>
    </row>
    <row r="12207">
      <c r="D12207" s="9"/>
      <c r="G12207" s="9"/>
      <c r="J12207" s="11"/>
      <c r="U12207" s="9"/>
      <c r="X12207" s="9"/>
    </row>
    <row r="12208">
      <c r="D12208" s="9"/>
      <c r="G12208" s="9"/>
      <c r="J12208" s="11"/>
      <c r="U12208" s="9"/>
      <c r="X12208" s="9"/>
    </row>
    <row r="12209">
      <c r="D12209" s="9"/>
      <c r="G12209" s="9"/>
      <c r="J12209" s="11"/>
      <c r="U12209" s="9"/>
      <c r="X12209" s="9"/>
    </row>
    <row r="12210">
      <c r="D12210" s="9"/>
      <c r="G12210" s="9"/>
      <c r="J12210" s="11"/>
      <c r="U12210" s="9"/>
      <c r="X12210" s="9"/>
    </row>
    <row r="12211">
      <c r="D12211" s="9"/>
      <c r="G12211" s="9"/>
      <c r="J12211" s="11"/>
      <c r="U12211" s="9"/>
      <c r="X12211" s="9"/>
    </row>
    <row r="12212">
      <c r="D12212" s="9"/>
      <c r="G12212" s="9"/>
      <c r="J12212" s="11"/>
      <c r="U12212" s="9"/>
      <c r="X12212" s="9"/>
    </row>
    <row r="12213">
      <c r="D12213" s="9"/>
      <c r="G12213" s="9"/>
      <c r="J12213" s="11"/>
      <c r="U12213" s="9"/>
      <c r="X12213" s="9"/>
    </row>
    <row r="12214">
      <c r="D12214" s="9"/>
      <c r="G12214" s="9"/>
      <c r="J12214" s="11"/>
      <c r="U12214" s="9"/>
      <c r="X12214" s="9"/>
    </row>
    <row r="12215">
      <c r="D12215" s="9"/>
      <c r="G12215" s="9"/>
      <c r="J12215" s="11"/>
      <c r="U12215" s="9"/>
      <c r="X12215" s="9"/>
    </row>
    <row r="12216">
      <c r="D12216" s="9"/>
      <c r="G12216" s="9"/>
      <c r="J12216" s="11"/>
      <c r="U12216" s="9"/>
      <c r="X12216" s="9"/>
    </row>
    <row r="12217">
      <c r="D12217" s="9"/>
      <c r="G12217" s="9"/>
      <c r="J12217" s="11"/>
      <c r="U12217" s="9"/>
      <c r="X12217" s="9"/>
    </row>
    <row r="12218">
      <c r="D12218" s="9"/>
      <c r="G12218" s="9"/>
      <c r="J12218" s="11"/>
      <c r="U12218" s="9"/>
      <c r="X12218" s="9"/>
    </row>
    <row r="12219">
      <c r="D12219" s="9"/>
      <c r="G12219" s="9"/>
      <c r="J12219" s="11"/>
      <c r="U12219" s="9"/>
      <c r="X12219" s="9"/>
    </row>
    <row r="12220">
      <c r="D12220" s="9"/>
      <c r="G12220" s="9"/>
      <c r="J12220" s="11"/>
      <c r="U12220" s="9"/>
      <c r="X12220" s="9"/>
    </row>
    <row r="12221">
      <c r="D12221" s="9"/>
      <c r="G12221" s="9"/>
      <c r="J12221" s="11"/>
      <c r="U12221" s="9"/>
      <c r="X12221" s="9"/>
    </row>
    <row r="12222">
      <c r="D12222" s="9"/>
      <c r="G12222" s="9"/>
      <c r="J12222" s="11"/>
      <c r="U12222" s="9"/>
      <c r="X12222" s="9"/>
    </row>
    <row r="12223">
      <c r="D12223" s="9"/>
      <c r="G12223" s="9"/>
      <c r="J12223" s="11"/>
      <c r="U12223" s="9"/>
      <c r="X12223" s="9"/>
    </row>
    <row r="12224">
      <c r="D12224" s="9"/>
      <c r="G12224" s="9"/>
      <c r="J12224" s="11"/>
      <c r="U12224" s="9"/>
      <c r="X12224" s="9"/>
    </row>
    <row r="12225">
      <c r="D12225" s="9"/>
      <c r="G12225" s="9"/>
      <c r="J12225" s="11"/>
      <c r="U12225" s="9"/>
      <c r="X12225" s="9"/>
    </row>
    <row r="12226">
      <c r="D12226" s="9"/>
      <c r="G12226" s="9"/>
      <c r="J12226" s="11"/>
      <c r="U12226" s="9"/>
      <c r="X12226" s="9"/>
    </row>
    <row r="12227">
      <c r="D12227" s="9"/>
      <c r="G12227" s="9"/>
      <c r="J12227" s="11"/>
      <c r="U12227" s="9"/>
      <c r="X12227" s="9"/>
    </row>
    <row r="12228">
      <c r="D12228" s="9"/>
      <c r="G12228" s="9"/>
      <c r="J12228" s="11"/>
      <c r="U12228" s="9"/>
      <c r="X12228" s="9"/>
    </row>
    <row r="12229">
      <c r="D12229" s="9"/>
      <c r="G12229" s="9"/>
      <c r="J12229" s="11"/>
      <c r="U12229" s="9"/>
      <c r="X12229" s="9"/>
    </row>
    <row r="12230">
      <c r="D12230" s="9"/>
      <c r="G12230" s="9"/>
      <c r="J12230" s="11"/>
      <c r="U12230" s="9"/>
      <c r="X12230" s="9"/>
    </row>
    <row r="12231">
      <c r="D12231" s="9"/>
      <c r="G12231" s="9"/>
      <c r="J12231" s="11"/>
      <c r="U12231" s="9"/>
      <c r="X12231" s="9"/>
    </row>
    <row r="12232">
      <c r="D12232" s="9"/>
      <c r="G12232" s="9"/>
      <c r="J12232" s="11"/>
      <c r="U12232" s="9"/>
      <c r="X12232" s="9"/>
    </row>
    <row r="12233">
      <c r="D12233" s="9"/>
      <c r="G12233" s="9"/>
      <c r="J12233" s="11"/>
      <c r="U12233" s="9"/>
      <c r="X12233" s="9"/>
    </row>
    <row r="12234">
      <c r="D12234" s="9"/>
      <c r="G12234" s="9"/>
      <c r="J12234" s="11"/>
      <c r="U12234" s="9"/>
      <c r="X12234" s="9"/>
    </row>
    <row r="12235">
      <c r="D12235" s="9"/>
      <c r="G12235" s="9"/>
      <c r="J12235" s="11"/>
      <c r="U12235" s="9"/>
      <c r="X12235" s="9"/>
    </row>
    <row r="12236">
      <c r="D12236" s="9"/>
      <c r="G12236" s="9"/>
      <c r="J12236" s="11"/>
      <c r="U12236" s="9"/>
      <c r="X12236" s="9"/>
    </row>
    <row r="12237">
      <c r="D12237" s="9"/>
      <c r="G12237" s="9"/>
      <c r="J12237" s="11"/>
      <c r="U12237" s="9"/>
      <c r="X12237" s="9"/>
    </row>
    <row r="12238">
      <c r="D12238" s="9"/>
      <c r="G12238" s="9"/>
      <c r="J12238" s="11"/>
      <c r="U12238" s="9"/>
      <c r="X12238" s="9"/>
    </row>
    <row r="12239">
      <c r="D12239" s="9"/>
      <c r="G12239" s="9"/>
      <c r="J12239" s="11"/>
      <c r="U12239" s="9"/>
      <c r="X12239" s="9"/>
    </row>
    <row r="12240">
      <c r="D12240" s="9"/>
      <c r="G12240" s="9"/>
      <c r="J12240" s="11"/>
      <c r="U12240" s="9"/>
      <c r="X12240" s="9"/>
    </row>
    <row r="12241">
      <c r="D12241" s="9"/>
      <c r="G12241" s="9"/>
      <c r="J12241" s="11"/>
      <c r="U12241" s="9"/>
      <c r="X12241" s="9"/>
    </row>
    <row r="12242">
      <c r="D12242" s="9"/>
      <c r="G12242" s="9"/>
      <c r="J12242" s="11"/>
      <c r="U12242" s="9"/>
      <c r="X12242" s="9"/>
    </row>
    <row r="12243">
      <c r="D12243" s="9"/>
      <c r="G12243" s="9"/>
      <c r="J12243" s="11"/>
      <c r="U12243" s="9"/>
      <c r="X12243" s="9"/>
    </row>
    <row r="12244">
      <c r="D12244" s="9"/>
      <c r="G12244" s="9"/>
      <c r="J12244" s="11"/>
      <c r="U12244" s="9"/>
      <c r="X12244" s="9"/>
    </row>
    <row r="12245">
      <c r="D12245" s="9"/>
      <c r="G12245" s="9"/>
      <c r="J12245" s="11"/>
      <c r="U12245" s="9"/>
      <c r="X12245" s="9"/>
    </row>
    <row r="12246">
      <c r="D12246" s="9"/>
      <c r="G12246" s="9"/>
      <c r="J12246" s="11"/>
      <c r="U12246" s="9"/>
      <c r="X12246" s="9"/>
    </row>
    <row r="12247">
      <c r="D12247" s="9"/>
      <c r="G12247" s="9"/>
      <c r="J12247" s="11"/>
      <c r="U12247" s="9"/>
      <c r="X12247" s="9"/>
    </row>
    <row r="12248">
      <c r="D12248" s="9"/>
      <c r="G12248" s="9"/>
      <c r="J12248" s="11"/>
      <c r="U12248" s="9"/>
      <c r="X12248" s="9"/>
    </row>
    <row r="12249">
      <c r="D12249" s="9"/>
      <c r="G12249" s="9"/>
      <c r="J12249" s="11"/>
      <c r="U12249" s="9"/>
      <c r="X12249" s="9"/>
    </row>
    <row r="12250">
      <c r="D12250" s="9"/>
      <c r="G12250" s="9"/>
      <c r="J12250" s="11"/>
      <c r="U12250" s="9"/>
      <c r="X12250" s="9"/>
    </row>
    <row r="12251">
      <c r="D12251" s="9"/>
      <c r="G12251" s="9"/>
      <c r="J12251" s="11"/>
      <c r="U12251" s="9"/>
      <c r="X12251" s="9"/>
    </row>
    <row r="12252">
      <c r="D12252" s="9"/>
      <c r="G12252" s="9"/>
      <c r="J12252" s="11"/>
      <c r="U12252" s="9"/>
      <c r="X12252" s="9"/>
    </row>
    <row r="12253">
      <c r="D12253" s="9"/>
      <c r="G12253" s="9"/>
      <c r="J12253" s="11"/>
      <c r="U12253" s="9"/>
      <c r="X12253" s="9"/>
    </row>
    <row r="12254">
      <c r="D12254" s="9"/>
      <c r="G12254" s="9"/>
      <c r="J12254" s="11"/>
      <c r="U12254" s="9"/>
      <c r="X12254" s="9"/>
    </row>
    <row r="12255">
      <c r="D12255" s="9"/>
      <c r="G12255" s="9"/>
      <c r="J12255" s="11"/>
      <c r="U12255" s="9"/>
      <c r="X12255" s="9"/>
    </row>
    <row r="12256">
      <c r="D12256" s="9"/>
      <c r="G12256" s="9"/>
      <c r="J12256" s="11"/>
      <c r="U12256" s="9"/>
      <c r="X12256" s="9"/>
    </row>
    <row r="12257">
      <c r="D12257" s="9"/>
      <c r="G12257" s="9"/>
      <c r="J12257" s="11"/>
      <c r="U12257" s="9"/>
      <c r="X12257" s="9"/>
    </row>
    <row r="12258">
      <c r="D12258" s="9"/>
      <c r="G12258" s="9"/>
      <c r="J12258" s="11"/>
      <c r="U12258" s="9"/>
      <c r="X12258" s="9"/>
    </row>
    <row r="12259">
      <c r="D12259" s="9"/>
      <c r="G12259" s="9"/>
      <c r="J12259" s="11"/>
      <c r="U12259" s="9"/>
      <c r="X12259" s="9"/>
    </row>
    <row r="12260">
      <c r="D12260" s="9"/>
      <c r="G12260" s="9"/>
      <c r="J12260" s="11"/>
      <c r="U12260" s="9"/>
      <c r="X12260" s="9"/>
    </row>
    <row r="12261">
      <c r="D12261" s="9"/>
      <c r="G12261" s="9"/>
      <c r="J12261" s="11"/>
      <c r="U12261" s="9"/>
      <c r="X12261" s="9"/>
    </row>
    <row r="12262">
      <c r="D12262" s="9"/>
      <c r="G12262" s="9"/>
      <c r="J12262" s="11"/>
      <c r="U12262" s="9"/>
      <c r="X12262" s="9"/>
    </row>
    <row r="12263">
      <c r="D12263" s="9"/>
      <c r="G12263" s="9"/>
      <c r="J12263" s="11"/>
      <c r="U12263" s="9"/>
      <c r="X12263" s="9"/>
    </row>
    <row r="12264">
      <c r="D12264" s="9"/>
      <c r="G12264" s="9"/>
      <c r="J12264" s="11"/>
      <c r="U12264" s="9"/>
      <c r="X12264" s="9"/>
    </row>
    <row r="12265">
      <c r="D12265" s="9"/>
      <c r="G12265" s="9"/>
      <c r="J12265" s="11"/>
      <c r="U12265" s="9"/>
      <c r="X12265" s="9"/>
    </row>
    <row r="12266">
      <c r="D12266" s="9"/>
      <c r="G12266" s="9"/>
      <c r="J12266" s="11"/>
      <c r="U12266" s="9"/>
      <c r="X12266" s="9"/>
    </row>
    <row r="12267">
      <c r="D12267" s="9"/>
      <c r="G12267" s="9"/>
      <c r="J12267" s="11"/>
      <c r="U12267" s="9"/>
      <c r="X12267" s="9"/>
    </row>
    <row r="12268">
      <c r="D12268" s="9"/>
      <c r="G12268" s="9"/>
      <c r="J12268" s="11"/>
      <c r="U12268" s="9"/>
      <c r="X12268" s="9"/>
    </row>
    <row r="12269">
      <c r="D12269" s="9"/>
      <c r="G12269" s="9"/>
      <c r="J12269" s="11"/>
      <c r="U12269" s="9"/>
      <c r="X12269" s="9"/>
    </row>
    <row r="12270">
      <c r="D12270" s="9"/>
      <c r="G12270" s="9"/>
      <c r="J12270" s="11"/>
      <c r="U12270" s="9"/>
      <c r="X12270" s="9"/>
    </row>
    <row r="12271">
      <c r="D12271" s="9"/>
      <c r="G12271" s="9"/>
      <c r="J12271" s="11"/>
      <c r="U12271" s="9"/>
      <c r="X12271" s="9"/>
    </row>
    <row r="12272">
      <c r="D12272" s="9"/>
      <c r="G12272" s="9"/>
      <c r="J12272" s="11"/>
      <c r="U12272" s="9"/>
      <c r="X12272" s="9"/>
    </row>
    <row r="12273">
      <c r="D12273" s="9"/>
      <c r="G12273" s="9"/>
      <c r="J12273" s="11"/>
      <c r="U12273" s="9"/>
      <c r="X12273" s="9"/>
    </row>
    <row r="12274">
      <c r="D12274" s="9"/>
      <c r="G12274" s="9"/>
      <c r="J12274" s="11"/>
      <c r="U12274" s="9"/>
      <c r="X12274" s="9"/>
    </row>
    <row r="12275">
      <c r="D12275" s="9"/>
      <c r="G12275" s="9"/>
      <c r="J12275" s="11"/>
      <c r="U12275" s="9"/>
      <c r="X12275" s="9"/>
    </row>
    <row r="12276">
      <c r="D12276" s="9"/>
      <c r="G12276" s="9"/>
      <c r="J12276" s="11"/>
      <c r="U12276" s="9"/>
      <c r="X12276" s="9"/>
    </row>
    <row r="12277">
      <c r="D12277" s="9"/>
      <c r="G12277" s="9"/>
      <c r="J12277" s="11"/>
      <c r="U12277" s="9"/>
      <c r="X12277" s="9"/>
    </row>
    <row r="12278">
      <c r="D12278" s="9"/>
      <c r="G12278" s="9"/>
      <c r="J12278" s="11"/>
      <c r="U12278" s="9"/>
      <c r="X12278" s="9"/>
    </row>
    <row r="12279">
      <c r="D12279" s="9"/>
      <c r="G12279" s="9"/>
      <c r="J12279" s="11"/>
      <c r="U12279" s="9"/>
      <c r="X12279" s="9"/>
    </row>
    <row r="12280">
      <c r="D12280" s="9"/>
      <c r="G12280" s="9"/>
      <c r="J12280" s="11"/>
      <c r="U12280" s="9"/>
      <c r="X12280" s="9"/>
    </row>
    <row r="12281">
      <c r="D12281" s="9"/>
      <c r="G12281" s="9"/>
      <c r="J12281" s="11"/>
      <c r="U12281" s="9"/>
      <c r="X12281" s="9"/>
    </row>
    <row r="12282">
      <c r="D12282" s="9"/>
      <c r="G12282" s="9"/>
      <c r="J12282" s="11"/>
      <c r="U12282" s="9"/>
      <c r="X12282" s="9"/>
    </row>
    <row r="12283">
      <c r="D12283" s="9"/>
      <c r="G12283" s="9"/>
      <c r="J12283" s="11"/>
      <c r="U12283" s="9"/>
      <c r="X12283" s="9"/>
    </row>
    <row r="12284">
      <c r="D12284" s="9"/>
      <c r="G12284" s="9"/>
      <c r="J12284" s="11"/>
      <c r="U12284" s="9"/>
      <c r="X12284" s="9"/>
    </row>
    <row r="12285">
      <c r="D12285" s="9"/>
      <c r="G12285" s="9"/>
      <c r="J12285" s="11"/>
      <c r="U12285" s="9"/>
      <c r="X12285" s="9"/>
    </row>
    <row r="12286">
      <c r="D12286" s="9"/>
      <c r="G12286" s="9"/>
      <c r="J12286" s="11"/>
      <c r="U12286" s="9"/>
      <c r="X12286" s="9"/>
    </row>
    <row r="12287">
      <c r="D12287" s="9"/>
      <c r="G12287" s="9"/>
      <c r="J12287" s="11"/>
      <c r="U12287" s="9"/>
      <c r="X12287" s="9"/>
    </row>
    <row r="12288">
      <c r="D12288" s="9"/>
      <c r="G12288" s="9"/>
      <c r="J12288" s="11"/>
      <c r="U12288" s="9"/>
      <c r="X12288" s="9"/>
    </row>
    <row r="12289">
      <c r="D12289" s="9"/>
      <c r="G12289" s="9"/>
      <c r="J12289" s="11"/>
      <c r="U12289" s="9"/>
      <c r="X12289" s="9"/>
    </row>
    <row r="12290">
      <c r="D12290" s="9"/>
      <c r="G12290" s="9"/>
      <c r="J12290" s="11"/>
      <c r="U12290" s="9"/>
      <c r="X12290" s="9"/>
    </row>
    <row r="12291">
      <c r="D12291" s="9"/>
      <c r="G12291" s="9"/>
      <c r="J12291" s="11"/>
      <c r="U12291" s="9"/>
      <c r="X12291" s="9"/>
    </row>
    <row r="12292">
      <c r="D12292" s="9"/>
      <c r="G12292" s="9"/>
      <c r="J12292" s="11"/>
      <c r="U12292" s="9"/>
      <c r="X12292" s="9"/>
    </row>
    <row r="12293">
      <c r="D12293" s="9"/>
      <c r="G12293" s="9"/>
      <c r="J12293" s="11"/>
      <c r="U12293" s="9"/>
      <c r="X12293" s="9"/>
    </row>
    <row r="12294">
      <c r="D12294" s="9"/>
      <c r="G12294" s="9"/>
      <c r="J12294" s="11"/>
      <c r="U12294" s="9"/>
      <c r="X12294" s="9"/>
    </row>
    <row r="12295">
      <c r="D12295" s="9"/>
      <c r="G12295" s="9"/>
      <c r="J12295" s="11"/>
      <c r="U12295" s="9"/>
      <c r="X12295" s="9"/>
    </row>
    <row r="12296">
      <c r="D12296" s="9"/>
      <c r="G12296" s="9"/>
      <c r="J12296" s="11"/>
      <c r="U12296" s="9"/>
      <c r="X12296" s="9"/>
    </row>
    <row r="12297">
      <c r="D12297" s="9"/>
      <c r="G12297" s="9"/>
      <c r="J12297" s="11"/>
      <c r="U12297" s="9"/>
      <c r="X12297" s="9"/>
    </row>
    <row r="12298">
      <c r="D12298" s="9"/>
      <c r="G12298" s="9"/>
      <c r="J12298" s="11"/>
      <c r="U12298" s="9"/>
      <c r="X12298" s="9"/>
    </row>
    <row r="12299">
      <c r="D12299" s="9"/>
      <c r="G12299" s="9"/>
      <c r="J12299" s="11"/>
      <c r="U12299" s="9"/>
      <c r="X12299" s="9"/>
    </row>
    <row r="12300">
      <c r="D12300" s="9"/>
      <c r="G12300" s="9"/>
      <c r="J12300" s="11"/>
      <c r="U12300" s="9"/>
      <c r="X12300" s="9"/>
    </row>
    <row r="12301">
      <c r="D12301" s="9"/>
      <c r="G12301" s="9"/>
      <c r="J12301" s="11"/>
      <c r="U12301" s="9"/>
      <c r="X12301" s="9"/>
    </row>
    <row r="12302">
      <c r="D12302" s="9"/>
      <c r="G12302" s="9"/>
      <c r="J12302" s="11"/>
      <c r="U12302" s="9"/>
      <c r="X12302" s="9"/>
    </row>
    <row r="12303">
      <c r="D12303" s="9"/>
      <c r="G12303" s="9"/>
      <c r="J12303" s="11"/>
      <c r="U12303" s="9"/>
      <c r="X12303" s="9"/>
    </row>
    <row r="12304">
      <c r="D12304" s="9"/>
      <c r="G12304" s="9"/>
      <c r="J12304" s="11"/>
      <c r="U12304" s="9"/>
      <c r="X12304" s="9"/>
    </row>
    <row r="12305">
      <c r="D12305" s="9"/>
      <c r="G12305" s="9"/>
      <c r="J12305" s="11"/>
      <c r="U12305" s="9"/>
      <c r="X12305" s="9"/>
    </row>
    <row r="12306">
      <c r="D12306" s="9"/>
      <c r="G12306" s="9"/>
      <c r="J12306" s="11"/>
      <c r="U12306" s="9"/>
      <c r="X12306" s="9"/>
    </row>
    <row r="12307">
      <c r="D12307" s="9"/>
      <c r="G12307" s="9"/>
      <c r="J12307" s="11"/>
      <c r="U12307" s="9"/>
      <c r="X12307" s="9"/>
    </row>
    <row r="12308">
      <c r="D12308" s="9"/>
      <c r="G12308" s="9"/>
      <c r="J12308" s="11"/>
      <c r="U12308" s="9"/>
      <c r="X12308" s="9"/>
    </row>
    <row r="12309">
      <c r="D12309" s="9"/>
      <c r="G12309" s="9"/>
      <c r="J12309" s="11"/>
      <c r="U12309" s="9"/>
      <c r="X12309" s="9"/>
    </row>
    <row r="12310">
      <c r="D12310" s="9"/>
      <c r="G12310" s="9"/>
      <c r="J12310" s="11"/>
      <c r="U12310" s="9"/>
      <c r="X12310" s="9"/>
    </row>
    <row r="12311">
      <c r="D12311" s="9"/>
      <c r="G12311" s="9"/>
      <c r="J12311" s="11"/>
      <c r="U12311" s="9"/>
      <c r="X12311" s="9"/>
    </row>
    <row r="12312">
      <c r="D12312" s="9"/>
      <c r="G12312" s="9"/>
      <c r="J12312" s="11"/>
      <c r="U12312" s="9"/>
      <c r="X12312" s="9"/>
    </row>
    <row r="12313">
      <c r="D12313" s="9"/>
      <c r="G12313" s="9"/>
      <c r="J12313" s="11"/>
      <c r="U12313" s="9"/>
      <c r="X12313" s="9"/>
    </row>
    <row r="12314">
      <c r="D12314" s="9"/>
      <c r="G12314" s="9"/>
      <c r="J12314" s="11"/>
      <c r="U12314" s="9"/>
      <c r="X12314" s="9"/>
    </row>
    <row r="12315">
      <c r="D12315" s="9"/>
      <c r="G12315" s="9"/>
      <c r="J12315" s="11"/>
      <c r="U12315" s="9"/>
      <c r="X12315" s="9"/>
    </row>
    <row r="12316">
      <c r="D12316" s="9"/>
      <c r="G12316" s="9"/>
      <c r="J12316" s="11"/>
      <c r="U12316" s="9"/>
      <c r="X12316" s="9"/>
    </row>
    <row r="12317">
      <c r="D12317" s="9"/>
      <c r="G12317" s="9"/>
      <c r="J12317" s="11"/>
      <c r="U12317" s="9"/>
      <c r="X12317" s="9"/>
    </row>
    <row r="12318">
      <c r="D12318" s="9"/>
      <c r="G12318" s="9"/>
      <c r="J12318" s="11"/>
      <c r="U12318" s="9"/>
      <c r="X12318" s="9"/>
    </row>
    <row r="12319">
      <c r="D12319" s="9"/>
      <c r="G12319" s="9"/>
      <c r="J12319" s="11"/>
      <c r="U12319" s="9"/>
      <c r="X12319" s="9"/>
    </row>
    <row r="12320">
      <c r="D12320" s="9"/>
      <c r="G12320" s="9"/>
      <c r="J12320" s="11"/>
      <c r="U12320" s="9"/>
      <c r="X12320" s="9"/>
    </row>
    <row r="12321">
      <c r="D12321" s="9"/>
      <c r="G12321" s="9"/>
      <c r="J12321" s="11"/>
      <c r="U12321" s="9"/>
      <c r="X12321" s="9"/>
    </row>
    <row r="12322">
      <c r="D12322" s="9"/>
      <c r="G12322" s="9"/>
      <c r="J12322" s="11"/>
      <c r="U12322" s="9"/>
      <c r="X12322" s="9"/>
    </row>
    <row r="12323">
      <c r="D12323" s="9"/>
      <c r="G12323" s="9"/>
      <c r="J12323" s="11"/>
      <c r="U12323" s="9"/>
      <c r="X12323" s="9"/>
    </row>
    <row r="12324">
      <c r="D12324" s="9"/>
      <c r="G12324" s="9"/>
      <c r="J12324" s="11"/>
      <c r="U12324" s="9"/>
      <c r="X12324" s="9"/>
    </row>
    <row r="12325">
      <c r="D12325" s="9"/>
      <c r="G12325" s="9"/>
      <c r="J12325" s="11"/>
      <c r="U12325" s="9"/>
      <c r="X12325" s="9"/>
    </row>
    <row r="12326">
      <c r="D12326" s="9"/>
      <c r="G12326" s="9"/>
      <c r="J12326" s="11"/>
      <c r="U12326" s="9"/>
      <c r="X12326" s="9"/>
    </row>
    <row r="12327">
      <c r="D12327" s="9"/>
      <c r="G12327" s="9"/>
      <c r="J12327" s="11"/>
      <c r="U12327" s="9"/>
      <c r="X12327" s="9"/>
    </row>
    <row r="12328">
      <c r="D12328" s="9"/>
      <c r="G12328" s="9"/>
      <c r="J12328" s="11"/>
      <c r="U12328" s="9"/>
      <c r="X12328" s="9"/>
    </row>
    <row r="12329">
      <c r="D12329" s="9"/>
      <c r="G12329" s="9"/>
      <c r="J12329" s="11"/>
      <c r="U12329" s="9"/>
      <c r="X12329" s="9"/>
    </row>
    <row r="12330">
      <c r="D12330" s="9"/>
      <c r="G12330" s="9"/>
      <c r="J12330" s="11"/>
      <c r="U12330" s="9"/>
      <c r="X12330" s="9"/>
    </row>
    <row r="12331">
      <c r="D12331" s="9"/>
      <c r="G12331" s="9"/>
      <c r="J12331" s="11"/>
      <c r="U12331" s="9"/>
      <c r="X12331" s="9"/>
    </row>
    <row r="12332">
      <c r="D12332" s="9"/>
      <c r="G12332" s="9"/>
      <c r="J12332" s="11"/>
      <c r="U12332" s="9"/>
      <c r="X12332" s="9"/>
    </row>
    <row r="12333">
      <c r="D12333" s="9"/>
      <c r="G12333" s="9"/>
      <c r="J12333" s="11"/>
      <c r="U12333" s="9"/>
      <c r="X12333" s="9"/>
    </row>
    <row r="12334">
      <c r="D12334" s="9"/>
      <c r="G12334" s="9"/>
      <c r="J12334" s="11"/>
      <c r="U12334" s="9"/>
      <c r="X12334" s="9"/>
    </row>
    <row r="12335">
      <c r="D12335" s="9"/>
      <c r="G12335" s="9"/>
      <c r="J12335" s="11"/>
      <c r="U12335" s="9"/>
      <c r="X12335" s="9"/>
    </row>
    <row r="12336">
      <c r="D12336" s="9"/>
      <c r="G12336" s="9"/>
      <c r="J12336" s="11"/>
      <c r="U12336" s="9"/>
      <c r="X12336" s="9"/>
    </row>
    <row r="12337">
      <c r="D12337" s="9"/>
      <c r="G12337" s="9"/>
      <c r="J12337" s="11"/>
      <c r="U12337" s="9"/>
      <c r="X12337" s="9"/>
    </row>
    <row r="12338">
      <c r="D12338" s="9"/>
      <c r="G12338" s="9"/>
      <c r="J12338" s="11"/>
      <c r="U12338" s="9"/>
      <c r="X12338" s="9"/>
    </row>
    <row r="12339">
      <c r="D12339" s="9"/>
      <c r="G12339" s="9"/>
      <c r="J12339" s="11"/>
      <c r="U12339" s="9"/>
      <c r="X12339" s="9"/>
    </row>
    <row r="12340">
      <c r="D12340" s="9"/>
      <c r="G12340" s="9"/>
      <c r="J12340" s="11"/>
      <c r="U12340" s="9"/>
      <c r="X12340" s="9"/>
    </row>
    <row r="12341">
      <c r="D12341" s="9"/>
      <c r="G12341" s="9"/>
      <c r="J12341" s="11"/>
      <c r="U12341" s="9"/>
      <c r="X12341" s="9"/>
    </row>
    <row r="12342">
      <c r="D12342" s="9"/>
      <c r="G12342" s="9"/>
      <c r="J12342" s="11"/>
      <c r="U12342" s="9"/>
      <c r="X12342" s="9"/>
    </row>
    <row r="12343">
      <c r="D12343" s="9"/>
      <c r="G12343" s="9"/>
      <c r="J12343" s="11"/>
      <c r="U12343" s="9"/>
      <c r="X12343" s="9"/>
    </row>
    <row r="12344">
      <c r="D12344" s="9"/>
      <c r="G12344" s="9"/>
      <c r="J12344" s="11"/>
      <c r="U12344" s="9"/>
      <c r="X12344" s="9"/>
    </row>
    <row r="12345">
      <c r="D12345" s="9"/>
      <c r="G12345" s="9"/>
      <c r="J12345" s="11"/>
      <c r="U12345" s="9"/>
      <c r="X12345" s="9"/>
    </row>
    <row r="12346">
      <c r="D12346" s="9"/>
      <c r="G12346" s="9"/>
      <c r="J12346" s="11"/>
      <c r="U12346" s="9"/>
      <c r="X12346" s="9"/>
    </row>
    <row r="12347">
      <c r="D12347" s="9"/>
      <c r="G12347" s="9"/>
      <c r="J12347" s="11"/>
      <c r="U12347" s="9"/>
      <c r="X12347" s="9"/>
    </row>
    <row r="12348">
      <c r="D12348" s="9"/>
      <c r="G12348" s="9"/>
      <c r="J12348" s="11"/>
      <c r="U12348" s="9"/>
      <c r="X12348" s="9"/>
    </row>
    <row r="12349">
      <c r="D12349" s="9"/>
      <c r="G12349" s="9"/>
      <c r="J12349" s="11"/>
      <c r="U12349" s="9"/>
      <c r="X12349" s="9"/>
    </row>
    <row r="12350">
      <c r="D12350" s="9"/>
      <c r="G12350" s="9"/>
      <c r="J12350" s="11"/>
      <c r="U12350" s="9"/>
      <c r="X12350" s="9"/>
    </row>
    <row r="12351">
      <c r="D12351" s="9"/>
      <c r="G12351" s="9"/>
      <c r="J12351" s="11"/>
      <c r="U12351" s="9"/>
      <c r="X12351" s="9"/>
    </row>
    <row r="12352">
      <c r="D12352" s="9"/>
      <c r="G12352" s="9"/>
      <c r="J12352" s="11"/>
      <c r="U12352" s="9"/>
      <c r="X12352" s="9"/>
    </row>
    <row r="12353">
      <c r="D12353" s="9"/>
      <c r="G12353" s="9"/>
      <c r="J12353" s="11"/>
      <c r="U12353" s="9"/>
      <c r="X12353" s="9"/>
    </row>
    <row r="12354">
      <c r="D12354" s="9"/>
      <c r="G12354" s="9"/>
      <c r="J12354" s="11"/>
      <c r="U12354" s="9"/>
      <c r="X12354" s="9"/>
    </row>
    <row r="12355">
      <c r="D12355" s="9"/>
      <c r="G12355" s="9"/>
      <c r="J12355" s="11"/>
      <c r="U12355" s="9"/>
      <c r="X12355" s="9"/>
    </row>
    <row r="12356">
      <c r="D12356" s="9"/>
      <c r="G12356" s="9"/>
      <c r="J12356" s="11"/>
      <c r="U12356" s="9"/>
      <c r="X12356" s="9"/>
    </row>
    <row r="12357">
      <c r="D12357" s="9"/>
      <c r="G12357" s="9"/>
      <c r="J12357" s="11"/>
      <c r="U12357" s="9"/>
      <c r="X12357" s="9"/>
    </row>
    <row r="12358">
      <c r="D12358" s="9"/>
      <c r="G12358" s="9"/>
      <c r="J12358" s="11"/>
      <c r="U12358" s="9"/>
      <c r="X12358" s="9"/>
    </row>
    <row r="12359">
      <c r="D12359" s="9"/>
      <c r="G12359" s="9"/>
      <c r="J12359" s="11"/>
      <c r="U12359" s="9"/>
      <c r="X12359" s="9"/>
    </row>
    <row r="12360">
      <c r="D12360" s="9"/>
      <c r="G12360" s="9"/>
      <c r="J12360" s="11"/>
      <c r="U12360" s="9"/>
      <c r="X12360" s="9"/>
    </row>
    <row r="12361">
      <c r="D12361" s="9"/>
      <c r="G12361" s="9"/>
      <c r="J12361" s="11"/>
      <c r="U12361" s="9"/>
      <c r="X12361" s="9"/>
    </row>
    <row r="12362">
      <c r="D12362" s="9"/>
      <c r="G12362" s="9"/>
      <c r="J12362" s="11"/>
      <c r="U12362" s="9"/>
      <c r="X12362" s="9"/>
    </row>
    <row r="12363">
      <c r="D12363" s="9"/>
      <c r="G12363" s="9"/>
      <c r="J12363" s="11"/>
      <c r="U12363" s="9"/>
      <c r="X12363" s="9"/>
    </row>
    <row r="12364">
      <c r="D12364" s="9"/>
      <c r="G12364" s="9"/>
      <c r="J12364" s="11"/>
      <c r="U12364" s="9"/>
      <c r="X12364" s="9"/>
    </row>
    <row r="12365">
      <c r="D12365" s="9"/>
      <c r="G12365" s="9"/>
      <c r="J12365" s="11"/>
      <c r="U12365" s="9"/>
      <c r="X12365" s="9"/>
    </row>
    <row r="12366">
      <c r="D12366" s="9"/>
      <c r="G12366" s="9"/>
      <c r="J12366" s="11"/>
      <c r="U12366" s="9"/>
      <c r="X12366" s="9"/>
    </row>
    <row r="12367">
      <c r="D12367" s="9"/>
      <c r="G12367" s="9"/>
      <c r="J12367" s="11"/>
      <c r="U12367" s="9"/>
      <c r="X12367" s="9"/>
    </row>
    <row r="12368">
      <c r="D12368" s="9"/>
      <c r="G12368" s="9"/>
      <c r="J12368" s="11"/>
      <c r="U12368" s="9"/>
      <c r="X12368" s="9"/>
    </row>
    <row r="12369">
      <c r="D12369" s="9"/>
      <c r="G12369" s="9"/>
      <c r="J12369" s="11"/>
      <c r="U12369" s="9"/>
      <c r="X12369" s="9"/>
    </row>
    <row r="12370">
      <c r="D12370" s="9"/>
      <c r="G12370" s="9"/>
      <c r="J12370" s="11"/>
      <c r="U12370" s="9"/>
      <c r="X12370" s="9"/>
    </row>
    <row r="12371">
      <c r="D12371" s="9"/>
      <c r="G12371" s="9"/>
      <c r="J12371" s="11"/>
      <c r="U12371" s="9"/>
      <c r="X12371" s="9"/>
    </row>
    <row r="12372">
      <c r="D12372" s="9"/>
      <c r="G12372" s="9"/>
      <c r="J12372" s="11"/>
      <c r="U12372" s="9"/>
      <c r="X12372" s="9"/>
    </row>
    <row r="12373">
      <c r="D12373" s="9"/>
      <c r="G12373" s="9"/>
      <c r="J12373" s="11"/>
      <c r="U12373" s="9"/>
      <c r="X12373" s="9"/>
    </row>
    <row r="12374">
      <c r="D12374" s="9"/>
      <c r="G12374" s="9"/>
      <c r="J12374" s="11"/>
      <c r="U12374" s="9"/>
      <c r="X12374" s="9"/>
    </row>
    <row r="12375">
      <c r="D12375" s="9"/>
      <c r="G12375" s="9"/>
      <c r="J12375" s="11"/>
      <c r="U12375" s="9"/>
      <c r="X12375" s="9"/>
    </row>
    <row r="12376">
      <c r="D12376" s="9"/>
      <c r="G12376" s="9"/>
      <c r="J12376" s="11"/>
      <c r="U12376" s="9"/>
      <c r="X12376" s="9"/>
    </row>
    <row r="12377">
      <c r="D12377" s="9"/>
      <c r="G12377" s="9"/>
      <c r="J12377" s="11"/>
      <c r="U12377" s="9"/>
      <c r="X12377" s="9"/>
    </row>
    <row r="12378">
      <c r="D12378" s="9"/>
      <c r="G12378" s="9"/>
      <c r="J12378" s="11"/>
      <c r="U12378" s="9"/>
      <c r="X12378" s="9"/>
    </row>
    <row r="12379">
      <c r="D12379" s="9"/>
      <c r="G12379" s="9"/>
      <c r="J12379" s="11"/>
      <c r="U12379" s="9"/>
      <c r="X12379" s="9"/>
    </row>
    <row r="12380">
      <c r="D12380" s="9"/>
      <c r="G12380" s="9"/>
      <c r="J12380" s="11"/>
      <c r="U12380" s="9"/>
      <c r="X12380" s="9"/>
    </row>
    <row r="12381">
      <c r="D12381" s="9"/>
      <c r="G12381" s="9"/>
      <c r="J12381" s="11"/>
      <c r="U12381" s="9"/>
      <c r="X12381" s="9"/>
    </row>
    <row r="12382">
      <c r="D12382" s="9"/>
      <c r="G12382" s="9"/>
      <c r="J12382" s="11"/>
      <c r="U12382" s="9"/>
      <c r="X12382" s="9"/>
    </row>
    <row r="12383">
      <c r="D12383" s="9"/>
      <c r="G12383" s="9"/>
      <c r="J12383" s="11"/>
      <c r="U12383" s="9"/>
      <c r="X12383" s="9"/>
    </row>
    <row r="12384">
      <c r="D12384" s="9"/>
      <c r="G12384" s="9"/>
      <c r="J12384" s="11"/>
      <c r="U12384" s="9"/>
      <c r="X12384" s="9"/>
    </row>
    <row r="12385">
      <c r="D12385" s="9"/>
      <c r="G12385" s="9"/>
      <c r="J12385" s="11"/>
      <c r="U12385" s="9"/>
      <c r="X12385" s="9"/>
    </row>
    <row r="12386">
      <c r="D12386" s="9"/>
      <c r="G12386" s="9"/>
      <c r="J12386" s="11"/>
      <c r="U12386" s="9"/>
      <c r="X12386" s="9"/>
    </row>
    <row r="12387">
      <c r="D12387" s="9"/>
      <c r="G12387" s="9"/>
      <c r="J12387" s="11"/>
      <c r="U12387" s="9"/>
      <c r="X12387" s="9"/>
    </row>
    <row r="12388">
      <c r="D12388" s="9"/>
      <c r="G12388" s="9"/>
      <c r="J12388" s="11"/>
      <c r="U12388" s="9"/>
      <c r="X12388" s="9"/>
    </row>
    <row r="12389">
      <c r="D12389" s="9"/>
      <c r="G12389" s="9"/>
      <c r="J12389" s="11"/>
      <c r="U12389" s="9"/>
      <c r="X12389" s="9"/>
    </row>
    <row r="12390">
      <c r="D12390" s="9"/>
      <c r="G12390" s="9"/>
      <c r="J12390" s="11"/>
      <c r="U12390" s="9"/>
      <c r="X12390" s="9"/>
    </row>
    <row r="12391">
      <c r="D12391" s="9"/>
      <c r="G12391" s="9"/>
      <c r="J12391" s="11"/>
      <c r="U12391" s="9"/>
      <c r="X12391" s="9"/>
    </row>
    <row r="12392">
      <c r="D12392" s="9"/>
      <c r="G12392" s="9"/>
      <c r="J12392" s="11"/>
      <c r="U12392" s="9"/>
      <c r="X12392" s="9"/>
    </row>
    <row r="12393">
      <c r="D12393" s="9"/>
      <c r="G12393" s="9"/>
      <c r="J12393" s="11"/>
      <c r="U12393" s="9"/>
      <c r="X12393" s="9"/>
    </row>
    <row r="12394">
      <c r="D12394" s="9"/>
      <c r="G12394" s="9"/>
      <c r="J12394" s="11"/>
      <c r="U12394" s="9"/>
      <c r="X12394" s="9"/>
    </row>
    <row r="12395">
      <c r="D12395" s="9"/>
      <c r="G12395" s="9"/>
      <c r="J12395" s="11"/>
      <c r="U12395" s="9"/>
      <c r="X12395" s="9"/>
    </row>
    <row r="12396">
      <c r="D12396" s="9"/>
      <c r="G12396" s="9"/>
      <c r="J12396" s="11"/>
      <c r="U12396" s="9"/>
      <c r="X12396" s="9"/>
    </row>
    <row r="12397">
      <c r="D12397" s="9"/>
      <c r="G12397" s="9"/>
      <c r="J12397" s="11"/>
      <c r="U12397" s="9"/>
      <c r="X12397" s="9"/>
    </row>
    <row r="12398">
      <c r="D12398" s="9"/>
      <c r="G12398" s="9"/>
      <c r="J12398" s="11"/>
      <c r="U12398" s="9"/>
      <c r="X12398" s="9"/>
    </row>
    <row r="12399">
      <c r="D12399" s="9"/>
      <c r="G12399" s="9"/>
      <c r="J12399" s="11"/>
      <c r="U12399" s="9"/>
      <c r="X12399" s="9"/>
    </row>
    <row r="12400">
      <c r="D12400" s="9"/>
      <c r="G12400" s="9"/>
      <c r="J12400" s="11"/>
      <c r="U12400" s="9"/>
      <c r="X12400" s="9"/>
    </row>
    <row r="12401">
      <c r="D12401" s="9"/>
      <c r="G12401" s="9"/>
      <c r="J12401" s="11"/>
      <c r="U12401" s="9"/>
      <c r="X12401" s="9"/>
    </row>
    <row r="12402">
      <c r="D12402" s="9"/>
      <c r="G12402" s="9"/>
      <c r="J12402" s="11"/>
      <c r="U12402" s="9"/>
      <c r="X12402" s="9"/>
    </row>
    <row r="12403">
      <c r="D12403" s="9"/>
      <c r="G12403" s="9"/>
      <c r="J12403" s="11"/>
      <c r="U12403" s="9"/>
      <c r="X12403" s="9"/>
    </row>
    <row r="12404">
      <c r="D12404" s="9"/>
      <c r="G12404" s="9"/>
      <c r="J12404" s="11"/>
      <c r="U12404" s="9"/>
      <c r="X12404" s="9"/>
    </row>
    <row r="12405">
      <c r="D12405" s="9"/>
      <c r="G12405" s="9"/>
      <c r="J12405" s="11"/>
      <c r="U12405" s="9"/>
      <c r="X12405" s="9"/>
    </row>
    <row r="12406">
      <c r="D12406" s="9"/>
      <c r="G12406" s="9"/>
      <c r="J12406" s="11"/>
      <c r="U12406" s="9"/>
      <c r="X12406" s="9"/>
    </row>
    <row r="12407">
      <c r="D12407" s="9"/>
      <c r="G12407" s="9"/>
      <c r="J12407" s="11"/>
      <c r="U12407" s="9"/>
      <c r="X12407" s="9"/>
    </row>
    <row r="12408">
      <c r="D12408" s="9"/>
      <c r="G12408" s="9"/>
      <c r="J12408" s="11"/>
      <c r="U12408" s="9"/>
      <c r="X12408" s="9"/>
    </row>
    <row r="12409">
      <c r="D12409" s="9"/>
      <c r="G12409" s="9"/>
      <c r="J12409" s="11"/>
      <c r="U12409" s="9"/>
      <c r="X12409" s="9"/>
    </row>
    <row r="12410">
      <c r="D12410" s="9"/>
      <c r="G12410" s="9"/>
      <c r="J12410" s="11"/>
      <c r="U12410" s="9"/>
      <c r="X12410" s="9"/>
    </row>
    <row r="12411">
      <c r="D12411" s="9"/>
      <c r="G12411" s="9"/>
      <c r="J12411" s="11"/>
      <c r="U12411" s="9"/>
      <c r="X12411" s="9"/>
    </row>
    <row r="12412">
      <c r="D12412" s="9"/>
      <c r="G12412" s="9"/>
      <c r="J12412" s="11"/>
      <c r="U12412" s="9"/>
      <c r="X12412" s="9"/>
    </row>
    <row r="12413">
      <c r="D12413" s="9"/>
      <c r="G12413" s="9"/>
      <c r="J12413" s="11"/>
      <c r="U12413" s="9"/>
      <c r="X12413" s="9"/>
    </row>
    <row r="12414">
      <c r="D12414" s="9"/>
      <c r="G12414" s="9"/>
      <c r="J12414" s="11"/>
      <c r="U12414" s="9"/>
      <c r="X12414" s="9"/>
    </row>
    <row r="12415">
      <c r="D12415" s="9"/>
      <c r="G12415" s="9"/>
      <c r="J12415" s="11"/>
      <c r="U12415" s="9"/>
      <c r="X12415" s="9"/>
    </row>
    <row r="12416">
      <c r="D12416" s="9"/>
      <c r="G12416" s="9"/>
      <c r="J12416" s="11"/>
      <c r="U12416" s="9"/>
      <c r="X12416" s="9"/>
    </row>
    <row r="12417">
      <c r="D12417" s="9"/>
      <c r="G12417" s="9"/>
      <c r="J12417" s="11"/>
      <c r="U12417" s="9"/>
      <c r="X12417" s="9"/>
    </row>
    <row r="12418">
      <c r="D12418" s="9"/>
      <c r="G12418" s="9"/>
      <c r="J12418" s="11"/>
      <c r="U12418" s="9"/>
      <c r="X12418" s="9"/>
    </row>
    <row r="12419">
      <c r="D12419" s="9"/>
      <c r="G12419" s="9"/>
      <c r="J12419" s="11"/>
      <c r="U12419" s="9"/>
      <c r="X12419" s="9"/>
    </row>
    <row r="12420">
      <c r="D12420" s="9"/>
      <c r="G12420" s="9"/>
      <c r="J12420" s="11"/>
      <c r="U12420" s="9"/>
      <c r="X12420" s="9"/>
    </row>
    <row r="12421">
      <c r="D12421" s="9"/>
      <c r="G12421" s="9"/>
      <c r="J12421" s="11"/>
      <c r="U12421" s="9"/>
      <c r="X12421" s="9"/>
    </row>
    <row r="12422">
      <c r="D12422" s="9"/>
      <c r="G12422" s="9"/>
      <c r="J12422" s="11"/>
      <c r="U12422" s="9"/>
      <c r="X12422" s="9"/>
    </row>
    <row r="12423">
      <c r="D12423" s="9"/>
      <c r="G12423" s="9"/>
      <c r="J12423" s="11"/>
      <c r="U12423" s="9"/>
      <c r="X12423" s="9"/>
    </row>
    <row r="12424">
      <c r="D12424" s="9"/>
      <c r="G12424" s="9"/>
      <c r="J12424" s="11"/>
      <c r="U12424" s="9"/>
      <c r="X12424" s="9"/>
    </row>
    <row r="12425">
      <c r="D12425" s="9"/>
      <c r="G12425" s="9"/>
      <c r="J12425" s="11"/>
      <c r="U12425" s="9"/>
      <c r="X12425" s="9"/>
    </row>
    <row r="12426">
      <c r="D12426" s="9"/>
      <c r="G12426" s="9"/>
      <c r="J12426" s="11"/>
      <c r="U12426" s="9"/>
      <c r="X12426" s="9"/>
    </row>
    <row r="12427">
      <c r="D12427" s="9"/>
      <c r="G12427" s="9"/>
      <c r="J12427" s="11"/>
      <c r="U12427" s="9"/>
      <c r="X12427" s="9"/>
    </row>
    <row r="12428">
      <c r="D12428" s="9"/>
      <c r="G12428" s="9"/>
      <c r="J12428" s="11"/>
      <c r="U12428" s="9"/>
      <c r="X12428" s="9"/>
    </row>
    <row r="12429">
      <c r="D12429" s="9"/>
      <c r="G12429" s="9"/>
      <c r="J12429" s="11"/>
      <c r="U12429" s="9"/>
      <c r="X12429" s="9"/>
    </row>
    <row r="12430">
      <c r="D12430" s="9"/>
      <c r="G12430" s="9"/>
      <c r="J12430" s="11"/>
      <c r="U12430" s="9"/>
      <c r="X12430" s="9"/>
    </row>
    <row r="12431">
      <c r="D12431" s="9"/>
      <c r="G12431" s="9"/>
      <c r="J12431" s="11"/>
      <c r="U12431" s="9"/>
      <c r="X12431" s="9"/>
    </row>
    <row r="12432">
      <c r="D12432" s="9"/>
      <c r="G12432" s="9"/>
      <c r="J12432" s="11"/>
      <c r="U12432" s="9"/>
      <c r="X12432" s="9"/>
    </row>
    <row r="12433">
      <c r="D12433" s="9"/>
      <c r="G12433" s="9"/>
      <c r="J12433" s="11"/>
      <c r="U12433" s="9"/>
      <c r="X12433" s="9"/>
    </row>
    <row r="12434">
      <c r="D12434" s="9"/>
      <c r="G12434" s="9"/>
      <c r="J12434" s="11"/>
      <c r="U12434" s="9"/>
      <c r="X12434" s="9"/>
    </row>
    <row r="12435">
      <c r="D12435" s="9"/>
      <c r="G12435" s="9"/>
      <c r="J12435" s="11"/>
      <c r="U12435" s="9"/>
      <c r="X12435" s="9"/>
    </row>
    <row r="12436">
      <c r="D12436" s="9"/>
      <c r="G12436" s="9"/>
      <c r="J12436" s="11"/>
      <c r="U12436" s="9"/>
      <c r="X12436" s="9"/>
    </row>
    <row r="12437">
      <c r="D12437" s="9"/>
      <c r="G12437" s="9"/>
      <c r="J12437" s="11"/>
      <c r="U12437" s="9"/>
      <c r="X12437" s="9"/>
    </row>
    <row r="12438">
      <c r="D12438" s="9"/>
      <c r="G12438" s="9"/>
      <c r="J12438" s="11"/>
      <c r="U12438" s="9"/>
      <c r="X12438" s="9"/>
    </row>
    <row r="12439">
      <c r="D12439" s="9"/>
      <c r="G12439" s="9"/>
      <c r="J12439" s="11"/>
      <c r="U12439" s="9"/>
      <c r="X12439" s="9"/>
    </row>
    <row r="12440">
      <c r="D12440" s="9"/>
      <c r="G12440" s="9"/>
      <c r="J12440" s="11"/>
      <c r="U12440" s="9"/>
      <c r="X12440" s="9"/>
    </row>
    <row r="12441">
      <c r="D12441" s="9"/>
      <c r="G12441" s="9"/>
      <c r="J12441" s="11"/>
      <c r="U12441" s="9"/>
      <c r="X12441" s="9"/>
    </row>
    <row r="12442">
      <c r="D12442" s="9"/>
      <c r="G12442" s="9"/>
      <c r="J12442" s="11"/>
      <c r="U12442" s="9"/>
      <c r="X12442" s="9"/>
    </row>
    <row r="12443">
      <c r="D12443" s="9"/>
      <c r="G12443" s="9"/>
      <c r="J12443" s="11"/>
      <c r="U12443" s="9"/>
      <c r="X12443" s="9"/>
    </row>
    <row r="12444">
      <c r="D12444" s="9"/>
      <c r="G12444" s="9"/>
      <c r="J12444" s="11"/>
      <c r="U12444" s="9"/>
      <c r="X12444" s="9"/>
    </row>
    <row r="12445">
      <c r="D12445" s="9"/>
      <c r="G12445" s="9"/>
      <c r="J12445" s="11"/>
      <c r="U12445" s="9"/>
      <c r="X12445" s="9"/>
    </row>
    <row r="12446">
      <c r="D12446" s="9"/>
      <c r="G12446" s="9"/>
      <c r="J12446" s="11"/>
      <c r="U12446" s="9"/>
      <c r="X12446" s="9"/>
    </row>
    <row r="12447">
      <c r="D12447" s="9"/>
      <c r="G12447" s="9"/>
      <c r="J12447" s="11"/>
      <c r="U12447" s="9"/>
      <c r="X12447" s="9"/>
    </row>
    <row r="12448">
      <c r="D12448" s="9"/>
      <c r="G12448" s="9"/>
      <c r="J12448" s="11"/>
      <c r="U12448" s="9"/>
      <c r="X12448" s="9"/>
    </row>
    <row r="12449">
      <c r="D12449" s="9"/>
      <c r="G12449" s="9"/>
      <c r="J12449" s="11"/>
      <c r="U12449" s="9"/>
      <c r="X12449" s="9"/>
    </row>
    <row r="12450">
      <c r="D12450" s="9"/>
      <c r="G12450" s="9"/>
      <c r="J12450" s="11"/>
      <c r="U12450" s="9"/>
      <c r="X12450" s="9"/>
    </row>
    <row r="12451">
      <c r="D12451" s="9"/>
      <c r="G12451" s="9"/>
      <c r="J12451" s="11"/>
      <c r="U12451" s="9"/>
      <c r="X12451" s="9"/>
    </row>
    <row r="12452">
      <c r="D12452" s="9"/>
      <c r="G12452" s="9"/>
      <c r="J12452" s="11"/>
      <c r="U12452" s="9"/>
      <c r="X12452" s="9"/>
    </row>
    <row r="12453">
      <c r="D12453" s="9"/>
      <c r="G12453" s="9"/>
      <c r="J12453" s="11"/>
      <c r="U12453" s="9"/>
      <c r="X12453" s="9"/>
    </row>
    <row r="12454">
      <c r="D12454" s="9"/>
      <c r="G12454" s="9"/>
      <c r="J12454" s="11"/>
      <c r="U12454" s="9"/>
      <c r="X12454" s="9"/>
    </row>
    <row r="12455">
      <c r="D12455" s="9"/>
      <c r="G12455" s="9"/>
      <c r="J12455" s="11"/>
      <c r="U12455" s="9"/>
      <c r="X12455" s="9"/>
    </row>
    <row r="12456">
      <c r="D12456" s="9"/>
      <c r="G12456" s="9"/>
      <c r="J12456" s="11"/>
      <c r="U12456" s="9"/>
      <c r="X12456" s="9"/>
    </row>
    <row r="12457">
      <c r="D12457" s="9"/>
      <c r="G12457" s="9"/>
      <c r="J12457" s="11"/>
      <c r="U12457" s="9"/>
      <c r="X12457" s="9"/>
    </row>
    <row r="12458">
      <c r="D12458" s="9"/>
      <c r="G12458" s="9"/>
      <c r="J12458" s="11"/>
      <c r="U12458" s="9"/>
      <c r="X12458" s="9"/>
    </row>
    <row r="12459">
      <c r="D12459" s="9"/>
      <c r="G12459" s="9"/>
      <c r="J12459" s="11"/>
      <c r="U12459" s="9"/>
      <c r="X12459" s="9"/>
    </row>
    <row r="12460">
      <c r="D12460" s="9"/>
      <c r="G12460" s="9"/>
      <c r="J12460" s="11"/>
      <c r="U12460" s="9"/>
      <c r="X12460" s="9"/>
    </row>
    <row r="12461">
      <c r="D12461" s="9"/>
      <c r="G12461" s="9"/>
      <c r="J12461" s="11"/>
      <c r="U12461" s="9"/>
      <c r="X12461" s="9"/>
    </row>
    <row r="12462">
      <c r="D12462" s="9"/>
      <c r="G12462" s="9"/>
      <c r="J12462" s="11"/>
      <c r="U12462" s="9"/>
      <c r="X12462" s="9"/>
    </row>
    <row r="12463">
      <c r="D12463" s="9"/>
      <c r="G12463" s="9"/>
      <c r="J12463" s="11"/>
      <c r="U12463" s="9"/>
      <c r="X12463" s="9"/>
    </row>
    <row r="12464">
      <c r="D12464" s="9"/>
      <c r="G12464" s="9"/>
      <c r="J12464" s="11"/>
      <c r="U12464" s="9"/>
      <c r="X12464" s="9"/>
    </row>
    <row r="12465">
      <c r="D12465" s="9"/>
      <c r="G12465" s="9"/>
      <c r="J12465" s="11"/>
      <c r="U12465" s="9"/>
      <c r="X12465" s="9"/>
    </row>
    <row r="12466">
      <c r="D12466" s="9"/>
      <c r="G12466" s="9"/>
      <c r="J12466" s="11"/>
      <c r="U12466" s="9"/>
      <c r="X12466" s="9"/>
    </row>
    <row r="12467">
      <c r="D12467" s="9"/>
      <c r="G12467" s="9"/>
      <c r="J12467" s="11"/>
      <c r="U12467" s="9"/>
      <c r="X12467" s="9"/>
    </row>
    <row r="12468">
      <c r="D12468" s="9"/>
      <c r="G12468" s="9"/>
      <c r="J12468" s="11"/>
      <c r="U12468" s="9"/>
      <c r="X12468" s="9"/>
    </row>
    <row r="12469">
      <c r="D12469" s="9"/>
      <c r="G12469" s="9"/>
      <c r="J12469" s="11"/>
      <c r="U12469" s="9"/>
      <c r="X12469" s="9"/>
    </row>
    <row r="12470">
      <c r="D12470" s="9"/>
      <c r="G12470" s="9"/>
      <c r="J12470" s="11"/>
      <c r="U12470" s="9"/>
      <c r="X12470" s="9"/>
    </row>
    <row r="12471">
      <c r="D12471" s="9"/>
      <c r="G12471" s="9"/>
      <c r="J12471" s="11"/>
      <c r="U12471" s="9"/>
      <c r="X12471" s="9"/>
    </row>
    <row r="12472">
      <c r="D12472" s="9"/>
      <c r="G12472" s="9"/>
      <c r="J12472" s="11"/>
      <c r="U12472" s="9"/>
      <c r="X12472" s="9"/>
    </row>
    <row r="12473">
      <c r="D12473" s="9"/>
      <c r="G12473" s="9"/>
      <c r="J12473" s="11"/>
      <c r="U12473" s="9"/>
      <c r="X12473" s="9"/>
    </row>
    <row r="12474">
      <c r="D12474" s="9"/>
      <c r="G12474" s="9"/>
      <c r="J12474" s="11"/>
      <c r="U12474" s="9"/>
      <c r="X12474" s="9"/>
    </row>
    <row r="12475">
      <c r="D12475" s="9"/>
      <c r="G12475" s="9"/>
      <c r="J12475" s="11"/>
      <c r="U12475" s="9"/>
      <c r="X12475" s="9"/>
    </row>
    <row r="12476">
      <c r="D12476" s="9"/>
      <c r="G12476" s="9"/>
      <c r="J12476" s="11"/>
      <c r="U12476" s="9"/>
      <c r="X12476" s="9"/>
    </row>
    <row r="12477">
      <c r="D12477" s="9"/>
      <c r="G12477" s="9"/>
      <c r="J12477" s="11"/>
      <c r="U12477" s="9"/>
      <c r="X12477" s="9"/>
    </row>
    <row r="12478">
      <c r="D12478" s="9"/>
      <c r="G12478" s="9"/>
      <c r="J12478" s="11"/>
      <c r="U12478" s="9"/>
      <c r="X12478" s="9"/>
    </row>
    <row r="12479">
      <c r="D12479" s="9"/>
      <c r="G12479" s="9"/>
      <c r="J12479" s="11"/>
      <c r="U12479" s="9"/>
      <c r="X12479" s="9"/>
    </row>
    <row r="12480">
      <c r="D12480" s="9"/>
      <c r="G12480" s="9"/>
      <c r="J12480" s="11"/>
      <c r="U12480" s="9"/>
      <c r="X12480" s="9"/>
    </row>
    <row r="12481">
      <c r="D12481" s="9"/>
      <c r="G12481" s="9"/>
      <c r="J12481" s="11"/>
      <c r="U12481" s="9"/>
      <c r="X12481" s="9"/>
    </row>
    <row r="12482">
      <c r="D12482" s="9"/>
      <c r="G12482" s="9"/>
      <c r="J12482" s="11"/>
      <c r="U12482" s="9"/>
      <c r="X12482" s="9"/>
    </row>
    <row r="12483">
      <c r="D12483" s="9"/>
      <c r="G12483" s="9"/>
      <c r="J12483" s="11"/>
      <c r="U12483" s="9"/>
      <c r="X12483" s="9"/>
    </row>
    <row r="12484">
      <c r="D12484" s="9"/>
      <c r="G12484" s="9"/>
      <c r="J12484" s="11"/>
      <c r="U12484" s="9"/>
      <c r="X12484" s="9"/>
    </row>
    <row r="12485">
      <c r="D12485" s="9"/>
      <c r="G12485" s="9"/>
      <c r="J12485" s="11"/>
      <c r="U12485" s="9"/>
      <c r="X12485" s="9"/>
    </row>
    <row r="12486">
      <c r="D12486" s="9"/>
      <c r="G12486" s="9"/>
      <c r="J12486" s="11"/>
      <c r="U12486" s="9"/>
      <c r="X12486" s="9"/>
    </row>
    <row r="12487">
      <c r="D12487" s="9"/>
      <c r="G12487" s="9"/>
      <c r="J12487" s="11"/>
      <c r="U12487" s="9"/>
      <c r="X12487" s="9"/>
    </row>
    <row r="12488">
      <c r="D12488" s="9"/>
      <c r="G12488" s="9"/>
      <c r="J12488" s="11"/>
      <c r="U12488" s="9"/>
      <c r="X12488" s="9"/>
    </row>
    <row r="12489">
      <c r="D12489" s="9"/>
      <c r="G12489" s="9"/>
      <c r="J12489" s="11"/>
      <c r="U12489" s="9"/>
      <c r="X12489" s="9"/>
    </row>
    <row r="12490">
      <c r="D12490" s="9"/>
      <c r="G12490" s="9"/>
      <c r="J12490" s="11"/>
      <c r="U12490" s="9"/>
      <c r="X12490" s="9"/>
    </row>
    <row r="12491">
      <c r="D12491" s="9"/>
      <c r="G12491" s="9"/>
      <c r="J12491" s="11"/>
      <c r="U12491" s="9"/>
      <c r="X12491" s="9"/>
    </row>
    <row r="12492">
      <c r="D12492" s="9"/>
      <c r="G12492" s="9"/>
      <c r="J12492" s="11"/>
      <c r="U12492" s="9"/>
      <c r="X12492" s="9"/>
    </row>
    <row r="12493">
      <c r="D12493" s="9"/>
      <c r="G12493" s="9"/>
      <c r="J12493" s="11"/>
      <c r="U12493" s="9"/>
      <c r="X12493" s="9"/>
    </row>
    <row r="12494">
      <c r="D12494" s="9"/>
      <c r="G12494" s="9"/>
      <c r="J12494" s="11"/>
      <c r="U12494" s="9"/>
      <c r="X12494" s="9"/>
    </row>
    <row r="12495">
      <c r="D12495" s="9"/>
      <c r="G12495" s="9"/>
      <c r="J12495" s="11"/>
      <c r="U12495" s="9"/>
      <c r="X12495" s="9"/>
    </row>
    <row r="12496">
      <c r="D12496" s="9"/>
      <c r="G12496" s="9"/>
      <c r="J12496" s="11"/>
      <c r="U12496" s="9"/>
      <c r="X12496" s="9"/>
    </row>
    <row r="12497">
      <c r="D12497" s="9"/>
      <c r="G12497" s="9"/>
      <c r="J12497" s="11"/>
      <c r="U12497" s="9"/>
      <c r="X12497" s="9"/>
    </row>
    <row r="12498">
      <c r="D12498" s="9"/>
      <c r="G12498" s="9"/>
      <c r="J12498" s="11"/>
      <c r="U12498" s="9"/>
      <c r="X12498" s="9"/>
    </row>
    <row r="12499">
      <c r="D12499" s="9"/>
      <c r="G12499" s="9"/>
      <c r="J12499" s="11"/>
      <c r="U12499" s="9"/>
      <c r="X12499" s="9"/>
    </row>
    <row r="12500">
      <c r="D12500" s="9"/>
      <c r="G12500" s="9"/>
      <c r="J12500" s="11"/>
      <c r="U12500" s="9"/>
      <c r="X12500" s="9"/>
    </row>
    <row r="12501">
      <c r="D12501" s="9"/>
      <c r="G12501" s="9"/>
      <c r="J12501" s="11"/>
      <c r="U12501" s="9"/>
      <c r="X12501" s="9"/>
    </row>
    <row r="12502">
      <c r="D12502" s="9"/>
      <c r="G12502" s="9"/>
      <c r="J12502" s="11"/>
      <c r="U12502" s="9"/>
      <c r="X12502" s="9"/>
    </row>
    <row r="12503">
      <c r="D12503" s="9"/>
      <c r="G12503" s="9"/>
      <c r="J12503" s="11"/>
      <c r="U12503" s="9"/>
      <c r="X12503" s="9"/>
    </row>
    <row r="12504">
      <c r="D12504" s="9"/>
      <c r="G12504" s="9"/>
      <c r="J12504" s="11"/>
      <c r="U12504" s="9"/>
      <c r="X12504" s="9"/>
    </row>
    <row r="12505">
      <c r="D12505" s="9"/>
      <c r="G12505" s="9"/>
      <c r="J12505" s="11"/>
      <c r="U12505" s="9"/>
      <c r="X12505" s="9"/>
    </row>
    <row r="12506">
      <c r="D12506" s="9"/>
      <c r="G12506" s="9"/>
      <c r="J12506" s="11"/>
      <c r="U12506" s="9"/>
      <c r="X12506" s="9"/>
    </row>
    <row r="12507">
      <c r="D12507" s="9"/>
      <c r="G12507" s="9"/>
      <c r="J12507" s="11"/>
      <c r="U12507" s="9"/>
      <c r="X12507" s="9"/>
    </row>
    <row r="12508">
      <c r="D12508" s="9"/>
      <c r="G12508" s="9"/>
      <c r="J12508" s="11"/>
      <c r="U12508" s="9"/>
      <c r="X12508" s="9"/>
    </row>
    <row r="12509">
      <c r="D12509" s="9"/>
      <c r="G12509" s="9"/>
      <c r="J12509" s="11"/>
      <c r="U12509" s="9"/>
      <c r="X12509" s="9"/>
    </row>
    <row r="12510">
      <c r="D12510" s="9"/>
      <c r="G12510" s="9"/>
      <c r="J12510" s="11"/>
      <c r="U12510" s="9"/>
      <c r="X12510" s="9"/>
    </row>
    <row r="12511">
      <c r="D12511" s="9"/>
      <c r="G12511" s="9"/>
      <c r="J12511" s="11"/>
      <c r="U12511" s="9"/>
      <c r="X12511" s="9"/>
    </row>
    <row r="12512">
      <c r="D12512" s="9"/>
      <c r="G12512" s="9"/>
      <c r="J12512" s="11"/>
      <c r="U12512" s="9"/>
      <c r="X12512" s="9"/>
    </row>
    <row r="12513">
      <c r="D12513" s="9"/>
      <c r="G12513" s="9"/>
      <c r="J12513" s="11"/>
      <c r="U12513" s="9"/>
      <c r="X12513" s="9"/>
    </row>
    <row r="12514">
      <c r="D12514" s="9"/>
      <c r="G12514" s="9"/>
      <c r="J12514" s="11"/>
      <c r="U12514" s="9"/>
      <c r="X12514" s="9"/>
    </row>
    <row r="12515">
      <c r="D12515" s="9"/>
      <c r="G12515" s="9"/>
      <c r="J12515" s="11"/>
      <c r="U12515" s="9"/>
      <c r="X12515" s="9"/>
    </row>
    <row r="12516">
      <c r="D12516" s="9"/>
      <c r="G12516" s="9"/>
      <c r="J12516" s="11"/>
      <c r="U12516" s="9"/>
      <c r="X12516" s="9"/>
    </row>
    <row r="12517">
      <c r="D12517" s="9"/>
      <c r="G12517" s="9"/>
      <c r="J12517" s="11"/>
      <c r="U12517" s="9"/>
      <c r="X12517" s="9"/>
    </row>
    <row r="12518">
      <c r="D12518" s="9"/>
      <c r="G12518" s="9"/>
      <c r="J12518" s="11"/>
      <c r="U12518" s="9"/>
      <c r="X12518" s="9"/>
    </row>
    <row r="12519">
      <c r="D12519" s="9"/>
      <c r="G12519" s="9"/>
      <c r="J12519" s="11"/>
      <c r="U12519" s="9"/>
      <c r="X12519" s="9"/>
    </row>
    <row r="12520">
      <c r="D12520" s="9"/>
      <c r="G12520" s="9"/>
      <c r="J12520" s="11"/>
      <c r="U12520" s="9"/>
      <c r="X12520" s="9"/>
    </row>
    <row r="12521">
      <c r="D12521" s="9"/>
      <c r="G12521" s="9"/>
      <c r="J12521" s="11"/>
      <c r="U12521" s="9"/>
      <c r="X12521" s="9"/>
    </row>
    <row r="12522">
      <c r="D12522" s="9"/>
      <c r="G12522" s="9"/>
      <c r="J12522" s="11"/>
      <c r="U12522" s="9"/>
      <c r="X12522" s="9"/>
    </row>
    <row r="12523">
      <c r="D12523" s="9"/>
      <c r="G12523" s="9"/>
      <c r="J12523" s="11"/>
      <c r="U12523" s="9"/>
      <c r="X12523" s="9"/>
    </row>
    <row r="12524">
      <c r="D12524" s="9"/>
      <c r="G12524" s="9"/>
      <c r="J12524" s="11"/>
      <c r="U12524" s="9"/>
      <c r="X12524" s="9"/>
    </row>
    <row r="12525">
      <c r="D12525" s="9"/>
      <c r="G12525" s="9"/>
      <c r="J12525" s="11"/>
      <c r="U12525" s="9"/>
      <c r="X12525" s="9"/>
    </row>
    <row r="12526">
      <c r="D12526" s="9"/>
      <c r="G12526" s="9"/>
      <c r="J12526" s="11"/>
      <c r="U12526" s="9"/>
      <c r="X12526" s="9"/>
    </row>
    <row r="12527">
      <c r="D12527" s="9"/>
      <c r="G12527" s="9"/>
      <c r="J12527" s="11"/>
      <c r="U12527" s="9"/>
      <c r="X12527" s="9"/>
    </row>
    <row r="12528">
      <c r="D12528" s="9"/>
      <c r="G12528" s="9"/>
      <c r="J12528" s="11"/>
      <c r="U12528" s="9"/>
      <c r="X12528" s="9"/>
    </row>
    <row r="12529">
      <c r="D12529" s="9"/>
      <c r="G12529" s="9"/>
      <c r="J12529" s="11"/>
      <c r="U12529" s="9"/>
      <c r="X12529" s="9"/>
    </row>
    <row r="12530">
      <c r="D12530" s="9"/>
      <c r="G12530" s="9"/>
      <c r="J12530" s="11"/>
      <c r="U12530" s="9"/>
      <c r="X12530" s="9"/>
    </row>
    <row r="12531">
      <c r="D12531" s="9"/>
      <c r="G12531" s="9"/>
      <c r="J12531" s="11"/>
      <c r="U12531" s="9"/>
      <c r="X12531" s="9"/>
    </row>
    <row r="12532">
      <c r="D12532" s="9"/>
      <c r="G12532" s="9"/>
      <c r="J12532" s="11"/>
      <c r="U12532" s="9"/>
      <c r="X12532" s="9"/>
    </row>
    <row r="12533">
      <c r="D12533" s="9"/>
      <c r="G12533" s="9"/>
      <c r="J12533" s="11"/>
      <c r="U12533" s="9"/>
      <c r="X12533" s="9"/>
    </row>
    <row r="12534">
      <c r="D12534" s="9"/>
      <c r="G12534" s="9"/>
      <c r="J12534" s="11"/>
      <c r="U12534" s="9"/>
      <c r="X12534" s="9"/>
    </row>
    <row r="12535">
      <c r="D12535" s="9"/>
      <c r="G12535" s="9"/>
      <c r="J12535" s="11"/>
      <c r="U12535" s="9"/>
      <c r="X12535" s="9"/>
    </row>
    <row r="12536">
      <c r="D12536" s="9"/>
      <c r="G12536" s="9"/>
      <c r="J12536" s="11"/>
      <c r="U12536" s="9"/>
      <c r="X12536" s="9"/>
    </row>
    <row r="12537">
      <c r="D12537" s="9"/>
      <c r="G12537" s="9"/>
      <c r="J12537" s="11"/>
      <c r="U12537" s="9"/>
      <c r="X12537" s="9"/>
    </row>
    <row r="12538">
      <c r="D12538" s="9"/>
      <c r="G12538" s="9"/>
      <c r="J12538" s="11"/>
      <c r="U12538" s="9"/>
      <c r="X12538" s="9"/>
    </row>
    <row r="12539">
      <c r="D12539" s="9"/>
      <c r="G12539" s="9"/>
      <c r="J12539" s="11"/>
      <c r="U12539" s="9"/>
      <c r="X12539" s="9"/>
    </row>
    <row r="12540">
      <c r="D12540" s="9"/>
      <c r="G12540" s="9"/>
      <c r="J12540" s="11"/>
      <c r="U12540" s="9"/>
      <c r="X12540" s="9"/>
    </row>
    <row r="12541">
      <c r="D12541" s="9"/>
      <c r="G12541" s="9"/>
      <c r="J12541" s="11"/>
      <c r="U12541" s="9"/>
      <c r="X12541" s="9"/>
    </row>
    <row r="12542">
      <c r="D12542" s="9"/>
      <c r="G12542" s="9"/>
      <c r="J12542" s="11"/>
      <c r="U12542" s="9"/>
      <c r="X12542" s="9"/>
    </row>
    <row r="12543">
      <c r="D12543" s="9"/>
      <c r="G12543" s="9"/>
      <c r="J12543" s="11"/>
      <c r="U12543" s="9"/>
      <c r="X12543" s="9"/>
    </row>
    <row r="12544">
      <c r="D12544" s="9"/>
      <c r="G12544" s="9"/>
      <c r="J12544" s="11"/>
      <c r="U12544" s="9"/>
      <c r="X12544" s="9"/>
    </row>
    <row r="12545">
      <c r="D12545" s="9"/>
      <c r="G12545" s="9"/>
      <c r="J12545" s="11"/>
      <c r="U12545" s="9"/>
      <c r="X12545" s="9"/>
    </row>
    <row r="12546">
      <c r="D12546" s="9"/>
      <c r="G12546" s="9"/>
      <c r="J12546" s="11"/>
      <c r="U12546" s="9"/>
      <c r="X12546" s="9"/>
    </row>
    <row r="12547">
      <c r="D12547" s="9"/>
      <c r="G12547" s="9"/>
      <c r="J12547" s="11"/>
      <c r="U12547" s="9"/>
      <c r="X12547" s="9"/>
    </row>
    <row r="12548">
      <c r="D12548" s="9"/>
      <c r="G12548" s="9"/>
      <c r="J12548" s="11"/>
      <c r="U12548" s="9"/>
      <c r="X12548" s="9"/>
    </row>
    <row r="12549">
      <c r="D12549" s="9"/>
      <c r="G12549" s="9"/>
      <c r="J12549" s="11"/>
      <c r="U12549" s="9"/>
      <c r="X12549" s="9"/>
    </row>
    <row r="12550">
      <c r="D12550" s="9"/>
      <c r="G12550" s="9"/>
      <c r="J12550" s="11"/>
      <c r="U12550" s="9"/>
      <c r="X12550" s="9"/>
    </row>
    <row r="12551">
      <c r="D12551" s="9"/>
      <c r="G12551" s="9"/>
      <c r="J12551" s="11"/>
      <c r="U12551" s="9"/>
      <c r="X12551" s="9"/>
    </row>
    <row r="12552">
      <c r="D12552" s="9"/>
      <c r="G12552" s="9"/>
      <c r="J12552" s="11"/>
      <c r="U12552" s="9"/>
      <c r="X12552" s="9"/>
    </row>
    <row r="12553">
      <c r="D12553" s="9"/>
      <c r="G12553" s="9"/>
      <c r="J12553" s="11"/>
      <c r="U12553" s="9"/>
      <c r="X12553" s="9"/>
    </row>
    <row r="12554">
      <c r="D12554" s="9"/>
      <c r="G12554" s="9"/>
      <c r="J12554" s="11"/>
      <c r="U12554" s="9"/>
      <c r="X12554" s="9"/>
    </row>
    <row r="12555">
      <c r="D12555" s="9"/>
      <c r="G12555" s="9"/>
      <c r="J12555" s="11"/>
      <c r="U12555" s="9"/>
      <c r="X12555" s="9"/>
    </row>
    <row r="12556">
      <c r="D12556" s="9"/>
      <c r="G12556" s="9"/>
      <c r="J12556" s="11"/>
      <c r="U12556" s="9"/>
      <c r="X12556" s="9"/>
    </row>
    <row r="12557">
      <c r="D12557" s="9"/>
      <c r="G12557" s="9"/>
      <c r="J12557" s="11"/>
      <c r="U12557" s="9"/>
      <c r="X12557" s="9"/>
    </row>
    <row r="12558">
      <c r="D12558" s="9"/>
      <c r="G12558" s="9"/>
      <c r="J12558" s="11"/>
      <c r="U12558" s="9"/>
      <c r="X12558" s="9"/>
    </row>
    <row r="12559">
      <c r="D12559" s="9"/>
      <c r="G12559" s="9"/>
      <c r="J12559" s="11"/>
      <c r="U12559" s="9"/>
      <c r="X12559" s="9"/>
    </row>
    <row r="12560">
      <c r="D12560" s="9"/>
      <c r="G12560" s="9"/>
      <c r="J12560" s="11"/>
      <c r="U12560" s="9"/>
      <c r="X12560" s="9"/>
    </row>
    <row r="12561">
      <c r="D12561" s="9"/>
      <c r="G12561" s="9"/>
      <c r="J12561" s="11"/>
      <c r="U12561" s="9"/>
      <c r="X12561" s="9"/>
    </row>
    <row r="12562">
      <c r="D12562" s="9"/>
      <c r="G12562" s="9"/>
      <c r="J12562" s="11"/>
      <c r="U12562" s="9"/>
      <c r="X12562" s="9"/>
    </row>
    <row r="12563">
      <c r="D12563" s="9"/>
      <c r="G12563" s="9"/>
      <c r="J12563" s="11"/>
      <c r="U12563" s="9"/>
      <c r="X12563" s="9"/>
    </row>
    <row r="12564">
      <c r="D12564" s="9"/>
      <c r="G12564" s="9"/>
      <c r="J12564" s="11"/>
      <c r="U12564" s="9"/>
      <c r="X12564" s="9"/>
    </row>
    <row r="12565">
      <c r="D12565" s="9"/>
      <c r="G12565" s="9"/>
      <c r="J12565" s="11"/>
      <c r="U12565" s="9"/>
      <c r="X12565" s="9"/>
    </row>
    <row r="12566">
      <c r="D12566" s="9"/>
      <c r="G12566" s="9"/>
      <c r="J12566" s="11"/>
      <c r="U12566" s="9"/>
      <c r="X12566" s="9"/>
    </row>
    <row r="12567">
      <c r="D12567" s="9"/>
      <c r="G12567" s="9"/>
      <c r="J12567" s="11"/>
      <c r="U12567" s="9"/>
      <c r="X12567" s="9"/>
    </row>
    <row r="12568">
      <c r="D12568" s="9"/>
      <c r="G12568" s="9"/>
      <c r="J12568" s="11"/>
      <c r="U12568" s="9"/>
      <c r="X12568" s="9"/>
    </row>
    <row r="12569">
      <c r="D12569" s="9"/>
      <c r="G12569" s="9"/>
      <c r="J12569" s="11"/>
      <c r="U12569" s="9"/>
      <c r="X12569" s="9"/>
    </row>
    <row r="12570">
      <c r="D12570" s="9"/>
      <c r="G12570" s="9"/>
      <c r="J12570" s="11"/>
      <c r="U12570" s="9"/>
      <c r="X12570" s="9"/>
    </row>
    <row r="12571">
      <c r="D12571" s="9"/>
      <c r="G12571" s="9"/>
      <c r="J12571" s="11"/>
      <c r="U12571" s="9"/>
      <c r="X12571" s="9"/>
    </row>
    <row r="12572">
      <c r="D12572" s="9"/>
      <c r="G12572" s="9"/>
      <c r="J12572" s="11"/>
      <c r="U12572" s="9"/>
      <c r="X12572" s="9"/>
    </row>
    <row r="12573">
      <c r="D12573" s="9"/>
      <c r="G12573" s="9"/>
      <c r="J12573" s="11"/>
      <c r="U12573" s="9"/>
      <c r="X12573" s="9"/>
    </row>
    <row r="12574">
      <c r="D12574" s="9"/>
      <c r="G12574" s="9"/>
      <c r="J12574" s="11"/>
      <c r="U12574" s="9"/>
      <c r="X12574" s="9"/>
    </row>
    <row r="12575">
      <c r="D12575" s="9"/>
      <c r="G12575" s="9"/>
      <c r="J12575" s="11"/>
      <c r="U12575" s="9"/>
      <c r="X12575" s="9"/>
    </row>
    <row r="12576">
      <c r="D12576" s="9"/>
      <c r="G12576" s="9"/>
      <c r="J12576" s="11"/>
      <c r="U12576" s="9"/>
      <c r="X12576" s="9"/>
    </row>
    <row r="12577">
      <c r="D12577" s="9"/>
      <c r="G12577" s="9"/>
      <c r="J12577" s="11"/>
      <c r="U12577" s="9"/>
      <c r="X12577" s="9"/>
    </row>
    <row r="12578">
      <c r="D12578" s="9"/>
      <c r="G12578" s="9"/>
      <c r="J12578" s="11"/>
      <c r="U12578" s="9"/>
      <c r="X12578" s="9"/>
    </row>
    <row r="12579">
      <c r="D12579" s="9"/>
      <c r="G12579" s="9"/>
      <c r="J12579" s="11"/>
      <c r="U12579" s="9"/>
      <c r="X12579" s="9"/>
    </row>
    <row r="12580">
      <c r="D12580" s="9"/>
      <c r="G12580" s="9"/>
      <c r="J12580" s="11"/>
      <c r="U12580" s="9"/>
      <c r="X12580" s="9"/>
    </row>
    <row r="12581">
      <c r="D12581" s="9"/>
      <c r="G12581" s="9"/>
      <c r="J12581" s="11"/>
      <c r="U12581" s="9"/>
      <c r="X12581" s="9"/>
    </row>
    <row r="12582">
      <c r="D12582" s="9"/>
      <c r="G12582" s="9"/>
      <c r="J12582" s="11"/>
      <c r="U12582" s="9"/>
      <c r="X12582" s="9"/>
    </row>
    <row r="12583">
      <c r="D12583" s="9"/>
      <c r="G12583" s="9"/>
      <c r="J12583" s="11"/>
      <c r="U12583" s="9"/>
      <c r="X12583" s="9"/>
    </row>
    <row r="12584">
      <c r="D12584" s="9"/>
      <c r="G12584" s="9"/>
      <c r="J12584" s="11"/>
      <c r="U12584" s="9"/>
      <c r="X12584" s="9"/>
    </row>
    <row r="12585">
      <c r="D12585" s="9"/>
      <c r="G12585" s="9"/>
      <c r="J12585" s="11"/>
      <c r="U12585" s="9"/>
      <c r="X12585" s="9"/>
    </row>
    <row r="12586">
      <c r="D12586" s="9"/>
      <c r="G12586" s="9"/>
      <c r="J12586" s="11"/>
      <c r="U12586" s="9"/>
      <c r="X12586" s="9"/>
    </row>
    <row r="12587">
      <c r="D12587" s="9"/>
      <c r="G12587" s="9"/>
      <c r="J12587" s="11"/>
      <c r="U12587" s="9"/>
      <c r="X12587" s="9"/>
    </row>
    <row r="12588">
      <c r="D12588" s="9"/>
      <c r="G12588" s="9"/>
      <c r="J12588" s="11"/>
      <c r="U12588" s="9"/>
      <c r="X12588" s="9"/>
    </row>
    <row r="12589">
      <c r="D12589" s="9"/>
      <c r="G12589" s="9"/>
      <c r="J12589" s="11"/>
      <c r="U12589" s="9"/>
      <c r="X12589" s="9"/>
    </row>
    <row r="12590">
      <c r="D12590" s="9"/>
      <c r="G12590" s="9"/>
      <c r="J12590" s="11"/>
      <c r="U12590" s="9"/>
      <c r="X12590" s="9"/>
    </row>
    <row r="12591">
      <c r="D12591" s="9"/>
      <c r="G12591" s="9"/>
      <c r="J12591" s="11"/>
      <c r="U12591" s="9"/>
      <c r="X12591" s="9"/>
    </row>
    <row r="12592">
      <c r="D12592" s="9"/>
      <c r="G12592" s="9"/>
      <c r="J12592" s="11"/>
      <c r="U12592" s="9"/>
      <c r="X12592" s="9"/>
    </row>
    <row r="12593">
      <c r="D12593" s="9"/>
      <c r="G12593" s="9"/>
      <c r="J12593" s="11"/>
      <c r="U12593" s="9"/>
      <c r="X12593" s="9"/>
    </row>
    <row r="12594">
      <c r="D12594" s="9"/>
      <c r="G12594" s="9"/>
      <c r="J12594" s="11"/>
      <c r="U12594" s="9"/>
      <c r="X12594" s="9"/>
    </row>
    <row r="12595">
      <c r="D12595" s="9"/>
      <c r="G12595" s="9"/>
      <c r="J12595" s="11"/>
      <c r="U12595" s="9"/>
      <c r="X12595" s="9"/>
    </row>
    <row r="12596">
      <c r="D12596" s="9"/>
      <c r="G12596" s="9"/>
      <c r="J12596" s="11"/>
      <c r="U12596" s="9"/>
      <c r="X12596" s="9"/>
    </row>
    <row r="12597">
      <c r="D12597" s="9"/>
      <c r="G12597" s="9"/>
      <c r="J12597" s="11"/>
      <c r="U12597" s="9"/>
      <c r="X12597" s="9"/>
    </row>
    <row r="12598">
      <c r="D12598" s="9"/>
      <c r="G12598" s="9"/>
      <c r="J12598" s="11"/>
      <c r="U12598" s="9"/>
      <c r="X12598" s="9"/>
    </row>
    <row r="12599">
      <c r="D12599" s="9"/>
      <c r="G12599" s="9"/>
      <c r="J12599" s="11"/>
      <c r="U12599" s="9"/>
      <c r="X12599" s="9"/>
    </row>
    <row r="12600">
      <c r="D12600" s="9"/>
      <c r="G12600" s="9"/>
      <c r="J12600" s="11"/>
      <c r="U12600" s="9"/>
      <c r="X12600" s="9"/>
    </row>
    <row r="12601">
      <c r="D12601" s="9"/>
      <c r="G12601" s="9"/>
      <c r="J12601" s="11"/>
      <c r="U12601" s="9"/>
      <c r="X12601" s="9"/>
    </row>
    <row r="12602">
      <c r="D12602" s="9"/>
      <c r="G12602" s="9"/>
      <c r="J12602" s="11"/>
      <c r="U12602" s="9"/>
      <c r="X12602" s="9"/>
    </row>
    <row r="12603">
      <c r="D12603" s="9"/>
      <c r="G12603" s="9"/>
      <c r="J12603" s="11"/>
      <c r="U12603" s="9"/>
      <c r="X12603" s="9"/>
    </row>
    <row r="12604">
      <c r="D12604" s="9"/>
      <c r="G12604" s="9"/>
      <c r="J12604" s="11"/>
      <c r="U12604" s="9"/>
      <c r="X12604" s="9"/>
    </row>
    <row r="12605">
      <c r="D12605" s="9"/>
      <c r="G12605" s="9"/>
      <c r="J12605" s="11"/>
      <c r="U12605" s="9"/>
      <c r="X12605" s="9"/>
    </row>
    <row r="12606">
      <c r="D12606" s="9"/>
      <c r="G12606" s="9"/>
      <c r="J12606" s="11"/>
      <c r="U12606" s="9"/>
      <c r="X12606" s="9"/>
    </row>
    <row r="12607">
      <c r="D12607" s="9"/>
      <c r="G12607" s="9"/>
      <c r="J12607" s="11"/>
      <c r="U12607" s="9"/>
      <c r="X12607" s="9"/>
    </row>
    <row r="12608">
      <c r="D12608" s="9"/>
      <c r="G12608" s="9"/>
      <c r="J12608" s="11"/>
      <c r="U12608" s="9"/>
      <c r="X12608" s="9"/>
    </row>
    <row r="12609">
      <c r="D12609" s="9"/>
      <c r="G12609" s="9"/>
      <c r="J12609" s="11"/>
      <c r="U12609" s="9"/>
      <c r="X12609" s="9"/>
    </row>
    <row r="12610">
      <c r="D12610" s="9"/>
      <c r="G12610" s="9"/>
      <c r="J12610" s="11"/>
      <c r="U12610" s="9"/>
      <c r="X12610" s="9"/>
    </row>
    <row r="12611">
      <c r="D12611" s="9"/>
      <c r="G12611" s="9"/>
      <c r="J12611" s="11"/>
      <c r="U12611" s="9"/>
      <c r="X12611" s="9"/>
    </row>
    <row r="12612">
      <c r="D12612" s="9"/>
      <c r="G12612" s="9"/>
      <c r="J12612" s="11"/>
      <c r="U12612" s="9"/>
      <c r="X12612" s="9"/>
    </row>
    <row r="12613">
      <c r="D12613" s="9"/>
      <c r="G12613" s="9"/>
      <c r="J12613" s="11"/>
      <c r="U12613" s="9"/>
      <c r="X12613" s="9"/>
    </row>
    <row r="12614">
      <c r="D12614" s="9"/>
      <c r="G12614" s="9"/>
      <c r="J12614" s="11"/>
      <c r="U12614" s="9"/>
      <c r="X12614" s="9"/>
    </row>
    <row r="12615">
      <c r="D12615" s="9"/>
      <c r="G12615" s="9"/>
      <c r="J12615" s="11"/>
      <c r="U12615" s="9"/>
      <c r="X12615" s="9"/>
    </row>
    <row r="12616">
      <c r="D12616" s="9"/>
      <c r="G12616" s="9"/>
      <c r="J12616" s="11"/>
      <c r="U12616" s="9"/>
      <c r="X12616" s="9"/>
    </row>
    <row r="12617">
      <c r="D12617" s="9"/>
      <c r="G12617" s="9"/>
      <c r="J12617" s="11"/>
      <c r="U12617" s="9"/>
      <c r="X12617" s="9"/>
    </row>
    <row r="12618">
      <c r="D12618" s="9"/>
      <c r="G12618" s="9"/>
      <c r="J12618" s="11"/>
      <c r="U12618" s="9"/>
      <c r="X12618" s="9"/>
    </row>
    <row r="12619">
      <c r="D12619" s="9"/>
      <c r="G12619" s="9"/>
      <c r="J12619" s="11"/>
      <c r="U12619" s="9"/>
      <c r="X12619" s="9"/>
    </row>
    <row r="12620">
      <c r="D12620" s="9"/>
      <c r="G12620" s="9"/>
      <c r="J12620" s="11"/>
      <c r="U12620" s="9"/>
      <c r="X12620" s="9"/>
    </row>
    <row r="12621">
      <c r="D12621" s="9"/>
      <c r="G12621" s="9"/>
      <c r="J12621" s="11"/>
      <c r="U12621" s="9"/>
      <c r="X12621" s="9"/>
    </row>
    <row r="12622">
      <c r="D12622" s="9"/>
      <c r="G12622" s="9"/>
      <c r="J12622" s="11"/>
      <c r="U12622" s="9"/>
      <c r="X12622" s="9"/>
    </row>
    <row r="12623">
      <c r="D12623" s="9"/>
      <c r="G12623" s="9"/>
      <c r="J12623" s="11"/>
      <c r="U12623" s="9"/>
      <c r="X12623" s="9"/>
    </row>
    <row r="12624">
      <c r="D12624" s="9"/>
      <c r="G12624" s="9"/>
      <c r="J12624" s="11"/>
      <c r="U12624" s="9"/>
      <c r="X12624" s="9"/>
    </row>
    <row r="12625">
      <c r="D12625" s="9"/>
      <c r="G12625" s="9"/>
      <c r="J12625" s="11"/>
      <c r="U12625" s="9"/>
      <c r="X12625" s="9"/>
    </row>
    <row r="12626">
      <c r="D12626" s="9"/>
      <c r="G12626" s="9"/>
      <c r="J12626" s="11"/>
      <c r="U12626" s="9"/>
      <c r="X12626" s="9"/>
    </row>
    <row r="12627">
      <c r="D12627" s="9"/>
      <c r="G12627" s="9"/>
      <c r="J12627" s="11"/>
      <c r="U12627" s="9"/>
      <c r="X12627" s="9"/>
    </row>
    <row r="12628">
      <c r="D12628" s="9"/>
      <c r="G12628" s="9"/>
      <c r="J12628" s="11"/>
      <c r="U12628" s="9"/>
      <c r="X12628" s="9"/>
    </row>
    <row r="12629">
      <c r="D12629" s="9"/>
      <c r="G12629" s="9"/>
      <c r="J12629" s="11"/>
      <c r="U12629" s="9"/>
      <c r="X12629" s="9"/>
    </row>
    <row r="12630">
      <c r="D12630" s="9"/>
      <c r="G12630" s="9"/>
      <c r="J12630" s="11"/>
      <c r="U12630" s="9"/>
      <c r="X12630" s="9"/>
    </row>
    <row r="12631">
      <c r="D12631" s="9"/>
      <c r="G12631" s="9"/>
      <c r="J12631" s="11"/>
      <c r="U12631" s="9"/>
      <c r="X12631" s="9"/>
    </row>
    <row r="12632">
      <c r="D12632" s="9"/>
      <c r="G12632" s="9"/>
      <c r="J12632" s="11"/>
      <c r="U12632" s="9"/>
      <c r="X12632" s="9"/>
    </row>
    <row r="12633">
      <c r="D12633" s="9"/>
      <c r="G12633" s="9"/>
      <c r="J12633" s="11"/>
      <c r="U12633" s="9"/>
      <c r="X12633" s="9"/>
    </row>
    <row r="12634">
      <c r="D12634" s="9"/>
      <c r="G12634" s="9"/>
      <c r="J12634" s="11"/>
      <c r="U12634" s="9"/>
      <c r="X12634" s="9"/>
    </row>
    <row r="12635">
      <c r="D12635" s="9"/>
      <c r="G12635" s="9"/>
      <c r="J12635" s="11"/>
      <c r="U12635" s="9"/>
      <c r="X12635" s="9"/>
    </row>
    <row r="12636">
      <c r="D12636" s="9"/>
      <c r="G12636" s="9"/>
      <c r="J12636" s="11"/>
      <c r="U12636" s="9"/>
      <c r="X12636" s="9"/>
    </row>
    <row r="12637">
      <c r="D12637" s="9"/>
      <c r="G12637" s="9"/>
      <c r="J12637" s="11"/>
      <c r="U12637" s="9"/>
      <c r="X12637" s="9"/>
    </row>
    <row r="12638">
      <c r="D12638" s="9"/>
      <c r="G12638" s="9"/>
      <c r="J12638" s="11"/>
      <c r="U12638" s="9"/>
      <c r="X12638" s="9"/>
    </row>
    <row r="12639">
      <c r="D12639" s="9"/>
      <c r="G12639" s="9"/>
      <c r="J12639" s="11"/>
      <c r="U12639" s="9"/>
      <c r="X12639" s="9"/>
    </row>
    <row r="12640">
      <c r="D12640" s="9"/>
      <c r="G12640" s="9"/>
      <c r="J12640" s="11"/>
      <c r="U12640" s="9"/>
      <c r="X12640" s="9"/>
    </row>
    <row r="12641">
      <c r="D12641" s="9"/>
      <c r="G12641" s="9"/>
      <c r="J12641" s="11"/>
      <c r="U12641" s="9"/>
      <c r="X12641" s="9"/>
    </row>
    <row r="12642">
      <c r="D12642" s="9"/>
      <c r="G12642" s="9"/>
      <c r="J12642" s="11"/>
      <c r="U12642" s="9"/>
      <c r="X12642" s="9"/>
    </row>
    <row r="12643">
      <c r="D12643" s="9"/>
      <c r="G12643" s="9"/>
      <c r="J12643" s="11"/>
      <c r="U12643" s="9"/>
      <c r="X12643" s="9"/>
    </row>
    <row r="12644">
      <c r="D12644" s="9"/>
      <c r="G12644" s="9"/>
      <c r="J12644" s="11"/>
      <c r="U12644" s="9"/>
      <c r="X12644" s="9"/>
    </row>
    <row r="12645">
      <c r="D12645" s="9"/>
      <c r="G12645" s="9"/>
      <c r="J12645" s="11"/>
      <c r="U12645" s="9"/>
      <c r="X12645" s="9"/>
    </row>
    <row r="12646">
      <c r="D12646" s="9"/>
      <c r="G12646" s="9"/>
      <c r="J12646" s="11"/>
      <c r="U12646" s="9"/>
      <c r="X12646" s="9"/>
    </row>
    <row r="12647">
      <c r="D12647" s="9"/>
      <c r="G12647" s="9"/>
      <c r="J12647" s="11"/>
      <c r="U12647" s="9"/>
      <c r="X12647" s="9"/>
    </row>
    <row r="12648">
      <c r="D12648" s="9"/>
      <c r="G12648" s="9"/>
      <c r="J12648" s="11"/>
      <c r="U12648" s="9"/>
      <c r="X12648" s="9"/>
    </row>
    <row r="12649">
      <c r="D12649" s="9"/>
      <c r="G12649" s="9"/>
      <c r="J12649" s="11"/>
      <c r="U12649" s="9"/>
      <c r="X12649" s="9"/>
    </row>
    <row r="12650">
      <c r="D12650" s="9"/>
      <c r="G12650" s="9"/>
      <c r="J12650" s="11"/>
      <c r="U12650" s="9"/>
      <c r="X12650" s="9"/>
    </row>
    <row r="12651">
      <c r="D12651" s="9"/>
      <c r="G12651" s="9"/>
      <c r="J12651" s="11"/>
      <c r="U12651" s="9"/>
      <c r="X12651" s="9"/>
    </row>
    <row r="12652">
      <c r="D12652" s="9"/>
      <c r="G12652" s="9"/>
      <c r="J12652" s="11"/>
      <c r="U12652" s="9"/>
      <c r="X12652" s="9"/>
    </row>
    <row r="12653">
      <c r="D12653" s="9"/>
      <c r="G12653" s="9"/>
      <c r="J12653" s="11"/>
      <c r="U12653" s="9"/>
      <c r="X12653" s="9"/>
    </row>
    <row r="12654">
      <c r="D12654" s="9"/>
      <c r="G12654" s="9"/>
      <c r="J12654" s="11"/>
      <c r="U12654" s="9"/>
      <c r="X12654" s="9"/>
    </row>
    <row r="12655">
      <c r="D12655" s="9"/>
      <c r="G12655" s="9"/>
      <c r="J12655" s="11"/>
      <c r="U12655" s="9"/>
      <c r="X12655" s="9"/>
    </row>
    <row r="12656">
      <c r="D12656" s="9"/>
      <c r="G12656" s="9"/>
      <c r="J12656" s="11"/>
      <c r="U12656" s="9"/>
      <c r="X12656" s="9"/>
    </row>
    <row r="12657">
      <c r="D12657" s="9"/>
      <c r="G12657" s="9"/>
      <c r="J12657" s="11"/>
      <c r="U12657" s="9"/>
      <c r="X12657" s="9"/>
    </row>
    <row r="12658">
      <c r="D12658" s="9"/>
      <c r="G12658" s="9"/>
      <c r="J12658" s="11"/>
      <c r="U12658" s="9"/>
      <c r="X12658" s="9"/>
    </row>
    <row r="12659">
      <c r="D12659" s="9"/>
      <c r="G12659" s="9"/>
      <c r="J12659" s="11"/>
      <c r="U12659" s="9"/>
      <c r="X12659" s="9"/>
    </row>
    <row r="12660">
      <c r="D12660" s="9"/>
      <c r="G12660" s="9"/>
      <c r="J12660" s="11"/>
      <c r="U12660" s="9"/>
      <c r="X12660" s="9"/>
    </row>
    <row r="12661">
      <c r="D12661" s="9"/>
      <c r="G12661" s="9"/>
      <c r="J12661" s="11"/>
      <c r="U12661" s="9"/>
      <c r="X12661" s="9"/>
    </row>
    <row r="12662">
      <c r="D12662" s="9"/>
      <c r="G12662" s="9"/>
      <c r="J12662" s="11"/>
      <c r="U12662" s="9"/>
      <c r="X12662" s="9"/>
    </row>
    <row r="12663">
      <c r="D12663" s="9"/>
      <c r="G12663" s="9"/>
      <c r="J12663" s="11"/>
      <c r="U12663" s="9"/>
      <c r="X12663" s="9"/>
    </row>
    <row r="12664">
      <c r="D12664" s="9"/>
      <c r="G12664" s="9"/>
      <c r="J12664" s="11"/>
      <c r="U12664" s="9"/>
      <c r="X12664" s="9"/>
    </row>
    <row r="12665">
      <c r="D12665" s="9"/>
      <c r="G12665" s="9"/>
      <c r="J12665" s="11"/>
      <c r="U12665" s="9"/>
      <c r="X12665" s="9"/>
    </row>
    <row r="12666">
      <c r="D12666" s="9"/>
      <c r="G12666" s="9"/>
      <c r="J12666" s="11"/>
      <c r="U12666" s="9"/>
      <c r="X12666" s="9"/>
    </row>
    <row r="12667">
      <c r="D12667" s="9"/>
      <c r="G12667" s="9"/>
      <c r="J12667" s="11"/>
      <c r="U12667" s="9"/>
      <c r="X12667" s="9"/>
    </row>
    <row r="12668">
      <c r="D12668" s="9"/>
      <c r="G12668" s="9"/>
      <c r="J12668" s="11"/>
      <c r="U12668" s="9"/>
      <c r="X12668" s="9"/>
    </row>
    <row r="12669">
      <c r="D12669" s="9"/>
      <c r="G12669" s="9"/>
      <c r="J12669" s="11"/>
      <c r="U12669" s="9"/>
      <c r="X12669" s="9"/>
    </row>
    <row r="12670">
      <c r="D12670" s="9"/>
      <c r="G12670" s="9"/>
      <c r="J12670" s="11"/>
      <c r="U12670" s="9"/>
      <c r="X12670" s="9"/>
    </row>
    <row r="12671">
      <c r="D12671" s="9"/>
      <c r="G12671" s="9"/>
      <c r="J12671" s="11"/>
      <c r="U12671" s="9"/>
      <c r="X12671" s="9"/>
    </row>
    <row r="12672">
      <c r="D12672" s="9"/>
      <c r="G12672" s="9"/>
      <c r="J12672" s="11"/>
      <c r="U12672" s="9"/>
      <c r="X12672" s="9"/>
    </row>
    <row r="12673">
      <c r="D12673" s="9"/>
      <c r="G12673" s="9"/>
      <c r="J12673" s="11"/>
      <c r="U12673" s="9"/>
      <c r="X12673" s="9"/>
    </row>
    <row r="12674">
      <c r="D12674" s="9"/>
      <c r="G12674" s="9"/>
      <c r="J12674" s="11"/>
      <c r="U12674" s="9"/>
      <c r="X12674" s="9"/>
    </row>
    <row r="12675">
      <c r="D12675" s="9"/>
      <c r="G12675" s="9"/>
      <c r="J12675" s="11"/>
      <c r="U12675" s="9"/>
      <c r="X12675" s="9"/>
    </row>
    <row r="12676">
      <c r="D12676" s="9"/>
      <c r="G12676" s="9"/>
      <c r="J12676" s="11"/>
      <c r="U12676" s="9"/>
      <c r="X12676" s="9"/>
    </row>
    <row r="12677">
      <c r="D12677" s="9"/>
      <c r="G12677" s="9"/>
      <c r="J12677" s="11"/>
      <c r="U12677" s="9"/>
      <c r="X12677" s="9"/>
    </row>
    <row r="12678">
      <c r="D12678" s="9"/>
      <c r="G12678" s="9"/>
      <c r="J12678" s="11"/>
      <c r="U12678" s="9"/>
      <c r="X12678" s="9"/>
    </row>
    <row r="12679">
      <c r="D12679" s="9"/>
      <c r="G12679" s="9"/>
      <c r="J12679" s="11"/>
      <c r="U12679" s="9"/>
      <c r="X12679" s="9"/>
    </row>
    <row r="12680">
      <c r="D12680" s="9"/>
      <c r="G12680" s="9"/>
      <c r="J12680" s="11"/>
      <c r="U12680" s="9"/>
      <c r="X12680" s="9"/>
    </row>
    <row r="12681">
      <c r="D12681" s="9"/>
      <c r="G12681" s="9"/>
      <c r="J12681" s="11"/>
      <c r="U12681" s="9"/>
      <c r="X12681" s="9"/>
    </row>
    <row r="12682">
      <c r="D12682" s="9"/>
      <c r="G12682" s="9"/>
      <c r="J12682" s="11"/>
      <c r="U12682" s="9"/>
      <c r="X12682" s="9"/>
    </row>
    <row r="12683">
      <c r="D12683" s="9"/>
      <c r="G12683" s="9"/>
      <c r="J12683" s="11"/>
      <c r="U12683" s="9"/>
      <c r="X12683" s="9"/>
    </row>
    <row r="12684">
      <c r="D12684" s="9"/>
      <c r="G12684" s="9"/>
      <c r="J12684" s="11"/>
      <c r="U12684" s="9"/>
      <c r="X12684" s="9"/>
    </row>
    <row r="12685">
      <c r="D12685" s="9"/>
      <c r="G12685" s="9"/>
      <c r="J12685" s="11"/>
      <c r="U12685" s="9"/>
      <c r="X12685" s="9"/>
    </row>
    <row r="12686">
      <c r="D12686" s="9"/>
      <c r="G12686" s="9"/>
      <c r="J12686" s="11"/>
      <c r="U12686" s="9"/>
      <c r="X12686" s="9"/>
    </row>
    <row r="12687">
      <c r="D12687" s="9"/>
      <c r="G12687" s="9"/>
      <c r="J12687" s="11"/>
      <c r="U12687" s="9"/>
      <c r="X12687" s="9"/>
    </row>
    <row r="12688">
      <c r="D12688" s="9"/>
      <c r="G12688" s="9"/>
      <c r="J12688" s="11"/>
      <c r="U12688" s="9"/>
      <c r="X12688" s="9"/>
    </row>
    <row r="12689">
      <c r="D12689" s="9"/>
      <c r="G12689" s="9"/>
      <c r="J12689" s="11"/>
      <c r="U12689" s="9"/>
      <c r="X12689" s="9"/>
    </row>
    <row r="12690">
      <c r="D12690" s="9"/>
      <c r="G12690" s="9"/>
      <c r="J12690" s="11"/>
      <c r="U12690" s="9"/>
      <c r="X12690" s="9"/>
    </row>
    <row r="12691">
      <c r="D12691" s="9"/>
      <c r="G12691" s="9"/>
      <c r="J12691" s="11"/>
      <c r="U12691" s="9"/>
      <c r="X12691" s="9"/>
    </row>
    <row r="12692">
      <c r="D12692" s="9"/>
      <c r="G12692" s="9"/>
      <c r="J12692" s="11"/>
      <c r="U12692" s="9"/>
      <c r="X12692" s="9"/>
    </row>
    <row r="12693">
      <c r="D12693" s="9"/>
      <c r="G12693" s="9"/>
      <c r="J12693" s="11"/>
      <c r="U12693" s="9"/>
      <c r="X12693" s="9"/>
    </row>
    <row r="12694">
      <c r="D12694" s="9"/>
      <c r="G12694" s="9"/>
      <c r="J12694" s="11"/>
      <c r="U12694" s="9"/>
      <c r="X12694" s="9"/>
    </row>
    <row r="12695">
      <c r="D12695" s="9"/>
      <c r="G12695" s="9"/>
      <c r="J12695" s="11"/>
      <c r="U12695" s="9"/>
      <c r="X12695" s="9"/>
    </row>
    <row r="12696">
      <c r="D12696" s="9"/>
      <c r="G12696" s="9"/>
      <c r="J12696" s="11"/>
      <c r="U12696" s="9"/>
      <c r="X12696" s="9"/>
    </row>
    <row r="12697">
      <c r="D12697" s="9"/>
      <c r="G12697" s="9"/>
      <c r="J12697" s="11"/>
      <c r="U12697" s="9"/>
      <c r="X12697" s="9"/>
    </row>
    <row r="12698">
      <c r="D12698" s="9"/>
      <c r="G12698" s="9"/>
      <c r="J12698" s="11"/>
      <c r="U12698" s="9"/>
      <c r="X12698" s="9"/>
    </row>
    <row r="12699">
      <c r="D12699" s="9"/>
      <c r="G12699" s="9"/>
      <c r="J12699" s="11"/>
      <c r="U12699" s="9"/>
      <c r="X12699" s="9"/>
    </row>
    <row r="12700">
      <c r="D12700" s="9"/>
      <c r="G12700" s="9"/>
      <c r="J12700" s="11"/>
      <c r="U12700" s="9"/>
      <c r="X12700" s="9"/>
    </row>
    <row r="12701">
      <c r="D12701" s="9"/>
      <c r="G12701" s="9"/>
      <c r="J12701" s="11"/>
      <c r="U12701" s="9"/>
      <c r="X12701" s="9"/>
    </row>
    <row r="12702">
      <c r="D12702" s="9"/>
      <c r="G12702" s="9"/>
      <c r="J12702" s="11"/>
      <c r="U12702" s="9"/>
      <c r="X12702" s="9"/>
    </row>
    <row r="12703">
      <c r="D12703" s="9"/>
      <c r="G12703" s="9"/>
      <c r="J12703" s="11"/>
      <c r="U12703" s="9"/>
      <c r="X12703" s="9"/>
    </row>
    <row r="12704">
      <c r="D12704" s="9"/>
      <c r="G12704" s="9"/>
      <c r="J12704" s="11"/>
      <c r="U12704" s="9"/>
      <c r="X12704" s="9"/>
    </row>
    <row r="12705">
      <c r="D12705" s="9"/>
      <c r="G12705" s="9"/>
      <c r="J12705" s="11"/>
      <c r="U12705" s="9"/>
      <c r="X12705" s="9"/>
    </row>
    <row r="12706">
      <c r="D12706" s="9"/>
      <c r="G12706" s="9"/>
      <c r="J12706" s="11"/>
      <c r="U12706" s="9"/>
      <c r="X12706" s="9"/>
    </row>
    <row r="12707">
      <c r="D12707" s="9"/>
      <c r="G12707" s="9"/>
      <c r="J12707" s="11"/>
      <c r="U12707" s="9"/>
      <c r="X12707" s="9"/>
    </row>
    <row r="12708">
      <c r="D12708" s="9"/>
      <c r="G12708" s="9"/>
      <c r="J12708" s="11"/>
      <c r="U12708" s="9"/>
      <c r="X12708" s="9"/>
    </row>
    <row r="12709">
      <c r="D12709" s="9"/>
      <c r="G12709" s="9"/>
      <c r="J12709" s="11"/>
      <c r="U12709" s="9"/>
      <c r="X12709" s="9"/>
    </row>
    <row r="12710">
      <c r="D12710" s="9"/>
      <c r="G12710" s="9"/>
      <c r="J12710" s="11"/>
      <c r="U12710" s="9"/>
      <c r="X12710" s="9"/>
    </row>
    <row r="12711">
      <c r="D12711" s="9"/>
      <c r="G12711" s="9"/>
      <c r="J12711" s="11"/>
      <c r="U12711" s="9"/>
      <c r="X12711" s="9"/>
    </row>
    <row r="12712">
      <c r="D12712" s="9"/>
      <c r="G12712" s="9"/>
      <c r="J12712" s="11"/>
      <c r="U12712" s="9"/>
      <c r="X12712" s="9"/>
    </row>
    <row r="12713">
      <c r="D12713" s="9"/>
      <c r="G12713" s="9"/>
      <c r="J12713" s="11"/>
      <c r="U12713" s="9"/>
      <c r="X12713" s="9"/>
    </row>
    <row r="12714">
      <c r="D12714" s="9"/>
      <c r="G12714" s="9"/>
      <c r="J12714" s="11"/>
      <c r="U12714" s="9"/>
      <c r="X12714" s="9"/>
    </row>
    <row r="12715">
      <c r="D12715" s="9"/>
      <c r="G12715" s="9"/>
      <c r="J12715" s="11"/>
      <c r="U12715" s="9"/>
      <c r="X12715" s="9"/>
    </row>
    <row r="12716">
      <c r="D12716" s="9"/>
      <c r="G12716" s="9"/>
      <c r="J12716" s="11"/>
      <c r="U12716" s="9"/>
      <c r="X12716" s="9"/>
    </row>
    <row r="12717">
      <c r="D12717" s="9"/>
      <c r="G12717" s="9"/>
      <c r="J12717" s="11"/>
      <c r="U12717" s="9"/>
      <c r="X12717" s="9"/>
    </row>
    <row r="12718">
      <c r="D12718" s="9"/>
      <c r="G12718" s="9"/>
      <c r="J12718" s="11"/>
      <c r="U12718" s="9"/>
      <c r="X12718" s="9"/>
    </row>
    <row r="12719">
      <c r="D12719" s="9"/>
      <c r="G12719" s="9"/>
      <c r="J12719" s="11"/>
      <c r="U12719" s="9"/>
      <c r="X12719" s="9"/>
    </row>
    <row r="12720">
      <c r="D12720" s="9"/>
      <c r="G12720" s="9"/>
      <c r="J12720" s="11"/>
      <c r="U12720" s="9"/>
      <c r="X12720" s="9"/>
    </row>
    <row r="12721">
      <c r="D12721" s="9"/>
      <c r="G12721" s="9"/>
      <c r="J12721" s="11"/>
      <c r="U12721" s="9"/>
      <c r="X12721" s="9"/>
    </row>
    <row r="12722">
      <c r="D12722" s="9"/>
      <c r="G12722" s="9"/>
      <c r="J12722" s="11"/>
      <c r="U12722" s="9"/>
      <c r="X12722" s="9"/>
    </row>
    <row r="12723">
      <c r="D12723" s="9"/>
      <c r="G12723" s="9"/>
      <c r="J12723" s="11"/>
      <c r="U12723" s="9"/>
      <c r="X12723" s="9"/>
    </row>
    <row r="12724">
      <c r="D12724" s="9"/>
      <c r="G12724" s="9"/>
      <c r="J12724" s="11"/>
      <c r="U12724" s="9"/>
      <c r="X12724" s="9"/>
    </row>
    <row r="12725">
      <c r="D12725" s="9"/>
      <c r="G12725" s="9"/>
      <c r="J12725" s="11"/>
      <c r="U12725" s="9"/>
      <c r="X12725" s="9"/>
    </row>
    <row r="12726">
      <c r="D12726" s="9"/>
      <c r="G12726" s="9"/>
      <c r="J12726" s="11"/>
      <c r="U12726" s="9"/>
      <c r="X12726" s="9"/>
    </row>
    <row r="12727">
      <c r="D12727" s="9"/>
      <c r="G12727" s="9"/>
      <c r="J12727" s="11"/>
      <c r="U12727" s="9"/>
      <c r="X12727" s="9"/>
    </row>
    <row r="12728">
      <c r="D12728" s="9"/>
      <c r="G12728" s="9"/>
      <c r="J12728" s="11"/>
      <c r="U12728" s="9"/>
      <c r="X12728" s="9"/>
    </row>
    <row r="12729">
      <c r="D12729" s="9"/>
      <c r="G12729" s="9"/>
      <c r="J12729" s="11"/>
      <c r="U12729" s="9"/>
      <c r="X12729" s="9"/>
    </row>
    <row r="12730">
      <c r="D12730" s="9"/>
      <c r="G12730" s="9"/>
      <c r="J12730" s="11"/>
      <c r="U12730" s="9"/>
      <c r="X12730" s="9"/>
    </row>
    <row r="12731">
      <c r="D12731" s="9"/>
      <c r="G12731" s="9"/>
      <c r="J12731" s="11"/>
      <c r="U12731" s="9"/>
      <c r="X12731" s="9"/>
    </row>
    <row r="12732">
      <c r="D12732" s="9"/>
      <c r="G12732" s="9"/>
      <c r="J12732" s="11"/>
      <c r="U12732" s="9"/>
      <c r="X12732" s="9"/>
    </row>
    <row r="12733">
      <c r="D12733" s="9"/>
      <c r="G12733" s="9"/>
      <c r="J12733" s="11"/>
      <c r="U12733" s="9"/>
      <c r="X12733" s="9"/>
    </row>
    <row r="12734">
      <c r="D12734" s="9"/>
      <c r="G12734" s="9"/>
      <c r="J12734" s="11"/>
      <c r="U12734" s="9"/>
      <c r="X12734" s="9"/>
    </row>
    <row r="12735">
      <c r="D12735" s="9"/>
      <c r="G12735" s="9"/>
      <c r="J12735" s="11"/>
      <c r="U12735" s="9"/>
      <c r="X12735" s="9"/>
    </row>
    <row r="12736">
      <c r="D12736" s="9"/>
      <c r="G12736" s="9"/>
      <c r="J12736" s="11"/>
      <c r="U12736" s="9"/>
      <c r="X12736" s="9"/>
    </row>
    <row r="12737">
      <c r="D12737" s="9"/>
      <c r="G12737" s="9"/>
      <c r="J12737" s="11"/>
      <c r="U12737" s="9"/>
      <c r="X12737" s="9"/>
    </row>
    <row r="12738">
      <c r="D12738" s="9"/>
      <c r="G12738" s="9"/>
      <c r="J12738" s="11"/>
      <c r="U12738" s="9"/>
      <c r="X12738" s="9"/>
    </row>
    <row r="12739">
      <c r="D12739" s="9"/>
      <c r="G12739" s="9"/>
      <c r="J12739" s="11"/>
      <c r="U12739" s="9"/>
      <c r="X12739" s="9"/>
    </row>
    <row r="12740">
      <c r="D12740" s="9"/>
      <c r="G12740" s="9"/>
      <c r="J12740" s="11"/>
      <c r="U12740" s="9"/>
      <c r="X12740" s="9"/>
    </row>
    <row r="12741">
      <c r="D12741" s="9"/>
      <c r="G12741" s="9"/>
      <c r="J12741" s="11"/>
      <c r="U12741" s="9"/>
      <c r="X12741" s="9"/>
    </row>
    <row r="12742">
      <c r="D12742" s="9"/>
      <c r="G12742" s="9"/>
      <c r="J12742" s="11"/>
      <c r="U12742" s="9"/>
      <c r="X12742" s="9"/>
    </row>
    <row r="12743">
      <c r="D12743" s="9"/>
      <c r="G12743" s="9"/>
      <c r="J12743" s="11"/>
      <c r="U12743" s="9"/>
      <c r="X12743" s="9"/>
    </row>
    <row r="12744">
      <c r="D12744" s="9"/>
      <c r="G12744" s="9"/>
      <c r="J12744" s="11"/>
      <c r="U12744" s="9"/>
      <c r="X12744" s="9"/>
    </row>
    <row r="12745">
      <c r="D12745" s="9"/>
      <c r="G12745" s="9"/>
      <c r="J12745" s="11"/>
      <c r="U12745" s="9"/>
      <c r="X12745" s="9"/>
    </row>
    <row r="12746">
      <c r="D12746" s="9"/>
      <c r="G12746" s="9"/>
      <c r="J12746" s="11"/>
      <c r="U12746" s="9"/>
      <c r="X12746" s="9"/>
    </row>
    <row r="12747">
      <c r="D12747" s="9"/>
      <c r="G12747" s="9"/>
      <c r="J12747" s="11"/>
      <c r="U12747" s="9"/>
      <c r="X12747" s="9"/>
    </row>
    <row r="12748">
      <c r="D12748" s="9"/>
      <c r="G12748" s="9"/>
      <c r="J12748" s="11"/>
      <c r="U12748" s="9"/>
      <c r="X12748" s="9"/>
    </row>
    <row r="12749">
      <c r="D12749" s="9"/>
      <c r="G12749" s="9"/>
      <c r="J12749" s="11"/>
      <c r="U12749" s="9"/>
      <c r="X12749" s="9"/>
    </row>
    <row r="12750">
      <c r="D12750" s="9"/>
      <c r="G12750" s="9"/>
      <c r="J12750" s="11"/>
      <c r="U12750" s="9"/>
      <c r="X12750" s="9"/>
    </row>
    <row r="12751">
      <c r="D12751" s="9"/>
      <c r="G12751" s="9"/>
      <c r="J12751" s="11"/>
      <c r="U12751" s="9"/>
      <c r="X12751" s="9"/>
    </row>
    <row r="12752">
      <c r="D12752" s="9"/>
      <c r="G12752" s="9"/>
      <c r="J12752" s="11"/>
      <c r="U12752" s="9"/>
      <c r="X12752" s="9"/>
    </row>
    <row r="12753">
      <c r="D12753" s="9"/>
      <c r="G12753" s="9"/>
      <c r="J12753" s="11"/>
      <c r="U12753" s="9"/>
      <c r="X12753" s="9"/>
    </row>
    <row r="12754">
      <c r="D12754" s="9"/>
      <c r="G12754" s="9"/>
      <c r="J12754" s="11"/>
      <c r="U12754" s="9"/>
      <c r="X12754" s="9"/>
    </row>
    <row r="12755">
      <c r="D12755" s="9"/>
      <c r="G12755" s="9"/>
      <c r="J12755" s="11"/>
      <c r="U12755" s="9"/>
      <c r="X12755" s="9"/>
    </row>
    <row r="12756">
      <c r="D12756" s="9"/>
      <c r="G12756" s="9"/>
      <c r="J12756" s="11"/>
      <c r="U12756" s="9"/>
      <c r="X12756" s="9"/>
    </row>
    <row r="12757">
      <c r="D12757" s="9"/>
      <c r="G12757" s="9"/>
      <c r="J12757" s="11"/>
      <c r="U12757" s="9"/>
      <c r="X12757" s="9"/>
    </row>
    <row r="12758">
      <c r="D12758" s="9"/>
      <c r="G12758" s="9"/>
      <c r="J12758" s="11"/>
      <c r="U12758" s="9"/>
      <c r="X12758" s="9"/>
    </row>
    <row r="12759">
      <c r="D12759" s="9"/>
      <c r="G12759" s="9"/>
      <c r="J12759" s="11"/>
      <c r="U12759" s="9"/>
      <c r="X12759" s="9"/>
    </row>
    <row r="12760">
      <c r="D12760" s="9"/>
      <c r="G12760" s="9"/>
      <c r="J12760" s="11"/>
      <c r="U12760" s="9"/>
      <c r="X12760" s="9"/>
    </row>
    <row r="12761">
      <c r="D12761" s="9"/>
      <c r="G12761" s="9"/>
      <c r="J12761" s="11"/>
      <c r="U12761" s="9"/>
      <c r="X12761" s="9"/>
    </row>
    <row r="12762">
      <c r="D12762" s="9"/>
      <c r="G12762" s="9"/>
      <c r="J12762" s="11"/>
      <c r="U12762" s="9"/>
      <c r="X12762" s="9"/>
    </row>
    <row r="12763">
      <c r="D12763" s="9"/>
      <c r="G12763" s="9"/>
      <c r="J12763" s="11"/>
      <c r="U12763" s="9"/>
      <c r="X12763" s="9"/>
    </row>
    <row r="12764">
      <c r="D12764" s="9"/>
      <c r="G12764" s="9"/>
      <c r="J12764" s="11"/>
      <c r="U12764" s="9"/>
      <c r="X12764" s="9"/>
    </row>
    <row r="12765">
      <c r="D12765" s="9"/>
      <c r="G12765" s="9"/>
      <c r="J12765" s="11"/>
      <c r="U12765" s="9"/>
      <c r="X12765" s="9"/>
    </row>
    <row r="12766">
      <c r="D12766" s="9"/>
      <c r="G12766" s="9"/>
      <c r="J12766" s="11"/>
      <c r="U12766" s="9"/>
      <c r="X12766" s="9"/>
    </row>
    <row r="12767">
      <c r="D12767" s="9"/>
      <c r="G12767" s="9"/>
      <c r="J12767" s="11"/>
      <c r="U12767" s="9"/>
      <c r="X12767" s="9"/>
    </row>
    <row r="12768">
      <c r="D12768" s="9"/>
      <c r="G12768" s="9"/>
      <c r="J12768" s="11"/>
      <c r="U12768" s="9"/>
      <c r="X12768" s="9"/>
    </row>
    <row r="12769">
      <c r="D12769" s="9"/>
      <c r="G12769" s="9"/>
      <c r="J12769" s="11"/>
      <c r="U12769" s="9"/>
      <c r="X12769" s="9"/>
    </row>
    <row r="12770">
      <c r="D12770" s="9"/>
      <c r="G12770" s="9"/>
      <c r="J12770" s="11"/>
      <c r="U12770" s="9"/>
      <c r="X12770" s="9"/>
    </row>
    <row r="12771">
      <c r="D12771" s="9"/>
      <c r="G12771" s="9"/>
      <c r="J12771" s="11"/>
      <c r="U12771" s="9"/>
      <c r="X12771" s="9"/>
    </row>
    <row r="12772">
      <c r="D12772" s="9"/>
      <c r="G12772" s="9"/>
      <c r="J12772" s="11"/>
      <c r="U12772" s="9"/>
      <c r="X12772" s="9"/>
    </row>
    <row r="12773">
      <c r="D12773" s="9"/>
      <c r="G12773" s="9"/>
      <c r="J12773" s="11"/>
      <c r="U12773" s="9"/>
      <c r="X12773" s="9"/>
    </row>
    <row r="12774">
      <c r="D12774" s="9"/>
      <c r="G12774" s="9"/>
      <c r="J12774" s="11"/>
      <c r="U12774" s="9"/>
      <c r="X12774" s="9"/>
    </row>
    <row r="12775">
      <c r="D12775" s="9"/>
      <c r="G12775" s="9"/>
      <c r="J12775" s="11"/>
      <c r="U12775" s="9"/>
      <c r="X12775" s="9"/>
    </row>
    <row r="12776">
      <c r="D12776" s="9"/>
      <c r="G12776" s="9"/>
      <c r="J12776" s="11"/>
      <c r="U12776" s="9"/>
      <c r="X12776" s="9"/>
    </row>
    <row r="12777">
      <c r="D12777" s="9"/>
      <c r="G12777" s="9"/>
      <c r="J12777" s="11"/>
      <c r="U12777" s="9"/>
      <c r="X12777" s="9"/>
    </row>
    <row r="12778">
      <c r="D12778" s="9"/>
      <c r="G12778" s="9"/>
      <c r="J12778" s="11"/>
      <c r="U12778" s="9"/>
      <c r="X12778" s="9"/>
    </row>
    <row r="12779">
      <c r="D12779" s="9"/>
      <c r="G12779" s="9"/>
      <c r="J12779" s="11"/>
      <c r="U12779" s="9"/>
      <c r="X12779" s="9"/>
    </row>
    <row r="12780">
      <c r="D12780" s="9"/>
      <c r="G12780" s="9"/>
      <c r="J12780" s="11"/>
      <c r="U12780" s="9"/>
      <c r="X12780" s="9"/>
    </row>
    <row r="12781">
      <c r="D12781" s="9"/>
      <c r="G12781" s="9"/>
      <c r="J12781" s="11"/>
      <c r="U12781" s="9"/>
      <c r="X12781" s="9"/>
    </row>
    <row r="12782">
      <c r="D12782" s="9"/>
      <c r="G12782" s="9"/>
      <c r="J12782" s="11"/>
      <c r="U12782" s="9"/>
      <c r="X12782" s="9"/>
    </row>
    <row r="12783">
      <c r="D12783" s="9"/>
      <c r="G12783" s="9"/>
      <c r="J12783" s="11"/>
      <c r="U12783" s="9"/>
      <c r="X12783" s="9"/>
    </row>
    <row r="12784">
      <c r="D12784" s="9"/>
      <c r="G12784" s="9"/>
      <c r="J12784" s="11"/>
      <c r="U12784" s="9"/>
      <c r="X12784" s="9"/>
    </row>
    <row r="12785">
      <c r="D12785" s="9"/>
      <c r="G12785" s="9"/>
      <c r="J12785" s="11"/>
      <c r="U12785" s="9"/>
      <c r="X12785" s="9"/>
    </row>
    <row r="12786">
      <c r="D12786" s="9"/>
      <c r="G12786" s="9"/>
      <c r="J12786" s="11"/>
      <c r="U12786" s="9"/>
      <c r="X12786" s="9"/>
    </row>
    <row r="12787">
      <c r="D12787" s="9"/>
      <c r="G12787" s="9"/>
      <c r="J12787" s="11"/>
      <c r="U12787" s="9"/>
      <c r="X12787" s="9"/>
    </row>
    <row r="12788">
      <c r="D12788" s="9"/>
      <c r="G12788" s="9"/>
      <c r="J12788" s="11"/>
      <c r="U12788" s="9"/>
      <c r="X12788" s="9"/>
    </row>
    <row r="12789">
      <c r="D12789" s="9"/>
      <c r="G12789" s="9"/>
      <c r="J12789" s="11"/>
      <c r="U12789" s="9"/>
      <c r="X12789" s="9"/>
    </row>
    <row r="12790">
      <c r="D12790" s="9"/>
      <c r="G12790" s="9"/>
      <c r="J12790" s="11"/>
      <c r="U12790" s="9"/>
      <c r="X12790" s="9"/>
    </row>
    <row r="12791">
      <c r="D12791" s="9"/>
      <c r="G12791" s="9"/>
      <c r="J12791" s="11"/>
      <c r="U12791" s="9"/>
      <c r="X12791" s="9"/>
    </row>
    <row r="12792">
      <c r="D12792" s="9"/>
      <c r="G12792" s="9"/>
      <c r="J12792" s="11"/>
      <c r="U12792" s="9"/>
      <c r="X12792" s="9"/>
    </row>
    <row r="12793">
      <c r="D12793" s="9"/>
      <c r="G12793" s="9"/>
      <c r="J12793" s="11"/>
      <c r="U12793" s="9"/>
      <c r="X12793" s="9"/>
    </row>
    <row r="12794">
      <c r="D12794" s="9"/>
      <c r="G12794" s="9"/>
      <c r="J12794" s="11"/>
      <c r="U12794" s="9"/>
      <c r="X12794" s="9"/>
    </row>
    <row r="12795">
      <c r="D12795" s="9"/>
      <c r="G12795" s="9"/>
      <c r="J12795" s="11"/>
      <c r="U12795" s="9"/>
      <c r="X12795" s="9"/>
    </row>
    <row r="12796">
      <c r="D12796" s="9"/>
      <c r="G12796" s="9"/>
      <c r="J12796" s="11"/>
      <c r="U12796" s="9"/>
      <c r="X12796" s="9"/>
    </row>
    <row r="12797">
      <c r="D12797" s="9"/>
      <c r="G12797" s="9"/>
      <c r="J12797" s="11"/>
      <c r="U12797" s="9"/>
      <c r="X12797" s="9"/>
    </row>
    <row r="12798">
      <c r="D12798" s="9"/>
      <c r="G12798" s="9"/>
      <c r="J12798" s="11"/>
      <c r="U12798" s="9"/>
      <c r="X12798" s="9"/>
    </row>
    <row r="12799">
      <c r="D12799" s="9"/>
      <c r="G12799" s="9"/>
      <c r="J12799" s="11"/>
      <c r="U12799" s="9"/>
      <c r="X12799" s="9"/>
    </row>
    <row r="12800">
      <c r="D12800" s="9"/>
      <c r="G12800" s="9"/>
      <c r="J12800" s="11"/>
      <c r="U12800" s="9"/>
      <c r="X12800" s="9"/>
    </row>
    <row r="12801">
      <c r="D12801" s="9"/>
      <c r="G12801" s="9"/>
      <c r="J12801" s="11"/>
      <c r="U12801" s="9"/>
      <c r="X12801" s="9"/>
    </row>
    <row r="12802">
      <c r="D12802" s="9"/>
      <c r="G12802" s="9"/>
      <c r="J12802" s="11"/>
      <c r="U12802" s="9"/>
      <c r="X12802" s="9"/>
    </row>
    <row r="12803">
      <c r="D12803" s="9"/>
      <c r="G12803" s="9"/>
      <c r="J12803" s="11"/>
      <c r="U12803" s="9"/>
      <c r="X12803" s="9"/>
    </row>
    <row r="12804">
      <c r="D12804" s="9"/>
      <c r="G12804" s="9"/>
      <c r="J12804" s="11"/>
      <c r="U12804" s="9"/>
      <c r="X12804" s="9"/>
    </row>
    <row r="12805">
      <c r="D12805" s="9"/>
      <c r="G12805" s="9"/>
      <c r="J12805" s="11"/>
      <c r="U12805" s="9"/>
      <c r="X12805" s="9"/>
    </row>
    <row r="12806">
      <c r="D12806" s="9"/>
      <c r="G12806" s="9"/>
      <c r="J12806" s="11"/>
      <c r="U12806" s="9"/>
      <c r="X12806" s="9"/>
    </row>
    <row r="12807">
      <c r="D12807" s="9"/>
      <c r="G12807" s="9"/>
      <c r="J12807" s="11"/>
      <c r="U12807" s="9"/>
      <c r="X12807" s="9"/>
    </row>
    <row r="12808">
      <c r="D12808" s="9"/>
      <c r="G12808" s="9"/>
      <c r="J12808" s="11"/>
      <c r="U12808" s="9"/>
      <c r="X12808" s="9"/>
    </row>
    <row r="12809">
      <c r="D12809" s="9"/>
      <c r="G12809" s="9"/>
      <c r="J12809" s="11"/>
      <c r="U12809" s="9"/>
      <c r="X12809" s="9"/>
    </row>
    <row r="12810">
      <c r="D12810" s="9"/>
      <c r="G12810" s="9"/>
      <c r="J12810" s="11"/>
      <c r="U12810" s="9"/>
      <c r="X12810" s="9"/>
    </row>
    <row r="12811">
      <c r="D12811" s="9"/>
      <c r="G12811" s="9"/>
      <c r="J12811" s="11"/>
      <c r="U12811" s="9"/>
      <c r="X12811" s="9"/>
    </row>
    <row r="12812">
      <c r="D12812" s="9"/>
      <c r="G12812" s="9"/>
      <c r="J12812" s="11"/>
      <c r="U12812" s="9"/>
      <c r="X12812" s="9"/>
    </row>
    <row r="12813">
      <c r="D12813" s="9"/>
      <c r="G12813" s="9"/>
      <c r="J12813" s="11"/>
      <c r="U12813" s="9"/>
      <c r="X12813" s="9"/>
    </row>
    <row r="12814">
      <c r="D12814" s="9"/>
      <c r="G12814" s="9"/>
      <c r="J12814" s="11"/>
      <c r="U12814" s="9"/>
      <c r="X12814" s="9"/>
    </row>
    <row r="12815">
      <c r="D12815" s="9"/>
      <c r="G12815" s="9"/>
      <c r="J12815" s="11"/>
      <c r="U12815" s="9"/>
      <c r="X12815" s="9"/>
    </row>
    <row r="12816">
      <c r="D12816" s="9"/>
      <c r="G12816" s="9"/>
      <c r="J12816" s="11"/>
      <c r="U12816" s="9"/>
      <c r="X12816" s="9"/>
    </row>
    <row r="12817">
      <c r="D12817" s="9"/>
      <c r="G12817" s="9"/>
      <c r="J12817" s="11"/>
      <c r="U12817" s="9"/>
      <c r="X12817" s="9"/>
    </row>
    <row r="12818">
      <c r="D12818" s="9"/>
      <c r="G12818" s="9"/>
      <c r="J12818" s="11"/>
      <c r="U12818" s="9"/>
      <c r="X12818" s="9"/>
    </row>
    <row r="12819">
      <c r="D12819" s="9"/>
      <c r="G12819" s="9"/>
      <c r="J12819" s="11"/>
      <c r="U12819" s="9"/>
      <c r="X12819" s="9"/>
    </row>
    <row r="12820">
      <c r="D12820" s="9"/>
      <c r="G12820" s="9"/>
      <c r="J12820" s="11"/>
      <c r="U12820" s="9"/>
      <c r="X12820" s="9"/>
    </row>
    <row r="12821">
      <c r="D12821" s="9"/>
      <c r="G12821" s="9"/>
      <c r="J12821" s="11"/>
      <c r="U12821" s="9"/>
      <c r="X12821" s="9"/>
    </row>
    <row r="12822">
      <c r="D12822" s="9"/>
      <c r="G12822" s="9"/>
      <c r="J12822" s="11"/>
      <c r="U12822" s="9"/>
      <c r="X12822" s="9"/>
    </row>
    <row r="12823">
      <c r="D12823" s="9"/>
      <c r="G12823" s="9"/>
      <c r="J12823" s="11"/>
      <c r="U12823" s="9"/>
      <c r="X12823" s="9"/>
    </row>
    <row r="12824">
      <c r="D12824" s="9"/>
      <c r="G12824" s="9"/>
      <c r="J12824" s="11"/>
      <c r="U12824" s="9"/>
      <c r="X12824" s="9"/>
    </row>
    <row r="12825">
      <c r="D12825" s="9"/>
      <c r="G12825" s="9"/>
      <c r="J12825" s="11"/>
      <c r="U12825" s="9"/>
      <c r="X12825" s="9"/>
    </row>
    <row r="12826">
      <c r="D12826" s="9"/>
      <c r="G12826" s="9"/>
      <c r="J12826" s="11"/>
      <c r="U12826" s="9"/>
      <c r="X12826" s="9"/>
    </row>
    <row r="12827">
      <c r="D12827" s="9"/>
      <c r="G12827" s="9"/>
      <c r="J12827" s="11"/>
      <c r="U12827" s="9"/>
      <c r="X12827" s="9"/>
    </row>
    <row r="12828">
      <c r="D12828" s="9"/>
      <c r="G12828" s="9"/>
      <c r="J12828" s="11"/>
      <c r="U12828" s="9"/>
      <c r="X12828" s="9"/>
    </row>
    <row r="12829">
      <c r="D12829" s="9"/>
      <c r="G12829" s="9"/>
      <c r="J12829" s="11"/>
      <c r="U12829" s="9"/>
      <c r="X12829" s="9"/>
    </row>
    <row r="12830">
      <c r="D12830" s="9"/>
      <c r="G12830" s="9"/>
      <c r="J12830" s="11"/>
      <c r="U12830" s="9"/>
      <c r="X12830" s="9"/>
    </row>
    <row r="12831">
      <c r="D12831" s="9"/>
      <c r="G12831" s="9"/>
      <c r="J12831" s="11"/>
      <c r="U12831" s="9"/>
      <c r="X12831" s="9"/>
    </row>
    <row r="12832">
      <c r="D12832" s="9"/>
      <c r="G12832" s="9"/>
      <c r="J12832" s="11"/>
      <c r="U12832" s="9"/>
      <c r="X12832" s="9"/>
    </row>
    <row r="12833">
      <c r="D12833" s="9"/>
      <c r="G12833" s="9"/>
      <c r="J12833" s="11"/>
      <c r="U12833" s="9"/>
      <c r="X12833" s="9"/>
    </row>
    <row r="12834">
      <c r="D12834" s="9"/>
      <c r="G12834" s="9"/>
      <c r="J12834" s="11"/>
      <c r="U12834" s="9"/>
      <c r="X12834" s="9"/>
    </row>
    <row r="12835">
      <c r="D12835" s="9"/>
      <c r="G12835" s="9"/>
      <c r="J12835" s="11"/>
      <c r="U12835" s="9"/>
      <c r="X12835" s="9"/>
    </row>
    <row r="12836">
      <c r="D12836" s="9"/>
      <c r="G12836" s="9"/>
      <c r="J12836" s="11"/>
      <c r="U12836" s="9"/>
      <c r="X12836" s="9"/>
    </row>
    <row r="12837">
      <c r="D12837" s="9"/>
      <c r="G12837" s="9"/>
      <c r="J12837" s="11"/>
      <c r="U12837" s="9"/>
      <c r="X12837" s="9"/>
    </row>
    <row r="12838">
      <c r="D12838" s="9"/>
      <c r="G12838" s="9"/>
      <c r="J12838" s="11"/>
      <c r="U12838" s="9"/>
      <c r="X12838" s="9"/>
    </row>
    <row r="12839">
      <c r="D12839" s="9"/>
      <c r="G12839" s="9"/>
      <c r="J12839" s="11"/>
      <c r="U12839" s="9"/>
      <c r="X12839" s="9"/>
    </row>
    <row r="12840">
      <c r="D12840" s="9"/>
      <c r="G12840" s="9"/>
      <c r="J12840" s="11"/>
      <c r="U12840" s="9"/>
      <c r="X12840" s="9"/>
    </row>
    <row r="12841">
      <c r="D12841" s="9"/>
      <c r="G12841" s="9"/>
      <c r="J12841" s="11"/>
      <c r="U12841" s="9"/>
      <c r="X12841" s="9"/>
    </row>
    <row r="12842">
      <c r="D12842" s="9"/>
      <c r="G12842" s="9"/>
      <c r="J12842" s="11"/>
      <c r="U12842" s="9"/>
      <c r="X12842" s="9"/>
    </row>
    <row r="12843">
      <c r="D12843" s="9"/>
      <c r="G12843" s="9"/>
      <c r="J12843" s="11"/>
      <c r="U12843" s="9"/>
      <c r="X12843" s="9"/>
    </row>
    <row r="12844">
      <c r="D12844" s="9"/>
      <c r="G12844" s="9"/>
      <c r="J12844" s="11"/>
      <c r="U12844" s="9"/>
      <c r="X12844" s="9"/>
    </row>
    <row r="12845">
      <c r="D12845" s="9"/>
      <c r="G12845" s="9"/>
      <c r="J12845" s="11"/>
      <c r="U12845" s="9"/>
      <c r="X12845" s="9"/>
    </row>
    <row r="12846">
      <c r="D12846" s="9"/>
      <c r="G12846" s="9"/>
      <c r="J12846" s="11"/>
      <c r="U12846" s="9"/>
      <c r="X12846" s="9"/>
    </row>
    <row r="12847">
      <c r="D12847" s="9"/>
      <c r="G12847" s="9"/>
      <c r="J12847" s="11"/>
      <c r="U12847" s="9"/>
      <c r="X12847" s="9"/>
    </row>
    <row r="12848">
      <c r="D12848" s="9"/>
      <c r="G12848" s="9"/>
      <c r="J12848" s="11"/>
      <c r="U12848" s="9"/>
      <c r="X12848" s="9"/>
    </row>
    <row r="12849">
      <c r="D12849" s="9"/>
      <c r="G12849" s="9"/>
      <c r="J12849" s="11"/>
      <c r="U12849" s="9"/>
      <c r="X12849" s="9"/>
    </row>
    <row r="12850">
      <c r="D12850" s="9"/>
      <c r="G12850" s="9"/>
      <c r="J12850" s="11"/>
      <c r="U12850" s="9"/>
      <c r="X12850" s="9"/>
    </row>
    <row r="12851">
      <c r="D12851" s="9"/>
      <c r="G12851" s="9"/>
      <c r="J12851" s="11"/>
      <c r="U12851" s="9"/>
      <c r="X12851" s="9"/>
    </row>
    <row r="12852">
      <c r="D12852" s="9"/>
      <c r="G12852" s="9"/>
      <c r="J12852" s="11"/>
      <c r="U12852" s="9"/>
      <c r="X12852" s="9"/>
    </row>
    <row r="12853">
      <c r="D12853" s="9"/>
      <c r="G12853" s="9"/>
      <c r="J12853" s="11"/>
      <c r="U12853" s="9"/>
      <c r="X12853" s="9"/>
    </row>
    <row r="12854">
      <c r="D12854" s="9"/>
      <c r="G12854" s="9"/>
      <c r="J12854" s="11"/>
      <c r="U12854" s="9"/>
      <c r="X12854" s="9"/>
    </row>
    <row r="12855">
      <c r="D12855" s="9"/>
      <c r="G12855" s="9"/>
      <c r="J12855" s="11"/>
      <c r="U12855" s="9"/>
      <c r="X12855" s="9"/>
    </row>
    <row r="12856">
      <c r="D12856" s="9"/>
      <c r="G12856" s="9"/>
      <c r="J12856" s="11"/>
      <c r="U12856" s="9"/>
      <c r="X12856" s="9"/>
    </row>
    <row r="12857">
      <c r="D12857" s="9"/>
      <c r="G12857" s="9"/>
      <c r="J12857" s="11"/>
      <c r="U12857" s="9"/>
      <c r="X12857" s="9"/>
    </row>
    <row r="12858">
      <c r="D12858" s="9"/>
      <c r="G12858" s="9"/>
      <c r="J12858" s="11"/>
      <c r="U12858" s="9"/>
      <c r="X12858" s="9"/>
    </row>
    <row r="12859">
      <c r="D12859" s="9"/>
      <c r="G12859" s="9"/>
      <c r="J12859" s="11"/>
      <c r="U12859" s="9"/>
      <c r="X12859" s="9"/>
    </row>
    <row r="12860">
      <c r="D12860" s="9"/>
      <c r="G12860" s="9"/>
      <c r="J12860" s="11"/>
      <c r="U12860" s="9"/>
      <c r="X12860" s="9"/>
    </row>
    <row r="12861">
      <c r="D12861" s="9"/>
      <c r="G12861" s="9"/>
      <c r="J12861" s="11"/>
      <c r="U12861" s="9"/>
      <c r="X12861" s="9"/>
    </row>
    <row r="12862">
      <c r="D12862" s="9"/>
      <c r="G12862" s="9"/>
      <c r="J12862" s="11"/>
      <c r="U12862" s="9"/>
      <c r="X12862" s="9"/>
    </row>
    <row r="12863">
      <c r="D12863" s="9"/>
      <c r="G12863" s="9"/>
      <c r="J12863" s="11"/>
      <c r="U12863" s="9"/>
      <c r="X12863" s="9"/>
    </row>
    <row r="12864">
      <c r="D12864" s="9"/>
      <c r="G12864" s="9"/>
      <c r="J12864" s="11"/>
      <c r="U12864" s="9"/>
      <c r="X12864" s="9"/>
    </row>
    <row r="12865">
      <c r="D12865" s="9"/>
      <c r="G12865" s="9"/>
      <c r="J12865" s="11"/>
      <c r="U12865" s="9"/>
      <c r="X12865" s="9"/>
    </row>
    <row r="12866">
      <c r="D12866" s="9"/>
      <c r="G12866" s="9"/>
      <c r="J12866" s="11"/>
      <c r="U12866" s="9"/>
      <c r="X12866" s="9"/>
    </row>
    <row r="12867">
      <c r="D12867" s="9"/>
      <c r="G12867" s="9"/>
      <c r="J12867" s="11"/>
      <c r="U12867" s="9"/>
      <c r="X12867" s="9"/>
    </row>
    <row r="12868">
      <c r="D12868" s="9"/>
      <c r="G12868" s="9"/>
      <c r="J12868" s="11"/>
      <c r="U12868" s="9"/>
      <c r="X12868" s="9"/>
    </row>
    <row r="12869">
      <c r="D12869" s="9"/>
      <c r="G12869" s="9"/>
      <c r="J12869" s="11"/>
      <c r="U12869" s="9"/>
      <c r="X12869" s="9"/>
    </row>
    <row r="12870">
      <c r="D12870" s="9"/>
      <c r="G12870" s="9"/>
      <c r="J12870" s="11"/>
      <c r="U12870" s="9"/>
      <c r="X12870" s="9"/>
    </row>
    <row r="12871">
      <c r="D12871" s="9"/>
      <c r="G12871" s="9"/>
      <c r="J12871" s="11"/>
      <c r="U12871" s="9"/>
      <c r="X12871" s="9"/>
    </row>
    <row r="12872">
      <c r="D12872" s="9"/>
      <c r="G12872" s="9"/>
      <c r="J12872" s="11"/>
      <c r="U12872" s="9"/>
      <c r="X12872" s="9"/>
    </row>
    <row r="12873">
      <c r="D12873" s="9"/>
      <c r="G12873" s="9"/>
      <c r="J12873" s="11"/>
      <c r="U12873" s="9"/>
      <c r="X12873" s="9"/>
    </row>
    <row r="12874">
      <c r="D12874" s="9"/>
      <c r="G12874" s="9"/>
      <c r="J12874" s="11"/>
      <c r="U12874" s="9"/>
      <c r="X12874" s="9"/>
    </row>
    <row r="12875">
      <c r="D12875" s="9"/>
      <c r="G12875" s="9"/>
      <c r="J12875" s="11"/>
      <c r="U12875" s="9"/>
      <c r="X12875" s="9"/>
    </row>
    <row r="12876">
      <c r="D12876" s="9"/>
      <c r="G12876" s="9"/>
      <c r="J12876" s="11"/>
      <c r="U12876" s="9"/>
      <c r="X12876" s="9"/>
    </row>
    <row r="12877">
      <c r="D12877" s="9"/>
      <c r="G12877" s="9"/>
      <c r="J12877" s="11"/>
      <c r="U12877" s="9"/>
      <c r="X12877" s="9"/>
    </row>
    <row r="12878">
      <c r="D12878" s="9"/>
      <c r="G12878" s="9"/>
      <c r="J12878" s="11"/>
      <c r="U12878" s="9"/>
      <c r="X12878" s="9"/>
    </row>
    <row r="12879">
      <c r="D12879" s="9"/>
      <c r="G12879" s="9"/>
      <c r="J12879" s="11"/>
      <c r="U12879" s="9"/>
      <c r="X12879" s="9"/>
    </row>
    <row r="12880">
      <c r="D12880" s="9"/>
      <c r="G12880" s="9"/>
      <c r="J12880" s="11"/>
      <c r="U12880" s="9"/>
      <c r="X12880" s="9"/>
    </row>
    <row r="12881">
      <c r="D12881" s="9"/>
      <c r="G12881" s="9"/>
      <c r="J12881" s="11"/>
      <c r="U12881" s="9"/>
      <c r="X12881" s="9"/>
    </row>
    <row r="12882">
      <c r="D12882" s="9"/>
      <c r="G12882" s="9"/>
      <c r="J12882" s="11"/>
      <c r="U12882" s="9"/>
      <c r="X12882" s="9"/>
    </row>
    <row r="12883">
      <c r="D12883" s="9"/>
      <c r="G12883" s="9"/>
      <c r="J12883" s="11"/>
      <c r="U12883" s="9"/>
      <c r="X12883" s="9"/>
    </row>
    <row r="12884">
      <c r="D12884" s="9"/>
      <c r="G12884" s="9"/>
      <c r="J12884" s="11"/>
      <c r="U12884" s="9"/>
      <c r="X12884" s="9"/>
    </row>
    <row r="12885">
      <c r="D12885" s="9"/>
      <c r="G12885" s="9"/>
      <c r="J12885" s="11"/>
      <c r="U12885" s="9"/>
      <c r="X12885" s="9"/>
    </row>
    <row r="12886">
      <c r="D12886" s="9"/>
      <c r="G12886" s="9"/>
      <c r="J12886" s="11"/>
      <c r="U12886" s="9"/>
      <c r="X12886" s="9"/>
    </row>
    <row r="12887">
      <c r="D12887" s="9"/>
      <c r="G12887" s="9"/>
      <c r="J12887" s="11"/>
      <c r="U12887" s="9"/>
      <c r="X12887" s="9"/>
    </row>
    <row r="12888">
      <c r="D12888" s="9"/>
      <c r="G12888" s="9"/>
      <c r="J12888" s="11"/>
      <c r="U12888" s="9"/>
      <c r="X12888" s="9"/>
    </row>
    <row r="12889">
      <c r="D12889" s="9"/>
      <c r="G12889" s="9"/>
      <c r="J12889" s="11"/>
      <c r="U12889" s="9"/>
      <c r="X12889" s="9"/>
    </row>
    <row r="12890">
      <c r="D12890" s="9"/>
      <c r="G12890" s="9"/>
      <c r="J12890" s="11"/>
      <c r="U12890" s="9"/>
      <c r="X12890" s="9"/>
    </row>
    <row r="12891">
      <c r="D12891" s="9"/>
      <c r="G12891" s="9"/>
      <c r="J12891" s="11"/>
      <c r="U12891" s="9"/>
      <c r="X12891" s="9"/>
    </row>
    <row r="12892">
      <c r="D12892" s="9"/>
      <c r="G12892" s="9"/>
      <c r="J12892" s="11"/>
      <c r="U12892" s="9"/>
      <c r="X12892" s="9"/>
    </row>
    <row r="12893">
      <c r="D12893" s="9"/>
      <c r="G12893" s="9"/>
      <c r="J12893" s="11"/>
      <c r="U12893" s="9"/>
      <c r="X12893" s="9"/>
    </row>
    <row r="12894">
      <c r="D12894" s="9"/>
      <c r="G12894" s="9"/>
      <c r="J12894" s="11"/>
      <c r="U12894" s="9"/>
      <c r="X12894" s="9"/>
    </row>
    <row r="12895">
      <c r="D12895" s="9"/>
      <c r="G12895" s="9"/>
      <c r="J12895" s="11"/>
      <c r="U12895" s="9"/>
      <c r="X12895" s="9"/>
    </row>
    <row r="12896">
      <c r="D12896" s="9"/>
      <c r="G12896" s="9"/>
      <c r="J12896" s="11"/>
      <c r="U12896" s="9"/>
      <c r="X12896" s="9"/>
    </row>
    <row r="12897">
      <c r="D12897" s="9"/>
      <c r="G12897" s="9"/>
      <c r="J12897" s="11"/>
      <c r="U12897" s="9"/>
      <c r="X12897" s="9"/>
    </row>
    <row r="12898">
      <c r="D12898" s="9"/>
      <c r="G12898" s="9"/>
      <c r="J12898" s="11"/>
      <c r="U12898" s="9"/>
      <c r="X12898" s="9"/>
    </row>
    <row r="12899">
      <c r="D12899" s="9"/>
      <c r="G12899" s="9"/>
      <c r="J12899" s="11"/>
      <c r="U12899" s="9"/>
      <c r="X12899" s="9"/>
    </row>
    <row r="12900">
      <c r="D12900" s="9"/>
      <c r="G12900" s="9"/>
      <c r="J12900" s="11"/>
      <c r="U12900" s="9"/>
      <c r="X12900" s="9"/>
    </row>
    <row r="12901">
      <c r="D12901" s="9"/>
      <c r="G12901" s="9"/>
      <c r="J12901" s="11"/>
      <c r="U12901" s="9"/>
      <c r="X12901" s="9"/>
    </row>
    <row r="12902">
      <c r="D12902" s="9"/>
      <c r="G12902" s="9"/>
      <c r="J12902" s="11"/>
      <c r="U12902" s="9"/>
      <c r="X12902" s="9"/>
    </row>
    <row r="12903">
      <c r="D12903" s="9"/>
      <c r="G12903" s="9"/>
      <c r="J12903" s="11"/>
      <c r="U12903" s="9"/>
      <c r="X12903" s="9"/>
    </row>
    <row r="12904">
      <c r="D12904" s="9"/>
      <c r="G12904" s="9"/>
      <c r="J12904" s="11"/>
      <c r="U12904" s="9"/>
      <c r="X12904" s="9"/>
    </row>
    <row r="12905">
      <c r="D12905" s="9"/>
      <c r="G12905" s="9"/>
      <c r="J12905" s="11"/>
      <c r="U12905" s="9"/>
      <c r="X12905" s="9"/>
    </row>
    <row r="12906">
      <c r="D12906" s="9"/>
      <c r="G12906" s="9"/>
      <c r="J12906" s="11"/>
      <c r="U12906" s="9"/>
      <c r="X12906" s="9"/>
    </row>
    <row r="12907">
      <c r="D12907" s="9"/>
      <c r="G12907" s="9"/>
      <c r="J12907" s="11"/>
      <c r="U12907" s="9"/>
      <c r="X12907" s="9"/>
    </row>
    <row r="12908">
      <c r="D12908" s="9"/>
      <c r="G12908" s="9"/>
      <c r="J12908" s="11"/>
      <c r="U12908" s="9"/>
      <c r="X12908" s="9"/>
    </row>
    <row r="12909">
      <c r="D12909" s="9"/>
      <c r="G12909" s="9"/>
      <c r="J12909" s="11"/>
      <c r="U12909" s="9"/>
      <c r="X12909" s="9"/>
    </row>
    <row r="12910">
      <c r="D12910" s="9"/>
      <c r="G12910" s="9"/>
      <c r="J12910" s="11"/>
      <c r="U12910" s="9"/>
      <c r="X12910" s="9"/>
    </row>
    <row r="12911">
      <c r="D12911" s="9"/>
      <c r="G12911" s="9"/>
      <c r="J12911" s="11"/>
      <c r="U12911" s="9"/>
      <c r="X12911" s="9"/>
    </row>
    <row r="12912">
      <c r="D12912" s="9"/>
      <c r="G12912" s="9"/>
      <c r="J12912" s="11"/>
      <c r="U12912" s="9"/>
      <c r="X12912" s="9"/>
    </row>
    <row r="12913">
      <c r="D12913" s="9"/>
      <c r="G12913" s="9"/>
      <c r="J12913" s="11"/>
      <c r="U12913" s="9"/>
      <c r="X12913" s="9"/>
    </row>
    <row r="12914">
      <c r="D12914" s="9"/>
      <c r="G12914" s="9"/>
      <c r="J12914" s="11"/>
      <c r="U12914" s="9"/>
      <c r="X12914" s="9"/>
    </row>
    <row r="12915">
      <c r="D12915" s="9"/>
      <c r="G12915" s="9"/>
      <c r="J12915" s="11"/>
      <c r="U12915" s="9"/>
      <c r="X12915" s="9"/>
    </row>
    <row r="12916">
      <c r="D12916" s="9"/>
      <c r="G12916" s="9"/>
      <c r="J12916" s="11"/>
      <c r="U12916" s="9"/>
      <c r="X12916" s="9"/>
    </row>
    <row r="12917">
      <c r="D12917" s="9"/>
      <c r="G12917" s="9"/>
      <c r="J12917" s="11"/>
      <c r="U12917" s="9"/>
      <c r="X12917" s="9"/>
    </row>
    <row r="12918">
      <c r="D12918" s="9"/>
      <c r="G12918" s="9"/>
      <c r="J12918" s="11"/>
      <c r="U12918" s="9"/>
      <c r="X12918" s="9"/>
    </row>
    <row r="12919">
      <c r="D12919" s="9"/>
      <c r="G12919" s="9"/>
      <c r="J12919" s="11"/>
      <c r="U12919" s="9"/>
      <c r="X12919" s="9"/>
    </row>
    <row r="12920">
      <c r="D12920" s="9"/>
      <c r="G12920" s="9"/>
      <c r="J12920" s="11"/>
      <c r="U12920" s="9"/>
      <c r="X12920" s="9"/>
    </row>
    <row r="12921">
      <c r="D12921" s="9"/>
      <c r="G12921" s="9"/>
      <c r="J12921" s="11"/>
      <c r="U12921" s="9"/>
      <c r="X12921" s="9"/>
    </row>
    <row r="12922">
      <c r="D12922" s="9"/>
      <c r="G12922" s="9"/>
      <c r="J12922" s="11"/>
      <c r="U12922" s="9"/>
      <c r="X12922" s="9"/>
    </row>
    <row r="12923">
      <c r="D12923" s="9"/>
      <c r="G12923" s="9"/>
      <c r="J12923" s="11"/>
      <c r="U12923" s="9"/>
      <c r="X12923" s="9"/>
    </row>
    <row r="12924">
      <c r="D12924" s="9"/>
      <c r="G12924" s="9"/>
      <c r="J12924" s="11"/>
      <c r="U12924" s="9"/>
      <c r="X12924" s="9"/>
    </row>
    <row r="12925">
      <c r="D12925" s="9"/>
      <c r="G12925" s="9"/>
      <c r="J12925" s="11"/>
      <c r="U12925" s="9"/>
      <c r="X12925" s="9"/>
    </row>
    <row r="12926">
      <c r="D12926" s="9"/>
      <c r="G12926" s="9"/>
      <c r="J12926" s="11"/>
      <c r="U12926" s="9"/>
      <c r="X12926" s="9"/>
    </row>
    <row r="12927">
      <c r="D12927" s="9"/>
      <c r="G12927" s="9"/>
      <c r="J12927" s="11"/>
      <c r="U12927" s="9"/>
      <c r="X12927" s="9"/>
    </row>
    <row r="12928">
      <c r="D12928" s="9"/>
      <c r="G12928" s="9"/>
      <c r="J12928" s="11"/>
      <c r="U12928" s="9"/>
      <c r="X12928" s="9"/>
    </row>
    <row r="12929">
      <c r="D12929" s="9"/>
      <c r="G12929" s="9"/>
      <c r="J12929" s="11"/>
      <c r="U12929" s="9"/>
      <c r="X12929" s="9"/>
    </row>
    <row r="12930">
      <c r="D12930" s="9"/>
      <c r="G12930" s="9"/>
      <c r="J12930" s="11"/>
      <c r="U12930" s="9"/>
      <c r="X12930" s="9"/>
    </row>
    <row r="12931">
      <c r="D12931" s="9"/>
      <c r="G12931" s="9"/>
      <c r="J12931" s="11"/>
      <c r="U12931" s="9"/>
      <c r="X12931" s="9"/>
    </row>
    <row r="12932">
      <c r="D12932" s="9"/>
      <c r="G12932" s="9"/>
      <c r="J12932" s="11"/>
      <c r="U12932" s="9"/>
      <c r="X12932" s="9"/>
    </row>
    <row r="12933">
      <c r="D12933" s="9"/>
      <c r="G12933" s="9"/>
      <c r="J12933" s="11"/>
      <c r="U12933" s="9"/>
      <c r="X12933" s="9"/>
    </row>
    <row r="12934">
      <c r="D12934" s="9"/>
      <c r="G12934" s="9"/>
      <c r="J12934" s="11"/>
      <c r="U12934" s="9"/>
      <c r="X12934" s="9"/>
    </row>
    <row r="12935">
      <c r="D12935" s="9"/>
      <c r="G12935" s="9"/>
      <c r="J12935" s="11"/>
      <c r="U12935" s="9"/>
      <c r="X12935" s="9"/>
    </row>
    <row r="12936">
      <c r="D12936" s="9"/>
      <c r="G12936" s="9"/>
      <c r="J12936" s="11"/>
      <c r="U12936" s="9"/>
      <c r="X12936" s="9"/>
    </row>
    <row r="12937">
      <c r="D12937" s="9"/>
      <c r="G12937" s="9"/>
      <c r="J12937" s="11"/>
      <c r="U12937" s="9"/>
      <c r="X12937" s="9"/>
    </row>
    <row r="12938">
      <c r="D12938" s="9"/>
      <c r="G12938" s="9"/>
      <c r="J12938" s="11"/>
      <c r="U12938" s="9"/>
      <c r="X12938" s="9"/>
    </row>
    <row r="12939">
      <c r="D12939" s="9"/>
      <c r="G12939" s="9"/>
      <c r="J12939" s="11"/>
      <c r="U12939" s="9"/>
      <c r="X12939" s="9"/>
    </row>
    <row r="12940">
      <c r="D12940" s="9"/>
      <c r="G12940" s="9"/>
      <c r="J12940" s="11"/>
      <c r="U12940" s="9"/>
      <c r="X12940" s="9"/>
    </row>
    <row r="12941">
      <c r="D12941" s="9"/>
      <c r="G12941" s="9"/>
      <c r="J12941" s="11"/>
      <c r="U12941" s="9"/>
      <c r="X12941" s="9"/>
    </row>
    <row r="12942">
      <c r="D12942" s="9"/>
      <c r="G12942" s="9"/>
      <c r="J12942" s="11"/>
      <c r="U12942" s="9"/>
      <c r="X12942" s="9"/>
    </row>
    <row r="12943">
      <c r="D12943" s="9"/>
      <c r="G12943" s="9"/>
      <c r="J12943" s="11"/>
      <c r="U12943" s="9"/>
      <c r="X12943" s="9"/>
    </row>
    <row r="12944">
      <c r="D12944" s="9"/>
      <c r="G12944" s="9"/>
      <c r="J12944" s="11"/>
      <c r="U12944" s="9"/>
      <c r="X12944" s="9"/>
    </row>
    <row r="12945">
      <c r="D12945" s="9"/>
      <c r="G12945" s="9"/>
      <c r="J12945" s="11"/>
      <c r="U12945" s="9"/>
      <c r="X12945" s="9"/>
    </row>
    <row r="12946">
      <c r="D12946" s="9"/>
      <c r="G12946" s="9"/>
      <c r="J12946" s="11"/>
      <c r="U12946" s="9"/>
      <c r="X12946" s="9"/>
    </row>
    <row r="12947">
      <c r="D12947" s="9"/>
      <c r="G12947" s="9"/>
      <c r="J12947" s="11"/>
      <c r="U12947" s="9"/>
      <c r="X12947" s="9"/>
    </row>
    <row r="12948">
      <c r="D12948" s="9"/>
      <c r="G12948" s="9"/>
      <c r="J12948" s="11"/>
      <c r="U12948" s="9"/>
      <c r="X12948" s="9"/>
    </row>
    <row r="12949">
      <c r="D12949" s="9"/>
      <c r="G12949" s="9"/>
      <c r="J12949" s="11"/>
      <c r="U12949" s="9"/>
      <c r="X12949" s="9"/>
    </row>
    <row r="12950">
      <c r="D12950" s="9"/>
      <c r="G12950" s="9"/>
      <c r="J12950" s="11"/>
      <c r="U12950" s="9"/>
      <c r="X12950" s="9"/>
    </row>
    <row r="12951">
      <c r="D12951" s="9"/>
      <c r="G12951" s="9"/>
      <c r="J12951" s="11"/>
      <c r="U12951" s="9"/>
      <c r="X12951" s="9"/>
    </row>
    <row r="12952">
      <c r="D12952" s="9"/>
      <c r="G12952" s="9"/>
      <c r="J12952" s="11"/>
      <c r="U12952" s="9"/>
      <c r="X12952" s="9"/>
    </row>
    <row r="12953">
      <c r="D12953" s="9"/>
      <c r="G12953" s="9"/>
      <c r="J12953" s="11"/>
      <c r="U12953" s="9"/>
      <c r="X12953" s="9"/>
    </row>
    <row r="12954">
      <c r="D12954" s="9"/>
      <c r="G12954" s="9"/>
      <c r="J12954" s="11"/>
      <c r="U12954" s="9"/>
      <c r="X12954" s="9"/>
    </row>
    <row r="12955">
      <c r="D12955" s="9"/>
      <c r="G12955" s="9"/>
      <c r="J12955" s="11"/>
      <c r="U12955" s="9"/>
      <c r="X12955" s="9"/>
    </row>
    <row r="12956">
      <c r="D12956" s="9"/>
      <c r="G12956" s="9"/>
      <c r="J12956" s="11"/>
      <c r="U12956" s="9"/>
      <c r="X12956" s="9"/>
    </row>
    <row r="12957">
      <c r="D12957" s="9"/>
      <c r="G12957" s="9"/>
      <c r="J12957" s="11"/>
      <c r="U12957" s="9"/>
      <c r="X12957" s="9"/>
    </row>
    <row r="12958">
      <c r="D12958" s="9"/>
      <c r="G12958" s="9"/>
      <c r="J12958" s="11"/>
      <c r="U12958" s="9"/>
      <c r="X12958" s="9"/>
    </row>
    <row r="12959">
      <c r="D12959" s="9"/>
      <c r="G12959" s="9"/>
      <c r="J12959" s="11"/>
      <c r="U12959" s="9"/>
      <c r="X12959" s="9"/>
    </row>
    <row r="12960">
      <c r="D12960" s="9"/>
      <c r="G12960" s="9"/>
      <c r="J12960" s="11"/>
      <c r="U12960" s="9"/>
      <c r="X12960" s="9"/>
    </row>
    <row r="12961">
      <c r="D12961" s="9"/>
      <c r="G12961" s="9"/>
      <c r="J12961" s="11"/>
      <c r="U12961" s="9"/>
      <c r="X12961" s="9"/>
    </row>
    <row r="12962">
      <c r="D12962" s="9"/>
      <c r="G12962" s="9"/>
      <c r="J12962" s="11"/>
      <c r="U12962" s="9"/>
      <c r="X12962" s="9"/>
    </row>
    <row r="12963">
      <c r="D12963" s="9"/>
      <c r="G12963" s="9"/>
      <c r="J12963" s="11"/>
      <c r="U12963" s="9"/>
      <c r="X12963" s="9"/>
    </row>
    <row r="12964">
      <c r="D12964" s="9"/>
      <c r="G12964" s="9"/>
      <c r="J12964" s="11"/>
      <c r="U12964" s="9"/>
      <c r="X12964" s="9"/>
    </row>
    <row r="12965">
      <c r="D12965" s="9"/>
      <c r="G12965" s="9"/>
      <c r="J12965" s="11"/>
      <c r="U12965" s="9"/>
      <c r="X12965" s="9"/>
    </row>
    <row r="12966">
      <c r="D12966" s="9"/>
      <c r="G12966" s="9"/>
      <c r="J12966" s="11"/>
      <c r="U12966" s="9"/>
      <c r="X12966" s="9"/>
    </row>
    <row r="12967">
      <c r="D12967" s="9"/>
      <c r="G12967" s="9"/>
      <c r="J12967" s="11"/>
      <c r="U12967" s="9"/>
      <c r="X12967" s="9"/>
    </row>
    <row r="12968">
      <c r="D12968" s="9"/>
      <c r="G12968" s="9"/>
      <c r="J12968" s="11"/>
      <c r="U12968" s="9"/>
      <c r="X12968" s="9"/>
    </row>
    <row r="12969">
      <c r="D12969" s="9"/>
      <c r="G12969" s="9"/>
      <c r="J12969" s="11"/>
      <c r="U12969" s="9"/>
      <c r="X12969" s="9"/>
    </row>
    <row r="12970">
      <c r="D12970" s="9"/>
      <c r="G12970" s="9"/>
      <c r="J12970" s="11"/>
      <c r="U12970" s="9"/>
      <c r="X12970" s="9"/>
    </row>
    <row r="12971">
      <c r="D12971" s="9"/>
      <c r="G12971" s="9"/>
      <c r="J12971" s="11"/>
      <c r="U12971" s="9"/>
      <c r="X12971" s="9"/>
    </row>
    <row r="12972">
      <c r="D12972" s="9"/>
      <c r="G12972" s="9"/>
      <c r="J12972" s="11"/>
      <c r="U12972" s="9"/>
      <c r="X12972" s="9"/>
    </row>
    <row r="12973">
      <c r="D12973" s="9"/>
      <c r="G12973" s="9"/>
      <c r="J12973" s="11"/>
      <c r="U12973" s="9"/>
      <c r="X12973" s="9"/>
    </row>
    <row r="12974">
      <c r="D12974" s="9"/>
      <c r="G12974" s="9"/>
      <c r="J12974" s="11"/>
      <c r="U12974" s="9"/>
      <c r="X12974" s="9"/>
    </row>
    <row r="12975">
      <c r="D12975" s="9"/>
      <c r="G12975" s="9"/>
      <c r="J12975" s="11"/>
      <c r="U12975" s="9"/>
      <c r="X12975" s="9"/>
    </row>
    <row r="12976">
      <c r="D12976" s="9"/>
      <c r="G12976" s="9"/>
      <c r="J12976" s="11"/>
      <c r="U12976" s="9"/>
      <c r="X12976" s="9"/>
    </row>
    <row r="12977">
      <c r="D12977" s="9"/>
      <c r="G12977" s="9"/>
      <c r="J12977" s="11"/>
      <c r="U12977" s="9"/>
      <c r="X12977" s="9"/>
    </row>
    <row r="12978">
      <c r="D12978" s="9"/>
      <c r="G12978" s="9"/>
      <c r="J12978" s="11"/>
      <c r="U12978" s="9"/>
      <c r="X12978" s="9"/>
    </row>
    <row r="12979">
      <c r="D12979" s="9"/>
      <c r="G12979" s="9"/>
      <c r="J12979" s="11"/>
      <c r="U12979" s="9"/>
      <c r="X12979" s="9"/>
    </row>
    <row r="12980">
      <c r="D12980" s="9"/>
      <c r="G12980" s="9"/>
      <c r="J12980" s="11"/>
      <c r="U12980" s="9"/>
      <c r="X12980" s="9"/>
    </row>
    <row r="12981">
      <c r="D12981" s="9"/>
      <c r="G12981" s="9"/>
      <c r="J12981" s="11"/>
      <c r="U12981" s="9"/>
      <c r="X12981" s="9"/>
    </row>
    <row r="12982">
      <c r="D12982" s="9"/>
      <c r="G12982" s="9"/>
      <c r="J12982" s="11"/>
      <c r="U12982" s="9"/>
      <c r="X12982" s="9"/>
    </row>
    <row r="12983">
      <c r="D12983" s="9"/>
      <c r="G12983" s="9"/>
      <c r="J12983" s="11"/>
      <c r="U12983" s="9"/>
      <c r="X12983" s="9"/>
    </row>
    <row r="12984">
      <c r="D12984" s="9"/>
      <c r="G12984" s="9"/>
      <c r="J12984" s="11"/>
      <c r="U12984" s="9"/>
      <c r="X12984" s="9"/>
    </row>
    <row r="12985">
      <c r="D12985" s="9"/>
      <c r="G12985" s="9"/>
      <c r="J12985" s="11"/>
      <c r="U12985" s="9"/>
      <c r="X12985" s="9"/>
    </row>
    <row r="12986">
      <c r="D12986" s="9"/>
      <c r="G12986" s="9"/>
      <c r="J12986" s="11"/>
      <c r="U12986" s="9"/>
      <c r="X12986" s="9"/>
    </row>
    <row r="12987">
      <c r="D12987" s="9"/>
      <c r="G12987" s="9"/>
      <c r="J12987" s="11"/>
      <c r="U12987" s="9"/>
      <c r="X12987" s="9"/>
    </row>
    <row r="12988">
      <c r="D12988" s="9"/>
      <c r="G12988" s="9"/>
      <c r="J12988" s="11"/>
      <c r="U12988" s="9"/>
      <c r="X12988" s="9"/>
    </row>
    <row r="12989">
      <c r="D12989" s="9"/>
      <c r="G12989" s="9"/>
      <c r="J12989" s="11"/>
      <c r="U12989" s="9"/>
      <c r="X12989" s="9"/>
    </row>
    <row r="12990">
      <c r="D12990" s="9"/>
      <c r="G12990" s="9"/>
      <c r="J12990" s="11"/>
      <c r="U12990" s="9"/>
      <c r="X12990" s="9"/>
    </row>
    <row r="12991">
      <c r="D12991" s="9"/>
      <c r="G12991" s="9"/>
      <c r="J12991" s="11"/>
      <c r="U12991" s="9"/>
      <c r="X12991" s="9"/>
    </row>
    <row r="12992">
      <c r="D12992" s="9"/>
      <c r="G12992" s="9"/>
      <c r="J12992" s="11"/>
      <c r="U12992" s="9"/>
      <c r="X12992" s="9"/>
    </row>
    <row r="12993">
      <c r="D12993" s="9"/>
      <c r="G12993" s="9"/>
      <c r="J12993" s="11"/>
      <c r="U12993" s="9"/>
      <c r="X12993" s="9"/>
    </row>
    <row r="12994">
      <c r="D12994" s="9"/>
      <c r="G12994" s="9"/>
      <c r="J12994" s="11"/>
      <c r="U12994" s="9"/>
      <c r="X12994" s="9"/>
    </row>
    <row r="12995">
      <c r="D12995" s="9"/>
      <c r="G12995" s="9"/>
      <c r="J12995" s="11"/>
      <c r="U12995" s="9"/>
      <c r="X12995" s="9"/>
    </row>
    <row r="12996">
      <c r="D12996" s="9"/>
      <c r="G12996" s="9"/>
      <c r="J12996" s="11"/>
      <c r="U12996" s="9"/>
      <c r="X12996" s="9"/>
    </row>
    <row r="12997">
      <c r="D12997" s="9"/>
      <c r="G12997" s="9"/>
      <c r="J12997" s="11"/>
      <c r="U12997" s="9"/>
      <c r="X12997" s="9"/>
    </row>
    <row r="12998">
      <c r="D12998" s="9"/>
      <c r="G12998" s="9"/>
      <c r="J12998" s="11"/>
      <c r="U12998" s="9"/>
      <c r="X12998" s="9"/>
    </row>
    <row r="12999">
      <c r="D12999" s="9"/>
      <c r="G12999" s="9"/>
      <c r="J12999" s="11"/>
      <c r="U12999" s="9"/>
      <c r="X12999" s="9"/>
    </row>
    <row r="13000">
      <c r="D13000" s="9"/>
      <c r="G13000" s="9"/>
      <c r="J13000" s="11"/>
      <c r="U13000" s="9"/>
      <c r="X13000" s="9"/>
    </row>
    <row r="13001">
      <c r="D13001" s="9"/>
      <c r="G13001" s="9"/>
      <c r="J13001" s="11"/>
      <c r="U13001" s="9"/>
      <c r="X13001" s="9"/>
    </row>
    <row r="13002">
      <c r="D13002" s="9"/>
      <c r="G13002" s="9"/>
      <c r="J13002" s="11"/>
      <c r="U13002" s="9"/>
      <c r="X13002" s="9"/>
    </row>
    <row r="13003">
      <c r="D13003" s="9"/>
      <c r="G13003" s="9"/>
      <c r="J13003" s="11"/>
      <c r="U13003" s="9"/>
      <c r="X13003" s="9"/>
    </row>
    <row r="13004">
      <c r="D13004" s="9"/>
      <c r="G13004" s="9"/>
      <c r="J13004" s="11"/>
      <c r="U13004" s="9"/>
      <c r="X13004" s="9"/>
    </row>
    <row r="13005">
      <c r="D13005" s="9"/>
      <c r="G13005" s="9"/>
      <c r="J13005" s="11"/>
      <c r="U13005" s="9"/>
      <c r="X13005" s="9"/>
    </row>
    <row r="13006">
      <c r="D13006" s="9"/>
      <c r="G13006" s="9"/>
      <c r="J13006" s="11"/>
      <c r="U13006" s="9"/>
      <c r="X13006" s="9"/>
    </row>
    <row r="13007">
      <c r="D13007" s="9"/>
      <c r="G13007" s="9"/>
      <c r="J13007" s="11"/>
      <c r="U13007" s="9"/>
      <c r="X13007" s="9"/>
    </row>
    <row r="13008">
      <c r="D13008" s="9"/>
      <c r="G13008" s="9"/>
      <c r="J13008" s="11"/>
      <c r="U13008" s="9"/>
      <c r="X13008" s="9"/>
    </row>
    <row r="13009">
      <c r="D13009" s="9"/>
      <c r="G13009" s="9"/>
      <c r="J13009" s="11"/>
      <c r="U13009" s="9"/>
      <c r="X13009" s="9"/>
    </row>
    <row r="13010">
      <c r="D13010" s="9"/>
      <c r="G13010" s="9"/>
      <c r="J13010" s="11"/>
      <c r="U13010" s="9"/>
      <c r="X13010" s="9"/>
    </row>
    <row r="13011">
      <c r="D13011" s="9"/>
      <c r="G13011" s="9"/>
      <c r="J13011" s="11"/>
      <c r="U13011" s="9"/>
      <c r="X13011" s="9"/>
    </row>
    <row r="13012">
      <c r="D13012" s="9"/>
      <c r="G13012" s="9"/>
      <c r="J13012" s="11"/>
      <c r="U13012" s="9"/>
      <c r="X13012" s="9"/>
    </row>
    <row r="13013">
      <c r="D13013" s="9"/>
      <c r="G13013" s="9"/>
      <c r="J13013" s="11"/>
      <c r="U13013" s="9"/>
      <c r="X13013" s="9"/>
    </row>
    <row r="13014">
      <c r="D13014" s="9"/>
      <c r="G13014" s="9"/>
      <c r="J13014" s="11"/>
      <c r="U13014" s="9"/>
      <c r="X13014" s="9"/>
    </row>
    <row r="13015">
      <c r="D13015" s="9"/>
      <c r="G13015" s="9"/>
      <c r="J13015" s="11"/>
      <c r="U13015" s="9"/>
      <c r="X13015" s="9"/>
    </row>
    <row r="13016">
      <c r="D13016" s="9"/>
      <c r="G13016" s="9"/>
      <c r="J13016" s="11"/>
      <c r="U13016" s="9"/>
      <c r="X13016" s="9"/>
    </row>
    <row r="13017">
      <c r="D13017" s="9"/>
      <c r="G13017" s="9"/>
      <c r="J13017" s="11"/>
      <c r="U13017" s="9"/>
      <c r="X13017" s="9"/>
    </row>
    <row r="13018">
      <c r="D13018" s="9"/>
      <c r="G13018" s="9"/>
      <c r="J13018" s="11"/>
      <c r="U13018" s="9"/>
      <c r="X13018" s="9"/>
    </row>
    <row r="13019">
      <c r="D13019" s="9"/>
      <c r="G13019" s="9"/>
      <c r="J13019" s="11"/>
      <c r="U13019" s="9"/>
      <c r="X13019" s="9"/>
    </row>
    <row r="13020">
      <c r="D13020" s="9"/>
      <c r="G13020" s="9"/>
      <c r="J13020" s="11"/>
      <c r="U13020" s="9"/>
      <c r="X13020" s="9"/>
    </row>
    <row r="13021">
      <c r="D13021" s="9"/>
      <c r="G13021" s="9"/>
      <c r="J13021" s="11"/>
      <c r="U13021" s="9"/>
      <c r="X13021" s="9"/>
    </row>
    <row r="13022">
      <c r="D13022" s="9"/>
      <c r="G13022" s="9"/>
      <c r="J13022" s="11"/>
      <c r="U13022" s="9"/>
      <c r="X13022" s="9"/>
    </row>
    <row r="13023">
      <c r="D13023" s="9"/>
      <c r="G13023" s="9"/>
      <c r="J13023" s="11"/>
      <c r="U13023" s="9"/>
      <c r="X13023" s="9"/>
    </row>
    <row r="13024">
      <c r="D13024" s="9"/>
      <c r="G13024" s="9"/>
      <c r="J13024" s="11"/>
      <c r="U13024" s="9"/>
      <c r="X13024" s="9"/>
    </row>
    <row r="13025">
      <c r="D13025" s="9"/>
      <c r="G13025" s="9"/>
      <c r="J13025" s="11"/>
      <c r="U13025" s="9"/>
      <c r="X13025" s="9"/>
    </row>
    <row r="13026">
      <c r="D13026" s="9"/>
      <c r="G13026" s="9"/>
      <c r="J13026" s="11"/>
      <c r="U13026" s="9"/>
      <c r="X13026" s="9"/>
    </row>
    <row r="13027">
      <c r="D13027" s="9"/>
      <c r="G13027" s="9"/>
      <c r="J13027" s="11"/>
      <c r="U13027" s="9"/>
      <c r="X13027" s="9"/>
    </row>
    <row r="13028">
      <c r="D13028" s="9"/>
      <c r="G13028" s="9"/>
      <c r="J13028" s="11"/>
      <c r="U13028" s="9"/>
      <c r="X13028" s="9"/>
    </row>
    <row r="13029">
      <c r="D13029" s="9"/>
      <c r="G13029" s="9"/>
      <c r="J13029" s="11"/>
      <c r="U13029" s="9"/>
      <c r="X13029" s="9"/>
    </row>
    <row r="13030">
      <c r="D13030" s="9"/>
      <c r="G13030" s="9"/>
      <c r="J13030" s="11"/>
      <c r="U13030" s="9"/>
      <c r="X13030" s="9"/>
    </row>
    <row r="13031">
      <c r="D13031" s="9"/>
      <c r="G13031" s="9"/>
      <c r="J13031" s="11"/>
      <c r="U13031" s="9"/>
      <c r="X13031" s="9"/>
    </row>
    <row r="13032">
      <c r="D13032" s="9"/>
      <c r="G13032" s="9"/>
      <c r="J13032" s="11"/>
      <c r="U13032" s="9"/>
      <c r="X13032" s="9"/>
    </row>
    <row r="13033">
      <c r="D13033" s="9"/>
      <c r="G13033" s="9"/>
      <c r="J13033" s="11"/>
      <c r="U13033" s="9"/>
      <c r="X13033" s="9"/>
    </row>
    <row r="13034">
      <c r="D13034" s="9"/>
      <c r="G13034" s="9"/>
      <c r="J13034" s="11"/>
      <c r="U13034" s="9"/>
      <c r="X13034" s="9"/>
    </row>
    <row r="13035">
      <c r="D13035" s="9"/>
      <c r="G13035" s="9"/>
      <c r="J13035" s="11"/>
      <c r="U13035" s="9"/>
      <c r="X13035" s="9"/>
    </row>
    <row r="13036">
      <c r="D13036" s="9"/>
      <c r="G13036" s="9"/>
      <c r="J13036" s="11"/>
      <c r="U13036" s="9"/>
      <c r="X13036" s="9"/>
    </row>
    <row r="13037">
      <c r="D13037" s="9"/>
      <c r="G13037" s="9"/>
      <c r="J13037" s="11"/>
      <c r="U13037" s="9"/>
      <c r="X13037" s="9"/>
    </row>
    <row r="13038">
      <c r="D13038" s="9"/>
      <c r="G13038" s="9"/>
      <c r="J13038" s="11"/>
      <c r="U13038" s="9"/>
      <c r="X13038" s="9"/>
    </row>
    <row r="13039">
      <c r="D13039" s="9"/>
      <c r="G13039" s="9"/>
      <c r="J13039" s="11"/>
      <c r="U13039" s="9"/>
      <c r="X13039" s="9"/>
    </row>
    <row r="13040">
      <c r="D13040" s="9"/>
      <c r="G13040" s="9"/>
      <c r="J13040" s="11"/>
      <c r="U13040" s="9"/>
      <c r="X13040" s="9"/>
    </row>
    <row r="13041">
      <c r="D13041" s="9"/>
      <c r="G13041" s="9"/>
      <c r="J13041" s="11"/>
      <c r="U13041" s="9"/>
      <c r="X13041" s="9"/>
    </row>
    <row r="13042">
      <c r="D13042" s="9"/>
      <c r="G13042" s="9"/>
      <c r="J13042" s="11"/>
      <c r="U13042" s="9"/>
      <c r="X13042" s="9"/>
    </row>
    <row r="13043">
      <c r="D13043" s="9"/>
      <c r="G13043" s="9"/>
      <c r="J13043" s="11"/>
      <c r="U13043" s="9"/>
      <c r="X13043" s="9"/>
    </row>
    <row r="13044">
      <c r="D13044" s="9"/>
      <c r="G13044" s="9"/>
      <c r="J13044" s="11"/>
      <c r="U13044" s="9"/>
      <c r="X13044" s="9"/>
    </row>
    <row r="13045">
      <c r="D13045" s="9"/>
      <c r="G13045" s="9"/>
      <c r="J13045" s="11"/>
      <c r="U13045" s="9"/>
      <c r="X13045" s="9"/>
    </row>
    <row r="13046">
      <c r="D13046" s="9"/>
      <c r="G13046" s="9"/>
      <c r="J13046" s="11"/>
      <c r="U13046" s="9"/>
      <c r="X13046" s="9"/>
    </row>
    <row r="13047">
      <c r="D13047" s="9"/>
      <c r="G13047" s="9"/>
      <c r="J13047" s="11"/>
      <c r="U13047" s="9"/>
      <c r="X13047" s="9"/>
    </row>
    <row r="13048">
      <c r="D13048" s="9"/>
      <c r="G13048" s="9"/>
      <c r="J13048" s="11"/>
      <c r="U13048" s="9"/>
      <c r="X13048" s="9"/>
    </row>
    <row r="13049">
      <c r="D13049" s="9"/>
      <c r="G13049" s="9"/>
      <c r="J13049" s="11"/>
      <c r="U13049" s="9"/>
      <c r="X13049" s="9"/>
    </row>
    <row r="13050">
      <c r="D13050" s="9"/>
      <c r="G13050" s="9"/>
      <c r="J13050" s="11"/>
      <c r="U13050" s="9"/>
      <c r="X13050" s="9"/>
    </row>
    <row r="13051">
      <c r="D13051" s="9"/>
      <c r="G13051" s="9"/>
      <c r="J13051" s="11"/>
      <c r="U13051" s="9"/>
      <c r="X13051" s="9"/>
    </row>
    <row r="13052">
      <c r="D13052" s="9"/>
      <c r="G13052" s="9"/>
      <c r="J13052" s="11"/>
      <c r="U13052" s="9"/>
      <c r="X13052" s="9"/>
    </row>
    <row r="13053">
      <c r="D13053" s="9"/>
      <c r="G13053" s="9"/>
      <c r="J13053" s="11"/>
      <c r="U13053" s="9"/>
      <c r="X13053" s="9"/>
    </row>
    <row r="13054">
      <c r="D13054" s="9"/>
      <c r="G13054" s="9"/>
      <c r="J13054" s="11"/>
      <c r="U13054" s="9"/>
      <c r="X13054" s="9"/>
    </row>
    <row r="13055">
      <c r="D13055" s="9"/>
      <c r="G13055" s="9"/>
      <c r="J13055" s="11"/>
      <c r="U13055" s="9"/>
      <c r="X13055" s="9"/>
    </row>
    <row r="13056">
      <c r="D13056" s="9"/>
      <c r="G13056" s="9"/>
      <c r="J13056" s="11"/>
      <c r="U13056" s="9"/>
      <c r="X13056" s="9"/>
    </row>
    <row r="13057">
      <c r="D13057" s="9"/>
      <c r="G13057" s="9"/>
      <c r="J13057" s="11"/>
      <c r="U13057" s="9"/>
      <c r="X13057" s="9"/>
    </row>
    <row r="13058">
      <c r="D13058" s="9"/>
      <c r="G13058" s="9"/>
      <c r="J13058" s="11"/>
      <c r="U13058" s="9"/>
      <c r="X13058" s="9"/>
    </row>
    <row r="13059">
      <c r="D13059" s="9"/>
      <c r="G13059" s="9"/>
      <c r="J13059" s="11"/>
      <c r="U13059" s="9"/>
      <c r="X13059" s="9"/>
    </row>
    <row r="13060">
      <c r="D13060" s="9"/>
      <c r="G13060" s="9"/>
      <c r="J13060" s="11"/>
      <c r="U13060" s="9"/>
      <c r="X13060" s="9"/>
    </row>
    <row r="13061">
      <c r="D13061" s="9"/>
      <c r="G13061" s="9"/>
      <c r="J13061" s="11"/>
      <c r="U13061" s="9"/>
      <c r="X13061" s="9"/>
    </row>
    <row r="13062">
      <c r="D13062" s="9"/>
      <c r="G13062" s="9"/>
      <c r="J13062" s="11"/>
      <c r="U13062" s="9"/>
      <c r="X13062" s="9"/>
    </row>
    <row r="13063">
      <c r="D13063" s="9"/>
      <c r="G13063" s="9"/>
      <c r="J13063" s="11"/>
      <c r="U13063" s="9"/>
      <c r="X13063" s="9"/>
    </row>
    <row r="13064">
      <c r="D13064" s="9"/>
      <c r="G13064" s="9"/>
      <c r="J13064" s="11"/>
      <c r="U13064" s="9"/>
      <c r="X13064" s="9"/>
    </row>
    <row r="13065">
      <c r="D13065" s="9"/>
      <c r="G13065" s="9"/>
      <c r="J13065" s="11"/>
      <c r="U13065" s="9"/>
      <c r="X13065" s="9"/>
    </row>
    <row r="13066">
      <c r="D13066" s="9"/>
      <c r="G13066" s="9"/>
      <c r="J13066" s="11"/>
      <c r="U13066" s="9"/>
      <c r="X13066" s="9"/>
    </row>
    <row r="13067">
      <c r="D13067" s="9"/>
      <c r="G13067" s="9"/>
      <c r="J13067" s="11"/>
      <c r="U13067" s="9"/>
      <c r="X13067" s="9"/>
    </row>
    <row r="13068">
      <c r="D13068" s="9"/>
      <c r="G13068" s="9"/>
      <c r="J13068" s="11"/>
      <c r="U13068" s="9"/>
      <c r="X13068" s="9"/>
    </row>
    <row r="13069">
      <c r="D13069" s="9"/>
      <c r="G13069" s="9"/>
      <c r="J13069" s="11"/>
      <c r="U13069" s="9"/>
      <c r="X13069" s="9"/>
    </row>
    <row r="13070">
      <c r="D13070" s="9"/>
      <c r="G13070" s="9"/>
      <c r="J13070" s="11"/>
      <c r="U13070" s="9"/>
      <c r="X13070" s="9"/>
    </row>
    <row r="13071">
      <c r="D13071" s="9"/>
      <c r="G13071" s="9"/>
      <c r="J13071" s="11"/>
      <c r="U13071" s="9"/>
      <c r="X13071" s="9"/>
    </row>
    <row r="13072">
      <c r="D13072" s="9"/>
      <c r="G13072" s="9"/>
      <c r="J13072" s="11"/>
      <c r="U13072" s="9"/>
      <c r="X13072" s="9"/>
    </row>
    <row r="13073">
      <c r="D13073" s="9"/>
      <c r="G13073" s="9"/>
      <c r="J13073" s="11"/>
      <c r="U13073" s="9"/>
      <c r="X13073" s="9"/>
    </row>
    <row r="13074">
      <c r="D13074" s="9"/>
      <c r="G13074" s="9"/>
      <c r="J13074" s="11"/>
      <c r="U13074" s="9"/>
      <c r="X13074" s="9"/>
    </row>
    <row r="13075">
      <c r="D13075" s="9"/>
      <c r="G13075" s="9"/>
      <c r="J13075" s="11"/>
      <c r="U13075" s="9"/>
      <c r="X13075" s="9"/>
    </row>
    <row r="13076">
      <c r="D13076" s="9"/>
      <c r="G13076" s="9"/>
      <c r="J13076" s="11"/>
      <c r="U13076" s="9"/>
      <c r="X13076" s="9"/>
    </row>
    <row r="13077">
      <c r="D13077" s="9"/>
      <c r="G13077" s="9"/>
      <c r="J13077" s="11"/>
      <c r="U13077" s="9"/>
      <c r="X13077" s="9"/>
    </row>
    <row r="13078">
      <c r="D13078" s="9"/>
      <c r="G13078" s="9"/>
      <c r="J13078" s="11"/>
      <c r="U13078" s="9"/>
      <c r="X13078" s="9"/>
    </row>
    <row r="13079">
      <c r="D13079" s="9"/>
      <c r="G13079" s="9"/>
      <c r="J13079" s="11"/>
      <c r="U13079" s="9"/>
      <c r="X13079" s="9"/>
    </row>
    <row r="13080">
      <c r="D13080" s="9"/>
      <c r="G13080" s="9"/>
      <c r="J13080" s="11"/>
      <c r="U13080" s="9"/>
      <c r="X13080" s="9"/>
    </row>
    <row r="13081">
      <c r="D13081" s="9"/>
      <c r="G13081" s="9"/>
      <c r="J13081" s="11"/>
      <c r="U13081" s="9"/>
      <c r="X13081" s="9"/>
    </row>
    <row r="13082">
      <c r="D13082" s="9"/>
      <c r="G13082" s="9"/>
      <c r="J13082" s="11"/>
      <c r="U13082" s="9"/>
      <c r="X13082" s="9"/>
    </row>
    <row r="13083">
      <c r="D13083" s="9"/>
      <c r="G13083" s="9"/>
      <c r="J13083" s="11"/>
      <c r="U13083" s="9"/>
      <c r="X13083" s="9"/>
    </row>
    <row r="13084">
      <c r="D13084" s="9"/>
      <c r="G13084" s="9"/>
      <c r="J13084" s="11"/>
      <c r="U13084" s="9"/>
      <c r="X13084" s="9"/>
    </row>
    <row r="13085">
      <c r="D13085" s="9"/>
      <c r="G13085" s="9"/>
      <c r="J13085" s="11"/>
      <c r="U13085" s="9"/>
      <c r="X13085" s="9"/>
    </row>
    <row r="13086">
      <c r="D13086" s="9"/>
      <c r="G13086" s="9"/>
      <c r="J13086" s="11"/>
      <c r="U13086" s="9"/>
      <c r="X13086" s="9"/>
    </row>
    <row r="13087">
      <c r="D13087" s="9"/>
      <c r="G13087" s="9"/>
      <c r="J13087" s="11"/>
      <c r="U13087" s="9"/>
      <c r="X13087" s="9"/>
    </row>
    <row r="13088">
      <c r="D13088" s="9"/>
      <c r="G13088" s="9"/>
      <c r="J13088" s="11"/>
      <c r="U13088" s="9"/>
      <c r="X13088" s="9"/>
    </row>
    <row r="13089">
      <c r="D13089" s="9"/>
      <c r="G13089" s="9"/>
      <c r="J13089" s="11"/>
      <c r="U13089" s="9"/>
      <c r="X13089" s="9"/>
    </row>
    <row r="13090">
      <c r="D13090" s="9"/>
      <c r="G13090" s="9"/>
      <c r="J13090" s="11"/>
      <c r="U13090" s="9"/>
      <c r="X13090" s="9"/>
    </row>
    <row r="13091">
      <c r="D13091" s="9"/>
      <c r="G13091" s="9"/>
      <c r="J13091" s="11"/>
      <c r="U13091" s="9"/>
      <c r="X13091" s="9"/>
    </row>
    <row r="13092">
      <c r="D13092" s="9"/>
      <c r="G13092" s="9"/>
      <c r="J13092" s="11"/>
      <c r="U13092" s="9"/>
      <c r="X13092" s="9"/>
    </row>
    <row r="13093">
      <c r="D13093" s="9"/>
      <c r="G13093" s="9"/>
      <c r="J13093" s="11"/>
      <c r="U13093" s="9"/>
      <c r="X13093" s="9"/>
    </row>
    <row r="13094">
      <c r="D13094" s="9"/>
      <c r="G13094" s="9"/>
      <c r="J13094" s="11"/>
      <c r="U13094" s="9"/>
      <c r="X13094" s="9"/>
    </row>
    <row r="13095">
      <c r="D13095" s="9"/>
      <c r="G13095" s="9"/>
      <c r="J13095" s="11"/>
      <c r="U13095" s="9"/>
      <c r="X13095" s="9"/>
    </row>
    <row r="13096">
      <c r="D13096" s="9"/>
      <c r="G13096" s="9"/>
      <c r="J13096" s="11"/>
      <c r="U13096" s="9"/>
      <c r="X13096" s="9"/>
    </row>
    <row r="13097">
      <c r="D13097" s="9"/>
      <c r="G13097" s="9"/>
      <c r="J13097" s="11"/>
      <c r="U13097" s="9"/>
      <c r="X13097" s="9"/>
    </row>
    <row r="13098">
      <c r="D13098" s="9"/>
      <c r="G13098" s="9"/>
      <c r="J13098" s="11"/>
      <c r="U13098" s="9"/>
      <c r="X13098" s="9"/>
    </row>
    <row r="13099">
      <c r="D13099" s="9"/>
      <c r="G13099" s="9"/>
      <c r="J13099" s="11"/>
      <c r="U13099" s="9"/>
      <c r="X13099" s="9"/>
    </row>
    <row r="13100">
      <c r="D13100" s="9"/>
      <c r="G13100" s="9"/>
      <c r="J13100" s="11"/>
      <c r="U13100" s="9"/>
      <c r="X13100" s="9"/>
    </row>
    <row r="13101">
      <c r="D13101" s="9"/>
      <c r="G13101" s="9"/>
      <c r="J13101" s="11"/>
      <c r="U13101" s="9"/>
      <c r="X13101" s="9"/>
    </row>
    <row r="13102">
      <c r="D13102" s="9"/>
      <c r="G13102" s="9"/>
      <c r="J13102" s="11"/>
      <c r="U13102" s="9"/>
      <c r="X13102" s="9"/>
    </row>
    <row r="13103">
      <c r="D13103" s="9"/>
      <c r="G13103" s="9"/>
      <c r="J13103" s="11"/>
      <c r="U13103" s="9"/>
      <c r="X13103" s="9"/>
    </row>
    <row r="13104">
      <c r="D13104" s="9"/>
      <c r="G13104" s="9"/>
      <c r="J13104" s="11"/>
      <c r="U13104" s="9"/>
      <c r="X13104" s="9"/>
    </row>
    <row r="13105">
      <c r="D13105" s="9"/>
      <c r="G13105" s="9"/>
      <c r="J13105" s="11"/>
      <c r="U13105" s="9"/>
      <c r="X13105" s="9"/>
    </row>
    <row r="13106">
      <c r="D13106" s="9"/>
      <c r="G13106" s="9"/>
      <c r="J13106" s="11"/>
      <c r="U13106" s="9"/>
      <c r="X13106" s="9"/>
    </row>
    <row r="13107">
      <c r="D13107" s="9"/>
      <c r="G13107" s="9"/>
      <c r="J13107" s="11"/>
      <c r="U13107" s="9"/>
      <c r="X13107" s="9"/>
    </row>
    <row r="13108">
      <c r="D13108" s="9"/>
      <c r="G13108" s="9"/>
      <c r="J13108" s="11"/>
      <c r="U13108" s="9"/>
      <c r="X13108" s="9"/>
    </row>
    <row r="13109">
      <c r="D13109" s="9"/>
      <c r="G13109" s="9"/>
      <c r="J13109" s="11"/>
      <c r="U13109" s="9"/>
      <c r="X13109" s="9"/>
    </row>
    <row r="13110">
      <c r="D13110" s="9"/>
      <c r="G13110" s="9"/>
      <c r="J13110" s="11"/>
      <c r="U13110" s="9"/>
      <c r="X13110" s="9"/>
    </row>
    <row r="13111">
      <c r="D13111" s="9"/>
      <c r="G13111" s="9"/>
      <c r="J13111" s="11"/>
      <c r="U13111" s="9"/>
      <c r="X13111" s="9"/>
    </row>
    <row r="13112">
      <c r="D13112" s="9"/>
      <c r="G13112" s="9"/>
      <c r="J13112" s="11"/>
      <c r="U13112" s="9"/>
      <c r="X13112" s="9"/>
    </row>
    <row r="13113">
      <c r="D13113" s="9"/>
      <c r="G13113" s="9"/>
      <c r="J13113" s="11"/>
      <c r="U13113" s="9"/>
      <c r="X13113" s="9"/>
    </row>
    <row r="13114">
      <c r="D13114" s="9"/>
      <c r="G13114" s="9"/>
      <c r="J13114" s="11"/>
      <c r="U13114" s="9"/>
      <c r="X13114" s="9"/>
    </row>
    <row r="13115">
      <c r="D13115" s="9"/>
      <c r="G13115" s="9"/>
      <c r="J13115" s="11"/>
      <c r="U13115" s="9"/>
      <c r="X13115" s="9"/>
    </row>
    <row r="13116">
      <c r="D13116" s="9"/>
      <c r="G13116" s="9"/>
      <c r="J13116" s="11"/>
      <c r="U13116" s="9"/>
      <c r="X13116" s="9"/>
    </row>
    <row r="13117">
      <c r="D13117" s="9"/>
      <c r="G13117" s="9"/>
      <c r="J13117" s="11"/>
      <c r="U13117" s="9"/>
      <c r="X13117" s="9"/>
    </row>
    <row r="13118">
      <c r="D13118" s="9"/>
      <c r="G13118" s="9"/>
      <c r="J13118" s="11"/>
      <c r="U13118" s="9"/>
      <c r="X13118" s="9"/>
    </row>
    <row r="13119">
      <c r="D13119" s="9"/>
      <c r="G13119" s="9"/>
      <c r="J13119" s="11"/>
      <c r="U13119" s="9"/>
      <c r="X13119" s="9"/>
    </row>
    <row r="13120">
      <c r="D13120" s="9"/>
      <c r="G13120" s="9"/>
      <c r="J13120" s="11"/>
      <c r="U13120" s="9"/>
      <c r="X13120" s="9"/>
    </row>
    <row r="13121">
      <c r="D13121" s="9"/>
      <c r="G13121" s="9"/>
      <c r="J13121" s="11"/>
      <c r="U13121" s="9"/>
      <c r="X13121" s="9"/>
    </row>
    <row r="13122">
      <c r="D13122" s="9"/>
      <c r="G13122" s="9"/>
      <c r="J13122" s="11"/>
      <c r="U13122" s="9"/>
      <c r="X13122" s="9"/>
    </row>
    <row r="13123">
      <c r="D13123" s="9"/>
      <c r="G13123" s="9"/>
      <c r="J13123" s="11"/>
      <c r="U13123" s="9"/>
      <c r="X13123" s="9"/>
    </row>
    <row r="13124">
      <c r="D13124" s="9"/>
      <c r="G13124" s="9"/>
      <c r="J13124" s="11"/>
      <c r="U13124" s="9"/>
      <c r="X13124" s="9"/>
    </row>
    <row r="13125">
      <c r="D13125" s="9"/>
      <c r="G13125" s="9"/>
      <c r="J13125" s="11"/>
      <c r="U13125" s="9"/>
      <c r="X13125" s="9"/>
    </row>
    <row r="13126">
      <c r="D13126" s="9"/>
      <c r="G13126" s="9"/>
      <c r="J13126" s="11"/>
      <c r="U13126" s="9"/>
      <c r="X13126" s="9"/>
    </row>
    <row r="13127">
      <c r="D13127" s="9"/>
      <c r="G13127" s="9"/>
      <c r="J13127" s="11"/>
      <c r="U13127" s="9"/>
      <c r="X13127" s="9"/>
    </row>
    <row r="13128">
      <c r="D13128" s="9"/>
      <c r="G13128" s="9"/>
      <c r="J13128" s="11"/>
      <c r="U13128" s="9"/>
      <c r="X13128" s="9"/>
    </row>
    <row r="13129">
      <c r="D13129" s="9"/>
      <c r="G13129" s="9"/>
      <c r="J13129" s="11"/>
      <c r="U13129" s="9"/>
      <c r="X13129" s="9"/>
    </row>
    <row r="13130">
      <c r="D13130" s="9"/>
      <c r="G13130" s="9"/>
      <c r="J13130" s="11"/>
      <c r="U13130" s="9"/>
      <c r="X13130" s="9"/>
    </row>
    <row r="13131">
      <c r="D13131" s="9"/>
      <c r="G13131" s="9"/>
      <c r="J13131" s="11"/>
      <c r="U13131" s="9"/>
      <c r="X13131" s="9"/>
    </row>
    <row r="13132">
      <c r="D13132" s="9"/>
      <c r="G13132" s="9"/>
      <c r="J13132" s="11"/>
      <c r="U13132" s="9"/>
      <c r="X13132" s="9"/>
    </row>
    <row r="13133">
      <c r="D13133" s="9"/>
      <c r="G13133" s="9"/>
      <c r="J13133" s="11"/>
      <c r="U13133" s="9"/>
      <c r="X13133" s="9"/>
    </row>
    <row r="13134">
      <c r="D13134" s="9"/>
      <c r="G13134" s="9"/>
      <c r="J13134" s="11"/>
      <c r="U13134" s="9"/>
      <c r="X13134" s="9"/>
    </row>
    <row r="13135">
      <c r="D13135" s="9"/>
      <c r="G13135" s="9"/>
      <c r="J13135" s="11"/>
      <c r="U13135" s="9"/>
      <c r="X13135" s="9"/>
    </row>
    <row r="13136">
      <c r="D13136" s="9"/>
      <c r="G13136" s="9"/>
      <c r="J13136" s="11"/>
      <c r="U13136" s="9"/>
      <c r="X13136" s="9"/>
    </row>
    <row r="13137">
      <c r="D13137" s="9"/>
      <c r="G13137" s="9"/>
      <c r="J13137" s="11"/>
      <c r="U13137" s="9"/>
      <c r="X13137" s="9"/>
    </row>
    <row r="13138">
      <c r="D13138" s="9"/>
      <c r="G13138" s="9"/>
      <c r="J13138" s="11"/>
      <c r="U13138" s="9"/>
      <c r="X13138" s="9"/>
    </row>
    <row r="13139">
      <c r="D13139" s="9"/>
      <c r="G13139" s="9"/>
      <c r="J13139" s="11"/>
      <c r="U13139" s="9"/>
      <c r="X13139" s="9"/>
    </row>
    <row r="13140">
      <c r="D13140" s="9"/>
      <c r="G13140" s="9"/>
      <c r="J13140" s="11"/>
      <c r="U13140" s="9"/>
      <c r="X13140" s="9"/>
    </row>
    <row r="13141">
      <c r="D13141" s="9"/>
      <c r="G13141" s="9"/>
      <c r="J13141" s="11"/>
      <c r="U13141" s="9"/>
      <c r="X13141" s="9"/>
    </row>
    <row r="13142">
      <c r="D13142" s="9"/>
      <c r="G13142" s="9"/>
      <c r="J13142" s="11"/>
      <c r="U13142" s="9"/>
      <c r="X13142" s="9"/>
    </row>
    <row r="13143">
      <c r="D13143" s="9"/>
      <c r="G13143" s="9"/>
      <c r="J13143" s="11"/>
      <c r="U13143" s="9"/>
      <c r="X13143" s="9"/>
    </row>
    <row r="13144">
      <c r="D13144" s="9"/>
      <c r="G13144" s="9"/>
      <c r="J13144" s="11"/>
      <c r="U13144" s="9"/>
      <c r="X13144" s="9"/>
    </row>
    <row r="13145">
      <c r="D13145" s="9"/>
      <c r="G13145" s="9"/>
      <c r="J13145" s="11"/>
      <c r="U13145" s="9"/>
      <c r="X13145" s="9"/>
    </row>
    <row r="13146">
      <c r="D13146" s="9"/>
      <c r="G13146" s="9"/>
      <c r="J13146" s="11"/>
      <c r="U13146" s="9"/>
      <c r="X13146" s="9"/>
    </row>
    <row r="13147">
      <c r="D13147" s="9"/>
      <c r="G13147" s="9"/>
      <c r="J13147" s="11"/>
      <c r="U13147" s="9"/>
      <c r="X13147" s="9"/>
    </row>
    <row r="13148">
      <c r="D13148" s="9"/>
      <c r="G13148" s="9"/>
      <c r="J13148" s="11"/>
      <c r="U13148" s="9"/>
      <c r="X13148" s="9"/>
    </row>
    <row r="13149">
      <c r="D13149" s="9"/>
      <c r="G13149" s="9"/>
      <c r="J13149" s="11"/>
      <c r="U13149" s="9"/>
      <c r="X13149" s="9"/>
    </row>
    <row r="13150">
      <c r="D13150" s="9"/>
      <c r="G13150" s="9"/>
      <c r="J13150" s="11"/>
      <c r="U13150" s="9"/>
      <c r="X13150" s="9"/>
    </row>
    <row r="13151">
      <c r="D13151" s="9"/>
      <c r="G13151" s="9"/>
      <c r="J13151" s="11"/>
      <c r="U13151" s="9"/>
      <c r="X13151" s="9"/>
    </row>
    <row r="13152">
      <c r="D13152" s="9"/>
      <c r="G13152" s="9"/>
      <c r="J13152" s="11"/>
      <c r="U13152" s="9"/>
      <c r="X13152" s="9"/>
    </row>
    <row r="13153">
      <c r="D13153" s="9"/>
      <c r="G13153" s="9"/>
      <c r="J13153" s="11"/>
      <c r="U13153" s="9"/>
      <c r="X13153" s="9"/>
    </row>
    <row r="13154">
      <c r="D13154" s="9"/>
      <c r="G13154" s="9"/>
      <c r="J13154" s="11"/>
      <c r="U13154" s="9"/>
      <c r="X13154" s="9"/>
    </row>
    <row r="13155">
      <c r="D13155" s="9"/>
      <c r="G13155" s="9"/>
      <c r="J13155" s="11"/>
      <c r="U13155" s="9"/>
      <c r="X13155" s="9"/>
    </row>
    <row r="13156">
      <c r="D13156" s="9"/>
      <c r="G13156" s="9"/>
      <c r="J13156" s="11"/>
      <c r="U13156" s="9"/>
      <c r="X13156" s="9"/>
    </row>
    <row r="13157">
      <c r="D13157" s="9"/>
      <c r="G13157" s="9"/>
      <c r="J13157" s="11"/>
      <c r="U13157" s="9"/>
      <c r="X13157" s="9"/>
    </row>
    <row r="13158">
      <c r="D13158" s="9"/>
      <c r="G13158" s="9"/>
      <c r="J13158" s="11"/>
      <c r="U13158" s="9"/>
      <c r="X13158" s="9"/>
    </row>
    <row r="13159">
      <c r="D13159" s="9"/>
      <c r="G13159" s="9"/>
      <c r="J13159" s="11"/>
      <c r="U13159" s="9"/>
      <c r="X13159" s="9"/>
    </row>
    <row r="13160">
      <c r="D13160" s="9"/>
      <c r="G13160" s="9"/>
      <c r="J13160" s="11"/>
      <c r="U13160" s="9"/>
      <c r="X13160" s="9"/>
    </row>
    <row r="13161">
      <c r="D13161" s="9"/>
      <c r="G13161" s="9"/>
      <c r="J13161" s="11"/>
      <c r="U13161" s="9"/>
      <c r="X13161" s="9"/>
    </row>
    <row r="13162">
      <c r="D13162" s="9"/>
      <c r="G13162" s="9"/>
      <c r="J13162" s="11"/>
      <c r="U13162" s="9"/>
      <c r="X13162" s="9"/>
    </row>
    <row r="13163">
      <c r="D13163" s="9"/>
      <c r="G13163" s="9"/>
      <c r="J13163" s="11"/>
      <c r="U13163" s="9"/>
      <c r="X13163" s="9"/>
    </row>
    <row r="13164">
      <c r="D13164" s="9"/>
      <c r="G13164" s="9"/>
      <c r="J13164" s="11"/>
      <c r="U13164" s="9"/>
      <c r="X13164" s="9"/>
    </row>
    <row r="13165">
      <c r="D13165" s="9"/>
      <c r="G13165" s="9"/>
      <c r="J13165" s="11"/>
      <c r="U13165" s="9"/>
      <c r="X13165" s="9"/>
    </row>
    <row r="13166">
      <c r="D13166" s="9"/>
      <c r="G13166" s="9"/>
      <c r="J13166" s="11"/>
      <c r="U13166" s="9"/>
      <c r="X13166" s="9"/>
    </row>
    <row r="13167">
      <c r="D13167" s="9"/>
      <c r="G13167" s="9"/>
      <c r="J13167" s="11"/>
      <c r="U13167" s="9"/>
      <c r="X13167" s="9"/>
    </row>
    <row r="13168">
      <c r="D13168" s="9"/>
      <c r="G13168" s="9"/>
      <c r="J13168" s="11"/>
      <c r="U13168" s="9"/>
      <c r="X13168" s="9"/>
    </row>
    <row r="13169">
      <c r="D13169" s="9"/>
      <c r="G13169" s="9"/>
      <c r="J13169" s="11"/>
      <c r="U13169" s="9"/>
      <c r="X13169" s="9"/>
    </row>
    <row r="13170">
      <c r="D13170" s="9"/>
      <c r="G13170" s="9"/>
      <c r="J13170" s="11"/>
      <c r="U13170" s="9"/>
      <c r="X13170" s="9"/>
    </row>
    <row r="13171">
      <c r="D13171" s="9"/>
      <c r="G13171" s="9"/>
      <c r="J13171" s="11"/>
      <c r="U13171" s="9"/>
      <c r="X13171" s="9"/>
    </row>
    <row r="13172">
      <c r="D13172" s="9"/>
      <c r="G13172" s="9"/>
      <c r="J13172" s="11"/>
      <c r="U13172" s="9"/>
      <c r="X13172" s="9"/>
    </row>
    <row r="13173">
      <c r="D13173" s="9"/>
      <c r="G13173" s="9"/>
      <c r="J13173" s="11"/>
      <c r="U13173" s="9"/>
      <c r="X13173" s="9"/>
    </row>
    <row r="13174">
      <c r="D13174" s="9"/>
      <c r="G13174" s="9"/>
      <c r="J13174" s="11"/>
      <c r="U13174" s="9"/>
      <c r="X13174" s="9"/>
    </row>
    <row r="13175">
      <c r="D13175" s="9"/>
      <c r="G13175" s="9"/>
      <c r="J13175" s="11"/>
      <c r="U13175" s="9"/>
      <c r="X13175" s="9"/>
    </row>
    <row r="13176">
      <c r="D13176" s="9"/>
      <c r="G13176" s="9"/>
      <c r="J13176" s="11"/>
      <c r="U13176" s="9"/>
      <c r="X13176" s="9"/>
    </row>
    <row r="13177">
      <c r="D13177" s="9"/>
      <c r="G13177" s="9"/>
      <c r="J13177" s="11"/>
      <c r="U13177" s="9"/>
      <c r="X13177" s="9"/>
    </row>
    <row r="13178">
      <c r="D13178" s="9"/>
      <c r="G13178" s="9"/>
      <c r="J13178" s="11"/>
      <c r="U13178" s="9"/>
      <c r="X13178" s="9"/>
    </row>
    <row r="13179">
      <c r="D13179" s="9"/>
      <c r="G13179" s="9"/>
      <c r="J13179" s="11"/>
      <c r="U13179" s="9"/>
      <c r="X13179" s="9"/>
    </row>
    <row r="13180">
      <c r="D13180" s="9"/>
      <c r="G13180" s="9"/>
      <c r="J13180" s="11"/>
      <c r="U13180" s="9"/>
      <c r="X13180" s="9"/>
    </row>
    <row r="13181">
      <c r="D13181" s="9"/>
      <c r="G13181" s="9"/>
      <c r="J13181" s="11"/>
      <c r="U13181" s="9"/>
      <c r="X13181" s="9"/>
    </row>
    <row r="13182">
      <c r="D13182" s="9"/>
      <c r="G13182" s="9"/>
      <c r="J13182" s="11"/>
      <c r="U13182" s="9"/>
      <c r="X13182" s="9"/>
    </row>
    <row r="13183">
      <c r="D13183" s="9"/>
      <c r="G13183" s="9"/>
      <c r="J13183" s="11"/>
      <c r="U13183" s="9"/>
      <c r="X13183" s="9"/>
    </row>
    <row r="13184">
      <c r="D13184" s="9"/>
      <c r="G13184" s="9"/>
      <c r="J13184" s="11"/>
      <c r="U13184" s="9"/>
      <c r="X13184" s="9"/>
    </row>
    <row r="13185">
      <c r="D13185" s="9"/>
      <c r="G13185" s="9"/>
      <c r="J13185" s="11"/>
      <c r="U13185" s="9"/>
      <c r="X13185" s="9"/>
    </row>
    <row r="13186">
      <c r="D13186" s="9"/>
      <c r="G13186" s="9"/>
      <c r="J13186" s="11"/>
      <c r="U13186" s="9"/>
      <c r="X13186" s="9"/>
    </row>
    <row r="13187">
      <c r="D13187" s="9"/>
      <c r="G13187" s="9"/>
      <c r="J13187" s="11"/>
      <c r="U13187" s="9"/>
      <c r="X13187" s="9"/>
    </row>
    <row r="13188">
      <c r="D13188" s="9"/>
      <c r="G13188" s="9"/>
      <c r="J13188" s="11"/>
      <c r="U13188" s="9"/>
      <c r="X13188" s="9"/>
    </row>
    <row r="13189">
      <c r="D13189" s="9"/>
      <c r="G13189" s="9"/>
      <c r="J13189" s="11"/>
      <c r="U13189" s="9"/>
      <c r="X13189" s="9"/>
    </row>
    <row r="13190">
      <c r="D13190" s="9"/>
      <c r="G13190" s="9"/>
      <c r="J13190" s="11"/>
      <c r="U13190" s="9"/>
      <c r="X13190" s="9"/>
    </row>
    <row r="13191">
      <c r="D13191" s="9"/>
      <c r="G13191" s="9"/>
      <c r="J13191" s="11"/>
      <c r="U13191" s="9"/>
      <c r="X13191" s="9"/>
    </row>
    <row r="13192">
      <c r="D13192" s="9"/>
      <c r="G13192" s="9"/>
      <c r="J13192" s="11"/>
      <c r="U13192" s="9"/>
      <c r="X13192" s="9"/>
    </row>
    <row r="13193">
      <c r="D13193" s="9"/>
      <c r="G13193" s="9"/>
      <c r="J13193" s="11"/>
      <c r="U13193" s="9"/>
      <c r="X13193" s="9"/>
    </row>
    <row r="13194">
      <c r="D13194" s="9"/>
      <c r="G13194" s="9"/>
      <c r="J13194" s="11"/>
      <c r="U13194" s="9"/>
      <c r="X13194" s="9"/>
    </row>
    <row r="13195">
      <c r="D13195" s="9"/>
      <c r="G13195" s="9"/>
      <c r="J13195" s="11"/>
      <c r="U13195" s="9"/>
      <c r="X13195" s="9"/>
    </row>
    <row r="13196">
      <c r="D13196" s="9"/>
      <c r="G13196" s="9"/>
      <c r="J13196" s="11"/>
      <c r="U13196" s="9"/>
      <c r="X13196" s="9"/>
    </row>
    <row r="13197">
      <c r="D13197" s="9"/>
      <c r="G13197" s="9"/>
      <c r="J13197" s="11"/>
      <c r="U13197" s="9"/>
      <c r="X13197" s="9"/>
    </row>
    <row r="13198">
      <c r="D13198" s="9"/>
      <c r="G13198" s="9"/>
      <c r="J13198" s="11"/>
      <c r="U13198" s="9"/>
      <c r="X13198" s="9"/>
    </row>
    <row r="13199">
      <c r="D13199" s="9"/>
      <c r="G13199" s="9"/>
      <c r="J13199" s="11"/>
      <c r="U13199" s="9"/>
      <c r="X13199" s="9"/>
    </row>
    <row r="13200">
      <c r="D13200" s="9"/>
      <c r="G13200" s="9"/>
      <c r="J13200" s="11"/>
      <c r="U13200" s="9"/>
      <c r="X13200" s="9"/>
    </row>
    <row r="13201">
      <c r="D13201" s="9"/>
      <c r="G13201" s="9"/>
      <c r="J13201" s="11"/>
      <c r="U13201" s="9"/>
      <c r="X13201" s="9"/>
    </row>
    <row r="13202">
      <c r="D13202" s="9"/>
      <c r="G13202" s="9"/>
      <c r="J13202" s="11"/>
      <c r="U13202" s="9"/>
      <c r="X13202" s="9"/>
    </row>
    <row r="13203">
      <c r="D13203" s="9"/>
      <c r="G13203" s="9"/>
      <c r="J13203" s="11"/>
      <c r="U13203" s="9"/>
      <c r="X13203" s="9"/>
    </row>
    <row r="13204">
      <c r="D13204" s="9"/>
      <c r="G13204" s="9"/>
      <c r="J13204" s="11"/>
      <c r="U13204" s="9"/>
      <c r="X13204" s="9"/>
    </row>
    <row r="13205">
      <c r="D13205" s="9"/>
      <c r="G13205" s="9"/>
      <c r="J13205" s="11"/>
      <c r="U13205" s="9"/>
      <c r="X13205" s="9"/>
    </row>
    <row r="13206">
      <c r="D13206" s="9"/>
      <c r="G13206" s="9"/>
      <c r="J13206" s="11"/>
      <c r="U13206" s="9"/>
      <c r="X13206" s="9"/>
    </row>
    <row r="13207">
      <c r="D13207" s="9"/>
      <c r="G13207" s="9"/>
      <c r="J13207" s="11"/>
      <c r="U13207" s="9"/>
      <c r="X13207" s="9"/>
    </row>
    <row r="13208">
      <c r="D13208" s="9"/>
      <c r="G13208" s="9"/>
      <c r="J13208" s="11"/>
      <c r="U13208" s="9"/>
      <c r="X13208" s="9"/>
    </row>
    <row r="13209">
      <c r="D13209" s="9"/>
      <c r="G13209" s="9"/>
      <c r="J13209" s="11"/>
      <c r="U13209" s="9"/>
      <c r="X13209" s="9"/>
    </row>
    <row r="13210">
      <c r="D13210" s="9"/>
      <c r="G13210" s="9"/>
      <c r="J13210" s="11"/>
      <c r="U13210" s="9"/>
      <c r="X13210" s="9"/>
    </row>
    <row r="13211">
      <c r="D13211" s="9"/>
      <c r="G13211" s="9"/>
      <c r="J13211" s="11"/>
      <c r="U13211" s="9"/>
      <c r="X13211" s="9"/>
    </row>
    <row r="13212">
      <c r="D13212" s="9"/>
      <c r="G13212" s="9"/>
      <c r="J13212" s="11"/>
      <c r="U13212" s="9"/>
      <c r="X13212" s="9"/>
    </row>
    <row r="13213">
      <c r="D13213" s="9"/>
      <c r="G13213" s="9"/>
      <c r="J13213" s="11"/>
      <c r="U13213" s="9"/>
      <c r="X13213" s="9"/>
    </row>
    <row r="13214">
      <c r="D13214" s="9"/>
      <c r="G13214" s="9"/>
      <c r="J13214" s="11"/>
      <c r="U13214" s="9"/>
      <c r="X13214" s="9"/>
    </row>
    <row r="13215">
      <c r="D13215" s="9"/>
      <c r="G13215" s="9"/>
      <c r="J13215" s="11"/>
      <c r="U13215" s="9"/>
      <c r="X13215" s="9"/>
    </row>
    <row r="13216">
      <c r="D13216" s="9"/>
      <c r="G13216" s="9"/>
      <c r="J13216" s="11"/>
      <c r="U13216" s="9"/>
      <c r="X13216" s="9"/>
    </row>
    <row r="13217">
      <c r="D13217" s="9"/>
      <c r="G13217" s="9"/>
      <c r="J13217" s="11"/>
      <c r="U13217" s="9"/>
      <c r="X13217" s="9"/>
    </row>
    <row r="13218">
      <c r="D13218" s="9"/>
      <c r="G13218" s="9"/>
      <c r="J13218" s="11"/>
      <c r="U13218" s="9"/>
      <c r="X13218" s="9"/>
    </row>
    <row r="13219">
      <c r="D13219" s="9"/>
      <c r="G13219" s="9"/>
      <c r="J13219" s="11"/>
      <c r="U13219" s="9"/>
      <c r="X13219" s="9"/>
    </row>
    <row r="13220">
      <c r="D13220" s="9"/>
      <c r="G13220" s="9"/>
      <c r="J13220" s="11"/>
      <c r="U13220" s="9"/>
      <c r="X13220" s="9"/>
    </row>
    <row r="13221">
      <c r="D13221" s="9"/>
      <c r="G13221" s="9"/>
      <c r="J13221" s="11"/>
      <c r="U13221" s="9"/>
      <c r="X13221" s="9"/>
    </row>
    <row r="13222">
      <c r="D13222" s="9"/>
      <c r="G13222" s="9"/>
      <c r="J13222" s="11"/>
      <c r="U13222" s="9"/>
      <c r="X13222" s="9"/>
    </row>
    <row r="13223">
      <c r="D13223" s="9"/>
      <c r="G13223" s="9"/>
      <c r="J13223" s="11"/>
      <c r="U13223" s="9"/>
      <c r="X13223" s="9"/>
    </row>
    <row r="13224">
      <c r="D13224" s="9"/>
      <c r="G13224" s="9"/>
      <c r="J13224" s="11"/>
      <c r="U13224" s="9"/>
      <c r="X13224" s="9"/>
    </row>
    <row r="13225">
      <c r="D13225" s="9"/>
      <c r="G13225" s="9"/>
      <c r="J13225" s="11"/>
      <c r="U13225" s="9"/>
      <c r="X13225" s="9"/>
    </row>
    <row r="13226">
      <c r="D13226" s="9"/>
      <c r="G13226" s="9"/>
      <c r="J13226" s="11"/>
      <c r="U13226" s="9"/>
      <c r="X13226" s="9"/>
    </row>
    <row r="13227">
      <c r="D13227" s="9"/>
      <c r="G13227" s="9"/>
      <c r="J13227" s="11"/>
      <c r="U13227" s="9"/>
      <c r="X13227" s="9"/>
    </row>
    <row r="13228">
      <c r="D13228" s="9"/>
      <c r="G13228" s="9"/>
      <c r="J13228" s="11"/>
      <c r="U13228" s="9"/>
      <c r="X13228" s="9"/>
    </row>
    <row r="13229">
      <c r="D13229" s="9"/>
      <c r="G13229" s="9"/>
      <c r="J13229" s="11"/>
      <c r="U13229" s="9"/>
      <c r="X13229" s="9"/>
    </row>
    <row r="13230">
      <c r="D13230" s="9"/>
      <c r="G13230" s="9"/>
      <c r="J13230" s="11"/>
      <c r="U13230" s="9"/>
      <c r="X13230" s="9"/>
    </row>
    <row r="13231">
      <c r="D13231" s="9"/>
      <c r="G13231" s="9"/>
      <c r="J13231" s="11"/>
      <c r="U13231" s="9"/>
      <c r="X13231" s="9"/>
    </row>
    <row r="13232">
      <c r="D13232" s="9"/>
      <c r="G13232" s="9"/>
      <c r="J13232" s="11"/>
      <c r="U13232" s="9"/>
      <c r="X13232" s="9"/>
    </row>
    <row r="13233">
      <c r="D13233" s="9"/>
      <c r="G13233" s="9"/>
      <c r="J13233" s="11"/>
      <c r="U13233" s="9"/>
      <c r="X13233" s="9"/>
    </row>
    <row r="13234">
      <c r="D13234" s="9"/>
      <c r="G13234" s="9"/>
      <c r="J13234" s="11"/>
      <c r="U13234" s="9"/>
      <c r="X13234" s="9"/>
    </row>
    <row r="13235">
      <c r="D13235" s="9"/>
      <c r="G13235" s="9"/>
      <c r="J13235" s="11"/>
      <c r="U13235" s="9"/>
      <c r="X13235" s="9"/>
    </row>
    <row r="13236">
      <c r="D13236" s="9"/>
      <c r="G13236" s="9"/>
      <c r="J13236" s="11"/>
      <c r="U13236" s="9"/>
      <c r="X13236" s="9"/>
    </row>
    <row r="13237">
      <c r="D13237" s="9"/>
      <c r="G13237" s="9"/>
      <c r="J13237" s="11"/>
      <c r="U13237" s="9"/>
      <c r="X13237" s="9"/>
    </row>
    <row r="13238">
      <c r="D13238" s="9"/>
      <c r="G13238" s="9"/>
      <c r="J13238" s="11"/>
      <c r="U13238" s="9"/>
      <c r="X13238" s="9"/>
    </row>
    <row r="13239">
      <c r="D13239" s="9"/>
      <c r="G13239" s="9"/>
      <c r="J13239" s="11"/>
      <c r="U13239" s="9"/>
      <c r="X13239" s="9"/>
    </row>
    <row r="13240">
      <c r="D13240" s="9"/>
      <c r="G13240" s="9"/>
      <c r="J13240" s="11"/>
      <c r="U13240" s="9"/>
      <c r="X13240" s="9"/>
    </row>
    <row r="13241">
      <c r="D13241" s="9"/>
      <c r="G13241" s="9"/>
      <c r="J13241" s="11"/>
      <c r="U13241" s="9"/>
      <c r="X13241" s="9"/>
    </row>
    <row r="13242">
      <c r="D13242" s="9"/>
      <c r="G13242" s="9"/>
      <c r="J13242" s="11"/>
      <c r="U13242" s="9"/>
      <c r="X13242" s="9"/>
    </row>
    <row r="13243">
      <c r="D13243" s="9"/>
      <c r="G13243" s="9"/>
      <c r="J13243" s="11"/>
      <c r="U13243" s="9"/>
      <c r="X13243" s="9"/>
    </row>
    <row r="13244">
      <c r="D13244" s="9"/>
      <c r="G13244" s="9"/>
      <c r="J13244" s="11"/>
      <c r="U13244" s="9"/>
      <c r="X13244" s="9"/>
    </row>
    <row r="13245">
      <c r="D13245" s="9"/>
      <c r="G13245" s="9"/>
      <c r="J13245" s="11"/>
      <c r="U13245" s="9"/>
      <c r="X13245" s="9"/>
    </row>
    <row r="13246">
      <c r="D13246" s="9"/>
      <c r="G13246" s="9"/>
      <c r="J13246" s="11"/>
      <c r="U13246" s="9"/>
      <c r="X13246" s="9"/>
    </row>
    <row r="13247">
      <c r="D13247" s="9"/>
      <c r="G13247" s="9"/>
      <c r="J13247" s="11"/>
      <c r="U13247" s="9"/>
      <c r="X13247" s="9"/>
    </row>
    <row r="13248">
      <c r="D13248" s="9"/>
      <c r="G13248" s="9"/>
      <c r="J13248" s="11"/>
      <c r="U13248" s="9"/>
      <c r="X13248" s="9"/>
    </row>
    <row r="13249">
      <c r="D13249" s="9"/>
      <c r="G13249" s="9"/>
      <c r="J13249" s="11"/>
      <c r="U13249" s="9"/>
      <c r="X13249" s="9"/>
    </row>
    <row r="13250">
      <c r="D13250" s="9"/>
      <c r="G13250" s="9"/>
      <c r="J13250" s="11"/>
      <c r="U13250" s="9"/>
      <c r="X13250" s="9"/>
    </row>
    <row r="13251">
      <c r="D13251" s="9"/>
      <c r="G13251" s="9"/>
      <c r="J13251" s="11"/>
      <c r="U13251" s="9"/>
      <c r="X13251" s="9"/>
    </row>
    <row r="13252">
      <c r="D13252" s="9"/>
      <c r="G13252" s="9"/>
      <c r="J13252" s="11"/>
      <c r="U13252" s="9"/>
      <c r="X13252" s="9"/>
    </row>
    <row r="13253">
      <c r="D13253" s="9"/>
      <c r="G13253" s="9"/>
      <c r="J13253" s="11"/>
      <c r="U13253" s="9"/>
      <c r="X13253" s="9"/>
    </row>
    <row r="13254">
      <c r="D13254" s="9"/>
      <c r="G13254" s="9"/>
      <c r="J13254" s="11"/>
      <c r="U13254" s="9"/>
      <c r="X13254" s="9"/>
    </row>
    <row r="13255">
      <c r="D13255" s="9"/>
      <c r="G13255" s="9"/>
      <c r="J13255" s="11"/>
      <c r="U13255" s="9"/>
      <c r="X13255" s="9"/>
    </row>
    <row r="13256">
      <c r="D13256" s="9"/>
      <c r="G13256" s="9"/>
      <c r="J13256" s="11"/>
      <c r="U13256" s="9"/>
      <c r="X13256" s="9"/>
    </row>
    <row r="13257">
      <c r="D13257" s="9"/>
      <c r="G13257" s="9"/>
      <c r="J13257" s="11"/>
      <c r="U13257" s="9"/>
      <c r="X13257" s="9"/>
    </row>
    <row r="13258">
      <c r="D13258" s="9"/>
      <c r="G13258" s="9"/>
      <c r="J13258" s="11"/>
      <c r="U13258" s="9"/>
      <c r="X13258" s="9"/>
    </row>
    <row r="13259">
      <c r="D13259" s="9"/>
      <c r="G13259" s="9"/>
      <c r="J13259" s="11"/>
      <c r="U13259" s="9"/>
      <c r="X13259" s="9"/>
    </row>
    <row r="13260">
      <c r="D13260" s="9"/>
      <c r="G13260" s="9"/>
      <c r="J13260" s="11"/>
      <c r="U13260" s="9"/>
      <c r="X13260" s="9"/>
    </row>
    <row r="13261">
      <c r="D13261" s="9"/>
      <c r="G13261" s="9"/>
      <c r="J13261" s="11"/>
      <c r="U13261" s="9"/>
      <c r="X13261" s="9"/>
    </row>
    <row r="13262">
      <c r="D13262" s="9"/>
      <c r="G13262" s="9"/>
      <c r="J13262" s="11"/>
      <c r="U13262" s="9"/>
      <c r="X13262" s="9"/>
    </row>
    <row r="13263">
      <c r="D13263" s="9"/>
      <c r="G13263" s="9"/>
      <c r="J13263" s="11"/>
      <c r="U13263" s="9"/>
      <c r="X13263" s="9"/>
    </row>
    <row r="13264">
      <c r="D13264" s="9"/>
      <c r="G13264" s="9"/>
      <c r="J13264" s="11"/>
      <c r="U13264" s="9"/>
      <c r="X13264" s="9"/>
    </row>
    <row r="13265">
      <c r="D13265" s="9"/>
      <c r="G13265" s="9"/>
      <c r="J13265" s="11"/>
      <c r="U13265" s="9"/>
      <c r="X13265" s="9"/>
    </row>
    <row r="13266">
      <c r="D13266" s="9"/>
      <c r="G13266" s="9"/>
      <c r="J13266" s="11"/>
      <c r="U13266" s="9"/>
      <c r="X13266" s="9"/>
    </row>
    <row r="13267">
      <c r="D13267" s="9"/>
      <c r="G13267" s="9"/>
      <c r="J13267" s="11"/>
      <c r="U13267" s="9"/>
      <c r="X13267" s="9"/>
    </row>
    <row r="13268">
      <c r="D13268" s="9"/>
      <c r="G13268" s="9"/>
      <c r="J13268" s="11"/>
      <c r="U13268" s="9"/>
      <c r="X13268" s="9"/>
    </row>
    <row r="13269">
      <c r="D13269" s="9"/>
      <c r="G13269" s="9"/>
      <c r="J13269" s="11"/>
      <c r="U13269" s="9"/>
      <c r="X13269" s="9"/>
    </row>
    <row r="13270">
      <c r="D13270" s="9"/>
      <c r="G13270" s="9"/>
      <c r="J13270" s="11"/>
      <c r="U13270" s="9"/>
      <c r="X13270" s="9"/>
    </row>
    <row r="13271">
      <c r="D13271" s="9"/>
      <c r="G13271" s="9"/>
      <c r="J13271" s="11"/>
      <c r="U13271" s="9"/>
      <c r="X13271" s="9"/>
    </row>
    <row r="13272">
      <c r="D13272" s="9"/>
      <c r="G13272" s="9"/>
      <c r="J13272" s="11"/>
      <c r="U13272" s="9"/>
      <c r="X13272" s="9"/>
    </row>
    <row r="13273">
      <c r="D13273" s="9"/>
      <c r="G13273" s="9"/>
      <c r="J13273" s="11"/>
      <c r="U13273" s="9"/>
      <c r="X13273" s="9"/>
    </row>
    <row r="13274">
      <c r="D13274" s="9"/>
      <c r="G13274" s="9"/>
      <c r="J13274" s="11"/>
      <c r="U13274" s="9"/>
      <c r="X13274" s="9"/>
    </row>
    <row r="13275">
      <c r="D13275" s="9"/>
      <c r="G13275" s="9"/>
      <c r="J13275" s="11"/>
      <c r="U13275" s="9"/>
      <c r="X13275" s="9"/>
    </row>
    <row r="13276">
      <c r="D13276" s="9"/>
      <c r="G13276" s="9"/>
      <c r="J13276" s="11"/>
      <c r="U13276" s="9"/>
      <c r="X13276" s="9"/>
    </row>
    <row r="13277">
      <c r="D13277" s="9"/>
      <c r="G13277" s="9"/>
      <c r="J13277" s="11"/>
      <c r="U13277" s="9"/>
      <c r="X13277" s="9"/>
    </row>
    <row r="13278">
      <c r="D13278" s="9"/>
      <c r="G13278" s="9"/>
      <c r="J13278" s="11"/>
      <c r="U13278" s="9"/>
      <c r="X13278" s="9"/>
    </row>
    <row r="13279">
      <c r="D13279" s="9"/>
      <c r="G13279" s="9"/>
      <c r="J13279" s="11"/>
      <c r="U13279" s="9"/>
      <c r="X13279" s="9"/>
    </row>
    <row r="13280">
      <c r="D13280" s="9"/>
      <c r="G13280" s="9"/>
      <c r="J13280" s="11"/>
      <c r="U13280" s="9"/>
      <c r="X13280" s="9"/>
    </row>
    <row r="13281">
      <c r="D13281" s="9"/>
      <c r="G13281" s="9"/>
      <c r="J13281" s="11"/>
      <c r="U13281" s="9"/>
      <c r="X13281" s="9"/>
    </row>
    <row r="13282">
      <c r="D13282" s="9"/>
      <c r="G13282" s="9"/>
      <c r="J13282" s="11"/>
      <c r="U13282" s="9"/>
      <c r="X13282" s="9"/>
    </row>
    <row r="13283">
      <c r="D13283" s="9"/>
      <c r="G13283" s="9"/>
      <c r="J13283" s="11"/>
      <c r="U13283" s="9"/>
      <c r="X13283" s="9"/>
    </row>
    <row r="13284">
      <c r="D13284" s="9"/>
      <c r="G13284" s="9"/>
      <c r="J13284" s="11"/>
      <c r="U13284" s="9"/>
      <c r="X13284" s="9"/>
    </row>
    <row r="13285">
      <c r="D13285" s="9"/>
      <c r="G13285" s="9"/>
      <c r="J13285" s="11"/>
      <c r="U13285" s="9"/>
      <c r="X13285" s="9"/>
    </row>
    <row r="13286">
      <c r="D13286" s="9"/>
      <c r="G13286" s="9"/>
      <c r="J13286" s="11"/>
      <c r="U13286" s="9"/>
      <c r="X13286" s="9"/>
    </row>
    <row r="13287">
      <c r="D13287" s="9"/>
      <c r="G13287" s="9"/>
      <c r="J13287" s="11"/>
      <c r="U13287" s="9"/>
      <c r="X13287" s="9"/>
    </row>
    <row r="13288">
      <c r="D13288" s="9"/>
      <c r="G13288" s="9"/>
      <c r="J13288" s="11"/>
      <c r="U13288" s="9"/>
      <c r="X13288" s="9"/>
    </row>
    <row r="13289">
      <c r="D13289" s="9"/>
      <c r="G13289" s="9"/>
      <c r="J13289" s="11"/>
      <c r="U13289" s="9"/>
      <c r="X13289" s="9"/>
    </row>
    <row r="13290">
      <c r="D13290" s="9"/>
      <c r="G13290" s="9"/>
      <c r="J13290" s="11"/>
      <c r="U13290" s="9"/>
      <c r="X13290" s="9"/>
    </row>
    <row r="13291">
      <c r="D13291" s="9"/>
      <c r="G13291" s="9"/>
      <c r="J13291" s="11"/>
      <c r="U13291" s="9"/>
      <c r="X13291" s="9"/>
    </row>
    <row r="13292">
      <c r="D13292" s="9"/>
      <c r="G13292" s="9"/>
      <c r="J13292" s="11"/>
      <c r="U13292" s="9"/>
      <c r="X13292" s="9"/>
    </row>
    <row r="13293">
      <c r="D13293" s="9"/>
      <c r="G13293" s="9"/>
      <c r="J13293" s="11"/>
      <c r="U13293" s="9"/>
      <c r="X13293" s="9"/>
    </row>
    <row r="13294">
      <c r="D13294" s="9"/>
      <c r="G13294" s="9"/>
      <c r="J13294" s="11"/>
      <c r="U13294" s="9"/>
      <c r="X13294" s="9"/>
    </row>
    <row r="13295">
      <c r="D13295" s="9"/>
      <c r="G13295" s="9"/>
      <c r="J13295" s="11"/>
      <c r="U13295" s="9"/>
      <c r="X13295" s="9"/>
    </row>
    <row r="13296">
      <c r="D13296" s="9"/>
      <c r="G13296" s="9"/>
      <c r="J13296" s="11"/>
      <c r="U13296" s="9"/>
      <c r="X13296" s="9"/>
    </row>
    <row r="13297">
      <c r="D13297" s="9"/>
      <c r="G13297" s="9"/>
      <c r="J13297" s="11"/>
      <c r="U13297" s="9"/>
      <c r="X13297" s="9"/>
    </row>
    <row r="13298">
      <c r="D13298" s="9"/>
      <c r="G13298" s="9"/>
      <c r="J13298" s="11"/>
      <c r="U13298" s="9"/>
      <c r="X13298" s="9"/>
    </row>
    <row r="13299">
      <c r="D13299" s="9"/>
      <c r="G13299" s="9"/>
      <c r="J13299" s="11"/>
      <c r="U13299" s="9"/>
      <c r="X13299" s="9"/>
    </row>
    <row r="13300">
      <c r="D13300" s="9"/>
      <c r="G13300" s="9"/>
      <c r="J13300" s="11"/>
      <c r="U13300" s="9"/>
      <c r="X13300" s="9"/>
    </row>
    <row r="13301">
      <c r="D13301" s="9"/>
      <c r="G13301" s="9"/>
      <c r="J13301" s="11"/>
      <c r="U13301" s="9"/>
      <c r="X13301" s="9"/>
    </row>
    <row r="13302">
      <c r="D13302" s="9"/>
      <c r="G13302" s="9"/>
      <c r="J13302" s="11"/>
      <c r="U13302" s="9"/>
      <c r="X13302" s="9"/>
    </row>
    <row r="13303">
      <c r="D13303" s="9"/>
      <c r="G13303" s="9"/>
      <c r="J13303" s="11"/>
      <c r="U13303" s="9"/>
      <c r="X13303" s="9"/>
    </row>
    <row r="13304">
      <c r="D13304" s="9"/>
      <c r="G13304" s="9"/>
      <c r="J13304" s="11"/>
      <c r="U13304" s="9"/>
      <c r="X13304" s="9"/>
    </row>
    <row r="13305">
      <c r="D13305" s="9"/>
      <c r="G13305" s="9"/>
      <c r="J13305" s="11"/>
      <c r="U13305" s="9"/>
      <c r="X13305" s="9"/>
    </row>
    <row r="13306">
      <c r="D13306" s="9"/>
      <c r="G13306" s="9"/>
      <c r="J13306" s="11"/>
      <c r="U13306" s="9"/>
      <c r="X13306" s="9"/>
    </row>
    <row r="13307">
      <c r="D13307" s="9"/>
      <c r="G13307" s="9"/>
      <c r="J13307" s="11"/>
      <c r="U13307" s="9"/>
      <c r="X13307" s="9"/>
    </row>
    <row r="13308">
      <c r="D13308" s="9"/>
      <c r="G13308" s="9"/>
      <c r="J13308" s="11"/>
      <c r="U13308" s="9"/>
      <c r="X13308" s="9"/>
    </row>
    <row r="13309">
      <c r="D13309" s="9"/>
      <c r="G13309" s="9"/>
      <c r="J13309" s="11"/>
      <c r="U13309" s="9"/>
      <c r="X13309" s="9"/>
    </row>
    <row r="13310">
      <c r="D13310" s="9"/>
      <c r="G13310" s="9"/>
      <c r="J13310" s="11"/>
      <c r="U13310" s="9"/>
      <c r="X13310" s="9"/>
    </row>
    <row r="13311">
      <c r="D13311" s="9"/>
      <c r="G13311" s="9"/>
      <c r="J13311" s="11"/>
      <c r="U13311" s="9"/>
      <c r="X13311" s="9"/>
    </row>
    <row r="13312">
      <c r="D13312" s="9"/>
      <c r="G13312" s="9"/>
      <c r="J13312" s="11"/>
      <c r="U13312" s="9"/>
      <c r="X13312" s="9"/>
    </row>
    <row r="13313">
      <c r="D13313" s="9"/>
      <c r="G13313" s="9"/>
      <c r="J13313" s="11"/>
      <c r="U13313" s="9"/>
      <c r="X13313" s="9"/>
    </row>
    <row r="13314">
      <c r="D13314" s="9"/>
      <c r="G13314" s="9"/>
      <c r="J13314" s="11"/>
      <c r="U13314" s="9"/>
      <c r="X13314" s="9"/>
    </row>
    <row r="13315">
      <c r="D13315" s="9"/>
      <c r="G13315" s="9"/>
      <c r="J13315" s="11"/>
      <c r="U13315" s="9"/>
      <c r="X13315" s="9"/>
    </row>
    <row r="13316">
      <c r="D13316" s="9"/>
      <c r="G13316" s="9"/>
      <c r="J13316" s="11"/>
      <c r="U13316" s="9"/>
      <c r="X13316" s="9"/>
    </row>
    <row r="13317">
      <c r="D13317" s="9"/>
      <c r="G13317" s="9"/>
      <c r="J13317" s="11"/>
      <c r="U13317" s="9"/>
      <c r="X13317" s="9"/>
    </row>
    <row r="13318">
      <c r="D13318" s="9"/>
      <c r="G13318" s="9"/>
      <c r="J13318" s="11"/>
      <c r="U13318" s="9"/>
      <c r="X13318" s="9"/>
    </row>
    <row r="13319">
      <c r="D13319" s="9"/>
      <c r="G13319" s="9"/>
      <c r="J13319" s="11"/>
      <c r="U13319" s="9"/>
      <c r="X13319" s="9"/>
    </row>
    <row r="13320">
      <c r="D13320" s="9"/>
      <c r="G13320" s="9"/>
      <c r="J13320" s="11"/>
      <c r="U13320" s="9"/>
      <c r="X13320" s="9"/>
    </row>
    <row r="13321">
      <c r="D13321" s="9"/>
      <c r="G13321" s="9"/>
      <c r="J13321" s="11"/>
      <c r="U13321" s="9"/>
      <c r="X13321" s="9"/>
    </row>
    <row r="13322">
      <c r="D13322" s="9"/>
      <c r="G13322" s="9"/>
      <c r="J13322" s="11"/>
      <c r="U13322" s="9"/>
      <c r="X13322" s="9"/>
    </row>
    <row r="13323">
      <c r="D13323" s="9"/>
      <c r="G13323" s="9"/>
      <c r="J13323" s="11"/>
      <c r="U13323" s="9"/>
      <c r="X13323" s="9"/>
    </row>
    <row r="13324">
      <c r="D13324" s="9"/>
      <c r="G13324" s="9"/>
      <c r="J13324" s="11"/>
      <c r="U13324" s="9"/>
      <c r="X13324" s="9"/>
    </row>
    <row r="13325">
      <c r="D13325" s="9"/>
      <c r="G13325" s="9"/>
      <c r="J13325" s="11"/>
      <c r="U13325" s="9"/>
      <c r="X13325" s="9"/>
    </row>
    <row r="13326">
      <c r="D13326" s="9"/>
      <c r="G13326" s="9"/>
      <c r="J13326" s="11"/>
      <c r="U13326" s="9"/>
      <c r="X13326" s="9"/>
    </row>
    <row r="13327">
      <c r="D13327" s="9"/>
      <c r="G13327" s="9"/>
      <c r="J13327" s="11"/>
      <c r="U13327" s="9"/>
      <c r="X13327" s="9"/>
    </row>
    <row r="13328">
      <c r="D13328" s="9"/>
      <c r="G13328" s="9"/>
      <c r="J13328" s="11"/>
      <c r="U13328" s="9"/>
      <c r="X13328" s="9"/>
    </row>
    <row r="13329">
      <c r="D13329" s="9"/>
      <c r="G13329" s="9"/>
      <c r="J13329" s="11"/>
      <c r="U13329" s="9"/>
      <c r="X13329" s="9"/>
    </row>
    <row r="13330">
      <c r="D13330" s="9"/>
      <c r="G13330" s="9"/>
      <c r="J13330" s="11"/>
      <c r="U13330" s="9"/>
      <c r="X13330" s="9"/>
    </row>
    <row r="13331">
      <c r="D13331" s="9"/>
      <c r="G13331" s="9"/>
      <c r="J13331" s="11"/>
      <c r="U13331" s="9"/>
      <c r="X13331" s="9"/>
    </row>
    <row r="13332">
      <c r="D13332" s="9"/>
      <c r="G13332" s="9"/>
      <c r="J13332" s="11"/>
      <c r="U13332" s="9"/>
      <c r="X13332" s="9"/>
    </row>
    <row r="13333">
      <c r="D13333" s="9"/>
      <c r="G13333" s="9"/>
      <c r="J13333" s="11"/>
      <c r="U13333" s="9"/>
      <c r="X13333" s="9"/>
    </row>
    <row r="13334">
      <c r="D13334" s="9"/>
      <c r="G13334" s="9"/>
      <c r="J13334" s="11"/>
      <c r="U13334" s="9"/>
      <c r="X13334" s="9"/>
    </row>
    <row r="13335">
      <c r="D13335" s="9"/>
      <c r="G13335" s="9"/>
      <c r="J13335" s="11"/>
      <c r="U13335" s="9"/>
      <c r="X13335" s="9"/>
    </row>
    <row r="13336">
      <c r="D13336" s="9"/>
      <c r="G13336" s="9"/>
      <c r="J13336" s="11"/>
      <c r="U13336" s="9"/>
      <c r="X13336" s="9"/>
    </row>
    <row r="13337">
      <c r="D13337" s="9"/>
      <c r="G13337" s="9"/>
      <c r="J13337" s="11"/>
      <c r="U13337" s="9"/>
      <c r="X13337" s="9"/>
    </row>
    <row r="13338">
      <c r="D13338" s="9"/>
      <c r="G13338" s="9"/>
      <c r="J13338" s="11"/>
      <c r="U13338" s="9"/>
      <c r="X13338" s="9"/>
    </row>
    <row r="13339">
      <c r="D13339" s="9"/>
      <c r="G13339" s="9"/>
      <c r="J13339" s="11"/>
      <c r="U13339" s="9"/>
      <c r="X13339" s="9"/>
    </row>
    <row r="13340">
      <c r="D13340" s="9"/>
      <c r="G13340" s="9"/>
      <c r="J13340" s="11"/>
      <c r="U13340" s="9"/>
      <c r="X13340" s="9"/>
    </row>
    <row r="13341">
      <c r="D13341" s="9"/>
      <c r="G13341" s="9"/>
      <c r="J13341" s="11"/>
      <c r="U13341" s="9"/>
      <c r="X13341" s="9"/>
    </row>
    <row r="13342">
      <c r="D13342" s="9"/>
      <c r="G13342" s="9"/>
      <c r="J13342" s="11"/>
      <c r="U13342" s="9"/>
      <c r="X13342" s="9"/>
    </row>
    <row r="13343">
      <c r="D13343" s="9"/>
      <c r="G13343" s="9"/>
      <c r="J13343" s="11"/>
      <c r="U13343" s="9"/>
      <c r="X13343" s="9"/>
    </row>
    <row r="13344">
      <c r="D13344" s="9"/>
      <c r="G13344" s="9"/>
      <c r="J13344" s="11"/>
      <c r="U13344" s="9"/>
      <c r="X13344" s="9"/>
    </row>
    <row r="13345">
      <c r="D13345" s="9"/>
      <c r="G13345" s="9"/>
      <c r="J13345" s="11"/>
      <c r="U13345" s="9"/>
      <c r="X13345" s="9"/>
    </row>
    <row r="13346">
      <c r="D13346" s="9"/>
      <c r="G13346" s="9"/>
      <c r="J13346" s="11"/>
      <c r="U13346" s="9"/>
      <c r="X13346" s="9"/>
    </row>
    <row r="13347">
      <c r="D13347" s="9"/>
      <c r="G13347" s="9"/>
      <c r="J13347" s="11"/>
      <c r="U13347" s="9"/>
      <c r="X13347" s="9"/>
    </row>
    <row r="13348">
      <c r="D13348" s="9"/>
      <c r="G13348" s="9"/>
      <c r="J13348" s="11"/>
      <c r="U13348" s="9"/>
      <c r="X13348" s="9"/>
    </row>
    <row r="13349">
      <c r="D13349" s="9"/>
      <c r="G13349" s="9"/>
      <c r="J13349" s="11"/>
      <c r="U13349" s="9"/>
      <c r="X13349" s="9"/>
    </row>
    <row r="13350">
      <c r="D13350" s="9"/>
      <c r="G13350" s="9"/>
      <c r="J13350" s="11"/>
      <c r="U13350" s="9"/>
      <c r="X13350" s="9"/>
    </row>
    <row r="13351">
      <c r="D13351" s="9"/>
      <c r="G13351" s="9"/>
      <c r="J13351" s="11"/>
      <c r="U13351" s="9"/>
      <c r="X13351" s="9"/>
    </row>
    <row r="13352">
      <c r="D13352" s="9"/>
      <c r="G13352" s="9"/>
      <c r="J13352" s="11"/>
      <c r="U13352" s="9"/>
      <c r="X13352" s="9"/>
    </row>
    <row r="13353">
      <c r="D13353" s="9"/>
      <c r="G13353" s="9"/>
      <c r="J13353" s="11"/>
      <c r="U13353" s="9"/>
      <c r="X13353" s="9"/>
    </row>
    <row r="13354">
      <c r="D13354" s="9"/>
      <c r="G13354" s="9"/>
      <c r="J13354" s="11"/>
      <c r="U13354" s="9"/>
      <c r="X13354" s="9"/>
    </row>
    <row r="13355">
      <c r="D13355" s="9"/>
      <c r="G13355" s="9"/>
      <c r="J13355" s="11"/>
      <c r="U13355" s="9"/>
      <c r="X13355" s="9"/>
    </row>
    <row r="13356">
      <c r="D13356" s="9"/>
      <c r="G13356" s="9"/>
      <c r="J13356" s="11"/>
      <c r="U13356" s="9"/>
      <c r="X13356" s="9"/>
    </row>
    <row r="13357">
      <c r="D13357" s="9"/>
      <c r="G13357" s="9"/>
      <c r="J13357" s="11"/>
      <c r="U13357" s="9"/>
      <c r="X13357" s="9"/>
    </row>
    <row r="13358">
      <c r="D13358" s="9"/>
      <c r="G13358" s="9"/>
      <c r="J13358" s="11"/>
      <c r="U13358" s="9"/>
      <c r="X13358" s="9"/>
    </row>
    <row r="13359">
      <c r="D13359" s="9"/>
      <c r="G13359" s="9"/>
      <c r="J13359" s="11"/>
      <c r="U13359" s="9"/>
      <c r="X13359" s="9"/>
    </row>
    <row r="13360">
      <c r="D13360" s="9"/>
      <c r="G13360" s="9"/>
      <c r="J13360" s="11"/>
      <c r="U13360" s="9"/>
      <c r="X13360" s="9"/>
    </row>
    <row r="13361">
      <c r="D13361" s="9"/>
      <c r="G13361" s="9"/>
      <c r="J13361" s="11"/>
      <c r="U13361" s="9"/>
      <c r="X13361" s="9"/>
    </row>
    <row r="13362">
      <c r="D13362" s="9"/>
      <c r="G13362" s="9"/>
      <c r="J13362" s="11"/>
      <c r="U13362" s="9"/>
      <c r="X13362" s="9"/>
    </row>
    <row r="13363">
      <c r="D13363" s="9"/>
      <c r="G13363" s="9"/>
      <c r="J13363" s="11"/>
      <c r="U13363" s="9"/>
      <c r="X13363" s="9"/>
    </row>
    <row r="13364">
      <c r="D13364" s="9"/>
      <c r="G13364" s="9"/>
      <c r="J13364" s="11"/>
      <c r="U13364" s="9"/>
      <c r="X13364" s="9"/>
    </row>
    <row r="13365">
      <c r="D13365" s="9"/>
      <c r="G13365" s="9"/>
      <c r="J13365" s="11"/>
      <c r="U13365" s="9"/>
      <c r="X13365" s="9"/>
    </row>
    <row r="13366">
      <c r="D13366" s="9"/>
      <c r="G13366" s="9"/>
      <c r="J13366" s="11"/>
      <c r="U13366" s="9"/>
      <c r="X13366" s="9"/>
    </row>
    <row r="13367">
      <c r="D13367" s="9"/>
      <c r="G13367" s="9"/>
      <c r="J13367" s="11"/>
      <c r="U13367" s="9"/>
      <c r="X13367" s="9"/>
    </row>
    <row r="13368">
      <c r="D13368" s="9"/>
      <c r="G13368" s="9"/>
      <c r="J13368" s="11"/>
      <c r="U13368" s="9"/>
      <c r="X13368" s="9"/>
    </row>
    <row r="13369">
      <c r="D13369" s="9"/>
      <c r="G13369" s="9"/>
      <c r="J13369" s="11"/>
      <c r="U13369" s="9"/>
      <c r="X13369" s="9"/>
    </row>
    <row r="13370">
      <c r="D13370" s="9"/>
      <c r="G13370" s="9"/>
      <c r="J13370" s="11"/>
      <c r="U13370" s="9"/>
      <c r="X13370" s="9"/>
    </row>
    <row r="13371">
      <c r="D13371" s="9"/>
      <c r="G13371" s="9"/>
      <c r="J13371" s="11"/>
      <c r="U13371" s="9"/>
      <c r="X13371" s="9"/>
    </row>
    <row r="13372">
      <c r="D13372" s="9"/>
      <c r="G13372" s="9"/>
      <c r="J13372" s="11"/>
      <c r="U13372" s="9"/>
      <c r="X13372" s="9"/>
    </row>
    <row r="13373">
      <c r="D13373" s="9"/>
      <c r="G13373" s="9"/>
      <c r="J13373" s="11"/>
      <c r="U13373" s="9"/>
      <c r="X13373" s="9"/>
    </row>
    <row r="13374">
      <c r="D13374" s="9"/>
      <c r="G13374" s="9"/>
      <c r="J13374" s="11"/>
      <c r="U13374" s="9"/>
      <c r="X13374" s="9"/>
    </row>
    <row r="13375">
      <c r="D13375" s="9"/>
      <c r="G13375" s="9"/>
      <c r="J13375" s="11"/>
      <c r="U13375" s="9"/>
      <c r="X13375" s="9"/>
    </row>
    <row r="13376">
      <c r="D13376" s="9"/>
      <c r="G13376" s="9"/>
      <c r="J13376" s="11"/>
      <c r="U13376" s="9"/>
      <c r="X13376" s="9"/>
    </row>
    <row r="13377">
      <c r="D13377" s="9"/>
      <c r="G13377" s="9"/>
      <c r="J13377" s="11"/>
      <c r="U13377" s="9"/>
      <c r="X13377" s="9"/>
    </row>
    <row r="13378">
      <c r="D13378" s="9"/>
      <c r="G13378" s="9"/>
      <c r="J13378" s="11"/>
      <c r="U13378" s="9"/>
      <c r="X13378" s="9"/>
    </row>
    <row r="13379">
      <c r="D13379" s="9"/>
      <c r="G13379" s="9"/>
      <c r="J13379" s="11"/>
      <c r="U13379" s="9"/>
      <c r="X13379" s="9"/>
    </row>
    <row r="13380">
      <c r="D13380" s="9"/>
      <c r="G13380" s="9"/>
      <c r="J13380" s="11"/>
      <c r="U13380" s="9"/>
      <c r="X13380" s="9"/>
    </row>
    <row r="13381">
      <c r="D13381" s="9"/>
      <c r="G13381" s="9"/>
      <c r="J13381" s="11"/>
      <c r="U13381" s="9"/>
      <c r="X13381" s="9"/>
    </row>
    <row r="13382">
      <c r="D13382" s="9"/>
      <c r="G13382" s="9"/>
      <c r="J13382" s="11"/>
      <c r="U13382" s="9"/>
      <c r="X13382" s="9"/>
    </row>
    <row r="13383">
      <c r="D13383" s="9"/>
      <c r="G13383" s="9"/>
      <c r="J13383" s="11"/>
      <c r="U13383" s="9"/>
      <c r="X13383" s="9"/>
    </row>
    <row r="13384">
      <c r="D13384" s="9"/>
      <c r="G13384" s="9"/>
      <c r="J13384" s="11"/>
      <c r="U13384" s="9"/>
      <c r="X13384" s="9"/>
    </row>
    <row r="13385">
      <c r="D13385" s="9"/>
      <c r="G13385" s="9"/>
      <c r="J13385" s="11"/>
      <c r="U13385" s="9"/>
      <c r="X13385" s="9"/>
    </row>
    <row r="13386">
      <c r="D13386" s="9"/>
      <c r="G13386" s="9"/>
      <c r="J13386" s="11"/>
      <c r="U13386" s="9"/>
      <c r="X13386" s="9"/>
    </row>
    <row r="13387">
      <c r="D13387" s="9"/>
      <c r="G13387" s="9"/>
      <c r="J13387" s="11"/>
      <c r="U13387" s="9"/>
      <c r="X13387" s="9"/>
    </row>
    <row r="13388">
      <c r="D13388" s="9"/>
      <c r="G13388" s="9"/>
      <c r="J13388" s="11"/>
      <c r="U13388" s="9"/>
      <c r="X13388" s="9"/>
    </row>
    <row r="13389">
      <c r="D13389" s="9"/>
      <c r="G13389" s="9"/>
      <c r="J13389" s="11"/>
      <c r="U13389" s="9"/>
      <c r="X13389" s="9"/>
    </row>
    <row r="13390">
      <c r="D13390" s="9"/>
      <c r="G13390" s="9"/>
      <c r="J13390" s="11"/>
      <c r="U13390" s="9"/>
      <c r="X13390" s="9"/>
    </row>
    <row r="13391">
      <c r="D13391" s="9"/>
      <c r="G13391" s="9"/>
      <c r="J13391" s="11"/>
      <c r="U13391" s="9"/>
      <c r="X13391" s="9"/>
    </row>
    <row r="13392">
      <c r="D13392" s="9"/>
      <c r="G13392" s="9"/>
      <c r="J13392" s="11"/>
      <c r="U13392" s="9"/>
      <c r="X13392" s="9"/>
    </row>
    <row r="13393">
      <c r="D13393" s="9"/>
      <c r="G13393" s="9"/>
      <c r="J13393" s="11"/>
      <c r="U13393" s="9"/>
      <c r="X13393" s="9"/>
    </row>
    <row r="13394">
      <c r="D13394" s="9"/>
      <c r="G13394" s="9"/>
      <c r="J13394" s="11"/>
      <c r="U13394" s="9"/>
      <c r="X13394" s="9"/>
    </row>
    <row r="13395">
      <c r="D13395" s="9"/>
      <c r="G13395" s="9"/>
      <c r="J13395" s="11"/>
      <c r="U13395" s="9"/>
      <c r="X13395" s="9"/>
    </row>
    <row r="13396">
      <c r="D13396" s="9"/>
      <c r="G13396" s="9"/>
      <c r="J13396" s="11"/>
      <c r="U13396" s="9"/>
      <c r="X13396" s="9"/>
    </row>
    <row r="13397">
      <c r="D13397" s="9"/>
      <c r="G13397" s="9"/>
      <c r="J13397" s="11"/>
      <c r="U13397" s="9"/>
      <c r="X13397" s="9"/>
    </row>
    <row r="13398">
      <c r="D13398" s="9"/>
      <c r="G13398" s="9"/>
      <c r="J13398" s="11"/>
      <c r="U13398" s="9"/>
      <c r="X13398" s="9"/>
    </row>
    <row r="13399">
      <c r="D13399" s="9"/>
      <c r="G13399" s="9"/>
      <c r="J13399" s="11"/>
      <c r="U13399" s="9"/>
      <c r="X13399" s="9"/>
    </row>
    <row r="13400">
      <c r="D13400" s="9"/>
      <c r="G13400" s="9"/>
      <c r="J13400" s="11"/>
      <c r="U13400" s="9"/>
      <c r="X13400" s="9"/>
    </row>
    <row r="13401">
      <c r="D13401" s="9"/>
      <c r="G13401" s="9"/>
      <c r="J13401" s="11"/>
      <c r="U13401" s="9"/>
      <c r="X13401" s="9"/>
    </row>
    <row r="13402">
      <c r="D13402" s="9"/>
      <c r="G13402" s="9"/>
      <c r="J13402" s="11"/>
      <c r="U13402" s="9"/>
      <c r="X13402" s="9"/>
    </row>
    <row r="13403">
      <c r="D13403" s="9"/>
      <c r="G13403" s="9"/>
      <c r="J13403" s="11"/>
      <c r="U13403" s="9"/>
      <c r="X13403" s="9"/>
    </row>
    <row r="13404">
      <c r="D13404" s="9"/>
      <c r="G13404" s="9"/>
      <c r="J13404" s="11"/>
      <c r="U13404" s="9"/>
      <c r="X13404" s="9"/>
    </row>
    <row r="13405">
      <c r="D13405" s="9"/>
      <c r="G13405" s="9"/>
      <c r="J13405" s="11"/>
      <c r="U13405" s="9"/>
      <c r="X13405" s="9"/>
    </row>
    <row r="13406">
      <c r="D13406" s="9"/>
      <c r="G13406" s="9"/>
      <c r="J13406" s="11"/>
      <c r="U13406" s="9"/>
      <c r="X13406" s="9"/>
    </row>
    <row r="13407">
      <c r="D13407" s="9"/>
      <c r="G13407" s="9"/>
      <c r="J13407" s="11"/>
      <c r="U13407" s="9"/>
      <c r="X13407" s="9"/>
    </row>
    <row r="13408">
      <c r="D13408" s="9"/>
      <c r="G13408" s="9"/>
      <c r="J13408" s="11"/>
      <c r="U13408" s="9"/>
      <c r="X13408" s="9"/>
    </row>
    <row r="13409">
      <c r="D13409" s="9"/>
      <c r="G13409" s="9"/>
      <c r="J13409" s="11"/>
      <c r="U13409" s="9"/>
      <c r="X13409" s="9"/>
    </row>
    <row r="13410">
      <c r="D13410" s="9"/>
      <c r="G13410" s="9"/>
      <c r="J13410" s="11"/>
      <c r="U13410" s="9"/>
      <c r="X13410" s="9"/>
    </row>
    <row r="13411">
      <c r="D13411" s="9"/>
      <c r="G13411" s="9"/>
      <c r="J13411" s="11"/>
      <c r="U13411" s="9"/>
      <c r="X13411" s="9"/>
    </row>
    <row r="13412">
      <c r="D13412" s="9"/>
      <c r="G13412" s="9"/>
      <c r="J13412" s="11"/>
      <c r="U13412" s="9"/>
      <c r="X13412" s="9"/>
    </row>
    <row r="13413">
      <c r="D13413" s="9"/>
      <c r="G13413" s="9"/>
      <c r="J13413" s="11"/>
      <c r="U13413" s="9"/>
      <c r="X13413" s="9"/>
    </row>
    <row r="13414">
      <c r="D13414" s="9"/>
      <c r="G13414" s="9"/>
      <c r="J13414" s="11"/>
      <c r="U13414" s="9"/>
      <c r="X13414" s="9"/>
    </row>
    <row r="13415">
      <c r="D13415" s="9"/>
      <c r="G13415" s="9"/>
      <c r="J13415" s="11"/>
      <c r="U13415" s="9"/>
      <c r="X13415" s="9"/>
    </row>
    <row r="13416">
      <c r="D13416" s="9"/>
      <c r="G13416" s="9"/>
      <c r="J13416" s="11"/>
      <c r="U13416" s="9"/>
      <c r="X13416" s="9"/>
    </row>
    <row r="13417">
      <c r="D13417" s="9"/>
      <c r="G13417" s="9"/>
      <c r="J13417" s="11"/>
      <c r="U13417" s="9"/>
      <c r="X13417" s="9"/>
    </row>
    <row r="13418">
      <c r="D13418" s="9"/>
      <c r="G13418" s="9"/>
      <c r="J13418" s="11"/>
      <c r="U13418" s="9"/>
      <c r="X13418" s="9"/>
    </row>
    <row r="13419">
      <c r="D13419" s="9"/>
      <c r="G13419" s="9"/>
      <c r="J13419" s="11"/>
      <c r="U13419" s="9"/>
      <c r="X13419" s="9"/>
    </row>
    <row r="13420">
      <c r="D13420" s="9"/>
      <c r="G13420" s="9"/>
      <c r="J13420" s="11"/>
      <c r="U13420" s="9"/>
      <c r="X13420" s="9"/>
    </row>
    <row r="13421">
      <c r="D13421" s="9"/>
      <c r="G13421" s="9"/>
      <c r="J13421" s="11"/>
      <c r="U13421" s="9"/>
      <c r="X13421" s="9"/>
    </row>
    <row r="13422">
      <c r="D13422" s="9"/>
      <c r="G13422" s="9"/>
      <c r="J13422" s="11"/>
      <c r="U13422" s="9"/>
      <c r="X13422" s="9"/>
    </row>
    <row r="13423">
      <c r="D13423" s="9"/>
      <c r="G13423" s="9"/>
      <c r="J13423" s="11"/>
      <c r="U13423" s="9"/>
      <c r="X13423" s="9"/>
    </row>
    <row r="13424">
      <c r="D13424" s="9"/>
      <c r="G13424" s="9"/>
      <c r="J13424" s="11"/>
      <c r="U13424" s="9"/>
      <c r="X13424" s="9"/>
    </row>
    <row r="13425">
      <c r="D13425" s="9"/>
      <c r="G13425" s="9"/>
      <c r="J13425" s="11"/>
      <c r="U13425" s="9"/>
      <c r="X13425" s="9"/>
    </row>
    <row r="13426">
      <c r="D13426" s="9"/>
      <c r="G13426" s="9"/>
      <c r="J13426" s="11"/>
      <c r="U13426" s="9"/>
      <c r="X13426" s="9"/>
    </row>
    <row r="13427">
      <c r="D13427" s="9"/>
      <c r="G13427" s="9"/>
      <c r="J13427" s="11"/>
      <c r="U13427" s="9"/>
      <c r="X13427" s="9"/>
    </row>
    <row r="13428">
      <c r="D13428" s="9"/>
      <c r="G13428" s="9"/>
      <c r="J13428" s="11"/>
      <c r="U13428" s="9"/>
      <c r="X13428" s="9"/>
    </row>
    <row r="13429">
      <c r="D13429" s="9"/>
      <c r="G13429" s="9"/>
      <c r="J13429" s="11"/>
      <c r="U13429" s="9"/>
      <c r="X13429" s="9"/>
    </row>
    <row r="13430">
      <c r="D13430" s="9"/>
      <c r="G13430" s="9"/>
      <c r="J13430" s="11"/>
      <c r="U13430" s="9"/>
      <c r="X13430" s="9"/>
    </row>
    <row r="13431">
      <c r="D13431" s="9"/>
      <c r="G13431" s="9"/>
      <c r="J13431" s="11"/>
      <c r="U13431" s="9"/>
      <c r="X13431" s="9"/>
    </row>
    <row r="13432">
      <c r="D13432" s="9"/>
      <c r="G13432" s="9"/>
      <c r="J13432" s="11"/>
      <c r="U13432" s="9"/>
      <c r="X13432" s="9"/>
    </row>
    <row r="13433">
      <c r="D13433" s="9"/>
      <c r="G13433" s="9"/>
      <c r="J13433" s="11"/>
      <c r="U13433" s="9"/>
      <c r="X13433" s="9"/>
    </row>
    <row r="13434">
      <c r="D13434" s="9"/>
      <c r="G13434" s="9"/>
      <c r="J13434" s="11"/>
      <c r="U13434" s="9"/>
      <c r="X13434" s="9"/>
    </row>
    <row r="13435">
      <c r="D13435" s="9"/>
      <c r="G13435" s="9"/>
      <c r="J13435" s="11"/>
      <c r="U13435" s="9"/>
      <c r="X13435" s="9"/>
    </row>
    <row r="13436">
      <c r="D13436" s="9"/>
      <c r="G13436" s="9"/>
      <c r="J13436" s="11"/>
      <c r="U13436" s="9"/>
      <c r="X13436" s="9"/>
    </row>
    <row r="13437">
      <c r="D13437" s="9"/>
      <c r="G13437" s="9"/>
      <c r="J13437" s="11"/>
      <c r="U13437" s="9"/>
      <c r="X13437" s="9"/>
    </row>
    <row r="13438">
      <c r="D13438" s="9"/>
      <c r="G13438" s="9"/>
      <c r="J13438" s="11"/>
      <c r="U13438" s="9"/>
      <c r="X13438" s="9"/>
    </row>
    <row r="13439">
      <c r="D13439" s="9"/>
      <c r="G13439" s="9"/>
      <c r="J13439" s="11"/>
      <c r="U13439" s="9"/>
      <c r="X13439" s="9"/>
    </row>
    <row r="13440">
      <c r="D13440" s="9"/>
      <c r="G13440" s="9"/>
      <c r="J13440" s="11"/>
      <c r="U13440" s="9"/>
      <c r="X13440" s="9"/>
    </row>
    <row r="13441">
      <c r="D13441" s="9"/>
      <c r="G13441" s="9"/>
      <c r="J13441" s="11"/>
      <c r="U13441" s="9"/>
      <c r="X13441" s="9"/>
    </row>
    <row r="13442">
      <c r="D13442" s="9"/>
      <c r="G13442" s="9"/>
      <c r="J13442" s="11"/>
      <c r="U13442" s="9"/>
      <c r="X13442" s="9"/>
    </row>
    <row r="13443">
      <c r="D13443" s="9"/>
      <c r="G13443" s="9"/>
      <c r="J13443" s="11"/>
      <c r="U13443" s="9"/>
      <c r="X13443" s="9"/>
    </row>
    <row r="13444">
      <c r="D13444" s="9"/>
      <c r="G13444" s="9"/>
      <c r="J13444" s="11"/>
      <c r="U13444" s="9"/>
      <c r="X13444" s="9"/>
    </row>
    <row r="13445">
      <c r="D13445" s="9"/>
      <c r="G13445" s="9"/>
      <c r="J13445" s="11"/>
      <c r="U13445" s="9"/>
      <c r="X13445" s="9"/>
    </row>
    <row r="13446">
      <c r="D13446" s="9"/>
      <c r="G13446" s="9"/>
      <c r="J13446" s="11"/>
      <c r="U13446" s="9"/>
      <c r="X13446" s="9"/>
    </row>
    <row r="13447">
      <c r="D13447" s="9"/>
      <c r="G13447" s="9"/>
      <c r="J13447" s="11"/>
      <c r="U13447" s="9"/>
      <c r="X13447" s="9"/>
    </row>
    <row r="13448">
      <c r="D13448" s="9"/>
      <c r="G13448" s="9"/>
      <c r="J13448" s="11"/>
      <c r="U13448" s="9"/>
      <c r="X13448" s="9"/>
    </row>
    <row r="13449">
      <c r="D13449" s="9"/>
      <c r="G13449" s="9"/>
      <c r="J13449" s="11"/>
      <c r="U13449" s="9"/>
      <c r="X13449" s="9"/>
    </row>
    <row r="13450">
      <c r="D13450" s="9"/>
      <c r="G13450" s="9"/>
      <c r="J13450" s="11"/>
      <c r="U13450" s="9"/>
      <c r="X13450" s="9"/>
    </row>
    <row r="13451">
      <c r="D13451" s="9"/>
      <c r="G13451" s="9"/>
      <c r="J13451" s="11"/>
      <c r="U13451" s="9"/>
      <c r="X13451" s="9"/>
    </row>
    <row r="13452">
      <c r="D13452" s="9"/>
      <c r="G13452" s="9"/>
      <c r="J13452" s="11"/>
      <c r="U13452" s="9"/>
      <c r="X13452" s="9"/>
    </row>
    <row r="13453">
      <c r="D13453" s="9"/>
      <c r="G13453" s="9"/>
      <c r="J13453" s="11"/>
      <c r="U13453" s="9"/>
      <c r="X13453" s="9"/>
    </row>
    <row r="13454">
      <c r="D13454" s="9"/>
      <c r="G13454" s="9"/>
      <c r="J13454" s="11"/>
      <c r="U13454" s="9"/>
      <c r="X13454" s="9"/>
    </row>
    <row r="13455">
      <c r="D13455" s="9"/>
      <c r="G13455" s="9"/>
      <c r="J13455" s="11"/>
      <c r="U13455" s="9"/>
      <c r="X13455" s="9"/>
    </row>
    <row r="13456">
      <c r="D13456" s="9"/>
      <c r="G13456" s="9"/>
      <c r="J13456" s="11"/>
      <c r="U13456" s="9"/>
      <c r="X13456" s="9"/>
    </row>
    <row r="13457">
      <c r="D13457" s="9"/>
      <c r="G13457" s="9"/>
      <c r="J13457" s="11"/>
      <c r="U13457" s="9"/>
      <c r="X13457" s="9"/>
    </row>
    <row r="13458">
      <c r="D13458" s="9"/>
      <c r="G13458" s="9"/>
      <c r="J13458" s="11"/>
      <c r="U13458" s="9"/>
      <c r="X13458" s="9"/>
    </row>
    <row r="13459">
      <c r="D13459" s="9"/>
      <c r="G13459" s="9"/>
      <c r="J13459" s="11"/>
      <c r="U13459" s="9"/>
      <c r="X13459" s="9"/>
    </row>
    <row r="13460">
      <c r="D13460" s="9"/>
      <c r="G13460" s="9"/>
      <c r="J13460" s="11"/>
      <c r="U13460" s="9"/>
      <c r="X13460" s="9"/>
    </row>
    <row r="13461">
      <c r="D13461" s="9"/>
      <c r="G13461" s="9"/>
      <c r="J13461" s="11"/>
      <c r="U13461" s="9"/>
      <c r="X13461" s="9"/>
    </row>
    <row r="13462">
      <c r="D13462" s="9"/>
      <c r="G13462" s="9"/>
      <c r="J13462" s="11"/>
      <c r="U13462" s="9"/>
      <c r="X13462" s="9"/>
    </row>
    <row r="13463">
      <c r="D13463" s="9"/>
      <c r="G13463" s="9"/>
      <c r="J13463" s="11"/>
      <c r="U13463" s="9"/>
      <c r="X13463" s="9"/>
    </row>
    <row r="13464">
      <c r="D13464" s="9"/>
      <c r="G13464" s="9"/>
      <c r="J13464" s="11"/>
      <c r="U13464" s="9"/>
      <c r="X13464" s="9"/>
    </row>
    <row r="13465">
      <c r="D13465" s="9"/>
      <c r="G13465" s="9"/>
      <c r="J13465" s="11"/>
      <c r="U13465" s="9"/>
      <c r="X13465" s="9"/>
    </row>
    <row r="13466">
      <c r="D13466" s="9"/>
      <c r="G13466" s="9"/>
      <c r="J13466" s="11"/>
      <c r="U13466" s="9"/>
      <c r="X13466" s="9"/>
    </row>
    <row r="13467">
      <c r="D13467" s="9"/>
      <c r="G13467" s="9"/>
      <c r="J13467" s="11"/>
      <c r="U13467" s="9"/>
      <c r="X13467" s="9"/>
    </row>
    <row r="13468">
      <c r="D13468" s="9"/>
      <c r="G13468" s="9"/>
      <c r="J13468" s="11"/>
      <c r="U13468" s="9"/>
      <c r="X13468" s="9"/>
    </row>
    <row r="13469">
      <c r="D13469" s="9"/>
      <c r="G13469" s="9"/>
      <c r="J13469" s="11"/>
      <c r="U13469" s="9"/>
      <c r="X13469" s="9"/>
    </row>
    <row r="13470">
      <c r="D13470" s="9"/>
      <c r="G13470" s="9"/>
      <c r="J13470" s="11"/>
      <c r="U13470" s="9"/>
      <c r="X13470" s="9"/>
    </row>
    <row r="13471">
      <c r="D13471" s="9"/>
      <c r="G13471" s="9"/>
      <c r="J13471" s="11"/>
      <c r="U13471" s="9"/>
      <c r="X13471" s="9"/>
    </row>
    <row r="13472">
      <c r="D13472" s="9"/>
      <c r="G13472" s="9"/>
      <c r="J13472" s="11"/>
      <c r="U13472" s="9"/>
      <c r="X13472" s="9"/>
    </row>
    <row r="13473">
      <c r="D13473" s="9"/>
      <c r="G13473" s="9"/>
      <c r="J13473" s="11"/>
      <c r="U13473" s="9"/>
      <c r="X13473" s="9"/>
    </row>
    <row r="13474">
      <c r="D13474" s="9"/>
      <c r="G13474" s="9"/>
      <c r="J13474" s="11"/>
      <c r="U13474" s="9"/>
      <c r="X13474" s="9"/>
    </row>
    <row r="13475">
      <c r="D13475" s="9"/>
      <c r="G13475" s="9"/>
      <c r="J13475" s="11"/>
      <c r="U13475" s="9"/>
      <c r="X13475" s="9"/>
    </row>
    <row r="13476">
      <c r="D13476" s="9"/>
      <c r="G13476" s="9"/>
      <c r="J13476" s="11"/>
      <c r="U13476" s="9"/>
      <c r="X13476" s="9"/>
    </row>
    <row r="13477">
      <c r="D13477" s="9"/>
      <c r="G13477" s="9"/>
      <c r="J13477" s="11"/>
      <c r="U13477" s="9"/>
      <c r="X13477" s="9"/>
    </row>
    <row r="13478">
      <c r="D13478" s="9"/>
      <c r="G13478" s="9"/>
      <c r="J13478" s="11"/>
      <c r="U13478" s="9"/>
      <c r="X13478" s="9"/>
    </row>
    <row r="13479">
      <c r="D13479" s="9"/>
      <c r="G13479" s="9"/>
      <c r="J13479" s="11"/>
      <c r="U13479" s="9"/>
      <c r="X13479" s="9"/>
    </row>
    <row r="13480">
      <c r="D13480" s="9"/>
      <c r="G13480" s="9"/>
      <c r="J13480" s="11"/>
      <c r="U13480" s="9"/>
      <c r="X13480" s="9"/>
    </row>
    <row r="13481">
      <c r="D13481" s="9"/>
      <c r="G13481" s="9"/>
      <c r="J13481" s="11"/>
      <c r="U13481" s="9"/>
      <c r="X13481" s="9"/>
    </row>
    <row r="13482">
      <c r="D13482" s="9"/>
      <c r="G13482" s="9"/>
      <c r="J13482" s="11"/>
      <c r="U13482" s="9"/>
      <c r="X13482" s="9"/>
    </row>
    <row r="13483">
      <c r="D13483" s="9"/>
      <c r="G13483" s="9"/>
      <c r="J13483" s="11"/>
      <c r="U13483" s="9"/>
      <c r="X13483" s="9"/>
    </row>
    <row r="13484">
      <c r="D13484" s="9"/>
      <c r="G13484" s="9"/>
      <c r="J13484" s="11"/>
      <c r="U13484" s="9"/>
      <c r="X13484" s="9"/>
    </row>
    <row r="13485">
      <c r="D13485" s="9"/>
      <c r="G13485" s="9"/>
      <c r="J13485" s="11"/>
      <c r="U13485" s="9"/>
      <c r="X13485" s="9"/>
    </row>
    <row r="13486">
      <c r="D13486" s="9"/>
      <c r="G13486" s="9"/>
      <c r="J13486" s="11"/>
      <c r="U13486" s="9"/>
      <c r="X13486" s="9"/>
    </row>
    <row r="13487">
      <c r="D13487" s="9"/>
      <c r="G13487" s="9"/>
      <c r="J13487" s="11"/>
      <c r="U13487" s="9"/>
      <c r="X13487" s="9"/>
    </row>
    <row r="13488">
      <c r="D13488" s="9"/>
      <c r="G13488" s="9"/>
      <c r="J13488" s="11"/>
      <c r="U13488" s="9"/>
      <c r="X13488" s="9"/>
    </row>
    <row r="13489">
      <c r="D13489" s="9"/>
      <c r="G13489" s="9"/>
      <c r="J13489" s="11"/>
      <c r="U13489" s="9"/>
      <c r="X13489" s="9"/>
    </row>
    <row r="13490">
      <c r="D13490" s="9"/>
      <c r="G13490" s="9"/>
      <c r="J13490" s="11"/>
      <c r="U13490" s="9"/>
      <c r="X13490" s="9"/>
    </row>
    <row r="13491">
      <c r="D13491" s="9"/>
      <c r="G13491" s="9"/>
      <c r="J13491" s="11"/>
      <c r="U13491" s="9"/>
      <c r="X13491" s="9"/>
    </row>
    <row r="13492">
      <c r="D13492" s="9"/>
      <c r="G13492" s="9"/>
      <c r="J13492" s="11"/>
      <c r="U13492" s="9"/>
      <c r="X13492" s="9"/>
    </row>
    <row r="13493">
      <c r="D13493" s="9"/>
      <c r="G13493" s="9"/>
      <c r="J13493" s="11"/>
      <c r="U13493" s="9"/>
      <c r="X13493" s="9"/>
    </row>
    <row r="13494">
      <c r="D13494" s="9"/>
      <c r="G13494" s="9"/>
      <c r="J13494" s="11"/>
      <c r="U13494" s="9"/>
      <c r="X13494" s="9"/>
    </row>
    <row r="13495">
      <c r="D13495" s="9"/>
      <c r="G13495" s="9"/>
      <c r="J13495" s="11"/>
      <c r="U13495" s="9"/>
      <c r="X13495" s="9"/>
    </row>
    <row r="13496">
      <c r="D13496" s="9"/>
      <c r="G13496" s="9"/>
      <c r="J13496" s="11"/>
      <c r="U13496" s="9"/>
      <c r="X13496" s="9"/>
    </row>
    <row r="13497">
      <c r="D13497" s="9"/>
      <c r="G13497" s="9"/>
      <c r="J13497" s="11"/>
      <c r="U13497" s="9"/>
      <c r="X13497" s="9"/>
    </row>
    <row r="13498">
      <c r="D13498" s="9"/>
      <c r="G13498" s="9"/>
      <c r="J13498" s="11"/>
      <c r="U13498" s="9"/>
      <c r="X13498" s="9"/>
    </row>
    <row r="13499">
      <c r="D13499" s="9"/>
      <c r="G13499" s="9"/>
      <c r="J13499" s="11"/>
      <c r="U13499" s="9"/>
      <c r="X13499" s="9"/>
    </row>
    <row r="13500">
      <c r="D13500" s="9"/>
      <c r="G13500" s="9"/>
      <c r="J13500" s="11"/>
      <c r="U13500" s="9"/>
      <c r="X13500" s="9"/>
    </row>
    <row r="13501">
      <c r="D13501" s="9"/>
      <c r="G13501" s="9"/>
      <c r="J13501" s="11"/>
      <c r="U13501" s="9"/>
      <c r="X13501" s="9"/>
    </row>
    <row r="13502">
      <c r="D13502" s="9"/>
      <c r="G13502" s="9"/>
      <c r="J13502" s="11"/>
      <c r="U13502" s="9"/>
      <c r="X13502" s="9"/>
    </row>
    <row r="13503">
      <c r="D13503" s="9"/>
      <c r="G13503" s="9"/>
      <c r="J13503" s="11"/>
      <c r="U13503" s="9"/>
      <c r="X13503" s="9"/>
    </row>
    <row r="13504">
      <c r="D13504" s="9"/>
      <c r="G13504" s="9"/>
      <c r="J13504" s="11"/>
      <c r="U13504" s="9"/>
      <c r="X13504" s="9"/>
    </row>
    <row r="13505">
      <c r="D13505" s="9"/>
      <c r="G13505" s="9"/>
      <c r="J13505" s="11"/>
      <c r="U13505" s="9"/>
      <c r="X13505" s="9"/>
    </row>
    <row r="13506">
      <c r="D13506" s="9"/>
      <c r="G13506" s="9"/>
      <c r="J13506" s="11"/>
      <c r="U13506" s="9"/>
      <c r="X13506" s="9"/>
    </row>
    <row r="13507">
      <c r="D13507" s="9"/>
      <c r="G13507" s="9"/>
      <c r="J13507" s="11"/>
      <c r="U13507" s="9"/>
      <c r="X13507" s="9"/>
    </row>
    <row r="13508">
      <c r="D13508" s="9"/>
      <c r="G13508" s="9"/>
      <c r="J13508" s="11"/>
      <c r="U13508" s="9"/>
      <c r="X13508" s="9"/>
    </row>
    <row r="13509">
      <c r="D13509" s="9"/>
      <c r="G13509" s="9"/>
      <c r="J13509" s="11"/>
      <c r="U13509" s="9"/>
      <c r="X13509" s="9"/>
    </row>
    <row r="13510">
      <c r="D13510" s="9"/>
      <c r="G13510" s="9"/>
      <c r="J13510" s="11"/>
      <c r="U13510" s="9"/>
      <c r="X13510" s="9"/>
    </row>
    <row r="13511">
      <c r="D13511" s="9"/>
      <c r="G13511" s="9"/>
      <c r="J13511" s="11"/>
      <c r="U13511" s="9"/>
      <c r="X13511" s="9"/>
    </row>
    <row r="13512">
      <c r="D13512" s="9"/>
      <c r="G13512" s="9"/>
      <c r="J13512" s="11"/>
      <c r="U13512" s="9"/>
      <c r="X13512" s="9"/>
    </row>
    <row r="13513">
      <c r="D13513" s="9"/>
      <c r="G13513" s="9"/>
      <c r="J13513" s="11"/>
      <c r="U13513" s="9"/>
      <c r="X13513" s="9"/>
    </row>
    <row r="13514">
      <c r="D13514" s="9"/>
      <c r="G13514" s="9"/>
      <c r="J13514" s="11"/>
      <c r="U13514" s="9"/>
      <c r="X13514" s="9"/>
    </row>
    <row r="13515">
      <c r="D13515" s="9"/>
      <c r="G13515" s="9"/>
      <c r="J13515" s="11"/>
      <c r="U13515" s="9"/>
      <c r="X13515" s="9"/>
    </row>
    <row r="13516">
      <c r="D13516" s="9"/>
      <c r="G13516" s="9"/>
      <c r="J13516" s="11"/>
      <c r="U13516" s="9"/>
      <c r="X13516" s="9"/>
    </row>
    <row r="13517">
      <c r="D13517" s="9"/>
      <c r="G13517" s="9"/>
      <c r="J13517" s="11"/>
      <c r="U13517" s="9"/>
      <c r="X13517" s="9"/>
    </row>
    <row r="13518">
      <c r="D13518" s="9"/>
      <c r="G13518" s="9"/>
      <c r="J13518" s="11"/>
      <c r="U13518" s="9"/>
      <c r="X13518" s="9"/>
    </row>
    <row r="13519">
      <c r="D13519" s="9"/>
      <c r="G13519" s="9"/>
      <c r="J13519" s="11"/>
      <c r="U13519" s="9"/>
      <c r="X13519" s="9"/>
    </row>
    <row r="13520">
      <c r="D13520" s="9"/>
      <c r="G13520" s="9"/>
      <c r="J13520" s="11"/>
      <c r="U13520" s="9"/>
      <c r="X13520" s="9"/>
    </row>
    <row r="13521">
      <c r="D13521" s="9"/>
      <c r="G13521" s="9"/>
      <c r="J13521" s="11"/>
      <c r="U13521" s="9"/>
      <c r="X13521" s="9"/>
    </row>
    <row r="13522">
      <c r="D13522" s="9"/>
      <c r="G13522" s="9"/>
      <c r="J13522" s="11"/>
      <c r="U13522" s="9"/>
      <c r="X13522" s="9"/>
    </row>
    <row r="13523">
      <c r="D13523" s="9"/>
      <c r="G13523" s="9"/>
      <c r="J13523" s="11"/>
      <c r="U13523" s="9"/>
      <c r="X13523" s="9"/>
    </row>
    <row r="13524">
      <c r="D13524" s="9"/>
      <c r="G13524" s="9"/>
      <c r="J13524" s="11"/>
      <c r="U13524" s="9"/>
      <c r="X13524" s="9"/>
    </row>
    <row r="13525">
      <c r="D13525" s="9"/>
      <c r="G13525" s="9"/>
      <c r="J13525" s="11"/>
      <c r="U13525" s="9"/>
      <c r="X13525" s="9"/>
    </row>
    <row r="13526">
      <c r="D13526" s="9"/>
      <c r="G13526" s="9"/>
      <c r="J13526" s="11"/>
      <c r="U13526" s="9"/>
      <c r="X13526" s="9"/>
    </row>
    <row r="13527">
      <c r="D13527" s="9"/>
      <c r="G13527" s="9"/>
      <c r="J13527" s="11"/>
      <c r="U13527" s="9"/>
      <c r="X13527" s="9"/>
    </row>
    <row r="13528">
      <c r="D13528" s="9"/>
      <c r="G13528" s="9"/>
      <c r="J13528" s="11"/>
      <c r="U13528" s="9"/>
      <c r="X13528" s="9"/>
    </row>
    <row r="13529">
      <c r="D13529" s="9"/>
      <c r="G13529" s="9"/>
      <c r="J13529" s="11"/>
      <c r="U13529" s="9"/>
      <c r="X13529" s="9"/>
    </row>
    <row r="13530">
      <c r="D13530" s="9"/>
      <c r="G13530" s="9"/>
      <c r="J13530" s="11"/>
      <c r="U13530" s="9"/>
      <c r="X13530" s="9"/>
    </row>
    <row r="13531">
      <c r="D13531" s="9"/>
      <c r="G13531" s="9"/>
      <c r="J13531" s="11"/>
      <c r="U13531" s="9"/>
      <c r="X13531" s="9"/>
    </row>
    <row r="13532">
      <c r="D13532" s="9"/>
      <c r="G13532" s="9"/>
      <c r="J13532" s="11"/>
      <c r="U13532" s="9"/>
      <c r="X13532" s="9"/>
    </row>
    <row r="13533">
      <c r="D13533" s="9"/>
      <c r="G13533" s="9"/>
      <c r="J13533" s="11"/>
      <c r="U13533" s="9"/>
      <c r="X13533" s="9"/>
    </row>
    <row r="13534">
      <c r="D13534" s="9"/>
      <c r="G13534" s="9"/>
      <c r="J13534" s="11"/>
      <c r="U13534" s="9"/>
      <c r="X13534" s="9"/>
    </row>
    <row r="13535">
      <c r="D13535" s="9"/>
      <c r="G13535" s="9"/>
      <c r="J13535" s="11"/>
      <c r="U13535" s="9"/>
      <c r="X13535" s="9"/>
    </row>
    <row r="13536">
      <c r="D13536" s="9"/>
      <c r="G13536" s="9"/>
      <c r="J13536" s="11"/>
      <c r="U13536" s="9"/>
      <c r="X13536" s="9"/>
    </row>
    <row r="13537">
      <c r="D13537" s="9"/>
      <c r="G13537" s="9"/>
      <c r="J13537" s="11"/>
      <c r="U13537" s="9"/>
      <c r="X13537" s="9"/>
    </row>
    <row r="13538">
      <c r="D13538" s="9"/>
      <c r="G13538" s="9"/>
      <c r="J13538" s="11"/>
      <c r="U13538" s="9"/>
      <c r="X13538" s="9"/>
    </row>
    <row r="13539">
      <c r="D13539" s="9"/>
      <c r="G13539" s="9"/>
      <c r="J13539" s="11"/>
      <c r="U13539" s="9"/>
      <c r="X13539" s="9"/>
    </row>
    <row r="13540">
      <c r="D13540" s="9"/>
      <c r="G13540" s="9"/>
      <c r="J13540" s="11"/>
      <c r="U13540" s="9"/>
      <c r="X13540" s="9"/>
    </row>
    <row r="13541">
      <c r="D13541" s="9"/>
      <c r="G13541" s="9"/>
      <c r="J13541" s="11"/>
      <c r="U13541" s="9"/>
      <c r="X13541" s="9"/>
    </row>
    <row r="13542">
      <c r="D13542" s="9"/>
      <c r="G13542" s="9"/>
      <c r="J13542" s="11"/>
      <c r="U13542" s="9"/>
      <c r="X13542" s="9"/>
    </row>
    <row r="13543">
      <c r="D13543" s="9"/>
      <c r="G13543" s="9"/>
      <c r="J13543" s="11"/>
      <c r="U13543" s="9"/>
      <c r="X13543" s="9"/>
    </row>
    <row r="13544">
      <c r="D13544" s="9"/>
      <c r="G13544" s="9"/>
      <c r="J13544" s="11"/>
      <c r="U13544" s="9"/>
      <c r="X13544" s="9"/>
    </row>
    <row r="13545">
      <c r="D13545" s="9"/>
      <c r="G13545" s="9"/>
      <c r="J13545" s="11"/>
      <c r="U13545" s="9"/>
      <c r="X13545" s="9"/>
    </row>
    <row r="13546">
      <c r="D13546" s="9"/>
      <c r="G13546" s="9"/>
      <c r="J13546" s="11"/>
      <c r="U13546" s="9"/>
      <c r="X13546" s="9"/>
    </row>
    <row r="13547">
      <c r="D13547" s="9"/>
      <c r="G13547" s="9"/>
      <c r="J13547" s="11"/>
      <c r="U13547" s="9"/>
      <c r="X13547" s="9"/>
    </row>
    <row r="13548">
      <c r="D13548" s="9"/>
      <c r="G13548" s="9"/>
      <c r="J13548" s="11"/>
      <c r="U13548" s="9"/>
      <c r="X13548" s="9"/>
    </row>
    <row r="13549">
      <c r="D13549" s="9"/>
      <c r="G13549" s="9"/>
      <c r="J13549" s="11"/>
      <c r="U13549" s="9"/>
      <c r="X13549" s="9"/>
    </row>
    <row r="13550">
      <c r="D13550" s="9"/>
      <c r="G13550" s="9"/>
      <c r="J13550" s="11"/>
      <c r="U13550" s="9"/>
      <c r="X13550" s="9"/>
    </row>
    <row r="13551">
      <c r="D13551" s="9"/>
      <c r="G13551" s="9"/>
      <c r="J13551" s="11"/>
      <c r="U13551" s="9"/>
      <c r="X13551" s="9"/>
    </row>
    <row r="13552">
      <c r="D13552" s="9"/>
      <c r="G13552" s="9"/>
      <c r="J13552" s="11"/>
      <c r="U13552" s="9"/>
      <c r="X13552" s="9"/>
    </row>
    <row r="13553">
      <c r="D13553" s="9"/>
      <c r="G13553" s="9"/>
      <c r="J13553" s="11"/>
      <c r="U13553" s="9"/>
      <c r="X13553" s="9"/>
    </row>
    <row r="13554">
      <c r="D13554" s="9"/>
      <c r="G13554" s="9"/>
      <c r="J13554" s="11"/>
      <c r="U13554" s="9"/>
      <c r="X13554" s="9"/>
    </row>
    <row r="13555">
      <c r="D13555" s="9"/>
      <c r="G13555" s="9"/>
      <c r="J13555" s="11"/>
      <c r="U13555" s="9"/>
      <c r="X13555" s="9"/>
    </row>
    <row r="13556">
      <c r="D13556" s="9"/>
      <c r="G13556" s="9"/>
      <c r="J13556" s="11"/>
      <c r="U13556" s="9"/>
      <c r="X13556" s="9"/>
    </row>
    <row r="13557">
      <c r="D13557" s="9"/>
      <c r="G13557" s="9"/>
      <c r="J13557" s="11"/>
      <c r="U13557" s="9"/>
      <c r="X13557" s="9"/>
    </row>
    <row r="13558">
      <c r="D13558" s="9"/>
      <c r="G13558" s="9"/>
      <c r="J13558" s="11"/>
      <c r="U13558" s="9"/>
      <c r="X13558" s="9"/>
    </row>
    <row r="13559">
      <c r="D13559" s="9"/>
      <c r="G13559" s="9"/>
      <c r="J13559" s="11"/>
      <c r="U13559" s="9"/>
      <c r="X13559" s="9"/>
    </row>
    <row r="13560">
      <c r="D13560" s="9"/>
      <c r="G13560" s="9"/>
      <c r="J13560" s="11"/>
      <c r="U13560" s="9"/>
      <c r="X13560" s="9"/>
    </row>
    <row r="13561">
      <c r="D13561" s="9"/>
      <c r="G13561" s="9"/>
      <c r="J13561" s="11"/>
      <c r="U13561" s="9"/>
      <c r="X13561" s="9"/>
    </row>
    <row r="13562">
      <c r="D13562" s="9"/>
      <c r="G13562" s="9"/>
      <c r="J13562" s="11"/>
      <c r="U13562" s="9"/>
      <c r="X13562" s="9"/>
    </row>
    <row r="13563">
      <c r="D13563" s="9"/>
      <c r="G13563" s="9"/>
      <c r="J13563" s="11"/>
      <c r="U13563" s="9"/>
      <c r="X13563" s="9"/>
    </row>
    <row r="13564">
      <c r="D13564" s="9"/>
      <c r="G13564" s="9"/>
      <c r="J13564" s="11"/>
      <c r="U13564" s="9"/>
      <c r="X13564" s="9"/>
    </row>
    <row r="13565">
      <c r="D13565" s="9"/>
      <c r="G13565" s="9"/>
      <c r="J13565" s="11"/>
      <c r="U13565" s="9"/>
      <c r="X13565" s="9"/>
    </row>
    <row r="13566">
      <c r="D13566" s="9"/>
      <c r="G13566" s="9"/>
      <c r="J13566" s="11"/>
      <c r="U13566" s="9"/>
      <c r="X13566" s="9"/>
    </row>
    <row r="13567">
      <c r="D13567" s="9"/>
      <c r="G13567" s="9"/>
      <c r="J13567" s="11"/>
      <c r="U13567" s="9"/>
      <c r="X13567" s="9"/>
    </row>
    <row r="13568">
      <c r="D13568" s="9"/>
      <c r="G13568" s="9"/>
      <c r="J13568" s="11"/>
      <c r="U13568" s="9"/>
      <c r="X13568" s="9"/>
    </row>
    <row r="13569">
      <c r="D13569" s="9"/>
      <c r="G13569" s="9"/>
      <c r="J13569" s="11"/>
      <c r="U13569" s="9"/>
      <c r="X13569" s="9"/>
    </row>
    <row r="13570">
      <c r="D13570" s="9"/>
      <c r="G13570" s="9"/>
      <c r="J13570" s="11"/>
      <c r="U13570" s="9"/>
      <c r="X13570" s="9"/>
    </row>
    <row r="13571">
      <c r="D13571" s="9"/>
      <c r="G13571" s="9"/>
      <c r="J13571" s="11"/>
      <c r="U13571" s="9"/>
      <c r="X13571" s="9"/>
    </row>
    <row r="13572">
      <c r="D13572" s="9"/>
      <c r="G13572" s="9"/>
      <c r="J13572" s="11"/>
      <c r="U13572" s="9"/>
      <c r="X13572" s="9"/>
    </row>
    <row r="13573">
      <c r="D13573" s="9"/>
      <c r="G13573" s="9"/>
      <c r="J13573" s="11"/>
      <c r="U13573" s="9"/>
      <c r="X13573" s="9"/>
    </row>
    <row r="13574">
      <c r="D13574" s="9"/>
      <c r="G13574" s="9"/>
      <c r="J13574" s="11"/>
      <c r="U13574" s="9"/>
      <c r="X13574" s="9"/>
    </row>
    <row r="13575">
      <c r="D13575" s="9"/>
      <c r="G13575" s="9"/>
      <c r="J13575" s="11"/>
      <c r="U13575" s="9"/>
      <c r="X13575" s="9"/>
    </row>
    <row r="13576">
      <c r="D13576" s="9"/>
      <c r="G13576" s="9"/>
      <c r="J13576" s="11"/>
      <c r="U13576" s="9"/>
      <c r="X13576" s="9"/>
    </row>
    <row r="13577">
      <c r="D13577" s="9"/>
      <c r="G13577" s="9"/>
      <c r="J13577" s="11"/>
      <c r="U13577" s="9"/>
      <c r="X13577" s="9"/>
    </row>
    <row r="13578">
      <c r="D13578" s="9"/>
      <c r="G13578" s="9"/>
      <c r="J13578" s="11"/>
      <c r="U13578" s="9"/>
      <c r="X13578" s="9"/>
    </row>
    <row r="13579">
      <c r="D13579" s="9"/>
      <c r="G13579" s="9"/>
      <c r="J13579" s="11"/>
      <c r="U13579" s="9"/>
      <c r="X13579" s="9"/>
    </row>
    <row r="13580">
      <c r="D13580" s="9"/>
      <c r="G13580" s="9"/>
      <c r="J13580" s="11"/>
      <c r="U13580" s="9"/>
      <c r="X13580" s="9"/>
    </row>
    <row r="13581">
      <c r="D13581" s="9"/>
      <c r="G13581" s="9"/>
      <c r="J13581" s="11"/>
      <c r="U13581" s="9"/>
      <c r="X13581" s="9"/>
    </row>
    <row r="13582">
      <c r="D13582" s="9"/>
      <c r="G13582" s="9"/>
      <c r="J13582" s="11"/>
      <c r="U13582" s="9"/>
      <c r="X13582" s="9"/>
    </row>
    <row r="13583">
      <c r="D13583" s="9"/>
      <c r="G13583" s="9"/>
      <c r="J13583" s="11"/>
      <c r="U13583" s="9"/>
      <c r="X13583" s="9"/>
    </row>
    <row r="13584">
      <c r="D13584" s="9"/>
      <c r="G13584" s="9"/>
      <c r="J13584" s="11"/>
      <c r="U13584" s="9"/>
      <c r="X13584" s="9"/>
    </row>
    <row r="13585">
      <c r="D13585" s="9"/>
      <c r="G13585" s="9"/>
      <c r="J13585" s="11"/>
      <c r="U13585" s="9"/>
      <c r="X13585" s="9"/>
    </row>
    <row r="13586">
      <c r="D13586" s="9"/>
      <c r="G13586" s="9"/>
      <c r="J13586" s="11"/>
      <c r="U13586" s="9"/>
      <c r="X13586" s="9"/>
    </row>
    <row r="13587">
      <c r="D13587" s="9"/>
      <c r="G13587" s="9"/>
      <c r="J13587" s="11"/>
      <c r="U13587" s="9"/>
      <c r="X13587" s="9"/>
    </row>
    <row r="13588">
      <c r="D13588" s="9"/>
      <c r="G13588" s="9"/>
      <c r="J13588" s="11"/>
      <c r="U13588" s="9"/>
      <c r="X13588" s="9"/>
    </row>
    <row r="13589">
      <c r="D13589" s="9"/>
      <c r="G13589" s="9"/>
      <c r="J13589" s="11"/>
      <c r="U13589" s="9"/>
      <c r="X13589" s="9"/>
    </row>
    <row r="13590">
      <c r="D13590" s="9"/>
      <c r="G13590" s="9"/>
      <c r="J13590" s="11"/>
      <c r="U13590" s="9"/>
      <c r="X13590" s="9"/>
    </row>
    <row r="13591">
      <c r="D13591" s="9"/>
      <c r="G13591" s="9"/>
      <c r="J13591" s="11"/>
      <c r="U13591" s="9"/>
      <c r="X13591" s="9"/>
    </row>
    <row r="13592">
      <c r="D13592" s="9"/>
      <c r="G13592" s="9"/>
      <c r="J13592" s="11"/>
      <c r="U13592" s="9"/>
      <c r="X13592" s="9"/>
    </row>
    <row r="13593">
      <c r="D13593" s="9"/>
      <c r="G13593" s="9"/>
      <c r="J13593" s="11"/>
      <c r="U13593" s="9"/>
      <c r="X13593" s="9"/>
    </row>
    <row r="13594">
      <c r="D13594" s="9"/>
      <c r="G13594" s="9"/>
      <c r="J13594" s="11"/>
      <c r="U13594" s="9"/>
      <c r="X13594" s="9"/>
    </row>
    <row r="13595">
      <c r="D13595" s="9"/>
      <c r="G13595" s="9"/>
      <c r="J13595" s="11"/>
      <c r="U13595" s="9"/>
      <c r="X13595" s="9"/>
    </row>
    <row r="13596">
      <c r="D13596" s="9"/>
      <c r="G13596" s="9"/>
      <c r="J13596" s="11"/>
      <c r="U13596" s="9"/>
      <c r="X13596" s="9"/>
    </row>
    <row r="13597">
      <c r="D13597" s="9"/>
      <c r="G13597" s="9"/>
      <c r="J13597" s="11"/>
      <c r="U13597" s="9"/>
      <c r="X13597" s="9"/>
    </row>
    <row r="13598">
      <c r="D13598" s="9"/>
      <c r="G13598" s="9"/>
      <c r="J13598" s="11"/>
      <c r="U13598" s="9"/>
      <c r="X13598" s="9"/>
    </row>
    <row r="13599">
      <c r="D13599" s="9"/>
      <c r="G13599" s="9"/>
      <c r="J13599" s="11"/>
      <c r="U13599" s="9"/>
      <c r="X13599" s="9"/>
    </row>
    <row r="13600">
      <c r="D13600" s="9"/>
      <c r="G13600" s="9"/>
      <c r="J13600" s="11"/>
      <c r="U13600" s="9"/>
      <c r="X13600" s="9"/>
    </row>
    <row r="13601">
      <c r="D13601" s="9"/>
      <c r="G13601" s="9"/>
      <c r="J13601" s="11"/>
      <c r="U13601" s="9"/>
      <c r="X13601" s="9"/>
    </row>
    <row r="13602">
      <c r="D13602" s="9"/>
      <c r="G13602" s="9"/>
      <c r="J13602" s="11"/>
      <c r="U13602" s="9"/>
      <c r="X13602" s="9"/>
    </row>
    <row r="13603">
      <c r="D13603" s="9"/>
      <c r="G13603" s="9"/>
      <c r="J13603" s="11"/>
      <c r="U13603" s="9"/>
      <c r="X13603" s="9"/>
    </row>
    <row r="13604">
      <c r="D13604" s="9"/>
      <c r="G13604" s="9"/>
      <c r="J13604" s="11"/>
      <c r="U13604" s="9"/>
      <c r="X13604" s="9"/>
    </row>
    <row r="13605">
      <c r="D13605" s="9"/>
      <c r="G13605" s="9"/>
      <c r="J13605" s="11"/>
      <c r="U13605" s="9"/>
      <c r="X13605" s="9"/>
    </row>
    <row r="13606">
      <c r="D13606" s="9"/>
      <c r="G13606" s="9"/>
      <c r="J13606" s="11"/>
      <c r="U13606" s="9"/>
      <c r="X13606" s="9"/>
    </row>
    <row r="13607">
      <c r="D13607" s="9"/>
      <c r="G13607" s="9"/>
      <c r="J13607" s="11"/>
      <c r="U13607" s="9"/>
      <c r="X13607" s="9"/>
    </row>
    <row r="13608">
      <c r="D13608" s="9"/>
      <c r="G13608" s="9"/>
      <c r="J13608" s="11"/>
      <c r="U13608" s="9"/>
      <c r="X13608" s="9"/>
    </row>
    <row r="13609">
      <c r="D13609" s="9"/>
      <c r="G13609" s="9"/>
      <c r="J13609" s="11"/>
      <c r="U13609" s="9"/>
      <c r="X13609" s="9"/>
    </row>
    <row r="13610">
      <c r="D13610" s="9"/>
      <c r="G13610" s="9"/>
      <c r="J13610" s="11"/>
      <c r="U13610" s="9"/>
      <c r="X13610" s="9"/>
    </row>
    <row r="13611">
      <c r="D13611" s="9"/>
      <c r="G13611" s="9"/>
      <c r="J13611" s="11"/>
      <c r="U13611" s="9"/>
      <c r="X13611" s="9"/>
    </row>
    <row r="13612">
      <c r="D13612" s="9"/>
      <c r="G13612" s="9"/>
      <c r="J13612" s="11"/>
      <c r="U13612" s="9"/>
      <c r="X13612" s="9"/>
    </row>
    <row r="13613">
      <c r="D13613" s="9"/>
      <c r="G13613" s="9"/>
      <c r="J13613" s="11"/>
      <c r="U13613" s="9"/>
      <c r="X13613" s="9"/>
    </row>
    <row r="13614">
      <c r="D13614" s="9"/>
      <c r="G13614" s="9"/>
      <c r="J13614" s="11"/>
      <c r="U13614" s="9"/>
      <c r="X13614" s="9"/>
    </row>
    <row r="13615">
      <c r="D13615" s="9"/>
      <c r="G13615" s="9"/>
      <c r="J13615" s="11"/>
      <c r="U13615" s="9"/>
      <c r="X13615" s="9"/>
    </row>
    <row r="13616">
      <c r="D13616" s="9"/>
      <c r="G13616" s="9"/>
      <c r="J13616" s="11"/>
      <c r="U13616" s="9"/>
      <c r="X13616" s="9"/>
    </row>
    <row r="13617">
      <c r="D13617" s="9"/>
      <c r="G13617" s="9"/>
      <c r="J13617" s="11"/>
      <c r="U13617" s="9"/>
      <c r="X13617" s="9"/>
    </row>
    <row r="13618">
      <c r="D13618" s="9"/>
      <c r="G13618" s="9"/>
      <c r="J13618" s="11"/>
      <c r="U13618" s="9"/>
      <c r="X13618" s="9"/>
    </row>
    <row r="13619">
      <c r="D13619" s="9"/>
      <c r="G13619" s="9"/>
      <c r="J13619" s="11"/>
      <c r="U13619" s="9"/>
      <c r="X13619" s="9"/>
    </row>
    <row r="13620">
      <c r="D13620" s="9"/>
      <c r="G13620" s="9"/>
      <c r="J13620" s="11"/>
      <c r="U13620" s="9"/>
      <c r="X13620" s="9"/>
    </row>
    <row r="13621">
      <c r="D13621" s="9"/>
      <c r="G13621" s="9"/>
      <c r="J13621" s="11"/>
      <c r="U13621" s="9"/>
      <c r="X13621" s="9"/>
    </row>
    <row r="13622">
      <c r="D13622" s="9"/>
      <c r="G13622" s="9"/>
      <c r="J13622" s="11"/>
      <c r="U13622" s="9"/>
      <c r="X13622" s="9"/>
    </row>
    <row r="13623">
      <c r="D13623" s="9"/>
      <c r="G13623" s="9"/>
      <c r="J13623" s="11"/>
      <c r="U13623" s="9"/>
      <c r="X13623" s="9"/>
    </row>
    <row r="13624">
      <c r="D13624" s="9"/>
      <c r="G13624" s="9"/>
      <c r="J13624" s="11"/>
      <c r="U13624" s="9"/>
      <c r="X13624" s="9"/>
    </row>
    <row r="13625">
      <c r="D13625" s="9"/>
      <c r="G13625" s="9"/>
      <c r="J13625" s="11"/>
      <c r="U13625" s="9"/>
      <c r="X13625" s="9"/>
    </row>
    <row r="13626">
      <c r="D13626" s="9"/>
      <c r="G13626" s="9"/>
      <c r="J13626" s="11"/>
      <c r="U13626" s="9"/>
      <c r="X13626" s="9"/>
    </row>
    <row r="13627">
      <c r="D13627" s="9"/>
      <c r="G13627" s="9"/>
      <c r="J13627" s="11"/>
      <c r="U13627" s="9"/>
      <c r="X13627" s="9"/>
    </row>
    <row r="13628">
      <c r="D13628" s="9"/>
      <c r="G13628" s="9"/>
      <c r="J13628" s="11"/>
      <c r="U13628" s="9"/>
      <c r="X13628" s="9"/>
    </row>
    <row r="13629">
      <c r="D13629" s="9"/>
      <c r="G13629" s="9"/>
      <c r="J13629" s="11"/>
      <c r="U13629" s="9"/>
      <c r="X13629" s="9"/>
    </row>
    <row r="13630">
      <c r="D13630" s="9"/>
      <c r="G13630" s="9"/>
      <c r="J13630" s="11"/>
      <c r="U13630" s="9"/>
      <c r="X13630" s="9"/>
    </row>
    <row r="13631">
      <c r="D13631" s="9"/>
      <c r="G13631" s="9"/>
      <c r="J13631" s="11"/>
      <c r="U13631" s="9"/>
      <c r="X13631" s="9"/>
    </row>
    <row r="13632">
      <c r="D13632" s="9"/>
      <c r="G13632" s="9"/>
      <c r="J13632" s="11"/>
      <c r="U13632" s="9"/>
      <c r="X13632" s="9"/>
    </row>
    <row r="13633">
      <c r="D13633" s="9"/>
      <c r="G13633" s="9"/>
      <c r="J13633" s="11"/>
      <c r="U13633" s="9"/>
      <c r="X13633" s="9"/>
    </row>
    <row r="13634">
      <c r="D13634" s="9"/>
      <c r="G13634" s="9"/>
      <c r="J13634" s="11"/>
      <c r="U13634" s="9"/>
      <c r="X13634" s="9"/>
    </row>
    <row r="13635">
      <c r="D13635" s="9"/>
      <c r="G13635" s="9"/>
      <c r="J13635" s="11"/>
      <c r="U13635" s="9"/>
      <c r="X13635" s="9"/>
    </row>
    <row r="13636">
      <c r="D13636" s="9"/>
      <c r="G13636" s="9"/>
      <c r="J13636" s="11"/>
      <c r="U13636" s="9"/>
      <c r="X13636" s="9"/>
    </row>
    <row r="13637">
      <c r="D13637" s="9"/>
      <c r="G13637" s="9"/>
      <c r="J13637" s="11"/>
      <c r="U13637" s="9"/>
      <c r="X13637" s="9"/>
    </row>
    <row r="13638">
      <c r="D13638" s="9"/>
      <c r="G13638" s="9"/>
      <c r="J13638" s="11"/>
      <c r="U13638" s="9"/>
      <c r="X13638" s="9"/>
    </row>
    <row r="13639">
      <c r="D13639" s="9"/>
      <c r="G13639" s="9"/>
      <c r="J13639" s="11"/>
      <c r="U13639" s="9"/>
      <c r="X13639" s="9"/>
    </row>
    <row r="13640">
      <c r="D13640" s="9"/>
      <c r="G13640" s="9"/>
      <c r="J13640" s="11"/>
      <c r="U13640" s="9"/>
      <c r="X13640" s="9"/>
    </row>
    <row r="13641">
      <c r="D13641" s="9"/>
      <c r="G13641" s="9"/>
      <c r="J13641" s="11"/>
      <c r="U13641" s="9"/>
      <c r="X13641" s="9"/>
    </row>
    <row r="13642">
      <c r="D13642" s="9"/>
      <c r="G13642" s="9"/>
      <c r="J13642" s="11"/>
      <c r="U13642" s="9"/>
      <c r="X13642" s="9"/>
    </row>
    <row r="13643">
      <c r="D13643" s="9"/>
      <c r="G13643" s="9"/>
      <c r="J13643" s="11"/>
      <c r="U13643" s="9"/>
      <c r="X13643" s="9"/>
    </row>
    <row r="13644">
      <c r="D13644" s="9"/>
      <c r="G13644" s="9"/>
      <c r="J13644" s="11"/>
      <c r="U13644" s="9"/>
      <c r="X13644" s="9"/>
    </row>
    <row r="13645">
      <c r="D13645" s="9"/>
      <c r="G13645" s="9"/>
      <c r="J13645" s="11"/>
      <c r="U13645" s="9"/>
      <c r="X13645" s="9"/>
    </row>
    <row r="13646">
      <c r="D13646" s="9"/>
      <c r="G13646" s="9"/>
      <c r="J13646" s="11"/>
      <c r="U13646" s="9"/>
      <c r="X13646" s="9"/>
    </row>
    <row r="13647">
      <c r="D13647" s="9"/>
      <c r="G13647" s="9"/>
      <c r="J13647" s="11"/>
      <c r="U13647" s="9"/>
      <c r="X13647" s="9"/>
    </row>
    <row r="13648">
      <c r="D13648" s="9"/>
      <c r="G13648" s="9"/>
      <c r="J13648" s="11"/>
      <c r="U13648" s="9"/>
      <c r="X13648" s="9"/>
    </row>
    <row r="13649">
      <c r="D13649" s="9"/>
      <c r="G13649" s="9"/>
      <c r="J13649" s="11"/>
      <c r="U13649" s="9"/>
      <c r="X13649" s="9"/>
    </row>
    <row r="13650">
      <c r="D13650" s="9"/>
      <c r="G13650" s="9"/>
      <c r="J13650" s="11"/>
      <c r="U13650" s="9"/>
      <c r="X13650" s="9"/>
    </row>
    <row r="13651">
      <c r="D13651" s="9"/>
      <c r="G13651" s="9"/>
      <c r="J13651" s="11"/>
      <c r="U13651" s="9"/>
      <c r="X13651" s="9"/>
    </row>
    <row r="13652">
      <c r="D13652" s="9"/>
      <c r="G13652" s="9"/>
      <c r="J13652" s="11"/>
      <c r="U13652" s="9"/>
      <c r="X13652" s="9"/>
    </row>
    <row r="13653">
      <c r="D13653" s="9"/>
      <c r="G13653" s="9"/>
      <c r="J13653" s="11"/>
      <c r="U13653" s="9"/>
      <c r="X13653" s="9"/>
    </row>
    <row r="13654">
      <c r="D13654" s="9"/>
      <c r="G13654" s="9"/>
      <c r="J13654" s="11"/>
      <c r="U13654" s="9"/>
      <c r="X13654" s="9"/>
    </row>
    <row r="13655">
      <c r="D13655" s="9"/>
      <c r="G13655" s="9"/>
      <c r="J13655" s="11"/>
      <c r="U13655" s="9"/>
      <c r="X13655" s="9"/>
    </row>
    <row r="13656">
      <c r="D13656" s="9"/>
      <c r="G13656" s="9"/>
      <c r="J13656" s="11"/>
      <c r="U13656" s="9"/>
      <c r="X13656" s="9"/>
    </row>
    <row r="13657">
      <c r="D13657" s="9"/>
      <c r="G13657" s="9"/>
      <c r="J13657" s="11"/>
      <c r="U13657" s="9"/>
      <c r="X13657" s="9"/>
    </row>
    <row r="13658">
      <c r="D13658" s="9"/>
      <c r="G13658" s="9"/>
      <c r="J13658" s="11"/>
      <c r="U13658" s="9"/>
      <c r="X13658" s="9"/>
    </row>
    <row r="13659">
      <c r="D13659" s="9"/>
      <c r="G13659" s="9"/>
      <c r="J13659" s="11"/>
      <c r="U13659" s="9"/>
      <c r="X13659" s="9"/>
    </row>
    <row r="13660">
      <c r="D13660" s="9"/>
      <c r="G13660" s="9"/>
      <c r="J13660" s="11"/>
      <c r="U13660" s="9"/>
      <c r="X13660" s="9"/>
    </row>
    <row r="13661">
      <c r="D13661" s="9"/>
      <c r="G13661" s="9"/>
      <c r="J13661" s="11"/>
      <c r="U13661" s="9"/>
      <c r="X13661" s="9"/>
    </row>
    <row r="13662">
      <c r="D13662" s="9"/>
      <c r="G13662" s="9"/>
      <c r="J13662" s="11"/>
      <c r="U13662" s="9"/>
      <c r="X13662" s="9"/>
    </row>
    <row r="13663">
      <c r="D13663" s="9"/>
      <c r="G13663" s="9"/>
      <c r="J13663" s="11"/>
      <c r="U13663" s="9"/>
      <c r="X13663" s="9"/>
    </row>
    <row r="13664">
      <c r="D13664" s="9"/>
      <c r="G13664" s="9"/>
      <c r="J13664" s="11"/>
      <c r="U13664" s="9"/>
      <c r="X13664" s="9"/>
    </row>
    <row r="13665">
      <c r="D13665" s="9"/>
      <c r="G13665" s="9"/>
      <c r="J13665" s="11"/>
      <c r="U13665" s="9"/>
      <c r="X13665" s="9"/>
    </row>
    <row r="13666">
      <c r="D13666" s="9"/>
      <c r="G13666" s="9"/>
      <c r="J13666" s="11"/>
      <c r="U13666" s="9"/>
      <c r="X13666" s="9"/>
    </row>
    <row r="13667">
      <c r="D13667" s="9"/>
      <c r="G13667" s="9"/>
      <c r="J13667" s="11"/>
      <c r="U13667" s="9"/>
      <c r="X13667" s="9"/>
    </row>
    <row r="13668">
      <c r="D13668" s="9"/>
      <c r="G13668" s="9"/>
      <c r="J13668" s="11"/>
      <c r="U13668" s="9"/>
      <c r="X13668" s="9"/>
    </row>
    <row r="13669">
      <c r="D13669" s="9"/>
      <c r="G13669" s="9"/>
      <c r="J13669" s="11"/>
      <c r="U13669" s="9"/>
      <c r="X13669" s="9"/>
    </row>
    <row r="13670">
      <c r="D13670" s="9"/>
      <c r="G13670" s="9"/>
      <c r="J13670" s="11"/>
      <c r="U13670" s="9"/>
      <c r="X13670" s="9"/>
    </row>
    <row r="13671">
      <c r="D13671" s="9"/>
      <c r="G13671" s="9"/>
      <c r="J13671" s="11"/>
      <c r="U13671" s="9"/>
      <c r="X13671" s="9"/>
    </row>
    <row r="13672">
      <c r="D13672" s="9"/>
      <c r="G13672" s="9"/>
      <c r="J13672" s="11"/>
      <c r="U13672" s="9"/>
      <c r="X13672" s="9"/>
    </row>
    <row r="13673">
      <c r="D13673" s="9"/>
      <c r="G13673" s="9"/>
      <c r="J13673" s="11"/>
      <c r="U13673" s="9"/>
      <c r="X13673" s="9"/>
    </row>
    <row r="13674">
      <c r="D13674" s="9"/>
      <c r="G13674" s="9"/>
      <c r="J13674" s="11"/>
      <c r="U13674" s="9"/>
      <c r="X13674" s="9"/>
    </row>
    <row r="13675">
      <c r="D13675" s="9"/>
      <c r="G13675" s="9"/>
      <c r="J13675" s="11"/>
      <c r="U13675" s="9"/>
      <c r="X13675" s="9"/>
    </row>
    <row r="13676">
      <c r="D13676" s="9"/>
      <c r="G13676" s="9"/>
      <c r="J13676" s="11"/>
      <c r="U13676" s="9"/>
      <c r="X13676" s="9"/>
    </row>
    <row r="13677">
      <c r="D13677" s="9"/>
      <c r="G13677" s="9"/>
      <c r="J13677" s="11"/>
      <c r="U13677" s="9"/>
      <c r="X13677" s="9"/>
    </row>
    <row r="13678">
      <c r="D13678" s="9"/>
      <c r="G13678" s="9"/>
      <c r="J13678" s="11"/>
      <c r="U13678" s="9"/>
      <c r="X13678" s="9"/>
    </row>
    <row r="13679">
      <c r="D13679" s="9"/>
      <c r="G13679" s="9"/>
      <c r="J13679" s="11"/>
      <c r="U13679" s="9"/>
      <c r="X13679" s="9"/>
    </row>
    <row r="13680">
      <c r="D13680" s="9"/>
      <c r="G13680" s="9"/>
      <c r="J13680" s="11"/>
      <c r="U13680" s="9"/>
      <c r="X13680" s="9"/>
    </row>
    <row r="13681">
      <c r="D13681" s="9"/>
      <c r="G13681" s="9"/>
      <c r="J13681" s="11"/>
      <c r="U13681" s="9"/>
      <c r="X13681" s="9"/>
    </row>
    <row r="13682">
      <c r="D13682" s="9"/>
      <c r="G13682" s="9"/>
      <c r="J13682" s="11"/>
      <c r="U13682" s="9"/>
      <c r="X13682" s="9"/>
    </row>
    <row r="13683">
      <c r="D13683" s="9"/>
      <c r="G13683" s="9"/>
      <c r="J13683" s="11"/>
      <c r="U13683" s="9"/>
      <c r="X13683" s="9"/>
    </row>
    <row r="13684">
      <c r="D13684" s="9"/>
      <c r="G13684" s="9"/>
      <c r="J13684" s="11"/>
      <c r="U13684" s="9"/>
      <c r="X13684" s="9"/>
    </row>
    <row r="13685">
      <c r="D13685" s="9"/>
      <c r="G13685" s="9"/>
      <c r="J13685" s="11"/>
      <c r="U13685" s="9"/>
      <c r="X13685" s="9"/>
    </row>
    <row r="13686">
      <c r="D13686" s="9"/>
      <c r="G13686" s="9"/>
      <c r="J13686" s="11"/>
      <c r="U13686" s="9"/>
      <c r="X13686" s="9"/>
    </row>
    <row r="13687">
      <c r="D13687" s="9"/>
      <c r="G13687" s="9"/>
      <c r="J13687" s="11"/>
      <c r="U13687" s="9"/>
      <c r="X13687" s="9"/>
    </row>
    <row r="13688">
      <c r="D13688" s="9"/>
      <c r="G13688" s="9"/>
      <c r="J13688" s="11"/>
      <c r="U13688" s="9"/>
      <c r="X13688" s="9"/>
    </row>
    <row r="13689">
      <c r="D13689" s="9"/>
      <c r="G13689" s="9"/>
      <c r="J13689" s="11"/>
      <c r="U13689" s="9"/>
      <c r="X13689" s="9"/>
    </row>
    <row r="13690">
      <c r="D13690" s="9"/>
      <c r="G13690" s="9"/>
      <c r="J13690" s="11"/>
      <c r="U13690" s="9"/>
      <c r="X13690" s="9"/>
    </row>
    <row r="13691">
      <c r="D13691" s="9"/>
      <c r="G13691" s="9"/>
      <c r="J13691" s="11"/>
      <c r="U13691" s="9"/>
      <c r="X13691" s="9"/>
    </row>
    <row r="13692">
      <c r="D13692" s="9"/>
      <c r="G13692" s="9"/>
      <c r="J13692" s="11"/>
      <c r="U13692" s="9"/>
      <c r="X13692" s="9"/>
    </row>
    <row r="13693">
      <c r="D13693" s="9"/>
      <c r="G13693" s="9"/>
      <c r="J13693" s="11"/>
      <c r="U13693" s="9"/>
      <c r="X13693" s="9"/>
    </row>
    <row r="13694">
      <c r="D13694" s="9"/>
      <c r="G13694" s="9"/>
      <c r="J13694" s="11"/>
      <c r="U13694" s="9"/>
      <c r="X13694" s="9"/>
    </row>
    <row r="13695">
      <c r="D13695" s="9"/>
      <c r="G13695" s="9"/>
      <c r="J13695" s="11"/>
      <c r="U13695" s="9"/>
      <c r="X13695" s="9"/>
    </row>
    <row r="13696">
      <c r="D13696" s="9"/>
      <c r="G13696" s="9"/>
      <c r="J13696" s="11"/>
      <c r="U13696" s="9"/>
      <c r="X13696" s="9"/>
    </row>
    <row r="13697">
      <c r="D13697" s="9"/>
      <c r="G13697" s="9"/>
      <c r="J13697" s="11"/>
      <c r="U13697" s="9"/>
      <c r="X13697" s="9"/>
    </row>
    <row r="13698">
      <c r="D13698" s="9"/>
      <c r="G13698" s="9"/>
      <c r="J13698" s="11"/>
      <c r="U13698" s="9"/>
      <c r="X13698" s="9"/>
    </row>
    <row r="13699">
      <c r="D13699" s="9"/>
      <c r="G13699" s="9"/>
      <c r="J13699" s="11"/>
      <c r="U13699" s="9"/>
      <c r="X13699" s="9"/>
    </row>
    <row r="13700">
      <c r="D13700" s="9"/>
      <c r="G13700" s="9"/>
      <c r="J13700" s="11"/>
      <c r="U13700" s="9"/>
      <c r="X13700" s="9"/>
    </row>
    <row r="13701">
      <c r="D13701" s="9"/>
      <c r="G13701" s="9"/>
      <c r="J13701" s="11"/>
      <c r="U13701" s="9"/>
      <c r="X13701" s="9"/>
    </row>
    <row r="13702">
      <c r="D13702" s="9"/>
      <c r="G13702" s="9"/>
      <c r="J13702" s="11"/>
      <c r="U13702" s="9"/>
      <c r="X13702" s="9"/>
    </row>
    <row r="13703">
      <c r="D13703" s="9"/>
      <c r="G13703" s="9"/>
      <c r="J13703" s="11"/>
      <c r="U13703" s="9"/>
      <c r="X13703" s="9"/>
    </row>
    <row r="13704">
      <c r="D13704" s="9"/>
      <c r="G13704" s="9"/>
      <c r="J13704" s="11"/>
      <c r="U13704" s="9"/>
      <c r="X13704" s="9"/>
    </row>
    <row r="13705">
      <c r="D13705" s="9"/>
      <c r="G13705" s="9"/>
      <c r="J13705" s="11"/>
      <c r="U13705" s="9"/>
      <c r="X13705" s="9"/>
    </row>
    <row r="13706">
      <c r="D13706" s="9"/>
      <c r="G13706" s="9"/>
      <c r="J13706" s="11"/>
      <c r="U13706" s="9"/>
      <c r="X13706" s="9"/>
    </row>
    <row r="13707">
      <c r="D13707" s="9"/>
      <c r="G13707" s="9"/>
      <c r="J13707" s="11"/>
      <c r="U13707" s="9"/>
      <c r="X13707" s="9"/>
    </row>
    <row r="13708">
      <c r="D13708" s="9"/>
      <c r="G13708" s="9"/>
      <c r="J13708" s="11"/>
      <c r="U13708" s="9"/>
      <c r="X13708" s="9"/>
    </row>
    <row r="13709">
      <c r="D13709" s="9"/>
      <c r="G13709" s="9"/>
      <c r="J13709" s="11"/>
      <c r="U13709" s="9"/>
      <c r="X13709" s="9"/>
    </row>
    <row r="13710">
      <c r="D13710" s="9"/>
      <c r="G13710" s="9"/>
      <c r="J13710" s="11"/>
      <c r="U13710" s="9"/>
      <c r="X13710" s="9"/>
    </row>
    <row r="13711">
      <c r="D13711" s="9"/>
      <c r="G13711" s="9"/>
      <c r="J13711" s="11"/>
      <c r="U13711" s="9"/>
      <c r="X13711" s="9"/>
    </row>
    <row r="13712">
      <c r="D13712" s="9"/>
      <c r="G13712" s="9"/>
      <c r="J13712" s="11"/>
      <c r="U13712" s="9"/>
      <c r="X13712" s="9"/>
    </row>
    <row r="13713">
      <c r="D13713" s="9"/>
      <c r="G13713" s="9"/>
      <c r="J13713" s="11"/>
      <c r="U13713" s="9"/>
      <c r="X13713" s="9"/>
    </row>
    <row r="13714">
      <c r="D13714" s="9"/>
      <c r="G13714" s="9"/>
      <c r="J13714" s="11"/>
      <c r="U13714" s="9"/>
      <c r="X13714" s="9"/>
    </row>
    <row r="13715">
      <c r="D13715" s="9"/>
      <c r="G13715" s="9"/>
      <c r="J13715" s="11"/>
      <c r="U13715" s="9"/>
      <c r="X13715" s="9"/>
    </row>
    <row r="13716">
      <c r="D13716" s="9"/>
      <c r="G13716" s="9"/>
      <c r="J13716" s="11"/>
      <c r="U13716" s="9"/>
      <c r="X13716" s="9"/>
    </row>
    <row r="13717">
      <c r="D13717" s="9"/>
      <c r="G13717" s="9"/>
      <c r="J13717" s="11"/>
      <c r="U13717" s="9"/>
      <c r="X13717" s="9"/>
    </row>
    <row r="13718">
      <c r="D13718" s="9"/>
      <c r="G13718" s="9"/>
      <c r="J13718" s="11"/>
      <c r="U13718" s="9"/>
      <c r="X13718" s="9"/>
    </row>
    <row r="13719">
      <c r="D13719" s="9"/>
      <c r="G13719" s="9"/>
      <c r="J13719" s="11"/>
      <c r="U13719" s="9"/>
      <c r="X13719" s="9"/>
    </row>
    <row r="13720">
      <c r="D13720" s="9"/>
      <c r="G13720" s="9"/>
      <c r="J13720" s="11"/>
      <c r="U13720" s="9"/>
      <c r="X13720" s="9"/>
    </row>
    <row r="13721">
      <c r="D13721" s="9"/>
      <c r="G13721" s="9"/>
      <c r="J13721" s="11"/>
      <c r="U13721" s="9"/>
      <c r="X13721" s="9"/>
    </row>
    <row r="13722">
      <c r="D13722" s="9"/>
      <c r="G13722" s="9"/>
      <c r="J13722" s="11"/>
      <c r="U13722" s="9"/>
      <c r="X13722" s="9"/>
    </row>
    <row r="13723">
      <c r="D13723" s="9"/>
      <c r="G13723" s="9"/>
      <c r="J13723" s="11"/>
      <c r="U13723" s="9"/>
      <c r="X13723" s="9"/>
    </row>
    <row r="13724">
      <c r="D13724" s="9"/>
      <c r="G13724" s="9"/>
      <c r="J13724" s="11"/>
      <c r="U13724" s="9"/>
      <c r="X13724" s="9"/>
    </row>
    <row r="13725">
      <c r="D13725" s="9"/>
      <c r="G13725" s="9"/>
      <c r="J13725" s="11"/>
      <c r="U13725" s="9"/>
      <c r="X13725" s="9"/>
    </row>
    <row r="13726">
      <c r="D13726" s="9"/>
      <c r="G13726" s="9"/>
      <c r="J13726" s="11"/>
      <c r="U13726" s="9"/>
      <c r="X13726" s="9"/>
    </row>
    <row r="13727">
      <c r="D13727" s="9"/>
      <c r="G13727" s="9"/>
      <c r="J13727" s="11"/>
      <c r="U13727" s="9"/>
      <c r="X13727" s="9"/>
    </row>
    <row r="13728">
      <c r="D13728" s="9"/>
      <c r="G13728" s="9"/>
      <c r="J13728" s="11"/>
      <c r="U13728" s="9"/>
      <c r="X13728" s="9"/>
    </row>
    <row r="13729">
      <c r="D13729" s="9"/>
      <c r="G13729" s="9"/>
      <c r="J13729" s="11"/>
      <c r="U13729" s="9"/>
      <c r="X13729" s="9"/>
    </row>
    <row r="13730">
      <c r="D13730" s="9"/>
      <c r="G13730" s="9"/>
      <c r="J13730" s="11"/>
      <c r="U13730" s="9"/>
      <c r="X13730" s="9"/>
    </row>
    <row r="13731">
      <c r="D13731" s="9"/>
      <c r="G13731" s="9"/>
      <c r="J13731" s="11"/>
      <c r="U13731" s="9"/>
      <c r="X13731" s="9"/>
    </row>
    <row r="13732">
      <c r="D13732" s="9"/>
      <c r="G13732" s="9"/>
      <c r="J13732" s="11"/>
      <c r="U13732" s="9"/>
      <c r="X13732" s="9"/>
    </row>
    <row r="13733">
      <c r="D13733" s="9"/>
      <c r="G13733" s="9"/>
      <c r="J13733" s="11"/>
      <c r="U13733" s="9"/>
      <c r="X13733" s="9"/>
    </row>
    <row r="13734">
      <c r="D13734" s="9"/>
      <c r="G13734" s="9"/>
      <c r="J13734" s="11"/>
      <c r="U13734" s="9"/>
      <c r="X13734" s="9"/>
    </row>
    <row r="13735">
      <c r="D13735" s="9"/>
      <c r="G13735" s="9"/>
      <c r="J13735" s="11"/>
      <c r="U13735" s="9"/>
      <c r="X13735" s="9"/>
    </row>
    <row r="13736">
      <c r="D13736" s="9"/>
      <c r="G13736" s="9"/>
      <c r="J13736" s="11"/>
      <c r="U13736" s="9"/>
      <c r="X13736" s="9"/>
    </row>
    <row r="13737">
      <c r="D13737" s="9"/>
      <c r="G13737" s="9"/>
      <c r="J13737" s="11"/>
      <c r="U13737" s="9"/>
      <c r="X13737" s="9"/>
    </row>
    <row r="13738">
      <c r="D13738" s="9"/>
      <c r="G13738" s="9"/>
      <c r="J13738" s="11"/>
      <c r="U13738" s="9"/>
      <c r="X13738" s="9"/>
    </row>
    <row r="13739">
      <c r="D13739" s="9"/>
      <c r="G13739" s="9"/>
      <c r="J13739" s="11"/>
      <c r="U13739" s="9"/>
      <c r="X13739" s="9"/>
    </row>
    <row r="13740">
      <c r="D13740" s="9"/>
      <c r="G13740" s="9"/>
      <c r="J13740" s="11"/>
      <c r="U13740" s="9"/>
      <c r="X13740" s="9"/>
    </row>
    <row r="13741">
      <c r="D13741" s="9"/>
      <c r="G13741" s="9"/>
      <c r="J13741" s="11"/>
      <c r="U13741" s="9"/>
      <c r="X13741" s="9"/>
    </row>
    <row r="13742">
      <c r="D13742" s="9"/>
      <c r="G13742" s="9"/>
      <c r="J13742" s="11"/>
      <c r="U13742" s="9"/>
      <c r="X13742" s="9"/>
    </row>
    <row r="13743">
      <c r="D13743" s="9"/>
      <c r="G13743" s="9"/>
      <c r="J13743" s="11"/>
      <c r="U13743" s="9"/>
      <c r="X13743" s="9"/>
    </row>
    <row r="13744">
      <c r="D13744" s="9"/>
      <c r="G13744" s="9"/>
      <c r="J13744" s="11"/>
      <c r="U13744" s="9"/>
      <c r="X13744" s="9"/>
    </row>
    <row r="13745">
      <c r="D13745" s="9"/>
      <c r="G13745" s="9"/>
      <c r="J13745" s="11"/>
      <c r="U13745" s="9"/>
      <c r="X13745" s="9"/>
    </row>
    <row r="13746">
      <c r="D13746" s="9"/>
      <c r="G13746" s="9"/>
      <c r="J13746" s="11"/>
      <c r="U13746" s="9"/>
      <c r="X13746" s="9"/>
    </row>
    <row r="13747">
      <c r="D13747" s="9"/>
      <c r="G13747" s="9"/>
      <c r="J13747" s="11"/>
      <c r="U13747" s="9"/>
      <c r="X13747" s="9"/>
    </row>
    <row r="13748">
      <c r="D13748" s="9"/>
      <c r="G13748" s="9"/>
      <c r="J13748" s="11"/>
      <c r="U13748" s="9"/>
      <c r="X13748" s="9"/>
    </row>
    <row r="13749">
      <c r="D13749" s="9"/>
      <c r="G13749" s="9"/>
      <c r="J13749" s="11"/>
      <c r="U13749" s="9"/>
      <c r="X13749" s="9"/>
    </row>
    <row r="13750">
      <c r="D13750" s="9"/>
      <c r="G13750" s="9"/>
      <c r="J13750" s="11"/>
      <c r="U13750" s="9"/>
      <c r="X13750" s="9"/>
    </row>
    <row r="13751">
      <c r="D13751" s="9"/>
      <c r="G13751" s="9"/>
      <c r="J13751" s="11"/>
      <c r="U13751" s="9"/>
      <c r="X13751" s="9"/>
    </row>
    <row r="13752">
      <c r="D13752" s="9"/>
      <c r="G13752" s="9"/>
      <c r="J13752" s="11"/>
      <c r="U13752" s="9"/>
      <c r="X13752" s="9"/>
    </row>
    <row r="13753">
      <c r="D13753" s="9"/>
      <c r="G13753" s="9"/>
      <c r="J13753" s="11"/>
      <c r="U13753" s="9"/>
      <c r="X13753" s="9"/>
    </row>
    <row r="13754">
      <c r="D13754" s="9"/>
      <c r="G13754" s="9"/>
      <c r="J13754" s="11"/>
      <c r="U13754" s="9"/>
      <c r="X13754" s="9"/>
    </row>
    <row r="13755">
      <c r="D13755" s="9"/>
      <c r="G13755" s="9"/>
      <c r="J13755" s="11"/>
      <c r="U13755" s="9"/>
      <c r="X13755" s="9"/>
    </row>
    <row r="13756">
      <c r="D13756" s="9"/>
      <c r="G13756" s="9"/>
      <c r="J13756" s="11"/>
      <c r="U13756" s="9"/>
      <c r="X13756" s="9"/>
    </row>
    <row r="13757">
      <c r="D13757" s="9"/>
      <c r="G13757" s="9"/>
      <c r="J13757" s="11"/>
      <c r="U13757" s="9"/>
      <c r="X13757" s="9"/>
    </row>
    <row r="13758">
      <c r="D13758" s="9"/>
      <c r="G13758" s="9"/>
      <c r="J13758" s="11"/>
      <c r="U13758" s="9"/>
      <c r="X13758" s="9"/>
    </row>
    <row r="13759">
      <c r="D13759" s="9"/>
      <c r="G13759" s="9"/>
      <c r="J13759" s="11"/>
      <c r="U13759" s="9"/>
      <c r="X13759" s="9"/>
    </row>
    <row r="13760">
      <c r="D13760" s="9"/>
      <c r="G13760" s="9"/>
      <c r="J13760" s="11"/>
      <c r="U13760" s="9"/>
      <c r="X13760" s="9"/>
    </row>
    <row r="13761">
      <c r="D13761" s="9"/>
      <c r="G13761" s="9"/>
      <c r="J13761" s="11"/>
      <c r="U13761" s="9"/>
      <c r="X13761" s="9"/>
    </row>
    <row r="13762">
      <c r="D13762" s="9"/>
      <c r="G13762" s="9"/>
      <c r="J13762" s="11"/>
      <c r="U13762" s="9"/>
      <c r="X13762" s="9"/>
    </row>
    <row r="13763">
      <c r="D13763" s="9"/>
      <c r="G13763" s="9"/>
      <c r="J13763" s="11"/>
      <c r="U13763" s="9"/>
      <c r="X13763" s="9"/>
    </row>
    <row r="13764">
      <c r="D13764" s="9"/>
      <c r="G13764" s="9"/>
      <c r="J13764" s="11"/>
      <c r="U13764" s="9"/>
      <c r="X13764" s="9"/>
    </row>
    <row r="13765">
      <c r="D13765" s="9"/>
      <c r="G13765" s="9"/>
      <c r="J13765" s="11"/>
      <c r="U13765" s="9"/>
      <c r="X13765" s="9"/>
    </row>
    <row r="13766">
      <c r="D13766" s="9"/>
      <c r="G13766" s="9"/>
      <c r="J13766" s="11"/>
      <c r="U13766" s="9"/>
      <c r="X13766" s="9"/>
    </row>
    <row r="13767">
      <c r="D13767" s="9"/>
      <c r="G13767" s="9"/>
      <c r="J13767" s="11"/>
      <c r="U13767" s="9"/>
      <c r="X13767" s="9"/>
    </row>
    <row r="13768">
      <c r="D13768" s="9"/>
      <c r="G13768" s="9"/>
      <c r="J13768" s="11"/>
      <c r="U13768" s="9"/>
      <c r="X13768" s="9"/>
    </row>
    <row r="13769">
      <c r="D13769" s="9"/>
      <c r="G13769" s="9"/>
      <c r="J13769" s="11"/>
      <c r="U13769" s="9"/>
      <c r="X13769" s="9"/>
    </row>
    <row r="13770">
      <c r="D13770" s="9"/>
      <c r="G13770" s="9"/>
      <c r="J13770" s="11"/>
      <c r="U13770" s="9"/>
      <c r="X13770" s="9"/>
    </row>
    <row r="13771">
      <c r="D13771" s="9"/>
      <c r="G13771" s="9"/>
      <c r="J13771" s="11"/>
      <c r="U13771" s="9"/>
      <c r="X13771" s="9"/>
    </row>
    <row r="13772">
      <c r="D13772" s="9"/>
      <c r="G13772" s="9"/>
      <c r="J13772" s="11"/>
      <c r="U13772" s="9"/>
      <c r="X13772" s="9"/>
    </row>
    <row r="13773">
      <c r="D13773" s="9"/>
      <c r="G13773" s="9"/>
      <c r="J13773" s="11"/>
      <c r="U13773" s="9"/>
      <c r="X13773" s="9"/>
    </row>
    <row r="13774">
      <c r="D13774" s="9"/>
      <c r="G13774" s="9"/>
      <c r="J13774" s="11"/>
      <c r="U13774" s="9"/>
      <c r="X13774" s="9"/>
    </row>
    <row r="13775">
      <c r="D13775" s="9"/>
      <c r="G13775" s="9"/>
      <c r="J13775" s="11"/>
      <c r="U13775" s="9"/>
      <c r="X13775" s="9"/>
    </row>
    <row r="13776">
      <c r="D13776" s="9"/>
      <c r="G13776" s="9"/>
      <c r="J13776" s="11"/>
      <c r="U13776" s="9"/>
      <c r="X13776" s="9"/>
    </row>
    <row r="13777">
      <c r="D13777" s="9"/>
      <c r="G13777" s="9"/>
      <c r="J13777" s="11"/>
      <c r="U13777" s="9"/>
      <c r="X13777" s="9"/>
    </row>
    <row r="13778">
      <c r="D13778" s="9"/>
      <c r="G13778" s="9"/>
      <c r="J13778" s="11"/>
      <c r="U13778" s="9"/>
      <c r="X13778" s="9"/>
    </row>
    <row r="13779">
      <c r="D13779" s="9"/>
      <c r="G13779" s="9"/>
      <c r="J13779" s="11"/>
      <c r="U13779" s="9"/>
      <c r="X13779" s="9"/>
    </row>
    <row r="13780">
      <c r="D13780" s="9"/>
      <c r="G13780" s="9"/>
      <c r="J13780" s="11"/>
      <c r="U13780" s="9"/>
      <c r="X13780" s="9"/>
    </row>
    <row r="13781">
      <c r="D13781" s="9"/>
      <c r="G13781" s="9"/>
      <c r="J13781" s="11"/>
      <c r="U13781" s="9"/>
      <c r="X13781" s="9"/>
    </row>
    <row r="13782">
      <c r="D13782" s="9"/>
      <c r="G13782" s="9"/>
      <c r="J13782" s="11"/>
      <c r="U13782" s="9"/>
      <c r="X13782" s="9"/>
    </row>
    <row r="13783">
      <c r="D13783" s="9"/>
      <c r="G13783" s="9"/>
      <c r="J13783" s="11"/>
      <c r="U13783" s="9"/>
      <c r="X13783" s="9"/>
    </row>
    <row r="13784">
      <c r="D13784" s="9"/>
      <c r="G13784" s="9"/>
      <c r="J13784" s="11"/>
      <c r="U13784" s="9"/>
      <c r="X13784" s="9"/>
    </row>
    <row r="13785">
      <c r="D13785" s="9"/>
      <c r="G13785" s="9"/>
      <c r="J13785" s="11"/>
      <c r="U13785" s="9"/>
      <c r="X13785" s="9"/>
    </row>
    <row r="13786">
      <c r="D13786" s="9"/>
      <c r="G13786" s="9"/>
      <c r="J13786" s="11"/>
      <c r="U13786" s="9"/>
      <c r="X13786" s="9"/>
    </row>
    <row r="13787">
      <c r="D13787" s="9"/>
      <c r="G13787" s="9"/>
      <c r="J13787" s="11"/>
      <c r="U13787" s="9"/>
      <c r="X13787" s="9"/>
    </row>
    <row r="13788">
      <c r="D13788" s="9"/>
      <c r="G13788" s="9"/>
      <c r="J13788" s="11"/>
      <c r="U13788" s="9"/>
      <c r="X13788" s="9"/>
    </row>
    <row r="13789">
      <c r="D13789" s="9"/>
      <c r="G13789" s="9"/>
      <c r="J13789" s="11"/>
      <c r="U13789" s="9"/>
      <c r="X13789" s="9"/>
    </row>
    <row r="13790">
      <c r="D13790" s="9"/>
      <c r="G13790" s="9"/>
      <c r="J13790" s="11"/>
      <c r="U13790" s="9"/>
      <c r="X13790" s="9"/>
    </row>
    <row r="13791">
      <c r="D13791" s="9"/>
      <c r="G13791" s="9"/>
      <c r="J13791" s="11"/>
      <c r="U13791" s="9"/>
      <c r="X13791" s="9"/>
    </row>
    <row r="13792">
      <c r="D13792" s="9"/>
      <c r="G13792" s="9"/>
      <c r="J13792" s="11"/>
      <c r="U13792" s="9"/>
      <c r="X13792" s="9"/>
    </row>
    <row r="13793">
      <c r="D13793" s="9"/>
      <c r="G13793" s="9"/>
      <c r="J13793" s="11"/>
      <c r="U13793" s="9"/>
      <c r="X13793" s="9"/>
    </row>
    <row r="13794">
      <c r="D13794" s="9"/>
      <c r="G13794" s="9"/>
      <c r="J13794" s="11"/>
      <c r="U13794" s="9"/>
      <c r="X13794" s="9"/>
    </row>
    <row r="13795">
      <c r="D13795" s="9"/>
      <c r="G13795" s="9"/>
      <c r="J13795" s="11"/>
      <c r="U13795" s="9"/>
      <c r="X13795" s="9"/>
    </row>
    <row r="13796">
      <c r="D13796" s="9"/>
      <c r="G13796" s="9"/>
      <c r="J13796" s="11"/>
      <c r="U13796" s="9"/>
      <c r="X13796" s="9"/>
    </row>
    <row r="13797">
      <c r="D13797" s="9"/>
      <c r="G13797" s="9"/>
      <c r="J13797" s="11"/>
      <c r="U13797" s="9"/>
      <c r="X13797" s="9"/>
    </row>
    <row r="13798">
      <c r="D13798" s="9"/>
      <c r="G13798" s="9"/>
      <c r="J13798" s="11"/>
      <c r="U13798" s="9"/>
      <c r="X13798" s="9"/>
    </row>
    <row r="13799">
      <c r="D13799" s="9"/>
      <c r="G13799" s="9"/>
      <c r="J13799" s="11"/>
      <c r="U13799" s="9"/>
      <c r="X13799" s="9"/>
    </row>
    <row r="13800">
      <c r="D13800" s="9"/>
      <c r="G13800" s="9"/>
      <c r="J13800" s="11"/>
      <c r="U13800" s="9"/>
      <c r="X13800" s="9"/>
    </row>
    <row r="13801">
      <c r="D13801" s="9"/>
      <c r="G13801" s="9"/>
      <c r="J13801" s="11"/>
      <c r="U13801" s="9"/>
      <c r="X13801" s="9"/>
    </row>
    <row r="13802">
      <c r="D13802" s="9"/>
      <c r="G13802" s="9"/>
      <c r="J13802" s="11"/>
      <c r="U13802" s="9"/>
      <c r="X13802" s="9"/>
    </row>
    <row r="13803">
      <c r="D13803" s="9"/>
      <c r="G13803" s="9"/>
      <c r="J13803" s="11"/>
      <c r="U13803" s="9"/>
      <c r="X13803" s="9"/>
    </row>
    <row r="13804">
      <c r="D13804" s="9"/>
      <c r="G13804" s="9"/>
      <c r="J13804" s="11"/>
      <c r="U13804" s="9"/>
      <c r="X13804" s="9"/>
    </row>
    <row r="13805">
      <c r="D13805" s="9"/>
      <c r="G13805" s="9"/>
      <c r="J13805" s="11"/>
      <c r="U13805" s="9"/>
      <c r="X13805" s="9"/>
    </row>
    <row r="13806">
      <c r="D13806" s="9"/>
      <c r="G13806" s="9"/>
      <c r="J13806" s="11"/>
      <c r="U13806" s="9"/>
      <c r="X13806" s="9"/>
    </row>
    <row r="13807">
      <c r="D13807" s="9"/>
      <c r="G13807" s="9"/>
      <c r="J13807" s="11"/>
      <c r="U13807" s="9"/>
      <c r="X13807" s="9"/>
    </row>
    <row r="13808">
      <c r="D13808" s="9"/>
      <c r="G13808" s="9"/>
      <c r="J13808" s="11"/>
      <c r="U13808" s="9"/>
      <c r="X13808" s="9"/>
    </row>
    <row r="13809">
      <c r="D13809" s="9"/>
      <c r="G13809" s="9"/>
      <c r="J13809" s="11"/>
      <c r="U13809" s="9"/>
      <c r="X13809" s="9"/>
    </row>
    <row r="13810">
      <c r="D13810" s="9"/>
      <c r="G13810" s="9"/>
      <c r="J13810" s="11"/>
      <c r="U13810" s="9"/>
      <c r="X13810" s="9"/>
    </row>
    <row r="13811">
      <c r="D13811" s="9"/>
      <c r="G13811" s="9"/>
      <c r="J13811" s="11"/>
      <c r="U13811" s="9"/>
      <c r="X13811" s="9"/>
    </row>
    <row r="13812">
      <c r="D13812" s="9"/>
      <c r="G13812" s="9"/>
      <c r="J13812" s="11"/>
      <c r="U13812" s="9"/>
      <c r="X13812" s="9"/>
    </row>
    <row r="13813">
      <c r="D13813" s="9"/>
      <c r="G13813" s="9"/>
      <c r="J13813" s="11"/>
      <c r="U13813" s="9"/>
      <c r="X13813" s="9"/>
    </row>
    <row r="13814">
      <c r="D13814" s="9"/>
      <c r="G13814" s="9"/>
      <c r="J13814" s="11"/>
      <c r="U13814" s="9"/>
      <c r="X13814" s="9"/>
    </row>
    <row r="13815">
      <c r="D13815" s="9"/>
      <c r="G13815" s="9"/>
      <c r="J13815" s="11"/>
      <c r="U13815" s="9"/>
      <c r="X13815" s="9"/>
    </row>
    <row r="13816">
      <c r="D13816" s="9"/>
      <c r="G13816" s="9"/>
      <c r="J13816" s="11"/>
      <c r="U13816" s="9"/>
      <c r="X13816" s="9"/>
    </row>
    <row r="13817">
      <c r="D13817" s="9"/>
      <c r="G13817" s="9"/>
      <c r="J13817" s="11"/>
      <c r="U13817" s="9"/>
      <c r="X13817" s="9"/>
    </row>
    <row r="13818">
      <c r="D13818" s="9"/>
      <c r="G13818" s="9"/>
      <c r="J13818" s="11"/>
      <c r="U13818" s="9"/>
      <c r="X13818" s="9"/>
    </row>
    <row r="13819">
      <c r="D13819" s="9"/>
      <c r="G13819" s="9"/>
      <c r="J13819" s="11"/>
      <c r="U13819" s="9"/>
      <c r="X13819" s="9"/>
    </row>
    <row r="13820">
      <c r="D13820" s="9"/>
      <c r="G13820" s="9"/>
      <c r="J13820" s="11"/>
      <c r="U13820" s="9"/>
      <c r="X13820" s="9"/>
    </row>
    <row r="13821">
      <c r="D13821" s="9"/>
      <c r="G13821" s="9"/>
      <c r="J13821" s="11"/>
      <c r="U13821" s="9"/>
      <c r="X13821" s="9"/>
    </row>
    <row r="13822">
      <c r="D13822" s="9"/>
      <c r="G13822" s="9"/>
      <c r="J13822" s="11"/>
      <c r="U13822" s="9"/>
      <c r="X13822" s="9"/>
    </row>
    <row r="13823">
      <c r="D13823" s="9"/>
      <c r="G13823" s="9"/>
      <c r="J13823" s="11"/>
      <c r="U13823" s="9"/>
      <c r="X13823" s="9"/>
    </row>
    <row r="13824">
      <c r="D13824" s="9"/>
      <c r="G13824" s="9"/>
      <c r="J13824" s="11"/>
      <c r="U13824" s="9"/>
      <c r="X13824" s="9"/>
    </row>
    <row r="13825">
      <c r="D13825" s="9"/>
      <c r="G13825" s="9"/>
      <c r="J13825" s="11"/>
      <c r="U13825" s="9"/>
      <c r="X13825" s="9"/>
    </row>
    <row r="13826">
      <c r="D13826" s="9"/>
      <c r="G13826" s="9"/>
      <c r="J13826" s="11"/>
      <c r="U13826" s="9"/>
      <c r="X13826" s="9"/>
    </row>
    <row r="13827">
      <c r="D13827" s="9"/>
      <c r="G13827" s="9"/>
      <c r="J13827" s="11"/>
      <c r="U13827" s="9"/>
      <c r="X13827" s="9"/>
    </row>
    <row r="13828">
      <c r="D13828" s="9"/>
      <c r="G13828" s="9"/>
      <c r="J13828" s="11"/>
      <c r="U13828" s="9"/>
      <c r="X13828" s="9"/>
    </row>
    <row r="13829">
      <c r="D13829" s="9"/>
      <c r="G13829" s="9"/>
      <c r="J13829" s="11"/>
      <c r="U13829" s="9"/>
      <c r="X13829" s="9"/>
    </row>
    <row r="13830">
      <c r="D13830" s="9"/>
      <c r="G13830" s="9"/>
      <c r="J13830" s="11"/>
      <c r="U13830" s="9"/>
      <c r="X13830" s="9"/>
    </row>
    <row r="13831">
      <c r="D13831" s="9"/>
      <c r="G13831" s="9"/>
      <c r="J13831" s="11"/>
      <c r="U13831" s="9"/>
      <c r="X13831" s="9"/>
    </row>
    <row r="13832">
      <c r="D13832" s="9"/>
      <c r="G13832" s="9"/>
      <c r="J13832" s="11"/>
      <c r="U13832" s="9"/>
      <c r="X13832" s="9"/>
    </row>
    <row r="13833">
      <c r="D13833" s="9"/>
      <c r="G13833" s="9"/>
      <c r="J13833" s="11"/>
      <c r="U13833" s="9"/>
      <c r="X13833" s="9"/>
    </row>
    <row r="13834">
      <c r="D13834" s="9"/>
      <c r="G13834" s="9"/>
      <c r="J13834" s="11"/>
      <c r="U13834" s="9"/>
      <c r="X13834" s="9"/>
    </row>
    <row r="13835">
      <c r="D13835" s="9"/>
      <c r="G13835" s="9"/>
      <c r="J13835" s="11"/>
      <c r="U13835" s="9"/>
      <c r="X13835" s="9"/>
    </row>
    <row r="13836">
      <c r="D13836" s="9"/>
      <c r="G13836" s="9"/>
      <c r="J13836" s="11"/>
      <c r="U13836" s="9"/>
      <c r="X13836" s="9"/>
    </row>
    <row r="13837">
      <c r="D13837" s="9"/>
      <c r="G13837" s="9"/>
      <c r="J13837" s="11"/>
      <c r="U13837" s="9"/>
      <c r="X13837" s="9"/>
    </row>
    <row r="13838">
      <c r="D13838" s="9"/>
      <c r="G13838" s="9"/>
      <c r="J13838" s="11"/>
      <c r="U13838" s="9"/>
      <c r="X13838" s="9"/>
    </row>
    <row r="13839">
      <c r="D13839" s="9"/>
      <c r="G13839" s="9"/>
      <c r="J13839" s="11"/>
      <c r="U13839" s="9"/>
      <c r="X13839" s="9"/>
    </row>
    <row r="13840">
      <c r="D13840" s="9"/>
      <c r="G13840" s="9"/>
      <c r="J13840" s="11"/>
      <c r="U13840" s="9"/>
      <c r="X13840" s="9"/>
    </row>
    <row r="13841">
      <c r="D13841" s="9"/>
      <c r="G13841" s="9"/>
      <c r="J13841" s="11"/>
      <c r="U13841" s="9"/>
      <c r="X13841" s="9"/>
    </row>
    <row r="13842">
      <c r="D13842" s="9"/>
      <c r="G13842" s="9"/>
      <c r="J13842" s="11"/>
      <c r="U13842" s="9"/>
      <c r="X13842" s="9"/>
    </row>
    <row r="13843">
      <c r="D13843" s="9"/>
      <c r="G13843" s="9"/>
      <c r="J13843" s="11"/>
      <c r="U13843" s="9"/>
      <c r="X13843" s="9"/>
    </row>
    <row r="13844">
      <c r="D13844" s="9"/>
      <c r="G13844" s="9"/>
      <c r="J13844" s="11"/>
      <c r="U13844" s="9"/>
      <c r="X13844" s="9"/>
    </row>
    <row r="13845">
      <c r="D13845" s="9"/>
      <c r="G13845" s="9"/>
      <c r="J13845" s="11"/>
      <c r="U13845" s="9"/>
      <c r="X13845" s="9"/>
    </row>
    <row r="13846">
      <c r="D13846" s="9"/>
      <c r="G13846" s="9"/>
      <c r="J13846" s="11"/>
      <c r="U13846" s="9"/>
      <c r="X13846" s="9"/>
    </row>
    <row r="13847">
      <c r="D13847" s="9"/>
      <c r="G13847" s="9"/>
      <c r="J13847" s="11"/>
      <c r="U13847" s="9"/>
      <c r="X13847" s="9"/>
    </row>
    <row r="13848">
      <c r="D13848" s="9"/>
      <c r="G13848" s="9"/>
      <c r="J13848" s="11"/>
      <c r="U13848" s="9"/>
      <c r="X13848" s="9"/>
    </row>
    <row r="13849">
      <c r="D13849" s="9"/>
      <c r="G13849" s="9"/>
      <c r="J13849" s="11"/>
      <c r="U13849" s="9"/>
      <c r="X13849" s="9"/>
    </row>
    <row r="13850">
      <c r="D13850" s="9"/>
      <c r="G13850" s="9"/>
      <c r="J13850" s="11"/>
      <c r="U13850" s="9"/>
      <c r="X13850" s="9"/>
    </row>
    <row r="13851">
      <c r="D13851" s="9"/>
      <c r="G13851" s="9"/>
      <c r="J13851" s="11"/>
      <c r="U13851" s="9"/>
      <c r="X13851" s="9"/>
    </row>
    <row r="13852">
      <c r="D13852" s="9"/>
      <c r="G13852" s="9"/>
      <c r="J13852" s="11"/>
      <c r="U13852" s="9"/>
      <c r="X13852" s="9"/>
    </row>
    <row r="13853">
      <c r="D13853" s="9"/>
      <c r="G13853" s="9"/>
      <c r="J13853" s="11"/>
      <c r="U13853" s="9"/>
      <c r="X13853" s="9"/>
    </row>
    <row r="13854">
      <c r="D13854" s="9"/>
      <c r="G13854" s="9"/>
      <c r="J13854" s="11"/>
      <c r="U13854" s="9"/>
      <c r="X13854" s="9"/>
    </row>
    <row r="13855">
      <c r="D13855" s="9"/>
      <c r="G13855" s="9"/>
      <c r="J13855" s="11"/>
      <c r="U13855" s="9"/>
      <c r="X13855" s="9"/>
    </row>
    <row r="13856">
      <c r="D13856" s="9"/>
      <c r="G13856" s="9"/>
      <c r="J13856" s="11"/>
      <c r="U13856" s="9"/>
      <c r="X13856" s="9"/>
    </row>
    <row r="13857">
      <c r="D13857" s="9"/>
      <c r="G13857" s="9"/>
      <c r="J13857" s="11"/>
      <c r="U13857" s="9"/>
      <c r="X13857" s="9"/>
    </row>
    <row r="13858">
      <c r="D13858" s="9"/>
      <c r="G13858" s="9"/>
      <c r="J13858" s="11"/>
      <c r="U13858" s="9"/>
      <c r="X13858" s="9"/>
    </row>
    <row r="13859">
      <c r="D13859" s="9"/>
      <c r="G13859" s="9"/>
      <c r="J13859" s="11"/>
      <c r="U13859" s="9"/>
      <c r="X13859" s="9"/>
    </row>
    <row r="13860">
      <c r="D13860" s="9"/>
      <c r="G13860" s="9"/>
      <c r="J13860" s="11"/>
      <c r="U13860" s="9"/>
      <c r="X13860" s="9"/>
    </row>
    <row r="13861">
      <c r="D13861" s="9"/>
      <c r="G13861" s="9"/>
      <c r="J13861" s="11"/>
      <c r="U13861" s="9"/>
      <c r="X13861" s="9"/>
    </row>
    <row r="13862">
      <c r="D13862" s="9"/>
      <c r="G13862" s="9"/>
      <c r="J13862" s="11"/>
      <c r="U13862" s="9"/>
      <c r="X13862" s="9"/>
    </row>
    <row r="13863">
      <c r="D13863" s="9"/>
      <c r="G13863" s="9"/>
      <c r="J13863" s="11"/>
      <c r="U13863" s="9"/>
      <c r="X13863" s="9"/>
    </row>
    <row r="13864">
      <c r="D13864" s="9"/>
      <c r="G13864" s="9"/>
      <c r="J13864" s="11"/>
      <c r="U13864" s="9"/>
      <c r="X13864" s="9"/>
    </row>
    <row r="13865">
      <c r="D13865" s="9"/>
      <c r="G13865" s="9"/>
      <c r="J13865" s="11"/>
      <c r="U13865" s="9"/>
      <c r="X13865" s="9"/>
    </row>
    <row r="13866">
      <c r="D13866" s="9"/>
      <c r="G13866" s="9"/>
      <c r="J13866" s="11"/>
      <c r="U13866" s="9"/>
      <c r="X13866" s="9"/>
    </row>
    <row r="13867">
      <c r="D13867" s="9"/>
      <c r="G13867" s="9"/>
      <c r="J13867" s="11"/>
      <c r="U13867" s="9"/>
      <c r="X13867" s="9"/>
    </row>
    <row r="13868">
      <c r="D13868" s="9"/>
      <c r="G13868" s="9"/>
      <c r="J13868" s="11"/>
      <c r="U13868" s="9"/>
      <c r="X13868" s="9"/>
    </row>
    <row r="13869">
      <c r="D13869" s="9"/>
      <c r="G13869" s="9"/>
      <c r="J13869" s="11"/>
      <c r="U13869" s="9"/>
      <c r="X13869" s="9"/>
    </row>
    <row r="13870">
      <c r="D13870" s="9"/>
      <c r="G13870" s="9"/>
      <c r="J13870" s="11"/>
      <c r="U13870" s="9"/>
      <c r="X13870" s="9"/>
    </row>
    <row r="13871">
      <c r="D13871" s="9"/>
      <c r="G13871" s="9"/>
      <c r="J13871" s="11"/>
      <c r="U13871" s="9"/>
      <c r="X13871" s="9"/>
    </row>
    <row r="13872">
      <c r="D13872" s="9"/>
      <c r="G13872" s="9"/>
      <c r="J13872" s="11"/>
      <c r="U13872" s="9"/>
      <c r="X13872" s="9"/>
    </row>
    <row r="13873">
      <c r="D13873" s="9"/>
      <c r="G13873" s="9"/>
      <c r="J13873" s="11"/>
      <c r="U13873" s="9"/>
      <c r="X13873" s="9"/>
    </row>
    <row r="13874">
      <c r="D13874" s="9"/>
      <c r="G13874" s="9"/>
      <c r="J13874" s="11"/>
      <c r="U13874" s="9"/>
      <c r="X13874" s="9"/>
    </row>
    <row r="13875">
      <c r="D13875" s="9"/>
      <c r="G13875" s="9"/>
      <c r="J13875" s="11"/>
      <c r="U13875" s="9"/>
      <c r="X13875" s="9"/>
    </row>
    <row r="13876">
      <c r="D13876" s="9"/>
      <c r="G13876" s="9"/>
      <c r="J13876" s="11"/>
      <c r="U13876" s="9"/>
      <c r="X13876" s="9"/>
    </row>
    <row r="13877">
      <c r="D13877" s="9"/>
      <c r="G13877" s="9"/>
      <c r="J13877" s="11"/>
      <c r="U13877" s="9"/>
      <c r="X13877" s="9"/>
    </row>
    <row r="13878">
      <c r="D13878" s="9"/>
      <c r="G13878" s="9"/>
      <c r="J13878" s="11"/>
      <c r="U13878" s="9"/>
      <c r="X13878" s="9"/>
    </row>
    <row r="13879">
      <c r="D13879" s="9"/>
      <c r="G13879" s="9"/>
      <c r="J13879" s="11"/>
      <c r="U13879" s="9"/>
      <c r="X13879" s="9"/>
    </row>
    <row r="13880">
      <c r="D13880" s="9"/>
      <c r="G13880" s="9"/>
      <c r="J13880" s="11"/>
      <c r="U13880" s="9"/>
      <c r="X13880" s="9"/>
    </row>
    <row r="13881">
      <c r="D13881" s="9"/>
      <c r="G13881" s="9"/>
      <c r="J13881" s="11"/>
      <c r="U13881" s="9"/>
      <c r="X13881" s="9"/>
    </row>
    <row r="13882">
      <c r="D13882" s="9"/>
      <c r="G13882" s="9"/>
      <c r="J13882" s="11"/>
      <c r="U13882" s="9"/>
      <c r="X13882" s="9"/>
    </row>
    <row r="13883">
      <c r="D13883" s="9"/>
      <c r="G13883" s="9"/>
      <c r="J13883" s="11"/>
      <c r="U13883" s="9"/>
      <c r="X13883" s="9"/>
    </row>
    <row r="13884">
      <c r="D13884" s="9"/>
      <c r="G13884" s="9"/>
      <c r="J13884" s="11"/>
      <c r="U13884" s="9"/>
      <c r="X13884" s="9"/>
    </row>
    <row r="13885">
      <c r="D13885" s="9"/>
      <c r="G13885" s="9"/>
      <c r="J13885" s="11"/>
      <c r="U13885" s="9"/>
      <c r="X13885" s="9"/>
    </row>
    <row r="13886">
      <c r="D13886" s="9"/>
      <c r="G13886" s="9"/>
      <c r="J13886" s="11"/>
      <c r="U13886" s="9"/>
      <c r="X13886" s="9"/>
    </row>
    <row r="13887">
      <c r="D13887" s="9"/>
      <c r="G13887" s="9"/>
      <c r="J13887" s="11"/>
      <c r="U13887" s="9"/>
      <c r="X13887" s="9"/>
    </row>
    <row r="13888">
      <c r="D13888" s="9"/>
      <c r="G13888" s="9"/>
      <c r="J13888" s="11"/>
      <c r="U13888" s="9"/>
      <c r="X13888" s="9"/>
    </row>
    <row r="13889">
      <c r="D13889" s="9"/>
      <c r="G13889" s="9"/>
      <c r="J13889" s="11"/>
      <c r="U13889" s="9"/>
      <c r="X13889" s="9"/>
    </row>
    <row r="13890">
      <c r="D13890" s="9"/>
      <c r="G13890" s="9"/>
      <c r="J13890" s="11"/>
      <c r="U13890" s="9"/>
      <c r="X13890" s="9"/>
    </row>
    <row r="13891">
      <c r="D13891" s="9"/>
      <c r="G13891" s="9"/>
      <c r="J13891" s="11"/>
      <c r="U13891" s="9"/>
      <c r="X13891" s="9"/>
    </row>
    <row r="13892">
      <c r="D13892" s="9"/>
      <c r="G13892" s="9"/>
      <c r="J13892" s="11"/>
      <c r="U13892" s="9"/>
      <c r="X13892" s="9"/>
    </row>
    <row r="13893">
      <c r="D13893" s="9"/>
      <c r="G13893" s="9"/>
      <c r="J13893" s="11"/>
      <c r="U13893" s="9"/>
      <c r="X13893" s="9"/>
    </row>
    <row r="13894">
      <c r="D13894" s="9"/>
      <c r="G13894" s="9"/>
      <c r="J13894" s="11"/>
      <c r="U13894" s="9"/>
      <c r="X13894" s="9"/>
    </row>
    <row r="13895">
      <c r="D13895" s="9"/>
      <c r="G13895" s="9"/>
      <c r="J13895" s="11"/>
      <c r="U13895" s="9"/>
      <c r="X13895" s="9"/>
    </row>
    <row r="13896">
      <c r="D13896" s="9"/>
      <c r="G13896" s="9"/>
      <c r="J13896" s="11"/>
      <c r="U13896" s="9"/>
      <c r="X13896" s="9"/>
    </row>
    <row r="13897">
      <c r="D13897" s="9"/>
      <c r="G13897" s="9"/>
      <c r="J13897" s="11"/>
      <c r="U13897" s="9"/>
      <c r="X13897" s="9"/>
    </row>
    <row r="13898">
      <c r="D13898" s="9"/>
      <c r="G13898" s="9"/>
      <c r="J13898" s="11"/>
      <c r="U13898" s="9"/>
      <c r="X13898" s="9"/>
    </row>
    <row r="13899">
      <c r="D13899" s="9"/>
      <c r="G13899" s="9"/>
      <c r="J13899" s="11"/>
      <c r="U13899" s="9"/>
      <c r="X13899" s="9"/>
    </row>
    <row r="13900">
      <c r="D13900" s="9"/>
      <c r="G13900" s="9"/>
      <c r="J13900" s="11"/>
      <c r="U13900" s="9"/>
      <c r="X13900" s="9"/>
    </row>
    <row r="13901">
      <c r="D13901" s="9"/>
      <c r="G13901" s="9"/>
      <c r="J13901" s="11"/>
      <c r="U13901" s="9"/>
      <c r="X13901" s="9"/>
    </row>
    <row r="13902">
      <c r="D13902" s="9"/>
      <c r="G13902" s="9"/>
      <c r="J13902" s="11"/>
      <c r="U13902" s="9"/>
      <c r="X13902" s="9"/>
    </row>
    <row r="13903">
      <c r="D13903" s="9"/>
      <c r="G13903" s="9"/>
      <c r="J13903" s="11"/>
      <c r="U13903" s="9"/>
      <c r="X13903" s="9"/>
    </row>
    <row r="13904">
      <c r="D13904" s="9"/>
      <c r="G13904" s="9"/>
      <c r="J13904" s="11"/>
      <c r="U13904" s="9"/>
      <c r="X13904" s="9"/>
    </row>
    <row r="13905">
      <c r="D13905" s="9"/>
      <c r="G13905" s="9"/>
      <c r="J13905" s="11"/>
      <c r="U13905" s="9"/>
      <c r="X13905" s="9"/>
    </row>
    <row r="13906">
      <c r="D13906" s="9"/>
      <c r="G13906" s="9"/>
      <c r="J13906" s="11"/>
      <c r="U13906" s="9"/>
      <c r="X13906" s="9"/>
    </row>
    <row r="13907">
      <c r="D13907" s="9"/>
      <c r="G13907" s="9"/>
      <c r="J13907" s="11"/>
      <c r="U13907" s="9"/>
      <c r="X13907" s="9"/>
    </row>
    <row r="13908">
      <c r="D13908" s="9"/>
      <c r="G13908" s="9"/>
      <c r="J13908" s="11"/>
      <c r="U13908" s="9"/>
      <c r="X13908" s="9"/>
    </row>
    <row r="13909">
      <c r="D13909" s="9"/>
      <c r="G13909" s="9"/>
      <c r="J13909" s="11"/>
      <c r="U13909" s="9"/>
      <c r="X13909" s="9"/>
    </row>
    <row r="13910">
      <c r="D13910" s="9"/>
      <c r="G13910" s="9"/>
      <c r="J13910" s="11"/>
      <c r="U13910" s="9"/>
      <c r="X13910" s="9"/>
    </row>
    <row r="13911">
      <c r="D13911" s="9"/>
      <c r="G13911" s="9"/>
      <c r="J13911" s="11"/>
      <c r="U13911" s="9"/>
      <c r="X13911" s="9"/>
    </row>
    <row r="13912">
      <c r="D13912" s="9"/>
      <c r="G13912" s="9"/>
      <c r="J13912" s="11"/>
      <c r="U13912" s="9"/>
      <c r="X13912" s="9"/>
    </row>
    <row r="13913">
      <c r="D13913" s="9"/>
      <c r="G13913" s="9"/>
      <c r="J13913" s="11"/>
      <c r="U13913" s="9"/>
      <c r="X13913" s="9"/>
    </row>
    <row r="13914">
      <c r="D13914" s="9"/>
      <c r="G13914" s="9"/>
      <c r="J13914" s="11"/>
      <c r="U13914" s="9"/>
      <c r="X13914" s="9"/>
    </row>
    <row r="13915">
      <c r="D13915" s="9"/>
      <c r="G13915" s="9"/>
      <c r="J13915" s="11"/>
      <c r="U13915" s="9"/>
      <c r="X13915" s="9"/>
    </row>
    <row r="13916">
      <c r="D13916" s="9"/>
      <c r="G13916" s="9"/>
      <c r="J13916" s="11"/>
      <c r="U13916" s="9"/>
      <c r="X13916" s="9"/>
    </row>
    <row r="13917">
      <c r="D13917" s="9"/>
      <c r="G13917" s="9"/>
      <c r="J13917" s="11"/>
      <c r="U13917" s="9"/>
      <c r="X13917" s="9"/>
    </row>
    <row r="13918">
      <c r="D13918" s="9"/>
      <c r="G13918" s="9"/>
      <c r="J13918" s="11"/>
      <c r="U13918" s="9"/>
      <c r="X13918" s="9"/>
    </row>
    <row r="13919">
      <c r="D13919" s="9"/>
      <c r="G13919" s="9"/>
      <c r="J13919" s="11"/>
      <c r="U13919" s="9"/>
      <c r="X13919" s="9"/>
    </row>
    <row r="13920">
      <c r="D13920" s="9"/>
      <c r="G13920" s="9"/>
      <c r="J13920" s="11"/>
      <c r="U13920" s="9"/>
      <c r="X13920" s="9"/>
    </row>
    <row r="13921">
      <c r="D13921" s="9"/>
      <c r="G13921" s="9"/>
      <c r="J13921" s="11"/>
      <c r="U13921" s="9"/>
      <c r="X13921" s="9"/>
    </row>
    <row r="13922">
      <c r="D13922" s="9"/>
      <c r="G13922" s="9"/>
      <c r="J13922" s="11"/>
      <c r="U13922" s="9"/>
      <c r="X13922" s="9"/>
    </row>
    <row r="13923">
      <c r="D13923" s="9"/>
      <c r="G13923" s="9"/>
      <c r="J13923" s="11"/>
      <c r="U13923" s="9"/>
      <c r="X13923" s="9"/>
    </row>
    <row r="13924">
      <c r="D13924" s="9"/>
      <c r="G13924" s="9"/>
      <c r="J13924" s="11"/>
      <c r="U13924" s="9"/>
      <c r="X13924" s="9"/>
    </row>
    <row r="13925">
      <c r="D13925" s="9"/>
      <c r="G13925" s="9"/>
      <c r="J13925" s="11"/>
      <c r="U13925" s="9"/>
      <c r="X13925" s="9"/>
    </row>
    <row r="13926">
      <c r="D13926" s="9"/>
      <c r="G13926" s="9"/>
      <c r="J13926" s="11"/>
      <c r="U13926" s="9"/>
      <c r="X13926" s="9"/>
    </row>
    <row r="13927">
      <c r="D13927" s="9"/>
      <c r="G13927" s="9"/>
      <c r="J13927" s="11"/>
      <c r="U13927" s="9"/>
      <c r="X13927" s="9"/>
    </row>
    <row r="13928">
      <c r="D13928" s="9"/>
      <c r="G13928" s="9"/>
      <c r="J13928" s="11"/>
      <c r="U13928" s="9"/>
      <c r="X13928" s="9"/>
    </row>
    <row r="13929">
      <c r="D13929" s="9"/>
      <c r="G13929" s="9"/>
      <c r="J13929" s="11"/>
      <c r="U13929" s="9"/>
      <c r="X13929" s="9"/>
    </row>
    <row r="13930">
      <c r="D13930" s="9"/>
      <c r="G13930" s="9"/>
      <c r="J13930" s="11"/>
      <c r="U13930" s="9"/>
      <c r="X13930" s="9"/>
    </row>
    <row r="13931">
      <c r="D13931" s="9"/>
      <c r="G13931" s="9"/>
      <c r="J13931" s="11"/>
      <c r="U13931" s="9"/>
      <c r="X13931" s="9"/>
    </row>
    <row r="13932">
      <c r="D13932" s="9"/>
      <c r="G13932" s="9"/>
      <c r="J13932" s="11"/>
      <c r="U13932" s="9"/>
      <c r="X13932" s="9"/>
    </row>
    <row r="13933">
      <c r="D13933" s="9"/>
      <c r="G13933" s="9"/>
      <c r="J13933" s="11"/>
      <c r="U13933" s="9"/>
      <c r="X13933" s="9"/>
    </row>
    <row r="13934">
      <c r="D13934" s="9"/>
      <c r="G13934" s="9"/>
      <c r="J13934" s="11"/>
      <c r="U13934" s="9"/>
      <c r="X13934" s="9"/>
    </row>
    <row r="13935">
      <c r="D13935" s="9"/>
      <c r="G13935" s="9"/>
      <c r="J13935" s="11"/>
      <c r="U13935" s="9"/>
      <c r="X13935" s="9"/>
    </row>
    <row r="13936">
      <c r="D13936" s="9"/>
      <c r="G13936" s="9"/>
      <c r="J13936" s="11"/>
      <c r="U13936" s="9"/>
      <c r="X13936" s="9"/>
    </row>
    <row r="13937">
      <c r="D13937" s="9"/>
      <c r="G13937" s="9"/>
      <c r="J13937" s="11"/>
      <c r="U13937" s="9"/>
      <c r="X13937" s="9"/>
    </row>
    <row r="13938">
      <c r="D13938" s="9"/>
      <c r="G13938" s="9"/>
      <c r="J13938" s="11"/>
      <c r="U13938" s="9"/>
      <c r="X13938" s="9"/>
    </row>
    <row r="13939">
      <c r="D13939" s="9"/>
      <c r="G13939" s="9"/>
      <c r="J13939" s="11"/>
      <c r="U13939" s="9"/>
      <c r="X13939" s="9"/>
    </row>
    <row r="13940">
      <c r="D13940" s="9"/>
      <c r="G13940" s="9"/>
      <c r="J13940" s="11"/>
      <c r="U13940" s="9"/>
      <c r="X13940" s="9"/>
    </row>
    <row r="13941">
      <c r="D13941" s="9"/>
      <c r="G13941" s="9"/>
      <c r="J13941" s="11"/>
      <c r="U13941" s="9"/>
      <c r="X13941" s="9"/>
    </row>
    <row r="13942">
      <c r="D13942" s="9"/>
      <c r="G13942" s="9"/>
      <c r="J13942" s="11"/>
      <c r="U13942" s="9"/>
      <c r="X13942" s="9"/>
    </row>
    <row r="13943">
      <c r="D13943" s="9"/>
      <c r="G13943" s="9"/>
      <c r="J13943" s="11"/>
      <c r="U13943" s="9"/>
      <c r="X13943" s="9"/>
    </row>
    <row r="13944">
      <c r="D13944" s="9"/>
      <c r="G13944" s="9"/>
      <c r="J13944" s="11"/>
      <c r="U13944" s="9"/>
      <c r="X13944" s="9"/>
    </row>
    <row r="13945">
      <c r="D13945" s="9"/>
      <c r="G13945" s="9"/>
      <c r="J13945" s="11"/>
      <c r="U13945" s="9"/>
      <c r="X13945" s="9"/>
    </row>
    <row r="13946">
      <c r="D13946" s="9"/>
      <c r="G13946" s="9"/>
      <c r="J13946" s="11"/>
      <c r="U13946" s="9"/>
      <c r="X13946" s="9"/>
    </row>
    <row r="13947">
      <c r="D13947" s="9"/>
      <c r="G13947" s="9"/>
      <c r="J13947" s="11"/>
      <c r="U13947" s="9"/>
      <c r="X13947" s="9"/>
    </row>
    <row r="13948">
      <c r="D13948" s="9"/>
      <c r="G13948" s="9"/>
      <c r="J13948" s="11"/>
      <c r="U13948" s="9"/>
      <c r="X13948" s="9"/>
    </row>
    <row r="13949">
      <c r="D13949" s="9"/>
      <c r="G13949" s="9"/>
      <c r="J13949" s="11"/>
      <c r="U13949" s="9"/>
      <c r="X13949" s="9"/>
    </row>
    <row r="13950">
      <c r="D13950" s="9"/>
      <c r="G13950" s="9"/>
      <c r="J13950" s="11"/>
      <c r="U13950" s="9"/>
      <c r="X13950" s="9"/>
    </row>
    <row r="13951">
      <c r="D13951" s="9"/>
      <c r="G13951" s="9"/>
      <c r="J13951" s="11"/>
      <c r="U13951" s="9"/>
      <c r="X13951" s="9"/>
    </row>
    <row r="13952">
      <c r="D13952" s="9"/>
      <c r="G13952" s="9"/>
      <c r="J13952" s="11"/>
      <c r="U13952" s="9"/>
      <c r="X13952" s="9"/>
    </row>
    <row r="13953">
      <c r="D13953" s="9"/>
      <c r="G13953" s="9"/>
      <c r="J13953" s="11"/>
      <c r="U13953" s="9"/>
      <c r="X13953" s="9"/>
    </row>
    <row r="13954">
      <c r="D13954" s="9"/>
      <c r="G13954" s="9"/>
      <c r="J13954" s="11"/>
      <c r="U13954" s="9"/>
      <c r="X13954" s="9"/>
    </row>
    <row r="13955">
      <c r="D13955" s="9"/>
      <c r="G13955" s="9"/>
      <c r="J13955" s="11"/>
      <c r="U13955" s="9"/>
      <c r="X13955" s="9"/>
    </row>
    <row r="13956">
      <c r="D13956" s="9"/>
      <c r="G13956" s="9"/>
      <c r="J13956" s="11"/>
      <c r="U13956" s="9"/>
      <c r="X13956" s="9"/>
    </row>
    <row r="13957">
      <c r="D13957" s="9"/>
      <c r="G13957" s="9"/>
      <c r="J13957" s="11"/>
      <c r="U13957" s="9"/>
      <c r="X13957" s="9"/>
    </row>
    <row r="13958">
      <c r="D13958" s="9"/>
      <c r="G13958" s="9"/>
      <c r="J13958" s="11"/>
      <c r="U13958" s="9"/>
      <c r="X13958" s="9"/>
    </row>
    <row r="13959">
      <c r="D13959" s="9"/>
      <c r="G13959" s="9"/>
      <c r="J13959" s="11"/>
      <c r="U13959" s="9"/>
      <c r="X13959" s="9"/>
    </row>
    <row r="13960">
      <c r="D13960" s="9"/>
      <c r="G13960" s="9"/>
      <c r="J13960" s="11"/>
      <c r="U13960" s="9"/>
      <c r="X13960" s="9"/>
    </row>
    <row r="13961">
      <c r="D13961" s="9"/>
      <c r="G13961" s="9"/>
      <c r="J13961" s="11"/>
      <c r="U13961" s="9"/>
      <c r="X13961" s="9"/>
    </row>
    <row r="13962">
      <c r="D13962" s="9"/>
      <c r="G13962" s="9"/>
      <c r="J13962" s="11"/>
      <c r="U13962" s="9"/>
      <c r="X13962" s="9"/>
    </row>
    <row r="13963">
      <c r="D13963" s="9"/>
      <c r="G13963" s="9"/>
      <c r="J13963" s="11"/>
      <c r="U13963" s="9"/>
      <c r="X13963" s="9"/>
    </row>
    <row r="13964">
      <c r="D13964" s="9"/>
      <c r="G13964" s="9"/>
      <c r="J13964" s="11"/>
      <c r="U13964" s="9"/>
      <c r="X13964" s="9"/>
    </row>
    <row r="13965">
      <c r="D13965" s="9"/>
      <c r="G13965" s="9"/>
      <c r="J13965" s="11"/>
      <c r="U13965" s="9"/>
      <c r="X13965" s="9"/>
    </row>
    <row r="13966">
      <c r="D13966" s="9"/>
      <c r="G13966" s="9"/>
      <c r="J13966" s="11"/>
      <c r="U13966" s="9"/>
      <c r="X13966" s="9"/>
    </row>
    <row r="13967">
      <c r="D13967" s="9"/>
      <c r="G13967" s="9"/>
      <c r="J13967" s="11"/>
      <c r="U13967" s="9"/>
      <c r="X13967" s="9"/>
    </row>
    <row r="13968">
      <c r="D13968" s="9"/>
      <c r="G13968" s="9"/>
      <c r="J13968" s="11"/>
      <c r="U13968" s="9"/>
      <c r="X13968" s="9"/>
    </row>
    <row r="13969">
      <c r="D13969" s="9"/>
      <c r="G13969" s="9"/>
      <c r="J13969" s="11"/>
      <c r="U13969" s="9"/>
      <c r="X13969" s="9"/>
    </row>
    <row r="13970">
      <c r="D13970" s="9"/>
      <c r="G13970" s="9"/>
      <c r="J13970" s="11"/>
      <c r="U13970" s="9"/>
      <c r="X13970" s="9"/>
    </row>
    <row r="13971">
      <c r="D13971" s="9"/>
      <c r="G13971" s="9"/>
      <c r="J13971" s="11"/>
      <c r="U13971" s="9"/>
      <c r="X13971" s="9"/>
    </row>
    <row r="13972">
      <c r="D13972" s="9"/>
      <c r="G13972" s="9"/>
      <c r="J13972" s="11"/>
      <c r="U13972" s="9"/>
      <c r="X13972" s="9"/>
    </row>
    <row r="13973">
      <c r="D13973" s="9"/>
      <c r="G13973" s="9"/>
      <c r="J13973" s="11"/>
      <c r="U13973" s="9"/>
      <c r="X13973" s="9"/>
    </row>
    <row r="13974">
      <c r="D13974" s="9"/>
      <c r="G13974" s="9"/>
      <c r="J13974" s="11"/>
      <c r="U13974" s="9"/>
      <c r="X13974" s="9"/>
    </row>
    <row r="13975">
      <c r="D13975" s="9"/>
      <c r="G13975" s="9"/>
      <c r="J13975" s="11"/>
      <c r="U13975" s="9"/>
      <c r="X13975" s="9"/>
    </row>
    <row r="13976">
      <c r="D13976" s="9"/>
      <c r="G13976" s="9"/>
      <c r="J13976" s="11"/>
      <c r="U13976" s="9"/>
      <c r="X13976" s="9"/>
    </row>
    <row r="13977">
      <c r="D13977" s="9"/>
      <c r="G13977" s="9"/>
      <c r="J13977" s="11"/>
      <c r="U13977" s="9"/>
      <c r="X13977" s="9"/>
    </row>
    <row r="13978">
      <c r="D13978" s="9"/>
      <c r="G13978" s="9"/>
      <c r="J13978" s="11"/>
      <c r="U13978" s="9"/>
      <c r="X13978" s="9"/>
    </row>
    <row r="13979">
      <c r="D13979" s="9"/>
      <c r="G13979" s="9"/>
      <c r="J13979" s="11"/>
      <c r="U13979" s="9"/>
      <c r="X13979" s="9"/>
    </row>
    <row r="13980">
      <c r="D13980" s="9"/>
      <c r="G13980" s="9"/>
      <c r="J13980" s="11"/>
      <c r="U13980" s="9"/>
      <c r="X13980" s="9"/>
    </row>
    <row r="13981">
      <c r="D13981" s="9"/>
      <c r="G13981" s="9"/>
      <c r="J13981" s="11"/>
      <c r="U13981" s="9"/>
      <c r="X13981" s="9"/>
    </row>
    <row r="13982">
      <c r="D13982" s="9"/>
      <c r="G13982" s="9"/>
      <c r="J13982" s="11"/>
      <c r="U13982" s="9"/>
      <c r="X13982" s="9"/>
    </row>
    <row r="13983">
      <c r="D13983" s="9"/>
      <c r="G13983" s="9"/>
      <c r="J13983" s="11"/>
      <c r="U13983" s="9"/>
      <c r="X13983" s="9"/>
    </row>
    <row r="13984">
      <c r="D13984" s="9"/>
      <c r="G13984" s="9"/>
      <c r="J13984" s="11"/>
      <c r="U13984" s="9"/>
      <c r="X13984" s="9"/>
    </row>
    <row r="13985">
      <c r="D13985" s="9"/>
      <c r="G13985" s="9"/>
      <c r="J13985" s="11"/>
      <c r="U13985" s="9"/>
      <c r="X13985" s="9"/>
    </row>
    <row r="13986">
      <c r="D13986" s="9"/>
      <c r="G13986" s="9"/>
      <c r="J13986" s="11"/>
      <c r="U13986" s="9"/>
      <c r="X13986" s="9"/>
    </row>
    <row r="13987">
      <c r="D13987" s="9"/>
      <c r="G13987" s="9"/>
      <c r="J13987" s="11"/>
      <c r="U13987" s="9"/>
      <c r="X13987" s="9"/>
    </row>
    <row r="13988">
      <c r="D13988" s="9"/>
      <c r="G13988" s="9"/>
      <c r="J13988" s="11"/>
      <c r="U13988" s="9"/>
      <c r="X13988" s="9"/>
    </row>
    <row r="13989">
      <c r="D13989" s="9"/>
      <c r="G13989" s="9"/>
      <c r="J13989" s="11"/>
      <c r="U13989" s="9"/>
      <c r="X13989" s="9"/>
    </row>
    <row r="13990">
      <c r="D13990" s="9"/>
      <c r="G13990" s="9"/>
      <c r="J13990" s="11"/>
      <c r="U13990" s="9"/>
      <c r="X13990" s="9"/>
    </row>
    <row r="13991">
      <c r="D13991" s="9"/>
      <c r="G13991" s="9"/>
      <c r="J13991" s="11"/>
      <c r="U13991" s="9"/>
      <c r="X13991" s="9"/>
    </row>
    <row r="13992">
      <c r="D13992" s="9"/>
      <c r="G13992" s="9"/>
      <c r="J13992" s="11"/>
      <c r="U13992" s="9"/>
      <c r="X13992" s="9"/>
    </row>
    <row r="13993">
      <c r="D13993" s="9"/>
      <c r="G13993" s="9"/>
      <c r="J13993" s="11"/>
      <c r="U13993" s="9"/>
      <c r="X13993" s="9"/>
    </row>
    <row r="13994">
      <c r="D13994" s="9"/>
      <c r="G13994" s="9"/>
      <c r="J13994" s="11"/>
      <c r="U13994" s="9"/>
      <c r="X13994" s="9"/>
    </row>
    <row r="13995">
      <c r="D13995" s="9"/>
      <c r="G13995" s="9"/>
      <c r="J13995" s="11"/>
      <c r="U13995" s="9"/>
      <c r="X13995" s="9"/>
    </row>
    <row r="13996">
      <c r="D13996" s="9"/>
      <c r="G13996" s="9"/>
      <c r="J13996" s="11"/>
      <c r="U13996" s="9"/>
      <c r="X13996" s="9"/>
    </row>
    <row r="13997">
      <c r="D13997" s="9"/>
      <c r="G13997" s="9"/>
      <c r="J13997" s="11"/>
      <c r="U13997" s="9"/>
      <c r="X13997" s="9"/>
    </row>
    <row r="13998">
      <c r="D13998" s="9"/>
      <c r="G13998" s="9"/>
      <c r="J13998" s="11"/>
      <c r="U13998" s="9"/>
      <c r="X13998" s="9"/>
    </row>
    <row r="13999">
      <c r="D13999" s="9"/>
      <c r="G13999" s="9"/>
      <c r="J13999" s="11"/>
      <c r="U13999" s="9"/>
      <c r="X13999" s="9"/>
    </row>
    <row r="14000">
      <c r="D14000" s="9"/>
      <c r="G14000" s="9"/>
      <c r="J14000" s="11"/>
      <c r="U14000" s="9"/>
      <c r="X14000" s="9"/>
    </row>
    <row r="14001">
      <c r="D14001" s="9"/>
      <c r="G14001" s="9"/>
      <c r="J14001" s="11"/>
      <c r="U14001" s="9"/>
      <c r="X14001" s="9"/>
    </row>
    <row r="14002">
      <c r="D14002" s="9"/>
      <c r="G14002" s="9"/>
      <c r="J14002" s="11"/>
      <c r="U14002" s="9"/>
      <c r="X14002" s="9"/>
    </row>
    <row r="14003">
      <c r="D14003" s="9"/>
      <c r="G14003" s="9"/>
      <c r="J14003" s="11"/>
      <c r="U14003" s="9"/>
      <c r="X14003" s="9"/>
    </row>
    <row r="14004">
      <c r="D14004" s="9"/>
      <c r="G14004" s="9"/>
      <c r="J14004" s="11"/>
      <c r="U14004" s="9"/>
      <c r="X14004" s="9"/>
    </row>
    <row r="14005">
      <c r="D14005" s="9"/>
      <c r="G14005" s="9"/>
      <c r="J14005" s="11"/>
      <c r="U14005" s="9"/>
      <c r="X14005" s="9"/>
    </row>
    <row r="14006">
      <c r="D14006" s="9"/>
      <c r="G14006" s="9"/>
      <c r="J14006" s="11"/>
      <c r="U14006" s="9"/>
      <c r="X14006" s="9"/>
    </row>
    <row r="14007">
      <c r="D14007" s="9"/>
      <c r="G14007" s="9"/>
      <c r="J14007" s="11"/>
      <c r="U14007" s="9"/>
      <c r="X14007" s="9"/>
    </row>
    <row r="14008">
      <c r="D14008" s="9"/>
      <c r="G14008" s="9"/>
      <c r="J14008" s="11"/>
      <c r="U14008" s="9"/>
      <c r="X14008" s="9"/>
    </row>
    <row r="14009">
      <c r="D14009" s="9"/>
      <c r="G14009" s="9"/>
      <c r="J14009" s="11"/>
      <c r="U14009" s="9"/>
      <c r="X14009" s="9"/>
    </row>
    <row r="14010">
      <c r="D14010" s="9"/>
      <c r="G14010" s="9"/>
      <c r="J14010" s="11"/>
      <c r="U14010" s="9"/>
      <c r="X14010" s="9"/>
    </row>
    <row r="14011">
      <c r="D14011" s="9"/>
      <c r="G14011" s="9"/>
      <c r="J14011" s="11"/>
      <c r="U14011" s="9"/>
      <c r="X14011" s="9"/>
    </row>
    <row r="14012">
      <c r="D14012" s="9"/>
      <c r="G14012" s="9"/>
      <c r="J14012" s="11"/>
      <c r="U14012" s="9"/>
      <c r="X14012" s="9"/>
    </row>
    <row r="14013">
      <c r="D14013" s="9"/>
      <c r="G14013" s="9"/>
      <c r="J14013" s="11"/>
      <c r="U14013" s="9"/>
      <c r="X14013" s="9"/>
    </row>
    <row r="14014">
      <c r="D14014" s="9"/>
      <c r="G14014" s="9"/>
      <c r="J14014" s="11"/>
      <c r="U14014" s="9"/>
      <c r="X14014" s="9"/>
    </row>
    <row r="14015">
      <c r="D14015" s="9"/>
      <c r="G14015" s="9"/>
      <c r="J14015" s="11"/>
      <c r="U14015" s="9"/>
      <c r="X14015" s="9"/>
    </row>
    <row r="14016">
      <c r="D14016" s="9"/>
      <c r="G14016" s="9"/>
      <c r="J14016" s="11"/>
      <c r="U14016" s="9"/>
      <c r="X14016" s="9"/>
    </row>
    <row r="14017">
      <c r="D14017" s="9"/>
      <c r="G14017" s="9"/>
      <c r="J14017" s="11"/>
      <c r="U14017" s="9"/>
      <c r="X14017" s="9"/>
    </row>
    <row r="14018">
      <c r="D14018" s="9"/>
      <c r="G14018" s="9"/>
      <c r="J14018" s="11"/>
      <c r="U14018" s="9"/>
      <c r="X14018" s="9"/>
    </row>
    <row r="14019">
      <c r="D14019" s="9"/>
      <c r="G14019" s="9"/>
      <c r="J14019" s="11"/>
      <c r="U14019" s="9"/>
      <c r="X14019" s="9"/>
    </row>
    <row r="14020">
      <c r="D14020" s="9"/>
      <c r="G14020" s="9"/>
      <c r="J14020" s="11"/>
      <c r="U14020" s="9"/>
      <c r="X14020" s="9"/>
    </row>
    <row r="14021">
      <c r="D14021" s="9"/>
      <c r="G14021" s="9"/>
      <c r="J14021" s="11"/>
      <c r="U14021" s="9"/>
      <c r="X14021" s="9"/>
    </row>
    <row r="14022">
      <c r="D14022" s="9"/>
      <c r="G14022" s="9"/>
      <c r="J14022" s="11"/>
      <c r="U14022" s="9"/>
      <c r="X14022" s="9"/>
    </row>
    <row r="14023">
      <c r="D14023" s="9"/>
      <c r="G14023" s="9"/>
      <c r="J14023" s="11"/>
      <c r="U14023" s="9"/>
      <c r="X14023" s="9"/>
    </row>
    <row r="14024">
      <c r="D14024" s="9"/>
      <c r="G14024" s="9"/>
      <c r="J14024" s="11"/>
      <c r="U14024" s="9"/>
      <c r="X14024" s="9"/>
    </row>
    <row r="14025">
      <c r="D14025" s="9"/>
      <c r="G14025" s="9"/>
      <c r="J14025" s="11"/>
      <c r="U14025" s="9"/>
      <c r="X14025" s="9"/>
    </row>
    <row r="14026">
      <c r="D14026" s="9"/>
      <c r="G14026" s="9"/>
      <c r="J14026" s="11"/>
      <c r="U14026" s="9"/>
      <c r="X14026" s="9"/>
    </row>
    <row r="14027">
      <c r="D14027" s="9"/>
      <c r="G14027" s="9"/>
      <c r="J14027" s="11"/>
      <c r="U14027" s="9"/>
      <c r="X14027" s="9"/>
    </row>
    <row r="14028">
      <c r="D14028" s="9"/>
      <c r="G14028" s="9"/>
      <c r="J14028" s="11"/>
      <c r="U14028" s="9"/>
      <c r="X14028" s="9"/>
    </row>
    <row r="14029">
      <c r="D14029" s="9"/>
      <c r="G14029" s="9"/>
      <c r="J14029" s="11"/>
      <c r="U14029" s="9"/>
      <c r="X14029" s="9"/>
    </row>
    <row r="14030">
      <c r="D14030" s="9"/>
      <c r="G14030" s="9"/>
      <c r="J14030" s="11"/>
      <c r="U14030" s="9"/>
      <c r="X14030" s="9"/>
    </row>
    <row r="14031">
      <c r="D14031" s="9"/>
      <c r="G14031" s="9"/>
      <c r="J14031" s="11"/>
      <c r="U14031" s="9"/>
      <c r="X14031" s="9"/>
    </row>
    <row r="14032">
      <c r="D14032" s="9"/>
      <c r="G14032" s="9"/>
      <c r="J14032" s="11"/>
      <c r="U14032" s="9"/>
      <c r="X14032" s="9"/>
    </row>
    <row r="14033">
      <c r="D14033" s="9"/>
      <c r="G14033" s="9"/>
      <c r="J14033" s="11"/>
      <c r="U14033" s="9"/>
      <c r="X14033" s="9"/>
    </row>
    <row r="14034">
      <c r="D14034" s="9"/>
      <c r="G14034" s="9"/>
      <c r="J14034" s="11"/>
      <c r="U14034" s="9"/>
      <c r="X14034" s="9"/>
    </row>
    <row r="14035">
      <c r="D14035" s="9"/>
      <c r="G14035" s="9"/>
      <c r="J14035" s="11"/>
      <c r="U14035" s="9"/>
      <c r="X14035" s="9"/>
    </row>
    <row r="14036">
      <c r="D14036" s="9"/>
      <c r="G14036" s="9"/>
      <c r="J14036" s="11"/>
      <c r="U14036" s="9"/>
      <c r="X14036" s="9"/>
    </row>
    <row r="14037">
      <c r="D14037" s="9"/>
      <c r="G14037" s="9"/>
      <c r="J14037" s="11"/>
      <c r="U14037" s="9"/>
      <c r="X14037" s="9"/>
    </row>
    <row r="14038">
      <c r="D14038" s="9"/>
      <c r="G14038" s="9"/>
      <c r="J14038" s="11"/>
      <c r="U14038" s="9"/>
      <c r="X14038" s="9"/>
    </row>
    <row r="14039">
      <c r="D14039" s="9"/>
      <c r="G14039" s="9"/>
      <c r="J14039" s="11"/>
      <c r="U14039" s="9"/>
      <c r="X14039" s="9"/>
    </row>
    <row r="14040">
      <c r="D14040" s="9"/>
      <c r="G14040" s="9"/>
      <c r="J14040" s="11"/>
      <c r="U14040" s="9"/>
      <c r="X14040" s="9"/>
    </row>
    <row r="14041">
      <c r="D14041" s="9"/>
      <c r="G14041" s="9"/>
      <c r="J14041" s="11"/>
      <c r="U14041" s="9"/>
      <c r="X14041" s="9"/>
    </row>
    <row r="14042">
      <c r="D14042" s="9"/>
      <c r="G14042" s="9"/>
      <c r="J14042" s="11"/>
      <c r="U14042" s="9"/>
      <c r="X14042" s="9"/>
    </row>
    <row r="14043">
      <c r="D14043" s="9"/>
      <c r="G14043" s="9"/>
      <c r="J14043" s="11"/>
      <c r="U14043" s="9"/>
      <c r="X14043" s="9"/>
    </row>
    <row r="14044">
      <c r="D14044" s="9"/>
      <c r="G14044" s="9"/>
      <c r="J14044" s="11"/>
      <c r="U14044" s="9"/>
      <c r="X14044" s="9"/>
    </row>
    <row r="14045">
      <c r="D14045" s="9"/>
      <c r="G14045" s="9"/>
      <c r="J14045" s="11"/>
      <c r="U14045" s="9"/>
      <c r="X14045" s="9"/>
    </row>
    <row r="14046">
      <c r="D14046" s="9"/>
      <c r="G14046" s="9"/>
      <c r="J14046" s="11"/>
      <c r="U14046" s="9"/>
      <c r="X14046" s="9"/>
    </row>
    <row r="14047">
      <c r="D14047" s="9"/>
      <c r="G14047" s="9"/>
      <c r="J14047" s="11"/>
      <c r="U14047" s="9"/>
      <c r="X14047" s="9"/>
    </row>
    <row r="14048">
      <c r="D14048" s="9"/>
      <c r="G14048" s="9"/>
      <c r="J14048" s="11"/>
      <c r="U14048" s="9"/>
      <c r="X14048" s="9"/>
    </row>
    <row r="14049">
      <c r="D14049" s="9"/>
      <c r="G14049" s="9"/>
      <c r="J14049" s="11"/>
      <c r="U14049" s="9"/>
      <c r="X14049" s="9"/>
    </row>
    <row r="14050">
      <c r="D14050" s="9"/>
      <c r="G14050" s="9"/>
      <c r="J14050" s="11"/>
      <c r="U14050" s="9"/>
      <c r="X14050" s="9"/>
    </row>
    <row r="14051">
      <c r="D14051" s="9"/>
      <c r="G14051" s="9"/>
      <c r="J14051" s="11"/>
      <c r="U14051" s="9"/>
      <c r="X14051" s="9"/>
    </row>
    <row r="14052">
      <c r="D14052" s="9"/>
      <c r="G14052" s="9"/>
      <c r="J14052" s="11"/>
      <c r="U14052" s="9"/>
      <c r="X14052" s="9"/>
    </row>
    <row r="14053">
      <c r="D14053" s="9"/>
      <c r="G14053" s="9"/>
      <c r="J14053" s="11"/>
      <c r="U14053" s="9"/>
      <c r="X14053" s="9"/>
    </row>
    <row r="14054">
      <c r="D14054" s="9"/>
      <c r="G14054" s="9"/>
      <c r="J14054" s="11"/>
      <c r="U14054" s="9"/>
      <c r="X14054" s="9"/>
    </row>
    <row r="14055">
      <c r="D14055" s="9"/>
      <c r="G14055" s="9"/>
      <c r="J14055" s="11"/>
      <c r="U14055" s="9"/>
      <c r="X14055" s="9"/>
    </row>
    <row r="14056">
      <c r="D14056" s="9"/>
      <c r="G14056" s="9"/>
      <c r="J14056" s="11"/>
      <c r="U14056" s="9"/>
      <c r="X14056" s="9"/>
    </row>
    <row r="14057">
      <c r="D14057" s="9"/>
      <c r="G14057" s="9"/>
      <c r="J14057" s="11"/>
      <c r="U14057" s="9"/>
      <c r="X14057" s="9"/>
    </row>
    <row r="14058">
      <c r="D14058" s="9"/>
      <c r="G14058" s="9"/>
      <c r="J14058" s="11"/>
      <c r="U14058" s="9"/>
      <c r="X14058" s="9"/>
    </row>
    <row r="14059">
      <c r="D14059" s="9"/>
      <c r="G14059" s="9"/>
      <c r="J14059" s="11"/>
      <c r="U14059" s="9"/>
      <c r="X14059" s="9"/>
    </row>
    <row r="14060">
      <c r="D14060" s="9"/>
      <c r="G14060" s="9"/>
      <c r="J14060" s="11"/>
      <c r="U14060" s="9"/>
      <c r="X14060" s="9"/>
    </row>
    <row r="14061">
      <c r="D14061" s="9"/>
      <c r="G14061" s="9"/>
      <c r="J14061" s="11"/>
      <c r="U14061" s="9"/>
      <c r="X14061" s="9"/>
    </row>
    <row r="14062">
      <c r="D14062" s="9"/>
      <c r="G14062" s="9"/>
      <c r="J14062" s="11"/>
      <c r="U14062" s="9"/>
      <c r="X14062" s="9"/>
    </row>
    <row r="14063">
      <c r="D14063" s="9"/>
      <c r="G14063" s="9"/>
      <c r="J14063" s="11"/>
      <c r="U14063" s="9"/>
      <c r="X14063" s="9"/>
    </row>
    <row r="14064">
      <c r="D14064" s="9"/>
      <c r="G14064" s="9"/>
      <c r="J14064" s="11"/>
      <c r="U14064" s="9"/>
      <c r="X14064" s="9"/>
    </row>
    <row r="14065">
      <c r="D14065" s="9"/>
      <c r="G14065" s="9"/>
      <c r="J14065" s="11"/>
      <c r="U14065" s="9"/>
      <c r="X14065" s="9"/>
    </row>
    <row r="14066">
      <c r="D14066" s="9"/>
      <c r="G14066" s="9"/>
      <c r="J14066" s="11"/>
      <c r="U14066" s="9"/>
      <c r="X14066" s="9"/>
    </row>
    <row r="14067">
      <c r="D14067" s="9"/>
      <c r="G14067" s="9"/>
      <c r="J14067" s="11"/>
      <c r="U14067" s="9"/>
      <c r="X14067" s="9"/>
    </row>
    <row r="14068">
      <c r="D14068" s="9"/>
      <c r="G14068" s="9"/>
      <c r="J14068" s="11"/>
      <c r="U14068" s="9"/>
      <c r="X14068" s="9"/>
    </row>
    <row r="14069">
      <c r="D14069" s="9"/>
      <c r="G14069" s="9"/>
      <c r="J14069" s="11"/>
      <c r="U14069" s="9"/>
      <c r="X14069" s="9"/>
    </row>
    <row r="14070">
      <c r="D14070" s="9"/>
      <c r="G14070" s="9"/>
      <c r="J14070" s="11"/>
      <c r="U14070" s="9"/>
      <c r="X14070" s="9"/>
    </row>
    <row r="14071">
      <c r="D14071" s="9"/>
      <c r="G14071" s="9"/>
      <c r="J14071" s="11"/>
      <c r="U14071" s="9"/>
      <c r="X14071" s="9"/>
    </row>
    <row r="14072">
      <c r="D14072" s="9"/>
      <c r="G14072" s="9"/>
      <c r="J14072" s="11"/>
      <c r="U14072" s="9"/>
      <c r="X14072" s="9"/>
    </row>
    <row r="14073">
      <c r="D14073" s="9"/>
      <c r="G14073" s="9"/>
      <c r="J14073" s="11"/>
      <c r="U14073" s="9"/>
      <c r="X14073" s="9"/>
    </row>
    <row r="14074">
      <c r="D14074" s="9"/>
      <c r="G14074" s="9"/>
      <c r="J14074" s="11"/>
      <c r="U14074" s="9"/>
      <c r="X14074" s="9"/>
    </row>
    <row r="14075">
      <c r="D14075" s="9"/>
      <c r="G14075" s="9"/>
      <c r="J14075" s="11"/>
      <c r="U14075" s="9"/>
      <c r="X14075" s="9"/>
    </row>
    <row r="14076">
      <c r="D14076" s="9"/>
      <c r="G14076" s="9"/>
      <c r="J14076" s="11"/>
      <c r="U14076" s="9"/>
      <c r="X14076" s="9"/>
    </row>
    <row r="14077">
      <c r="D14077" s="9"/>
      <c r="G14077" s="9"/>
      <c r="J14077" s="11"/>
      <c r="U14077" s="9"/>
      <c r="X14077" s="9"/>
    </row>
    <row r="14078">
      <c r="D14078" s="9"/>
      <c r="G14078" s="9"/>
      <c r="J14078" s="11"/>
      <c r="U14078" s="9"/>
      <c r="X14078" s="9"/>
    </row>
    <row r="14079">
      <c r="D14079" s="9"/>
      <c r="G14079" s="9"/>
      <c r="J14079" s="11"/>
      <c r="U14079" s="9"/>
      <c r="X14079" s="9"/>
    </row>
    <row r="14080">
      <c r="D14080" s="9"/>
      <c r="G14080" s="9"/>
      <c r="J14080" s="11"/>
      <c r="U14080" s="9"/>
      <c r="X14080" s="9"/>
    </row>
    <row r="14081">
      <c r="D14081" s="9"/>
      <c r="G14081" s="9"/>
      <c r="J14081" s="11"/>
      <c r="U14081" s="9"/>
      <c r="X14081" s="9"/>
    </row>
    <row r="14082">
      <c r="D14082" s="9"/>
      <c r="G14082" s="9"/>
      <c r="J14082" s="11"/>
      <c r="U14082" s="9"/>
      <c r="X14082" s="9"/>
    </row>
    <row r="14083">
      <c r="D14083" s="9"/>
      <c r="G14083" s="9"/>
      <c r="J14083" s="11"/>
      <c r="U14083" s="9"/>
      <c r="X14083" s="9"/>
    </row>
    <row r="14084">
      <c r="D14084" s="9"/>
      <c r="G14084" s="9"/>
      <c r="J14084" s="11"/>
      <c r="U14084" s="9"/>
      <c r="X14084" s="9"/>
    </row>
    <row r="14085">
      <c r="D14085" s="9"/>
      <c r="G14085" s="9"/>
      <c r="J14085" s="11"/>
      <c r="U14085" s="9"/>
      <c r="X14085" s="9"/>
    </row>
    <row r="14086">
      <c r="D14086" s="9"/>
      <c r="G14086" s="9"/>
      <c r="J14086" s="11"/>
      <c r="U14086" s="9"/>
      <c r="X14086" s="9"/>
    </row>
    <row r="14087">
      <c r="D14087" s="9"/>
      <c r="G14087" s="9"/>
      <c r="J14087" s="11"/>
      <c r="U14087" s="9"/>
      <c r="X14087" s="9"/>
    </row>
    <row r="14088">
      <c r="D14088" s="9"/>
      <c r="G14088" s="9"/>
      <c r="J14088" s="11"/>
      <c r="U14088" s="9"/>
      <c r="X14088" s="9"/>
    </row>
    <row r="14089">
      <c r="D14089" s="9"/>
      <c r="G14089" s="9"/>
      <c r="J14089" s="11"/>
      <c r="U14089" s="9"/>
      <c r="X14089" s="9"/>
    </row>
    <row r="14090">
      <c r="D14090" s="9"/>
      <c r="G14090" s="9"/>
      <c r="J14090" s="11"/>
      <c r="U14090" s="9"/>
      <c r="X14090" s="9"/>
    </row>
    <row r="14091">
      <c r="D14091" s="9"/>
      <c r="G14091" s="9"/>
      <c r="J14091" s="11"/>
      <c r="U14091" s="9"/>
      <c r="X14091" s="9"/>
    </row>
    <row r="14092">
      <c r="D14092" s="9"/>
      <c r="G14092" s="9"/>
      <c r="J14092" s="11"/>
      <c r="U14092" s="9"/>
      <c r="X14092" s="9"/>
    </row>
    <row r="14093">
      <c r="D14093" s="9"/>
      <c r="G14093" s="9"/>
      <c r="J14093" s="11"/>
      <c r="U14093" s="9"/>
      <c r="X14093" s="9"/>
    </row>
    <row r="14094">
      <c r="D14094" s="9"/>
      <c r="G14094" s="9"/>
      <c r="J14094" s="11"/>
      <c r="U14094" s="9"/>
      <c r="X14094" s="9"/>
    </row>
    <row r="14095">
      <c r="D14095" s="9"/>
      <c r="G14095" s="9"/>
      <c r="J14095" s="11"/>
      <c r="U14095" s="9"/>
      <c r="X14095" s="9"/>
    </row>
    <row r="14096">
      <c r="D14096" s="9"/>
      <c r="G14096" s="9"/>
      <c r="J14096" s="11"/>
      <c r="U14096" s="9"/>
      <c r="X14096" s="9"/>
    </row>
    <row r="14097">
      <c r="D14097" s="9"/>
      <c r="G14097" s="9"/>
      <c r="J14097" s="11"/>
      <c r="U14097" s="9"/>
      <c r="X14097" s="9"/>
    </row>
    <row r="14098">
      <c r="D14098" s="9"/>
      <c r="G14098" s="9"/>
      <c r="J14098" s="11"/>
      <c r="U14098" s="9"/>
      <c r="X14098" s="9"/>
    </row>
    <row r="14099">
      <c r="D14099" s="9"/>
      <c r="G14099" s="9"/>
      <c r="J14099" s="11"/>
      <c r="U14099" s="9"/>
      <c r="X14099" s="9"/>
    </row>
    <row r="14100">
      <c r="D14100" s="9"/>
      <c r="G14100" s="9"/>
      <c r="J14100" s="11"/>
      <c r="U14100" s="9"/>
      <c r="X14100" s="9"/>
    </row>
    <row r="14101">
      <c r="D14101" s="9"/>
      <c r="G14101" s="9"/>
      <c r="J14101" s="11"/>
      <c r="U14101" s="9"/>
      <c r="X14101" s="9"/>
    </row>
    <row r="14102">
      <c r="D14102" s="9"/>
      <c r="G14102" s="9"/>
      <c r="J14102" s="11"/>
      <c r="U14102" s="9"/>
      <c r="X14102" s="9"/>
    </row>
    <row r="14103">
      <c r="D14103" s="9"/>
      <c r="G14103" s="9"/>
      <c r="J14103" s="11"/>
      <c r="U14103" s="9"/>
      <c r="X14103" s="9"/>
    </row>
    <row r="14104">
      <c r="D14104" s="9"/>
      <c r="G14104" s="9"/>
      <c r="J14104" s="11"/>
      <c r="U14104" s="9"/>
      <c r="X14104" s="9"/>
    </row>
    <row r="14105">
      <c r="D14105" s="9"/>
      <c r="G14105" s="9"/>
      <c r="J14105" s="11"/>
      <c r="U14105" s="9"/>
      <c r="X14105" s="9"/>
    </row>
    <row r="14106">
      <c r="D14106" s="9"/>
      <c r="G14106" s="9"/>
      <c r="J14106" s="11"/>
      <c r="U14106" s="9"/>
      <c r="X14106" s="9"/>
    </row>
    <row r="14107">
      <c r="D14107" s="9"/>
      <c r="G14107" s="9"/>
      <c r="J14107" s="11"/>
      <c r="U14107" s="9"/>
      <c r="X14107" s="9"/>
    </row>
    <row r="14108">
      <c r="D14108" s="9"/>
      <c r="G14108" s="9"/>
      <c r="J14108" s="11"/>
      <c r="U14108" s="9"/>
      <c r="X14108" s="9"/>
    </row>
    <row r="14109">
      <c r="D14109" s="9"/>
      <c r="G14109" s="9"/>
      <c r="J14109" s="11"/>
      <c r="U14109" s="9"/>
      <c r="X14109" s="9"/>
    </row>
    <row r="14110">
      <c r="D14110" s="9"/>
      <c r="G14110" s="9"/>
      <c r="J14110" s="11"/>
      <c r="U14110" s="9"/>
      <c r="X14110" s="9"/>
    </row>
    <row r="14111">
      <c r="D14111" s="9"/>
      <c r="G14111" s="9"/>
      <c r="J14111" s="11"/>
      <c r="U14111" s="9"/>
      <c r="X14111" s="9"/>
    </row>
    <row r="14112">
      <c r="D14112" s="9"/>
      <c r="G14112" s="9"/>
      <c r="J14112" s="11"/>
      <c r="U14112" s="9"/>
      <c r="X14112" s="9"/>
    </row>
    <row r="14113">
      <c r="D14113" s="9"/>
      <c r="G14113" s="9"/>
      <c r="J14113" s="11"/>
      <c r="U14113" s="9"/>
      <c r="X14113" s="9"/>
    </row>
    <row r="14114">
      <c r="D14114" s="9"/>
      <c r="G14114" s="9"/>
      <c r="J14114" s="11"/>
      <c r="U14114" s="9"/>
      <c r="X14114" s="9"/>
    </row>
    <row r="14115">
      <c r="D14115" s="9"/>
      <c r="G14115" s="9"/>
      <c r="J14115" s="11"/>
      <c r="U14115" s="9"/>
      <c r="X14115" s="9"/>
    </row>
    <row r="14116">
      <c r="D14116" s="9"/>
      <c r="G14116" s="9"/>
      <c r="J14116" s="11"/>
      <c r="U14116" s="9"/>
      <c r="X14116" s="9"/>
    </row>
    <row r="14117">
      <c r="D14117" s="9"/>
      <c r="G14117" s="9"/>
      <c r="J14117" s="11"/>
      <c r="U14117" s="9"/>
      <c r="X14117" s="9"/>
    </row>
    <row r="14118">
      <c r="D14118" s="9"/>
      <c r="G14118" s="9"/>
      <c r="J14118" s="11"/>
      <c r="U14118" s="9"/>
      <c r="X14118" s="9"/>
    </row>
    <row r="14119">
      <c r="D14119" s="9"/>
      <c r="G14119" s="9"/>
      <c r="J14119" s="11"/>
      <c r="U14119" s="9"/>
      <c r="X14119" s="9"/>
    </row>
    <row r="14120">
      <c r="D14120" s="9"/>
      <c r="G14120" s="9"/>
      <c r="J14120" s="11"/>
      <c r="U14120" s="9"/>
      <c r="X14120" s="9"/>
    </row>
    <row r="14121">
      <c r="D14121" s="9"/>
      <c r="G14121" s="9"/>
      <c r="J14121" s="11"/>
      <c r="U14121" s="9"/>
      <c r="X14121" s="9"/>
    </row>
    <row r="14122">
      <c r="D14122" s="9"/>
      <c r="G14122" s="9"/>
      <c r="J14122" s="11"/>
      <c r="U14122" s="9"/>
      <c r="X14122" s="9"/>
    </row>
    <row r="14123">
      <c r="D14123" s="9"/>
      <c r="G14123" s="9"/>
      <c r="J14123" s="11"/>
      <c r="U14123" s="9"/>
      <c r="X14123" s="9"/>
    </row>
    <row r="14124">
      <c r="D14124" s="9"/>
      <c r="G14124" s="9"/>
      <c r="J14124" s="11"/>
      <c r="U14124" s="9"/>
      <c r="X14124" s="9"/>
    </row>
    <row r="14125">
      <c r="D14125" s="9"/>
      <c r="G14125" s="9"/>
      <c r="J14125" s="11"/>
      <c r="U14125" s="9"/>
      <c r="X14125" s="9"/>
    </row>
    <row r="14126">
      <c r="D14126" s="9"/>
      <c r="G14126" s="9"/>
      <c r="J14126" s="11"/>
      <c r="U14126" s="9"/>
      <c r="X14126" s="9"/>
    </row>
    <row r="14127">
      <c r="D14127" s="9"/>
      <c r="G14127" s="9"/>
      <c r="J14127" s="11"/>
      <c r="U14127" s="9"/>
      <c r="X14127" s="9"/>
    </row>
    <row r="14128">
      <c r="D14128" s="9"/>
      <c r="G14128" s="9"/>
      <c r="J14128" s="11"/>
      <c r="U14128" s="9"/>
      <c r="X14128" s="9"/>
    </row>
    <row r="14129">
      <c r="D14129" s="9"/>
      <c r="G14129" s="9"/>
      <c r="J14129" s="11"/>
      <c r="U14129" s="9"/>
      <c r="X14129" s="9"/>
    </row>
    <row r="14130">
      <c r="D14130" s="9"/>
      <c r="G14130" s="9"/>
      <c r="J14130" s="11"/>
      <c r="U14130" s="9"/>
      <c r="X14130" s="9"/>
    </row>
    <row r="14131">
      <c r="D14131" s="9"/>
      <c r="G14131" s="9"/>
      <c r="J14131" s="11"/>
      <c r="U14131" s="9"/>
      <c r="X14131" s="9"/>
    </row>
    <row r="14132">
      <c r="D14132" s="9"/>
      <c r="G14132" s="9"/>
      <c r="J14132" s="11"/>
      <c r="U14132" s="9"/>
      <c r="X14132" s="9"/>
    </row>
    <row r="14133">
      <c r="D14133" s="9"/>
      <c r="G14133" s="9"/>
      <c r="J14133" s="11"/>
      <c r="U14133" s="9"/>
      <c r="X14133" s="9"/>
    </row>
    <row r="14134">
      <c r="D14134" s="9"/>
      <c r="G14134" s="9"/>
      <c r="J14134" s="11"/>
      <c r="U14134" s="9"/>
      <c r="X14134" s="9"/>
    </row>
    <row r="14135">
      <c r="D14135" s="9"/>
      <c r="G14135" s="9"/>
      <c r="J14135" s="11"/>
      <c r="U14135" s="9"/>
      <c r="X14135" s="9"/>
    </row>
    <row r="14136">
      <c r="D14136" s="9"/>
      <c r="G14136" s="9"/>
      <c r="J14136" s="11"/>
      <c r="U14136" s="9"/>
      <c r="X14136" s="9"/>
    </row>
    <row r="14137">
      <c r="D14137" s="9"/>
      <c r="G14137" s="9"/>
      <c r="J14137" s="11"/>
      <c r="U14137" s="9"/>
      <c r="X14137" s="9"/>
    </row>
    <row r="14138">
      <c r="D14138" s="9"/>
      <c r="G14138" s="9"/>
      <c r="J14138" s="11"/>
      <c r="U14138" s="9"/>
      <c r="X14138" s="9"/>
    </row>
    <row r="14139">
      <c r="D14139" s="9"/>
      <c r="G14139" s="9"/>
      <c r="J14139" s="11"/>
      <c r="U14139" s="9"/>
      <c r="X14139" s="9"/>
    </row>
    <row r="14140">
      <c r="D14140" s="9"/>
      <c r="G14140" s="9"/>
      <c r="J14140" s="11"/>
      <c r="U14140" s="9"/>
      <c r="X14140" s="9"/>
    </row>
    <row r="14141">
      <c r="D14141" s="9"/>
      <c r="G14141" s="9"/>
      <c r="J14141" s="11"/>
      <c r="U14141" s="9"/>
      <c r="X14141" s="9"/>
    </row>
    <row r="14142">
      <c r="D14142" s="9"/>
      <c r="G14142" s="9"/>
      <c r="J14142" s="11"/>
      <c r="U14142" s="9"/>
      <c r="X14142" s="9"/>
    </row>
    <row r="14143">
      <c r="D14143" s="9"/>
      <c r="G14143" s="9"/>
      <c r="J14143" s="11"/>
      <c r="U14143" s="9"/>
      <c r="X14143" s="9"/>
    </row>
    <row r="14144">
      <c r="D14144" s="9"/>
      <c r="G14144" s="9"/>
      <c r="J14144" s="11"/>
      <c r="U14144" s="9"/>
      <c r="X14144" s="9"/>
    </row>
    <row r="14145">
      <c r="D14145" s="9"/>
      <c r="G14145" s="9"/>
      <c r="J14145" s="11"/>
      <c r="U14145" s="9"/>
      <c r="X14145" s="9"/>
    </row>
    <row r="14146">
      <c r="D14146" s="9"/>
      <c r="G14146" s="9"/>
      <c r="J14146" s="11"/>
      <c r="U14146" s="9"/>
      <c r="X14146" s="9"/>
    </row>
    <row r="14147">
      <c r="D14147" s="9"/>
      <c r="G14147" s="9"/>
      <c r="J14147" s="11"/>
      <c r="U14147" s="9"/>
      <c r="X14147" s="9"/>
    </row>
    <row r="14148">
      <c r="D14148" s="9"/>
      <c r="G14148" s="9"/>
      <c r="J14148" s="11"/>
      <c r="U14148" s="9"/>
      <c r="X14148" s="9"/>
    </row>
    <row r="14149">
      <c r="D14149" s="9"/>
      <c r="G14149" s="9"/>
      <c r="J14149" s="11"/>
      <c r="U14149" s="9"/>
      <c r="X14149" s="9"/>
    </row>
    <row r="14150">
      <c r="D14150" s="9"/>
      <c r="G14150" s="9"/>
      <c r="J14150" s="11"/>
      <c r="U14150" s="9"/>
      <c r="X14150" s="9"/>
    </row>
    <row r="14151">
      <c r="D14151" s="9"/>
      <c r="G14151" s="9"/>
      <c r="J14151" s="11"/>
      <c r="U14151" s="9"/>
      <c r="X14151" s="9"/>
    </row>
    <row r="14152">
      <c r="D14152" s="9"/>
      <c r="G14152" s="9"/>
      <c r="J14152" s="11"/>
      <c r="U14152" s="9"/>
      <c r="X14152" s="9"/>
    </row>
    <row r="14153">
      <c r="D14153" s="9"/>
      <c r="G14153" s="9"/>
      <c r="J14153" s="11"/>
      <c r="U14153" s="9"/>
      <c r="X14153" s="9"/>
    </row>
    <row r="14154">
      <c r="D14154" s="9"/>
      <c r="G14154" s="9"/>
      <c r="J14154" s="11"/>
      <c r="U14154" s="9"/>
      <c r="X14154" s="9"/>
    </row>
    <row r="14155">
      <c r="D14155" s="9"/>
      <c r="G14155" s="9"/>
      <c r="J14155" s="11"/>
      <c r="U14155" s="9"/>
      <c r="X14155" s="9"/>
    </row>
    <row r="14156">
      <c r="D14156" s="9"/>
      <c r="G14156" s="9"/>
      <c r="J14156" s="11"/>
      <c r="U14156" s="9"/>
      <c r="X14156" s="9"/>
    </row>
    <row r="14157">
      <c r="D14157" s="9"/>
      <c r="G14157" s="9"/>
      <c r="J14157" s="11"/>
      <c r="U14157" s="9"/>
      <c r="X14157" s="9"/>
    </row>
    <row r="14158">
      <c r="D14158" s="9"/>
      <c r="G14158" s="9"/>
      <c r="J14158" s="11"/>
      <c r="U14158" s="9"/>
      <c r="X14158" s="9"/>
    </row>
    <row r="14159">
      <c r="D14159" s="9"/>
      <c r="G14159" s="9"/>
      <c r="J14159" s="11"/>
      <c r="U14159" s="9"/>
      <c r="X14159" s="9"/>
    </row>
    <row r="14160">
      <c r="D14160" s="9"/>
      <c r="G14160" s="9"/>
      <c r="J14160" s="11"/>
      <c r="U14160" s="9"/>
      <c r="X14160" s="9"/>
    </row>
    <row r="14161">
      <c r="D14161" s="9"/>
      <c r="G14161" s="9"/>
      <c r="J14161" s="11"/>
      <c r="U14161" s="9"/>
      <c r="X14161" s="9"/>
    </row>
    <row r="14162">
      <c r="D14162" s="9"/>
      <c r="G14162" s="9"/>
      <c r="J14162" s="11"/>
      <c r="U14162" s="9"/>
      <c r="X14162" s="9"/>
    </row>
    <row r="14163">
      <c r="D14163" s="9"/>
      <c r="G14163" s="9"/>
      <c r="J14163" s="11"/>
      <c r="U14163" s="9"/>
      <c r="X14163" s="9"/>
    </row>
    <row r="14164">
      <c r="D14164" s="9"/>
      <c r="G14164" s="9"/>
      <c r="J14164" s="11"/>
      <c r="U14164" s="9"/>
      <c r="X14164" s="9"/>
    </row>
    <row r="14165">
      <c r="D14165" s="9"/>
      <c r="G14165" s="9"/>
      <c r="J14165" s="11"/>
      <c r="U14165" s="9"/>
      <c r="X14165" s="9"/>
    </row>
    <row r="14166">
      <c r="D14166" s="9"/>
      <c r="G14166" s="9"/>
      <c r="J14166" s="11"/>
      <c r="U14166" s="9"/>
      <c r="X14166" s="9"/>
    </row>
    <row r="14167">
      <c r="D14167" s="9"/>
      <c r="G14167" s="9"/>
      <c r="J14167" s="11"/>
      <c r="U14167" s="9"/>
      <c r="X14167" s="9"/>
    </row>
    <row r="14168">
      <c r="D14168" s="9"/>
      <c r="G14168" s="9"/>
      <c r="J14168" s="11"/>
      <c r="U14168" s="9"/>
      <c r="X14168" s="9"/>
    </row>
    <row r="14169">
      <c r="D14169" s="9"/>
      <c r="G14169" s="9"/>
      <c r="J14169" s="11"/>
      <c r="U14169" s="9"/>
      <c r="X14169" s="9"/>
    </row>
    <row r="14170">
      <c r="D14170" s="9"/>
      <c r="G14170" s="9"/>
      <c r="J14170" s="11"/>
      <c r="U14170" s="9"/>
      <c r="X14170" s="9"/>
    </row>
    <row r="14171">
      <c r="D14171" s="9"/>
      <c r="G14171" s="9"/>
      <c r="J14171" s="11"/>
      <c r="U14171" s="9"/>
      <c r="X14171" s="9"/>
    </row>
    <row r="14172">
      <c r="D14172" s="9"/>
      <c r="G14172" s="9"/>
      <c r="J14172" s="11"/>
      <c r="U14172" s="9"/>
      <c r="X14172" s="9"/>
    </row>
    <row r="14173">
      <c r="D14173" s="9"/>
      <c r="G14173" s="9"/>
      <c r="J14173" s="11"/>
      <c r="U14173" s="9"/>
      <c r="X14173" s="9"/>
    </row>
    <row r="14174">
      <c r="D14174" s="9"/>
      <c r="G14174" s="9"/>
      <c r="J14174" s="11"/>
      <c r="U14174" s="9"/>
      <c r="X14174" s="9"/>
    </row>
    <row r="14175">
      <c r="D14175" s="9"/>
      <c r="G14175" s="9"/>
      <c r="J14175" s="11"/>
      <c r="U14175" s="9"/>
      <c r="X14175" s="9"/>
    </row>
    <row r="14176">
      <c r="D14176" s="9"/>
      <c r="G14176" s="9"/>
      <c r="J14176" s="11"/>
      <c r="U14176" s="9"/>
      <c r="X14176" s="9"/>
    </row>
    <row r="14177">
      <c r="D14177" s="9"/>
      <c r="G14177" s="9"/>
      <c r="J14177" s="11"/>
      <c r="U14177" s="9"/>
      <c r="X14177" s="9"/>
    </row>
    <row r="14178">
      <c r="D14178" s="9"/>
      <c r="G14178" s="9"/>
      <c r="J14178" s="11"/>
      <c r="U14178" s="9"/>
      <c r="X14178" s="9"/>
    </row>
    <row r="14179">
      <c r="D14179" s="9"/>
      <c r="G14179" s="9"/>
      <c r="J14179" s="11"/>
      <c r="U14179" s="9"/>
      <c r="X14179" s="9"/>
    </row>
    <row r="14180">
      <c r="D14180" s="9"/>
      <c r="G14180" s="9"/>
      <c r="J14180" s="11"/>
      <c r="U14180" s="9"/>
      <c r="X14180" s="9"/>
    </row>
    <row r="14181">
      <c r="D14181" s="9"/>
      <c r="G14181" s="9"/>
      <c r="J14181" s="11"/>
      <c r="U14181" s="9"/>
      <c r="X14181" s="9"/>
    </row>
    <row r="14182">
      <c r="D14182" s="9"/>
      <c r="G14182" s="9"/>
      <c r="J14182" s="11"/>
      <c r="U14182" s="9"/>
      <c r="X14182" s="9"/>
    </row>
    <row r="14183">
      <c r="D14183" s="9"/>
      <c r="G14183" s="9"/>
      <c r="J14183" s="11"/>
      <c r="U14183" s="9"/>
      <c r="X14183" s="9"/>
    </row>
    <row r="14184">
      <c r="D14184" s="9"/>
      <c r="G14184" s="9"/>
      <c r="J14184" s="11"/>
      <c r="U14184" s="9"/>
      <c r="X14184" s="9"/>
    </row>
    <row r="14185">
      <c r="D14185" s="9"/>
      <c r="G14185" s="9"/>
      <c r="J14185" s="11"/>
      <c r="U14185" s="9"/>
      <c r="X14185" s="9"/>
    </row>
    <row r="14186">
      <c r="D14186" s="9"/>
      <c r="G14186" s="9"/>
      <c r="J14186" s="11"/>
      <c r="U14186" s="9"/>
      <c r="X14186" s="9"/>
    </row>
    <row r="14187">
      <c r="D14187" s="9"/>
      <c r="G14187" s="9"/>
      <c r="J14187" s="11"/>
      <c r="U14187" s="9"/>
      <c r="X14187" s="9"/>
    </row>
    <row r="14188">
      <c r="D14188" s="9"/>
      <c r="G14188" s="9"/>
      <c r="J14188" s="11"/>
      <c r="U14188" s="9"/>
      <c r="X14188" s="9"/>
    </row>
    <row r="14189">
      <c r="D14189" s="9"/>
      <c r="G14189" s="9"/>
      <c r="J14189" s="11"/>
      <c r="U14189" s="9"/>
      <c r="X14189" s="9"/>
    </row>
    <row r="14190">
      <c r="D14190" s="9"/>
      <c r="G14190" s="9"/>
      <c r="J14190" s="11"/>
      <c r="U14190" s="9"/>
      <c r="X14190" s="9"/>
    </row>
    <row r="14191">
      <c r="D14191" s="9"/>
      <c r="G14191" s="9"/>
      <c r="J14191" s="11"/>
      <c r="U14191" s="9"/>
      <c r="X14191" s="9"/>
    </row>
    <row r="14192">
      <c r="D14192" s="9"/>
      <c r="G14192" s="9"/>
      <c r="J14192" s="11"/>
      <c r="U14192" s="9"/>
      <c r="X14192" s="9"/>
    </row>
    <row r="14193">
      <c r="D14193" s="9"/>
      <c r="G14193" s="9"/>
      <c r="J14193" s="11"/>
      <c r="U14193" s="9"/>
      <c r="X14193" s="9"/>
    </row>
    <row r="14194">
      <c r="D14194" s="9"/>
      <c r="G14194" s="9"/>
      <c r="J14194" s="11"/>
      <c r="U14194" s="9"/>
      <c r="X14194" s="9"/>
    </row>
    <row r="14195">
      <c r="D14195" s="9"/>
      <c r="G14195" s="9"/>
      <c r="J14195" s="11"/>
      <c r="U14195" s="9"/>
      <c r="X14195" s="9"/>
    </row>
    <row r="14196">
      <c r="D14196" s="9"/>
      <c r="G14196" s="9"/>
      <c r="J14196" s="11"/>
      <c r="U14196" s="9"/>
      <c r="X14196" s="9"/>
    </row>
    <row r="14197">
      <c r="D14197" s="9"/>
      <c r="G14197" s="9"/>
      <c r="J14197" s="11"/>
      <c r="U14197" s="9"/>
      <c r="X14197" s="9"/>
    </row>
    <row r="14198">
      <c r="D14198" s="9"/>
      <c r="G14198" s="9"/>
      <c r="J14198" s="11"/>
      <c r="U14198" s="9"/>
      <c r="X14198" s="9"/>
    </row>
    <row r="14199">
      <c r="D14199" s="9"/>
      <c r="G14199" s="9"/>
      <c r="J14199" s="11"/>
      <c r="U14199" s="9"/>
      <c r="X14199" s="9"/>
    </row>
    <row r="14200">
      <c r="D14200" s="9"/>
      <c r="G14200" s="9"/>
      <c r="J14200" s="11"/>
      <c r="U14200" s="9"/>
      <c r="X14200" s="9"/>
    </row>
    <row r="14201">
      <c r="D14201" s="9"/>
      <c r="G14201" s="9"/>
      <c r="J14201" s="11"/>
      <c r="U14201" s="9"/>
      <c r="X14201" s="9"/>
    </row>
    <row r="14202">
      <c r="D14202" s="9"/>
      <c r="G14202" s="9"/>
      <c r="J14202" s="11"/>
      <c r="U14202" s="9"/>
      <c r="X14202" s="9"/>
    </row>
    <row r="14203">
      <c r="D14203" s="9"/>
      <c r="G14203" s="9"/>
      <c r="J14203" s="11"/>
      <c r="U14203" s="9"/>
      <c r="X14203" s="9"/>
    </row>
    <row r="14204">
      <c r="D14204" s="9"/>
      <c r="G14204" s="9"/>
      <c r="J14204" s="11"/>
      <c r="U14204" s="9"/>
      <c r="X14204" s="9"/>
    </row>
    <row r="14205">
      <c r="D14205" s="9"/>
      <c r="G14205" s="9"/>
      <c r="J14205" s="11"/>
      <c r="U14205" s="9"/>
      <c r="X14205" s="9"/>
    </row>
    <row r="14206">
      <c r="D14206" s="9"/>
      <c r="G14206" s="9"/>
      <c r="J14206" s="11"/>
      <c r="U14206" s="9"/>
      <c r="X14206" s="9"/>
    </row>
    <row r="14207">
      <c r="D14207" s="9"/>
      <c r="G14207" s="9"/>
      <c r="J14207" s="11"/>
      <c r="U14207" s="9"/>
      <c r="X14207" s="9"/>
    </row>
    <row r="14208">
      <c r="D14208" s="9"/>
      <c r="G14208" s="9"/>
      <c r="J14208" s="11"/>
      <c r="U14208" s="9"/>
      <c r="X14208" s="9"/>
    </row>
    <row r="14209">
      <c r="D14209" s="9"/>
      <c r="G14209" s="9"/>
      <c r="J14209" s="11"/>
      <c r="U14209" s="9"/>
      <c r="X14209" s="9"/>
    </row>
    <row r="14210">
      <c r="D14210" s="9"/>
      <c r="G14210" s="9"/>
      <c r="J14210" s="11"/>
      <c r="U14210" s="9"/>
      <c r="X14210" s="9"/>
    </row>
    <row r="14211">
      <c r="D14211" s="9"/>
      <c r="G14211" s="9"/>
      <c r="J14211" s="11"/>
      <c r="U14211" s="9"/>
      <c r="X14211" s="9"/>
    </row>
    <row r="14212">
      <c r="D14212" s="9"/>
      <c r="G14212" s="9"/>
      <c r="J14212" s="11"/>
      <c r="U14212" s="9"/>
      <c r="X14212" s="9"/>
    </row>
    <row r="14213">
      <c r="D14213" s="9"/>
      <c r="G14213" s="9"/>
      <c r="J14213" s="11"/>
      <c r="U14213" s="9"/>
      <c r="X14213" s="9"/>
    </row>
    <row r="14214">
      <c r="D14214" s="9"/>
      <c r="G14214" s="9"/>
      <c r="J14214" s="11"/>
      <c r="U14214" s="9"/>
      <c r="X14214" s="9"/>
    </row>
    <row r="14215">
      <c r="D14215" s="9"/>
      <c r="G14215" s="9"/>
      <c r="J14215" s="11"/>
      <c r="U14215" s="9"/>
      <c r="X14215" s="9"/>
    </row>
    <row r="14216">
      <c r="D14216" s="9"/>
      <c r="G14216" s="9"/>
      <c r="J14216" s="11"/>
      <c r="U14216" s="9"/>
      <c r="X14216" s="9"/>
    </row>
    <row r="14217">
      <c r="D14217" s="9"/>
      <c r="G14217" s="9"/>
      <c r="J14217" s="11"/>
      <c r="U14217" s="9"/>
      <c r="X14217" s="9"/>
    </row>
    <row r="14218">
      <c r="D14218" s="9"/>
      <c r="G14218" s="9"/>
      <c r="J14218" s="11"/>
      <c r="U14218" s="9"/>
      <c r="X14218" s="9"/>
    </row>
    <row r="14219">
      <c r="D14219" s="9"/>
      <c r="G14219" s="9"/>
      <c r="J14219" s="11"/>
      <c r="U14219" s="9"/>
      <c r="X14219" s="9"/>
    </row>
    <row r="14220">
      <c r="D14220" s="9"/>
      <c r="G14220" s="9"/>
      <c r="J14220" s="11"/>
      <c r="U14220" s="9"/>
      <c r="X14220" s="9"/>
    </row>
    <row r="14221">
      <c r="D14221" s="9"/>
      <c r="G14221" s="9"/>
      <c r="J14221" s="11"/>
      <c r="U14221" s="9"/>
      <c r="X14221" s="9"/>
    </row>
    <row r="14222">
      <c r="D14222" s="9"/>
      <c r="G14222" s="9"/>
      <c r="J14222" s="11"/>
      <c r="U14222" s="9"/>
      <c r="X14222" s="9"/>
    </row>
    <row r="14223">
      <c r="D14223" s="9"/>
      <c r="G14223" s="9"/>
      <c r="J14223" s="11"/>
      <c r="U14223" s="9"/>
      <c r="X14223" s="9"/>
    </row>
    <row r="14224">
      <c r="D14224" s="9"/>
      <c r="G14224" s="9"/>
      <c r="J14224" s="11"/>
      <c r="U14224" s="9"/>
      <c r="X14224" s="9"/>
    </row>
    <row r="14225">
      <c r="D14225" s="9"/>
      <c r="G14225" s="9"/>
      <c r="J14225" s="11"/>
      <c r="U14225" s="9"/>
      <c r="X14225" s="9"/>
    </row>
    <row r="14226">
      <c r="D14226" s="9"/>
      <c r="G14226" s="9"/>
      <c r="J14226" s="11"/>
      <c r="U14226" s="9"/>
      <c r="X14226" s="9"/>
    </row>
    <row r="14227">
      <c r="D14227" s="9"/>
      <c r="G14227" s="9"/>
      <c r="J14227" s="11"/>
      <c r="U14227" s="9"/>
      <c r="X14227" s="9"/>
    </row>
    <row r="14228">
      <c r="D14228" s="9"/>
      <c r="G14228" s="9"/>
      <c r="J14228" s="11"/>
      <c r="U14228" s="9"/>
      <c r="X14228" s="9"/>
    </row>
    <row r="14229">
      <c r="D14229" s="9"/>
      <c r="G14229" s="9"/>
      <c r="J14229" s="11"/>
      <c r="U14229" s="9"/>
      <c r="X14229" s="9"/>
    </row>
    <row r="14230">
      <c r="D14230" s="9"/>
      <c r="G14230" s="9"/>
      <c r="J14230" s="11"/>
      <c r="U14230" s="9"/>
      <c r="X14230" s="9"/>
    </row>
    <row r="14231">
      <c r="D14231" s="9"/>
      <c r="G14231" s="9"/>
      <c r="J14231" s="11"/>
      <c r="U14231" s="9"/>
      <c r="X14231" s="9"/>
    </row>
    <row r="14232">
      <c r="D14232" s="9"/>
      <c r="G14232" s="9"/>
      <c r="J14232" s="11"/>
      <c r="U14232" s="9"/>
      <c r="X14232" s="9"/>
    </row>
    <row r="14233">
      <c r="D14233" s="9"/>
      <c r="G14233" s="9"/>
      <c r="J14233" s="11"/>
      <c r="U14233" s="9"/>
      <c r="X14233" s="9"/>
    </row>
    <row r="14234">
      <c r="D14234" s="9"/>
      <c r="G14234" s="9"/>
      <c r="J14234" s="11"/>
      <c r="U14234" s="9"/>
      <c r="X14234" s="9"/>
    </row>
    <row r="14235">
      <c r="D14235" s="9"/>
      <c r="G14235" s="9"/>
      <c r="J14235" s="11"/>
      <c r="U14235" s="9"/>
      <c r="X14235" s="9"/>
    </row>
    <row r="14236">
      <c r="D14236" s="9"/>
      <c r="G14236" s="9"/>
      <c r="J14236" s="11"/>
      <c r="U14236" s="9"/>
      <c r="X14236" s="9"/>
    </row>
    <row r="14237">
      <c r="D14237" s="9"/>
      <c r="G14237" s="9"/>
      <c r="J14237" s="11"/>
      <c r="U14237" s="9"/>
      <c r="X14237" s="9"/>
    </row>
    <row r="14238">
      <c r="D14238" s="9"/>
      <c r="G14238" s="9"/>
      <c r="J14238" s="11"/>
      <c r="U14238" s="9"/>
      <c r="X14238" s="9"/>
    </row>
    <row r="14239">
      <c r="D14239" s="9"/>
      <c r="G14239" s="9"/>
      <c r="J14239" s="11"/>
      <c r="U14239" s="9"/>
      <c r="X14239" s="9"/>
    </row>
    <row r="14240">
      <c r="D14240" s="9"/>
      <c r="G14240" s="9"/>
      <c r="J14240" s="11"/>
      <c r="U14240" s="9"/>
      <c r="X14240" s="9"/>
    </row>
    <row r="14241">
      <c r="D14241" s="9"/>
      <c r="G14241" s="9"/>
      <c r="J14241" s="11"/>
      <c r="U14241" s="9"/>
      <c r="X14241" s="9"/>
    </row>
    <row r="14242">
      <c r="D14242" s="9"/>
      <c r="G14242" s="9"/>
      <c r="J14242" s="11"/>
      <c r="U14242" s="9"/>
      <c r="X14242" s="9"/>
    </row>
    <row r="14243">
      <c r="D14243" s="9"/>
      <c r="G14243" s="9"/>
      <c r="J14243" s="11"/>
      <c r="U14243" s="9"/>
      <c r="X14243" s="9"/>
    </row>
    <row r="14244">
      <c r="D14244" s="9"/>
      <c r="G14244" s="9"/>
      <c r="J14244" s="11"/>
      <c r="U14244" s="9"/>
      <c r="X14244" s="9"/>
    </row>
    <row r="14245">
      <c r="D14245" s="9"/>
      <c r="G14245" s="9"/>
      <c r="J14245" s="11"/>
      <c r="U14245" s="9"/>
      <c r="X14245" s="9"/>
    </row>
    <row r="14246">
      <c r="D14246" s="9"/>
      <c r="G14246" s="9"/>
      <c r="J14246" s="11"/>
      <c r="U14246" s="9"/>
      <c r="X14246" s="9"/>
    </row>
    <row r="14247">
      <c r="D14247" s="9"/>
      <c r="G14247" s="9"/>
      <c r="J14247" s="11"/>
      <c r="U14247" s="9"/>
      <c r="X14247" s="9"/>
    </row>
    <row r="14248">
      <c r="D14248" s="9"/>
      <c r="G14248" s="9"/>
      <c r="J14248" s="11"/>
      <c r="U14248" s="9"/>
      <c r="X14248" s="9"/>
    </row>
    <row r="14249">
      <c r="D14249" s="9"/>
      <c r="G14249" s="9"/>
      <c r="J14249" s="11"/>
      <c r="U14249" s="9"/>
      <c r="X14249" s="9"/>
    </row>
    <row r="14250">
      <c r="D14250" s="9"/>
      <c r="G14250" s="9"/>
      <c r="J14250" s="11"/>
      <c r="U14250" s="9"/>
      <c r="X14250" s="9"/>
    </row>
    <row r="14251">
      <c r="D14251" s="9"/>
      <c r="G14251" s="9"/>
      <c r="J14251" s="11"/>
      <c r="U14251" s="9"/>
      <c r="X14251" s="9"/>
    </row>
    <row r="14252">
      <c r="D14252" s="9"/>
      <c r="G14252" s="9"/>
      <c r="J14252" s="11"/>
      <c r="U14252" s="9"/>
      <c r="X14252" s="9"/>
    </row>
    <row r="14253">
      <c r="D14253" s="9"/>
      <c r="G14253" s="9"/>
      <c r="J14253" s="11"/>
      <c r="U14253" s="9"/>
      <c r="X14253" s="9"/>
    </row>
    <row r="14254">
      <c r="D14254" s="9"/>
      <c r="G14254" s="9"/>
      <c r="J14254" s="11"/>
      <c r="U14254" s="9"/>
      <c r="X14254" s="9"/>
    </row>
    <row r="14255">
      <c r="D14255" s="9"/>
      <c r="G14255" s="9"/>
      <c r="J14255" s="11"/>
      <c r="U14255" s="9"/>
      <c r="X14255" s="9"/>
    </row>
    <row r="14256">
      <c r="D14256" s="9"/>
      <c r="G14256" s="9"/>
      <c r="J14256" s="11"/>
      <c r="U14256" s="9"/>
      <c r="X14256" s="9"/>
    </row>
    <row r="14257">
      <c r="D14257" s="9"/>
      <c r="G14257" s="9"/>
      <c r="J14257" s="11"/>
      <c r="U14257" s="9"/>
      <c r="X14257" s="9"/>
    </row>
    <row r="14258">
      <c r="D14258" s="9"/>
      <c r="G14258" s="9"/>
      <c r="J14258" s="11"/>
      <c r="U14258" s="9"/>
      <c r="X14258" s="9"/>
    </row>
    <row r="14259">
      <c r="D14259" s="9"/>
      <c r="G14259" s="9"/>
      <c r="J14259" s="11"/>
      <c r="U14259" s="9"/>
      <c r="X14259" s="9"/>
    </row>
    <row r="14260">
      <c r="D14260" s="9"/>
      <c r="G14260" s="9"/>
      <c r="J14260" s="11"/>
      <c r="U14260" s="9"/>
      <c r="X14260" s="9"/>
    </row>
    <row r="14261">
      <c r="D14261" s="9"/>
      <c r="G14261" s="9"/>
      <c r="J14261" s="11"/>
      <c r="U14261" s="9"/>
      <c r="X14261" s="9"/>
    </row>
    <row r="14262">
      <c r="D14262" s="9"/>
      <c r="G14262" s="9"/>
      <c r="J14262" s="11"/>
      <c r="U14262" s="9"/>
      <c r="X14262" s="9"/>
    </row>
    <row r="14263">
      <c r="D14263" s="9"/>
      <c r="G14263" s="9"/>
      <c r="J14263" s="11"/>
      <c r="U14263" s="9"/>
      <c r="X14263" s="9"/>
    </row>
    <row r="14264">
      <c r="D14264" s="9"/>
      <c r="G14264" s="9"/>
      <c r="J14264" s="11"/>
      <c r="U14264" s="9"/>
      <c r="X14264" s="9"/>
    </row>
    <row r="14265">
      <c r="D14265" s="9"/>
      <c r="G14265" s="9"/>
      <c r="J14265" s="11"/>
      <c r="U14265" s="9"/>
      <c r="X14265" s="9"/>
    </row>
    <row r="14266">
      <c r="D14266" s="9"/>
      <c r="G14266" s="9"/>
      <c r="J14266" s="11"/>
      <c r="U14266" s="9"/>
      <c r="X14266" s="9"/>
    </row>
    <row r="14267">
      <c r="D14267" s="9"/>
      <c r="G14267" s="9"/>
      <c r="J14267" s="11"/>
      <c r="U14267" s="9"/>
      <c r="X14267" s="9"/>
    </row>
    <row r="14268">
      <c r="D14268" s="9"/>
      <c r="G14268" s="9"/>
      <c r="J14268" s="11"/>
      <c r="U14268" s="9"/>
      <c r="X14268" s="9"/>
    </row>
    <row r="14269">
      <c r="D14269" s="9"/>
      <c r="G14269" s="9"/>
      <c r="J14269" s="11"/>
      <c r="U14269" s="9"/>
      <c r="X14269" s="9"/>
    </row>
    <row r="14270">
      <c r="D14270" s="9"/>
      <c r="G14270" s="9"/>
      <c r="J14270" s="11"/>
      <c r="U14270" s="9"/>
      <c r="X14270" s="9"/>
    </row>
    <row r="14271">
      <c r="D14271" s="9"/>
      <c r="G14271" s="9"/>
      <c r="J14271" s="11"/>
      <c r="U14271" s="9"/>
      <c r="X14271" s="9"/>
    </row>
    <row r="14272">
      <c r="D14272" s="9"/>
      <c r="G14272" s="9"/>
      <c r="J14272" s="11"/>
      <c r="U14272" s="9"/>
      <c r="X14272" s="9"/>
    </row>
    <row r="14273">
      <c r="D14273" s="9"/>
      <c r="G14273" s="9"/>
      <c r="J14273" s="11"/>
      <c r="U14273" s="9"/>
      <c r="X14273" s="9"/>
    </row>
    <row r="14274">
      <c r="D14274" s="9"/>
      <c r="G14274" s="9"/>
      <c r="J14274" s="11"/>
      <c r="U14274" s="9"/>
      <c r="X14274" s="9"/>
    </row>
    <row r="14275">
      <c r="D14275" s="9"/>
      <c r="G14275" s="9"/>
      <c r="J14275" s="11"/>
      <c r="U14275" s="9"/>
      <c r="X14275" s="9"/>
    </row>
    <row r="14276">
      <c r="D14276" s="9"/>
      <c r="G14276" s="9"/>
      <c r="J14276" s="11"/>
      <c r="U14276" s="9"/>
      <c r="X14276" s="9"/>
    </row>
    <row r="14277">
      <c r="D14277" s="9"/>
      <c r="G14277" s="9"/>
      <c r="J14277" s="11"/>
      <c r="U14277" s="9"/>
      <c r="X14277" s="9"/>
    </row>
    <row r="14278">
      <c r="D14278" s="9"/>
      <c r="G14278" s="9"/>
      <c r="J14278" s="11"/>
      <c r="U14278" s="9"/>
      <c r="X14278" s="9"/>
    </row>
    <row r="14279">
      <c r="D14279" s="9"/>
      <c r="G14279" s="9"/>
      <c r="J14279" s="11"/>
      <c r="U14279" s="9"/>
      <c r="X14279" s="9"/>
    </row>
    <row r="14280">
      <c r="D14280" s="9"/>
      <c r="G14280" s="9"/>
      <c r="J14280" s="11"/>
      <c r="U14280" s="9"/>
      <c r="X14280" s="9"/>
    </row>
    <row r="14281">
      <c r="D14281" s="9"/>
      <c r="G14281" s="9"/>
      <c r="J14281" s="11"/>
      <c r="U14281" s="9"/>
      <c r="X14281" s="9"/>
    </row>
    <row r="14282">
      <c r="D14282" s="9"/>
      <c r="G14282" s="9"/>
      <c r="J14282" s="11"/>
      <c r="U14282" s="9"/>
      <c r="X14282" s="9"/>
    </row>
    <row r="14283">
      <c r="D14283" s="9"/>
      <c r="G14283" s="9"/>
      <c r="J14283" s="11"/>
      <c r="U14283" s="9"/>
      <c r="X14283" s="9"/>
    </row>
    <row r="14284">
      <c r="D14284" s="9"/>
      <c r="G14284" s="9"/>
      <c r="J14284" s="11"/>
      <c r="U14284" s="9"/>
      <c r="X14284" s="9"/>
    </row>
    <row r="14285">
      <c r="D14285" s="9"/>
      <c r="G14285" s="9"/>
      <c r="J14285" s="11"/>
      <c r="U14285" s="9"/>
      <c r="X14285" s="9"/>
    </row>
    <row r="14286">
      <c r="D14286" s="9"/>
      <c r="G14286" s="9"/>
      <c r="J14286" s="11"/>
      <c r="U14286" s="9"/>
      <c r="X14286" s="9"/>
    </row>
    <row r="14287">
      <c r="D14287" s="9"/>
      <c r="G14287" s="9"/>
      <c r="J14287" s="11"/>
      <c r="U14287" s="9"/>
      <c r="X14287" s="9"/>
    </row>
    <row r="14288">
      <c r="D14288" s="9"/>
      <c r="G14288" s="9"/>
      <c r="J14288" s="11"/>
      <c r="U14288" s="9"/>
      <c r="X14288" s="9"/>
    </row>
    <row r="14289">
      <c r="D14289" s="9"/>
      <c r="G14289" s="9"/>
      <c r="J14289" s="11"/>
      <c r="U14289" s="9"/>
      <c r="X14289" s="9"/>
    </row>
    <row r="14290">
      <c r="D14290" s="9"/>
      <c r="G14290" s="9"/>
      <c r="J14290" s="11"/>
      <c r="U14290" s="9"/>
      <c r="X14290" s="9"/>
    </row>
    <row r="14291">
      <c r="D14291" s="9"/>
      <c r="G14291" s="9"/>
      <c r="J14291" s="11"/>
      <c r="U14291" s="9"/>
      <c r="X14291" s="9"/>
    </row>
    <row r="14292">
      <c r="D14292" s="9"/>
      <c r="G14292" s="9"/>
      <c r="J14292" s="11"/>
      <c r="U14292" s="9"/>
      <c r="X14292" s="9"/>
    </row>
    <row r="14293">
      <c r="D14293" s="9"/>
      <c r="G14293" s="9"/>
      <c r="J14293" s="11"/>
      <c r="U14293" s="9"/>
      <c r="X14293" s="9"/>
    </row>
    <row r="14294">
      <c r="D14294" s="9"/>
      <c r="G14294" s="9"/>
      <c r="J14294" s="11"/>
      <c r="U14294" s="9"/>
      <c r="X14294" s="9"/>
    </row>
    <row r="14295">
      <c r="D14295" s="9"/>
      <c r="G14295" s="9"/>
      <c r="J14295" s="11"/>
      <c r="U14295" s="9"/>
      <c r="X14295" s="9"/>
    </row>
    <row r="14296">
      <c r="D14296" s="9"/>
      <c r="G14296" s="9"/>
      <c r="J14296" s="11"/>
      <c r="U14296" s="9"/>
      <c r="X14296" s="9"/>
    </row>
    <row r="14297">
      <c r="D14297" s="9"/>
      <c r="G14297" s="9"/>
      <c r="J14297" s="11"/>
      <c r="U14297" s="9"/>
      <c r="X14297" s="9"/>
    </row>
    <row r="14298">
      <c r="D14298" s="9"/>
      <c r="G14298" s="9"/>
      <c r="J14298" s="11"/>
      <c r="U14298" s="9"/>
      <c r="X14298" s="9"/>
    </row>
    <row r="14299">
      <c r="D14299" s="9"/>
      <c r="G14299" s="9"/>
      <c r="J14299" s="11"/>
      <c r="U14299" s="9"/>
      <c r="X14299" s="9"/>
    </row>
    <row r="14300">
      <c r="D14300" s="9"/>
      <c r="G14300" s="9"/>
      <c r="J14300" s="11"/>
      <c r="U14300" s="9"/>
      <c r="X14300" s="9"/>
    </row>
    <row r="14301">
      <c r="D14301" s="9"/>
      <c r="G14301" s="9"/>
      <c r="J14301" s="11"/>
      <c r="U14301" s="9"/>
      <c r="X14301" s="9"/>
    </row>
    <row r="14302">
      <c r="D14302" s="9"/>
      <c r="G14302" s="9"/>
      <c r="J14302" s="11"/>
      <c r="U14302" s="9"/>
      <c r="X14302" s="9"/>
    </row>
    <row r="14303">
      <c r="D14303" s="9"/>
      <c r="G14303" s="9"/>
      <c r="J14303" s="11"/>
      <c r="U14303" s="9"/>
      <c r="X14303" s="9"/>
    </row>
    <row r="14304">
      <c r="D14304" s="9"/>
      <c r="G14304" s="9"/>
      <c r="J14304" s="11"/>
      <c r="U14304" s="9"/>
      <c r="X14304" s="9"/>
    </row>
    <row r="14305">
      <c r="D14305" s="9"/>
      <c r="G14305" s="9"/>
      <c r="J14305" s="11"/>
      <c r="U14305" s="9"/>
      <c r="X14305" s="9"/>
    </row>
    <row r="14306">
      <c r="D14306" s="9"/>
      <c r="G14306" s="9"/>
      <c r="J14306" s="11"/>
      <c r="U14306" s="9"/>
      <c r="X14306" s="9"/>
    </row>
    <row r="14307">
      <c r="D14307" s="9"/>
      <c r="G14307" s="9"/>
      <c r="J14307" s="11"/>
      <c r="U14307" s="9"/>
      <c r="X14307" s="9"/>
    </row>
    <row r="14308">
      <c r="D14308" s="9"/>
      <c r="G14308" s="9"/>
      <c r="J14308" s="11"/>
      <c r="U14308" s="9"/>
      <c r="X14308" s="9"/>
    </row>
    <row r="14309">
      <c r="D14309" s="9"/>
      <c r="G14309" s="9"/>
      <c r="J14309" s="11"/>
      <c r="U14309" s="9"/>
      <c r="X14309" s="9"/>
    </row>
    <row r="14310">
      <c r="D14310" s="9"/>
      <c r="G14310" s="9"/>
      <c r="J14310" s="11"/>
      <c r="U14310" s="9"/>
      <c r="X14310" s="9"/>
    </row>
    <row r="14311">
      <c r="D14311" s="9"/>
      <c r="G14311" s="9"/>
      <c r="J14311" s="11"/>
      <c r="U14311" s="9"/>
      <c r="X14311" s="9"/>
    </row>
    <row r="14312">
      <c r="D14312" s="9"/>
      <c r="G14312" s="9"/>
      <c r="J14312" s="11"/>
      <c r="U14312" s="9"/>
      <c r="X14312" s="9"/>
    </row>
    <row r="14313">
      <c r="D14313" s="9"/>
      <c r="G14313" s="9"/>
      <c r="J14313" s="11"/>
      <c r="U14313" s="9"/>
      <c r="X14313" s="9"/>
    </row>
    <row r="14314">
      <c r="D14314" s="9"/>
      <c r="G14314" s="9"/>
      <c r="J14314" s="11"/>
      <c r="U14314" s="9"/>
      <c r="X14314" s="9"/>
    </row>
    <row r="14315">
      <c r="D14315" s="9"/>
      <c r="G14315" s="9"/>
      <c r="J14315" s="11"/>
      <c r="U14315" s="9"/>
      <c r="X14315" s="9"/>
    </row>
    <row r="14316">
      <c r="D14316" s="9"/>
      <c r="G14316" s="9"/>
      <c r="J14316" s="11"/>
      <c r="U14316" s="9"/>
      <c r="X14316" s="9"/>
    </row>
    <row r="14317">
      <c r="D14317" s="9"/>
      <c r="G14317" s="9"/>
      <c r="J14317" s="11"/>
      <c r="U14317" s="9"/>
      <c r="X14317" s="9"/>
    </row>
    <row r="14318">
      <c r="D14318" s="9"/>
      <c r="G14318" s="9"/>
      <c r="J14318" s="11"/>
      <c r="U14318" s="9"/>
      <c r="X14318" s="9"/>
    </row>
    <row r="14319">
      <c r="D14319" s="9"/>
      <c r="G14319" s="9"/>
      <c r="J14319" s="11"/>
      <c r="U14319" s="9"/>
      <c r="X14319" s="9"/>
    </row>
    <row r="14320">
      <c r="D14320" s="9"/>
      <c r="G14320" s="9"/>
      <c r="J14320" s="11"/>
      <c r="U14320" s="9"/>
      <c r="X14320" s="9"/>
    </row>
    <row r="14321">
      <c r="D14321" s="9"/>
      <c r="G14321" s="9"/>
      <c r="J14321" s="11"/>
      <c r="U14321" s="9"/>
      <c r="X14321" s="9"/>
    </row>
    <row r="14322">
      <c r="D14322" s="9"/>
      <c r="G14322" s="9"/>
      <c r="J14322" s="11"/>
      <c r="U14322" s="9"/>
      <c r="X14322" s="9"/>
    </row>
    <row r="14323">
      <c r="D14323" s="9"/>
      <c r="G14323" s="9"/>
      <c r="J14323" s="11"/>
      <c r="U14323" s="9"/>
      <c r="X14323" s="9"/>
    </row>
    <row r="14324">
      <c r="D14324" s="9"/>
      <c r="G14324" s="9"/>
      <c r="J14324" s="11"/>
      <c r="U14324" s="9"/>
      <c r="X14324" s="9"/>
    </row>
    <row r="14325">
      <c r="D14325" s="9"/>
      <c r="G14325" s="9"/>
      <c r="J14325" s="11"/>
      <c r="U14325" s="9"/>
      <c r="X14325" s="9"/>
    </row>
    <row r="14326">
      <c r="D14326" s="9"/>
      <c r="G14326" s="9"/>
      <c r="J14326" s="11"/>
      <c r="U14326" s="9"/>
      <c r="X14326" s="9"/>
    </row>
    <row r="14327">
      <c r="D14327" s="9"/>
      <c r="G14327" s="9"/>
      <c r="J14327" s="11"/>
      <c r="U14327" s="9"/>
      <c r="X14327" s="9"/>
    </row>
    <row r="14328">
      <c r="D14328" s="9"/>
      <c r="G14328" s="9"/>
      <c r="J14328" s="11"/>
      <c r="U14328" s="9"/>
      <c r="X14328" s="9"/>
    </row>
    <row r="14329">
      <c r="D14329" s="9"/>
      <c r="G14329" s="9"/>
      <c r="J14329" s="11"/>
      <c r="U14329" s="9"/>
      <c r="X14329" s="9"/>
    </row>
    <row r="14330">
      <c r="D14330" s="9"/>
      <c r="G14330" s="9"/>
      <c r="J14330" s="11"/>
      <c r="U14330" s="9"/>
      <c r="X14330" s="9"/>
    </row>
    <row r="14331">
      <c r="D14331" s="9"/>
      <c r="G14331" s="9"/>
      <c r="J14331" s="11"/>
      <c r="U14331" s="9"/>
      <c r="X14331" s="9"/>
    </row>
    <row r="14332">
      <c r="D14332" s="9"/>
      <c r="G14332" s="9"/>
      <c r="J14332" s="11"/>
      <c r="U14332" s="9"/>
      <c r="X14332" s="9"/>
    </row>
    <row r="14333">
      <c r="D14333" s="9"/>
      <c r="G14333" s="9"/>
      <c r="J14333" s="11"/>
      <c r="U14333" s="9"/>
      <c r="X14333" s="9"/>
    </row>
    <row r="14334">
      <c r="D14334" s="9"/>
      <c r="G14334" s="9"/>
      <c r="J14334" s="11"/>
      <c r="U14334" s="9"/>
      <c r="X14334" s="9"/>
    </row>
    <row r="14335">
      <c r="D14335" s="9"/>
      <c r="G14335" s="9"/>
      <c r="J14335" s="11"/>
      <c r="U14335" s="9"/>
      <c r="X14335" s="9"/>
    </row>
    <row r="14336">
      <c r="D14336" s="9"/>
      <c r="G14336" s="9"/>
      <c r="J14336" s="11"/>
      <c r="U14336" s="9"/>
      <c r="X14336" s="9"/>
    </row>
    <row r="14337">
      <c r="D14337" s="9"/>
      <c r="G14337" s="9"/>
      <c r="J14337" s="11"/>
      <c r="U14337" s="9"/>
      <c r="X14337" s="9"/>
    </row>
    <row r="14338">
      <c r="D14338" s="9"/>
      <c r="G14338" s="9"/>
      <c r="J14338" s="11"/>
      <c r="U14338" s="9"/>
      <c r="X14338" s="9"/>
    </row>
    <row r="14339">
      <c r="D14339" s="9"/>
      <c r="G14339" s="9"/>
      <c r="J14339" s="11"/>
      <c r="U14339" s="9"/>
      <c r="X14339" s="9"/>
    </row>
    <row r="14340">
      <c r="D14340" s="9"/>
      <c r="G14340" s="9"/>
      <c r="J14340" s="11"/>
      <c r="U14340" s="9"/>
      <c r="X14340" s="9"/>
    </row>
    <row r="14341">
      <c r="D14341" s="9"/>
      <c r="G14341" s="9"/>
      <c r="J14341" s="11"/>
      <c r="U14341" s="9"/>
      <c r="X14341" s="9"/>
    </row>
    <row r="14342">
      <c r="D14342" s="9"/>
      <c r="G14342" s="9"/>
      <c r="J14342" s="11"/>
      <c r="U14342" s="9"/>
      <c r="X14342" s="9"/>
    </row>
    <row r="14343">
      <c r="D14343" s="9"/>
      <c r="G14343" s="9"/>
      <c r="J14343" s="11"/>
      <c r="U14343" s="9"/>
      <c r="X14343" s="9"/>
    </row>
    <row r="14344">
      <c r="D14344" s="9"/>
      <c r="G14344" s="9"/>
      <c r="J14344" s="11"/>
      <c r="U14344" s="9"/>
      <c r="X14344" s="9"/>
    </row>
    <row r="14345">
      <c r="D14345" s="9"/>
      <c r="G14345" s="9"/>
      <c r="J14345" s="11"/>
      <c r="U14345" s="9"/>
      <c r="X14345" s="9"/>
    </row>
    <row r="14346">
      <c r="D14346" s="9"/>
      <c r="G14346" s="9"/>
      <c r="J14346" s="11"/>
      <c r="U14346" s="9"/>
      <c r="X14346" s="9"/>
    </row>
    <row r="14347">
      <c r="D14347" s="9"/>
      <c r="G14347" s="9"/>
      <c r="J14347" s="11"/>
      <c r="U14347" s="9"/>
      <c r="X14347" s="9"/>
    </row>
    <row r="14348">
      <c r="D14348" s="9"/>
      <c r="G14348" s="9"/>
      <c r="J14348" s="11"/>
      <c r="U14348" s="9"/>
      <c r="X14348" s="9"/>
    </row>
    <row r="14349">
      <c r="D14349" s="9"/>
      <c r="G14349" s="9"/>
      <c r="J14349" s="11"/>
      <c r="U14349" s="9"/>
      <c r="X14349" s="9"/>
    </row>
    <row r="14350">
      <c r="D14350" s="9"/>
      <c r="G14350" s="9"/>
      <c r="J14350" s="11"/>
      <c r="U14350" s="9"/>
      <c r="X14350" s="9"/>
    </row>
    <row r="14351">
      <c r="D14351" s="9"/>
      <c r="G14351" s="9"/>
      <c r="J14351" s="11"/>
      <c r="U14351" s="9"/>
      <c r="X14351" s="9"/>
    </row>
    <row r="14352">
      <c r="D14352" s="9"/>
      <c r="G14352" s="9"/>
      <c r="J14352" s="11"/>
      <c r="U14352" s="9"/>
      <c r="X14352" s="9"/>
    </row>
    <row r="14353">
      <c r="D14353" s="9"/>
      <c r="G14353" s="9"/>
      <c r="J14353" s="11"/>
      <c r="U14353" s="9"/>
      <c r="X14353" s="9"/>
    </row>
    <row r="14354">
      <c r="D14354" s="9"/>
      <c r="G14354" s="9"/>
      <c r="J14354" s="11"/>
      <c r="U14354" s="9"/>
      <c r="X14354" s="9"/>
    </row>
    <row r="14355">
      <c r="D14355" s="9"/>
      <c r="G14355" s="9"/>
      <c r="J14355" s="11"/>
      <c r="U14355" s="9"/>
      <c r="X14355" s="9"/>
    </row>
    <row r="14356">
      <c r="D14356" s="9"/>
      <c r="G14356" s="9"/>
      <c r="J14356" s="11"/>
      <c r="U14356" s="9"/>
      <c r="X14356" s="9"/>
    </row>
    <row r="14357">
      <c r="D14357" s="9"/>
      <c r="G14357" s="9"/>
      <c r="J14357" s="11"/>
      <c r="U14357" s="9"/>
      <c r="X14357" s="9"/>
    </row>
    <row r="14358">
      <c r="D14358" s="9"/>
      <c r="G14358" s="9"/>
      <c r="J14358" s="11"/>
      <c r="U14358" s="9"/>
      <c r="X14358" s="9"/>
    </row>
    <row r="14359">
      <c r="D14359" s="9"/>
      <c r="G14359" s="9"/>
      <c r="J14359" s="11"/>
      <c r="U14359" s="9"/>
      <c r="X14359" s="9"/>
    </row>
    <row r="14360">
      <c r="D14360" s="9"/>
      <c r="G14360" s="9"/>
      <c r="J14360" s="11"/>
      <c r="U14360" s="9"/>
      <c r="X14360" s="9"/>
    </row>
    <row r="14361">
      <c r="D14361" s="9"/>
      <c r="G14361" s="9"/>
      <c r="J14361" s="11"/>
      <c r="U14361" s="9"/>
      <c r="X14361" s="9"/>
    </row>
    <row r="14362">
      <c r="D14362" s="9"/>
      <c r="G14362" s="9"/>
      <c r="J14362" s="11"/>
      <c r="U14362" s="9"/>
      <c r="X14362" s="9"/>
    </row>
    <row r="14363">
      <c r="D14363" s="9"/>
      <c r="G14363" s="9"/>
      <c r="J14363" s="11"/>
      <c r="U14363" s="9"/>
      <c r="X14363" s="9"/>
    </row>
    <row r="14364">
      <c r="D14364" s="9"/>
      <c r="G14364" s="9"/>
      <c r="J14364" s="11"/>
      <c r="U14364" s="9"/>
      <c r="X14364" s="9"/>
    </row>
    <row r="14365">
      <c r="D14365" s="9"/>
      <c r="G14365" s="9"/>
      <c r="J14365" s="11"/>
      <c r="U14365" s="9"/>
      <c r="X14365" s="9"/>
    </row>
    <row r="14366">
      <c r="D14366" s="9"/>
      <c r="G14366" s="9"/>
      <c r="J14366" s="11"/>
      <c r="U14366" s="9"/>
      <c r="X14366" s="9"/>
    </row>
    <row r="14367">
      <c r="D14367" s="9"/>
      <c r="G14367" s="9"/>
      <c r="J14367" s="11"/>
      <c r="U14367" s="9"/>
      <c r="X14367" s="9"/>
    </row>
    <row r="14368">
      <c r="D14368" s="9"/>
      <c r="G14368" s="9"/>
      <c r="J14368" s="11"/>
      <c r="U14368" s="9"/>
      <c r="X14368" s="9"/>
    </row>
    <row r="14369">
      <c r="D14369" s="9"/>
      <c r="G14369" s="9"/>
      <c r="J14369" s="11"/>
      <c r="U14369" s="9"/>
      <c r="X14369" s="9"/>
    </row>
    <row r="14370">
      <c r="D14370" s="9"/>
      <c r="G14370" s="9"/>
      <c r="J14370" s="11"/>
      <c r="U14370" s="9"/>
      <c r="X14370" s="9"/>
    </row>
    <row r="14371">
      <c r="D14371" s="9"/>
      <c r="G14371" s="9"/>
      <c r="J14371" s="11"/>
      <c r="U14371" s="9"/>
      <c r="X14371" s="9"/>
    </row>
    <row r="14372">
      <c r="D14372" s="9"/>
      <c r="G14372" s="9"/>
      <c r="J14372" s="11"/>
      <c r="U14372" s="9"/>
      <c r="X14372" s="9"/>
    </row>
    <row r="14373">
      <c r="D14373" s="9"/>
      <c r="G14373" s="9"/>
      <c r="J14373" s="11"/>
      <c r="U14373" s="9"/>
      <c r="X14373" s="9"/>
    </row>
    <row r="14374">
      <c r="D14374" s="9"/>
      <c r="G14374" s="9"/>
      <c r="J14374" s="11"/>
      <c r="U14374" s="9"/>
      <c r="X14374" s="9"/>
    </row>
    <row r="14375">
      <c r="D14375" s="9"/>
      <c r="G14375" s="9"/>
      <c r="J14375" s="11"/>
      <c r="U14375" s="9"/>
      <c r="X14375" s="9"/>
    </row>
    <row r="14376">
      <c r="D14376" s="9"/>
      <c r="G14376" s="9"/>
      <c r="J14376" s="11"/>
      <c r="U14376" s="9"/>
      <c r="X14376" s="9"/>
    </row>
    <row r="14377">
      <c r="D14377" s="9"/>
      <c r="G14377" s="9"/>
      <c r="J14377" s="11"/>
      <c r="U14377" s="9"/>
      <c r="X14377" s="9"/>
    </row>
    <row r="14378">
      <c r="D14378" s="9"/>
      <c r="G14378" s="9"/>
      <c r="J14378" s="11"/>
      <c r="U14378" s="9"/>
      <c r="X14378" s="9"/>
    </row>
    <row r="14379">
      <c r="D14379" s="9"/>
      <c r="G14379" s="9"/>
      <c r="J14379" s="11"/>
      <c r="U14379" s="9"/>
      <c r="X14379" s="9"/>
    </row>
    <row r="14380">
      <c r="D14380" s="9"/>
      <c r="G14380" s="9"/>
      <c r="J14380" s="11"/>
      <c r="U14380" s="9"/>
      <c r="X14380" s="9"/>
    </row>
    <row r="14381">
      <c r="D14381" s="9"/>
      <c r="G14381" s="9"/>
      <c r="J14381" s="11"/>
      <c r="U14381" s="9"/>
      <c r="X14381" s="9"/>
    </row>
    <row r="14382">
      <c r="D14382" s="9"/>
      <c r="G14382" s="9"/>
      <c r="J14382" s="11"/>
      <c r="U14382" s="9"/>
      <c r="X14382" s="9"/>
    </row>
    <row r="14383">
      <c r="D14383" s="9"/>
      <c r="G14383" s="9"/>
      <c r="J14383" s="11"/>
      <c r="U14383" s="9"/>
      <c r="X14383" s="9"/>
    </row>
    <row r="14384">
      <c r="D14384" s="9"/>
      <c r="G14384" s="9"/>
      <c r="J14384" s="11"/>
      <c r="U14384" s="9"/>
      <c r="X14384" s="9"/>
    </row>
    <row r="14385">
      <c r="D14385" s="9"/>
      <c r="G14385" s="9"/>
      <c r="J14385" s="11"/>
      <c r="U14385" s="9"/>
      <c r="X14385" s="9"/>
    </row>
    <row r="14386">
      <c r="D14386" s="9"/>
      <c r="G14386" s="9"/>
      <c r="J14386" s="11"/>
      <c r="U14386" s="9"/>
      <c r="X14386" s="9"/>
    </row>
    <row r="14387">
      <c r="D14387" s="9"/>
      <c r="G14387" s="9"/>
      <c r="J14387" s="11"/>
      <c r="U14387" s="9"/>
      <c r="X14387" s="9"/>
    </row>
    <row r="14388">
      <c r="D14388" s="9"/>
      <c r="G14388" s="9"/>
      <c r="J14388" s="11"/>
      <c r="U14388" s="9"/>
      <c r="X14388" s="9"/>
    </row>
    <row r="14389">
      <c r="D14389" s="9"/>
      <c r="G14389" s="9"/>
      <c r="J14389" s="11"/>
      <c r="U14389" s="9"/>
      <c r="X14389" s="9"/>
    </row>
    <row r="14390">
      <c r="D14390" s="9"/>
      <c r="G14390" s="9"/>
      <c r="J14390" s="11"/>
      <c r="U14390" s="9"/>
      <c r="X14390" s="9"/>
    </row>
    <row r="14391">
      <c r="D14391" s="9"/>
      <c r="G14391" s="9"/>
      <c r="J14391" s="11"/>
      <c r="U14391" s="9"/>
      <c r="X14391" s="9"/>
    </row>
    <row r="14392">
      <c r="D14392" s="9"/>
      <c r="G14392" s="9"/>
      <c r="J14392" s="11"/>
      <c r="U14392" s="9"/>
      <c r="X14392" s="9"/>
    </row>
    <row r="14393">
      <c r="D14393" s="9"/>
      <c r="G14393" s="9"/>
      <c r="J14393" s="11"/>
      <c r="U14393" s="9"/>
      <c r="X14393" s="9"/>
    </row>
    <row r="14394">
      <c r="D14394" s="9"/>
      <c r="G14394" s="9"/>
      <c r="J14394" s="11"/>
      <c r="U14394" s="9"/>
      <c r="X14394" s="9"/>
    </row>
    <row r="14395">
      <c r="D14395" s="9"/>
      <c r="G14395" s="9"/>
      <c r="J14395" s="11"/>
      <c r="U14395" s="9"/>
      <c r="X14395" s="9"/>
    </row>
    <row r="14396">
      <c r="D14396" s="9"/>
      <c r="G14396" s="9"/>
      <c r="J14396" s="11"/>
      <c r="U14396" s="9"/>
      <c r="X14396" s="9"/>
    </row>
    <row r="14397">
      <c r="D14397" s="9"/>
      <c r="G14397" s="9"/>
      <c r="J14397" s="11"/>
      <c r="U14397" s="9"/>
      <c r="X14397" s="9"/>
    </row>
    <row r="14398">
      <c r="D14398" s="9"/>
      <c r="G14398" s="9"/>
      <c r="J14398" s="11"/>
      <c r="U14398" s="9"/>
      <c r="X14398" s="9"/>
    </row>
    <row r="14399">
      <c r="D14399" s="9"/>
      <c r="G14399" s="9"/>
      <c r="J14399" s="11"/>
      <c r="U14399" s="9"/>
      <c r="X14399" s="9"/>
    </row>
    <row r="14400">
      <c r="D14400" s="9"/>
      <c r="G14400" s="9"/>
      <c r="J14400" s="11"/>
      <c r="U14400" s="9"/>
      <c r="X14400" s="9"/>
    </row>
    <row r="14401">
      <c r="D14401" s="9"/>
      <c r="G14401" s="9"/>
      <c r="J14401" s="11"/>
      <c r="U14401" s="9"/>
      <c r="X14401" s="9"/>
    </row>
    <row r="14402">
      <c r="D14402" s="9"/>
      <c r="G14402" s="9"/>
      <c r="J14402" s="11"/>
      <c r="U14402" s="9"/>
      <c r="X14402" s="9"/>
    </row>
    <row r="14403">
      <c r="D14403" s="9"/>
      <c r="G14403" s="9"/>
      <c r="J14403" s="11"/>
      <c r="U14403" s="9"/>
      <c r="X14403" s="9"/>
    </row>
    <row r="14404">
      <c r="D14404" s="9"/>
      <c r="G14404" s="9"/>
      <c r="J14404" s="11"/>
      <c r="U14404" s="9"/>
      <c r="X14404" s="9"/>
    </row>
    <row r="14405">
      <c r="D14405" s="9"/>
      <c r="G14405" s="9"/>
      <c r="J14405" s="11"/>
      <c r="U14405" s="9"/>
      <c r="X14405" s="9"/>
    </row>
    <row r="14406">
      <c r="D14406" s="9"/>
      <c r="G14406" s="9"/>
      <c r="J14406" s="11"/>
      <c r="U14406" s="9"/>
      <c r="X14406" s="9"/>
    </row>
    <row r="14407">
      <c r="D14407" s="9"/>
      <c r="G14407" s="9"/>
      <c r="J14407" s="11"/>
      <c r="U14407" s="9"/>
      <c r="X14407" s="9"/>
    </row>
    <row r="14408">
      <c r="D14408" s="9"/>
      <c r="G14408" s="9"/>
      <c r="J14408" s="11"/>
      <c r="U14408" s="9"/>
      <c r="X14408" s="9"/>
    </row>
    <row r="14409">
      <c r="D14409" s="9"/>
      <c r="G14409" s="9"/>
      <c r="J14409" s="11"/>
      <c r="U14409" s="9"/>
      <c r="X14409" s="9"/>
    </row>
    <row r="14410">
      <c r="D14410" s="9"/>
      <c r="G14410" s="9"/>
      <c r="J14410" s="11"/>
      <c r="U14410" s="9"/>
      <c r="X14410" s="9"/>
    </row>
    <row r="14411">
      <c r="D14411" s="9"/>
      <c r="G14411" s="9"/>
      <c r="J14411" s="11"/>
      <c r="U14411" s="9"/>
      <c r="X14411" s="9"/>
    </row>
    <row r="14412">
      <c r="D14412" s="9"/>
      <c r="G14412" s="9"/>
      <c r="J14412" s="11"/>
      <c r="U14412" s="9"/>
      <c r="X14412" s="9"/>
    </row>
    <row r="14413">
      <c r="D14413" s="9"/>
      <c r="G14413" s="9"/>
      <c r="J14413" s="11"/>
      <c r="U14413" s="9"/>
      <c r="X14413" s="9"/>
    </row>
    <row r="14414">
      <c r="D14414" s="9"/>
      <c r="G14414" s="9"/>
      <c r="J14414" s="11"/>
      <c r="U14414" s="9"/>
      <c r="X14414" s="9"/>
    </row>
    <row r="14415">
      <c r="D14415" s="9"/>
      <c r="G14415" s="9"/>
      <c r="J14415" s="11"/>
      <c r="U14415" s="9"/>
      <c r="X14415" s="9"/>
    </row>
    <row r="14416">
      <c r="D14416" s="9"/>
      <c r="G14416" s="9"/>
      <c r="J14416" s="11"/>
      <c r="U14416" s="9"/>
      <c r="X14416" s="9"/>
    </row>
    <row r="14417">
      <c r="D14417" s="9"/>
      <c r="G14417" s="9"/>
      <c r="J14417" s="11"/>
      <c r="U14417" s="9"/>
      <c r="X14417" s="9"/>
    </row>
    <row r="14418">
      <c r="D14418" s="9"/>
      <c r="G14418" s="9"/>
      <c r="J14418" s="11"/>
      <c r="U14418" s="9"/>
      <c r="X14418" s="9"/>
    </row>
    <row r="14419">
      <c r="D14419" s="9"/>
      <c r="G14419" s="9"/>
      <c r="J14419" s="11"/>
      <c r="U14419" s="9"/>
      <c r="X14419" s="9"/>
    </row>
    <row r="14420">
      <c r="D14420" s="9"/>
      <c r="G14420" s="9"/>
      <c r="J14420" s="11"/>
      <c r="U14420" s="9"/>
      <c r="X14420" s="9"/>
    </row>
    <row r="14421">
      <c r="D14421" s="9"/>
      <c r="G14421" s="9"/>
      <c r="J14421" s="11"/>
      <c r="U14421" s="9"/>
      <c r="X14421" s="9"/>
    </row>
    <row r="14422">
      <c r="D14422" s="9"/>
      <c r="G14422" s="9"/>
      <c r="J14422" s="11"/>
      <c r="U14422" s="9"/>
      <c r="X14422" s="9"/>
    </row>
    <row r="14423">
      <c r="D14423" s="9"/>
      <c r="G14423" s="9"/>
      <c r="J14423" s="11"/>
      <c r="U14423" s="9"/>
      <c r="X14423" s="9"/>
    </row>
    <row r="14424">
      <c r="D14424" s="9"/>
      <c r="G14424" s="9"/>
      <c r="J14424" s="11"/>
      <c r="U14424" s="9"/>
      <c r="X14424" s="9"/>
    </row>
    <row r="14425">
      <c r="D14425" s="9"/>
      <c r="G14425" s="9"/>
      <c r="J14425" s="11"/>
      <c r="U14425" s="9"/>
      <c r="X14425" s="9"/>
    </row>
    <row r="14426">
      <c r="D14426" s="9"/>
      <c r="G14426" s="9"/>
      <c r="J14426" s="11"/>
      <c r="U14426" s="9"/>
      <c r="X14426" s="9"/>
    </row>
    <row r="14427">
      <c r="D14427" s="9"/>
      <c r="G14427" s="9"/>
      <c r="J14427" s="11"/>
      <c r="U14427" s="9"/>
      <c r="X14427" s="9"/>
    </row>
    <row r="14428">
      <c r="D14428" s="9"/>
      <c r="G14428" s="9"/>
      <c r="J14428" s="11"/>
      <c r="U14428" s="9"/>
      <c r="X14428" s="9"/>
    </row>
    <row r="14429">
      <c r="D14429" s="9"/>
      <c r="G14429" s="9"/>
      <c r="J14429" s="11"/>
      <c r="U14429" s="9"/>
      <c r="X14429" s="9"/>
    </row>
    <row r="14430">
      <c r="D14430" s="9"/>
      <c r="G14430" s="9"/>
      <c r="J14430" s="11"/>
      <c r="U14430" s="9"/>
      <c r="X14430" s="9"/>
    </row>
    <row r="14431">
      <c r="D14431" s="9"/>
      <c r="G14431" s="9"/>
      <c r="J14431" s="11"/>
      <c r="U14431" s="9"/>
      <c r="X14431" s="9"/>
    </row>
    <row r="14432">
      <c r="D14432" s="9"/>
      <c r="G14432" s="9"/>
      <c r="J14432" s="11"/>
      <c r="U14432" s="9"/>
      <c r="X14432" s="9"/>
    </row>
    <row r="14433">
      <c r="D14433" s="9"/>
      <c r="G14433" s="9"/>
      <c r="J14433" s="11"/>
      <c r="U14433" s="9"/>
      <c r="X14433" s="9"/>
    </row>
    <row r="14434">
      <c r="D14434" s="9"/>
      <c r="G14434" s="9"/>
      <c r="J14434" s="11"/>
      <c r="U14434" s="9"/>
      <c r="X14434" s="9"/>
    </row>
    <row r="14435">
      <c r="D14435" s="9"/>
      <c r="G14435" s="9"/>
      <c r="J14435" s="11"/>
      <c r="U14435" s="9"/>
      <c r="X14435" s="9"/>
    </row>
    <row r="14436">
      <c r="D14436" s="9"/>
      <c r="G14436" s="9"/>
      <c r="J14436" s="11"/>
      <c r="U14436" s="9"/>
      <c r="X14436" s="9"/>
    </row>
    <row r="14437">
      <c r="D14437" s="9"/>
      <c r="G14437" s="9"/>
      <c r="J14437" s="11"/>
      <c r="U14437" s="9"/>
      <c r="X14437" s="9"/>
    </row>
    <row r="14438">
      <c r="D14438" s="9"/>
      <c r="G14438" s="9"/>
      <c r="J14438" s="11"/>
      <c r="U14438" s="9"/>
      <c r="X14438" s="9"/>
    </row>
    <row r="14439">
      <c r="D14439" s="9"/>
      <c r="G14439" s="9"/>
      <c r="J14439" s="11"/>
      <c r="U14439" s="9"/>
      <c r="X14439" s="9"/>
    </row>
    <row r="14440">
      <c r="D14440" s="9"/>
      <c r="G14440" s="9"/>
      <c r="J14440" s="11"/>
      <c r="U14440" s="9"/>
      <c r="X14440" s="9"/>
    </row>
    <row r="14441">
      <c r="D14441" s="9"/>
      <c r="G14441" s="9"/>
      <c r="J14441" s="11"/>
      <c r="U14441" s="9"/>
      <c r="X14441" s="9"/>
    </row>
    <row r="14442">
      <c r="D14442" s="9"/>
      <c r="G14442" s="9"/>
      <c r="J14442" s="11"/>
      <c r="U14442" s="9"/>
      <c r="X14442" s="9"/>
    </row>
    <row r="14443">
      <c r="D14443" s="9"/>
      <c r="G14443" s="9"/>
      <c r="J14443" s="11"/>
      <c r="U14443" s="9"/>
      <c r="X14443" s="9"/>
    </row>
    <row r="14444">
      <c r="D14444" s="9"/>
      <c r="G14444" s="9"/>
      <c r="J14444" s="11"/>
      <c r="U14444" s="9"/>
      <c r="X14444" s="9"/>
    </row>
    <row r="14445">
      <c r="D14445" s="9"/>
      <c r="G14445" s="9"/>
      <c r="J14445" s="11"/>
      <c r="U14445" s="9"/>
      <c r="X14445" s="9"/>
    </row>
    <row r="14446">
      <c r="D14446" s="9"/>
      <c r="G14446" s="9"/>
      <c r="J14446" s="11"/>
      <c r="U14446" s="9"/>
      <c r="X14446" s="9"/>
    </row>
    <row r="14447">
      <c r="D14447" s="9"/>
      <c r="G14447" s="9"/>
      <c r="J14447" s="11"/>
      <c r="U14447" s="9"/>
      <c r="X14447" s="9"/>
    </row>
    <row r="14448">
      <c r="D14448" s="9"/>
      <c r="G14448" s="9"/>
      <c r="J14448" s="11"/>
      <c r="U14448" s="9"/>
      <c r="X14448" s="9"/>
    </row>
    <row r="14449">
      <c r="D14449" s="9"/>
      <c r="G14449" s="9"/>
      <c r="J14449" s="11"/>
      <c r="U14449" s="9"/>
      <c r="X14449" s="9"/>
    </row>
    <row r="14450">
      <c r="D14450" s="9"/>
      <c r="G14450" s="9"/>
      <c r="J14450" s="11"/>
      <c r="U14450" s="9"/>
      <c r="X14450" s="9"/>
    </row>
    <row r="14451">
      <c r="D14451" s="9"/>
      <c r="G14451" s="9"/>
      <c r="J14451" s="11"/>
      <c r="U14451" s="9"/>
      <c r="X14451" s="9"/>
    </row>
    <row r="14452">
      <c r="D14452" s="9"/>
      <c r="G14452" s="9"/>
      <c r="J14452" s="11"/>
      <c r="U14452" s="9"/>
      <c r="X14452" s="9"/>
    </row>
    <row r="14453">
      <c r="D14453" s="9"/>
      <c r="G14453" s="9"/>
      <c r="J14453" s="11"/>
      <c r="U14453" s="9"/>
      <c r="X14453" s="9"/>
    </row>
    <row r="14454">
      <c r="D14454" s="9"/>
      <c r="G14454" s="9"/>
      <c r="J14454" s="11"/>
      <c r="U14454" s="9"/>
      <c r="X14454" s="9"/>
    </row>
    <row r="14455">
      <c r="D14455" s="9"/>
      <c r="G14455" s="9"/>
      <c r="J14455" s="11"/>
      <c r="U14455" s="9"/>
      <c r="X14455" s="9"/>
    </row>
    <row r="14456">
      <c r="D14456" s="9"/>
      <c r="G14456" s="9"/>
      <c r="J14456" s="11"/>
      <c r="U14456" s="9"/>
      <c r="X14456" s="9"/>
    </row>
    <row r="14457">
      <c r="D14457" s="9"/>
      <c r="G14457" s="9"/>
      <c r="J14457" s="11"/>
      <c r="U14457" s="9"/>
      <c r="X14457" s="9"/>
    </row>
    <row r="14458">
      <c r="D14458" s="9"/>
      <c r="G14458" s="9"/>
      <c r="J14458" s="11"/>
      <c r="U14458" s="9"/>
      <c r="X14458" s="9"/>
    </row>
    <row r="14459">
      <c r="D14459" s="9"/>
      <c r="G14459" s="9"/>
      <c r="J14459" s="11"/>
      <c r="U14459" s="9"/>
      <c r="X14459" s="9"/>
    </row>
    <row r="14460">
      <c r="D14460" s="9"/>
      <c r="G14460" s="9"/>
      <c r="J14460" s="11"/>
      <c r="U14460" s="9"/>
      <c r="X14460" s="9"/>
    </row>
    <row r="14461">
      <c r="D14461" s="9"/>
      <c r="G14461" s="9"/>
      <c r="J14461" s="11"/>
      <c r="U14461" s="9"/>
      <c r="X14461" s="9"/>
    </row>
    <row r="14462">
      <c r="D14462" s="9"/>
      <c r="G14462" s="9"/>
      <c r="J14462" s="11"/>
      <c r="U14462" s="9"/>
      <c r="X14462" s="9"/>
    </row>
    <row r="14463">
      <c r="D14463" s="9"/>
      <c r="G14463" s="9"/>
      <c r="J14463" s="11"/>
      <c r="U14463" s="9"/>
      <c r="X14463" s="9"/>
    </row>
    <row r="14464">
      <c r="D14464" s="9"/>
      <c r="G14464" s="9"/>
      <c r="J14464" s="11"/>
      <c r="U14464" s="9"/>
      <c r="X14464" s="9"/>
    </row>
    <row r="14465">
      <c r="D14465" s="9"/>
      <c r="G14465" s="9"/>
      <c r="J14465" s="11"/>
      <c r="U14465" s="9"/>
      <c r="X14465" s="9"/>
    </row>
    <row r="14466">
      <c r="D14466" s="9"/>
      <c r="G14466" s="9"/>
      <c r="J14466" s="11"/>
      <c r="U14466" s="9"/>
      <c r="X14466" s="9"/>
    </row>
    <row r="14467">
      <c r="D14467" s="9"/>
      <c r="G14467" s="9"/>
      <c r="J14467" s="11"/>
      <c r="U14467" s="9"/>
      <c r="X14467" s="9"/>
    </row>
    <row r="14468">
      <c r="D14468" s="9"/>
      <c r="G14468" s="9"/>
      <c r="J14468" s="11"/>
      <c r="U14468" s="9"/>
      <c r="X14468" s="9"/>
    </row>
    <row r="14469">
      <c r="D14469" s="9"/>
      <c r="G14469" s="9"/>
      <c r="J14469" s="11"/>
      <c r="U14469" s="9"/>
      <c r="X14469" s="9"/>
    </row>
    <row r="14470">
      <c r="D14470" s="9"/>
      <c r="G14470" s="9"/>
      <c r="J14470" s="11"/>
      <c r="U14470" s="9"/>
      <c r="X14470" s="9"/>
    </row>
    <row r="14471">
      <c r="D14471" s="9"/>
      <c r="G14471" s="9"/>
      <c r="J14471" s="11"/>
      <c r="U14471" s="9"/>
      <c r="X14471" s="9"/>
    </row>
    <row r="14472">
      <c r="D14472" s="9"/>
      <c r="G14472" s="9"/>
      <c r="J14472" s="11"/>
      <c r="U14472" s="9"/>
      <c r="X14472" s="9"/>
    </row>
    <row r="14473">
      <c r="D14473" s="9"/>
      <c r="G14473" s="9"/>
      <c r="J14473" s="11"/>
      <c r="U14473" s="9"/>
      <c r="X14473" s="9"/>
    </row>
    <row r="14474">
      <c r="D14474" s="9"/>
      <c r="G14474" s="9"/>
      <c r="J14474" s="11"/>
      <c r="U14474" s="9"/>
      <c r="X14474" s="9"/>
    </row>
    <row r="14475">
      <c r="D14475" s="9"/>
      <c r="G14475" s="9"/>
      <c r="J14475" s="11"/>
      <c r="U14475" s="9"/>
      <c r="X14475" s="9"/>
    </row>
    <row r="14476">
      <c r="D14476" s="9"/>
      <c r="G14476" s="9"/>
      <c r="J14476" s="11"/>
      <c r="U14476" s="9"/>
      <c r="X14476" s="9"/>
    </row>
    <row r="14477">
      <c r="D14477" s="9"/>
      <c r="G14477" s="9"/>
      <c r="J14477" s="11"/>
      <c r="U14477" s="9"/>
      <c r="X14477" s="9"/>
    </row>
    <row r="14478">
      <c r="D14478" s="9"/>
      <c r="G14478" s="9"/>
      <c r="J14478" s="11"/>
      <c r="U14478" s="9"/>
      <c r="X14478" s="9"/>
    </row>
    <row r="14479">
      <c r="D14479" s="9"/>
      <c r="G14479" s="9"/>
      <c r="J14479" s="11"/>
      <c r="U14479" s="9"/>
      <c r="X14479" s="9"/>
    </row>
    <row r="14480">
      <c r="D14480" s="9"/>
      <c r="G14480" s="9"/>
      <c r="J14480" s="11"/>
      <c r="U14480" s="9"/>
      <c r="X14480" s="9"/>
    </row>
    <row r="14481">
      <c r="D14481" s="9"/>
      <c r="G14481" s="9"/>
      <c r="J14481" s="11"/>
      <c r="U14481" s="9"/>
      <c r="X14481" s="9"/>
    </row>
    <row r="14482">
      <c r="D14482" s="9"/>
      <c r="G14482" s="9"/>
      <c r="J14482" s="11"/>
      <c r="U14482" s="9"/>
      <c r="X14482" s="9"/>
    </row>
    <row r="14483">
      <c r="D14483" s="9"/>
      <c r="G14483" s="9"/>
      <c r="J14483" s="11"/>
      <c r="U14483" s="9"/>
      <c r="X14483" s="9"/>
    </row>
    <row r="14484">
      <c r="D14484" s="9"/>
      <c r="G14484" s="9"/>
      <c r="J14484" s="11"/>
      <c r="U14484" s="9"/>
      <c r="X14484" s="9"/>
    </row>
    <row r="14485">
      <c r="D14485" s="9"/>
      <c r="G14485" s="9"/>
      <c r="J14485" s="11"/>
      <c r="U14485" s="9"/>
      <c r="X14485" s="9"/>
    </row>
    <row r="14486">
      <c r="D14486" s="9"/>
      <c r="G14486" s="9"/>
      <c r="J14486" s="11"/>
      <c r="U14486" s="9"/>
      <c r="X14486" s="9"/>
    </row>
    <row r="14487">
      <c r="D14487" s="9"/>
      <c r="G14487" s="9"/>
      <c r="J14487" s="11"/>
      <c r="U14487" s="9"/>
      <c r="X14487" s="9"/>
    </row>
    <row r="14488">
      <c r="D14488" s="9"/>
      <c r="G14488" s="9"/>
      <c r="J14488" s="11"/>
      <c r="U14488" s="9"/>
      <c r="X14488" s="9"/>
    </row>
    <row r="14489">
      <c r="D14489" s="9"/>
      <c r="G14489" s="9"/>
      <c r="J14489" s="11"/>
      <c r="U14489" s="9"/>
      <c r="X14489" s="9"/>
    </row>
    <row r="14490">
      <c r="D14490" s="9"/>
      <c r="G14490" s="9"/>
      <c r="J14490" s="11"/>
      <c r="U14490" s="9"/>
      <c r="X14490" s="9"/>
    </row>
    <row r="14491">
      <c r="D14491" s="9"/>
      <c r="G14491" s="9"/>
      <c r="J14491" s="11"/>
      <c r="U14491" s="9"/>
      <c r="X14491" s="9"/>
    </row>
    <row r="14492">
      <c r="D14492" s="9"/>
      <c r="G14492" s="9"/>
      <c r="J14492" s="11"/>
      <c r="U14492" s="9"/>
      <c r="X14492" s="9"/>
    </row>
    <row r="14493">
      <c r="D14493" s="9"/>
      <c r="G14493" s="9"/>
      <c r="J14493" s="11"/>
      <c r="U14493" s="9"/>
      <c r="X14493" s="9"/>
    </row>
    <row r="14494">
      <c r="D14494" s="9"/>
      <c r="G14494" s="9"/>
      <c r="J14494" s="11"/>
      <c r="U14494" s="9"/>
      <c r="X14494" s="9"/>
    </row>
    <row r="14495">
      <c r="D14495" s="9"/>
      <c r="G14495" s="9"/>
      <c r="J14495" s="11"/>
      <c r="U14495" s="9"/>
      <c r="X14495" s="9"/>
    </row>
    <row r="14496">
      <c r="D14496" s="9"/>
      <c r="G14496" s="9"/>
      <c r="J14496" s="11"/>
      <c r="U14496" s="9"/>
      <c r="X14496" s="9"/>
    </row>
    <row r="14497">
      <c r="D14497" s="9"/>
      <c r="G14497" s="9"/>
      <c r="J14497" s="11"/>
      <c r="U14497" s="9"/>
      <c r="X14497" s="9"/>
    </row>
    <row r="14498">
      <c r="D14498" s="9"/>
      <c r="G14498" s="9"/>
      <c r="J14498" s="11"/>
      <c r="U14498" s="9"/>
      <c r="X14498" s="9"/>
    </row>
    <row r="14499">
      <c r="D14499" s="9"/>
      <c r="G14499" s="9"/>
      <c r="J14499" s="11"/>
      <c r="U14499" s="9"/>
      <c r="X14499" s="9"/>
    </row>
    <row r="14500">
      <c r="D14500" s="9"/>
      <c r="G14500" s="9"/>
      <c r="J14500" s="11"/>
      <c r="U14500" s="9"/>
      <c r="X14500" s="9"/>
    </row>
    <row r="14501">
      <c r="D14501" s="9"/>
      <c r="G14501" s="9"/>
      <c r="J14501" s="11"/>
      <c r="U14501" s="9"/>
      <c r="X14501" s="9"/>
    </row>
    <row r="14502">
      <c r="D14502" s="9"/>
      <c r="G14502" s="9"/>
      <c r="J14502" s="11"/>
      <c r="U14502" s="9"/>
      <c r="X14502" s="9"/>
    </row>
    <row r="14503">
      <c r="D14503" s="9"/>
      <c r="G14503" s="9"/>
      <c r="J14503" s="11"/>
      <c r="U14503" s="9"/>
      <c r="X14503" s="9"/>
    </row>
    <row r="14504">
      <c r="D14504" s="9"/>
      <c r="G14504" s="9"/>
      <c r="J14504" s="11"/>
      <c r="U14504" s="9"/>
      <c r="X14504" s="9"/>
    </row>
    <row r="14505">
      <c r="D14505" s="9"/>
      <c r="G14505" s="9"/>
      <c r="J14505" s="11"/>
      <c r="U14505" s="9"/>
      <c r="X14505" s="9"/>
    </row>
    <row r="14506">
      <c r="D14506" s="9"/>
      <c r="G14506" s="9"/>
      <c r="J14506" s="11"/>
      <c r="U14506" s="9"/>
      <c r="X14506" s="9"/>
    </row>
    <row r="14507">
      <c r="D14507" s="9"/>
      <c r="G14507" s="9"/>
      <c r="J14507" s="11"/>
      <c r="U14507" s="9"/>
      <c r="X14507" s="9"/>
    </row>
    <row r="14508">
      <c r="D14508" s="9"/>
      <c r="G14508" s="9"/>
      <c r="J14508" s="11"/>
      <c r="U14508" s="9"/>
      <c r="X14508" s="9"/>
    </row>
    <row r="14509">
      <c r="D14509" s="9"/>
      <c r="G14509" s="9"/>
      <c r="J14509" s="11"/>
      <c r="U14509" s="9"/>
      <c r="X14509" s="9"/>
    </row>
    <row r="14510">
      <c r="D14510" s="9"/>
      <c r="G14510" s="9"/>
      <c r="J14510" s="11"/>
      <c r="U14510" s="9"/>
      <c r="X14510" s="9"/>
    </row>
    <row r="14511">
      <c r="D14511" s="9"/>
      <c r="G14511" s="9"/>
      <c r="J14511" s="11"/>
      <c r="U14511" s="9"/>
      <c r="X14511" s="9"/>
    </row>
    <row r="14512">
      <c r="D14512" s="9"/>
      <c r="G14512" s="9"/>
      <c r="J14512" s="11"/>
      <c r="U14512" s="9"/>
      <c r="X14512" s="9"/>
    </row>
    <row r="14513">
      <c r="D14513" s="9"/>
      <c r="G14513" s="9"/>
      <c r="J14513" s="11"/>
      <c r="U14513" s="9"/>
      <c r="X14513" s="9"/>
    </row>
    <row r="14514">
      <c r="D14514" s="9"/>
      <c r="G14514" s="9"/>
      <c r="J14514" s="11"/>
      <c r="U14514" s="9"/>
      <c r="X14514" s="9"/>
    </row>
    <row r="14515">
      <c r="D14515" s="9"/>
      <c r="G14515" s="9"/>
      <c r="J14515" s="11"/>
      <c r="U14515" s="9"/>
      <c r="X14515" s="9"/>
    </row>
    <row r="14516">
      <c r="D14516" s="9"/>
      <c r="G14516" s="9"/>
      <c r="J14516" s="11"/>
      <c r="U14516" s="9"/>
      <c r="X14516" s="9"/>
    </row>
    <row r="14517">
      <c r="D14517" s="9"/>
      <c r="G14517" s="9"/>
      <c r="J14517" s="11"/>
      <c r="U14517" s="9"/>
      <c r="X14517" s="9"/>
    </row>
    <row r="14518">
      <c r="D14518" s="9"/>
      <c r="G14518" s="9"/>
      <c r="J14518" s="11"/>
      <c r="U14518" s="9"/>
      <c r="X14518" s="9"/>
    </row>
    <row r="14519">
      <c r="D14519" s="9"/>
      <c r="G14519" s="9"/>
      <c r="J14519" s="11"/>
      <c r="U14519" s="9"/>
      <c r="X14519" s="9"/>
    </row>
    <row r="14520">
      <c r="D14520" s="9"/>
      <c r="G14520" s="9"/>
      <c r="J14520" s="11"/>
      <c r="U14520" s="9"/>
      <c r="X14520" s="9"/>
    </row>
    <row r="14521">
      <c r="D14521" s="9"/>
      <c r="G14521" s="9"/>
      <c r="J14521" s="11"/>
      <c r="U14521" s="9"/>
      <c r="X14521" s="9"/>
    </row>
    <row r="14522">
      <c r="D14522" s="9"/>
      <c r="G14522" s="9"/>
      <c r="J14522" s="11"/>
      <c r="U14522" s="9"/>
      <c r="X14522" s="9"/>
    </row>
    <row r="14523">
      <c r="D14523" s="9"/>
      <c r="G14523" s="9"/>
      <c r="J14523" s="11"/>
      <c r="U14523" s="9"/>
      <c r="X14523" s="9"/>
    </row>
    <row r="14524">
      <c r="D14524" s="9"/>
      <c r="G14524" s="9"/>
      <c r="J14524" s="11"/>
      <c r="U14524" s="9"/>
      <c r="X14524" s="9"/>
    </row>
    <row r="14525">
      <c r="D14525" s="9"/>
      <c r="G14525" s="9"/>
      <c r="J14525" s="11"/>
      <c r="U14525" s="9"/>
      <c r="X14525" s="9"/>
    </row>
    <row r="14526">
      <c r="D14526" s="9"/>
      <c r="G14526" s="9"/>
      <c r="J14526" s="11"/>
      <c r="U14526" s="9"/>
      <c r="X14526" s="9"/>
    </row>
    <row r="14527">
      <c r="D14527" s="9"/>
      <c r="G14527" s="9"/>
      <c r="J14527" s="11"/>
      <c r="U14527" s="9"/>
      <c r="X14527" s="9"/>
    </row>
    <row r="14528">
      <c r="D14528" s="9"/>
      <c r="G14528" s="9"/>
      <c r="J14528" s="11"/>
      <c r="U14528" s="9"/>
      <c r="X14528" s="9"/>
    </row>
    <row r="14529">
      <c r="D14529" s="9"/>
      <c r="G14529" s="9"/>
      <c r="J14529" s="11"/>
      <c r="U14529" s="9"/>
      <c r="X14529" s="9"/>
    </row>
    <row r="14530">
      <c r="D14530" s="9"/>
      <c r="G14530" s="9"/>
      <c r="J14530" s="11"/>
      <c r="U14530" s="9"/>
      <c r="X14530" s="9"/>
    </row>
    <row r="14531">
      <c r="D14531" s="9"/>
      <c r="G14531" s="9"/>
      <c r="J14531" s="11"/>
      <c r="U14531" s="9"/>
      <c r="X14531" s="9"/>
    </row>
    <row r="14532">
      <c r="D14532" s="9"/>
      <c r="G14532" s="9"/>
      <c r="J14532" s="11"/>
      <c r="U14532" s="9"/>
      <c r="X14532" s="9"/>
    </row>
    <row r="14533">
      <c r="D14533" s="9"/>
      <c r="G14533" s="9"/>
      <c r="J14533" s="11"/>
      <c r="U14533" s="9"/>
      <c r="X14533" s="9"/>
    </row>
    <row r="14534">
      <c r="D14534" s="9"/>
      <c r="G14534" s="9"/>
      <c r="J14534" s="11"/>
      <c r="U14534" s="9"/>
      <c r="X14534" s="9"/>
    </row>
    <row r="14535">
      <c r="D14535" s="9"/>
      <c r="G14535" s="9"/>
      <c r="J14535" s="11"/>
      <c r="U14535" s="9"/>
      <c r="X14535" s="9"/>
    </row>
    <row r="14536">
      <c r="D14536" s="9"/>
      <c r="G14536" s="9"/>
      <c r="J14536" s="11"/>
      <c r="U14536" s="9"/>
      <c r="X14536" s="9"/>
    </row>
    <row r="14537">
      <c r="D14537" s="9"/>
      <c r="G14537" s="9"/>
      <c r="J14537" s="11"/>
      <c r="U14537" s="9"/>
      <c r="X14537" s="9"/>
    </row>
    <row r="14538">
      <c r="D14538" s="9"/>
      <c r="G14538" s="9"/>
      <c r="J14538" s="11"/>
      <c r="U14538" s="9"/>
      <c r="X14538" s="9"/>
    </row>
    <row r="14539">
      <c r="D14539" s="9"/>
      <c r="G14539" s="9"/>
      <c r="J14539" s="11"/>
      <c r="U14539" s="9"/>
      <c r="X14539" s="9"/>
    </row>
    <row r="14540">
      <c r="D14540" s="9"/>
      <c r="G14540" s="9"/>
      <c r="J14540" s="11"/>
      <c r="U14540" s="9"/>
      <c r="X14540" s="9"/>
    </row>
    <row r="14541">
      <c r="D14541" s="9"/>
      <c r="G14541" s="9"/>
      <c r="J14541" s="11"/>
      <c r="U14541" s="9"/>
      <c r="X14541" s="9"/>
    </row>
    <row r="14542">
      <c r="D14542" s="9"/>
      <c r="G14542" s="9"/>
      <c r="J14542" s="11"/>
      <c r="U14542" s="9"/>
      <c r="X14542" s="9"/>
    </row>
    <row r="14543">
      <c r="D14543" s="9"/>
      <c r="G14543" s="9"/>
      <c r="J14543" s="11"/>
      <c r="U14543" s="9"/>
      <c r="X14543" s="9"/>
    </row>
    <row r="14544">
      <c r="D14544" s="9"/>
      <c r="G14544" s="9"/>
      <c r="J14544" s="11"/>
      <c r="U14544" s="9"/>
      <c r="X14544" s="9"/>
    </row>
    <row r="14545">
      <c r="D14545" s="9"/>
      <c r="G14545" s="9"/>
      <c r="J14545" s="11"/>
      <c r="U14545" s="9"/>
      <c r="X14545" s="9"/>
    </row>
    <row r="14546">
      <c r="D14546" s="9"/>
      <c r="G14546" s="9"/>
      <c r="J14546" s="11"/>
      <c r="U14546" s="9"/>
      <c r="X14546" s="9"/>
    </row>
    <row r="14547">
      <c r="D14547" s="9"/>
      <c r="G14547" s="9"/>
      <c r="J14547" s="11"/>
      <c r="U14547" s="9"/>
      <c r="X14547" s="9"/>
    </row>
    <row r="14548">
      <c r="D14548" s="9"/>
      <c r="G14548" s="9"/>
      <c r="J14548" s="11"/>
      <c r="U14548" s="9"/>
      <c r="X14548" s="9"/>
    </row>
    <row r="14549">
      <c r="D14549" s="9"/>
      <c r="G14549" s="9"/>
      <c r="J14549" s="11"/>
      <c r="U14549" s="9"/>
      <c r="X14549" s="9"/>
    </row>
    <row r="14550">
      <c r="D14550" s="9"/>
      <c r="G14550" s="9"/>
      <c r="J14550" s="11"/>
      <c r="U14550" s="9"/>
      <c r="X14550" s="9"/>
    </row>
    <row r="14551">
      <c r="D14551" s="9"/>
      <c r="G14551" s="9"/>
      <c r="J14551" s="11"/>
      <c r="U14551" s="9"/>
      <c r="X14551" s="9"/>
    </row>
    <row r="14552">
      <c r="D14552" s="9"/>
      <c r="G14552" s="9"/>
      <c r="J14552" s="11"/>
      <c r="U14552" s="9"/>
      <c r="X14552" s="9"/>
    </row>
    <row r="14553">
      <c r="D14553" s="9"/>
      <c r="G14553" s="9"/>
      <c r="J14553" s="11"/>
      <c r="U14553" s="9"/>
      <c r="X14553" s="9"/>
    </row>
    <row r="14554">
      <c r="D14554" s="9"/>
      <c r="G14554" s="9"/>
      <c r="J14554" s="11"/>
      <c r="U14554" s="9"/>
      <c r="X14554" s="9"/>
    </row>
    <row r="14555">
      <c r="D14555" s="9"/>
      <c r="G14555" s="9"/>
      <c r="J14555" s="11"/>
      <c r="U14555" s="9"/>
      <c r="X14555" s="9"/>
    </row>
    <row r="14556">
      <c r="D14556" s="9"/>
      <c r="G14556" s="9"/>
      <c r="J14556" s="11"/>
      <c r="U14556" s="9"/>
      <c r="X14556" s="9"/>
    </row>
    <row r="14557">
      <c r="D14557" s="9"/>
      <c r="G14557" s="9"/>
      <c r="J14557" s="11"/>
      <c r="U14557" s="9"/>
      <c r="X14557" s="9"/>
    </row>
    <row r="14558">
      <c r="D14558" s="9"/>
      <c r="G14558" s="9"/>
      <c r="J14558" s="11"/>
      <c r="U14558" s="9"/>
      <c r="X14558" s="9"/>
    </row>
    <row r="14559">
      <c r="D14559" s="9"/>
      <c r="G14559" s="9"/>
      <c r="J14559" s="11"/>
      <c r="U14559" s="9"/>
      <c r="X14559" s="9"/>
    </row>
    <row r="14560">
      <c r="D14560" s="9"/>
      <c r="G14560" s="9"/>
      <c r="J14560" s="11"/>
      <c r="U14560" s="9"/>
      <c r="X14560" s="9"/>
    </row>
    <row r="14561">
      <c r="D14561" s="9"/>
      <c r="G14561" s="9"/>
      <c r="J14561" s="11"/>
      <c r="U14561" s="9"/>
      <c r="X14561" s="9"/>
    </row>
    <row r="14562">
      <c r="D14562" s="9"/>
      <c r="G14562" s="9"/>
      <c r="J14562" s="11"/>
      <c r="U14562" s="9"/>
      <c r="X14562" s="9"/>
    </row>
    <row r="14563">
      <c r="D14563" s="9"/>
      <c r="G14563" s="9"/>
      <c r="J14563" s="11"/>
      <c r="U14563" s="9"/>
      <c r="X14563" s="9"/>
    </row>
    <row r="14564">
      <c r="D14564" s="9"/>
      <c r="G14564" s="9"/>
      <c r="J14564" s="11"/>
      <c r="U14564" s="9"/>
      <c r="X14564" s="9"/>
    </row>
    <row r="14565">
      <c r="D14565" s="9"/>
      <c r="G14565" s="9"/>
      <c r="J14565" s="11"/>
      <c r="U14565" s="9"/>
      <c r="X14565" s="9"/>
    </row>
    <row r="14566">
      <c r="D14566" s="9"/>
      <c r="G14566" s="9"/>
      <c r="J14566" s="11"/>
      <c r="U14566" s="9"/>
      <c r="X14566" s="9"/>
    </row>
    <row r="14567">
      <c r="D14567" s="9"/>
      <c r="G14567" s="9"/>
      <c r="J14567" s="11"/>
      <c r="U14567" s="9"/>
      <c r="X14567" s="9"/>
    </row>
    <row r="14568">
      <c r="D14568" s="9"/>
      <c r="G14568" s="9"/>
      <c r="J14568" s="11"/>
      <c r="U14568" s="9"/>
      <c r="X14568" s="9"/>
    </row>
    <row r="14569">
      <c r="D14569" s="9"/>
      <c r="G14569" s="9"/>
      <c r="J14569" s="11"/>
      <c r="U14569" s="9"/>
      <c r="X14569" s="9"/>
    </row>
    <row r="14570">
      <c r="D14570" s="9"/>
      <c r="G14570" s="9"/>
      <c r="J14570" s="11"/>
      <c r="U14570" s="9"/>
      <c r="X14570" s="9"/>
    </row>
    <row r="14571">
      <c r="D14571" s="9"/>
      <c r="G14571" s="9"/>
      <c r="J14571" s="11"/>
      <c r="U14571" s="9"/>
      <c r="X14571" s="9"/>
    </row>
    <row r="14572">
      <c r="D14572" s="9"/>
      <c r="G14572" s="9"/>
      <c r="J14572" s="11"/>
      <c r="U14572" s="9"/>
      <c r="X14572" s="9"/>
    </row>
    <row r="14573">
      <c r="D14573" s="9"/>
      <c r="G14573" s="9"/>
      <c r="J14573" s="11"/>
      <c r="U14573" s="9"/>
      <c r="X14573" s="9"/>
    </row>
    <row r="14574">
      <c r="D14574" s="9"/>
      <c r="G14574" s="9"/>
      <c r="J14574" s="11"/>
      <c r="U14574" s="9"/>
      <c r="X14574" s="9"/>
    </row>
    <row r="14575">
      <c r="D14575" s="9"/>
      <c r="G14575" s="9"/>
      <c r="J14575" s="11"/>
      <c r="U14575" s="9"/>
      <c r="X14575" s="9"/>
    </row>
    <row r="14576">
      <c r="D14576" s="9"/>
      <c r="G14576" s="9"/>
      <c r="J14576" s="11"/>
      <c r="U14576" s="9"/>
      <c r="X14576" s="9"/>
    </row>
    <row r="14577">
      <c r="D14577" s="9"/>
      <c r="G14577" s="9"/>
      <c r="J14577" s="11"/>
      <c r="U14577" s="9"/>
      <c r="X14577" s="9"/>
    </row>
    <row r="14578">
      <c r="D14578" s="9"/>
      <c r="G14578" s="9"/>
      <c r="J14578" s="11"/>
      <c r="U14578" s="9"/>
      <c r="X14578" s="9"/>
    </row>
    <row r="14579">
      <c r="D14579" s="9"/>
      <c r="G14579" s="9"/>
      <c r="J14579" s="11"/>
      <c r="U14579" s="9"/>
      <c r="X14579" s="9"/>
    </row>
    <row r="14580">
      <c r="D14580" s="9"/>
      <c r="G14580" s="9"/>
      <c r="J14580" s="11"/>
      <c r="U14580" s="9"/>
      <c r="X14580" s="9"/>
    </row>
    <row r="14581">
      <c r="D14581" s="9"/>
      <c r="G14581" s="9"/>
      <c r="J14581" s="11"/>
      <c r="U14581" s="9"/>
      <c r="X14581" s="9"/>
    </row>
    <row r="14582">
      <c r="D14582" s="9"/>
      <c r="G14582" s="9"/>
      <c r="J14582" s="11"/>
      <c r="U14582" s="9"/>
      <c r="X14582" s="9"/>
    </row>
    <row r="14583">
      <c r="D14583" s="9"/>
      <c r="G14583" s="9"/>
      <c r="J14583" s="11"/>
      <c r="U14583" s="9"/>
      <c r="X14583" s="9"/>
    </row>
    <row r="14584">
      <c r="D14584" s="9"/>
      <c r="G14584" s="9"/>
      <c r="J14584" s="11"/>
      <c r="U14584" s="9"/>
      <c r="X14584" s="9"/>
    </row>
    <row r="14585">
      <c r="D14585" s="9"/>
      <c r="G14585" s="9"/>
      <c r="J14585" s="11"/>
      <c r="U14585" s="9"/>
      <c r="X14585" s="9"/>
    </row>
    <row r="14586">
      <c r="D14586" s="9"/>
      <c r="G14586" s="9"/>
      <c r="J14586" s="11"/>
      <c r="U14586" s="9"/>
      <c r="X14586" s="9"/>
    </row>
    <row r="14587">
      <c r="D14587" s="9"/>
      <c r="G14587" s="9"/>
      <c r="J14587" s="11"/>
      <c r="U14587" s="9"/>
      <c r="X14587" s="9"/>
    </row>
    <row r="14588">
      <c r="D14588" s="9"/>
      <c r="G14588" s="9"/>
      <c r="J14588" s="11"/>
      <c r="U14588" s="9"/>
      <c r="X14588" s="9"/>
    </row>
    <row r="14589">
      <c r="D14589" s="9"/>
      <c r="G14589" s="9"/>
      <c r="J14589" s="11"/>
      <c r="U14589" s="9"/>
      <c r="X14589" s="9"/>
    </row>
    <row r="14590">
      <c r="D14590" s="9"/>
      <c r="G14590" s="9"/>
      <c r="J14590" s="11"/>
      <c r="U14590" s="9"/>
      <c r="X14590" s="9"/>
    </row>
    <row r="14591">
      <c r="D14591" s="9"/>
      <c r="G14591" s="9"/>
      <c r="J14591" s="11"/>
      <c r="U14591" s="9"/>
      <c r="X14591" s="9"/>
    </row>
    <row r="14592">
      <c r="D14592" s="9"/>
      <c r="G14592" s="9"/>
      <c r="J14592" s="11"/>
      <c r="U14592" s="9"/>
      <c r="X14592" s="9"/>
    </row>
    <row r="14593">
      <c r="D14593" s="9"/>
      <c r="G14593" s="9"/>
      <c r="J14593" s="11"/>
      <c r="U14593" s="9"/>
      <c r="X14593" s="9"/>
    </row>
    <row r="14594">
      <c r="D14594" s="9"/>
      <c r="G14594" s="9"/>
      <c r="J14594" s="11"/>
      <c r="U14594" s="9"/>
      <c r="X14594" s="9"/>
    </row>
    <row r="14595">
      <c r="D14595" s="9"/>
      <c r="G14595" s="9"/>
      <c r="J14595" s="11"/>
      <c r="U14595" s="9"/>
      <c r="X14595" s="9"/>
    </row>
    <row r="14596">
      <c r="D14596" s="9"/>
      <c r="G14596" s="9"/>
      <c r="J14596" s="11"/>
      <c r="U14596" s="9"/>
      <c r="X14596" s="9"/>
    </row>
    <row r="14597">
      <c r="D14597" s="9"/>
      <c r="G14597" s="9"/>
      <c r="J14597" s="11"/>
      <c r="U14597" s="9"/>
      <c r="X14597" s="9"/>
    </row>
    <row r="14598">
      <c r="D14598" s="9"/>
      <c r="G14598" s="9"/>
      <c r="J14598" s="11"/>
      <c r="U14598" s="9"/>
      <c r="X14598" s="9"/>
    </row>
    <row r="14599">
      <c r="D14599" s="9"/>
      <c r="G14599" s="9"/>
      <c r="J14599" s="11"/>
      <c r="U14599" s="9"/>
      <c r="X14599" s="9"/>
    </row>
    <row r="14600">
      <c r="D14600" s="9"/>
      <c r="G14600" s="9"/>
      <c r="J14600" s="11"/>
      <c r="U14600" s="9"/>
      <c r="X14600" s="9"/>
    </row>
    <row r="14601">
      <c r="D14601" s="9"/>
      <c r="G14601" s="9"/>
      <c r="J14601" s="11"/>
      <c r="U14601" s="9"/>
      <c r="X14601" s="9"/>
    </row>
    <row r="14602">
      <c r="D14602" s="9"/>
      <c r="G14602" s="9"/>
      <c r="J14602" s="11"/>
      <c r="U14602" s="9"/>
      <c r="X14602" s="9"/>
    </row>
    <row r="14603">
      <c r="D14603" s="9"/>
      <c r="G14603" s="9"/>
      <c r="J14603" s="11"/>
      <c r="U14603" s="9"/>
      <c r="X14603" s="9"/>
    </row>
    <row r="14604">
      <c r="D14604" s="9"/>
      <c r="G14604" s="9"/>
      <c r="J14604" s="11"/>
      <c r="U14604" s="9"/>
      <c r="X14604" s="9"/>
    </row>
    <row r="14605">
      <c r="D14605" s="9"/>
      <c r="G14605" s="9"/>
      <c r="J14605" s="11"/>
      <c r="U14605" s="9"/>
      <c r="X14605" s="9"/>
    </row>
    <row r="14606">
      <c r="D14606" s="9"/>
      <c r="G14606" s="9"/>
      <c r="J14606" s="11"/>
      <c r="U14606" s="9"/>
      <c r="X14606" s="9"/>
    </row>
    <row r="14607">
      <c r="D14607" s="9"/>
      <c r="G14607" s="9"/>
      <c r="J14607" s="11"/>
      <c r="U14607" s="9"/>
      <c r="X14607" s="9"/>
    </row>
    <row r="14608">
      <c r="D14608" s="9"/>
      <c r="G14608" s="9"/>
      <c r="J14608" s="11"/>
      <c r="U14608" s="9"/>
      <c r="X14608" s="9"/>
    </row>
    <row r="14609">
      <c r="D14609" s="9"/>
      <c r="G14609" s="9"/>
      <c r="J14609" s="11"/>
      <c r="U14609" s="9"/>
      <c r="X14609" s="9"/>
    </row>
    <row r="14610">
      <c r="D14610" s="9"/>
      <c r="G14610" s="9"/>
      <c r="J14610" s="11"/>
      <c r="U14610" s="9"/>
      <c r="X14610" s="9"/>
    </row>
    <row r="14611">
      <c r="D14611" s="9"/>
      <c r="G14611" s="9"/>
      <c r="J14611" s="11"/>
      <c r="U14611" s="9"/>
      <c r="X14611" s="9"/>
    </row>
    <row r="14612">
      <c r="D14612" s="9"/>
      <c r="G14612" s="9"/>
      <c r="J14612" s="11"/>
      <c r="U14612" s="9"/>
      <c r="X14612" s="9"/>
    </row>
    <row r="14613">
      <c r="D14613" s="9"/>
      <c r="G14613" s="9"/>
      <c r="J14613" s="11"/>
      <c r="U14613" s="9"/>
      <c r="X14613" s="9"/>
    </row>
    <row r="14614">
      <c r="D14614" s="9"/>
      <c r="G14614" s="9"/>
      <c r="J14614" s="11"/>
      <c r="U14614" s="9"/>
      <c r="X14614" s="9"/>
    </row>
    <row r="14615">
      <c r="D14615" s="9"/>
      <c r="G14615" s="9"/>
      <c r="J14615" s="11"/>
      <c r="U14615" s="9"/>
      <c r="X14615" s="9"/>
    </row>
    <row r="14616">
      <c r="D14616" s="9"/>
      <c r="G14616" s="9"/>
      <c r="J14616" s="11"/>
      <c r="U14616" s="9"/>
      <c r="X14616" s="9"/>
    </row>
    <row r="14617">
      <c r="D14617" s="9"/>
      <c r="G14617" s="9"/>
      <c r="J14617" s="11"/>
      <c r="U14617" s="9"/>
      <c r="X14617" s="9"/>
    </row>
    <row r="14618">
      <c r="D14618" s="9"/>
      <c r="G14618" s="9"/>
      <c r="J14618" s="11"/>
      <c r="U14618" s="9"/>
      <c r="X14618" s="9"/>
    </row>
    <row r="14619">
      <c r="D14619" s="9"/>
      <c r="G14619" s="9"/>
      <c r="J14619" s="11"/>
      <c r="U14619" s="9"/>
      <c r="X14619" s="9"/>
    </row>
    <row r="14620">
      <c r="D14620" s="9"/>
      <c r="G14620" s="9"/>
      <c r="J14620" s="11"/>
      <c r="U14620" s="9"/>
      <c r="X14620" s="9"/>
    </row>
    <row r="14621">
      <c r="D14621" s="9"/>
      <c r="G14621" s="9"/>
      <c r="J14621" s="11"/>
      <c r="U14621" s="9"/>
      <c r="X14621" s="9"/>
    </row>
    <row r="14622">
      <c r="D14622" s="9"/>
      <c r="G14622" s="9"/>
      <c r="J14622" s="11"/>
      <c r="U14622" s="9"/>
      <c r="X14622" s="9"/>
    </row>
    <row r="14623">
      <c r="D14623" s="9"/>
      <c r="G14623" s="9"/>
      <c r="J14623" s="11"/>
      <c r="U14623" s="9"/>
      <c r="X14623" s="9"/>
    </row>
    <row r="14624">
      <c r="D14624" s="9"/>
      <c r="G14624" s="9"/>
      <c r="J14624" s="11"/>
      <c r="U14624" s="9"/>
      <c r="X14624" s="9"/>
    </row>
    <row r="14625">
      <c r="D14625" s="9"/>
      <c r="G14625" s="9"/>
      <c r="J14625" s="11"/>
      <c r="U14625" s="9"/>
      <c r="X14625" s="9"/>
    </row>
    <row r="14626">
      <c r="D14626" s="9"/>
      <c r="G14626" s="9"/>
      <c r="J14626" s="11"/>
      <c r="U14626" s="9"/>
      <c r="X14626" s="9"/>
    </row>
    <row r="14627">
      <c r="D14627" s="9"/>
      <c r="G14627" s="9"/>
      <c r="J14627" s="11"/>
      <c r="U14627" s="9"/>
      <c r="X14627" s="9"/>
    </row>
    <row r="14628">
      <c r="D14628" s="9"/>
      <c r="G14628" s="9"/>
      <c r="J14628" s="11"/>
      <c r="U14628" s="9"/>
      <c r="X14628" s="9"/>
    </row>
    <row r="14629">
      <c r="D14629" s="9"/>
      <c r="G14629" s="9"/>
      <c r="J14629" s="11"/>
      <c r="U14629" s="9"/>
      <c r="X14629" s="9"/>
    </row>
    <row r="14630">
      <c r="D14630" s="9"/>
      <c r="G14630" s="9"/>
      <c r="J14630" s="11"/>
      <c r="U14630" s="9"/>
      <c r="X14630" s="9"/>
    </row>
    <row r="14631">
      <c r="D14631" s="9"/>
      <c r="G14631" s="9"/>
      <c r="J14631" s="11"/>
      <c r="U14631" s="9"/>
      <c r="X14631" s="9"/>
    </row>
    <row r="14632">
      <c r="D14632" s="9"/>
      <c r="G14632" s="9"/>
      <c r="J14632" s="11"/>
      <c r="U14632" s="9"/>
      <c r="X14632" s="9"/>
    </row>
    <row r="14633">
      <c r="D14633" s="9"/>
      <c r="G14633" s="9"/>
      <c r="J14633" s="11"/>
      <c r="U14633" s="9"/>
      <c r="X14633" s="9"/>
    </row>
    <row r="14634">
      <c r="D14634" s="9"/>
      <c r="G14634" s="9"/>
      <c r="J14634" s="11"/>
      <c r="U14634" s="9"/>
      <c r="X14634" s="9"/>
    </row>
    <row r="14635">
      <c r="D14635" s="9"/>
      <c r="G14635" s="9"/>
      <c r="J14635" s="11"/>
      <c r="U14635" s="9"/>
      <c r="X14635" s="9"/>
    </row>
    <row r="14636">
      <c r="D14636" s="9"/>
      <c r="G14636" s="9"/>
      <c r="J14636" s="11"/>
      <c r="U14636" s="9"/>
      <c r="X14636" s="9"/>
    </row>
    <row r="14637">
      <c r="D14637" s="9"/>
      <c r="G14637" s="9"/>
      <c r="J14637" s="11"/>
      <c r="U14637" s="9"/>
      <c r="X14637" s="9"/>
    </row>
    <row r="14638">
      <c r="D14638" s="9"/>
      <c r="G14638" s="9"/>
      <c r="J14638" s="11"/>
      <c r="U14638" s="9"/>
      <c r="X14638" s="9"/>
    </row>
    <row r="14639">
      <c r="D14639" s="9"/>
      <c r="G14639" s="9"/>
      <c r="J14639" s="11"/>
      <c r="U14639" s="9"/>
      <c r="X14639" s="9"/>
    </row>
    <row r="14640">
      <c r="D14640" s="9"/>
      <c r="G14640" s="9"/>
      <c r="J14640" s="11"/>
      <c r="U14640" s="9"/>
      <c r="X14640" s="9"/>
    </row>
    <row r="14641">
      <c r="D14641" s="9"/>
      <c r="G14641" s="9"/>
      <c r="J14641" s="11"/>
      <c r="U14641" s="9"/>
      <c r="X14641" s="9"/>
    </row>
    <row r="14642">
      <c r="D14642" s="9"/>
      <c r="G14642" s="9"/>
      <c r="J14642" s="11"/>
      <c r="U14642" s="9"/>
      <c r="X14642" s="9"/>
    </row>
    <row r="14643">
      <c r="D14643" s="9"/>
      <c r="G14643" s="9"/>
      <c r="J14643" s="11"/>
      <c r="U14643" s="9"/>
      <c r="X14643" s="9"/>
    </row>
    <row r="14644">
      <c r="D14644" s="9"/>
      <c r="G14644" s="9"/>
      <c r="J14644" s="11"/>
      <c r="U14644" s="9"/>
      <c r="X14644" s="9"/>
    </row>
    <row r="14645">
      <c r="D14645" s="9"/>
      <c r="G14645" s="9"/>
      <c r="J14645" s="11"/>
      <c r="U14645" s="9"/>
      <c r="X14645" s="9"/>
    </row>
    <row r="14646">
      <c r="D14646" s="9"/>
      <c r="G14646" s="9"/>
      <c r="J14646" s="11"/>
      <c r="U14646" s="9"/>
      <c r="X14646" s="9"/>
    </row>
    <row r="14647">
      <c r="D14647" s="9"/>
      <c r="G14647" s="9"/>
      <c r="J14647" s="11"/>
      <c r="U14647" s="9"/>
      <c r="X14647" s="9"/>
    </row>
    <row r="14648">
      <c r="D14648" s="9"/>
      <c r="G14648" s="9"/>
      <c r="J14648" s="11"/>
      <c r="U14648" s="9"/>
      <c r="X14648" s="9"/>
    </row>
    <row r="14649">
      <c r="D14649" s="9"/>
      <c r="G14649" s="9"/>
      <c r="J14649" s="11"/>
      <c r="U14649" s="9"/>
      <c r="X14649" s="9"/>
    </row>
    <row r="14650">
      <c r="D14650" s="9"/>
      <c r="G14650" s="9"/>
      <c r="J14650" s="11"/>
      <c r="U14650" s="9"/>
      <c r="X14650" s="9"/>
    </row>
    <row r="14651">
      <c r="D14651" s="9"/>
      <c r="G14651" s="9"/>
      <c r="J14651" s="11"/>
      <c r="U14651" s="9"/>
      <c r="X14651" s="9"/>
    </row>
    <row r="14652">
      <c r="D14652" s="9"/>
      <c r="G14652" s="9"/>
      <c r="J14652" s="11"/>
      <c r="U14652" s="9"/>
      <c r="X14652" s="9"/>
    </row>
    <row r="14653">
      <c r="D14653" s="9"/>
      <c r="G14653" s="9"/>
      <c r="J14653" s="11"/>
      <c r="U14653" s="9"/>
      <c r="X14653" s="9"/>
    </row>
    <row r="14654">
      <c r="D14654" s="9"/>
      <c r="G14654" s="9"/>
      <c r="J14654" s="11"/>
      <c r="U14654" s="9"/>
      <c r="X14654" s="9"/>
    </row>
    <row r="14655">
      <c r="D14655" s="9"/>
      <c r="G14655" s="9"/>
      <c r="J14655" s="11"/>
      <c r="U14655" s="9"/>
      <c r="X14655" s="9"/>
    </row>
    <row r="14656">
      <c r="D14656" s="9"/>
      <c r="G14656" s="9"/>
      <c r="J14656" s="11"/>
      <c r="U14656" s="9"/>
      <c r="X14656" s="9"/>
    </row>
    <row r="14657">
      <c r="D14657" s="9"/>
      <c r="G14657" s="9"/>
      <c r="J14657" s="11"/>
      <c r="U14657" s="9"/>
      <c r="X14657" s="9"/>
    </row>
    <row r="14658">
      <c r="D14658" s="9"/>
      <c r="G14658" s="9"/>
      <c r="J14658" s="11"/>
      <c r="U14658" s="9"/>
      <c r="X14658" s="9"/>
    </row>
    <row r="14659">
      <c r="D14659" s="9"/>
      <c r="G14659" s="9"/>
      <c r="J14659" s="11"/>
      <c r="U14659" s="9"/>
      <c r="X14659" s="9"/>
    </row>
    <row r="14660">
      <c r="D14660" s="9"/>
      <c r="G14660" s="9"/>
      <c r="J14660" s="11"/>
      <c r="U14660" s="9"/>
      <c r="X14660" s="9"/>
    </row>
    <row r="14661">
      <c r="D14661" s="9"/>
      <c r="G14661" s="9"/>
      <c r="J14661" s="11"/>
      <c r="U14661" s="9"/>
      <c r="X14661" s="9"/>
    </row>
    <row r="14662">
      <c r="D14662" s="9"/>
      <c r="G14662" s="9"/>
      <c r="J14662" s="11"/>
      <c r="U14662" s="9"/>
      <c r="X14662" s="9"/>
    </row>
    <row r="14663">
      <c r="D14663" s="9"/>
      <c r="G14663" s="9"/>
      <c r="J14663" s="11"/>
      <c r="U14663" s="9"/>
      <c r="X14663" s="9"/>
    </row>
    <row r="14664">
      <c r="D14664" s="9"/>
      <c r="G14664" s="9"/>
      <c r="J14664" s="11"/>
      <c r="U14664" s="9"/>
      <c r="X14664" s="9"/>
    </row>
    <row r="14665">
      <c r="D14665" s="9"/>
      <c r="G14665" s="9"/>
      <c r="J14665" s="11"/>
      <c r="U14665" s="9"/>
      <c r="X14665" s="9"/>
    </row>
    <row r="14666">
      <c r="D14666" s="9"/>
      <c r="G14666" s="9"/>
      <c r="J14666" s="11"/>
      <c r="U14666" s="9"/>
      <c r="X14666" s="9"/>
    </row>
    <row r="14667">
      <c r="D14667" s="9"/>
      <c r="G14667" s="9"/>
      <c r="J14667" s="11"/>
      <c r="U14667" s="9"/>
      <c r="X14667" s="9"/>
    </row>
    <row r="14668">
      <c r="D14668" s="9"/>
      <c r="G14668" s="9"/>
      <c r="J14668" s="11"/>
      <c r="U14668" s="9"/>
      <c r="X14668" s="9"/>
    </row>
    <row r="14669">
      <c r="D14669" s="9"/>
      <c r="G14669" s="9"/>
      <c r="J14669" s="11"/>
      <c r="U14669" s="9"/>
      <c r="X14669" s="9"/>
    </row>
    <row r="14670">
      <c r="D14670" s="9"/>
      <c r="G14670" s="9"/>
      <c r="J14670" s="11"/>
      <c r="U14670" s="9"/>
      <c r="X14670" s="9"/>
    </row>
    <row r="14671">
      <c r="D14671" s="9"/>
      <c r="G14671" s="9"/>
      <c r="J14671" s="11"/>
      <c r="U14671" s="9"/>
      <c r="X14671" s="9"/>
    </row>
    <row r="14672">
      <c r="D14672" s="9"/>
      <c r="G14672" s="9"/>
      <c r="J14672" s="11"/>
      <c r="U14672" s="9"/>
      <c r="X14672" s="9"/>
    </row>
    <row r="14673">
      <c r="D14673" s="9"/>
      <c r="G14673" s="9"/>
      <c r="J14673" s="11"/>
      <c r="U14673" s="9"/>
      <c r="X14673" s="9"/>
    </row>
    <row r="14674">
      <c r="D14674" s="9"/>
      <c r="G14674" s="9"/>
      <c r="J14674" s="11"/>
      <c r="U14674" s="9"/>
      <c r="X14674" s="9"/>
    </row>
    <row r="14675">
      <c r="D14675" s="9"/>
      <c r="G14675" s="9"/>
      <c r="J14675" s="11"/>
      <c r="U14675" s="9"/>
      <c r="X14675" s="9"/>
    </row>
    <row r="14676">
      <c r="D14676" s="9"/>
      <c r="G14676" s="9"/>
      <c r="J14676" s="11"/>
      <c r="U14676" s="9"/>
      <c r="X14676" s="9"/>
    </row>
    <row r="14677">
      <c r="D14677" s="9"/>
      <c r="G14677" s="9"/>
      <c r="J14677" s="11"/>
      <c r="U14677" s="9"/>
      <c r="X14677" s="9"/>
    </row>
    <row r="14678">
      <c r="D14678" s="9"/>
      <c r="G14678" s="9"/>
      <c r="J14678" s="11"/>
      <c r="U14678" s="9"/>
      <c r="X14678" s="9"/>
    </row>
    <row r="14679">
      <c r="D14679" s="9"/>
      <c r="G14679" s="9"/>
      <c r="J14679" s="11"/>
      <c r="U14679" s="9"/>
      <c r="X14679" s="9"/>
    </row>
    <row r="14680">
      <c r="D14680" s="9"/>
      <c r="G14680" s="9"/>
      <c r="J14680" s="11"/>
      <c r="U14680" s="9"/>
      <c r="X14680" s="9"/>
    </row>
    <row r="14681">
      <c r="D14681" s="9"/>
      <c r="G14681" s="9"/>
      <c r="J14681" s="11"/>
      <c r="U14681" s="9"/>
      <c r="X14681" s="9"/>
    </row>
    <row r="14682">
      <c r="D14682" s="9"/>
      <c r="G14682" s="9"/>
      <c r="J14682" s="11"/>
      <c r="U14682" s="9"/>
      <c r="X14682" s="9"/>
    </row>
    <row r="14683">
      <c r="D14683" s="9"/>
      <c r="G14683" s="9"/>
      <c r="J14683" s="11"/>
      <c r="U14683" s="9"/>
      <c r="X14683" s="9"/>
    </row>
    <row r="14684">
      <c r="D14684" s="9"/>
      <c r="G14684" s="9"/>
      <c r="J14684" s="11"/>
      <c r="U14684" s="9"/>
      <c r="X14684" s="9"/>
    </row>
    <row r="14685">
      <c r="D14685" s="9"/>
      <c r="G14685" s="9"/>
      <c r="J14685" s="11"/>
      <c r="U14685" s="9"/>
      <c r="X14685" s="9"/>
    </row>
    <row r="14686">
      <c r="D14686" s="9"/>
      <c r="G14686" s="9"/>
      <c r="J14686" s="11"/>
      <c r="U14686" s="9"/>
      <c r="X14686" s="9"/>
    </row>
    <row r="14687">
      <c r="D14687" s="9"/>
      <c r="G14687" s="9"/>
      <c r="J14687" s="11"/>
      <c r="U14687" s="9"/>
      <c r="X14687" s="9"/>
    </row>
    <row r="14688">
      <c r="D14688" s="9"/>
      <c r="G14688" s="9"/>
      <c r="J14688" s="11"/>
      <c r="U14688" s="9"/>
      <c r="X14688" s="9"/>
    </row>
    <row r="14689">
      <c r="D14689" s="9"/>
      <c r="G14689" s="9"/>
      <c r="J14689" s="11"/>
      <c r="U14689" s="9"/>
      <c r="X14689" s="9"/>
    </row>
    <row r="14690">
      <c r="D14690" s="9"/>
      <c r="G14690" s="9"/>
      <c r="J14690" s="11"/>
      <c r="U14690" s="9"/>
      <c r="X14690" s="9"/>
    </row>
    <row r="14691">
      <c r="D14691" s="9"/>
      <c r="G14691" s="9"/>
      <c r="J14691" s="11"/>
      <c r="U14691" s="9"/>
      <c r="X14691" s="9"/>
    </row>
    <row r="14692">
      <c r="D14692" s="9"/>
      <c r="G14692" s="9"/>
      <c r="J14692" s="11"/>
      <c r="U14692" s="9"/>
      <c r="X14692" s="9"/>
    </row>
    <row r="14693">
      <c r="D14693" s="9"/>
      <c r="G14693" s="9"/>
      <c r="J14693" s="11"/>
      <c r="U14693" s="9"/>
      <c r="X14693" s="9"/>
    </row>
    <row r="14694">
      <c r="D14694" s="9"/>
      <c r="G14694" s="9"/>
      <c r="J14694" s="11"/>
      <c r="U14694" s="9"/>
      <c r="X14694" s="9"/>
    </row>
    <row r="14695">
      <c r="D14695" s="9"/>
      <c r="G14695" s="9"/>
      <c r="J14695" s="11"/>
      <c r="U14695" s="9"/>
      <c r="X14695" s="9"/>
    </row>
    <row r="14696">
      <c r="D14696" s="9"/>
      <c r="G14696" s="9"/>
      <c r="J14696" s="11"/>
      <c r="U14696" s="9"/>
      <c r="X14696" s="9"/>
    </row>
    <row r="14697">
      <c r="D14697" s="9"/>
      <c r="G14697" s="9"/>
      <c r="J14697" s="11"/>
      <c r="U14697" s="9"/>
      <c r="X14697" s="9"/>
    </row>
    <row r="14698">
      <c r="D14698" s="9"/>
      <c r="G14698" s="9"/>
      <c r="J14698" s="11"/>
      <c r="U14698" s="9"/>
      <c r="X14698" s="9"/>
    </row>
    <row r="14699">
      <c r="D14699" s="9"/>
      <c r="G14699" s="9"/>
      <c r="J14699" s="11"/>
      <c r="U14699" s="9"/>
      <c r="X14699" s="9"/>
    </row>
    <row r="14700">
      <c r="D14700" s="9"/>
      <c r="G14700" s="9"/>
      <c r="J14700" s="11"/>
      <c r="U14700" s="9"/>
      <c r="X14700" s="9"/>
    </row>
    <row r="14701">
      <c r="D14701" s="9"/>
      <c r="G14701" s="9"/>
      <c r="J14701" s="11"/>
      <c r="U14701" s="9"/>
      <c r="X14701" s="9"/>
    </row>
    <row r="14702">
      <c r="D14702" s="9"/>
      <c r="G14702" s="9"/>
      <c r="J14702" s="11"/>
      <c r="U14702" s="9"/>
      <c r="X14702" s="9"/>
    </row>
    <row r="14703">
      <c r="D14703" s="9"/>
      <c r="G14703" s="9"/>
      <c r="J14703" s="11"/>
      <c r="U14703" s="9"/>
      <c r="X14703" s="9"/>
    </row>
    <row r="14704">
      <c r="D14704" s="9"/>
      <c r="G14704" s="9"/>
      <c r="J14704" s="11"/>
      <c r="U14704" s="9"/>
      <c r="X14704" s="9"/>
    </row>
    <row r="14705">
      <c r="D14705" s="9"/>
      <c r="G14705" s="9"/>
      <c r="J14705" s="11"/>
      <c r="U14705" s="9"/>
      <c r="X14705" s="9"/>
    </row>
    <row r="14706">
      <c r="D14706" s="9"/>
      <c r="G14706" s="9"/>
      <c r="J14706" s="11"/>
      <c r="U14706" s="9"/>
      <c r="X14706" s="9"/>
    </row>
    <row r="14707">
      <c r="D14707" s="9"/>
      <c r="G14707" s="9"/>
      <c r="J14707" s="11"/>
      <c r="U14707" s="9"/>
      <c r="X14707" s="9"/>
    </row>
    <row r="14708">
      <c r="D14708" s="9"/>
      <c r="G14708" s="9"/>
      <c r="J14708" s="11"/>
      <c r="U14708" s="9"/>
      <c r="X14708" s="9"/>
    </row>
    <row r="14709">
      <c r="D14709" s="9"/>
      <c r="G14709" s="9"/>
      <c r="J14709" s="11"/>
      <c r="U14709" s="9"/>
      <c r="X14709" s="9"/>
    </row>
    <row r="14710">
      <c r="D14710" s="9"/>
      <c r="G14710" s="9"/>
      <c r="J14710" s="11"/>
      <c r="U14710" s="9"/>
      <c r="X14710" s="9"/>
    </row>
    <row r="14711">
      <c r="D14711" s="9"/>
      <c r="G14711" s="9"/>
      <c r="J14711" s="11"/>
      <c r="U14711" s="9"/>
      <c r="X14711" s="9"/>
    </row>
    <row r="14712">
      <c r="D14712" s="9"/>
      <c r="G14712" s="9"/>
      <c r="J14712" s="11"/>
      <c r="U14712" s="9"/>
      <c r="X14712" s="9"/>
    </row>
    <row r="14713">
      <c r="D14713" s="9"/>
      <c r="G14713" s="9"/>
      <c r="J14713" s="11"/>
      <c r="U14713" s="9"/>
      <c r="X14713" s="9"/>
    </row>
    <row r="14714">
      <c r="D14714" s="9"/>
      <c r="G14714" s="9"/>
      <c r="J14714" s="11"/>
      <c r="U14714" s="9"/>
      <c r="X14714" s="9"/>
    </row>
    <row r="14715">
      <c r="D14715" s="9"/>
      <c r="G14715" s="9"/>
      <c r="J14715" s="11"/>
      <c r="U14715" s="9"/>
      <c r="X14715" s="9"/>
    </row>
    <row r="14716">
      <c r="D14716" s="9"/>
      <c r="G14716" s="9"/>
      <c r="J14716" s="11"/>
      <c r="U14716" s="9"/>
      <c r="X14716" s="9"/>
    </row>
    <row r="14717">
      <c r="D14717" s="9"/>
      <c r="G14717" s="9"/>
      <c r="J14717" s="11"/>
      <c r="U14717" s="9"/>
      <c r="X14717" s="9"/>
    </row>
    <row r="14718">
      <c r="D14718" s="9"/>
      <c r="G14718" s="9"/>
      <c r="J14718" s="11"/>
      <c r="U14718" s="9"/>
      <c r="X14718" s="9"/>
    </row>
    <row r="14719">
      <c r="D14719" s="9"/>
      <c r="G14719" s="9"/>
      <c r="J14719" s="11"/>
      <c r="U14719" s="9"/>
      <c r="X14719" s="9"/>
    </row>
    <row r="14720">
      <c r="D14720" s="9"/>
      <c r="G14720" s="9"/>
      <c r="J14720" s="11"/>
      <c r="U14720" s="9"/>
      <c r="X14720" s="9"/>
    </row>
    <row r="14721">
      <c r="D14721" s="9"/>
      <c r="G14721" s="9"/>
      <c r="J14721" s="11"/>
      <c r="U14721" s="9"/>
      <c r="X14721" s="9"/>
    </row>
    <row r="14722">
      <c r="D14722" s="9"/>
      <c r="G14722" s="9"/>
      <c r="J14722" s="11"/>
      <c r="U14722" s="9"/>
      <c r="X14722" s="9"/>
    </row>
    <row r="14723">
      <c r="D14723" s="9"/>
      <c r="G14723" s="9"/>
      <c r="J14723" s="11"/>
      <c r="U14723" s="9"/>
      <c r="X14723" s="9"/>
    </row>
    <row r="14724">
      <c r="D14724" s="9"/>
      <c r="G14724" s="9"/>
      <c r="J14724" s="11"/>
      <c r="U14724" s="9"/>
      <c r="X14724" s="9"/>
    </row>
    <row r="14725">
      <c r="D14725" s="9"/>
      <c r="G14725" s="9"/>
      <c r="J14725" s="11"/>
      <c r="U14725" s="9"/>
      <c r="X14725" s="9"/>
    </row>
    <row r="14726">
      <c r="D14726" s="9"/>
      <c r="G14726" s="9"/>
      <c r="J14726" s="11"/>
      <c r="U14726" s="9"/>
      <c r="X14726" s="9"/>
    </row>
    <row r="14727">
      <c r="D14727" s="9"/>
      <c r="G14727" s="9"/>
      <c r="J14727" s="11"/>
      <c r="U14727" s="9"/>
      <c r="X14727" s="9"/>
    </row>
    <row r="14728">
      <c r="D14728" s="9"/>
      <c r="G14728" s="9"/>
      <c r="J14728" s="11"/>
      <c r="U14728" s="9"/>
      <c r="X14728" s="9"/>
    </row>
    <row r="14729">
      <c r="D14729" s="9"/>
      <c r="G14729" s="9"/>
      <c r="J14729" s="11"/>
      <c r="U14729" s="9"/>
      <c r="X14729" s="9"/>
    </row>
    <row r="14730">
      <c r="D14730" s="9"/>
      <c r="G14730" s="9"/>
      <c r="J14730" s="11"/>
      <c r="U14730" s="9"/>
      <c r="X14730" s="9"/>
    </row>
    <row r="14731">
      <c r="D14731" s="9"/>
      <c r="G14731" s="9"/>
      <c r="J14731" s="11"/>
      <c r="U14731" s="9"/>
      <c r="X14731" s="9"/>
    </row>
    <row r="14732">
      <c r="D14732" s="9"/>
      <c r="G14732" s="9"/>
      <c r="J14732" s="11"/>
      <c r="U14732" s="9"/>
      <c r="X14732" s="9"/>
    </row>
    <row r="14733">
      <c r="D14733" s="9"/>
      <c r="G14733" s="9"/>
      <c r="J14733" s="11"/>
      <c r="U14733" s="9"/>
      <c r="X14733" s="9"/>
    </row>
    <row r="14734">
      <c r="D14734" s="9"/>
      <c r="G14734" s="9"/>
      <c r="J14734" s="11"/>
      <c r="U14734" s="9"/>
      <c r="X14734" s="9"/>
    </row>
    <row r="14735">
      <c r="D14735" s="9"/>
      <c r="G14735" s="9"/>
      <c r="J14735" s="11"/>
      <c r="U14735" s="9"/>
      <c r="X14735" s="9"/>
    </row>
    <row r="14736">
      <c r="D14736" s="9"/>
      <c r="G14736" s="9"/>
      <c r="J14736" s="11"/>
      <c r="U14736" s="9"/>
      <c r="X14736" s="9"/>
    </row>
    <row r="14737">
      <c r="D14737" s="9"/>
      <c r="G14737" s="9"/>
      <c r="J14737" s="11"/>
      <c r="U14737" s="9"/>
      <c r="X14737" s="9"/>
    </row>
    <row r="14738">
      <c r="D14738" s="9"/>
      <c r="G14738" s="9"/>
      <c r="J14738" s="11"/>
      <c r="U14738" s="9"/>
      <c r="X14738" s="9"/>
    </row>
    <row r="14739">
      <c r="D14739" s="9"/>
      <c r="G14739" s="9"/>
      <c r="J14739" s="11"/>
      <c r="U14739" s="9"/>
      <c r="X14739" s="9"/>
    </row>
    <row r="14740">
      <c r="D14740" s="9"/>
      <c r="G14740" s="9"/>
      <c r="J14740" s="11"/>
      <c r="U14740" s="9"/>
      <c r="X14740" s="9"/>
    </row>
    <row r="14741">
      <c r="D14741" s="9"/>
      <c r="G14741" s="9"/>
      <c r="J14741" s="11"/>
      <c r="U14741" s="9"/>
      <c r="X14741" s="9"/>
    </row>
    <row r="14742">
      <c r="D14742" s="9"/>
      <c r="G14742" s="9"/>
      <c r="J14742" s="11"/>
      <c r="U14742" s="9"/>
      <c r="X14742" s="9"/>
    </row>
    <row r="14743">
      <c r="D14743" s="9"/>
      <c r="G14743" s="9"/>
      <c r="J14743" s="11"/>
      <c r="U14743" s="9"/>
      <c r="X14743" s="9"/>
    </row>
    <row r="14744">
      <c r="D14744" s="9"/>
      <c r="G14744" s="9"/>
      <c r="J14744" s="11"/>
      <c r="U14744" s="9"/>
      <c r="X14744" s="9"/>
    </row>
    <row r="14745">
      <c r="D14745" s="9"/>
      <c r="G14745" s="9"/>
      <c r="J14745" s="11"/>
      <c r="U14745" s="9"/>
      <c r="X14745" s="9"/>
    </row>
    <row r="14746">
      <c r="D14746" s="9"/>
      <c r="G14746" s="9"/>
      <c r="J14746" s="11"/>
      <c r="U14746" s="9"/>
      <c r="X14746" s="9"/>
    </row>
    <row r="14747">
      <c r="D14747" s="9"/>
      <c r="G14747" s="9"/>
      <c r="J14747" s="11"/>
      <c r="U14747" s="9"/>
      <c r="X14747" s="9"/>
    </row>
    <row r="14748">
      <c r="D14748" s="9"/>
      <c r="G14748" s="9"/>
      <c r="J14748" s="11"/>
      <c r="U14748" s="9"/>
      <c r="X14748" s="9"/>
    </row>
    <row r="14749">
      <c r="D14749" s="9"/>
      <c r="G14749" s="9"/>
      <c r="J14749" s="11"/>
      <c r="U14749" s="9"/>
      <c r="X14749" s="9"/>
    </row>
    <row r="14750">
      <c r="D14750" s="9"/>
      <c r="G14750" s="9"/>
      <c r="J14750" s="11"/>
      <c r="U14750" s="9"/>
      <c r="X14750" s="9"/>
    </row>
    <row r="14751">
      <c r="D14751" s="9"/>
      <c r="G14751" s="9"/>
      <c r="J14751" s="11"/>
      <c r="U14751" s="9"/>
      <c r="X14751" s="9"/>
    </row>
    <row r="14752">
      <c r="D14752" s="9"/>
      <c r="G14752" s="9"/>
      <c r="J14752" s="11"/>
      <c r="U14752" s="9"/>
      <c r="X14752" s="9"/>
    </row>
    <row r="14753">
      <c r="D14753" s="9"/>
      <c r="G14753" s="9"/>
      <c r="J14753" s="11"/>
      <c r="U14753" s="9"/>
      <c r="X14753" s="9"/>
    </row>
    <row r="14754">
      <c r="D14754" s="9"/>
      <c r="G14754" s="9"/>
      <c r="J14754" s="11"/>
      <c r="U14754" s="9"/>
      <c r="X14754" s="9"/>
    </row>
    <row r="14755">
      <c r="D14755" s="9"/>
      <c r="G14755" s="9"/>
      <c r="J14755" s="11"/>
      <c r="U14755" s="9"/>
      <c r="X14755" s="9"/>
    </row>
    <row r="14756">
      <c r="D14756" s="9"/>
      <c r="G14756" s="9"/>
      <c r="J14756" s="11"/>
      <c r="U14756" s="9"/>
      <c r="X14756" s="9"/>
    </row>
    <row r="14757">
      <c r="D14757" s="9"/>
      <c r="G14757" s="9"/>
      <c r="J14757" s="11"/>
      <c r="U14757" s="9"/>
      <c r="X14757" s="9"/>
    </row>
    <row r="14758">
      <c r="D14758" s="9"/>
      <c r="G14758" s="9"/>
      <c r="J14758" s="11"/>
      <c r="U14758" s="9"/>
      <c r="X14758" s="9"/>
    </row>
    <row r="14759">
      <c r="D14759" s="9"/>
      <c r="G14759" s="9"/>
      <c r="J14759" s="11"/>
      <c r="U14759" s="9"/>
      <c r="X14759" s="9"/>
    </row>
    <row r="14760">
      <c r="D14760" s="9"/>
      <c r="G14760" s="9"/>
      <c r="J14760" s="11"/>
      <c r="U14760" s="9"/>
      <c r="X14760" s="9"/>
    </row>
    <row r="14761">
      <c r="D14761" s="9"/>
      <c r="G14761" s="9"/>
      <c r="J14761" s="11"/>
      <c r="U14761" s="9"/>
      <c r="X14761" s="9"/>
    </row>
    <row r="14762">
      <c r="D14762" s="9"/>
      <c r="G14762" s="9"/>
      <c r="J14762" s="11"/>
      <c r="U14762" s="9"/>
      <c r="X14762" s="9"/>
    </row>
    <row r="14763">
      <c r="D14763" s="9"/>
      <c r="G14763" s="9"/>
      <c r="J14763" s="11"/>
      <c r="U14763" s="9"/>
      <c r="X14763" s="9"/>
    </row>
    <row r="14764">
      <c r="D14764" s="9"/>
      <c r="G14764" s="9"/>
      <c r="J14764" s="11"/>
      <c r="U14764" s="9"/>
      <c r="X14764" s="9"/>
    </row>
    <row r="14765">
      <c r="D14765" s="9"/>
      <c r="G14765" s="9"/>
      <c r="J14765" s="11"/>
      <c r="U14765" s="9"/>
      <c r="X14765" s="9"/>
    </row>
    <row r="14766">
      <c r="D14766" s="9"/>
      <c r="G14766" s="9"/>
      <c r="J14766" s="11"/>
      <c r="U14766" s="9"/>
      <c r="X14766" s="9"/>
    </row>
    <row r="14767">
      <c r="D14767" s="9"/>
      <c r="G14767" s="9"/>
      <c r="J14767" s="11"/>
      <c r="U14767" s="9"/>
      <c r="X14767" s="9"/>
    </row>
    <row r="14768">
      <c r="D14768" s="9"/>
      <c r="G14768" s="9"/>
      <c r="J14768" s="11"/>
      <c r="U14768" s="9"/>
      <c r="X14768" s="9"/>
    </row>
    <row r="14769">
      <c r="D14769" s="9"/>
      <c r="G14769" s="9"/>
      <c r="J14769" s="11"/>
      <c r="U14769" s="9"/>
      <c r="X14769" s="9"/>
    </row>
    <row r="14770">
      <c r="D14770" s="9"/>
      <c r="G14770" s="9"/>
      <c r="J14770" s="11"/>
      <c r="U14770" s="9"/>
      <c r="X14770" s="9"/>
    </row>
    <row r="14771">
      <c r="D14771" s="9"/>
      <c r="G14771" s="9"/>
      <c r="J14771" s="11"/>
      <c r="U14771" s="9"/>
      <c r="X14771" s="9"/>
    </row>
    <row r="14772">
      <c r="D14772" s="9"/>
      <c r="G14772" s="9"/>
      <c r="J14772" s="11"/>
      <c r="U14772" s="9"/>
      <c r="X14772" s="9"/>
    </row>
    <row r="14773">
      <c r="D14773" s="9"/>
      <c r="G14773" s="9"/>
      <c r="J14773" s="11"/>
      <c r="U14773" s="9"/>
      <c r="X14773" s="9"/>
    </row>
    <row r="14774">
      <c r="D14774" s="9"/>
      <c r="G14774" s="9"/>
      <c r="J14774" s="11"/>
      <c r="U14774" s="9"/>
      <c r="X14774" s="9"/>
    </row>
    <row r="14775">
      <c r="D14775" s="9"/>
      <c r="G14775" s="9"/>
      <c r="J14775" s="11"/>
      <c r="U14775" s="9"/>
      <c r="X14775" s="9"/>
    </row>
    <row r="14776">
      <c r="D14776" s="9"/>
      <c r="G14776" s="9"/>
      <c r="J14776" s="11"/>
      <c r="U14776" s="9"/>
      <c r="X14776" s="9"/>
    </row>
    <row r="14777">
      <c r="D14777" s="9"/>
      <c r="G14777" s="9"/>
      <c r="J14777" s="11"/>
      <c r="U14777" s="9"/>
      <c r="X14777" s="9"/>
    </row>
    <row r="14778">
      <c r="D14778" s="9"/>
      <c r="G14778" s="9"/>
      <c r="J14778" s="11"/>
      <c r="U14778" s="9"/>
      <c r="X14778" s="9"/>
    </row>
    <row r="14779">
      <c r="D14779" s="9"/>
      <c r="G14779" s="9"/>
      <c r="J14779" s="11"/>
      <c r="U14779" s="9"/>
      <c r="X14779" s="9"/>
    </row>
    <row r="14780">
      <c r="D14780" s="9"/>
      <c r="G14780" s="9"/>
      <c r="J14780" s="11"/>
      <c r="U14780" s="9"/>
      <c r="X14780" s="9"/>
    </row>
    <row r="14781">
      <c r="D14781" s="9"/>
      <c r="G14781" s="9"/>
      <c r="J14781" s="11"/>
      <c r="U14781" s="9"/>
      <c r="X14781" s="9"/>
    </row>
    <row r="14782">
      <c r="D14782" s="9"/>
      <c r="G14782" s="9"/>
      <c r="J14782" s="11"/>
      <c r="U14782" s="9"/>
      <c r="X14782" s="9"/>
    </row>
    <row r="14783">
      <c r="D14783" s="9"/>
      <c r="G14783" s="9"/>
      <c r="J14783" s="11"/>
      <c r="U14783" s="9"/>
      <c r="X14783" s="9"/>
    </row>
    <row r="14784">
      <c r="D14784" s="9"/>
      <c r="G14784" s="9"/>
      <c r="J14784" s="11"/>
      <c r="U14784" s="9"/>
      <c r="X14784" s="9"/>
    </row>
    <row r="14785">
      <c r="D14785" s="9"/>
      <c r="G14785" s="9"/>
      <c r="J14785" s="11"/>
      <c r="U14785" s="9"/>
      <c r="X14785" s="9"/>
    </row>
    <row r="14786">
      <c r="D14786" s="9"/>
      <c r="G14786" s="9"/>
      <c r="J14786" s="11"/>
      <c r="U14786" s="9"/>
      <c r="X14786" s="9"/>
    </row>
    <row r="14787">
      <c r="D14787" s="9"/>
      <c r="G14787" s="9"/>
      <c r="J14787" s="11"/>
      <c r="U14787" s="9"/>
      <c r="X14787" s="9"/>
    </row>
    <row r="14788">
      <c r="D14788" s="9"/>
      <c r="G14788" s="9"/>
      <c r="J14788" s="11"/>
      <c r="U14788" s="9"/>
      <c r="X14788" s="9"/>
    </row>
    <row r="14789">
      <c r="D14789" s="9"/>
      <c r="G14789" s="9"/>
      <c r="J14789" s="11"/>
      <c r="U14789" s="9"/>
      <c r="X14789" s="9"/>
    </row>
    <row r="14790">
      <c r="D14790" s="9"/>
      <c r="G14790" s="9"/>
      <c r="J14790" s="11"/>
      <c r="U14790" s="9"/>
      <c r="X14790" s="9"/>
    </row>
    <row r="14791">
      <c r="D14791" s="9"/>
      <c r="G14791" s="9"/>
      <c r="J14791" s="11"/>
      <c r="U14791" s="9"/>
      <c r="X14791" s="9"/>
    </row>
    <row r="14792">
      <c r="D14792" s="9"/>
      <c r="G14792" s="9"/>
      <c r="J14792" s="11"/>
      <c r="U14792" s="9"/>
      <c r="X14792" s="9"/>
    </row>
    <row r="14793">
      <c r="D14793" s="9"/>
      <c r="G14793" s="9"/>
      <c r="J14793" s="11"/>
      <c r="U14793" s="9"/>
      <c r="X14793" s="9"/>
    </row>
    <row r="14794">
      <c r="D14794" s="9"/>
      <c r="G14794" s="9"/>
      <c r="J14794" s="11"/>
      <c r="U14794" s="9"/>
      <c r="X14794" s="9"/>
    </row>
    <row r="14795">
      <c r="D14795" s="9"/>
      <c r="G14795" s="9"/>
      <c r="J14795" s="11"/>
      <c r="U14795" s="9"/>
      <c r="X14795" s="9"/>
    </row>
    <row r="14796">
      <c r="D14796" s="9"/>
      <c r="G14796" s="9"/>
      <c r="J14796" s="11"/>
      <c r="U14796" s="9"/>
      <c r="X14796" s="9"/>
    </row>
    <row r="14797">
      <c r="D14797" s="9"/>
      <c r="G14797" s="9"/>
      <c r="J14797" s="11"/>
      <c r="U14797" s="9"/>
      <c r="X14797" s="9"/>
    </row>
    <row r="14798">
      <c r="D14798" s="9"/>
      <c r="G14798" s="9"/>
      <c r="J14798" s="11"/>
      <c r="U14798" s="9"/>
      <c r="X14798" s="9"/>
    </row>
    <row r="14799">
      <c r="D14799" s="9"/>
      <c r="G14799" s="9"/>
      <c r="J14799" s="11"/>
      <c r="U14799" s="9"/>
      <c r="X14799" s="9"/>
    </row>
    <row r="14800">
      <c r="D14800" s="9"/>
      <c r="G14800" s="9"/>
      <c r="J14800" s="11"/>
      <c r="U14800" s="9"/>
      <c r="X14800" s="9"/>
    </row>
    <row r="14801">
      <c r="D14801" s="9"/>
      <c r="G14801" s="9"/>
      <c r="J14801" s="11"/>
      <c r="U14801" s="9"/>
      <c r="X14801" s="9"/>
    </row>
    <row r="14802">
      <c r="D14802" s="9"/>
      <c r="G14802" s="9"/>
      <c r="J14802" s="11"/>
      <c r="U14802" s="9"/>
      <c r="X14802" s="9"/>
    </row>
    <row r="14803">
      <c r="D14803" s="9"/>
      <c r="G14803" s="9"/>
      <c r="J14803" s="11"/>
      <c r="U14803" s="9"/>
      <c r="X14803" s="9"/>
    </row>
    <row r="14804">
      <c r="D14804" s="9"/>
      <c r="G14804" s="9"/>
      <c r="J14804" s="11"/>
      <c r="U14804" s="9"/>
      <c r="X14804" s="9"/>
    </row>
    <row r="14805">
      <c r="D14805" s="9"/>
      <c r="G14805" s="9"/>
      <c r="J14805" s="11"/>
      <c r="U14805" s="9"/>
      <c r="X14805" s="9"/>
    </row>
    <row r="14806">
      <c r="D14806" s="9"/>
      <c r="G14806" s="9"/>
      <c r="J14806" s="11"/>
      <c r="U14806" s="9"/>
      <c r="X14806" s="9"/>
    </row>
    <row r="14807">
      <c r="D14807" s="9"/>
      <c r="G14807" s="9"/>
      <c r="J14807" s="11"/>
      <c r="U14807" s="9"/>
      <c r="X14807" s="9"/>
    </row>
    <row r="14808">
      <c r="D14808" s="9"/>
      <c r="G14808" s="9"/>
      <c r="J14808" s="11"/>
      <c r="U14808" s="9"/>
      <c r="X14808" s="9"/>
    </row>
    <row r="14809">
      <c r="D14809" s="9"/>
      <c r="G14809" s="9"/>
      <c r="J14809" s="11"/>
      <c r="U14809" s="9"/>
      <c r="X14809" s="9"/>
    </row>
    <row r="14810">
      <c r="D14810" s="9"/>
      <c r="G14810" s="9"/>
      <c r="J14810" s="11"/>
      <c r="U14810" s="9"/>
      <c r="X14810" s="9"/>
    </row>
    <row r="14811">
      <c r="D14811" s="9"/>
      <c r="G14811" s="9"/>
      <c r="J14811" s="11"/>
      <c r="U14811" s="9"/>
      <c r="X14811" s="9"/>
    </row>
    <row r="14812">
      <c r="D14812" s="9"/>
      <c r="G14812" s="9"/>
      <c r="J14812" s="11"/>
      <c r="U14812" s="9"/>
      <c r="X14812" s="9"/>
    </row>
    <row r="14813">
      <c r="D14813" s="9"/>
      <c r="G14813" s="9"/>
      <c r="J14813" s="11"/>
      <c r="U14813" s="9"/>
      <c r="X14813" s="9"/>
    </row>
    <row r="14814">
      <c r="D14814" s="9"/>
      <c r="G14814" s="9"/>
      <c r="J14814" s="11"/>
      <c r="U14814" s="9"/>
      <c r="X14814" s="9"/>
    </row>
    <row r="14815">
      <c r="D14815" s="9"/>
      <c r="G14815" s="9"/>
      <c r="J14815" s="11"/>
      <c r="U14815" s="9"/>
      <c r="X14815" s="9"/>
    </row>
    <row r="14816">
      <c r="D14816" s="9"/>
      <c r="G14816" s="9"/>
      <c r="J14816" s="11"/>
      <c r="U14816" s="9"/>
      <c r="X14816" s="9"/>
    </row>
    <row r="14817">
      <c r="D14817" s="9"/>
      <c r="G14817" s="9"/>
      <c r="J14817" s="11"/>
      <c r="U14817" s="9"/>
      <c r="X14817" s="9"/>
    </row>
    <row r="14818">
      <c r="D14818" s="9"/>
      <c r="G14818" s="9"/>
      <c r="J14818" s="11"/>
      <c r="U14818" s="9"/>
      <c r="X14818" s="9"/>
    </row>
    <row r="14819">
      <c r="D14819" s="9"/>
      <c r="G14819" s="9"/>
      <c r="J14819" s="11"/>
      <c r="U14819" s="9"/>
      <c r="X14819" s="9"/>
    </row>
    <row r="14820">
      <c r="D14820" s="9"/>
      <c r="G14820" s="9"/>
      <c r="J14820" s="11"/>
      <c r="U14820" s="9"/>
      <c r="X14820" s="9"/>
    </row>
    <row r="14821">
      <c r="D14821" s="9"/>
      <c r="G14821" s="9"/>
      <c r="J14821" s="11"/>
      <c r="U14821" s="9"/>
      <c r="X14821" s="9"/>
    </row>
    <row r="14822">
      <c r="D14822" s="9"/>
      <c r="G14822" s="9"/>
      <c r="J14822" s="11"/>
      <c r="U14822" s="9"/>
      <c r="X14822" s="9"/>
    </row>
    <row r="14823">
      <c r="D14823" s="9"/>
      <c r="G14823" s="9"/>
      <c r="J14823" s="11"/>
      <c r="U14823" s="9"/>
      <c r="X14823" s="9"/>
    </row>
    <row r="14824">
      <c r="D14824" s="9"/>
      <c r="G14824" s="9"/>
      <c r="J14824" s="11"/>
      <c r="U14824" s="9"/>
      <c r="X14824" s="9"/>
    </row>
    <row r="14825">
      <c r="D14825" s="9"/>
      <c r="G14825" s="9"/>
      <c r="J14825" s="11"/>
      <c r="U14825" s="9"/>
      <c r="X14825" s="9"/>
    </row>
    <row r="14826">
      <c r="D14826" s="9"/>
      <c r="G14826" s="9"/>
      <c r="J14826" s="11"/>
      <c r="U14826" s="9"/>
      <c r="X14826" s="9"/>
    </row>
    <row r="14827">
      <c r="D14827" s="9"/>
      <c r="G14827" s="9"/>
      <c r="J14827" s="11"/>
      <c r="U14827" s="9"/>
      <c r="X14827" s="9"/>
    </row>
    <row r="14828">
      <c r="D14828" s="9"/>
      <c r="G14828" s="9"/>
      <c r="J14828" s="11"/>
      <c r="U14828" s="9"/>
      <c r="X14828" s="9"/>
    </row>
    <row r="14829">
      <c r="D14829" s="9"/>
      <c r="G14829" s="9"/>
      <c r="J14829" s="11"/>
      <c r="U14829" s="9"/>
      <c r="X14829" s="9"/>
    </row>
    <row r="14830">
      <c r="D14830" s="9"/>
      <c r="G14830" s="9"/>
      <c r="J14830" s="11"/>
      <c r="U14830" s="9"/>
      <c r="X14830" s="9"/>
    </row>
    <row r="14831">
      <c r="D14831" s="9"/>
      <c r="G14831" s="9"/>
      <c r="J14831" s="11"/>
      <c r="U14831" s="9"/>
      <c r="X14831" s="9"/>
    </row>
    <row r="14832">
      <c r="D14832" s="9"/>
      <c r="G14832" s="9"/>
      <c r="J14832" s="11"/>
      <c r="U14832" s="9"/>
      <c r="X14832" s="9"/>
    </row>
    <row r="14833">
      <c r="D14833" s="9"/>
      <c r="G14833" s="9"/>
      <c r="J14833" s="11"/>
      <c r="U14833" s="9"/>
      <c r="X14833" s="9"/>
    </row>
    <row r="14834">
      <c r="D14834" s="9"/>
      <c r="G14834" s="9"/>
      <c r="J14834" s="11"/>
      <c r="U14834" s="9"/>
      <c r="X14834" s="9"/>
    </row>
    <row r="14835">
      <c r="D14835" s="9"/>
      <c r="G14835" s="9"/>
      <c r="J14835" s="11"/>
      <c r="U14835" s="9"/>
      <c r="X14835" s="9"/>
    </row>
    <row r="14836">
      <c r="D14836" s="9"/>
      <c r="G14836" s="9"/>
      <c r="J14836" s="11"/>
      <c r="U14836" s="9"/>
      <c r="X14836" s="9"/>
    </row>
    <row r="14837">
      <c r="D14837" s="9"/>
      <c r="G14837" s="9"/>
      <c r="J14837" s="11"/>
      <c r="U14837" s="9"/>
      <c r="X14837" s="9"/>
    </row>
    <row r="14838">
      <c r="D14838" s="9"/>
      <c r="G14838" s="9"/>
      <c r="J14838" s="11"/>
      <c r="U14838" s="9"/>
      <c r="X14838" s="9"/>
    </row>
    <row r="14839">
      <c r="D14839" s="9"/>
      <c r="G14839" s="9"/>
      <c r="J14839" s="11"/>
      <c r="U14839" s="9"/>
      <c r="X14839" s="9"/>
    </row>
    <row r="14840">
      <c r="D14840" s="9"/>
      <c r="G14840" s="9"/>
      <c r="J14840" s="11"/>
      <c r="U14840" s="9"/>
      <c r="X14840" s="9"/>
    </row>
    <row r="14841">
      <c r="D14841" s="9"/>
      <c r="G14841" s="9"/>
      <c r="J14841" s="11"/>
      <c r="U14841" s="9"/>
      <c r="X14841" s="9"/>
    </row>
    <row r="14842">
      <c r="D14842" s="9"/>
      <c r="G14842" s="9"/>
      <c r="J14842" s="11"/>
      <c r="U14842" s="9"/>
      <c r="X14842" s="9"/>
    </row>
    <row r="14843">
      <c r="D14843" s="9"/>
      <c r="G14843" s="9"/>
      <c r="J14843" s="11"/>
      <c r="U14843" s="9"/>
      <c r="X14843" s="9"/>
    </row>
    <row r="14844">
      <c r="D14844" s="9"/>
      <c r="G14844" s="9"/>
      <c r="J14844" s="11"/>
      <c r="U14844" s="9"/>
      <c r="X14844" s="9"/>
    </row>
    <row r="14845">
      <c r="D14845" s="9"/>
      <c r="G14845" s="9"/>
      <c r="J14845" s="11"/>
      <c r="U14845" s="9"/>
      <c r="X14845" s="9"/>
    </row>
    <row r="14846">
      <c r="D14846" s="9"/>
      <c r="G14846" s="9"/>
      <c r="J14846" s="11"/>
      <c r="U14846" s="9"/>
      <c r="X14846" s="9"/>
    </row>
    <row r="14847">
      <c r="D14847" s="9"/>
      <c r="G14847" s="9"/>
      <c r="J14847" s="11"/>
      <c r="U14847" s="9"/>
      <c r="X14847" s="9"/>
    </row>
    <row r="14848">
      <c r="D14848" s="9"/>
      <c r="G14848" s="9"/>
      <c r="J14848" s="11"/>
      <c r="U14848" s="9"/>
      <c r="X14848" s="9"/>
    </row>
    <row r="14849">
      <c r="D14849" s="9"/>
      <c r="G14849" s="9"/>
      <c r="J14849" s="11"/>
      <c r="U14849" s="9"/>
      <c r="X14849" s="9"/>
    </row>
    <row r="14850">
      <c r="D14850" s="9"/>
      <c r="G14850" s="9"/>
      <c r="J14850" s="11"/>
      <c r="U14850" s="9"/>
      <c r="X14850" s="9"/>
    </row>
    <row r="14851">
      <c r="D14851" s="9"/>
      <c r="G14851" s="9"/>
      <c r="J14851" s="11"/>
      <c r="U14851" s="9"/>
      <c r="X14851" s="9"/>
    </row>
    <row r="14852">
      <c r="D14852" s="9"/>
      <c r="G14852" s="9"/>
      <c r="J14852" s="11"/>
      <c r="U14852" s="9"/>
      <c r="X14852" s="9"/>
    </row>
    <row r="14853">
      <c r="D14853" s="9"/>
      <c r="G14853" s="9"/>
      <c r="J14853" s="11"/>
      <c r="U14853" s="9"/>
      <c r="X14853" s="9"/>
    </row>
    <row r="14854">
      <c r="D14854" s="9"/>
      <c r="G14854" s="9"/>
      <c r="J14854" s="11"/>
      <c r="U14854" s="9"/>
      <c r="X14854" s="9"/>
    </row>
    <row r="14855">
      <c r="D14855" s="9"/>
      <c r="G14855" s="9"/>
      <c r="J14855" s="11"/>
      <c r="U14855" s="9"/>
      <c r="X14855" s="9"/>
    </row>
    <row r="14856">
      <c r="D14856" s="9"/>
      <c r="G14856" s="9"/>
      <c r="J14856" s="11"/>
      <c r="U14856" s="9"/>
      <c r="X14856" s="9"/>
    </row>
    <row r="14857">
      <c r="D14857" s="9"/>
      <c r="G14857" s="9"/>
      <c r="J14857" s="11"/>
      <c r="U14857" s="9"/>
      <c r="X14857" s="9"/>
    </row>
    <row r="14858">
      <c r="D14858" s="9"/>
      <c r="G14858" s="9"/>
      <c r="J14858" s="11"/>
      <c r="U14858" s="9"/>
      <c r="X14858" s="9"/>
    </row>
    <row r="14859">
      <c r="D14859" s="9"/>
      <c r="G14859" s="9"/>
      <c r="J14859" s="11"/>
      <c r="U14859" s="9"/>
      <c r="X14859" s="9"/>
    </row>
    <row r="14860">
      <c r="D14860" s="9"/>
      <c r="G14860" s="9"/>
      <c r="J14860" s="11"/>
      <c r="U14860" s="9"/>
      <c r="X14860" s="9"/>
    </row>
    <row r="14861">
      <c r="D14861" s="9"/>
      <c r="G14861" s="9"/>
      <c r="J14861" s="11"/>
      <c r="U14861" s="9"/>
      <c r="X14861" s="9"/>
    </row>
    <row r="14862">
      <c r="D14862" s="9"/>
      <c r="G14862" s="9"/>
      <c r="J14862" s="11"/>
      <c r="U14862" s="9"/>
      <c r="X14862" s="9"/>
    </row>
    <row r="14863">
      <c r="D14863" s="9"/>
      <c r="G14863" s="9"/>
      <c r="J14863" s="11"/>
      <c r="U14863" s="9"/>
      <c r="X14863" s="9"/>
    </row>
    <row r="14864">
      <c r="D14864" s="9"/>
      <c r="G14864" s="9"/>
      <c r="J14864" s="11"/>
      <c r="U14864" s="9"/>
      <c r="X14864" s="9"/>
    </row>
    <row r="14865">
      <c r="D14865" s="9"/>
      <c r="G14865" s="9"/>
      <c r="J14865" s="11"/>
      <c r="U14865" s="9"/>
      <c r="X14865" s="9"/>
    </row>
    <row r="14866">
      <c r="D14866" s="9"/>
      <c r="G14866" s="9"/>
      <c r="J14866" s="11"/>
      <c r="U14866" s="9"/>
      <c r="X14866" s="9"/>
    </row>
    <row r="14867">
      <c r="D14867" s="9"/>
      <c r="G14867" s="9"/>
      <c r="J14867" s="11"/>
      <c r="U14867" s="9"/>
      <c r="X14867" s="9"/>
    </row>
    <row r="14868">
      <c r="D14868" s="9"/>
      <c r="G14868" s="9"/>
      <c r="J14868" s="11"/>
      <c r="U14868" s="9"/>
      <c r="X14868" s="9"/>
    </row>
    <row r="14869">
      <c r="D14869" s="9"/>
      <c r="G14869" s="9"/>
      <c r="J14869" s="11"/>
      <c r="U14869" s="9"/>
      <c r="X14869" s="9"/>
    </row>
    <row r="14870">
      <c r="D14870" s="9"/>
      <c r="G14870" s="9"/>
      <c r="J14870" s="11"/>
      <c r="U14870" s="9"/>
      <c r="X14870" s="9"/>
    </row>
    <row r="14871">
      <c r="D14871" s="9"/>
      <c r="G14871" s="9"/>
      <c r="J14871" s="11"/>
      <c r="U14871" s="9"/>
      <c r="X14871" s="9"/>
    </row>
    <row r="14872">
      <c r="D14872" s="9"/>
      <c r="G14872" s="9"/>
      <c r="J14872" s="11"/>
      <c r="U14872" s="9"/>
      <c r="X14872" s="9"/>
    </row>
    <row r="14873">
      <c r="D14873" s="9"/>
      <c r="G14873" s="9"/>
      <c r="J14873" s="11"/>
      <c r="U14873" s="9"/>
      <c r="X14873" s="9"/>
    </row>
    <row r="14874">
      <c r="D14874" s="9"/>
      <c r="G14874" s="9"/>
      <c r="J14874" s="11"/>
      <c r="U14874" s="9"/>
      <c r="X14874" s="9"/>
    </row>
    <row r="14875">
      <c r="D14875" s="9"/>
      <c r="G14875" s="9"/>
      <c r="J14875" s="11"/>
      <c r="U14875" s="9"/>
      <c r="X14875" s="9"/>
    </row>
    <row r="14876">
      <c r="D14876" s="9"/>
      <c r="G14876" s="9"/>
      <c r="J14876" s="11"/>
      <c r="U14876" s="9"/>
      <c r="X14876" s="9"/>
    </row>
    <row r="14877">
      <c r="D14877" s="9"/>
      <c r="G14877" s="9"/>
      <c r="J14877" s="11"/>
      <c r="U14877" s="9"/>
      <c r="X14877" s="9"/>
    </row>
    <row r="14878">
      <c r="D14878" s="9"/>
      <c r="G14878" s="9"/>
      <c r="J14878" s="11"/>
      <c r="U14878" s="9"/>
      <c r="X14878" s="9"/>
    </row>
    <row r="14879">
      <c r="D14879" s="9"/>
      <c r="G14879" s="9"/>
      <c r="J14879" s="11"/>
      <c r="U14879" s="9"/>
      <c r="X14879" s="9"/>
    </row>
    <row r="14880">
      <c r="D14880" s="9"/>
      <c r="G14880" s="9"/>
      <c r="J14880" s="11"/>
      <c r="U14880" s="9"/>
      <c r="X14880" s="9"/>
    </row>
    <row r="14881">
      <c r="D14881" s="9"/>
      <c r="G14881" s="9"/>
      <c r="J14881" s="11"/>
      <c r="U14881" s="9"/>
      <c r="X14881" s="9"/>
    </row>
    <row r="14882">
      <c r="D14882" s="9"/>
      <c r="G14882" s="9"/>
      <c r="J14882" s="11"/>
      <c r="U14882" s="9"/>
      <c r="X14882" s="9"/>
    </row>
    <row r="14883">
      <c r="D14883" s="9"/>
      <c r="G14883" s="9"/>
      <c r="J14883" s="11"/>
      <c r="U14883" s="9"/>
      <c r="X14883" s="9"/>
    </row>
    <row r="14884">
      <c r="D14884" s="9"/>
      <c r="G14884" s="9"/>
      <c r="J14884" s="11"/>
      <c r="U14884" s="9"/>
      <c r="X14884" s="9"/>
    </row>
    <row r="14885">
      <c r="D14885" s="9"/>
      <c r="G14885" s="9"/>
      <c r="J14885" s="11"/>
      <c r="U14885" s="9"/>
      <c r="X14885" s="9"/>
    </row>
    <row r="14886">
      <c r="D14886" s="9"/>
      <c r="G14886" s="9"/>
      <c r="J14886" s="11"/>
      <c r="U14886" s="9"/>
      <c r="X14886" s="9"/>
    </row>
    <row r="14887">
      <c r="D14887" s="9"/>
      <c r="G14887" s="9"/>
      <c r="J14887" s="11"/>
      <c r="U14887" s="9"/>
      <c r="X14887" s="9"/>
    </row>
    <row r="14888">
      <c r="D14888" s="9"/>
      <c r="G14888" s="9"/>
      <c r="J14888" s="11"/>
      <c r="U14888" s="9"/>
      <c r="X14888" s="9"/>
    </row>
    <row r="14889">
      <c r="D14889" s="9"/>
      <c r="G14889" s="9"/>
      <c r="J14889" s="11"/>
      <c r="U14889" s="9"/>
      <c r="X14889" s="9"/>
    </row>
    <row r="14890">
      <c r="D14890" s="9"/>
      <c r="G14890" s="9"/>
      <c r="J14890" s="11"/>
      <c r="U14890" s="9"/>
      <c r="X14890" s="9"/>
    </row>
    <row r="14891">
      <c r="D14891" s="9"/>
      <c r="G14891" s="9"/>
      <c r="J14891" s="11"/>
      <c r="U14891" s="9"/>
      <c r="X14891" s="9"/>
    </row>
    <row r="14892">
      <c r="D14892" s="9"/>
      <c r="G14892" s="9"/>
      <c r="J14892" s="11"/>
      <c r="U14892" s="9"/>
      <c r="X14892" s="9"/>
    </row>
    <row r="14893">
      <c r="D14893" s="9"/>
      <c r="G14893" s="9"/>
      <c r="J14893" s="11"/>
      <c r="U14893" s="9"/>
      <c r="X14893" s="9"/>
    </row>
    <row r="14894">
      <c r="D14894" s="9"/>
      <c r="G14894" s="9"/>
      <c r="J14894" s="11"/>
      <c r="U14894" s="9"/>
      <c r="X14894" s="9"/>
    </row>
    <row r="14895">
      <c r="D14895" s="9"/>
      <c r="G14895" s="9"/>
      <c r="J14895" s="11"/>
      <c r="U14895" s="9"/>
      <c r="X14895" s="9"/>
    </row>
    <row r="14896">
      <c r="D14896" s="9"/>
      <c r="G14896" s="9"/>
      <c r="J14896" s="11"/>
      <c r="U14896" s="9"/>
      <c r="X14896" s="9"/>
    </row>
    <row r="14897">
      <c r="D14897" s="9"/>
      <c r="G14897" s="9"/>
      <c r="J14897" s="11"/>
      <c r="U14897" s="9"/>
      <c r="X14897" s="9"/>
    </row>
    <row r="14898">
      <c r="D14898" s="9"/>
      <c r="G14898" s="9"/>
      <c r="J14898" s="11"/>
      <c r="U14898" s="9"/>
      <c r="X14898" s="9"/>
    </row>
    <row r="14899">
      <c r="D14899" s="9"/>
      <c r="G14899" s="9"/>
      <c r="J14899" s="11"/>
      <c r="U14899" s="9"/>
      <c r="X14899" s="9"/>
    </row>
    <row r="14900">
      <c r="D14900" s="9"/>
      <c r="G14900" s="9"/>
      <c r="J14900" s="11"/>
      <c r="U14900" s="9"/>
      <c r="X14900" s="9"/>
    </row>
    <row r="14901">
      <c r="D14901" s="9"/>
      <c r="G14901" s="9"/>
      <c r="J14901" s="11"/>
      <c r="U14901" s="9"/>
      <c r="X14901" s="9"/>
    </row>
    <row r="14902">
      <c r="D14902" s="9"/>
      <c r="G14902" s="9"/>
      <c r="J14902" s="11"/>
      <c r="U14902" s="9"/>
      <c r="X14902" s="9"/>
    </row>
    <row r="14903">
      <c r="D14903" s="9"/>
      <c r="G14903" s="9"/>
      <c r="J14903" s="11"/>
      <c r="U14903" s="9"/>
      <c r="X14903" s="9"/>
    </row>
    <row r="14904">
      <c r="D14904" s="9"/>
      <c r="G14904" s="9"/>
      <c r="J14904" s="11"/>
      <c r="U14904" s="9"/>
      <c r="X14904" s="9"/>
    </row>
    <row r="14905">
      <c r="D14905" s="9"/>
      <c r="G14905" s="9"/>
      <c r="J14905" s="11"/>
      <c r="U14905" s="9"/>
      <c r="X14905" s="9"/>
    </row>
    <row r="14906">
      <c r="D14906" s="9"/>
      <c r="G14906" s="9"/>
      <c r="J14906" s="11"/>
      <c r="U14906" s="9"/>
      <c r="X14906" s="9"/>
    </row>
    <row r="14907">
      <c r="D14907" s="9"/>
      <c r="G14907" s="9"/>
      <c r="J14907" s="11"/>
      <c r="U14907" s="9"/>
      <c r="X14907" s="9"/>
    </row>
    <row r="14908">
      <c r="D14908" s="9"/>
      <c r="G14908" s="9"/>
      <c r="J14908" s="11"/>
      <c r="U14908" s="9"/>
      <c r="X14908" s="9"/>
    </row>
    <row r="14909">
      <c r="D14909" s="9"/>
      <c r="G14909" s="9"/>
      <c r="J14909" s="11"/>
      <c r="U14909" s="9"/>
      <c r="X14909" s="9"/>
    </row>
    <row r="14910">
      <c r="D14910" s="9"/>
      <c r="G14910" s="9"/>
      <c r="J14910" s="11"/>
      <c r="U14910" s="9"/>
      <c r="X14910" s="9"/>
    </row>
    <row r="14911">
      <c r="D14911" s="9"/>
      <c r="G14911" s="9"/>
      <c r="J14911" s="11"/>
      <c r="U14911" s="9"/>
      <c r="X14911" s="9"/>
    </row>
    <row r="14912">
      <c r="D14912" s="9"/>
      <c r="G14912" s="9"/>
      <c r="J14912" s="11"/>
      <c r="U14912" s="9"/>
      <c r="X14912" s="9"/>
    </row>
    <row r="14913">
      <c r="D14913" s="9"/>
      <c r="G14913" s="9"/>
      <c r="J14913" s="11"/>
      <c r="U14913" s="9"/>
      <c r="X14913" s="9"/>
    </row>
    <row r="14914">
      <c r="D14914" s="9"/>
      <c r="G14914" s="9"/>
      <c r="J14914" s="11"/>
      <c r="U14914" s="9"/>
      <c r="X14914" s="9"/>
    </row>
    <row r="14915">
      <c r="D14915" s="9"/>
      <c r="G14915" s="9"/>
      <c r="J14915" s="11"/>
      <c r="U14915" s="9"/>
      <c r="X14915" s="9"/>
    </row>
    <row r="14916">
      <c r="D14916" s="9"/>
      <c r="G14916" s="9"/>
      <c r="J14916" s="11"/>
      <c r="U14916" s="9"/>
      <c r="X14916" s="9"/>
    </row>
    <row r="14917">
      <c r="D14917" s="9"/>
      <c r="G14917" s="9"/>
      <c r="J14917" s="11"/>
      <c r="U14917" s="9"/>
      <c r="X14917" s="9"/>
    </row>
    <row r="14918">
      <c r="D14918" s="9"/>
      <c r="G14918" s="9"/>
      <c r="J14918" s="11"/>
      <c r="U14918" s="9"/>
      <c r="X14918" s="9"/>
    </row>
    <row r="14919">
      <c r="D14919" s="9"/>
      <c r="G14919" s="9"/>
      <c r="J14919" s="11"/>
      <c r="U14919" s="9"/>
      <c r="X14919" s="9"/>
    </row>
    <row r="14920">
      <c r="D14920" s="9"/>
      <c r="G14920" s="9"/>
      <c r="J14920" s="11"/>
      <c r="U14920" s="9"/>
      <c r="X14920" s="9"/>
    </row>
    <row r="14921">
      <c r="D14921" s="9"/>
      <c r="G14921" s="9"/>
      <c r="J14921" s="11"/>
      <c r="U14921" s="9"/>
      <c r="X14921" s="9"/>
    </row>
    <row r="14922">
      <c r="D14922" s="9"/>
      <c r="G14922" s="9"/>
      <c r="J14922" s="11"/>
      <c r="U14922" s="9"/>
      <c r="X14922" s="9"/>
    </row>
    <row r="14923">
      <c r="D14923" s="9"/>
      <c r="G14923" s="9"/>
      <c r="J14923" s="11"/>
      <c r="U14923" s="9"/>
      <c r="X14923" s="9"/>
    </row>
    <row r="14924">
      <c r="D14924" s="9"/>
      <c r="G14924" s="9"/>
      <c r="J14924" s="11"/>
      <c r="U14924" s="9"/>
      <c r="X14924" s="9"/>
    </row>
    <row r="14925">
      <c r="D14925" s="9"/>
      <c r="G14925" s="9"/>
      <c r="J14925" s="11"/>
      <c r="U14925" s="9"/>
      <c r="X14925" s="9"/>
    </row>
    <row r="14926">
      <c r="D14926" s="9"/>
      <c r="G14926" s="9"/>
      <c r="J14926" s="11"/>
      <c r="U14926" s="9"/>
      <c r="X14926" s="9"/>
    </row>
    <row r="14927">
      <c r="D14927" s="9"/>
      <c r="G14927" s="9"/>
      <c r="J14927" s="11"/>
      <c r="U14927" s="9"/>
      <c r="X14927" s="9"/>
    </row>
    <row r="14928">
      <c r="D14928" s="9"/>
      <c r="G14928" s="9"/>
      <c r="J14928" s="11"/>
      <c r="U14928" s="9"/>
      <c r="X14928" s="9"/>
    </row>
    <row r="14929">
      <c r="D14929" s="9"/>
      <c r="G14929" s="9"/>
      <c r="J14929" s="11"/>
      <c r="U14929" s="9"/>
      <c r="X14929" s="9"/>
    </row>
    <row r="14930">
      <c r="D14930" s="9"/>
      <c r="G14930" s="9"/>
      <c r="J14930" s="11"/>
      <c r="U14930" s="9"/>
      <c r="X14930" s="9"/>
    </row>
    <row r="14931">
      <c r="D14931" s="9"/>
      <c r="G14931" s="9"/>
      <c r="J14931" s="11"/>
      <c r="U14931" s="9"/>
      <c r="X14931" s="9"/>
    </row>
    <row r="14932">
      <c r="D14932" s="9"/>
      <c r="G14932" s="9"/>
      <c r="J14932" s="11"/>
      <c r="U14932" s="9"/>
      <c r="X14932" s="9"/>
    </row>
    <row r="14933">
      <c r="D14933" s="9"/>
      <c r="G14933" s="9"/>
      <c r="J14933" s="11"/>
      <c r="U14933" s="9"/>
      <c r="X14933" s="9"/>
    </row>
    <row r="14934">
      <c r="D14934" s="9"/>
      <c r="G14934" s="9"/>
      <c r="J14934" s="11"/>
      <c r="U14934" s="9"/>
      <c r="X14934" s="9"/>
    </row>
    <row r="14935">
      <c r="D14935" s="9"/>
      <c r="G14935" s="9"/>
      <c r="J14935" s="11"/>
      <c r="U14935" s="9"/>
      <c r="X14935" s="9"/>
    </row>
    <row r="14936">
      <c r="D14936" s="9"/>
      <c r="G14936" s="9"/>
      <c r="J14936" s="11"/>
      <c r="U14936" s="9"/>
      <c r="X14936" s="9"/>
    </row>
    <row r="14937">
      <c r="D14937" s="9"/>
      <c r="G14937" s="9"/>
      <c r="J14937" s="11"/>
      <c r="U14937" s="9"/>
      <c r="X14937" s="9"/>
    </row>
    <row r="14938">
      <c r="D14938" s="9"/>
      <c r="G14938" s="9"/>
      <c r="J14938" s="11"/>
      <c r="U14938" s="9"/>
      <c r="X14938" s="9"/>
    </row>
    <row r="14939">
      <c r="D14939" s="9"/>
      <c r="G14939" s="9"/>
      <c r="J14939" s="11"/>
      <c r="U14939" s="9"/>
      <c r="X14939" s="9"/>
    </row>
    <row r="14940">
      <c r="D14940" s="9"/>
      <c r="G14940" s="9"/>
      <c r="J14940" s="11"/>
      <c r="U14940" s="9"/>
      <c r="X14940" s="9"/>
    </row>
    <row r="14941">
      <c r="D14941" s="9"/>
      <c r="G14941" s="9"/>
      <c r="J14941" s="11"/>
      <c r="U14941" s="9"/>
      <c r="X14941" s="9"/>
    </row>
    <row r="14942">
      <c r="D14942" s="9"/>
      <c r="G14942" s="9"/>
      <c r="J14942" s="11"/>
      <c r="U14942" s="9"/>
      <c r="X14942" s="9"/>
    </row>
    <row r="14943">
      <c r="D14943" s="9"/>
      <c r="G14943" s="9"/>
      <c r="J14943" s="11"/>
      <c r="U14943" s="9"/>
      <c r="X14943" s="9"/>
    </row>
    <row r="14944">
      <c r="D14944" s="9"/>
      <c r="G14944" s="9"/>
      <c r="J14944" s="11"/>
      <c r="U14944" s="9"/>
      <c r="X14944" s="9"/>
    </row>
    <row r="14945">
      <c r="D14945" s="9"/>
      <c r="G14945" s="9"/>
      <c r="J14945" s="11"/>
      <c r="U14945" s="9"/>
      <c r="X14945" s="9"/>
    </row>
    <row r="14946">
      <c r="D14946" s="9"/>
      <c r="G14946" s="9"/>
      <c r="J14946" s="11"/>
      <c r="U14946" s="9"/>
      <c r="X14946" s="9"/>
    </row>
    <row r="14947">
      <c r="D14947" s="9"/>
      <c r="G14947" s="9"/>
      <c r="J14947" s="11"/>
      <c r="U14947" s="9"/>
      <c r="X14947" s="9"/>
    </row>
    <row r="14948">
      <c r="D14948" s="9"/>
      <c r="G14948" s="9"/>
      <c r="J14948" s="11"/>
      <c r="U14948" s="9"/>
      <c r="X14948" s="9"/>
    </row>
    <row r="14949">
      <c r="D14949" s="9"/>
      <c r="G14949" s="9"/>
      <c r="J14949" s="11"/>
      <c r="U14949" s="9"/>
      <c r="X14949" s="9"/>
    </row>
    <row r="14950">
      <c r="D14950" s="9"/>
      <c r="G14950" s="9"/>
      <c r="J14950" s="11"/>
      <c r="U14950" s="9"/>
      <c r="X14950" s="9"/>
    </row>
    <row r="14951">
      <c r="D14951" s="9"/>
      <c r="G14951" s="9"/>
      <c r="J14951" s="11"/>
      <c r="U14951" s="9"/>
      <c r="X14951" s="9"/>
    </row>
    <row r="14952">
      <c r="D14952" s="9"/>
      <c r="G14952" s="9"/>
      <c r="J14952" s="11"/>
      <c r="U14952" s="9"/>
      <c r="X14952" s="9"/>
    </row>
    <row r="14953">
      <c r="D14953" s="9"/>
      <c r="G14953" s="9"/>
      <c r="J14953" s="11"/>
      <c r="U14953" s="9"/>
      <c r="X14953" s="9"/>
    </row>
    <row r="14954">
      <c r="D14954" s="9"/>
      <c r="G14954" s="9"/>
      <c r="J14954" s="11"/>
      <c r="U14954" s="9"/>
      <c r="X14954" s="9"/>
    </row>
    <row r="14955">
      <c r="D14955" s="9"/>
      <c r="G14955" s="9"/>
      <c r="J14955" s="11"/>
      <c r="U14955" s="9"/>
      <c r="X14955" s="9"/>
    </row>
    <row r="14956">
      <c r="D14956" s="9"/>
      <c r="G14956" s="9"/>
      <c r="J14956" s="11"/>
      <c r="U14956" s="9"/>
      <c r="X14956" s="9"/>
    </row>
    <row r="14957">
      <c r="D14957" s="9"/>
      <c r="G14957" s="9"/>
      <c r="J14957" s="11"/>
      <c r="U14957" s="9"/>
      <c r="X14957" s="9"/>
    </row>
    <row r="14958">
      <c r="D14958" s="9"/>
      <c r="G14958" s="9"/>
      <c r="J14958" s="11"/>
      <c r="U14958" s="9"/>
      <c r="X14958" s="9"/>
    </row>
    <row r="14959">
      <c r="D14959" s="9"/>
      <c r="G14959" s="9"/>
      <c r="J14959" s="11"/>
      <c r="U14959" s="9"/>
      <c r="X14959" s="9"/>
    </row>
    <row r="14960">
      <c r="D14960" s="9"/>
      <c r="G14960" s="9"/>
      <c r="J14960" s="11"/>
      <c r="U14960" s="9"/>
      <c r="X14960" s="9"/>
    </row>
    <row r="14961">
      <c r="D14961" s="9"/>
      <c r="G14961" s="9"/>
      <c r="J14961" s="11"/>
      <c r="U14961" s="9"/>
      <c r="X14961" s="9"/>
    </row>
    <row r="14962">
      <c r="D14962" s="9"/>
      <c r="G14962" s="9"/>
      <c r="J14962" s="11"/>
      <c r="U14962" s="9"/>
      <c r="X14962" s="9"/>
    </row>
    <row r="14963">
      <c r="D14963" s="9"/>
      <c r="G14963" s="9"/>
      <c r="J14963" s="11"/>
      <c r="U14963" s="9"/>
      <c r="X14963" s="9"/>
    </row>
    <row r="14964">
      <c r="D14964" s="9"/>
      <c r="G14964" s="9"/>
      <c r="J14964" s="11"/>
      <c r="U14964" s="9"/>
      <c r="X14964" s="9"/>
    </row>
    <row r="14965">
      <c r="D14965" s="9"/>
      <c r="G14965" s="9"/>
      <c r="J14965" s="11"/>
      <c r="U14965" s="9"/>
      <c r="X14965" s="9"/>
    </row>
    <row r="14966">
      <c r="D14966" s="9"/>
      <c r="G14966" s="9"/>
      <c r="J14966" s="11"/>
      <c r="U14966" s="9"/>
      <c r="X14966" s="9"/>
    </row>
    <row r="14967">
      <c r="D14967" s="9"/>
      <c r="G14967" s="9"/>
      <c r="J14967" s="11"/>
      <c r="U14967" s="9"/>
      <c r="X14967" s="9"/>
    </row>
    <row r="14968">
      <c r="D14968" s="9"/>
      <c r="G14968" s="9"/>
      <c r="J14968" s="11"/>
      <c r="U14968" s="9"/>
      <c r="X14968" s="9"/>
    </row>
    <row r="14969">
      <c r="D14969" s="9"/>
      <c r="G14969" s="9"/>
      <c r="J14969" s="11"/>
      <c r="U14969" s="9"/>
      <c r="X14969" s="9"/>
    </row>
    <row r="14970">
      <c r="D14970" s="9"/>
      <c r="G14970" s="9"/>
      <c r="J14970" s="11"/>
      <c r="U14970" s="9"/>
      <c r="X14970" s="9"/>
    </row>
    <row r="14971">
      <c r="D14971" s="9"/>
      <c r="G14971" s="9"/>
      <c r="J14971" s="11"/>
      <c r="U14971" s="9"/>
      <c r="X14971" s="9"/>
    </row>
    <row r="14972">
      <c r="D14972" s="9"/>
      <c r="G14972" s="9"/>
      <c r="J14972" s="11"/>
      <c r="U14972" s="9"/>
      <c r="X14972" s="9"/>
    </row>
    <row r="14973">
      <c r="D14973" s="9"/>
      <c r="G14973" s="9"/>
      <c r="J14973" s="11"/>
      <c r="U14973" s="9"/>
      <c r="X14973" s="9"/>
    </row>
    <row r="14974">
      <c r="D14974" s="9"/>
      <c r="G14974" s="9"/>
      <c r="J14974" s="11"/>
      <c r="U14974" s="9"/>
      <c r="X14974" s="9"/>
    </row>
    <row r="14975">
      <c r="D14975" s="9"/>
      <c r="G14975" s="9"/>
      <c r="J14975" s="11"/>
      <c r="U14975" s="9"/>
      <c r="X14975" s="9"/>
    </row>
    <row r="14976">
      <c r="D14976" s="9"/>
      <c r="G14976" s="9"/>
      <c r="J14976" s="11"/>
      <c r="U14976" s="9"/>
      <c r="X14976" s="9"/>
    </row>
    <row r="14977">
      <c r="D14977" s="9"/>
      <c r="G14977" s="9"/>
      <c r="J14977" s="11"/>
      <c r="U14977" s="9"/>
      <c r="X14977" s="9"/>
    </row>
    <row r="14978">
      <c r="D14978" s="9"/>
      <c r="G14978" s="9"/>
      <c r="J14978" s="11"/>
      <c r="U14978" s="9"/>
      <c r="X14978" s="9"/>
    </row>
    <row r="14979">
      <c r="D14979" s="9"/>
      <c r="G14979" s="9"/>
      <c r="J14979" s="11"/>
      <c r="U14979" s="9"/>
      <c r="X14979" s="9"/>
    </row>
    <row r="14980">
      <c r="D14980" s="9"/>
      <c r="G14980" s="9"/>
      <c r="J14980" s="11"/>
      <c r="U14980" s="9"/>
      <c r="X14980" s="9"/>
    </row>
    <row r="14981">
      <c r="D14981" s="9"/>
      <c r="G14981" s="9"/>
      <c r="J14981" s="11"/>
      <c r="U14981" s="9"/>
      <c r="X14981" s="9"/>
    </row>
    <row r="14982">
      <c r="D14982" s="9"/>
      <c r="G14982" s="9"/>
      <c r="J14982" s="11"/>
      <c r="U14982" s="9"/>
      <c r="X14982" s="9"/>
    </row>
    <row r="14983">
      <c r="D14983" s="9"/>
      <c r="G14983" s="9"/>
      <c r="J14983" s="11"/>
      <c r="U14983" s="9"/>
      <c r="X14983" s="9"/>
    </row>
    <row r="14984">
      <c r="D14984" s="9"/>
      <c r="G14984" s="9"/>
      <c r="J14984" s="11"/>
      <c r="U14984" s="9"/>
      <c r="X14984" s="9"/>
    </row>
    <row r="14985">
      <c r="D14985" s="9"/>
      <c r="G14985" s="9"/>
      <c r="J14985" s="11"/>
      <c r="U14985" s="9"/>
      <c r="X14985" s="9"/>
    </row>
    <row r="14986">
      <c r="D14986" s="9"/>
      <c r="G14986" s="9"/>
      <c r="J14986" s="11"/>
      <c r="U14986" s="9"/>
      <c r="X14986" s="9"/>
    </row>
    <row r="14987">
      <c r="D14987" s="9"/>
      <c r="G14987" s="9"/>
      <c r="J14987" s="11"/>
      <c r="U14987" s="9"/>
      <c r="X14987" s="9"/>
    </row>
    <row r="14988">
      <c r="D14988" s="9"/>
      <c r="G14988" s="9"/>
      <c r="J14988" s="11"/>
      <c r="U14988" s="9"/>
      <c r="X14988" s="9"/>
    </row>
    <row r="14989">
      <c r="D14989" s="9"/>
      <c r="G14989" s="9"/>
      <c r="J14989" s="11"/>
      <c r="U14989" s="9"/>
      <c r="X14989" s="9"/>
    </row>
    <row r="14990">
      <c r="D14990" s="9"/>
      <c r="G14990" s="9"/>
      <c r="J14990" s="11"/>
      <c r="U14990" s="9"/>
      <c r="X14990" s="9"/>
    </row>
    <row r="14991">
      <c r="D14991" s="9"/>
      <c r="G14991" s="9"/>
      <c r="J14991" s="11"/>
      <c r="U14991" s="9"/>
      <c r="X14991" s="9"/>
    </row>
    <row r="14992">
      <c r="D14992" s="9"/>
      <c r="G14992" s="9"/>
      <c r="J14992" s="11"/>
      <c r="U14992" s="9"/>
      <c r="X14992" s="9"/>
    </row>
    <row r="14993">
      <c r="D14993" s="9"/>
      <c r="G14993" s="9"/>
      <c r="J14993" s="11"/>
      <c r="U14993" s="9"/>
      <c r="X14993" s="9"/>
    </row>
    <row r="14994">
      <c r="D14994" s="9"/>
      <c r="G14994" s="9"/>
      <c r="J14994" s="11"/>
      <c r="U14994" s="9"/>
      <c r="X14994" s="9"/>
    </row>
    <row r="14995">
      <c r="D14995" s="9"/>
      <c r="G14995" s="9"/>
      <c r="J14995" s="11"/>
      <c r="U14995" s="9"/>
      <c r="X14995" s="9"/>
    </row>
    <row r="14996">
      <c r="D14996" s="9"/>
      <c r="G14996" s="9"/>
      <c r="J14996" s="11"/>
      <c r="U14996" s="9"/>
      <c r="X14996" s="9"/>
    </row>
    <row r="14997">
      <c r="D14997" s="9"/>
      <c r="G14997" s="9"/>
      <c r="J14997" s="11"/>
      <c r="U14997" s="9"/>
      <c r="X14997" s="9"/>
    </row>
    <row r="14998">
      <c r="D14998" s="9"/>
      <c r="G14998" s="9"/>
      <c r="J14998" s="11"/>
      <c r="U14998" s="9"/>
      <c r="X14998" s="9"/>
    </row>
    <row r="14999">
      <c r="D14999" s="9"/>
      <c r="G14999" s="9"/>
      <c r="J14999" s="11"/>
      <c r="U14999" s="9"/>
      <c r="X14999" s="9"/>
    </row>
    <row r="15000">
      <c r="D15000" s="9"/>
      <c r="G15000" s="9"/>
      <c r="J15000" s="11"/>
      <c r="U15000" s="9"/>
      <c r="X15000" s="9"/>
    </row>
    <row r="15001">
      <c r="D15001" s="9"/>
      <c r="G15001" s="9"/>
      <c r="J15001" s="11"/>
      <c r="U15001" s="9"/>
      <c r="X15001" s="9"/>
    </row>
    <row r="15002">
      <c r="D15002" s="9"/>
      <c r="G15002" s="9"/>
      <c r="J15002" s="11"/>
      <c r="U15002" s="9"/>
      <c r="X15002" s="9"/>
    </row>
    <row r="15003">
      <c r="D15003" s="9"/>
      <c r="G15003" s="9"/>
      <c r="J15003" s="11"/>
      <c r="U15003" s="9"/>
      <c r="X15003" s="9"/>
    </row>
    <row r="15004">
      <c r="D15004" s="9"/>
      <c r="G15004" s="9"/>
      <c r="J15004" s="11"/>
      <c r="U15004" s="9"/>
      <c r="X15004" s="9"/>
    </row>
    <row r="15005">
      <c r="D15005" s="9"/>
      <c r="G15005" s="9"/>
      <c r="J15005" s="11"/>
      <c r="U15005" s="9"/>
      <c r="X15005" s="9"/>
    </row>
    <row r="15006">
      <c r="D15006" s="9"/>
      <c r="G15006" s="9"/>
      <c r="J15006" s="11"/>
      <c r="U15006" s="9"/>
      <c r="X15006" s="9"/>
    </row>
    <row r="15007">
      <c r="D15007" s="9"/>
      <c r="G15007" s="9"/>
      <c r="J15007" s="11"/>
      <c r="U15007" s="9"/>
      <c r="X15007" s="9"/>
    </row>
    <row r="15008">
      <c r="D15008" s="9"/>
      <c r="G15008" s="9"/>
      <c r="J15008" s="11"/>
      <c r="U15008" s="9"/>
      <c r="X15008" s="9"/>
    </row>
    <row r="15009">
      <c r="D15009" s="9"/>
      <c r="G15009" s="9"/>
      <c r="J15009" s="11"/>
      <c r="U15009" s="9"/>
      <c r="X15009" s="9"/>
    </row>
    <row r="15010">
      <c r="D15010" s="9"/>
      <c r="G15010" s="9"/>
      <c r="J15010" s="11"/>
      <c r="U15010" s="9"/>
      <c r="X15010" s="9"/>
    </row>
    <row r="15011">
      <c r="D15011" s="9"/>
      <c r="G15011" s="9"/>
      <c r="J15011" s="11"/>
      <c r="U15011" s="9"/>
      <c r="X15011" s="9"/>
    </row>
    <row r="15012">
      <c r="D15012" s="9"/>
      <c r="G15012" s="9"/>
      <c r="J15012" s="11"/>
      <c r="U15012" s="9"/>
      <c r="X15012" s="9"/>
    </row>
    <row r="15013">
      <c r="D15013" s="9"/>
      <c r="G15013" s="9"/>
      <c r="J15013" s="11"/>
      <c r="U15013" s="9"/>
      <c r="X15013" s="9"/>
    </row>
    <row r="15014">
      <c r="D15014" s="9"/>
      <c r="G15014" s="9"/>
      <c r="J15014" s="11"/>
      <c r="U15014" s="9"/>
      <c r="X15014" s="9"/>
    </row>
    <row r="15015">
      <c r="D15015" s="9"/>
      <c r="G15015" s="9"/>
      <c r="J15015" s="11"/>
      <c r="U15015" s="9"/>
      <c r="X15015" s="9"/>
    </row>
    <row r="15016">
      <c r="D15016" s="9"/>
      <c r="G15016" s="9"/>
      <c r="J15016" s="11"/>
      <c r="U15016" s="9"/>
      <c r="X15016" s="9"/>
    </row>
    <row r="15017">
      <c r="D15017" s="9"/>
      <c r="G15017" s="9"/>
      <c r="J15017" s="11"/>
      <c r="U15017" s="9"/>
      <c r="X15017" s="9"/>
    </row>
    <row r="15018">
      <c r="D15018" s="9"/>
      <c r="G15018" s="9"/>
      <c r="J15018" s="11"/>
      <c r="U15018" s="9"/>
      <c r="X15018" s="9"/>
    </row>
    <row r="15019">
      <c r="D15019" s="9"/>
      <c r="G15019" s="9"/>
      <c r="J15019" s="11"/>
      <c r="U15019" s="9"/>
      <c r="X15019" s="9"/>
    </row>
    <row r="15020">
      <c r="D15020" s="9"/>
      <c r="G15020" s="9"/>
      <c r="J15020" s="11"/>
      <c r="U15020" s="9"/>
      <c r="X15020" s="9"/>
    </row>
    <row r="15021">
      <c r="D15021" s="9"/>
      <c r="G15021" s="9"/>
      <c r="J15021" s="11"/>
      <c r="U15021" s="9"/>
      <c r="X15021" s="9"/>
    </row>
    <row r="15022">
      <c r="D15022" s="9"/>
      <c r="G15022" s="9"/>
      <c r="J15022" s="11"/>
      <c r="U15022" s="9"/>
      <c r="X15022" s="9"/>
    </row>
    <row r="15023">
      <c r="D15023" s="9"/>
      <c r="G15023" s="9"/>
      <c r="J15023" s="11"/>
      <c r="U15023" s="9"/>
      <c r="X15023" s="9"/>
    </row>
    <row r="15024">
      <c r="D15024" s="9"/>
      <c r="G15024" s="9"/>
      <c r="J15024" s="11"/>
      <c r="U15024" s="9"/>
      <c r="X15024" s="9"/>
    </row>
    <row r="15025">
      <c r="D15025" s="9"/>
      <c r="G15025" s="9"/>
      <c r="J15025" s="11"/>
      <c r="U15025" s="9"/>
      <c r="X15025" s="9"/>
    </row>
    <row r="15026">
      <c r="D15026" s="9"/>
      <c r="G15026" s="9"/>
      <c r="J15026" s="11"/>
      <c r="U15026" s="9"/>
      <c r="X15026" s="9"/>
    </row>
    <row r="15027">
      <c r="D15027" s="9"/>
      <c r="G15027" s="9"/>
      <c r="J15027" s="11"/>
      <c r="U15027" s="9"/>
      <c r="X15027" s="9"/>
    </row>
    <row r="15028">
      <c r="D15028" s="9"/>
      <c r="G15028" s="9"/>
      <c r="J15028" s="11"/>
      <c r="U15028" s="9"/>
      <c r="X15028" s="9"/>
    </row>
    <row r="15029">
      <c r="D15029" s="9"/>
      <c r="G15029" s="9"/>
      <c r="J15029" s="11"/>
      <c r="U15029" s="9"/>
      <c r="X15029" s="9"/>
    </row>
    <row r="15030">
      <c r="D15030" s="9"/>
      <c r="G15030" s="9"/>
      <c r="J15030" s="11"/>
      <c r="U15030" s="9"/>
      <c r="X15030" s="9"/>
    </row>
    <row r="15031">
      <c r="D15031" s="9"/>
      <c r="G15031" s="9"/>
      <c r="J15031" s="11"/>
      <c r="U15031" s="9"/>
      <c r="X15031" s="9"/>
    </row>
    <row r="15032">
      <c r="D15032" s="9"/>
      <c r="G15032" s="9"/>
      <c r="J15032" s="11"/>
      <c r="U15032" s="9"/>
      <c r="X15032" s="9"/>
    </row>
    <row r="15033">
      <c r="D15033" s="9"/>
      <c r="G15033" s="9"/>
      <c r="J15033" s="11"/>
      <c r="U15033" s="9"/>
      <c r="X15033" s="9"/>
    </row>
    <row r="15034">
      <c r="D15034" s="9"/>
      <c r="G15034" s="9"/>
      <c r="J15034" s="11"/>
      <c r="U15034" s="9"/>
      <c r="X15034" s="9"/>
    </row>
    <row r="15035">
      <c r="D15035" s="9"/>
      <c r="G15035" s="9"/>
      <c r="J15035" s="11"/>
      <c r="U15035" s="9"/>
      <c r="X15035" s="9"/>
    </row>
    <row r="15036">
      <c r="D15036" s="9"/>
      <c r="G15036" s="9"/>
      <c r="J15036" s="11"/>
      <c r="U15036" s="9"/>
      <c r="X15036" s="9"/>
    </row>
    <row r="15037">
      <c r="D15037" s="9"/>
      <c r="G15037" s="9"/>
      <c r="J15037" s="11"/>
      <c r="U15037" s="9"/>
      <c r="X15037" s="9"/>
    </row>
    <row r="15038">
      <c r="D15038" s="9"/>
      <c r="G15038" s="9"/>
      <c r="J15038" s="11"/>
      <c r="U15038" s="9"/>
      <c r="X15038" s="9"/>
    </row>
    <row r="15039">
      <c r="D15039" s="9"/>
      <c r="G15039" s="9"/>
      <c r="J15039" s="11"/>
      <c r="U15039" s="9"/>
      <c r="X15039" s="9"/>
    </row>
    <row r="15040">
      <c r="D15040" s="9"/>
      <c r="G15040" s="9"/>
      <c r="J15040" s="11"/>
      <c r="U15040" s="9"/>
      <c r="X15040" s="9"/>
    </row>
    <row r="15041">
      <c r="D15041" s="9"/>
      <c r="G15041" s="9"/>
      <c r="J15041" s="11"/>
      <c r="U15041" s="9"/>
      <c r="X15041" s="9"/>
    </row>
    <row r="15042">
      <c r="D15042" s="9"/>
      <c r="G15042" s="9"/>
      <c r="J15042" s="11"/>
      <c r="U15042" s="9"/>
      <c r="X15042" s="9"/>
    </row>
    <row r="15043">
      <c r="D15043" s="9"/>
      <c r="G15043" s="9"/>
      <c r="J15043" s="11"/>
      <c r="U15043" s="9"/>
      <c r="X15043" s="9"/>
    </row>
    <row r="15044">
      <c r="D15044" s="9"/>
      <c r="G15044" s="9"/>
      <c r="J15044" s="11"/>
      <c r="U15044" s="9"/>
      <c r="X15044" s="9"/>
    </row>
    <row r="15045">
      <c r="D15045" s="9"/>
      <c r="G15045" s="9"/>
      <c r="J15045" s="11"/>
      <c r="U15045" s="9"/>
      <c r="X15045" s="9"/>
    </row>
    <row r="15046">
      <c r="D15046" s="9"/>
      <c r="G15046" s="9"/>
      <c r="J15046" s="11"/>
      <c r="U15046" s="9"/>
      <c r="X15046" s="9"/>
    </row>
    <row r="15047">
      <c r="D15047" s="9"/>
      <c r="G15047" s="9"/>
      <c r="J15047" s="11"/>
      <c r="U15047" s="9"/>
      <c r="X15047" s="9"/>
    </row>
    <row r="15048">
      <c r="D15048" s="9"/>
      <c r="G15048" s="9"/>
      <c r="J15048" s="11"/>
      <c r="U15048" s="9"/>
      <c r="X15048" s="9"/>
    </row>
    <row r="15049">
      <c r="D15049" s="9"/>
      <c r="G15049" s="9"/>
      <c r="J15049" s="11"/>
      <c r="U15049" s="9"/>
      <c r="X15049" s="9"/>
    </row>
    <row r="15050">
      <c r="D15050" s="9"/>
      <c r="G15050" s="9"/>
      <c r="J15050" s="11"/>
      <c r="U15050" s="9"/>
      <c r="X15050" s="9"/>
    </row>
    <row r="15051">
      <c r="D15051" s="9"/>
      <c r="G15051" s="9"/>
      <c r="J15051" s="11"/>
      <c r="U15051" s="9"/>
      <c r="X15051" s="9"/>
    </row>
    <row r="15052">
      <c r="D15052" s="9"/>
      <c r="G15052" s="9"/>
      <c r="J15052" s="11"/>
      <c r="U15052" s="9"/>
      <c r="X15052" s="9"/>
    </row>
    <row r="15053">
      <c r="D15053" s="9"/>
      <c r="G15053" s="9"/>
      <c r="J15053" s="11"/>
      <c r="U15053" s="9"/>
      <c r="X15053" s="9"/>
    </row>
    <row r="15054">
      <c r="D15054" s="9"/>
      <c r="G15054" s="9"/>
      <c r="J15054" s="11"/>
      <c r="U15054" s="9"/>
      <c r="X15054" s="9"/>
    </row>
    <row r="15055">
      <c r="D15055" s="9"/>
      <c r="G15055" s="9"/>
      <c r="J15055" s="11"/>
      <c r="U15055" s="9"/>
      <c r="X15055" s="9"/>
    </row>
    <row r="15056">
      <c r="D15056" s="9"/>
      <c r="G15056" s="9"/>
      <c r="J15056" s="11"/>
      <c r="U15056" s="9"/>
      <c r="X15056" s="9"/>
    </row>
    <row r="15057">
      <c r="D15057" s="9"/>
      <c r="G15057" s="9"/>
      <c r="J15057" s="11"/>
      <c r="U15057" s="9"/>
      <c r="X15057" s="9"/>
    </row>
    <row r="15058">
      <c r="D15058" s="9"/>
      <c r="G15058" s="9"/>
      <c r="J15058" s="11"/>
      <c r="U15058" s="9"/>
      <c r="X15058" s="9"/>
    </row>
    <row r="15059">
      <c r="D15059" s="9"/>
      <c r="G15059" s="9"/>
      <c r="J15059" s="11"/>
      <c r="U15059" s="9"/>
      <c r="X15059" s="9"/>
    </row>
    <row r="15060">
      <c r="D15060" s="9"/>
      <c r="G15060" s="9"/>
      <c r="J15060" s="11"/>
      <c r="U15060" s="9"/>
      <c r="X15060" s="9"/>
    </row>
    <row r="15061">
      <c r="D15061" s="9"/>
      <c r="G15061" s="9"/>
      <c r="J15061" s="11"/>
      <c r="U15061" s="9"/>
      <c r="X15061" s="9"/>
    </row>
    <row r="15062">
      <c r="D15062" s="9"/>
      <c r="G15062" s="9"/>
      <c r="J15062" s="11"/>
      <c r="U15062" s="9"/>
      <c r="X15062" s="9"/>
    </row>
    <row r="15063">
      <c r="D15063" s="9"/>
      <c r="G15063" s="9"/>
      <c r="J15063" s="11"/>
      <c r="U15063" s="9"/>
      <c r="X15063" s="9"/>
    </row>
    <row r="15064">
      <c r="D15064" s="9"/>
      <c r="G15064" s="9"/>
      <c r="J15064" s="11"/>
      <c r="U15064" s="9"/>
      <c r="X15064" s="9"/>
    </row>
    <row r="15065">
      <c r="D15065" s="9"/>
      <c r="G15065" s="9"/>
      <c r="J15065" s="11"/>
      <c r="U15065" s="9"/>
      <c r="X15065" s="9"/>
    </row>
    <row r="15066">
      <c r="D15066" s="9"/>
      <c r="G15066" s="9"/>
      <c r="J15066" s="11"/>
      <c r="U15066" s="9"/>
      <c r="X15066" s="9"/>
    </row>
    <row r="15067">
      <c r="D15067" s="9"/>
      <c r="G15067" s="9"/>
      <c r="J15067" s="11"/>
      <c r="U15067" s="9"/>
      <c r="X15067" s="9"/>
    </row>
    <row r="15068">
      <c r="D15068" s="9"/>
      <c r="G15068" s="9"/>
      <c r="J15068" s="11"/>
      <c r="U15068" s="9"/>
      <c r="X15068" s="9"/>
    </row>
    <row r="15069">
      <c r="D15069" s="9"/>
      <c r="G15069" s="9"/>
      <c r="J15069" s="11"/>
      <c r="U15069" s="9"/>
      <c r="X15069" s="9"/>
    </row>
    <row r="15070">
      <c r="D15070" s="9"/>
      <c r="G15070" s="9"/>
      <c r="J15070" s="11"/>
      <c r="U15070" s="9"/>
      <c r="X15070" s="9"/>
    </row>
    <row r="15071">
      <c r="D15071" s="9"/>
      <c r="G15071" s="9"/>
      <c r="J15071" s="11"/>
      <c r="U15071" s="9"/>
      <c r="X15071" s="9"/>
    </row>
    <row r="15072">
      <c r="D15072" s="9"/>
      <c r="G15072" s="9"/>
      <c r="J15072" s="11"/>
      <c r="U15072" s="9"/>
      <c r="X15072" s="9"/>
    </row>
    <row r="15073">
      <c r="D15073" s="9"/>
      <c r="G15073" s="9"/>
      <c r="J15073" s="11"/>
      <c r="U15073" s="9"/>
      <c r="X15073" s="9"/>
    </row>
    <row r="15074">
      <c r="D15074" s="9"/>
      <c r="G15074" s="9"/>
      <c r="J15074" s="11"/>
      <c r="U15074" s="9"/>
      <c r="X15074" s="9"/>
    </row>
    <row r="15075">
      <c r="D15075" s="9"/>
      <c r="G15075" s="9"/>
      <c r="J15075" s="11"/>
      <c r="U15075" s="9"/>
      <c r="X15075" s="9"/>
    </row>
    <row r="15076">
      <c r="D15076" s="9"/>
      <c r="G15076" s="9"/>
      <c r="J15076" s="11"/>
      <c r="U15076" s="9"/>
      <c r="X15076" s="9"/>
    </row>
    <row r="15077">
      <c r="D15077" s="9"/>
      <c r="G15077" s="9"/>
      <c r="J15077" s="11"/>
      <c r="U15077" s="9"/>
      <c r="X15077" s="9"/>
    </row>
    <row r="15078">
      <c r="D15078" s="9"/>
      <c r="G15078" s="9"/>
      <c r="J15078" s="11"/>
      <c r="U15078" s="9"/>
      <c r="X15078" s="9"/>
    </row>
    <row r="15079">
      <c r="D15079" s="9"/>
      <c r="G15079" s="9"/>
      <c r="J15079" s="11"/>
      <c r="U15079" s="9"/>
      <c r="X15079" s="9"/>
    </row>
    <row r="15080">
      <c r="D15080" s="9"/>
      <c r="G15080" s="9"/>
      <c r="J15080" s="11"/>
      <c r="U15080" s="9"/>
      <c r="X15080" s="9"/>
    </row>
    <row r="15081">
      <c r="D15081" s="9"/>
      <c r="G15081" s="9"/>
      <c r="J15081" s="11"/>
      <c r="U15081" s="9"/>
      <c r="X15081" s="9"/>
    </row>
    <row r="15082">
      <c r="D15082" s="9"/>
      <c r="G15082" s="9"/>
      <c r="J15082" s="11"/>
      <c r="U15082" s="9"/>
      <c r="X15082" s="9"/>
    </row>
    <row r="15083">
      <c r="D15083" s="9"/>
      <c r="G15083" s="9"/>
      <c r="J15083" s="11"/>
      <c r="U15083" s="9"/>
      <c r="X15083" s="9"/>
    </row>
    <row r="15084">
      <c r="D15084" s="9"/>
      <c r="G15084" s="9"/>
      <c r="J15084" s="11"/>
      <c r="U15084" s="9"/>
      <c r="X15084" s="9"/>
    </row>
    <row r="15085">
      <c r="D15085" s="9"/>
      <c r="G15085" s="9"/>
      <c r="J15085" s="11"/>
      <c r="U15085" s="9"/>
      <c r="X15085" s="9"/>
    </row>
    <row r="15086">
      <c r="D15086" s="9"/>
      <c r="G15086" s="9"/>
      <c r="J15086" s="11"/>
      <c r="U15086" s="9"/>
      <c r="X15086" s="9"/>
    </row>
    <row r="15087">
      <c r="D15087" s="9"/>
      <c r="G15087" s="9"/>
      <c r="J15087" s="11"/>
      <c r="U15087" s="9"/>
      <c r="X15087" s="9"/>
    </row>
    <row r="15088">
      <c r="D15088" s="9"/>
      <c r="G15088" s="9"/>
      <c r="J15088" s="11"/>
      <c r="U15088" s="9"/>
      <c r="X15088" s="9"/>
    </row>
    <row r="15089">
      <c r="D15089" s="9"/>
      <c r="G15089" s="9"/>
      <c r="J15089" s="11"/>
      <c r="U15089" s="9"/>
      <c r="X15089" s="9"/>
    </row>
    <row r="15090">
      <c r="D15090" s="9"/>
      <c r="G15090" s="9"/>
      <c r="J15090" s="11"/>
      <c r="U15090" s="9"/>
      <c r="X15090" s="9"/>
    </row>
    <row r="15091">
      <c r="D15091" s="9"/>
      <c r="G15091" s="9"/>
      <c r="J15091" s="11"/>
      <c r="U15091" s="9"/>
      <c r="X15091" s="9"/>
    </row>
    <row r="15092">
      <c r="D15092" s="9"/>
      <c r="G15092" s="9"/>
      <c r="J15092" s="11"/>
      <c r="U15092" s="9"/>
      <c r="X15092" s="9"/>
    </row>
    <row r="15093">
      <c r="D15093" s="9"/>
      <c r="G15093" s="9"/>
      <c r="J15093" s="11"/>
      <c r="U15093" s="9"/>
      <c r="X15093" s="9"/>
    </row>
    <row r="15094">
      <c r="D15094" s="9"/>
      <c r="G15094" s="9"/>
      <c r="J15094" s="11"/>
      <c r="U15094" s="9"/>
      <c r="X15094" s="9"/>
    </row>
    <row r="15095">
      <c r="D15095" s="9"/>
      <c r="G15095" s="9"/>
      <c r="J15095" s="11"/>
      <c r="U15095" s="9"/>
      <c r="X15095" s="9"/>
    </row>
    <row r="15096">
      <c r="D15096" s="9"/>
      <c r="G15096" s="9"/>
      <c r="J15096" s="11"/>
      <c r="U15096" s="9"/>
      <c r="X15096" s="9"/>
    </row>
    <row r="15097">
      <c r="D15097" s="9"/>
      <c r="G15097" s="9"/>
      <c r="J15097" s="11"/>
      <c r="U15097" s="9"/>
      <c r="X15097" s="9"/>
    </row>
    <row r="15098">
      <c r="D15098" s="9"/>
      <c r="G15098" s="9"/>
      <c r="J15098" s="11"/>
      <c r="U15098" s="9"/>
      <c r="X15098" s="9"/>
    </row>
    <row r="15099">
      <c r="D15099" s="9"/>
      <c r="G15099" s="9"/>
      <c r="J15099" s="11"/>
      <c r="U15099" s="9"/>
      <c r="X15099" s="9"/>
    </row>
    <row r="15100">
      <c r="D15100" s="9"/>
      <c r="G15100" s="9"/>
      <c r="J15100" s="11"/>
      <c r="U15100" s="9"/>
      <c r="X15100" s="9"/>
    </row>
    <row r="15101">
      <c r="D15101" s="9"/>
      <c r="G15101" s="9"/>
      <c r="J15101" s="11"/>
      <c r="U15101" s="9"/>
      <c r="X15101" s="9"/>
    </row>
    <row r="15102">
      <c r="D15102" s="9"/>
      <c r="G15102" s="9"/>
      <c r="J15102" s="11"/>
      <c r="U15102" s="9"/>
      <c r="X15102" s="9"/>
    </row>
    <row r="15103">
      <c r="D15103" s="9"/>
      <c r="G15103" s="9"/>
      <c r="J15103" s="11"/>
      <c r="U15103" s="9"/>
      <c r="X15103" s="9"/>
    </row>
    <row r="15104">
      <c r="D15104" s="9"/>
      <c r="G15104" s="9"/>
      <c r="J15104" s="11"/>
      <c r="U15104" s="9"/>
      <c r="X15104" s="9"/>
    </row>
    <row r="15105">
      <c r="D15105" s="9"/>
      <c r="G15105" s="9"/>
      <c r="J15105" s="11"/>
      <c r="U15105" s="9"/>
      <c r="X15105" s="9"/>
    </row>
    <row r="15106">
      <c r="D15106" s="9"/>
      <c r="G15106" s="9"/>
      <c r="J15106" s="11"/>
      <c r="U15106" s="9"/>
      <c r="X15106" s="9"/>
    </row>
    <row r="15107">
      <c r="D15107" s="9"/>
      <c r="G15107" s="9"/>
      <c r="J15107" s="11"/>
      <c r="U15107" s="9"/>
      <c r="X15107" s="9"/>
    </row>
    <row r="15108">
      <c r="D15108" s="9"/>
      <c r="G15108" s="9"/>
      <c r="J15108" s="11"/>
      <c r="U15108" s="9"/>
      <c r="X15108" s="9"/>
    </row>
    <row r="15109">
      <c r="D15109" s="9"/>
      <c r="G15109" s="9"/>
      <c r="J15109" s="11"/>
      <c r="U15109" s="9"/>
      <c r="X15109" s="9"/>
    </row>
    <row r="15110">
      <c r="D15110" s="9"/>
      <c r="G15110" s="9"/>
      <c r="J15110" s="11"/>
      <c r="U15110" s="9"/>
      <c r="X15110" s="9"/>
    </row>
    <row r="15111">
      <c r="D15111" s="9"/>
      <c r="G15111" s="9"/>
      <c r="J15111" s="11"/>
      <c r="U15111" s="9"/>
      <c r="X15111" s="9"/>
    </row>
    <row r="15112">
      <c r="D15112" s="9"/>
      <c r="G15112" s="9"/>
      <c r="J15112" s="11"/>
      <c r="U15112" s="9"/>
      <c r="X15112" s="9"/>
    </row>
    <row r="15113">
      <c r="D15113" s="9"/>
      <c r="G15113" s="9"/>
      <c r="J15113" s="11"/>
      <c r="U15113" s="9"/>
      <c r="X15113" s="9"/>
    </row>
    <row r="15114">
      <c r="D15114" s="9"/>
      <c r="G15114" s="9"/>
      <c r="J15114" s="11"/>
      <c r="U15114" s="9"/>
      <c r="X15114" s="9"/>
    </row>
    <row r="15115">
      <c r="D15115" s="9"/>
      <c r="G15115" s="9"/>
      <c r="J15115" s="11"/>
      <c r="U15115" s="9"/>
      <c r="X15115" s="9"/>
    </row>
    <row r="15116">
      <c r="D15116" s="9"/>
      <c r="G15116" s="9"/>
      <c r="J15116" s="11"/>
      <c r="U15116" s="9"/>
      <c r="X15116" s="9"/>
    </row>
    <row r="15117">
      <c r="D15117" s="9"/>
      <c r="G15117" s="9"/>
      <c r="J15117" s="11"/>
      <c r="U15117" s="9"/>
      <c r="X15117" s="9"/>
    </row>
    <row r="15118">
      <c r="D15118" s="9"/>
      <c r="G15118" s="9"/>
      <c r="J15118" s="11"/>
      <c r="U15118" s="9"/>
      <c r="X15118" s="9"/>
    </row>
    <row r="15119">
      <c r="D15119" s="9"/>
      <c r="G15119" s="9"/>
      <c r="J15119" s="11"/>
      <c r="U15119" s="9"/>
      <c r="X15119" s="9"/>
    </row>
    <row r="15120">
      <c r="D15120" s="9"/>
      <c r="G15120" s="9"/>
      <c r="J15120" s="11"/>
      <c r="U15120" s="9"/>
      <c r="X15120" s="9"/>
    </row>
    <row r="15121">
      <c r="D15121" s="9"/>
      <c r="G15121" s="9"/>
      <c r="J15121" s="11"/>
      <c r="U15121" s="9"/>
      <c r="X15121" s="9"/>
    </row>
    <row r="15122">
      <c r="D15122" s="9"/>
      <c r="G15122" s="9"/>
      <c r="J15122" s="11"/>
      <c r="U15122" s="9"/>
      <c r="X15122" s="9"/>
    </row>
    <row r="15123">
      <c r="D15123" s="9"/>
      <c r="G15123" s="9"/>
      <c r="J15123" s="11"/>
      <c r="U15123" s="9"/>
      <c r="X15123" s="9"/>
    </row>
    <row r="15124">
      <c r="D15124" s="9"/>
      <c r="G15124" s="9"/>
      <c r="J15124" s="11"/>
      <c r="U15124" s="9"/>
      <c r="X15124" s="9"/>
    </row>
    <row r="15125">
      <c r="D15125" s="9"/>
      <c r="G15125" s="9"/>
      <c r="J15125" s="11"/>
      <c r="U15125" s="9"/>
      <c r="X15125" s="9"/>
    </row>
    <row r="15126">
      <c r="D15126" s="9"/>
      <c r="G15126" s="9"/>
      <c r="J15126" s="11"/>
      <c r="U15126" s="9"/>
      <c r="X15126" s="9"/>
    </row>
    <row r="15127">
      <c r="D15127" s="9"/>
      <c r="G15127" s="9"/>
      <c r="J15127" s="11"/>
      <c r="U15127" s="9"/>
      <c r="X15127" s="9"/>
    </row>
    <row r="15128">
      <c r="D15128" s="9"/>
      <c r="G15128" s="9"/>
      <c r="J15128" s="11"/>
      <c r="U15128" s="9"/>
      <c r="X15128" s="9"/>
    </row>
    <row r="15129">
      <c r="D15129" s="9"/>
      <c r="G15129" s="9"/>
      <c r="J15129" s="11"/>
      <c r="U15129" s="9"/>
      <c r="X15129" s="9"/>
    </row>
    <row r="15130">
      <c r="D15130" s="9"/>
      <c r="G15130" s="9"/>
      <c r="J15130" s="11"/>
      <c r="U15130" s="9"/>
      <c r="X15130" s="9"/>
    </row>
    <row r="15131">
      <c r="D15131" s="9"/>
      <c r="G15131" s="9"/>
      <c r="J15131" s="11"/>
      <c r="U15131" s="9"/>
      <c r="X15131" s="9"/>
    </row>
    <row r="15132">
      <c r="D15132" s="9"/>
      <c r="G15132" s="9"/>
      <c r="J15132" s="11"/>
      <c r="U15132" s="9"/>
      <c r="X15132" s="9"/>
    </row>
    <row r="15133">
      <c r="D15133" s="9"/>
      <c r="G15133" s="9"/>
      <c r="J15133" s="11"/>
      <c r="U15133" s="9"/>
      <c r="X15133" s="9"/>
    </row>
    <row r="15134">
      <c r="D15134" s="9"/>
      <c r="G15134" s="9"/>
      <c r="J15134" s="11"/>
      <c r="U15134" s="9"/>
      <c r="X15134" s="9"/>
    </row>
    <row r="15135">
      <c r="D15135" s="9"/>
      <c r="G15135" s="9"/>
      <c r="J15135" s="11"/>
      <c r="U15135" s="9"/>
      <c r="X15135" s="9"/>
    </row>
    <row r="15136">
      <c r="D15136" s="9"/>
      <c r="G15136" s="9"/>
      <c r="J15136" s="11"/>
      <c r="U15136" s="9"/>
      <c r="X15136" s="9"/>
    </row>
    <row r="15137">
      <c r="D15137" s="9"/>
      <c r="G15137" s="9"/>
      <c r="J15137" s="11"/>
      <c r="U15137" s="9"/>
      <c r="X15137" s="9"/>
    </row>
    <row r="15138">
      <c r="D15138" s="9"/>
      <c r="G15138" s="9"/>
      <c r="J15138" s="11"/>
      <c r="U15138" s="9"/>
      <c r="X15138" s="9"/>
    </row>
    <row r="15139">
      <c r="D15139" s="9"/>
      <c r="G15139" s="9"/>
      <c r="J15139" s="11"/>
      <c r="U15139" s="9"/>
      <c r="X15139" s="9"/>
    </row>
    <row r="15140">
      <c r="D15140" s="9"/>
      <c r="G15140" s="9"/>
      <c r="J15140" s="11"/>
      <c r="U15140" s="9"/>
      <c r="X15140" s="9"/>
    </row>
    <row r="15141">
      <c r="D15141" s="9"/>
      <c r="G15141" s="9"/>
      <c r="J15141" s="11"/>
      <c r="U15141" s="9"/>
      <c r="X15141" s="9"/>
    </row>
    <row r="15142">
      <c r="D15142" s="9"/>
      <c r="G15142" s="9"/>
      <c r="J15142" s="11"/>
      <c r="U15142" s="9"/>
      <c r="X15142" s="9"/>
    </row>
    <row r="15143">
      <c r="D15143" s="9"/>
      <c r="G15143" s="9"/>
      <c r="J15143" s="11"/>
      <c r="U15143" s="9"/>
      <c r="X15143" s="9"/>
    </row>
    <row r="15144">
      <c r="D15144" s="9"/>
      <c r="G15144" s="9"/>
      <c r="J15144" s="11"/>
      <c r="U15144" s="9"/>
      <c r="X15144" s="9"/>
    </row>
    <row r="15145">
      <c r="D15145" s="9"/>
      <c r="G15145" s="9"/>
      <c r="J15145" s="11"/>
      <c r="U15145" s="9"/>
      <c r="X15145" s="9"/>
    </row>
    <row r="15146">
      <c r="D15146" s="9"/>
      <c r="G15146" s="9"/>
      <c r="J15146" s="11"/>
      <c r="U15146" s="9"/>
      <c r="X15146" s="9"/>
    </row>
    <row r="15147">
      <c r="D15147" s="9"/>
      <c r="G15147" s="9"/>
      <c r="J15147" s="11"/>
      <c r="U15147" s="9"/>
      <c r="X15147" s="9"/>
    </row>
    <row r="15148">
      <c r="D15148" s="9"/>
      <c r="G15148" s="9"/>
      <c r="J15148" s="11"/>
      <c r="U15148" s="9"/>
      <c r="X15148" s="9"/>
    </row>
    <row r="15149">
      <c r="D15149" s="9"/>
      <c r="G15149" s="9"/>
      <c r="J15149" s="11"/>
      <c r="U15149" s="9"/>
      <c r="X15149" s="9"/>
    </row>
    <row r="15150">
      <c r="D15150" s="9"/>
      <c r="G15150" s="9"/>
      <c r="J15150" s="11"/>
      <c r="U15150" s="9"/>
      <c r="X15150" s="9"/>
    </row>
    <row r="15151">
      <c r="D15151" s="9"/>
      <c r="G15151" s="9"/>
      <c r="J15151" s="11"/>
      <c r="U15151" s="9"/>
      <c r="X15151" s="9"/>
    </row>
    <row r="15152">
      <c r="D15152" s="9"/>
      <c r="G15152" s="9"/>
      <c r="J15152" s="11"/>
      <c r="U15152" s="9"/>
      <c r="X15152" s="9"/>
    </row>
    <row r="15153">
      <c r="D15153" s="9"/>
      <c r="G15153" s="9"/>
      <c r="J15153" s="11"/>
      <c r="U15153" s="9"/>
      <c r="X15153" s="9"/>
    </row>
    <row r="15154">
      <c r="D15154" s="9"/>
      <c r="G15154" s="9"/>
      <c r="J15154" s="11"/>
      <c r="U15154" s="9"/>
      <c r="X15154" s="9"/>
    </row>
    <row r="15155">
      <c r="D15155" s="9"/>
      <c r="G15155" s="9"/>
      <c r="J15155" s="11"/>
      <c r="U15155" s="9"/>
      <c r="X15155" s="9"/>
    </row>
    <row r="15156">
      <c r="D15156" s="9"/>
      <c r="G15156" s="9"/>
      <c r="J15156" s="11"/>
      <c r="U15156" s="9"/>
      <c r="X15156" s="9"/>
    </row>
    <row r="15157">
      <c r="D15157" s="9"/>
      <c r="G15157" s="9"/>
      <c r="J15157" s="11"/>
      <c r="U15157" s="9"/>
      <c r="X15157" s="9"/>
    </row>
    <row r="15158">
      <c r="D15158" s="9"/>
      <c r="G15158" s="9"/>
      <c r="J15158" s="11"/>
      <c r="U15158" s="9"/>
      <c r="X15158" s="9"/>
    </row>
    <row r="15159">
      <c r="D15159" s="9"/>
      <c r="G15159" s="9"/>
      <c r="J15159" s="11"/>
      <c r="U15159" s="9"/>
      <c r="X15159" s="9"/>
    </row>
    <row r="15160">
      <c r="D15160" s="9"/>
      <c r="G15160" s="9"/>
      <c r="J15160" s="11"/>
      <c r="U15160" s="9"/>
      <c r="X15160" s="9"/>
    </row>
    <row r="15161">
      <c r="D15161" s="9"/>
      <c r="G15161" s="9"/>
      <c r="J15161" s="11"/>
      <c r="U15161" s="9"/>
      <c r="X15161" s="9"/>
    </row>
    <row r="15162">
      <c r="D15162" s="9"/>
      <c r="G15162" s="9"/>
      <c r="J15162" s="11"/>
      <c r="U15162" s="9"/>
      <c r="X15162" s="9"/>
    </row>
    <row r="15163">
      <c r="D15163" s="9"/>
      <c r="G15163" s="9"/>
      <c r="J15163" s="11"/>
      <c r="U15163" s="9"/>
      <c r="X15163" s="9"/>
    </row>
    <row r="15164">
      <c r="D15164" s="9"/>
      <c r="G15164" s="9"/>
      <c r="J15164" s="11"/>
      <c r="U15164" s="9"/>
      <c r="X15164" s="9"/>
    </row>
    <row r="15165">
      <c r="D15165" s="9"/>
      <c r="G15165" s="9"/>
      <c r="J15165" s="11"/>
      <c r="U15165" s="9"/>
      <c r="X15165" s="9"/>
    </row>
    <row r="15166">
      <c r="D15166" s="9"/>
      <c r="G15166" s="9"/>
      <c r="J15166" s="11"/>
      <c r="U15166" s="9"/>
      <c r="X15166" s="9"/>
    </row>
    <row r="15167">
      <c r="D15167" s="9"/>
      <c r="G15167" s="9"/>
      <c r="J15167" s="11"/>
      <c r="U15167" s="9"/>
      <c r="X15167" s="9"/>
    </row>
    <row r="15168">
      <c r="D15168" s="9"/>
      <c r="G15168" s="9"/>
      <c r="J15168" s="11"/>
      <c r="U15168" s="9"/>
      <c r="X15168" s="9"/>
    </row>
    <row r="15169">
      <c r="D15169" s="9"/>
      <c r="G15169" s="9"/>
      <c r="J15169" s="11"/>
      <c r="U15169" s="9"/>
      <c r="X15169" s="9"/>
    </row>
    <row r="15170">
      <c r="D15170" s="9"/>
      <c r="G15170" s="9"/>
      <c r="J15170" s="11"/>
      <c r="U15170" s="9"/>
      <c r="X15170" s="9"/>
    </row>
    <row r="15171">
      <c r="D15171" s="9"/>
      <c r="G15171" s="9"/>
      <c r="J15171" s="11"/>
      <c r="U15171" s="9"/>
      <c r="X15171" s="9"/>
    </row>
    <row r="15172">
      <c r="D15172" s="9"/>
      <c r="G15172" s="9"/>
      <c r="J15172" s="11"/>
      <c r="U15172" s="9"/>
      <c r="X15172" s="9"/>
    </row>
    <row r="15173">
      <c r="D15173" s="9"/>
      <c r="G15173" s="9"/>
      <c r="J15173" s="11"/>
      <c r="U15173" s="9"/>
      <c r="X15173" s="9"/>
    </row>
    <row r="15174">
      <c r="D15174" s="9"/>
      <c r="G15174" s="9"/>
      <c r="J15174" s="11"/>
      <c r="U15174" s="9"/>
      <c r="X15174" s="9"/>
    </row>
    <row r="15175">
      <c r="D15175" s="9"/>
      <c r="G15175" s="9"/>
      <c r="J15175" s="11"/>
      <c r="U15175" s="9"/>
      <c r="X15175" s="9"/>
    </row>
    <row r="15176">
      <c r="D15176" s="9"/>
      <c r="G15176" s="9"/>
      <c r="J15176" s="11"/>
      <c r="U15176" s="9"/>
      <c r="X15176" s="9"/>
    </row>
    <row r="15177">
      <c r="D15177" s="9"/>
      <c r="G15177" s="9"/>
      <c r="J15177" s="11"/>
      <c r="U15177" s="9"/>
      <c r="X15177" s="9"/>
    </row>
    <row r="15178">
      <c r="D15178" s="9"/>
      <c r="G15178" s="9"/>
      <c r="J15178" s="11"/>
      <c r="U15178" s="9"/>
      <c r="X15178" s="9"/>
    </row>
    <row r="15179">
      <c r="D15179" s="9"/>
      <c r="G15179" s="9"/>
      <c r="J15179" s="11"/>
      <c r="U15179" s="9"/>
      <c r="X15179" s="9"/>
    </row>
    <row r="15180">
      <c r="D15180" s="9"/>
      <c r="G15180" s="9"/>
      <c r="J15180" s="11"/>
      <c r="U15180" s="9"/>
      <c r="X15180" s="9"/>
    </row>
    <row r="15181">
      <c r="D15181" s="9"/>
      <c r="G15181" s="9"/>
      <c r="J15181" s="11"/>
      <c r="U15181" s="9"/>
      <c r="X15181" s="9"/>
    </row>
    <row r="15182">
      <c r="D15182" s="9"/>
      <c r="G15182" s="9"/>
      <c r="J15182" s="11"/>
      <c r="U15182" s="9"/>
      <c r="X15182" s="9"/>
    </row>
    <row r="15183">
      <c r="D15183" s="9"/>
      <c r="G15183" s="9"/>
      <c r="J15183" s="11"/>
      <c r="U15183" s="9"/>
      <c r="X15183" s="9"/>
    </row>
    <row r="15184">
      <c r="D15184" s="9"/>
      <c r="G15184" s="9"/>
      <c r="J15184" s="11"/>
      <c r="U15184" s="9"/>
      <c r="X15184" s="9"/>
    </row>
    <row r="15185">
      <c r="D15185" s="9"/>
      <c r="G15185" s="9"/>
      <c r="J15185" s="11"/>
      <c r="U15185" s="9"/>
      <c r="X15185" s="9"/>
    </row>
    <row r="15186">
      <c r="D15186" s="9"/>
      <c r="G15186" s="9"/>
      <c r="J15186" s="11"/>
      <c r="U15186" s="9"/>
      <c r="X15186" s="9"/>
    </row>
    <row r="15187">
      <c r="D15187" s="9"/>
      <c r="G15187" s="9"/>
      <c r="J15187" s="11"/>
      <c r="U15187" s="9"/>
      <c r="X15187" s="9"/>
    </row>
    <row r="15188">
      <c r="D15188" s="9"/>
      <c r="G15188" s="9"/>
      <c r="J15188" s="11"/>
      <c r="U15188" s="9"/>
      <c r="X15188" s="9"/>
    </row>
    <row r="15189">
      <c r="D15189" s="9"/>
      <c r="G15189" s="9"/>
      <c r="J15189" s="11"/>
      <c r="U15189" s="9"/>
      <c r="X15189" s="9"/>
    </row>
    <row r="15190">
      <c r="D15190" s="9"/>
      <c r="G15190" s="9"/>
      <c r="J15190" s="11"/>
      <c r="U15190" s="9"/>
      <c r="X15190" s="9"/>
    </row>
    <row r="15191">
      <c r="D15191" s="9"/>
      <c r="G15191" s="9"/>
      <c r="J15191" s="11"/>
      <c r="U15191" s="9"/>
      <c r="X15191" s="9"/>
    </row>
    <row r="15192">
      <c r="D15192" s="9"/>
      <c r="G15192" s="9"/>
      <c r="J15192" s="11"/>
      <c r="U15192" s="9"/>
      <c r="X15192" s="9"/>
    </row>
    <row r="15193">
      <c r="D15193" s="9"/>
      <c r="G15193" s="9"/>
      <c r="J15193" s="11"/>
      <c r="U15193" s="9"/>
      <c r="X15193" s="9"/>
    </row>
    <row r="15194">
      <c r="D15194" s="9"/>
      <c r="G15194" s="9"/>
      <c r="J15194" s="11"/>
      <c r="U15194" s="9"/>
      <c r="X15194" s="9"/>
    </row>
    <row r="15195">
      <c r="D15195" s="9"/>
      <c r="G15195" s="9"/>
      <c r="J15195" s="11"/>
      <c r="U15195" s="9"/>
      <c r="X15195" s="9"/>
    </row>
    <row r="15196">
      <c r="D15196" s="9"/>
      <c r="G15196" s="9"/>
      <c r="J15196" s="11"/>
      <c r="U15196" s="9"/>
      <c r="X15196" s="9"/>
    </row>
    <row r="15197">
      <c r="D15197" s="9"/>
      <c r="G15197" s="9"/>
      <c r="J15197" s="11"/>
      <c r="U15197" s="9"/>
      <c r="X15197" s="9"/>
    </row>
    <row r="15198">
      <c r="D15198" s="9"/>
      <c r="G15198" s="9"/>
      <c r="J15198" s="11"/>
      <c r="U15198" s="9"/>
      <c r="X15198" s="9"/>
    </row>
    <row r="15199">
      <c r="D15199" s="9"/>
      <c r="G15199" s="9"/>
      <c r="J15199" s="11"/>
      <c r="U15199" s="9"/>
      <c r="X15199" s="9"/>
    </row>
    <row r="15200">
      <c r="D15200" s="9"/>
      <c r="G15200" s="9"/>
      <c r="J15200" s="11"/>
      <c r="U15200" s="9"/>
      <c r="X15200" s="9"/>
    </row>
    <row r="15201">
      <c r="D15201" s="9"/>
      <c r="G15201" s="9"/>
      <c r="J15201" s="11"/>
      <c r="U15201" s="9"/>
      <c r="X15201" s="9"/>
    </row>
    <row r="15202">
      <c r="D15202" s="9"/>
      <c r="G15202" s="9"/>
      <c r="J15202" s="11"/>
      <c r="U15202" s="9"/>
      <c r="X15202" s="9"/>
    </row>
    <row r="15203">
      <c r="D15203" s="9"/>
      <c r="G15203" s="9"/>
      <c r="J15203" s="11"/>
      <c r="U15203" s="9"/>
      <c r="X15203" s="9"/>
    </row>
    <row r="15204">
      <c r="D15204" s="9"/>
      <c r="G15204" s="9"/>
      <c r="J15204" s="11"/>
      <c r="U15204" s="9"/>
      <c r="X15204" s="9"/>
    </row>
    <row r="15205">
      <c r="D15205" s="9"/>
      <c r="G15205" s="9"/>
      <c r="J15205" s="11"/>
      <c r="U15205" s="9"/>
      <c r="X15205" s="9"/>
    </row>
    <row r="15206">
      <c r="D15206" s="9"/>
      <c r="G15206" s="9"/>
      <c r="J15206" s="11"/>
      <c r="U15206" s="9"/>
      <c r="X15206" s="9"/>
    </row>
    <row r="15207">
      <c r="D15207" s="9"/>
      <c r="G15207" s="9"/>
      <c r="J15207" s="11"/>
      <c r="U15207" s="9"/>
      <c r="X15207" s="9"/>
    </row>
    <row r="15208">
      <c r="D15208" s="9"/>
      <c r="G15208" s="9"/>
      <c r="J15208" s="11"/>
      <c r="U15208" s="9"/>
      <c r="X15208" s="9"/>
    </row>
    <row r="15209">
      <c r="D15209" s="9"/>
      <c r="G15209" s="9"/>
      <c r="J15209" s="11"/>
      <c r="U15209" s="9"/>
      <c r="X15209" s="9"/>
    </row>
    <row r="15210">
      <c r="D15210" s="9"/>
      <c r="G15210" s="9"/>
      <c r="J15210" s="11"/>
      <c r="U15210" s="9"/>
      <c r="X15210" s="9"/>
    </row>
    <row r="15211">
      <c r="D15211" s="9"/>
      <c r="G15211" s="9"/>
      <c r="J15211" s="11"/>
      <c r="U15211" s="9"/>
      <c r="X15211" s="9"/>
    </row>
    <row r="15212">
      <c r="D15212" s="9"/>
      <c r="G15212" s="9"/>
      <c r="J15212" s="11"/>
      <c r="U15212" s="9"/>
      <c r="X15212" s="9"/>
    </row>
    <row r="15213">
      <c r="D15213" s="9"/>
      <c r="G15213" s="9"/>
      <c r="J15213" s="11"/>
      <c r="U15213" s="9"/>
      <c r="X15213" s="9"/>
    </row>
    <row r="15214">
      <c r="D15214" s="9"/>
      <c r="G15214" s="9"/>
      <c r="J15214" s="11"/>
      <c r="U15214" s="9"/>
      <c r="X15214" s="9"/>
    </row>
    <row r="15215">
      <c r="D15215" s="9"/>
      <c r="G15215" s="9"/>
      <c r="J15215" s="11"/>
      <c r="U15215" s="9"/>
      <c r="X15215" s="9"/>
    </row>
    <row r="15216">
      <c r="D15216" s="9"/>
      <c r="G15216" s="9"/>
      <c r="J15216" s="11"/>
      <c r="U15216" s="9"/>
      <c r="X15216" s="9"/>
    </row>
    <row r="15217">
      <c r="D15217" s="9"/>
      <c r="G15217" s="9"/>
      <c r="J15217" s="11"/>
      <c r="U15217" s="9"/>
      <c r="X15217" s="9"/>
    </row>
    <row r="15218">
      <c r="D15218" s="9"/>
      <c r="G15218" s="9"/>
      <c r="J15218" s="11"/>
      <c r="U15218" s="9"/>
      <c r="X15218" s="9"/>
    </row>
    <row r="15219">
      <c r="D15219" s="9"/>
      <c r="G15219" s="9"/>
      <c r="J15219" s="11"/>
      <c r="U15219" s="9"/>
      <c r="X15219" s="9"/>
    </row>
    <row r="15220">
      <c r="D15220" s="9"/>
      <c r="G15220" s="9"/>
      <c r="J15220" s="11"/>
      <c r="U15220" s="9"/>
      <c r="X15220" s="9"/>
    </row>
    <row r="15221">
      <c r="D15221" s="9"/>
      <c r="G15221" s="9"/>
      <c r="J15221" s="11"/>
      <c r="U15221" s="9"/>
      <c r="X15221" s="9"/>
    </row>
    <row r="15222">
      <c r="D15222" s="9"/>
      <c r="G15222" s="9"/>
      <c r="J15222" s="11"/>
      <c r="U15222" s="9"/>
      <c r="X15222" s="9"/>
    </row>
    <row r="15223">
      <c r="D15223" s="9"/>
      <c r="G15223" s="9"/>
      <c r="J15223" s="11"/>
      <c r="U15223" s="9"/>
      <c r="X15223" s="9"/>
    </row>
    <row r="15224">
      <c r="D15224" s="9"/>
      <c r="G15224" s="9"/>
      <c r="J15224" s="11"/>
      <c r="U15224" s="9"/>
      <c r="X15224" s="9"/>
    </row>
    <row r="15225">
      <c r="D15225" s="9"/>
      <c r="G15225" s="9"/>
      <c r="J15225" s="11"/>
      <c r="U15225" s="9"/>
      <c r="X15225" s="9"/>
    </row>
    <row r="15226">
      <c r="D15226" s="9"/>
      <c r="G15226" s="9"/>
      <c r="J15226" s="11"/>
      <c r="U15226" s="9"/>
      <c r="X15226" s="9"/>
    </row>
    <row r="15227">
      <c r="D15227" s="9"/>
      <c r="G15227" s="9"/>
      <c r="J15227" s="11"/>
      <c r="U15227" s="9"/>
      <c r="X15227" s="9"/>
    </row>
    <row r="15228">
      <c r="D15228" s="9"/>
      <c r="G15228" s="9"/>
      <c r="J15228" s="11"/>
      <c r="U15228" s="9"/>
      <c r="X15228" s="9"/>
    </row>
    <row r="15229">
      <c r="D15229" s="9"/>
      <c r="G15229" s="9"/>
      <c r="J15229" s="11"/>
      <c r="U15229" s="9"/>
      <c r="X15229" s="9"/>
    </row>
    <row r="15230">
      <c r="D15230" s="9"/>
      <c r="G15230" s="9"/>
      <c r="J15230" s="11"/>
      <c r="U15230" s="9"/>
      <c r="X15230" s="9"/>
    </row>
    <row r="15231">
      <c r="D15231" s="9"/>
      <c r="G15231" s="9"/>
      <c r="J15231" s="11"/>
      <c r="U15231" s="9"/>
      <c r="X15231" s="9"/>
    </row>
    <row r="15232">
      <c r="D15232" s="9"/>
      <c r="G15232" s="9"/>
      <c r="J15232" s="11"/>
      <c r="U15232" s="9"/>
      <c r="X15232" s="9"/>
    </row>
    <row r="15233">
      <c r="D15233" s="9"/>
      <c r="G15233" s="9"/>
      <c r="J15233" s="11"/>
      <c r="U15233" s="9"/>
      <c r="X15233" s="9"/>
    </row>
    <row r="15234">
      <c r="D15234" s="9"/>
      <c r="G15234" s="9"/>
      <c r="J15234" s="11"/>
      <c r="U15234" s="9"/>
      <c r="X15234" s="9"/>
    </row>
    <row r="15235">
      <c r="D15235" s="9"/>
      <c r="G15235" s="9"/>
      <c r="J15235" s="11"/>
      <c r="U15235" s="9"/>
      <c r="X15235" s="9"/>
    </row>
    <row r="15236">
      <c r="D15236" s="9"/>
      <c r="G15236" s="9"/>
      <c r="J15236" s="11"/>
      <c r="U15236" s="9"/>
      <c r="X15236" s="9"/>
    </row>
    <row r="15237">
      <c r="D15237" s="9"/>
      <c r="G15237" s="9"/>
      <c r="J15237" s="11"/>
      <c r="U15237" s="9"/>
      <c r="X15237" s="9"/>
    </row>
    <row r="15238">
      <c r="D15238" s="9"/>
      <c r="G15238" s="9"/>
      <c r="J15238" s="11"/>
      <c r="U15238" s="9"/>
      <c r="X15238" s="9"/>
    </row>
    <row r="15239">
      <c r="D15239" s="9"/>
      <c r="G15239" s="9"/>
      <c r="J15239" s="11"/>
      <c r="U15239" s="9"/>
      <c r="X15239" s="9"/>
    </row>
    <row r="15240">
      <c r="D15240" s="9"/>
      <c r="G15240" s="9"/>
      <c r="J15240" s="11"/>
      <c r="U15240" s="9"/>
      <c r="X15240" s="9"/>
    </row>
    <row r="15241">
      <c r="D15241" s="9"/>
      <c r="G15241" s="9"/>
      <c r="J15241" s="11"/>
      <c r="U15241" s="9"/>
      <c r="X15241" s="9"/>
    </row>
    <row r="15242">
      <c r="D15242" s="9"/>
      <c r="G15242" s="9"/>
      <c r="J15242" s="11"/>
      <c r="U15242" s="9"/>
      <c r="X15242" s="9"/>
    </row>
    <row r="15243">
      <c r="D15243" s="9"/>
      <c r="G15243" s="9"/>
      <c r="J15243" s="11"/>
      <c r="U15243" s="9"/>
      <c r="X15243" s="9"/>
    </row>
    <row r="15244">
      <c r="D15244" s="9"/>
      <c r="G15244" s="9"/>
      <c r="J15244" s="11"/>
      <c r="U15244" s="9"/>
      <c r="X15244" s="9"/>
    </row>
    <row r="15245">
      <c r="D15245" s="9"/>
      <c r="G15245" s="9"/>
      <c r="J15245" s="11"/>
      <c r="U15245" s="9"/>
      <c r="X15245" s="9"/>
    </row>
    <row r="15246">
      <c r="D15246" s="9"/>
      <c r="G15246" s="9"/>
      <c r="J15246" s="11"/>
      <c r="U15246" s="9"/>
      <c r="X15246" s="9"/>
    </row>
    <row r="15247">
      <c r="D15247" s="9"/>
      <c r="G15247" s="9"/>
      <c r="J15247" s="11"/>
      <c r="U15247" s="9"/>
      <c r="X15247" s="9"/>
    </row>
    <row r="15248">
      <c r="D15248" s="9"/>
      <c r="G15248" s="9"/>
      <c r="J15248" s="11"/>
      <c r="U15248" s="9"/>
      <c r="X15248" s="9"/>
    </row>
    <row r="15249">
      <c r="D15249" s="9"/>
      <c r="G15249" s="9"/>
      <c r="J15249" s="11"/>
      <c r="U15249" s="9"/>
      <c r="X15249" s="9"/>
    </row>
    <row r="15250">
      <c r="D15250" s="9"/>
      <c r="G15250" s="9"/>
      <c r="J15250" s="11"/>
      <c r="U15250" s="9"/>
      <c r="X15250" s="9"/>
    </row>
    <row r="15251">
      <c r="D15251" s="9"/>
      <c r="G15251" s="9"/>
      <c r="J15251" s="11"/>
      <c r="U15251" s="9"/>
      <c r="X15251" s="9"/>
    </row>
    <row r="15252">
      <c r="D15252" s="9"/>
      <c r="G15252" s="9"/>
      <c r="J15252" s="11"/>
      <c r="U15252" s="9"/>
      <c r="X15252" s="9"/>
    </row>
    <row r="15253">
      <c r="D15253" s="9"/>
      <c r="G15253" s="9"/>
      <c r="J15253" s="11"/>
      <c r="U15253" s="9"/>
      <c r="X15253" s="9"/>
    </row>
    <row r="15254">
      <c r="D15254" s="9"/>
      <c r="G15254" s="9"/>
      <c r="J15254" s="11"/>
      <c r="U15254" s="9"/>
      <c r="X15254" s="9"/>
    </row>
    <row r="15255">
      <c r="D15255" s="9"/>
      <c r="G15255" s="9"/>
      <c r="J15255" s="11"/>
      <c r="U15255" s="9"/>
      <c r="X15255" s="9"/>
    </row>
    <row r="15256">
      <c r="D15256" s="9"/>
      <c r="G15256" s="9"/>
      <c r="J15256" s="11"/>
      <c r="U15256" s="9"/>
      <c r="X15256" s="9"/>
    </row>
    <row r="15257">
      <c r="D15257" s="9"/>
      <c r="G15257" s="9"/>
      <c r="J15257" s="11"/>
      <c r="U15257" s="9"/>
      <c r="X15257" s="9"/>
    </row>
    <row r="15258">
      <c r="D15258" s="9"/>
      <c r="G15258" s="9"/>
      <c r="J15258" s="11"/>
      <c r="U15258" s="9"/>
      <c r="X15258" s="9"/>
    </row>
    <row r="15259">
      <c r="D15259" s="9"/>
      <c r="G15259" s="9"/>
      <c r="J15259" s="11"/>
      <c r="U15259" s="9"/>
      <c r="X15259" s="9"/>
    </row>
    <row r="15260">
      <c r="D15260" s="9"/>
      <c r="G15260" s="9"/>
      <c r="J15260" s="11"/>
      <c r="U15260" s="9"/>
      <c r="X15260" s="9"/>
    </row>
    <row r="15261">
      <c r="D15261" s="9"/>
      <c r="G15261" s="9"/>
      <c r="J15261" s="11"/>
      <c r="U15261" s="9"/>
      <c r="X15261" s="9"/>
    </row>
    <row r="15262">
      <c r="D15262" s="9"/>
      <c r="G15262" s="9"/>
      <c r="J15262" s="11"/>
      <c r="U15262" s="9"/>
      <c r="X15262" s="9"/>
    </row>
    <row r="15263">
      <c r="D15263" s="9"/>
      <c r="G15263" s="9"/>
      <c r="J15263" s="11"/>
      <c r="U15263" s="9"/>
      <c r="X15263" s="9"/>
    </row>
    <row r="15264">
      <c r="D15264" s="9"/>
      <c r="G15264" s="9"/>
      <c r="J15264" s="11"/>
      <c r="U15264" s="9"/>
      <c r="X15264" s="9"/>
    </row>
    <row r="15265">
      <c r="D15265" s="9"/>
      <c r="G15265" s="9"/>
      <c r="J15265" s="11"/>
      <c r="U15265" s="9"/>
      <c r="X15265" s="9"/>
    </row>
    <row r="15266">
      <c r="D15266" s="9"/>
      <c r="G15266" s="9"/>
      <c r="J15266" s="11"/>
      <c r="U15266" s="9"/>
      <c r="X15266" s="9"/>
    </row>
    <row r="15267">
      <c r="D15267" s="9"/>
      <c r="G15267" s="9"/>
      <c r="J15267" s="11"/>
      <c r="U15267" s="9"/>
      <c r="X15267" s="9"/>
    </row>
    <row r="15268">
      <c r="D15268" s="9"/>
      <c r="G15268" s="9"/>
      <c r="J15268" s="11"/>
      <c r="U15268" s="9"/>
      <c r="X15268" s="9"/>
    </row>
    <row r="15269">
      <c r="D15269" s="9"/>
      <c r="G15269" s="9"/>
      <c r="J15269" s="11"/>
      <c r="U15269" s="9"/>
      <c r="X15269" s="9"/>
    </row>
    <row r="15270">
      <c r="D15270" s="9"/>
      <c r="G15270" s="9"/>
      <c r="J15270" s="11"/>
      <c r="U15270" s="9"/>
      <c r="X15270" s="9"/>
    </row>
    <row r="15271">
      <c r="D15271" s="9"/>
      <c r="G15271" s="9"/>
      <c r="J15271" s="11"/>
      <c r="U15271" s="9"/>
      <c r="X15271" s="9"/>
    </row>
    <row r="15272">
      <c r="D15272" s="9"/>
      <c r="G15272" s="9"/>
      <c r="J15272" s="11"/>
      <c r="U15272" s="9"/>
      <c r="X15272" s="9"/>
    </row>
    <row r="15273">
      <c r="D15273" s="9"/>
      <c r="G15273" s="9"/>
      <c r="J15273" s="11"/>
      <c r="U15273" s="9"/>
      <c r="X15273" s="9"/>
    </row>
    <row r="15274">
      <c r="D15274" s="9"/>
      <c r="G15274" s="9"/>
      <c r="J15274" s="11"/>
      <c r="U15274" s="9"/>
      <c r="X15274" s="9"/>
    </row>
    <row r="15275">
      <c r="D15275" s="9"/>
      <c r="G15275" s="9"/>
      <c r="J15275" s="11"/>
      <c r="U15275" s="9"/>
      <c r="X15275" s="9"/>
    </row>
    <row r="15276">
      <c r="D15276" s="9"/>
      <c r="G15276" s="9"/>
      <c r="J15276" s="11"/>
      <c r="U15276" s="9"/>
      <c r="X15276" s="9"/>
    </row>
    <row r="15277">
      <c r="D15277" s="9"/>
      <c r="G15277" s="9"/>
      <c r="J15277" s="11"/>
      <c r="U15277" s="9"/>
      <c r="X15277" s="9"/>
    </row>
    <row r="15278">
      <c r="D15278" s="9"/>
      <c r="G15278" s="9"/>
      <c r="J15278" s="11"/>
      <c r="U15278" s="9"/>
      <c r="X15278" s="9"/>
    </row>
    <row r="15279">
      <c r="D15279" s="9"/>
      <c r="G15279" s="9"/>
      <c r="J15279" s="11"/>
      <c r="U15279" s="9"/>
      <c r="X15279" s="9"/>
    </row>
    <row r="15280">
      <c r="D15280" s="9"/>
      <c r="G15280" s="9"/>
      <c r="J15280" s="11"/>
      <c r="U15280" s="9"/>
      <c r="X15280" s="9"/>
    </row>
    <row r="15281">
      <c r="D15281" s="9"/>
      <c r="G15281" s="9"/>
      <c r="J15281" s="11"/>
      <c r="U15281" s="9"/>
      <c r="X15281" s="9"/>
    </row>
    <row r="15282">
      <c r="D15282" s="9"/>
      <c r="G15282" s="9"/>
      <c r="J15282" s="11"/>
      <c r="U15282" s="9"/>
      <c r="X15282" s="9"/>
    </row>
    <row r="15283">
      <c r="D15283" s="9"/>
      <c r="G15283" s="9"/>
      <c r="J15283" s="11"/>
      <c r="U15283" s="9"/>
      <c r="X15283" s="9"/>
    </row>
    <row r="15284">
      <c r="D15284" s="9"/>
      <c r="G15284" s="9"/>
      <c r="J15284" s="11"/>
      <c r="U15284" s="9"/>
      <c r="X15284" s="9"/>
    </row>
    <row r="15285">
      <c r="D15285" s="9"/>
      <c r="G15285" s="9"/>
      <c r="J15285" s="11"/>
      <c r="U15285" s="9"/>
      <c r="X15285" s="9"/>
    </row>
    <row r="15286">
      <c r="D15286" s="9"/>
      <c r="G15286" s="9"/>
      <c r="J15286" s="11"/>
      <c r="U15286" s="9"/>
      <c r="X15286" s="9"/>
    </row>
    <row r="15287">
      <c r="D15287" s="9"/>
      <c r="G15287" s="9"/>
      <c r="J15287" s="11"/>
      <c r="U15287" s="9"/>
      <c r="X15287" s="9"/>
    </row>
    <row r="15288">
      <c r="D15288" s="9"/>
      <c r="G15288" s="9"/>
      <c r="J15288" s="11"/>
      <c r="U15288" s="9"/>
      <c r="X15288" s="9"/>
    </row>
    <row r="15289">
      <c r="D15289" s="9"/>
      <c r="G15289" s="9"/>
      <c r="J15289" s="11"/>
      <c r="U15289" s="9"/>
      <c r="X15289" s="9"/>
    </row>
    <row r="15290">
      <c r="D15290" s="9"/>
      <c r="G15290" s="9"/>
      <c r="J15290" s="11"/>
      <c r="U15290" s="9"/>
      <c r="X15290" s="9"/>
    </row>
    <row r="15291">
      <c r="D15291" s="9"/>
      <c r="G15291" s="9"/>
      <c r="J15291" s="11"/>
      <c r="U15291" s="9"/>
      <c r="X15291" s="9"/>
    </row>
    <row r="15292">
      <c r="D15292" s="9"/>
      <c r="G15292" s="9"/>
      <c r="J15292" s="11"/>
      <c r="U15292" s="9"/>
      <c r="X15292" s="9"/>
    </row>
    <row r="15293">
      <c r="D15293" s="9"/>
      <c r="G15293" s="9"/>
      <c r="J15293" s="11"/>
      <c r="U15293" s="9"/>
      <c r="X15293" s="9"/>
    </row>
    <row r="15294">
      <c r="D15294" s="9"/>
      <c r="G15294" s="9"/>
      <c r="J15294" s="11"/>
      <c r="U15294" s="9"/>
      <c r="X15294" s="9"/>
    </row>
    <row r="15295">
      <c r="D15295" s="9"/>
      <c r="G15295" s="9"/>
      <c r="J15295" s="11"/>
      <c r="U15295" s="9"/>
      <c r="X15295" s="9"/>
    </row>
    <row r="15296">
      <c r="D15296" s="9"/>
      <c r="G15296" s="9"/>
      <c r="J15296" s="11"/>
      <c r="U15296" s="9"/>
      <c r="X15296" s="9"/>
    </row>
    <row r="15297">
      <c r="D15297" s="9"/>
      <c r="G15297" s="9"/>
      <c r="J15297" s="11"/>
      <c r="U15297" s="9"/>
      <c r="X15297" s="9"/>
    </row>
    <row r="15298">
      <c r="D15298" s="9"/>
      <c r="G15298" s="9"/>
      <c r="J15298" s="11"/>
      <c r="U15298" s="9"/>
      <c r="X15298" s="9"/>
    </row>
    <row r="15299">
      <c r="D15299" s="9"/>
      <c r="G15299" s="9"/>
      <c r="J15299" s="11"/>
      <c r="U15299" s="9"/>
      <c r="X15299" s="9"/>
    </row>
    <row r="15300">
      <c r="D15300" s="9"/>
      <c r="G15300" s="9"/>
      <c r="J15300" s="11"/>
      <c r="U15300" s="9"/>
      <c r="X15300" s="9"/>
    </row>
    <row r="15301">
      <c r="D15301" s="9"/>
      <c r="G15301" s="9"/>
      <c r="J15301" s="11"/>
      <c r="U15301" s="9"/>
      <c r="X15301" s="9"/>
    </row>
    <row r="15302">
      <c r="D15302" s="9"/>
      <c r="G15302" s="9"/>
      <c r="J15302" s="11"/>
      <c r="U15302" s="9"/>
      <c r="X15302" s="9"/>
    </row>
    <row r="15303">
      <c r="D15303" s="9"/>
      <c r="G15303" s="9"/>
      <c r="J15303" s="11"/>
      <c r="U15303" s="9"/>
      <c r="X15303" s="9"/>
    </row>
    <row r="15304">
      <c r="D15304" s="9"/>
      <c r="G15304" s="9"/>
      <c r="J15304" s="11"/>
      <c r="U15304" s="9"/>
      <c r="X15304" s="9"/>
    </row>
    <row r="15305">
      <c r="D15305" s="9"/>
      <c r="G15305" s="9"/>
      <c r="J15305" s="11"/>
      <c r="U15305" s="9"/>
      <c r="X15305" s="9"/>
    </row>
    <row r="15306">
      <c r="D15306" s="9"/>
      <c r="G15306" s="9"/>
      <c r="J15306" s="11"/>
      <c r="U15306" s="9"/>
      <c r="X15306" s="9"/>
    </row>
    <row r="15307">
      <c r="D15307" s="9"/>
      <c r="G15307" s="9"/>
      <c r="J15307" s="11"/>
      <c r="U15307" s="9"/>
      <c r="X15307" s="9"/>
    </row>
    <row r="15308">
      <c r="D15308" s="9"/>
      <c r="G15308" s="9"/>
      <c r="J15308" s="11"/>
      <c r="U15308" s="9"/>
      <c r="X15308" s="9"/>
    </row>
    <row r="15309">
      <c r="D15309" s="9"/>
      <c r="G15309" s="9"/>
      <c r="J15309" s="11"/>
      <c r="U15309" s="9"/>
      <c r="X15309" s="9"/>
    </row>
    <row r="15310">
      <c r="D15310" s="9"/>
      <c r="G15310" s="9"/>
      <c r="J15310" s="11"/>
      <c r="U15310" s="9"/>
      <c r="X15310" s="9"/>
    </row>
    <row r="15311">
      <c r="D15311" s="9"/>
      <c r="G15311" s="9"/>
      <c r="J15311" s="11"/>
      <c r="U15311" s="9"/>
      <c r="X15311" s="9"/>
    </row>
    <row r="15312">
      <c r="D15312" s="9"/>
      <c r="G15312" s="9"/>
      <c r="J15312" s="11"/>
      <c r="U15312" s="9"/>
      <c r="X15312" s="9"/>
    </row>
    <row r="15313">
      <c r="D15313" s="9"/>
      <c r="G15313" s="9"/>
      <c r="J15313" s="11"/>
      <c r="U15313" s="9"/>
      <c r="X15313" s="9"/>
    </row>
    <row r="15314">
      <c r="D15314" s="9"/>
      <c r="G15314" s="9"/>
      <c r="J15314" s="11"/>
      <c r="U15314" s="9"/>
      <c r="X15314" s="9"/>
    </row>
    <row r="15315">
      <c r="D15315" s="9"/>
      <c r="G15315" s="9"/>
      <c r="J15315" s="11"/>
      <c r="U15315" s="9"/>
      <c r="X15315" s="9"/>
    </row>
    <row r="15316">
      <c r="D15316" s="9"/>
      <c r="G15316" s="9"/>
      <c r="J15316" s="11"/>
      <c r="U15316" s="9"/>
      <c r="X15316" s="9"/>
    </row>
    <row r="15317">
      <c r="D15317" s="9"/>
      <c r="G15317" s="9"/>
      <c r="J15317" s="11"/>
      <c r="U15317" s="9"/>
      <c r="X15317" s="9"/>
    </row>
    <row r="15318">
      <c r="D15318" s="9"/>
      <c r="G15318" s="9"/>
      <c r="J15318" s="11"/>
      <c r="U15318" s="9"/>
      <c r="X15318" s="9"/>
    </row>
    <row r="15319">
      <c r="D15319" s="9"/>
      <c r="G15319" s="9"/>
      <c r="J15319" s="11"/>
      <c r="U15319" s="9"/>
      <c r="X15319" s="9"/>
    </row>
    <row r="15320">
      <c r="D15320" s="9"/>
      <c r="G15320" s="9"/>
      <c r="J15320" s="11"/>
      <c r="U15320" s="9"/>
      <c r="X15320" s="9"/>
    </row>
    <row r="15321">
      <c r="D15321" s="9"/>
      <c r="G15321" s="9"/>
      <c r="J15321" s="11"/>
      <c r="U15321" s="9"/>
      <c r="X15321" s="9"/>
    </row>
    <row r="15322">
      <c r="D15322" s="9"/>
      <c r="G15322" s="9"/>
      <c r="J15322" s="11"/>
      <c r="U15322" s="9"/>
      <c r="X15322" s="9"/>
    </row>
    <row r="15323">
      <c r="D15323" s="9"/>
      <c r="G15323" s="9"/>
      <c r="J15323" s="11"/>
      <c r="U15323" s="9"/>
      <c r="X15323" s="9"/>
    </row>
    <row r="15324">
      <c r="D15324" s="9"/>
      <c r="G15324" s="9"/>
      <c r="J15324" s="11"/>
      <c r="U15324" s="9"/>
      <c r="X15324" s="9"/>
    </row>
    <row r="15325">
      <c r="D15325" s="9"/>
      <c r="G15325" s="9"/>
      <c r="J15325" s="11"/>
      <c r="U15325" s="9"/>
      <c r="X15325" s="9"/>
    </row>
    <row r="15326">
      <c r="D15326" s="9"/>
      <c r="G15326" s="9"/>
      <c r="J15326" s="11"/>
      <c r="U15326" s="9"/>
      <c r="X15326" s="9"/>
    </row>
    <row r="15327">
      <c r="D15327" s="9"/>
      <c r="G15327" s="9"/>
      <c r="J15327" s="11"/>
      <c r="U15327" s="9"/>
      <c r="X15327" s="9"/>
    </row>
    <row r="15328">
      <c r="D15328" s="9"/>
      <c r="G15328" s="9"/>
      <c r="J15328" s="11"/>
      <c r="U15328" s="9"/>
      <c r="X15328" s="9"/>
    </row>
    <row r="15329">
      <c r="D15329" s="9"/>
      <c r="G15329" s="9"/>
      <c r="J15329" s="11"/>
      <c r="U15329" s="9"/>
      <c r="X15329" s="9"/>
    </row>
    <row r="15330">
      <c r="D15330" s="9"/>
      <c r="G15330" s="9"/>
      <c r="J15330" s="11"/>
      <c r="U15330" s="9"/>
      <c r="X15330" s="9"/>
    </row>
    <row r="15331">
      <c r="D15331" s="9"/>
      <c r="G15331" s="9"/>
      <c r="J15331" s="11"/>
      <c r="U15331" s="9"/>
      <c r="X15331" s="9"/>
    </row>
    <row r="15332">
      <c r="D15332" s="9"/>
      <c r="G15332" s="9"/>
      <c r="J15332" s="11"/>
      <c r="U15332" s="9"/>
      <c r="X15332" s="9"/>
    </row>
    <row r="15333">
      <c r="D15333" s="9"/>
      <c r="G15333" s="9"/>
      <c r="J15333" s="11"/>
      <c r="U15333" s="9"/>
      <c r="X15333" s="9"/>
    </row>
    <row r="15334">
      <c r="D15334" s="9"/>
      <c r="G15334" s="9"/>
      <c r="J15334" s="11"/>
      <c r="U15334" s="9"/>
      <c r="X15334" s="9"/>
    </row>
    <row r="15335">
      <c r="D15335" s="9"/>
      <c r="G15335" s="9"/>
      <c r="J15335" s="11"/>
      <c r="U15335" s="9"/>
      <c r="X15335" s="9"/>
    </row>
    <row r="15336">
      <c r="D15336" s="9"/>
      <c r="G15336" s="9"/>
      <c r="J15336" s="11"/>
      <c r="U15336" s="9"/>
      <c r="X15336" s="9"/>
    </row>
    <row r="15337">
      <c r="D15337" s="9"/>
      <c r="G15337" s="9"/>
      <c r="J15337" s="11"/>
      <c r="U15337" s="9"/>
      <c r="X15337" s="9"/>
    </row>
    <row r="15338">
      <c r="D15338" s="9"/>
      <c r="G15338" s="9"/>
      <c r="J15338" s="11"/>
      <c r="U15338" s="9"/>
      <c r="X15338" s="9"/>
    </row>
    <row r="15339">
      <c r="D15339" s="9"/>
      <c r="G15339" s="9"/>
      <c r="J15339" s="11"/>
      <c r="U15339" s="9"/>
      <c r="X15339" s="9"/>
    </row>
    <row r="15340">
      <c r="D15340" s="9"/>
      <c r="G15340" s="9"/>
      <c r="J15340" s="11"/>
      <c r="U15340" s="9"/>
      <c r="X15340" s="9"/>
    </row>
    <row r="15341">
      <c r="D15341" s="9"/>
      <c r="G15341" s="9"/>
      <c r="J15341" s="11"/>
      <c r="U15341" s="9"/>
      <c r="X15341" s="9"/>
    </row>
    <row r="15342">
      <c r="D15342" s="9"/>
      <c r="G15342" s="9"/>
      <c r="J15342" s="11"/>
      <c r="U15342" s="9"/>
      <c r="X15342" s="9"/>
    </row>
    <row r="15343">
      <c r="D15343" s="9"/>
      <c r="G15343" s="9"/>
      <c r="J15343" s="11"/>
      <c r="U15343" s="9"/>
      <c r="X15343" s="9"/>
    </row>
    <row r="15344">
      <c r="D15344" s="9"/>
      <c r="G15344" s="9"/>
      <c r="J15344" s="11"/>
      <c r="U15344" s="9"/>
      <c r="X15344" s="9"/>
    </row>
    <row r="15345">
      <c r="D15345" s="9"/>
      <c r="G15345" s="9"/>
      <c r="J15345" s="11"/>
      <c r="U15345" s="9"/>
      <c r="X15345" s="9"/>
    </row>
    <row r="15346">
      <c r="D15346" s="9"/>
      <c r="G15346" s="9"/>
      <c r="J15346" s="11"/>
      <c r="U15346" s="9"/>
      <c r="X15346" s="9"/>
    </row>
    <row r="15347">
      <c r="D15347" s="9"/>
      <c r="G15347" s="9"/>
      <c r="J15347" s="11"/>
      <c r="U15347" s="9"/>
      <c r="X15347" s="9"/>
    </row>
    <row r="15348">
      <c r="D15348" s="9"/>
      <c r="G15348" s="9"/>
      <c r="J15348" s="11"/>
      <c r="U15348" s="9"/>
      <c r="X15348" s="9"/>
    </row>
    <row r="15349">
      <c r="D15349" s="9"/>
      <c r="G15349" s="9"/>
      <c r="J15349" s="11"/>
      <c r="U15349" s="9"/>
      <c r="X15349" s="9"/>
    </row>
    <row r="15350">
      <c r="D15350" s="9"/>
      <c r="G15350" s="9"/>
      <c r="J15350" s="11"/>
      <c r="U15350" s="9"/>
      <c r="X15350" s="9"/>
    </row>
    <row r="15351">
      <c r="D15351" s="9"/>
      <c r="G15351" s="9"/>
      <c r="J15351" s="11"/>
      <c r="U15351" s="9"/>
      <c r="X15351" s="9"/>
    </row>
    <row r="15352">
      <c r="D15352" s="9"/>
      <c r="G15352" s="9"/>
      <c r="J15352" s="11"/>
      <c r="U15352" s="9"/>
      <c r="X15352" s="9"/>
    </row>
    <row r="15353">
      <c r="D15353" s="9"/>
      <c r="G15353" s="9"/>
      <c r="J15353" s="11"/>
      <c r="U15353" s="9"/>
      <c r="X15353" s="9"/>
    </row>
    <row r="15354">
      <c r="D15354" s="9"/>
      <c r="G15354" s="9"/>
      <c r="J15354" s="11"/>
      <c r="U15354" s="9"/>
      <c r="X15354" s="9"/>
    </row>
    <row r="15355">
      <c r="D15355" s="9"/>
      <c r="G15355" s="9"/>
      <c r="J15355" s="11"/>
      <c r="U15355" s="9"/>
      <c r="X15355" s="9"/>
    </row>
    <row r="15356">
      <c r="D15356" s="9"/>
      <c r="G15356" s="9"/>
      <c r="J15356" s="11"/>
      <c r="U15356" s="9"/>
      <c r="X15356" s="9"/>
    </row>
    <row r="15357">
      <c r="D15357" s="9"/>
      <c r="G15357" s="9"/>
      <c r="J15357" s="11"/>
      <c r="U15357" s="9"/>
      <c r="X15357" s="9"/>
    </row>
    <row r="15358">
      <c r="D15358" s="9"/>
      <c r="G15358" s="9"/>
      <c r="J15358" s="11"/>
      <c r="U15358" s="9"/>
      <c r="X15358" s="9"/>
    </row>
    <row r="15359">
      <c r="D15359" s="9"/>
      <c r="G15359" s="9"/>
      <c r="J15359" s="11"/>
      <c r="U15359" s="9"/>
      <c r="X15359" s="9"/>
    </row>
    <row r="15360">
      <c r="D15360" s="9"/>
      <c r="G15360" s="9"/>
      <c r="J15360" s="11"/>
      <c r="U15360" s="9"/>
      <c r="X15360" s="9"/>
    </row>
    <row r="15361">
      <c r="D15361" s="9"/>
      <c r="G15361" s="9"/>
      <c r="J15361" s="11"/>
      <c r="U15361" s="9"/>
      <c r="X15361" s="9"/>
    </row>
    <row r="15362">
      <c r="D15362" s="9"/>
      <c r="G15362" s="9"/>
      <c r="J15362" s="11"/>
      <c r="U15362" s="9"/>
      <c r="X15362" s="9"/>
    </row>
    <row r="15363">
      <c r="D15363" s="9"/>
      <c r="G15363" s="9"/>
      <c r="J15363" s="11"/>
      <c r="U15363" s="9"/>
      <c r="X15363" s="9"/>
    </row>
    <row r="15364">
      <c r="D15364" s="9"/>
      <c r="G15364" s="9"/>
      <c r="J15364" s="11"/>
      <c r="U15364" s="9"/>
      <c r="X15364" s="9"/>
    </row>
    <row r="15365">
      <c r="D15365" s="9"/>
      <c r="G15365" s="9"/>
      <c r="J15365" s="11"/>
      <c r="U15365" s="9"/>
      <c r="X15365" s="9"/>
    </row>
    <row r="15366">
      <c r="D15366" s="9"/>
      <c r="G15366" s="9"/>
      <c r="J15366" s="11"/>
      <c r="U15366" s="9"/>
      <c r="X15366" s="9"/>
    </row>
    <row r="15367">
      <c r="D15367" s="9"/>
      <c r="G15367" s="9"/>
      <c r="J15367" s="11"/>
      <c r="U15367" s="9"/>
      <c r="X15367" s="9"/>
    </row>
    <row r="15368">
      <c r="D15368" s="9"/>
      <c r="G15368" s="9"/>
      <c r="J15368" s="11"/>
      <c r="U15368" s="9"/>
      <c r="X15368" s="9"/>
    </row>
    <row r="15369">
      <c r="D15369" s="9"/>
      <c r="G15369" s="9"/>
      <c r="J15369" s="11"/>
      <c r="U15369" s="9"/>
      <c r="X15369" s="9"/>
    </row>
    <row r="15370">
      <c r="D15370" s="9"/>
      <c r="G15370" s="9"/>
      <c r="J15370" s="11"/>
      <c r="U15370" s="9"/>
      <c r="X15370" s="9"/>
    </row>
    <row r="15371">
      <c r="D15371" s="9"/>
      <c r="G15371" s="9"/>
      <c r="J15371" s="11"/>
      <c r="U15371" s="9"/>
      <c r="X15371" s="9"/>
    </row>
    <row r="15372">
      <c r="D15372" s="9"/>
      <c r="G15372" s="9"/>
      <c r="J15372" s="11"/>
      <c r="U15372" s="9"/>
      <c r="X15372" s="9"/>
    </row>
    <row r="15373">
      <c r="D15373" s="9"/>
      <c r="G15373" s="9"/>
      <c r="J15373" s="11"/>
      <c r="U15373" s="9"/>
      <c r="X15373" s="9"/>
    </row>
    <row r="15374">
      <c r="D15374" s="9"/>
      <c r="G15374" s="9"/>
      <c r="J15374" s="11"/>
      <c r="U15374" s="9"/>
      <c r="X15374" s="9"/>
    </row>
    <row r="15375">
      <c r="D15375" s="9"/>
      <c r="G15375" s="9"/>
      <c r="J15375" s="11"/>
      <c r="U15375" s="9"/>
      <c r="X15375" s="9"/>
    </row>
    <row r="15376">
      <c r="D15376" s="9"/>
      <c r="G15376" s="9"/>
      <c r="J15376" s="11"/>
      <c r="U15376" s="9"/>
      <c r="X15376" s="9"/>
    </row>
    <row r="15377">
      <c r="D15377" s="9"/>
      <c r="G15377" s="9"/>
      <c r="J15377" s="11"/>
      <c r="U15377" s="9"/>
      <c r="X15377" s="9"/>
    </row>
    <row r="15378">
      <c r="D15378" s="9"/>
      <c r="G15378" s="9"/>
      <c r="J15378" s="11"/>
      <c r="U15378" s="9"/>
      <c r="X15378" s="9"/>
    </row>
    <row r="15379">
      <c r="D15379" s="9"/>
      <c r="G15379" s="9"/>
      <c r="J15379" s="11"/>
      <c r="U15379" s="9"/>
      <c r="X15379" s="9"/>
    </row>
    <row r="15380">
      <c r="D15380" s="9"/>
      <c r="G15380" s="9"/>
      <c r="J15380" s="11"/>
      <c r="U15380" s="9"/>
      <c r="X15380" s="9"/>
    </row>
    <row r="15381">
      <c r="D15381" s="9"/>
      <c r="G15381" s="9"/>
      <c r="J15381" s="11"/>
      <c r="U15381" s="9"/>
      <c r="X15381" s="9"/>
    </row>
    <row r="15382">
      <c r="D15382" s="9"/>
      <c r="G15382" s="9"/>
      <c r="J15382" s="11"/>
      <c r="U15382" s="9"/>
      <c r="X15382" s="9"/>
    </row>
    <row r="15383">
      <c r="D15383" s="9"/>
      <c r="G15383" s="9"/>
      <c r="J15383" s="11"/>
      <c r="U15383" s="9"/>
      <c r="X15383" s="9"/>
    </row>
    <row r="15384">
      <c r="D15384" s="9"/>
      <c r="G15384" s="9"/>
      <c r="J15384" s="11"/>
      <c r="U15384" s="9"/>
      <c r="X15384" s="9"/>
    </row>
    <row r="15385">
      <c r="D15385" s="9"/>
      <c r="G15385" s="9"/>
      <c r="J15385" s="11"/>
      <c r="U15385" s="9"/>
      <c r="X15385" s="9"/>
    </row>
    <row r="15386">
      <c r="D15386" s="9"/>
      <c r="G15386" s="9"/>
      <c r="J15386" s="11"/>
      <c r="U15386" s="9"/>
      <c r="X15386" s="9"/>
    </row>
    <row r="15387">
      <c r="D15387" s="9"/>
      <c r="G15387" s="9"/>
      <c r="J15387" s="11"/>
      <c r="U15387" s="9"/>
      <c r="X15387" s="9"/>
    </row>
    <row r="15388">
      <c r="D15388" s="9"/>
      <c r="G15388" s="9"/>
      <c r="J15388" s="11"/>
      <c r="U15388" s="9"/>
      <c r="X15388" s="9"/>
    </row>
    <row r="15389">
      <c r="D15389" s="9"/>
      <c r="G15389" s="9"/>
      <c r="J15389" s="11"/>
      <c r="U15389" s="9"/>
      <c r="X15389" s="9"/>
    </row>
    <row r="15390">
      <c r="D15390" s="9"/>
      <c r="G15390" s="9"/>
      <c r="J15390" s="11"/>
      <c r="U15390" s="9"/>
      <c r="X15390" s="9"/>
    </row>
    <row r="15391">
      <c r="D15391" s="9"/>
      <c r="G15391" s="9"/>
      <c r="J15391" s="11"/>
      <c r="U15391" s="9"/>
      <c r="X15391" s="9"/>
    </row>
    <row r="15392">
      <c r="D15392" s="9"/>
      <c r="G15392" s="9"/>
      <c r="J15392" s="11"/>
      <c r="U15392" s="9"/>
      <c r="X15392" s="9"/>
    </row>
    <row r="15393">
      <c r="D15393" s="9"/>
      <c r="G15393" s="9"/>
      <c r="J15393" s="11"/>
      <c r="U15393" s="9"/>
      <c r="X15393" s="9"/>
    </row>
    <row r="15394">
      <c r="D15394" s="9"/>
      <c r="G15394" s="9"/>
      <c r="J15394" s="11"/>
      <c r="U15394" s="9"/>
      <c r="X15394" s="9"/>
    </row>
    <row r="15395">
      <c r="D15395" s="9"/>
      <c r="G15395" s="9"/>
      <c r="J15395" s="11"/>
      <c r="U15395" s="9"/>
      <c r="X15395" s="9"/>
    </row>
    <row r="15396">
      <c r="D15396" s="9"/>
      <c r="G15396" s="9"/>
      <c r="J15396" s="11"/>
      <c r="U15396" s="9"/>
      <c r="X15396" s="9"/>
    </row>
    <row r="15397">
      <c r="D15397" s="9"/>
      <c r="G15397" s="9"/>
      <c r="J15397" s="11"/>
      <c r="U15397" s="9"/>
      <c r="X15397" s="9"/>
    </row>
    <row r="15398">
      <c r="D15398" s="9"/>
      <c r="G15398" s="9"/>
      <c r="J15398" s="11"/>
      <c r="U15398" s="9"/>
      <c r="X15398" s="9"/>
    </row>
    <row r="15399">
      <c r="D15399" s="9"/>
      <c r="G15399" s="9"/>
      <c r="J15399" s="11"/>
      <c r="U15399" s="9"/>
      <c r="X15399" s="9"/>
    </row>
    <row r="15400">
      <c r="D15400" s="9"/>
      <c r="G15400" s="9"/>
      <c r="J15400" s="11"/>
      <c r="U15400" s="9"/>
      <c r="X15400" s="9"/>
    </row>
    <row r="15401">
      <c r="D15401" s="9"/>
      <c r="G15401" s="9"/>
      <c r="J15401" s="11"/>
      <c r="U15401" s="9"/>
      <c r="X15401" s="9"/>
    </row>
    <row r="15402">
      <c r="D15402" s="9"/>
      <c r="G15402" s="9"/>
      <c r="J15402" s="11"/>
      <c r="U15402" s="9"/>
      <c r="X15402" s="9"/>
    </row>
    <row r="15403">
      <c r="D15403" s="9"/>
      <c r="G15403" s="9"/>
      <c r="J15403" s="11"/>
      <c r="U15403" s="9"/>
      <c r="X15403" s="9"/>
    </row>
    <row r="15404">
      <c r="D15404" s="9"/>
      <c r="G15404" s="9"/>
      <c r="J15404" s="11"/>
      <c r="U15404" s="9"/>
      <c r="X15404" s="9"/>
    </row>
    <row r="15405">
      <c r="D15405" s="9"/>
      <c r="G15405" s="9"/>
      <c r="J15405" s="11"/>
      <c r="U15405" s="9"/>
      <c r="X15405" s="9"/>
    </row>
    <row r="15406">
      <c r="D15406" s="9"/>
      <c r="G15406" s="9"/>
      <c r="J15406" s="11"/>
      <c r="U15406" s="9"/>
      <c r="X15406" s="9"/>
    </row>
    <row r="15407">
      <c r="D15407" s="9"/>
      <c r="G15407" s="9"/>
      <c r="J15407" s="11"/>
      <c r="U15407" s="9"/>
      <c r="X15407" s="9"/>
    </row>
    <row r="15408">
      <c r="D15408" s="9"/>
      <c r="G15408" s="9"/>
      <c r="J15408" s="11"/>
      <c r="U15408" s="9"/>
      <c r="X15408" s="9"/>
    </row>
    <row r="15409">
      <c r="D15409" s="9"/>
      <c r="G15409" s="9"/>
      <c r="J15409" s="11"/>
      <c r="U15409" s="9"/>
      <c r="X15409" s="9"/>
    </row>
    <row r="15410">
      <c r="D15410" s="9"/>
      <c r="G15410" s="9"/>
      <c r="J15410" s="11"/>
      <c r="U15410" s="9"/>
      <c r="X15410" s="9"/>
    </row>
    <row r="15411">
      <c r="D15411" s="9"/>
      <c r="G15411" s="9"/>
      <c r="J15411" s="11"/>
      <c r="U15411" s="9"/>
      <c r="X15411" s="9"/>
    </row>
    <row r="15412">
      <c r="D15412" s="9"/>
      <c r="G15412" s="9"/>
      <c r="J15412" s="11"/>
      <c r="U15412" s="9"/>
      <c r="X15412" s="9"/>
    </row>
    <row r="15413">
      <c r="D15413" s="9"/>
      <c r="G15413" s="9"/>
      <c r="J15413" s="11"/>
      <c r="U15413" s="9"/>
      <c r="X15413" s="9"/>
    </row>
    <row r="15414">
      <c r="D15414" s="9"/>
      <c r="G15414" s="9"/>
      <c r="J15414" s="11"/>
      <c r="U15414" s="9"/>
      <c r="X15414" s="9"/>
    </row>
    <row r="15415">
      <c r="D15415" s="9"/>
      <c r="G15415" s="9"/>
      <c r="J15415" s="11"/>
      <c r="U15415" s="9"/>
      <c r="X15415" s="9"/>
    </row>
    <row r="15416">
      <c r="D15416" s="9"/>
      <c r="G15416" s="9"/>
      <c r="J15416" s="11"/>
      <c r="U15416" s="9"/>
      <c r="X15416" s="9"/>
    </row>
    <row r="15417">
      <c r="D15417" s="9"/>
      <c r="G15417" s="9"/>
      <c r="J15417" s="11"/>
      <c r="U15417" s="9"/>
      <c r="X15417" s="9"/>
    </row>
    <row r="15418">
      <c r="D15418" s="9"/>
      <c r="G15418" s="9"/>
      <c r="J15418" s="11"/>
      <c r="U15418" s="9"/>
      <c r="X15418" s="9"/>
    </row>
    <row r="15419">
      <c r="D15419" s="9"/>
      <c r="G15419" s="9"/>
      <c r="J15419" s="11"/>
      <c r="U15419" s="9"/>
      <c r="X15419" s="9"/>
    </row>
    <row r="15420">
      <c r="D15420" s="9"/>
      <c r="G15420" s="9"/>
      <c r="J15420" s="11"/>
      <c r="U15420" s="9"/>
      <c r="X15420" s="9"/>
    </row>
    <row r="15421">
      <c r="D15421" s="9"/>
      <c r="G15421" s="9"/>
      <c r="J15421" s="11"/>
      <c r="U15421" s="9"/>
      <c r="X15421" s="9"/>
    </row>
    <row r="15422">
      <c r="D15422" s="9"/>
      <c r="G15422" s="9"/>
      <c r="J15422" s="11"/>
      <c r="U15422" s="9"/>
      <c r="X15422" s="9"/>
    </row>
    <row r="15423">
      <c r="D15423" s="9"/>
      <c r="G15423" s="9"/>
      <c r="J15423" s="11"/>
      <c r="U15423" s="9"/>
      <c r="X15423" s="9"/>
    </row>
    <row r="15424">
      <c r="D15424" s="9"/>
      <c r="G15424" s="9"/>
      <c r="J15424" s="11"/>
      <c r="U15424" s="9"/>
      <c r="X15424" s="9"/>
    </row>
    <row r="15425">
      <c r="D15425" s="9"/>
      <c r="G15425" s="9"/>
      <c r="J15425" s="11"/>
      <c r="U15425" s="9"/>
      <c r="X15425" s="9"/>
    </row>
    <row r="15426">
      <c r="D15426" s="9"/>
      <c r="G15426" s="9"/>
      <c r="J15426" s="11"/>
      <c r="U15426" s="9"/>
      <c r="X15426" s="9"/>
    </row>
    <row r="15427">
      <c r="D15427" s="9"/>
      <c r="G15427" s="9"/>
      <c r="J15427" s="11"/>
      <c r="U15427" s="9"/>
      <c r="X15427" s="9"/>
    </row>
    <row r="15428">
      <c r="D15428" s="9"/>
      <c r="G15428" s="9"/>
      <c r="J15428" s="11"/>
      <c r="U15428" s="9"/>
      <c r="X15428" s="9"/>
    </row>
    <row r="15429">
      <c r="D15429" s="9"/>
      <c r="G15429" s="9"/>
      <c r="J15429" s="11"/>
      <c r="U15429" s="9"/>
      <c r="X15429" s="9"/>
    </row>
    <row r="15430">
      <c r="D15430" s="9"/>
      <c r="G15430" s="9"/>
      <c r="J15430" s="11"/>
      <c r="U15430" s="9"/>
      <c r="X15430" s="9"/>
    </row>
    <row r="15431">
      <c r="D15431" s="9"/>
      <c r="G15431" s="9"/>
      <c r="J15431" s="11"/>
      <c r="U15431" s="9"/>
      <c r="X15431" s="9"/>
    </row>
    <row r="15432">
      <c r="D15432" s="9"/>
      <c r="G15432" s="9"/>
      <c r="J15432" s="11"/>
      <c r="U15432" s="9"/>
      <c r="X15432" s="9"/>
    </row>
    <row r="15433">
      <c r="D15433" s="9"/>
      <c r="G15433" s="9"/>
      <c r="J15433" s="11"/>
      <c r="U15433" s="9"/>
      <c r="X15433" s="9"/>
    </row>
    <row r="15434">
      <c r="D15434" s="9"/>
      <c r="G15434" s="9"/>
      <c r="J15434" s="11"/>
      <c r="U15434" s="9"/>
      <c r="X15434" s="9"/>
    </row>
    <row r="15435">
      <c r="D15435" s="9"/>
      <c r="G15435" s="9"/>
      <c r="J15435" s="11"/>
      <c r="U15435" s="9"/>
      <c r="X15435" s="9"/>
    </row>
    <row r="15436">
      <c r="D15436" s="9"/>
      <c r="G15436" s="9"/>
      <c r="J15436" s="11"/>
      <c r="U15436" s="9"/>
      <c r="X15436" s="9"/>
    </row>
    <row r="15437">
      <c r="D15437" s="9"/>
      <c r="G15437" s="9"/>
      <c r="J15437" s="11"/>
      <c r="U15437" s="9"/>
      <c r="X15437" s="9"/>
    </row>
    <row r="15438">
      <c r="D15438" s="9"/>
      <c r="G15438" s="9"/>
      <c r="J15438" s="11"/>
      <c r="U15438" s="9"/>
      <c r="X15438" s="9"/>
    </row>
    <row r="15439">
      <c r="D15439" s="9"/>
      <c r="G15439" s="9"/>
      <c r="J15439" s="11"/>
      <c r="U15439" s="9"/>
      <c r="X15439" s="9"/>
    </row>
    <row r="15440">
      <c r="D15440" s="9"/>
      <c r="G15440" s="9"/>
      <c r="J15440" s="11"/>
      <c r="U15440" s="9"/>
      <c r="X15440" s="9"/>
    </row>
    <row r="15441">
      <c r="D15441" s="9"/>
      <c r="G15441" s="9"/>
      <c r="J15441" s="11"/>
      <c r="U15441" s="9"/>
      <c r="X15441" s="9"/>
    </row>
    <row r="15442">
      <c r="D15442" s="9"/>
      <c r="G15442" s="9"/>
      <c r="J15442" s="11"/>
      <c r="U15442" s="9"/>
      <c r="X15442" s="9"/>
    </row>
    <row r="15443">
      <c r="D15443" s="9"/>
      <c r="G15443" s="9"/>
      <c r="J15443" s="11"/>
      <c r="U15443" s="9"/>
      <c r="X15443" s="9"/>
    </row>
    <row r="15444">
      <c r="D15444" s="9"/>
      <c r="G15444" s="9"/>
      <c r="J15444" s="11"/>
      <c r="U15444" s="9"/>
      <c r="X15444" s="9"/>
    </row>
    <row r="15445">
      <c r="D15445" s="9"/>
      <c r="G15445" s="9"/>
      <c r="J15445" s="11"/>
      <c r="U15445" s="9"/>
      <c r="X15445" s="9"/>
    </row>
    <row r="15446">
      <c r="D15446" s="9"/>
      <c r="G15446" s="9"/>
      <c r="J15446" s="11"/>
      <c r="U15446" s="9"/>
      <c r="X15446" s="9"/>
    </row>
    <row r="15447">
      <c r="D15447" s="9"/>
      <c r="G15447" s="9"/>
      <c r="J15447" s="11"/>
      <c r="U15447" s="9"/>
      <c r="X15447" s="9"/>
    </row>
    <row r="15448">
      <c r="D15448" s="9"/>
      <c r="G15448" s="9"/>
      <c r="J15448" s="11"/>
      <c r="U15448" s="9"/>
      <c r="X15448" s="9"/>
    </row>
    <row r="15449">
      <c r="D15449" s="9"/>
      <c r="G15449" s="9"/>
      <c r="J15449" s="11"/>
      <c r="U15449" s="9"/>
      <c r="X15449" s="9"/>
    </row>
    <row r="15450">
      <c r="D15450" s="9"/>
      <c r="G15450" s="9"/>
      <c r="J15450" s="11"/>
      <c r="U15450" s="9"/>
      <c r="X15450" s="9"/>
    </row>
    <row r="15451">
      <c r="D15451" s="9"/>
      <c r="G15451" s="9"/>
      <c r="J15451" s="11"/>
      <c r="U15451" s="9"/>
      <c r="X15451" s="9"/>
    </row>
    <row r="15452">
      <c r="D15452" s="9"/>
      <c r="G15452" s="9"/>
      <c r="J15452" s="11"/>
      <c r="U15452" s="9"/>
      <c r="X15452" s="9"/>
    </row>
    <row r="15453">
      <c r="D15453" s="9"/>
      <c r="G15453" s="9"/>
      <c r="J15453" s="11"/>
      <c r="U15453" s="9"/>
      <c r="X15453" s="9"/>
    </row>
    <row r="15454">
      <c r="D15454" s="9"/>
      <c r="G15454" s="9"/>
      <c r="J15454" s="11"/>
      <c r="U15454" s="9"/>
      <c r="X15454" s="9"/>
    </row>
    <row r="15455">
      <c r="D15455" s="9"/>
      <c r="G15455" s="9"/>
      <c r="J15455" s="11"/>
      <c r="U15455" s="9"/>
      <c r="X15455" s="9"/>
    </row>
    <row r="15456">
      <c r="D15456" s="9"/>
      <c r="G15456" s="9"/>
      <c r="J15456" s="11"/>
      <c r="U15456" s="9"/>
      <c r="X15456" s="9"/>
    </row>
    <row r="15457">
      <c r="D15457" s="9"/>
      <c r="G15457" s="9"/>
      <c r="J15457" s="11"/>
      <c r="U15457" s="9"/>
      <c r="X15457" s="9"/>
    </row>
    <row r="15458">
      <c r="D15458" s="9"/>
      <c r="G15458" s="9"/>
      <c r="J15458" s="11"/>
      <c r="U15458" s="9"/>
      <c r="X15458" s="9"/>
    </row>
    <row r="15459">
      <c r="D15459" s="9"/>
      <c r="G15459" s="9"/>
      <c r="J15459" s="11"/>
      <c r="U15459" s="9"/>
      <c r="X15459" s="9"/>
    </row>
    <row r="15460">
      <c r="D15460" s="9"/>
      <c r="G15460" s="9"/>
      <c r="J15460" s="11"/>
      <c r="U15460" s="9"/>
      <c r="X15460" s="9"/>
    </row>
    <row r="15461">
      <c r="D15461" s="9"/>
      <c r="G15461" s="9"/>
      <c r="J15461" s="11"/>
      <c r="U15461" s="9"/>
      <c r="X15461" s="9"/>
    </row>
    <row r="15462">
      <c r="D15462" s="9"/>
      <c r="G15462" s="9"/>
      <c r="J15462" s="11"/>
      <c r="U15462" s="9"/>
      <c r="X15462" s="9"/>
    </row>
    <row r="15463">
      <c r="D15463" s="9"/>
      <c r="G15463" s="9"/>
      <c r="J15463" s="11"/>
      <c r="U15463" s="9"/>
      <c r="X15463" s="9"/>
    </row>
    <row r="15464">
      <c r="D15464" s="9"/>
      <c r="G15464" s="9"/>
      <c r="J15464" s="11"/>
      <c r="U15464" s="9"/>
      <c r="X15464" s="9"/>
    </row>
    <row r="15465">
      <c r="D15465" s="9"/>
      <c r="G15465" s="9"/>
      <c r="J15465" s="11"/>
      <c r="U15465" s="9"/>
      <c r="X15465" s="9"/>
    </row>
    <row r="15466">
      <c r="D15466" s="9"/>
      <c r="G15466" s="9"/>
      <c r="J15466" s="11"/>
      <c r="U15466" s="9"/>
      <c r="X15466" s="9"/>
    </row>
    <row r="15467">
      <c r="D15467" s="9"/>
      <c r="G15467" s="9"/>
      <c r="J15467" s="11"/>
      <c r="U15467" s="9"/>
      <c r="X15467" s="9"/>
    </row>
    <row r="15468">
      <c r="D15468" s="9"/>
      <c r="G15468" s="9"/>
      <c r="J15468" s="11"/>
      <c r="U15468" s="9"/>
      <c r="X15468" s="9"/>
    </row>
    <row r="15469">
      <c r="D15469" s="9"/>
      <c r="G15469" s="9"/>
      <c r="J15469" s="11"/>
      <c r="U15469" s="9"/>
      <c r="X15469" s="9"/>
    </row>
    <row r="15470">
      <c r="D15470" s="9"/>
      <c r="G15470" s="9"/>
      <c r="J15470" s="11"/>
      <c r="U15470" s="9"/>
      <c r="X15470" s="9"/>
    </row>
    <row r="15471">
      <c r="D15471" s="9"/>
      <c r="G15471" s="9"/>
      <c r="J15471" s="11"/>
      <c r="U15471" s="9"/>
      <c r="X15471" s="9"/>
    </row>
    <row r="15472">
      <c r="D15472" s="9"/>
      <c r="G15472" s="9"/>
      <c r="J15472" s="11"/>
      <c r="U15472" s="9"/>
      <c r="X15472" s="9"/>
    </row>
    <row r="15473">
      <c r="D15473" s="9"/>
      <c r="G15473" s="9"/>
      <c r="J15473" s="11"/>
      <c r="U15473" s="9"/>
      <c r="X15473" s="9"/>
    </row>
    <row r="15474">
      <c r="D15474" s="9"/>
      <c r="G15474" s="9"/>
      <c r="J15474" s="11"/>
      <c r="U15474" s="9"/>
      <c r="X15474" s="9"/>
    </row>
    <row r="15475">
      <c r="D15475" s="9"/>
      <c r="G15475" s="9"/>
      <c r="J15475" s="11"/>
      <c r="U15475" s="9"/>
      <c r="X15475" s="9"/>
    </row>
    <row r="15476">
      <c r="D15476" s="9"/>
      <c r="G15476" s="9"/>
      <c r="J15476" s="11"/>
      <c r="U15476" s="9"/>
      <c r="X15476" s="9"/>
    </row>
    <row r="15477">
      <c r="D15477" s="9"/>
      <c r="G15477" s="9"/>
      <c r="J15477" s="11"/>
      <c r="U15477" s="9"/>
      <c r="X15477" s="9"/>
    </row>
    <row r="15478">
      <c r="D15478" s="9"/>
      <c r="G15478" s="9"/>
      <c r="J15478" s="11"/>
      <c r="U15478" s="9"/>
      <c r="X15478" s="9"/>
    </row>
    <row r="15479">
      <c r="D15479" s="9"/>
      <c r="G15479" s="9"/>
      <c r="J15479" s="11"/>
      <c r="U15479" s="9"/>
      <c r="X15479" s="9"/>
    </row>
    <row r="15480">
      <c r="D15480" s="9"/>
      <c r="G15480" s="9"/>
      <c r="J15480" s="11"/>
      <c r="U15480" s="9"/>
      <c r="X15480" s="9"/>
    </row>
    <row r="15481">
      <c r="D15481" s="9"/>
      <c r="G15481" s="9"/>
      <c r="J15481" s="11"/>
      <c r="U15481" s="9"/>
      <c r="X15481" s="9"/>
    </row>
    <row r="15482">
      <c r="D15482" s="9"/>
      <c r="G15482" s="9"/>
      <c r="J15482" s="11"/>
      <c r="U15482" s="9"/>
      <c r="X15482" s="9"/>
    </row>
    <row r="15483">
      <c r="D15483" s="9"/>
      <c r="G15483" s="9"/>
      <c r="J15483" s="11"/>
      <c r="U15483" s="9"/>
      <c r="X15483" s="9"/>
    </row>
    <row r="15484">
      <c r="D15484" s="9"/>
      <c r="G15484" s="9"/>
      <c r="J15484" s="11"/>
      <c r="U15484" s="9"/>
      <c r="X15484" s="9"/>
    </row>
    <row r="15485">
      <c r="D15485" s="9"/>
      <c r="G15485" s="9"/>
      <c r="J15485" s="11"/>
      <c r="U15485" s="9"/>
      <c r="X15485" s="9"/>
    </row>
    <row r="15486">
      <c r="D15486" s="9"/>
      <c r="G15486" s="9"/>
      <c r="J15486" s="11"/>
      <c r="U15486" s="9"/>
      <c r="X15486" s="9"/>
    </row>
    <row r="15487">
      <c r="D15487" s="9"/>
      <c r="G15487" s="9"/>
      <c r="J15487" s="11"/>
      <c r="U15487" s="9"/>
      <c r="X15487" s="9"/>
    </row>
    <row r="15488">
      <c r="D15488" s="9"/>
      <c r="G15488" s="9"/>
      <c r="J15488" s="11"/>
      <c r="U15488" s="9"/>
      <c r="X15488" s="9"/>
    </row>
    <row r="15489">
      <c r="D15489" s="9"/>
      <c r="G15489" s="9"/>
      <c r="J15489" s="11"/>
      <c r="U15489" s="9"/>
      <c r="X15489" s="9"/>
    </row>
    <row r="15490">
      <c r="D15490" s="9"/>
      <c r="G15490" s="9"/>
      <c r="J15490" s="11"/>
      <c r="U15490" s="9"/>
      <c r="X15490" s="9"/>
    </row>
    <row r="15491">
      <c r="D15491" s="9"/>
      <c r="G15491" s="9"/>
      <c r="J15491" s="11"/>
      <c r="U15491" s="9"/>
      <c r="X15491" s="9"/>
    </row>
    <row r="15492">
      <c r="D15492" s="9"/>
      <c r="G15492" s="9"/>
      <c r="J15492" s="11"/>
      <c r="U15492" s="9"/>
      <c r="X15492" s="9"/>
    </row>
    <row r="15493">
      <c r="D15493" s="9"/>
      <c r="G15493" s="9"/>
      <c r="J15493" s="11"/>
      <c r="U15493" s="9"/>
      <c r="X15493" s="9"/>
    </row>
    <row r="15494">
      <c r="D15494" s="9"/>
      <c r="G15494" s="9"/>
      <c r="J15494" s="11"/>
      <c r="U15494" s="9"/>
      <c r="X15494" s="9"/>
    </row>
    <row r="15495">
      <c r="D15495" s="9"/>
      <c r="G15495" s="9"/>
      <c r="J15495" s="11"/>
      <c r="U15495" s="9"/>
      <c r="X15495" s="9"/>
    </row>
    <row r="15496">
      <c r="D15496" s="9"/>
      <c r="G15496" s="9"/>
      <c r="J15496" s="11"/>
      <c r="U15496" s="9"/>
      <c r="X15496" s="9"/>
    </row>
    <row r="15497">
      <c r="D15497" s="9"/>
      <c r="G15497" s="9"/>
      <c r="J15497" s="11"/>
      <c r="U15497" s="9"/>
      <c r="X15497" s="9"/>
    </row>
    <row r="15498">
      <c r="D15498" s="9"/>
      <c r="G15498" s="9"/>
      <c r="J15498" s="11"/>
      <c r="U15498" s="9"/>
      <c r="X15498" s="9"/>
    </row>
    <row r="15499">
      <c r="D15499" s="9"/>
      <c r="G15499" s="9"/>
      <c r="J15499" s="11"/>
      <c r="U15499" s="9"/>
      <c r="X15499" s="9"/>
    </row>
    <row r="15500">
      <c r="D15500" s="9"/>
      <c r="G15500" s="9"/>
      <c r="J15500" s="11"/>
      <c r="U15500" s="9"/>
      <c r="X15500" s="9"/>
    </row>
    <row r="15501">
      <c r="D15501" s="9"/>
      <c r="G15501" s="9"/>
      <c r="J15501" s="11"/>
      <c r="U15501" s="9"/>
      <c r="X15501" s="9"/>
    </row>
    <row r="15502">
      <c r="D15502" s="9"/>
      <c r="G15502" s="9"/>
      <c r="J15502" s="11"/>
      <c r="U15502" s="9"/>
      <c r="X15502" s="9"/>
    </row>
    <row r="15503">
      <c r="D15503" s="9"/>
      <c r="G15503" s="9"/>
      <c r="J15503" s="11"/>
      <c r="U15503" s="9"/>
      <c r="X15503" s="9"/>
    </row>
    <row r="15504">
      <c r="D15504" s="9"/>
      <c r="G15504" s="9"/>
      <c r="J15504" s="11"/>
      <c r="U15504" s="9"/>
      <c r="X15504" s="9"/>
    </row>
    <row r="15505">
      <c r="D15505" s="9"/>
      <c r="G15505" s="9"/>
      <c r="J15505" s="11"/>
      <c r="U15505" s="9"/>
      <c r="X15505" s="9"/>
    </row>
    <row r="15506">
      <c r="D15506" s="9"/>
      <c r="G15506" s="9"/>
      <c r="J15506" s="11"/>
      <c r="U15506" s="9"/>
      <c r="X15506" s="9"/>
    </row>
    <row r="15507">
      <c r="D15507" s="9"/>
      <c r="G15507" s="9"/>
      <c r="J15507" s="11"/>
      <c r="U15507" s="9"/>
      <c r="X15507" s="9"/>
    </row>
    <row r="15508">
      <c r="D15508" s="9"/>
      <c r="G15508" s="9"/>
      <c r="J15508" s="11"/>
      <c r="U15508" s="9"/>
      <c r="X15508" s="9"/>
    </row>
    <row r="15509">
      <c r="D15509" s="9"/>
      <c r="G15509" s="9"/>
      <c r="J15509" s="11"/>
      <c r="U15509" s="9"/>
      <c r="X15509" s="9"/>
    </row>
    <row r="15510">
      <c r="D15510" s="9"/>
      <c r="G15510" s="9"/>
      <c r="J15510" s="11"/>
      <c r="U15510" s="9"/>
      <c r="X15510" s="9"/>
    </row>
    <row r="15511">
      <c r="D15511" s="9"/>
      <c r="G15511" s="9"/>
      <c r="J15511" s="11"/>
      <c r="U15511" s="9"/>
      <c r="X15511" s="9"/>
    </row>
    <row r="15512">
      <c r="D15512" s="9"/>
      <c r="G15512" s="9"/>
      <c r="J15512" s="11"/>
      <c r="U15512" s="9"/>
      <c r="X15512" s="9"/>
    </row>
    <row r="15513">
      <c r="D15513" s="9"/>
      <c r="G15513" s="9"/>
      <c r="J15513" s="11"/>
      <c r="U15513" s="9"/>
      <c r="X15513" s="9"/>
    </row>
    <row r="15514">
      <c r="D15514" s="9"/>
      <c r="G15514" s="9"/>
      <c r="J15514" s="11"/>
      <c r="U15514" s="9"/>
      <c r="X15514" s="9"/>
    </row>
    <row r="15515">
      <c r="D15515" s="9"/>
      <c r="G15515" s="9"/>
      <c r="J15515" s="11"/>
      <c r="U15515" s="9"/>
      <c r="X15515" s="9"/>
    </row>
    <row r="15516">
      <c r="D15516" s="9"/>
      <c r="G15516" s="9"/>
      <c r="J15516" s="11"/>
      <c r="U15516" s="9"/>
      <c r="X15516" s="9"/>
    </row>
    <row r="15517">
      <c r="D15517" s="9"/>
      <c r="G15517" s="9"/>
      <c r="J15517" s="11"/>
      <c r="U15517" s="9"/>
      <c r="X15517" s="9"/>
    </row>
    <row r="15518">
      <c r="D15518" s="9"/>
      <c r="G15518" s="9"/>
      <c r="J15518" s="11"/>
      <c r="U15518" s="9"/>
      <c r="X15518" s="9"/>
    </row>
    <row r="15519">
      <c r="D15519" s="9"/>
      <c r="G15519" s="9"/>
      <c r="J15519" s="11"/>
      <c r="U15519" s="9"/>
      <c r="X15519" s="9"/>
    </row>
    <row r="15520">
      <c r="D15520" s="9"/>
      <c r="G15520" s="9"/>
      <c r="J15520" s="11"/>
      <c r="U15520" s="9"/>
      <c r="X15520" s="9"/>
    </row>
    <row r="15521">
      <c r="D15521" s="9"/>
      <c r="G15521" s="9"/>
      <c r="J15521" s="11"/>
      <c r="U15521" s="9"/>
      <c r="X15521" s="9"/>
    </row>
    <row r="15522">
      <c r="D15522" s="9"/>
      <c r="G15522" s="9"/>
      <c r="J15522" s="11"/>
      <c r="U15522" s="9"/>
      <c r="X15522" s="9"/>
    </row>
    <row r="15523">
      <c r="D15523" s="9"/>
      <c r="G15523" s="9"/>
      <c r="J15523" s="11"/>
      <c r="U15523" s="9"/>
      <c r="X15523" s="9"/>
    </row>
    <row r="15524">
      <c r="D15524" s="9"/>
      <c r="G15524" s="9"/>
      <c r="J15524" s="11"/>
      <c r="U15524" s="9"/>
      <c r="X15524" s="9"/>
    </row>
    <row r="15525">
      <c r="D15525" s="9"/>
      <c r="G15525" s="9"/>
      <c r="J15525" s="11"/>
      <c r="U15525" s="9"/>
      <c r="X15525" s="9"/>
    </row>
    <row r="15526">
      <c r="D15526" s="9"/>
      <c r="G15526" s="9"/>
      <c r="J15526" s="11"/>
      <c r="U15526" s="9"/>
      <c r="X15526" s="9"/>
    </row>
    <row r="15527">
      <c r="D15527" s="9"/>
      <c r="G15527" s="9"/>
      <c r="J15527" s="11"/>
      <c r="U15527" s="9"/>
      <c r="X15527" s="9"/>
    </row>
    <row r="15528">
      <c r="D15528" s="9"/>
      <c r="G15528" s="9"/>
      <c r="J15528" s="11"/>
      <c r="U15528" s="9"/>
      <c r="X15528" s="9"/>
    </row>
    <row r="15529">
      <c r="D15529" s="9"/>
      <c r="G15529" s="9"/>
      <c r="J15529" s="11"/>
      <c r="U15529" s="9"/>
      <c r="X15529" s="9"/>
    </row>
    <row r="15530">
      <c r="D15530" s="9"/>
      <c r="G15530" s="9"/>
      <c r="J15530" s="11"/>
      <c r="U15530" s="9"/>
      <c r="X15530" s="9"/>
    </row>
    <row r="15531">
      <c r="D15531" s="9"/>
      <c r="G15531" s="9"/>
      <c r="J15531" s="11"/>
      <c r="U15531" s="9"/>
      <c r="X15531" s="9"/>
    </row>
    <row r="15532">
      <c r="D15532" s="9"/>
      <c r="G15532" s="9"/>
      <c r="J15532" s="11"/>
      <c r="U15532" s="9"/>
      <c r="X15532" s="9"/>
    </row>
    <row r="15533">
      <c r="D15533" s="9"/>
      <c r="G15533" s="9"/>
      <c r="J15533" s="11"/>
      <c r="U15533" s="9"/>
      <c r="X15533" s="9"/>
    </row>
    <row r="15534">
      <c r="D15534" s="9"/>
      <c r="G15534" s="9"/>
      <c r="J15534" s="11"/>
      <c r="U15534" s="9"/>
      <c r="X15534" s="9"/>
    </row>
    <row r="15535">
      <c r="D15535" s="9"/>
      <c r="G15535" s="9"/>
      <c r="J15535" s="11"/>
      <c r="U15535" s="9"/>
      <c r="X15535" s="9"/>
    </row>
    <row r="15536">
      <c r="D15536" s="9"/>
      <c r="G15536" s="9"/>
      <c r="J15536" s="11"/>
      <c r="U15536" s="9"/>
      <c r="X15536" s="9"/>
    </row>
    <row r="15537">
      <c r="D15537" s="9"/>
      <c r="G15537" s="9"/>
      <c r="J15537" s="11"/>
      <c r="U15537" s="9"/>
      <c r="X15537" s="9"/>
    </row>
    <row r="15538">
      <c r="D15538" s="9"/>
      <c r="G15538" s="9"/>
      <c r="J15538" s="11"/>
      <c r="U15538" s="9"/>
      <c r="X15538" s="9"/>
    </row>
    <row r="15539">
      <c r="D15539" s="9"/>
      <c r="G15539" s="9"/>
      <c r="J15539" s="11"/>
      <c r="U15539" s="9"/>
      <c r="X15539" s="9"/>
    </row>
    <row r="15540">
      <c r="D15540" s="9"/>
      <c r="G15540" s="9"/>
      <c r="J15540" s="11"/>
      <c r="U15540" s="9"/>
      <c r="X15540" s="9"/>
    </row>
    <row r="15541">
      <c r="D15541" s="9"/>
      <c r="G15541" s="9"/>
      <c r="J15541" s="11"/>
      <c r="U15541" s="9"/>
      <c r="X15541" s="9"/>
    </row>
    <row r="15542">
      <c r="D15542" s="9"/>
      <c r="G15542" s="9"/>
      <c r="J15542" s="11"/>
      <c r="U15542" s="9"/>
      <c r="X15542" s="9"/>
    </row>
    <row r="15543">
      <c r="D15543" s="9"/>
      <c r="G15543" s="9"/>
      <c r="J15543" s="11"/>
      <c r="U15543" s="9"/>
      <c r="X15543" s="9"/>
    </row>
    <row r="15544">
      <c r="D15544" s="9"/>
      <c r="G15544" s="9"/>
      <c r="J15544" s="11"/>
      <c r="U15544" s="9"/>
      <c r="X15544" s="9"/>
    </row>
    <row r="15545">
      <c r="D15545" s="9"/>
      <c r="G15545" s="9"/>
      <c r="J15545" s="11"/>
      <c r="U15545" s="9"/>
      <c r="X15545" s="9"/>
    </row>
    <row r="15546">
      <c r="D15546" s="9"/>
      <c r="G15546" s="9"/>
      <c r="J15546" s="11"/>
      <c r="U15546" s="9"/>
      <c r="X15546" s="9"/>
    </row>
    <row r="15547">
      <c r="D15547" s="9"/>
      <c r="G15547" s="9"/>
      <c r="J15547" s="11"/>
      <c r="U15547" s="9"/>
      <c r="X15547" s="9"/>
    </row>
    <row r="15548">
      <c r="D15548" s="9"/>
      <c r="G15548" s="9"/>
      <c r="J15548" s="11"/>
      <c r="U15548" s="9"/>
      <c r="X15548" s="9"/>
    </row>
    <row r="15549">
      <c r="D15549" s="9"/>
      <c r="G15549" s="9"/>
      <c r="J15549" s="11"/>
      <c r="U15549" s="9"/>
      <c r="X15549" s="9"/>
    </row>
    <row r="15550">
      <c r="D15550" s="9"/>
      <c r="G15550" s="9"/>
      <c r="J15550" s="11"/>
      <c r="U15550" s="9"/>
      <c r="X15550" s="9"/>
    </row>
    <row r="15551">
      <c r="D15551" s="9"/>
      <c r="G15551" s="9"/>
      <c r="J15551" s="11"/>
      <c r="U15551" s="9"/>
      <c r="X15551" s="9"/>
    </row>
    <row r="15552">
      <c r="D15552" s="9"/>
      <c r="G15552" s="9"/>
      <c r="J15552" s="11"/>
      <c r="U15552" s="9"/>
      <c r="X15552" s="9"/>
    </row>
    <row r="15553">
      <c r="D15553" s="9"/>
      <c r="G15553" s="9"/>
      <c r="J15553" s="11"/>
      <c r="U15553" s="9"/>
      <c r="X15553" s="9"/>
    </row>
    <row r="15554">
      <c r="D15554" s="9"/>
      <c r="G15554" s="9"/>
      <c r="J15554" s="11"/>
      <c r="U15554" s="9"/>
      <c r="X15554" s="9"/>
    </row>
    <row r="15555">
      <c r="D15555" s="9"/>
      <c r="G15555" s="9"/>
      <c r="J15555" s="11"/>
      <c r="U15555" s="9"/>
      <c r="X15555" s="9"/>
    </row>
    <row r="15556">
      <c r="D15556" s="9"/>
      <c r="G15556" s="9"/>
      <c r="J15556" s="11"/>
      <c r="U15556" s="9"/>
      <c r="X15556" s="9"/>
    </row>
    <row r="15557">
      <c r="D15557" s="9"/>
      <c r="G15557" s="9"/>
      <c r="J15557" s="11"/>
      <c r="U15557" s="9"/>
      <c r="X15557" s="9"/>
    </row>
    <row r="15558">
      <c r="D15558" s="9"/>
      <c r="G15558" s="9"/>
      <c r="J15558" s="11"/>
      <c r="U15558" s="9"/>
      <c r="X15558" s="9"/>
    </row>
    <row r="15559">
      <c r="D15559" s="9"/>
      <c r="G15559" s="9"/>
      <c r="J15559" s="11"/>
      <c r="U15559" s="9"/>
      <c r="X15559" s="9"/>
    </row>
    <row r="15560">
      <c r="D15560" s="9"/>
      <c r="G15560" s="9"/>
      <c r="J15560" s="11"/>
      <c r="U15560" s="9"/>
      <c r="X15560" s="9"/>
    </row>
    <row r="15561">
      <c r="D15561" s="9"/>
      <c r="G15561" s="9"/>
      <c r="J15561" s="11"/>
      <c r="U15561" s="9"/>
      <c r="X15561" s="9"/>
    </row>
    <row r="15562">
      <c r="D15562" s="9"/>
      <c r="G15562" s="9"/>
      <c r="J15562" s="11"/>
      <c r="U15562" s="9"/>
      <c r="X15562" s="9"/>
    </row>
    <row r="15563">
      <c r="D15563" s="9"/>
      <c r="G15563" s="9"/>
      <c r="J15563" s="11"/>
      <c r="U15563" s="9"/>
      <c r="X15563" s="9"/>
    </row>
    <row r="15564">
      <c r="D15564" s="9"/>
      <c r="G15564" s="9"/>
      <c r="J15564" s="11"/>
      <c r="U15564" s="9"/>
      <c r="X15564" s="9"/>
    </row>
    <row r="15565">
      <c r="D15565" s="9"/>
      <c r="G15565" s="9"/>
      <c r="J15565" s="11"/>
      <c r="U15565" s="9"/>
      <c r="X15565" s="9"/>
    </row>
    <row r="15566">
      <c r="D15566" s="9"/>
      <c r="G15566" s="9"/>
      <c r="J15566" s="11"/>
      <c r="U15566" s="9"/>
      <c r="X15566" s="9"/>
    </row>
    <row r="15567">
      <c r="D15567" s="9"/>
      <c r="G15567" s="9"/>
      <c r="J15567" s="11"/>
      <c r="U15567" s="9"/>
      <c r="X15567" s="9"/>
    </row>
    <row r="15568">
      <c r="D15568" s="9"/>
      <c r="G15568" s="9"/>
      <c r="J15568" s="11"/>
      <c r="U15568" s="9"/>
      <c r="X15568" s="9"/>
    </row>
    <row r="15569">
      <c r="D15569" s="9"/>
      <c r="G15569" s="9"/>
      <c r="J15569" s="11"/>
      <c r="U15569" s="9"/>
      <c r="X15569" s="9"/>
    </row>
    <row r="15570">
      <c r="D15570" s="9"/>
      <c r="G15570" s="9"/>
      <c r="J15570" s="11"/>
      <c r="U15570" s="9"/>
      <c r="X15570" s="9"/>
    </row>
    <row r="15571">
      <c r="D15571" s="9"/>
      <c r="G15571" s="9"/>
      <c r="J15571" s="11"/>
      <c r="U15571" s="9"/>
      <c r="X15571" s="9"/>
    </row>
    <row r="15572">
      <c r="D15572" s="9"/>
      <c r="G15572" s="9"/>
      <c r="J15572" s="11"/>
      <c r="U15572" s="9"/>
      <c r="X15572" s="9"/>
    </row>
    <row r="15573">
      <c r="D15573" s="9"/>
      <c r="G15573" s="9"/>
      <c r="J15573" s="11"/>
      <c r="U15573" s="9"/>
      <c r="X15573" s="9"/>
    </row>
    <row r="15574">
      <c r="D15574" s="9"/>
      <c r="G15574" s="9"/>
      <c r="J15574" s="11"/>
      <c r="U15574" s="9"/>
      <c r="X15574" s="9"/>
    </row>
    <row r="15575">
      <c r="D15575" s="9"/>
      <c r="G15575" s="9"/>
      <c r="J15575" s="11"/>
      <c r="U15575" s="9"/>
      <c r="X15575" s="9"/>
    </row>
    <row r="15576">
      <c r="D15576" s="9"/>
      <c r="G15576" s="9"/>
      <c r="J15576" s="11"/>
      <c r="U15576" s="9"/>
      <c r="X15576" s="9"/>
    </row>
    <row r="15577">
      <c r="D15577" s="9"/>
      <c r="G15577" s="9"/>
      <c r="J15577" s="11"/>
      <c r="U15577" s="9"/>
      <c r="X15577" s="9"/>
    </row>
    <row r="15578">
      <c r="D15578" s="9"/>
      <c r="G15578" s="9"/>
      <c r="J15578" s="11"/>
      <c r="U15578" s="9"/>
      <c r="X15578" s="9"/>
    </row>
    <row r="15579">
      <c r="D15579" s="9"/>
      <c r="G15579" s="9"/>
      <c r="J15579" s="11"/>
      <c r="U15579" s="9"/>
      <c r="X15579" s="9"/>
    </row>
    <row r="15580">
      <c r="D15580" s="9"/>
      <c r="G15580" s="9"/>
      <c r="J15580" s="11"/>
      <c r="U15580" s="9"/>
      <c r="X15580" s="9"/>
    </row>
    <row r="15581">
      <c r="D15581" s="9"/>
      <c r="G15581" s="9"/>
      <c r="J15581" s="11"/>
      <c r="U15581" s="9"/>
      <c r="X15581" s="9"/>
    </row>
    <row r="15582">
      <c r="D15582" s="9"/>
      <c r="G15582" s="9"/>
      <c r="J15582" s="11"/>
      <c r="U15582" s="9"/>
      <c r="X15582" s="9"/>
    </row>
    <row r="15583">
      <c r="D15583" s="9"/>
      <c r="G15583" s="9"/>
      <c r="J15583" s="11"/>
      <c r="U15583" s="9"/>
      <c r="X15583" s="9"/>
    </row>
    <row r="15584">
      <c r="D15584" s="9"/>
      <c r="G15584" s="9"/>
      <c r="J15584" s="11"/>
      <c r="U15584" s="9"/>
      <c r="X15584" s="9"/>
    </row>
    <row r="15585">
      <c r="D15585" s="9"/>
      <c r="G15585" s="9"/>
      <c r="J15585" s="11"/>
      <c r="U15585" s="9"/>
      <c r="X15585" s="9"/>
    </row>
    <row r="15586">
      <c r="D15586" s="9"/>
      <c r="G15586" s="9"/>
      <c r="J15586" s="11"/>
      <c r="U15586" s="9"/>
      <c r="X15586" s="9"/>
    </row>
    <row r="15587">
      <c r="D15587" s="9"/>
      <c r="G15587" s="9"/>
      <c r="J15587" s="11"/>
      <c r="U15587" s="9"/>
      <c r="X15587" s="9"/>
    </row>
    <row r="15588">
      <c r="D15588" s="9"/>
      <c r="G15588" s="9"/>
      <c r="J15588" s="11"/>
      <c r="U15588" s="9"/>
      <c r="X15588" s="9"/>
    </row>
    <row r="15589">
      <c r="D15589" s="9"/>
      <c r="G15589" s="9"/>
      <c r="J15589" s="11"/>
      <c r="U15589" s="9"/>
      <c r="X15589" s="9"/>
    </row>
    <row r="15590">
      <c r="D15590" s="9"/>
      <c r="G15590" s="9"/>
      <c r="J15590" s="11"/>
      <c r="U15590" s="9"/>
      <c r="X15590" s="9"/>
    </row>
    <row r="15591">
      <c r="D15591" s="9"/>
      <c r="G15591" s="9"/>
      <c r="J15591" s="11"/>
      <c r="U15591" s="9"/>
      <c r="X15591" s="9"/>
    </row>
    <row r="15592">
      <c r="D15592" s="9"/>
      <c r="G15592" s="9"/>
      <c r="J15592" s="11"/>
      <c r="U15592" s="9"/>
      <c r="X15592" s="9"/>
    </row>
    <row r="15593">
      <c r="D15593" s="9"/>
      <c r="G15593" s="9"/>
      <c r="J15593" s="11"/>
      <c r="U15593" s="9"/>
      <c r="X15593" s="9"/>
    </row>
    <row r="15594">
      <c r="D15594" s="9"/>
      <c r="G15594" s="9"/>
      <c r="J15594" s="11"/>
      <c r="U15594" s="9"/>
      <c r="X15594" s="9"/>
    </row>
    <row r="15595">
      <c r="D15595" s="9"/>
      <c r="G15595" s="9"/>
      <c r="J15595" s="11"/>
      <c r="U15595" s="9"/>
      <c r="X15595" s="9"/>
    </row>
    <row r="15596">
      <c r="D15596" s="9"/>
      <c r="G15596" s="9"/>
      <c r="J15596" s="11"/>
      <c r="U15596" s="9"/>
      <c r="X15596" s="9"/>
    </row>
    <row r="15597">
      <c r="D15597" s="9"/>
      <c r="G15597" s="9"/>
      <c r="J15597" s="11"/>
      <c r="U15597" s="9"/>
      <c r="X15597" s="9"/>
    </row>
    <row r="15598">
      <c r="D15598" s="9"/>
      <c r="G15598" s="9"/>
      <c r="J15598" s="11"/>
      <c r="U15598" s="9"/>
      <c r="X15598" s="9"/>
    </row>
    <row r="15599">
      <c r="D15599" s="9"/>
      <c r="G15599" s="9"/>
      <c r="J15599" s="11"/>
      <c r="U15599" s="9"/>
      <c r="X15599" s="9"/>
    </row>
    <row r="15600">
      <c r="D15600" s="9"/>
      <c r="G15600" s="9"/>
      <c r="J15600" s="11"/>
      <c r="U15600" s="9"/>
      <c r="X15600" s="9"/>
    </row>
    <row r="15601">
      <c r="D15601" s="9"/>
      <c r="G15601" s="9"/>
      <c r="J15601" s="11"/>
      <c r="U15601" s="9"/>
      <c r="X15601" s="9"/>
    </row>
    <row r="15602">
      <c r="D15602" s="9"/>
      <c r="G15602" s="9"/>
      <c r="J15602" s="11"/>
      <c r="U15602" s="9"/>
      <c r="X15602" s="9"/>
    </row>
    <row r="15603">
      <c r="D15603" s="9"/>
      <c r="G15603" s="9"/>
      <c r="J15603" s="11"/>
      <c r="U15603" s="9"/>
      <c r="X15603" s="9"/>
    </row>
    <row r="15604">
      <c r="D15604" s="9"/>
      <c r="G15604" s="9"/>
      <c r="J15604" s="11"/>
      <c r="U15604" s="9"/>
      <c r="X15604" s="9"/>
    </row>
    <row r="15605">
      <c r="D15605" s="9"/>
      <c r="G15605" s="9"/>
      <c r="J15605" s="11"/>
      <c r="U15605" s="9"/>
      <c r="X15605" s="9"/>
    </row>
    <row r="15606">
      <c r="D15606" s="9"/>
      <c r="G15606" s="9"/>
      <c r="J15606" s="11"/>
      <c r="U15606" s="9"/>
      <c r="X15606" s="9"/>
    </row>
    <row r="15607">
      <c r="D15607" s="9"/>
      <c r="G15607" s="9"/>
      <c r="J15607" s="11"/>
      <c r="U15607" s="9"/>
      <c r="X15607" s="9"/>
    </row>
    <row r="15608">
      <c r="D15608" s="9"/>
      <c r="G15608" s="9"/>
      <c r="J15608" s="11"/>
      <c r="U15608" s="9"/>
      <c r="X15608" s="9"/>
    </row>
    <row r="15609">
      <c r="D15609" s="9"/>
      <c r="G15609" s="9"/>
      <c r="J15609" s="11"/>
      <c r="U15609" s="9"/>
      <c r="X15609" s="9"/>
    </row>
    <row r="15610">
      <c r="D15610" s="9"/>
      <c r="G15610" s="9"/>
      <c r="J15610" s="11"/>
      <c r="U15610" s="9"/>
      <c r="X15610" s="9"/>
    </row>
    <row r="15611">
      <c r="D15611" s="9"/>
      <c r="G15611" s="9"/>
      <c r="J15611" s="11"/>
      <c r="U15611" s="9"/>
      <c r="X15611" s="9"/>
    </row>
    <row r="15612">
      <c r="D15612" s="9"/>
      <c r="G15612" s="9"/>
      <c r="J15612" s="11"/>
      <c r="U15612" s="9"/>
      <c r="X15612" s="9"/>
    </row>
    <row r="15613">
      <c r="D15613" s="9"/>
      <c r="G15613" s="9"/>
      <c r="J15613" s="11"/>
      <c r="U15613" s="9"/>
      <c r="X15613" s="9"/>
    </row>
    <row r="15614">
      <c r="D15614" s="9"/>
      <c r="G15614" s="9"/>
      <c r="J15614" s="11"/>
      <c r="U15614" s="9"/>
      <c r="X15614" s="9"/>
    </row>
    <row r="15615">
      <c r="D15615" s="9"/>
      <c r="G15615" s="9"/>
      <c r="J15615" s="11"/>
      <c r="U15615" s="9"/>
      <c r="X15615" s="9"/>
    </row>
    <row r="15616">
      <c r="D15616" s="9"/>
      <c r="G15616" s="9"/>
      <c r="J15616" s="11"/>
      <c r="U15616" s="9"/>
      <c r="X15616" s="9"/>
    </row>
    <row r="15617">
      <c r="D15617" s="9"/>
      <c r="G15617" s="9"/>
      <c r="J15617" s="11"/>
      <c r="U15617" s="9"/>
      <c r="X15617" s="9"/>
    </row>
    <row r="15618">
      <c r="D15618" s="9"/>
      <c r="G15618" s="9"/>
      <c r="J15618" s="11"/>
      <c r="U15618" s="9"/>
      <c r="X15618" s="9"/>
    </row>
    <row r="15619">
      <c r="D15619" s="9"/>
      <c r="G15619" s="9"/>
      <c r="J15619" s="11"/>
      <c r="U15619" s="9"/>
      <c r="X15619" s="9"/>
    </row>
    <row r="15620">
      <c r="D15620" s="9"/>
      <c r="G15620" s="9"/>
      <c r="J15620" s="11"/>
      <c r="U15620" s="9"/>
      <c r="X15620" s="9"/>
    </row>
    <row r="15621">
      <c r="D15621" s="9"/>
      <c r="G15621" s="9"/>
      <c r="J15621" s="11"/>
      <c r="U15621" s="9"/>
      <c r="X15621" s="9"/>
    </row>
    <row r="15622">
      <c r="D15622" s="9"/>
      <c r="G15622" s="9"/>
      <c r="J15622" s="11"/>
      <c r="U15622" s="9"/>
      <c r="X15622" s="9"/>
    </row>
    <row r="15623">
      <c r="D15623" s="9"/>
      <c r="G15623" s="9"/>
      <c r="J15623" s="11"/>
      <c r="U15623" s="9"/>
      <c r="X15623" s="9"/>
    </row>
    <row r="15624">
      <c r="D15624" s="9"/>
      <c r="G15624" s="9"/>
      <c r="J15624" s="11"/>
      <c r="U15624" s="9"/>
      <c r="X15624" s="9"/>
    </row>
    <row r="15625">
      <c r="D15625" s="9"/>
      <c r="G15625" s="9"/>
      <c r="J15625" s="11"/>
      <c r="U15625" s="9"/>
      <c r="X15625" s="9"/>
    </row>
    <row r="15626">
      <c r="D15626" s="9"/>
      <c r="G15626" s="9"/>
      <c r="J15626" s="11"/>
      <c r="U15626" s="9"/>
      <c r="X15626" s="9"/>
    </row>
    <row r="15627">
      <c r="D15627" s="9"/>
      <c r="G15627" s="9"/>
      <c r="J15627" s="11"/>
      <c r="U15627" s="9"/>
      <c r="X15627" s="9"/>
    </row>
    <row r="15628">
      <c r="D15628" s="9"/>
      <c r="G15628" s="9"/>
      <c r="J15628" s="11"/>
      <c r="U15628" s="9"/>
      <c r="X15628" s="9"/>
    </row>
    <row r="15629">
      <c r="D15629" s="9"/>
      <c r="G15629" s="9"/>
      <c r="J15629" s="11"/>
      <c r="U15629" s="9"/>
      <c r="X15629" s="9"/>
    </row>
    <row r="15630">
      <c r="D15630" s="9"/>
      <c r="G15630" s="9"/>
      <c r="J15630" s="11"/>
      <c r="U15630" s="9"/>
      <c r="X15630" s="9"/>
    </row>
    <row r="15631">
      <c r="D15631" s="9"/>
      <c r="G15631" s="9"/>
      <c r="J15631" s="11"/>
      <c r="U15631" s="9"/>
      <c r="X15631" s="9"/>
    </row>
    <row r="15632">
      <c r="D15632" s="9"/>
      <c r="G15632" s="9"/>
      <c r="J15632" s="11"/>
      <c r="U15632" s="9"/>
      <c r="X15632" s="9"/>
    </row>
    <row r="15633">
      <c r="D15633" s="9"/>
      <c r="G15633" s="9"/>
      <c r="J15633" s="11"/>
      <c r="U15633" s="9"/>
      <c r="X15633" s="9"/>
    </row>
    <row r="15634">
      <c r="D15634" s="9"/>
      <c r="G15634" s="9"/>
      <c r="J15634" s="11"/>
      <c r="U15634" s="9"/>
      <c r="X15634" s="9"/>
    </row>
    <row r="15635">
      <c r="D15635" s="9"/>
      <c r="G15635" s="9"/>
      <c r="J15635" s="11"/>
      <c r="U15635" s="9"/>
      <c r="X15635" s="9"/>
    </row>
    <row r="15636">
      <c r="D15636" s="9"/>
      <c r="G15636" s="9"/>
      <c r="J15636" s="11"/>
      <c r="U15636" s="9"/>
      <c r="X15636" s="9"/>
    </row>
    <row r="15637">
      <c r="D15637" s="9"/>
      <c r="G15637" s="9"/>
      <c r="J15637" s="11"/>
      <c r="U15637" s="9"/>
      <c r="X15637" s="9"/>
    </row>
    <row r="15638">
      <c r="D15638" s="9"/>
      <c r="G15638" s="9"/>
      <c r="J15638" s="11"/>
      <c r="U15638" s="9"/>
      <c r="X15638" s="9"/>
    </row>
    <row r="15639">
      <c r="D15639" s="9"/>
      <c r="G15639" s="9"/>
      <c r="J15639" s="11"/>
      <c r="U15639" s="9"/>
      <c r="X15639" s="9"/>
    </row>
    <row r="15640">
      <c r="D15640" s="9"/>
      <c r="G15640" s="9"/>
      <c r="J15640" s="11"/>
      <c r="U15640" s="9"/>
      <c r="X15640" s="9"/>
    </row>
    <row r="15641">
      <c r="D15641" s="9"/>
      <c r="G15641" s="9"/>
      <c r="J15641" s="11"/>
      <c r="U15641" s="9"/>
      <c r="X15641" s="9"/>
    </row>
    <row r="15642">
      <c r="D15642" s="9"/>
      <c r="G15642" s="9"/>
      <c r="J15642" s="11"/>
      <c r="U15642" s="9"/>
      <c r="X15642" s="9"/>
    </row>
    <row r="15643">
      <c r="D15643" s="9"/>
      <c r="G15643" s="9"/>
      <c r="J15643" s="11"/>
      <c r="U15643" s="9"/>
      <c r="X15643" s="9"/>
    </row>
    <row r="15644">
      <c r="D15644" s="9"/>
      <c r="G15644" s="9"/>
      <c r="J15644" s="11"/>
      <c r="U15644" s="9"/>
      <c r="X15644" s="9"/>
    </row>
    <row r="15645">
      <c r="D15645" s="9"/>
      <c r="G15645" s="9"/>
      <c r="J15645" s="11"/>
      <c r="U15645" s="9"/>
      <c r="X15645" s="9"/>
    </row>
    <row r="15646">
      <c r="D15646" s="9"/>
      <c r="G15646" s="9"/>
      <c r="J15646" s="11"/>
      <c r="U15646" s="9"/>
      <c r="X15646" s="9"/>
    </row>
    <row r="15647">
      <c r="D15647" s="9"/>
      <c r="G15647" s="9"/>
      <c r="J15647" s="11"/>
      <c r="U15647" s="9"/>
      <c r="X15647" s="9"/>
    </row>
    <row r="15648">
      <c r="D15648" s="9"/>
      <c r="G15648" s="9"/>
      <c r="J15648" s="11"/>
      <c r="U15648" s="9"/>
      <c r="X15648" s="9"/>
    </row>
    <row r="15649">
      <c r="D15649" s="9"/>
      <c r="G15649" s="9"/>
      <c r="J15649" s="11"/>
      <c r="U15649" s="9"/>
      <c r="X15649" s="9"/>
    </row>
    <row r="15650">
      <c r="D15650" s="9"/>
      <c r="G15650" s="9"/>
      <c r="J15650" s="11"/>
      <c r="U15650" s="9"/>
      <c r="X15650" s="9"/>
    </row>
    <row r="15651">
      <c r="D15651" s="9"/>
      <c r="G15651" s="9"/>
      <c r="J15651" s="11"/>
      <c r="U15651" s="9"/>
      <c r="X15651" s="9"/>
    </row>
    <row r="15652">
      <c r="D15652" s="9"/>
      <c r="G15652" s="9"/>
      <c r="J15652" s="11"/>
      <c r="U15652" s="9"/>
      <c r="X15652" s="9"/>
    </row>
    <row r="15653">
      <c r="D15653" s="9"/>
      <c r="G15653" s="9"/>
      <c r="J15653" s="11"/>
      <c r="U15653" s="9"/>
      <c r="X15653" s="9"/>
    </row>
    <row r="15654">
      <c r="D15654" s="9"/>
      <c r="G15654" s="9"/>
      <c r="J15654" s="11"/>
      <c r="U15654" s="9"/>
      <c r="X15654" s="9"/>
    </row>
    <row r="15655">
      <c r="D15655" s="9"/>
      <c r="G15655" s="9"/>
      <c r="J15655" s="11"/>
      <c r="U15655" s="9"/>
      <c r="X15655" s="9"/>
    </row>
    <row r="15656">
      <c r="D15656" s="9"/>
      <c r="G15656" s="9"/>
      <c r="J15656" s="11"/>
      <c r="U15656" s="9"/>
      <c r="X15656" s="9"/>
    </row>
    <row r="15657">
      <c r="D15657" s="9"/>
      <c r="G15657" s="9"/>
      <c r="J15657" s="11"/>
      <c r="U15657" s="9"/>
      <c r="X15657" s="9"/>
    </row>
    <row r="15658">
      <c r="D15658" s="9"/>
      <c r="G15658" s="9"/>
      <c r="J15658" s="11"/>
      <c r="U15658" s="9"/>
      <c r="X15658" s="9"/>
    </row>
    <row r="15659">
      <c r="D15659" s="9"/>
      <c r="G15659" s="9"/>
      <c r="J15659" s="11"/>
      <c r="U15659" s="9"/>
      <c r="X15659" s="9"/>
    </row>
    <row r="15660">
      <c r="D15660" s="9"/>
      <c r="G15660" s="9"/>
      <c r="J15660" s="11"/>
      <c r="U15660" s="9"/>
      <c r="X15660" s="9"/>
    </row>
    <row r="15661">
      <c r="D15661" s="9"/>
      <c r="G15661" s="9"/>
      <c r="J15661" s="11"/>
      <c r="U15661" s="9"/>
      <c r="X15661" s="9"/>
    </row>
    <row r="15662">
      <c r="D15662" s="9"/>
      <c r="G15662" s="9"/>
      <c r="J15662" s="11"/>
      <c r="U15662" s="9"/>
      <c r="X15662" s="9"/>
    </row>
    <row r="15663">
      <c r="D15663" s="9"/>
      <c r="G15663" s="9"/>
      <c r="J15663" s="11"/>
      <c r="U15663" s="9"/>
      <c r="X15663" s="9"/>
    </row>
    <row r="15664">
      <c r="D15664" s="9"/>
      <c r="G15664" s="9"/>
      <c r="J15664" s="11"/>
      <c r="U15664" s="9"/>
      <c r="X15664" s="9"/>
    </row>
    <row r="15665">
      <c r="D15665" s="9"/>
      <c r="G15665" s="9"/>
      <c r="J15665" s="11"/>
      <c r="U15665" s="9"/>
      <c r="X15665" s="9"/>
    </row>
    <row r="15666">
      <c r="D15666" s="9"/>
      <c r="G15666" s="9"/>
      <c r="J15666" s="11"/>
      <c r="U15666" s="9"/>
      <c r="X15666" s="9"/>
    </row>
    <row r="15667">
      <c r="D15667" s="9"/>
      <c r="G15667" s="9"/>
      <c r="J15667" s="11"/>
      <c r="U15667" s="9"/>
      <c r="X15667" s="9"/>
    </row>
    <row r="15668">
      <c r="D15668" s="9"/>
      <c r="G15668" s="9"/>
      <c r="J15668" s="11"/>
      <c r="U15668" s="9"/>
      <c r="X15668" s="9"/>
    </row>
    <row r="15669">
      <c r="D15669" s="9"/>
      <c r="G15669" s="9"/>
      <c r="J15669" s="11"/>
      <c r="U15669" s="9"/>
      <c r="X15669" s="9"/>
    </row>
    <row r="15670">
      <c r="D15670" s="9"/>
      <c r="G15670" s="9"/>
      <c r="J15670" s="11"/>
      <c r="U15670" s="9"/>
      <c r="X15670" s="9"/>
    </row>
    <row r="15671">
      <c r="D15671" s="9"/>
      <c r="G15671" s="9"/>
      <c r="J15671" s="11"/>
      <c r="U15671" s="9"/>
      <c r="X15671" s="9"/>
    </row>
    <row r="15672">
      <c r="D15672" s="9"/>
      <c r="G15672" s="9"/>
      <c r="J15672" s="11"/>
      <c r="U15672" s="9"/>
      <c r="X15672" s="9"/>
    </row>
    <row r="15673">
      <c r="D15673" s="9"/>
      <c r="G15673" s="9"/>
      <c r="J15673" s="11"/>
      <c r="U15673" s="9"/>
      <c r="X15673" s="9"/>
    </row>
    <row r="15674">
      <c r="D15674" s="9"/>
      <c r="G15674" s="9"/>
      <c r="J15674" s="11"/>
      <c r="U15674" s="9"/>
      <c r="X15674" s="9"/>
    </row>
    <row r="15675">
      <c r="D15675" s="9"/>
      <c r="G15675" s="9"/>
      <c r="J15675" s="11"/>
      <c r="U15675" s="9"/>
      <c r="X15675" s="9"/>
    </row>
    <row r="15676">
      <c r="D15676" s="9"/>
      <c r="G15676" s="9"/>
      <c r="J15676" s="11"/>
      <c r="U15676" s="9"/>
      <c r="X15676" s="9"/>
    </row>
    <row r="15677">
      <c r="D15677" s="9"/>
      <c r="G15677" s="9"/>
      <c r="J15677" s="11"/>
      <c r="U15677" s="9"/>
      <c r="X15677" s="9"/>
    </row>
    <row r="15678">
      <c r="D15678" s="9"/>
      <c r="G15678" s="9"/>
      <c r="J15678" s="11"/>
      <c r="U15678" s="9"/>
      <c r="X15678" s="9"/>
    </row>
    <row r="15679">
      <c r="D15679" s="9"/>
      <c r="G15679" s="9"/>
      <c r="J15679" s="11"/>
      <c r="U15679" s="9"/>
      <c r="X15679" s="9"/>
    </row>
    <row r="15680">
      <c r="D15680" s="9"/>
      <c r="G15680" s="9"/>
      <c r="J15680" s="11"/>
      <c r="U15680" s="9"/>
      <c r="X15680" s="9"/>
    </row>
    <row r="15681">
      <c r="D15681" s="9"/>
      <c r="G15681" s="9"/>
      <c r="J15681" s="11"/>
      <c r="U15681" s="9"/>
      <c r="X15681" s="9"/>
    </row>
    <row r="15682">
      <c r="D15682" s="9"/>
      <c r="G15682" s="9"/>
      <c r="J15682" s="11"/>
      <c r="U15682" s="9"/>
      <c r="X15682" s="9"/>
    </row>
    <row r="15683">
      <c r="D15683" s="9"/>
      <c r="G15683" s="9"/>
      <c r="J15683" s="11"/>
      <c r="U15683" s="9"/>
      <c r="X15683" s="9"/>
    </row>
    <row r="15684">
      <c r="D15684" s="9"/>
      <c r="G15684" s="9"/>
      <c r="J15684" s="11"/>
      <c r="U15684" s="9"/>
      <c r="X15684" s="9"/>
    </row>
    <row r="15685">
      <c r="D15685" s="9"/>
      <c r="G15685" s="9"/>
      <c r="J15685" s="11"/>
      <c r="U15685" s="9"/>
      <c r="X15685" s="9"/>
    </row>
    <row r="15686">
      <c r="D15686" s="9"/>
      <c r="G15686" s="9"/>
      <c r="J15686" s="11"/>
      <c r="U15686" s="9"/>
      <c r="X15686" s="9"/>
    </row>
    <row r="15687">
      <c r="D15687" s="9"/>
      <c r="G15687" s="9"/>
      <c r="J15687" s="11"/>
      <c r="U15687" s="9"/>
      <c r="X15687" s="9"/>
    </row>
    <row r="15688">
      <c r="D15688" s="9"/>
      <c r="G15688" s="9"/>
      <c r="J15688" s="11"/>
      <c r="U15688" s="9"/>
      <c r="X15688" s="9"/>
    </row>
    <row r="15689">
      <c r="D15689" s="9"/>
      <c r="G15689" s="9"/>
      <c r="J15689" s="11"/>
      <c r="U15689" s="9"/>
      <c r="X15689" s="9"/>
    </row>
    <row r="15690">
      <c r="D15690" s="9"/>
      <c r="G15690" s="9"/>
      <c r="J15690" s="11"/>
      <c r="U15690" s="9"/>
      <c r="X15690" s="9"/>
    </row>
    <row r="15691">
      <c r="D15691" s="9"/>
      <c r="G15691" s="9"/>
      <c r="J15691" s="11"/>
      <c r="U15691" s="9"/>
      <c r="X15691" s="9"/>
    </row>
    <row r="15692">
      <c r="D15692" s="9"/>
      <c r="G15692" s="9"/>
      <c r="J15692" s="11"/>
      <c r="U15692" s="9"/>
      <c r="X15692" s="9"/>
    </row>
    <row r="15693">
      <c r="D15693" s="9"/>
      <c r="G15693" s="9"/>
      <c r="J15693" s="11"/>
      <c r="U15693" s="9"/>
      <c r="X15693" s="9"/>
    </row>
    <row r="15694">
      <c r="D15694" s="9"/>
      <c r="G15694" s="9"/>
      <c r="J15694" s="11"/>
      <c r="U15694" s="9"/>
      <c r="X15694" s="9"/>
    </row>
    <row r="15695">
      <c r="D15695" s="9"/>
      <c r="G15695" s="9"/>
      <c r="J15695" s="11"/>
      <c r="U15695" s="9"/>
      <c r="X15695" s="9"/>
    </row>
    <row r="15696">
      <c r="D15696" s="9"/>
      <c r="G15696" s="9"/>
      <c r="J15696" s="11"/>
      <c r="U15696" s="9"/>
      <c r="X15696" s="9"/>
    </row>
    <row r="15697">
      <c r="D15697" s="9"/>
      <c r="G15697" s="9"/>
      <c r="J15697" s="11"/>
      <c r="U15697" s="9"/>
      <c r="X15697" s="9"/>
    </row>
    <row r="15698">
      <c r="D15698" s="9"/>
      <c r="G15698" s="9"/>
      <c r="J15698" s="11"/>
      <c r="U15698" s="9"/>
      <c r="X15698" s="9"/>
    </row>
    <row r="15699">
      <c r="D15699" s="9"/>
      <c r="G15699" s="9"/>
      <c r="J15699" s="11"/>
      <c r="U15699" s="9"/>
      <c r="X15699" s="9"/>
    </row>
    <row r="15700">
      <c r="D15700" s="9"/>
      <c r="G15700" s="9"/>
      <c r="J15700" s="11"/>
      <c r="U15700" s="9"/>
      <c r="X15700" s="9"/>
    </row>
    <row r="15701">
      <c r="D15701" s="9"/>
      <c r="G15701" s="9"/>
      <c r="J15701" s="11"/>
      <c r="U15701" s="9"/>
      <c r="X15701" s="9"/>
    </row>
    <row r="15702">
      <c r="D15702" s="9"/>
      <c r="G15702" s="9"/>
      <c r="J15702" s="11"/>
      <c r="U15702" s="9"/>
      <c r="X15702" s="9"/>
    </row>
    <row r="15703">
      <c r="D15703" s="9"/>
      <c r="G15703" s="9"/>
      <c r="J15703" s="11"/>
      <c r="U15703" s="9"/>
      <c r="X15703" s="9"/>
    </row>
    <row r="15704">
      <c r="D15704" s="9"/>
      <c r="G15704" s="9"/>
      <c r="J15704" s="11"/>
      <c r="U15704" s="9"/>
      <c r="X15704" s="9"/>
    </row>
    <row r="15705">
      <c r="D15705" s="9"/>
      <c r="G15705" s="9"/>
      <c r="J15705" s="11"/>
      <c r="U15705" s="9"/>
      <c r="X15705" s="9"/>
    </row>
    <row r="15706">
      <c r="D15706" s="9"/>
      <c r="G15706" s="9"/>
      <c r="J15706" s="11"/>
      <c r="U15706" s="9"/>
      <c r="X15706" s="9"/>
    </row>
    <row r="15707">
      <c r="D15707" s="9"/>
      <c r="G15707" s="9"/>
      <c r="J15707" s="11"/>
      <c r="U15707" s="9"/>
      <c r="X15707" s="9"/>
    </row>
    <row r="15708">
      <c r="D15708" s="9"/>
      <c r="G15708" s="9"/>
      <c r="J15708" s="11"/>
      <c r="U15708" s="9"/>
      <c r="X15708" s="9"/>
    </row>
    <row r="15709">
      <c r="D15709" s="9"/>
      <c r="G15709" s="9"/>
      <c r="J15709" s="11"/>
      <c r="U15709" s="9"/>
      <c r="X15709" s="9"/>
    </row>
    <row r="15710">
      <c r="D15710" s="9"/>
      <c r="G15710" s="9"/>
      <c r="J15710" s="11"/>
      <c r="U15710" s="9"/>
      <c r="X15710" s="9"/>
    </row>
    <row r="15711">
      <c r="D15711" s="9"/>
      <c r="G15711" s="9"/>
      <c r="J15711" s="11"/>
      <c r="U15711" s="9"/>
      <c r="X15711" s="9"/>
    </row>
    <row r="15712">
      <c r="D15712" s="9"/>
      <c r="G15712" s="9"/>
      <c r="J15712" s="11"/>
      <c r="U15712" s="9"/>
      <c r="X15712" s="9"/>
    </row>
    <row r="15713">
      <c r="D15713" s="9"/>
      <c r="G15713" s="9"/>
      <c r="J15713" s="11"/>
      <c r="U15713" s="9"/>
      <c r="X15713" s="9"/>
    </row>
    <row r="15714">
      <c r="D15714" s="9"/>
      <c r="G15714" s="9"/>
      <c r="J15714" s="11"/>
      <c r="U15714" s="9"/>
      <c r="X15714" s="9"/>
    </row>
    <row r="15715">
      <c r="D15715" s="9"/>
      <c r="G15715" s="9"/>
      <c r="J15715" s="11"/>
      <c r="U15715" s="9"/>
      <c r="X15715" s="9"/>
    </row>
    <row r="15716">
      <c r="D15716" s="9"/>
      <c r="G15716" s="9"/>
      <c r="J15716" s="11"/>
      <c r="U15716" s="9"/>
      <c r="X15716" s="9"/>
    </row>
    <row r="15717">
      <c r="D15717" s="9"/>
      <c r="G15717" s="9"/>
      <c r="J15717" s="11"/>
      <c r="U15717" s="9"/>
      <c r="X15717" s="9"/>
    </row>
    <row r="15718">
      <c r="D15718" s="9"/>
      <c r="G15718" s="9"/>
      <c r="J15718" s="11"/>
      <c r="U15718" s="9"/>
      <c r="X15718" s="9"/>
    </row>
    <row r="15719">
      <c r="D15719" s="9"/>
      <c r="G15719" s="9"/>
      <c r="J15719" s="11"/>
      <c r="U15719" s="9"/>
      <c r="X15719" s="9"/>
    </row>
    <row r="15720">
      <c r="D15720" s="9"/>
      <c r="G15720" s="9"/>
      <c r="J15720" s="11"/>
      <c r="U15720" s="9"/>
      <c r="X15720" s="9"/>
    </row>
    <row r="15721">
      <c r="D15721" s="9"/>
      <c r="G15721" s="9"/>
      <c r="J15721" s="11"/>
      <c r="U15721" s="9"/>
      <c r="X15721" s="9"/>
    </row>
    <row r="15722">
      <c r="D15722" s="9"/>
      <c r="G15722" s="9"/>
      <c r="J15722" s="11"/>
      <c r="U15722" s="9"/>
      <c r="X15722" s="9"/>
    </row>
    <row r="15723">
      <c r="D15723" s="9"/>
      <c r="G15723" s="9"/>
      <c r="J15723" s="11"/>
      <c r="U15723" s="9"/>
      <c r="X15723" s="9"/>
    </row>
    <row r="15724">
      <c r="D15724" s="9"/>
      <c r="G15724" s="9"/>
      <c r="J15724" s="11"/>
      <c r="U15724" s="9"/>
      <c r="X15724" s="9"/>
    </row>
    <row r="15725">
      <c r="D15725" s="9"/>
      <c r="G15725" s="9"/>
      <c r="J15725" s="11"/>
      <c r="U15725" s="9"/>
      <c r="X15725" s="9"/>
    </row>
    <row r="15726">
      <c r="D15726" s="9"/>
      <c r="G15726" s="9"/>
      <c r="J15726" s="11"/>
      <c r="U15726" s="9"/>
      <c r="X15726" s="9"/>
    </row>
    <row r="15727">
      <c r="D15727" s="9"/>
      <c r="G15727" s="9"/>
      <c r="J15727" s="11"/>
      <c r="U15727" s="9"/>
      <c r="X15727" s="9"/>
    </row>
    <row r="15728">
      <c r="D15728" s="9"/>
      <c r="G15728" s="9"/>
      <c r="J15728" s="11"/>
      <c r="U15728" s="9"/>
      <c r="X15728" s="9"/>
    </row>
    <row r="15729">
      <c r="D15729" s="9"/>
      <c r="G15729" s="9"/>
      <c r="J15729" s="11"/>
      <c r="U15729" s="9"/>
      <c r="X15729" s="9"/>
    </row>
    <row r="15730">
      <c r="D15730" s="9"/>
      <c r="G15730" s="9"/>
      <c r="J15730" s="11"/>
      <c r="U15730" s="9"/>
      <c r="X15730" s="9"/>
    </row>
    <row r="15731">
      <c r="D15731" s="9"/>
      <c r="G15731" s="9"/>
      <c r="J15731" s="11"/>
      <c r="U15731" s="9"/>
      <c r="X15731" s="9"/>
    </row>
    <row r="15732">
      <c r="D15732" s="9"/>
      <c r="G15732" s="9"/>
      <c r="J15732" s="11"/>
      <c r="U15732" s="9"/>
      <c r="X15732" s="9"/>
    </row>
    <row r="15733">
      <c r="D15733" s="9"/>
      <c r="G15733" s="9"/>
      <c r="J15733" s="11"/>
      <c r="U15733" s="9"/>
      <c r="X15733" s="9"/>
    </row>
    <row r="15734">
      <c r="D15734" s="9"/>
      <c r="G15734" s="9"/>
      <c r="J15734" s="11"/>
      <c r="U15734" s="9"/>
      <c r="X15734" s="9"/>
    </row>
    <row r="15735">
      <c r="D15735" s="9"/>
      <c r="G15735" s="9"/>
      <c r="J15735" s="11"/>
      <c r="U15735" s="9"/>
      <c r="X15735" s="9"/>
    </row>
    <row r="15736">
      <c r="D15736" s="9"/>
      <c r="G15736" s="9"/>
      <c r="J15736" s="11"/>
      <c r="U15736" s="9"/>
      <c r="X15736" s="9"/>
    </row>
    <row r="15737">
      <c r="D15737" s="9"/>
      <c r="G15737" s="9"/>
      <c r="J15737" s="11"/>
      <c r="U15737" s="9"/>
      <c r="X15737" s="9"/>
    </row>
    <row r="15738">
      <c r="D15738" s="9"/>
      <c r="G15738" s="9"/>
      <c r="J15738" s="11"/>
      <c r="U15738" s="9"/>
      <c r="X15738" s="9"/>
    </row>
    <row r="15739">
      <c r="D15739" s="9"/>
      <c r="G15739" s="9"/>
      <c r="J15739" s="11"/>
      <c r="U15739" s="9"/>
      <c r="X15739" s="9"/>
    </row>
    <row r="15740">
      <c r="D15740" s="9"/>
      <c r="G15740" s="9"/>
      <c r="J15740" s="11"/>
      <c r="U15740" s="9"/>
      <c r="X15740" s="9"/>
    </row>
    <row r="15741">
      <c r="D15741" s="9"/>
      <c r="G15741" s="9"/>
      <c r="J15741" s="11"/>
      <c r="U15741" s="9"/>
      <c r="X15741" s="9"/>
    </row>
    <row r="15742">
      <c r="D15742" s="9"/>
      <c r="G15742" s="9"/>
      <c r="J15742" s="11"/>
      <c r="U15742" s="9"/>
      <c r="X15742" s="9"/>
    </row>
    <row r="15743">
      <c r="D15743" s="9"/>
      <c r="G15743" s="9"/>
      <c r="J15743" s="11"/>
      <c r="U15743" s="9"/>
      <c r="X15743" s="9"/>
    </row>
    <row r="15744">
      <c r="D15744" s="9"/>
      <c r="G15744" s="9"/>
      <c r="J15744" s="11"/>
      <c r="U15744" s="9"/>
      <c r="X15744" s="9"/>
    </row>
    <row r="15745">
      <c r="D15745" s="9"/>
      <c r="G15745" s="9"/>
      <c r="J15745" s="11"/>
      <c r="U15745" s="9"/>
      <c r="X15745" s="9"/>
    </row>
    <row r="15746">
      <c r="D15746" s="9"/>
      <c r="G15746" s="9"/>
      <c r="J15746" s="11"/>
      <c r="U15746" s="9"/>
      <c r="X15746" s="9"/>
    </row>
    <row r="15747">
      <c r="D15747" s="9"/>
      <c r="G15747" s="9"/>
      <c r="J15747" s="11"/>
      <c r="U15747" s="9"/>
      <c r="X15747" s="9"/>
    </row>
    <row r="15748">
      <c r="D15748" s="9"/>
      <c r="G15748" s="9"/>
      <c r="J15748" s="11"/>
      <c r="U15748" s="9"/>
      <c r="X15748" s="9"/>
    </row>
    <row r="15749">
      <c r="D15749" s="9"/>
      <c r="G15749" s="9"/>
      <c r="J15749" s="11"/>
      <c r="U15749" s="9"/>
      <c r="X15749" s="9"/>
    </row>
    <row r="15750">
      <c r="D15750" s="9"/>
      <c r="G15750" s="9"/>
      <c r="J15750" s="11"/>
      <c r="U15750" s="9"/>
      <c r="X15750" s="9"/>
    </row>
    <row r="15751">
      <c r="D15751" s="9"/>
      <c r="G15751" s="9"/>
      <c r="J15751" s="11"/>
      <c r="U15751" s="9"/>
      <c r="X15751" s="9"/>
    </row>
    <row r="15752">
      <c r="D15752" s="9"/>
      <c r="G15752" s="9"/>
      <c r="J15752" s="11"/>
      <c r="U15752" s="9"/>
      <c r="X15752" s="9"/>
    </row>
    <row r="15753">
      <c r="D15753" s="9"/>
      <c r="G15753" s="9"/>
      <c r="J15753" s="11"/>
      <c r="U15753" s="9"/>
      <c r="X15753" s="9"/>
    </row>
    <row r="15754">
      <c r="D15754" s="9"/>
      <c r="G15754" s="9"/>
      <c r="J15754" s="11"/>
      <c r="U15754" s="9"/>
      <c r="X15754" s="9"/>
    </row>
    <row r="15755">
      <c r="D15755" s="9"/>
      <c r="G15755" s="9"/>
      <c r="J15755" s="11"/>
      <c r="U15755" s="9"/>
      <c r="X15755" s="9"/>
    </row>
    <row r="15756">
      <c r="D15756" s="9"/>
      <c r="G15756" s="9"/>
      <c r="J15756" s="11"/>
      <c r="U15756" s="9"/>
      <c r="X15756" s="9"/>
    </row>
    <row r="15757">
      <c r="D15757" s="9"/>
      <c r="G15757" s="9"/>
      <c r="J15757" s="11"/>
      <c r="U15757" s="9"/>
      <c r="X15757" s="9"/>
    </row>
    <row r="15758">
      <c r="D15758" s="9"/>
      <c r="G15758" s="9"/>
      <c r="J15758" s="11"/>
      <c r="U15758" s="9"/>
      <c r="X15758" s="9"/>
    </row>
    <row r="15759">
      <c r="D15759" s="9"/>
      <c r="G15759" s="9"/>
      <c r="J15759" s="11"/>
      <c r="U15759" s="9"/>
      <c r="X15759" s="9"/>
    </row>
    <row r="15760">
      <c r="D15760" s="9"/>
      <c r="G15760" s="9"/>
      <c r="J15760" s="11"/>
      <c r="U15760" s="9"/>
      <c r="X15760" s="9"/>
    </row>
    <row r="15761">
      <c r="D15761" s="9"/>
      <c r="G15761" s="9"/>
      <c r="J15761" s="11"/>
      <c r="U15761" s="9"/>
      <c r="X15761" s="9"/>
    </row>
    <row r="15762">
      <c r="D15762" s="9"/>
      <c r="G15762" s="9"/>
      <c r="J15762" s="11"/>
      <c r="U15762" s="9"/>
      <c r="X15762" s="9"/>
    </row>
    <row r="15763">
      <c r="D15763" s="9"/>
      <c r="G15763" s="9"/>
      <c r="J15763" s="11"/>
      <c r="U15763" s="9"/>
      <c r="X15763" s="9"/>
    </row>
    <row r="15764">
      <c r="D15764" s="9"/>
      <c r="G15764" s="9"/>
      <c r="J15764" s="11"/>
      <c r="U15764" s="9"/>
      <c r="X15764" s="9"/>
    </row>
    <row r="15765">
      <c r="D15765" s="9"/>
      <c r="G15765" s="9"/>
      <c r="J15765" s="11"/>
      <c r="U15765" s="9"/>
      <c r="X15765" s="9"/>
    </row>
    <row r="15766">
      <c r="D15766" s="9"/>
      <c r="G15766" s="9"/>
      <c r="J15766" s="11"/>
      <c r="U15766" s="9"/>
      <c r="X15766" s="9"/>
    </row>
    <row r="15767">
      <c r="D15767" s="9"/>
      <c r="G15767" s="9"/>
      <c r="J15767" s="11"/>
      <c r="U15767" s="9"/>
      <c r="X15767" s="9"/>
    </row>
    <row r="15768">
      <c r="D15768" s="9"/>
      <c r="G15768" s="9"/>
      <c r="J15768" s="11"/>
      <c r="U15768" s="9"/>
      <c r="X15768" s="9"/>
    </row>
    <row r="15769">
      <c r="D15769" s="9"/>
      <c r="G15769" s="9"/>
      <c r="J15769" s="11"/>
      <c r="U15769" s="9"/>
      <c r="X15769" s="9"/>
    </row>
    <row r="15770">
      <c r="D15770" s="9"/>
      <c r="G15770" s="9"/>
      <c r="J15770" s="11"/>
      <c r="U15770" s="9"/>
      <c r="X15770" s="9"/>
    </row>
    <row r="15771">
      <c r="D15771" s="9"/>
      <c r="G15771" s="9"/>
      <c r="J15771" s="11"/>
      <c r="U15771" s="9"/>
      <c r="X15771" s="9"/>
    </row>
    <row r="15772">
      <c r="D15772" s="9"/>
      <c r="G15772" s="9"/>
      <c r="J15772" s="11"/>
      <c r="U15772" s="9"/>
      <c r="X15772" s="9"/>
    </row>
    <row r="15773">
      <c r="D15773" s="9"/>
      <c r="G15773" s="9"/>
      <c r="J15773" s="11"/>
      <c r="U15773" s="9"/>
      <c r="X15773" s="9"/>
    </row>
    <row r="15774">
      <c r="D15774" s="9"/>
      <c r="G15774" s="9"/>
      <c r="J15774" s="11"/>
      <c r="U15774" s="9"/>
      <c r="X15774" s="9"/>
    </row>
    <row r="15775">
      <c r="D15775" s="9"/>
      <c r="G15775" s="9"/>
      <c r="J15775" s="11"/>
      <c r="U15775" s="9"/>
      <c r="X15775" s="9"/>
    </row>
    <row r="15776">
      <c r="D15776" s="9"/>
      <c r="G15776" s="9"/>
      <c r="J15776" s="11"/>
      <c r="U15776" s="9"/>
      <c r="X15776" s="9"/>
    </row>
    <row r="15777">
      <c r="D15777" s="9"/>
      <c r="G15777" s="9"/>
      <c r="J15777" s="11"/>
      <c r="U15777" s="9"/>
      <c r="X15777" s="9"/>
    </row>
    <row r="15778">
      <c r="D15778" s="9"/>
      <c r="G15778" s="9"/>
      <c r="J15778" s="11"/>
      <c r="U15778" s="9"/>
      <c r="X15778" s="9"/>
    </row>
    <row r="15779">
      <c r="D15779" s="9"/>
      <c r="G15779" s="9"/>
      <c r="J15779" s="11"/>
      <c r="U15779" s="9"/>
      <c r="X15779" s="9"/>
    </row>
    <row r="15780">
      <c r="D15780" s="9"/>
      <c r="G15780" s="9"/>
      <c r="J15780" s="11"/>
      <c r="U15780" s="9"/>
      <c r="X15780" s="9"/>
    </row>
    <row r="15781">
      <c r="D15781" s="9"/>
      <c r="G15781" s="9"/>
      <c r="J15781" s="11"/>
      <c r="U15781" s="9"/>
      <c r="X15781" s="9"/>
    </row>
    <row r="15782">
      <c r="D15782" s="9"/>
      <c r="G15782" s="9"/>
      <c r="J15782" s="11"/>
      <c r="U15782" s="9"/>
      <c r="X15782" s="9"/>
    </row>
    <row r="15783">
      <c r="D15783" s="9"/>
      <c r="G15783" s="9"/>
      <c r="J15783" s="11"/>
      <c r="U15783" s="9"/>
      <c r="X15783" s="9"/>
    </row>
    <row r="15784">
      <c r="D15784" s="9"/>
      <c r="G15784" s="9"/>
      <c r="J15784" s="11"/>
      <c r="U15784" s="9"/>
      <c r="X15784" s="9"/>
    </row>
    <row r="15785">
      <c r="D15785" s="9"/>
      <c r="G15785" s="9"/>
      <c r="J15785" s="11"/>
      <c r="U15785" s="9"/>
      <c r="X15785" s="9"/>
    </row>
    <row r="15786">
      <c r="D15786" s="9"/>
      <c r="G15786" s="9"/>
      <c r="J15786" s="11"/>
      <c r="U15786" s="9"/>
      <c r="X15786" s="9"/>
    </row>
    <row r="15787">
      <c r="D15787" s="9"/>
      <c r="G15787" s="9"/>
      <c r="J15787" s="11"/>
      <c r="U15787" s="9"/>
      <c r="X15787" s="9"/>
    </row>
    <row r="15788">
      <c r="D15788" s="9"/>
      <c r="G15788" s="9"/>
      <c r="J15788" s="11"/>
      <c r="U15788" s="9"/>
      <c r="X15788" s="9"/>
    </row>
    <row r="15789">
      <c r="D15789" s="9"/>
      <c r="G15789" s="9"/>
      <c r="J15789" s="11"/>
      <c r="U15789" s="9"/>
      <c r="X15789" s="9"/>
    </row>
    <row r="15790">
      <c r="D15790" s="9"/>
      <c r="G15790" s="9"/>
      <c r="J15790" s="11"/>
      <c r="U15790" s="9"/>
      <c r="X15790" s="9"/>
    </row>
    <row r="15791">
      <c r="D15791" s="9"/>
      <c r="G15791" s="9"/>
      <c r="J15791" s="11"/>
      <c r="U15791" s="9"/>
      <c r="X15791" s="9"/>
    </row>
    <row r="15792">
      <c r="D15792" s="9"/>
      <c r="G15792" s="9"/>
      <c r="J15792" s="11"/>
      <c r="U15792" s="9"/>
      <c r="X15792" s="9"/>
    </row>
    <row r="15793">
      <c r="D15793" s="9"/>
      <c r="G15793" s="9"/>
      <c r="J15793" s="11"/>
      <c r="U15793" s="9"/>
      <c r="X15793" s="9"/>
    </row>
    <row r="15794">
      <c r="D15794" s="9"/>
      <c r="G15794" s="9"/>
      <c r="J15794" s="11"/>
      <c r="U15794" s="9"/>
      <c r="X15794" s="9"/>
    </row>
    <row r="15795">
      <c r="D15795" s="9"/>
      <c r="G15795" s="9"/>
      <c r="J15795" s="11"/>
      <c r="U15795" s="9"/>
      <c r="X15795" s="9"/>
    </row>
    <row r="15796">
      <c r="D15796" s="9"/>
      <c r="G15796" s="9"/>
      <c r="J15796" s="11"/>
      <c r="U15796" s="9"/>
      <c r="X15796" s="9"/>
    </row>
    <row r="15797">
      <c r="D15797" s="9"/>
      <c r="G15797" s="9"/>
      <c r="J15797" s="11"/>
      <c r="U15797" s="9"/>
      <c r="X15797" s="9"/>
    </row>
    <row r="15798">
      <c r="D15798" s="9"/>
      <c r="G15798" s="9"/>
      <c r="J15798" s="11"/>
      <c r="U15798" s="9"/>
      <c r="X15798" s="9"/>
    </row>
    <row r="15799">
      <c r="D15799" s="9"/>
      <c r="G15799" s="9"/>
      <c r="J15799" s="11"/>
      <c r="U15799" s="9"/>
      <c r="X15799" s="9"/>
    </row>
    <row r="15800">
      <c r="D15800" s="9"/>
      <c r="G15800" s="9"/>
      <c r="J15800" s="11"/>
      <c r="U15800" s="9"/>
      <c r="X15800" s="9"/>
    </row>
    <row r="15801">
      <c r="D15801" s="9"/>
      <c r="G15801" s="9"/>
      <c r="J15801" s="11"/>
      <c r="U15801" s="9"/>
      <c r="X15801" s="9"/>
    </row>
    <row r="15802">
      <c r="D15802" s="9"/>
      <c r="G15802" s="9"/>
      <c r="J15802" s="11"/>
      <c r="U15802" s="9"/>
      <c r="X15802" s="9"/>
    </row>
    <row r="15803">
      <c r="D15803" s="9"/>
      <c r="G15803" s="9"/>
      <c r="J15803" s="11"/>
      <c r="U15803" s="9"/>
      <c r="X15803" s="9"/>
    </row>
    <row r="15804">
      <c r="D15804" s="9"/>
      <c r="G15804" s="9"/>
      <c r="J15804" s="11"/>
      <c r="U15804" s="9"/>
      <c r="X15804" s="9"/>
    </row>
    <row r="15805">
      <c r="D15805" s="9"/>
      <c r="G15805" s="9"/>
      <c r="J15805" s="11"/>
      <c r="U15805" s="9"/>
      <c r="X15805" s="9"/>
    </row>
    <row r="15806">
      <c r="D15806" s="9"/>
      <c r="G15806" s="9"/>
      <c r="J15806" s="11"/>
      <c r="U15806" s="9"/>
      <c r="X15806" s="9"/>
    </row>
    <row r="15807">
      <c r="D15807" s="9"/>
      <c r="G15807" s="9"/>
      <c r="J15807" s="11"/>
      <c r="U15807" s="9"/>
      <c r="X15807" s="9"/>
    </row>
    <row r="15808">
      <c r="D15808" s="9"/>
      <c r="G15808" s="9"/>
      <c r="J15808" s="11"/>
      <c r="U15808" s="9"/>
      <c r="X15808" s="9"/>
    </row>
    <row r="15809">
      <c r="D15809" s="9"/>
      <c r="G15809" s="9"/>
      <c r="J15809" s="11"/>
      <c r="U15809" s="9"/>
      <c r="X15809" s="9"/>
    </row>
    <row r="15810">
      <c r="D15810" s="9"/>
      <c r="G15810" s="9"/>
      <c r="J15810" s="11"/>
      <c r="U15810" s="9"/>
      <c r="X15810" s="9"/>
    </row>
    <row r="15811">
      <c r="D15811" s="9"/>
      <c r="G15811" s="9"/>
      <c r="J15811" s="11"/>
      <c r="U15811" s="9"/>
      <c r="X15811" s="9"/>
    </row>
    <row r="15812">
      <c r="D15812" s="9"/>
      <c r="G15812" s="9"/>
      <c r="J15812" s="11"/>
      <c r="U15812" s="9"/>
      <c r="X15812" s="9"/>
    </row>
    <row r="15813">
      <c r="D15813" s="9"/>
      <c r="G15813" s="9"/>
      <c r="J15813" s="11"/>
      <c r="U15813" s="9"/>
      <c r="X15813" s="9"/>
    </row>
    <row r="15814">
      <c r="D15814" s="9"/>
      <c r="G15814" s="9"/>
      <c r="J15814" s="11"/>
      <c r="U15814" s="9"/>
      <c r="X15814" s="9"/>
    </row>
    <row r="15815">
      <c r="D15815" s="9"/>
      <c r="G15815" s="9"/>
      <c r="J15815" s="11"/>
      <c r="U15815" s="9"/>
      <c r="X15815" s="9"/>
    </row>
    <row r="15816">
      <c r="D15816" s="9"/>
      <c r="G15816" s="9"/>
      <c r="J15816" s="11"/>
      <c r="U15816" s="9"/>
      <c r="X15816" s="9"/>
    </row>
    <row r="15817">
      <c r="D15817" s="9"/>
      <c r="G15817" s="9"/>
      <c r="J15817" s="11"/>
      <c r="U15817" s="9"/>
      <c r="X15817" s="9"/>
    </row>
    <row r="15818">
      <c r="D15818" s="9"/>
      <c r="G15818" s="9"/>
      <c r="J15818" s="11"/>
      <c r="U15818" s="9"/>
      <c r="X15818" s="9"/>
    </row>
    <row r="15819">
      <c r="D15819" s="9"/>
      <c r="G15819" s="9"/>
      <c r="J15819" s="11"/>
      <c r="U15819" s="9"/>
      <c r="X15819" s="9"/>
    </row>
    <row r="15820">
      <c r="D15820" s="9"/>
      <c r="G15820" s="9"/>
      <c r="J15820" s="11"/>
      <c r="U15820" s="9"/>
      <c r="X15820" s="9"/>
    </row>
    <row r="15821">
      <c r="D15821" s="9"/>
      <c r="G15821" s="9"/>
      <c r="J15821" s="11"/>
      <c r="U15821" s="9"/>
      <c r="X15821" s="9"/>
    </row>
    <row r="15822">
      <c r="D15822" s="9"/>
      <c r="G15822" s="9"/>
      <c r="J15822" s="11"/>
      <c r="U15822" s="9"/>
      <c r="X15822" s="9"/>
    </row>
    <row r="15823">
      <c r="D15823" s="9"/>
      <c r="G15823" s="9"/>
      <c r="J15823" s="11"/>
      <c r="U15823" s="9"/>
      <c r="X15823" s="9"/>
    </row>
    <row r="15824">
      <c r="D15824" s="9"/>
      <c r="G15824" s="9"/>
      <c r="J15824" s="11"/>
      <c r="U15824" s="9"/>
      <c r="X15824" s="9"/>
    </row>
    <row r="15825">
      <c r="D15825" s="9"/>
      <c r="G15825" s="9"/>
      <c r="J15825" s="11"/>
      <c r="U15825" s="9"/>
      <c r="X15825" s="9"/>
    </row>
    <row r="15826">
      <c r="D15826" s="9"/>
      <c r="G15826" s="9"/>
      <c r="J15826" s="11"/>
      <c r="U15826" s="9"/>
      <c r="X15826" s="9"/>
    </row>
    <row r="15827">
      <c r="D15827" s="9"/>
      <c r="G15827" s="9"/>
      <c r="J15827" s="11"/>
      <c r="U15827" s="9"/>
      <c r="X15827" s="9"/>
    </row>
    <row r="15828">
      <c r="D15828" s="9"/>
      <c r="G15828" s="9"/>
      <c r="J15828" s="11"/>
      <c r="U15828" s="9"/>
      <c r="X15828" s="9"/>
    </row>
    <row r="15829">
      <c r="D15829" s="9"/>
      <c r="G15829" s="9"/>
      <c r="J15829" s="11"/>
      <c r="U15829" s="9"/>
      <c r="X15829" s="9"/>
    </row>
    <row r="15830">
      <c r="D15830" s="9"/>
      <c r="G15830" s="9"/>
      <c r="J15830" s="11"/>
      <c r="U15830" s="9"/>
      <c r="X15830" s="9"/>
    </row>
    <row r="15831">
      <c r="D15831" s="9"/>
      <c r="G15831" s="9"/>
      <c r="J15831" s="11"/>
      <c r="U15831" s="9"/>
      <c r="X15831" s="9"/>
    </row>
    <row r="15832">
      <c r="D15832" s="9"/>
      <c r="G15832" s="9"/>
      <c r="J15832" s="11"/>
      <c r="U15832" s="9"/>
      <c r="X15832" s="9"/>
    </row>
    <row r="15833">
      <c r="D15833" s="9"/>
      <c r="G15833" s="9"/>
      <c r="J15833" s="11"/>
      <c r="U15833" s="9"/>
      <c r="X15833" s="9"/>
    </row>
    <row r="15834">
      <c r="D15834" s="9"/>
      <c r="G15834" s="9"/>
      <c r="J15834" s="11"/>
      <c r="U15834" s="9"/>
      <c r="X15834" s="9"/>
    </row>
    <row r="15835">
      <c r="D15835" s="9"/>
      <c r="G15835" s="9"/>
      <c r="J15835" s="11"/>
      <c r="U15835" s="9"/>
      <c r="X15835" s="9"/>
    </row>
    <row r="15836">
      <c r="D15836" s="9"/>
      <c r="G15836" s="9"/>
      <c r="J15836" s="11"/>
      <c r="U15836" s="9"/>
      <c r="X15836" s="9"/>
    </row>
    <row r="15837">
      <c r="D15837" s="9"/>
      <c r="G15837" s="9"/>
      <c r="J15837" s="11"/>
      <c r="U15837" s="9"/>
      <c r="X15837" s="9"/>
    </row>
    <row r="15838">
      <c r="D15838" s="9"/>
      <c r="G15838" s="9"/>
      <c r="J15838" s="11"/>
      <c r="U15838" s="9"/>
      <c r="X15838" s="9"/>
    </row>
    <row r="15839">
      <c r="D15839" s="9"/>
      <c r="G15839" s="9"/>
      <c r="J15839" s="11"/>
      <c r="U15839" s="9"/>
      <c r="X15839" s="9"/>
    </row>
    <row r="15840">
      <c r="D15840" s="9"/>
      <c r="G15840" s="9"/>
      <c r="J15840" s="11"/>
      <c r="U15840" s="9"/>
      <c r="X15840" s="9"/>
    </row>
    <row r="15841">
      <c r="D15841" s="9"/>
      <c r="G15841" s="9"/>
      <c r="J15841" s="11"/>
      <c r="U15841" s="9"/>
      <c r="X15841" s="9"/>
    </row>
    <row r="15842">
      <c r="D15842" s="9"/>
      <c r="G15842" s="9"/>
      <c r="J15842" s="11"/>
      <c r="U15842" s="9"/>
      <c r="X15842" s="9"/>
    </row>
    <row r="15843">
      <c r="D15843" s="9"/>
      <c r="G15843" s="9"/>
      <c r="J15843" s="11"/>
      <c r="U15843" s="9"/>
      <c r="X15843" s="9"/>
    </row>
    <row r="15844">
      <c r="D15844" s="9"/>
      <c r="G15844" s="9"/>
      <c r="J15844" s="11"/>
      <c r="U15844" s="9"/>
      <c r="X15844" s="9"/>
    </row>
    <row r="15845">
      <c r="D15845" s="9"/>
      <c r="G15845" s="9"/>
      <c r="J15845" s="11"/>
      <c r="U15845" s="9"/>
      <c r="X15845" s="9"/>
    </row>
    <row r="15846">
      <c r="D15846" s="9"/>
      <c r="G15846" s="9"/>
      <c r="J15846" s="11"/>
      <c r="U15846" s="9"/>
      <c r="X15846" s="9"/>
    </row>
    <row r="15847">
      <c r="D15847" s="9"/>
      <c r="G15847" s="9"/>
      <c r="J15847" s="11"/>
      <c r="U15847" s="9"/>
      <c r="X15847" s="9"/>
    </row>
    <row r="15848">
      <c r="D15848" s="9"/>
      <c r="G15848" s="9"/>
      <c r="J15848" s="11"/>
      <c r="U15848" s="9"/>
      <c r="X15848" s="9"/>
    </row>
    <row r="15849">
      <c r="D15849" s="9"/>
      <c r="G15849" s="9"/>
      <c r="J15849" s="11"/>
      <c r="U15849" s="9"/>
      <c r="X15849" s="9"/>
    </row>
    <row r="15850">
      <c r="D15850" s="9"/>
      <c r="G15850" s="9"/>
      <c r="J15850" s="11"/>
      <c r="U15850" s="9"/>
      <c r="X15850" s="9"/>
    </row>
    <row r="15851">
      <c r="D15851" s="9"/>
      <c r="G15851" s="9"/>
      <c r="J15851" s="11"/>
      <c r="U15851" s="9"/>
      <c r="X15851" s="9"/>
    </row>
    <row r="15852">
      <c r="D15852" s="9"/>
      <c r="G15852" s="9"/>
      <c r="J15852" s="11"/>
      <c r="U15852" s="9"/>
      <c r="X15852" s="9"/>
    </row>
    <row r="15853">
      <c r="D15853" s="9"/>
      <c r="G15853" s="9"/>
      <c r="J15853" s="11"/>
      <c r="U15853" s="9"/>
      <c r="X15853" s="9"/>
    </row>
    <row r="15854">
      <c r="D15854" s="9"/>
      <c r="G15854" s="9"/>
      <c r="J15854" s="11"/>
      <c r="U15854" s="9"/>
      <c r="X15854" s="9"/>
    </row>
    <row r="15855">
      <c r="D15855" s="9"/>
      <c r="G15855" s="9"/>
      <c r="J15855" s="11"/>
      <c r="U15855" s="9"/>
      <c r="X15855" s="9"/>
    </row>
    <row r="15856">
      <c r="D15856" s="9"/>
      <c r="G15856" s="9"/>
      <c r="J15856" s="11"/>
      <c r="U15856" s="9"/>
      <c r="X15856" s="9"/>
    </row>
    <row r="15857">
      <c r="D15857" s="9"/>
      <c r="G15857" s="9"/>
      <c r="J15857" s="11"/>
      <c r="U15857" s="9"/>
      <c r="X15857" s="9"/>
    </row>
    <row r="15858">
      <c r="D15858" s="9"/>
      <c r="G15858" s="9"/>
      <c r="J15858" s="11"/>
      <c r="U15858" s="9"/>
      <c r="X15858" s="9"/>
    </row>
    <row r="15859">
      <c r="D15859" s="9"/>
      <c r="G15859" s="9"/>
      <c r="J15859" s="11"/>
      <c r="U15859" s="9"/>
      <c r="X15859" s="9"/>
    </row>
    <row r="15860">
      <c r="D15860" s="9"/>
      <c r="G15860" s="9"/>
      <c r="J15860" s="11"/>
      <c r="U15860" s="9"/>
      <c r="X15860" s="9"/>
    </row>
    <row r="15861">
      <c r="D15861" s="9"/>
      <c r="G15861" s="9"/>
      <c r="J15861" s="11"/>
      <c r="U15861" s="9"/>
      <c r="X15861" s="9"/>
    </row>
    <row r="15862">
      <c r="D15862" s="9"/>
      <c r="G15862" s="9"/>
      <c r="J15862" s="11"/>
      <c r="U15862" s="9"/>
      <c r="X15862" s="9"/>
    </row>
    <row r="15863">
      <c r="D15863" s="9"/>
      <c r="G15863" s="9"/>
      <c r="J15863" s="11"/>
      <c r="U15863" s="9"/>
      <c r="X15863" s="9"/>
    </row>
    <row r="15864">
      <c r="D15864" s="9"/>
      <c r="G15864" s="9"/>
      <c r="J15864" s="11"/>
      <c r="U15864" s="9"/>
      <c r="X15864" s="9"/>
    </row>
    <row r="15865">
      <c r="D15865" s="9"/>
      <c r="G15865" s="9"/>
      <c r="J15865" s="11"/>
      <c r="U15865" s="9"/>
      <c r="X15865" s="9"/>
    </row>
    <row r="15866">
      <c r="D15866" s="9"/>
      <c r="G15866" s="9"/>
      <c r="J15866" s="11"/>
      <c r="U15866" s="9"/>
      <c r="X15866" s="9"/>
    </row>
    <row r="15867">
      <c r="D15867" s="9"/>
      <c r="G15867" s="9"/>
      <c r="J15867" s="11"/>
      <c r="U15867" s="9"/>
      <c r="X15867" s="9"/>
    </row>
    <row r="15868">
      <c r="D15868" s="9"/>
      <c r="G15868" s="9"/>
      <c r="J15868" s="11"/>
      <c r="U15868" s="9"/>
      <c r="X15868" s="9"/>
    </row>
    <row r="15869">
      <c r="D15869" s="9"/>
      <c r="G15869" s="9"/>
      <c r="J15869" s="11"/>
      <c r="U15869" s="9"/>
      <c r="X15869" s="9"/>
    </row>
    <row r="15870">
      <c r="D15870" s="9"/>
      <c r="G15870" s="9"/>
      <c r="J15870" s="11"/>
      <c r="U15870" s="9"/>
      <c r="X15870" s="9"/>
    </row>
    <row r="15871">
      <c r="D15871" s="9"/>
      <c r="G15871" s="9"/>
      <c r="J15871" s="11"/>
      <c r="U15871" s="9"/>
      <c r="X15871" s="9"/>
    </row>
    <row r="15872">
      <c r="D15872" s="9"/>
      <c r="G15872" s="9"/>
      <c r="J15872" s="11"/>
      <c r="U15872" s="9"/>
      <c r="X15872" s="9"/>
    </row>
    <row r="15873">
      <c r="D15873" s="9"/>
      <c r="G15873" s="9"/>
      <c r="J15873" s="11"/>
      <c r="U15873" s="9"/>
      <c r="X15873" s="9"/>
    </row>
    <row r="15874">
      <c r="D15874" s="9"/>
      <c r="G15874" s="9"/>
      <c r="J15874" s="11"/>
      <c r="U15874" s="9"/>
      <c r="X15874" s="9"/>
    </row>
    <row r="15875">
      <c r="D15875" s="9"/>
      <c r="G15875" s="9"/>
      <c r="J15875" s="11"/>
      <c r="U15875" s="9"/>
      <c r="X15875" s="9"/>
    </row>
    <row r="15876">
      <c r="D15876" s="9"/>
      <c r="G15876" s="9"/>
      <c r="J15876" s="11"/>
      <c r="U15876" s="9"/>
      <c r="X15876" s="9"/>
    </row>
    <row r="15877">
      <c r="D15877" s="9"/>
      <c r="G15877" s="9"/>
      <c r="J15877" s="11"/>
      <c r="U15877" s="9"/>
      <c r="X15877" s="9"/>
    </row>
    <row r="15878">
      <c r="D15878" s="9"/>
      <c r="G15878" s="9"/>
      <c r="J15878" s="11"/>
      <c r="U15878" s="9"/>
      <c r="X15878" s="9"/>
    </row>
    <row r="15879">
      <c r="D15879" s="9"/>
      <c r="G15879" s="9"/>
      <c r="J15879" s="11"/>
      <c r="U15879" s="9"/>
      <c r="X15879" s="9"/>
    </row>
    <row r="15880">
      <c r="D15880" s="9"/>
      <c r="G15880" s="9"/>
      <c r="J15880" s="11"/>
      <c r="U15880" s="9"/>
      <c r="X15880" s="9"/>
    </row>
    <row r="15881">
      <c r="D15881" s="9"/>
      <c r="G15881" s="9"/>
      <c r="J15881" s="11"/>
      <c r="U15881" s="9"/>
      <c r="X15881" s="9"/>
    </row>
    <row r="15882">
      <c r="D15882" s="9"/>
      <c r="G15882" s="9"/>
      <c r="J15882" s="11"/>
      <c r="U15882" s="9"/>
      <c r="X15882" s="9"/>
    </row>
    <row r="15883">
      <c r="D15883" s="9"/>
      <c r="G15883" s="9"/>
      <c r="J15883" s="11"/>
      <c r="U15883" s="9"/>
      <c r="X15883" s="9"/>
    </row>
    <row r="15884">
      <c r="D15884" s="9"/>
      <c r="G15884" s="9"/>
      <c r="J15884" s="11"/>
      <c r="U15884" s="9"/>
      <c r="X15884" s="9"/>
    </row>
    <row r="15885">
      <c r="D15885" s="9"/>
      <c r="G15885" s="9"/>
      <c r="J15885" s="11"/>
      <c r="U15885" s="9"/>
      <c r="X15885" s="9"/>
    </row>
    <row r="15886">
      <c r="D15886" s="9"/>
      <c r="G15886" s="9"/>
      <c r="J15886" s="11"/>
      <c r="U15886" s="9"/>
      <c r="X15886" s="9"/>
    </row>
    <row r="15887">
      <c r="D15887" s="9"/>
      <c r="G15887" s="9"/>
      <c r="J15887" s="11"/>
      <c r="U15887" s="9"/>
      <c r="X15887" s="9"/>
    </row>
    <row r="15888">
      <c r="D15888" s="9"/>
      <c r="G15888" s="9"/>
      <c r="J15888" s="11"/>
      <c r="U15888" s="9"/>
      <c r="X15888" s="9"/>
    </row>
    <row r="15889">
      <c r="D15889" s="9"/>
      <c r="G15889" s="9"/>
      <c r="J15889" s="11"/>
      <c r="U15889" s="9"/>
      <c r="X15889" s="9"/>
    </row>
    <row r="15890">
      <c r="D15890" s="9"/>
      <c r="G15890" s="9"/>
      <c r="J15890" s="11"/>
      <c r="U15890" s="9"/>
      <c r="X15890" s="9"/>
    </row>
    <row r="15891">
      <c r="D15891" s="9"/>
      <c r="G15891" s="9"/>
      <c r="J15891" s="11"/>
      <c r="U15891" s="9"/>
      <c r="X15891" s="9"/>
    </row>
    <row r="15892">
      <c r="D15892" s="9"/>
      <c r="G15892" s="9"/>
      <c r="J15892" s="11"/>
      <c r="U15892" s="9"/>
      <c r="X15892" s="9"/>
    </row>
    <row r="15893">
      <c r="D15893" s="9"/>
      <c r="G15893" s="9"/>
      <c r="J15893" s="11"/>
      <c r="U15893" s="9"/>
      <c r="X15893" s="9"/>
    </row>
    <row r="15894">
      <c r="D15894" s="9"/>
      <c r="G15894" s="9"/>
      <c r="J15894" s="11"/>
      <c r="U15894" s="9"/>
      <c r="X15894" s="9"/>
    </row>
    <row r="15895">
      <c r="D15895" s="9"/>
      <c r="G15895" s="9"/>
      <c r="J15895" s="11"/>
      <c r="U15895" s="9"/>
      <c r="X15895" s="9"/>
    </row>
    <row r="15896">
      <c r="D15896" s="9"/>
      <c r="G15896" s="9"/>
      <c r="J15896" s="11"/>
      <c r="U15896" s="9"/>
      <c r="X15896" s="9"/>
    </row>
    <row r="15897">
      <c r="D15897" s="9"/>
      <c r="G15897" s="9"/>
      <c r="J15897" s="11"/>
      <c r="U15897" s="9"/>
      <c r="X15897" s="9"/>
    </row>
    <row r="15898">
      <c r="D15898" s="9"/>
      <c r="G15898" s="9"/>
      <c r="J15898" s="11"/>
      <c r="U15898" s="9"/>
      <c r="X15898" s="9"/>
    </row>
    <row r="15899">
      <c r="D15899" s="9"/>
      <c r="G15899" s="9"/>
      <c r="J15899" s="11"/>
      <c r="U15899" s="9"/>
      <c r="X15899" s="9"/>
    </row>
    <row r="15900">
      <c r="D15900" s="9"/>
      <c r="G15900" s="9"/>
      <c r="J15900" s="11"/>
      <c r="U15900" s="9"/>
      <c r="X15900" s="9"/>
    </row>
    <row r="15901">
      <c r="D15901" s="9"/>
      <c r="G15901" s="9"/>
      <c r="J15901" s="11"/>
      <c r="U15901" s="9"/>
      <c r="X15901" s="9"/>
    </row>
    <row r="15902">
      <c r="D15902" s="9"/>
      <c r="G15902" s="9"/>
      <c r="J15902" s="11"/>
      <c r="U15902" s="9"/>
      <c r="X15902" s="9"/>
    </row>
    <row r="15903">
      <c r="D15903" s="9"/>
      <c r="G15903" s="9"/>
      <c r="J15903" s="11"/>
      <c r="U15903" s="9"/>
      <c r="X15903" s="9"/>
    </row>
    <row r="15904">
      <c r="D15904" s="9"/>
      <c r="G15904" s="9"/>
      <c r="J15904" s="11"/>
      <c r="U15904" s="9"/>
      <c r="X15904" s="9"/>
    </row>
    <row r="15905">
      <c r="D15905" s="9"/>
      <c r="G15905" s="9"/>
      <c r="J15905" s="11"/>
      <c r="U15905" s="9"/>
      <c r="X15905" s="9"/>
    </row>
    <row r="15906">
      <c r="D15906" s="9"/>
      <c r="G15906" s="9"/>
      <c r="J15906" s="11"/>
      <c r="U15906" s="9"/>
      <c r="X15906" s="9"/>
    </row>
    <row r="15907">
      <c r="D15907" s="9"/>
      <c r="G15907" s="9"/>
      <c r="J15907" s="11"/>
      <c r="U15907" s="9"/>
      <c r="X15907" s="9"/>
    </row>
    <row r="15908">
      <c r="D15908" s="9"/>
      <c r="G15908" s="9"/>
      <c r="J15908" s="11"/>
      <c r="U15908" s="9"/>
      <c r="X15908" s="9"/>
    </row>
    <row r="15909">
      <c r="D15909" s="9"/>
      <c r="G15909" s="9"/>
      <c r="J15909" s="11"/>
      <c r="U15909" s="9"/>
      <c r="X15909" s="9"/>
    </row>
    <row r="15910">
      <c r="D15910" s="9"/>
      <c r="G15910" s="9"/>
      <c r="J15910" s="11"/>
      <c r="U15910" s="9"/>
      <c r="X15910" s="9"/>
    </row>
    <row r="15911">
      <c r="D15911" s="9"/>
      <c r="G15911" s="9"/>
      <c r="J15911" s="11"/>
      <c r="U15911" s="9"/>
      <c r="X15911" s="9"/>
    </row>
    <row r="15912">
      <c r="D15912" s="9"/>
      <c r="G15912" s="9"/>
      <c r="J15912" s="11"/>
      <c r="U15912" s="9"/>
      <c r="X15912" s="9"/>
    </row>
    <row r="15913">
      <c r="D15913" s="9"/>
      <c r="G15913" s="9"/>
      <c r="J15913" s="11"/>
      <c r="U15913" s="9"/>
      <c r="X15913" s="9"/>
    </row>
    <row r="15914">
      <c r="D15914" s="9"/>
      <c r="G15914" s="9"/>
      <c r="J15914" s="11"/>
      <c r="U15914" s="9"/>
      <c r="X15914" s="9"/>
    </row>
    <row r="15915">
      <c r="D15915" s="9"/>
      <c r="G15915" s="9"/>
      <c r="J15915" s="11"/>
      <c r="U15915" s="9"/>
      <c r="X15915" s="9"/>
    </row>
    <row r="15916">
      <c r="D15916" s="9"/>
      <c r="G15916" s="9"/>
      <c r="J15916" s="11"/>
      <c r="U15916" s="9"/>
      <c r="X15916" s="9"/>
    </row>
    <row r="15917">
      <c r="D15917" s="9"/>
      <c r="G15917" s="9"/>
      <c r="J15917" s="11"/>
      <c r="U15917" s="9"/>
      <c r="X15917" s="9"/>
    </row>
    <row r="15918">
      <c r="D15918" s="9"/>
      <c r="G15918" s="9"/>
      <c r="J15918" s="11"/>
      <c r="U15918" s="9"/>
      <c r="X15918" s="9"/>
    </row>
    <row r="15919">
      <c r="D15919" s="9"/>
      <c r="G15919" s="9"/>
      <c r="J15919" s="11"/>
      <c r="U15919" s="9"/>
      <c r="X15919" s="9"/>
    </row>
    <row r="15920">
      <c r="D15920" s="9"/>
      <c r="G15920" s="9"/>
      <c r="J15920" s="11"/>
      <c r="U15920" s="9"/>
      <c r="X15920" s="9"/>
    </row>
    <row r="15921">
      <c r="D15921" s="9"/>
      <c r="G15921" s="9"/>
      <c r="J15921" s="11"/>
      <c r="U15921" s="9"/>
      <c r="X15921" s="9"/>
    </row>
    <row r="15922">
      <c r="D15922" s="9"/>
      <c r="G15922" s="9"/>
      <c r="J15922" s="11"/>
      <c r="U15922" s="9"/>
      <c r="X15922" s="9"/>
    </row>
    <row r="15923">
      <c r="D15923" s="9"/>
      <c r="G15923" s="9"/>
      <c r="J15923" s="11"/>
      <c r="U15923" s="9"/>
      <c r="X15923" s="9"/>
    </row>
    <row r="15924">
      <c r="D15924" s="9"/>
      <c r="G15924" s="9"/>
      <c r="J15924" s="11"/>
      <c r="U15924" s="9"/>
      <c r="X15924" s="9"/>
    </row>
    <row r="15925">
      <c r="D15925" s="9"/>
      <c r="G15925" s="9"/>
      <c r="J15925" s="11"/>
      <c r="U15925" s="9"/>
      <c r="X15925" s="9"/>
    </row>
    <row r="15926">
      <c r="D15926" s="9"/>
      <c r="G15926" s="9"/>
      <c r="J15926" s="11"/>
      <c r="U15926" s="9"/>
      <c r="X15926" s="9"/>
    </row>
    <row r="15927">
      <c r="D15927" s="9"/>
      <c r="G15927" s="9"/>
      <c r="J15927" s="11"/>
      <c r="U15927" s="9"/>
      <c r="X15927" s="9"/>
    </row>
    <row r="15928">
      <c r="D15928" s="9"/>
      <c r="G15928" s="9"/>
      <c r="J15928" s="11"/>
      <c r="U15928" s="9"/>
      <c r="X15928" s="9"/>
    </row>
    <row r="15929">
      <c r="D15929" s="9"/>
      <c r="G15929" s="9"/>
      <c r="J15929" s="11"/>
      <c r="U15929" s="9"/>
      <c r="X15929" s="9"/>
    </row>
    <row r="15930">
      <c r="D15930" s="9"/>
      <c r="G15930" s="9"/>
      <c r="J15930" s="11"/>
      <c r="U15930" s="9"/>
      <c r="X15930" s="9"/>
    </row>
    <row r="15931">
      <c r="D15931" s="9"/>
      <c r="G15931" s="9"/>
      <c r="J15931" s="11"/>
      <c r="U15931" s="9"/>
      <c r="X15931" s="9"/>
    </row>
    <row r="15932">
      <c r="D15932" s="9"/>
      <c r="G15932" s="9"/>
      <c r="J15932" s="11"/>
      <c r="U15932" s="9"/>
      <c r="X15932" s="9"/>
    </row>
    <row r="15933">
      <c r="D15933" s="9"/>
      <c r="G15933" s="9"/>
      <c r="J15933" s="11"/>
      <c r="U15933" s="9"/>
      <c r="X15933" s="9"/>
    </row>
    <row r="15934">
      <c r="D15934" s="9"/>
      <c r="G15934" s="9"/>
      <c r="J15934" s="11"/>
      <c r="U15934" s="9"/>
      <c r="X15934" s="9"/>
    </row>
    <row r="15935">
      <c r="D15935" s="9"/>
      <c r="G15935" s="9"/>
      <c r="J15935" s="11"/>
      <c r="U15935" s="9"/>
      <c r="X15935" s="9"/>
    </row>
    <row r="15936">
      <c r="D15936" s="9"/>
      <c r="G15936" s="9"/>
      <c r="J15936" s="11"/>
      <c r="U15936" s="9"/>
      <c r="X15936" s="9"/>
    </row>
    <row r="15937">
      <c r="D15937" s="9"/>
      <c r="G15937" s="9"/>
      <c r="J15937" s="11"/>
      <c r="U15937" s="9"/>
      <c r="X15937" s="9"/>
    </row>
    <row r="15938">
      <c r="D15938" s="9"/>
      <c r="G15938" s="9"/>
      <c r="J15938" s="11"/>
      <c r="U15938" s="9"/>
      <c r="X15938" s="9"/>
    </row>
    <row r="15939">
      <c r="D15939" s="9"/>
      <c r="G15939" s="9"/>
      <c r="J15939" s="11"/>
      <c r="U15939" s="9"/>
      <c r="X15939" s="9"/>
    </row>
    <row r="15940">
      <c r="D15940" s="9"/>
      <c r="G15940" s="9"/>
      <c r="J15940" s="11"/>
      <c r="U15940" s="9"/>
      <c r="X15940" s="9"/>
    </row>
    <row r="15941">
      <c r="D15941" s="9"/>
      <c r="G15941" s="9"/>
      <c r="J15941" s="11"/>
      <c r="U15941" s="9"/>
      <c r="X15941" s="9"/>
    </row>
    <row r="15942">
      <c r="D15942" s="9"/>
      <c r="G15942" s="9"/>
      <c r="J15942" s="11"/>
      <c r="U15942" s="9"/>
      <c r="X15942" s="9"/>
    </row>
    <row r="15943">
      <c r="D15943" s="9"/>
      <c r="G15943" s="9"/>
      <c r="J15943" s="11"/>
      <c r="U15943" s="9"/>
      <c r="X15943" s="9"/>
    </row>
    <row r="15944">
      <c r="D15944" s="9"/>
      <c r="G15944" s="9"/>
      <c r="J15944" s="11"/>
      <c r="U15944" s="9"/>
      <c r="X15944" s="9"/>
    </row>
    <row r="15945">
      <c r="D15945" s="9"/>
      <c r="G15945" s="9"/>
      <c r="J15945" s="11"/>
      <c r="U15945" s="9"/>
      <c r="X15945" s="9"/>
    </row>
    <row r="15946">
      <c r="D15946" s="9"/>
      <c r="G15946" s="9"/>
      <c r="J15946" s="11"/>
      <c r="U15946" s="9"/>
      <c r="X15946" s="9"/>
    </row>
    <row r="15947">
      <c r="D15947" s="9"/>
      <c r="G15947" s="9"/>
      <c r="J15947" s="11"/>
      <c r="U15947" s="9"/>
      <c r="X15947" s="9"/>
    </row>
    <row r="15948">
      <c r="D15948" s="9"/>
      <c r="G15948" s="9"/>
      <c r="J15948" s="11"/>
      <c r="U15948" s="9"/>
      <c r="X15948" s="9"/>
    </row>
    <row r="15949">
      <c r="D15949" s="9"/>
      <c r="G15949" s="9"/>
      <c r="J15949" s="11"/>
      <c r="U15949" s="9"/>
      <c r="X15949" s="9"/>
    </row>
    <row r="15950">
      <c r="D15950" s="9"/>
      <c r="G15950" s="9"/>
      <c r="J15950" s="11"/>
      <c r="U15950" s="9"/>
      <c r="X15950" s="9"/>
    </row>
    <row r="15951">
      <c r="D15951" s="9"/>
      <c r="G15951" s="9"/>
      <c r="J15951" s="11"/>
      <c r="U15951" s="9"/>
      <c r="X15951" s="9"/>
    </row>
    <row r="15952">
      <c r="D15952" s="9"/>
      <c r="G15952" s="9"/>
      <c r="J15952" s="11"/>
      <c r="U15952" s="9"/>
      <c r="X15952" s="9"/>
    </row>
    <row r="15953">
      <c r="D15953" s="9"/>
      <c r="G15953" s="9"/>
      <c r="J15953" s="11"/>
      <c r="U15953" s="9"/>
      <c r="X15953" s="9"/>
    </row>
    <row r="15954">
      <c r="D15954" s="9"/>
      <c r="G15954" s="9"/>
      <c r="J15954" s="11"/>
      <c r="U15954" s="9"/>
      <c r="X15954" s="9"/>
    </row>
    <row r="15955">
      <c r="D15955" s="9"/>
      <c r="G15955" s="9"/>
      <c r="J15955" s="11"/>
      <c r="U15955" s="9"/>
      <c r="X15955" s="9"/>
    </row>
    <row r="15956">
      <c r="D15956" s="9"/>
      <c r="G15956" s="9"/>
      <c r="J15956" s="11"/>
      <c r="U15956" s="9"/>
      <c r="X15956" s="9"/>
    </row>
    <row r="15957">
      <c r="D15957" s="9"/>
      <c r="G15957" s="9"/>
      <c r="J15957" s="11"/>
      <c r="U15957" s="9"/>
      <c r="X15957" s="9"/>
    </row>
    <row r="15958">
      <c r="D15958" s="9"/>
      <c r="G15958" s="9"/>
      <c r="J15958" s="11"/>
      <c r="U15958" s="9"/>
      <c r="X15958" s="9"/>
    </row>
    <row r="15959">
      <c r="D15959" s="9"/>
      <c r="G15959" s="9"/>
      <c r="J15959" s="11"/>
      <c r="U15959" s="9"/>
      <c r="X15959" s="9"/>
    </row>
    <row r="15960">
      <c r="D15960" s="9"/>
      <c r="G15960" s="9"/>
      <c r="J15960" s="11"/>
      <c r="U15960" s="9"/>
      <c r="X15960" s="9"/>
    </row>
    <row r="15961">
      <c r="D15961" s="9"/>
      <c r="G15961" s="9"/>
      <c r="J15961" s="11"/>
      <c r="U15961" s="9"/>
      <c r="X15961" s="9"/>
    </row>
    <row r="15962">
      <c r="D15962" s="9"/>
      <c r="G15962" s="9"/>
      <c r="J15962" s="11"/>
      <c r="U15962" s="9"/>
      <c r="X15962" s="9"/>
    </row>
    <row r="15963">
      <c r="D15963" s="9"/>
      <c r="G15963" s="9"/>
      <c r="J15963" s="11"/>
      <c r="U15963" s="9"/>
      <c r="X15963" s="9"/>
    </row>
    <row r="15964">
      <c r="D15964" s="9"/>
      <c r="G15964" s="9"/>
      <c r="J15964" s="11"/>
      <c r="U15964" s="9"/>
      <c r="X15964" s="9"/>
    </row>
    <row r="15965">
      <c r="D15965" s="9"/>
      <c r="G15965" s="9"/>
      <c r="J15965" s="11"/>
      <c r="U15965" s="9"/>
      <c r="X15965" s="9"/>
    </row>
    <row r="15966">
      <c r="D15966" s="9"/>
      <c r="G15966" s="9"/>
      <c r="J15966" s="11"/>
      <c r="U15966" s="9"/>
      <c r="X15966" s="9"/>
    </row>
    <row r="15967">
      <c r="D15967" s="9"/>
      <c r="G15967" s="9"/>
      <c r="J15967" s="11"/>
      <c r="U15967" s="9"/>
      <c r="X15967" s="9"/>
    </row>
    <row r="15968">
      <c r="D15968" s="9"/>
      <c r="G15968" s="9"/>
      <c r="J15968" s="11"/>
      <c r="U15968" s="9"/>
      <c r="X15968" s="9"/>
    </row>
    <row r="15969">
      <c r="D15969" s="9"/>
      <c r="G15969" s="9"/>
      <c r="J15969" s="11"/>
      <c r="U15969" s="9"/>
      <c r="X15969" s="9"/>
    </row>
    <row r="15970">
      <c r="D15970" s="9"/>
      <c r="G15970" s="9"/>
      <c r="J15970" s="11"/>
      <c r="U15970" s="9"/>
      <c r="X15970" s="9"/>
    </row>
    <row r="15971">
      <c r="D15971" s="9"/>
      <c r="G15971" s="9"/>
      <c r="J15971" s="11"/>
      <c r="U15971" s="9"/>
      <c r="X15971" s="9"/>
    </row>
    <row r="15972">
      <c r="D15972" s="9"/>
      <c r="G15972" s="9"/>
      <c r="J15972" s="11"/>
      <c r="U15972" s="9"/>
      <c r="X15972" s="9"/>
    </row>
    <row r="15973">
      <c r="D15973" s="9"/>
      <c r="G15973" s="9"/>
      <c r="J15973" s="11"/>
      <c r="U15973" s="9"/>
      <c r="X15973" s="9"/>
    </row>
    <row r="15974">
      <c r="D15974" s="9"/>
      <c r="G15974" s="9"/>
      <c r="J15974" s="11"/>
      <c r="U15974" s="9"/>
      <c r="X15974" s="9"/>
    </row>
    <row r="15975">
      <c r="D15975" s="9"/>
      <c r="G15975" s="9"/>
      <c r="J15975" s="11"/>
      <c r="U15975" s="9"/>
      <c r="X15975" s="9"/>
    </row>
    <row r="15976">
      <c r="D15976" s="9"/>
      <c r="G15976" s="9"/>
      <c r="J15976" s="11"/>
      <c r="U15976" s="9"/>
      <c r="X15976" s="9"/>
    </row>
    <row r="15977">
      <c r="D15977" s="9"/>
      <c r="G15977" s="9"/>
      <c r="J15977" s="11"/>
      <c r="U15977" s="9"/>
      <c r="X15977" s="9"/>
    </row>
    <row r="15978">
      <c r="D15978" s="9"/>
      <c r="G15978" s="9"/>
      <c r="J15978" s="11"/>
      <c r="U15978" s="9"/>
      <c r="X15978" s="9"/>
    </row>
    <row r="15979">
      <c r="D15979" s="9"/>
      <c r="G15979" s="9"/>
      <c r="J15979" s="11"/>
      <c r="U15979" s="9"/>
      <c r="X15979" s="9"/>
    </row>
    <row r="15980">
      <c r="D15980" s="9"/>
      <c r="G15980" s="9"/>
      <c r="J15980" s="11"/>
      <c r="U15980" s="9"/>
      <c r="X15980" s="9"/>
    </row>
    <row r="15981">
      <c r="D15981" s="9"/>
      <c r="G15981" s="9"/>
      <c r="J15981" s="11"/>
      <c r="U15981" s="9"/>
      <c r="X15981" s="9"/>
    </row>
    <row r="15982">
      <c r="D15982" s="9"/>
      <c r="G15982" s="9"/>
      <c r="J15982" s="11"/>
      <c r="U15982" s="9"/>
      <c r="X15982" s="9"/>
    </row>
    <row r="15983">
      <c r="D15983" s="9"/>
      <c r="G15983" s="9"/>
      <c r="J15983" s="11"/>
      <c r="U15983" s="9"/>
      <c r="X15983" s="9"/>
    </row>
    <row r="15984">
      <c r="D15984" s="9"/>
      <c r="G15984" s="9"/>
      <c r="J15984" s="11"/>
      <c r="U15984" s="9"/>
      <c r="X15984" s="9"/>
    </row>
    <row r="15985">
      <c r="D15985" s="9"/>
      <c r="G15985" s="9"/>
      <c r="J15985" s="11"/>
      <c r="U15985" s="9"/>
      <c r="X15985" s="9"/>
    </row>
    <row r="15986">
      <c r="D15986" s="9"/>
      <c r="G15986" s="9"/>
      <c r="J15986" s="11"/>
      <c r="U15986" s="9"/>
      <c r="X15986" s="9"/>
    </row>
    <row r="15987">
      <c r="D15987" s="9"/>
      <c r="G15987" s="9"/>
      <c r="J15987" s="11"/>
      <c r="U15987" s="9"/>
      <c r="X15987" s="9"/>
    </row>
    <row r="15988">
      <c r="D15988" s="9"/>
      <c r="G15988" s="9"/>
      <c r="J15988" s="11"/>
      <c r="U15988" s="9"/>
      <c r="X15988" s="9"/>
    </row>
    <row r="15989">
      <c r="D15989" s="9"/>
      <c r="G15989" s="9"/>
      <c r="J15989" s="11"/>
      <c r="U15989" s="9"/>
      <c r="X15989" s="9"/>
    </row>
    <row r="15990">
      <c r="D15990" s="9"/>
      <c r="G15990" s="9"/>
      <c r="J15990" s="11"/>
      <c r="U15990" s="9"/>
      <c r="X15990" s="9"/>
    </row>
    <row r="15991">
      <c r="D15991" s="9"/>
      <c r="G15991" s="9"/>
      <c r="J15991" s="11"/>
      <c r="U15991" s="9"/>
      <c r="X15991" s="9"/>
    </row>
    <row r="15992">
      <c r="D15992" s="9"/>
      <c r="G15992" s="9"/>
      <c r="J15992" s="11"/>
      <c r="U15992" s="9"/>
      <c r="X15992" s="9"/>
    </row>
    <row r="15993">
      <c r="D15993" s="9"/>
      <c r="G15993" s="9"/>
      <c r="J15993" s="11"/>
      <c r="U15993" s="9"/>
      <c r="X15993" s="9"/>
    </row>
    <row r="15994">
      <c r="D15994" s="9"/>
      <c r="G15994" s="9"/>
      <c r="J15994" s="11"/>
      <c r="U15994" s="9"/>
      <c r="X15994" s="9"/>
    </row>
    <row r="15995">
      <c r="D15995" s="9"/>
      <c r="G15995" s="9"/>
      <c r="J15995" s="11"/>
      <c r="U15995" s="9"/>
      <c r="X15995" s="9"/>
    </row>
    <row r="15996">
      <c r="D15996" s="9"/>
      <c r="G15996" s="9"/>
      <c r="J15996" s="11"/>
      <c r="U15996" s="9"/>
      <c r="X15996" s="9"/>
    </row>
    <row r="15997">
      <c r="D15997" s="9"/>
      <c r="G15997" s="9"/>
      <c r="J15997" s="11"/>
      <c r="U15997" s="9"/>
      <c r="X15997" s="9"/>
    </row>
    <row r="15998">
      <c r="D15998" s="9"/>
      <c r="G15998" s="9"/>
      <c r="J15998" s="11"/>
      <c r="U15998" s="9"/>
      <c r="X15998" s="9"/>
    </row>
    <row r="15999">
      <c r="D15999" s="9"/>
      <c r="G15999" s="9"/>
      <c r="J15999" s="11"/>
      <c r="U15999" s="9"/>
      <c r="X15999" s="9"/>
    </row>
    <row r="16000">
      <c r="D16000" s="9"/>
      <c r="G16000" s="9"/>
      <c r="J16000" s="11"/>
      <c r="U16000" s="9"/>
      <c r="X16000" s="9"/>
    </row>
    <row r="16001">
      <c r="D16001" s="9"/>
      <c r="G16001" s="9"/>
      <c r="J16001" s="11"/>
      <c r="U16001" s="9"/>
      <c r="X16001" s="9"/>
    </row>
    <row r="16002">
      <c r="D16002" s="9"/>
      <c r="G16002" s="9"/>
      <c r="J16002" s="11"/>
      <c r="U16002" s="9"/>
      <c r="X16002" s="9"/>
    </row>
    <row r="16003">
      <c r="D16003" s="9"/>
      <c r="G16003" s="9"/>
      <c r="J16003" s="11"/>
      <c r="U16003" s="9"/>
      <c r="X16003" s="9"/>
    </row>
    <row r="16004">
      <c r="D16004" s="9"/>
      <c r="G16004" s="9"/>
      <c r="J16004" s="11"/>
      <c r="U16004" s="9"/>
      <c r="X16004" s="9"/>
    </row>
    <row r="16005">
      <c r="D16005" s="9"/>
      <c r="G16005" s="9"/>
      <c r="J16005" s="11"/>
      <c r="U16005" s="9"/>
      <c r="X16005" s="9"/>
    </row>
    <row r="16006">
      <c r="D16006" s="9"/>
      <c r="G16006" s="9"/>
      <c r="J16006" s="11"/>
      <c r="U16006" s="9"/>
      <c r="X16006" s="9"/>
    </row>
    <row r="16007">
      <c r="D16007" s="9"/>
      <c r="G16007" s="9"/>
      <c r="J16007" s="11"/>
      <c r="U16007" s="9"/>
      <c r="X16007" s="9"/>
    </row>
    <row r="16008">
      <c r="D16008" s="9"/>
      <c r="G16008" s="9"/>
      <c r="J16008" s="11"/>
      <c r="U16008" s="9"/>
      <c r="X16008" s="9"/>
    </row>
    <row r="16009">
      <c r="D16009" s="9"/>
      <c r="G16009" s="9"/>
      <c r="J16009" s="11"/>
      <c r="U16009" s="9"/>
      <c r="X16009" s="9"/>
    </row>
    <row r="16010">
      <c r="D16010" s="9"/>
      <c r="G16010" s="9"/>
      <c r="J16010" s="11"/>
      <c r="U16010" s="9"/>
      <c r="X16010" s="9"/>
    </row>
    <row r="16011">
      <c r="D16011" s="9"/>
      <c r="G16011" s="9"/>
      <c r="J16011" s="11"/>
      <c r="U16011" s="9"/>
      <c r="X16011" s="9"/>
    </row>
    <row r="16012">
      <c r="D16012" s="9"/>
      <c r="G16012" s="9"/>
      <c r="J16012" s="11"/>
      <c r="U16012" s="9"/>
      <c r="X16012" s="9"/>
    </row>
    <row r="16013">
      <c r="D16013" s="9"/>
      <c r="G16013" s="9"/>
      <c r="J16013" s="11"/>
      <c r="U16013" s="9"/>
      <c r="X16013" s="9"/>
    </row>
    <row r="16014">
      <c r="D16014" s="9"/>
      <c r="G16014" s="9"/>
      <c r="J16014" s="11"/>
      <c r="U16014" s="9"/>
      <c r="X16014" s="9"/>
    </row>
    <row r="16015">
      <c r="D16015" s="9"/>
      <c r="G16015" s="9"/>
      <c r="J16015" s="11"/>
      <c r="U16015" s="9"/>
      <c r="X16015" s="9"/>
    </row>
    <row r="16016">
      <c r="D16016" s="9"/>
      <c r="G16016" s="9"/>
      <c r="J16016" s="11"/>
      <c r="U16016" s="9"/>
      <c r="X16016" s="9"/>
    </row>
    <row r="16017">
      <c r="D16017" s="9"/>
      <c r="G16017" s="9"/>
      <c r="J16017" s="11"/>
      <c r="U16017" s="9"/>
      <c r="X16017" s="9"/>
    </row>
    <row r="16018">
      <c r="D16018" s="9"/>
      <c r="G16018" s="9"/>
      <c r="J16018" s="11"/>
      <c r="U16018" s="9"/>
      <c r="X16018" s="9"/>
    </row>
    <row r="16019">
      <c r="D16019" s="9"/>
      <c r="G16019" s="9"/>
      <c r="J16019" s="11"/>
      <c r="U16019" s="9"/>
      <c r="X16019" s="9"/>
    </row>
    <row r="16020">
      <c r="D16020" s="9"/>
      <c r="G16020" s="9"/>
      <c r="J16020" s="11"/>
      <c r="U16020" s="9"/>
      <c r="X16020" s="9"/>
    </row>
    <row r="16021">
      <c r="D16021" s="9"/>
      <c r="G16021" s="9"/>
      <c r="J16021" s="11"/>
      <c r="U16021" s="9"/>
      <c r="X16021" s="9"/>
    </row>
    <row r="16022">
      <c r="D16022" s="9"/>
      <c r="G16022" s="9"/>
      <c r="J16022" s="11"/>
      <c r="U16022" s="9"/>
      <c r="X16022" s="9"/>
    </row>
    <row r="16023">
      <c r="D16023" s="9"/>
      <c r="G16023" s="9"/>
      <c r="J16023" s="11"/>
      <c r="U16023" s="9"/>
      <c r="X16023" s="9"/>
    </row>
    <row r="16024">
      <c r="D16024" s="9"/>
      <c r="G16024" s="9"/>
      <c r="J16024" s="11"/>
      <c r="U16024" s="9"/>
      <c r="X16024" s="9"/>
    </row>
    <row r="16025">
      <c r="D16025" s="9"/>
      <c r="G16025" s="9"/>
      <c r="J16025" s="11"/>
      <c r="U16025" s="9"/>
      <c r="X16025" s="9"/>
    </row>
    <row r="16026">
      <c r="D16026" s="9"/>
      <c r="G16026" s="9"/>
      <c r="J16026" s="11"/>
      <c r="U16026" s="9"/>
      <c r="X16026" s="9"/>
    </row>
    <row r="16027">
      <c r="D16027" s="9"/>
      <c r="G16027" s="9"/>
      <c r="J16027" s="11"/>
      <c r="U16027" s="9"/>
      <c r="X16027" s="9"/>
    </row>
    <row r="16028">
      <c r="D16028" s="9"/>
      <c r="G16028" s="9"/>
      <c r="J16028" s="11"/>
      <c r="U16028" s="9"/>
      <c r="X16028" s="9"/>
    </row>
    <row r="16029">
      <c r="D16029" s="9"/>
      <c r="G16029" s="9"/>
      <c r="J16029" s="11"/>
      <c r="U16029" s="9"/>
      <c r="X16029" s="9"/>
    </row>
    <row r="16030">
      <c r="D16030" s="9"/>
      <c r="G16030" s="9"/>
      <c r="J16030" s="11"/>
      <c r="U16030" s="9"/>
      <c r="X16030" s="9"/>
    </row>
    <row r="16031">
      <c r="D16031" s="9"/>
      <c r="G16031" s="9"/>
      <c r="J16031" s="11"/>
      <c r="U16031" s="9"/>
      <c r="X16031" s="9"/>
    </row>
    <row r="16032">
      <c r="D16032" s="9"/>
      <c r="G16032" s="9"/>
      <c r="J16032" s="11"/>
      <c r="U16032" s="9"/>
      <c r="X16032" s="9"/>
    </row>
    <row r="16033">
      <c r="D16033" s="9"/>
      <c r="G16033" s="9"/>
      <c r="J16033" s="11"/>
      <c r="U16033" s="9"/>
      <c r="X16033" s="9"/>
    </row>
    <row r="16034">
      <c r="D16034" s="9"/>
      <c r="G16034" s="9"/>
      <c r="J16034" s="11"/>
      <c r="U16034" s="9"/>
      <c r="X16034" s="9"/>
    </row>
    <row r="16035">
      <c r="D16035" s="9"/>
      <c r="G16035" s="9"/>
      <c r="J16035" s="11"/>
      <c r="U16035" s="9"/>
      <c r="X16035" s="9"/>
    </row>
    <row r="16036">
      <c r="D16036" s="9"/>
      <c r="G16036" s="9"/>
      <c r="J16036" s="11"/>
      <c r="U16036" s="9"/>
      <c r="X16036" s="9"/>
    </row>
    <row r="16037">
      <c r="D16037" s="9"/>
      <c r="G16037" s="9"/>
      <c r="J16037" s="11"/>
      <c r="U16037" s="9"/>
      <c r="X16037" s="9"/>
    </row>
    <row r="16038">
      <c r="D16038" s="9"/>
      <c r="G16038" s="9"/>
      <c r="J16038" s="11"/>
      <c r="U16038" s="9"/>
      <c r="X16038" s="9"/>
    </row>
    <row r="16039">
      <c r="D16039" s="9"/>
      <c r="G16039" s="9"/>
      <c r="J16039" s="11"/>
      <c r="U16039" s="9"/>
      <c r="X16039" s="9"/>
    </row>
    <row r="16040">
      <c r="D16040" s="9"/>
      <c r="G16040" s="9"/>
      <c r="J16040" s="11"/>
      <c r="U16040" s="9"/>
      <c r="X16040" s="9"/>
    </row>
    <row r="16041">
      <c r="D16041" s="9"/>
      <c r="G16041" s="9"/>
      <c r="J16041" s="11"/>
      <c r="U16041" s="9"/>
      <c r="X16041" s="9"/>
    </row>
    <row r="16042">
      <c r="D16042" s="9"/>
      <c r="G16042" s="9"/>
      <c r="J16042" s="11"/>
      <c r="U16042" s="9"/>
      <c r="X16042" s="9"/>
    </row>
    <row r="16043">
      <c r="D16043" s="9"/>
      <c r="G16043" s="9"/>
      <c r="J16043" s="11"/>
      <c r="U16043" s="9"/>
      <c r="X16043" s="9"/>
    </row>
    <row r="16044">
      <c r="D16044" s="9"/>
      <c r="G16044" s="9"/>
      <c r="J16044" s="11"/>
      <c r="U16044" s="9"/>
      <c r="X16044" s="9"/>
    </row>
    <row r="16045">
      <c r="D16045" s="9"/>
      <c r="G16045" s="9"/>
      <c r="J16045" s="11"/>
      <c r="U16045" s="9"/>
      <c r="X16045" s="9"/>
    </row>
    <row r="16046">
      <c r="D16046" s="9"/>
      <c r="G16046" s="9"/>
      <c r="J16046" s="11"/>
      <c r="U16046" s="9"/>
      <c r="X16046" s="9"/>
    </row>
    <row r="16047">
      <c r="D16047" s="9"/>
      <c r="G16047" s="9"/>
      <c r="J16047" s="11"/>
      <c r="U16047" s="9"/>
      <c r="X16047" s="9"/>
    </row>
    <row r="16048">
      <c r="D16048" s="9"/>
      <c r="G16048" s="9"/>
      <c r="J16048" s="11"/>
      <c r="U16048" s="9"/>
      <c r="X16048" s="9"/>
    </row>
    <row r="16049">
      <c r="D16049" s="9"/>
      <c r="G16049" s="9"/>
      <c r="J16049" s="11"/>
      <c r="U16049" s="9"/>
      <c r="X16049" s="9"/>
    </row>
    <row r="16050">
      <c r="D16050" s="9"/>
      <c r="G16050" s="9"/>
      <c r="J16050" s="11"/>
      <c r="U16050" s="9"/>
      <c r="X16050" s="9"/>
    </row>
    <row r="16051">
      <c r="D16051" s="9"/>
      <c r="G16051" s="9"/>
      <c r="J16051" s="11"/>
      <c r="U16051" s="9"/>
      <c r="X16051" s="9"/>
    </row>
    <row r="16052">
      <c r="D16052" s="9"/>
      <c r="G16052" s="9"/>
      <c r="J16052" s="11"/>
      <c r="U16052" s="9"/>
      <c r="X16052" s="9"/>
    </row>
    <row r="16053">
      <c r="D16053" s="9"/>
      <c r="G16053" s="9"/>
      <c r="J16053" s="11"/>
      <c r="U16053" s="9"/>
      <c r="X16053" s="9"/>
    </row>
    <row r="16054">
      <c r="D16054" s="9"/>
      <c r="G16054" s="9"/>
      <c r="J16054" s="11"/>
      <c r="U16054" s="9"/>
      <c r="X16054" s="9"/>
    </row>
    <row r="16055">
      <c r="D16055" s="9"/>
      <c r="G16055" s="9"/>
      <c r="J16055" s="11"/>
      <c r="U16055" s="9"/>
      <c r="X16055" s="9"/>
    </row>
    <row r="16056">
      <c r="D16056" s="9"/>
      <c r="G16056" s="9"/>
      <c r="J16056" s="11"/>
      <c r="U16056" s="9"/>
      <c r="X16056" s="9"/>
    </row>
    <row r="16057">
      <c r="D16057" s="9"/>
      <c r="G16057" s="9"/>
      <c r="J16057" s="11"/>
      <c r="U16057" s="9"/>
      <c r="X16057" s="9"/>
    </row>
    <row r="16058">
      <c r="D16058" s="9"/>
      <c r="G16058" s="9"/>
      <c r="J16058" s="11"/>
      <c r="U16058" s="9"/>
      <c r="X16058" s="9"/>
    </row>
    <row r="16059">
      <c r="D16059" s="9"/>
      <c r="G16059" s="9"/>
      <c r="J16059" s="11"/>
      <c r="U16059" s="9"/>
      <c r="X16059" s="9"/>
    </row>
    <row r="16060">
      <c r="D16060" s="9"/>
      <c r="G16060" s="9"/>
      <c r="J16060" s="11"/>
      <c r="U16060" s="9"/>
      <c r="X16060" s="9"/>
    </row>
    <row r="16061">
      <c r="D16061" s="9"/>
      <c r="G16061" s="9"/>
      <c r="J16061" s="11"/>
      <c r="U16061" s="9"/>
      <c r="X16061" s="9"/>
    </row>
    <row r="16062">
      <c r="D16062" s="9"/>
      <c r="G16062" s="9"/>
      <c r="J16062" s="11"/>
      <c r="U16062" s="9"/>
      <c r="X16062" s="9"/>
    </row>
    <row r="16063">
      <c r="D16063" s="9"/>
      <c r="G16063" s="9"/>
      <c r="J16063" s="11"/>
      <c r="U16063" s="9"/>
      <c r="X16063" s="9"/>
    </row>
    <row r="16064">
      <c r="D16064" s="9"/>
      <c r="G16064" s="9"/>
      <c r="J16064" s="11"/>
      <c r="U16064" s="9"/>
      <c r="X16064" s="9"/>
    </row>
    <row r="16065">
      <c r="D16065" s="9"/>
      <c r="G16065" s="9"/>
      <c r="J16065" s="11"/>
      <c r="U16065" s="9"/>
      <c r="X16065" s="9"/>
    </row>
    <row r="16066">
      <c r="D16066" s="9"/>
      <c r="G16066" s="9"/>
      <c r="J16066" s="11"/>
      <c r="U16066" s="9"/>
      <c r="X16066" s="9"/>
    </row>
    <row r="16067">
      <c r="D16067" s="9"/>
      <c r="G16067" s="9"/>
      <c r="J16067" s="11"/>
      <c r="U16067" s="9"/>
      <c r="X16067" s="9"/>
    </row>
    <row r="16068">
      <c r="D16068" s="9"/>
      <c r="G16068" s="9"/>
      <c r="J16068" s="11"/>
      <c r="U16068" s="9"/>
      <c r="X16068" s="9"/>
    </row>
    <row r="16069">
      <c r="D16069" s="9"/>
      <c r="G16069" s="9"/>
      <c r="J16069" s="11"/>
      <c r="U16069" s="9"/>
      <c r="X16069" s="9"/>
    </row>
    <row r="16070">
      <c r="D16070" s="9"/>
      <c r="G16070" s="9"/>
      <c r="J16070" s="11"/>
      <c r="U16070" s="9"/>
      <c r="X16070" s="9"/>
    </row>
    <row r="16071">
      <c r="D16071" s="9"/>
      <c r="G16071" s="9"/>
      <c r="J16071" s="11"/>
      <c r="U16071" s="9"/>
      <c r="X16071" s="9"/>
    </row>
    <row r="16072">
      <c r="D16072" s="9"/>
      <c r="G16072" s="9"/>
      <c r="J16072" s="11"/>
      <c r="U16072" s="9"/>
      <c r="X16072" s="9"/>
    </row>
    <row r="16073">
      <c r="D16073" s="9"/>
      <c r="G16073" s="9"/>
      <c r="J16073" s="11"/>
      <c r="U16073" s="9"/>
      <c r="X16073" s="9"/>
    </row>
    <row r="16074">
      <c r="D16074" s="9"/>
      <c r="G16074" s="9"/>
      <c r="J16074" s="11"/>
      <c r="U16074" s="9"/>
      <c r="X16074" s="9"/>
    </row>
    <row r="16075">
      <c r="D16075" s="9"/>
      <c r="G16075" s="9"/>
      <c r="J16075" s="11"/>
      <c r="U16075" s="9"/>
      <c r="X16075" s="9"/>
    </row>
    <row r="16076">
      <c r="D16076" s="9"/>
      <c r="G16076" s="9"/>
      <c r="J16076" s="11"/>
      <c r="U16076" s="9"/>
      <c r="X16076" s="9"/>
    </row>
    <row r="16077">
      <c r="D16077" s="9"/>
      <c r="G16077" s="9"/>
      <c r="J16077" s="11"/>
      <c r="U16077" s="9"/>
      <c r="X16077" s="9"/>
    </row>
    <row r="16078">
      <c r="D16078" s="9"/>
      <c r="G16078" s="9"/>
      <c r="J16078" s="11"/>
      <c r="U16078" s="9"/>
      <c r="X16078" s="9"/>
    </row>
    <row r="16079">
      <c r="D16079" s="9"/>
      <c r="G16079" s="9"/>
      <c r="J16079" s="11"/>
      <c r="U16079" s="9"/>
      <c r="X16079" s="9"/>
    </row>
    <row r="16080">
      <c r="D16080" s="9"/>
      <c r="G16080" s="9"/>
      <c r="J16080" s="11"/>
      <c r="U16080" s="9"/>
      <c r="X16080" s="9"/>
    </row>
    <row r="16081">
      <c r="D16081" s="9"/>
      <c r="G16081" s="9"/>
      <c r="J16081" s="11"/>
      <c r="U16081" s="9"/>
      <c r="X16081" s="9"/>
    </row>
    <row r="16082">
      <c r="D16082" s="9"/>
      <c r="G16082" s="9"/>
      <c r="J16082" s="11"/>
      <c r="U16082" s="9"/>
      <c r="X16082" s="9"/>
    </row>
    <row r="16083">
      <c r="D16083" s="9"/>
      <c r="G16083" s="9"/>
      <c r="J16083" s="11"/>
      <c r="U16083" s="9"/>
      <c r="X16083" s="9"/>
    </row>
    <row r="16084">
      <c r="D16084" s="9"/>
      <c r="G16084" s="9"/>
      <c r="J16084" s="11"/>
      <c r="U16084" s="9"/>
      <c r="X16084" s="9"/>
    </row>
    <row r="16085">
      <c r="D16085" s="9"/>
      <c r="G16085" s="9"/>
      <c r="J16085" s="11"/>
      <c r="U16085" s="9"/>
      <c r="X16085" s="9"/>
    </row>
    <row r="16086">
      <c r="D16086" s="9"/>
      <c r="G16086" s="9"/>
      <c r="J16086" s="11"/>
      <c r="U16086" s="9"/>
      <c r="X16086" s="9"/>
    </row>
    <row r="16087">
      <c r="D16087" s="9"/>
      <c r="G16087" s="9"/>
      <c r="J16087" s="11"/>
      <c r="U16087" s="9"/>
      <c r="X16087" s="9"/>
    </row>
    <row r="16088">
      <c r="D16088" s="9"/>
      <c r="G16088" s="9"/>
      <c r="J16088" s="11"/>
      <c r="U16088" s="9"/>
      <c r="X16088" s="9"/>
    </row>
    <row r="16089">
      <c r="D16089" s="9"/>
      <c r="G16089" s="9"/>
      <c r="J16089" s="11"/>
      <c r="U16089" s="9"/>
      <c r="X16089" s="9"/>
    </row>
    <row r="16090">
      <c r="D16090" s="9"/>
      <c r="G16090" s="9"/>
      <c r="J16090" s="11"/>
      <c r="U16090" s="9"/>
      <c r="X16090" s="9"/>
    </row>
    <row r="16091">
      <c r="D16091" s="9"/>
      <c r="G16091" s="9"/>
      <c r="J16091" s="11"/>
      <c r="U16091" s="9"/>
      <c r="X16091" s="9"/>
    </row>
    <row r="16092">
      <c r="D16092" s="9"/>
      <c r="G16092" s="9"/>
      <c r="J16092" s="11"/>
      <c r="U16092" s="9"/>
      <c r="X16092" s="9"/>
    </row>
    <row r="16093">
      <c r="D16093" s="9"/>
      <c r="G16093" s="9"/>
      <c r="J16093" s="11"/>
      <c r="U16093" s="9"/>
      <c r="X16093" s="9"/>
    </row>
    <row r="16094">
      <c r="D16094" s="9"/>
      <c r="G16094" s="9"/>
      <c r="J16094" s="11"/>
      <c r="U16094" s="9"/>
      <c r="X16094" s="9"/>
    </row>
    <row r="16095">
      <c r="D16095" s="9"/>
      <c r="G16095" s="9"/>
      <c r="J16095" s="11"/>
      <c r="U16095" s="9"/>
      <c r="X16095" s="9"/>
    </row>
    <row r="16096">
      <c r="D16096" s="9"/>
      <c r="G16096" s="9"/>
      <c r="J16096" s="11"/>
      <c r="U16096" s="9"/>
      <c r="X16096" s="9"/>
    </row>
    <row r="16097">
      <c r="D16097" s="9"/>
      <c r="G16097" s="9"/>
      <c r="J16097" s="11"/>
      <c r="U16097" s="9"/>
      <c r="X16097" s="9"/>
    </row>
    <row r="16098">
      <c r="D16098" s="9"/>
      <c r="G16098" s="9"/>
      <c r="J16098" s="11"/>
      <c r="U16098" s="9"/>
      <c r="X16098" s="9"/>
    </row>
    <row r="16099">
      <c r="D16099" s="9"/>
      <c r="G16099" s="9"/>
      <c r="J16099" s="11"/>
      <c r="U16099" s="9"/>
      <c r="X16099" s="9"/>
    </row>
    <row r="16100">
      <c r="D16100" s="9"/>
      <c r="G16100" s="9"/>
      <c r="J16100" s="11"/>
      <c r="U16100" s="9"/>
      <c r="X16100" s="9"/>
    </row>
    <row r="16101">
      <c r="D16101" s="9"/>
      <c r="G16101" s="9"/>
      <c r="J16101" s="11"/>
      <c r="U16101" s="9"/>
      <c r="X16101" s="9"/>
    </row>
    <row r="16102">
      <c r="D16102" s="9"/>
      <c r="G16102" s="9"/>
      <c r="J16102" s="11"/>
      <c r="U16102" s="9"/>
      <c r="X16102" s="9"/>
    </row>
    <row r="16103">
      <c r="D16103" s="9"/>
      <c r="G16103" s="9"/>
      <c r="J16103" s="11"/>
      <c r="U16103" s="9"/>
      <c r="X16103" s="9"/>
    </row>
    <row r="16104">
      <c r="D16104" s="9"/>
      <c r="G16104" s="9"/>
      <c r="J16104" s="11"/>
      <c r="U16104" s="9"/>
      <c r="X16104" s="9"/>
    </row>
    <row r="16105">
      <c r="D16105" s="9"/>
      <c r="G16105" s="9"/>
      <c r="J16105" s="11"/>
      <c r="U16105" s="9"/>
      <c r="X16105" s="9"/>
    </row>
    <row r="16106">
      <c r="D16106" s="9"/>
      <c r="G16106" s="9"/>
      <c r="J16106" s="11"/>
      <c r="U16106" s="9"/>
      <c r="X16106" s="9"/>
    </row>
    <row r="16107">
      <c r="D16107" s="9"/>
      <c r="G16107" s="9"/>
      <c r="J16107" s="11"/>
      <c r="U16107" s="9"/>
      <c r="X16107" s="9"/>
    </row>
    <row r="16108">
      <c r="D16108" s="9"/>
      <c r="G16108" s="9"/>
      <c r="J16108" s="11"/>
      <c r="U16108" s="9"/>
      <c r="X16108" s="9"/>
    </row>
    <row r="16109">
      <c r="D16109" s="9"/>
      <c r="G16109" s="9"/>
      <c r="J16109" s="11"/>
      <c r="U16109" s="9"/>
      <c r="X16109" s="9"/>
    </row>
    <row r="16110">
      <c r="D16110" s="9"/>
      <c r="G16110" s="9"/>
      <c r="J16110" s="11"/>
      <c r="U16110" s="9"/>
      <c r="X16110" s="9"/>
    </row>
    <row r="16111">
      <c r="D16111" s="9"/>
      <c r="G16111" s="9"/>
      <c r="J16111" s="11"/>
      <c r="U16111" s="9"/>
      <c r="X16111" s="9"/>
    </row>
    <row r="16112">
      <c r="D16112" s="9"/>
      <c r="G16112" s="9"/>
      <c r="J16112" s="11"/>
      <c r="U16112" s="9"/>
      <c r="X16112" s="9"/>
    </row>
    <row r="16113">
      <c r="D16113" s="9"/>
      <c r="G16113" s="9"/>
      <c r="J16113" s="11"/>
      <c r="U16113" s="9"/>
      <c r="X16113" s="9"/>
    </row>
    <row r="16114">
      <c r="D16114" s="9"/>
      <c r="G16114" s="9"/>
      <c r="J16114" s="11"/>
      <c r="U16114" s="9"/>
      <c r="X16114" s="9"/>
    </row>
    <row r="16115">
      <c r="D16115" s="9"/>
      <c r="G16115" s="9"/>
      <c r="J16115" s="11"/>
      <c r="U16115" s="9"/>
      <c r="X16115" s="9"/>
    </row>
    <row r="16116">
      <c r="D16116" s="9"/>
      <c r="G16116" s="9"/>
      <c r="J16116" s="11"/>
      <c r="U16116" s="9"/>
      <c r="X16116" s="9"/>
    </row>
    <row r="16117">
      <c r="D16117" s="9"/>
      <c r="G16117" s="9"/>
      <c r="J16117" s="11"/>
      <c r="U16117" s="9"/>
      <c r="X16117" s="9"/>
    </row>
    <row r="16118">
      <c r="D16118" s="9"/>
      <c r="G16118" s="9"/>
      <c r="J16118" s="11"/>
      <c r="U16118" s="9"/>
      <c r="X16118" s="9"/>
    </row>
    <row r="16119">
      <c r="D16119" s="9"/>
      <c r="G16119" s="9"/>
      <c r="J16119" s="11"/>
      <c r="U16119" s="9"/>
      <c r="X16119" s="9"/>
    </row>
    <row r="16120">
      <c r="D16120" s="9"/>
      <c r="G16120" s="9"/>
      <c r="J16120" s="11"/>
      <c r="U16120" s="9"/>
      <c r="X16120" s="9"/>
    </row>
    <row r="16121">
      <c r="D16121" s="9"/>
      <c r="G16121" s="9"/>
      <c r="J16121" s="11"/>
      <c r="U16121" s="9"/>
      <c r="X16121" s="9"/>
    </row>
    <row r="16122">
      <c r="D16122" s="9"/>
      <c r="G16122" s="9"/>
      <c r="J16122" s="11"/>
      <c r="U16122" s="9"/>
      <c r="X16122" s="9"/>
    </row>
    <row r="16123">
      <c r="D16123" s="9"/>
      <c r="G16123" s="9"/>
      <c r="J16123" s="11"/>
      <c r="U16123" s="9"/>
      <c r="X16123" s="9"/>
    </row>
    <row r="16124">
      <c r="D16124" s="9"/>
      <c r="G16124" s="9"/>
      <c r="J16124" s="11"/>
      <c r="U16124" s="9"/>
      <c r="X16124" s="9"/>
    </row>
    <row r="16125">
      <c r="D16125" s="9"/>
      <c r="G16125" s="9"/>
      <c r="J16125" s="11"/>
      <c r="U16125" s="9"/>
      <c r="X16125" s="9"/>
    </row>
    <row r="16126">
      <c r="D16126" s="9"/>
      <c r="G16126" s="9"/>
      <c r="J16126" s="11"/>
      <c r="U16126" s="9"/>
      <c r="X16126" s="9"/>
    </row>
    <row r="16127">
      <c r="D16127" s="9"/>
      <c r="G16127" s="9"/>
      <c r="J16127" s="11"/>
      <c r="U16127" s="9"/>
      <c r="X16127" s="9"/>
    </row>
    <row r="16128">
      <c r="D16128" s="9"/>
      <c r="G16128" s="9"/>
      <c r="J16128" s="11"/>
      <c r="U16128" s="9"/>
      <c r="X16128" s="9"/>
    </row>
    <row r="16129">
      <c r="D16129" s="9"/>
      <c r="G16129" s="9"/>
      <c r="J16129" s="11"/>
      <c r="U16129" s="9"/>
      <c r="X16129" s="9"/>
    </row>
    <row r="16130">
      <c r="D16130" s="9"/>
      <c r="G16130" s="9"/>
      <c r="J16130" s="11"/>
      <c r="U16130" s="9"/>
      <c r="X16130" s="9"/>
    </row>
    <row r="16131">
      <c r="D16131" s="9"/>
      <c r="G16131" s="9"/>
      <c r="J16131" s="11"/>
      <c r="U16131" s="9"/>
      <c r="X16131" s="9"/>
    </row>
    <row r="16132">
      <c r="D16132" s="9"/>
      <c r="G16132" s="9"/>
      <c r="J16132" s="11"/>
      <c r="U16132" s="9"/>
      <c r="X16132" s="9"/>
    </row>
    <row r="16133">
      <c r="D16133" s="9"/>
      <c r="G16133" s="9"/>
      <c r="J16133" s="11"/>
      <c r="U16133" s="9"/>
      <c r="X16133" s="9"/>
    </row>
    <row r="16134">
      <c r="D16134" s="9"/>
      <c r="G16134" s="9"/>
      <c r="J16134" s="11"/>
      <c r="U16134" s="9"/>
      <c r="X16134" s="9"/>
    </row>
    <row r="16135">
      <c r="D16135" s="9"/>
      <c r="G16135" s="9"/>
      <c r="J16135" s="11"/>
      <c r="U16135" s="9"/>
      <c r="X16135" s="9"/>
    </row>
    <row r="16136">
      <c r="D16136" s="9"/>
      <c r="G16136" s="9"/>
      <c r="J16136" s="11"/>
      <c r="U16136" s="9"/>
      <c r="X16136" s="9"/>
    </row>
    <row r="16137">
      <c r="D16137" s="9"/>
      <c r="G16137" s="9"/>
      <c r="J16137" s="11"/>
      <c r="U16137" s="9"/>
      <c r="X16137" s="9"/>
    </row>
    <row r="16138">
      <c r="D16138" s="9"/>
      <c r="G16138" s="9"/>
      <c r="J16138" s="11"/>
      <c r="U16138" s="9"/>
      <c r="X16138" s="9"/>
    </row>
    <row r="16139">
      <c r="D16139" s="9"/>
      <c r="G16139" s="9"/>
      <c r="J16139" s="11"/>
      <c r="U16139" s="9"/>
      <c r="X16139" s="9"/>
    </row>
    <row r="16140">
      <c r="D16140" s="9"/>
      <c r="G16140" s="9"/>
      <c r="J16140" s="11"/>
      <c r="U16140" s="9"/>
      <c r="X16140" s="9"/>
    </row>
    <row r="16141">
      <c r="D16141" s="9"/>
      <c r="G16141" s="9"/>
      <c r="J16141" s="11"/>
      <c r="U16141" s="9"/>
      <c r="X16141" s="9"/>
    </row>
    <row r="16142">
      <c r="D16142" s="9"/>
      <c r="G16142" s="9"/>
      <c r="J16142" s="11"/>
      <c r="U16142" s="9"/>
      <c r="X16142" s="9"/>
    </row>
    <row r="16143">
      <c r="D16143" s="9"/>
      <c r="G16143" s="9"/>
      <c r="J16143" s="11"/>
      <c r="U16143" s="9"/>
      <c r="X16143" s="9"/>
    </row>
    <row r="16144">
      <c r="D16144" s="9"/>
      <c r="G16144" s="9"/>
      <c r="J16144" s="11"/>
      <c r="U16144" s="9"/>
      <c r="X16144" s="9"/>
    </row>
    <row r="16145">
      <c r="D16145" s="9"/>
      <c r="G16145" s="9"/>
      <c r="J16145" s="11"/>
      <c r="U16145" s="9"/>
      <c r="X16145" s="9"/>
    </row>
    <row r="16146">
      <c r="D16146" s="9"/>
      <c r="G16146" s="9"/>
      <c r="J16146" s="11"/>
      <c r="U16146" s="9"/>
      <c r="X16146" s="9"/>
    </row>
    <row r="16147">
      <c r="D16147" s="9"/>
      <c r="G16147" s="9"/>
      <c r="J16147" s="11"/>
      <c r="U16147" s="9"/>
      <c r="X16147" s="9"/>
    </row>
    <row r="16148">
      <c r="D16148" s="9"/>
      <c r="G16148" s="9"/>
      <c r="J16148" s="11"/>
      <c r="U16148" s="9"/>
      <c r="X16148" s="9"/>
    </row>
    <row r="16149">
      <c r="D16149" s="9"/>
      <c r="G16149" s="9"/>
      <c r="J16149" s="11"/>
      <c r="U16149" s="9"/>
      <c r="X16149" s="9"/>
    </row>
    <row r="16150">
      <c r="D16150" s="9"/>
      <c r="G16150" s="9"/>
      <c r="J16150" s="11"/>
      <c r="U16150" s="9"/>
      <c r="X16150" s="9"/>
    </row>
    <row r="16151">
      <c r="D16151" s="9"/>
      <c r="G16151" s="9"/>
      <c r="J16151" s="11"/>
      <c r="U16151" s="9"/>
      <c r="X16151" s="9"/>
    </row>
    <row r="16152">
      <c r="D16152" s="9"/>
      <c r="G16152" s="9"/>
      <c r="J16152" s="11"/>
      <c r="U16152" s="9"/>
      <c r="X16152" s="9"/>
    </row>
    <row r="16153">
      <c r="D16153" s="9"/>
      <c r="G16153" s="9"/>
      <c r="J16153" s="11"/>
      <c r="U16153" s="9"/>
      <c r="X16153" s="9"/>
    </row>
    <row r="16154">
      <c r="D16154" s="9"/>
      <c r="G16154" s="9"/>
      <c r="J16154" s="11"/>
      <c r="U16154" s="9"/>
      <c r="X16154" s="9"/>
    </row>
    <row r="16155">
      <c r="D16155" s="9"/>
      <c r="G16155" s="9"/>
      <c r="J16155" s="11"/>
      <c r="U16155" s="9"/>
      <c r="X16155" s="9"/>
    </row>
    <row r="16156">
      <c r="D16156" s="9"/>
      <c r="G16156" s="9"/>
      <c r="J16156" s="11"/>
      <c r="U16156" s="9"/>
      <c r="X16156" s="9"/>
    </row>
    <row r="16157">
      <c r="D16157" s="9"/>
      <c r="G16157" s="9"/>
      <c r="J16157" s="11"/>
      <c r="U16157" s="9"/>
      <c r="X16157" s="9"/>
    </row>
    <row r="16158">
      <c r="D16158" s="9"/>
      <c r="G16158" s="9"/>
      <c r="J16158" s="11"/>
      <c r="U16158" s="9"/>
      <c r="X16158" s="9"/>
    </row>
    <row r="16159">
      <c r="D16159" s="9"/>
      <c r="G16159" s="9"/>
      <c r="J16159" s="11"/>
      <c r="U16159" s="9"/>
      <c r="X16159" s="9"/>
    </row>
    <row r="16160">
      <c r="D16160" s="9"/>
      <c r="G16160" s="9"/>
      <c r="J16160" s="11"/>
      <c r="U16160" s="9"/>
      <c r="X16160" s="9"/>
    </row>
    <row r="16161">
      <c r="D16161" s="9"/>
      <c r="G16161" s="9"/>
      <c r="J16161" s="11"/>
      <c r="U16161" s="9"/>
      <c r="X16161" s="9"/>
    </row>
    <row r="16162">
      <c r="D16162" s="9"/>
      <c r="G16162" s="9"/>
      <c r="J16162" s="11"/>
      <c r="U16162" s="9"/>
      <c r="X16162" s="9"/>
    </row>
    <row r="16163">
      <c r="D16163" s="9"/>
      <c r="G16163" s="9"/>
      <c r="J16163" s="11"/>
      <c r="U16163" s="9"/>
      <c r="X16163" s="9"/>
    </row>
    <row r="16164">
      <c r="D16164" s="9"/>
      <c r="G16164" s="9"/>
      <c r="J16164" s="11"/>
      <c r="U16164" s="9"/>
      <c r="X16164" s="9"/>
    </row>
    <row r="16165">
      <c r="D16165" s="9"/>
      <c r="G16165" s="9"/>
      <c r="J16165" s="11"/>
      <c r="U16165" s="9"/>
      <c r="X16165" s="9"/>
    </row>
    <row r="16166">
      <c r="D16166" s="9"/>
      <c r="G16166" s="9"/>
      <c r="J16166" s="11"/>
      <c r="U16166" s="9"/>
      <c r="X16166" s="9"/>
    </row>
    <row r="16167">
      <c r="D16167" s="9"/>
      <c r="G16167" s="9"/>
      <c r="J16167" s="11"/>
      <c r="U16167" s="9"/>
      <c r="X16167" s="9"/>
    </row>
    <row r="16168">
      <c r="D16168" s="9"/>
      <c r="G16168" s="9"/>
      <c r="J16168" s="11"/>
      <c r="U16168" s="9"/>
      <c r="X16168" s="9"/>
    </row>
    <row r="16169">
      <c r="D16169" s="9"/>
      <c r="G16169" s="9"/>
      <c r="J16169" s="11"/>
      <c r="U16169" s="9"/>
      <c r="X16169" s="9"/>
    </row>
    <row r="16170">
      <c r="D16170" s="9"/>
      <c r="G16170" s="9"/>
      <c r="J16170" s="11"/>
      <c r="U16170" s="9"/>
      <c r="X16170" s="9"/>
    </row>
    <row r="16171">
      <c r="D16171" s="9"/>
      <c r="G16171" s="9"/>
      <c r="J16171" s="11"/>
      <c r="U16171" s="9"/>
      <c r="X16171" s="9"/>
    </row>
    <row r="16172">
      <c r="D16172" s="9"/>
      <c r="G16172" s="9"/>
      <c r="J16172" s="11"/>
      <c r="U16172" s="9"/>
      <c r="X16172" s="9"/>
    </row>
    <row r="16173">
      <c r="D16173" s="9"/>
      <c r="G16173" s="9"/>
      <c r="J16173" s="11"/>
      <c r="U16173" s="9"/>
      <c r="X16173" s="9"/>
    </row>
    <row r="16174">
      <c r="D16174" s="9"/>
      <c r="G16174" s="9"/>
      <c r="J16174" s="11"/>
      <c r="U16174" s="9"/>
      <c r="X16174" s="9"/>
    </row>
    <row r="16175">
      <c r="D16175" s="9"/>
      <c r="G16175" s="9"/>
      <c r="J16175" s="11"/>
      <c r="U16175" s="9"/>
      <c r="X16175" s="9"/>
    </row>
    <row r="16176">
      <c r="D16176" s="9"/>
      <c r="G16176" s="9"/>
      <c r="J16176" s="11"/>
      <c r="U16176" s="9"/>
      <c r="X16176" s="9"/>
    </row>
    <row r="16177">
      <c r="D16177" s="9"/>
      <c r="G16177" s="9"/>
      <c r="J16177" s="11"/>
      <c r="U16177" s="9"/>
      <c r="X16177" s="9"/>
    </row>
    <row r="16178">
      <c r="D16178" s="9"/>
      <c r="G16178" s="9"/>
      <c r="J16178" s="11"/>
      <c r="U16178" s="9"/>
      <c r="X16178" s="9"/>
    </row>
    <row r="16179">
      <c r="D16179" s="9"/>
      <c r="G16179" s="9"/>
      <c r="J16179" s="11"/>
      <c r="U16179" s="9"/>
      <c r="X16179" s="9"/>
    </row>
    <row r="16180">
      <c r="D16180" s="9"/>
      <c r="G16180" s="9"/>
      <c r="J16180" s="11"/>
      <c r="U16180" s="9"/>
      <c r="X16180" s="9"/>
    </row>
    <row r="16181">
      <c r="D16181" s="9"/>
      <c r="G16181" s="9"/>
      <c r="J16181" s="11"/>
      <c r="U16181" s="9"/>
      <c r="X16181" s="9"/>
    </row>
    <row r="16182">
      <c r="D16182" s="9"/>
      <c r="G16182" s="9"/>
      <c r="J16182" s="11"/>
      <c r="U16182" s="9"/>
      <c r="X16182" s="9"/>
    </row>
    <row r="16183">
      <c r="D16183" s="9"/>
      <c r="G16183" s="9"/>
      <c r="J16183" s="11"/>
      <c r="U16183" s="9"/>
      <c r="X16183" s="9"/>
    </row>
    <row r="16184">
      <c r="D16184" s="9"/>
      <c r="G16184" s="9"/>
      <c r="J16184" s="11"/>
      <c r="U16184" s="9"/>
      <c r="X16184" s="9"/>
    </row>
    <row r="16185">
      <c r="D16185" s="9"/>
      <c r="G16185" s="9"/>
      <c r="J16185" s="11"/>
      <c r="U16185" s="9"/>
      <c r="X16185" s="9"/>
    </row>
    <row r="16186">
      <c r="D16186" s="9"/>
      <c r="G16186" s="9"/>
      <c r="J16186" s="11"/>
      <c r="U16186" s="9"/>
      <c r="X16186" s="9"/>
    </row>
    <row r="16187">
      <c r="D16187" s="9"/>
      <c r="G16187" s="9"/>
      <c r="J16187" s="11"/>
      <c r="U16187" s="9"/>
      <c r="X16187" s="9"/>
    </row>
    <row r="16188">
      <c r="D16188" s="9"/>
      <c r="G16188" s="9"/>
      <c r="J16188" s="11"/>
      <c r="U16188" s="9"/>
      <c r="X16188" s="9"/>
    </row>
    <row r="16189">
      <c r="D16189" s="9"/>
      <c r="G16189" s="9"/>
      <c r="J16189" s="11"/>
      <c r="U16189" s="9"/>
      <c r="X16189" s="9"/>
    </row>
    <row r="16190">
      <c r="D16190" s="9"/>
      <c r="G16190" s="9"/>
      <c r="J16190" s="11"/>
      <c r="U16190" s="9"/>
      <c r="X16190" s="9"/>
    </row>
    <row r="16191">
      <c r="D16191" s="9"/>
      <c r="G16191" s="9"/>
      <c r="J16191" s="11"/>
      <c r="U16191" s="9"/>
      <c r="X16191" s="9"/>
    </row>
    <row r="16192">
      <c r="D16192" s="9"/>
      <c r="G16192" s="9"/>
      <c r="J16192" s="11"/>
      <c r="U16192" s="9"/>
      <c r="X16192" s="9"/>
    </row>
    <row r="16193">
      <c r="D16193" s="9"/>
      <c r="G16193" s="9"/>
      <c r="J16193" s="11"/>
      <c r="U16193" s="9"/>
      <c r="X16193" s="9"/>
    </row>
    <row r="16194">
      <c r="D16194" s="9"/>
      <c r="G16194" s="9"/>
      <c r="J16194" s="11"/>
      <c r="U16194" s="9"/>
      <c r="X16194" s="9"/>
    </row>
    <row r="16195">
      <c r="D16195" s="9"/>
      <c r="G16195" s="9"/>
      <c r="J16195" s="11"/>
      <c r="U16195" s="9"/>
      <c r="X16195" s="9"/>
    </row>
    <row r="16196">
      <c r="D16196" s="9"/>
      <c r="G16196" s="9"/>
      <c r="J16196" s="11"/>
      <c r="U16196" s="9"/>
      <c r="X16196" s="9"/>
    </row>
    <row r="16197">
      <c r="D16197" s="9"/>
      <c r="G16197" s="9"/>
      <c r="J16197" s="11"/>
      <c r="U16197" s="9"/>
      <c r="X16197" s="9"/>
    </row>
    <row r="16198">
      <c r="D16198" s="9"/>
      <c r="G16198" s="9"/>
      <c r="J16198" s="11"/>
      <c r="U16198" s="9"/>
      <c r="X16198" s="9"/>
    </row>
    <row r="16199">
      <c r="D16199" s="9"/>
      <c r="G16199" s="9"/>
      <c r="J16199" s="11"/>
      <c r="U16199" s="9"/>
      <c r="X16199" s="9"/>
    </row>
    <row r="16200">
      <c r="D16200" s="9"/>
      <c r="G16200" s="9"/>
      <c r="J16200" s="11"/>
      <c r="U16200" s="9"/>
      <c r="X16200" s="9"/>
    </row>
    <row r="16201">
      <c r="D16201" s="9"/>
      <c r="G16201" s="9"/>
      <c r="J16201" s="11"/>
      <c r="U16201" s="9"/>
      <c r="X16201" s="9"/>
    </row>
    <row r="16202">
      <c r="D16202" s="9"/>
      <c r="G16202" s="9"/>
      <c r="J16202" s="11"/>
      <c r="U16202" s="9"/>
      <c r="X16202" s="9"/>
    </row>
    <row r="16203">
      <c r="D16203" s="9"/>
      <c r="G16203" s="9"/>
      <c r="J16203" s="11"/>
      <c r="U16203" s="9"/>
      <c r="X16203" s="9"/>
    </row>
    <row r="16204">
      <c r="D16204" s="9"/>
      <c r="G16204" s="9"/>
      <c r="J16204" s="11"/>
      <c r="U16204" s="9"/>
      <c r="X16204" s="9"/>
    </row>
    <row r="16205">
      <c r="D16205" s="9"/>
      <c r="G16205" s="9"/>
      <c r="J16205" s="11"/>
      <c r="U16205" s="9"/>
      <c r="X16205" s="9"/>
    </row>
    <row r="16206">
      <c r="D16206" s="9"/>
      <c r="G16206" s="9"/>
      <c r="J16206" s="11"/>
      <c r="U16206" s="9"/>
      <c r="X16206" s="9"/>
    </row>
    <row r="16207">
      <c r="D16207" s="9"/>
      <c r="G16207" s="9"/>
      <c r="J16207" s="11"/>
      <c r="U16207" s="9"/>
      <c r="X16207" s="9"/>
    </row>
    <row r="16208">
      <c r="D16208" s="9"/>
      <c r="G16208" s="9"/>
      <c r="J16208" s="11"/>
      <c r="U16208" s="9"/>
      <c r="X16208" s="9"/>
    </row>
    <row r="16209">
      <c r="D16209" s="9"/>
      <c r="G16209" s="9"/>
      <c r="J16209" s="11"/>
      <c r="U16209" s="9"/>
      <c r="X16209" s="9"/>
    </row>
    <row r="16210">
      <c r="D16210" s="9"/>
      <c r="G16210" s="9"/>
      <c r="J16210" s="11"/>
      <c r="U16210" s="9"/>
      <c r="X16210" s="9"/>
    </row>
    <row r="16211">
      <c r="D16211" s="9"/>
      <c r="G16211" s="9"/>
      <c r="J16211" s="11"/>
      <c r="U16211" s="9"/>
      <c r="X16211" s="9"/>
    </row>
    <row r="16212">
      <c r="D16212" s="9"/>
      <c r="G16212" s="9"/>
      <c r="J16212" s="11"/>
      <c r="U16212" s="9"/>
      <c r="X16212" s="9"/>
    </row>
    <row r="16213">
      <c r="D16213" s="9"/>
      <c r="G16213" s="9"/>
      <c r="J16213" s="11"/>
      <c r="U16213" s="9"/>
      <c r="X16213" s="9"/>
    </row>
    <row r="16214">
      <c r="D16214" s="9"/>
      <c r="G16214" s="9"/>
      <c r="J16214" s="11"/>
      <c r="U16214" s="9"/>
      <c r="X16214" s="9"/>
    </row>
    <row r="16215">
      <c r="D16215" s="9"/>
      <c r="G16215" s="9"/>
      <c r="J16215" s="11"/>
      <c r="U16215" s="9"/>
      <c r="X16215" s="9"/>
    </row>
    <row r="16216">
      <c r="D16216" s="9"/>
      <c r="G16216" s="9"/>
      <c r="J16216" s="11"/>
      <c r="U16216" s="9"/>
      <c r="X16216" s="9"/>
    </row>
    <row r="16217">
      <c r="D16217" s="9"/>
      <c r="G16217" s="9"/>
      <c r="J16217" s="11"/>
      <c r="U16217" s="9"/>
      <c r="X16217" s="9"/>
    </row>
    <row r="16218">
      <c r="D16218" s="9"/>
      <c r="G16218" s="9"/>
      <c r="J16218" s="11"/>
      <c r="U16218" s="9"/>
      <c r="X16218" s="9"/>
    </row>
    <row r="16219">
      <c r="D16219" s="9"/>
      <c r="G16219" s="9"/>
      <c r="J16219" s="11"/>
      <c r="U16219" s="9"/>
      <c r="X16219" s="9"/>
    </row>
    <row r="16220">
      <c r="D16220" s="9"/>
      <c r="G16220" s="9"/>
      <c r="J16220" s="11"/>
      <c r="U16220" s="9"/>
      <c r="X16220" s="9"/>
    </row>
    <row r="16221">
      <c r="D16221" s="9"/>
      <c r="G16221" s="9"/>
      <c r="J16221" s="11"/>
      <c r="U16221" s="9"/>
      <c r="X16221" s="9"/>
    </row>
    <row r="16222">
      <c r="D16222" s="9"/>
      <c r="G16222" s="9"/>
      <c r="J16222" s="11"/>
      <c r="U16222" s="9"/>
      <c r="X16222" s="9"/>
    </row>
    <row r="16223">
      <c r="D16223" s="9"/>
      <c r="G16223" s="9"/>
      <c r="J16223" s="11"/>
      <c r="U16223" s="9"/>
      <c r="X16223" s="9"/>
    </row>
    <row r="16224">
      <c r="D16224" s="9"/>
      <c r="G16224" s="9"/>
      <c r="J16224" s="11"/>
      <c r="U16224" s="9"/>
      <c r="X16224" s="9"/>
    </row>
    <row r="16225">
      <c r="D16225" s="9"/>
      <c r="G16225" s="9"/>
      <c r="J16225" s="11"/>
      <c r="U16225" s="9"/>
      <c r="X16225" s="9"/>
    </row>
    <row r="16226">
      <c r="D16226" s="9"/>
      <c r="G16226" s="9"/>
      <c r="J16226" s="11"/>
      <c r="U16226" s="9"/>
      <c r="X16226" s="9"/>
    </row>
    <row r="16227">
      <c r="D16227" s="9"/>
      <c r="G16227" s="9"/>
      <c r="J16227" s="11"/>
      <c r="U16227" s="9"/>
      <c r="X16227" s="9"/>
    </row>
    <row r="16228">
      <c r="D16228" s="9"/>
      <c r="G16228" s="9"/>
      <c r="J16228" s="11"/>
      <c r="U16228" s="9"/>
      <c r="X16228" s="9"/>
    </row>
    <row r="16229">
      <c r="D16229" s="9"/>
      <c r="G16229" s="9"/>
      <c r="J16229" s="11"/>
      <c r="U16229" s="9"/>
      <c r="X16229" s="9"/>
    </row>
    <row r="16230">
      <c r="D16230" s="9"/>
      <c r="G16230" s="9"/>
      <c r="J16230" s="11"/>
      <c r="U16230" s="9"/>
      <c r="X16230" s="9"/>
    </row>
    <row r="16231">
      <c r="D16231" s="9"/>
      <c r="G16231" s="9"/>
      <c r="J16231" s="11"/>
      <c r="U16231" s="9"/>
      <c r="X16231" s="9"/>
    </row>
    <row r="16232">
      <c r="D16232" s="9"/>
      <c r="G16232" s="9"/>
      <c r="J16232" s="11"/>
      <c r="U16232" s="9"/>
      <c r="X16232" s="9"/>
    </row>
    <row r="16233">
      <c r="D16233" s="9"/>
      <c r="G16233" s="9"/>
      <c r="J16233" s="11"/>
      <c r="U16233" s="9"/>
      <c r="X16233" s="9"/>
    </row>
    <row r="16234">
      <c r="D16234" s="9"/>
      <c r="G16234" s="9"/>
      <c r="J16234" s="11"/>
      <c r="U16234" s="9"/>
      <c r="X16234" s="9"/>
    </row>
    <row r="16235">
      <c r="D16235" s="9"/>
      <c r="G16235" s="9"/>
      <c r="J16235" s="11"/>
      <c r="U16235" s="9"/>
      <c r="X16235" s="9"/>
    </row>
    <row r="16236">
      <c r="D16236" s="9"/>
      <c r="G16236" s="9"/>
      <c r="J16236" s="11"/>
      <c r="U16236" s="9"/>
      <c r="X16236" s="9"/>
    </row>
    <row r="16237">
      <c r="D16237" s="9"/>
      <c r="G16237" s="9"/>
      <c r="J16237" s="11"/>
      <c r="U16237" s="9"/>
      <c r="X16237" s="9"/>
    </row>
    <row r="16238">
      <c r="D16238" s="9"/>
      <c r="G16238" s="9"/>
      <c r="J16238" s="11"/>
      <c r="U16238" s="9"/>
      <c r="X16238" s="9"/>
    </row>
    <row r="16239">
      <c r="D16239" s="9"/>
      <c r="G16239" s="9"/>
      <c r="J16239" s="11"/>
      <c r="U16239" s="9"/>
      <c r="X16239" s="9"/>
    </row>
    <row r="16240">
      <c r="D16240" s="9"/>
      <c r="G16240" s="9"/>
      <c r="J16240" s="11"/>
      <c r="U16240" s="9"/>
      <c r="X16240" s="9"/>
    </row>
    <row r="16241">
      <c r="D16241" s="9"/>
      <c r="G16241" s="9"/>
      <c r="J16241" s="11"/>
      <c r="U16241" s="9"/>
      <c r="X16241" s="9"/>
    </row>
    <row r="16242">
      <c r="D16242" s="9"/>
      <c r="G16242" s="9"/>
      <c r="J16242" s="11"/>
      <c r="U16242" s="9"/>
      <c r="X16242" s="9"/>
    </row>
    <row r="16243">
      <c r="D16243" s="9"/>
      <c r="G16243" s="9"/>
      <c r="J16243" s="11"/>
      <c r="U16243" s="9"/>
      <c r="X16243" s="9"/>
    </row>
    <row r="16244">
      <c r="D16244" s="9"/>
      <c r="G16244" s="9"/>
      <c r="J16244" s="11"/>
      <c r="U16244" s="9"/>
      <c r="X16244" s="9"/>
    </row>
    <row r="16245">
      <c r="D16245" s="9"/>
      <c r="G16245" s="9"/>
      <c r="J16245" s="11"/>
      <c r="U16245" s="9"/>
      <c r="X16245" s="9"/>
    </row>
    <row r="16246">
      <c r="D16246" s="9"/>
      <c r="G16246" s="9"/>
      <c r="J16246" s="11"/>
      <c r="U16246" s="9"/>
      <c r="X16246" s="9"/>
    </row>
    <row r="16247">
      <c r="D16247" s="9"/>
      <c r="G16247" s="9"/>
      <c r="J16247" s="11"/>
      <c r="U16247" s="9"/>
      <c r="X16247" s="9"/>
    </row>
    <row r="16248">
      <c r="D16248" s="9"/>
      <c r="G16248" s="9"/>
      <c r="J16248" s="11"/>
      <c r="U16248" s="9"/>
      <c r="X16248" s="9"/>
    </row>
    <row r="16249">
      <c r="D16249" s="9"/>
      <c r="G16249" s="9"/>
      <c r="J16249" s="11"/>
      <c r="U16249" s="9"/>
      <c r="X16249" s="9"/>
    </row>
    <row r="16250">
      <c r="D16250" s="9"/>
      <c r="G16250" s="9"/>
      <c r="J16250" s="11"/>
      <c r="U16250" s="9"/>
      <c r="X16250" s="9"/>
    </row>
    <row r="16251">
      <c r="D16251" s="9"/>
      <c r="G16251" s="9"/>
      <c r="J16251" s="11"/>
      <c r="U16251" s="9"/>
      <c r="X16251" s="9"/>
    </row>
    <row r="16252">
      <c r="D16252" s="9"/>
      <c r="G16252" s="9"/>
      <c r="J16252" s="11"/>
      <c r="U16252" s="9"/>
      <c r="X16252" s="9"/>
    </row>
    <row r="16253">
      <c r="D16253" s="9"/>
      <c r="G16253" s="9"/>
      <c r="J16253" s="11"/>
      <c r="U16253" s="9"/>
      <c r="X16253" s="9"/>
    </row>
    <row r="16254">
      <c r="D16254" s="9"/>
      <c r="G16254" s="9"/>
      <c r="J16254" s="11"/>
      <c r="U16254" s="9"/>
      <c r="X16254" s="9"/>
    </row>
    <row r="16255">
      <c r="D16255" s="9"/>
      <c r="G16255" s="9"/>
      <c r="J16255" s="11"/>
      <c r="U16255" s="9"/>
      <c r="X16255" s="9"/>
    </row>
    <row r="16256">
      <c r="D16256" s="9"/>
      <c r="G16256" s="9"/>
      <c r="J16256" s="11"/>
      <c r="U16256" s="9"/>
      <c r="X16256" s="9"/>
    </row>
    <row r="16257">
      <c r="D16257" s="9"/>
      <c r="G16257" s="9"/>
      <c r="J16257" s="11"/>
      <c r="U16257" s="9"/>
      <c r="X16257" s="9"/>
    </row>
    <row r="16258">
      <c r="D16258" s="9"/>
      <c r="G16258" s="9"/>
      <c r="J16258" s="11"/>
      <c r="U16258" s="9"/>
      <c r="X16258" s="9"/>
    </row>
    <row r="16259">
      <c r="D16259" s="9"/>
      <c r="G16259" s="9"/>
      <c r="J16259" s="11"/>
      <c r="U16259" s="9"/>
      <c r="X16259" s="9"/>
    </row>
    <row r="16260">
      <c r="D16260" s="9"/>
      <c r="G16260" s="9"/>
      <c r="J16260" s="11"/>
      <c r="U16260" s="9"/>
      <c r="X16260" s="9"/>
    </row>
    <row r="16261">
      <c r="D16261" s="9"/>
      <c r="G16261" s="9"/>
      <c r="J16261" s="11"/>
      <c r="U16261" s="9"/>
      <c r="X16261" s="9"/>
    </row>
    <row r="16262">
      <c r="D16262" s="9"/>
      <c r="G16262" s="9"/>
      <c r="J16262" s="11"/>
      <c r="U16262" s="9"/>
      <c r="X16262" s="9"/>
    </row>
    <row r="16263">
      <c r="D16263" s="9"/>
      <c r="G16263" s="9"/>
      <c r="J16263" s="11"/>
      <c r="U16263" s="9"/>
      <c r="X16263" s="9"/>
    </row>
    <row r="16264">
      <c r="D16264" s="9"/>
      <c r="G16264" s="9"/>
      <c r="J16264" s="11"/>
      <c r="U16264" s="9"/>
      <c r="X16264" s="9"/>
    </row>
    <row r="16265">
      <c r="D16265" s="9"/>
      <c r="G16265" s="9"/>
      <c r="J16265" s="11"/>
      <c r="U16265" s="9"/>
      <c r="X16265" s="9"/>
    </row>
    <row r="16266">
      <c r="D16266" s="9"/>
      <c r="G16266" s="9"/>
      <c r="J16266" s="11"/>
      <c r="U16266" s="9"/>
      <c r="X16266" s="9"/>
    </row>
    <row r="16267">
      <c r="D16267" s="9"/>
      <c r="G16267" s="9"/>
      <c r="J16267" s="11"/>
      <c r="U16267" s="9"/>
      <c r="X16267" s="9"/>
    </row>
    <row r="16268">
      <c r="D16268" s="9"/>
      <c r="G16268" s="9"/>
      <c r="J16268" s="11"/>
      <c r="U16268" s="9"/>
      <c r="X16268" s="9"/>
    </row>
    <row r="16269">
      <c r="D16269" s="9"/>
      <c r="G16269" s="9"/>
      <c r="J16269" s="11"/>
      <c r="U16269" s="9"/>
      <c r="X16269" s="9"/>
    </row>
    <row r="16270">
      <c r="D16270" s="9"/>
      <c r="G16270" s="9"/>
      <c r="J16270" s="11"/>
      <c r="U16270" s="9"/>
      <c r="X16270" s="9"/>
    </row>
    <row r="16271">
      <c r="D16271" s="9"/>
      <c r="G16271" s="9"/>
      <c r="J16271" s="11"/>
      <c r="U16271" s="9"/>
      <c r="X16271" s="9"/>
    </row>
    <row r="16272">
      <c r="D16272" s="9"/>
      <c r="G16272" s="9"/>
      <c r="J16272" s="11"/>
      <c r="U16272" s="9"/>
      <c r="X16272" s="9"/>
    </row>
    <row r="16273">
      <c r="D16273" s="9"/>
      <c r="G16273" s="9"/>
      <c r="J16273" s="11"/>
      <c r="U16273" s="9"/>
      <c r="X16273" s="9"/>
    </row>
    <row r="16274">
      <c r="D16274" s="9"/>
      <c r="G16274" s="9"/>
      <c r="J16274" s="11"/>
      <c r="U16274" s="9"/>
      <c r="X16274" s="9"/>
    </row>
    <row r="16275">
      <c r="D16275" s="9"/>
      <c r="G16275" s="9"/>
      <c r="J16275" s="11"/>
      <c r="U16275" s="9"/>
      <c r="X16275" s="9"/>
    </row>
    <row r="16276">
      <c r="D16276" s="9"/>
      <c r="G16276" s="9"/>
      <c r="J16276" s="11"/>
      <c r="U16276" s="9"/>
      <c r="X16276" s="9"/>
    </row>
    <row r="16277">
      <c r="D16277" s="9"/>
      <c r="G16277" s="9"/>
      <c r="J16277" s="11"/>
      <c r="U16277" s="9"/>
      <c r="X16277" s="9"/>
    </row>
    <row r="16278">
      <c r="D16278" s="9"/>
      <c r="G16278" s="9"/>
      <c r="J16278" s="11"/>
      <c r="U16278" s="9"/>
      <c r="X16278" s="9"/>
    </row>
    <row r="16279">
      <c r="D16279" s="9"/>
      <c r="G16279" s="9"/>
      <c r="J16279" s="11"/>
      <c r="U16279" s="9"/>
      <c r="X16279" s="9"/>
    </row>
    <row r="16280">
      <c r="D16280" s="9"/>
      <c r="G16280" s="9"/>
      <c r="J16280" s="11"/>
      <c r="U16280" s="9"/>
      <c r="X16280" s="9"/>
    </row>
    <row r="16281">
      <c r="D16281" s="9"/>
      <c r="G16281" s="9"/>
      <c r="J16281" s="11"/>
      <c r="U16281" s="9"/>
      <c r="X16281" s="9"/>
    </row>
    <row r="16282">
      <c r="D16282" s="9"/>
      <c r="G16282" s="9"/>
      <c r="J16282" s="11"/>
      <c r="U16282" s="9"/>
      <c r="X16282" s="9"/>
    </row>
    <row r="16283">
      <c r="D16283" s="9"/>
      <c r="G16283" s="9"/>
      <c r="J16283" s="11"/>
      <c r="U16283" s="9"/>
      <c r="X16283" s="9"/>
    </row>
    <row r="16284">
      <c r="D16284" s="9"/>
      <c r="G16284" s="9"/>
      <c r="J16284" s="11"/>
      <c r="U16284" s="9"/>
      <c r="X16284" s="9"/>
    </row>
    <row r="16285">
      <c r="D16285" s="9"/>
      <c r="G16285" s="9"/>
      <c r="J16285" s="11"/>
      <c r="U16285" s="9"/>
      <c r="X16285" s="9"/>
    </row>
    <row r="16286">
      <c r="D16286" s="9"/>
      <c r="G16286" s="9"/>
      <c r="J16286" s="11"/>
      <c r="U16286" s="9"/>
      <c r="X16286" s="9"/>
    </row>
    <row r="16287">
      <c r="D16287" s="9"/>
      <c r="G16287" s="9"/>
      <c r="J16287" s="11"/>
      <c r="U16287" s="9"/>
      <c r="X16287" s="9"/>
    </row>
    <row r="16288">
      <c r="D16288" s="9"/>
      <c r="G16288" s="9"/>
      <c r="J16288" s="11"/>
      <c r="U16288" s="9"/>
      <c r="X16288" s="9"/>
    </row>
    <row r="16289">
      <c r="D16289" s="9"/>
      <c r="G16289" s="9"/>
      <c r="J16289" s="11"/>
      <c r="U16289" s="9"/>
      <c r="X16289" s="9"/>
    </row>
    <row r="16290">
      <c r="D16290" s="9"/>
      <c r="G16290" s="9"/>
      <c r="J16290" s="11"/>
      <c r="U16290" s="9"/>
      <c r="X16290" s="9"/>
    </row>
    <row r="16291">
      <c r="D16291" s="9"/>
      <c r="G16291" s="9"/>
      <c r="J16291" s="11"/>
      <c r="U16291" s="9"/>
      <c r="X16291" s="9"/>
    </row>
    <row r="16292">
      <c r="D16292" s="9"/>
      <c r="G16292" s="9"/>
      <c r="J16292" s="11"/>
      <c r="U16292" s="9"/>
      <c r="X16292" s="9"/>
    </row>
    <row r="16293">
      <c r="D16293" s="9"/>
      <c r="G16293" s="9"/>
      <c r="J16293" s="11"/>
      <c r="U16293" s="9"/>
      <c r="X16293" s="9"/>
    </row>
    <row r="16294">
      <c r="D16294" s="9"/>
      <c r="G16294" s="9"/>
      <c r="J16294" s="11"/>
      <c r="U16294" s="9"/>
      <c r="X16294" s="9"/>
    </row>
    <row r="16295">
      <c r="D16295" s="9"/>
      <c r="G16295" s="9"/>
      <c r="J16295" s="11"/>
      <c r="U16295" s="9"/>
      <c r="X16295" s="9"/>
    </row>
    <row r="16296">
      <c r="D16296" s="9"/>
      <c r="G16296" s="9"/>
      <c r="J16296" s="11"/>
      <c r="U16296" s="9"/>
      <c r="X16296" s="9"/>
    </row>
    <row r="16297">
      <c r="D16297" s="9"/>
      <c r="G16297" s="9"/>
      <c r="J16297" s="11"/>
      <c r="U16297" s="9"/>
      <c r="X16297" s="9"/>
    </row>
    <row r="16298">
      <c r="D16298" s="9"/>
      <c r="G16298" s="9"/>
      <c r="J16298" s="11"/>
      <c r="U16298" s="9"/>
      <c r="X16298" s="9"/>
    </row>
    <row r="16299">
      <c r="D16299" s="9"/>
      <c r="G16299" s="9"/>
      <c r="J16299" s="11"/>
      <c r="U16299" s="9"/>
      <c r="X16299" s="9"/>
    </row>
    <row r="16300">
      <c r="D16300" s="9"/>
      <c r="G16300" s="9"/>
      <c r="J16300" s="11"/>
      <c r="U16300" s="9"/>
      <c r="X16300" s="9"/>
    </row>
    <row r="16301">
      <c r="D16301" s="9"/>
      <c r="G16301" s="9"/>
      <c r="J16301" s="11"/>
      <c r="U16301" s="9"/>
      <c r="X16301" s="9"/>
    </row>
    <row r="16302">
      <c r="D16302" s="9"/>
      <c r="G16302" s="9"/>
      <c r="J16302" s="11"/>
      <c r="U16302" s="9"/>
      <c r="X16302" s="9"/>
    </row>
    <row r="16303">
      <c r="D16303" s="9"/>
      <c r="G16303" s="9"/>
      <c r="J16303" s="11"/>
      <c r="U16303" s="9"/>
      <c r="X16303" s="9"/>
    </row>
    <row r="16304">
      <c r="D16304" s="9"/>
      <c r="G16304" s="9"/>
      <c r="J16304" s="11"/>
      <c r="U16304" s="9"/>
      <c r="X16304" s="9"/>
    </row>
    <row r="16305">
      <c r="D16305" s="9"/>
      <c r="G16305" s="9"/>
      <c r="J16305" s="11"/>
      <c r="U16305" s="9"/>
      <c r="X16305" s="9"/>
    </row>
    <row r="16306">
      <c r="D16306" s="9"/>
      <c r="G16306" s="9"/>
      <c r="J16306" s="11"/>
      <c r="U16306" s="9"/>
      <c r="X16306" s="9"/>
    </row>
    <row r="16307">
      <c r="D16307" s="9"/>
      <c r="G16307" s="9"/>
      <c r="J16307" s="11"/>
      <c r="U16307" s="9"/>
      <c r="X16307" s="9"/>
    </row>
    <row r="16308">
      <c r="D16308" s="9"/>
      <c r="G16308" s="9"/>
      <c r="J16308" s="11"/>
      <c r="U16308" s="9"/>
      <c r="X16308" s="9"/>
    </row>
    <row r="16309">
      <c r="D16309" s="9"/>
      <c r="G16309" s="9"/>
      <c r="J16309" s="11"/>
      <c r="U16309" s="9"/>
      <c r="X16309" s="9"/>
    </row>
    <row r="16310">
      <c r="D16310" s="9"/>
      <c r="G16310" s="9"/>
      <c r="J16310" s="11"/>
      <c r="U16310" s="9"/>
      <c r="X16310" s="9"/>
    </row>
    <row r="16311">
      <c r="D16311" s="9"/>
      <c r="G16311" s="9"/>
      <c r="J16311" s="11"/>
      <c r="U16311" s="9"/>
      <c r="X16311" s="9"/>
    </row>
    <row r="16312">
      <c r="D16312" s="9"/>
      <c r="G16312" s="9"/>
      <c r="J16312" s="11"/>
      <c r="U16312" s="9"/>
      <c r="X16312" s="9"/>
    </row>
    <row r="16313">
      <c r="D16313" s="9"/>
      <c r="G16313" s="9"/>
      <c r="J16313" s="11"/>
      <c r="U16313" s="9"/>
      <c r="X16313" s="9"/>
    </row>
    <row r="16314">
      <c r="D16314" s="9"/>
      <c r="G16314" s="9"/>
      <c r="J16314" s="11"/>
      <c r="U16314" s="9"/>
      <c r="X16314" s="9"/>
    </row>
    <row r="16315">
      <c r="D16315" s="9"/>
      <c r="G16315" s="9"/>
      <c r="J16315" s="11"/>
      <c r="U16315" s="9"/>
      <c r="X16315" s="9"/>
    </row>
    <row r="16316">
      <c r="D16316" s="9"/>
      <c r="G16316" s="9"/>
      <c r="J16316" s="11"/>
      <c r="U16316" s="9"/>
      <c r="X16316" s="9"/>
    </row>
    <row r="16317">
      <c r="D16317" s="9"/>
      <c r="G16317" s="9"/>
      <c r="J16317" s="11"/>
      <c r="U16317" s="9"/>
      <c r="X16317" s="9"/>
    </row>
    <row r="16318">
      <c r="D16318" s="9"/>
      <c r="G16318" s="9"/>
      <c r="J16318" s="11"/>
      <c r="U16318" s="9"/>
      <c r="X16318" s="9"/>
    </row>
    <row r="16319">
      <c r="D16319" s="9"/>
      <c r="G16319" s="9"/>
      <c r="J16319" s="11"/>
      <c r="U16319" s="9"/>
      <c r="X16319" s="9"/>
    </row>
    <row r="16320">
      <c r="D16320" s="9"/>
      <c r="G16320" s="9"/>
      <c r="J16320" s="11"/>
      <c r="U16320" s="9"/>
      <c r="X16320" s="9"/>
    </row>
    <row r="16321">
      <c r="D16321" s="9"/>
      <c r="G16321" s="9"/>
      <c r="J16321" s="11"/>
      <c r="U16321" s="9"/>
      <c r="X16321" s="9"/>
    </row>
    <row r="16322">
      <c r="D16322" s="9"/>
      <c r="G16322" s="9"/>
      <c r="J16322" s="11"/>
      <c r="U16322" s="9"/>
      <c r="X16322" s="9"/>
    </row>
    <row r="16323">
      <c r="D16323" s="9"/>
      <c r="G16323" s="9"/>
      <c r="J16323" s="11"/>
      <c r="U16323" s="9"/>
      <c r="X16323" s="9"/>
    </row>
    <row r="16324">
      <c r="D16324" s="9"/>
      <c r="G16324" s="9"/>
      <c r="J16324" s="11"/>
      <c r="U16324" s="9"/>
      <c r="X16324" s="9"/>
    </row>
    <row r="16325">
      <c r="D16325" s="9"/>
      <c r="G16325" s="9"/>
      <c r="J16325" s="11"/>
      <c r="U16325" s="9"/>
      <c r="X16325" s="9"/>
    </row>
    <row r="16326">
      <c r="D16326" s="9"/>
      <c r="G16326" s="9"/>
      <c r="J16326" s="11"/>
      <c r="U16326" s="9"/>
      <c r="X16326" s="9"/>
    </row>
    <row r="16327">
      <c r="D16327" s="9"/>
      <c r="G16327" s="9"/>
      <c r="J16327" s="11"/>
      <c r="U16327" s="9"/>
      <c r="X16327" s="9"/>
    </row>
    <row r="16328">
      <c r="D16328" s="9"/>
      <c r="G16328" s="9"/>
      <c r="J16328" s="11"/>
      <c r="U16328" s="9"/>
      <c r="X16328" s="9"/>
    </row>
    <row r="16329">
      <c r="D16329" s="9"/>
      <c r="G16329" s="9"/>
      <c r="J16329" s="11"/>
      <c r="U16329" s="9"/>
      <c r="X16329" s="9"/>
    </row>
    <row r="16330">
      <c r="D16330" s="9"/>
      <c r="G16330" s="9"/>
      <c r="J16330" s="11"/>
      <c r="U16330" s="9"/>
      <c r="X16330" s="9"/>
    </row>
    <row r="16331">
      <c r="D16331" s="9"/>
      <c r="G16331" s="9"/>
      <c r="J16331" s="11"/>
      <c r="U16331" s="9"/>
      <c r="X16331" s="9"/>
    </row>
    <row r="16332">
      <c r="D16332" s="9"/>
      <c r="G16332" s="9"/>
      <c r="J16332" s="11"/>
      <c r="U16332" s="9"/>
      <c r="X16332" s="9"/>
    </row>
    <row r="16333">
      <c r="D16333" s="9"/>
      <c r="G16333" s="9"/>
      <c r="J16333" s="11"/>
      <c r="U16333" s="9"/>
      <c r="X16333" s="9"/>
    </row>
    <row r="16334">
      <c r="D16334" s="9"/>
      <c r="G16334" s="9"/>
      <c r="J16334" s="11"/>
      <c r="U16334" s="9"/>
      <c r="X16334" s="9"/>
    </row>
    <row r="16335">
      <c r="D16335" s="9"/>
      <c r="G16335" s="9"/>
      <c r="J16335" s="11"/>
      <c r="U16335" s="9"/>
      <c r="X16335" s="9"/>
    </row>
    <row r="16336">
      <c r="D16336" s="9"/>
      <c r="G16336" s="9"/>
      <c r="J16336" s="11"/>
      <c r="U16336" s="9"/>
      <c r="X16336" s="9"/>
    </row>
    <row r="16337">
      <c r="D16337" s="9"/>
      <c r="G16337" s="9"/>
      <c r="J16337" s="11"/>
      <c r="U16337" s="9"/>
      <c r="X16337" s="9"/>
    </row>
    <row r="16338">
      <c r="D16338" s="9"/>
      <c r="G16338" s="9"/>
      <c r="J16338" s="11"/>
      <c r="U16338" s="9"/>
      <c r="X16338" s="9"/>
    </row>
    <row r="16339">
      <c r="D16339" s="9"/>
      <c r="G16339" s="9"/>
      <c r="J16339" s="11"/>
      <c r="U16339" s="9"/>
      <c r="X16339" s="9"/>
    </row>
    <row r="16340">
      <c r="D16340" s="9"/>
      <c r="G16340" s="9"/>
      <c r="J16340" s="11"/>
      <c r="U16340" s="9"/>
      <c r="X16340" s="9"/>
    </row>
    <row r="16341">
      <c r="D16341" s="9"/>
      <c r="G16341" s="9"/>
      <c r="J16341" s="11"/>
      <c r="U16341" s="9"/>
      <c r="X16341" s="9"/>
    </row>
    <row r="16342">
      <c r="D16342" s="9"/>
      <c r="G16342" s="9"/>
      <c r="J16342" s="11"/>
      <c r="U16342" s="9"/>
      <c r="X16342" s="9"/>
    </row>
    <row r="16343">
      <c r="D16343" s="9"/>
      <c r="G16343" s="9"/>
      <c r="J16343" s="11"/>
      <c r="U16343" s="9"/>
      <c r="X16343" s="9"/>
    </row>
    <row r="16344">
      <c r="D16344" s="9"/>
      <c r="G16344" s="9"/>
      <c r="J16344" s="11"/>
      <c r="U16344" s="9"/>
      <c r="X16344" s="9"/>
    </row>
    <row r="16345">
      <c r="D16345" s="9"/>
      <c r="G16345" s="9"/>
      <c r="J16345" s="11"/>
      <c r="U16345" s="9"/>
      <c r="X16345" s="9"/>
    </row>
    <row r="16346">
      <c r="D16346" s="9"/>
      <c r="G16346" s="9"/>
      <c r="J16346" s="11"/>
      <c r="U16346" s="9"/>
      <c r="X16346" s="9"/>
    </row>
    <row r="16347">
      <c r="D16347" s="9"/>
      <c r="G16347" s="9"/>
      <c r="J16347" s="11"/>
      <c r="U16347" s="9"/>
      <c r="X16347" s="9"/>
    </row>
    <row r="16348">
      <c r="D16348" s="9"/>
      <c r="G16348" s="9"/>
      <c r="J16348" s="11"/>
      <c r="U16348" s="9"/>
      <c r="X16348" s="9"/>
    </row>
    <row r="16349">
      <c r="D16349" s="9"/>
      <c r="G16349" s="9"/>
      <c r="J16349" s="11"/>
      <c r="U16349" s="9"/>
      <c r="X16349" s="9"/>
    </row>
    <row r="16350">
      <c r="D16350" s="9"/>
      <c r="G16350" s="9"/>
      <c r="J16350" s="11"/>
      <c r="U16350" s="9"/>
      <c r="X16350" s="9"/>
    </row>
    <row r="16351">
      <c r="D16351" s="9"/>
      <c r="G16351" s="9"/>
      <c r="J16351" s="11"/>
      <c r="U16351" s="9"/>
      <c r="X16351" s="9"/>
    </row>
    <row r="16352">
      <c r="D16352" s="9"/>
      <c r="G16352" s="9"/>
      <c r="J16352" s="11"/>
      <c r="U16352" s="9"/>
      <c r="X16352" s="9"/>
    </row>
    <row r="16353">
      <c r="D16353" s="9"/>
      <c r="G16353" s="9"/>
      <c r="J16353" s="11"/>
      <c r="U16353" s="9"/>
      <c r="X16353" s="9"/>
    </row>
    <row r="16354">
      <c r="D16354" s="9"/>
      <c r="G16354" s="9"/>
      <c r="J16354" s="11"/>
      <c r="U16354" s="9"/>
      <c r="X16354" s="9"/>
    </row>
    <row r="16355">
      <c r="D16355" s="9"/>
      <c r="G16355" s="9"/>
      <c r="J16355" s="11"/>
      <c r="U16355" s="9"/>
      <c r="X16355" s="9"/>
    </row>
    <row r="16356">
      <c r="D16356" s="9"/>
      <c r="G16356" s="9"/>
      <c r="J16356" s="11"/>
      <c r="U16356" s="9"/>
      <c r="X16356" s="9"/>
    </row>
    <row r="16357">
      <c r="D16357" s="9"/>
      <c r="G16357" s="9"/>
      <c r="J16357" s="11"/>
      <c r="U16357" s="9"/>
      <c r="X16357" s="9"/>
    </row>
    <row r="16358">
      <c r="D16358" s="9"/>
      <c r="G16358" s="9"/>
      <c r="J16358" s="11"/>
      <c r="U16358" s="9"/>
      <c r="X16358" s="9"/>
    </row>
    <row r="16359">
      <c r="D16359" s="9"/>
      <c r="G16359" s="9"/>
      <c r="J16359" s="11"/>
      <c r="U16359" s="9"/>
      <c r="X16359" s="9"/>
    </row>
    <row r="16360">
      <c r="D16360" s="9"/>
      <c r="G16360" s="9"/>
      <c r="J16360" s="11"/>
      <c r="U16360" s="9"/>
      <c r="X16360" s="9"/>
    </row>
    <row r="16361">
      <c r="D16361" s="9"/>
      <c r="G16361" s="9"/>
      <c r="J16361" s="11"/>
      <c r="U16361" s="9"/>
      <c r="X16361" s="9"/>
    </row>
    <row r="16362">
      <c r="D16362" s="9"/>
      <c r="G16362" s="9"/>
      <c r="J16362" s="11"/>
      <c r="U16362" s="9"/>
      <c r="X16362" s="9"/>
    </row>
    <row r="16363">
      <c r="D16363" s="9"/>
      <c r="G16363" s="9"/>
      <c r="J16363" s="11"/>
      <c r="U16363" s="9"/>
      <c r="X16363" s="9"/>
    </row>
    <row r="16364">
      <c r="D16364" s="9"/>
      <c r="G16364" s="9"/>
      <c r="J16364" s="11"/>
      <c r="U16364" s="9"/>
      <c r="X16364" s="9"/>
    </row>
    <row r="16365">
      <c r="D16365" s="9"/>
      <c r="G16365" s="9"/>
      <c r="J16365" s="11"/>
      <c r="U16365" s="9"/>
      <c r="X16365" s="9"/>
    </row>
    <row r="16366">
      <c r="D16366" s="9"/>
      <c r="G16366" s="9"/>
      <c r="J16366" s="11"/>
      <c r="U16366" s="9"/>
      <c r="X16366" s="9"/>
    </row>
    <row r="16367">
      <c r="D16367" s="9"/>
      <c r="G16367" s="9"/>
      <c r="J16367" s="11"/>
      <c r="U16367" s="9"/>
      <c r="X16367" s="9"/>
    </row>
    <row r="16368">
      <c r="D16368" s="9"/>
      <c r="G16368" s="9"/>
      <c r="J16368" s="11"/>
      <c r="U16368" s="9"/>
      <c r="X16368" s="9"/>
    </row>
    <row r="16369">
      <c r="D16369" s="9"/>
      <c r="G16369" s="9"/>
      <c r="J16369" s="11"/>
      <c r="U16369" s="9"/>
      <c r="X16369" s="9"/>
    </row>
    <row r="16370">
      <c r="D16370" s="9"/>
      <c r="G16370" s="9"/>
      <c r="J16370" s="11"/>
      <c r="U16370" s="9"/>
      <c r="X16370" s="9"/>
    </row>
    <row r="16371">
      <c r="D16371" s="9"/>
      <c r="G16371" s="9"/>
      <c r="J16371" s="11"/>
      <c r="U16371" s="9"/>
      <c r="X16371" s="9"/>
    </row>
    <row r="16372">
      <c r="D16372" s="9"/>
      <c r="G16372" s="9"/>
      <c r="J16372" s="11"/>
      <c r="U16372" s="9"/>
      <c r="X16372" s="9"/>
    </row>
    <row r="16373">
      <c r="D16373" s="9"/>
      <c r="G16373" s="9"/>
      <c r="J16373" s="11"/>
      <c r="U16373" s="9"/>
      <c r="X16373" s="9"/>
    </row>
    <row r="16374">
      <c r="D16374" s="9"/>
      <c r="G16374" s="9"/>
      <c r="J16374" s="11"/>
      <c r="U16374" s="9"/>
      <c r="X16374" s="9"/>
    </row>
    <row r="16375">
      <c r="D16375" s="9"/>
      <c r="G16375" s="9"/>
      <c r="J16375" s="11"/>
      <c r="U16375" s="9"/>
      <c r="X16375" s="9"/>
    </row>
    <row r="16376">
      <c r="D16376" s="9"/>
      <c r="G16376" s="9"/>
      <c r="J16376" s="11"/>
      <c r="U16376" s="9"/>
      <c r="X16376" s="9"/>
    </row>
    <row r="16377">
      <c r="D16377" s="9"/>
      <c r="G16377" s="9"/>
      <c r="J16377" s="11"/>
      <c r="U16377" s="9"/>
      <c r="X16377" s="9"/>
    </row>
    <row r="16378">
      <c r="D16378" s="9"/>
      <c r="G16378" s="9"/>
      <c r="J16378" s="11"/>
      <c r="U16378" s="9"/>
      <c r="X16378" s="9"/>
    </row>
    <row r="16379">
      <c r="D16379" s="9"/>
      <c r="G16379" s="9"/>
      <c r="J16379" s="11"/>
      <c r="U16379" s="9"/>
      <c r="X16379" s="9"/>
    </row>
    <row r="16380">
      <c r="D16380" s="9"/>
      <c r="G16380" s="9"/>
      <c r="J16380" s="11"/>
      <c r="U16380" s="9"/>
      <c r="X16380" s="9"/>
    </row>
    <row r="16381">
      <c r="D16381" s="9"/>
      <c r="G16381" s="9"/>
      <c r="J16381" s="11"/>
      <c r="U16381" s="9"/>
      <c r="X16381" s="9"/>
    </row>
    <row r="16382">
      <c r="D16382" s="9"/>
      <c r="G16382" s="9"/>
      <c r="J16382" s="11"/>
      <c r="U16382" s="9"/>
      <c r="X16382" s="9"/>
    </row>
    <row r="16383">
      <c r="D16383" s="9"/>
      <c r="G16383" s="9"/>
      <c r="J16383" s="11"/>
      <c r="U16383" s="9"/>
      <c r="X16383" s="9"/>
    </row>
    <row r="16384">
      <c r="D16384" s="9"/>
      <c r="G16384" s="9"/>
      <c r="J16384" s="11"/>
      <c r="U16384" s="9"/>
      <c r="X16384" s="9"/>
    </row>
    <row r="16385">
      <c r="D16385" s="9"/>
      <c r="G16385" s="9"/>
      <c r="J16385" s="11"/>
      <c r="U16385" s="9"/>
      <c r="X16385" s="9"/>
    </row>
    <row r="16386">
      <c r="D16386" s="9"/>
      <c r="G16386" s="9"/>
      <c r="J16386" s="11"/>
      <c r="U16386" s="9"/>
      <c r="X16386" s="9"/>
    </row>
    <row r="16387">
      <c r="D16387" s="9"/>
      <c r="G16387" s="9"/>
      <c r="J16387" s="11"/>
      <c r="U16387" s="9"/>
      <c r="X16387" s="9"/>
    </row>
    <row r="16388">
      <c r="D16388" s="9"/>
      <c r="G16388" s="9"/>
      <c r="J16388" s="11"/>
      <c r="U16388" s="9"/>
      <c r="X16388" s="9"/>
    </row>
    <row r="16389">
      <c r="D16389" s="9"/>
      <c r="G16389" s="9"/>
      <c r="J16389" s="11"/>
      <c r="U16389" s="9"/>
      <c r="X16389" s="9"/>
    </row>
    <row r="16390">
      <c r="D16390" s="9"/>
      <c r="G16390" s="9"/>
      <c r="J16390" s="11"/>
      <c r="U16390" s="9"/>
      <c r="X16390" s="9"/>
    </row>
    <row r="16391">
      <c r="D16391" s="9"/>
      <c r="G16391" s="9"/>
      <c r="J16391" s="11"/>
      <c r="U16391" s="9"/>
      <c r="X16391" s="9"/>
    </row>
    <row r="16392">
      <c r="D16392" s="9"/>
      <c r="G16392" s="9"/>
      <c r="J16392" s="11"/>
      <c r="U16392" s="9"/>
      <c r="X16392" s="9"/>
    </row>
    <row r="16393">
      <c r="D16393" s="9"/>
      <c r="G16393" s="9"/>
      <c r="J16393" s="11"/>
      <c r="U16393" s="9"/>
      <c r="X16393" s="9"/>
    </row>
    <row r="16394">
      <c r="D16394" s="9"/>
      <c r="G16394" s="9"/>
      <c r="J16394" s="11"/>
      <c r="U16394" s="9"/>
      <c r="X16394" s="9"/>
    </row>
    <row r="16395">
      <c r="D16395" s="9"/>
      <c r="G16395" s="9"/>
      <c r="J16395" s="11"/>
      <c r="U16395" s="9"/>
      <c r="X16395" s="9"/>
    </row>
    <row r="16396">
      <c r="D16396" s="9"/>
      <c r="G16396" s="9"/>
      <c r="J16396" s="11"/>
      <c r="U16396" s="9"/>
      <c r="X16396" s="9"/>
    </row>
    <row r="16397">
      <c r="D16397" s="9"/>
      <c r="G16397" s="9"/>
      <c r="J16397" s="11"/>
      <c r="U16397" s="9"/>
      <c r="X16397" s="9"/>
    </row>
    <row r="16398">
      <c r="D16398" s="9"/>
      <c r="G16398" s="9"/>
      <c r="J16398" s="11"/>
      <c r="U16398" s="9"/>
      <c r="X16398" s="9"/>
    </row>
    <row r="16399">
      <c r="D16399" s="9"/>
      <c r="G16399" s="9"/>
      <c r="J16399" s="11"/>
      <c r="U16399" s="9"/>
      <c r="X16399" s="9"/>
    </row>
    <row r="16400">
      <c r="D16400" s="9"/>
      <c r="G16400" s="9"/>
      <c r="J16400" s="11"/>
      <c r="U16400" s="9"/>
      <c r="X16400" s="9"/>
    </row>
    <row r="16401">
      <c r="D16401" s="9"/>
      <c r="G16401" s="9"/>
      <c r="J16401" s="11"/>
      <c r="U16401" s="9"/>
      <c r="X16401" s="9"/>
    </row>
    <row r="16402">
      <c r="D16402" s="9"/>
      <c r="G16402" s="9"/>
      <c r="J16402" s="11"/>
      <c r="U16402" s="9"/>
      <c r="X16402" s="9"/>
    </row>
    <row r="16403">
      <c r="D16403" s="9"/>
      <c r="G16403" s="9"/>
      <c r="J16403" s="11"/>
      <c r="U16403" s="9"/>
      <c r="X16403" s="9"/>
    </row>
    <row r="16404">
      <c r="D16404" s="9"/>
      <c r="G16404" s="9"/>
      <c r="J16404" s="11"/>
      <c r="U16404" s="9"/>
      <c r="X16404" s="9"/>
    </row>
    <row r="16405">
      <c r="D16405" s="9"/>
      <c r="G16405" s="9"/>
      <c r="J16405" s="11"/>
      <c r="U16405" s="9"/>
      <c r="X16405" s="9"/>
    </row>
    <row r="16406">
      <c r="D16406" s="9"/>
      <c r="G16406" s="9"/>
      <c r="J16406" s="11"/>
      <c r="U16406" s="9"/>
      <c r="X16406" s="9"/>
    </row>
    <row r="16407">
      <c r="D16407" s="9"/>
      <c r="G16407" s="9"/>
      <c r="J16407" s="11"/>
      <c r="U16407" s="9"/>
      <c r="X16407" s="9"/>
    </row>
    <row r="16408">
      <c r="D16408" s="9"/>
      <c r="G16408" s="9"/>
      <c r="J16408" s="11"/>
      <c r="U16408" s="9"/>
      <c r="X16408" s="9"/>
    </row>
    <row r="16409">
      <c r="D16409" s="9"/>
      <c r="G16409" s="9"/>
      <c r="J16409" s="11"/>
      <c r="U16409" s="9"/>
      <c r="X16409" s="9"/>
    </row>
    <row r="16410">
      <c r="D16410" s="9"/>
      <c r="G16410" s="9"/>
      <c r="J16410" s="11"/>
      <c r="U16410" s="9"/>
      <c r="X16410" s="9"/>
    </row>
    <row r="16411">
      <c r="D16411" s="9"/>
      <c r="G16411" s="9"/>
      <c r="J16411" s="11"/>
      <c r="U16411" s="9"/>
      <c r="X16411" s="9"/>
    </row>
    <row r="16412">
      <c r="D16412" s="9"/>
      <c r="G16412" s="9"/>
      <c r="J16412" s="11"/>
      <c r="U16412" s="9"/>
      <c r="X16412" s="9"/>
    </row>
    <row r="16413">
      <c r="D16413" s="9"/>
      <c r="G16413" s="9"/>
      <c r="J16413" s="11"/>
      <c r="U16413" s="9"/>
      <c r="X16413" s="9"/>
    </row>
    <row r="16414">
      <c r="D16414" s="9"/>
      <c r="G16414" s="9"/>
      <c r="J16414" s="11"/>
      <c r="U16414" s="9"/>
      <c r="X16414" s="9"/>
    </row>
    <row r="16415">
      <c r="D16415" s="9"/>
      <c r="G16415" s="9"/>
      <c r="J16415" s="11"/>
      <c r="U16415" s="9"/>
      <c r="X16415" s="9"/>
    </row>
    <row r="16416">
      <c r="D16416" s="9"/>
      <c r="G16416" s="9"/>
      <c r="J16416" s="11"/>
      <c r="U16416" s="9"/>
      <c r="X16416" s="9"/>
    </row>
    <row r="16417">
      <c r="D16417" s="9"/>
      <c r="G16417" s="9"/>
      <c r="J16417" s="11"/>
      <c r="U16417" s="9"/>
      <c r="X16417" s="9"/>
    </row>
    <row r="16418">
      <c r="D16418" s="9"/>
      <c r="G16418" s="9"/>
      <c r="J16418" s="11"/>
      <c r="U16418" s="9"/>
      <c r="X16418" s="9"/>
    </row>
    <row r="16419">
      <c r="D16419" s="9"/>
      <c r="G16419" s="9"/>
      <c r="J16419" s="11"/>
      <c r="U16419" s="9"/>
      <c r="X16419" s="9"/>
    </row>
    <row r="16420">
      <c r="D16420" s="9"/>
      <c r="G16420" s="9"/>
      <c r="J16420" s="11"/>
      <c r="U16420" s="9"/>
      <c r="X16420" s="9"/>
    </row>
    <row r="16421">
      <c r="D16421" s="9"/>
      <c r="G16421" s="9"/>
      <c r="J16421" s="11"/>
      <c r="U16421" s="9"/>
      <c r="X16421" s="9"/>
    </row>
    <row r="16422">
      <c r="D16422" s="9"/>
      <c r="G16422" s="9"/>
      <c r="J16422" s="11"/>
      <c r="U16422" s="9"/>
      <c r="X16422" s="9"/>
    </row>
    <row r="16423">
      <c r="D16423" s="9"/>
      <c r="G16423" s="9"/>
      <c r="J16423" s="11"/>
      <c r="U16423" s="9"/>
      <c r="X16423" s="9"/>
    </row>
    <row r="16424">
      <c r="D16424" s="9"/>
      <c r="G16424" s="9"/>
      <c r="J16424" s="11"/>
      <c r="U16424" s="9"/>
      <c r="X16424" s="9"/>
    </row>
    <row r="16425">
      <c r="D16425" s="9"/>
      <c r="G16425" s="9"/>
      <c r="J16425" s="11"/>
      <c r="U16425" s="9"/>
      <c r="X16425" s="9"/>
    </row>
    <row r="16426">
      <c r="D16426" s="9"/>
      <c r="G16426" s="9"/>
      <c r="J16426" s="11"/>
      <c r="U16426" s="9"/>
      <c r="X16426" s="9"/>
    </row>
    <row r="16427">
      <c r="D16427" s="9"/>
      <c r="G16427" s="9"/>
      <c r="J16427" s="11"/>
      <c r="U16427" s="9"/>
      <c r="X16427" s="9"/>
    </row>
    <row r="16428">
      <c r="D16428" s="9"/>
      <c r="G16428" s="9"/>
      <c r="J16428" s="11"/>
      <c r="U16428" s="9"/>
      <c r="X16428" s="9"/>
    </row>
    <row r="16429">
      <c r="D16429" s="9"/>
      <c r="G16429" s="9"/>
      <c r="J16429" s="11"/>
      <c r="U16429" s="9"/>
      <c r="X16429" s="9"/>
    </row>
    <row r="16430">
      <c r="D16430" s="9"/>
      <c r="G16430" s="9"/>
      <c r="J16430" s="11"/>
      <c r="U16430" s="9"/>
      <c r="X16430" s="9"/>
    </row>
    <row r="16431">
      <c r="D16431" s="9"/>
      <c r="G16431" s="9"/>
      <c r="J16431" s="11"/>
      <c r="U16431" s="9"/>
      <c r="X16431" s="9"/>
    </row>
    <row r="16432">
      <c r="D16432" s="9"/>
      <c r="G16432" s="9"/>
      <c r="J16432" s="11"/>
      <c r="U16432" s="9"/>
      <c r="X16432" s="9"/>
    </row>
    <row r="16433">
      <c r="D16433" s="9"/>
      <c r="G16433" s="9"/>
      <c r="J16433" s="11"/>
      <c r="U16433" s="9"/>
      <c r="X16433" s="9"/>
    </row>
    <row r="16434">
      <c r="D16434" s="9"/>
      <c r="G16434" s="9"/>
      <c r="J16434" s="11"/>
      <c r="U16434" s="9"/>
      <c r="X16434" s="9"/>
    </row>
    <row r="16435">
      <c r="D16435" s="9"/>
      <c r="G16435" s="9"/>
      <c r="J16435" s="11"/>
      <c r="U16435" s="9"/>
      <c r="X16435" s="9"/>
    </row>
    <row r="16436">
      <c r="D16436" s="9"/>
      <c r="G16436" s="9"/>
      <c r="J16436" s="11"/>
      <c r="U16436" s="9"/>
      <c r="X16436" s="9"/>
    </row>
    <row r="16437">
      <c r="D16437" s="9"/>
      <c r="G16437" s="9"/>
      <c r="J16437" s="11"/>
      <c r="U16437" s="9"/>
      <c r="X16437" s="9"/>
    </row>
    <row r="16438">
      <c r="D16438" s="9"/>
      <c r="G16438" s="9"/>
      <c r="J16438" s="11"/>
      <c r="U16438" s="9"/>
      <c r="X16438" s="9"/>
    </row>
    <row r="16439">
      <c r="D16439" s="9"/>
      <c r="G16439" s="9"/>
      <c r="J16439" s="11"/>
      <c r="U16439" s="9"/>
      <c r="X16439" s="9"/>
    </row>
    <row r="16440">
      <c r="D16440" s="9"/>
      <c r="G16440" s="9"/>
      <c r="J16440" s="11"/>
      <c r="U16440" s="9"/>
      <c r="X16440" s="9"/>
    </row>
    <row r="16441">
      <c r="D16441" s="9"/>
      <c r="G16441" s="9"/>
      <c r="J16441" s="11"/>
      <c r="U16441" s="9"/>
      <c r="X16441" s="9"/>
    </row>
    <row r="16442">
      <c r="D16442" s="9"/>
      <c r="G16442" s="9"/>
      <c r="J16442" s="11"/>
      <c r="U16442" s="9"/>
      <c r="X16442" s="9"/>
    </row>
    <row r="16443">
      <c r="D16443" s="9"/>
      <c r="G16443" s="9"/>
      <c r="J16443" s="11"/>
      <c r="U16443" s="9"/>
      <c r="X16443" s="9"/>
    </row>
    <row r="16444">
      <c r="D16444" s="9"/>
      <c r="G16444" s="9"/>
      <c r="J16444" s="11"/>
      <c r="U16444" s="9"/>
      <c r="X16444" s="9"/>
    </row>
    <row r="16445">
      <c r="D16445" s="9"/>
      <c r="G16445" s="9"/>
      <c r="J16445" s="11"/>
      <c r="U16445" s="9"/>
      <c r="X16445" s="9"/>
    </row>
    <row r="16446">
      <c r="D16446" s="9"/>
      <c r="G16446" s="9"/>
      <c r="J16446" s="11"/>
      <c r="U16446" s="9"/>
      <c r="X16446" s="9"/>
    </row>
    <row r="16447">
      <c r="D16447" s="9"/>
      <c r="G16447" s="9"/>
      <c r="J16447" s="11"/>
      <c r="U16447" s="9"/>
      <c r="X16447" s="9"/>
    </row>
    <row r="16448">
      <c r="D16448" s="9"/>
      <c r="G16448" s="9"/>
      <c r="J16448" s="11"/>
      <c r="U16448" s="9"/>
      <c r="X16448" s="9"/>
    </row>
    <row r="16449">
      <c r="D16449" s="9"/>
      <c r="G16449" s="9"/>
      <c r="J16449" s="11"/>
      <c r="U16449" s="9"/>
      <c r="X16449" s="9"/>
    </row>
    <row r="16450">
      <c r="D16450" s="9"/>
      <c r="G16450" s="9"/>
      <c r="J16450" s="11"/>
      <c r="U16450" s="9"/>
      <c r="X16450" s="9"/>
    </row>
    <row r="16451">
      <c r="D16451" s="9"/>
      <c r="G16451" s="9"/>
      <c r="J16451" s="11"/>
      <c r="U16451" s="9"/>
      <c r="X16451" s="9"/>
    </row>
    <row r="16452">
      <c r="D16452" s="9"/>
      <c r="G16452" s="9"/>
      <c r="J16452" s="11"/>
      <c r="U16452" s="9"/>
      <c r="X16452" s="9"/>
    </row>
    <row r="16453">
      <c r="D16453" s="9"/>
      <c r="G16453" s="9"/>
      <c r="J16453" s="11"/>
      <c r="U16453" s="9"/>
      <c r="X16453" s="9"/>
    </row>
    <row r="16454">
      <c r="D16454" s="9"/>
      <c r="G16454" s="9"/>
      <c r="J16454" s="11"/>
      <c r="U16454" s="9"/>
      <c r="X16454" s="9"/>
    </row>
    <row r="16455">
      <c r="D16455" s="9"/>
      <c r="G16455" s="9"/>
      <c r="J16455" s="11"/>
      <c r="U16455" s="9"/>
      <c r="X16455" s="9"/>
    </row>
    <row r="16456">
      <c r="D16456" s="9"/>
      <c r="G16456" s="9"/>
      <c r="J16456" s="11"/>
      <c r="U16456" s="9"/>
      <c r="X16456" s="9"/>
    </row>
    <row r="16457">
      <c r="D16457" s="9"/>
      <c r="G16457" s="9"/>
      <c r="J16457" s="11"/>
      <c r="U16457" s="9"/>
      <c r="X16457" s="9"/>
    </row>
    <row r="16458">
      <c r="D16458" s="9"/>
      <c r="G16458" s="9"/>
      <c r="J16458" s="11"/>
      <c r="U16458" s="9"/>
      <c r="X16458" s="9"/>
    </row>
    <row r="16459">
      <c r="D16459" s="9"/>
      <c r="G16459" s="9"/>
      <c r="J16459" s="11"/>
      <c r="U16459" s="9"/>
      <c r="X16459" s="9"/>
    </row>
    <row r="16460">
      <c r="D16460" s="9"/>
      <c r="G16460" s="9"/>
      <c r="J16460" s="11"/>
      <c r="U16460" s="9"/>
      <c r="X16460" s="9"/>
    </row>
    <row r="16461">
      <c r="D16461" s="9"/>
      <c r="G16461" s="9"/>
      <c r="J16461" s="11"/>
      <c r="U16461" s="9"/>
      <c r="X16461" s="9"/>
    </row>
    <row r="16462">
      <c r="D16462" s="9"/>
      <c r="G16462" s="9"/>
      <c r="J16462" s="11"/>
      <c r="U16462" s="9"/>
      <c r="X16462" s="9"/>
    </row>
    <row r="16463">
      <c r="D16463" s="9"/>
      <c r="G16463" s="9"/>
      <c r="J16463" s="11"/>
      <c r="U16463" s="9"/>
      <c r="X16463" s="9"/>
    </row>
    <row r="16464">
      <c r="D16464" s="9"/>
      <c r="G16464" s="9"/>
      <c r="J16464" s="11"/>
      <c r="U16464" s="9"/>
      <c r="X16464" s="9"/>
    </row>
    <row r="16465">
      <c r="D16465" s="9"/>
      <c r="G16465" s="9"/>
      <c r="J16465" s="11"/>
      <c r="U16465" s="9"/>
      <c r="X16465" s="9"/>
    </row>
    <row r="16466">
      <c r="D16466" s="9"/>
      <c r="G16466" s="9"/>
      <c r="J16466" s="11"/>
      <c r="U16466" s="9"/>
      <c r="X16466" s="9"/>
    </row>
    <row r="16467">
      <c r="D16467" s="9"/>
      <c r="G16467" s="9"/>
      <c r="J16467" s="11"/>
      <c r="U16467" s="9"/>
      <c r="X16467" s="9"/>
    </row>
    <row r="16468">
      <c r="D16468" s="9"/>
      <c r="G16468" s="9"/>
      <c r="J16468" s="11"/>
      <c r="U16468" s="9"/>
      <c r="X16468" s="9"/>
    </row>
    <row r="16469">
      <c r="D16469" s="9"/>
      <c r="G16469" s="9"/>
      <c r="J16469" s="11"/>
      <c r="U16469" s="9"/>
      <c r="X16469" s="9"/>
    </row>
    <row r="16470">
      <c r="D16470" s="9"/>
      <c r="G16470" s="9"/>
      <c r="J16470" s="11"/>
      <c r="U16470" s="9"/>
      <c r="X16470" s="9"/>
    </row>
    <row r="16471">
      <c r="D16471" s="9"/>
      <c r="G16471" s="9"/>
      <c r="J16471" s="11"/>
      <c r="U16471" s="9"/>
      <c r="X16471" s="9"/>
    </row>
    <row r="16472">
      <c r="D16472" s="9"/>
      <c r="G16472" s="9"/>
      <c r="J16472" s="11"/>
      <c r="U16472" s="9"/>
      <c r="X16472" s="9"/>
    </row>
    <row r="16473">
      <c r="D16473" s="9"/>
      <c r="G16473" s="9"/>
      <c r="J16473" s="11"/>
      <c r="U16473" s="9"/>
      <c r="X16473" s="9"/>
    </row>
    <row r="16474">
      <c r="D16474" s="9"/>
      <c r="G16474" s="9"/>
      <c r="J16474" s="11"/>
      <c r="U16474" s="9"/>
      <c r="X16474" s="9"/>
    </row>
    <row r="16475">
      <c r="D16475" s="9"/>
      <c r="G16475" s="9"/>
      <c r="J16475" s="11"/>
      <c r="U16475" s="9"/>
      <c r="X16475" s="9"/>
    </row>
    <row r="16476">
      <c r="D16476" s="9"/>
      <c r="G16476" s="9"/>
      <c r="J16476" s="11"/>
      <c r="U16476" s="9"/>
      <c r="X16476" s="9"/>
    </row>
    <row r="16477">
      <c r="D16477" s="9"/>
      <c r="G16477" s="9"/>
      <c r="J16477" s="11"/>
      <c r="U16477" s="9"/>
      <c r="X16477" s="9"/>
    </row>
    <row r="16478">
      <c r="D16478" s="9"/>
      <c r="G16478" s="9"/>
      <c r="J16478" s="11"/>
      <c r="U16478" s="9"/>
      <c r="X16478" s="9"/>
    </row>
    <row r="16479">
      <c r="D16479" s="9"/>
      <c r="G16479" s="9"/>
      <c r="J16479" s="11"/>
      <c r="U16479" s="9"/>
      <c r="X16479" s="9"/>
    </row>
    <row r="16480">
      <c r="D16480" s="9"/>
      <c r="G16480" s="9"/>
      <c r="J16480" s="11"/>
      <c r="U16480" s="9"/>
      <c r="X16480" s="9"/>
    </row>
    <row r="16481">
      <c r="D16481" s="9"/>
      <c r="G16481" s="9"/>
      <c r="J16481" s="11"/>
      <c r="U16481" s="9"/>
      <c r="X16481" s="9"/>
    </row>
    <row r="16482">
      <c r="D16482" s="9"/>
      <c r="G16482" s="9"/>
      <c r="J16482" s="11"/>
      <c r="U16482" s="9"/>
      <c r="X16482" s="9"/>
    </row>
    <row r="16483">
      <c r="D16483" s="9"/>
      <c r="G16483" s="9"/>
      <c r="J16483" s="11"/>
      <c r="U16483" s="9"/>
      <c r="X16483" s="9"/>
    </row>
    <row r="16484">
      <c r="D16484" s="9"/>
      <c r="G16484" s="9"/>
      <c r="J16484" s="11"/>
      <c r="U16484" s="9"/>
      <c r="X16484" s="9"/>
    </row>
    <row r="16485">
      <c r="D16485" s="9"/>
      <c r="G16485" s="9"/>
      <c r="J16485" s="11"/>
      <c r="U16485" s="9"/>
      <c r="X16485" s="9"/>
    </row>
    <row r="16486">
      <c r="D16486" s="9"/>
      <c r="G16486" s="9"/>
      <c r="J16486" s="11"/>
      <c r="U16486" s="9"/>
      <c r="X16486" s="9"/>
    </row>
    <row r="16487">
      <c r="D16487" s="9"/>
      <c r="G16487" s="9"/>
      <c r="J16487" s="11"/>
      <c r="U16487" s="9"/>
      <c r="X16487" s="9"/>
    </row>
    <row r="16488">
      <c r="D16488" s="9"/>
      <c r="G16488" s="9"/>
      <c r="J16488" s="11"/>
      <c r="U16488" s="9"/>
      <c r="X16488" s="9"/>
    </row>
    <row r="16489">
      <c r="D16489" s="9"/>
      <c r="G16489" s="9"/>
      <c r="J16489" s="11"/>
      <c r="U16489" s="9"/>
      <c r="X16489" s="9"/>
    </row>
    <row r="16490">
      <c r="D16490" s="9"/>
      <c r="G16490" s="9"/>
      <c r="J16490" s="11"/>
      <c r="U16490" s="9"/>
      <c r="X16490" s="9"/>
    </row>
    <row r="16491">
      <c r="D16491" s="9"/>
      <c r="G16491" s="9"/>
      <c r="J16491" s="11"/>
      <c r="U16491" s="9"/>
      <c r="X16491" s="9"/>
    </row>
    <row r="16492">
      <c r="D16492" s="9"/>
      <c r="G16492" s="9"/>
      <c r="J16492" s="11"/>
      <c r="U16492" s="9"/>
      <c r="X16492" s="9"/>
    </row>
    <row r="16493">
      <c r="D16493" s="9"/>
      <c r="G16493" s="9"/>
      <c r="J16493" s="11"/>
      <c r="U16493" s="9"/>
      <c r="X16493" s="9"/>
    </row>
    <row r="16494">
      <c r="D16494" s="9"/>
      <c r="G16494" s="9"/>
      <c r="J16494" s="11"/>
      <c r="U16494" s="9"/>
      <c r="X16494" s="9"/>
    </row>
    <row r="16495">
      <c r="D16495" s="9"/>
      <c r="G16495" s="9"/>
      <c r="J16495" s="11"/>
      <c r="U16495" s="9"/>
      <c r="X16495" s="9"/>
    </row>
    <row r="16496">
      <c r="D16496" s="9"/>
      <c r="G16496" s="9"/>
      <c r="J16496" s="11"/>
      <c r="U16496" s="9"/>
      <c r="X16496" s="9"/>
    </row>
    <row r="16497">
      <c r="D16497" s="9"/>
      <c r="G16497" s="9"/>
      <c r="J16497" s="11"/>
      <c r="U16497" s="9"/>
      <c r="X16497" s="9"/>
    </row>
    <row r="16498">
      <c r="D16498" s="9"/>
      <c r="G16498" s="9"/>
      <c r="J16498" s="11"/>
      <c r="U16498" s="9"/>
      <c r="X16498" s="9"/>
    </row>
    <row r="16499">
      <c r="D16499" s="9"/>
      <c r="G16499" s="9"/>
      <c r="J16499" s="11"/>
      <c r="U16499" s="9"/>
      <c r="X16499" s="9"/>
    </row>
    <row r="16500">
      <c r="D16500" s="9"/>
      <c r="G16500" s="9"/>
      <c r="J16500" s="11"/>
      <c r="U16500" s="9"/>
      <c r="X16500" s="9"/>
    </row>
    <row r="16501">
      <c r="D16501" s="9"/>
      <c r="G16501" s="9"/>
      <c r="J16501" s="11"/>
      <c r="U16501" s="9"/>
      <c r="X16501" s="9"/>
    </row>
    <row r="16502">
      <c r="D16502" s="9"/>
      <c r="G16502" s="9"/>
      <c r="J16502" s="11"/>
      <c r="U16502" s="9"/>
      <c r="X16502" s="9"/>
    </row>
    <row r="16503">
      <c r="D16503" s="9"/>
      <c r="G16503" s="9"/>
      <c r="J16503" s="11"/>
      <c r="U16503" s="9"/>
      <c r="X16503" s="9"/>
    </row>
    <row r="16504">
      <c r="D16504" s="9"/>
      <c r="G16504" s="9"/>
      <c r="J16504" s="11"/>
      <c r="U16504" s="9"/>
      <c r="X16504" s="9"/>
    </row>
    <row r="16505">
      <c r="D16505" s="9"/>
      <c r="G16505" s="9"/>
      <c r="J16505" s="11"/>
      <c r="U16505" s="9"/>
      <c r="X16505" s="9"/>
    </row>
    <row r="16506">
      <c r="D16506" s="9"/>
      <c r="G16506" s="9"/>
      <c r="J16506" s="11"/>
      <c r="U16506" s="9"/>
      <c r="X16506" s="9"/>
    </row>
    <row r="16507">
      <c r="D16507" s="9"/>
      <c r="G16507" s="9"/>
      <c r="J16507" s="11"/>
      <c r="U16507" s="9"/>
      <c r="X16507" s="9"/>
    </row>
    <row r="16508">
      <c r="D16508" s="9"/>
      <c r="G16508" s="9"/>
      <c r="J16508" s="11"/>
      <c r="U16508" s="9"/>
      <c r="X16508" s="9"/>
    </row>
    <row r="16509">
      <c r="D16509" s="9"/>
      <c r="G16509" s="9"/>
      <c r="J16509" s="11"/>
      <c r="U16509" s="9"/>
      <c r="X16509" s="9"/>
    </row>
    <row r="16510">
      <c r="D16510" s="9"/>
      <c r="G16510" s="9"/>
      <c r="J16510" s="11"/>
      <c r="U16510" s="9"/>
      <c r="X16510" s="9"/>
    </row>
    <row r="16511">
      <c r="D16511" s="9"/>
      <c r="G16511" s="9"/>
      <c r="J16511" s="11"/>
      <c r="U16511" s="9"/>
      <c r="X16511" s="9"/>
    </row>
    <row r="16512">
      <c r="D16512" s="9"/>
      <c r="G16512" s="9"/>
      <c r="J16512" s="11"/>
      <c r="U16512" s="9"/>
      <c r="X16512" s="9"/>
    </row>
    <row r="16513">
      <c r="D16513" s="9"/>
      <c r="G16513" s="9"/>
      <c r="J16513" s="11"/>
      <c r="U16513" s="9"/>
      <c r="X16513" s="9"/>
    </row>
    <row r="16514">
      <c r="D16514" s="9"/>
      <c r="G16514" s="9"/>
      <c r="J16514" s="11"/>
      <c r="U16514" s="9"/>
      <c r="X16514" s="9"/>
    </row>
    <row r="16515">
      <c r="D16515" s="9"/>
      <c r="G16515" s="9"/>
      <c r="J16515" s="11"/>
      <c r="U16515" s="9"/>
      <c r="X16515" s="9"/>
    </row>
    <row r="16516">
      <c r="D16516" s="9"/>
      <c r="G16516" s="9"/>
      <c r="J16516" s="11"/>
      <c r="U16516" s="9"/>
      <c r="X16516" s="9"/>
    </row>
    <row r="16517">
      <c r="D16517" s="9"/>
      <c r="G16517" s="9"/>
      <c r="J16517" s="11"/>
      <c r="U16517" s="9"/>
      <c r="X16517" s="9"/>
    </row>
    <row r="16518">
      <c r="D16518" s="9"/>
      <c r="G16518" s="9"/>
      <c r="J16518" s="11"/>
      <c r="U16518" s="9"/>
      <c r="X16518" s="9"/>
    </row>
    <row r="16519">
      <c r="D16519" s="9"/>
      <c r="G16519" s="9"/>
      <c r="J16519" s="11"/>
      <c r="U16519" s="9"/>
      <c r="X16519" s="9"/>
    </row>
    <row r="16520">
      <c r="D16520" s="9"/>
      <c r="G16520" s="9"/>
      <c r="J16520" s="11"/>
      <c r="U16520" s="9"/>
      <c r="X16520" s="9"/>
    </row>
    <row r="16521">
      <c r="D16521" s="9"/>
      <c r="G16521" s="9"/>
      <c r="J16521" s="11"/>
      <c r="U16521" s="9"/>
      <c r="X16521" s="9"/>
    </row>
    <row r="16522">
      <c r="D16522" s="9"/>
      <c r="G16522" s="9"/>
      <c r="J16522" s="11"/>
      <c r="U16522" s="9"/>
      <c r="X16522" s="9"/>
    </row>
    <row r="16523">
      <c r="D16523" s="9"/>
      <c r="G16523" s="9"/>
      <c r="J16523" s="11"/>
      <c r="U16523" s="9"/>
      <c r="X16523" s="9"/>
    </row>
    <row r="16524">
      <c r="D16524" s="9"/>
      <c r="G16524" s="9"/>
      <c r="J16524" s="11"/>
      <c r="U16524" s="9"/>
      <c r="X16524" s="9"/>
    </row>
    <row r="16525">
      <c r="D16525" s="9"/>
      <c r="G16525" s="9"/>
      <c r="J16525" s="11"/>
      <c r="U16525" s="9"/>
      <c r="X16525" s="9"/>
    </row>
    <row r="16526">
      <c r="D16526" s="9"/>
      <c r="G16526" s="9"/>
      <c r="J16526" s="11"/>
      <c r="U16526" s="9"/>
      <c r="X16526" s="9"/>
    </row>
    <row r="16527">
      <c r="D16527" s="9"/>
      <c r="G16527" s="9"/>
      <c r="J16527" s="11"/>
      <c r="U16527" s="9"/>
      <c r="X16527" s="9"/>
    </row>
    <row r="16528">
      <c r="D16528" s="9"/>
      <c r="G16528" s="9"/>
      <c r="J16528" s="11"/>
      <c r="U16528" s="9"/>
      <c r="X16528" s="9"/>
    </row>
    <row r="16529">
      <c r="D16529" s="9"/>
      <c r="G16529" s="9"/>
      <c r="J16529" s="11"/>
      <c r="U16529" s="9"/>
      <c r="X16529" s="9"/>
    </row>
    <row r="16530">
      <c r="D16530" s="9"/>
      <c r="G16530" s="9"/>
      <c r="J16530" s="11"/>
      <c r="U16530" s="9"/>
      <c r="X16530" s="9"/>
    </row>
    <row r="16531">
      <c r="D16531" s="9"/>
      <c r="G16531" s="9"/>
      <c r="J16531" s="11"/>
      <c r="U16531" s="9"/>
      <c r="X16531" s="9"/>
    </row>
    <row r="16532">
      <c r="D16532" s="9"/>
      <c r="G16532" s="9"/>
      <c r="J16532" s="11"/>
      <c r="U16532" s="9"/>
      <c r="X16532" s="9"/>
    </row>
    <row r="16533">
      <c r="D16533" s="9"/>
      <c r="G16533" s="9"/>
      <c r="J16533" s="11"/>
      <c r="U16533" s="9"/>
      <c r="X16533" s="9"/>
    </row>
    <row r="16534">
      <c r="D16534" s="9"/>
      <c r="G16534" s="9"/>
      <c r="J16534" s="11"/>
      <c r="U16534" s="9"/>
      <c r="X16534" s="9"/>
    </row>
    <row r="16535">
      <c r="D16535" s="9"/>
      <c r="G16535" s="9"/>
      <c r="J16535" s="11"/>
      <c r="U16535" s="9"/>
      <c r="X16535" s="9"/>
    </row>
    <row r="16536">
      <c r="D16536" s="9"/>
      <c r="G16536" s="9"/>
      <c r="J16536" s="11"/>
      <c r="U16536" s="9"/>
      <c r="X16536" s="9"/>
    </row>
    <row r="16537">
      <c r="D16537" s="9"/>
      <c r="G16537" s="9"/>
      <c r="J16537" s="11"/>
      <c r="U16537" s="9"/>
      <c r="X16537" s="9"/>
    </row>
    <row r="16538">
      <c r="D16538" s="9"/>
      <c r="G16538" s="9"/>
      <c r="J16538" s="11"/>
      <c r="U16538" s="9"/>
      <c r="X16538" s="9"/>
    </row>
    <row r="16539">
      <c r="D16539" s="9"/>
      <c r="G16539" s="9"/>
      <c r="J16539" s="11"/>
      <c r="U16539" s="9"/>
      <c r="X16539" s="9"/>
    </row>
    <row r="16540">
      <c r="D16540" s="9"/>
      <c r="G16540" s="9"/>
      <c r="J16540" s="11"/>
      <c r="U16540" s="9"/>
      <c r="X16540" s="9"/>
    </row>
    <row r="16541">
      <c r="D16541" s="9"/>
      <c r="G16541" s="9"/>
      <c r="J16541" s="11"/>
      <c r="U16541" s="9"/>
      <c r="X16541" s="9"/>
    </row>
    <row r="16542">
      <c r="D16542" s="9"/>
      <c r="G16542" s="9"/>
      <c r="J16542" s="11"/>
      <c r="U16542" s="9"/>
      <c r="X16542" s="9"/>
    </row>
    <row r="16543">
      <c r="D16543" s="9"/>
      <c r="G16543" s="9"/>
      <c r="J16543" s="11"/>
      <c r="U16543" s="9"/>
      <c r="X16543" s="9"/>
    </row>
    <row r="16544">
      <c r="D16544" s="9"/>
      <c r="G16544" s="9"/>
      <c r="J16544" s="11"/>
      <c r="U16544" s="9"/>
      <c r="X16544" s="9"/>
    </row>
    <row r="16545">
      <c r="D16545" s="9"/>
      <c r="G16545" s="9"/>
      <c r="J16545" s="11"/>
      <c r="U16545" s="9"/>
      <c r="X16545" s="9"/>
    </row>
    <row r="16546">
      <c r="D16546" s="9"/>
      <c r="G16546" s="9"/>
      <c r="J16546" s="11"/>
      <c r="U16546" s="9"/>
      <c r="X16546" s="9"/>
    </row>
    <row r="16547">
      <c r="D16547" s="9"/>
      <c r="G16547" s="9"/>
      <c r="J16547" s="11"/>
      <c r="U16547" s="9"/>
      <c r="X16547" s="9"/>
    </row>
    <row r="16548">
      <c r="D16548" s="9"/>
      <c r="G16548" s="9"/>
      <c r="J16548" s="11"/>
      <c r="U16548" s="9"/>
      <c r="X16548" s="9"/>
    </row>
    <row r="16549">
      <c r="D16549" s="9"/>
      <c r="G16549" s="9"/>
      <c r="J16549" s="11"/>
      <c r="U16549" s="9"/>
      <c r="X16549" s="9"/>
    </row>
    <row r="16550">
      <c r="D16550" s="9"/>
      <c r="G16550" s="9"/>
      <c r="J16550" s="11"/>
      <c r="U16550" s="9"/>
      <c r="X16550" s="9"/>
    </row>
    <row r="16551">
      <c r="D16551" s="9"/>
      <c r="G16551" s="9"/>
      <c r="J16551" s="11"/>
      <c r="U16551" s="9"/>
      <c r="X16551" s="9"/>
    </row>
    <row r="16552">
      <c r="D16552" s="9"/>
      <c r="G16552" s="9"/>
      <c r="J16552" s="11"/>
      <c r="U16552" s="9"/>
      <c r="X16552" s="9"/>
    </row>
    <row r="16553">
      <c r="D16553" s="9"/>
      <c r="G16553" s="9"/>
      <c r="J16553" s="11"/>
      <c r="U16553" s="9"/>
      <c r="X16553" s="9"/>
    </row>
    <row r="16554">
      <c r="D16554" s="9"/>
      <c r="G16554" s="9"/>
      <c r="J16554" s="11"/>
      <c r="U16554" s="9"/>
      <c r="X16554" s="9"/>
    </row>
    <row r="16555">
      <c r="D16555" s="9"/>
      <c r="G16555" s="9"/>
      <c r="J16555" s="11"/>
      <c r="U16555" s="9"/>
      <c r="X16555" s="9"/>
    </row>
    <row r="16556">
      <c r="D16556" s="9"/>
      <c r="G16556" s="9"/>
      <c r="J16556" s="11"/>
      <c r="U16556" s="9"/>
      <c r="X16556" s="9"/>
    </row>
    <row r="16557">
      <c r="D16557" s="9"/>
      <c r="G16557" s="9"/>
      <c r="J16557" s="11"/>
      <c r="U16557" s="9"/>
      <c r="X16557" s="9"/>
    </row>
    <row r="16558">
      <c r="D16558" s="9"/>
      <c r="G16558" s="9"/>
      <c r="J16558" s="11"/>
      <c r="U16558" s="9"/>
      <c r="X16558" s="9"/>
    </row>
    <row r="16559">
      <c r="D16559" s="9"/>
      <c r="G16559" s="9"/>
      <c r="J16559" s="11"/>
      <c r="U16559" s="9"/>
      <c r="X16559" s="9"/>
    </row>
    <row r="16560">
      <c r="D16560" s="9"/>
      <c r="G16560" s="9"/>
      <c r="J16560" s="11"/>
      <c r="U16560" s="9"/>
      <c r="X16560" s="9"/>
    </row>
    <row r="16561">
      <c r="D16561" s="9"/>
      <c r="G16561" s="9"/>
      <c r="J16561" s="11"/>
      <c r="U16561" s="9"/>
      <c r="X16561" s="9"/>
    </row>
    <row r="16562">
      <c r="D16562" s="9"/>
      <c r="G16562" s="9"/>
      <c r="J16562" s="11"/>
      <c r="U16562" s="9"/>
      <c r="X16562" s="9"/>
    </row>
    <row r="16563">
      <c r="D16563" s="9"/>
      <c r="G16563" s="9"/>
      <c r="J16563" s="11"/>
      <c r="U16563" s="9"/>
      <c r="X16563" s="9"/>
    </row>
    <row r="16564">
      <c r="D16564" s="9"/>
      <c r="G16564" s="9"/>
      <c r="J16564" s="11"/>
      <c r="U16564" s="9"/>
      <c r="X16564" s="9"/>
    </row>
    <row r="16565">
      <c r="D16565" s="9"/>
      <c r="G16565" s="9"/>
      <c r="J16565" s="11"/>
      <c r="U16565" s="9"/>
      <c r="X16565" s="9"/>
    </row>
    <row r="16566">
      <c r="D16566" s="9"/>
      <c r="G16566" s="9"/>
      <c r="J16566" s="11"/>
      <c r="U16566" s="9"/>
      <c r="X16566" s="9"/>
    </row>
    <row r="16567">
      <c r="D16567" s="9"/>
      <c r="G16567" s="9"/>
      <c r="J16567" s="11"/>
      <c r="U16567" s="9"/>
      <c r="X16567" s="9"/>
    </row>
    <row r="16568">
      <c r="D16568" s="9"/>
      <c r="G16568" s="9"/>
      <c r="J16568" s="11"/>
      <c r="U16568" s="9"/>
      <c r="X16568" s="9"/>
    </row>
    <row r="16569">
      <c r="D16569" s="9"/>
      <c r="G16569" s="9"/>
      <c r="J16569" s="11"/>
      <c r="U16569" s="9"/>
      <c r="X16569" s="9"/>
    </row>
    <row r="16570">
      <c r="D16570" s="9"/>
      <c r="G16570" s="9"/>
      <c r="J16570" s="11"/>
      <c r="U16570" s="9"/>
      <c r="X16570" s="9"/>
    </row>
    <row r="16571">
      <c r="D16571" s="9"/>
      <c r="G16571" s="9"/>
      <c r="J16571" s="11"/>
      <c r="U16571" s="9"/>
      <c r="X16571" s="9"/>
    </row>
    <row r="16572">
      <c r="D16572" s="9"/>
      <c r="G16572" s="9"/>
      <c r="J16572" s="11"/>
      <c r="U16572" s="9"/>
      <c r="X16572" s="9"/>
    </row>
    <row r="16573">
      <c r="D16573" s="9"/>
      <c r="G16573" s="9"/>
      <c r="J16573" s="11"/>
      <c r="U16573" s="9"/>
      <c r="X16573" s="9"/>
    </row>
    <row r="16574">
      <c r="D16574" s="9"/>
      <c r="G16574" s="9"/>
      <c r="J16574" s="11"/>
      <c r="U16574" s="9"/>
      <c r="X16574" s="9"/>
    </row>
    <row r="16575">
      <c r="D16575" s="9"/>
      <c r="G16575" s="9"/>
      <c r="J16575" s="11"/>
      <c r="U16575" s="9"/>
      <c r="X16575" s="9"/>
    </row>
    <row r="16576">
      <c r="D16576" s="9"/>
      <c r="G16576" s="9"/>
      <c r="J16576" s="11"/>
      <c r="U16576" s="9"/>
      <c r="X16576" s="9"/>
    </row>
    <row r="16577">
      <c r="D16577" s="9"/>
      <c r="G16577" s="9"/>
      <c r="J16577" s="11"/>
      <c r="U16577" s="9"/>
      <c r="X16577" s="9"/>
    </row>
    <row r="16578">
      <c r="D16578" s="9"/>
      <c r="G16578" s="9"/>
      <c r="J16578" s="11"/>
      <c r="U16578" s="9"/>
      <c r="X16578" s="9"/>
    </row>
    <row r="16579">
      <c r="D16579" s="9"/>
      <c r="G16579" s="9"/>
      <c r="J16579" s="11"/>
      <c r="U16579" s="9"/>
      <c r="X16579" s="9"/>
    </row>
    <row r="16580">
      <c r="D16580" s="9"/>
      <c r="G16580" s="9"/>
      <c r="J16580" s="11"/>
      <c r="U16580" s="9"/>
      <c r="X16580" s="9"/>
    </row>
    <row r="16581">
      <c r="D16581" s="9"/>
      <c r="G16581" s="9"/>
      <c r="J16581" s="11"/>
      <c r="U16581" s="9"/>
      <c r="X16581" s="9"/>
    </row>
    <row r="16582">
      <c r="D16582" s="9"/>
      <c r="G16582" s="9"/>
      <c r="J16582" s="11"/>
      <c r="U16582" s="9"/>
      <c r="X16582" s="9"/>
    </row>
    <row r="16583">
      <c r="D16583" s="9"/>
      <c r="G16583" s="9"/>
      <c r="J16583" s="11"/>
      <c r="U16583" s="9"/>
      <c r="X16583" s="9"/>
    </row>
    <row r="16584">
      <c r="D16584" s="9"/>
      <c r="G16584" s="9"/>
      <c r="J16584" s="11"/>
      <c r="U16584" s="9"/>
      <c r="X16584" s="9"/>
    </row>
    <row r="16585">
      <c r="D16585" s="9"/>
      <c r="G16585" s="9"/>
      <c r="J16585" s="11"/>
      <c r="U16585" s="9"/>
      <c r="X16585" s="9"/>
    </row>
    <row r="16586">
      <c r="D16586" s="9"/>
      <c r="G16586" s="9"/>
      <c r="J16586" s="11"/>
      <c r="U16586" s="9"/>
      <c r="X16586" s="9"/>
    </row>
    <row r="16587">
      <c r="D16587" s="9"/>
      <c r="G16587" s="9"/>
      <c r="J16587" s="11"/>
      <c r="U16587" s="9"/>
      <c r="X16587" s="9"/>
    </row>
    <row r="16588">
      <c r="D16588" s="9"/>
      <c r="G16588" s="9"/>
      <c r="J16588" s="11"/>
      <c r="U16588" s="9"/>
      <c r="X16588" s="9"/>
    </row>
    <row r="16589">
      <c r="D16589" s="9"/>
      <c r="G16589" s="9"/>
      <c r="J16589" s="11"/>
      <c r="U16589" s="9"/>
      <c r="X16589" s="9"/>
    </row>
    <row r="16590">
      <c r="D16590" s="9"/>
      <c r="G16590" s="9"/>
      <c r="J16590" s="11"/>
      <c r="U16590" s="9"/>
      <c r="X16590" s="9"/>
    </row>
    <row r="16591">
      <c r="D16591" s="9"/>
      <c r="G16591" s="9"/>
      <c r="J16591" s="11"/>
      <c r="U16591" s="9"/>
      <c r="X16591" s="9"/>
    </row>
    <row r="16592">
      <c r="D16592" s="9"/>
      <c r="G16592" s="9"/>
      <c r="J16592" s="11"/>
      <c r="U16592" s="9"/>
      <c r="X16592" s="9"/>
    </row>
    <row r="16593">
      <c r="D16593" s="9"/>
      <c r="G16593" s="9"/>
      <c r="J16593" s="11"/>
      <c r="U16593" s="9"/>
      <c r="X16593" s="9"/>
    </row>
    <row r="16594">
      <c r="D16594" s="9"/>
      <c r="G16594" s="9"/>
      <c r="J16594" s="11"/>
      <c r="U16594" s="9"/>
      <c r="X16594" s="9"/>
    </row>
    <row r="16595">
      <c r="D16595" s="9"/>
      <c r="G16595" s="9"/>
      <c r="J16595" s="11"/>
      <c r="U16595" s="9"/>
      <c r="X16595" s="9"/>
    </row>
    <row r="16596">
      <c r="D16596" s="9"/>
      <c r="G16596" s="9"/>
      <c r="J16596" s="11"/>
      <c r="U16596" s="9"/>
      <c r="X16596" s="9"/>
    </row>
    <row r="16597">
      <c r="D16597" s="9"/>
      <c r="G16597" s="9"/>
      <c r="J16597" s="11"/>
      <c r="U16597" s="9"/>
      <c r="X16597" s="9"/>
    </row>
    <row r="16598">
      <c r="D16598" s="9"/>
      <c r="G16598" s="9"/>
      <c r="J16598" s="11"/>
      <c r="U16598" s="9"/>
      <c r="X16598" s="9"/>
    </row>
    <row r="16599">
      <c r="D16599" s="9"/>
      <c r="G16599" s="9"/>
      <c r="J16599" s="11"/>
      <c r="U16599" s="9"/>
      <c r="X16599" s="9"/>
    </row>
    <row r="16600">
      <c r="D16600" s="9"/>
      <c r="G16600" s="9"/>
      <c r="J16600" s="11"/>
      <c r="U16600" s="9"/>
      <c r="X16600" s="9"/>
    </row>
    <row r="16601">
      <c r="D16601" s="9"/>
      <c r="G16601" s="9"/>
      <c r="J16601" s="11"/>
      <c r="U16601" s="9"/>
      <c r="X16601" s="9"/>
    </row>
    <row r="16602">
      <c r="D16602" s="9"/>
      <c r="G16602" s="9"/>
      <c r="J16602" s="11"/>
      <c r="U16602" s="9"/>
      <c r="X16602" s="9"/>
    </row>
    <row r="16603">
      <c r="D16603" s="9"/>
      <c r="G16603" s="9"/>
      <c r="J16603" s="11"/>
      <c r="U16603" s="9"/>
      <c r="X16603" s="9"/>
    </row>
    <row r="16604">
      <c r="D16604" s="9"/>
      <c r="G16604" s="9"/>
      <c r="J16604" s="11"/>
      <c r="U16604" s="9"/>
      <c r="X16604" s="9"/>
    </row>
    <row r="16605">
      <c r="D16605" s="9"/>
      <c r="G16605" s="9"/>
      <c r="J16605" s="11"/>
      <c r="U16605" s="9"/>
      <c r="X16605" s="9"/>
    </row>
    <row r="16606">
      <c r="D16606" s="9"/>
      <c r="G16606" s="9"/>
      <c r="J16606" s="11"/>
      <c r="U16606" s="9"/>
      <c r="X16606" s="9"/>
    </row>
    <row r="16607">
      <c r="D16607" s="9"/>
      <c r="G16607" s="9"/>
      <c r="J16607" s="11"/>
      <c r="U16607" s="9"/>
      <c r="X16607" s="9"/>
    </row>
    <row r="16608">
      <c r="D16608" s="9"/>
      <c r="G16608" s="9"/>
      <c r="J16608" s="11"/>
      <c r="U16608" s="9"/>
      <c r="X16608" s="9"/>
    </row>
    <row r="16609">
      <c r="D16609" s="9"/>
      <c r="G16609" s="9"/>
      <c r="J16609" s="11"/>
      <c r="U16609" s="9"/>
      <c r="X16609" s="9"/>
    </row>
    <row r="16610">
      <c r="D16610" s="9"/>
      <c r="G16610" s="9"/>
      <c r="J16610" s="11"/>
      <c r="U16610" s="9"/>
      <c r="X16610" s="9"/>
    </row>
    <row r="16611">
      <c r="D16611" s="9"/>
      <c r="G16611" s="9"/>
      <c r="J16611" s="11"/>
      <c r="U16611" s="9"/>
      <c r="X16611" s="9"/>
    </row>
    <row r="16612">
      <c r="D16612" s="9"/>
      <c r="G16612" s="9"/>
      <c r="J16612" s="11"/>
      <c r="U16612" s="9"/>
      <c r="X16612" s="9"/>
    </row>
    <row r="16613">
      <c r="D16613" s="9"/>
      <c r="G16613" s="9"/>
      <c r="J16613" s="11"/>
      <c r="U16613" s="9"/>
      <c r="X16613" s="9"/>
    </row>
    <row r="16614">
      <c r="D16614" s="9"/>
      <c r="G16614" s="9"/>
      <c r="J16614" s="11"/>
      <c r="U16614" s="9"/>
      <c r="X16614" s="9"/>
    </row>
    <row r="16615">
      <c r="D16615" s="9"/>
      <c r="G16615" s="9"/>
      <c r="J16615" s="11"/>
      <c r="U16615" s="9"/>
      <c r="X16615" s="9"/>
    </row>
    <row r="16616">
      <c r="D16616" s="9"/>
      <c r="G16616" s="9"/>
      <c r="J16616" s="11"/>
      <c r="U16616" s="9"/>
      <c r="X16616" s="9"/>
    </row>
    <row r="16617">
      <c r="D16617" s="9"/>
      <c r="G16617" s="9"/>
      <c r="J16617" s="11"/>
      <c r="U16617" s="9"/>
      <c r="X16617" s="9"/>
    </row>
    <row r="16618">
      <c r="D16618" s="9"/>
      <c r="G16618" s="9"/>
      <c r="J16618" s="11"/>
      <c r="U16618" s="9"/>
      <c r="X16618" s="9"/>
    </row>
    <row r="16619">
      <c r="D16619" s="9"/>
      <c r="G16619" s="9"/>
      <c r="J16619" s="11"/>
      <c r="U16619" s="9"/>
      <c r="X16619" s="9"/>
    </row>
    <row r="16620">
      <c r="D16620" s="9"/>
      <c r="G16620" s="9"/>
      <c r="J16620" s="11"/>
      <c r="U16620" s="9"/>
      <c r="X16620" s="9"/>
    </row>
    <row r="16621">
      <c r="D16621" s="9"/>
      <c r="G16621" s="9"/>
      <c r="J16621" s="11"/>
      <c r="U16621" s="9"/>
      <c r="X16621" s="9"/>
    </row>
    <row r="16622">
      <c r="D16622" s="9"/>
      <c r="G16622" s="9"/>
      <c r="J16622" s="11"/>
      <c r="U16622" s="9"/>
      <c r="X16622" s="9"/>
    </row>
    <row r="16623">
      <c r="D16623" s="9"/>
      <c r="G16623" s="9"/>
      <c r="J16623" s="11"/>
      <c r="U16623" s="9"/>
      <c r="X16623" s="9"/>
    </row>
    <row r="16624">
      <c r="D16624" s="9"/>
      <c r="G16624" s="9"/>
      <c r="J16624" s="11"/>
      <c r="U16624" s="9"/>
      <c r="X16624" s="9"/>
    </row>
    <row r="16625">
      <c r="D16625" s="9"/>
      <c r="G16625" s="9"/>
      <c r="J16625" s="11"/>
      <c r="U16625" s="9"/>
      <c r="X16625" s="9"/>
    </row>
    <row r="16626">
      <c r="D16626" s="9"/>
      <c r="G16626" s="9"/>
      <c r="J16626" s="11"/>
      <c r="U16626" s="9"/>
      <c r="X16626" s="9"/>
    </row>
    <row r="16627">
      <c r="D16627" s="9"/>
      <c r="G16627" s="9"/>
      <c r="J16627" s="11"/>
      <c r="U16627" s="9"/>
      <c r="X16627" s="9"/>
    </row>
    <row r="16628">
      <c r="D16628" s="9"/>
      <c r="G16628" s="9"/>
      <c r="J16628" s="11"/>
      <c r="U16628" s="9"/>
      <c r="X16628" s="9"/>
    </row>
    <row r="16629">
      <c r="D16629" s="9"/>
      <c r="G16629" s="9"/>
      <c r="J16629" s="11"/>
      <c r="U16629" s="9"/>
      <c r="X16629" s="9"/>
    </row>
    <row r="16630">
      <c r="D16630" s="9"/>
      <c r="G16630" s="9"/>
      <c r="J16630" s="11"/>
      <c r="U16630" s="9"/>
      <c r="X16630" s="9"/>
    </row>
    <row r="16631">
      <c r="D16631" s="9"/>
      <c r="G16631" s="9"/>
      <c r="J16631" s="11"/>
      <c r="U16631" s="9"/>
      <c r="X16631" s="9"/>
    </row>
    <row r="16632">
      <c r="D16632" s="9"/>
      <c r="G16632" s="9"/>
      <c r="J16632" s="11"/>
      <c r="U16632" s="9"/>
      <c r="X16632" s="9"/>
    </row>
    <row r="16633">
      <c r="D16633" s="9"/>
      <c r="G16633" s="9"/>
      <c r="J16633" s="11"/>
      <c r="U16633" s="9"/>
      <c r="X16633" s="9"/>
    </row>
    <row r="16634">
      <c r="D16634" s="9"/>
      <c r="G16634" s="9"/>
      <c r="J16634" s="11"/>
      <c r="U16634" s="9"/>
      <c r="X16634" s="9"/>
    </row>
    <row r="16635">
      <c r="D16635" s="9"/>
      <c r="G16635" s="9"/>
      <c r="J16635" s="11"/>
      <c r="U16635" s="9"/>
      <c r="X16635" s="9"/>
    </row>
    <row r="16636">
      <c r="D16636" s="9"/>
      <c r="G16636" s="9"/>
      <c r="J16636" s="11"/>
      <c r="U16636" s="9"/>
      <c r="X16636" s="9"/>
    </row>
    <row r="16637">
      <c r="D16637" s="9"/>
      <c r="G16637" s="9"/>
      <c r="J16637" s="11"/>
      <c r="U16637" s="9"/>
      <c r="X16637" s="9"/>
    </row>
    <row r="16638">
      <c r="D16638" s="9"/>
      <c r="G16638" s="9"/>
      <c r="J16638" s="11"/>
      <c r="U16638" s="9"/>
      <c r="X16638" s="9"/>
    </row>
    <row r="16639">
      <c r="D16639" s="9"/>
      <c r="G16639" s="9"/>
      <c r="J16639" s="11"/>
      <c r="U16639" s="9"/>
      <c r="X16639" s="9"/>
    </row>
    <row r="16640">
      <c r="D16640" s="9"/>
      <c r="G16640" s="9"/>
      <c r="J16640" s="11"/>
      <c r="U16640" s="9"/>
      <c r="X16640" s="9"/>
    </row>
    <row r="16641">
      <c r="D16641" s="9"/>
      <c r="G16641" s="9"/>
      <c r="J16641" s="11"/>
      <c r="U16641" s="9"/>
      <c r="X16641" s="9"/>
    </row>
    <row r="16642">
      <c r="D16642" s="9"/>
      <c r="G16642" s="9"/>
      <c r="J16642" s="11"/>
      <c r="U16642" s="9"/>
      <c r="X16642" s="9"/>
    </row>
    <row r="16643">
      <c r="D16643" s="9"/>
      <c r="G16643" s="9"/>
      <c r="J16643" s="11"/>
      <c r="U16643" s="9"/>
      <c r="X16643" s="9"/>
    </row>
    <row r="16644">
      <c r="D16644" s="9"/>
      <c r="G16644" s="9"/>
      <c r="J16644" s="11"/>
      <c r="U16644" s="9"/>
      <c r="X16644" s="9"/>
    </row>
    <row r="16645">
      <c r="D16645" s="9"/>
      <c r="G16645" s="9"/>
      <c r="J16645" s="11"/>
      <c r="U16645" s="9"/>
      <c r="X16645" s="9"/>
    </row>
    <row r="16646">
      <c r="D16646" s="9"/>
      <c r="G16646" s="9"/>
      <c r="J16646" s="11"/>
      <c r="U16646" s="9"/>
      <c r="X16646" s="9"/>
    </row>
    <row r="16647">
      <c r="D16647" s="9"/>
      <c r="G16647" s="9"/>
      <c r="J16647" s="11"/>
      <c r="U16647" s="9"/>
      <c r="X16647" s="9"/>
    </row>
    <row r="16648">
      <c r="D16648" s="9"/>
      <c r="G16648" s="9"/>
      <c r="J16648" s="11"/>
      <c r="U16648" s="9"/>
      <c r="X16648" s="9"/>
    </row>
    <row r="16649">
      <c r="D16649" s="9"/>
      <c r="G16649" s="9"/>
      <c r="J16649" s="11"/>
      <c r="U16649" s="9"/>
      <c r="X16649" s="9"/>
    </row>
    <row r="16650">
      <c r="D16650" s="9"/>
      <c r="G16650" s="9"/>
      <c r="J16650" s="11"/>
      <c r="U16650" s="9"/>
      <c r="X16650" s="9"/>
    </row>
    <row r="16651">
      <c r="D16651" s="9"/>
      <c r="G16651" s="9"/>
      <c r="J16651" s="11"/>
      <c r="U16651" s="9"/>
      <c r="X16651" s="9"/>
    </row>
    <row r="16652">
      <c r="D16652" s="9"/>
      <c r="G16652" s="9"/>
      <c r="J16652" s="11"/>
      <c r="U16652" s="9"/>
      <c r="X16652" s="9"/>
    </row>
    <row r="16653">
      <c r="D16653" s="9"/>
      <c r="G16653" s="9"/>
      <c r="J16653" s="11"/>
      <c r="U16653" s="9"/>
      <c r="X16653" s="9"/>
    </row>
    <row r="16654">
      <c r="D16654" s="9"/>
      <c r="G16654" s="9"/>
      <c r="J16654" s="11"/>
      <c r="U16654" s="9"/>
      <c r="X16654" s="9"/>
    </row>
    <row r="16655">
      <c r="D16655" s="9"/>
      <c r="G16655" s="9"/>
      <c r="J16655" s="11"/>
      <c r="U16655" s="9"/>
      <c r="X16655" s="9"/>
    </row>
    <row r="16656">
      <c r="D16656" s="9"/>
      <c r="G16656" s="9"/>
      <c r="J16656" s="11"/>
      <c r="U16656" s="9"/>
      <c r="X16656" s="9"/>
    </row>
    <row r="16657">
      <c r="D16657" s="9"/>
      <c r="G16657" s="9"/>
      <c r="J16657" s="11"/>
      <c r="U16657" s="9"/>
      <c r="X16657" s="9"/>
    </row>
    <row r="16658">
      <c r="D16658" s="9"/>
      <c r="G16658" s="9"/>
      <c r="J16658" s="11"/>
      <c r="U16658" s="9"/>
      <c r="X16658" s="9"/>
    </row>
    <row r="16659">
      <c r="D16659" s="9"/>
      <c r="G16659" s="9"/>
      <c r="J16659" s="11"/>
      <c r="U16659" s="9"/>
      <c r="X16659" s="9"/>
    </row>
    <row r="16660">
      <c r="D16660" s="9"/>
      <c r="G16660" s="9"/>
      <c r="J16660" s="11"/>
      <c r="U16660" s="9"/>
      <c r="X16660" s="9"/>
    </row>
    <row r="16661">
      <c r="D16661" s="9"/>
      <c r="G16661" s="9"/>
      <c r="J16661" s="11"/>
      <c r="U16661" s="9"/>
      <c r="X16661" s="9"/>
    </row>
    <row r="16662">
      <c r="D16662" s="9"/>
      <c r="G16662" s="9"/>
      <c r="J16662" s="11"/>
      <c r="U16662" s="9"/>
      <c r="X16662" s="9"/>
    </row>
    <row r="16663">
      <c r="D16663" s="9"/>
      <c r="G16663" s="9"/>
      <c r="J16663" s="11"/>
      <c r="U16663" s="9"/>
      <c r="X16663" s="9"/>
    </row>
    <row r="16664">
      <c r="D16664" s="9"/>
      <c r="G16664" s="9"/>
      <c r="J16664" s="11"/>
      <c r="U16664" s="9"/>
      <c r="X16664" s="9"/>
    </row>
    <row r="16665">
      <c r="D16665" s="9"/>
      <c r="G16665" s="9"/>
      <c r="J16665" s="11"/>
      <c r="U16665" s="9"/>
      <c r="X16665" s="9"/>
    </row>
    <row r="16666">
      <c r="D16666" s="9"/>
      <c r="G16666" s="9"/>
      <c r="J16666" s="11"/>
      <c r="U16666" s="9"/>
      <c r="X16666" s="9"/>
    </row>
    <row r="16667">
      <c r="D16667" s="9"/>
      <c r="G16667" s="9"/>
      <c r="J16667" s="11"/>
      <c r="U16667" s="9"/>
      <c r="X16667" s="9"/>
    </row>
    <row r="16668">
      <c r="D16668" s="9"/>
      <c r="G16668" s="9"/>
      <c r="J16668" s="11"/>
      <c r="U16668" s="9"/>
      <c r="X16668" s="9"/>
    </row>
    <row r="16669">
      <c r="D16669" s="9"/>
      <c r="G16669" s="9"/>
      <c r="J16669" s="11"/>
      <c r="U16669" s="9"/>
      <c r="X16669" s="9"/>
    </row>
    <row r="16670">
      <c r="D16670" s="9"/>
      <c r="G16670" s="9"/>
      <c r="J16670" s="11"/>
      <c r="U16670" s="9"/>
      <c r="X16670" s="9"/>
    </row>
    <row r="16671">
      <c r="D16671" s="9"/>
      <c r="G16671" s="9"/>
      <c r="J16671" s="11"/>
      <c r="U16671" s="9"/>
      <c r="X16671" s="9"/>
    </row>
    <row r="16672">
      <c r="D16672" s="9"/>
      <c r="G16672" s="9"/>
      <c r="J16672" s="11"/>
      <c r="U16672" s="9"/>
      <c r="X16672" s="9"/>
    </row>
    <row r="16673">
      <c r="D16673" s="9"/>
      <c r="G16673" s="9"/>
      <c r="J16673" s="11"/>
      <c r="U16673" s="9"/>
      <c r="X16673" s="9"/>
    </row>
    <row r="16674">
      <c r="D16674" s="9"/>
      <c r="G16674" s="9"/>
      <c r="J16674" s="11"/>
      <c r="U16674" s="9"/>
      <c r="X16674" s="9"/>
    </row>
    <row r="16675">
      <c r="D16675" s="9"/>
      <c r="G16675" s="9"/>
      <c r="J16675" s="11"/>
      <c r="U16675" s="9"/>
      <c r="X16675" s="9"/>
    </row>
    <row r="16676">
      <c r="D16676" s="9"/>
      <c r="G16676" s="9"/>
      <c r="J16676" s="11"/>
      <c r="U16676" s="9"/>
      <c r="X16676" s="9"/>
    </row>
    <row r="16677">
      <c r="D16677" s="9"/>
      <c r="G16677" s="9"/>
      <c r="J16677" s="11"/>
      <c r="U16677" s="9"/>
      <c r="X16677" s="9"/>
    </row>
    <row r="16678">
      <c r="D16678" s="9"/>
      <c r="G16678" s="9"/>
      <c r="J16678" s="11"/>
      <c r="U16678" s="9"/>
      <c r="X16678" s="9"/>
    </row>
    <row r="16679">
      <c r="D16679" s="9"/>
      <c r="G16679" s="9"/>
      <c r="J16679" s="11"/>
      <c r="U16679" s="9"/>
      <c r="X16679" s="9"/>
    </row>
    <row r="16680">
      <c r="D16680" s="9"/>
      <c r="G16680" s="9"/>
      <c r="J16680" s="11"/>
      <c r="U16680" s="9"/>
      <c r="X16680" s="9"/>
    </row>
    <row r="16681">
      <c r="D16681" s="9"/>
      <c r="G16681" s="9"/>
      <c r="J16681" s="11"/>
      <c r="U16681" s="9"/>
      <c r="X16681" s="9"/>
    </row>
    <row r="16682">
      <c r="D16682" s="9"/>
      <c r="G16682" s="9"/>
      <c r="J16682" s="11"/>
      <c r="U16682" s="9"/>
      <c r="X16682" s="9"/>
    </row>
    <row r="16683">
      <c r="D16683" s="9"/>
      <c r="G16683" s="9"/>
      <c r="J16683" s="11"/>
      <c r="U16683" s="9"/>
      <c r="X16683" s="9"/>
    </row>
    <row r="16684">
      <c r="D16684" s="9"/>
      <c r="G16684" s="9"/>
      <c r="J16684" s="11"/>
      <c r="U16684" s="9"/>
      <c r="X16684" s="9"/>
    </row>
    <row r="16685">
      <c r="D16685" s="9"/>
      <c r="G16685" s="9"/>
      <c r="J16685" s="11"/>
      <c r="U16685" s="9"/>
      <c r="X16685" s="9"/>
    </row>
    <row r="16686">
      <c r="D16686" s="9"/>
      <c r="G16686" s="9"/>
      <c r="J16686" s="11"/>
      <c r="U16686" s="9"/>
      <c r="X16686" s="9"/>
    </row>
    <row r="16687">
      <c r="D16687" s="9"/>
      <c r="G16687" s="9"/>
      <c r="J16687" s="11"/>
      <c r="U16687" s="9"/>
      <c r="X16687" s="9"/>
    </row>
    <row r="16688">
      <c r="D16688" s="9"/>
      <c r="G16688" s="9"/>
      <c r="J16688" s="11"/>
      <c r="U16688" s="9"/>
      <c r="X16688" s="9"/>
    </row>
    <row r="16689">
      <c r="D16689" s="9"/>
      <c r="G16689" s="9"/>
      <c r="J16689" s="11"/>
      <c r="U16689" s="9"/>
      <c r="X16689" s="9"/>
    </row>
    <row r="16690">
      <c r="D16690" s="9"/>
      <c r="G16690" s="9"/>
      <c r="J16690" s="11"/>
      <c r="U16690" s="9"/>
      <c r="X16690" s="9"/>
    </row>
    <row r="16691">
      <c r="D16691" s="9"/>
      <c r="G16691" s="9"/>
      <c r="J16691" s="11"/>
      <c r="U16691" s="9"/>
      <c r="X16691" s="9"/>
    </row>
    <row r="16692">
      <c r="D16692" s="9"/>
      <c r="G16692" s="9"/>
      <c r="J16692" s="11"/>
      <c r="U16692" s="9"/>
      <c r="X16692" s="9"/>
    </row>
    <row r="16693">
      <c r="D16693" s="9"/>
      <c r="G16693" s="9"/>
      <c r="J16693" s="11"/>
      <c r="U16693" s="9"/>
      <c r="X16693" s="9"/>
    </row>
    <row r="16694">
      <c r="D16694" s="9"/>
      <c r="G16694" s="9"/>
      <c r="J16694" s="11"/>
      <c r="U16694" s="9"/>
      <c r="X16694" s="9"/>
    </row>
    <row r="16695">
      <c r="D16695" s="9"/>
      <c r="G16695" s="9"/>
      <c r="J16695" s="11"/>
      <c r="U16695" s="9"/>
      <c r="X16695" s="9"/>
    </row>
    <row r="16696">
      <c r="D16696" s="9"/>
      <c r="G16696" s="9"/>
      <c r="J16696" s="11"/>
      <c r="U16696" s="9"/>
      <c r="X16696" s="9"/>
    </row>
    <row r="16697">
      <c r="D16697" s="9"/>
      <c r="G16697" s="9"/>
      <c r="J16697" s="11"/>
      <c r="U16697" s="9"/>
      <c r="X16697" s="9"/>
    </row>
    <row r="16698">
      <c r="D16698" s="9"/>
      <c r="G16698" s="9"/>
      <c r="J16698" s="11"/>
      <c r="U16698" s="9"/>
      <c r="X16698" s="9"/>
    </row>
    <row r="16699">
      <c r="D16699" s="9"/>
      <c r="G16699" s="9"/>
      <c r="J16699" s="11"/>
      <c r="U16699" s="9"/>
      <c r="X16699" s="9"/>
    </row>
    <row r="16700">
      <c r="D16700" s="9"/>
      <c r="G16700" s="9"/>
      <c r="J16700" s="11"/>
      <c r="U16700" s="9"/>
      <c r="X16700" s="9"/>
    </row>
    <row r="16701">
      <c r="D16701" s="9"/>
      <c r="G16701" s="9"/>
      <c r="J16701" s="11"/>
      <c r="U16701" s="9"/>
      <c r="X16701" s="9"/>
    </row>
    <row r="16702">
      <c r="D16702" s="9"/>
      <c r="G16702" s="9"/>
      <c r="J16702" s="11"/>
      <c r="U16702" s="9"/>
      <c r="X16702" s="9"/>
    </row>
    <row r="16703">
      <c r="D16703" s="9"/>
      <c r="G16703" s="9"/>
      <c r="J16703" s="11"/>
      <c r="U16703" s="9"/>
      <c r="X16703" s="9"/>
    </row>
    <row r="16704">
      <c r="D16704" s="9"/>
      <c r="G16704" s="9"/>
      <c r="J16704" s="11"/>
      <c r="U16704" s="9"/>
      <c r="X16704" s="9"/>
    </row>
    <row r="16705">
      <c r="D16705" s="9"/>
      <c r="G16705" s="9"/>
      <c r="J16705" s="11"/>
      <c r="U16705" s="9"/>
      <c r="X16705" s="9"/>
    </row>
    <row r="16706">
      <c r="D16706" s="9"/>
      <c r="G16706" s="9"/>
      <c r="J16706" s="11"/>
      <c r="U16706" s="9"/>
      <c r="X16706" s="9"/>
    </row>
    <row r="16707">
      <c r="D16707" s="9"/>
      <c r="G16707" s="9"/>
      <c r="J16707" s="11"/>
      <c r="U16707" s="9"/>
      <c r="X16707" s="9"/>
    </row>
    <row r="16708">
      <c r="D16708" s="9"/>
      <c r="G16708" s="9"/>
      <c r="J16708" s="11"/>
      <c r="U16708" s="9"/>
      <c r="X16708" s="9"/>
    </row>
    <row r="16709">
      <c r="D16709" s="9"/>
      <c r="G16709" s="9"/>
      <c r="J16709" s="11"/>
      <c r="U16709" s="9"/>
      <c r="X16709" s="9"/>
    </row>
    <row r="16710">
      <c r="D16710" s="9"/>
      <c r="G16710" s="9"/>
      <c r="J16710" s="11"/>
      <c r="U16710" s="9"/>
      <c r="X16710" s="9"/>
    </row>
    <row r="16711">
      <c r="D16711" s="9"/>
      <c r="G16711" s="9"/>
      <c r="J16711" s="11"/>
      <c r="U16711" s="9"/>
      <c r="X16711" s="9"/>
    </row>
    <row r="16712">
      <c r="D16712" s="9"/>
      <c r="G16712" s="9"/>
      <c r="J16712" s="11"/>
      <c r="U16712" s="9"/>
      <c r="X16712" s="9"/>
    </row>
    <row r="16713">
      <c r="D16713" s="9"/>
      <c r="G16713" s="9"/>
      <c r="J16713" s="11"/>
      <c r="U16713" s="9"/>
      <c r="X16713" s="9"/>
    </row>
    <row r="16714">
      <c r="D16714" s="9"/>
      <c r="G16714" s="9"/>
      <c r="J16714" s="11"/>
      <c r="U16714" s="9"/>
      <c r="X16714" s="9"/>
    </row>
    <row r="16715">
      <c r="D16715" s="9"/>
      <c r="G16715" s="9"/>
      <c r="J16715" s="11"/>
      <c r="U16715" s="9"/>
      <c r="X16715" s="9"/>
    </row>
    <row r="16716">
      <c r="D16716" s="9"/>
      <c r="G16716" s="9"/>
      <c r="J16716" s="11"/>
      <c r="U16716" s="9"/>
      <c r="X16716" s="9"/>
    </row>
    <row r="16717">
      <c r="D16717" s="9"/>
      <c r="G16717" s="9"/>
      <c r="J16717" s="11"/>
      <c r="U16717" s="9"/>
      <c r="X16717" s="9"/>
    </row>
    <row r="16718">
      <c r="D16718" s="9"/>
      <c r="G16718" s="9"/>
      <c r="J16718" s="11"/>
      <c r="U16718" s="9"/>
      <c r="X16718" s="9"/>
    </row>
    <row r="16719">
      <c r="D16719" s="9"/>
      <c r="G16719" s="9"/>
      <c r="J16719" s="11"/>
      <c r="U16719" s="9"/>
      <c r="X16719" s="9"/>
    </row>
    <row r="16720">
      <c r="D16720" s="9"/>
      <c r="G16720" s="9"/>
      <c r="J16720" s="11"/>
      <c r="U16720" s="9"/>
      <c r="X16720" s="9"/>
    </row>
    <row r="16721">
      <c r="D16721" s="9"/>
      <c r="G16721" s="9"/>
      <c r="J16721" s="11"/>
      <c r="U16721" s="9"/>
      <c r="X16721" s="9"/>
    </row>
    <row r="16722">
      <c r="D16722" s="9"/>
      <c r="G16722" s="9"/>
      <c r="J16722" s="11"/>
      <c r="U16722" s="9"/>
      <c r="X16722" s="9"/>
    </row>
    <row r="16723">
      <c r="D16723" s="9"/>
      <c r="G16723" s="9"/>
      <c r="J16723" s="11"/>
      <c r="U16723" s="9"/>
      <c r="X16723" s="9"/>
    </row>
    <row r="16724">
      <c r="D16724" s="9"/>
      <c r="G16724" s="9"/>
      <c r="J16724" s="11"/>
      <c r="U16724" s="9"/>
      <c r="X16724" s="9"/>
    </row>
    <row r="16725">
      <c r="D16725" s="9"/>
      <c r="G16725" s="9"/>
      <c r="J16725" s="11"/>
      <c r="U16725" s="9"/>
      <c r="X16725" s="9"/>
    </row>
    <row r="16726">
      <c r="D16726" s="9"/>
      <c r="G16726" s="9"/>
      <c r="J16726" s="11"/>
      <c r="U16726" s="9"/>
      <c r="X16726" s="9"/>
    </row>
    <row r="16727">
      <c r="D16727" s="9"/>
      <c r="G16727" s="9"/>
      <c r="J16727" s="11"/>
      <c r="U16727" s="9"/>
      <c r="X16727" s="9"/>
    </row>
    <row r="16728">
      <c r="D16728" s="9"/>
      <c r="G16728" s="9"/>
      <c r="J16728" s="11"/>
      <c r="U16728" s="9"/>
      <c r="X16728" s="9"/>
    </row>
    <row r="16729">
      <c r="D16729" s="9"/>
      <c r="G16729" s="9"/>
      <c r="J16729" s="11"/>
      <c r="U16729" s="9"/>
      <c r="X16729" s="9"/>
    </row>
    <row r="16730">
      <c r="D16730" s="9"/>
      <c r="G16730" s="9"/>
      <c r="J16730" s="11"/>
      <c r="U16730" s="9"/>
      <c r="X16730" s="9"/>
    </row>
    <row r="16731">
      <c r="D16731" s="9"/>
      <c r="G16731" s="9"/>
      <c r="J16731" s="11"/>
      <c r="U16731" s="9"/>
      <c r="X16731" s="9"/>
    </row>
    <row r="16732">
      <c r="D16732" s="9"/>
      <c r="G16732" s="9"/>
      <c r="J16732" s="11"/>
      <c r="U16732" s="9"/>
      <c r="X16732" s="9"/>
    </row>
    <row r="16733">
      <c r="D16733" s="9"/>
      <c r="G16733" s="9"/>
      <c r="J16733" s="11"/>
      <c r="U16733" s="9"/>
      <c r="X16733" s="9"/>
    </row>
    <row r="16734">
      <c r="D16734" s="9"/>
      <c r="G16734" s="9"/>
      <c r="J16734" s="11"/>
      <c r="U16734" s="9"/>
      <c r="X16734" s="9"/>
    </row>
    <row r="16735">
      <c r="D16735" s="9"/>
      <c r="G16735" s="9"/>
      <c r="J16735" s="11"/>
      <c r="U16735" s="9"/>
      <c r="X16735" s="9"/>
    </row>
    <row r="16736">
      <c r="D16736" s="9"/>
      <c r="G16736" s="9"/>
      <c r="J16736" s="11"/>
      <c r="U16736" s="9"/>
      <c r="X16736" s="9"/>
    </row>
    <row r="16737">
      <c r="D16737" s="9"/>
      <c r="G16737" s="9"/>
      <c r="J16737" s="11"/>
      <c r="U16737" s="9"/>
      <c r="X16737" s="9"/>
    </row>
    <row r="16738">
      <c r="D16738" s="9"/>
      <c r="G16738" s="9"/>
      <c r="J16738" s="11"/>
      <c r="U16738" s="9"/>
      <c r="X16738" s="9"/>
    </row>
    <row r="16739">
      <c r="D16739" s="9"/>
      <c r="G16739" s="9"/>
      <c r="J16739" s="11"/>
      <c r="U16739" s="9"/>
      <c r="X16739" s="9"/>
    </row>
    <row r="16740">
      <c r="D16740" s="9"/>
      <c r="G16740" s="9"/>
      <c r="J16740" s="11"/>
      <c r="U16740" s="9"/>
      <c r="X16740" s="9"/>
    </row>
    <row r="16741">
      <c r="D16741" s="9"/>
      <c r="G16741" s="9"/>
      <c r="J16741" s="11"/>
      <c r="U16741" s="9"/>
      <c r="X16741" s="9"/>
    </row>
    <row r="16742">
      <c r="D16742" s="9"/>
      <c r="G16742" s="9"/>
      <c r="J16742" s="11"/>
      <c r="U16742" s="9"/>
      <c r="X16742" s="9"/>
    </row>
    <row r="16743">
      <c r="D16743" s="9"/>
      <c r="G16743" s="9"/>
      <c r="J16743" s="11"/>
      <c r="U16743" s="9"/>
      <c r="X16743" s="9"/>
    </row>
    <row r="16744">
      <c r="D16744" s="9"/>
      <c r="G16744" s="9"/>
      <c r="J16744" s="11"/>
      <c r="U16744" s="9"/>
      <c r="X16744" s="9"/>
    </row>
    <row r="16745">
      <c r="D16745" s="9"/>
      <c r="G16745" s="9"/>
      <c r="J16745" s="11"/>
      <c r="U16745" s="9"/>
      <c r="X16745" s="9"/>
    </row>
    <row r="16746">
      <c r="D16746" s="9"/>
      <c r="G16746" s="9"/>
      <c r="J16746" s="11"/>
      <c r="U16746" s="9"/>
      <c r="X16746" s="9"/>
    </row>
    <row r="16747">
      <c r="D16747" s="9"/>
      <c r="G16747" s="9"/>
      <c r="J16747" s="11"/>
      <c r="U16747" s="9"/>
      <c r="X16747" s="9"/>
    </row>
    <row r="16748">
      <c r="D16748" s="9"/>
      <c r="G16748" s="9"/>
      <c r="J16748" s="11"/>
      <c r="U16748" s="9"/>
      <c r="X16748" s="9"/>
    </row>
    <row r="16749">
      <c r="D16749" s="9"/>
      <c r="G16749" s="9"/>
      <c r="J16749" s="11"/>
      <c r="U16749" s="9"/>
      <c r="X16749" s="9"/>
    </row>
    <row r="16750">
      <c r="D16750" s="9"/>
      <c r="G16750" s="9"/>
      <c r="J16750" s="11"/>
      <c r="U16750" s="9"/>
      <c r="X16750" s="9"/>
    </row>
    <row r="16751">
      <c r="D16751" s="9"/>
      <c r="G16751" s="9"/>
      <c r="J16751" s="11"/>
      <c r="U16751" s="9"/>
      <c r="X16751" s="9"/>
    </row>
    <row r="16752">
      <c r="D16752" s="9"/>
      <c r="G16752" s="9"/>
      <c r="J16752" s="11"/>
      <c r="U16752" s="9"/>
      <c r="X16752" s="9"/>
    </row>
    <row r="16753">
      <c r="D16753" s="9"/>
      <c r="G16753" s="9"/>
      <c r="J16753" s="11"/>
      <c r="U16753" s="9"/>
      <c r="X16753" s="9"/>
    </row>
    <row r="16754">
      <c r="D16754" s="9"/>
      <c r="G16754" s="9"/>
      <c r="J16754" s="11"/>
      <c r="U16754" s="9"/>
      <c r="X16754" s="9"/>
    </row>
    <row r="16755">
      <c r="D16755" s="9"/>
      <c r="G16755" s="9"/>
      <c r="J16755" s="11"/>
      <c r="U16755" s="9"/>
      <c r="X16755" s="9"/>
    </row>
    <row r="16756">
      <c r="D16756" s="9"/>
      <c r="G16756" s="9"/>
      <c r="J16756" s="11"/>
      <c r="U16756" s="9"/>
      <c r="X16756" s="9"/>
    </row>
    <row r="16757">
      <c r="D16757" s="9"/>
      <c r="G16757" s="9"/>
      <c r="J16757" s="11"/>
      <c r="U16757" s="9"/>
      <c r="X16757" s="9"/>
    </row>
    <row r="16758">
      <c r="D16758" s="9"/>
      <c r="G16758" s="9"/>
      <c r="J16758" s="11"/>
      <c r="U16758" s="9"/>
      <c r="X16758" s="9"/>
    </row>
    <row r="16759">
      <c r="D16759" s="9"/>
      <c r="G16759" s="9"/>
      <c r="J16759" s="11"/>
      <c r="U16759" s="9"/>
      <c r="X16759" s="9"/>
    </row>
    <row r="16760">
      <c r="D16760" s="9"/>
      <c r="G16760" s="9"/>
      <c r="J16760" s="11"/>
      <c r="U16760" s="9"/>
      <c r="X16760" s="9"/>
    </row>
    <row r="16761">
      <c r="D16761" s="9"/>
      <c r="G16761" s="9"/>
      <c r="J16761" s="11"/>
      <c r="U16761" s="9"/>
      <c r="X16761" s="9"/>
    </row>
    <row r="16762">
      <c r="D16762" s="9"/>
      <c r="G16762" s="9"/>
      <c r="J16762" s="11"/>
      <c r="U16762" s="9"/>
      <c r="X16762" s="9"/>
    </row>
    <row r="16763">
      <c r="D16763" s="9"/>
      <c r="G16763" s="9"/>
      <c r="J16763" s="11"/>
      <c r="U16763" s="9"/>
      <c r="X16763" s="9"/>
    </row>
    <row r="16764">
      <c r="D16764" s="9"/>
      <c r="G16764" s="9"/>
      <c r="J16764" s="11"/>
      <c r="U16764" s="9"/>
      <c r="X16764" s="9"/>
    </row>
    <row r="16765">
      <c r="D16765" s="9"/>
      <c r="G16765" s="9"/>
      <c r="J16765" s="11"/>
      <c r="U16765" s="9"/>
      <c r="X16765" s="9"/>
    </row>
    <row r="16766">
      <c r="D16766" s="9"/>
      <c r="G16766" s="9"/>
      <c r="J16766" s="11"/>
      <c r="U16766" s="9"/>
      <c r="X16766" s="9"/>
    </row>
    <row r="16767">
      <c r="D16767" s="9"/>
      <c r="G16767" s="9"/>
      <c r="J16767" s="11"/>
      <c r="U16767" s="9"/>
      <c r="X16767" s="9"/>
    </row>
    <row r="16768">
      <c r="D16768" s="9"/>
      <c r="G16768" s="9"/>
      <c r="J16768" s="11"/>
      <c r="U16768" s="9"/>
      <c r="X16768" s="9"/>
    </row>
    <row r="16769">
      <c r="D16769" s="9"/>
      <c r="G16769" s="9"/>
      <c r="J16769" s="11"/>
      <c r="U16769" s="9"/>
      <c r="X16769" s="9"/>
    </row>
    <row r="16770">
      <c r="D16770" s="9"/>
      <c r="G16770" s="9"/>
      <c r="J16770" s="11"/>
      <c r="U16770" s="9"/>
      <c r="X16770" s="9"/>
    </row>
    <row r="16771">
      <c r="D16771" s="9"/>
      <c r="G16771" s="9"/>
      <c r="J16771" s="11"/>
      <c r="U16771" s="9"/>
      <c r="X16771" s="9"/>
    </row>
    <row r="16772">
      <c r="D16772" s="9"/>
      <c r="G16772" s="9"/>
      <c r="J16772" s="11"/>
      <c r="U16772" s="9"/>
      <c r="X16772" s="9"/>
    </row>
    <row r="16773">
      <c r="D16773" s="9"/>
      <c r="G16773" s="9"/>
      <c r="J16773" s="11"/>
      <c r="U16773" s="9"/>
      <c r="X16773" s="9"/>
    </row>
    <row r="16774">
      <c r="D16774" s="9"/>
      <c r="G16774" s="9"/>
      <c r="J16774" s="11"/>
      <c r="U16774" s="9"/>
      <c r="X16774" s="9"/>
    </row>
    <row r="16775">
      <c r="D16775" s="9"/>
      <c r="G16775" s="9"/>
      <c r="J16775" s="11"/>
      <c r="U16775" s="9"/>
      <c r="X16775" s="9"/>
    </row>
    <row r="16776">
      <c r="D16776" s="9"/>
      <c r="G16776" s="9"/>
      <c r="J16776" s="11"/>
      <c r="U16776" s="9"/>
      <c r="X16776" s="9"/>
    </row>
    <row r="16777">
      <c r="D16777" s="9"/>
      <c r="G16777" s="9"/>
      <c r="J16777" s="11"/>
      <c r="U16777" s="9"/>
      <c r="X16777" s="9"/>
    </row>
    <row r="16778">
      <c r="D16778" s="9"/>
      <c r="G16778" s="9"/>
      <c r="J16778" s="11"/>
      <c r="U16778" s="9"/>
      <c r="X16778" s="9"/>
    </row>
    <row r="16779">
      <c r="D16779" s="9"/>
      <c r="G16779" s="9"/>
      <c r="J16779" s="11"/>
      <c r="U16779" s="9"/>
      <c r="X16779" s="9"/>
    </row>
    <row r="16780">
      <c r="D16780" s="9"/>
      <c r="G16780" s="9"/>
      <c r="J16780" s="11"/>
      <c r="U16780" s="9"/>
      <c r="X16780" s="9"/>
    </row>
    <row r="16781">
      <c r="D16781" s="9"/>
      <c r="G16781" s="9"/>
      <c r="J16781" s="11"/>
      <c r="U16781" s="9"/>
      <c r="X16781" s="9"/>
    </row>
    <row r="16782">
      <c r="D16782" s="9"/>
      <c r="G16782" s="9"/>
      <c r="J16782" s="11"/>
      <c r="U16782" s="9"/>
      <c r="X16782" s="9"/>
    </row>
    <row r="16783">
      <c r="D16783" s="9"/>
      <c r="G16783" s="9"/>
      <c r="J16783" s="11"/>
      <c r="U16783" s="9"/>
      <c r="X16783" s="9"/>
    </row>
    <row r="16784">
      <c r="D16784" s="9"/>
      <c r="G16784" s="9"/>
      <c r="J16784" s="11"/>
      <c r="U16784" s="9"/>
      <c r="X16784" s="9"/>
    </row>
    <row r="16785">
      <c r="D16785" s="9"/>
      <c r="G16785" s="9"/>
      <c r="J16785" s="11"/>
      <c r="U16785" s="9"/>
      <c r="X16785" s="9"/>
    </row>
    <row r="16786">
      <c r="D16786" s="9"/>
      <c r="G16786" s="9"/>
      <c r="J16786" s="11"/>
      <c r="U16786" s="9"/>
      <c r="X16786" s="9"/>
    </row>
    <row r="16787">
      <c r="D16787" s="9"/>
      <c r="G16787" s="9"/>
      <c r="J16787" s="11"/>
      <c r="U16787" s="9"/>
      <c r="X16787" s="9"/>
    </row>
    <row r="16788">
      <c r="D16788" s="9"/>
      <c r="G16788" s="9"/>
      <c r="J16788" s="11"/>
      <c r="U16788" s="9"/>
      <c r="X16788" s="9"/>
    </row>
    <row r="16789">
      <c r="D16789" s="9"/>
      <c r="G16789" s="9"/>
      <c r="J16789" s="11"/>
      <c r="U16789" s="9"/>
      <c r="X16789" s="9"/>
    </row>
    <row r="16790">
      <c r="D16790" s="9"/>
      <c r="G16790" s="9"/>
      <c r="J16790" s="11"/>
      <c r="U16790" s="9"/>
      <c r="X16790" s="9"/>
    </row>
    <row r="16791">
      <c r="D16791" s="9"/>
      <c r="G16791" s="9"/>
      <c r="J16791" s="11"/>
      <c r="U16791" s="9"/>
      <c r="X16791" s="9"/>
    </row>
    <row r="16792">
      <c r="D16792" s="9"/>
      <c r="G16792" s="9"/>
      <c r="J16792" s="11"/>
      <c r="U16792" s="9"/>
      <c r="X16792" s="9"/>
    </row>
    <row r="16793">
      <c r="D16793" s="9"/>
      <c r="G16793" s="9"/>
      <c r="J16793" s="11"/>
      <c r="U16793" s="9"/>
      <c r="X16793" s="9"/>
    </row>
    <row r="16794">
      <c r="D16794" s="9"/>
      <c r="G16794" s="9"/>
      <c r="J16794" s="11"/>
      <c r="U16794" s="9"/>
      <c r="X16794" s="9"/>
    </row>
    <row r="16795">
      <c r="D16795" s="9"/>
      <c r="G16795" s="9"/>
      <c r="J16795" s="11"/>
      <c r="U16795" s="9"/>
      <c r="X16795" s="9"/>
    </row>
    <row r="16796">
      <c r="D16796" s="9"/>
      <c r="G16796" s="9"/>
      <c r="J16796" s="11"/>
      <c r="U16796" s="9"/>
      <c r="X16796" s="9"/>
    </row>
    <row r="16797">
      <c r="D16797" s="9"/>
      <c r="G16797" s="9"/>
      <c r="J16797" s="11"/>
      <c r="U16797" s="9"/>
      <c r="X16797" s="9"/>
    </row>
    <row r="16798">
      <c r="D16798" s="9"/>
      <c r="G16798" s="9"/>
      <c r="J16798" s="11"/>
      <c r="U16798" s="9"/>
      <c r="X16798" s="9"/>
    </row>
    <row r="16799">
      <c r="D16799" s="9"/>
      <c r="G16799" s="9"/>
      <c r="J16799" s="11"/>
      <c r="U16799" s="9"/>
      <c r="X16799" s="9"/>
    </row>
    <row r="16800">
      <c r="D16800" s="9"/>
      <c r="G16800" s="9"/>
      <c r="J16800" s="11"/>
      <c r="U16800" s="9"/>
      <c r="X16800" s="9"/>
    </row>
    <row r="16801">
      <c r="D16801" s="9"/>
      <c r="G16801" s="9"/>
      <c r="J16801" s="11"/>
      <c r="U16801" s="9"/>
      <c r="X16801" s="9"/>
    </row>
    <row r="16802">
      <c r="D16802" s="9"/>
      <c r="G16802" s="9"/>
      <c r="J16802" s="11"/>
      <c r="U16802" s="9"/>
      <c r="X16802" s="9"/>
    </row>
    <row r="16803">
      <c r="D16803" s="9"/>
      <c r="G16803" s="9"/>
      <c r="J16803" s="11"/>
      <c r="U16803" s="9"/>
      <c r="X16803" s="9"/>
    </row>
    <row r="16804">
      <c r="D16804" s="9"/>
      <c r="G16804" s="9"/>
      <c r="J16804" s="11"/>
      <c r="U16804" s="9"/>
      <c r="X16804" s="9"/>
    </row>
    <row r="16805">
      <c r="D16805" s="9"/>
      <c r="G16805" s="9"/>
      <c r="J16805" s="11"/>
      <c r="U16805" s="9"/>
      <c r="X16805" s="9"/>
    </row>
    <row r="16806">
      <c r="D16806" s="9"/>
      <c r="G16806" s="9"/>
      <c r="J16806" s="11"/>
      <c r="U16806" s="9"/>
      <c r="X16806" s="9"/>
    </row>
    <row r="16807">
      <c r="D16807" s="9"/>
      <c r="G16807" s="9"/>
      <c r="J16807" s="11"/>
      <c r="U16807" s="9"/>
      <c r="X16807" s="9"/>
    </row>
    <row r="16808">
      <c r="D16808" s="9"/>
      <c r="G16808" s="9"/>
      <c r="J16808" s="11"/>
      <c r="U16808" s="9"/>
      <c r="X16808" s="9"/>
    </row>
    <row r="16809">
      <c r="D16809" s="9"/>
      <c r="G16809" s="9"/>
      <c r="J16809" s="11"/>
      <c r="U16809" s="9"/>
      <c r="X16809" s="9"/>
    </row>
    <row r="16810">
      <c r="D16810" s="9"/>
      <c r="G16810" s="9"/>
      <c r="J16810" s="11"/>
      <c r="U16810" s="9"/>
      <c r="X16810" s="9"/>
    </row>
    <row r="16811">
      <c r="D16811" s="9"/>
      <c r="G16811" s="9"/>
      <c r="J16811" s="11"/>
      <c r="U16811" s="9"/>
      <c r="X16811" s="9"/>
    </row>
    <row r="16812">
      <c r="D16812" s="9"/>
      <c r="G16812" s="9"/>
      <c r="J16812" s="11"/>
      <c r="U16812" s="9"/>
      <c r="X16812" s="9"/>
    </row>
    <row r="16813">
      <c r="D16813" s="9"/>
      <c r="G16813" s="9"/>
      <c r="J16813" s="11"/>
      <c r="U16813" s="9"/>
      <c r="X16813" s="9"/>
    </row>
    <row r="16814">
      <c r="D16814" s="9"/>
      <c r="G16814" s="9"/>
      <c r="J16814" s="11"/>
      <c r="U16814" s="9"/>
      <c r="X16814" s="9"/>
    </row>
    <row r="16815">
      <c r="D16815" s="9"/>
      <c r="G16815" s="9"/>
      <c r="J16815" s="11"/>
      <c r="U16815" s="9"/>
      <c r="X16815" s="9"/>
    </row>
    <row r="16816">
      <c r="D16816" s="9"/>
      <c r="G16816" s="9"/>
      <c r="J16816" s="11"/>
      <c r="U16816" s="9"/>
      <c r="X16816" s="9"/>
    </row>
    <row r="16817">
      <c r="D16817" s="9"/>
      <c r="G16817" s="9"/>
      <c r="J16817" s="11"/>
      <c r="U16817" s="9"/>
      <c r="X16817" s="9"/>
    </row>
    <row r="16818">
      <c r="D16818" s="9"/>
      <c r="G16818" s="9"/>
      <c r="J16818" s="11"/>
      <c r="U16818" s="9"/>
      <c r="X16818" s="9"/>
    </row>
    <row r="16819">
      <c r="D16819" s="9"/>
      <c r="G16819" s="9"/>
      <c r="J16819" s="11"/>
      <c r="U16819" s="9"/>
      <c r="X16819" s="9"/>
    </row>
    <row r="16820">
      <c r="D16820" s="9"/>
      <c r="G16820" s="9"/>
      <c r="J16820" s="11"/>
      <c r="U16820" s="9"/>
      <c r="X16820" s="9"/>
    </row>
    <row r="16821">
      <c r="D16821" s="9"/>
      <c r="G16821" s="9"/>
      <c r="J16821" s="11"/>
      <c r="U16821" s="9"/>
      <c r="X16821" s="9"/>
    </row>
    <row r="16822">
      <c r="D16822" s="9"/>
      <c r="G16822" s="9"/>
      <c r="J16822" s="11"/>
      <c r="U16822" s="9"/>
      <c r="X16822" s="9"/>
    </row>
    <row r="16823">
      <c r="D16823" s="9"/>
      <c r="G16823" s="9"/>
      <c r="J16823" s="11"/>
      <c r="U16823" s="9"/>
      <c r="X16823" s="9"/>
    </row>
    <row r="16824">
      <c r="D16824" s="9"/>
      <c r="G16824" s="9"/>
      <c r="J16824" s="11"/>
      <c r="U16824" s="9"/>
      <c r="X16824" s="9"/>
    </row>
    <row r="16825">
      <c r="D16825" s="9"/>
      <c r="G16825" s="9"/>
      <c r="J16825" s="11"/>
      <c r="U16825" s="9"/>
      <c r="X16825" s="9"/>
    </row>
    <row r="16826">
      <c r="D16826" s="9"/>
      <c r="G16826" s="9"/>
      <c r="J16826" s="11"/>
      <c r="U16826" s="9"/>
      <c r="X16826" s="9"/>
    </row>
    <row r="16827">
      <c r="D16827" s="9"/>
      <c r="G16827" s="9"/>
      <c r="J16827" s="11"/>
      <c r="U16827" s="9"/>
      <c r="X16827" s="9"/>
    </row>
    <row r="16828">
      <c r="D16828" s="9"/>
      <c r="G16828" s="9"/>
      <c r="J16828" s="11"/>
      <c r="U16828" s="9"/>
      <c r="X16828" s="9"/>
    </row>
    <row r="16829">
      <c r="D16829" s="9"/>
      <c r="G16829" s="9"/>
      <c r="J16829" s="11"/>
      <c r="U16829" s="9"/>
      <c r="X16829" s="9"/>
    </row>
    <row r="16830">
      <c r="D16830" s="9"/>
      <c r="G16830" s="9"/>
      <c r="J16830" s="11"/>
      <c r="U16830" s="9"/>
      <c r="X16830" s="9"/>
    </row>
    <row r="16831">
      <c r="D16831" s="9"/>
      <c r="G16831" s="9"/>
      <c r="J16831" s="11"/>
      <c r="U16831" s="9"/>
      <c r="X16831" s="9"/>
    </row>
    <row r="16832">
      <c r="D16832" s="9"/>
      <c r="G16832" s="9"/>
      <c r="J16832" s="11"/>
      <c r="U16832" s="9"/>
      <c r="X16832" s="9"/>
    </row>
    <row r="16833">
      <c r="D16833" s="9"/>
      <c r="G16833" s="9"/>
      <c r="J16833" s="11"/>
      <c r="U16833" s="9"/>
      <c r="X16833" s="9"/>
    </row>
    <row r="16834">
      <c r="D16834" s="9"/>
      <c r="G16834" s="9"/>
      <c r="J16834" s="11"/>
      <c r="U16834" s="9"/>
      <c r="X16834" s="9"/>
    </row>
    <row r="16835">
      <c r="D16835" s="9"/>
      <c r="G16835" s="9"/>
      <c r="J16835" s="11"/>
      <c r="U16835" s="9"/>
      <c r="X16835" s="9"/>
    </row>
    <row r="16836">
      <c r="D16836" s="9"/>
      <c r="G16836" s="9"/>
      <c r="J16836" s="11"/>
      <c r="U16836" s="9"/>
      <c r="X16836" s="9"/>
    </row>
    <row r="16837">
      <c r="D16837" s="9"/>
      <c r="G16837" s="9"/>
      <c r="J16837" s="11"/>
      <c r="U16837" s="9"/>
      <c r="X16837" s="9"/>
    </row>
    <row r="16838">
      <c r="D16838" s="9"/>
      <c r="G16838" s="9"/>
      <c r="J16838" s="11"/>
      <c r="U16838" s="9"/>
      <c r="X16838" s="9"/>
    </row>
    <row r="16839">
      <c r="D16839" s="9"/>
      <c r="G16839" s="9"/>
      <c r="J16839" s="11"/>
      <c r="U16839" s="9"/>
      <c r="X16839" s="9"/>
    </row>
    <row r="16840">
      <c r="D16840" s="9"/>
      <c r="G16840" s="9"/>
      <c r="J16840" s="11"/>
      <c r="U16840" s="9"/>
      <c r="X16840" s="9"/>
    </row>
    <row r="16841">
      <c r="D16841" s="9"/>
      <c r="G16841" s="9"/>
      <c r="J16841" s="11"/>
      <c r="U16841" s="9"/>
      <c r="X16841" s="9"/>
    </row>
    <row r="16842">
      <c r="D16842" s="9"/>
      <c r="G16842" s="9"/>
      <c r="J16842" s="11"/>
      <c r="U16842" s="9"/>
      <c r="X16842" s="9"/>
    </row>
    <row r="16843">
      <c r="D16843" s="9"/>
      <c r="G16843" s="9"/>
      <c r="J16843" s="11"/>
      <c r="U16843" s="9"/>
      <c r="X16843" s="9"/>
    </row>
    <row r="16844">
      <c r="D16844" s="9"/>
      <c r="G16844" s="9"/>
      <c r="J16844" s="11"/>
      <c r="U16844" s="9"/>
      <c r="X16844" s="9"/>
    </row>
    <row r="16845">
      <c r="D16845" s="9"/>
      <c r="G16845" s="9"/>
      <c r="J16845" s="11"/>
      <c r="U16845" s="9"/>
      <c r="X16845" s="9"/>
    </row>
    <row r="16846">
      <c r="D16846" s="9"/>
      <c r="G16846" s="9"/>
      <c r="J16846" s="11"/>
      <c r="U16846" s="9"/>
      <c r="X16846" s="9"/>
    </row>
    <row r="16847">
      <c r="D16847" s="9"/>
      <c r="G16847" s="9"/>
      <c r="J16847" s="11"/>
      <c r="U16847" s="9"/>
      <c r="X16847" s="9"/>
    </row>
    <row r="16848">
      <c r="D16848" s="9"/>
      <c r="G16848" s="9"/>
      <c r="J16848" s="11"/>
      <c r="U16848" s="9"/>
      <c r="X16848" s="9"/>
    </row>
    <row r="16849">
      <c r="D16849" s="9"/>
      <c r="G16849" s="9"/>
      <c r="J16849" s="11"/>
      <c r="U16849" s="9"/>
      <c r="X16849" s="9"/>
    </row>
    <row r="16850">
      <c r="D16850" s="9"/>
      <c r="G16850" s="9"/>
      <c r="J16850" s="11"/>
      <c r="U16850" s="9"/>
      <c r="X16850" s="9"/>
    </row>
    <row r="16851">
      <c r="D16851" s="9"/>
      <c r="G16851" s="9"/>
      <c r="J16851" s="11"/>
      <c r="U16851" s="9"/>
      <c r="X16851" s="9"/>
    </row>
    <row r="16852">
      <c r="D16852" s="9"/>
      <c r="G16852" s="9"/>
      <c r="J16852" s="11"/>
      <c r="U16852" s="9"/>
      <c r="X16852" s="9"/>
    </row>
    <row r="16853">
      <c r="D16853" s="9"/>
      <c r="G16853" s="9"/>
      <c r="J16853" s="11"/>
      <c r="U16853" s="9"/>
      <c r="X16853" s="9"/>
    </row>
    <row r="16854">
      <c r="D16854" s="9"/>
      <c r="G16854" s="9"/>
      <c r="J16854" s="11"/>
      <c r="U16854" s="9"/>
      <c r="X16854" s="9"/>
    </row>
    <row r="16855">
      <c r="D16855" s="9"/>
      <c r="G16855" s="9"/>
      <c r="J16855" s="11"/>
      <c r="U16855" s="9"/>
      <c r="X16855" s="9"/>
    </row>
    <row r="16856">
      <c r="D16856" s="9"/>
      <c r="G16856" s="9"/>
      <c r="J16856" s="11"/>
      <c r="U16856" s="9"/>
      <c r="X16856" s="9"/>
    </row>
    <row r="16857">
      <c r="D16857" s="9"/>
      <c r="G16857" s="9"/>
      <c r="J16857" s="11"/>
      <c r="U16857" s="9"/>
      <c r="X16857" s="9"/>
    </row>
    <row r="16858">
      <c r="D16858" s="9"/>
      <c r="G16858" s="9"/>
      <c r="J16858" s="11"/>
      <c r="U16858" s="9"/>
      <c r="X16858" s="9"/>
    </row>
    <row r="16859">
      <c r="D16859" s="9"/>
      <c r="G16859" s="9"/>
      <c r="J16859" s="11"/>
      <c r="U16859" s="9"/>
      <c r="X16859" s="9"/>
    </row>
    <row r="16860">
      <c r="D16860" s="9"/>
      <c r="G16860" s="9"/>
      <c r="J16860" s="11"/>
      <c r="U16860" s="9"/>
      <c r="X16860" s="9"/>
    </row>
    <row r="16861">
      <c r="D16861" s="9"/>
      <c r="G16861" s="9"/>
      <c r="J16861" s="11"/>
      <c r="U16861" s="9"/>
      <c r="X16861" s="9"/>
    </row>
    <row r="16862">
      <c r="D16862" s="9"/>
      <c r="G16862" s="9"/>
      <c r="J16862" s="11"/>
      <c r="U16862" s="9"/>
      <c r="X16862" s="9"/>
    </row>
    <row r="16863">
      <c r="D16863" s="9"/>
      <c r="G16863" s="9"/>
      <c r="J16863" s="11"/>
      <c r="U16863" s="9"/>
      <c r="X16863" s="9"/>
    </row>
    <row r="16864">
      <c r="D16864" s="9"/>
      <c r="G16864" s="9"/>
      <c r="J16864" s="11"/>
      <c r="U16864" s="9"/>
      <c r="X16864" s="9"/>
    </row>
    <row r="16865">
      <c r="D16865" s="9"/>
      <c r="G16865" s="9"/>
      <c r="J16865" s="11"/>
      <c r="U16865" s="9"/>
      <c r="X16865" s="9"/>
    </row>
    <row r="16866">
      <c r="D16866" s="9"/>
      <c r="G16866" s="9"/>
      <c r="J16866" s="11"/>
      <c r="U16866" s="9"/>
      <c r="X16866" s="9"/>
    </row>
    <row r="16867">
      <c r="D16867" s="9"/>
      <c r="G16867" s="9"/>
      <c r="J16867" s="11"/>
      <c r="U16867" s="9"/>
      <c r="X16867" s="9"/>
    </row>
    <row r="16868">
      <c r="D16868" s="9"/>
      <c r="G16868" s="9"/>
      <c r="J16868" s="11"/>
      <c r="U16868" s="9"/>
      <c r="X16868" s="9"/>
    </row>
    <row r="16869">
      <c r="D16869" s="9"/>
      <c r="G16869" s="9"/>
      <c r="J16869" s="11"/>
      <c r="U16869" s="9"/>
      <c r="X16869" s="9"/>
    </row>
    <row r="16870">
      <c r="D16870" s="9"/>
      <c r="G16870" s="9"/>
      <c r="J16870" s="11"/>
      <c r="U16870" s="9"/>
      <c r="X16870" s="9"/>
    </row>
    <row r="16871">
      <c r="D16871" s="9"/>
      <c r="G16871" s="9"/>
      <c r="J16871" s="11"/>
      <c r="U16871" s="9"/>
      <c r="X16871" s="9"/>
    </row>
    <row r="16872">
      <c r="D16872" s="9"/>
      <c r="G16872" s="9"/>
      <c r="J16872" s="11"/>
      <c r="U16872" s="9"/>
      <c r="X16872" s="9"/>
    </row>
    <row r="16873">
      <c r="D16873" s="9"/>
      <c r="G16873" s="9"/>
      <c r="J16873" s="11"/>
      <c r="U16873" s="9"/>
      <c r="X16873" s="9"/>
    </row>
    <row r="16874">
      <c r="D16874" s="9"/>
      <c r="G16874" s="9"/>
      <c r="J16874" s="11"/>
      <c r="U16874" s="9"/>
      <c r="X16874" s="9"/>
    </row>
    <row r="16875">
      <c r="D16875" s="9"/>
      <c r="G16875" s="9"/>
      <c r="J16875" s="11"/>
      <c r="U16875" s="9"/>
      <c r="X16875" s="9"/>
    </row>
    <row r="16876">
      <c r="D16876" s="9"/>
      <c r="G16876" s="9"/>
      <c r="J16876" s="11"/>
      <c r="U16876" s="9"/>
      <c r="X16876" s="9"/>
    </row>
    <row r="16877">
      <c r="D16877" s="9"/>
      <c r="G16877" s="9"/>
      <c r="J16877" s="11"/>
      <c r="U16877" s="9"/>
      <c r="X16877" s="9"/>
    </row>
    <row r="16878">
      <c r="D16878" s="9"/>
      <c r="G16878" s="9"/>
      <c r="J16878" s="11"/>
      <c r="U16878" s="9"/>
      <c r="X16878" s="9"/>
    </row>
    <row r="16879">
      <c r="D16879" s="9"/>
      <c r="G16879" s="9"/>
      <c r="J16879" s="11"/>
      <c r="U16879" s="9"/>
      <c r="X16879" s="9"/>
    </row>
    <row r="16880">
      <c r="D16880" s="9"/>
      <c r="G16880" s="9"/>
      <c r="J16880" s="11"/>
      <c r="U16880" s="9"/>
      <c r="X16880" s="9"/>
    </row>
    <row r="16881">
      <c r="D16881" s="9"/>
      <c r="G16881" s="9"/>
      <c r="J16881" s="11"/>
      <c r="U16881" s="9"/>
      <c r="X16881" s="9"/>
    </row>
    <row r="16882">
      <c r="D16882" s="9"/>
      <c r="G16882" s="9"/>
      <c r="J16882" s="11"/>
      <c r="U16882" s="9"/>
      <c r="X16882" s="9"/>
    </row>
    <row r="16883">
      <c r="D16883" s="9"/>
      <c r="G16883" s="9"/>
      <c r="J16883" s="11"/>
      <c r="U16883" s="9"/>
      <c r="X16883" s="9"/>
    </row>
    <row r="16884">
      <c r="D16884" s="9"/>
      <c r="G16884" s="9"/>
      <c r="J16884" s="11"/>
      <c r="U16884" s="9"/>
      <c r="X16884" s="9"/>
    </row>
    <row r="16885">
      <c r="D16885" s="9"/>
      <c r="G16885" s="9"/>
      <c r="J16885" s="11"/>
      <c r="U16885" s="9"/>
      <c r="X16885" s="9"/>
    </row>
    <row r="16886">
      <c r="D16886" s="9"/>
      <c r="G16886" s="9"/>
      <c r="J16886" s="11"/>
      <c r="U16886" s="9"/>
      <c r="X16886" s="9"/>
    </row>
    <row r="16887">
      <c r="D16887" s="9"/>
      <c r="G16887" s="9"/>
      <c r="J16887" s="11"/>
      <c r="U16887" s="9"/>
      <c r="X16887" s="9"/>
    </row>
    <row r="16888">
      <c r="D16888" s="9"/>
      <c r="G16888" s="9"/>
      <c r="J16888" s="11"/>
      <c r="U16888" s="9"/>
      <c r="X16888" s="9"/>
    </row>
    <row r="16889">
      <c r="D16889" s="9"/>
      <c r="G16889" s="9"/>
      <c r="J16889" s="11"/>
      <c r="U16889" s="9"/>
      <c r="X16889" s="9"/>
    </row>
    <row r="16890">
      <c r="D16890" s="9"/>
      <c r="G16890" s="9"/>
      <c r="J16890" s="11"/>
      <c r="U16890" s="9"/>
      <c r="X16890" s="9"/>
    </row>
    <row r="16891">
      <c r="D16891" s="9"/>
      <c r="G16891" s="9"/>
      <c r="J16891" s="11"/>
      <c r="U16891" s="9"/>
      <c r="X16891" s="9"/>
    </row>
    <row r="16892">
      <c r="D16892" s="9"/>
      <c r="G16892" s="9"/>
      <c r="J16892" s="11"/>
      <c r="U16892" s="9"/>
      <c r="X16892" s="9"/>
    </row>
    <row r="16893">
      <c r="D16893" s="9"/>
      <c r="G16893" s="9"/>
      <c r="J16893" s="11"/>
      <c r="U16893" s="9"/>
      <c r="X16893" s="9"/>
    </row>
    <row r="16894">
      <c r="D16894" s="9"/>
      <c r="G16894" s="9"/>
      <c r="J16894" s="11"/>
      <c r="U16894" s="9"/>
      <c r="X16894" s="9"/>
    </row>
    <row r="16895">
      <c r="D16895" s="9"/>
      <c r="G16895" s="9"/>
      <c r="J16895" s="11"/>
      <c r="U16895" s="9"/>
      <c r="X16895" s="9"/>
    </row>
    <row r="16896">
      <c r="D16896" s="9"/>
      <c r="G16896" s="9"/>
      <c r="J16896" s="11"/>
      <c r="U16896" s="9"/>
      <c r="X16896" s="9"/>
    </row>
    <row r="16897">
      <c r="D16897" s="9"/>
      <c r="G16897" s="9"/>
      <c r="J16897" s="11"/>
      <c r="U16897" s="9"/>
      <c r="X16897" s="9"/>
    </row>
    <row r="16898">
      <c r="D16898" s="9"/>
      <c r="G16898" s="9"/>
      <c r="J16898" s="11"/>
      <c r="U16898" s="9"/>
      <c r="X16898" s="9"/>
    </row>
    <row r="16899">
      <c r="D16899" s="9"/>
      <c r="G16899" s="9"/>
      <c r="J16899" s="11"/>
      <c r="U16899" s="9"/>
      <c r="X16899" s="9"/>
    </row>
    <row r="16900">
      <c r="D16900" s="9"/>
      <c r="G16900" s="9"/>
      <c r="J16900" s="11"/>
      <c r="U16900" s="9"/>
      <c r="X16900" s="9"/>
    </row>
    <row r="16901">
      <c r="D16901" s="9"/>
      <c r="G16901" s="9"/>
      <c r="J16901" s="11"/>
      <c r="U16901" s="9"/>
      <c r="X16901" s="9"/>
    </row>
    <row r="16902">
      <c r="D16902" s="9"/>
      <c r="G16902" s="9"/>
      <c r="J16902" s="11"/>
      <c r="U16902" s="9"/>
      <c r="X16902" s="9"/>
    </row>
    <row r="16903">
      <c r="D16903" s="9"/>
      <c r="G16903" s="9"/>
      <c r="J16903" s="11"/>
      <c r="U16903" s="9"/>
      <c r="X16903" s="9"/>
    </row>
    <row r="16904">
      <c r="D16904" s="9"/>
      <c r="G16904" s="9"/>
      <c r="J16904" s="11"/>
      <c r="U16904" s="9"/>
      <c r="X16904" s="9"/>
    </row>
    <row r="16905">
      <c r="D16905" s="9"/>
      <c r="G16905" s="9"/>
      <c r="J16905" s="11"/>
      <c r="U16905" s="9"/>
      <c r="X16905" s="9"/>
    </row>
    <row r="16906">
      <c r="D16906" s="9"/>
      <c r="G16906" s="9"/>
      <c r="J16906" s="11"/>
      <c r="U16906" s="9"/>
      <c r="X16906" s="9"/>
    </row>
    <row r="16907">
      <c r="D16907" s="9"/>
      <c r="G16907" s="9"/>
      <c r="J16907" s="11"/>
      <c r="U16907" s="9"/>
      <c r="X16907" s="9"/>
    </row>
    <row r="16908">
      <c r="D16908" s="9"/>
      <c r="G16908" s="9"/>
      <c r="J16908" s="11"/>
      <c r="U16908" s="9"/>
      <c r="X16908" s="9"/>
    </row>
    <row r="16909">
      <c r="D16909" s="9"/>
      <c r="G16909" s="9"/>
      <c r="J16909" s="11"/>
      <c r="U16909" s="9"/>
      <c r="X16909" s="9"/>
    </row>
    <row r="16910">
      <c r="D16910" s="9"/>
      <c r="G16910" s="9"/>
      <c r="J16910" s="11"/>
      <c r="U16910" s="9"/>
      <c r="X16910" s="9"/>
    </row>
    <row r="16911">
      <c r="D16911" s="9"/>
      <c r="G16911" s="9"/>
      <c r="J16911" s="11"/>
      <c r="U16911" s="9"/>
      <c r="X16911" s="9"/>
    </row>
    <row r="16912">
      <c r="D16912" s="9"/>
      <c r="G16912" s="9"/>
      <c r="J16912" s="11"/>
      <c r="U16912" s="9"/>
      <c r="X16912" s="9"/>
    </row>
    <row r="16913">
      <c r="D16913" s="9"/>
      <c r="G16913" s="9"/>
      <c r="J16913" s="11"/>
      <c r="U16913" s="9"/>
      <c r="X16913" s="9"/>
    </row>
    <row r="16914">
      <c r="D16914" s="9"/>
      <c r="G16914" s="9"/>
      <c r="J16914" s="11"/>
      <c r="U16914" s="9"/>
      <c r="X16914" s="9"/>
    </row>
    <row r="16915">
      <c r="D16915" s="9"/>
      <c r="G16915" s="9"/>
      <c r="J16915" s="11"/>
      <c r="U16915" s="9"/>
      <c r="X16915" s="9"/>
    </row>
    <row r="16916">
      <c r="D16916" s="9"/>
      <c r="G16916" s="9"/>
      <c r="J16916" s="11"/>
      <c r="U16916" s="9"/>
      <c r="X16916" s="9"/>
    </row>
    <row r="16917">
      <c r="D16917" s="9"/>
      <c r="G16917" s="9"/>
      <c r="J16917" s="11"/>
      <c r="U16917" s="9"/>
      <c r="X16917" s="9"/>
    </row>
    <row r="16918">
      <c r="D16918" s="9"/>
      <c r="G16918" s="9"/>
      <c r="J16918" s="11"/>
      <c r="U16918" s="9"/>
      <c r="X16918" s="9"/>
    </row>
    <row r="16919">
      <c r="D16919" s="9"/>
      <c r="G16919" s="9"/>
      <c r="J16919" s="11"/>
      <c r="U16919" s="9"/>
      <c r="X16919" s="9"/>
    </row>
    <row r="16920">
      <c r="D16920" s="9"/>
      <c r="G16920" s="9"/>
      <c r="J16920" s="11"/>
      <c r="U16920" s="9"/>
      <c r="X16920" s="9"/>
    </row>
    <row r="16921">
      <c r="D16921" s="9"/>
      <c r="G16921" s="9"/>
      <c r="J16921" s="11"/>
      <c r="U16921" s="9"/>
      <c r="X16921" s="9"/>
    </row>
    <row r="16922">
      <c r="D16922" s="9"/>
      <c r="G16922" s="9"/>
      <c r="J16922" s="11"/>
      <c r="U16922" s="9"/>
      <c r="X16922" s="9"/>
    </row>
    <row r="16923">
      <c r="D16923" s="9"/>
      <c r="G16923" s="9"/>
      <c r="J16923" s="11"/>
      <c r="U16923" s="9"/>
      <c r="X16923" s="9"/>
    </row>
    <row r="16924">
      <c r="D16924" s="9"/>
      <c r="G16924" s="9"/>
      <c r="J16924" s="11"/>
      <c r="U16924" s="9"/>
      <c r="X16924" s="9"/>
    </row>
    <row r="16925">
      <c r="D16925" s="9"/>
      <c r="G16925" s="9"/>
      <c r="J16925" s="11"/>
      <c r="U16925" s="9"/>
      <c r="X16925" s="9"/>
    </row>
    <row r="16926">
      <c r="D16926" s="9"/>
      <c r="G16926" s="9"/>
      <c r="J16926" s="11"/>
      <c r="U16926" s="9"/>
      <c r="X16926" s="9"/>
    </row>
    <row r="16927">
      <c r="D16927" s="9"/>
      <c r="G16927" s="9"/>
      <c r="J16927" s="11"/>
      <c r="U16927" s="9"/>
      <c r="X16927" s="9"/>
    </row>
    <row r="16928">
      <c r="D16928" s="9"/>
      <c r="G16928" s="9"/>
      <c r="J16928" s="11"/>
      <c r="U16928" s="9"/>
      <c r="X16928" s="9"/>
    </row>
    <row r="16929">
      <c r="D16929" s="9"/>
      <c r="G16929" s="9"/>
      <c r="J16929" s="11"/>
      <c r="U16929" s="9"/>
      <c r="X16929" s="9"/>
    </row>
    <row r="16930">
      <c r="D16930" s="9"/>
      <c r="G16930" s="9"/>
      <c r="J16930" s="11"/>
      <c r="U16930" s="9"/>
      <c r="X16930" s="9"/>
    </row>
    <row r="16931">
      <c r="D16931" s="9"/>
      <c r="G16931" s="9"/>
      <c r="J16931" s="11"/>
      <c r="U16931" s="9"/>
      <c r="X16931" s="9"/>
    </row>
    <row r="16932">
      <c r="D16932" s="9"/>
      <c r="G16932" s="9"/>
      <c r="J16932" s="11"/>
      <c r="U16932" s="9"/>
      <c r="X16932" s="9"/>
    </row>
    <row r="16933">
      <c r="D16933" s="9"/>
      <c r="G16933" s="9"/>
      <c r="J16933" s="11"/>
      <c r="U16933" s="9"/>
      <c r="X16933" s="9"/>
    </row>
    <row r="16934">
      <c r="D16934" s="9"/>
      <c r="G16934" s="9"/>
      <c r="J16934" s="11"/>
      <c r="U16934" s="9"/>
      <c r="X16934" s="9"/>
    </row>
    <row r="16935">
      <c r="D16935" s="9"/>
      <c r="G16935" s="9"/>
      <c r="J16935" s="11"/>
      <c r="U16935" s="9"/>
      <c r="X16935" s="9"/>
    </row>
    <row r="16936">
      <c r="D16936" s="9"/>
      <c r="G16936" s="9"/>
      <c r="J16936" s="11"/>
      <c r="U16936" s="9"/>
      <c r="X16936" s="9"/>
    </row>
    <row r="16937">
      <c r="D16937" s="9"/>
      <c r="G16937" s="9"/>
      <c r="J16937" s="11"/>
      <c r="U16937" s="9"/>
      <c r="X16937" s="9"/>
    </row>
    <row r="16938">
      <c r="D16938" s="9"/>
      <c r="G16938" s="9"/>
      <c r="J16938" s="11"/>
      <c r="U16938" s="9"/>
      <c r="X16938" s="9"/>
    </row>
    <row r="16939">
      <c r="D16939" s="9"/>
      <c r="G16939" s="9"/>
      <c r="J16939" s="11"/>
      <c r="U16939" s="9"/>
      <c r="X16939" s="9"/>
    </row>
    <row r="16940">
      <c r="D16940" s="9"/>
      <c r="G16940" s="9"/>
      <c r="J16940" s="11"/>
      <c r="U16940" s="9"/>
      <c r="X16940" s="9"/>
    </row>
    <row r="16941">
      <c r="D16941" s="9"/>
      <c r="G16941" s="9"/>
      <c r="J16941" s="11"/>
      <c r="U16941" s="9"/>
      <c r="X16941" s="9"/>
    </row>
    <row r="16942">
      <c r="D16942" s="9"/>
      <c r="G16942" s="9"/>
      <c r="J16942" s="11"/>
      <c r="U16942" s="9"/>
      <c r="X16942" s="9"/>
    </row>
    <row r="16943">
      <c r="D16943" s="9"/>
      <c r="G16943" s="9"/>
      <c r="J16943" s="11"/>
      <c r="U16943" s="9"/>
      <c r="X16943" s="9"/>
    </row>
    <row r="16944">
      <c r="D16944" s="9"/>
      <c r="G16944" s="9"/>
      <c r="J16944" s="11"/>
      <c r="U16944" s="9"/>
      <c r="X16944" s="9"/>
    </row>
    <row r="16945">
      <c r="D16945" s="9"/>
      <c r="G16945" s="9"/>
      <c r="J16945" s="11"/>
      <c r="U16945" s="9"/>
      <c r="X16945" s="9"/>
    </row>
    <row r="16946">
      <c r="D16946" s="9"/>
      <c r="G16946" s="9"/>
      <c r="J16946" s="11"/>
      <c r="U16946" s="9"/>
      <c r="X16946" s="9"/>
    </row>
    <row r="16947">
      <c r="D16947" s="9"/>
      <c r="G16947" s="9"/>
      <c r="J16947" s="11"/>
      <c r="U16947" s="9"/>
      <c r="X16947" s="9"/>
    </row>
    <row r="16948">
      <c r="D16948" s="9"/>
      <c r="G16948" s="9"/>
      <c r="J16948" s="11"/>
      <c r="U16948" s="9"/>
      <c r="X16948" s="9"/>
    </row>
    <row r="16949">
      <c r="D16949" s="9"/>
      <c r="G16949" s="9"/>
      <c r="J16949" s="11"/>
      <c r="U16949" s="9"/>
      <c r="X16949" s="9"/>
    </row>
    <row r="16950">
      <c r="D16950" s="9"/>
      <c r="G16950" s="9"/>
      <c r="J16950" s="11"/>
      <c r="U16950" s="9"/>
      <c r="X16950" s="9"/>
    </row>
    <row r="16951">
      <c r="D16951" s="9"/>
      <c r="G16951" s="9"/>
      <c r="J16951" s="11"/>
      <c r="U16951" s="9"/>
      <c r="X16951" s="9"/>
    </row>
    <row r="16952">
      <c r="D16952" s="9"/>
      <c r="G16952" s="9"/>
      <c r="J16952" s="11"/>
      <c r="U16952" s="9"/>
      <c r="X16952" s="9"/>
    </row>
    <row r="16953">
      <c r="D16953" s="9"/>
      <c r="G16953" s="9"/>
      <c r="J16953" s="11"/>
      <c r="U16953" s="9"/>
      <c r="X16953" s="9"/>
    </row>
    <row r="16954">
      <c r="D16954" s="9"/>
      <c r="G16954" s="9"/>
      <c r="J16954" s="11"/>
      <c r="U16954" s="9"/>
      <c r="X16954" s="9"/>
    </row>
    <row r="16955">
      <c r="D16955" s="9"/>
      <c r="G16955" s="9"/>
      <c r="J16955" s="11"/>
      <c r="U16955" s="9"/>
      <c r="X16955" s="9"/>
    </row>
    <row r="16956">
      <c r="D16956" s="9"/>
      <c r="G16956" s="9"/>
      <c r="J16956" s="11"/>
      <c r="U16956" s="9"/>
      <c r="X16956" s="9"/>
    </row>
    <row r="16957">
      <c r="D16957" s="9"/>
      <c r="G16957" s="9"/>
      <c r="J16957" s="11"/>
      <c r="U16957" s="9"/>
      <c r="X16957" s="9"/>
    </row>
    <row r="16958">
      <c r="D16958" s="9"/>
      <c r="G16958" s="9"/>
      <c r="J16958" s="11"/>
      <c r="U16958" s="9"/>
      <c r="X16958" s="9"/>
    </row>
    <row r="16959">
      <c r="D16959" s="9"/>
      <c r="G16959" s="9"/>
      <c r="J16959" s="11"/>
      <c r="U16959" s="9"/>
      <c r="X16959" s="9"/>
    </row>
    <row r="16960">
      <c r="D16960" s="9"/>
      <c r="G16960" s="9"/>
      <c r="J16960" s="11"/>
      <c r="U16960" s="9"/>
      <c r="X16960" s="9"/>
    </row>
    <row r="16961">
      <c r="D16961" s="9"/>
      <c r="G16961" s="9"/>
      <c r="J16961" s="11"/>
      <c r="U16961" s="9"/>
      <c r="X16961" s="9"/>
    </row>
    <row r="16962">
      <c r="D16962" s="9"/>
      <c r="G16962" s="9"/>
      <c r="J16962" s="11"/>
      <c r="U16962" s="9"/>
      <c r="X16962" s="9"/>
    </row>
    <row r="16963">
      <c r="D16963" s="9"/>
      <c r="G16963" s="9"/>
      <c r="J16963" s="11"/>
      <c r="U16963" s="9"/>
      <c r="X16963" s="9"/>
    </row>
    <row r="16964">
      <c r="D16964" s="9"/>
      <c r="G16964" s="9"/>
      <c r="J16964" s="11"/>
      <c r="U16964" s="9"/>
      <c r="X16964" s="9"/>
    </row>
    <row r="16965">
      <c r="D16965" s="9"/>
      <c r="G16965" s="9"/>
      <c r="J16965" s="11"/>
      <c r="U16965" s="9"/>
      <c r="X16965" s="9"/>
    </row>
    <row r="16966">
      <c r="D16966" s="9"/>
      <c r="G16966" s="9"/>
      <c r="J16966" s="11"/>
      <c r="U16966" s="9"/>
      <c r="X16966" s="9"/>
    </row>
    <row r="16967">
      <c r="D16967" s="9"/>
      <c r="G16967" s="9"/>
      <c r="J16967" s="11"/>
      <c r="U16967" s="9"/>
      <c r="X16967" s="9"/>
    </row>
    <row r="16968">
      <c r="D16968" s="9"/>
      <c r="G16968" s="9"/>
      <c r="J16968" s="11"/>
      <c r="U16968" s="9"/>
      <c r="X16968" s="9"/>
    </row>
    <row r="16969">
      <c r="D16969" s="9"/>
      <c r="G16969" s="9"/>
      <c r="J16969" s="11"/>
      <c r="U16969" s="9"/>
      <c r="X16969" s="9"/>
    </row>
    <row r="16970">
      <c r="D16970" s="9"/>
      <c r="G16970" s="9"/>
      <c r="J16970" s="11"/>
      <c r="U16970" s="9"/>
      <c r="X16970" s="9"/>
    </row>
    <row r="16971">
      <c r="D16971" s="9"/>
      <c r="G16971" s="9"/>
      <c r="J16971" s="11"/>
      <c r="U16971" s="9"/>
      <c r="X16971" s="9"/>
    </row>
    <row r="16972">
      <c r="D16972" s="9"/>
      <c r="G16972" s="9"/>
      <c r="J16972" s="11"/>
      <c r="U16972" s="9"/>
      <c r="X16972" s="9"/>
    </row>
    <row r="16973">
      <c r="D16973" s="9"/>
      <c r="G16973" s="9"/>
      <c r="J16973" s="11"/>
      <c r="U16973" s="9"/>
      <c r="X16973" s="9"/>
    </row>
    <row r="16974">
      <c r="D16974" s="9"/>
      <c r="G16974" s="9"/>
      <c r="J16974" s="11"/>
      <c r="U16974" s="9"/>
      <c r="X16974" s="9"/>
    </row>
    <row r="16975">
      <c r="D16975" s="9"/>
      <c r="G16975" s="9"/>
      <c r="J16975" s="11"/>
      <c r="U16975" s="9"/>
      <c r="X16975" s="9"/>
    </row>
    <row r="16976">
      <c r="D16976" s="9"/>
      <c r="G16976" s="9"/>
      <c r="J16976" s="11"/>
      <c r="U16976" s="9"/>
      <c r="X16976" s="9"/>
    </row>
    <row r="16977">
      <c r="D16977" s="9"/>
      <c r="G16977" s="9"/>
      <c r="J16977" s="11"/>
      <c r="U16977" s="9"/>
      <c r="X16977" s="9"/>
    </row>
    <row r="16978">
      <c r="D16978" s="9"/>
      <c r="G16978" s="9"/>
      <c r="J16978" s="11"/>
      <c r="U16978" s="9"/>
      <c r="X16978" s="9"/>
    </row>
    <row r="16979">
      <c r="D16979" s="9"/>
      <c r="G16979" s="9"/>
      <c r="J16979" s="11"/>
      <c r="U16979" s="9"/>
      <c r="X16979" s="9"/>
    </row>
    <row r="16980">
      <c r="D16980" s="9"/>
      <c r="G16980" s="9"/>
      <c r="J16980" s="11"/>
      <c r="U16980" s="9"/>
      <c r="X16980" s="9"/>
    </row>
    <row r="16981">
      <c r="D16981" s="9"/>
      <c r="G16981" s="9"/>
      <c r="J16981" s="11"/>
      <c r="U16981" s="9"/>
      <c r="X16981" s="9"/>
    </row>
    <row r="16982">
      <c r="D16982" s="9"/>
      <c r="G16982" s="9"/>
      <c r="J16982" s="11"/>
      <c r="U16982" s="9"/>
      <c r="X16982" s="9"/>
    </row>
    <row r="16983">
      <c r="D16983" s="9"/>
      <c r="G16983" s="9"/>
      <c r="J16983" s="11"/>
      <c r="U16983" s="9"/>
      <c r="X16983" s="9"/>
    </row>
    <row r="16984">
      <c r="D16984" s="9"/>
      <c r="G16984" s="9"/>
      <c r="J16984" s="11"/>
      <c r="U16984" s="9"/>
      <c r="X16984" s="9"/>
    </row>
    <row r="16985">
      <c r="D16985" s="9"/>
      <c r="G16985" s="9"/>
      <c r="J16985" s="11"/>
      <c r="U16985" s="9"/>
      <c r="X16985" s="9"/>
    </row>
    <row r="16986">
      <c r="D16986" s="9"/>
      <c r="G16986" s="9"/>
      <c r="J16986" s="11"/>
      <c r="U16986" s="9"/>
      <c r="X16986" s="9"/>
    </row>
    <row r="16987">
      <c r="D16987" s="9"/>
      <c r="G16987" s="9"/>
      <c r="J16987" s="11"/>
      <c r="U16987" s="9"/>
      <c r="X16987" s="9"/>
    </row>
    <row r="16988">
      <c r="D16988" s="9"/>
      <c r="G16988" s="9"/>
      <c r="J16988" s="11"/>
      <c r="U16988" s="9"/>
      <c r="X16988" s="9"/>
    </row>
    <row r="16989">
      <c r="D16989" s="9"/>
      <c r="G16989" s="9"/>
      <c r="J16989" s="11"/>
      <c r="U16989" s="9"/>
      <c r="X16989" s="9"/>
    </row>
    <row r="16990">
      <c r="D16990" s="9"/>
      <c r="G16990" s="9"/>
      <c r="J16990" s="11"/>
      <c r="U16990" s="9"/>
      <c r="X16990" s="9"/>
    </row>
    <row r="16991">
      <c r="D16991" s="9"/>
      <c r="G16991" s="9"/>
      <c r="J16991" s="11"/>
      <c r="U16991" s="9"/>
      <c r="X16991" s="9"/>
    </row>
    <row r="16992">
      <c r="D16992" s="9"/>
      <c r="G16992" s="9"/>
      <c r="J16992" s="11"/>
      <c r="U16992" s="9"/>
      <c r="X16992" s="9"/>
    </row>
    <row r="16993">
      <c r="D16993" s="9"/>
      <c r="G16993" s="9"/>
      <c r="J16993" s="11"/>
      <c r="U16993" s="9"/>
      <c r="X16993" s="9"/>
    </row>
    <row r="16994">
      <c r="D16994" s="9"/>
      <c r="G16994" s="9"/>
      <c r="J16994" s="11"/>
      <c r="U16994" s="9"/>
      <c r="X16994" s="9"/>
    </row>
    <row r="16995">
      <c r="D16995" s="9"/>
      <c r="G16995" s="9"/>
      <c r="J16995" s="11"/>
      <c r="U16995" s="9"/>
      <c r="X16995" s="9"/>
    </row>
    <row r="16996">
      <c r="D16996" s="9"/>
      <c r="G16996" s="9"/>
      <c r="J16996" s="11"/>
      <c r="U16996" s="9"/>
      <c r="X16996" s="9"/>
    </row>
    <row r="16997">
      <c r="D16997" s="9"/>
      <c r="G16997" s="9"/>
      <c r="J16997" s="11"/>
      <c r="U16997" s="9"/>
      <c r="X16997" s="9"/>
    </row>
    <row r="16998">
      <c r="D16998" s="9"/>
      <c r="G16998" s="9"/>
      <c r="J16998" s="11"/>
      <c r="U16998" s="9"/>
      <c r="X16998" s="9"/>
    </row>
    <row r="16999">
      <c r="D16999" s="9"/>
      <c r="G16999" s="9"/>
      <c r="J16999" s="11"/>
      <c r="U16999" s="9"/>
      <c r="X16999" s="9"/>
    </row>
    <row r="17000">
      <c r="D17000" s="9"/>
      <c r="G17000" s="9"/>
      <c r="J17000" s="11"/>
      <c r="U17000" s="9"/>
      <c r="X17000" s="9"/>
    </row>
    <row r="17001">
      <c r="D17001" s="9"/>
      <c r="G17001" s="9"/>
      <c r="J17001" s="11"/>
      <c r="U17001" s="9"/>
      <c r="X17001" s="9"/>
    </row>
    <row r="17002">
      <c r="D17002" s="9"/>
      <c r="G17002" s="9"/>
      <c r="J17002" s="11"/>
      <c r="U17002" s="9"/>
      <c r="X17002" s="9"/>
    </row>
    <row r="17003">
      <c r="D17003" s="9"/>
      <c r="G17003" s="9"/>
      <c r="J17003" s="11"/>
      <c r="U17003" s="9"/>
      <c r="X17003" s="9"/>
    </row>
    <row r="17004">
      <c r="D17004" s="9"/>
      <c r="G17004" s="9"/>
      <c r="J17004" s="11"/>
      <c r="U17004" s="9"/>
      <c r="X17004" s="9"/>
    </row>
    <row r="17005">
      <c r="D17005" s="9"/>
      <c r="G17005" s="9"/>
      <c r="J17005" s="11"/>
      <c r="U17005" s="9"/>
      <c r="X17005" s="9"/>
    </row>
    <row r="17006">
      <c r="D17006" s="9"/>
      <c r="G17006" s="9"/>
      <c r="J17006" s="11"/>
      <c r="U17006" s="9"/>
      <c r="X17006" s="9"/>
    </row>
    <row r="17007">
      <c r="D17007" s="9"/>
      <c r="G17007" s="9"/>
      <c r="J17007" s="11"/>
      <c r="U17007" s="9"/>
      <c r="X17007" s="9"/>
    </row>
    <row r="17008">
      <c r="D17008" s="9"/>
      <c r="G17008" s="9"/>
      <c r="J17008" s="11"/>
      <c r="U17008" s="9"/>
      <c r="X17008" s="9"/>
    </row>
    <row r="17009">
      <c r="D17009" s="9"/>
      <c r="G17009" s="9"/>
      <c r="J17009" s="11"/>
      <c r="U17009" s="9"/>
      <c r="X17009" s="9"/>
    </row>
    <row r="17010">
      <c r="D17010" s="9"/>
      <c r="G17010" s="9"/>
      <c r="J17010" s="11"/>
      <c r="U17010" s="9"/>
      <c r="X17010" s="9"/>
    </row>
    <row r="17011">
      <c r="D17011" s="9"/>
      <c r="G17011" s="9"/>
      <c r="J17011" s="11"/>
      <c r="U17011" s="9"/>
      <c r="X17011" s="9"/>
    </row>
    <row r="17012">
      <c r="D17012" s="9"/>
      <c r="G17012" s="9"/>
      <c r="J17012" s="11"/>
      <c r="U17012" s="9"/>
      <c r="X17012" s="9"/>
    </row>
    <row r="17013">
      <c r="D17013" s="9"/>
      <c r="G17013" s="9"/>
      <c r="J17013" s="11"/>
      <c r="U17013" s="9"/>
      <c r="X17013" s="9"/>
    </row>
    <row r="17014">
      <c r="D17014" s="9"/>
      <c r="G17014" s="9"/>
      <c r="J17014" s="11"/>
      <c r="U17014" s="9"/>
      <c r="X17014" s="9"/>
    </row>
    <row r="17015">
      <c r="D17015" s="9"/>
      <c r="G17015" s="9"/>
      <c r="J17015" s="11"/>
      <c r="U17015" s="9"/>
      <c r="X17015" s="9"/>
    </row>
    <row r="17016">
      <c r="D17016" s="9"/>
      <c r="G17016" s="9"/>
      <c r="J17016" s="11"/>
      <c r="U17016" s="9"/>
      <c r="X17016" s="9"/>
    </row>
    <row r="17017">
      <c r="D17017" s="9"/>
      <c r="G17017" s="9"/>
      <c r="J17017" s="11"/>
      <c r="U17017" s="9"/>
      <c r="X17017" s="9"/>
    </row>
    <row r="17018">
      <c r="D17018" s="9"/>
      <c r="G17018" s="9"/>
      <c r="J17018" s="11"/>
      <c r="U17018" s="9"/>
      <c r="X17018" s="9"/>
    </row>
    <row r="17019">
      <c r="D17019" s="9"/>
      <c r="G17019" s="9"/>
      <c r="J17019" s="11"/>
      <c r="U17019" s="9"/>
      <c r="X17019" s="9"/>
    </row>
    <row r="17020">
      <c r="D17020" s="9"/>
      <c r="G17020" s="9"/>
      <c r="J17020" s="11"/>
      <c r="U17020" s="9"/>
      <c r="X17020" s="9"/>
    </row>
    <row r="17021">
      <c r="D17021" s="9"/>
      <c r="G17021" s="9"/>
      <c r="J17021" s="11"/>
      <c r="U17021" s="9"/>
      <c r="X17021" s="9"/>
    </row>
    <row r="17022">
      <c r="D17022" s="9"/>
      <c r="G17022" s="9"/>
      <c r="J17022" s="11"/>
      <c r="U17022" s="9"/>
      <c r="X17022" s="9"/>
    </row>
    <row r="17023">
      <c r="D17023" s="9"/>
      <c r="G17023" s="9"/>
      <c r="J17023" s="11"/>
      <c r="U17023" s="9"/>
      <c r="X17023" s="9"/>
    </row>
    <row r="17024">
      <c r="D17024" s="9"/>
      <c r="G17024" s="9"/>
      <c r="J17024" s="11"/>
      <c r="U17024" s="9"/>
      <c r="X17024" s="9"/>
    </row>
    <row r="17025">
      <c r="D17025" s="9"/>
      <c r="G17025" s="9"/>
      <c r="J17025" s="11"/>
      <c r="U17025" s="9"/>
      <c r="X17025" s="9"/>
    </row>
    <row r="17026">
      <c r="D17026" s="9"/>
      <c r="G17026" s="9"/>
      <c r="J17026" s="11"/>
      <c r="U17026" s="9"/>
      <c r="X17026" s="9"/>
    </row>
    <row r="17027">
      <c r="D17027" s="9"/>
      <c r="G17027" s="9"/>
      <c r="J17027" s="11"/>
      <c r="U17027" s="9"/>
      <c r="X17027" s="9"/>
    </row>
    <row r="17028">
      <c r="D17028" s="9"/>
      <c r="G17028" s="9"/>
      <c r="J17028" s="11"/>
      <c r="U17028" s="9"/>
      <c r="X17028" s="9"/>
    </row>
    <row r="17029">
      <c r="D17029" s="9"/>
      <c r="G17029" s="9"/>
      <c r="J17029" s="11"/>
      <c r="U17029" s="9"/>
      <c r="X17029" s="9"/>
    </row>
    <row r="17030">
      <c r="D17030" s="9"/>
      <c r="G17030" s="9"/>
      <c r="J17030" s="11"/>
      <c r="U17030" s="9"/>
      <c r="X17030" s="9"/>
    </row>
    <row r="17031">
      <c r="D17031" s="9"/>
      <c r="G17031" s="9"/>
      <c r="J17031" s="11"/>
      <c r="U17031" s="9"/>
      <c r="X17031" s="9"/>
    </row>
    <row r="17032">
      <c r="D17032" s="9"/>
      <c r="G17032" s="9"/>
      <c r="J17032" s="11"/>
      <c r="U17032" s="9"/>
      <c r="X17032" s="9"/>
    </row>
    <row r="17033">
      <c r="D17033" s="9"/>
      <c r="G17033" s="9"/>
      <c r="J17033" s="11"/>
      <c r="U17033" s="9"/>
      <c r="X17033" s="9"/>
    </row>
    <row r="17034">
      <c r="D17034" s="9"/>
      <c r="G17034" s="9"/>
      <c r="J17034" s="11"/>
      <c r="U17034" s="9"/>
      <c r="X17034" s="9"/>
    </row>
    <row r="17035">
      <c r="D17035" s="9"/>
      <c r="G17035" s="9"/>
      <c r="J17035" s="11"/>
      <c r="U17035" s="9"/>
      <c r="X17035" s="9"/>
    </row>
    <row r="17036">
      <c r="D17036" s="9"/>
      <c r="G17036" s="9"/>
      <c r="J17036" s="11"/>
      <c r="U17036" s="9"/>
      <c r="X17036" s="9"/>
    </row>
    <row r="17037">
      <c r="D17037" s="9"/>
      <c r="G17037" s="9"/>
      <c r="J17037" s="11"/>
      <c r="U17037" s="9"/>
      <c r="X17037" s="9"/>
    </row>
    <row r="17038">
      <c r="D17038" s="9"/>
      <c r="G17038" s="9"/>
      <c r="J17038" s="11"/>
      <c r="U17038" s="9"/>
      <c r="X17038" s="9"/>
    </row>
    <row r="17039">
      <c r="D17039" s="9"/>
      <c r="G17039" s="9"/>
      <c r="J17039" s="11"/>
      <c r="U17039" s="9"/>
      <c r="X17039" s="9"/>
    </row>
    <row r="17040">
      <c r="D17040" s="9"/>
      <c r="G17040" s="9"/>
      <c r="J17040" s="11"/>
      <c r="U17040" s="9"/>
      <c r="X17040" s="9"/>
    </row>
    <row r="17041">
      <c r="D17041" s="9"/>
      <c r="G17041" s="9"/>
      <c r="J17041" s="11"/>
      <c r="U17041" s="9"/>
      <c r="X17041" s="9"/>
    </row>
    <row r="17042">
      <c r="D17042" s="9"/>
      <c r="G17042" s="9"/>
      <c r="J17042" s="11"/>
      <c r="U17042" s="9"/>
      <c r="X17042" s="9"/>
    </row>
    <row r="17043">
      <c r="D17043" s="9"/>
      <c r="G17043" s="9"/>
      <c r="J17043" s="11"/>
      <c r="U17043" s="9"/>
      <c r="X17043" s="9"/>
    </row>
    <row r="17044">
      <c r="D17044" s="9"/>
      <c r="G17044" s="9"/>
      <c r="J17044" s="11"/>
      <c r="U17044" s="9"/>
      <c r="X17044" s="9"/>
    </row>
    <row r="17045">
      <c r="D17045" s="9"/>
      <c r="G17045" s="9"/>
      <c r="J17045" s="11"/>
      <c r="U17045" s="9"/>
      <c r="X17045" s="9"/>
    </row>
    <row r="17046">
      <c r="D17046" s="9"/>
      <c r="G17046" s="9"/>
      <c r="J17046" s="11"/>
      <c r="U17046" s="9"/>
      <c r="X17046" s="9"/>
    </row>
    <row r="17047">
      <c r="D17047" s="9"/>
      <c r="G17047" s="9"/>
      <c r="J17047" s="11"/>
      <c r="U17047" s="9"/>
      <c r="X17047" s="9"/>
    </row>
    <row r="17048">
      <c r="D17048" s="9"/>
      <c r="G17048" s="9"/>
      <c r="J17048" s="11"/>
      <c r="U17048" s="9"/>
      <c r="X17048" s="9"/>
    </row>
    <row r="17049">
      <c r="D17049" s="9"/>
      <c r="G17049" s="9"/>
      <c r="J17049" s="11"/>
      <c r="U17049" s="9"/>
      <c r="X17049" s="9"/>
    </row>
    <row r="17050">
      <c r="D17050" s="9"/>
      <c r="G17050" s="9"/>
      <c r="J17050" s="11"/>
      <c r="U17050" s="9"/>
      <c r="X17050" s="9"/>
    </row>
    <row r="17051">
      <c r="D17051" s="9"/>
      <c r="G17051" s="9"/>
      <c r="J17051" s="11"/>
      <c r="U17051" s="9"/>
      <c r="X17051" s="9"/>
    </row>
    <row r="17052">
      <c r="D17052" s="9"/>
      <c r="G17052" s="9"/>
      <c r="J17052" s="11"/>
      <c r="U17052" s="9"/>
      <c r="X17052" s="9"/>
    </row>
    <row r="17053">
      <c r="D17053" s="9"/>
      <c r="G17053" s="9"/>
      <c r="J17053" s="11"/>
      <c r="U17053" s="9"/>
      <c r="X17053" s="9"/>
    </row>
    <row r="17054">
      <c r="D17054" s="9"/>
      <c r="G17054" s="9"/>
      <c r="J17054" s="11"/>
      <c r="U17054" s="9"/>
      <c r="X17054" s="9"/>
    </row>
    <row r="17055">
      <c r="D17055" s="9"/>
      <c r="G17055" s="9"/>
      <c r="J17055" s="11"/>
      <c r="U17055" s="9"/>
      <c r="X17055" s="9"/>
    </row>
    <row r="17056">
      <c r="D17056" s="9"/>
      <c r="G17056" s="9"/>
      <c r="J17056" s="11"/>
      <c r="U17056" s="9"/>
      <c r="X17056" s="9"/>
    </row>
    <row r="17057">
      <c r="D17057" s="9"/>
      <c r="G17057" s="9"/>
      <c r="J17057" s="11"/>
      <c r="U17057" s="9"/>
      <c r="X17057" s="9"/>
    </row>
    <row r="17058">
      <c r="D17058" s="9"/>
      <c r="G17058" s="9"/>
      <c r="J17058" s="11"/>
      <c r="U17058" s="9"/>
      <c r="X17058" s="9"/>
    </row>
    <row r="17059">
      <c r="D17059" s="9"/>
      <c r="G17059" s="9"/>
      <c r="J17059" s="11"/>
      <c r="U17059" s="9"/>
      <c r="X17059" s="9"/>
    </row>
    <row r="17060">
      <c r="D17060" s="9"/>
      <c r="G17060" s="9"/>
      <c r="J17060" s="11"/>
      <c r="U17060" s="9"/>
      <c r="X17060" s="9"/>
    </row>
    <row r="17061">
      <c r="D17061" s="9"/>
      <c r="G17061" s="9"/>
      <c r="J17061" s="11"/>
      <c r="U17061" s="9"/>
      <c r="X17061" s="9"/>
    </row>
    <row r="17062">
      <c r="D17062" s="9"/>
      <c r="G17062" s="9"/>
      <c r="J17062" s="11"/>
      <c r="U17062" s="9"/>
      <c r="X17062" s="9"/>
    </row>
    <row r="17063">
      <c r="D17063" s="9"/>
      <c r="G17063" s="9"/>
      <c r="J17063" s="11"/>
      <c r="U17063" s="9"/>
      <c r="X17063" s="9"/>
    </row>
    <row r="17064">
      <c r="D17064" s="9"/>
      <c r="G17064" s="9"/>
      <c r="J17064" s="11"/>
      <c r="U17064" s="9"/>
      <c r="X17064" s="9"/>
    </row>
    <row r="17065">
      <c r="D17065" s="9"/>
      <c r="G17065" s="9"/>
      <c r="J17065" s="11"/>
      <c r="U17065" s="9"/>
      <c r="X17065" s="9"/>
    </row>
    <row r="17066">
      <c r="D17066" s="9"/>
      <c r="G17066" s="9"/>
      <c r="J17066" s="11"/>
      <c r="U17066" s="9"/>
      <c r="X17066" s="9"/>
    </row>
    <row r="17067">
      <c r="D17067" s="9"/>
      <c r="G17067" s="9"/>
      <c r="J17067" s="11"/>
      <c r="U17067" s="9"/>
      <c r="X17067" s="9"/>
    </row>
    <row r="17068">
      <c r="D17068" s="9"/>
      <c r="G17068" s="9"/>
      <c r="J17068" s="11"/>
      <c r="U17068" s="9"/>
      <c r="X17068" s="9"/>
    </row>
    <row r="17069">
      <c r="D17069" s="9"/>
      <c r="G17069" s="9"/>
      <c r="J17069" s="11"/>
      <c r="U17069" s="9"/>
      <c r="X17069" s="9"/>
    </row>
    <row r="17070">
      <c r="D17070" s="9"/>
      <c r="G17070" s="9"/>
      <c r="J17070" s="11"/>
      <c r="U17070" s="9"/>
      <c r="X17070" s="9"/>
    </row>
    <row r="17071">
      <c r="D17071" s="9"/>
      <c r="G17071" s="9"/>
      <c r="J17071" s="11"/>
      <c r="U17071" s="9"/>
      <c r="X17071" s="9"/>
    </row>
    <row r="17072">
      <c r="D17072" s="9"/>
      <c r="G17072" s="9"/>
      <c r="J17072" s="11"/>
      <c r="U17072" s="9"/>
      <c r="X17072" s="9"/>
    </row>
    <row r="17073">
      <c r="D17073" s="9"/>
      <c r="G17073" s="9"/>
      <c r="J17073" s="11"/>
      <c r="U17073" s="9"/>
      <c r="X17073" s="9"/>
    </row>
    <row r="17074">
      <c r="D17074" s="9"/>
      <c r="G17074" s="9"/>
      <c r="J17074" s="11"/>
      <c r="U17074" s="9"/>
      <c r="X17074" s="9"/>
    </row>
    <row r="17075">
      <c r="D17075" s="9"/>
      <c r="G17075" s="9"/>
      <c r="J17075" s="11"/>
      <c r="U17075" s="9"/>
      <c r="X17075" s="9"/>
    </row>
    <row r="17076">
      <c r="D17076" s="9"/>
      <c r="G17076" s="9"/>
      <c r="J17076" s="11"/>
      <c r="U17076" s="9"/>
      <c r="X17076" s="9"/>
    </row>
    <row r="17077">
      <c r="D17077" s="9"/>
      <c r="G17077" s="9"/>
      <c r="J17077" s="11"/>
      <c r="U17077" s="9"/>
      <c r="X17077" s="9"/>
    </row>
    <row r="17078">
      <c r="D17078" s="9"/>
      <c r="G17078" s="9"/>
      <c r="J17078" s="11"/>
      <c r="U17078" s="9"/>
      <c r="X17078" s="9"/>
    </row>
    <row r="17079">
      <c r="D17079" s="9"/>
      <c r="G17079" s="9"/>
      <c r="J17079" s="11"/>
      <c r="U17079" s="9"/>
      <c r="X17079" s="9"/>
    </row>
    <row r="17080">
      <c r="D17080" s="9"/>
      <c r="G17080" s="9"/>
      <c r="J17080" s="11"/>
      <c r="U17080" s="9"/>
      <c r="X17080" s="9"/>
    </row>
    <row r="17081">
      <c r="D17081" s="9"/>
      <c r="G17081" s="9"/>
      <c r="J17081" s="11"/>
      <c r="U17081" s="9"/>
      <c r="X17081" s="9"/>
    </row>
    <row r="17082">
      <c r="D17082" s="9"/>
      <c r="G17082" s="9"/>
      <c r="J17082" s="11"/>
      <c r="U17082" s="9"/>
      <c r="X17082" s="9"/>
    </row>
    <row r="17083">
      <c r="D17083" s="9"/>
      <c r="G17083" s="9"/>
      <c r="J17083" s="11"/>
      <c r="U17083" s="9"/>
      <c r="X17083" s="9"/>
    </row>
    <row r="17084">
      <c r="D17084" s="9"/>
      <c r="G17084" s="9"/>
      <c r="J17084" s="11"/>
      <c r="U17084" s="9"/>
      <c r="X17084" s="9"/>
    </row>
    <row r="17085">
      <c r="D17085" s="9"/>
      <c r="G17085" s="9"/>
      <c r="J17085" s="11"/>
      <c r="U17085" s="9"/>
      <c r="X17085" s="9"/>
    </row>
    <row r="17086">
      <c r="D17086" s="9"/>
      <c r="G17086" s="9"/>
      <c r="J17086" s="11"/>
      <c r="U17086" s="9"/>
      <c r="X17086" s="9"/>
    </row>
    <row r="17087">
      <c r="D17087" s="9"/>
      <c r="G17087" s="9"/>
      <c r="J17087" s="11"/>
      <c r="U17087" s="9"/>
      <c r="X17087" s="9"/>
    </row>
    <row r="17088">
      <c r="D17088" s="9"/>
      <c r="G17088" s="9"/>
      <c r="J17088" s="11"/>
      <c r="U17088" s="9"/>
      <c r="X17088" s="9"/>
    </row>
    <row r="17089">
      <c r="D17089" s="9"/>
      <c r="G17089" s="9"/>
      <c r="J17089" s="11"/>
      <c r="U17089" s="9"/>
      <c r="X17089" s="9"/>
    </row>
    <row r="17090">
      <c r="D17090" s="9"/>
      <c r="G17090" s="9"/>
      <c r="J17090" s="11"/>
      <c r="U17090" s="9"/>
      <c r="X17090" s="9"/>
    </row>
    <row r="17091">
      <c r="D17091" s="9"/>
      <c r="G17091" s="9"/>
      <c r="J17091" s="11"/>
      <c r="U17091" s="9"/>
      <c r="X17091" s="9"/>
    </row>
    <row r="17092">
      <c r="D17092" s="9"/>
      <c r="G17092" s="9"/>
      <c r="J17092" s="11"/>
      <c r="U17092" s="9"/>
      <c r="X17092" s="9"/>
    </row>
    <row r="17093">
      <c r="D17093" s="9"/>
      <c r="G17093" s="9"/>
      <c r="J17093" s="11"/>
      <c r="U17093" s="9"/>
      <c r="X17093" s="9"/>
    </row>
    <row r="17094">
      <c r="D17094" s="9"/>
      <c r="G17094" s="9"/>
      <c r="J17094" s="11"/>
      <c r="U17094" s="9"/>
      <c r="X17094" s="9"/>
    </row>
    <row r="17095">
      <c r="D17095" s="9"/>
      <c r="G17095" s="9"/>
      <c r="J17095" s="11"/>
      <c r="U17095" s="9"/>
      <c r="X17095" s="9"/>
    </row>
    <row r="17096">
      <c r="D17096" s="9"/>
      <c r="G17096" s="9"/>
      <c r="J17096" s="11"/>
      <c r="U17096" s="9"/>
      <c r="X17096" s="9"/>
    </row>
    <row r="17097">
      <c r="D17097" s="9"/>
      <c r="G17097" s="9"/>
      <c r="J17097" s="11"/>
      <c r="U17097" s="9"/>
      <c r="X17097" s="9"/>
    </row>
    <row r="17098">
      <c r="D17098" s="9"/>
      <c r="G17098" s="9"/>
      <c r="J17098" s="11"/>
      <c r="U17098" s="9"/>
      <c r="X17098" s="9"/>
    </row>
    <row r="17099">
      <c r="D17099" s="9"/>
      <c r="G17099" s="9"/>
      <c r="J17099" s="11"/>
      <c r="U17099" s="9"/>
      <c r="X17099" s="9"/>
    </row>
    <row r="17100">
      <c r="D17100" s="9"/>
      <c r="G17100" s="9"/>
      <c r="J17100" s="11"/>
      <c r="U17100" s="9"/>
      <c r="X17100" s="9"/>
    </row>
    <row r="17101">
      <c r="D17101" s="9"/>
      <c r="G17101" s="9"/>
      <c r="J17101" s="11"/>
      <c r="U17101" s="9"/>
      <c r="X17101" s="9"/>
    </row>
    <row r="17102">
      <c r="D17102" s="9"/>
      <c r="G17102" s="9"/>
      <c r="J17102" s="11"/>
      <c r="U17102" s="9"/>
      <c r="X17102" s="9"/>
    </row>
    <row r="17103">
      <c r="D17103" s="9"/>
      <c r="G17103" s="9"/>
      <c r="J17103" s="11"/>
      <c r="U17103" s="9"/>
      <c r="X17103" s="9"/>
    </row>
    <row r="17104">
      <c r="D17104" s="9"/>
      <c r="G17104" s="9"/>
      <c r="J17104" s="11"/>
      <c r="U17104" s="9"/>
      <c r="X17104" s="9"/>
    </row>
    <row r="17105">
      <c r="D17105" s="9"/>
      <c r="G17105" s="9"/>
      <c r="J17105" s="11"/>
      <c r="U17105" s="9"/>
      <c r="X17105" s="9"/>
    </row>
    <row r="17106">
      <c r="D17106" s="9"/>
      <c r="G17106" s="9"/>
      <c r="J17106" s="11"/>
      <c r="U17106" s="9"/>
      <c r="X17106" s="9"/>
    </row>
    <row r="17107">
      <c r="D17107" s="9"/>
      <c r="G17107" s="9"/>
      <c r="J17107" s="11"/>
      <c r="U17107" s="9"/>
      <c r="X17107" s="9"/>
    </row>
    <row r="17108">
      <c r="D17108" s="9"/>
      <c r="G17108" s="9"/>
      <c r="J17108" s="11"/>
      <c r="U17108" s="9"/>
      <c r="X17108" s="9"/>
    </row>
    <row r="17109">
      <c r="D17109" s="9"/>
      <c r="G17109" s="9"/>
      <c r="J17109" s="11"/>
      <c r="U17109" s="9"/>
      <c r="X17109" s="9"/>
    </row>
    <row r="17110">
      <c r="D17110" s="9"/>
      <c r="G17110" s="9"/>
      <c r="J17110" s="11"/>
      <c r="U17110" s="9"/>
      <c r="X17110" s="9"/>
    </row>
    <row r="17111">
      <c r="D17111" s="9"/>
      <c r="G17111" s="9"/>
      <c r="J17111" s="11"/>
      <c r="U17111" s="9"/>
      <c r="X17111" s="9"/>
    </row>
    <row r="17112">
      <c r="D17112" s="9"/>
      <c r="G17112" s="9"/>
      <c r="J17112" s="11"/>
      <c r="U17112" s="9"/>
      <c r="X17112" s="9"/>
    </row>
    <row r="17113">
      <c r="D17113" s="9"/>
      <c r="G17113" s="9"/>
      <c r="J17113" s="11"/>
      <c r="U17113" s="9"/>
      <c r="X17113" s="9"/>
    </row>
    <row r="17114">
      <c r="D17114" s="9"/>
      <c r="G17114" s="9"/>
      <c r="J17114" s="11"/>
      <c r="U17114" s="9"/>
      <c r="X17114" s="9"/>
    </row>
    <row r="17115">
      <c r="D17115" s="9"/>
      <c r="G17115" s="9"/>
      <c r="J17115" s="11"/>
      <c r="U17115" s="9"/>
      <c r="X17115" s="9"/>
    </row>
    <row r="17116">
      <c r="D17116" s="9"/>
      <c r="G17116" s="9"/>
      <c r="J17116" s="11"/>
      <c r="U17116" s="9"/>
      <c r="X17116" s="9"/>
    </row>
    <row r="17117">
      <c r="D17117" s="9"/>
      <c r="G17117" s="9"/>
      <c r="J17117" s="11"/>
      <c r="U17117" s="9"/>
      <c r="X17117" s="9"/>
    </row>
    <row r="17118">
      <c r="D17118" s="9"/>
      <c r="G17118" s="9"/>
      <c r="J17118" s="11"/>
      <c r="U17118" s="9"/>
      <c r="X17118" s="9"/>
    </row>
    <row r="17119">
      <c r="D17119" s="9"/>
      <c r="G17119" s="9"/>
      <c r="J17119" s="11"/>
      <c r="U17119" s="9"/>
      <c r="X17119" s="9"/>
    </row>
    <row r="17120">
      <c r="D17120" s="9"/>
      <c r="G17120" s="9"/>
      <c r="J17120" s="11"/>
      <c r="U17120" s="9"/>
      <c r="X17120" s="9"/>
    </row>
    <row r="17121">
      <c r="D17121" s="9"/>
      <c r="G17121" s="9"/>
      <c r="J17121" s="11"/>
      <c r="U17121" s="9"/>
      <c r="X17121" s="9"/>
    </row>
    <row r="17122">
      <c r="D17122" s="9"/>
      <c r="G17122" s="9"/>
      <c r="J17122" s="11"/>
      <c r="U17122" s="9"/>
      <c r="X17122" s="9"/>
    </row>
    <row r="17123">
      <c r="D17123" s="9"/>
      <c r="G17123" s="9"/>
      <c r="J17123" s="11"/>
      <c r="U17123" s="9"/>
      <c r="X17123" s="9"/>
    </row>
    <row r="17124">
      <c r="D17124" s="9"/>
      <c r="G17124" s="9"/>
      <c r="J17124" s="11"/>
      <c r="U17124" s="9"/>
      <c r="X17124" s="9"/>
    </row>
    <row r="17125">
      <c r="D17125" s="9"/>
      <c r="G17125" s="9"/>
      <c r="J17125" s="11"/>
      <c r="U17125" s="9"/>
      <c r="X17125" s="9"/>
    </row>
    <row r="17126">
      <c r="D17126" s="9"/>
      <c r="G17126" s="9"/>
      <c r="J17126" s="11"/>
      <c r="U17126" s="9"/>
      <c r="X17126" s="9"/>
    </row>
    <row r="17127">
      <c r="D17127" s="9"/>
      <c r="G17127" s="9"/>
      <c r="J17127" s="11"/>
      <c r="U17127" s="9"/>
      <c r="X17127" s="9"/>
    </row>
    <row r="17128">
      <c r="D17128" s="9"/>
      <c r="G17128" s="9"/>
      <c r="J17128" s="11"/>
      <c r="U17128" s="9"/>
      <c r="X17128" s="9"/>
    </row>
    <row r="17129">
      <c r="D17129" s="9"/>
      <c r="G17129" s="9"/>
      <c r="J17129" s="11"/>
      <c r="U17129" s="9"/>
      <c r="X17129" s="9"/>
    </row>
    <row r="17130">
      <c r="D17130" s="9"/>
      <c r="G17130" s="9"/>
      <c r="J17130" s="11"/>
      <c r="U17130" s="9"/>
      <c r="X17130" s="9"/>
    </row>
    <row r="17131">
      <c r="D17131" s="9"/>
      <c r="G17131" s="9"/>
      <c r="J17131" s="11"/>
      <c r="U17131" s="9"/>
      <c r="X17131" s="9"/>
    </row>
    <row r="17132">
      <c r="D17132" s="9"/>
      <c r="G17132" s="9"/>
      <c r="J17132" s="11"/>
      <c r="U17132" s="9"/>
      <c r="X17132" s="9"/>
    </row>
    <row r="17133">
      <c r="D17133" s="9"/>
      <c r="G17133" s="9"/>
      <c r="J17133" s="11"/>
      <c r="U17133" s="9"/>
      <c r="X17133" s="9"/>
    </row>
    <row r="17134">
      <c r="D17134" s="9"/>
      <c r="G17134" s="9"/>
      <c r="J17134" s="11"/>
      <c r="U17134" s="9"/>
      <c r="X17134" s="9"/>
    </row>
    <row r="17135">
      <c r="D17135" s="9"/>
      <c r="G17135" s="9"/>
      <c r="J17135" s="11"/>
      <c r="U17135" s="9"/>
      <c r="X17135" s="9"/>
    </row>
    <row r="17136">
      <c r="D17136" s="9"/>
      <c r="G17136" s="9"/>
      <c r="J17136" s="11"/>
      <c r="U17136" s="9"/>
      <c r="X17136" s="9"/>
    </row>
    <row r="17137">
      <c r="D17137" s="9"/>
      <c r="G17137" s="9"/>
      <c r="J17137" s="11"/>
      <c r="U17137" s="9"/>
      <c r="X17137" s="9"/>
    </row>
    <row r="17138">
      <c r="D17138" s="9"/>
      <c r="G17138" s="9"/>
      <c r="J17138" s="11"/>
      <c r="U17138" s="9"/>
      <c r="X17138" s="9"/>
    </row>
    <row r="17139">
      <c r="D17139" s="9"/>
      <c r="G17139" s="9"/>
      <c r="J17139" s="11"/>
      <c r="U17139" s="9"/>
      <c r="X17139" s="9"/>
    </row>
    <row r="17140">
      <c r="D17140" s="9"/>
      <c r="G17140" s="9"/>
      <c r="J17140" s="11"/>
      <c r="U17140" s="9"/>
      <c r="X17140" s="9"/>
    </row>
    <row r="17141">
      <c r="D17141" s="9"/>
      <c r="G17141" s="9"/>
      <c r="J17141" s="11"/>
      <c r="U17141" s="9"/>
      <c r="X17141" s="9"/>
    </row>
    <row r="17142">
      <c r="D17142" s="9"/>
      <c r="G17142" s="9"/>
      <c r="J17142" s="11"/>
      <c r="U17142" s="9"/>
      <c r="X17142" s="9"/>
    </row>
    <row r="17143">
      <c r="D17143" s="9"/>
      <c r="G17143" s="9"/>
      <c r="J17143" s="11"/>
      <c r="U17143" s="9"/>
      <c r="X17143" s="9"/>
    </row>
    <row r="17144">
      <c r="D17144" s="9"/>
      <c r="G17144" s="9"/>
      <c r="J17144" s="11"/>
      <c r="U17144" s="9"/>
      <c r="X17144" s="9"/>
    </row>
    <row r="17145">
      <c r="D17145" s="9"/>
      <c r="G17145" s="9"/>
      <c r="J17145" s="11"/>
      <c r="U17145" s="9"/>
      <c r="X17145" s="9"/>
    </row>
    <row r="17146">
      <c r="D17146" s="9"/>
      <c r="G17146" s="9"/>
      <c r="J17146" s="11"/>
      <c r="U17146" s="9"/>
      <c r="X17146" s="9"/>
    </row>
    <row r="17147">
      <c r="D17147" s="9"/>
      <c r="G17147" s="9"/>
      <c r="J17147" s="11"/>
      <c r="U17147" s="9"/>
      <c r="X17147" s="9"/>
    </row>
    <row r="17148">
      <c r="D17148" s="9"/>
      <c r="G17148" s="9"/>
      <c r="J17148" s="11"/>
      <c r="U17148" s="9"/>
      <c r="X17148" s="9"/>
    </row>
    <row r="17149">
      <c r="D17149" s="9"/>
      <c r="G17149" s="9"/>
      <c r="J17149" s="11"/>
      <c r="U17149" s="9"/>
      <c r="X17149" s="9"/>
    </row>
    <row r="17150">
      <c r="D17150" s="9"/>
      <c r="G17150" s="9"/>
      <c r="J17150" s="11"/>
      <c r="U17150" s="9"/>
      <c r="X17150" s="9"/>
    </row>
    <row r="17151">
      <c r="D17151" s="9"/>
      <c r="G17151" s="9"/>
      <c r="J17151" s="11"/>
      <c r="U17151" s="9"/>
      <c r="X17151" s="9"/>
    </row>
    <row r="17152">
      <c r="D17152" s="9"/>
      <c r="G17152" s="9"/>
      <c r="J17152" s="11"/>
      <c r="U17152" s="9"/>
      <c r="X17152" s="9"/>
    </row>
    <row r="17153">
      <c r="D17153" s="9"/>
      <c r="G17153" s="9"/>
      <c r="J17153" s="11"/>
      <c r="U17153" s="9"/>
      <c r="X17153" s="9"/>
    </row>
    <row r="17154">
      <c r="D17154" s="9"/>
      <c r="G17154" s="9"/>
      <c r="J17154" s="11"/>
      <c r="U17154" s="9"/>
      <c r="X17154" s="9"/>
    </row>
    <row r="17155">
      <c r="D17155" s="9"/>
      <c r="G17155" s="9"/>
      <c r="J17155" s="11"/>
      <c r="U17155" s="9"/>
      <c r="X17155" s="9"/>
    </row>
    <row r="17156">
      <c r="D17156" s="9"/>
      <c r="G17156" s="9"/>
      <c r="J17156" s="11"/>
      <c r="U17156" s="9"/>
      <c r="X17156" s="9"/>
    </row>
    <row r="17157">
      <c r="D17157" s="9"/>
      <c r="G17157" s="9"/>
      <c r="J17157" s="11"/>
      <c r="U17157" s="9"/>
      <c r="X17157" s="9"/>
    </row>
    <row r="17158">
      <c r="D17158" s="9"/>
      <c r="G17158" s="9"/>
      <c r="J17158" s="11"/>
      <c r="U17158" s="9"/>
      <c r="X17158" s="9"/>
    </row>
    <row r="17159">
      <c r="D17159" s="9"/>
      <c r="G17159" s="9"/>
      <c r="J17159" s="11"/>
      <c r="U17159" s="9"/>
      <c r="X17159" s="9"/>
    </row>
    <row r="17160">
      <c r="D17160" s="9"/>
      <c r="G17160" s="9"/>
      <c r="J17160" s="11"/>
      <c r="U17160" s="9"/>
      <c r="X17160" s="9"/>
    </row>
    <row r="17161">
      <c r="D17161" s="9"/>
      <c r="G17161" s="9"/>
      <c r="J17161" s="11"/>
      <c r="U17161" s="9"/>
      <c r="X17161" s="9"/>
    </row>
    <row r="17162">
      <c r="D17162" s="9"/>
      <c r="G17162" s="9"/>
      <c r="J17162" s="11"/>
      <c r="U17162" s="9"/>
      <c r="X17162" s="9"/>
    </row>
    <row r="17163">
      <c r="D17163" s="9"/>
      <c r="G17163" s="9"/>
      <c r="J17163" s="11"/>
      <c r="U17163" s="9"/>
      <c r="X17163" s="9"/>
    </row>
    <row r="17164">
      <c r="D17164" s="9"/>
      <c r="G17164" s="9"/>
      <c r="J17164" s="11"/>
      <c r="U17164" s="9"/>
      <c r="X17164" s="9"/>
    </row>
    <row r="17165">
      <c r="D17165" s="9"/>
      <c r="G17165" s="9"/>
      <c r="J17165" s="11"/>
      <c r="U17165" s="9"/>
      <c r="X17165" s="9"/>
    </row>
    <row r="17166">
      <c r="D17166" s="9"/>
      <c r="G17166" s="9"/>
      <c r="J17166" s="11"/>
      <c r="U17166" s="9"/>
      <c r="X17166" s="9"/>
    </row>
    <row r="17167">
      <c r="D17167" s="9"/>
      <c r="G17167" s="9"/>
      <c r="J17167" s="11"/>
      <c r="U17167" s="9"/>
      <c r="X17167" s="9"/>
    </row>
    <row r="17168">
      <c r="D17168" s="9"/>
      <c r="G17168" s="9"/>
      <c r="J17168" s="11"/>
      <c r="U17168" s="9"/>
      <c r="X17168" s="9"/>
    </row>
    <row r="17169">
      <c r="D17169" s="9"/>
      <c r="G17169" s="9"/>
      <c r="J17169" s="11"/>
      <c r="U17169" s="9"/>
      <c r="X17169" s="9"/>
    </row>
    <row r="17170">
      <c r="D17170" s="9"/>
      <c r="G17170" s="9"/>
      <c r="J17170" s="11"/>
      <c r="U17170" s="9"/>
      <c r="X17170" s="9"/>
    </row>
    <row r="17171">
      <c r="D17171" s="9"/>
      <c r="G17171" s="9"/>
      <c r="J17171" s="11"/>
      <c r="U17171" s="9"/>
      <c r="X17171" s="9"/>
    </row>
    <row r="17172">
      <c r="D17172" s="9"/>
      <c r="G17172" s="9"/>
      <c r="J17172" s="11"/>
      <c r="U17172" s="9"/>
      <c r="X17172" s="9"/>
    </row>
    <row r="17173">
      <c r="D17173" s="9"/>
      <c r="G17173" s="9"/>
      <c r="J17173" s="11"/>
      <c r="U17173" s="9"/>
      <c r="X17173" s="9"/>
    </row>
    <row r="17174">
      <c r="D17174" s="9"/>
      <c r="G17174" s="9"/>
      <c r="J17174" s="11"/>
      <c r="U17174" s="9"/>
      <c r="X17174" s="9"/>
    </row>
    <row r="17175">
      <c r="D17175" s="9"/>
      <c r="G17175" s="9"/>
      <c r="J17175" s="11"/>
      <c r="U17175" s="9"/>
      <c r="X17175" s="9"/>
    </row>
    <row r="17176">
      <c r="D17176" s="9"/>
      <c r="G17176" s="9"/>
      <c r="J17176" s="11"/>
      <c r="U17176" s="9"/>
      <c r="X17176" s="9"/>
    </row>
    <row r="17177">
      <c r="D17177" s="9"/>
      <c r="G17177" s="9"/>
      <c r="J17177" s="11"/>
      <c r="U17177" s="9"/>
      <c r="X17177" s="9"/>
    </row>
    <row r="17178">
      <c r="D17178" s="9"/>
      <c r="G17178" s="9"/>
      <c r="J17178" s="11"/>
      <c r="U17178" s="9"/>
      <c r="X17178" s="9"/>
    </row>
    <row r="17179">
      <c r="D17179" s="9"/>
      <c r="G17179" s="9"/>
      <c r="J17179" s="11"/>
      <c r="U17179" s="9"/>
      <c r="X17179" s="9"/>
    </row>
    <row r="17180">
      <c r="D17180" s="9"/>
      <c r="G17180" s="9"/>
      <c r="J17180" s="11"/>
      <c r="U17180" s="9"/>
      <c r="X17180" s="9"/>
    </row>
    <row r="17181">
      <c r="D17181" s="9"/>
      <c r="G17181" s="9"/>
      <c r="J17181" s="11"/>
      <c r="U17181" s="9"/>
      <c r="X17181" s="9"/>
    </row>
    <row r="17182">
      <c r="D17182" s="9"/>
      <c r="G17182" s="9"/>
      <c r="J17182" s="11"/>
      <c r="U17182" s="9"/>
      <c r="X17182" s="9"/>
    </row>
    <row r="17183">
      <c r="D17183" s="9"/>
      <c r="G17183" s="9"/>
      <c r="J17183" s="11"/>
      <c r="U17183" s="9"/>
      <c r="X17183" s="9"/>
    </row>
    <row r="17184">
      <c r="D17184" s="9"/>
      <c r="G17184" s="9"/>
      <c r="J17184" s="11"/>
      <c r="U17184" s="9"/>
      <c r="X17184" s="9"/>
    </row>
    <row r="17185">
      <c r="D17185" s="9"/>
      <c r="G17185" s="9"/>
      <c r="J17185" s="11"/>
      <c r="U17185" s="9"/>
      <c r="X17185" s="9"/>
    </row>
    <row r="17186">
      <c r="D17186" s="9"/>
      <c r="G17186" s="9"/>
      <c r="J17186" s="11"/>
      <c r="U17186" s="9"/>
      <c r="X17186" s="9"/>
    </row>
    <row r="17187">
      <c r="D17187" s="9"/>
      <c r="G17187" s="9"/>
      <c r="J17187" s="11"/>
      <c r="U17187" s="9"/>
      <c r="X17187" s="9"/>
    </row>
    <row r="17188">
      <c r="D17188" s="9"/>
      <c r="G17188" s="9"/>
      <c r="J17188" s="11"/>
      <c r="U17188" s="9"/>
      <c r="X17188" s="9"/>
    </row>
    <row r="17189">
      <c r="D17189" s="9"/>
      <c r="G17189" s="9"/>
      <c r="J17189" s="11"/>
      <c r="U17189" s="9"/>
      <c r="X17189" s="9"/>
    </row>
    <row r="17190">
      <c r="D17190" s="9"/>
      <c r="G17190" s="9"/>
      <c r="J17190" s="11"/>
      <c r="U17190" s="9"/>
      <c r="X17190" s="9"/>
    </row>
    <row r="17191">
      <c r="D17191" s="9"/>
      <c r="G17191" s="9"/>
      <c r="J17191" s="11"/>
      <c r="U17191" s="9"/>
      <c r="X17191" s="9"/>
    </row>
    <row r="17192">
      <c r="D17192" s="9"/>
      <c r="G17192" s="9"/>
      <c r="J17192" s="11"/>
      <c r="U17192" s="9"/>
      <c r="X17192" s="9"/>
    </row>
    <row r="17193">
      <c r="D17193" s="9"/>
      <c r="G17193" s="9"/>
      <c r="J17193" s="11"/>
      <c r="U17193" s="9"/>
      <c r="X17193" s="9"/>
    </row>
    <row r="17194">
      <c r="D17194" s="9"/>
      <c r="G17194" s="9"/>
      <c r="J17194" s="11"/>
      <c r="U17194" s="9"/>
      <c r="X17194" s="9"/>
    </row>
    <row r="17195">
      <c r="D17195" s="9"/>
      <c r="G17195" s="9"/>
      <c r="J17195" s="11"/>
      <c r="U17195" s="9"/>
      <c r="X17195" s="9"/>
    </row>
    <row r="17196">
      <c r="D17196" s="9"/>
      <c r="G17196" s="9"/>
      <c r="J17196" s="11"/>
      <c r="U17196" s="9"/>
      <c r="X17196" s="9"/>
    </row>
    <row r="17197">
      <c r="D17197" s="9"/>
      <c r="G17197" s="9"/>
      <c r="J17197" s="11"/>
      <c r="U17197" s="9"/>
      <c r="X17197" s="9"/>
    </row>
    <row r="17198">
      <c r="D17198" s="9"/>
      <c r="G17198" s="9"/>
      <c r="J17198" s="11"/>
      <c r="U17198" s="9"/>
      <c r="X17198" s="9"/>
    </row>
    <row r="17199">
      <c r="D17199" s="9"/>
      <c r="G17199" s="9"/>
      <c r="J17199" s="11"/>
      <c r="U17199" s="9"/>
      <c r="X17199" s="9"/>
    </row>
    <row r="17200">
      <c r="D17200" s="9"/>
      <c r="G17200" s="9"/>
      <c r="J17200" s="11"/>
      <c r="U17200" s="9"/>
      <c r="X17200" s="9"/>
    </row>
    <row r="17201">
      <c r="D17201" s="9"/>
      <c r="G17201" s="9"/>
      <c r="J17201" s="11"/>
      <c r="U17201" s="9"/>
      <c r="X17201" s="9"/>
    </row>
    <row r="17202">
      <c r="D17202" s="9"/>
      <c r="G17202" s="9"/>
      <c r="J17202" s="11"/>
      <c r="U17202" s="9"/>
      <c r="X17202" s="9"/>
    </row>
    <row r="17203">
      <c r="D17203" s="9"/>
      <c r="G17203" s="9"/>
      <c r="J17203" s="11"/>
      <c r="U17203" s="9"/>
      <c r="X17203" s="9"/>
    </row>
    <row r="17204">
      <c r="D17204" s="9"/>
      <c r="G17204" s="9"/>
      <c r="J17204" s="11"/>
      <c r="U17204" s="9"/>
      <c r="X17204" s="9"/>
    </row>
    <row r="17205">
      <c r="D17205" s="9"/>
      <c r="G17205" s="9"/>
      <c r="J17205" s="11"/>
      <c r="U17205" s="9"/>
      <c r="X17205" s="9"/>
    </row>
    <row r="17206">
      <c r="D17206" s="9"/>
      <c r="G17206" s="9"/>
      <c r="J17206" s="11"/>
      <c r="U17206" s="9"/>
      <c r="X17206" s="9"/>
    </row>
    <row r="17207">
      <c r="D17207" s="9"/>
      <c r="G17207" s="9"/>
      <c r="J17207" s="11"/>
      <c r="U17207" s="9"/>
      <c r="X17207" s="9"/>
    </row>
    <row r="17208">
      <c r="D17208" s="9"/>
      <c r="G17208" s="9"/>
      <c r="J17208" s="11"/>
      <c r="U17208" s="9"/>
      <c r="X17208" s="9"/>
    </row>
    <row r="17209">
      <c r="D17209" s="9"/>
      <c r="G17209" s="9"/>
      <c r="J17209" s="11"/>
      <c r="U17209" s="9"/>
      <c r="X17209" s="9"/>
    </row>
    <row r="17210">
      <c r="D17210" s="9"/>
      <c r="G17210" s="9"/>
      <c r="J17210" s="11"/>
      <c r="U17210" s="9"/>
      <c r="X17210" s="9"/>
    </row>
    <row r="17211">
      <c r="D17211" s="9"/>
      <c r="G17211" s="9"/>
      <c r="J17211" s="11"/>
      <c r="U17211" s="9"/>
      <c r="X17211" s="9"/>
    </row>
    <row r="17212">
      <c r="D17212" s="9"/>
      <c r="G17212" s="9"/>
      <c r="J17212" s="11"/>
      <c r="U17212" s="9"/>
      <c r="X17212" s="9"/>
    </row>
    <row r="17213">
      <c r="D17213" s="9"/>
      <c r="G17213" s="9"/>
      <c r="J17213" s="11"/>
      <c r="U17213" s="9"/>
      <c r="X17213" s="9"/>
    </row>
    <row r="17214">
      <c r="D17214" s="9"/>
      <c r="G17214" s="9"/>
      <c r="J17214" s="11"/>
      <c r="U17214" s="9"/>
      <c r="X17214" s="9"/>
    </row>
    <row r="17215">
      <c r="D17215" s="9"/>
      <c r="G17215" s="9"/>
      <c r="J17215" s="11"/>
      <c r="U17215" s="9"/>
      <c r="X17215" s="9"/>
    </row>
    <row r="17216">
      <c r="D17216" s="9"/>
      <c r="G17216" s="9"/>
      <c r="J17216" s="11"/>
      <c r="U17216" s="9"/>
      <c r="X17216" s="9"/>
    </row>
    <row r="17217">
      <c r="D17217" s="9"/>
      <c r="G17217" s="9"/>
      <c r="J17217" s="11"/>
      <c r="U17217" s="9"/>
      <c r="X17217" s="9"/>
    </row>
    <row r="17218">
      <c r="D17218" s="9"/>
      <c r="G17218" s="9"/>
      <c r="J17218" s="11"/>
      <c r="U17218" s="9"/>
      <c r="X17218" s="9"/>
    </row>
    <row r="17219">
      <c r="D17219" s="9"/>
      <c r="G17219" s="9"/>
      <c r="J17219" s="11"/>
      <c r="U17219" s="9"/>
      <c r="X17219" s="9"/>
    </row>
    <row r="17220">
      <c r="D17220" s="9"/>
      <c r="G17220" s="9"/>
      <c r="J17220" s="11"/>
      <c r="U17220" s="9"/>
      <c r="X17220" s="9"/>
    </row>
    <row r="17221">
      <c r="D17221" s="9"/>
      <c r="G17221" s="9"/>
      <c r="J17221" s="11"/>
      <c r="U17221" s="9"/>
      <c r="X17221" s="9"/>
    </row>
    <row r="17222">
      <c r="D17222" s="9"/>
      <c r="G17222" s="9"/>
      <c r="J17222" s="11"/>
      <c r="U17222" s="9"/>
      <c r="X17222" s="9"/>
    </row>
    <row r="17223">
      <c r="D17223" s="9"/>
      <c r="G17223" s="9"/>
      <c r="J17223" s="11"/>
      <c r="U17223" s="9"/>
      <c r="X17223" s="9"/>
    </row>
    <row r="17224">
      <c r="D17224" s="9"/>
      <c r="G17224" s="9"/>
      <c r="J17224" s="11"/>
      <c r="U17224" s="9"/>
      <c r="X17224" s="9"/>
    </row>
    <row r="17225">
      <c r="D17225" s="9"/>
      <c r="G17225" s="9"/>
      <c r="J17225" s="11"/>
      <c r="U17225" s="9"/>
      <c r="X17225" s="9"/>
    </row>
    <row r="17226">
      <c r="D17226" s="9"/>
      <c r="G17226" s="9"/>
      <c r="J17226" s="11"/>
      <c r="U17226" s="9"/>
      <c r="X17226" s="9"/>
    </row>
    <row r="17227">
      <c r="D17227" s="9"/>
      <c r="G17227" s="9"/>
      <c r="J17227" s="11"/>
      <c r="U17227" s="9"/>
      <c r="X17227" s="9"/>
    </row>
    <row r="17228">
      <c r="D17228" s="9"/>
      <c r="G17228" s="9"/>
      <c r="J17228" s="11"/>
      <c r="U17228" s="9"/>
      <c r="X17228" s="9"/>
    </row>
    <row r="17229">
      <c r="D17229" s="9"/>
      <c r="G17229" s="9"/>
      <c r="J17229" s="11"/>
      <c r="U17229" s="9"/>
      <c r="X17229" s="9"/>
    </row>
    <row r="17230">
      <c r="D17230" s="9"/>
      <c r="G17230" s="9"/>
      <c r="J17230" s="11"/>
      <c r="U17230" s="9"/>
      <c r="X17230" s="9"/>
    </row>
    <row r="17231">
      <c r="D17231" s="9"/>
      <c r="G17231" s="9"/>
      <c r="J17231" s="11"/>
      <c r="U17231" s="9"/>
      <c r="X17231" s="9"/>
    </row>
    <row r="17232">
      <c r="D17232" s="9"/>
      <c r="G17232" s="9"/>
      <c r="J17232" s="11"/>
      <c r="U17232" s="9"/>
      <c r="X17232" s="9"/>
    </row>
    <row r="17233">
      <c r="D17233" s="9"/>
      <c r="G17233" s="9"/>
      <c r="J17233" s="11"/>
      <c r="U17233" s="9"/>
      <c r="X17233" s="9"/>
    </row>
    <row r="17234">
      <c r="D17234" s="9"/>
      <c r="G17234" s="9"/>
      <c r="J17234" s="11"/>
      <c r="U17234" s="9"/>
      <c r="X17234" s="9"/>
    </row>
    <row r="17235">
      <c r="D17235" s="9"/>
      <c r="G17235" s="9"/>
      <c r="J17235" s="11"/>
      <c r="U17235" s="9"/>
      <c r="X17235" s="9"/>
    </row>
    <row r="17236">
      <c r="D17236" s="9"/>
      <c r="G17236" s="9"/>
      <c r="J17236" s="11"/>
      <c r="U17236" s="9"/>
      <c r="X17236" s="9"/>
    </row>
    <row r="17237">
      <c r="D17237" s="9"/>
      <c r="G17237" s="9"/>
      <c r="J17237" s="11"/>
      <c r="U17237" s="9"/>
      <c r="X17237" s="9"/>
    </row>
    <row r="17238">
      <c r="D17238" s="9"/>
      <c r="G17238" s="9"/>
      <c r="J17238" s="11"/>
      <c r="U17238" s="9"/>
      <c r="X17238" s="9"/>
    </row>
    <row r="17239">
      <c r="D17239" s="9"/>
      <c r="G17239" s="9"/>
      <c r="J17239" s="11"/>
      <c r="U17239" s="9"/>
      <c r="X17239" s="9"/>
    </row>
    <row r="17240">
      <c r="D17240" s="9"/>
      <c r="G17240" s="9"/>
      <c r="J17240" s="11"/>
      <c r="U17240" s="9"/>
      <c r="X17240" s="9"/>
    </row>
    <row r="17241">
      <c r="D17241" s="9"/>
      <c r="G17241" s="9"/>
      <c r="J17241" s="11"/>
      <c r="U17241" s="9"/>
      <c r="X17241" s="9"/>
    </row>
    <row r="17242">
      <c r="D17242" s="9"/>
      <c r="G17242" s="9"/>
      <c r="J17242" s="11"/>
      <c r="U17242" s="9"/>
      <c r="X17242" s="9"/>
    </row>
    <row r="17243">
      <c r="D17243" s="9"/>
      <c r="G17243" s="9"/>
      <c r="J17243" s="11"/>
      <c r="U17243" s="9"/>
      <c r="X17243" s="9"/>
    </row>
    <row r="17244">
      <c r="D17244" s="9"/>
      <c r="G17244" s="9"/>
      <c r="J17244" s="11"/>
      <c r="U17244" s="9"/>
      <c r="X17244" s="9"/>
    </row>
    <row r="17245">
      <c r="D17245" s="9"/>
      <c r="G17245" s="9"/>
      <c r="J17245" s="11"/>
      <c r="U17245" s="9"/>
      <c r="X17245" s="9"/>
    </row>
    <row r="17246">
      <c r="D17246" s="9"/>
      <c r="G17246" s="9"/>
      <c r="J17246" s="11"/>
      <c r="U17246" s="9"/>
      <c r="X17246" s="9"/>
    </row>
    <row r="17247">
      <c r="D17247" s="9"/>
      <c r="G17247" s="9"/>
      <c r="J17247" s="11"/>
      <c r="U17247" s="9"/>
      <c r="X17247" s="9"/>
    </row>
    <row r="17248">
      <c r="D17248" s="9"/>
      <c r="G17248" s="9"/>
      <c r="J17248" s="11"/>
      <c r="U17248" s="9"/>
      <c r="X17248" s="9"/>
    </row>
    <row r="17249">
      <c r="D17249" s="9"/>
      <c r="G17249" s="9"/>
      <c r="J17249" s="11"/>
      <c r="U17249" s="9"/>
      <c r="X17249" s="9"/>
    </row>
    <row r="17250">
      <c r="D17250" s="9"/>
      <c r="G17250" s="9"/>
      <c r="J17250" s="11"/>
      <c r="U17250" s="9"/>
      <c r="X17250" s="9"/>
    </row>
    <row r="17251">
      <c r="D17251" s="9"/>
      <c r="G17251" s="9"/>
      <c r="J17251" s="11"/>
      <c r="U17251" s="9"/>
      <c r="X17251" s="9"/>
    </row>
    <row r="17252">
      <c r="D17252" s="9"/>
      <c r="G17252" s="9"/>
      <c r="J17252" s="11"/>
      <c r="U17252" s="9"/>
      <c r="X17252" s="9"/>
    </row>
    <row r="17253">
      <c r="D17253" s="9"/>
      <c r="G17253" s="9"/>
      <c r="J17253" s="11"/>
      <c r="U17253" s="9"/>
      <c r="X17253" s="9"/>
    </row>
    <row r="17254">
      <c r="D17254" s="9"/>
      <c r="G17254" s="9"/>
      <c r="J17254" s="11"/>
      <c r="U17254" s="9"/>
      <c r="X17254" s="9"/>
    </row>
    <row r="17255">
      <c r="D17255" s="9"/>
      <c r="G17255" s="9"/>
      <c r="J17255" s="11"/>
      <c r="U17255" s="9"/>
      <c r="X17255" s="9"/>
    </row>
    <row r="17256">
      <c r="D17256" s="9"/>
      <c r="G17256" s="9"/>
      <c r="J17256" s="11"/>
      <c r="U17256" s="9"/>
      <c r="X17256" s="9"/>
    </row>
    <row r="17257">
      <c r="D17257" s="9"/>
      <c r="G17257" s="9"/>
      <c r="J17257" s="11"/>
      <c r="U17257" s="9"/>
      <c r="X17257" s="9"/>
    </row>
    <row r="17258">
      <c r="D17258" s="9"/>
      <c r="G17258" s="9"/>
      <c r="J17258" s="11"/>
      <c r="U17258" s="9"/>
      <c r="X17258" s="9"/>
    </row>
    <row r="17259">
      <c r="D17259" s="9"/>
      <c r="G17259" s="9"/>
      <c r="J17259" s="11"/>
      <c r="U17259" s="9"/>
      <c r="X17259" s="9"/>
    </row>
    <row r="17260">
      <c r="D17260" s="9"/>
      <c r="G17260" s="9"/>
      <c r="J17260" s="11"/>
      <c r="U17260" s="9"/>
      <c r="X17260" s="9"/>
    </row>
    <row r="17261">
      <c r="D17261" s="9"/>
      <c r="G17261" s="9"/>
      <c r="J17261" s="11"/>
      <c r="U17261" s="9"/>
      <c r="X17261" s="9"/>
    </row>
    <row r="17262">
      <c r="D17262" s="9"/>
      <c r="G17262" s="9"/>
      <c r="J17262" s="11"/>
      <c r="U17262" s="9"/>
      <c r="X17262" s="9"/>
    </row>
    <row r="17263">
      <c r="D17263" s="9"/>
      <c r="G17263" s="9"/>
      <c r="J17263" s="11"/>
      <c r="U17263" s="9"/>
      <c r="X17263" s="9"/>
    </row>
    <row r="17264">
      <c r="D17264" s="9"/>
      <c r="G17264" s="9"/>
      <c r="J17264" s="11"/>
      <c r="U17264" s="9"/>
      <c r="X17264" s="9"/>
    </row>
    <row r="17265">
      <c r="D17265" s="9"/>
      <c r="G17265" s="9"/>
      <c r="J17265" s="11"/>
      <c r="U17265" s="9"/>
      <c r="X17265" s="9"/>
    </row>
    <row r="17266">
      <c r="D17266" s="9"/>
      <c r="G17266" s="9"/>
      <c r="J17266" s="11"/>
      <c r="U17266" s="9"/>
      <c r="X17266" s="9"/>
    </row>
    <row r="17267">
      <c r="D17267" s="9"/>
      <c r="G17267" s="9"/>
      <c r="J17267" s="11"/>
      <c r="U17267" s="9"/>
      <c r="X17267" s="9"/>
    </row>
    <row r="17268">
      <c r="D17268" s="9"/>
      <c r="G17268" s="9"/>
      <c r="J17268" s="11"/>
      <c r="U17268" s="9"/>
      <c r="X17268" s="9"/>
    </row>
    <row r="17269">
      <c r="D17269" s="9"/>
      <c r="G17269" s="9"/>
      <c r="J17269" s="11"/>
      <c r="U17269" s="9"/>
      <c r="X17269" s="9"/>
    </row>
    <row r="17270">
      <c r="D17270" s="9"/>
      <c r="G17270" s="9"/>
      <c r="J17270" s="11"/>
      <c r="U17270" s="9"/>
      <c r="X17270" s="9"/>
    </row>
    <row r="17271">
      <c r="D17271" s="9"/>
      <c r="G17271" s="9"/>
      <c r="J17271" s="11"/>
      <c r="U17271" s="9"/>
      <c r="X17271" s="9"/>
    </row>
    <row r="17272">
      <c r="D17272" s="9"/>
      <c r="G17272" s="9"/>
      <c r="J17272" s="11"/>
      <c r="U17272" s="9"/>
      <c r="X17272" s="9"/>
    </row>
    <row r="17273">
      <c r="D17273" s="9"/>
      <c r="G17273" s="9"/>
      <c r="J17273" s="11"/>
      <c r="U17273" s="9"/>
      <c r="X17273" s="9"/>
    </row>
    <row r="17274">
      <c r="D17274" s="9"/>
      <c r="G17274" s="9"/>
      <c r="J17274" s="11"/>
      <c r="U17274" s="9"/>
      <c r="X17274" s="9"/>
    </row>
    <row r="17275">
      <c r="D17275" s="9"/>
      <c r="G17275" s="9"/>
      <c r="J17275" s="11"/>
      <c r="U17275" s="9"/>
      <c r="X17275" s="9"/>
    </row>
    <row r="17276">
      <c r="D17276" s="9"/>
      <c r="G17276" s="9"/>
      <c r="J17276" s="11"/>
      <c r="U17276" s="9"/>
      <c r="X17276" s="9"/>
    </row>
    <row r="17277">
      <c r="D17277" s="9"/>
      <c r="G17277" s="9"/>
      <c r="J17277" s="11"/>
      <c r="U17277" s="9"/>
      <c r="X17277" s="9"/>
    </row>
    <row r="17278">
      <c r="D17278" s="9"/>
      <c r="G17278" s="9"/>
      <c r="J17278" s="11"/>
      <c r="U17278" s="9"/>
      <c r="X17278" s="9"/>
    </row>
    <row r="17279">
      <c r="D17279" s="9"/>
      <c r="G17279" s="9"/>
      <c r="J17279" s="11"/>
      <c r="U17279" s="9"/>
      <c r="X17279" s="9"/>
    </row>
    <row r="17280">
      <c r="D17280" s="9"/>
      <c r="G17280" s="9"/>
      <c r="J17280" s="11"/>
      <c r="U17280" s="9"/>
      <c r="X17280" s="9"/>
    </row>
    <row r="17281">
      <c r="D17281" s="9"/>
      <c r="G17281" s="9"/>
      <c r="J17281" s="11"/>
      <c r="U17281" s="9"/>
      <c r="X17281" s="9"/>
    </row>
    <row r="17282">
      <c r="D17282" s="9"/>
      <c r="G17282" s="9"/>
      <c r="J17282" s="11"/>
      <c r="U17282" s="9"/>
      <c r="X17282" s="9"/>
    </row>
    <row r="17283">
      <c r="D17283" s="9"/>
      <c r="G17283" s="9"/>
      <c r="J17283" s="11"/>
      <c r="U17283" s="9"/>
      <c r="X17283" s="9"/>
    </row>
    <row r="17284">
      <c r="D17284" s="9"/>
      <c r="G17284" s="9"/>
      <c r="J17284" s="11"/>
      <c r="U17284" s="9"/>
      <c r="X17284" s="9"/>
    </row>
    <row r="17285">
      <c r="D17285" s="9"/>
      <c r="G17285" s="9"/>
      <c r="J17285" s="11"/>
      <c r="U17285" s="9"/>
      <c r="X17285" s="9"/>
    </row>
    <row r="17286">
      <c r="D17286" s="9"/>
      <c r="G17286" s="9"/>
      <c r="J17286" s="11"/>
      <c r="U17286" s="9"/>
      <c r="X17286" s="9"/>
    </row>
    <row r="17287">
      <c r="D17287" s="9"/>
      <c r="G17287" s="9"/>
      <c r="J17287" s="11"/>
      <c r="U17287" s="9"/>
      <c r="X17287" s="9"/>
    </row>
    <row r="17288">
      <c r="D17288" s="9"/>
      <c r="G17288" s="9"/>
      <c r="J17288" s="11"/>
      <c r="U17288" s="9"/>
      <c r="X17288" s="9"/>
    </row>
    <row r="17289">
      <c r="D17289" s="9"/>
      <c r="G17289" s="9"/>
      <c r="J17289" s="11"/>
      <c r="U17289" s="9"/>
      <c r="X17289" s="9"/>
    </row>
    <row r="17290">
      <c r="D17290" s="9"/>
      <c r="G17290" s="9"/>
      <c r="J17290" s="11"/>
      <c r="U17290" s="9"/>
      <c r="X17290" s="9"/>
    </row>
    <row r="17291">
      <c r="D17291" s="9"/>
      <c r="G17291" s="9"/>
      <c r="J17291" s="11"/>
      <c r="U17291" s="9"/>
      <c r="X17291" s="9"/>
    </row>
    <row r="17292">
      <c r="D17292" s="9"/>
      <c r="G17292" s="9"/>
      <c r="J17292" s="11"/>
      <c r="U17292" s="9"/>
      <c r="X17292" s="9"/>
    </row>
    <row r="17293">
      <c r="D17293" s="9"/>
      <c r="G17293" s="9"/>
      <c r="J17293" s="11"/>
      <c r="U17293" s="9"/>
      <c r="X17293" s="9"/>
    </row>
    <row r="17294">
      <c r="D17294" s="9"/>
      <c r="G17294" s="9"/>
      <c r="J17294" s="11"/>
      <c r="U17294" s="9"/>
      <c r="X17294" s="9"/>
    </row>
    <row r="17295">
      <c r="D17295" s="9"/>
      <c r="G17295" s="9"/>
      <c r="J17295" s="11"/>
      <c r="U17295" s="9"/>
      <c r="X17295" s="9"/>
    </row>
    <row r="17296">
      <c r="D17296" s="9"/>
      <c r="G17296" s="9"/>
      <c r="J17296" s="11"/>
      <c r="U17296" s="9"/>
      <c r="X17296" s="9"/>
    </row>
    <row r="17297">
      <c r="D17297" s="9"/>
      <c r="G17297" s="9"/>
      <c r="J17297" s="11"/>
      <c r="U17297" s="9"/>
      <c r="X17297" s="9"/>
    </row>
    <row r="17298">
      <c r="D17298" s="9"/>
      <c r="G17298" s="9"/>
      <c r="J17298" s="11"/>
      <c r="U17298" s="9"/>
      <c r="X17298" s="9"/>
    </row>
    <row r="17299">
      <c r="D17299" s="9"/>
      <c r="G17299" s="9"/>
      <c r="J17299" s="11"/>
      <c r="U17299" s="9"/>
      <c r="X17299" s="9"/>
    </row>
    <row r="17300">
      <c r="D17300" s="9"/>
      <c r="G17300" s="9"/>
      <c r="J17300" s="11"/>
      <c r="U17300" s="9"/>
      <c r="X17300" s="9"/>
    </row>
    <row r="17301">
      <c r="D17301" s="9"/>
      <c r="G17301" s="9"/>
      <c r="J17301" s="11"/>
      <c r="U17301" s="9"/>
      <c r="X17301" s="9"/>
    </row>
    <row r="17302">
      <c r="D17302" s="9"/>
      <c r="G17302" s="9"/>
      <c r="J17302" s="11"/>
      <c r="U17302" s="9"/>
      <c r="X17302" s="9"/>
    </row>
    <row r="17303">
      <c r="D17303" s="9"/>
      <c r="G17303" s="9"/>
      <c r="J17303" s="11"/>
      <c r="U17303" s="9"/>
      <c r="X17303" s="9"/>
    </row>
    <row r="17304">
      <c r="D17304" s="9"/>
      <c r="G17304" s="9"/>
      <c r="J17304" s="11"/>
      <c r="U17304" s="9"/>
      <c r="X17304" s="9"/>
    </row>
    <row r="17305">
      <c r="D17305" s="9"/>
      <c r="G17305" s="9"/>
      <c r="J17305" s="11"/>
      <c r="U17305" s="9"/>
      <c r="X17305" s="9"/>
    </row>
    <row r="17306">
      <c r="D17306" s="9"/>
      <c r="G17306" s="9"/>
      <c r="J17306" s="11"/>
      <c r="U17306" s="9"/>
      <c r="X17306" s="9"/>
    </row>
    <row r="17307">
      <c r="D17307" s="9"/>
      <c r="G17307" s="9"/>
      <c r="J17307" s="11"/>
      <c r="U17307" s="9"/>
      <c r="X17307" s="9"/>
    </row>
    <row r="17308">
      <c r="D17308" s="9"/>
      <c r="G17308" s="9"/>
      <c r="J17308" s="11"/>
      <c r="U17308" s="9"/>
      <c r="X17308" s="9"/>
    </row>
    <row r="17309">
      <c r="D17309" s="9"/>
      <c r="G17309" s="9"/>
      <c r="J17309" s="11"/>
      <c r="U17309" s="9"/>
      <c r="X17309" s="9"/>
    </row>
    <row r="17310">
      <c r="D17310" s="9"/>
      <c r="G17310" s="9"/>
      <c r="J17310" s="11"/>
      <c r="U17310" s="9"/>
      <c r="X17310" s="9"/>
    </row>
    <row r="17311">
      <c r="D17311" s="9"/>
      <c r="G17311" s="9"/>
      <c r="J17311" s="11"/>
      <c r="U17311" s="9"/>
      <c r="X17311" s="9"/>
    </row>
    <row r="17312">
      <c r="D17312" s="9"/>
      <c r="G17312" s="9"/>
      <c r="J17312" s="11"/>
      <c r="U17312" s="9"/>
      <c r="X17312" s="9"/>
    </row>
    <row r="17313">
      <c r="D17313" s="9"/>
      <c r="G17313" s="9"/>
      <c r="J17313" s="11"/>
      <c r="U17313" s="9"/>
      <c r="X17313" s="9"/>
    </row>
    <row r="17314">
      <c r="D17314" s="9"/>
      <c r="G17314" s="9"/>
      <c r="J17314" s="11"/>
      <c r="U17314" s="9"/>
      <c r="X17314" s="9"/>
    </row>
    <row r="17315">
      <c r="D17315" s="9"/>
      <c r="G17315" s="9"/>
      <c r="J17315" s="11"/>
      <c r="U17315" s="9"/>
      <c r="X17315" s="9"/>
    </row>
    <row r="17316">
      <c r="D17316" s="9"/>
      <c r="G17316" s="9"/>
      <c r="J17316" s="11"/>
      <c r="U17316" s="9"/>
      <c r="X17316" s="9"/>
    </row>
    <row r="17317">
      <c r="D17317" s="9"/>
      <c r="G17317" s="9"/>
      <c r="J17317" s="11"/>
      <c r="U17317" s="9"/>
      <c r="X17317" s="9"/>
    </row>
    <row r="17318">
      <c r="D17318" s="9"/>
      <c r="G17318" s="9"/>
      <c r="J17318" s="11"/>
      <c r="U17318" s="9"/>
      <c r="X17318" s="9"/>
    </row>
    <row r="17319">
      <c r="D17319" s="9"/>
      <c r="G17319" s="9"/>
      <c r="J17319" s="11"/>
      <c r="U17319" s="9"/>
      <c r="X17319" s="9"/>
    </row>
    <row r="17320">
      <c r="D17320" s="9"/>
      <c r="G17320" s="9"/>
      <c r="J17320" s="11"/>
      <c r="U17320" s="9"/>
      <c r="X17320" s="9"/>
    </row>
    <row r="17321">
      <c r="D17321" s="9"/>
      <c r="G17321" s="9"/>
      <c r="J17321" s="11"/>
      <c r="U17321" s="9"/>
      <c r="X17321" s="9"/>
    </row>
    <row r="17322">
      <c r="D17322" s="9"/>
      <c r="G17322" s="9"/>
      <c r="J17322" s="11"/>
      <c r="U17322" s="9"/>
      <c r="X17322" s="9"/>
    </row>
    <row r="17323">
      <c r="D17323" s="9"/>
      <c r="G17323" s="9"/>
      <c r="J17323" s="11"/>
      <c r="U17323" s="9"/>
      <c r="X17323" s="9"/>
    </row>
    <row r="17324">
      <c r="D17324" s="9"/>
      <c r="G17324" s="9"/>
      <c r="J17324" s="11"/>
      <c r="U17324" s="9"/>
      <c r="X17324" s="9"/>
    </row>
    <row r="17325">
      <c r="D17325" s="9"/>
      <c r="G17325" s="9"/>
      <c r="J17325" s="11"/>
      <c r="U17325" s="9"/>
      <c r="X17325" s="9"/>
    </row>
    <row r="17326">
      <c r="D17326" s="9"/>
      <c r="G17326" s="9"/>
      <c r="J17326" s="11"/>
      <c r="U17326" s="9"/>
      <c r="X17326" s="9"/>
    </row>
    <row r="17327">
      <c r="D17327" s="9"/>
      <c r="G17327" s="9"/>
      <c r="J17327" s="11"/>
      <c r="U17327" s="9"/>
      <c r="X17327" s="9"/>
    </row>
    <row r="17328">
      <c r="D17328" s="9"/>
      <c r="G17328" s="9"/>
      <c r="J17328" s="11"/>
      <c r="U17328" s="9"/>
      <c r="X17328" s="9"/>
    </row>
    <row r="17329">
      <c r="D17329" s="9"/>
      <c r="G17329" s="9"/>
      <c r="J17329" s="11"/>
      <c r="U17329" s="9"/>
      <c r="X17329" s="9"/>
    </row>
    <row r="17330">
      <c r="D17330" s="9"/>
      <c r="G17330" s="9"/>
      <c r="J17330" s="11"/>
      <c r="U17330" s="9"/>
      <c r="X17330" s="9"/>
    </row>
    <row r="17331">
      <c r="D17331" s="9"/>
      <c r="G17331" s="9"/>
      <c r="J17331" s="11"/>
      <c r="U17331" s="9"/>
      <c r="X17331" s="9"/>
    </row>
    <row r="17332">
      <c r="D17332" s="9"/>
      <c r="G17332" s="9"/>
      <c r="J17332" s="11"/>
      <c r="U17332" s="9"/>
      <c r="X17332" s="9"/>
    </row>
    <row r="17333">
      <c r="D17333" s="9"/>
      <c r="G17333" s="9"/>
      <c r="J17333" s="11"/>
      <c r="U17333" s="9"/>
      <c r="X17333" s="9"/>
    </row>
    <row r="17334">
      <c r="D17334" s="9"/>
      <c r="G17334" s="9"/>
      <c r="J17334" s="11"/>
      <c r="U17334" s="9"/>
      <c r="X17334" s="9"/>
    </row>
    <row r="17335">
      <c r="D17335" s="9"/>
      <c r="G17335" s="9"/>
      <c r="J17335" s="11"/>
      <c r="U17335" s="9"/>
      <c r="X17335" s="9"/>
    </row>
    <row r="17336">
      <c r="D17336" s="9"/>
      <c r="G17336" s="9"/>
      <c r="J17336" s="11"/>
      <c r="U17336" s="9"/>
      <c r="X17336" s="9"/>
    </row>
    <row r="17337">
      <c r="D17337" s="9"/>
      <c r="G17337" s="9"/>
      <c r="J17337" s="11"/>
      <c r="U17337" s="9"/>
      <c r="X17337" s="9"/>
    </row>
    <row r="17338">
      <c r="D17338" s="9"/>
      <c r="G17338" s="9"/>
      <c r="J17338" s="11"/>
      <c r="U17338" s="9"/>
      <c r="X17338" s="9"/>
    </row>
    <row r="17339">
      <c r="D17339" s="9"/>
      <c r="G17339" s="9"/>
      <c r="J17339" s="11"/>
      <c r="U17339" s="9"/>
      <c r="X17339" s="9"/>
    </row>
    <row r="17340">
      <c r="D17340" s="9"/>
      <c r="G17340" s="9"/>
      <c r="J17340" s="11"/>
      <c r="U17340" s="9"/>
      <c r="X17340" s="9"/>
    </row>
    <row r="17341">
      <c r="D17341" s="9"/>
      <c r="G17341" s="9"/>
      <c r="J17341" s="11"/>
      <c r="U17341" s="9"/>
      <c r="X17341" s="9"/>
    </row>
    <row r="17342">
      <c r="D17342" s="9"/>
      <c r="G17342" s="9"/>
      <c r="J17342" s="11"/>
      <c r="U17342" s="9"/>
      <c r="X17342" s="9"/>
    </row>
    <row r="17343">
      <c r="D17343" s="9"/>
      <c r="G17343" s="9"/>
      <c r="J17343" s="11"/>
      <c r="U17343" s="9"/>
      <c r="X17343" s="9"/>
    </row>
    <row r="17344">
      <c r="D17344" s="9"/>
      <c r="G17344" s="9"/>
      <c r="J17344" s="11"/>
      <c r="U17344" s="9"/>
      <c r="X17344" s="9"/>
    </row>
    <row r="17345">
      <c r="D17345" s="9"/>
      <c r="G17345" s="9"/>
      <c r="J17345" s="11"/>
      <c r="U17345" s="9"/>
      <c r="X17345" s="9"/>
    </row>
    <row r="17346">
      <c r="D17346" s="9"/>
      <c r="G17346" s="9"/>
      <c r="J17346" s="11"/>
      <c r="U17346" s="9"/>
      <c r="X17346" s="9"/>
    </row>
    <row r="17347">
      <c r="D17347" s="9"/>
      <c r="G17347" s="9"/>
      <c r="J17347" s="11"/>
      <c r="U17347" s="9"/>
      <c r="X17347" s="9"/>
    </row>
    <row r="17348">
      <c r="D17348" s="9"/>
      <c r="G17348" s="9"/>
      <c r="J17348" s="11"/>
      <c r="U17348" s="9"/>
      <c r="X17348" s="9"/>
    </row>
    <row r="17349">
      <c r="D17349" s="9"/>
      <c r="G17349" s="9"/>
      <c r="J17349" s="11"/>
      <c r="U17349" s="9"/>
      <c r="X17349" s="9"/>
    </row>
    <row r="17350">
      <c r="D17350" s="9"/>
      <c r="G17350" s="9"/>
      <c r="J17350" s="11"/>
      <c r="U17350" s="9"/>
      <c r="X17350" s="9"/>
    </row>
    <row r="17351">
      <c r="D17351" s="9"/>
      <c r="G17351" s="9"/>
      <c r="J17351" s="11"/>
      <c r="U17351" s="9"/>
      <c r="X17351" s="9"/>
    </row>
    <row r="17352">
      <c r="D17352" s="9"/>
      <c r="G17352" s="9"/>
      <c r="J17352" s="11"/>
      <c r="U17352" s="9"/>
      <c r="X17352" s="9"/>
    </row>
    <row r="17353">
      <c r="D17353" s="9"/>
      <c r="G17353" s="9"/>
      <c r="J17353" s="11"/>
      <c r="U17353" s="9"/>
      <c r="X17353" s="9"/>
    </row>
    <row r="17354">
      <c r="D17354" s="9"/>
      <c r="G17354" s="9"/>
      <c r="J17354" s="11"/>
      <c r="U17354" s="9"/>
      <c r="X17354" s="9"/>
    </row>
    <row r="17355">
      <c r="D17355" s="9"/>
      <c r="G17355" s="9"/>
      <c r="J17355" s="11"/>
      <c r="U17355" s="9"/>
      <c r="X17355" s="9"/>
    </row>
    <row r="17356">
      <c r="D17356" s="9"/>
      <c r="G17356" s="9"/>
      <c r="J17356" s="11"/>
      <c r="U17356" s="9"/>
      <c r="X17356" s="9"/>
    </row>
    <row r="17357">
      <c r="D17357" s="9"/>
      <c r="G17357" s="9"/>
      <c r="J17357" s="11"/>
      <c r="U17357" s="9"/>
      <c r="X17357" s="9"/>
    </row>
    <row r="17358">
      <c r="D17358" s="9"/>
      <c r="G17358" s="9"/>
      <c r="J17358" s="11"/>
      <c r="U17358" s="9"/>
      <c r="X17358" s="9"/>
    </row>
    <row r="17359">
      <c r="D17359" s="9"/>
      <c r="G17359" s="9"/>
      <c r="J17359" s="11"/>
      <c r="U17359" s="9"/>
      <c r="X17359" s="9"/>
    </row>
    <row r="17360">
      <c r="D17360" s="9"/>
      <c r="G17360" s="9"/>
      <c r="J17360" s="11"/>
      <c r="U17360" s="9"/>
      <c r="X17360" s="9"/>
    </row>
    <row r="17361">
      <c r="D17361" s="9"/>
      <c r="G17361" s="9"/>
      <c r="J17361" s="11"/>
      <c r="U17361" s="9"/>
      <c r="X17361" s="9"/>
    </row>
    <row r="17362">
      <c r="D17362" s="9"/>
      <c r="G17362" s="9"/>
      <c r="J17362" s="11"/>
      <c r="U17362" s="9"/>
      <c r="X17362" s="9"/>
    </row>
    <row r="17363">
      <c r="D17363" s="9"/>
      <c r="G17363" s="9"/>
      <c r="J17363" s="11"/>
      <c r="U17363" s="9"/>
      <c r="X17363" s="9"/>
    </row>
    <row r="17364">
      <c r="D17364" s="9"/>
      <c r="G17364" s="9"/>
      <c r="J17364" s="11"/>
      <c r="U17364" s="9"/>
      <c r="X17364" s="9"/>
    </row>
    <row r="17365">
      <c r="D17365" s="9"/>
      <c r="G17365" s="9"/>
      <c r="J17365" s="11"/>
      <c r="U17365" s="9"/>
      <c r="X17365" s="9"/>
    </row>
    <row r="17366">
      <c r="D17366" s="9"/>
      <c r="G17366" s="9"/>
      <c r="J17366" s="11"/>
      <c r="U17366" s="9"/>
      <c r="X17366" s="9"/>
    </row>
    <row r="17367">
      <c r="D17367" s="9"/>
      <c r="G17367" s="9"/>
      <c r="J17367" s="11"/>
      <c r="U17367" s="9"/>
      <c r="X17367" s="9"/>
    </row>
    <row r="17368">
      <c r="D17368" s="9"/>
      <c r="G17368" s="9"/>
      <c r="J17368" s="11"/>
      <c r="U17368" s="9"/>
      <c r="X17368" s="9"/>
    </row>
    <row r="17369">
      <c r="D17369" s="9"/>
      <c r="G17369" s="9"/>
      <c r="J17369" s="11"/>
      <c r="U17369" s="9"/>
      <c r="X17369" s="9"/>
    </row>
    <row r="17370">
      <c r="D17370" s="9"/>
      <c r="G17370" s="9"/>
      <c r="J17370" s="11"/>
      <c r="U17370" s="9"/>
      <c r="X17370" s="9"/>
    </row>
    <row r="17371">
      <c r="D17371" s="9"/>
      <c r="G17371" s="9"/>
      <c r="J17371" s="11"/>
      <c r="U17371" s="9"/>
      <c r="X17371" s="9"/>
    </row>
    <row r="17372">
      <c r="D17372" s="9"/>
      <c r="G17372" s="9"/>
      <c r="J17372" s="11"/>
      <c r="U17372" s="9"/>
      <c r="X17372" s="9"/>
    </row>
    <row r="17373">
      <c r="D17373" s="9"/>
      <c r="G17373" s="9"/>
      <c r="J17373" s="11"/>
      <c r="U17373" s="9"/>
      <c r="X17373" s="9"/>
    </row>
    <row r="17374">
      <c r="D17374" s="9"/>
      <c r="G17374" s="9"/>
      <c r="J17374" s="11"/>
      <c r="U17374" s="9"/>
      <c r="X17374" s="9"/>
    </row>
    <row r="17375">
      <c r="D17375" s="9"/>
      <c r="G17375" s="9"/>
      <c r="J17375" s="11"/>
      <c r="U17375" s="9"/>
      <c r="X17375" s="9"/>
    </row>
    <row r="17376">
      <c r="D17376" s="9"/>
      <c r="G17376" s="9"/>
      <c r="J17376" s="11"/>
      <c r="U17376" s="9"/>
      <c r="X17376" s="9"/>
    </row>
    <row r="17377">
      <c r="D17377" s="9"/>
      <c r="G17377" s="9"/>
      <c r="J17377" s="11"/>
      <c r="U17377" s="9"/>
      <c r="X17377" s="9"/>
    </row>
    <row r="17378">
      <c r="D17378" s="9"/>
      <c r="G17378" s="9"/>
      <c r="J17378" s="11"/>
      <c r="U17378" s="9"/>
      <c r="X17378" s="9"/>
    </row>
    <row r="17379">
      <c r="D17379" s="9"/>
      <c r="G17379" s="9"/>
      <c r="J17379" s="11"/>
      <c r="U17379" s="9"/>
      <c r="X17379" s="9"/>
    </row>
    <row r="17380">
      <c r="D17380" s="9"/>
      <c r="G17380" s="9"/>
      <c r="J17380" s="11"/>
      <c r="U17380" s="9"/>
      <c r="X17380" s="9"/>
    </row>
    <row r="17381">
      <c r="D17381" s="9"/>
      <c r="G17381" s="9"/>
      <c r="J17381" s="11"/>
      <c r="U17381" s="9"/>
      <c r="X17381" s="9"/>
    </row>
    <row r="17382">
      <c r="D17382" s="9"/>
      <c r="G17382" s="9"/>
      <c r="J17382" s="11"/>
      <c r="U17382" s="9"/>
      <c r="X17382" s="9"/>
    </row>
    <row r="17383">
      <c r="D17383" s="9"/>
      <c r="G17383" s="9"/>
      <c r="J17383" s="11"/>
      <c r="U17383" s="9"/>
      <c r="X17383" s="9"/>
    </row>
    <row r="17384">
      <c r="D17384" s="9"/>
      <c r="G17384" s="9"/>
      <c r="J17384" s="11"/>
      <c r="U17384" s="9"/>
      <c r="X17384" s="9"/>
    </row>
    <row r="17385">
      <c r="D17385" s="9"/>
      <c r="G17385" s="9"/>
      <c r="J17385" s="11"/>
      <c r="U17385" s="9"/>
      <c r="X17385" s="9"/>
    </row>
    <row r="17386">
      <c r="D17386" s="9"/>
      <c r="G17386" s="9"/>
      <c r="J17386" s="11"/>
      <c r="U17386" s="9"/>
      <c r="X17386" s="9"/>
    </row>
    <row r="17387">
      <c r="D17387" s="9"/>
      <c r="G17387" s="9"/>
      <c r="J17387" s="11"/>
      <c r="U17387" s="9"/>
      <c r="X17387" s="9"/>
    </row>
    <row r="17388">
      <c r="D17388" s="9"/>
      <c r="G17388" s="9"/>
      <c r="J17388" s="11"/>
      <c r="U17388" s="9"/>
      <c r="X17388" s="9"/>
    </row>
    <row r="17389">
      <c r="D17389" s="9"/>
      <c r="G17389" s="9"/>
      <c r="J17389" s="11"/>
      <c r="U17389" s="9"/>
      <c r="X17389" s="9"/>
    </row>
    <row r="17390">
      <c r="D17390" s="9"/>
      <c r="G17390" s="9"/>
      <c r="J17390" s="11"/>
      <c r="U17390" s="9"/>
      <c r="X17390" s="9"/>
    </row>
    <row r="17391">
      <c r="D17391" s="9"/>
      <c r="G17391" s="9"/>
      <c r="J17391" s="11"/>
      <c r="U17391" s="9"/>
      <c r="X17391" s="9"/>
    </row>
    <row r="17392">
      <c r="D17392" s="9"/>
      <c r="G17392" s="9"/>
      <c r="J17392" s="11"/>
      <c r="U17392" s="9"/>
      <c r="X17392" s="9"/>
    </row>
    <row r="17393">
      <c r="D17393" s="9"/>
      <c r="G17393" s="9"/>
      <c r="J17393" s="11"/>
      <c r="U17393" s="9"/>
      <c r="X17393" s="9"/>
    </row>
    <row r="17394">
      <c r="D17394" s="9"/>
      <c r="G17394" s="9"/>
      <c r="J17394" s="11"/>
      <c r="U17394" s="9"/>
      <c r="X17394" s="9"/>
    </row>
    <row r="17395">
      <c r="D17395" s="9"/>
      <c r="G17395" s="9"/>
      <c r="J17395" s="11"/>
      <c r="U17395" s="9"/>
      <c r="X17395" s="9"/>
    </row>
    <row r="17396">
      <c r="D17396" s="9"/>
      <c r="G17396" s="9"/>
      <c r="J17396" s="11"/>
      <c r="U17396" s="9"/>
      <c r="X17396" s="9"/>
    </row>
    <row r="17397">
      <c r="D17397" s="9"/>
      <c r="G17397" s="9"/>
      <c r="J17397" s="11"/>
      <c r="U17397" s="9"/>
      <c r="X17397" s="9"/>
    </row>
    <row r="17398">
      <c r="D17398" s="9"/>
      <c r="G17398" s="9"/>
      <c r="J17398" s="11"/>
      <c r="U17398" s="9"/>
      <c r="X17398" s="9"/>
    </row>
    <row r="17399">
      <c r="D17399" s="9"/>
      <c r="G17399" s="9"/>
      <c r="J17399" s="11"/>
      <c r="U17399" s="9"/>
      <c r="X17399" s="9"/>
    </row>
    <row r="17400">
      <c r="D17400" s="9"/>
      <c r="G17400" s="9"/>
      <c r="J17400" s="11"/>
      <c r="U17400" s="9"/>
      <c r="X17400" s="9"/>
    </row>
    <row r="17401">
      <c r="D17401" s="9"/>
      <c r="G17401" s="9"/>
      <c r="J17401" s="11"/>
      <c r="U17401" s="9"/>
      <c r="X17401" s="9"/>
    </row>
    <row r="17402">
      <c r="D17402" s="9"/>
      <c r="G17402" s="9"/>
      <c r="J17402" s="11"/>
      <c r="U17402" s="9"/>
      <c r="X17402" s="9"/>
    </row>
    <row r="17403">
      <c r="D17403" s="9"/>
      <c r="G17403" s="9"/>
      <c r="J17403" s="11"/>
      <c r="U17403" s="9"/>
      <c r="X17403" s="9"/>
    </row>
    <row r="17404">
      <c r="D17404" s="9"/>
      <c r="G17404" s="9"/>
      <c r="J17404" s="11"/>
      <c r="U17404" s="9"/>
      <c r="X17404" s="9"/>
    </row>
    <row r="17405">
      <c r="D17405" s="9"/>
      <c r="G17405" s="9"/>
      <c r="J17405" s="11"/>
      <c r="U17405" s="9"/>
      <c r="X17405" s="9"/>
    </row>
    <row r="17406">
      <c r="D17406" s="9"/>
      <c r="G17406" s="9"/>
      <c r="J17406" s="11"/>
      <c r="U17406" s="9"/>
      <c r="X17406" s="9"/>
    </row>
    <row r="17407">
      <c r="D17407" s="9"/>
      <c r="G17407" s="9"/>
      <c r="J17407" s="11"/>
      <c r="U17407" s="9"/>
      <c r="X17407" s="9"/>
    </row>
    <row r="17408">
      <c r="D17408" s="9"/>
      <c r="G17408" s="9"/>
      <c r="J17408" s="11"/>
      <c r="U17408" s="9"/>
      <c r="X17408" s="9"/>
    </row>
    <row r="17409">
      <c r="D17409" s="9"/>
      <c r="G17409" s="9"/>
      <c r="J17409" s="11"/>
      <c r="U17409" s="9"/>
      <c r="X17409" s="9"/>
    </row>
    <row r="17410">
      <c r="D17410" s="9"/>
      <c r="G17410" s="9"/>
      <c r="J17410" s="11"/>
      <c r="U17410" s="9"/>
      <c r="X17410" s="9"/>
    </row>
    <row r="17411">
      <c r="D17411" s="9"/>
      <c r="G17411" s="9"/>
      <c r="J17411" s="11"/>
      <c r="U17411" s="9"/>
      <c r="X17411" s="9"/>
    </row>
    <row r="17412">
      <c r="D17412" s="9"/>
      <c r="G17412" s="9"/>
      <c r="J17412" s="11"/>
      <c r="U17412" s="9"/>
      <c r="X17412" s="9"/>
    </row>
    <row r="17413">
      <c r="D17413" s="9"/>
      <c r="G17413" s="9"/>
      <c r="J17413" s="11"/>
      <c r="U17413" s="9"/>
      <c r="X17413" s="9"/>
    </row>
    <row r="17414">
      <c r="D17414" s="9"/>
      <c r="G17414" s="9"/>
      <c r="J17414" s="11"/>
      <c r="U17414" s="9"/>
      <c r="X17414" s="9"/>
    </row>
    <row r="17415">
      <c r="D17415" s="9"/>
      <c r="G17415" s="9"/>
      <c r="J17415" s="11"/>
      <c r="U17415" s="9"/>
      <c r="X17415" s="9"/>
    </row>
    <row r="17416">
      <c r="D17416" s="9"/>
      <c r="G17416" s="9"/>
      <c r="J17416" s="11"/>
      <c r="U17416" s="9"/>
      <c r="X17416" s="9"/>
    </row>
    <row r="17417">
      <c r="D17417" s="9"/>
      <c r="G17417" s="9"/>
      <c r="J17417" s="11"/>
      <c r="U17417" s="9"/>
      <c r="X17417" s="9"/>
    </row>
    <row r="17418">
      <c r="D17418" s="9"/>
      <c r="G17418" s="9"/>
      <c r="J17418" s="11"/>
      <c r="U17418" s="9"/>
      <c r="X17418" s="9"/>
    </row>
    <row r="17419">
      <c r="D17419" s="9"/>
      <c r="G17419" s="9"/>
      <c r="J17419" s="11"/>
      <c r="U17419" s="9"/>
      <c r="X17419" s="9"/>
    </row>
    <row r="17420">
      <c r="D17420" s="9"/>
      <c r="G17420" s="9"/>
      <c r="J17420" s="11"/>
      <c r="U17420" s="9"/>
      <c r="X17420" s="9"/>
    </row>
    <row r="17421">
      <c r="D17421" s="9"/>
      <c r="G17421" s="9"/>
      <c r="J17421" s="11"/>
      <c r="U17421" s="9"/>
      <c r="X17421" s="9"/>
    </row>
    <row r="17422">
      <c r="D17422" s="9"/>
      <c r="G17422" s="9"/>
      <c r="J17422" s="11"/>
      <c r="U17422" s="9"/>
      <c r="X17422" s="9"/>
    </row>
    <row r="17423">
      <c r="D17423" s="9"/>
      <c r="G17423" s="9"/>
      <c r="J17423" s="11"/>
      <c r="U17423" s="9"/>
      <c r="X17423" s="9"/>
    </row>
    <row r="17424">
      <c r="D17424" s="9"/>
      <c r="G17424" s="9"/>
      <c r="J17424" s="11"/>
      <c r="U17424" s="9"/>
      <c r="X17424" s="9"/>
    </row>
    <row r="17425">
      <c r="D17425" s="9"/>
      <c r="G17425" s="9"/>
      <c r="J17425" s="11"/>
      <c r="U17425" s="9"/>
      <c r="X17425" s="9"/>
    </row>
    <row r="17426">
      <c r="D17426" s="9"/>
      <c r="G17426" s="9"/>
      <c r="J17426" s="11"/>
      <c r="U17426" s="9"/>
      <c r="X17426" s="9"/>
    </row>
    <row r="17427">
      <c r="D17427" s="9"/>
      <c r="G17427" s="9"/>
      <c r="J17427" s="11"/>
      <c r="U17427" s="9"/>
      <c r="X17427" s="9"/>
    </row>
    <row r="17428">
      <c r="D17428" s="9"/>
      <c r="G17428" s="9"/>
      <c r="J17428" s="11"/>
      <c r="U17428" s="9"/>
      <c r="X17428" s="9"/>
    </row>
    <row r="17429">
      <c r="D17429" s="9"/>
      <c r="G17429" s="9"/>
      <c r="J17429" s="11"/>
      <c r="U17429" s="9"/>
      <c r="X17429" s="9"/>
    </row>
    <row r="17430">
      <c r="D17430" s="9"/>
      <c r="G17430" s="9"/>
      <c r="J17430" s="11"/>
      <c r="U17430" s="9"/>
      <c r="X17430" s="9"/>
    </row>
    <row r="17431">
      <c r="D17431" s="9"/>
      <c r="G17431" s="9"/>
      <c r="J17431" s="11"/>
      <c r="U17431" s="9"/>
      <c r="X17431" s="9"/>
    </row>
    <row r="17432">
      <c r="D17432" s="9"/>
      <c r="G17432" s="9"/>
      <c r="J17432" s="11"/>
      <c r="U17432" s="9"/>
      <c r="X17432" s="9"/>
    </row>
    <row r="17433">
      <c r="D17433" s="9"/>
      <c r="G17433" s="9"/>
      <c r="J17433" s="11"/>
      <c r="U17433" s="9"/>
      <c r="X17433" s="9"/>
    </row>
    <row r="17434">
      <c r="D17434" s="9"/>
      <c r="G17434" s="9"/>
      <c r="J17434" s="11"/>
      <c r="U17434" s="9"/>
      <c r="X17434" s="9"/>
    </row>
    <row r="17435">
      <c r="D17435" s="9"/>
      <c r="G17435" s="9"/>
      <c r="J17435" s="11"/>
      <c r="U17435" s="9"/>
      <c r="X17435" s="9"/>
    </row>
    <row r="17436">
      <c r="D17436" s="9"/>
      <c r="G17436" s="9"/>
      <c r="J17436" s="11"/>
      <c r="U17436" s="9"/>
      <c r="X17436" s="9"/>
    </row>
    <row r="17437">
      <c r="D17437" s="9"/>
      <c r="G17437" s="9"/>
      <c r="J17437" s="11"/>
      <c r="U17437" s="9"/>
      <c r="X17437" s="9"/>
    </row>
    <row r="17438">
      <c r="D17438" s="9"/>
      <c r="G17438" s="9"/>
      <c r="J17438" s="11"/>
      <c r="U17438" s="9"/>
      <c r="X17438" s="9"/>
    </row>
    <row r="17439">
      <c r="D17439" s="9"/>
      <c r="G17439" s="9"/>
      <c r="J17439" s="11"/>
      <c r="U17439" s="9"/>
      <c r="X17439" s="9"/>
    </row>
    <row r="17440">
      <c r="D17440" s="9"/>
      <c r="G17440" s="9"/>
      <c r="J17440" s="11"/>
      <c r="U17440" s="9"/>
      <c r="X17440" s="9"/>
    </row>
    <row r="17441">
      <c r="D17441" s="9"/>
      <c r="G17441" s="9"/>
      <c r="J17441" s="11"/>
      <c r="U17441" s="9"/>
      <c r="X17441" s="9"/>
    </row>
    <row r="17442">
      <c r="D17442" s="9"/>
      <c r="G17442" s="9"/>
      <c r="J17442" s="11"/>
      <c r="U17442" s="9"/>
      <c r="X17442" s="9"/>
    </row>
    <row r="17443">
      <c r="D17443" s="9"/>
      <c r="G17443" s="9"/>
      <c r="J17443" s="11"/>
      <c r="U17443" s="9"/>
      <c r="X17443" s="9"/>
    </row>
    <row r="17444">
      <c r="D17444" s="9"/>
      <c r="G17444" s="9"/>
      <c r="J17444" s="11"/>
      <c r="U17444" s="9"/>
      <c r="X17444" s="9"/>
    </row>
    <row r="17445">
      <c r="D17445" s="9"/>
      <c r="G17445" s="9"/>
      <c r="J17445" s="11"/>
      <c r="U17445" s="9"/>
      <c r="X17445" s="9"/>
    </row>
    <row r="17446">
      <c r="D17446" s="9"/>
      <c r="G17446" s="9"/>
      <c r="J17446" s="11"/>
      <c r="U17446" s="9"/>
      <c r="X17446" s="9"/>
    </row>
    <row r="17447">
      <c r="D17447" s="9"/>
      <c r="G17447" s="9"/>
      <c r="J17447" s="11"/>
      <c r="U17447" s="9"/>
      <c r="X17447" s="9"/>
    </row>
    <row r="17448">
      <c r="D17448" s="9"/>
      <c r="G17448" s="9"/>
      <c r="J17448" s="11"/>
      <c r="U17448" s="9"/>
      <c r="X17448" s="9"/>
    </row>
    <row r="17449">
      <c r="D17449" s="9"/>
      <c r="G17449" s="9"/>
      <c r="J17449" s="11"/>
      <c r="U17449" s="9"/>
      <c r="X17449" s="9"/>
    </row>
    <row r="17450">
      <c r="D17450" s="9"/>
      <c r="G17450" s="9"/>
      <c r="J17450" s="11"/>
      <c r="U17450" s="9"/>
      <c r="X17450" s="9"/>
    </row>
    <row r="17451">
      <c r="D17451" s="9"/>
      <c r="G17451" s="9"/>
      <c r="J17451" s="11"/>
      <c r="U17451" s="9"/>
      <c r="X17451" s="9"/>
    </row>
    <row r="17452">
      <c r="D17452" s="9"/>
      <c r="G17452" s="9"/>
      <c r="J17452" s="11"/>
      <c r="U17452" s="9"/>
      <c r="X17452" s="9"/>
    </row>
    <row r="17453">
      <c r="D17453" s="9"/>
      <c r="G17453" s="9"/>
      <c r="J17453" s="11"/>
      <c r="U17453" s="9"/>
      <c r="X17453" s="9"/>
    </row>
    <row r="17454">
      <c r="D17454" s="9"/>
      <c r="G17454" s="9"/>
      <c r="J17454" s="11"/>
      <c r="U17454" s="9"/>
      <c r="X17454" s="9"/>
    </row>
    <row r="17455">
      <c r="D17455" s="9"/>
      <c r="G17455" s="9"/>
      <c r="J17455" s="11"/>
      <c r="U17455" s="9"/>
      <c r="X17455" s="9"/>
    </row>
    <row r="17456">
      <c r="D17456" s="9"/>
      <c r="G17456" s="9"/>
      <c r="J17456" s="11"/>
      <c r="U17456" s="9"/>
      <c r="X17456" s="9"/>
    </row>
    <row r="17457">
      <c r="D17457" s="9"/>
      <c r="G17457" s="9"/>
      <c r="J17457" s="11"/>
      <c r="U17457" s="9"/>
      <c r="X17457" s="9"/>
    </row>
    <row r="17458">
      <c r="D17458" s="9"/>
      <c r="G17458" s="9"/>
      <c r="J17458" s="11"/>
      <c r="U17458" s="9"/>
      <c r="X17458" s="9"/>
    </row>
    <row r="17459">
      <c r="D17459" s="9"/>
      <c r="G17459" s="9"/>
      <c r="J17459" s="11"/>
      <c r="U17459" s="9"/>
      <c r="X17459" s="9"/>
    </row>
    <row r="17460">
      <c r="D17460" s="9"/>
      <c r="G17460" s="9"/>
      <c r="J17460" s="11"/>
      <c r="U17460" s="9"/>
      <c r="X17460" s="9"/>
    </row>
    <row r="17461">
      <c r="D17461" s="9"/>
      <c r="G17461" s="9"/>
      <c r="J17461" s="11"/>
      <c r="U17461" s="9"/>
      <c r="X17461" s="9"/>
    </row>
    <row r="17462">
      <c r="D17462" s="9"/>
      <c r="G17462" s="9"/>
      <c r="J17462" s="11"/>
      <c r="U17462" s="9"/>
      <c r="X17462" s="9"/>
    </row>
    <row r="17463">
      <c r="D17463" s="9"/>
      <c r="G17463" s="9"/>
      <c r="J17463" s="11"/>
      <c r="U17463" s="9"/>
      <c r="X17463" s="9"/>
    </row>
    <row r="17464">
      <c r="D17464" s="9"/>
      <c r="G17464" s="9"/>
      <c r="J17464" s="11"/>
      <c r="U17464" s="9"/>
      <c r="X17464" s="9"/>
    </row>
    <row r="17465">
      <c r="D17465" s="9"/>
      <c r="G17465" s="9"/>
      <c r="J17465" s="11"/>
      <c r="U17465" s="9"/>
      <c r="X17465" s="9"/>
    </row>
    <row r="17466">
      <c r="D17466" s="9"/>
      <c r="G17466" s="9"/>
      <c r="J17466" s="11"/>
      <c r="U17466" s="9"/>
      <c r="X17466" s="9"/>
    </row>
    <row r="17467">
      <c r="D17467" s="9"/>
      <c r="G17467" s="9"/>
      <c r="J17467" s="11"/>
      <c r="U17467" s="9"/>
      <c r="X17467" s="9"/>
    </row>
    <row r="17468">
      <c r="D17468" s="9"/>
      <c r="G17468" s="9"/>
      <c r="J17468" s="11"/>
      <c r="U17468" s="9"/>
      <c r="X17468" s="9"/>
    </row>
    <row r="17469">
      <c r="D17469" s="9"/>
      <c r="G17469" s="9"/>
      <c r="J17469" s="11"/>
      <c r="U17469" s="9"/>
      <c r="X17469" s="9"/>
    </row>
    <row r="17470">
      <c r="D17470" s="9"/>
      <c r="G17470" s="9"/>
      <c r="J17470" s="11"/>
      <c r="U17470" s="9"/>
      <c r="X17470" s="9"/>
    </row>
    <row r="17471">
      <c r="D17471" s="9"/>
      <c r="G17471" s="9"/>
      <c r="J17471" s="11"/>
      <c r="U17471" s="9"/>
      <c r="X17471" s="9"/>
    </row>
    <row r="17472">
      <c r="D17472" s="9"/>
      <c r="G17472" s="9"/>
      <c r="J17472" s="11"/>
      <c r="U17472" s="9"/>
      <c r="X17472" s="9"/>
    </row>
    <row r="17473">
      <c r="D17473" s="9"/>
      <c r="G17473" s="9"/>
      <c r="J17473" s="11"/>
      <c r="U17473" s="9"/>
      <c r="X17473" s="9"/>
    </row>
    <row r="17474">
      <c r="D17474" s="9"/>
      <c r="G17474" s="9"/>
      <c r="J17474" s="11"/>
      <c r="U17474" s="9"/>
      <c r="X17474" s="9"/>
    </row>
    <row r="17475">
      <c r="D17475" s="9"/>
      <c r="G17475" s="9"/>
      <c r="J17475" s="11"/>
      <c r="U17475" s="9"/>
      <c r="X17475" s="9"/>
    </row>
    <row r="17476">
      <c r="D17476" s="9"/>
      <c r="G17476" s="9"/>
      <c r="J17476" s="11"/>
      <c r="U17476" s="9"/>
      <c r="X17476" s="9"/>
    </row>
    <row r="17477">
      <c r="D17477" s="9"/>
      <c r="G17477" s="9"/>
      <c r="J17477" s="11"/>
      <c r="U17477" s="9"/>
      <c r="X17477" s="9"/>
    </row>
    <row r="17478">
      <c r="D17478" s="9"/>
      <c r="G17478" s="9"/>
      <c r="J17478" s="11"/>
      <c r="U17478" s="9"/>
      <c r="X17478" s="9"/>
    </row>
    <row r="17479">
      <c r="D17479" s="9"/>
      <c r="G17479" s="9"/>
      <c r="J17479" s="11"/>
      <c r="U17479" s="9"/>
      <c r="X17479" s="9"/>
    </row>
    <row r="17480">
      <c r="D17480" s="9"/>
      <c r="G17480" s="9"/>
      <c r="J17480" s="11"/>
      <c r="U17480" s="9"/>
      <c r="X17480" s="9"/>
    </row>
    <row r="17481">
      <c r="D17481" s="9"/>
      <c r="G17481" s="9"/>
      <c r="J17481" s="11"/>
      <c r="U17481" s="9"/>
      <c r="X17481" s="9"/>
    </row>
    <row r="17482">
      <c r="D17482" s="9"/>
      <c r="G17482" s="9"/>
      <c r="J17482" s="11"/>
      <c r="U17482" s="9"/>
      <c r="X17482" s="9"/>
    </row>
    <row r="17483">
      <c r="D17483" s="9"/>
      <c r="G17483" s="9"/>
      <c r="J17483" s="11"/>
      <c r="U17483" s="9"/>
      <c r="X17483" s="9"/>
    </row>
    <row r="17484">
      <c r="D17484" s="9"/>
      <c r="G17484" s="9"/>
      <c r="J17484" s="11"/>
      <c r="U17484" s="9"/>
      <c r="X17484" s="9"/>
    </row>
    <row r="17485">
      <c r="D17485" s="9"/>
      <c r="G17485" s="9"/>
      <c r="J17485" s="11"/>
      <c r="U17485" s="9"/>
      <c r="X17485" s="9"/>
    </row>
    <row r="17486">
      <c r="D17486" s="9"/>
      <c r="G17486" s="9"/>
      <c r="J17486" s="11"/>
      <c r="U17486" s="9"/>
      <c r="X17486" s="9"/>
    </row>
    <row r="17487">
      <c r="D17487" s="9"/>
      <c r="G17487" s="9"/>
      <c r="J17487" s="11"/>
      <c r="U17487" s="9"/>
      <c r="X17487" s="9"/>
    </row>
    <row r="17488">
      <c r="D17488" s="9"/>
      <c r="G17488" s="9"/>
      <c r="J17488" s="11"/>
      <c r="U17488" s="9"/>
      <c r="X17488" s="9"/>
    </row>
    <row r="17489">
      <c r="D17489" s="9"/>
      <c r="G17489" s="9"/>
      <c r="J17489" s="11"/>
      <c r="U17489" s="9"/>
      <c r="X17489" s="9"/>
    </row>
    <row r="17490">
      <c r="D17490" s="9"/>
      <c r="G17490" s="9"/>
      <c r="J17490" s="11"/>
      <c r="U17490" s="9"/>
      <c r="X17490" s="9"/>
    </row>
    <row r="17491">
      <c r="D17491" s="9"/>
      <c r="G17491" s="9"/>
      <c r="J17491" s="11"/>
      <c r="U17491" s="9"/>
      <c r="X17491" s="9"/>
    </row>
    <row r="17492">
      <c r="D17492" s="9"/>
      <c r="G17492" s="9"/>
      <c r="J17492" s="11"/>
      <c r="U17492" s="9"/>
      <c r="X17492" s="9"/>
    </row>
    <row r="17493">
      <c r="D17493" s="9"/>
      <c r="G17493" s="9"/>
      <c r="J17493" s="11"/>
      <c r="U17493" s="9"/>
      <c r="X17493" s="9"/>
    </row>
    <row r="17494">
      <c r="D17494" s="9"/>
      <c r="G17494" s="9"/>
      <c r="J17494" s="11"/>
      <c r="U17494" s="9"/>
      <c r="X17494" s="9"/>
    </row>
    <row r="17495">
      <c r="D17495" s="9"/>
      <c r="G17495" s="9"/>
      <c r="J17495" s="11"/>
      <c r="U17495" s="9"/>
      <c r="X17495" s="9"/>
    </row>
    <row r="17496">
      <c r="D17496" s="9"/>
      <c r="G17496" s="9"/>
      <c r="J17496" s="11"/>
      <c r="U17496" s="9"/>
      <c r="X17496" s="9"/>
    </row>
    <row r="17497">
      <c r="D17497" s="9"/>
      <c r="G17497" s="9"/>
      <c r="J17497" s="11"/>
      <c r="U17497" s="9"/>
      <c r="X17497" s="9"/>
    </row>
    <row r="17498">
      <c r="D17498" s="9"/>
      <c r="G17498" s="9"/>
      <c r="J17498" s="11"/>
      <c r="U17498" s="9"/>
      <c r="X17498" s="9"/>
    </row>
    <row r="17499">
      <c r="D17499" s="9"/>
      <c r="G17499" s="9"/>
      <c r="J17499" s="11"/>
      <c r="U17499" s="9"/>
      <c r="X17499" s="9"/>
    </row>
    <row r="17500">
      <c r="D17500" s="9"/>
      <c r="G17500" s="9"/>
      <c r="J17500" s="11"/>
      <c r="U17500" s="9"/>
      <c r="X17500" s="9"/>
    </row>
    <row r="17501">
      <c r="D17501" s="9"/>
      <c r="G17501" s="9"/>
      <c r="J17501" s="11"/>
      <c r="U17501" s="9"/>
      <c r="X17501" s="9"/>
    </row>
    <row r="17502">
      <c r="D17502" s="9"/>
      <c r="G17502" s="9"/>
      <c r="J17502" s="11"/>
      <c r="U17502" s="9"/>
      <c r="X17502" s="9"/>
    </row>
    <row r="17503">
      <c r="D17503" s="9"/>
      <c r="G17503" s="9"/>
      <c r="J17503" s="11"/>
      <c r="U17503" s="9"/>
      <c r="X17503" s="9"/>
    </row>
    <row r="17504">
      <c r="D17504" s="9"/>
      <c r="G17504" s="9"/>
      <c r="J17504" s="11"/>
      <c r="U17504" s="9"/>
      <c r="X17504" s="9"/>
    </row>
    <row r="17505">
      <c r="D17505" s="9"/>
      <c r="G17505" s="9"/>
      <c r="J17505" s="11"/>
      <c r="U17505" s="9"/>
      <c r="X17505" s="9"/>
    </row>
    <row r="17506">
      <c r="D17506" s="9"/>
      <c r="G17506" s="9"/>
      <c r="J17506" s="11"/>
      <c r="U17506" s="9"/>
      <c r="X17506" s="9"/>
    </row>
    <row r="17507">
      <c r="D17507" s="9"/>
      <c r="G17507" s="9"/>
      <c r="J17507" s="11"/>
      <c r="U17507" s="9"/>
      <c r="X17507" s="9"/>
    </row>
    <row r="17508">
      <c r="D17508" s="9"/>
      <c r="G17508" s="9"/>
      <c r="J17508" s="11"/>
      <c r="U17508" s="9"/>
      <c r="X17508" s="9"/>
    </row>
    <row r="17509">
      <c r="D17509" s="9"/>
      <c r="G17509" s="9"/>
      <c r="J17509" s="11"/>
      <c r="U17509" s="9"/>
      <c r="X17509" s="9"/>
    </row>
    <row r="17510">
      <c r="D17510" s="9"/>
      <c r="G17510" s="9"/>
      <c r="J17510" s="11"/>
      <c r="U17510" s="9"/>
      <c r="X17510" s="9"/>
    </row>
    <row r="17511">
      <c r="D17511" s="9"/>
      <c r="G17511" s="9"/>
      <c r="J17511" s="11"/>
      <c r="U17511" s="9"/>
      <c r="X17511" s="9"/>
    </row>
    <row r="17512">
      <c r="D17512" s="9"/>
      <c r="G17512" s="9"/>
      <c r="J17512" s="11"/>
      <c r="U17512" s="9"/>
      <c r="X17512" s="9"/>
    </row>
    <row r="17513">
      <c r="D17513" s="9"/>
      <c r="G17513" s="9"/>
      <c r="J17513" s="11"/>
      <c r="U17513" s="9"/>
      <c r="X17513" s="9"/>
    </row>
    <row r="17514">
      <c r="D17514" s="9"/>
      <c r="G17514" s="9"/>
      <c r="J17514" s="11"/>
      <c r="U17514" s="9"/>
      <c r="X17514" s="9"/>
    </row>
    <row r="17515">
      <c r="D17515" s="9"/>
      <c r="G17515" s="9"/>
      <c r="J17515" s="11"/>
      <c r="U17515" s="9"/>
      <c r="X17515" s="9"/>
    </row>
    <row r="17516">
      <c r="D17516" s="9"/>
      <c r="G17516" s="9"/>
      <c r="J17516" s="11"/>
      <c r="U17516" s="9"/>
      <c r="X17516" s="9"/>
    </row>
    <row r="17517">
      <c r="D17517" s="9"/>
      <c r="G17517" s="9"/>
      <c r="J17517" s="11"/>
      <c r="U17517" s="9"/>
      <c r="X17517" s="9"/>
    </row>
    <row r="17518">
      <c r="D17518" s="9"/>
      <c r="G17518" s="9"/>
      <c r="J17518" s="11"/>
      <c r="U17518" s="9"/>
      <c r="X17518" s="9"/>
    </row>
    <row r="17519">
      <c r="D17519" s="9"/>
      <c r="G17519" s="9"/>
      <c r="J17519" s="11"/>
      <c r="U17519" s="9"/>
      <c r="X17519" s="9"/>
    </row>
    <row r="17520">
      <c r="D17520" s="9"/>
      <c r="G17520" s="9"/>
      <c r="J17520" s="11"/>
      <c r="U17520" s="9"/>
      <c r="X17520" s="9"/>
    </row>
    <row r="17521">
      <c r="D17521" s="9"/>
      <c r="G17521" s="9"/>
      <c r="J17521" s="11"/>
      <c r="U17521" s="9"/>
      <c r="X17521" s="9"/>
    </row>
    <row r="17522">
      <c r="D17522" s="9"/>
      <c r="G17522" s="9"/>
      <c r="J17522" s="11"/>
      <c r="U17522" s="9"/>
      <c r="X17522" s="9"/>
    </row>
    <row r="17523">
      <c r="D17523" s="9"/>
      <c r="G17523" s="9"/>
      <c r="J17523" s="11"/>
      <c r="U17523" s="9"/>
      <c r="X17523" s="9"/>
    </row>
    <row r="17524">
      <c r="D17524" s="9"/>
      <c r="G17524" s="9"/>
      <c r="J17524" s="11"/>
      <c r="U17524" s="9"/>
      <c r="X17524" s="9"/>
    </row>
    <row r="17525">
      <c r="D17525" s="9"/>
      <c r="G17525" s="9"/>
      <c r="J17525" s="11"/>
      <c r="U17525" s="9"/>
      <c r="X17525" s="9"/>
    </row>
    <row r="17526">
      <c r="D17526" s="9"/>
      <c r="G17526" s="9"/>
      <c r="J17526" s="11"/>
      <c r="U17526" s="9"/>
      <c r="X17526" s="9"/>
    </row>
    <row r="17527">
      <c r="D17527" s="9"/>
      <c r="G17527" s="9"/>
      <c r="J17527" s="11"/>
      <c r="U17527" s="9"/>
      <c r="X17527" s="9"/>
    </row>
    <row r="17528">
      <c r="D17528" s="9"/>
      <c r="G17528" s="9"/>
      <c r="J17528" s="11"/>
      <c r="U17528" s="9"/>
      <c r="X17528" s="9"/>
    </row>
    <row r="17529">
      <c r="D17529" s="9"/>
      <c r="G17529" s="9"/>
      <c r="J17529" s="11"/>
      <c r="U17529" s="9"/>
      <c r="X17529" s="9"/>
    </row>
    <row r="17530">
      <c r="D17530" s="9"/>
      <c r="G17530" s="9"/>
      <c r="J17530" s="11"/>
      <c r="U17530" s="9"/>
      <c r="X17530" s="9"/>
    </row>
    <row r="17531">
      <c r="D17531" s="9"/>
      <c r="G17531" s="9"/>
      <c r="J17531" s="11"/>
      <c r="U17531" s="9"/>
      <c r="X17531" s="9"/>
    </row>
    <row r="17532">
      <c r="D17532" s="9"/>
      <c r="G17532" s="9"/>
      <c r="J17532" s="11"/>
      <c r="U17532" s="9"/>
      <c r="X17532" s="9"/>
    </row>
    <row r="17533">
      <c r="D17533" s="9"/>
      <c r="G17533" s="9"/>
      <c r="J17533" s="11"/>
      <c r="U17533" s="9"/>
      <c r="X17533" s="9"/>
    </row>
    <row r="17534">
      <c r="D17534" s="9"/>
      <c r="G17534" s="9"/>
      <c r="J17534" s="11"/>
      <c r="U17534" s="9"/>
      <c r="X17534" s="9"/>
    </row>
    <row r="17535">
      <c r="D17535" s="9"/>
      <c r="G17535" s="9"/>
      <c r="J17535" s="11"/>
      <c r="U17535" s="9"/>
      <c r="X17535" s="9"/>
    </row>
    <row r="17536">
      <c r="D17536" s="9"/>
      <c r="G17536" s="9"/>
      <c r="J17536" s="11"/>
      <c r="U17536" s="9"/>
      <c r="X17536" s="9"/>
    </row>
    <row r="17537">
      <c r="D17537" s="9"/>
      <c r="G17537" s="9"/>
      <c r="J17537" s="11"/>
      <c r="U17537" s="9"/>
      <c r="X17537" s="9"/>
    </row>
    <row r="17538">
      <c r="D17538" s="9"/>
      <c r="G17538" s="9"/>
      <c r="J17538" s="11"/>
      <c r="U17538" s="9"/>
      <c r="X17538" s="9"/>
    </row>
    <row r="17539">
      <c r="D17539" s="9"/>
      <c r="G17539" s="9"/>
      <c r="J17539" s="11"/>
      <c r="U17539" s="9"/>
      <c r="X17539" s="9"/>
    </row>
    <row r="17540">
      <c r="D17540" s="9"/>
      <c r="G17540" s="9"/>
      <c r="J17540" s="11"/>
      <c r="U17540" s="9"/>
      <c r="X17540" s="9"/>
    </row>
    <row r="17541">
      <c r="D17541" s="9"/>
      <c r="G17541" s="9"/>
      <c r="J17541" s="11"/>
      <c r="U17541" s="9"/>
      <c r="X17541" s="9"/>
    </row>
    <row r="17542">
      <c r="D17542" s="9"/>
      <c r="G17542" s="9"/>
      <c r="J17542" s="11"/>
      <c r="U17542" s="9"/>
      <c r="X17542" s="9"/>
    </row>
    <row r="17543">
      <c r="D17543" s="9"/>
      <c r="G17543" s="9"/>
      <c r="J17543" s="11"/>
      <c r="U17543" s="9"/>
      <c r="X17543" s="9"/>
    </row>
    <row r="17544">
      <c r="D17544" s="9"/>
      <c r="G17544" s="9"/>
      <c r="J17544" s="11"/>
      <c r="U17544" s="9"/>
      <c r="X17544" s="9"/>
    </row>
    <row r="17545">
      <c r="D17545" s="9"/>
      <c r="G17545" s="9"/>
      <c r="J17545" s="11"/>
      <c r="U17545" s="9"/>
      <c r="X17545" s="9"/>
    </row>
    <row r="17546">
      <c r="D17546" s="9"/>
      <c r="G17546" s="9"/>
      <c r="J17546" s="11"/>
      <c r="U17546" s="9"/>
      <c r="X17546" s="9"/>
    </row>
    <row r="17547">
      <c r="D17547" s="9"/>
      <c r="G17547" s="9"/>
      <c r="J17547" s="11"/>
      <c r="U17547" s="9"/>
      <c r="X17547" s="9"/>
    </row>
    <row r="17548">
      <c r="D17548" s="9"/>
      <c r="G17548" s="9"/>
      <c r="J17548" s="11"/>
      <c r="U17548" s="9"/>
      <c r="X17548" s="9"/>
    </row>
    <row r="17549">
      <c r="D17549" s="9"/>
      <c r="G17549" s="9"/>
      <c r="J17549" s="11"/>
      <c r="U17549" s="9"/>
      <c r="X17549" s="9"/>
    </row>
    <row r="17550">
      <c r="D17550" s="9"/>
      <c r="G17550" s="9"/>
      <c r="J17550" s="11"/>
      <c r="U17550" s="9"/>
      <c r="X17550" s="9"/>
    </row>
    <row r="17551">
      <c r="D17551" s="9"/>
      <c r="G17551" s="9"/>
      <c r="J17551" s="11"/>
      <c r="U17551" s="9"/>
      <c r="X17551" s="9"/>
    </row>
    <row r="17552">
      <c r="D17552" s="9"/>
      <c r="G17552" s="9"/>
      <c r="J17552" s="11"/>
      <c r="U17552" s="9"/>
      <c r="X17552" s="9"/>
    </row>
    <row r="17553">
      <c r="D17553" s="9"/>
      <c r="G17553" s="9"/>
      <c r="J17553" s="11"/>
      <c r="U17553" s="9"/>
      <c r="X17553" s="9"/>
    </row>
    <row r="17554">
      <c r="D17554" s="9"/>
      <c r="G17554" s="9"/>
      <c r="J17554" s="11"/>
      <c r="U17554" s="9"/>
      <c r="X17554" s="9"/>
    </row>
    <row r="17555">
      <c r="D17555" s="9"/>
      <c r="G17555" s="9"/>
      <c r="J17555" s="11"/>
      <c r="U17555" s="9"/>
      <c r="X17555" s="9"/>
    </row>
    <row r="17556">
      <c r="D17556" s="9"/>
      <c r="G17556" s="9"/>
      <c r="J17556" s="11"/>
      <c r="U17556" s="9"/>
      <c r="X17556" s="9"/>
    </row>
    <row r="17557">
      <c r="D17557" s="9"/>
      <c r="G17557" s="9"/>
      <c r="J17557" s="11"/>
      <c r="U17557" s="9"/>
      <c r="X17557" s="9"/>
    </row>
    <row r="17558">
      <c r="D17558" s="9"/>
      <c r="G17558" s="9"/>
      <c r="J17558" s="11"/>
      <c r="U17558" s="9"/>
      <c r="X17558" s="9"/>
    </row>
    <row r="17559">
      <c r="D17559" s="9"/>
      <c r="G17559" s="9"/>
      <c r="J17559" s="11"/>
      <c r="U17559" s="9"/>
      <c r="X17559" s="9"/>
    </row>
    <row r="17560">
      <c r="D17560" s="9"/>
      <c r="G17560" s="9"/>
      <c r="J17560" s="11"/>
      <c r="U17560" s="9"/>
      <c r="X17560" s="9"/>
    </row>
    <row r="17561">
      <c r="D17561" s="9"/>
      <c r="G17561" s="9"/>
      <c r="J17561" s="11"/>
      <c r="U17561" s="9"/>
      <c r="X17561" s="9"/>
    </row>
    <row r="17562">
      <c r="D17562" s="9"/>
      <c r="G17562" s="9"/>
      <c r="J17562" s="11"/>
      <c r="U17562" s="9"/>
      <c r="X17562" s="9"/>
    </row>
    <row r="17563">
      <c r="D17563" s="9"/>
      <c r="G17563" s="9"/>
      <c r="J17563" s="11"/>
      <c r="U17563" s="9"/>
      <c r="X17563" s="9"/>
    </row>
    <row r="17564">
      <c r="D17564" s="9"/>
      <c r="G17564" s="9"/>
      <c r="J17564" s="11"/>
      <c r="U17564" s="9"/>
      <c r="X17564" s="9"/>
    </row>
    <row r="17565">
      <c r="D17565" s="9"/>
      <c r="G17565" s="9"/>
      <c r="J17565" s="11"/>
      <c r="U17565" s="9"/>
      <c r="X17565" s="9"/>
    </row>
    <row r="17566">
      <c r="D17566" s="9"/>
      <c r="G17566" s="9"/>
      <c r="J17566" s="11"/>
      <c r="U17566" s="9"/>
      <c r="X17566" s="9"/>
    </row>
    <row r="17567">
      <c r="D17567" s="9"/>
      <c r="G17567" s="9"/>
      <c r="J17567" s="11"/>
      <c r="U17567" s="9"/>
      <c r="X17567" s="9"/>
    </row>
    <row r="17568">
      <c r="D17568" s="9"/>
      <c r="G17568" s="9"/>
      <c r="J17568" s="11"/>
      <c r="U17568" s="9"/>
      <c r="X17568" s="9"/>
    </row>
    <row r="17569">
      <c r="D17569" s="9"/>
      <c r="G17569" s="9"/>
      <c r="J17569" s="11"/>
      <c r="U17569" s="9"/>
      <c r="X17569" s="9"/>
    </row>
    <row r="17570">
      <c r="D17570" s="9"/>
      <c r="G17570" s="9"/>
      <c r="J17570" s="11"/>
      <c r="U17570" s="9"/>
      <c r="X17570" s="9"/>
    </row>
    <row r="17571">
      <c r="D17571" s="9"/>
      <c r="G17571" s="9"/>
      <c r="J17571" s="11"/>
      <c r="U17571" s="9"/>
      <c r="X17571" s="9"/>
    </row>
    <row r="17572">
      <c r="D17572" s="9"/>
      <c r="G17572" s="9"/>
      <c r="J17572" s="11"/>
      <c r="U17572" s="9"/>
      <c r="X17572" s="9"/>
    </row>
    <row r="17573">
      <c r="D17573" s="9"/>
      <c r="G17573" s="9"/>
      <c r="J17573" s="11"/>
      <c r="U17573" s="9"/>
      <c r="X17573" s="9"/>
    </row>
    <row r="17574">
      <c r="D17574" s="9"/>
      <c r="G17574" s="9"/>
      <c r="J17574" s="11"/>
      <c r="U17574" s="9"/>
      <c r="X17574" s="9"/>
    </row>
    <row r="17575">
      <c r="D17575" s="9"/>
      <c r="G17575" s="9"/>
      <c r="J17575" s="11"/>
      <c r="U17575" s="9"/>
      <c r="X17575" s="9"/>
    </row>
    <row r="17576">
      <c r="D17576" s="9"/>
      <c r="G17576" s="9"/>
      <c r="J17576" s="11"/>
      <c r="U17576" s="9"/>
      <c r="X17576" s="9"/>
    </row>
    <row r="17577">
      <c r="D17577" s="9"/>
      <c r="G17577" s="9"/>
      <c r="J17577" s="11"/>
      <c r="U17577" s="9"/>
      <c r="X17577" s="9"/>
    </row>
    <row r="17578">
      <c r="D17578" s="9"/>
      <c r="G17578" s="9"/>
      <c r="J17578" s="11"/>
      <c r="U17578" s="9"/>
      <c r="X17578" s="9"/>
    </row>
    <row r="17579">
      <c r="D17579" s="9"/>
      <c r="G17579" s="9"/>
      <c r="J17579" s="11"/>
      <c r="U17579" s="9"/>
      <c r="X17579" s="9"/>
    </row>
    <row r="17580">
      <c r="D17580" s="9"/>
      <c r="G17580" s="9"/>
      <c r="J17580" s="11"/>
      <c r="U17580" s="9"/>
      <c r="X17580" s="9"/>
    </row>
    <row r="17581">
      <c r="D17581" s="9"/>
      <c r="G17581" s="9"/>
      <c r="J17581" s="11"/>
      <c r="U17581" s="9"/>
      <c r="X17581" s="9"/>
    </row>
    <row r="17582">
      <c r="D17582" s="9"/>
      <c r="G17582" s="9"/>
      <c r="J17582" s="11"/>
      <c r="U17582" s="9"/>
      <c r="X17582" s="9"/>
    </row>
    <row r="17583">
      <c r="D17583" s="9"/>
      <c r="G17583" s="9"/>
      <c r="J17583" s="11"/>
      <c r="U17583" s="9"/>
      <c r="X17583" s="9"/>
    </row>
    <row r="17584">
      <c r="D17584" s="9"/>
      <c r="G17584" s="9"/>
      <c r="J17584" s="11"/>
      <c r="U17584" s="9"/>
      <c r="X17584" s="9"/>
    </row>
    <row r="17585">
      <c r="D17585" s="9"/>
      <c r="G17585" s="9"/>
      <c r="J17585" s="11"/>
      <c r="U17585" s="9"/>
      <c r="X17585" s="9"/>
    </row>
    <row r="17586">
      <c r="D17586" s="9"/>
      <c r="G17586" s="9"/>
      <c r="J17586" s="11"/>
      <c r="U17586" s="9"/>
      <c r="X17586" s="9"/>
    </row>
    <row r="17587">
      <c r="D17587" s="9"/>
      <c r="G17587" s="9"/>
      <c r="J17587" s="11"/>
      <c r="U17587" s="9"/>
      <c r="X17587" s="9"/>
    </row>
    <row r="17588">
      <c r="D17588" s="9"/>
      <c r="G17588" s="9"/>
      <c r="J17588" s="11"/>
      <c r="U17588" s="9"/>
      <c r="X17588" s="9"/>
    </row>
    <row r="17589">
      <c r="D17589" s="9"/>
      <c r="G17589" s="9"/>
      <c r="J17589" s="11"/>
      <c r="U17589" s="9"/>
      <c r="X17589" s="9"/>
    </row>
    <row r="17590">
      <c r="D17590" s="9"/>
      <c r="G17590" s="9"/>
      <c r="J17590" s="11"/>
      <c r="U17590" s="9"/>
      <c r="X17590" s="9"/>
    </row>
    <row r="17591">
      <c r="D17591" s="9"/>
      <c r="G17591" s="9"/>
      <c r="J17591" s="11"/>
      <c r="U17591" s="9"/>
      <c r="X17591" s="9"/>
    </row>
    <row r="17592">
      <c r="D17592" s="9"/>
      <c r="G17592" s="9"/>
      <c r="J17592" s="11"/>
      <c r="U17592" s="9"/>
      <c r="X17592" s="9"/>
    </row>
    <row r="17593">
      <c r="D17593" s="9"/>
      <c r="G17593" s="9"/>
      <c r="J17593" s="11"/>
      <c r="U17593" s="9"/>
      <c r="X17593" s="9"/>
    </row>
    <row r="17594">
      <c r="D17594" s="9"/>
      <c r="G17594" s="9"/>
      <c r="J17594" s="11"/>
      <c r="U17594" s="9"/>
      <c r="X17594" s="9"/>
    </row>
    <row r="17595">
      <c r="D17595" s="9"/>
      <c r="G17595" s="9"/>
      <c r="J17595" s="11"/>
      <c r="U17595" s="9"/>
      <c r="X17595" s="9"/>
    </row>
    <row r="17596">
      <c r="D17596" s="9"/>
      <c r="G17596" s="9"/>
      <c r="J17596" s="11"/>
      <c r="U17596" s="9"/>
      <c r="X17596" s="9"/>
    </row>
    <row r="17597">
      <c r="D17597" s="9"/>
      <c r="G17597" s="9"/>
      <c r="J17597" s="11"/>
      <c r="U17597" s="9"/>
      <c r="X17597" s="9"/>
    </row>
    <row r="17598">
      <c r="D17598" s="9"/>
      <c r="G17598" s="9"/>
      <c r="J17598" s="11"/>
      <c r="U17598" s="9"/>
      <c r="X17598" s="9"/>
    </row>
    <row r="17599">
      <c r="D17599" s="9"/>
      <c r="G17599" s="9"/>
      <c r="J17599" s="11"/>
      <c r="U17599" s="9"/>
      <c r="X17599" s="9"/>
    </row>
    <row r="17600">
      <c r="D17600" s="9"/>
      <c r="G17600" s="9"/>
      <c r="J17600" s="11"/>
      <c r="U17600" s="9"/>
      <c r="X17600" s="9"/>
    </row>
    <row r="17601">
      <c r="D17601" s="9"/>
      <c r="G17601" s="9"/>
      <c r="J17601" s="11"/>
      <c r="U17601" s="9"/>
      <c r="X17601" s="9"/>
    </row>
    <row r="17602">
      <c r="D17602" s="9"/>
      <c r="G17602" s="9"/>
      <c r="J17602" s="11"/>
      <c r="U17602" s="9"/>
      <c r="X17602" s="9"/>
    </row>
    <row r="17603">
      <c r="D17603" s="9"/>
      <c r="G17603" s="9"/>
      <c r="J17603" s="11"/>
      <c r="U17603" s="9"/>
      <c r="X17603" s="9"/>
    </row>
    <row r="17604">
      <c r="D17604" s="9"/>
      <c r="G17604" s="9"/>
      <c r="J17604" s="11"/>
      <c r="U17604" s="9"/>
      <c r="X17604" s="9"/>
    </row>
    <row r="17605">
      <c r="D17605" s="9"/>
      <c r="G17605" s="9"/>
      <c r="J17605" s="11"/>
      <c r="U17605" s="9"/>
      <c r="X17605" s="9"/>
    </row>
    <row r="17606">
      <c r="D17606" s="9"/>
      <c r="G17606" s="9"/>
      <c r="J17606" s="11"/>
      <c r="U17606" s="9"/>
      <c r="X17606" s="9"/>
    </row>
    <row r="17607">
      <c r="D17607" s="9"/>
      <c r="G17607" s="9"/>
      <c r="J17607" s="11"/>
      <c r="U17607" s="9"/>
      <c r="X17607" s="9"/>
    </row>
    <row r="17608">
      <c r="D17608" s="9"/>
      <c r="G17608" s="9"/>
      <c r="J17608" s="11"/>
      <c r="U17608" s="9"/>
      <c r="X17608" s="9"/>
    </row>
    <row r="17609">
      <c r="D17609" s="9"/>
      <c r="G17609" s="9"/>
      <c r="J17609" s="11"/>
      <c r="U17609" s="9"/>
      <c r="X17609" s="9"/>
    </row>
    <row r="17610">
      <c r="D17610" s="9"/>
      <c r="G17610" s="9"/>
      <c r="J17610" s="11"/>
      <c r="U17610" s="9"/>
      <c r="X17610" s="9"/>
    </row>
    <row r="17611">
      <c r="D17611" s="9"/>
      <c r="G17611" s="9"/>
      <c r="J17611" s="11"/>
      <c r="U17611" s="9"/>
      <c r="X17611" s="9"/>
    </row>
    <row r="17612">
      <c r="D17612" s="9"/>
      <c r="G17612" s="9"/>
      <c r="J17612" s="11"/>
      <c r="U17612" s="9"/>
      <c r="X17612" s="9"/>
    </row>
    <row r="17613">
      <c r="D17613" s="9"/>
      <c r="G17613" s="9"/>
      <c r="J17613" s="11"/>
      <c r="U17613" s="9"/>
      <c r="X17613" s="9"/>
    </row>
    <row r="17614">
      <c r="D17614" s="9"/>
      <c r="G17614" s="9"/>
      <c r="J17614" s="11"/>
      <c r="U17614" s="9"/>
      <c r="X17614" s="9"/>
    </row>
    <row r="17615">
      <c r="D17615" s="9"/>
      <c r="G17615" s="9"/>
      <c r="J17615" s="11"/>
      <c r="U17615" s="9"/>
      <c r="X17615" s="9"/>
    </row>
    <row r="17616">
      <c r="D17616" s="9"/>
      <c r="G17616" s="9"/>
      <c r="J17616" s="11"/>
      <c r="U17616" s="9"/>
      <c r="X17616" s="9"/>
    </row>
    <row r="17617">
      <c r="D17617" s="9"/>
      <c r="G17617" s="9"/>
      <c r="J17617" s="11"/>
      <c r="U17617" s="9"/>
      <c r="X17617" s="9"/>
    </row>
    <row r="17618">
      <c r="D17618" s="9"/>
      <c r="G17618" s="9"/>
      <c r="J17618" s="11"/>
      <c r="U17618" s="9"/>
      <c r="X17618" s="9"/>
    </row>
    <row r="17619">
      <c r="D17619" s="9"/>
      <c r="G17619" s="9"/>
      <c r="J17619" s="11"/>
      <c r="U17619" s="9"/>
      <c r="X17619" s="9"/>
    </row>
    <row r="17620">
      <c r="D17620" s="9"/>
      <c r="G17620" s="9"/>
      <c r="J17620" s="11"/>
      <c r="U17620" s="9"/>
      <c r="X17620" s="9"/>
    </row>
    <row r="17621">
      <c r="D17621" s="9"/>
      <c r="G17621" s="9"/>
      <c r="J17621" s="11"/>
      <c r="U17621" s="9"/>
      <c r="X17621" s="9"/>
    </row>
    <row r="17622">
      <c r="D17622" s="9"/>
      <c r="G17622" s="9"/>
      <c r="J17622" s="11"/>
      <c r="U17622" s="9"/>
      <c r="X17622" s="9"/>
    </row>
    <row r="17623">
      <c r="D17623" s="9"/>
      <c r="G17623" s="9"/>
      <c r="J17623" s="11"/>
      <c r="U17623" s="9"/>
      <c r="X17623" s="9"/>
    </row>
    <row r="17624">
      <c r="D17624" s="9"/>
      <c r="G17624" s="9"/>
      <c r="J17624" s="11"/>
      <c r="U17624" s="9"/>
      <c r="X17624" s="9"/>
    </row>
    <row r="17625">
      <c r="D17625" s="9"/>
      <c r="G17625" s="9"/>
      <c r="J17625" s="11"/>
      <c r="U17625" s="9"/>
      <c r="X17625" s="9"/>
    </row>
    <row r="17626">
      <c r="D17626" s="9"/>
      <c r="G17626" s="9"/>
      <c r="J17626" s="11"/>
      <c r="U17626" s="9"/>
      <c r="X17626" s="9"/>
    </row>
    <row r="17627">
      <c r="D17627" s="9"/>
      <c r="G17627" s="9"/>
      <c r="J17627" s="11"/>
      <c r="U17627" s="9"/>
      <c r="X17627" s="9"/>
    </row>
    <row r="17628">
      <c r="D17628" s="9"/>
      <c r="G17628" s="9"/>
      <c r="J17628" s="11"/>
      <c r="U17628" s="9"/>
      <c r="X17628" s="9"/>
    </row>
    <row r="17629">
      <c r="D17629" s="9"/>
      <c r="G17629" s="9"/>
      <c r="J17629" s="11"/>
      <c r="U17629" s="9"/>
      <c r="X17629" s="9"/>
    </row>
    <row r="17630">
      <c r="D17630" s="9"/>
      <c r="G17630" s="9"/>
      <c r="J17630" s="11"/>
      <c r="U17630" s="9"/>
      <c r="X17630" s="9"/>
    </row>
    <row r="17631">
      <c r="D17631" s="9"/>
      <c r="G17631" s="9"/>
      <c r="J17631" s="11"/>
      <c r="U17631" s="9"/>
      <c r="X17631" s="9"/>
    </row>
    <row r="17632">
      <c r="D17632" s="9"/>
      <c r="G17632" s="9"/>
      <c r="J17632" s="11"/>
      <c r="U17632" s="9"/>
      <c r="X17632" s="9"/>
    </row>
    <row r="17633">
      <c r="D17633" s="9"/>
      <c r="G17633" s="9"/>
      <c r="J17633" s="11"/>
      <c r="U17633" s="9"/>
      <c r="X17633" s="9"/>
    </row>
    <row r="17634">
      <c r="D17634" s="9"/>
      <c r="G17634" s="9"/>
      <c r="J17634" s="11"/>
      <c r="U17634" s="9"/>
      <c r="X17634" s="9"/>
    </row>
    <row r="17635">
      <c r="D17635" s="9"/>
      <c r="G17635" s="9"/>
      <c r="J17635" s="11"/>
      <c r="U17635" s="9"/>
      <c r="X17635" s="9"/>
    </row>
    <row r="17636">
      <c r="D17636" s="9"/>
      <c r="G17636" s="9"/>
      <c r="J17636" s="11"/>
      <c r="U17636" s="9"/>
      <c r="X17636" s="9"/>
    </row>
    <row r="17637">
      <c r="D17637" s="9"/>
      <c r="G17637" s="9"/>
      <c r="J17637" s="11"/>
      <c r="U17637" s="9"/>
      <c r="X17637" s="9"/>
    </row>
    <row r="17638">
      <c r="D17638" s="9"/>
      <c r="G17638" s="9"/>
      <c r="J17638" s="11"/>
      <c r="U17638" s="9"/>
      <c r="X17638" s="9"/>
    </row>
    <row r="17639">
      <c r="D17639" s="9"/>
      <c r="G17639" s="9"/>
      <c r="J17639" s="11"/>
      <c r="U17639" s="9"/>
      <c r="X17639" s="9"/>
    </row>
    <row r="17640">
      <c r="D17640" s="9"/>
      <c r="G17640" s="9"/>
      <c r="J17640" s="11"/>
      <c r="U17640" s="9"/>
      <c r="X17640" s="9"/>
    </row>
    <row r="17641">
      <c r="D17641" s="9"/>
      <c r="G17641" s="9"/>
      <c r="J17641" s="11"/>
      <c r="U17641" s="9"/>
      <c r="X17641" s="9"/>
    </row>
    <row r="17642">
      <c r="D17642" s="9"/>
      <c r="G17642" s="9"/>
      <c r="J17642" s="11"/>
      <c r="U17642" s="9"/>
      <c r="X17642" s="9"/>
    </row>
    <row r="17643">
      <c r="D17643" s="9"/>
      <c r="G17643" s="9"/>
      <c r="J17643" s="11"/>
      <c r="U17643" s="9"/>
      <c r="X17643" s="9"/>
    </row>
    <row r="17644">
      <c r="D17644" s="9"/>
      <c r="G17644" s="9"/>
      <c r="J17644" s="11"/>
      <c r="U17644" s="9"/>
      <c r="X17644" s="9"/>
    </row>
    <row r="17645">
      <c r="D17645" s="9"/>
      <c r="G17645" s="9"/>
      <c r="J17645" s="11"/>
      <c r="U17645" s="9"/>
      <c r="X17645" s="9"/>
    </row>
    <row r="17646">
      <c r="D17646" s="9"/>
      <c r="G17646" s="9"/>
      <c r="J17646" s="11"/>
      <c r="U17646" s="9"/>
      <c r="X17646" s="9"/>
    </row>
    <row r="17647">
      <c r="D17647" s="9"/>
      <c r="G17647" s="9"/>
      <c r="J17647" s="11"/>
      <c r="U17647" s="9"/>
      <c r="X17647" s="9"/>
    </row>
    <row r="17648">
      <c r="D17648" s="9"/>
      <c r="G17648" s="9"/>
      <c r="J17648" s="11"/>
      <c r="U17648" s="9"/>
      <c r="X17648" s="9"/>
    </row>
    <row r="17649">
      <c r="D17649" s="9"/>
      <c r="G17649" s="9"/>
      <c r="J17649" s="11"/>
      <c r="U17649" s="9"/>
      <c r="X17649" s="9"/>
    </row>
    <row r="17650">
      <c r="D17650" s="9"/>
      <c r="G17650" s="9"/>
      <c r="J17650" s="11"/>
      <c r="U17650" s="9"/>
      <c r="X17650" s="9"/>
    </row>
    <row r="17651">
      <c r="D17651" s="9"/>
      <c r="G17651" s="9"/>
      <c r="J17651" s="11"/>
      <c r="U17651" s="9"/>
      <c r="X17651" s="9"/>
    </row>
    <row r="17652">
      <c r="D17652" s="9"/>
      <c r="G17652" s="9"/>
      <c r="J17652" s="11"/>
      <c r="U17652" s="9"/>
      <c r="X17652" s="9"/>
    </row>
    <row r="17653">
      <c r="D17653" s="9"/>
      <c r="G17653" s="9"/>
      <c r="J17653" s="11"/>
      <c r="U17653" s="9"/>
      <c r="X17653" s="9"/>
    </row>
    <row r="17654">
      <c r="D17654" s="9"/>
      <c r="G17654" s="9"/>
      <c r="J17654" s="11"/>
      <c r="U17654" s="9"/>
      <c r="X17654" s="9"/>
    </row>
    <row r="17655">
      <c r="D17655" s="9"/>
      <c r="G17655" s="9"/>
      <c r="J17655" s="11"/>
      <c r="U17655" s="9"/>
      <c r="X17655" s="9"/>
    </row>
    <row r="17656">
      <c r="D17656" s="9"/>
      <c r="G17656" s="9"/>
      <c r="J17656" s="11"/>
      <c r="U17656" s="9"/>
      <c r="X17656" s="9"/>
    </row>
    <row r="17657">
      <c r="D17657" s="9"/>
      <c r="G17657" s="9"/>
      <c r="J17657" s="11"/>
      <c r="U17657" s="9"/>
      <c r="X17657" s="9"/>
    </row>
    <row r="17658">
      <c r="D17658" s="9"/>
      <c r="G17658" s="9"/>
      <c r="J17658" s="11"/>
      <c r="U17658" s="9"/>
      <c r="X17658" s="9"/>
    </row>
    <row r="17659">
      <c r="D17659" s="9"/>
      <c r="G17659" s="9"/>
      <c r="J17659" s="11"/>
      <c r="U17659" s="9"/>
      <c r="X17659" s="9"/>
    </row>
    <row r="17660">
      <c r="D17660" s="9"/>
      <c r="G17660" s="9"/>
      <c r="J17660" s="11"/>
      <c r="U17660" s="9"/>
      <c r="X17660" s="9"/>
    </row>
    <row r="17661">
      <c r="D17661" s="9"/>
      <c r="G17661" s="9"/>
      <c r="J17661" s="11"/>
      <c r="U17661" s="9"/>
      <c r="X17661" s="9"/>
    </row>
    <row r="17662">
      <c r="D17662" s="9"/>
      <c r="G17662" s="9"/>
      <c r="J17662" s="11"/>
      <c r="U17662" s="9"/>
      <c r="X17662" s="9"/>
    </row>
    <row r="17663">
      <c r="D17663" s="9"/>
      <c r="G17663" s="9"/>
      <c r="J17663" s="11"/>
      <c r="U17663" s="9"/>
      <c r="X17663" s="9"/>
    </row>
    <row r="17664">
      <c r="D17664" s="9"/>
      <c r="G17664" s="9"/>
      <c r="J17664" s="11"/>
      <c r="U17664" s="9"/>
      <c r="X17664" s="9"/>
    </row>
    <row r="17665">
      <c r="D17665" s="9"/>
      <c r="G17665" s="9"/>
      <c r="J17665" s="11"/>
      <c r="U17665" s="9"/>
      <c r="X17665" s="9"/>
    </row>
    <row r="17666">
      <c r="D17666" s="9"/>
      <c r="G17666" s="9"/>
      <c r="J17666" s="11"/>
      <c r="U17666" s="9"/>
      <c r="X17666" s="9"/>
    </row>
    <row r="17667">
      <c r="D17667" s="9"/>
      <c r="G17667" s="9"/>
      <c r="J17667" s="11"/>
      <c r="U17667" s="9"/>
      <c r="X17667" s="9"/>
    </row>
    <row r="17668">
      <c r="D17668" s="9"/>
      <c r="G17668" s="9"/>
      <c r="J17668" s="11"/>
      <c r="U17668" s="9"/>
      <c r="X17668" s="9"/>
    </row>
    <row r="17669">
      <c r="D17669" s="9"/>
      <c r="G17669" s="9"/>
      <c r="J17669" s="11"/>
      <c r="U17669" s="9"/>
      <c r="X17669" s="9"/>
    </row>
    <row r="17670">
      <c r="D17670" s="9"/>
      <c r="G17670" s="9"/>
      <c r="J17670" s="11"/>
      <c r="U17670" s="9"/>
      <c r="X17670" s="9"/>
    </row>
    <row r="17671">
      <c r="D17671" s="9"/>
      <c r="G17671" s="9"/>
      <c r="J17671" s="11"/>
      <c r="U17671" s="9"/>
      <c r="X17671" s="9"/>
    </row>
    <row r="17672">
      <c r="D17672" s="9"/>
      <c r="G17672" s="9"/>
      <c r="J17672" s="11"/>
      <c r="U17672" s="9"/>
      <c r="X17672" s="9"/>
    </row>
    <row r="17673">
      <c r="D17673" s="9"/>
      <c r="G17673" s="9"/>
      <c r="J17673" s="11"/>
      <c r="U17673" s="9"/>
      <c r="X17673" s="9"/>
    </row>
    <row r="17674">
      <c r="D17674" s="9"/>
      <c r="G17674" s="9"/>
      <c r="J17674" s="11"/>
      <c r="U17674" s="9"/>
      <c r="X17674" s="9"/>
    </row>
    <row r="17675">
      <c r="D17675" s="9"/>
      <c r="G17675" s="9"/>
      <c r="J17675" s="11"/>
      <c r="U17675" s="9"/>
      <c r="X17675" s="9"/>
    </row>
    <row r="17676">
      <c r="D17676" s="9"/>
      <c r="G17676" s="9"/>
      <c r="J17676" s="11"/>
      <c r="U17676" s="9"/>
      <c r="X17676" s="9"/>
    </row>
    <row r="17677">
      <c r="D17677" s="9"/>
      <c r="G17677" s="9"/>
      <c r="J17677" s="11"/>
      <c r="U17677" s="9"/>
      <c r="X17677" s="9"/>
    </row>
    <row r="17678">
      <c r="D17678" s="9"/>
      <c r="G17678" s="9"/>
      <c r="J17678" s="11"/>
      <c r="U17678" s="9"/>
      <c r="X17678" s="9"/>
    </row>
    <row r="17679">
      <c r="D17679" s="9"/>
      <c r="G17679" s="9"/>
      <c r="J17679" s="11"/>
      <c r="U17679" s="9"/>
      <c r="X17679" s="9"/>
    </row>
    <row r="17680">
      <c r="D17680" s="9"/>
      <c r="G17680" s="9"/>
      <c r="J17680" s="11"/>
      <c r="U17680" s="9"/>
      <c r="X17680" s="9"/>
    </row>
    <row r="17681">
      <c r="D17681" s="9"/>
      <c r="G17681" s="9"/>
      <c r="J17681" s="11"/>
      <c r="U17681" s="9"/>
      <c r="X17681" s="9"/>
    </row>
    <row r="17682">
      <c r="D17682" s="9"/>
      <c r="G17682" s="9"/>
      <c r="J17682" s="11"/>
      <c r="U17682" s="9"/>
      <c r="X17682" s="9"/>
    </row>
    <row r="17683">
      <c r="D17683" s="9"/>
      <c r="G17683" s="9"/>
      <c r="J17683" s="11"/>
      <c r="U17683" s="9"/>
      <c r="X17683" s="9"/>
    </row>
    <row r="17684">
      <c r="D17684" s="9"/>
      <c r="G17684" s="9"/>
      <c r="J17684" s="11"/>
      <c r="U17684" s="9"/>
      <c r="X17684" s="9"/>
    </row>
    <row r="17685">
      <c r="D17685" s="9"/>
      <c r="G17685" s="9"/>
      <c r="J17685" s="11"/>
      <c r="U17685" s="9"/>
      <c r="X17685" s="9"/>
    </row>
    <row r="17686">
      <c r="D17686" s="9"/>
      <c r="G17686" s="9"/>
      <c r="J17686" s="11"/>
      <c r="U17686" s="9"/>
      <c r="X17686" s="9"/>
    </row>
    <row r="17687">
      <c r="D17687" s="9"/>
      <c r="G17687" s="9"/>
      <c r="J17687" s="11"/>
      <c r="U17687" s="9"/>
      <c r="X17687" s="9"/>
    </row>
    <row r="17688">
      <c r="D17688" s="9"/>
      <c r="G17688" s="9"/>
      <c r="J17688" s="11"/>
      <c r="U17688" s="9"/>
      <c r="X17688" s="9"/>
    </row>
    <row r="17689">
      <c r="D17689" s="9"/>
      <c r="G17689" s="9"/>
      <c r="J17689" s="11"/>
      <c r="U17689" s="9"/>
      <c r="X17689" s="9"/>
    </row>
    <row r="17690">
      <c r="D17690" s="9"/>
      <c r="G17690" s="9"/>
      <c r="J17690" s="11"/>
      <c r="U17690" s="9"/>
      <c r="X17690" s="9"/>
    </row>
    <row r="17691">
      <c r="D17691" s="9"/>
      <c r="G17691" s="9"/>
      <c r="J17691" s="11"/>
      <c r="U17691" s="9"/>
      <c r="X17691" s="9"/>
    </row>
    <row r="17692">
      <c r="D17692" s="9"/>
      <c r="G17692" s="9"/>
      <c r="J17692" s="11"/>
      <c r="U17692" s="9"/>
      <c r="X17692" s="9"/>
    </row>
    <row r="17693">
      <c r="D17693" s="9"/>
      <c r="G17693" s="9"/>
      <c r="J17693" s="11"/>
      <c r="U17693" s="9"/>
      <c r="X17693" s="9"/>
    </row>
    <row r="17694">
      <c r="D17694" s="9"/>
      <c r="G17694" s="9"/>
      <c r="J17694" s="11"/>
      <c r="U17694" s="9"/>
      <c r="X17694" s="9"/>
    </row>
    <row r="17695">
      <c r="D17695" s="9"/>
      <c r="G17695" s="9"/>
      <c r="J17695" s="11"/>
      <c r="U17695" s="9"/>
      <c r="X17695" s="9"/>
    </row>
    <row r="17696">
      <c r="D17696" s="9"/>
      <c r="G17696" s="9"/>
      <c r="J17696" s="11"/>
      <c r="U17696" s="9"/>
      <c r="X17696" s="9"/>
    </row>
    <row r="17697">
      <c r="D17697" s="9"/>
      <c r="G17697" s="9"/>
      <c r="J17697" s="11"/>
      <c r="U17697" s="9"/>
      <c r="X17697" s="9"/>
    </row>
    <row r="17698">
      <c r="D17698" s="9"/>
      <c r="G17698" s="9"/>
      <c r="J17698" s="11"/>
      <c r="U17698" s="9"/>
      <c r="X17698" s="9"/>
    </row>
    <row r="17699">
      <c r="D17699" s="9"/>
      <c r="G17699" s="9"/>
      <c r="J17699" s="11"/>
      <c r="U17699" s="9"/>
      <c r="X17699" s="9"/>
    </row>
    <row r="17700">
      <c r="D17700" s="9"/>
      <c r="G17700" s="9"/>
      <c r="J17700" s="11"/>
      <c r="U17700" s="9"/>
      <c r="X17700" s="9"/>
    </row>
    <row r="17701">
      <c r="D17701" s="9"/>
      <c r="G17701" s="9"/>
      <c r="J17701" s="11"/>
      <c r="U17701" s="9"/>
      <c r="X17701" s="9"/>
    </row>
    <row r="17702">
      <c r="D17702" s="9"/>
      <c r="G17702" s="9"/>
      <c r="J17702" s="11"/>
      <c r="U17702" s="9"/>
      <c r="X17702" s="9"/>
    </row>
    <row r="17703">
      <c r="D17703" s="9"/>
      <c r="G17703" s="9"/>
      <c r="J17703" s="11"/>
      <c r="U17703" s="9"/>
      <c r="X17703" s="9"/>
    </row>
    <row r="17704">
      <c r="D17704" s="9"/>
      <c r="G17704" s="9"/>
      <c r="J17704" s="11"/>
      <c r="U17704" s="9"/>
      <c r="X17704" s="9"/>
    </row>
    <row r="17705">
      <c r="D17705" s="9"/>
      <c r="G17705" s="9"/>
      <c r="J17705" s="11"/>
      <c r="U17705" s="9"/>
      <c r="X17705" s="9"/>
    </row>
    <row r="17706">
      <c r="D17706" s="9"/>
      <c r="G17706" s="9"/>
      <c r="J17706" s="11"/>
      <c r="U17706" s="9"/>
      <c r="X17706" s="9"/>
    </row>
    <row r="17707">
      <c r="D17707" s="9"/>
      <c r="G17707" s="9"/>
      <c r="J17707" s="11"/>
      <c r="U17707" s="9"/>
      <c r="X17707" s="9"/>
    </row>
    <row r="17708">
      <c r="D17708" s="9"/>
      <c r="G17708" s="9"/>
      <c r="J17708" s="11"/>
      <c r="U17708" s="9"/>
      <c r="X17708" s="9"/>
    </row>
    <row r="17709">
      <c r="D17709" s="9"/>
      <c r="G17709" s="9"/>
      <c r="J17709" s="11"/>
      <c r="U17709" s="9"/>
      <c r="X17709" s="9"/>
    </row>
    <row r="17710">
      <c r="D17710" s="9"/>
      <c r="G17710" s="9"/>
      <c r="J17710" s="11"/>
      <c r="U17710" s="9"/>
      <c r="X17710" s="9"/>
    </row>
    <row r="17711">
      <c r="D17711" s="9"/>
      <c r="G17711" s="9"/>
      <c r="J17711" s="11"/>
      <c r="U17711" s="9"/>
      <c r="X17711" s="9"/>
    </row>
    <row r="17712">
      <c r="D17712" s="9"/>
      <c r="G17712" s="9"/>
      <c r="J17712" s="11"/>
      <c r="U17712" s="9"/>
      <c r="X17712" s="9"/>
    </row>
    <row r="17713">
      <c r="D17713" s="9"/>
      <c r="G17713" s="9"/>
      <c r="J17713" s="11"/>
      <c r="U17713" s="9"/>
      <c r="X17713" s="9"/>
    </row>
    <row r="17714">
      <c r="D17714" s="9"/>
      <c r="G17714" s="9"/>
      <c r="J17714" s="11"/>
      <c r="U17714" s="9"/>
      <c r="X17714" s="9"/>
    </row>
    <row r="17715">
      <c r="D17715" s="9"/>
      <c r="G17715" s="9"/>
      <c r="J17715" s="11"/>
      <c r="U17715" s="9"/>
      <c r="X17715" s="9"/>
    </row>
    <row r="17716">
      <c r="D17716" s="9"/>
      <c r="G17716" s="9"/>
      <c r="J17716" s="11"/>
      <c r="U17716" s="9"/>
      <c r="X17716" s="9"/>
    </row>
    <row r="17717">
      <c r="D17717" s="9"/>
      <c r="G17717" s="9"/>
      <c r="J17717" s="11"/>
      <c r="U17717" s="9"/>
      <c r="X17717" s="9"/>
    </row>
    <row r="17718">
      <c r="D17718" s="9"/>
      <c r="G17718" s="9"/>
      <c r="J17718" s="11"/>
      <c r="U17718" s="9"/>
      <c r="X17718" s="9"/>
    </row>
    <row r="17719">
      <c r="D17719" s="9"/>
      <c r="G17719" s="9"/>
      <c r="J17719" s="11"/>
      <c r="U17719" s="9"/>
      <c r="X17719" s="9"/>
    </row>
    <row r="17720">
      <c r="D17720" s="9"/>
      <c r="G17720" s="9"/>
      <c r="J17720" s="11"/>
      <c r="U17720" s="9"/>
      <c r="X17720" s="9"/>
    </row>
    <row r="17721">
      <c r="D17721" s="9"/>
      <c r="G17721" s="9"/>
      <c r="J17721" s="11"/>
      <c r="U17721" s="9"/>
      <c r="X17721" s="9"/>
    </row>
    <row r="17722">
      <c r="D17722" s="9"/>
      <c r="G17722" s="9"/>
      <c r="J17722" s="11"/>
      <c r="U17722" s="9"/>
      <c r="X17722" s="9"/>
    </row>
    <row r="17723">
      <c r="D17723" s="9"/>
      <c r="G17723" s="9"/>
      <c r="J17723" s="11"/>
      <c r="U17723" s="9"/>
      <c r="X17723" s="9"/>
    </row>
    <row r="17724">
      <c r="D17724" s="9"/>
      <c r="G17724" s="9"/>
      <c r="J17724" s="11"/>
      <c r="U17724" s="9"/>
      <c r="X17724" s="9"/>
    </row>
    <row r="17725">
      <c r="D17725" s="9"/>
      <c r="G17725" s="9"/>
      <c r="J17725" s="11"/>
      <c r="U17725" s="9"/>
      <c r="X17725" s="9"/>
    </row>
    <row r="17726">
      <c r="D17726" s="9"/>
      <c r="G17726" s="9"/>
      <c r="J17726" s="11"/>
      <c r="U17726" s="9"/>
      <c r="X17726" s="9"/>
    </row>
    <row r="17727">
      <c r="D17727" s="9"/>
      <c r="G17727" s="9"/>
      <c r="J17727" s="11"/>
      <c r="U17727" s="9"/>
      <c r="X17727" s="9"/>
    </row>
    <row r="17728">
      <c r="D17728" s="9"/>
      <c r="G17728" s="9"/>
      <c r="J17728" s="11"/>
      <c r="U17728" s="9"/>
      <c r="X17728" s="9"/>
    </row>
    <row r="17729">
      <c r="D17729" s="9"/>
      <c r="G17729" s="9"/>
      <c r="J17729" s="11"/>
      <c r="U17729" s="9"/>
      <c r="X17729" s="9"/>
    </row>
    <row r="17730">
      <c r="D17730" s="9"/>
      <c r="G17730" s="9"/>
      <c r="J17730" s="11"/>
      <c r="U17730" s="9"/>
      <c r="X17730" s="9"/>
    </row>
    <row r="17731">
      <c r="D17731" s="9"/>
      <c r="G17731" s="9"/>
      <c r="J17731" s="11"/>
      <c r="U17731" s="9"/>
      <c r="X17731" s="9"/>
    </row>
    <row r="17732">
      <c r="D17732" s="9"/>
      <c r="G17732" s="9"/>
      <c r="J17732" s="11"/>
      <c r="U17732" s="9"/>
      <c r="X17732" s="9"/>
    </row>
    <row r="17733">
      <c r="D17733" s="9"/>
      <c r="G17733" s="9"/>
      <c r="J17733" s="11"/>
      <c r="U17733" s="9"/>
      <c r="X17733" s="9"/>
    </row>
    <row r="17734">
      <c r="D17734" s="9"/>
      <c r="G17734" s="9"/>
      <c r="J17734" s="11"/>
      <c r="U17734" s="9"/>
      <c r="X17734" s="9"/>
    </row>
    <row r="17735">
      <c r="D17735" s="9"/>
      <c r="G17735" s="9"/>
      <c r="J17735" s="11"/>
      <c r="U17735" s="9"/>
      <c r="X17735" s="9"/>
    </row>
    <row r="17736">
      <c r="D17736" s="9"/>
      <c r="G17736" s="9"/>
      <c r="J17736" s="11"/>
      <c r="U17736" s="9"/>
      <c r="X17736" s="9"/>
    </row>
    <row r="17737">
      <c r="D17737" s="9"/>
      <c r="G17737" s="9"/>
      <c r="J17737" s="11"/>
      <c r="U17737" s="9"/>
      <c r="X17737" s="9"/>
    </row>
    <row r="17738">
      <c r="D17738" s="9"/>
      <c r="G17738" s="9"/>
      <c r="J17738" s="11"/>
      <c r="U17738" s="9"/>
      <c r="X17738" s="9"/>
    </row>
    <row r="17739">
      <c r="D17739" s="9"/>
      <c r="G17739" s="9"/>
      <c r="J17739" s="11"/>
      <c r="U17739" s="9"/>
      <c r="X17739" s="9"/>
    </row>
    <row r="17740">
      <c r="D17740" s="9"/>
      <c r="G17740" s="9"/>
      <c r="J17740" s="11"/>
      <c r="U17740" s="9"/>
      <c r="X17740" s="9"/>
    </row>
    <row r="17741">
      <c r="D17741" s="9"/>
      <c r="G17741" s="9"/>
      <c r="J17741" s="11"/>
      <c r="U17741" s="9"/>
      <c r="X17741" s="9"/>
    </row>
    <row r="17742">
      <c r="D17742" s="9"/>
      <c r="G17742" s="9"/>
      <c r="J17742" s="11"/>
      <c r="U17742" s="9"/>
      <c r="X17742" s="9"/>
    </row>
    <row r="17743">
      <c r="D17743" s="9"/>
      <c r="G17743" s="9"/>
      <c r="J17743" s="11"/>
      <c r="U17743" s="9"/>
      <c r="X17743" s="9"/>
    </row>
    <row r="17744">
      <c r="D17744" s="9"/>
      <c r="G17744" s="9"/>
      <c r="J17744" s="11"/>
      <c r="U17744" s="9"/>
      <c r="X17744" s="9"/>
    </row>
    <row r="17745">
      <c r="D17745" s="9"/>
      <c r="G17745" s="9"/>
      <c r="J17745" s="11"/>
      <c r="U17745" s="9"/>
      <c r="X17745" s="9"/>
    </row>
    <row r="17746">
      <c r="D17746" s="9"/>
      <c r="G17746" s="9"/>
      <c r="J17746" s="11"/>
      <c r="U17746" s="9"/>
      <c r="X17746" s="9"/>
    </row>
    <row r="17747">
      <c r="D17747" s="9"/>
      <c r="G17747" s="9"/>
      <c r="J17747" s="11"/>
      <c r="U17747" s="9"/>
      <c r="X17747" s="9"/>
    </row>
    <row r="17748">
      <c r="D17748" s="9"/>
      <c r="G17748" s="9"/>
      <c r="J17748" s="11"/>
      <c r="U17748" s="9"/>
      <c r="X17748" s="9"/>
    </row>
    <row r="17749">
      <c r="D17749" s="9"/>
      <c r="G17749" s="9"/>
      <c r="J17749" s="11"/>
      <c r="U17749" s="9"/>
      <c r="X17749" s="9"/>
    </row>
    <row r="17750">
      <c r="D17750" s="9"/>
      <c r="G17750" s="9"/>
      <c r="J17750" s="11"/>
      <c r="U17750" s="9"/>
      <c r="X17750" s="9"/>
    </row>
    <row r="17751">
      <c r="D17751" s="9"/>
      <c r="G17751" s="9"/>
      <c r="J17751" s="11"/>
      <c r="U17751" s="9"/>
      <c r="X17751" s="9"/>
    </row>
    <row r="17752">
      <c r="D17752" s="9"/>
      <c r="G17752" s="9"/>
      <c r="J17752" s="11"/>
      <c r="U17752" s="9"/>
      <c r="X17752" s="9"/>
    </row>
    <row r="17753">
      <c r="D17753" s="9"/>
      <c r="G17753" s="9"/>
      <c r="J17753" s="11"/>
      <c r="U17753" s="9"/>
      <c r="X17753" s="9"/>
    </row>
    <row r="17754">
      <c r="D17754" s="9"/>
      <c r="G17754" s="9"/>
      <c r="J17754" s="11"/>
      <c r="U17754" s="9"/>
      <c r="X17754" s="9"/>
    </row>
    <row r="17755">
      <c r="D17755" s="9"/>
      <c r="G17755" s="9"/>
      <c r="J17755" s="11"/>
      <c r="U17755" s="9"/>
      <c r="X17755" s="9"/>
    </row>
    <row r="17756">
      <c r="D17756" s="9"/>
      <c r="G17756" s="9"/>
      <c r="J17756" s="11"/>
      <c r="U17756" s="9"/>
      <c r="X17756" s="9"/>
    </row>
    <row r="17757">
      <c r="D17757" s="9"/>
      <c r="G17757" s="9"/>
      <c r="J17757" s="11"/>
      <c r="U17757" s="9"/>
      <c r="X17757" s="9"/>
    </row>
    <row r="17758">
      <c r="D17758" s="9"/>
      <c r="G17758" s="9"/>
      <c r="J17758" s="11"/>
      <c r="U17758" s="9"/>
      <c r="X17758" s="9"/>
    </row>
    <row r="17759">
      <c r="D17759" s="9"/>
      <c r="G17759" s="9"/>
      <c r="J17759" s="11"/>
      <c r="U17759" s="9"/>
      <c r="X17759" s="9"/>
    </row>
    <row r="17760">
      <c r="D17760" s="9"/>
      <c r="G17760" s="9"/>
      <c r="J17760" s="11"/>
      <c r="U17760" s="9"/>
      <c r="X17760" s="9"/>
    </row>
    <row r="17761">
      <c r="D17761" s="9"/>
      <c r="G17761" s="9"/>
      <c r="J17761" s="11"/>
      <c r="U17761" s="9"/>
      <c r="X17761" s="9"/>
    </row>
    <row r="17762">
      <c r="D17762" s="9"/>
      <c r="G17762" s="9"/>
      <c r="J17762" s="11"/>
      <c r="U17762" s="9"/>
      <c r="X17762" s="9"/>
    </row>
    <row r="17763">
      <c r="D17763" s="9"/>
      <c r="G17763" s="9"/>
      <c r="J17763" s="11"/>
      <c r="U17763" s="9"/>
      <c r="X17763" s="9"/>
    </row>
    <row r="17764">
      <c r="D17764" s="9"/>
      <c r="G17764" s="9"/>
      <c r="J17764" s="11"/>
      <c r="U17764" s="9"/>
      <c r="X17764" s="9"/>
    </row>
    <row r="17765">
      <c r="D17765" s="9"/>
      <c r="G17765" s="9"/>
      <c r="J17765" s="11"/>
      <c r="U17765" s="9"/>
      <c r="X17765" s="9"/>
    </row>
    <row r="17766">
      <c r="D17766" s="9"/>
      <c r="G17766" s="9"/>
      <c r="J17766" s="11"/>
      <c r="U17766" s="9"/>
      <c r="X17766" s="9"/>
    </row>
    <row r="17767">
      <c r="D17767" s="9"/>
      <c r="G17767" s="9"/>
      <c r="J17767" s="11"/>
      <c r="U17767" s="9"/>
      <c r="X17767" s="9"/>
    </row>
    <row r="17768">
      <c r="D17768" s="9"/>
      <c r="G17768" s="9"/>
      <c r="J17768" s="11"/>
      <c r="U17768" s="9"/>
      <c r="X17768" s="9"/>
    </row>
    <row r="17769">
      <c r="D17769" s="9"/>
      <c r="G17769" s="9"/>
      <c r="J17769" s="11"/>
      <c r="U17769" s="9"/>
      <c r="X17769" s="9"/>
    </row>
    <row r="17770">
      <c r="D17770" s="9"/>
      <c r="G17770" s="9"/>
      <c r="J17770" s="11"/>
      <c r="U17770" s="9"/>
      <c r="X17770" s="9"/>
    </row>
    <row r="17771">
      <c r="D17771" s="9"/>
      <c r="G17771" s="9"/>
      <c r="J17771" s="11"/>
      <c r="U17771" s="9"/>
      <c r="X17771" s="9"/>
    </row>
    <row r="17772">
      <c r="D17772" s="9"/>
      <c r="G17772" s="9"/>
      <c r="J17772" s="11"/>
      <c r="U17772" s="9"/>
      <c r="X17772" s="9"/>
    </row>
    <row r="17773">
      <c r="D17773" s="9"/>
      <c r="G17773" s="9"/>
      <c r="J17773" s="11"/>
      <c r="U17773" s="9"/>
      <c r="X17773" s="9"/>
    </row>
    <row r="17774">
      <c r="D17774" s="9"/>
      <c r="G17774" s="9"/>
      <c r="J17774" s="11"/>
      <c r="U17774" s="9"/>
      <c r="X17774" s="9"/>
    </row>
    <row r="17775">
      <c r="D17775" s="9"/>
      <c r="G17775" s="9"/>
      <c r="J17775" s="11"/>
      <c r="U17775" s="9"/>
      <c r="X17775" s="9"/>
    </row>
    <row r="17776">
      <c r="D17776" s="9"/>
      <c r="G17776" s="9"/>
      <c r="J17776" s="11"/>
      <c r="U17776" s="9"/>
      <c r="X17776" s="9"/>
    </row>
    <row r="17777">
      <c r="D17777" s="9"/>
      <c r="G17777" s="9"/>
      <c r="J17777" s="11"/>
      <c r="U17777" s="9"/>
      <c r="X17777" s="9"/>
    </row>
    <row r="17778">
      <c r="D17778" s="9"/>
      <c r="G17778" s="9"/>
      <c r="J17778" s="11"/>
      <c r="U17778" s="9"/>
      <c r="X17778" s="9"/>
    </row>
    <row r="17779">
      <c r="D17779" s="9"/>
      <c r="G17779" s="9"/>
      <c r="J17779" s="11"/>
      <c r="U17779" s="9"/>
      <c r="X17779" s="9"/>
    </row>
    <row r="17780">
      <c r="D17780" s="9"/>
      <c r="G17780" s="9"/>
      <c r="J17780" s="11"/>
      <c r="U17780" s="9"/>
      <c r="X17780" s="9"/>
    </row>
    <row r="17781">
      <c r="D17781" s="9"/>
      <c r="G17781" s="9"/>
      <c r="J17781" s="11"/>
      <c r="U17781" s="9"/>
      <c r="X17781" s="9"/>
    </row>
    <row r="17782">
      <c r="D17782" s="9"/>
      <c r="G17782" s="9"/>
      <c r="J17782" s="11"/>
      <c r="U17782" s="9"/>
      <c r="X17782" s="9"/>
    </row>
    <row r="17783">
      <c r="D17783" s="9"/>
      <c r="G17783" s="9"/>
      <c r="J17783" s="11"/>
      <c r="U17783" s="9"/>
      <c r="X17783" s="9"/>
    </row>
    <row r="17784">
      <c r="D17784" s="9"/>
      <c r="G17784" s="9"/>
      <c r="J17784" s="11"/>
      <c r="U17784" s="9"/>
      <c r="X17784" s="9"/>
    </row>
    <row r="17785">
      <c r="D17785" s="9"/>
      <c r="G17785" s="9"/>
      <c r="J17785" s="11"/>
      <c r="U17785" s="9"/>
      <c r="X17785" s="9"/>
    </row>
    <row r="17786">
      <c r="D17786" s="9"/>
      <c r="G17786" s="9"/>
      <c r="J17786" s="11"/>
      <c r="U17786" s="9"/>
      <c r="X17786" s="9"/>
    </row>
    <row r="17787">
      <c r="D17787" s="9"/>
      <c r="G17787" s="9"/>
      <c r="J17787" s="11"/>
      <c r="U17787" s="9"/>
      <c r="X17787" s="9"/>
    </row>
    <row r="17788">
      <c r="D17788" s="9"/>
      <c r="G17788" s="9"/>
      <c r="J17788" s="11"/>
      <c r="U17788" s="9"/>
      <c r="X17788" s="9"/>
    </row>
    <row r="17789">
      <c r="D17789" s="9"/>
      <c r="G17789" s="9"/>
      <c r="J17789" s="11"/>
      <c r="U17789" s="9"/>
      <c r="X17789" s="9"/>
    </row>
    <row r="17790">
      <c r="D17790" s="9"/>
      <c r="G17790" s="9"/>
      <c r="J17790" s="11"/>
      <c r="U17790" s="9"/>
      <c r="X17790" s="9"/>
    </row>
    <row r="17791">
      <c r="D17791" s="9"/>
      <c r="G17791" s="9"/>
      <c r="J17791" s="11"/>
      <c r="U17791" s="9"/>
      <c r="X17791" s="9"/>
    </row>
    <row r="17792">
      <c r="D17792" s="9"/>
      <c r="G17792" s="9"/>
      <c r="J17792" s="11"/>
      <c r="U17792" s="9"/>
      <c r="X17792" s="9"/>
    </row>
    <row r="17793">
      <c r="D17793" s="9"/>
      <c r="G17793" s="9"/>
      <c r="J17793" s="11"/>
      <c r="U17793" s="9"/>
      <c r="X17793" s="9"/>
    </row>
    <row r="17794">
      <c r="D17794" s="9"/>
      <c r="G17794" s="9"/>
      <c r="J17794" s="11"/>
      <c r="U17794" s="9"/>
      <c r="X17794" s="9"/>
    </row>
    <row r="17795">
      <c r="D17795" s="9"/>
      <c r="G17795" s="9"/>
      <c r="J17795" s="11"/>
      <c r="U17795" s="9"/>
      <c r="X17795" s="9"/>
    </row>
    <row r="17796">
      <c r="D17796" s="9"/>
      <c r="G17796" s="9"/>
      <c r="J17796" s="11"/>
      <c r="U17796" s="9"/>
      <c r="X17796" s="9"/>
    </row>
    <row r="17797">
      <c r="D17797" s="9"/>
      <c r="G17797" s="9"/>
      <c r="J17797" s="11"/>
      <c r="U17797" s="9"/>
      <c r="X17797" s="9"/>
    </row>
    <row r="17798">
      <c r="D17798" s="9"/>
      <c r="G17798" s="9"/>
      <c r="J17798" s="11"/>
      <c r="U17798" s="9"/>
      <c r="X17798" s="9"/>
    </row>
    <row r="17799">
      <c r="D17799" s="9"/>
      <c r="G17799" s="9"/>
      <c r="J17799" s="11"/>
      <c r="U17799" s="9"/>
      <c r="X17799" s="9"/>
    </row>
    <row r="17800">
      <c r="D17800" s="9"/>
      <c r="G17800" s="9"/>
      <c r="J17800" s="11"/>
      <c r="U17800" s="9"/>
      <c r="X17800" s="9"/>
    </row>
    <row r="17801">
      <c r="D17801" s="9"/>
      <c r="G17801" s="9"/>
      <c r="J17801" s="11"/>
      <c r="U17801" s="9"/>
      <c r="X17801" s="9"/>
    </row>
    <row r="17802">
      <c r="D17802" s="9"/>
      <c r="G17802" s="9"/>
      <c r="J17802" s="11"/>
      <c r="U17802" s="9"/>
      <c r="X17802" s="9"/>
    </row>
    <row r="17803">
      <c r="D17803" s="9"/>
      <c r="G17803" s="9"/>
      <c r="J17803" s="11"/>
      <c r="U17803" s="9"/>
      <c r="X17803" s="9"/>
    </row>
    <row r="17804">
      <c r="D17804" s="9"/>
      <c r="G17804" s="9"/>
      <c r="J17804" s="11"/>
      <c r="U17804" s="9"/>
      <c r="X17804" s="9"/>
    </row>
    <row r="17805">
      <c r="D17805" s="9"/>
      <c r="G17805" s="9"/>
      <c r="J17805" s="11"/>
      <c r="U17805" s="9"/>
      <c r="X17805" s="9"/>
    </row>
    <row r="17806">
      <c r="D17806" s="9"/>
      <c r="G17806" s="9"/>
      <c r="J17806" s="11"/>
      <c r="U17806" s="9"/>
      <c r="X17806" s="9"/>
    </row>
    <row r="17807">
      <c r="D17807" s="9"/>
      <c r="G17807" s="9"/>
      <c r="J17807" s="11"/>
      <c r="U17807" s="9"/>
      <c r="X17807" s="9"/>
    </row>
    <row r="17808">
      <c r="D17808" s="9"/>
      <c r="G17808" s="9"/>
      <c r="J17808" s="11"/>
      <c r="U17808" s="9"/>
      <c r="X17808" s="9"/>
    </row>
    <row r="17809">
      <c r="D17809" s="9"/>
      <c r="G17809" s="9"/>
      <c r="J17809" s="11"/>
      <c r="U17809" s="9"/>
      <c r="X17809" s="9"/>
    </row>
    <row r="17810">
      <c r="D17810" s="9"/>
      <c r="G17810" s="9"/>
      <c r="J17810" s="11"/>
      <c r="U17810" s="9"/>
      <c r="X17810" s="9"/>
    </row>
    <row r="17811">
      <c r="D17811" s="9"/>
      <c r="G17811" s="9"/>
      <c r="J17811" s="11"/>
      <c r="U17811" s="9"/>
      <c r="X17811" s="9"/>
    </row>
    <row r="17812">
      <c r="D17812" s="9"/>
      <c r="G17812" s="9"/>
      <c r="J17812" s="11"/>
      <c r="U17812" s="9"/>
      <c r="X17812" s="9"/>
    </row>
    <row r="17813">
      <c r="D17813" s="9"/>
      <c r="G17813" s="9"/>
      <c r="J17813" s="11"/>
      <c r="U17813" s="9"/>
      <c r="X17813" s="9"/>
    </row>
    <row r="17814">
      <c r="D17814" s="9"/>
      <c r="G17814" s="9"/>
      <c r="J17814" s="11"/>
      <c r="U17814" s="9"/>
      <c r="X17814" s="9"/>
    </row>
    <row r="17815">
      <c r="D17815" s="9"/>
      <c r="G17815" s="9"/>
      <c r="J17815" s="11"/>
      <c r="U17815" s="9"/>
      <c r="X17815" s="9"/>
    </row>
    <row r="17816">
      <c r="D17816" s="9"/>
      <c r="G17816" s="9"/>
      <c r="J17816" s="11"/>
      <c r="U17816" s="9"/>
      <c r="X17816" s="9"/>
    </row>
    <row r="17817">
      <c r="D17817" s="9"/>
      <c r="G17817" s="9"/>
      <c r="J17817" s="11"/>
      <c r="U17817" s="9"/>
      <c r="X17817" s="9"/>
    </row>
    <row r="17818">
      <c r="D17818" s="9"/>
      <c r="G17818" s="9"/>
      <c r="J17818" s="11"/>
      <c r="U17818" s="9"/>
      <c r="X17818" s="9"/>
    </row>
    <row r="17819">
      <c r="D17819" s="9"/>
      <c r="G17819" s="9"/>
      <c r="J17819" s="11"/>
      <c r="U17819" s="9"/>
      <c r="X17819" s="9"/>
    </row>
    <row r="17820">
      <c r="D17820" s="9"/>
      <c r="G17820" s="9"/>
      <c r="J17820" s="11"/>
      <c r="U17820" s="9"/>
      <c r="X17820" s="9"/>
    </row>
    <row r="17821">
      <c r="D17821" s="9"/>
      <c r="G17821" s="9"/>
      <c r="J17821" s="11"/>
      <c r="U17821" s="9"/>
      <c r="X17821" s="9"/>
    </row>
    <row r="17822">
      <c r="D17822" s="9"/>
      <c r="G17822" s="9"/>
      <c r="J17822" s="11"/>
      <c r="U17822" s="9"/>
      <c r="X17822" s="9"/>
    </row>
    <row r="17823">
      <c r="D17823" s="9"/>
      <c r="G17823" s="9"/>
      <c r="J17823" s="11"/>
      <c r="U17823" s="9"/>
      <c r="X17823" s="9"/>
    </row>
    <row r="17824">
      <c r="D17824" s="9"/>
      <c r="G17824" s="9"/>
      <c r="J17824" s="11"/>
      <c r="U17824" s="9"/>
      <c r="X17824" s="9"/>
    </row>
    <row r="17825">
      <c r="D17825" s="9"/>
      <c r="G17825" s="9"/>
      <c r="J17825" s="11"/>
      <c r="U17825" s="9"/>
      <c r="X17825" s="9"/>
    </row>
    <row r="17826">
      <c r="D17826" s="9"/>
      <c r="G17826" s="9"/>
      <c r="J17826" s="11"/>
      <c r="U17826" s="9"/>
      <c r="X17826" s="9"/>
    </row>
    <row r="17827">
      <c r="D17827" s="9"/>
      <c r="G17827" s="9"/>
      <c r="J17827" s="11"/>
      <c r="U17827" s="9"/>
      <c r="X17827" s="9"/>
    </row>
    <row r="17828">
      <c r="D17828" s="9"/>
      <c r="G17828" s="9"/>
      <c r="J17828" s="11"/>
      <c r="U17828" s="9"/>
      <c r="X17828" s="9"/>
    </row>
    <row r="17829">
      <c r="D17829" s="9"/>
      <c r="G17829" s="9"/>
      <c r="J17829" s="11"/>
      <c r="U17829" s="9"/>
      <c r="X17829" s="9"/>
    </row>
    <row r="17830">
      <c r="D17830" s="9"/>
      <c r="G17830" s="9"/>
      <c r="J17830" s="11"/>
      <c r="U17830" s="9"/>
      <c r="X17830" s="9"/>
    </row>
    <row r="17831">
      <c r="D17831" s="9"/>
      <c r="G17831" s="9"/>
      <c r="J17831" s="11"/>
      <c r="U17831" s="9"/>
      <c r="X17831" s="9"/>
    </row>
    <row r="17832">
      <c r="D17832" s="9"/>
      <c r="G17832" s="9"/>
      <c r="J17832" s="11"/>
      <c r="U17832" s="9"/>
      <c r="X17832" s="9"/>
    </row>
    <row r="17833">
      <c r="D17833" s="9"/>
      <c r="G17833" s="9"/>
      <c r="J17833" s="11"/>
      <c r="U17833" s="9"/>
      <c r="X17833" s="9"/>
    </row>
    <row r="17834">
      <c r="D17834" s="9"/>
      <c r="G17834" s="9"/>
      <c r="J17834" s="11"/>
      <c r="U17834" s="9"/>
      <c r="X17834" s="9"/>
    </row>
    <row r="17835">
      <c r="D17835" s="9"/>
      <c r="G17835" s="9"/>
      <c r="J17835" s="11"/>
      <c r="U17835" s="9"/>
      <c r="X17835" s="9"/>
    </row>
    <row r="17836">
      <c r="D17836" s="9"/>
      <c r="G17836" s="9"/>
      <c r="J17836" s="11"/>
      <c r="U17836" s="9"/>
      <c r="X17836" s="9"/>
    </row>
    <row r="17837">
      <c r="D17837" s="9"/>
      <c r="G17837" s="9"/>
      <c r="J17837" s="11"/>
      <c r="U17837" s="9"/>
      <c r="X17837" s="9"/>
    </row>
    <row r="17838">
      <c r="D17838" s="9"/>
      <c r="G17838" s="9"/>
      <c r="J17838" s="11"/>
      <c r="U17838" s="9"/>
      <c r="X17838" s="9"/>
    </row>
    <row r="17839">
      <c r="D17839" s="9"/>
      <c r="G17839" s="9"/>
      <c r="J17839" s="11"/>
      <c r="U17839" s="9"/>
      <c r="X17839" s="9"/>
    </row>
    <row r="17840">
      <c r="D17840" s="9"/>
      <c r="G17840" s="9"/>
      <c r="J17840" s="11"/>
      <c r="U17840" s="9"/>
      <c r="X17840" s="9"/>
    </row>
    <row r="17841">
      <c r="D17841" s="9"/>
      <c r="G17841" s="9"/>
      <c r="J17841" s="11"/>
      <c r="U17841" s="9"/>
      <c r="X17841" s="9"/>
    </row>
    <row r="17842">
      <c r="D17842" s="9"/>
      <c r="G17842" s="9"/>
      <c r="J17842" s="11"/>
      <c r="U17842" s="9"/>
      <c r="X17842" s="9"/>
    </row>
    <row r="17843">
      <c r="D17843" s="9"/>
      <c r="G17843" s="9"/>
      <c r="J17843" s="11"/>
      <c r="U17843" s="9"/>
      <c r="X17843" s="9"/>
    </row>
    <row r="17844">
      <c r="D17844" s="9"/>
      <c r="G17844" s="9"/>
      <c r="J17844" s="11"/>
      <c r="U17844" s="9"/>
      <c r="X17844" s="9"/>
    </row>
    <row r="17845">
      <c r="D17845" s="9"/>
      <c r="G17845" s="9"/>
      <c r="J17845" s="11"/>
      <c r="U17845" s="9"/>
      <c r="X17845" s="9"/>
    </row>
    <row r="17846">
      <c r="D17846" s="9"/>
      <c r="G17846" s="9"/>
      <c r="J17846" s="11"/>
      <c r="U17846" s="9"/>
      <c r="X17846" s="9"/>
    </row>
    <row r="17847">
      <c r="D17847" s="9"/>
      <c r="G17847" s="9"/>
      <c r="J17847" s="11"/>
      <c r="U17847" s="9"/>
      <c r="X17847" s="9"/>
    </row>
    <row r="17848">
      <c r="D17848" s="9"/>
      <c r="G17848" s="9"/>
      <c r="J17848" s="11"/>
      <c r="U17848" s="9"/>
      <c r="X17848" s="9"/>
    </row>
    <row r="17849">
      <c r="D17849" s="9"/>
      <c r="G17849" s="9"/>
      <c r="J17849" s="11"/>
      <c r="U17849" s="9"/>
      <c r="X17849" s="9"/>
    </row>
    <row r="17850">
      <c r="D17850" s="9"/>
      <c r="G17850" s="9"/>
      <c r="J17850" s="11"/>
      <c r="U17850" s="9"/>
      <c r="X17850" s="9"/>
    </row>
    <row r="17851">
      <c r="D17851" s="9"/>
      <c r="G17851" s="9"/>
      <c r="J17851" s="11"/>
      <c r="U17851" s="9"/>
      <c r="X17851" s="9"/>
    </row>
    <row r="17852">
      <c r="D17852" s="9"/>
      <c r="G17852" s="9"/>
      <c r="J17852" s="11"/>
      <c r="U17852" s="9"/>
      <c r="X17852" s="9"/>
    </row>
    <row r="17853">
      <c r="D17853" s="9"/>
      <c r="G17853" s="9"/>
      <c r="J17853" s="11"/>
      <c r="U17853" s="9"/>
      <c r="X17853" s="9"/>
    </row>
    <row r="17854">
      <c r="D17854" s="9"/>
      <c r="G17854" s="9"/>
      <c r="J17854" s="11"/>
      <c r="U17854" s="9"/>
      <c r="X17854" s="9"/>
    </row>
    <row r="17855">
      <c r="D17855" s="9"/>
      <c r="G17855" s="9"/>
      <c r="J17855" s="11"/>
      <c r="U17855" s="9"/>
      <c r="X17855" s="9"/>
    </row>
    <row r="17856">
      <c r="D17856" s="9"/>
      <c r="G17856" s="9"/>
      <c r="J17856" s="11"/>
      <c r="U17856" s="9"/>
      <c r="X17856" s="9"/>
    </row>
    <row r="17857">
      <c r="D17857" s="9"/>
      <c r="G17857" s="9"/>
      <c r="J17857" s="11"/>
      <c r="U17857" s="9"/>
      <c r="X17857" s="9"/>
    </row>
    <row r="17858">
      <c r="D17858" s="9"/>
      <c r="G17858" s="9"/>
      <c r="J17858" s="11"/>
      <c r="U17858" s="9"/>
      <c r="X17858" s="9"/>
    </row>
    <row r="17859">
      <c r="D17859" s="9"/>
      <c r="G17859" s="9"/>
      <c r="J17859" s="11"/>
      <c r="U17859" s="9"/>
      <c r="X17859" s="9"/>
    </row>
    <row r="17860">
      <c r="D17860" s="9"/>
      <c r="G17860" s="9"/>
      <c r="J17860" s="11"/>
      <c r="U17860" s="9"/>
      <c r="X17860" s="9"/>
    </row>
    <row r="17861">
      <c r="D17861" s="9"/>
      <c r="G17861" s="9"/>
      <c r="J17861" s="11"/>
      <c r="U17861" s="9"/>
      <c r="X17861" s="9"/>
    </row>
    <row r="17862">
      <c r="D17862" s="9"/>
      <c r="G17862" s="9"/>
      <c r="J17862" s="11"/>
      <c r="U17862" s="9"/>
      <c r="X17862" s="9"/>
    </row>
    <row r="17863">
      <c r="D17863" s="9"/>
      <c r="G17863" s="9"/>
      <c r="J17863" s="11"/>
      <c r="U17863" s="9"/>
      <c r="X17863" s="9"/>
    </row>
    <row r="17864">
      <c r="D17864" s="9"/>
      <c r="G17864" s="9"/>
      <c r="J17864" s="11"/>
      <c r="U17864" s="9"/>
      <c r="X17864" s="9"/>
    </row>
    <row r="17865">
      <c r="D17865" s="9"/>
      <c r="G17865" s="9"/>
      <c r="J17865" s="11"/>
      <c r="U17865" s="9"/>
      <c r="X17865" s="9"/>
    </row>
    <row r="17866">
      <c r="D17866" s="9"/>
      <c r="G17866" s="9"/>
      <c r="J17866" s="11"/>
      <c r="U17866" s="9"/>
      <c r="X17866" s="9"/>
    </row>
    <row r="17867">
      <c r="D17867" s="9"/>
      <c r="G17867" s="9"/>
      <c r="J17867" s="11"/>
      <c r="U17867" s="9"/>
      <c r="X17867" s="9"/>
    </row>
    <row r="17868">
      <c r="D17868" s="9"/>
      <c r="G17868" s="9"/>
      <c r="J17868" s="11"/>
      <c r="U17868" s="9"/>
      <c r="X17868" s="9"/>
    </row>
    <row r="17869">
      <c r="D17869" s="9"/>
      <c r="G17869" s="9"/>
      <c r="J17869" s="11"/>
      <c r="U17869" s="9"/>
      <c r="X17869" s="9"/>
    </row>
    <row r="17870">
      <c r="D17870" s="9"/>
      <c r="G17870" s="9"/>
      <c r="J17870" s="11"/>
      <c r="U17870" s="9"/>
      <c r="X17870" s="9"/>
    </row>
    <row r="17871">
      <c r="D17871" s="9"/>
      <c r="G17871" s="9"/>
      <c r="J17871" s="11"/>
      <c r="U17871" s="9"/>
      <c r="X17871" s="9"/>
    </row>
    <row r="17872">
      <c r="D17872" s="9"/>
      <c r="G17872" s="9"/>
      <c r="J17872" s="11"/>
      <c r="U17872" s="9"/>
      <c r="X17872" s="9"/>
    </row>
    <row r="17873">
      <c r="D17873" s="9"/>
      <c r="G17873" s="9"/>
      <c r="J17873" s="11"/>
      <c r="U17873" s="9"/>
      <c r="X17873" s="9"/>
    </row>
    <row r="17874">
      <c r="D17874" s="9"/>
      <c r="G17874" s="9"/>
      <c r="J17874" s="11"/>
      <c r="U17874" s="9"/>
      <c r="X17874" s="9"/>
    </row>
    <row r="17875">
      <c r="D17875" s="9"/>
      <c r="G17875" s="9"/>
      <c r="J17875" s="11"/>
      <c r="U17875" s="9"/>
      <c r="X17875" s="9"/>
    </row>
    <row r="17876">
      <c r="D17876" s="9"/>
      <c r="G17876" s="9"/>
      <c r="J17876" s="11"/>
      <c r="U17876" s="9"/>
      <c r="X17876" s="9"/>
    </row>
    <row r="17877">
      <c r="D17877" s="9"/>
      <c r="G17877" s="9"/>
      <c r="J17877" s="11"/>
      <c r="U17877" s="9"/>
      <c r="X17877" s="9"/>
    </row>
    <row r="17878">
      <c r="D17878" s="9"/>
      <c r="G17878" s="9"/>
      <c r="J17878" s="11"/>
      <c r="U17878" s="9"/>
      <c r="X17878" s="9"/>
    </row>
    <row r="17879">
      <c r="D17879" s="9"/>
      <c r="G17879" s="9"/>
      <c r="J17879" s="11"/>
      <c r="U17879" s="9"/>
      <c r="X17879" s="9"/>
    </row>
    <row r="17880">
      <c r="D17880" s="9"/>
      <c r="G17880" s="9"/>
      <c r="J17880" s="11"/>
      <c r="U17880" s="9"/>
      <c r="X17880" s="9"/>
    </row>
    <row r="17881">
      <c r="D17881" s="9"/>
      <c r="G17881" s="9"/>
      <c r="J17881" s="11"/>
      <c r="U17881" s="9"/>
      <c r="X17881" s="9"/>
    </row>
    <row r="17882">
      <c r="D17882" s="9"/>
      <c r="G17882" s="9"/>
      <c r="J17882" s="11"/>
      <c r="U17882" s="9"/>
      <c r="X17882" s="9"/>
    </row>
    <row r="17883">
      <c r="D17883" s="9"/>
      <c r="G17883" s="9"/>
      <c r="J17883" s="11"/>
      <c r="U17883" s="9"/>
      <c r="X17883" s="9"/>
    </row>
    <row r="17884">
      <c r="D17884" s="9"/>
      <c r="G17884" s="9"/>
      <c r="J17884" s="11"/>
      <c r="U17884" s="9"/>
      <c r="X17884" s="9"/>
    </row>
    <row r="17885">
      <c r="D17885" s="9"/>
      <c r="G17885" s="9"/>
      <c r="J17885" s="11"/>
      <c r="U17885" s="9"/>
      <c r="X17885" s="9"/>
    </row>
    <row r="17886">
      <c r="D17886" s="9"/>
      <c r="G17886" s="9"/>
      <c r="J17886" s="11"/>
      <c r="U17886" s="9"/>
      <c r="X17886" s="9"/>
    </row>
    <row r="17887">
      <c r="D17887" s="9"/>
      <c r="G17887" s="9"/>
      <c r="J17887" s="11"/>
      <c r="U17887" s="9"/>
      <c r="X17887" s="9"/>
    </row>
    <row r="17888">
      <c r="D17888" s="9"/>
      <c r="G17888" s="9"/>
      <c r="J17888" s="11"/>
      <c r="U17888" s="9"/>
      <c r="X17888" s="9"/>
    </row>
    <row r="17889">
      <c r="D17889" s="9"/>
      <c r="G17889" s="9"/>
      <c r="J17889" s="11"/>
      <c r="U17889" s="9"/>
      <c r="X17889" s="9"/>
    </row>
    <row r="17890">
      <c r="D17890" s="9"/>
      <c r="G17890" s="9"/>
      <c r="J17890" s="11"/>
      <c r="U17890" s="9"/>
      <c r="X17890" s="9"/>
    </row>
    <row r="17891">
      <c r="D17891" s="9"/>
      <c r="G17891" s="9"/>
      <c r="J17891" s="11"/>
      <c r="U17891" s="9"/>
      <c r="X17891" s="9"/>
    </row>
    <row r="17892">
      <c r="D17892" s="9"/>
      <c r="G17892" s="9"/>
      <c r="J17892" s="11"/>
      <c r="U17892" s="9"/>
      <c r="X17892" s="9"/>
    </row>
    <row r="17893">
      <c r="D17893" s="9"/>
      <c r="G17893" s="9"/>
      <c r="J17893" s="11"/>
      <c r="U17893" s="9"/>
      <c r="X17893" s="9"/>
    </row>
    <row r="17894">
      <c r="D17894" s="9"/>
      <c r="G17894" s="9"/>
      <c r="J17894" s="11"/>
      <c r="U17894" s="9"/>
      <c r="X17894" s="9"/>
    </row>
    <row r="17895">
      <c r="D17895" s="9"/>
      <c r="G17895" s="9"/>
      <c r="J17895" s="11"/>
      <c r="U17895" s="9"/>
      <c r="X17895" s="9"/>
    </row>
    <row r="17896">
      <c r="D17896" s="9"/>
      <c r="G17896" s="9"/>
      <c r="J17896" s="11"/>
      <c r="U17896" s="9"/>
      <c r="X17896" s="9"/>
    </row>
    <row r="17897">
      <c r="D17897" s="9"/>
      <c r="G17897" s="9"/>
      <c r="J17897" s="11"/>
      <c r="U17897" s="9"/>
      <c r="X17897" s="9"/>
    </row>
    <row r="17898">
      <c r="D17898" s="9"/>
      <c r="G17898" s="9"/>
      <c r="J17898" s="11"/>
      <c r="U17898" s="9"/>
      <c r="X17898" s="9"/>
    </row>
    <row r="17899">
      <c r="D17899" s="9"/>
      <c r="G17899" s="9"/>
      <c r="J17899" s="11"/>
      <c r="U17899" s="9"/>
      <c r="X17899" s="9"/>
    </row>
    <row r="17900">
      <c r="D17900" s="9"/>
      <c r="G17900" s="9"/>
      <c r="J17900" s="11"/>
      <c r="U17900" s="9"/>
      <c r="X17900" s="9"/>
    </row>
    <row r="17901">
      <c r="D17901" s="9"/>
      <c r="G17901" s="9"/>
      <c r="J17901" s="11"/>
      <c r="U17901" s="9"/>
      <c r="X17901" s="9"/>
    </row>
    <row r="17902">
      <c r="D17902" s="9"/>
      <c r="G17902" s="9"/>
      <c r="J17902" s="11"/>
      <c r="U17902" s="9"/>
      <c r="X17902" s="9"/>
    </row>
    <row r="17903">
      <c r="D17903" s="9"/>
      <c r="G17903" s="9"/>
      <c r="J17903" s="11"/>
      <c r="U17903" s="9"/>
      <c r="X17903" s="9"/>
    </row>
    <row r="17904">
      <c r="D17904" s="9"/>
      <c r="G17904" s="9"/>
      <c r="J17904" s="11"/>
      <c r="U17904" s="9"/>
      <c r="X17904" s="9"/>
    </row>
    <row r="17905">
      <c r="D17905" s="9"/>
      <c r="G17905" s="9"/>
      <c r="J17905" s="11"/>
      <c r="U17905" s="9"/>
      <c r="X17905" s="9"/>
    </row>
    <row r="17906">
      <c r="D17906" s="9"/>
      <c r="G17906" s="9"/>
      <c r="J17906" s="11"/>
      <c r="U17906" s="9"/>
      <c r="X17906" s="9"/>
    </row>
    <row r="17907">
      <c r="D17907" s="9"/>
      <c r="G17907" s="9"/>
      <c r="J17907" s="11"/>
      <c r="U17907" s="9"/>
      <c r="X17907" s="9"/>
    </row>
    <row r="17908">
      <c r="D17908" s="9"/>
      <c r="G17908" s="9"/>
      <c r="J17908" s="11"/>
      <c r="U17908" s="9"/>
      <c r="X17908" s="9"/>
    </row>
    <row r="17909">
      <c r="D17909" s="9"/>
      <c r="G17909" s="9"/>
      <c r="J17909" s="11"/>
      <c r="U17909" s="9"/>
      <c r="X17909" s="9"/>
    </row>
    <row r="17910">
      <c r="D17910" s="9"/>
      <c r="G17910" s="9"/>
      <c r="J17910" s="11"/>
      <c r="U17910" s="9"/>
      <c r="X17910" s="9"/>
    </row>
    <row r="17911">
      <c r="D17911" s="9"/>
      <c r="G17911" s="9"/>
      <c r="J17911" s="11"/>
      <c r="U17911" s="9"/>
      <c r="X17911" s="9"/>
    </row>
    <row r="17912">
      <c r="D17912" s="9"/>
      <c r="G17912" s="9"/>
      <c r="J17912" s="11"/>
      <c r="U17912" s="9"/>
      <c r="X17912" s="9"/>
    </row>
    <row r="17913">
      <c r="D17913" s="9"/>
      <c r="G17913" s="9"/>
      <c r="J17913" s="11"/>
      <c r="U17913" s="9"/>
      <c r="X17913" s="9"/>
    </row>
    <row r="17914">
      <c r="D17914" s="9"/>
      <c r="G17914" s="9"/>
      <c r="J17914" s="11"/>
      <c r="U17914" s="9"/>
      <c r="X17914" s="9"/>
    </row>
    <row r="17915">
      <c r="D17915" s="9"/>
      <c r="G17915" s="9"/>
      <c r="J17915" s="11"/>
      <c r="U17915" s="9"/>
      <c r="X17915" s="9"/>
    </row>
    <row r="17916">
      <c r="D17916" s="9"/>
      <c r="G17916" s="9"/>
      <c r="J17916" s="11"/>
      <c r="U17916" s="9"/>
      <c r="X17916" s="9"/>
    </row>
    <row r="17917">
      <c r="D17917" s="9"/>
      <c r="G17917" s="9"/>
      <c r="J17917" s="11"/>
      <c r="U17917" s="9"/>
      <c r="X17917" s="9"/>
    </row>
    <row r="17918">
      <c r="D17918" s="9"/>
      <c r="G17918" s="9"/>
      <c r="J17918" s="11"/>
      <c r="U17918" s="9"/>
      <c r="X17918" s="9"/>
    </row>
    <row r="17919">
      <c r="D17919" s="9"/>
      <c r="G17919" s="9"/>
      <c r="J17919" s="11"/>
      <c r="U17919" s="9"/>
      <c r="X17919" s="9"/>
    </row>
    <row r="17920">
      <c r="D17920" s="9"/>
      <c r="G17920" s="9"/>
      <c r="J17920" s="11"/>
      <c r="U17920" s="9"/>
      <c r="X17920" s="9"/>
    </row>
    <row r="17921">
      <c r="D17921" s="9"/>
      <c r="G17921" s="9"/>
      <c r="J17921" s="11"/>
      <c r="U17921" s="9"/>
      <c r="X17921" s="9"/>
    </row>
    <row r="17922">
      <c r="D17922" s="9"/>
      <c r="G17922" s="9"/>
      <c r="J17922" s="11"/>
      <c r="U17922" s="9"/>
      <c r="X17922" s="9"/>
    </row>
    <row r="17923">
      <c r="D17923" s="9"/>
      <c r="G17923" s="9"/>
      <c r="J17923" s="11"/>
      <c r="U17923" s="9"/>
      <c r="X17923" s="9"/>
    </row>
    <row r="17924">
      <c r="D17924" s="9"/>
      <c r="G17924" s="9"/>
      <c r="J17924" s="11"/>
      <c r="U17924" s="9"/>
      <c r="X17924" s="9"/>
    </row>
    <row r="17925">
      <c r="D17925" s="9"/>
      <c r="G17925" s="9"/>
      <c r="J17925" s="11"/>
      <c r="U17925" s="9"/>
      <c r="X17925" s="9"/>
    </row>
    <row r="17926">
      <c r="D17926" s="9"/>
      <c r="G17926" s="9"/>
      <c r="J17926" s="11"/>
      <c r="U17926" s="9"/>
      <c r="X17926" s="9"/>
    </row>
    <row r="17927">
      <c r="D17927" s="9"/>
      <c r="G17927" s="9"/>
      <c r="J17927" s="11"/>
      <c r="U17927" s="9"/>
      <c r="X17927" s="9"/>
    </row>
    <row r="17928">
      <c r="D17928" s="9"/>
      <c r="G17928" s="9"/>
      <c r="J17928" s="11"/>
      <c r="U17928" s="9"/>
      <c r="X17928" s="9"/>
    </row>
    <row r="17929">
      <c r="D17929" s="9"/>
      <c r="G17929" s="9"/>
      <c r="J17929" s="11"/>
      <c r="U17929" s="9"/>
      <c r="X17929" s="9"/>
    </row>
    <row r="17930">
      <c r="D17930" s="9"/>
      <c r="G17930" s="9"/>
      <c r="J17930" s="11"/>
      <c r="U17930" s="9"/>
      <c r="X17930" s="9"/>
    </row>
    <row r="17931">
      <c r="D17931" s="9"/>
      <c r="G17931" s="9"/>
      <c r="J17931" s="11"/>
      <c r="U17931" s="9"/>
      <c r="X17931" s="9"/>
    </row>
    <row r="17932">
      <c r="D17932" s="9"/>
      <c r="G17932" s="9"/>
      <c r="J17932" s="11"/>
      <c r="U17932" s="9"/>
      <c r="X17932" s="9"/>
    </row>
    <row r="17933">
      <c r="D17933" s="9"/>
      <c r="G17933" s="9"/>
      <c r="J17933" s="11"/>
      <c r="U17933" s="9"/>
      <c r="X17933" s="9"/>
    </row>
    <row r="17934">
      <c r="D17934" s="9"/>
      <c r="G17934" s="9"/>
      <c r="J17934" s="11"/>
      <c r="U17934" s="9"/>
      <c r="X17934" s="9"/>
    </row>
    <row r="17935">
      <c r="D17935" s="9"/>
      <c r="G17935" s="9"/>
      <c r="J17935" s="11"/>
      <c r="U17935" s="9"/>
      <c r="X17935" s="9"/>
    </row>
    <row r="17936">
      <c r="D17936" s="9"/>
      <c r="G17936" s="9"/>
      <c r="J17936" s="11"/>
      <c r="U17936" s="9"/>
      <c r="X17936" s="9"/>
    </row>
    <row r="17937">
      <c r="D17937" s="9"/>
      <c r="G17937" s="9"/>
      <c r="J17937" s="11"/>
      <c r="U17937" s="9"/>
      <c r="X17937" s="9"/>
    </row>
    <row r="17938">
      <c r="D17938" s="9"/>
      <c r="G17938" s="9"/>
      <c r="J17938" s="11"/>
      <c r="U17938" s="9"/>
      <c r="X17938" s="9"/>
    </row>
    <row r="17939">
      <c r="D17939" s="9"/>
      <c r="G17939" s="9"/>
      <c r="J17939" s="11"/>
      <c r="U17939" s="9"/>
      <c r="X17939" s="9"/>
    </row>
    <row r="17940">
      <c r="D17940" s="9"/>
      <c r="G17940" s="9"/>
      <c r="J17940" s="11"/>
      <c r="U17940" s="9"/>
      <c r="X17940" s="9"/>
    </row>
    <row r="17941">
      <c r="D17941" s="9"/>
      <c r="G17941" s="9"/>
      <c r="J17941" s="11"/>
      <c r="U17941" s="9"/>
      <c r="X17941" s="9"/>
    </row>
    <row r="17942">
      <c r="D17942" s="9"/>
      <c r="G17942" s="9"/>
      <c r="J17942" s="11"/>
      <c r="U17942" s="9"/>
      <c r="X17942" s="9"/>
    </row>
    <row r="17943">
      <c r="D17943" s="9"/>
      <c r="G17943" s="9"/>
      <c r="J17943" s="11"/>
      <c r="U17943" s="9"/>
      <c r="X17943" s="9"/>
    </row>
    <row r="17944">
      <c r="D17944" s="9"/>
      <c r="G17944" s="9"/>
      <c r="J17944" s="11"/>
      <c r="U17944" s="9"/>
      <c r="X17944" s="9"/>
    </row>
    <row r="17945">
      <c r="D17945" s="9"/>
      <c r="G17945" s="9"/>
      <c r="J17945" s="11"/>
      <c r="U17945" s="9"/>
      <c r="X17945" s="9"/>
    </row>
    <row r="17946">
      <c r="D17946" s="9"/>
      <c r="G17946" s="9"/>
      <c r="J17946" s="11"/>
      <c r="U17946" s="9"/>
      <c r="X17946" s="9"/>
    </row>
    <row r="17947">
      <c r="D17947" s="9"/>
      <c r="G17947" s="9"/>
      <c r="J17947" s="11"/>
      <c r="U17947" s="9"/>
      <c r="X17947" s="9"/>
    </row>
    <row r="17948">
      <c r="D17948" s="9"/>
      <c r="G17948" s="9"/>
      <c r="J17948" s="11"/>
      <c r="U17948" s="9"/>
      <c r="X17948" s="9"/>
    </row>
    <row r="17949">
      <c r="D17949" s="9"/>
      <c r="G17949" s="9"/>
      <c r="J17949" s="11"/>
      <c r="U17949" s="9"/>
      <c r="X17949" s="9"/>
    </row>
    <row r="17950">
      <c r="D17950" s="9"/>
      <c r="G17950" s="9"/>
      <c r="J17950" s="11"/>
      <c r="U17950" s="9"/>
      <c r="X17950" s="9"/>
    </row>
    <row r="17951">
      <c r="D17951" s="9"/>
      <c r="G17951" s="9"/>
      <c r="J17951" s="11"/>
      <c r="U17951" s="9"/>
      <c r="X17951" s="9"/>
    </row>
    <row r="17952">
      <c r="D17952" s="9"/>
      <c r="G17952" s="9"/>
      <c r="J17952" s="11"/>
      <c r="U17952" s="9"/>
      <c r="X17952" s="9"/>
    </row>
    <row r="17953">
      <c r="D17953" s="9"/>
      <c r="G17953" s="9"/>
      <c r="J17953" s="11"/>
      <c r="U17953" s="9"/>
      <c r="X17953" s="9"/>
    </row>
    <row r="17954">
      <c r="D17954" s="9"/>
      <c r="G17954" s="9"/>
      <c r="J17954" s="11"/>
      <c r="U17954" s="9"/>
      <c r="X17954" s="9"/>
    </row>
    <row r="17955">
      <c r="D17955" s="9"/>
      <c r="G17955" s="9"/>
      <c r="J17955" s="11"/>
      <c r="U17955" s="9"/>
      <c r="X17955" s="9"/>
    </row>
    <row r="17956">
      <c r="D17956" s="9"/>
      <c r="G17956" s="9"/>
      <c r="J17956" s="11"/>
      <c r="U17956" s="9"/>
      <c r="X17956" s="9"/>
    </row>
    <row r="17957">
      <c r="D17957" s="9"/>
      <c r="G17957" s="9"/>
      <c r="J17957" s="11"/>
      <c r="U17957" s="9"/>
      <c r="X17957" s="9"/>
    </row>
    <row r="17958">
      <c r="D17958" s="9"/>
      <c r="G17958" s="9"/>
      <c r="J17958" s="11"/>
      <c r="U17958" s="9"/>
      <c r="X17958" s="9"/>
    </row>
    <row r="17959">
      <c r="D17959" s="9"/>
      <c r="G17959" s="9"/>
      <c r="J17959" s="11"/>
      <c r="U17959" s="9"/>
      <c r="X17959" s="9"/>
    </row>
    <row r="17960">
      <c r="D17960" s="9"/>
      <c r="G17960" s="9"/>
      <c r="J17960" s="11"/>
      <c r="U17960" s="9"/>
      <c r="X17960" s="9"/>
    </row>
    <row r="17961">
      <c r="D17961" s="9"/>
      <c r="G17961" s="9"/>
      <c r="J17961" s="11"/>
      <c r="U17961" s="9"/>
      <c r="X17961" s="9"/>
    </row>
    <row r="17962">
      <c r="D17962" s="9"/>
      <c r="G17962" s="9"/>
      <c r="J17962" s="11"/>
      <c r="U17962" s="9"/>
      <c r="X17962" s="9"/>
    </row>
    <row r="17963">
      <c r="D17963" s="9"/>
      <c r="G17963" s="9"/>
      <c r="J17963" s="11"/>
      <c r="U17963" s="9"/>
      <c r="X17963" s="9"/>
    </row>
    <row r="17964">
      <c r="D17964" s="9"/>
      <c r="G17964" s="9"/>
      <c r="J17964" s="11"/>
      <c r="U17964" s="9"/>
      <c r="X17964" s="9"/>
    </row>
    <row r="17965">
      <c r="D17965" s="9"/>
      <c r="G17965" s="9"/>
      <c r="J17965" s="11"/>
      <c r="U17965" s="9"/>
      <c r="X17965" s="9"/>
    </row>
    <row r="17966">
      <c r="D17966" s="9"/>
      <c r="G17966" s="9"/>
      <c r="J17966" s="11"/>
      <c r="U17966" s="9"/>
      <c r="X17966" s="9"/>
    </row>
    <row r="17967">
      <c r="D17967" s="9"/>
      <c r="G17967" s="9"/>
      <c r="J17967" s="11"/>
      <c r="U17967" s="9"/>
      <c r="X17967" s="9"/>
    </row>
    <row r="17968">
      <c r="D17968" s="9"/>
      <c r="G17968" s="9"/>
      <c r="J17968" s="11"/>
      <c r="U17968" s="9"/>
      <c r="X17968" s="9"/>
    </row>
    <row r="17969">
      <c r="D17969" s="9"/>
      <c r="G17969" s="9"/>
      <c r="J17969" s="11"/>
      <c r="U17969" s="9"/>
      <c r="X17969" s="9"/>
    </row>
    <row r="17970">
      <c r="D17970" s="9"/>
      <c r="G17970" s="9"/>
      <c r="J17970" s="11"/>
      <c r="U17970" s="9"/>
      <c r="X17970" s="9"/>
    </row>
    <row r="17971">
      <c r="D17971" s="9"/>
      <c r="G17971" s="9"/>
      <c r="J17971" s="11"/>
      <c r="U17971" s="9"/>
      <c r="X17971" s="9"/>
    </row>
    <row r="17972">
      <c r="D17972" s="9"/>
      <c r="G17972" s="9"/>
      <c r="J17972" s="11"/>
      <c r="U17972" s="9"/>
      <c r="X17972" s="9"/>
    </row>
    <row r="17973">
      <c r="D17973" s="9"/>
      <c r="G17973" s="9"/>
      <c r="J17973" s="11"/>
      <c r="U17973" s="9"/>
      <c r="X17973" s="9"/>
    </row>
    <row r="17974">
      <c r="D17974" s="9"/>
      <c r="G17974" s="9"/>
      <c r="J17974" s="11"/>
      <c r="U17974" s="9"/>
      <c r="X17974" s="9"/>
    </row>
    <row r="17975">
      <c r="D17975" s="9"/>
      <c r="G17975" s="9"/>
      <c r="J17975" s="11"/>
      <c r="U17975" s="9"/>
      <c r="X17975" s="9"/>
    </row>
    <row r="17976">
      <c r="D17976" s="9"/>
      <c r="G17976" s="9"/>
      <c r="J17976" s="11"/>
      <c r="U17976" s="9"/>
      <c r="X17976" s="9"/>
    </row>
    <row r="17977">
      <c r="D17977" s="9"/>
      <c r="G17977" s="9"/>
      <c r="J17977" s="11"/>
      <c r="U17977" s="9"/>
      <c r="X17977" s="9"/>
    </row>
    <row r="17978">
      <c r="D17978" s="9"/>
      <c r="G17978" s="9"/>
      <c r="J17978" s="11"/>
      <c r="U17978" s="9"/>
      <c r="X17978" s="9"/>
    </row>
    <row r="17979">
      <c r="D17979" s="9"/>
      <c r="G17979" s="9"/>
      <c r="J17979" s="11"/>
      <c r="U17979" s="9"/>
      <c r="X17979" s="9"/>
    </row>
    <row r="17980">
      <c r="D17980" s="9"/>
      <c r="G17980" s="9"/>
      <c r="J17980" s="11"/>
      <c r="U17980" s="9"/>
      <c r="X17980" s="9"/>
    </row>
    <row r="17981">
      <c r="D17981" s="9"/>
      <c r="G17981" s="9"/>
      <c r="J17981" s="11"/>
      <c r="U17981" s="9"/>
      <c r="X17981" s="9"/>
    </row>
    <row r="17982">
      <c r="D17982" s="9"/>
      <c r="G17982" s="9"/>
      <c r="J17982" s="11"/>
      <c r="U17982" s="9"/>
      <c r="X17982" s="9"/>
    </row>
    <row r="17983">
      <c r="D17983" s="9"/>
      <c r="G17983" s="9"/>
      <c r="J17983" s="11"/>
      <c r="U17983" s="9"/>
      <c r="X17983" s="9"/>
    </row>
    <row r="17984">
      <c r="D17984" s="9"/>
      <c r="G17984" s="9"/>
      <c r="J17984" s="11"/>
      <c r="U17984" s="9"/>
      <c r="X17984" s="9"/>
    </row>
    <row r="17985">
      <c r="D17985" s="9"/>
      <c r="G17985" s="9"/>
      <c r="J17985" s="11"/>
      <c r="U17985" s="9"/>
      <c r="X17985" s="9"/>
    </row>
    <row r="17986">
      <c r="D17986" s="9"/>
      <c r="G17986" s="9"/>
      <c r="J17986" s="11"/>
      <c r="U17986" s="9"/>
      <c r="X17986" s="9"/>
    </row>
    <row r="17987">
      <c r="D17987" s="9"/>
      <c r="G17987" s="9"/>
      <c r="J17987" s="11"/>
      <c r="U17987" s="9"/>
      <c r="X17987" s="9"/>
    </row>
    <row r="17988">
      <c r="D17988" s="9"/>
      <c r="G17988" s="9"/>
      <c r="J17988" s="11"/>
      <c r="U17988" s="9"/>
      <c r="X17988" s="9"/>
    </row>
    <row r="17989">
      <c r="D17989" s="9"/>
      <c r="G17989" s="9"/>
      <c r="J17989" s="11"/>
      <c r="U17989" s="9"/>
      <c r="X17989" s="9"/>
    </row>
    <row r="17990">
      <c r="D17990" s="9"/>
      <c r="G17990" s="9"/>
      <c r="J17990" s="11"/>
      <c r="U17990" s="9"/>
      <c r="X17990" s="9"/>
    </row>
    <row r="17991">
      <c r="D17991" s="9"/>
      <c r="G17991" s="9"/>
      <c r="J17991" s="11"/>
      <c r="U17991" s="9"/>
      <c r="X17991" s="9"/>
    </row>
    <row r="17992">
      <c r="D17992" s="9"/>
      <c r="G17992" s="9"/>
      <c r="J17992" s="11"/>
      <c r="U17992" s="9"/>
      <c r="X17992" s="9"/>
    </row>
    <row r="17993">
      <c r="D17993" s="9"/>
      <c r="G17993" s="9"/>
      <c r="J17993" s="11"/>
      <c r="U17993" s="9"/>
      <c r="X17993" s="9"/>
    </row>
    <row r="17994">
      <c r="D17994" s="9"/>
      <c r="G17994" s="9"/>
      <c r="J17994" s="11"/>
      <c r="U17994" s="9"/>
      <c r="X17994" s="9"/>
    </row>
    <row r="17995">
      <c r="D17995" s="9"/>
      <c r="G17995" s="9"/>
      <c r="J17995" s="11"/>
      <c r="U17995" s="9"/>
      <c r="X17995" s="9"/>
    </row>
    <row r="17996">
      <c r="D17996" s="9"/>
      <c r="G17996" s="9"/>
      <c r="J17996" s="11"/>
      <c r="U17996" s="9"/>
      <c r="X17996" s="9"/>
    </row>
    <row r="17997">
      <c r="D17997" s="9"/>
      <c r="G17997" s="9"/>
      <c r="J17997" s="11"/>
      <c r="U17997" s="9"/>
      <c r="X17997" s="9"/>
    </row>
    <row r="17998">
      <c r="D17998" s="9"/>
      <c r="G17998" s="9"/>
      <c r="J17998" s="11"/>
      <c r="U17998" s="9"/>
      <c r="X17998" s="9"/>
    </row>
    <row r="17999">
      <c r="D17999" s="9"/>
      <c r="G17999" s="9"/>
      <c r="J17999" s="11"/>
      <c r="U17999" s="9"/>
      <c r="X17999" s="9"/>
    </row>
    <row r="18000">
      <c r="D18000" s="9"/>
      <c r="G18000" s="9"/>
      <c r="J18000" s="11"/>
      <c r="U18000" s="9"/>
      <c r="X18000" s="9"/>
    </row>
    <row r="18001">
      <c r="D18001" s="9"/>
      <c r="G18001" s="9"/>
      <c r="J18001" s="11"/>
      <c r="U18001" s="9"/>
      <c r="X18001" s="9"/>
    </row>
    <row r="18002">
      <c r="D18002" s="9"/>
      <c r="G18002" s="9"/>
      <c r="J18002" s="11"/>
      <c r="U18002" s="9"/>
      <c r="X18002" s="9"/>
    </row>
    <row r="18003">
      <c r="D18003" s="9"/>
      <c r="G18003" s="9"/>
      <c r="J18003" s="11"/>
      <c r="U18003" s="9"/>
      <c r="X18003" s="9"/>
    </row>
    <row r="18004">
      <c r="D18004" s="9"/>
      <c r="G18004" s="9"/>
      <c r="J18004" s="11"/>
      <c r="U18004" s="9"/>
      <c r="X18004" s="9"/>
    </row>
    <row r="18005">
      <c r="D18005" s="9"/>
      <c r="G18005" s="9"/>
      <c r="J18005" s="11"/>
      <c r="U18005" s="9"/>
      <c r="X18005" s="9"/>
    </row>
    <row r="18006">
      <c r="D18006" s="9"/>
      <c r="G18006" s="9"/>
      <c r="J18006" s="11"/>
      <c r="U18006" s="9"/>
      <c r="X18006" s="9"/>
    </row>
    <row r="18007">
      <c r="D18007" s="9"/>
      <c r="G18007" s="9"/>
      <c r="J18007" s="11"/>
      <c r="U18007" s="9"/>
      <c r="X18007" s="9"/>
    </row>
    <row r="18008">
      <c r="D18008" s="9"/>
      <c r="G18008" s="9"/>
      <c r="J18008" s="11"/>
      <c r="U18008" s="9"/>
      <c r="X18008" s="9"/>
    </row>
    <row r="18009">
      <c r="D18009" s="9"/>
      <c r="G18009" s="9"/>
      <c r="J18009" s="11"/>
      <c r="U18009" s="9"/>
      <c r="X18009" s="9"/>
    </row>
    <row r="18010">
      <c r="D18010" s="9"/>
      <c r="G18010" s="9"/>
      <c r="J18010" s="11"/>
      <c r="U18010" s="9"/>
      <c r="X18010" s="9"/>
    </row>
    <row r="18011">
      <c r="D18011" s="9"/>
      <c r="G18011" s="9"/>
      <c r="J18011" s="11"/>
      <c r="U18011" s="9"/>
      <c r="X18011" s="9"/>
    </row>
    <row r="18012">
      <c r="D18012" s="9"/>
      <c r="G18012" s="9"/>
      <c r="J18012" s="11"/>
      <c r="U18012" s="9"/>
      <c r="X18012" s="9"/>
    </row>
    <row r="18013">
      <c r="D18013" s="9"/>
      <c r="G18013" s="9"/>
      <c r="J18013" s="11"/>
      <c r="U18013" s="9"/>
      <c r="X18013" s="9"/>
    </row>
    <row r="18014">
      <c r="D18014" s="9"/>
      <c r="G18014" s="9"/>
      <c r="J18014" s="11"/>
      <c r="U18014" s="9"/>
      <c r="X18014" s="9"/>
    </row>
    <row r="18015">
      <c r="D18015" s="9"/>
      <c r="G18015" s="9"/>
      <c r="J18015" s="11"/>
      <c r="U18015" s="9"/>
      <c r="X18015" s="9"/>
    </row>
    <row r="18016">
      <c r="D18016" s="9"/>
      <c r="G18016" s="9"/>
      <c r="J18016" s="11"/>
      <c r="U18016" s="9"/>
      <c r="X18016" s="9"/>
    </row>
    <row r="18017">
      <c r="D18017" s="9"/>
      <c r="G18017" s="9"/>
      <c r="J18017" s="11"/>
      <c r="U18017" s="9"/>
      <c r="X18017" s="9"/>
    </row>
    <row r="18018">
      <c r="D18018" s="9"/>
      <c r="G18018" s="9"/>
      <c r="J18018" s="11"/>
      <c r="U18018" s="9"/>
      <c r="X18018" s="9"/>
    </row>
    <row r="18019">
      <c r="D18019" s="9"/>
      <c r="G18019" s="9"/>
      <c r="J18019" s="11"/>
      <c r="U18019" s="9"/>
      <c r="X18019" s="9"/>
    </row>
    <row r="18020">
      <c r="D18020" s="9"/>
      <c r="G18020" s="9"/>
      <c r="J18020" s="11"/>
      <c r="U18020" s="9"/>
      <c r="X18020" s="9"/>
    </row>
    <row r="18021">
      <c r="D18021" s="9"/>
      <c r="G18021" s="9"/>
      <c r="J18021" s="11"/>
      <c r="U18021" s="9"/>
      <c r="X18021" s="9"/>
    </row>
    <row r="18022">
      <c r="D18022" s="9"/>
      <c r="G18022" s="9"/>
      <c r="J18022" s="11"/>
      <c r="U18022" s="9"/>
      <c r="X18022" s="9"/>
    </row>
    <row r="18023">
      <c r="D18023" s="9"/>
      <c r="G18023" s="9"/>
      <c r="J18023" s="11"/>
      <c r="U18023" s="9"/>
      <c r="X18023" s="9"/>
    </row>
    <row r="18024">
      <c r="D18024" s="9"/>
      <c r="G18024" s="9"/>
      <c r="J18024" s="11"/>
      <c r="U18024" s="9"/>
      <c r="X18024" s="9"/>
    </row>
    <row r="18025">
      <c r="D18025" s="9"/>
      <c r="G18025" s="9"/>
      <c r="J18025" s="11"/>
      <c r="U18025" s="9"/>
      <c r="X18025" s="9"/>
    </row>
    <row r="18026">
      <c r="D18026" s="9"/>
      <c r="G18026" s="9"/>
      <c r="J18026" s="11"/>
      <c r="U18026" s="9"/>
      <c r="X18026" s="9"/>
    </row>
    <row r="18027">
      <c r="D18027" s="9"/>
      <c r="G18027" s="9"/>
      <c r="J18027" s="11"/>
      <c r="U18027" s="9"/>
      <c r="X18027" s="9"/>
    </row>
    <row r="18028">
      <c r="D18028" s="9"/>
      <c r="G18028" s="9"/>
      <c r="J18028" s="11"/>
      <c r="U18028" s="9"/>
      <c r="X18028" s="9"/>
    </row>
    <row r="18029">
      <c r="D18029" s="9"/>
      <c r="G18029" s="9"/>
      <c r="J18029" s="11"/>
      <c r="U18029" s="9"/>
      <c r="X18029" s="9"/>
    </row>
    <row r="18030">
      <c r="D18030" s="9"/>
      <c r="G18030" s="9"/>
      <c r="J18030" s="11"/>
      <c r="U18030" s="9"/>
      <c r="X18030" s="9"/>
    </row>
    <row r="18031">
      <c r="D18031" s="9"/>
      <c r="G18031" s="9"/>
      <c r="J18031" s="11"/>
      <c r="U18031" s="9"/>
      <c r="X18031" s="9"/>
    </row>
    <row r="18032">
      <c r="D18032" s="9"/>
      <c r="G18032" s="9"/>
      <c r="J18032" s="11"/>
      <c r="U18032" s="9"/>
      <c r="X18032" s="9"/>
    </row>
    <row r="18033">
      <c r="D18033" s="9"/>
      <c r="G18033" s="9"/>
      <c r="J18033" s="11"/>
      <c r="U18033" s="9"/>
      <c r="X18033" s="9"/>
    </row>
    <row r="18034">
      <c r="D18034" s="9"/>
      <c r="G18034" s="9"/>
      <c r="J18034" s="11"/>
      <c r="U18034" s="9"/>
      <c r="X18034" s="9"/>
    </row>
    <row r="18035">
      <c r="D18035" s="9"/>
      <c r="G18035" s="9"/>
      <c r="J18035" s="11"/>
      <c r="U18035" s="9"/>
      <c r="X18035" s="9"/>
    </row>
    <row r="18036">
      <c r="D18036" s="9"/>
      <c r="G18036" s="9"/>
      <c r="J18036" s="11"/>
      <c r="U18036" s="9"/>
      <c r="X18036" s="9"/>
    </row>
    <row r="18037">
      <c r="D18037" s="9"/>
      <c r="G18037" s="9"/>
      <c r="J18037" s="11"/>
      <c r="U18037" s="9"/>
      <c r="X18037" s="9"/>
    </row>
    <row r="18038">
      <c r="D18038" s="9"/>
      <c r="G18038" s="9"/>
      <c r="J18038" s="11"/>
      <c r="U18038" s="9"/>
      <c r="X18038" s="9"/>
    </row>
    <row r="18039">
      <c r="D18039" s="9"/>
      <c r="G18039" s="9"/>
      <c r="J18039" s="11"/>
      <c r="U18039" s="9"/>
      <c r="X18039" s="9"/>
    </row>
    <row r="18040">
      <c r="D18040" s="9"/>
      <c r="G18040" s="9"/>
      <c r="J18040" s="11"/>
      <c r="U18040" s="9"/>
      <c r="X18040" s="9"/>
    </row>
    <row r="18041">
      <c r="D18041" s="9"/>
      <c r="G18041" s="9"/>
      <c r="J18041" s="11"/>
      <c r="U18041" s="9"/>
      <c r="X18041" s="9"/>
    </row>
    <row r="18042">
      <c r="D18042" s="9"/>
      <c r="G18042" s="9"/>
      <c r="J18042" s="11"/>
      <c r="U18042" s="9"/>
      <c r="X18042" s="9"/>
    </row>
    <row r="18043">
      <c r="D18043" s="9"/>
      <c r="G18043" s="9"/>
      <c r="J18043" s="11"/>
      <c r="U18043" s="9"/>
      <c r="X18043" s="9"/>
    </row>
    <row r="18044">
      <c r="D18044" s="9"/>
      <c r="G18044" s="9"/>
      <c r="J18044" s="11"/>
      <c r="U18044" s="9"/>
      <c r="X18044" s="9"/>
    </row>
    <row r="18045">
      <c r="D18045" s="9"/>
      <c r="G18045" s="9"/>
      <c r="J18045" s="11"/>
      <c r="U18045" s="9"/>
      <c r="X18045" s="9"/>
    </row>
    <row r="18046">
      <c r="D18046" s="9"/>
      <c r="G18046" s="9"/>
      <c r="J18046" s="11"/>
      <c r="U18046" s="9"/>
      <c r="X18046" s="9"/>
    </row>
    <row r="18047">
      <c r="D18047" s="9"/>
      <c r="G18047" s="9"/>
      <c r="J18047" s="11"/>
      <c r="U18047" s="9"/>
      <c r="X18047" s="9"/>
    </row>
    <row r="18048">
      <c r="D18048" s="9"/>
      <c r="G18048" s="9"/>
      <c r="J18048" s="11"/>
      <c r="U18048" s="9"/>
      <c r="X18048" s="9"/>
    </row>
    <row r="18049">
      <c r="D18049" s="9"/>
      <c r="G18049" s="9"/>
      <c r="J18049" s="11"/>
      <c r="U18049" s="9"/>
      <c r="X18049" s="9"/>
    </row>
    <row r="18050">
      <c r="D18050" s="9"/>
      <c r="G18050" s="9"/>
      <c r="J18050" s="11"/>
      <c r="U18050" s="9"/>
      <c r="X18050" s="9"/>
    </row>
    <row r="18051">
      <c r="D18051" s="9"/>
      <c r="G18051" s="9"/>
      <c r="J18051" s="11"/>
      <c r="U18051" s="9"/>
      <c r="X18051" s="9"/>
    </row>
    <row r="18052">
      <c r="D18052" s="9"/>
      <c r="G18052" s="9"/>
      <c r="J18052" s="11"/>
      <c r="U18052" s="9"/>
      <c r="X18052" s="9"/>
    </row>
    <row r="18053">
      <c r="D18053" s="9"/>
      <c r="G18053" s="9"/>
      <c r="J18053" s="11"/>
      <c r="U18053" s="9"/>
      <c r="X18053" s="9"/>
    </row>
    <row r="18054">
      <c r="D18054" s="9"/>
      <c r="G18054" s="9"/>
      <c r="J18054" s="11"/>
      <c r="U18054" s="9"/>
      <c r="X18054" s="9"/>
    </row>
    <row r="18055">
      <c r="D18055" s="9"/>
      <c r="G18055" s="9"/>
      <c r="J18055" s="11"/>
      <c r="U18055" s="9"/>
      <c r="X18055" s="9"/>
    </row>
    <row r="18056">
      <c r="D18056" s="9"/>
      <c r="G18056" s="9"/>
      <c r="J18056" s="11"/>
      <c r="U18056" s="9"/>
      <c r="X18056" s="9"/>
    </row>
    <row r="18057">
      <c r="D18057" s="9"/>
      <c r="G18057" s="9"/>
      <c r="J18057" s="11"/>
      <c r="U18057" s="9"/>
      <c r="X18057" s="9"/>
    </row>
    <row r="18058">
      <c r="D18058" s="9"/>
      <c r="G18058" s="9"/>
      <c r="J18058" s="11"/>
      <c r="U18058" s="9"/>
      <c r="X18058" s="9"/>
    </row>
    <row r="18059">
      <c r="D18059" s="9"/>
      <c r="G18059" s="9"/>
      <c r="J18059" s="11"/>
      <c r="U18059" s="9"/>
      <c r="X18059" s="9"/>
    </row>
    <row r="18060">
      <c r="D18060" s="9"/>
      <c r="G18060" s="9"/>
      <c r="J18060" s="11"/>
      <c r="U18060" s="9"/>
      <c r="X18060" s="9"/>
    </row>
    <row r="18061">
      <c r="D18061" s="9"/>
      <c r="G18061" s="9"/>
      <c r="J18061" s="11"/>
      <c r="U18061" s="9"/>
      <c r="X18061" s="9"/>
    </row>
    <row r="18062">
      <c r="D18062" s="9"/>
      <c r="G18062" s="9"/>
      <c r="J18062" s="11"/>
      <c r="U18062" s="9"/>
      <c r="X18062" s="9"/>
    </row>
    <row r="18063">
      <c r="D18063" s="9"/>
      <c r="G18063" s="9"/>
      <c r="J18063" s="11"/>
      <c r="U18063" s="9"/>
      <c r="X18063" s="9"/>
    </row>
    <row r="18064">
      <c r="D18064" s="9"/>
      <c r="G18064" s="9"/>
      <c r="J18064" s="11"/>
      <c r="U18064" s="9"/>
      <c r="X18064" s="9"/>
    </row>
    <row r="18065">
      <c r="D18065" s="9"/>
      <c r="G18065" s="9"/>
      <c r="J18065" s="11"/>
      <c r="U18065" s="9"/>
      <c r="X18065" s="9"/>
    </row>
    <row r="18066">
      <c r="D18066" s="9"/>
      <c r="G18066" s="9"/>
      <c r="J18066" s="11"/>
      <c r="U18066" s="9"/>
      <c r="X18066" s="9"/>
    </row>
    <row r="18067">
      <c r="D18067" s="9"/>
      <c r="G18067" s="9"/>
      <c r="J18067" s="11"/>
      <c r="U18067" s="9"/>
      <c r="X18067" s="9"/>
    </row>
    <row r="18068">
      <c r="D18068" s="9"/>
      <c r="G18068" s="9"/>
      <c r="J18068" s="11"/>
      <c r="U18068" s="9"/>
      <c r="X18068" s="9"/>
    </row>
    <row r="18069">
      <c r="D18069" s="9"/>
      <c r="G18069" s="9"/>
      <c r="J18069" s="11"/>
      <c r="U18069" s="9"/>
      <c r="X18069" s="9"/>
    </row>
    <row r="18070">
      <c r="D18070" s="9"/>
      <c r="G18070" s="9"/>
      <c r="J18070" s="11"/>
      <c r="U18070" s="9"/>
      <c r="X18070" s="9"/>
    </row>
    <row r="18071">
      <c r="D18071" s="9"/>
      <c r="G18071" s="9"/>
      <c r="J18071" s="11"/>
      <c r="U18071" s="9"/>
      <c r="X18071" s="9"/>
    </row>
    <row r="18072">
      <c r="D18072" s="9"/>
      <c r="G18072" s="9"/>
      <c r="J18072" s="11"/>
      <c r="U18072" s="9"/>
      <c r="X18072" s="9"/>
    </row>
    <row r="18073">
      <c r="D18073" s="9"/>
      <c r="G18073" s="9"/>
      <c r="J18073" s="11"/>
      <c r="U18073" s="9"/>
      <c r="X18073" s="9"/>
    </row>
    <row r="18074">
      <c r="D18074" s="9"/>
      <c r="G18074" s="9"/>
      <c r="J18074" s="11"/>
      <c r="U18074" s="9"/>
      <c r="X18074" s="9"/>
    </row>
    <row r="18075">
      <c r="D18075" s="9"/>
      <c r="G18075" s="9"/>
      <c r="J18075" s="11"/>
      <c r="U18075" s="9"/>
      <c r="X18075" s="9"/>
    </row>
    <row r="18076">
      <c r="D18076" s="9"/>
      <c r="G18076" s="9"/>
      <c r="J18076" s="11"/>
      <c r="U18076" s="9"/>
      <c r="X18076" s="9"/>
    </row>
    <row r="18077">
      <c r="D18077" s="9"/>
      <c r="G18077" s="9"/>
      <c r="J18077" s="11"/>
      <c r="U18077" s="9"/>
      <c r="X18077" s="9"/>
    </row>
    <row r="18078">
      <c r="D18078" s="9"/>
      <c r="G18078" s="9"/>
      <c r="J18078" s="11"/>
      <c r="U18078" s="9"/>
      <c r="X18078" s="9"/>
    </row>
    <row r="18079">
      <c r="D18079" s="9"/>
      <c r="G18079" s="9"/>
      <c r="J18079" s="11"/>
      <c r="U18079" s="9"/>
      <c r="X18079" s="9"/>
    </row>
    <row r="18080">
      <c r="D18080" s="9"/>
      <c r="G18080" s="9"/>
      <c r="J18080" s="11"/>
      <c r="U18080" s="9"/>
      <c r="X18080" s="9"/>
    </row>
    <row r="18081">
      <c r="D18081" s="9"/>
      <c r="G18081" s="9"/>
      <c r="J18081" s="11"/>
      <c r="U18081" s="9"/>
      <c r="X18081" s="9"/>
    </row>
    <row r="18082">
      <c r="D18082" s="9"/>
      <c r="G18082" s="9"/>
      <c r="J18082" s="11"/>
      <c r="U18082" s="9"/>
      <c r="X18082" s="9"/>
    </row>
    <row r="18083">
      <c r="D18083" s="9"/>
      <c r="G18083" s="9"/>
      <c r="J18083" s="11"/>
      <c r="U18083" s="9"/>
      <c r="X18083" s="9"/>
    </row>
    <row r="18084">
      <c r="D18084" s="9"/>
      <c r="G18084" s="9"/>
      <c r="J18084" s="11"/>
      <c r="U18084" s="9"/>
      <c r="X18084" s="9"/>
    </row>
    <row r="18085">
      <c r="D18085" s="9"/>
      <c r="G18085" s="9"/>
      <c r="J18085" s="11"/>
      <c r="U18085" s="9"/>
      <c r="X18085" s="9"/>
    </row>
    <row r="18086">
      <c r="D18086" s="9"/>
      <c r="G18086" s="9"/>
      <c r="J18086" s="11"/>
      <c r="U18086" s="9"/>
      <c r="X18086" s="9"/>
    </row>
    <row r="18087">
      <c r="D18087" s="9"/>
      <c r="G18087" s="9"/>
      <c r="J18087" s="11"/>
      <c r="U18087" s="9"/>
      <c r="X18087" s="9"/>
    </row>
    <row r="18088">
      <c r="D18088" s="9"/>
      <c r="G18088" s="9"/>
      <c r="J18088" s="11"/>
      <c r="U18088" s="9"/>
      <c r="X18088" s="9"/>
    </row>
    <row r="18089">
      <c r="D18089" s="9"/>
      <c r="G18089" s="9"/>
      <c r="J18089" s="11"/>
      <c r="U18089" s="9"/>
      <c r="X18089" s="9"/>
    </row>
    <row r="18090">
      <c r="D18090" s="9"/>
      <c r="G18090" s="9"/>
      <c r="J18090" s="11"/>
      <c r="U18090" s="9"/>
      <c r="X18090" s="9"/>
    </row>
    <row r="18091">
      <c r="D18091" s="9"/>
      <c r="G18091" s="9"/>
      <c r="J18091" s="11"/>
      <c r="U18091" s="9"/>
      <c r="X18091" s="9"/>
    </row>
    <row r="18092">
      <c r="D18092" s="9"/>
      <c r="G18092" s="9"/>
      <c r="J18092" s="11"/>
      <c r="U18092" s="9"/>
      <c r="X18092" s="9"/>
    </row>
    <row r="18093">
      <c r="D18093" s="9"/>
      <c r="G18093" s="9"/>
      <c r="J18093" s="11"/>
      <c r="U18093" s="9"/>
      <c r="X18093" s="9"/>
    </row>
    <row r="18094">
      <c r="D18094" s="9"/>
      <c r="G18094" s="9"/>
      <c r="J18094" s="11"/>
      <c r="U18094" s="9"/>
      <c r="X18094" s="9"/>
    </row>
    <row r="18095">
      <c r="D18095" s="9"/>
      <c r="G18095" s="9"/>
      <c r="J18095" s="11"/>
      <c r="U18095" s="9"/>
      <c r="X18095" s="9"/>
    </row>
    <row r="18096">
      <c r="D18096" s="9"/>
      <c r="G18096" s="9"/>
      <c r="J18096" s="11"/>
      <c r="U18096" s="9"/>
      <c r="X18096" s="9"/>
    </row>
    <row r="18097">
      <c r="D18097" s="9"/>
      <c r="G18097" s="9"/>
      <c r="J18097" s="11"/>
      <c r="U18097" s="9"/>
      <c r="X18097" s="9"/>
    </row>
    <row r="18098">
      <c r="D18098" s="9"/>
      <c r="G18098" s="9"/>
      <c r="J18098" s="11"/>
      <c r="U18098" s="9"/>
      <c r="X18098" s="9"/>
    </row>
    <row r="18099">
      <c r="D18099" s="9"/>
      <c r="G18099" s="9"/>
      <c r="J18099" s="11"/>
      <c r="U18099" s="9"/>
      <c r="X18099" s="9"/>
    </row>
    <row r="18100">
      <c r="D18100" s="9"/>
      <c r="G18100" s="9"/>
      <c r="J18100" s="11"/>
      <c r="U18100" s="9"/>
      <c r="X18100" s="9"/>
    </row>
    <row r="18101">
      <c r="D18101" s="9"/>
      <c r="G18101" s="9"/>
      <c r="J18101" s="11"/>
      <c r="U18101" s="9"/>
      <c r="X18101" s="9"/>
    </row>
    <row r="18102">
      <c r="D18102" s="9"/>
      <c r="G18102" s="9"/>
      <c r="J18102" s="11"/>
      <c r="U18102" s="9"/>
      <c r="X18102" s="9"/>
    </row>
    <row r="18103">
      <c r="D18103" s="9"/>
      <c r="G18103" s="9"/>
      <c r="J18103" s="11"/>
      <c r="U18103" s="9"/>
      <c r="X18103" s="9"/>
    </row>
    <row r="18104">
      <c r="D18104" s="9"/>
      <c r="G18104" s="9"/>
      <c r="J18104" s="11"/>
      <c r="U18104" s="9"/>
      <c r="X18104" s="9"/>
    </row>
    <row r="18105">
      <c r="D18105" s="9"/>
      <c r="G18105" s="9"/>
      <c r="J18105" s="11"/>
      <c r="U18105" s="9"/>
      <c r="X18105" s="9"/>
    </row>
    <row r="18106">
      <c r="D18106" s="9"/>
      <c r="G18106" s="9"/>
      <c r="J18106" s="11"/>
      <c r="U18106" s="9"/>
      <c r="X18106" s="9"/>
    </row>
    <row r="18107">
      <c r="D18107" s="9"/>
      <c r="G18107" s="9"/>
      <c r="J18107" s="11"/>
      <c r="U18107" s="9"/>
      <c r="X18107" s="9"/>
    </row>
    <row r="18108">
      <c r="D18108" s="9"/>
      <c r="G18108" s="9"/>
      <c r="J18108" s="11"/>
      <c r="U18108" s="9"/>
      <c r="X18108" s="9"/>
    </row>
    <row r="18109">
      <c r="D18109" s="9"/>
      <c r="G18109" s="9"/>
      <c r="J18109" s="11"/>
      <c r="U18109" s="9"/>
      <c r="X18109" s="9"/>
    </row>
    <row r="18110">
      <c r="D18110" s="9"/>
      <c r="G18110" s="9"/>
      <c r="J18110" s="11"/>
      <c r="U18110" s="9"/>
      <c r="X18110" s="9"/>
    </row>
    <row r="18111">
      <c r="D18111" s="9"/>
      <c r="G18111" s="9"/>
      <c r="J18111" s="11"/>
      <c r="U18111" s="9"/>
      <c r="X18111" s="9"/>
    </row>
    <row r="18112">
      <c r="D18112" s="9"/>
      <c r="G18112" s="9"/>
      <c r="J18112" s="11"/>
      <c r="U18112" s="9"/>
      <c r="X18112" s="9"/>
    </row>
    <row r="18113">
      <c r="D18113" s="9"/>
      <c r="G18113" s="9"/>
      <c r="J18113" s="11"/>
      <c r="U18113" s="9"/>
      <c r="X18113" s="9"/>
    </row>
    <row r="18114">
      <c r="D18114" s="9"/>
      <c r="G18114" s="9"/>
      <c r="J18114" s="11"/>
      <c r="U18114" s="9"/>
      <c r="X18114" s="9"/>
    </row>
    <row r="18115">
      <c r="D18115" s="9"/>
      <c r="G18115" s="9"/>
      <c r="J18115" s="11"/>
      <c r="U18115" s="9"/>
      <c r="X18115" s="9"/>
    </row>
    <row r="18116">
      <c r="D18116" s="9"/>
      <c r="G18116" s="9"/>
      <c r="J18116" s="11"/>
      <c r="U18116" s="9"/>
      <c r="X18116" s="9"/>
    </row>
    <row r="18117">
      <c r="D18117" s="9"/>
      <c r="G18117" s="9"/>
      <c r="J18117" s="11"/>
      <c r="U18117" s="9"/>
      <c r="X18117" s="9"/>
    </row>
    <row r="18118">
      <c r="D18118" s="9"/>
      <c r="G18118" s="9"/>
      <c r="J18118" s="11"/>
      <c r="U18118" s="9"/>
      <c r="X18118" s="9"/>
    </row>
    <row r="18119">
      <c r="D18119" s="9"/>
      <c r="G18119" s="9"/>
      <c r="J18119" s="11"/>
      <c r="U18119" s="9"/>
      <c r="X18119" s="9"/>
    </row>
    <row r="18120">
      <c r="D18120" s="9"/>
      <c r="G18120" s="9"/>
      <c r="J18120" s="11"/>
      <c r="U18120" s="9"/>
      <c r="X18120" s="9"/>
    </row>
    <row r="18121">
      <c r="D18121" s="9"/>
      <c r="G18121" s="9"/>
      <c r="J18121" s="11"/>
      <c r="U18121" s="9"/>
      <c r="X18121" s="9"/>
    </row>
    <row r="18122">
      <c r="D18122" s="9"/>
      <c r="G18122" s="9"/>
      <c r="J18122" s="11"/>
      <c r="U18122" s="9"/>
      <c r="X18122" s="9"/>
    </row>
    <row r="18123">
      <c r="D18123" s="9"/>
      <c r="G18123" s="9"/>
      <c r="J18123" s="11"/>
      <c r="U18123" s="9"/>
      <c r="X18123" s="9"/>
    </row>
    <row r="18124">
      <c r="D18124" s="9"/>
      <c r="G18124" s="9"/>
      <c r="J18124" s="11"/>
      <c r="U18124" s="9"/>
      <c r="X18124" s="9"/>
    </row>
    <row r="18125">
      <c r="D18125" s="9"/>
      <c r="G18125" s="9"/>
      <c r="J18125" s="11"/>
      <c r="U18125" s="9"/>
      <c r="X18125" s="9"/>
    </row>
    <row r="18126">
      <c r="D18126" s="9"/>
      <c r="G18126" s="9"/>
      <c r="J18126" s="11"/>
      <c r="U18126" s="9"/>
      <c r="X18126" s="9"/>
    </row>
    <row r="18127">
      <c r="D18127" s="9"/>
      <c r="G18127" s="9"/>
      <c r="J18127" s="11"/>
      <c r="U18127" s="9"/>
      <c r="X18127" s="9"/>
    </row>
    <row r="18128">
      <c r="D18128" s="9"/>
      <c r="G18128" s="9"/>
      <c r="J18128" s="11"/>
      <c r="U18128" s="9"/>
      <c r="X18128" s="9"/>
    </row>
    <row r="18129">
      <c r="D18129" s="9"/>
      <c r="G18129" s="9"/>
      <c r="J18129" s="11"/>
      <c r="U18129" s="9"/>
      <c r="X18129" s="9"/>
    </row>
    <row r="18130">
      <c r="D18130" s="9"/>
      <c r="G18130" s="9"/>
      <c r="J18130" s="11"/>
      <c r="U18130" s="9"/>
      <c r="X18130" s="9"/>
    </row>
    <row r="18131">
      <c r="D18131" s="9"/>
      <c r="G18131" s="9"/>
      <c r="J18131" s="11"/>
      <c r="U18131" s="9"/>
      <c r="X18131" s="9"/>
    </row>
    <row r="18132">
      <c r="D18132" s="9"/>
      <c r="G18132" s="9"/>
      <c r="J18132" s="11"/>
      <c r="U18132" s="9"/>
      <c r="X18132" s="9"/>
    </row>
    <row r="18133">
      <c r="D18133" s="9"/>
      <c r="G18133" s="9"/>
      <c r="J18133" s="11"/>
      <c r="U18133" s="9"/>
      <c r="X18133" s="9"/>
    </row>
    <row r="18134">
      <c r="D18134" s="9"/>
      <c r="G18134" s="9"/>
      <c r="J18134" s="11"/>
      <c r="U18134" s="9"/>
      <c r="X18134" s="9"/>
    </row>
    <row r="18135">
      <c r="D18135" s="9"/>
      <c r="G18135" s="9"/>
      <c r="J18135" s="11"/>
      <c r="U18135" s="9"/>
      <c r="X18135" s="9"/>
    </row>
    <row r="18136">
      <c r="D18136" s="9"/>
      <c r="G18136" s="9"/>
      <c r="J18136" s="11"/>
      <c r="U18136" s="9"/>
      <c r="X18136" s="9"/>
    </row>
    <row r="18137">
      <c r="D18137" s="9"/>
      <c r="G18137" s="9"/>
      <c r="J18137" s="11"/>
      <c r="U18137" s="9"/>
      <c r="X18137" s="9"/>
    </row>
    <row r="18138">
      <c r="D18138" s="9"/>
      <c r="G18138" s="9"/>
      <c r="J18138" s="11"/>
      <c r="U18138" s="9"/>
      <c r="X18138" s="9"/>
    </row>
    <row r="18139">
      <c r="D18139" s="9"/>
      <c r="G18139" s="9"/>
      <c r="J18139" s="11"/>
      <c r="U18139" s="9"/>
      <c r="X18139" s="9"/>
    </row>
    <row r="18140">
      <c r="D18140" s="9"/>
      <c r="G18140" s="9"/>
      <c r="J18140" s="11"/>
      <c r="U18140" s="9"/>
      <c r="X18140" s="9"/>
    </row>
    <row r="18141">
      <c r="D18141" s="9"/>
      <c r="G18141" s="9"/>
      <c r="J18141" s="11"/>
      <c r="U18141" s="9"/>
      <c r="X18141" s="9"/>
    </row>
    <row r="18142">
      <c r="D18142" s="9"/>
      <c r="G18142" s="9"/>
      <c r="J18142" s="11"/>
      <c r="U18142" s="9"/>
      <c r="X18142" s="9"/>
    </row>
    <row r="18143">
      <c r="D18143" s="9"/>
      <c r="G18143" s="9"/>
      <c r="J18143" s="11"/>
      <c r="U18143" s="9"/>
      <c r="X18143" s="9"/>
    </row>
    <row r="18144">
      <c r="D18144" s="9"/>
      <c r="G18144" s="9"/>
      <c r="J18144" s="11"/>
      <c r="U18144" s="9"/>
      <c r="X18144" s="9"/>
    </row>
    <row r="18145">
      <c r="D18145" s="9"/>
      <c r="G18145" s="9"/>
      <c r="J18145" s="11"/>
      <c r="U18145" s="9"/>
      <c r="X18145" s="9"/>
    </row>
    <row r="18146">
      <c r="D18146" s="9"/>
      <c r="G18146" s="9"/>
      <c r="J18146" s="11"/>
      <c r="U18146" s="9"/>
      <c r="X18146" s="9"/>
    </row>
    <row r="18147">
      <c r="D18147" s="9"/>
      <c r="G18147" s="9"/>
      <c r="J18147" s="11"/>
      <c r="U18147" s="9"/>
      <c r="X18147" s="9"/>
    </row>
    <row r="18148">
      <c r="D18148" s="9"/>
      <c r="G18148" s="9"/>
      <c r="J18148" s="11"/>
      <c r="U18148" s="9"/>
      <c r="X18148" s="9"/>
    </row>
    <row r="18149">
      <c r="D18149" s="9"/>
      <c r="G18149" s="9"/>
      <c r="J18149" s="11"/>
      <c r="U18149" s="9"/>
      <c r="X18149" s="9"/>
    </row>
    <row r="18150">
      <c r="D18150" s="9"/>
      <c r="G18150" s="9"/>
      <c r="J18150" s="11"/>
      <c r="U18150" s="9"/>
      <c r="X18150" s="9"/>
    </row>
    <row r="18151">
      <c r="D18151" s="9"/>
      <c r="G18151" s="9"/>
      <c r="J18151" s="11"/>
      <c r="U18151" s="9"/>
      <c r="X18151" s="9"/>
    </row>
    <row r="18152">
      <c r="D18152" s="9"/>
      <c r="G18152" s="9"/>
      <c r="J18152" s="11"/>
      <c r="U18152" s="9"/>
      <c r="X18152" s="9"/>
    </row>
    <row r="18153">
      <c r="D18153" s="9"/>
      <c r="G18153" s="9"/>
      <c r="J18153" s="11"/>
      <c r="U18153" s="9"/>
      <c r="X18153" s="9"/>
    </row>
    <row r="18154">
      <c r="D18154" s="9"/>
      <c r="G18154" s="9"/>
      <c r="J18154" s="11"/>
      <c r="U18154" s="9"/>
      <c r="X18154" s="9"/>
    </row>
    <row r="18155">
      <c r="D18155" s="9"/>
      <c r="G18155" s="9"/>
      <c r="J18155" s="11"/>
      <c r="U18155" s="9"/>
      <c r="X18155" s="9"/>
    </row>
    <row r="18156">
      <c r="D18156" s="9"/>
      <c r="G18156" s="9"/>
      <c r="J18156" s="11"/>
      <c r="U18156" s="9"/>
      <c r="X18156" s="9"/>
    </row>
    <row r="18157">
      <c r="D18157" s="9"/>
      <c r="G18157" s="9"/>
      <c r="J18157" s="11"/>
      <c r="U18157" s="9"/>
      <c r="X18157" s="9"/>
    </row>
    <row r="18158">
      <c r="D18158" s="9"/>
      <c r="G18158" s="9"/>
      <c r="J18158" s="11"/>
      <c r="U18158" s="9"/>
      <c r="X18158" s="9"/>
    </row>
    <row r="18159">
      <c r="D18159" s="9"/>
      <c r="G18159" s="9"/>
      <c r="J18159" s="11"/>
      <c r="U18159" s="9"/>
      <c r="X18159" s="9"/>
    </row>
    <row r="18160">
      <c r="D18160" s="9"/>
      <c r="G18160" s="9"/>
      <c r="J18160" s="11"/>
      <c r="U18160" s="9"/>
      <c r="X18160" s="9"/>
    </row>
    <row r="18161">
      <c r="D18161" s="9"/>
      <c r="G18161" s="9"/>
      <c r="J18161" s="11"/>
      <c r="U18161" s="9"/>
      <c r="X18161" s="9"/>
    </row>
    <row r="18162">
      <c r="D18162" s="9"/>
      <c r="G18162" s="9"/>
      <c r="J18162" s="11"/>
      <c r="U18162" s="9"/>
      <c r="X18162" s="9"/>
    </row>
    <row r="18163">
      <c r="D18163" s="9"/>
      <c r="G18163" s="9"/>
      <c r="J18163" s="11"/>
      <c r="U18163" s="9"/>
      <c r="X18163" s="9"/>
    </row>
    <row r="18164">
      <c r="D18164" s="9"/>
      <c r="G18164" s="9"/>
      <c r="J18164" s="11"/>
      <c r="U18164" s="9"/>
      <c r="X18164" s="9"/>
    </row>
    <row r="18165">
      <c r="D18165" s="9"/>
      <c r="G18165" s="9"/>
      <c r="J18165" s="11"/>
      <c r="U18165" s="9"/>
      <c r="X18165" s="9"/>
    </row>
    <row r="18166">
      <c r="D18166" s="9"/>
      <c r="G18166" s="9"/>
      <c r="J18166" s="11"/>
      <c r="U18166" s="9"/>
      <c r="X18166" s="9"/>
    </row>
    <row r="18167">
      <c r="D18167" s="9"/>
      <c r="G18167" s="9"/>
      <c r="J18167" s="11"/>
      <c r="U18167" s="9"/>
      <c r="X18167" s="9"/>
    </row>
    <row r="18168">
      <c r="D18168" s="9"/>
      <c r="G18168" s="9"/>
      <c r="J18168" s="11"/>
      <c r="U18168" s="9"/>
      <c r="X18168" s="9"/>
    </row>
    <row r="18169">
      <c r="D18169" s="9"/>
      <c r="G18169" s="9"/>
      <c r="J18169" s="11"/>
      <c r="U18169" s="9"/>
      <c r="X18169" s="9"/>
    </row>
    <row r="18170">
      <c r="D18170" s="9"/>
      <c r="G18170" s="9"/>
      <c r="J18170" s="11"/>
      <c r="U18170" s="9"/>
      <c r="X18170" s="9"/>
    </row>
    <row r="18171">
      <c r="D18171" s="9"/>
      <c r="G18171" s="9"/>
      <c r="J18171" s="11"/>
      <c r="U18171" s="9"/>
      <c r="X18171" s="9"/>
    </row>
    <row r="18172">
      <c r="D18172" s="9"/>
      <c r="G18172" s="9"/>
      <c r="J18172" s="11"/>
      <c r="U18172" s="9"/>
      <c r="X18172" s="9"/>
    </row>
    <row r="18173">
      <c r="D18173" s="9"/>
      <c r="G18173" s="9"/>
      <c r="J18173" s="11"/>
      <c r="U18173" s="9"/>
      <c r="X18173" s="9"/>
    </row>
    <row r="18174">
      <c r="D18174" s="9"/>
      <c r="G18174" s="9"/>
      <c r="J18174" s="11"/>
      <c r="U18174" s="9"/>
      <c r="X18174" s="9"/>
    </row>
    <row r="18175">
      <c r="D18175" s="9"/>
      <c r="G18175" s="9"/>
      <c r="J18175" s="11"/>
      <c r="U18175" s="9"/>
      <c r="X18175" s="9"/>
    </row>
    <row r="18176">
      <c r="D18176" s="9"/>
      <c r="G18176" s="9"/>
      <c r="J18176" s="11"/>
      <c r="U18176" s="9"/>
      <c r="X18176" s="9"/>
    </row>
    <row r="18177">
      <c r="D18177" s="9"/>
      <c r="G18177" s="9"/>
      <c r="J18177" s="11"/>
      <c r="U18177" s="9"/>
      <c r="X18177" s="9"/>
    </row>
    <row r="18178">
      <c r="D18178" s="9"/>
      <c r="G18178" s="9"/>
      <c r="J18178" s="11"/>
      <c r="U18178" s="9"/>
      <c r="X18178" s="9"/>
    </row>
    <row r="18179">
      <c r="D18179" s="9"/>
      <c r="G18179" s="9"/>
      <c r="J18179" s="11"/>
      <c r="U18179" s="9"/>
      <c r="X18179" s="9"/>
    </row>
    <row r="18180">
      <c r="D18180" s="9"/>
      <c r="G18180" s="9"/>
      <c r="J18180" s="11"/>
      <c r="U18180" s="9"/>
      <c r="X18180" s="9"/>
    </row>
    <row r="18181">
      <c r="D18181" s="9"/>
      <c r="G18181" s="9"/>
      <c r="J18181" s="11"/>
      <c r="U18181" s="9"/>
      <c r="X18181" s="9"/>
    </row>
    <row r="18182">
      <c r="D18182" s="9"/>
      <c r="G18182" s="9"/>
      <c r="J18182" s="11"/>
      <c r="U18182" s="9"/>
      <c r="X18182" s="9"/>
    </row>
    <row r="18183">
      <c r="D18183" s="9"/>
      <c r="G18183" s="9"/>
      <c r="J18183" s="11"/>
      <c r="U18183" s="9"/>
      <c r="X18183" s="9"/>
    </row>
    <row r="18184">
      <c r="D18184" s="9"/>
      <c r="G18184" s="9"/>
      <c r="J18184" s="11"/>
      <c r="U18184" s="9"/>
      <c r="X18184" s="9"/>
    </row>
    <row r="18185">
      <c r="D18185" s="9"/>
      <c r="G18185" s="9"/>
      <c r="J18185" s="11"/>
      <c r="U18185" s="9"/>
      <c r="X18185" s="9"/>
    </row>
    <row r="18186">
      <c r="D18186" s="9"/>
      <c r="G18186" s="9"/>
      <c r="J18186" s="11"/>
      <c r="U18186" s="9"/>
      <c r="X18186" s="9"/>
    </row>
    <row r="18187">
      <c r="D18187" s="9"/>
      <c r="G18187" s="9"/>
      <c r="J18187" s="11"/>
      <c r="U18187" s="9"/>
      <c r="X18187" s="9"/>
    </row>
    <row r="18188">
      <c r="D18188" s="9"/>
      <c r="G18188" s="9"/>
      <c r="J18188" s="11"/>
      <c r="U18188" s="9"/>
      <c r="X18188" s="9"/>
    </row>
    <row r="18189">
      <c r="D18189" s="9"/>
      <c r="G18189" s="9"/>
      <c r="J18189" s="11"/>
      <c r="U18189" s="9"/>
      <c r="X18189" s="9"/>
    </row>
    <row r="18190">
      <c r="D18190" s="9"/>
      <c r="G18190" s="9"/>
      <c r="J18190" s="11"/>
      <c r="U18190" s="9"/>
      <c r="X18190" s="9"/>
    </row>
    <row r="18191">
      <c r="D18191" s="9"/>
      <c r="G18191" s="9"/>
      <c r="J18191" s="11"/>
      <c r="U18191" s="9"/>
      <c r="X18191" s="9"/>
    </row>
    <row r="18192">
      <c r="D18192" s="9"/>
      <c r="G18192" s="9"/>
      <c r="J18192" s="11"/>
      <c r="U18192" s="9"/>
      <c r="X18192" s="9"/>
    </row>
    <row r="18193">
      <c r="D18193" s="9"/>
      <c r="G18193" s="9"/>
      <c r="J18193" s="11"/>
      <c r="U18193" s="9"/>
      <c r="X18193" s="9"/>
    </row>
    <row r="18194">
      <c r="D18194" s="9"/>
      <c r="G18194" s="9"/>
      <c r="J18194" s="11"/>
      <c r="U18194" s="9"/>
      <c r="X18194" s="9"/>
    </row>
    <row r="18195">
      <c r="D18195" s="9"/>
      <c r="G18195" s="9"/>
      <c r="J18195" s="11"/>
      <c r="U18195" s="9"/>
      <c r="X18195" s="9"/>
    </row>
    <row r="18196">
      <c r="D18196" s="9"/>
      <c r="G18196" s="9"/>
      <c r="J18196" s="11"/>
      <c r="U18196" s="9"/>
      <c r="X18196" s="9"/>
    </row>
    <row r="18197">
      <c r="D18197" s="9"/>
      <c r="G18197" s="9"/>
      <c r="J18197" s="11"/>
      <c r="U18197" s="9"/>
      <c r="X18197" s="9"/>
    </row>
    <row r="18198">
      <c r="D18198" s="9"/>
      <c r="G18198" s="9"/>
      <c r="J18198" s="11"/>
      <c r="U18198" s="9"/>
      <c r="X18198" s="9"/>
    </row>
    <row r="18199">
      <c r="D18199" s="9"/>
      <c r="G18199" s="9"/>
      <c r="J18199" s="11"/>
      <c r="U18199" s="9"/>
      <c r="X18199" s="9"/>
    </row>
    <row r="18200">
      <c r="D18200" s="9"/>
      <c r="G18200" s="9"/>
      <c r="J18200" s="11"/>
      <c r="U18200" s="9"/>
      <c r="X18200" s="9"/>
    </row>
    <row r="18201">
      <c r="D18201" s="9"/>
      <c r="G18201" s="9"/>
      <c r="J18201" s="11"/>
      <c r="U18201" s="9"/>
      <c r="X18201" s="9"/>
    </row>
    <row r="18202">
      <c r="D18202" s="9"/>
      <c r="G18202" s="9"/>
      <c r="J18202" s="11"/>
      <c r="U18202" s="9"/>
      <c r="X18202" s="9"/>
    </row>
    <row r="18203">
      <c r="D18203" s="9"/>
      <c r="G18203" s="9"/>
      <c r="J18203" s="11"/>
      <c r="U18203" s="9"/>
      <c r="X18203" s="9"/>
    </row>
    <row r="18204">
      <c r="D18204" s="9"/>
      <c r="G18204" s="9"/>
      <c r="J18204" s="11"/>
      <c r="U18204" s="9"/>
      <c r="X18204" s="9"/>
    </row>
    <row r="18205">
      <c r="D18205" s="9"/>
      <c r="G18205" s="9"/>
      <c r="J18205" s="11"/>
      <c r="U18205" s="9"/>
      <c r="X18205" s="9"/>
    </row>
    <row r="18206">
      <c r="D18206" s="9"/>
      <c r="G18206" s="9"/>
      <c r="J18206" s="11"/>
      <c r="U18206" s="9"/>
      <c r="X18206" s="9"/>
    </row>
    <row r="18207">
      <c r="D18207" s="9"/>
      <c r="G18207" s="9"/>
      <c r="J18207" s="11"/>
      <c r="U18207" s="9"/>
      <c r="X18207" s="9"/>
    </row>
    <row r="18208">
      <c r="D18208" s="9"/>
      <c r="G18208" s="9"/>
      <c r="J18208" s="11"/>
      <c r="U18208" s="9"/>
      <c r="X18208" s="9"/>
    </row>
    <row r="18209">
      <c r="D18209" s="9"/>
      <c r="G18209" s="9"/>
      <c r="J18209" s="11"/>
      <c r="U18209" s="9"/>
      <c r="X18209" s="9"/>
    </row>
    <row r="18210">
      <c r="D18210" s="9"/>
      <c r="G18210" s="9"/>
      <c r="J18210" s="11"/>
      <c r="U18210" s="9"/>
      <c r="X18210" s="9"/>
    </row>
    <row r="18211">
      <c r="D18211" s="9"/>
      <c r="G18211" s="9"/>
      <c r="J18211" s="11"/>
      <c r="U18211" s="9"/>
      <c r="X18211" s="9"/>
    </row>
    <row r="18212">
      <c r="D18212" s="9"/>
      <c r="G18212" s="9"/>
      <c r="J18212" s="11"/>
      <c r="U18212" s="9"/>
      <c r="X18212" s="9"/>
    </row>
    <row r="18213">
      <c r="D18213" s="9"/>
      <c r="G18213" s="9"/>
      <c r="J18213" s="11"/>
      <c r="U18213" s="9"/>
      <c r="X18213" s="9"/>
    </row>
    <row r="18214">
      <c r="D18214" s="9"/>
      <c r="G18214" s="9"/>
      <c r="J18214" s="11"/>
      <c r="U18214" s="9"/>
      <c r="X18214" s="9"/>
    </row>
    <row r="18215">
      <c r="D18215" s="9"/>
      <c r="G18215" s="9"/>
      <c r="J18215" s="11"/>
      <c r="U18215" s="9"/>
      <c r="X18215" s="9"/>
    </row>
    <row r="18216">
      <c r="D18216" s="9"/>
      <c r="G18216" s="9"/>
      <c r="J18216" s="11"/>
      <c r="U18216" s="9"/>
      <c r="X18216" s="9"/>
    </row>
    <row r="18217">
      <c r="D18217" s="9"/>
      <c r="G18217" s="9"/>
      <c r="J18217" s="11"/>
      <c r="U18217" s="9"/>
      <c r="X18217" s="9"/>
    </row>
    <row r="18218">
      <c r="D18218" s="9"/>
      <c r="G18218" s="9"/>
      <c r="J18218" s="11"/>
      <c r="U18218" s="9"/>
      <c r="X18218" s="9"/>
    </row>
    <row r="18219">
      <c r="D18219" s="9"/>
      <c r="G18219" s="9"/>
      <c r="J18219" s="11"/>
      <c r="U18219" s="9"/>
      <c r="X18219" s="9"/>
    </row>
    <row r="18220">
      <c r="D18220" s="9"/>
      <c r="G18220" s="9"/>
      <c r="J18220" s="11"/>
      <c r="U18220" s="9"/>
      <c r="X18220" s="9"/>
    </row>
    <row r="18221">
      <c r="D18221" s="9"/>
      <c r="G18221" s="9"/>
      <c r="J18221" s="11"/>
      <c r="U18221" s="9"/>
      <c r="X18221" s="9"/>
    </row>
    <row r="18222">
      <c r="D18222" s="9"/>
      <c r="G18222" s="9"/>
      <c r="J18222" s="11"/>
      <c r="U18222" s="9"/>
      <c r="X18222" s="9"/>
    </row>
    <row r="18223">
      <c r="D18223" s="9"/>
      <c r="G18223" s="9"/>
      <c r="J18223" s="11"/>
      <c r="U18223" s="9"/>
      <c r="X18223" s="9"/>
    </row>
    <row r="18224">
      <c r="D18224" s="9"/>
      <c r="G18224" s="9"/>
      <c r="J18224" s="11"/>
      <c r="U18224" s="9"/>
      <c r="X18224" s="9"/>
    </row>
    <row r="18225">
      <c r="D18225" s="9"/>
      <c r="G18225" s="9"/>
      <c r="J18225" s="11"/>
      <c r="U18225" s="9"/>
      <c r="X18225" s="9"/>
    </row>
    <row r="18226">
      <c r="D18226" s="9"/>
      <c r="G18226" s="9"/>
      <c r="J18226" s="11"/>
      <c r="U18226" s="9"/>
      <c r="X18226" s="9"/>
    </row>
    <row r="18227">
      <c r="D18227" s="9"/>
      <c r="G18227" s="9"/>
      <c r="J18227" s="11"/>
      <c r="U18227" s="9"/>
      <c r="X18227" s="9"/>
    </row>
    <row r="18228">
      <c r="D18228" s="9"/>
      <c r="G18228" s="9"/>
      <c r="J18228" s="11"/>
      <c r="U18228" s="9"/>
      <c r="X18228" s="9"/>
    </row>
    <row r="18229">
      <c r="D18229" s="9"/>
      <c r="G18229" s="9"/>
      <c r="J18229" s="11"/>
      <c r="U18229" s="9"/>
      <c r="X18229" s="9"/>
    </row>
    <row r="18230">
      <c r="D18230" s="9"/>
      <c r="G18230" s="9"/>
      <c r="J18230" s="11"/>
      <c r="U18230" s="9"/>
      <c r="X18230" s="9"/>
    </row>
    <row r="18231">
      <c r="D18231" s="9"/>
      <c r="G18231" s="9"/>
      <c r="J18231" s="11"/>
      <c r="U18231" s="9"/>
      <c r="X18231" s="9"/>
    </row>
    <row r="18232">
      <c r="D18232" s="9"/>
      <c r="G18232" s="9"/>
      <c r="J18232" s="11"/>
      <c r="U18232" s="9"/>
      <c r="X18232" s="9"/>
    </row>
    <row r="18233">
      <c r="D18233" s="9"/>
      <c r="G18233" s="9"/>
      <c r="J18233" s="11"/>
      <c r="U18233" s="9"/>
      <c r="X18233" s="9"/>
    </row>
    <row r="18234">
      <c r="D18234" s="9"/>
      <c r="G18234" s="9"/>
      <c r="J18234" s="11"/>
      <c r="U18234" s="9"/>
      <c r="X18234" s="9"/>
    </row>
    <row r="18235">
      <c r="D18235" s="9"/>
      <c r="G18235" s="9"/>
      <c r="J18235" s="11"/>
      <c r="U18235" s="9"/>
      <c r="X18235" s="9"/>
    </row>
    <row r="18236">
      <c r="D18236" s="9"/>
      <c r="G18236" s="9"/>
      <c r="J18236" s="11"/>
      <c r="U18236" s="9"/>
      <c r="X18236" s="9"/>
    </row>
    <row r="18237">
      <c r="D18237" s="9"/>
      <c r="G18237" s="9"/>
      <c r="J18237" s="11"/>
      <c r="U18237" s="9"/>
      <c r="X18237" s="9"/>
    </row>
    <row r="18238">
      <c r="D18238" s="9"/>
      <c r="G18238" s="9"/>
      <c r="J18238" s="11"/>
      <c r="U18238" s="9"/>
      <c r="X18238" s="9"/>
    </row>
    <row r="18239">
      <c r="D18239" s="9"/>
      <c r="G18239" s="9"/>
      <c r="J18239" s="11"/>
      <c r="U18239" s="9"/>
      <c r="X18239" s="9"/>
    </row>
    <row r="18240">
      <c r="D18240" s="9"/>
      <c r="G18240" s="9"/>
      <c r="J18240" s="11"/>
      <c r="U18240" s="9"/>
      <c r="X18240" s="9"/>
    </row>
    <row r="18241">
      <c r="D18241" s="9"/>
      <c r="G18241" s="9"/>
      <c r="J18241" s="11"/>
      <c r="U18241" s="9"/>
      <c r="X18241" s="9"/>
    </row>
    <row r="18242">
      <c r="D18242" s="9"/>
      <c r="G18242" s="9"/>
      <c r="J18242" s="11"/>
      <c r="U18242" s="9"/>
      <c r="X18242" s="9"/>
    </row>
    <row r="18243">
      <c r="D18243" s="9"/>
      <c r="G18243" s="9"/>
      <c r="J18243" s="11"/>
      <c r="U18243" s="9"/>
      <c r="X18243" s="9"/>
    </row>
    <row r="18244">
      <c r="D18244" s="9"/>
      <c r="G18244" s="9"/>
      <c r="J18244" s="11"/>
      <c r="U18244" s="9"/>
      <c r="X18244" s="9"/>
    </row>
    <row r="18245">
      <c r="D18245" s="9"/>
      <c r="G18245" s="9"/>
      <c r="J18245" s="11"/>
      <c r="U18245" s="9"/>
      <c r="X18245" s="9"/>
    </row>
    <row r="18246">
      <c r="D18246" s="9"/>
      <c r="G18246" s="9"/>
      <c r="J18246" s="11"/>
      <c r="U18246" s="9"/>
      <c r="X18246" s="9"/>
    </row>
    <row r="18247">
      <c r="D18247" s="9"/>
      <c r="G18247" s="9"/>
      <c r="J18247" s="11"/>
      <c r="U18247" s="9"/>
      <c r="X18247" s="9"/>
    </row>
    <row r="18248">
      <c r="D18248" s="9"/>
      <c r="G18248" s="9"/>
      <c r="J18248" s="11"/>
      <c r="U18248" s="9"/>
      <c r="X18248" s="9"/>
    </row>
    <row r="18249">
      <c r="D18249" s="9"/>
      <c r="G18249" s="9"/>
      <c r="J18249" s="11"/>
      <c r="U18249" s="9"/>
      <c r="X18249" s="9"/>
    </row>
    <row r="18250">
      <c r="D18250" s="9"/>
      <c r="G18250" s="9"/>
      <c r="J18250" s="11"/>
      <c r="U18250" s="9"/>
      <c r="X18250" s="9"/>
    </row>
    <row r="18251">
      <c r="D18251" s="9"/>
      <c r="G18251" s="9"/>
      <c r="J18251" s="11"/>
      <c r="U18251" s="9"/>
      <c r="X18251" s="9"/>
    </row>
    <row r="18252">
      <c r="D18252" s="9"/>
      <c r="G18252" s="9"/>
      <c r="J18252" s="11"/>
      <c r="U18252" s="9"/>
      <c r="X18252" s="9"/>
    </row>
    <row r="18253">
      <c r="D18253" s="9"/>
      <c r="G18253" s="9"/>
      <c r="J18253" s="11"/>
      <c r="U18253" s="9"/>
      <c r="X18253" s="9"/>
    </row>
    <row r="18254">
      <c r="D18254" s="9"/>
      <c r="G18254" s="9"/>
      <c r="J18254" s="11"/>
      <c r="U18254" s="9"/>
      <c r="X18254" s="9"/>
    </row>
    <row r="18255">
      <c r="D18255" s="9"/>
      <c r="G18255" s="9"/>
      <c r="J18255" s="11"/>
      <c r="U18255" s="9"/>
      <c r="X18255" s="9"/>
    </row>
    <row r="18256">
      <c r="D18256" s="9"/>
      <c r="G18256" s="9"/>
      <c r="J18256" s="11"/>
      <c r="U18256" s="9"/>
      <c r="X18256" s="9"/>
    </row>
    <row r="18257">
      <c r="D18257" s="9"/>
      <c r="G18257" s="9"/>
      <c r="J18257" s="11"/>
      <c r="U18257" s="9"/>
      <c r="X18257" s="9"/>
    </row>
    <row r="18258">
      <c r="D18258" s="9"/>
      <c r="G18258" s="9"/>
      <c r="J18258" s="11"/>
      <c r="U18258" s="9"/>
      <c r="X18258" s="9"/>
    </row>
    <row r="18259">
      <c r="D18259" s="9"/>
      <c r="G18259" s="9"/>
      <c r="J18259" s="11"/>
      <c r="U18259" s="9"/>
      <c r="X18259" s="9"/>
    </row>
    <row r="18260">
      <c r="D18260" s="9"/>
      <c r="G18260" s="9"/>
      <c r="J18260" s="11"/>
      <c r="U18260" s="9"/>
      <c r="X18260" s="9"/>
    </row>
    <row r="18261">
      <c r="D18261" s="9"/>
      <c r="G18261" s="9"/>
      <c r="J18261" s="11"/>
      <c r="U18261" s="9"/>
      <c r="X18261" s="9"/>
    </row>
    <row r="18262">
      <c r="D18262" s="9"/>
      <c r="G18262" s="9"/>
      <c r="J18262" s="11"/>
      <c r="U18262" s="9"/>
      <c r="X18262" s="9"/>
    </row>
    <row r="18263">
      <c r="D18263" s="9"/>
      <c r="G18263" s="9"/>
      <c r="J18263" s="11"/>
      <c r="U18263" s="9"/>
      <c r="X18263" s="9"/>
    </row>
    <row r="18264">
      <c r="D18264" s="9"/>
      <c r="G18264" s="9"/>
      <c r="J18264" s="11"/>
      <c r="U18264" s="9"/>
      <c r="X18264" s="9"/>
    </row>
    <row r="18265">
      <c r="D18265" s="9"/>
      <c r="G18265" s="9"/>
      <c r="J18265" s="11"/>
      <c r="U18265" s="9"/>
      <c r="X18265" s="9"/>
    </row>
    <row r="18266">
      <c r="D18266" s="9"/>
      <c r="G18266" s="9"/>
      <c r="J18266" s="11"/>
      <c r="U18266" s="9"/>
      <c r="X18266" s="9"/>
    </row>
    <row r="18267">
      <c r="D18267" s="9"/>
      <c r="G18267" s="9"/>
      <c r="J18267" s="11"/>
      <c r="U18267" s="9"/>
      <c r="X18267" s="9"/>
    </row>
    <row r="18268">
      <c r="D18268" s="9"/>
      <c r="G18268" s="9"/>
      <c r="J18268" s="11"/>
      <c r="U18268" s="9"/>
      <c r="X18268" s="9"/>
    </row>
    <row r="18269">
      <c r="D18269" s="9"/>
      <c r="G18269" s="9"/>
      <c r="J18269" s="11"/>
      <c r="U18269" s="9"/>
      <c r="X18269" s="9"/>
    </row>
    <row r="18270">
      <c r="D18270" s="9"/>
      <c r="G18270" s="9"/>
      <c r="J18270" s="11"/>
      <c r="U18270" s="9"/>
      <c r="X18270" s="9"/>
    </row>
    <row r="18271">
      <c r="D18271" s="9"/>
      <c r="G18271" s="9"/>
      <c r="J18271" s="11"/>
      <c r="U18271" s="9"/>
      <c r="X18271" s="9"/>
    </row>
    <row r="18272">
      <c r="D18272" s="9"/>
      <c r="G18272" s="9"/>
      <c r="J18272" s="11"/>
      <c r="U18272" s="9"/>
      <c r="X18272" s="9"/>
    </row>
    <row r="18273">
      <c r="D18273" s="9"/>
      <c r="G18273" s="9"/>
      <c r="J18273" s="11"/>
      <c r="U18273" s="9"/>
      <c r="X18273" s="9"/>
    </row>
    <row r="18274">
      <c r="D18274" s="9"/>
      <c r="G18274" s="9"/>
      <c r="J18274" s="11"/>
      <c r="U18274" s="9"/>
      <c r="X18274" s="9"/>
    </row>
    <row r="18275">
      <c r="D18275" s="9"/>
      <c r="G18275" s="9"/>
      <c r="J18275" s="11"/>
      <c r="U18275" s="9"/>
      <c r="X18275" s="9"/>
    </row>
    <row r="18276">
      <c r="D18276" s="9"/>
      <c r="G18276" s="9"/>
      <c r="J18276" s="11"/>
      <c r="U18276" s="9"/>
      <c r="X18276" s="9"/>
    </row>
    <row r="18277">
      <c r="D18277" s="9"/>
      <c r="G18277" s="9"/>
      <c r="J18277" s="11"/>
      <c r="U18277" s="9"/>
      <c r="X18277" s="9"/>
    </row>
    <row r="18278">
      <c r="D18278" s="9"/>
      <c r="G18278" s="9"/>
      <c r="J18278" s="11"/>
      <c r="U18278" s="9"/>
      <c r="X18278" s="9"/>
    </row>
    <row r="18279">
      <c r="D18279" s="9"/>
      <c r="G18279" s="9"/>
      <c r="J18279" s="11"/>
      <c r="U18279" s="9"/>
      <c r="X18279" s="9"/>
    </row>
    <row r="18280">
      <c r="D18280" s="9"/>
      <c r="G18280" s="9"/>
      <c r="J18280" s="11"/>
      <c r="U18280" s="9"/>
      <c r="X18280" s="9"/>
    </row>
    <row r="18281">
      <c r="D18281" s="9"/>
      <c r="G18281" s="9"/>
      <c r="J18281" s="11"/>
      <c r="U18281" s="9"/>
      <c r="X18281" s="9"/>
    </row>
    <row r="18282">
      <c r="D18282" s="9"/>
      <c r="G18282" s="9"/>
      <c r="J18282" s="11"/>
      <c r="U18282" s="9"/>
      <c r="X18282" s="9"/>
    </row>
    <row r="18283">
      <c r="D18283" s="9"/>
      <c r="G18283" s="9"/>
      <c r="J18283" s="11"/>
      <c r="U18283" s="9"/>
      <c r="X18283" s="9"/>
    </row>
    <row r="18284">
      <c r="D18284" s="9"/>
      <c r="G18284" s="9"/>
      <c r="J18284" s="11"/>
      <c r="U18284" s="9"/>
      <c r="X18284" s="9"/>
    </row>
    <row r="18285">
      <c r="D18285" s="9"/>
      <c r="G18285" s="9"/>
      <c r="J18285" s="11"/>
      <c r="U18285" s="9"/>
      <c r="X18285" s="9"/>
    </row>
    <row r="18286">
      <c r="D18286" s="9"/>
      <c r="G18286" s="9"/>
      <c r="J18286" s="11"/>
      <c r="U18286" s="9"/>
      <c r="X18286" s="9"/>
    </row>
    <row r="18287">
      <c r="D18287" s="9"/>
      <c r="G18287" s="9"/>
      <c r="J18287" s="11"/>
      <c r="U18287" s="9"/>
      <c r="X18287" s="9"/>
    </row>
    <row r="18288">
      <c r="D18288" s="9"/>
      <c r="G18288" s="9"/>
      <c r="J18288" s="11"/>
      <c r="U18288" s="9"/>
      <c r="X18288" s="9"/>
    </row>
    <row r="18289">
      <c r="D18289" s="9"/>
      <c r="G18289" s="9"/>
      <c r="J18289" s="11"/>
      <c r="U18289" s="9"/>
      <c r="X18289" s="9"/>
    </row>
    <row r="18290">
      <c r="D18290" s="9"/>
      <c r="G18290" s="9"/>
      <c r="J18290" s="11"/>
      <c r="U18290" s="9"/>
      <c r="X18290" s="9"/>
    </row>
    <row r="18291">
      <c r="D18291" s="9"/>
      <c r="G18291" s="9"/>
      <c r="J18291" s="11"/>
      <c r="U18291" s="9"/>
      <c r="X18291" s="9"/>
    </row>
    <row r="18292">
      <c r="D18292" s="9"/>
      <c r="G18292" s="9"/>
      <c r="J18292" s="11"/>
      <c r="U18292" s="9"/>
      <c r="X18292" s="9"/>
    </row>
    <row r="18293">
      <c r="D18293" s="9"/>
      <c r="G18293" s="9"/>
      <c r="J18293" s="11"/>
      <c r="U18293" s="9"/>
      <c r="X18293" s="9"/>
    </row>
    <row r="18294">
      <c r="D18294" s="9"/>
      <c r="G18294" s="9"/>
      <c r="J18294" s="11"/>
      <c r="U18294" s="9"/>
      <c r="X18294" s="9"/>
    </row>
    <row r="18295">
      <c r="D18295" s="9"/>
      <c r="G18295" s="9"/>
      <c r="J18295" s="11"/>
      <c r="U18295" s="9"/>
      <c r="X18295" s="9"/>
    </row>
    <row r="18296">
      <c r="D18296" s="9"/>
      <c r="G18296" s="9"/>
      <c r="J18296" s="11"/>
      <c r="U18296" s="9"/>
      <c r="X18296" s="9"/>
    </row>
    <row r="18297">
      <c r="D18297" s="9"/>
      <c r="G18297" s="9"/>
      <c r="J18297" s="11"/>
      <c r="U18297" s="9"/>
      <c r="X18297" s="9"/>
    </row>
    <row r="18298">
      <c r="D18298" s="9"/>
      <c r="G18298" s="9"/>
      <c r="J18298" s="11"/>
      <c r="U18298" s="9"/>
      <c r="X18298" s="9"/>
    </row>
    <row r="18299">
      <c r="D18299" s="9"/>
      <c r="G18299" s="9"/>
      <c r="J18299" s="11"/>
      <c r="U18299" s="9"/>
      <c r="X18299" s="9"/>
    </row>
    <row r="18300">
      <c r="D18300" s="9"/>
      <c r="G18300" s="9"/>
      <c r="J18300" s="11"/>
      <c r="U18300" s="9"/>
      <c r="X18300" s="9"/>
    </row>
    <row r="18301">
      <c r="D18301" s="9"/>
      <c r="G18301" s="9"/>
      <c r="J18301" s="11"/>
      <c r="U18301" s="9"/>
      <c r="X18301" s="9"/>
    </row>
    <row r="18302">
      <c r="D18302" s="9"/>
      <c r="G18302" s="9"/>
      <c r="J18302" s="11"/>
      <c r="U18302" s="9"/>
      <c r="X18302" s="9"/>
    </row>
    <row r="18303">
      <c r="D18303" s="9"/>
      <c r="G18303" s="9"/>
      <c r="J18303" s="11"/>
      <c r="U18303" s="9"/>
      <c r="X18303" s="9"/>
    </row>
    <row r="18304">
      <c r="D18304" s="9"/>
      <c r="G18304" s="9"/>
      <c r="J18304" s="11"/>
      <c r="U18304" s="9"/>
      <c r="X18304" s="9"/>
    </row>
    <row r="18305">
      <c r="D18305" s="9"/>
      <c r="G18305" s="9"/>
      <c r="J18305" s="11"/>
      <c r="U18305" s="9"/>
      <c r="X18305" s="9"/>
    </row>
    <row r="18306">
      <c r="D18306" s="9"/>
      <c r="G18306" s="9"/>
      <c r="J18306" s="11"/>
      <c r="U18306" s="9"/>
      <c r="X18306" s="9"/>
    </row>
    <row r="18307">
      <c r="D18307" s="9"/>
      <c r="G18307" s="9"/>
      <c r="J18307" s="11"/>
      <c r="U18307" s="9"/>
      <c r="X18307" s="9"/>
    </row>
    <row r="18308">
      <c r="D18308" s="9"/>
      <c r="G18308" s="9"/>
      <c r="J18308" s="11"/>
      <c r="U18308" s="9"/>
      <c r="X18308" s="9"/>
    </row>
    <row r="18309">
      <c r="D18309" s="9"/>
      <c r="G18309" s="9"/>
      <c r="J18309" s="11"/>
      <c r="U18309" s="9"/>
      <c r="X18309" s="9"/>
    </row>
    <row r="18310">
      <c r="D18310" s="9"/>
      <c r="G18310" s="9"/>
      <c r="J18310" s="11"/>
      <c r="U18310" s="9"/>
      <c r="X18310" s="9"/>
    </row>
    <row r="18311">
      <c r="D18311" s="9"/>
      <c r="G18311" s="9"/>
      <c r="J18311" s="11"/>
      <c r="U18311" s="9"/>
      <c r="X18311" s="9"/>
    </row>
    <row r="18312">
      <c r="D18312" s="9"/>
      <c r="G18312" s="9"/>
      <c r="J18312" s="11"/>
      <c r="U18312" s="9"/>
      <c r="X18312" s="9"/>
    </row>
    <row r="18313">
      <c r="D18313" s="9"/>
      <c r="G18313" s="9"/>
      <c r="J18313" s="11"/>
      <c r="U18313" s="9"/>
      <c r="X18313" s="9"/>
    </row>
    <row r="18314">
      <c r="D18314" s="9"/>
      <c r="G18314" s="9"/>
      <c r="J18314" s="11"/>
      <c r="U18314" s="9"/>
      <c r="X18314" s="9"/>
    </row>
    <row r="18315">
      <c r="D18315" s="9"/>
      <c r="G18315" s="9"/>
      <c r="J18315" s="11"/>
      <c r="U18315" s="9"/>
      <c r="X18315" s="9"/>
    </row>
    <row r="18316">
      <c r="D18316" s="9"/>
      <c r="G18316" s="9"/>
      <c r="J18316" s="11"/>
      <c r="U18316" s="9"/>
      <c r="X18316" s="9"/>
    </row>
    <row r="18317">
      <c r="D18317" s="9"/>
      <c r="G18317" s="9"/>
      <c r="J18317" s="11"/>
      <c r="U18317" s="9"/>
      <c r="X18317" s="9"/>
    </row>
    <row r="18318">
      <c r="D18318" s="9"/>
      <c r="G18318" s="9"/>
      <c r="J18318" s="11"/>
      <c r="U18318" s="9"/>
      <c r="X18318" s="9"/>
    </row>
    <row r="18319">
      <c r="D18319" s="9"/>
      <c r="G18319" s="9"/>
      <c r="J18319" s="11"/>
      <c r="U18319" s="9"/>
      <c r="X18319" s="9"/>
    </row>
    <row r="18320">
      <c r="D18320" s="9"/>
      <c r="G18320" s="9"/>
      <c r="J18320" s="11"/>
      <c r="U18320" s="9"/>
      <c r="X18320" s="9"/>
    </row>
    <row r="18321">
      <c r="D18321" s="9"/>
      <c r="G18321" s="9"/>
      <c r="J18321" s="11"/>
      <c r="U18321" s="9"/>
      <c r="X18321" s="9"/>
    </row>
    <row r="18322">
      <c r="D18322" s="9"/>
      <c r="G18322" s="9"/>
      <c r="J18322" s="11"/>
      <c r="U18322" s="9"/>
      <c r="X18322" s="9"/>
    </row>
    <row r="18323">
      <c r="D18323" s="9"/>
      <c r="G18323" s="9"/>
      <c r="J18323" s="11"/>
      <c r="U18323" s="9"/>
      <c r="X18323" s="9"/>
    </row>
    <row r="18324">
      <c r="D18324" s="9"/>
      <c r="G18324" s="9"/>
      <c r="J18324" s="11"/>
      <c r="U18324" s="9"/>
      <c r="X18324" s="9"/>
    </row>
    <row r="18325">
      <c r="D18325" s="9"/>
      <c r="G18325" s="9"/>
      <c r="J18325" s="11"/>
      <c r="U18325" s="9"/>
      <c r="X18325" s="9"/>
    </row>
    <row r="18326">
      <c r="D18326" s="9"/>
      <c r="G18326" s="9"/>
      <c r="J18326" s="11"/>
      <c r="U18326" s="9"/>
      <c r="X18326" s="9"/>
    </row>
    <row r="18327">
      <c r="D18327" s="9"/>
      <c r="G18327" s="9"/>
      <c r="J18327" s="11"/>
      <c r="U18327" s="9"/>
      <c r="X18327" s="9"/>
    </row>
    <row r="18328">
      <c r="D18328" s="9"/>
      <c r="G18328" s="9"/>
      <c r="J18328" s="11"/>
      <c r="U18328" s="9"/>
      <c r="X18328" s="9"/>
    </row>
    <row r="18329">
      <c r="D18329" s="9"/>
      <c r="G18329" s="9"/>
      <c r="J18329" s="11"/>
      <c r="U18329" s="9"/>
      <c r="X18329" s="9"/>
    </row>
    <row r="18330">
      <c r="D18330" s="9"/>
      <c r="G18330" s="9"/>
      <c r="J18330" s="11"/>
      <c r="U18330" s="9"/>
      <c r="X18330" s="9"/>
    </row>
    <row r="18331">
      <c r="D18331" s="9"/>
      <c r="G18331" s="9"/>
      <c r="J18331" s="11"/>
      <c r="U18331" s="9"/>
      <c r="X18331" s="9"/>
    </row>
    <row r="18332">
      <c r="D18332" s="9"/>
      <c r="G18332" s="9"/>
      <c r="J18332" s="11"/>
      <c r="U18332" s="9"/>
      <c r="X18332" s="9"/>
    </row>
    <row r="18333">
      <c r="D18333" s="9"/>
      <c r="G18333" s="9"/>
      <c r="J18333" s="11"/>
      <c r="U18333" s="9"/>
      <c r="X18333" s="9"/>
    </row>
    <row r="18334">
      <c r="D18334" s="9"/>
      <c r="G18334" s="9"/>
      <c r="J18334" s="11"/>
      <c r="U18334" s="9"/>
      <c r="X18334" s="9"/>
    </row>
    <row r="18335">
      <c r="D18335" s="9"/>
      <c r="G18335" s="9"/>
      <c r="J18335" s="11"/>
      <c r="U18335" s="9"/>
      <c r="X18335" s="9"/>
    </row>
    <row r="18336">
      <c r="D18336" s="9"/>
      <c r="G18336" s="9"/>
      <c r="J18336" s="11"/>
      <c r="U18336" s="9"/>
      <c r="X18336" s="9"/>
    </row>
    <row r="18337">
      <c r="D18337" s="9"/>
      <c r="G18337" s="9"/>
      <c r="J18337" s="11"/>
      <c r="U18337" s="9"/>
      <c r="X18337" s="9"/>
    </row>
    <row r="18338">
      <c r="D18338" s="9"/>
      <c r="G18338" s="9"/>
      <c r="J18338" s="11"/>
      <c r="U18338" s="9"/>
      <c r="X18338" s="9"/>
    </row>
    <row r="18339">
      <c r="D18339" s="9"/>
      <c r="G18339" s="9"/>
      <c r="J18339" s="11"/>
      <c r="U18339" s="9"/>
      <c r="X18339" s="9"/>
    </row>
    <row r="18340">
      <c r="D18340" s="9"/>
      <c r="G18340" s="9"/>
      <c r="J18340" s="11"/>
      <c r="U18340" s="9"/>
      <c r="X18340" s="9"/>
    </row>
    <row r="18341">
      <c r="D18341" s="9"/>
      <c r="G18341" s="9"/>
      <c r="J18341" s="11"/>
      <c r="U18341" s="9"/>
      <c r="X18341" s="9"/>
    </row>
    <row r="18342">
      <c r="D18342" s="9"/>
      <c r="G18342" s="9"/>
      <c r="J18342" s="11"/>
      <c r="U18342" s="9"/>
      <c r="X18342" s="9"/>
    </row>
    <row r="18343">
      <c r="D18343" s="9"/>
      <c r="G18343" s="9"/>
      <c r="J18343" s="11"/>
      <c r="U18343" s="9"/>
      <c r="X18343" s="9"/>
    </row>
    <row r="18344">
      <c r="D18344" s="9"/>
      <c r="G18344" s="9"/>
      <c r="J18344" s="11"/>
      <c r="U18344" s="9"/>
      <c r="X18344" s="9"/>
    </row>
    <row r="18345">
      <c r="D18345" s="9"/>
      <c r="G18345" s="9"/>
      <c r="J18345" s="11"/>
      <c r="U18345" s="9"/>
      <c r="X18345" s="9"/>
    </row>
    <row r="18346">
      <c r="D18346" s="9"/>
      <c r="G18346" s="9"/>
      <c r="J18346" s="11"/>
      <c r="U18346" s="9"/>
      <c r="X18346" s="9"/>
    </row>
    <row r="18347">
      <c r="D18347" s="9"/>
      <c r="G18347" s="9"/>
      <c r="J18347" s="11"/>
      <c r="U18347" s="9"/>
      <c r="X18347" s="9"/>
    </row>
    <row r="18348">
      <c r="D18348" s="9"/>
      <c r="G18348" s="9"/>
      <c r="J18348" s="11"/>
      <c r="U18348" s="9"/>
      <c r="X18348" s="9"/>
    </row>
    <row r="18349">
      <c r="D18349" s="9"/>
      <c r="G18349" s="9"/>
      <c r="J18349" s="11"/>
      <c r="U18349" s="9"/>
      <c r="X18349" s="9"/>
    </row>
    <row r="18350">
      <c r="D18350" s="9"/>
      <c r="G18350" s="9"/>
      <c r="J18350" s="11"/>
      <c r="U18350" s="9"/>
      <c r="X18350" s="9"/>
    </row>
    <row r="18351">
      <c r="D18351" s="9"/>
      <c r="G18351" s="9"/>
      <c r="J18351" s="11"/>
      <c r="U18351" s="9"/>
      <c r="X18351" s="9"/>
    </row>
    <row r="18352">
      <c r="D18352" s="9"/>
      <c r="G18352" s="9"/>
      <c r="J18352" s="11"/>
      <c r="U18352" s="9"/>
      <c r="X18352" s="9"/>
    </row>
    <row r="18353">
      <c r="D18353" s="9"/>
      <c r="G18353" s="9"/>
      <c r="J18353" s="11"/>
      <c r="U18353" s="9"/>
      <c r="X18353" s="9"/>
    </row>
    <row r="18354">
      <c r="D18354" s="9"/>
      <c r="G18354" s="9"/>
      <c r="J18354" s="11"/>
      <c r="U18354" s="9"/>
      <c r="X18354" s="9"/>
    </row>
    <row r="18355">
      <c r="D18355" s="9"/>
      <c r="G18355" s="9"/>
      <c r="J18355" s="11"/>
      <c r="U18355" s="9"/>
      <c r="X18355" s="9"/>
    </row>
    <row r="18356">
      <c r="D18356" s="9"/>
      <c r="G18356" s="9"/>
      <c r="J18356" s="11"/>
      <c r="U18356" s="9"/>
      <c r="X18356" s="9"/>
    </row>
    <row r="18357">
      <c r="D18357" s="9"/>
      <c r="G18357" s="9"/>
      <c r="J18357" s="11"/>
      <c r="U18357" s="9"/>
      <c r="X18357" s="9"/>
    </row>
    <row r="18358">
      <c r="D18358" s="9"/>
      <c r="G18358" s="9"/>
      <c r="J18358" s="11"/>
      <c r="U18358" s="9"/>
      <c r="X18358" s="9"/>
    </row>
    <row r="18359">
      <c r="D18359" s="9"/>
      <c r="G18359" s="9"/>
      <c r="J18359" s="11"/>
      <c r="U18359" s="9"/>
      <c r="X18359" s="9"/>
    </row>
    <row r="18360">
      <c r="D18360" s="9"/>
      <c r="G18360" s="9"/>
      <c r="J18360" s="11"/>
      <c r="U18360" s="9"/>
      <c r="X18360" s="9"/>
    </row>
    <row r="18361">
      <c r="D18361" s="9"/>
      <c r="G18361" s="9"/>
      <c r="J18361" s="11"/>
      <c r="U18361" s="9"/>
      <c r="X18361" s="9"/>
    </row>
    <row r="18362">
      <c r="D18362" s="9"/>
      <c r="G18362" s="9"/>
      <c r="J18362" s="11"/>
      <c r="U18362" s="9"/>
      <c r="X18362" s="9"/>
    </row>
    <row r="18363">
      <c r="D18363" s="9"/>
      <c r="G18363" s="9"/>
      <c r="J18363" s="11"/>
      <c r="U18363" s="9"/>
      <c r="X18363" s="9"/>
    </row>
    <row r="18364">
      <c r="D18364" s="9"/>
      <c r="G18364" s="9"/>
      <c r="J18364" s="11"/>
      <c r="U18364" s="9"/>
      <c r="X18364" s="9"/>
    </row>
    <row r="18365">
      <c r="D18365" s="9"/>
      <c r="G18365" s="9"/>
      <c r="J18365" s="11"/>
      <c r="U18365" s="9"/>
      <c r="X18365" s="9"/>
    </row>
    <row r="18366">
      <c r="D18366" s="9"/>
      <c r="G18366" s="9"/>
      <c r="J18366" s="11"/>
      <c r="U18366" s="9"/>
      <c r="X18366" s="9"/>
    </row>
    <row r="18367">
      <c r="D18367" s="9"/>
      <c r="G18367" s="9"/>
      <c r="J18367" s="11"/>
      <c r="U18367" s="9"/>
      <c r="X18367" s="9"/>
    </row>
    <row r="18368">
      <c r="D18368" s="9"/>
      <c r="G18368" s="9"/>
      <c r="J18368" s="11"/>
      <c r="U18368" s="9"/>
      <c r="X18368" s="9"/>
    </row>
    <row r="18369">
      <c r="D18369" s="9"/>
      <c r="G18369" s="9"/>
      <c r="J18369" s="11"/>
      <c r="U18369" s="9"/>
      <c r="X18369" s="9"/>
    </row>
    <row r="18370">
      <c r="D18370" s="9"/>
      <c r="G18370" s="9"/>
      <c r="J18370" s="11"/>
      <c r="U18370" s="9"/>
      <c r="X18370" s="9"/>
    </row>
    <row r="18371">
      <c r="D18371" s="9"/>
      <c r="G18371" s="9"/>
      <c r="J18371" s="11"/>
      <c r="U18371" s="9"/>
      <c r="X18371" s="9"/>
    </row>
    <row r="18372">
      <c r="D18372" s="9"/>
      <c r="G18372" s="9"/>
      <c r="J18372" s="11"/>
      <c r="U18372" s="9"/>
      <c r="X18372" s="9"/>
    </row>
    <row r="18373">
      <c r="D18373" s="9"/>
      <c r="G18373" s="9"/>
      <c r="J18373" s="11"/>
      <c r="U18373" s="9"/>
      <c r="X18373" s="9"/>
    </row>
    <row r="18374">
      <c r="D18374" s="9"/>
      <c r="G18374" s="9"/>
      <c r="J18374" s="11"/>
      <c r="U18374" s="9"/>
      <c r="X18374" s="9"/>
    </row>
    <row r="18375">
      <c r="D18375" s="9"/>
      <c r="G18375" s="9"/>
      <c r="J18375" s="11"/>
      <c r="U18375" s="9"/>
      <c r="X18375" s="9"/>
    </row>
    <row r="18376">
      <c r="D18376" s="9"/>
      <c r="G18376" s="9"/>
      <c r="J18376" s="11"/>
      <c r="U18376" s="9"/>
      <c r="X18376" s="9"/>
    </row>
    <row r="18377">
      <c r="D18377" s="9"/>
      <c r="G18377" s="9"/>
      <c r="J18377" s="11"/>
      <c r="U18377" s="9"/>
      <c r="X18377" s="9"/>
    </row>
    <row r="18378">
      <c r="D18378" s="9"/>
      <c r="G18378" s="9"/>
      <c r="J18378" s="11"/>
      <c r="U18378" s="9"/>
      <c r="X18378" s="9"/>
    </row>
    <row r="18379">
      <c r="D18379" s="9"/>
      <c r="G18379" s="9"/>
      <c r="J18379" s="11"/>
      <c r="U18379" s="9"/>
      <c r="X18379" s="9"/>
    </row>
    <row r="18380">
      <c r="D18380" s="9"/>
      <c r="G18380" s="9"/>
      <c r="J18380" s="11"/>
      <c r="U18380" s="9"/>
      <c r="X18380" s="9"/>
    </row>
    <row r="18381">
      <c r="D18381" s="9"/>
      <c r="G18381" s="9"/>
      <c r="J18381" s="11"/>
      <c r="U18381" s="9"/>
      <c r="X18381" s="9"/>
    </row>
    <row r="18382">
      <c r="D18382" s="9"/>
      <c r="G18382" s="9"/>
      <c r="J18382" s="11"/>
      <c r="U18382" s="9"/>
      <c r="X18382" s="9"/>
    </row>
    <row r="18383">
      <c r="D18383" s="9"/>
      <c r="G18383" s="9"/>
      <c r="J18383" s="11"/>
      <c r="U18383" s="9"/>
      <c r="X18383" s="9"/>
    </row>
    <row r="18384">
      <c r="D18384" s="9"/>
      <c r="G18384" s="9"/>
      <c r="J18384" s="11"/>
      <c r="U18384" s="9"/>
      <c r="X18384" s="9"/>
    </row>
    <row r="18385">
      <c r="D18385" s="9"/>
      <c r="G18385" s="9"/>
      <c r="J18385" s="11"/>
      <c r="U18385" s="9"/>
      <c r="X18385" s="9"/>
    </row>
    <row r="18386">
      <c r="D18386" s="9"/>
      <c r="G18386" s="9"/>
      <c r="J18386" s="11"/>
      <c r="U18386" s="9"/>
      <c r="X18386" s="9"/>
    </row>
    <row r="18387">
      <c r="D18387" s="9"/>
      <c r="G18387" s="9"/>
      <c r="J18387" s="11"/>
      <c r="U18387" s="9"/>
      <c r="X18387" s="9"/>
    </row>
    <row r="18388">
      <c r="D18388" s="9"/>
      <c r="G18388" s="9"/>
      <c r="J18388" s="11"/>
      <c r="U18388" s="9"/>
      <c r="X18388" s="9"/>
    </row>
    <row r="18389">
      <c r="D18389" s="9"/>
      <c r="G18389" s="9"/>
      <c r="J18389" s="11"/>
      <c r="U18389" s="9"/>
      <c r="X18389" s="9"/>
    </row>
    <row r="18390">
      <c r="D18390" s="9"/>
      <c r="G18390" s="9"/>
      <c r="J18390" s="11"/>
      <c r="U18390" s="9"/>
      <c r="X18390" s="9"/>
    </row>
    <row r="18391">
      <c r="D18391" s="9"/>
      <c r="G18391" s="9"/>
      <c r="J18391" s="11"/>
      <c r="U18391" s="9"/>
      <c r="X18391" s="9"/>
    </row>
    <row r="18392">
      <c r="D18392" s="9"/>
      <c r="G18392" s="9"/>
      <c r="J18392" s="11"/>
      <c r="U18392" s="9"/>
      <c r="X18392" s="9"/>
    </row>
    <row r="18393">
      <c r="D18393" s="9"/>
      <c r="G18393" s="9"/>
      <c r="J18393" s="11"/>
      <c r="U18393" s="9"/>
      <c r="X18393" s="9"/>
    </row>
    <row r="18394">
      <c r="D18394" s="9"/>
      <c r="G18394" s="9"/>
      <c r="J18394" s="11"/>
      <c r="U18394" s="9"/>
      <c r="X18394" s="9"/>
    </row>
    <row r="18395">
      <c r="D18395" s="9"/>
      <c r="G18395" s="9"/>
      <c r="J18395" s="11"/>
      <c r="U18395" s="9"/>
      <c r="X18395" s="9"/>
    </row>
    <row r="18396">
      <c r="D18396" s="9"/>
      <c r="G18396" s="9"/>
      <c r="J18396" s="11"/>
      <c r="U18396" s="9"/>
      <c r="X18396" s="9"/>
    </row>
    <row r="18397">
      <c r="D18397" s="9"/>
      <c r="G18397" s="9"/>
      <c r="J18397" s="11"/>
      <c r="U18397" s="9"/>
      <c r="X18397" s="9"/>
    </row>
    <row r="18398">
      <c r="D18398" s="9"/>
      <c r="G18398" s="9"/>
      <c r="J18398" s="11"/>
      <c r="U18398" s="9"/>
      <c r="X18398" s="9"/>
    </row>
    <row r="18399">
      <c r="D18399" s="9"/>
      <c r="G18399" s="9"/>
      <c r="J18399" s="11"/>
      <c r="U18399" s="9"/>
      <c r="X18399" s="9"/>
    </row>
    <row r="18400">
      <c r="D18400" s="9"/>
      <c r="G18400" s="9"/>
      <c r="J18400" s="11"/>
      <c r="U18400" s="9"/>
      <c r="X18400" s="9"/>
    </row>
    <row r="18401">
      <c r="D18401" s="9"/>
      <c r="G18401" s="9"/>
      <c r="J18401" s="11"/>
      <c r="U18401" s="9"/>
      <c r="X18401" s="9"/>
    </row>
    <row r="18402">
      <c r="D18402" s="9"/>
      <c r="G18402" s="9"/>
      <c r="J18402" s="11"/>
      <c r="U18402" s="9"/>
      <c r="X18402" s="9"/>
    </row>
    <row r="18403">
      <c r="D18403" s="9"/>
      <c r="G18403" s="9"/>
      <c r="J18403" s="11"/>
      <c r="U18403" s="9"/>
      <c r="X18403" s="9"/>
    </row>
    <row r="18404">
      <c r="D18404" s="9"/>
      <c r="G18404" s="9"/>
      <c r="J18404" s="11"/>
      <c r="U18404" s="9"/>
      <c r="X18404" s="9"/>
    </row>
    <row r="18405">
      <c r="D18405" s="9"/>
      <c r="G18405" s="9"/>
      <c r="J18405" s="11"/>
      <c r="U18405" s="9"/>
      <c r="X18405" s="9"/>
    </row>
    <row r="18406">
      <c r="D18406" s="9"/>
      <c r="G18406" s="9"/>
      <c r="J18406" s="11"/>
      <c r="U18406" s="9"/>
      <c r="X18406" s="9"/>
    </row>
    <row r="18407">
      <c r="D18407" s="9"/>
      <c r="G18407" s="9"/>
      <c r="J18407" s="11"/>
      <c r="U18407" s="9"/>
      <c r="X18407" s="9"/>
    </row>
    <row r="18408">
      <c r="D18408" s="9"/>
      <c r="G18408" s="9"/>
      <c r="J18408" s="11"/>
      <c r="U18408" s="9"/>
      <c r="X18408" s="9"/>
    </row>
    <row r="18409">
      <c r="D18409" s="9"/>
      <c r="G18409" s="9"/>
      <c r="J18409" s="11"/>
      <c r="U18409" s="9"/>
      <c r="X18409" s="9"/>
    </row>
    <row r="18410">
      <c r="D18410" s="9"/>
      <c r="G18410" s="9"/>
      <c r="J18410" s="11"/>
      <c r="U18410" s="9"/>
      <c r="X18410" s="9"/>
    </row>
    <row r="18411">
      <c r="D18411" s="9"/>
      <c r="G18411" s="9"/>
      <c r="J18411" s="11"/>
      <c r="U18411" s="9"/>
      <c r="X18411" s="9"/>
    </row>
    <row r="18412">
      <c r="D18412" s="9"/>
      <c r="G18412" s="9"/>
      <c r="J18412" s="11"/>
      <c r="U18412" s="9"/>
      <c r="X18412" s="9"/>
    </row>
    <row r="18413">
      <c r="D18413" s="9"/>
      <c r="G18413" s="9"/>
      <c r="J18413" s="11"/>
      <c r="U18413" s="9"/>
      <c r="X18413" s="9"/>
    </row>
    <row r="18414">
      <c r="D18414" s="9"/>
      <c r="G18414" s="9"/>
      <c r="J18414" s="11"/>
      <c r="U18414" s="9"/>
      <c r="X18414" s="9"/>
    </row>
    <row r="18415">
      <c r="D18415" s="9"/>
      <c r="G18415" s="9"/>
      <c r="J18415" s="11"/>
      <c r="U18415" s="9"/>
      <c r="X18415" s="9"/>
    </row>
    <row r="18416">
      <c r="D18416" s="9"/>
      <c r="G18416" s="9"/>
      <c r="J18416" s="11"/>
      <c r="U18416" s="9"/>
      <c r="X18416" s="9"/>
    </row>
    <row r="18417">
      <c r="D18417" s="9"/>
      <c r="G18417" s="9"/>
      <c r="J18417" s="11"/>
      <c r="U18417" s="9"/>
      <c r="X18417" s="9"/>
    </row>
    <row r="18418">
      <c r="D18418" s="9"/>
      <c r="G18418" s="9"/>
      <c r="J18418" s="11"/>
      <c r="U18418" s="9"/>
      <c r="X18418" s="9"/>
    </row>
    <row r="18419">
      <c r="D18419" s="9"/>
      <c r="G18419" s="9"/>
      <c r="J18419" s="11"/>
      <c r="U18419" s="9"/>
      <c r="X18419" s="9"/>
    </row>
    <row r="18420">
      <c r="D18420" s="9"/>
      <c r="G18420" s="9"/>
      <c r="J18420" s="11"/>
      <c r="U18420" s="9"/>
      <c r="X18420" s="9"/>
    </row>
    <row r="18421">
      <c r="D18421" s="9"/>
      <c r="G18421" s="9"/>
      <c r="J18421" s="11"/>
      <c r="U18421" s="9"/>
      <c r="X18421" s="9"/>
    </row>
    <row r="18422">
      <c r="D18422" s="9"/>
      <c r="G18422" s="9"/>
      <c r="J18422" s="11"/>
      <c r="U18422" s="9"/>
      <c r="X18422" s="9"/>
    </row>
    <row r="18423">
      <c r="D18423" s="9"/>
      <c r="G18423" s="9"/>
      <c r="J18423" s="11"/>
      <c r="U18423" s="9"/>
      <c r="X18423" s="9"/>
    </row>
    <row r="18424">
      <c r="D18424" s="9"/>
      <c r="G18424" s="9"/>
      <c r="J18424" s="11"/>
      <c r="U18424" s="9"/>
      <c r="X18424" s="9"/>
    </row>
    <row r="18425">
      <c r="D18425" s="9"/>
      <c r="G18425" s="9"/>
      <c r="J18425" s="11"/>
      <c r="U18425" s="9"/>
      <c r="X18425" s="9"/>
    </row>
    <row r="18426">
      <c r="D18426" s="9"/>
      <c r="G18426" s="9"/>
      <c r="J18426" s="11"/>
      <c r="U18426" s="9"/>
      <c r="X18426" s="9"/>
    </row>
    <row r="18427">
      <c r="D18427" s="9"/>
      <c r="G18427" s="9"/>
      <c r="J18427" s="11"/>
      <c r="U18427" s="9"/>
      <c r="X18427" s="9"/>
    </row>
    <row r="18428">
      <c r="D18428" s="9"/>
      <c r="G18428" s="9"/>
      <c r="J18428" s="11"/>
      <c r="U18428" s="9"/>
      <c r="X18428" s="9"/>
    </row>
    <row r="18429">
      <c r="D18429" s="9"/>
      <c r="G18429" s="9"/>
      <c r="J18429" s="11"/>
      <c r="U18429" s="9"/>
      <c r="X18429" s="9"/>
    </row>
    <row r="18430">
      <c r="D18430" s="9"/>
      <c r="G18430" s="9"/>
      <c r="J18430" s="11"/>
      <c r="U18430" s="9"/>
      <c r="X18430" s="9"/>
    </row>
    <row r="18431">
      <c r="D18431" s="9"/>
      <c r="G18431" s="9"/>
      <c r="J18431" s="11"/>
      <c r="U18431" s="9"/>
      <c r="X18431" s="9"/>
    </row>
    <row r="18432">
      <c r="D18432" s="9"/>
      <c r="G18432" s="9"/>
      <c r="J18432" s="11"/>
      <c r="U18432" s="9"/>
      <c r="X18432" s="9"/>
    </row>
    <row r="18433">
      <c r="D18433" s="9"/>
      <c r="G18433" s="9"/>
      <c r="J18433" s="11"/>
      <c r="U18433" s="9"/>
      <c r="X18433" s="9"/>
    </row>
    <row r="18434">
      <c r="D18434" s="9"/>
      <c r="G18434" s="9"/>
      <c r="J18434" s="11"/>
      <c r="U18434" s="9"/>
      <c r="X18434" s="9"/>
    </row>
    <row r="18435">
      <c r="D18435" s="9"/>
      <c r="G18435" s="9"/>
      <c r="J18435" s="11"/>
      <c r="U18435" s="9"/>
      <c r="X18435" s="9"/>
    </row>
    <row r="18436">
      <c r="D18436" s="9"/>
      <c r="G18436" s="9"/>
      <c r="J18436" s="11"/>
      <c r="U18436" s="9"/>
      <c r="X18436" s="9"/>
    </row>
    <row r="18437">
      <c r="D18437" s="9"/>
      <c r="G18437" s="9"/>
      <c r="J18437" s="11"/>
      <c r="U18437" s="9"/>
      <c r="X18437" s="9"/>
    </row>
    <row r="18438">
      <c r="D18438" s="9"/>
      <c r="G18438" s="9"/>
      <c r="J18438" s="11"/>
      <c r="U18438" s="9"/>
      <c r="X18438" s="9"/>
    </row>
    <row r="18439">
      <c r="D18439" s="9"/>
      <c r="G18439" s="9"/>
      <c r="J18439" s="11"/>
      <c r="U18439" s="9"/>
      <c r="X18439" s="9"/>
    </row>
    <row r="18440">
      <c r="D18440" s="9"/>
      <c r="G18440" s="9"/>
      <c r="J18440" s="11"/>
      <c r="U18440" s="9"/>
      <c r="X18440" s="9"/>
    </row>
    <row r="18441">
      <c r="D18441" s="9"/>
      <c r="G18441" s="9"/>
      <c r="J18441" s="11"/>
      <c r="U18441" s="9"/>
      <c r="X18441" s="9"/>
    </row>
    <row r="18442">
      <c r="D18442" s="9"/>
      <c r="G18442" s="9"/>
      <c r="J18442" s="11"/>
      <c r="U18442" s="9"/>
      <c r="X18442" s="9"/>
    </row>
    <row r="18443">
      <c r="D18443" s="9"/>
      <c r="G18443" s="9"/>
      <c r="J18443" s="11"/>
      <c r="U18443" s="9"/>
      <c r="X18443" s="9"/>
    </row>
    <row r="18444">
      <c r="D18444" s="9"/>
      <c r="G18444" s="9"/>
      <c r="J18444" s="11"/>
      <c r="U18444" s="9"/>
      <c r="X18444" s="9"/>
    </row>
    <row r="18445">
      <c r="D18445" s="9"/>
      <c r="G18445" s="9"/>
      <c r="J18445" s="11"/>
      <c r="U18445" s="9"/>
      <c r="X18445" s="9"/>
    </row>
    <row r="18446">
      <c r="D18446" s="9"/>
      <c r="G18446" s="9"/>
      <c r="J18446" s="11"/>
      <c r="U18446" s="9"/>
      <c r="X18446" s="9"/>
    </row>
    <row r="18447">
      <c r="D18447" s="9"/>
      <c r="G18447" s="9"/>
      <c r="J18447" s="11"/>
      <c r="U18447" s="9"/>
      <c r="X18447" s="9"/>
    </row>
    <row r="18448">
      <c r="D18448" s="9"/>
      <c r="G18448" s="9"/>
      <c r="J18448" s="11"/>
      <c r="U18448" s="9"/>
      <c r="X18448" s="9"/>
    </row>
    <row r="18449">
      <c r="D18449" s="9"/>
      <c r="G18449" s="9"/>
      <c r="J18449" s="11"/>
      <c r="U18449" s="9"/>
      <c r="X18449" s="9"/>
    </row>
    <row r="18450">
      <c r="D18450" s="9"/>
      <c r="G18450" s="9"/>
      <c r="J18450" s="11"/>
      <c r="U18450" s="9"/>
      <c r="X18450" s="9"/>
    </row>
    <row r="18451">
      <c r="D18451" s="9"/>
      <c r="G18451" s="9"/>
      <c r="J18451" s="11"/>
      <c r="U18451" s="9"/>
      <c r="X18451" s="9"/>
    </row>
    <row r="18452">
      <c r="D18452" s="9"/>
      <c r="G18452" s="9"/>
      <c r="J18452" s="11"/>
      <c r="U18452" s="9"/>
      <c r="X18452" s="9"/>
    </row>
    <row r="18453">
      <c r="D18453" s="9"/>
      <c r="G18453" s="9"/>
      <c r="J18453" s="11"/>
      <c r="U18453" s="9"/>
      <c r="X18453" s="9"/>
    </row>
    <row r="18454">
      <c r="D18454" s="9"/>
      <c r="G18454" s="9"/>
      <c r="J18454" s="11"/>
      <c r="U18454" s="9"/>
      <c r="X18454" s="9"/>
    </row>
    <row r="18455">
      <c r="D18455" s="9"/>
      <c r="G18455" s="9"/>
      <c r="J18455" s="11"/>
      <c r="U18455" s="9"/>
      <c r="X18455" s="9"/>
    </row>
    <row r="18456">
      <c r="D18456" s="9"/>
      <c r="G18456" s="9"/>
      <c r="J18456" s="11"/>
      <c r="U18456" s="9"/>
      <c r="X18456" s="9"/>
    </row>
    <row r="18457">
      <c r="D18457" s="9"/>
      <c r="G18457" s="9"/>
      <c r="J18457" s="11"/>
      <c r="U18457" s="9"/>
      <c r="X18457" s="9"/>
    </row>
    <row r="18458">
      <c r="D18458" s="9"/>
      <c r="G18458" s="9"/>
      <c r="J18458" s="11"/>
      <c r="U18458" s="9"/>
      <c r="X18458" s="9"/>
    </row>
    <row r="18459">
      <c r="D18459" s="9"/>
      <c r="G18459" s="9"/>
      <c r="J18459" s="11"/>
      <c r="U18459" s="9"/>
      <c r="X18459" s="9"/>
    </row>
    <row r="18460">
      <c r="D18460" s="9"/>
      <c r="G18460" s="9"/>
      <c r="J18460" s="11"/>
      <c r="U18460" s="9"/>
      <c r="X18460" s="9"/>
    </row>
    <row r="18461">
      <c r="D18461" s="9"/>
      <c r="G18461" s="9"/>
      <c r="J18461" s="11"/>
      <c r="U18461" s="9"/>
      <c r="X18461" s="9"/>
    </row>
    <row r="18462">
      <c r="D18462" s="9"/>
      <c r="G18462" s="9"/>
      <c r="J18462" s="11"/>
      <c r="U18462" s="9"/>
      <c r="X18462" s="9"/>
    </row>
    <row r="18463">
      <c r="D18463" s="9"/>
      <c r="G18463" s="9"/>
      <c r="J18463" s="11"/>
      <c r="U18463" s="9"/>
      <c r="X18463" s="9"/>
    </row>
    <row r="18464">
      <c r="D18464" s="9"/>
      <c r="G18464" s="9"/>
      <c r="J18464" s="11"/>
      <c r="U18464" s="9"/>
      <c r="X18464" s="9"/>
    </row>
    <row r="18465">
      <c r="D18465" s="9"/>
      <c r="G18465" s="9"/>
      <c r="J18465" s="11"/>
      <c r="U18465" s="9"/>
      <c r="X18465" s="9"/>
    </row>
    <row r="18466">
      <c r="D18466" s="9"/>
      <c r="G18466" s="9"/>
      <c r="J18466" s="11"/>
      <c r="U18466" s="9"/>
      <c r="X18466" s="9"/>
    </row>
    <row r="18467">
      <c r="D18467" s="9"/>
      <c r="G18467" s="9"/>
      <c r="J18467" s="11"/>
      <c r="U18467" s="9"/>
      <c r="X18467" s="9"/>
    </row>
    <row r="18468">
      <c r="D18468" s="9"/>
      <c r="G18468" s="9"/>
      <c r="J18468" s="11"/>
      <c r="U18468" s="9"/>
      <c r="X18468" s="9"/>
    </row>
    <row r="18469">
      <c r="D18469" s="9"/>
      <c r="G18469" s="9"/>
      <c r="J18469" s="11"/>
      <c r="U18469" s="9"/>
      <c r="X18469" s="9"/>
    </row>
    <row r="18470">
      <c r="D18470" s="9"/>
      <c r="G18470" s="9"/>
      <c r="J18470" s="11"/>
      <c r="U18470" s="9"/>
      <c r="X18470" s="9"/>
    </row>
    <row r="18471">
      <c r="D18471" s="9"/>
      <c r="G18471" s="9"/>
      <c r="J18471" s="11"/>
      <c r="U18471" s="9"/>
      <c r="X18471" s="9"/>
    </row>
    <row r="18472">
      <c r="D18472" s="9"/>
      <c r="G18472" s="9"/>
      <c r="J18472" s="11"/>
      <c r="U18472" s="9"/>
      <c r="X18472" s="9"/>
    </row>
    <row r="18473">
      <c r="D18473" s="9"/>
      <c r="G18473" s="9"/>
      <c r="J18473" s="11"/>
      <c r="U18473" s="9"/>
      <c r="X18473" s="9"/>
    </row>
    <row r="18474">
      <c r="D18474" s="9"/>
      <c r="G18474" s="9"/>
      <c r="J18474" s="11"/>
      <c r="U18474" s="9"/>
      <c r="X18474" s="9"/>
    </row>
    <row r="18475">
      <c r="D18475" s="9"/>
      <c r="G18475" s="9"/>
      <c r="J18475" s="11"/>
      <c r="U18475" s="9"/>
      <c r="X18475" s="9"/>
    </row>
    <row r="18476">
      <c r="D18476" s="9"/>
      <c r="G18476" s="9"/>
      <c r="J18476" s="11"/>
      <c r="U18476" s="9"/>
      <c r="X18476" s="9"/>
    </row>
    <row r="18477">
      <c r="D18477" s="9"/>
      <c r="G18477" s="9"/>
      <c r="J18477" s="11"/>
      <c r="U18477" s="9"/>
      <c r="X18477" s="9"/>
    </row>
    <row r="18478">
      <c r="D18478" s="9"/>
      <c r="G18478" s="9"/>
      <c r="J18478" s="11"/>
      <c r="U18478" s="9"/>
      <c r="X18478" s="9"/>
    </row>
    <row r="18479">
      <c r="D18479" s="9"/>
      <c r="G18479" s="9"/>
      <c r="J18479" s="11"/>
      <c r="U18479" s="9"/>
      <c r="X18479" s="9"/>
    </row>
    <row r="18480">
      <c r="D18480" s="9"/>
      <c r="G18480" s="9"/>
      <c r="J18480" s="11"/>
      <c r="U18480" s="9"/>
      <c r="X18480" s="9"/>
    </row>
    <row r="18481">
      <c r="D18481" s="9"/>
      <c r="G18481" s="9"/>
      <c r="J18481" s="11"/>
      <c r="U18481" s="9"/>
      <c r="X18481" s="9"/>
    </row>
    <row r="18482">
      <c r="D18482" s="9"/>
      <c r="G18482" s="9"/>
      <c r="J18482" s="11"/>
      <c r="U18482" s="9"/>
      <c r="X18482" s="9"/>
    </row>
    <row r="18483">
      <c r="D18483" s="9"/>
      <c r="G18483" s="9"/>
      <c r="J18483" s="11"/>
      <c r="U18483" s="9"/>
      <c r="X18483" s="9"/>
    </row>
    <row r="18484">
      <c r="D18484" s="9"/>
      <c r="G18484" s="9"/>
      <c r="J18484" s="11"/>
      <c r="U18484" s="9"/>
      <c r="X18484" s="9"/>
    </row>
    <row r="18485">
      <c r="D18485" s="9"/>
      <c r="G18485" s="9"/>
      <c r="J18485" s="11"/>
      <c r="U18485" s="9"/>
      <c r="X18485" s="9"/>
    </row>
    <row r="18486">
      <c r="D18486" s="9"/>
      <c r="G18486" s="9"/>
      <c r="J18486" s="11"/>
      <c r="U18486" s="9"/>
      <c r="X18486" s="9"/>
    </row>
    <row r="18487">
      <c r="D18487" s="9"/>
      <c r="G18487" s="9"/>
      <c r="J18487" s="11"/>
      <c r="U18487" s="9"/>
      <c r="X18487" s="9"/>
    </row>
    <row r="18488">
      <c r="D18488" s="9"/>
      <c r="G18488" s="9"/>
      <c r="J18488" s="11"/>
      <c r="U18488" s="9"/>
      <c r="X18488" s="9"/>
    </row>
    <row r="18489">
      <c r="D18489" s="9"/>
      <c r="G18489" s="9"/>
      <c r="J18489" s="11"/>
      <c r="U18489" s="9"/>
      <c r="X18489" s="9"/>
    </row>
    <row r="18490">
      <c r="D18490" s="9"/>
      <c r="G18490" s="9"/>
      <c r="J18490" s="11"/>
      <c r="U18490" s="9"/>
      <c r="X18490" s="9"/>
    </row>
    <row r="18491">
      <c r="D18491" s="9"/>
      <c r="G18491" s="9"/>
      <c r="J18491" s="11"/>
      <c r="U18491" s="9"/>
      <c r="X18491" s="9"/>
    </row>
    <row r="18492">
      <c r="D18492" s="9"/>
      <c r="G18492" s="9"/>
      <c r="J18492" s="11"/>
      <c r="U18492" s="9"/>
      <c r="X18492" s="9"/>
    </row>
    <row r="18493">
      <c r="D18493" s="9"/>
      <c r="G18493" s="9"/>
      <c r="J18493" s="11"/>
      <c r="U18493" s="9"/>
      <c r="X18493" s="9"/>
    </row>
    <row r="18494">
      <c r="D18494" s="9"/>
      <c r="G18494" s="9"/>
      <c r="J18494" s="11"/>
      <c r="U18494" s="9"/>
      <c r="X18494" s="9"/>
    </row>
    <row r="18495">
      <c r="D18495" s="9"/>
      <c r="G18495" s="9"/>
      <c r="J18495" s="11"/>
      <c r="U18495" s="9"/>
      <c r="X18495" s="9"/>
    </row>
    <row r="18496">
      <c r="D18496" s="9"/>
      <c r="G18496" s="9"/>
      <c r="J18496" s="11"/>
      <c r="U18496" s="9"/>
      <c r="X18496" s="9"/>
    </row>
    <row r="18497">
      <c r="D18497" s="9"/>
      <c r="G18497" s="9"/>
      <c r="J18497" s="11"/>
      <c r="U18497" s="9"/>
      <c r="X18497" s="9"/>
    </row>
    <row r="18498">
      <c r="D18498" s="9"/>
      <c r="G18498" s="9"/>
      <c r="J18498" s="11"/>
      <c r="U18498" s="9"/>
      <c r="X18498" s="9"/>
    </row>
    <row r="18499">
      <c r="D18499" s="9"/>
      <c r="G18499" s="9"/>
      <c r="J18499" s="11"/>
      <c r="U18499" s="9"/>
      <c r="X18499" s="9"/>
    </row>
    <row r="18500">
      <c r="D18500" s="9"/>
      <c r="G18500" s="9"/>
      <c r="J18500" s="11"/>
      <c r="U18500" s="9"/>
      <c r="X18500" s="9"/>
    </row>
    <row r="18501">
      <c r="D18501" s="9"/>
      <c r="G18501" s="9"/>
      <c r="J18501" s="11"/>
      <c r="U18501" s="9"/>
      <c r="X18501" s="9"/>
    </row>
    <row r="18502">
      <c r="D18502" s="9"/>
      <c r="G18502" s="9"/>
      <c r="J18502" s="11"/>
      <c r="U18502" s="9"/>
      <c r="X18502" s="9"/>
    </row>
    <row r="18503">
      <c r="D18503" s="9"/>
      <c r="G18503" s="9"/>
      <c r="J18503" s="11"/>
      <c r="U18503" s="9"/>
      <c r="X18503" s="9"/>
    </row>
    <row r="18504">
      <c r="D18504" s="9"/>
      <c r="G18504" s="9"/>
      <c r="J18504" s="11"/>
      <c r="U18504" s="9"/>
      <c r="X18504" s="9"/>
    </row>
    <row r="18505">
      <c r="D18505" s="9"/>
      <c r="G18505" s="9"/>
      <c r="J18505" s="11"/>
      <c r="U18505" s="9"/>
      <c r="X18505" s="9"/>
    </row>
    <row r="18506">
      <c r="D18506" s="9"/>
      <c r="G18506" s="9"/>
      <c r="J18506" s="11"/>
      <c r="U18506" s="9"/>
      <c r="X18506" s="9"/>
    </row>
    <row r="18507">
      <c r="D18507" s="9"/>
      <c r="G18507" s="9"/>
      <c r="J18507" s="11"/>
      <c r="U18507" s="9"/>
      <c r="X18507" s="9"/>
    </row>
    <row r="18508">
      <c r="D18508" s="9"/>
      <c r="G18508" s="9"/>
      <c r="J18508" s="11"/>
      <c r="U18508" s="9"/>
      <c r="X18508" s="9"/>
    </row>
    <row r="18509">
      <c r="D18509" s="9"/>
      <c r="G18509" s="9"/>
      <c r="J18509" s="11"/>
      <c r="U18509" s="9"/>
      <c r="X18509" s="9"/>
    </row>
    <row r="18510">
      <c r="D18510" s="9"/>
      <c r="G18510" s="9"/>
      <c r="J18510" s="11"/>
      <c r="U18510" s="9"/>
      <c r="X18510" s="9"/>
    </row>
    <row r="18511">
      <c r="D18511" s="9"/>
      <c r="G18511" s="9"/>
      <c r="J18511" s="11"/>
      <c r="U18511" s="9"/>
      <c r="X18511" s="9"/>
    </row>
    <row r="18512">
      <c r="D18512" s="9"/>
      <c r="G18512" s="9"/>
      <c r="J18512" s="11"/>
      <c r="U18512" s="9"/>
      <c r="X18512" s="9"/>
    </row>
    <row r="18513">
      <c r="D18513" s="9"/>
      <c r="G18513" s="9"/>
      <c r="J18513" s="11"/>
      <c r="U18513" s="9"/>
      <c r="X18513" s="9"/>
    </row>
    <row r="18514">
      <c r="D18514" s="9"/>
      <c r="G18514" s="9"/>
      <c r="J18514" s="11"/>
      <c r="U18514" s="9"/>
      <c r="X18514" s="9"/>
    </row>
    <row r="18515">
      <c r="D18515" s="9"/>
      <c r="G18515" s="9"/>
      <c r="J18515" s="11"/>
      <c r="U18515" s="9"/>
      <c r="X18515" s="9"/>
    </row>
    <row r="18516">
      <c r="D18516" s="9"/>
      <c r="G18516" s="9"/>
      <c r="J18516" s="11"/>
      <c r="U18516" s="9"/>
      <c r="X18516" s="9"/>
    </row>
    <row r="18517">
      <c r="D18517" s="9"/>
      <c r="G18517" s="9"/>
      <c r="J18517" s="11"/>
      <c r="U18517" s="9"/>
      <c r="X18517" s="9"/>
    </row>
    <row r="18518">
      <c r="D18518" s="9"/>
      <c r="G18518" s="9"/>
      <c r="J18518" s="11"/>
      <c r="U18518" s="9"/>
      <c r="X18518" s="9"/>
    </row>
    <row r="18519">
      <c r="D18519" s="9"/>
      <c r="G18519" s="9"/>
      <c r="J18519" s="11"/>
      <c r="U18519" s="9"/>
      <c r="X18519" s="9"/>
    </row>
    <row r="18520">
      <c r="D18520" s="9"/>
      <c r="G18520" s="9"/>
      <c r="J18520" s="11"/>
      <c r="U18520" s="9"/>
      <c r="X18520" s="9"/>
    </row>
    <row r="18521">
      <c r="D18521" s="9"/>
      <c r="G18521" s="9"/>
      <c r="J18521" s="11"/>
      <c r="U18521" s="9"/>
      <c r="X18521" s="9"/>
    </row>
    <row r="18522">
      <c r="D18522" s="9"/>
      <c r="G18522" s="9"/>
      <c r="J18522" s="11"/>
      <c r="U18522" s="9"/>
      <c r="X18522" s="9"/>
    </row>
    <row r="18523">
      <c r="D18523" s="9"/>
      <c r="G18523" s="9"/>
      <c r="J18523" s="11"/>
      <c r="U18523" s="9"/>
      <c r="X18523" s="9"/>
    </row>
    <row r="18524">
      <c r="D18524" s="9"/>
      <c r="G18524" s="9"/>
      <c r="J18524" s="11"/>
      <c r="U18524" s="9"/>
      <c r="X18524" s="9"/>
    </row>
    <row r="18525">
      <c r="D18525" s="9"/>
      <c r="G18525" s="9"/>
      <c r="J18525" s="11"/>
      <c r="U18525" s="9"/>
      <c r="X18525" s="9"/>
    </row>
    <row r="18526">
      <c r="D18526" s="9"/>
      <c r="G18526" s="9"/>
      <c r="J18526" s="11"/>
      <c r="U18526" s="9"/>
      <c r="X18526" s="9"/>
    </row>
    <row r="18527">
      <c r="D18527" s="9"/>
      <c r="G18527" s="9"/>
      <c r="J18527" s="11"/>
      <c r="U18527" s="9"/>
      <c r="X18527" s="9"/>
    </row>
    <row r="18528">
      <c r="D18528" s="9"/>
      <c r="G18528" s="9"/>
      <c r="J18528" s="11"/>
      <c r="U18528" s="9"/>
      <c r="X18528" s="9"/>
    </row>
    <row r="18529">
      <c r="D18529" s="9"/>
      <c r="G18529" s="9"/>
      <c r="J18529" s="11"/>
      <c r="U18529" s="9"/>
      <c r="X18529" s="9"/>
    </row>
    <row r="18530">
      <c r="D18530" s="9"/>
      <c r="G18530" s="9"/>
      <c r="J18530" s="11"/>
      <c r="U18530" s="9"/>
      <c r="X18530" s="9"/>
    </row>
    <row r="18531">
      <c r="D18531" s="9"/>
      <c r="G18531" s="9"/>
      <c r="J18531" s="11"/>
      <c r="U18531" s="9"/>
      <c r="X18531" s="9"/>
    </row>
    <row r="18532">
      <c r="D18532" s="9"/>
      <c r="G18532" s="9"/>
      <c r="J18532" s="11"/>
      <c r="U18532" s="9"/>
      <c r="X18532" s="9"/>
    </row>
    <row r="18533">
      <c r="D18533" s="9"/>
      <c r="G18533" s="9"/>
      <c r="J18533" s="11"/>
      <c r="U18533" s="9"/>
      <c r="X18533" s="9"/>
    </row>
    <row r="18534">
      <c r="D18534" s="9"/>
      <c r="G18534" s="9"/>
      <c r="J18534" s="11"/>
      <c r="U18534" s="9"/>
      <c r="X18534" s="9"/>
    </row>
    <row r="18535">
      <c r="D18535" s="9"/>
      <c r="G18535" s="9"/>
      <c r="J18535" s="11"/>
      <c r="U18535" s="9"/>
      <c r="X18535" s="9"/>
    </row>
    <row r="18536">
      <c r="D18536" s="9"/>
      <c r="G18536" s="9"/>
      <c r="J18536" s="11"/>
      <c r="U18536" s="9"/>
      <c r="X18536" s="9"/>
    </row>
    <row r="18537">
      <c r="D18537" s="9"/>
      <c r="G18537" s="9"/>
      <c r="J18537" s="11"/>
      <c r="U18537" s="9"/>
      <c r="X18537" s="9"/>
    </row>
    <row r="18538">
      <c r="D18538" s="9"/>
      <c r="G18538" s="9"/>
      <c r="J18538" s="11"/>
      <c r="U18538" s="9"/>
      <c r="X18538" s="9"/>
    </row>
    <row r="18539">
      <c r="D18539" s="9"/>
      <c r="G18539" s="9"/>
      <c r="J18539" s="11"/>
      <c r="U18539" s="9"/>
      <c r="X18539" s="9"/>
    </row>
    <row r="18540">
      <c r="D18540" s="9"/>
      <c r="G18540" s="9"/>
      <c r="J18540" s="11"/>
      <c r="U18540" s="9"/>
      <c r="X18540" s="9"/>
    </row>
    <row r="18541">
      <c r="D18541" s="9"/>
      <c r="G18541" s="9"/>
      <c r="J18541" s="11"/>
      <c r="U18541" s="9"/>
      <c r="X18541" s="9"/>
    </row>
    <row r="18542">
      <c r="D18542" s="9"/>
      <c r="G18542" s="9"/>
      <c r="J18542" s="11"/>
      <c r="U18542" s="9"/>
      <c r="X18542" s="9"/>
    </row>
    <row r="18543">
      <c r="D18543" s="9"/>
      <c r="G18543" s="9"/>
      <c r="J18543" s="11"/>
      <c r="U18543" s="9"/>
      <c r="X18543" s="9"/>
    </row>
    <row r="18544">
      <c r="D18544" s="9"/>
      <c r="G18544" s="9"/>
      <c r="J18544" s="11"/>
      <c r="U18544" s="9"/>
      <c r="X18544" s="9"/>
    </row>
    <row r="18545">
      <c r="D18545" s="9"/>
      <c r="G18545" s="9"/>
      <c r="J18545" s="11"/>
      <c r="U18545" s="9"/>
      <c r="X18545" s="9"/>
    </row>
    <row r="18546">
      <c r="D18546" s="9"/>
      <c r="G18546" s="9"/>
      <c r="J18546" s="11"/>
      <c r="U18546" s="9"/>
      <c r="X18546" s="9"/>
    </row>
    <row r="18547">
      <c r="D18547" s="9"/>
      <c r="G18547" s="9"/>
      <c r="J18547" s="11"/>
      <c r="U18547" s="9"/>
      <c r="X18547" s="9"/>
    </row>
    <row r="18548">
      <c r="D18548" s="9"/>
      <c r="G18548" s="9"/>
      <c r="J18548" s="11"/>
      <c r="U18548" s="9"/>
      <c r="X18548" s="9"/>
    </row>
    <row r="18549">
      <c r="D18549" s="9"/>
      <c r="G18549" s="9"/>
      <c r="J18549" s="11"/>
      <c r="U18549" s="9"/>
      <c r="X18549" s="9"/>
    </row>
    <row r="18550">
      <c r="D18550" s="9"/>
      <c r="G18550" s="9"/>
      <c r="J18550" s="11"/>
      <c r="U18550" s="9"/>
      <c r="X18550" s="9"/>
    </row>
    <row r="18551">
      <c r="D18551" s="9"/>
      <c r="G18551" s="9"/>
      <c r="J18551" s="11"/>
      <c r="U18551" s="9"/>
      <c r="X18551" s="9"/>
    </row>
    <row r="18552">
      <c r="D18552" s="9"/>
      <c r="G18552" s="9"/>
      <c r="J18552" s="11"/>
      <c r="U18552" s="9"/>
      <c r="X18552" s="9"/>
    </row>
    <row r="18553">
      <c r="D18553" s="9"/>
      <c r="G18553" s="9"/>
      <c r="J18553" s="11"/>
      <c r="U18553" s="9"/>
      <c r="X18553" s="9"/>
    </row>
    <row r="18554">
      <c r="D18554" s="9"/>
      <c r="G18554" s="9"/>
      <c r="J18554" s="11"/>
      <c r="U18554" s="9"/>
      <c r="X18554" s="9"/>
    </row>
    <row r="18555">
      <c r="D18555" s="9"/>
      <c r="G18555" s="9"/>
      <c r="J18555" s="11"/>
      <c r="U18555" s="9"/>
      <c r="X18555" s="9"/>
    </row>
    <row r="18556">
      <c r="D18556" s="9"/>
      <c r="G18556" s="9"/>
      <c r="J18556" s="11"/>
      <c r="U18556" s="9"/>
      <c r="X18556" s="9"/>
    </row>
    <row r="18557">
      <c r="D18557" s="9"/>
      <c r="G18557" s="9"/>
      <c r="J18557" s="11"/>
      <c r="U18557" s="9"/>
      <c r="X18557" s="9"/>
    </row>
    <row r="18558">
      <c r="D18558" s="9"/>
      <c r="G18558" s="9"/>
      <c r="J18558" s="11"/>
      <c r="U18558" s="9"/>
      <c r="X18558" s="9"/>
    </row>
    <row r="18559">
      <c r="D18559" s="9"/>
      <c r="G18559" s="9"/>
      <c r="J18559" s="11"/>
      <c r="U18559" s="9"/>
      <c r="X18559" s="9"/>
    </row>
    <row r="18560">
      <c r="D18560" s="9"/>
      <c r="G18560" s="9"/>
      <c r="J18560" s="11"/>
      <c r="U18560" s="9"/>
      <c r="X18560" s="9"/>
    </row>
    <row r="18561">
      <c r="D18561" s="9"/>
      <c r="G18561" s="9"/>
      <c r="J18561" s="11"/>
      <c r="U18561" s="9"/>
      <c r="X18561" s="9"/>
    </row>
    <row r="18562">
      <c r="D18562" s="9"/>
      <c r="G18562" s="9"/>
      <c r="J18562" s="11"/>
      <c r="U18562" s="9"/>
      <c r="X18562" s="9"/>
    </row>
    <row r="18563">
      <c r="D18563" s="9"/>
      <c r="G18563" s="9"/>
      <c r="J18563" s="11"/>
      <c r="U18563" s="9"/>
      <c r="X18563" s="9"/>
    </row>
    <row r="18564">
      <c r="D18564" s="9"/>
      <c r="G18564" s="9"/>
      <c r="J18564" s="11"/>
      <c r="U18564" s="9"/>
      <c r="X18564" s="9"/>
    </row>
    <row r="18565">
      <c r="D18565" s="9"/>
      <c r="G18565" s="9"/>
      <c r="J18565" s="11"/>
      <c r="U18565" s="9"/>
      <c r="X18565" s="9"/>
    </row>
    <row r="18566">
      <c r="D18566" s="9"/>
      <c r="G18566" s="9"/>
      <c r="J18566" s="11"/>
      <c r="U18566" s="9"/>
      <c r="X18566" s="9"/>
    </row>
    <row r="18567">
      <c r="D18567" s="9"/>
      <c r="G18567" s="9"/>
      <c r="J18567" s="11"/>
      <c r="U18567" s="9"/>
      <c r="X18567" s="9"/>
    </row>
    <row r="18568">
      <c r="D18568" s="9"/>
      <c r="G18568" s="9"/>
      <c r="J18568" s="11"/>
      <c r="U18568" s="9"/>
      <c r="X18568" s="9"/>
    </row>
    <row r="18569">
      <c r="D18569" s="9"/>
      <c r="G18569" s="9"/>
      <c r="J18569" s="11"/>
      <c r="U18569" s="9"/>
      <c r="X18569" s="9"/>
    </row>
    <row r="18570">
      <c r="D18570" s="9"/>
      <c r="G18570" s="9"/>
      <c r="J18570" s="11"/>
      <c r="U18570" s="9"/>
      <c r="X18570" s="9"/>
    </row>
    <row r="18571">
      <c r="D18571" s="9"/>
      <c r="G18571" s="9"/>
      <c r="J18571" s="11"/>
      <c r="U18571" s="9"/>
      <c r="X18571" s="9"/>
    </row>
    <row r="18572">
      <c r="D18572" s="9"/>
      <c r="G18572" s="9"/>
      <c r="J18572" s="11"/>
      <c r="U18572" s="9"/>
      <c r="X18572" s="9"/>
    </row>
    <row r="18573">
      <c r="D18573" s="9"/>
      <c r="G18573" s="9"/>
      <c r="J18573" s="11"/>
      <c r="U18573" s="9"/>
      <c r="X18573" s="9"/>
    </row>
    <row r="18574">
      <c r="D18574" s="9"/>
      <c r="G18574" s="9"/>
      <c r="J18574" s="11"/>
      <c r="U18574" s="9"/>
      <c r="X18574" s="9"/>
    </row>
    <row r="18575">
      <c r="D18575" s="9"/>
      <c r="G18575" s="9"/>
      <c r="J18575" s="11"/>
      <c r="U18575" s="9"/>
      <c r="X18575" s="9"/>
    </row>
    <row r="18576">
      <c r="D18576" s="9"/>
      <c r="G18576" s="9"/>
      <c r="J18576" s="11"/>
      <c r="U18576" s="9"/>
      <c r="X18576" s="9"/>
    </row>
    <row r="18577">
      <c r="D18577" s="9"/>
      <c r="G18577" s="9"/>
      <c r="J18577" s="11"/>
      <c r="U18577" s="9"/>
      <c r="X18577" s="9"/>
    </row>
    <row r="18578">
      <c r="D18578" s="9"/>
      <c r="G18578" s="9"/>
      <c r="J18578" s="11"/>
      <c r="U18578" s="9"/>
      <c r="X18578" s="9"/>
    </row>
    <row r="18579">
      <c r="D18579" s="9"/>
      <c r="G18579" s="9"/>
      <c r="J18579" s="11"/>
      <c r="U18579" s="9"/>
      <c r="X18579" s="9"/>
    </row>
    <row r="18580">
      <c r="D18580" s="9"/>
      <c r="G18580" s="9"/>
      <c r="J18580" s="11"/>
      <c r="U18580" s="9"/>
      <c r="X18580" s="9"/>
    </row>
    <row r="18581">
      <c r="D18581" s="9"/>
      <c r="G18581" s="9"/>
      <c r="J18581" s="11"/>
      <c r="U18581" s="9"/>
      <c r="X18581" s="9"/>
    </row>
    <row r="18582">
      <c r="D18582" s="9"/>
      <c r="G18582" s="9"/>
      <c r="J18582" s="11"/>
      <c r="U18582" s="9"/>
      <c r="X18582" s="9"/>
    </row>
    <row r="18583">
      <c r="D18583" s="9"/>
      <c r="G18583" s="9"/>
      <c r="J18583" s="11"/>
      <c r="U18583" s="9"/>
      <c r="X18583" s="9"/>
    </row>
    <row r="18584">
      <c r="D18584" s="9"/>
      <c r="G18584" s="9"/>
      <c r="J18584" s="11"/>
      <c r="U18584" s="9"/>
      <c r="X18584" s="9"/>
    </row>
    <row r="18585">
      <c r="D18585" s="9"/>
      <c r="G18585" s="9"/>
      <c r="J18585" s="11"/>
      <c r="U18585" s="9"/>
      <c r="X18585" s="9"/>
    </row>
    <row r="18586">
      <c r="D18586" s="9"/>
      <c r="G18586" s="9"/>
      <c r="J18586" s="11"/>
      <c r="U18586" s="9"/>
      <c r="X18586" s="9"/>
    </row>
    <row r="18587">
      <c r="D18587" s="9"/>
      <c r="G18587" s="9"/>
      <c r="J18587" s="11"/>
      <c r="U18587" s="9"/>
      <c r="X18587" s="9"/>
    </row>
    <row r="18588">
      <c r="D18588" s="9"/>
      <c r="G18588" s="9"/>
      <c r="J18588" s="11"/>
      <c r="U18588" s="9"/>
      <c r="X18588" s="9"/>
    </row>
    <row r="18589">
      <c r="D18589" s="9"/>
      <c r="G18589" s="9"/>
      <c r="J18589" s="11"/>
      <c r="U18589" s="9"/>
      <c r="X18589" s="9"/>
    </row>
    <row r="18590">
      <c r="D18590" s="9"/>
      <c r="G18590" s="9"/>
      <c r="J18590" s="11"/>
      <c r="U18590" s="9"/>
      <c r="X18590" s="9"/>
    </row>
    <row r="18591">
      <c r="D18591" s="9"/>
      <c r="G18591" s="9"/>
      <c r="J18591" s="11"/>
      <c r="U18591" s="9"/>
      <c r="X18591" s="9"/>
    </row>
    <row r="18592">
      <c r="D18592" s="9"/>
      <c r="G18592" s="9"/>
      <c r="J18592" s="11"/>
      <c r="U18592" s="9"/>
      <c r="X18592" s="9"/>
    </row>
    <row r="18593">
      <c r="D18593" s="9"/>
      <c r="G18593" s="9"/>
      <c r="J18593" s="11"/>
      <c r="U18593" s="9"/>
      <c r="X18593" s="9"/>
    </row>
    <row r="18594">
      <c r="D18594" s="9"/>
      <c r="G18594" s="9"/>
      <c r="J18594" s="11"/>
      <c r="U18594" s="9"/>
      <c r="X18594" s="9"/>
    </row>
    <row r="18595">
      <c r="D18595" s="9"/>
      <c r="G18595" s="9"/>
      <c r="J18595" s="11"/>
      <c r="U18595" s="9"/>
      <c r="X18595" s="9"/>
    </row>
    <row r="18596">
      <c r="D18596" s="9"/>
      <c r="G18596" s="9"/>
      <c r="J18596" s="11"/>
      <c r="U18596" s="9"/>
      <c r="X18596" s="9"/>
    </row>
    <row r="18597">
      <c r="D18597" s="9"/>
      <c r="G18597" s="9"/>
      <c r="J18597" s="11"/>
      <c r="U18597" s="9"/>
      <c r="X18597" s="9"/>
    </row>
    <row r="18598">
      <c r="D18598" s="9"/>
      <c r="G18598" s="9"/>
      <c r="J18598" s="11"/>
      <c r="U18598" s="9"/>
      <c r="X18598" s="9"/>
    </row>
    <row r="18599">
      <c r="D18599" s="9"/>
      <c r="G18599" s="9"/>
      <c r="J18599" s="11"/>
      <c r="U18599" s="9"/>
      <c r="X18599" s="9"/>
    </row>
    <row r="18600">
      <c r="D18600" s="9"/>
      <c r="G18600" s="9"/>
      <c r="J18600" s="11"/>
      <c r="U18600" s="9"/>
      <c r="X18600" s="9"/>
    </row>
    <row r="18601">
      <c r="D18601" s="9"/>
      <c r="G18601" s="9"/>
      <c r="J18601" s="11"/>
      <c r="U18601" s="9"/>
      <c r="X18601" s="9"/>
    </row>
    <row r="18602">
      <c r="D18602" s="9"/>
      <c r="G18602" s="9"/>
      <c r="J18602" s="11"/>
      <c r="U18602" s="9"/>
      <c r="X18602" s="9"/>
    </row>
    <row r="18603">
      <c r="D18603" s="9"/>
      <c r="G18603" s="9"/>
      <c r="J18603" s="11"/>
      <c r="U18603" s="9"/>
      <c r="X18603" s="9"/>
    </row>
    <row r="18604">
      <c r="D18604" s="9"/>
      <c r="G18604" s="9"/>
      <c r="J18604" s="11"/>
      <c r="U18604" s="9"/>
      <c r="X18604" s="9"/>
    </row>
    <row r="18605">
      <c r="D18605" s="9"/>
      <c r="G18605" s="9"/>
      <c r="J18605" s="11"/>
      <c r="U18605" s="9"/>
      <c r="X18605" s="9"/>
    </row>
    <row r="18606">
      <c r="D18606" s="9"/>
      <c r="G18606" s="9"/>
      <c r="J18606" s="11"/>
      <c r="U18606" s="9"/>
      <c r="X18606" s="9"/>
    </row>
    <row r="18607">
      <c r="D18607" s="9"/>
      <c r="G18607" s="9"/>
      <c r="J18607" s="11"/>
      <c r="U18607" s="9"/>
      <c r="X18607" s="9"/>
    </row>
    <row r="18608">
      <c r="D18608" s="9"/>
      <c r="G18608" s="9"/>
      <c r="J18608" s="11"/>
      <c r="U18608" s="9"/>
      <c r="X18608" s="9"/>
    </row>
    <row r="18609">
      <c r="D18609" s="9"/>
      <c r="G18609" s="9"/>
      <c r="J18609" s="11"/>
      <c r="U18609" s="9"/>
      <c r="X18609" s="9"/>
    </row>
    <row r="18610">
      <c r="D18610" s="9"/>
      <c r="G18610" s="9"/>
      <c r="J18610" s="11"/>
      <c r="U18610" s="9"/>
      <c r="X18610" s="9"/>
    </row>
    <row r="18611">
      <c r="D18611" s="9"/>
      <c r="G18611" s="9"/>
      <c r="J18611" s="11"/>
      <c r="U18611" s="9"/>
      <c r="X18611" s="9"/>
    </row>
    <row r="18612">
      <c r="D18612" s="9"/>
      <c r="G18612" s="9"/>
      <c r="J18612" s="11"/>
      <c r="U18612" s="9"/>
      <c r="X18612" s="9"/>
    </row>
    <row r="18613">
      <c r="D18613" s="9"/>
      <c r="G18613" s="9"/>
      <c r="J18613" s="11"/>
      <c r="U18613" s="9"/>
      <c r="X18613" s="9"/>
    </row>
    <row r="18614">
      <c r="D18614" s="9"/>
      <c r="G18614" s="9"/>
      <c r="J18614" s="11"/>
      <c r="U18614" s="9"/>
      <c r="X18614" s="9"/>
    </row>
    <row r="18615">
      <c r="D18615" s="9"/>
      <c r="G18615" s="9"/>
      <c r="J18615" s="11"/>
      <c r="U18615" s="9"/>
      <c r="X18615" s="9"/>
    </row>
    <row r="18616">
      <c r="D18616" s="9"/>
      <c r="G18616" s="9"/>
      <c r="J18616" s="11"/>
      <c r="U18616" s="9"/>
      <c r="X18616" s="9"/>
    </row>
    <row r="18617">
      <c r="D18617" s="9"/>
      <c r="G18617" s="9"/>
      <c r="J18617" s="11"/>
      <c r="U18617" s="9"/>
      <c r="X18617" s="9"/>
    </row>
    <row r="18618">
      <c r="D18618" s="9"/>
      <c r="G18618" s="9"/>
      <c r="J18618" s="11"/>
      <c r="U18618" s="9"/>
      <c r="X18618" s="9"/>
    </row>
    <row r="18619">
      <c r="D18619" s="9"/>
      <c r="G18619" s="9"/>
      <c r="J18619" s="11"/>
      <c r="U18619" s="9"/>
      <c r="X18619" s="9"/>
    </row>
    <row r="18620">
      <c r="D18620" s="9"/>
      <c r="G18620" s="9"/>
      <c r="J18620" s="11"/>
      <c r="U18620" s="9"/>
      <c r="X18620" s="9"/>
    </row>
    <row r="18621">
      <c r="D18621" s="9"/>
      <c r="G18621" s="9"/>
      <c r="J18621" s="11"/>
      <c r="U18621" s="9"/>
      <c r="X18621" s="9"/>
    </row>
    <row r="18622">
      <c r="D18622" s="9"/>
      <c r="G18622" s="9"/>
      <c r="J18622" s="11"/>
      <c r="U18622" s="9"/>
      <c r="X18622" s="9"/>
    </row>
    <row r="18623">
      <c r="D18623" s="9"/>
      <c r="G18623" s="9"/>
      <c r="J18623" s="11"/>
      <c r="U18623" s="9"/>
      <c r="X18623" s="9"/>
    </row>
    <row r="18624">
      <c r="D18624" s="9"/>
      <c r="G18624" s="9"/>
      <c r="J18624" s="11"/>
      <c r="U18624" s="9"/>
      <c r="X18624" s="9"/>
    </row>
    <row r="18625">
      <c r="D18625" s="9"/>
      <c r="G18625" s="9"/>
      <c r="J18625" s="11"/>
      <c r="U18625" s="9"/>
      <c r="X18625" s="9"/>
    </row>
    <row r="18626">
      <c r="D18626" s="9"/>
      <c r="G18626" s="9"/>
      <c r="J18626" s="11"/>
      <c r="U18626" s="9"/>
      <c r="X18626" s="9"/>
    </row>
    <row r="18627">
      <c r="D18627" s="9"/>
      <c r="G18627" s="9"/>
      <c r="J18627" s="11"/>
      <c r="U18627" s="9"/>
      <c r="X18627" s="9"/>
    </row>
    <row r="18628">
      <c r="D18628" s="9"/>
      <c r="G18628" s="9"/>
      <c r="J18628" s="11"/>
      <c r="U18628" s="9"/>
      <c r="X18628" s="9"/>
    </row>
    <row r="18629">
      <c r="D18629" s="9"/>
      <c r="G18629" s="9"/>
      <c r="J18629" s="11"/>
      <c r="U18629" s="9"/>
      <c r="X18629" s="9"/>
    </row>
    <row r="18630">
      <c r="D18630" s="9"/>
      <c r="G18630" s="9"/>
      <c r="J18630" s="11"/>
      <c r="U18630" s="9"/>
      <c r="X18630" s="9"/>
    </row>
    <row r="18631">
      <c r="D18631" s="9"/>
      <c r="G18631" s="9"/>
      <c r="J18631" s="11"/>
      <c r="U18631" s="9"/>
      <c r="X18631" s="9"/>
    </row>
    <row r="18632">
      <c r="D18632" s="9"/>
      <c r="G18632" s="9"/>
      <c r="J18632" s="11"/>
      <c r="U18632" s="9"/>
      <c r="X18632" s="9"/>
    </row>
    <row r="18633">
      <c r="D18633" s="9"/>
      <c r="G18633" s="9"/>
      <c r="J18633" s="11"/>
      <c r="U18633" s="9"/>
      <c r="X18633" s="9"/>
    </row>
    <row r="18634">
      <c r="D18634" s="9"/>
      <c r="G18634" s="9"/>
      <c r="J18634" s="11"/>
      <c r="U18634" s="9"/>
      <c r="X18634" s="9"/>
    </row>
    <row r="18635">
      <c r="D18635" s="9"/>
      <c r="G18635" s="9"/>
      <c r="J18635" s="11"/>
      <c r="U18635" s="9"/>
      <c r="X18635" s="9"/>
    </row>
    <row r="18636">
      <c r="D18636" s="9"/>
      <c r="G18636" s="9"/>
      <c r="J18636" s="11"/>
      <c r="U18636" s="9"/>
      <c r="X18636" s="9"/>
    </row>
    <row r="18637">
      <c r="D18637" s="9"/>
      <c r="G18637" s="9"/>
      <c r="J18637" s="11"/>
      <c r="U18637" s="9"/>
      <c r="X18637" s="9"/>
    </row>
    <row r="18638">
      <c r="D18638" s="9"/>
      <c r="G18638" s="9"/>
      <c r="J18638" s="11"/>
      <c r="U18638" s="9"/>
      <c r="X18638" s="9"/>
    </row>
    <row r="18639">
      <c r="D18639" s="9"/>
      <c r="G18639" s="9"/>
      <c r="J18639" s="11"/>
      <c r="U18639" s="9"/>
      <c r="X18639" s="9"/>
    </row>
    <row r="18640">
      <c r="D18640" s="9"/>
      <c r="G18640" s="9"/>
      <c r="J18640" s="11"/>
      <c r="U18640" s="9"/>
      <c r="X18640" s="9"/>
    </row>
    <row r="18641">
      <c r="D18641" s="9"/>
      <c r="G18641" s="9"/>
      <c r="J18641" s="11"/>
      <c r="U18641" s="9"/>
      <c r="X18641" s="9"/>
    </row>
    <row r="18642">
      <c r="D18642" s="9"/>
      <c r="G18642" s="9"/>
      <c r="J18642" s="11"/>
      <c r="U18642" s="9"/>
      <c r="X18642" s="9"/>
    </row>
    <row r="18643">
      <c r="D18643" s="9"/>
      <c r="G18643" s="9"/>
      <c r="J18643" s="11"/>
      <c r="U18643" s="9"/>
      <c r="X18643" s="9"/>
    </row>
    <row r="18644">
      <c r="D18644" s="9"/>
      <c r="G18644" s="9"/>
      <c r="J18644" s="11"/>
      <c r="U18644" s="9"/>
      <c r="X18644" s="9"/>
    </row>
    <row r="18645">
      <c r="D18645" s="9"/>
      <c r="G18645" s="9"/>
      <c r="J18645" s="11"/>
      <c r="U18645" s="9"/>
      <c r="X18645" s="9"/>
    </row>
    <row r="18646">
      <c r="D18646" s="9"/>
      <c r="G18646" s="9"/>
      <c r="J18646" s="11"/>
      <c r="U18646" s="9"/>
      <c r="X18646" s="9"/>
    </row>
    <row r="18647">
      <c r="D18647" s="9"/>
      <c r="G18647" s="9"/>
      <c r="J18647" s="11"/>
      <c r="U18647" s="9"/>
      <c r="X18647" s="9"/>
    </row>
    <row r="18648">
      <c r="D18648" s="9"/>
      <c r="G18648" s="9"/>
      <c r="J18648" s="11"/>
      <c r="U18648" s="9"/>
      <c r="X18648" s="9"/>
    </row>
    <row r="18649">
      <c r="D18649" s="9"/>
      <c r="G18649" s="9"/>
      <c r="J18649" s="11"/>
      <c r="U18649" s="9"/>
      <c r="X18649" s="9"/>
    </row>
    <row r="18650">
      <c r="D18650" s="9"/>
      <c r="G18650" s="9"/>
      <c r="J18650" s="11"/>
      <c r="U18650" s="9"/>
      <c r="X18650" s="9"/>
    </row>
    <row r="18651">
      <c r="D18651" s="9"/>
      <c r="G18651" s="9"/>
      <c r="J18651" s="11"/>
      <c r="U18651" s="9"/>
      <c r="X18651" s="9"/>
    </row>
    <row r="18652">
      <c r="D18652" s="9"/>
      <c r="G18652" s="9"/>
      <c r="J18652" s="11"/>
      <c r="U18652" s="9"/>
      <c r="X18652" s="9"/>
    </row>
    <row r="18653">
      <c r="D18653" s="9"/>
      <c r="G18653" s="9"/>
      <c r="J18653" s="11"/>
      <c r="U18653" s="9"/>
      <c r="X18653" s="9"/>
    </row>
    <row r="18654">
      <c r="D18654" s="9"/>
      <c r="G18654" s="9"/>
      <c r="J18654" s="11"/>
      <c r="U18654" s="9"/>
      <c r="X18654" s="9"/>
    </row>
    <row r="18655">
      <c r="D18655" s="9"/>
      <c r="G18655" s="9"/>
      <c r="J18655" s="11"/>
      <c r="U18655" s="9"/>
      <c r="X18655" s="9"/>
    </row>
    <row r="18656">
      <c r="D18656" s="9"/>
      <c r="G18656" s="9"/>
      <c r="J18656" s="11"/>
      <c r="U18656" s="9"/>
      <c r="X18656" s="9"/>
    </row>
    <row r="18657">
      <c r="D18657" s="9"/>
      <c r="G18657" s="9"/>
      <c r="J18657" s="11"/>
      <c r="U18657" s="9"/>
      <c r="X18657" s="9"/>
    </row>
    <row r="18658">
      <c r="D18658" s="9"/>
      <c r="G18658" s="9"/>
      <c r="J18658" s="11"/>
      <c r="U18658" s="9"/>
      <c r="X18658" s="9"/>
    </row>
    <row r="18659">
      <c r="D18659" s="9"/>
      <c r="G18659" s="9"/>
      <c r="J18659" s="11"/>
      <c r="U18659" s="9"/>
      <c r="X18659" s="9"/>
    </row>
    <row r="18660">
      <c r="D18660" s="9"/>
      <c r="G18660" s="9"/>
      <c r="J18660" s="11"/>
      <c r="U18660" s="9"/>
      <c r="X18660" s="9"/>
    </row>
    <row r="18661">
      <c r="D18661" s="9"/>
      <c r="G18661" s="9"/>
      <c r="J18661" s="11"/>
      <c r="U18661" s="9"/>
      <c r="X18661" s="9"/>
    </row>
    <row r="18662">
      <c r="D18662" s="9"/>
      <c r="G18662" s="9"/>
      <c r="J18662" s="11"/>
      <c r="U18662" s="9"/>
      <c r="X18662" s="9"/>
    </row>
    <row r="18663">
      <c r="D18663" s="9"/>
      <c r="G18663" s="9"/>
      <c r="J18663" s="11"/>
      <c r="U18663" s="9"/>
      <c r="X18663" s="9"/>
    </row>
    <row r="18664">
      <c r="D18664" s="9"/>
      <c r="G18664" s="9"/>
      <c r="J18664" s="11"/>
      <c r="U18664" s="9"/>
      <c r="X18664" s="9"/>
    </row>
    <row r="18665">
      <c r="D18665" s="9"/>
      <c r="G18665" s="9"/>
      <c r="J18665" s="11"/>
      <c r="U18665" s="9"/>
      <c r="X18665" s="9"/>
    </row>
    <row r="18666">
      <c r="D18666" s="9"/>
      <c r="G18666" s="9"/>
      <c r="J18666" s="11"/>
      <c r="U18666" s="9"/>
      <c r="X18666" s="9"/>
    </row>
    <row r="18667">
      <c r="D18667" s="9"/>
      <c r="G18667" s="9"/>
      <c r="J18667" s="11"/>
      <c r="U18667" s="9"/>
      <c r="X18667" s="9"/>
    </row>
    <row r="18668">
      <c r="D18668" s="9"/>
      <c r="G18668" s="9"/>
      <c r="J18668" s="11"/>
      <c r="U18668" s="9"/>
      <c r="X18668" s="9"/>
    </row>
    <row r="18669">
      <c r="D18669" s="9"/>
      <c r="G18669" s="9"/>
      <c r="J18669" s="11"/>
      <c r="U18669" s="9"/>
      <c r="X18669" s="9"/>
    </row>
    <row r="18670">
      <c r="D18670" s="9"/>
      <c r="G18670" s="9"/>
      <c r="J18670" s="11"/>
      <c r="U18670" s="9"/>
      <c r="X18670" s="9"/>
    </row>
    <row r="18671">
      <c r="D18671" s="9"/>
      <c r="G18671" s="9"/>
      <c r="J18671" s="11"/>
      <c r="U18671" s="9"/>
      <c r="X18671" s="9"/>
    </row>
    <row r="18672">
      <c r="D18672" s="9"/>
      <c r="G18672" s="9"/>
      <c r="J18672" s="11"/>
      <c r="U18672" s="9"/>
      <c r="X18672" s="9"/>
    </row>
    <row r="18673">
      <c r="D18673" s="9"/>
      <c r="G18673" s="9"/>
      <c r="J18673" s="11"/>
      <c r="U18673" s="9"/>
      <c r="X18673" s="9"/>
    </row>
    <row r="18674">
      <c r="D18674" s="9"/>
      <c r="G18674" s="9"/>
      <c r="J18674" s="11"/>
      <c r="U18674" s="9"/>
      <c r="X18674" s="9"/>
    </row>
    <row r="18675">
      <c r="D18675" s="9"/>
      <c r="G18675" s="9"/>
      <c r="J18675" s="11"/>
      <c r="U18675" s="9"/>
      <c r="X18675" s="9"/>
    </row>
    <row r="18676">
      <c r="D18676" s="9"/>
      <c r="G18676" s="9"/>
      <c r="J18676" s="11"/>
      <c r="U18676" s="9"/>
      <c r="X18676" s="9"/>
    </row>
    <row r="18677">
      <c r="D18677" s="9"/>
      <c r="G18677" s="9"/>
      <c r="J18677" s="11"/>
      <c r="U18677" s="9"/>
      <c r="X18677" s="9"/>
    </row>
    <row r="18678">
      <c r="D18678" s="9"/>
      <c r="G18678" s="9"/>
      <c r="J18678" s="11"/>
      <c r="U18678" s="9"/>
      <c r="X18678" s="9"/>
    </row>
    <row r="18679">
      <c r="D18679" s="9"/>
      <c r="G18679" s="9"/>
      <c r="J18679" s="11"/>
      <c r="U18679" s="9"/>
      <c r="X18679" s="9"/>
    </row>
    <row r="18680">
      <c r="D18680" s="9"/>
      <c r="G18680" s="9"/>
      <c r="J18680" s="11"/>
      <c r="U18680" s="9"/>
      <c r="X18680" s="9"/>
    </row>
    <row r="18681">
      <c r="D18681" s="9"/>
      <c r="G18681" s="9"/>
      <c r="J18681" s="11"/>
      <c r="U18681" s="9"/>
      <c r="X18681" s="9"/>
    </row>
    <row r="18682">
      <c r="D18682" s="9"/>
      <c r="G18682" s="9"/>
      <c r="J18682" s="11"/>
      <c r="U18682" s="9"/>
      <c r="X18682" s="9"/>
    </row>
    <row r="18683">
      <c r="D18683" s="9"/>
      <c r="G18683" s="9"/>
      <c r="J18683" s="11"/>
      <c r="U18683" s="9"/>
      <c r="X18683" s="9"/>
    </row>
    <row r="18684">
      <c r="D18684" s="9"/>
      <c r="G18684" s="9"/>
      <c r="J18684" s="11"/>
      <c r="U18684" s="9"/>
      <c r="X18684" s="9"/>
    </row>
    <row r="18685">
      <c r="D18685" s="9"/>
      <c r="G18685" s="9"/>
      <c r="J18685" s="11"/>
      <c r="U18685" s="9"/>
      <c r="X18685" s="9"/>
    </row>
    <row r="18686">
      <c r="D18686" s="9"/>
      <c r="G18686" s="9"/>
      <c r="J18686" s="11"/>
      <c r="U18686" s="9"/>
      <c r="X18686" s="9"/>
    </row>
    <row r="18687">
      <c r="D18687" s="9"/>
      <c r="G18687" s="9"/>
      <c r="J18687" s="11"/>
      <c r="U18687" s="9"/>
      <c r="X18687" s="9"/>
    </row>
    <row r="18688">
      <c r="D18688" s="9"/>
      <c r="G18688" s="9"/>
      <c r="J18688" s="11"/>
      <c r="U18688" s="9"/>
      <c r="X18688" s="9"/>
    </row>
    <row r="18689">
      <c r="D18689" s="9"/>
      <c r="G18689" s="9"/>
      <c r="J18689" s="11"/>
      <c r="U18689" s="9"/>
      <c r="X18689" s="9"/>
    </row>
    <row r="18690">
      <c r="D18690" s="9"/>
      <c r="G18690" s="9"/>
      <c r="J18690" s="11"/>
      <c r="U18690" s="9"/>
      <c r="X18690" s="9"/>
    </row>
    <row r="18691">
      <c r="D18691" s="9"/>
      <c r="G18691" s="9"/>
      <c r="J18691" s="11"/>
      <c r="U18691" s="9"/>
      <c r="X18691" s="9"/>
    </row>
    <row r="18692">
      <c r="D18692" s="9"/>
      <c r="G18692" s="9"/>
      <c r="J18692" s="11"/>
      <c r="U18692" s="9"/>
      <c r="X18692" s="9"/>
    </row>
    <row r="18693">
      <c r="D18693" s="9"/>
      <c r="G18693" s="9"/>
      <c r="J18693" s="11"/>
      <c r="U18693" s="9"/>
      <c r="X18693" s="9"/>
    </row>
    <row r="18694">
      <c r="D18694" s="9"/>
      <c r="G18694" s="9"/>
      <c r="J18694" s="11"/>
      <c r="U18694" s="9"/>
      <c r="X18694" s="9"/>
    </row>
    <row r="18695">
      <c r="D18695" s="9"/>
      <c r="G18695" s="9"/>
      <c r="J18695" s="11"/>
      <c r="U18695" s="9"/>
      <c r="X18695" s="9"/>
    </row>
    <row r="18696">
      <c r="D18696" s="9"/>
      <c r="G18696" s="9"/>
      <c r="J18696" s="11"/>
      <c r="U18696" s="9"/>
      <c r="X18696" s="9"/>
    </row>
    <row r="18697">
      <c r="D18697" s="9"/>
      <c r="G18697" s="9"/>
      <c r="J18697" s="11"/>
      <c r="U18697" s="9"/>
      <c r="X18697" s="9"/>
    </row>
    <row r="18698">
      <c r="D18698" s="9"/>
      <c r="G18698" s="9"/>
      <c r="J18698" s="11"/>
      <c r="U18698" s="9"/>
      <c r="X18698" s="9"/>
    </row>
    <row r="18699">
      <c r="D18699" s="9"/>
      <c r="G18699" s="9"/>
      <c r="J18699" s="11"/>
      <c r="U18699" s="9"/>
      <c r="X18699" s="9"/>
    </row>
    <row r="18700">
      <c r="D18700" s="9"/>
      <c r="G18700" s="9"/>
      <c r="J18700" s="11"/>
      <c r="U18700" s="9"/>
      <c r="X18700" s="9"/>
    </row>
    <row r="18701">
      <c r="D18701" s="9"/>
      <c r="G18701" s="9"/>
      <c r="J18701" s="11"/>
      <c r="U18701" s="9"/>
      <c r="X18701" s="9"/>
    </row>
    <row r="18702">
      <c r="D18702" s="9"/>
      <c r="G18702" s="9"/>
      <c r="J18702" s="11"/>
      <c r="U18702" s="9"/>
      <c r="X18702" s="9"/>
    </row>
    <row r="18703">
      <c r="D18703" s="9"/>
      <c r="G18703" s="9"/>
      <c r="J18703" s="11"/>
      <c r="U18703" s="9"/>
      <c r="X18703" s="9"/>
    </row>
    <row r="18704">
      <c r="D18704" s="9"/>
      <c r="G18704" s="9"/>
      <c r="J18704" s="11"/>
      <c r="U18704" s="9"/>
      <c r="X18704" s="9"/>
    </row>
    <row r="18705">
      <c r="D18705" s="9"/>
      <c r="G18705" s="9"/>
      <c r="J18705" s="11"/>
      <c r="U18705" s="9"/>
      <c r="X18705" s="9"/>
    </row>
    <row r="18706">
      <c r="D18706" s="9"/>
      <c r="G18706" s="9"/>
      <c r="J18706" s="11"/>
      <c r="U18706" s="9"/>
      <c r="X18706" s="9"/>
    </row>
    <row r="18707">
      <c r="D18707" s="9"/>
      <c r="G18707" s="9"/>
      <c r="J18707" s="11"/>
      <c r="U18707" s="9"/>
      <c r="X18707" s="9"/>
    </row>
    <row r="18708">
      <c r="D18708" s="9"/>
      <c r="G18708" s="9"/>
      <c r="J18708" s="11"/>
      <c r="U18708" s="9"/>
      <c r="X18708" s="9"/>
    </row>
    <row r="18709">
      <c r="D18709" s="9"/>
      <c r="G18709" s="9"/>
      <c r="J18709" s="11"/>
      <c r="U18709" s="9"/>
      <c r="X18709" s="9"/>
    </row>
    <row r="18710">
      <c r="D18710" s="9"/>
      <c r="G18710" s="9"/>
      <c r="J18710" s="11"/>
      <c r="U18710" s="9"/>
      <c r="X18710" s="9"/>
    </row>
    <row r="18711">
      <c r="D18711" s="9"/>
      <c r="G18711" s="9"/>
      <c r="J18711" s="11"/>
      <c r="U18711" s="9"/>
      <c r="X18711" s="9"/>
    </row>
    <row r="18712">
      <c r="D18712" s="9"/>
      <c r="G18712" s="9"/>
      <c r="J18712" s="11"/>
      <c r="U18712" s="9"/>
      <c r="X18712" s="9"/>
    </row>
    <row r="18713">
      <c r="D18713" s="9"/>
      <c r="G18713" s="9"/>
      <c r="J18713" s="11"/>
      <c r="U18713" s="9"/>
      <c r="X18713" s="9"/>
    </row>
    <row r="18714">
      <c r="D18714" s="9"/>
      <c r="G18714" s="9"/>
      <c r="J18714" s="11"/>
      <c r="U18714" s="9"/>
      <c r="X18714" s="9"/>
    </row>
    <row r="18715">
      <c r="D18715" s="9"/>
      <c r="G18715" s="9"/>
      <c r="J18715" s="11"/>
      <c r="U18715" s="9"/>
      <c r="X18715" s="9"/>
    </row>
    <row r="18716">
      <c r="D18716" s="9"/>
      <c r="G18716" s="9"/>
      <c r="J18716" s="11"/>
      <c r="U18716" s="9"/>
      <c r="X18716" s="9"/>
    </row>
    <row r="18717">
      <c r="D18717" s="9"/>
      <c r="G18717" s="9"/>
      <c r="J18717" s="11"/>
      <c r="U18717" s="9"/>
      <c r="X18717" s="9"/>
    </row>
    <row r="18718">
      <c r="D18718" s="9"/>
      <c r="G18718" s="9"/>
      <c r="J18718" s="11"/>
      <c r="U18718" s="9"/>
      <c r="X18718" s="9"/>
    </row>
    <row r="18719">
      <c r="D18719" s="9"/>
      <c r="G18719" s="9"/>
      <c r="J18719" s="11"/>
      <c r="U18719" s="9"/>
      <c r="X18719" s="9"/>
    </row>
    <row r="18720">
      <c r="D18720" s="9"/>
      <c r="G18720" s="9"/>
      <c r="J18720" s="11"/>
      <c r="U18720" s="9"/>
      <c r="X18720" s="9"/>
    </row>
    <row r="18721">
      <c r="D18721" s="9"/>
      <c r="G18721" s="9"/>
      <c r="J18721" s="11"/>
      <c r="U18721" s="9"/>
      <c r="X18721" s="9"/>
    </row>
    <row r="18722">
      <c r="D18722" s="9"/>
      <c r="G18722" s="9"/>
      <c r="J18722" s="11"/>
      <c r="U18722" s="9"/>
      <c r="X18722" s="9"/>
    </row>
    <row r="18723">
      <c r="D18723" s="9"/>
      <c r="G18723" s="9"/>
      <c r="J18723" s="11"/>
      <c r="U18723" s="9"/>
      <c r="X18723" s="9"/>
    </row>
    <row r="18724">
      <c r="D18724" s="9"/>
      <c r="G18724" s="9"/>
      <c r="J18724" s="11"/>
      <c r="U18724" s="9"/>
      <c r="X18724" s="9"/>
    </row>
    <row r="18725">
      <c r="D18725" s="9"/>
      <c r="G18725" s="9"/>
      <c r="J18725" s="11"/>
      <c r="U18725" s="9"/>
      <c r="X18725" s="9"/>
    </row>
    <row r="18726">
      <c r="D18726" s="9"/>
      <c r="G18726" s="9"/>
      <c r="J18726" s="11"/>
      <c r="U18726" s="9"/>
      <c r="X18726" s="9"/>
    </row>
    <row r="18727">
      <c r="D18727" s="9"/>
      <c r="G18727" s="9"/>
      <c r="J18727" s="11"/>
      <c r="U18727" s="9"/>
      <c r="X18727" s="9"/>
    </row>
    <row r="18728">
      <c r="D18728" s="9"/>
      <c r="G18728" s="9"/>
      <c r="J18728" s="11"/>
      <c r="U18728" s="9"/>
      <c r="X18728" s="9"/>
    </row>
    <row r="18729">
      <c r="D18729" s="9"/>
      <c r="G18729" s="9"/>
      <c r="J18729" s="11"/>
      <c r="U18729" s="9"/>
      <c r="X18729" s="9"/>
    </row>
    <row r="18730">
      <c r="D18730" s="9"/>
      <c r="G18730" s="9"/>
      <c r="J18730" s="11"/>
      <c r="U18730" s="9"/>
      <c r="X18730" s="9"/>
    </row>
    <row r="18731">
      <c r="D18731" s="9"/>
      <c r="G18731" s="9"/>
      <c r="J18731" s="11"/>
      <c r="U18731" s="9"/>
      <c r="X18731" s="9"/>
    </row>
    <row r="18732">
      <c r="D18732" s="9"/>
      <c r="G18732" s="9"/>
      <c r="J18732" s="11"/>
      <c r="U18732" s="9"/>
      <c r="X18732" s="9"/>
    </row>
    <row r="18733">
      <c r="D18733" s="9"/>
      <c r="G18733" s="9"/>
      <c r="J18733" s="11"/>
      <c r="U18733" s="9"/>
      <c r="X18733" s="9"/>
    </row>
    <row r="18734">
      <c r="D18734" s="9"/>
      <c r="G18734" s="9"/>
      <c r="J18734" s="11"/>
      <c r="U18734" s="9"/>
      <c r="X18734" s="9"/>
    </row>
    <row r="18735">
      <c r="D18735" s="9"/>
      <c r="G18735" s="9"/>
      <c r="J18735" s="11"/>
      <c r="U18735" s="9"/>
      <c r="X18735" s="9"/>
    </row>
    <row r="18736">
      <c r="D18736" s="9"/>
      <c r="G18736" s="9"/>
      <c r="J18736" s="11"/>
      <c r="U18736" s="9"/>
      <c r="X18736" s="9"/>
    </row>
    <row r="18737">
      <c r="D18737" s="9"/>
      <c r="G18737" s="9"/>
      <c r="J18737" s="11"/>
      <c r="U18737" s="9"/>
      <c r="X18737" s="9"/>
    </row>
    <row r="18738">
      <c r="D18738" s="9"/>
      <c r="G18738" s="9"/>
      <c r="J18738" s="11"/>
      <c r="U18738" s="9"/>
      <c r="X18738" s="9"/>
    </row>
    <row r="18739">
      <c r="D18739" s="9"/>
      <c r="G18739" s="9"/>
      <c r="J18739" s="11"/>
      <c r="U18739" s="9"/>
      <c r="X18739" s="9"/>
    </row>
    <row r="18740">
      <c r="D18740" s="9"/>
      <c r="G18740" s="9"/>
      <c r="J18740" s="11"/>
      <c r="U18740" s="9"/>
      <c r="X18740" s="9"/>
    </row>
    <row r="18741">
      <c r="D18741" s="9"/>
      <c r="G18741" s="9"/>
      <c r="J18741" s="11"/>
      <c r="U18741" s="9"/>
      <c r="X18741" s="9"/>
    </row>
    <row r="18742">
      <c r="D18742" s="9"/>
      <c r="G18742" s="9"/>
      <c r="J18742" s="11"/>
      <c r="U18742" s="9"/>
      <c r="X18742" s="9"/>
    </row>
    <row r="18743">
      <c r="D18743" s="9"/>
      <c r="G18743" s="9"/>
      <c r="J18743" s="11"/>
      <c r="U18743" s="9"/>
      <c r="X18743" s="9"/>
    </row>
    <row r="18744">
      <c r="D18744" s="9"/>
      <c r="G18744" s="9"/>
      <c r="J18744" s="11"/>
      <c r="U18744" s="9"/>
      <c r="X18744" s="9"/>
    </row>
    <row r="18745">
      <c r="D18745" s="9"/>
      <c r="G18745" s="9"/>
      <c r="J18745" s="11"/>
      <c r="U18745" s="9"/>
      <c r="X18745" s="9"/>
    </row>
    <row r="18746">
      <c r="D18746" s="9"/>
      <c r="G18746" s="9"/>
      <c r="J18746" s="11"/>
      <c r="U18746" s="9"/>
      <c r="X18746" s="9"/>
    </row>
    <row r="18747">
      <c r="D18747" s="9"/>
      <c r="G18747" s="9"/>
      <c r="J18747" s="11"/>
      <c r="U18747" s="9"/>
      <c r="X18747" s="9"/>
    </row>
    <row r="18748">
      <c r="D18748" s="9"/>
      <c r="G18748" s="9"/>
      <c r="J18748" s="11"/>
      <c r="U18748" s="9"/>
      <c r="X18748" s="9"/>
    </row>
    <row r="18749">
      <c r="D18749" s="9"/>
      <c r="G18749" s="9"/>
      <c r="J18749" s="11"/>
      <c r="U18749" s="9"/>
      <c r="X18749" s="9"/>
    </row>
    <row r="18750">
      <c r="D18750" s="9"/>
      <c r="G18750" s="9"/>
      <c r="J18750" s="11"/>
      <c r="U18750" s="9"/>
      <c r="X18750" s="9"/>
    </row>
    <row r="18751">
      <c r="D18751" s="9"/>
      <c r="G18751" s="9"/>
      <c r="J18751" s="11"/>
      <c r="U18751" s="9"/>
      <c r="X18751" s="9"/>
    </row>
    <row r="18752">
      <c r="D18752" s="9"/>
      <c r="G18752" s="9"/>
      <c r="J18752" s="11"/>
      <c r="U18752" s="9"/>
      <c r="X18752" s="9"/>
    </row>
    <row r="18753">
      <c r="D18753" s="9"/>
      <c r="G18753" s="9"/>
      <c r="J18753" s="11"/>
      <c r="U18753" s="9"/>
      <c r="X18753" s="9"/>
    </row>
    <row r="18754">
      <c r="D18754" s="9"/>
      <c r="G18754" s="9"/>
      <c r="J18754" s="11"/>
      <c r="U18754" s="9"/>
      <c r="X18754" s="9"/>
    </row>
    <row r="18755">
      <c r="D18755" s="9"/>
      <c r="G18755" s="9"/>
      <c r="J18755" s="11"/>
      <c r="U18755" s="9"/>
      <c r="X18755" s="9"/>
    </row>
    <row r="18756">
      <c r="D18756" s="9"/>
      <c r="G18756" s="9"/>
      <c r="J18756" s="11"/>
      <c r="U18756" s="9"/>
      <c r="X18756" s="9"/>
    </row>
    <row r="18757">
      <c r="D18757" s="9"/>
      <c r="G18757" s="9"/>
      <c r="J18757" s="11"/>
      <c r="U18757" s="9"/>
      <c r="X18757" s="9"/>
    </row>
    <row r="18758">
      <c r="D18758" s="9"/>
      <c r="G18758" s="9"/>
      <c r="J18758" s="11"/>
      <c r="U18758" s="9"/>
      <c r="X18758" s="9"/>
    </row>
    <row r="18759">
      <c r="D18759" s="9"/>
      <c r="G18759" s="9"/>
      <c r="J18759" s="11"/>
      <c r="U18759" s="9"/>
      <c r="X18759" s="9"/>
    </row>
    <row r="18760">
      <c r="D18760" s="9"/>
      <c r="G18760" s="9"/>
      <c r="J18760" s="11"/>
      <c r="U18760" s="9"/>
      <c r="X18760" s="9"/>
    </row>
    <row r="18761">
      <c r="D18761" s="9"/>
      <c r="G18761" s="9"/>
      <c r="J18761" s="11"/>
      <c r="U18761" s="9"/>
      <c r="X18761" s="9"/>
    </row>
    <row r="18762">
      <c r="D18762" s="9"/>
      <c r="G18762" s="9"/>
      <c r="J18762" s="11"/>
      <c r="U18762" s="9"/>
      <c r="X18762" s="9"/>
    </row>
    <row r="18763">
      <c r="D18763" s="9"/>
      <c r="G18763" s="9"/>
      <c r="J18763" s="11"/>
      <c r="U18763" s="9"/>
      <c r="X18763" s="9"/>
    </row>
    <row r="18764">
      <c r="D18764" s="9"/>
      <c r="G18764" s="9"/>
      <c r="J18764" s="11"/>
      <c r="U18764" s="9"/>
      <c r="X18764" s="9"/>
    </row>
    <row r="18765">
      <c r="D18765" s="9"/>
      <c r="G18765" s="9"/>
      <c r="J18765" s="11"/>
      <c r="U18765" s="9"/>
      <c r="X18765" s="9"/>
    </row>
    <row r="18766">
      <c r="D18766" s="9"/>
      <c r="G18766" s="9"/>
      <c r="J18766" s="11"/>
      <c r="U18766" s="9"/>
      <c r="X18766" s="9"/>
    </row>
    <row r="18767">
      <c r="D18767" s="9"/>
      <c r="G18767" s="9"/>
      <c r="J18767" s="11"/>
      <c r="U18767" s="9"/>
      <c r="X18767" s="9"/>
    </row>
    <row r="18768">
      <c r="D18768" s="9"/>
      <c r="G18768" s="9"/>
      <c r="J18768" s="11"/>
      <c r="U18768" s="9"/>
      <c r="X18768" s="9"/>
    </row>
    <row r="18769">
      <c r="D18769" s="9"/>
      <c r="G18769" s="9"/>
      <c r="J18769" s="11"/>
      <c r="U18769" s="9"/>
      <c r="X18769" s="9"/>
    </row>
    <row r="18770">
      <c r="D18770" s="9"/>
      <c r="G18770" s="9"/>
      <c r="J18770" s="11"/>
      <c r="U18770" s="9"/>
      <c r="X18770" s="9"/>
    </row>
    <row r="18771">
      <c r="D18771" s="9"/>
      <c r="G18771" s="9"/>
      <c r="J18771" s="11"/>
      <c r="U18771" s="9"/>
      <c r="X18771" s="9"/>
    </row>
    <row r="18772">
      <c r="D18772" s="9"/>
      <c r="G18772" s="9"/>
      <c r="J18772" s="11"/>
      <c r="U18772" s="9"/>
      <c r="X18772" s="9"/>
    </row>
    <row r="18773">
      <c r="D18773" s="9"/>
      <c r="G18773" s="9"/>
      <c r="J18773" s="11"/>
      <c r="U18773" s="9"/>
      <c r="X18773" s="9"/>
    </row>
    <row r="18774">
      <c r="D18774" s="9"/>
      <c r="G18774" s="9"/>
      <c r="J18774" s="11"/>
      <c r="U18774" s="9"/>
      <c r="X18774" s="9"/>
    </row>
    <row r="18775">
      <c r="D18775" s="9"/>
      <c r="G18775" s="9"/>
      <c r="J18775" s="11"/>
      <c r="U18775" s="9"/>
      <c r="X18775" s="9"/>
    </row>
    <row r="18776">
      <c r="D18776" s="9"/>
      <c r="G18776" s="9"/>
      <c r="J18776" s="11"/>
      <c r="U18776" s="9"/>
      <c r="X18776" s="9"/>
    </row>
    <row r="18777">
      <c r="D18777" s="9"/>
      <c r="G18777" s="9"/>
      <c r="J18777" s="11"/>
      <c r="U18777" s="9"/>
      <c r="X18777" s="9"/>
    </row>
    <row r="18778">
      <c r="D18778" s="9"/>
      <c r="G18778" s="9"/>
      <c r="J18778" s="11"/>
      <c r="U18778" s="9"/>
      <c r="X18778" s="9"/>
    </row>
    <row r="18779">
      <c r="D18779" s="9"/>
      <c r="G18779" s="9"/>
      <c r="J18779" s="11"/>
      <c r="U18779" s="9"/>
      <c r="X18779" s="9"/>
    </row>
    <row r="18780">
      <c r="D18780" s="9"/>
      <c r="G18780" s="9"/>
      <c r="J18780" s="11"/>
      <c r="U18780" s="9"/>
      <c r="X18780" s="9"/>
    </row>
    <row r="18781">
      <c r="D18781" s="9"/>
      <c r="G18781" s="9"/>
      <c r="J18781" s="11"/>
      <c r="U18781" s="9"/>
      <c r="X18781" s="9"/>
    </row>
    <row r="18782">
      <c r="D18782" s="9"/>
      <c r="G18782" s="9"/>
      <c r="J18782" s="11"/>
      <c r="U18782" s="9"/>
      <c r="X18782" s="9"/>
    </row>
    <row r="18783">
      <c r="D18783" s="9"/>
      <c r="G18783" s="9"/>
      <c r="J18783" s="11"/>
      <c r="U18783" s="9"/>
      <c r="X18783" s="9"/>
    </row>
    <row r="18784">
      <c r="D18784" s="9"/>
      <c r="G18784" s="9"/>
      <c r="J18784" s="11"/>
      <c r="U18784" s="9"/>
      <c r="X18784" s="9"/>
    </row>
    <row r="18785">
      <c r="D18785" s="9"/>
      <c r="G18785" s="9"/>
      <c r="J18785" s="11"/>
      <c r="U18785" s="9"/>
      <c r="X18785" s="9"/>
    </row>
    <row r="18786">
      <c r="D18786" s="9"/>
      <c r="G18786" s="9"/>
      <c r="J18786" s="11"/>
      <c r="U18786" s="9"/>
      <c r="X18786" s="9"/>
    </row>
    <row r="18787">
      <c r="D18787" s="9"/>
      <c r="G18787" s="9"/>
      <c r="J18787" s="11"/>
      <c r="U18787" s="9"/>
      <c r="X18787" s="9"/>
    </row>
    <row r="18788">
      <c r="D18788" s="9"/>
      <c r="G18788" s="9"/>
      <c r="J18788" s="11"/>
      <c r="U18788" s="9"/>
      <c r="X18788" s="9"/>
    </row>
    <row r="18789">
      <c r="D18789" s="9"/>
      <c r="G18789" s="9"/>
      <c r="J18789" s="11"/>
      <c r="U18789" s="9"/>
      <c r="X18789" s="9"/>
    </row>
    <row r="18790">
      <c r="D18790" s="9"/>
      <c r="G18790" s="9"/>
      <c r="J18790" s="11"/>
      <c r="U18790" s="9"/>
      <c r="X18790" s="9"/>
    </row>
    <row r="18791">
      <c r="D18791" s="9"/>
      <c r="G18791" s="9"/>
      <c r="J18791" s="11"/>
      <c r="U18791" s="9"/>
      <c r="X18791" s="9"/>
    </row>
    <row r="18792">
      <c r="D18792" s="9"/>
      <c r="G18792" s="9"/>
      <c r="J18792" s="11"/>
      <c r="U18792" s="9"/>
      <c r="X18792" s="9"/>
    </row>
    <row r="18793">
      <c r="D18793" s="9"/>
      <c r="G18793" s="9"/>
      <c r="J18793" s="11"/>
      <c r="U18793" s="9"/>
      <c r="X18793" s="9"/>
    </row>
    <row r="18794">
      <c r="D18794" s="9"/>
      <c r="G18794" s="9"/>
      <c r="J18794" s="11"/>
      <c r="U18794" s="9"/>
      <c r="X18794" s="9"/>
    </row>
    <row r="18795">
      <c r="D18795" s="9"/>
      <c r="G18795" s="9"/>
      <c r="J18795" s="11"/>
      <c r="U18795" s="9"/>
      <c r="X18795" s="9"/>
    </row>
    <row r="18796">
      <c r="D18796" s="9"/>
      <c r="G18796" s="9"/>
      <c r="J18796" s="11"/>
      <c r="U18796" s="9"/>
      <c r="X18796" s="9"/>
    </row>
    <row r="18797">
      <c r="D18797" s="9"/>
      <c r="G18797" s="9"/>
      <c r="J18797" s="11"/>
      <c r="U18797" s="9"/>
      <c r="X18797" s="9"/>
    </row>
    <row r="18798">
      <c r="D18798" s="9"/>
      <c r="G18798" s="9"/>
      <c r="J18798" s="11"/>
      <c r="U18798" s="9"/>
      <c r="X18798" s="9"/>
    </row>
    <row r="18799">
      <c r="D18799" s="9"/>
      <c r="G18799" s="9"/>
      <c r="J18799" s="11"/>
      <c r="U18799" s="9"/>
      <c r="X18799" s="9"/>
    </row>
    <row r="18800">
      <c r="D18800" s="9"/>
      <c r="G18800" s="9"/>
      <c r="J18800" s="11"/>
      <c r="U18800" s="9"/>
      <c r="X18800" s="9"/>
    </row>
    <row r="18801">
      <c r="D18801" s="9"/>
      <c r="G18801" s="9"/>
      <c r="J18801" s="11"/>
      <c r="U18801" s="9"/>
      <c r="X18801" s="9"/>
    </row>
    <row r="18802">
      <c r="D18802" s="9"/>
      <c r="G18802" s="9"/>
      <c r="J18802" s="11"/>
      <c r="U18802" s="9"/>
      <c r="X18802" s="9"/>
    </row>
    <row r="18803">
      <c r="D18803" s="9"/>
      <c r="G18803" s="9"/>
      <c r="J18803" s="11"/>
      <c r="U18803" s="9"/>
      <c r="X18803" s="9"/>
    </row>
    <row r="18804">
      <c r="D18804" s="9"/>
      <c r="G18804" s="9"/>
      <c r="J18804" s="11"/>
      <c r="U18804" s="9"/>
      <c r="X18804" s="9"/>
    </row>
    <row r="18805">
      <c r="D18805" s="9"/>
      <c r="G18805" s="9"/>
      <c r="J18805" s="11"/>
      <c r="U18805" s="9"/>
      <c r="X18805" s="9"/>
    </row>
    <row r="18806">
      <c r="D18806" s="9"/>
      <c r="G18806" s="9"/>
      <c r="J18806" s="11"/>
      <c r="U18806" s="9"/>
      <c r="X18806" s="9"/>
    </row>
    <row r="18807">
      <c r="D18807" s="9"/>
      <c r="G18807" s="9"/>
      <c r="J18807" s="11"/>
      <c r="U18807" s="9"/>
      <c r="X18807" s="9"/>
    </row>
    <row r="18808">
      <c r="D18808" s="9"/>
      <c r="G18808" s="9"/>
      <c r="J18808" s="11"/>
      <c r="U18808" s="9"/>
      <c r="X18808" s="9"/>
    </row>
    <row r="18809">
      <c r="D18809" s="9"/>
      <c r="G18809" s="9"/>
      <c r="J18809" s="11"/>
      <c r="U18809" s="9"/>
      <c r="X18809" s="9"/>
    </row>
    <row r="18810">
      <c r="D18810" s="9"/>
      <c r="G18810" s="9"/>
      <c r="J18810" s="11"/>
      <c r="U18810" s="9"/>
      <c r="X18810" s="9"/>
    </row>
    <row r="18811">
      <c r="D18811" s="9"/>
      <c r="G18811" s="9"/>
      <c r="J18811" s="11"/>
      <c r="U18811" s="9"/>
      <c r="X18811" s="9"/>
    </row>
    <row r="18812">
      <c r="D18812" s="9"/>
      <c r="G18812" s="9"/>
      <c r="J18812" s="11"/>
      <c r="U18812" s="9"/>
      <c r="X18812" s="9"/>
    </row>
    <row r="18813">
      <c r="D18813" s="9"/>
      <c r="G18813" s="9"/>
      <c r="J18813" s="11"/>
      <c r="U18813" s="9"/>
      <c r="X18813" s="9"/>
    </row>
    <row r="18814">
      <c r="D18814" s="9"/>
      <c r="G18814" s="9"/>
      <c r="J18814" s="11"/>
      <c r="U18814" s="9"/>
      <c r="X18814" s="9"/>
    </row>
    <row r="18815">
      <c r="D18815" s="9"/>
      <c r="G18815" s="9"/>
      <c r="J18815" s="11"/>
      <c r="U18815" s="9"/>
      <c r="X18815" s="9"/>
    </row>
    <row r="18816">
      <c r="D18816" s="9"/>
      <c r="G18816" s="9"/>
      <c r="J18816" s="11"/>
      <c r="U18816" s="9"/>
      <c r="X18816" s="9"/>
    </row>
    <row r="18817">
      <c r="D18817" s="9"/>
      <c r="G18817" s="9"/>
      <c r="J18817" s="11"/>
      <c r="U18817" s="9"/>
      <c r="X18817" s="9"/>
    </row>
    <row r="18818">
      <c r="D18818" s="9"/>
      <c r="G18818" s="9"/>
      <c r="J18818" s="11"/>
      <c r="U18818" s="9"/>
      <c r="X18818" s="9"/>
    </row>
    <row r="18819">
      <c r="D18819" s="9"/>
      <c r="G18819" s="9"/>
      <c r="J18819" s="11"/>
      <c r="U18819" s="9"/>
      <c r="X18819" s="9"/>
    </row>
    <row r="18820">
      <c r="D18820" s="9"/>
      <c r="G18820" s="9"/>
      <c r="J18820" s="11"/>
      <c r="U18820" s="9"/>
      <c r="X18820" s="9"/>
    </row>
    <row r="18821">
      <c r="D18821" s="9"/>
      <c r="G18821" s="9"/>
      <c r="J18821" s="11"/>
      <c r="U18821" s="9"/>
      <c r="X18821" s="9"/>
    </row>
    <row r="18822">
      <c r="D18822" s="9"/>
      <c r="G18822" s="9"/>
      <c r="J18822" s="11"/>
      <c r="U18822" s="9"/>
      <c r="X18822" s="9"/>
    </row>
    <row r="18823">
      <c r="D18823" s="9"/>
      <c r="G18823" s="9"/>
      <c r="J18823" s="11"/>
      <c r="U18823" s="9"/>
      <c r="X18823" s="9"/>
    </row>
    <row r="18824">
      <c r="D18824" s="9"/>
      <c r="G18824" s="9"/>
      <c r="J18824" s="11"/>
      <c r="U18824" s="9"/>
      <c r="X18824" s="9"/>
    </row>
    <row r="18825">
      <c r="D18825" s="9"/>
      <c r="G18825" s="9"/>
      <c r="J18825" s="11"/>
      <c r="U18825" s="9"/>
      <c r="X18825" s="9"/>
    </row>
    <row r="18826">
      <c r="D18826" s="9"/>
      <c r="G18826" s="9"/>
      <c r="J18826" s="11"/>
      <c r="U18826" s="9"/>
      <c r="X18826" s="9"/>
    </row>
    <row r="18827">
      <c r="D18827" s="9"/>
      <c r="G18827" s="9"/>
      <c r="J18827" s="11"/>
      <c r="U18827" s="9"/>
      <c r="X18827" s="9"/>
    </row>
    <row r="18828">
      <c r="D18828" s="9"/>
      <c r="G18828" s="9"/>
      <c r="J18828" s="11"/>
      <c r="U18828" s="9"/>
      <c r="X18828" s="9"/>
    </row>
    <row r="18829">
      <c r="D18829" s="9"/>
      <c r="G18829" s="9"/>
      <c r="J18829" s="11"/>
      <c r="U18829" s="9"/>
      <c r="X18829" s="9"/>
    </row>
    <row r="18830">
      <c r="D18830" s="9"/>
      <c r="G18830" s="9"/>
      <c r="J18830" s="11"/>
      <c r="U18830" s="9"/>
      <c r="X18830" s="9"/>
    </row>
    <row r="18831">
      <c r="D18831" s="9"/>
      <c r="G18831" s="9"/>
      <c r="J18831" s="11"/>
      <c r="U18831" s="9"/>
      <c r="X18831" s="9"/>
    </row>
    <row r="18832">
      <c r="D18832" s="9"/>
      <c r="G18832" s="9"/>
      <c r="J18832" s="11"/>
      <c r="U18832" s="9"/>
      <c r="X18832" s="9"/>
    </row>
    <row r="18833">
      <c r="D18833" s="9"/>
      <c r="G18833" s="9"/>
      <c r="J18833" s="11"/>
      <c r="U18833" s="9"/>
      <c r="X18833" s="9"/>
    </row>
    <row r="18834">
      <c r="D18834" s="9"/>
      <c r="G18834" s="9"/>
      <c r="J18834" s="11"/>
      <c r="U18834" s="9"/>
      <c r="X18834" s="9"/>
    </row>
    <row r="18835">
      <c r="D18835" s="9"/>
      <c r="G18835" s="9"/>
      <c r="J18835" s="11"/>
      <c r="U18835" s="9"/>
      <c r="X18835" s="9"/>
    </row>
    <row r="18836">
      <c r="D18836" s="9"/>
      <c r="G18836" s="9"/>
      <c r="J18836" s="11"/>
      <c r="U18836" s="9"/>
      <c r="X18836" s="9"/>
    </row>
    <row r="18837">
      <c r="D18837" s="9"/>
      <c r="G18837" s="9"/>
      <c r="J18837" s="11"/>
      <c r="U18837" s="9"/>
      <c r="X18837" s="9"/>
    </row>
    <row r="18838">
      <c r="D18838" s="9"/>
      <c r="G18838" s="9"/>
      <c r="J18838" s="11"/>
      <c r="U18838" s="9"/>
      <c r="X18838" s="9"/>
    </row>
    <row r="18839">
      <c r="D18839" s="9"/>
      <c r="G18839" s="9"/>
      <c r="J18839" s="11"/>
      <c r="U18839" s="9"/>
      <c r="X18839" s="9"/>
    </row>
    <row r="18840">
      <c r="D18840" s="9"/>
      <c r="G18840" s="9"/>
      <c r="J18840" s="11"/>
      <c r="U18840" s="9"/>
      <c r="X18840" s="9"/>
    </row>
    <row r="18841">
      <c r="D18841" s="9"/>
      <c r="G18841" s="9"/>
      <c r="J18841" s="11"/>
      <c r="U18841" s="9"/>
      <c r="X18841" s="9"/>
    </row>
    <row r="18842">
      <c r="D18842" s="9"/>
      <c r="G18842" s="9"/>
      <c r="J18842" s="11"/>
      <c r="U18842" s="9"/>
      <c r="X18842" s="9"/>
    </row>
    <row r="18843">
      <c r="D18843" s="9"/>
      <c r="G18843" s="9"/>
      <c r="J18843" s="11"/>
      <c r="U18843" s="9"/>
      <c r="X18843" s="9"/>
    </row>
    <row r="18844">
      <c r="D18844" s="9"/>
      <c r="G18844" s="9"/>
      <c r="J18844" s="11"/>
      <c r="U18844" s="9"/>
      <c r="X18844" s="9"/>
    </row>
    <row r="18845">
      <c r="D18845" s="9"/>
      <c r="G18845" s="9"/>
      <c r="J18845" s="11"/>
      <c r="U18845" s="9"/>
      <c r="X18845" s="9"/>
    </row>
    <row r="18846">
      <c r="D18846" s="9"/>
      <c r="G18846" s="9"/>
      <c r="J18846" s="11"/>
      <c r="U18846" s="9"/>
      <c r="X18846" s="9"/>
    </row>
    <row r="18847">
      <c r="D18847" s="9"/>
      <c r="G18847" s="9"/>
      <c r="J18847" s="11"/>
      <c r="U18847" s="9"/>
      <c r="X18847" s="9"/>
    </row>
    <row r="18848">
      <c r="D18848" s="9"/>
      <c r="G18848" s="9"/>
      <c r="J18848" s="11"/>
      <c r="U18848" s="9"/>
      <c r="X18848" s="9"/>
    </row>
    <row r="18849">
      <c r="D18849" s="9"/>
      <c r="G18849" s="9"/>
      <c r="J18849" s="11"/>
      <c r="U18849" s="9"/>
      <c r="X18849" s="9"/>
    </row>
    <row r="18850">
      <c r="D18850" s="9"/>
      <c r="G18850" s="9"/>
      <c r="J18850" s="11"/>
      <c r="U18850" s="9"/>
      <c r="X18850" s="9"/>
    </row>
    <row r="18851">
      <c r="D18851" s="9"/>
      <c r="G18851" s="9"/>
      <c r="J18851" s="11"/>
      <c r="U18851" s="9"/>
      <c r="X18851" s="9"/>
    </row>
    <row r="18852">
      <c r="D18852" s="9"/>
      <c r="G18852" s="9"/>
      <c r="J18852" s="11"/>
      <c r="U18852" s="9"/>
      <c r="X18852" s="9"/>
    </row>
    <row r="18853">
      <c r="D18853" s="9"/>
      <c r="G18853" s="9"/>
      <c r="J18853" s="11"/>
      <c r="U18853" s="9"/>
      <c r="X18853" s="9"/>
    </row>
    <row r="18854">
      <c r="D18854" s="9"/>
      <c r="G18854" s="9"/>
      <c r="J18854" s="11"/>
      <c r="U18854" s="9"/>
      <c r="X18854" s="9"/>
    </row>
    <row r="18855">
      <c r="D18855" s="9"/>
      <c r="G18855" s="9"/>
      <c r="J18855" s="11"/>
      <c r="U18855" s="9"/>
      <c r="X18855" s="9"/>
    </row>
    <row r="18856">
      <c r="D18856" s="9"/>
      <c r="G18856" s="9"/>
      <c r="J18856" s="11"/>
      <c r="U18856" s="9"/>
      <c r="X18856" s="9"/>
    </row>
    <row r="18857">
      <c r="D18857" s="9"/>
      <c r="G18857" s="9"/>
      <c r="J18857" s="11"/>
      <c r="U18857" s="9"/>
      <c r="X18857" s="9"/>
    </row>
    <row r="18858">
      <c r="D18858" s="9"/>
      <c r="G18858" s="9"/>
      <c r="J18858" s="11"/>
      <c r="U18858" s="9"/>
      <c r="X18858" s="9"/>
    </row>
    <row r="18859">
      <c r="D18859" s="9"/>
      <c r="G18859" s="9"/>
      <c r="J18859" s="11"/>
      <c r="U18859" s="9"/>
      <c r="X18859" s="9"/>
    </row>
    <row r="18860">
      <c r="D18860" s="9"/>
      <c r="G18860" s="9"/>
      <c r="J18860" s="11"/>
      <c r="U18860" s="9"/>
      <c r="X18860" s="9"/>
    </row>
    <row r="18861">
      <c r="D18861" s="9"/>
      <c r="G18861" s="9"/>
      <c r="J18861" s="11"/>
      <c r="U18861" s="9"/>
      <c r="X18861" s="9"/>
    </row>
    <row r="18862">
      <c r="D18862" s="9"/>
      <c r="G18862" s="9"/>
      <c r="J18862" s="11"/>
      <c r="U18862" s="9"/>
      <c r="X18862" s="9"/>
    </row>
    <row r="18863">
      <c r="D18863" s="9"/>
      <c r="G18863" s="9"/>
      <c r="J18863" s="11"/>
      <c r="U18863" s="9"/>
      <c r="X18863" s="9"/>
    </row>
    <row r="18864">
      <c r="D18864" s="9"/>
      <c r="G18864" s="9"/>
      <c r="J18864" s="11"/>
      <c r="U18864" s="9"/>
      <c r="X18864" s="9"/>
    </row>
    <row r="18865">
      <c r="D18865" s="9"/>
      <c r="G18865" s="9"/>
      <c r="J18865" s="11"/>
      <c r="U18865" s="9"/>
      <c r="X18865" s="9"/>
    </row>
    <row r="18866">
      <c r="D18866" s="9"/>
      <c r="G18866" s="9"/>
      <c r="J18866" s="11"/>
      <c r="U18866" s="9"/>
      <c r="X18866" s="9"/>
    </row>
    <row r="18867">
      <c r="D18867" s="9"/>
      <c r="G18867" s="9"/>
      <c r="J18867" s="11"/>
      <c r="U18867" s="9"/>
      <c r="X18867" s="9"/>
    </row>
    <row r="18868">
      <c r="D18868" s="9"/>
      <c r="G18868" s="9"/>
      <c r="J18868" s="11"/>
      <c r="U18868" s="9"/>
      <c r="X18868" s="9"/>
    </row>
    <row r="18869">
      <c r="D18869" s="9"/>
      <c r="G18869" s="9"/>
      <c r="J18869" s="11"/>
      <c r="U18869" s="9"/>
      <c r="X18869" s="9"/>
    </row>
    <row r="18870">
      <c r="D18870" s="9"/>
      <c r="G18870" s="9"/>
      <c r="J18870" s="11"/>
      <c r="U18870" s="9"/>
      <c r="X18870" s="9"/>
    </row>
    <row r="18871">
      <c r="D18871" s="9"/>
      <c r="G18871" s="9"/>
      <c r="J18871" s="11"/>
      <c r="U18871" s="9"/>
      <c r="X18871" s="9"/>
    </row>
    <row r="18872">
      <c r="D18872" s="9"/>
      <c r="G18872" s="9"/>
      <c r="J18872" s="11"/>
      <c r="U18872" s="9"/>
      <c r="X18872" s="9"/>
    </row>
    <row r="18873">
      <c r="D18873" s="9"/>
      <c r="G18873" s="9"/>
      <c r="J18873" s="11"/>
      <c r="U18873" s="9"/>
      <c r="X18873" s="9"/>
    </row>
    <row r="18874">
      <c r="D18874" s="9"/>
      <c r="G18874" s="9"/>
      <c r="J18874" s="11"/>
      <c r="U18874" s="9"/>
      <c r="X18874" s="9"/>
    </row>
    <row r="18875">
      <c r="D18875" s="9"/>
      <c r="G18875" s="9"/>
      <c r="J18875" s="11"/>
      <c r="U18875" s="9"/>
      <c r="X18875" s="9"/>
    </row>
    <row r="18876">
      <c r="D18876" s="9"/>
      <c r="G18876" s="9"/>
      <c r="J18876" s="11"/>
      <c r="U18876" s="9"/>
      <c r="X18876" s="9"/>
    </row>
    <row r="18877">
      <c r="D18877" s="9"/>
      <c r="G18877" s="9"/>
      <c r="J18877" s="11"/>
      <c r="U18877" s="9"/>
      <c r="X18877" s="9"/>
    </row>
    <row r="18878">
      <c r="D18878" s="9"/>
      <c r="G18878" s="9"/>
      <c r="J18878" s="11"/>
      <c r="U18878" s="9"/>
      <c r="X18878" s="9"/>
    </row>
    <row r="18879">
      <c r="D18879" s="9"/>
      <c r="G18879" s="9"/>
      <c r="J18879" s="11"/>
      <c r="U18879" s="9"/>
      <c r="X18879" s="9"/>
    </row>
    <row r="18880">
      <c r="D18880" s="9"/>
      <c r="G18880" s="9"/>
      <c r="J18880" s="11"/>
      <c r="U18880" s="9"/>
      <c r="X18880" s="9"/>
    </row>
    <row r="18881">
      <c r="D18881" s="9"/>
      <c r="G18881" s="9"/>
      <c r="J18881" s="11"/>
      <c r="U18881" s="9"/>
      <c r="X18881" s="9"/>
    </row>
    <row r="18882">
      <c r="D18882" s="9"/>
      <c r="G18882" s="9"/>
      <c r="J18882" s="11"/>
      <c r="U18882" s="9"/>
      <c r="X18882" s="9"/>
    </row>
    <row r="18883">
      <c r="D18883" s="9"/>
      <c r="G18883" s="9"/>
      <c r="J18883" s="11"/>
      <c r="U18883" s="9"/>
      <c r="X18883" s="9"/>
    </row>
    <row r="18884">
      <c r="D18884" s="9"/>
      <c r="G18884" s="9"/>
      <c r="J18884" s="11"/>
      <c r="U18884" s="9"/>
      <c r="X18884" s="9"/>
    </row>
    <row r="18885">
      <c r="D18885" s="9"/>
      <c r="G18885" s="9"/>
      <c r="J18885" s="11"/>
      <c r="U18885" s="9"/>
      <c r="X18885" s="9"/>
    </row>
    <row r="18886">
      <c r="D18886" s="9"/>
      <c r="G18886" s="9"/>
      <c r="J18886" s="11"/>
      <c r="U18886" s="9"/>
      <c r="X18886" s="9"/>
    </row>
    <row r="18887">
      <c r="D18887" s="9"/>
      <c r="G18887" s="9"/>
      <c r="J18887" s="11"/>
      <c r="U18887" s="9"/>
      <c r="X18887" s="9"/>
    </row>
    <row r="18888">
      <c r="D18888" s="9"/>
      <c r="G18888" s="9"/>
      <c r="J18888" s="11"/>
      <c r="U18888" s="9"/>
      <c r="X18888" s="9"/>
    </row>
    <row r="18889">
      <c r="D18889" s="9"/>
      <c r="G18889" s="9"/>
      <c r="J18889" s="11"/>
      <c r="U18889" s="9"/>
      <c r="X18889" s="9"/>
    </row>
    <row r="18890">
      <c r="D18890" s="9"/>
      <c r="G18890" s="9"/>
      <c r="J18890" s="11"/>
      <c r="U18890" s="9"/>
      <c r="X18890" s="9"/>
    </row>
    <row r="18891">
      <c r="D18891" s="9"/>
      <c r="G18891" s="9"/>
      <c r="J18891" s="11"/>
      <c r="U18891" s="9"/>
      <c r="X18891" s="9"/>
    </row>
    <row r="18892">
      <c r="D18892" s="9"/>
      <c r="G18892" s="9"/>
      <c r="J18892" s="11"/>
      <c r="U18892" s="9"/>
      <c r="X18892" s="9"/>
    </row>
    <row r="18893">
      <c r="D18893" s="9"/>
      <c r="G18893" s="9"/>
      <c r="J18893" s="11"/>
      <c r="U18893" s="9"/>
      <c r="X18893" s="9"/>
    </row>
    <row r="18894">
      <c r="D18894" s="9"/>
      <c r="G18894" s="9"/>
      <c r="J18894" s="11"/>
      <c r="U18894" s="9"/>
      <c r="X18894" s="9"/>
    </row>
    <row r="18895">
      <c r="D18895" s="9"/>
      <c r="G18895" s="9"/>
      <c r="J18895" s="11"/>
      <c r="U18895" s="9"/>
      <c r="X18895" s="9"/>
    </row>
    <row r="18896">
      <c r="D18896" s="9"/>
      <c r="G18896" s="9"/>
      <c r="J18896" s="11"/>
      <c r="U18896" s="9"/>
      <c r="X18896" s="9"/>
    </row>
    <row r="18897">
      <c r="D18897" s="9"/>
      <c r="G18897" s="9"/>
      <c r="J18897" s="11"/>
      <c r="U18897" s="9"/>
      <c r="X18897" s="9"/>
    </row>
    <row r="18898">
      <c r="D18898" s="9"/>
      <c r="G18898" s="9"/>
      <c r="J18898" s="11"/>
      <c r="U18898" s="9"/>
      <c r="X18898" s="9"/>
    </row>
    <row r="18899">
      <c r="D18899" s="9"/>
      <c r="G18899" s="9"/>
      <c r="J18899" s="11"/>
      <c r="U18899" s="9"/>
      <c r="X18899" s="9"/>
    </row>
    <row r="18900">
      <c r="D18900" s="9"/>
      <c r="G18900" s="9"/>
      <c r="J18900" s="11"/>
      <c r="U18900" s="9"/>
      <c r="X18900" s="9"/>
    </row>
    <row r="18901">
      <c r="D18901" s="9"/>
      <c r="G18901" s="9"/>
      <c r="J18901" s="11"/>
      <c r="U18901" s="9"/>
      <c r="X18901" s="9"/>
    </row>
    <row r="18902">
      <c r="D18902" s="9"/>
      <c r="G18902" s="9"/>
      <c r="J18902" s="11"/>
      <c r="U18902" s="9"/>
      <c r="X18902" s="9"/>
    </row>
    <row r="18903">
      <c r="D18903" s="9"/>
      <c r="G18903" s="9"/>
      <c r="J18903" s="11"/>
      <c r="U18903" s="9"/>
      <c r="X18903" s="9"/>
    </row>
    <row r="18904">
      <c r="D18904" s="9"/>
      <c r="G18904" s="9"/>
      <c r="J18904" s="11"/>
      <c r="U18904" s="9"/>
      <c r="X18904" s="9"/>
    </row>
    <row r="18905">
      <c r="D18905" s="9"/>
      <c r="G18905" s="9"/>
      <c r="J18905" s="11"/>
      <c r="U18905" s="9"/>
      <c r="X18905" s="9"/>
    </row>
    <row r="18906">
      <c r="D18906" s="9"/>
      <c r="G18906" s="9"/>
      <c r="J18906" s="11"/>
      <c r="U18906" s="9"/>
      <c r="X18906" s="9"/>
    </row>
    <row r="18907">
      <c r="D18907" s="9"/>
      <c r="G18907" s="9"/>
      <c r="J18907" s="11"/>
      <c r="U18907" s="9"/>
      <c r="X18907" s="9"/>
    </row>
    <row r="18908">
      <c r="D18908" s="9"/>
      <c r="G18908" s="9"/>
      <c r="J18908" s="11"/>
      <c r="U18908" s="9"/>
      <c r="X18908" s="9"/>
    </row>
    <row r="18909">
      <c r="D18909" s="9"/>
      <c r="G18909" s="9"/>
      <c r="J18909" s="11"/>
      <c r="U18909" s="9"/>
      <c r="X18909" s="9"/>
    </row>
    <row r="18910">
      <c r="D18910" s="9"/>
      <c r="G18910" s="9"/>
      <c r="J18910" s="11"/>
      <c r="U18910" s="9"/>
      <c r="X18910" s="9"/>
    </row>
    <row r="18911">
      <c r="D18911" s="9"/>
      <c r="G18911" s="9"/>
      <c r="J18911" s="11"/>
      <c r="U18911" s="9"/>
      <c r="X18911" s="9"/>
    </row>
    <row r="18912">
      <c r="D18912" s="9"/>
      <c r="G18912" s="9"/>
      <c r="J18912" s="11"/>
      <c r="U18912" s="9"/>
      <c r="X18912" s="9"/>
    </row>
    <row r="18913">
      <c r="D18913" s="9"/>
      <c r="G18913" s="9"/>
      <c r="J18913" s="11"/>
      <c r="U18913" s="9"/>
      <c r="X18913" s="9"/>
    </row>
    <row r="18914">
      <c r="D18914" s="9"/>
      <c r="G18914" s="9"/>
      <c r="J18914" s="11"/>
      <c r="U18914" s="9"/>
      <c r="X18914" s="9"/>
    </row>
    <row r="18915">
      <c r="D18915" s="9"/>
      <c r="G18915" s="9"/>
      <c r="J18915" s="11"/>
      <c r="U18915" s="9"/>
      <c r="X18915" s="9"/>
    </row>
    <row r="18916">
      <c r="D18916" s="9"/>
      <c r="G18916" s="9"/>
      <c r="J18916" s="11"/>
      <c r="U18916" s="9"/>
      <c r="X18916" s="9"/>
    </row>
    <row r="18917">
      <c r="D18917" s="9"/>
      <c r="G18917" s="9"/>
      <c r="J18917" s="11"/>
      <c r="U18917" s="9"/>
      <c r="X18917" s="9"/>
    </row>
    <row r="18918">
      <c r="D18918" s="9"/>
      <c r="G18918" s="9"/>
      <c r="J18918" s="11"/>
      <c r="U18918" s="9"/>
      <c r="X18918" s="9"/>
    </row>
    <row r="18919">
      <c r="D18919" s="9"/>
      <c r="G18919" s="9"/>
      <c r="J18919" s="11"/>
      <c r="U18919" s="9"/>
      <c r="X18919" s="9"/>
    </row>
    <row r="18920">
      <c r="D18920" s="9"/>
      <c r="G18920" s="9"/>
      <c r="J18920" s="11"/>
      <c r="U18920" s="9"/>
      <c r="X18920" s="9"/>
    </row>
    <row r="18921">
      <c r="D18921" s="9"/>
      <c r="G18921" s="9"/>
      <c r="J18921" s="11"/>
      <c r="U18921" s="9"/>
      <c r="X18921" s="9"/>
    </row>
    <row r="18922">
      <c r="D18922" s="9"/>
      <c r="G18922" s="9"/>
      <c r="J18922" s="11"/>
      <c r="U18922" s="9"/>
      <c r="X18922" s="9"/>
    </row>
    <row r="18923">
      <c r="D18923" s="9"/>
      <c r="G18923" s="9"/>
      <c r="J18923" s="11"/>
      <c r="U18923" s="9"/>
      <c r="X18923" s="9"/>
    </row>
    <row r="18924">
      <c r="D18924" s="9"/>
      <c r="G18924" s="9"/>
      <c r="J18924" s="11"/>
      <c r="U18924" s="9"/>
      <c r="X18924" s="9"/>
    </row>
    <row r="18925">
      <c r="D18925" s="9"/>
      <c r="G18925" s="9"/>
      <c r="J18925" s="11"/>
      <c r="U18925" s="9"/>
      <c r="X18925" s="9"/>
    </row>
    <row r="18926">
      <c r="D18926" s="9"/>
      <c r="G18926" s="9"/>
      <c r="J18926" s="11"/>
      <c r="U18926" s="9"/>
      <c r="X18926" s="9"/>
    </row>
    <row r="18927">
      <c r="D18927" s="9"/>
      <c r="G18927" s="9"/>
      <c r="J18927" s="11"/>
      <c r="U18927" s="9"/>
      <c r="X18927" s="9"/>
    </row>
    <row r="18928">
      <c r="D18928" s="9"/>
      <c r="G18928" s="9"/>
      <c r="J18928" s="11"/>
      <c r="U18928" s="9"/>
      <c r="X18928" s="9"/>
    </row>
    <row r="18929">
      <c r="D18929" s="9"/>
      <c r="G18929" s="9"/>
      <c r="J18929" s="11"/>
      <c r="U18929" s="9"/>
      <c r="X18929" s="9"/>
    </row>
    <row r="18930">
      <c r="D18930" s="9"/>
      <c r="G18930" s="9"/>
      <c r="J18930" s="11"/>
      <c r="U18930" s="9"/>
      <c r="X18930" s="9"/>
    </row>
    <row r="18931">
      <c r="D18931" s="9"/>
      <c r="G18931" s="9"/>
      <c r="J18931" s="11"/>
      <c r="U18931" s="9"/>
      <c r="X18931" s="9"/>
    </row>
    <row r="18932">
      <c r="D18932" s="9"/>
      <c r="G18932" s="9"/>
      <c r="J18932" s="11"/>
      <c r="U18932" s="9"/>
      <c r="X18932" s="9"/>
    </row>
    <row r="18933">
      <c r="D18933" s="9"/>
      <c r="G18933" s="9"/>
      <c r="J18933" s="11"/>
      <c r="U18933" s="9"/>
      <c r="X18933" s="9"/>
    </row>
    <row r="18934">
      <c r="D18934" s="9"/>
      <c r="G18934" s="9"/>
      <c r="J18934" s="11"/>
      <c r="U18934" s="9"/>
      <c r="X18934" s="9"/>
    </row>
    <row r="18935">
      <c r="D18935" s="9"/>
      <c r="G18935" s="9"/>
      <c r="J18935" s="11"/>
      <c r="U18935" s="9"/>
      <c r="X18935" s="9"/>
    </row>
    <row r="18936">
      <c r="D18936" s="9"/>
      <c r="G18936" s="9"/>
      <c r="J18936" s="11"/>
      <c r="U18936" s="9"/>
      <c r="X18936" s="9"/>
    </row>
    <row r="18937">
      <c r="D18937" s="9"/>
      <c r="G18937" s="9"/>
      <c r="J18937" s="11"/>
      <c r="U18937" s="9"/>
      <c r="X18937" s="9"/>
    </row>
    <row r="18938">
      <c r="D18938" s="9"/>
      <c r="G18938" s="9"/>
      <c r="J18938" s="11"/>
      <c r="U18938" s="9"/>
      <c r="X18938" s="9"/>
    </row>
    <row r="18939">
      <c r="D18939" s="9"/>
      <c r="G18939" s="9"/>
      <c r="J18939" s="11"/>
      <c r="U18939" s="9"/>
      <c r="X18939" s="9"/>
    </row>
    <row r="18940">
      <c r="D18940" s="9"/>
      <c r="G18940" s="9"/>
      <c r="J18940" s="11"/>
      <c r="U18940" s="9"/>
      <c r="X18940" s="9"/>
    </row>
    <row r="18941">
      <c r="D18941" s="9"/>
      <c r="G18941" s="9"/>
      <c r="J18941" s="11"/>
      <c r="U18941" s="9"/>
      <c r="X18941" s="9"/>
    </row>
    <row r="18942">
      <c r="D18942" s="9"/>
      <c r="G18942" s="9"/>
      <c r="J18942" s="11"/>
      <c r="U18942" s="9"/>
      <c r="X18942" s="9"/>
    </row>
    <row r="18943">
      <c r="D18943" s="9"/>
      <c r="G18943" s="9"/>
      <c r="J18943" s="11"/>
      <c r="U18943" s="9"/>
      <c r="X18943" s="9"/>
    </row>
    <row r="18944">
      <c r="D18944" s="9"/>
      <c r="G18944" s="9"/>
      <c r="J18944" s="11"/>
      <c r="U18944" s="9"/>
      <c r="X18944" s="9"/>
    </row>
    <row r="18945">
      <c r="D18945" s="9"/>
      <c r="G18945" s="9"/>
      <c r="J18945" s="11"/>
      <c r="U18945" s="9"/>
      <c r="X18945" s="9"/>
    </row>
    <row r="18946">
      <c r="D18946" s="9"/>
      <c r="G18946" s="9"/>
      <c r="J18946" s="11"/>
      <c r="U18946" s="9"/>
      <c r="X18946" s="9"/>
    </row>
    <row r="18947">
      <c r="D18947" s="9"/>
      <c r="G18947" s="9"/>
      <c r="J18947" s="11"/>
      <c r="U18947" s="9"/>
      <c r="X18947" s="9"/>
    </row>
    <row r="18948">
      <c r="D18948" s="9"/>
      <c r="G18948" s="9"/>
      <c r="J18948" s="11"/>
      <c r="U18948" s="9"/>
      <c r="X18948" s="9"/>
    </row>
    <row r="18949">
      <c r="D18949" s="9"/>
      <c r="G18949" s="9"/>
      <c r="J18949" s="11"/>
      <c r="U18949" s="9"/>
      <c r="X18949" s="9"/>
    </row>
    <row r="18950">
      <c r="D18950" s="9"/>
      <c r="G18950" s="9"/>
      <c r="J18950" s="11"/>
      <c r="U18950" s="9"/>
      <c r="X18950" s="9"/>
    </row>
    <row r="18951">
      <c r="D18951" s="9"/>
      <c r="G18951" s="9"/>
      <c r="J18951" s="11"/>
      <c r="U18951" s="9"/>
      <c r="X18951" s="9"/>
    </row>
    <row r="18952">
      <c r="D18952" s="9"/>
      <c r="G18952" s="9"/>
      <c r="J18952" s="11"/>
      <c r="U18952" s="9"/>
      <c r="X18952" s="9"/>
    </row>
    <row r="18953">
      <c r="D18953" s="9"/>
      <c r="G18953" s="9"/>
      <c r="J18953" s="11"/>
      <c r="U18953" s="9"/>
      <c r="X18953" s="9"/>
    </row>
    <row r="18954">
      <c r="D18954" s="9"/>
      <c r="G18954" s="9"/>
      <c r="J18954" s="11"/>
      <c r="U18954" s="9"/>
      <c r="X18954" s="9"/>
    </row>
    <row r="18955">
      <c r="D18955" s="9"/>
      <c r="G18955" s="9"/>
      <c r="J18955" s="11"/>
      <c r="U18955" s="9"/>
      <c r="X18955" s="9"/>
    </row>
    <row r="18956">
      <c r="D18956" s="9"/>
      <c r="G18956" s="9"/>
      <c r="J18956" s="11"/>
      <c r="U18956" s="9"/>
      <c r="X18956" s="9"/>
    </row>
    <row r="18957">
      <c r="D18957" s="9"/>
      <c r="G18957" s="9"/>
      <c r="J18957" s="11"/>
      <c r="U18957" s="9"/>
      <c r="X18957" s="9"/>
    </row>
    <row r="18958">
      <c r="D18958" s="9"/>
      <c r="G18958" s="9"/>
      <c r="J18958" s="11"/>
      <c r="U18958" s="9"/>
      <c r="X18958" s="9"/>
    </row>
    <row r="18959">
      <c r="D18959" s="9"/>
      <c r="G18959" s="9"/>
      <c r="J18959" s="11"/>
      <c r="U18959" s="9"/>
      <c r="X18959" s="9"/>
    </row>
    <row r="18960">
      <c r="D18960" s="9"/>
      <c r="G18960" s="9"/>
      <c r="J18960" s="11"/>
      <c r="U18960" s="9"/>
      <c r="X18960" s="9"/>
    </row>
    <row r="18961">
      <c r="D18961" s="9"/>
      <c r="G18961" s="9"/>
      <c r="J18961" s="11"/>
      <c r="U18961" s="9"/>
      <c r="X18961" s="9"/>
    </row>
    <row r="18962">
      <c r="D18962" s="9"/>
      <c r="G18962" s="9"/>
      <c r="J18962" s="11"/>
      <c r="U18962" s="9"/>
      <c r="X18962" s="9"/>
    </row>
    <row r="18963">
      <c r="D18963" s="9"/>
      <c r="G18963" s="9"/>
      <c r="J18963" s="11"/>
      <c r="U18963" s="9"/>
      <c r="X18963" s="9"/>
    </row>
    <row r="18964">
      <c r="D18964" s="9"/>
      <c r="G18964" s="9"/>
      <c r="J18964" s="11"/>
      <c r="U18964" s="9"/>
      <c r="X18964" s="9"/>
    </row>
    <row r="18965">
      <c r="D18965" s="9"/>
      <c r="G18965" s="9"/>
      <c r="J18965" s="11"/>
      <c r="U18965" s="9"/>
      <c r="X18965" s="9"/>
    </row>
    <row r="18966">
      <c r="D18966" s="9"/>
      <c r="G18966" s="9"/>
      <c r="J18966" s="11"/>
      <c r="U18966" s="9"/>
      <c r="X18966" s="9"/>
    </row>
    <row r="18967">
      <c r="D18967" s="9"/>
      <c r="G18967" s="9"/>
      <c r="J18967" s="11"/>
      <c r="U18967" s="9"/>
      <c r="X18967" s="9"/>
    </row>
    <row r="18968">
      <c r="D18968" s="9"/>
      <c r="G18968" s="9"/>
      <c r="J18968" s="11"/>
      <c r="U18968" s="9"/>
      <c r="X18968" s="9"/>
    </row>
    <row r="18969">
      <c r="D18969" s="9"/>
      <c r="G18969" s="9"/>
      <c r="J18969" s="11"/>
      <c r="U18969" s="9"/>
      <c r="X18969" s="9"/>
    </row>
    <row r="18970">
      <c r="D18970" s="9"/>
      <c r="G18970" s="9"/>
      <c r="J18970" s="11"/>
      <c r="U18970" s="9"/>
      <c r="X18970" s="9"/>
    </row>
    <row r="18971">
      <c r="D18971" s="9"/>
      <c r="G18971" s="9"/>
      <c r="J18971" s="11"/>
      <c r="U18971" s="9"/>
      <c r="X18971" s="9"/>
    </row>
    <row r="18972">
      <c r="D18972" s="9"/>
      <c r="G18972" s="9"/>
      <c r="J18972" s="11"/>
      <c r="U18972" s="9"/>
      <c r="X18972" s="9"/>
    </row>
    <row r="18973">
      <c r="D18973" s="9"/>
      <c r="G18973" s="9"/>
      <c r="J18973" s="11"/>
      <c r="U18973" s="9"/>
      <c r="X18973" s="9"/>
    </row>
    <row r="18974">
      <c r="D18974" s="9"/>
      <c r="G18974" s="9"/>
      <c r="J18974" s="11"/>
      <c r="U18974" s="9"/>
      <c r="X18974" s="9"/>
    </row>
    <row r="18975">
      <c r="D18975" s="9"/>
      <c r="G18975" s="9"/>
      <c r="J18975" s="11"/>
      <c r="U18975" s="9"/>
      <c r="X18975" s="9"/>
    </row>
    <row r="18976">
      <c r="D18976" s="9"/>
      <c r="G18976" s="9"/>
      <c r="J18976" s="11"/>
      <c r="U18976" s="9"/>
      <c r="X18976" s="9"/>
    </row>
    <row r="18977">
      <c r="D18977" s="9"/>
      <c r="G18977" s="9"/>
      <c r="J18977" s="11"/>
      <c r="U18977" s="9"/>
      <c r="X18977" s="9"/>
    </row>
    <row r="18978">
      <c r="D18978" s="9"/>
      <c r="G18978" s="9"/>
      <c r="J18978" s="11"/>
      <c r="U18978" s="9"/>
      <c r="X18978" s="9"/>
    </row>
    <row r="18979">
      <c r="D18979" s="9"/>
      <c r="G18979" s="9"/>
      <c r="J18979" s="11"/>
      <c r="U18979" s="9"/>
      <c r="X18979" s="9"/>
    </row>
    <row r="18980">
      <c r="D18980" s="9"/>
      <c r="G18980" s="9"/>
      <c r="J18980" s="11"/>
      <c r="U18980" s="9"/>
      <c r="X18980" s="9"/>
    </row>
    <row r="18981">
      <c r="D18981" s="9"/>
      <c r="G18981" s="9"/>
      <c r="J18981" s="11"/>
      <c r="U18981" s="9"/>
      <c r="X18981" s="9"/>
    </row>
    <row r="18982">
      <c r="D18982" s="9"/>
      <c r="G18982" s="9"/>
      <c r="J18982" s="11"/>
      <c r="U18982" s="9"/>
      <c r="X18982" s="9"/>
    </row>
    <row r="18983">
      <c r="D18983" s="9"/>
      <c r="G18983" s="9"/>
      <c r="J18983" s="11"/>
      <c r="U18983" s="9"/>
      <c r="X18983" s="9"/>
    </row>
    <row r="18984">
      <c r="D18984" s="9"/>
      <c r="G18984" s="9"/>
      <c r="J18984" s="11"/>
      <c r="U18984" s="9"/>
      <c r="X18984" s="9"/>
    </row>
    <row r="18985">
      <c r="D18985" s="9"/>
      <c r="G18985" s="9"/>
      <c r="J18985" s="11"/>
      <c r="U18985" s="9"/>
      <c r="X18985" s="9"/>
    </row>
    <row r="18986">
      <c r="D18986" s="9"/>
      <c r="G18986" s="9"/>
      <c r="J18986" s="11"/>
      <c r="U18986" s="9"/>
      <c r="X18986" s="9"/>
    </row>
    <row r="18987">
      <c r="D18987" s="9"/>
      <c r="G18987" s="9"/>
      <c r="J18987" s="11"/>
      <c r="U18987" s="9"/>
      <c r="X18987" s="9"/>
    </row>
    <row r="18988">
      <c r="D18988" s="9"/>
      <c r="G18988" s="9"/>
      <c r="J18988" s="11"/>
      <c r="U18988" s="9"/>
      <c r="X18988" s="9"/>
    </row>
    <row r="18989">
      <c r="D18989" s="9"/>
      <c r="G18989" s="9"/>
      <c r="J18989" s="11"/>
      <c r="U18989" s="9"/>
      <c r="X18989" s="9"/>
    </row>
    <row r="18990">
      <c r="D18990" s="9"/>
      <c r="G18990" s="9"/>
      <c r="J18990" s="11"/>
      <c r="U18990" s="9"/>
      <c r="X18990" s="9"/>
    </row>
    <row r="18991">
      <c r="D18991" s="9"/>
      <c r="G18991" s="9"/>
      <c r="J18991" s="11"/>
      <c r="U18991" s="9"/>
      <c r="X18991" s="9"/>
    </row>
    <row r="18992">
      <c r="D18992" s="9"/>
      <c r="G18992" s="9"/>
      <c r="J18992" s="11"/>
      <c r="U18992" s="9"/>
      <c r="X18992" s="9"/>
    </row>
    <row r="18993">
      <c r="D18993" s="9"/>
      <c r="G18993" s="9"/>
      <c r="J18993" s="11"/>
      <c r="U18993" s="9"/>
      <c r="X18993" s="9"/>
    </row>
    <row r="18994">
      <c r="D18994" s="9"/>
      <c r="G18994" s="9"/>
      <c r="J18994" s="11"/>
      <c r="U18994" s="9"/>
      <c r="X18994" s="9"/>
    </row>
    <row r="18995">
      <c r="D18995" s="9"/>
      <c r="G18995" s="9"/>
      <c r="J18995" s="11"/>
      <c r="U18995" s="9"/>
      <c r="X18995" s="9"/>
    </row>
    <row r="18996">
      <c r="D18996" s="9"/>
      <c r="G18996" s="9"/>
      <c r="J18996" s="11"/>
      <c r="U18996" s="9"/>
      <c r="X18996" s="9"/>
    </row>
    <row r="18997">
      <c r="D18997" s="9"/>
      <c r="G18997" s="9"/>
      <c r="J18997" s="11"/>
      <c r="U18997" s="9"/>
      <c r="X18997" s="9"/>
    </row>
    <row r="18998">
      <c r="D18998" s="9"/>
      <c r="G18998" s="9"/>
      <c r="J18998" s="11"/>
      <c r="U18998" s="9"/>
      <c r="X18998" s="9"/>
    </row>
    <row r="18999">
      <c r="D18999" s="9"/>
      <c r="G18999" s="9"/>
      <c r="J18999" s="11"/>
      <c r="U18999" s="9"/>
      <c r="X18999" s="9"/>
    </row>
    <row r="19000">
      <c r="D19000" s="9"/>
      <c r="G19000" s="9"/>
      <c r="J19000" s="11"/>
      <c r="U19000" s="9"/>
      <c r="X19000" s="9"/>
    </row>
    <row r="19001">
      <c r="D19001" s="9"/>
      <c r="G19001" s="9"/>
      <c r="J19001" s="11"/>
      <c r="U19001" s="9"/>
      <c r="X19001" s="9"/>
    </row>
    <row r="19002">
      <c r="D19002" s="9"/>
      <c r="G19002" s="9"/>
      <c r="J19002" s="11"/>
      <c r="U19002" s="9"/>
      <c r="X19002" s="9"/>
    </row>
    <row r="19003">
      <c r="D19003" s="9"/>
      <c r="G19003" s="9"/>
      <c r="J19003" s="11"/>
      <c r="U19003" s="9"/>
      <c r="X19003" s="9"/>
    </row>
    <row r="19004">
      <c r="D19004" s="9"/>
      <c r="G19004" s="9"/>
      <c r="J19004" s="11"/>
      <c r="U19004" s="9"/>
      <c r="X19004" s="9"/>
    </row>
    <row r="19005">
      <c r="D19005" s="9"/>
      <c r="G19005" s="9"/>
      <c r="J19005" s="11"/>
      <c r="U19005" s="9"/>
      <c r="X19005" s="9"/>
    </row>
    <row r="19006">
      <c r="D19006" s="9"/>
      <c r="G19006" s="9"/>
      <c r="J19006" s="11"/>
      <c r="U19006" s="9"/>
      <c r="X19006" s="9"/>
    </row>
    <row r="19007">
      <c r="D19007" s="9"/>
      <c r="G19007" s="9"/>
      <c r="J19007" s="11"/>
      <c r="U19007" s="9"/>
      <c r="X19007" s="9"/>
    </row>
    <row r="19008">
      <c r="D19008" s="9"/>
      <c r="G19008" s="9"/>
      <c r="J19008" s="11"/>
      <c r="U19008" s="9"/>
      <c r="X19008" s="9"/>
    </row>
    <row r="19009">
      <c r="D19009" s="9"/>
      <c r="G19009" s="9"/>
      <c r="J19009" s="11"/>
      <c r="U19009" s="9"/>
      <c r="X19009" s="9"/>
    </row>
    <row r="19010">
      <c r="D19010" s="9"/>
      <c r="G19010" s="9"/>
      <c r="J19010" s="11"/>
      <c r="U19010" s="9"/>
      <c r="X19010" s="9"/>
    </row>
    <row r="19011">
      <c r="D19011" s="9"/>
      <c r="G19011" s="9"/>
      <c r="J19011" s="11"/>
      <c r="U19011" s="9"/>
      <c r="X19011" s="9"/>
    </row>
    <row r="19012">
      <c r="D19012" s="9"/>
      <c r="G19012" s="9"/>
      <c r="J19012" s="11"/>
      <c r="U19012" s="9"/>
      <c r="X19012" s="9"/>
    </row>
    <row r="19013">
      <c r="D19013" s="9"/>
      <c r="G19013" s="9"/>
      <c r="J19013" s="11"/>
      <c r="U19013" s="9"/>
      <c r="X19013" s="9"/>
    </row>
    <row r="19014">
      <c r="D19014" s="9"/>
      <c r="G19014" s="9"/>
      <c r="J19014" s="11"/>
      <c r="U19014" s="9"/>
      <c r="X19014" s="9"/>
    </row>
    <row r="19015">
      <c r="D19015" s="9"/>
      <c r="G19015" s="9"/>
      <c r="J19015" s="11"/>
      <c r="U19015" s="9"/>
      <c r="X19015" s="9"/>
    </row>
    <row r="19016">
      <c r="D19016" s="9"/>
      <c r="G19016" s="9"/>
      <c r="J19016" s="11"/>
      <c r="U19016" s="9"/>
      <c r="X19016" s="9"/>
    </row>
    <row r="19017">
      <c r="D19017" s="9"/>
      <c r="G19017" s="9"/>
      <c r="J19017" s="11"/>
      <c r="U19017" s="9"/>
      <c r="X19017" s="9"/>
    </row>
    <row r="19018">
      <c r="D19018" s="9"/>
      <c r="G19018" s="9"/>
      <c r="J19018" s="11"/>
      <c r="U19018" s="9"/>
      <c r="X19018" s="9"/>
    </row>
    <row r="19019">
      <c r="D19019" s="9"/>
      <c r="G19019" s="9"/>
      <c r="J19019" s="11"/>
      <c r="U19019" s="9"/>
      <c r="X19019" s="9"/>
    </row>
    <row r="19020">
      <c r="D19020" s="9"/>
      <c r="G19020" s="9"/>
      <c r="J19020" s="11"/>
      <c r="U19020" s="9"/>
      <c r="X19020" s="9"/>
    </row>
    <row r="19021">
      <c r="D19021" s="9"/>
      <c r="G19021" s="9"/>
      <c r="J19021" s="11"/>
      <c r="U19021" s="9"/>
      <c r="X19021" s="9"/>
    </row>
    <row r="19022">
      <c r="D19022" s="9"/>
      <c r="G19022" s="9"/>
      <c r="J19022" s="11"/>
      <c r="U19022" s="9"/>
      <c r="X19022" s="9"/>
    </row>
    <row r="19023">
      <c r="D19023" s="9"/>
      <c r="G19023" s="9"/>
      <c r="J19023" s="11"/>
      <c r="U19023" s="9"/>
      <c r="X19023" s="9"/>
    </row>
    <row r="19024">
      <c r="D19024" s="9"/>
      <c r="G19024" s="9"/>
      <c r="J19024" s="11"/>
      <c r="U19024" s="9"/>
      <c r="X19024" s="9"/>
    </row>
    <row r="19025">
      <c r="D19025" s="9"/>
      <c r="G19025" s="9"/>
      <c r="J19025" s="11"/>
      <c r="U19025" s="9"/>
      <c r="X19025" s="9"/>
    </row>
    <row r="19026">
      <c r="D19026" s="9"/>
      <c r="G19026" s="9"/>
      <c r="J19026" s="11"/>
      <c r="U19026" s="9"/>
      <c r="X19026" s="9"/>
    </row>
    <row r="19027">
      <c r="D19027" s="9"/>
      <c r="G19027" s="9"/>
      <c r="J19027" s="11"/>
      <c r="U19027" s="9"/>
      <c r="X19027" s="9"/>
    </row>
    <row r="19028">
      <c r="D19028" s="9"/>
      <c r="G19028" s="9"/>
      <c r="J19028" s="11"/>
      <c r="U19028" s="9"/>
      <c r="X19028" s="9"/>
    </row>
    <row r="19029">
      <c r="D19029" s="9"/>
      <c r="G19029" s="9"/>
      <c r="J19029" s="11"/>
      <c r="U19029" s="9"/>
      <c r="X19029" s="9"/>
    </row>
    <row r="19030">
      <c r="D19030" s="9"/>
      <c r="G19030" s="9"/>
      <c r="J19030" s="11"/>
      <c r="U19030" s="9"/>
      <c r="X19030" s="9"/>
    </row>
    <row r="19031">
      <c r="D19031" s="9"/>
      <c r="G19031" s="9"/>
      <c r="J19031" s="11"/>
      <c r="U19031" s="9"/>
      <c r="X19031" s="9"/>
    </row>
    <row r="19032">
      <c r="D19032" s="9"/>
      <c r="G19032" s="9"/>
      <c r="J19032" s="11"/>
      <c r="U19032" s="9"/>
      <c r="X19032" s="9"/>
    </row>
    <row r="19033">
      <c r="D19033" s="9"/>
      <c r="G19033" s="9"/>
      <c r="J19033" s="11"/>
      <c r="U19033" s="9"/>
      <c r="X19033" s="9"/>
    </row>
    <row r="19034">
      <c r="D19034" s="9"/>
      <c r="G19034" s="9"/>
      <c r="J19034" s="11"/>
      <c r="U19034" s="9"/>
      <c r="X19034" s="9"/>
    </row>
    <row r="19035">
      <c r="D19035" s="9"/>
      <c r="G19035" s="9"/>
      <c r="J19035" s="11"/>
      <c r="U19035" s="9"/>
      <c r="X19035" s="9"/>
    </row>
    <row r="19036">
      <c r="D19036" s="9"/>
      <c r="G19036" s="9"/>
      <c r="J19036" s="11"/>
      <c r="U19036" s="9"/>
      <c r="X19036" s="9"/>
    </row>
    <row r="19037">
      <c r="D19037" s="9"/>
      <c r="G19037" s="9"/>
      <c r="J19037" s="11"/>
      <c r="U19037" s="9"/>
      <c r="X19037" s="9"/>
    </row>
    <row r="19038">
      <c r="D19038" s="9"/>
      <c r="G19038" s="9"/>
      <c r="J19038" s="11"/>
      <c r="U19038" s="9"/>
      <c r="X19038" s="9"/>
    </row>
    <row r="19039">
      <c r="D19039" s="9"/>
      <c r="G19039" s="9"/>
      <c r="J19039" s="11"/>
      <c r="U19039" s="9"/>
      <c r="X19039" s="9"/>
    </row>
    <row r="19040">
      <c r="D19040" s="9"/>
      <c r="G19040" s="9"/>
      <c r="J19040" s="11"/>
      <c r="U19040" s="9"/>
      <c r="X19040" s="9"/>
    </row>
    <row r="19041">
      <c r="D19041" s="9"/>
      <c r="G19041" s="9"/>
      <c r="J19041" s="11"/>
      <c r="U19041" s="9"/>
      <c r="X19041" s="9"/>
    </row>
    <row r="19042">
      <c r="D19042" s="9"/>
      <c r="G19042" s="9"/>
      <c r="J19042" s="11"/>
      <c r="U19042" s="9"/>
      <c r="X19042" s="9"/>
    </row>
    <row r="19043">
      <c r="D19043" s="9"/>
      <c r="G19043" s="9"/>
      <c r="J19043" s="11"/>
      <c r="U19043" s="9"/>
      <c r="X19043" s="9"/>
    </row>
    <row r="19044">
      <c r="D19044" s="9"/>
      <c r="G19044" s="9"/>
      <c r="J19044" s="11"/>
      <c r="U19044" s="9"/>
      <c r="X19044" s="9"/>
    </row>
    <row r="19045">
      <c r="D19045" s="9"/>
      <c r="G19045" s="9"/>
      <c r="J19045" s="11"/>
      <c r="U19045" s="9"/>
      <c r="X19045" s="9"/>
    </row>
    <row r="19046">
      <c r="D19046" s="9"/>
      <c r="G19046" s="9"/>
      <c r="J19046" s="11"/>
      <c r="U19046" s="9"/>
      <c r="X19046" s="9"/>
    </row>
    <row r="19047">
      <c r="D19047" s="9"/>
      <c r="G19047" s="9"/>
      <c r="J19047" s="11"/>
      <c r="U19047" s="9"/>
      <c r="X19047" s="9"/>
    </row>
    <row r="19048">
      <c r="D19048" s="9"/>
      <c r="G19048" s="9"/>
      <c r="J19048" s="11"/>
      <c r="U19048" s="9"/>
      <c r="X19048" s="9"/>
    </row>
    <row r="19049">
      <c r="D19049" s="9"/>
      <c r="G19049" s="9"/>
      <c r="J19049" s="11"/>
      <c r="U19049" s="9"/>
      <c r="X19049" s="9"/>
    </row>
    <row r="19050">
      <c r="D19050" s="9"/>
      <c r="G19050" s="9"/>
      <c r="J19050" s="11"/>
      <c r="U19050" s="9"/>
      <c r="X19050" s="9"/>
    </row>
    <row r="19051">
      <c r="D19051" s="9"/>
      <c r="G19051" s="9"/>
      <c r="J19051" s="11"/>
      <c r="U19051" s="9"/>
      <c r="X19051" s="9"/>
    </row>
    <row r="19052">
      <c r="D19052" s="9"/>
      <c r="G19052" s="9"/>
      <c r="J19052" s="11"/>
      <c r="U19052" s="9"/>
      <c r="X19052" s="9"/>
    </row>
    <row r="19053">
      <c r="D19053" s="9"/>
      <c r="G19053" s="9"/>
      <c r="J19053" s="11"/>
      <c r="U19053" s="9"/>
      <c r="X19053" s="9"/>
    </row>
    <row r="19054">
      <c r="D19054" s="9"/>
      <c r="G19054" s="9"/>
      <c r="J19054" s="11"/>
      <c r="U19054" s="9"/>
      <c r="X19054" s="9"/>
    </row>
    <row r="19055">
      <c r="D19055" s="9"/>
      <c r="G19055" s="9"/>
      <c r="J19055" s="11"/>
      <c r="U19055" s="9"/>
      <c r="X19055" s="9"/>
    </row>
    <row r="19056">
      <c r="D19056" s="9"/>
      <c r="G19056" s="9"/>
      <c r="J19056" s="11"/>
      <c r="U19056" s="9"/>
      <c r="X19056" s="9"/>
    </row>
    <row r="19057">
      <c r="D19057" s="9"/>
      <c r="G19057" s="9"/>
      <c r="J19057" s="11"/>
      <c r="U19057" s="9"/>
      <c r="X19057" s="9"/>
    </row>
    <row r="19058">
      <c r="D19058" s="9"/>
      <c r="G19058" s="9"/>
      <c r="J19058" s="11"/>
      <c r="U19058" s="9"/>
      <c r="X19058" s="9"/>
    </row>
    <row r="19059">
      <c r="D19059" s="9"/>
      <c r="G19059" s="9"/>
      <c r="J19059" s="11"/>
      <c r="U19059" s="9"/>
      <c r="X19059" s="9"/>
    </row>
    <row r="19060">
      <c r="D19060" s="9"/>
      <c r="G19060" s="9"/>
      <c r="J19060" s="11"/>
      <c r="U19060" s="9"/>
      <c r="X19060" s="9"/>
    </row>
    <row r="19061">
      <c r="D19061" s="9"/>
      <c r="G19061" s="9"/>
      <c r="J19061" s="11"/>
      <c r="U19061" s="9"/>
      <c r="X19061" s="9"/>
    </row>
    <row r="19062">
      <c r="D19062" s="9"/>
      <c r="G19062" s="9"/>
      <c r="J19062" s="11"/>
      <c r="U19062" s="9"/>
      <c r="X19062" s="9"/>
    </row>
    <row r="19063">
      <c r="D19063" s="9"/>
      <c r="G19063" s="9"/>
      <c r="J19063" s="11"/>
      <c r="U19063" s="9"/>
      <c r="X19063" s="9"/>
    </row>
    <row r="19064">
      <c r="D19064" s="9"/>
      <c r="G19064" s="9"/>
      <c r="J19064" s="11"/>
      <c r="U19064" s="9"/>
      <c r="X19064" s="9"/>
    </row>
    <row r="19065">
      <c r="D19065" s="9"/>
      <c r="G19065" s="9"/>
      <c r="J19065" s="11"/>
      <c r="U19065" s="9"/>
      <c r="X19065" s="9"/>
    </row>
    <row r="19066">
      <c r="D19066" s="9"/>
      <c r="G19066" s="9"/>
      <c r="J19066" s="11"/>
      <c r="U19066" s="9"/>
      <c r="X19066" s="9"/>
    </row>
    <row r="19067">
      <c r="D19067" s="9"/>
      <c r="G19067" s="9"/>
      <c r="J19067" s="11"/>
      <c r="U19067" s="9"/>
      <c r="X19067" s="9"/>
    </row>
    <row r="19068">
      <c r="D19068" s="9"/>
      <c r="G19068" s="9"/>
      <c r="J19068" s="11"/>
      <c r="U19068" s="9"/>
      <c r="X19068" s="9"/>
    </row>
    <row r="19069">
      <c r="D19069" s="9"/>
      <c r="G19069" s="9"/>
      <c r="J19069" s="11"/>
      <c r="U19069" s="9"/>
      <c r="X19069" s="9"/>
    </row>
    <row r="19070">
      <c r="D19070" s="9"/>
      <c r="G19070" s="9"/>
      <c r="J19070" s="11"/>
      <c r="U19070" s="9"/>
      <c r="X19070" s="9"/>
    </row>
    <row r="19071">
      <c r="D19071" s="9"/>
      <c r="G19071" s="9"/>
      <c r="J19071" s="11"/>
      <c r="U19071" s="9"/>
      <c r="X19071" s="9"/>
    </row>
    <row r="19072">
      <c r="D19072" s="9"/>
      <c r="G19072" s="9"/>
      <c r="J19072" s="11"/>
      <c r="U19072" s="9"/>
      <c r="X19072" s="9"/>
    </row>
    <row r="19073">
      <c r="D19073" s="9"/>
      <c r="G19073" s="9"/>
      <c r="J19073" s="11"/>
      <c r="U19073" s="9"/>
      <c r="X19073" s="9"/>
    </row>
    <row r="19074">
      <c r="D19074" s="9"/>
      <c r="G19074" s="9"/>
      <c r="J19074" s="11"/>
      <c r="U19074" s="9"/>
      <c r="X19074" s="9"/>
    </row>
    <row r="19075">
      <c r="D19075" s="9"/>
      <c r="G19075" s="9"/>
      <c r="J19075" s="11"/>
      <c r="U19075" s="9"/>
      <c r="X19075" s="9"/>
    </row>
    <row r="19076">
      <c r="D19076" s="9"/>
      <c r="G19076" s="9"/>
      <c r="J19076" s="11"/>
      <c r="U19076" s="9"/>
      <c r="X19076" s="9"/>
    </row>
    <row r="19077">
      <c r="D19077" s="9"/>
      <c r="G19077" s="9"/>
      <c r="J19077" s="11"/>
      <c r="U19077" s="9"/>
      <c r="X19077" s="9"/>
    </row>
    <row r="19078">
      <c r="D19078" s="9"/>
      <c r="G19078" s="9"/>
      <c r="J19078" s="11"/>
      <c r="U19078" s="9"/>
      <c r="X19078" s="9"/>
    </row>
    <row r="19079">
      <c r="D19079" s="9"/>
      <c r="G19079" s="9"/>
      <c r="J19079" s="11"/>
      <c r="U19079" s="9"/>
      <c r="X19079" s="9"/>
    </row>
    <row r="19080">
      <c r="D19080" s="9"/>
      <c r="G19080" s="9"/>
      <c r="J19080" s="11"/>
      <c r="U19080" s="9"/>
      <c r="X19080" s="9"/>
    </row>
    <row r="19081">
      <c r="D19081" s="9"/>
      <c r="G19081" s="9"/>
      <c r="J19081" s="11"/>
      <c r="U19081" s="9"/>
      <c r="X19081" s="9"/>
    </row>
    <row r="19082">
      <c r="D19082" s="9"/>
      <c r="G19082" s="9"/>
      <c r="J19082" s="11"/>
      <c r="U19082" s="9"/>
      <c r="X19082" s="9"/>
    </row>
    <row r="19083">
      <c r="D19083" s="9"/>
      <c r="G19083" s="9"/>
      <c r="J19083" s="11"/>
      <c r="U19083" s="9"/>
      <c r="X19083" s="9"/>
    </row>
    <row r="19084">
      <c r="D19084" s="9"/>
      <c r="G19084" s="9"/>
      <c r="J19084" s="11"/>
      <c r="U19084" s="9"/>
      <c r="X19084" s="9"/>
    </row>
    <row r="19085">
      <c r="D19085" s="9"/>
      <c r="G19085" s="9"/>
      <c r="J19085" s="11"/>
      <c r="U19085" s="9"/>
      <c r="X19085" s="9"/>
    </row>
    <row r="19086">
      <c r="D19086" s="9"/>
      <c r="G19086" s="9"/>
      <c r="J19086" s="11"/>
      <c r="U19086" s="9"/>
      <c r="X19086" s="9"/>
    </row>
    <row r="19087">
      <c r="D19087" s="9"/>
      <c r="G19087" s="9"/>
      <c r="J19087" s="11"/>
      <c r="U19087" s="9"/>
      <c r="X19087" s="9"/>
    </row>
    <row r="19088">
      <c r="D19088" s="9"/>
      <c r="G19088" s="9"/>
      <c r="J19088" s="11"/>
      <c r="U19088" s="9"/>
      <c r="X19088" s="9"/>
    </row>
    <row r="19089">
      <c r="D19089" s="9"/>
      <c r="G19089" s="9"/>
      <c r="J19089" s="11"/>
      <c r="U19089" s="9"/>
      <c r="X19089" s="9"/>
    </row>
    <row r="19090">
      <c r="D19090" s="9"/>
      <c r="G19090" s="9"/>
      <c r="J19090" s="11"/>
      <c r="U19090" s="9"/>
      <c r="X19090" s="9"/>
    </row>
    <row r="19091">
      <c r="D19091" s="9"/>
      <c r="G19091" s="9"/>
      <c r="J19091" s="11"/>
      <c r="U19091" s="9"/>
      <c r="X19091" s="9"/>
    </row>
    <row r="19092">
      <c r="D19092" s="9"/>
      <c r="G19092" s="9"/>
      <c r="J19092" s="11"/>
      <c r="U19092" s="9"/>
      <c r="X19092" s="9"/>
    </row>
    <row r="19093">
      <c r="D19093" s="9"/>
      <c r="G19093" s="9"/>
      <c r="J19093" s="11"/>
      <c r="U19093" s="9"/>
      <c r="X19093" s="9"/>
    </row>
    <row r="19094">
      <c r="D19094" s="9"/>
      <c r="G19094" s="9"/>
      <c r="J19094" s="11"/>
      <c r="U19094" s="9"/>
      <c r="X19094" s="9"/>
    </row>
    <row r="19095">
      <c r="D19095" s="9"/>
      <c r="G19095" s="9"/>
      <c r="J19095" s="11"/>
      <c r="U19095" s="9"/>
      <c r="X19095" s="9"/>
    </row>
    <row r="19096">
      <c r="D19096" s="9"/>
      <c r="G19096" s="9"/>
      <c r="J19096" s="11"/>
      <c r="U19096" s="9"/>
      <c r="X19096" s="9"/>
    </row>
    <row r="19097">
      <c r="D19097" s="9"/>
      <c r="G19097" s="9"/>
      <c r="J19097" s="11"/>
      <c r="U19097" s="9"/>
      <c r="X19097" s="9"/>
    </row>
    <row r="19098">
      <c r="D19098" s="9"/>
      <c r="G19098" s="9"/>
      <c r="J19098" s="11"/>
      <c r="U19098" s="9"/>
      <c r="X19098" s="9"/>
    </row>
    <row r="19099">
      <c r="D19099" s="9"/>
      <c r="G19099" s="9"/>
      <c r="J19099" s="11"/>
      <c r="U19099" s="9"/>
      <c r="X19099" s="9"/>
    </row>
    <row r="19100">
      <c r="D19100" s="9"/>
      <c r="G19100" s="9"/>
      <c r="J19100" s="11"/>
      <c r="U19100" s="9"/>
      <c r="X19100" s="9"/>
    </row>
    <row r="19101">
      <c r="D19101" s="9"/>
      <c r="G19101" s="9"/>
      <c r="J19101" s="11"/>
      <c r="U19101" s="9"/>
      <c r="X19101" s="9"/>
    </row>
    <row r="19102">
      <c r="D19102" s="9"/>
      <c r="G19102" s="9"/>
      <c r="J19102" s="11"/>
      <c r="U19102" s="9"/>
      <c r="X19102" s="9"/>
    </row>
    <row r="19103">
      <c r="D19103" s="9"/>
      <c r="G19103" s="9"/>
      <c r="J19103" s="11"/>
      <c r="U19103" s="9"/>
      <c r="X19103" s="9"/>
    </row>
    <row r="19104">
      <c r="D19104" s="9"/>
      <c r="G19104" s="9"/>
      <c r="J19104" s="11"/>
      <c r="U19104" s="9"/>
      <c r="X19104" s="9"/>
    </row>
    <row r="19105">
      <c r="D19105" s="9"/>
      <c r="G19105" s="9"/>
      <c r="J19105" s="11"/>
      <c r="U19105" s="9"/>
      <c r="X19105" s="9"/>
    </row>
    <row r="19106">
      <c r="D19106" s="9"/>
      <c r="G19106" s="9"/>
      <c r="J19106" s="11"/>
      <c r="U19106" s="9"/>
      <c r="X19106" s="9"/>
    </row>
    <row r="19107">
      <c r="D19107" s="9"/>
      <c r="G19107" s="9"/>
      <c r="J19107" s="11"/>
      <c r="U19107" s="9"/>
      <c r="X19107" s="9"/>
    </row>
    <row r="19108">
      <c r="D19108" s="9"/>
      <c r="G19108" s="9"/>
      <c r="J19108" s="11"/>
      <c r="U19108" s="9"/>
      <c r="X19108" s="9"/>
    </row>
    <row r="19109">
      <c r="D19109" s="9"/>
      <c r="G19109" s="9"/>
      <c r="J19109" s="11"/>
      <c r="U19109" s="9"/>
      <c r="X19109" s="9"/>
    </row>
    <row r="19110">
      <c r="D19110" s="9"/>
      <c r="G19110" s="9"/>
      <c r="J19110" s="11"/>
      <c r="U19110" s="9"/>
      <c r="X19110" s="9"/>
    </row>
    <row r="19111">
      <c r="D19111" s="9"/>
      <c r="G19111" s="9"/>
      <c r="J19111" s="11"/>
      <c r="U19111" s="9"/>
      <c r="X19111" s="9"/>
    </row>
    <row r="19112">
      <c r="D19112" s="9"/>
      <c r="G19112" s="9"/>
      <c r="J19112" s="11"/>
      <c r="U19112" s="9"/>
      <c r="X19112" s="9"/>
    </row>
    <row r="19113">
      <c r="D19113" s="9"/>
      <c r="G19113" s="9"/>
      <c r="J19113" s="11"/>
      <c r="U19113" s="9"/>
      <c r="X19113" s="9"/>
    </row>
    <row r="19114">
      <c r="D19114" s="9"/>
      <c r="G19114" s="9"/>
      <c r="J19114" s="11"/>
      <c r="U19114" s="9"/>
      <c r="X19114" s="9"/>
    </row>
    <row r="19115">
      <c r="D19115" s="9"/>
      <c r="G19115" s="9"/>
      <c r="J19115" s="11"/>
      <c r="U19115" s="9"/>
      <c r="X19115" s="9"/>
    </row>
    <row r="19116">
      <c r="D19116" s="9"/>
      <c r="G19116" s="9"/>
      <c r="J19116" s="11"/>
      <c r="U19116" s="9"/>
      <c r="X19116" s="9"/>
    </row>
    <row r="19117">
      <c r="D19117" s="9"/>
      <c r="G19117" s="9"/>
      <c r="J19117" s="11"/>
      <c r="U19117" s="9"/>
      <c r="X19117" s="9"/>
    </row>
    <row r="19118">
      <c r="D19118" s="9"/>
      <c r="G19118" s="9"/>
      <c r="J19118" s="11"/>
      <c r="U19118" s="9"/>
      <c r="X19118" s="9"/>
    </row>
    <row r="19119">
      <c r="D19119" s="9"/>
      <c r="G19119" s="9"/>
      <c r="J19119" s="11"/>
      <c r="U19119" s="9"/>
      <c r="X19119" s="9"/>
    </row>
    <row r="19120">
      <c r="D19120" s="9"/>
      <c r="G19120" s="9"/>
      <c r="J19120" s="11"/>
      <c r="U19120" s="9"/>
      <c r="X19120" s="9"/>
    </row>
    <row r="19121">
      <c r="D19121" s="9"/>
      <c r="G19121" s="9"/>
      <c r="J19121" s="11"/>
      <c r="U19121" s="9"/>
      <c r="X19121" s="9"/>
    </row>
    <row r="19122">
      <c r="D19122" s="9"/>
      <c r="G19122" s="9"/>
      <c r="J19122" s="11"/>
      <c r="U19122" s="9"/>
      <c r="X19122" s="9"/>
    </row>
    <row r="19123">
      <c r="D19123" s="9"/>
      <c r="G19123" s="9"/>
      <c r="J19123" s="11"/>
      <c r="U19123" s="9"/>
      <c r="X19123" s="9"/>
    </row>
    <row r="19124">
      <c r="D19124" s="9"/>
      <c r="G19124" s="9"/>
      <c r="J19124" s="11"/>
      <c r="U19124" s="9"/>
      <c r="X19124" s="9"/>
    </row>
    <row r="19125">
      <c r="D19125" s="9"/>
      <c r="G19125" s="9"/>
      <c r="J19125" s="11"/>
      <c r="U19125" s="9"/>
      <c r="X19125" s="9"/>
    </row>
    <row r="19126">
      <c r="D19126" s="9"/>
      <c r="G19126" s="9"/>
      <c r="J19126" s="11"/>
      <c r="U19126" s="9"/>
      <c r="X19126" s="9"/>
    </row>
    <row r="19127">
      <c r="D19127" s="9"/>
      <c r="G19127" s="9"/>
      <c r="J19127" s="11"/>
      <c r="U19127" s="9"/>
      <c r="X19127" s="9"/>
    </row>
    <row r="19128">
      <c r="D19128" s="9"/>
      <c r="G19128" s="9"/>
      <c r="J19128" s="11"/>
      <c r="U19128" s="9"/>
      <c r="X19128" s="9"/>
    </row>
    <row r="19129">
      <c r="D19129" s="9"/>
      <c r="G19129" s="9"/>
      <c r="J19129" s="11"/>
      <c r="U19129" s="9"/>
      <c r="X19129" s="9"/>
    </row>
    <row r="19130">
      <c r="D19130" s="9"/>
      <c r="G19130" s="9"/>
      <c r="J19130" s="11"/>
      <c r="U19130" s="9"/>
      <c r="X19130" s="9"/>
    </row>
    <row r="19131">
      <c r="D19131" s="9"/>
      <c r="G19131" s="9"/>
      <c r="J19131" s="11"/>
      <c r="U19131" s="9"/>
      <c r="X19131" s="9"/>
    </row>
    <row r="19132">
      <c r="D19132" s="9"/>
      <c r="G19132" s="9"/>
      <c r="J19132" s="11"/>
      <c r="U19132" s="9"/>
      <c r="X19132" s="9"/>
    </row>
    <row r="19133">
      <c r="D19133" s="9"/>
      <c r="G19133" s="9"/>
      <c r="J19133" s="11"/>
      <c r="U19133" s="9"/>
      <c r="X19133" s="9"/>
    </row>
    <row r="19134">
      <c r="D19134" s="9"/>
      <c r="G19134" s="9"/>
      <c r="J19134" s="11"/>
      <c r="U19134" s="9"/>
      <c r="X19134" s="9"/>
    </row>
    <row r="19135">
      <c r="D19135" s="9"/>
      <c r="G19135" s="9"/>
      <c r="J19135" s="11"/>
      <c r="U19135" s="9"/>
      <c r="X19135" s="9"/>
    </row>
    <row r="19136">
      <c r="D19136" s="9"/>
      <c r="G19136" s="9"/>
      <c r="J19136" s="11"/>
      <c r="U19136" s="9"/>
      <c r="X19136" s="9"/>
    </row>
    <row r="19137">
      <c r="D19137" s="9"/>
      <c r="G19137" s="9"/>
      <c r="J19137" s="11"/>
      <c r="U19137" s="9"/>
      <c r="X19137" s="9"/>
    </row>
    <row r="19138">
      <c r="D19138" s="9"/>
      <c r="G19138" s="9"/>
      <c r="J19138" s="11"/>
      <c r="U19138" s="9"/>
      <c r="X19138" s="9"/>
    </row>
    <row r="19139">
      <c r="D19139" s="9"/>
      <c r="G19139" s="9"/>
      <c r="J19139" s="11"/>
      <c r="U19139" s="9"/>
      <c r="X19139" s="9"/>
    </row>
    <row r="19140">
      <c r="D19140" s="9"/>
      <c r="G19140" s="9"/>
      <c r="J19140" s="11"/>
      <c r="U19140" s="9"/>
      <c r="X19140" s="9"/>
    </row>
    <row r="19141">
      <c r="D19141" s="9"/>
      <c r="G19141" s="9"/>
      <c r="J19141" s="11"/>
      <c r="U19141" s="9"/>
      <c r="X19141" s="9"/>
    </row>
    <row r="19142">
      <c r="D19142" s="9"/>
      <c r="G19142" s="9"/>
      <c r="J19142" s="11"/>
      <c r="U19142" s="9"/>
      <c r="X19142" s="9"/>
    </row>
    <row r="19143">
      <c r="D19143" s="9"/>
      <c r="G19143" s="9"/>
      <c r="J19143" s="11"/>
      <c r="U19143" s="9"/>
      <c r="X19143" s="9"/>
    </row>
    <row r="19144">
      <c r="D19144" s="9"/>
      <c r="G19144" s="9"/>
      <c r="J19144" s="11"/>
      <c r="U19144" s="9"/>
      <c r="X19144" s="9"/>
    </row>
    <row r="19145">
      <c r="D19145" s="9"/>
      <c r="G19145" s="9"/>
      <c r="J19145" s="11"/>
      <c r="U19145" s="9"/>
      <c r="X19145" s="9"/>
    </row>
    <row r="19146">
      <c r="D19146" s="9"/>
      <c r="G19146" s="9"/>
      <c r="J19146" s="11"/>
      <c r="U19146" s="9"/>
      <c r="X19146" s="9"/>
    </row>
    <row r="19147">
      <c r="D19147" s="9"/>
      <c r="G19147" s="9"/>
      <c r="J19147" s="11"/>
      <c r="U19147" s="9"/>
      <c r="X19147" s="9"/>
    </row>
    <row r="19148">
      <c r="D19148" s="9"/>
      <c r="G19148" s="9"/>
      <c r="J19148" s="11"/>
      <c r="U19148" s="9"/>
      <c r="X19148" s="9"/>
    </row>
    <row r="19149">
      <c r="D19149" s="9"/>
      <c r="G19149" s="9"/>
      <c r="J19149" s="11"/>
      <c r="U19149" s="9"/>
      <c r="X19149" s="9"/>
    </row>
    <row r="19150">
      <c r="D19150" s="9"/>
      <c r="G19150" s="9"/>
      <c r="J19150" s="11"/>
      <c r="U19150" s="9"/>
      <c r="X19150" s="9"/>
    </row>
    <row r="19151">
      <c r="D19151" s="9"/>
      <c r="G19151" s="9"/>
      <c r="J19151" s="11"/>
      <c r="U19151" s="9"/>
      <c r="X19151" s="9"/>
    </row>
    <row r="19152">
      <c r="D19152" s="9"/>
      <c r="G19152" s="9"/>
      <c r="J19152" s="11"/>
      <c r="U19152" s="9"/>
      <c r="X19152" s="9"/>
    </row>
    <row r="19153">
      <c r="D19153" s="9"/>
      <c r="G19153" s="9"/>
      <c r="J19153" s="11"/>
      <c r="U19153" s="9"/>
      <c r="X19153" s="9"/>
    </row>
    <row r="19154">
      <c r="D19154" s="9"/>
      <c r="G19154" s="9"/>
      <c r="J19154" s="11"/>
      <c r="U19154" s="9"/>
      <c r="X19154" s="9"/>
    </row>
    <row r="19155">
      <c r="D19155" s="9"/>
      <c r="G19155" s="9"/>
      <c r="J19155" s="11"/>
      <c r="U19155" s="9"/>
      <c r="X19155" s="9"/>
    </row>
    <row r="19156">
      <c r="D19156" s="9"/>
      <c r="G19156" s="9"/>
      <c r="J19156" s="11"/>
      <c r="U19156" s="9"/>
      <c r="X19156" s="9"/>
    </row>
    <row r="19157">
      <c r="D19157" s="9"/>
      <c r="G19157" s="9"/>
      <c r="J19157" s="11"/>
      <c r="U19157" s="9"/>
      <c r="X19157" s="9"/>
    </row>
    <row r="19158">
      <c r="D19158" s="9"/>
      <c r="G19158" s="9"/>
      <c r="J19158" s="11"/>
      <c r="U19158" s="9"/>
      <c r="X19158" s="9"/>
    </row>
    <row r="19159">
      <c r="D19159" s="9"/>
      <c r="G19159" s="9"/>
      <c r="J19159" s="11"/>
      <c r="U19159" s="9"/>
      <c r="X19159" s="9"/>
    </row>
    <row r="19160">
      <c r="D19160" s="9"/>
      <c r="G19160" s="9"/>
      <c r="J19160" s="11"/>
      <c r="U19160" s="9"/>
      <c r="X19160" s="9"/>
    </row>
    <row r="19161">
      <c r="D19161" s="9"/>
      <c r="G19161" s="9"/>
      <c r="J19161" s="11"/>
      <c r="U19161" s="9"/>
      <c r="X19161" s="9"/>
    </row>
    <row r="19162">
      <c r="D19162" s="9"/>
      <c r="G19162" s="9"/>
      <c r="J19162" s="11"/>
      <c r="U19162" s="9"/>
      <c r="X19162" s="9"/>
    </row>
    <row r="19163">
      <c r="D19163" s="9"/>
      <c r="G19163" s="9"/>
      <c r="J19163" s="11"/>
      <c r="U19163" s="9"/>
      <c r="X19163" s="9"/>
    </row>
    <row r="19164">
      <c r="D19164" s="9"/>
      <c r="G19164" s="9"/>
      <c r="J19164" s="11"/>
      <c r="U19164" s="9"/>
      <c r="X19164" s="9"/>
    </row>
    <row r="19165">
      <c r="D19165" s="9"/>
      <c r="G19165" s="9"/>
      <c r="J19165" s="11"/>
      <c r="U19165" s="9"/>
      <c r="X19165" s="9"/>
    </row>
    <row r="19166">
      <c r="D19166" s="9"/>
      <c r="G19166" s="9"/>
      <c r="J19166" s="11"/>
      <c r="U19166" s="9"/>
      <c r="X19166" s="9"/>
    </row>
    <row r="19167">
      <c r="D19167" s="9"/>
      <c r="G19167" s="9"/>
      <c r="J19167" s="11"/>
      <c r="U19167" s="9"/>
      <c r="X19167" s="9"/>
    </row>
    <row r="19168">
      <c r="D19168" s="9"/>
      <c r="G19168" s="9"/>
      <c r="J19168" s="11"/>
      <c r="U19168" s="9"/>
      <c r="X19168" s="9"/>
    </row>
    <row r="19169">
      <c r="D19169" s="9"/>
      <c r="G19169" s="9"/>
      <c r="J19169" s="11"/>
      <c r="U19169" s="9"/>
      <c r="X19169" s="9"/>
    </row>
    <row r="19170">
      <c r="D19170" s="9"/>
      <c r="G19170" s="9"/>
      <c r="J19170" s="11"/>
      <c r="U19170" s="9"/>
      <c r="X19170" s="9"/>
    </row>
    <row r="19171">
      <c r="D19171" s="9"/>
      <c r="G19171" s="9"/>
      <c r="J19171" s="11"/>
      <c r="U19171" s="9"/>
      <c r="X19171" s="9"/>
    </row>
    <row r="19172">
      <c r="D19172" s="9"/>
      <c r="G19172" s="9"/>
      <c r="J19172" s="11"/>
      <c r="U19172" s="9"/>
      <c r="X19172" s="9"/>
    </row>
    <row r="19173">
      <c r="D19173" s="9"/>
      <c r="G19173" s="9"/>
      <c r="J19173" s="11"/>
      <c r="U19173" s="9"/>
      <c r="X19173" s="9"/>
    </row>
    <row r="19174">
      <c r="D19174" s="9"/>
      <c r="G19174" s="9"/>
      <c r="J19174" s="11"/>
      <c r="U19174" s="9"/>
      <c r="X19174" s="9"/>
    </row>
    <row r="19175">
      <c r="D19175" s="9"/>
      <c r="G19175" s="9"/>
      <c r="J19175" s="11"/>
      <c r="U19175" s="9"/>
      <c r="X19175" s="9"/>
    </row>
    <row r="19176">
      <c r="D19176" s="9"/>
      <c r="G19176" s="9"/>
      <c r="J19176" s="11"/>
      <c r="U19176" s="9"/>
      <c r="X19176" s="9"/>
    </row>
    <row r="19177">
      <c r="D19177" s="9"/>
      <c r="G19177" s="9"/>
      <c r="J19177" s="11"/>
      <c r="U19177" s="9"/>
      <c r="X19177" s="9"/>
    </row>
    <row r="19178">
      <c r="D19178" s="9"/>
      <c r="G19178" s="9"/>
      <c r="J19178" s="11"/>
      <c r="U19178" s="9"/>
      <c r="X19178" s="9"/>
    </row>
    <row r="19179">
      <c r="D19179" s="9"/>
      <c r="G19179" s="9"/>
      <c r="J19179" s="11"/>
      <c r="U19179" s="9"/>
      <c r="X19179" s="9"/>
    </row>
    <row r="19180">
      <c r="D19180" s="9"/>
      <c r="G19180" s="9"/>
      <c r="J19180" s="11"/>
      <c r="U19180" s="9"/>
      <c r="X19180" s="9"/>
    </row>
    <row r="19181">
      <c r="D19181" s="9"/>
      <c r="G19181" s="9"/>
      <c r="J19181" s="11"/>
      <c r="U19181" s="9"/>
      <c r="X19181" s="9"/>
    </row>
    <row r="19182">
      <c r="D19182" s="9"/>
      <c r="G19182" s="9"/>
      <c r="J19182" s="11"/>
      <c r="U19182" s="9"/>
      <c r="X19182" s="9"/>
    </row>
    <row r="19183">
      <c r="D19183" s="9"/>
      <c r="G19183" s="9"/>
      <c r="J19183" s="11"/>
      <c r="U19183" s="9"/>
      <c r="X19183" s="9"/>
    </row>
    <row r="19184">
      <c r="D19184" s="9"/>
      <c r="G19184" s="9"/>
      <c r="J19184" s="11"/>
      <c r="U19184" s="9"/>
      <c r="X19184" s="9"/>
    </row>
    <row r="19185">
      <c r="D19185" s="9"/>
      <c r="G19185" s="9"/>
      <c r="J19185" s="11"/>
      <c r="U19185" s="9"/>
      <c r="X19185" s="9"/>
    </row>
    <row r="19186">
      <c r="D19186" s="9"/>
      <c r="G19186" s="9"/>
      <c r="J19186" s="11"/>
      <c r="U19186" s="9"/>
      <c r="X19186" s="9"/>
    </row>
    <row r="19187">
      <c r="D19187" s="9"/>
      <c r="G19187" s="9"/>
      <c r="J19187" s="11"/>
      <c r="U19187" s="9"/>
      <c r="X19187" s="9"/>
    </row>
    <row r="19188">
      <c r="D19188" s="9"/>
      <c r="G19188" s="9"/>
      <c r="J19188" s="11"/>
      <c r="U19188" s="9"/>
      <c r="X19188" s="9"/>
    </row>
    <row r="19189">
      <c r="D19189" s="9"/>
      <c r="G19189" s="9"/>
      <c r="J19189" s="11"/>
      <c r="U19189" s="9"/>
      <c r="X19189" s="9"/>
    </row>
    <row r="19190">
      <c r="D19190" s="9"/>
      <c r="G19190" s="9"/>
      <c r="J19190" s="11"/>
      <c r="U19190" s="9"/>
      <c r="X19190" s="9"/>
    </row>
    <row r="19191">
      <c r="D19191" s="9"/>
      <c r="G19191" s="9"/>
      <c r="J19191" s="11"/>
      <c r="U19191" s="9"/>
      <c r="X19191" s="9"/>
    </row>
    <row r="19192">
      <c r="D19192" s="9"/>
      <c r="G19192" s="9"/>
      <c r="J19192" s="11"/>
      <c r="U19192" s="9"/>
      <c r="X19192" s="9"/>
    </row>
    <row r="19193">
      <c r="D19193" s="9"/>
      <c r="G19193" s="9"/>
      <c r="J19193" s="11"/>
      <c r="U19193" s="9"/>
      <c r="X19193" s="9"/>
    </row>
    <row r="19194">
      <c r="D19194" s="9"/>
      <c r="G19194" s="9"/>
      <c r="J19194" s="11"/>
      <c r="U19194" s="9"/>
      <c r="X19194" s="9"/>
    </row>
    <row r="19195">
      <c r="D19195" s="9"/>
      <c r="G19195" s="9"/>
      <c r="J19195" s="11"/>
      <c r="U19195" s="9"/>
      <c r="X19195" s="9"/>
    </row>
    <row r="19196">
      <c r="D19196" s="9"/>
      <c r="G19196" s="9"/>
      <c r="J19196" s="11"/>
      <c r="U19196" s="9"/>
      <c r="X19196" s="9"/>
    </row>
    <row r="19197">
      <c r="D19197" s="9"/>
      <c r="G19197" s="9"/>
      <c r="J19197" s="11"/>
      <c r="U19197" s="9"/>
      <c r="X19197" s="9"/>
    </row>
    <row r="19198">
      <c r="D19198" s="9"/>
      <c r="G19198" s="9"/>
      <c r="J19198" s="11"/>
      <c r="U19198" s="9"/>
      <c r="X19198" s="9"/>
    </row>
    <row r="19199">
      <c r="D19199" s="9"/>
      <c r="G19199" s="9"/>
      <c r="J19199" s="11"/>
      <c r="U19199" s="9"/>
      <c r="X19199" s="9"/>
    </row>
    <row r="19200">
      <c r="D19200" s="9"/>
      <c r="G19200" s="9"/>
      <c r="J19200" s="11"/>
      <c r="U19200" s="9"/>
      <c r="X19200" s="9"/>
    </row>
    <row r="19201">
      <c r="D19201" s="9"/>
      <c r="G19201" s="9"/>
      <c r="J19201" s="11"/>
      <c r="U19201" s="9"/>
      <c r="X19201" s="9"/>
    </row>
    <row r="19202">
      <c r="D19202" s="9"/>
      <c r="G19202" s="9"/>
      <c r="J19202" s="11"/>
      <c r="U19202" s="9"/>
      <c r="X19202" s="9"/>
    </row>
    <row r="19203">
      <c r="D19203" s="9"/>
      <c r="G19203" s="9"/>
      <c r="J19203" s="11"/>
      <c r="U19203" s="9"/>
      <c r="X19203" s="9"/>
    </row>
    <row r="19204">
      <c r="D19204" s="9"/>
      <c r="G19204" s="9"/>
      <c r="J19204" s="11"/>
      <c r="U19204" s="9"/>
      <c r="X19204" s="9"/>
    </row>
    <row r="19205">
      <c r="D19205" s="9"/>
      <c r="G19205" s="9"/>
      <c r="J19205" s="11"/>
      <c r="U19205" s="9"/>
      <c r="X19205" s="9"/>
    </row>
    <row r="19206">
      <c r="D19206" s="9"/>
      <c r="G19206" s="9"/>
      <c r="J19206" s="11"/>
      <c r="U19206" s="9"/>
      <c r="X19206" s="9"/>
    </row>
    <row r="19207">
      <c r="D19207" s="9"/>
      <c r="G19207" s="9"/>
      <c r="J19207" s="11"/>
      <c r="U19207" s="9"/>
      <c r="X19207" s="9"/>
    </row>
    <row r="19208">
      <c r="D19208" s="9"/>
      <c r="G19208" s="9"/>
      <c r="J19208" s="11"/>
      <c r="U19208" s="9"/>
      <c r="X19208" s="9"/>
    </row>
    <row r="19209">
      <c r="D19209" s="9"/>
      <c r="G19209" s="9"/>
      <c r="J19209" s="11"/>
      <c r="U19209" s="9"/>
      <c r="X19209" s="9"/>
    </row>
    <row r="19210">
      <c r="D19210" s="9"/>
      <c r="G19210" s="9"/>
      <c r="J19210" s="11"/>
      <c r="U19210" s="9"/>
      <c r="X19210" s="9"/>
    </row>
    <row r="19211">
      <c r="D19211" s="9"/>
      <c r="G19211" s="9"/>
      <c r="J19211" s="11"/>
      <c r="U19211" s="9"/>
      <c r="X19211" s="9"/>
    </row>
    <row r="19212">
      <c r="D19212" s="9"/>
      <c r="G19212" s="9"/>
      <c r="J19212" s="11"/>
      <c r="U19212" s="9"/>
      <c r="X19212" s="9"/>
    </row>
    <row r="19213">
      <c r="D19213" s="9"/>
      <c r="G19213" s="9"/>
      <c r="J19213" s="11"/>
      <c r="U19213" s="9"/>
      <c r="X19213" s="9"/>
    </row>
    <row r="19214">
      <c r="D19214" s="9"/>
      <c r="G19214" s="9"/>
      <c r="J19214" s="11"/>
      <c r="U19214" s="9"/>
      <c r="X19214" s="9"/>
    </row>
    <row r="19215">
      <c r="D19215" s="9"/>
      <c r="G19215" s="9"/>
      <c r="J19215" s="11"/>
      <c r="U19215" s="9"/>
      <c r="X19215" s="9"/>
    </row>
    <row r="19216">
      <c r="D19216" s="9"/>
      <c r="G19216" s="9"/>
      <c r="J19216" s="11"/>
      <c r="U19216" s="9"/>
      <c r="X19216" s="9"/>
    </row>
    <row r="19217">
      <c r="D19217" s="9"/>
      <c r="G19217" s="9"/>
      <c r="J19217" s="11"/>
      <c r="U19217" s="9"/>
      <c r="X19217" s="9"/>
    </row>
    <row r="19218">
      <c r="D19218" s="9"/>
      <c r="G19218" s="9"/>
      <c r="J19218" s="11"/>
      <c r="U19218" s="9"/>
      <c r="X19218" s="9"/>
    </row>
    <row r="19219">
      <c r="D19219" s="9"/>
      <c r="G19219" s="9"/>
      <c r="J19219" s="11"/>
      <c r="U19219" s="9"/>
      <c r="X19219" s="9"/>
    </row>
    <row r="19220">
      <c r="D19220" s="9"/>
      <c r="G19220" s="9"/>
      <c r="J19220" s="11"/>
      <c r="U19220" s="9"/>
      <c r="X19220" s="9"/>
    </row>
    <row r="19221">
      <c r="D19221" s="9"/>
      <c r="G19221" s="9"/>
      <c r="J19221" s="11"/>
      <c r="U19221" s="9"/>
      <c r="X19221" s="9"/>
    </row>
    <row r="19222">
      <c r="D19222" s="9"/>
      <c r="G19222" s="9"/>
      <c r="J19222" s="11"/>
      <c r="U19222" s="9"/>
      <c r="X19222" s="9"/>
    </row>
    <row r="19223">
      <c r="D19223" s="9"/>
      <c r="G19223" s="9"/>
      <c r="J19223" s="11"/>
      <c r="U19223" s="9"/>
      <c r="X19223" s="9"/>
    </row>
    <row r="19224">
      <c r="D19224" s="9"/>
      <c r="G19224" s="9"/>
      <c r="J19224" s="11"/>
      <c r="U19224" s="9"/>
      <c r="X19224" s="9"/>
    </row>
    <row r="19225">
      <c r="D19225" s="9"/>
      <c r="G19225" s="9"/>
      <c r="J19225" s="11"/>
      <c r="U19225" s="9"/>
      <c r="X19225" s="9"/>
    </row>
    <row r="19226">
      <c r="D19226" s="9"/>
      <c r="G19226" s="9"/>
      <c r="J19226" s="11"/>
      <c r="U19226" s="9"/>
      <c r="X19226" s="9"/>
    </row>
    <row r="19227">
      <c r="D19227" s="9"/>
      <c r="G19227" s="9"/>
      <c r="J19227" s="11"/>
      <c r="U19227" s="9"/>
      <c r="X19227" s="9"/>
    </row>
    <row r="19228">
      <c r="D19228" s="9"/>
      <c r="G19228" s="9"/>
      <c r="J19228" s="11"/>
      <c r="U19228" s="9"/>
      <c r="X19228" s="9"/>
    </row>
    <row r="19229">
      <c r="D19229" s="9"/>
      <c r="G19229" s="9"/>
      <c r="J19229" s="11"/>
      <c r="U19229" s="9"/>
      <c r="X19229" s="9"/>
    </row>
    <row r="19230">
      <c r="D19230" s="9"/>
      <c r="G19230" s="9"/>
      <c r="J19230" s="11"/>
      <c r="U19230" s="9"/>
      <c r="X19230" s="9"/>
    </row>
    <row r="19231">
      <c r="D19231" s="9"/>
      <c r="G19231" s="9"/>
      <c r="J19231" s="11"/>
      <c r="U19231" s="9"/>
      <c r="X19231" s="9"/>
    </row>
    <row r="19232">
      <c r="D19232" s="9"/>
      <c r="G19232" s="9"/>
      <c r="J19232" s="11"/>
      <c r="U19232" s="9"/>
      <c r="X19232" s="9"/>
    </row>
    <row r="19233">
      <c r="D19233" s="9"/>
      <c r="G19233" s="9"/>
      <c r="J19233" s="11"/>
      <c r="U19233" s="9"/>
      <c r="X19233" s="9"/>
    </row>
    <row r="19234">
      <c r="D19234" s="9"/>
      <c r="G19234" s="9"/>
      <c r="J19234" s="11"/>
      <c r="U19234" s="9"/>
      <c r="X19234" s="9"/>
    </row>
    <row r="19235">
      <c r="D19235" s="9"/>
      <c r="G19235" s="9"/>
      <c r="J19235" s="11"/>
      <c r="U19235" s="9"/>
      <c r="X19235" s="9"/>
    </row>
    <row r="19236">
      <c r="D19236" s="9"/>
      <c r="G19236" s="9"/>
      <c r="J19236" s="11"/>
      <c r="U19236" s="9"/>
      <c r="X19236" s="9"/>
    </row>
    <row r="19237">
      <c r="D19237" s="9"/>
      <c r="G19237" s="9"/>
      <c r="J19237" s="11"/>
      <c r="U19237" s="9"/>
      <c r="X19237" s="9"/>
    </row>
    <row r="19238">
      <c r="D19238" s="9"/>
      <c r="G19238" s="9"/>
      <c r="J19238" s="11"/>
      <c r="U19238" s="9"/>
      <c r="X19238" s="9"/>
    </row>
    <row r="19239">
      <c r="D19239" s="9"/>
      <c r="G19239" s="9"/>
      <c r="J19239" s="11"/>
      <c r="U19239" s="9"/>
      <c r="X19239" s="9"/>
    </row>
    <row r="19240">
      <c r="D19240" s="9"/>
      <c r="G19240" s="9"/>
      <c r="J19240" s="11"/>
      <c r="U19240" s="9"/>
      <c r="X19240" s="9"/>
    </row>
    <row r="19241">
      <c r="D19241" s="9"/>
      <c r="G19241" s="9"/>
      <c r="J19241" s="11"/>
      <c r="U19241" s="9"/>
      <c r="X19241" s="9"/>
    </row>
    <row r="19242">
      <c r="D19242" s="9"/>
      <c r="G19242" s="9"/>
      <c r="J19242" s="11"/>
      <c r="U19242" s="9"/>
      <c r="X19242" s="9"/>
    </row>
    <row r="19243">
      <c r="D19243" s="9"/>
      <c r="G19243" s="9"/>
      <c r="J19243" s="11"/>
      <c r="U19243" s="9"/>
      <c r="X19243" s="9"/>
    </row>
    <row r="19244">
      <c r="D19244" s="9"/>
      <c r="G19244" s="9"/>
      <c r="J19244" s="11"/>
      <c r="U19244" s="9"/>
      <c r="X19244" s="9"/>
    </row>
    <row r="19245">
      <c r="D19245" s="9"/>
      <c r="G19245" s="9"/>
      <c r="J19245" s="11"/>
      <c r="U19245" s="9"/>
      <c r="X19245" s="9"/>
    </row>
    <row r="19246">
      <c r="D19246" s="9"/>
      <c r="G19246" s="9"/>
      <c r="J19246" s="11"/>
      <c r="U19246" s="9"/>
      <c r="X19246" s="9"/>
    </row>
    <row r="19247">
      <c r="D19247" s="9"/>
      <c r="G19247" s="9"/>
      <c r="J19247" s="11"/>
      <c r="U19247" s="9"/>
      <c r="X19247" s="9"/>
    </row>
    <row r="19248">
      <c r="D19248" s="9"/>
      <c r="G19248" s="9"/>
      <c r="J19248" s="11"/>
      <c r="U19248" s="9"/>
      <c r="X19248" s="9"/>
    </row>
    <row r="19249">
      <c r="D19249" s="9"/>
      <c r="G19249" s="9"/>
      <c r="J19249" s="11"/>
      <c r="U19249" s="9"/>
      <c r="X19249" s="9"/>
    </row>
    <row r="19250">
      <c r="D19250" s="9"/>
      <c r="G19250" s="9"/>
      <c r="J19250" s="11"/>
      <c r="U19250" s="9"/>
      <c r="X19250" s="9"/>
    </row>
    <row r="19251">
      <c r="D19251" s="9"/>
      <c r="G19251" s="9"/>
      <c r="J19251" s="11"/>
      <c r="U19251" s="9"/>
      <c r="X19251" s="9"/>
    </row>
    <row r="19252">
      <c r="D19252" s="9"/>
      <c r="G19252" s="9"/>
      <c r="J19252" s="11"/>
      <c r="U19252" s="9"/>
      <c r="X19252" s="9"/>
    </row>
    <row r="19253">
      <c r="D19253" s="9"/>
      <c r="G19253" s="9"/>
      <c r="J19253" s="11"/>
      <c r="U19253" s="9"/>
      <c r="X19253" s="9"/>
    </row>
    <row r="19254">
      <c r="D19254" s="9"/>
      <c r="G19254" s="9"/>
      <c r="J19254" s="11"/>
      <c r="U19254" s="9"/>
      <c r="X19254" s="9"/>
    </row>
    <row r="19255">
      <c r="D19255" s="9"/>
      <c r="G19255" s="9"/>
      <c r="J19255" s="11"/>
      <c r="U19255" s="9"/>
      <c r="X19255" s="9"/>
    </row>
    <row r="19256">
      <c r="D19256" s="9"/>
      <c r="G19256" s="9"/>
      <c r="J19256" s="11"/>
      <c r="U19256" s="9"/>
      <c r="X19256" s="9"/>
    </row>
    <row r="19257">
      <c r="D19257" s="9"/>
      <c r="G19257" s="9"/>
      <c r="J19257" s="11"/>
      <c r="U19257" s="9"/>
      <c r="X19257" s="9"/>
    </row>
    <row r="19258">
      <c r="D19258" s="9"/>
      <c r="G19258" s="9"/>
      <c r="J19258" s="11"/>
      <c r="U19258" s="9"/>
      <c r="X19258" s="9"/>
    </row>
    <row r="19259">
      <c r="D19259" s="9"/>
      <c r="G19259" s="9"/>
      <c r="J19259" s="11"/>
      <c r="U19259" s="9"/>
      <c r="X19259" s="9"/>
    </row>
    <row r="19260">
      <c r="D19260" s="9"/>
      <c r="G19260" s="9"/>
      <c r="J19260" s="11"/>
      <c r="U19260" s="9"/>
      <c r="X19260" s="9"/>
    </row>
    <row r="19261">
      <c r="D19261" s="9"/>
      <c r="G19261" s="9"/>
      <c r="J19261" s="11"/>
      <c r="U19261" s="9"/>
      <c r="X19261" s="9"/>
    </row>
    <row r="19262">
      <c r="D19262" s="9"/>
      <c r="G19262" s="9"/>
      <c r="J19262" s="11"/>
      <c r="U19262" s="9"/>
      <c r="X19262" s="9"/>
    </row>
    <row r="19263">
      <c r="D19263" s="9"/>
      <c r="G19263" s="9"/>
      <c r="J19263" s="11"/>
      <c r="U19263" s="9"/>
      <c r="X19263" s="9"/>
    </row>
    <row r="19264">
      <c r="D19264" s="9"/>
      <c r="G19264" s="9"/>
      <c r="J19264" s="11"/>
      <c r="U19264" s="9"/>
      <c r="X19264" s="9"/>
    </row>
    <row r="19265">
      <c r="D19265" s="9"/>
      <c r="G19265" s="9"/>
      <c r="J19265" s="11"/>
      <c r="U19265" s="9"/>
      <c r="X19265" s="9"/>
    </row>
    <row r="19266">
      <c r="D19266" s="9"/>
      <c r="G19266" s="9"/>
      <c r="J19266" s="11"/>
      <c r="U19266" s="9"/>
      <c r="X19266" s="9"/>
    </row>
    <row r="19267">
      <c r="D19267" s="9"/>
      <c r="G19267" s="9"/>
      <c r="J19267" s="11"/>
      <c r="U19267" s="9"/>
      <c r="X19267" s="9"/>
    </row>
    <row r="19268">
      <c r="D19268" s="9"/>
      <c r="G19268" s="9"/>
      <c r="J19268" s="11"/>
      <c r="U19268" s="9"/>
      <c r="X19268" s="9"/>
    </row>
    <row r="19269">
      <c r="D19269" s="9"/>
      <c r="G19269" s="9"/>
      <c r="J19269" s="11"/>
      <c r="U19269" s="9"/>
      <c r="X19269" s="9"/>
    </row>
    <row r="19270">
      <c r="D19270" s="9"/>
      <c r="G19270" s="9"/>
      <c r="J19270" s="11"/>
      <c r="U19270" s="9"/>
      <c r="X19270" s="9"/>
    </row>
    <row r="19271">
      <c r="D19271" s="9"/>
      <c r="G19271" s="9"/>
      <c r="J19271" s="11"/>
      <c r="U19271" s="9"/>
      <c r="X19271" s="9"/>
    </row>
    <row r="19272">
      <c r="D19272" s="9"/>
      <c r="G19272" s="9"/>
      <c r="J19272" s="11"/>
      <c r="U19272" s="9"/>
      <c r="X19272" s="9"/>
    </row>
    <row r="19273">
      <c r="D19273" s="9"/>
      <c r="G19273" s="9"/>
      <c r="J19273" s="11"/>
      <c r="U19273" s="9"/>
      <c r="X19273" s="9"/>
    </row>
    <row r="19274">
      <c r="D19274" s="9"/>
      <c r="G19274" s="9"/>
      <c r="J19274" s="11"/>
      <c r="U19274" s="9"/>
      <c r="X19274" s="9"/>
    </row>
    <row r="19275">
      <c r="D19275" s="9"/>
      <c r="G19275" s="9"/>
      <c r="J19275" s="11"/>
      <c r="U19275" s="9"/>
      <c r="X19275" s="9"/>
    </row>
    <row r="19276">
      <c r="D19276" s="9"/>
      <c r="G19276" s="9"/>
      <c r="J19276" s="11"/>
      <c r="U19276" s="9"/>
      <c r="X19276" s="9"/>
    </row>
    <row r="19277">
      <c r="D19277" s="9"/>
      <c r="G19277" s="9"/>
      <c r="J19277" s="11"/>
      <c r="U19277" s="9"/>
      <c r="X19277" s="9"/>
    </row>
    <row r="19278">
      <c r="D19278" s="9"/>
      <c r="G19278" s="9"/>
      <c r="J19278" s="11"/>
      <c r="U19278" s="9"/>
      <c r="X19278" s="9"/>
    </row>
    <row r="19279">
      <c r="D19279" s="9"/>
      <c r="G19279" s="9"/>
      <c r="J19279" s="11"/>
      <c r="U19279" s="9"/>
      <c r="X19279" s="9"/>
    </row>
    <row r="19280">
      <c r="D19280" s="9"/>
      <c r="G19280" s="9"/>
      <c r="J19280" s="11"/>
      <c r="U19280" s="9"/>
      <c r="X19280" s="9"/>
    </row>
    <row r="19281">
      <c r="D19281" s="9"/>
      <c r="G19281" s="9"/>
      <c r="J19281" s="11"/>
      <c r="U19281" s="9"/>
      <c r="X19281" s="9"/>
    </row>
    <row r="19282">
      <c r="D19282" s="9"/>
      <c r="G19282" s="9"/>
      <c r="J19282" s="11"/>
      <c r="U19282" s="9"/>
      <c r="X19282" s="9"/>
    </row>
    <row r="19283">
      <c r="D19283" s="9"/>
      <c r="G19283" s="9"/>
      <c r="J19283" s="11"/>
      <c r="U19283" s="9"/>
      <c r="X19283" s="9"/>
    </row>
    <row r="19284">
      <c r="D19284" s="9"/>
      <c r="G19284" s="9"/>
      <c r="J19284" s="11"/>
      <c r="U19284" s="9"/>
      <c r="X19284" s="9"/>
    </row>
    <row r="19285">
      <c r="D19285" s="9"/>
      <c r="G19285" s="9"/>
      <c r="J19285" s="11"/>
      <c r="U19285" s="9"/>
      <c r="X19285" s="9"/>
    </row>
    <row r="19286">
      <c r="D19286" s="9"/>
      <c r="G19286" s="9"/>
      <c r="J19286" s="11"/>
      <c r="U19286" s="9"/>
      <c r="X19286" s="9"/>
    </row>
    <row r="19287">
      <c r="D19287" s="9"/>
      <c r="G19287" s="9"/>
      <c r="J19287" s="11"/>
      <c r="U19287" s="9"/>
      <c r="X19287" s="9"/>
    </row>
    <row r="19288">
      <c r="D19288" s="9"/>
      <c r="G19288" s="9"/>
      <c r="J19288" s="11"/>
      <c r="U19288" s="9"/>
      <c r="X19288" s="9"/>
    </row>
    <row r="19289">
      <c r="D19289" s="9"/>
      <c r="G19289" s="9"/>
      <c r="J19289" s="11"/>
      <c r="U19289" s="9"/>
      <c r="X19289" s="9"/>
    </row>
    <row r="19290">
      <c r="D19290" s="9"/>
      <c r="G19290" s="9"/>
      <c r="J19290" s="11"/>
      <c r="U19290" s="9"/>
      <c r="X19290" s="9"/>
    </row>
    <row r="19291">
      <c r="D19291" s="9"/>
      <c r="G19291" s="9"/>
      <c r="J19291" s="11"/>
      <c r="U19291" s="9"/>
      <c r="X19291" s="9"/>
    </row>
    <row r="19292">
      <c r="D19292" s="9"/>
      <c r="G19292" s="9"/>
      <c r="J19292" s="11"/>
      <c r="U19292" s="9"/>
      <c r="X19292" s="9"/>
    </row>
    <row r="19293">
      <c r="D19293" s="9"/>
      <c r="G19293" s="9"/>
      <c r="J19293" s="11"/>
      <c r="U19293" s="9"/>
      <c r="X19293" s="9"/>
    </row>
    <row r="19294">
      <c r="D19294" s="9"/>
      <c r="G19294" s="9"/>
      <c r="J19294" s="11"/>
      <c r="U19294" s="9"/>
      <c r="X19294" s="9"/>
    </row>
    <row r="19295">
      <c r="D19295" s="9"/>
      <c r="G19295" s="9"/>
      <c r="J19295" s="11"/>
      <c r="U19295" s="9"/>
      <c r="X19295" s="9"/>
    </row>
    <row r="19296">
      <c r="D19296" s="9"/>
      <c r="G19296" s="9"/>
      <c r="J19296" s="11"/>
      <c r="U19296" s="9"/>
      <c r="X19296" s="9"/>
    </row>
    <row r="19297">
      <c r="D19297" s="9"/>
      <c r="G19297" s="9"/>
      <c r="J19297" s="11"/>
      <c r="U19297" s="9"/>
      <c r="X19297" s="9"/>
    </row>
    <row r="19298">
      <c r="D19298" s="9"/>
      <c r="G19298" s="9"/>
      <c r="J19298" s="11"/>
      <c r="U19298" s="9"/>
      <c r="X19298" s="9"/>
    </row>
    <row r="19299">
      <c r="D19299" s="9"/>
      <c r="G19299" s="9"/>
      <c r="J19299" s="11"/>
      <c r="U19299" s="9"/>
      <c r="X19299" s="9"/>
    </row>
    <row r="19300">
      <c r="D19300" s="9"/>
      <c r="G19300" s="9"/>
      <c r="J19300" s="11"/>
      <c r="U19300" s="9"/>
      <c r="X19300" s="9"/>
    </row>
    <row r="19301">
      <c r="D19301" s="9"/>
      <c r="G19301" s="9"/>
      <c r="J19301" s="11"/>
      <c r="U19301" s="9"/>
      <c r="X19301" s="9"/>
    </row>
    <row r="19302">
      <c r="D19302" s="9"/>
      <c r="G19302" s="9"/>
      <c r="J19302" s="11"/>
      <c r="U19302" s="9"/>
      <c r="X19302" s="9"/>
    </row>
    <row r="19303">
      <c r="D19303" s="9"/>
      <c r="G19303" s="9"/>
      <c r="J19303" s="11"/>
      <c r="U19303" s="9"/>
      <c r="X19303" s="9"/>
    </row>
    <row r="19304">
      <c r="D19304" s="9"/>
      <c r="G19304" s="9"/>
      <c r="J19304" s="11"/>
      <c r="U19304" s="9"/>
      <c r="X19304" s="9"/>
    </row>
    <row r="19305">
      <c r="D19305" s="9"/>
      <c r="G19305" s="9"/>
      <c r="J19305" s="11"/>
      <c r="U19305" s="9"/>
      <c r="X19305" s="9"/>
    </row>
    <row r="19306">
      <c r="D19306" s="9"/>
      <c r="G19306" s="9"/>
      <c r="J19306" s="11"/>
      <c r="U19306" s="9"/>
      <c r="X19306" s="9"/>
    </row>
    <row r="19307">
      <c r="D19307" s="9"/>
      <c r="G19307" s="9"/>
      <c r="J19307" s="11"/>
      <c r="U19307" s="9"/>
      <c r="X19307" s="9"/>
    </row>
    <row r="19308">
      <c r="D19308" s="9"/>
      <c r="G19308" s="9"/>
      <c r="J19308" s="11"/>
      <c r="U19308" s="9"/>
      <c r="X19308" s="9"/>
    </row>
    <row r="19309">
      <c r="D19309" s="9"/>
      <c r="G19309" s="9"/>
      <c r="J19309" s="11"/>
      <c r="U19309" s="9"/>
      <c r="X19309" s="9"/>
    </row>
    <row r="19310">
      <c r="D19310" s="9"/>
      <c r="G19310" s="9"/>
      <c r="J19310" s="11"/>
      <c r="U19310" s="9"/>
      <c r="X19310" s="9"/>
    </row>
    <row r="19311">
      <c r="D19311" s="9"/>
      <c r="G19311" s="9"/>
      <c r="J19311" s="11"/>
      <c r="U19311" s="9"/>
      <c r="X19311" s="9"/>
    </row>
    <row r="19312">
      <c r="D19312" s="9"/>
      <c r="G19312" s="9"/>
      <c r="J19312" s="11"/>
      <c r="U19312" s="9"/>
      <c r="X19312" s="9"/>
    </row>
    <row r="19313">
      <c r="D19313" s="9"/>
      <c r="G19313" s="9"/>
      <c r="J19313" s="11"/>
      <c r="U19313" s="9"/>
      <c r="X19313" s="9"/>
    </row>
    <row r="19314">
      <c r="D19314" s="9"/>
      <c r="G19314" s="9"/>
      <c r="J19314" s="11"/>
      <c r="U19314" s="9"/>
      <c r="X19314" s="9"/>
    </row>
    <row r="19315">
      <c r="D19315" s="9"/>
      <c r="G19315" s="9"/>
      <c r="J19315" s="11"/>
      <c r="U19315" s="9"/>
      <c r="X19315" s="9"/>
    </row>
    <row r="19316">
      <c r="D19316" s="9"/>
      <c r="G19316" s="9"/>
      <c r="J19316" s="11"/>
      <c r="U19316" s="9"/>
      <c r="X19316" s="9"/>
    </row>
    <row r="19317">
      <c r="D19317" s="9"/>
      <c r="G19317" s="9"/>
      <c r="J19317" s="11"/>
      <c r="U19317" s="9"/>
      <c r="X19317" s="9"/>
    </row>
    <row r="19318">
      <c r="D19318" s="9"/>
      <c r="G19318" s="9"/>
      <c r="J19318" s="11"/>
      <c r="U19318" s="9"/>
      <c r="X19318" s="9"/>
    </row>
    <row r="19319">
      <c r="D19319" s="9"/>
      <c r="G19319" s="9"/>
      <c r="J19319" s="11"/>
      <c r="U19319" s="9"/>
      <c r="X19319" s="9"/>
    </row>
    <row r="19320">
      <c r="D19320" s="9"/>
      <c r="G19320" s="9"/>
      <c r="J19320" s="11"/>
      <c r="U19320" s="9"/>
      <c r="X19320" s="9"/>
    </row>
    <row r="19321">
      <c r="D19321" s="9"/>
      <c r="G19321" s="9"/>
      <c r="J19321" s="11"/>
      <c r="U19321" s="9"/>
      <c r="X19321" s="9"/>
    </row>
    <row r="19322">
      <c r="D19322" s="9"/>
      <c r="G19322" s="9"/>
      <c r="J19322" s="11"/>
      <c r="U19322" s="9"/>
      <c r="X19322" s="9"/>
    </row>
    <row r="19323">
      <c r="D19323" s="9"/>
      <c r="G19323" s="9"/>
      <c r="J19323" s="11"/>
      <c r="U19323" s="9"/>
      <c r="X19323" s="9"/>
    </row>
    <row r="19324">
      <c r="D19324" s="9"/>
      <c r="G19324" s="9"/>
      <c r="J19324" s="11"/>
      <c r="U19324" s="9"/>
      <c r="X19324" s="9"/>
    </row>
    <row r="19325">
      <c r="D19325" s="9"/>
      <c r="G19325" s="9"/>
      <c r="J19325" s="11"/>
      <c r="U19325" s="9"/>
      <c r="X19325" s="9"/>
    </row>
    <row r="19326">
      <c r="D19326" s="9"/>
      <c r="G19326" s="9"/>
      <c r="J19326" s="11"/>
      <c r="U19326" s="9"/>
      <c r="X19326" s="9"/>
    </row>
    <row r="19327">
      <c r="D19327" s="9"/>
      <c r="G19327" s="9"/>
      <c r="J19327" s="11"/>
      <c r="U19327" s="9"/>
      <c r="X19327" s="9"/>
    </row>
    <row r="19328">
      <c r="D19328" s="9"/>
      <c r="G19328" s="9"/>
      <c r="J19328" s="11"/>
      <c r="U19328" s="9"/>
      <c r="X19328" s="9"/>
    </row>
    <row r="19329">
      <c r="D19329" s="9"/>
      <c r="G19329" s="9"/>
      <c r="J19329" s="11"/>
      <c r="U19329" s="9"/>
      <c r="X19329" s="9"/>
    </row>
    <row r="19330">
      <c r="D19330" s="9"/>
      <c r="G19330" s="9"/>
      <c r="J19330" s="11"/>
      <c r="U19330" s="9"/>
      <c r="X19330" s="9"/>
    </row>
    <row r="19331">
      <c r="D19331" s="9"/>
      <c r="G19331" s="9"/>
      <c r="J19331" s="11"/>
      <c r="U19331" s="9"/>
      <c r="X19331" s="9"/>
    </row>
    <row r="19332">
      <c r="D19332" s="9"/>
      <c r="G19332" s="9"/>
      <c r="J19332" s="11"/>
      <c r="U19332" s="9"/>
      <c r="X19332" s="9"/>
    </row>
    <row r="19333">
      <c r="D19333" s="9"/>
      <c r="G19333" s="9"/>
      <c r="J19333" s="11"/>
      <c r="U19333" s="9"/>
      <c r="X19333" s="9"/>
    </row>
    <row r="19334">
      <c r="D19334" s="9"/>
      <c r="G19334" s="9"/>
      <c r="J19334" s="11"/>
      <c r="U19334" s="9"/>
      <c r="X19334" s="9"/>
    </row>
    <row r="19335">
      <c r="D19335" s="9"/>
      <c r="G19335" s="9"/>
      <c r="J19335" s="11"/>
      <c r="U19335" s="9"/>
      <c r="X19335" s="9"/>
    </row>
    <row r="19336">
      <c r="D19336" s="9"/>
      <c r="G19336" s="9"/>
      <c r="J19336" s="11"/>
      <c r="U19336" s="9"/>
      <c r="X19336" s="9"/>
    </row>
    <row r="19337">
      <c r="D19337" s="9"/>
      <c r="G19337" s="9"/>
      <c r="J19337" s="11"/>
      <c r="U19337" s="9"/>
      <c r="X19337" s="9"/>
    </row>
    <row r="19338">
      <c r="D19338" s="9"/>
      <c r="G19338" s="9"/>
      <c r="J19338" s="11"/>
      <c r="U19338" s="9"/>
      <c r="X19338" s="9"/>
    </row>
    <row r="19339">
      <c r="D19339" s="9"/>
      <c r="G19339" s="9"/>
      <c r="J19339" s="11"/>
      <c r="U19339" s="9"/>
      <c r="X19339" s="9"/>
    </row>
    <row r="19340">
      <c r="D19340" s="9"/>
      <c r="G19340" s="9"/>
      <c r="J19340" s="11"/>
      <c r="U19340" s="9"/>
      <c r="X19340" s="9"/>
    </row>
    <row r="19341">
      <c r="D19341" s="9"/>
      <c r="G19341" s="9"/>
      <c r="J19341" s="11"/>
      <c r="U19341" s="9"/>
      <c r="X19341" s="9"/>
    </row>
    <row r="19342">
      <c r="D19342" s="9"/>
      <c r="G19342" s="9"/>
      <c r="J19342" s="11"/>
      <c r="U19342" s="9"/>
      <c r="X19342" s="9"/>
    </row>
    <row r="19343">
      <c r="D19343" s="9"/>
      <c r="G19343" s="9"/>
      <c r="J19343" s="11"/>
      <c r="U19343" s="9"/>
      <c r="X19343" s="9"/>
    </row>
    <row r="19344">
      <c r="D19344" s="9"/>
      <c r="G19344" s="9"/>
      <c r="J19344" s="11"/>
      <c r="U19344" s="9"/>
      <c r="X19344" s="9"/>
    </row>
    <row r="19345">
      <c r="D19345" s="9"/>
      <c r="G19345" s="9"/>
      <c r="J19345" s="11"/>
      <c r="U19345" s="9"/>
      <c r="X19345" s="9"/>
    </row>
    <row r="19346">
      <c r="D19346" s="9"/>
      <c r="G19346" s="9"/>
      <c r="J19346" s="11"/>
      <c r="U19346" s="9"/>
      <c r="X19346" s="9"/>
    </row>
    <row r="19347">
      <c r="D19347" s="9"/>
      <c r="G19347" s="9"/>
      <c r="J19347" s="11"/>
      <c r="U19347" s="9"/>
      <c r="X19347" s="9"/>
    </row>
    <row r="19348">
      <c r="D19348" s="9"/>
      <c r="G19348" s="9"/>
      <c r="J19348" s="11"/>
      <c r="U19348" s="9"/>
      <c r="X19348" s="9"/>
    </row>
    <row r="19349">
      <c r="D19349" s="9"/>
      <c r="G19349" s="9"/>
      <c r="J19349" s="11"/>
      <c r="U19349" s="9"/>
      <c r="X19349" s="9"/>
    </row>
    <row r="19350">
      <c r="D19350" s="9"/>
      <c r="G19350" s="9"/>
      <c r="J19350" s="11"/>
      <c r="U19350" s="9"/>
      <c r="X19350" s="9"/>
    </row>
    <row r="19351">
      <c r="D19351" s="9"/>
      <c r="G19351" s="9"/>
      <c r="J19351" s="11"/>
      <c r="U19351" s="9"/>
      <c r="X19351" s="9"/>
    </row>
    <row r="19352">
      <c r="D19352" s="9"/>
      <c r="G19352" s="9"/>
      <c r="J19352" s="11"/>
      <c r="U19352" s="9"/>
      <c r="X19352" s="9"/>
    </row>
    <row r="19353">
      <c r="D19353" s="9"/>
      <c r="G19353" s="9"/>
      <c r="J19353" s="11"/>
      <c r="U19353" s="9"/>
      <c r="X19353" s="9"/>
    </row>
    <row r="19354">
      <c r="D19354" s="9"/>
      <c r="G19354" s="9"/>
      <c r="J19354" s="11"/>
      <c r="U19354" s="9"/>
      <c r="X19354" s="9"/>
    </row>
    <row r="19355">
      <c r="D19355" s="9"/>
      <c r="G19355" s="9"/>
      <c r="J19355" s="11"/>
      <c r="U19355" s="9"/>
      <c r="X19355" s="9"/>
    </row>
    <row r="19356">
      <c r="D19356" s="9"/>
      <c r="G19356" s="9"/>
      <c r="J19356" s="11"/>
      <c r="U19356" s="9"/>
      <c r="X19356" s="9"/>
    </row>
    <row r="19357">
      <c r="D19357" s="9"/>
      <c r="G19357" s="9"/>
      <c r="J19357" s="11"/>
      <c r="U19357" s="9"/>
      <c r="X19357" s="9"/>
    </row>
    <row r="19358">
      <c r="D19358" s="9"/>
      <c r="G19358" s="9"/>
      <c r="J19358" s="11"/>
      <c r="U19358" s="9"/>
      <c r="X19358" s="9"/>
    </row>
    <row r="19359">
      <c r="D19359" s="9"/>
      <c r="G19359" s="9"/>
      <c r="J19359" s="11"/>
      <c r="U19359" s="9"/>
      <c r="X19359" s="9"/>
    </row>
    <row r="19360">
      <c r="D19360" s="9"/>
      <c r="G19360" s="9"/>
      <c r="J19360" s="11"/>
      <c r="U19360" s="9"/>
      <c r="X19360" s="9"/>
    </row>
    <row r="19361">
      <c r="D19361" s="9"/>
      <c r="G19361" s="9"/>
      <c r="J19361" s="11"/>
      <c r="U19361" s="9"/>
      <c r="X19361" s="9"/>
    </row>
    <row r="19362">
      <c r="D19362" s="9"/>
      <c r="G19362" s="9"/>
      <c r="J19362" s="11"/>
      <c r="U19362" s="9"/>
      <c r="X19362" s="9"/>
    </row>
    <row r="19363">
      <c r="D19363" s="9"/>
      <c r="G19363" s="9"/>
      <c r="J19363" s="11"/>
      <c r="U19363" s="9"/>
      <c r="X19363" s="9"/>
    </row>
    <row r="19364">
      <c r="D19364" s="9"/>
      <c r="G19364" s="9"/>
      <c r="J19364" s="11"/>
      <c r="U19364" s="9"/>
      <c r="X19364" s="9"/>
    </row>
    <row r="19365">
      <c r="D19365" s="9"/>
      <c r="G19365" s="9"/>
      <c r="J19365" s="11"/>
      <c r="U19365" s="9"/>
      <c r="X19365" s="9"/>
    </row>
    <row r="19366">
      <c r="D19366" s="9"/>
      <c r="G19366" s="9"/>
      <c r="J19366" s="11"/>
      <c r="U19366" s="9"/>
      <c r="X19366" s="9"/>
    </row>
    <row r="19367">
      <c r="D19367" s="9"/>
      <c r="G19367" s="9"/>
      <c r="J19367" s="11"/>
      <c r="U19367" s="9"/>
      <c r="X19367" s="9"/>
    </row>
    <row r="19368">
      <c r="D19368" s="9"/>
      <c r="G19368" s="9"/>
      <c r="J19368" s="11"/>
      <c r="U19368" s="9"/>
      <c r="X19368" s="9"/>
    </row>
    <row r="19369">
      <c r="D19369" s="9"/>
      <c r="G19369" s="9"/>
      <c r="J19369" s="11"/>
      <c r="U19369" s="9"/>
      <c r="X19369" s="9"/>
    </row>
    <row r="19370">
      <c r="D19370" s="9"/>
      <c r="G19370" s="9"/>
      <c r="J19370" s="11"/>
      <c r="U19370" s="9"/>
      <c r="X19370" s="9"/>
    </row>
    <row r="19371">
      <c r="D19371" s="9"/>
      <c r="G19371" s="9"/>
      <c r="J19371" s="11"/>
      <c r="U19371" s="9"/>
      <c r="X19371" s="9"/>
    </row>
    <row r="19372">
      <c r="D19372" s="9"/>
      <c r="G19372" s="9"/>
      <c r="J19372" s="11"/>
      <c r="U19372" s="9"/>
      <c r="X19372" s="9"/>
    </row>
    <row r="19373">
      <c r="D19373" s="9"/>
      <c r="G19373" s="9"/>
      <c r="J19373" s="11"/>
      <c r="U19373" s="9"/>
      <c r="X19373" s="9"/>
    </row>
    <row r="19374">
      <c r="D19374" s="9"/>
      <c r="G19374" s="9"/>
      <c r="J19374" s="11"/>
      <c r="U19374" s="9"/>
      <c r="X19374" s="9"/>
    </row>
    <row r="19375">
      <c r="D19375" s="9"/>
      <c r="G19375" s="9"/>
      <c r="J19375" s="11"/>
      <c r="U19375" s="9"/>
      <c r="X19375" s="9"/>
    </row>
    <row r="19376">
      <c r="D19376" s="9"/>
      <c r="G19376" s="9"/>
      <c r="J19376" s="11"/>
      <c r="U19376" s="9"/>
      <c r="X19376" s="9"/>
    </row>
    <row r="19377">
      <c r="D19377" s="9"/>
      <c r="G19377" s="9"/>
      <c r="J19377" s="11"/>
      <c r="U19377" s="9"/>
      <c r="X19377" s="9"/>
    </row>
    <row r="19378">
      <c r="D19378" s="9"/>
      <c r="G19378" s="9"/>
      <c r="J19378" s="11"/>
      <c r="U19378" s="9"/>
      <c r="X19378" s="9"/>
    </row>
    <row r="19379">
      <c r="D19379" s="9"/>
      <c r="G19379" s="9"/>
      <c r="J19379" s="11"/>
      <c r="U19379" s="9"/>
      <c r="X19379" s="9"/>
    </row>
    <row r="19380">
      <c r="D19380" s="9"/>
      <c r="G19380" s="9"/>
      <c r="J19380" s="11"/>
      <c r="U19380" s="9"/>
      <c r="X19380" s="9"/>
    </row>
    <row r="19381">
      <c r="D19381" s="9"/>
      <c r="G19381" s="9"/>
      <c r="J19381" s="11"/>
      <c r="U19381" s="9"/>
      <c r="X19381" s="9"/>
    </row>
    <row r="19382">
      <c r="D19382" s="9"/>
      <c r="G19382" s="9"/>
      <c r="J19382" s="11"/>
      <c r="U19382" s="9"/>
      <c r="X19382" s="9"/>
    </row>
    <row r="19383">
      <c r="D19383" s="9"/>
      <c r="G19383" s="9"/>
      <c r="J19383" s="11"/>
      <c r="U19383" s="9"/>
      <c r="X19383" s="9"/>
    </row>
    <row r="19384">
      <c r="D19384" s="9"/>
      <c r="G19384" s="9"/>
      <c r="J19384" s="11"/>
      <c r="U19384" s="9"/>
      <c r="X19384" s="9"/>
    </row>
    <row r="19385">
      <c r="D19385" s="9"/>
      <c r="G19385" s="9"/>
      <c r="J19385" s="11"/>
      <c r="U19385" s="9"/>
      <c r="X19385" s="9"/>
    </row>
    <row r="19386">
      <c r="D19386" s="9"/>
      <c r="G19386" s="9"/>
      <c r="J19386" s="11"/>
      <c r="U19386" s="9"/>
      <c r="X19386" s="9"/>
    </row>
    <row r="19387">
      <c r="D19387" s="9"/>
      <c r="G19387" s="9"/>
      <c r="J19387" s="11"/>
      <c r="U19387" s="9"/>
      <c r="X19387" s="9"/>
    </row>
    <row r="19388">
      <c r="D19388" s="9"/>
      <c r="G19388" s="9"/>
      <c r="J19388" s="11"/>
      <c r="U19388" s="9"/>
      <c r="X19388" s="9"/>
    </row>
    <row r="19389">
      <c r="D19389" s="9"/>
      <c r="G19389" s="9"/>
      <c r="J19389" s="11"/>
      <c r="U19389" s="9"/>
      <c r="X19389" s="9"/>
    </row>
    <row r="19390">
      <c r="D19390" s="9"/>
      <c r="G19390" s="9"/>
      <c r="J19390" s="11"/>
      <c r="U19390" s="9"/>
      <c r="X19390" s="9"/>
    </row>
    <row r="19391">
      <c r="D19391" s="9"/>
      <c r="G19391" s="9"/>
      <c r="J19391" s="11"/>
      <c r="U19391" s="9"/>
      <c r="X19391" s="9"/>
    </row>
    <row r="19392">
      <c r="D19392" s="9"/>
      <c r="G19392" s="9"/>
      <c r="J19392" s="11"/>
      <c r="U19392" s="9"/>
      <c r="X19392" s="9"/>
    </row>
    <row r="19393">
      <c r="D19393" s="9"/>
      <c r="G19393" s="9"/>
      <c r="J19393" s="11"/>
      <c r="U19393" s="9"/>
      <c r="X19393" s="9"/>
    </row>
    <row r="19394">
      <c r="D19394" s="9"/>
      <c r="G19394" s="9"/>
      <c r="J19394" s="11"/>
      <c r="U19394" s="9"/>
      <c r="X19394" s="9"/>
    </row>
    <row r="19395">
      <c r="D19395" s="9"/>
      <c r="G19395" s="9"/>
      <c r="J19395" s="11"/>
      <c r="U19395" s="9"/>
      <c r="X19395" s="9"/>
    </row>
    <row r="19396">
      <c r="D19396" s="9"/>
      <c r="G19396" s="9"/>
      <c r="J19396" s="11"/>
      <c r="U19396" s="9"/>
      <c r="X19396" s="9"/>
    </row>
    <row r="19397">
      <c r="D19397" s="9"/>
      <c r="G19397" s="9"/>
      <c r="J19397" s="11"/>
      <c r="U19397" s="9"/>
      <c r="X19397" s="9"/>
    </row>
    <row r="19398">
      <c r="D19398" s="9"/>
      <c r="G19398" s="9"/>
      <c r="J19398" s="11"/>
      <c r="U19398" s="9"/>
      <c r="X19398" s="9"/>
    </row>
    <row r="19399">
      <c r="D19399" s="9"/>
      <c r="G19399" s="9"/>
      <c r="J19399" s="11"/>
      <c r="U19399" s="9"/>
      <c r="X19399" s="9"/>
    </row>
    <row r="19400">
      <c r="D19400" s="9"/>
      <c r="G19400" s="9"/>
      <c r="J19400" s="11"/>
      <c r="U19400" s="9"/>
      <c r="X19400" s="9"/>
    </row>
    <row r="19401">
      <c r="D19401" s="9"/>
      <c r="G19401" s="9"/>
      <c r="J19401" s="11"/>
      <c r="U19401" s="9"/>
      <c r="X19401" s="9"/>
    </row>
    <row r="19402">
      <c r="D19402" s="9"/>
      <c r="G19402" s="9"/>
      <c r="J19402" s="11"/>
      <c r="U19402" s="9"/>
      <c r="X19402" s="9"/>
    </row>
    <row r="19403">
      <c r="D19403" s="9"/>
      <c r="G19403" s="9"/>
      <c r="J19403" s="11"/>
      <c r="U19403" s="9"/>
      <c r="X19403" s="9"/>
    </row>
    <row r="19404">
      <c r="D19404" s="9"/>
      <c r="G19404" s="9"/>
      <c r="J19404" s="11"/>
      <c r="U19404" s="9"/>
      <c r="X19404" s="9"/>
    </row>
    <row r="19405">
      <c r="D19405" s="9"/>
      <c r="G19405" s="9"/>
      <c r="J19405" s="11"/>
      <c r="U19405" s="9"/>
      <c r="X19405" s="9"/>
    </row>
    <row r="19406">
      <c r="D19406" s="9"/>
      <c r="G19406" s="9"/>
      <c r="J19406" s="11"/>
      <c r="U19406" s="9"/>
      <c r="X19406" s="9"/>
    </row>
    <row r="19407">
      <c r="D19407" s="9"/>
      <c r="G19407" s="9"/>
      <c r="J19407" s="11"/>
      <c r="U19407" s="9"/>
      <c r="X19407" s="9"/>
    </row>
    <row r="19408">
      <c r="D19408" s="9"/>
      <c r="G19408" s="9"/>
      <c r="J19408" s="11"/>
      <c r="U19408" s="9"/>
      <c r="X19408" s="9"/>
    </row>
    <row r="19409">
      <c r="D19409" s="9"/>
      <c r="G19409" s="9"/>
      <c r="J19409" s="11"/>
      <c r="U19409" s="9"/>
      <c r="X19409" s="9"/>
    </row>
    <row r="19410">
      <c r="D19410" s="9"/>
      <c r="G19410" s="9"/>
      <c r="J19410" s="11"/>
      <c r="U19410" s="9"/>
      <c r="X19410" s="9"/>
    </row>
    <row r="19411">
      <c r="D19411" s="9"/>
      <c r="G19411" s="9"/>
      <c r="J19411" s="11"/>
      <c r="U19411" s="9"/>
      <c r="X19411" s="9"/>
    </row>
    <row r="19412">
      <c r="D19412" s="9"/>
      <c r="G19412" s="9"/>
      <c r="J19412" s="11"/>
      <c r="U19412" s="9"/>
      <c r="X19412" s="9"/>
    </row>
    <row r="19413">
      <c r="D19413" s="9"/>
      <c r="G19413" s="9"/>
      <c r="J19413" s="11"/>
      <c r="U19413" s="9"/>
      <c r="X19413" s="9"/>
    </row>
    <row r="19414">
      <c r="D19414" s="9"/>
      <c r="G19414" s="9"/>
      <c r="J19414" s="11"/>
      <c r="U19414" s="9"/>
      <c r="X19414" s="9"/>
    </row>
    <row r="19415">
      <c r="D19415" s="9"/>
      <c r="G19415" s="9"/>
      <c r="J19415" s="11"/>
      <c r="U19415" s="9"/>
      <c r="X19415" s="9"/>
    </row>
    <row r="19416">
      <c r="D19416" s="9"/>
      <c r="G19416" s="9"/>
      <c r="J19416" s="11"/>
      <c r="U19416" s="9"/>
      <c r="X19416" s="9"/>
    </row>
    <row r="19417">
      <c r="D19417" s="9"/>
      <c r="G19417" s="9"/>
      <c r="J19417" s="11"/>
      <c r="U19417" s="9"/>
      <c r="X19417" s="9"/>
    </row>
    <row r="19418">
      <c r="D19418" s="9"/>
      <c r="G19418" s="9"/>
      <c r="J19418" s="11"/>
      <c r="U19418" s="9"/>
      <c r="X19418" s="9"/>
    </row>
    <row r="19419">
      <c r="D19419" s="9"/>
      <c r="G19419" s="9"/>
      <c r="J19419" s="11"/>
      <c r="U19419" s="9"/>
      <c r="X19419" s="9"/>
    </row>
    <row r="19420">
      <c r="D19420" s="9"/>
      <c r="G19420" s="9"/>
      <c r="J19420" s="11"/>
      <c r="U19420" s="9"/>
      <c r="X19420" s="9"/>
    </row>
    <row r="19421">
      <c r="D19421" s="9"/>
      <c r="G19421" s="9"/>
      <c r="J19421" s="11"/>
      <c r="U19421" s="9"/>
      <c r="X19421" s="9"/>
    </row>
    <row r="19422">
      <c r="D19422" s="9"/>
      <c r="G19422" s="9"/>
      <c r="J19422" s="11"/>
      <c r="U19422" s="9"/>
      <c r="X19422" s="9"/>
    </row>
    <row r="19423">
      <c r="D19423" s="9"/>
      <c r="G19423" s="9"/>
      <c r="J19423" s="11"/>
      <c r="U19423" s="9"/>
      <c r="X19423" s="9"/>
    </row>
    <row r="19424">
      <c r="D19424" s="9"/>
      <c r="G19424" s="9"/>
      <c r="J19424" s="11"/>
      <c r="U19424" s="9"/>
      <c r="X19424" s="9"/>
    </row>
    <row r="19425">
      <c r="D19425" s="9"/>
      <c r="G19425" s="9"/>
      <c r="J19425" s="11"/>
      <c r="U19425" s="9"/>
      <c r="X19425" s="9"/>
    </row>
    <row r="19426">
      <c r="D19426" s="9"/>
      <c r="G19426" s="9"/>
      <c r="J19426" s="11"/>
      <c r="U19426" s="9"/>
      <c r="X19426" s="9"/>
    </row>
    <row r="19427">
      <c r="D19427" s="9"/>
      <c r="G19427" s="9"/>
      <c r="J19427" s="11"/>
      <c r="U19427" s="9"/>
      <c r="X19427" s="9"/>
    </row>
    <row r="19428">
      <c r="D19428" s="9"/>
      <c r="G19428" s="9"/>
      <c r="J19428" s="11"/>
      <c r="U19428" s="9"/>
      <c r="X19428" s="9"/>
    </row>
    <row r="19429">
      <c r="D19429" s="9"/>
      <c r="G19429" s="9"/>
      <c r="J19429" s="11"/>
      <c r="U19429" s="9"/>
      <c r="X19429" s="9"/>
    </row>
    <row r="19430">
      <c r="D19430" s="9"/>
      <c r="G19430" s="9"/>
      <c r="J19430" s="11"/>
      <c r="U19430" s="9"/>
      <c r="X19430" s="9"/>
    </row>
    <row r="19431">
      <c r="D19431" s="9"/>
      <c r="G19431" s="9"/>
      <c r="J19431" s="11"/>
      <c r="U19431" s="9"/>
      <c r="X19431" s="9"/>
    </row>
    <row r="19432">
      <c r="D19432" s="9"/>
      <c r="G19432" s="9"/>
      <c r="J19432" s="11"/>
      <c r="U19432" s="9"/>
      <c r="X19432" s="9"/>
    </row>
    <row r="19433">
      <c r="D19433" s="9"/>
      <c r="G19433" s="9"/>
      <c r="J19433" s="11"/>
      <c r="U19433" s="9"/>
      <c r="X19433" s="9"/>
    </row>
    <row r="19434">
      <c r="D19434" s="9"/>
      <c r="G19434" s="9"/>
      <c r="J19434" s="11"/>
      <c r="U19434" s="9"/>
      <c r="X19434" s="9"/>
    </row>
    <row r="19435">
      <c r="D19435" s="9"/>
      <c r="G19435" s="9"/>
      <c r="J19435" s="11"/>
      <c r="U19435" s="9"/>
      <c r="X19435" s="9"/>
    </row>
    <row r="19436">
      <c r="D19436" s="9"/>
      <c r="G19436" s="9"/>
      <c r="J19436" s="11"/>
      <c r="U19436" s="9"/>
      <c r="X19436" s="9"/>
    </row>
    <row r="19437">
      <c r="D19437" s="9"/>
      <c r="G19437" s="9"/>
      <c r="J19437" s="11"/>
      <c r="U19437" s="9"/>
      <c r="X19437" s="9"/>
    </row>
    <row r="19438">
      <c r="D19438" s="9"/>
      <c r="G19438" s="9"/>
      <c r="J19438" s="11"/>
      <c r="U19438" s="9"/>
      <c r="X19438" s="9"/>
    </row>
    <row r="19439">
      <c r="D19439" s="9"/>
      <c r="G19439" s="9"/>
      <c r="J19439" s="11"/>
      <c r="U19439" s="9"/>
      <c r="X19439" s="9"/>
    </row>
    <row r="19440">
      <c r="D19440" s="9"/>
      <c r="G19440" s="9"/>
      <c r="J19440" s="11"/>
      <c r="U19440" s="9"/>
      <c r="X19440" s="9"/>
    </row>
    <row r="19441">
      <c r="D19441" s="9"/>
      <c r="G19441" s="9"/>
      <c r="J19441" s="11"/>
      <c r="U19441" s="9"/>
      <c r="X19441" s="9"/>
    </row>
    <row r="19442">
      <c r="D19442" s="9"/>
      <c r="G19442" s="9"/>
      <c r="J19442" s="11"/>
      <c r="U19442" s="9"/>
      <c r="X19442" s="9"/>
    </row>
    <row r="19443">
      <c r="D19443" s="9"/>
      <c r="G19443" s="9"/>
      <c r="J19443" s="11"/>
      <c r="U19443" s="9"/>
      <c r="X19443" s="9"/>
    </row>
    <row r="19444">
      <c r="D19444" s="9"/>
      <c r="G19444" s="9"/>
      <c r="J19444" s="11"/>
      <c r="U19444" s="9"/>
      <c r="X19444" s="9"/>
    </row>
    <row r="19445">
      <c r="D19445" s="9"/>
      <c r="G19445" s="9"/>
      <c r="J19445" s="11"/>
      <c r="U19445" s="9"/>
      <c r="X19445" s="9"/>
    </row>
    <row r="19446">
      <c r="D19446" s="9"/>
      <c r="G19446" s="9"/>
      <c r="J19446" s="11"/>
      <c r="U19446" s="9"/>
      <c r="X19446" s="9"/>
    </row>
    <row r="19447">
      <c r="D19447" s="9"/>
      <c r="G19447" s="9"/>
      <c r="J19447" s="11"/>
      <c r="U19447" s="9"/>
      <c r="X19447" s="9"/>
    </row>
    <row r="19448">
      <c r="D19448" s="9"/>
      <c r="G19448" s="9"/>
      <c r="J19448" s="11"/>
      <c r="U19448" s="9"/>
      <c r="X19448" s="9"/>
    </row>
    <row r="19449">
      <c r="D19449" s="9"/>
      <c r="G19449" s="9"/>
      <c r="J19449" s="11"/>
      <c r="U19449" s="9"/>
      <c r="X19449" s="9"/>
    </row>
    <row r="19450">
      <c r="D19450" s="9"/>
      <c r="G19450" s="9"/>
      <c r="J19450" s="11"/>
      <c r="U19450" s="9"/>
      <c r="X19450" s="9"/>
    </row>
    <row r="19451">
      <c r="D19451" s="9"/>
      <c r="G19451" s="9"/>
      <c r="J19451" s="11"/>
      <c r="U19451" s="9"/>
      <c r="X19451" s="9"/>
    </row>
    <row r="19452">
      <c r="D19452" s="9"/>
      <c r="G19452" s="9"/>
      <c r="J19452" s="11"/>
      <c r="U19452" s="9"/>
      <c r="X19452" s="9"/>
    </row>
    <row r="19453">
      <c r="D19453" s="9"/>
      <c r="G19453" s="9"/>
      <c r="J19453" s="11"/>
      <c r="U19453" s="9"/>
      <c r="X19453" s="9"/>
    </row>
    <row r="19454">
      <c r="D19454" s="9"/>
      <c r="G19454" s="9"/>
      <c r="J19454" s="11"/>
      <c r="U19454" s="9"/>
      <c r="X19454" s="9"/>
    </row>
    <row r="19455">
      <c r="D19455" s="9"/>
      <c r="G19455" s="9"/>
      <c r="J19455" s="11"/>
      <c r="U19455" s="9"/>
      <c r="X19455" s="9"/>
    </row>
    <row r="19456">
      <c r="D19456" s="9"/>
      <c r="G19456" s="9"/>
      <c r="J19456" s="11"/>
      <c r="U19456" s="9"/>
      <c r="X19456" s="9"/>
    </row>
    <row r="19457">
      <c r="D19457" s="9"/>
      <c r="G19457" s="9"/>
      <c r="J19457" s="11"/>
      <c r="U19457" s="9"/>
      <c r="X19457" s="9"/>
    </row>
    <row r="19458">
      <c r="D19458" s="9"/>
      <c r="G19458" s="9"/>
      <c r="J19458" s="11"/>
      <c r="U19458" s="9"/>
      <c r="X19458" s="9"/>
    </row>
    <row r="19459">
      <c r="D19459" s="9"/>
      <c r="G19459" s="9"/>
      <c r="J19459" s="11"/>
      <c r="U19459" s="9"/>
      <c r="X19459" s="9"/>
    </row>
    <row r="19460">
      <c r="D19460" s="9"/>
      <c r="G19460" s="9"/>
      <c r="J19460" s="11"/>
      <c r="U19460" s="9"/>
      <c r="X19460" s="9"/>
    </row>
    <row r="19461">
      <c r="D19461" s="9"/>
      <c r="G19461" s="9"/>
      <c r="J19461" s="11"/>
      <c r="U19461" s="9"/>
      <c r="X19461" s="9"/>
    </row>
    <row r="19462">
      <c r="D19462" s="9"/>
      <c r="G19462" s="9"/>
      <c r="J19462" s="11"/>
      <c r="U19462" s="9"/>
      <c r="X19462" s="9"/>
    </row>
    <row r="19463">
      <c r="D19463" s="9"/>
      <c r="G19463" s="9"/>
      <c r="J19463" s="11"/>
      <c r="U19463" s="9"/>
      <c r="X19463" s="9"/>
    </row>
    <row r="19464">
      <c r="D19464" s="9"/>
      <c r="G19464" s="9"/>
      <c r="J19464" s="11"/>
      <c r="U19464" s="9"/>
      <c r="X19464" s="9"/>
    </row>
    <row r="19465">
      <c r="D19465" s="9"/>
      <c r="G19465" s="9"/>
      <c r="J19465" s="11"/>
      <c r="U19465" s="9"/>
      <c r="X19465" s="9"/>
    </row>
    <row r="19466">
      <c r="D19466" s="9"/>
      <c r="G19466" s="9"/>
      <c r="J19466" s="11"/>
      <c r="U19466" s="9"/>
      <c r="X19466" s="9"/>
    </row>
    <row r="19467">
      <c r="D19467" s="9"/>
      <c r="G19467" s="9"/>
      <c r="J19467" s="11"/>
      <c r="U19467" s="9"/>
      <c r="X19467" s="9"/>
    </row>
    <row r="19468">
      <c r="D19468" s="9"/>
      <c r="G19468" s="9"/>
      <c r="J19468" s="11"/>
      <c r="U19468" s="9"/>
      <c r="X19468" s="9"/>
    </row>
    <row r="19469">
      <c r="D19469" s="9"/>
      <c r="G19469" s="9"/>
      <c r="J19469" s="11"/>
      <c r="U19469" s="9"/>
      <c r="X19469" s="9"/>
    </row>
    <row r="19470">
      <c r="D19470" s="9"/>
      <c r="G19470" s="9"/>
      <c r="J19470" s="11"/>
      <c r="U19470" s="9"/>
      <c r="X19470" s="9"/>
    </row>
    <row r="19471">
      <c r="D19471" s="9"/>
      <c r="G19471" s="9"/>
      <c r="J19471" s="11"/>
      <c r="U19471" s="9"/>
      <c r="X19471" s="9"/>
    </row>
    <row r="19472">
      <c r="D19472" s="9"/>
      <c r="G19472" s="9"/>
      <c r="J19472" s="11"/>
      <c r="U19472" s="9"/>
      <c r="X19472" s="9"/>
    </row>
    <row r="19473">
      <c r="D19473" s="9"/>
      <c r="G19473" s="9"/>
      <c r="J19473" s="11"/>
      <c r="U19473" s="9"/>
      <c r="X19473" s="9"/>
    </row>
    <row r="19474">
      <c r="D19474" s="9"/>
      <c r="G19474" s="9"/>
      <c r="J19474" s="11"/>
      <c r="U19474" s="9"/>
      <c r="X19474" s="9"/>
    </row>
    <row r="19475">
      <c r="D19475" s="9"/>
      <c r="G19475" s="9"/>
      <c r="J19475" s="11"/>
      <c r="U19475" s="9"/>
      <c r="X19475" s="9"/>
    </row>
    <row r="19476">
      <c r="D19476" s="9"/>
      <c r="G19476" s="9"/>
      <c r="J19476" s="11"/>
      <c r="U19476" s="9"/>
      <c r="X19476" s="9"/>
    </row>
    <row r="19477">
      <c r="D19477" s="9"/>
      <c r="G19477" s="9"/>
      <c r="J19477" s="11"/>
      <c r="U19477" s="9"/>
      <c r="X19477" s="9"/>
    </row>
    <row r="19478">
      <c r="D19478" s="9"/>
      <c r="G19478" s="9"/>
      <c r="J19478" s="11"/>
      <c r="U19478" s="9"/>
      <c r="X19478" s="9"/>
    </row>
    <row r="19479">
      <c r="D19479" s="9"/>
      <c r="G19479" s="9"/>
      <c r="J19479" s="11"/>
      <c r="U19479" s="9"/>
      <c r="X19479" s="9"/>
    </row>
    <row r="19480">
      <c r="D19480" s="9"/>
      <c r="G19480" s="9"/>
      <c r="J19480" s="11"/>
      <c r="U19480" s="9"/>
      <c r="X19480" s="9"/>
    </row>
    <row r="19481">
      <c r="D19481" s="9"/>
      <c r="G19481" s="9"/>
      <c r="J19481" s="11"/>
      <c r="U19481" s="9"/>
      <c r="X19481" s="9"/>
    </row>
    <row r="19482">
      <c r="D19482" s="9"/>
      <c r="G19482" s="9"/>
      <c r="J19482" s="11"/>
      <c r="U19482" s="9"/>
      <c r="X19482" s="9"/>
    </row>
    <row r="19483">
      <c r="D19483" s="9"/>
      <c r="G19483" s="9"/>
      <c r="J19483" s="11"/>
      <c r="U19483" s="9"/>
      <c r="X19483" s="9"/>
    </row>
    <row r="19484">
      <c r="D19484" s="9"/>
      <c r="G19484" s="9"/>
      <c r="J19484" s="11"/>
      <c r="U19484" s="9"/>
      <c r="X19484" s="9"/>
    </row>
    <row r="19485">
      <c r="D19485" s="9"/>
      <c r="G19485" s="9"/>
      <c r="J19485" s="11"/>
      <c r="U19485" s="9"/>
      <c r="X19485" s="9"/>
    </row>
    <row r="19486">
      <c r="D19486" s="9"/>
      <c r="G19486" s="9"/>
      <c r="J19486" s="11"/>
      <c r="U19486" s="9"/>
      <c r="X19486" s="9"/>
    </row>
    <row r="19487">
      <c r="D19487" s="9"/>
      <c r="G19487" s="9"/>
      <c r="J19487" s="11"/>
      <c r="U19487" s="9"/>
      <c r="X19487" s="9"/>
    </row>
    <row r="19488">
      <c r="D19488" s="9"/>
      <c r="G19488" s="9"/>
      <c r="J19488" s="11"/>
      <c r="U19488" s="9"/>
      <c r="X19488" s="9"/>
    </row>
    <row r="19489">
      <c r="D19489" s="9"/>
      <c r="G19489" s="9"/>
      <c r="J19489" s="11"/>
      <c r="U19489" s="9"/>
      <c r="X19489" s="9"/>
    </row>
    <row r="19490">
      <c r="D19490" s="9"/>
      <c r="G19490" s="9"/>
      <c r="J19490" s="11"/>
      <c r="U19490" s="9"/>
      <c r="X19490" s="9"/>
    </row>
    <row r="19491">
      <c r="D19491" s="9"/>
      <c r="G19491" s="9"/>
      <c r="J19491" s="11"/>
      <c r="U19491" s="9"/>
      <c r="X19491" s="9"/>
    </row>
    <row r="19492">
      <c r="D19492" s="9"/>
      <c r="G19492" s="9"/>
      <c r="J19492" s="11"/>
      <c r="U19492" s="9"/>
      <c r="X19492" s="9"/>
    </row>
    <row r="19493">
      <c r="D19493" s="9"/>
      <c r="G19493" s="9"/>
      <c r="J19493" s="11"/>
      <c r="U19493" s="9"/>
      <c r="X19493" s="9"/>
    </row>
    <row r="19494">
      <c r="D19494" s="9"/>
      <c r="G19494" s="9"/>
      <c r="J19494" s="11"/>
      <c r="U19494" s="9"/>
      <c r="X19494" s="9"/>
    </row>
    <row r="19495">
      <c r="D19495" s="9"/>
      <c r="G19495" s="9"/>
      <c r="J19495" s="11"/>
      <c r="U19495" s="9"/>
      <c r="X19495" s="9"/>
    </row>
    <row r="19496">
      <c r="D19496" s="9"/>
      <c r="G19496" s="9"/>
      <c r="J19496" s="11"/>
      <c r="U19496" s="9"/>
      <c r="X19496" s="9"/>
    </row>
    <row r="19497">
      <c r="D19497" s="9"/>
      <c r="G19497" s="9"/>
      <c r="J19497" s="11"/>
      <c r="U19497" s="9"/>
      <c r="X19497" s="9"/>
    </row>
    <row r="19498">
      <c r="D19498" s="9"/>
      <c r="G19498" s="9"/>
      <c r="J19498" s="11"/>
      <c r="U19498" s="9"/>
      <c r="X19498" s="9"/>
    </row>
    <row r="19499">
      <c r="D19499" s="9"/>
      <c r="G19499" s="9"/>
      <c r="J19499" s="11"/>
      <c r="U19499" s="9"/>
      <c r="X19499" s="9"/>
    </row>
    <row r="19500">
      <c r="D19500" s="9"/>
      <c r="G19500" s="9"/>
      <c r="J19500" s="11"/>
      <c r="U19500" s="9"/>
      <c r="X19500" s="9"/>
    </row>
    <row r="19501">
      <c r="D19501" s="9"/>
      <c r="G19501" s="9"/>
      <c r="J19501" s="11"/>
      <c r="U19501" s="9"/>
      <c r="X19501" s="9"/>
    </row>
    <row r="19502">
      <c r="D19502" s="9"/>
      <c r="G19502" s="9"/>
      <c r="J19502" s="11"/>
      <c r="U19502" s="9"/>
      <c r="X19502" s="9"/>
    </row>
    <row r="19503">
      <c r="D19503" s="9"/>
      <c r="G19503" s="9"/>
      <c r="J19503" s="11"/>
      <c r="U19503" s="9"/>
      <c r="X19503" s="9"/>
    </row>
    <row r="19504">
      <c r="D19504" s="9"/>
      <c r="G19504" s="9"/>
      <c r="J19504" s="11"/>
      <c r="U19504" s="9"/>
      <c r="X19504" s="9"/>
    </row>
    <row r="19505">
      <c r="D19505" s="9"/>
      <c r="G19505" s="9"/>
      <c r="J19505" s="11"/>
      <c r="U19505" s="9"/>
      <c r="X19505" s="9"/>
    </row>
    <row r="19506">
      <c r="D19506" s="9"/>
      <c r="G19506" s="9"/>
      <c r="J19506" s="11"/>
      <c r="U19506" s="9"/>
      <c r="X19506" s="9"/>
    </row>
    <row r="19507">
      <c r="D19507" s="9"/>
      <c r="G19507" s="9"/>
      <c r="J19507" s="11"/>
      <c r="U19507" s="9"/>
      <c r="X19507" s="9"/>
    </row>
    <row r="19508">
      <c r="D19508" s="9"/>
      <c r="G19508" s="9"/>
      <c r="J19508" s="11"/>
      <c r="U19508" s="9"/>
      <c r="X19508" s="9"/>
    </row>
    <row r="19509">
      <c r="D19509" s="9"/>
      <c r="G19509" s="9"/>
      <c r="J19509" s="11"/>
      <c r="U19509" s="9"/>
      <c r="X19509" s="9"/>
    </row>
    <row r="19510">
      <c r="D19510" s="9"/>
      <c r="G19510" s="9"/>
      <c r="J19510" s="11"/>
      <c r="U19510" s="9"/>
      <c r="X19510" s="9"/>
    </row>
    <row r="19511">
      <c r="D19511" s="9"/>
      <c r="G19511" s="9"/>
      <c r="J19511" s="11"/>
      <c r="U19511" s="9"/>
      <c r="X19511" s="9"/>
    </row>
    <row r="19512">
      <c r="D19512" s="9"/>
      <c r="G19512" s="9"/>
      <c r="J19512" s="11"/>
      <c r="U19512" s="9"/>
      <c r="X19512" s="9"/>
    </row>
    <row r="19513">
      <c r="D19513" s="9"/>
      <c r="G19513" s="9"/>
      <c r="J19513" s="11"/>
      <c r="U19513" s="9"/>
      <c r="X19513" s="9"/>
    </row>
    <row r="19514">
      <c r="D19514" s="9"/>
      <c r="G19514" s="9"/>
      <c r="J19514" s="11"/>
      <c r="U19514" s="9"/>
      <c r="X19514" s="9"/>
    </row>
    <row r="19515">
      <c r="D19515" s="9"/>
      <c r="G19515" s="9"/>
      <c r="J19515" s="11"/>
      <c r="U19515" s="9"/>
      <c r="X19515" s="9"/>
    </row>
    <row r="19516">
      <c r="D19516" s="9"/>
      <c r="G19516" s="9"/>
      <c r="J19516" s="11"/>
      <c r="U19516" s="9"/>
      <c r="X19516" s="9"/>
    </row>
    <row r="19517">
      <c r="D19517" s="9"/>
      <c r="G19517" s="9"/>
      <c r="J19517" s="11"/>
      <c r="U19517" s="9"/>
      <c r="X19517" s="9"/>
    </row>
    <row r="19518">
      <c r="D19518" s="9"/>
      <c r="G19518" s="9"/>
      <c r="J19518" s="11"/>
      <c r="U19518" s="9"/>
      <c r="X19518" s="9"/>
    </row>
    <row r="19519">
      <c r="D19519" s="9"/>
      <c r="G19519" s="9"/>
      <c r="J19519" s="11"/>
      <c r="U19519" s="9"/>
      <c r="X19519" s="9"/>
    </row>
    <row r="19520">
      <c r="D19520" s="9"/>
      <c r="G19520" s="9"/>
      <c r="J19520" s="11"/>
      <c r="U19520" s="9"/>
      <c r="X19520" s="9"/>
    </row>
    <row r="19521">
      <c r="D19521" s="9"/>
      <c r="G19521" s="9"/>
      <c r="J19521" s="11"/>
      <c r="U19521" s="9"/>
      <c r="X19521" s="9"/>
    </row>
    <row r="19522">
      <c r="D19522" s="9"/>
      <c r="G19522" s="9"/>
      <c r="J19522" s="11"/>
      <c r="U19522" s="9"/>
      <c r="X19522" s="9"/>
    </row>
    <row r="19523">
      <c r="D19523" s="9"/>
      <c r="G19523" s="9"/>
      <c r="J19523" s="11"/>
      <c r="U19523" s="9"/>
      <c r="X19523" s="9"/>
    </row>
    <row r="19524">
      <c r="D19524" s="9"/>
      <c r="G19524" s="9"/>
      <c r="J19524" s="11"/>
      <c r="U19524" s="9"/>
      <c r="X19524" s="9"/>
    </row>
    <row r="19525">
      <c r="D19525" s="9"/>
      <c r="G19525" s="9"/>
      <c r="J19525" s="11"/>
      <c r="U19525" s="9"/>
      <c r="X19525" s="9"/>
    </row>
    <row r="19526">
      <c r="D19526" s="9"/>
      <c r="G19526" s="9"/>
      <c r="J19526" s="11"/>
      <c r="U19526" s="9"/>
      <c r="X19526" s="9"/>
    </row>
    <row r="19527">
      <c r="D19527" s="9"/>
      <c r="G19527" s="9"/>
      <c r="J19527" s="11"/>
      <c r="U19527" s="9"/>
      <c r="X19527" s="9"/>
    </row>
    <row r="19528">
      <c r="D19528" s="9"/>
      <c r="G19528" s="9"/>
      <c r="J19528" s="11"/>
      <c r="U19528" s="9"/>
      <c r="X19528" s="9"/>
    </row>
    <row r="19529">
      <c r="D19529" s="9"/>
      <c r="G19529" s="9"/>
      <c r="J19529" s="11"/>
      <c r="U19529" s="9"/>
      <c r="X19529" s="9"/>
    </row>
    <row r="19530">
      <c r="D19530" s="9"/>
      <c r="G19530" s="9"/>
      <c r="J19530" s="11"/>
      <c r="U19530" s="9"/>
      <c r="X19530" s="9"/>
    </row>
    <row r="19531">
      <c r="D19531" s="9"/>
      <c r="G19531" s="9"/>
      <c r="J19531" s="11"/>
      <c r="U19531" s="9"/>
      <c r="X19531" s="9"/>
    </row>
    <row r="19532">
      <c r="D19532" s="9"/>
      <c r="G19532" s="9"/>
      <c r="J19532" s="11"/>
      <c r="U19532" s="9"/>
      <c r="X19532" s="9"/>
    </row>
    <row r="19533">
      <c r="D19533" s="9"/>
      <c r="G19533" s="9"/>
      <c r="J19533" s="11"/>
      <c r="U19533" s="9"/>
      <c r="X19533" s="9"/>
    </row>
    <row r="19534">
      <c r="D19534" s="9"/>
      <c r="G19534" s="9"/>
      <c r="J19534" s="11"/>
      <c r="U19534" s="9"/>
      <c r="X19534" s="9"/>
    </row>
    <row r="19535">
      <c r="D19535" s="9"/>
      <c r="G19535" s="9"/>
      <c r="J19535" s="11"/>
      <c r="U19535" s="9"/>
      <c r="X19535" s="9"/>
    </row>
    <row r="19536">
      <c r="D19536" s="9"/>
      <c r="G19536" s="9"/>
      <c r="J19536" s="11"/>
      <c r="U19536" s="9"/>
      <c r="X19536" s="9"/>
    </row>
    <row r="19537">
      <c r="D19537" s="9"/>
      <c r="G19537" s="9"/>
      <c r="J19537" s="11"/>
      <c r="U19537" s="9"/>
      <c r="X19537" s="9"/>
    </row>
    <row r="19538">
      <c r="D19538" s="9"/>
      <c r="G19538" s="9"/>
      <c r="J19538" s="11"/>
      <c r="U19538" s="9"/>
      <c r="X19538" s="9"/>
    </row>
    <row r="19539">
      <c r="D19539" s="9"/>
      <c r="G19539" s="9"/>
      <c r="J19539" s="11"/>
      <c r="U19539" s="9"/>
      <c r="X19539" s="9"/>
    </row>
    <row r="19540">
      <c r="D19540" s="9"/>
      <c r="G19540" s="9"/>
      <c r="J19540" s="11"/>
      <c r="U19540" s="9"/>
      <c r="X19540" s="9"/>
    </row>
    <row r="19541">
      <c r="D19541" s="9"/>
      <c r="G19541" s="9"/>
      <c r="J19541" s="11"/>
      <c r="U19541" s="9"/>
      <c r="X19541" s="9"/>
    </row>
    <row r="19542">
      <c r="D19542" s="9"/>
      <c r="G19542" s="9"/>
      <c r="J19542" s="11"/>
      <c r="U19542" s="9"/>
      <c r="X19542" s="9"/>
    </row>
    <row r="19543">
      <c r="D19543" s="9"/>
      <c r="G19543" s="9"/>
      <c r="J19543" s="11"/>
      <c r="U19543" s="9"/>
      <c r="X19543" s="9"/>
    </row>
    <row r="19544">
      <c r="D19544" s="9"/>
      <c r="G19544" s="9"/>
      <c r="J19544" s="11"/>
      <c r="U19544" s="9"/>
      <c r="X19544" s="9"/>
    </row>
    <row r="19545">
      <c r="D19545" s="9"/>
      <c r="G19545" s="9"/>
      <c r="J19545" s="11"/>
      <c r="U19545" s="9"/>
      <c r="X19545" s="9"/>
    </row>
    <row r="19546">
      <c r="D19546" s="9"/>
      <c r="G19546" s="9"/>
      <c r="J19546" s="11"/>
      <c r="U19546" s="9"/>
      <c r="X19546" s="9"/>
    </row>
    <row r="19547">
      <c r="D19547" s="9"/>
      <c r="G19547" s="9"/>
      <c r="J19547" s="11"/>
      <c r="U19547" s="9"/>
      <c r="X19547" s="9"/>
    </row>
    <row r="19548">
      <c r="D19548" s="9"/>
      <c r="G19548" s="9"/>
      <c r="J19548" s="11"/>
      <c r="U19548" s="9"/>
      <c r="X19548" s="9"/>
    </row>
    <row r="19549">
      <c r="D19549" s="9"/>
      <c r="G19549" s="9"/>
      <c r="J19549" s="11"/>
      <c r="U19549" s="9"/>
      <c r="X19549" s="9"/>
    </row>
    <row r="19550">
      <c r="D19550" s="9"/>
      <c r="G19550" s="9"/>
      <c r="J19550" s="11"/>
      <c r="U19550" s="9"/>
      <c r="X19550" s="9"/>
    </row>
    <row r="19551">
      <c r="D19551" s="9"/>
      <c r="G19551" s="9"/>
      <c r="J19551" s="11"/>
      <c r="U19551" s="9"/>
      <c r="X19551" s="9"/>
    </row>
    <row r="19552">
      <c r="D19552" s="9"/>
      <c r="G19552" s="9"/>
      <c r="J19552" s="11"/>
      <c r="U19552" s="9"/>
      <c r="X19552" s="9"/>
    </row>
    <row r="19553">
      <c r="D19553" s="9"/>
      <c r="G19553" s="9"/>
      <c r="J19553" s="11"/>
      <c r="U19553" s="9"/>
      <c r="X19553" s="9"/>
    </row>
    <row r="19554">
      <c r="D19554" s="9"/>
      <c r="G19554" s="9"/>
      <c r="J19554" s="11"/>
      <c r="U19554" s="9"/>
      <c r="X19554" s="9"/>
    </row>
    <row r="19555">
      <c r="D19555" s="9"/>
      <c r="G19555" s="9"/>
      <c r="J19555" s="11"/>
      <c r="U19555" s="9"/>
      <c r="X19555" s="9"/>
    </row>
    <row r="19556">
      <c r="D19556" s="9"/>
      <c r="G19556" s="9"/>
      <c r="J19556" s="11"/>
      <c r="U19556" s="9"/>
      <c r="X19556" s="9"/>
    </row>
    <row r="19557">
      <c r="D19557" s="9"/>
      <c r="G19557" s="9"/>
      <c r="J19557" s="11"/>
      <c r="U19557" s="9"/>
      <c r="X19557" s="9"/>
    </row>
    <row r="19558">
      <c r="D19558" s="9"/>
      <c r="G19558" s="9"/>
      <c r="J19558" s="11"/>
      <c r="U19558" s="9"/>
      <c r="X19558" s="9"/>
    </row>
    <row r="19559">
      <c r="D19559" s="9"/>
      <c r="G19559" s="9"/>
      <c r="J19559" s="11"/>
      <c r="U19559" s="9"/>
      <c r="X19559" s="9"/>
    </row>
    <row r="19560">
      <c r="D19560" s="9"/>
      <c r="G19560" s="9"/>
      <c r="J19560" s="11"/>
      <c r="U19560" s="9"/>
      <c r="X19560" s="9"/>
    </row>
    <row r="19561">
      <c r="D19561" s="9"/>
      <c r="G19561" s="9"/>
      <c r="J19561" s="11"/>
      <c r="U19561" s="9"/>
      <c r="X19561" s="9"/>
    </row>
    <row r="19562">
      <c r="D19562" s="9"/>
      <c r="G19562" s="9"/>
      <c r="J19562" s="11"/>
      <c r="U19562" s="9"/>
      <c r="X19562" s="9"/>
    </row>
    <row r="19563">
      <c r="D19563" s="9"/>
      <c r="G19563" s="9"/>
      <c r="J19563" s="11"/>
      <c r="U19563" s="9"/>
      <c r="X19563" s="9"/>
    </row>
    <row r="19564">
      <c r="D19564" s="9"/>
      <c r="G19564" s="9"/>
      <c r="J19564" s="11"/>
      <c r="U19564" s="9"/>
      <c r="X19564" s="9"/>
    </row>
    <row r="19565">
      <c r="D19565" s="9"/>
      <c r="G19565" s="9"/>
      <c r="J19565" s="11"/>
      <c r="U19565" s="9"/>
      <c r="X19565" s="9"/>
    </row>
    <row r="19566">
      <c r="D19566" s="9"/>
      <c r="G19566" s="9"/>
      <c r="J19566" s="11"/>
      <c r="U19566" s="9"/>
      <c r="X19566" s="9"/>
    </row>
    <row r="19567">
      <c r="D19567" s="9"/>
      <c r="G19567" s="9"/>
      <c r="J19567" s="11"/>
      <c r="U19567" s="9"/>
      <c r="X19567" s="9"/>
    </row>
    <row r="19568">
      <c r="D19568" s="9"/>
      <c r="G19568" s="9"/>
      <c r="J19568" s="11"/>
      <c r="U19568" s="9"/>
      <c r="X19568" s="9"/>
    </row>
    <row r="19569">
      <c r="D19569" s="9"/>
      <c r="G19569" s="9"/>
      <c r="J19569" s="11"/>
      <c r="U19569" s="9"/>
      <c r="X19569" s="9"/>
    </row>
    <row r="19570">
      <c r="D19570" s="9"/>
      <c r="G19570" s="9"/>
      <c r="J19570" s="11"/>
      <c r="U19570" s="9"/>
      <c r="X19570" s="9"/>
    </row>
    <row r="19571">
      <c r="D19571" s="9"/>
      <c r="G19571" s="9"/>
      <c r="J19571" s="11"/>
      <c r="U19571" s="9"/>
      <c r="X19571" s="9"/>
    </row>
    <row r="19572">
      <c r="D19572" s="9"/>
      <c r="G19572" s="9"/>
      <c r="J19572" s="11"/>
      <c r="U19572" s="9"/>
      <c r="X19572" s="9"/>
    </row>
    <row r="19573">
      <c r="D19573" s="9"/>
      <c r="G19573" s="9"/>
      <c r="J19573" s="11"/>
      <c r="U19573" s="9"/>
      <c r="X19573" s="9"/>
    </row>
    <row r="19574">
      <c r="D19574" s="9"/>
      <c r="G19574" s="9"/>
      <c r="J19574" s="11"/>
      <c r="U19574" s="9"/>
      <c r="X19574" s="9"/>
    </row>
    <row r="19575">
      <c r="D19575" s="9"/>
      <c r="G19575" s="9"/>
      <c r="J19575" s="11"/>
      <c r="U19575" s="9"/>
      <c r="X19575" s="9"/>
    </row>
    <row r="19576">
      <c r="D19576" s="9"/>
      <c r="G19576" s="9"/>
      <c r="J19576" s="11"/>
      <c r="U19576" s="9"/>
      <c r="X19576" s="9"/>
    </row>
    <row r="19577">
      <c r="D19577" s="9"/>
      <c r="G19577" s="9"/>
      <c r="J19577" s="11"/>
      <c r="U19577" s="9"/>
      <c r="X19577" s="9"/>
    </row>
    <row r="19578">
      <c r="D19578" s="9"/>
      <c r="G19578" s="9"/>
      <c r="J19578" s="11"/>
      <c r="U19578" s="9"/>
      <c r="X19578" s="9"/>
    </row>
    <row r="19579">
      <c r="D19579" s="9"/>
      <c r="G19579" s="9"/>
      <c r="J19579" s="11"/>
      <c r="U19579" s="9"/>
      <c r="X19579" s="9"/>
    </row>
    <row r="19580">
      <c r="D19580" s="9"/>
      <c r="G19580" s="9"/>
      <c r="J19580" s="11"/>
      <c r="U19580" s="9"/>
      <c r="X19580" s="9"/>
    </row>
    <row r="19581">
      <c r="D19581" s="9"/>
      <c r="G19581" s="9"/>
      <c r="J19581" s="11"/>
      <c r="U19581" s="9"/>
      <c r="X19581" s="9"/>
    </row>
    <row r="19582">
      <c r="D19582" s="9"/>
      <c r="G19582" s="9"/>
      <c r="J19582" s="11"/>
      <c r="U19582" s="9"/>
      <c r="X19582" s="9"/>
    </row>
    <row r="19583">
      <c r="D19583" s="9"/>
      <c r="G19583" s="9"/>
      <c r="J19583" s="11"/>
      <c r="U19583" s="9"/>
      <c r="X19583" s="9"/>
    </row>
    <row r="19584">
      <c r="D19584" s="9"/>
      <c r="G19584" s="9"/>
      <c r="J19584" s="11"/>
      <c r="U19584" s="9"/>
      <c r="X19584" s="9"/>
    </row>
    <row r="19585">
      <c r="D19585" s="9"/>
      <c r="G19585" s="9"/>
      <c r="J19585" s="11"/>
      <c r="U19585" s="9"/>
      <c r="X19585" s="9"/>
    </row>
    <row r="19586">
      <c r="D19586" s="9"/>
      <c r="G19586" s="9"/>
      <c r="J19586" s="11"/>
      <c r="U19586" s="9"/>
      <c r="X19586" s="9"/>
    </row>
    <row r="19587">
      <c r="D19587" s="9"/>
      <c r="G19587" s="9"/>
      <c r="J19587" s="11"/>
      <c r="U19587" s="9"/>
      <c r="X19587" s="9"/>
    </row>
    <row r="19588">
      <c r="D19588" s="9"/>
      <c r="G19588" s="9"/>
      <c r="J19588" s="11"/>
      <c r="U19588" s="9"/>
      <c r="X19588" s="9"/>
    </row>
    <row r="19589">
      <c r="D19589" s="9"/>
      <c r="G19589" s="9"/>
      <c r="J19589" s="11"/>
      <c r="U19589" s="9"/>
      <c r="X19589" s="9"/>
    </row>
    <row r="19590">
      <c r="D19590" s="9"/>
      <c r="G19590" s="9"/>
      <c r="J19590" s="11"/>
      <c r="U19590" s="9"/>
      <c r="X19590" s="9"/>
    </row>
    <row r="19591">
      <c r="D19591" s="9"/>
      <c r="G19591" s="9"/>
      <c r="J19591" s="11"/>
      <c r="U19591" s="9"/>
      <c r="X19591" s="9"/>
    </row>
    <row r="19592">
      <c r="D19592" s="9"/>
      <c r="G19592" s="9"/>
      <c r="J19592" s="11"/>
      <c r="U19592" s="9"/>
      <c r="X19592" s="9"/>
    </row>
    <row r="19593">
      <c r="D19593" s="9"/>
      <c r="G19593" s="9"/>
      <c r="J19593" s="11"/>
      <c r="U19593" s="9"/>
      <c r="X19593" s="9"/>
    </row>
    <row r="19594">
      <c r="D19594" s="9"/>
      <c r="G19594" s="9"/>
      <c r="J19594" s="11"/>
      <c r="U19594" s="9"/>
      <c r="X19594" s="9"/>
    </row>
    <row r="19595">
      <c r="D19595" s="9"/>
      <c r="G19595" s="9"/>
      <c r="J19595" s="11"/>
      <c r="U19595" s="9"/>
      <c r="X19595" s="9"/>
    </row>
    <row r="19596">
      <c r="D19596" s="9"/>
      <c r="G19596" s="9"/>
      <c r="J19596" s="11"/>
      <c r="U19596" s="9"/>
      <c r="X19596" s="9"/>
    </row>
    <row r="19597">
      <c r="D19597" s="9"/>
      <c r="G19597" s="9"/>
      <c r="J19597" s="11"/>
      <c r="U19597" s="9"/>
      <c r="X19597" s="9"/>
    </row>
    <row r="19598">
      <c r="D19598" s="9"/>
      <c r="G19598" s="9"/>
      <c r="J19598" s="11"/>
      <c r="U19598" s="9"/>
      <c r="X19598" s="9"/>
    </row>
    <row r="19599">
      <c r="D19599" s="9"/>
      <c r="G19599" s="9"/>
      <c r="J19599" s="11"/>
      <c r="U19599" s="9"/>
      <c r="X19599" s="9"/>
    </row>
    <row r="19600">
      <c r="D19600" s="9"/>
      <c r="G19600" s="9"/>
      <c r="J19600" s="11"/>
      <c r="U19600" s="9"/>
      <c r="X19600" s="9"/>
    </row>
    <row r="19601">
      <c r="D19601" s="9"/>
      <c r="G19601" s="9"/>
      <c r="J19601" s="11"/>
      <c r="U19601" s="9"/>
      <c r="X19601" s="9"/>
    </row>
    <row r="19602">
      <c r="D19602" s="9"/>
      <c r="G19602" s="9"/>
      <c r="J19602" s="11"/>
      <c r="U19602" s="9"/>
      <c r="X19602" s="9"/>
    </row>
    <row r="19603">
      <c r="D19603" s="9"/>
      <c r="G19603" s="9"/>
      <c r="J19603" s="11"/>
      <c r="U19603" s="9"/>
      <c r="X19603" s="9"/>
    </row>
    <row r="19604">
      <c r="D19604" s="9"/>
      <c r="G19604" s="9"/>
      <c r="J19604" s="11"/>
      <c r="U19604" s="9"/>
      <c r="X19604" s="9"/>
    </row>
    <row r="19605">
      <c r="D19605" s="9"/>
      <c r="G19605" s="9"/>
      <c r="J19605" s="11"/>
      <c r="U19605" s="9"/>
      <c r="X19605" s="9"/>
    </row>
    <row r="19606">
      <c r="D19606" s="9"/>
      <c r="G19606" s="9"/>
      <c r="J19606" s="11"/>
      <c r="U19606" s="9"/>
      <c r="X19606" s="9"/>
    </row>
    <row r="19607">
      <c r="D19607" s="9"/>
      <c r="G19607" s="9"/>
      <c r="J19607" s="11"/>
      <c r="U19607" s="9"/>
      <c r="X19607" s="9"/>
    </row>
    <row r="19608">
      <c r="D19608" s="9"/>
      <c r="G19608" s="9"/>
      <c r="J19608" s="11"/>
      <c r="U19608" s="9"/>
      <c r="X19608" s="9"/>
    </row>
    <row r="19609">
      <c r="D19609" s="9"/>
      <c r="G19609" s="9"/>
      <c r="J19609" s="11"/>
      <c r="U19609" s="9"/>
      <c r="X19609" s="9"/>
    </row>
    <row r="19610">
      <c r="D19610" s="9"/>
      <c r="G19610" s="9"/>
      <c r="J19610" s="11"/>
      <c r="U19610" s="9"/>
      <c r="X19610" s="9"/>
    </row>
    <row r="19611">
      <c r="D19611" s="9"/>
      <c r="G19611" s="9"/>
      <c r="J19611" s="11"/>
      <c r="U19611" s="9"/>
      <c r="X19611" s="9"/>
    </row>
    <row r="19612">
      <c r="D19612" s="9"/>
      <c r="G19612" s="9"/>
      <c r="J19612" s="11"/>
      <c r="U19612" s="9"/>
      <c r="X19612" s="9"/>
    </row>
    <row r="19613">
      <c r="D19613" s="9"/>
      <c r="G19613" s="9"/>
      <c r="J19613" s="11"/>
      <c r="U19613" s="9"/>
      <c r="X19613" s="9"/>
    </row>
    <row r="19614">
      <c r="D19614" s="9"/>
      <c r="G19614" s="9"/>
      <c r="J19614" s="11"/>
      <c r="U19614" s="9"/>
      <c r="X19614" s="9"/>
    </row>
    <row r="19615">
      <c r="D19615" s="9"/>
      <c r="G19615" s="9"/>
      <c r="J19615" s="11"/>
      <c r="U19615" s="9"/>
      <c r="X19615" s="9"/>
    </row>
    <row r="19616">
      <c r="D19616" s="9"/>
      <c r="G19616" s="9"/>
      <c r="J19616" s="11"/>
      <c r="U19616" s="9"/>
      <c r="X19616" s="9"/>
    </row>
    <row r="19617">
      <c r="D19617" s="9"/>
      <c r="G19617" s="9"/>
      <c r="J19617" s="11"/>
      <c r="U19617" s="9"/>
      <c r="X19617" s="9"/>
    </row>
    <row r="19618">
      <c r="D19618" s="9"/>
      <c r="G19618" s="9"/>
      <c r="J19618" s="11"/>
      <c r="U19618" s="9"/>
      <c r="X19618" s="9"/>
    </row>
    <row r="19619">
      <c r="D19619" s="9"/>
      <c r="G19619" s="9"/>
      <c r="J19619" s="11"/>
      <c r="U19619" s="9"/>
      <c r="X19619" s="9"/>
    </row>
    <row r="19620">
      <c r="D19620" s="9"/>
      <c r="G19620" s="9"/>
      <c r="J19620" s="11"/>
      <c r="U19620" s="9"/>
      <c r="X19620" s="9"/>
    </row>
    <row r="19621">
      <c r="D19621" s="9"/>
      <c r="G19621" s="9"/>
      <c r="J19621" s="11"/>
      <c r="U19621" s="9"/>
      <c r="X19621" s="9"/>
    </row>
    <row r="19622">
      <c r="D19622" s="9"/>
      <c r="G19622" s="9"/>
      <c r="J19622" s="11"/>
      <c r="U19622" s="9"/>
      <c r="X19622" s="9"/>
    </row>
    <row r="19623">
      <c r="D19623" s="9"/>
      <c r="G19623" s="9"/>
      <c r="J19623" s="11"/>
      <c r="U19623" s="9"/>
      <c r="X19623" s="9"/>
    </row>
    <row r="19624">
      <c r="D19624" s="9"/>
      <c r="G19624" s="9"/>
      <c r="J19624" s="11"/>
      <c r="U19624" s="9"/>
      <c r="X19624" s="9"/>
    </row>
    <row r="19625">
      <c r="D19625" s="9"/>
      <c r="G19625" s="9"/>
      <c r="J19625" s="11"/>
      <c r="U19625" s="9"/>
      <c r="X19625" s="9"/>
    </row>
    <row r="19626">
      <c r="D19626" s="9"/>
      <c r="G19626" s="9"/>
      <c r="J19626" s="11"/>
      <c r="U19626" s="9"/>
      <c r="X19626" s="9"/>
    </row>
    <row r="19627">
      <c r="D19627" s="9"/>
      <c r="G19627" s="9"/>
      <c r="J19627" s="11"/>
      <c r="U19627" s="9"/>
      <c r="X19627" s="9"/>
    </row>
    <row r="19628">
      <c r="D19628" s="9"/>
      <c r="G19628" s="9"/>
      <c r="J19628" s="11"/>
      <c r="U19628" s="9"/>
      <c r="X19628" s="9"/>
    </row>
    <row r="19629">
      <c r="D19629" s="9"/>
      <c r="G19629" s="9"/>
      <c r="J19629" s="11"/>
      <c r="U19629" s="9"/>
      <c r="X19629" s="9"/>
    </row>
    <row r="19630">
      <c r="D19630" s="9"/>
      <c r="G19630" s="9"/>
      <c r="J19630" s="11"/>
      <c r="U19630" s="9"/>
      <c r="X19630" s="9"/>
    </row>
    <row r="19631">
      <c r="D19631" s="9"/>
      <c r="G19631" s="9"/>
      <c r="J19631" s="11"/>
      <c r="U19631" s="9"/>
      <c r="X19631" s="9"/>
    </row>
    <row r="19632">
      <c r="D19632" s="9"/>
      <c r="G19632" s="9"/>
      <c r="J19632" s="11"/>
      <c r="U19632" s="9"/>
      <c r="X19632" s="9"/>
    </row>
    <row r="19633">
      <c r="D19633" s="9"/>
      <c r="G19633" s="9"/>
      <c r="J19633" s="11"/>
      <c r="U19633" s="9"/>
      <c r="X19633" s="9"/>
    </row>
    <row r="19634">
      <c r="D19634" s="9"/>
      <c r="G19634" s="9"/>
      <c r="J19634" s="11"/>
      <c r="U19634" s="9"/>
      <c r="X19634" s="9"/>
    </row>
    <row r="19635">
      <c r="D19635" s="9"/>
      <c r="G19635" s="9"/>
      <c r="J19635" s="11"/>
      <c r="U19635" s="9"/>
      <c r="X19635" s="9"/>
    </row>
    <row r="19636">
      <c r="D19636" s="9"/>
      <c r="G19636" s="9"/>
      <c r="J19636" s="11"/>
      <c r="U19636" s="9"/>
      <c r="X19636" s="9"/>
    </row>
    <row r="19637">
      <c r="D19637" s="9"/>
      <c r="G19637" s="9"/>
      <c r="J19637" s="11"/>
      <c r="U19637" s="9"/>
      <c r="X19637" s="9"/>
    </row>
    <row r="19638">
      <c r="D19638" s="9"/>
      <c r="G19638" s="9"/>
      <c r="J19638" s="11"/>
      <c r="U19638" s="9"/>
      <c r="X19638" s="9"/>
    </row>
    <row r="19639">
      <c r="D19639" s="9"/>
      <c r="G19639" s="9"/>
      <c r="J19639" s="11"/>
      <c r="U19639" s="9"/>
      <c r="X19639" s="9"/>
    </row>
    <row r="19640">
      <c r="D19640" s="9"/>
      <c r="G19640" s="9"/>
      <c r="J19640" s="11"/>
      <c r="U19640" s="9"/>
      <c r="X19640" s="9"/>
    </row>
    <row r="19641">
      <c r="D19641" s="9"/>
      <c r="G19641" s="9"/>
      <c r="J19641" s="11"/>
      <c r="U19641" s="9"/>
      <c r="X19641" s="9"/>
    </row>
    <row r="19642">
      <c r="D19642" s="9"/>
      <c r="G19642" s="9"/>
      <c r="J19642" s="11"/>
      <c r="U19642" s="9"/>
      <c r="X19642" s="9"/>
    </row>
    <row r="19643">
      <c r="D19643" s="9"/>
      <c r="G19643" s="9"/>
      <c r="J19643" s="11"/>
      <c r="U19643" s="9"/>
      <c r="X19643" s="9"/>
    </row>
    <row r="19644">
      <c r="D19644" s="9"/>
      <c r="G19644" s="9"/>
      <c r="J19644" s="11"/>
      <c r="U19644" s="9"/>
      <c r="X19644" s="9"/>
    </row>
    <row r="19645">
      <c r="D19645" s="9"/>
      <c r="G19645" s="9"/>
      <c r="J19645" s="11"/>
      <c r="U19645" s="9"/>
      <c r="X19645" s="9"/>
    </row>
    <row r="19646">
      <c r="D19646" s="9"/>
      <c r="G19646" s="9"/>
      <c r="J19646" s="11"/>
      <c r="U19646" s="9"/>
      <c r="X19646" s="9"/>
    </row>
    <row r="19647">
      <c r="D19647" s="9"/>
      <c r="G19647" s="9"/>
      <c r="J19647" s="11"/>
      <c r="U19647" s="9"/>
      <c r="X19647" s="9"/>
    </row>
    <row r="19648">
      <c r="D19648" s="9"/>
      <c r="G19648" s="9"/>
      <c r="J19648" s="11"/>
      <c r="U19648" s="9"/>
      <c r="X19648" s="9"/>
    </row>
    <row r="19649">
      <c r="D19649" s="9"/>
      <c r="G19649" s="9"/>
      <c r="J19649" s="11"/>
      <c r="U19649" s="9"/>
      <c r="X19649" s="9"/>
    </row>
    <row r="19650">
      <c r="D19650" s="9"/>
      <c r="G19650" s="9"/>
      <c r="J19650" s="11"/>
      <c r="U19650" s="9"/>
      <c r="X19650" s="9"/>
    </row>
    <row r="19651">
      <c r="D19651" s="9"/>
      <c r="G19651" s="9"/>
      <c r="J19651" s="11"/>
      <c r="U19651" s="9"/>
      <c r="X19651" s="9"/>
    </row>
    <row r="19652">
      <c r="D19652" s="9"/>
      <c r="G19652" s="9"/>
      <c r="J19652" s="11"/>
      <c r="U19652" s="9"/>
      <c r="X19652" s="9"/>
    </row>
    <row r="19653">
      <c r="D19653" s="9"/>
      <c r="G19653" s="9"/>
      <c r="J19653" s="11"/>
      <c r="U19653" s="9"/>
      <c r="X19653" s="9"/>
    </row>
    <row r="19654">
      <c r="D19654" s="9"/>
      <c r="G19654" s="9"/>
      <c r="J19654" s="11"/>
      <c r="U19654" s="9"/>
      <c r="X19654" s="9"/>
    </row>
    <row r="19655">
      <c r="D19655" s="9"/>
      <c r="G19655" s="9"/>
      <c r="J19655" s="11"/>
      <c r="U19655" s="9"/>
      <c r="X19655" s="9"/>
    </row>
    <row r="19656">
      <c r="D19656" s="9"/>
      <c r="G19656" s="9"/>
      <c r="J19656" s="11"/>
      <c r="U19656" s="9"/>
      <c r="X19656" s="9"/>
    </row>
    <row r="19657">
      <c r="D19657" s="9"/>
      <c r="G19657" s="9"/>
      <c r="J19657" s="11"/>
      <c r="U19657" s="9"/>
      <c r="X19657" s="9"/>
    </row>
    <row r="19658">
      <c r="D19658" s="9"/>
      <c r="G19658" s="9"/>
      <c r="J19658" s="11"/>
      <c r="U19658" s="9"/>
      <c r="X19658" s="9"/>
    </row>
    <row r="19659">
      <c r="D19659" s="9"/>
      <c r="G19659" s="9"/>
      <c r="J19659" s="11"/>
      <c r="U19659" s="9"/>
      <c r="X19659" s="9"/>
    </row>
    <row r="19660">
      <c r="D19660" s="9"/>
      <c r="G19660" s="9"/>
      <c r="J19660" s="11"/>
      <c r="U19660" s="9"/>
      <c r="X19660" s="9"/>
    </row>
    <row r="19661">
      <c r="D19661" s="9"/>
      <c r="G19661" s="9"/>
      <c r="J19661" s="11"/>
      <c r="U19661" s="9"/>
      <c r="X19661" s="9"/>
    </row>
    <row r="19662">
      <c r="D19662" s="9"/>
      <c r="G19662" s="9"/>
      <c r="J19662" s="11"/>
      <c r="U19662" s="9"/>
      <c r="X19662" s="9"/>
    </row>
    <row r="19663">
      <c r="D19663" s="9"/>
      <c r="G19663" s="9"/>
      <c r="J19663" s="11"/>
      <c r="U19663" s="9"/>
      <c r="X19663" s="9"/>
    </row>
    <row r="19664">
      <c r="D19664" s="9"/>
      <c r="G19664" s="9"/>
      <c r="J19664" s="11"/>
      <c r="U19664" s="9"/>
      <c r="X19664" s="9"/>
    </row>
    <row r="19665">
      <c r="D19665" s="9"/>
      <c r="G19665" s="9"/>
      <c r="J19665" s="11"/>
      <c r="U19665" s="9"/>
      <c r="X19665" s="9"/>
    </row>
    <row r="19666">
      <c r="D19666" s="9"/>
      <c r="G19666" s="9"/>
      <c r="J19666" s="11"/>
      <c r="U19666" s="9"/>
      <c r="X19666" s="9"/>
    </row>
    <row r="19667">
      <c r="D19667" s="9"/>
      <c r="G19667" s="9"/>
      <c r="J19667" s="11"/>
      <c r="U19667" s="9"/>
      <c r="X19667" s="9"/>
    </row>
    <row r="19668">
      <c r="D19668" s="9"/>
      <c r="G19668" s="9"/>
      <c r="J19668" s="11"/>
      <c r="U19668" s="9"/>
      <c r="X19668" s="9"/>
    </row>
    <row r="19669">
      <c r="D19669" s="9"/>
      <c r="G19669" s="9"/>
      <c r="J19669" s="11"/>
      <c r="U19669" s="9"/>
      <c r="X19669" s="9"/>
    </row>
    <row r="19670">
      <c r="D19670" s="9"/>
      <c r="G19670" s="9"/>
      <c r="J19670" s="11"/>
      <c r="U19670" s="9"/>
      <c r="X19670" s="9"/>
    </row>
    <row r="19671">
      <c r="D19671" s="9"/>
      <c r="G19671" s="9"/>
      <c r="J19671" s="11"/>
      <c r="U19671" s="9"/>
      <c r="X19671" s="9"/>
    </row>
    <row r="19672">
      <c r="D19672" s="9"/>
      <c r="G19672" s="9"/>
      <c r="J19672" s="11"/>
      <c r="U19672" s="9"/>
      <c r="X19672" s="9"/>
    </row>
    <row r="19673">
      <c r="D19673" s="9"/>
      <c r="G19673" s="9"/>
      <c r="J19673" s="11"/>
      <c r="U19673" s="9"/>
      <c r="X19673" s="9"/>
    </row>
    <row r="19674">
      <c r="D19674" s="9"/>
      <c r="G19674" s="9"/>
      <c r="J19674" s="11"/>
      <c r="U19674" s="9"/>
      <c r="X19674" s="9"/>
    </row>
    <row r="19675">
      <c r="D19675" s="9"/>
      <c r="G19675" s="9"/>
      <c r="J19675" s="11"/>
      <c r="U19675" s="9"/>
      <c r="X19675" s="9"/>
    </row>
    <row r="19676">
      <c r="D19676" s="9"/>
      <c r="G19676" s="9"/>
      <c r="J19676" s="11"/>
      <c r="U19676" s="9"/>
      <c r="X19676" s="9"/>
    </row>
    <row r="19677">
      <c r="D19677" s="9"/>
      <c r="G19677" s="9"/>
      <c r="J19677" s="11"/>
      <c r="U19677" s="9"/>
      <c r="X19677" s="9"/>
    </row>
    <row r="19678">
      <c r="D19678" s="9"/>
      <c r="G19678" s="9"/>
      <c r="J19678" s="11"/>
      <c r="U19678" s="9"/>
      <c r="X19678" s="9"/>
    </row>
    <row r="19679">
      <c r="D19679" s="9"/>
      <c r="G19679" s="9"/>
      <c r="J19679" s="11"/>
      <c r="U19679" s="9"/>
      <c r="X19679" s="9"/>
    </row>
    <row r="19680">
      <c r="D19680" s="9"/>
      <c r="G19680" s="9"/>
      <c r="J19680" s="11"/>
      <c r="U19680" s="9"/>
      <c r="X19680" s="9"/>
    </row>
    <row r="19681">
      <c r="D19681" s="9"/>
      <c r="G19681" s="9"/>
      <c r="J19681" s="11"/>
      <c r="U19681" s="9"/>
      <c r="X19681" s="9"/>
    </row>
    <row r="19682">
      <c r="D19682" s="9"/>
      <c r="G19682" s="9"/>
      <c r="J19682" s="11"/>
      <c r="U19682" s="9"/>
      <c r="X19682" s="9"/>
    </row>
    <row r="19683">
      <c r="D19683" s="9"/>
      <c r="G19683" s="9"/>
      <c r="J19683" s="11"/>
      <c r="U19683" s="9"/>
      <c r="X19683" s="9"/>
    </row>
    <row r="19684">
      <c r="D19684" s="9"/>
      <c r="G19684" s="9"/>
      <c r="J19684" s="11"/>
      <c r="U19684" s="9"/>
      <c r="X19684" s="9"/>
    </row>
    <row r="19685">
      <c r="D19685" s="9"/>
      <c r="G19685" s="9"/>
      <c r="J19685" s="11"/>
      <c r="U19685" s="9"/>
      <c r="X19685" s="9"/>
    </row>
    <row r="19686">
      <c r="D19686" s="9"/>
      <c r="G19686" s="9"/>
      <c r="J19686" s="11"/>
      <c r="U19686" s="9"/>
      <c r="X19686" s="9"/>
    </row>
    <row r="19687">
      <c r="D19687" s="9"/>
      <c r="G19687" s="9"/>
      <c r="J19687" s="11"/>
      <c r="U19687" s="9"/>
      <c r="X19687" s="9"/>
    </row>
    <row r="19688">
      <c r="D19688" s="9"/>
      <c r="G19688" s="9"/>
      <c r="J19688" s="11"/>
      <c r="U19688" s="9"/>
      <c r="X19688" s="9"/>
    </row>
    <row r="19689">
      <c r="D19689" s="9"/>
      <c r="G19689" s="9"/>
      <c r="J19689" s="11"/>
      <c r="U19689" s="9"/>
      <c r="X19689" s="9"/>
    </row>
    <row r="19690">
      <c r="D19690" s="9"/>
      <c r="G19690" s="9"/>
      <c r="J19690" s="11"/>
      <c r="U19690" s="9"/>
      <c r="X19690" s="9"/>
    </row>
    <row r="19691">
      <c r="D19691" s="9"/>
      <c r="G19691" s="9"/>
      <c r="J19691" s="11"/>
      <c r="U19691" s="9"/>
      <c r="X19691" s="9"/>
    </row>
    <row r="19692">
      <c r="D19692" s="9"/>
      <c r="G19692" s="9"/>
      <c r="J19692" s="11"/>
      <c r="U19692" s="9"/>
      <c r="X19692" s="9"/>
    </row>
    <row r="19693">
      <c r="D19693" s="9"/>
      <c r="G19693" s="9"/>
      <c r="J19693" s="11"/>
      <c r="U19693" s="9"/>
      <c r="X19693" s="9"/>
    </row>
    <row r="19694">
      <c r="D19694" s="9"/>
      <c r="G19694" s="9"/>
      <c r="J19694" s="11"/>
      <c r="U19694" s="9"/>
      <c r="X19694" s="9"/>
    </row>
    <row r="19695">
      <c r="D19695" s="9"/>
      <c r="G19695" s="9"/>
      <c r="J19695" s="11"/>
      <c r="U19695" s="9"/>
      <c r="X19695" s="9"/>
    </row>
    <row r="19696">
      <c r="D19696" s="9"/>
      <c r="G19696" s="9"/>
      <c r="J19696" s="11"/>
      <c r="U19696" s="9"/>
      <c r="X19696" s="9"/>
    </row>
    <row r="19697">
      <c r="D19697" s="9"/>
      <c r="G19697" s="9"/>
      <c r="J19697" s="11"/>
      <c r="U19697" s="9"/>
      <c r="X19697" s="9"/>
    </row>
    <row r="19698">
      <c r="D19698" s="9"/>
      <c r="G19698" s="9"/>
      <c r="J19698" s="11"/>
      <c r="U19698" s="9"/>
      <c r="X19698" s="9"/>
    </row>
    <row r="19699">
      <c r="D19699" s="9"/>
      <c r="G19699" s="9"/>
      <c r="J19699" s="11"/>
      <c r="U19699" s="9"/>
      <c r="X19699" s="9"/>
    </row>
    <row r="19700">
      <c r="D19700" s="9"/>
      <c r="G19700" s="9"/>
      <c r="J19700" s="11"/>
      <c r="U19700" s="9"/>
      <c r="X19700" s="9"/>
    </row>
    <row r="19701">
      <c r="D19701" s="9"/>
      <c r="G19701" s="9"/>
      <c r="J19701" s="11"/>
      <c r="U19701" s="9"/>
      <c r="X19701" s="9"/>
    </row>
    <row r="19702">
      <c r="D19702" s="9"/>
      <c r="G19702" s="9"/>
      <c r="J19702" s="11"/>
      <c r="U19702" s="9"/>
      <c r="X19702" s="9"/>
    </row>
    <row r="19703">
      <c r="D19703" s="9"/>
      <c r="G19703" s="9"/>
      <c r="J19703" s="11"/>
      <c r="U19703" s="9"/>
      <c r="X19703" s="9"/>
    </row>
    <row r="19704">
      <c r="D19704" s="9"/>
      <c r="G19704" s="9"/>
      <c r="J19704" s="11"/>
      <c r="U19704" s="9"/>
      <c r="X19704" s="9"/>
    </row>
    <row r="19705">
      <c r="D19705" s="9"/>
      <c r="G19705" s="9"/>
      <c r="J19705" s="11"/>
      <c r="U19705" s="9"/>
      <c r="X19705" s="9"/>
    </row>
    <row r="19706">
      <c r="D19706" s="9"/>
      <c r="G19706" s="9"/>
      <c r="J19706" s="11"/>
      <c r="U19706" s="9"/>
      <c r="X19706" s="9"/>
    </row>
    <row r="19707">
      <c r="D19707" s="9"/>
      <c r="G19707" s="9"/>
      <c r="J19707" s="11"/>
      <c r="U19707" s="9"/>
      <c r="X19707" s="9"/>
    </row>
    <row r="19708">
      <c r="D19708" s="9"/>
      <c r="G19708" s="9"/>
      <c r="J19708" s="11"/>
      <c r="U19708" s="9"/>
      <c r="X19708" s="9"/>
    </row>
    <row r="19709">
      <c r="D19709" s="9"/>
      <c r="G19709" s="9"/>
      <c r="J19709" s="11"/>
      <c r="U19709" s="9"/>
      <c r="X19709" s="9"/>
    </row>
    <row r="19710">
      <c r="D19710" s="9"/>
      <c r="G19710" s="9"/>
      <c r="J19710" s="11"/>
      <c r="U19710" s="9"/>
      <c r="X19710" s="9"/>
    </row>
    <row r="19711">
      <c r="D19711" s="9"/>
      <c r="G19711" s="9"/>
      <c r="J19711" s="11"/>
      <c r="U19711" s="9"/>
      <c r="X19711" s="9"/>
    </row>
    <row r="19712">
      <c r="D19712" s="9"/>
      <c r="G19712" s="9"/>
      <c r="J19712" s="11"/>
      <c r="U19712" s="9"/>
      <c r="X19712" s="9"/>
    </row>
    <row r="19713">
      <c r="D19713" s="9"/>
      <c r="G19713" s="9"/>
      <c r="J19713" s="11"/>
      <c r="U19713" s="9"/>
      <c r="X19713" s="9"/>
    </row>
    <row r="19714">
      <c r="D19714" s="9"/>
      <c r="G19714" s="9"/>
      <c r="J19714" s="11"/>
      <c r="U19714" s="9"/>
      <c r="X19714" s="9"/>
    </row>
    <row r="19715">
      <c r="D19715" s="9"/>
      <c r="G19715" s="9"/>
      <c r="J19715" s="11"/>
      <c r="U19715" s="9"/>
      <c r="X19715" s="9"/>
    </row>
    <row r="19716">
      <c r="D19716" s="9"/>
      <c r="G19716" s="9"/>
      <c r="J19716" s="11"/>
      <c r="U19716" s="9"/>
      <c r="X19716" s="9"/>
    </row>
    <row r="19717">
      <c r="D19717" s="9"/>
      <c r="G19717" s="9"/>
      <c r="J19717" s="11"/>
      <c r="U19717" s="9"/>
      <c r="X19717" s="9"/>
    </row>
    <row r="19718">
      <c r="D19718" s="9"/>
      <c r="G19718" s="9"/>
      <c r="J19718" s="11"/>
      <c r="U19718" s="9"/>
      <c r="X19718" s="9"/>
    </row>
    <row r="19719">
      <c r="D19719" s="9"/>
      <c r="G19719" s="9"/>
      <c r="J19719" s="11"/>
      <c r="U19719" s="9"/>
      <c r="X19719" s="9"/>
    </row>
    <row r="19720">
      <c r="D19720" s="9"/>
      <c r="G19720" s="9"/>
      <c r="J19720" s="11"/>
      <c r="U19720" s="9"/>
      <c r="X19720" s="9"/>
    </row>
    <row r="19721">
      <c r="D19721" s="9"/>
      <c r="G19721" s="9"/>
      <c r="J19721" s="11"/>
      <c r="U19721" s="9"/>
      <c r="X19721" s="9"/>
    </row>
    <row r="19722">
      <c r="D19722" s="9"/>
      <c r="G19722" s="9"/>
      <c r="J19722" s="11"/>
      <c r="U19722" s="9"/>
      <c r="X19722" s="9"/>
    </row>
    <row r="19723">
      <c r="D19723" s="9"/>
      <c r="G19723" s="9"/>
      <c r="J19723" s="11"/>
      <c r="U19723" s="9"/>
      <c r="X19723" s="9"/>
    </row>
    <row r="19724">
      <c r="D19724" s="9"/>
      <c r="G19724" s="9"/>
      <c r="J19724" s="11"/>
      <c r="U19724" s="9"/>
      <c r="X19724" s="9"/>
    </row>
    <row r="19725">
      <c r="D19725" s="9"/>
      <c r="G19725" s="9"/>
      <c r="J19725" s="11"/>
      <c r="U19725" s="9"/>
      <c r="X19725" s="9"/>
    </row>
    <row r="19726">
      <c r="D19726" s="9"/>
      <c r="G19726" s="9"/>
      <c r="J19726" s="11"/>
      <c r="U19726" s="9"/>
      <c r="X19726" s="9"/>
    </row>
    <row r="19727">
      <c r="D19727" s="9"/>
      <c r="G19727" s="9"/>
      <c r="J19727" s="11"/>
      <c r="U19727" s="9"/>
      <c r="X19727" s="9"/>
    </row>
    <row r="19728">
      <c r="D19728" s="9"/>
      <c r="G19728" s="9"/>
      <c r="J19728" s="11"/>
      <c r="U19728" s="9"/>
      <c r="X19728" s="9"/>
    </row>
    <row r="19729">
      <c r="D19729" s="9"/>
      <c r="G19729" s="9"/>
      <c r="J19729" s="11"/>
      <c r="U19729" s="9"/>
      <c r="X19729" s="9"/>
    </row>
    <row r="19730">
      <c r="D19730" s="9"/>
      <c r="G19730" s="9"/>
      <c r="J19730" s="11"/>
      <c r="U19730" s="9"/>
      <c r="X19730" s="9"/>
    </row>
    <row r="19731">
      <c r="D19731" s="9"/>
      <c r="G19731" s="9"/>
      <c r="J19731" s="11"/>
      <c r="U19731" s="9"/>
      <c r="X19731" s="9"/>
    </row>
    <row r="19732">
      <c r="D19732" s="9"/>
      <c r="G19732" s="9"/>
      <c r="J19732" s="11"/>
      <c r="U19732" s="9"/>
      <c r="X19732" s="9"/>
    </row>
    <row r="19733">
      <c r="D19733" s="9"/>
      <c r="G19733" s="9"/>
      <c r="J19733" s="11"/>
      <c r="U19733" s="9"/>
      <c r="X19733" s="9"/>
    </row>
    <row r="19734">
      <c r="D19734" s="9"/>
      <c r="G19734" s="9"/>
      <c r="J19734" s="11"/>
      <c r="U19734" s="9"/>
      <c r="X19734" s="9"/>
    </row>
    <row r="19735">
      <c r="D19735" s="9"/>
      <c r="G19735" s="9"/>
      <c r="J19735" s="11"/>
      <c r="U19735" s="9"/>
      <c r="X19735" s="9"/>
    </row>
    <row r="19736">
      <c r="D19736" s="9"/>
      <c r="G19736" s="9"/>
      <c r="J19736" s="11"/>
      <c r="U19736" s="9"/>
      <c r="X19736" s="9"/>
    </row>
    <row r="19737">
      <c r="D19737" s="9"/>
      <c r="G19737" s="9"/>
      <c r="J19737" s="11"/>
      <c r="U19737" s="9"/>
      <c r="X19737" s="9"/>
    </row>
    <row r="19738">
      <c r="D19738" s="9"/>
      <c r="G19738" s="9"/>
      <c r="J19738" s="11"/>
      <c r="U19738" s="9"/>
      <c r="X19738" s="9"/>
    </row>
    <row r="19739">
      <c r="D19739" s="9"/>
      <c r="G19739" s="9"/>
      <c r="J19739" s="11"/>
      <c r="U19739" s="9"/>
      <c r="X19739" s="9"/>
    </row>
    <row r="19740">
      <c r="D19740" s="9"/>
      <c r="G19740" s="9"/>
      <c r="J19740" s="11"/>
      <c r="U19740" s="9"/>
      <c r="X19740" s="9"/>
    </row>
    <row r="19741">
      <c r="D19741" s="9"/>
      <c r="G19741" s="9"/>
      <c r="J19741" s="11"/>
      <c r="U19741" s="9"/>
      <c r="X19741" s="9"/>
    </row>
    <row r="19742">
      <c r="D19742" s="9"/>
      <c r="G19742" s="9"/>
      <c r="J19742" s="11"/>
      <c r="U19742" s="9"/>
      <c r="X19742" s="9"/>
    </row>
    <row r="19743">
      <c r="D19743" s="9"/>
      <c r="G19743" s="9"/>
      <c r="J19743" s="11"/>
      <c r="U19743" s="9"/>
      <c r="X19743" s="9"/>
    </row>
    <row r="19744">
      <c r="D19744" s="9"/>
      <c r="G19744" s="9"/>
      <c r="J19744" s="11"/>
      <c r="U19744" s="9"/>
      <c r="X19744" s="9"/>
    </row>
    <row r="19745">
      <c r="D19745" s="9"/>
      <c r="G19745" s="9"/>
      <c r="J19745" s="11"/>
      <c r="U19745" s="9"/>
      <c r="X19745" s="9"/>
    </row>
    <row r="19746">
      <c r="D19746" s="9"/>
      <c r="G19746" s="9"/>
      <c r="J19746" s="11"/>
      <c r="U19746" s="9"/>
      <c r="X19746" s="9"/>
    </row>
    <row r="19747">
      <c r="D19747" s="9"/>
      <c r="G19747" s="9"/>
      <c r="J19747" s="11"/>
      <c r="U19747" s="9"/>
      <c r="X19747" s="9"/>
    </row>
    <row r="19748">
      <c r="D19748" s="9"/>
      <c r="G19748" s="9"/>
      <c r="J19748" s="11"/>
      <c r="U19748" s="9"/>
      <c r="X19748" s="9"/>
    </row>
    <row r="19749">
      <c r="D19749" s="9"/>
      <c r="G19749" s="9"/>
      <c r="J19749" s="11"/>
      <c r="U19749" s="9"/>
      <c r="X19749" s="9"/>
    </row>
    <row r="19750">
      <c r="D19750" s="9"/>
      <c r="G19750" s="9"/>
      <c r="J19750" s="11"/>
      <c r="U19750" s="9"/>
      <c r="X19750" s="9"/>
    </row>
    <row r="19751">
      <c r="D19751" s="9"/>
      <c r="G19751" s="9"/>
      <c r="J19751" s="11"/>
      <c r="U19751" s="9"/>
      <c r="X19751" s="9"/>
    </row>
    <row r="19752">
      <c r="D19752" s="9"/>
      <c r="G19752" s="9"/>
      <c r="J19752" s="11"/>
      <c r="U19752" s="9"/>
      <c r="X19752" s="9"/>
    </row>
    <row r="19753">
      <c r="D19753" s="9"/>
      <c r="G19753" s="9"/>
      <c r="J19753" s="11"/>
      <c r="U19753" s="9"/>
      <c r="X19753" s="9"/>
    </row>
    <row r="19754">
      <c r="D19754" s="9"/>
      <c r="G19754" s="9"/>
      <c r="J19754" s="11"/>
      <c r="U19754" s="9"/>
      <c r="X19754" s="9"/>
    </row>
    <row r="19755">
      <c r="D19755" s="9"/>
      <c r="G19755" s="9"/>
      <c r="J19755" s="11"/>
      <c r="U19755" s="9"/>
      <c r="X19755" s="9"/>
    </row>
    <row r="19756">
      <c r="D19756" s="9"/>
      <c r="G19756" s="9"/>
      <c r="J19756" s="11"/>
      <c r="U19756" s="9"/>
      <c r="X19756" s="9"/>
    </row>
    <row r="19757">
      <c r="D19757" s="9"/>
      <c r="G19757" s="9"/>
      <c r="J19757" s="11"/>
      <c r="U19757" s="9"/>
      <c r="X19757" s="9"/>
    </row>
    <row r="19758">
      <c r="D19758" s="9"/>
      <c r="G19758" s="9"/>
      <c r="J19758" s="11"/>
      <c r="U19758" s="9"/>
      <c r="X19758" s="9"/>
    </row>
    <row r="19759">
      <c r="D19759" s="9"/>
      <c r="G19759" s="9"/>
      <c r="J19759" s="11"/>
      <c r="U19759" s="9"/>
      <c r="X19759" s="9"/>
    </row>
    <row r="19760">
      <c r="D19760" s="9"/>
      <c r="G19760" s="9"/>
      <c r="J19760" s="11"/>
      <c r="U19760" s="9"/>
      <c r="X19760" s="9"/>
    </row>
    <row r="19761">
      <c r="D19761" s="9"/>
      <c r="G19761" s="9"/>
      <c r="J19761" s="11"/>
      <c r="U19761" s="9"/>
      <c r="X19761" s="9"/>
    </row>
    <row r="19762">
      <c r="D19762" s="9"/>
      <c r="G19762" s="9"/>
      <c r="J19762" s="11"/>
      <c r="U19762" s="9"/>
      <c r="X19762" s="9"/>
    </row>
    <row r="19763">
      <c r="D19763" s="9"/>
      <c r="G19763" s="9"/>
      <c r="J19763" s="11"/>
      <c r="U19763" s="9"/>
      <c r="X19763" s="9"/>
    </row>
    <row r="19764">
      <c r="D19764" s="9"/>
      <c r="G19764" s="9"/>
      <c r="J19764" s="11"/>
      <c r="U19764" s="9"/>
      <c r="X19764" s="9"/>
    </row>
    <row r="19765">
      <c r="D19765" s="9"/>
      <c r="G19765" s="9"/>
      <c r="J19765" s="11"/>
      <c r="U19765" s="9"/>
      <c r="X19765" s="9"/>
    </row>
    <row r="19766">
      <c r="D19766" s="9"/>
      <c r="G19766" s="9"/>
      <c r="J19766" s="11"/>
      <c r="U19766" s="9"/>
      <c r="X19766" s="9"/>
    </row>
    <row r="19767">
      <c r="D19767" s="9"/>
      <c r="G19767" s="9"/>
      <c r="J19767" s="11"/>
      <c r="U19767" s="9"/>
      <c r="X19767" s="9"/>
    </row>
    <row r="19768">
      <c r="D19768" s="9"/>
      <c r="G19768" s="9"/>
      <c r="J19768" s="11"/>
      <c r="U19768" s="9"/>
      <c r="X19768" s="9"/>
    </row>
    <row r="19769">
      <c r="D19769" s="9"/>
      <c r="G19769" s="9"/>
      <c r="J19769" s="11"/>
      <c r="U19769" s="9"/>
      <c r="X19769" s="9"/>
    </row>
    <row r="19770">
      <c r="D19770" s="9"/>
      <c r="G19770" s="9"/>
      <c r="J19770" s="11"/>
      <c r="U19770" s="9"/>
      <c r="X19770" s="9"/>
    </row>
    <row r="19771">
      <c r="D19771" s="9"/>
      <c r="G19771" s="9"/>
      <c r="J19771" s="11"/>
      <c r="U19771" s="9"/>
      <c r="X19771" s="9"/>
    </row>
    <row r="19772">
      <c r="D19772" s="9"/>
      <c r="G19772" s="9"/>
      <c r="J19772" s="11"/>
      <c r="U19772" s="9"/>
      <c r="X19772" s="9"/>
    </row>
    <row r="19773">
      <c r="D19773" s="9"/>
      <c r="G19773" s="9"/>
      <c r="J19773" s="11"/>
      <c r="U19773" s="9"/>
      <c r="X19773" s="9"/>
    </row>
    <row r="19774">
      <c r="D19774" s="9"/>
      <c r="G19774" s="9"/>
      <c r="J19774" s="11"/>
      <c r="U19774" s="9"/>
      <c r="X19774" s="9"/>
    </row>
    <row r="19775">
      <c r="D19775" s="9"/>
      <c r="G19775" s="9"/>
      <c r="J19775" s="11"/>
      <c r="U19775" s="9"/>
      <c r="X19775" s="9"/>
    </row>
    <row r="19776">
      <c r="D19776" s="9"/>
      <c r="G19776" s="9"/>
      <c r="J19776" s="11"/>
      <c r="U19776" s="9"/>
      <c r="X19776" s="9"/>
    </row>
    <row r="19777">
      <c r="D19777" s="9"/>
      <c r="G19777" s="9"/>
      <c r="J19777" s="11"/>
      <c r="U19777" s="9"/>
      <c r="X19777" s="9"/>
    </row>
    <row r="19778">
      <c r="D19778" s="9"/>
      <c r="G19778" s="9"/>
      <c r="J19778" s="11"/>
      <c r="U19778" s="9"/>
      <c r="X19778" s="9"/>
    </row>
    <row r="19779">
      <c r="D19779" s="9"/>
      <c r="G19779" s="9"/>
      <c r="J19779" s="11"/>
      <c r="U19779" s="9"/>
      <c r="X19779" s="9"/>
    </row>
    <row r="19780">
      <c r="D19780" s="9"/>
      <c r="G19780" s="9"/>
      <c r="J19780" s="11"/>
      <c r="U19780" s="9"/>
      <c r="X19780" s="9"/>
    </row>
    <row r="19781">
      <c r="D19781" s="9"/>
      <c r="G19781" s="9"/>
      <c r="J19781" s="11"/>
      <c r="U19781" s="9"/>
      <c r="X19781" s="9"/>
    </row>
    <row r="19782">
      <c r="D19782" s="9"/>
      <c r="G19782" s="9"/>
      <c r="J19782" s="11"/>
      <c r="U19782" s="9"/>
      <c r="X19782" s="9"/>
    </row>
    <row r="19783">
      <c r="D19783" s="9"/>
      <c r="G19783" s="9"/>
      <c r="J19783" s="11"/>
      <c r="U19783" s="9"/>
      <c r="X19783" s="9"/>
    </row>
    <row r="19784">
      <c r="D19784" s="9"/>
      <c r="G19784" s="9"/>
      <c r="J19784" s="11"/>
      <c r="U19784" s="9"/>
      <c r="X19784" s="9"/>
    </row>
    <row r="19785">
      <c r="D19785" s="9"/>
      <c r="G19785" s="9"/>
      <c r="J19785" s="11"/>
      <c r="U19785" s="9"/>
      <c r="X19785" s="9"/>
    </row>
    <row r="19786">
      <c r="D19786" s="9"/>
      <c r="G19786" s="9"/>
      <c r="J19786" s="11"/>
      <c r="U19786" s="9"/>
      <c r="X19786" s="9"/>
    </row>
    <row r="19787">
      <c r="D19787" s="9"/>
      <c r="G19787" s="9"/>
      <c r="J19787" s="11"/>
      <c r="U19787" s="9"/>
      <c r="X19787" s="9"/>
    </row>
    <row r="19788">
      <c r="D19788" s="9"/>
      <c r="G19788" s="9"/>
      <c r="J19788" s="11"/>
      <c r="U19788" s="9"/>
      <c r="X19788" s="9"/>
    </row>
    <row r="19789">
      <c r="D19789" s="9"/>
      <c r="G19789" s="9"/>
      <c r="J19789" s="11"/>
      <c r="U19789" s="9"/>
      <c r="X19789" s="9"/>
    </row>
    <row r="19790">
      <c r="D19790" s="9"/>
      <c r="G19790" s="9"/>
      <c r="J19790" s="11"/>
      <c r="U19790" s="9"/>
      <c r="X19790" s="9"/>
    </row>
    <row r="19791">
      <c r="D19791" s="9"/>
      <c r="G19791" s="9"/>
      <c r="J19791" s="11"/>
      <c r="U19791" s="9"/>
      <c r="X19791" s="9"/>
    </row>
    <row r="19792">
      <c r="D19792" s="9"/>
      <c r="G19792" s="9"/>
      <c r="J19792" s="11"/>
      <c r="U19792" s="9"/>
      <c r="X19792" s="9"/>
    </row>
    <row r="19793">
      <c r="D19793" s="9"/>
      <c r="G19793" s="9"/>
      <c r="J19793" s="11"/>
      <c r="U19793" s="9"/>
      <c r="X19793" s="9"/>
    </row>
    <row r="19794">
      <c r="D19794" s="9"/>
      <c r="G19794" s="9"/>
      <c r="J19794" s="11"/>
      <c r="U19794" s="9"/>
      <c r="X19794" s="9"/>
    </row>
    <row r="19795">
      <c r="D19795" s="9"/>
      <c r="G19795" s="9"/>
      <c r="J19795" s="11"/>
      <c r="U19795" s="9"/>
      <c r="X19795" s="9"/>
    </row>
    <row r="19796">
      <c r="D19796" s="9"/>
      <c r="G19796" s="9"/>
      <c r="J19796" s="11"/>
      <c r="U19796" s="9"/>
      <c r="X19796" s="9"/>
    </row>
    <row r="19797">
      <c r="D19797" s="9"/>
      <c r="G19797" s="9"/>
      <c r="J19797" s="11"/>
      <c r="U19797" s="9"/>
      <c r="X19797" s="9"/>
    </row>
    <row r="19798">
      <c r="D19798" s="9"/>
      <c r="G19798" s="9"/>
      <c r="J19798" s="11"/>
      <c r="U19798" s="9"/>
      <c r="X19798" s="9"/>
    </row>
    <row r="19799">
      <c r="D19799" s="9"/>
      <c r="G19799" s="9"/>
      <c r="J19799" s="11"/>
      <c r="U19799" s="9"/>
      <c r="X19799" s="9"/>
    </row>
    <row r="19800">
      <c r="D19800" s="9"/>
      <c r="G19800" s="9"/>
      <c r="J19800" s="11"/>
      <c r="U19800" s="9"/>
      <c r="X19800" s="9"/>
    </row>
    <row r="19801">
      <c r="D19801" s="9"/>
      <c r="G19801" s="9"/>
      <c r="J19801" s="11"/>
      <c r="U19801" s="9"/>
      <c r="X19801" s="9"/>
    </row>
    <row r="19802">
      <c r="D19802" s="9"/>
      <c r="G19802" s="9"/>
      <c r="J19802" s="11"/>
      <c r="U19802" s="9"/>
      <c r="X19802" s="9"/>
    </row>
    <row r="19803">
      <c r="D19803" s="9"/>
      <c r="G19803" s="9"/>
      <c r="J19803" s="11"/>
      <c r="U19803" s="9"/>
      <c r="X19803" s="9"/>
    </row>
    <row r="19804">
      <c r="D19804" s="9"/>
      <c r="G19804" s="9"/>
      <c r="J19804" s="11"/>
      <c r="U19804" s="9"/>
      <c r="X19804" s="9"/>
    </row>
    <row r="19805">
      <c r="D19805" s="9"/>
      <c r="G19805" s="9"/>
      <c r="J19805" s="11"/>
      <c r="U19805" s="9"/>
      <c r="X19805" s="9"/>
    </row>
    <row r="19806">
      <c r="D19806" s="9"/>
      <c r="G19806" s="9"/>
      <c r="J19806" s="11"/>
      <c r="U19806" s="9"/>
      <c r="X19806" s="9"/>
    </row>
    <row r="19807">
      <c r="D19807" s="9"/>
      <c r="G19807" s="9"/>
      <c r="J19807" s="11"/>
      <c r="U19807" s="9"/>
      <c r="X19807" s="9"/>
    </row>
    <row r="19808">
      <c r="D19808" s="9"/>
      <c r="G19808" s="9"/>
      <c r="J19808" s="11"/>
      <c r="U19808" s="9"/>
      <c r="X19808" s="9"/>
    </row>
    <row r="19809">
      <c r="D19809" s="9"/>
      <c r="G19809" s="9"/>
      <c r="J19809" s="11"/>
      <c r="U19809" s="9"/>
      <c r="X19809" s="9"/>
    </row>
    <row r="19810">
      <c r="D19810" s="9"/>
      <c r="G19810" s="9"/>
      <c r="J19810" s="11"/>
      <c r="U19810" s="9"/>
      <c r="X19810" s="9"/>
    </row>
    <row r="19811">
      <c r="D19811" s="9"/>
      <c r="G19811" s="9"/>
      <c r="J19811" s="11"/>
      <c r="U19811" s="9"/>
      <c r="X19811" s="9"/>
    </row>
    <row r="19812">
      <c r="D19812" s="9"/>
      <c r="G19812" s="9"/>
      <c r="J19812" s="11"/>
      <c r="U19812" s="9"/>
      <c r="X19812" s="9"/>
    </row>
    <row r="19813">
      <c r="D19813" s="9"/>
      <c r="G19813" s="9"/>
      <c r="J19813" s="11"/>
      <c r="U19813" s="9"/>
      <c r="X19813" s="9"/>
    </row>
    <row r="19814">
      <c r="D19814" s="9"/>
      <c r="G19814" s="9"/>
      <c r="J19814" s="11"/>
      <c r="U19814" s="9"/>
      <c r="X19814" s="9"/>
    </row>
    <row r="19815">
      <c r="D19815" s="9"/>
      <c r="G19815" s="9"/>
      <c r="J19815" s="11"/>
      <c r="U19815" s="9"/>
      <c r="X19815" s="9"/>
    </row>
    <row r="19816">
      <c r="D19816" s="9"/>
      <c r="G19816" s="9"/>
      <c r="J19816" s="11"/>
      <c r="U19816" s="9"/>
      <c r="X19816" s="9"/>
    </row>
    <row r="19817">
      <c r="D19817" s="9"/>
      <c r="G19817" s="9"/>
      <c r="J19817" s="11"/>
      <c r="U19817" s="9"/>
      <c r="X19817" s="9"/>
    </row>
    <row r="19818">
      <c r="D19818" s="9"/>
      <c r="G19818" s="9"/>
      <c r="J19818" s="11"/>
      <c r="U19818" s="9"/>
      <c r="X19818" s="9"/>
    </row>
    <row r="19819">
      <c r="D19819" s="9"/>
      <c r="G19819" s="9"/>
      <c r="J19819" s="11"/>
      <c r="U19819" s="9"/>
      <c r="X19819" s="9"/>
    </row>
    <row r="19820">
      <c r="D19820" s="9"/>
      <c r="G19820" s="9"/>
      <c r="J19820" s="11"/>
      <c r="U19820" s="9"/>
      <c r="X19820" s="9"/>
    </row>
    <row r="19821">
      <c r="D19821" s="9"/>
      <c r="G19821" s="9"/>
      <c r="J19821" s="11"/>
      <c r="U19821" s="9"/>
      <c r="X19821" s="9"/>
    </row>
    <row r="19822">
      <c r="D19822" s="9"/>
      <c r="G19822" s="9"/>
      <c r="J19822" s="11"/>
      <c r="U19822" s="9"/>
      <c r="X19822" s="9"/>
    </row>
    <row r="19823">
      <c r="D19823" s="9"/>
      <c r="G19823" s="9"/>
      <c r="J19823" s="11"/>
      <c r="U19823" s="9"/>
      <c r="X19823" s="9"/>
    </row>
    <row r="19824">
      <c r="D19824" s="9"/>
      <c r="G19824" s="9"/>
      <c r="J19824" s="11"/>
      <c r="U19824" s="9"/>
      <c r="X19824" s="9"/>
    </row>
    <row r="19825">
      <c r="D19825" s="9"/>
      <c r="G19825" s="9"/>
      <c r="J19825" s="11"/>
      <c r="U19825" s="9"/>
      <c r="X19825" s="9"/>
    </row>
    <row r="19826">
      <c r="D19826" s="9"/>
      <c r="G19826" s="9"/>
      <c r="J19826" s="11"/>
      <c r="U19826" s="9"/>
      <c r="X19826" s="9"/>
    </row>
    <row r="19827">
      <c r="D19827" s="9"/>
      <c r="G19827" s="9"/>
      <c r="J19827" s="11"/>
      <c r="U19827" s="9"/>
      <c r="X19827" s="9"/>
    </row>
    <row r="19828">
      <c r="D19828" s="9"/>
      <c r="G19828" s="9"/>
      <c r="J19828" s="11"/>
      <c r="U19828" s="9"/>
      <c r="X19828" s="9"/>
    </row>
    <row r="19829">
      <c r="D19829" s="9"/>
      <c r="G19829" s="9"/>
      <c r="J19829" s="11"/>
      <c r="U19829" s="9"/>
      <c r="X19829" s="9"/>
    </row>
    <row r="19830">
      <c r="D19830" s="9"/>
      <c r="G19830" s="9"/>
      <c r="J19830" s="11"/>
      <c r="U19830" s="9"/>
      <c r="X19830" s="9"/>
    </row>
    <row r="19831">
      <c r="D19831" s="9"/>
      <c r="G19831" s="9"/>
      <c r="J19831" s="11"/>
      <c r="U19831" s="9"/>
      <c r="X19831" s="9"/>
    </row>
    <row r="19832">
      <c r="D19832" s="9"/>
      <c r="G19832" s="9"/>
      <c r="J19832" s="11"/>
      <c r="U19832" s="9"/>
      <c r="X19832" s="9"/>
    </row>
    <row r="19833">
      <c r="D19833" s="9"/>
      <c r="G19833" s="9"/>
      <c r="J19833" s="11"/>
      <c r="U19833" s="9"/>
      <c r="X19833" s="9"/>
    </row>
    <row r="19834">
      <c r="D19834" s="9"/>
      <c r="G19834" s="9"/>
      <c r="J19834" s="11"/>
      <c r="U19834" s="9"/>
      <c r="X19834" s="9"/>
    </row>
    <row r="19835">
      <c r="D19835" s="9"/>
      <c r="G19835" s="9"/>
      <c r="J19835" s="11"/>
      <c r="U19835" s="9"/>
      <c r="X19835" s="9"/>
    </row>
    <row r="19836">
      <c r="D19836" s="9"/>
      <c r="G19836" s="9"/>
      <c r="J19836" s="11"/>
      <c r="U19836" s="9"/>
      <c r="X19836" s="9"/>
    </row>
    <row r="19837">
      <c r="D19837" s="9"/>
      <c r="G19837" s="9"/>
      <c r="J19837" s="11"/>
      <c r="U19837" s="9"/>
      <c r="X19837" s="9"/>
    </row>
    <row r="19838">
      <c r="D19838" s="9"/>
      <c r="G19838" s="9"/>
      <c r="J19838" s="11"/>
      <c r="U19838" s="9"/>
      <c r="X19838" s="9"/>
    </row>
    <row r="19839">
      <c r="D19839" s="9"/>
      <c r="G19839" s="9"/>
      <c r="J19839" s="11"/>
      <c r="U19839" s="9"/>
      <c r="X19839" s="9"/>
    </row>
    <row r="19840">
      <c r="D19840" s="9"/>
      <c r="G19840" s="9"/>
      <c r="J19840" s="11"/>
      <c r="U19840" s="9"/>
      <c r="X19840" s="9"/>
    </row>
    <row r="19841">
      <c r="D19841" s="9"/>
      <c r="G19841" s="9"/>
      <c r="J19841" s="11"/>
      <c r="U19841" s="9"/>
      <c r="X19841" s="9"/>
    </row>
    <row r="19842">
      <c r="D19842" s="9"/>
      <c r="G19842" s="9"/>
      <c r="J19842" s="11"/>
      <c r="U19842" s="9"/>
      <c r="X19842" s="9"/>
    </row>
    <row r="19843">
      <c r="D19843" s="9"/>
      <c r="G19843" s="9"/>
      <c r="J19843" s="11"/>
      <c r="U19843" s="9"/>
      <c r="X19843" s="9"/>
    </row>
    <row r="19844">
      <c r="D19844" s="9"/>
      <c r="G19844" s="9"/>
      <c r="J19844" s="11"/>
      <c r="U19844" s="9"/>
      <c r="X19844" s="9"/>
    </row>
    <row r="19845">
      <c r="D19845" s="9"/>
      <c r="G19845" s="9"/>
      <c r="J19845" s="11"/>
      <c r="U19845" s="9"/>
      <c r="X19845" s="9"/>
    </row>
    <row r="19846">
      <c r="D19846" s="9"/>
      <c r="G19846" s="9"/>
      <c r="J19846" s="11"/>
      <c r="U19846" s="9"/>
      <c r="X19846" s="9"/>
    </row>
    <row r="19847">
      <c r="D19847" s="9"/>
      <c r="G19847" s="9"/>
      <c r="J19847" s="11"/>
      <c r="U19847" s="9"/>
      <c r="X19847" s="9"/>
    </row>
    <row r="19848">
      <c r="D19848" s="9"/>
      <c r="G19848" s="9"/>
      <c r="J19848" s="11"/>
      <c r="U19848" s="9"/>
      <c r="X19848" s="9"/>
    </row>
    <row r="19849">
      <c r="D19849" s="9"/>
      <c r="G19849" s="9"/>
      <c r="J19849" s="11"/>
      <c r="U19849" s="9"/>
      <c r="X19849" s="9"/>
    </row>
    <row r="19850">
      <c r="D19850" s="9"/>
      <c r="G19850" s="9"/>
      <c r="J19850" s="11"/>
      <c r="U19850" s="9"/>
      <c r="X19850" s="9"/>
    </row>
    <row r="19851">
      <c r="D19851" s="9"/>
      <c r="G19851" s="9"/>
      <c r="J19851" s="11"/>
      <c r="U19851" s="9"/>
      <c r="X19851" s="9"/>
    </row>
    <row r="19852">
      <c r="D19852" s="9"/>
      <c r="G19852" s="9"/>
      <c r="J19852" s="11"/>
      <c r="U19852" s="9"/>
      <c r="X19852" s="9"/>
    </row>
    <row r="19853">
      <c r="D19853" s="9"/>
      <c r="G19853" s="9"/>
      <c r="J19853" s="11"/>
      <c r="U19853" s="9"/>
      <c r="X19853" s="9"/>
    </row>
    <row r="19854">
      <c r="D19854" s="9"/>
      <c r="G19854" s="9"/>
      <c r="J19854" s="11"/>
      <c r="U19854" s="9"/>
      <c r="X19854" s="9"/>
    </row>
    <row r="19855">
      <c r="D19855" s="9"/>
      <c r="G19855" s="9"/>
      <c r="J19855" s="11"/>
      <c r="U19855" s="9"/>
      <c r="X19855" s="9"/>
    </row>
    <row r="19856">
      <c r="D19856" s="9"/>
      <c r="G19856" s="9"/>
      <c r="J19856" s="11"/>
      <c r="U19856" s="9"/>
      <c r="X19856" s="9"/>
    </row>
    <row r="19857">
      <c r="D19857" s="9"/>
      <c r="G19857" s="9"/>
      <c r="J19857" s="11"/>
      <c r="U19857" s="9"/>
      <c r="X19857" s="9"/>
    </row>
    <row r="19858">
      <c r="D19858" s="9"/>
      <c r="G19858" s="9"/>
      <c r="J19858" s="11"/>
      <c r="U19858" s="9"/>
      <c r="X19858" s="9"/>
    </row>
    <row r="19859">
      <c r="D19859" s="9"/>
      <c r="G19859" s="9"/>
      <c r="J19859" s="11"/>
      <c r="U19859" s="9"/>
      <c r="X19859" s="9"/>
    </row>
    <row r="19860">
      <c r="D19860" s="9"/>
      <c r="G19860" s="9"/>
      <c r="J19860" s="11"/>
      <c r="U19860" s="9"/>
      <c r="X19860" s="9"/>
    </row>
    <row r="19861">
      <c r="D19861" s="9"/>
      <c r="G19861" s="9"/>
      <c r="J19861" s="11"/>
      <c r="U19861" s="9"/>
      <c r="X19861" s="9"/>
    </row>
    <row r="19862">
      <c r="D19862" s="9"/>
      <c r="G19862" s="9"/>
      <c r="J19862" s="11"/>
      <c r="U19862" s="9"/>
      <c r="X19862" s="9"/>
    </row>
    <row r="19863">
      <c r="D19863" s="9"/>
      <c r="G19863" s="9"/>
      <c r="J19863" s="11"/>
      <c r="U19863" s="9"/>
      <c r="X19863" s="9"/>
    </row>
    <row r="19864">
      <c r="D19864" s="9"/>
      <c r="G19864" s="9"/>
      <c r="J19864" s="11"/>
      <c r="U19864" s="9"/>
      <c r="X19864" s="9"/>
    </row>
    <row r="19865">
      <c r="D19865" s="9"/>
      <c r="G19865" s="9"/>
      <c r="J19865" s="11"/>
      <c r="U19865" s="9"/>
      <c r="X19865" s="9"/>
    </row>
    <row r="19866">
      <c r="D19866" s="9"/>
      <c r="G19866" s="9"/>
      <c r="J19866" s="11"/>
      <c r="U19866" s="9"/>
      <c r="X19866" s="9"/>
    </row>
    <row r="19867">
      <c r="D19867" s="9"/>
      <c r="G19867" s="9"/>
      <c r="J19867" s="11"/>
      <c r="U19867" s="9"/>
      <c r="X19867" s="9"/>
    </row>
    <row r="19868">
      <c r="D19868" s="9"/>
      <c r="G19868" s="9"/>
      <c r="J19868" s="11"/>
      <c r="U19868" s="9"/>
      <c r="X19868" s="9"/>
    </row>
    <row r="19869">
      <c r="D19869" s="9"/>
      <c r="G19869" s="9"/>
      <c r="J19869" s="11"/>
      <c r="U19869" s="9"/>
      <c r="X19869" s="9"/>
    </row>
    <row r="19870">
      <c r="D19870" s="9"/>
      <c r="G19870" s="9"/>
      <c r="J19870" s="11"/>
      <c r="U19870" s="9"/>
      <c r="X19870" s="9"/>
    </row>
    <row r="19871">
      <c r="D19871" s="9"/>
      <c r="G19871" s="9"/>
      <c r="J19871" s="11"/>
      <c r="U19871" s="9"/>
      <c r="X19871" s="9"/>
    </row>
    <row r="19872">
      <c r="D19872" s="9"/>
      <c r="G19872" s="9"/>
      <c r="J19872" s="11"/>
      <c r="U19872" s="9"/>
      <c r="X19872" s="9"/>
    </row>
    <row r="19873">
      <c r="D19873" s="9"/>
      <c r="G19873" s="9"/>
      <c r="J19873" s="11"/>
      <c r="U19873" s="9"/>
      <c r="X19873" s="9"/>
    </row>
    <row r="19874">
      <c r="D19874" s="9"/>
      <c r="G19874" s="9"/>
      <c r="J19874" s="11"/>
      <c r="U19874" s="9"/>
      <c r="X19874" s="9"/>
    </row>
    <row r="19875">
      <c r="D19875" s="9"/>
      <c r="G19875" s="9"/>
      <c r="J19875" s="11"/>
      <c r="U19875" s="9"/>
      <c r="X19875" s="9"/>
    </row>
    <row r="19876">
      <c r="D19876" s="9"/>
      <c r="G19876" s="9"/>
      <c r="J19876" s="11"/>
      <c r="U19876" s="9"/>
      <c r="X19876" s="9"/>
    </row>
    <row r="19877">
      <c r="D19877" s="9"/>
      <c r="G19877" s="9"/>
      <c r="J19877" s="11"/>
      <c r="U19877" s="9"/>
      <c r="X19877" s="9"/>
    </row>
    <row r="19878">
      <c r="D19878" s="9"/>
      <c r="G19878" s="9"/>
      <c r="J19878" s="11"/>
      <c r="U19878" s="9"/>
      <c r="X19878" s="9"/>
    </row>
    <row r="19879">
      <c r="D19879" s="9"/>
      <c r="G19879" s="9"/>
      <c r="J19879" s="11"/>
      <c r="U19879" s="9"/>
      <c r="X19879" s="9"/>
    </row>
    <row r="19880">
      <c r="D19880" s="9"/>
      <c r="G19880" s="9"/>
      <c r="J19880" s="11"/>
      <c r="U19880" s="9"/>
      <c r="X19880" s="9"/>
    </row>
    <row r="19881">
      <c r="D19881" s="9"/>
      <c r="G19881" s="9"/>
      <c r="J19881" s="11"/>
      <c r="U19881" s="9"/>
      <c r="X19881" s="9"/>
    </row>
    <row r="19882">
      <c r="D19882" s="9"/>
      <c r="G19882" s="9"/>
      <c r="J19882" s="11"/>
      <c r="U19882" s="9"/>
      <c r="X19882" s="9"/>
    </row>
    <row r="19883">
      <c r="D19883" s="9"/>
      <c r="G19883" s="9"/>
      <c r="J19883" s="11"/>
      <c r="U19883" s="9"/>
      <c r="X19883" s="9"/>
    </row>
    <row r="19884">
      <c r="D19884" s="9"/>
      <c r="G19884" s="9"/>
      <c r="J19884" s="11"/>
      <c r="U19884" s="9"/>
      <c r="X19884" s="9"/>
    </row>
    <row r="19885">
      <c r="D19885" s="9"/>
      <c r="G19885" s="9"/>
      <c r="J19885" s="11"/>
      <c r="U19885" s="9"/>
      <c r="X19885" s="9"/>
    </row>
    <row r="19886">
      <c r="D19886" s="9"/>
      <c r="G19886" s="9"/>
      <c r="J19886" s="11"/>
      <c r="U19886" s="9"/>
      <c r="X19886" s="9"/>
    </row>
    <row r="19887">
      <c r="D19887" s="9"/>
      <c r="G19887" s="9"/>
      <c r="J19887" s="11"/>
      <c r="U19887" s="9"/>
      <c r="X19887" s="9"/>
    </row>
    <row r="19888">
      <c r="D19888" s="9"/>
      <c r="G19888" s="9"/>
      <c r="J19888" s="11"/>
      <c r="U19888" s="9"/>
      <c r="X19888" s="9"/>
    </row>
    <row r="19889">
      <c r="D19889" s="9"/>
      <c r="G19889" s="9"/>
      <c r="J19889" s="11"/>
      <c r="U19889" s="9"/>
      <c r="X19889" s="9"/>
    </row>
    <row r="19890">
      <c r="D19890" s="9"/>
      <c r="G19890" s="9"/>
      <c r="J19890" s="11"/>
      <c r="U19890" s="9"/>
      <c r="X19890" s="9"/>
    </row>
    <row r="19891">
      <c r="D19891" s="9"/>
      <c r="G19891" s="9"/>
      <c r="J19891" s="11"/>
      <c r="U19891" s="9"/>
      <c r="X19891" s="9"/>
    </row>
    <row r="19892">
      <c r="D19892" s="9"/>
      <c r="G19892" s="9"/>
      <c r="J19892" s="11"/>
      <c r="U19892" s="9"/>
      <c r="X19892" s="9"/>
    </row>
    <row r="19893">
      <c r="D19893" s="9"/>
      <c r="G19893" s="9"/>
      <c r="J19893" s="11"/>
      <c r="U19893" s="9"/>
      <c r="X19893" s="9"/>
    </row>
    <row r="19894">
      <c r="D19894" s="9"/>
      <c r="G19894" s="9"/>
      <c r="J19894" s="11"/>
      <c r="U19894" s="9"/>
      <c r="X19894" s="9"/>
    </row>
    <row r="19895">
      <c r="D19895" s="9"/>
      <c r="G19895" s="9"/>
      <c r="J19895" s="11"/>
      <c r="U19895" s="9"/>
      <c r="X19895" s="9"/>
    </row>
    <row r="19896">
      <c r="D19896" s="9"/>
      <c r="G19896" s="9"/>
      <c r="J19896" s="11"/>
      <c r="U19896" s="9"/>
      <c r="X19896" s="9"/>
    </row>
    <row r="19897">
      <c r="D19897" s="9"/>
      <c r="G19897" s="9"/>
      <c r="J19897" s="11"/>
      <c r="U19897" s="9"/>
      <c r="X19897" s="9"/>
    </row>
    <row r="19898">
      <c r="D19898" s="9"/>
      <c r="G19898" s="9"/>
      <c r="J19898" s="11"/>
      <c r="U19898" s="9"/>
      <c r="X19898" s="9"/>
    </row>
    <row r="19899">
      <c r="D19899" s="9"/>
      <c r="G19899" s="9"/>
      <c r="J19899" s="11"/>
      <c r="U19899" s="9"/>
      <c r="X19899" s="9"/>
    </row>
    <row r="19900">
      <c r="D19900" s="9"/>
      <c r="G19900" s="9"/>
      <c r="J19900" s="11"/>
      <c r="U19900" s="9"/>
      <c r="X19900" s="9"/>
    </row>
    <row r="19901">
      <c r="D19901" s="9"/>
      <c r="G19901" s="9"/>
      <c r="J19901" s="11"/>
      <c r="U19901" s="9"/>
      <c r="X19901" s="9"/>
    </row>
    <row r="19902">
      <c r="D19902" s="9"/>
      <c r="G19902" s="9"/>
      <c r="J19902" s="11"/>
      <c r="U19902" s="9"/>
      <c r="X19902" s="9"/>
    </row>
    <row r="19903">
      <c r="D19903" s="9"/>
      <c r="G19903" s="9"/>
      <c r="J19903" s="11"/>
      <c r="U19903" s="9"/>
      <c r="X19903" s="9"/>
    </row>
    <row r="19904">
      <c r="D19904" s="9"/>
      <c r="G19904" s="9"/>
      <c r="J19904" s="11"/>
      <c r="U19904" s="9"/>
      <c r="X19904" s="9"/>
    </row>
    <row r="19905">
      <c r="D19905" s="9"/>
      <c r="G19905" s="9"/>
      <c r="J19905" s="11"/>
      <c r="U19905" s="9"/>
      <c r="X19905" s="9"/>
    </row>
    <row r="19906">
      <c r="D19906" s="9"/>
      <c r="G19906" s="9"/>
      <c r="J19906" s="11"/>
      <c r="U19906" s="9"/>
      <c r="X19906" s="9"/>
    </row>
    <row r="19907">
      <c r="D19907" s="9"/>
      <c r="G19907" s="9"/>
      <c r="J19907" s="11"/>
      <c r="U19907" s="9"/>
      <c r="X19907" s="9"/>
    </row>
    <row r="19908">
      <c r="D19908" s="9"/>
      <c r="G19908" s="9"/>
      <c r="J19908" s="11"/>
      <c r="U19908" s="9"/>
      <c r="X19908" s="9"/>
    </row>
    <row r="19909">
      <c r="D19909" s="9"/>
      <c r="G19909" s="9"/>
      <c r="J19909" s="11"/>
      <c r="U19909" s="9"/>
      <c r="X19909" s="9"/>
    </row>
    <row r="19910">
      <c r="D19910" s="9"/>
      <c r="G19910" s="9"/>
      <c r="J19910" s="11"/>
      <c r="U19910" s="9"/>
      <c r="X19910" s="9"/>
    </row>
    <row r="19911">
      <c r="D19911" s="9"/>
      <c r="G19911" s="9"/>
      <c r="J19911" s="11"/>
      <c r="U19911" s="9"/>
      <c r="X19911" s="9"/>
    </row>
    <row r="19912">
      <c r="D19912" s="9"/>
      <c r="G19912" s="9"/>
      <c r="J19912" s="11"/>
      <c r="U19912" s="9"/>
      <c r="X19912" s="9"/>
    </row>
    <row r="19913">
      <c r="D19913" s="9"/>
      <c r="G19913" s="9"/>
      <c r="J19913" s="11"/>
      <c r="U19913" s="9"/>
      <c r="X19913" s="9"/>
    </row>
    <row r="19914">
      <c r="D19914" s="9"/>
      <c r="G19914" s="9"/>
      <c r="J19914" s="11"/>
      <c r="U19914" s="9"/>
      <c r="X19914" s="9"/>
    </row>
    <row r="19915">
      <c r="D19915" s="9"/>
      <c r="G19915" s="9"/>
      <c r="J19915" s="11"/>
      <c r="U19915" s="9"/>
      <c r="X19915" s="9"/>
    </row>
    <row r="19916">
      <c r="D19916" s="9"/>
      <c r="G19916" s="9"/>
      <c r="J19916" s="11"/>
      <c r="U19916" s="9"/>
      <c r="X19916" s="9"/>
    </row>
    <row r="19917">
      <c r="D19917" s="9"/>
      <c r="G19917" s="9"/>
      <c r="J19917" s="11"/>
      <c r="U19917" s="9"/>
      <c r="X19917" s="9"/>
    </row>
    <row r="19918">
      <c r="D19918" s="9"/>
      <c r="G19918" s="9"/>
      <c r="J19918" s="11"/>
      <c r="U19918" s="9"/>
      <c r="X19918" s="9"/>
    </row>
    <row r="19919">
      <c r="D19919" s="9"/>
      <c r="G19919" s="9"/>
      <c r="J19919" s="11"/>
      <c r="U19919" s="9"/>
      <c r="X19919" s="9"/>
    </row>
    <row r="19920">
      <c r="D19920" s="9"/>
      <c r="G19920" s="9"/>
      <c r="J19920" s="11"/>
      <c r="U19920" s="9"/>
      <c r="X19920" s="9"/>
    </row>
    <row r="19921">
      <c r="D19921" s="9"/>
      <c r="G19921" s="9"/>
      <c r="J19921" s="11"/>
      <c r="U19921" s="9"/>
      <c r="X19921" s="9"/>
    </row>
    <row r="19922">
      <c r="D19922" s="9"/>
      <c r="G19922" s="9"/>
      <c r="J19922" s="11"/>
      <c r="U19922" s="9"/>
      <c r="X19922" s="9"/>
    </row>
    <row r="19923">
      <c r="D19923" s="9"/>
      <c r="G19923" s="9"/>
      <c r="J19923" s="11"/>
      <c r="U19923" s="9"/>
      <c r="X19923" s="9"/>
    </row>
    <row r="19924">
      <c r="D19924" s="9"/>
      <c r="G19924" s="9"/>
      <c r="J19924" s="11"/>
      <c r="U19924" s="9"/>
      <c r="X19924" s="9"/>
    </row>
    <row r="19925">
      <c r="D19925" s="9"/>
      <c r="G19925" s="9"/>
      <c r="J19925" s="11"/>
      <c r="U19925" s="9"/>
      <c r="X19925" s="9"/>
    </row>
    <row r="19926">
      <c r="D19926" s="9"/>
      <c r="G19926" s="9"/>
      <c r="J19926" s="11"/>
      <c r="U19926" s="9"/>
      <c r="X19926" s="9"/>
    </row>
    <row r="19927">
      <c r="D19927" s="9"/>
      <c r="G19927" s="9"/>
      <c r="J19927" s="11"/>
      <c r="U19927" s="9"/>
      <c r="X19927" s="9"/>
    </row>
    <row r="19928">
      <c r="D19928" s="9"/>
      <c r="G19928" s="9"/>
      <c r="J19928" s="11"/>
      <c r="U19928" s="9"/>
      <c r="X19928" s="9"/>
    </row>
    <row r="19929">
      <c r="D19929" s="9"/>
      <c r="G19929" s="9"/>
      <c r="J19929" s="11"/>
      <c r="U19929" s="9"/>
      <c r="X19929" s="9"/>
    </row>
    <row r="19930">
      <c r="D19930" s="9"/>
      <c r="G19930" s="9"/>
      <c r="J19930" s="11"/>
      <c r="U19930" s="9"/>
      <c r="X19930" s="9"/>
    </row>
    <row r="19931">
      <c r="D19931" s="9"/>
      <c r="G19931" s="9"/>
      <c r="J19931" s="11"/>
      <c r="U19931" s="9"/>
      <c r="X19931" s="9"/>
    </row>
    <row r="19932">
      <c r="D19932" s="9"/>
      <c r="G19932" s="9"/>
      <c r="J19932" s="11"/>
      <c r="U19932" s="9"/>
      <c r="X19932" s="9"/>
    </row>
    <row r="19933">
      <c r="D19933" s="9"/>
      <c r="G19933" s="9"/>
      <c r="J19933" s="11"/>
      <c r="U19933" s="9"/>
      <c r="X19933" s="9"/>
    </row>
    <row r="19934">
      <c r="D19934" s="9"/>
      <c r="G19934" s="9"/>
      <c r="J19934" s="11"/>
      <c r="U19934" s="9"/>
      <c r="X19934" s="9"/>
    </row>
    <row r="19935">
      <c r="D19935" s="9"/>
      <c r="G19935" s="9"/>
      <c r="J19935" s="11"/>
      <c r="U19935" s="9"/>
      <c r="X19935" s="9"/>
    </row>
    <row r="19936">
      <c r="D19936" s="9"/>
      <c r="G19936" s="9"/>
      <c r="J19936" s="11"/>
      <c r="U19936" s="9"/>
      <c r="X19936" s="9"/>
    </row>
    <row r="19937">
      <c r="D19937" s="9"/>
      <c r="G19937" s="9"/>
      <c r="J19937" s="11"/>
      <c r="U19937" s="9"/>
      <c r="X19937" s="9"/>
    </row>
    <row r="19938">
      <c r="D19938" s="9"/>
      <c r="G19938" s="9"/>
      <c r="J19938" s="11"/>
      <c r="U19938" s="9"/>
      <c r="X19938" s="9"/>
    </row>
    <row r="19939">
      <c r="D19939" s="9"/>
      <c r="G19939" s="9"/>
      <c r="J19939" s="11"/>
      <c r="U19939" s="9"/>
      <c r="X19939" s="9"/>
    </row>
    <row r="19940">
      <c r="D19940" s="9"/>
      <c r="G19940" s="9"/>
      <c r="J19940" s="11"/>
      <c r="U19940" s="9"/>
      <c r="X19940" s="9"/>
    </row>
    <row r="19941">
      <c r="D19941" s="9"/>
      <c r="G19941" s="9"/>
      <c r="J19941" s="11"/>
      <c r="U19941" s="9"/>
      <c r="X19941" s="9"/>
    </row>
    <row r="19942">
      <c r="D19942" s="9"/>
      <c r="G19942" s="9"/>
      <c r="J19942" s="11"/>
      <c r="U19942" s="9"/>
      <c r="X19942" s="9"/>
    </row>
    <row r="19943">
      <c r="D19943" s="9"/>
      <c r="G19943" s="9"/>
      <c r="J19943" s="11"/>
      <c r="U19943" s="9"/>
      <c r="X19943" s="9"/>
    </row>
    <row r="19944">
      <c r="D19944" s="9"/>
      <c r="G19944" s="9"/>
      <c r="J19944" s="11"/>
      <c r="U19944" s="9"/>
      <c r="X19944" s="9"/>
    </row>
    <row r="19945">
      <c r="D19945" s="9"/>
      <c r="G19945" s="9"/>
      <c r="J19945" s="11"/>
      <c r="U19945" s="9"/>
      <c r="X19945" s="9"/>
    </row>
    <row r="19946">
      <c r="D19946" s="9"/>
      <c r="G19946" s="9"/>
      <c r="J19946" s="11"/>
      <c r="U19946" s="9"/>
      <c r="X19946" s="9"/>
    </row>
    <row r="19947">
      <c r="D19947" s="9"/>
      <c r="G19947" s="9"/>
      <c r="J19947" s="11"/>
      <c r="U19947" s="9"/>
      <c r="X19947" s="9"/>
    </row>
    <row r="19948">
      <c r="D19948" s="9"/>
      <c r="G19948" s="9"/>
      <c r="J19948" s="11"/>
      <c r="U19948" s="9"/>
      <c r="X19948" s="9"/>
    </row>
    <row r="19949">
      <c r="D19949" s="9"/>
      <c r="G19949" s="9"/>
      <c r="J19949" s="11"/>
      <c r="U19949" s="9"/>
      <c r="X19949" s="9"/>
    </row>
    <row r="19950">
      <c r="D19950" s="9"/>
      <c r="G19950" s="9"/>
      <c r="J19950" s="11"/>
      <c r="U19950" s="9"/>
      <c r="X19950" s="9"/>
    </row>
    <row r="19951">
      <c r="D19951" s="9"/>
      <c r="G19951" s="9"/>
      <c r="J19951" s="11"/>
      <c r="U19951" s="9"/>
      <c r="X19951" s="9"/>
    </row>
    <row r="19952">
      <c r="D19952" s="9"/>
      <c r="G19952" s="9"/>
      <c r="J19952" s="11"/>
      <c r="U19952" s="9"/>
      <c r="X19952" s="9"/>
    </row>
    <row r="19953">
      <c r="D19953" s="9"/>
      <c r="G19953" s="9"/>
      <c r="J19953" s="11"/>
      <c r="U19953" s="9"/>
      <c r="X19953" s="9"/>
    </row>
    <row r="19954">
      <c r="D19954" s="9"/>
      <c r="G19954" s="9"/>
      <c r="J19954" s="11"/>
      <c r="U19954" s="9"/>
      <c r="X19954" s="9"/>
    </row>
    <row r="19955">
      <c r="D19955" s="9"/>
      <c r="G19955" s="9"/>
      <c r="J19955" s="11"/>
      <c r="U19955" s="9"/>
      <c r="X19955" s="9"/>
    </row>
    <row r="19956">
      <c r="D19956" s="9"/>
      <c r="G19956" s="9"/>
      <c r="J19956" s="11"/>
      <c r="U19956" s="9"/>
      <c r="X19956" s="9"/>
    </row>
    <row r="19957">
      <c r="D19957" s="9"/>
      <c r="G19957" s="9"/>
      <c r="J19957" s="11"/>
      <c r="U19957" s="9"/>
      <c r="X19957" s="9"/>
    </row>
    <row r="19958">
      <c r="D19958" s="9"/>
      <c r="G19958" s="9"/>
      <c r="J19958" s="11"/>
      <c r="U19958" s="9"/>
      <c r="X19958" s="9"/>
    </row>
    <row r="19959">
      <c r="D19959" s="9"/>
      <c r="G19959" s="9"/>
      <c r="J19959" s="11"/>
      <c r="U19959" s="9"/>
      <c r="X19959" s="9"/>
    </row>
    <row r="19960">
      <c r="D19960" s="9"/>
      <c r="G19960" s="9"/>
      <c r="J19960" s="11"/>
      <c r="U19960" s="9"/>
      <c r="X19960" s="9"/>
    </row>
    <row r="19961">
      <c r="D19961" s="9"/>
      <c r="G19961" s="9"/>
      <c r="J19961" s="11"/>
      <c r="U19961" s="9"/>
      <c r="X19961" s="9"/>
    </row>
    <row r="19962">
      <c r="D19962" s="9"/>
      <c r="G19962" s="9"/>
      <c r="J19962" s="11"/>
      <c r="U19962" s="9"/>
      <c r="X19962" s="9"/>
    </row>
    <row r="19963">
      <c r="D19963" s="9"/>
      <c r="G19963" s="9"/>
      <c r="J19963" s="11"/>
      <c r="U19963" s="9"/>
      <c r="X19963" s="9"/>
    </row>
    <row r="19964">
      <c r="D19964" s="9"/>
      <c r="G19964" s="9"/>
      <c r="J19964" s="11"/>
      <c r="U19964" s="9"/>
      <c r="X19964" s="9"/>
    </row>
    <row r="19965">
      <c r="D19965" s="9"/>
      <c r="G19965" s="9"/>
      <c r="J19965" s="11"/>
      <c r="U19965" s="9"/>
      <c r="X19965" s="9"/>
    </row>
    <row r="19966">
      <c r="D19966" s="9"/>
      <c r="G19966" s="9"/>
      <c r="J19966" s="11"/>
      <c r="U19966" s="9"/>
      <c r="X19966" s="9"/>
    </row>
    <row r="19967">
      <c r="D19967" s="9"/>
      <c r="G19967" s="9"/>
      <c r="J19967" s="11"/>
      <c r="U19967" s="9"/>
      <c r="X19967" s="9"/>
    </row>
    <row r="19968">
      <c r="D19968" s="9"/>
      <c r="G19968" s="9"/>
      <c r="J19968" s="11"/>
      <c r="U19968" s="9"/>
      <c r="X19968" s="9"/>
    </row>
    <row r="19969">
      <c r="D19969" s="9"/>
      <c r="G19969" s="9"/>
      <c r="J19969" s="11"/>
      <c r="U19969" s="9"/>
      <c r="X19969" s="9"/>
    </row>
    <row r="19970">
      <c r="D19970" s="9"/>
      <c r="G19970" s="9"/>
      <c r="J19970" s="11"/>
      <c r="U19970" s="9"/>
      <c r="X19970" s="9"/>
    </row>
    <row r="19971">
      <c r="D19971" s="9"/>
      <c r="G19971" s="9"/>
      <c r="J19971" s="11"/>
      <c r="U19971" s="9"/>
      <c r="X19971" s="9"/>
    </row>
    <row r="19972">
      <c r="D19972" s="9"/>
      <c r="G19972" s="9"/>
      <c r="J19972" s="11"/>
      <c r="U19972" s="9"/>
      <c r="X19972" s="9"/>
    </row>
    <row r="19973">
      <c r="D19973" s="9"/>
      <c r="G19973" s="9"/>
      <c r="J19973" s="11"/>
      <c r="U19973" s="9"/>
      <c r="X19973" s="9"/>
    </row>
    <row r="19974">
      <c r="D19974" s="9"/>
      <c r="G19974" s="9"/>
      <c r="J19974" s="11"/>
      <c r="U19974" s="9"/>
      <c r="X19974" s="9"/>
    </row>
    <row r="19975">
      <c r="D19975" s="9"/>
      <c r="G19975" s="9"/>
      <c r="J19975" s="11"/>
      <c r="U19975" s="9"/>
      <c r="X19975" s="9"/>
    </row>
    <row r="19976">
      <c r="D19976" s="9"/>
      <c r="G19976" s="9"/>
      <c r="J19976" s="11"/>
      <c r="U19976" s="9"/>
      <c r="X19976" s="9"/>
    </row>
    <row r="19977">
      <c r="D19977" s="9"/>
      <c r="G19977" s="9"/>
      <c r="J19977" s="11"/>
      <c r="U19977" s="9"/>
      <c r="X19977" s="9"/>
    </row>
    <row r="19978">
      <c r="D19978" s="9"/>
      <c r="G19978" s="9"/>
      <c r="J19978" s="11"/>
      <c r="U19978" s="9"/>
      <c r="X19978" s="9"/>
    </row>
    <row r="19979">
      <c r="D19979" s="9"/>
      <c r="G19979" s="9"/>
      <c r="J19979" s="11"/>
      <c r="U19979" s="9"/>
      <c r="X19979" s="9"/>
    </row>
    <row r="19980">
      <c r="D19980" s="9"/>
      <c r="G19980" s="9"/>
      <c r="J19980" s="11"/>
      <c r="U19980" s="9"/>
      <c r="X19980" s="9"/>
    </row>
    <row r="19981">
      <c r="D19981" s="9"/>
      <c r="G19981" s="9"/>
      <c r="J19981" s="11"/>
      <c r="U19981" s="9"/>
      <c r="X19981" s="9"/>
    </row>
    <row r="19982">
      <c r="D19982" s="9"/>
      <c r="G19982" s="9"/>
      <c r="J19982" s="11"/>
      <c r="U19982" s="9"/>
      <c r="X19982" s="9"/>
    </row>
    <row r="19983">
      <c r="D19983" s="9"/>
      <c r="G19983" s="9"/>
      <c r="J19983" s="11"/>
      <c r="U19983" s="9"/>
      <c r="X19983" s="9"/>
    </row>
    <row r="19984">
      <c r="D19984" s="9"/>
      <c r="G19984" s="9"/>
      <c r="J19984" s="11"/>
      <c r="U19984" s="9"/>
      <c r="X19984" s="9"/>
    </row>
    <row r="19985">
      <c r="D19985" s="9"/>
      <c r="G19985" s="9"/>
      <c r="J19985" s="11"/>
      <c r="U19985" s="9"/>
      <c r="X19985" s="9"/>
    </row>
    <row r="19986">
      <c r="D19986" s="9"/>
      <c r="G19986" s="9"/>
      <c r="J19986" s="11"/>
      <c r="U19986" s="9"/>
      <c r="X19986" s="9"/>
    </row>
    <row r="19987">
      <c r="D19987" s="9"/>
      <c r="G19987" s="9"/>
      <c r="J19987" s="11"/>
      <c r="U19987" s="9"/>
      <c r="X19987" s="9"/>
    </row>
    <row r="19988">
      <c r="D19988" s="9"/>
      <c r="G19988" s="9"/>
      <c r="J19988" s="11"/>
      <c r="U19988" s="9"/>
      <c r="X19988" s="9"/>
    </row>
    <row r="19989">
      <c r="D19989" s="9"/>
      <c r="G19989" s="9"/>
      <c r="J19989" s="11"/>
      <c r="U19989" s="9"/>
      <c r="X19989" s="9"/>
    </row>
    <row r="19990">
      <c r="D19990" s="9"/>
      <c r="G19990" s="9"/>
      <c r="J19990" s="11"/>
      <c r="U19990" s="9"/>
      <c r="X19990" s="9"/>
    </row>
    <row r="19991">
      <c r="D19991" s="9"/>
      <c r="G19991" s="9"/>
      <c r="J19991" s="11"/>
      <c r="U19991" s="9"/>
      <c r="X19991" s="9"/>
    </row>
    <row r="19992">
      <c r="D19992" s="9"/>
      <c r="G19992" s="9"/>
      <c r="J19992" s="11"/>
      <c r="U19992" s="9"/>
      <c r="X19992" s="9"/>
    </row>
    <row r="19993">
      <c r="D19993" s="9"/>
      <c r="G19993" s="9"/>
      <c r="J19993" s="11"/>
      <c r="U19993" s="9"/>
      <c r="X19993" s="9"/>
    </row>
    <row r="19994">
      <c r="D19994" s="9"/>
      <c r="G19994" s="9"/>
      <c r="J19994" s="11"/>
      <c r="U19994" s="9"/>
      <c r="X19994" s="9"/>
    </row>
    <row r="19995">
      <c r="D19995" s="9"/>
      <c r="G19995" s="9"/>
      <c r="J19995" s="11"/>
      <c r="U19995" s="9"/>
      <c r="X19995" s="9"/>
    </row>
    <row r="19996">
      <c r="D19996" s="9"/>
      <c r="G19996" s="9"/>
      <c r="J19996" s="11"/>
      <c r="U19996" s="9"/>
      <c r="X19996" s="9"/>
    </row>
    <row r="19997">
      <c r="D19997" s="9"/>
      <c r="G19997" s="9"/>
      <c r="J19997" s="11"/>
      <c r="U19997" s="9"/>
      <c r="X19997" s="9"/>
    </row>
    <row r="19998">
      <c r="D19998" s="9"/>
      <c r="G19998" s="9"/>
      <c r="J19998" s="11"/>
      <c r="U19998" s="9"/>
      <c r="X19998" s="9"/>
    </row>
    <row r="19999">
      <c r="D19999" s="9"/>
      <c r="G19999" s="9"/>
      <c r="J19999" s="11"/>
      <c r="U19999" s="9"/>
      <c r="X19999" s="9"/>
    </row>
    <row r="20000">
      <c r="D20000" s="9"/>
      <c r="G20000" s="9"/>
      <c r="J20000" s="11"/>
      <c r="U20000" s="9"/>
      <c r="X20000" s="9"/>
    </row>
    <row r="20001">
      <c r="D20001" s="9"/>
      <c r="G20001" s="9"/>
      <c r="J20001" s="11"/>
      <c r="U20001" s="9"/>
      <c r="X20001" s="9"/>
    </row>
    <row r="20002">
      <c r="D20002" s="9"/>
      <c r="G20002" s="9"/>
      <c r="J20002" s="11"/>
      <c r="U20002" s="9"/>
      <c r="X20002" s="9"/>
    </row>
    <row r="20003">
      <c r="D20003" s="9"/>
      <c r="G20003" s="9"/>
      <c r="J20003" s="11"/>
      <c r="U20003" s="9"/>
      <c r="X20003" s="9"/>
    </row>
    <row r="20004">
      <c r="D20004" s="9"/>
      <c r="G20004" s="9"/>
      <c r="J20004" s="11"/>
      <c r="U20004" s="9"/>
      <c r="X20004" s="9"/>
    </row>
    <row r="20005">
      <c r="D20005" s="9"/>
      <c r="G20005" s="9"/>
      <c r="J20005" s="11"/>
      <c r="U20005" s="9"/>
      <c r="X20005" s="9"/>
    </row>
    <row r="20006">
      <c r="D20006" s="9"/>
      <c r="G20006" s="9"/>
      <c r="J20006" s="11"/>
      <c r="U20006" s="9"/>
      <c r="X20006" s="9"/>
    </row>
    <row r="20007">
      <c r="D20007" s="9"/>
      <c r="G20007" s="9"/>
      <c r="J20007" s="11"/>
      <c r="U20007" s="9"/>
      <c r="X20007" s="9"/>
    </row>
    <row r="20008">
      <c r="D20008" s="9"/>
      <c r="G20008" s="9"/>
      <c r="J20008" s="11"/>
      <c r="U20008" s="9"/>
      <c r="X20008" s="9"/>
    </row>
    <row r="20009">
      <c r="D20009" s="9"/>
      <c r="G20009" s="9"/>
      <c r="J20009" s="11"/>
      <c r="U20009" s="9"/>
      <c r="X20009" s="9"/>
    </row>
    <row r="20010">
      <c r="D20010" s="9"/>
      <c r="G20010" s="9"/>
      <c r="J20010" s="11"/>
      <c r="U20010" s="9"/>
      <c r="X20010" s="9"/>
    </row>
    <row r="20011">
      <c r="D20011" s="9"/>
      <c r="G20011" s="9"/>
      <c r="J20011" s="11"/>
      <c r="U20011" s="9"/>
      <c r="X20011" s="9"/>
    </row>
    <row r="20012">
      <c r="D20012" s="9"/>
      <c r="G20012" s="9"/>
      <c r="J20012" s="11"/>
      <c r="U20012" s="9"/>
      <c r="X20012" s="9"/>
    </row>
    <row r="20013">
      <c r="D20013" s="9"/>
      <c r="G20013" s="9"/>
      <c r="J20013" s="11"/>
      <c r="U20013" s="9"/>
      <c r="X20013" s="9"/>
    </row>
    <row r="20014">
      <c r="D20014" s="9"/>
      <c r="G20014" s="9"/>
      <c r="J20014" s="11"/>
      <c r="U20014" s="9"/>
      <c r="X20014" s="9"/>
    </row>
    <row r="20015">
      <c r="D20015" s="9"/>
      <c r="G20015" s="9"/>
      <c r="J20015" s="11"/>
      <c r="U20015" s="9"/>
      <c r="X20015" s="9"/>
    </row>
    <row r="20016">
      <c r="D20016" s="9"/>
      <c r="G20016" s="9"/>
      <c r="J20016" s="11"/>
      <c r="U20016" s="9"/>
      <c r="X20016" s="9"/>
    </row>
    <row r="20017">
      <c r="D20017" s="9"/>
      <c r="G20017" s="9"/>
      <c r="J20017" s="11"/>
      <c r="U20017" s="9"/>
      <c r="X20017" s="9"/>
    </row>
    <row r="20018">
      <c r="D20018" s="9"/>
      <c r="G20018" s="9"/>
      <c r="J20018" s="11"/>
      <c r="U20018" s="9"/>
      <c r="X20018" s="9"/>
    </row>
    <row r="20019">
      <c r="D20019" s="9"/>
      <c r="G20019" s="9"/>
      <c r="J20019" s="11"/>
      <c r="U20019" s="9"/>
      <c r="X20019" s="9"/>
    </row>
    <row r="20020">
      <c r="D20020" s="9"/>
      <c r="G20020" s="9"/>
      <c r="J20020" s="11"/>
      <c r="U20020" s="9"/>
      <c r="X20020" s="9"/>
    </row>
    <row r="20021">
      <c r="D20021" s="9"/>
      <c r="G20021" s="9"/>
      <c r="J20021" s="11"/>
      <c r="U20021" s="9"/>
      <c r="X20021" s="9"/>
    </row>
    <row r="20022">
      <c r="D20022" s="9"/>
      <c r="G20022" s="9"/>
      <c r="J20022" s="11"/>
      <c r="U20022" s="9"/>
      <c r="X20022" s="9"/>
    </row>
    <row r="20023">
      <c r="D20023" s="9"/>
      <c r="G20023" s="9"/>
      <c r="J20023" s="11"/>
      <c r="U20023" s="9"/>
      <c r="X20023" s="9"/>
    </row>
    <row r="20024">
      <c r="D20024" s="9"/>
      <c r="G20024" s="9"/>
      <c r="J20024" s="11"/>
      <c r="U20024" s="9"/>
      <c r="X20024" s="9"/>
    </row>
    <row r="20025">
      <c r="D20025" s="9"/>
      <c r="G20025" s="9"/>
      <c r="J20025" s="11"/>
      <c r="U20025" s="9"/>
      <c r="X20025" s="9"/>
    </row>
    <row r="20026">
      <c r="D20026" s="9"/>
      <c r="G20026" s="9"/>
      <c r="J20026" s="11"/>
      <c r="U20026" s="9"/>
      <c r="X20026" s="9"/>
    </row>
    <row r="20027">
      <c r="D20027" s="9"/>
      <c r="G20027" s="9"/>
      <c r="J20027" s="11"/>
      <c r="U20027" s="9"/>
      <c r="X20027" s="9"/>
    </row>
    <row r="20028">
      <c r="D20028" s="9"/>
      <c r="G20028" s="9"/>
      <c r="J20028" s="11"/>
      <c r="U20028" s="9"/>
      <c r="X20028" s="9"/>
    </row>
    <row r="20029">
      <c r="D20029" s="9"/>
      <c r="G20029" s="9"/>
      <c r="J20029" s="11"/>
      <c r="U20029" s="9"/>
      <c r="X20029" s="9"/>
    </row>
    <row r="20030">
      <c r="D20030" s="9"/>
      <c r="G20030" s="9"/>
      <c r="J20030" s="11"/>
      <c r="U20030" s="9"/>
      <c r="X20030" s="9"/>
    </row>
    <row r="20031">
      <c r="D20031" s="9"/>
      <c r="G20031" s="9"/>
      <c r="J20031" s="11"/>
      <c r="U20031" s="9"/>
      <c r="X20031" s="9"/>
    </row>
    <row r="20032">
      <c r="D20032" s="9"/>
      <c r="G20032" s="9"/>
      <c r="J20032" s="11"/>
      <c r="U20032" s="9"/>
      <c r="X20032" s="9"/>
    </row>
    <row r="20033">
      <c r="D20033" s="9"/>
      <c r="G20033" s="9"/>
      <c r="J20033" s="11"/>
      <c r="U20033" s="9"/>
      <c r="X20033" s="9"/>
    </row>
    <row r="20034">
      <c r="D20034" s="9"/>
      <c r="G20034" s="9"/>
      <c r="J20034" s="11"/>
      <c r="U20034" s="9"/>
      <c r="X20034" s="9"/>
    </row>
    <row r="20035">
      <c r="D20035" s="9"/>
      <c r="G20035" s="9"/>
      <c r="J20035" s="11"/>
      <c r="U20035" s="9"/>
      <c r="X20035" s="9"/>
    </row>
    <row r="20036">
      <c r="D20036" s="9"/>
      <c r="G20036" s="9"/>
      <c r="J20036" s="11"/>
      <c r="U20036" s="9"/>
      <c r="X20036" s="9"/>
    </row>
    <row r="20037">
      <c r="D20037" s="9"/>
      <c r="G20037" s="9"/>
      <c r="J20037" s="11"/>
      <c r="U20037" s="9"/>
      <c r="X20037" s="9"/>
    </row>
    <row r="20038">
      <c r="D20038" s="9"/>
      <c r="G20038" s="9"/>
      <c r="J20038" s="11"/>
      <c r="U20038" s="9"/>
      <c r="X20038" s="9"/>
    </row>
    <row r="20039">
      <c r="D20039" s="9"/>
      <c r="G20039" s="9"/>
      <c r="J20039" s="11"/>
      <c r="U20039" s="9"/>
      <c r="X20039" s="9"/>
    </row>
    <row r="20040">
      <c r="D20040" s="9"/>
      <c r="G20040" s="9"/>
      <c r="J20040" s="11"/>
      <c r="U20040" s="9"/>
      <c r="X20040" s="9"/>
    </row>
    <row r="20041">
      <c r="D20041" s="9"/>
      <c r="G20041" s="9"/>
      <c r="J20041" s="11"/>
      <c r="U20041" s="9"/>
      <c r="X20041" s="9"/>
    </row>
    <row r="20042">
      <c r="D20042" s="9"/>
      <c r="G20042" s="9"/>
      <c r="J20042" s="11"/>
      <c r="U20042" s="9"/>
      <c r="X20042" s="9"/>
    </row>
    <row r="20043">
      <c r="D20043" s="9"/>
      <c r="G20043" s="9"/>
      <c r="J20043" s="11"/>
      <c r="U20043" s="9"/>
      <c r="X20043" s="9"/>
    </row>
    <row r="20044">
      <c r="D20044" s="9"/>
      <c r="G20044" s="9"/>
      <c r="J20044" s="11"/>
      <c r="U20044" s="9"/>
      <c r="X20044" s="9"/>
    </row>
    <row r="20045">
      <c r="D20045" s="9"/>
      <c r="G20045" s="9"/>
      <c r="J20045" s="11"/>
      <c r="U20045" s="9"/>
      <c r="X20045" s="9"/>
    </row>
    <row r="20046">
      <c r="D20046" s="9"/>
      <c r="G20046" s="9"/>
      <c r="J20046" s="11"/>
      <c r="U20046" s="9"/>
      <c r="X20046" s="9"/>
    </row>
    <row r="20047">
      <c r="D20047" s="9"/>
      <c r="G20047" s="9"/>
      <c r="J20047" s="11"/>
      <c r="U20047" s="9"/>
      <c r="X20047" s="9"/>
    </row>
    <row r="20048">
      <c r="D20048" s="9"/>
      <c r="G20048" s="9"/>
      <c r="J20048" s="11"/>
      <c r="U20048" s="9"/>
      <c r="X20048" s="9"/>
    </row>
    <row r="20049">
      <c r="D20049" s="9"/>
      <c r="G20049" s="9"/>
      <c r="J20049" s="11"/>
      <c r="U20049" s="9"/>
      <c r="X20049" s="9"/>
    </row>
    <row r="20050">
      <c r="D20050" s="9"/>
      <c r="G20050" s="9"/>
      <c r="J20050" s="11"/>
      <c r="U20050" s="9"/>
      <c r="X20050" s="9"/>
    </row>
    <row r="20051">
      <c r="D20051" s="9"/>
      <c r="G20051" s="9"/>
      <c r="J20051" s="11"/>
      <c r="U20051" s="9"/>
      <c r="X20051" s="9"/>
    </row>
    <row r="20052">
      <c r="D20052" s="9"/>
      <c r="G20052" s="9"/>
      <c r="J20052" s="11"/>
      <c r="U20052" s="9"/>
      <c r="X20052" s="9"/>
    </row>
    <row r="20053">
      <c r="D20053" s="9"/>
      <c r="G20053" s="9"/>
      <c r="J20053" s="11"/>
      <c r="U20053" s="9"/>
      <c r="X20053" s="9"/>
    </row>
    <row r="20054">
      <c r="D20054" s="9"/>
      <c r="G20054" s="9"/>
      <c r="J20054" s="11"/>
      <c r="U20054" s="9"/>
      <c r="X20054" s="9"/>
    </row>
    <row r="20055">
      <c r="D20055" s="9"/>
      <c r="G20055" s="9"/>
      <c r="J20055" s="11"/>
      <c r="U20055" s="9"/>
      <c r="X20055" s="9"/>
    </row>
    <row r="20056">
      <c r="D20056" s="9"/>
      <c r="G20056" s="9"/>
      <c r="J20056" s="11"/>
      <c r="U20056" s="9"/>
      <c r="X20056" s="9"/>
    </row>
    <row r="20057">
      <c r="D20057" s="9"/>
      <c r="G20057" s="9"/>
      <c r="J20057" s="11"/>
      <c r="U20057" s="9"/>
      <c r="X20057" s="9"/>
    </row>
    <row r="20058">
      <c r="D20058" s="9"/>
      <c r="G20058" s="9"/>
      <c r="J20058" s="11"/>
      <c r="U20058" s="9"/>
      <c r="X20058" s="9"/>
    </row>
    <row r="20059">
      <c r="D20059" s="9"/>
      <c r="G20059" s="9"/>
      <c r="J20059" s="11"/>
      <c r="U20059" s="9"/>
      <c r="X20059" s="9"/>
    </row>
    <row r="20060">
      <c r="D20060" s="9"/>
      <c r="G20060" s="9"/>
      <c r="J20060" s="11"/>
      <c r="U20060" s="9"/>
      <c r="X20060" s="9"/>
    </row>
    <row r="20061">
      <c r="D20061" s="9"/>
      <c r="G20061" s="9"/>
      <c r="J20061" s="11"/>
      <c r="U20061" s="9"/>
      <c r="X20061" s="9"/>
    </row>
    <row r="20062">
      <c r="D20062" s="9"/>
      <c r="G20062" s="9"/>
      <c r="J20062" s="11"/>
      <c r="U20062" s="9"/>
      <c r="X20062" s="9"/>
    </row>
    <row r="20063">
      <c r="D20063" s="9"/>
      <c r="G20063" s="9"/>
      <c r="J20063" s="11"/>
      <c r="U20063" s="9"/>
      <c r="X20063" s="9"/>
    </row>
    <row r="20064">
      <c r="D20064" s="9"/>
      <c r="G20064" s="9"/>
      <c r="J20064" s="11"/>
      <c r="U20064" s="9"/>
      <c r="X20064" s="9"/>
    </row>
    <row r="20065">
      <c r="D20065" s="9"/>
      <c r="G20065" s="9"/>
      <c r="J20065" s="11"/>
      <c r="U20065" s="9"/>
      <c r="X20065" s="9"/>
    </row>
    <row r="20066">
      <c r="D20066" s="9"/>
      <c r="G20066" s="9"/>
      <c r="J20066" s="11"/>
      <c r="U20066" s="9"/>
      <c r="X20066" s="9"/>
    </row>
    <row r="20067">
      <c r="D20067" s="9"/>
      <c r="G20067" s="9"/>
      <c r="J20067" s="11"/>
      <c r="U20067" s="9"/>
      <c r="X20067" s="9"/>
    </row>
    <row r="20068">
      <c r="D20068" s="9"/>
      <c r="G20068" s="9"/>
      <c r="J20068" s="11"/>
      <c r="U20068" s="9"/>
      <c r="X20068" s="9"/>
    </row>
    <row r="20069">
      <c r="D20069" s="9"/>
      <c r="G20069" s="9"/>
      <c r="J20069" s="11"/>
      <c r="U20069" s="9"/>
      <c r="X20069" s="9"/>
    </row>
    <row r="20070">
      <c r="D20070" s="9"/>
      <c r="G20070" s="9"/>
      <c r="J20070" s="11"/>
      <c r="U20070" s="9"/>
      <c r="X20070" s="9"/>
    </row>
    <row r="20071">
      <c r="D20071" s="9"/>
      <c r="G20071" s="9"/>
      <c r="J20071" s="11"/>
      <c r="U20071" s="9"/>
      <c r="X20071" s="9"/>
    </row>
    <row r="20072">
      <c r="D20072" s="9"/>
      <c r="G20072" s="9"/>
      <c r="J20072" s="11"/>
      <c r="U20072" s="9"/>
      <c r="X20072" s="9"/>
    </row>
    <row r="20073">
      <c r="D20073" s="9"/>
      <c r="G20073" s="9"/>
      <c r="J20073" s="11"/>
      <c r="U20073" s="9"/>
      <c r="X20073" s="9"/>
    </row>
    <row r="20074">
      <c r="D20074" s="9"/>
      <c r="G20074" s="9"/>
      <c r="J20074" s="11"/>
      <c r="U20074" s="9"/>
      <c r="X20074" s="9"/>
    </row>
    <row r="20075">
      <c r="D20075" s="9"/>
      <c r="G20075" s="9"/>
      <c r="J20075" s="11"/>
      <c r="U20075" s="9"/>
      <c r="X20075" s="9"/>
    </row>
    <row r="20076">
      <c r="D20076" s="9"/>
      <c r="G20076" s="9"/>
      <c r="J20076" s="11"/>
      <c r="U20076" s="9"/>
      <c r="X20076" s="9"/>
    </row>
    <row r="20077">
      <c r="D20077" s="9"/>
      <c r="G20077" s="9"/>
      <c r="J20077" s="11"/>
      <c r="U20077" s="9"/>
      <c r="X20077" s="9"/>
    </row>
    <row r="20078">
      <c r="D20078" s="9"/>
      <c r="G20078" s="9"/>
      <c r="J20078" s="11"/>
      <c r="U20078" s="9"/>
      <c r="X20078" s="9"/>
    </row>
    <row r="20079">
      <c r="D20079" s="9"/>
      <c r="G20079" s="9"/>
      <c r="J20079" s="11"/>
      <c r="U20079" s="9"/>
      <c r="X20079" s="9"/>
    </row>
    <row r="20080">
      <c r="D20080" s="9"/>
      <c r="G20080" s="9"/>
      <c r="J20080" s="11"/>
      <c r="U20080" s="9"/>
      <c r="X20080" s="9"/>
    </row>
    <row r="20081">
      <c r="D20081" s="9"/>
      <c r="G20081" s="9"/>
      <c r="J20081" s="11"/>
      <c r="U20081" s="9"/>
      <c r="X20081" s="9"/>
    </row>
    <row r="20082">
      <c r="D20082" s="9"/>
      <c r="G20082" s="9"/>
      <c r="J20082" s="11"/>
      <c r="U20082" s="9"/>
      <c r="X20082" s="9"/>
    </row>
    <row r="20083">
      <c r="D20083" s="9"/>
      <c r="G20083" s="9"/>
      <c r="J20083" s="11"/>
      <c r="U20083" s="9"/>
      <c r="X20083" s="9"/>
    </row>
    <row r="20084">
      <c r="D20084" s="9"/>
      <c r="G20084" s="9"/>
      <c r="J20084" s="11"/>
      <c r="U20084" s="9"/>
      <c r="X20084" s="9"/>
    </row>
    <row r="20085">
      <c r="D20085" s="9"/>
      <c r="G20085" s="9"/>
      <c r="J20085" s="11"/>
      <c r="U20085" s="9"/>
      <c r="X20085" s="9"/>
    </row>
    <row r="20086">
      <c r="D20086" s="9"/>
      <c r="G20086" s="9"/>
      <c r="J20086" s="11"/>
      <c r="U20086" s="9"/>
      <c r="X20086" s="9"/>
    </row>
    <row r="20087">
      <c r="D20087" s="9"/>
      <c r="G20087" s="9"/>
      <c r="J20087" s="11"/>
      <c r="U20087" s="9"/>
      <c r="X20087" s="9"/>
    </row>
    <row r="20088">
      <c r="D20088" s="9"/>
      <c r="G20088" s="9"/>
      <c r="J20088" s="11"/>
      <c r="U20088" s="9"/>
      <c r="X20088" s="9"/>
    </row>
    <row r="20089">
      <c r="D20089" s="9"/>
      <c r="G20089" s="9"/>
      <c r="J20089" s="11"/>
      <c r="U20089" s="9"/>
      <c r="X20089" s="9"/>
    </row>
    <row r="20090">
      <c r="D20090" s="9"/>
      <c r="G20090" s="9"/>
      <c r="J20090" s="11"/>
      <c r="U20090" s="9"/>
      <c r="X20090" s="9"/>
    </row>
    <row r="20091">
      <c r="D20091" s="9"/>
      <c r="G20091" s="9"/>
      <c r="J20091" s="11"/>
      <c r="U20091" s="9"/>
      <c r="X20091" s="9"/>
    </row>
    <row r="20092">
      <c r="D20092" s="9"/>
      <c r="G20092" s="9"/>
      <c r="J20092" s="11"/>
      <c r="U20092" s="9"/>
      <c r="X20092" s="9"/>
    </row>
    <row r="20093">
      <c r="D20093" s="9"/>
      <c r="G20093" s="9"/>
      <c r="J20093" s="11"/>
      <c r="U20093" s="9"/>
      <c r="X20093" s="9"/>
    </row>
    <row r="20094">
      <c r="D20094" s="9"/>
      <c r="G20094" s="9"/>
      <c r="J20094" s="11"/>
      <c r="U20094" s="9"/>
      <c r="X20094" s="9"/>
    </row>
    <row r="20095">
      <c r="D20095" s="9"/>
      <c r="G20095" s="9"/>
      <c r="J20095" s="11"/>
      <c r="U20095" s="9"/>
      <c r="X20095" s="9"/>
    </row>
    <row r="20096">
      <c r="D20096" s="9"/>
      <c r="G20096" s="9"/>
      <c r="J20096" s="11"/>
      <c r="U20096" s="9"/>
      <c r="X20096" s="9"/>
    </row>
    <row r="20097">
      <c r="D20097" s="9"/>
      <c r="G20097" s="9"/>
      <c r="J20097" s="11"/>
      <c r="U20097" s="9"/>
      <c r="X20097" s="9"/>
    </row>
    <row r="20098">
      <c r="D20098" s="9"/>
      <c r="G20098" s="9"/>
      <c r="J20098" s="11"/>
      <c r="U20098" s="9"/>
      <c r="X20098" s="9"/>
    </row>
    <row r="20099">
      <c r="D20099" s="9"/>
      <c r="G20099" s="9"/>
      <c r="J20099" s="11"/>
      <c r="U20099" s="9"/>
      <c r="X20099" s="9"/>
    </row>
    <row r="20100">
      <c r="D20100" s="9"/>
      <c r="G20100" s="9"/>
      <c r="J20100" s="11"/>
      <c r="U20100" s="9"/>
      <c r="X20100" s="9"/>
    </row>
    <row r="20101">
      <c r="D20101" s="9"/>
      <c r="G20101" s="9"/>
      <c r="J20101" s="11"/>
      <c r="U20101" s="9"/>
      <c r="X20101" s="9"/>
    </row>
    <row r="20102">
      <c r="D20102" s="9"/>
      <c r="G20102" s="9"/>
      <c r="J20102" s="11"/>
      <c r="U20102" s="9"/>
      <c r="X20102" s="9"/>
    </row>
    <row r="20103">
      <c r="D20103" s="9"/>
      <c r="G20103" s="9"/>
      <c r="J20103" s="11"/>
      <c r="U20103" s="9"/>
      <c r="X20103" s="9"/>
    </row>
    <row r="20104">
      <c r="D20104" s="9"/>
      <c r="G20104" s="9"/>
      <c r="J20104" s="11"/>
      <c r="U20104" s="9"/>
      <c r="X20104" s="9"/>
    </row>
    <row r="20105">
      <c r="D20105" s="9"/>
      <c r="G20105" s="9"/>
      <c r="J20105" s="11"/>
      <c r="U20105" s="9"/>
      <c r="X20105" s="9"/>
    </row>
    <row r="20106">
      <c r="D20106" s="9"/>
      <c r="G20106" s="9"/>
      <c r="J20106" s="11"/>
      <c r="U20106" s="9"/>
      <c r="X20106" s="9"/>
    </row>
    <row r="20107">
      <c r="D20107" s="9"/>
      <c r="G20107" s="9"/>
      <c r="J20107" s="11"/>
      <c r="U20107" s="9"/>
      <c r="X20107" s="9"/>
    </row>
    <row r="20108">
      <c r="D20108" s="9"/>
      <c r="G20108" s="9"/>
      <c r="J20108" s="11"/>
      <c r="U20108" s="9"/>
      <c r="X20108" s="9"/>
    </row>
    <row r="20109">
      <c r="D20109" s="9"/>
      <c r="G20109" s="9"/>
      <c r="J20109" s="11"/>
      <c r="U20109" s="9"/>
      <c r="X20109" s="9"/>
    </row>
    <row r="20110">
      <c r="D20110" s="9"/>
      <c r="G20110" s="9"/>
      <c r="J20110" s="11"/>
      <c r="U20110" s="9"/>
      <c r="X20110" s="9"/>
    </row>
    <row r="20111">
      <c r="D20111" s="9"/>
      <c r="G20111" s="9"/>
      <c r="J20111" s="11"/>
      <c r="U20111" s="9"/>
      <c r="X20111" s="9"/>
    </row>
    <row r="20112">
      <c r="D20112" s="9"/>
      <c r="G20112" s="9"/>
      <c r="J20112" s="11"/>
      <c r="U20112" s="9"/>
      <c r="X20112" s="9"/>
    </row>
    <row r="20113">
      <c r="D20113" s="9"/>
      <c r="G20113" s="9"/>
      <c r="J20113" s="11"/>
      <c r="U20113" s="9"/>
      <c r="X20113" s="9"/>
    </row>
    <row r="20114">
      <c r="D20114" s="9"/>
      <c r="G20114" s="9"/>
      <c r="J20114" s="11"/>
      <c r="U20114" s="9"/>
      <c r="X20114" s="9"/>
    </row>
    <row r="20115">
      <c r="D20115" s="9"/>
      <c r="G20115" s="9"/>
      <c r="J20115" s="11"/>
      <c r="U20115" s="9"/>
      <c r="X20115" s="9"/>
    </row>
    <row r="20116">
      <c r="D20116" s="9"/>
      <c r="G20116" s="9"/>
      <c r="J20116" s="11"/>
      <c r="U20116" s="9"/>
      <c r="X20116" s="9"/>
    </row>
    <row r="20117">
      <c r="D20117" s="9"/>
      <c r="G20117" s="9"/>
      <c r="J20117" s="11"/>
      <c r="U20117" s="9"/>
      <c r="X20117" s="9"/>
    </row>
    <row r="20118">
      <c r="D20118" s="9"/>
      <c r="G20118" s="9"/>
      <c r="J20118" s="11"/>
      <c r="U20118" s="9"/>
      <c r="X20118" s="9"/>
    </row>
    <row r="20119">
      <c r="D20119" s="9"/>
      <c r="G20119" s="9"/>
      <c r="J20119" s="11"/>
      <c r="U20119" s="9"/>
      <c r="X20119" s="9"/>
    </row>
    <row r="20120">
      <c r="D20120" s="9"/>
      <c r="G20120" s="9"/>
      <c r="J20120" s="11"/>
      <c r="U20120" s="9"/>
      <c r="X20120" s="9"/>
    </row>
    <row r="20121">
      <c r="D20121" s="9"/>
      <c r="G20121" s="9"/>
      <c r="J20121" s="11"/>
      <c r="U20121" s="9"/>
      <c r="X20121" s="9"/>
    </row>
    <row r="20122">
      <c r="D20122" s="9"/>
      <c r="G20122" s="9"/>
      <c r="J20122" s="11"/>
      <c r="U20122" s="9"/>
      <c r="X20122" s="9"/>
    </row>
    <row r="20123">
      <c r="D20123" s="9"/>
      <c r="G20123" s="9"/>
      <c r="J20123" s="11"/>
      <c r="U20123" s="9"/>
      <c r="X20123" s="9"/>
    </row>
    <row r="20124">
      <c r="D20124" s="9"/>
      <c r="G20124" s="9"/>
      <c r="J20124" s="11"/>
      <c r="U20124" s="9"/>
      <c r="X20124" s="9"/>
    </row>
    <row r="20125">
      <c r="D20125" s="9"/>
      <c r="G20125" s="9"/>
      <c r="J20125" s="11"/>
      <c r="U20125" s="9"/>
      <c r="X20125" s="9"/>
    </row>
    <row r="20126">
      <c r="D20126" s="9"/>
      <c r="G20126" s="9"/>
      <c r="J20126" s="11"/>
      <c r="U20126" s="9"/>
      <c r="X20126" s="9"/>
    </row>
    <row r="20127">
      <c r="D20127" s="9"/>
      <c r="G20127" s="9"/>
      <c r="J20127" s="11"/>
      <c r="U20127" s="9"/>
      <c r="X20127" s="9"/>
    </row>
    <row r="20128">
      <c r="D20128" s="9"/>
      <c r="G20128" s="9"/>
      <c r="J20128" s="11"/>
      <c r="U20128" s="9"/>
      <c r="X20128" s="9"/>
    </row>
    <row r="20129">
      <c r="D20129" s="9"/>
      <c r="G20129" s="9"/>
      <c r="J20129" s="11"/>
      <c r="U20129" s="9"/>
      <c r="X20129" s="9"/>
    </row>
    <row r="20130">
      <c r="D20130" s="9"/>
      <c r="G20130" s="9"/>
      <c r="J20130" s="11"/>
      <c r="U20130" s="9"/>
      <c r="X20130" s="9"/>
    </row>
    <row r="20131">
      <c r="D20131" s="9"/>
      <c r="G20131" s="9"/>
      <c r="J20131" s="11"/>
      <c r="U20131" s="9"/>
      <c r="X20131" s="9"/>
    </row>
    <row r="20132">
      <c r="D20132" s="9"/>
      <c r="G20132" s="9"/>
      <c r="J20132" s="11"/>
      <c r="U20132" s="9"/>
      <c r="X20132" s="9"/>
    </row>
    <row r="20133">
      <c r="D20133" s="9"/>
      <c r="G20133" s="9"/>
      <c r="J20133" s="11"/>
      <c r="U20133" s="9"/>
      <c r="X20133" s="9"/>
    </row>
    <row r="20134">
      <c r="D20134" s="9"/>
      <c r="G20134" s="9"/>
      <c r="J20134" s="11"/>
      <c r="U20134" s="9"/>
      <c r="X20134" s="9"/>
    </row>
    <row r="20135">
      <c r="D20135" s="9"/>
      <c r="G20135" s="9"/>
      <c r="J20135" s="11"/>
      <c r="U20135" s="9"/>
      <c r="X20135" s="9"/>
    </row>
    <row r="20136">
      <c r="D20136" s="9"/>
      <c r="G20136" s="9"/>
      <c r="J20136" s="11"/>
      <c r="U20136" s="9"/>
      <c r="X20136" s="9"/>
    </row>
    <row r="20137">
      <c r="D20137" s="9"/>
      <c r="G20137" s="9"/>
      <c r="J20137" s="11"/>
      <c r="U20137" s="9"/>
      <c r="X20137" s="9"/>
    </row>
    <row r="20138">
      <c r="D20138" s="9"/>
      <c r="G20138" s="9"/>
      <c r="J20138" s="11"/>
      <c r="U20138" s="9"/>
      <c r="X20138" s="9"/>
    </row>
    <row r="20139">
      <c r="D20139" s="9"/>
      <c r="G20139" s="9"/>
      <c r="J20139" s="11"/>
      <c r="U20139" s="9"/>
      <c r="X20139" s="9"/>
    </row>
    <row r="20140">
      <c r="D20140" s="9"/>
      <c r="G20140" s="9"/>
      <c r="J20140" s="11"/>
      <c r="U20140" s="9"/>
      <c r="X20140" s="9"/>
    </row>
    <row r="20141">
      <c r="D20141" s="9"/>
      <c r="G20141" s="9"/>
      <c r="J20141" s="11"/>
      <c r="U20141" s="9"/>
      <c r="X20141" s="9"/>
    </row>
    <row r="20142">
      <c r="D20142" s="9"/>
      <c r="G20142" s="9"/>
      <c r="J20142" s="11"/>
      <c r="U20142" s="9"/>
      <c r="X20142" s="9"/>
    </row>
    <row r="20143">
      <c r="D20143" s="9"/>
      <c r="G20143" s="9"/>
      <c r="J20143" s="11"/>
      <c r="U20143" s="9"/>
      <c r="X20143" s="9"/>
    </row>
    <row r="20144">
      <c r="D20144" s="9"/>
      <c r="G20144" s="9"/>
      <c r="J20144" s="11"/>
      <c r="U20144" s="9"/>
      <c r="X20144" s="9"/>
    </row>
    <row r="20145">
      <c r="D20145" s="9"/>
      <c r="G20145" s="9"/>
      <c r="J20145" s="11"/>
      <c r="U20145" s="9"/>
      <c r="X20145" s="9"/>
    </row>
    <row r="20146">
      <c r="D20146" s="9"/>
      <c r="G20146" s="9"/>
      <c r="J20146" s="11"/>
      <c r="U20146" s="9"/>
      <c r="X20146" s="9"/>
    </row>
    <row r="20147">
      <c r="D20147" s="9"/>
      <c r="G20147" s="9"/>
      <c r="J20147" s="11"/>
      <c r="U20147" s="9"/>
      <c r="X20147" s="9"/>
    </row>
    <row r="20148">
      <c r="D20148" s="9"/>
      <c r="G20148" s="9"/>
      <c r="J20148" s="11"/>
      <c r="U20148" s="9"/>
      <c r="X20148" s="9"/>
    </row>
    <row r="20149">
      <c r="D20149" s="9"/>
      <c r="G20149" s="9"/>
      <c r="J20149" s="11"/>
      <c r="U20149" s="9"/>
      <c r="X20149" s="9"/>
    </row>
    <row r="20150">
      <c r="D20150" s="9"/>
      <c r="G20150" s="9"/>
      <c r="J20150" s="11"/>
      <c r="U20150" s="9"/>
      <c r="X20150" s="9"/>
    </row>
    <row r="20151">
      <c r="D20151" s="9"/>
      <c r="G20151" s="9"/>
      <c r="J20151" s="11"/>
      <c r="U20151" s="9"/>
      <c r="X20151" s="9"/>
    </row>
    <row r="20152">
      <c r="D20152" s="9"/>
      <c r="G20152" s="9"/>
      <c r="J20152" s="11"/>
      <c r="U20152" s="9"/>
      <c r="X20152" s="9"/>
    </row>
    <row r="20153">
      <c r="D20153" s="9"/>
      <c r="G20153" s="9"/>
      <c r="J20153" s="11"/>
      <c r="U20153" s="9"/>
      <c r="X20153" s="9"/>
    </row>
    <row r="20154">
      <c r="D20154" s="9"/>
      <c r="G20154" s="9"/>
      <c r="J20154" s="11"/>
      <c r="U20154" s="9"/>
      <c r="X20154" s="9"/>
    </row>
    <row r="20155">
      <c r="D20155" s="9"/>
      <c r="G20155" s="9"/>
      <c r="J20155" s="11"/>
      <c r="U20155" s="9"/>
      <c r="X20155" s="9"/>
    </row>
    <row r="20156">
      <c r="D20156" s="9"/>
      <c r="G20156" s="9"/>
      <c r="J20156" s="11"/>
      <c r="U20156" s="9"/>
      <c r="X20156" s="9"/>
    </row>
    <row r="20157">
      <c r="D20157" s="9"/>
      <c r="G20157" s="9"/>
      <c r="J20157" s="11"/>
      <c r="U20157" s="9"/>
      <c r="X20157" s="9"/>
    </row>
    <row r="20158">
      <c r="D20158" s="9"/>
      <c r="G20158" s="9"/>
      <c r="J20158" s="11"/>
      <c r="U20158" s="9"/>
      <c r="X20158" s="9"/>
    </row>
    <row r="20159">
      <c r="D20159" s="9"/>
      <c r="G20159" s="9"/>
      <c r="J20159" s="11"/>
      <c r="U20159" s="9"/>
      <c r="X20159" s="9"/>
    </row>
    <row r="20160">
      <c r="D20160" s="9"/>
      <c r="G20160" s="9"/>
      <c r="J20160" s="11"/>
      <c r="U20160" s="9"/>
      <c r="X20160" s="9"/>
    </row>
    <row r="20161">
      <c r="D20161" s="9"/>
      <c r="G20161" s="9"/>
      <c r="J20161" s="11"/>
      <c r="U20161" s="9"/>
      <c r="X20161" s="9"/>
    </row>
    <row r="20162">
      <c r="D20162" s="9"/>
      <c r="G20162" s="9"/>
      <c r="J20162" s="11"/>
      <c r="U20162" s="9"/>
      <c r="X20162" s="9"/>
    </row>
    <row r="20163">
      <c r="D20163" s="9"/>
      <c r="G20163" s="9"/>
      <c r="J20163" s="11"/>
      <c r="U20163" s="9"/>
      <c r="X20163" s="9"/>
    </row>
    <row r="20164">
      <c r="D20164" s="9"/>
      <c r="G20164" s="9"/>
      <c r="J20164" s="11"/>
      <c r="U20164" s="9"/>
      <c r="X20164" s="9"/>
    </row>
    <row r="20165">
      <c r="D20165" s="9"/>
      <c r="G20165" s="9"/>
      <c r="J20165" s="11"/>
      <c r="U20165" s="9"/>
      <c r="X20165" s="9"/>
    </row>
    <row r="20166">
      <c r="D20166" s="9"/>
      <c r="G20166" s="9"/>
      <c r="J20166" s="11"/>
      <c r="U20166" s="9"/>
      <c r="X20166" s="9"/>
    </row>
    <row r="20167">
      <c r="D20167" s="9"/>
      <c r="G20167" s="9"/>
      <c r="J20167" s="11"/>
      <c r="U20167" s="9"/>
      <c r="X20167" s="9"/>
    </row>
    <row r="20168">
      <c r="D20168" s="9"/>
      <c r="G20168" s="9"/>
      <c r="J20168" s="11"/>
      <c r="U20168" s="9"/>
      <c r="X20168" s="9"/>
    </row>
    <row r="20169">
      <c r="D20169" s="9"/>
      <c r="G20169" s="9"/>
      <c r="J20169" s="11"/>
      <c r="U20169" s="9"/>
      <c r="X20169" s="9"/>
    </row>
    <row r="20170">
      <c r="D20170" s="9"/>
      <c r="G20170" s="9"/>
      <c r="J20170" s="11"/>
      <c r="U20170" s="9"/>
      <c r="X20170" s="9"/>
    </row>
    <row r="20171">
      <c r="D20171" s="9"/>
      <c r="G20171" s="9"/>
      <c r="J20171" s="11"/>
      <c r="U20171" s="9"/>
      <c r="X20171" s="9"/>
    </row>
    <row r="20172">
      <c r="D20172" s="9"/>
      <c r="G20172" s="9"/>
      <c r="J20172" s="11"/>
      <c r="U20172" s="9"/>
      <c r="X20172" s="9"/>
    </row>
    <row r="20173">
      <c r="D20173" s="9"/>
      <c r="G20173" s="9"/>
      <c r="J20173" s="11"/>
      <c r="U20173" s="9"/>
      <c r="X20173" s="9"/>
    </row>
    <row r="20174">
      <c r="D20174" s="9"/>
      <c r="G20174" s="9"/>
      <c r="J20174" s="11"/>
      <c r="U20174" s="9"/>
      <c r="X20174" s="9"/>
    </row>
    <row r="20175">
      <c r="D20175" s="9"/>
      <c r="G20175" s="9"/>
      <c r="J20175" s="11"/>
      <c r="U20175" s="9"/>
      <c r="X20175" s="9"/>
    </row>
    <row r="20176">
      <c r="D20176" s="9"/>
      <c r="G20176" s="9"/>
      <c r="J20176" s="11"/>
      <c r="U20176" s="9"/>
      <c r="X20176" s="9"/>
    </row>
    <row r="20177">
      <c r="D20177" s="9"/>
      <c r="G20177" s="9"/>
      <c r="J20177" s="11"/>
      <c r="U20177" s="9"/>
      <c r="X20177" s="9"/>
    </row>
    <row r="20178">
      <c r="D20178" s="9"/>
      <c r="G20178" s="9"/>
      <c r="J20178" s="11"/>
      <c r="U20178" s="9"/>
      <c r="X20178" s="9"/>
    </row>
    <row r="20179">
      <c r="D20179" s="9"/>
      <c r="G20179" s="9"/>
      <c r="J20179" s="11"/>
      <c r="U20179" s="9"/>
      <c r="X20179" s="9"/>
    </row>
    <row r="20180">
      <c r="D20180" s="9"/>
      <c r="G20180" s="9"/>
      <c r="J20180" s="11"/>
      <c r="U20180" s="9"/>
      <c r="X20180" s="9"/>
    </row>
    <row r="20181">
      <c r="D20181" s="9"/>
      <c r="G20181" s="9"/>
      <c r="J20181" s="11"/>
      <c r="U20181" s="9"/>
      <c r="X20181" s="9"/>
    </row>
    <row r="20182">
      <c r="D20182" s="9"/>
      <c r="G20182" s="9"/>
      <c r="J20182" s="11"/>
      <c r="U20182" s="9"/>
      <c r="X20182" s="9"/>
    </row>
    <row r="20183">
      <c r="D20183" s="9"/>
      <c r="G20183" s="9"/>
      <c r="J20183" s="11"/>
      <c r="U20183" s="9"/>
      <c r="X20183" s="9"/>
    </row>
    <row r="20184">
      <c r="D20184" s="9"/>
      <c r="G20184" s="9"/>
      <c r="J20184" s="11"/>
      <c r="U20184" s="9"/>
      <c r="X20184" s="9"/>
    </row>
    <row r="20185">
      <c r="D20185" s="9"/>
      <c r="G20185" s="9"/>
      <c r="J20185" s="11"/>
      <c r="U20185" s="9"/>
      <c r="X20185" s="9"/>
    </row>
    <row r="20186">
      <c r="D20186" s="9"/>
      <c r="G20186" s="9"/>
      <c r="J20186" s="11"/>
      <c r="U20186" s="9"/>
      <c r="X20186" s="9"/>
    </row>
    <row r="20187">
      <c r="D20187" s="9"/>
      <c r="G20187" s="9"/>
      <c r="J20187" s="11"/>
      <c r="U20187" s="9"/>
      <c r="X20187" s="9"/>
    </row>
    <row r="20188">
      <c r="D20188" s="9"/>
      <c r="G20188" s="9"/>
      <c r="J20188" s="11"/>
      <c r="U20188" s="9"/>
      <c r="X20188" s="9"/>
    </row>
    <row r="20189">
      <c r="D20189" s="9"/>
      <c r="G20189" s="9"/>
      <c r="J20189" s="11"/>
      <c r="U20189" s="9"/>
      <c r="X20189" s="9"/>
    </row>
    <row r="20190">
      <c r="D20190" s="9"/>
      <c r="G20190" s="9"/>
      <c r="J20190" s="11"/>
      <c r="U20190" s="9"/>
      <c r="X20190" s="9"/>
    </row>
    <row r="20191">
      <c r="D20191" s="9"/>
      <c r="G20191" s="9"/>
      <c r="J20191" s="11"/>
      <c r="U20191" s="9"/>
      <c r="X20191" s="9"/>
    </row>
    <row r="20192">
      <c r="D20192" s="9"/>
      <c r="G20192" s="9"/>
      <c r="J20192" s="11"/>
      <c r="U20192" s="9"/>
      <c r="X20192" s="9"/>
    </row>
    <row r="20193">
      <c r="D20193" s="9"/>
      <c r="G20193" s="9"/>
      <c r="J20193" s="11"/>
      <c r="U20193" s="9"/>
      <c r="X20193" s="9"/>
    </row>
    <row r="20194">
      <c r="D20194" s="9"/>
      <c r="G20194" s="9"/>
      <c r="J20194" s="11"/>
      <c r="U20194" s="9"/>
      <c r="X20194" s="9"/>
    </row>
    <row r="20195">
      <c r="D20195" s="9"/>
      <c r="G20195" s="9"/>
      <c r="J20195" s="11"/>
      <c r="U20195" s="9"/>
      <c r="X20195" s="9"/>
    </row>
    <row r="20196">
      <c r="D20196" s="9"/>
      <c r="G20196" s="9"/>
      <c r="J20196" s="11"/>
      <c r="U20196" s="9"/>
      <c r="X20196" s="9"/>
    </row>
    <row r="20197">
      <c r="D20197" s="9"/>
      <c r="G20197" s="9"/>
      <c r="J20197" s="11"/>
      <c r="U20197" s="9"/>
      <c r="X20197" s="9"/>
    </row>
    <row r="20198">
      <c r="D20198" s="9"/>
      <c r="G20198" s="9"/>
      <c r="J20198" s="11"/>
      <c r="U20198" s="9"/>
      <c r="X20198" s="9"/>
    </row>
    <row r="20199">
      <c r="D20199" s="9"/>
      <c r="G20199" s="9"/>
      <c r="J20199" s="11"/>
      <c r="U20199" s="9"/>
      <c r="X20199" s="9"/>
    </row>
    <row r="20200">
      <c r="D20200" s="9"/>
      <c r="G20200" s="9"/>
      <c r="J20200" s="11"/>
      <c r="U20200" s="9"/>
      <c r="X20200" s="9"/>
    </row>
    <row r="20201">
      <c r="D20201" s="9"/>
      <c r="G20201" s="9"/>
      <c r="J20201" s="11"/>
      <c r="U20201" s="9"/>
      <c r="X20201" s="9"/>
    </row>
    <row r="20202">
      <c r="D20202" s="9"/>
      <c r="G20202" s="9"/>
      <c r="J20202" s="11"/>
      <c r="U20202" s="9"/>
      <c r="X20202" s="9"/>
    </row>
    <row r="20203">
      <c r="D20203" s="9"/>
      <c r="G20203" s="9"/>
      <c r="J20203" s="11"/>
      <c r="U20203" s="9"/>
      <c r="X20203" s="9"/>
    </row>
    <row r="20204">
      <c r="D20204" s="9"/>
      <c r="G20204" s="9"/>
      <c r="J20204" s="11"/>
      <c r="U20204" s="9"/>
      <c r="X20204" s="9"/>
    </row>
    <row r="20205">
      <c r="D20205" s="9"/>
      <c r="G20205" s="9"/>
      <c r="J20205" s="11"/>
      <c r="U20205" s="9"/>
      <c r="X20205" s="9"/>
    </row>
    <row r="20206">
      <c r="D20206" s="9"/>
      <c r="G20206" s="9"/>
      <c r="J20206" s="11"/>
      <c r="U20206" s="9"/>
      <c r="X20206" s="9"/>
    </row>
    <row r="20207">
      <c r="D20207" s="9"/>
      <c r="G20207" s="9"/>
      <c r="J20207" s="11"/>
      <c r="U20207" s="9"/>
      <c r="X20207" s="9"/>
    </row>
    <row r="20208">
      <c r="D20208" s="9"/>
      <c r="G20208" s="9"/>
      <c r="J20208" s="11"/>
      <c r="U20208" s="9"/>
      <c r="X20208" s="9"/>
    </row>
    <row r="20209">
      <c r="D20209" s="9"/>
      <c r="G20209" s="9"/>
      <c r="J20209" s="11"/>
      <c r="U20209" s="9"/>
      <c r="X20209" s="9"/>
    </row>
    <row r="20210">
      <c r="D20210" s="9"/>
      <c r="G20210" s="9"/>
      <c r="J20210" s="11"/>
      <c r="U20210" s="9"/>
      <c r="X20210" s="9"/>
    </row>
    <row r="20211">
      <c r="D20211" s="9"/>
      <c r="G20211" s="9"/>
      <c r="J20211" s="11"/>
      <c r="U20211" s="9"/>
      <c r="X20211" s="9"/>
    </row>
    <row r="20212">
      <c r="D20212" s="9"/>
      <c r="G20212" s="9"/>
      <c r="J20212" s="11"/>
      <c r="U20212" s="9"/>
      <c r="X20212" s="9"/>
    </row>
    <row r="20213">
      <c r="D20213" s="9"/>
      <c r="G20213" s="9"/>
      <c r="J20213" s="11"/>
      <c r="U20213" s="9"/>
      <c r="X20213" s="9"/>
    </row>
    <row r="20214">
      <c r="D20214" s="9"/>
      <c r="G20214" s="9"/>
      <c r="J20214" s="11"/>
      <c r="U20214" s="9"/>
      <c r="X20214" s="9"/>
    </row>
    <row r="20215">
      <c r="D20215" s="9"/>
      <c r="G20215" s="9"/>
      <c r="J20215" s="11"/>
      <c r="U20215" s="9"/>
      <c r="X20215" s="9"/>
    </row>
    <row r="20216">
      <c r="D20216" s="9"/>
      <c r="G20216" s="9"/>
      <c r="J20216" s="11"/>
      <c r="U20216" s="9"/>
      <c r="X20216" s="9"/>
    </row>
    <row r="20217">
      <c r="D20217" s="9"/>
      <c r="G20217" s="9"/>
      <c r="J20217" s="11"/>
      <c r="U20217" s="9"/>
      <c r="X20217" s="9"/>
    </row>
    <row r="20218">
      <c r="D20218" s="9"/>
      <c r="G20218" s="9"/>
      <c r="J20218" s="11"/>
      <c r="U20218" s="9"/>
      <c r="X20218" s="9"/>
    </row>
    <row r="20219">
      <c r="D20219" s="9"/>
      <c r="G20219" s="9"/>
      <c r="J20219" s="11"/>
      <c r="U20219" s="9"/>
      <c r="X20219" s="9"/>
    </row>
    <row r="20220">
      <c r="D20220" s="9"/>
      <c r="G20220" s="9"/>
      <c r="J20220" s="11"/>
      <c r="U20220" s="9"/>
      <c r="X20220" s="9"/>
    </row>
    <row r="20221">
      <c r="D20221" s="9"/>
      <c r="G20221" s="9"/>
      <c r="J20221" s="11"/>
      <c r="U20221" s="9"/>
      <c r="X20221" s="9"/>
    </row>
    <row r="20222">
      <c r="D20222" s="9"/>
      <c r="G20222" s="9"/>
      <c r="J20222" s="11"/>
      <c r="U20222" s="9"/>
      <c r="X20222" s="9"/>
    </row>
    <row r="20223">
      <c r="D20223" s="9"/>
      <c r="G20223" s="9"/>
      <c r="J20223" s="11"/>
      <c r="U20223" s="9"/>
      <c r="X20223" s="9"/>
    </row>
    <row r="20224">
      <c r="D20224" s="9"/>
      <c r="G20224" s="9"/>
      <c r="J20224" s="11"/>
      <c r="U20224" s="9"/>
      <c r="X20224" s="9"/>
    </row>
    <row r="20225">
      <c r="D20225" s="9"/>
      <c r="G20225" s="9"/>
      <c r="J20225" s="11"/>
      <c r="U20225" s="9"/>
      <c r="X20225" s="9"/>
    </row>
    <row r="20226">
      <c r="D20226" s="9"/>
      <c r="G20226" s="9"/>
      <c r="J20226" s="11"/>
      <c r="U20226" s="9"/>
      <c r="X20226" s="9"/>
    </row>
    <row r="20227">
      <c r="D20227" s="9"/>
      <c r="G20227" s="9"/>
      <c r="J20227" s="11"/>
      <c r="U20227" s="9"/>
      <c r="X20227" s="9"/>
    </row>
    <row r="20228">
      <c r="D20228" s="9"/>
      <c r="G20228" s="9"/>
      <c r="J20228" s="11"/>
      <c r="U20228" s="9"/>
      <c r="X20228" s="9"/>
    </row>
    <row r="20229">
      <c r="D20229" s="9"/>
      <c r="G20229" s="9"/>
      <c r="J20229" s="11"/>
      <c r="U20229" s="9"/>
      <c r="X20229" s="9"/>
    </row>
    <row r="20230">
      <c r="D20230" s="9"/>
      <c r="G20230" s="9"/>
      <c r="J20230" s="11"/>
      <c r="U20230" s="9"/>
      <c r="X20230" s="9"/>
    </row>
    <row r="20231">
      <c r="D20231" s="9"/>
      <c r="G20231" s="9"/>
      <c r="J20231" s="11"/>
      <c r="U20231" s="9"/>
      <c r="X20231" s="9"/>
    </row>
    <row r="20232">
      <c r="D20232" s="9"/>
      <c r="G20232" s="9"/>
      <c r="J20232" s="11"/>
      <c r="U20232" s="9"/>
      <c r="X20232" s="9"/>
    </row>
    <row r="20233">
      <c r="D20233" s="9"/>
      <c r="G20233" s="9"/>
      <c r="J20233" s="11"/>
      <c r="U20233" s="9"/>
      <c r="X20233" s="9"/>
    </row>
    <row r="20234">
      <c r="D20234" s="9"/>
      <c r="G20234" s="9"/>
      <c r="J20234" s="11"/>
      <c r="U20234" s="9"/>
      <c r="X20234" s="9"/>
    </row>
    <row r="20235">
      <c r="D20235" s="9"/>
      <c r="G20235" s="9"/>
      <c r="J20235" s="11"/>
      <c r="U20235" s="9"/>
      <c r="X20235" s="9"/>
    </row>
    <row r="20236">
      <c r="D20236" s="9"/>
      <c r="G20236" s="9"/>
      <c r="J20236" s="11"/>
      <c r="U20236" s="9"/>
      <c r="X20236" s="9"/>
    </row>
    <row r="20237">
      <c r="D20237" s="9"/>
      <c r="G20237" s="9"/>
      <c r="J20237" s="11"/>
      <c r="U20237" s="9"/>
      <c r="X20237" s="9"/>
    </row>
    <row r="20238">
      <c r="D20238" s="9"/>
      <c r="G20238" s="9"/>
      <c r="J20238" s="11"/>
      <c r="U20238" s="9"/>
      <c r="X20238" s="9"/>
    </row>
    <row r="20239">
      <c r="D20239" s="9"/>
      <c r="G20239" s="9"/>
      <c r="J20239" s="11"/>
      <c r="U20239" s="9"/>
      <c r="X20239" s="9"/>
    </row>
    <row r="20240">
      <c r="D20240" s="9"/>
      <c r="G20240" s="9"/>
      <c r="J20240" s="11"/>
      <c r="U20240" s="9"/>
      <c r="X20240" s="9"/>
    </row>
    <row r="20241">
      <c r="D20241" s="9"/>
      <c r="G20241" s="9"/>
      <c r="J20241" s="11"/>
      <c r="U20241" s="9"/>
      <c r="X20241" s="9"/>
    </row>
    <row r="20242">
      <c r="D20242" s="9"/>
      <c r="G20242" s="9"/>
      <c r="J20242" s="11"/>
      <c r="U20242" s="9"/>
      <c r="X20242" s="9"/>
    </row>
    <row r="20243">
      <c r="D20243" s="9"/>
      <c r="G20243" s="9"/>
      <c r="J20243" s="11"/>
      <c r="U20243" s="9"/>
      <c r="X20243" s="9"/>
    </row>
    <row r="20244">
      <c r="D20244" s="9"/>
      <c r="G20244" s="9"/>
      <c r="J20244" s="11"/>
      <c r="U20244" s="9"/>
      <c r="X20244" s="9"/>
    </row>
    <row r="20245">
      <c r="D20245" s="9"/>
      <c r="G20245" s="9"/>
      <c r="J20245" s="11"/>
      <c r="U20245" s="9"/>
      <c r="X20245" s="9"/>
    </row>
    <row r="20246">
      <c r="D20246" s="9"/>
      <c r="G20246" s="9"/>
      <c r="J20246" s="11"/>
      <c r="U20246" s="9"/>
      <c r="X20246" s="9"/>
    </row>
    <row r="20247">
      <c r="D20247" s="9"/>
      <c r="G20247" s="9"/>
      <c r="J20247" s="11"/>
      <c r="U20247" s="9"/>
      <c r="X20247" s="9"/>
    </row>
    <row r="20248">
      <c r="D20248" s="9"/>
      <c r="G20248" s="9"/>
      <c r="J20248" s="11"/>
      <c r="U20248" s="9"/>
      <c r="X20248" s="9"/>
    </row>
    <row r="20249">
      <c r="D20249" s="9"/>
      <c r="G20249" s="9"/>
      <c r="J20249" s="11"/>
      <c r="U20249" s="9"/>
      <c r="X20249" s="9"/>
    </row>
    <row r="20250">
      <c r="D20250" s="9"/>
      <c r="G20250" s="9"/>
      <c r="J20250" s="11"/>
      <c r="U20250" s="9"/>
      <c r="X20250" s="9"/>
    </row>
    <row r="20251">
      <c r="D20251" s="9"/>
      <c r="G20251" s="9"/>
      <c r="J20251" s="11"/>
      <c r="U20251" s="9"/>
      <c r="X20251" s="9"/>
    </row>
    <row r="20252">
      <c r="D20252" s="9"/>
      <c r="G20252" s="9"/>
      <c r="J20252" s="11"/>
      <c r="U20252" s="9"/>
      <c r="X20252" s="9"/>
    </row>
    <row r="20253">
      <c r="D20253" s="9"/>
      <c r="G20253" s="9"/>
      <c r="J20253" s="11"/>
      <c r="U20253" s="9"/>
      <c r="X20253" s="9"/>
    </row>
    <row r="20254">
      <c r="D20254" s="9"/>
      <c r="G20254" s="9"/>
      <c r="J20254" s="11"/>
      <c r="U20254" s="9"/>
      <c r="X20254" s="9"/>
    </row>
    <row r="20255">
      <c r="D20255" s="9"/>
      <c r="G20255" s="9"/>
      <c r="J20255" s="11"/>
      <c r="U20255" s="9"/>
      <c r="X20255" s="9"/>
    </row>
    <row r="20256">
      <c r="D20256" s="9"/>
      <c r="G20256" s="9"/>
      <c r="J20256" s="11"/>
      <c r="U20256" s="9"/>
      <c r="X20256" s="9"/>
    </row>
    <row r="20257">
      <c r="D20257" s="9"/>
      <c r="G20257" s="9"/>
      <c r="J20257" s="11"/>
      <c r="U20257" s="9"/>
      <c r="X20257" s="9"/>
    </row>
    <row r="20258">
      <c r="D20258" s="9"/>
      <c r="G20258" s="9"/>
      <c r="J20258" s="11"/>
      <c r="U20258" s="9"/>
      <c r="X20258" s="9"/>
    </row>
    <row r="20259">
      <c r="D20259" s="9"/>
      <c r="G20259" s="9"/>
      <c r="J20259" s="11"/>
      <c r="U20259" s="9"/>
      <c r="X20259" s="9"/>
    </row>
    <row r="20260">
      <c r="D20260" s="9"/>
      <c r="G20260" s="9"/>
      <c r="J20260" s="11"/>
      <c r="U20260" s="9"/>
      <c r="X20260" s="9"/>
    </row>
    <row r="20261">
      <c r="D20261" s="9"/>
      <c r="G20261" s="9"/>
      <c r="J20261" s="11"/>
      <c r="U20261" s="9"/>
      <c r="X20261" s="9"/>
    </row>
    <row r="20262">
      <c r="D20262" s="9"/>
      <c r="G20262" s="9"/>
      <c r="J20262" s="11"/>
      <c r="U20262" s="9"/>
      <c r="X20262" s="9"/>
    </row>
    <row r="20263">
      <c r="D20263" s="9"/>
      <c r="G20263" s="9"/>
      <c r="J20263" s="11"/>
      <c r="U20263" s="9"/>
      <c r="X20263" s="9"/>
    </row>
    <row r="20264">
      <c r="D20264" s="9"/>
      <c r="G20264" s="9"/>
      <c r="J20264" s="11"/>
      <c r="U20264" s="9"/>
      <c r="X20264" s="9"/>
    </row>
    <row r="20265">
      <c r="D20265" s="9"/>
      <c r="G20265" s="9"/>
      <c r="J20265" s="11"/>
      <c r="U20265" s="9"/>
      <c r="X20265" s="9"/>
    </row>
    <row r="20266">
      <c r="D20266" s="9"/>
      <c r="G20266" s="9"/>
      <c r="J20266" s="11"/>
      <c r="U20266" s="9"/>
      <c r="X20266" s="9"/>
    </row>
    <row r="20267">
      <c r="D20267" s="9"/>
      <c r="G20267" s="9"/>
      <c r="J20267" s="11"/>
      <c r="U20267" s="9"/>
      <c r="X20267" s="9"/>
    </row>
    <row r="20268">
      <c r="D20268" s="9"/>
      <c r="G20268" s="9"/>
      <c r="J20268" s="11"/>
      <c r="U20268" s="9"/>
      <c r="X20268" s="9"/>
    </row>
    <row r="20269">
      <c r="D20269" s="9"/>
      <c r="G20269" s="9"/>
      <c r="J20269" s="11"/>
      <c r="U20269" s="9"/>
      <c r="X20269" s="9"/>
    </row>
    <row r="20270">
      <c r="D20270" s="9"/>
      <c r="G20270" s="9"/>
      <c r="J20270" s="11"/>
      <c r="U20270" s="9"/>
      <c r="X20270" s="9"/>
    </row>
    <row r="20271">
      <c r="D20271" s="9"/>
      <c r="G20271" s="9"/>
      <c r="J20271" s="11"/>
      <c r="U20271" s="9"/>
      <c r="X20271" s="9"/>
    </row>
    <row r="20272">
      <c r="D20272" s="9"/>
      <c r="G20272" s="9"/>
      <c r="J20272" s="11"/>
      <c r="U20272" s="9"/>
      <c r="X20272" s="9"/>
    </row>
    <row r="20273">
      <c r="D20273" s="9"/>
      <c r="G20273" s="9"/>
      <c r="J20273" s="11"/>
      <c r="U20273" s="9"/>
      <c r="X20273" s="9"/>
    </row>
    <row r="20274">
      <c r="D20274" s="9"/>
      <c r="G20274" s="9"/>
      <c r="J20274" s="11"/>
      <c r="U20274" s="9"/>
      <c r="X20274" s="9"/>
    </row>
    <row r="20275">
      <c r="D20275" s="9"/>
      <c r="G20275" s="9"/>
      <c r="J20275" s="11"/>
      <c r="U20275" s="9"/>
      <c r="X20275" s="9"/>
    </row>
    <row r="20276">
      <c r="D20276" s="9"/>
      <c r="G20276" s="9"/>
      <c r="J20276" s="11"/>
      <c r="U20276" s="9"/>
      <c r="X20276" s="9"/>
    </row>
    <row r="20277">
      <c r="D20277" s="9"/>
      <c r="G20277" s="9"/>
      <c r="J20277" s="11"/>
      <c r="U20277" s="9"/>
      <c r="X20277" s="9"/>
    </row>
    <row r="20278">
      <c r="D20278" s="9"/>
      <c r="G20278" s="9"/>
      <c r="J20278" s="11"/>
      <c r="U20278" s="9"/>
      <c r="X20278" s="9"/>
    </row>
    <row r="20279">
      <c r="D20279" s="9"/>
      <c r="G20279" s="9"/>
      <c r="J20279" s="11"/>
      <c r="U20279" s="9"/>
      <c r="X20279" s="9"/>
    </row>
    <row r="20280">
      <c r="D20280" s="9"/>
      <c r="G20280" s="9"/>
      <c r="J20280" s="11"/>
      <c r="U20280" s="9"/>
      <c r="X20280" s="9"/>
    </row>
    <row r="20281">
      <c r="D20281" s="9"/>
      <c r="G20281" s="9"/>
      <c r="J20281" s="11"/>
      <c r="U20281" s="9"/>
      <c r="X20281" s="9"/>
    </row>
    <row r="20282">
      <c r="D20282" s="9"/>
      <c r="G20282" s="9"/>
      <c r="J20282" s="11"/>
      <c r="U20282" s="9"/>
      <c r="X20282" s="9"/>
    </row>
    <row r="20283">
      <c r="D20283" s="9"/>
      <c r="G20283" s="9"/>
      <c r="J20283" s="11"/>
      <c r="U20283" s="9"/>
      <c r="X20283" s="9"/>
    </row>
    <row r="20284">
      <c r="D20284" s="9"/>
      <c r="G20284" s="9"/>
      <c r="J20284" s="11"/>
      <c r="U20284" s="9"/>
      <c r="X20284" s="9"/>
    </row>
    <row r="20285">
      <c r="D20285" s="9"/>
      <c r="G20285" s="9"/>
      <c r="J20285" s="11"/>
      <c r="U20285" s="9"/>
      <c r="X20285" s="9"/>
    </row>
    <row r="20286">
      <c r="D20286" s="9"/>
      <c r="G20286" s="9"/>
      <c r="J20286" s="11"/>
      <c r="U20286" s="9"/>
      <c r="X20286" s="9"/>
    </row>
    <row r="20287">
      <c r="D20287" s="9"/>
      <c r="G20287" s="9"/>
      <c r="J20287" s="11"/>
      <c r="U20287" s="9"/>
      <c r="X20287" s="9"/>
    </row>
    <row r="20288">
      <c r="D20288" s="9"/>
      <c r="G20288" s="9"/>
      <c r="J20288" s="11"/>
      <c r="U20288" s="9"/>
      <c r="X20288" s="9"/>
    </row>
    <row r="20289">
      <c r="D20289" s="9"/>
      <c r="G20289" s="9"/>
      <c r="J20289" s="11"/>
      <c r="U20289" s="9"/>
      <c r="X20289" s="9"/>
    </row>
    <row r="20290">
      <c r="D20290" s="9"/>
      <c r="G20290" s="9"/>
      <c r="J20290" s="11"/>
      <c r="U20290" s="9"/>
      <c r="X20290" s="9"/>
    </row>
    <row r="20291">
      <c r="D20291" s="9"/>
      <c r="G20291" s="9"/>
      <c r="J20291" s="11"/>
      <c r="U20291" s="9"/>
      <c r="X20291" s="9"/>
    </row>
    <row r="20292">
      <c r="D20292" s="9"/>
      <c r="G20292" s="9"/>
      <c r="J20292" s="11"/>
      <c r="U20292" s="9"/>
      <c r="X20292" s="9"/>
    </row>
    <row r="20293">
      <c r="D20293" s="9"/>
      <c r="G20293" s="9"/>
      <c r="J20293" s="11"/>
      <c r="U20293" s="9"/>
      <c r="X20293" s="9"/>
    </row>
    <row r="20294">
      <c r="D20294" s="9"/>
      <c r="G20294" s="9"/>
      <c r="J20294" s="11"/>
      <c r="U20294" s="9"/>
      <c r="X20294" s="9"/>
    </row>
    <row r="20295">
      <c r="D20295" s="9"/>
      <c r="G20295" s="9"/>
      <c r="J20295" s="11"/>
      <c r="U20295" s="9"/>
      <c r="X20295" s="9"/>
    </row>
    <row r="20296">
      <c r="D20296" s="9"/>
      <c r="G20296" s="9"/>
      <c r="J20296" s="11"/>
      <c r="U20296" s="9"/>
      <c r="X20296" s="9"/>
    </row>
    <row r="20297">
      <c r="D20297" s="9"/>
      <c r="G20297" s="9"/>
      <c r="J20297" s="11"/>
      <c r="U20297" s="9"/>
      <c r="X20297" s="9"/>
    </row>
    <row r="20298">
      <c r="D20298" s="9"/>
      <c r="G20298" s="9"/>
      <c r="J20298" s="11"/>
      <c r="U20298" s="9"/>
      <c r="X20298" s="9"/>
    </row>
    <row r="20299">
      <c r="D20299" s="9"/>
      <c r="G20299" s="9"/>
      <c r="J20299" s="11"/>
      <c r="U20299" s="9"/>
      <c r="X20299" s="9"/>
    </row>
    <row r="20300">
      <c r="D20300" s="9"/>
      <c r="G20300" s="9"/>
      <c r="J20300" s="11"/>
      <c r="U20300" s="9"/>
      <c r="X20300" s="9"/>
    </row>
    <row r="20301">
      <c r="D20301" s="9"/>
      <c r="G20301" s="9"/>
      <c r="J20301" s="11"/>
      <c r="U20301" s="9"/>
      <c r="X20301" s="9"/>
    </row>
    <row r="20302">
      <c r="D20302" s="9"/>
      <c r="G20302" s="9"/>
      <c r="J20302" s="11"/>
      <c r="U20302" s="9"/>
      <c r="X20302" s="9"/>
    </row>
    <row r="20303">
      <c r="D20303" s="9"/>
      <c r="G20303" s="9"/>
      <c r="J20303" s="11"/>
      <c r="U20303" s="9"/>
      <c r="X20303" s="9"/>
    </row>
    <row r="20304">
      <c r="D20304" s="9"/>
      <c r="G20304" s="9"/>
      <c r="J20304" s="11"/>
      <c r="U20304" s="9"/>
      <c r="X20304" s="9"/>
    </row>
    <row r="20305">
      <c r="D20305" s="9"/>
      <c r="G20305" s="9"/>
      <c r="J20305" s="11"/>
      <c r="U20305" s="9"/>
      <c r="X20305" s="9"/>
    </row>
    <row r="20306">
      <c r="D20306" s="9"/>
      <c r="G20306" s="9"/>
      <c r="J20306" s="11"/>
      <c r="U20306" s="9"/>
      <c r="X20306" s="9"/>
    </row>
    <row r="20307">
      <c r="D20307" s="9"/>
      <c r="G20307" s="9"/>
      <c r="J20307" s="11"/>
      <c r="U20307" s="9"/>
      <c r="X20307" s="9"/>
    </row>
    <row r="20308">
      <c r="D20308" s="9"/>
      <c r="G20308" s="9"/>
      <c r="J20308" s="11"/>
      <c r="U20308" s="9"/>
      <c r="X20308" s="9"/>
    </row>
    <row r="20309">
      <c r="D20309" s="9"/>
      <c r="G20309" s="9"/>
      <c r="J20309" s="11"/>
      <c r="U20309" s="9"/>
      <c r="X20309" s="9"/>
    </row>
    <row r="20310">
      <c r="D20310" s="9"/>
      <c r="G20310" s="9"/>
      <c r="J20310" s="11"/>
      <c r="U20310" s="9"/>
      <c r="X20310" s="9"/>
    </row>
    <row r="20311">
      <c r="D20311" s="9"/>
      <c r="G20311" s="9"/>
      <c r="J20311" s="11"/>
      <c r="U20311" s="9"/>
      <c r="X20311" s="9"/>
    </row>
    <row r="20312">
      <c r="D20312" s="9"/>
      <c r="G20312" s="9"/>
      <c r="J20312" s="11"/>
      <c r="U20312" s="9"/>
      <c r="X20312" s="9"/>
    </row>
    <row r="20313">
      <c r="D20313" s="9"/>
      <c r="G20313" s="9"/>
      <c r="J20313" s="11"/>
      <c r="U20313" s="9"/>
      <c r="X20313" s="9"/>
    </row>
    <row r="20314">
      <c r="D20314" s="9"/>
      <c r="G20314" s="9"/>
      <c r="J20314" s="11"/>
      <c r="U20314" s="9"/>
      <c r="X20314" s="9"/>
    </row>
    <row r="20315">
      <c r="D20315" s="9"/>
      <c r="G20315" s="9"/>
      <c r="J20315" s="11"/>
      <c r="U20315" s="9"/>
      <c r="X20315" s="9"/>
    </row>
    <row r="20316">
      <c r="D20316" s="9"/>
      <c r="G20316" s="9"/>
      <c r="J20316" s="11"/>
      <c r="U20316" s="9"/>
      <c r="X20316" s="9"/>
    </row>
    <row r="20317">
      <c r="D20317" s="9"/>
      <c r="G20317" s="9"/>
      <c r="J20317" s="11"/>
      <c r="U20317" s="9"/>
      <c r="X20317" s="9"/>
    </row>
    <row r="20318">
      <c r="D20318" s="9"/>
      <c r="G20318" s="9"/>
      <c r="J20318" s="11"/>
      <c r="U20318" s="9"/>
      <c r="X20318" s="9"/>
    </row>
    <row r="20319">
      <c r="D20319" s="9"/>
      <c r="G20319" s="9"/>
      <c r="J20319" s="11"/>
      <c r="U20319" s="9"/>
      <c r="X20319" s="9"/>
    </row>
    <row r="20320">
      <c r="D20320" s="9"/>
      <c r="G20320" s="9"/>
      <c r="J20320" s="11"/>
      <c r="U20320" s="9"/>
      <c r="X20320" s="9"/>
    </row>
    <row r="20321">
      <c r="D20321" s="9"/>
      <c r="G20321" s="9"/>
      <c r="J20321" s="11"/>
      <c r="U20321" s="9"/>
      <c r="X20321" s="9"/>
    </row>
    <row r="20322">
      <c r="D20322" s="9"/>
      <c r="G20322" s="9"/>
      <c r="J20322" s="11"/>
      <c r="U20322" s="9"/>
      <c r="X20322" s="9"/>
    </row>
    <row r="20323">
      <c r="D20323" s="9"/>
      <c r="G20323" s="9"/>
      <c r="J20323" s="11"/>
      <c r="U20323" s="9"/>
      <c r="X20323" s="9"/>
    </row>
    <row r="20324">
      <c r="D20324" s="9"/>
      <c r="G20324" s="9"/>
      <c r="J20324" s="11"/>
      <c r="U20324" s="9"/>
      <c r="X20324" s="9"/>
    </row>
    <row r="20325">
      <c r="D20325" s="9"/>
      <c r="G20325" s="9"/>
      <c r="J20325" s="11"/>
      <c r="U20325" s="9"/>
      <c r="X20325" s="9"/>
    </row>
    <row r="20326">
      <c r="D20326" s="9"/>
      <c r="G20326" s="9"/>
      <c r="J20326" s="11"/>
      <c r="U20326" s="9"/>
      <c r="X20326" s="9"/>
    </row>
    <row r="20327">
      <c r="D20327" s="9"/>
      <c r="G20327" s="9"/>
      <c r="J20327" s="11"/>
      <c r="U20327" s="9"/>
      <c r="X20327" s="9"/>
    </row>
    <row r="20328">
      <c r="D20328" s="9"/>
      <c r="G20328" s="9"/>
      <c r="J20328" s="11"/>
      <c r="U20328" s="9"/>
      <c r="X20328" s="9"/>
    </row>
    <row r="20329">
      <c r="D20329" s="9"/>
      <c r="G20329" s="9"/>
      <c r="J20329" s="11"/>
      <c r="U20329" s="9"/>
      <c r="X20329" s="9"/>
    </row>
    <row r="20330">
      <c r="D20330" s="9"/>
      <c r="G20330" s="9"/>
      <c r="J20330" s="11"/>
      <c r="U20330" s="9"/>
      <c r="X20330" s="9"/>
    </row>
    <row r="20331">
      <c r="D20331" s="9"/>
      <c r="G20331" s="9"/>
      <c r="J20331" s="11"/>
      <c r="U20331" s="9"/>
      <c r="X20331" s="9"/>
    </row>
    <row r="20332">
      <c r="D20332" s="9"/>
      <c r="G20332" s="9"/>
      <c r="J20332" s="11"/>
      <c r="U20332" s="9"/>
      <c r="X20332" s="9"/>
    </row>
    <row r="20333">
      <c r="D20333" s="9"/>
      <c r="G20333" s="9"/>
      <c r="J20333" s="11"/>
      <c r="U20333" s="9"/>
      <c r="X20333" s="9"/>
    </row>
    <row r="20334">
      <c r="D20334" s="9"/>
      <c r="G20334" s="9"/>
      <c r="J20334" s="11"/>
      <c r="U20334" s="9"/>
      <c r="X20334" s="9"/>
    </row>
    <row r="20335">
      <c r="D20335" s="9"/>
      <c r="G20335" s="9"/>
      <c r="J20335" s="11"/>
      <c r="U20335" s="9"/>
      <c r="X20335" s="9"/>
    </row>
    <row r="20336">
      <c r="D20336" s="9"/>
      <c r="G20336" s="9"/>
      <c r="J20336" s="11"/>
      <c r="U20336" s="9"/>
      <c r="X20336" s="9"/>
    </row>
    <row r="20337">
      <c r="D20337" s="9"/>
      <c r="G20337" s="9"/>
      <c r="J20337" s="11"/>
      <c r="U20337" s="9"/>
      <c r="X20337" s="9"/>
    </row>
    <row r="20338">
      <c r="D20338" s="9"/>
      <c r="G20338" s="9"/>
      <c r="J20338" s="11"/>
      <c r="U20338" s="9"/>
      <c r="X20338" s="9"/>
    </row>
    <row r="20339">
      <c r="D20339" s="9"/>
      <c r="G20339" s="9"/>
      <c r="J20339" s="11"/>
      <c r="U20339" s="9"/>
      <c r="X20339" s="9"/>
    </row>
    <row r="20340">
      <c r="D20340" s="9"/>
      <c r="G20340" s="9"/>
      <c r="J20340" s="11"/>
      <c r="U20340" s="9"/>
      <c r="X20340" s="9"/>
    </row>
    <row r="20341">
      <c r="D20341" s="9"/>
      <c r="G20341" s="9"/>
      <c r="J20341" s="11"/>
      <c r="U20341" s="9"/>
      <c r="X20341" s="9"/>
    </row>
    <row r="20342">
      <c r="D20342" s="9"/>
      <c r="G20342" s="9"/>
      <c r="J20342" s="11"/>
      <c r="U20342" s="9"/>
      <c r="X20342" s="9"/>
    </row>
    <row r="20343">
      <c r="D20343" s="9"/>
      <c r="G20343" s="9"/>
      <c r="J20343" s="11"/>
      <c r="U20343" s="9"/>
      <c r="X20343" s="9"/>
    </row>
    <row r="20344">
      <c r="D20344" s="9"/>
      <c r="G20344" s="9"/>
      <c r="J20344" s="11"/>
      <c r="U20344" s="9"/>
      <c r="X20344" s="9"/>
    </row>
    <row r="20345">
      <c r="D20345" s="9"/>
      <c r="G20345" s="9"/>
      <c r="J20345" s="11"/>
      <c r="U20345" s="9"/>
      <c r="X20345" s="9"/>
    </row>
    <row r="20346">
      <c r="D20346" s="9"/>
      <c r="G20346" s="9"/>
      <c r="J20346" s="11"/>
      <c r="U20346" s="9"/>
      <c r="X20346" s="9"/>
    </row>
    <row r="20347">
      <c r="D20347" s="9"/>
      <c r="G20347" s="9"/>
      <c r="J20347" s="11"/>
      <c r="U20347" s="9"/>
      <c r="X20347" s="9"/>
    </row>
    <row r="20348">
      <c r="D20348" s="9"/>
      <c r="G20348" s="9"/>
      <c r="J20348" s="11"/>
      <c r="U20348" s="9"/>
      <c r="X20348" s="9"/>
    </row>
    <row r="20349">
      <c r="D20349" s="9"/>
      <c r="G20349" s="9"/>
      <c r="J20349" s="11"/>
      <c r="U20349" s="9"/>
      <c r="X20349" s="9"/>
    </row>
    <row r="20350">
      <c r="D20350" s="9"/>
      <c r="G20350" s="9"/>
      <c r="J20350" s="11"/>
      <c r="U20350" s="9"/>
      <c r="X20350" s="9"/>
    </row>
    <row r="20351">
      <c r="D20351" s="9"/>
      <c r="G20351" s="9"/>
      <c r="J20351" s="11"/>
      <c r="U20351" s="9"/>
      <c r="X20351" s="9"/>
    </row>
    <row r="20352">
      <c r="D20352" s="9"/>
      <c r="G20352" s="9"/>
      <c r="J20352" s="11"/>
      <c r="U20352" s="9"/>
      <c r="X20352" s="9"/>
    </row>
    <row r="20353">
      <c r="D20353" s="9"/>
      <c r="G20353" s="9"/>
      <c r="J20353" s="11"/>
      <c r="U20353" s="9"/>
      <c r="X20353" s="9"/>
    </row>
    <row r="20354">
      <c r="D20354" s="9"/>
      <c r="G20354" s="9"/>
      <c r="J20354" s="11"/>
      <c r="U20354" s="9"/>
      <c r="X20354" s="9"/>
    </row>
    <row r="20355">
      <c r="D20355" s="9"/>
      <c r="G20355" s="9"/>
      <c r="J20355" s="11"/>
      <c r="U20355" s="9"/>
      <c r="X20355" s="9"/>
    </row>
    <row r="20356">
      <c r="D20356" s="9"/>
      <c r="G20356" s="9"/>
      <c r="J20356" s="11"/>
      <c r="U20356" s="9"/>
      <c r="X20356" s="9"/>
    </row>
    <row r="20357">
      <c r="D20357" s="9"/>
      <c r="G20357" s="9"/>
      <c r="J20357" s="11"/>
      <c r="U20357" s="9"/>
      <c r="X20357" s="9"/>
    </row>
    <row r="20358">
      <c r="D20358" s="9"/>
      <c r="G20358" s="9"/>
      <c r="J20358" s="11"/>
      <c r="U20358" s="9"/>
      <c r="X20358" s="9"/>
    </row>
    <row r="20359">
      <c r="D20359" s="9"/>
      <c r="G20359" s="9"/>
      <c r="J20359" s="11"/>
      <c r="U20359" s="9"/>
      <c r="X20359" s="9"/>
    </row>
    <row r="20360">
      <c r="D20360" s="9"/>
      <c r="G20360" s="9"/>
      <c r="J20360" s="11"/>
      <c r="U20360" s="9"/>
      <c r="X20360" s="9"/>
    </row>
    <row r="20361">
      <c r="D20361" s="9"/>
      <c r="G20361" s="9"/>
      <c r="J20361" s="11"/>
      <c r="U20361" s="9"/>
      <c r="X20361" s="9"/>
    </row>
    <row r="20362">
      <c r="D20362" s="9"/>
      <c r="G20362" s="9"/>
      <c r="J20362" s="11"/>
      <c r="U20362" s="9"/>
      <c r="X20362" s="9"/>
    </row>
    <row r="20363">
      <c r="D20363" s="9"/>
      <c r="G20363" s="9"/>
      <c r="J20363" s="11"/>
      <c r="U20363" s="9"/>
      <c r="X20363" s="9"/>
    </row>
    <row r="20364">
      <c r="D20364" s="9"/>
      <c r="G20364" s="9"/>
      <c r="J20364" s="11"/>
      <c r="U20364" s="9"/>
      <c r="X20364" s="9"/>
    </row>
    <row r="20365">
      <c r="D20365" s="9"/>
      <c r="G20365" s="9"/>
      <c r="J20365" s="11"/>
      <c r="U20365" s="9"/>
      <c r="X20365" s="9"/>
    </row>
    <row r="20366">
      <c r="D20366" s="9"/>
      <c r="G20366" s="9"/>
      <c r="J20366" s="11"/>
      <c r="U20366" s="9"/>
      <c r="X20366" s="9"/>
    </row>
    <row r="20367">
      <c r="D20367" s="9"/>
      <c r="G20367" s="9"/>
      <c r="J20367" s="11"/>
      <c r="U20367" s="9"/>
      <c r="X20367" s="9"/>
    </row>
    <row r="20368">
      <c r="D20368" s="9"/>
      <c r="G20368" s="9"/>
      <c r="J20368" s="11"/>
      <c r="U20368" s="9"/>
      <c r="X20368" s="9"/>
    </row>
    <row r="20369">
      <c r="D20369" s="9"/>
      <c r="G20369" s="9"/>
      <c r="J20369" s="11"/>
      <c r="U20369" s="9"/>
      <c r="X20369" s="9"/>
    </row>
    <row r="20370">
      <c r="D20370" s="9"/>
      <c r="G20370" s="9"/>
      <c r="J20370" s="11"/>
      <c r="U20370" s="9"/>
      <c r="X20370" s="9"/>
    </row>
    <row r="20371">
      <c r="D20371" s="9"/>
      <c r="G20371" s="9"/>
      <c r="J20371" s="11"/>
      <c r="U20371" s="9"/>
      <c r="X20371" s="9"/>
    </row>
    <row r="20372">
      <c r="D20372" s="9"/>
      <c r="G20372" s="9"/>
      <c r="J20372" s="11"/>
      <c r="U20372" s="9"/>
      <c r="X20372" s="9"/>
    </row>
    <row r="20373">
      <c r="D20373" s="9"/>
      <c r="G20373" s="9"/>
      <c r="J20373" s="11"/>
      <c r="U20373" s="9"/>
      <c r="X20373" s="9"/>
    </row>
    <row r="20374">
      <c r="D20374" s="9"/>
      <c r="G20374" s="9"/>
      <c r="J20374" s="11"/>
      <c r="U20374" s="9"/>
      <c r="X20374" s="9"/>
    </row>
    <row r="20375">
      <c r="D20375" s="9"/>
      <c r="G20375" s="9"/>
      <c r="J20375" s="11"/>
      <c r="U20375" s="9"/>
      <c r="X20375" s="9"/>
    </row>
    <row r="20376">
      <c r="D20376" s="9"/>
      <c r="G20376" s="9"/>
      <c r="J20376" s="11"/>
      <c r="U20376" s="9"/>
      <c r="X20376" s="9"/>
    </row>
    <row r="20377">
      <c r="D20377" s="9"/>
      <c r="G20377" s="9"/>
      <c r="J20377" s="11"/>
      <c r="U20377" s="9"/>
      <c r="X20377" s="9"/>
    </row>
    <row r="20378">
      <c r="D20378" s="9"/>
      <c r="G20378" s="9"/>
      <c r="J20378" s="11"/>
      <c r="U20378" s="9"/>
      <c r="X20378" s="9"/>
    </row>
    <row r="20379">
      <c r="D20379" s="9"/>
      <c r="G20379" s="9"/>
      <c r="J20379" s="11"/>
      <c r="U20379" s="9"/>
      <c r="X20379" s="9"/>
    </row>
    <row r="20380">
      <c r="D20380" s="9"/>
      <c r="G20380" s="9"/>
      <c r="J20380" s="11"/>
      <c r="U20380" s="9"/>
      <c r="X20380" s="9"/>
    </row>
    <row r="20381">
      <c r="D20381" s="9"/>
      <c r="G20381" s="9"/>
      <c r="J20381" s="11"/>
      <c r="U20381" s="9"/>
      <c r="X20381" s="9"/>
    </row>
    <row r="20382">
      <c r="D20382" s="9"/>
      <c r="G20382" s="9"/>
      <c r="J20382" s="11"/>
      <c r="U20382" s="9"/>
      <c r="X20382" s="9"/>
    </row>
    <row r="20383">
      <c r="D20383" s="9"/>
      <c r="G20383" s="9"/>
      <c r="J20383" s="11"/>
      <c r="U20383" s="9"/>
      <c r="X20383" s="9"/>
    </row>
    <row r="20384">
      <c r="D20384" s="9"/>
      <c r="G20384" s="9"/>
      <c r="J20384" s="11"/>
      <c r="U20384" s="9"/>
      <c r="X20384" s="9"/>
    </row>
    <row r="20385">
      <c r="D20385" s="9"/>
      <c r="G20385" s="9"/>
      <c r="J20385" s="11"/>
      <c r="U20385" s="9"/>
      <c r="X20385" s="9"/>
    </row>
    <row r="20386">
      <c r="D20386" s="9"/>
      <c r="G20386" s="9"/>
      <c r="J20386" s="11"/>
      <c r="U20386" s="9"/>
      <c r="X20386" s="9"/>
    </row>
    <row r="20387">
      <c r="D20387" s="9"/>
      <c r="G20387" s="9"/>
      <c r="J20387" s="11"/>
      <c r="U20387" s="9"/>
      <c r="X20387" s="9"/>
    </row>
    <row r="20388">
      <c r="D20388" s="9"/>
      <c r="G20388" s="9"/>
      <c r="J20388" s="11"/>
      <c r="U20388" s="9"/>
      <c r="X20388" s="9"/>
    </row>
    <row r="20389">
      <c r="D20389" s="9"/>
      <c r="G20389" s="9"/>
      <c r="J20389" s="11"/>
      <c r="U20389" s="9"/>
      <c r="X20389" s="9"/>
    </row>
    <row r="20390">
      <c r="D20390" s="9"/>
      <c r="G20390" s="9"/>
      <c r="J20390" s="11"/>
      <c r="U20390" s="9"/>
      <c r="X20390" s="9"/>
    </row>
    <row r="20391">
      <c r="D20391" s="9"/>
      <c r="G20391" s="9"/>
      <c r="J20391" s="11"/>
      <c r="U20391" s="9"/>
      <c r="X20391" s="9"/>
    </row>
    <row r="20392">
      <c r="D20392" s="9"/>
      <c r="G20392" s="9"/>
      <c r="J20392" s="11"/>
      <c r="U20392" s="9"/>
      <c r="X20392" s="9"/>
    </row>
    <row r="20393">
      <c r="D20393" s="9"/>
      <c r="G20393" s="9"/>
      <c r="J20393" s="11"/>
      <c r="U20393" s="9"/>
      <c r="X20393" s="9"/>
    </row>
    <row r="20394">
      <c r="D20394" s="9"/>
      <c r="G20394" s="9"/>
      <c r="J20394" s="11"/>
      <c r="U20394" s="9"/>
      <c r="X20394" s="9"/>
    </row>
    <row r="20395">
      <c r="D20395" s="9"/>
      <c r="G20395" s="9"/>
      <c r="J20395" s="11"/>
      <c r="U20395" s="9"/>
      <c r="X20395" s="9"/>
    </row>
    <row r="20396">
      <c r="D20396" s="9"/>
      <c r="G20396" s="9"/>
      <c r="J20396" s="11"/>
      <c r="U20396" s="9"/>
      <c r="X20396" s="9"/>
    </row>
    <row r="20397">
      <c r="D20397" s="9"/>
      <c r="G20397" s="9"/>
      <c r="J20397" s="11"/>
      <c r="U20397" s="9"/>
      <c r="X20397" s="9"/>
    </row>
    <row r="20398">
      <c r="D20398" s="9"/>
      <c r="G20398" s="9"/>
      <c r="J20398" s="11"/>
      <c r="U20398" s="9"/>
      <c r="X20398" s="9"/>
    </row>
    <row r="20399">
      <c r="D20399" s="9"/>
      <c r="G20399" s="9"/>
      <c r="J20399" s="11"/>
      <c r="U20399" s="9"/>
      <c r="X20399" s="9"/>
    </row>
    <row r="20400">
      <c r="D20400" s="9"/>
      <c r="G20400" s="9"/>
      <c r="J20400" s="11"/>
      <c r="U20400" s="9"/>
      <c r="X20400" s="9"/>
    </row>
    <row r="20401">
      <c r="D20401" s="9"/>
      <c r="G20401" s="9"/>
      <c r="J20401" s="11"/>
      <c r="U20401" s="9"/>
      <c r="X20401" s="9"/>
    </row>
    <row r="20402">
      <c r="D20402" s="9"/>
      <c r="G20402" s="9"/>
      <c r="J20402" s="11"/>
      <c r="U20402" s="9"/>
      <c r="X20402" s="9"/>
    </row>
    <row r="20403">
      <c r="D20403" s="9"/>
      <c r="G20403" s="9"/>
      <c r="J20403" s="11"/>
      <c r="U20403" s="9"/>
      <c r="X20403" s="9"/>
    </row>
    <row r="20404">
      <c r="D20404" s="9"/>
      <c r="G20404" s="9"/>
      <c r="J20404" s="11"/>
      <c r="U20404" s="9"/>
      <c r="X20404" s="9"/>
    </row>
    <row r="20405">
      <c r="D20405" s="9"/>
      <c r="G20405" s="9"/>
      <c r="J20405" s="11"/>
      <c r="U20405" s="9"/>
      <c r="X20405" s="9"/>
    </row>
    <row r="20406">
      <c r="D20406" s="9"/>
      <c r="G20406" s="9"/>
      <c r="J20406" s="11"/>
      <c r="U20406" s="9"/>
      <c r="X20406" s="9"/>
    </row>
    <row r="20407">
      <c r="D20407" s="9"/>
      <c r="G20407" s="9"/>
      <c r="J20407" s="11"/>
      <c r="U20407" s="9"/>
      <c r="X20407" s="9"/>
    </row>
    <row r="20408">
      <c r="D20408" s="9"/>
      <c r="G20408" s="9"/>
      <c r="J20408" s="11"/>
      <c r="U20408" s="9"/>
      <c r="X20408" s="9"/>
    </row>
    <row r="20409">
      <c r="D20409" s="9"/>
      <c r="G20409" s="9"/>
      <c r="J20409" s="11"/>
      <c r="U20409" s="9"/>
      <c r="X20409" s="9"/>
    </row>
    <row r="20410">
      <c r="D20410" s="9"/>
      <c r="G20410" s="9"/>
      <c r="J20410" s="11"/>
      <c r="U20410" s="9"/>
      <c r="X20410" s="9"/>
    </row>
    <row r="20411">
      <c r="D20411" s="9"/>
      <c r="G20411" s="9"/>
      <c r="J20411" s="11"/>
      <c r="U20411" s="9"/>
      <c r="X20411" s="9"/>
    </row>
    <row r="20412">
      <c r="D20412" s="9"/>
      <c r="G20412" s="9"/>
      <c r="J20412" s="11"/>
      <c r="U20412" s="9"/>
      <c r="X20412" s="9"/>
    </row>
    <row r="20413">
      <c r="D20413" s="9"/>
      <c r="G20413" s="9"/>
      <c r="J20413" s="11"/>
      <c r="U20413" s="9"/>
      <c r="X20413" s="9"/>
    </row>
    <row r="20414">
      <c r="D20414" s="9"/>
      <c r="G20414" s="9"/>
      <c r="J20414" s="11"/>
      <c r="U20414" s="9"/>
      <c r="X20414" s="9"/>
    </row>
    <row r="20415">
      <c r="D20415" s="9"/>
      <c r="G20415" s="9"/>
      <c r="J20415" s="11"/>
      <c r="U20415" s="9"/>
      <c r="X20415" s="9"/>
    </row>
    <row r="20416">
      <c r="D20416" s="9"/>
      <c r="G20416" s="9"/>
      <c r="J20416" s="11"/>
      <c r="U20416" s="9"/>
      <c r="X20416" s="9"/>
    </row>
    <row r="20417">
      <c r="D20417" s="9"/>
      <c r="G20417" s="9"/>
      <c r="J20417" s="11"/>
      <c r="U20417" s="9"/>
      <c r="X20417" s="9"/>
    </row>
    <row r="20418">
      <c r="D20418" s="9"/>
      <c r="G20418" s="9"/>
      <c r="J20418" s="11"/>
      <c r="U20418" s="9"/>
      <c r="X20418" s="9"/>
    </row>
    <row r="20419">
      <c r="D20419" s="9"/>
      <c r="G20419" s="9"/>
      <c r="J20419" s="11"/>
      <c r="U20419" s="9"/>
      <c r="X20419" s="9"/>
    </row>
    <row r="20420">
      <c r="D20420" s="9"/>
      <c r="G20420" s="9"/>
      <c r="J20420" s="11"/>
      <c r="U20420" s="9"/>
      <c r="X20420" s="9"/>
    </row>
    <row r="20421">
      <c r="D20421" s="9"/>
      <c r="G20421" s="9"/>
      <c r="J20421" s="11"/>
      <c r="U20421" s="9"/>
      <c r="X20421" s="9"/>
    </row>
    <row r="20422">
      <c r="D20422" s="9"/>
      <c r="G20422" s="9"/>
      <c r="J20422" s="11"/>
      <c r="U20422" s="9"/>
      <c r="X20422" s="9"/>
    </row>
    <row r="20423">
      <c r="D20423" s="9"/>
      <c r="G20423" s="9"/>
      <c r="J20423" s="11"/>
      <c r="U20423" s="9"/>
      <c r="X20423" s="9"/>
    </row>
    <row r="20424">
      <c r="D20424" s="9"/>
      <c r="G20424" s="9"/>
      <c r="J20424" s="11"/>
      <c r="U20424" s="9"/>
      <c r="X20424" s="9"/>
    </row>
    <row r="20425">
      <c r="D20425" s="9"/>
      <c r="G20425" s="9"/>
      <c r="J20425" s="11"/>
      <c r="U20425" s="9"/>
      <c r="X20425" s="9"/>
    </row>
    <row r="20426">
      <c r="D20426" s="9"/>
      <c r="G20426" s="9"/>
      <c r="J20426" s="11"/>
      <c r="U20426" s="9"/>
      <c r="X20426" s="9"/>
    </row>
    <row r="20427">
      <c r="D20427" s="9"/>
      <c r="G20427" s="9"/>
      <c r="J20427" s="11"/>
      <c r="U20427" s="9"/>
      <c r="X20427" s="9"/>
    </row>
    <row r="20428">
      <c r="D20428" s="9"/>
      <c r="G20428" s="9"/>
      <c r="J20428" s="11"/>
      <c r="U20428" s="9"/>
      <c r="X20428" s="9"/>
    </row>
    <row r="20429">
      <c r="D20429" s="9"/>
      <c r="G20429" s="9"/>
      <c r="J20429" s="11"/>
      <c r="U20429" s="9"/>
      <c r="X20429" s="9"/>
    </row>
    <row r="20430">
      <c r="D20430" s="9"/>
      <c r="G20430" s="9"/>
      <c r="J20430" s="11"/>
      <c r="U20430" s="9"/>
      <c r="X20430" s="9"/>
    </row>
    <row r="20431">
      <c r="D20431" s="9"/>
      <c r="G20431" s="9"/>
      <c r="J20431" s="11"/>
      <c r="U20431" s="9"/>
      <c r="X20431" s="9"/>
    </row>
    <row r="20432">
      <c r="D20432" s="9"/>
      <c r="G20432" s="9"/>
      <c r="J20432" s="11"/>
      <c r="U20432" s="9"/>
      <c r="X20432" s="9"/>
    </row>
    <row r="20433">
      <c r="D20433" s="9"/>
      <c r="G20433" s="9"/>
      <c r="J20433" s="11"/>
      <c r="U20433" s="9"/>
      <c r="X20433" s="9"/>
    </row>
    <row r="20434">
      <c r="D20434" s="9"/>
      <c r="G20434" s="9"/>
      <c r="J20434" s="11"/>
      <c r="U20434" s="9"/>
      <c r="X20434" s="9"/>
    </row>
    <row r="20435">
      <c r="D20435" s="9"/>
      <c r="G20435" s="9"/>
      <c r="J20435" s="11"/>
      <c r="U20435" s="9"/>
      <c r="X20435" s="9"/>
    </row>
    <row r="20436">
      <c r="D20436" s="9"/>
      <c r="G20436" s="9"/>
      <c r="J20436" s="11"/>
      <c r="U20436" s="9"/>
      <c r="X20436" s="9"/>
    </row>
    <row r="20437">
      <c r="D20437" s="9"/>
      <c r="G20437" s="9"/>
      <c r="J20437" s="11"/>
      <c r="U20437" s="9"/>
      <c r="X20437" s="9"/>
    </row>
    <row r="20438">
      <c r="D20438" s="9"/>
      <c r="G20438" s="9"/>
      <c r="J20438" s="11"/>
      <c r="U20438" s="9"/>
      <c r="X20438" s="9"/>
    </row>
    <row r="20439">
      <c r="D20439" s="9"/>
      <c r="G20439" s="9"/>
      <c r="J20439" s="11"/>
      <c r="U20439" s="9"/>
      <c r="X20439" s="9"/>
    </row>
    <row r="20440">
      <c r="D20440" s="9"/>
      <c r="G20440" s="9"/>
      <c r="J20440" s="11"/>
      <c r="U20440" s="9"/>
      <c r="X20440" s="9"/>
    </row>
    <row r="20441">
      <c r="D20441" s="9"/>
      <c r="G20441" s="9"/>
      <c r="J20441" s="11"/>
      <c r="U20441" s="9"/>
      <c r="X20441" s="9"/>
    </row>
    <row r="20442">
      <c r="D20442" s="9"/>
      <c r="G20442" s="9"/>
      <c r="J20442" s="11"/>
      <c r="U20442" s="9"/>
      <c r="X20442" s="9"/>
    </row>
    <row r="20443">
      <c r="D20443" s="9"/>
      <c r="G20443" s="9"/>
      <c r="J20443" s="11"/>
      <c r="U20443" s="9"/>
      <c r="X20443" s="9"/>
    </row>
    <row r="20444">
      <c r="D20444" s="9"/>
      <c r="G20444" s="9"/>
      <c r="J20444" s="11"/>
      <c r="U20444" s="9"/>
      <c r="X20444" s="9"/>
    </row>
    <row r="20445">
      <c r="D20445" s="9"/>
      <c r="G20445" s="9"/>
      <c r="J20445" s="11"/>
      <c r="U20445" s="9"/>
      <c r="X20445" s="9"/>
    </row>
    <row r="20446">
      <c r="D20446" s="9"/>
      <c r="G20446" s="9"/>
      <c r="J20446" s="11"/>
      <c r="U20446" s="9"/>
      <c r="X20446" s="9"/>
    </row>
    <row r="20447">
      <c r="D20447" s="9"/>
      <c r="G20447" s="9"/>
      <c r="J20447" s="11"/>
      <c r="U20447" s="9"/>
      <c r="X20447" s="9"/>
    </row>
    <row r="20448">
      <c r="D20448" s="9"/>
      <c r="G20448" s="9"/>
      <c r="J20448" s="11"/>
      <c r="U20448" s="9"/>
      <c r="X20448" s="9"/>
    </row>
    <row r="20449">
      <c r="D20449" s="9"/>
      <c r="G20449" s="9"/>
      <c r="J20449" s="11"/>
      <c r="U20449" s="9"/>
      <c r="X20449" s="9"/>
    </row>
    <row r="20450">
      <c r="D20450" s="9"/>
      <c r="G20450" s="9"/>
      <c r="J20450" s="11"/>
      <c r="U20450" s="9"/>
      <c r="X20450" s="9"/>
    </row>
    <row r="20451">
      <c r="D20451" s="9"/>
      <c r="G20451" s="9"/>
      <c r="J20451" s="11"/>
      <c r="U20451" s="9"/>
      <c r="X20451" s="9"/>
    </row>
    <row r="20452">
      <c r="D20452" s="9"/>
      <c r="G20452" s="9"/>
      <c r="J20452" s="11"/>
      <c r="U20452" s="9"/>
      <c r="X20452" s="9"/>
    </row>
    <row r="20453">
      <c r="D20453" s="9"/>
      <c r="G20453" s="9"/>
      <c r="J20453" s="11"/>
      <c r="U20453" s="9"/>
      <c r="X20453" s="9"/>
    </row>
    <row r="20454">
      <c r="D20454" s="9"/>
      <c r="G20454" s="9"/>
      <c r="J20454" s="11"/>
      <c r="U20454" s="9"/>
      <c r="X20454" s="9"/>
    </row>
    <row r="20455">
      <c r="D20455" s="9"/>
      <c r="G20455" s="9"/>
      <c r="J20455" s="11"/>
      <c r="U20455" s="9"/>
      <c r="X20455" s="9"/>
    </row>
    <row r="20456">
      <c r="D20456" s="9"/>
      <c r="G20456" s="9"/>
      <c r="J20456" s="11"/>
      <c r="U20456" s="9"/>
      <c r="X20456" s="9"/>
    </row>
    <row r="20457">
      <c r="D20457" s="9"/>
      <c r="G20457" s="9"/>
      <c r="J20457" s="11"/>
      <c r="U20457" s="9"/>
      <c r="X20457" s="9"/>
    </row>
    <row r="20458">
      <c r="D20458" s="9"/>
      <c r="G20458" s="9"/>
      <c r="J20458" s="11"/>
      <c r="U20458" s="9"/>
      <c r="X20458" s="9"/>
    </row>
    <row r="20459">
      <c r="D20459" s="9"/>
      <c r="G20459" s="9"/>
      <c r="J20459" s="11"/>
      <c r="U20459" s="9"/>
      <c r="X20459" s="9"/>
    </row>
    <row r="20460">
      <c r="D20460" s="9"/>
      <c r="G20460" s="9"/>
      <c r="J20460" s="11"/>
      <c r="U20460" s="9"/>
      <c r="X20460" s="9"/>
    </row>
    <row r="20461">
      <c r="D20461" s="9"/>
      <c r="G20461" s="9"/>
      <c r="J20461" s="11"/>
      <c r="U20461" s="9"/>
      <c r="X20461" s="9"/>
    </row>
    <row r="20462">
      <c r="D20462" s="9"/>
      <c r="G20462" s="9"/>
      <c r="J20462" s="11"/>
      <c r="U20462" s="9"/>
      <c r="X20462" s="9"/>
    </row>
    <row r="20463">
      <c r="D20463" s="9"/>
      <c r="G20463" s="9"/>
      <c r="J20463" s="11"/>
      <c r="U20463" s="9"/>
      <c r="X20463" s="9"/>
    </row>
    <row r="20464">
      <c r="D20464" s="9"/>
      <c r="G20464" s="9"/>
      <c r="J20464" s="11"/>
      <c r="U20464" s="9"/>
      <c r="X20464" s="9"/>
    </row>
    <row r="20465">
      <c r="D20465" s="9"/>
      <c r="G20465" s="9"/>
      <c r="J20465" s="11"/>
      <c r="U20465" s="9"/>
      <c r="X20465" s="9"/>
    </row>
    <row r="20466">
      <c r="D20466" s="9"/>
      <c r="G20466" s="9"/>
      <c r="J20466" s="11"/>
      <c r="U20466" s="9"/>
      <c r="X20466" s="9"/>
    </row>
    <row r="20467">
      <c r="D20467" s="9"/>
      <c r="G20467" s="9"/>
      <c r="J20467" s="11"/>
      <c r="U20467" s="9"/>
      <c r="X20467" s="9"/>
    </row>
    <row r="20468">
      <c r="D20468" s="9"/>
      <c r="G20468" s="9"/>
      <c r="J20468" s="11"/>
      <c r="U20468" s="9"/>
      <c r="X20468" s="9"/>
    </row>
    <row r="20469">
      <c r="D20469" s="9"/>
      <c r="G20469" s="9"/>
      <c r="J20469" s="11"/>
      <c r="U20469" s="9"/>
      <c r="X20469" s="9"/>
    </row>
    <row r="20470">
      <c r="D20470" s="9"/>
      <c r="G20470" s="9"/>
      <c r="J20470" s="11"/>
      <c r="U20470" s="9"/>
      <c r="X20470" s="9"/>
    </row>
    <row r="20471">
      <c r="D20471" s="9"/>
      <c r="G20471" s="9"/>
      <c r="J20471" s="11"/>
      <c r="U20471" s="9"/>
      <c r="X20471" s="9"/>
    </row>
    <row r="20472">
      <c r="D20472" s="9"/>
      <c r="G20472" s="9"/>
      <c r="J20472" s="11"/>
      <c r="U20472" s="9"/>
      <c r="X20472" s="9"/>
    </row>
    <row r="20473">
      <c r="D20473" s="9"/>
      <c r="G20473" s="9"/>
      <c r="J20473" s="11"/>
      <c r="U20473" s="9"/>
      <c r="X20473" s="9"/>
    </row>
    <row r="20474">
      <c r="D20474" s="9"/>
      <c r="G20474" s="9"/>
      <c r="J20474" s="11"/>
      <c r="U20474" s="9"/>
      <c r="X20474" s="9"/>
    </row>
    <row r="20475">
      <c r="D20475" s="9"/>
      <c r="G20475" s="9"/>
      <c r="J20475" s="11"/>
      <c r="U20475" s="9"/>
      <c r="X20475" s="9"/>
    </row>
    <row r="20476">
      <c r="D20476" s="9"/>
      <c r="G20476" s="9"/>
      <c r="J20476" s="11"/>
      <c r="U20476" s="9"/>
      <c r="X20476" s="9"/>
    </row>
    <row r="20477">
      <c r="D20477" s="9"/>
      <c r="G20477" s="9"/>
      <c r="J20477" s="11"/>
      <c r="U20477" s="9"/>
      <c r="X20477" s="9"/>
    </row>
    <row r="20478">
      <c r="D20478" s="9"/>
      <c r="G20478" s="9"/>
      <c r="J20478" s="11"/>
      <c r="U20478" s="9"/>
      <c r="X20478" s="9"/>
    </row>
    <row r="20479">
      <c r="D20479" s="9"/>
      <c r="G20479" s="9"/>
      <c r="J20479" s="11"/>
      <c r="U20479" s="9"/>
      <c r="X20479" s="9"/>
    </row>
    <row r="20480">
      <c r="D20480" s="9"/>
      <c r="G20480" s="9"/>
      <c r="J20480" s="11"/>
      <c r="U20480" s="9"/>
      <c r="X20480" s="9"/>
    </row>
    <row r="20481">
      <c r="D20481" s="9"/>
      <c r="G20481" s="9"/>
      <c r="J20481" s="11"/>
      <c r="U20481" s="9"/>
      <c r="X20481" s="9"/>
    </row>
    <row r="20482">
      <c r="D20482" s="9"/>
      <c r="G20482" s="9"/>
      <c r="J20482" s="11"/>
      <c r="U20482" s="9"/>
      <c r="X20482" s="9"/>
    </row>
    <row r="20483">
      <c r="D20483" s="9"/>
      <c r="G20483" s="9"/>
      <c r="J20483" s="11"/>
      <c r="U20483" s="9"/>
      <c r="X20483" s="9"/>
    </row>
    <row r="20484">
      <c r="D20484" s="9"/>
      <c r="G20484" s="9"/>
      <c r="J20484" s="11"/>
      <c r="U20484" s="9"/>
      <c r="X20484" s="9"/>
    </row>
    <row r="20485">
      <c r="D20485" s="9"/>
      <c r="G20485" s="9"/>
      <c r="J20485" s="11"/>
      <c r="U20485" s="9"/>
      <c r="X20485" s="9"/>
    </row>
    <row r="20486">
      <c r="D20486" s="9"/>
      <c r="G20486" s="9"/>
      <c r="J20486" s="11"/>
      <c r="U20486" s="9"/>
      <c r="X20486" s="9"/>
    </row>
    <row r="20487">
      <c r="D20487" s="9"/>
      <c r="G20487" s="9"/>
      <c r="J20487" s="11"/>
      <c r="U20487" s="9"/>
      <c r="X20487" s="9"/>
    </row>
    <row r="20488">
      <c r="D20488" s="9"/>
      <c r="G20488" s="9"/>
      <c r="J20488" s="11"/>
      <c r="U20488" s="9"/>
      <c r="X20488" s="9"/>
    </row>
    <row r="20489">
      <c r="D20489" s="9"/>
      <c r="G20489" s="9"/>
      <c r="J20489" s="11"/>
      <c r="U20489" s="9"/>
      <c r="X20489" s="9"/>
    </row>
    <row r="20490">
      <c r="D20490" s="9"/>
      <c r="G20490" s="9"/>
      <c r="J20490" s="11"/>
      <c r="U20490" s="9"/>
      <c r="X20490" s="9"/>
    </row>
    <row r="20491">
      <c r="D20491" s="9"/>
      <c r="G20491" s="9"/>
      <c r="J20491" s="11"/>
      <c r="U20491" s="9"/>
      <c r="X20491" s="9"/>
    </row>
    <row r="20492">
      <c r="D20492" s="9"/>
      <c r="G20492" s="9"/>
      <c r="J20492" s="11"/>
      <c r="U20492" s="9"/>
      <c r="X20492" s="9"/>
    </row>
    <row r="20493">
      <c r="D20493" s="9"/>
      <c r="G20493" s="9"/>
      <c r="J20493" s="11"/>
      <c r="U20493" s="9"/>
      <c r="X20493" s="9"/>
    </row>
    <row r="20494">
      <c r="D20494" s="9"/>
      <c r="G20494" s="9"/>
      <c r="J20494" s="11"/>
      <c r="U20494" s="9"/>
      <c r="X20494" s="9"/>
    </row>
    <row r="20495">
      <c r="D20495" s="9"/>
      <c r="G20495" s="9"/>
      <c r="J20495" s="11"/>
      <c r="U20495" s="9"/>
      <c r="X20495" s="9"/>
    </row>
    <row r="20496">
      <c r="D20496" s="9"/>
      <c r="G20496" s="9"/>
      <c r="J20496" s="11"/>
      <c r="U20496" s="9"/>
      <c r="X20496" s="9"/>
    </row>
    <row r="20497">
      <c r="D20497" s="9"/>
      <c r="G20497" s="9"/>
      <c r="J20497" s="11"/>
      <c r="U20497" s="9"/>
      <c r="X20497" s="9"/>
    </row>
    <row r="20498">
      <c r="D20498" s="9"/>
      <c r="G20498" s="9"/>
      <c r="J20498" s="11"/>
      <c r="U20498" s="9"/>
      <c r="X20498" s="9"/>
    </row>
    <row r="20499">
      <c r="D20499" s="9"/>
      <c r="G20499" s="9"/>
      <c r="J20499" s="11"/>
      <c r="U20499" s="9"/>
      <c r="X20499" s="9"/>
    </row>
    <row r="20500">
      <c r="D20500" s="9"/>
      <c r="G20500" s="9"/>
      <c r="J20500" s="11"/>
      <c r="U20500" s="9"/>
      <c r="X20500" s="9"/>
    </row>
    <row r="20501">
      <c r="D20501" s="9"/>
      <c r="G20501" s="9"/>
      <c r="J20501" s="11"/>
      <c r="U20501" s="9"/>
      <c r="X20501" s="9"/>
    </row>
    <row r="20502">
      <c r="D20502" s="9"/>
      <c r="G20502" s="9"/>
      <c r="J20502" s="11"/>
      <c r="U20502" s="9"/>
      <c r="X20502" s="9"/>
    </row>
    <row r="20503">
      <c r="D20503" s="9"/>
      <c r="G20503" s="9"/>
      <c r="J20503" s="11"/>
      <c r="U20503" s="9"/>
      <c r="X20503" s="9"/>
    </row>
    <row r="20504">
      <c r="D20504" s="9"/>
      <c r="G20504" s="9"/>
      <c r="J20504" s="11"/>
      <c r="U20504" s="9"/>
      <c r="X20504" s="9"/>
    </row>
    <row r="20505">
      <c r="D20505" s="9"/>
      <c r="G20505" s="9"/>
      <c r="J20505" s="11"/>
      <c r="U20505" s="9"/>
      <c r="X20505" s="9"/>
    </row>
    <row r="20506">
      <c r="D20506" s="9"/>
      <c r="G20506" s="9"/>
      <c r="J20506" s="11"/>
      <c r="U20506" s="9"/>
      <c r="X20506" s="9"/>
    </row>
    <row r="20507">
      <c r="D20507" s="9"/>
      <c r="G20507" s="9"/>
      <c r="J20507" s="11"/>
      <c r="U20507" s="9"/>
      <c r="X20507" s="9"/>
    </row>
    <row r="20508">
      <c r="D20508" s="9"/>
      <c r="G20508" s="9"/>
      <c r="J20508" s="11"/>
      <c r="U20508" s="9"/>
      <c r="X20508" s="9"/>
    </row>
    <row r="20509">
      <c r="D20509" s="9"/>
      <c r="G20509" s="9"/>
      <c r="J20509" s="11"/>
      <c r="U20509" s="9"/>
      <c r="X20509" s="9"/>
    </row>
    <row r="20510">
      <c r="D20510" s="9"/>
      <c r="G20510" s="9"/>
      <c r="J20510" s="11"/>
      <c r="U20510" s="9"/>
      <c r="X20510" s="9"/>
    </row>
    <row r="20511">
      <c r="D20511" s="9"/>
      <c r="G20511" s="9"/>
      <c r="J20511" s="11"/>
      <c r="U20511" s="9"/>
      <c r="X20511" s="9"/>
    </row>
    <row r="20512">
      <c r="D20512" s="9"/>
      <c r="G20512" s="9"/>
      <c r="J20512" s="11"/>
      <c r="U20512" s="9"/>
      <c r="X20512" s="9"/>
    </row>
    <row r="20513">
      <c r="D20513" s="9"/>
      <c r="G20513" s="9"/>
      <c r="J20513" s="11"/>
      <c r="U20513" s="9"/>
      <c r="X20513" s="9"/>
    </row>
    <row r="20514">
      <c r="D20514" s="9"/>
      <c r="G20514" s="9"/>
      <c r="J20514" s="11"/>
      <c r="U20514" s="9"/>
      <c r="X20514" s="9"/>
    </row>
    <row r="20515">
      <c r="D20515" s="9"/>
      <c r="G20515" s="9"/>
      <c r="J20515" s="11"/>
      <c r="U20515" s="9"/>
      <c r="X20515" s="9"/>
    </row>
    <row r="20516">
      <c r="D20516" s="9"/>
      <c r="G20516" s="9"/>
      <c r="J20516" s="11"/>
      <c r="U20516" s="9"/>
      <c r="X20516" s="9"/>
    </row>
    <row r="20517">
      <c r="D20517" s="9"/>
      <c r="G20517" s="9"/>
      <c r="J20517" s="11"/>
      <c r="U20517" s="9"/>
      <c r="X20517" s="9"/>
    </row>
    <row r="20518">
      <c r="D20518" s="9"/>
      <c r="G20518" s="9"/>
      <c r="J20518" s="11"/>
      <c r="U20518" s="9"/>
      <c r="X20518" s="9"/>
    </row>
    <row r="20519">
      <c r="D20519" s="9"/>
      <c r="G20519" s="9"/>
      <c r="J20519" s="11"/>
      <c r="U20519" s="9"/>
      <c r="X20519" s="9"/>
    </row>
    <row r="20520">
      <c r="D20520" s="9"/>
      <c r="G20520" s="9"/>
      <c r="J20520" s="11"/>
      <c r="U20520" s="9"/>
      <c r="X20520" s="9"/>
    </row>
    <row r="20521">
      <c r="D20521" s="9"/>
      <c r="G20521" s="9"/>
      <c r="J20521" s="11"/>
      <c r="U20521" s="9"/>
      <c r="X20521" s="9"/>
    </row>
    <row r="20522">
      <c r="D20522" s="9"/>
      <c r="G20522" s="9"/>
      <c r="J20522" s="11"/>
      <c r="U20522" s="9"/>
      <c r="X20522" s="9"/>
    </row>
    <row r="20523">
      <c r="D20523" s="9"/>
      <c r="G20523" s="9"/>
      <c r="J20523" s="11"/>
      <c r="U20523" s="9"/>
      <c r="X20523" s="9"/>
    </row>
    <row r="20524">
      <c r="D20524" s="9"/>
      <c r="G20524" s="9"/>
      <c r="J20524" s="11"/>
      <c r="U20524" s="9"/>
      <c r="X20524" s="9"/>
    </row>
    <row r="20525">
      <c r="D20525" s="9"/>
      <c r="G20525" s="9"/>
      <c r="J20525" s="11"/>
      <c r="U20525" s="9"/>
      <c r="X20525" s="9"/>
    </row>
    <row r="20526">
      <c r="D20526" s="9"/>
      <c r="G20526" s="9"/>
      <c r="J20526" s="11"/>
      <c r="U20526" s="9"/>
      <c r="X20526" s="9"/>
    </row>
    <row r="20527">
      <c r="D20527" s="9"/>
      <c r="G20527" s="9"/>
      <c r="J20527" s="11"/>
      <c r="U20527" s="9"/>
      <c r="X20527" s="9"/>
    </row>
    <row r="20528">
      <c r="D20528" s="9"/>
      <c r="G20528" s="9"/>
      <c r="J20528" s="11"/>
      <c r="U20528" s="9"/>
      <c r="X20528" s="9"/>
    </row>
    <row r="20529">
      <c r="D20529" s="9"/>
      <c r="G20529" s="9"/>
      <c r="J20529" s="11"/>
      <c r="U20529" s="9"/>
      <c r="X20529" s="9"/>
    </row>
    <row r="20530">
      <c r="D20530" s="9"/>
      <c r="G20530" s="9"/>
      <c r="J20530" s="11"/>
      <c r="U20530" s="9"/>
      <c r="X20530" s="9"/>
    </row>
    <row r="20531">
      <c r="D20531" s="9"/>
      <c r="G20531" s="9"/>
      <c r="J20531" s="11"/>
      <c r="U20531" s="9"/>
      <c r="X20531" s="9"/>
    </row>
    <row r="20532">
      <c r="D20532" s="9"/>
      <c r="G20532" s="9"/>
      <c r="J20532" s="11"/>
      <c r="U20532" s="9"/>
      <c r="X20532" s="9"/>
    </row>
    <row r="20533">
      <c r="D20533" s="9"/>
      <c r="G20533" s="9"/>
      <c r="J20533" s="11"/>
      <c r="U20533" s="9"/>
      <c r="X20533" s="9"/>
    </row>
    <row r="20534">
      <c r="D20534" s="9"/>
      <c r="G20534" s="9"/>
      <c r="J20534" s="11"/>
      <c r="U20534" s="9"/>
      <c r="X20534" s="9"/>
    </row>
    <row r="20535">
      <c r="D20535" s="9"/>
      <c r="G20535" s="9"/>
      <c r="J20535" s="11"/>
      <c r="U20535" s="9"/>
      <c r="X20535" s="9"/>
    </row>
    <row r="20536">
      <c r="D20536" s="9"/>
      <c r="G20536" s="9"/>
      <c r="J20536" s="11"/>
      <c r="U20536" s="9"/>
      <c r="X20536" s="9"/>
    </row>
    <row r="20537">
      <c r="D20537" s="9"/>
      <c r="G20537" s="9"/>
      <c r="J20537" s="11"/>
      <c r="U20537" s="9"/>
      <c r="X20537" s="9"/>
    </row>
    <row r="20538">
      <c r="D20538" s="9"/>
      <c r="G20538" s="9"/>
      <c r="J20538" s="11"/>
      <c r="U20538" s="9"/>
      <c r="X20538" s="9"/>
    </row>
    <row r="20539">
      <c r="D20539" s="9"/>
      <c r="G20539" s="9"/>
      <c r="J20539" s="11"/>
      <c r="U20539" s="9"/>
      <c r="X20539" s="9"/>
    </row>
    <row r="20540">
      <c r="D20540" s="9"/>
      <c r="G20540" s="9"/>
      <c r="J20540" s="11"/>
      <c r="U20540" s="9"/>
      <c r="X20540" s="9"/>
    </row>
    <row r="20541">
      <c r="D20541" s="9"/>
      <c r="G20541" s="9"/>
      <c r="J20541" s="11"/>
      <c r="U20541" s="9"/>
      <c r="X20541" s="9"/>
    </row>
    <row r="20542">
      <c r="D20542" s="9"/>
      <c r="G20542" s="9"/>
      <c r="J20542" s="11"/>
      <c r="U20542" s="9"/>
      <c r="X20542" s="9"/>
    </row>
    <row r="20543">
      <c r="D20543" s="9"/>
      <c r="G20543" s="9"/>
      <c r="J20543" s="11"/>
      <c r="U20543" s="9"/>
      <c r="X20543" s="9"/>
    </row>
    <row r="20544">
      <c r="D20544" s="9"/>
      <c r="G20544" s="9"/>
      <c r="J20544" s="11"/>
      <c r="U20544" s="9"/>
      <c r="X20544" s="9"/>
    </row>
    <row r="20545">
      <c r="D20545" s="9"/>
      <c r="G20545" s="9"/>
      <c r="J20545" s="11"/>
      <c r="U20545" s="9"/>
      <c r="X20545" s="9"/>
    </row>
    <row r="20546">
      <c r="D20546" s="9"/>
      <c r="G20546" s="9"/>
      <c r="J20546" s="11"/>
      <c r="U20546" s="9"/>
      <c r="X20546" s="9"/>
    </row>
    <row r="20547">
      <c r="D20547" s="9"/>
      <c r="G20547" s="9"/>
      <c r="J20547" s="11"/>
      <c r="U20547" s="9"/>
      <c r="X20547" s="9"/>
    </row>
    <row r="20548">
      <c r="D20548" s="9"/>
      <c r="G20548" s="9"/>
      <c r="J20548" s="11"/>
      <c r="U20548" s="9"/>
      <c r="X20548" s="9"/>
    </row>
    <row r="20549">
      <c r="D20549" s="9"/>
      <c r="G20549" s="9"/>
      <c r="J20549" s="11"/>
      <c r="U20549" s="9"/>
      <c r="X20549" s="9"/>
    </row>
    <row r="20550">
      <c r="D20550" s="9"/>
      <c r="G20550" s="9"/>
      <c r="J20550" s="11"/>
      <c r="U20550" s="9"/>
      <c r="X20550" s="9"/>
    </row>
    <row r="20551">
      <c r="D20551" s="9"/>
      <c r="G20551" s="9"/>
      <c r="J20551" s="11"/>
      <c r="U20551" s="9"/>
      <c r="X20551" s="9"/>
    </row>
    <row r="20552">
      <c r="D20552" s="9"/>
      <c r="G20552" s="9"/>
      <c r="J20552" s="11"/>
      <c r="U20552" s="9"/>
      <c r="X20552" s="9"/>
    </row>
    <row r="20553">
      <c r="D20553" s="9"/>
      <c r="G20553" s="9"/>
      <c r="J20553" s="11"/>
      <c r="U20553" s="9"/>
      <c r="X20553" s="9"/>
    </row>
    <row r="20554">
      <c r="D20554" s="9"/>
      <c r="G20554" s="9"/>
      <c r="J20554" s="11"/>
      <c r="U20554" s="9"/>
      <c r="X20554" s="9"/>
    </row>
    <row r="20555">
      <c r="D20555" s="9"/>
      <c r="G20555" s="9"/>
      <c r="J20555" s="11"/>
      <c r="U20555" s="9"/>
      <c r="X20555" s="9"/>
    </row>
    <row r="20556">
      <c r="D20556" s="9"/>
      <c r="G20556" s="9"/>
      <c r="J20556" s="11"/>
      <c r="U20556" s="9"/>
      <c r="X20556" s="9"/>
    </row>
    <row r="20557">
      <c r="D20557" s="9"/>
      <c r="G20557" s="9"/>
      <c r="J20557" s="11"/>
      <c r="U20557" s="9"/>
      <c r="X20557" s="9"/>
    </row>
    <row r="20558">
      <c r="D20558" s="9"/>
      <c r="G20558" s="9"/>
      <c r="J20558" s="11"/>
      <c r="U20558" s="9"/>
      <c r="X20558" s="9"/>
    </row>
    <row r="20559">
      <c r="D20559" s="9"/>
      <c r="G20559" s="9"/>
      <c r="J20559" s="11"/>
      <c r="U20559" s="9"/>
      <c r="X20559" s="9"/>
    </row>
    <row r="20560">
      <c r="D20560" s="9"/>
      <c r="G20560" s="9"/>
      <c r="J20560" s="11"/>
      <c r="U20560" s="9"/>
      <c r="X20560" s="9"/>
    </row>
    <row r="20561">
      <c r="D20561" s="9"/>
      <c r="G20561" s="9"/>
      <c r="J20561" s="11"/>
      <c r="U20561" s="9"/>
      <c r="X20561" s="9"/>
    </row>
    <row r="20562">
      <c r="D20562" s="9"/>
      <c r="G20562" s="9"/>
      <c r="J20562" s="11"/>
      <c r="U20562" s="9"/>
      <c r="X20562" s="9"/>
    </row>
    <row r="20563">
      <c r="D20563" s="9"/>
      <c r="G20563" s="9"/>
      <c r="J20563" s="11"/>
      <c r="U20563" s="9"/>
      <c r="X20563" s="9"/>
    </row>
    <row r="20564">
      <c r="D20564" s="9"/>
      <c r="G20564" s="9"/>
      <c r="J20564" s="11"/>
      <c r="U20564" s="9"/>
      <c r="X20564" s="9"/>
    </row>
    <row r="20565">
      <c r="D20565" s="9"/>
      <c r="G20565" s="9"/>
      <c r="J20565" s="11"/>
      <c r="U20565" s="9"/>
      <c r="X20565" s="9"/>
    </row>
    <row r="20566">
      <c r="D20566" s="9"/>
      <c r="G20566" s="9"/>
      <c r="J20566" s="11"/>
      <c r="U20566" s="9"/>
      <c r="X20566" s="9"/>
    </row>
    <row r="20567">
      <c r="D20567" s="9"/>
      <c r="G20567" s="9"/>
      <c r="J20567" s="11"/>
      <c r="U20567" s="9"/>
      <c r="X20567" s="9"/>
    </row>
    <row r="20568">
      <c r="D20568" s="9"/>
      <c r="G20568" s="9"/>
      <c r="J20568" s="11"/>
      <c r="U20568" s="9"/>
      <c r="X20568" s="9"/>
    </row>
    <row r="20569">
      <c r="D20569" s="9"/>
      <c r="G20569" s="9"/>
      <c r="J20569" s="11"/>
      <c r="U20569" s="9"/>
      <c r="X20569" s="9"/>
    </row>
    <row r="20570">
      <c r="D20570" s="9"/>
      <c r="G20570" s="9"/>
      <c r="J20570" s="11"/>
      <c r="U20570" s="9"/>
      <c r="X20570" s="9"/>
    </row>
    <row r="20571">
      <c r="D20571" s="9"/>
      <c r="G20571" s="9"/>
      <c r="J20571" s="11"/>
      <c r="U20571" s="9"/>
      <c r="X20571" s="9"/>
    </row>
    <row r="20572">
      <c r="D20572" s="9"/>
      <c r="G20572" s="9"/>
      <c r="J20572" s="11"/>
      <c r="U20572" s="9"/>
      <c r="X20572" s="9"/>
    </row>
    <row r="20573">
      <c r="D20573" s="9"/>
      <c r="G20573" s="9"/>
      <c r="J20573" s="11"/>
      <c r="U20573" s="9"/>
      <c r="X20573" s="9"/>
    </row>
    <row r="20574">
      <c r="D20574" s="9"/>
      <c r="G20574" s="9"/>
      <c r="J20574" s="11"/>
      <c r="U20574" s="9"/>
      <c r="X20574" s="9"/>
    </row>
    <row r="20575">
      <c r="D20575" s="9"/>
      <c r="G20575" s="9"/>
      <c r="J20575" s="11"/>
      <c r="U20575" s="9"/>
      <c r="X20575" s="9"/>
    </row>
    <row r="20576">
      <c r="D20576" s="9"/>
      <c r="G20576" s="9"/>
      <c r="J20576" s="11"/>
      <c r="U20576" s="9"/>
      <c r="X20576" s="9"/>
    </row>
    <row r="20577">
      <c r="D20577" s="9"/>
      <c r="G20577" s="9"/>
      <c r="J20577" s="11"/>
      <c r="U20577" s="9"/>
      <c r="X20577" s="9"/>
    </row>
    <row r="20578">
      <c r="D20578" s="9"/>
      <c r="G20578" s="9"/>
      <c r="J20578" s="11"/>
      <c r="U20578" s="9"/>
      <c r="X20578" s="9"/>
    </row>
    <row r="20579">
      <c r="D20579" s="9"/>
      <c r="G20579" s="9"/>
      <c r="J20579" s="11"/>
      <c r="U20579" s="9"/>
      <c r="X20579" s="9"/>
    </row>
    <row r="20580">
      <c r="D20580" s="9"/>
      <c r="G20580" s="9"/>
      <c r="J20580" s="11"/>
      <c r="U20580" s="9"/>
      <c r="X20580" s="9"/>
    </row>
    <row r="20581">
      <c r="D20581" s="9"/>
      <c r="G20581" s="9"/>
      <c r="J20581" s="11"/>
      <c r="U20581" s="9"/>
      <c r="X20581" s="9"/>
    </row>
    <row r="20582">
      <c r="D20582" s="9"/>
      <c r="G20582" s="9"/>
      <c r="J20582" s="11"/>
      <c r="U20582" s="9"/>
      <c r="X20582" s="9"/>
    </row>
    <row r="20583">
      <c r="D20583" s="9"/>
      <c r="G20583" s="9"/>
      <c r="J20583" s="11"/>
      <c r="U20583" s="9"/>
      <c r="X20583" s="9"/>
    </row>
    <row r="20584">
      <c r="D20584" s="9"/>
      <c r="G20584" s="9"/>
      <c r="J20584" s="11"/>
      <c r="U20584" s="9"/>
      <c r="X20584" s="9"/>
    </row>
    <row r="20585">
      <c r="D20585" s="9"/>
      <c r="G20585" s="9"/>
      <c r="J20585" s="11"/>
      <c r="U20585" s="9"/>
      <c r="X20585" s="9"/>
    </row>
    <row r="20586">
      <c r="D20586" s="9"/>
      <c r="G20586" s="9"/>
      <c r="J20586" s="11"/>
      <c r="U20586" s="9"/>
      <c r="X20586" s="9"/>
    </row>
    <row r="20587">
      <c r="D20587" s="9"/>
      <c r="G20587" s="9"/>
      <c r="J20587" s="11"/>
      <c r="U20587" s="9"/>
      <c r="X20587" s="9"/>
    </row>
    <row r="20588">
      <c r="D20588" s="9"/>
      <c r="G20588" s="9"/>
      <c r="J20588" s="11"/>
      <c r="U20588" s="9"/>
      <c r="X20588" s="9"/>
    </row>
    <row r="20589">
      <c r="D20589" s="9"/>
      <c r="G20589" s="9"/>
      <c r="J20589" s="11"/>
      <c r="U20589" s="9"/>
      <c r="X20589" s="9"/>
    </row>
    <row r="20590">
      <c r="D20590" s="9"/>
      <c r="G20590" s="9"/>
      <c r="J20590" s="11"/>
      <c r="U20590" s="9"/>
      <c r="X20590" s="9"/>
    </row>
    <row r="20591">
      <c r="D20591" s="9"/>
      <c r="G20591" s="9"/>
      <c r="J20591" s="11"/>
      <c r="U20591" s="9"/>
      <c r="X20591" s="9"/>
    </row>
    <row r="20592">
      <c r="D20592" s="9"/>
      <c r="G20592" s="9"/>
      <c r="J20592" s="11"/>
      <c r="U20592" s="9"/>
      <c r="X20592" s="9"/>
    </row>
    <row r="20593">
      <c r="D20593" s="9"/>
      <c r="G20593" s="9"/>
      <c r="J20593" s="11"/>
      <c r="U20593" s="9"/>
      <c r="X20593" s="9"/>
    </row>
    <row r="20594">
      <c r="D20594" s="9"/>
      <c r="G20594" s="9"/>
      <c r="J20594" s="11"/>
      <c r="U20594" s="9"/>
      <c r="X20594" s="9"/>
    </row>
    <row r="20595">
      <c r="D20595" s="9"/>
      <c r="G20595" s="9"/>
      <c r="J20595" s="11"/>
      <c r="U20595" s="9"/>
      <c r="X20595" s="9"/>
    </row>
    <row r="20596">
      <c r="D20596" s="9"/>
      <c r="G20596" s="9"/>
      <c r="J20596" s="11"/>
      <c r="U20596" s="9"/>
      <c r="X20596" s="9"/>
    </row>
    <row r="20597">
      <c r="D20597" s="9"/>
      <c r="G20597" s="9"/>
      <c r="J20597" s="11"/>
      <c r="U20597" s="9"/>
      <c r="X20597" s="9"/>
    </row>
    <row r="20598">
      <c r="D20598" s="9"/>
      <c r="G20598" s="9"/>
      <c r="J20598" s="11"/>
      <c r="U20598" s="9"/>
      <c r="X20598" s="9"/>
    </row>
    <row r="20599">
      <c r="D20599" s="9"/>
      <c r="G20599" s="9"/>
      <c r="J20599" s="11"/>
      <c r="U20599" s="9"/>
      <c r="X20599" s="9"/>
    </row>
    <row r="20600">
      <c r="D20600" s="9"/>
      <c r="G20600" s="9"/>
      <c r="J20600" s="11"/>
      <c r="U20600" s="9"/>
      <c r="X20600" s="9"/>
    </row>
    <row r="20601">
      <c r="D20601" s="9"/>
      <c r="G20601" s="9"/>
      <c r="J20601" s="11"/>
      <c r="U20601" s="9"/>
      <c r="X20601" s="9"/>
    </row>
    <row r="20602">
      <c r="D20602" s="9"/>
      <c r="G20602" s="9"/>
      <c r="J20602" s="11"/>
      <c r="U20602" s="9"/>
      <c r="X20602" s="9"/>
    </row>
    <row r="20603">
      <c r="D20603" s="9"/>
      <c r="G20603" s="9"/>
      <c r="J20603" s="11"/>
      <c r="U20603" s="9"/>
      <c r="X20603" s="9"/>
    </row>
    <row r="20604">
      <c r="D20604" s="9"/>
      <c r="G20604" s="9"/>
      <c r="J20604" s="11"/>
      <c r="U20604" s="9"/>
      <c r="X20604" s="9"/>
    </row>
    <row r="20605">
      <c r="D20605" s="9"/>
      <c r="G20605" s="9"/>
      <c r="J20605" s="11"/>
      <c r="U20605" s="9"/>
      <c r="X20605" s="9"/>
    </row>
    <row r="20606">
      <c r="D20606" s="9"/>
      <c r="G20606" s="9"/>
      <c r="J20606" s="11"/>
      <c r="U20606" s="9"/>
      <c r="X20606" s="9"/>
    </row>
    <row r="20607">
      <c r="D20607" s="9"/>
      <c r="G20607" s="9"/>
      <c r="J20607" s="11"/>
      <c r="U20607" s="9"/>
      <c r="X20607" s="9"/>
    </row>
    <row r="20608">
      <c r="D20608" s="9"/>
      <c r="G20608" s="9"/>
      <c r="J20608" s="11"/>
      <c r="U20608" s="9"/>
      <c r="X20608" s="9"/>
    </row>
    <row r="20609">
      <c r="D20609" s="9"/>
      <c r="G20609" s="9"/>
      <c r="J20609" s="11"/>
      <c r="U20609" s="9"/>
      <c r="X20609" s="9"/>
    </row>
    <row r="20610">
      <c r="D20610" s="9"/>
      <c r="G20610" s="9"/>
      <c r="J20610" s="11"/>
      <c r="U20610" s="9"/>
      <c r="X20610" s="9"/>
    </row>
    <row r="20611">
      <c r="D20611" s="9"/>
      <c r="G20611" s="9"/>
      <c r="J20611" s="11"/>
      <c r="U20611" s="9"/>
      <c r="X20611" s="9"/>
    </row>
    <row r="20612">
      <c r="D20612" s="9"/>
      <c r="G20612" s="9"/>
      <c r="J20612" s="11"/>
      <c r="U20612" s="9"/>
      <c r="X20612" s="9"/>
    </row>
    <row r="20613">
      <c r="D20613" s="9"/>
      <c r="G20613" s="9"/>
      <c r="J20613" s="11"/>
      <c r="U20613" s="9"/>
      <c r="X20613" s="9"/>
    </row>
    <row r="20614">
      <c r="D20614" s="9"/>
      <c r="G20614" s="9"/>
      <c r="J20614" s="11"/>
      <c r="U20614" s="9"/>
      <c r="X20614" s="9"/>
    </row>
    <row r="20615">
      <c r="D20615" s="9"/>
      <c r="G20615" s="9"/>
      <c r="J20615" s="11"/>
      <c r="U20615" s="9"/>
      <c r="X20615" s="9"/>
    </row>
    <row r="20616">
      <c r="D20616" s="9"/>
      <c r="G20616" s="9"/>
      <c r="J20616" s="11"/>
      <c r="U20616" s="9"/>
      <c r="X20616" s="9"/>
    </row>
    <row r="20617">
      <c r="D20617" s="9"/>
      <c r="G20617" s="9"/>
      <c r="J20617" s="11"/>
      <c r="U20617" s="9"/>
      <c r="X20617" s="9"/>
    </row>
    <row r="20618">
      <c r="D20618" s="9"/>
      <c r="G20618" s="9"/>
      <c r="J20618" s="11"/>
      <c r="U20618" s="9"/>
      <c r="X20618" s="9"/>
    </row>
    <row r="20619">
      <c r="D20619" s="9"/>
      <c r="G20619" s="9"/>
      <c r="J20619" s="11"/>
      <c r="U20619" s="9"/>
      <c r="X20619" s="9"/>
    </row>
    <row r="20620">
      <c r="D20620" s="9"/>
      <c r="G20620" s="9"/>
      <c r="J20620" s="11"/>
      <c r="U20620" s="9"/>
      <c r="X20620" s="9"/>
    </row>
    <row r="20621">
      <c r="D20621" s="9"/>
      <c r="G20621" s="9"/>
      <c r="J20621" s="11"/>
      <c r="U20621" s="9"/>
      <c r="X20621" s="9"/>
    </row>
    <row r="20622">
      <c r="D20622" s="9"/>
      <c r="G20622" s="9"/>
      <c r="J20622" s="11"/>
      <c r="U20622" s="9"/>
      <c r="X20622" s="9"/>
    </row>
    <row r="20623">
      <c r="D20623" s="9"/>
      <c r="G20623" s="9"/>
      <c r="J20623" s="11"/>
      <c r="U20623" s="9"/>
      <c r="X20623" s="9"/>
    </row>
    <row r="20624">
      <c r="D20624" s="9"/>
      <c r="G20624" s="9"/>
      <c r="J20624" s="11"/>
      <c r="U20624" s="9"/>
      <c r="X20624" s="9"/>
    </row>
    <row r="20625">
      <c r="D20625" s="9"/>
      <c r="G20625" s="9"/>
      <c r="J20625" s="11"/>
      <c r="U20625" s="9"/>
      <c r="X20625" s="9"/>
    </row>
    <row r="20626">
      <c r="D20626" s="9"/>
      <c r="G20626" s="9"/>
      <c r="J20626" s="11"/>
      <c r="U20626" s="9"/>
      <c r="X20626" s="9"/>
    </row>
    <row r="20627">
      <c r="D20627" s="9"/>
      <c r="G20627" s="9"/>
      <c r="J20627" s="11"/>
      <c r="U20627" s="9"/>
      <c r="X20627" s="9"/>
    </row>
    <row r="20628">
      <c r="D20628" s="9"/>
      <c r="G20628" s="9"/>
      <c r="J20628" s="11"/>
      <c r="U20628" s="9"/>
      <c r="X20628" s="9"/>
    </row>
    <row r="20629">
      <c r="D20629" s="9"/>
      <c r="G20629" s="9"/>
      <c r="J20629" s="11"/>
      <c r="U20629" s="9"/>
      <c r="X20629" s="9"/>
    </row>
    <row r="20630">
      <c r="D20630" s="9"/>
      <c r="G20630" s="9"/>
      <c r="J20630" s="11"/>
      <c r="U20630" s="9"/>
      <c r="X20630" s="9"/>
    </row>
    <row r="20631">
      <c r="D20631" s="9"/>
      <c r="G20631" s="9"/>
      <c r="J20631" s="11"/>
      <c r="U20631" s="9"/>
      <c r="X20631" s="9"/>
    </row>
    <row r="20632">
      <c r="D20632" s="9"/>
      <c r="G20632" s="9"/>
      <c r="J20632" s="11"/>
      <c r="U20632" s="9"/>
      <c r="X20632" s="9"/>
    </row>
    <row r="20633">
      <c r="D20633" s="9"/>
      <c r="G20633" s="9"/>
      <c r="J20633" s="11"/>
      <c r="U20633" s="9"/>
      <c r="X20633" s="9"/>
    </row>
    <row r="20634">
      <c r="D20634" s="9"/>
      <c r="G20634" s="9"/>
      <c r="J20634" s="11"/>
      <c r="U20634" s="9"/>
      <c r="X20634" s="9"/>
    </row>
    <row r="20635">
      <c r="D20635" s="9"/>
      <c r="G20635" s="9"/>
      <c r="J20635" s="11"/>
      <c r="U20635" s="9"/>
      <c r="X20635" s="9"/>
    </row>
    <row r="20636">
      <c r="D20636" s="9"/>
      <c r="G20636" s="9"/>
      <c r="J20636" s="11"/>
      <c r="U20636" s="9"/>
      <c r="X20636" s="9"/>
    </row>
    <row r="20637">
      <c r="D20637" s="9"/>
      <c r="G20637" s="9"/>
      <c r="J20637" s="11"/>
      <c r="U20637" s="9"/>
      <c r="X20637" s="9"/>
    </row>
    <row r="20638">
      <c r="D20638" s="9"/>
      <c r="G20638" s="9"/>
      <c r="J20638" s="11"/>
      <c r="U20638" s="9"/>
      <c r="X20638" s="9"/>
    </row>
    <row r="20639">
      <c r="D20639" s="9"/>
      <c r="G20639" s="9"/>
      <c r="J20639" s="11"/>
      <c r="U20639" s="9"/>
      <c r="X20639" s="9"/>
    </row>
    <row r="20640">
      <c r="D20640" s="9"/>
      <c r="G20640" s="9"/>
      <c r="J20640" s="11"/>
      <c r="U20640" s="9"/>
      <c r="X20640" s="9"/>
    </row>
    <row r="20641">
      <c r="D20641" s="9"/>
      <c r="G20641" s="9"/>
      <c r="J20641" s="11"/>
      <c r="U20641" s="9"/>
      <c r="X20641" s="9"/>
    </row>
    <row r="20642">
      <c r="D20642" s="9"/>
      <c r="G20642" s="9"/>
      <c r="J20642" s="11"/>
      <c r="U20642" s="9"/>
      <c r="X20642" s="9"/>
    </row>
    <row r="20643">
      <c r="D20643" s="9"/>
      <c r="G20643" s="9"/>
      <c r="J20643" s="11"/>
      <c r="U20643" s="9"/>
      <c r="X20643" s="9"/>
    </row>
    <row r="20644">
      <c r="D20644" s="9"/>
      <c r="G20644" s="9"/>
      <c r="J20644" s="11"/>
      <c r="U20644" s="9"/>
      <c r="X20644" s="9"/>
    </row>
    <row r="20645">
      <c r="D20645" s="9"/>
      <c r="G20645" s="9"/>
      <c r="J20645" s="11"/>
      <c r="U20645" s="9"/>
      <c r="X20645" s="9"/>
    </row>
    <row r="20646">
      <c r="D20646" s="9"/>
      <c r="G20646" s="9"/>
      <c r="J20646" s="11"/>
      <c r="U20646" s="9"/>
      <c r="X20646" s="9"/>
    </row>
    <row r="20647">
      <c r="D20647" s="9"/>
      <c r="G20647" s="9"/>
      <c r="J20647" s="11"/>
      <c r="U20647" s="9"/>
      <c r="X20647" s="9"/>
    </row>
    <row r="20648">
      <c r="D20648" s="9"/>
      <c r="G20648" s="9"/>
      <c r="J20648" s="11"/>
      <c r="U20648" s="9"/>
      <c r="X20648" s="9"/>
    </row>
    <row r="20649">
      <c r="D20649" s="9"/>
      <c r="G20649" s="9"/>
      <c r="J20649" s="11"/>
      <c r="U20649" s="9"/>
      <c r="X20649" s="9"/>
    </row>
    <row r="20650">
      <c r="D20650" s="9"/>
      <c r="G20650" s="9"/>
      <c r="J20650" s="11"/>
      <c r="U20650" s="9"/>
      <c r="X20650" s="9"/>
    </row>
    <row r="20651">
      <c r="D20651" s="9"/>
      <c r="G20651" s="9"/>
      <c r="J20651" s="11"/>
      <c r="U20651" s="9"/>
      <c r="X20651" s="9"/>
    </row>
    <row r="20652">
      <c r="D20652" s="9"/>
      <c r="G20652" s="9"/>
      <c r="J20652" s="11"/>
      <c r="U20652" s="9"/>
      <c r="X20652" s="9"/>
    </row>
    <row r="20653">
      <c r="D20653" s="9"/>
      <c r="G20653" s="9"/>
      <c r="J20653" s="11"/>
      <c r="U20653" s="9"/>
      <c r="X20653" s="9"/>
    </row>
    <row r="20654">
      <c r="D20654" s="9"/>
      <c r="G20654" s="9"/>
      <c r="J20654" s="11"/>
      <c r="U20654" s="9"/>
      <c r="X20654" s="9"/>
    </row>
    <row r="20655">
      <c r="D20655" s="9"/>
      <c r="G20655" s="9"/>
      <c r="J20655" s="11"/>
      <c r="U20655" s="9"/>
      <c r="X20655" s="9"/>
    </row>
    <row r="20656">
      <c r="D20656" s="9"/>
      <c r="G20656" s="9"/>
      <c r="J20656" s="11"/>
      <c r="U20656" s="9"/>
      <c r="X20656" s="9"/>
    </row>
    <row r="20657">
      <c r="D20657" s="9"/>
      <c r="G20657" s="9"/>
      <c r="J20657" s="11"/>
      <c r="U20657" s="9"/>
      <c r="X20657" s="9"/>
    </row>
    <row r="20658">
      <c r="D20658" s="9"/>
      <c r="G20658" s="9"/>
      <c r="J20658" s="11"/>
      <c r="U20658" s="9"/>
      <c r="X20658" s="9"/>
    </row>
    <row r="20659">
      <c r="D20659" s="9"/>
      <c r="G20659" s="9"/>
      <c r="J20659" s="11"/>
      <c r="U20659" s="9"/>
      <c r="X20659" s="9"/>
    </row>
    <row r="20660">
      <c r="D20660" s="9"/>
      <c r="G20660" s="9"/>
      <c r="J20660" s="11"/>
      <c r="U20660" s="9"/>
      <c r="X20660" s="9"/>
    </row>
    <row r="20661">
      <c r="D20661" s="9"/>
      <c r="G20661" s="9"/>
      <c r="J20661" s="11"/>
      <c r="U20661" s="9"/>
      <c r="X20661" s="9"/>
    </row>
    <row r="20662">
      <c r="D20662" s="9"/>
      <c r="G20662" s="9"/>
      <c r="J20662" s="11"/>
      <c r="U20662" s="9"/>
      <c r="X20662" s="9"/>
    </row>
    <row r="20663">
      <c r="D20663" s="9"/>
      <c r="G20663" s="9"/>
      <c r="J20663" s="11"/>
      <c r="U20663" s="9"/>
      <c r="X20663" s="9"/>
    </row>
    <row r="20664">
      <c r="D20664" s="9"/>
      <c r="G20664" s="9"/>
      <c r="J20664" s="11"/>
      <c r="U20664" s="9"/>
      <c r="X20664" s="9"/>
    </row>
    <row r="20665">
      <c r="D20665" s="9"/>
      <c r="G20665" s="9"/>
      <c r="J20665" s="11"/>
      <c r="U20665" s="9"/>
      <c r="X20665" s="9"/>
    </row>
    <row r="20666">
      <c r="D20666" s="9"/>
      <c r="G20666" s="9"/>
      <c r="J20666" s="11"/>
      <c r="U20666" s="9"/>
      <c r="X20666" s="9"/>
    </row>
    <row r="20667">
      <c r="D20667" s="9"/>
      <c r="G20667" s="9"/>
      <c r="J20667" s="11"/>
      <c r="U20667" s="9"/>
      <c r="X20667" s="9"/>
    </row>
    <row r="20668">
      <c r="D20668" s="9"/>
      <c r="G20668" s="9"/>
      <c r="J20668" s="11"/>
      <c r="U20668" s="9"/>
      <c r="X20668" s="9"/>
    </row>
    <row r="20669">
      <c r="D20669" s="9"/>
      <c r="G20669" s="9"/>
      <c r="J20669" s="11"/>
      <c r="U20669" s="9"/>
      <c r="X20669" s="9"/>
    </row>
    <row r="20670">
      <c r="D20670" s="9"/>
      <c r="G20670" s="9"/>
      <c r="J20670" s="11"/>
      <c r="U20670" s="9"/>
      <c r="X20670" s="9"/>
    </row>
    <row r="20671">
      <c r="D20671" s="9"/>
      <c r="G20671" s="9"/>
      <c r="J20671" s="11"/>
      <c r="U20671" s="9"/>
      <c r="X20671" s="9"/>
    </row>
    <row r="20672">
      <c r="D20672" s="9"/>
      <c r="G20672" s="9"/>
      <c r="J20672" s="11"/>
      <c r="U20672" s="9"/>
      <c r="X20672" s="9"/>
    </row>
    <row r="20673">
      <c r="D20673" s="9"/>
      <c r="G20673" s="9"/>
      <c r="J20673" s="11"/>
      <c r="U20673" s="9"/>
      <c r="X20673" s="9"/>
    </row>
    <row r="20674">
      <c r="D20674" s="9"/>
      <c r="G20674" s="9"/>
      <c r="J20674" s="11"/>
      <c r="U20674" s="9"/>
      <c r="X20674" s="9"/>
    </row>
    <row r="20675">
      <c r="D20675" s="9"/>
      <c r="G20675" s="9"/>
      <c r="J20675" s="11"/>
      <c r="U20675" s="9"/>
      <c r="X20675" s="9"/>
    </row>
    <row r="20676">
      <c r="D20676" s="9"/>
      <c r="G20676" s="9"/>
      <c r="J20676" s="11"/>
      <c r="U20676" s="9"/>
      <c r="X20676" s="9"/>
    </row>
    <row r="20677">
      <c r="D20677" s="9"/>
      <c r="G20677" s="9"/>
      <c r="J20677" s="11"/>
      <c r="U20677" s="9"/>
      <c r="X20677" s="9"/>
    </row>
    <row r="20678">
      <c r="D20678" s="9"/>
      <c r="G20678" s="9"/>
      <c r="J20678" s="11"/>
      <c r="U20678" s="9"/>
      <c r="X20678" s="9"/>
    </row>
    <row r="20679">
      <c r="D20679" s="9"/>
      <c r="G20679" s="9"/>
      <c r="J20679" s="11"/>
      <c r="U20679" s="9"/>
      <c r="X20679" s="9"/>
    </row>
    <row r="20680">
      <c r="D20680" s="9"/>
      <c r="G20680" s="9"/>
      <c r="J20680" s="11"/>
      <c r="U20680" s="9"/>
      <c r="X20680" s="9"/>
    </row>
    <row r="20681">
      <c r="D20681" s="9"/>
      <c r="G20681" s="9"/>
      <c r="J20681" s="11"/>
      <c r="U20681" s="9"/>
      <c r="X20681" s="9"/>
    </row>
    <row r="20682">
      <c r="D20682" s="9"/>
      <c r="G20682" s="9"/>
      <c r="J20682" s="11"/>
      <c r="U20682" s="9"/>
      <c r="X20682" s="9"/>
    </row>
    <row r="20683">
      <c r="D20683" s="9"/>
      <c r="G20683" s="9"/>
      <c r="J20683" s="11"/>
      <c r="U20683" s="9"/>
      <c r="X20683" s="9"/>
    </row>
    <row r="20684">
      <c r="D20684" s="9"/>
      <c r="G20684" s="9"/>
      <c r="J20684" s="11"/>
      <c r="U20684" s="9"/>
      <c r="X20684" s="9"/>
    </row>
    <row r="20685">
      <c r="D20685" s="9"/>
      <c r="G20685" s="9"/>
      <c r="J20685" s="11"/>
      <c r="U20685" s="9"/>
      <c r="X20685" s="9"/>
    </row>
    <row r="20686">
      <c r="D20686" s="9"/>
      <c r="G20686" s="9"/>
      <c r="J20686" s="11"/>
      <c r="U20686" s="9"/>
      <c r="X20686" s="9"/>
    </row>
    <row r="20687">
      <c r="D20687" s="9"/>
      <c r="G20687" s="9"/>
      <c r="J20687" s="11"/>
      <c r="U20687" s="9"/>
      <c r="X20687" s="9"/>
    </row>
    <row r="20688">
      <c r="D20688" s="9"/>
      <c r="G20688" s="9"/>
      <c r="J20688" s="11"/>
      <c r="U20688" s="9"/>
      <c r="X20688" s="9"/>
    </row>
    <row r="20689">
      <c r="D20689" s="9"/>
      <c r="G20689" s="9"/>
      <c r="J20689" s="11"/>
      <c r="U20689" s="9"/>
      <c r="X20689" s="9"/>
    </row>
    <row r="20690">
      <c r="D20690" s="9"/>
      <c r="G20690" s="9"/>
      <c r="J20690" s="11"/>
      <c r="U20690" s="9"/>
      <c r="X20690" s="9"/>
    </row>
    <row r="20691">
      <c r="D20691" s="9"/>
      <c r="G20691" s="9"/>
      <c r="J20691" s="11"/>
      <c r="U20691" s="9"/>
      <c r="X20691" s="9"/>
    </row>
    <row r="20692">
      <c r="D20692" s="9"/>
      <c r="G20692" s="9"/>
      <c r="J20692" s="11"/>
      <c r="U20692" s="9"/>
      <c r="X20692" s="9"/>
    </row>
    <row r="20693">
      <c r="D20693" s="9"/>
      <c r="G20693" s="9"/>
      <c r="J20693" s="11"/>
      <c r="U20693" s="9"/>
      <c r="X20693" s="9"/>
    </row>
    <row r="20694">
      <c r="D20694" s="9"/>
      <c r="G20694" s="9"/>
      <c r="J20694" s="11"/>
      <c r="U20694" s="9"/>
      <c r="X20694" s="9"/>
    </row>
    <row r="20695">
      <c r="D20695" s="9"/>
      <c r="G20695" s="9"/>
      <c r="J20695" s="11"/>
      <c r="U20695" s="9"/>
      <c r="X20695" s="9"/>
    </row>
    <row r="20696">
      <c r="D20696" s="9"/>
      <c r="G20696" s="9"/>
      <c r="J20696" s="11"/>
      <c r="U20696" s="9"/>
      <c r="X20696" s="9"/>
    </row>
    <row r="20697">
      <c r="D20697" s="9"/>
      <c r="G20697" s="9"/>
      <c r="J20697" s="11"/>
      <c r="U20697" s="9"/>
      <c r="X20697" s="9"/>
    </row>
    <row r="20698">
      <c r="D20698" s="9"/>
      <c r="G20698" s="9"/>
      <c r="J20698" s="11"/>
      <c r="U20698" s="9"/>
      <c r="X20698" s="9"/>
    </row>
    <row r="20699">
      <c r="D20699" s="9"/>
      <c r="G20699" s="9"/>
      <c r="J20699" s="11"/>
      <c r="U20699" s="9"/>
      <c r="X20699" s="9"/>
    </row>
    <row r="20700">
      <c r="D20700" s="9"/>
      <c r="G20700" s="9"/>
      <c r="J20700" s="11"/>
      <c r="U20700" s="9"/>
      <c r="X20700" s="9"/>
    </row>
    <row r="20701">
      <c r="D20701" s="9"/>
      <c r="G20701" s="9"/>
      <c r="J20701" s="11"/>
      <c r="U20701" s="9"/>
      <c r="X20701" s="9"/>
    </row>
    <row r="20702">
      <c r="D20702" s="9"/>
      <c r="G20702" s="9"/>
      <c r="J20702" s="11"/>
      <c r="U20702" s="9"/>
      <c r="X20702" s="9"/>
    </row>
    <row r="20703">
      <c r="D20703" s="9"/>
      <c r="G20703" s="9"/>
      <c r="J20703" s="11"/>
      <c r="U20703" s="9"/>
      <c r="X20703" s="9"/>
    </row>
    <row r="20704">
      <c r="D20704" s="9"/>
      <c r="G20704" s="9"/>
      <c r="J20704" s="11"/>
      <c r="U20704" s="9"/>
      <c r="X20704" s="9"/>
    </row>
    <row r="20705">
      <c r="D20705" s="9"/>
      <c r="G20705" s="9"/>
      <c r="J20705" s="11"/>
      <c r="U20705" s="9"/>
      <c r="X20705" s="9"/>
    </row>
    <row r="20706">
      <c r="D20706" s="9"/>
      <c r="G20706" s="9"/>
      <c r="J20706" s="11"/>
      <c r="U20706" s="9"/>
      <c r="X20706" s="9"/>
    </row>
    <row r="20707">
      <c r="D20707" s="9"/>
      <c r="G20707" s="9"/>
      <c r="J20707" s="11"/>
      <c r="U20707" s="9"/>
      <c r="X20707" s="9"/>
    </row>
    <row r="20708">
      <c r="D20708" s="9"/>
      <c r="G20708" s="9"/>
      <c r="J20708" s="11"/>
      <c r="U20708" s="9"/>
      <c r="X20708" s="9"/>
    </row>
    <row r="20709">
      <c r="D20709" s="9"/>
      <c r="G20709" s="9"/>
      <c r="J20709" s="11"/>
      <c r="U20709" s="9"/>
      <c r="X20709" s="9"/>
    </row>
    <row r="20710">
      <c r="D20710" s="9"/>
      <c r="G20710" s="9"/>
      <c r="J20710" s="11"/>
      <c r="U20710" s="9"/>
      <c r="X20710" s="9"/>
    </row>
    <row r="20711">
      <c r="D20711" s="9"/>
      <c r="G20711" s="9"/>
      <c r="J20711" s="11"/>
      <c r="U20711" s="9"/>
      <c r="X20711" s="9"/>
    </row>
    <row r="20712">
      <c r="D20712" s="9"/>
      <c r="G20712" s="9"/>
      <c r="J20712" s="11"/>
      <c r="U20712" s="9"/>
      <c r="X20712" s="9"/>
    </row>
    <row r="20713">
      <c r="D20713" s="9"/>
      <c r="G20713" s="9"/>
      <c r="J20713" s="11"/>
      <c r="U20713" s="9"/>
      <c r="X20713" s="9"/>
    </row>
    <row r="20714">
      <c r="D20714" s="9"/>
      <c r="G20714" s="9"/>
      <c r="J20714" s="11"/>
      <c r="U20714" s="9"/>
      <c r="X20714" s="9"/>
    </row>
    <row r="20715">
      <c r="D20715" s="9"/>
      <c r="G20715" s="9"/>
      <c r="J20715" s="11"/>
      <c r="U20715" s="9"/>
      <c r="X20715" s="9"/>
    </row>
    <row r="20716">
      <c r="D20716" s="9"/>
      <c r="G20716" s="9"/>
      <c r="J20716" s="11"/>
      <c r="U20716" s="9"/>
      <c r="X20716" s="9"/>
    </row>
    <row r="20717">
      <c r="D20717" s="9"/>
      <c r="G20717" s="9"/>
      <c r="J20717" s="11"/>
      <c r="U20717" s="9"/>
      <c r="X20717" s="9"/>
    </row>
    <row r="20718">
      <c r="D20718" s="9"/>
      <c r="G20718" s="9"/>
      <c r="J20718" s="11"/>
      <c r="U20718" s="9"/>
      <c r="X20718" s="9"/>
    </row>
    <row r="20719">
      <c r="D20719" s="9"/>
      <c r="G20719" s="9"/>
      <c r="J20719" s="11"/>
      <c r="U20719" s="9"/>
      <c r="X20719" s="9"/>
    </row>
    <row r="20720">
      <c r="D20720" s="9"/>
      <c r="G20720" s="9"/>
      <c r="J20720" s="11"/>
      <c r="U20720" s="9"/>
      <c r="X20720" s="9"/>
    </row>
    <row r="20721">
      <c r="D20721" s="9"/>
      <c r="G20721" s="9"/>
      <c r="J20721" s="11"/>
      <c r="U20721" s="9"/>
      <c r="X20721" s="9"/>
    </row>
    <row r="20722">
      <c r="D20722" s="9"/>
      <c r="G20722" s="9"/>
      <c r="J20722" s="11"/>
      <c r="U20722" s="9"/>
      <c r="X20722" s="9"/>
    </row>
    <row r="20723">
      <c r="D20723" s="9"/>
      <c r="G20723" s="9"/>
      <c r="J20723" s="11"/>
      <c r="U20723" s="9"/>
      <c r="X20723" s="9"/>
    </row>
    <row r="20724">
      <c r="D20724" s="9"/>
      <c r="G20724" s="9"/>
      <c r="J20724" s="11"/>
      <c r="U20724" s="9"/>
      <c r="X20724" s="9"/>
    </row>
    <row r="20725">
      <c r="D20725" s="9"/>
      <c r="G20725" s="9"/>
      <c r="J20725" s="11"/>
      <c r="U20725" s="9"/>
      <c r="X20725" s="9"/>
    </row>
    <row r="20726">
      <c r="D20726" s="9"/>
      <c r="G20726" s="9"/>
      <c r="J20726" s="11"/>
      <c r="U20726" s="9"/>
      <c r="X20726" s="9"/>
    </row>
    <row r="20727">
      <c r="D20727" s="9"/>
      <c r="G20727" s="9"/>
      <c r="J20727" s="11"/>
      <c r="U20727" s="9"/>
      <c r="X20727" s="9"/>
    </row>
    <row r="20728">
      <c r="D20728" s="9"/>
      <c r="G20728" s="9"/>
      <c r="J20728" s="11"/>
      <c r="U20728" s="9"/>
      <c r="X20728" s="9"/>
    </row>
    <row r="20729">
      <c r="D20729" s="9"/>
      <c r="G20729" s="9"/>
      <c r="J20729" s="11"/>
      <c r="U20729" s="9"/>
      <c r="X20729" s="9"/>
    </row>
    <row r="20730">
      <c r="D20730" s="9"/>
      <c r="G20730" s="9"/>
      <c r="J20730" s="11"/>
      <c r="U20730" s="9"/>
      <c r="X20730" s="9"/>
    </row>
    <row r="20731">
      <c r="D20731" s="9"/>
      <c r="G20731" s="9"/>
      <c r="J20731" s="11"/>
      <c r="U20731" s="9"/>
      <c r="X20731" s="9"/>
    </row>
    <row r="20732">
      <c r="D20732" s="9"/>
      <c r="G20732" s="9"/>
      <c r="J20732" s="11"/>
      <c r="U20732" s="9"/>
      <c r="X20732" s="9"/>
    </row>
    <row r="20733">
      <c r="D20733" s="9"/>
      <c r="G20733" s="9"/>
      <c r="J20733" s="11"/>
      <c r="U20733" s="9"/>
      <c r="X20733" s="9"/>
    </row>
    <row r="20734">
      <c r="D20734" s="9"/>
      <c r="G20734" s="9"/>
      <c r="J20734" s="11"/>
      <c r="U20734" s="9"/>
      <c r="X20734" s="9"/>
    </row>
    <row r="20735">
      <c r="D20735" s="9"/>
      <c r="G20735" s="9"/>
      <c r="J20735" s="11"/>
      <c r="U20735" s="9"/>
      <c r="X20735" s="9"/>
    </row>
    <row r="20736">
      <c r="D20736" s="9"/>
      <c r="G20736" s="9"/>
      <c r="J20736" s="11"/>
      <c r="U20736" s="9"/>
      <c r="X20736" s="9"/>
    </row>
    <row r="20737">
      <c r="D20737" s="9"/>
      <c r="G20737" s="9"/>
      <c r="J20737" s="11"/>
      <c r="U20737" s="9"/>
      <c r="X20737" s="9"/>
    </row>
    <row r="20738">
      <c r="D20738" s="9"/>
      <c r="G20738" s="9"/>
      <c r="J20738" s="11"/>
      <c r="U20738" s="9"/>
      <c r="X20738" s="9"/>
    </row>
    <row r="20739">
      <c r="D20739" s="9"/>
      <c r="G20739" s="9"/>
      <c r="J20739" s="11"/>
      <c r="U20739" s="9"/>
      <c r="X20739" s="9"/>
    </row>
    <row r="20740">
      <c r="D20740" s="9"/>
      <c r="G20740" s="9"/>
      <c r="J20740" s="11"/>
      <c r="U20740" s="9"/>
      <c r="X20740" s="9"/>
    </row>
    <row r="20741">
      <c r="D20741" s="9"/>
      <c r="G20741" s="9"/>
      <c r="J20741" s="11"/>
      <c r="U20741" s="9"/>
      <c r="X20741" s="9"/>
    </row>
    <row r="20742">
      <c r="D20742" s="9"/>
      <c r="G20742" s="9"/>
      <c r="J20742" s="11"/>
      <c r="U20742" s="9"/>
      <c r="X20742" s="9"/>
    </row>
    <row r="20743">
      <c r="D20743" s="9"/>
      <c r="G20743" s="9"/>
      <c r="J20743" s="11"/>
      <c r="U20743" s="9"/>
      <c r="X20743" s="9"/>
    </row>
    <row r="20744">
      <c r="D20744" s="9"/>
      <c r="G20744" s="9"/>
      <c r="J20744" s="11"/>
      <c r="U20744" s="9"/>
      <c r="X20744" s="9"/>
    </row>
    <row r="20745">
      <c r="D20745" s="9"/>
      <c r="G20745" s="9"/>
      <c r="J20745" s="11"/>
      <c r="U20745" s="9"/>
      <c r="X20745" s="9"/>
    </row>
    <row r="20746">
      <c r="D20746" s="9"/>
      <c r="G20746" s="9"/>
      <c r="J20746" s="11"/>
      <c r="U20746" s="9"/>
      <c r="X20746" s="9"/>
    </row>
    <row r="20747">
      <c r="D20747" s="9"/>
      <c r="G20747" s="9"/>
      <c r="J20747" s="11"/>
      <c r="U20747" s="9"/>
      <c r="X20747" s="9"/>
    </row>
    <row r="20748">
      <c r="D20748" s="9"/>
      <c r="G20748" s="9"/>
      <c r="J20748" s="11"/>
      <c r="U20748" s="9"/>
      <c r="X20748" s="9"/>
    </row>
    <row r="20749">
      <c r="D20749" s="9"/>
      <c r="G20749" s="9"/>
      <c r="J20749" s="11"/>
      <c r="U20749" s="9"/>
      <c r="X20749" s="9"/>
    </row>
    <row r="20750">
      <c r="D20750" s="9"/>
      <c r="G20750" s="9"/>
      <c r="J20750" s="11"/>
      <c r="U20750" s="9"/>
      <c r="X20750" s="9"/>
    </row>
    <row r="20751">
      <c r="D20751" s="9"/>
      <c r="G20751" s="9"/>
      <c r="J20751" s="11"/>
      <c r="U20751" s="9"/>
      <c r="X20751" s="9"/>
    </row>
    <row r="20752">
      <c r="D20752" s="9"/>
      <c r="G20752" s="9"/>
      <c r="J20752" s="11"/>
      <c r="U20752" s="9"/>
      <c r="X20752" s="9"/>
    </row>
    <row r="20753">
      <c r="D20753" s="9"/>
      <c r="G20753" s="9"/>
      <c r="J20753" s="11"/>
      <c r="U20753" s="9"/>
      <c r="X20753" s="9"/>
    </row>
    <row r="20754">
      <c r="D20754" s="9"/>
      <c r="G20754" s="9"/>
      <c r="J20754" s="11"/>
      <c r="U20754" s="9"/>
      <c r="X20754" s="9"/>
    </row>
    <row r="20755">
      <c r="D20755" s="9"/>
      <c r="G20755" s="9"/>
      <c r="J20755" s="11"/>
      <c r="U20755" s="9"/>
      <c r="X20755" s="9"/>
    </row>
    <row r="20756">
      <c r="D20756" s="9"/>
      <c r="G20756" s="9"/>
      <c r="J20756" s="11"/>
      <c r="U20756" s="9"/>
      <c r="X20756" s="9"/>
    </row>
    <row r="20757">
      <c r="D20757" s="9"/>
      <c r="G20757" s="9"/>
      <c r="J20757" s="11"/>
      <c r="U20757" s="9"/>
      <c r="X20757" s="9"/>
    </row>
    <row r="20758">
      <c r="D20758" s="9"/>
      <c r="G20758" s="9"/>
      <c r="J20758" s="11"/>
      <c r="U20758" s="9"/>
      <c r="X20758" s="9"/>
    </row>
    <row r="20759">
      <c r="D20759" s="9"/>
      <c r="G20759" s="9"/>
      <c r="J20759" s="11"/>
      <c r="U20759" s="9"/>
      <c r="X20759" s="9"/>
    </row>
    <row r="20760">
      <c r="D20760" s="9"/>
      <c r="G20760" s="9"/>
      <c r="J20760" s="11"/>
      <c r="U20760" s="9"/>
      <c r="X20760" s="9"/>
    </row>
    <row r="20761">
      <c r="D20761" s="9"/>
      <c r="G20761" s="9"/>
      <c r="J20761" s="11"/>
      <c r="U20761" s="9"/>
      <c r="X20761" s="9"/>
    </row>
    <row r="20762">
      <c r="D20762" s="9"/>
      <c r="G20762" s="9"/>
      <c r="J20762" s="11"/>
      <c r="U20762" s="9"/>
      <c r="X20762" s="9"/>
    </row>
    <row r="20763">
      <c r="D20763" s="9"/>
      <c r="G20763" s="9"/>
      <c r="J20763" s="11"/>
      <c r="U20763" s="9"/>
      <c r="X20763" s="9"/>
    </row>
    <row r="20764">
      <c r="D20764" s="9"/>
      <c r="G20764" s="9"/>
      <c r="J20764" s="11"/>
      <c r="U20764" s="9"/>
      <c r="X20764" s="9"/>
    </row>
    <row r="20765">
      <c r="D20765" s="9"/>
      <c r="G20765" s="9"/>
      <c r="J20765" s="11"/>
      <c r="U20765" s="9"/>
      <c r="X20765" s="9"/>
    </row>
    <row r="20766">
      <c r="D20766" s="9"/>
      <c r="G20766" s="9"/>
      <c r="J20766" s="11"/>
      <c r="U20766" s="9"/>
      <c r="X20766" s="9"/>
    </row>
    <row r="20767">
      <c r="D20767" s="9"/>
      <c r="G20767" s="9"/>
      <c r="J20767" s="11"/>
      <c r="U20767" s="9"/>
      <c r="X20767" s="9"/>
    </row>
    <row r="20768">
      <c r="D20768" s="9"/>
      <c r="G20768" s="9"/>
      <c r="J20768" s="11"/>
      <c r="U20768" s="9"/>
      <c r="X20768" s="9"/>
    </row>
    <row r="20769">
      <c r="D20769" s="9"/>
      <c r="G20769" s="9"/>
      <c r="J20769" s="11"/>
      <c r="U20769" s="9"/>
      <c r="X20769" s="9"/>
    </row>
    <row r="20770">
      <c r="D20770" s="9"/>
      <c r="G20770" s="9"/>
      <c r="J20770" s="11"/>
      <c r="U20770" s="9"/>
      <c r="X20770" s="9"/>
    </row>
    <row r="20771">
      <c r="D20771" s="9"/>
      <c r="G20771" s="9"/>
      <c r="J20771" s="11"/>
      <c r="U20771" s="9"/>
      <c r="X20771" s="9"/>
    </row>
    <row r="20772">
      <c r="D20772" s="9"/>
      <c r="G20772" s="9"/>
      <c r="J20772" s="11"/>
      <c r="U20772" s="9"/>
      <c r="X20772" s="9"/>
    </row>
    <row r="20773">
      <c r="D20773" s="9"/>
      <c r="G20773" s="9"/>
      <c r="J20773" s="11"/>
      <c r="U20773" s="9"/>
      <c r="X20773" s="9"/>
    </row>
    <row r="20774">
      <c r="D20774" s="9"/>
      <c r="G20774" s="9"/>
      <c r="J20774" s="11"/>
      <c r="U20774" s="9"/>
      <c r="X20774" s="9"/>
    </row>
    <row r="20775">
      <c r="D20775" s="9"/>
      <c r="G20775" s="9"/>
      <c r="J20775" s="11"/>
      <c r="U20775" s="9"/>
      <c r="X20775" s="9"/>
    </row>
    <row r="20776">
      <c r="D20776" s="9"/>
      <c r="G20776" s="9"/>
      <c r="J20776" s="11"/>
      <c r="U20776" s="9"/>
      <c r="X20776" s="9"/>
    </row>
    <row r="20777">
      <c r="D20777" s="9"/>
      <c r="G20777" s="9"/>
      <c r="J20777" s="11"/>
      <c r="U20777" s="9"/>
      <c r="X20777" s="9"/>
    </row>
    <row r="20778">
      <c r="D20778" s="9"/>
      <c r="G20778" s="9"/>
      <c r="J20778" s="11"/>
      <c r="U20778" s="9"/>
      <c r="X20778" s="9"/>
    </row>
    <row r="20779">
      <c r="D20779" s="9"/>
      <c r="G20779" s="9"/>
      <c r="J20779" s="11"/>
      <c r="U20779" s="9"/>
      <c r="X20779" s="9"/>
    </row>
    <row r="20780">
      <c r="D20780" s="9"/>
      <c r="G20780" s="9"/>
      <c r="J20780" s="11"/>
      <c r="U20780" s="9"/>
      <c r="X20780" s="9"/>
    </row>
    <row r="20781">
      <c r="D20781" s="9"/>
      <c r="G20781" s="9"/>
      <c r="J20781" s="11"/>
      <c r="U20781" s="9"/>
      <c r="X20781" s="9"/>
    </row>
    <row r="20782">
      <c r="D20782" s="9"/>
      <c r="G20782" s="9"/>
      <c r="J20782" s="11"/>
      <c r="U20782" s="9"/>
      <c r="X20782" s="9"/>
    </row>
    <row r="20783">
      <c r="D20783" s="9"/>
      <c r="G20783" s="9"/>
      <c r="J20783" s="11"/>
      <c r="U20783" s="9"/>
      <c r="X20783" s="9"/>
    </row>
    <row r="20784">
      <c r="D20784" s="9"/>
      <c r="G20784" s="9"/>
      <c r="J20784" s="11"/>
      <c r="U20784" s="9"/>
      <c r="X20784" s="9"/>
    </row>
    <row r="20785">
      <c r="D20785" s="9"/>
      <c r="G20785" s="9"/>
      <c r="J20785" s="11"/>
      <c r="U20785" s="9"/>
      <c r="X20785" s="9"/>
    </row>
    <row r="20786">
      <c r="D20786" s="9"/>
      <c r="G20786" s="9"/>
      <c r="J20786" s="11"/>
      <c r="U20786" s="9"/>
      <c r="X20786" s="9"/>
    </row>
    <row r="20787">
      <c r="D20787" s="9"/>
      <c r="G20787" s="9"/>
      <c r="J20787" s="11"/>
      <c r="U20787" s="9"/>
      <c r="X20787" s="9"/>
    </row>
    <row r="20788">
      <c r="D20788" s="9"/>
      <c r="G20788" s="9"/>
      <c r="J20788" s="11"/>
      <c r="U20788" s="9"/>
      <c r="X20788" s="9"/>
    </row>
    <row r="20789">
      <c r="D20789" s="9"/>
      <c r="G20789" s="9"/>
      <c r="J20789" s="11"/>
      <c r="U20789" s="9"/>
      <c r="X20789" s="9"/>
    </row>
    <row r="20790">
      <c r="D20790" s="9"/>
      <c r="G20790" s="9"/>
      <c r="J20790" s="11"/>
      <c r="U20790" s="9"/>
      <c r="X20790" s="9"/>
    </row>
    <row r="20791">
      <c r="D20791" s="9"/>
      <c r="G20791" s="9"/>
      <c r="J20791" s="11"/>
      <c r="U20791" s="9"/>
      <c r="X20791" s="9"/>
    </row>
    <row r="20792">
      <c r="D20792" s="9"/>
      <c r="G20792" s="9"/>
      <c r="J20792" s="11"/>
      <c r="U20792" s="9"/>
      <c r="X20792" s="9"/>
    </row>
    <row r="20793">
      <c r="D20793" s="9"/>
      <c r="G20793" s="9"/>
      <c r="J20793" s="11"/>
      <c r="U20793" s="9"/>
      <c r="X20793" s="9"/>
    </row>
    <row r="20794">
      <c r="D20794" s="9"/>
      <c r="G20794" s="9"/>
      <c r="J20794" s="11"/>
      <c r="U20794" s="9"/>
      <c r="X20794" s="9"/>
    </row>
    <row r="20795">
      <c r="D20795" s="9"/>
      <c r="G20795" s="9"/>
      <c r="J20795" s="11"/>
      <c r="U20795" s="9"/>
      <c r="X20795" s="9"/>
    </row>
    <row r="20796">
      <c r="D20796" s="9"/>
      <c r="G20796" s="9"/>
      <c r="J20796" s="11"/>
      <c r="U20796" s="9"/>
      <c r="X20796" s="9"/>
    </row>
    <row r="20797">
      <c r="D20797" s="9"/>
      <c r="G20797" s="9"/>
      <c r="J20797" s="11"/>
      <c r="U20797" s="9"/>
      <c r="X20797" s="9"/>
    </row>
    <row r="20798">
      <c r="D20798" s="9"/>
      <c r="G20798" s="9"/>
      <c r="J20798" s="11"/>
      <c r="U20798" s="9"/>
      <c r="X20798" s="9"/>
    </row>
    <row r="20799">
      <c r="D20799" s="9"/>
      <c r="G20799" s="9"/>
      <c r="J20799" s="11"/>
      <c r="U20799" s="9"/>
      <c r="X20799" s="9"/>
    </row>
    <row r="20800">
      <c r="D20800" s="9"/>
      <c r="G20800" s="9"/>
      <c r="J20800" s="11"/>
      <c r="U20800" s="9"/>
      <c r="X20800" s="9"/>
    </row>
    <row r="20801">
      <c r="D20801" s="9"/>
      <c r="G20801" s="9"/>
      <c r="J20801" s="11"/>
      <c r="U20801" s="9"/>
      <c r="X20801" s="9"/>
    </row>
    <row r="20802">
      <c r="D20802" s="9"/>
      <c r="G20802" s="9"/>
      <c r="J20802" s="11"/>
      <c r="U20802" s="9"/>
      <c r="X20802" s="9"/>
    </row>
    <row r="20803">
      <c r="D20803" s="9"/>
      <c r="G20803" s="9"/>
      <c r="J20803" s="11"/>
      <c r="U20803" s="9"/>
      <c r="X20803" s="9"/>
    </row>
    <row r="20804">
      <c r="D20804" s="9"/>
      <c r="G20804" s="9"/>
      <c r="J20804" s="11"/>
      <c r="U20804" s="9"/>
      <c r="X20804" s="9"/>
    </row>
    <row r="20805">
      <c r="D20805" s="9"/>
      <c r="G20805" s="9"/>
      <c r="J20805" s="11"/>
      <c r="U20805" s="9"/>
      <c r="X20805" s="9"/>
    </row>
    <row r="20806">
      <c r="D20806" s="9"/>
      <c r="G20806" s="9"/>
      <c r="J20806" s="11"/>
      <c r="U20806" s="9"/>
      <c r="X20806" s="9"/>
    </row>
    <row r="20807">
      <c r="D20807" s="9"/>
      <c r="G20807" s="9"/>
      <c r="J20807" s="11"/>
      <c r="U20807" s="9"/>
      <c r="X20807" s="9"/>
    </row>
    <row r="20808">
      <c r="D20808" s="9"/>
      <c r="G20808" s="9"/>
      <c r="J20808" s="11"/>
      <c r="U20808" s="9"/>
      <c r="X20808" s="9"/>
    </row>
    <row r="20809">
      <c r="D20809" s="9"/>
      <c r="G20809" s="9"/>
      <c r="J20809" s="11"/>
      <c r="U20809" s="9"/>
      <c r="X20809" s="9"/>
    </row>
    <row r="20810">
      <c r="D20810" s="9"/>
      <c r="G20810" s="9"/>
      <c r="J20810" s="11"/>
      <c r="U20810" s="9"/>
      <c r="X20810" s="9"/>
    </row>
    <row r="20811">
      <c r="D20811" s="9"/>
      <c r="G20811" s="9"/>
      <c r="J20811" s="11"/>
      <c r="U20811" s="9"/>
      <c r="X20811" s="9"/>
    </row>
    <row r="20812">
      <c r="D20812" s="9"/>
      <c r="G20812" s="9"/>
      <c r="J20812" s="11"/>
      <c r="U20812" s="9"/>
      <c r="X20812" s="9"/>
    </row>
    <row r="20813">
      <c r="D20813" s="9"/>
      <c r="G20813" s="9"/>
      <c r="J20813" s="11"/>
      <c r="U20813" s="9"/>
      <c r="X20813" s="9"/>
    </row>
    <row r="20814">
      <c r="D20814" s="9"/>
      <c r="G20814" s="9"/>
      <c r="J20814" s="11"/>
      <c r="U20814" s="9"/>
      <c r="X20814" s="9"/>
    </row>
    <row r="20815">
      <c r="D20815" s="9"/>
      <c r="G20815" s="9"/>
      <c r="J20815" s="11"/>
      <c r="U20815" s="9"/>
      <c r="X20815" s="9"/>
    </row>
    <row r="20816">
      <c r="D20816" s="9"/>
      <c r="G20816" s="9"/>
      <c r="J20816" s="11"/>
      <c r="U20816" s="9"/>
      <c r="X20816" s="9"/>
    </row>
    <row r="20817">
      <c r="D20817" s="9"/>
      <c r="G20817" s="9"/>
      <c r="J20817" s="11"/>
      <c r="U20817" s="9"/>
      <c r="X20817" s="9"/>
    </row>
    <row r="20818">
      <c r="D20818" s="9"/>
      <c r="G20818" s="9"/>
      <c r="J20818" s="11"/>
      <c r="U20818" s="9"/>
      <c r="X20818" s="9"/>
    </row>
    <row r="20819">
      <c r="D20819" s="9"/>
      <c r="G20819" s="9"/>
      <c r="J20819" s="11"/>
      <c r="U20819" s="9"/>
      <c r="X20819" s="9"/>
    </row>
    <row r="20820">
      <c r="D20820" s="9"/>
      <c r="G20820" s="9"/>
      <c r="J20820" s="11"/>
      <c r="U20820" s="9"/>
      <c r="X20820" s="9"/>
    </row>
    <row r="20821">
      <c r="D20821" s="9"/>
      <c r="G20821" s="9"/>
      <c r="J20821" s="11"/>
      <c r="U20821" s="9"/>
      <c r="X20821" s="9"/>
    </row>
    <row r="20822">
      <c r="D20822" s="9"/>
      <c r="G20822" s="9"/>
      <c r="J20822" s="11"/>
      <c r="U20822" s="9"/>
      <c r="X20822" s="9"/>
    </row>
    <row r="20823">
      <c r="D20823" s="9"/>
      <c r="G20823" s="9"/>
      <c r="J20823" s="11"/>
      <c r="U20823" s="9"/>
      <c r="X20823" s="9"/>
    </row>
    <row r="20824">
      <c r="D20824" s="9"/>
      <c r="G20824" s="9"/>
      <c r="J20824" s="11"/>
      <c r="U20824" s="9"/>
      <c r="X20824" s="9"/>
    </row>
    <row r="20825">
      <c r="D20825" s="9"/>
      <c r="G20825" s="9"/>
      <c r="J20825" s="11"/>
      <c r="U20825" s="9"/>
      <c r="X20825" s="9"/>
    </row>
    <row r="20826">
      <c r="D20826" s="9"/>
      <c r="G20826" s="9"/>
      <c r="J20826" s="11"/>
      <c r="U20826" s="9"/>
      <c r="X20826" s="9"/>
    </row>
    <row r="20827">
      <c r="D20827" s="9"/>
      <c r="G20827" s="9"/>
      <c r="J20827" s="11"/>
      <c r="U20827" s="9"/>
      <c r="X20827" s="9"/>
    </row>
    <row r="20828">
      <c r="D20828" s="9"/>
      <c r="G20828" s="9"/>
      <c r="J20828" s="11"/>
      <c r="U20828" s="9"/>
      <c r="X20828" s="9"/>
    </row>
    <row r="20829">
      <c r="D20829" s="9"/>
      <c r="G20829" s="9"/>
      <c r="J20829" s="11"/>
      <c r="U20829" s="9"/>
      <c r="X20829" s="9"/>
    </row>
    <row r="20830">
      <c r="D20830" s="9"/>
      <c r="G20830" s="9"/>
      <c r="J20830" s="11"/>
      <c r="U20830" s="9"/>
      <c r="X20830" s="9"/>
    </row>
    <row r="20831">
      <c r="D20831" s="9"/>
      <c r="G20831" s="9"/>
      <c r="J20831" s="11"/>
      <c r="U20831" s="9"/>
      <c r="X20831" s="9"/>
    </row>
    <row r="20832">
      <c r="D20832" s="9"/>
      <c r="G20832" s="9"/>
      <c r="J20832" s="11"/>
      <c r="U20832" s="9"/>
      <c r="X20832" s="9"/>
    </row>
    <row r="20833">
      <c r="D20833" s="9"/>
      <c r="G20833" s="9"/>
      <c r="J20833" s="11"/>
      <c r="U20833" s="9"/>
      <c r="X20833" s="9"/>
    </row>
    <row r="20834">
      <c r="D20834" s="9"/>
      <c r="G20834" s="9"/>
      <c r="J20834" s="11"/>
      <c r="U20834" s="9"/>
      <c r="X20834" s="9"/>
    </row>
    <row r="20835">
      <c r="D20835" s="9"/>
      <c r="G20835" s="9"/>
      <c r="J20835" s="11"/>
      <c r="U20835" s="9"/>
      <c r="X20835" s="9"/>
    </row>
    <row r="20836">
      <c r="D20836" s="9"/>
      <c r="G20836" s="9"/>
      <c r="J20836" s="11"/>
      <c r="U20836" s="9"/>
      <c r="X20836" s="9"/>
    </row>
    <row r="20837">
      <c r="D20837" s="9"/>
      <c r="G20837" s="9"/>
      <c r="J20837" s="11"/>
      <c r="U20837" s="9"/>
      <c r="X20837" s="9"/>
    </row>
    <row r="20838">
      <c r="D20838" s="9"/>
      <c r="G20838" s="9"/>
      <c r="J20838" s="11"/>
      <c r="U20838" s="9"/>
      <c r="X20838" s="9"/>
    </row>
    <row r="20839">
      <c r="D20839" s="9"/>
      <c r="G20839" s="9"/>
      <c r="J20839" s="11"/>
      <c r="U20839" s="9"/>
      <c r="X20839" s="9"/>
    </row>
    <row r="20840">
      <c r="D20840" s="9"/>
      <c r="G20840" s="9"/>
      <c r="J20840" s="11"/>
      <c r="U20840" s="9"/>
      <c r="X20840" s="9"/>
    </row>
    <row r="20841">
      <c r="D20841" s="9"/>
      <c r="G20841" s="9"/>
      <c r="J20841" s="11"/>
      <c r="U20841" s="9"/>
      <c r="X20841" s="9"/>
    </row>
    <row r="20842">
      <c r="D20842" s="9"/>
      <c r="G20842" s="9"/>
      <c r="J20842" s="11"/>
      <c r="U20842" s="9"/>
      <c r="X20842" s="9"/>
    </row>
    <row r="20843">
      <c r="D20843" s="9"/>
      <c r="G20843" s="9"/>
      <c r="J20843" s="11"/>
      <c r="U20843" s="9"/>
      <c r="X20843" s="9"/>
    </row>
    <row r="20844">
      <c r="D20844" s="9"/>
      <c r="G20844" s="9"/>
      <c r="J20844" s="11"/>
      <c r="U20844" s="9"/>
      <c r="X20844" s="9"/>
    </row>
    <row r="20845">
      <c r="D20845" s="9"/>
      <c r="G20845" s="9"/>
      <c r="J20845" s="11"/>
      <c r="U20845" s="9"/>
      <c r="X20845" s="9"/>
    </row>
    <row r="20846">
      <c r="D20846" s="9"/>
      <c r="G20846" s="9"/>
      <c r="J20846" s="11"/>
      <c r="U20846" s="9"/>
      <c r="X20846" s="9"/>
    </row>
    <row r="20847">
      <c r="D20847" s="9"/>
      <c r="G20847" s="9"/>
      <c r="J20847" s="11"/>
      <c r="U20847" s="9"/>
      <c r="X20847" s="9"/>
    </row>
    <row r="20848">
      <c r="D20848" s="9"/>
      <c r="G20848" s="9"/>
      <c r="J20848" s="11"/>
      <c r="U20848" s="9"/>
      <c r="X20848" s="9"/>
    </row>
    <row r="20849">
      <c r="D20849" s="9"/>
      <c r="G20849" s="9"/>
      <c r="J20849" s="11"/>
      <c r="U20849" s="9"/>
      <c r="X20849" s="9"/>
    </row>
    <row r="20850">
      <c r="D20850" s="9"/>
      <c r="G20850" s="9"/>
      <c r="J20850" s="11"/>
      <c r="U20850" s="9"/>
      <c r="X20850" s="9"/>
    </row>
    <row r="20851">
      <c r="D20851" s="9"/>
      <c r="G20851" s="9"/>
      <c r="J20851" s="11"/>
      <c r="U20851" s="9"/>
      <c r="X20851" s="9"/>
    </row>
    <row r="20852">
      <c r="D20852" s="9"/>
      <c r="G20852" s="9"/>
      <c r="J20852" s="11"/>
      <c r="U20852" s="9"/>
      <c r="X20852" s="9"/>
    </row>
    <row r="20853">
      <c r="D20853" s="9"/>
      <c r="G20853" s="9"/>
      <c r="J20853" s="11"/>
      <c r="U20853" s="9"/>
      <c r="X20853" s="9"/>
    </row>
    <row r="20854">
      <c r="D20854" s="9"/>
      <c r="G20854" s="9"/>
      <c r="J20854" s="11"/>
      <c r="U20854" s="9"/>
      <c r="X20854" s="9"/>
    </row>
    <row r="20855">
      <c r="D20855" s="9"/>
      <c r="G20855" s="9"/>
      <c r="J20855" s="11"/>
      <c r="U20855" s="9"/>
      <c r="X20855" s="9"/>
    </row>
    <row r="20856">
      <c r="D20856" s="9"/>
      <c r="G20856" s="9"/>
      <c r="J20856" s="11"/>
      <c r="U20856" s="9"/>
      <c r="X20856" s="9"/>
    </row>
    <row r="20857">
      <c r="D20857" s="9"/>
      <c r="G20857" s="9"/>
      <c r="J20857" s="11"/>
      <c r="U20857" s="9"/>
      <c r="X20857" s="9"/>
    </row>
    <row r="20858">
      <c r="D20858" s="9"/>
      <c r="G20858" s="9"/>
      <c r="J20858" s="11"/>
      <c r="U20858" s="9"/>
      <c r="X20858" s="9"/>
    </row>
    <row r="20859">
      <c r="D20859" s="9"/>
      <c r="G20859" s="9"/>
      <c r="J20859" s="11"/>
      <c r="U20859" s="9"/>
      <c r="X20859" s="9"/>
    </row>
    <row r="20860">
      <c r="D20860" s="9"/>
      <c r="G20860" s="9"/>
      <c r="J20860" s="11"/>
      <c r="U20860" s="9"/>
      <c r="X20860" s="9"/>
    </row>
    <row r="20861">
      <c r="D20861" s="9"/>
      <c r="G20861" s="9"/>
      <c r="J20861" s="11"/>
      <c r="U20861" s="9"/>
      <c r="X20861" s="9"/>
    </row>
    <row r="20862">
      <c r="D20862" s="9"/>
      <c r="G20862" s="9"/>
      <c r="J20862" s="11"/>
      <c r="U20862" s="9"/>
      <c r="X20862" s="9"/>
    </row>
    <row r="20863">
      <c r="D20863" s="9"/>
      <c r="G20863" s="9"/>
      <c r="J20863" s="11"/>
      <c r="U20863" s="9"/>
      <c r="X20863" s="9"/>
    </row>
    <row r="20864">
      <c r="D20864" s="9"/>
      <c r="G20864" s="9"/>
      <c r="J20864" s="11"/>
      <c r="U20864" s="9"/>
      <c r="X20864" s="9"/>
    </row>
    <row r="20865">
      <c r="D20865" s="9"/>
      <c r="G20865" s="9"/>
      <c r="J20865" s="11"/>
      <c r="U20865" s="9"/>
      <c r="X20865" s="9"/>
    </row>
    <row r="20866">
      <c r="D20866" s="9"/>
      <c r="G20866" s="9"/>
      <c r="J20866" s="11"/>
      <c r="U20866" s="9"/>
      <c r="X20866" s="9"/>
    </row>
    <row r="20867">
      <c r="D20867" s="9"/>
      <c r="G20867" s="9"/>
      <c r="J20867" s="11"/>
      <c r="U20867" s="9"/>
      <c r="X20867" s="9"/>
    </row>
    <row r="20868">
      <c r="D20868" s="9"/>
      <c r="G20868" s="9"/>
      <c r="J20868" s="11"/>
      <c r="U20868" s="9"/>
      <c r="X20868" s="9"/>
    </row>
    <row r="20869">
      <c r="D20869" s="9"/>
      <c r="G20869" s="9"/>
      <c r="J20869" s="11"/>
      <c r="U20869" s="9"/>
      <c r="X20869" s="9"/>
    </row>
    <row r="20870">
      <c r="D20870" s="9"/>
      <c r="G20870" s="9"/>
      <c r="J20870" s="11"/>
      <c r="U20870" s="9"/>
      <c r="X20870" s="9"/>
    </row>
    <row r="20871">
      <c r="D20871" s="9"/>
      <c r="G20871" s="9"/>
      <c r="J20871" s="11"/>
      <c r="U20871" s="9"/>
      <c r="X20871" s="9"/>
    </row>
    <row r="20872">
      <c r="D20872" s="9"/>
      <c r="G20872" s="9"/>
      <c r="J20872" s="11"/>
      <c r="U20872" s="9"/>
      <c r="X20872" s="9"/>
    </row>
    <row r="20873">
      <c r="D20873" s="9"/>
      <c r="G20873" s="9"/>
      <c r="J20873" s="11"/>
      <c r="U20873" s="9"/>
      <c r="X20873" s="9"/>
    </row>
    <row r="20874">
      <c r="D20874" s="9"/>
      <c r="G20874" s="9"/>
      <c r="J20874" s="11"/>
      <c r="U20874" s="9"/>
      <c r="X20874" s="9"/>
    </row>
    <row r="20875">
      <c r="D20875" s="9"/>
      <c r="G20875" s="9"/>
      <c r="J20875" s="11"/>
      <c r="U20875" s="9"/>
      <c r="X20875" s="9"/>
    </row>
    <row r="20876">
      <c r="D20876" s="9"/>
      <c r="G20876" s="9"/>
      <c r="J20876" s="11"/>
      <c r="U20876" s="9"/>
      <c r="X20876" s="9"/>
    </row>
    <row r="20877">
      <c r="D20877" s="9"/>
      <c r="G20877" s="9"/>
      <c r="J20877" s="11"/>
      <c r="U20877" s="9"/>
      <c r="X20877" s="9"/>
    </row>
    <row r="20878">
      <c r="D20878" s="9"/>
      <c r="G20878" s="9"/>
      <c r="J20878" s="11"/>
      <c r="U20878" s="9"/>
      <c r="X20878" s="9"/>
    </row>
    <row r="20879">
      <c r="D20879" s="9"/>
      <c r="G20879" s="9"/>
      <c r="J20879" s="11"/>
      <c r="U20879" s="9"/>
      <c r="X20879" s="9"/>
    </row>
    <row r="20880">
      <c r="D20880" s="9"/>
      <c r="G20880" s="9"/>
      <c r="J20880" s="11"/>
      <c r="U20880" s="9"/>
      <c r="X20880" s="9"/>
    </row>
    <row r="20881">
      <c r="D20881" s="9"/>
      <c r="G20881" s="9"/>
      <c r="J20881" s="11"/>
      <c r="U20881" s="9"/>
      <c r="X20881" s="9"/>
    </row>
    <row r="20882">
      <c r="D20882" s="9"/>
      <c r="G20882" s="9"/>
      <c r="J20882" s="11"/>
      <c r="U20882" s="9"/>
      <c r="X20882" s="9"/>
    </row>
    <row r="20883">
      <c r="D20883" s="9"/>
      <c r="G20883" s="9"/>
      <c r="J20883" s="11"/>
      <c r="U20883" s="9"/>
      <c r="X20883" s="9"/>
    </row>
    <row r="20884">
      <c r="D20884" s="9"/>
      <c r="G20884" s="9"/>
      <c r="J20884" s="11"/>
      <c r="U20884" s="9"/>
      <c r="X20884" s="9"/>
    </row>
    <row r="20885">
      <c r="D20885" s="9"/>
      <c r="G20885" s="9"/>
      <c r="J20885" s="11"/>
      <c r="U20885" s="9"/>
      <c r="X20885" s="9"/>
    </row>
    <row r="20886">
      <c r="D20886" s="9"/>
      <c r="G20886" s="9"/>
      <c r="J20886" s="11"/>
      <c r="U20886" s="9"/>
      <c r="X20886" s="9"/>
    </row>
    <row r="20887">
      <c r="D20887" s="9"/>
      <c r="G20887" s="9"/>
      <c r="J20887" s="11"/>
      <c r="U20887" s="9"/>
      <c r="X20887" s="9"/>
    </row>
    <row r="20888">
      <c r="D20888" s="9"/>
      <c r="G20888" s="9"/>
      <c r="J20888" s="11"/>
      <c r="U20888" s="9"/>
      <c r="X20888" s="9"/>
    </row>
    <row r="20889">
      <c r="D20889" s="9"/>
      <c r="G20889" s="9"/>
      <c r="J20889" s="11"/>
      <c r="U20889" s="9"/>
      <c r="X20889" s="9"/>
    </row>
    <row r="20890">
      <c r="D20890" s="9"/>
      <c r="G20890" s="9"/>
      <c r="J20890" s="11"/>
      <c r="U20890" s="9"/>
      <c r="X20890" s="9"/>
    </row>
    <row r="20891">
      <c r="D20891" s="9"/>
      <c r="G20891" s="9"/>
      <c r="J20891" s="11"/>
      <c r="U20891" s="9"/>
      <c r="X20891" s="9"/>
    </row>
    <row r="20892">
      <c r="D20892" s="9"/>
      <c r="G20892" s="9"/>
      <c r="J20892" s="11"/>
      <c r="U20892" s="9"/>
      <c r="X20892" s="9"/>
    </row>
    <row r="20893">
      <c r="D20893" s="9"/>
      <c r="G20893" s="9"/>
      <c r="J20893" s="11"/>
      <c r="U20893" s="9"/>
      <c r="X20893" s="9"/>
    </row>
    <row r="20894">
      <c r="D20894" s="9"/>
      <c r="G20894" s="9"/>
      <c r="J20894" s="11"/>
      <c r="U20894" s="9"/>
      <c r="X20894" s="9"/>
    </row>
    <row r="20895">
      <c r="D20895" s="9"/>
      <c r="G20895" s="9"/>
      <c r="J20895" s="11"/>
      <c r="U20895" s="9"/>
      <c r="X20895" s="9"/>
    </row>
    <row r="20896">
      <c r="D20896" s="9"/>
      <c r="G20896" s="9"/>
      <c r="J20896" s="11"/>
      <c r="U20896" s="9"/>
      <c r="X20896" s="9"/>
    </row>
    <row r="20897">
      <c r="D20897" s="9"/>
      <c r="G20897" s="9"/>
      <c r="J20897" s="11"/>
      <c r="U20897" s="9"/>
      <c r="X20897" s="9"/>
    </row>
    <row r="20898">
      <c r="D20898" s="9"/>
      <c r="G20898" s="9"/>
      <c r="J20898" s="11"/>
      <c r="U20898" s="9"/>
      <c r="X20898" s="9"/>
    </row>
    <row r="20899">
      <c r="D20899" s="9"/>
      <c r="G20899" s="9"/>
      <c r="J20899" s="11"/>
      <c r="U20899" s="9"/>
      <c r="X20899" s="9"/>
    </row>
    <row r="20900">
      <c r="D20900" s="9"/>
      <c r="G20900" s="9"/>
      <c r="J20900" s="11"/>
      <c r="U20900" s="9"/>
      <c r="X20900" s="9"/>
    </row>
    <row r="20901">
      <c r="D20901" s="9"/>
      <c r="G20901" s="9"/>
      <c r="J20901" s="11"/>
      <c r="U20901" s="9"/>
      <c r="X20901" s="9"/>
    </row>
    <row r="20902">
      <c r="D20902" s="9"/>
      <c r="G20902" s="9"/>
      <c r="J20902" s="11"/>
      <c r="U20902" s="9"/>
      <c r="X20902" s="9"/>
    </row>
    <row r="20903">
      <c r="D20903" s="9"/>
      <c r="G20903" s="9"/>
      <c r="J20903" s="11"/>
      <c r="U20903" s="9"/>
      <c r="X20903" s="9"/>
    </row>
    <row r="20904">
      <c r="D20904" s="9"/>
      <c r="G20904" s="9"/>
      <c r="J20904" s="11"/>
      <c r="U20904" s="9"/>
      <c r="X20904" s="9"/>
    </row>
    <row r="20905">
      <c r="D20905" s="9"/>
      <c r="G20905" s="9"/>
      <c r="J20905" s="11"/>
      <c r="U20905" s="9"/>
      <c r="X20905" s="9"/>
    </row>
    <row r="20906">
      <c r="D20906" s="9"/>
      <c r="G20906" s="9"/>
      <c r="J20906" s="11"/>
      <c r="U20906" s="9"/>
      <c r="X20906" s="9"/>
    </row>
    <row r="20907">
      <c r="D20907" s="9"/>
      <c r="G20907" s="9"/>
      <c r="J20907" s="11"/>
      <c r="U20907" s="9"/>
      <c r="X20907" s="9"/>
    </row>
    <row r="20908">
      <c r="D20908" s="9"/>
      <c r="G20908" s="9"/>
      <c r="J20908" s="11"/>
      <c r="U20908" s="9"/>
      <c r="X20908" s="9"/>
    </row>
    <row r="20909">
      <c r="D20909" s="9"/>
      <c r="G20909" s="9"/>
      <c r="J20909" s="11"/>
      <c r="U20909" s="9"/>
      <c r="X20909" s="9"/>
    </row>
    <row r="20910">
      <c r="D20910" s="9"/>
      <c r="G20910" s="9"/>
      <c r="J20910" s="11"/>
      <c r="U20910" s="9"/>
      <c r="X20910" s="9"/>
    </row>
    <row r="20911">
      <c r="D20911" s="9"/>
      <c r="G20911" s="9"/>
      <c r="J20911" s="11"/>
      <c r="U20911" s="9"/>
      <c r="X20911" s="9"/>
    </row>
    <row r="20912">
      <c r="D20912" s="9"/>
      <c r="G20912" s="9"/>
      <c r="J20912" s="11"/>
      <c r="U20912" s="9"/>
      <c r="X20912" s="9"/>
    </row>
    <row r="20913">
      <c r="D20913" s="9"/>
      <c r="G20913" s="9"/>
      <c r="J20913" s="11"/>
      <c r="U20913" s="9"/>
      <c r="X20913" s="9"/>
    </row>
    <row r="20914">
      <c r="D20914" s="9"/>
      <c r="G20914" s="9"/>
      <c r="J20914" s="11"/>
      <c r="U20914" s="9"/>
      <c r="X20914" s="9"/>
    </row>
    <row r="20915">
      <c r="D20915" s="9"/>
      <c r="G20915" s="9"/>
      <c r="J20915" s="11"/>
      <c r="U20915" s="9"/>
      <c r="X20915" s="9"/>
    </row>
    <row r="20916">
      <c r="D20916" s="9"/>
      <c r="G20916" s="9"/>
      <c r="J20916" s="11"/>
      <c r="U20916" s="9"/>
      <c r="X20916" s="9"/>
    </row>
    <row r="20917">
      <c r="D20917" s="9"/>
      <c r="G20917" s="9"/>
      <c r="J20917" s="11"/>
      <c r="U20917" s="9"/>
      <c r="X20917" s="9"/>
    </row>
    <row r="20918">
      <c r="D20918" s="9"/>
      <c r="G20918" s="9"/>
      <c r="J20918" s="11"/>
      <c r="U20918" s="9"/>
      <c r="X20918" s="9"/>
    </row>
    <row r="20919">
      <c r="D20919" s="9"/>
      <c r="G20919" s="9"/>
      <c r="J20919" s="11"/>
      <c r="U20919" s="9"/>
      <c r="X20919" s="9"/>
    </row>
    <row r="20920">
      <c r="D20920" s="9"/>
      <c r="G20920" s="9"/>
      <c r="J20920" s="11"/>
      <c r="U20920" s="9"/>
      <c r="X20920" s="9"/>
    </row>
    <row r="20921">
      <c r="D20921" s="9"/>
      <c r="G20921" s="9"/>
      <c r="J20921" s="11"/>
      <c r="U20921" s="9"/>
      <c r="X20921" s="9"/>
    </row>
    <row r="20922">
      <c r="D20922" s="9"/>
      <c r="G20922" s="9"/>
      <c r="J20922" s="11"/>
      <c r="U20922" s="9"/>
      <c r="X20922" s="9"/>
    </row>
    <row r="20923">
      <c r="D20923" s="9"/>
      <c r="G20923" s="9"/>
      <c r="J20923" s="11"/>
      <c r="U20923" s="9"/>
      <c r="X20923" s="9"/>
    </row>
    <row r="20924">
      <c r="D20924" s="9"/>
      <c r="G20924" s="9"/>
      <c r="J20924" s="11"/>
      <c r="U20924" s="9"/>
      <c r="X20924" s="9"/>
    </row>
    <row r="20925">
      <c r="D20925" s="9"/>
      <c r="G20925" s="9"/>
      <c r="J20925" s="11"/>
      <c r="U20925" s="9"/>
      <c r="X20925" s="9"/>
    </row>
    <row r="20926">
      <c r="D20926" s="9"/>
      <c r="G20926" s="9"/>
      <c r="J20926" s="11"/>
      <c r="U20926" s="9"/>
      <c r="X20926" s="9"/>
    </row>
    <row r="20927">
      <c r="D20927" s="9"/>
      <c r="G20927" s="9"/>
      <c r="J20927" s="11"/>
      <c r="U20927" s="9"/>
      <c r="X20927" s="9"/>
    </row>
    <row r="20928">
      <c r="D20928" s="9"/>
      <c r="G20928" s="9"/>
      <c r="J20928" s="11"/>
      <c r="U20928" s="9"/>
      <c r="X20928" s="9"/>
    </row>
    <row r="20929">
      <c r="D20929" s="9"/>
      <c r="G20929" s="9"/>
      <c r="J20929" s="11"/>
      <c r="U20929" s="9"/>
      <c r="X20929" s="9"/>
    </row>
    <row r="20930">
      <c r="D20930" s="9"/>
      <c r="G20930" s="9"/>
      <c r="J20930" s="11"/>
      <c r="U20930" s="9"/>
      <c r="X20930" s="9"/>
    </row>
    <row r="20931">
      <c r="D20931" s="9"/>
      <c r="G20931" s="9"/>
      <c r="J20931" s="11"/>
      <c r="U20931" s="9"/>
      <c r="X20931" s="9"/>
    </row>
    <row r="20932">
      <c r="D20932" s="9"/>
      <c r="G20932" s="9"/>
      <c r="J20932" s="11"/>
      <c r="U20932" s="9"/>
      <c r="X20932" s="9"/>
    </row>
    <row r="20933">
      <c r="D20933" s="9"/>
      <c r="G20933" s="9"/>
      <c r="J20933" s="11"/>
      <c r="U20933" s="9"/>
      <c r="X20933" s="9"/>
    </row>
    <row r="20934">
      <c r="D20934" s="9"/>
      <c r="G20934" s="9"/>
      <c r="J20934" s="11"/>
      <c r="U20934" s="9"/>
      <c r="X20934" s="9"/>
    </row>
    <row r="20935">
      <c r="D20935" s="9"/>
      <c r="G20935" s="9"/>
      <c r="J20935" s="11"/>
      <c r="U20935" s="9"/>
      <c r="X20935" s="9"/>
    </row>
    <row r="20936">
      <c r="D20936" s="9"/>
      <c r="G20936" s="9"/>
      <c r="J20936" s="11"/>
      <c r="U20936" s="9"/>
      <c r="X20936" s="9"/>
    </row>
    <row r="20937">
      <c r="D20937" s="9"/>
      <c r="G20937" s="9"/>
      <c r="J20937" s="11"/>
      <c r="U20937" s="9"/>
      <c r="X20937" s="9"/>
    </row>
    <row r="20938">
      <c r="D20938" s="9"/>
      <c r="G20938" s="9"/>
      <c r="J20938" s="11"/>
      <c r="U20938" s="9"/>
      <c r="X20938" s="9"/>
    </row>
    <row r="20939">
      <c r="D20939" s="9"/>
      <c r="G20939" s="9"/>
      <c r="J20939" s="11"/>
      <c r="U20939" s="9"/>
      <c r="X20939" s="9"/>
    </row>
    <row r="20940">
      <c r="D20940" s="9"/>
      <c r="G20940" s="9"/>
      <c r="J20940" s="11"/>
      <c r="U20940" s="9"/>
      <c r="X20940" s="9"/>
    </row>
    <row r="20941">
      <c r="D20941" s="9"/>
      <c r="G20941" s="9"/>
      <c r="J20941" s="11"/>
      <c r="U20941" s="9"/>
      <c r="X20941" s="9"/>
    </row>
    <row r="20942">
      <c r="D20942" s="9"/>
      <c r="G20942" s="9"/>
      <c r="J20942" s="11"/>
      <c r="U20942" s="9"/>
      <c r="X20942" s="9"/>
    </row>
    <row r="20943">
      <c r="D20943" s="9"/>
      <c r="G20943" s="9"/>
      <c r="J20943" s="11"/>
      <c r="U20943" s="9"/>
      <c r="X20943" s="9"/>
    </row>
    <row r="20944">
      <c r="D20944" s="9"/>
      <c r="G20944" s="9"/>
      <c r="J20944" s="11"/>
      <c r="U20944" s="9"/>
      <c r="X20944" s="9"/>
    </row>
    <row r="20945">
      <c r="D20945" s="9"/>
      <c r="G20945" s="9"/>
      <c r="J20945" s="11"/>
      <c r="U20945" s="9"/>
      <c r="X20945" s="9"/>
    </row>
    <row r="20946">
      <c r="D20946" s="9"/>
      <c r="G20946" s="9"/>
      <c r="J20946" s="11"/>
      <c r="U20946" s="9"/>
      <c r="X20946" s="9"/>
    </row>
    <row r="20947">
      <c r="D20947" s="9"/>
      <c r="G20947" s="9"/>
      <c r="J20947" s="11"/>
      <c r="U20947" s="9"/>
      <c r="X20947" s="9"/>
    </row>
    <row r="20948">
      <c r="D20948" s="9"/>
      <c r="G20948" s="9"/>
      <c r="J20948" s="11"/>
      <c r="U20948" s="9"/>
      <c r="X20948" s="9"/>
    </row>
    <row r="20949">
      <c r="D20949" s="9"/>
      <c r="G20949" s="9"/>
      <c r="J20949" s="11"/>
      <c r="U20949" s="9"/>
      <c r="X20949" s="9"/>
    </row>
    <row r="20950">
      <c r="D20950" s="9"/>
      <c r="G20950" s="9"/>
      <c r="J20950" s="11"/>
      <c r="U20950" s="9"/>
      <c r="X20950" s="9"/>
    </row>
    <row r="20951">
      <c r="D20951" s="9"/>
      <c r="G20951" s="9"/>
      <c r="J20951" s="11"/>
      <c r="U20951" s="9"/>
      <c r="X20951" s="9"/>
    </row>
    <row r="20952">
      <c r="D20952" s="9"/>
      <c r="G20952" s="9"/>
      <c r="J20952" s="11"/>
      <c r="U20952" s="9"/>
      <c r="X20952" s="9"/>
    </row>
    <row r="20953">
      <c r="D20953" s="9"/>
      <c r="G20953" s="9"/>
      <c r="J20953" s="11"/>
      <c r="U20953" s="9"/>
      <c r="X20953" s="9"/>
    </row>
    <row r="20954">
      <c r="D20954" s="9"/>
      <c r="G20954" s="9"/>
      <c r="J20954" s="11"/>
      <c r="U20954" s="9"/>
      <c r="X20954" s="9"/>
    </row>
    <row r="20955">
      <c r="D20955" s="9"/>
      <c r="G20955" s="9"/>
      <c r="J20955" s="11"/>
      <c r="U20955" s="9"/>
      <c r="X20955" s="9"/>
    </row>
    <row r="20956">
      <c r="D20956" s="9"/>
      <c r="G20956" s="9"/>
      <c r="J20956" s="11"/>
      <c r="U20956" s="9"/>
      <c r="X20956" s="9"/>
    </row>
    <row r="20957">
      <c r="D20957" s="9"/>
      <c r="G20957" s="9"/>
      <c r="J20957" s="11"/>
      <c r="U20957" s="9"/>
      <c r="X20957" s="9"/>
    </row>
    <row r="20958">
      <c r="D20958" s="9"/>
      <c r="G20958" s="9"/>
      <c r="J20958" s="11"/>
      <c r="U20958" s="9"/>
      <c r="X20958" s="9"/>
    </row>
    <row r="20959">
      <c r="D20959" s="9"/>
      <c r="G20959" s="9"/>
      <c r="J20959" s="11"/>
      <c r="U20959" s="9"/>
      <c r="X20959" s="9"/>
    </row>
    <row r="20960">
      <c r="D20960" s="9"/>
      <c r="G20960" s="9"/>
      <c r="J20960" s="11"/>
      <c r="U20960" s="9"/>
      <c r="X20960" s="9"/>
    </row>
    <row r="20961">
      <c r="D20961" s="9"/>
      <c r="G20961" s="9"/>
      <c r="J20961" s="11"/>
      <c r="U20961" s="9"/>
      <c r="X20961" s="9"/>
    </row>
    <row r="20962">
      <c r="D20962" s="9"/>
      <c r="G20962" s="9"/>
      <c r="J20962" s="11"/>
      <c r="U20962" s="9"/>
      <c r="X20962" s="9"/>
    </row>
    <row r="20963">
      <c r="D20963" s="9"/>
      <c r="G20963" s="9"/>
      <c r="J20963" s="11"/>
      <c r="U20963" s="9"/>
      <c r="X20963" s="9"/>
    </row>
    <row r="20964">
      <c r="D20964" s="9"/>
      <c r="G20964" s="9"/>
      <c r="J20964" s="11"/>
      <c r="U20964" s="9"/>
      <c r="X20964" s="9"/>
    </row>
    <row r="20965">
      <c r="D20965" s="9"/>
      <c r="G20965" s="9"/>
      <c r="J20965" s="11"/>
      <c r="U20965" s="9"/>
      <c r="X20965" s="9"/>
    </row>
    <row r="20966">
      <c r="D20966" s="9"/>
      <c r="G20966" s="9"/>
      <c r="J20966" s="11"/>
      <c r="U20966" s="9"/>
      <c r="X20966" s="9"/>
    </row>
    <row r="20967">
      <c r="D20967" s="9"/>
      <c r="G20967" s="9"/>
      <c r="J20967" s="11"/>
      <c r="U20967" s="9"/>
      <c r="X20967" s="9"/>
    </row>
    <row r="20968">
      <c r="D20968" s="9"/>
      <c r="G20968" s="9"/>
      <c r="J20968" s="11"/>
      <c r="U20968" s="9"/>
      <c r="X20968" s="9"/>
    </row>
    <row r="20969">
      <c r="D20969" s="9"/>
      <c r="G20969" s="9"/>
      <c r="J20969" s="11"/>
      <c r="U20969" s="9"/>
      <c r="X20969" s="9"/>
    </row>
    <row r="20970">
      <c r="D20970" s="9"/>
      <c r="G20970" s="9"/>
      <c r="J20970" s="11"/>
      <c r="U20970" s="9"/>
      <c r="X20970" s="9"/>
    </row>
    <row r="20971">
      <c r="D20971" s="9"/>
      <c r="G20971" s="9"/>
      <c r="J20971" s="11"/>
      <c r="U20971" s="9"/>
      <c r="X20971" s="9"/>
    </row>
    <row r="20972">
      <c r="D20972" s="9"/>
      <c r="G20972" s="9"/>
      <c r="J20972" s="11"/>
      <c r="U20972" s="9"/>
      <c r="X20972" s="9"/>
    </row>
    <row r="20973">
      <c r="D20973" s="9"/>
      <c r="G20973" s="9"/>
      <c r="J20973" s="11"/>
      <c r="U20973" s="9"/>
      <c r="X20973" s="9"/>
    </row>
    <row r="20974">
      <c r="D20974" s="9"/>
      <c r="G20974" s="9"/>
      <c r="J20974" s="11"/>
      <c r="U20974" s="9"/>
      <c r="X20974" s="9"/>
    </row>
    <row r="20975">
      <c r="D20975" s="9"/>
      <c r="G20975" s="9"/>
      <c r="J20975" s="11"/>
      <c r="U20975" s="9"/>
      <c r="X20975" s="9"/>
    </row>
    <row r="20976">
      <c r="D20976" s="9"/>
      <c r="G20976" s="9"/>
      <c r="J20976" s="11"/>
      <c r="U20976" s="9"/>
      <c r="X20976" s="9"/>
    </row>
    <row r="20977">
      <c r="D20977" s="9"/>
      <c r="G20977" s="9"/>
      <c r="J20977" s="11"/>
      <c r="U20977" s="9"/>
      <c r="X20977" s="9"/>
    </row>
    <row r="20978">
      <c r="D20978" s="9"/>
      <c r="G20978" s="9"/>
      <c r="J20978" s="11"/>
      <c r="U20978" s="9"/>
      <c r="X20978" s="9"/>
    </row>
    <row r="20979">
      <c r="D20979" s="9"/>
      <c r="G20979" s="9"/>
      <c r="J20979" s="11"/>
      <c r="U20979" s="9"/>
      <c r="X20979" s="9"/>
    </row>
    <row r="20980">
      <c r="D20980" s="9"/>
      <c r="G20980" s="9"/>
      <c r="J20980" s="11"/>
      <c r="U20980" s="9"/>
      <c r="X20980" s="9"/>
    </row>
    <row r="20981">
      <c r="D20981" s="9"/>
      <c r="G20981" s="9"/>
      <c r="J20981" s="11"/>
      <c r="U20981" s="9"/>
      <c r="X20981" s="9"/>
    </row>
    <row r="20982">
      <c r="D20982" s="9"/>
      <c r="G20982" s="9"/>
      <c r="J20982" s="11"/>
      <c r="U20982" s="9"/>
      <c r="X20982" s="9"/>
    </row>
    <row r="20983">
      <c r="D20983" s="9"/>
      <c r="G20983" s="9"/>
      <c r="J20983" s="11"/>
      <c r="U20983" s="9"/>
      <c r="X20983" s="9"/>
    </row>
    <row r="20984">
      <c r="D20984" s="9"/>
      <c r="G20984" s="9"/>
      <c r="J20984" s="11"/>
      <c r="U20984" s="9"/>
      <c r="X20984" s="9"/>
    </row>
    <row r="20985">
      <c r="D20985" s="9"/>
      <c r="G20985" s="9"/>
      <c r="J20985" s="11"/>
      <c r="U20985" s="9"/>
      <c r="X20985" s="9"/>
    </row>
    <row r="20986">
      <c r="D20986" s="9"/>
      <c r="G20986" s="9"/>
      <c r="J20986" s="11"/>
      <c r="U20986" s="9"/>
      <c r="X20986" s="9"/>
    </row>
    <row r="20987">
      <c r="D20987" s="9"/>
      <c r="G20987" s="9"/>
      <c r="J20987" s="11"/>
      <c r="U20987" s="9"/>
      <c r="X20987" s="9"/>
    </row>
    <row r="20988">
      <c r="D20988" s="9"/>
      <c r="G20988" s="9"/>
      <c r="J20988" s="11"/>
      <c r="U20988" s="9"/>
      <c r="X20988" s="9"/>
    </row>
    <row r="20989">
      <c r="D20989" s="9"/>
      <c r="G20989" s="9"/>
      <c r="J20989" s="11"/>
      <c r="U20989" s="9"/>
      <c r="X20989" s="9"/>
    </row>
    <row r="20990">
      <c r="D20990" s="9"/>
      <c r="G20990" s="9"/>
      <c r="J20990" s="11"/>
      <c r="U20990" s="9"/>
      <c r="X20990" s="9"/>
    </row>
    <row r="20991">
      <c r="D20991" s="9"/>
      <c r="G20991" s="9"/>
      <c r="J20991" s="11"/>
      <c r="U20991" s="9"/>
      <c r="X20991" s="9"/>
    </row>
    <row r="20992">
      <c r="D20992" s="9"/>
      <c r="G20992" s="9"/>
      <c r="J20992" s="11"/>
      <c r="U20992" s="9"/>
      <c r="X20992" s="9"/>
    </row>
    <row r="20993">
      <c r="D20993" s="9"/>
      <c r="G20993" s="9"/>
      <c r="J20993" s="11"/>
      <c r="U20993" s="9"/>
      <c r="X20993" s="9"/>
    </row>
    <row r="20994">
      <c r="D20994" s="9"/>
      <c r="G20994" s="9"/>
      <c r="J20994" s="11"/>
      <c r="U20994" s="9"/>
      <c r="X20994" s="9"/>
    </row>
    <row r="20995">
      <c r="D20995" s="9"/>
      <c r="G20995" s="9"/>
      <c r="J20995" s="11"/>
      <c r="U20995" s="9"/>
      <c r="X20995" s="9"/>
    </row>
    <row r="20996">
      <c r="D20996" s="9"/>
      <c r="G20996" s="9"/>
      <c r="J20996" s="11"/>
      <c r="U20996" s="9"/>
      <c r="X20996" s="9"/>
    </row>
    <row r="20997">
      <c r="D20997" s="9"/>
      <c r="G20997" s="9"/>
      <c r="J20997" s="11"/>
      <c r="U20997" s="9"/>
      <c r="X20997" s="9"/>
    </row>
    <row r="20998">
      <c r="D20998" s="9"/>
      <c r="G20998" s="9"/>
      <c r="J20998" s="11"/>
      <c r="U20998" s="9"/>
      <c r="X20998" s="9"/>
    </row>
    <row r="20999">
      <c r="D20999" s="9"/>
      <c r="G20999" s="9"/>
      <c r="J20999" s="11"/>
      <c r="U20999" s="9"/>
      <c r="X20999" s="9"/>
    </row>
    <row r="21000">
      <c r="D21000" s="9"/>
      <c r="G21000" s="9"/>
      <c r="J21000" s="11"/>
      <c r="U21000" s="9"/>
      <c r="X21000" s="9"/>
    </row>
    <row r="21001">
      <c r="D21001" s="9"/>
      <c r="G21001" s="9"/>
      <c r="J21001" s="11"/>
      <c r="U21001" s="9"/>
      <c r="X21001" s="9"/>
    </row>
    <row r="21002">
      <c r="D21002" s="9"/>
      <c r="G21002" s="9"/>
      <c r="J21002" s="11"/>
      <c r="U21002" s="9"/>
      <c r="X21002" s="9"/>
    </row>
    <row r="21003">
      <c r="D21003" s="9"/>
      <c r="G21003" s="9"/>
      <c r="J21003" s="11"/>
      <c r="U21003" s="9"/>
      <c r="X21003" s="9"/>
    </row>
    <row r="21004">
      <c r="D21004" s="9"/>
      <c r="G21004" s="9"/>
      <c r="J21004" s="11"/>
      <c r="U21004" s="9"/>
      <c r="X21004" s="9"/>
    </row>
    <row r="21005">
      <c r="D21005" s="9"/>
      <c r="G21005" s="9"/>
      <c r="J21005" s="11"/>
      <c r="U21005" s="9"/>
      <c r="X21005" s="9"/>
    </row>
    <row r="21006">
      <c r="D21006" s="9"/>
      <c r="G21006" s="9"/>
      <c r="J21006" s="11"/>
      <c r="U21006" s="9"/>
      <c r="X21006" s="9"/>
    </row>
    <row r="21007">
      <c r="D21007" s="9"/>
      <c r="G21007" s="9"/>
      <c r="J21007" s="11"/>
      <c r="U21007" s="9"/>
      <c r="X21007" s="9"/>
    </row>
    <row r="21008">
      <c r="D21008" s="9"/>
      <c r="G21008" s="9"/>
      <c r="J21008" s="11"/>
      <c r="U21008" s="9"/>
      <c r="X21008" s="9"/>
    </row>
    <row r="21009">
      <c r="D21009" s="9"/>
      <c r="G21009" s="9"/>
      <c r="J21009" s="11"/>
      <c r="U21009" s="9"/>
      <c r="X21009" s="9"/>
    </row>
    <row r="21010">
      <c r="D21010" s="9"/>
      <c r="G21010" s="9"/>
      <c r="J21010" s="11"/>
      <c r="U21010" s="9"/>
      <c r="X21010" s="9"/>
    </row>
    <row r="21011">
      <c r="D21011" s="9"/>
      <c r="G21011" s="9"/>
      <c r="J21011" s="11"/>
      <c r="U21011" s="9"/>
      <c r="X21011" s="9"/>
    </row>
    <row r="21012">
      <c r="D21012" s="9"/>
      <c r="G21012" s="9"/>
      <c r="J21012" s="11"/>
      <c r="U21012" s="9"/>
      <c r="X21012" s="9"/>
    </row>
    <row r="21013">
      <c r="D21013" s="9"/>
      <c r="G21013" s="9"/>
      <c r="J21013" s="11"/>
      <c r="U21013" s="9"/>
      <c r="X21013" s="9"/>
    </row>
    <row r="21014">
      <c r="D21014" s="9"/>
      <c r="G21014" s="9"/>
      <c r="J21014" s="11"/>
      <c r="U21014" s="9"/>
      <c r="X21014" s="9"/>
    </row>
    <row r="21015">
      <c r="D21015" s="9"/>
      <c r="G21015" s="9"/>
      <c r="J21015" s="11"/>
      <c r="U21015" s="9"/>
      <c r="X21015" s="9"/>
    </row>
    <row r="21016">
      <c r="D21016" s="9"/>
      <c r="G21016" s="9"/>
      <c r="J21016" s="11"/>
      <c r="U21016" s="9"/>
      <c r="X21016" s="9"/>
    </row>
    <row r="21017">
      <c r="D21017" s="9"/>
      <c r="G21017" s="9"/>
      <c r="J21017" s="11"/>
      <c r="U21017" s="9"/>
      <c r="X21017" s="9"/>
    </row>
    <row r="21018">
      <c r="D21018" s="9"/>
      <c r="G21018" s="9"/>
      <c r="J21018" s="11"/>
      <c r="U21018" s="9"/>
      <c r="X21018" s="9"/>
    </row>
    <row r="21019">
      <c r="D21019" s="9"/>
      <c r="G21019" s="9"/>
      <c r="J21019" s="11"/>
      <c r="U21019" s="9"/>
      <c r="X21019" s="9"/>
    </row>
    <row r="21020">
      <c r="D21020" s="9"/>
      <c r="G21020" s="9"/>
      <c r="J21020" s="11"/>
      <c r="U21020" s="9"/>
      <c r="X21020" s="9"/>
    </row>
    <row r="21021">
      <c r="D21021" s="9"/>
      <c r="G21021" s="9"/>
      <c r="J21021" s="11"/>
      <c r="U21021" s="9"/>
      <c r="X21021" s="9"/>
    </row>
    <row r="21022">
      <c r="D21022" s="9"/>
      <c r="G21022" s="9"/>
      <c r="J21022" s="11"/>
      <c r="U21022" s="9"/>
      <c r="X21022" s="9"/>
    </row>
    <row r="21023">
      <c r="D21023" s="9"/>
      <c r="G21023" s="9"/>
      <c r="J21023" s="11"/>
      <c r="U21023" s="9"/>
      <c r="X21023" s="9"/>
    </row>
    <row r="21024">
      <c r="D21024" s="9"/>
      <c r="G21024" s="9"/>
      <c r="J21024" s="11"/>
      <c r="U21024" s="9"/>
      <c r="X21024" s="9"/>
    </row>
    <row r="21025">
      <c r="D21025" s="9"/>
      <c r="G21025" s="9"/>
      <c r="J21025" s="11"/>
      <c r="U21025" s="9"/>
      <c r="X21025" s="9"/>
    </row>
    <row r="21026">
      <c r="D21026" s="9"/>
      <c r="G21026" s="9"/>
      <c r="J21026" s="11"/>
      <c r="U21026" s="9"/>
      <c r="X21026" s="9"/>
    </row>
    <row r="21027">
      <c r="D21027" s="9"/>
      <c r="G21027" s="9"/>
      <c r="J21027" s="11"/>
      <c r="U21027" s="9"/>
      <c r="X21027" s="9"/>
    </row>
    <row r="21028">
      <c r="D21028" s="9"/>
      <c r="G21028" s="9"/>
      <c r="J21028" s="11"/>
      <c r="U21028" s="9"/>
      <c r="X21028" s="9"/>
    </row>
    <row r="21029">
      <c r="D21029" s="9"/>
      <c r="G21029" s="9"/>
      <c r="J21029" s="11"/>
      <c r="U21029" s="9"/>
      <c r="X21029" s="9"/>
    </row>
    <row r="21030">
      <c r="D21030" s="9"/>
      <c r="G21030" s="9"/>
      <c r="J21030" s="11"/>
      <c r="U21030" s="9"/>
      <c r="X21030" s="9"/>
    </row>
    <row r="21031">
      <c r="D21031" s="9"/>
      <c r="G21031" s="9"/>
      <c r="J21031" s="11"/>
      <c r="U21031" s="9"/>
      <c r="X21031" s="9"/>
    </row>
    <row r="21032">
      <c r="D21032" s="9"/>
      <c r="G21032" s="9"/>
      <c r="J21032" s="11"/>
      <c r="U21032" s="9"/>
      <c r="X21032" s="9"/>
    </row>
    <row r="21033">
      <c r="D21033" s="9"/>
      <c r="G21033" s="9"/>
      <c r="J21033" s="11"/>
      <c r="U21033" s="9"/>
      <c r="X21033" s="9"/>
    </row>
    <row r="21034">
      <c r="D21034" s="9"/>
      <c r="G21034" s="9"/>
      <c r="J21034" s="11"/>
      <c r="U21034" s="9"/>
      <c r="X21034" s="9"/>
    </row>
    <row r="21035">
      <c r="D21035" s="9"/>
      <c r="G21035" s="9"/>
      <c r="J21035" s="11"/>
      <c r="U21035" s="9"/>
      <c r="X21035" s="9"/>
    </row>
    <row r="21036">
      <c r="D21036" s="9"/>
      <c r="G21036" s="9"/>
      <c r="J21036" s="11"/>
      <c r="U21036" s="9"/>
      <c r="X21036" s="9"/>
    </row>
    <row r="21037">
      <c r="D21037" s="9"/>
      <c r="G21037" s="9"/>
      <c r="J21037" s="11"/>
      <c r="U21037" s="9"/>
      <c r="X21037" s="9"/>
    </row>
    <row r="21038">
      <c r="D21038" s="9"/>
      <c r="G21038" s="9"/>
      <c r="J21038" s="11"/>
      <c r="U21038" s="9"/>
      <c r="X21038" s="9"/>
    </row>
    <row r="21039">
      <c r="D21039" s="9"/>
      <c r="G21039" s="9"/>
      <c r="J21039" s="11"/>
      <c r="U21039" s="9"/>
      <c r="X21039" s="9"/>
    </row>
    <row r="21040">
      <c r="D21040" s="9"/>
      <c r="G21040" s="9"/>
      <c r="J21040" s="11"/>
      <c r="U21040" s="9"/>
      <c r="X21040" s="9"/>
    </row>
    <row r="21041">
      <c r="D21041" s="9"/>
      <c r="G21041" s="9"/>
      <c r="J21041" s="11"/>
      <c r="U21041" s="9"/>
      <c r="X21041" s="9"/>
    </row>
    <row r="21042">
      <c r="D21042" s="9"/>
      <c r="G21042" s="9"/>
      <c r="J21042" s="11"/>
      <c r="U21042" s="9"/>
      <c r="X21042" s="9"/>
    </row>
    <row r="21043">
      <c r="D21043" s="9"/>
      <c r="G21043" s="9"/>
      <c r="J21043" s="11"/>
      <c r="U21043" s="9"/>
      <c r="X21043" s="9"/>
    </row>
    <row r="21044">
      <c r="D21044" s="9"/>
      <c r="G21044" s="9"/>
      <c r="J21044" s="11"/>
      <c r="U21044" s="9"/>
      <c r="X21044" s="9"/>
    </row>
    <row r="21045">
      <c r="D21045" s="9"/>
      <c r="G21045" s="9"/>
      <c r="J21045" s="11"/>
      <c r="U21045" s="9"/>
      <c r="X21045" s="9"/>
    </row>
    <row r="21046">
      <c r="D21046" s="9"/>
      <c r="G21046" s="9"/>
      <c r="J21046" s="11"/>
      <c r="U21046" s="9"/>
      <c r="X21046" s="9"/>
    </row>
    <row r="21047">
      <c r="D21047" s="9"/>
      <c r="G21047" s="9"/>
      <c r="J21047" s="11"/>
      <c r="U21047" s="9"/>
      <c r="X21047" s="9"/>
    </row>
    <row r="21048">
      <c r="D21048" s="9"/>
      <c r="G21048" s="9"/>
      <c r="J21048" s="11"/>
      <c r="U21048" s="9"/>
      <c r="X21048" s="9"/>
    </row>
    <row r="21049">
      <c r="D21049" s="9"/>
      <c r="G21049" s="9"/>
      <c r="J21049" s="11"/>
      <c r="U21049" s="9"/>
      <c r="X21049" s="9"/>
    </row>
    <row r="21050">
      <c r="D21050" s="9"/>
      <c r="G21050" s="9"/>
      <c r="J21050" s="11"/>
      <c r="U21050" s="9"/>
      <c r="X21050" s="9"/>
    </row>
    <row r="21051">
      <c r="D21051" s="9"/>
      <c r="G21051" s="9"/>
      <c r="J21051" s="11"/>
      <c r="U21051" s="9"/>
      <c r="X21051" s="9"/>
    </row>
    <row r="21052">
      <c r="D21052" s="9"/>
      <c r="G21052" s="9"/>
      <c r="J21052" s="11"/>
      <c r="U21052" s="9"/>
      <c r="X21052" s="9"/>
    </row>
    <row r="21053">
      <c r="D21053" s="9"/>
      <c r="G21053" s="9"/>
      <c r="J21053" s="11"/>
      <c r="U21053" s="9"/>
      <c r="X21053" s="9"/>
    </row>
    <row r="21054">
      <c r="D21054" s="9"/>
      <c r="G21054" s="9"/>
      <c r="J21054" s="11"/>
      <c r="U21054" s="9"/>
      <c r="X21054" s="9"/>
    </row>
    <row r="21055">
      <c r="D21055" s="9"/>
      <c r="G21055" s="9"/>
      <c r="J21055" s="11"/>
      <c r="U21055" s="9"/>
      <c r="X21055" s="9"/>
    </row>
    <row r="21056">
      <c r="D21056" s="9"/>
      <c r="G21056" s="9"/>
      <c r="J21056" s="11"/>
      <c r="U21056" s="9"/>
      <c r="X21056" s="9"/>
    </row>
    <row r="21057">
      <c r="D21057" s="9"/>
      <c r="G21057" s="9"/>
      <c r="J21057" s="11"/>
      <c r="U21057" s="9"/>
      <c r="X21057" s="9"/>
    </row>
    <row r="21058">
      <c r="D21058" s="9"/>
      <c r="G21058" s="9"/>
      <c r="J21058" s="11"/>
      <c r="U21058" s="9"/>
      <c r="X21058" s="9"/>
    </row>
    <row r="21059">
      <c r="D21059" s="9"/>
      <c r="G21059" s="9"/>
      <c r="J21059" s="11"/>
      <c r="U21059" s="9"/>
      <c r="X21059" s="9"/>
    </row>
    <row r="21060">
      <c r="D21060" s="9"/>
      <c r="G21060" s="9"/>
      <c r="J21060" s="11"/>
      <c r="U21060" s="9"/>
      <c r="X21060" s="9"/>
    </row>
    <row r="21061">
      <c r="D21061" s="9"/>
      <c r="G21061" s="9"/>
      <c r="J21061" s="11"/>
      <c r="U21061" s="9"/>
      <c r="X21061" s="9"/>
    </row>
    <row r="21062">
      <c r="D21062" s="9"/>
      <c r="G21062" s="9"/>
      <c r="J21062" s="11"/>
      <c r="U21062" s="9"/>
      <c r="X21062" s="9"/>
    </row>
    <row r="21063">
      <c r="D21063" s="9"/>
      <c r="G21063" s="9"/>
      <c r="J21063" s="11"/>
      <c r="U21063" s="9"/>
      <c r="X21063" s="9"/>
    </row>
    <row r="21064">
      <c r="D21064" s="9"/>
      <c r="G21064" s="9"/>
      <c r="J21064" s="11"/>
      <c r="U21064" s="9"/>
      <c r="X21064" s="9"/>
    </row>
    <row r="21065">
      <c r="D21065" s="9"/>
      <c r="G21065" s="9"/>
      <c r="J21065" s="11"/>
      <c r="U21065" s="9"/>
      <c r="X21065" s="9"/>
    </row>
    <row r="21066">
      <c r="D21066" s="9"/>
      <c r="G21066" s="9"/>
      <c r="J21066" s="11"/>
      <c r="U21066" s="9"/>
      <c r="X21066" s="9"/>
    </row>
    <row r="21067">
      <c r="D21067" s="9"/>
      <c r="G21067" s="9"/>
      <c r="J21067" s="11"/>
      <c r="U21067" s="9"/>
      <c r="X21067" s="9"/>
    </row>
    <row r="21068">
      <c r="D21068" s="9"/>
      <c r="G21068" s="9"/>
      <c r="J21068" s="11"/>
      <c r="U21068" s="9"/>
      <c r="X21068" s="9"/>
    </row>
    <row r="21069">
      <c r="D21069" s="9"/>
      <c r="G21069" s="9"/>
      <c r="J21069" s="11"/>
      <c r="U21069" s="9"/>
      <c r="X21069" s="9"/>
    </row>
    <row r="21070">
      <c r="D21070" s="9"/>
      <c r="G21070" s="9"/>
      <c r="J21070" s="11"/>
      <c r="U21070" s="9"/>
      <c r="X21070" s="9"/>
    </row>
    <row r="21071">
      <c r="D21071" s="9"/>
      <c r="G21071" s="9"/>
      <c r="J21071" s="11"/>
      <c r="U21071" s="9"/>
      <c r="X21071" s="9"/>
    </row>
    <row r="21072">
      <c r="D21072" s="9"/>
      <c r="G21072" s="9"/>
      <c r="J21072" s="11"/>
      <c r="U21072" s="9"/>
      <c r="X21072" s="9"/>
    </row>
    <row r="21073">
      <c r="D21073" s="9"/>
      <c r="G21073" s="9"/>
      <c r="J21073" s="11"/>
      <c r="U21073" s="9"/>
      <c r="X21073" s="9"/>
    </row>
    <row r="21074">
      <c r="D21074" s="9"/>
      <c r="G21074" s="9"/>
      <c r="J21074" s="11"/>
      <c r="U21074" s="9"/>
      <c r="X21074" s="9"/>
    </row>
    <row r="21075">
      <c r="D21075" s="9"/>
      <c r="G21075" s="9"/>
      <c r="J21075" s="11"/>
      <c r="U21075" s="9"/>
      <c r="X21075" s="9"/>
    </row>
    <row r="21076">
      <c r="D21076" s="9"/>
      <c r="G21076" s="9"/>
      <c r="J21076" s="11"/>
      <c r="U21076" s="9"/>
      <c r="X21076" s="9"/>
    </row>
    <row r="21077">
      <c r="D21077" s="9"/>
      <c r="G21077" s="9"/>
      <c r="J21077" s="11"/>
      <c r="U21077" s="9"/>
      <c r="X21077" s="9"/>
    </row>
    <row r="21078">
      <c r="D21078" s="9"/>
      <c r="G21078" s="9"/>
      <c r="J21078" s="11"/>
      <c r="U21078" s="9"/>
      <c r="X21078" s="9"/>
    </row>
    <row r="21079">
      <c r="D21079" s="9"/>
      <c r="G21079" s="9"/>
      <c r="J21079" s="11"/>
      <c r="U21079" s="9"/>
      <c r="X21079" s="9"/>
    </row>
    <row r="21080">
      <c r="D21080" s="9"/>
      <c r="G21080" s="9"/>
      <c r="J21080" s="11"/>
      <c r="U21080" s="9"/>
      <c r="X21080" s="9"/>
    </row>
    <row r="21081">
      <c r="D21081" s="9"/>
      <c r="G21081" s="9"/>
      <c r="J21081" s="11"/>
      <c r="U21081" s="9"/>
      <c r="X21081" s="9"/>
    </row>
    <row r="21082">
      <c r="D21082" s="9"/>
      <c r="G21082" s="9"/>
      <c r="J21082" s="11"/>
      <c r="U21082" s="9"/>
      <c r="X21082" s="9"/>
    </row>
    <row r="21083">
      <c r="D21083" s="9"/>
      <c r="G21083" s="9"/>
      <c r="J21083" s="11"/>
      <c r="U21083" s="9"/>
      <c r="X21083" s="9"/>
    </row>
    <row r="21084">
      <c r="D21084" s="9"/>
      <c r="G21084" s="9"/>
      <c r="J21084" s="11"/>
      <c r="U21084" s="9"/>
      <c r="X21084" s="9"/>
    </row>
    <row r="21085">
      <c r="D21085" s="9"/>
      <c r="G21085" s="9"/>
      <c r="J21085" s="11"/>
      <c r="U21085" s="9"/>
      <c r="X21085" s="9"/>
    </row>
    <row r="21086">
      <c r="D21086" s="9"/>
      <c r="G21086" s="9"/>
      <c r="J21086" s="11"/>
      <c r="U21086" s="9"/>
      <c r="X21086" s="9"/>
    </row>
    <row r="21087">
      <c r="D21087" s="9"/>
      <c r="G21087" s="9"/>
      <c r="J21087" s="11"/>
      <c r="U21087" s="9"/>
      <c r="X21087" s="9"/>
    </row>
    <row r="21088">
      <c r="D21088" s="9"/>
      <c r="G21088" s="9"/>
      <c r="J21088" s="11"/>
      <c r="U21088" s="9"/>
      <c r="X21088" s="9"/>
    </row>
    <row r="21089">
      <c r="D21089" s="9"/>
      <c r="G21089" s="9"/>
      <c r="J21089" s="11"/>
      <c r="U21089" s="9"/>
      <c r="X21089" s="9"/>
    </row>
    <row r="21090">
      <c r="D21090" s="9"/>
      <c r="G21090" s="9"/>
      <c r="J21090" s="11"/>
      <c r="U21090" s="9"/>
      <c r="X21090" s="9"/>
    </row>
    <row r="21091">
      <c r="D21091" s="9"/>
      <c r="G21091" s="9"/>
      <c r="J21091" s="11"/>
      <c r="U21091" s="9"/>
      <c r="X21091" s="9"/>
    </row>
    <row r="21092">
      <c r="D21092" s="9"/>
      <c r="G21092" s="9"/>
      <c r="J21092" s="11"/>
      <c r="U21092" s="9"/>
      <c r="X21092" s="9"/>
    </row>
    <row r="21093">
      <c r="D21093" s="9"/>
      <c r="G21093" s="9"/>
      <c r="J21093" s="11"/>
      <c r="U21093" s="9"/>
      <c r="X21093" s="9"/>
    </row>
    <row r="21094">
      <c r="D21094" s="9"/>
      <c r="G21094" s="9"/>
      <c r="J21094" s="11"/>
      <c r="U21094" s="9"/>
      <c r="X21094" s="9"/>
    </row>
    <row r="21095">
      <c r="D21095" s="9"/>
      <c r="G21095" s="9"/>
      <c r="J21095" s="11"/>
      <c r="U21095" s="9"/>
      <c r="X21095" s="9"/>
    </row>
    <row r="21096">
      <c r="D21096" s="9"/>
      <c r="G21096" s="9"/>
      <c r="J21096" s="11"/>
      <c r="U21096" s="9"/>
      <c r="X21096" s="9"/>
    </row>
    <row r="21097">
      <c r="D21097" s="9"/>
      <c r="G21097" s="9"/>
      <c r="J21097" s="11"/>
      <c r="U21097" s="9"/>
      <c r="X21097" s="9"/>
    </row>
    <row r="21098">
      <c r="D21098" s="9"/>
      <c r="G21098" s="9"/>
      <c r="J21098" s="11"/>
      <c r="U21098" s="9"/>
      <c r="X21098" s="9"/>
    </row>
    <row r="21099">
      <c r="D21099" s="9"/>
      <c r="G21099" s="9"/>
      <c r="J21099" s="11"/>
      <c r="U21099" s="9"/>
      <c r="X21099" s="9"/>
    </row>
    <row r="21100">
      <c r="D21100" s="9"/>
      <c r="G21100" s="9"/>
      <c r="J21100" s="11"/>
      <c r="U21100" s="9"/>
      <c r="X21100" s="9"/>
    </row>
    <row r="21101">
      <c r="D21101" s="9"/>
      <c r="G21101" s="9"/>
      <c r="J21101" s="11"/>
      <c r="U21101" s="9"/>
      <c r="X21101" s="9"/>
    </row>
    <row r="21102">
      <c r="D21102" s="9"/>
      <c r="G21102" s="9"/>
      <c r="J21102" s="11"/>
      <c r="U21102" s="9"/>
      <c r="X21102" s="9"/>
    </row>
    <row r="21103">
      <c r="D21103" s="9"/>
      <c r="G21103" s="9"/>
      <c r="J21103" s="11"/>
      <c r="U21103" s="9"/>
      <c r="X21103" s="9"/>
    </row>
    <row r="21104">
      <c r="D21104" s="9"/>
      <c r="G21104" s="9"/>
      <c r="J21104" s="11"/>
      <c r="U21104" s="9"/>
      <c r="X21104" s="9"/>
    </row>
    <row r="21105">
      <c r="D21105" s="9"/>
      <c r="G21105" s="9"/>
      <c r="J21105" s="11"/>
      <c r="U21105" s="9"/>
      <c r="X21105" s="9"/>
    </row>
    <row r="21106">
      <c r="D21106" s="9"/>
      <c r="G21106" s="9"/>
      <c r="J21106" s="11"/>
      <c r="U21106" s="9"/>
      <c r="X21106" s="9"/>
    </row>
    <row r="21107">
      <c r="D21107" s="9"/>
      <c r="G21107" s="9"/>
      <c r="J21107" s="11"/>
      <c r="U21107" s="9"/>
      <c r="X21107" s="9"/>
    </row>
    <row r="21108">
      <c r="D21108" s="9"/>
      <c r="G21108" s="9"/>
      <c r="J21108" s="11"/>
      <c r="U21108" s="9"/>
      <c r="X21108" s="9"/>
    </row>
    <row r="21109">
      <c r="D21109" s="9"/>
      <c r="G21109" s="9"/>
      <c r="J21109" s="11"/>
      <c r="U21109" s="9"/>
      <c r="X21109" s="9"/>
    </row>
    <row r="21110">
      <c r="D21110" s="9"/>
      <c r="G21110" s="9"/>
      <c r="J21110" s="11"/>
      <c r="U21110" s="9"/>
      <c r="X21110" s="9"/>
    </row>
    <row r="21111">
      <c r="D21111" s="9"/>
      <c r="G21111" s="9"/>
      <c r="J21111" s="11"/>
      <c r="U21111" s="9"/>
      <c r="X21111" s="9"/>
    </row>
    <row r="21112">
      <c r="D21112" s="9"/>
      <c r="G21112" s="9"/>
      <c r="J21112" s="11"/>
      <c r="U21112" s="9"/>
      <c r="X21112" s="9"/>
    </row>
    <row r="21113">
      <c r="D21113" s="9"/>
      <c r="G21113" s="9"/>
      <c r="J21113" s="11"/>
      <c r="U21113" s="9"/>
      <c r="X21113" s="9"/>
    </row>
    <row r="21114">
      <c r="D21114" s="9"/>
      <c r="G21114" s="9"/>
      <c r="J21114" s="11"/>
      <c r="U21114" s="9"/>
      <c r="X21114" s="9"/>
    </row>
    <row r="21115">
      <c r="D21115" s="9"/>
      <c r="G21115" s="9"/>
      <c r="J21115" s="11"/>
      <c r="U21115" s="9"/>
      <c r="X21115" s="9"/>
    </row>
    <row r="21116">
      <c r="D21116" s="9"/>
      <c r="G21116" s="9"/>
      <c r="J21116" s="11"/>
      <c r="U21116" s="9"/>
      <c r="X21116" s="9"/>
    </row>
    <row r="21117">
      <c r="D21117" s="9"/>
      <c r="G21117" s="9"/>
      <c r="J21117" s="11"/>
      <c r="U21117" s="9"/>
      <c r="X21117" s="9"/>
    </row>
    <row r="21118">
      <c r="D21118" s="9"/>
      <c r="G21118" s="9"/>
      <c r="J21118" s="11"/>
      <c r="U21118" s="9"/>
      <c r="X21118" s="9"/>
    </row>
    <row r="21119">
      <c r="D21119" s="9"/>
      <c r="G21119" s="9"/>
      <c r="J21119" s="11"/>
      <c r="U21119" s="9"/>
      <c r="X21119" s="9"/>
    </row>
    <row r="21120">
      <c r="D21120" s="9"/>
      <c r="G21120" s="9"/>
      <c r="J21120" s="11"/>
      <c r="U21120" s="9"/>
      <c r="X21120" s="9"/>
    </row>
    <row r="21121">
      <c r="D21121" s="9"/>
      <c r="G21121" s="9"/>
      <c r="J21121" s="11"/>
      <c r="U21121" s="9"/>
      <c r="X21121" s="9"/>
    </row>
    <row r="21122">
      <c r="D21122" s="9"/>
      <c r="G21122" s="9"/>
      <c r="J21122" s="11"/>
      <c r="U21122" s="9"/>
      <c r="X21122" s="9"/>
    </row>
    <row r="21123">
      <c r="D21123" s="9"/>
      <c r="G21123" s="9"/>
      <c r="J21123" s="11"/>
      <c r="U21123" s="9"/>
      <c r="X21123" s="9"/>
    </row>
    <row r="21124">
      <c r="D21124" s="9"/>
      <c r="G21124" s="9"/>
      <c r="J21124" s="11"/>
      <c r="U21124" s="9"/>
      <c r="X21124" s="9"/>
    </row>
    <row r="21125">
      <c r="D21125" s="9"/>
      <c r="G21125" s="9"/>
      <c r="J21125" s="11"/>
      <c r="U21125" s="9"/>
      <c r="X21125" s="9"/>
    </row>
    <row r="21126">
      <c r="D21126" s="9"/>
      <c r="G21126" s="9"/>
      <c r="J21126" s="11"/>
      <c r="U21126" s="9"/>
      <c r="X21126" s="9"/>
    </row>
    <row r="21127">
      <c r="D21127" s="9"/>
      <c r="G21127" s="9"/>
      <c r="J21127" s="11"/>
      <c r="U21127" s="9"/>
      <c r="X21127" s="9"/>
    </row>
    <row r="21128">
      <c r="D21128" s="9"/>
      <c r="G21128" s="9"/>
      <c r="J21128" s="11"/>
      <c r="U21128" s="9"/>
      <c r="X21128" s="9"/>
    </row>
    <row r="21129">
      <c r="D21129" s="9"/>
      <c r="G21129" s="9"/>
      <c r="J21129" s="11"/>
      <c r="U21129" s="9"/>
      <c r="X21129" s="9"/>
    </row>
    <row r="21130">
      <c r="D21130" s="9"/>
      <c r="G21130" s="9"/>
      <c r="J21130" s="11"/>
      <c r="U21130" s="9"/>
      <c r="X21130" s="9"/>
    </row>
    <row r="21131">
      <c r="D21131" s="9"/>
      <c r="G21131" s="9"/>
      <c r="J21131" s="11"/>
      <c r="U21131" s="9"/>
      <c r="X21131" s="9"/>
    </row>
    <row r="21132">
      <c r="D21132" s="9"/>
      <c r="G21132" s="9"/>
      <c r="J21132" s="11"/>
      <c r="U21132" s="9"/>
      <c r="X21132" s="9"/>
    </row>
    <row r="21133">
      <c r="D21133" s="9"/>
      <c r="G21133" s="9"/>
      <c r="J21133" s="11"/>
      <c r="U21133" s="9"/>
      <c r="X21133" s="9"/>
    </row>
    <row r="21134">
      <c r="D21134" s="9"/>
      <c r="G21134" s="9"/>
      <c r="J21134" s="11"/>
      <c r="U21134" s="9"/>
      <c r="X21134" s="9"/>
    </row>
    <row r="21135">
      <c r="D21135" s="9"/>
      <c r="G21135" s="9"/>
      <c r="J21135" s="11"/>
      <c r="U21135" s="9"/>
      <c r="X21135" s="9"/>
    </row>
    <row r="21136">
      <c r="D21136" s="9"/>
      <c r="G21136" s="9"/>
      <c r="J21136" s="11"/>
      <c r="U21136" s="9"/>
      <c r="X21136" s="9"/>
    </row>
    <row r="21137">
      <c r="D21137" s="9"/>
      <c r="G21137" s="9"/>
      <c r="J21137" s="11"/>
      <c r="U21137" s="9"/>
      <c r="X21137" s="9"/>
    </row>
    <row r="21138">
      <c r="D21138" s="9"/>
      <c r="G21138" s="9"/>
      <c r="J21138" s="11"/>
      <c r="U21138" s="9"/>
      <c r="X21138" s="9"/>
    </row>
    <row r="21139">
      <c r="D21139" s="9"/>
      <c r="G21139" s="9"/>
      <c r="J21139" s="11"/>
      <c r="U21139" s="9"/>
      <c r="X21139" s="9"/>
    </row>
    <row r="21140">
      <c r="D21140" s="9"/>
      <c r="G21140" s="9"/>
      <c r="J21140" s="11"/>
      <c r="U21140" s="9"/>
      <c r="X21140" s="9"/>
    </row>
    <row r="21141">
      <c r="D21141" s="9"/>
      <c r="G21141" s="9"/>
      <c r="J21141" s="11"/>
      <c r="U21141" s="9"/>
      <c r="X21141" s="9"/>
    </row>
    <row r="21142">
      <c r="D21142" s="9"/>
      <c r="G21142" s="9"/>
      <c r="J21142" s="11"/>
      <c r="U21142" s="9"/>
      <c r="X21142" s="9"/>
    </row>
    <row r="21143">
      <c r="D21143" s="9"/>
      <c r="G21143" s="9"/>
      <c r="J21143" s="11"/>
      <c r="U21143" s="9"/>
      <c r="X21143" s="9"/>
    </row>
    <row r="21144">
      <c r="D21144" s="9"/>
      <c r="G21144" s="9"/>
      <c r="J21144" s="11"/>
      <c r="U21144" s="9"/>
      <c r="X21144" s="9"/>
    </row>
    <row r="21145">
      <c r="D21145" s="9"/>
      <c r="G21145" s="9"/>
      <c r="J21145" s="11"/>
      <c r="U21145" s="9"/>
      <c r="X21145" s="9"/>
    </row>
    <row r="21146">
      <c r="D21146" s="9"/>
      <c r="G21146" s="9"/>
      <c r="J21146" s="11"/>
      <c r="U21146" s="9"/>
      <c r="X21146" s="9"/>
    </row>
    <row r="21147">
      <c r="D21147" s="9"/>
      <c r="G21147" s="9"/>
      <c r="J21147" s="11"/>
      <c r="U21147" s="9"/>
      <c r="X21147" s="9"/>
    </row>
    <row r="21148">
      <c r="D21148" s="9"/>
      <c r="G21148" s="9"/>
      <c r="J21148" s="11"/>
      <c r="U21148" s="9"/>
      <c r="X21148" s="9"/>
    </row>
    <row r="21149">
      <c r="D21149" s="9"/>
      <c r="G21149" s="9"/>
      <c r="J21149" s="11"/>
      <c r="U21149" s="9"/>
      <c r="X21149" s="9"/>
    </row>
    <row r="21150">
      <c r="D21150" s="9"/>
      <c r="G21150" s="9"/>
      <c r="J21150" s="11"/>
      <c r="U21150" s="9"/>
      <c r="X21150" s="9"/>
    </row>
    <row r="21151">
      <c r="D21151" s="9"/>
      <c r="G21151" s="9"/>
      <c r="J21151" s="11"/>
      <c r="U21151" s="9"/>
      <c r="X21151" s="9"/>
    </row>
    <row r="21152">
      <c r="D21152" s="9"/>
      <c r="G21152" s="9"/>
      <c r="J21152" s="11"/>
      <c r="U21152" s="9"/>
      <c r="X21152" s="9"/>
    </row>
    <row r="21153">
      <c r="D21153" s="9"/>
      <c r="G21153" s="9"/>
      <c r="J21153" s="11"/>
      <c r="U21153" s="9"/>
      <c r="X21153" s="9"/>
    </row>
    <row r="21154">
      <c r="D21154" s="9"/>
      <c r="G21154" s="9"/>
      <c r="J21154" s="11"/>
      <c r="U21154" s="9"/>
      <c r="X21154" s="9"/>
    </row>
    <row r="21155">
      <c r="D21155" s="9"/>
      <c r="G21155" s="9"/>
      <c r="J21155" s="11"/>
      <c r="U21155" s="9"/>
      <c r="X21155" s="9"/>
    </row>
    <row r="21156">
      <c r="D21156" s="9"/>
      <c r="G21156" s="9"/>
      <c r="J21156" s="11"/>
      <c r="U21156" s="9"/>
      <c r="X21156" s="9"/>
    </row>
    <row r="21157">
      <c r="D21157" s="9"/>
      <c r="G21157" s="9"/>
      <c r="J21157" s="11"/>
      <c r="U21157" s="9"/>
      <c r="X21157" s="9"/>
    </row>
    <row r="21158">
      <c r="D21158" s="9"/>
      <c r="G21158" s="9"/>
      <c r="J21158" s="11"/>
      <c r="U21158" s="9"/>
      <c r="X21158" s="9"/>
    </row>
    <row r="21159">
      <c r="D21159" s="9"/>
      <c r="G21159" s="9"/>
      <c r="J21159" s="11"/>
      <c r="U21159" s="9"/>
      <c r="X21159" s="9"/>
    </row>
    <row r="21160">
      <c r="D21160" s="9"/>
      <c r="G21160" s="9"/>
      <c r="J21160" s="11"/>
      <c r="U21160" s="9"/>
      <c r="X21160" s="9"/>
    </row>
    <row r="21161">
      <c r="D21161" s="9"/>
      <c r="G21161" s="9"/>
      <c r="J21161" s="11"/>
      <c r="U21161" s="9"/>
      <c r="X21161" s="9"/>
    </row>
    <row r="21162">
      <c r="D21162" s="9"/>
      <c r="G21162" s="9"/>
      <c r="J21162" s="11"/>
      <c r="U21162" s="9"/>
      <c r="X21162" s="9"/>
    </row>
    <row r="21163">
      <c r="D21163" s="9"/>
      <c r="G21163" s="9"/>
      <c r="J21163" s="11"/>
      <c r="U21163" s="9"/>
      <c r="X21163" s="9"/>
    </row>
    <row r="21164">
      <c r="D21164" s="9"/>
      <c r="G21164" s="9"/>
      <c r="J21164" s="11"/>
      <c r="U21164" s="9"/>
      <c r="X21164" s="9"/>
    </row>
    <row r="21165">
      <c r="D21165" s="9"/>
      <c r="G21165" s="9"/>
      <c r="J21165" s="11"/>
      <c r="U21165" s="9"/>
      <c r="X21165" s="9"/>
    </row>
    <row r="21166">
      <c r="D21166" s="9"/>
      <c r="G21166" s="9"/>
      <c r="J21166" s="11"/>
      <c r="U21166" s="9"/>
      <c r="X21166" s="9"/>
    </row>
    <row r="21167">
      <c r="D21167" s="9"/>
      <c r="G21167" s="9"/>
      <c r="J21167" s="11"/>
      <c r="U21167" s="9"/>
      <c r="X21167" s="9"/>
    </row>
    <row r="21168">
      <c r="D21168" s="9"/>
      <c r="G21168" s="9"/>
      <c r="J21168" s="11"/>
      <c r="U21168" s="9"/>
      <c r="X21168" s="9"/>
    </row>
    <row r="21169">
      <c r="D21169" s="9"/>
      <c r="G21169" s="9"/>
      <c r="J21169" s="11"/>
      <c r="U21169" s="9"/>
      <c r="X21169" s="9"/>
    </row>
    <row r="21170">
      <c r="D21170" s="9"/>
      <c r="G21170" s="9"/>
      <c r="J21170" s="11"/>
      <c r="U21170" s="9"/>
      <c r="X21170" s="9"/>
    </row>
    <row r="21171">
      <c r="D21171" s="9"/>
      <c r="G21171" s="9"/>
      <c r="J21171" s="11"/>
      <c r="U21171" s="9"/>
      <c r="X21171" s="9"/>
    </row>
    <row r="21172">
      <c r="D21172" s="9"/>
      <c r="G21172" s="9"/>
      <c r="J21172" s="11"/>
      <c r="U21172" s="9"/>
      <c r="X21172" s="9"/>
    </row>
    <row r="21173">
      <c r="D21173" s="9"/>
      <c r="G21173" s="9"/>
      <c r="J21173" s="11"/>
      <c r="U21173" s="9"/>
      <c r="X21173" s="9"/>
    </row>
    <row r="21174">
      <c r="D21174" s="9"/>
      <c r="G21174" s="9"/>
      <c r="J21174" s="11"/>
      <c r="U21174" s="9"/>
      <c r="X21174" s="9"/>
    </row>
    <row r="21175">
      <c r="D21175" s="9"/>
      <c r="G21175" s="9"/>
      <c r="J21175" s="11"/>
      <c r="U21175" s="9"/>
      <c r="X21175" s="9"/>
    </row>
    <row r="21176">
      <c r="D21176" s="9"/>
      <c r="G21176" s="9"/>
      <c r="J21176" s="11"/>
      <c r="U21176" s="9"/>
      <c r="X21176" s="9"/>
    </row>
    <row r="21177">
      <c r="D21177" s="9"/>
      <c r="G21177" s="9"/>
      <c r="J21177" s="11"/>
      <c r="U21177" s="9"/>
      <c r="X21177" s="9"/>
    </row>
    <row r="21178">
      <c r="D21178" s="9"/>
      <c r="G21178" s="9"/>
      <c r="J21178" s="11"/>
      <c r="U21178" s="9"/>
      <c r="X21178" s="9"/>
    </row>
    <row r="21179">
      <c r="D21179" s="9"/>
      <c r="G21179" s="9"/>
      <c r="J21179" s="11"/>
      <c r="U21179" s="9"/>
      <c r="X21179" s="9"/>
    </row>
    <row r="21180">
      <c r="D21180" s="9"/>
      <c r="G21180" s="9"/>
      <c r="J21180" s="11"/>
      <c r="U21180" s="9"/>
      <c r="X21180" s="9"/>
    </row>
    <row r="21181">
      <c r="D21181" s="9"/>
      <c r="G21181" s="9"/>
      <c r="J21181" s="11"/>
      <c r="U21181" s="9"/>
      <c r="X21181" s="9"/>
    </row>
    <row r="21182">
      <c r="D21182" s="9"/>
      <c r="G21182" s="9"/>
      <c r="J21182" s="11"/>
      <c r="U21182" s="9"/>
      <c r="X21182" s="9"/>
    </row>
    <row r="21183">
      <c r="D21183" s="9"/>
      <c r="G21183" s="9"/>
      <c r="J21183" s="11"/>
      <c r="U21183" s="9"/>
      <c r="X21183" s="9"/>
    </row>
    <row r="21184">
      <c r="D21184" s="9"/>
      <c r="G21184" s="9"/>
      <c r="J21184" s="11"/>
      <c r="U21184" s="9"/>
      <c r="X21184" s="9"/>
    </row>
    <row r="21185">
      <c r="D21185" s="9"/>
      <c r="G21185" s="9"/>
      <c r="J21185" s="11"/>
      <c r="U21185" s="9"/>
      <c r="X21185" s="9"/>
    </row>
    <row r="21186">
      <c r="D21186" s="9"/>
      <c r="G21186" s="9"/>
      <c r="J21186" s="11"/>
      <c r="U21186" s="9"/>
      <c r="X21186" s="9"/>
    </row>
    <row r="21187">
      <c r="D21187" s="9"/>
      <c r="G21187" s="9"/>
      <c r="J21187" s="11"/>
      <c r="U21187" s="9"/>
      <c r="X21187" s="9"/>
    </row>
    <row r="21188">
      <c r="D21188" s="9"/>
      <c r="G21188" s="9"/>
      <c r="J21188" s="11"/>
      <c r="U21188" s="9"/>
      <c r="X21188" s="9"/>
    </row>
    <row r="21189">
      <c r="D21189" s="9"/>
      <c r="G21189" s="9"/>
      <c r="J21189" s="11"/>
      <c r="U21189" s="9"/>
      <c r="X21189" s="9"/>
    </row>
    <row r="21190">
      <c r="D21190" s="9"/>
      <c r="G21190" s="9"/>
      <c r="J21190" s="11"/>
      <c r="U21190" s="9"/>
      <c r="X21190" s="9"/>
    </row>
    <row r="21191">
      <c r="D21191" s="9"/>
      <c r="G21191" s="9"/>
      <c r="J21191" s="11"/>
      <c r="U21191" s="9"/>
      <c r="X21191" s="9"/>
    </row>
    <row r="21192">
      <c r="D21192" s="9"/>
      <c r="G21192" s="9"/>
      <c r="J21192" s="11"/>
      <c r="U21192" s="9"/>
      <c r="X21192" s="9"/>
    </row>
    <row r="21193">
      <c r="D21193" s="9"/>
      <c r="G21193" s="9"/>
      <c r="J21193" s="11"/>
      <c r="U21193" s="9"/>
      <c r="X21193" s="9"/>
    </row>
    <row r="21194">
      <c r="D21194" s="9"/>
      <c r="G21194" s="9"/>
      <c r="J21194" s="11"/>
      <c r="U21194" s="9"/>
      <c r="X21194" s="9"/>
    </row>
    <row r="21195">
      <c r="D21195" s="9"/>
      <c r="G21195" s="9"/>
      <c r="J21195" s="11"/>
      <c r="U21195" s="9"/>
      <c r="X21195" s="9"/>
    </row>
    <row r="21196">
      <c r="D21196" s="9"/>
      <c r="G21196" s="9"/>
      <c r="J21196" s="11"/>
      <c r="U21196" s="9"/>
      <c r="X21196" s="9"/>
    </row>
    <row r="21197">
      <c r="D21197" s="9"/>
      <c r="G21197" s="9"/>
      <c r="J21197" s="11"/>
      <c r="U21197" s="9"/>
      <c r="X21197" s="9"/>
    </row>
    <row r="21198">
      <c r="D21198" s="9"/>
      <c r="G21198" s="9"/>
      <c r="J21198" s="11"/>
      <c r="U21198" s="9"/>
      <c r="X21198" s="9"/>
    </row>
    <row r="21199">
      <c r="D21199" s="9"/>
      <c r="G21199" s="9"/>
      <c r="J21199" s="11"/>
      <c r="U21199" s="9"/>
      <c r="X21199" s="9"/>
    </row>
    <row r="21200">
      <c r="D21200" s="9"/>
      <c r="G21200" s="9"/>
      <c r="J21200" s="11"/>
      <c r="U21200" s="9"/>
      <c r="X21200" s="9"/>
    </row>
    <row r="21201">
      <c r="D21201" s="9"/>
      <c r="G21201" s="9"/>
      <c r="J21201" s="11"/>
      <c r="U21201" s="9"/>
      <c r="X21201" s="9"/>
    </row>
    <row r="21202">
      <c r="D21202" s="9"/>
      <c r="G21202" s="9"/>
      <c r="J21202" s="11"/>
      <c r="U21202" s="9"/>
      <c r="X21202" s="9"/>
    </row>
    <row r="21203">
      <c r="D21203" s="9"/>
      <c r="G21203" s="9"/>
      <c r="J21203" s="11"/>
      <c r="U21203" s="9"/>
      <c r="X21203" s="9"/>
    </row>
    <row r="21204">
      <c r="D21204" s="9"/>
      <c r="G21204" s="9"/>
      <c r="J21204" s="11"/>
      <c r="U21204" s="9"/>
      <c r="X21204" s="9"/>
    </row>
    <row r="21205">
      <c r="D21205" s="9"/>
      <c r="G21205" s="9"/>
      <c r="J21205" s="11"/>
      <c r="U21205" s="9"/>
      <c r="X21205" s="9"/>
    </row>
    <row r="21206">
      <c r="D21206" s="9"/>
      <c r="G21206" s="9"/>
      <c r="J21206" s="11"/>
      <c r="U21206" s="9"/>
      <c r="X21206" s="9"/>
    </row>
    <row r="21207">
      <c r="D21207" s="9"/>
      <c r="G21207" s="9"/>
      <c r="J21207" s="11"/>
      <c r="U21207" s="9"/>
      <c r="X21207" s="9"/>
    </row>
    <row r="21208">
      <c r="D21208" s="9"/>
      <c r="G21208" s="9"/>
      <c r="J21208" s="11"/>
      <c r="U21208" s="9"/>
      <c r="X21208" s="9"/>
    </row>
    <row r="21209">
      <c r="D21209" s="9"/>
      <c r="G21209" s="9"/>
      <c r="J21209" s="11"/>
      <c r="U21209" s="9"/>
      <c r="X21209" s="9"/>
    </row>
    <row r="21210">
      <c r="D21210" s="9"/>
      <c r="G21210" s="9"/>
      <c r="J21210" s="11"/>
      <c r="U21210" s="9"/>
      <c r="X21210" s="9"/>
    </row>
    <row r="21211">
      <c r="D21211" s="9"/>
      <c r="G21211" s="9"/>
      <c r="J21211" s="11"/>
      <c r="U21211" s="9"/>
      <c r="X21211" s="9"/>
    </row>
    <row r="21212">
      <c r="D21212" s="9"/>
      <c r="G21212" s="9"/>
      <c r="J21212" s="11"/>
      <c r="U21212" s="9"/>
      <c r="X21212" s="9"/>
    </row>
    <row r="21213">
      <c r="D21213" s="9"/>
      <c r="G21213" s="9"/>
      <c r="J21213" s="11"/>
      <c r="U21213" s="9"/>
      <c r="X21213" s="9"/>
    </row>
    <row r="21214">
      <c r="D21214" s="9"/>
      <c r="G21214" s="9"/>
      <c r="J21214" s="11"/>
      <c r="U21214" s="9"/>
      <c r="X21214" s="9"/>
    </row>
    <row r="21215">
      <c r="D21215" s="9"/>
      <c r="G21215" s="9"/>
      <c r="J21215" s="11"/>
      <c r="U21215" s="9"/>
      <c r="X21215" s="9"/>
    </row>
    <row r="21216">
      <c r="D21216" s="9"/>
      <c r="G21216" s="9"/>
      <c r="J21216" s="11"/>
      <c r="U21216" s="9"/>
      <c r="X21216" s="9"/>
    </row>
    <row r="21217">
      <c r="D21217" s="9"/>
      <c r="G21217" s="9"/>
      <c r="J21217" s="11"/>
      <c r="U21217" s="9"/>
      <c r="X21217" s="9"/>
    </row>
    <row r="21218">
      <c r="D21218" s="9"/>
      <c r="G21218" s="9"/>
      <c r="J21218" s="11"/>
      <c r="U21218" s="9"/>
      <c r="X21218" s="9"/>
    </row>
    <row r="21219">
      <c r="D21219" s="9"/>
      <c r="G21219" s="9"/>
      <c r="J21219" s="11"/>
      <c r="U21219" s="9"/>
      <c r="X21219" s="9"/>
    </row>
    <row r="21220">
      <c r="D21220" s="9"/>
      <c r="G21220" s="9"/>
      <c r="J21220" s="11"/>
      <c r="U21220" s="9"/>
      <c r="X21220" s="9"/>
    </row>
    <row r="21221">
      <c r="D21221" s="9"/>
      <c r="G21221" s="9"/>
      <c r="J21221" s="11"/>
      <c r="U21221" s="9"/>
      <c r="X21221" s="9"/>
    </row>
    <row r="21222">
      <c r="D21222" s="9"/>
      <c r="G21222" s="9"/>
      <c r="J21222" s="11"/>
      <c r="U21222" s="9"/>
      <c r="X21222" s="9"/>
    </row>
    <row r="21223">
      <c r="D21223" s="9"/>
      <c r="G21223" s="9"/>
      <c r="J21223" s="11"/>
      <c r="U21223" s="9"/>
      <c r="X21223" s="9"/>
    </row>
    <row r="21224">
      <c r="D21224" s="9"/>
      <c r="G21224" s="9"/>
      <c r="J21224" s="11"/>
      <c r="U21224" s="9"/>
      <c r="X21224" s="9"/>
    </row>
    <row r="21225">
      <c r="D21225" s="9"/>
      <c r="G21225" s="9"/>
      <c r="J21225" s="11"/>
      <c r="U21225" s="9"/>
      <c r="X21225" s="9"/>
    </row>
    <row r="21226">
      <c r="D21226" s="9"/>
      <c r="G21226" s="9"/>
      <c r="J21226" s="11"/>
      <c r="U21226" s="9"/>
      <c r="X21226" s="9"/>
    </row>
    <row r="21227">
      <c r="D21227" s="9"/>
      <c r="G21227" s="9"/>
      <c r="J21227" s="11"/>
      <c r="U21227" s="9"/>
      <c r="X21227" s="9"/>
    </row>
    <row r="21228">
      <c r="D21228" s="9"/>
      <c r="G21228" s="9"/>
      <c r="J21228" s="11"/>
      <c r="U21228" s="9"/>
      <c r="X21228" s="9"/>
    </row>
    <row r="21229">
      <c r="D21229" s="9"/>
      <c r="G21229" s="9"/>
      <c r="J21229" s="11"/>
      <c r="U21229" s="9"/>
      <c r="X21229" s="9"/>
    </row>
    <row r="21230">
      <c r="D21230" s="9"/>
      <c r="G21230" s="9"/>
      <c r="J21230" s="11"/>
      <c r="U21230" s="9"/>
      <c r="X21230" s="9"/>
    </row>
    <row r="21231">
      <c r="D21231" s="9"/>
      <c r="G21231" s="9"/>
      <c r="J21231" s="11"/>
      <c r="U21231" s="9"/>
      <c r="X21231" s="9"/>
    </row>
    <row r="21232">
      <c r="D21232" s="9"/>
      <c r="G21232" s="9"/>
      <c r="J21232" s="11"/>
      <c r="U21232" s="9"/>
      <c r="X21232" s="9"/>
    </row>
    <row r="21233">
      <c r="D21233" s="9"/>
      <c r="G21233" s="9"/>
      <c r="J21233" s="11"/>
      <c r="U21233" s="9"/>
      <c r="X21233" s="9"/>
    </row>
    <row r="21234">
      <c r="D21234" s="9"/>
      <c r="G21234" s="9"/>
      <c r="J21234" s="11"/>
      <c r="U21234" s="9"/>
      <c r="X21234" s="9"/>
    </row>
    <row r="21235">
      <c r="D21235" s="9"/>
      <c r="G21235" s="9"/>
      <c r="J21235" s="11"/>
      <c r="U21235" s="9"/>
      <c r="X21235" s="9"/>
    </row>
    <row r="21236">
      <c r="D21236" s="9"/>
      <c r="G21236" s="9"/>
      <c r="J21236" s="11"/>
      <c r="U21236" s="9"/>
      <c r="X21236" s="9"/>
    </row>
    <row r="21237">
      <c r="D21237" s="9"/>
      <c r="G21237" s="9"/>
      <c r="J21237" s="11"/>
      <c r="U21237" s="9"/>
      <c r="X21237" s="9"/>
    </row>
    <row r="21238">
      <c r="D21238" s="9"/>
      <c r="G21238" s="9"/>
      <c r="J21238" s="11"/>
      <c r="U21238" s="9"/>
      <c r="X21238" s="9"/>
    </row>
    <row r="21239">
      <c r="D21239" s="9"/>
      <c r="G21239" s="9"/>
      <c r="J21239" s="11"/>
      <c r="U21239" s="9"/>
      <c r="X21239" s="9"/>
    </row>
    <row r="21240">
      <c r="D21240" s="9"/>
      <c r="G21240" s="9"/>
      <c r="J21240" s="11"/>
      <c r="U21240" s="9"/>
      <c r="X21240" s="9"/>
    </row>
    <row r="21241">
      <c r="D21241" s="9"/>
      <c r="G21241" s="9"/>
      <c r="J21241" s="11"/>
      <c r="U21241" s="9"/>
      <c r="X21241" s="9"/>
    </row>
    <row r="21242">
      <c r="D21242" s="9"/>
      <c r="G21242" s="9"/>
      <c r="J21242" s="11"/>
      <c r="U21242" s="9"/>
      <c r="X21242" s="9"/>
    </row>
    <row r="21243">
      <c r="D21243" s="9"/>
      <c r="G21243" s="9"/>
      <c r="J21243" s="11"/>
      <c r="U21243" s="9"/>
      <c r="X21243" s="9"/>
    </row>
    <row r="21244">
      <c r="D21244" s="9"/>
      <c r="G21244" s="9"/>
      <c r="J21244" s="11"/>
      <c r="U21244" s="9"/>
      <c r="X21244" s="9"/>
    </row>
    <row r="21245">
      <c r="D21245" s="9"/>
      <c r="G21245" s="9"/>
      <c r="J21245" s="11"/>
      <c r="U21245" s="9"/>
      <c r="X21245" s="9"/>
    </row>
    <row r="21246">
      <c r="D21246" s="9"/>
      <c r="G21246" s="9"/>
      <c r="J21246" s="11"/>
      <c r="U21246" s="9"/>
      <c r="X21246" s="9"/>
    </row>
    <row r="21247">
      <c r="D21247" s="9"/>
      <c r="G21247" s="9"/>
      <c r="J21247" s="11"/>
      <c r="U21247" s="9"/>
      <c r="X21247" s="9"/>
    </row>
    <row r="21248">
      <c r="D21248" s="9"/>
      <c r="G21248" s="9"/>
      <c r="J21248" s="11"/>
      <c r="U21248" s="9"/>
      <c r="X21248" s="9"/>
    </row>
    <row r="21249">
      <c r="D21249" s="9"/>
      <c r="G21249" s="9"/>
      <c r="J21249" s="11"/>
      <c r="U21249" s="9"/>
      <c r="X21249" s="9"/>
    </row>
    <row r="21250">
      <c r="D21250" s="9"/>
      <c r="G21250" s="9"/>
      <c r="J21250" s="11"/>
      <c r="U21250" s="9"/>
      <c r="X21250" s="9"/>
    </row>
    <row r="21251">
      <c r="D21251" s="9"/>
      <c r="G21251" s="9"/>
      <c r="J21251" s="11"/>
      <c r="U21251" s="9"/>
      <c r="X21251" s="9"/>
    </row>
    <row r="21252">
      <c r="D21252" s="9"/>
      <c r="G21252" s="9"/>
      <c r="J21252" s="11"/>
      <c r="U21252" s="9"/>
      <c r="X21252" s="9"/>
    </row>
    <row r="21253">
      <c r="D21253" s="9"/>
      <c r="G21253" s="9"/>
      <c r="J21253" s="11"/>
      <c r="U21253" s="9"/>
      <c r="X21253" s="9"/>
    </row>
    <row r="21254">
      <c r="D21254" s="9"/>
      <c r="G21254" s="9"/>
      <c r="J21254" s="11"/>
      <c r="U21254" s="9"/>
      <c r="X21254" s="9"/>
    </row>
    <row r="21255">
      <c r="D21255" s="9"/>
      <c r="G21255" s="9"/>
      <c r="J21255" s="11"/>
      <c r="U21255" s="9"/>
      <c r="X21255" s="9"/>
    </row>
    <row r="21256">
      <c r="D21256" s="9"/>
      <c r="G21256" s="9"/>
      <c r="J21256" s="11"/>
      <c r="U21256" s="9"/>
      <c r="X21256" s="9"/>
    </row>
    <row r="21257">
      <c r="D21257" s="9"/>
      <c r="G21257" s="9"/>
      <c r="J21257" s="11"/>
      <c r="U21257" s="9"/>
      <c r="X21257" s="9"/>
    </row>
    <row r="21258">
      <c r="D21258" s="9"/>
      <c r="G21258" s="9"/>
      <c r="J21258" s="11"/>
      <c r="U21258" s="9"/>
      <c r="X21258" s="9"/>
    </row>
    <row r="21259">
      <c r="D21259" s="9"/>
      <c r="G21259" s="9"/>
      <c r="J21259" s="11"/>
      <c r="U21259" s="9"/>
      <c r="X21259" s="9"/>
    </row>
    <row r="21260">
      <c r="D21260" s="9"/>
      <c r="G21260" s="9"/>
      <c r="J21260" s="11"/>
      <c r="U21260" s="9"/>
      <c r="X21260" s="9"/>
    </row>
    <row r="21261">
      <c r="D21261" s="9"/>
      <c r="G21261" s="9"/>
      <c r="J21261" s="11"/>
      <c r="U21261" s="9"/>
      <c r="X21261" s="9"/>
    </row>
    <row r="21262">
      <c r="D21262" s="9"/>
      <c r="G21262" s="9"/>
      <c r="J21262" s="11"/>
      <c r="U21262" s="9"/>
      <c r="X21262" s="9"/>
    </row>
    <row r="21263">
      <c r="D21263" s="9"/>
      <c r="G21263" s="9"/>
      <c r="J21263" s="11"/>
      <c r="U21263" s="9"/>
      <c r="X21263" s="9"/>
    </row>
    <row r="21264">
      <c r="D21264" s="9"/>
      <c r="G21264" s="9"/>
      <c r="J21264" s="11"/>
      <c r="U21264" s="9"/>
      <c r="X21264" s="9"/>
    </row>
    <row r="21265">
      <c r="D21265" s="9"/>
      <c r="G21265" s="9"/>
      <c r="J21265" s="11"/>
      <c r="U21265" s="9"/>
      <c r="X21265" s="9"/>
    </row>
    <row r="21266">
      <c r="D21266" s="9"/>
      <c r="G21266" s="9"/>
      <c r="J21266" s="11"/>
      <c r="U21266" s="9"/>
      <c r="X21266" s="9"/>
    </row>
    <row r="21267">
      <c r="D21267" s="9"/>
      <c r="G21267" s="9"/>
      <c r="J21267" s="11"/>
      <c r="U21267" s="9"/>
      <c r="X21267" s="9"/>
    </row>
    <row r="21268">
      <c r="D21268" s="9"/>
      <c r="G21268" s="9"/>
      <c r="J21268" s="11"/>
      <c r="U21268" s="9"/>
      <c r="X21268" s="9"/>
    </row>
    <row r="21269">
      <c r="D21269" s="9"/>
      <c r="G21269" s="9"/>
      <c r="J21269" s="11"/>
      <c r="U21269" s="9"/>
      <c r="X21269" s="9"/>
    </row>
    <row r="21270">
      <c r="D21270" s="9"/>
      <c r="G21270" s="9"/>
      <c r="J21270" s="11"/>
      <c r="U21270" s="9"/>
      <c r="X21270" s="9"/>
    </row>
    <row r="21271">
      <c r="D21271" s="9"/>
      <c r="G21271" s="9"/>
      <c r="J21271" s="11"/>
      <c r="U21271" s="9"/>
      <c r="X21271" s="9"/>
    </row>
    <row r="21272">
      <c r="D21272" s="9"/>
      <c r="G21272" s="9"/>
      <c r="J21272" s="11"/>
      <c r="U21272" s="9"/>
      <c r="X21272" s="9"/>
    </row>
    <row r="21273">
      <c r="D21273" s="9"/>
      <c r="G21273" s="9"/>
      <c r="J21273" s="11"/>
      <c r="U21273" s="9"/>
      <c r="X21273" s="9"/>
    </row>
    <row r="21274">
      <c r="D21274" s="9"/>
      <c r="G21274" s="9"/>
      <c r="J21274" s="11"/>
      <c r="U21274" s="9"/>
      <c r="X21274" s="9"/>
    </row>
    <row r="21275">
      <c r="D21275" s="9"/>
      <c r="G21275" s="9"/>
      <c r="J21275" s="11"/>
      <c r="U21275" s="9"/>
      <c r="X21275" s="9"/>
    </row>
    <row r="21276">
      <c r="D21276" s="9"/>
      <c r="G21276" s="9"/>
      <c r="J21276" s="11"/>
      <c r="U21276" s="9"/>
      <c r="X21276" s="9"/>
    </row>
    <row r="21277">
      <c r="D21277" s="9"/>
      <c r="G21277" s="9"/>
      <c r="J21277" s="11"/>
      <c r="U21277" s="9"/>
      <c r="X21277" s="9"/>
    </row>
    <row r="21278">
      <c r="D21278" s="9"/>
      <c r="G21278" s="9"/>
      <c r="J21278" s="11"/>
      <c r="U21278" s="9"/>
      <c r="X21278" s="9"/>
    </row>
    <row r="21279">
      <c r="D21279" s="9"/>
      <c r="G21279" s="9"/>
      <c r="J21279" s="11"/>
      <c r="U21279" s="9"/>
      <c r="X21279" s="9"/>
    </row>
    <row r="21280">
      <c r="D21280" s="9"/>
      <c r="G21280" s="9"/>
      <c r="J21280" s="11"/>
      <c r="U21280" s="9"/>
      <c r="X21280" s="9"/>
    </row>
    <row r="21281">
      <c r="D21281" s="9"/>
      <c r="G21281" s="9"/>
      <c r="J21281" s="11"/>
      <c r="U21281" s="9"/>
      <c r="X21281" s="9"/>
    </row>
    <row r="21282">
      <c r="D21282" s="9"/>
      <c r="G21282" s="9"/>
      <c r="J21282" s="11"/>
      <c r="U21282" s="9"/>
      <c r="X21282" s="9"/>
    </row>
    <row r="21283">
      <c r="D21283" s="9"/>
      <c r="G21283" s="9"/>
      <c r="J21283" s="11"/>
      <c r="U21283" s="9"/>
      <c r="X21283" s="9"/>
    </row>
    <row r="21284">
      <c r="D21284" s="9"/>
      <c r="G21284" s="9"/>
      <c r="J21284" s="11"/>
      <c r="U21284" s="9"/>
      <c r="X21284" s="9"/>
    </row>
    <row r="21285">
      <c r="D21285" s="9"/>
      <c r="G21285" s="9"/>
      <c r="J21285" s="11"/>
      <c r="U21285" s="9"/>
      <c r="X21285" s="9"/>
    </row>
    <row r="21286">
      <c r="D21286" s="9"/>
      <c r="G21286" s="9"/>
      <c r="J21286" s="11"/>
      <c r="U21286" s="9"/>
      <c r="X21286" s="9"/>
    </row>
    <row r="21287">
      <c r="D21287" s="9"/>
      <c r="G21287" s="9"/>
      <c r="J21287" s="11"/>
      <c r="U21287" s="9"/>
      <c r="X21287" s="9"/>
    </row>
    <row r="21288">
      <c r="D21288" s="9"/>
      <c r="G21288" s="9"/>
      <c r="J21288" s="11"/>
      <c r="U21288" s="9"/>
      <c r="X21288" s="9"/>
    </row>
    <row r="21289">
      <c r="D21289" s="9"/>
      <c r="G21289" s="9"/>
      <c r="J21289" s="11"/>
      <c r="U21289" s="9"/>
      <c r="X21289" s="9"/>
    </row>
    <row r="21290">
      <c r="D21290" s="9"/>
      <c r="G21290" s="9"/>
      <c r="J21290" s="11"/>
      <c r="U21290" s="9"/>
      <c r="X21290" s="9"/>
    </row>
    <row r="21291">
      <c r="D21291" s="9"/>
      <c r="G21291" s="9"/>
      <c r="J21291" s="11"/>
      <c r="U21291" s="9"/>
      <c r="X21291" s="9"/>
    </row>
    <row r="21292">
      <c r="D21292" s="9"/>
      <c r="G21292" s="9"/>
      <c r="J21292" s="11"/>
      <c r="U21292" s="9"/>
      <c r="X21292" s="9"/>
    </row>
    <row r="21293">
      <c r="D21293" s="9"/>
      <c r="G21293" s="9"/>
      <c r="J21293" s="11"/>
      <c r="U21293" s="9"/>
      <c r="X21293" s="9"/>
    </row>
    <row r="21294">
      <c r="D21294" s="9"/>
      <c r="G21294" s="9"/>
      <c r="J21294" s="11"/>
      <c r="U21294" s="9"/>
      <c r="X21294" s="9"/>
    </row>
    <row r="21295">
      <c r="D21295" s="9"/>
      <c r="G21295" s="9"/>
      <c r="J21295" s="11"/>
      <c r="U21295" s="9"/>
      <c r="X21295" s="9"/>
    </row>
    <row r="21296">
      <c r="D21296" s="9"/>
      <c r="G21296" s="9"/>
      <c r="J21296" s="11"/>
      <c r="U21296" s="9"/>
      <c r="X21296" s="9"/>
    </row>
    <row r="21297">
      <c r="D21297" s="9"/>
      <c r="G21297" s="9"/>
      <c r="J21297" s="11"/>
      <c r="U21297" s="9"/>
      <c r="X21297" s="9"/>
    </row>
    <row r="21298">
      <c r="D21298" s="9"/>
      <c r="G21298" s="9"/>
      <c r="J21298" s="11"/>
      <c r="U21298" s="9"/>
      <c r="X21298" s="9"/>
    </row>
    <row r="21299">
      <c r="D21299" s="9"/>
      <c r="G21299" s="9"/>
      <c r="J21299" s="11"/>
      <c r="U21299" s="9"/>
      <c r="X21299" s="9"/>
    </row>
    <row r="21300">
      <c r="D21300" s="9"/>
      <c r="G21300" s="9"/>
      <c r="J21300" s="11"/>
      <c r="U21300" s="9"/>
      <c r="X21300" s="9"/>
    </row>
    <row r="21301">
      <c r="D21301" s="9"/>
      <c r="G21301" s="9"/>
      <c r="J21301" s="11"/>
      <c r="U21301" s="9"/>
      <c r="X21301" s="9"/>
    </row>
    <row r="21302">
      <c r="D21302" s="9"/>
      <c r="G21302" s="9"/>
      <c r="J21302" s="11"/>
      <c r="U21302" s="9"/>
      <c r="X21302" s="9"/>
    </row>
    <row r="21303">
      <c r="D21303" s="9"/>
      <c r="G21303" s="9"/>
      <c r="J21303" s="11"/>
      <c r="U21303" s="9"/>
      <c r="X21303" s="9"/>
    </row>
    <row r="21304">
      <c r="D21304" s="9"/>
      <c r="G21304" s="9"/>
      <c r="J21304" s="11"/>
      <c r="U21304" s="9"/>
      <c r="X21304" s="9"/>
    </row>
    <row r="21305">
      <c r="D21305" s="9"/>
      <c r="G21305" s="9"/>
      <c r="J21305" s="11"/>
      <c r="U21305" s="9"/>
      <c r="X21305" s="9"/>
    </row>
    <row r="21306">
      <c r="D21306" s="9"/>
      <c r="G21306" s="9"/>
      <c r="J21306" s="11"/>
      <c r="U21306" s="9"/>
      <c r="X21306" s="9"/>
    </row>
    <row r="21307">
      <c r="D21307" s="9"/>
      <c r="G21307" s="9"/>
      <c r="J21307" s="11"/>
      <c r="U21307" s="9"/>
      <c r="X21307" s="9"/>
    </row>
    <row r="21308">
      <c r="D21308" s="9"/>
      <c r="G21308" s="9"/>
      <c r="J21308" s="11"/>
      <c r="U21308" s="9"/>
      <c r="X21308" s="9"/>
    </row>
    <row r="21309">
      <c r="D21309" s="9"/>
      <c r="G21309" s="9"/>
      <c r="J21309" s="11"/>
      <c r="U21309" s="9"/>
      <c r="X21309" s="9"/>
    </row>
    <row r="21310">
      <c r="D21310" s="9"/>
      <c r="G21310" s="9"/>
      <c r="J21310" s="11"/>
      <c r="U21310" s="9"/>
      <c r="X21310" s="9"/>
    </row>
    <row r="21311">
      <c r="D21311" s="9"/>
      <c r="G21311" s="9"/>
      <c r="J21311" s="11"/>
      <c r="U21311" s="9"/>
      <c r="X21311" s="9"/>
    </row>
    <row r="21312">
      <c r="D21312" s="9"/>
      <c r="G21312" s="9"/>
      <c r="J21312" s="11"/>
      <c r="U21312" s="9"/>
      <c r="X21312" s="9"/>
    </row>
    <row r="21313">
      <c r="D21313" s="9"/>
      <c r="G21313" s="9"/>
      <c r="J21313" s="11"/>
      <c r="U21313" s="9"/>
      <c r="X21313" s="9"/>
    </row>
    <row r="21314">
      <c r="D21314" s="9"/>
      <c r="G21314" s="9"/>
      <c r="J21314" s="11"/>
      <c r="U21314" s="9"/>
      <c r="X21314" s="9"/>
    </row>
    <row r="21315">
      <c r="D21315" s="9"/>
      <c r="G21315" s="9"/>
      <c r="J21315" s="11"/>
      <c r="U21315" s="9"/>
      <c r="X21315" s="9"/>
    </row>
    <row r="21316">
      <c r="D21316" s="9"/>
      <c r="G21316" s="9"/>
      <c r="J21316" s="11"/>
      <c r="U21316" s="9"/>
      <c r="X21316" s="9"/>
    </row>
    <row r="21317">
      <c r="D21317" s="9"/>
      <c r="G21317" s="9"/>
      <c r="J21317" s="11"/>
      <c r="U21317" s="9"/>
      <c r="X21317" s="9"/>
    </row>
    <row r="21318">
      <c r="D21318" s="9"/>
      <c r="G21318" s="9"/>
      <c r="J21318" s="11"/>
      <c r="U21318" s="9"/>
      <c r="X21318" s="9"/>
    </row>
    <row r="21319">
      <c r="D21319" s="9"/>
      <c r="G21319" s="9"/>
      <c r="J21319" s="11"/>
      <c r="U21319" s="9"/>
      <c r="X21319" s="9"/>
    </row>
    <row r="21320">
      <c r="D21320" s="9"/>
      <c r="G21320" s="9"/>
      <c r="J21320" s="11"/>
      <c r="U21320" s="9"/>
      <c r="X21320" s="9"/>
    </row>
    <row r="21321">
      <c r="D21321" s="9"/>
      <c r="G21321" s="9"/>
      <c r="J21321" s="11"/>
      <c r="U21321" s="9"/>
      <c r="X21321" s="9"/>
    </row>
    <row r="21322">
      <c r="D21322" s="9"/>
      <c r="G21322" s="9"/>
      <c r="J21322" s="11"/>
      <c r="U21322" s="9"/>
      <c r="X21322" s="9"/>
    </row>
    <row r="21323">
      <c r="D21323" s="9"/>
      <c r="G21323" s="9"/>
      <c r="J21323" s="11"/>
      <c r="U21323" s="9"/>
      <c r="X21323" s="9"/>
    </row>
    <row r="21324">
      <c r="D21324" s="9"/>
      <c r="G21324" s="9"/>
      <c r="J21324" s="11"/>
      <c r="U21324" s="9"/>
      <c r="X21324" s="9"/>
    </row>
    <row r="21325">
      <c r="D21325" s="9"/>
      <c r="G21325" s="9"/>
      <c r="J21325" s="11"/>
      <c r="U21325" s="9"/>
      <c r="X21325" s="9"/>
    </row>
    <row r="21326">
      <c r="D21326" s="9"/>
      <c r="G21326" s="9"/>
      <c r="J21326" s="11"/>
      <c r="U21326" s="9"/>
      <c r="X21326" s="9"/>
    </row>
    <row r="21327">
      <c r="D21327" s="9"/>
      <c r="G21327" s="9"/>
      <c r="J21327" s="11"/>
      <c r="U21327" s="9"/>
      <c r="X21327" s="9"/>
    </row>
    <row r="21328">
      <c r="D21328" s="9"/>
      <c r="G21328" s="9"/>
      <c r="J21328" s="11"/>
      <c r="U21328" s="9"/>
      <c r="X21328" s="9"/>
    </row>
    <row r="21329">
      <c r="D21329" s="9"/>
      <c r="G21329" s="9"/>
      <c r="J21329" s="11"/>
      <c r="U21329" s="9"/>
      <c r="X21329" s="9"/>
    </row>
    <row r="21330">
      <c r="D21330" s="9"/>
      <c r="G21330" s="9"/>
      <c r="J21330" s="11"/>
      <c r="U21330" s="9"/>
      <c r="X21330" s="9"/>
    </row>
    <row r="21331">
      <c r="D21331" s="9"/>
      <c r="G21331" s="9"/>
      <c r="J21331" s="11"/>
      <c r="U21331" s="9"/>
      <c r="X21331" s="9"/>
    </row>
    <row r="21332">
      <c r="D21332" s="9"/>
      <c r="G21332" s="9"/>
      <c r="J21332" s="11"/>
      <c r="U21332" s="9"/>
      <c r="X21332" s="9"/>
    </row>
    <row r="21333">
      <c r="D21333" s="9"/>
      <c r="G21333" s="9"/>
      <c r="J21333" s="11"/>
      <c r="U21333" s="9"/>
      <c r="X21333" s="9"/>
    </row>
    <row r="21334">
      <c r="D21334" s="9"/>
      <c r="G21334" s="9"/>
      <c r="J21334" s="11"/>
      <c r="U21334" s="9"/>
      <c r="X21334" s="9"/>
    </row>
    <row r="21335">
      <c r="D21335" s="9"/>
      <c r="G21335" s="9"/>
      <c r="J21335" s="11"/>
      <c r="U21335" s="9"/>
      <c r="X21335" s="9"/>
    </row>
    <row r="21336">
      <c r="D21336" s="9"/>
      <c r="G21336" s="9"/>
      <c r="J21336" s="11"/>
      <c r="U21336" s="9"/>
      <c r="X21336" s="9"/>
    </row>
    <row r="21337">
      <c r="D21337" s="9"/>
      <c r="G21337" s="9"/>
      <c r="J21337" s="11"/>
      <c r="U21337" s="9"/>
      <c r="X21337" s="9"/>
    </row>
    <row r="21338">
      <c r="D21338" s="9"/>
      <c r="G21338" s="9"/>
      <c r="J21338" s="11"/>
      <c r="U21338" s="9"/>
      <c r="X21338" s="9"/>
    </row>
    <row r="21339">
      <c r="D21339" s="9"/>
      <c r="G21339" s="9"/>
      <c r="J21339" s="11"/>
      <c r="U21339" s="9"/>
      <c r="X21339" s="9"/>
    </row>
    <row r="21340">
      <c r="D21340" s="9"/>
      <c r="G21340" s="9"/>
      <c r="J21340" s="11"/>
      <c r="U21340" s="9"/>
      <c r="X21340" s="9"/>
    </row>
    <row r="21341">
      <c r="D21341" s="9"/>
      <c r="G21341" s="9"/>
      <c r="J21341" s="11"/>
      <c r="U21341" s="9"/>
      <c r="X21341" s="9"/>
    </row>
    <row r="21342">
      <c r="D21342" s="9"/>
      <c r="G21342" s="9"/>
      <c r="J21342" s="11"/>
      <c r="U21342" s="9"/>
      <c r="X21342" s="9"/>
    </row>
    <row r="21343">
      <c r="D21343" s="9"/>
      <c r="G21343" s="9"/>
      <c r="J21343" s="11"/>
      <c r="U21343" s="9"/>
      <c r="X21343" s="9"/>
    </row>
    <row r="21344">
      <c r="D21344" s="9"/>
      <c r="G21344" s="9"/>
      <c r="J21344" s="11"/>
      <c r="U21344" s="9"/>
      <c r="X21344" s="9"/>
    </row>
    <row r="21345">
      <c r="D21345" s="9"/>
      <c r="G21345" s="9"/>
      <c r="J21345" s="11"/>
      <c r="U21345" s="9"/>
      <c r="X21345" s="9"/>
    </row>
    <row r="21346">
      <c r="D21346" s="9"/>
      <c r="G21346" s="9"/>
      <c r="J21346" s="11"/>
      <c r="U21346" s="9"/>
      <c r="X21346" s="9"/>
    </row>
    <row r="21347">
      <c r="D21347" s="9"/>
      <c r="G21347" s="9"/>
      <c r="J21347" s="11"/>
      <c r="U21347" s="9"/>
      <c r="X21347" s="9"/>
    </row>
    <row r="21348">
      <c r="D21348" s="9"/>
      <c r="G21348" s="9"/>
      <c r="J21348" s="11"/>
      <c r="U21348" s="9"/>
      <c r="X21348" s="9"/>
    </row>
    <row r="21349">
      <c r="D21349" s="9"/>
      <c r="G21349" s="9"/>
      <c r="J21349" s="11"/>
      <c r="U21349" s="9"/>
      <c r="X21349" s="9"/>
    </row>
    <row r="21350">
      <c r="D21350" s="9"/>
      <c r="G21350" s="9"/>
      <c r="J21350" s="11"/>
      <c r="U21350" s="9"/>
      <c r="X21350" s="9"/>
    </row>
    <row r="21351">
      <c r="D21351" s="9"/>
      <c r="G21351" s="9"/>
      <c r="J21351" s="11"/>
      <c r="U21351" s="9"/>
      <c r="X21351" s="9"/>
    </row>
    <row r="21352">
      <c r="D21352" s="9"/>
      <c r="G21352" s="9"/>
      <c r="J21352" s="11"/>
      <c r="U21352" s="9"/>
      <c r="X21352" s="9"/>
    </row>
    <row r="21353">
      <c r="D21353" s="9"/>
      <c r="G21353" s="9"/>
      <c r="J21353" s="11"/>
      <c r="U21353" s="9"/>
      <c r="X21353" s="9"/>
    </row>
    <row r="21354">
      <c r="D21354" s="9"/>
      <c r="G21354" s="9"/>
      <c r="J21354" s="11"/>
      <c r="U21354" s="9"/>
      <c r="X21354" s="9"/>
    </row>
    <row r="21355">
      <c r="D21355" s="9"/>
      <c r="G21355" s="9"/>
      <c r="J21355" s="11"/>
      <c r="U21355" s="9"/>
      <c r="X21355" s="9"/>
    </row>
    <row r="21356">
      <c r="D21356" s="9"/>
      <c r="G21356" s="9"/>
      <c r="J21356" s="11"/>
      <c r="U21356" s="9"/>
      <c r="X21356" s="9"/>
    </row>
    <row r="21357">
      <c r="D21357" s="9"/>
      <c r="G21357" s="9"/>
      <c r="J21357" s="11"/>
      <c r="U21357" s="9"/>
      <c r="X21357" s="9"/>
    </row>
    <row r="21358">
      <c r="D21358" s="9"/>
      <c r="G21358" s="9"/>
      <c r="J21358" s="11"/>
      <c r="U21358" s="9"/>
      <c r="X21358" s="9"/>
    </row>
    <row r="21359">
      <c r="D21359" s="9"/>
      <c r="G21359" s="9"/>
      <c r="J21359" s="11"/>
      <c r="U21359" s="9"/>
      <c r="X21359" s="9"/>
    </row>
    <row r="21360">
      <c r="D21360" s="9"/>
      <c r="G21360" s="9"/>
      <c r="J21360" s="11"/>
      <c r="U21360" s="9"/>
      <c r="X21360" s="9"/>
    </row>
    <row r="21361">
      <c r="D21361" s="9"/>
      <c r="G21361" s="9"/>
      <c r="J21361" s="11"/>
      <c r="U21361" s="9"/>
      <c r="X21361" s="9"/>
    </row>
    <row r="21362">
      <c r="D21362" s="9"/>
      <c r="G21362" s="9"/>
      <c r="J21362" s="11"/>
      <c r="U21362" s="9"/>
      <c r="X21362" s="9"/>
    </row>
    <row r="21363">
      <c r="D21363" s="9"/>
      <c r="G21363" s="9"/>
      <c r="J21363" s="11"/>
      <c r="U21363" s="9"/>
      <c r="X21363" s="9"/>
    </row>
    <row r="21364">
      <c r="D21364" s="9"/>
      <c r="G21364" s="9"/>
      <c r="J21364" s="11"/>
      <c r="U21364" s="9"/>
      <c r="X21364" s="9"/>
    </row>
    <row r="21365">
      <c r="D21365" s="9"/>
      <c r="G21365" s="9"/>
      <c r="J21365" s="11"/>
      <c r="U21365" s="9"/>
      <c r="X21365" s="9"/>
    </row>
    <row r="21366">
      <c r="D21366" s="9"/>
      <c r="G21366" s="9"/>
      <c r="J21366" s="11"/>
      <c r="U21366" s="9"/>
      <c r="X21366" s="9"/>
    </row>
    <row r="21367">
      <c r="D21367" s="9"/>
      <c r="G21367" s="9"/>
      <c r="J21367" s="11"/>
      <c r="U21367" s="9"/>
      <c r="X21367" s="9"/>
    </row>
    <row r="21368">
      <c r="D21368" s="9"/>
      <c r="G21368" s="9"/>
      <c r="J21368" s="11"/>
      <c r="U21368" s="9"/>
      <c r="X21368" s="9"/>
    </row>
    <row r="21369">
      <c r="D21369" s="9"/>
      <c r="G21369" s="9"/>
      <c r="J21369" s="11"/>
      <c r="U21369" s="9"/>
      <c r="X21369" s="9"/>
    </row>
    <row r="21370">
      <c r="D21370" s="9"/>
      <c r="G21370" s="9"/>
      <c r="J21370" s="11"/>
      <c r="U21370" s="9"/>
      <c r="X21370" s="9"/>
    </row>
    <row r="21371">
      <c r="D21371" s="9"/>
      <c r="G21371" s="9"/>
      <c r="J21371" s="11"/>
      <c r="U21371" s="9"/>
      <c r="X21371" s="9"/>
    </row>
    <row r="21372">
      <c r="D21372" s="9"/>
      <c r="G21372" s="9"/>
      <c r="J21372" s="11"/>
      <c r="U21372" s="9"/>
      <c r="X21372" s="9"/>
    </row>
    <row r="21373">
      <c r="D21373" s="9"/>
      <c r="G21373" s="9"/>
      <c r="J21373" s="11"/>
      <c r="U21373" s="9"/>
      <c r="X21373" s="9"/>
    </row>
    <row r="21374">
      <c r="D21374" s="9"/>
      <c r="G21374" s="9"/>
      <c r="J21374" s="11"/>
      <c r="U21374" s="9"/>
      <c r="X21374" s="9"/>
    </row>
    <row r="21375">
      <c r="D21375" s="9"/>
      <c r="G21375" s="9"/>
      <c r="J21375" s="11"/>
      <c r="U21375" s="9"/>
      <c r="X21375" s="9"/>
    </row>
    <row r="21376">
      <c r="D21376" s="9"/>
      <c r="G21376" s="9"/>
      <c r="J21376" s="11"/>
      <c r="U21376" s="9"/>
      <c r="X21376" s="9"/>
    </row>
    <row r="21377">
      <c r="D21377" s="9"/>
      <c r="G21377" s="9"/>
      <c r="J21377" s="11"/>
      <c r="U21377" s="9"/>
      <c r="X21377" s="9"/>
    </row>
    <row r="21378">
      <c r="D21378" s="9"/>
      <c r="G21378" s="9"/>
      <c r="J21378" s="11"/>
      <c r="U21378" s="9"/>
      <c r="X21378" s="9"/>
    </row>
    <row r="21379">
      <c r="D21379" s="9"/>
      <c r="G21379" s="9"/>
      <c r="J21379" s="11"/>
      <c r="U21379" s="9"/>
      <c r="X21379" s="9"/>
    </row>
    <row r="21380">
      <c r="D21380" s="9"/>
      <c r="G21380" s="9"/>
      <c r="J21380" s="11"/>
      <c r="U21380" s="9"/>
      <c r="X21380" s="9"/>
    </row>
    <row r="21381">
      <c r="D21381" s="9"/>
      <c r="G21381" s="9"/>
      <c r="J21381" s="11"/>
      <c r="U21381" s="9"/>
      <c r="X21381" s="9"/>
    </row>
    <row r="21382">
      <c r="D21382" s="9"/>
      <c r="G21382" s="9"/>
      <c r="J21382" s="11"/>
      <c r="U21382" s="9"/>
      <c r="X21382" s="9"/>
    </row>
    <row r="21383">
      <c r="D21383" s="9"/>
      <c r="G21383" s="9"/>
      <c r="J21383" s="11"/>
      <c r="U21383" s="9"/>
      <c r="X21383" s="9"/>
    </row>
    <row r="21384">
      <c r="D21384" s="9"/>
      <c r="G21384" s="9"/>
      <c r="J21384" s="11"/>
      <c r="U21384" s="9"/>
      <c r="X21384" s="9"/>
    </row>
    <row r="21385">
      <c r="D21385" s="9"/>
      <c r="G21385" s="9"/>
      <c r="J21385" s="11"/>
      <c r="U21385" s="9"/>
      <c r="X21385" s="9"/>
    </row>
    <row r="21386">
      <c r="D21386" s="9"/>
      <c r="G21386" s="9"/>
      <c r="J21386" s="11"/>
      <c r="U21386" s="9"/>
      <c r="X21386" s="9"/>
    </row>
    <row r="21387">
      <c r="D21387" s="9"/>
      <c r="G21387" s="9"/>
      <c r="J21387" s="11"/>
      <c r="U21387" s="9"/>
      <c r="X21387" s="9"/>
    </row>
    <row r="21388">
      <c r="D21388" s="9"/>
      <c r="G21388" s="9"/>
      <c r="J21388" s="11"/>
      <c r="U21388" s="9"/>
      <c r="X21388" s="9"/>
    </row>
    <row r="21389">
      <c r="D21389" s="9"/>
      <c r="G21389" s="9"/>
      <c r="J21389" s="11"/>
      <c r="U21389" s="9"/>
      <c r="X21389" s="9"/>
    </row>
    <row r="21390">
      <c r="D21390" s="9"/>
      <c r="G21390" s="9"/>
      <c r="J21390" s="11"/>
      <c r="U21390" s="9"/>
      <c r="X21390" s="9"/>
    </row>
    <row r="21391">
      <c r="D21391" s="9"/>
      <c r="G21391" s="9"/>
      <c r="J21391" s="11"/>
      <c r="U21391" s="9"/>
      <c r="X21391" s="9"/>
    </row>
    <row r="21392">
      <c r="D21392" s="9"/>
      <c r="G21392" s="9"/>
      <c r="J21392" s="11"/>
      <c r="U21392" s="9"/>
      <c r="X21392" s="9"/>
    </row>
    <row r="21393">
      <c r="D21393" s="9"/>
      <c r="G21393" s="9"/>
      <c r="J21393" s="11"/>
      <c r="U21393" s="9"/>
      <c r="X21393" s="9"/>
    </row>
    <row r="21394">
      <c r="D21394" s="9"/>
      <c r="G21394" s="9"/>
      <c r="J21394" s="11"/>
      <c r="U21394" s="9"/>
      <c r="X21394" s="9"/>
    </row>
    <row r="21395">
      <c r="D21395" s="9"/>
      <c r="G21395" s="9"/>
      <c r="J21395" s="11"/>
      <c r="U21395" s="9"/>
      <c r="X21395" s="9"/>
    </row>
    <row r="21396">
      <c r="D21396" s="9"/>
      <c r="G21396" s="9"/>
      <c r="J21396" s="11"/>
      <c r="U21396" s="9"/>
      <c r="X21396" s="9"/>
    </row>
    <row r="21397">
      <c r="D21397" s="9"/>
      <c r="G21397" s="9"/>
      <c r="J21397" s="11"/>
      <c r="U21397" s="9"/>
      <c r="X21397" s="9"/>
    </row>
    <row r="21398">
      <c r="D21398" s="9"/>
      <c r="G21398" s="9"/>
      <c r="J21398" s="11"/>
      <c r="U21398" s="9"/>
      <c r="X21398" s="9"/>
    </row>
    <row r="21399">
      <c r="D21399" s="9"/>
      <c r="G21399" s="9"/>
      <c r="J21399" s="11"/>
      <c r="U21399" s="9"/>
      <c r="X21399" s="9"/>
    </row>
    <row r="21400">
      <c r="D21400" s="9"/>
      <c r="G21400" s="9"/>
      <c r="J21400" s="11"/>
      <c r="U21400" s="9"/>
      <c r="X21400" s="9"/>
    </row>
    <row r="21401">
      <c r="D21401" s="9"/>
      <c r="G21401" s="9"/>
      <c r="J21401" s="11"/>
      <c r="U21401" s="9"/>
      <c r="X21401" s="9"/>
    </row>
    <row r="21402">
      <c r="D21402" s="9"/>
      <c r="G21402" s="9"/>
      <c r="J21402" s="11"/>
      <c r="U21402" s="9"/>
      <c r="X21402" s="9"/>
    </row>
    <row r="21403">
      <c r="D21403" s="9"/>
      <c r="G21403" s="9"/>
      <c r="J21403" s="11"/>
      <c r="U21403" s="9"/>
      <c r="X21403" s="9"/>
    </row>
    <row r="21404">
      <c r="D21404" s="9"/>
      <c r="G21404" s="9"/>
      <c r="J21404" s="11"/>
      <c r="U21404" s="9"/>
      <c r="X21404" s="9"/>
    </row>
    <row r="21405">
      <c r="D21405" s="9"/>
      <c r="G21405" s="9"/>
      <c r="J21405" s="11"/>
      <c r="U21405" s="9"/>
      <c r="X21405" s="9"/>
    </row>
    <row r="21406">
      <c r="D21406" s="9"/>
      <c r="G21406" s="9"/>
      <c r="J21406" s="11"/>
      <c r="U21406" s="9"/>
      <c r="X21406" s="9"/>
    </row>
    <row r="21407">
      <c r="D21407" s="9"/>
      <c r="G21407" s="9"/>
      <c r="J21407" s="11"/>
      <c r="U21407" s="9"/>
      <c r="X21407" s="9"/>
    </row>
    <row r="21408">
      <c r="D21408" s="9"/>
      <c r="G21408" s="9"/>
      <c r="J21408" s="11"/>
      <c r="U21408" s="9"/>
      <c r="X21408" s="9"/>
    </row>
    <row r="21409">
      <c r="D21409" s="9"/>
      <c r="G21409" s="9"/>
      <c r="J21409" s="11"/>
      <c r="U21409" s="9"/>
      <c r="X21409" s="9"/>
    </row>
    <row r="21410">
      <c r="D21410" s="9"/>
      <c r="G21410" s="9"/>
      <c r="J21410" s="11"/>
      <c r="U21410" s="9"/>
      <c r="X21410" s="9"/>
    </row>
    <row r="21411">
      <c r="D21411" s="9"/>
      <c r="G21411" s="9"/>
      <c r="J21411" s="11"/>
      <c r="U21411" s="9"/>
      <c r="X21411" s="9"/>
    </row>
    <row r="21412">
      <c r="D21412" s="9"/>
      <c r="G21412" s="9"/>
      <c r="J21412" s="11"/>
      <c r="U21412" s="9"/>
      <c r="X21412" s="9"/>
    </row>
    <row r="21413">
      <c r="D21413" s="9"/>
      <c r="G21413" s="9"/>
      <c r="J21413" s="11"/>
      <c r="U21413" s="9"/>
      <c r="X21413" s="9"/>
    </row>
    <row r="21414">
      <c r="D21414" s="9"/>
      <c r="G21414" s="9"/>
      <c r="J21414" s="11"/>
      <c r="U21414" s="9"/>
      <c r="X21414" s="9"/>
    </row>
    <row r="21415">
      <c r="D21415" s="9"/>
      <c r="G21415" s="9"/>
      <c r="J21415" s="11"/>
      <c r="U21415" s="9"/>
      <c r="X21415" s="9"/>
    </row>
    <row r="21416">
      <c r="D21416" s="9"/>
      <c r="G21416" s="9"/>
      <c r="J21416" s="11"/>
      <c r="U21416" s="9"/>
      <c r="X21416" s="9"/>
    </row>
    <row r="21417">
      <c r="D21417" s="9"/>
      <c r="G21417" s="9"/>
      <c r="J21417" s="11"/>
      <c r="U21417" s="9"/>
      <c r="X21417" s="9"/>
    </row>
    <row r="21418">
      <c r="D21418" s="9"/>
      <c r="G21418" s="9"/>
      <c r="J21418" s="11"/>
      <c r="U21418" s="9"/>
      <c r="X21418" s="9"/>
    </row>
    <row r="21419">
      <c r="D21419" s="9"/>
      <c r="G21419" s="9"/>
      <c r="J21419" s="11"/>
      <c r="U21419" s="9"/>
      <c r="X21419" s="9"/>
    </row>
    <row r="21420">
      <c r="D21420" s="9"/>
      <c r="G21420" s="9"/>
      <c r="J21420" s="11"/>
      <c r="U21420" s="9"/>
      <c r="X21420" s="9"/>
    </row>
    <row r="21421">
      <c r="D21421" s="9"/>
      <c r="G21421" s="9"/>
      <c r="J21421" s="11"/>
      <c r="U21421" s="9"/>
      <c r="X21421" s="9"/>
    </row>
    <row r="21422">
      <c r="D21422" s="9"/>
      <c r="G21422" s="9"/>
      <c r="J21422" s="11"/>
      <c r="U21422" s="9"/>
      <c r="X21422" s="9"/>
    </row>
    <row r="21423">
      <c r="D21423" s="9"/>
      <c r="G21423" s="9"/>
      <c r="J21423" s="11"/>
      <c r="U21423" s="9"/>
      <c r="X21423" s="9"/>
    </row>
    <row r="21424">
      <c r="D21424" s="9"/>
      <c r="G21424" s="9"/>
      <c r="J21424" s="11"/>
      <c r="U21424" s="9"/>
      <c r="X21424" s="9"/>
    </row>
    <row r="21425">
      <c r="D21425" s="9"/>
      <c r="G21425" s="9"/>
      <c r="J21425" s="11"/>
      <c r="U21425" s="9"/>
      <c r="X21425" s="9"/>
    </row>
    <row r="21426">
      <c r="D21426" s="9"/>
      <c r="G21426" s="9"/>
      <c r="J21426" s="11"/>
      <c r="U21426" s="9"/>
      <c r="X21426" s="9"/>
    </row>
    <row r="21427">
      <c r="D21427" s="9"/>
      <c r="G21427" s="9"/>
      <c r="J21427" s="11"/>
      <c r="U21427" s="9"/>
      <c r="X21427" s="9"/>
    </row>
    <row r="21428">
      <c r="D21428" s="9"/>
      <c r="G21428" s="9"/>
      <c r="J21428" s="11"/>
      <c r="U21428" s="9"/>
      <c r="X21428" s="9"/>
    </row>
    <row r="21429">
      <c r="D21429" s="9"/>
      <c r="G21429" s="9"/>
      <c r="J21429" s="11"/>
      <c r="U21429" s="9"/>
      <c r="X21429" s="9"/>
    </row>
    <row r="21430">
      <c r="D21430" s="9"/>
      <c r="G21430" s="9"/>
      <c r="J21430" s="11"/>
      <c r="U21430" s="9"/>
      <c r="X21430" s="9"/>
    </row>
    <row r="21431">
      <c r="D21431" s="9"/>
      <c r="G21431" s="9"/>
      <c r="J21431" s="11"/>
      <c r="U21431" s="9"/>
      <c r="X21431" s="9"/>
    </row>
    <row r="21432">
      <c r="D21432" s="9"/>
      <c r="G21432" s="9"/>
      <c r="J21432" s="11"/>
      <c r="U21432" s="9"/>
      <c r="X21432" s="9"/>
    </row>
    <row r="21433">
      <c r="D21433" s="9"/>
      <c r="G21433" s="9"/>
      <c r="J21433" s="11"/>
      <c r="U21433" s="9"/>
      <c r="X21433" s="9"/>
    </row>
    <row r="21434">
      <c r="D21434" s="9"/>
      <c r="G21434" s="9"/>
      <c r="J21434" s="11"/>
      <c r="U21434" s="9"/>
      <c r="X21434" s="9"/>
    </row>
    <row r="21435">
      <c r="D21435" s="9"/>
      <c r="G21435" s="9"/>
      <c r="J21435" s="11"/>
      <c r="U21435" s="9"/>
      <c r="X21435" s="9"/>
    </row>
    <row r="21436">
      <c r="D21436" s="9"/>
      <c r="G21436" s="9"/>
      <c r="J21436" s="11"/>
      <c r="U21436" s="9"/>
      <c r="X21436" s="9"/>
    </row>
    <row r="21437">
      <c r="D21437" s="9"/>
      <c r="G21437" s="9"/>
      <c r="J21437" s="11"/>
      <c r="U21437" s="9"/>
      <c r="X21437" s="9"/>
    </row>
    <row r="21438">
      <c r="D21438" s="9"/>
      <c r="G21438" s="9"/>
      <c r="J21438" s="11"/>
      <c r="U21438" s="9"/>
      <c r="X21438" s="9"/>
    </row>
    <row r="21439">
      <c r="D21439" s="9"/>
      <c r="G21439" s="9"/>
      <c r="J21439" s="11"/>
      <c r="U21439" s="9"/>
      <c r="X21439" s="9"/>
    </row>
    <row r="21440">
      <c r="D21440" s="9"/>
      <c r="G21440" s="9"/>
      <c r="J21440" s="11"/>
      <c r="U21440" s="9"/>
      <c r="X21440" s="9"/>
    </row>
    <row r="21441">
      <c r="D21441" s="9"/>
      <c r="G21441" s="9"/>
      <c r="J21441" s="11"/>
      <c r="U21441" s="9"/>
      <c r="X21441" s="9"/>
    </row>
    <row r="21442">
      <c r="D21442" s="9"/>
      <c r="G21442" s="9"/>
      <c r="J21442" s="11"/>
      <c r="U21442" s="9"/>
      <c r="X21442" s="9"/>
    </row>
    <row r="21443">
      <c r="D21443" s="9"/>
      <c r="G21443" s="9"/>
      <c r="J21443" s="11"/>
      <c r="U21443" s="9"/>
      <c r="X21443" s="9"/>
    </row>
    <row r="21444">
      <c r="D21444" s="9"/>
      <c r="G21444" s="9"/>
      <c r="J21444" s="11"/>
      <c r="U21444" s="9"/>
      <c r="X21444" s="9"/>
    </row>
    <row r="21445">
      <c r="D21445" s="9"/>
      <c r="G21445" s="9"/>
      <c r="J21445" s="11"/>
      <c r="U21445" s="9"/>
      <c r="X21445" s="9"/>
    </row>
    <row r="21446">
      <c r="D21446" s="9"/>
      <c r="G21446" s="9"/>
      <c r="J21446" s="11"/>
      <c r="U21446" s="9"/>
      <c r="X21446" s="9"/>
    </row>
    <row r="21447">
      <c r="D21447" s="9"/>
      <c r="G21447" s="9"/>
      <c r="J21447" s="11"/>
      <c r="U21447" s="9"/>
      <c r="X21447" s="9"/>
    </row>
    <row r="21448">
      <c r="D21448" s="9"/>
      <c r="G21448" s="9"/>
      <c r="J21448" s="11"/>
      <c r="U21448" s="9"/>
      <c r="X21448" s="9"/>
    </row>
    <row r="21449">
      <c r="D21449" s="9"/>
      <c r="G21449" s="9"/>
      <c r="J21449" s="11"/>
      <c r="U21449" s="9"/>
      <c r="X21449" s="9"/>
    </row>
    <row r="21450">
      <c r="D21450" s="9"/>
      <c r="G21450" s="9"/>
      <c r="J21450" s="11"/>
      <c r="U21450" s="9"/>
      <c r="X21450" s="9"/>
    </row>
    <row r="21451">
      <c r="D21451" s="9"/>
      <c r="G21451" s="9"/>
      <c r="J21451" s="11"/>
      <c r="U21451" s="9"/>
      <c r="X21451" s="9"/>
    </row>
    <row r="21452">
      <c r="D21452" s="9"/>
      <c r="G21452" s="9"/>
      <c r="J21452" s="11"/>
      <c r="U21452" s="9"/>
      <c r="X21452" s="9"/>
    </row>
    <row r="21453">
      <c r="D21453" s="9"/>
      <c r="G21453" s="9"/>
      <c r="J21453" s="11"/>
      <c r="U21453" s="9"/>
      <c r="X21453" s="9"/>
    </row>
    <row r="21454">
      <c r="D21454" s="9"/>
      <c r="G21454" s="9"/>
      <c r="J21454" s="11"/>
      <c r="U21454" s="9"/>
      <c r="X21454" s="9"/>
    </row>
    <row r="21455">
      <c r="D21455" s="9"/>
      <c r="G21455" s="9"/>
      <c r="J21455" s="11"/>
      <c r="U21455" s="9"/>
      <c r="X21455" s="9"/>
    </row>
    <row r="21456">
      <c r="D21456" s="9"/>
      <c r="G21456" s="9"/>
      <c r="J21456" s="11"/>
      <c r="U21456" s="9"/>
      <c r="X21456" s="9"/>
    </row>
    <row r="21457">
      <c r="D21457" s="9"/>
      <c r="G21457" s="9"/>
      <c r="J21457" s="11"/>
      <c r="U21457" s="9"/>
      <c r="X21457" s="9"/>
    </row>
    <row r="21458">
      <c r="D21458" s="9"/>
      <c r="G21458" s="9"/>
      <c r="J21458" s="11"/>
      <c r="U21458" s="9"/>
      <c r="X21458" s="9"/>
    </row>
    <row r="21459">
      <c r="D21459" s="9"/>
      <c r="G21459" s="9"/>
      <c r="J21459" s="11"/>
      <c r="U21459" s="9"/>
      <c r="X21459" s="9"/>
    </row>
    <row r="21460">
      <c r="D21460" s="9"/>
      <c r="G21460" s="9"/>
      <c r="J21460" s="11"/>
      <c r="U21460" s="9"/>
      <c r="X21460" s="9"/>
    </row>
    <row r="21461">
      <c r="D21461" s="9"/>
      <c r="G21461" s="9"/>
      <c r="J21461" s="11"/>
      <c r="U21461" s="9"/>
      <c r="X21461" s="9"/>
    </row>
    <row r="21462">
      <c r="D21462" s="9"/>
      <c r="G21462" s="9"/>
      <c r="J21462" s="11"/>
      <c r="U21462" s="9"/>
      <c r="X21462" s="9"/>
    </row>
    <row r="21463">
      <c r="D21463" s="9"/>
      <c r="G21463" s="9"/>
      <c r="J21463" s="11"/>
      <c r="U21463" s="9"/>
      <c r="X21463" s="9"/>
    </row>
    <row r="21464">
      <c r="D21464" s="9"/>
      <c r="G21464" s="9"/>
      <c r="J21464" s="11"/>
      <c r="U21464" s="9"/>
      <c r="X21464" s="9"/>
    </row>
    <row r="21465">
      <c r="D21465" s="9"/>
      <c r="G21465" s="9"/>
      <c r="J21465" s="11"/>
      <c r="U21465" s="9"/>
      <c r="X21465" s="9"/>
    </row>
    <row r="21466">
      <c r="D21466" s="9"/>
      <c r="G21466" s="9"/>
      <c r="J21466" s="11"/>
      <c r="U21466" s="9"/>
      <c r="X21466" s="9"/>
    </row>
    <row r="21467">
      <c r="D21467" s="9"/>
      <c r="G21467" s="9"/>
      <c r="J21467" s="11"/>
      <c r="U21467" s="9"/>
      <c r="X21467" s="9"/>
    </row>
    <row r="21468">
      <c r="D21468" s="9"/>
      <c r="G21468" s="9"/>
      <c r="J21468" s="11"/>
      <c r="U21468" s="9"/>
      <c r="X21468" s="9"/>
    </row>
    <row r="21469">
      <c r="D21469" s="9"/>
      <c r="G21469" s="9"/>
      <c r="J21469" s="11"/>
      <c r="U21469" s="9"/>
      <c r="X21469" s="9"/>
    </row>
    <row r="21470">
      <c r="D21470" s="9"/>
      <c r="G21470" s="9"/>
      <c r="J21470" s="11"/>
      <c r="U21470" s="9"/>
      <c r="X21470" s="9"/>
    </row>
    <row r="21471">
      <c r="D21471" s="9"/>
      <c r="G21471" s="9"/>
      <c r="J21471" s="11"/>
      <c r="U21471" s="9"/>
      <c r="X21471" s="9"/>
    </row>
    <row r="21472">
      <c r="D21472" s="9"/>
      <c r="G21472" s="9"/>
      <c r="J21472" s="11"/>
      <c r="U21472" s="9"/>
      <c r="X21472" s="9"/>
    </row>
    <row r="21473">
      <c r="D21473" s="9"/>
      <c r="G21473" s="9"/>
      <c r="J21473" s="11"/>
      <c r="U21473" s="9"/>
      <c r="X21473" s="9"/>
    </row>
    <row r="21474">
      <c r="D21474" s="9"/>
      <c r="G21474" s="9"/>
      <c r="J21474" s="11"/>
      <c r="U21474" s="9"/>
      <c r="X21474" s="9"/>
    </row>
    <row r="21475">
      <c r="D21475" s="9"/>
      <c r="G21475" s="9"/>
      <c r="J21475" s="11"/>
      <c r="U21475" s="9"/>
      <c r="X21475" s="9"/>
    </row>
    <row r="21476">
      <c r="D21476" s="9"/>
      <c r="G21476" s="9"/>
      <c r="J21476" s="11"/>
      <c r="U21476" s="9"/>
      <c r="X21476" s="9"/>
    </row>
    <row r="21477">
      <c r="D21477" s="9"/>
      <c r="G21477" s="9"/>
      <c r="J21477" s="11"/>
      <c r="U21477" s="9"/>
      <c r="X21477" s="9"/>
    </row>
    <row r="21478">
      <c r="D21478" s="9"/>
      <c r="G21478" s="9"/>
      <c r="J21478" s="11"/>
      <c r="U21478" s="9"/>
      <c r="X21478" s="9"/>
    </row>
    <row r="21479">
      <c r="D21479" s="9"/>
      <c r="G21479" s="9"/>
      <c r="J21479" s="11"/>
      <c r="U21479" s="9"/>
      <c r="X21479" s="9"/>
    </row>
    <row r="21480">
      <c r="D21480" s="9"/>
      <c r="G21480" s="9"/>
      <c r="J21480" s="11"/>
      <c r="U21480" s="9"/>
      <c r="X21480" s="9"/>
    </row>
    <row r="21481">
      <c r="D21481" s="9"/>
      <c r="G21481" s="9"/>
      <c r="J21481" s="11"/>
      <c r="U21481" s="9"/>
      <c r="X21481" s="9"/>
    </row>
    <row r="21482">
      <c r="D21482" s="9"/>
      <c r="G21482" s="9"/>
      <c r="J21482" s="11"/>
      <c r="U21482" s="9"/>
      <c r="X21482" s="9"/>
    </row>
    <row r="21483">
      <c r="D21483" s="9"/>
      <c r="G21483" s="9"/>
      <c r="J21483" s="11"/>
      <c r="U21483" s="9"/>
      <c r="X21483" s="9"/>
    </row>
    <row r="21484">
      <c r="D21484" s="9"/>
      <c r="G21484" s="9"/>
      <c r="J21484" s="11"/>
      <c r="U21484" s="9"/>
      <c r="X21484" s="9"/>
    </row>
    <row r="21485">
      <c r="D21485" s="9"/>
      <c r="G21485" s="9"/>
      <c r="J21485" s="11"/>
      <c r="U21485" s="9"/>
      <c r="X21485" s="9"/>
    </row>
    <row r="21486">
      <c r="D21486" s="9"/>
      <c r="G21486" s="9"/>
      <c r="J21486" s="11"/>
      <c r="U21486" s="9"/>
      <c r="X21486" s="9"/>
    </row>
    <row r="21487">
      <c r="D21487" s="9"/>
      <c r="G21487" s="9"/>
      <c r="J21487" s="11"/>
      <c r="U21487" s="9"/>
      <c r="X21487" s="9"/>
    </row>
    <row r="21488">
      <c r="D21488" s="9"/>
      <c r="G21488" s="9"/>
      <c r="J21488" s="11"/>
      <c r="U21488" s="9"/>
      <c r="X21488" s="9"/>
    </row>
    <row r="21489">
      <c r="D21489" s="9"/>
      <c r="G21489" s="9"/>
      <c r="J21489" s="11"/>
      <c r="U21489" s="9"/>
      <c r="X21489" s="9"/>
    </row>
    <row r="21490">
      <c r="D21490" s="9"/>
      <c r="G21490" s="9"/>
      <c r="J21490" s="11"/>
      <c r="U21490" s="9"/>
      <c r="X21490" s="9"/>
    </row>
    <row r="21491">
      <c r="D21491" s="9"/>
      <c r="G21491" s="9"/>
      <c r="J21491" s="11"/>
      <c r="U21491" s="9"/>
      <c r="X21491" s="9"/>
    </row>
    <row r="21492">
      <c r="D21492" s="9"/>
      <c r="G21492" s="9"/>
      <c r="J21492" s="11"/>
      <c r="U21492" s="9"/>
      <c r="X21492" s="9"/>
    </row>
    <row r="21493">
      <c r="D21493" s="9"/>
      <c r="G21493" s="9"/>
      <c r="J21493" s="11"/>
      <c r="U21493" s="9"/>
      <c r="X21493" s="9"/>
    </row>
    <row r="21494">
      <c r="D21494" s="9"/>
      <c r="G21494" s="9"/>
      <c r="J21494" s="11"/>
      <c r="U21494" s="9"/>
      <c r="X21494" s="9"/>
    </row>
    <row r="21495">
      <c r="D21495" s="9"/>
      <c r="G21495" s="9"/>
      <c r="J21495" s="11"/>
      <c r="U21495" s="9"/>
      <c r="X21495" s="9"/>
    </row>
    <row r="21496">
      <c r="D21496" s="9"/>
      <c r="G21496" s="9"/>
      <c r="J21496" s="11"/>
      <c r="U21496" s="9"/>
      <c r="X21496" s="9"/>
    </row>
    <row r="21497">
      <c r="D21497" s="9"/>
      <c r="G21497" s="9"/>
      <c r="J21497" s="11"/>
      <c r="U21497" s="9"/>
      <c r="X21497" s="9"/>
    </row>
    <row r="21498">
      <c r="D21498" s="9"/>
      <c r="G21498" s="9"/>
      <c r="J21498" s="11"/>
      <c r="U21498" s="9"/>
      <c r="X21498" s="9"/>
    </row>
    <row r="21499">
      <c r="D21499" s="9"/>
      <c r="G21499" s="9"/>
      <c r="J21499" s="11"/>
      <c r="U21499" s="9"/>
      <c r="X21499" s="9"/>
    </row>
    <row r="21500">
      <c r="D21500" s="9"/>
      <c r="G21500" s="9"/>
      <c r="J21500" s="11"/>
      <c r="U21500" s="9"/>
      <c r="X21500" s="9"/>
    </row>
    <row r="21501">
      <c r="D21501" s="9"/>
      <c r="G21501" s="9"/>
      <c r="J21501" s="11"/>
      <c r="U21501" s="9"/>
      <c r="X21501" s="9"/>
    </row>
    <row r="21502">
      <c r="D21502" s="9"/>
      <c r="G21502" s="9"/>
      <c r="J21502" s="11"/>
      <c r="U21502" s="9"/>
      <c r="X21502" s="9"/>
    </row>
    <row r="21503">
      <c r="D21503" s="9"/>
      <c r="G21503" s="9"/>
      <c r="J21503" s="11"/>
      <c r="U21503" s="9"/>
      <c r="X21503" s="9"/>
    </row>
    <row r="21504">
      <c r="D21504" s="9"/>
      <c r="G21504" s="9"/>
      <c r="J21504" s="11"/>
      <c r="U21504" s="9"/>
      <c r="X21504" s="9"/>
    </row>
    <row r="21505">
      <c r="D21505" s="9"/>
      <c r="G21505" s="9"/>
      <c r="J21505" s="11"/>
      <c r="U21505" s="9"/>
      <c r="X21505" s="9"/>
    </row>
    <row r="21506">
      <c r="D21506" s="9"/>
      <c r="G21506" s="9"/>
      <c r="J21506" s="11"/>
      <c r="U21506" s="9"/>
      <c r="X21506" s="9"/>
    </row>
    <row r="21507">
      <c r="D21507" s="9"/>
      <c r="G21507" s="9"/>
      <c r="J21507" s="11"/>
      <c r="U21507" s="9"/>
      <c r="X21507" s="9"/>
    </row>
    <row r="21508">
      <c r="D21508" s="9"/>
      <c r="G21508" s="9"/>
      <c r="J21508" s="11"/>
      <c r="U21508" s="9"/>
      <c r="X21508" s="9"/>
    </row>
    <row r="21509">
      <c r="D21509" s="9"/>
      <c r="G21509" s="9"/>
      <c r="J21509" s="11"/>
      <c r="U21509" s="9"/>
      <c r="X21509" s="9"/>
    </row>
    <row r="21510">
      <c r="D21510" s="9"/>
      <c r="G21510" s="9"/>
      <c r="J21510" s="11"/>
      <c r="U21510" s="9"/>
      <c r="X21510" s="9"/>
    </row>
    <row r="21511">
      <c r="D21511" s="9"/>
      <c r="G21511" s="9"/>
      <c r="J21511" s="11"/>
      <c r="U21511" s="9"/>
      <c r="X21511" s="9"/>
    </row>
    <row r="21512">
      <c r="D21512" s="9"/>
      <c r="G21512" s="9"/>
      <c r="J21512" s="11"/>
      <c r="U21512" s="9"/>
      <c r="X21512" s="9"/>
    </row>
    <row r="21513">
      <c r="D21513" s="9"/>
      <c r="G21513" s="9"/>
      <c r="J21513" s="11"/>
      <c r="U21513" s="9"/>
      <c r="X21513" s="9"/>
    </row>
    <row r="21514">
      <c r="D21514" s="9"/>
      <c r="G21514" s="9"/>
      <c r="J21514" s="11"/>
      <c r="U21514" s="9"/>
      <c r="X21514" s="9"/>
    </row>
    <row r="21515">
      <c r="D21515" s="9"/>
      <c r="G21515" s="9"/>
      <c r="J21515" s="11"/>
      <c r="U21515" s="9"/>
      <c r="X21515" s="9"/>
    </row>
    <row r="21516">
      <c r="D21516" s="9"/>
      <c r="G21516" s="9"/>
      <c r="J21516" s="11"/>
      <c r="U21516" s="9"/>
      <c r="X21516" s="9"/>
    </row>
    <row r="21517">
      <c r="D21517" s="9"/>
      <c r="G21517" s="9"/>
      <c r="J21517" s="11"/>
      <c r="U21517" s="9"/>
      <c r="X21517" s="9"/>
    </row>
    <row r="21518">
      <c r="D21518" s="9"/>
      <c r="G21518" s="9"/>
      <c r="J21518" s="11"/>
      <c r="U21518" s="9"/>
      <c r="X21518" s="9"/>
    </row>
    <row r="21519">
      <c r="D21519" s="9"/>
      <c r="G21519" s="9"/>
      <c r="J21519" s="11"/>
      <c r="U21519" s="9"/>
      <c r="X21519" s="9"/>
    </row>
    <row r="21520">
      <c r="D21520" s="9"/>
      <c r="G21520" s="9"/>
      <c r="J21520" s="11"/>
      <c r="U21520" s="9"/>
      <c r="X21520" s="9"/>
    </row>
    <row r="21521">
      <c r="D21521" s="9"/>
      <c r="G21521" s="9"/>
      <c r="J21521" s="11"/>
      <c r="U21521" s="9"/>
      <c r="X21521" s="9"/>
    </row>
    <row r="21522">
      <c r="D21522" s="9"/>
      <c r="G21522" s="9"/>
      <c r="J21522" s="11"/>
      <c r="U21522" s="9"/>
      <c r="X21522" s="9"/>
    </row>
    <row r="21523">
      <c r="D21523" s="9"/>
      <c r="G21523" s="9"/>
      <c r="J21523" s="11"/>
      <c r="U21523" s="9"/>
      <c r="X21523" s="9"/>
    </row>
    <row r="21524">
      <c r="D21524" s="9"/>
      <c r="G21524" s="9"/>
      <c r="J21524" s="11"/>
      <c r="U21524" s="9"/>
      <c r="X21524" s="9"/>
    </row>
    <row r="21525">
      <c r="D21525" s="9"/>
      <c r="G21525" s="9"/>
      <c r="J21525" s="11"/>
      <c r="U21525" s="9"/>
      <c r="X21525" s="9"/>
    </row>
    <row r="21526">
      <c r="D21526" s="9"/>
      <c r="G21526" s="9"/>
      <c r="J21526" s="11"/>
      <c r="U21526" s="9"/>
      <c r="X21526" s="9"/>
    </row>
    <row r="21527">
      <c r="D21527" s="9"/>
      <c r="G21527" s="9"/>
      <c r="J21527" s="11"/>
      <c r="U21527" s="9"/>
      <c r="X21527" s="9"/>
    </row>
    <row r="21528">
      <c r="D21528" s="9"/>
      <c r="G21528" s="9"/>
      <c r="J21528" s="11"/>
      <c r="U21528" s="9"/>
      <c r="X21528" s="9"/>
    </row>
    <row r="21529">
      <c r="D21529" s="9"/>
      <c r="G21529" s="9"/>
      <c r="J21529" s="11"/>
      <c r="U21529" s="9"/>
      <c r="X21529" s="9"/>
    </row>
    <row r="21530">
      <c r="D21530" s="9"/>
      <c r="G21530" s="9"/>
      <c r="J21530" s="11"/>
      <c r="U21530" s="9"/>
      <c r="X21530" s="9"/>
    </row>
    <row r="21531">
      <c r="D21531" s="9"/>
      <c r="G21531" s="9"/>
      <c r="J21531" s="11"/>
      <c r="U21531" s="9"/>
      <c r="X21531" s="9"/>
    </row>
    <row r="21532">
      <c r="D21532" s="9"/>
      <c r="G21532" s="9"/>
      <c r="J21532" s="11"/>
      <c r="U21532" s="9"/>
      <c r="X21532" s="9"/>
    </row>
    <row r="21533">
      <c r="D21533" s="9"/>
      <c r="G21533" s="9"/>
      <c r="J21533" s="11"/>
      <c r="U21533" s="9"/>
      <c r="X21533" s="9"/>
    </row>
    <row r="21534">
      <c r="D21534" s="9"/>
      <c r="G21534" s="9"/>
      <c r="J21534" s="11"/>
      <c r="U21534" s="9"/>
      <c r="X21534" s="9"/>
    </row>
    <row r="21535">
      <c r="D21535" s="9"/>
      <c r="G21535" s="9"/>
      <c r="J21535" s="11"/>
      <c r="U21535" s="9"/>
      <c r="X21535" s="9"/>
    </row>
    <row r="21536">
      <c r="D21536" s="9"/>
      <c r="G21536" s="9"/>
      <c r="J21536" s="11"/>
      <c r="U21536" s="9"/>
      <c r="X21536" s="9"/>
    </row>
    <row r="21537">
      <c r="D21537" s="9"/>
      <c r="G21537" s="9"/>
      <c r="J21537" s="11"/>
      <c r="U21537" s="9"/>
      <c r="X21537" s="9"/>
    </row>
    <row r="21538">
      <c r="D21538" s="9"/>
      <c r="G21538" s="9"/>
      <c r="J21538" s="11"/>
      <c r="U21538" s="9"/>
      <c r="X21538" s="9"/>
    </row>
    <row r="21539">
      <c r="D21539" s="9"/>
      <c r="G21539" s="9"/>
      <c r="J21539" s="11"/>
      <c r="U21539" s="9"/>
      <c r="X21539" s="9"/>
    </row>
    <row r="21540">
      <c r="D21540" s="9"/>
      <c r="G21540" s="9"/>
      <c r="J21540" s="11"/>
      <c r="U21540" s="9"/>
      <c r="X21540" s="9"/>
    </row>
    <row r="21541">
      <c r="D21541" s="9"/>
      <c r="G21541" s="9"/>
      <c r="J21541" s="11"/>
      <c r="U21541" s="9"/>
      <c r="X21541" s="9"/>
    </row>
    <row r="21542">
      <c r="D21542" s="9"/>
      <c r="G21542" s="9"/>
      <c r="J21542" s="11"/>
      <c r="U21542" s="9"/>
      <c r="X21542" s="9"/>
    </row>
    <row r="21543">
      <c r="D21543" s="9"/>
      <c r="G21543" s="9"/>
      <c r="J21543" s="11"/>
      <c r="U21543" s="9"/>
      <c r="X21543" s="9"/>
    </row>
    <row r="21544">
      <c r="D21544" s="9"/>
      <c r="G21544" s="9"/>
      <c r="J21544" s="11"/>
      <c r="U21544" s="9"/>
      <c r="X21544" s="9"/>
    </row>
    <row r="21545">
      <c r="D21545" s="9"/>
      <c r="G21545" s="9"/>
      <c r="J21545" s="11"/>
      <c r="U21545" s="9"/>
      <c r="X21545" s="9"/>
    </row>
    <row r="21546">
      <c r="D21546" s="9"/>
      <c r="G21546" s="9"/>
      <c r="J21546" s="11"/>
      <c r="U21546" s="9"/>
      <c r="X21546" s="9"/>
    </row>
    <row r="21547">
      <c r="D21547" s="9"/>
      <c r="G21547" s="9"/>
      <c r="J21547" s="11"/>
      <c r="U21547" s="9"/>
      <c r="X21547" s="9"/>
    </row>
    <row r="21548">
      <c r="D21548" s="9"/>
      <c r="G21548" s="9"/>
      <c r="J21548" s="11"/>
      <c r="U21548" s="9"/>
      <c r="X21548" s="9"/>
    </row>
    <row r="21549">
      <c r="D21549" s="9"/>
      <c r="G21549" s="9"/>
      <c r="J21549" s="11"/>
      <c r="U21549" s="9"/>
      <c r="X21549" s="9"/>
    </row>
    <row r="21550">
      <c r="D21550" s="9"/>
      <c r="G21550" s="9"/>
      <c r="J21550" s="11"/>
      <c r="U21550" s="9"/>
      <c r="X21550" s="9"/>
    </row>
    <row r="21551">
      <c r="D21551" s="9"/>
      <c r="G21551" s="9"/>
      <c r="J21551" s="11"/>
      <c r="U21551" s="9"/>
      <c r="X21551" s="9"/>
    </row>
    <row r="21552">
      <c r="D21552" s="9"/>
      <c r="G21552" s="9"/>
      <c r="J21552" s="11"/>
      <c r="U21552" s="9"/>
      <c r="X21552" s="9"/>
    </row>
    <row r="21553">
      <c r="D21553" s="9"/>
      <c r="G21553" s="9"/>
      <c r="J21553" s="11"/>
      <c r="U21553" s="9"/>
      <c r="X21553" s="9"/>
    </row>
    <row r="21554">
      <c r="D21554" s="9"/>
      <c r="G21554" s="9"/>
      <c r="J21554" s="11"/>
      <c r="U21554" s="9"/>
      <c r="X21554" s="9"/>
    </row>
    <row r="21555">
      <c r="D21555" s="9"/>
      <c r="G21555" s="9"/>
      <c r="J21555" s="11"/>
      <c r="U21555" s="9"/>
      <c r="X21555" s="9"/>
    </row>
    <row r="21556">
      <c r="D21556" s="9"/>
      <c r="G21556" s="9"/>
      <c r="J21556" s="11"/>
      <c r="U21556" s="9"/>
      <c r="X21556" s="9"/>
    </row>
    <row r="21557">
      <c r="D21557" s="9"/>
      <c r="G21557" s="9"/>
      <c r="J21557" s="11"/>
      <c r="U21557" s="9"/>
      <c r="X21557" s="9"/>
    </row>
    <row r="21558">
      <c r="D21558" s="9"/>
      <c r="G21558" s="9"/>
      <c r="J21558" s="11"/>
      <c r="U21558" s="9"/>
      <c r="X21558" s="9"/>
    </row>
    <row r="21559">
      <c r="D21559" s="9"/>
      <c r="G21559" s="9"/>
      <c r="J21559" s="11"/>
      <c r="U21559" s="9"/>
      <c r="X21559" s="9"/>
    </row>
    <row r="21560">
      <c r="D21560" s="9"/>
      <c r="G21560" s="9"/>
      <c r="J21560" s="11"/>
      <c r="U21560" s="9"/>
      <c r="X21560" s="9"/>
    </row>
    <row r="21561">
      <c r="D21561" s="9"/>
      <c r="G21561" s="9"/>
      <c r="J21561" s="11"/>
      <c r="U21561" s="9"/>
      <c r="X21561" s="9"/>
    </row>
    <row r="21562">
      <c r="D21562" s="9"/>
      <c r="G21562" s="9"/>
      <c r="J21562" s="11"/>
      <c r="U21562" s="9"/>
      <c r="X21562" s="9"/>
    </row>
    <row r="21563">
      <c r="D21563" s="9"/>
      <c r="G21563" s="9"/>
      <c r="J21563" s="11"/>
      <c r="U21563" s="9"/>
      <c r="X21563" s="9"/>
    </row>
    <row r="21564">
      <c r="D21564" s="9"/>
      <c r="G21564" s="9"/>
      <c r="J21564" s="11"/>
      <c r="U21564" s="9"/>
      <c r="X21564" s="9"/>
    </row>
    <row r="21565">
      <c r="D21565" s="9"/>
      <c r="G21565" s="9"/>
      <c r="J21565" s="11"/>
      <c r="U21565" s="9"/>
      <c r="X21565" s="9"/>
    </row>
    <row r="21566">
      <c r="D21566" s="9"/>
      <c r="G21566" s="9"/>
      <c r="J21566" s="11"/>
      <c r="U21566" s="9"/>
      <c r="X21566" s="9"/>
    </row>
    <row r="21567">
      <c r="D21567" s="9"/>
      <c r="G21567" s="9"/>
      <c r="J21567" s="11"/>
      <c r="U21567" s="9"/>
      <c r="X21567" s="9"/>
    </row>
    <row r="21568">
      <c r="D21568" s="9"/>
      <c r="G21568" s="9"/>
      <c r="J21568" s="11"/>
      <c r="U21568" s="9"/>
      <c r="X21568" s="9"/>
    </row>
    <row r="21569">
      <c r="D21569" s="9"/>
      <c r="G21569" s="9"/>
      <c r="J21569" s="11"/>
      <c r="U21569" s="9"/>
      <c r="X21569" s="9"/>
    </row>
    <row r="21570">
      <c r="D21570" s="9"/>
      <c r="G21570" s="9"/>
      <c r="J21570" s="11"/>
      <c r="U21570" s="9"/>
      <c r="X21570" s="9"/>
    </row>
    <row r="21571">
      <c r="D21571" s="9"/>
      <c r="G21571" s="9"/>
      <c r="J21571" s="11"/>
      <c r="U21571" s="9"/>
      <c r="X21571" s="9"/>
    </row>
    <row r="21572">
      <c r="D21572" s="9"/>
      <c r="G21572" s="9"/>
      <c r="J21572" s="11"/>
      <c r="U21572" s="9"/>
      <c r="X21572" s="9"/>
    </row>
    <row r="21573">
      <c r="D21573" s="9"/>
      <c r="G21573" s="9"/>
      <c r="J21573" s="11"/>
      <c r="U21573" s="9"/>
      <c r="X21573" s="9"/>
    </row>
    <row r="21574">
      <c r="D21574" s="9"/>
      <c r="G21574" s="9"/>
      <c r="J21574" s="11"/>
      <c r="U21574" s="9"/>
      <c r="X21574" s="9"/>
    </row>
    <row r="21575">
      <c r="D21575" s="9"/>
      <c r="G21575" s="9"/>
      <c r="J21575" s="11"/>
      <c r="U21575" s="9"/>
      <c r="X21575" s="9"/>
    </row>
    <row r="21576">
      <c r="D21576" s="9"/>
      <c r="G21576" s="9"/>
      <c r="J21576" s="11"/>
      <c r="U21576" s="9"/>
      <c r="X21576" s="9"/>
    </row>
    <row r="21577">
      <c r="D21577" s="9"/>
      <c r="G21577" s="9"/>
      <c r="J21577" s="11"/>
      <c r="U21577" s="9"/>
      <c r="X21577" s="9"/>
    </row>
    <row r="21578">
      <c r="D21578" s="9"/>
      <c r="G21578" s="9"/>
      <c r="J21578" s="11"/>
      <c r="U21578" s="9"/>
      <c r="X21578" s="9"/>
    </row>
    <row r="21579">
      <c r="D21579" s="9"/>
      <c r="G21579" s="9"/>
      <c r="J21579" s="11"/>
      <c r="U21579" s="9"/>
      <c r="X21579" s="9"/>
    </row>
    <row r="21580">
      <c r="D21580" s="9"/>
      <c r="G21580" s="9"/>
      <c r="J21580" s="11"/>
      <c r="U21580" s="9"/>
      <c r="X21580" s="9"/>
    </row>
    <row r="21581">
      <c r="D21581" s="9"/>
      <c r="G21581" s="9"/>
      <c r="J21581" s="11"/>
      <c r="U21581" s="9"/>
      <c r="X21581" s="9"/>
    </row>
    <row r="21582">
      <c r="D21582" s="9"/>
      <c r="G21582" s="9"/>
      <c r="J21582" s="11"/>
      <c r="U21582" s="9"/>
      <c r="X21582" s="9"/>
    </row>
    <row r="21583">
      <c r="D21583" s="9"/>
      <c r="G21583" s="9"/>
      <c r="J21583" s="11"/>
      <c r="U21583" s="9"/>
      <c r="X21583" s="9"/>
    </row>
    <row r="21584">
      <c r="D21584" s="9"/>
      <c r="G21584" s="9"/>
      <c r="J21584" s="11"/>
      <c r="U21584" s="9"/>
      <c r="X21584" s="9"/>
    </row>
    <row r="21585">
      <c r="D21585" s="9"/>
      <c r="G21585" s="9"/>
      <c r="J21585" s="11"/>
      <c r="U21585" s="9"/>
      <c r="X21585" s="9"/>
    </row>
    <row r="21586">
      <c r="D21586" s="9"/>
      <c r="G21586" s="9"/>
      <c r="J21586" s="11"/>
      <c r="U21586" s="9"/>
      <c r="X21586" s="9"/>
    </row>
    <row r="21587">
      <c r="D21587" s="9"/>
      <c r="G21587" s="9"/>
      <c r="J21587" s="11"/>
      <c r="U21587" s="9"/>
      <c r="X21587" s="9"/>
    </row>
    <row r="21588">
      <c r="D21588" s="9"/>
      <c r="G21588" s="9"/>
      <c r="J21588" s="11"/>
      <c r="U21588" s="9"/>
      <c r="X21588" s="9"/>
    </row>
    <row r="21589">
      <c r="D21589" s="9"/>
      <c r="G21589" s="9"/>
      <c r="J21589" s="11"/>
      <c r="U21589" s="9"/>
      <c r="X21589" s="9"/>
    </row>
    <row r="21590">
      <c r="D21590" s="9"/>
      <c r="G21590" s="9"/>
      <c r="J21590" s="11"/>
      <c r="U21590" s="9"/>
      <c r="X21590" s="9"/>
    </row>
    <row r="21591">
      <c r="D21591" s="9"/>
      <c r="G21591" s="9"/>
      <c r="J21591" s="11"/>
      <c r="U21591" s="9"/>
      <c r="X21591" s="9"/>
    </row>
    <row r="21592">
      <c r="D21592" s="9"/>
      <c r="G21592" s="9"/>
      <c r="J21592" s="11"/>
      <c r="U21592" s="9"/>
      <c r="X21592" s="9"/>
    </row>
    <row r="21593">
      <c r="D21593" s="9"/>
      <c r="G21593" s="9"/>
      <c r="J21593" s="11"/>
      <c r="U21593" s="9"/>
      <c r="X21593" s="9"/>
    </row>
    <row r="21594">
      <c r="D21594" s="9"/>
      <c r="G21594" s="9"/>
      <c r="J21594" s="11"/>
      <c r="U21594" s="9"/>
      <c r="X21594" s="9"/>
    </row>
    <row r="21595">
      <c r="D21595" s="9"/>
      <c r="G21595" s="9"/>
      <c r="J21595" s="11"/>
      <c r="U21595" s="9"/>
      <c r="X21595" s="9"/>
    </row>
    <row r="21596">
      <c r="D21596" s="9"/>
      <c r="G21596" s="9"/>
      <c r="J21596" s="11"/>
      <c r="U21596" s="9"/>
      <c r="X21596" s="9"/>
    </row>
    <row r="21597">
      <c r="D21597" s="9"/>
      <c r="G21597" s="9"/>
      <c r="J21597" s="11"/>
      <c r="U21597" s="9"/>
      <c r="X21597" s="9"/>
    </row>
    <row r="21598">
      <c r="D21598" s="9"/>
      <c r="G21598" s="9"/>
      <c r="J21598" s="11"/>
      <c r="U21598" s="9"/>
      <c r="X21598" s="9"/>
    </row>
    <row r="21599">
      <c r="D21599" s="9"/>
      <c r="G21599" s="9"/>
      <c r="J21599" s="11"/>
      <c r="U21599" s="9"/>
      <c r="X21599" s="9"/>
    </row>
    <row r="21600">
      <c r="D21600" s="9"/>
      <c r="G21600" s="9"/>
      <c r="J21600" s="11"/>
      <c r="U21600" s="9"/>
      <c r="X21600" s="9"/>
    </row>
    <row r="21601">
      <c r="D21601" s="9"/>
      <c r="G21601" s="9"/>
      <c r="J21601" s="11"/>
      <c r="U21601" s="9"/>
      <c r="X21601" s="9"/>
    </row>
    <row r="21602">
      <c r="D21602" s="9"/>
      <c r="G21602" s="9"/>
      <c r="J21602" s="11"/>
      <c r="U21602" s="9"/>
      <c r="X21602" s="9"/>
    </row>
    <row r="21603">
      <c r="D21603" s="9"/>
      <c r="G21603" s="9"/>
      <c r="J21603" s="11"/>
      <c r="U21603" s="9"/>
      <c r="X21603" s="9"/>
    </row>
    <row r="21604">
      <c r="D21604" s="9"/>
      <c r="G21604" s="9"/>
      <c r="J21604" s="11"/>
      <c r="U21604" s="9"/>
      <c r="X21604" s="9"/>
    </row>
    <row r="21605">
      <c r="D21605" s="9"/>
      <c r="G21605" s="9"/>
      <c r="J21605" s="11"/>
      <c r="U21605" s="9"/>
      <c r="X21605" s="9"/>
    </row>
    <row r="21606">
      <c r="D21606" s="9"/>
      <c r="G21606" s="9"/>
      <c r="J21606" s="11"/>
      <c r="U21606" s="9"/>
      <c r="X21606" s="9"/>
    </row>
    <row r="21607">
      <c r="D21607" s="9"/>
      <c r="G21607" s="9"/>
      <c r="J21607" s="11"/>
      <c r="U21607" s="9"/>
      <c r="X21607" s="9"/>
    </row>
    <row r="21608">
      <c r="D21608" s="9"/>
      <c r="G21608" s="9"/>
      <c r="J21608" s="11"/>
      <c r="U21608" s="9"/>
      <c r="X21608" s="9"/>
    </row>
    <row r="21609">
      <c r="D21609" s="9"/>
      <c r="G21609" s="9"/>
      <c r="J21609" s="11"/>
      <c r="U21609" s="9"/>
      <c r="X21609" s="9"/>
    </row>
    <row r="21610">
      <c r="D21610" s="9"/>
      <c r="G21610" s="9"/>
      <c r="J21610" s="11"/>
      <c r="U21610" s="9"/>
      <c r="X21610" s="9"/>
    </row>
    <row r="21611">
      <c r="D21611" s="9"/>
      <c r="G21611" s="9"/>
      <c r="J21611" s="11"/>
      <c r="U21611" s="9"/>
      <c r="X21611" s="9"/>
    </row>
    <row r="21612">
      <c r="D21612" s="9"/>
      <c r="G21612" s="9"/>
      <c r="J21612" s="11"/>
      <c r="U21612" s="9"/>
      <c r="X21612" s="9"/>
    </row>
    <row r="21613">
      <c r="D21613" s="9"/>
      <c r="G21613" s="9"/>
      <c r="J21613" s="11"/>
      <c r="U21613" s="9"/>
      <c r="X21613" s="9"/>
    </row>
    <row r="21614">
      <c r="D21614" s="9"/>
      <c r="G21614" s="9"/>
      <c r="J21614" s="11"/>
      <c r="U21614" s="9"/>
      <c r="X21614" s="9"/>
    </row>
    <row r="21615">
      <c r="D21615" s="9"/>
      <c r="G21615" s="9"/>
      <c r="J21615" s="11"/>
      <c r="U21615" s="9"/>
      <c r="X21615" s="9"/>
    </row>
    <row r="21616">
      <c r="D21616" s="9"/>
      <c r="G21616" s="9"/>
      <c r="J21616" s="11"/>
      <c r="U21616" s="9"/>
      <c r="X21616" s="9"/>
    </row>
    <row r="21617">
      <c r="D21617" s="9"/>
      <c r="G21617" s="9"/>
      <c r="J21617" s="11"/>
      <c r="U21617" s="9"/>
      <c r="X21617" s="9"/>
    </row>
    <row r="21618">
      <c r="D21618" s="9"/>
      <c r="G21618" s="9"/>
      <c r="J21618" s="11"/>
      <c r="U21618" s="9"/>
      <c r="X21618" s="9"/>
    </row>
    <row r="21619">
      <c r="D21619" s="9"/>
      <c r="G21619" s="9"/>
      <c r="J21619" s="11"/>
      <c r="U21619" s="9"/>
      <c r="X21619" s="9"/>
    </row>
    <row r="21620">
      <c r="D21620" s="9"/>
      <c r="G21620" s="9"/>
      <c r="J21620" s="11"/>
      <c r="U21620" s="9"/>
      <c r="X21620" s="9"/>
    </row>
    <row r="21621">
      <c r="D21621" s="9"/>
      <c r="G21621" s="9"/>
      <c r="J21621" s="11"/>
      <c r="U21621" s="9"/>
      <c r="X21621" s="9"/>
    </row>
    <row r="21622">
      <c r="D21622" s="9"/>
      <c r="G21622" s="9"/>
      <c r="J21622" s="11"/>
      <c r="U21622" s="9"/>
      <c r="X21622" s="9"/>
    </row>
    <row r="21623">
      <c r="D21623" s="9"/>
      <c r="G21623" s="9"/>
      <c r="J21623" s="11"/>
      <c r="U21623" s="9"/>
      <c r="X21623" s="9"/>
    </row>
    <row r="21624">
      <c r="D21624" s="9"/>
      <c r="G21624" s="9"/>
      <c r="J21624" s="11"/>
      <c r="U21624" s="9"/>
      <c r="X21624" s="9"/>
    </row>
    <row r="21625">
      <c r="D21625" s="9"/>
      <c r="G21625" s="9"/>
      <c r="J21625" s="11"/>
      <c r="U21625" s="9"/>
      <c r="X21625" s="9"/>
    </row>
    <row r="21626">
      <c r="D21626" s="9"/>
      <c r="G21626" s="9"/>
      <c r="J21626" s="11"/>
      <c r="U21626" s="9"/>
      <c r="X21626" s="9"/>
    </row>
    <row r="21627">
      <c r="D21627" s="9"/>
      <c r="G21627" s="9"/>
      <c r="J21627" s="11"/>
      <c r="U21627" s="9"/>
      <c r="X21627" s="9"/>
    </row>
    <row r="21628">
      <c r="D21628" s="9"/>
      <c r="G21628" s="9"/>
      <c r="J21628" s="11"/>
      <c r="U21628" s="9"/>
      <c r="X21628" s="9"/>
    </row>
    <row r="21629">
      <c r="D21629" s="9"/>
      <c r="G21629" s="9"/>
      <c r="J21629" s="11"/>
      <c r="U21629" s="9"/>
      <c r="X21629" s="9"/>
    </row>
    <row r="21630">
      <c r="D21630" s="9"/>
      <c r="G21630" s="9"/>
      <c r="J21630" s="11"/>
      <c r="U21630" s="9"/>
      <c r="X21630" s="9"/>
    </row>
    <row r="21631">
      <c r="D21631" s="9"/>
      <c r="G21631" s="9"/>
      <c r="J21631" s="11"/>
      <c r="U21631" s="9"/>
      <c r="X21631" s="9"/>
    </row>
    <row r="21632">
      <c r="D21632" s="9"/>
      <c r="G21632" s="9"/>
      <c r="J21632" s="11"/>
      <c r="U21632" s="9"/>
      <c r="X21632" s="9"/>
    </row>
    <row r="21633">
      <c r="D21633" s="9"/>
      <c r="G21633" s="9"/>
      <c r="J21633" s="11"/>
      <c r="U21633" s="9"/>
      <c r="X21633" s="9"/>
    </row>
    <row r="21634">
      <c r="D21634" s="9"/>
      <c r="G21634" s="9"/>
      <c r="J21634" s="11"/>
      <c r="U21634" s="9"/>
      <c r="X21634" s="9"/>
    </row>
    <row r="21635">
      <c r="D21635" s="9"/>
      <c r="G21635" s="9"/>
      <c r="J21635" s="11"/>
      <c r="U21635" s="9"/>
      <c r="X21635" s="9"/>
    </row>
    <row r="21636">
      <c r="D21636" s="9"/>
      <c r="G21636" s="9"/>
      <c r="J21636" s="11"/>
      <c r="U21636" s="9"/>
      <c r="X21636" s="9"/>
    </row>
    <row r="21637">
      <c r="D21637" s="9"/>
      <c r="G21637" s="9"/>
      <c r="J21637" s="11"/>
      <c r="U21637" s="9"/>
      <c r="X21637" s="9"/>
    </row>
    <row r="21638">
      <c r="D21638" s="9"/>
      <c r="G21638" s="9"/>
      <c r="J21638" s="11"/>
      <c r="U21638" s="9"/>
      <c r="X21638" s="9"/>
    </row>
    <row r="21639">
      <c r="D21639" s="9"/>
      <c r="G21639" s="9"/>
      <c r="J21639" s="11"/>
      <c r="U21639" s="9"/>
      <c r="X21639" s="9"/>
    </row>
    <row r="21640">
      <c r="D21640" s="9"/>
      <c r="G21640" s="9"/>
      <c r="J21640" s="11"/>
      <c r="U21640" s="9"/>
      <c r="X21640" s="9"/>
    </row>
    <row r="21641">
      <c r="D21641" s="9"/>
      <c r="G21641" s="9"/>
      <c r="J21641" s="11"/>
      <c r="U21641" s="9"/>
      <c r="X21641" s="9"/>
    </row>
    <row r="21642">
      <c r="D21642" s="9"/>
      <c r="G21642" s="9"/>
      <c r="J21642" s="11"/>
      <c r="U21642" s="9"/>
      <c r="X21642" s="9"/>
    </row>
    <row r="21643">
      <c r="D21643" s="9"/>
      <c r="G21643" s="9"/>
      <c r="J21643" s="11"/>
      <c r="U21643" s="9"/>
      <c r="X21643" s="9"/>
    </row>
    <row r="21644">
      <c r="D21644" s="9"/>
      <c r="G21644" s="9"/>
      <c r="J21644" s="11"/>
      <c r="U21644" s="9"/>
      <c r="X21644" s="9"/>
    </row>
    <row r="21645">
      <c r="D21645" s="9"/>
      <c r="G21645" s="9"/>
      <c r="J21645" s="11"/>
      <c r="U21645" s="9"/>
      <c r="X21645" s="9"/>
    </row>
    <row r="21646">
      <c r="D21646" s="9"/>
      <c r="G21646" s="9"/>
      <c r="J21646" s="11"/>
      <c r="U21646" s="9"/>
      <c r="X21646" s="9"/>
    </row>
    <row r="21647">
      <c r="D21647" s="9"/>
      <c r="G21647" s="9"/>
      <c r="J21647" s="11"/>
      <c r="U21647" s="9"/>
      <c r="X21647" s="9"/>
    </row>
    <row r="21648">
      <c r="D21648" s="9"/>
      <c r="G21648" s="9"/>
      <c r="J21648" s="11"/>
      <c r="U21648" s="9"/>
      <c r="X21648" s="9"/>
    </row>
    <row r="21649">
      <c r="D21649" s="9"/>
      <c r="G21649" s="9"/>
      <c r="J21649" s="11"/>
      <c r="U21649" s="9"/>
      <c r="X21649" s="9"/>
    </row>
    <row r="21650">
      <c r="D21650" s="9"/>
      <c r="G21650" s="9"/>
      <c r="J21650" s="11"/>
      <c r="U21650" s="9"/>
      <c r="X21650" s="9"/>
    </row>
    <row r="21651">
      <c r="D21651" s="9"/>
      <c r="G21651" s="9"/>
      <c r="J21651" s="11"/>
      <c r="U21651" s="9"/>
      <c r="X21651" s="9"/>
    </row>
    <row r="21652">
      <c r="D21652" s="9"/>
      <c r="G21652" s="9"/>
      <c r="J21652" s="11"/>
      <c r="U21652" s="9"/>
      <c r="X21652" s="9"/>
    </row>
    <row r="21653">
      <c r="D21653" s="9"/>
      <c r="G21653" s="9"/>
      <c r="J21653" s="11"/>
      <c r="U21653" s="9"/>
      <c r="X21653" s="9"/>
    </row>
    <row r="21654">
      <c r="D21654" s="9"/>
      <c r="G21654" s="9"/>
      <c r="J21654" s="11"/>
      <c r="U21654" s="9"/>
      <c r="X21654" s="9"/>
    </row>
    <row r="21655">
      <c r="D21655" s="9"/>
      <c r="G21655" s="9"/>
      <c r="J21655" s="11"/>
      <c r="U21655" s="9"/>
      <c r="X21655" s="9"/>
    </row>
    <row r="21656">
      <c r="D21656" s="9"/>
      <c r="G21656" s="9"/>
      <c r="J21656" s="11"/>
      <c r="U21656" s="9"/>
      <c r="X21656" s="9"/>
    </row>
    <row r="21657">
      <c r="D21657" s="9"/>
      <c r="G21657" s="9"/>
      <c r="J21657" s="11"/>
      <c r="U21657" s="9"/>
      <c r="X21657" s="9"/>
    </row>
    <row r="21658">
      <c r="D21658" s="9"/>
      <c r="G21658" s="9"/>
      <c r="J21658" s="11"/>
      <c r="U21658" s="9"/>
      <c r="X21658" s="9"/>
    </row>
    <row r="21659">
      <c r="D21659" s="9"/>
      <c r="G21659" s="9"/>
      <c r="J21659" s="11"/>
      <c r="U21659" s="9"/>
      <c r="X21659" s="9"/>
    </row>
    <row r="21660">
      <c r="D21660" s="9"/>
      <c r="G21660" s="9"/>
      <c r="J21660" s="11"/>
      <c r="U21660" s="9"/>
      <c r="X21660" s="9"/>
    </row>
    <row r="21661">
      <c r="D21661" s="9"/>
      <c r="G21661" s="9"/>
      <c r="J21661" s="11"/>
      <c r="U21661" s="9"/>
      <c r="X21661" s="9"/>
    </row>
    <row r="21662">
      <c r="D21662" s="9"/>
      <c r="G21662" s="9"/>
      <c r="J21662" s="11"/>
      <c r="U21662" s="9"/>
      <c r="X21662" s="9"/>
    </row>
    <row r="21663">
      <c r="D21663" s="9"/>
      <c r="G21663" s="9"/>
      <c r="J21663" s="11"/>
      <c r="U21663" s="9"/>
      <c r="X21663" s="9"/>
    </row>
    <row r="21664">
      <c r="D21664" s="9"/>
      <c r="G21664" s="9"/>
      <c r="J21664" s="11"/>
      <c r="U21664" s="9"/>
      <c r="X21664" s="9"/>
    </row>
    <row r="21665">
      <c r="D21665" s="9"/>
      <c r="G21665" s="9"/>
      <c r="J21665" s="11"/>
      <c r="U21665" s="9"/>
      <c r="X21665" s="9"/>
    </row>
    <row r="21666">
      <c r="D21666" s="9"/>
      <c r="G21666" s="9"/>
      <c r="J21666" s="11"/>
      <c r="U21666" s="9"/>
      <c r="X21666" s="9"/>
    </row>
    <row r="21667">
      <c r="D21667" s="9"/>
      <c r="G21667" s="9"/>
      <c r="J21667" s="11"/>
      <c r="U21667" s="9"/>
      <c r="X21667" s="9"/>
    </row>
    <row r="21668">
      <c r="D21668" s="9"/>
      <c r="G21668" s="9"/>
      <c r="J21668" s="11"/>
      <c r="U21668" s="9"/>
      <c r="X21668" s="9"/>
    </row>
    <row r="21669">
      <c r="D21669" s="9"/>
      <c r="G21669" s="9"/>
      <c r="J21669" s="11"/>
      <c r="U21669" s="9"/>
      <c r="X21669" s="9"/>
    </row>
    <row r="21670">
      <c r="D21670" s="9"/>
      <c r="G21670" s="9"/>
      <c r="J21670" s="11"/>
      <c r="U21670" s="9"/>
      <c r="X21670" s="9"/>
    </row>
    <row r="21671">
      <c r="D21671" s="9"/>
      <c r="G21671" s="9"/>
      <c r="J21671" s="11"/>
      <c r="U21671" s="9"/>
      <c r="X21671" s="9"/>
    </row>
    <row r="21672">
      <c r="D21672" s="9"/>
      <c r="G21672" s="9"/>
      <c r="J21672" s="11"/>
      <c r="U21672" s="9"/>
      <c r="X21672" s="9"/>
    </row>
    <row r="21673">
      <c r="D21673" s="9"/>
      <c r="G21673" s="9"/>
      <c r="J21673" s="11"/>
      <c r="U21673" s="9"/>
      <c r="X21673" s="9"/>
    </row>
    <row r="21674">
      <c r="D21674" s="9"/>
      <c r="G21674" s="9"/>
      <c r="J21674" s="11"/>
      <c r="U21674" s="9"/>
      <c r="X21674" s="9"/>
    </row>
    <row r="21675">
      <c r="D21675" s="9"/>
      <c r="G21675" s="9"/>
      <c r="J21675" s="11"/>
      <c r="U21675" s="9"/>
      <c r="X21675" s="9"/>
    </row>
    <row r="21676">
      <c r="D21676" s="9"/>
      <c r="G21676" s="9"/>
      <c r="J21676" s="11"/>
      <c r="U21676" s="9"/>
      <c r="X21676" s="9"/>
    </row>
    <row r="21677">
      <c r="D21677" s="9"/>
      <c r="G21677" s="9"/>
      <c r="J21677" s="11"/>
      <c r="U21677" s="9"/>
      <c r="X21677" s="9"/>
    </row>
    <row r="21678">
      <c r="D21678" s="9"/>
      <c r="G21678" s="9"/>
      <c r="J21678" s="11"/>
      <c r="U21678" s="9"/>
      <c r="X21678" s="9"/>
    </row>
    <row r="21679">
      <c r="D21679" s="9"/>
      <c r="G21679" s="9"/>
      <c r="J21679" s="11"/>
      <c r="U21679" s="9"/>
      <c r="X21679" s="9"/>
    </row>
    <row r="21680">
      <c r="D21680" s="9"/>
      <c r="G21680" s="9"/>
      <c r="J21680" s="11"/>
      <c r="U21680" s="9"/>
      <c r="X21680" s="9"/>
    </row>
    <row r="21681">
      <c r="D21681" s="9"/>
      <c r="G21681" s="9"/>
      <c r="J21681" s="11"/>
      <c r="U21681" s="9"/>
      <c r="X21681" s="9"/>
    </row>
    <row r="21682">
      <c r="D21682" s="9"/>
      <c r="G21682" s="9"/>
      <c r="J21682" s="11"/>
      <c r="U21682" s="9"/>
      <c r="X21682" s="9"/>
    </row>
    <row r="21683">
      <c r="D21683" s="9"/>
      <c r="G21683" s="9"/>
      <c r="J21683" s="11"/>
      <c r="U21683" s="9"/>
      <c r="X21683" s="9"/>
    </row>
    <row r="21684">
      <c r="D21684" s="9"/>
      <c r="G21684" s="9"/>
      <c r="J21684" s="11"/>
      <c r="U21684" s="9"/>
      <c r="X21684" s="9"/>
    </row>
    <row r="21685">
      <c r="D21685" s="9"/>
      <c r="G21685" s="9"/>
      <c r="J21685" s="11"/>
      <c r="U21685" s="9"/>
      <c r="X21685" s="9"/>
    </row>
    <row r="21686">
      <c r="D21686" s="9"/>
      <c r="G21686" s="9"/>
      <c r="J21686" s="11"/>
      <c r="U21686" s="9"/>
      <c r="X21686" s="9"/>
    </row>
    <row r="21687">
      <c r="D21687" s="9"/>
      <c r="G21687" s="9"/>
      <c r="J21687" s="11"/>
      <c r="U21687" s="9"/>
      <c r="X21687" s="9"/>
    </row>
    <row r="21688">
      <c r="D21688" s="9"/>
      <c r="G21688" s="9"/>
      <c r="J21688" s="11"/>
      <c r="U21688" s="9"/>
      <c r="X21688" s="9"/>
    </row>
    <row r="21689">
      <c r="D21689" s="9"/>
      <c r="G21689" s="9"/>
      <c r="J21689" s="11"/>
      <c r="U21689" s="9"/>
      <c r="X21689" s="9"/>
    </row>
    <row r="21690">
      <c r="D21690" s="9"/>
      <c r="G21690" s="9"/>
      <c r="J21690" s="11"/>
      <c r="U21690" s="9"/>
      <c r="X21690" s="9"/>
    </row>
    <row r="21691">
      <c r="D21691" s="9"/>
      <c r="G21691" s="9"/>
      <c r="J21691" s="11"/>
      <c r="U21691" s="9"/>
      <c r="X21691" s="9"/>
    </row>
    <row r="21692">
      <c r="D21692" s="9"/>
      <c r="G21692" s="9"/>
      <c r="J21692" s="11"/>
      <c r="U21692" s="9"/>
      <c r="X21692" s="9"/>
    </row>
    <row r="21693">
      <c r="D21693" s="9"/>
      <c r="G21693" s="9"/>
      <c r="J21693" s="11"/>
      <c r="U21693" s="9"/>
      <c r="X21693" s="9"/>
    </row>
    <row r="21694">
      <c r="D21694" s="9"/>
      <c r="G21694" s="9"/>
      <c r="J21694" s="11"/>
      <c r="U21694" s="9"/>
      <c r="X21694" s="9"/>
    </row>
    <row r="21695">
      <c r="D21695" s="9"/>
      <c r="G21695" s="9"/>
      <c r="J21695" s="11"/>
      <c r="U21695" s="9"/>
      <c r="X21695" s="9"/>
    </row>
    <row r="21696">
      <c r="D21696" s="9"/>
      <c r="G21696" s="9"/>
      <c r="J21696" s="11"/>
      <c r="U21696" s="9"/>
      <c r="X21696" s="9"/>
    </row>
    <row r="21697">
      <c r="D21697" s="9"/>
      <c r="G21697" s="9"/>
      <c r="J21697" s="11"/>
      <c r="U21697" s="9"/>
      <c r="X21697" s="9"/>
    </row>
    <row r="21698">
      <c r="D21698" s="9"/>
      <c r="G21698" s="9"/>
      <c r="J21698" s="11"/>
      <c r="U21698" s="9"/>
      <c r="X21698" s="9"/>
    </row>
    <row r="21699">
      <c r="D21699" s="9"/>
      <c r="G21699" s="9"/>
      <c r="J21699" s="11"/>
      <c r="U21699" s="9"/>
      <c r="X21699" s="9"/>
    </row>
    <row r="21700">
      <c r="D21700" s="9"/>
      <c r="G21700" s="9"/>
      <c r="J21700" s="11"/>
      <c r="U21700" s="9"/>
      <c r="X21700" s="9"/>
    </row>
    <row r="21701">
      <c r="D21701" s="9"/>
      <c r="G21701" s="9"/>
      <c r="J21701" s="11"/>
      <c r="U21701" s="9"/>
      <c r="X21701" s="9"/>
    </row>
    <row r="21702">
      <c r="D21702" s="9"/>
      <c r="G21702" s="9"/>
      <c r="J21702" s="11"/>
      <c r="U21702" s="9"/>
      <c r="X21702" s="9"/>
    </row>
    <row r="21703">
      <c r="D21703" s="9"/>
      <c r="G21703" s="9"/>
      <c r="J21703" s="11"/>
      <c r="U21703" s="9"/>
      <c r="X21703" s="9"/>
    </row>
    <row r="21704">
      <c r="D21704" s="9"/>
      <c r="G21704" s="9"/>
      <c r="J21704" s="11"/>
      <c r="U21704" s="9"/>
      <c r="X21704" s="9"/>
    </row>
    <row r="21705">
      <c r="D21705" s="9"/>
      <c r="G21705" s="9"/>
      <c r="J21705" s="11"/>
      <c r="U21705" s="9"/>
      <c r="X21705" s="9"/>
    </row>
    <row r="21706">
      <c r="D21706" s="9"/>
      <c r="G21706" s="9"/>
      <c r="J21706" s="11"/>
      <c r="U21706" s="9"/>
      <c r="X21706" s="9"/>
    </row>
    <row r="21707">
      <c r="D21707" s="9"/>
      <c r="G21707" s="9"/>
      <c r="J21707" s="11"/>
      <c r="U21707" s="9"/>
      <c r="X21707" s="9"/>
    </row>
    <row r="21708">
      <c r="D21708" s="9"/>
      <c r="G21708" s="9"/>
      <c r="J21708" s="11"/>
      <c r="U21708" s="9"/>
      <c r="X21708" s="9"/>
    </row>
    <row r="21709">
      <c r="D21709" s="9"/>
      <c r="G21709" s="9"/>
      <c r="J21709" s="11"/>
      <c r="U21709" s="9"/>
      <c r="X21709" s="9"/>
    </row>
    <row r="21710">
      <c r="D21710" s="9"/>
      <c r="G21710" s="9"/>
      <c r="J21710" s="11"/>
      <c r="U21710" s="9"/>
      <c r="X21710" s="9"/>
    </row>
    <row r="21711">
      <c r="D21711" s="9"/>
      <c r="G21711" s="9"/>
      <c r="J21711" s="11"/>
      <c r="U21711" s="9"/>
      <c r="X21711" s="9"/>
    </row>
    <row r="21712">
      <c r="D21712" s="9"/>
      <c r="G21712" s="9"/>
      <c r="J21712" s="11"/>
      <c r="U21712" s="9"/>
      <c r="X21712" s="9"/>
    </row>
    <row r="21713">
      <c r="D21713" s="9"/>
      <c r="G21713" s="9"/>
      <c r="J21713" s="11"/>
      <c r="U21713" s="9"/>
      <c r="X21713" s="9"/>
    </row>
    <row r="21714">
      <c r="D21714" s="9"/>
      <c r="G21714" s="9"/>
      <c r="J21714" s="11"/>
      <c r="U21714" s="9"/>
      <c r="X21714" s="9"/>
    </row>
    <row r="21715">
      <c r="D21715" s="9"/>
      <c r="G21715" s="9"/>
      <c r="J21715" s="11"/>
      <c r="U21715" s="9"/>
      <c r="X21715" s="9"/>
    </row>
    <row r="21716">
      <c r="D21716" s="9"/>
      <c r="G21716" s="9"/>
      <c r="J21716" s="11"/>
      <c r="U21716" s="9"/>
      <c r="X21716" s="9"/>
    </row>
    <row r="21717">
      <c r="D21717" s="9"/>
      <c r="G21717" s="9"/>
      <c r="J21717" s="11"/>
      <c r="U21717" s="9"/>
      <c r="X21717" s="9"/>
    </row>
    <row r="21718">
      <c r="D21718" s="9"/>
      <c r="G21718" s="9"/>
      <c r="J21718" s="11"/>
      <c r="U21718" s="9"/>
      <c r="X21718" s="9"/>
    </row>
    <row r="21719">
      <c r="D21719" s="9"/>
      <c r="G21719" s="9"/>
      <c r="J21719" s="11"/>
      <c r="U21719" s="9"/>
      <c r="X21719" s="9"/>
    </row>
    <row r="21720">
      <c r="D21720" s="9"/>
      <c r="G21720" s="9"/>
      <c r="J21720" s="11"/>
      <c r="U21720" s="9"/>
      <c r="X21720" s="9"/>
    </row>
    <row r="21721">
      <c r="D21721" s="9"/>
      <c r="G21721" s="9"/>
      <c r="J21721" s="11"/>
      <c r="U21721" s="9"/>
      <c r="X21721" s="9"/>
    </row>
    <row r="21722">
      <c r="D21722" s="9"/>
      <c r="G21722" s="9"/>
      <c r="J21722" s="11"/>
      <c r="U21722" s="9"/>
      <c r="X21722" s="9"/>
    </row>
    <row r="21723">
      <c r="D21723" s="9"/>
      <c r="G21723" s="9"/>
      <c r="J21723" s="11"/>
      <c r="U21723" s="9"/>
      <c r="X21723" s="9"/>
    </row>
    <row r="21724">
      <c r="D21724" s="9"/>
      <c r="G21724" s="9"/>
      <c r="J21724" s="11"/>
      <c r="U21724" s="9"/>
      <c r="X21724" s="9"/>
    </row>
    <row r="21725">
      <c r="D21725" s="9"/>
      <c r="G21725" s="9"/>
      <c r="J21725" s="11"/>
      <c r="U21725" s="9"/>
      <c r="X21725" s="9"/>
    </row>
    <row r="21726">
      <c r="D21726" s="9"/>
      <c r="G21726" s="9"/>
      <c r="J21726" s="11"/>
      <c r="U21726" s="9"/>
      <c r="X21726" s="9"/>
    </row>
    <row r="21727">
      <c r="D21727" s="9"/>
      <c r="G21727" s="9"/>
      <c r="J21727" s="11"/>
      <c r="U21727" s="9"/>
      <c r="X21727" s="9"/>
    </row>
    <row r="21728">
      <c r="D21728" s="9"/>
      <c r="G21728" s="9"/>
      <c r="J21728" s="11"/>
      <c r="U21728" s="9"/>
      <c r="X21728" s="9"/>
    </row>
    <row r="21729">
      <c r="D21729" s="9"/>
      <c r="G21729" s="9"/>
      <c r="J21729" s="11"/>
      <c r="U21729" s="9"/>
      <c r="X21729" s="9"/>
    </row>
    <row r="21730">
      <c r="D21730" s="9"/>
      <c r="G21730" s="9"/>
      <c r="J21730" s="11"/>
      <c r="U21730" s="9"/>
      <c r="X21730" s="9"/>
    </row>
    <row r="21731">
      <c r="D21731" s="9"/>
      <c r="G21731" s="9"/>
      <c r="J21731" s="11"/>
      <c r="U21731" s="9"/>
      <c r="X21731" s="9"/>
    </row>
    <row r="21732">
      <c r="D21732" s="9"/>
      <c r="G21732" s="9"/>
      <c r="J21732" s="11"/>
      <c r="U21732" s="9"/>
      <c r="X21732" s="9"/>
    </row>
    <row r="21733">
      <c r="D21733" s="9"/>
      <c r="G21733" s="9"/>
      <c r="J21733" s="11"/>
      <c r="U21733" s="9"/>
      <c r="X21733" s="9"/>
    </row>
    <row r="21734">
      <c r="D21734" s="9"/>
      <c r="G21734" s="9"/>
      <c r="J21734" s="11"/>
      <c r="U21734" s="9"/>
      <c r="X21734" s="9"/>
    </row>
    <row r="21735">
      <c r="D21735" s="9"/>
      <c r="G21735" s="9"/>
      <c r="J21735" s="11"/>
      <c r="U21735" s="9"/>
      <c r="X21735" s="9"/>
    </row>
    <row r="21736">
      <c r="D21736" s="9"/>
      <c r="G21736" s="9"/>
      <c r="J21736" s="11"/>
      <c r="U21736" s="9"/>
      <c r="X21736" s="9"/>
    </row>
    <row r="21737">
      <c r="D21737" s="9"/>
      <c r="G21737" s="9"/>
      <c r="J21737" s="11"/>
      <c r="U21737" s="9"/>
      <c r="X21737" s="9"/>
    </row>
    <row r="21738">
      <c r="D21738" s="9"/>
      <c r="G21738" s="9"/>
      <c r="J21738" s="11"/>
      <c r="U21738" s="9"/>
      <c r="X21738" s="9"/>
    </row>
    <row r="21739">
      <c r="D21739" s="9"/>
      <c r="G21739" s="9"/>
      <c r="J21739" s="11"/>
      <c r="U21739" s="9"/>
      <c r="X21739" s="9"/>
    </row>
    <row r="21740">
      <c r="D21740" s="9"/>
      <c r="G21740" s="9"/>
      <c r="J21740" s="11"/>
      <c r="U21740" s="9"/>
      <c r="X21740" s="9"/>
    </row>
    <row r="21741">
      <c r="D21741" s="9"/>
      <c r="G21741" s="9"/>
      <c r="J21741" s="11"/>
      <c r="U21741" s="9"/>
      <c r="X21741" s="9"/>
    </row>
    <row r="21742">
      <c r="D21742" s="9"/>
      <c r="G21742" s="9"/>
      <c r="J21742" s="11"/>
      <c r="U21742" s="9"/>
      <c r="X21742" s="9"/>
    </row>
    <row r="21743">
      <c r="D21743" s="9"/>
      <c r="G21743" s="9"/>
      <c r="J21743" s="11"/>
      <c r="U21743" s="9"/>
      <c r="X21743" s="9"/>
    </row>
    <row r="21744">
      <c r="D21744" s="9"/>
      <c r="G21744" s="9"/>
      <c r="J21744" s="11"/>
      <c r="U21744" s="9"/>
      <c r="X21744" s="9"/>
    </row>
    <row r="21745">
      <c r="D21745" s="9"/>
      <c r="G21745" s="9"/>
      <c r="J21745" s="11"/>
      <c r="U21745" s="9"/>
      <c r="X21745" s="9"/>
    </row>
    <row r="21746">
      <c r="D21746" s="9"/>
      <c r="G21746" s="9"/>
      <c r="J21746" s="11"/>
      <c r="U21746" s="9"/>
      <c r="X21746" s="9"/>
    </row>
    <row r="21747">
      <c r="D21747" s="9"/>
      <c r="G21747" s="9"/>
      <c r="J21747" s="11"/>
      <c r="U21747" s="9"/>
      <c r="X21747" s="9"/>
    </row>
    <row r="21748">
      <c r="D21748" s="9"/>
      <c r="G21748" s="9"/>
      <c r="J21748" s="11"/>
      <c r="U21748" s="9"/>
      <c r="X21748" s="9"/>
    </row>
    <row r="21749">
      <c r="D21749" s="9"/>
      <c r="G21749" s="9"/>
      <c r="J21749" s="11"/>
      <c r="U21749" s="9"/>
      <c r="X21749" s="9"/>
    </row>
    <row r="21750">
      <c r="D21750" s="9"/>
      <c r="G21750" s="9"/>
      <c r="J21750" s="11"/>
      <c r="U21750" s="9"/>
      <c r="X21750" s="9"/>
    </row>
    <row r="21751">
      <c r="D21751" s="9"/>
      <c r="G21751" s="9"/>
      <c r="J21751" s="11"/>
      <c r="U21751" s="9"/>
      <c r="X21751" s="9"/>
    </row>
    <row r="21752">
      <c r="D21752" s="9"/>
      <c r="G21752" s="9"/>
      <c r="J21752" s="11"/>
      <c r="U21752" s="9"/>
      <c r="X21752" s="9"/>
    </row>
    <row r="21753">
      <c r="D21753" s="9"/>
      <c r="G21753" s="9"/>
      <c r="J21753" s="11"/>
      <c r="U21753" s="9"/>
      <c r="X21753" s="9"/>
    </row>
    <row r="21754">
      <c r="D21754" s="9"/>
      <c r="G21754" s="9"/>
      <c r="J21754" s="11"/>
      <c r="U21754" s="9"/>
      <c r="X21754" s="9"/>
    </row>
    <row r="21755">
      <c r="D21755" s="9"/>
      <c r="G21755" s="9"/>
      <c r="J21755" s="11"/>
      <c r="U21755" s="9"/>
      <c r="X21755" s="9"/>
    </row>
    <row r="21756">
      <c r="D21756" s="9"/>
      <c r="G21756" s="9"/>
      <c r="J21756" s="11"/>
      <c r="U21756" s="9"/>
      <c r="X21756" s="9"/>
    </row>
    <row r="21757">
      <c r="D21757" s="9"/>
      <c r="G21757" s="9"/>
      <c r="J21757" s="11"/>
      <c r="U21757" s="9"/>
      <c r="X21757" s="9"/>
    </row>
    <row r="21758">
      <c r="D21758" s="9"/>
      <c r="G21758" s="9"/>
      <c r="J21758" s="11"/>
      <c r="U21758" s="9"/>
      <c r="X21758" s="9"/>
    </row>
    <row r="21759">
      <c r="D21759" s="9"/>
      <c r="G21759" s="9"/>
      <c r="J21759" s="11"/>
      <c r="U21759" s="9"/>
      <c r="X21759" s="9"/>
    </row>
    <row r="21760">
      <c r="D21760" s="9"/>
      <c r="G21760" s="9"/>
      <c r="J21760" s="11"/>
      <c r="U21760" s="9"/>
      <c r="X21760" s="9"/>
    </row>
    <row r="21761">
      <c r="D21761" s="9"/>
      <c r="G21761" s="9"/>
      <c r="J21761" s="11"/>
      <c r="U21761" s="9"/>
      <c r="X21761" s="9"/>
    </row>
    <row r="21762">
      <c r="D21762" s="9"/>
      <c r="G21762" s="9"/>
      <c r="J21762" s="11"/>
      <c r="U21762" s="9"/>
      <c r="X21762" s="9"/>
    </row>
    <row r="21763">
      <c r="D21763" s="9"/>
      <c r="G21763" s="9"/>
      <c r="J21763" s="11"/>
      <c r="U21763" s="9"/>
      <c r="X21763" s="9"/>
    </row>
    <row r="21764">
      <c r="D21764" s="9"/>
      <c r="G21764" s="9"/>
      <c r="J21764" s="11"/>
      <c r="U21764" s="9"/>
      <c r="X21764" s="9"/>
    </row>
    <row r="21765">
      <c r="D21765" s="9"/>
      <c r="G21765" s="9"/>
      <c r="J21765" s="11"/>
      <c r="U21765" s="9"/>
      <c r="X21765" s="9"/>
    </row>
    <row r="21766">
      <c r="D21766" s="9"/>
      <c r="G21766" s="9"/>
      <c r="J21766" s="11"/>
      <c r="U21766" s="9"/>
      <c r="X21766" s="9"/>
    </row>
    <row r="21767">
      <c r="D21767" s="9"/>
      <c r="G21767" s="9"/>
      <c r="J21767" s="11"/>
      <c r="U21767" s="9"/>
      <c r="X21767" s="9"/>
    </row>
    <row r="21768">
      <c r="D21768" s="9"/>
      <c r="G21768" s="9"/>
      <c r="J21768" s="11"/>
      <c r="U21768" s="9"/>
      <c r="X21768" s="9"/>
    </row>
    <row r="21769">
      <c r="D21769" s="9"/>
      <c r="G21769" s="9"/>
      <c r="J21769" s="11"/>
      <c r="U21769" s="9"/>
      <c r="X21769" s="9"/>
    </row>
    <row r="21770">
      <c r="D21770" s="9"/>
      <c r="G21770" s="9"/>
      <c r="J21770" s="11"/>
      <c r="U21770" s="9"/>
      <c r="X21770" s="9"/>
    </row>
    <row r="21771">
      <c r="D21771" s="9"/>
      <c r="G21771" s="9"/>
      <c r="J21771" s="11"/>
      <c r="U21771" s="9"/>
      <c r="X21771" s="9"/>
    </row>
    <row r="21772">
      <c r="D21772" s="9"/>
      <c r="G21772" s="9"/>
      <c r="J21772" s="11"/>
      <c r="U21772" s="9"/>
      <c r="X21772" s="9"/>
    </row>
    <row r="21773">
      <c r="D21773" s="9"/>
      <c r="G21773" s="9"/>
      <c r="J21773" s="11"/>
      <c r="U21773" s="9"/>
      <c r="X21773" s="9"/>
    </row>
    <row r="21774">
      <c r="D21774" s="9"/>
      <c r="G21774" s="9"/>
      <c r="J21774" s="11"/>
      <c r="U21774" s="9"/>
      <c r="X21774" s="9"/>
    </row>
    <row r="21775">
      <c r="D21775" s="9"/>
      <c r="G21775" s="9"/>
      <c r="J21775" s="11"/>
      <c r="U21775" s="9"/>
      <c r="X21775" s="9"/>
    </row>
    <row r="21776">
      <c r="D21776" s="9"/>
      <c r="G21776" s="9"/>
      <c r="J21776" s="11"/>
      <c r="U21776" s="9"/>
      <c r="X21776" s="9"/>
    </row>
    <row r="21777">
      <c r="D21777" s="9"/>
      <c r="G21777" s="9"/>
      <c r="J21777" s="11"/>
      <c r="U21777" s="9"/>
      <c r="X21777" s="9"/>
    </row>
    <row r="21778">
      <c r="D21778" s="9"/>
      <c r="G21778" s="9"/>
      <c r="J21778" s="11"/>
      <c r="U21778" s="9"/>
      <c r="X21778" s="9"/>
    </row>
    <row r="21779">
      <c r="D21779" s="9"/>
      <c r="G21779" s="9"/>
      <c r="J21779" s="11"/>
      <c r="U21779" s="9"/>
      <c r="X21779" s="9"/>
    </row>
    <row r="21780">
      <c r="D21780" s="9"/>
      <c r="G21780" s="9"/>
      <c r="J21780" s="11"/>
      <c r="U21780" s="9"/>
      <c r="X21780" s="9"/>
    </row>
    <row r="21781">
      <c r="D21781" s="9"/>
      <c r="G21781" s="9"/>
      <c r="J21781" s="11"/>
      <c r="U21781" s="9"/>
      <c r="X21781" s="9"/>
    </row>
    <row r="21782">
      <c r="D21782" s="9"/>
      <c r="G21782" s="9"/>
      <c r="J21782" s="11"/>
      <c r="U21782" s="9"/>
      <c r="X21782" s="9"/>
    </row>
    <row r="21783">
      <c r="D21783" s="9"/>
      <c r="G21783" s="9"/>
      <c r="J21783" s="11"/>
      <c r="U21783" s="9"/>
      <c r="X21783" s="9"/>
    </row>
    <row r="21784">
      <c r="D21784" s="9"/>
      <c r="G21784" s="9"/>
      <c r="J21784" s="11"/>
      <c r="U21784" s="9"/>
      <c r="X21784" s="9"/>
    </row>
    <row r="21785">
      <c r="D21785" s="9"/>
      <c r="G21785" s="9"/>
      <c r="J21785" s="11"/>
      <c r="U21785" s="9"/>
      <c r="X21785" s="9"/>
    </row>
    <row r="21786">
      <c r="D21786" s="9"/>
      <c r="G21786" s="9"/>
      <c r="J21786" s="11"/>
      <c r="U21786" s="9"/>
      <c r="X21786" s="9"/>
    </row>
    <row r="21787">
      <c r="D21787" s="9"/>
      <c r="G21787" s="9"/>
      <c r="J21787" s="11"/>
      <c r="U21787" s="9"/>
      <c r="X21787" s="9"/>
    </row>
    <row r="21788">
      <c r="D21788" s="9"/>
      <c r="G21788" s="9"/>
      <c r="J21788" s="11"/>
      <c r="U21788" s="9"/>
      <c r="X21788" s="9"/>
    </row>
    <row r="21789">
      <c r="D21789" s="9"/>
      <c r="G21789" s="9"/>
      <c r="J21789" s="11"/>
      <c r="U21789" s="9"/>
      <c r="X21789" s="9"/>
    </row>
    <row r="21790">
      <c r="D21790" s="9"/>
      <c r="G21790" s="9"/>
      <c r="J21790" s="11"/>
      <c r="U21790" s="9"/>
      <c r="X21790" s="9"/>
    </row>
    <row r="21791">
      <c r="D21791" s="9"/>
      <c r="G21791" s="9"/>
      <c r="J21791" s="11"/>
      <c r="U21791" s="9"/>
      <c r="X21791" s="9"/>
    </row>
    <row r="21792">
      <c r="D21792" s="9"/>
      <c r="G21792" s="9"/>
      <c r="J21792" s="11"/>
      <c r="U21792" s="9"/>
      <c r="X21792" s="9"/>
    </row>
    <row r="21793">
      <c r="D21793" s="9"/>
      <c r="G21793" s="9"/>
      <c r="J21793" s="11"/>
      <c r="U21793" s="9"/>
      <c r="X21793" s="9"/>
    </row>
    <row r="21794">
      <c r="D21794" s="9"/>
      <c r="G21794" s="9"/>
      <c r="J21794" s="11"/>
      <c r="U21794" s="9"/>
      <c r="X21794" s="9"/>
    </row>
    <row r="21795">
      <c r="D21795" s="9"/>
      <c r="G21795" s="9"/>
      <c r="J21795" s="11"/>
      <c r="U21795" s="9"/>
      <c r="X21795" s="9"/>
    </row>
    <row r="21796">
      <c r="D21796" s="9"/>
      <c r="G21796" s="9"/>
      <c r="J21796" s="11"/>
      <c r="U21796" s="9"/>
      <c r="X21796" s="9"/>
    </row>
    <row r="21797">
      <c r="D21797" s="9"/>
      <c r="G21797" s="9"/>
      <c r="J21797" s="11"/>
      <c r="U21797" s="9"/>
      <c r="X21797" s="9"/>
    </row>
    <row r="21798">
      <c r="D21798" s="9"/>
      <c r="G21798" s="9"/>
      <c r="J21798" s="11"/>
      <c r="U21798" s="9"/>
      <c r="X21798" s="9"/>
    </row>
    <row r="21799">
      <c r="D21799" s="9"/>
      <c r="G21799" s="9"/>
      <c r="J21799" s="11"/>
      <c r="U21799" s="9"/>
      <c r="X21799" s="9"/>
    </row>
    <row r="21800">
      <c r="D21800" s="9"/>
      <c r="G21800" s="9"/>
      <c r="J21800" s="11"/>
      <c r="U21800" s="9"/>
      <c r="X21800" s="9"/>
    </row>
    <row r="21801">
      <c r="D21801" s="9"/>
      <c r="G21801" s="9"/>
      <c r="J21801" s="11"/>
      <c r="U21801" s="9"/>
      <c r="X21801" s="9"/>
    </row>
    <row r="21802">
      <c r="D21802" s="9"/>
      <c r="G21802" s="9"/>
      <c r="J21802" s="11"/>
      <c r="U21802" s="9"/>
      <c r="X21802" s="9"/>
    </row>
    <row r="21803">
      <c r="D21803" s="9"/>
      <c r="G21803" s="9"/>
      <c r="J21803" s="11"/>
      <c r="U21803" s="9"/>
      <c r="X21803" s="9"/>
    </row>
    <row r="21804">
      <c r="D21804" s="9"/>
      <c r="G21804" s="9"/>
      <c r="J21804" s="11"/>
      <c r="U21804" s="9"/>
      <c r="X21804" s="9"/>
    </row>
    <row r="21805">
      <c r="D21805" s="9"/>
      <c r="G21805" s="9"/>
      <c r="J21805" s="11"/>
      <c r="U21805" s="9"/>
      <c r="X21805" s="9"/>
    </row>
    <row r="21806">
      <c r="D21806" s="9"/>
      <c r="G21806" s="9"/>
      <c r="J21806" s="11"/>
      <c r="U21806" s="9"/>
      <c r="X21806" s="9"/>
    </row>
    <row r="21807">
      <c r="D21807" s="9"/>
      <c r="G21807" s="9"/>
      <c r="J21807" s="11"/>
      <c r="U21807" s="9"/>
      <c r="X21807" s="9"/>
    </row>
    <row r="21808">
      <c r="D21808" s="9"/>
      <c r="G21808" s="9"/>
      <c r="J21808" s="11"/>
      <c r="U21808" s="9"/>
      <c r="X21808" s="9"/>
    </row>
    <row r="21809">
      <c r="D21809" s="9"/>
      <c r="G21809" s="9"/>
      <c r="J21809" s="11"/>
      <c r="U21809" s="9"/>
      <c r="X21809" s="9"/>
    </row>
    <row r="21810">
      <c r="D21810" s="9"/>
      <c r="G21810" s="9"/>
      <c r="J21810" s="11"/>
      <c r="U21810" s="9"/>
      <c r="X21810" s="9"/>
    </row>
    <row r="21811">
      <c r="D21811" s="9"/>
      <c r="G21811" s="9"/>
      <c r="J21811" s="11"/>
      <c r="U21811" s="9"/>
      <c r="X21811" s="9"/>
    </row>
    <row r="21812">
      <c r="D21812" s="9"/>
      <c r="G21812" s="9"/>
      <c r="J21812" s="11"/>
      <c r="U21812" s="9"/>
      <c r="X21812" s="9"/>
    </row>
    <row r="21813">
      <c r="D21813" s="9"/>
      <c r="G21813" s="9"/>
      <c r="J21813" s="11"/>
      <c r="U21813" s="9"/>
      <c r="X21813" s="9"/>
    </row>
    <row r="21814">
      <c r="D21814" s="9"/>
      <c r="G21814" s="9"/>
      <c r="J21814" s="11"/>
      <c r="U21814" s="9"/>
      <c r="X21814" s="9"/>
    </row>
    <row r="21815">
      <c r="D21815" s="9"/>
      <c r="G21815" s="9"/>
      <c r="J21815" s="11"/>
      <c r="U21815" s="9"/>
      <c r="X21815" s="9"/>
    </row>
    <row r="21816">
      <c r="D21816" s="9"/>
      <c r="G21816" s="9"/>
      <c r="J21816" s="11"/>
      <c r="U21816" s="9"/>
      <c r="X21816" s="9"/>
    </row>
    <row r="21817">
      <c r="D21817" s="9"/>
      <c r="G21817" s="9"/>
      <c r="J21817" s="11"/>
      <c r="U21817" s="9"/>
      <c r="X21817" s="9"/>
    </row>
    <row r="21818">
      <c r="D21818" s="9"/>
      <c r="G21818" s="9"/>
      <c r="J21818" s="11"/>
      <c r="U21818" s="9"/>
      <c r="X21818" s="9"/>
    </row>
    <row r="21819">
      <c r="D21819" s="9"/>
      <c r="G21819" s="9"/>
      <c r="J21819" s="11"/>
      <c r="U21819" s="9"/>
      <c r="X21819" s="9"/>
    </row>
    <row r="21820">
      <c r="D21820" s="9"/>
      <c r="G21820" s="9"/>
      <c r="J21820" s="11"/>
      <c r="U21820" s="9"/>
      <c r="X21820" s="9"/>
    </row>
    <row r="21821">
      <c r="D21821" s="9"/>
      <c r="G21821" s="9"/>
      <c r="J21821" s="11"/>
      <c r="U21821" s="9"/>
      <c r="X21821" s="9"/>
    </row>
    <row r="21822">
      <c r="D21822" s="9"/>
      <c r="G21822" s="9"/>
      <c r="J21822" s="11"/>
      <c r="U21822" s="9"/>
      <c r="X21822" s="9"/>
    </row>
    <row r="21823">
      <c r="D21823" s="9"/>
      <c r="G21823" s="9"/>
      <c r="J21823" s="11"/>
      <c r="U21823" s="9"/>
      <c r="X21823" s="9"/>
    </row>
    <row r="21824">
      <c r="D21824" s="9"/>
      <c r="G21824" s="9"/>
      <c r="J21824" s="11"/>
      <c r="U21824" s="9"/>
      <c r="X21824" s="9"/>
    </row>
    <row r="21825">
      <c r="D21825" s="9"/>
      <c r="G21825" s="9"/>
      <c r="J21825" s="11"/>
      <c r="U21825" s="9"/>
      <c r="X21825" s="9"/>
    </row>
    <row r="21826">
      <c r="D21826" s="9"/>
      <c r="G21826" s="9"/>
      <c r="J21826" s="11"/>
      <c r="U21826" s="9"/>
      <c r="X21826" s="9"/>
    </row>
    <row r="21827">
      <c r="D21827" s="9"/>
      <c r="G21827" s="9"/>
      <c r="J21827" s="11"/>
      <c r="U21827" s="9"/>
      <c r="X21827" s="9"/>
    </row>
    <row r="21828">
      <c r="D21828" s="9"/>
      <c r="G21828" s="9"/>
      <c r="J21828" s="11"/>
      <c r="U21828" s="9"/>
      <c r="X21828" s="9"/>
    </row>
    <row r="21829">
      <c r="D21829" s="9"/>
      <c r="G21829" s="9"/>
      <c r="J21829" s="11"/>
      <c r="U21829" s="9"/>
      <c r="X21829" s="9"/>
    </row>
    <row r="21830">
      <c r="D21830" s="9"/>
      <c r="G21830" s="9"/>
      <c r="J21830" s="11"/>
      <c r="U21830" s="9"/>
      <c r="X21830" s="9"/>
    </row>
    <row r="21831">
      <c r="D21831" s="9"/>
      <c r="G21831" s="9"/>
      <c r="J21831" s="11"/>
      <c r="U21831" s="9"/>
      <c r="X21831" s="9"/>
    </row>
    <row r="21832">
      <c r="D21832" s="9"/>
      <c r="G21832" s="9"/>
      <c r="J21832" s="11"/>
      <c r="U21832" s="9"/>
      <c r="X21832" s="9"/>
    </row>
    <row r="21833">
      <c r="D21833" s="9"/>
      <c r="G21833" s="9"/>
      <c r="J21833" s="11"/>
      <c r="U21833" s="9"/>
      <c r="X21833" s="9"/>
    </row>
    <row r="21834">
      <c r="D21834" s="9"/>
      <c r="G21834" s="9"/>
      <c r="J21834" s="11"/>
      <c r="U21834" s="9"/>
      <c r="X21834" s="9"/>
    </row>
    <row r="21835">
      <c r="D21835" s="9"/>
      <c r="G21835" s="9"/>
      <c r="J21835" s="11"/>
      <c r="U21835" s="9"/>
      <c r="X21835" s="9"/>
    </row>
    <row r="21836">
      <c r="D21836" s="9"/>
      <c r="G21836" s="9"/>
      <c r="J21836" s="11"/>
      <c r="U21836" s="9"/>
      <c r="X21836" s="9"/>
    </row>
    <row r="21837">
      <c r="D21837" s="9"/>
      <c r="G21837" s="9"/>
      <c r="J21837" s="11"/>
      <c r="U21837" s="9"/>
      <c r="X21837" s="9"/>
    </row>
    <row r="21838">
      <c r="D21838" s="9"/>
      <c r="G21838" s="9"/>
      <c r="J21838" s="11"/>
      <c r="U21838" s="9"/>
      <c r="X21838" s="9"/>
    </row>
    <row r="21839">
      <c r="D21839" s="9"/>
      <c r="G21839" s="9"/>
      <c r="J21839" s="11"/>
      <c r="U21839" s="9"/>
      <c r="X21839" s="9"/>
    </row>
    <row r="21840">
      <c r="D21840" s="9"/>
      <c r="G21840" s="9"/>
      <c r="J21840" s="11"/>
      <c r="U21840" s="9"/>
      <c r="X21840" s="9"/>
    </row>
    <row r="21841">
      <c r="D21841" s="9"/>
      <c r="G21841" s="9"/>
      <c r="J21841" s="11"/>
      <c r="U21841" s="9"/>
      <c r="X21841" s="9"/>
    </row>
    <row r="21842">
      <c r="D21842" s="9"/>
      <c r="G21842" s="9"/>
      <c r="J21842" s="11"/>
      <c r="U21842" s="9"/>
      <c r="X21842" s="9"/>
    </row>
    <row r="21843">
      <c r="D21843" s="9"/>
      <c r="G21843" s="9"/>
      <c r="J21843" s="11"/>
      <c r="U21843" s="9"/>
      <c r="X21843" s="9"/>
    </row>
    <row r="21844">
      <c r="D21844" s="9"/>
      <c r="G21844" s="9"/>
      <c r="J21844" s="11"/>
      <c r="U21844" s="9"/>
      <c r="X21844" s="9"/>
    </row>
    <row r="21845">
      <c r="D21845" s="9"/>
      <c r="G21845" s="9"/>
      <c r="J21845" s="11"/>
      <c r="U21845" s="9"/>
      <c r="X21845" s="9"/>
    </row>
    <row r="21846">
      <c r="D21846" s="9"/>
      <c r="G21846" s="9"/>
      <c r="J21846" s="11"/>
      <c r="U21846" s="9"/>
      <c r="X21846" s="9"/>
    </row>
    <row r="21847">
      <c r="D21847" s="9"/>
      <c r="G21847" s="9"/>
      <c r="J21847" s="11"/>
      <c r="U21847" s="9"/>
      <c r="X21847" s="9"/>
    </row>
    <row r="21848">
      <c r="D21848" s="9"/>
      <c r="G21848" s="9"/>
      <c r="J21848" s="11"/>
      <c r="U21848" s="9"/>
      <c r="X21848" s="9"/>
    </row>
    <row r="21849">
      <c r="D21849" s="9"/>
      <c r="G21849" s="9"/>
      <c r="J21849" s="11"/>
      <c r="U21849" s="9"/>
      <c r="X21849" s="9"/>
    </row>
    <row r="21850">
      <c r="D21850" s="9"/>
      <c r="G21850" s="9"/>
      <c r="J21850" s="11"/>
      <c r="U21850" s="9"/>
      <c r="X21850" s="9"/>
    </row>
    <row r="21851">
      <c r="D21851" s="9"/>
      <c r="G21851" s="9"/>
      <c r="J21851" s="11"/>
      <c r="U21851" s="9"/>
      <c r="X21851" s="9"/>
    </row>
    <row r="21852">
      <c r="D21852" s="9"/>
      <c r="G21852" s="9"/>
      <c r="J21852" s="11"/>
      <c r="U21852" s="9"/>
      <c r="X21852" s="9"/>
    </row>
    <row r="21853">
      <c r="D21853" s="9"/>
      <c r="G21853" s="9"/>
      <c r="J21853" s="11"/>
      <c r="U21853" s="9"/>
      <c r="X21853" s="9"/>
    </row>
    <row r="21854">
      <c r="D21854" s="9"/>
      <c r="G21854" s="9"/>
      <c r="J21854" s="11"/>
      <c r="U21854" s="9"/>
      <c r="X21854" s="9"/>
    </row>
    <row r="21855">
      <c r="D21855" s="9"/>
      <c r="G21855" s="9"/>
      <c r="J21855" s="11"/>
      <c r="U21855" s="9"/>
      <c r="X21855" s="9"/>
    </row>
    <row r="21856">
      <c r="D21856" s="9"/>
      <c r="G21856" s="9"/>
      <c r="J21856" s="11"/>
      <c r="U21856" s="9"/>
      <c r="X21856" s="9"/>
    </row>
    <row r="21857">
      <c r="D21857" s="9"/>
      <c r="G21857" s="9"/>
      <c r="J21857" s="11"/>
      <c r="U21857" s="9"/>
      <c r="X21857" s="9"/>
    </row>
    <row r="21858">
      <c r="D21858" s="9"/>
      <c r="G21858" s="9"/>
      <c r="J21858" s="11"/>
      <c r="U21858" s="9"/>
      <c r="X21858" s="9"/>
    </row>
    <row r="21859">
      <c r="D21859" s="9"/>
      <c r="G21859" s="9"/>
      <c r="J21859" s="11"/>
      <c r="U21859" s="9"/>
      <c r="X21859" s="9"/>
    </row>
    <row r="21860">
      <c r="D21860" s="9"/>
      <c r="G21860" s="9"/>
      <c r="J21860" s="11"/>
      <c r="U21860" s="9"/>
      <c r="X21860" s="9"/>
    </row>
    <row r="21861">
      <c r="D21861" s="9"/>
      <c r="G21861" s="9"/>
      <c r="J21861" s="11"/>
      <c r="U21861" s="9"/>
      <c r="X21861" s="9"/>
    </row>
    <row r="21862">
      <c r="D21862" s="9"/>
      <c r="G21862" s="9"/>
      <c r="J21862" s="11"/>
      <c r="U21862" s="9"/>
      <c r="X21862" s="9"/>
    </row>
    <row r="21863">
      <c r="D21863" s="9"/>
      <c r="G21863" s="9"/>
      <c r="J21863" s="11"/>
      <c r="U21863" s="9"/>
      <c r="X21863" s="9"/>
    </row>
    <row r="21864">
      <c r="D21864" s="9"/>
      <c r="G21864" s="9"/>
      <c r="J21864" s="11"/>
      <c r="U21864" s="9"/>
      <c r="X21864" s="9"/>
    </row>
    <row r="21865">
      <c r="D21865" s="9"/>
      <c r="G21865" s="9"/>
      <c r="J21865" s="11"/>
      <c r="U21865" s="9"/>
      <c r="X21865" s="9"/>
    </row>
    <row r="21866">
      <c r="D21866" s="9"/>
      <c r="G21866" s="9"/>
      <c r="J21866" s="11"/>
      <c r="U21866" s="9"/>
      <c r="X21866" s="9"/>
    </row>
    <row r="21867">
      <c r="D21867" s="9"/>
      <c r="G21867" s="9"/>
      <c r="J21867" s="11"/>
      <c r="U21867" s="9"/>
      <c r="X21867" s="9"/>
    </row>
    <row r="21868">
      <c r="D21868" s="9"/>
      <c r="G21868" s="9"/>
      <c r="J21868" s="11"/>
      <c r="U21868" s="9"/>
      <c r="X21868" s="9"/>
    </row>
    <row r="21869">
      <c r="D21869" s="9"/>
      <c r="G21869" s="9"/>
      <c r="J21869" s="11"/>
      <c r="U21869" s="9"/>
      <c r="X21869" s="9"/>
    </row>
    <row r="21870">
      <c r="D21870" s="9"/>
      <c r="G21870" s="9"/>
      <c r="J21870" s="11"/>
      <c r="U21870" s="9"/>
      <c r="X21870" s="9"/>
    </row>
    <row r="21871">
      <c r="D21871" s="9"/>
      <c r="G21871" s="9"/>
      <c r="J21871" s="11"/>
      <c r="U21871" s="9"/>
      <c r="X21871" s="9"/>
    </row>
    <row r="21872">
      <c r="D21872" s="9"/>
      <c r="G21872" s="9"/>
      <c r="J21872" s="11"/>
      <c r="U21872" s="9"/>
      <c r="X21872" s="9"/>
    </row>
    <row r="21873">
      <c r="D21873" s="9"/>
      <c r="G21873" s="9"/>
      <c r="J21873" s="11"/>
      <c r="U21873" s="9"/>
      <c r="X21873" s="9"/>
    </row>
    <row r="21874">
      <c r="D21874" s="9"/>
      <c r="G21874" s="9"/>
      <c r="J21874" s="11"/>
      <c r="U21874" s="9"/>
      <c r="X21874" s="9"/>
    </row>
    <row r="21875">
      <c r="D21875" s="9"/>
      <c r="G21875" s="9"/>
      <c r="J21875" s="11"/>
      <c r="U21875" s="9"/>
      <c r="X21875" s="9"/>
    </row>
    <row r="21876">
      <c r="D21876" s="9"/>
      <c r="G21876" s="9"/>
      <c r="J21876" s="11"/>
      <c r="U21876" s="9"/>
      <c r="X21876" s="9"/>
    </row>
    <row r="21877">
      <c r="D21877" s="9"/>
      <c r="G21877" s="9"/>
      <c r="J21877" s="11"/>
      <c r="U21877" s="9"/>
      <c r="X21877" s="9"/>
    </row>
    <row r="21878">
      <c r="D21878" s="9"/>
      <c r="G21878" s="9"/>
      <c r="J21878" s="11"/>
      <c r="U21878" s="9"/>
      <c r="X21878" s="9"/>
    </row>
    <row r="21879">
      <c r="D21879" s="9"/>
      <c r="G21879" s="9"/>
      <c r="J21879" s="11"/>
      <c r="U21879" s="9"/>
      <c r="X21879" s="9"/>
    </row>
    <row r="21880">
      <c r="D21880" s="9"/>
      <c r="G21880" s="9"/>
      <c r="J21880" s="11"/>
      <c r="U21880" s="9"/>
      <c r="X21880" s="9"/>
    </row>
    <row r="21881">
      <c r="D21881" s="9"/>
      <c r="G21881" s="9"/>
      <c r="J21881" s="11"/>
      <c r="U21881" s="9"/>
      <c r="X21881" s="9"/>
    </row>
    <row r="21882">
      <c r="D21882" s="9"/>
      <c r="G21882" s="9"/>
      <c r="J21882" s="11"/>
      <c r="U21882" s="9"/>
      <c r="X21882" s="9"/>
    </row>
    <row r="21883">
      <c r="D21883" s="9"/>
      <c r="G21883" s="9"/>
      <c r="J21883" s="11"/>
      <c r="U21883" s="9"/>
      <c r="X21883" s="9"/>
    </row>
    <row r="21884">
      <c r="D21884" s="9"/>
      <c r="G21884" s="9"/>
      <c r="J21884" s="11"/>
      <c r="U21884" s="9"/>
      <c r="X21884" s="9"/>
    </row>
    <row r="21885">
      <c r="D21885" s="9"/>
      <c r="G21885" s="9"/>
      <c r="J21885" s="11"/>
      <c r="U21885" s="9"/>
      <c r="X21885" s="9"/>
    </row>
    <row r="21886">
      <c r="D21886" s="9"/>
      <c r="G21886" s="9"/>
      <c r="J21886" s="11"/>
      <c r="U21886" s="9"/>
      <c r="X21886" s="9"/>
    </row>
    <row r="21887">
      <c r="D21887" s="9"/>
      <c r="G21887" s="9"/>
      <c r="J21887" s="11"/>
      <c r="U21887" s="9"/>
      <c r="X21887" s="9"/>
    </row>
    <row r="21888">
      <c r="D21888" s="9"/>
      <c r="G21888" s="9"/>
      <c r="J21888" s="11"/>
      <c r="U21888" s="9"/>
      <c r="X21888" s="9"/>
    </row>
    <row r="21889">
      <c r="D21889" s="9"/>
      <c r="G21889" s="9"/>
      <c r="J21889" s="11"/>
      <c r="U21889" s="9"/>
      <c r="X21889" s="9"/>
    </row>
    <row r="21890">
      <c r="D21890" s="9"/>
      <c r="G21890" s="9"/>
      <c r="J21890" s="11"/>
      <c r="U21890" s="9"/>
      <c r="X21890" s="9"/>
    </row>
    <row r="21891">
      <c r="D21891" s="9"/>
      <c r="G21891" s="9"/>
      <c r="J21891" s="11"/>
      <c r="U21891" s="9"/>
      <c r="X21891" s="9"/>
    </row>
    <row r="21892">
      <c r="D21892" s="9"/>
      <c r="G21892" s="9"/>
      <c r="J21892" s="11"/>
      <c r="U21892" s="9"/>
      <c r="X21892" s="9"/>
    </row>
    <row r="21893">
      <c r="D21893" s="9"/>
      <c r="G21893" s="9"/>
      <c r="J21893" s="11"/>
      <c r="U21893" s="9"/>
      <c r="X21893" s="9"/>
    </row>
    <row r="21894">
      <c r="D21894" s="9"/>
      <c r="G21894" s="9"/>
      <c r="J21894" s="11"/>
      <c r="U21894" s="9"/>
      <c r="X21894" s="9"/>
    </row>
    <row r="21895">
      <c r="D21895" s="9"/>
      <c r="G21895" s="9"/>
      <c r="J21895" s="11"/>
      <c r="U21895" s="9"/>
      <c r="X21895" s="9"/>
    </row>
    <row r="21896">
      <c r="D21896" s="9"/>
      <c r="G21896" s="9"/>
      <c r="J21896" s="11"/>
      <c r="U21896" s="9"/>
      <c r="X21896" s="9"/>
    </row>
    <row r="21897">
      <c r="D21897" s="9"/>
      <c r="G21897" s="9"/>
      <c r="J21897" s="11"/>
      <c r="U21897" s="9"/>
      <c r="X21897" s="9"/>
    </row>
    <row r="21898">
      <c r="D21898" s="9"/>
      <c r="G21898" s="9"/>
      <c r="J21898" s="11"/>
      <c r="U21898" s="9"/>
      <c r="X21898" s="9"/>
    </row>
    <row r="21899">
      <c r="D21899" s="9"/>
      <c r="G21899" s="9"/>
      <c r="J21899" s="11"/>
      <c r="U21899" s="9"/>
      <c r="X21899" s="9"/>
    </row>
    <row r="21900">
      <c r="D21900" s="9"/>
      <c r="G21900" s="9"/>
      <c r="J21900" s="11"/>
      <c r="U21900" s="9"/>
      <c r="X21900" s="9"/>
    </row>
    <row r="21901">
      <c r="D21901" s="9"/>
      <c r="G21901" s="9"/>
      <c r="J21901" s="11"/>
      <c r="U21901" s="9"/>
      <c r="X21901" s="9"/>
    </row>
    <row r="21902">
      <c r="D21902" s="9"/>
      <c r="G21902" s="9"/>
      <c r="J21902" s="11"/>
      <c r="U21902" s="9"/>
      <c r="X21902" s="9"/>
    </row>
    <row r="21903">
      <c r="D21903" s="9"/>
      <c r="G21903" s="9"/>
      <c r="J21903" s="11"/>
      <c r="U21903" s="9"/>
      <c r="X21903" s="9"/>
    </row>
    <row r="21904">
      <c r="D21904" s="9"/>
      <c r="G21904" s="9"/>
      <c r="J21904" s="11"/>
      <c r="U21904" s="9"/>
      <c r="X21904" s="9"/>
    </row>
    <row r="21905">
      <c r="D21905" s="9"/>
      <c r="G21905" s="9"/>
      <c r="J21905" s="11"/>
      <c r="U21905" s="9"/>
      <c r="X21905" s="9"/>
    </row>
    <row r="21906">
      <c r="D21906" s="9"/>
      <c r="G21906" s="9"/>
      <c r="J21906" s="11"/>
      <c r="U21906" s="9"/>
      <c r="X21906" s="9"/>
    </row>
    <row r="21907">
      <c r="D21907" s="9"/>
      <c r="G21907" s="9"/>
      <c r="J21907" s="11"/>
      <c r="U21907" s="9"/>
      <c r="X21907" s="9"/>
    </row>
    <row r="21908">
      <c r="D21908" s="9"/>
      <c r="G21908" s="9"/>
      <c r="J21908" s="11"/>
      <c r="U21908" s="9"/>
      <c r="X21908" s="9"/>
    </row>
    <row r="21909">
      <c r="D21909" s="9"/>
      <c r="G21909" s="9"/>
      <c r="J21909" s="11"/>
      <c r="U21909" s="9"/>
      <c r="X21909" s="9"/>
    </row>
    <row r="21910">
      <c r="D21910" s="9"/>
      <c r="G21910" s="9"/>
      <c r="J21910" s="11"/>
      <c r="U21910" s="9"/>
      <c r="X21910" s="9"/>
    </row>
    <row r="21911">
      <c r="D21911" s="9"/>
      <c r="G21911" s="9"/>
      <c r="J21911" s="11"/>
      <c r="U21911" s="9"/>
      <c r="X21911" s="9"/>
    </row>
    <row r="21912">
      <c r="D21912" s="9"/>
      <c r="G21912" s="9"/>
      <c r="J21912" s="11"/>
      <c r="U21912" s="9"/>
      <c r="X21912" s="9"/>
    </row>
    <row r="21913">
      <c r="D21913" s="9"/>
      <c r="G21913" s="9"/>
      <c r="J21913" s="11"/>
      <c r="U21913" s="9"/>
      <c r="X21913" s="9"/>
    </row>
    <row r="21914">
      <c r="D21914" s="9"/>
      <c r="G21914" s="9"/>
      <c r="J21914" s="11"/>
      <c r="U21914" s="9"/>
      <c r="X21914" s="9"/>
    </row>
    <row r="21915">
      <c r="D21915" s="9"/>
      <c r="G21915" s="9"/>
      <c r="J21915" s="11"/>
      <c r="U21915" s="9"/>
      <c r="X21915" s="9"/>
    </row>
    <row r="21916">
      <c r="D21916" s="9"/>
      <c r="G21916" s="9"/>
      <c r="J21916" s="11"/>
      <c r="U21916" s="9"/>
      <c r="X21916" s="9"/>
    </row>
    <row r="21917">
      <c r="D21917" s="9"/>
      <c r="G21917" s="9"/>
      <c r="J21917" s="11"/>
      <c r="U21917" s="9"/>
      <c r="X21917" s="9"/>
    </row>
    <row r="21918">
      <c r="D21918" s="9"/>
      <c r="G21918" s="9"/>
      <c r="J21918" s="11"/>
      <c r="U21918" s="9"/>
      <c r="X21918" s="9"/>
    </row>
    <row r="21919">
      <c r="D21919" s="9"/>
      <c r="G21919" s="9"/>
      <c r="J21919" s="11"/>
      <c r="U21919" s="9"/>
      <c r="X21919" s="9"/>
    </row>
    <row r="21920">
      <c r="D21920" s="9"/>
      <c r="G21920" s="9"/>
      <c r="J21920" s="11"/>
      <c r="U21920" s="9"/>
      <c r="X21920" s="9"/>
    </row>
    <row r="21921">
      <c r="D21921" s="9"/>
      <c r="G21921" s="9"/>
      <c r="J21921" s="11"/>
      <c r="U21921" s="9"/>
      <c r="X21921" s="9"/>
    </row>
    <row r="21922">
      <c r="D21922" s="9"/>
      <c r="G21922" s="9"/>
      <c r="J21922" s="11"/>
      <c r="U21922" s="9"/>
      <c r="X21922" s="9"/>
    </row>
    <row r="21923">
      <c r="D21923" s="9"/>
      <c r="G21923" s="9"/>
      <c r="J21923" s="11"/>
      <c r="U21923" s="9"/>
      <c r="X21923" s="9"/>
    </row>
    <row r="21924">
      <c r="D21924" s="9"/>
      <c r="G21924" s="9"/>
      <c r="J21924" s="11"/>
      <c r="U21924" s="9"/>
      <c r="X21924" s="9"/>
    </row>
    <row r="21925">
      <c r="D21925" s="9"/>
      <c r="G21925" s="9"/>
      <c r="J21925" s="11"/>
      <c r="U21925" s="9"/>
      <c r="X21925" s="9"/>
    </row>
    <row r="21926">
      <c r="D21926" s="9"/>
      <c r="G21926" s="9"/>
      <c r="J21926" s="11"/>
      <c r="U21926" s="9"/>
      <c r="X21926" s="9"/>
    </row>
    <row r="21927">
      <c r="D21927" s="9"/>
      <c r="G21927" s="9"/>
      <c r="J21927" s="11"/>
      <c r="U21927" s="9"/>
      <c r="X21927" s="9"/>
    </row>
    <row r="21928">
      <c r="D21928" s="9"/>
      <c r="G21928" s="9"/>
      <c r="J21928" s="11"/>
      <c r="U21928" s="9"/>
      <c r="X21928" s="9"/>
    </row>
    <row r="21929">
      <c r="D21929" s="9"/>
      <c r="G21929" s="9"/>
      <c r="J21929" s="11"/>
      <c r="U21929" s="9"/>
      <c r="X21929" s="9"/>
    </row>
    <row r="21930">
      <c r="D21930" s="9"/>
      <c r="G21930" s="9"/>
      <c r="J21930" s="11"/>
      <c r="U21930" s="9"/>
      <c r="X21930" s="9"/>
    </row>
    <row r="21931">
      <c r="D21931" s="9"/>
      <c r="G21931" s="9"/>
      <c r="J21931" s="11"/>
      <c r="U21931" s="9"/>
      <c r="X21931" s="9"/>
    </row>
    <row r="21932">
      <c r="D21932" s="9"/>
      <c r="G21932" s="9"/>
      <c r="J21932" s="11"/>
      <c r="U21932" s="9"/>
      <c r="X21932" s="9"/>
    </row>
    <row r="21933">
      <c r="D21933" s="9"/>
      <c r="G21933" s="9"/>
      <c r="J21933" s="11"/>
      <c r="U21933" s="9"/>
      <c r="X21933" s="9"/>
    </row>
    <row r="21934">
      <c r="D21934" s="9"/>
      <c r="G21934" s="9"/>
      <c r="J21934" s="11"/>
      <c r="U21934" s="9"/>
      <c r="X21934" s="9"/>
    </row>
    <row r="21935">
      <c r="D21935" s="9"/>
      <c r="G21935" s="9"/>
      <c r="J21935" s="11"/>
      <c r="U21935" s="9"/>
      <c r="X21935" s="9"/>
    </row>
    <row r="21936">
      <c r="D21936" s="9"/>
      <c r="G21936" s="9"/>
      <c r="J21936" s="11"/>
      <c r="U21936" s="9"/>
      <c r="X21936" s="9"/>
    </row>
    <row r="21937">
      <c r="D21937" s="9"/>
      <c r="G21937" s="9"/>
      <c r="J21937" s="11"/>
      <c r="U21937" s="9"/>
      <c r="X21937" s="9"/>
    </row>
    <row r="21938">
      <c r="D21938" s="9"/>
      <c r="G21938" s="9"/>
      <c r="J21938" s="11"/>
      <c r="U21938" s="9"/>
      <c r="X21938" s="9"/>
    </row>
    <row r="21939">
      <c r="D21939" s="9"/>
      <c r="G21939" s="9"/>
      <c r="J21939" s="11"/>
      <c r="U21939" s="9"/>
      <c r="X21939" s="9"/>
    </row>
    <row r="21940">
      <c r="D21940" s="9"/>
      <c r="G21940" s="9"/>
      <c r="J21940" s="11"/>
      <c r="U21940" s="9"/>
      <c r="X21940" s="9"/>
    </row>
    <row r="21941">
      <c r="D21941" s="9"/>
      <c r="G21941" s="9"/>
      <c r="J21941" s="11"/>
      <c r="U21941" s="9"/>
      <c r="X21941" s="9"/>
    </row>
    <row r="21942">
      <c r="D21942" s="9"/>
      <c r="G21942" s="9"/>
      <c r="J21942" s="11"/>
      <c r="U21942" s="9"/>
      <c r="X21942" s="9"/>
    </row>
    <row r="21943">
      <c r="D21943" s="9"/>
      <c r="G21943" s="9"/>
      <c r="J21943" s="11"/>
      <c r="U21943" s="9"/>
      <c r="X21943" s="9"/>
    </row>
    <row r="21944">
      <c r="D21944" s="9"/>
      <c r="G21944" s="9"/>
      <c r="J21944" s="11"/>
      <c r="U21944" s="9"/>
      <c r="X21944" s="9"/>
    </row>
    <row r="21945">
      <c r="D21945" s="9"/>
      <c r="G21945" s="9"/>
      <c r="J21945" s="11"/>
      <c r="U21945" s="9"/>
      <c r="X21945" s="9"/>
    </row>
    <row r="21946">
      <c r="D21946" s="9"/>
      <c r="G21946" s="9"/>
      <c r="J21946" s="11"/>
      <c r="U21946" s="9"/>
      <c r="X21946" s="9"/>
    </row>
    <row r="21947">
      <c r="D21947" s="9"/>
      <c r="G21947" s="9"/>
      <c r="J21947" s="11"/>
      <c r="U21947" s="9"/>
      <c r="X21947" s="9"/>
    </row>
    <row r="21948">
      <c r="D21948" s="9"/>
      <c r="G21948" s="9"/>
      <c r="J21948" s="11"/>
      <c r="U21948" s="9"/>
      <c r="X21948" s="9"/>
    </row>
    <row r="21949">
      <c r="D21949" s="9"/>
      <c r="G21949" s="9"/>
      <c r="J21949" s="11"/>
      <c r="U21949" s="9"/>
      <c r="X21949" s="9"/>
    </row>
    <row r="21950">
      <c r="D21950" s="9"/>
      <c r="G21950" s="9"/>
      <c r="J21950" s="11"/>
      <c r="U21950" s="9"/>
      <c r="X21950" s="9"/>
    </row>
    <row r="21951">
      <c r="D21951" s="9"/>
      <c r="G21951" s="9"/>
      <c r="J21951" s="11"/>
      <c r="U21951" s="9"/>
      <c r="X21951" s="9"/>
    </row>
    <row r="21952">
      <c r="D21952" s="9"/>
      <c r="G21952" s="9"/>
      <c r="J21952" s="11"/>
      <c r="U21952" s="9"/>
      <c r="X21952" s="9"/>
    </row>
    <row r="21953">
      <c r="D21953" s="9"/>
      <c r="G21953" s="9"/>
      <c r="J21953" s="11"/>
      <c r="U21953" s="9"/>
      <c r="X21953" s="9"/>
    </row>
    <row r="21954">
      <c r="D21954" s="9"/>
      <c r="G21954" s="9"/>
      <c r="J21954" s="11"/>
      <c r="U21954" s="9"/>
      <c r="X21954" s="9"/>
    </row>
    <row r="21955">
      <c r="D21955" s="9"/>
      <c r="G21955" s="9"/>
      <c r="J21955" s="11"/>
      <c r="U21955" s="9"/>
      <c r="X21955" s="9"/>
    </row>
    <row r="21956">
      <c r="D21956" s="9"/>
      <c r="G21956" s="9"/>
      <c r="J21956" s="11"/>
      <c r="U21956" s="9"/>
      <c r="X21956" s="9"/>
    </row>
    <row r="21957">
      <c r="D21957" s="9"/>
      <c r="G21957" s="9"/>
      <c r="J21957" s="11"/>
      <c r="U21957" s="9"/>
      <c r="X21957" s="9"/>
    </row>
    <row r="21958">
      <c r="D21958" s="9"/>
      <c r="G21958" s="9"/>
      <c r="J21958" s="11"/>
      <c r="U21958" s="9"/>
      <c r="X21958" s="9"/>
    </row>
    <row r="21959">
      <c r="D21959" s="9"/>
      <c r="G21959" s="9"/>
      <c r="J21959" s="11"/>
      <c r="U21959" s="9"/>
      <c r="X21959" s="9"/>
    </row>
    <row r="21960">
      <c r="D21960" s="9"/>
      <c r="G21960" s="9"/>
      <c r="J21960" s="11"/>
      <c r="U21960" s="9"/>
      <c r="X21960" s="9"/>
    </row>
    <row r="21961">
      <c r="D21961" s="9"/>
      <c r="G21961" s="9"/>
      <c r="J21961" s="11"/>
      <c r="U21961" s="9"/>
      <c r="X21961" s="9"/>
    </row>
    <row r="21962">
      <c r="D21962" s="9"/>
      <c r="G21962" s="9"/>
      <c r="J21962" s="11"/>
      <c r="U21962" s="9"/>
      <c r="X21962" s="9"/>
    </row>
    <row r="21963">
      <c r="D21963" s="9"/>
      <c r="G21963" s="9"/>
      <c r="J21963" s="11"/>
      <c r="U21963" s="9"/>
      <c r="X21963" s="9"/>
    </row>
    <row r="21964">
      <c r="D21964" s="9"/>
      <c r="G21964" s="9"/>
      <c r="J21964" s="11"/>
      <c r="U21964" s="9"/>
      <c r="X21964" s="9"/>
    </row>
    <row r="21965">
      <c r="D21965" s="9"/>
      <c r="G21965" s="9"/>
      <c r="J21965" s="11"/>
      <c r="U21965" s="9"/>
      <c r="X21965" s="9"/>
    </row>
    <row r="21966">
      <c r="D21966" s="9"/>
      <c r="G21966" s="9"/>
      <c r="J21966" s="11"/>
      <c r="U21966" s="9"/>
      <c r="X21966" s="9"/>
    </row>
    <row r="21967">
      <c r="D21967" s="9"/>
      <c r="G21967" s="9"/>
      <c r="J21967" s="11"/>
      <c r="U21967" s="9"/>
      <c r="X21967" s="9"/>
    </row>
    <row r="21968">
      <c r="D21968" s="9"/>
      <c r="G21968" s="9"/>
      <c r="J21968" s="11"/>
      <c r="U21968" s="9"/>
      <c r="X21968" s="9"/>
    </row>
    <row r="21969">
      <c r="D21969" s="9"/>
      <c r="G21969" s="9"/>
      <c r="J21969" s="11"/>
      <c r="U21969" s="9"/>
      <c r="X21969" s="9"/>
    </row>
    <row r="21970">
      <c r="D21970" s="9"/>
      <c r="G21970" s="9"/>
      <c r="J21970" s="11"/>
      <c r="U21970" s="9"/>
      <c r="X21970" s="9"/>
    </row>
    <row r="21971">
      <c r="D21971" s="9"/>
      <c r="G21971" s="9"/>
      <c r="J21971" s="11"/>
      <c r="U21971" s="9"/>
      <c r="X21971" s="9"/>
    </row>
    <row r="21972">
      <c r="D21972" s="9"/>
      <c r="G21972" s="9"/>
      <c r="J21972" s="11"/>
      <c r="U21972" s="9"/>
      <c r="X21972" s="9"/>
    </row>
    <row r="21973">
      <c r="D21973" s="9"/>
      <c r="G21973" s="9"/>
      <c r="J21973" s="11"/>
      <c r="U21973" s="9"/>
      <c r="X21973" s="9"/>
    </row>
    <row r="21974">
      <c r="D21974" s="9"/>
      <c r="G21974" s="9"/>
      <c r="J21974" s="11"/>
      <c r="U21974" s="9"/>
      <c r="X21974" s="9"/>
    </row>
    <row r="21975">
      <c r="D21975" s="9"/>
      <c r="G21975" s="9"/>
      <c r="J21975" s="11"/>
      <c r="U21975" s="9"/>
      <c r="X21975" s="9"/>
    </row>
    <row r="21976">
      <c r="D21976" s="9"/>
      <c r="G21976" s="9"/>
      <c r="J21976" s="11"/>
      <c r="U21976" s="9"/>
      <c r="X21976" s="9"/>
    </row>
    <row r="21977">
      <c r="D21977" s="9"/>
      <c r="G21977" s="9"/>
      <c r="J21977" s="11"/>
      <c r="U21977" s="9"/>
      <c r="X21977" s="9"/>
    </row>
    <row r="21978">
      <c r="D21978" s="9"/>
      <c r="G21978" s="9"/>
      <c r="J21978" s="11"/>
      <c r="U21978" s="9"/>
      <c r="X21978" s="9"/>
    </row>
    <row r="21979">
      <c r="D21979" s="9"/>
      <c r="G21979" s="9"/>
      <c r="J21979" s="11"/>
      <c r="U21979" s="9"/>
      <c r="X21979" s="9"/>
    </row>
    <row r="21980">
      <c r="D21980" s="9"/>
      <c r="G21980" s="9"/>
      <c r="J21980" s="11"/>
      <c r="U21980" s="9"/>
      <c r="X21980" s="9"/>
    </row>
    <row r="21981">
      <c r="D21981" s="9"/>
      <c r="G21981" s="9"/>
      <c r="J21981" s="11"/>
      <c r="U21981" s="9"/>
      <c r="X21981" s="9"/>
    </row>
    <row r="21982">
      <c r="D21982" s="9"/>
      <c r="G21982" s="9"/>
      <c r="J21982" s="11"/>
      <c r="U21982" s="9"/>
      <c r="X21982" s="9"/>
    </row>
    <row r="21983">
      <c r="D21983" s="9"/>
      <c r="G21983" s="9"/>
      <c r="J21983" s="11"/>
      <c r="U21983" s="9"/>
      <c r="X21983" s="9"/>
    </row>
    <row r="21984">
      <c r="D21984" s="9"/>
      <c r="G21984" s="9"/>
      <c r="J21984" s="11"/>
      <c r="U21984" s="9"/>
      <c r="X21984" s="9"/>
    </row>
    <row r="21985">
      <c r="D21985" s="9"/>
      <c r="G21985" s="9"/>
      <c r="J21985" s="11"/>
      <c r="U21985" s="9"/>
      <c r="X21985" s="9"/>
    </row>
    <row r="21986">
      <c r="D21986" s="9"/>
      <c r="G21986" s="9"/>
      <c r="J21986" s="11"/>
      <c r="U21986" s="9"/>
      <c r="X21986" s="9"/>
    </row>
    <row r="21987">
      <c r="D21987" s="9"/>
      <c r="G21987" s="9"/>
      <c r="J21987" s="11"/>
      <c r="U21987" s="9"/>
      <c r="X21987" s="9"/>
    </row>
    <row r="21988">
      <c r="D21988" s="9"/>
      <c r="G21988" s="9"/>
      <c r="J21988" s="11"/>
      <c r="U21988" s="9"/>
      <c r="X21988" s="9"/>
    </row>
    <row r="21989">
      <c r="D21989" s="9"/>
      <c r="G21989" s="9"/>
      <c r="J21989" s="11"/>
      <c r="U21989" s="9"/>
      <c r="X21989" s="9"/>
    </row>
    <row r="21990">
      <c r="D21990" s="9"/>
      <c r="G21990" s="9"/>
      <c r="J21990" s="11"/>
      <c r="U21990" s="9"/>
      <c r="X21990" s="9"/>
    </row>
    <row r="21991">
      <c r="D21991" s="9"/>
      <c r="G21991" s="9"/>
      <c r="J21991" s="11"/>
      <c r="U21991" s="9"/>
      <c r="X21991" s="9"/>
    </row>
    <row r="21992">
      <c r="D21992" s="9"/>
      <c r="G21992" s="9"/>
      <c r="J21992" s="11"/>
      <c r="U21992" s="9"/>
      <c r="X21992" s="9"/>
    </row>
    <row r="21993">
      <c r="D21993" s="9"/>
      <c r="G21993" s="9"/>
      <c r="J21993" s="11"/>
      <c r="U21993" s="9"/>
      <c r="X21993" s="9"/>
    </row>
    <row r="21994">
      <c r="D21994" s="9"/>
      <c r="G21994" s="9"/>
      <c r="J21994" s="11"/>
      <c r="U21994" s="9"/>
      <c r="X21994" s="9"/>
    </row>
    <row r="21995">
      <c r="D21995" s="9"/>
      <c r="G21995" s="9"/>
      <c r="J21995" s="11"/>
      <c r="U21995" s="9"/>
      <c r="X21995" s="9"/>
    </row>
    <row r="21996">
      <c r="D21996" s="9"/>
      <c r="G21996" s="9"/>
      <c r="J21996" s="11"/>
      <c r="U21996" s="9"/>
      <c r="X21996" s="9"/>
    </row>
    <row r="21997">
      <c r="D21997" s="9"/>
      <c r="G21997" s="9"/>
      <c r="J21997" s="11"/>
      <c r="U21997" s="9"/>
      <c r="X21997" s="9"/>
    </row>
    <row r="21998">
      <c r="D21998" s="9"/>
      <c r="G21998" s="9"/>
      <c r="J21998" s="11"/>
      <c r="U21998" s="9"/>
      <c r="X21998" s="9"/>
    </row>
    <row r="21999">
      <c r="D21999" s="9"/>
      <c r="G21999" s="9"/>
      <c r="J21999" s="11"/>
      <c r="U21999" s="9"/>
      <c r="X21999" s="9"/>
    </row>
    <row r="22000">
      <c r="D22000" s="9"/>
      <c r="G22000" s="9"/>
      <c r="J22000" s="11"/>
      <c r="U22000" s="9"/>
      <c r="X22000" s="9"/>
    </row>
    <row r="22001">
      <c r="D22001" s="9"/>
      <c r="G22001" s="9"/>
      <c r="J22001" s="11"/>
      <c r="U22001" s="9"/>
      <c r="X22001" s="9"/>
    </row>
    <row r="22002">
      <c r="D22002" s="9"/>
      <c r="G22002" s="9"/>
      <c r="J22002" s="11"/>
      <c r="U22002" s="9"/>
      <c r="X22002" s="9"/>
    </row>
    <row r="22003">
      <c r="D22003" s="9"/>
      <c r="G22003" s="9"/>
      <c r="J22003" s="11"/>
      <c r="U22003" s="9"/>
      <c r="X22003" s="9"/>
    </row>
    <row r="22004">
      <c r="D22004" s="9"/>
      <c r="G22004" s="9"/>
      <c r="J22004" s="11"/>
      <c r="U22004" s="9"/>
      <c r="X22004" s="9"/>
    </row>
    <row r="22005">
      <c r="D22005" s="9"/>
      <c r="G22005" s="9"/>
      <c r="J22005" s="11"/>
      <c r="U22005" s="9"/>
      <c r="X22005" s="9"/>
    </row>
    <row r="22006">
      <c r="D22006" s="9"/>
      <c r="G22006" s="9"/>
      <c r="J22006" s="11"/>
      <c r="U22006" s="9"/>
      <c r="X22006" s="9"/>
    </row>
    <row r="22007">
      <c r="D22007" s="9"/>
      <c r="G22007" s="9"/>
      <c r="J22007" s="11"/>
      <c r="U22007" s="9"/>
      <c r="X22007" s="9"/>
    </row>
    <row r="22008">
      <c r="D22008" s="9"/>
      <c r="G22008" s="9"/>
      <c r="J22008" s="11"/>
      <c r="U22008" s="9"/>
      <c r="X22008" s="9"/>
    </row>
    <row r="22009">
      <c r="D22009" s="9"/>
      <c r="G22009" s="9"/>
      <c r="J22009" s="11"/>
      <c r="U22009" s="9"/>
      <c r="X22009" s="9"/>
    </row>
    <row r="22010">
      <c r="D22010" s="9"/>
      <c r="G22010" s="9"/>
      <c r="J22010" s="11"/>
      <c r="U22010" s="9"/>
      <c r="X22010" s="9"/>
    </row>
    <row r="22011">
      <c r="D22011" s="9"/>
      <c r="G22011" s="9"/>
      <c r="J22011" s="11"/>
      <c r="U22011" s="9"/>
      <c r="X22011" s="9"/>
    </row>
    <row r="22012">
      <c r="D22012" s="9"/>
      <c r="G22012" s="9"/>
      <c r="J22012" s="11"/>
      <c r="U22012" s="9"/>
      <c r="X22012" s="9"/>
    </row>
    <row r="22013">
      <c r="D22013" s="9"/>
      <c r="G22013" s="9"/>
      <c r="J22013" s="11"/>
      <c r="U22013" s="9"/>
      <c r="X22013" s="9"/>
    </row>
    <row r="22014">
      <c r="D22014" s="9"/>
      <c r="G22014" s="9"/>
      <c r="J22014" s="11"/>
      <c r="U22014" s="9"/>
      <c r="X22014" s="9"/>
    </row>
    <row r="22015">
      <c r="D22015" s="9"/>
      <c r="G22015" s="9"/>
      <c r="J22015" s="11"/>
      <c r="U22015" s="9"/>
      <c r="X22015" s="9"/>
    </row>
    <row r="22016">
      <c r="D22016" s="9"/>
      <c r="G22016" s="9"/>
      <c r="J22016" s="11"/>
      <c r="U22016" s="9"/>
      <c r="X22016" s="9"/>
    </row>
    <row r="22017">
      <c r="D22017" s="9"/>
      <c r="G22017" s="9"/>
      <c r="J22017" s="11"/>
      <c r="U22017" s="9"/>
      <c r="X22017" s="9"/>
    </row>
    <row r="22018">
      <c r="D22018" s="9"/>
      <c r="G22018" s="9"/>
      <c r="J22018" s="11"/>
      <c r="U22018" s="9"/>
      <c r="X22018" s="9"/>
    </row>
    <row r="22019">
      <c r="D22019" s="9"/>
      <c r="G22019" s="9"/>
      <c r="J22019" s="11"/>
      <c r="U22019" s="9"/>
      <c r="X22019" s="9"/>
    </row>
    <row r="22020">
      <c r="D22020" s="9"/>
      <c r="G22020" s="9"/>
      <c r="J22020" s="11"/>
      <c r="U22020" s="9"/>
      <c r="X22020" s="9"/>
    </row>
    <row r="22021">
      <c r="D22021" s="9"/>
      <c r="G22021" s="9"/>
      <c r="J22021" s="11"/>
      <c r="U22021" s="9"/>
      <c r="X22021" s="9"/>
    </row>
    <row r="22022">
      <c r="D22022" s="9"/>
      <c r="G22022" s="9"/>
      <c r="J22022" s="11"/>
      <c r="U22022" s="9"/>
      <c r="X22022" s="9"/>
    </row>
    <row r="22023">
      <c r="D22023" s="9"/>
      <c r="G22023" s="9"/>
      <c r="J22023" s="11"/>
      <c r="U22023" s="9"/>
      <c r="X22023" s="9"/>
    </row>
    <row r="22024">
      <c r="D22024" s="9"/>
      <c r="G22024" s="9"/>
      <c r="J22024" s="11"/>
      <c r="U22024" s="9"/>
      <c r="X22024" s="9"/>
    </row>
    <row r="22025">
      <c r="D22025" s="9"/>
      <c r="G22025" s="9"/>
      <c r="J22025" s="11"/>
      <c r="U22025" s="9"/>
      <c r="X22025" s="9"/>
    </row>
    <row r="22026">
      <c r="D22026" s="9"/>
      <c r="G22026" s="9"/>
      <c r="J22026" s="11"/>
      <c r="U22026" s="9"/>
      <c r="X22026" s="9"/>
    </row>
    <row r="22027">
      <c r="D22027" s="9"/>
      <c r="G22027" s="9"/>
      <c r="J22027" s="11"/>
      <c r="U22027" s="9"/>
      <c r="X22027" s="9"/>
    </row>
    <row r="22028">
      <c r="D22028" s="9"/>
      <c r="G22028" s="9"/>
      <c r="J22028" s="11"/>
      <c r="U22028" s="9"/>
      <c r="X22028" s="9"/>
    </row>
    <row r="22029">
      <c r="D22029" s="9"/>
      <c r="G22029" s="9"/>
      <c r="J22029" s="11"/>
      <c r="U22029" s="9"/>
      <c r="X22029" s="9"/>
    </row>
    <row r="22030">
      <c r="D22030" s="9"/>
      <c r="G22030" s="9"/>
      <c r="J22030" s="11"/>
      <c r="U22030" s="9"/>
      <c r="X22030" s="9"/>
    </row>
    <row r="22031">
      <c r="D22031" s="9"/>
      <c r="G22031" s="9"/>
      <c r="J22031" s="11"/>
      <c r="U22031" s="9"/>
      <c r="X22031" s="9"/>
    </row>
    <row r="22032">
      <c r="D22032" s="9"/>
      <c r="G22032" s="9"/>
      <c r="J22032" s="11"/>
      <c r="U22032" s="9"/>
      <c r="X22032" s="9"/>
    </row>
    <row r="22033">
      <c r="D22033" s="9"/>
      <c r="G22033" s="9"/>
      <c r="J22033" s="11"/>
      <c r="U22033" s="9"/>
      <c r="X22033" s="9"/>
    </row>
    <row r="22034">
      <c r="D22034" s="9"/>
      <c r="G22034" s="9"/>
      <c r="J22034" s="11"/>
      <c r="U22034" s="9"/>
      <c r="X22034" s="9"/>
    </row>
    <row r="22035">
      <c r="D22035" s="9"/>
      <c r="G22035" s="9"/>
      <c r="J22035" s="11"/>
      <c r="U22035" s="9"/>
      <c r="X22035" s="9"/>
    </row>
    <row r="22036">
      <c r="D22036" s="9"/>
      <c r="G22036" s="9"/>
      <c r="J22036" s="11"/>
      <c r="U22036" s="9"/>
      <c r="X22036" s="9"/>
    </row>
    <row r="22037">
      <c r="D22037" s="9"/>
      <c r="G22037" s="9"/>
      <c r="J22037" s="11"/>
      <c r="U22037" s="9"/>
      <c r="X22037" s="9"/>
    </row>
    <row r="22038">
      <c r="D22038" s="9"/>
      <c r="G22038" s="9"/>
      <c r="J22038" s="11"/>
      <c r="U22038" s="9"/>
      <c r="X22038" s="9"/>
    </row>
    <row r="22039">
      <c r="D22039" s="9"/>
      <c r="G22039" s="9"/>
      <c r="J22039" s="11"/>
      <c r="U22039" s="9"/>
      <c r="X22039" s="9"/>
    </row>
    <row r="22040">
      <c r="D22040" s="9"/>
      <c r="G22040" s="9"/>
      <c r="J22040" s="11"/>
      <c r="U22040" s="9"/>
      <c r="X22040" s="9"/>
    </row>
    <row r="22041">
      <c r="D22041" s="9"/>
      <c r="G22041" s="9"/>
      <c r="J22041" s="11"/>
      <c r="U22041" s="9"/>
      <c r="X22041" s="9"/>
    </row>
    <row r="22042">
      <c r="D22042" s="9"/>
      <c r="G22042" s="9"/>
      <c r="J22042" s="11"/>
      <c r="U22042" s="9"/>
      <c r="X22042" s="9"/>
    </row>
    <row r="22043">
      <c r="D22043" s="9"/>
      <c r="G22043" s="9"/>
      <c r="J22043" s="11"/>
      <c r="U22043" s="9"/>
      <c r="X22043" s="9"/>
    </row>
    <row r="22044">
      <c r="D22044" s="9"/>
      <c r="G22044" s="9"/>
      <c r="J22044" s="11"/>
      <c r="U22044" s="9"/>
      <c r="X22044" s="9"/>
    </row>
    <row r="22045">
      <c r="D22045" s="9"/>
      <c r="G22045" s="9"/>
      <c r="J22045" s="11"/>
      <c r="U22045" s="9"/>
      <c r="X22045" s="9"/>
    </row>
    <row r="22046">
      <c r="D22046" s="9"/>
      <c r="G22046" s="9"/>
      <c r="J22046" s="11"/>
      <c r="U22046" s="9"/>
      <c r="X22046" s="9"/>
    </row>
    <row r="22047">
      <c r="D22047" s="9"/>
      <c r="G22047" s="9"/>
      <c r="J22047" s="11"/>
      <c r="U22047" s="9"/>
      <c r="X22047" s="9"/>
    </row>
    <row r="22048">
      <c r="D22048" s="9"/>
      <c r="G22048" s="9"/>
      <c r="J22048" s="11"/>
      <c r="U22048" s="9"/>
      <c r="X22048" s="9"/>
    </row>
    <row r="22049">
      <c r="D22049" s="9"/>
      <c r="G22049" s="9"/>
      <c r="J22049" s="11"/>
      <c r="U22049" s="9"/>
      <c r="X22049" s="9"/>
    </row>
    <row r="22050">
      <c r="D22050" s="9"/>
      <c r="G22050" s="9"/>
      <c r="J22050" s="11"/>
      <c r="U22050" s="9"/>
      <c r="X22050" s="9"/>
    </row>
    <row r="22051">
      <c r="D22051" s="9"/>
      <c r="G22051" s="9"/>
      <c r="J22051" s="11"/>
      <c r="U22051" s="9"/>
      <c r="X22051" s="9"/>
    </row>
    <row r="22052">
      <c r="D22052" s="9"/>
      <c r="G22052" s="9"/>
      <c r="J22052" s="11"/>
      <c r="U22052" s="9"/>
      <c r="X22052" s="9"/>
    </row>
    <row r="22053">
      <c r="D22053" s="9"/>
      <c r="G22053" s="9"/>
      <c r="J22053" s="11"/>
      <c r="U22053" s="9"/>
      <c r="X22053" s="9"/>
    </row>
    <row r="22054">
      <c r="D22054" s="9"/>
      <c r="G22054" s="9"/>
      <c r="J22054" s="11"/>
      <c r="U22054" s="9"/>
      <c r="X22054" s="9"/>
    </row>
    <row r="22055">
      <c r="D22055" s="9"/>
      <c r="G22055" s="9"/>
      <c r="J22055" s="11"/>
      <c r="U22055" s="9"/>
      <c r="X22055" s="9"/>
    </row>
    <row r="22056">
      <c r="D22056" s="9"/>
      <c r="G22056" s="9"/>
      <c r="J22056" s="11"/>
      <c r="U22056" s="9"/>
      <c r="X22056" s="9"/>
    </row>
    <row r="22057">
      <c r="D22057" s="9"/>
      <c r="G22057" s="9"/>
      <c r="J22057" s="11"/>
      <c r="U22057" s="9"/>
      <c r="X22057" s="9"/>
    </row>
    <row r="22058">
      <c r="D22058" s="9"/>
      <c r="G22058" s="9"/>
      <c r="J22058" s="11"/>
      <c r="U22058" s="9"/>
      <c r="X22058" s="9"/>
    </row>
    <row r="22059">
      <c r="D22059" s="9"/>
      <c r="G22059" s="9"/>
      <c r="J22059" s="11"/>
      <c r="U22059" s="9"/>
      <c r="X22059" s="9"/>
    </row>
    <row r="22060">
      <c r="D22060" s="9"/>
      <c r="G22060" s="9"/>
      <c r="J22060" s="11"/>
      <c r="U22060" s="9"/>
      <c r="X22060" s="9"/>
    </row>
    <row r="22061">
      <c r="D22061" s="9"/>
      <c r="G22061" s="9"/>
      <c r="J22061" s="11"/>
      <c r="U22061" s="9"/>
      <c r="X22061" s="9"/>
    </row>
    <row r="22062">
      <c r="D22062" s="9"/>
      <c r="G22062" s="9"/>
      <c r="J22062" s="11"/>
      <c r="U22062" s="9"/>
      <c r="X22062" s="9"/>
    </row>
    <row r="22063">
      <c r="D22063" s="9"/>
      <c r="G22063" s="9"/>
      <c r="J22063" s="11"/>
      <c r="U22063" s="9"/>
      <c r="X22063" s="9"/>
    </row>
    <row r="22064">
      <c r="D22064" s="9"/>
      <c r="G22064" s="9"/>
      <c r="J22064" s="11"/>
      <c r="U22064" s="9"/>
      <c r="X22064" s="9"/>
    </row>
    <row r="22065">
      <c r="D22065" s="9"/>
      <c r="G22065" s="9"/>
      <c r="J22065" s="11"/>
      <c r="U22065" s="9"/>
      <c r="X22065" s="9"/>
    </row>
    <row r="22066">
      <c r="D22066" s="9"/>
      <c r="G22066" s="9"/>
      <c r="J22066" s="11"/>
      <c r="U22066" s="9"/>
      <c r="X22066" s="9"/>
    </row>
    <row r="22067">
      <c r="D22067" s="9"/>
      <c r="G22067" s="9"/>
      <c r="J22067" s="11"/>
      <c r="U22067" s="9"/>
      <c r="X22067" s="9"/>
    </row>
    <row r="22068">
      <c r="D22068" s="9"/>
      <c r="G22068" s="9"/>
      <c r="J22068" s="11"/>
      <c r="U22068" s="9"/>
      <c r="X22068" s="9"/>
    </row>
    <row r="22069">
      <c r="D22069" s="9"/>
      <c r="G22069" s="9"/>
      <c r="J22069" s="11"/>
      <c r="U22069" s="9"/>
      <c r="X22069" s="9"/>
    </row>
    <row r="22070">
      <c r="D22070" s="9"/>
      <c r="G22070" s="9"/>
      <c r="J22070" s="11"/>
      <c r="U22070" s="9"/>
      <c r="X22070" s="9"/>
    </row>
    <row r="22071">
      <c r="D22071" s="9"/>
      <c r="G22071" s="9"/>
      <c r="J22071" s="11"/>
      <c r="U22071" s="9"/>
      <c r="X22071" s="9"/>
    </row>
    <row r="22072">
      <c r="D22072" s="9"/>
      <c r="G22072" s="9"/>
      <c r="J22072" s="11"/>
      <c r="U22072" s="9"/>
      <c r="X22072" s="9"/>
    </row>
    <row r="22073">
      <c r="D22073" s="9"/>
      <c r="G22073" s="9"/>
      <c r="J22073" s="11"/>
      <c r="U22073" s="9"/>
      <c r="X22073" s="9"/>
    </row>
    <row r="22074">
      <c r="D22074" s="9"/>
      <c r="G22074" s="9"/>
      <c r="J22074" s="11"/>
      <c r="U22074" s="9"/>
      <c r="X22074" s="9"/>
    </row>
    <row r="22075">
      <c r="D22075" s="9"/>
      <c r="G22075" s="9"/>
      <c r="J22075" s="11"/>
      <c r="U22075" s="9"/>
      <c r="X22075" s="9"/>
    </row>
    <row r="22076">
      <c r="D22076" s="9"/>
      <c r="G22076" s="9"/>
      <c r="J22076" s="11"/>
      <c r="U22076" s="9"/>
      <c r="X22076" s="9"/>
    </row>
    <row r="22077">
      <c r="D22077" s="9"/>
      <c r="G22077" s="9"/>
      <c r="J22077" s="11"/>
      <c r="U22077" s="9"/>
      <c r="X22077" s="9"/>
    </row>
    <row r="22078">
      <c r="D22078" s="9"/>
      <c r="G22078" s="9"/>
      <c r="J22078" s="11"/>
      <c r="U22078" s="9"/>
      <c r="X22078" s="9"/>
    </row>
    <row r="22079">
      <c r="D22079" s="9"/>
      <c r="G22079" s="9"/>
      <c r="J22079" s="11"/>
      <c r="U22079" s="9"/>
      <c r="X22079" s="9"/>
    </row>
    <row r="22080">
      <c r="D22080" s="9"/>
      <c r="G22080" s="9"/>
      <c r="J22080" s="11"/>
      <c r="U22080" s="9"/>
      <c r="X22080" s="9"/>
    </row>
    <row r="22081">
      <c r="D22081" s="9"/>
      <c r="G22081" s="9"/>
      <c r="J22081" s="11"/>
      <c r="U22081" s="9"/>
      <c r="X22081" s="9"/>
    </row>
    <row r="22082">
      <c r="D22082" s="9"/>
      <c r="G22082" s="9"/>
      <c r="J22082" s="11"/>
      <c r="U22082" s="9"/>
      <c r="X22082" s="9"/>
    </row>
    <row r="22083">
      <c r="D22083" s="9"/>
      <c r="G22083" s="9"/>
      <c r="J22083" s="11"/>
      <c r="U22083" s="9"/>
      <c r="X22083" s="9"/>
    </row>
    <row r="22084">
      <c r="D22084" s="9"/>
      <c r="G22084" s="9"/>
      <c r="J22084" s="11"/>
      <c r="U22084" s="9"/>
      <c r="X22084" s="9"/>
    </row>
    <row r="22085">
      <c r="D22085" s="9"/>
      <c r="G22085" s="9"/>
      <c r="J22085" s="11"/>
      <c r="U22085" s="9"/>
      <c r="X22085" s="9"/>
    </row>
    <row r="22086">
      <c r="D22086" s="9"/>
      <c r="G22086" s="9"/>
      <c r="J22086" s="11"/>
      <c r="U22086" s="9"/>
      <c r="X22086" s="9"/>
    </row>
    <row r="22087">
      <c r="D22087" s="9"/>
      <c r="G22087" s="9"/>
      <c r="J22087" s="11"/>
      <c r="U22087" s="9"/>
      <c r="X22087" s="9"/>
    </row>
    <row r="22088">
      <c r="D22088" s="9"/>
      <c r="G22088" s="9"/>
      <c r="J22088" s="11"/>
      <c r="U22088" s="9"/>
      <c r="X22088" s="9"/>
    </row>
    <row r="22089">
      <c r="D22089" s="9"/>
      <c r="G22089" s="9"/>
      <c r="J22089" s="11"/>
      <c r="U22089" s="9"/>
      <c r="X22089" s="9"/>
    </row>
    <row r="22090">
      <c r="D22090" s="9"/>
      <c r="G22090" s="9"/>
      <c r="J22090" s="11"/>
      <c r="U22090" s="9"/>
      <c r="X22090" s="9"/>
    </row>
    <row r="22091">
      <c r="D22091" s="9"/>
      <c r="G22091" s="9"/>
      <c r="J22091" s="11"/>
      <c r="U22091" s="9"/>
      <c r="X22091" s="9"/>
    </row>
    <row r="22092">
      <c r="D22092" s="9"/>
      <c r="G22092" s="9"/>
      <c r="J22092" s="11"/>
      <c r="U22092" s="9"/>
      <c r="X22092" s="9"/>
    </row>
    <row r="22093">
      <c r="D22093" s="9"/>
      <c r="G22093" s="9"/>
      <c r="J22093" s="11"/>
      <c r="U22093" s="9"/>
      <c r="X22093" s="9"/>
    </row>
    <row r="22094">
      <c r="D22094" s="9"/>
      <c r="G22094" s="9"/>
      <c r="J22094" s="11"/>
      <c r="U22094" s="9"/>
      <c r="X22094" s="9"/>
    </row>
    <row r="22095">
      <c r="D22095" s="9"/>
      <c r="G22095" s="9"/>
      <c r="J22095" s="11"/>
      <c r="U22095" s="9"/>
      <c r="X22095" s="9"/>
    </row>
    <row r="22096">
      <c r="D22096" s="9"/>
      <c r="G22096" s="9"/>
      <c r="J22096" s="11"/>
      <c r="U22096" s="9"/>
      <c r="X22096" s="9"/>
    </row>
    <row r="22097">
      <c r="D22097" s="9"/>
      <c r="G22097" s="9"/>
      <c r="J22097" s="11"/>
      <c r="U22097" s="9"/>
      <c r="X22097" s="9"/>
    </row>
    <row r="22098">
      <c r="D22098" s="9"/>
      <c r="G22098" s="9"/>
      <c r="J22098" s="11"/>
      <c r="U22098" s="9"/>
      <c r="X22098" s="9"/>
    </row>
    <row r="22099">
      <c r="D22099" s="9"/>
      <c r="G22099" s="9"/>
      <c r="J22099" s="11"/>
      <c r="U22099" s="9"/>
      <c r="X22099" s="9"/>
    </row>
    <row r="22100">
      <c r="D22100" s="9"/>
      <c r="G22100" s="9"/>
      <c r="J22100" s="11"/>
      <c r="U22100" s="9"/>
      <c r="X22100" s="9"/>
    </row>
    <row r="22101">
      <c r="D22101" s="9"/>
      <c r="G22101" s="9"/>
      <c r="J22101" s="11"/>
      <c r="U22101" s="9"/>
      <c r="X22101" s="9"/>
    </row>
    <row r="22102">
      <c r="D22102" s="9"/>
      <c r="G22102" s="9"/>
      <c r="J22102" s="11"/>
      <c r="U22102" s="9"/>
      <c r="X22102" s="9"/>
    </row>
    <row r="22103">
      <c r="D22103" s="9"/>
      <c r="G22103" s="9"/>
      <c r="J22103" s="11"/>
      <c r="U22103" s="9"/>
      <c r="X22103" s="9"/>
    </row>
    <row r="22104">
      <c r="D22104" s="9"/>
      <c r="G22104" s="9"/>
      <c r="J22104" s="11"/>
      <c r="U22104" s="9"/>
      <c r="X22104" s="9"/>
    </row>
    <row r="22105">
      <c r="D22105" s="9"/>
      <c r="G22105" s="9"/>
      <c r="J22105" s="11"/>
      <c r="U22105" s="9"/>
      <c r="X22105" s="9"/>
    </row>
    <row r="22106">
      <c r="D22106" s="9"/>
      <c r="G22106" s="9"/>
      <c r="J22106" s="11"/>
      <c r="U22106" s="9"/>
      <c r="X22106" s="9"/>
    </row>
    <row r="22107">
      <c r="D22107" s="9"/>
      <c r="G22107" s="9"/>
      <c r="J22107" s="11"/>
      <c r="U22107" s="9"/>
      <c r="X22107" s="9"/>
    </row>
    <row r="22108">
      <c r="D22108" s="9"/>
      <c r="G22108" s="9"/>
      <c r="J22108" s="11"/>
      <c r="U22108" s="9"/>
      <c r="X22108" s="9"/>
    </row>
    <row r="22109">
      <c r="D22109" s="9"/>
      <c r="G22109" s="9"/>
      <c r="J22109" s="11"/>
      <c r="U22109" s="9"/>
      <c r="X22109" s="9"/>
    </row>
    <row r="22110">
      <c r="D22110" s="9"/>
      <c r="G22110" s="9"/>
      <c r="J22110" s="11"/>
      <c r="U22110" s="9"/>
      <c r="X22110" s="9"/>
    </row>
    <row r="22111">
      <c r="D22111" s="9"/>
      <c r="G22111" s="9"/>
      <c r="J22111" s="11"/>
      <c r="U22111" s="9"/>
      <c r="X22111" s="9"/>
    </row>
    <row r="22112">
      <c r="D22112" s="9"/>
      <c r="G22112" s="9"/>
      <c r="J22112" s="11"/>
      <c r="U22112" s="9"/>
      <c r="X22112" s="9"/>
    </row>
    <row r="22113">
      <c r="D22113" s="9"/>
      <c r="G22113" s="9"/>
      <c r="J22113" s="11"/>
      <c r="U22113" s="9"/>
      <c r="X22113" s="9"/>
    </row>
    <row r="22114">
      <c r="D22114" s="9"/>
      <c r="G22114" s="9"/>
      <c r="J22114" s="11"/>
      <c r="U22114" s="9"/>
      <c r="X22114" s="9"/>
    </row>
    <row r="22115">
      <c r="D22115" s="9"/>
      <c r="G22115" s="9"/>
      <c r="J22115" s="11"/>
      <c r="U22115" s="9"/>
      <c r="X22115" s="9"/>
    </row>
    <row r="22116">
      <c r="D22116" s="9"/>
      <c r="G22116" s="9"/>
      <c r="J22116" s="11"/>
      <c r="U22116" s="9"/>
      <c r="X22116" s="9"/>
    </row>
    <row r="22117">
      <c r="D22117" s="9"/>
      <c r="G22117" s="9"/>
      <c r="J22117" s="11"/>
      <c r="U22117" s="9"/>
      <c r="X22117" s="9"/>
    </row>
    <row r="22118">
      <c r="D22118" s="9"/>
      <c r="G22118" s="9"/>
      <c r="J22118" s="11"/>
      <c r="U22118" s="9"/>
      <c r="X22118" s="9"/>
    </row>
    <row r="22119">
      <c r="D22119" s="9"/>
      <c r="G22119" s="9"/>
      <c r="J22119" s="11"/>
      <c r="U22119" s="9"/>
      <c r="X22119" s="9"/>
    </row>
    <row r="22120">
      <c r="D22120" s="9"/>
      <c r="G22120" s="9"/>
      <c r="J22120" s="11"/>
      <c r="U22120" s="9"/>
      <c r="X22120" s="9"/>
    </row>
    <row r="22121">
      <c r="D22121" s="9"/>
      <c r="G22121" s="9"/>
      <c r="J22121" s="11"/>
      <c r="U22121" s="9"/>
      <c r="X22121" s="9"/>
    </row>
    <row r="22122">
      <c r="D22122" s="9"/>
      <c r="G22122" s="9"/>
      <c r="J22122" s="11"/>
      <c r="U22122" s="9"/>
      <c r="X22122" s="9"/>
    </row>
    <row r="22123">
      <c r="D22123" s="9"/>
      <c r="G22123" s="9"/>
      <c r="J22123" s="11"/>
      <c r="U22123" s="9"/>
      <c r="X22123" s="9"/>
    </row>
    <row r="22124">
      <c r="D22124" s="9"/>
      <c r="G22124" s="9"/>
      <c r="J22124" s="11"/>
      <c r="U22124" s="9"/>
      <c r="X22124" s="9"/>
    </row>
    <row r="22125">
      <c r="D22125" s="9"/>
      <c r="G22125" s="9"/>
      <c r="J22125" s="11"/>
      <c r="U22125" s="9"/>
      <c r="X22125" s="9"/>
    </row>
    <row r="22126">
      <c r="D22126" s="9"/>
      <c r="G22126" s="9"/>
      <c r="J22126" s="11"/>
      <c r="U22126" s="9"/>
      <c r="X22126" s="9"/>
    </row>
    <row r="22127">
      <c r="D22127" s="9"/>
      <c r="G22127" s="9"/>
      <c r="J22127" s="11"/>
      <c r="U22127" s="9"/>
      <c r="X22127" s="9"/>
    </row>
    <row r="22128">
      <c r="D22128" s="9"/>
      <c r="G22128" s="9"/>
      <c r="J22128" s="11"/>
      <c r="U22128" s="9"/>
      <c r="X22128" s="9"/>
    </row>
    <row r="22129">
      <c r="D22129" s="9"/>
      <c r="G22129" s="9"/>
      <c r="J22129" s="11"/>
      <c r="U22129" s="9"/>
      <c r="X22129" s="9"/>
    </row>
    <row r="22130">
      <c r="D22130" s="9"/>
      <c r="G22130" s="9"/>
      <c r="J22130" s="11"/>
      <c r="U22130" s="9"/>
      <c r="X22130" s="9"/>
    </row>
    <row r="22131">
      <c r="D22131" s="9"/>
      <c r="G22131" s="9"/>
      <c r="J22131" s="11"/>
      <c r="U22131" s="9"/>
      <c r="X22131" s="9"/>
    </row>
    <row r="22132">
      <c r="D22132" s="9"/>
      <c r="G22132" s="9"/>
      <c r="J22132" s="11"/>
      <c r="U22132" s="9"/>
      <c r="X22132" s="9"/>
    </row>
    <row r="22133">
      <c r="D22133" s="9"/>
      <c r="G22133" s="9"/>
      <c r="J22133" s="11"/>
      <c r="U22133" s="9"/>
      <c r="X22133" s="9"/>
    </row>
    <row r="22134">
      <c r="D22134" s="9"/>
      <c r="G22134" s="9"/>
      <c r="J22134" s="11"/>
      <c r="U22134" s="9"/>
      <c r="X22134" s="9"/>
    </row>
    <row r="22135">
      <c r="D22135" s="9"/>
      <c r="G22135" s="9"/>
      <c r="J22135" s="11"/>
      <c r="U22135" s="9"/>
      <c r="X22135" s="9"/>
    </row>
    <row r="22136">
      <c r="D22136" s="9"/>
      <c r="G22136" s="9"/>
      <c r="J22136" s="11"/>
      <c r="U22136" s="9"/>
      <c r="X22136" s="9"/>
    </row>
    <row r="22137">
      <c r="D22137" s="9"/>
      <c r="G22137" s="9"/>
      <c r="J22137" s="11"/>
      <c r="U22137" s="9"/>
      <c r="X22137" s="9"/>
    </row>
    <row r="22138">
      <c r="D22138" s="9"/>
      <c r="G22138" s="9"/>
      <c r="J22138" s="11"/>
      <c r="U22138" s="9"/>
      <c r="X22138" s="9"/>
    </row>
    <row r="22139">
      <c r="D22139" s="9"/>
      <c r="G22139" s="9"/>
      <c r="J22139" s="11"/>
      <c r="U22139" s="9"/>
      <c r="X22139" s="9"/>
    </row>
    <row r="22140">
      <c r="D22140" s="9"/>
      <c r="G22140" s="9"/>
      <c r="J22140" s="11"/>
      <c r="U22140" s="9"/>
      <c r="X22140" s="9"/>
    </row>
    <row r="22141">
      <c r="D22141" s="9"/>
      <c r="G22141" s="9"/>
      <c r="J22141" s="11"/>
      <c r="U22141" s="9"/>
      <c r="X22141" s="9"/>
    </row>
    <row r="22142">
      <c r="D22142" s="9"/>
      <c r="G22142" s="9"/>
      <c r="J22142" s="11"/>
      <c r="U22142" s="9"/>
      <c r="X22142" s="9"/>
    </row>
    <row r="22143">
      <c r="D22143" s="9"/>
      <c r="G22143" s="9"/>
      <c r="J22143" s="11"/>
      <c r="U22143" s="9"/>
      <c r="X22143" s="9"/>
    </row>
    <row r="22144">
      <c r="D22144" s="9"/>
      <c r="G22144" s="9"/>
      <c r="J22144" s="11"/>
      <c r="U22144" s="9"/>
      <c r="X22144" s="9"/>
    </row>
    <row r="22145">
      <c r="D22145" s="9"/>
      <c r="G22145" s="9"/>
      <c r="J22145" s="11"/>
      <c r="U22145" s="9"/>
      <c r="X22145" s="9"/>
    </row>
    <row r="22146">
      <c r="D22146" s="9"/>
      <c r="G22146" s="9"/>
      <c r="J22146" s="11"/>
      <c r="U22146" s="9"/>
      <c r="X22146" s="9"/>
    </row>
    <row r="22147">
      <c r="D22147" s="9"/>
      <c r="G22147" s="9"/>
      <c r="J22147" s="11"/>
      <c r="U22147" s="9"/>
      <c r="X22147" s="9"/>
    </row>
    <row r="22148">
      <c r="D22148" s="9"/>
      <c r="G22148" s="9"/>
      <c r="J22148" s="11"/>
      <c r="U22148" s="9"/>
      <c r="X22148" s="9"/>
    </row>
    <row r="22149">
      <c r="D22149" s="9"/>
      <c r="G22149" s="9"/>
      <c r="J22149" s="11"/>
      <c r="U22149" s="9"/>
      <c r="X22149" s="9"/>
    </row>
    <row r="22150">
      <c r="D22150" s="9"/>
      <c r="G22150" s="9"/>
      <c r="J22150" s="11"/>
      <c r="U22150" s="9"/>
      <c r="X22150" s="9"/>
    </row>
    <row r="22151">
      <c r="D22151" s="9"/>
      <c r="G22151" s="9"/>
      <c r="J22151" s="11"/>
      <c r="U22151" s="9"/>
      <c r="X22151" s="9"/>
    </row>
    <row r="22152">
      <c r="D22152" s="9"/>
      <c r="G22152" s="9"/>
      <c r="J22152" s="11"/>
      <c r="U22152" s="9"/>
      <c r="X22152" s="9"/>
    </row>
    <row r="22153">
      <c r="D22153" s="9"/>
      <c r="G22153" s="9"/>
      <c r="J22153" s="11"/>
      <c r="U22153" s="9"/>
      <c r="X22153" s="9"/>
    </row>
    <row r="22154">
      <c r="D22154" s="9"/>
      <c r="G22154" s="9"/>
      <c r="J22154" s="11"/>
      <c r="U22154" s="9"/>
      <c r="X22154" s="9"/>
    </row>
    <row r="22155">
      <c r="D22155" s="9"/>
      <c r="G22155" s="9"/>
      <c r="J22155" s="11"/>
      <c r="U22155" s="9"/>
      <c r="X22155" s="9"/>
    </row>
    <row r="22156">
      <c r="D22156" s="9"/>
      <c r="G22156" s="9"/>
      <c r="J22156" s="11"/>
      <c r="U22156" s="9"/>
      <c r="X22156" s="9"/>
    </row>
    <row r="22157">
      <c r="D22157" s="9"/>
      <c r="G22157" s="9"/>
      <c r="J22157" s="11"/>
      <c r="U22157" s="9"/>
      <c r="X22157" s="9"/>
    </row>
    <row r="22158">
      <c r="D22158" s="9"/>
      <c r="G22158" s="9"/>
      <c r="J22158" s="11"/>
      <c r="U22158" s="9"/>
      <c r="X22158" s="9"/>
    </row>
    <row r="22159">
      <c r="D22159" s="9"/>
      <c r="G22159" s="9"/>
      <c r="J22159" s="11"/>
      <c r="U22159" s="9"/>
      <c r="X22159" s="9"/>
    </row>
    <row r="22160">
      <c r="D22160" s="9"/>
      <c r="G22160" s="9"/>
      <c r="J22160" s="11"/>
      <c r="U22160" s="9"/>
      <c r="X22160" s="9"/>
    </row>
    <row r="22161">
      <c r="D22161" s="9"/>
      <c r="G22161" s="9"/>
      <c r="J22161" s="11"/>
      <c r="U22161" s="9"/>
      <c r="X22161" s="9"/>
    </row>
    <row r="22162">
      <c r="D22162" s="9"/>
      <c r="G22162" s="9"/>
      <c r="J22162" s="11"/>
      <c r="U22162" s="9"/>
      <c r="X22162" s="9"/>
    </row>
    <row r="22163">
      <c r="D22163" s="9"/>
      <c r="G22163" s="9"/>
      <c r="J22163" s="11"/>
      <c r="U22163" s="9"/>
      <c r="X22163" s="9"/>
    </row>
    <row r="22164">
      <c r="D22164" s="9"/>
      <c r="G22164" s="9"/>
      <c r="J22164" s="11"/>
      <c r="U22164" s="9"/>
      <c r="X22164" s="9"/>
    </row>
    <row r="22165">
      <c r="D22165" s="9"/>
      <c r="G22165" s="9"/>
      <c r="J22165" s="11"/>
      <c r="U22165" s="9"/>
      <c r="X22165" s="9"/>
    </row>
    <row r="22166">
      <c r="D22166" s="9"/>
      <c r="G22166" s="9"/>
      <c r="J22166" s="11"/>
      <c r="U22166" s="9"/>
      <c r="X22166" s="9"/>
    </row>
    <row r="22167">
      <c r="D22167" s="9"/>
      <c r="G22167" s="9"/>
      <c r="J22167" s="11"/>
      <c r="U22167" s="9"/>
      <c r="X22167" s="9"/>
    </row>
    <row r="22168">
      <c r="D22168" s="9"/>
      <c r="G22168" s="9"/>
      <c r="J22168" s="11"/>
      <c r="U22168" s="9"/>
      <c r="X22168" s="9"/>
    </row>
    <row r="22169">
      <c r="D22169" s="9"/>
      <c r="G22169" s="9"/>
      <c r="J22169" s="11"/>
      <c r="U22169" s="9"/>
      <c r="X22169" s="9"/>
    </row>
    <row r="22170">
      <c r="D22170" s="9"/>
      <c r="G22170" s="9"/>
      <c r="J22170" s="11"/>
      <c r="U22170" s="9"/>
      <c r="X22170" s="9"/>
    </row>
    <row r="22171">
      <c r="D22171" s="9"/>
      <c r="G22171" s="9"/>
      <c r="J22171" s="11"/>
      <c r="U22171" s="9"/>
      <c r="X22171" s="9"/>
    </row>
    <row r="22172">
      <c r="D22172" s="9"/>
      <c r="G22172" s="9"/>
      <c r="J22172" s="11"/>
      <c r="U22172" s="9"/>
      <c r="X22172" s="9"/>
    </row>
    <row r="22173">
      <c r="D22173" s="9"/>
      <c r="G22173" s="9"/>
      <c r="J22173" s="11"/>
      <c r="U22173" s="9"/>
      <c r="X22173" s="9"/>
    </row>
    <row r="22174">
      <c r="D22174" s="9"/>
      <c r="G22174" s="9"/>
      <c r="J22174" s="11"/>
      <c r="U22174" s="9"/>
      <c r="X22174" s="9"/>
    </row>
    <row r="22175">
      <c r="D22175" s="9"/>
      <c r="G22175" s="9"/>
      <c r="J22175" s="11"/>
      <c r="U22175" s="9"/>
      <c r="X22175" s="9"/>
    </row>
    <row r="22176">
      <c r="D22176" s="9"/>
      <c r="G22176" s="9"/>
      <c r="J22176" s="11"/>
      <c r="U22176" s="9"/>
      <c r="X22176" s="9"/>
    </row>
    <row r="22177">
      <c r="D22177" s="9"/>
      <c r="G22177" s="9"/>
      <c r="J22177" s="11"/>
      <c r="U22177" s="9"/>
      <c r="X22177" s="9"/>
    </row>
    <row r="22178">
      <c r="D22178" s="9"/>
      <c r="G22178" s="9"/>
      <c r="J22178" s="11"/>
      <c r="U22178" s="9"/>
      <c r="X22178" s="9"/>
    </row>
    <row r="22179">
      <c r="D22179" s="9"/>
      <c r="G22179" s="9"/>
      <c r="J22179" s="11"/>
      <c r="U22179" s="9"/>
      <c r="X22179" s="9"/>
    </row>
    <row r="22180">
      <c r="D22180" s="9"/>
      <c r="G22180" s="9"/>
      <c r="J22180" s="11"/>
      <c r="U22180" s="9"/>
      <c r="X22180" s="9"/>
    </row>
    <row r="22181">
      <c r="D22181" s="9"/>
      <c r="G22181" s="9"/>
      <c r="J22181" s="11"/>
      <c r="U22181" s="9"/>
      <c r="X22181" s="9"/>
    </row>
    <row r="22182">
      <c r="D22182" s="9"/>
      <c r="G22182" s="9"/>
      <c r="J22182" s="11"/>
      <c r="U22182" s="9"/>
      <c r="X22182" s="9"/>
    </row>
    <row r="22183">
      <c r="D22183" s="9"/>
      <c r="G22183" s="9"/>
      <c r="J22183" s="11"/>
      <c r="U22183" s="9"/>
      <c r="X22183" s="9"/>
    </row>
    <row r="22184">
      <c r="D22184" s="9"/>
      <c r="G22184" s="9"/>
      <c r="J22184" s="11"/>
      <c r="U22184" s="9"/>
      <c r="X22184" s="9"/>
    </row>
    <row r="22185">
      <c r="D22185" s="9"/>
      <c r="G22185" s="9"/>
      <c r="J22185" s="11"/>
      <c r="U22185" s="9"/>
      <c r="X22185" s="9"/>
    </row>
    <row r="22186">
      <c r="D22186" s="9"/>
      <c r="G22186" s="9"/>
      <c r="J22186" s="11"/>
      <c r="U22186" s="9"/>
      <c r="X22186" s="9"/>
    </row>
    <row r="22187">
      <c r="D22187" s="9"/>
      <c r="G22187" s="9"/>
      <c r="J22187" s="11"/>
      <c r="U22187" s="9"/>
      <c r="X22187" s="9"/>
    </row>
    <row r="22188">
      <c r="D22188" s="9"/>
      <c r="G22188" s="9"/>
      <c r="J22188" s="11"/>
      <c r="U22188" s="9"/>
      <c r="X22188" s="9"/>
    </row>
    <row r="22189">
      <c r="D22189" s="9"/>
      <c r="G22189" s="9"/>
      <c r="J22189" s="11"/>
      <c r="U22189" s="9"/>
      <c r="X22189" s="9"/>
    </row>
    <row r="22190">
      <c r="D22190" s="9"/>
      <c r="G22190" s="9"/>
      <c r="J22190" s="11"/>
      <c r="U22190" s="9"/>
      <c r="X22190" s="9"/>
    </row>
    <row r="22191">
      <c r="D22191" s="9"/>
      <c r="G22191" s="9"/>
      <c r="J22191" s="11"/>
      <c r="U22191" s="9"/>
      <c r="X22191" s="9"/>
    </row>
    <row r="22192">
      <c r="D22192" s="9"/>
      <c r="G22192" s="9"/>
      <c r="J22192" s="11"/>
      <c r="U22192" s="9"/>
      <c r="X22192" s="9"/>
    </row>
    <row r="22193">
      <c r="D22193" s="9"/>
      <c r="G22193" s="9"/>
      <c r="J22193" s="11"/>
      <c r="U22193" s="9"/>
      <c r="X22193" s="9"/>
    </row>
    <row r="22194">
      <c r="D22194" s="9"/>
      <c r="G22194" s="9"/>
      <c r="J22194" s="11"/>
      <c r="U22194" s="9"/>
      <c r="X22194" s="9"/>
    </row>
    <row r="22195">
      <c r="D22195" s="9"/>
      <c r="G22195" s="9"/>
      <c r="J22195" s="11"/>
      <c r="U22195" s="9"/>
      <c r="X22195" s="9"/>
    </row>
    <row r="22196">
      <c r="D22196" s="9"/>
      <c r="G22196" s="9"/>
      <c r="J22196" s="11"/>
      <c r="U22196" s="9"/>
      <c r="X22196" s="9"/>
    </row>
    <row r="22197">
      <c r="D22197" s="9"/>
      <c r="G22197" s="9"/>
      <c r="J22197" s="11"/>
      <c r="U22197" s="9"/>
      <c r="X22197" s="9"/>
    </row>
    <row r="22198">
      <c r="D22198" s="9"/>
      <c r="G22198" s="9"/>
      <c r="J22198" s="11"/>
      <c r="U22198" s="9"/>
      <c r="X22198" s="9"/>
    </row>
    <row r="22199">
      <c r="D22199" s="9"/>
      <c r="G22199" s="9"/>
      <c r="J22199" s="11"/>
      <c r="U22199" s="9"/>
      <c r="X22199" s="9"/>
    </row>
    <row r="22200">
      <c r="D22200" s="9"/>
      <c r="G22200" s="9"/>
      <c r="J22200" s="11"/>
      <c r="U22200" s="9"/>
      <c r="X22200" s="9"/>
    </row>
    <row r="22201">
      <c r="D22201" s="9"/>
      <c r="G22201" s="9"/>
      <c r="J22201" s="11"/>
      <c r="U22201" s="9"/>
      <c r="X22201" s="9"/>
    </row>
    <row r="22202">
      <c r="D22202" s="9"/>
      <c r="G22202" s="9"/>
      <c r="J22202" s="11"/>
      <c r="U22202" s="9"/>
      <c r="X22202" s="9"/>
    </row>
    <row r="22203">
      <c r="D22203" s="9"/>
      <c r="G22203" s="9"/>
      <c r="J22203" s="11"/>
      <c r="U22203" s="9"/>
      <c r="X22203" s="9"/>
    </row>
    <row r="22204">
      <c r="D22204" s="9"/>
      <c r="G22204" s="9"/>
      <c r="J22204" s="11"/>
      <c r="U22204" s="9"/>
      <c r="X22204" s="9"/>
    </row>
    <row r="22205">
      <c r="D22205" s="9"/>
      <c r="G22205" s="9"/>
      <c r="J22205" s="11"/>
      <c r="U22205" s="9"/>
      <c r="X22205" s="9"/>
    </row>
    <row r="22206">
      <c r="D22206" s="9"/>
      <c r="G22206" s="9"/>
      <c r="J22206" s="11"/>
      <c r="U22206" s="9"/>
      <c r="X22206" s="9"/>
    </row>
    <row r="22207">
      <c r="D22207" s="9"/>
      <c r="G22207" s="9"/>
      <c r="J22207" s="11"/>
      <c r="U22207" s="9"/>
      <c r="X22207" s="9"/>
    </row>
    <row r="22208">
      <c r="D22208" s="9"/>
      <c r="G22208" s="9"/>
      <c r="J22208" s="11"/>
      <c r="U22208" s="9"/>
      <c r="X22208" s="9"/>
    </row>
    <row r="22209">
      <c r="D22209" s="9"/>
      <c r="G22209" s="9"/>
      <c r="J22209" s="11"/>
      <c r="U22209" s="9"/>
      <c r="X22209" s="9"/>
    </row>
    <row r="22210">
      <c r="D22210" s="9"/>
      <c r="G22210" s="9"/>
      <c r="J22210" s="11"/>
      <c r="U22210" s="9"/>
      <c r="X22210" s="9"/>
    </row>
    <row r="22211">
      <c r="D22211" s="9"/>
      <c r="G22211" s="9"/>
      <c r="J22211" s="11"/>
      <c r="U22211" s="9"/>
      <c r="X22211" s="9"/>
    </row>
    <row r="22212">
      <c r="D22212" s="9"/>
      <c r="G22212" s="9"/>
      <c r="J22212" s="11"/>
      <c r="U22212" s="9"/>
      <c r="X22212" s="9"/>
    </row>
    <row r="22213">
      <c r="D22213" s="9"/>
      <c r="G22213" s="9"/>
      <c r="J22213" s="11"/>
      <c r="U22213" s="9"/>
      <c r="X22213" s="9"/>
    </row>
    <row r="22214">
      <c r="D22214" s="9"/>
      <c r="G22214" s="9"/>
      <c r="J22214" s="11"/>
      <c r="U22214" s="9"/>
      <c r="X22214" s="9"/>
    </row>
    <row r="22215">
      <c r="D22215" s="9"/>
      <c r="G22215" s="9"/>
      <c r="J22215" s="11"/>
      <c r="U22215" s="9"/>
      <c r="X22215" s="9"/>
    </row>
    <row r="22216">
      <c r="D22216" s="9"/>
      <c r="G22216" s="9"/>
      <c r="J22216" s="11"/>
      <c r="U22216" s="9"/>
      <c r="X22216" s="9"/>
    </row>
    <row r="22217">
      <c r="D22217" s="9"/>
      <c r="G22217" s="9"/>
      <c r="J22217" s="11"/>
      <c r="U22217" s="9"/>
      <c r="X22217" s="9"/>
    </row>
    <row r="22218">
      <c r="D22218" s="9"/>
      <c r="G22218" s="9"/>
      <c r="J22218" s="11"/>
      <c r="U22218" s="9"/>
      <c r="X22218" s="9"/>
    </row>
    <row r="22219">
      <c r="D22219" s="9"/>
      <c r="G22219" s="9"/>
      <c r="J22219" s="11"/>
      <c r="U22219" s="9"/>
      <c r="X22219" s="9"/>
    </row>
    <row r="22220">
      <c r="D22220" s="9"/>
      <c r="G22220" s="9"/>
      <c r="J22220" s="11"/>
      <c r="U22220" s="9"/>
      <c r="X22220" s="9"/>
    </row>
    <row r="22221">
      <c r="D22221" s="9"/>
      <c r="G22221" s="9"/>
      <c r="J22221" s="11"/>
      <c r="U22221" s="9"/>
      <c r="X22221" s="9"/>
    </row>
    <row r="22222">
      <c r="D22222" s="9"/>
      <c r="G22222" s="9"/>
      <c r="J22222" s="11"/>
      <c r="U22222" s="9"/>
      <c r="X22222" s="9"/>
    </row>
    <row r="22223">
      <c r="D22223" s="9"/>
      <c r="G22223" s="9"/>
      <c r="J22223" s="11"/>
      <c r="U22223" s="9"/>
      <c r="X22223" s="9"/>
    </row>
    <row r="22224">
      <c r="D22224" s="9"/>
      <c r="G22224" s="9"/>
      <c r="J22224" s="11"/>
      <c r="U22224" s="9"/>
      <c r="X22224" s="9"/>
    </row>
    <row r="22225">
      <c r="D22225" s="9"/>
      <c r="G22225" s="9"/>
      <c r="J22225" s="11"/>
      <c r="U22225" s="9"/>
      <c r="X22225" s="9"/>
    </row>
    <row r="22226">
      <c r="D22226" s="9"/>
      <c r="G22226" s="9"/>
      <c r="J22226" s="11"/>
      <c r="U22226" s="9"/>
      <c r="X22226" s="9"/>
    </row>
    <row r="22227">
      <c r="D22227" s="9"/>
      <c r="G22227" s="9"/>
      <c r="J22227" s="11"/>
      <c r="U22227" s="9"/>
      <c r="X22227" s="9"/>
    </row>
    <row r="22228">
      <c r="D22228" s="9"/>
      <c r="G22228" s="9"/>
      <c r="J22228" s="11"/>
      <c r="U22228" s="9"/>
      <c r="X22228" s="9"/>
    </row>
    <row r="22229">
      <c r="D22229" s="9"/>
      <c r="G22229" s="9"/>
      <c r="J22229" s="11"/>
      <c r="U22229" s="9"/>
      <c r="X22229" s="9"/>
    </row>
    <row r="22230">
      <c r="D22230" s="9"/>
      <c r="G22230" s="9"/>
      <c r="J22230" s="11"/>
      <c r="U22230" s="9"/>
      <c r="X22230" s="9"/>
    </row>
    <row r="22231">
      <c r="D22231" s="9"/>
      <c r="G22231" s="9"/>
      <c r="J22231" s="11"/>
      <c r="U22231" s="9"/>
      <c r="X22231" s="9"/>
    </row>
    <row r="22232">
      <c r="D22232" s="9"/>
      <c r="G22232" s="9"/>
      <c r="J22232" s="11"/>
      <c r="U22232" s="9"/>
      <c r="X22232" s="9"/>
    </row>
    <row r="22233">
      <c r="D22233" s="9"/>
      <c r="G22233" s="9"/>
      <c r="J22233" s="11"/>
      <c r="U22233" s="9"/>
      <c r="X22233" s="9"/>
    </row>
    <row r="22234">
      <c r="D22234" s="9"/>
      <c r="G22234" s="9"/>
      <c r="J22234" s="11"/>
      <c r="U22234" s="9"/>
      <c r="X22234" s="9"/>
    </row>
    <row r="22235">
      <c r="D22235" s="9"/>
      <c r="G22235" s="9"/>
      <c r="J22235" s="11"/>
      <c r="U22235" s="9"/>
      <c r="X22235" s="9"/>
    </row>
    <row r="22236">
      <c r="D22236" s="9"/>
      <c r="G22236" s="9"/>
      <c r="J22236" s="11"/>
      <c r="U22236" s="9"/>
      <c r="X22236" s="9"/>
    </row>
    <row r="22237">
      <c r="D22237" s="9"/>
      <c r="G22237" s="9"/>
      <c r="J22237" s="11"/>
      <c r="U22237" s="9"/>
      <c r="X22237" s="9"/>
    </row>
    <row r="22238">
      <c r="D22238" s="9"/>
      <c r="G22238" s="9"/>
      <c r="J22238" s="11"/>
      <c r="U22238" s="9"/>
      <c r="X22238" s="9"/>
    </row>
    <row r="22239">
      <c r="D22239" s="9"/>
      <c r="G22239" s="9"/>
      <c r="J22239" s="11"/>
      <c r="U22239" s="9"/>
      <c r="X22239" s="9"/>
    </row>
    <row r="22240">
      <c r="D22240" s="9"/>
      <c r="G22240" s="9"/>
      <c r="J22240" s="11"/>
      <c r="U22240" s="9"/>
      <c r="X22240" s="9"/>
    </row>
    <row r="22241">
      <c r="D22241" s="9"/>
      <c r="G22241" s="9"/>
      <c r="J22241" s="11"/>
      <c r="U22241" s="9"/>
      <c r="X22241" s="9"/>
    </row>
    <row r="22242">
      <c r="D22242" s="9"/>
      <c r="G22242" s="9"/>
      <c r="J22242" s="11"/>
      <c r="U22242" s="9"/>
      <c r="X22242" s="9"/>
    </row>
    <row r="22243">
      <c r="D22243" s="9"/>
      <c r="G22243" s="9"/>
      <c r="J22243" s="11"/>
      <c r="U22243" s="9"/>
      <c r="X22243" s="9"/>
    </row>
    <row r="22244">
      <c r="D22244" s="9"/>
      <c r="G22244" s="9"/>
      <c r="J22244" s="11"/>
      <c r="U22244" s="9"/>
      <c r="X22244" s="9"/>
    </row>
    <row r="22245">
      <c r="D22245" s="9"/>
      <c r="G22245" s="9"/>
      <c r="J22245" s="11"/>
      <c r="U22245" s="9"/>
      <c r="X22245" s="9"/>
    </row>
    <row r="22246">
      <c r="D22246" s="9"/>
      <c r="G22246" s="9"/>
      <c r="J22246" s="11"/>
      <c r="U22246" s="9"/>
      <c r="X22246" s="9"/>
    </row>
    <row r="22247">
      <c r="D22247" s="9"/>
      <c r="G22247" s="9"/>
      <c r="J22247" s="11"/>
      <c r="U22247" s="9"/>
      <c r="X22247" s="9"/>
    </row>
    <row r="22248">
      <c r="D22248" s="9"/>
      <c r="G22248" s="9"/>
      <c r="J22248" s="11"/>
      <c r="U22248" s="9"/>
      <c r="X22248" s="9"/>
    </row>
    <row r="22249">
      <c r="D22249" s="9"/>
      <c r="G22249" s="9"/>
      <c r="J22249" s="11"/>
      <c r="U22249" s="9"/>
      <c r="X22249" s="9"/>
    </row>
    <row r="22250">
      <c r="D22250" s="9"/>
      <c r="G22250" s="9"/>
      <c r="J22250" s="11"/>
      <c r="U22250" s="9"/>
      <c r="X22250" s="9"/>
    </row>
    <row r="22251">
      <c r="D22251" s="9"/>
      <c r="G22251" s="9"/>
      <c r="J22251" s="11"/>
      <c r="U22251" s="9"/>
      <c r="X22251" s="9"/>
    </row>
    <row r="22252">
      <c r="D22252" s="9"/>
      <c r="G22252" s="9"/>
      <c r="J22252" s="11"/>
      <c r="U22252" s="9"/>
      <c r="X22252" s="9"/>
    </row>
    <row r="22253">
      <c r="D22253" s="9"/>
      <c r="G22253" s="9"/>
      <c r="J22253" s="11"/>
      <c r="U22253" s="9"/>
      <c r="X22253" s="9"/>
    </row>
    <row r="22254">
      <c r="D22254" s="9"/>
      <c r="G22254" s="9"/>
      <c r="J22254" s="11"/>
      <c r="U22254" s="9"/>
      <c r="X22254" s="9"/>
    </row>
    <row r="22255">
      <c r="D22255" s="9"/>
      <c r="G22255" s="9"/>
      <c r="J22255" s="11"/>
      <c r="U22255" s="9"/>
      <c r="X22255" s="9"/>
    </row>
    <row r="22256">
      <c r="D22256" s="9"/>
      <c r="G22256" s="9"/>
      <c r="J22256" s="11"/>
      <c r="U22256" s="9"/>
      <c r="X22256" s="9"/>
    </row>
    <row r="22257">
      <c r="D22257" s="9"/>
      <c r="G22257" s="9"/>
      <c r="J22257" s="11"/>
      <c r="U22257" s="9"/>
      <c r="X22257" s="9"/>
    </row>
    <row r="22258">
      <c r="D22258" s="9"/>
      <c r="G22258" s="9"/>
      <c r="J22258" s="11"/>
      <c r="U22258" s="9"/>
      <c r="X22258" s="9"/>
    </row>
    <row r="22259">
      <c r="D22259" s="9"/>
      <c r="G22259" s="9"/>
      <c r="J22259" s="11"/>
      <c r="U22259" s="9"/>
      <c r="X22259" s="9"/>
    </row>
    <row r="22260">
      <c r="D22260" s="9"/>
      <c r="G22260" s="9"/>
      <c r="J22260" s="11"/>
      <c r="U22260" s="9"/>
      <c r="X22260" s="9"/>
    </row>
    <row r="22261">
      <c r="D22261" s="9"/>
      <c r="G22261" s="9"/>
      <c r="J22261" s="11"/>
      <c r="U22261" s="9"/>
      <c r="X22261" s="9"/>
    </row>
    <row r="22262">
      <c r="D22262" s="9"/>
      <c r="G22262" s="9"/>
      <c r="J22262" s="11"/>
      <c r="U22262" s="9"/>
      <c r="X22262" s="9"/>
    </row>
    <row r="22263">
      <c r="D22263" s="9"/>
      <c r="G22263" s="9"/>
      <c r="J22263" s="11"/>
      <c r="U22263" s="9"/>
      <c r="X22263" s="9"/>
    </row>
    <row r="22264">
      <c r="D22264" s="9"/>
      <c r="G22264" s="9"/>
      <c r="J22264" s="11"/>
      <c r="U22264" s="9"/>
      <c r="X22264" s="9"/>
    </row>
    <row r="22265">
      <c r="D22265" s="9"/>
      <c r="G22265" s="9"/>
      <c r="J22265" s="11"/>
      <c r="U22265" s="9"/>
      <c r="X22265" s="9"/>
    </row>
    <row r="22266">
      <c r="D22266" s="9"/>
      <c r="G22266" s="9"/>
      <c r="J22266" s="11"/>
      <c r="U22266" s="9"/>
      <c r="X22266" s="9"/>
    </row>
    <row r="22267">
      <c r="D22267" s="9"/>
      <c r="G22267" s="9"/>
      <c r="J22267" s="11"/>
      <c r="U22267" s="9"/>
      <c r="X22267" s="9"/>
    </row>
    <row r="22268">
      <c r="D22268" s="9"/>
      <c r="G22268" s="9"/>
      <c r="J22268" s="11"/>
      <c r="U22268" s="9"/>
      <c r="X22268" s="9"/>
    </row>
    <row r="22269">
      <c r="D22269" s="9"/>
      <c r="G22269" s="9"/>
      <c r="J22269" s="11"/>
      <c r="U22269" s="9"/>
      <c r="X22269" s="9"/>
    </row>
    <row r="22270">
      <c r="D22270" s="9"/>
      <c r="G22270" s="9"/>
      <c r="J22270" s="11"/>
      <c r="U22270" s="9"/>
      <c r="X22270" s="9"/>
    </row>
    <row r="22271">
      <c r="D22271" s="9"/>
      <c r="G22271" s="9"/>
      <c r="J22271" s="11"/>
      <c r="U22271" s="9"/>
      <c r="X22271" s="9"/>
    </row>
    <row r="22272">
      <c r="D22272" s="9"/>
      <c r="G22272" s="9"/>
      <c r="J22272" s="11"/>
      <c r="U22272" s="9"/>
      <c r="X22272" s="9"/>
    </row>
    <row r="22273">
      <c r="D22273" s="9"/>
      <c r="G22273" s="9"/>
      <c r="J22273" s="11"/>
      <c r="U22273" s="9"/>
      <c r="X22273" s="9"/>
    </row>
    <row r="22274">
      <c r="D22274" s="9"/>
      <c r="G22274" s="9"/>
      <c r="J22274" s="11"/>
      <c r="U22274" s="9"/>
      <c r="X22274" s="9"/>
    </row>
    <row r="22275">
      <c r="D22275" s="9"/>
      <c r="G22275" s="9"/>
      <c r="J22275" s="11"/>
      <c r="U22275" s="9"/>
      <c r="X22275" s="9"/>
    </row>
    <row r="22276">
      <c r="D22276" s="9"/>
      <c r="G22276" s="9"/>
      <c r="J22276" s="11"/>
      <c r="U22276" s="9"/>
      <c r="X22276" s="9"/>
    </row>
    <row r="22277">
      <c r="D22277" s="9"/>
      <c r="G22277" s="9"/>
      <c r="J22277" s="11"/>
      <c r="U22277" s="9"/>
      <c r="X22277" s="9"/>
    </row>
    <row r="22278">
      <c r="D22278" s="9"/>
      <c r="G22278" s="9"/>
      <c r="J22278" s="11"/>
      <c r="U22278" s="9"/>
      <c r="X22278" s="9"/>
    </row>
    <row r="22279">
      <c r="D22279" s="9"/>
      <c r="G22279" s="9"/>
      <c r="J22279" s="11"/>
      <c r="U22279" s="9"/>
      <c r="X22279" s="9"/>
    </row>
    <row r="22280">
      <c r="D22280" s="9"/>
      <c r="G22280" s="9"/>
      <c r="J22280" s="11"/>
      <c r="U22280" s="9"/>
      <c r="X22280" s="9"/>
    </row>
    <row r="22281">
      <c r="D22281" s="9"/>
      <c r="G22281" s="9"/>
      <c r="J22281" s="11"/>
      <c r="U22281" s="9"/>
      <c r="X22281" s="9"/>
    </row>
    <row r="22282">
      <c r="D22282" s="9"/>
      <c r="G22282" s="9"/>
      <c r="J22282" s="11"/>
      <c r="U22282" s="9"/>
      <c r="X22282" s="9"/>
    </row>
    <row r="22283">
      <c r="D22283" s="9"/>
      <c r="G22283" s="9"/>
      <c r="J22283" s="11"/>
      <c r="U22283" s="9"/>
      <c r="X22283" s="9"/>
    </row>
    <row r="22284">
      <c r="D22284" s="9"/>
      <c r="G22284" s="9"/>
      <c r="J22284" s="11"/>
      <c r="U22284" s="9"/>
      <c r="X22284" s="9"/>
    </row>
    <row r="22285">
      <c r="D22285" s="9"/>
      <c r="G22285" s="9"/>
      <c r="J22285" s="11"/>
      <c r="U22285" s="9"/>
      <c r="X22285" s="9"/>
    </row>
    <row r="22286">
      <c r="D22286" s="9"/>
      <c r="G22286" s="9"/>
      <c r="J22286" s="11"/>
      <c r="U22286" s="9"/>
      <c r="X22286" s="9"/>
    </row>
    <row r="22287">
      <c r="D22287" s="9"/>
      <c r="G22287" s="9"/>
      <c r="J22287" s="11"/>
      <c r="U22287" s="9"/>
      <c r="X22287" s="9"/>
    </row>
    <row r="22288">
      <c r="D22288" s="9"/>
      <c r="G22288" s="9"/>
      <c r="J22288" s="11"/>
      <c r="U22288" s="9"/>
      <c r="X22288" s="9"/>
    </row>
    <row r="22289">
      <c r="D22289" s="9"/>
      <c r="G22289" s="9"/>
      <c r="J22289" s="11"/>
      <c r="U22289" s="9"/>
      <c r="X22289" s="9"/>
    </row>
    <row r="22290">
      <c r="D22290" s="9"/>
      <c r="G22290" s="9"/>
      <c r="J22290" s="11"/>
      <c r="U22290" s="9"/>
      <c r="X22290" s="9"/>
    </row>
    <row r="22291">
      <c r="D22291" s="9"/>
      <c r="G22291" s="9"/>
      <c r="J22291" s="11"/>
      <c r="U22291" s="9"/>
      <c r="X22291" s="9"/>
    </row>
    <row r="22292">
      <c r="D22292" s="9"/>
      <c r="G22292" s="9"/>
      <c r="J22292" s="11"/>
      <c r="U22292" s="9"/>
      <c r="X22292" s="9"/>
    </row>
    <row r="22293">
      <c r="D22293" s="9"/>
      <c r="G22293" s="9"/>
      <c r="J22293" s="11"/>
      <c r="U22293" s="9"/>
      <c r="X22293" s="9"/>
    </row>
    <row r="22294">
      <c r="D22294" s="9"/>
      <c r="G22294" s="9"/>
      <c r="J22294" s="11"/>
      <c r="U22294" s="9"/>
      <c r="X22294" s="9"/>
    </row>
    <row r="22295">
      <c r="D22295" s="9"/>
      <c r="G22295" s="9"/>
      <c r="J22295" s="11"/>
      <c r="U22295" s="9"/>
      <c r="X22295" s="9"/>
    </row>
    <row r="22296">
      <c r="D22296" s="9"/>
      <c r="G22296" s="9"/>
      <c r="J22296" s="11"/>
      <c r="U22296" s="9"/>
      <c r="X22296" s="9"/>
    </row>
    <row r="22297">
      <c r="D22297" s="9"/>
      <c r="G22297" s="9"/>
      <c r="J22297" s="11"/>
      <c r="U22297" s="9"/>
      <c r="X22297" s="9"/>
    </row>
    <row r="22298">
      <c r="D22298" s="9"/>
      <c r="G22298" s="9"/>
      <c r="J22298" s="11"/>
      <c r="U22298" s="9"/>
      <c r="X22298" s="9"/>
    </row>
    <row r="22299">
      <c r="D22299" s="9"/>
      <c r="G22299" s="9"/>
      <c r="J22299" s="11"/>
      <c r="U22299" s="9"/>
      <c r="X22299" s="9"/>
    </row>
    <row r="22300">
      <c r="D22300" s="9"/>
      <c r="G22300" s="9"/>
      <c r="J22300" s="11"/>
      <c r="U22300" s="9"/>
      <c r="X22300" s="9"/>
    </row>
    <row r="22301">
      <c r="D22301" s="9"/>
      <c r="G22301" s="9"/>
      <c r="J22301" s="11"/>
      <c r="U22301" s="9"/>
      <c r="X22301" s="9"/>
    </row>
    <row r="22302">
      <c r="D22302" s="9"/>
      <c r="G22302" s="9"/>
      <c r="J22302" s="11"/>
      <c r="U22302" s="9"/>
      <c r="X22302" s="9"/>
    </row>
    <row r="22303">
      <c r="D22303" s="9"/>
      <c r="G22303" s="9"/>
      <c r="J22303" s="11"/>
      <c r="U22303" s="9"/>
      <c r="X22303" s="9"/>
    </row>
    <row r="22304">
      <c r="D22304" s="9"/>
      <c r="G22304" s="9"/>
      <c r="J22304" s="11"/>
      <c r="U22304" s="9"/>
      <c r="X22304" s="9"/>
    </row>
    <row r="22305">
      <c r="D22305" s="9"/>
      <c r="G22305" s="9"/>
      <c r="J22305" s="11"/>
      <c r="U22305" s="9"/>
      <c r="X22305" s="9"/>
    </row>
    <row r="22306">
      <c r="D22306" s="9"/>
      <c r="G22306" s="9"/>
      <c r="J22306" s="11"/>
      <c r="U22306" s="9"/>
      <c r="X22306" s="9"/>
    </row>
    <row r="22307">
      <c r="D22307" s="9"/>
      <c r="G22307" s="9"/>
      <c r="J22307" s="11"/>
      <c r="U22307" s="9"/>
      <c r="X22307" s="9"/>
    </row>
    <row r="22308">
      <c r="D22308" s="9"/>
      <c r="G22308" s="9"/>
      <c r="J22308" s="11"/>
      <c r="U22308" s="9"/>
      <c r="X22308" s="9"/>
    </row>
    <row r="22309">
      <c r="D22309" s="9"/>
      <c r="G22309" s="9"/>
      <c r="J22309" s="11"/>
      <c r="U22309" s="9"/>
      <c r="X22309" s="9"/>
    </row>
    <row r="22310">
      <c r="D22310" s="9"/>
      <c r="G22310" s="9"/>
      <c r="J22310" s="11"/>
      <c r="U22310" s="9"/>
      <c r="X22310" s="9"/>
    </row>
    <row r="22311">
      <c r="D22311" s="9"/>
      <c r="G22311" s="9"/>
      <c r="J22311" s="11"/>
      <c r="U22311" s="9"/>
      <c r="X22311" s="9"/>
    </row>
    <row r="22312">
      <c r="D22312" s="9"/>
      <c r="G22312" s="9"/>
      <c r="J22312" s="11"/>
      <c r="U22312" s="9"/>
      <c r="X22312" s="9"/>
    </row>
    <row r="22313">
      <c r="D22313" s="9"/>
      <c r="G22313" s="9"/>
      <c r="J22313" s="11"/>
      <c r="U22313" s="9"/>
      <c r="X22313" s="9"/>
    </row>
    <row r="22314">
      <c r="D22314" s="9"/>
      <c r="G22314" s="9"/>
      <c r="J22314" s="11"/>
      <c r="U22314" s="9"/>
      <c r="X22314" s="9"/>
    </row>
    <row r="22315">
      <c r="D22315" s="9"/>
      <c r="G22315" s="9"/>
      <c r="J22315" s="11"/>
      <c r="U22315" s="9"/>
      <c r="X22315" s="9"/>
    </row>
    <row r="22316">
      <c r="D22316" s="9"/>
      <c r="G22316" s="9"/>
      <c r="J22316" s="11"/>
      <c r="U22316" s="9"/>
      <c r="X22316" s="9"/>
    </row>
    <row r="22317">
      <c r="D22317" s="9"/>
      <c r="G22317" s="9"/>
      <c r="J22317" s="11"/>
      <c r="U22317" s="9"/>
      <c r="X22317" s="9"/>
    </row>
    <row r="22318">
      <c r="D22318" s="9"/>
      <c r="G22318" s="9"/>
      <c r="J22318" s="11"/>
      <c r="U22318" s="9"/>
      <c r="X22318" s="9"/>
    </row>
    <row r="22319">
      <c r="D22319" s="9"/>
      <c r="G22319" s="9"/>
      <c r="J22319" s="11"/>
      <c r="U22319" s="9"/>
      <c r="X22319" s="9"/>
    </row>
    <row r="22320">
      <c r="D22320" s="9"/>
      <c r="G22320" s="9"/>
      <c r="J22320" s="11"/>
      <c r="U22320" s="9"/>
      <c r="X22320" s="9"/>
    </row>
    <row r="22321">
      <c r="D22321" s="9"/>
      <c r="G22321" s="9"/>
      <c r="J22321" s="11"/>
      <c r="U22321" s="9"/>
      <c r="X22321" s="9"/>
    </row>
    <row r="22322">
      <c r="D22322" s="9"/>
      <c r="G22322" s="9"/>
      <c r="J22322" s="11"/>
      <c r="U22322" s="9"/>
      <c r="X22322" s="9"/>
    </row>
    <row r="22323">
      <c r="D22323" s="9"/>
      <c r="G22323" s="9"/>
      <c r="J22323" s="11"/>
      <c r="U22323" s="9"/>
      <c r="X22323" s="9"/>
    </row>
    <row r="22324">
      <c r="D22324" s="9"/>
      <c r="G22324" s="9"/>
      <c r="J22324" s="11"/>
      <c r="U22324" s="9"/>
      <c r="X22324" s="9"/>
    </row>
    <row r="22325">
      <c r="D22325" s="9"/>
      <c r="G22325" s="9"/>
      <c r="J22325" s="11"/>
      <c r="U22325" s="9"/>
      <c r="X22325" s="9"/>
    </row>
    <row r="22326">
      <c r="D22326" s="9"/>
      <c r="G22326" s="9"/>
      <c r="J22326" s="11"/>
      <c r="U22326" s="9"/>
      <c r="X22326" s="9"/>
    </row>
    <row r="22327">
      <c r="D22327" s="9"/>
      <c r="G22327" s="9"/>
      <c r="J22327" s="11"/>
      <c r="U22327" s="9"/>
      <c r="X22327" s="9"/>
    </row>
    <row r="22328">
      <c r="D22328" s="9"/>
      <c r="G22328" s="9"/>
      <c r="J22328" s="11"/>
      <c r="U22328" s="9"/>
      <c r="X22328" s="9"/>
    </row>
    <row r="22329">
      <c r="D22329" s="9"/>
      <c r="G22329" s="9"/>
      <c r="J22329" s="11"/>
      <c r="U22329" s="9"/>
      <c r="X22329" s="9"/>
    </row>
    <row r="22330">
      <c r="D22330" s="9"/>
      <c r="G22330" s="9"/>
      <c r="J22330" s="11"/>
      <c r="U22330" s="9"/>
      <c r="X22330" s="9"/>
    </row>
    <row r="22331">
      <c r="D22331" s="9"/>
      <c r="G22331" s="9"/>
      <c r="J22331" s="11"/>
      <c r="U22331" s="9"/>
      <c r="X22331" s="9"/>
    </row>
    <row r="22332">
      <c r="D22332" s="9"/>
      <c r="G22332" s="9"/>
      <c r="J22332" s="11"/>
      <c r="U22332" s="9"/>
      <c r="X22332" s="9"/>
    </row>
    <row r="22333">
      <c r="D22333" s="9"/>
      <c r="G22333" s="9"/>
      <c r="J22333" s="11"/>
      <c r="U22333" s="9"/>
      <c r="X22333" s="9"/>
    </row>
    <row r="22334">
      <c r="D22334" s="9"/>
      <c r="G22334" s="9"/>
      <c r="J22334" s="11"/>
      <c r="U22334" s="9"/>
      <c r="X22334" s="9"/>
    </row>
    <row r="22335">
      <c r="D22335" s="9"/>
      <c r="G22335" s="9"/>
      <c r="J22335" s="11"/>
      <c r="U22335" s="9"/>
      <c r="X22335" s="9"/>
    </row>
    <row r="22336">
      <c r="D22336" s="9"/>
      <c r="G22336" s="9"/>
      <c r="J22336" s="11"/>
      <c r="U22336" s="9"/>
      <c r="X22336" s="9"/>
    </row>
    <row r="22337">
      <c r="D22337" s="9"/>
      <c r="G22337" s="9"/>
      <c r="J22337" s="11"/>
      <c r="U22337" s="9"/>
      <c r="X22337" s="9"/>
    </row>
    <row r="22338">
      <c r="D22338" s="9"/>
      <c r="G22338" s="9"/>
      <c r="J22338" s="11"/>
      <c r="U22338" s="9"/>
      <c r="X22338" s="9"/>
    </row>
    <row r="22339">
      <c r="D22339" s="9"/>
      <c r="G22339" s="9"/>
      <c r="J22339" s="11"/>
      <c r="U22339" s="9"/>
      <c r="X22339" s="9"/>
    </row>
    <row r="22340">
      <c r="D22340" s="9"/>
      <c r="G22340" s="9"/>
      <c r="J22340" s="11"/>
      <c r="U22340" s="9"/>
      <c r="X22340" s="9"/>
    </row>
    <row r="22341">
      <c r="D22341" s="9"/>
      <c r="G22341" s="9"/>
      <c r="J22341" s="11"/>
      <c r="U22341" s="9"/>
      <c r="X22341" s="9"/>
    </row>
    <row r="22342">
      <c r="D22342" s="9"/>
      <c r="G22342" s="9"/>
      <c r="J22342" s="11"/>
      <c r="U22342" s="9"/>
      <c r="X22342" s="9"/>
    </row>
    <row r="22343">
      <c r="D22343" s="9"/>
      <c r="G22343" s="9"/>
      <c r="J22343" s="11"/>
      <c r="U22343" s="9"/>
      <c r="X22343" s="9"/>
    </row>
    <row r="22344">
      <c r="D22344" s="9"/>
      <c r="G22344" s="9"/>
      <c r="J22344" s="11"/>
      <c r="U22344" s="9"/>
      <c r="X22344" s="9"/>
    </row>
    <row r="22345">
      <c r="D22345" s="9"/>
      <c r="G22345" s="9"/>
      <c r="J22345" s="11"/>
      <c r="U22345" s="9"/>
      <c r="X22345" s="9"/>
    </row>
    <row r="22346">
      <c r="D22346" s="9"/>
      <c r="G22346" s="9"/>
      <c r="J22346" s="11"/>
      <c r="U22346" s="9"/>
      <c r="X22346" s="9"/>
    </row>
    <row r="22347">
      <c r="D22347" s="9"/>
      <c r="G22347" s="9"/>
      <c r="J22347" s="11"/>
      <c r="U22347" s="9"/>
      <c r="X22347" s="9"/>
    </row>
    <row r="22348">
      <c r="D22348" s="9"/>
      <c r="G22348" s="9"/>
      <c r="J22348" s="11"/>
      <c r="U22348" s="9"/>
      <c r="X22348" s="9"/>
    </row>
    <row r="22349">
      <c r="D22349" s="9"/>
      <c r="G22349" s="9"/>
      <c r="J22349" s="11"/>
      <c r="U22349" s="9"/>
      <c r="X22349" s="9"/>
    </row>
    <row r="22350">
      <c r="D22350" s="9"/>
      <c r="G22350" s="9"/>
      <c r="J22350" s="11"/>
      <c r="U22350" s="9"/>
      <c r="X22350" s="9"/>
    </row>
    <row r="22351">
      <c r="D22351" s="9"/>
      <c r="G22351" s="9"/>
      <c r="J22351" s="11"/>
      <c r="U22351" s="9"/>
      <c r="X22351" s="9"/>
    </row>
    <row r="22352">
      <c r="D22352" s="9"/>
      <c r="G22352" s="9"/>
      <c r="J22352" s="11"/>
      <c r="U22352" s="9"/>
      <c r="X22352" s="9"/>
    </row>
    <row r="22353">
      <c r="D22353" s="9"/>
      <c r="G22353" s="9"/>
      <c r="J22353" s="11"/>
      <c r="U22353" s="9"/>
      <c r="X22353" s="9"/>
    </row>
    <row r="22354">
      <c r="D22354" s="9"/>
      <c r="G22354" s="9"/>
      <c r="J22354" s="11"/>
      <c r="U22354" s="9"/>
      <c r="X22354" s="9"/>
    </row>
    <row r="22355">
      <c r="D22355" s="9"/>
      <c r="G22355" s="9"/>
      <c r="J22355" s="11"/>
      <c r="U22355" s="9"/>
      <c r="X22355" s="9"/>
    </row>
    <row r="22356">
      <c r="D22356" s="9"/>
      <c r="G22356" s="9"/>
      <c r="J22356" s="11"/>
      <c r="U22356" s="9"/>
      <c r="X22356" s="9"/>
    </row>
    <row r="22357">
      <c r="D22357" s="9"/>
      <c r="G22357" s="9"/>
      <c r="J22357" s="11"/>
      <c r="U22357" s="9"/>
      <c r="X22357" s="9"/>
    </row>
    <row r="22358">
      <c r="D22358" s="9"/>
      <c r="G22358" s="9"/>
      <c r="J22358" s="11"/>
      <c r="U22358" s="9"/>
      <c r="X22358" s="9"/>
    </row>
    <row r="22359">
      <c r="D22359" s="9"/>
      <c r="G22359" s="9"/>
      <c r="J22359" s="11"/>
      <c r="U22359" s="9"/>
      <c r="X22359" s="9"/>
    </row>
    <row r="22360">
      <c r="D22360" s="9"/>
      <c r="G22360" s="9"/>
      <c r="J22360" s="11"/>
      <c r="U22360" s="9"/>
      <c r="X22360" s="9"/>
    </row>
    <row r="22361">
      <c r="D22361" s="9"/>
      <c r="G22361" s="9"/>
      <c r="J22361" s="11"/>
      <c r="U22361" s="9"/>
      <c r="X22361" s="9"/>
    </row>
    <row r="22362">
      <c r="D22362" s="9"/>
      <c r="G22362" s="9"/>
      <c r="J22362" s="11"/>
      <c r="U22362" s="9"/>
      <c r="X22362" s="9"/>
    </row>
    <row r="22363">
      <c r="D22363" s="9"/>
      <c r="G22363" s="9"/>
      <c r="J22363" s="11"/>
      <c r="U22363" s="9"/>
      <c r="X22363" s="9"/>
    </row>
    <row r="22364">
      <c r="D22364" s="9"/>
      <c r="G22364" s="9"/>
      <c r="J22364" s="11"/>
      <c r="U22364" s="9"/>
      <c r="X22364" s="9"/>
    </row>
    <row r="22365">
      <c r="D22365" s="9"/>
      <c r="G22365" s="9"/>
      <c r="J22365" s="11"/>
      <c r="U22365" s="9"/>
      <c r="X22365" s="9"/>
    </row>
    <row r="22366">
      <c r="D22366" s="9"/>
      <c r="G22366" s="9"/>
      <c r="J22366" s="11"/>
      <c r="U22366" s="9"/>
      <c r="X22366" s="9"/>
    </row>
    <row r="22367">
      <c r="D22367" s="9"/>
      <c r="G22367" s="9"/>
      <c r="J22367" s="11"/>
      <c r="U22367" s="9"/>
      <c r="X22367" s="9"/>
    </row>
    <row r="22368">
      <c r="D22368" s="9"/>
      <c r="G22368" s="9"/>
      <c r="J22368" s="11"/>
      <c r="U22368" s="9"/>
      <c r="X22368" s="9"/>
    </row>
    <row r="22369">
      <c r="D22369" s="9"/>
      <c r="G22369" s="9"/>
      <c r="J22369" s="11"/>
      <c r="U22369" s="9"/>
      <c r="X22369" s="9"/>
    </row>
    <row r="22370">
      <c r="D22370" s="9"/>
      <c r="G22370" s="9"/>
      <c r="J22370" s="11"/>
      <c r="U22370" s="9"/>
      <c r="X22370" s="9"/>
    </row>
    <row r="22371">
      <c r="D22371" s="9"/>
      <c r="G22371" s="9"/>
      <c r="J22371" s="11"/>
      <c r="U22371" s="9"/>
      <c r="X22371" s="9"/>
    </row>
    <row r="22372">
      <c r="D22372" s="9"/>
      <c r="G22372" s="9"/>
      <c r="J22372" s="11"/>
      <c r="U22372" s="9"/>
      <c r="X22372" s="9"/>
    </row>
    <row r="22373">
      <c r="D22373" s="9"/>
      <c r="G22373" s="9"/>
      <c r="J22373" s="11"/>
      <c r="U22373" s="9"/>
      <c r="X22373" s="9"/>
    </row>
    <row r="22374">
      <c r="D22374" s="9"/>
      <c r="G22374" s="9"/>
      <c r="J22374" s="11"/>
      <c r="U22374" s="9"/>
      <c r="X22374" s="9"/>
    </row>
    <row r="22375">
      <c r="D22375" s="9"/>
      <c r="G22375" s="9"/>
      <c r="J22375" s="11"/>
      <c r="U22375" s="9"/>
      <c r="X22375" s="9"/>
    </row>
    <row r="22376">
      <c r="D22376" s="9"/>
      <c r="G22376" s="9"/>
      <c r="J22376" s="11"/>
      <c r="U22376" s="9"/>
      <c r="X22376" s="9"/>
    </row>
    <row r="22377">
      <c r="D22377" s="9"/>
      <c r="G22377" s="9"/>
      <c r="J22377" s="11"/>
      <c r="U22377" s="9"/>
      <c r="X22377" s="9"/>
    </row>
    <row r="22378">
      <c r="D22378" s="9"/>
      <c r="G22378" s="9"/>
      <c r="J22378" s="11"/>
      <c r="U22378" s="9"/>
      <c r="X22378" s="9"/>
    </row>
    <row r="22379">
      <c r="D22379" s="9"/>
      <c r="G22379" s="9"/>
      <c r="J22379" s="11"/>
      <c r="U22379" s="9"/>
      <c r="X22379" s="9"/>
    </row>
    <row r="22380">
      <c r="D22380" s="9"/>
      <c r="G22380" s="9"/>
      <c r="J22380" s="11"/>
      <c r="U22380" s="9"/>
      <c r="X22380" s="9"/>
    </row>
    <row r="22381">
      <c r="D22381" s="9"/>
      <c r="G22381" s="9"/>
      <c r="J22381" s="11"/>
      <c r="U22381" s="9"/>
      <c r="X22381" s="9"/>
    </row>
    <row r="22382">
      <c r="D22382" s="9"/>
      <c r="G22382" s="9"/>
      <c r="J22382" s="11"/>
      <c r="U22382" s="9"/>
      <c r="X22382" s="9"/>
    </row>
    <row r="22383">
      <c r="D22383" s="9"/>
      <c r="G22383" s="9"/>
      <c r="J22383" s="11"/>
      <c r="U22383" s="9"/>
      <c r="X22383" s="9"/>
    </row>
    <row r="22384">
      <c r="D22384" s="9"/>
      <c r="G22384" s="9"/>
      <c r="J22384" s="11"/>
      <c r="U22384" s="9"/>
      <c r="X22384" s="9"/>
    </row>
    <row r="22385">
      <c r="D22385" s="9"/>
      <c r="G22385" s="9"/>
      <c r="J22385" s="11"/>
      <c r="U22385" s="9"/>
      <c r="X22385" s="9"/>
    </row>
    <row r="22386">
      <c r="D22386" s="9"/>
      <c r="G22386" s="9"/>
      <c r="J22386" s="11"/>
      <c r="U22386" s="9"/>
      <c r="X22386" s="9"/>
    </row>
    <row r="22387">
      <c r="D22387" s="9"/>
      <c r="G22387" s="9"/>
      <c r="J22387" s="11"/>
      <c r="U22387" s="9"/>
      <c r="X22387" s="9"/>
    </row>
    <row r="22388">
      <c r="D22388" s="9"/>
      <c r="G22388" s="9"/>
      <c r="J22388" s="11"/>
      <c r="U22388" s="9"/>
      <c r="X22388" s="9"/>
    </row>
    <row r="22389">
      <c r="D22389" s="9"/>
      <c r="G22389" s="9"/>
      <c r="J22389" s="11"/>
      <c r="U22389" s="9"/>
      <c r="X22389" s="9"/>
    </row>
    <row r="22390">
      <c r="D22390" s="9"/>
      <c r="G22390" s="9"/>
      <c r="J22390" s="11"/>
      <c r="U22390" s="9"/>
      <c r="X22390" s="9"/>
    </row>
    <row r="22391">
      <c r="D22391" s="9"/>
      <c r="G22391" s="9"/>
      <c r="J22391" s="11"/>
      <c r="U22391" s="9"/>
      <c r="X22391" s="9"/>
    </row>
    <row r="22392">
      <c r="D22392" s="9"/>
      <c r="G22392" s="9"/>
      <c r="J22392" s="11"/>
      <c r="U22392" s="9"/>
      <c r="X22392" s="9"/>
    </row>
    <row r="22393">
      <c r="D22393" s="9"/>
      <c r="G22393" s="9"/>
      <c r="J22393" s="11"/>
      <c r="U22393" s="9"/>
      <c r="X22393" s="9"/>
    </row>
    <row r="22394">
      <c r="D22394" s="9"/>
      <c r="G22394" s="9"/>
      <c r="J22394" s="11"/>
      <c r="U22394" s="9"/>
      <c r="X22394" s="9"/>
    </row>
    <row r="22395">
      <c r="D22395" s="9"/>
      <c r="G22395" s="9"/>
      <c r="J22395" s="11"/>
      <c r="U22395" s="9"/>
      <c r="X22395" s="9"/>
    </row>
    <row r="22396">
      <c r="D22396" s="9"/>
      <c r="G22396" s="9"/>
      <c r="J22396" s="11"/>
      <c r="U22396" s="9"/>
      <c r="X22396" s="9"/>
    </row>
    <row r="22397">
      <c r="D22397" s="9"/>
      <c r="G22397" s="9"/>
      <c r="J22397" s="11"/>
      <c r="U22397" s="9"/>
      <c r="X22397" s="9"/>
    </row>
    <row r="22398">
      <c r="D22398" s="9"/>
      <c r="G22398" s="9"/>
      <c r="J22398" s="11"/>
      <c r="U22398" s="9"/>
      <c r="X22398" s="9"/>
    </row>
    <row r="22399">
      <c r="D22399" s="9"/>
      <c r="G22399" s="9"/>
      <c r="J22399" s="11"/>
      <c r="U22399" s="9"/>
      <c r="X22399" s="9"/>
    </row>
    <row r="22400">
      <c r="D22400" s="9"/>
      <c r="G22400" s="9"/>
      <c r="J22400" s="11"/>
      <c r="U22400" s="9"/>
      <c r="X22400" s="9"/>
    </row>
    <row r="22401">
      <c r="D22401" s="9"/>
      <c r="G22401" s="9"/>
      <c r="J22401" s="11"/>
      <c r="U22401" s="9"/>
      <c r="X22401" s="9"/>
    </row>
    <row r="22402">
      <c r="D22402" s="9"/>
      <c r="G22402" s="9"/>
      <c r="J22402" s="11"/>
      <c r="U22402" s="9"/>
      <c r="X22402" s="9"/>
    </row>
    <row r="22403">
      <c r="D22403" s="9"/>
      <c r="G22403" s="9"/>
      <c r="J22403" s="11"/>
      <c r="U22403" s="9"/>
      <c r="X22403" s="9"/>
    </row>
    <row r="22404">
      <c r="D22404" s="9"/>
      <c r="G22404" s="9"/>
      <c r="J22404" s="11"/>
      <c r="U22404" s="9"/>
      <c r="X22404" s="9"/>
    </row>
    <row r="22405">
      <c r="D22405" s="9"/>
      <c r="G22405" s="9"/>
      <c r="J22405" s="11"/>
      <c r="U22405" s="9"/>
      <c r="X22405" s="9"/>
    </row>
    <row r="22406">
      <c r="D22406" s="9"/>
      <c r="G22406" s="9"/>
      <c r="J22406" s="11"/>
      <c r="U22406" s="9"/>
      <c r="X22406" s="9"/>
    </row>
    <row r="22407">
      <c r="D22407" s="9"/>
      <c r="G22407" s="9"/>
      <c r="J22407" s="11"/>
      <c r="U22407" s="9"/>
      <c r="X22407" s="9"/>
    </row>
    <row r="22408">
      <c r="D22408" s="9"/>
      <c r="G22408" s="9"/>
      <c r="J22408" s="11"/>
      <c r="U22408" s="9"/>
      <c r="X22408" s="9"/>
    </row>
    <row r="22409">
      <c r="D22409" s="9"/>
      <c r="G22409" s="9"/>
      <c r="J22409" s="11"/>
      <c r="U22409" s="9"/>
      <c r="X22409" s="9"/>
    </row>
    <row r="22410">
      <c r="D22410" s="9"/>
      <c r="G22410" s="9"/>
      <c r="J22410" s="11"/>
      <c r="U22410" s="9"/>
      <c r="X22410" s="9"/>
    </row>
    <row r="22411">
      <c r="D22411" s="9"/>
      <c r="G22411" s="9"/>
      <c r="J22411" s="11"/>
      <c r="U22411" s="9"/>
      <c r="X22411" s="9"/>
    </row>
    <row r="22412">
      <c r="D22412" s="9"/>
      <c r="G22412" s="9"/>
      <c r="J22412" s="11"/>
      <c r="U22412" s="9"/>
      <c r="X22412" s="9"/>
    </row>
    <row r="22413">
      <c r="D22413" s="9"/>
      <c r="G22413" s="9"/>
      <c r="J22413" s="11"/>
      <c r="U22413" s="9"/>
      <c r="X22413" s="9"/>
    </row>
    <row r="22414">
      <c r="D22414" s="9"/>
      <c r="G22414" s="9"/>
      <c r="J22414" s="11"/>
      <c r="U22414" s="9"/>
      <c r="X22414" s="9"/>
    </row>
    <row r="22415">
      <c r="D22415" s="9"/>
      <c r="G22415" s="9"/>
      <c r="J22415" s="11"/>
      <c r="U22415" s="9"/>
      <c r="X22415" s="9"/>
    </row>
    <row r="22416">
      <c r="D22416" s="9"/>
      <c r="G22416" s="9"/>
      <c r="J22416" s="11"/>
      <c r="U22416" s="9"/>
      <c r="X22416" s="9"/>
    </row>
    <row r="22417">
      <c r="D22417" s="9"/>
      <c r="G22417" s="9"/>
      <c r="J22417" s="11"/>
      <c r="U22417" s="9"/>
      <c r="X22417" s="9"/>
    </row>
    <row r="22418">
      <c r="D22418" s="9"/>
      <c r="G22418" s="9"/>
      <c r="J22418" s="11"/>
      <c r="U22418" s="9"/>
      <c r="X22418" s="9"/>
    </row>
    <row r="22419">
      <c r="D22419" s="9"/>
      <c r="G22419" s="9"/>
      <c r="J22419" s="11"/>
      <c r="U22419" s="9"/>
      <c r="X22419" s="9"/>
    </row>
    <row r="22420">
      <c r="D22420" s="9"/>
      <c r="G22420" s="9"/>
      <c r="J22420" s="11"/>
      <c r="U22420" s="9"/>
      <c r="X22420" s="9"/>
    </row>
    <row r="22421">
      <c r="D22421" s="9"/>
      <c r="G22421" s="9"/>
      <c r="J22421" s="11"/>
      <c r="U22421" s="9"/>
      <c r="X22421" s="9"/>
    </row>
    <row r="22422">
      <c r="D22422" s="9"/>
      <c r="G22422" s="9"/>
      <c r="J22422" s="11"/>
      <c r="U22422" s="9"/>
      <c r="X22422" s="9"/>
    </row>
    <row r="22423">
      <c r="D22423" s="9"/>
      <c r="G22423" s="9"/>
      <c r="J22423" s="11"/>
      <c r="U22423" s="9"/>
      <c r="X22423" s="9"/>
    </row>
    <row r="22424">
      <c r="D22424" s="9"/>
      <c r="G22424" s="9"/>
      <c r="J22424" s="11"/>
      <c r="U22424" s="9"/>
      <c r="X22424" s="9"/>
    </row>
    <row r="22425">
      <c r="D22425" s="9"/>
      <c r="G22425" s="9"/>
      <c r="J22425" s="11"/>
      <c r="U22425" s="9"/>
      <c r="X22425" s="9"/>
    </row>
    <row r="22426">
      <c r="D22426" s="9"/>
      <c r="G22426" s="9"/>
      <c r="J22426" s="11"/>
      <c r="U22426" s="9"/>
      <c r="X22426" s="9"/>
    </row>
    <row r="22427">
      <c r="D22427" s="9"/>
      <c r="G22427" s="9"/>
      <c r="J22427" s="11"/>
      <c r="U22427" s="9"/>
      <c r="X22427" s="9"/>
    </row>
    <row r="22428">
      <c r="D22428" s="9"/>
      <c r="G22428" s="9"/>
      <c r="J22428" s="11"/>
      <c r="U22428" s="9"/>
      <c r="X22428" s="9"/>
    </row>
    <row r="22429">
      <c r="D22429" s="9"/>
      <c r="G22429" s="9"/>
      <c r="J22429" s="11"/>
      <c r="U22429" s="9"/>
      <c r="X22429" s="9"/>
    </row>
    <row r="22430">
      <c r="D22430" s="9"/>
      <c r="G22430" s="9"/>
      <c r="J22430" s="11"/>
      <c r="U22430" s="9"/>
      <c r="X22430" s="9"/>
    </row>
    <row r="22431">
      <c r="D22431" s="9"/>
      <c r="G22431" s="9"/>
      <c r="J22431" s="11"/>
      <c r="U22431" s="9"/>
      <c r="X22431" s="9"/>
    </row>
    <row r="22432">
      <c r="D22432" s="9"/>
      <c r="G22432" s="9"/>
      <c r="J22432" s="11"/>
      <c r="U22432" s="9"/>
      <c r="X22432" s="9"/>
    </row>
    <row r="22433">
      <c r="D22433" s="9"/>
      <c r="G22433" s="9"/>
      <c r="J22433" s="11"/>
      <c r="U22433" s="9"/>
      <c r="X22433" s="9"/>
    </row>
    <row r="22434">
      <c r="D22434" s="9"/>
      <c r="G22434" s="9"/>
      <c r="J22434" s="11"/>
      <c r="U22434" s="9"/>
      <c r="X22434" s="9"/>
    </row>
    <row r="22435">
      <c r="D22435" s="9"/>
      <c r="G22435" s="9"/>
      <c r="J22435" s="11"/>
      <c r="U22435" s="9"/>
      <c r="X22435" s="9"/>
    </row>
    <row r="22436">
      <c r="D22436" s="9"/>
      <c r="G22436" s="9"/>
      <c r="J22436" s="11"/>
      <c r="U22436" s="9"/>
      <c r="X22436" s="9"/>
    </row>
    <row r="22437">
      <c r="D22437" s="9"/>
      <c r="G22437" s="9"/>
      <c r="J22437" s="11"/>
      <c r="U22437" s="9"/>
      <c r="X22437" s="9"/>
    </row>
    <row r="22438">
      <c r="D22438" s="9"/>
      <c r="G22438" s="9"/>
      <c r="J22438" s="11"/>
      <c r="U22438" s="9"/>
      <c r="X22438" s="9"/>
    </row>
    <row r="22439">
      <c r="D22439" s="9"/>
      <c r="G22439" s="9"/>
      <c r="J22439" s="11"/>
      <c r="U22439" s="9"/>
      <c r="X22439" s="9"/>
    </row>
    <row r="22440">
      <c r="D22440" s="9"/>
      <c r="G22440" s="9"/>
      <c r="J22440" s="11"/>
      <c r="U22440" s="9"/>
      <c r="X22440" s="9"/>
    </row>
    <row r="22441">
      <c r="D22441" s="9"/>
      <c r="G22441" s="9"/>
      <c r="J22441" s="11"/>
      <c r="U22441" s="9"/>
      <c r="X22441" s="9"/>
    </row>
    <row r="22442">
      <c r="D22442" s="9"/>
      <c r="G22442" s="9"/>
      <c r="J22442" s="11"/>
      <c r="U22442" s="9"/>
      <c r="X22442" s="9"/>
    </row>
    <row r="22443">
      <c r="D22443" s="9"/>
      <c r="G22443" s="9"/>
      <c r="J22443" s="11"/>
      <c r="U22443" s="9"/>
      <c r="X22443" s="9"/>
    </row>
    <row r="22444">
      <c r="D22444" s="9"/>
      <c r="G22444" s="9"/>
      <c r="J22444" s="11"/>
      <c r="U22444" s="9"/>
      <c r="X22444" s="9"/>
    </row>
    <row r="22445">
      <c r="D22445" s="9"/>
      <c r="G22445" s="9"/>
      <c r="J22445" s="11"/>
      <c r="U22445" s="9"/>
      <c r="X22445" s="9"/>
    </row>
    <row r="22446">
      <c r="D22446" s="9"/>
      <c r="G22446" s="9"/>
      <c r="J22446" s="11"/>
      <c r="U22446" s="9"/>
      <c r="X22446" s="9"/>
    </row>
    <row r="22447">
      <c r="D22447" s="9"/>
      <c r="G22447" s="9"/>
      <c r="J22447" s="11"/>
      <c r="U22447" s="9"/>
      <c r="X22447" s="9"/>
    </row>
    <row r="22448">
      <c r="D22448" s="9"/>
      <c r="G22448" s="9"/>
      <c r="J22448" s="11"/>
      <c r="U22448" s="9"/>
      <c r="X22448" s="9"/>
    </row>
    <row r="22449">
      <c r="D22449" s="9"/>
      <c r="G22449" s="9"/>
      <c r="J22449" s="11"/>
      <c r="U22449" s="9"/>
      <c r="X22449" s="9"/>
    </row>
    <row r="22450">
      <c r="D22450" s="9"/>
      <c r="G22450" s="9"/>
      <c r="J22450" s="11"/>
      <c r="U22450" s="9"/>
      <c r="X22450" s="9"/>
    </row>
    <row r="22451">
      <c r="D22451" s="9"/>
      <c r="G22451" s="9"/>
      <c r="J22451" s="11"/>
      <c r="U22451" s="9"/>
      <c r="X22451" s="9"/>
    </row>
    <row r="22452">
      <c r="D22452" s="9"/>
      <c r="G22452" s="9"/>
      <c r="J22452" s="11"/>
      <c r="U22452" s="9"/>
      <c r="X22452" s="9"/>
    </row>
    <row r="22453">
      <c r="D22453" s="9"/>
      <c r="G22453" s="9"/>
      <c r="J22453" s="11"/>
      <c r="U22453" s="9"/>
      <c r="X22453" s="9"/>
    </row>
    <row r="22454">
      <c r="D22454" s="9"/>
      <c r="G22454" s="9"/>
      <c r="J22454" s="11"/>
      <c r="U22454" s="9"/>
      <c r="X22454" s="9"/>
    </row>
    <row r="22455">
      <c r="D22455" s="9"/>
      <c r="G22455" s="9"/>
      <c r="J22455" s="11"/>
      <c r="U22455" s="9"/>
      <c r="X22455" s="9"/>
    </row>
    <row r="22456">
      <c r="D22456" s="9"/>
      <c r="G22456" s="9"/>
      <c r="J22456" s="11"/>
      <c r="U22456" s="9"/>
      <c r="X22456" s="9"/>
    </row>
    <row r="22457">
      <c r="D22457" s="9"/>
      <c r="G22457" s="9"/>
      <c r="J22457" s="11"/>
      <c r="U22457" s="9"/>
      <c r="X22457" s="9"/>
    </row>
    <row r="22458">
      <c r="D22458" s="9"/>
      <c r="G22458" s="9"/>
      <c r="J22458" s="11"/>
      <c r="U22458" s="9"/>
      <c r="X22458" s="9"/>
    </row>
    <row r="22459">
      <c r="D22459" s="9"/>
      <c r="G22459" s="9"/>
      <c r="J22459" s="11"/>
      <c r="U22459" s="9"/>
      <c r="X22459" s="9"/>
    </row>
    <row r="22460">
      <c r="D22460" s="9"/>
      <c r="G22460" s="9"/>
      <c r="J22460" s="11"/>
      <c r="U22460" s="9"/>
      <c r="X22460" s="9"/>
    </row>
    <row r="22461">
      <c r="D22461" s="9"/>
      <c r="G22461" s="9"/>
      <c r="J22461" s="11"/>
      <c r="U22461" s="9"/>
      <c r="X22461" s="9"/>
    </row>
    <row r="22462">
      <c r="D22462" s="9"/>
      <c r="G22462" s="9"/>
      <c r="J22462" s="11"/>
      <c r="U22462" s="9"/>
      <c r="X22462" s="9"/>
    </row>
    <row r="22463">
      <c r="D22463" s="9"/>
      <c r="G22463" s="9"/>
      <c r="J22463" s="11"/>
      <c r="U22463" s="9"/>
      <c r="X22463" s="9"/>
    </row>
    <row r="22464">
      <c r="D22464" s="9"/>
      <c r="G22464" s="9"/>
      <c r="J22464" s="11"/>
      <c r="U22464" s="9"/>
      <c r="X22464" s="9"/>
    </row>
    <row r="22465">
      <c r="D22465" s="9"/>
      <c r="G22465" s="9"/>
      <c r="J22465" s="11"/>
      <c r="U22465" s="9"/>
      <c r="X22465" s="9"/>
    </row>
    <row r="22466">
      <c r="D22466" s="9"/>
      <c r="G22466" s="9"/>
      <c r="J22466" s="11"/>
      <c r="U22466" s="9"/>
      <c r="X22466" s="9"/>
    </row>
    <row r="22467">
      <c r="D22467" s="9"/>
      <c r="G22467" s="9"/>
      <c r="J22467" s="11"/>
      <c r="U22467" s="9"/>
      <c r="X22467" s="9"/>
    </row>
    <row r="22468">
      <c r="D22468" s="9"/>
      <c r="G22468" s="9"/>
      <c r="J22468" s="11"/>
      <c r="U22468" s="9"/>
      <c r="X22468" s="9"/>
    </row>
    <row r="22469">
      <c r="D22469" s="9"/>
      <c r="G22469" s="9"/>
      <c r="J22469" s="11"/>
      <c r="U22469" s="9"/>
      <c r="X22469" s="9"/>
    </row>
    <row r="22470">
      <c r="D22470" s="9"/>
      <c r="G22470" s="9"/>
      <c r="J22470" s="11"/>
      <c r="U22470" s="9"/>
      <c r="X22470" s="9"/>
    </row>
    <row r="22471">
      <c r="D22471" s="9"/>
      <c r="G22471" s="9"/>
      <c r="J22471" s="11"/>
      <c r="U22471" s="9"/>
      <c r="X22471" s="9"/>
    </row>
    <row r="22472">
      <c r="D22472" s="9"/>
      <c r="G22472" s="9"/>
      <c r="J22472" s="11"/>
      <c r="U22472" s="9"/>
      <c r="X22472" s="9"/>
    </row>
    <row r="22473">
      <c r="D22473" s="9"/>
      <c r="G22473" s="9"/>
      <c r="J22473" s="11"/>
      <c r="U22473" s="9"/>
      <c r="X22473" s="9"/>
    </row>
    <row r="22474">
      <c r="D22474" s="9"/>
      <c r="G22474" s="9"/>
      <c r="J22474" s="11"/>
      <c r="U22474" s="9"/>
      <c r="X22474" s="9"/>
    </row>
    <row r="22475">
      <c r="D22475" s="9"/>
      <c r="G22475" s="9"/>
      <c r="J22475" s="11"/>
      <c r="U22475" s="9"/>
      <c r="X22475" s="9"/>
    </row>
    <row r="22476">
      <c r="D22476" s="9"/>
      <c r="G22476" s="9"/>
      <c r="J22476" s="11"/>
      <c r="U22476" s="9"/>
      <c r="X22476" s="9"/>
    </row>
    <row r="22477">
      <c r="D22477" s="9"/>
      <c r="G22477" s="9"/>
      <c r="J22477" s="11"/>
      <c r="U22477" s="9"/>
      <c r="X22477" s="9"/>
    </row>
    <row r="22478">
      <c r="D22478" s="9"/>
      <c r="G22478" s="9"/>
      <c r="J22478" s="11"/>
      <c r="U22478" s="9"/>
      <c r="X22478" s="9"/>
    </row>
    <row r="22479">
      <c r="D22479" s="9"/>
      <c r="G22479" s="9"/>
      <c r="J22479" s="11"/>
      <c r="U22479" s="9"/>
      <c r="X22479" s="9"/>
    </row>
    <row r="22480">
      <c r="D22480" s="9"/>
      <c r="G22480" s="9"/>
      <c r="J22480" s="11"/>
      <c r="U22480" s="9"/>
      <c r="X22480" s="9"/>
    </row>
    <row r="22481">
      <c r="D22481" s="9"/>
      <c r="G22481" s="9"/>
      <c r="J22481" s="11"/>
      <c r="U22481" s="9"/>
      <c r="X22481" s="9"/>
    </row>
    <row r="22482">
      <c r="D22482" s="9"/>
      <c r="G22482" s="9"/>
      <c r="J22482" s="11"/>
      <c r="U22482" s="9"/>
      <c r="X22482" s="9"/>
    </row>
    <row r="22483">
      <c r="D22483" s="9"/>
      <c r="G22483" s="9"/>
      <c r="J22483" s="11"/>
      <c r="U22483" s="9"/>
      <c r="X22483" s="9"/>
    </row>
    <row r="22484">
      <c r="D22484" s="9"/>
      <c r="G22484" s="9"/>
      <c r="J22484" s="11"/>
      <c r="U22484" s="9"/>
      <c r="X22484" s="9"/>
    </row>
    <row r="22485">
      <c r="D22485" s="9"/>
      <c r="G22485" s="9"/>
      <c r="J22485" s="11"/>
      <c r="U22485" s="9"/>
      <c r="X22485" s="9"/>
    </row>
    <row r="22486">
      <c r="D22486" s="9"/>
      <c r="G22486" s="9"/>
      <c r="J22486" s="11"/>
      <c r="U22486" s="9"/>
      <c r="X22486" s="9"/>
    </row>
    <row r="22487">
      <c r="D22487" s="9"/>
      <c r="G22487" s="9"/>
      <c r="J22487" s="11"/>
      <c r="U22487" s="9"/>
      <c r="X22487" s="9"/>
    </row>
    <row r="22488">
      <c r="D22488" s="9"/>
      <c r="G22488" s="9"/>
      <c r="J22488" s="11"/>
      <c r="U22488" s="9"/>
      <c r="X22488" s="9"/>
    </row>
    <row r="22489">
      <c r="D22489" s="9"/>
      <c r="G22489" s="9"/>
      <c r="J22489" s="11"/>
      <c r="U22489" s="9"/>
      <c r="X22489" s="9"/>
    </row>
    <row r="22490">
      <c r="D22490" s="9"/>
      <c r="G22490" s="9"/>
      <c r="J22490" s="11"/>
      <c r="U22490" s="9"/>
      <c r="X22490" s="9"/>
    </row>
    <row r="22491">
      <c r="D22491" s="9"/>
      <c r="G22491" s="9"/>
      <c r="J22491" s="11"/>
      <c r="U22491" s="9"/>
      <c r="X22491" s="9"/>
    </row>
    <row r="22492">
      <c r="D22492" s="9"/>
      <c r="G22492" s="9"/>
      <c r="J22492" s="11"/>
      <c r="U22492" s="9"/>
      <c r="X22492" s="9"/>
    </row>
    <row r="22493">
      <c r="D22493" s="9"/>
      <c r="G22493" s="9"/>
      <c r="J22493" s="11"/>
      <c r="U22493" s="9"/>
      <c r="X22493" s="9"/>
    </row>
    <row r="22494">
      <c r="D22494" s="9"/>
      <c r="G22494" s="9"/>
      <c r="J22494" s="11"/>
      <c r="U22494" s="9"/>
      <c r="X22494" s="9"/>
    </row>
    <row r="22495">
      <c r="D22495" s="9"/>
      <c r="G22495" s="9"/>
      <c r="J22495" s="11"/>
      <c r="U22495" s="9"/>
      <c r="X22495" s="9"/>
    </row>
    <row r="22496">
      <c r="D22496" s="9"/>
      <c r="G22496" s="9"/>
      <c r="J22496" s="11"/>
      <c r="U22496" s="9"/>
      <c r="X22496" s="9"/>
    </row>
    <row r="22497">
      <c r="D22497" s="9"/>
      <c r="G22497" s="9"/>
      <c r="J22497" s="11"/>
      <c r="U22497" s="9"/>
      <c r="X22497" s="9"/>
    </row>
    <row r="22498">
      <c r="D22498" s="9"/>
      <c r="G22498" s="9"/>
      <c r="J22498" s="11"/>
      <c r="U22498" s="9"/>
      <c r="X22498" s="9"/>
    </row>
    <row r="22499">
      <c r="D22499" s="9"/>
      <c r="G22499" s="9"/>
      <c r="J22499" s="11"/>
      <c r="U22499" s="9"/>
      <c r="X22499" s="9"/>
    </row>
    <row r="22500">
      <c r="D22500" s="9"/>
      <c r="G22500" s="9"/>
      <c r="J22500" s="11"/>
      <c r="U22500" s="9"/>
      <c r="X22500" s="9"/>
    </row>
    <row r="22501">
      <c r="D22501" s="9"/>
      <c r="G22501" s="9"/>
      <c r="J22501" s="11"/>
      <c r="U22501" s="9"/>
      <c r="X22501" s="9"/>
    </row>
    <row r="22502">
      <c r="D22502" s="9"/>
      <c r="G22502" s="9"/>
      <c r="J22502" s="11"/>
      <c r="U22502" s="9"/>
      <c r="X22502" s="9"/>
    </row>
    <row r="22503">
      <c r="D22503" s="9"/>
      <c r="G22503" s="9"/>
      <c r="J22503" s="11"/>
      <c r="U22503" s="9"/>
      <c r="X22503" s="9"/>
    </row>
    <row r="22504">
      <c r="D22504" s="9"/>
      <c r="G22504" s="9"/>
      <c r="J22504" s="11"/>
      <c r="U22504" s="9"/>
      <c r="X22504" s="9"/>
    </row>
    <row r="22505">
      <c r="D22505" s="9"/>
      <c r="G22505" s="9"/>
      <c r="J22505" s="11"/>
      <c r="U22505" s="9"/>
      <c r="X22505" s="9"/>
    </row>
    <row r="22506">
      <c r="D22506" s="9"/>
      <c r="G22506" s="9"/>
      <c r="J22506" s="11"/>
      <c r="U22506" s="9"/>
      <c r="X22506" s="9"/>
    </row>
    <row r="22507">
      <c r="D22507" s="9"/>
      <c r="G22507" s="9"/>
      <c r="J22507" s="11"/>
      <c r="U22507" s="9"/>
      <c r="X22507" s="9"/>
    </row>
    <row r="22508">
      <c r="D22508" s="9"/>
      <c r="G22508" s="9"/>
      <c r="J22508" s="11"/>
      <c r="U22508" s="9"/>
      <c r="X22508" s="9"/>
    </row>
    <row r="22509">
      <c r="D22509" s="9"/>
      <c r="G22509" s="9"/>
      <c r="J22509" s="11"/>
      <c r="U22509" s="9"/>
      <c r="X22509" s="9"/>
    </row>
    <row r="22510">
      <c r="D22510" s="9"/>
      <c r="G22510" s="9"/>
      <c r="J22510" s="11"/>
      <c r="U22510" s="9"/>
      <c r="X22510" s="9"/>
    </row>
    <row r="22511">
      <c r="D22511" s="9"/>
      <c r="G22511" s="9"/>
      <c r="J22511" s="11"/>
      <c r="U22511" s="9"/>
      <c r="X22511" s="9"/>
    </row>
    <row r="22512">
      <c r="D22512" s="9"/>
      <c r="G22512" s="9"/>
      <c r="J22512" s="11"/>
      <c r="U22512" s="9"/>
      <c r="X22512" s="9"/>
    </row>
    <row r="22513">
      <c r="D22513" s="9"/>
      <c r="G22513" s="9"/>
      <c r="J22513" s="11"/>
      <c r="U22513" s="9"/>
      <c r="X22513" s="9"/>
    </row>
    <row r="22514">
      <c r="D22514" s="9"/>
      <c r="G22514" s="9"/>
      <c r="J22514" s="11"/>
      <c r="U22514" s="9"/>
      <c r="X22514" s="9"/>
    </row>
    <row r="22515">
      <c r="D22515" s="9"/>
      <c r="G22515" s="9"/>
      <c r="J22515" s="11"/>
      <c r="U22515" s="9"/>
      <c r="X22515" s="9"/>
    </row>
    <row r="22516">
      <c r="D22516" s="9"/>
      <c r="G22516" s="9"/>
      <c r="J22516" s="11"/>
      <c r="U22516" s="9"/>
      <c r="X22516" s="9"/>
    </row>
    <row r="22517">
      <c r="D22517" s="9"/>
      <c r="G22517" s="9"/>
      <c r="J22517" s="11"/>
      <c r="U22517" s="9"/>
      <c r="X22517" s="9"/>
    </row>
    <row r="22518">
      <c r="D22518" s="9"/>
      <c r="G22518" s="9"/>
      <c r="J22518" s="11"/>
      <c r="U22518" s="9"/>
      <c r="X22518" s="9"/>
    </row>
    <row r="22519">
      <c r="D22519" s="9"/>
      <c r="G22519" s="9"/>
      <c r="J22519" s="11"/>
      <c r="U22519" s="9"/>
      <c r="X22519" s="9"/>
    </row>
    <row r="22520">
      <c r="D22520" s="9"/>
      <c r="G22520" s="9"/>
      <c r="J22520" s="11"/>
      <c r="U22520" s="9"/>
      <c r="X22520" s="9"/>
    </row>
    <row r="22521">
      <c r="D22521" s="9"/>
      <c r="G22521" s="9"/>
      <c r="J22521" s="11"/>
      <c r="U22521" s="9"/>
      <c r="X22521" s="9"/>
    </row>
    <row r="22522">
      <c r="D22522" s="9"/>
      <c r="G22522" s="9"/>
      <c r="J22522" s="11"/>
      <c r="U22522" s="9"/>
      <c r="X22522" s="9"/>
    </row>
    <row r="22523">
      <c r="D22523" s="9"/>
      <c r="G22523" s="9"/>
      <c r="J22523" s="11"/>
      <c r="U22523" s="9"/>
      <c r="X22523" s="9"/>
    </row>
    <row r="22524">
      <c r="D22524" s="9"/>
      <c r="G22524" s="9"/>
      <c r="J22524" s="11"/>
      <c r="U22524" s="9"/>
      <c r="X22524" s="9"/>
    </row>
    <row r="22525">
      <c r="D22525" s="9"/>
      <c r="G22525" s="9"/>
      <c r="J22525" s="11"/>
      <c r="U22525" s="9"/>
      <c r="X22525" s="9"/>
    </row>
    <row r="22526">
      <c r="D22526" s="9"/>
      <c r="G22526" s="9"/>
      <c r="J22526" s="11"/>
      <c r="U22526" s="9"/>
      <c r="X22526" s="9"/>
    </row>
    <row r="22527">
      <c r="D22527" s="9"/>
      <c r="G22527" s="9"/>
      <c r="J22527" s="11"/>
      <c r="U22527" s="9"/>
      <c r="X22527" s="9"/>
    </row>
    <row r="22528">
      <c r="D22528" s="9"/>
      <c r="G22528" s="9"/>
      <c r="J22528" s="11"/>
      <c r="U22528" s="9"/>
      <c r="X22528" s="9"/>
    </row>
    <row r="22529">
      <c r="D22529" s="9"/>
      <c r="G22529" s="9"/>
      <c r="J22529" s="11"/>
      <c r="U22529" s="9"/>
      <c r="X22529" s="9"/>
    </row>
    <row r="22530">
      <c r="D22530" s="9"/>
      <c r="G22530" s="9"/>
      <c r="J22530" s="11"/>
      <c r="U22530" s="9"/>
      <c r="X22530" s="9"/>
    </row>
    <row r="22531">
      <c r="D22531" s="9"/>
      <c r="G22531" s="9"/>
      <c r="J22531" s="11"/>
      <c r="U22531" s="9"/>
      <c r="X22531" s="9"/>
    </row>
    <row r="22532">
      <c r="D22532" s="9"/>
      <c r="G22532" s="9"/>
      <c r="J22532" s="11"/>
      <c r="U22532" s="9"/>
      <c r="X22532" s="9"/>
    </row>
    <row r="22533">
      <c r="D22533" s="9"/>
      <c r="G22533" s="9"/>
      <c r="J22533" s="11"/>
      <c r="U22533" s="9"/>
      <c r="X22533" s="9"/>
    </row>
    <row r="22534">
      <c r="D22534" s="9"/>
      <c r="G22534" s="9"/>
      <c r="J22534" s="11"/>
      <c r="U22534" s="9"/>
      <c r="X22534" s="9"/>
    </row>
    <row r="22535">
      <c r="D22535" s="9"/>
      <c r="G22535" s="9"/>
      <c r="J22535" s="11"/>
      <c r="U22535" s="9"/>
      <c r="X22535" s="9"/>
    </row>
    <row r="22536">
      <c r="D22536" s="9"/>
      <c r="G22536" s="9"/>
      <c r="J22536" s="11"/>
      <c r="U22536" s="9"/>
      <c r="X22536" s="9"/>
    </row>
    <row r="22537">
      <c r="D22537" s="9"/>
      <c r="G22537" s="9"/>
      <c r="J22537" s="11"/>
      <c r="U22537" s="9"/>
      <c r="X22537" s="9"/>
    </row>
    <row r="22538">
      <c r="D22538" s="9"/>
      <c r="G22538" s="9"/>
      <c r="J22538" s="11"/>
      <c r="U22538" s="9"/>
      <c r="X22538" s="9"/>
    </row>
    <row r="22539">
      <c r="D22539" s="9"/>
      <c r="G22539" s="9"/>
      <c r="J22539" s="11"/>
      <c r="U22539" s="9"/>
      <c r="X22539" s="9"/>
    </row>
    <row r="22540">
      <c r="D22540" s="9"/>
      <c r="G22540" s="9"/>
      <c r="J22540" s="11"/>
      <c r="U22540" s="9"/>
      <c r="X22540" s="9"/>
    </row>
    <row r="22541">
      <c r="D22541" s="9"/>
      <c r="G22541" s="9"/>
      <c r="J22541" s="11"/>
      <c r="U22541" s="9"/>
      <c r="X22541" s="9"/>
    </row>
    <row r="22542">
      <c r="D22542" s="9"/>
      <c r="G22542" s="9"/>
      <c r="J22542" s="11"/>
      <c r="U22542" s="9"/>
      <c r="X22542" s="9"/>
    </row>
    <row r="22543">
      <c r="D22543" s="9"/>
      <c r="G22543" s="9"/>
      <c r="J22543" s="11"/>
      <c r="U22543" s="9"/>
      <c r="X22543" s="9"/>
    </row>
    <row r="22544">
      <c r="D22544" s="9"/>
      <c r="G22544" s="9"/>
      <c r="J22544" s="11"/>
      <c r="U22544" s="9"/>
      <c r="X22544" s="9"/>
    </row>
    <row r="22545">
      <c r="D22545" s="9"/>
      <c r="G22545" s="9"/>
      <c r="J22545" s="11"/>
      <c r="U22545" s="9"/>
      <c r="X22545" s="9"/>
    </row>
    <row r="22546">
      <c r="D22546" s="9"/>
      <c r="G22546" s="9"/>
      <c r="J22546" s="11"/>
      <c r="U22546" s="9"/>
      <c r="X22546" s="9"/>
    </row>
    <row r="22547">
      <c r="D22547" s="9"/>
      <c r="G22547" s="9"/>
      <c r="J22547" s="11"/>
      <c r="U22547" s="9"/>
      <c r="X22547" s="9"/>
    </row>
    <row r="22548">
      <c r="D22548" s="9"/>
      <c r="G22548" s="9"/>
      <c r="J22548" s="11"/>
      <c r="U22548" s="9"/>
      <c r="X22548" s="9"/>
    </row>
    <row r="22549">
      <c r="D22549" s="9"/>
      <c r="G22549" s="9"/>
      <c r="J22549" s="11"/>
      <c r="U22549" s="9"/>
      <c r="X22549" s="9"/>
    </row>
    <row r="22550">
      <c r="D22550" s="9"/>
      <c r="G22550" s="9"/>
      <c r="J22550" s="11"/>
      <c r="U22550" s="9"/>
      <c r="X22550" s="9"/>
    </row>
    <row r="22551">
      <c r="D22551" s="9"/>
      <c r="G22551" s="9"/>
      <c r="J22551" s="11"/>
      <c r="U22551" s="9"/>
      <c r="X22551" s="9"/>
    </row>
    <row r="22552">
      <c r="D22552" s="9"/>
      <c r="G22552" s="9"/>
      <c r="J22552" s="11"/>
      <c r="U22552" s="9"/>
      <c r="X22552" s="9"/>
    </row>
    <row r="22553">
      <c r="D22553" s="9"/>
      <c r="G22553" s="9"/>
      <c r="J22553" s="11"/>
      <c r="U22553" s="9"/>
      <c r="X22553" s="9"/>
    </row>
    <row r="22554">
      <c r="D22554" s="9"/>
      <c r="G22554" s="9"/>
      <c r="J22554" s="11"/>
      <c r="U22554" s="9"/>
      <c r="X22554" s="9"/>
    </row>
    <row r="22555">
      <c r="D22555" s="9"/>
      <c r="G22555" s="9"/>
      <c r="J22555" s="11"/>
      <c r="U22555" s="9"/>
      <c r="X22555" s="9"/>
    </row>
    <row r="22556">
      <c r="D22556" s="9"/>
      <c r="G22556" s="9"/>
      <c r="J22556" s="11"/>
      <c r="U22556" s="9"/>
      <c r="X22556" s="9"/>
    </row>
    <row r="22557">
      <c r="D22557" s="9"/>
      <c r="G22557" s="9"/>
      <c r="J22557" s="11"/>
      <c r="U22557" s="9"/>
      <c r="X22557" s="9"/>
    </row>
    <row r="22558">
      <c r="D22558" s="9"/>
      <c r="G22558" s="9"/>
      <c r="J22558" s="11"/>
      <c r="U22558" s="9"/>
      <c r="X22558" s="9"/>
    </row>
    <row r="22559">
      <c r="D22559" s="9"/>
      <c r="G22559" s="9"/>
      <c r="J22559" s="11"/>
      <c r="U22559" s="9"/>
      <c r="X22559" s="9"/>
    </row>
    <row r="22560">
      <c r="D22560" s="9"/>
      <c r="G22560" s="9"/>
      <c r="J22560" s="11"/>
      <c r="U22560" s="9"/>
      <c r="X22560" s="9"/>
    </row>
    <row r="22561">
      <c r="D22561" s="9"/>
      <c r="G22561" s="9"/>
      <c r="J22561" s="11"/>
      <c r="U22561" s="9"/>
      <c r="X22561" s="9"/>
    </row>
    <row r="22562">
      <c r="D22562" s="9"/>
      <c r="G22562" s="9"/>
      <c r="J22562" s="11"/>
      <c r="U22562" s="9"/>
      <c r="X22562" s="9"/>
    </row>
    <row r="22563">
      <c r="D22563" s="9"/>
      <c r="G22563" s="9"/>
      <c r="J22563" s="11"/>
      <c r="U22563" s="9"/>
      <c r="X22563" s="9"/>
    </row>
    <row r="22564">
      <c r="D22564" s="9"/>
      <c r="G22564" s="9"/>
      <c r="J22564" s="11"/>
      <c r="U22564" s="9"/>
      <c r="X22564" s="9"/>
    </row>
    <row r="22565">
      <c r="D22565" s="9"/>
      <c r="G22565" s="9"/>
      <c r="J22565" s="11"/>
      <c r="U22565" s="9"/>
      <c r="X22565" s="9"/>
    </row>
    <row r="22566">
      <c r="D22566" s="9"/>
      <c r="G22566" s="9"/>
      <c r="J22566" s="11"/>
      <c r="U22566" s="9"/>
      <c r="X22566" s="9"/>
    </row>
    <row r="22567">
      <c r="D22567" s="9"/>
      <c r="G22567" s="9"/>
      <c r="J22567" s="11"/>
      <c r="U22567" s="9"/>
      <c r="X22567" s="9"/>
    </row>
    <row r="22568">
      <c r="D22568" s="9"/>
      <c r="G22568" s="9"/>
      <c r="J22568" s="11"/>
      <c r="U22568" s="9"/>
      <c r="X22568" s="9"/>
    </row>
    <row r="22569">
      <c r="D22569" s="9"/>
      <c r="G22569" s="9"/>
      <c r="J22569" s="11"/>
      <c r="U22569" s="9"/>
      <c r="X22569" s="9"/>
    </row>
    <row r="22570">
      <c r="D22570" s="9"/>
      <c r="G22570" s="9"/>
      <c r="J22570" s="11"/>
      <c r="U22570" s="9"/>
      <c r="X22570" s="9"/>
    </row>
    <row r="22571">
      <c r="D22571" s="9"/>
      <c r="G22571" s="9"/>
      <c r="J22571" s="11"/>
      <c r="U22571" s="9"/>
      <c r="X22571" s="9"/>
    </row>
    <row r="22572">
      <c r="D22572" s="9"/>
      <c r="G22572" s="9"/>
      <c r="J22572" s="11"/>
      <c r="U22572" s="9"/>
      <c r="X22572" s="9"/>
    </row>
    <row r="22573">
      <c r="D22573" s="9"/>
      <c r="G22573" s="9"/>
      <c r="J22573" s="11"/>
      <c r="U22573" s="9"/>
      <c r="X22573" s="9"/>
    </row>
    <row r="22574">
      <c r="D22574" s="9"/>
      <c r="G22574" s="9"/>
      <c r="J22574" s="11"/>
      <c r="U22574" s="9"/>
      <c r="X22574" s="9"/>
    </row>
    <row r="22575">
      <c r="D22575" s="9"/>
      <c r="G22575" s="9"/>
      <c r="J22575" s="11"/>
      <c r="U22575" s="9"/>
      <c r="X22575" s="9"/>
    </row>
    <row r="22576">
      <c r="D22576" s="9"/>
      <c r="G22576" s="9"/>
      <c r="J22576" s="11"/>
      <c r="U22576" s="9"/>
      <c r="X22576" s="9"/>
    </row>
    <row r="22577">
      <c r="D22577" s="9"/>
      <c r="G22577" s="9"/>
      <c r="J22577" s="11"/>
      <c r="U22577" s="9"/>
      <c r="X22577" s="9"/>
    </row>
    <row r="22578">
      <c r="D22578" s="9"/>
      <c r="G22578" s="9"/>
      <c r="J22578" s="11"/>
      <c r="U22578" s="9"/>
      <c r="X22578" s="9"/>
    </row>
    <row r="22579">
      <c r="D22579" s="9"/>
      <c r="G22579" s="9"/>
      <c r="J22579" s="11"/>
      <c r="U22579" s="9"/>
      <c r="X22579" s="9"/>
    </row>
    <row r="22580">
      <c r="D22580" s="9"/>
      <c r="G22580" s="9"/>
      <c r="J22580" s="11"/>
      <c r="U22580" s="9"/>
      <c r="X22580" s="9"/>
    </row>
    <row r="22581">
      <c r="D22581" s="9"/>
      <c r="G22581" s="9"/>
      <c r="J22581" s="11"/>
      <c r="U22581" s="9"/>
      <c r="X22581" s="9"/>
    </row>
    <row r="22582">
      <c r="D22582" s="9"/>
      <c r="G22582" s="9"/>
      <c r="J22582" s="11"/>
      <c r="U22582" s="9"/>
      <c r="X22582" s="9"/>
    </row>
    <row r="22583">
      <c r="D22583" s="9"/>
      <c r="G22583" s="9"/>
      <c r="J22583" s="11"/>
      <c r="U22583" s="9"/>
      <c r="X22583" s="9"/>
    </row>
    <row r="22584">
      <c r="D22584" s="9"/>
      <c r="G22584" s="9"/>
      <c r="J22584" s="11"/>
      <c r="U22584" s="9"/>
      <c r="X22584" s="9"/>
    </row>
    <row r="22585">
      <c r="D22585" s="9"/>
      <c r="G22585" s="9"/>
      <c r="J22585" s="11"/>
      <c r="U22585" s="9"/>
      <c r="X22585" s="9"/>
    </row>
    <row r="22586">
      <c r="D22586" s="9"/>
      <c r="G22586" s="9"/>
      <c r="J22586" s="11"/>
      <c r="U22586" s="9"/>
      <c r="X22586" s="9"/>
    </row>
    <row r="22587">
      <c r="D22587" s="9"/>
      <c r="G22587" s="9"/>
      <c r="J22587" s="11"/>
      <c r="U22587" s="9"/>
      <c r="X22587" s="9"/>
    </row>
    <row r="22588">
      <c r="D22588" s="9"/>
      <c r="G22588" s="9"/>
      <c r="J22588" s="11"/>
      <c r="U22588" s="9"/>
      <c r="X22588" s="9"/>
    </row>
    <row r="22589">
      <c r="D22589" s="9"/>
      <c r="G22589" s="9"/>
      <c r="J22589" s="11"/>
      <c r="U22589" s="9"/>
      <c r="X22589" s="9"/>
    </row>
    <row r="22590">
      <c r="D22590" s="9"/>
      <c r="G22590" s="9"/>
      <c r="J22590" s="11"/>
      <c r="U22590" s="9"/>
      <c r="X22590" s="9"/>
    </row>
    <row r="22591">
      <c r="D22591" s="9"/>
      <c r="G22591" s="9"/>
      <c r="J22591" s="11"/>
      <c r="U22591" s="9"/>
      <c r="X22591" s="9"/>
    </row>
    <row r="22592">
      <c r="D22592" s="9"/>
      <c r="G22592" s="9"/>
      <c r="J22592" s="11"/>
      <c r="U22592" s="9"/>
      <c r="X22592" s="9"/>
    </row>
    <row r="22593">
      <c r="D22593" s="9"/>
      <c r="G22593" s="9"/>
      <c r="J22593" s="11"/>
      <c r="U22593" s="9"/>
      <c r="X22593" s="9"/>
    </row>
    <row r="22594">
      <c r="D22594" s="9"/>
      <c r="G22594" s="9"/>
      <c r="J22594" s="11"/>
      <c r="U22594" s="9"/>
      <c r="X22594" s="9"/>
    </row>
    <row r="22595">
      <c r="D22595" s="9"/>
      <c r="G22595" s="9"/>
      <c r="J22595" s="11"/>
      <c r="U22595" s="9"/>
      <c r="X22595" s="9"/>
    </row>
    <row r="22596">
      <c r="D22596" s="9"/>
      <c r="G22596" s="9"/>
      <c r="J22596" s="11"/>
      <c r="U22596" s="9"/>
      <c r="X22596" s="9"/>
    </row>
    <row r="22597">
      <c r="D22597" s="9"/>
      <c r="G22597" s="9"/>
      <c r="J22597" s="11"/>
      <c r="U22597" s="9"/>
      <c r="X22597" s="9"/>
    </row>
    <row r="22598">
      <c r="D22598" s="9"/>
      <c r="G22598" s="9"/>
      <c r="J22598" s="11"/>
      <c r="U22598" s="9"/>
      <c r="X22598" s="9"/>
    </row>
    <row r="22599">
      <c r="D22599" s="9"/>
      <c r="G22599" s="9"/>
      <c r="J22599" s="11"/>
      <c r="U22599" s="9"/>
      <c r="X22599" s="9"/>
    </row>
    <row r="22600">
      <c r="D22600" s="9"/>
      <c r="G22600" s="9"/>
      <c r="J22600" s="11"/>
      <c r="U22600" s="9"/>
      <c r="X22600" s="9"/>
    </row>
    <row r="22601">
      <c r="D22601" s="9"/>
      <c r="G22601" s="9"/>
      <c r="J22601" s="11"/>
      <c r="U22601" s="9"/>
      <c r="X22601" s="9"/>
    </row>
    <row r="22602">
      <c r="D22602" s="9"/>
      <c r="G22602" s="9"/>
      <c r="J22602" s="11"/>
      <c r="U22602" s="9"/>
      <c r="X22602" s="9"/>
    </row>
    <row r="22603">
      <c r="D22603" s="9"/>
      <c r="G22603" s="9"/>
      <c r="J22603" s="11"/>
      <c r="U22603" s="9"/>
      <c r="X22603" s="9"/>
    </row>
    <row r="22604">
      <c r="D22604" s="9"/>
      <c r="G22604" s="9"/>
      <c r="J22604" s="11"/>
      <c r="U22604" s="9"/>
      <c r="X22604" s="9"/>
    </row>
    <row r="22605">
      <c r="D22605" s="9"/>
      <c r="G22605" s="9"/>
      <c r="J22605" s="11"/>
      <c r="U22605" s="9"/>
      <c r="X22605" s="9"/>
    </row>
    <row r="22606">
      <c r="D22606" s="9"/>
      <c r="G22606" s="9"/>
      <c r="J22606" s="11"/>
      <c r="U22606" s="9"/>
      <c r="X22606" s="9"/>
    </row>
    <row r="22607">
      <c r="D22607" s="9"/>
      <c r="G22607" s="9"/>
      <c r="J22607" s="11"/>
      <c r="U22607" s="9"/>
      <c r="X22607" s="9"/>
    </row>
    <row r="22608">
      <c r="D22608" s="9"/>
      <c r="G22608" s="9"/>
      <c r="J22608" s="11"/>
      <c r="U22608" s="9"/>
      <c r="X22608" s="9"/>
    </row>
    <row r="22609">
      <c r="D22609" s="9"/>
      <c r="G22609" s="9"/>
      <c r="J22609" s="11"/>
      <c r="U22609" s="9"/>
      <c r="X22609" s="9"/>
    </row>
    <row r="22610">
      <c r="D22610" s="9"/>
      <c r="G22610" s="9"/>
      <c r="J22610" s="11"/>
      <c r="U22610" s="9"/>
      <c r="X22610" s="9"/>
    </row>
    <row r="22611">
      <c r="D22611" s="9"/>
      <c r="G22611" s="9"/>
      <c r="J22611" s="11"/>
      <c r="U22611" s="9"/>
      <c r="X22611" s="9"/>
    </row>
    <row r="22612">
      <c r="D22612" s="9"/>
      <c r="G22612" s="9"/>
      <c r="J22612" s="11"/>
      <c r="U22612" s="9"/>
      <c r="X22612" s="9"/>
    </row>
    <row r="22613">
      <c r="D22613" s="9"/>
      <c r="G22613" s="9"/>
      <c r="J22613" s="11"/>
      <c r="U22613" s="9"/>
      <c r="X22613" s="9"/>
    </row>
    <row r="22614">
      <c r="D22614" s="9"/>
      <c r="G22614" s="9"/>
      <c r="J22614" s="11"/>
      <c r="U22614" s="9"/>
      <c r="X22614" s="9"/>
    </row>
    <row r="22615">
      <c r="D22615" s="9"/>
      <c r="G22615" s="9"/>
      <c r="J22615" s="11"/>
      <c r="U22615" s="9"/>
      <c r="X22615" s="9"/>
    </row>
    <row r="22616">
      <c r="D22616" s="9"/>
      <c r="G22616" s="9"/>
      <c r="J22616" s="11"/>
      <c r="U22616" s="9"/>
      <c r="X22616" s="9"/>
    </row>
    <row r="22617">
      <c r="D22617" s="9"/>
      <c r="G22617" s="9"/>
      <c r="J22617" s="11"/>
      <c r="U22617" s="9"/>
      <c r="X22617" s="9"/>
    </row>
    <row r="22618">
      <c r="D22618" s="9"/>
      <c r="G22618" s="9"/>
      <c r="J22618" s="11"/>
      <c r="U22618" s="9"/>
      <c r="X22618" s="9"/>
    </row>
    <row r="22619">
      <c r="D22619" s="9"/>
      <c r="G22619" s="9"/>
      <c r="J22619" s="11"/>
      <c r="U22619" s="9"/>
      <c r="X22619" s="9"/>
    </row>
    <row r="22620">
      <c r="D22620" s="9"/>
      <c r="G22620" s="9"/>
      <c r="J22620" s="11"/>
      <c r="U22620" s="9"/>
      <c r="X22620" s="9"/>
    </row>
    <row r="22621">
      <c r="D22621" s="9"/>
      <c r="G22621" s="9"/>
      <c r="J22621" s="11"/>
      <c r="U22621" s="9"/>
      <c r="X22621" s="9"/>
    </row>
    <row r="22622">
      <c r="D22622" s="9"/>
      <c r="G22622" s="9"/>
      <c r="J22622" s="11"/>
      <c r="U22622" s="9"/>
      <c r="X22622" s="9"/>
    </row>
    <row r="22623">
      <c r="D22623" s="9"/>
      <c r="G22623" s="9"/>
      <c r="J22623" s="11"/>
      <c r="U22623" s="9"/>
      <c r="X22623" s="9"/>
    </row>
    <row r="22624">
      <c r="D22624" s="9"/>
      <c r="G22624" s="9"/>
      <c r="J22624" s="11"/>
      <c r="U22624" s="9"/>
      <c r="X22624" s="9"/>
    </row>
    <row r="22625">
      <c r="D22625" s="9"/>
      <c r="G22625" s="9"/>
      <c r="J22625" s="11"/>
      <c r="U22625" s="9"/>
      <c r="X22625" s="9"/>
    </row>
    <row r="22626">
      <c r="D22626" s="9"/>
      <c r="G22626" s="9"/>
      <c r="J22626" s="11"/>
      <c r="U22626" s="9"/>
      <c r="X22626" s="9"/>
    </row>
    <row r="22627">
      <c r="D22627" s="9"/>
      <c r="G22627" s="9"/>
      <c r="J22627" s="11"/>
      <c r="U22627" s="9"/>
      <c r="X22627" s="9"/>
    </row>
    <row r="22628">
      <c r="D22628" s="9"/>
      <c r="G22628" s="9"/>
      <c r="J22628" s="11"/>
      <c r="U22628" s="9"/>
      <c r="X22628" s="9"/>
    </row>
    <row r="22629">
      <c r="D22629" s="9"/>
      <c r="G22629" s="9"/>
      <c r="J22629" s="11"/>
      <c r="U22629" s="9"/>
      <c r="X22629" s="9"/>
    </row>
    <row r="22630">
      <c r="D22630" s="9"/>
      <c r="G22630" s="9"/>
      <c r="J22630" s="11"/>
      <c r="U22630" s="9"/>
      <c r="X22630" s="9"/>
    </row>
    <row r="22631">
      <c r="D22631" s="9"/>
      <c r="G22631" s="9"/>
      <c r="J22631" s="11"/>
      <c r="U22631" s="9"/>
      <c r="X22631" s="9"/>
    </row>
    <row r="22632">
      <c r="D22632" s="9"/>
      <c r="G22632" s="9"/>
      <c r="J22632" s="11"/>
      <c r="U22632" s="9"/>
      <c r="X22632" s="9"/>
    </row>
    <row r="22633">
      <c r="D22633" s="9"/>
      <c r="G22633" s="9"/>
      <c r="J22633" s="11"/>
      <c r="U22633" s="9"/>
      <c r="X22633" s="9"/>
    </row>
    <row r="22634">
      <c r="D22634" s="9"/>
      <c r="G22634" s="9"/>
      <c r="J22634" s="11"/>
      <c r="U22634" s="9"/>
      <c r="X22634" s="9"/>
    </row>
    <row r="22635">
      <c r="D22635" s="9"/>
      <c r="G22635" s="9"/>
      <c r="J22635" s="11"/>
      <c r="U22635" s="9"/>
      <c r="X22635" s="9"/>
    </row>
    <row r="22636">
      <c r="D22636" s="9"/>
      <c r="G22636" s="9"/>
      <c r="J22636" s="11"/>
      <c r="U22636" s="9"/>
      <c r="X22636" s="9"/>
    </row>
    <row r="22637">
      <c r="D22637" s="9"/>
      <c r="G22637" s="9"/>
      <c r="J22637" s="11"/>
      <c r="U22637" s="9"/>
      <c r="X22637" s="9"/>
    </row>
    <row r="22638">
      <c r="D22638" s="9"/>
      <c r="G22638" s="9"/>
      <c r="J22638" s="11"/>
      <c r="U22638" s="9"/>
      <c r="X22638" s="9"/>
    </row>
    <row r="22639">
      <c r="D22639" s="9"/>
      <c r="G22639" s="9"/>
      <c r="J22639" s="11"/>
      <c r="U22639" s="9"/>
      <c r="X22639" s="9"/>
    </row>
    <row r="22640">
      <c r="D22640" s="9"/>
      <c r="G22640" s="9"/>
      <c r="J22640" s="11"/>
      <c r="U22640" s="9"/>
      <c r="X22640" s="9"/>
    </row>
    <row r="22641">
      <c r="D22641" s="9"/>
      <c r="G22641" s="9"/>
      <c r="J22641" s="11"/>
      <c r="U22641" s="9"/>
      <c r="X22641" s="9"/>
    </row>
    <row r="22642">
      <c r="D22642" s="9"/>
      <c r="G22642" s="9"/>
      <c r="J22642" s="11"/>
      <c r="U22642" s="9"/>
      <c r="X22642" s="9"/>
    </row>
    <row r="22643">
      <c r="D22643" s="9"/>
      <c r="G22643" s="9"/>
      <c r="J22643" s="11"/>
      <c r="U22643" s="9"/>
      <c r="X22643" s="9"/>
    </row>
    <row r="22644">
      <c r="D22644" s="9"/>
      <c r="G22644" s="9"/>
      <c r="J22644" s="11"/>
      <c r="U22644" s="9"/>
      <c r="X22644" s="9"/>
    </row>
    <row r="22645">
      <c r="D22645" s="9"/>
      <c r="G22645" s="9"/>
      <c r="J22645" s="11"/>
      <c r="U22645" s="9"/>
      <c r="X22645" s="9"/>
    </row>
    <row r="22646">
      <c r="D22646" s="9"/>
      <c r="G22646" s="9"/>
      <c r="J22646" s="11"/>
      <c r="U22646" s="9"/>
      <c r="X22646" s="9"/>
    </row>
    <row r="22647">
      <c r="D22647" s="9"/>
      <c r="G22647" s="9"/>
      <c r="J22647" s="11"/>
      <c r="U22647" s="9"/>
      <c r="X22647" s="9"/>
    </row>
    <row r="22648">
      <c r="D22648" s="9"/>
      <c r="G22648" s="9"/>
      <c r="J22648" s="11"/>
      <c r="U22648" s="9"/>
      <c r="X22648" s="9"/>
    </row>
    <row r="22649">
      <c r="D22649" s="9"/>
      <c r="G22649" s="9"/>
      <c r="J22649" s="11"/>
      <c r="U22649" s="9"/>
      <c r="X22649" s="9"/>
    </row>
    <row r="22650">
      <c r="D22650" s="9"/>
      <c r="G22650" s="9"/>
      <c r="J22650" s="11"/>
      <c r="U22650" s="9"/>
      <c r="X22650" s="9"/>
    </row>
    <row r="22651">
      <c r="D22651" s="9"/>
      <c r="G22651" s="9"/>
      <c r="J22651" s="11"/>
      <c r="U22651" s="9"/>
      <c r="X22651" s="9"/>
    </row>
    <row r="22652">
      <c r="D22652" s="9"/>
      <c r="G22652" s="9"/>
      <c r="J22652" s="11"/>
      <c r="U22652" s="9"/>
      <c r="X22652" s="9"/>
    </row>
    <row r="22653">
      <c r="D22653" s="9"/>
      <c r="G22653" s="9"/>
      <c r="J22653" s="11"/>
      <c r="U22653" s="9"/>
      <c r="X22653" s="9"/>
    </row>
    <row r="22654">
      <c r="D22654" s="9"/>
      <c r="G22654" s="9"/>
      <c r="J22654" s="11"/>
      <c r="U22654" s="9"/>
      <c r="X22654" s="9"/>
    </row>
    <row r="22655">
      <c r="D22655" s="9"/>
      <c r="G22655" s="9"/>
      <c r="J22655" s="11"/>
      <c r="U22655" s="9"/>
      <c r="X22655" s="9"/>
    </row>
    <row r="22656">
      <c r="D22656" s="9"/>
      <c r="G22656" s="9"/>
      <c r="J22656" s="11"/>
      <c r="U22656" s="9"/>
      <c r="X22656" s="9"/>
    </row>
    <row r="22657">
      <c r="D22657" s="9"/>
      <c r="G22657" s="9"/>
      <c r="J22657" s="11"/>
      <c r="U22657" s="9"/>
      <c r="X22657" s="9"/>
    </row>
    <row r="22658">
      <c r="D22658" s="9"/>
      <c r="G22658" s="9"/>
      <c r="J22658" s="11"/>
      <c r="U22658" s="9"/>
      <c r="X22658" s="9"/>
    </row>
    <row r="22659">
      <c r="D22659" s="9"/>
      <c r="G22659" s="9"/>
      <c r="J22659" s="11"/>
      <c r="U22659" s="9"/>
      <c r="X22659" s="9"/>
    </row>
    <row r="22660">
      <c r="D22660" s="9"/>
      <c r="G22660" s="9"/>
      <c r="J22660" s="11"/>
      <c r="U22660" s="9"/>
      <c r="X22660" s="9"/>
    </row>
    <row r="22661">
      <c r="D22661" s="9"/>
      <c r="G22661" s="9"/>
      <c r="J22661" s="11"/>
      <c r="U22661" s="9"/>
      <c r="X22661" s="9"/>
    </row>
    <row r="22662">
      <c r="D22662" s="9"/>
      <c r="G22662" s="9"/>
      <c r="J22662" s="11"/>
      <c r="U22662" s="9"/>
      <c r="X22662" s="9"/>
    </row>
    <row r="22663">
      <c r="D22663" s="9"/>
      <c r="G22663" s="9"/>
      <c r="J22663" s="11"/>
      <c r="U22663" s="9"/>
      <c r="X22663" s="9"/>
    </row>
    <row r="22664">
      <c r="D22664" s="9"/>
      <c r="G22664" s="9"/>
      <c r="J22664" s="11"/>
      <c r="U22664" s="9"/>
      <c r="X22664" s="9"/>
    </row>
    <row r="22665">
      <c r="D22665" s="9"/>
      <c r="G22665" s="9"/>
      <c r="J22665" s="11"/>
      <c r="U22665" s="9"/>
      <c r="X22665" s="9"/>
    </row>
    <row r="22666">
      <c r="D22666" s="9"/>
      <c r="G22666" s="9"/>
      <c r="J22666" s="11"/>
      <c r="U22666" s="9"/>
      <c r="X22666" s="9"/>
    </row>
    <row r="22667">
      <c r="D22667" s="9"/>
      <c r="G22667" s="9"/>
      <c r="J22667" s="11"/>
      <c r="U22667" s="9"/>
      <c r="X22667" s="9"/>
    </row>
    <row r="22668">
      <c r="D22668" s="9"/>
      <c r="G22668" s="9"/>
      <c r="J22668" s="11"/>
      <c r="U22668" s="9"/>
      <c r="X22668" s="9"/>
    </row>
    <row r="22669">
      <c r="D22669" s="9"/>
      <c r="G22669" s="9"/>
      <c r="J22669" s="11"/>
      <c r="U22669" s="9"/>
      <c r="X22669" s="9"/>
    </row>
    <row r="22670">
      <c r="D22670" s="9"/>
      <c r="G22670" s="9"/>
      <c r="J22670" s="11"/>
      <c r="U22670" s="9"/>
      <c r="X22670" s="9"/>
    </row>
    <row r="22671">
      <c r="D22671" s="9"/>
      <c r="G22671" s="9"/>
      <c r="J22671" s="11"/>
      <c r="U22671" s="9"/>
      <c r="X22671" s="9"/>
    </row>
    <row r="22672">
      <c r="D22672" s="9"/>
      <c r="G22672" s="9"/>
      <c r="J22672" s="11"/>
      <c r="U22672" s="9"/>
      <c r="X22672" s="9"/>
    </row>
    <row r="22673">
      <c r="D22673" s="9"/>
      <c r="G22673" s="9"/>
      <c r="J22673" s="11"/>
      <c r="U22673" s="9"/>
      <c r="X22673" s="9"/>
    </row>
    <row r="22674">
      <c r="D22674" s="9"/>
      <c r="G22674" s="9"/>
      <c r="J22674" s="11"/>
      <c r="U22674" s="9"/>
      <c r="X22674" s="9"/>
    </row>
    <row r="22675">
      <c r="D22675" s="9"/>
      <c r="G22675" s="9"/>
      <c r="J22675" s="11"/>
      <c r="U22675" s="9"/>
      <c r="X22675" s="9"/>
    </row>
    <row r="22676">
      <c r="D22676" s="9"/>
      <c r="G22676" s="9"/>
      <c r="J22676" s="11"/>
      <c r="U22676" s="9"/>
      <c r="X22676" s="9"/>
    </row>
    <row r="22677">
      <c r="D22677" s="9"/>
      <c r="G22677" s="9"/>
      <c r="J22677" s="11"/>
      <c r="U22677" s="9"/>
      <c r="X22677" s="9"/>
    </row>
    <row r="22678">
      <c r="D22678" s="9"/>
      <c r="G22678" s="9"/>
      <c r="J22678" s="11"/>
      <c r="U22678" s="9"/>
      <c r="X22678" s="9"/>
    </row>
    <row r="22679">
      <c r="D22679" s="9"/>
      <c r="G22679" s="9"/>
      <c r="J22679" s="11"/>
      <c r="U22679" s="9"/>
      <c r="X22679" s="9"/>
    </row>
    <row r="22680">
      <c r="D22680" s="9"/>
      <c r="G22680" s="9"/>
      <c r="J22680" s="11"/>
      <c r="U22680" s="9"/>
      <c r="X22680" s="9"/>
    </row>
    <row r="22681">
      <c r="D22681" s="9"/>
      <c r="G22681" s="9"/>
      <c r="J22681" s="11"/>
      <c r="U22681" s="9"/>
      <c r="X22681" s="9"/>
    </row>
    <row r="22682">
      <c r="D22682" s="9"/>
      <c r="G22682" s="9"/>
      <c r="J22682" s="11"/>
      <c r="U22682" s="9"/>
      <c r="X22682" s="9"/>
    </row>
    <row r="22683">
      <c r="D22683" s="9"/>
      <c r="G22683" s="9"/>
      <c r="J22683" s="11"/>
      <c r="U22683" s="9"/>
      <c r="X22683" s="9"/>
    </row>
    <row r="22684">
      <c r="D22684" s="9"/>
      <c r="G22684" s="9"/>
      <c r="J22684" s="11"/>
      <c r="U22684" s="9"/>
      <c r="X22684" s="9"/>
    </row>
    <row r="22685">
      <c r="D22685" s="9"/>
      <c r="G22685" s="9"/>
      <c r="J22685" s="11"/>
      <c r="U22685" s="9"/>
      <c r="X22685" s="9"/>
    </row>
    <row r="22686">
      <c r="D22686" s="9"/>
      <c r="G22686" s="9"/>
      <c r="J22686" s="11"/>
      <c r="U22686" s="9"/>
      <c r="X22686" s="9"/>
    </row>
    <row r="22687">
      <c r="D22687" s="9"/>
      <c r="G22687" s="9"/>
      <c r="J22687" s="11"/>
      <c r="U22687" s="9"/>
      <c r="X22687" s="9"/>
    </row>
    <row r="22688">
      <c r="D22688" s="9"/>
      <c r="G22688" s="9"/>
      <c r="J22688" s="11"/>
      <c r="U22688" s="9"/>
      <c r="X22688" s="9"/>
    </row>
    <row r="22689">
      <c r="D22689" s="9"/>
      <c r="G22689" s="9"/>
      <c r="J22689" s="11"/>
      <c r="U22689" s="9"/>
      <c r="X22689" s="9"/>
    </row>
    <row r="22690">
      <c r="D22690" s="9"/>
      <c r="G22690" s="9"/>
      <c r="J22690" s="11"/>
      <c r="U22690" s="9"/>
      <c r="X22690" s="9"/>
    </row>
    <row r="22691">
      <c r="D22691" s="9"/>
      <c r="G22691" s="9"/>
      <c r="J22691" s="11"/>
      <c r="U22691" s="9"/>
      <c r="X22691" s="9"/>
    </row>
    <row r="22692">
      <c r="D22692" s="9"/>
      <c r="G22692" s="9"/>
      <c r="J22692" s="11"/>
      <c r="U22692" s="9"/>
      <c r="X22692" s="9"/>
    </row>
    <row r="22693">
      <c r="D22693" s="9"/>
      <c r="G22693" s="9"/>
      <c r="J22693" s="11"/>
      <c r="U22693" s="9"/>
      <c r="X22693" s="9"/>
    </row>
    <row r="22694">
      <c r="D22694" s="9"/>
      <c r="G22694" s="9"/>
      <c r="J22694" s="11"/>
      <c r="U22694" s="9"/>
      <c r="X22694" s="9"/>
    </row>
    <row r="22695">
      <c r="D22695" s="9"/>
      <c r="G22695" s="9"/>
      <c r="J22695" s="11"/>
      <c r="U22695" s="9"/>
      <c r="X22695" s="9"/>
    </row>
    <row r="22696">
      <c r="D22696" s="9"/>
      <c r="G22696" s="9"/>
      <c r="J22696" s="11"/>
      <c r="U22696" s="9"/>
      <c r="X22696" s="9"/>
    </row>
    <row r="22697">
      <c r="D22697" s="9"/>
      <c r="G22697" s="9"/>
      <c r="J22697" s="11"/>
      <c r="U22697" s="9"/>
      <c r="X22697" s="9"/>
    </row>
    <row r="22698">
      <c r="D22698" s="9"/>
      <c r="G22698" s="9"/>
      <c r="J22698" s="11"/>
      <c r="U22698" s="9"/>
      <c r="X22698" s="9"/>
    </row>
    <row r="22699">
      <c r="D22699" s="9"/>
      <c r="G22699" s="9"/>
      <c r="J22699" s="11"/>
      <c r="U22699" s="9"/>
      <c r="X22699" s="9"/>
    </row>
    <row r="22700">
      <c r="D22700" s="9"/>
      <c r="G22700" s="9"/>
      <c r="J22700" s="11"/>
      <c r="U22700" s="9"/>
      <c r="X22700" s="9"/>
    </row>
    <row r="22701">
      <c r="D22701" s="9"/>
      <c r="G22701" s="9"/>
      <c r="J22701" s="11"/>
      <c r="U22701" s="9"/>
      <c r="X22701" s="9"/>
    </row>
    <row r="22702">
      <c r="D22702" s="9"/>
      <c r="G22702" s="9"/>
      <c r="J22702" s="11"/>
      <c r="U22702" s="9"/>
      <c r="X22702" s="9"/>
    </row>
    <row r="22703">
      <c r="D22703" s="9"/>
      <c r="G22703" s="9"/>
      <c r="J22703" s="11"/>
      <c r="U22703" s="9"/>
      <c r="X22703" s="9"/>
    </row>
    <row r="22704">
      <c r="D22704" s="9"/>
      <c r="G22704" s="9"/>
      <c r="J22704" s="11"/>
      <c r="U22704" s="9"/>
      <c r="X22704" s="9"/>
    </row>
    <row r="22705">
      <c r="D22705" s="9"/>
      <c r="G22705" s="9"/>
      <c r="J22705" s="11"/>
      <c r="U22705" s="9"/>
      <c r="X22705" s="9"/>
    </row>
    <row r="22706">
      <c r="D22706" s="9"/>
      <c r="G22706" s="9"/>
      <c r="J22706" s="11"/>
      <c r="U22706" s="9"/>
      <c r="X22706" s="9"/>
    </row>
    <row r="22707">
      <c r="D22707" s="9"/>
      <c r="G22707" s="9"/>
      <c r="J22707" s="11"/>
      <c r="U22707" s="9"/>
      <c r="X22707" s="9"/>
    </row>
    <row r="22708">
      <c r="D22708" s="9"/>
      <c r="G22708" s="9"/>
      <c r="J22708" s="11"/>
      <c r="U22708" s="9"/>
      <c r="X22708" s="9"/>
    </row>
    <row r="22709">
      <c r="D22709" s="9"/>
      <c r="G22709" s="9"/>
      <c r="J22709" s="11"/>
      <c r="U22709" s="9"/>
      <c r="X22709" s="9"/>
    </row>
    <row r="22710">
      <c r="D22710" s="9"/>
      <c r="G22710" s="9"/>
      <c r="J22710" s="11"/>
      <c r="U22710" s="9"/>
      <c r="X22710" s="9"/>
    </row>
    <row r="22711">
      <c r="D22711" s="9"/>
      <c r="G22711" s="9"/>
      <c r="J22711" s="11"/>
      <c r="U22711" s="9"/>
      <c r="X22711" s="9"/>
    </row>
    <row r="22712">
      <c r="D22712" s="9"/>
      <c r="G22712" s="9"/>
      <c r="J22712" s="11"/>
      <c r="U22712" s="9"/>
      <c r="X22712" s="9"/>
    </row>
    <row r="22713">
      <c r="D22713" s="9"/>
      <c r="G22713" s="9"/>
      <c r="J22713" s="11"/>
      <c r="U22713" s="9"/>
      <c r="X22713" s="9"/>
    </row>
    <row r="22714">
      <c r="D22714" s="9"/>
      <c r="G22714" s="9"/>
      <c r="J22714" s="11"/>
      <c r="U22714" s="9"/>
      <c r="X22714" s="9"/>
    </row>
    <row r="22715">
      <c r="D22715" s="9"/>
      <c r="G22715" s="9"/>
      <c r="J22715" s="11"/>
      <c r="U22715" s="9"/>
      <c r="X22715" s="9"/>
    </row>
    <row r="22716">
      <c r="D22716" s="9"/>
      <c r="G22716" s="9"/>
      <c r="J22716" s="11"/>
      <c r="U22716" s="9"/>
      <c r="X22716" s="9"/>
    </row>
    <row r="22717">
      <c r="D22717" s="9"/>
      <c r="G22717" s="9"/>
      <c r="J22717" s="11"/>
      <c r="U22717" s="9"/>
      <c r="X22717" s="9"/>
    </row>
    <row r="22718">
      <c r="D22718" s="9"/>
      <c r="G22718" s="9"/>
      <c r="J22718" s="11"/>
      <c r="U22718" s="9"/>
      <c r="X22718" s="9"/>
    </row>
    <row r="22719">
      <c r="D22719" s="9"/>
      <c r="G22719" s="9"/>
      <c r="J22719" s="11"/>
      <c r="U22719" s="9"/>
      <c r="X22719" s="9"/>
    </row>
    <row r="22720">
      <c r="D22720" s="9"/>
      <c r="G22720" s="9"/>
      <c r="J22720" s="11"/>
      <c r="U22720" s="9"/>
      <c r="X22720" s="9"/>
    </row>
    <row r="22721">
      <c r="D22721" s="9"/>
      <c r="G22721" s="9"/>
      <c r="J22721" s="11"/>
      <c r="U22721" s="9"/>
      <c r="X22721" s="9"/>
    </row>
    <row r="22722">
      <c r="D22722" s="9"/>
      <c r="G22722" s="9"/>
      <c r="J22722" s="11"/>
      <c r="U22722" s="9"/>
      <c r="X22722" s="9"/>
    </row>
    <row r="22723">
      <c r="D22723" s="9"/>
      <c r="G22723" s="9"/>
      <c r="J22723" s="11"/>
      <c r="U22723" s="9"/>
      <c r="X22723" s="9"/>
    </row>
    <row r="22724">
      <c r="D22724" s="9"/>
      <c r="G22724" s="9"/>
      <c r="J22724" s="11"/>
      <c r="U22724" s="9"/>
      <c r="X22724" s="9"/>
    </row>
    <row r="22725">
      <c r="D22725" s="9"/>
      <c r="G22725" s="9"/>
      <c r="J22725" s="11"/>
      <c r="U22725" s="9"/>
      <c r="X22725" s="9"/>
    </row>
    <row r="22726">
      <c r="D22726" s="9"/>
      <c r="G22726" s="9"/>
      <c r="J22726" s="11"/>
      <c r="U22726" s="9"/>
      <c r="X22726" s="9"/>
    </row>
    <row r="22727">
      <c r="D22727" s="9"/>
      <c r="G22727" s="9"/>
      <c r="J22727" s="11"/>
      <c r="U22727" s="9"/>
      <c r="X22727" s="9"/>
    </row>
    <row r="22728">
      <c r="D22728" s="9"/>
      <c r="G22728" s="9"/>
      <c r="J22728" s="11"/>
      <c r="U22728" s="9"/>
      <c r="X22728" s="9"/>
    </row>
    <row r="22729">
      <c r="D22729" s="9"/>
      <c r="G22729" s="9"/>
      <c r="J22729" s="11"/>
      <c r="U22729" s="9"/>
      <c r="X22729" s="9"/>
    </row>
    <row r="22730">
      <c r="D22730" s="9"/>
      <c r="G22730" s="9"/>
      <c r="J22730" s="11"/>
      <c r="U22730" s="9"/>
      <c r="X22730" s="9"/>
    </row>
    <row r="22731">
      <c r="D22731" s="9"/>
      <c r="G22731" s="9"/>
      <c r="J22731" s="11"/>
      <c r="U22731" s="9"/>
      <c r="X22731" s="9"/>
    </row>
    <row r="22732">
      <c r="D22732" s="9"/>
      <c r="G22732" s="9"/>
      <c r="J22732" s="11"/>
      <c r="U22732" s="9"/>
      <c r="X22732" s="9"/>
    </row>
    <row r="22733">
      <c r="D22733" s="9"/>
      <c r="G22733" s="9"/>
      <c r="J22733" s="11"/>
      <c r="U22733" s="9"/>
      <c r="X22733" s="9"/>
    </row>
    <row r="22734">
      <c r="D22734" s="9"/>
      <c r="G22734" s="9"/>
      <c r="J22734" s="11"/>
      <c r="U22734" s="9"/>
      <c r="X22734" s="9"/>
    </row>
    <row r="22735">
      <c r="D22735" s="9"/>
      <c r="G22735" s="9"/>
      <c r="J22735" s="11"/>
      <c r="U22735" s="9"/>
      <c r="X22735" s="9"/>
    </row>
    <row r="22736">
      <c r="D22736" s="9"/>
      <c r="G22736" s="9"/>
      <c r="J22736" s="11"/>
      <c r="U22736" s="9"/>
      <c r="X22736" s="9"/>
    </row>
    <row r="22737">
      <c r="D22737" s="9"/>
      <c r="G22737" s="9"/>
      <c r="J22737" s="11"/>
      <c r="U22737" s="9"/>
      <c r="X22737" s="9"/>
    </row>
    <row r="22738">
      <c r="D22738" s="9"/>
      <c r="G22738" s="9"/>
      <c r="J22738" s="11"/>
      <c r="U22738" s="9"/>
      <c r="X22738" s="9"/>
    </row>
    <row r="22739">
      <c r="D22739" s="9"/>
      <c r="G22739" s="9"/>
      <c r="J22739" s="11"/>
      <c r="U22739" s="9"/>
      <c r="X22739" s="9"/>
    </row>
    <row r="22740">
      <c r="D22740" s="9"/>
      <c r="G22740" s="9"/>
      <c r="J22740" s="11"/>
      <c r="U22740" s="9"/>
      <c r="X22740" s="9"/>
    </row>
    <row r="22741">
      <c r="D22741" s="9"/>
      <c r="G22741" s="9"/>
      <c r="J22741" s="11"/>
      <c r="U22741" s="9"/>
      <c r="X22741" s="9"/>
    </row>
    <row r="22742">
      <c r="D22742" s="9"/>
      <c r="G22742" s="9"/>
      <c r="J22742" s="11"/>
      <c r="U22742" s="9"/>
      <c r="X22742" s="9"/>
    </row>
    <row r="22743">
      <c r="D22743" s="9"/>
      <c r="G22743" s="9"/>
      <c r="J22743" s="11"/>
      <c r="U22743" s="9"/>
      <c r="X22743" s="9"/>
    </row>
    <row r="22744">
      <c r="D22744" s="9"/>
      <c r="G22744" s="9"/>
      <c r="J22744" s="11"/>
      <c r="U22744" s="9"/>
      <c r="X22744" s="9"/>
    </row>
    <row r="22745">
      <c r="D22745" s="9"/>
      <c r="G22745" s="9"/>
      <c r="J22745" s="11"/>
      <c r="U22745" s="9"/>
      <c r="X22745" s="9"/>
    </row>
    <row r="22746">
      <c r="D22746" s="9"/>
      <c r="G22746" s="9"/>
      <c r="J22746" s="11"/>
      <c r="U22746" s="9"/>
      <c r="X22746" s="9"/>
    </row>
    <row r="22747">
      <c r="D22747" s="9"/>
      <c r="G22747" s="9"/>
      <c r="J22747" s="11"/>
      <c r="U22747" s="9"/>
      <c r="X22747" s="9"/>
    </row>
    <row r="22748">
      <c r="D22748" s="9"/>
      <c r="G22748" s="9"/>
      <c r="J22748" s="11"/>
      <c r="U22748" s="9"/>
      <c r="X22748" s="9"/>
    </row>
    <row r="22749">
      <c r="D22749" s="9"/>
      <c r="G22749" s="9"/>
      <c r="J22749" s="11"/>
      <c r="U22749" s="9"/>
      <c r="X22749" s="9"/>
    </row>
    <row r="22750">
      <c r="D22750" s="9"/>
      <c r="G22750" s="9"/>
      <c r="J22750" s="11"/>
      <c r="U22750" s="9"/>
      <c r="X22750" s="9"/>
    </row>
    <row r="22751">
      <c r="D22751" s="9"/>
      <c r="G22751" s="9"/>
      <c r="J22751" s="11"/>
      <c r="U22751" s="9"/>
      <c r="X22751" s="9"/>
    </row>
    <row r="22752">
      <c r="D22752" s="9"/>
      <c r="G22752" s="9"/>
      <c r="J22752" s="11"/>
      <c r="U22752" s="9"/>
      <c r="X22752" s="9"/>
    </row>
    <row r="22753">
      <c r="D22753" s="9"/>
      <c r="G22753" s="9"/>
      <c r="J22753" s="11"/>
      <c r="U22753" s="9"/>
      <c r="X22753" s="9"/>
    </row>
    <row r="22754">
      <c r="D22754" s="9"/>
      <c r="G22754" s="9"/>
      <c r="J22754" s="11"/>
      <c r="U22754" s="9"/>
      <c r="X22754" s="9"/>
    </row>
    <row r="22755">
      <c r="D22755" s="9"/>
      <c r="G22755" s="9"/>
      <c r="J22755" s="11"/>
      <c r="U22755" s="9"/>
      <c r="X22755" s="9"/>
    </row>
    <row r="22756">
      <c r="D22756" s="9"/>
      <c r="G22756" s="9"/>
      <c r="J22756" s="11"/>
      <c r="U22756" s="9"/>
      <c r="X22756" s="9"/>
    </row>
    <row r="22757">
      <c r="D22757" s="9"/>
      <c r="G22757" s="9"/>
      <c r="J22757" s="11"/>
      <c r="U22757" s="9"/>
      <c r="X22757" s="9"/>
    </row>
    <row r="22758">
      <c r="D22758" s="9"/>
      <c r="G22758" s="9"/>
      <c r="J22758" s="11"/>
      <c r="U22758" s="9"/>
      <c r="X22758" s="9"/>
    </row>
    <row r="22759">
      <c r="D22759" s="9"/>
      <c r="G22759" s="9"/>
      <c r="J22759" s="11"/>
      <c r="U22759" s="9"/>
      <c r="X22759" s="9"/>
    </row>
    <row r="22760">
      <c r="D22760" s="9"/>
      <c r="G22760" s="9"/>
      <c r="J22760" s="11"/>
      <c r="U22760" s="9"/>
      <c r="X22760" s="9"/>
    </row>
    <row r="22761">
      <c r="D22761" s="9"/>
      <c r="G22761" s="9"/>
      <c r="J22761" s="11"/>
      <c r="U22761" s="9"/>
      <c r="X22761" s="9"/>
    </row>
    <row r="22762">
      <c r="D22762" s="9"/>
      <c r="G22762" s="9"/>
      <c r="J22762" s="11"/>
      <c r="U22762" s="9"/>
      <c r="X22762" s="9"/>
    </row>
    <row r="22763">
      <c r="D22763" s="9"/>
      <c r="G22763" s="9"/>
      <c r="J22763" s="11"/>
      <c r="U22763" s="9"/>
      <c r="X22763" s="9"/>
    </row>
    <row r="22764">
      <c r="D22764" s="9"/>
      <c r="G22764" s="9"/>
      <c r="J22764" s="11"/>
      <c r="U22764" s="9"/>
      <c r="X22764" s="9"/>
    </row>
    <row r="22765">
      <c r="D22765" s="9"/>
      <c r="G22765" s="9"/>
      <c r="J22765" s="11"/>
      <c r="U22765" s="9"/>
      <c r="X22765" s="9"/>
    </row>
    <row r="22766">
      <c r="D22766" s="9"/>
      <c r="G22766" s="9"/>
      <c r="J22766" s="11"/>
      <c r="U22766" s="9"/>
      <c r="X22766" s="9"/>
    </row>
    <row r="22767">
      <c r="D22767" s="9"/>
      <c r="G22767" s="9"/>
      <c r="J22767" s="11"/>
      <c r="U22767" s="9"/>
      <c r="X22767" s="9"/>
    </row>
    <row r="22768">
      <c r="D22768" s="9"/>
      <c r="G22768" s="9"/>
      <c r="J22768" s="11"/>
      <c r="U22768" s="9"/>
      <c r="X22768" s="9"/>
    </row>
    <row r="22769">
      <c r="D22769" s="9"/>
      <c r="G22769" s="9"/>
      <c r="J22769" s="11"/>
      <c r="U22769" s="9"/>
      <c r="X22769" s="9"/>
    </row>
    <row r="22770">
      <c r="D22770" s="9"/>
      <c r="G22770" s="9"/>
      <c r="J22770" s="11"/>
      <c r="U22770" s="9"/>
      <c r="X22770" s="9"/>
    </row>
    <row r="22771">
      <c r="D22771" s="9"/>
      <c r="G22771" s="9"/>
      <c r="J22771" s="11"/>
      <c r="U22771" s="9"/>
      <c r="X22771" s="9"/>
    </row>
    <row r="22772">
      <c r="D22772" s="9"/>
      <c r="G22772" s="9"/>
      <c r="J22772" s="11"/>
      <c r="U22772" s="9"/>
      <c r="X22772" s="9"/>
    </row>
    <row r="22773">
      <c r="D22773" s="9"/>
      <c r="G22773" s="9"/>
      <c r="J22773" s="11"/>
      <c r="U22773" s="9"/>
      <c r="X22773" s="9"/>
    </row>
    <row r="22774">
      <c r="D22774" s="9"/>
      <c r="G22774" s="9"/>
      <c r="J22774" s="11"/>
      <c r="U22774" s="9"/>
      <c r="X22774" s="9"/>
    </row>
    <row r="22775">
      <c r="D22775" s="9"/>
      <c r="G22775" s="9"/>
      <c r="J22775" s="11"/>
      <c r="U22775" s="9"/>
      <c r="X22775" s="9"/>
    </row>
    <row r="22776">
      <c r="D22776" s="9"/>
      <c r="G22776" s="9"/>
      <c r="J22776" s="11"/>
      <c r="U22776" s="9"/>
      <c r="X22776" s="9"/>
    </row>
    <row r="22777">
      <c r="D22777" s="9"/>
      <c r="G22777" s="9"/>
      <c r="J22777" s="11"/>
      <c r="U22777" s="9"/>
      <c r="X22777" s="9"/>
    </row>
    <row r="22778">
      <c r="D22778" s="9"/>
      <c r="G22778" s="9"/>
      <c r="J22778" s="11"/>
      <c r="U22778" s="9"/>
      <c r="X22778" s="9"/>
    </row>
    <row r="22779">
      <c r="D22779" s="9"/>
      <c r="G22779" s="9"/>
      <c r="J22779" s="11"/>
      <c r="U22779" s="9"/>
      <c r="X22779" s="9"/>
    </row>
    <row r="22780">
      <c r="D22780" s="9"/>
      <c r="G22780" s="9"/>
      <c r="J22780" s="11"/>
      <c r="U22780" s="9"/>
      <c r="X22780" s="9"/>
    </row>
    <row r="22781">
      <c r="D22781" s="9"/>
      <c r="G22781" s="9"/>
      <c r="J22781" s="11"/>
      <c r="U22781" s="9"/>
      <c r="X22781" s="9"/>
    </row>
    <row r="22782">
      <c r="D22782" s="9"/>
      <c r="G22782" s="9"/>
      <c r="J22782" s="11"/>
      <c r="U22782" s="9"/>
      <c r="X22782" s="9"/>
    </row>
    <row r="22783">
      <c r="D22783" s="9"/>
      <c r="G22783" s="9"/>
      <c r="J22783" s="11"/>
      <c r="U22783" s="9"/>
      <c r="X22783" s="9"/>
    </row>
    <row r="22784">
      <c r="D22784" s="9"/>
      <c r="G22784" s="9"/>
      <c r="J22784" s="11"/>
      <c r="U22784" s="9"/>
      <c r="X22784" s="9"/>
    </row>
    <row r="22785">
      <c r="D22785" s="9"/>
      <c r="G22785" s="9"/>
      <c r="J22785" s="11"/>
      <c r="U22785" s="9"/>
      <c r="X22785" s="9"/>
    </row>
    <row r="22786">
      <c r="D22786" s="9"/>
      <c r="G22786" s="9"/>
      <c r="J22786" s="11"/>
      <c r="U22786" s="9"/>
      <c r="X22786" s="9"/>
    </row>
    <row r="22787">
      <c r="D22787" s="9"/>
      <c r="G22787" s="9"/>
      <c r="J22787" s="11"/>
      <c r="U22787" s="9"/>
      <c r="X22787" s="9"/>
    </row>
    <row r="22788">
      <c r="D22788" s="9"/>
      <c r="G22788" s="9"/>
      <c r="J22788" s="11"/>
      <c r="U22788" s="9"/>
      <c r="X22788" s="9"/>
    </row>
    <row r="22789">
      <c r="D22789" s="9"/>
      <c r="G22789" s="9"/>
      <c r="J22789" s="11"/>
      <c r="U22789" s="9"/>
      <c r="X22789" s="9"/>
    </row>
    <row r="22790">
      <c r="D22790" s="9"/>
      <c r="G22790" s="9"/>
      <c r="J22790" s="11"/>
      <c r="U22790" s="9"/>
      <c r="X22790" s="9"/>
    </row>
    <row r="22791">
      <c r="D22791" s="9"/>
      <c r="G22791" s="9"/>
      <c r="J22791" s="11"/>
      <c r="U22791" s="9"/>
      <c r="X22791" s="9"/>
    </row>
    <row r="22792">
      <c r="D22792" s="9"/>
      <c r="G22792" s="9"/>
      <c r="J22792" s="11"/>
      <c r="U22792" s="9"/>
      <c r="X22792" s="9"/>
    </row>
    <row r="22793">
      <c r="D22793" s="9"/>
      <c r="G22793" s="9"/>
      <c r="J22793" s="11"/>
      <c r="U22793" s="9"/>
      <c r="X22793" s="9"/>
    </row>
    <row r="22794">
      <c r="D22794" s="9"/>
      <c r="G22794" s="9"/>
      <c r="J22794" s="11"/>
      <c r="U22794" s="9"/>
      <c r="X22794" s="9"/>
    </row>
    <row r="22795">
      <c r="D22795" s="9"/>
      <c r="G22795" s="9"/>
      <c r="J22795" s="11"/>
      <c r="U22795" s="9"/>
      <c r="X22795" s="9"/>
    </row>
    <row r="22796">
      <c r="D22796" s="9"/>
      <c r="G22796" s="9"/>
      <c r="J22796" s="11"/>
      <c r="U22796" s="9"/>
      <c r="X22796" s="9"/>
    </row>
    <row r="22797">
      <c r="D22797" s="9"/>
      <c r="G22797" s="9"/>
      <c r="J22797" s="11"/>
      <c r="U22797" s="9"/>
      <c r="X22797" s="9"/>
    </row>
    <row r="22798">
      <c r="D22798" s="9"/>
      <c r="G22798" s="9"/>
      <c r="J22798" s="11"/>
      <c r="U22798" s="9"/>
      <c r="X22798" s="9"/>
    </row>
    <row r="22799">
      <c r="D22799" s="9"/>
      <c r="G22799" s="9"/>
      <c r="J22799" s="11"/>
      <c r="U22799" s="9"/>
      <c r="X22799" s="9"/>
    </row>
    <row r="22800">
      <c r="D22800" s="9"/>
      <c r="G22800" s="9"/>
      <c r="J22800" s="11"/>
      <c r="U22800" s="9"/>
      <c r="X22800" s="9"/>
    </row>
    <row r="22801">
      <c r="D22801" s="9"/>
      <c r="G22801" s="9"/>
      <c r="J22801" s="11"/>
      <c r="U22801" s="9"/>
      <c r="X22801" s="9"/>
    </row>
    <row r="22802">
      <c r="D22802" s="9"/>
      <c r="G22802" s="9"/>
      <c r="J22802" s="11"/>
      <c r="U22802" s="9"/>
      <c r="X22802" s="9"/>
    </row>
    <row r="22803">
      <c r="D22803" s="9"/>
      <c r="G22803" s="9"/>
      <c r="J22803" s="11"/>
      <c r="U22803" s="9"/>
      <c r="X22803" s="9"/>
    </row>
    <row r="22804">
      <c r="D22804" s="9"/>
      <c r="G22804" s="9"/>
      <c r="J22804" s="11"/>
      <c r="U22804" s="9"/>
      <c r="X22804" s="9"/>
    </row>
    <row r="22805">
      <c r="D22805" s="9"/>
      <c r="G22805" s="9"/>
      <c r="J22805" s="11"/>
      <c r="U22805" s="9"/>
      <c r="X22805" s="9"/>
    </row>
    <row r="22806">
      <c r="D22806" s="9"/>
      <c r="G22806" s="9"/>
      <c r="J22806" s="11"/>
      <c r="U22806" s="9"/>
      <c r="X22806" s="9"/>
    </row>
    <row r="22807">
      <c r="D22807" s="9"/>
      <c r="G22807" s="9"/>
      <c r="J22807" s="11"/>
      <c r="U22807" s="9"/>
      <c r="X22807" s="9"/>
    </row>
    <row r="22808">
      <c r="D22808" s="9"/>
      <c r="G22808" s="9"/>
      <c r="J22808" s="11"/>
      <c r="U22808" s="9"/>
      <c r="X22808" s="9"/>
    </row>
    <row r="22809">
      <c r="D22809" s="9"/>
      <c r="G22809" s="9"/>
      <c r="J22809" s="11"/>
      <c r="U22809" s="9"/>
      <c r="X22809" s="9"/>
    </row>
    <row r="22810">
      <c r="D22810" s="9"/>
      <c r="G22810" s="9"/>
      <c r="J22810" s="11"/>
      <c r="U22810" s="9"/>
      <c r="X22810" s="9"/>
    </row>
    <row r="22811">
      <c r="D22811" s="9"/>
      <c r="G22811" s="9"/>
      <c r="J22811" s="11"/>
      <c r="U22811" s="9"/>
      <c r="X22811" s="9"/>
    </row>
    <row r="22812">
      <c r="D22812" s="9"/>
      <c r="G22812" s="9"/>
      <c r="J22812" s="11"/>
      <c r="U22812" s="9"/>
      <c r="X22812" s="9"/>
    </row>
    <row r="22813">
      <c r="D22813" s="9"/>
      <c r="G22813" s="9"/>
      <c r="J22813" s="11"/>
      <c r="U22813" s="9"/>
      <c r="X22813" s="9"/>
    </row>
    <row r="22814">
      <c r="D22814" s="9"/>
      <c r="G22814" s="9"/>
      <c r="J22814" s="11"/>
      <c r="U22814" s="9"/>
      <c r="X22814" s="9"/>
    </row>
    <row r="22815">
      <c r="D22815" s="9"/>
      <c r="G22815" s="9"/>
      <c r="J22815" s="11"/>
      <c r="U22815" s="9"/>
      <c r="X22815" s="9"/>
    </row>
    <row r="22816">
      <c r="D22816" s="9"/>
      <c r="G22816" s="9"/>
      <c r="J22816" s="11"/>
      <c r="U22816" s="9"/>
      <c r="X22816" s="9"/>
    </row>
    <row r="22817">
      <c r="D22817" s="9"/>
      <c r="G22817" s="9"/>
      <c r="J22817" s="11"/>
      <c r="U22817" s="9"/>
      <c r="X22817" s="9"/>
    </row>
    <row r="22818">
      <c r="D22818" s="9"/>
      <c r="G22818" s="9"/>
      <c r="J22818" s="11"/>
      <c r="U22818" s="9"/>
      <c r="X22818" s="9"/>
    </row>
    <row r="22819">
      <c r="D22819" s="9"/>
      <c r="G22819" s="9"/>
      <c r="J22819" s="11"/>
      <c r="U22819" s="9"/>
      <c r="X22819" s="9"/>
    </row>
    <row r="22820">
      <c r="D22820" s="9"/>
      <c r="G22820" s="9"/>
      <c r="J22820" s="11"/>
      <c r="U22820" s="9"/>
      <c r="X22820" s="9"/>
    </row>
    <row r="22821">
      <c r="D22821" s="9"/>
      <c r="G22821" s="9"/>
      <c r="J22821" s="11"/>
      <c r="U22821" s="9"/>
      <c r="X22821" s="9"/>
    </row>
    <row r="22822">
      <c r="D22822" s="9"/>
      <c r="G22822" s="9"/>
      <c r="J22822" s="11"/>
      <c r="U22822" s="9"/>
      <c r="X22822" s="9"/>
    </row>
    <row r="22823">
      <c r="D22823" s="9"/>
      <c r="G22823" s="9"/>
      <c r="J22823" s="11"/>
      <c r="U22823" s="9"/>
      <c r="X22823" s="9"/>
    </row>
    <row r="22824">
      <c r="D22824" s="9"/>
      <c r="G22824" s="9"/>
      <c r="J22824" s="11"/>
      <c r="U22824" s="9"/>
      <c r="X22824" s="9"/>
    </row>
    <row r="22825">
      <c r="D22825" s="9"/>
      <c r="G22825" s="9"/>
      <c r="J22825" s="11"/>
      <c r="U22825" s="9"/>
      <c r="X22825" s="9"/>
    </row>
    <row r="22826">
      <c r="D22826" s="9"/>
      <c r="G22826" s="9"/>
      <c r="J22826" s="11"/>
      <c r="U22826" s="9"/>
      <c r="X22826" s="9"/>
    </row>
    <row r="22827">
      <c r="D22827" s="9"/>
      <c r="G22827" s="9"/>
      <c r="J22827" s="11"/>
      <c r="U22827" s="9"/>
      <c r="X22827" s="9"/>
    </row>
    <row r="22828">
      <c r="D22828" s="9"/>
      <c r="G22828" s="9"/>
      <c r="J22828" s="11"/>
      <c r="U22828" s="9"/>
      <c r="X22828" s="9"/>
    </row>
    <row r="22829">
      <c r="D22829" s="9"/>
      <c r="G22829" s="9"/>
      <c r="J22829" s="11"/>
      <c r="U22829" s="9"/>
      <c r="X22829" s="9"/>
    </row>
    <row r="22830">
      <c r="D22830" s="9"/>
      <c r="G22830" s="9"/>
      <c r="J22830" s="11"/>
      <c r="U22830" s="9"/>
      <c r="X22830" s="9"/>
    </row>
    <row r="22831">
      <c r="D22831" s="9"/>
      <c r="G22831" s="9"/>
      <c r="J22831" s="11"/>
      <c r="U22831" s="9"/>
      <c r="X22831" s="9"/>
    </row>
    <row r="22832">
      <c r="D22832" s="9"/>
      <c r="G22832" s="9"/>
      <c r="J22832" s="11"/>
      <c r="U22832" s="9"/>
      <c r="X22832" s="9"/>
    </row>
    <row r="22833">
      <c r="D22833" s="9"/>
      <c r="G22833" s="9"/>
      <c r="J22833" s="11"/>
      <c r="U22833" s="9"/>
      <c r="X22833" s="9"/>
    </row>
    <row r="22834">
      <c r="D22834" s="9"/>
      <c r="G22834" s="9"/>
      <c r="J22834" s="11"/>
      <c r="U22834" s="9"/>
      <c r="X22834" s="9"/>
    </row>
    <row r="22835">
      <c r="D22835" s="9"/>
      <c r="G22835" s="9"/>
      <c r="J22835" s="11"/>
      <c r="U22835" s="9"/>
      <c r="X22835" s="9"/>
    </row>
    <row r="22836">
      <c r="D22836" s="9"/>
      <c r="G22836" s="9"/>
      <c r="J22836" s="11"/>
      <c r="U22836" s="9"/>
      <c r="X22836" s="9"/>
    </row>
    <row r="22837">
      <c r="D22837" s="9"/>
      <c r="G22837" s="9"/>
      <c r="J22837" s="11"/>
      <c r="U22837" s="9"/>
      <c r="X22837" s="9"/>
    </row>
    <row r="22838">
      <c r="D22838" s="9"/>
      <c r="G22838" s="9"/>
      <c r="J22838" s="11"/>
      <c r="U22838" s="9"/>
      <c r="X22838" s="9"/>
    </row>
    <row r="22839">
      <c r="D22839" s="9"/>
      <c r="G22839" s="9"/>
      <c r="J22839" s="11"/>
      <c r="U22839" s="9"/>
      <c r="X22839" s="9"/>
    </row>
    <row r="22840">
      <c r="D22840" s="9"/>
      <c r="G22840" s="9"/>
      <c r="J22840" s="11"/>
      <c r="U22840" s="9"/>
      <c r="X22840" s="9"/>
    </row>
    <row r="22841">
      <c r="D22841" s="9"/>
      <c r="G22841" s="9"/>
      <c r="J22841" s="11"/>
      <c r="U22841" s="9"/>
      <c r="X22841" s="9"/>
    </row>
    <row r="22842">
      <c r="D22842" s="9"/>
      <c r="G22842" s="9"/>
      <c r="J22842" s="11"/>
      <c r="U22842" s="9"/>
      <c r="X22842" s="9"/>
    </row>
    <row r="22843">
      <c r="D22843" s="9"/>
      <c r="G22843" s="9"/>
      <c r="J22843" s="11"/>
      <c r="U22843" s="9"/>
      <c r="X22843" s="9"/>
    </row>
    <row r="22844">
      <c r="D22844" s="9"/>
      <c r="G22844" s="9"/>
      <c r="J22844" s="11"/>
      <c r="U22844" s="9"/>
      <c r="X22844" s="9"/>
    </row>
    <row r="22845">
      <c r="D22845" s="9"/>
      <c r="G22845" s="9"/>
      <c r="J22845" s="11"/>
      <c r="U22845" s="9"/>
      <c r="X22845" s="9"/>
    </row>
    <row r="22846">
      <c r="D22846" s="9"/>
      <c r="G22846" s="9"/>
      <c r="J22846" s="11"/>
      <c r="U22846" s="9"/>
      <c r="X22846" s="9"/>
    </row>
    <row r="22847">
      <c r="D22847" s="9"/>
      <c r="G22847" s="9"/>
      <c r="J22847" s="11"/>
      <c r="U22847" s="9"/>
      <c r="X22847" s="9"/>
    </row>
    <row r="22848">
      <c r="D22848" s="9"/>
      <c r="G22848" s="9"/>
      <c r="J22848" s="11"/>
      <c r="U22848" s="9"/>
      <c r="X22848" s="9"/>
    </row>
    <row r="22849">
      <c r="D22849" s="9"/>
      <c r="G22849" s="9"/>
      <c r="J22849" s="11"/>
      <c r="U22849" s="9"/>
      <c r="X22849" s="9"/>
    </row>
    <row r="22850">
      <c r="D22850" s="9"/>
      <c r="G22850" s="9"/>
      <c r="J22850" s="11"/>
      <c r="U22850" s="9"/>
      <c r="X22850" s="9"/>
    </row>
    <row r="22851">
      <c r="D22851" s="9"/>
      <c r="G22851" s="9"/>
      <c r="J22851" s="11"/>
      <c r="U22851" s="9"/>
      <c r="X22851" s="9"/>
    </row>
    <row r="22852">
      <c r="D22852" s="9"/>
      <c r="G22852" s="9"/>
      <c r="J22852" s="11"/>
      <c r="U22852" s="9"/>
      <c r="X22852" s="9"/>
    </row>
    <row r="22853">
      <c r="D22853" s="9"/>
      <c r="G22853" s="9"/>
      <c r="J22853" s="11"/>
      <c r="U22853" s="9"/>
      <c r="X22853" s="9"/>
    </row>
    <row r="22854">
      <c r="D22854" s="9"/>
      <c r="G22854" s="9"/>
      <c r="J22854" s="11"/>
      <c r="U22854" s="9"/>
      <c r="X22854" s="9"/>
    </row>
    <row r="22855">
      <c r="D22855" s="9"/>
      <c r="G22855" s="9"/>
      <c r="J22855" s="11"/>
      <c r="U22855" s="9"/>
      <c r="X22855" s="9"/>
    </row>
    <row r="22856">
      <c r="D22856" s="9"/>
      <c r="G22856" s="9"/>
      <c r="J22856" s="11"/>
      <c r="U22856" s="9"/>
      <c r="X22856" s="9"/>
    </row>
    <row r="22857">
      <c r="D22857" s="9"/>
      <c r="G22857" s="9"/>
      <c r="J22857" s="11"/>
      <c r="U22857" s="9"/>
      <c r="X22857" s="9"/>
    </row>
    <row r="22858">
      <c r="D22858" s="9"/>
      <c r="G22858" s="9"/>
      <c r="J22858" s="11"/>
      <c r="U22858" s="9"/>
      <c r="X22858" s="9"/>
    </row>
    <row r="22859">
      <c r="D22859" s="9"/>
      <c r="G22859" s="9"/>
      <c r="J22859" s="11"/>
      <c r="U22859" s="9"/>
      <c r="X22859" s="9"/>
    </row>
    <row r="22860">
      <c r="D22860" s="9"/>
      <c r="G22860" s="9"/>
      <c r="J22860" s="11"/>
      <c r="U22860" s="9"/>
      <c r="X22860" s="9"/>
    </row>
    <row r="22861">
      <c r="D22861" s="9"/>
      <c r="G22861" s="9"/>
      <c r="J22861" s="11"/>
      <c r="U22861" s="9"/>
      <c r="X22861" s="9"/>
    </row>
    <row r="22862">
      <c r="D22862" s="9"/>
      <c r="G22862" s="9"/>
      <c r="J22862" s="11"/>
      <c r="U22862" s="9"/>
      <c r="X22862" s="9"/>
    </row>
    <row r="22863">
      <c r="D22863" s="9"/>
      <c r="G22863" s="9"/>
      <c r="J22863" s="11"/>
      <c r="U22863" s="9"/>
      <c r="X22863" s="9"/>
    </row>
    <row r="22864">
      <c r="D22864" s="9"/>
      <c r="G22864" s="9"/>
      <c r="J22864" s="11"/>
      <c r="U22864" s="9"/>
      <c r="X22864" s="9"/>
    </row>
    <row r="22865">
      <c r="D22865" s="9"/>
      <c r="G22865" s="9"/>
      <c r="J22865" s="11"/>
      <c r="U22865" s="9"/>
      <c r="X22865" s="9"/>
    </row>
    <row r="22866">
      <c r="D22866" s="9"/>
      <c r="G22866" s="9"/>
      <c r="J22866" s="11"/>
      <c r="U22866" s="9"/>
      <c r="X22866" s="9"/>
    </row>
    <row r="22867">
      <c r="D22867" s="9"/>
      <c r="G22867" s="9"/>
      <c r="J22867" s="11"/>
      <c r="U22867" s="9"/>
      <c r="X22867" s="9"/>
    </row>
    <row r="22868">
      <c r="D22868" s="9"/>
      <c r="G22868" s="9"/>
      <c r="J22868" s="11"/>
      <c r="U22868" s="9"/>
      <c r="X22868" s="9"/>
    </row>
    <row r="22869">
      <c r="D22869" s="9"/>
      <c r="G22869" s="9"/>
      <c r="J22869" s="11"/>
      <c r="U22869" s="9"/>
      <c r="X22869" s="9"/>
    </row>
    <row r="22870">
      <c r="D22870" s="9"/>
      <c r="G22870" s="9"/>
      <c r="J22870" s="11"/>
      <c r="U22870" s="9"/>
      <c r="X22870" s="9"/>
    </row>
    <row r="22871">
      <c r="D22871" s="9"/>
      <c r="G22871" s="9"/>
      <c r="J22871" s="11"/>
      <c r="U22871" s="9"/>
      <c r="X22871" s="9"/>
    </row>
    <row r="22872">
      <c r="D22872" s="9"/>
      <c r="G22872" s="9"/>
      <c r="J22872" s="11"/>
      <c r="U22872" s="9"/>
      <c r="X22872" s="9"/>
    </row>
    <row r="22873">
      <c r="D22873" s="9"/>
      <c r="G22873" s="9"/>
      <c r="J22873" s="11"/>
      <c r="U22873" s="9"/>
      <c r="X22873" s="9"/>
    </row>
    <row r="22874">
      <c r="D22874" s="9"/>
      <c r="G22874" s="9"/>
      <c r="J22874" s="11"/>
      <c r="U22874" s="9"/>
      <c r="X22874" s="9"/>
    </row>
    <row r="22875">
      <c r="D22875" s="9"/>
      <c r="G22875" s="9"/>
      <c r="J22875" s="11"/>
      <c r="U22875" s="9"/>
      <c r="X22875" s="9"/>
    </row>
    <row r="22876">
      <c r="D22876" s="9"/>
      <c r="G22876" s="9"/>
      <c r="J22876" s="11"/>
      <c r="U22876" s="9"/>
      <c r="X22876" s="9"/>
    </row>
    <row r="22877">
      <c r="D22877" s="9"/>
      <c r="G22877" s="9"/>
      <c r="J22877" s="11"/>
      <c r="U22877" s="9"/>
      <c r="X22877" s="9"/>
    </row>
    <row r="22878">
      <c r="D22878" s="9"/>
      <c r="G22878" s="9"/>
      <c r="J22878" s="11"/>
      <c r="U22878" s="9"/>
      <c r="X22878" s="9"/>
    </row>
    <row r="22879">
      <c r="D22879" s="9"/>
      <c r="G22879" s="9"/>
      <c r="J22879" s="11"/>
      <c r="U22879" s="9"/>
      <c r="X22879" s="9"/>
    </row>
    <row r="22880">
      <c r="D22880" s="9"/>
      <c r="G22880" s="9"/>
      <c r="J22880" s="11"/>
      <c r="U22880" s="9"/>
      <c r="X22880" s="9"/>
    </row>
    <row r="22881">
      <c r="D22881" s="9"/>
      <c r="G22881" s="9"/>
      <c r="J22881" s="11"/>
      <c r="U22881" s="9"/>
      <c r="X22881" s="9"/>
    </row>
    <row r="22882">
      <c r="D22882" s="9"/>
      <c r="G22882" s="9"/>
      <c r="J22882" s="11"/>
      <c r="U22882" s="9"/>
      <c r="X22882" s="9"/>
    </row>
    <row r="22883">
      <c r="D22883" s="9"/>
      <c r="G22883" s="9"/>
      <c r="J22883" s="11"/>
      <c r="U22883" s="9"/>
      <c r="X22883" s="9"/>
    </row>
    <row r="22884">
      <c r="D22884" s="9"/>
      <c r="G22884" s="9"/>
      <c r="J22884" s="11"/>
      <c r="U22884" s="9"/>
      <c r="X22884" s="9"/>
    </row>
    <row r="22885">
      <c r="D22885" s="9"/>
      <c r="G22885" s="9"/>
      <c r="J22885" s="11"/>
      <c r="U22885" s="9"/>
      <c r="X22885" s="9"/>
    </row>
    <row r="22886">
      <c r="D22886" s="9"/>
      <c r="G22886" s="9"/>
      <c r="J22886" s="11"/>
      <c r="U22886" s="9"/>
      <c r="X22886" s="9"/>
    </row>
    <row r="22887">
      <c r="D22887" s="9"/>
      <c r="G22887" s="9"/>
      <c r="J22887" s="11"/>
      <c r="U22887" s="9"/>
      <c r="X22887" s="9"/>
    </row>
    <row r="22888">
      <c r="D22888" s="9"/>
      <c r="G22888" s="9"/>
      <c r="J22888" s="11"/>
      <c r="U22888" s="9"/>
      <c r="X22888" s="9"/>
    </row>
    <row r="22889">
      <c r="D22889" s="9"/>
      <c r="G22889" s="9"/>
      <c r="J22889" s="11"/>
      <c r="U22889" s="9"/>
      <c r="X22889" s="9"/>
    </row>
    <row r="22890">
      <c r="D22890" s="9"/>
      <c r="G22890" s="9"/>
      <c r="J22890" s="11"/>
      <c r="U22890" s="9"/>
      <c r="X22890" s="9"/>
    </row>
    <row r="22891">
      <c r="D22891" s="9"/>
      <c r="G22891" s="9"/>
      <c r="J22891" s="11"/>
      <c r="U22891" s="9"/>
      <c r="X22891" s="9"/>
    </row>
    <row r="22892">
      <c r="D22892" s="9"/>
      <c r="G22892" s="9"/>
      <c r="J22892" s="11"/>
      <c r="U22892" s="9"/>
      <c r="X22892" s="9"/>
    </row>
    <row r="22893">
      <c r="D22893" s="9"/>
      <c r="G22893" s="9"/>
      <c r="J22893" s="11"/>
      <c r="U22893" s="9"/>
      <c r="X22893" s="9"/>
    </row>
    <row r="22894">
      <c r="D22894" s="9"/>
      <c r="G22894" s="9"/>
      <c r="J22894" s="11"/>
      <c r="U22894" s="9"/>
      <c r="X22894" s="9"/>
    </row>
    <row r="22895">
      <c r="D22895" s="9"/>
      <c r="G22895" s="9"/>
      <c r="J22895" s="11"/>
      <c r="U22895" s="9"/>
      <c r="X22895" s="9"/>
    </row>
    <row r="22896">
      <c r="D22896" s="9"/>
      <c r="G22896" s="9"/>
      <c r="J22896" s="11"/>
      <c r="U22896" s="9"/>
      <c r="X22896" s="9"/>
    </row>
    <row r="22897">
      <c r="D22897" s="9"/>
      <c r="G22897" s="9"/>
      <c r="J22897" s="11"/>
      <c r="U22897" s="9"/>
      <c r="X22897" s="9"/>
    </row>
    <row r="22898">
      <c r="D22898" s="9"/>
      <c r="G22898" s="9"/>
      <c r="J22898" s="11"/>
      <c r="U22898" s="9"/>
      <c r="X22898" s="9"/>
    </row>
    <row r="22899">
      <c r="D22899" s="9"/>
      <c r="G22899" s="9"/>
      <c r="J22899" s="11"/>
      <c r="U22899" s="9"/>
      <c r="X22899" s="9"/>
    </row>
    <row r="22900">
      <c r="D22900" s="9"/>
      <c r="G22900" s="9"/>
      <c r="J22900" s="11"/>
      <c r="U22900" s="9"/>
      <c r="X22900" s="9"/>
    </row>
    <row r="22901">
      <c r="D22901" s="9"/>
      <c r="G22901" s="9"/>
      <c r="J22901" s="11"/>
      <c r="U22901" s="9"/>
      <c r="X22901" s="9"/>
    </row>
    <row r="22902">
      <c r="D22902" s="9"/>
      <c r="G22902" s="9"/>
      <c r="J22902" s="11"/>
      <c r="U22902" s="9"/>
      <c r="X22902" s="9"/>
    </row>
    <row r="22903">
      <c r="D22903" s="9"/>
      <c r="G22903" s="9"/>
      <c r="J22903" s="11"/>
      <c r="U22903" s="9"/>
      <c r="X22903" s="9"/>
    </row>
    <row r="22904">
      <c r="D22904" s="9"/>
      <c r="G22904" s="9"/>
      <c r="J22904" s="11"/>
      <c r="U22904" s="9"/>
      <c r="X22904" s="9"/>
    </row>
    <row r="22905">
      <c r="D22905" s="9"/>
      <c r="G22905" s="9"/>
      <c r="J22905" s="11"/>
      <c r="U22905" s="9"/>
      <c r="X22905" s="9"/>
    </row>
    <row r="22906">
      <c r="D22906" s="9"/>
      <c r="G22906" s="9"/>
      <c r="J22906" s="11"/>
      <c r="U22906" s="9"/>
      <c r="X22906" s="9"/>
    </row>
    <row r="22907">
      <c r="D22907" s="9"/>
      <c r="G22907" s="9"/>
      <c r="J22907" s="11"/>
      <c r="U22907" s="9"/>
      <c r="X22907" s="9"/>
    </row>
    <row r="22908">
      <c r="D22908" s="9"/>
      <c r="G22908" s="9"/>
      <c r="J22908" s="11"/>
      <c r="U22908" s="9"/>
      <c r="X22908" s="9"/>
    </row>
    <row r="22909">
      <c r="D22909" s="9"/>
      <c r="G22909" s="9"/>
      <c r="J22909" s="11"/>
      <c r="U22909" s="9"/>
      <c r="X22909" s="9"/>
    </row>
    <row r="22910">
      <c r="D22910" s="9"/>
      <c r="G22910" s="9"/>
      <c r="J22910" s="11"/>
      <c r="U22910" s="9"/>
      <c r="X22910" s="9"/>
    </row>
    <row r="22911">
      <c r="D22911" s="9"/>
      <c r="G22911" s="9"/>
      <c r="J22911" s="11"/>
      <c r="U22911" s="9"/>
      <c r="X22911" s="9"/>
    </row>
    <row r="22912">
      <c r="D22912" s="9"/>
      <c r="G22912" s="9"/>
      <c r="J22912" s="11"/>
      <c r="U22912" s="9"/>
      <c r="X22912" s="9"/>
    </row>
    <row r="22913">
      <c r="D22913" s="9"/>
      <c r="G22913" s="9"/>
      <c r="J22913" s="11"/>
      <c r="U22913" s="9"/>
      <c r="X22913" s="9"/>
    </row>
    <row r="22914">
      <c r="D22914" s="9"/>
      <c r="G22914" s="9"/>
      <c r="J22914" s="11"/>
      <c r="U22914" s="9"/>
      <c r="X22914" s="9"/>
    </row>
    <row r="22915">
      <c r="D22915" s="9"/>
      <c r="G22915" s="9"/>
      <c r="J22915" s="11"/>
      <c r="U22915" s="9"/>
      <c r="X22915" s="9"/>
    </row>
    <row r="22916">
      <c r="D22916" s="9"/>
      <c r="G22916" s="9"/>
      <c r="J22916" s="11"/>
      <c r="U22916" s="9"/>
      <c r="X22916" s="9"/>
    </row>
    <row r="22917">
      <c r="D22917" s="9"/>
      <c r="G22917" s="9"/>
      <c r="J22917" s="11"/>
      <c r="U22917" s="9"/>
      <c r="X22917" s="9"/>
    </row>
    <row r="22918">
      <c r="D22918" s="9"/>
      <c r="G22918" s="9"/>
      <c r="J22918" s="11"/>
      <c r="U22918" s="9"/>
      <c r="X22918" s="9"/>
    </row>
    <row r="22919">
      <c r="D22919" s="9"/>
      <c r="G22919" s="9"/>
      <c r="J22919" s="11"/>
      <c r="U22919" s="9"/>
      <c r="X22919" s="9"/>
    </row>
    <row r="22920">
      <c r="D22920" s="9"/>
      <c r="G22920" s="9"/>
      <c r="J22920" s="11"/>
      <c r="U22920" s="9"/>
      <c r="X22920" s="9"/>
    </row>
    <row r="22921">
      <c r="D22921" s="9"/>
      <c r="G22921" s="9"/>
      <c r="J22921" s="11"/>
      <c r="U22921" s="9"/>
      <c r="X22921" s="9"/>
    </row>
    <row r="22922">
      <c r="D22922" s="9"/>
      <c r="G22922" s="9"/>
      <c r="J22922" s="11"/>
      <c r="U22922" s="9"/>
      <c r="X22922" s="9"/>
    </row>
    <row r="22923">
      <c r="D22923" s="9"/>
      <c r="G22923" s="9"/>
      <c r="J22923" s="11"/>
      <c r="U22923" s="9"/>
      <c r="X22923" s="9"/>
    </row>
    <row r="22924">
      <c r="D22924" s="9"/>
      <c r="G22924" s="9"/>
      <c r="J22924" s="11"/>
      <c r="U22924" s="9"/>
      <c r="X22924" s="9"/>
    </row>
    <row r="22925">
      <c r="D22925" s="9"/>
      <c r="G22925" s="9"/>
      <c r="J22925" s="11"/>
      <c r="U22925" s="9"/>
      <c r="X22925" s="9"/>
    </row>
    <row r="22926">
      <c r="D22926" s="9"/>
      <c r="G22926" s="9"/>
      <c r="J22926" s="11"/>
      <c r="U22926" s="9"/>
      <c r="X22926" s="9"/>
    </row>
    <row r="22927">
      <c r="D22927" s="9"/>
      <c r="G22927" s="9"/>
      <c r="J22927" s="11"/>
      <c r="U22927" s="9"/>
      <c r="X22927" s="9"/>
    </row>
    <row r="22928">
      <c r="D22928" s="9"/>
      <c r="G22928" s="9"/>
      <c r="J22928" s="11"/>
      <c r="U22928" s="9"/>
      <c r="X22928" s="9"/>
    </row>
    <row r="22929">
      <c r="D22929" s="9"/>
      <c r="G22929" s="9"/>
      <c r="J22929" s="11"/>
      <c r="U22929" s="9"/>
      <c r="X22929" s="9"/>
    </row>
    <row r="22930">
      <c r="D22930" s="9"/>
      <c r="G22930" s="9"/>
      <c r="J22930" s="11"/>
      <c r="U22930" s="9"/>
      <c r="X22930" s="9"/>
    </row>
    <row r="22931">
      <c r="D22931" s="9"/>
      <c r="G22931" s="9"/>
      <c r="J22931" s="11"/>
      <c r="U22931" s="9"/>
      <c r="X22931" s="9"/>
    </row>
    <row r="22932">
      <c r="D22932" s="9"/>
      <c r="G22932" s="9"/>
      <c r="J22932" s="11"/>
      <c r="U22932" s="9"/>
      <c r="X22932" s="9"/>
    </row>
    <row r="22933">
      <c r="D22933" s="9"/>
      <c r="G22933" s="9"/>
      <c r="J22933" s="11"/>
      <c r="U22933" s="9"/>
      <c r="X22933" s="9"/>
    </row>
    <row r="22934">
      <c r="D22934" s="9"/>
      <c r="G22934" s="9"/>
      <c r="J22934" s="11"/>
      <c r="U22934" s="9"/>
      <c r="X22934" s="9"/>
    </row>
    <row r="22935">
      <c r="D22935" s="9"/>
      <c r="G22935" s="9"/>
      <c r="J22935" s="11"/>
      <c r="U22935" s="9"/>
      <c r="X22935" s="9"/>
    </row>
    <row r="22936">
      <c r="D22936" s="9"/>
      <c r="G22936" s="9"/>
      <c r="J22936" s="11"/>
      <c r="U22936" s="9"/>
      <c r="X22936" s="9"/>
    </row>
    <row r="22937">
      <c r="D22937" s="9"/>
      <c r="G22937" s="9"/>
      <c r="J22937" s="11"/>
      <c r="U22937" s="9"/>
      <c r="X22937" s="9"/>
    </row>
    <row r="22938">
      <c r="D22938" s="9"/>
      <c r="G22938" s="9"/>
      <c r="J22938" s="11"/>
      <c r="U22938" s="9"/>
      <c r="X22938" s="9"/>
    </row>
    <row r="22939">
      <c r="D22939" s="9"/>
      <c r="G22939" s="9"/>
      <c r="J22939" s="11"/>
      <c r="U22939" s="9"/>
      <c r="X22939" s="9"/>
    </row>
    <row r="22940">
      <c r="D22940" s="9"/>
      <c r="G22940" s="9"/>
      <c r="J22940" s="11"/>
      <c r="U22940" s="9"/>
      <c r="X22940" s="9"/>
    </row>
    <row r="22941">
      <c r="D22941" s="9"/>
      <c r="G22941" s="9"/>
      <c r="J22941" s="11"/>
      <c r="U22941" s="9"/>
      <c r="X22941" s="9"/>
    </row>
    <row r="22942">
      <c r="D22942" s="9"/>
      <c r="G22942" s="9"/>
      <c r="J22942" s="11"/>
      <c r="U22942" s="9"/>
      <c r="X22942" s="9"/>
    </row>
    <row r="22943">
      <c r="D22943" s="9"/>
      <c r="G22943" s="9"/>
      <c r="J22943" s="11"/>
      <c r="U22943" s="9"/>
      <c r="X22943" s="9"/>
    </row>
    <row r="22944">
      <c r="D22944" s="9"/>
      <c r="G22944" s="9"/>
      <c r="J22944" s="11"/>
      <c r="U22944" s="9"/>
      <c r="X22944" s="9"/>
    </row>
    <row r="22945">
      <c r="D22945" s="9"/>
      <c r="G22945" s="9"/>
      <c r="J22945" s="11"/>
      <c r="U22945" s="9"/>
      <c r="X22945" s="9"/>
    </row>
    <row r="22946">
      <c r="D22946" s="9"/>
      <c r="G22946" s="9"/>
      <c r="J22946" s="11"/>
      <c r="U22946" s="9"/>
      <c r="X22946" s="9"/>
    </row>
    <row r="22947">
      <c r="D22947" s="9"/>
      <c r="G22947" s="9"/>
      <c r="J22947" s="11"/>
      <c r="U22947" s="9"/>
      <c r="X22947" s="9"/>
    </row>
    <row r="22948">
      <c r="D22948" s="9"/>
      <c r="G22948" s="9"/>
      <c r="J22948" s="11"/>
      <c r="U22948" s="9"/>
      <c r="X22948" s="9"/>
    </row>
    <row r="22949">
      <c r="D22949" s="9"/>
      <c r="G22949" s="9"/>
      <c r="J22949" s="11"/>
      <c r="U22949" s="9"/>
      <c r="X22949" s="9"/>
    </row>
    <row r="22950">
      <c r="D22950" s="9"/>
      <c r="G22950" s="9"/>
      <c r="J22950" s="11"/>
      <c r="U22950" s="9"/>
      <c r="X22950" s="9"/>
    </row>
    <row r="22951">
      <c r="D22951" s="9"/>
      <c r="G22951" s="9"/>
      <c r="J22951" s="11"/>
      <c r="U22951" s="9"/>
      <c r="X22951" s="9"/>
    </row>
    <row r="22952">
      <c r="D22952" s="9"/>
      <c r="G22952" s="9"/>
      <c r="J22952" s="11"/>
      <c r="U22952" s="9"/>
      <c r="X22952" s="9"/>
    </row>
    <row r="22953">
      <c r="D22953" s="9"/>
      <c r="G22953" s="9"/>
      <c r="J22953" s="11"/>
      <c r="U22953" s="9"/>
      <c r="X22953" s="9"/>
    </row>
    <row r="22954">
      <c r="D22954" s="9"/>
      <c r="G22954" s="9"/>
      <c r="J22954" s="11"/>
      <c r="U22954" s="9"/>
      <c r="X22954" s="9"/>
    </row>
    <row r="22955">
      <c r="D22955" s="9"/>
      <c r="G22955" s="9"/>
      <c r="J22955" s="11"/>
      <c r="U22955" s="9"/>
      <c r="X22955" s="9"/>
    </row>
    <row r="22956">
      <c r="D22956" s="9"/>
      <c r="G22956" s="9"/>
      <c r="J22956" s="11"/>
      <c r="U22956" s="9"/>
      <c r="X22956" s="9"/>
    </row>
    <row r="22957">
      <c r="D22957" s="9"/>
      <c r="G22957" s="9"/>
      <c r="J22957" s="11"/>
      <c r="U22957" s="9"/>
      <c r="X22957" s="9"/>
    </row>
    <row r="22958">
      <c r="D22958" s="9"/>
      <c r="G22958" s="9"/>
      <c r="J22958" s="11"/>
      <c r="U22958" s="9"/>
      <c r="X22958" s="9"/>
    </row>
    <row r="22959">
      <c r="D22959" s="9"/>
      <c r="G22959" s="9"/>
      <c r="J22959" s="11"/>
      <c r="U22959" s="9"/>
      <c r="X22959" s="9"/>
    </row>
    <row r="22960">
      <c r="D22960" s="9"/>
      <c r="G22960" s="9"/>
      <c r="J22960" s="11"/>
      <c r="U22960" s="9"/>
      <c r="X22960" s="9"/>
    </row>
    <row r="22961">
      <c r="D22961" s="9"/>
      <c r="G22961" s="9"/>
      <c r="J22961" s="11"/>
      <c r="U22961" s="9"/>
      <c r="X22961" s="9"/>
    </row>
    <row r="22962">
      <c r="D22962" s="9"/>
      <c r="G22962" s="9"/>
      <c r="J22962" s="11"/>
      <c r="U22962" s="9"/>
      <c r="X22962" s="9"/>
    </row>
    <row r="22963">
      <c r="D22963" s="9"/>
      <c r="G22963" s="9"/>
      <c r="J22963" s="11"/>
      <c r="U22963" s="9"/>
      <c r="X22963" s="9"/>
    </row>
    <row r="22964">
      <c r="D22964" s="9"/>
      <c r="G22964" s="9"/>
      <c r="J22964" s="11"/>
      <c r="U22964" s="9"/>
      <c r="X22964" s="9"/>
    </row>
    <row r="22965">
      <c r="D22965" s="9"/>
      <c r="G22965" s="9"/>
      <c r="J22965" s="11"/>
      <c r="U22965" s="9"/>
      <c r="X22965" s="9"/>
    </row>
    <row r="22966">
      <c r="D22966" s="9"/>
      <c r="G22966" s="9"/>
      <c r="J22966" s="11"/>
      <c r="U22966" s="9"/>
      <c r="X22966" s="9"/>
    </row>
    <row r="22967">
      <c r="D22967" s="9"/>
      <c r="G22967" s="9"/>
      <c r="J22967" s="11"/>
      <c r="U22967" s="9"/>
      <c r="X22967" s="9"/>
    </row>
    <row r="22968">
      <c r="D22968" s="9"/>
      <c r="G22968" s="9"/>
      <c r="J22968" s="11"/>
      <c r="U22968" s="9"/>
      <c r="X22968" s="9"/>
    </row>
    <row r="22969">
      <c r="D22969" s="9"/>
      <c r="G22969" s="9"/>
      <c r="J22969" s="11"/>
      <c r="U22969" s="9"/>
      <c r="X22969" s="9"/>
    </row>
    <row r="22970">
      <c r="D22970" s="9"/>
      <c r="G22970" s="9"/>
      <c r="J22970" s="11"/>
      <c r="U22970" s="9"/>
      <c r="X22970" s="9"/>
    </row>
    <row r="22971">
      <c r="D22971" s="9"/>
      <c r="G22971" s="9"/>
      <c r="J22971" s="11"/>
      <c r="U22971" s="9"/>
      <c r="X22971" s="9"/>
    </row>
    <row r="22972">
      <c r="D22972" s="9"/>
      <c r="G22972" s="9"/>
      <c r="J22972" s="11"/>
      <c r="U22972" s="9"/>
      <c r="X22972" s="9"/>
    </row>
    <row r="22973">
      <c r="D22973" s="9"/>
      <c r="G22973" s="9"/>
      <c r="J22973" s="11"/>
      <c r="U22973" s="9"/>
      <c r="X22973" s="9"/>
    </row>
    <row r="22974">
      <c r="D22974" s="9"/>
      <c r="G22974" s="9"/>
      <c r="J22974" s="11"/>
      <c r="U22974" s="9"/>
      <c r="X22974" s="9"/>
    </row>
    <row r="22975">
      <c r="D22975" s="9"/>
      <c r="G22975" s="9"/>
      <c r="J22975" s="11"/>
      <c r="U22975" s="9"/>
      <c r="X22975" s="9"/>
    </row>
    <row r="22976">
      <c r="D22976" s="9"/>
      <c r="G22976" s="9"/>
      <c r="J22976" s="11"/>
      <c r="U22976" s="9"/>
      <c r="X22976" s="9"/>
    </row>
    <row r="22977">
      <c r="D22977" s="9"/>
      <c r="G22977" s="9"/>
      <c r="J22977" s="11"/>
      <c r="U22977" s="9"/>
      <c r="X22977" s="9"/>
    </row>
    <row r="22978">
      <c r="D22978" s="9"/>
      <c r="G22978" s="9"/>
      <c r="J22978" s="11"/>
      <c r="U22978" s="9"/>
      <c r="X22978" s="9"/>
    </row>
    <row r="22979">
      <c r="D22979" s="9"/>
      <c r="G22979" s="9"/>
      <c r="J22979" s="11"/>
      <c r="U22979" s="9"/>
      <c r="X22979" s="9"/>
    </row>
    <row r="22980">
      <c r="D22980" s="9"/>
      <c r="G22980" s="9"/>
      <c r="J22980" s="11"/>
      <c r="U22980" s="9"/>
      <c r="X22980" s="9"/>
    </row>
    <row r="22981">
      <c r="D22981" s="9"/>
      <c r="G22981" s="9"/>
      <c r="J22981" s="11"/>
      <c r="U22981" s="9"/>
      <c r="X22981" s="9"/>
    </row>
    <row r="22982">
      <c r="D22982" s="9"/>
      <c r="G22982" s="9"/>
      <c r="J22982" s="11"/>
      <c r="U22982" s="9"/>
      <c r="X22982" s="9"/>
    </row>
    <row r="22983">
      <c r="D22983" s="9"/>
      <c r="G22983" s="9"/>
      <c r="J22983" s="11"/>
      <c r="U22983" s="9"/>
      <c r="X22983" s="9"/>
    </row>
    <row r="22984">
      <c r="D22984" s="9"/>
      <c r="G22984" s="9"/>
      <c r="J22984" s="11"/>
      <c r="U22984" s="9"/>
      <c r="X22984" s="9"/>
    </row>
    <row r="22985">
      <c r="D22985" s="9"/>
      <c r="G22985" s="9"/>
      <c r="J22985" s="11"/>
      <c r="U22985" s="9"/>
      <c r="X22985" s="9"/>
    </row>
    <row r="22986">
      <c r="D22986" s="9"/>
      <c r="G22986" s="9"/>
      <c r="J22986" s="11"/>
      <c r="U22986" s="9"/>
      <c r="X22986" s="9"/>
    </row>
    <row r="22987">
      <c r="D22987" s="9"/>
      <c r="G22987" s="9"/>
      <c r="J22987" s="11"/>
      <c r="U22987" s="9"/>
      <c r="X22987" s="9"/>
    </row>
    <row r="22988">
      <c r="D22988" s="9"/>
      <c r="G22988" s="9"/>
      <c r="J22988" s="11"/>
      <c r="U22988" s="9"/>
      <c r="X22988" s="9"/>
    </row>
    <row r="22989">
      <c r="D22989" s="9"/>
      <c r="G22989" s="9"/>
      <c r="J22989" s="11"/>
      <c r="U22989" s="9"/>
      <c r="X22989" s="9"/>
    </row>
    <row r="22990">
      <c r="D22990" s="9"/>
      <c r="G22990" s="9"/>
      <c r="J22990" s="11"/>
      <c r="U22990" s="9"/>
      <c r="X22990" s="9"/>
    </row>
    <row r="22991">
      <c r="D22991" s="9"/>
      <c r="G22991" s="9"/>
      <c r="J22991" s="11"/>
      <c r="U22991" s="9"/>
      <c r="X22991" s="9"/>
    </row>
    <row r="22992">
      <c r="D22992" s="9"/>
      <c r="G22992" s="9"/>
      <c r="J22992" s="11"/>
      <c r="U22992" s="9"/>
      <c r="X22992" s="9"/>
    </row>
    <row r="22993">
      <c r="D22993" s="9"/>
      <c r="G22993" s="9"/>
      <c r="J22993" s="11"/>
      <c r="U22993" s="9"/>
      <c r="X22993" s="9"/>
    </row>
    <row r="22994">
      <c r="D22994" s="9"/>
      <c r="G22994" s="9"/>
      <c r="J22994" s="11"/>
      <c r="U22994" s="9"/>
      <c r="X22994" s="9"/>
    </row>
    <row r="22995">
      <c r="D22995" s="9"/>
      <c r="G22995" s="9"/>
      <c r="J22995" s="11"/>
      <c r="U22995" s="9"/>
      <c r="X22995" s="9"/>
    </row>
    <row r="22996">
      <c r="D22996" s="9"/>
      <c r="G22996" s="9"/>
      <c r="J22996" s="11"/>
      <c r="U22996" s="9"/>
      <c r="X22996" s="9"/>
    </row>
    <row r="22997">
      <c r="D22997" s="9"/>
      <c r="G22997" s="9"/>
      <c r="J22997" s="11"/>
      <c r="U22997" s="9"/>
      <c r="X22997" s="9"/>
    </row>
    <row r="22998">
      <c r="D22998" s="9"/>
      <c r="G22998" s="9"/>
      <c r="J22998" s="11"/>
      <c r="U22998" s="9"/>
      <c r="X22998" s="9"/>
    </row>
    <row r="22999">
      <c r="D22999" s="9"/>
      <c r="G22999" s="9"/>
      <c r="J22999" s="11"/>
      <c r="U22999" s="9"/>
      <c r="X22999" s="9"/>
    </row>
    <row r="23000">
      <c r="D23000" s="9"/>
      <c r="G23000" s="9"/>
      <c r="J23000" s="11"/>
      <c r="U23000" s="9"/>
      <c r="X23000" s="9"/>
    </row>
    <row r="23001">
      <c r="D23001" s="9"/>
      <c r="G23001" s="9"/>
      <c r="J23001" s="11"/>
      <c r="U23001" s="9"/>
      <c r="X23001" s="9"/>
    </row>
    <row r="23002">
      <c r="D23002" s="9"/>
      <c r="G23002" s="9"/>
      <c r="J23002" s="11"/>
      <c r="U23002" s="9"/>
      <c r="X23002" s="9"/>
    </row>
    <row r="23003">
      <c r="D23003" s="9"/>
      <c r="G23003" s="9"/>
      <c r="J23003" s="11"/>
      <c r="U23003" s="9"/>
      <c r="X23003" s="9"/>
    </row>
    <row r="23004">
      <c r="D23004" s="9"/>
      <c r="G23004" s="9"/>
      <c r="J23004" s="11"/>
      <c r="U23004" s="9"/>
      <c r="X23004" s="9"/>
    </row>
    <row r="23005">
      <c r="D23005" s="9"/>
      <c r="G23005" s="9"/>
      <c r="J23005" s="11"/>
      <c r="U23005" s="9"/>
      <c r="X23005" s="9"/>
    </row>
    <row r="23006">
      <c r="D23006" s="9"/>
      <c r="G23006" s="9"/>
      <c r="J23006" s="11"/>
      <c r="U23006" s="9"/>
      <c r="X23006" s="9"/>
    </row>
    <row r="23007">
      <c r="D23007" s="9"/>
      <c r="G23007" s="9"/>
      <c r="J23007" s="11"/>
      <c r="U23007" s="9"/>
      <c r="X23007" s="9"/>
    </row>
    <row r="23008">
      <c r="D23008" s="9"/>
      <c r="G23008" s="9"/>
      <c r="J23008" s="11"/>
      <c r="U23008" s="9"/>
      <c r="X23008" s="9"/>
    </row>
    <row r="23009">
      <c r="D23009" s="9"/>
      <c r="G23009" s="9"/>
      <c r="J23009" s="11"/>
      <c r="U23009" s="9"/>
      <c r="X23009" s="9"/>
    </row>
    <row r="23010">
      <c r="D23010" s="9"/>
      <c r="G23010" s="9"/>
      <c r="J23010" s="11"/>
      <c r="U23010" s="9"/>
      <c r="X23010" s="9"/>
    </row>
    <row r="23011">
      <c r="D23011" s="9"/>
      <c r="G23011" s="9"/>
      <c r="J23011" s="11"/>
      <c r="U23011" s="9"/>
      <c r="X23011" s="9"/>
    </row>
    <row r="23012">
      <c r="D23012" s="9"/>
      <c r="G23012" s="9"/>
      <c r="J23012" s="11"/>
      <c r="U23012" s="9"/>
      <c r="X23012" s="9"/>
    </row>
    <row r="23013">
      <c r="D23013" s="9"/>
      <c r="G23013" s="9"/>
      <c r="J23013" s="11"/>
      <c r="U23013" s="9"/>
      <c r="X23013" s="9"/>
    </row>
    <row r="23014">
      <c r="D23014" s="9"/>
      <c r="G23014" s="9"/>
      <c r="J23014" s="11"/>
      <c r="U23014" s="9"/>
      <c r="X23014" s="9"/>
    </row>
    <row r="23015">
      <c r="D23015" s="9"/>
      <c r="G23015" s="9"/>
      <c r="J23015" s="11"/>
      <c r="U23015" s="9"/>
      <c r="X23015" s="9"/>
    </row>
    <row r="23016">
      <c r="D23016" s="9"/>
      <c r="G23016" s="9"/>
      <c r="J23016" s="11"/>
      <c r="U23016" s="9"/>
      <c r="X23016" s="9"/>
    </row>
    <row r="23017">
      <c r="D23017" s="9"/>
      <c r="G23017" s="9"/>
      <c r="J23017" s="11"/>
      <c r="U23017" s="9"/>
      <c r="X23017" s="9"/>
    </row>
    <row r="23018">
      <c r="D23018" s="9"/>
      <c r="G23018" s="9"/>
      <c r="J23018" s="11"/>
      <c r="U23018" s="9"/>
      <c r="X23018" s="9"/>
    </row>
    <row r="23019">
      <c r="D23019" s="9"/>
      <c r="G23019" s="9"/>
      <c r="J23019" s="11"/>
      <c r="U23019" s="9"/>
      <c r="X23019" s="9"/>
    </row>
    <row r="23020">
      <c r="D23020" s="9"/>
      <c r="G23020" s="9"/>
      <c r="J23020" s="11"/>
      <c r="U23020" s="9"/>
      <c r="X23020" s="9"/>
    </row>
    <row r="23021">
      <c r="D23021" s="9"/>
      <c r="G23021" s="9"/>
      <c r="J23021" s="11"/>
      <c r="U23021" s="9"/>
      <c r="X23021" s="9"/>
    </row>
    <row r="23022">
      <c r="D23022" s="9"/>
      <c r="G23022" s="9"/>
      <c r="J23022" s="11"/>
      <c r="U23022" s="9"/>
      <c r="X23022" s="9"/>
    </row>
    <row r="23023">
      <c r="D23023" s="9"/>
      <c r="G23023" s="9"/>
      <c r="J23023" s="11"/>
      <c r="U23023" s="9"/>
      <c r="X23023" s="9"/>
    </row>
    <row r="23024">
      <c r="D23024" s="9"/>
      <c r="G23024" s="9"/>
      <c r="J23024" s="11"/>
      <c r="U23024" s="9"/>
      <c r="X23024" s="9"/>
    </row>
    <row r="23025">
      <c r="D23025" s="9"/>
      <c r="G23025" s="9"/>
      <c r="J23025" s="11"/>
      <c r="U23025" s="9"/>
      <c r="X23025" s="9"/>
    </row>
    <row r="23026">
      <c r="D23026" s="9"/>
      <c r="G23026" s="9"/>
      <c r="J23026" s="11"/>
      <c r="U23026" s="9"/>
      <c r="X23026" s="9"/>
    </row>
    <row r="23027">
      <c r="D23027" s="9"/>
      <c r="G23027" s="9"/>
      <c r="J23027" s="11"/>
      <c r="U23027" s="9"/>
      <c r="X23027" s="9"/>
    </row>
    <row r="23028">
      <c r="D23028" s="9"/>
      <c r="G23028" s="9"/>
      <c r="J23028" s="11"/>
      <c r="U23028" s="9"/>
      <c r="X23028" s="9"/>
    </row>
    <row r="23029">
      <c r="D23029" s="9"/>
      <c r="G23029" s="9"/>
      <c r="J23029" s="11"/>
      <c r="U23029" s="9"/>
      <c r="X23029" s="9"/>
    </row>
    <row r="23030">
      <c r="D23030" s="9"/>
      <c r="G23030" s="9"/>
      <c r="J23030" s="11"/>
      <c r="U23030" s="9"/>
      <c r="X23030" s="9"/>
    </row>
    <row r="23031">
      <c r="D23031" s="9"/>
      <c r="G23031" s="9"/>
      <c r="J23031" s="11"/>
      <c r="U23031" s="9"/>
      <c r="X23031" s="9"/>
    </row>
    <row r="23032">
      <c r="D23032" s="9"/>
      <c r="G23032" s="9"/>
      <c r="J23032" s="11"/>
      <c r="U23032" s="9"/>
      <c r="X23032" s="9"/>
    </row>
    <row r="23033">
      <c r="D23033" s="9"/>
      <c r="G23033" s="9"/>
      <c r="J23033" s="11"/>
      <c r="U23033" s="9"/>
      <c r="X23033" s="9"/>
    </row>
    <row r="23034">
      <c r="D23034" s="9"/>
      <c r="G23034" s="9"/>
      <c r="J23034" s="11"/>
      <c r="U23034" s="9"/>
      <c r="X23034" s="9"/>
    </row>
    <row r="23035">
      <c r="D23035" s="9"/>
      <c r="G23035" s="9"/>
      <c r="J23035" s="11"/>
      <c r="U23035" s="9"/>
      <c r="X23035" s="9"/>
    </row>
    <row r="23036">
      <c r="D23036" s="9"/>
      <c r="G23036" s="9"/>
      <c r="J23036" s="11"/>
      <c r="U23036" s="9"/>
      <c r="X23036" s="9"/>
    </row>
    <row r="23037">
      <c r="D23037" s="9"/>
      <c r="G23037" s="9"/>
      <c r="J23037" s="11"/>
      <c r="U23037" s="9"/>
      <c r="X23037" s="9"/>
    </row>
    <row r="23038">
      <c r="D23038" s="9"/>
      <c r="G23038" s="9"/>
      <c r="J23038" s="11"/>
      <c r="U23038" s="9"/>
      <c r="X23038" s="9"/>
    </row>
    <row r="23039">
      <c r="D23039" s="9"/>
      <c r="G23039" s="9"/>
      <c r="J23039" s="11"/>
      <c r="U23039" s="9"/>
      <c r="X23039" s="9"/>
    </row>
    <row r="23040">
      <c r="D23040" s="9"/>
      <c r="G23040" s="9"/>
      <c r="J23040" s="11"/>
      <c r="U23040" s="9"/>
      <c r="X23040" s="9"/>
    </row>
    <row r="23041">
      <c r="D23041" s="9"/>
      <c r="G23041" s="9"/>
      <c r="J23041" s="11"/>
      <c r="U23041" s="9"/>
      <c r="X23041" s="9"/>
    </row>
    <row r="23042">
      <c r="D23042" s="9"/>
      <c r="G23042" s="9"/>
      <c r="J23042" s="11"/>
      <c r="U23042" s="9"/>
      <c r="X23042" s="9"/>
    </row>
    <row r="23043">
      <c r="D23043" s="9"/>
      <c r="G23043" s="9"/>
      <c r="J23043" s="11"/>
      <c r="U23043" s="9"/>
      <c r="X23043" s="9"/>
    </row>
    <row r="23044">
      <c r="D23044" s="9"/>
      <c r="G23044" s="9"/>
      <c r="J23044" s="11"/>
      <c r="U23044" s="9"/>
      <c r="X23044" s="9"/>
    </row>
    <row r="23045">
      <c r="D23045" s="9"/>
      <c r="G23045" s="9"/>
      <c r="J23045" s="11"/>
      <c r="U23045" s="9"/>
      <c r="X23045" s="9"/>
    </row>
    <row r="23046">
      <c r="D23046" s="9"/>
      <c r="G23046" s="9"/>
      <c r="J23046" s="11"/>
      <c r="U23046" s="9"/>
      <c r="X23046" s="9"/>
    </row>
    <row r="23047">
      <c r="D23047" s="9"/>
      <c r="G23047" s="9"/>
      <c r="J23047" s="11"/>
      <c r="U23047" s="9"/>
      <c r="X23047" s="9"/>
    </row>
    <row r="23048">
      <c r="D23048" s="9"/>
      <c r="G23048" s="9"/>
      <c r="J23048" s="11"/>
      <c r="U23048" s="9"/>
      <c r="X23048" s="9"/>
    </row>
    <row r="23049">
      <c r="D23049" s="9"/>
      <c r="G23049" s="9"/>
      <c r="J23049" s="11"/>
      <c r="U23049" s="9"/>
      <c r="X23049" s="9"/>
    </row>
    <row r="23050">
      <c r="D23050" s="9"/>
      <c r="G23050" s="9"/>
      <c r="J23050" s="11"/>
      <c r="U23050" s="9"/>
      <c r="X23050" s="9"/>
    </row>
    <row r="23051">
      <c r="D23051" s="9"/>
      <c r="G23051" s="9"/>
      <c r="J23051" s="11"/>
      <c r="U23051" s="9"/>
      <c r="X23051" s="9"/>
    </row>
    <row r="23052">
      <c r="D23052" s="9"/>
      <c r="G23052" s="9"/>
      <c r="J23052" s="11"/>
      <c r="U23052" s="9"/>
      <c r="X23052" s="9"/>
    </row>
    <row r="23053">
      <c r="D23053" s="9"/>
      <c r="G23053" s="9"/>
      <c r="J23053" s="11"/>
      <c r="U23053" s="9"/>
      <c r="X23053" s="9"/>
    </row>
    <row r="23054">
      <c r="D23054" s="9"/>
      <c r="G23054" s="9"/>
      <c r="J23054" s="11"/>
      <c r="U23054" s="9"/>
      <c r="X23054" s="9"/>
    </row>
    <row r="23055">
      <c r="D23055" s="9"/>
      <c r="G23055" s="9"/>
      <c r="J23055" s="11"/>
      <c r="U23055" s="9"/>
      <c r="X23055" s="9"/>
    </row>
    <row r="23056">
      <c r="D23056" s="9"/>
      <c r="G23056" s="9"/>
      <c r="J23056" s="11"/>
      <c r="U23056" s="9"/>
      <c r="X23056" s="9"/>
    </row>
    <row r="23057">
      <c r="D23057" s="9"/>
      <c r="G23057" s="9"/>
      <c r="J23057" s="11"/>
      <c r="U23057" s="9"/>
      <c r="X23057" s="9"/>
    </row>
    <row r="23058">
      <c r="D23058" s="9"/>
      <c r="G23058" s="9"/>
      <c r="J23058" s="11"/>
      <c r="U23058" s="9"/>
      <c r="X23058" s="9"/>
    </row>
    <row r="23059">
      <c r="D23059" s="9"/>
      <c r="G23059" s="9"/>
      <c r="J23059" s="11"/>
      <c r="U23059" s="9"/>
      <c r="X23059" s="9"/>
    </row>
    <row r="23060">
      <c r="D23060" s="9"/>
      <c r="G23060" s="9"/>
      <c r="J23060" s="11"/>
      <c r="U23060" s="9"/>
      <c r="X23060" s="9"/>
    </row>
    <row r="23061">
      <c r="D23061" s="9"/>
      <c r="G23061" s="9"/>
      <c r="J23061" s="11"/>
      <c r="U23061" s="9"/>
      <c r="X23061" s="9"/>
    </row>
    <row r="23062">
      <c r="D23062" s="9"/>
      <c r="G23062" s="9"/>
      <c r="J23062" s="11"/>
      <c r="U23062" s="9"/>
      <c r="X23062" s="9"/>
    </row>
    <row r="23063">
      <c r="D23063" s="9"/>
      <c r="G23063" s="9"/>
      <c r="J23063" s="11"/>
      <c r="U23063" s="9"/>
      <c r="X23063" s="9"/>
    </row>
    <row r="23064">
      <c r="D23064" s="9"/>
      <c r="G23064" s="9"/>
      <c r="J23064" s="11"/>
      <c r="U23064" s="9"/>
      <c r="X23064" s="9"/>
    </row>
    <row r="23065">
      <c r="D23065" s="9"/>
      <c r="G23065" s="9"/>
      <c r="J23065" s="11"/>
      <c r="U23065" s="9"/>
      <c r="X23065" s="9"/>
    </row>
    <row r="23066">
      <c r="D23066" s="9"/>
      <c r="G23066" s="9"/>
      <c r="J23066" s="11"/>
      <c r="U23066" s="9"/>
      <c r="X23066" s="9"/>
    </row>
    <row r="23067">
      <c r="D23067" s="9"/>
      <c r="G23067" s="9"/>
      <c r="J23067" s="11"/>
      <c r="U23067" s="9"/>
      <c r="X23067" s="9"/>
    </row>
    <row r="23068">
      <c r="D23068" s="9"/>
      <c r="G23068" s="9"/>
      <c r="J23068" s="11"/>
      <c r="U23068" s="9"/>
      <c r="X23068" s="9"/>
    </row>
    <row r="23069">
      <c r="D23069" s="9"/>
      <c r="G23069" s="9"/>
      <c r="J23069" s="11"/>
      <c r="U23069" s="9"/>
      <c r="X23069" s="9"/>
    </row>
    <row r="23070">
      <c r="D23070" s="9"/>
      <c r="G23070" s="9"/>
      <c r="J23070" s="11"/>
      <c r="U23070" s="9"/>
      <c r="X23070" s="9"/>
    </row>
    <row r="23071">
      <c r="D23071" s="9"/>
      <c r="G23071" s="9"/>
      <c r="J23071" s="11"/>
      <c r="U23071" s="9"/>
      <c r="X23071" s="9"/>
    </row>
    <row r="23072">
      <c r="D23072" s="9"/>
      <c r="G23072" s="9"/>
      <c r="J23072" s="11"/>
      <c r="U23072" s="9"/>
      <c r="X23072" s="9"/>
    </row>
    <row r="23073">
      <c r="D23073" s="9"/>
      <c r="G23073" s="9"/>
      <c r="J23073" s="11"/>
      <c r="U23073" s="9"/>
      <c r="X23073" s="9"/>
    </row>
    <row r="23074">
      <c r="D23074" s="9"/>
      <c r="G23074" s="9"/>
      <c r="J23074" s="11"/>
      <c r="U23074" s="9"/>
      <c r="X23074" s="9"/>
    </row>
    <row r="23075">
      <c r="D23075" s="9"/>
      <c r="G23075" s="9"/>
      <c r="J23075" s="11"/>
      <c r="U23075" s="9"/>
      <c r="X23075" s="9"/>
    </row>
    <row r="23076">
      <c r="D23076" s="9"/>
      <c r="G23076" s="9"/>
      <c r="J23076" s="11"/>
      <c r="U23076" s="9"/>
      <c r="X23076" s="9"/>
    </row>
    <row r="23077">
      <c r="D23077" s="9"/>
      <c r="G23077" s="9"/>
      <c r="J23077" s="11"/>
      <c r="U23077" s="9"/>
      <c r="X23077" s="9"/>
    </row>
    <row r="23078">
      <c r="D23078" s="9"/>
      <c r="G23078" s="9"/>
      <c r="J23078" s="11"/>
      <c r="U23078" s="9"/>
      <c r="X23078" s="9"/>
    </row>
    <row r="23079">
      <c r="D23079" s="9"/>
      <c r="G23079" s="9"/>
      <c r="J23079" s="11"/>
      <c r="U23079" s="9"/>
      <c r="X23079" s="9"/>
    </row>
    <row r="23080">
      <c r="D23080" s="9"/>
      <c r="G23080" s="9"/>
      <c r="J23080" s="11"/>
      <c r="U23080" s="9"/>
      <c r="X23080" s="9"/>
    </row>
    <row r="23081">
      <c r="D23081" s="9"/>
      <c r="G23081" s="9"/>
      <c r="J23081" s="11"/>
      <c r="U23081" s="9"/>
      <c r="X23081" s="9"/>
    </row>
    <row r="23082">
      <c r="D23082" s="9"/>
      <c r="G23082" s="9"/>
      <c r="J23082" s="11"/>
      <c r="U23082" s="9"/>
      <c r="X23082" s="9"/>
    </row>
    <row r="23083">
      <c r="D23083" s="9"/>
      <c r="G23083" s="9"/>
      <c r="J23083" s="11"/>
      <c r="U23083" s="9"/>
      <c r="X23083" s="9"/>
    </row>
    <row r="23084">
      <c r="D23084" s="9"/>
      <c r="G23084" s="9"/>
      <c r="J23084" s="11"/>
      <c r="U23084" s="9"/>
      <c r="X23084" s="9"/>
    </row>
    <row r="23085">
      <c r="D23085" s="9"/>
      <c r="G23085" s="9"/>
      <c r="J23085" s="11"/>
      <c r="U23085" s="9"/>
      <c r="X23085" s="9"/>
    </row>
    <row r="23086">
      <c r="D23086" s="9"/>
      <c r="G23086" s="9"/>
      <c r="J23086" s="11"/>
      <c r="U23086" s="9"/>
      <c r="X23086" s="9"/>
    </row>
    <row r="23087">
      <c r="D23087" s="9"/>
      <c r="G23087" s="9"/>
      <c r="J23087" s="11"/>
      <c r="U23087" s="9"/>
      <c r="X23087" s="9"/>
    </row>
    <row r="23088">
      <c r="D23088" s="9"/>
      <c r="G23088" s="9"/>
      <c r="J23088" s="11"/>
      <c r="U23088" s="9"/>
      <c r="X23088" s="9"/>
    </row>
    <row r="23089">
      <c r="D23089" s="9"/>
      <c r="G23089" s="9"/>
      <c r="J23089" s="11"/>
      <c r="U23089" s="9"/>
      <c r="X23089" s="9"/>
    </row>
    <row r="23090">
      <c r="D23090" s="9"/>
      <c r="G23090" s="9"/>
      <c r="J23090" s="11"/>
      <c r="U23090" s="9"/>
      <c r="X23090" s="9"/>
    </row>
    <row r="23091">
      <c r="D23091" s="9"/>
      <c r="G23091" s="9"/>
      <c r="J23091" s="11"/>
      <c r="U23091" s="9"/>
      <c r="X23091" s="9"/>
    </row>
    <row r="23092">
      <c r="D23092" s="9"/>
      <c r="G23092" s="9"/>
      <c r="J23092" s="11"/>
      <c r="U23092" s="9"/>
      <c r="X23092" s="9"/>
    </row>
    <row r="23093">
      <c r="D23093" s="9"/>
      <c r="G23093" s="9"/>
      <c r="J23093" s="11"/>
      <c r="U23093" s="9"/>
      <c r="X23093" s="9"/>
    </row>
    <row r="23094">
      <c r="D23094" s="9"/>
      <c r="G23094" s="9"/>
      <c r="J23094" s="11"/>
      <c r="U23094" s="9"/>
      <c r="X23094" s="9"/>
    </row>
    <row r="23095">
      <c r="D23095" s="9"/>
      <c r="G23095" s="9"/>
      <c r="J23095" s="11"/>
      <c r="U23095" s="9"/>
      <c r="X23095" s="9"/>
    </row>
    <row r="23096">
      <c r="D23096" s="9"/>
      <c r="G23096" s="9"/>
      <c r="J23096" s="11"/>
      <c r="U23096" s="9"/>
      <c r="X23096" s="9"/>
    </row>
    <row r="23097">
      <c r="D23097" s="9"/>
      <c r="G23097" s="9"/>
      <c r="J23097" s="11"/>
      <c r="U23097" s="9"/>
      <c r="X23097" s="9"/>
    </row>
    <row r="23098">
      <c r="D23098" s="9"/>
      <c r="G23098" s="9"/>
      <c r="J23098" s="11"/>
      <c r="U23098" s="9"/>
      <c r="X23098" s="9"/>
    </row>
    <row r="23099">
      <c r="D23099" s="9"/>
      <c r="G23099" s="9"/>
      <c r="J23099" s="11"/>
      <c r="U23099" s="9"/>
      <c r="X23099" s="9"/>
    </row>
    <row r="23100">
      <c r="D23100" s="9"/>
      <c r="G23100" s="9"/>
      <c r="J23100" s="11"/>
      <c r="U23100" s="9"/>
      <c r="X23100" s="9"/>
    </row>
    <row r="23101">
      <c r="D23101" s="9"/>
      <c r="G23101" s="9"/>
      <c r="J23101" s="11"/>
      <c r="U23101" s="9"/>
      <c r="X23101" s="9"/>
    </row>
    <row r="23102">
      <c r="D23102" s="9"/>
      <c r="G23102" s="9"/>
      <c r="J23102" s="11"/>
      <c r="U23102" s="9"/>
      <c r="X23102" s="9"/>
    </row>
    <row r="23103">
      <c r="D23103" s="9"/>
      <c r="G23103" s="9"/>
      <c r="J23103" s="11"/>
      <c r="U23103" s="9"/>
      <c r="X23103" s="9"/>
    </row>
    <row r="23104">
      <c r="D23104" s="9"/>
      <c r="G23104" s="9"/>
      <c r="J23104" s="11"/>
      <c r="U23104" s="9"/>
      <c r="X23104" s="9"/>
    </row>
    <row r="23105">
      <c r="D23105" s="9"/>
      <c r="G23105" s="9"/>
      <c r="J23105" s="11"/>
      <c r="U23105" s="9"/>
      <c r="X23105" s="9"/>
    </row>
    <row r="23106">
      <c r="D23106" s="9"/>
      <c r="G23106" s="9"/>
      <c r="J23106" s="11"/>
      <c r="U23106" s="9"/>
      <c r="X23106" s="9"/>
    </row>
    <row r="23107">
      <c r="D23107" s="9"/>
      <c r="G23107" s="9"/>
      <c r="J23107" s="11"/>
      <c r="U23107" s="9"/>
      <c r="X23107" s="9"/>
    </row>
    <row r="23108">
      <c r="D23108" s="9"/>
      <c r="G23108" s="9"/>
      <c r="J23108" s="11"/>
      <c r="U23108" s="9"/>
      <c r="X23108" s="9"/>
    </row>
    <row r="23109">
      <c r="D23109" s="9"/>
      <c r="G23109" s="9"/>
      <c r="J23109" s="11"/>
      <c r="U23109" s="9"/>
      <c r="X23109" s="9"/>
    </row>
    <row r="23110">
      <c r="D23110" s="9"/>
      <c r="G23110" s="9"/>
      <c r="J23110" s="11"/>
      <c r="U23110" s="9"/>
      <c r="X23110" s="9"/>
    </row>
    <row r="23111">
      <c r="D23111" s="9"/>
      <c r="G23111" s="9"/>
      <c r="J23111" s="11"/>
      <c r="U23111" s="9"/>
      <c r="X23111" s="9"/>
    </row>
    <row r="23112">
      <c r="D23112" s="9"/>
      <c r="G23112" s="9"/>
      <c r="J23112" s="11"/>
      <c r="U23112" s="9"/>
      <c r="X23112" s="9"/>
    </row>
    <row r="23113">
      <c r="D23113" s="9"/>
      <c r="G23113" s="9"/>
      <c r="J23113" s="11"/>
      <c r="U23113" s="9"/>
      <c r="X23113" s="9"/>
    </row>
    <row r="23114">
      <c r="D23114" s="9"/>
      <c r="G23114" s="9"/>
      <c r="J23114" s="11"/>
      <c r="U23114" s="9"/>
      <c r="X23114" s="9"/>
    </row>
    <row r="23115">
      <c r="D23115" s="9"/>
      <c r="G23115" s="9"/>
      <c r="J23115" s="11"/>
      <c r="U23115" s="9"/>
      <c r="X23115" s="9"/>
    </row>
    <row r="23116">
      <c r="D23116" s="9"/>
      <c r="G23116" s="9"/>
      <c r="J23116" s="11"/>
      <c r="U23116" s="9"/>
      <c r="X23116" s="9"/>
    </row>
    <row r="23117">
      <c r="D23117" s="9"/>
      <c r="G23117" s="9"/>
      <c r="J23117" s="11"/>
      <c r="U23117" s="9"/>
      <c r="X23117" s="9"/>
    </row>
    <row r="23118">
      <c r="D23118" s="9"/>
      <c r="G23118" s="9"/>
      <c r="J23118" s="11"/>
      <c r="U23118" s="9"/>
      <c r="X23118" s="9"/>
    </row>
    <row r="23119">
      <c r="D23119" s="9"/>
      <c r="G23119" s="9"/>
      <c r="J23119" s="11"/>
      <c r="U23119" s="9"/>
      <c r="X23119" s="9"/>
    </row>
    <row r="23120">
      <c r="D23120" s="9"/>
      <c r="G23120" s="9"/>
      <c r="J23120" s="11"/>
      <c r="U23120" s="9"/>
      <c r="X23120" s="9"/>
    </row>
    <row r="23121">
      <c r="D23121" s="9"/>
      <c r="G23121" s="9"/>
      <c r="J23121" s="11"/>
      <c r="U23121" s="9"/>
      <c r="X23121" s="9"/>
    </row>
    <row r="23122">
      <c r="D23122" s="9"/>
      <c r="G23122" s="9"/>
      <c r="J23122" s="11"/>
      <c r="U23122" s="9"/>
      <c r="X23122" s="9"/>
    </row>
    <row r="23123">
      <c r="D23123" s="9"/>
      <c r="G23123" s="9"/>
      <c r="J23123" s="11"/>
      <c r="U23123" s="9"/>
      <c r="X23123" s="9"/>
    </row>
    <row r="23124">
      <c r="D23124" s="9"/>
      <c r="G23124" s="9"/>
      <c r="J23124" s="11"/>
      <c r="U23124" s="9"/>
      <c r="X23124" s="9"/>
    </row>
    <row r="23125">
      <c r="D23125" s="9"/>
      <c r="G23125" s="9"/>
      <c r="J23125" s="11"/>
      <c r="U23125" s="9"/>
      <c r="X23125" s="9"/>
    </row>
    <row r="23126">
      <c r="D23126" s="9"/>
      <c r="G23126" s="9"/>
      <c r="J23126" s="11"/>
      <c r="U23126" s="9"/>
      <c r="X23126" s="9"/>
    </row>
    <row r="23127">
      <c r="D23127" s="9"/>
      <c r="G23127" s="9"/>
      <c r="J23127" s="11"/>
      <c r="U23127" s="9"/>
      <c r="X23127" s="9"/>
    </row>
    <row r="23128">
      <c r="D23128" s="9"/>
      <c r="G23128" s="9"/>
      <c r="J23128" s="11"/>
      <c r="U23128" s="9"/>
      <c r="X23128" s="9"/>
    </row>
    <row r="23129">
      <c r="D23129" s="9"/>
      <c r="G23129" s="9"/>
      <c r="J23129" s="11"/>
      <c r="U23129" s="9"/>
      <c r="X23129" s="9"/>
    </row>
    <row r="23130">
      <c r="D23130" s="9"/>
      <c r="G23130" s="9"/>
      <c r="J23130" s="11"/>
      <c r="U23130" s="9"/>
      <c r="X23130" s="9"/>
    </row>
    <row r="23131">
      <c r="D23131" s="9"/>
      <c r="G23131" s="9"/>
      <c r="J23131" s="11"/>
      <c r="U23131" s="9"/>
      <c r="X23131" s="9"/>
    </row>
    <row r="23132">
      <c r="D23132" s="9"/>
      <c r="G23132" s="9"/>
      <c r="J23132" s="11"/>
      <c r="U23132" s="9"/>
      <c r="X23132" s="9"/>
    </row>
    <row r="23133">
      <c r="D23133" s="9"/>
      <c r="G23133" s="9"/>
      <c r="J23133" s="11"/>
      <c r="U23133" s="9"/>
      <c r="X23133" s="9"/>
    </row>
    <row r="23134">
      <c r="D23134" s="9"/>
      <c r="G23134" s="9"/>
      <c r="J23134" s="11"/>
      <c r="U23134" s="9"/>
      <c r="X23134" s="9"/>
    </row>
    <row r="23135">
      <c r="D23135" s="9"/>
      <c r="G23135" s="9"/>
      <c r="J23135" s="11"/>
      <c r="U23135" s="9"/>
      <c r="X23135" s="9"/>
    </row>
    <row r="23136">
      <c r="D23136" s="9"/>
      <c r="G23136" s="9"/>
      <c r="J23136" s="11"/>
      <c r="U23136" s="9"/>
      <c r="X23136" s="9"/>
    </row>
    <row r="23137">
      <c r="D23137" s="9"/>
      <c r="G23137" s="9"/>
      <c r="J23137" s="11"/>
      <c r="U23137" s="9"/>
      <c r="X23137" s="9"/>
    </row>
    <row r="23138">
      <c r="D23138" s="9"/>
      <c r="G23138" s="9"/>
      <c r="J23138" s="11"/>
      <c r="U23138" s="9"/>
      <c r="X23138" s="9"/>
    </row>
    <row r="23139">
      <c r="D23139" s="9"/>
      <c r="G23139" s="9"/>
      <c r="J23139" s="11"/>
      <c r="U23139" s="9"/>
      <c r="X23139" s="9"/>
    </row>
    <row r="23140">
      <c r="D23140" s="9"/>
      <c r="G23140" s="9"/>
      <c r="J23140" s="11"/>
      <c r="U23140" s="9"/>
      <c r="X23140" s="9"/>
    </row>
    <row r="23141">
      <c r="D23141" s="9"/>
      <c r="G23141" s="9"/>
      <c r="J23141" s="11"/>
      <c r="U23141" s="9"/>
      <c r="X23141" s="9"/>
    </row>
    <row r="23142">
      <c r="D23142" s="9"/>
      <c r="G23142" s="9"/>
      <c r="J23142" s="11"/>
      <c r="U23142" s="9"/>
      <c r="X23142" s="9"/>
    </row>
    <row r="23143">
      <c r="D23143" s="9"/>
      <c r="G23143" s="9"/>
      <c r="J23143" s="11"/>
      <c r="U23143" s="9"/>
      <c r="X23143" s="9"/>
    </row>
    <row r="23144">
      <c r="D23144" s="9"/>
      <c r="G23144" s="9"/>
      <c r="J23144" s="11"/>
      <c r="U23144" s="9"/>
      <c r="X23144" s="9"/>
    </row>
    <row r="23145">
      <c r="D23145" s="9"/>
      <c r="G23145" s="9"/>
      <c r="J23145" s="11"/>
      <c r="U23145" s="9"/>
      <c r="X23145" s="9"/>
    </row>
    <row r="23146">
      <c r="D23146" s="9"/>
      <c r="G23146" s="9"/>
      <c r="J23146" s="11"/>
      <c r="U23146" s="9"/>
      <c r="X23146" s="9"/>
    </row>
    <row r="23147">
      <c r="D23147" s="9"/>
      <c r="G23147" s="9"/>
      <c r="J23147" s="11"/>
      <c r="U23147" s="9"/>
      <c r="X23147" s="9"/>
    </row>
    <row r="23148">
      <c r="D23148" s="9"/>
      <c r="G23148" s="9"/>
      <c r="J23148" s="11"/>
      <c r="U23148" s="9"/>
      <c r="X23148" s="9"/>
    </row>
    <row r="23149">
      <c r="D23149" s="9"/>
      <c r="G23149" s="9"/>
      <c r="J23149" s="11"/>
      <c r="U23149" s="9"/>
      <c r="X23149" s="9"/>
    </row>
    <row r="23150">
      <c r="D23150" s="9"/>
      <c r="G23150" s="9"/>
      <c r="J23150" s="11"/>
      <c r="U23150" s="9"/>
      <c r="X23150" s="9"/>
    </row>
    <row r="23151">
      <c r="D23151" s="9"/>
      <c r="G23151" s="9"/>
      <c r="J23151" s="11"/>
      <c r="U23151" s="9"/>
      <c r="X23151" s="9"/>
    </row>
    <row r="23152">
      <c r="D23152" s="9"/>
      <c r="G23152" s="9"/>
      <c r="J23152" s="11"/>
      <c r="U23152" s="9"/>
      <c r="X23152" s="9"/>
    </row>
    <row r="23153">
      <c r="D23153" s="9"/>
      <c r="G23153" s="9"/>
      <c r="J23153" s="11"/>
      <c r="U23153" s="9"/>
      <c r="X23153" s="9"/>
    </row>
    <row r="23154">
      <c r="D23154" s="9"/>
      <c r="G23154" s="9"/>
      <c r="J23154" s="11"/>
      <c r="U23154" s="9"/>
      <c r="X23154" s="9"/>
    </row>
    <row r="23155">
      <c r="D23155" s="9"/>
      <c r="G23155" s="9"/>
      <c r="J23155" s="11"/>
      <c r="U23155" s="9"/>
      <c r="X23155" s="9"/>
    </row>
    <row r="23156">
      <c r="D23156" s="9"/>
      <c r="G23156" s="9"/>
      <c r="J23156" s="11"/>
      <c r="U23156" s="9"/>
      <c r="X23156" s="9"/>
    </row>
    <row r="23157">
      <c r="D23157" s="9"/>
      <c r="G23157" s="9"/>
      <c r="J23157" s="11"/>
      <c r="U23157" s="9"/>
      <c r="X23157" s="9"/>
    </row>
    <row r="23158">
      <c r="D23158" s="9"/>
      <c r="G23158" s="9"/>
      <c r="J23158" s="11"/>
      <c r="U23158" s="9"/>
      <c r="X23158" s="9"/>
    </row>
    <row r="23159">
      <c r="D23159" s="9"/>
      <c r="G23159" s="9"/>
      <c r="J23159" s="11"/>
      <c r="U23159" s="9"/>
      <c r="X23159" s="9"/>
    </row>
    <row r="23160">
      <c r="D23160" s="9"/>
      <c r="G23160" s="9"/>
      <c r="J23160" s="11"/>
      <c r="U23160" s="9"/>
      <c r="X23160" s="9"/>
    </row>
    <row r="23161">
      <c r="D23161" s="9"/>
      <c r="G23161" s="9"/>
      <c r="J23161" s="11"/>
      <c r="U23161" s="9"/>
      <c r="X23161" s="9"/>
    </row>
    <row r="23162">
      <c r="D23162" s="9"/>
      <c r="G23162" s="9"/>
      <c r="J23162" s="11"/>
      <c r="U23162" s="9"/>
      <c r="X23162" s="9"/>
    </row>
    <row r="23163">
      <c r="D23163" s="9"/>
      <c r="G23163" s="9"/>
      <c r="J23163" s="11"/>
      <c r="U23163" s="9"/>
      <c r="X23163" s="9"/>
    </row>
    <row r="23164">
      <c r="D23164" s="9"/>
      <c r="G23164" s="9"/>
      <c r="J23164" s="11"/>
      <c r="U23164" s="9"/>
      <c r="X23164" s="9"/>
    </row>
    <row r="23165">
      <c r="D23165" s="9"/>
      <c r="G23165" s="9"/>
      <c r="J23165" s="11"/>
      <c r="U23165" s="9"/>
      <c r="X23165" s="9"/>
    </row>
    <row r="23166">
      <c r="D23166" s="9"/>
      <c r="G23166" s="9"/>
      <c r="J23166" s="11"/>
      <c r="U23166" s="9"/>
      <c r="X23166" s="9"/>
    </row>
    <row r="23167">
      <c r="D23167" s="9"/>
      <c r="G23167" s="9"/>
      <c r="J23167" s="11"/>
      <c r="U23167" s="9"/>
      <c r="X23167" s="9"/>
    </row>
    <row r="23168">
      <c r="D23168" s="9"/>
      <c r="G23168" s="9"/>
      <c r="J23168" s="11"/>
      <c r="U23168" s="9"/>
      <c r="X23168" s="9"/>
    </row>
    <row r="23169">
      <c r="D23169" s="9"/>
      <c r="G23169" s="9"/>
      <c r="J23169" s="11"/>
      <c r="U23169" s="9"/>
      <c r="X23169" s="9"/>
    </row>
    <row r="23170">
      <c r="D23170" s="9"/>
      <c r="G23170" s="9"/>
      <c r="J23170" s="11"/>
      <c r="U23170" s="9"/>
      <c r="X23170" s="9"/>
    </row>
    <row r="23171">
      <c r="D23171" s="9"/>
      <c r="G23171" s="9"/>
      <c r="J23171" s="11"/>
      <c r="U23171" s="9"/>
      <c r="X23171" s="9"/>
    </row>
    <row r="23172">
      <c r="D23172" s="9"/>
      <c r="G23172" s="9"/>
      <c r="J23172" s="11"/>
      <c r="U23172" s="9"/>
      <c r="X23172" s="9"/>
    </row>
    <row r="23173">
      <c r="D23173" s="9"/>
      <c r="G23173" s="9"/>
      <c r="J23173" s="11"/>
      <c r="U23173" s="9"/>
      <c r="X23173" s="9"/>
    </row>
    <row r="23174">
      <c r="D23174" s="9"/>
      <c r="G23174" s="9"/>
      <c r="J23174" s="11"/>
      <c r="U23174" s="9"/>
      <c r="X23174" s="9"/>
    </row>
    <row r="23175">
      <c r="D23175" s="9"/>
      <c r="G23175" s="9"/>
      <c r="J23175" s="11"/>
      <c r="U23175" s="9"/>
      <c r="X23175" s="9"/>
    </row>
    <row r="23176">
      <c r="D23176" s="9"/>
      <c r="G23176" s="9"/>
      <c r="J23176" s="11"/>
      <c r="U23176" s="9"/>
      <c r="X23176" s="9"/>
    </row>
    <row r="23177">
      <c r="D23177" s="9"/>
      <c r="G23177" s="9"/>
      <c r="J23177" s="11"/>
      <c r="U23177" s="9"/>
      <c r="X23177" s="9"/>
    </row>
    <row r="23178">
      <c r="D23178" s="9"/>
      <c r="G23178" s="9"/>
      <c r="J23178" s="11"/>
      <c r="U23178" s="9"/>
      <c r="X23178" s="9"/>
    </row>
    <row r="23179">
      <c r="D23179" s="9"/>
      <c r="G23179" s="9"/>
      <c r="J23179" s="11"/>
      <c r="U23179" s="9"/>
      <c r="X23179" s="9"/>
    </row>
    <row r="23180">
      <c r="D23180" s="9"/>
      <c r="G23180" s="9"/>
      <c r="J23180" s="11"/>
      <c r="U23180" s="9"/>
      <c r="X23180" s="9"/>
    </row>
    <row r="23181">
      <c r="D23181" s="9"/>
      <c r="G23181" s="9"/>
      <c r="J23181" s="11"/>
      <c r="U23181" s="9"/>
      <c r="X23181" s="9"/>
    </row>
    <row r="23182">
      <c r="D23182" s="9"/>
      <c r="G23182" s="9"/>
      <c r="J23182" s="11"/>
      <c r="U23182" s="9"/>
      <c r="X23182" s="9"/>
    </row>
    <row r="23183">
      <c r="D23183" s="9"/>
      <c r="G23183" s="9"/>
      <c r="J23183" s="11"/>
      <c r="U23183" s="9"/>
      <c r="X23183" s="9"/>
    </row>
    <row r="23184">
      <c r="D23184" s="9"/>
      <c r="G23184" s="9"/>
      <c r="J23184" s="11"/>
      <c r="U23184" s="9"/>
      <c r="X23184" s="9"/>
    </row>
    <row r="23185">
      <c r="D23185" s="9"/>
      <c r="G23185" s="9"/>
      <c r="J23185" s="11"/>
      <c r="U23185" s="9"/>
      <c r="X23185" s="9"/>
    </row>
    <row r="23186">
      <c r="D23186" s="9"/>
      <c r="G23186" s="9"/>
      <c r="J23186" s="11"/>
      <c r="U23186" s="9"/>
      <c r="X23186" s="9"/>
    </row>
    <row r="23187">
      <c r="D23187" s="9"/>
      <c r="G23187" s="9"/>
      <c r="J23187" s="11"/>
      <c r="U23187" s="9"/>
      <c r="X23187" s="9"/>
    </row>
    <row r="23188">
      <c r="D23188" s="9"/>
      <c r="G23188" s="9"/>
      <c r="J23188" s="11"/>
      <c r="U23188" s="9"/>
      <c r="X23188" s="9"/>
    </row>
    <row r="23189">
      <c r="D23189" s="9"/>
      <c r="G23189" s="9"/>
      <c r="J23189" s="11"/>
      <c r="U23189" s="9"/>
      <c r="X23189" s="9"/>
    </row>
    <row r="23190">
      <c r="D23190" s="9"/>
      <c r="G23190" s="9"/>
      <c r="J23190" s="11"/>
      <c r="U23190" s="9"/>
      <c r="X23190" s="9"/>
    </row>
    <row r="23191">
      <c r="D23191" s="9"/>
      <c r="G23191" s="9"/>
      <c r="J23191" s="11"/>
      <c r="U23191" s="9"/>
      <c r="X23191" s="9"/>
    </row>
    <row r="23192">
      <c r="D23192" s="9"/>
      <c r="G23192" s="9"/>
      <c r="J23192" s="11"/>
      <c r="U23192" s="9"/>
      <c r="X23192" s="9"/>
    </row>
    <row r="23193">
      <c r="D23193" s="9"/>
      <c r="G23193" s="9"/>
      <c r="J23193" s="11"/>
      <c r="U23193" s="9"/>
      <c r="X23193" s="9"/>
    </row>
    <row r="23194">
      <c r="D23194" s="9"/>
      <c r="G23194" s="9"/>
      <c r="J23194" s="11"/>
      <c r="U23194" s="9"/>
      <c r="X23194" s="9"/>
    </row>
    <row r="23195">
      <c r="D23195" s="9"/>
      <c r="G23195" s="9"/>
      <c r="J23195" s="11"/>
      <c r="U23195" s="9"/>
      <c r="X23195" s="9"/>
    </row>
    <row r="23196">
      <c r="D23196" s="9"/>
      <c r="G23196" s="9"/>
      <c r="J23196" s="11"/>
      <c r="U23196" s="9"/>
      <c r="X23196" s="9"/>
    </row>
    <row r="23197">
      <c r="D23197" s="9"/>
      <c r="G23197" s="9"/>
      <c r="J23197" s="11"/>
      <c r="U23197" s="9"/>
      <c r="X23197" s="9"/>
    </row>
    <row r="23198">
      <c r="D23198" s="9"/>
      <c r="G23198" s="9"/>
      <c r="J23198" s="11"/>
      <c r="U23198" s="9"/>
      <c r="X23198" s="9"/>
    </row>
    <row r="23199">
      <c r="D23199" s="9"/>
      <c r="G23199" s="9"/>
      <c r="J23199" s="11"/>
      <c r="U23199" s="9"/>
      <c r="X23199" s="9"/>
    </row>
    <row r="23200">
      <c r="D23200" s="9"/>
      <c r="G23200" s="9"/>
      <c r="J23200" s="11"/>
      <c r="U23200" s="9"/>
      <c r="X23200" s="9"/>
    </row>
    <row r="23201">
      <c r="D23201" s="9"/>
      <c r="G23201" s="9"/>
      <c r="J23201" s="11"/>
      <c r="U23201" s="9"/>
      <c r="X23201" s="9"/>
    </row>
    <row r="23202">
      <c r="D23202" s="9"/>
      <c r="G23202" s="9"/>
      <c r="J23202" s="11"/>
      <c r="U23202" s="9"/>
      <c r="X23202" s="9"/>
    </row>
    <row r="23203">
      <c r="D23203" s="9"/>
      <c r="G23203" s="9"/>
      <c r="J23203" s="11"/>
      <c r="U23203" s="9"/>
      <c r="X23203" s="9"/>
    </row>
    <row r="23204">
      <c r="D23204" s="9"/>
      <c r="G23204" s="9"/>
      <c r="J23204" s="11"/>
      <c r="U23204" s="9"/>
      <c r="X23204" s="9"/>
    </row>
    <row r="23205">
      <c r="D23205" s="9"/>
      <c r="G23205" s="9"/>
      <c r="J23205" s="11"/>
      <c r="U23205" s="9"/>
      <c r="X23205" s="9"/>
    </row>
    <row r="23206">
      <c r="D23206" s="9"/>
      <c r="G23206" s="9"/>
      <c r="J23206" s="11"/>
      <c r="U23206" s="9"/>
      <c r="X23206" s="9"/>
    </row>
    <row r="23207">
      <c r="D23207" s="9"/>
      <c r="G23207" s="9"/>
      <c r="J23207" s="11"/>
      <c r="U23207" s="9"/>
      <c r="X23207" s="9"/>
    </row>
    <row r="23208">
      <c r="D23208" s="9"/>
      <c r="G23208" s="9"/>
      <c r="J23208" s="11"/>
      <c r="U23208" s="9"/>
      <c r="X23208" s="9"/>
    </row>
    <row r="23209">
      <c r="D23209" s="9"/>
      <c r="G23209" s="9"/>
      <c r="J23209" s="11"/>
      <c r="U23209" s="9"/>
      <c r="X23209" s="9"/>
    </row>
    <row r="23210">
      <c r="D23210" s="9"/>
      <c r="G23210" s="9"/>
      <c r="J23210" s="11"/>
      <c r="U23210" s="9"/>
      <c r="X23210" s="9"/>
    </row>
    <row r="23211">
      <c r="D23211" s="9"/>
      <c r="G23211" s="9"/>
      <c r="J23211" s="11"/>
      <c r="U23211" s="9"/>
      <c r="X23211" s="9"/>
    </row>
    <row r="23212">
      <c r="D23212" s="9"/>
      <c r="G23212" s="9"/>
      <c r="J23212" s="11"/>
      <c r="U23212" s="9"/>
      <c r="X23212" s="9"/>
    </row>
    <row r="23213">
      <c r="D23213" s="9"/>
      <c r="G23213" s="9"/>
      <c r="J23213" s="11"/>
      <c r="U23213" s="9"/>
      <c r="X23213" s="9"/>
    </row>
    <row r="23214">
      <c r="D23214" s="9"/>
      <c r="G23214" s="9"/>
      <c r="J23214" s="11"/>
      <c r="U23214" s="9"/>
      <c r="X23214" s="9"/>
    </row>
    <row r="23215">
      <c r="D23215" s="9"/>
      <c r="G23215" s="9"/>
      <c r="J23215" s="11"/>
      <c r="U23215" s="9"/>
      <c r="X23215" s="9"/>
    </row>
    <row r="23216">
      <c r="D23216" s="9"/>
      <c r="G23216" s="9"/>
      <c r="J23216" s="11"/>
      <c r="U23216" s="9"/>
      <c r="X23216" s="9"/>
    </row>
    <row r="23217">
      <c r="D23217" s="9"/>
      <c r="G23217" s="9"/>
      <c r="J23217" s="11"/>
      <c r="U23217" s="9"/>
      <c r="X23217" s="9"/>
    </row>
    <row r="23218">
      <c r="D23218" s="9"/>
      <c r="G23218" s="9"/>
      <c r="J23218" s="11"/>
      <c r="U23218" s="9"/>
      <c r="X23218" s="9"/>
    </row>
    <row r="23219">
      <c r="D23219" s="9"/>
      <c r="G23219" s="9"/>
      <c r="J23219" s="11"/>
      <c r="U23219" s="9"/>
      <c r="X23219" s="9"/>
    </row>
    <row r="23220">
      <c r="D23220" s="9"/>
      <c r="G23220" s="9"/>
      <c r="J23220" s="11"/>
      <c r="U23220" s="9"/>
      <c r="X23220" s="9"/>
    </row>
    <row r="23221">
      <c r="D23221" s="9"/>
      <c r="G23221" s="9"/>
      <c r="J23221" s="11"/>
      <c r="U23221" s="9"/>
      <c r="X23221" s="9"/>
    </row>
    <row r="23222">
      <c r="D23222" s="9"/>
      <c r="G23222" s="9"/>
      <c r="J23222" s="11"/>
      <c r="U23222" s="9"/>
      <c r="X23222" s="9"/>
    </row>
    <row r="23223">
      <c r="D23223" s="9"/>
      <c r="G23223" s="9"/>
      <c r="J23223" s="11"/>
      <c r="U23223" s="9"/>
      <c r="X23223" s="9"/>
    </row>
    <row r="23224">
      <c r="D23224" s="9"/>
      <c r="G23224" s="9"/>
      <c r="J23224" s="11"/>
      <c r="U23224" s="9"/>
      <c r="X23224" s="9"/>
    </row>
    <row r="23225">
      <c r="D23225" s="9"/>
      <c r="G23225" s="9"/>
      <c r="J23225" s="11"/>
      <c r="U23225" s="9"/>
      <c r="X23225" s="9"/>
    </row>
    <row r="23226">
      <c r="D23226" s="9"/>
      <c r="G23226" s="9"/>
      <c r="J23226" s="11"/>
      <c r="U23226" s="9"/>
      <c r="X23226" s="9"/>
    </row>
    <row r="23227">
      <c r="D23227" s="9"/>
      <c r="G23227" s="9"/>
      <c r="J23227" s="11"/>
      <c r="U23227" s="9"/>
      <c r="X23227" s="9"/>
    </row>
    <row r="23228">
      <c r="D23228" s="9"/>
      <c r="G23228" s="9"/>
      <c r="J23228" s="11"/>
      <c r="U23228" s="9"/>
      <c r="X23228" s="9"/>
    </row>
    <row r="23229">
      <c r="D23229" s="9"/>
      <c r="G23229" s="9"/>
      <c r="J23229" s="11"/>
      <c r="U23229" s="9"/>
      <c r="X23229" s="9"/>
    </row>
    <row r="23230">
      <c r="D23230" s="9"/>
      <c r="G23230" s="9"/>
      <c r="J23230" s="11"/>
      <c r="U23230" s="9"/>
      <c r="X23230" s="9"/>
    </row>
    <row r="23231">
      <c r="D23231" s="9"/>
      <c r="G23231" s="9"/>
      <c r="J23231" s="11"/>
      <c r="U23231" s="9"/>
      <c r="X23231" s="9"/>
    </row>
    <row r="23232">
      <c r="D23232" s="9"/>
      <c r="G23232" s="9"/>
      <c r="J23232" s="11"/>
      <c r="U23232" s="9"/>
      <c r="X23232" s="9"/>
    </row>
    <row r="23233">
      <c r="D23233" s="9"/>
      <c r="G23233" s="9"/>
      <c r="J23233" s="11"/>
      <c r="U23233" s="9"/>
      <c r="X23233" s="9"/>
    </row>
    <row r="23234">
      <c r="D23234" s="9"/>
      <c r="G23234" s="9"/>
      <c r="J23234" s="11"/>
      <c r="U23234" s="9"/>
      <c r="X23234" s="9"/>
    </row>
    <row r="23235">
      <c r="D23235" s="9"/>
      <c r="G23235" s="9"/>
      <c r="J23235" s="11"/>
      <c r="U23235" s="9"/>
      <c r="X23235" s="9"/>
    </row>
    <row r="23236">
      <c r="D23236" s="9"/>
      <c r="G23236" s="9"/>
      <c r="J23236" s="11"/>
      <c r="U23236" s="9"/>
      <c r="X23236" s="9"/>
    </row>
    <row r="23237">
      <c r="D23237" s="9"/>
      <c r="G23237" s="9"/>
      <c r="J23237" s="11"/>
      <c r="U23237" s="9"/>
      <c r="X23237" s="9"/>
    </row>
    <row r="23238">
      <c r="D23238" s="9"/>
      <c r="G23238" s="9"/>
      <c r="J23238" s="11"/>
      <c r="U23238" s="9"/>
      <c r="X23238" s="9"/>
    </row>
    <row r="23239">
      <c r="D23239" s="9"/>
      <c r="G23239" s="9"/>
      <c r="J23239" s="11"/>
      <c r="U23239" s="9"/>
      <c r="X23239" s="9"/>
    </row>
    <row r="23240">
      <c r="D23240" s="9"/>
      <c r="G23240" s="9"/>
      <c r="J23240" s="11"/>
      <c r="U23240" s="9"/>
      <c r="X23240" s="9"/>
    </row>
    <row r="23241">
      <c r="D23241" s="9"/>
      <c r="G23241" s="9"/>
      <c r="J23241" s="11"/>
      <c r="U23241" s="9"/>
      <c r="X23241" s="9"/>
    </row>
    <row r="23242">
      <c r="D23242" s="9"/>
      <c r="G23242" s="9"/>
      <c r="J23242" s="11"/>
      <c r="U23242" s="9"/>
      <c r="X23242" s="9"/>
    </row>
    <row r="23243">
      <c r="D23243" s="9"/>
      <c r="G23243" s="9"/>
      <c r="J23243" s="11"/>
      <c r="U23243" s="9"/>
      <c r="X23243" s="9"/>
    </row>
    <row r="23244">
      <c r="D23244" s="9"/>
      <c r="G23244" s="9"/>
      <c r="J23244" s="11"/>
      <c r="U23244" s="9"/>
      <c r="X23244" s="9"/>
    </row>
    <row r="23245">
      <c r="D23245" s="9"/>
      <c r="G23245" s="9"/>
      <c r="J23245" s="11"/>
      <c r="U23245" s="9"/>
      <c r="X23245" s="9"/>
    </row>
    <row r="23246">
      <c r="D23246" s="9"/>
      <c r="G23246" s="9"/>
      <c r="J23246" s="11"/>
      <c r="U23246" s="9"/>
      <c r="X23246" s="9"/>
    </row>
    <row r="23247">
      <c r="D23247" s="9"/>
      <c r="G23247" s="9"/>
      <c r="J23247" s="11"/>
      <c r="U23247" s="9"/>
      <c r="X23247" s="9"/>
    </row>
    <row r="23248">
      <c r="D23248" s="9"/>
      <c r="G23248" s="9"/>
      <c r="J23248" s="11"/>
      <c r="U23248" s="9"/>
      <c r="X23248" s="9"/>
    </row>
    <row r="23249">
      <c r="D23249" s="9"/>
      <c r="G23249" s="9"/>
      <c r="J23249" s="11"/>
      <c r="U23249" s="9"/>
      <c r="X23249" s="9"/>
    </row>
    <row r="23250">
      <c r="D23250" s="9"/>
      <c r="G23250" s="9"/>
      <c r="J23250" s="11"/>
      <c r="U23250" s="9"/>
      <c r="X23250" s="9"/>
    </row>
    <row r="23251">
      <c r="D23251" s="9"/>
      <c r="G23251" s="9"/>
      <c r="J23251" s="11"/>
      <c r="U23251" s="9"/>
      <c r="X23251" s="9"/>
    </row>
    <row r="23252">
      <c r="D23252" s="9"/>
      <c r="G23252" s="9"/>
      <c r="J23252" s="11"/>
      <c r="U23252" s="9"/>
      <c r="X23252" s="9"/>
    </row>
    <row r="23253">
      <c r="D23253" s="9"/>
      <c r="G23253" s="9"/>
      <c r="J23253" s="11"/>
      <c r="U23253" s="9"/>
      <c r="X23253" s="9"/>
    </row>
    <row r="23254">
      <c r="D23254" s="9"/>
      <c r="G23254" s="9"/>
      <c r="J23254" s="11"/>
      <c r="U23254" s="9"/>
      <c r="X23254" s="9"/>
    </row>
    <row r="23255">
      <c r="D23255" s="9"/>
      <c r="G23255" s="9"/>
      <c r="J23255" s="11"/>
      <c r="U23255" s="9"/>
      <c r="X23255" s="9"/>
    </row>
    <row r="23256">
      <c r="D23256" s="9"/>
      <c r="G23256" s="9"/>
      <c r="J23256" s="11"/>
      <c r="U23256" s="9"/>
      <c r="X23256" s="9"/>
    </row>
    <row r="23257">
      <c r="D23257" s="9"/>
      <c r="G23257" s="9"/>
      <c r="J23257" s="11"/>
      <c r="U23257" s="9"/>
      <c r="X23257" s="9"/>
    </row>
    <row r="23258">
      <c r="D23258" s="9"/>
      <c r="G23258" s="9"/>
      <c r="J23258" s="11"/>
      <c r="U23258" s="9"/>
      <c r="X23258" s="9"/>
    </row>
    <row r="23259">
      <c r="D23259" s="9"/>
      <c r="G23259" s="9"/>
      <c r="J23259" s="11"/>
      <c r="U23259" s="9"/>
      <c r="X23259" s="9"/>
    </row>
    <row r="23260">
      <c r="D23260" s="9"/>
      <c r="G23260" s="9"/>
      <c r="J23260" s="11"/>
      <c r="U23260" s="9"/>
      <c r="X23260" s="9"/>
    </row>
    <row r="23261">
      <c r="D23261" s="9"/>
      <c r="G23261" s="9"/>
      <c r="J23261" s="11"/>
      <c r="U23261" s="9"/>
      <c r="X23261" s="9"/>
    </row>
    <row r="23262">
      <c r="D23262" s="9"/>
      <c r="G23262" s="9"/>
      <c r="J23262" s="11"/>
      <c r="U23262" s="9"/>
      <c r="X23262" s="9"/>
    </row>
    <row r="23263">
      <c r="D23263" s="9"/>
      <c r="G23263" s="9"/>
      <c r="J23263" s="11"/>
      <c r="U23263" s="9"/>
      <c r="X23263" s="9"/>
    </row>
    <row r="23264">
      <c r="D23264" s="9"/>
      <c r="G23264" s="9"/>
      <c r="J23264" s="11"/>
      <c r="U23264" s="9"/>
      <c r="X23264" s="9"/>
    </row>
    <row r="23265">
      <c r="D23265" s="9"/>
      <c r="G23265" s="9"/>
      <c r="J23265" s="11"/>
      <c r="U23265" s="9"/>
      <c r="X23265" s="9"/>
    </row>
    <row r="23266">
      <c r="D23266" s="9"/>
      <c r="G23266" s="9"/>
      <c r="J23266" s="11"/>
      <c r="U23266" s="9"/>
      <c r="X23266" s="9"/>
    </row>
    <row r="23267">
      <c r="D23267" s="9"/>
      <c r="G23267" s="9"/>
      <c r="J23267" s="11"/>
      <c r="U23267" s="9"/>
      <c r="X23267" s="9"/>
    </row>
    <row r="23268">
      <c r="D23268" s="9"/>
      <c r="G23268" s="9"/>
      <c r="J23268" s="11"/>
      <c r="U23268" s="9"/>
      <c r="X23268" s="9"/>
    </row>
    <row r="23269">
      <c r="D23269" s="9"/>
      <c r="G23269" s="9"/>
      <c r="J23269" s="11"/>
      <c r="U23269" s="9"/>
      <c r="X23269" s="9"/>
    </row>
    <row r="23270">
      <c r="D23270" s="9"/>
      <c r="G23270" s="9"/>
      <c r="J23270" s="11"/>
      <c r="U23270" s="9"/>
      <c r="X23270" s="9"/>
    </row>
    <row r="23271">
      <c r="D23271" s="9"/>
      <c r="G23271" s="9"/>
      <c r="J23271" s="11"/>
      <c r="U23271" s="9"/>
      <c r="X23271" s="9"/>
    </row>
    <row r="23272">
      <c r="D23272" s="9"/>
      <c r="G23272" s="9"/>
      <c r="J23272" s="11"/>
      <c r="U23272" s="9"/>
      <c r="X23272" s="9"/>
    </row>
    <row r="23273">
      <c r="D23273" s="9"/>
      <c r="G23273" s="9"/>
      <c r="J23273" s="11"/>
      <c r="U23273" s="9"/>
      <c r="X23273" s="9"/>
    </row>
    <row r="23274">
      <c r="D23274" s="9"/>
      <c r="G23274" s="9"/>
      <c r="J23274" s="11"/>
      <c r="U23274" s="9"/>
      <c r="X23274" s="9"/>
    </row>
    <row r="23275">
      <c r="D23275" s="9"/>
      <c r="G23275" s="9"/>
      <c r="J23275" s="11"/>
      <c r="U23275" s="9"/>
      <c r="X23275" s="9"/>
    </row>
    <row r="23276">
      <c r="D23276" s="9"/>
      <c r="G23276" s="9"/>
      <c r="J23276" s="11"/>
      <c r="U23276" s="9"/>
      <c r="X23276" s="9"/>
    </row>
    <row r="23277">
      <c r="D23277" s="9"/>
      <c r="G23277" s="9"/>
      <c r="J23277" s="11"/>
      <c r="U23277" s="9"/>
      <c r="X23277" s="9"/>
    </row>
    <row r="23278">
      <c r="D23278" s="9"/>
      <c r="G23278" s="9"/>
      <c r="J23278" s="11"/>
      <c r="U23278" s="9"/>
      <c r="X23278" s="9"/>
    </row>
    <row r="23279">
      <c r="D23279" s="9"/>
      <c r="G23279" s="9"/>
      <c r="J23279" s="11"/>
      <c r="U23279" s="9"/>
      <c r="X23279" s="9"/>
    </row>
    <row r="23280">
      <c r="D23280" s="9"/>
      <c r="G23280" s="9"/>
      <c r="J23280" s="11"/>
      <c r="U23280" s="9"/>
      <c r="X23280" s="9"/>
    </row>
    <row r="23281">
      <c r="D23281" s="9"/>
      <c r="G23281" s="9"/>
      <c r="J23281" s="11"/>
      <c r="U23281" s="9"/>
      <c r="X23281" s="9"/>
    </row>
    <row r="23282">
      <c r="D23282" s="9"/>
      <c r="G23282" s="9"/>
      <c r="J23282" s="11"/>
      <c r="U23282" s="9"/>
      <c r="X23282" s="9"/>
    </row>
    <row r="23283">
      <c r="D23283" s="9"/>
      <c r="G23283" s="9"/>
      <c r="J23283" s="11"/>
      <c r="U23283" s="9"/>
      <c r="X23283" s="9"/>
    </row>
    <row r="23284">
      <c r="D23284" s="9"/>
      <c r="G23284" s="9"/>
      <c r="J23284" s="11"/>
      <c r="U23284" s="9"/>
      <c r="X23284" s="9"/>
    </row>
    <row r="23285">
      <c r="D23285" s="9"/>
      <c r="G23285" s="9"/>
      <c r="J23285" s="11"/>
      <c r="U23285" s="9"/>
      <c r="X23285" s="9"/>
    </row>
    <row r="23286">
      <c r="D23286" s="9"/>
      <c r="G23286" s="9"/>
      <c r="J23286" s="11"/>
      <c r="U23286" s="9"/>
      <c r="X23286" s="9"/>
    </row>
    <row r="23287">
      <c r="D23287" s="9"/>
      <c r="G23287" s="9"/>
      <c r="J23287" s="11"/>
      <c r="U23287" s="9"/>
      <c r="X23287" s="9"/>
    </row>
    <row r="23288">
      <c r="D23288" s="9"/>
      <c r="G23288" s="9"/>
      <c r="J23288" s="11"/>
      <c r="U23288" s="9"/>
      <c r="X23288" s="9"/>
    </row>
    <row r="23289">
      <c r="D23289" s="9"/>
      <c r="G23289" s="9"/>
      <c r="J23289" s="11"/>
      <c r="U23289" s="9"/>
      <c r="X23289" s="9"/>
    </row>
    <row r="23290">
      <c r="D23290" s="9"/>
      <c r="G23290" s="9"/>
      <c r="J23290" s="11"/>
      <c r="U23290" s="9"/>
      <c r="X23290" s="9"/>
    </row>
    <row r="23291">
      <c r="D23291" s="9"/>
      <c r="G23291" s="9"/>
      <c r="J23291" s="11"/>
      <c r="U23291" s="9"/>
      <c r="X23291" s="9"/>
    </row>
    <row r="23292">
      <c r="D23292" s="9"/>
      <c r="G23292" s="9"/>
      <c r="J23292" s="11"/>
      <c r="U23292" s="9"/>
      <c r="X23292" s="9"/>
    </row>
    <row r="23293">
      <c r="D23293" s="9"/>
      <c r="G23293" s="9"/>
      <c r="J23293" s="11"/>
      <c r="U23293" s="9"/>
      <c r="X23293" s="9"/>
    </row>
    <row r="23294">
      <c r="D23294" s="9"/>
      <c r="G23294" s="9"/>
      <c r="J23294" s="11"/>
      <c r="U23294" s="9"/>
      <c r="X23294" s="9"/>
    </row>
    <row r="23295">
      <c r="D23295" s="9"/>
      <c r="G23295" s="9"/>
      <c r="J23295" s="11"/>
      <c r="U23295" s="9"/>
      <c r="X23295" s="9"/>
    </row>
    <row r="23296">
      <c r="D23296" s="9"/>
      <c r="G23296" s="9"/>
      <c r="J23296" s="11"/>
      <c r="U23296" s="9"/>
      <c r="X23296" s="9"/>
    </row>
    <row r="23297">
      <c r="D23297" s="9"/>
      <c r="G23297" s="9"/>
      <c r="J23297" s="11"/>
      <c r="U23297" s="9"/>
      <c r="X23297" s="9"/>
    </row>
    <row r="23298">
      <c r="D23298" s="9"/>
      <c r="G23298" s="9"/>
      <c r="J23298" s="11"/>
      <c r="U23298" s="9"/>
      <c r="X23298" s="9"/>
    </row>
    <row r="23299">
      <c r="D23299" s="9"/>
      <c r="G23299" s="9"/>
      <c r="J23299" s="11"/>
      <c r="U23299" s="9"/>
      <c r="X23299" s="9"/>
    </row>
    <row r="23300">
      <c r="D23300" s="9"/>
      <c r="G23300" s="9"/>
      <c r="J23300" s="11"/>
      <c r="U23300" s="9"/>
      <c r="X23300" s="9"/>
    </row>
    <row r="23301">
      <c r="D23301" s="9"/>
      <c r="G23301" s="9"/>
      <c r="J23301" s="11"/>
      <c r="U23301" s="9"/>
      <c r="X23301" s="9"/>
    </row>
    <row r="23302">
      <c r="D23302" s="9"/>
      <c r="G23302" s="9"/>
      <c r="J23302" s="11"/>
      <c r="U23302" s="9"/>
      <c r="X23302" s="9"/>
    </row>
    <row r="23303">
      <c r="D23303" s="9"/>
      <c r="G23303" s="9"/>
      <c r="J23303" s="11"/>
      <c r="U23303" s="9"/>
      <c r="X23303" s="9"/>
    </row>
    <row r="23304">
      <c r="D23304" s="9"/>
      <c r="G23304" s="9"/>
      <c r="J23304" s="11"/>
      <c r="U23304" s="9"/>
      <c r="X23304" s="9"/>
    </row>
    <row r="23305">
      <c r="D23305" s="9"/>
      <c r="G23305" s="9"/>
      <c r="J23305" s="11"/>
      <c r="U23305" s="9"/>
      <c r="X23305" s="9"/>
    </row>
    <row r="23306">
      <c r="D23306" s="9"/>
      <c r="G23306" s="9"/>
      <c r="J23306" s="11"/>
      <c r="U23306" s="9"/>
      <c r="X23306" s="9"/>
    </row>
    <row r="23307">
      <c r="D23307" s="9"/>
      <c r="G23307" s="9"/>
      <c r="J23307" s="11"/>
      <c r="U23307" s="9"/>
      <c r="X23307" s="9"/>
    </row>
    <row r="23308">
      <c r="D23308" s="9"/>
      <c r="G23308" s="9"/>
      <c r="J23308" s="11"/>
      <c r="U23308" s="9"/>
      <c r="X23308" s="9"/>
    </row>
    <row r="23309">
      <c r="D23309" s="9"/>
      <c r="G23309" s="9"/>
      <c r="J23309" s="11"/>
      <c r="U23309" s="9"/>
      <c r="X23309" s="9"/>
    </row>
    <row r="23310">
      <c r="D23310" s="9"/>
      <c r="G23310" s="9"/>
      <c r="J23310" s="11"/>
      <c r="U23310" s="9"/>
      <c r="X23310" s="9"/>
    </row>
    <row r="23311">
      <c r="D23311" s="9"/>
      <c r="G23311" s="9"/>
      <c r="J23311" s="11"/>
      <c r="U23311" s="9"/>
      <c r="X23311" s="9"/>
    </row>
    <row r="23312">
      <c r="D23312" s="9"/>
      <c r="G23312" s="9"/>
      <c r="J23312" s="11"/>
      <c r="U23312" s="9"/>
      <c r="X23312" s="9"/>
    </row>
    <row r="23313">
      <c r="D23313" s="9"/>
      <c r="G23313" s="9"/>
      <c r="J23313" s="11"/>
      <c r="U23313" s="9"/>
      <c r="X23313" s="9"/>
    </row>
    <row r="23314">
      <c r="D23314" s="9"/>
      <c r="G23314" s="9"/>
      <c r="J23314" s="11"/>
      <c r="U23314" s="9"/>
      <c r="X23314" s="9"/>
    </row>
    <row r="23315">
      <c r="D23315" s="9"/>
      <c r="G23315" s="9"/>
      <c r="J23315" s="11"/>
      <c r="U23315" s="9"/>
      <c r="X23315" s="9"/>
    </row>
    <row r="23316">
      <c r="D23316" s="9"/>
      <c r="G23316" s="9"/>
      <c r="J23316" s="11"/>
      <c r="U23316" s="9"/>
      <c r="X23316" s="9"/>
    </row>
    <row r="23317">
      <c r="D23317" s="9"/>
      <c r="G23317" s="9"/>
      <c r="J23317" s="11"/>
      <c r="U23317" s="9"/>
      <c r="X23317" s="9"/>
    </row>
    <row r="23318">
      <c r="D23318" s="9"/>
      <c r="G23318" s="9"/>
      <c r="J23318" s="11"/>
      <c r="U23318" s="9"/>
      <c r="X23318" s="9"/>
    </row>
    <row r="23319">
      <c r="D23319" s="9"/>
      <c r="G23319" s="9"/>
      <c r="J23319" s="11"/>
      <c r="U23319" s="9"/>
      <c r="X23319" s="9"/>
    </row>
    <row r="23320">
      <c r="D23320" s="9"/>
      <c r="G23320" s="9"/>
      <c r="J23320" s="11"/>
      <c r="U23320" s="9"/>
      <c r="X23320" s="9"/>
    </row>
    <row r="23321">
      <c r="D23321" s="9"/>
      <c r="G23321" s="9"/>
      <c r="J23321" s="11"/>
      <c r="U23321" s="9"/>
      <c r="X23321" s="9"/>
    </row>
    <row r="23322">
      <c r="D23322" s="9"/>
      <c r="G23322" s="9"/>
      <c r="J23322" s="11"/>
      <c r="U23322" s="9"/>
      <c r="X23322" s="9"/>
    </row>
    <row r="23323">
      <c r="D23323" s="9"/>
      <c r="G23323" s="9"/>
      <c r="J23323" s="11"/>
      <c r="U23323" s="9"/>
      <c r="X23323" s="9"/>
    </row>
    <row r="23324">
      <c r="D23324" s="9"/>
      <c r="G23324" s="9"/>
      <c r="J23324" s="11"/>
      <c r="U23324" s="9"/>
      <c r="X23324" s="9"/>
    </row>
    <row r="23325">
      <c r="D23325" s="9"/>
      <c r="G23325" s="9"/>
      <c r="J23325" s="11"/>
      <c r="U23325" s="9"/>
      <c r="X23325" s="9"/>
    </row>
    <row r="23326">
      <c r="D23326" s="9"/>
      <c r="G23326" s="9"/>
      <c r="J23326" s="11"/>
      <c r="U23326" s="9"/>
      <c r="X23326" s="9"/>
    </row>
    <row r="23327">
      <c r="D23327" s="9"/>
      <c r="G23327" s="9"/>
      <c r="J23327" s="11"/>
      <c r="U23327" s="9"/>
      <c r="X23327" s="9"/>
    </row>
    <row r="23328">
      <c r="D23328" s="9"/>
      <c r="G23328" s="9"/>
      <c r="J23328" s="11"/>
      <c r="U23328" s="9"/>
      <c r="X23328" s="9"/>
    </row>
    <row r="23329">
      <c r="D23329" s="9"/>
      <c r="G23329" s="9"/>
      <c r="J23329" s="11"/>
      <c r="U23329" s="9"/>
      <c r="X23329" s="9"/>
    </row>
    <row r="23330">
      <c r="D23330" s="9"/>
      <c r="G23330" s="9"/>
      <c r="J23330" s="11"/>
      <c r="U23330" s="9"/>
      <c r="X23330" s="9"/>
    </row>
    <row r="23331">
      <c r="D23331" s="9"/>
      <c r="G23331" s="9"/>
      <c r="J23331" s="11"/>
      <c r="U23331" s="9"/>
      <c r="X23331" s="9"/>
    </row>
    <row r="23332">
      <c r="D23332" s="9"/>
      <c r="G23332" s="9"/>
      <c r="J23332" s="11"/>
      <c r="U23332" s="9"/>
      <c r="X23332" s="9"/>
    </row>
    <row r="23333">
      <c r="D23333" s="9"/>
      <c r="G23333" s="9"/>
      <c r="J23333" s="11"/>
      <c r="U23333" s="9"/>
      <c r="X23333" s="9"/>
    </row>
    <row r="23334">
      <c r="D23334" s="9"/>
      <c r="G23334" s="9"/>
      <c r="J23334" s="11"/>
      <c r="U23334" s="9"/>
      <c r="X23334" s="9"/>
    </row>
    <row r="23335">
      <c r="D23335" s="9"/>
      <c r="G23335" s="9"/>
      <c r="J23335" s="11"/>
      <c r="U23335" s="9"/>
      <c r="X23335" s="9"/>
    </row>
    <row r="23336">
      <c r="D23336" s="9"/>
      <c r="G23336" s="9"/>
      <c r="J23336" s="11"/>
      <c r="U23336" s="9"/>
      <c r="X23336" s="9"/>
    </row>
    <row r="23337">
      <c r="D23337" s="9"/>
      <c r="G23337" s="9"/>
      <c r="J23337" s="11"/>
      <c r="U23337" s="9"/>
      <c r="X23337" s="9"/>
    </row>
    <row r="23338">
      <c r="D23338" s="9"/>
      <c r="G23338" s="9"/>
      <c r="J23338" s="11"/>
      <c r="U23338" s="9"/>
      <c r="X23338" s="9"/>
    </row>
    <row r="23339">
      <c r="D23339" s="9"/>
      <c r="G23339" s="9"/>
      <c r="J23339" s="11"/>
      <c r="U23339" s="9"/>
      <c r="X23339" s="9"/>
    </row>
    <row r="23340">
      <c r="D23340" s="9"/>
      <c r="G23340" s="9"/>
      <c r="J23340" s="11"/>
      <c r="U23340" s="9"/>
      <c r="X23340" s="9"/>
    </row>
    <row r="23341">
      <c r="D23341" s="9"/>
      <c r="G23341" s="9"/>
      <c r="J23341" s="11"/>
      <c r="U23341" s="9"/>
      <c r="X23341" s="9"/>
    </row>
    <row r="23342">
      <c r="D23342" s="9"/>
      <c r="G23342" s="9"/>
      <c r="J23342" s="11"/>
      <c r="U23342" s="9"/>
      <c r="X23342" s="9"/>
    </row>
    <row r="23343">
      <c r="D23343" s="9"/>
      <c r="G23343" s="9"/>
      <c r="J23343" s="11"/>
      <c r="U23343" s="9"/>
      <c r="X23343" s="9"/>
    </row>
    <row r="23344">
      <c r="D23344" s="9"/>
      <c r="G23344" s="9"/>
      <c r="J23344" s="11"/>
      <c r="U23344" s="9"/>
      <c r="X23344" s="9"/>
    </row>
    <row r="23345">
      <c r="D23345" s="9"/>
      <c r="G23345" s="9"/>
      <c r="J23345" s="11"/>
      <c r="U23345" s="9"/>
      <c r="X23345" s="9"/>
    </row>
    <row r="23346">
      <c r="D23346" s="9"/>
      <c r="G23346" s="9"/>
      <c r="J23346" s="11"/>
      <c r="U23346" s="9"/>
      <c r="X23346" s="9"/>
    </row>
    <row r="23347">
      <c r="D23347" s="9"/>
      <c r="G23347" s="9"/>
      <c r="J23347" s="11"/>
      <c r="U23347" s="9"/>
      <c r="X23347" s="9"/>
    </row>
    <row r="23348">
      <c r="D23348" s="9"/>
      <c r="G23348" s="9"/>
      <c r="J23348" s="11"/>
      <c r="U23348" s="9"/>
      <c r="X23348" s="9"/>
    </row>
    <row r="23349">
      <c r="D23349" s="9"/>
      <c r="G23349" s="9"/>
      <c r="J23349" s="11"/>
      <c r="U23349" s="9"/>
      <c r="X23349" s="9"/>
    </row>
    <row r="23350">
      <c r="D23350" s="9"/>
      <c r="G23350" s="9"/>
      <c r="J23350" s="11"/>
      <c r="U23350" s="9"/>
      <c r="X23350" s="9"/>
    </row>
    <row r="23351">
      <c r="D23351" s="9"/>
      <c r="G23351" s="9"/>
      <c r="J23351" s="11"/>
      <c r="U23351" s="9"/>
      <c r="X23351" s="9"/>
    </row>
    <row r="23352">
      <c r="D23352" s="9"/>
      <c r="G23352" s="9"/>
      <c r="J23352" s="11"/>
      <c r="U23352" s="9"/>
      <c r="X23352" s="9"/>
    </row>
    <row r="23353">
      <c r="D23353" s="9"/>
      <c r="G23353" s="9"/>
      <c r="J23353" s="11"/>
      <c r="U23353" s="9"/>
      <c r="X23353" s="9"/>
    </row>
    <row r="23354">
      <c r="D23354" s="9"/>
      <c r="G23354" s="9"/>
      <c r="J23354" s="11"/>
      <c r="U23354" s="9"/>
      <c r="X23354" s="9"/>
    </row>
    <row r="23355">
      <c r="D23355" s="9"/>
      <c r="G23355" s="9"/>
      <c r="J23355" s="11"/>
      <c r="U23355" s="9"/>
      <c r="X23355" s="9"/>
    </row>
    <row r="23356">
      <c r="D23356" s="9"/>
      <c r="G23356" s="9"/>
      <c r="J23356" s="11"/>
      <c r="U23356" s="9"/>
      <c r="X23356" s="9"/>
    </row>
    <row r="23357">
      <c r="D23357" s="9"/>
      <c r="G23357" s="9"/>
      <c r="J23357" s="11"/>
      <c r="U23357" s="9"/>
      <c r="X23357" s="9"/>
    </row>
    <row r="23358">
      <c r="D23358" s="9"/>
      <c r="G23358" s="9"/>
      <c r="J23358" s="11"/>
      <c r="U23358" s="9"/>
      <c r="X23358" s="9"/>
    </row>
    <row r="23359">
      <c r="D23359" s="9"/>
      <c r="G23359" s="9"/>
      <c r="J23359" s="11"/>
      <c r="U23359" s="9"/>
      <c r="X23359" s="9"/>
    </row>
    <row r="23360">
      <c r="D23360" s="9"/>
      <c r="G23360" s="9"/>
      <c r="J23360" s="11"/>
      <c r="U23360" s="9"/>
      <c r="X23360" s="9"/>
    </row>
    <row r="23361">
      <c r="D23361" s="9"/>
      <c r="G23361" s="9"/>
      <c r="J23361" s="11"/>
      <c r="U23361" s="9"/>
      <c r="X23361" s="9"/>
    </row>
    <row r="23362">
      <c r="D23362" s="9"/>
      <c r="G23362" s="9"/>
      <c r="J23362" s="11"/>
      <c r="U23362" s="9"/>
      <c r="X23362" s="9"/>
    </row>
    <row r="23363">
      <c r="D23363" s="9"/>
      <c r="G23363" s="9"/>
      <c r="J23363" s="11"/>
      <c r="U23363" s="9"/>
      <c r="X23363" s="9"/>
    </row>
    <row r="23364">
      <c r="D23364" s="9"/>
      <c r="G23364" s="9"/>
      <c r="J23364" s="11"/>
      <c r="U23364" s="9"/>
      <c r="X23364" s="9"/>
    </row>
    <row r="23365">
      <c r="D23365" s="9"/>
      <c r="G23365" s="9"/>
      <c r="J23365" s="11"/>
      <c r="U23365" s="9"/>
      <c r="X23365" s="9"/>
    </row>
    <row r="23366">
      <c r="D23366" s="9"/>
      <c r="G23366" s="9"/>
      <c r="J23366" s="11"/>
      <c r="U23366" s="9"/>
      <c r="X23366" s="9"/>
    </row>
    <row r="23367">
      <c r="D23367" s="9"/>
      <c r="G23367" s="9"/>
      <c r="J23367" s="11"/>
      <c r="U23367" s="9"/>
      <c r="X23367" s="9"/>
    </row>
    <row r="23368">
      <c r="D23368" s="9"/>
      <c r="G23368" s="9"/>
      <c r="J23368" s="11"/>
      <c r="U23368" s="9"/>
      <c r="X23368" s="9"/>
    </row>
    <row r="23369">
      <c r="D23369" s="9"/>
      <c r="G23369" s="9"/>
      <c r="J23369" s="11"/>
      <c r="U23369" s="9"/>
      <c r="X23369" s="9"/>
    </row>
    <row r="23370">
      <c r="D23370" s="9"/>
      <c r="G23370" s="9"/>
      <c r="J23370" s="11"/>
      <c r="U23370" s="9"/>
      <c r="X23370" s="9"/>
    </row>
    <row r="23371">
      <c r="D23371" s="9"/>
      <c r="G23371" s="9"/>
      <c r="J23371" s="11"/>
      <c r="U23371" s="9"/>
      <c r="X23371" s="9"/>
    </row>
    <row r="23372">
      <c r="D23372" s="9"/>
      <c r="G23372" s="9"/>
      <c r="J23372" s="11"/>
      <c r="U23372" s="9"/>
      <c r="X23372" s="9"/>
    </row>
    <row r="23373">
      <c r="D23373" s="9"/>
      <c r="G23373" s="9"/>
      <c r="J23373" s="11"/>
      <c r="U23373" s="9"/>
      <c r="X23373" s="9"/>
    </row>
    <row r="23374">
      <c r="D23374" s="9"/>
      <c r="G23374" s="9"/>
      <c r="J23374" s="11"/>
      <c r="U23374" s="9"/>
      <c r="X23374" s="9"/>
    </row>
    <row r="23375">
      <c r="D23375" s="9"/>
      <c r="G23375" s="9"/>
      <c r="J23375" s="11"/>
      <c r="U23375" s="9"/>
      <c r="X23375" s="9"/>
    </row>
    <row r="23376">
      <c r="D23376" s="9"/>
      <c r="G23376" s="9"/>
      <c r="J23376" s="11"/>
      <c r="U23376" s="9"/>
      <c r="X23376" s="9"/>
    </row>
    <row r="23377">
      <c r="D23377" s="9"/>
      <c r="G23377" s="9"/>
      <c r="J23377" s="11"/>
      <c r="U23377" s="9"/>
      <c r="X23377" s="9"/>
    </row>
    <row r="23378">
      <c r="D23378" s="9"/>
      <c r="G23378" s="9"/>
      <c r="J23378" s="11"/>
      <c r="U23378" s="9"/>
      <c r="X23378" s="9"/>
    </row>
    <row r="23379">
      <c r="D23379" s="9"/>
      <c r="G23379" s="9"/>
      <c r="J23379" s="11"/>
      <c r="U23379" s="9"/>
      <c r="X23379" s="9"/>
    </row>
    <row r="23380">
      <c r="D23380" s="9"/>
      <c r="G23380" s="9"/>
      <c r="J23380" s="11"/>
      <c r="U23380" s="9"/>
      <c r="X23380" s="9"/>
    </row>
    <row r="23381">
      <c r="D23381" s="9"/>
      <c r="G23381" s="9"/>
      <c r="J23381" s="11"/>
      <c r="U23381" s="9"/>
      <c r="X23381" s="9"/>
    </row>
    <row r="23382">
      <c r="D23382" s="9"/>
      <c r="G23382" s="9"/>
      <c r="J23382" s="11"/>
      <c r="U23382" s="9"/>
      <c r="X23382" s="9"/>
    </row>
    <row r="23383">
      <c r="D23383" s="9"/>
      <c r="G23383" s="9"/>
      <c r="J23383" s="11"/>
      <c r="U23383" s="9"/>
      <c r="X23383" s="9"/>
    </row>
    <row r="23384">
      <c r="D23384" s="9"/>
      <c r="G23384" s="9"/>
      <c r="J23384" s="11"/>
      <c r="U23384" s="9"/>
      <c r="X23384" s="9"/>
    </row>
    <row r="23385">
      <c r="D23385" s="9"/>
      <c r="G23385" s="9"/>
      <c r="J23385" s="11"/>
      <c r="U23385" s="9"/>
      <c r="X23385" s="9"/>
    </row>
    <row r="23386">
      <c r="D23386" s="9"/>
      <c r="G23386" s="9"/>
      <c r="J23386" s="11"/>
      <c r="U23386" s="9"/>
      <c r="X23386" s="9"/>
    </row>
    <row r="23387">
      <c r="D23387" s="9"/>
      <c r="G23387" s="9"/>
      <c r="J23387" s="11"/>
      <c r="U23387" s="9"/>
      <c r="X23387" s="9"/>
    </row>
    <row r="23388">
      <c r="D23388" s="9"/>
      <c r="G23388" s="9"/>
      <c r="J23388" s="11"/>
      <c r="U23388" s="9"/>
      <c r="X23388" s="9"/>
    </row>
    <row r="23389">
      <c r="D23389" s="9"/>
      <c r="G23389" s="9"/>
      <c r="J23389" s="11"/>
      <c r="U23389" s="9"/>
      <c r="X23389" s="9"/>
    </row>
    <row r="23390">
      <c r="D23390" s="9"/>
      <c r="G23390" s="9"/>
      <c r="J23390" s="11"/>
      <c r="U23390" s="9"/>
      <c r="X23390" s="9"/>
    </row>
    <row r="23391">
      <c r="D23391" s="9"/>
      <c r="G23391" s="9"/>
      <c r="J23391" s="11"/>
      <c r="U23391" s="9"/>
      <c r="X23391" s="9"/>
    </row>
    <row r="23392">
      <c r="D23392" s="9"/>
      <c r="G23392" s="9"/>
      <c r="J23392" s="11"/>
      <c r="U23392" s="9"/>
      <c r="X23392" s="9"/>
    </row>
    <row r="23393">
      <c r="D23393" s="9"/>
      <c r="G23393" s="9"/>
      <c r="J23393" s="11"/>
      <c r="U23393" s="9"/>
      <c r="X23393" s="9"/>
    </row>
    <row r="23394">
      <c r="D23394" s="9"/>
      <c r="G23394" s="9"/>
      <c r="J23394" s="11"/>
      <c r="U23394" s="9"/>
      <c r="X23394" s="9"/>
    </row>
    <row r="23395">
      <c r="D23395" s="9"/>
      <c r="G23395" s="9"/>
      <c r="J23395" s="11"/>
      <c r="U23395" s="9"/>
      <c r="X23395" s="9"/>
    </row>
    <row r="23396">
      <c r="D23396" s="9"/>
      <c r="G23396" s="9"/>
      <c r="J23396" s="11"/>
      <c r="U23396" s="9"/>
      <c r="X23396" s="9"/>
    </row>
    <row r="23397">
      <c r="D23397" s="9"/>
      <c r="G23397" s="9"/>
      <c r="J23397" s="11"/>
      <c r="U23397" s="9"/>
      <c r="X23397" s="9"/>
    </row>
    <row r="23398">
      <c r="D23398" s="9"/>
      <c r="G23398" s="9"/>
      <c r="J23398" s="11"/>
      <c r="U23398" s="9"/>
      <c r="X23398" s="9"/>
    </row>
    <row r="23399">
      <c r="D23399" s="9"/>
      <c r="G23399" s="9"/>
      <c r="J23399" s="11"/>
      <c r="U23399" s="9"/>
      <c r="X23399" s="9"/>
    </row>
    <row r="23400">
      <c r="D23400" s="9"/>
      <c r="G23400" s="9"/>
      <c r="J23400" s="11"/>
      <c r="U23400" s="9"/>
      <c r="X23400" s="9"/>
    </row>
    <row r="23401">
      <c r="D23401" s="9"/>
      <c r="G23401" s="9"/>
      <c r="J23401" s="11"/>
      <c r="U23401" s="9"/>
      <c r="X23401" s="9"/>
    </row>
    <row r="23402">
      <c r="D23402" s="9"/>
      <c r="G23402" s="9"/>
      <c r="J23402" s="11"/>
      <c r="U23402" s="9"/>
      <c r="X23402" s="9"/>
    </row>
    <row r="23403">
      <c r="D23403" s="9"/>
      <c r="G23403" s="9"/>
      <c r="J23403" s="11"/>
      <c r="U23403" s="9"/>
      <c r="X23403" s="9"/>
    </row>
    <row r="23404">
      <c r="D23404" s="9"/>
      <c r="G23404" s="9"/>
      <c r="J23404" s="11"/>
      <c r="U23404" s="9"/>
      <c r="X23404" s="9"/>
    </row>
    <row r="23405">
      <c r="D23405" s="9"/>
      <c r="G23405" s="9"/>
      <c r="J23405" s="11"/>
      <c r="U23405" s="9"/>
      <c r="X23405" s="9"/>
    </row>
    <row r="23406">
      <c r="D23406" s="9"/>
      <c r="G23406" s="9"/>
      <c r="J23406" s="11"/>
      <c r="U23406" s="9"/>
      <c r="X23406" s="9"/>
    </row>
    <row r="23407">
      <c r="D23407" s="9"/>
      <c r="G23407" s="9"/>
      <c r="J23407" s="11"/>
      <c r="U23407" s="9"/>
      <c r="X23407" s="9"/>
    </row>
    <row r="23408">
      <c r="D23408" s="9"/>
      <c r="G23408" s="9"/>
      <c r="J23408" s="11"/>
      <c r="U23408" s="9"/>
      <c r="X23408" s="9"/>
    </row>
    <row r="23409">
      <c r="D23409" s="9"/>
      <c r="G23409" s="9"/>
      <c r="J23409" s="11"/>
      <c r="U23409" s="9"/>
      <c r="X23409" s="9"/>
    </row>
    <row r="23410">
      <c r="D23410" s="9"/>
      <c r="G23410" s="9"/>
      <c r="J23410" s="11"/>
      <c r="U23410" s="9"/>
      <c r="X23410" s="9"/>
    </row>
    <row r="23411">
      <c r="D23411" s="9"/>
      <c r="G23411" s="9"/>
      <c r="J23411" s="11"/>
      <c r="U23411" s="9"/>
      <c r="X23411" s="9"/>
    </row>
    <row r="23412">
      <c r="D23412" s="9"/>
      <c r="G23412" s="9"/>
      <c r="J23412" s="11"/>
      <c r="U23412" s="9"/>
      <c r="X23412" s="9"/>
    </row>
    <row r="23413">
      <c r="D23413" s="9"/>
      <c r="G23413" s="9"/>
      <c r="J23413" s="11"/>
      <c r="U23413" s="9"/>
      <c r="X23413" s="9"/>
    </row>
    <row r="23414">
      <c r="D23414" s="9"/>
      <c r="G23414" s="9"/>
      <c r="J23414" s="11"/>
      <c r="U23414" s="9"/>
      <c r="X23414" s="9"/>
    </row>
    <row r="23415">
      <c r="D23415" s="9"/>
      <c r="G23415" s="9"/>
      <c r="J23415" s="11"/>
      <c r="U23415" s="9"/>
      <c r="X23415" s="9"/>
    </row>
    <row r="23416">
      <c r="D23416" s="9"/>
      <c r="G23416" s="9"/>
      <c r="J23416" s="11"/>
      <c r="U23416" s="9"/>
      <c r="X23416" s="9"/>
    </row>
    <row r="23417">
      <c r="D23417" s="9"/>
      <c r="G23417" s="9"/>
      <c r="J23417" s="11"/>
      <c r="U23417" s="9"/>
      <c r="X23417" s="9"/>
    </row>
    <row r="23418">
      <c r="D23418" s="9"/>
      <c r="G23418" s="9"/>
      <c r="J23418" s="11"/>
      <c r="U23418" s="9"/>
      <c r="X23418" s="9"/>
    </row>
    <row r="23419">
      <c r="D23419" s="9"/>
      <c r="G23419" s="9"/>
      <c r="J23419" s="11"/>
      <c r="U23419" s="9"/>
      <c r="X23419" s="9"/>
    </row>
    <row r="23420">
      <c r="D23420" s="9"/>
      <c r="G23420" s="9"/>
      <c r="J23420" s="11"/>
      <c r="U23420" s="9"/>
      <c r="X23420" s="9"/>
    </row>
    <row r="23421">
      <c r="D23421" s="9"/>
      <c r="G23421" s="9"/>
      <c r="J23421" s="11"/>
      <c r="U23421" s="9"/>
      <c r="X23421" s="9"/>
    </row>
    <row r="23422">
      <c r="D23422" s="9"/>
      <c r="G23422" s="9"/>
      <c r="J23422" s="11"/>
      <c r="U23422" s="9"/>
      <c r="X23422" s="9"/>
    </row>
    <row r="23423">
      <c r="D23423" s="9"/>
      <c r="G23423" s="9"/>
      <c r="J23423" s="11"/>
      <c r="U23423" s="9"/>
      <c r="X23423" s="9"/>
    </row>
    <row r="23424">
      <c r="D23424" s="9"/>
      <c r="G23424" s="9"/>
      <c r="J23424" s="11"/>
      <c r="U23424" s="9"/>
      <c r="X23424" s="9"/>
    </row>
    <row r="23425">
      <c r="D23425" s="9"/>
      <c r="G23425" s="9"/>
      <c r="J23425" s="11"/>
      <c r="U23425" s="9"/>
      <c r="X23425" s="9"/>
    </row>
    <row r="23426">
      <c r="D23426" s="9"/>
      <c r="G23426" s="9"/>
      <c r="J23426" s="11"/>
      <c r="U23426" s="9"/>
      <c r="X23426" s="9"/>
    </row>
    <row r="23427">
      <c r="D23427" s="9"/>
      <c r="G23427" s="9"/>
      <c r="J23427" s="11"/>
      <c r="U23427" s="9"/>
      <c r="X23427" s="9"/>
    </row>
    <row r="23428">
      <c r="D23428" s="9"/>
      <c r="G23428" s="9"/>
      <c r="J23428" s="11"/>
      <c r="U23428" s="9"/>
      <c r="X23428" s="9"/>
    </row>
    <row r="23429">
      <c r="D23429" s="9"/>
      <c r="G23429" s="9"/>
      <c r="J23429" s="11"/>
      <c r="U23429" s="9"/>
      <c r="X23429" s="9"/>
    </row>
    <row r="23430">
      <c r="D23430" s="9"/>
      <c r="G23430" s="9"/>
      <c r="J23430" s="11"/>
      <c r="U23430" s="9"/>
      <c r="X23430" s="9"/>
    </row>
    <row r="23431">
      <c r="D23431" s="9"/>
      <c r="G23431" s="9"/>
      <c r="J23431" s="11"/>
      <c r="U23431" s="9"/>
      <c r="X23431" s="9"/>
    </row>
    <row r="23432">
      <c r="D23432" s="9"/>
      <c r="G23432" s="9"/>
      <c r="J23432" s="11"/>
      <c r="U23432" s="9"/>
      <c r="X23432" s="9"/>
    </row>
    <row r="23433">
      <c r="D23433" s="9"/>
      <c r="G23433" s="9"/>
      <c r="J23433" s="11"/>
      <c r="U23433" s="9"/>
      <c r="X23433" s="9"/>
    </row>
    <row r="23434">
      <c r="D23434" s="9"/>
      <c r="G23434" s="9"/>
      <c r="J23434" s="11"/>
      <c r="U23434" s="9"/>
      <c r="X23434" s="9"/>
    </row>
    <row r="23435">
      <c r="D23435" s="9"/>
      <c r="G23435" s="9"/>
      <c r="J23435" s="11"/>
      <c r="U23435" s="9"/>
      <c r="X23435" s="9"/>
    </row>
    <row r="23436">
      <c r="D23436" s="9"/>
      <c r="G23436" s="9"/>
      <c r="J23436" s="11"/>
      <c r="U23436" s="9"/>
      <c r="X23436" s="9"/>
    </row>
    <row r="23437">
      <c r="D23437" s="9"/>
      <c r="G23437" s="9"/>
      <c r="J23437" s="11"/>
      <c r="U23437" s="9"/>
      <c r="X23437" s="9"/>
    </row>
    <row r="23438">
      <c r="D23438" s="9"/>
      <c r="G23438" s="9"/>
      <c r="J23438" s="11"/>
      <c r="U23438" s="9"/>
      <c r="X23438" s="9"/>
    </row>
    <row r="23439">
      <c r="D23439" s="9"/>
      <c r="G23439" s="9"/>
      <c r="J23439" s="11"/>
      <c r="U23439" s="9"/>
      <c r="X23439" s="9"/>
    </row>
    <row r="23440">
      <c r="D23440" s="9"/>
      <c r="G23440" s="9"/>
      <c r="J23440" s="11"/>
      <c r="U23440" s="9"/>
      <c r="X23440" s="9"/>
    </row>
    <row r="23441">
      <c r="D23441" s="9"/>
      <c r="G23441" s="9"/>
      <c r="J23441" s="11"/>
      <c r="U23441" s="9"/>
      <c r="X23441" s="9"/>
    </row>
    <row r="23442">
      <c r="D23442" s="9"/>
      <c r="G23442" s="9"/>
      <c r="J23442" s="11"/>
      <c r="U23442" s="9"/>
      <c r="X23442" s="9"/>
    </row>
    <row r="23443">
      <c r="D23443" s="9"/>
      <c r="G23443" s="9"/>
      <c r="J23443" s="11"/>
      <c r="U23443" s="9"/>
      <c r="X23443" s="9"/>
    </row>
    <row r="23444">
      <c r="D23444" s="9"/>
      <c r="G23444" s="9"/>
      <c r="J23444" s="11"/>
      <c r="U23444" s="9"/>
      <c r="X23444" s="9"/>
    </row>
    <row r="23445">
      <c r="D23445" s="9"/>
      <c r="G23445" s="9"/>
      <c r="J23445" s="11"/>
      <c r="U23445" s="9"/>
      <c r="X23445" s="9"/>
    </row>
    <row r="23446">
      <c r="D23446" s="9"/>
      <c r="G23446" s="9"/>
      <c r="J23446" s="11"/>
      <c r="U23446" s="9"/>
      <c r="X23446" s="9"/>
    </row>
    <row r="23447">
      <c r="D23447" s="9"/>
      <c r="G23447" s="9"/>
      <c r="J23447" s="11"/>
      <c r="U23447" s="9"/>
      <c r="X23447" s="9"/>
    </row>
    <row r="23448">
      <c r="D23448" s="9"/>
      <c r="G23448" s="9"/>
      <c r="J23448" s="11"/>
      <c r="U23448" s="9"/>
      <c r="X23448" s="9"/>
    </row>
    <row r="23449">
      <c r="D23449" s="9"/>
      <c r="G23449" s="9"/>
      <c r="J23449" s="11"/>
      <c r="U23449" s="9"/>
      <c r="X23449" s="9"/>
    </row>
    <row r="23450">
      <c r="D23450" s="9"/>
      <c r="G23450" s="9"/>
      <c r="J23450" s="11"/>
      <c r="U23450" s="9"/>
      <c r="X23450" s="9"/>
    </row>
    <row r="23451">
      <c r="D23451" s="9"/>
      <c r="G23451" s="9"/>
      <c r="J23451" s="11"/>
      <c r="U23451" s="9"/>
      <c r="X23451" s="9"/>
    </row>
    <row r="23452">
      <c r="D23452" s="9"/>
      <c r="G23452" s="9"/>
      <c r="J23452" s="11"/>
      <c r="U23452" s="9"/>
      <c r="X23452" s="9"/>
    </row>
    <row r="23453">
      <c r="D23453" s="9"/>
      <c r="G23453" s="9"/>
      <c r="J23453" s="11"/>
      <c r="U23453" s="9"/>
      <c r="X23453" s="9"/>
    </row>
    <row r="23454">
      <c r="D23454" s="9"/>
      <c r="G23454" s="9"/>
      <c r="J23454" s="11"/>
      <c r="U23454" s="9"/>
      <c r="X23454" s="9"/>
    </row>
    <row r="23455">
      <c r="D23455" s="9"/>
      <c r="G23455" s="9"/>
      <c r="J23455" s="11"/>
      <c r="U23455" s="9"/>
      <c r="X23455" s="9"/>
    </row>
    <row r="23456">
      <c r="D23456" s="9"/>
      <c r="G23456" s="9"/>
      <c r="J23456" s="11"/>
      <c r="U23456" s="9"/>
      <c r="X23456" s="9"/>
    </row>
    <row r="23457">
      <c r="D23457" s="9"/>
      <c r="G23457" s="9"/>
      <c r="J23457" s="11"/>
      <c r="U23457" s="9"/>
      <c r="X23457" s="9"/>
    </row>
    <row r="23458">
      <c r="D23458" s="9"/>
      <c r="G23458" s="9"/>
      <c r="J23458" s="11"/>
      <c r="U23458" s="9"/>
      <c r="X23458" s="9"/>
    </row>
    <row r="23459">
      <c r="D23459" s="9"/>
      <c r="G23459" s="9"/>
      <c r="J23459" s="11"/>
      <c r="U23459" s="9"/>
      <c r="X23459" s="9"/>
    </row>
    <row r="23460">
      <c r="D23460" s="9"/>
      <c r="G23460" s="9"/>
      <c r="J23460" s="11"/>
      <c r="U23460" s="9"/>
      <c r="X23460" s="9"/>
    </row>
    <row r="23461">
      <c r="D23461" s="9"/>
      <c r="G23461" s="9"/>
      <c r="J23461" s="11"/>
      <c r="U23461" s="9"/>
      <c r="X23461" s="9"/>
    </row>
    <row r="23462">
      <c r="D23462" s="9"/>
      <c r="G23462" s="9"/>
      <c r="J23462" s="11"/>
      <c r="U23462" s="9"/>
      <c r="X23462" s="9"/>
    </row>
    <row r="23463">
      <c r="D23463" s="9"/>
      <c r="G23463" s="9"/>
      <c r="J23463" s="11"/>
      <c r="U23463" s="9"/>
      <c r="X23463" s="9"/>
    </row>
    <row r="23464">
      <c r="D23464" s="9"/>
      <c r="G23464" s="9"/>
      <c r="J23464" s="11"/>
      <c r="U23464" s="9"/>
      <c r="X23464" s="9"/>
    </row>
    <row r="23465">
      <c r="D23465" s="9"/>
      <c r="G23465" s="9"/>
      <c r="J23465" s="11"/>
      <c r="U23465" s="9"/>
      <c r="X23465" s="9"/>
    </row>
    <row r="23466">
      <c r="D23466" s="9"/>
      <c r="G23466" s="9"/>
      <c r="J23466" s="11"/>
      <c r="U23466" s="9"/>
      <c r="X23466" s="9"/>
    </row>
    <row r="23467">
      <c r="D23467" s="9"/>
      <c r="G23467" s="9"/>
      <c r="J23467" s="11"/>
      <c r="U23467" s="9"/>
      <c r="X23467" s="9"/>
    </row>
    <row r="23468">
      <c r="D23468" s="9"/>
      <c r="G23468" s="9"/>
      <c r="J23468" s="11"/>
      <c r="U23468" s="9"/>
      <c r="X23468" s="9"/>
    </row>
    <row r="23469">
      <c r="D23469" s="9"/>
      <c r="G23469" s="9"/>
      <c r="J23469" s="11"/>
      <c r="U23469" s="9"/>
      <c r="X23469" s="9"/>
    </row>
    <row r="23470">
      <c r="D23470" s="9"/>
      <c r="G23470" s="9"/>
      <c r="J23470" s="11"/>
      <c r="U23470" s="9"/>
      <c r="X23470" s="9"/>
    </row>
    <row r="23471">
      <c r="D23471" s="9"/>
      <c r="G23471" s="9"/>
      <c r="J23471" s="11"/>
      <c r="U23471" s="9"/>
      <c r="X23471" s="9"/>
    </row>
    <row r="23472">
      <c r="D23472" s="9"/>
      <c r="G23472" s="9"/>
      <c r="J23472" s="11"/>
      <c r="U23472" s="9"/>
      <c r="X23472" s="9"/>
    </row>
    <row r="23473">
      <c r="D23473" s="9"/>
      <c r="G23473" s="9"/>
      <c r="J23473" s="11"/>
      <c r="U23473" s="9"/>
      <c r="X23473" s="9"/>
    </row>
    <row r="23474">
      <c r="D23474" s="9"/>
      <c r="G23474" s="9"/>
      <c r="J23474" s="11"/>
      <c r="U23474" s="9"/>
      <c r="X23474" s="9"/>
    </row>
    <row r="23475">
      <c r="D23475" s="9"/>
      <c r="G23475" s="9"/>
      <c r="J23475" s="11"/>
      <c r="U23475" s="9"/>
      <c r="X23475" s="9"/>
    </row>
    <row r="23476">
      <c r="D23476" s="9"/>
      <c r="G23476" s="9"/>
      <c r="J23476" s="11"/>
      <c r="U23476" s="9"/>
      <c r="X23476" s="9"/>
    </row>
    <row r="23477">
      <c r="D23477" s="9"/>
      <c r="G23477" s="9"/>
      <c r="J23477" s="11"/>
      <c r="U23477" s="9"/>
      <c r="X23477" s="9"/>
    </row>
    <row r="23478">
      <c r="D23478" s="9"/>
      <c r="G23478" s="9"/>
      <c r="J23478" s="11"/>
      <c r="U23478" s="9"/>
      <c r="X23478" s="9"/>
    </row>
    <row r="23479">
      <c r="D23479" s="9"/>
      <c r="G23479" s="9"/>
      <c r="J23479" s="11"/>
      <c r="U23479" s="9"/>
      <c r="X23479" s="9"/>
    </row>
    <row r="23480">
      <c r="D23480" s="9"/>
      <c r="G23480" s="9"/>
      <c r="J23480" s="11"/>
      <c r="U23480" s="9"/>
      <c r="X23480" s="9"/>
    </row>
    <row r="23481">
      <c r="D23481" s="9"/>
      <c r="G23481" s="9"/>
      <c r="J23481" s="11"/>
      <c r="U23481" s="9"/>
      <c r="X23481" s="9"/>
    </row>
    <row r="23482">
      <c r="D23482" s="9"/>
      <c r="G23482" s="9"/>
      <c r="J23482" s="11"/>
      <c r="U23482" s="9"/>
      <c r="X23482" s="9"/>
    </row>
    <row r="23483">
      <c r="D23483" s="9"/>
      <c r="G23483" s="9"/>
      <c r="J23483" s="11"/>
      <c r="U23483" s="9"/>
      <c r="X23483" s="9"/>
    </row>
    <row r="23484">
      <c r="D23484" s="9"/>
      <c r="G23484" s="9"/>
      <c r="J23484" s="11"/>
      <c r="U23484" s="9"/>
      <c r="X23484" s="9"/>
    </row>
    <row r="23485">
      <c r="D23485" s="9"/>
      <c r="G23485" s="9"/>
      <c r="J23485" s="11"/>
      <c r="U23485" s="9"/>
      <c r="X23485" s="9"/>
    </row>
    <row r="23486">
      <c r="D23486" s="9"/>
      <c r="G23486" s="9"/>
      <c r="J23486" s="11"/>
      <c r="U23486" s="9"/>
      <c r="X23486" s="9"/>
    </row>
    <row r="23487">
      <c r="D23487" s="9"/>
      <c r="G23487" s="9"/>
      <c r="J23487" s="11"/>
      <c r="U23487" s="9"/>
      <c r="X23487" s="9"/>
    </row>
    <row r="23488">
      <c r="D23488" s="9"/>
      <c r="G23488" s="9"/>
      <c r="J23488" s="11"/>
      <c r="U23488" s="9"/>
      <c r="X23488" s="9"/>
    </row>
    <row r="23489">
      <c r="D23489" s="9"/>
      <c r="G23489" s="9"/>
      <c r="J23489" s="11"/>
      <c r="U23489" s="9"/>
      <c r="X23489" s="9"/>
    </row>
    <row r="23490">
      <c r="D23490" s="9"/>
      <c r="G23490" s="9"/>
      <c r="J23490" s="11"/>
      <c r="U23490" s="9"/>
      <c r="X23490" s="9"/>
    </row>
    <row r="23491">
      <c r="D23491" s="9"/>
      <c r="G23491" s="9"/>
      <c r="J23491" s="11"/>
      <c r="U23491" s="9"/>
      <c r="X23491" s="9"/>
    </row>
    <row r="23492">
      <c r="D23492" s="9"/>
      <c r="G23492" s="9"/>
      <c r="J23492" s="11"/>
      <c r="U23492" s="9"/>
      <c r="X23492" s="9"/>
    </row>
    <row r="23493">
      <c r="D23493" s="9"/>
      <c r="G23493" s="9"/>
      <c r="J23493" s="11"/>
      <c r="U23493" s="9"/>
      <c r="X23493" s="9"/>
    </row>
    <row r="23494">
      <c r="D23494" s="9"/>
      <c r="G23494" s="9"/>
      <c r="J23494" s="11"/>
      <c r="U23494" s="9"/>
      <c r="X23494" s="9"/>
    </row>
    <row r="23495">
      <c r="D23495" s="9"/>
      <c r="G23495" s="9"/>
      <c r="J23495" s="11"/>
      <c r="U23495" s="9"/>
      <c r="X23495" s="9"/>
    </row>
    <row r="23496">
      <c r="D23496" s="9"/>
      <c r="G23496" s="9"/>
      <c r="J23496" s="11"/>
      <c r="U23496" s="9"/>
      <c r="X23496" s="9"/>
    </row>
    <row r="23497">
      <c r="D23497" s="9"/>
      <c r="G23497" s="9"/>
      <c r="J23497" s="11"/>
      <c r="U23497" s="9"/>
      <c r="X23497" s="9"/>
    </row>
    <row r="23498">
      <c r="D23498" s="9"/>
      <c r="G23498" s="9"/>
      <c r="J23498" s="11"/>
      <c r="U23498" s="9"/>
      <c r="X23498" s="9"/>
    </row>
    <row r="23499">
      <c r="D23499" s="9"/>
      <c r="G23499" s="9"/>
      <c r="J23499" s="11"/>
      <c r="U23499" s="9"/>
      <c r="X23499" s="9"/>
    </row>
    <row r="23500">
      <c r="D23500" s="9"/>
      <c r="G23500" s="9"/>
      <c r="J23500" s="11"/>
      <c r="U23500" s="9"/>
      <c r="X23500" s="9"/>
    </row>
    <row r="23501">
      <c r="D23501" s="9"/>
      <c r="G23501" s="9"/>
      <c r="J23501" s="11"/>
      <c r="U23501" s="9"/>
      <c r="X23501" s="9"/>
    </row>
    <row r="23502">
      <c r="D23502" s="9"/>
      <c r="G23502" s="9"/>
      <c r="J23502" s="11"/>
      <c r="U23502" s="9"/>
      <c r="X23502" s="9"/>
    </row>
    <row r="23503">
      <c r="D23503" s="9"/>
      <c r="G23503" s="9"/>
      <c r="J23503" s="11"/>
      <c r="U23503" s="9"/>
      <c r="X23503" s="9"/>
    </row>
    <row r="23504">
      <c r="D23504" s="9"/>
      <c r="G23504" s="9"/>
      <c r="J23504" s="11"/>
      <c r="U23504" s="9"/>
      <c r="X23504" s="9"/>
    </row>
    <row r="23505">
      <c r="D23505" s="9"/>
      <c r="G23505" s="9"/>
      <c r="J23505" s="11"/>
      <c r="U23505" s="9"/>
      <c r="X23505" s="9"/>
    </row>
    <row r="23506">
      <c r="D23506" s="9"/>
      <c r="G23506" s="9"/>
      <c r="J23506" s="11"/>
      <c r="U23506" s="9"/>
      <c r="X23506" s="9"/>
    </row>
    <row r="23507">
      <c r="D23507" s="9"/>
      <c r="G23507" s="9"/>
      <c r="J23507" s="11"/>
      <c r="U23507" s="9"/>
      <c r="X23507" s="9"/>
    </row>
    <row r="23508">
      <c r="D23508" s="9"/>
      <c r="G23508" s="9"/>
      <c r="J23508" s="11"/>
      <c r="U23508" s="9"/>
      <c r="X23508" s="9"/>
    </row>
    <row r="23509">
      <c r="D23509" s="9"/>
      <c r="G23509" s="9"/>
      <c r="J23509" s="11"/>
      <c r="U23509" s="9"/>
      <c r="X23509" s="9"/>
    </row>
    <row r="23510">
      <c r="D23510" s="9"/>
      <c r="G23510" s="9"/>
      <c r="J23510" s="11"/>
      <c r="U23510" s="9"/>
      <c r="X23510" s="9"/>
    </row>
    <row r="23511">
      <c r="D23511" s="9"/>
      <c r="G23511" s="9"/>
      <c r="J23511" s="11"/>
      <c r="U23511" s="9"/>
      <c r="X23511" s="9"/>
    </row>
    <row r="23512">
      <c r="D23512" s="9"/>
      <c r="G23512" s="9"/>
      <c r="J23512" s="11"/>
      <c r="U23512" s="9"/>
      <c r="X23512" s="9"/>
    </row>
    <row r="23513">
      <c r="D23513" s="9"/>
      <c r="G23513" s="9"/>
      <c r="J23513" s="11"/>
      <c r="U23513" s="9"/>
      <c r="X23513" s="9"/>
    </row>
    <row r="23514">
      <c r="D23514" s="9"/>
      <c r="G23514" s="9"/>
      <c r="J23514" s="11"/>
      <c r="U23514" s="9"/>
      <c r="X23514" s="9"/>
    </row>
    <row r="23515">
      <c r="D23515" s="9"/>
      <c r="G23515" s="9"/>
      <c r="J23515" s="11"/>
      <c r="U23515" s="9"/>
      <c r="X23515" s="9"/>
    </row>
    <row r="23516">
      <c r="D23516" s="9"/>
      <c r="G23516" s="9"/>
      <c r="J23516" s="11"/>
      <c r="U23516" s="9"/>
      <c r="X23516" s="9"/>
    </row>
    <row r="23517">
      <c r="D23517" s="9"/>
      <c r="G23517" s="9"/>
      <c r="J23517" s="11"/>
      <c r="U23517" s="9"/>
      <c r="X23517" s="9"/>
    </row>
    <row r="23518">
      <c r="D23518" s="9"/>
      <c r="G23518" s="9"/>
      <c r="J23518" s="11"/>
      <c r="U23518" s="9"/>
      <c r="X23518" s="9"/>
    </row>
    <row r="23519">
      <c r="D23519" s="9"/>
      <c r="G23519" s="9"/>
      <c r="J23519" s="11"/>
      <c r="U23519" s="9"/>
      <c r="X23519" s="9"/>
    </row>
    <row r="23520">
      <c r="D23520" s="9"/>
      <c r="G23520" s="9"/>
      <c r="J23520" s="11"/>
      <c r="U23520" s="9"/>
      <c r="X23520" s="9"/>
    </row>
    <row r="23521">
      <c r="D23521" s="9"/>
      <c r="G23521" s="9"/>
      <c r="J23521" s="11"/>
      <c r="U23521" s="9"/>
      <c r="X23521" s="9"/>
    </row>
    <row r="23522">
      <c r="D23522" s="9"/>
      <c r="G23522" s="9"/>
      <c r="J23522" s="11"/>
      <c r="U23522" s="9"/>
      <c r="X23522" s="9"/>
    </row>
    <row r="23523">
      <c r="D23523" s="9"/>
      <c r="G23523" s="9"/>
      <c r="J23523" s="11"/>
      <c r="U23523" s="9"/>
      <c r="X23523" s="9"/>
    </row>
    <row r="23524">
      <c r="D23524" s="9"/>
      <c r="G23524" s="9"/>
      <c r="J23524" s="11"/>
      <c r="U23524" s="9"/>
      <c r="X23524" s="9"/>
    </row>
    <row r="23525">
      <c r="D23525" s="9"/>
      <c r="G23525" s="9"/>
      <c r="J23525" s="11"/>
      <c r="U23525" s="9"/>
      <c r="X23525" s="9"/>
    </row>
    <row r="23526">
      <c r="D23526" s="9"/>
      <c r="G23526" s="9"/>
      <c r="J23526" s="11"/>
      <c r="U23526" s="9"/>
      <c r="X23526" s="9"/>
    </row>
    <row r="23527">
      <c r="D23527" s="9"/>
      <c r="G23527" s="9"/>
      <c r="J23527" s="11"/>
      <c r="U23527" s="9"/>
      <c r="X23527" s="9"/>
    </row>
    <row r="23528">
      <c r="D23528" s="9"/>
      <c r="G23528" s="9"/>
      <c r="J23528" s="11"/>
      <c r="U23528" s="9"/>
      <c r="X23528" s="9"/>
    </row>
    <row r="23529">
      <c r="D23529" s="9"/>
      <c r="G23529" s="9"/>
      <c r="J23529" s="11"/>
      <c r="U23529" s="9"/>
      <c r="X23529" s="9"/>
    </row>
    <row r="23530">
      <c r="D23530" s="9"/>
      <c r="G23530" s="9"/>
      <c r="J23530" s="11"/>
      <c r="U23530" s="9"/>
      <c r="X23530" s="9"/>
    </row>
    <row r="23531">
      <c r="D23531" s="9"/>
      <c r="G23531" s="9"/>
      <c r="J23531" s="11"/>
      <c r="U23531" s="9"/>
      <c r="X23531" s="9"/>
    </row>
    <row r="23532">
      <c r="D23532" s="9"/>
      <c r="G23532" s="9"/>
      <c r="J23532" s="11"/>
      <c r="U23532" s="9"/>
      <c r="X23532" s="9"/>
    </row>
    <row r="23533">
      <c r="D23533" s="9"/>
      <c r="G23533" s="9"/>
      <c r="J23533" s="11"/>
      <c r="U23533" s="9"/>
      <c r="X23533" s="9"/>
    </row>
    <row r="23534">
      <c r="D23534" s="9"/>
      <c r="G23534" s="9"/>
      <c r="J23534" s="11"/>
      <c r="U23534" s="9"/>
      <c r="X23534" s="9"/>
    </row>
    <row r="23535">
      <c r="D23535" s="9"/>
      <c r="G23535" s="9"/>
      <c r="J23535" s="11"/>
      <c r="U23535" s="9"/>
      <c r="X23535" s="9"/>
    </row>
    <row r="23536">
      <c r="D23536" s="9"/>
      <c r="G23536" s="9"/>
      <c r="J23536" s="11"/>
      <c r="U23536" s="9"/>
      <c r="X23536" s="9"/>
    </row>
    <row r="23537">
      <c r="D23537" s="9"/>
      <c r="G23537" s="9"/>
      <c r="J23537" s="11"/>
      <c r="U23537" s="9"/>
      <c r="X23537" s="9"/>
    </row>
    <row r="23538">
      <c r="D23538" s="9"/>
      <c r="G23538" s="9"/>
      <c r="J23538" s="11"/>
      <c r="U23538" s="9"/>
      <c r="X23538" s="9"/>
    </row>
    <row r="23539">
      <c r="D23539" s="9"/>
      <c r="G23539" s="9"/>
      <c r="J23539" s="11"/>
      <c r="U23539" s="9"/>
      <c r="X23539" s="9"/>
    </row>
    <row r="23540">
      <c r="D23540" s="9"/>
      <c r="G23540" s="9"/>
      <c r="J23540" s="11"/>
      <c r="U23540" s="9"/>
      <c r="X23540" s="9"/>
    </row>
    <row r="23541">
      <c r="D23541" s="9"/>
      <c r="G23541" s="9"/>
      <c r="J23541" s="11"/>
      <c r="U23541" s="9"/>
      <c r="X23541" s="9"/>
    </row>
    <row r="23542">
      <c r="D23542" s="9"/>
      <c r="G23542" s="9"/>
      <c r="J23542" s="11"/>
      <c r="U23542" s="9"/>
      <c r="X23542" s="9"/>
    </row>
    <row r="23543">
      <c r="D23543" s="9"/>
      <c r="G23543" s="9"/>
      <c r="J23543" s="11"/>
      <c r="U23543" s="9"/>
      <c r="X23543" s="9"/>
    </row>
    <row r="23544">
      <c r="D23544" s="9"/>
      <c r="G23544" s="9"/>
      <c r="J23544" s="11"/>
      <c r="U23544" s="9"/>
      <c r="X23544" s="9"/>
    </row>
    <row r="23545">
      <c r="D23545" s="9"/>
      <c r="G23545" s="9"/>
      <c r="J23545" s="11"/>
      <c r="U23545" s="9"/>
      <c r="X23545" s="9"/>
    </row>
    <row r="23546">
      <c r="D23546" s="9"/>
      <c r="G23546" s="9"/>
      <c r="J23546" s="11"/>
      <c r="U23546" s="9"/>
      <c r="X23546" s="9"/>
    </row>
    <row r="23547">
      <c r="D23547" s="9"/>
      <c r="G23547" s="9"/>
      <c r="J23547" s="11"/>
      <c r="U23547" s="9"/>
      <c r="X23547" s="9"/>
    </row>
    <row r="23548">
      <c r="D23548" s="9"/>
      <c r="G23548" s="9"/>
      <c r="J23548" s="11"/>
      <c r="U23548" s="9"/>
      <c r="X23548" s="9"/>
    </row>
    <row r="23549">
      <c r="D23549" s="9"/>
      <c r="G23549" s="9"/>
      <c r="J23549" s="11"/>
      <c r="U23549" s="9"/>
      <c r="X23549" s="9"/>
    </row>
    <row r="23550">
      <c r="D23550" s="9"/>
      <c r="G23550" s="9"/>
      <c r="J23550" s="11"/>
      <c r="U23550" s="9"/>
      <c r="X23550" s="9"/>
    </row>
    <row r="23551">
      <c r="D23551" s="9"/>
      <c r="G23551" s="9"/>
      <c r="J23551" s="11"/>
      <c r="U23551" s="9"/>
      <c r="X23551" s="9"/>
    </row>
    <row r="23552">
      <c r="D23552" s="9"/>
      <c r="G23552" s="9"/>
      <c r="J23552" s="11"/>
      <c r="U23552" s="9"/>
      <c r="X23552" s="9"/>
    </row>
    <row r="23553">
      <c r="D23553" s="9"/>
      <c r="G23553" s="9"/>
      <c r="J23553" s="11"/>
      <c r="U23553" s="9"/>
      <c r="X23553" s="9"/>
    </row>
    <row r="23554">
      <c r="D23554" s="9"/>
      <c r="G23554" s="9"/>
      <c r="J23554" s="11"/>
      <c r="U23554" s="9"/>
      <c r="X23554" s="9"/>
    </row>
    <row r="23555">
      <c r="D23555" s="9"/>
      <c r="G23555" s="9"/>
      <c r="J23555" s="11"/>
      <c r="U23555" s="9"/>
      <c r="X23555" s="9"/>
    </row>
    <row r="23556">
      <c r="D23556" s="9"/>
      <c r="G23556" s="9"/>
      <c r="J23556" s="11"/>
      <c r="U23556" s="9"/>
      <c r="X23556" s="9"/>
    </row>
    <row r="23557">
      <c r="D23557" s="9"/>
      <c r="G23557" s="9"/>
      <c r="J23557" s="11"/>
      <c r="U23557" s="9"/>
      <c r="X23557" s="9"/>
    </row>
    <row r="23558">
      <c r="D23558" s="9"/>
      <c r="G23558" s="9"/>
      <c r="J23558" s="11"/>
      <c r="U23558" s="9"/>
      <c r="X23558" s="9"/>
    </row>
    <row r="23559">
      <c r="D23559" s="9"/>
      <c r="G23559" s="9"/>
      <c r="J23559" s="11"/>
      <c r="U23559" s="9"/>
      <c r="X23559" s="9"/>
    </row>
    <row r="23560">
      <c r="D23560" s="9"/>
      <c r="G23560" s="9"/>
      <c r="J23560" s="11"/>
      <c r="U23560" s="9"/>
      <c r="X23560" s="9"/>
    </row>
    <row r="23561">
      <c r="D23561" s="9"/>
      <c r="G23561" s="9"/>
      <c r="J23561" s="11"/>
      <c r="U23561" s="9"/>
      <c r="X23561" s="9"/>
    </row>
    <row r="23562">
      <c r="D23562" s="9"/>
      <c r="G23562" s="9"/>
      <c r="J23562" s="11"/>
      <c r="U23562" s="9"/>
      <c r="X23562" s="9"/>
    </row>
    <row r="23563">
      <c r="D23563" s="9"/>
      <c r="G23563" s="9"/>
      <c r="J23563" s="11"/>
      <c r="U23563" s="9"/>
      <c r="X23563" s="9"/>
    </row>
    <row r="23564">
      <c r="D23564" s="9"/>
      <c r="G23564" s="9"/>
      <c r="J23564" s="11"/>
      <c r="U23564" s="9"/>
      <c r="X23564" s="9"/>
    </row>
    <row r="23565">
      <c r="D23565" s="9"/>
      <c r="G23565" s="9"/>
      <c r="J23565" s="11"/>
      <c r="U23565" s="9"/>
      <c r="X23565" s="9"/>
    </row>
    <row r="23566">
      <c r="D23566" s="9"/>
      <c r="G23566" s="9"/>
      <c r="J23566" s="11"/>
      <c r="U23566" s="9"/>
      <c r="X23566" s="9"/>
    </row>
    <row r="23567">
      <c r="D23567" s="9"/>
      <c r="G23567" s="9"/>
      <c r="J23567" s="11"/>
      <c r="U23567" s="9"/>
      <c r="X23567" s="9"/>
    </row>
    <row r="23568">
      <c r="D23568" s="9"/>
      <c r="G23568" s="9"/>
      <c r="J23568" s="11"/>
      <c r="U23568" s="9"/>
      <c r="X23568" s="9"/>
    </row>
    <row r="23569">
      <c r="D23569" s="9"/>
      <c r="G23569" s="9"/>
      <c r="J23569" s="11"/>
      <c r="U23569" s="9"/>
      <c r="X23569" s="9"/>
    </row>
    <row r="23570">
      <c r="D23570" s="9"/>
      <c r="G23570" s="9"/>
      <c r="J23570" s="11"/>
      <c r="U23570" s="9"/>
      <c r="X23570" s="9"/>
    </row>
    <row r="23571">
      <c r="D23571" s="9"/>
      <c r="G23571" s="9"/>
      <c r="J23571" s="11"/>
      <c r="U23571" s="9"/>
      <c r="X23571" s="9"/>
    </row>
    <row r="23572">
      <c r="D23572" s="9"/>
      <c r="G23572" s="9"/>
      <c r="J23572" s="11"/>
      <c r="U23572" s="9"/>
      <c r="X23572" s="9"/>
    </row>
    <row r="23573">
      <c r="D23573" s="9"/>
      <c r="G23573" s="9"/>
      <c r="J23573" s="11"/>
      <c r="U23573" s="9"/>
      <c r="X23573" s="9"/>
    </row>
    <row r="23574">
      <c r="D23574" s="9"/>
      <c r="G23574" s="9"/>
      <c r="J23574" s="11"/>
      <c r="U23574" s="9"/>
      <c r="X23574" s="9"/>
    </row>
    <row r="23575">
      <c r="D23575" s="9"/>
      <c r="G23575" s="9"/>
      <c r="J23575" s="11"/>
      <c r="U23575" s="9"/>
      <c r="X23575" s="9"/>
    </row>
    <row r="23576">
      <c r="D23576" s="9"/>
      <c r="G23576" s="9"/>
      <c r="J23576" s="11"/>
      <c r="U23576" s="9"/>
      <c r="X23576" s="9"/>
    </row>
    <row r="23577">
      <c r="D23577" s="9"/>
      <c r="G23577" s="9"/>
      <c r="J23577" s="11"/>
      <c r="U23577" s="9"/>
      <c r="X23577" s="9"/>
    </row>
    <row r="23578">
      <c r="D23578" s="9"/>
      <c r="G23578" s="9"/>
      <c r="J23578" s="11"/>
      <c r="U23578" s="9"/>
      <c r="X23578" s="9"/>
    </row>
    <row r="23579">
      <c r="D23579" s="9"/>
      <c r="G23579" s="9"/>
      <c r="J23579" s="11"/>
      <c r="U23579" s="9"/>
      <c r="X23579" s="9"/>
    </row>
    <row r="23580">
      <c r="D23580" s="9"/>
      <c r="G23580" s="9"/>
      <c r="J23580" s="11"/>
      <c r="U23580" s="9"/>
      <c r="X23580" s="9"/>
    </row>
    <row r="23581">
      <c r="D23581" s="9"/>
      <c r="G23581" s="9"/>
      <c r="J23581" s="11"/>
      <c r="U23581" s="9"/>
      <c r="X23581" s="9"/>
    </row>
    <row r="23582">
      <c r="D23582" s="9"/>
      <c r="G23582" s="9"/>
      <c r="J23582" s="11"/>
      <c r="U23582" s="9"/>
      <c r="X23582" s="9"/>
    </row>
    <row r="23583">
      <c r="D23583" s="9"/>
      <c r="G23583" s="9"/>
      <c r="J23583" s="11"/>
      <c r="U23583" s="9"/>
      <c r="X23583" s="9"/>
    </row>
    <row r="23584">
      <c r="D23584" s="9"/>
      <c r="G23584" s="9"/>
      <c r="J23584" s="11"/>
      <c r="U23584" s="9"/>
      <c r="X23584" s="9"/>
    </row>
    <row r="23585">
      <c r="D23585" s="9"/>
      <c r="G23585" s="9"/>
      <c r="J23585" s="11"/>
      <c r="U23585" s="9"/>
      <c r="X23585" s="9"/>
    </row>
    <row r="23586">
      <c r="D23586" s="9"/>
      <c r="G23586" s="9"/>
      <c r="J23586" s="11"/>
      <c r="U23586" s="9"/>
      <c r="X23586" s="9"/>
    </row>
    <row r="23587">
      <c r="D23587" s="9"/>
      <c r="G23587" s="9"/>
      <c r="J23587" s="11"/>
      <c r="U23587" s="9"/>
      <c r="X23587" s="9"/>
    </row>
    <row r="23588">
      <c r="D23588" s="9"/>
      <c r="G23588" s="9"/>
      <c r="J23588" s="11"/>
      <c r="U23588" s="9"/>
      <c r="X23588" s="9"/>
    </row>
    <row r="23589">
      <c r="D23589" s="9"/>
      <c r="G23589" s="9"/>
      <c r="J23589" s="11"/>
      <c r="U23589" s="9"/>
      <c r="X23589" s="9"/>
    </row>
    <row r="23590">
      <c r="D23590" s="9"/>
      <c r="G23590" s="9"/>
      <c r="J23590" s="11"/>
      <c r="U23590" s="9"/>
      <c r="X23590" s="9"/>
    </row>
    <row r="23591">
      <c r="D23591" s="9"/>
      <c r="G23591" s="9"/>
      <c r="J23591" s="11"/>
      <c r="U23591" s="9"/>
      <c r="X23591" s="9"/>
    </row>
    <row r="23592">
      <c r="D23592" s="9"/>
      <c r="G23592" s="9"/>
      <c r="J23592" s="11"/>
      <c r="U23592" s="9"/>
      <c r="X23592" s="9"/>
    </row>
    <row r="23593">
      <c r="D23593" s="9"/>
      <c r="G23593" s="9"/>
      <c r="J23593" s="11"/>
      <c r="U23593" s="9"/>
      <c r="X23593" s="9"/>
    </row>
    <row r="23594">
      <c r="D23594" s="9"/>
      <c r="G23594" s="9"/>
      <c r="J23594" s="11"/>
      <c r="U23594" s="9"/>
      <c r="X23594" s="9"/>
    </row>
    <row r="23595">
      <c r="D23595" s="9"/>
      <c r="G23595" s="9"/>
      <c r="J23595" s="11"/>
      <c r="U23595" s="9"/>
      <c r="X23595" s="9"/>
    </row>
    <row r="23596">
      <c r="D23596" s="9"/>
      <c r="G23596" s="9"/>
      <c r="J23596" s="11"/>
      <c r="U23596" s="9"/>
      <c r="X23596" s="9"/>
    </row>
    <row r="23597">
      <c r="D23597" s="9"/>
      <c r="G23597" s="9"/>
      <c r="J23597" s="11"/>
      <c r="U23597" s="9"/>
      <c r="X23597" s="9"/>
    </row>
    <row r="23598">
      <c r="D23598" s="9"/>
      <c r="G23598" s="9"/>
      <c r="J23598" s="11"/>
      <c r="U23598" s="9"/>
      <c r="X23598" s="9"/>
    </row>
    <row r="23599">
      <c r="D23599" s="9"/>
      <c r="G23599" s="9"/>
      <c r="J23599" s="11"/>
      <c r="U23599" s="9"/>
      <c r="X23599" s="9"/>
    </row>
    <row r="23600">
      <c r="D23600" s="9"/>
      <c r="G23600" s="9"/>
      <c r="J23600" s="11"/>
      <c r="U23600" s="9"/>
      <c r="X23600" s="9"/>
    </row>
    <row r="23601">
      <c r="D23601" s="9"/>
      <c r="G23601" s="9"/>
      <c r="J23601" s="11"/>
      <c r="U23601" s="9"/>
      <c r="X23601" s="9"/>
    </row>
    <row r="23602">
      <c r="D23602" s="9"/>
      <c r="G23602" s="9"/>
      <c r="J23602" s="11"/>
      <c r="U23602" s="9"/>
      <c r="X23602" s="9"/>
    </row>
    <row r="23603">
      <c r="D23603" s="9"/>
      <c r="G23603" s="9"/>
      <c r="J23603" s="11"/>
      <c r="U23603" s="9"/>
      <c r="X23603" s="9"/>
    </row>
    <row r="23604">
      <c r="D23604" s="9"/>
      <c r="G23604" s="9"/>
      <c r="J23604" s="11"/>
      <c r="U23604" s="9"/>
      <c r="X23604" s="9"/>
    </row>
    <row r="23605">
      <c r="D23605" s="9"/>
      <c r="G23605" s="9"/>
      <c r="J23605" s="11"/>
      <c r="U23605" s="9"/>
      <c r="X23605" s="9"/>
    </row>
    <row r="23606">
      <c r="D23606" s="9"/>
      <c r="G23606" s="9"/>
      <c r="J23606" s="11"/>
      <c r="U23606" s="9"/>
      <c r="X23606" s="9"/>
    </row>
    <row r="23607">
      <c r="D23607" s="9"/>
      <c r="G23607" s="9"/>
      <c r="J23607" s="11"/>
      <c r="U23607" s="9"/>
      <c r="X23607" s="9"/>
    </row>
    <row r="23608">
      <c r="D23608" s="9"/>
      <c r="G23608" s="9"/>
      <c r="J23608" s="11"/>
      <c r="U23608" s="9"/>
      <c r="X23608" s="9"/>
    </row>
    <row r="23609">
      <c r="D23609" s="9"/>
      <c r="G23609" s="9"/>
      <c r="J23609" s="11"/>
      <c r="U23609" s="9"/>
      <c r="X23609" s="9"/>
    </row>
    <row r="23610">
      <c r="D23610" s="9"/>
      <c r="G23610" s="9"/>
      <c r="J23610" s="11"/>
      <c r="U23610" s="9"/>
      <c r="X23610" s="9"/>
    </row>
    <row r="23611">
      <c r="D23611" s="9"/>
      <c r="G23611" s="9"/>
      <c r="J23611" s="11"/>
      <c r="U23611" s="9"/>
      <c r="X23611" s="9"/>
    </row>
    <row r="23612">
      <c r="D23612" s="9"/>
      <c r="G23612" s="9"/>
      <c r="J23612" s="11"/>
      <c r="U23612" s="9"/>
      <c r="X23612" s="9"/>
    </row>
    <row r="23613">
      <c r="D23613" s="9"/>
      <c r="G23613" s="9"/>
      <c r="J23613" s="11"/>
      <c r="U23613" s="9"/>
      <c r="X23613" s="9"/>
    </row>
    <row r="23614">
      <c r="D23614" s="9"/>
      <c r="G23614" s="9"/>
      <c r="J23614" s="11"/>
      <c r="U23614" s="9"/>
      <c r="X23614" s="9"/>
    </row>
    <row r="23615">
      <c r="D23615" s="9"/>
      <c r="G23615" s="9"/>
      <c r="J23615" s="11"/>
      <c r="U23615" s="9"/>
      <c r="X23615" s="9"/>
    </row>
    <row r="23616">
      <c r="D23616" s="9"/>
      <c r="G23616" s="9"/>
      <c r="J23616" s="11"/>
      <c r="U23616" s="9"/>
      <c r="X23616" s="9"/>
    </row>
    <row r="23617">
      <c r="D23617" s="9"/>
      <c r="G23617" s="9"/>
      <c r="J23617" s="11"/>
      <c r="U23617" s="9"/>
      <c r="X23617" s="9"/>
    </row>
    <row r="23618">
      <c r="D23618" s="9"/>
      <c r="G23618" s="9"/>
      <c r="J23618" s="11"/>
      <c r="U23618" s="9"/>
      <c r="X23618" s="9"/>
    </row>
    <row r="23619">
      <c r="D23619" s="9"/>
      <c r="G23619" s="9"/>
      <c r="J23619" s="11"/>
      <c r="U23619" s="9"/>
      <c r="X23619" s="9"/>
    </row>
    <row r="23620">
      <c r="D23620" s="9"/>
      <c r="G23620" s="9"/>
      <c r="J23620" s="11"/>
      <c r="U23620" s="9"/>
      <c r="X23620" s="9"/>
    </row>
    <row r="23621">
      <c r="D23621" s="9"/>
      <c r="G23621" s="9"/>
      <c r="J23621" s="11"/>
      <c r="U23621" s="9"/>
      <c r="X23621" s="9"/>
    </row>
    <row r="23622">
      <c r="D23622" s="9"/>
      <c r="G23622" s="9"/>
      <c r="J23622" s="11"/>
      <c r="U23622" s="9"/>
      <c r="X23622" s="9"/>
    </row>
    <row r="23623">
      <c r="D23623" s="9"/>
      <c r="G23623" s="9"/>
      <c r="J23623" s="11"/>
      <c r="U23623" s="9"/>
      <c r="X23623" s="9"/>
    </row>
    <row r="23624">
      <c r="D23624" s="9"/>
      <c r="G23624" s="9"/>
      <c r="J23624" s="11"/>
      <c r="U23624" s="9"/>
      <c r="X23624" s="9"/>
    </row>
    <row r="23625">
      <c r="D23625" s="9"/>
      <c r="G23625" s="9"/>
      <c r="J23625" s="11"/>
      <c r="U23625" s="9"/>
      <c r="X23625" s="9"/>
    </row>
    <row r="23626">
      <c r="D23626" s="9"/>
      <c r="G23626" s="9"/>
      <c r="J23626" s="11"/>
      <c r="U23626" s="9"/>
      <c r="X23626" s="9"/>
    </row>
    <row r="23627">
      <c r="D23627" s="9"/>
      <c r="G23627" s="9"/>
      <c r="J23627" s="11"/>
      <c r="U23627" s="9"/>
      <c r="X23627" s="9"/>
    </row>
    <row r="23628">
      <c r="D23628" s="9"/>
      <c r="G23628" s="9"/>
      <c r="J23628" s="11"/>
      <c r="U23628" s="9"/>
      <c r="X23628" s="9"/>
    </row>
    <row r="23629">
      <c r="D23629" s="9"/>
      <c r="G23629" s="9"/>
      <c r="J23629" s="11"/>
      <c r="U23629" s="9"/>
      <c r="X23629" s="9"/>
    </row>
    <row r="23630">
      <c r="D23630" s="9"/>
      <c r="G23630" s="9"/>
      <c r="J23630" s="11"/>
      <c r="U23630" s="9"/>
      <c r="X23630" s="9"/>
    </row>
    <row r="23631">
      <c r="D23631" s="9"/>
      <c r="G23631" s="9"/>
      <c r="J23631" s="11"/>
      <c r="U23631" s="9"/>
      <c r="X23631" s="9"/>
    </row>
    <row r="23632">
      <c r="D23632" s="9"/>
      <c r="G23632" s="9"/>
      <c r="J23632" s="11"/>
      <c r="U23632" s="9"/>
      <c r="X23632" s="9"/>
    </row>
    <row r="23633">
      <c r="D23633" s="9"/>
      <c r="G23633" s="9"/>
      <c r="J23633" s="11"/>
      <c r="U23633" s="9"/>
      <c r="X23633" s="9"/>
    </row>
    <row r="23634">
      <c r="D23634" s="9"/>
      <c r="G23634" s="9"/>
      <c r="J23634" s="11"/>
      <c r="U23634" s="9"/>
      <c r="X23634" s="9"/>
    </row>
    <row r="23635">
      <c r="D23635" s="9"/>
      <c r="G23635" s="9"/>
      <c r="J23635" s="11"/>
      <c r="U23635" s="9"/>
      <c r="X23635" s="9"/>
    </row>
    <row r="23636">
      <c r="D23636" s="9"/>
      <c r="G23636" s="9"/>
      <c r="J23636" s="11"/>
      <c r="U23636" s="9"/>
      <c r="X23636" s="9"/>
    </row>
    <row r="23637">
      <c r="D23637" s="9"/>
      <c r="G23637" s="9"/>
      <c r="J23637" s="11"/>
      <c r="U23637" s="9"/>
      <c r="X23637" s="9"/>
    </row>
    <row r="23638">
      <c r="D23638" s="9"/>
      <c r="G23638" s="9"/>
      <c r="J23638" s="11"/>
      <c r="U23638" s="9"/>
      <c r="X23638" s="9"/>
    </row>
    <row r="23639">
      <c r="D23639" s="9"/>
      <c r="G23639" s="9"/>
      <c r="J23639" s="11"/>
      <c r="U23639" s="9"/>
      <c r="X23639" s="9"/>
    </row>
    <row r="23640">
      <c r="D23640" s="9"/>
      <c r="G23640" s="9"/>
      <c r="J23640" s="11"/>
      <c r="U23640" s="9"/>
      <c r="X23640" s="9"/>
    </row>
    <row r="23641">
      <c r="D23641" s="9"/>
      <c r="G23641" s="9"/>
      <c r="J23641" s="11"/>
      <c r="U23641" s="9"/>
      <c r="X23641" s="9"/>
    </row>
    <row r="23642">
      <c r="D23642" s="9"/>
      <c r="G23642" s="9"/>
      <c r="J23642" s="11"/>
      <c r="U23642" s="9"/>
      <c r="X23642" s="9"/>
    </row>
    <row r="23643">
      <c r="D23643" s="9"/>
      <c r="G23643" s="9"/>
      <c r="J23643" s="11"/>
      <c r="U23643" s="9"/>
      <c r="X23643" s="9"/>
    </row>
    <row r="23644">
      <c r="D23644" s="9"/>
      <c r="G23644" s="9"/>
      <c r="J23644" s="11"/>
      <c r="U23644" s="9"/>
      <c r="X23644" s="9"/>
    </row>
    <row r="23645">
      <c r="D23645" s="9"/>
      <c r="G23645" s="9"/>
      <c r="J23645" s="11"/>
      <c r="U23645" s="9"/>
      <c r="X23645" s="9"/>
    </row>
    <row r="23646">
      <c r="D23646" s="9"/>
      <c r="G23646" s="9"/>
      <c r="J23646" s="11"/>
      <c r="U23646" s="9"/>
      <c r="X23646" s="9"/>
    </row>
    <row r="23647">
      <c r="D23647" s="9"/>
      <c r="G23647" s="9"/>
      <c r="J23647" s="11"/>
      <c r="U23647" s="9"/>
      <c r="X23647" s="9"/>
    </row>
    <row r="23648">
      <c r="D23648" s="9"/>
      <c r="G23648" s="9"/>
      <c r="J23648" s="11"/>
      <c r="U23648" s="9"/>
      <c r="X23648" s="9"/>
    </row>
    <row r="23649">
      <c r="D23649" s="9"/>
      <c r="G23649" s="9"/>
      <c r="J23649" s="11"/>
      <c r="U23649" s="9"/>
      <c r="X23649" s="9"/>
    </row>
    <row r="23650">
      <c r="D23650" s="9"/>
      <c r="G23650" s="9"/>
      <c r="J23650" s="11"/>
      <c r="U23650" s="9"/>
      <c r="X23650" s="9"/>
    </row>
    <row r="23651">
      <c r="D23651" s="9"/>
      <c r="G23651" s="9"/>
      <c r="J23651" s="11"/>
      <c r="U23651" s="9"/>
      <c r="X23651" s="9"/>
    </row>
    <row r="23652">
      <c r="D23652" s="9"/>
      <c r="G23652" s="9"/>
      <c r="J23652" s="11"/>
      <c r="U23652" s="9"/>
      <c r="X23652" s="9"/>
    </row>
    <row r="23653">
      <c r="D23653" s="9"/>
      <c r="G23653" s="9"/>
      <c r="J23653" s="11"/>
      <c r="U23653" s="9"/>
      <c r="X23653" s="9"/>
    </row>
    <row r="23654">
      <c r="D23654" s="9"/>
      <c r="G23654" s="9"/>
      <c r="J23654" s="11"/>
      <c r="U23654" s="9"/>
      <c r="X23654" s="9"/>
    </row>
    <row r="23655">
      <c r="D23655" s="9"/>
      <c r="G23655" s="9"/>
      <c r="J23655" s="11"/>
      <c r="U23655" s="9"/>
      <c r="X23655" s="9"/>
    </row>
    <row r="23656">
      <c r="D23656" s="9"/>
      <c r="G23656" s="9"/>
      <c r="J23656" s="11"/>
      <c r="U23656" s="9"/>
      <c r="X23656" s="9"/>
    </row>
    <row r="23657">
      <c r="D23657" s="9"/>
      <c r="G23657" s="9"/>
      <c r="J23657" s="11"/>
      <c r="U23657" s="9"/>
      <c r="X23657" s="9"/>
    </row>
    <row r="23658">
      <c r="D23658" s="9"/>
      <c r="G23658" s="9"/>
      <c r="J23658" s="11"/>
      <c r="U23658" s="9"/>
      <c r="X23658" s="9"/>
    </row>
    <row r="23659">
      <c r="D23659" s="9"/>
      <c r="G23659" s="9"/>
      <c r="J23659" s="11"/>
      <c r="U23659" s="9"/>
      <c r="X23659" s="9"/>
    </row>
    <row r="23660">
      <c r="D23660" s="9"/>
      <c r="G23660" s="9"/>
      <c r="J23660" s="11"/>
      <c r="U23660" s="9"/>
      <c r="X23660" s="9"/>
    </row>
    <row r="23661">
      <c r="D23661" s="9"/>
      <c r="G23661" s="9"/>
      <c r="J23661" s="11"/>
      <c r="U23661" s="9"/>
      <c r="X23661" s="9"/>
    </row>
    <row r="23662">
      <c r="D23662" s="9"/>
      <c r="G23662" s="9"/>
      <c r="J23662" s="11"/>
      <c r="U23662" s="9"/>
      <c r="X23662" s="9"/>
    </row>
    <row r="23663">
      <c r="D23663" s="9"/>
      <c r="G23663" s="9"/>
      <c r="J23663" s="11"/>
      <c r="U23663" s="9"/>
      <c r="X23663" s="9"/>
    </row>
    <row r="23664">
      <c r="D23664" s="9"/>
      <c r="G23664" s="9"/>
      <c r="J23664" s="11"/>
      <c r="U23664" s="9"/>
      <c r="X23664" s="9"/>
    </row>
    <row r="23665">
      <c r="D23665" s="9"/>
      <c r="G23665" s="9"/>
      <c r="J23665" s="11"/>
      <c r="U23665" s="9"/>
      <c r="X23665" s="9"/>
    </row>
    <row r="23666">
      <c r="D23666" s="9"/>
      <c r="G23666" s="9"/>
      <c r="J23666" s="11"/>
      <c r="U23666" s="9"/>
      <c r="X23666" s="9"/>
    </row>
    <row r="23667">
      <c r="D23667" s="9"/>
      <c r="G23667" s="9"/>
      <c r="J23667" s="11"/>
      <c r="U23667" s="9"/>
      <c r="X23667" s="9"/>
    </row>
    <row r="23668">
      <c r="D23668" s="9"/>
      <c r="G23668" s="9"/>
      <c r="J23668" s="11"/>
      <c r="U23668" s="9"/>
      <c r="X23668" s="9"/>
    </row>
    <row r="23669">
      <c r="D23669" s="9"/>
      <c r="G23669" s="9"/>
      <c r="J23669" s="11"/>
      <c r="U23669" s="9"/>
      <c r="X23669" s="9"/>
    </row>
    <row r="23670">
      <c r="D23670" s="9"/>
      <c r="G23670" s="9"/>
      <c r="J23670" s="11"/>
      <c r="U23670" s="9"/>
      <c r="X23670" s="9"/>
    </row>
    <row r="23671">
      <c r="D23671" s="9"/>
      <c r="G23671" s="9"/>
      <c r="J23671" s="11"/>
      <c r="U23671" s="9"/>
      <c r="X23671" s="9"/>
    </row>
    <row r="23672">
      <c r="D23672" s="9"/>
      <c r="G23672" s="9"/>
      <c r="J23672" s="11"/>
      <c r="U23672" s="9"/>
      <c r="X23672" s="9"/>
    </row>
    <row r="23673">
      <c r="D23673" s="9"/>
      <c r="G23673" s="9"/>
      <c r="J23673" s="11"/>
      <c r="U23673" s="9"/>
      <c r="X23673" s="9"/>
    </row>
    <row r="23674">
      <c r="D23674" s="9"/>
      <c r="G23674" s="9"/>
      <c r="J23674" s="11"/>
      <c r="U23674" s="9"/>
      <c r="X23674" s="9"/>
    </row>
    <row r="23675">
      <c r="D23675" s="9"/>
      <c r="G23675" s="9"/>
      <c r="J23675" s="11"/>
      <c r="U23675" s="9"/>
      <c r="X23675" s="9"/>
    </row>
    <row r="23676">
      <c r="D23676" s="9"/>
      <c r="G23676" s="9"/>
      <c r="J23676" s="11"/>
      <c r="U23676" s="9"/>
      <c r="X23676" s="9"/>
    </row>
    <row r="23677">
      <c r="D23677" s="9"/>
      <c r="G23677" s="9"/>
      <c r="J23677" s="11"/>
      <c r="U23677" s="9"/>
      <c r="X23677" s="9"/>
    </row>
    <row r="23678">
      <c r="D23678" s="9"/>
      <c r="G23678" s="9"/>
      <c r="J23678" s="11"/>
      <c r="U23678" s="9"/>
      <c r="X23678" s="9"/>
    </row>
    <row r="23679">
      <c r="D23679" s="9"/>
      <c r="G23679" s="9"/>
      <c r="J23679" s="11"/>
      <c r="U23679" s="9"/>
      <c r="X23679" s="9"/>
    </row>
    <row r="23680">
      <c r="D23680" s="9"/>
      <c r="G23680" s="9"/>
      <c r="J23680" s="11"/>
      <c r="U23680" s="9"/>
      <c r="X23680" s="9"/>
    </row>
    <row r="23681">
      <c r="D23681" s="9"/>
      <c r="G23681" s="9"/>
      <c r="J23681" s="11"/>
      <c r="U23681" s="9"/>
      <c r="X23681" s="9"/>
    </row>
    <row r="23682">
      <c r="D23682" s="9"/>
      <c r="G23682" s="9"/>
      <c r="J23682" s="11"/>
      <c r="U23682" s="9"/>
      <c r="X23682" s="9"/>
    </row>
    <row r="23683">
      <c r="D23683" s="9"/>
      <c r="G23683" s="9"/>
      <c r="J23683" s="11"/>
      <c r="U23683" s="9"/>
      <c r="X23683" s="9"/>
    </row>
    <row r="23684">
      <c r="D23684" s="9"/>
      <c r="G23684" s="9"/>
      <c r="J23684" s="11"/>
      <c r="U23684" s="9"/>
      <c r="X23684" s="9"/>
    </row>
    <row r="23685">
      <c r="D23685" s="9"/>
      <c r="G23685" s="9"/>
      <c r="J23685" s="11"/>
      <c r="U23685" s="9"/>
      <c r="X23685" s="9"/>
    </row>
    <row r="23686">
      <c r="D23686" s="9"/>
      <c r="G23686" s="9"/>
      <c r="J23686" s="11"/>
      <c r="U23686" s="9"/>
      <c r="X23686" s="9"/>
    </row>
    <row r="23687">
      <c r="D23687" s="9"/>
      <c r="G23687" s="9"/>
      <c r="J23687" s="11"/>
      <c r="U23687" s="9"/>
      <c r="X23687" s="9"/>
    </row>
    <row r="23688">
      <c r="D23688" s="9"/>
      <c r="G23688" s="9"/>
      <c r="J23688" s="11"/>
      <c r="U23688" s="9"/>
      <c r="X23688" s="9"/>
    </row>
    <row r="23689">
      <c r="D23689" s="9"/>
      <c r="G23689" s="9"/>
      <c r="J23689" s="11"/>
      <c r="U23689" s="9"/>
      <c r="X23689" s="9"/>
    </row>
    <row r="23690">
      <c r="D23690" s="9"/>
      <c r="G23690" s="9"/>
      <c r="J23690" s="11"/>
      <c r="U23690" s="9"/>
      <c r="X23690" s="9"/>
    </row>
    <row r="23691">
      <c r="D23691" s="9"/>
      <c r="G23691" s="9"/>
      <c r="J23691" s="11"/>
      <c r="U23691" s="9"/>
      <c r="X23691" s="9"/>
    </row>
    <row r="23692">
      <c r="D23692" s="9"/>
      <c r="G23692" s="9"/>
      <c r="J23692" s="11"/>
      <c r="U23692" s="9"/>
      <c r="X23692" s="9"/>
    </row>
    <row r="23693">
      <c r="D23693" s="9"/>
      <c r="G23693" s="9"/>
      <c r="J23693" s="11"/>
      <c r="U23693" s="9"/>
      <c r="X23693" s="9"/>
    </row>
    <row r="23694">
      <c r="D23694" s="9"/>
      <c r="G23694" s="9"/>
      <c r="J23694" s="11"/>
      <c r="U23694" s="9"/>
      <c r="X23694" s="9"/>
    </row>
    <row r="23695">
      <c r="D23695" s="9"/>
      <c r="G23695" s="9"/>
      <c r="J23695" s="11"/>
      <c r="U23695" s="9"/>
      <c r="X23695" s="9"/>
    </row>
    <row r="23696">
      <c r="D23696" s="9"/>
      <c r="G23696" s="9"/>
      <c r="J23696" s="11"/>
      <c r="U23696" s="9"/>
      <c r="X23696" s="9"/>
    </row>
    <row r="23697">
      <c r="D23697" s="9"/>
      <c r="G23697" s="9"/>
      <c r="J23697" s="11"/>
      <c r="U23697" s="9"/>
      <c r="X23697" s="9"/>
    </row>
    <row r="23698">
      <c r="D23698" s="9"/>
      <c r="G23698" s="9"/>
      <c r="J23698" s="11"/>
      <c r="U23698" s="9"/>
      <c r="X23698" s="9"/>
    </row>
    <row r="23699">
      <c r="D23699" s="9"/>
      <c r="G23699" s="9"/>
      <c r="J23699" s="11"/>
      <c r="U23699" s="9"/>
      <c r="X23699" s="9"/>
    </row>
    <row r="23700">
      <c r="D23700" s="9"/>
      <c r="G23700" s="9"/>
      <c r="J23700" s="11"/>
      <c r="U23700" s="9"/>
      <c r="X23700" s="9"/>
    </row>
    <row r="23701">
      <c r="D23701" s="9"/>
      <c r="G23701" s="9"/>
      <c r="J23701" s="11"/>
      <c r="U23701" s="9"/>
      <c r="X23701" s="9"/>
    </row>
    <row r="23702">
      <c r="D23702" s="9"/>
      <c r="G23702" s="9"/>
      <c r="J23702" s="11"/>
      <c r="U23702" s="9"/>
      <c r="X23702" s="9"/>
    </row>
    <row r="23703">
      <c r="D23703" s="9"/>
      <c r="G23703" s="9"/>
      <c r="J23703" s="11"/>
      <c r="U23703" s="9"/>
      <c r="X23703" s="9"/>
    </row>
    <row r="23704">
      <c r="D23704" s="9"/>
      <c r="G23704" s="9"/>
      <c r="J23704" s="11"/>
      <c r="U23704" s="9"/>
      <c r="X23704" s="9"/>
    </row>
    <row r="23705">
      <c r="D23705" s="9"/>
      <c r="G23705" s="9"/>
      <c r="J23705" s="11"/>
      <c r="U23705" s="9"/>
      <c r="X23705" s="9"/>
    </row>
    <row r="23706">
      <c r="D23706" s="9"/>
      <c r="G23706" s="9"/>
      <c r="J23706" s="11"/>
      <c r="U23706" s="9"/>
      <c r="X23706" s="9"/>
    </row>
    <row r="23707">
      <c r="D23707" s="9"/>
      <c r="G23707" s="9"/>
      <c r="J23707" s="11"/>
      <c r="U23707" s="9"/>
      <c r="X23707" s="9"/>
    </row>
    <row r="23708">
      <c r="D23708" s="9"/>
      <c r="G23708" s="9"/>
      <c r="J23708" s="11"/>
      <c r="U23708" s="9"/>
      <c r="X23708" s="9"/>
    </row>
    <row r="23709">
      <c r="D23709" s="9"/>
      <c r="G23709" s="9"/>
      <c r="J23709" s="11"/>
      <c r="U23709" s="9"/>
      <c r="X23709" s="9"/>
    </row>
    <row r="23710">
      <c r="D23710" s="9"/>
      <c r="G23710" s="9"/>
      <c r="J23710" s="11"/>
      <c r="U23710" s="9"/>
      <c r="X23710" s="9"/>
    </row>
    <row r="23711">
      <c r="D23711" s="9"/>
      <c r="G23711" s="9"/>
      <c r="J23711" s="11"/>
      <c r="U23711" s="9"/>
      <c r="X23711" s="9"/>
    </row>
    <row r="23712">
      <c r="D23712" s="9"/>
      <c r="G23712" s="9"/>
      <c r="J23712" s="11"/>
      <c r="U23712" s="9"/>
      <c r="X23712" s="9"/>
    </row>
    <row r="23713">
      <c r="D23713" s="9"/>
      <c r="G23713" s="9"/>
      <c r="J23713" s="11"/>
      <c r="U23713" s="9"/>
      <c r="X23713" s="9"/>
    </row>
    <row r="23714">
      <c r="D23714" s="9"/>
      <c r="G23714" s="9"/>
      <c r="J23714" s="11"/>
      <c r="U23714" s="9"/>
      <c r="X23714" s="9"/>
    </row>
    <row r="23715">
      <c r="D23715" s="9"/>
      <c r="G23715" s="9"/>
      <c r="J23715" s="11"/>
      <c r="U23715" s="9"/>
      <c r="X23715" s="9"/>
    </row>
    <row r="23716">
      <c r="D23716" s="9"/>
      <c r="G23716" s="9"/>
      <c r="J23716" s="11"/>
      <c r="U23716" s="9"/>
      <c r="X23716" s="9"/>
    </row>
    <row r="23717">
      <c r="D23717" s="9"/>
      <c r="G23717" s="9"/>
      <c r="J23717" s="11"/>
      <c r="U23717" s="9"/>
      <c r="X23717" s="9"/>
    </row>
    <row r="23718">
      <c r="D23718" s="9"/>
      <c r="G23718" s="9"/>
      <c r="J23718" s="11"/>
      <c r="U23718" s="9"/>
      <c r="X23718" s="9"/>
    </row>
    <row r="23719">
      <c r="D23719" s="9"/>
      <c r="G23719" s="9"/>
      <c r="J23719" s="11"/>
      <c r="U23719" s="9"/>
      <c r="X23719" s="9"/>
    </row>
    <row r="23720">
      <c r="D23720" s="9"/>
      <c r="G23720" s="9"/>
      <c r="J23720" s="11"/>
      <c r="U23720" s="9"/>
      <c r="X23720" s="9"/>
    </row>
    <row r="23721">
      <c r="D23721" s="9"/>
      <c r="G23721" s="9"/>
      <c r="J23721" s="11"/>
      <c r="U23721" s="9"/>
      <c r="X23721" s="9"/>
    </row>
    <row r="23722">
      <c r="D23722" s="9"/>
      <c r="G23722" s="9"/>
      <c r="J23722" s="11"/>
      <c r="U23722" s="9"/>
      <c r="X23722" s="9"/>
    </row>
    <row r="23723">
      <c r="D23723" s="9"/>
      <c r="G23723" s="9"/>
      <c r="J23723" s="11"/>
      <c r="U23723" s="9"/>
      <c r="X23723" s="9"/>
    </row>
    <row r="23724">
      <c r="D23724" s="9"/>
      <c r="G23724" s="9"/>
      <c r="J23724" s="11"/>
      <c r="U23724" s="9"/>
      <c r="X23724" s="9"/>
    </row>
    <row r="23725">
      <c r="D23725" s="9"/>
      <c r="G23725" s="9"/>
      <c r="J23725" s="11"/>
      <c r="U23725" s="9"/>
      <c r="X23725" s="9"/>
    </row>
    <row r="23726">
      <c r="D23726" s="9"/>
      <c r="G23726" s="9"/>
      <c r="J23726" s="11"/>
      <c r="U23726" s="9"/>
      <c r="X23726" s="9"/>
    </row>
    <row r="23727">
      <c r="D23727" s="9"/>
      <c r="G23727" s="9"/>
      <c r="J23727" s="11"/>
      <c r="U23727" s="9"/>
      <c r="X23727" s="9"/>
    </row>
    <row r="23728">
      <c r="D23728" s="9"/>
      <c r="G23728" s="9"/>
      <c r="J23728" s="11"/>
      <c r="U23728" s="9"/>
      <c r="X23728" s="9"/>
    </row>
    <row r="23729">
      <c r="D23729" s="9"/>
      <c r="G23729" s="9"/>
      <c r="J23729" s="11"/>
      <c r="U23729" s="9"/>
      <c r="X23729" s="9"/>
    </row>
    <row r="23730">
      <c r="D23730" s="9"/>
      <c r="G23730" s="9"/>
      <c r="J23730" s="11"/>
      <c r="U23730" s="9"/>
      <c r="X23730" s="9"/>
    </row>
    <row r="23731">
      <c r="D23731" s="9"/>
      <c r="G23731" s="9"/>
      <c r="J23731" s="11"/>
      <c r="U23731" s="9"/>
      <c r="X23731" s="9"/>
    </row>
    <row r="23732">
      <c r="D23732" s="9"/>
      <c r="G23732" s="9"/>
      <c r="J23732" s="11"/>
      <c r="U23732" s="9"/>
      <c r="X23732" s="9"/>
    </row>
    <row r="23733">
      <c r="D23733" s="9"/>
      <c r="G23733" s="9"/>
      <c r="J23733" s="11"/>
      <c r="U23733" s="9"/>
      <c r="X23733" s="9"/>
    </row>
    <row r="23734">
      <c r="D23734" s="9"/>
      <c r="G23734" s="9"/>
      <c r="J23734" s="11"/>
      <c r="U23734" s="9"/>
      <c r="X23734" s="9"/>
    </row>
    <row r="23735">
      <c r="D23735" s="9"/>
      <c r="G23735" s="9"/>
      <c r="J23735" s="11"/>
      <c r="U23735" s="9"/>
      <c r="X23735" s="9"/>
    </row>
    <row r="23736">
      <c r="D23736" s="9"/>
      <c r="G23736" s="9"/>
      <c r="J23736" s="11"/>
      <c r="U23736" s="9"/>
      <c r="X23736" s="9"/>
    </row>
    <row r="23737">
      <c r="D23737" s="9"/>
      <c r="G23737" s="9"/>
      <c r="J23737" s="11"/>
      <c r="U23737" s="9"/>
      <c r="X23737" s="9"/>
    </row>
    <row r="23738">
      <c r="D23738" s="9"/>
      <c r="G23738" s="9"/>
      <c r="J23738" s="11"/>
      <c r="U23738" s="9"/>
      <c r="X23738" s="9"/>
    </row>
    <row r="23739">
      <c r="D23739" s="9"/>
      <c r="G23739" s="9"/>
      <c r="J23739" s="11"/>
      <c r="U23739" s="9"/>
      <c r="X23739" s="9"/>
    </row>
    <row r="23740">
      <c r="D23740" s="9"/>
      <c r="G23740" s="9"/>
      <c r="J23740" s="11"/>
      <c r="U23740" s="9"/>
      <c r="X23740" s="9"/>
    </row>
    <row r="23741">
      <c r="D23741" s="9"/>
      <c r="G23741" s="9"/>
      <c r="J23741" s="11"/>
      <c r="U23741" s="9"/>
      <c r="X23741" s="9"/>
    </row>
    <row r="23742">
      <c r="D23742" s="9"/>
      <c r="G23742" s="9"/>
      <c r="J23742" s="11"/>
      <c r="U23742" s="9"/>
      <c r="X23742" s="9"/>
    </row>
    <row r="23743">
      <c r="D23743" s="9"/>
      <c r="G23743" s="9"/>
      <c r="J23743" s="11"/>
      <c r="U23743" s="9"/>
      <c r="X23743" s="9"/>
    </row>
    <row r="23744">
      <c r="D23744" s="9"/>
      <c r="G23744" s="9"/>
      <c r="J23744" s="11"/>
      <c r="U23744" s="9"/>
      <c r="X23744" s="9"/>
    </row>
    <row r="23745">
      <c r="D23745" s="9"/>
      <c r="G23745" s="9"/>
      <c r="J23745" s="11"/>
      <c r="U23745" s="9"/>
      <c r="X23745" s="9"/>
    </row>
    <row r="23746">
      <c r="D23746" s="9"/>
      <c r="G23746" s="9"/>
      <c r="J23746" s="11"/>
      <c r="U23746" s="9"/>
      <c r="X23746" s="9"/>
    </row>
    <row r="23747">
      <c r="D23747" s="9"/>
      <c r="G23747" s="9"/>
      <c r="J23747" s="11"/>
      <c r="U23747" s="9"/>
      <c r="X23747" s="9"/>
    </row>
    <row r="23748">
      <c r="D23748" s="9"/>
      <c r="G23748" s="9"/>
      <c r="J23748" s="11"/>
      <c r="U23748" s="9"/>
      <c r="X23748" s="9"/>
    </row>
    <row r="23749">
      <c r="D23749" s="9"/>
      <c r="G23749" s="9"/>
      <c r="J23749" s="11"/>
      <c r="U23749" s="9"/>
      <c r="X23749" s="9"/>
    </row>
    <row r="23750">
      <c r="D23750" s="9"/>
      <c r="G23750" s="9"/>
      <c r="J23750" s="11"/>
      <c r="U23750" s="9"/>
      <c r="X23750" s="9"/>
    </row>
    <row r="23751">
      <c r="D23751" s="9"/>
      <c r="G23751" s="9"/>
      <c r="J23751" s="11"/>
      <c r="U23751" s="9"/>
      <c r="X23751" s="9"/>
    </row>
    <row r="23752">
      <c r="D23752" s="9"/>
      <c r="G23752" s="9"/>
      <c r="J23752" s="11"/>
      <c r="U23752" s="9"/>
      <c r="X23752" s="9"/>
    </row>
    <row r="23753">
      <c r="D23753" s="9"/>
      <c r="G23753" s="9"/>
      <c r="J23753" s="11"/>
      <c r="U23753" s="9"/>
      <c r="X23753" s="9"/>
    </row>
    <row r="23754">
      <c r="D23754" s="9"/>
      <c r="G23754" s="9"/>
      <c r="J23754" s="11"/>
      <c r="U23754" s="9"/>
      <c r="X23754" s="9"/>
    </row>
    <row r="23755">
      <c r="D23755" s="9"/>
      <c r="G23755" s="9"/>
      <c r="J23755" s="11"/>
      <c r="U23755" s="9"/>
      <c r="X23755" s="9"/>
    </row>
    <row r="23756">
      <c r="D23756" s="9"/>
      <c r="G23756" s="9"/>
      <c r="J23756" s="11"/>
      <c r="U23756" s="9"/>
      <c r="X23756" s="9"/>
    </row>
    <row r="23757">
      <c r="D23757" s="9"/>
      <c r="G23757" s="9"/>
      <c r="J23757" s="11"/>
      <c r="U23757" s="9"/>
      <c r="X23757" s="9"/>
    </row>
    <row r="23758">
      <c r="D23758" s="9"/>
      <c r="G23758" s="9"/>
      <c r="J23758" s="11"/>
      <c r="U23758" s="9"/>
      <c r="X23758" s="9"/>
    </row>
    <row r="23759">
      <c r="D23759" s="9"/>
      <c r="G23759" s="9"/>
      <c r="J23759" s="11"/>
      <c r="U23759" s="9"/>
      <c r="X23759" s="9"/>
    </row>
    <row r="23760">
      <c r="D23760" s="9"/>
      <c r="G23760" s="9"/>
      <c r="J23760" s="11"/>
      <c r="U23760" s="9"/>
      <c r="X23760" s="9"/>
    </row>
    <row r="23761">
      <c r="D23761" s="9"/>
      <c r="G23761" s="9"/>
      <c r="J23761" s="11"/>
      <c r="U23761" s="9"/>
      <c r="X23761" s="9"/>
    </row>
    <row r="23762">
      <c r="D23762" s="9"/>
      <c r="G23762" s="9"/>
      <c r="J23762" s="11"/>
      <c r="U23762" s="9"/>
      <c r="X23762" s="9"/>
    </row>
    <row r="23763">
      <c r="D23763" s="9"/>
      <c r="G23763" s="9"/>
      <c r="J23763" s="11"/>
      <c r="U23763" s="9"/>
      <c r="X23763" s="9"/>
    </row>
    <row r="23764">
      <c r="D23764" s="9"/>
      <c r="G23764" s="9"/>
      <c r="J23764" s="11"/>
      <c r="U23764" s="9"/>
      <c r="X23764" s="9"/>
    </row>
    <row r="23765">
      <c r="D23765" s="9"/>
      <c r="G23765" s="9"/>
      <c r="J23765" s="11"/>
      <c r="U23765" s="9"/>
      <c r="X23765" s="9"/>
    </row>
    <row r="23766">
      <c r="D23766" s="9"/>
      <c r="G23766" s="9"/>
      <c r="J23766" s="11"/>
      <c r="U23766" s="9"/>
      <c r="X23766" s="9"/>
    </row>
    <row r="23767">
      <c r="D23767" s="9"/>
      <c r="G23767" s="9"/>
      <c r="J23767" s="11"/>
      <c r="U23767" s="9"/>
      <c r="X23767" s="9"/>
    </row>
    <row r="23768">
      <c r="D23768" s="9"/>
      <c r="G23768" s="9"/>
      <c r="J23768" s="11"/>
      <c r="U23768" s="9"/>
      <c r="X23768" s="9"/>
    </row>
    <row r="23769">
      <c r="D23769" s="9"/>
      <c r="G23769" s="9"/>
      <c r="J23769" s="11"/>
      <c r="U23769" s="9"/>
      <c r="X23769" s="9"/>
    </row>
    <row r="23770">
      <c r="D23770" s="9"/>
      <c r="G23770" s="9"/>
      <c r="J23770" s="11"/>
      <c r="U23770" s="9"/>
      <c r="X23770" s="9"/>
    </row>
    <row r="23771">
      <c r="D23771" s="9"/>
      <c r="G23771" s="9"/>
      <c r="J23771" s="11"/>
      <c r="U23771" s="9"/>
      <c r="X23771" s="9"/>
    </row>
    <row r="23772">
      <c r="D23772" s="9"/>
      <c r="G23772" s="9"/>
      <c r="J23772" s="11"/>
      <c r="U23772" s="9"/>
      <c r="X23772" s="9"/>
    </row>
    <row r="23773">
      <c r="D23773" s="9"/>
      <c r="G23773" s="9"/>
      <c r="J23773" s="11"/>
      <c r="U23773" s="9"/>
      <c r="X23773" s="9"/>
    </row>
    <row r="23774">
      <c r="D23774" s="9"/>
      <c r="G23774" s="9"/>
      <c r="J23774" s="11"/>
      <c r="U23774" s="9"/>
      <c r="X23774" s="9"/>
    </row>
    <row r="23775">
      <c r="D23775" s="9"/>
      <c r="G23775" s="9"/>
      <c r="J23775" s="11"/>
      <c r="U23775" s="9"/>
      <c r="X23775" s="9"/>
    </row>
    <row r="23776">
      <c r="D23776" s="9"/>
      <c r="G23776" s="9"/>
      <c r="J23776" s="11"/>
      <c r="U23776" s="9"/>
      <c r="X23776" s="9"/>
    </row>
    <row r="23777">
      <c r="D23777" s="9"/>
      <c r="G23777" s="9"/>
      <c r="J23777" s="11"/>
      <c r="U23777" s="9"/>
      <c r="X23777" s="9"/>
    </row>
    <row r="23778">
      <c r="D23778" s="9"/>
      <c r="G23778" s="9"/>
      <c r="J23778" s="11"/>
      <c r="U23778" s="9"/>
      <c r="X23778" s="9"/>
    </row>
    <row r="23779">
      <c r="D23779" s="9"/>
      <c r="G23779" s="9"/>
      <c r="J23779" s="11"/>
      <c r="U23779" s="9"/>
      <c r="X23779" s="9"/>
    </row>
    <row r="23780">
      <c r="D23780" s="9"/>
      <c r="G23780" s="9"/>
      <c r="J23780" s="11"/>
      <c r="U23780" s="9"/>
      <c r="X23780" s="9"/>
    </row>
    <row r="23781">
      <c r="D23781" s="9"/>
      <c r="G23781" s="9"/>
      <c r="J23781" s="11"/>
      <c r="U23781" s="9"/>
      <c r="X23781" s="9"/>
    </row>
    <row r="23782">
      <c r="D23782" s="9"/>
      <c r="G23782" s="9"/>
      <c r="J23782" s="11"/>
      <c r="U23782" s="9"/>
      <c r="X23782" s="9"/>
    </row>
    <row r="23783">
      <c r="D23783" s="9"/>
      <c r="G23783" s="9"/>
      <c r="J23783" s="11"/>
      <c r="U23783" s="9"/>
      <c r="X23783" s="9"/>
    </row>
    <row r="23784">
      <c r="D23784" s="9"/>
      <c r="G23784" s="9"/>
      <c r="J23784" s="11"/>
      <c r="U23784" s="9"/>
      <c r="X23784" s="9"/>
    </row>
    <row r="23785">
      <c r="D23785" s="9"/>
      <c r="G23785" s="9"/>
      <c r="J23785" s="11"/>
      <c r="U23785" s="9"/>
      <c r="X23785" s="9"/>
    </row>
    <row r="23786">
      <c r="D23786" s="9"/>
      <c r="G23786" s="9"/>
      <c r="J23786" s="11"/>
      <c r="U23786" s="9"/>
      <c r="X23786" s="9"/>
    </row>
    <row r="23787">
      <c r="D23787" s="9"/>
      <c r="G23787" s="9"/>
      <c r="J23787" s="11"/>
      <c r="U23787" s="9"/>
      <c r="X23787" s="9"/>
    </row>
    <row r="23788">
      <c r="D23788" s="9"/>
      <c r="G23788" s="9"/>
      <c r="J23788" s="11"/>
      <c r="U23788" s="9"/>
      <c r="X23788" s="9"/>
    </row>
    <row r="23789">
      <c r="D23789" s="9"/>
      <c r="G23789" s="9"/>
      <c r="J23789" s="11"/>
      <c r="U23789" s="9"/>
      <c r="X23789" s="9"/>
    </row>
    <row r="23790">
      <c r="D23790" s="9"/>
      <c r="G23790" s="9"/>
      <c r="J23790" s="11"/>
      <c r="U23790" s="9"/>
      <c r="X23790" s="9"/>
    </row>
    <row r="23791">
      <c r="D23791" s="9"/>
      <c r="G23791" s="9"/>
      <c r="J23791" s="11"/>
      <c r="U23791" s="9"/>
      <c r="X23791" s="9"/>
    </row>
    <row r="23792">
      <c r="D23792" s="9"/>
      <c r="G23792" s="9"/>
      <c r="J23792" s="11"/>
      <c r="U23792" s="9"/>
      <c r="X23792" s="9"/>
    </row>
    <row r="23793">
      <c r="D23793" s="9"/>
      <c r="G23793" s="9"/>
      <c r="J23793" s="11"/>
      <c r="U23793" s="9"/>
      <c r="X23793" s="9"/>
    </row>
    <row r="23794">
      <c r="D23794" s="9"/>
      <c r="G23794" s="9"/>
      <c r="J23794" s="11"/>
      <c r="U23794" s="9"/>
      <c r="X23794" s="9"/>
    </row>
    <row r="23795">
      <c r="D23795" s="9"/>
      <c r="G23795" s="9"/>
      <c r="J23795" s="11"/>
      <c r="U23795" s="9"/>
      <c r="X23795" s="9"/>
    </row>
    <row r="23796">
      <c r="D23796" s="9"/>
      <c r="G23796" s="9"/>
      <c r="J23796" s="11"/>
      <c r="U23796" s="9"/>
      <c r="X23796" s="9"/>
    </row>
    <row r="23797">
      <c r="D23797" s="9"/>
      <c r="G23797" s="9"/>
      <c r="J23797" s="11"/>
      <c r="U23797" s="9"/>
      <c r="X23797" s="9"/>
    </row>
    <row r="23798">
      <c r="D23798" s="9"/>
      <c r="G23798" s="9"/>
      <c r="J23798" s="11"/>
      <c r="U23798" s="9"/>
      <c r="X23798" s="9"/>
    </row>
    <row r="23799">
      <c r="D23799" s="9"/>
      <c r="G23799" s="9"/>
      <c r="J23799" s="11"/>
      <c r="U23799" s="9"/>
      <c r="X23799" s="9"/>
    </row>
    <row r="23800">
      <c r="D23800" s="9"/>
      <c r="G23800" s="9"/>
      <c r="J23800" s="11"/>
      <c r="U23800" s="9"/>
      <c r="X23800" s="9"/>
    </row>
    <row r="23801">
      <c r="D23801" s="9"/>
      <c r="G23801" s="9"/>
      <c r="J23801" s="11"/>
      <c r="U23801" s="9"/>
      <c r="X23801" s="9"/>
    </row>
    <row r="23802">
      <c r="D23802" s="9"/>
      <c r="G23802" s="9"/>
      <c r="J23802" s="11"/>
      <c r="U23802" s="9"/>
      <c r="X23802" s="9"/>
    </row>
    <row r="23803">
      <c r="D23803" s="9"/>
      <c r="G23803" s="9"/>
      <c r="J23803" s="11"/>
      <c r="U23803" s="9"/>
      <c r="X23803" s="9"/>
    </row>
    <row r="23804">
      <c r="D23804" s="9"/>
      <c r="G23804" s="9"/>
      <c r="J23804" s="11"/>
      <c r="U23804" s="9"/>
      <c r="X23804" s="9"/>
    </row>
    <row r="23805">
      <c r="D23805" s="9"/>
      <c r="G23805" s="9"/>
      <c r="J23805" s="11"/>
      <c r="U23805" s="9"/>
      <c r="X23805" s="9"/>
    </row>
    <row r="23806">
      <c r="D23806" s="9"/>
      <c r="G23806" s="9"/>
      <c r="J23806" s="11"/>
      <c r="U23806" s="9"/>
      <c r="X23806" s="9"/>
    </row>
    <row r="23807">
      <c r="D23807" s="9"/>
      <c r="G23807" s="9"/>
      <c r="J23807" s="11"/>
      <c r="U23807" s="9"/>
      <c r="X23807" s="9"/>
    </row>
    <row r="23808">
      <c r="D23808" s="9"/>
      <c r="G23808" s="9"/>
      <c r="J23808" s="11"/>
      <c r="U23808" s="9"/>
      <c r="X23808" s="9"/>
    </row>
    <row r="23809">
      <c r="D23809" s="9"/>
      <c r="G23809" s="9"/>
      <c r="J23809" s="11"/>
      <c r="U23809" s="9"/>
      <c r="X23809" s="9"/>
    </row>
    <row r="23810">
      <c r="D23810" s="9"/>
      <c r="G23810" s="9"/>
      <c r="J23810" s="11"/>
      <c r="U23810" s="9"/>
      <c r="X23810" s="9"/>
    </row>
    <row r="23811">
      <c r="D23811" s="9"/>
      <c r="G23811" s="9"/>
      <c r="J23811" s="11"/>
      <c r="U23811" s="9"/>
      <c r="X23811" s="9"/>
    </row>
    <row r="23812">
      <c r="D23812" s="9"/>
      <c r="G23812" s="9"/>
      <c r="J23812" s="11"/>
      <c r="U23812" s="9"/>
      <c r="X23812" s="9"/>
    </row>
    <row r="23813">
      <c r="D23813" s="9"/>
      <c r="G23813" s="9"/>
      <c r="J23813" s="11"/>
      <c r="U23813" s="9"/>
      <c r="X23813" s="9"/>
    </row>
    <row r="23814">
      <c r="D23814" s="9"/>
      <c r="G23814" s="9"/>
      <c r="J23814" s="11"/>
      <c r="U23814" s="9"/>
      <c r="X23814" s="9"/>
    </row>
    <row r="23815">
      <c r="D23815" s="9"/>
      <c r="G23815" s="9"/>
      <c r="J23815" s="11"/>
      <c r="U23815" s="9"/>
      <c r="X23815" s="9"/>
    </row>
    <row r="23816">
      <c r="D23816" s="9"/>
      <c r="G23816" s="9"/>
      <c r="J23816" s="11"/>
      <c r="U23816" s="9"/>
      <c r="X23816" s="9"/>
    </row>
    <row r="23817">
      <c r="D23817" s="9"/>
      <c r="G23817" s="9"/>
      <c r="J23817" s="11"/>
      <c r="U23817" s="9"/>
      <c r="X23817" s="9"/>
    </row>
    <row r="23818">
      <c r="D23818" s="9"/>
      <c r="G23818" s="9"/>
      <c r="J23818" s="11"/>
      <c r="U23818" s="9"/>
      <c r="X23818" s="9"/>
    </row>
    <row r="23819">
      <c r="D23819" s="9"/>
      <c r="G23819" s="9"/>
      <c r="J23819" s="11"/>
      <c r="U23819" s="9"/>
      <c r="X23819" s="9"/>
    </row>
    <row r="23820">
      <c r="D23820" s="9"/>
      <c r="G23820" s="9"/>
      <c r="J23820" s="11"/>
      <c r="U23820" s="9"/>
      <c r="X23820" s="9"/>
    </row>
    <row r="23821">
      <c r="D23821" s="9"/>
      <c r="G23821" s="9"/>
      <c r="J23821" s="11"/>
      <c r="U23821" s="9"/>
      <c r="X23821" s="9"/>
    </row>
    <row r="23822">
      <c r="D23822" s="9"/>
      <c r="G23822" s="9"/>
      <c r="J23822" s="11"/>
      <c r="U23822" s="9"/>
      <c r="X23822" s="9"/>
    </row>
    <row r="23823">
      <c r="D23823" s="9"/>
      <c r="G23823" s="9"/>
      <c r="J23823" s="11"/>
      <c r="U23823" s="9"/>
      <c r="X23823" s="9"/>
    </row>
    <row r="23824">
      <c r="D23824" s="9"/>
      <c r="G23824" s="9"/>
      <c r="J23824" s="11"/>
      <c r="U23824" s="9"/>
      <c r="X23824" s="9"/>
    </row>
    <row r="23825">
      <c r="D23825" s="9"/>
      <c r="G23825" s="9"/>
      <c r="J23825" s="11"/>
      <c r="U23825" s="9"/>
      <c r="X23825" s="9"/>
    </row>
    <row r="23826">
      <c r="D23826" s="9"/>
      <c r="G23826" s="9"/>
      <c r="J23826" s="11"/>
      <c r="U23826" s="9"/>
      <c r="X23826" s="9"/>
    </row>
    <row r="23827">
      <c r="D23827" s="9"/>
      <c r="G23827" s="9"/>
      <c r="J23827" s="11"/>
      <c r="U23827" s="9"/>
      <c r="X23827" s="9"/>
    </row>
    <row r="23828">
      <c r="D23828" s="9"/>
      <c r="G23828" s="9"/>
      <c r="J23828" s="11"/>
      <c r="U23828" s="9"/>
      <c r="X23828" s="9"/>
    </row>
    <row r="23829">
      <c r="D23829" s="9"/>
      <c r="G23829" s="9"/>
      <c r="J23829" s="11"/>
      <c r="U23829" s="9"/>
      <c r="X23829" s="9"/>
    </row>
    <row r="23830">
      <c r="D23830" s="9"/>
      <c r="G23830" s="9"/>
      <c r="J23830" s="11"/>
      <c r="U23830" s="9"/>
      <c r="X23830" s="9"/>
    </row>
    <row r="23831">
      <c r="D23831" s="9"/>
      <c r="G23831" s="9"/>
      <c r="J23831" s="11"/>
      <c r="U23831" s="9"/>
      <c r="X23831" s="9"/>
    </row>
    <row r="23832">
      <c r="D23832" s="9"/>
      <c r="G23832" s="9"/>
      <c r="J23832" s="11"/>
      <c r="U23832" s="9"/>
      <c r="X23832" s="9"/>
    </row>
    <row r="23833">
      <c r="D23833" s="9"/>
      <c r="G23833" s="9"/>
      <c r="J23833" s="11"/>
      <c r="U23833" s="9"/>
      <c r="X23833" s="9"/>
    </row>
    <row r="23834">
      <c r="D23834" s="9"/>
      <c r="G23834" s="9"/>
      <c r="J23834" s="11"/>
      <c r="U23834" s="9"/>
      <c r="X23834" s="9"/>
    </row>
    <row r="23835">
      <c r="D23835" s="9"/>
      <c r="G23835" s="9"/>
      <c r="J23835" s="11"/>
      <c r="U23835" s="9"/>
      <c r="X23835" s="9"/>
    </row>
    <row r="23836">
      <c r="D23836" s="9"/>
      <c r="G23836" s="9"/>
      <c r="J23836" s="11"/>
      <c r="U23836" s="9"/>
      <c r="X23836" s="9"/>
    </row>
    <row r="23837">
      <c r="D23837" s="9"/>
      <c r="G23837" s="9"/>
      <c r="J23837" s="11"/>
      <c r="U23837" s="9"/>
      <c r="X23837" s="9"/>
    </row>
    <row r="23838">
      <c r="D23838" s="9"/>
      <c r="G23838" s="9"/>
      <c r="J23838" s="11"/>
      <c r="U23838" s="9"/>
      <c r="X23838" s="9"/>
    </row>
    <row r="23839">
      <c r="D23839" s="9"/>
      <c r="G23839" s="9"/>
      <c r="J23839" s="11"/>
      <c r="U23839" s="9"/>
      <c r="X23839" s="9"/>
    </row>
    <row r="23840">
      <c r="D23840" s="9"/>
      <c r="G23840" s="9"/>
      <c r="J23840" s="11"/>
      <c r="U23840" s="9"/>
      <c r="X23840" s="9"/>
    </row>
    <row r="23841">
      <c r="D23841" s="9"/>
      <c r="G23841" s="9"/>
      <c r="J23841" s="11"/>
      <c r="U23841" s="9"/>
      <c r="X23841" s="9"/>
    </row>
    <row r="23842">
      <c r="D23842" s="9"/>
      <c r="G23842" s="9"/>
      <c r="J23842" s="11"/>
      <c r="U23842" s="9"/>
      <c r="X23842" s="9"/>
    </row>
    <row r="23843">
      <c r="D23843" s="9"/>
      <c r="G23843" s="9"/>
      <c r="J23843" s="11"/>
      <c r="U23843" s="9"/>
      <c r="X23843" s="9"/>
    </row>
    <row r="23844">
      <c r="D23844" s="9"/>
      <c r="G23844" s="9"/>
      <c r="J23844" s="11"/>
      <c r="U23844" s="9"/>
      <c r="X23844" s="9"/>
    </row>
    <row r="23845">
      <c r="D23845" s="9"/>
      <c r="G23845" s="9"/>
      <c r="J23845" s="11"/>
      <c r="U23845" s="9"/>
      <c r="X23845" s="9"/>
    </row>
    <row r="23846">
      <c r="D23846" s="9"/>
      <c r="G23846" s="9"/>
      <c r="J23846" s="11"/>
      <c r="U23846" s="9"/>
      <c r="X23846" s="9"/>
    </row>
    <row r="23847">
      <c r="D23847" s="9"/>
      <c r="G23847" s="9"/>
      <c r="J23847" s="11"/>
      <c r="U23847" s="9"/>
      <c r="X23847" s="9"/>
    </row>
    <row r="23848">
      <c r="D23848" s="9"/>
      <c r="G23848" s="9"/>
      <c r="J23848" s="11"/>
      <c r="U23848" s="9"/>
      <c r="X23848" s="9"/>
    </row>
    <row r="23849">
      <c r="D23849" s="9"/>
      <c r="G23849" s="9"/>
      <c r="J23849" s="11"/>
      <c r="U23849" s="9"/>
      <c r="X23849" s="9"/>
    </row>
    <row r="23850">
      <c r="D23850" s="9"/>
      <c r="G23850" s="9"/>
      <c r="J23850" s="11"/>
      <c r="U23850" s="9"/>
      <c r="X23850" s="9"/>
    </row>
    <row r="23851">
      <c r="D23851" s="9"/>
      <c r="G23851" s="9"/>
      <c r="J23851" s="11"/>
      <c r="U23851" s="9"/>
      <c r="X23851" s="9"/>
    </row>
    <row r="23852">
      <c r="D23852" s="9"/>
      <c r="G23852" s="9"/>
      <c r="J23852" s="11"/>
      <c r="U23852" s="9"/>
      <c r="X23852" s="9"/>
    </row>
    <row r="23853">
      <c r="D23853" s="9"/>
      <c r="G23853" s="9"/>
      <c r="J23853" s="11"/>
      <c r="U23853" s="9"/>
      <c r="X23853" s="9"/>
    </row>
    <row r="23854">
      <c r="D23854" s="9"/>
      <c r="G23854" s="9"/>
      <c r="J23854" s="11"/>
      <c r="U23854" s="9"/>
      <c r="X23854" s="9"/>
    </row>
    <row r="23855">
      <c r="D23855" s="9"/>
      <c r="G23855" s="9"/>
      <c r="J23855" s="11"/>
      <c r="U23855" s="9"/>
      <c r="X23855" s="9"/>
    </row>
    <row r="23856">
      <c r="D23856" s="9"/>
      <c r="G23856" s="9"/>
      <c r="J23856" s="11"/>
      <c r="U23856" s="9"/>
      <c r="X23856" s="9"/>
    </row>
    <row r="23857">
      <c r="D23857" s="9"/>
      <c r="G23857" s="9"/>
      <c r="J23857" s="11"/>
      <c r="U23857" s="9"/>
      <c r="X23857" s="9"/>
    </row>
    <row r="23858">
      <c r="D23858" s="9"/>
      <c r="G23858" s="9"/>
      <c r="J23858" s="11"/>
      <c r="U23858" s="9"/>
      <c r="X23858" s="9"/>
    </row>
    <row r="23859">
      <c r="D23859" s="9"/>
      <c r="G23859" s="9"/>
      <c r="J23859" s="11"/>
      <c r="U23859" s="9"/>
      <c r="X23859" s="9"/>
    </row>
    <row r="23860">
      <c r="D23860" s="9"/>
      <c r="G23860" s="9"/>
      <c r="J23860" s="11"/>
      <c r="U23860" s="9"/>
      <c r="X23860" s="9"/>
    </row>
    <row r="23861">
      <c r="D23861" s="9"/>
      <c r="G23861" s="9"/>
      <c r="J23861" s="11"/>
      <c r="U23861" s="9"/>
      <c r="X23861" s="9"/>
    </row>
    <row r="23862">
      <c r="D23862" s="9"/>
      <c r="G23862" s="9"/>
      <c r="J23862" s="11"/>
      <c r="U23862" s="9"/>
      <c r="X23862" s="9"/>
    </row>
    <row r="23863">
      <c r="D23863" s="9"/>
      <c r="G23863" s="9"/>
      <c r="J23863" s="11"/>
      <c r="U23863" s="9"/>
      <c r="X23863" s="9"/>
    </row>
    <row r="23864">
      <c r="D23864" s="9"/>
      <c r="G23864" s="9"/>
      <c r="J23864" s="11"/>
      <c r="U23864" s="9"/>
      <c r="X23864" s="9"/>
    </row>
    <row r="23865">
      <c r="D23865" s="9"/>
      <c r="G23865" s="9"/>
      <c r="J23865" s="11"/>
      <c r="U23865" s="9"/>
      <c r="X23865" s="9"/>
    </row>
    <row r="23866">
      <c r="D23866" s="9"/>
      <c r="G23866" s="9"/>
      <c r="J23866" s="11"/>
      <c r="U23866" s="9"/>
      <c r="X23866" s="9"/>
    </row>
    <row r="23867">
      <c r="D23867" s="9"/>
      <c r="G23867" s="9"/>
      <c r="J23867" s="11"/>
      <c r="U23867" s="9"/>
      <c r="X23867" s="9"/>
    </row>
    <row r="23868">
      <c r="D23868" s="9"/>
      <c r="G23868" s="9"/>
      <c r="J23868" s="11"/>
      <c r="U23868" s="9"/>
      <c r="X23868" s="9"/>
    </row>
    <row r="23869">
      <c r="D23869" s="9"/>
      <c r="G23869" s="9"/>
      <c r="J23869" s="11"/>
      <c r="U23869" s="9"/>
      <c r="X23869" s="9"/>
    </row>
    <row r="23870">
      <c r="D23870" s="9"/>
      <c r="G23870" s="9"/>
      <c r="J23870" s="11"/>
      <c r="U23870" s="9"/>
      <c r="X23870" s="9"/>
    </row>
    <row r="23871">
      <c r="D23871" s="9"/>
      <c r="G23871" s="9"/>
      <c r="J23871" s="11"/>
      <c r="U23871" s="9"/>
      <c r="X23871" s="9"/>
    </row>
    <row r="23872">
      <c r="D23872" s="9"/>
      <c r="G23872" s="9"/>
      <c r="J23872" s="11"/>
      <c r="U23872" s="9"/>
      <c r="X23872" s="9"/>
    </row>
    <row r="23873">
      <c r="D23873" s="9"/>
      <c r="G23873" s="9"/>
      <c r="J23873" s="11"/>
      <c r="U23873" s="9"/>
      <c r="X23873" s="9"/>
    </row>
    <row r="23874">
      <c r="D23874" s="9"/>
      <c r="G23874" s="9"/>
      <c r="J23874" s="11"/>
      <c r="U23874" s="9"/>
      <c r="X23874" s="9"/>
    </row>
    <row r="23875">
      <c r="D23875" s="9"/>
      <c r="G23875" s="9"/>
      <c r="J23875" s="11"/>
      <c r="U23875" s="9"/>
      <c r="X23875" s="9"/>
    </row>
    <row r="23876">
      <c r="D23876" s="9"/>
      <c r="G23876" s="9"/>
      <c r="J23876" s="11"/>
      <c r="U23876" s="9"/>
      <c r="X23876" s="9"/>
    </row>
    <row r="23877">
      <c r="D23877" s="9"/>
      <c r="G23877" s="9"/>
      <c r="J23877" s="11"/>
      <c r="U23877" s="9"/>
      <c r="X23877" s="9"/>
    </row>
    <row r="23878">
      <c r="D23878" s="9"/>
      <c r="G23878" s="9"/>
      <c r="J23878" s="11"/>
      <c r="U23878" s="9"/>
      <c r="X23878" s="9"/>
    </row>
    <row r="23879">
      <c r="D23879" s="9"/>
      <c r="G23879" s="9"/>
      <c r="J23879" s="11"/>
      <c r="U23879" s="9"/>
      <c r="X23879" s="9"/>
    </row>
    <row r="23880">
      <c r="D23880" s="9"/>
      <c r="G23880" s="9"/>
      <c r="J23880" s="11"/>
      <c r="U23880" s="9"/>
      <c r="X23880" s="9"/>
    </row>
    <row r="23881">
      <c r="D23881" s="9"/>
      <c r="G23881" s="9"/>
      <c r="J23881" s="11"/>
      <c r="U23881" s="9"/>
      <c r="X23881" s="9"/>
    </row>
    <row r="23882">
      <c r="D23882" s="9"/>
      <c r="G23882" s="9"/>
      <c r="J23882" s="11"/>
      <c r="U23882" s="9"/>
      <c r="X23882" s="9"/>
    </row>
    <row r="23883">
      <c r="D23883" s="9"/>
      <c r="G23883" s="9"/>
      <c r="J23883" s="11"/>
      <c r="U23883" s="9"/>
      <c r="X23883" s="9"/>
    </row>
    <row r="23884">
      <c r="D23884" s="9"/>
      <c r="G23884" s="9"/>
      <c r="J23884" s="11"/>
      <c r="U23884" s="9"/>
      <c r="X23884" s="9"/>
    </row>
    <row r="23885">
      <c r="D23885" s="9"/>
      <c r="G23885" s="9"/>
      <c r="J23885" s="11"/>
      <c r="U23885" s="9"/>
      <c r="X23885" s="9"/>
    </row>
    <row r="23886">
      <c r="D23886" s="9"/>
      <c r="G23886" s="9"/>
      <c r="J23886" s="11"/>
      <c r="U23886" s="9"/>
      <c r="X23886" s="9"/>
    </row>
    <row r="23887">
      <c r="D23887" s="9"/>
      <c r="G23887" s="9"/>
      <c r="J23887" s="11"/>
      <c r="U23887" s="9"/>
      <c r="X23887" s="9"/>
    </row>
    <row r="23888">
      <c r="D23888" s="9"/>
      <c r="G23888" s="9"/>
      <c r="J23888" s="11"/>
      <c r="U23888" s="9"/>
      <c r="X23888" s="9"/>
    </row>
    <row r="23889">
      <c r="D23889" s="9"/>
      <c r="G23889" s="9"/>
      <c r="J23889" s="11"/>
      <c r="U23889" s="9"/>
      <c r="X23889" s="9"/>
    </row>
    <row r="23890">
      <c r="D23890" s="9"/>
      <c r="G23890" s="9"/>
      <c r="J23890" s="11"/>
      <c r="U23890" s="9"/>
      <c r="X23890" s="9"/>
    </row>
    <row r="23891">
      <c r="D23891" s="9"/>
      <c r="G23891" s="9"/>
      <c r="J23891" s="11"/>
      <c r="U23891" s="9"/>
      <c r="X23891" s="9"/>
    </row>
    <row r="23892">
      <c r="D23892" s="9"/>
      <c r="G23892" s="9"/>
      <c r="J23892" s="11"/>
      <c r="U23892" s="9"/>
      <c r="X23892" s="9"/>
    </row>
    <row r="23893">
      <c r="D23893" s="9"/>
      <c r="G23893" s="9"/>
      <c r="J23893" s="11"/>
      <c r="U23893" s="9"/>
      <c r="X23893" s="9"/>
    </row>
    <row r="23894">
      <c r="D23894" s="9"/>
      <c r="G23894" s="9"/>
      <c r="J23894" s="11"/>
      <c r="U23894" s="9"/>
      <c r="X23894" s="9"/>
    </row>
    <row r="23895">
      <c r="D23895" s="9"/>
      <c r="G23895" s="9"/>
      <c r="J23895" s="11"/>
      <c r="U23895" s="9"/>
      <c r="X23895" s="9"/>
    </row>
    <row r="23896">
      <c r="D23896" s="9"/>
      <c r="G23896" s="9"/>
      <c r="J23896" s="11"/>
      <c r="U23896" s="9"/>
      <c r="X23896" s="9"/>
    </row>
    <row r="23897">
      <c r="D23897" s="9"/>
      <c r="G23897" s="9"/>
      <c r="J23897" s="11"/>
      <c r="U23897" s="9"/>
      <c r="X23897" s="9"/>
    </row>
    <row r="23898">
      <c r="D23898" s="9"/>
      <c r="G23898" s="9"/>
      <c r="J23898" s="11"/>
      <c r="U23898" s="9"/>
      <c r="X23898" s="9"/>
    </row>
    <row r="23899">
      <c r="D23899" s="9"/>
      <c r="G23899" s="9"/>
      <c r="J23899" s="11"/>
      <c r="U23899" s="9"/>
      <c r="X23899" s="9"/>
    </row>
    <row r="23900">
      <c r="D23900" s="9"/>
      <c r="G23900" s="9"/>
      <c r="J23900" s="11"/>
      <c r="U23900" s="9"/>
      <c r="X23900" s="9"/>
    </row>
    <row r="23901">
      <c r="D23901" s="9"/>
      <c r="G23901" s="9"/>
      <c r="J23901" s="11"/>
      <c r="U23901" s="9"/>
      <c r="X23901" s="9"/>
    </row>
    <row r="23902">
      <c r="D23902" s="9"/>
      <c r="G23902" s="9"/>
      <c r="J23902" s="11"/>
      <c r="U23902" s="9"/>
      <c r="X23902" s="9"/>
    </row>
    <row r="23903">
      <c r="D23903" s="9"/>
      <c r="G23903" s="9"/>
      <c r="J23903" s="11"/>
      <c r="U23903" s="9"/>
      <c r="X23903" s="9"/>
    </row>
    <row r="23904">
      <c r="D23904" s="9"/>
      <c r="G23904" s="9"/>
      <c r="J23904" s="11"/>
      <c r="U23904" s="9"/>
      <c r="X23904" s="9"/>
    </row>
    <row r="23905">
      <c r="D23905" s="9"/>
      <c r="G23905" s="9"/>
      <c r="J23905" s="11"/>
      <c r="U23905" s="9"/>
      <c r="X23905" s="9"/>
    </row>
    <row r="23906">
      <c r="D23906" s="9"/>
      <c r="G23906" s="9"/>
      <c r="J23906" s="11"/>
      <c r="U23906" s="9"/>
      <c r="X23906" s="9"/>
    </row>
    <row r="23907">
      <c r="D23907" s="9"/>
      <c r="G23907" s="9"/>
      <c r="J23907" s="11"/>
      <c r="U23907" s="9"/>
      <c r="X23907" s="9"/>
    </row>
    <row r="23908">
      <c r="D23908" s="9"/>
      <c r="G23908" s="9"/>
      <c r="J23908" s="11"/>
      <c r="U23908" s="9"/>
      <c r="X23908" s="9"/>
    </row>
    <row r="23909">
      <c r="D23909" s="9"/>
      <c r="G23909" s="9"/>
      <c r="J23909" s="11"/>
      <c r="U23909" s="9"/>
      <c r="X23909" s="9"/>
    </row>
    <row r="23910">
      <c r="D23910" s="9"/>
      <c r="G23910" s="9"/>
      <c r="J23910" s="11"/>
      <c r="U23910" s="9"/>
      <c r="X23910" s="9"/>
    </row>
    <row r="23911">
      <c r="D23911" s="9"/>
      <c r="G23911" s="9"/>
      <c r="J23911" s="11"/>
      <c r="U23911" s="9"/>
      <c r="X23911" s="9"/>
    </row>
    <row r="23912">
      <c r="D23912" s="9"/>
      <c r="G23912" s="9"/>
      <c r="J23912" s="11"/>
      <c r="U23912" s="9"/>
      <c r="X23912" s="9"/>
    </row>
    <row r="23913">
      <c r="D23913" s="9"/>
      <c r="G23913" s="9"/>
      <c r="J23913" s="11"/>
      <c r="U23913" s="9"/>
      <c r="X23913" s="9"/>
    </row>
    <row r="23914">
      <c r="D23914" s="9"/>
      <c r="G23914" s="9"/>
      <c r="J23914" s="11"/>
      <c r="U23914" s="9"/>
      <c r="X23914" s="9"/>
    </row>
    <row r="23915">
      <c r="D23915" s="9"/>
      <c r="G23915" s="9"/>
      <c r="J23915" s="11"/>
      <c r="U23915" s="9"/>
      <c r="X23915" s="9"/>
    </row>
    <row r="23916">
      <c r="D23916" s="9"/>
      <c r="G23916" s="9"/>
      <c r="J23916" s="11"/>
      <c r="U23916" s="9"/>
      <c r="X23916" s="9"/>
    </row>
    <row r="23917">
      <c r="D23917" s="9"/>
      <c r="G23917" s="9"/>
      <c r="J23917" s="11"/>
      <c r="U23917" s="9"/>
      <c r="X23917" s="9"/>
    </row>
    <row r="23918">
      <c r="D23918" s="9"/>
      <c r="G23918" s="9"/>
      <c r="J23918" s="11"/>
      <c r="U23918" s="9"/>
      <c r="X23918" s="9"/>
    </row>
    <row r="23919">
      <c r="D23919" s="9"/>
      <c r="G23919" s="9"/>
      <c r="J23919" s="11"/>
      <c r="U23919" s="9"/>
      <c r="X23919" s="9"/>
    </row>
    <row r="23920">
      <c r="D23920" s="9"/>
      <c r="G23920" s="9"/>
      <c r="J23920" s="11"/>
      <c r="U23920" s="9"/>
      <c r="X23920" s="9"/>
    </row>
    <row r="23921">
      <c r="D23921" s="9"/>
      <c r="G23921" s="9"/>
      <c r="J23921" s="11"/>
      <c r="U23921" s="9"/>
      <c r="X23921" s="9"/>
    </row>
    <row r="23922">
      <c r="D23922" s="9"/>
      <c r="G23922" s="9"/>
      <c r="J23922" s="11"/>
      <c r="U23922" s="9"/>
      <c r="X23922" s="9"/>
    </row>
    <row r="23923">
      <c r="D23923" s="9"/>
      <c r="G23923" s="9"/>
      <c r="J23923" s="11"/>
      <c r="U23923" s="9"/>
      <c r="X23923" s="9"/>
    </row>
    <row r="23924">
      <c r="D23924" s="9"/>
      <c r="G23924" s="9"/>
      <c r="J23924" s="11"/>
      <c r="U23924" s="9"/>
      <c r="X23924" s="9"/>
    </row>
    <row r="23925">
      <c r="D23925" s="9"/>
      <c r="G23925" s="9"/>
      <c r="J23925" s="11"/>
      <c r="U23925" s="9"/>
      <c r="X23925" s="9"/>
    </row>
    <row r="23926">
      <c r="D23926" s="9"/>
      <c r="G23926" s="9"/>
      <c r="J23926" s="11"/>
      <c r="U23926" s="9"/>
      <c r="X23926" s="9"/>
    </row>
    <row r="23927">
      <c r="D23927" s="9"/>
      <c r="G23927" s="9"/>
      <c r="J23927" s="11"/>
      <c r="U23927" s="9"/>
      <c r="X23927" s="9"/>
    </row>
    <row r="23928">
      <c r="D23928" s="9"/>
      <c r="G23928" s="9"/>
      <c r="J23928" s="11"/>
      <c r="U23928" s="9"/>
      <c r="X23928" s="9"/>
    </row>
    <row r="23929">
      <c r="D23929" s="9"/>
      <c r="G23929" s="9"/>
      <c r="J23929" s="11"/>
      <c r="U23929" s="9"/>
      <c r="X23929" s="9"/>
    </row>
    <row r="23930">
      <c r="D23930" s="9"/>
      <c r="G23930" s="9"/>
      <c r="J23930" s="11"/>
      <c r="U23930" s="9"/>
      <c r="X23930" s="9"/>
    </row>
    <row r="23931">
      <c r="D23931" s="9"/>
      <c r="G23931" s="9"/>
      <c r="J23931" s="11"/>
      <c r="U23931" s="9"/>
      <c r="X23931" s="9"/>
    </row>
    <row r="23932">
      <c r="D23932" s="9"/>
      <c r="G23932" s="9"/>
      <c r="J23932" s="11"/>
      <c r="U23932" s="9"/>
      <c r="X23932" s="9"/>
    </row>
    <row r="23933">
      <c r="D23933" s="9"/>
      <c r="G23933" s="9"/>
      <c r="J23933" s="11"/>
      <c r="U23933" s="9"/>
      <c r="X23933" s="9"/>
    </row>
    <row r="23934">
      <c r="D23934" s="9"/>
      <c r="G23934" s="9"/>
      <c r="J23934" s="11"/>
      <c r="U23934" s="9"/>
      <c r="X23934" s="9"/>
    </row>
    <row r="23935">
      <c r="D23935" s="9"/>
      <c r="G23935" s="9"/>
      <c r="J23935" s="11"/>
      <c r="U23935" s="9"/>
      <c r="X23935" s="9"/>
    </row>
    <row r="23936">
      <c r="D23936" s="9"/>
      <c r="G23936" s="9"/>
      <c r="J23936" s="11"/>
      <c r="U23936" s="9"/>
      <c r="X23936" s="9"/>
    </row>
    <row r="23937">
      <c r="D23937" s="9"/>
      <c r="G23937" s="9"/>
      <c r="J23937" s="11"/>
      <c r="U23937" s="9"/>
      <c r="X23937" s="9"/>
    </row>
    <row r="23938">
      <c r="D23938" s="9"/>
      <c r="G23938" s="9"/>
      <c r="J23938" s="11"/>
      <c r="U23938" s="9"/>
      <c r="X23938" s="9"/>
    </row>
    <row r="23939">
      <c r="D23939" s="9"/>
      <c r="G23939" s="9"/>
      <c r="J23939" s="11"/>
      <c r="U23939" s="9"/>
      <c r="X23939" s="9"/>
    </row>
    <row r="23940">
      <c r="D23940" s="9"/>
      <c r="G23940" s="9"/>
      <c r="J23940" s="11"/>
      <c r="U23940" s="9"/>
      <c r="X23940" s="9"/>
    </row>
    <row r="23941">
      <c r="D23941" s="9"/>
      <c r="G23941" s="9"/>
      <c r="J23941" s="11"/>
      <c r="U23941" s="9"/>
      <c r="X23941" s="9"/>
    </row>
    <row r="23942">
      <c r="D23942" s="9"/>
      <c r="G23942" s="9"/>
      <c r="J23942" s="11"/>
      <c r="U23942" s="9"/>
      <c r="X23942" s="9"/>
    </row>
    <row r="23943">
      <c r="D23943" s="9"/>
      <c r="G23943" s="9"/>
      <c r="J23943" s="11"/>
      <c r="U23943" s="9"/>
      <c r="X23943" s="9"/>
    </row>
    <row r="23944">
      <c r="D23944" s="9"/>
      <c r="G23944" s="9"/>
      <c r="J23944" s="11"/>
      <c r="U23944" s="9"/>
      <c r="X23944" s="9"/>
    </row>
    <row r="23945">
      <c r="D23945" s="9"/>
      <c r="G23945" s="9"/>
      <c r="J23945" s="11"/>
      <c r="U23945" s="9"/>
      <c r="X23945" s="9"/>
    </row>
    <row r="23946">
      <c r="D23946" s="9"/>
      <c r="G23946" s="9"/>
      <c r="J23946" s="11"/>
      <c r="U23946" s="9"/>
      <c r="X23946" s="9"/>
    </row>
    <row r="23947">
      <c r="D23947" s="9"/>
      <c r="G23947" s="9"/>
      <c r="J23947" s="11"/>
      <c r="U23947" s="9"/>
      <c r="X23947" s="9"/>
    </row>
    <row r="23948">
      <c r="D23948" s="9"/>
      <c r="G23948" s="9"/>
      <c r="J23948" s="11"/>
      <c r="U23948" s="9"/>
      <c r="X23948" s="9"/>
    </row>
    <row r="23949">
      <c r="D23949" s="9"/>
      <c r="G23949" s="9"/>
      <c r="J23949" s="11"/>
      <c r="U23949" s="9"/>
      <c r="X23949" s="9"/>
    </row>
    <row r="23950">
      <c r="D23950" s="9"/>
      <c r="G23950" s="9"/>
      <c r="J23950" s="11"/>
      <c r="U23950" s="9"/>
      <c r="X23950" s="9"/>
    </row>
    <row r="23951">
      <c r="D23951" s="9"/>
      <c r="G23951" s="9"/>
      <c r="J23951" s="11"/>
      <c r="U23951" s="9"/>
      <c r="X23951" s="9"/>
    </row>
    <row r="23952">
      <c r="D23952" s="9"/>
      <c r="G23952" s="9"/>
      <c r="J23952" s="11"/>
      <c r="U23952" s="9"/>
      <c r="X23952" s="9"/>
    </row>
    <row r="23953">
      <c r="D23953" s="9"/>
      <c r="G23953" s="9"/>
      <c r="J23953" s="11"/>
      <c r="U23953" s="9"/>
      <c r="X23953" s="9"/>
    </row>
    <row r="23954">
      <c r="D23954" s="9"/>
      <c r="G23954" s="9"/>
      <c r="J23954" s="11"/>
      <c r="U23954" s="9"/>
      <c r="X23954" s="9"/>
    </row>
    <row r="23955">
      <c r="D23955" s="9"/>
      <c r="G23955" s="9"/>
      <c r="J23955" s="11"/>
      <c r="U23955" s="9"/>
      <c r="X23955" s="9"/>
    </row>
    <row r="23956">
      <c r="D23956" s="9"/>
      <c r="G23956" s="9"/>
      <c r="J23956" s="11"/>
      <c r="U23956" s="9"/>
      <c r="X23956" s="9"/>
    </row>
    <row r="23957">
      <c r="D23957" s="9"/>
      <c r="G23957" s="9"/>
      <c r="J23957" s="11"/>
      <c r="U23957" s="9"/>
      <c r="X23957" s="9"/>
    </row>
    <row r="23958">
      <c r="D23958" s="9"/>
      <c r="G23958" s="9"/>
      <c r="J23958" s="11"/>
      <c r="U23958" s="9"/>
      <c r="X23958" s="9"/>
    </row>
    <row r="23959">
      <c r="D23959" s="9"/>
      <c r="G23959" s="9"/>
      <c r="J23959" s="11"/>
      <c r="U23959" s="9"/>
      <c r="X23959" s="9"/>
    </row>
    <row r="23960">
      <c r="D23960" s="9"/>
      <c r="G23960" s="9"/>
      <c r="J23960" s="11"/>
      <c r="U23960" s="9"/>
      <c r="X23960" s="9"/>
    </row>
    <row r="23961">
      <c r="D23961" s="9"/>
      <c r="G23961" s="9"/>
      <c r="J23961" s="11"/>
      <c r="U23961" s="9"/>
      <c r="X23961" s="9"/>
    </row>
    <row r="23962">
      <c r="D23962" s="9"/>
      <c r="G23962" s="9"/>
      <c r="J23962" s="11"/>
      <c r="U23962" s="9"/>
      <c r="X23962" s="9"/>
    </row>
    <row r="23963">
      <c r="D23963" s="9"/>
      <c r="G23963" s="9"/>
      <c r="J23963" s="11"/>
      <c r="U23963" s="9"/>
      <c r="X23963" s="9"/>
    </row>
    <row r="23964">
      <c r="D23964" s="9"/>
      <c r="G23964" s="9"/>
      <c r="J23964" s="11"/>
      <c r="U23964" s="9"/>
      <c r="X23964" s="9"/>
    </row>
    <row r="23965">
      <c r="D23965" s="9"/>
      <c r="G23965" s="9"/>
      <c r="J23965" s="11"/>
      <c r="U23965" s="9"/>
      <c r="X23965" s="9"/>
    </row>
    <row r="23966">
      <c r="D23966" s="9"/>
      <c r="G23966" s="9"/>
      <c r="J23966" s="11"/>
      <c r="U23966" s="9"/>
      <c r="X23966" s="9"/>
    </row>
    <row r="23967">
      <c r="D23967" s="9"/>
      <c r="G23967" s="9"/>
      <c r="J23967" s="11"/>
      <c r="U23967" s="9"/>
      <c r="X23967" s="9"/>
    </row>
    <row r="23968">
      <c r="D23968" s="9"/>
      <c r="G23968" s="9"/>
      <c r="J23968" s="11"/>
      <c r="U23968" s="9"/>
      <c r="X23968" s="9"/>
    </row>
    <row r="23969">
      <c r="D23969" s="9"/>
      <c r="G23969" s="9"/>
      <c r="J23969" s="11"/>
      <c r="U23969" s="9"/>
      <c r="X23969" s="9"/>
    </row>
    <row r="23970">
      <c r="D23970" s="9"/>
      <c r="G23970" s="9"/>
      <c r="J23970" s="11"/>
      <c r="U23970" s="9"/>
      <c r="X23970" s="9"/>
    </row>
    <row r="23971">
      <c r="D23971" s="9"/>
      <c r="G23971" s="9"/>
      <c r="J23971" s="11"/>
      <c r="U23971" s="9"/>
      <c r="X23971" s="9"/>
    </row>
    <row r="23972">
      <c r="D23972" s="9"/>
      <c r="G23972" s="9"/>
      <c r="J23972" s="11"/>
      <c r="U23972" s="9"/>
      <c r="X23972" s="9"/>
    </row>
    <row r="23973">
      <c r="D23973" s="9"/>
      <c r="G23973" s="9"/>
      <c r="J23973" s="11"/>
      <c r="U23973" s="9"/>
      <c r="X23973" s="9"/>
    </row>
    <row r="23974">
      <c r="D23974" s="9"/>
      <c r="G23974" s="9"/>
      <c r="J23974" s="11"/>
      <c r="U23974" s="9"/>
      <c r="X23974" s="9"/>
    </row>
    <row r="23975">
      <c r="D23975" s="9"/>
      <c r="G23975" s="9"/>
      <c r="J23975" s="11"/>
      <c r="U23975" s="9"/>
      <c r="X23975" s="9"/>
    </row>
    <row r="23976">
      <c r="D23976" s="9"/>
      <c r="G23976" s="9"/>
      <c r="J23976" s="11"/>
      <c r="U23976" s="9"/>
      <c r="X23976" s="9"/>
    </row>
    <row r="23977">
      <c r="D23977" s="9"/>
      <c r="G23977" s="9"/>
      <c r="J23977" s="11"/>
      <c r="U23977" s="9"/>
      <c r="X23977" s="9"/>
    </row>
    <row r="23978">
      <c r="D23978" s="9"/>
      <c r="G23978" s="9"/>
      <c r="J23978" s="11"/>
      <c r="U23978" s="9"/>
      <c r="X23978" s="9"/>
    </row>
    <row r="23979">
      <c r="D23979" s="9"/>
      <c r="G23979" s="9"/>
      <c r="J23979" s="11"/>
      <c r="U23979" s="9"/>
      <c r="X23979" s="9"/>
    </row>
    <row r="23980">
      <c r="D23980" s="9"/>
      <c r="G23980" s="9"/>
      <c r="J23980" s="11"/>
      <c r="U23980" s="9"/>
      <c r="X23980" s="9"/>
    </row>
    <row r="23981">
      <c r="D23981" s="9"/>
      <c r="G23981" s="9"/>
      <c r="J23981" s="11"/>
      <c r="U23981" s="9"/>
      <c r="X23981" s="9"/>
    </row>
    <row r="23982">
      <c r="D23982" s="9"/>
      <c r="G23982" s="9"/>
      <c r="J23982" s="11"/>
      <c r="U23982" s="9"/>
      <c r="X23982" s="9"/>
    </row>
    <row r="23983">
      <c r="D23983" s="9"/>
      <c r="G23983" s="9"/>
      <c r="J23983" s="11"/>
      <c r="U23983" s="9"/>
      <c r="X23983" s="9"/>
    </row>
    <row r="23984">
      <c r="D23984" s="9"/>
      <c r="G23984" s="9"/>
      <c r="J23984" s="11"/>
      <c r="U23984" s="9"/>
      <c r="X23984" s="9"/>
    </row>
    <row r="23985">
      <c r="D23985" s="9"/>
      <c r="G23985" s="9"/>
      <c r="J23985" s="11"/>
      <c r="U23985" s="9"/>
      <c r="X23985" s="9"/>
    </row>
    <row r="23986">
      <c r="D23986" s="9"/>
      <c r="G23986" s="9"/>
      <c r="J23986" s="11"/>
      <c r="U23986" s="9"/>
      <c r="X23986" s="9"/>
    </row>
    <row r="23987">
      <c r="D23987" s="9"/>
      <c r="G23987" s="9"/>
      <c r="J23987" s="11"/>
      <c r="U23987" s="9"/>
      <c r="X23987" s="9"/>
    </row>
    <row r="23988">
      <c r="D23988" s="9"/>
      <c r="G23988" s="9"/>
      <c r="J23988" s="11"/>
      <c r="U23988" s="9"/>
      <c r="X23988" s="9"/>
    </row>
    <row r="23989">
      <c r="D23989" s="9"/>
      <c r="G23989" s="9"/>
      <c r="J23989" s="11"/>
      <c r="U23989" s="9"/>
      <c r="X23989" s="9"/>
    </row>
    <row r="23990">
      <c r="D23990" s="9"/>
      <c r="G23990" s="9"/>
      <c r="J23990" s="11"/>
      <c r="U23990" s="9"/>
      <c r="X23990" s="9"/>
    </row>
    <row r="23991">
      <c r="D23991" s="9"/>
      <c r="G23991" s="9"/>
      <c r="J23991" s="11"/>
      <c r="U23991" s="9"/>
      <c r="X23991" s="9"/>
    </row>
    <row r="23992">
      <c r="D23992" s="9"/>
      <c r="G23992" s="9"/>
      <c r="J23992" s="11"/>
      <c r="U23992" s="9"/>
      <c r="X23992" s="9"/>
    </row>
    <row r="23993">
      <c r="D23993" s="9"/>
      <c r="G23993" s="9"/>
      <c r="J23993" s="11"/>
      <c r="U23993" s="9"/>
      <c r="X23993" s="9"/>
    </row>
    <row r="23994">
      <c r="D23994" s="9"/>
      <c r="G23994" s="9"/>
      <c r="J23994" s="11"/>
      <c r="U23994" s="9"/>
      <c r="X23994" s="9"/>
    </row>
    <row r="23995">
      <c r="D23995" s="9"/>
      <c r="G23995" s="9"/>
      <c r="J23995" s="11"/>
      <c r="U23995" s="9"/>
      <c r="X23995" s="9"/>
    </row>
    <row r="23996">
      <c r="D23996" s="9"/>
      <c r="G23996" s="9"/>
      <c r="J23996" s="11"/>
      <c r="U23996" s="9"/>
      <c r="X23996" s="9"/>
    </row>
    <row r="23997">
      <c r="D23997" s="9"/>
      <c r="G23997" s="9"/>
      <c r="J23997" s="11"/>
      <c r="U23997" s="9"/>
      <c r="X23997" s="9"/>
    </row>
    <row r="23998">
      <c r="D23998" s="9"/>
      <c r="G23998" s="9"/>
      <c r="J23998" s="11"/>
      <c r="U23998" s="9"/>
      <c r="X23998" s="9"/>
    </row>
    <row r="23999">
      <c r="D23999" s="9"/>
      <c r="G23999" s="9"/>
      <c r="J23999" s="11"/>
      <c r="U23999" s="9"/>
      <c r="X23999" s="9"/>
    </row>
    <row r="24000">
      <c r="D24000" s="9"/>
      <c r="G24000" s="9"/>
      <c r="J24000" s="11"/>
      <c r="U24000" s="9"/>
      <c r="X24000" s="9"/>
    </row>
    <row r="24001">
      <c r="D24001" s="9"/>
      <c r="G24001" s="9"/>
      <c r="J24001" s="11"/>
      <c r="U24001" s="9"/>
      <c r="X24001" s="9"/>
    </row>
    <row r="24002">
      <c r="D24002" s="9"/>
      <c r="G24002" s="9"/>
      <c r="J24002" s="11"/>
      <c r="U24002" s="9"/>
      <c r="X24002" s="9"/>
    </row>
    <row r="24003">
      <c r="D24003" s="9"/>
      <c r="G24003" s="9"/>
      <c r="J24003" s="11"/>
      <c r="U24003" s="9"/>
      <c r="X24003" s="9"/>
    </row>
    <row r="24004">
      <c r="D24004" s="9"/>
      <c r="G24004" s="9"/>
      <c r="J24004" s="11"/>
      <c r="U24004" s="9"/>
      <c r="X24004" s="9"/>
    </row>
    <row r="24005">
      <c r="D24005" s="9"/>
      <c r="G24005" s="9"/>
      <c r="J24005" s="11"/>
      <c r="U24005" s="9"/>
      <c r="X24005" s="9"/>
    </row>
    <row r="24006">
      <c r="D24006" s="9"/>
      <c r="G24006" s="9"/>
      <c r="J24006" s="11"/>
      <c r="U24006" s="9"/>
      <c r="X24006" s="9"/>
    </row>
    <row r="24007">
      <c r="D24007" s="9"/>
      <c r="G24007" s="9"/>
      <c r="J24007" s="11"/>
      <c r="U24007" s="9"/>
      <c r="X24007" s="9"/>
    </row>
    <row r="24008">
      <c r="D24008" s="9"/>
      <c r="G24008" s="9"/>
      <c r="J24008" s="11"/>
      <c r="U24008" s="9"/>
      <c r="X24008" s="9"/>
    </row>
    <row r="24009">
      <c r="D24009" s="9"/>
      <c r="G24009" s="9"/>
      <c r="J24009" s="11"/>
      <c r="U24009" s="9"/>
      <c r="X24009" s="9"/>
    </row>
    <row r="24010">
      <c r="D24010" s="9"/>
      <c r="G24010" s="9"/>
      <c r="J24010" s="11"/>
      <c r="U24010" s="9"/>
      <c r="X24010" s="9"/>
    </row>
    <row r="24011">
      <c r="D24011" s="9"/>
      <c r="G24011" s="9"/>
      <c r="J24011" s="11"/>
      <c r="U24011" s="9"/>
      <c r="X24011" s="9"/>
    </row>
    <row r="24012">
      <c r="D24012" s="9"/>
      <c r="G24012" s="9"/>
      <c r="J24012" s="11"/>
      <c r="U24012" s="9"/>
      <c r="X24012" s="9"/>
    </row>
    <row r="24013">
      <c r="D24013" s="9"/>
      <c r="G24013" s="9"/>
      <c r="J24013" s="11"/>
      <c r="U24013" s="9"/>
      <c r="X24013" s="9"/>
    </row>
    <row r="24014">
      <c r="D24014" s="9"/>
      <c r="G24014" s="9"/>
      <c r="J24014" s="11"/>
      <c r="U24014" s="9"/>
      <c r="X24014" s="9"/>
    </row>
    <row r="24015">
      <c r="D24015" s="9"/>
      <c r="G24015" s="9"/>
      <c r="J24015" s="11"/>
      <c r="U24015" s="9"/>
      <c r="X24015" s="9"/>
    </row>
    <row r="24016">
      <c r="D24016" s="9"/>
      <c r="G24016" s="9"/>
      <c r="J24016" s="11"/>
      <c r="U24016" s="9"/>
      <c r="X24016" s="9"/>
    </row>
    <row r="24017">
      <c r="D24017" s="9"/>
      <c r="G24017" s="9"/>
      <c r="J24017" s="11"/>
      <c r="U24017" s="9"/>
      <c r="X24017" s="9"/>
    </row>
    <row r="24018">
      <c r="D24018" s="9"/>
      <c r="G24018" s="9"/>
      <c r="J24018" s="11"/>
      <c r="U24018" s="9"/>
      <c r="X24018" s="9"/>
    </row>
    <row r="24019">
      <c r="D24019" s="9"/>
      <c r="G24019" s="9"/>
      <c r="J24019" s="11"/>
      <c r="U24019" s="9"/>
      <c r="X24019" s="9"/>
    </row>
    <row r="24020">
      <c r="D24020" s="9"/>
      <c r="G24020" s="9"/>
      <c r="J24020" s="11"/>
      <c r="U24020" s="9"/>
      <c r="X24020" s="9"/>
    </row>
    <row r="24021">
      <c r="D24021" s="9"/>
      <c r="G24021" s="9"/>
      <c r="J24021" s="11"/>
      <c r="U24021" s="9"/>
      <c r="X24021" s="9"/>
    </row>
    <row r="24022">
      <c r="D24022" s="9"/>
      <c r="G24022" s="9"/>
      <c r="J24022" s="11"/>
      <c r="U24022" s="9"/>
      <c r="X24022" s="9"/>
    </row>
    <row r="24023">
      <c r="D24023" s="9"/>
      <c r="G24023" s="9"/>
      <c r="J24023" s="11"/>
      <c r="U24023" s="9"/>
      <c r="X24023" s="9"/>
    </row>
    <row r="24024">
      <c r="D24024" s="9"/>
      <c r="G24024" s="9"/>
      <c r="J24024" s="11"/>
      <c r="U24024" s="9"/>
      <c r="X24024" s="9"/>
    </row>
    <row r="24025">
      <c r="D24025" s="9"/>
      <c r="G24025" s="9"/>
      <c r="J24025" s="11"/>
      <c r="U24025" s="9"/>
      <c r="X24025" s="9"/>
    </row>
    <row r="24026">
      <c r="D24026" s="9"/>
      <c r="G24026" s="9"/>
      <c r="J24026" s="11"/>
      <c r="U24026" s="9"/>
      <c r="X24026" s="9"/>
    </row>
    <row r="24027">
      <c r="D24027" s="9"/>
      <c r="G24027" s="9"/>
      <c r="J24027" s="11"/>
      <c r="U24027" s="9"/>
      <c r="X24027" s="9"/>
    </row>
    <row r="24028">
      <c r="D24028" s="9"/>
      <c r="G24028" s="9"/>
      <c r="J24028" s="11"/>
      <c r="U24028" s="9"/>
      <c r="X24028" s="9"/>
    </row>
    <row r="24029">
      <c r="D24029" s="9"/>
      <c r="G24029" s="9"/>
      <c r="J24029" s="11"/>
      <c r="U24029" s="9"/>
      <c r="X24029" s="9"/>
    </row>
    <row r="24030">
      <c r="D24030" s="9"/>
      <c r="G24030" s="9"/>
      <c r="J24030" s="11"/>
      <c r="U24030" s="9"/>
      <c r="X24030" s="9"/>
    </row>
    <row r="24031">
      <c r="D24031" s="9"/>
      <c r="G24031" s="9"/>
      <c r="J24031" s="11"/>
      <c r="U24031" s="9"/>
      <c r="X24031" s="9"/>
    </row>
    <row r="24032">
      <c r="D24032" s="9"/>
      <c r="G24032" s="9"/>
      <c r="J24032" s="11"/>
      <c r="U24032" s="9"/>
      <c r="X24032" s="9"/>
    </row>
    <row r="24033">
      <c r="D24033" s="9"/>
      <c r="G24033" s="9"/>
      <c r="J24033" s="11"/>
      <c r="U24033" s="9"/>
      <c r="X24033" s="9"/>
    </row>
    <row r="24034">
      <c r="D24034" s="9"/>
      <c r="G24034" s="9"/>
      <c r="J24034" s="11"/>
      <c r="U24034" s="9"/>
      <c r="X24034" s="9"/>
    </row>
    <row r="24035">
      <c r="D24035" s="9"/>
      <c r="G24035" s="9"/>
      <c r="J24035" s="11"/>
      <c r="U24035" s="9"/>
      <c r="X24035" s="9"/>
    </row>
    <row r="24036">
      <c r="D24036" s="9"/>
      <c r="G24036" s="9"/>
      <c r="J24036" s="11"/>
      <c r="U24036" s="9"/>
      <c r="X24036" s="9"/>
    </row>
    <row r="24037">
      <c r="D24037" s="9"/>
      <c r="G24037" s="9"/>
      <c r="J24037" s="11"/>
      <c r="U24037" s="9"/>
      <c r="X24037" s="9"/>
    </row>
    <row r="24038">
      <c r="D24038" s="9"/>
      <c r="G24038" s="9"/>
      <c r="J24038" s="11"/>
      <c r="U24038" s="9"/>
      <c r="X24038" s="9"/>
    </row>
    <row r="24039">
      <c r="D24039" s="9"/>
      <c r="G24039" s="9"/>
      <c r="J24039" s="11"/>
      <c r="U24039" s="9"/>
      <c r="X24039" s="9"/>
    </row>
    <row r="24040">
      <c r="D24040" s="9"/>
      <c r="G24040" s="9"/>
      <c r="J24040" s="11"/>
      <c r="U24040" s="9"/>
      <c r="X24040" s="9"/>
    </row>
    <row r="24041">
      <c r="D24041" s="9"/>
      <c r="G24041" s="9"/>
      <c r="J24041" s="11"/>
      <c r="U24041" s="9"/>
      <c r="X24041" s="9"/>
    </row>
    <row r="24042">
      <c r="D24042" s="9"/>
      <c r="G24042" s="9"/>
      <c r="J24042" s="11"/>
      <c r="U24042" s="9"/>
      <c r="X24042" s="9"/>
    </row>
    <row r="24043">
      <c r="D24043" s="9"/>
      <c r="G24043" s="9"/>
      <c r="J24043" s="11"/>
      <c r="U24043" s="9"/>
      <c r="X24043" s="9"/>
    </row>
    <row r="24044">
      <c r="D24044" s="9"/>
      <c r="G24044" s="9"/>
      <c r="J24044" s="11"/>
      <c r="U24044" s="9"/>
      <c r="X24044" s="9"/>
    </row>
    <row r="24045">
      <c r="D24045" s="9"/>
      <c r="G24045" s="9"/>
      <c r="J24045" s="11"/>
      <c r="U24045" s="9"/>
      <c r="X24045" s="9"/>
    </row>
    <row r="24046">
      <c r="D24046" s="9"/>
      <c r="G24046" s="9"/>
      <c r="J24046" s="11"/>
      <c r="U24046" s="9"/>
      <c r="X24046" s="9"/>
    </row>
    <row r="24047">
      <c r="D24047" s="9"/>
      <c r="G24047" s="9"/>
      <c r="J24047" s="11"/>
      <c r="U24047" s="9"/>
      <c r="X24047" s="9"/>
    </row>
    <row r="24048">
      <c r="D24048" s="9"/>
      <c r="G24048" s="9"/>
      <c r="J24048" s="11"/>
      <c r="U24048" s="9"/>
      <c r="X24048" s="9"/>
    </row>
    <row r="24049">
      <c r="D24049" s="9"/>
      <c r="G24049" s="9"/>
      <c r="J24049" s="11"/>
      <c r="U24049" s="9"/>
      <c r="X24049" s="9"/>
    </row>
    <row r="24050">
      <c r="D24050" s="9"/>
      <c r="G24050" s="9"/>
      <c r="J24050" s="11"/>
      <c r="U24050" s="9"/>
      <c r="X24050" s="9"/>
    </row>
    <row r="24051">
      <c r="D24051" s="9"/>
      <c r="G24051" s="9"/>
      <c r="J24051" s="11"/>
      <c r="U24051" s="9"/>
      <c r="X24051" s="9"/>
    </row>
    <row r="24052">
      <c r="D24052" s="9"/>
      <c r="G24052" s="9"/>
      <c r="J24052" s="11"/>
      <c r="U24052" s="9"/>
      <c r="X24052" s="9"/>
    </row>
    <row r="24053">
      <c r="D24053" s="9"/>
      <c r="G24053" s="9"/>
      <c r="J24053" s="11"/>
      <c r="U24053" s="9"/>
      <c r="X24053" s="9"/>
    </row>
    <row r="24054">
      <c r="D24054" s="9"/>
      <c r="G24054" s="9"/>
      <c r="J24054" s="11"/>
      <c r="U24054" s="9"/>
      <c r="X24054" s="9"/>
    </row>
    <row r="24055">
      <c r="D24055" s="9"/>
      <c r="G24055" s="9"/>
      <c r="J24055" s="11"/>
      <c r="U24055" s="9"/>
      <c r="X24055" s="9"/>
    </row>
    <row r="24056">
      <c r="D24056" s="9"/>
      <c r="G24056" s="9"/>
      <c r="J24056" s="11"/>
      <c r="U24056" s="9"/>
      <c r="X24056" s="9"/>
    </row>
    <row r="24057">
      <c r="D24057" s="9"/>
      <c r="G24057" s="9"/>
      <c r="J24057" s="11"/>
      <c r="U24057" s="9"/>
      <c r="X24057" s="9"/>
    </row>
    <row r="24058">
      <c r="D24058" s="9"/>
      <c r="G24058" s="9"/>
      <c r="J24058" s="11"/>
      <c r="U24058" s="9"/>
      <c r="X24058" s="9"/>
    </row>
    <row r="24059">
      <c r="D24059" s="9"/>
      <c r="G24059" s="9"/>
      <c r="J24059" s="11"/>
      <c r="U24059" s="9"/>
      <c r="X24059" s="9"/>
    </row>
    <row r="24060">
      <c r="D24060" s="9"/>
      <c r="G24060" s="9"/>
      <c r="J24060" s="11"/>
      <c r="U24060" s="9"/>
      <c r="X24060" s="9"/>
    </row>
    <row r="24061">
      <c r="D24061" s="9"/>
      <c r="G24061" s="9"/>
      <c r="J24061" s="11"/>
      <c r="U24061" s="9"/>
      <c r="X24061" s="9"/>
    </row>
    <row r="24062">
      <c r="D24062" s="9"/>
      <c r="G24062" s="9"/>
      <c r="J24062" s="11"/>
      <c r="U24062" s="9"/>
      <c r="X24062" s="9"/>
    </row>
    <row r="24063">
      <c r="D24063" s="9"/>
      <c r="G24063" s="9"/>
      <c r="J24063" s="11"/>
      <c r="U24063" s="9"/>
      <c r="X24063" s="9"/>
    </row>
    <row r="24064">
      <c r="D24064" s="9"/>
      <c r="G24064" s="9"/>
      <c r="J24064" s="11"/>
      <c r="U24064" s="9"/>
      <c r="X24064" s="9"/>
    </row>
    <row r="24065">
      <c r="D24065" s="9"/>
      <c r="G24065" s="9"/>
      <c r="J24065" s="11"/>
      <c r="U24065" s="9"/>
      <c r="X24065" s="9"/>
    </row>
    <row r="24066">
      <c r="D24066" s="9"/>
      <c r="G24066" s="9"/>
      <c r="J24066" s="11"/>
      <c r="U24066" s="9"/>
      <c r="X24066" s="9"/>
    </row>
    <row r="24067">
      <c r="D24067" s="9"/>
      <c r="G24067" s="9"/>
      <c r="J24067" s="11"/>
      <c r="U24067" s="9"/>
      <c r="X24067" s="9"/>
    </row>
    <row r="24068">
      <c r="D24068" s="9"/>
      <c r="G24068" s="9"/>
      <c r="J24068" s="11"/>
      <c r="U24068" s="9"/>
      <c r="X24068" s="9"/>
    </row>
    <row r="24069">
      <c r="D24069" s="9"/>
      <c r="G24069" s="9"/>
      <c r="J24069" s="11"/>
      <c r="U24069" s="9"/>
      <c r="X24069" s="9"/>
    </row>
    <row r="24070">
      <c r="D24070" s="9"/>
      <c r="G24070" s="9"/>
      <c r="J24070" s="11"/>
      <c r="U24070" s="9"/>
      <c r="X24070" s="9"/>
    </row>
    <row r="24071">
      <c r="D24071" s="9"/>
      <c r="G24071" s="9"/>
      <c r="J24071" s="11"/>
      <c r="U24071" s="9"/>
      <c r="X24071" s="9"/>
    </row>
    <row r="24072">
      <c r="D24072" s="9"/>
      <c r="G24072" s="9"/>
      <c r="J24072" s="11"/>
      <c r="U24072" s="9"/>
      <c r="X24072" s="9"/>
    </row>
    <row r="24073">
      <c r="D24073" s="9"/>
      <c r="G24073" s="9"/>
      <c r="J24073" s="11"/>
      <c r="U24073" s="9"/>
      <c r="X24073" s="9"/>
    </row>
    <row r="24074">
      <c r="D24074" s="9"/>
      <c r="G24074" s="9"/>
      <c r="J24074" s="11"/>
      <c r="U24074" s="9"/>
      <c r="X24074" s="9"/>
    </row>
    <row r="24075">
      <c r="D24075" s="9"/>
      <c r="G24075" s="9"/>
      <c r="J24075" s="11"/>
      <c r="U24075" s="9"/>
      <c r="X24075" s="9"/>
    </row>
    <row r="24076">
      <c r="D24076" s="9"/>
      <c r="G24076" s="9"/>
      <c r="J24076" s="11"/>
      <c r="U24076" s="9"/>
      <c r="X24076" s="9"/>
    </row>
    <row r="24077">
      <c r="D24077" s="9"/>
      <c r="G24077" s="9"/>
      <c r="J24077" s="11"/>
      <c r="U24077" s="9"/>
      <c r="X24077" s="9"/>
    </row>
    <row r="24078">
      <c r="D24078" s="9"/>
      <c r="G24078" s="9"/>
      <c r="J24078" s="11"/>
      <c r="U24078" s="9"/>
      <c r="X24078" s="9"/>
    </row>
    <row r="24079">
      <c r="D24079" s="9"/>
      <c r="G24079" s="9"/>
      <c r="J24079" s="11"/>
      <c r="U24079" s="9"/>
      <c r="X24079" s="9"/>
    </row>
    <row r="24080">
      <c r="D24080" s="9"/>
      <c r="G24080" s="9"/>
      <c r="J24080" s="11"/>
      <c r="U24080" s="9"/>
      <c r="X24080" s="9"/>
    </row>
    <row r="24081">
      <c r="D24081" s="9"/>
      <c r="G24081" s="9"/>
      <c r="J24081" s="11"/>
      <c r="U24081" s="9"/>
      <c r="X24081" s="9"/>
    </row>
    <row r="24082">
      <c r="D24082" s="9"/>
      <c r="G24082" s="9"/>
      <c r="J24082" s="11"/>
      <c r="U24082" s="9"/>
      <c r="X24082" s="9"/>
    </row>
    <row r="24083">
      <c r="D24083" s="9"/>
      <c r="G24083" s="9"/>
      <c r="J24083" s="11"/>
      <c r="U24083" s="9"/>
      <c r="X24083" s="9"/>
    </row>
    <row r="24084">
      <c r="D24084" s="9"/>
      <c r="G24084" s="9"/>
      <c r="J24084" s="11"/>
      <c r="U24084" s="9"/>
      <c r="X24084" s="9"/>
    </row>
    <row r="24085">
      <c r="D24085" s="9"/>
      <c r="G24085" s="9"/>
      <c r="J24085" s="11"/>
      <c r="U24085" s="9"/>
      <c r="X24085" s="9"/>
    </row>
    <row r="24086">
      <c r="D24086" s="9"/>
      <c r="G24086" s="9"/>
      <c r="J24086" s="11"/>
      <c r="U24086" s="9"/>
      <c r="X24086" s="9"/>
    </row>
    <row r="24087">
      <c r="D24087" s="9"/>
      <c r="G24087" s="9"/>
      <c r="J24087" s="11"/>
      <c r="U24087" s="9"/>
      <c r="X24087" s="9"/>
    </row>
    <row r="24088">
      <c r="D24088" s="9"/>
      <c r="G24088" s="9"/>
      <c r="J24088" s="11"/>
      <c r="U24088" s="9"/>
      <c r="X24088" s="9"/>
    </row>
    <row r="24089">
      <c r="D24089" s="9"/>
      <c r="G24089" s="9"/>
      <c r="J24089" s="11"/>
      <c r="U24089" s="9"/>
      <c r="X24089" s="9"/>
    </row>
    <row r="24090">
      <c r="D24090" s="9"/>
      <c r="G24090" s="9"/>
      <c r="J24090" s="11"/>
      <c r="U24090" s="9"/>
      <c r="X24090" s="9"/>
    </row>
    <row r="24091">
      <c r="D24091" s="9"/>
      <c r="G24091" s="9"/>
      <c r="J24091" s="11"/>
      <c r="U24091" s="9"/>
      <c r="X24091" s="9"/>
    </row>
    <row r="24092">
      <c r="D24092" s="9"/>
      <c r="G24092" s="9"/>
      <c r="J24092" s="11"/>
      <c r="U24092" s="9"/>
      <c r="X24092" s="9"/>
    </row>
    <row r="24093">
      <c r="D24093" s="9"/>
      <c r="G24093" s="9"/>
      <c r="J24093" s="11"/>
      <c r="U24093" s="9"/>
      <c r="X24093" s="9"/>
    </row>
    <row r="24094">
      <c r="D24094" s="9"/>
      <c r="G24094" s="9"/>
      <c r="J24094" s="11"/>
      <c r="U24094" s="9"/>
      <c r="X24094" s="9"/>
    </row>
    <row r="24095">
      <c r="D24095" s="9"/>
      <c r="G24095" s="9"/>
      <c r="J24095" s="11"/>
      <c r="U24095" s="9"/>
      <c r="X24095" s="9"/>
    </row>
    <row r="24096">
      <c r="D24096" s="9"/>
      <c r="G24096" s="9"/>
      <c r="J24096" s="11"/>
      <c r="U24096" s="9"/>
      <c r="X24096" s="9"/>
    </row>
    <row r="24097">
      <c r="D24097" s="9"/>
      <c r="G24097" s="9"/>
      <c r="J24097" s="11"/>
      <c r="U24097" s="9"/>
      <c r="X24097" s="9"/>
    </row>
    <row r="24098">
      <c r="D24098" s="9"/>
      <c r="G24098" s="9"/>
      <c r="J24098" s="11"/>
      <c r="U24098" s="9"/>
      <c r="X24098" s="9"/>
    </row>
    <row r="24099">
      <c r="D24099" s="9"/>
      <c r="G24099" s="9"/>
      <c r="J24099" s="11"/>
      <c r="U24099" s="9"/>
      <c r="X24099" s="9"/>
    </row>
    <row r="24100">
      <c r="D24100" s="9"/>
      <c r="G24100" s="9"/>
      <c r="J24100" s="11"/>
      <c r="U24100" s="9"/>
      <c r="X24100" s="9"/>
    </row>
    <row r="24101">
      <c r="D24101" s="9"/>
      <c r="G24101" s="9"/>
      <c r="J24101" s="11"/>
      <c r="U24101" s="9"/>
      <c r="X24101" s="9"/>
    </row>
    <row r="24102">
      <c r="D24102" s="9"/>
      <c r="G24102" s="9"/>
      <c r="J24102" s="11"/>
      <c r="U24102" s="9"/>
      <c r="X24102" s="9"/>
    </row>
    <row r="24103">
      <c r="D24103" s="9"/>
      <c r="G24103" s="9"/>
      <c r="J24103" s="11"/>
      <c r="U24103" s="9"/>
      <c r="X24103" s="9"/>
    </row>
    <row r="24104">
      <c r="D24104" s="9"/>
      <c r="G24104" s="9"/>
      <c r="J24104" s="11"/>
      <c r="U24104" s="9"/>
      <c r="X24104" s="9"/>
    </row>
    <row r="24105">
      <c r="D24105" s="9"/>
      <c r="G24105" s="9"/>
      <c r="J24105" s="11"/>
      <c r="U24105" s="9"/>
      <c r="X24105" s="9"/>
    </row>
    <row r="24106">
      <c r="D24106" s="9"/>
      <c r="G24106" s="9"/>
      <c r="J24106" s="11"/>
      <c r="U24106" s="9"/>
      <c r="X24106" s="9"/>
    </row>
    <row r="24107">
      <c r="D24107" s="9"/>
      <c r="G24107" s="9"/>
      <c r="J24107" s="11"/>
      <c r="U24107" s="9"/>
      <c r="X24107" s="9"/>
    </row>
    <row r="24108">
      <c r="D24108" s="9"/>
      <c r="G24108" s="9"/>
      <c r="J24108" s="11"/>
      <c r="U24108" s="9"/>
      <c r="X24108" s="9"/>
    </row>
    <row r="24109">
      <c r="D24109" s="9"/>
      <c r="G24109" s="9"/>
      <c r="J24109" s="11"/>
      <c r="U24109" s="9"/>
      <c r="X24109" s="9"/>
    </row>
    <row r="24110">
      <c r="D24110" s="9"/>
      <c r="G24110" s="9"/>
      <c r="J24110" s="11"/>
      <c r="U24110" s="9"/>
      <c r="X24110" s="9"/>
    </row>
    <row r="24111">
      <c r="D24111" s="9"/>
      <c r="G24111" s="9"/>
      <c r="J24111" s="11"/>
      <c r="U24111" s="9"/>
      <c r="X24111" s="9"/>
    </row>
    <row r="24112">
      <c r="D24112" s="9"/>
      <c r="G24112" s="9"/>
      <c r="J24112" s="11"/>
      <c r="U24112" s="9"/>
      <c r="X24112" s="9"/>
    </row>
    <row r="24113">
      <c r="D24113" s="9"/>
      <c r="G24113" s="9"/>
      <c r="J24113" s="11"/>
      <c r="U24113" s="9"/>
      <c r="X24113" s="9"/>
    </row>
    <row r="24114">
      <c r="D24114" s="9"/>
      <c r="G24114" s="9"/>
      <c r="J24114" s="11"/>
      <c r="U24114" s="9"/>
      <c r="X24114" s="9"/>
    </row>
    <row r="24115">
      <c r="D24115" s="9"/>
      <c r="G24115" s="9"/>
      <c r="J24115" s="11"/>
      <c r="U24115" s="9"/>
      <c r="X24115" s="9"/>
    </row>
    <row r="24116">
      <c r="D24116" s="9"/>
      <c r="G24116" s="9"/>
      <c r="J24116" s="11"/>
      <c r="U24116" s="9"/>
      <c r="X24116" s="9"/>
    </row>
    <row r="24117">
      <c r="D24117" s="9"/>
      <c r="G24117" s="9"/>
      <c r="J24117" s="11"/>
      <c r="U24117" s="9"/>
      <c r="X24117" s="9"/>
    </row>
    <row r="24118">
      <c r="D24118" s="9"/>
      <c r="G24118" s="9"/>
      <c r="J24118" s="11"/>
      <c r="U24118" s="9"/>
      <c r="X24118" s="9"/>
    </row>
    <row r="24119">
      <c r="D24119" s="9"/>
      <c r="G24119" s="9"/>
      <c r="J24119" s="11"/>
      <c r="U24119" s="9"/>
      <c r="X24119" s="9"/>
    </row>
    <row r="24120">
      <c r="D24120" s="9"/>
      <c r="G24120" s="9"/>
      <c r="J24120" s="11"/>
      <c r="U24120" s="9"/>
      <c r="X24120" s="9"/>
    </row>
    <row r="24121">
      <c r="D24121" s="9"/>
      <c r="G24121" s="9"/>
      <c r="J24121" s="11"/>
      <c r="U24121" s="9"/>
      <c r="X24121" s="9"/>
    </row>
    <row r="24122">
      <c r="D24122" s="9"/>
      <c r="G24122" s="9"/>
      <c r="J24122" s="11"/>
      <c r="U24122" s="9"/>
      <c r="X24122" s="9"/>
    </row>
    <row r="24123">
      <c r="D24123" s="9"/>
      <c r="G24123" s="9"/>
      <c r="J24123" s="11"/>
      <c r="U24123" s="9"/>
      <c r="X24123" s="9"/>
    </row>
    <row r="24124">
      <c r="D24124" s="9"/>
      <c r="G24124" s="9"/>
      <c r="J24124" s="11"/>
      <c r="U24124" s="9"/>
      <c r="X24124" s="9"/>
    </row>
    <row r="24125">
      <c r="D24125" s="9"/>
      <c r="G24125" s="9"/>
      <c r="J24125" s="11"/>
      <c r="U24125" s="9"/>
      <c r="X24125" s="9"/>
    </row>
    <row r="24126">
      <c r="D24126" s="9"/>
      <c r="G24126" s="9"/>
      <c r="J24126" s="11"/>
      <c r="U24126" s="9"/>
      <c r="X24126" s="9"/>
    </row>
    <row r="24127">
      <c r="D24127" s="9"/>
      <c r="G24127" s="9"/>
      <c r="J24127" s="11"/>
      <c r="U24127" s="9"/>
      <c r="X24127" s="9"/>
    </row>
    <row r="24128">
      <c r="D24128" s="9"/>
      <c r="G24128" s="9"/>
      <c r="J24128" s="11"/>
      <c r="U24128" s="9"/>
      <c r="X24128" s="9"/>
    </row>
    <row r="24129">
      <c r="D24129" s="9"/>
      <c r="G24129" s="9"/>
      <c r="J24129" s="11"/>
      <c r="U24129" s="9"/>
      <c r="X24129" s="9"/>
    </row>
    <row r="24130">
      <c r="D24130" s="9"/>
      <c r="G24130" s="9"/>
      <c r="J24130" s="11"/>
      <c r="U24130" s="9"/>
      <c r="X24130" s="9"/>
    </row>
    <row r="24131">
      <c r="D24131" s="9"/>
      <c r="G24131" s="9"/>
      <c r="J24131" s="11"/>
      <c r="U24131" s="9"/>
      <c r="X24131" s="9"/>
    </row>
    <row r="24132">
      <c r="D24132" s="9"/>
      <c r="G24132" s="9"/>
      <c r="J24132" s="11"/>
      <c r="U24132" s="9"/>
      <c r="X24132" s="9"/>
    </row>
    <row r="24133">
      <c r="D24133" s="9"/>
      <c r="G24133" s="9"/>
      <c r="J24133" s="11"/>
      <c r="U24133" s="9"/>
      <c r="X24133" s="9"/>
    </row>
    <row r="24134">
      <c r="D24134" s="9"/>
      <c r="G24134" s="9"/>
      <c r="J24134" s="11"/>
      <c r="U24134" s="9"/>
      <c r="X24134" s="9"/>
    </row>
    <row r="24135">
      <c r="D24135" s="9"/>
      <c r="G24135" s="9"/>
      <c r="J24135" s="11"/>
      <c r="U24135" s="9"/>
      <c r="X24135" s="9"/>
    </row>
    <row r="24136">
      <c r="D24136" s="9"/>
      <c r="G24136" s="9"/>
      <c r="J24136" s="11"/>
      <c r="U24136" s="9"/>
      <c r="X24136" s="9"/>
    </row>
    <row r="24137">
      <c r="D24137" s="9"/>
      <c r="G24137" s="9"/>
      <c r="J24137" s="11"/>
      <c r="U24137" s="9"/>
      <c r="X24137" s="9"/>
    </row>
    <row r="24138">
      <c r="D24138" s="9"/>
      <c r="G24138" s="9"/>
      <c r="J24138" s="11"/>
      <c r="U24138" s="9"/>
      <c r="X24138" s="9"/>
    </row>
    <row r="24139">
      <c r="D24139" s="9"/>
      <c r="G24139" s="9"/>
      <c r="J24139" s="11"/>
      <c r="U24139" s="9"/>
      <c r="X24139" s="9"/>
    </row>
    <row r="24140">
      <c r="D24140" s="9"/>
      <c r="G24140" s="9"/>
      <c r="J24140" s="11"/>
      <c r="U24140" s="9"/>
      <c r="X24140" s="9"/>
    </row>
    <row r="24141">
      <c r="D24141" s="9"/>
      <c r="G24141" s="9"/>
      <c r="J24141" s="11"/>
      <c r="U24141" s="9"/>
      <c r="X24141" s="9"/>
    </row>
    <row r="24142">
      <c r="D24142" s="9"/>
      <c r="G24142" s="9"/>
      <c r="J24142" s="11"/>
      <c r="U24142" s="9"/>
      <c r="X24142" s="9"/>
    </row>
    <row r="24143">
      <c r="D24143" s="9"/>
      <c r="G24143" s="9"/>
      <c r="J24143" s="11"/>
      <c r="U24143" s="9"/>
      <c r="X24143" s="9"/>
    </row>
    <row r="24144">
      <c r="D24144" s="9"/>
      <c r="G24144" s="9"/>
      <c r="J24144" s="11"/>
      <c r="U24144" s="9"/>
      <c r="X24144" s="9"/>
    </row>
    <row r="24145">
      <c r="D24145" s="9"/>
      <c r="G24145" s="9"/>
      <c r="J24145" s="11"/>
      <c r="U24145" s="9"/>
      <c r="X24145" s="9"/>
    </row>
    <row r="24146">
      <c r="D24146" s="9"/>
      <c r="G24146" s="9"/>
      <c r="J24146" s="11"/>
      <c r="U24146" s="9"/>
      <c r="X24146" s="9"/>
    </row>
    <row r="24147">
      <c r="D24147" s="9"/>
      <c r="G24147" s="9"/>
      <c r="J24147" s="11"/>
      <c r="U24147" s="9"/>
      <c r="X24147" s="9"/>
    </row>
    <row r="24148">
      <c r="D24148" s="9"/>
      <c r="G24148" s="9"/>
      <c r="J24148" s="11"/>
      <c r="U24148" s="9"/>
      <c r="X24148" s="9"/>
    </row>
    <row r="24149">
      <c r="D24149" s="9"/>
      <c r="G24149" s="9"/>
      <c r="J24149" s="11"/>
      <c r="U24149" s="9"/>
      <c r="X24149" s="9"/>
    </row>
    <row r="24150">
      <c r="D24150" s="9"/>
      <c r="G24150" s="9"/>
      <c r="J24150" s="11"/>
      <c r="U24150" s="9"/>
      <c r="X24150" s="9"/>
    </row>
    <row r="24151">
      <c r="D24151" s="9"/>
      <c r="G24151" s="9"/>
      <c r="J24151" s="11"/>
      <c r="U24151" s="9"/>
      <c r="X24151" s="9"/>
    </row>
    <row r="24152">
      <c r="D24152" s="9"/>
      <c r="G24152" s="9"/>
      <c r="J24152" s="11"/>
      <c r="U24152" s="9"/>
      <c r="X24152" s="9"/>
    </row>
    <row r="24153">
      <c r="D24153" s="9"/>
      <c r="G24153" s="9"/>
      <c r="J24153" s="11"/>
      <c r="U24153" s="9"/>
      <c r="X24153" s="9"/>
    </row>
    <row r="24154">
      <c r="D24154" s="9"/>
      <c r="G24154" s="9"/>
      <c r="J24154" s="11"/>
      <c r="U24154" s="9"/>
      <c r="X24154" s="9"/>
    </row>
    <row r="24155">
      <c r="D24155" s="9"/>
      <c r="G24155" s="9"/>
      <c r="J24155" s="11"/>
      <c r="U24155" s="9"/>
      <c r="X24155" s="9"/>
    </row>
    <row r="24156">
      <c r="D24156" s="9"/>
      <c r="G24156" s="9"/>
      <c r="J24156" s="11"/>
      <c r="U24156" s="9"/>
      <c r="X24156" s="9"/>
    </row>
    <row r="24157">
      <c r="D24157" s="9"/>
      <c r="G24157" s="9"/>
      <c r="J24157" s="11"/>
      <c r="U24157" s="9"/>
      <c r="X24157" s="9"/>
    </row>
    <row r="24158">
      <c r="D24158" s="9"/>
      <c r="G24158" s="9"/>
      <c r="J24158" s="11"/>
      <c r="U24158" s="9"/>
      <c r="X24158" s="9"/>
    </row>
    <row r="24159">
      <c r="D24159" s="9"/>
      <c r="G24159" s="9"/>
      <c r="J24159" s="11"/>
      <c r="U24159" s="9"/>
      <c r="X24159" s="9"/>
    </row>
    <row r="24160">
      <c r="D24160" s="9"/>
      <c r="G24160" s="9"/>
      <c r="J24160" s="11"/>
      <c r="U24160" s="9"/>
      <c r="X24160" s="9"/>
    </row>
    <row r="24161">
      <c r="D24161" s="9"/>
      <c r="G24161" s="9"/>
      <c r="J24161" s="11"/>
      <c r="U24161" s="9"/>
      <c r="X24161" s="9"/>
    </row>
    <row r="24162">
      <c r="D24162" s="9"/>
      <c r="G24162" s="9"/>
      <c r="J24162" s="11"/>
      <c r="U24162" s="9"/>
      <c r="X24162" s="9"/>
    </row>
    <row r="24163">
      <c r="D24163" s="9"/>
      <c r="G24163" s="9"/>
      <c r="J24163" s="11"/>
      <c r="U24163" s="9"/>
      <c r="X24163" s="9"/>
    </row>
    <row r="24164">
      <c r="D24164" s="9"/>
      <c r="G24164" s="9"/>
      <c r="J24164" s="11"/>
      <c r="U24164" s="9"/>
      <c r="X24164" s="9"/>
    </row>
    <row r="24165">
      <c r="D24165" s="9"/>
      <c r="G24165" s="9"/>
      <c r="J24165" s="11"/>
      <c r="U24165" s="9"/>
      <c r="X24165" s="9"/>
    </row>
    <row r="24166">
      <c r="D24166" s="9"/>
      <c r="G24166" s="9"/>
      <c r="J24166" s="11"/>
      <c r="U24166" s="9"/>
      <c r="X24166" s="9"/>
    </row>
    <row r="24167">
      <c r="D24167" s="9"/>
      <c r="G24167" s="9"/>
      <c r="J24167" s="11"/>
      <c r="U24167" s="9"/>
      <c r="X24167" s="9"/>
    </row>
    <row r="24168">
      <c r="D24168" s="9"/>
      <c r="G24168" s="9"/>
      <c r="J24168" s="11"/>
      <c r="U24168" s="9"/>
      <c r="X24168" s="9"/>
    </row>
    <row r="24169">
      <c r="D24169" s="9"/>
      <c r="G24169" s="9"/>
      <c r="J24169" s="11"/>
      <c r="U24169" s="9"/>
      <c r="X24169" s="9"/>
    </row>
    <row r="24170">
      <c r="D24170" s="9"/>
      <c r="G24170" s="9"/>
      <c r="J24170" s="11"/>
      <c r="U24170" s="9"/>
      <c r="X24170" s="9"/>
    </row>
    <row r="24171">
      <c r="D24171" s="9"/>
      <c r="G24171" s="9"/>
      <c r="J24171" s="11"/>
      <c r="U24171" s="9"/>
      <c r="X24171" s="9"/>
    </row>
    <row r="24172">
      <c r="D24172" s="9"/>
      <c r="G24172" s="9"/>
      <c r="J24172" s="11"/>
      <c r="U24172" s="9"/>
      <c r="X24172" s="9"/>
    </row>
    <row r="24173">
      <c r="D24173" s="9"/>
      <c r="G24173" s="9"/>
      <c r="J24173" s="11"/>
      <c r="U24173" s="9"/>
      <c r="X24173" s="9"/>
    </row>
    <row r="24174">
      <c r="D24174" s="9"/>
      <c r="G24174" s="9"/>
      <c r="J24174" s="11"/>
      <c r="U24174" s="9"/>
      <c r="X24174" s="9"/>
    </row>
    <row r="24175">
      <c r="D24175" s="9"/>
      <c r="G24175" s="9"/>
      <c r="J24175" s="11"/>
      <c r="U24175" s="9"/>
      <c r="X24175" s="9"/>
    </row>
    <row r="24176">
      <c r="D24176" s="9"/>
      <c r="G24176" s="9"/>
      <c r="J24176" s="11"/>
      <c r="U24176" s="9"/>
      <c r="X24176" s="9"/>
    </row>
    <row r="24177">
      <c r="D24177" s="9"/>
      <c r="G24177" s="9"/>
      <c r="J24177" s="11"/>
      <c r="U24177" s="9"/>
      <c r="X24177" s="9"/>
    </row>
    <row r="24178">
      <c r="D24178" s="9"/>
      <c r="G24178" s="9"/>
      <c r="J24178" s="11"/>
      <c r="U24178" s="9"/>
      <c r="X24178" s="9"/>
    </row>
    <row r="24179">
      <c r="D24179" s="9"/>
      <c r="G24179" s="9"/>
      <c r="J24179" s="11"/>
      <c r="U24179" s="9"/>
      <c r="X24179" s="9"/>
    </row>
    <row r="24180">
      <c r="D24180" s="9"/>
      <c r="G24180" s="9"/>
      <c r="J24180" s="11"/>
      <c r="U24180" s="9"/>
      <c r="X24180" s="9"/>
    </row>
    <row r="24181">
      <c r="D24181" s="9"/>
      <c r="G24181" s="9"/>
      <c r="J24181" s="11"/>
      <c r="U24181" s="9"/>
      <c r="X24181" s="9"/>
    </row>
    <row r="24182">
      <c r="D24182" s="9"/>
      <c r="G24182" s="9"/>
      <c r="J24182" s="11"/>
      <c r="U24182" s="9"/>
      <c r="X24182" s="9"/>
    </row>
    <row r="24183">
      <c r="D24183" s="9"/>
      <c r="G24183" s="9"/>
      <c r="J24183" s="11"/>
      <c r="U24183" s="9"/>
      <c r="X24183" s="9"/>
    </row>
    <row r="24184">
      <c r="D24184" s="9"/>
      <c r="G24184" s="9"/>
      <c r="J24184" s="11"/>
      <c r="U24184" s="9"/>
      <c r="X24184" s="9"/>
    </row>
    <row r="24185">
      <c r="D24185" s="9"/>
      <c r="G24185" s="9"/>
      <c r="J24185" s="11"/>
      <c r="U24185" s="9"/>
      <c r="X24185" s="9"/>
    </row>
    <row r="24186">
      <c r="D24186" s="9"/>
      <c r="G24186" s="9"/>
      <c r="J24186" s="11"/>
      <c r="U24186" s="9"/>
      <c r="X24186" s="9"/>
    </row>
    <row r="24187">
      <c r="D24187" s="9"/>
      <c r="G24187" s="9"/>
      <c r="J24187" s="11"/>
      <c r="U24187" s="9"/>
      <c r="X24187" s="9"/>
    </row>
    <row r="24188">
      <c r="D24188" s="9"/>
      <c r="G24188" s="9"/>
      <c r="J24188" s="11"/>
      <c r="U24188" s="9"/>
      <c r="X24188" s="9"/>
    </row>
    <row r="24189">
      <c r="D24189" s="9"/>
      <c r="G24189" s="9"/>
      <c r="J24189" s="11"/>
      <c r="U24189" s="9"/>
      <c r="X24189" s="9"/>
    </row>
    <row r="24190">
      <c r="D24190" s="9"/>
      <c r="G24190" s="9"/>
      <c r="J24190" s="11"/>
      <c r="U24190" s="9"/>
      <c r="X24190" s="9"/>
    </row>
    <row r="24191">
      <c r="D24191" s="9"/>
      <c r="G24191" s="9"/>
      <c r="J24191" s="11"/>
      <c r="U24191" s="9"/>
      <c r="X24191" s="9"/>
    </row>
    <row r="24192">
      <c r="D24192" s="9"/>
      <c r="G24192" s="9"/>
      <c r="J24192" s="11"/>
      <c r="U24192" s="9"/>
      <c r="X24192" s="9"/>
    </row>
    <row r="24193">
      <c r="D24193" s="9"/>
      <c r="G24193" s="9"/>
      <c r="J24193" s="11"/>
      <c r="U24193" s="9"/>
      <c r="X24193" s="9"/>
    </row>
    <row r="24194">
      <c r="D24194" s="9"/>
      <c r="G24194" s="9"/>
      <c r="J24194" s="11"/>
      <c r="U24194" s="9"/>
      <c r="X24194" s="9"/>
    </row>
    <row r="24195">
      <c r="D24195" s="9"/>
      <c r="G24195" s="9"/>
      <c r="J24195" s="11"/>
      <c r="U24195" s="9"/>
      <c r="X24195" s="9"/>
    </row>
    <row r="24196">
      <c r="D24196" s="9"/>
      <c r="G24196" s="9"/>
      <c r="J24196" s="11"/>
      <c r="U24196" s="9"/>
      <c r="X24196" s="9"/>
    </row>
    <row r="24197">
      <c r="D24197" s="9"/>
      <c r="G24197" s="9"/>
      <c r="J24197" s="11"/>
      <c r="U24197" s="9"/>
      <c r="X24197" s="9"/>
    </row>
    <row r="24198">
      <c r="D24198" s="9"/>
      <c r="G24198" s="9"/>
      <c r="J24198" s="11"/>
      <c r="U24198" s="9"/>
      <c r="X24198" s="9"/>
    </row>
    <row r="24199">
      <c r="D24199" s="9"/>
      <c r="G24199" s="9"/>
      <c r="J24199" s="11"/>
      <c r="U24199" s="9"/>
      <c r="X24199" s="9"/>
    </row>
    <row r="24200">
      <c r="D24200" s="9"/>
      <c r="G24200" s="9"/>
      <c r="J24200" s="11"/>
      <c r="U24200" s="9"/>
      <c r="X24200" s="9"/>
    </row>
    <row r="24201">
      <c r="D24201" s="9"/>
      <c r="G24201" s="9"/>
      <c r="J24201" s="11"/>
      <c r="U24201" s="9"/>
      <c r="X24201" s="9"/>
    </row>
    <row r="24202">
      <c r="D24202" s="9"/>
      <c r="G24202" s="9"/>
      <c r="J24202" s="11"/>
      <c r="U24202" s="9"/>
      <c r="X24202" s="9"/>
    </row>
    <row r="24203">
      <c r="D24203" s="9"/>
      <c r="G24203" s="9"/>
      <c r="J24203" s="11"/>
      <c r="U24203" s="9"/>
      <c r="X24203" s="9"/>
    </row>
    <row r="24204">
      <c r="D24204" s="9"/>
      <c r="G24204" s="9"/>
      <c r="J24204" s="11"/>
      <c r="U24204" s="9"/>
      <c r="X24204" s="9"/>
    </row>
    <row r="24205">
      <c r="D24205" s="9"/>
      <c r="G24205" s="9"/>
      <c r="J24205" s="11"/>
      <c r="U24205" s="9"/>
      <c r="X24205" s="9"/>
    </row>
    <row r="24206">
      <c r="D24206" s="9"/>
      <c r="G24206" s="9"/>
      <c r="J24206" s="11"/>
      <c r="U24206" s="9"/>
      <c r="X24206" s="9"/>
    </row>
    <row r="24207">
      <c r="D24207" s="9"/>
      <c r="G24207" s="9"/>
      <c r="J24207" s="11"/>
      <c r="U24207" s="9"/>
      <c r="X24207" s="9"/>
    </row>
    <row r="24208">
      <c r="D24208" s="9"/>
      <c r="G24208" s="9"/>
      <c r="J24208" s="11"/>
      <c r="U24208" s="9"/>
      <c r="X24208" s="9"/>
    </row>
    <row r="24209">
      <c r="D24209" s="9"/>
      <c r="G24209" s="9"/>
      <c r="J24209" s="11"/>
      <c r="U24209" s="9"/>
      <c r="X24209" s="9"/>
    </row>
    <row r="24210">
      <c r="D24210" s="9"/>
      <c r="G24210" s="9"/>
      <c r="J24210" s="11"/>
      <c r="U24210" s="9"/>
      <c r="X24210" s="9"/>
    </row>
    <row r="24211">
      <c r="D24211" s="9"/>
      <c r="G24211" s="9"/>
      <c r="J24211" s="11"/>
      <c r="U24211" s="9"/>
      <c r="X24211" s="9"/>
    </row>
    <row r="24212">
      <c r="D24212" s="9"/>
      <c r="G24212" s="9"/>
      <c r="J24212" s="11"/>
      <c r="U24212" s="9"/>
      <c r="X24212" s="9"/>
    </row>
    <row r="24213">
      <c r="D24213" s="9"/>
      <c r="G24213" s="9"/>
      <c r="J24213" s="11"/>
      <c r="U24213" s="9"/>
      <c r="X24213" s="9"/>
    </row>
    <row r="24214">
      <c r="D24214" s="9"/>
      <c r="G24214" s="9"/>
      <c r="J24214" s="11"/>
      <c r="U24214" s="9"/>
      <c r="X24214" s="9"/>
    </row>
    <row r="24215">
      <c r="D24215" s="9"/>
      <c r="G24215" s="9"/>
      <c r="J24215" s="11"/>
      <c r="U24215" s="9"/>
      <c r="X24215" s="9"/>
    </row>
    <row r="24216">
      <c r="D24216" s="9"/>
      <c r="G24216" s="9"/>
      <c r="J24216" s="11"/>
      <c r="U24216" s="9"/>
      <c r="X24216" s="9"/>
    </row>
    <row r="24217">
      <c r="D24217" s="9"/>
      <c r="G24217" s="9"/>
      <c r="J24217" s="11"/>
      <c r="U24217" s="9"/>
      <c r="X24217" s="9"/>
    </row>
    <row r="24218">
      <c r="D24218" s="9"/>
      <c r="G24218" s="9"/>
      <c r="J24218" s="11"/>
      <c r="U24218" s="9"/>
      <c r="X24218" s="9"/>
    </row>
    <row r="24219">
      <c r="D24219" s="9"/>
      <c r="G24219" s="9"/>
      <c r="J24219" s="11"/>
      <c r="U24219" s="9"/>
      <c r="X24219" s="9"/>
    </row>
    <row r="24220">
      <c r="D24220" s="9"/>
      <c r="G24220" s="9"/>
      <c r="J24220" s="11"/>
      <c r="U24220" s="9"/>
      <c r="X24220" s="9"/>
    </row>
    <row r="24221">
      <c r="D24221" s="9"/>
      <c r="G24221" s="9"/>
      <c r="J24221" s="11"/>
      <c r="U24221" s="9"/>
      <c r="X24221" s="9"/>
    </row>
    <row r="24222">
      <c r="D24222" s="9"/>
      <c r="G24222" s="9"/>
      <c r="J24222" s="11"/>
      <c r="U24222" s="9"/>
      <c r="X24222" s="9"/>
    </row>
    <row r="24223">
      <c r="D24223" s="9"/>
      <c r="G24223" s="9"/>
      <c r="J24223" s="11"/>
      <c r="U24223" s="9"/>
      <c r="X24223" s="9"/>
    </row>
    <row r="24224">
      <c r="D24224" s="9"/>
      <c r="G24224" s="9"/>
      <c r="J24224" s="11"/>
      <c r="U24224" s="9"/>
      <c r="X24224" s="9"/>
    </row>
    <row r="24225">
      <c r="D24225" s="9"/>
      <c r="G24225" s="9"/>
      <c r="J24225" s="11"/>
      <c r="U24225" s="9"/>
      <c r="X24225" s="9"/>
    </row>
    <row r="24226">
      <c r="D24226" s="9"/>
      <c r="G24226" s="9"/>
      <c r="J24226" s="11"/>
      <c r="U24226" s="9"/>
      <c r="X24226" s="9"/>
    </row>
    <row r="24227">
      <c r="D24227" s="9"/>
      <c r="G24227" s="9"/>
      <c r="J24227" s="11"/>
      <c r="U24227" s="9"/>
      <c r="X24227" s="9"/>
    </row>
    <row r="24228">
      <c r="D24228" s="9"/>
      <c r="G24228" s="9"/>
      <c r="J24228" s="11"/>
      <c r="U24228" s="9"/>
      <c r="X24228" s="9"/>
    </row>
    <row r="24229">
      <c r="D24229" s="9"/>
      <c r="G24229" s="9"/>
      <c r="J24229" s="11"/>
      <c r="U24229" s="9"/>
      <c r="X24229" s="9"/>
    </row>
    <row r="24230">
      <c r="D24230" s="9"/>
      <c r="G24230" s="9"/>
      <c r="J24230" s="11"/>
      <c r="U24230" s="9"/>
      <c r="X24230" s="9"/>
    </row>
    <row r="24231">
      <c r="D24231" s="9"/>
      <c r="G24231" s="9"/>
      <c r="J24231" s="11"/>
      <c r="U24231" s="9"/>
      <c r="X24231" s="9"/>
    </row>
    <row r="24232">
      <c r="D24232" s="9"/>
      <c r="G24232" s="9"/>
      <c r="J24232" s="11"/>
      <c r="U24232" s="9"/>
      <c r="X24232" s="9"/>
    </row>
    <row r="24233">
      <c r="D24233" s="9"/>
      <c r="G24233" s="9"/>
      <c r="J24233" s="11"/>
      <c r="U24233" s="9"/>
      <c r="X24233" s="9"/>
    </row>
    <row r="24234">
      <c r="D24234" s="9"/>
      <c r="G24234" s="9"/>
      <c r="J24234" s="11"/>
      <c r="U24234" s="9"/>
      <c r="X24234" s="9"/>
    </row>
    <row r="24235">
      <c r="D24235" s="9"/>
      <c r="G24235" s="9"/>
      <c r="J24235" s="11"/>
      <c r="U24235" s="9"/>
      <c r="X24235" s="9"/>
    </row>
    <row r="24236">
      <c r="D24236" s="9"/>
      <c r="G24236" s="9"/>
      <c r="J24236" s="11"/>
      <c r="U24236" s="9"/>
      <c r="X24236" s="9"/>
    </row>
    <row r="24237">
      <c r="D24237" s="9"/>
      <c r="G24237" s="9"/>
      <c r="J24237" s="11"/>
      <c r="U24237" s="9"/>
      <c r="X24237" s="9"/>
    </row>
    <row r="24238">
      <c r="D24238" s="9"/>
      <c r="G24238" s="9"/>
      <c r="J24238" s="11"/>
      <c r="U24238" s="9"/>
      <c r="X24238" s="9"/>
    </row>
    <row r="24239">
      <c r="D24239" s="9"/>
      <c r="G24239" s="9"/>
      <c r="J24239" s="11"/>
      <c r="U24239" s="9"/>
      <c r="X24239" s="9"/>
    </row>
    <row r="24240">
      <c r="D24240" s="9"/>
      <c r="G24240" s="9"/>
      <c r="J24240" s="11"/>
      <c r="U24240" s="9"/>
      <c r="X24240" s="9"/>
    </row>
    <row r="24241">
      <c r="D24241" s="9"/>
      <c r="G24241" s="9"/>
      <c r="J24241" s="11"/>
      <c r="U24241" s="9"/>
      <c r="X24241" s="9"/>
    </row>
    <row r="24242">
      <c r="D24242" s="9"/>
      <c r="G24242" s="9"/>
      <c r="J24242" s="11"/>
      <c r="U24242" s="9"/>
      <c r="X24242" s="9"/>
    </row>
    <row r="24243">
      <c r="D24243" s="9"/>
      <c r="G24243" s="9"/>
      <c r="J24243" s="11"/>
      <c r="U24243" s="9"/>
      <c r="X24243" s="9"/>
    </row>
    <row r="24244">
      <c r="D24244" s="9"/>
      <c r="G24244" s="9"/>
      <c r="J24244" s="11"/>
      <c r="U24244" s="9"/>
      <c r="X24244" s="9"/>
    </row>
    <row r="24245">
      <c r="D24245" s="9"/>
      <c r="G24245" s="9"/>
      <c r="J24245" s="11"/>
      <c r="U24245" s="9"/>
      <c r="X24245" s="9"/>
    </row>
    <row r="24246">
      <c r="D24246" s="9"/>
      <c r="G24246" s="9"/>
      <c r="J24246" s="11"/>
      <c r="U24246" s="9"/>
      <c r="X24246" s="9"/>
    </row>
    <row r="24247">
      <c r="D24247" s="9"/>
      <c r="G24247" s="9"/>
      <c r="J24247" s="11"/>
      <c r="U24247" s="9"/>
      <c r="X24247" s="9"/>
    </row>
    <row r="24248">
      <c r="D24248" s="9"/>
      <c r="G24248" s="9"/>
      <c r="J24248" s="11"/>
      <c r="U24248" s="9"/>
      <c r="X24248" s="9"/>
    </row>
    <row r="24249">
      <c r="D24249" s="9"/>
      <c r="G24249" s="9"/>
      <c r="J24249" s="11"/>
      <c r="U24249" s="9"/>
      <c r="X24249" s="9"/>
    </row>
    <row r="24250">
      <c r="D24250" s="9"/>
      <c r="G24250" s="9"/>
      <c r="J24250" s="11"/>
      <c r="U24250" s="9"/>
      <c r="X24250" s="9"/>
    </row>
    <row r="24251">
      <c r="D24251" s="9"/>
      <c r="G24251" s="9"/>
      <c r="J24251" s="11"/>
      <c r="U24251" s="9"/>
      <c r="X24251" s="9"/>
    </row>
    <row r="24252">
      <c r="D24252" s="9"/>
      <c r="G24252" s="9"/>
      <c r="J24252" s="11"/>
      <c r="U24252" s="9"/>
      <c r="X24252" s="9"/>
    </row>
    <row r="24253">
      <c r="D24253" s="9"/>
      <c r="G24253" s="9"/>
      <c r="J24253" s="11"/>
      <c r="U24253" s="9"/>
      <c r="X24253" s="9"/>
    </row>
    <row r="24254">
      <c r="D24254" s="9"/>
      <c r="G24254" s="9"/>
      <c r="J24254" s="11"/>
      <c r="U24254" s="9"/>
      <c r="X24254" s="9"/>
    </row>
    <row r="24255">
      <c r="D24255" s="9"/>
      <c r="G24255" s="9"/>
      <c r="J24255" s="11"/>
      <c r="U24255" s="9"/>
      <c r="X24255" s="9"/>
    </row>
    <row r="24256">
      <c r="D24256" s="9"/>
      <c r="G24256" s="9"/>
      <c r="J24256" s="11"/>
      <c r="U24256" s="9"/>
      <c r="X24256" s="9"/>
    </row>
    <row r="24257">
      <c r="D24257" s="9"/>
      <c r="G24257" s="9"/>
      <c r="J24257" s="11"/>
      <c r="U24257" s="9"/>
      <c r="X24257" s="9"/>
    </row>
    <row r="24258">
      <c r="D24258" s="9"/>
      <c r="G24258" s="9"/>
      <c r="J24258" s="11"/>
      <c r="U24258" s="9"/>
      <c r="X24258" s="9"/>
    </row>
    <row r="24259">
      <c r="D24259" s="9"/>
      <c r="G24259" s="9"/>
      <c r="J24259" s="11"/>
      <c r="U24259" s="9"/>
      <c r="X24259" s="9"/>
    </row>
    <row r="24260">
      <c r="D24260" s="9"/>
      <c r="G24260" s="9"/>
      <c r="J24260" s="11"/>
      <c r="U24260" s="9"/>
      <c r="X24260" s="9"/>
    </row>
    <row r="24261">
      <c r="D24261" s="9"/>
      <c r="G24261" s="9"/>
      <c r="J24261" s="11"/>
      <c r="U24261" s="9"/>
      <c r="X24261" s="9"/>
    </row>
    <row r="24262">
      <c r="D24262" s="9"/>
      <c r="G24262" s="9"/>
      <c r="J24262" s="11"/>
      <c r="U24262" s="9"/>
      <c r="X24262" s="9"/>
    </row>
    <row r="24263">
      <c r="D24263" s="9"/>
      <c r="G24263" s="9"/>
      <c r="J24263" s="11"/>
      <c r="U24263" s="9"/>
      <c r="X24263" s="9"/>
    </row>
    <row r="24264">
      <c r="D24264" s="9"/>
      <c r="G24264" s="9"/>
      <c r="J24264" s="11"/>
      <c r="U24264" s="9"/>
      <c r="X24264" s="9"/>
    </row>
    <row r="24265">
      <c r="D24265" s="9"/>
      <c r="G24265" s="9"/>
      <c r="J24265" s="11"/>
      <c r="U24265" s="9"/>
      <c r="X24265" s="9"/>
    </row>
    <row r="24266">
      <c r="D24266" s="9"/>
      <c r="G24266" s="9"/>
      <c r="J24266" s="11"/>
      <c r="U24266" s="9"/>
      <c r="X24266" s="9"/>
    </row>
    <row r="24267">
      <c r="D24267" s="9"/>
      <c r="G24267" s="9"/>
      <c r="J24267" s="11"/>
      <c r="U24267" s="9"/>
      <c r="X24267" s="9"/>
    </row>
    <row r="24268">
      <c r="D24268" s="9"/>
      <c r="G24268" s="9"/>
      <c r="J24268" s="11"/>
      <c r="U24268" s="9"/>
      <c r="X24268" s="9"/>
    </row>
    <row r="24269">
      <c r="D24269" s="9"/>
      <c r="G24269" s="9"/>
      <c r="J24269" s="11"/>
      <c r="U24269" s="9"/>
      <c r="X24269" s="9"/>
    </row>
    <row r="24270">
      <c r="D24270" s="9"/>
      <c r="G24270" s="9"/>
      <c r="J24270" s="11"/>
      <c r="U24270" s="9"/>
      <c r="X24270" s="9"/>
    </row>
    <row r="24271">
      <c r="D24271" s="9"/>
      <c r="G24271" s="9"/>
      <c r="J24271" s="11"/>
      <c r="U24271" s="9"/>
      <c r="X24271" s="9"/>
    </row>
    <row r="24272">
      <c r="D24272" s="9"/>
      <c r="G24272" s="9"/>
      <c r="J24272" s="11"/>
      <c r="U24272" s="9"/>
      <c r="X24272" s="9"/>
    </row>
    <row r="24273">
      <c r="D24273" s="9"/>
      <c r="G24273" s="9"/>
      <c r="J24273" s="11"/>
      <c r="U24273" s="9"/>
      <c r="X24273" s="9"/>
    </row>
    <row r="24274">
      <c r="D24274" s="9"/>
      <c r="G24274" s="9"/>
      <c r="J24274" s="11"/>
      <c r="U24274" s="9"/>
      <c r="X24274" s="9"/>
    </row>
    <row r="24275">
      <c r="D24275" s="9"/>
      <c r="G24275" s="9"/>
      <c r="J24275" s="11"/>
      <c r="U24275" s="9"/>
      <c r="X24275" s="9"/>
    </row>
    <row r="24276">
      <c r="D24276" s="9"/>
      <c r="G24276" s="9"/>
      <c r="J24276" s="11"/>
      <c r="U24276" s="9"/>
      <c r="X24276" s="9"/>
    </row>
    <row r="24277">
      <c r="D24277" s="9"/>
      <c r="G24277" s="9"/>
      <c r="J24277" s="11"/>
      <c r="U24277" s="9"/>
      <c r="X24277" s="9"/>
    </row>
    <row r="24278">
      <c r="D24278" s="9"/>
      <c r="G24278" s="9"/>
      <c r="J24278" s="11"/>
      <c r="U24278" s="9"/>
      <c r="X24278" s="9"/>
    </row>
    <row r="24279">
      <c r="D24279" s="9"/>
      <c r="G24279" s="9"/>
      <c r="J24279" s="11"/>
      <c r="U24279" s="9"/>
      <c r="X24279" s="9"/>
    </row>
    <row r="24280">
      <c r="D24280" s="9"/>
      <c r="G24280" s="9"/>
      <c r="J24280" s="11"/>
      <c r="U24280" s="9"/>
      <c r="X24280" s="9"/>
    </row>
    <row r="24281">
      <c r="D24281" s="9"/>
      <c r="G24281" s="9"/>
      <c r="J24281" s="11"/>
      <c r="U24281" s="9"/>
      <c r="X24281" s="9"/>
    </row>
    <row r="24282">
      <c r="D24282" s="9"/>
      <c r="G24282" s="9"/>
      <c r="J24282" s="11"/>
      <c r="U24282" s="9"/>
      <c r="X24282" s="9"/>
    </row>
    <row r="24283">
      <c r="D24283" s="9"/>
      <c r="G24283" s="9"/>
      <c r="J24283" s="11"/>
      <c r="U24283" s="9"/>
      <c r="X24283" s="9"/>
    </row>
    <row r="24284">
      <c r="D24284" s="9"/>
      <c r="G24284" s="9"/>
      <c r="J24284" s="11"/>
      <c r="U24284" s="9"/>
      <c r="X24284" s="9"/>
    </row>
    <row r="24285">
      <c r="D24285" s="9"/>
      <c r="G24285" s="9"/>
      <c r="J24285" s="11"/>
      <c r="U24285" s="9"/>
      <c r="X24285" s="9"/>
    </row>
    <row r="24286">
      <c r="D24286" s="9"/>
      <c r="G24286" s="9"/>
      <c r="J24286" s="11"/>
      <c r="U24286" s="9"/>
      <c r="X24286" s="9"/>
    </row>
    <row r="24287">
      <c r="D24287" s="9"/>
      <c r="G24287" s="9"/>
      <c r="J24287" s="11"/>
      <c r="U24287" s="9"/>
      <c r="X24287" s="9"/>
    </row>
    <row r="24288">
      <c r="D24288" s="9"/>
      <c r="G24288" s="9"/>
      <c r="J24288" s="11"/>
      <c r="U24288" s="9"/>
      <c r="X24288" s="9"/>
    </row>
    <row r="24289">
      <c r="D24289" s="9"/>
      <c r="G24289" s="9"/>
      <c r="J24289" s="11"/>
      <c r="U24289" s="9"/>
      <c r="X24289" s="9"/>
    </row>
    <row r="24290">
      <c r="D24290" s="9"/>
      <c r="G24290" s="9"/>
      <c r="J24290" s="11"/>
      <c r="U24290" s="9"/>
      <c r="X24290" s="9"/>
    </row>
    <row r="24291">
      <c r="D24291" s="9"/>
      <c r="G24291" s="9"/>
      <c r="J24291" s="11"/>
      <c r="U24291" s="9"/>
      <c r="X24291" s="9"/>
    </row>
    <row r="24292">
      <c r="D24292" s="9"/>
      <c r="G24292" s="9"/>
      <c r="J24292" s="11"/>
      <c r="U24292" s="9"/>
      <c r="X24292" s="9"/>
    </row>
    <row r="24293">
      <c r="D24293" s="9"/>
      <c r="G24293" s="9"/>
      <c r="J24293" s="11"/>
      <c r="U24293" s="9"/>
      <c r="X24293" s="9"/>
    </row>
    <row r="24294">
      <c r="D24294" s="9"/>
      <c r="G24294" s="9"/>
      <c r="J24294" s="11"/>
      <c r="U24294" s="9"/>
      <c r="X24294" s="9"/>
    </row>
    <row r="24295">
      <c r="D24295" s="9"/>
      <c r="G24295" s="9"/>
      <c r="J24295" s="11"/>
      <c r="U24295" s="9"/>
      <c r="X24295" s="9"/>
    </row>
    <row r="24296">
      <c r="D24296" s="9"/>
      <c r="G24296" s="9"/>
      <c r="J24296" s="11"/>
      <c r="U24296" s="9"/>
      <c r="X24296" s="9"/>
    </row>
    <row r="24297">
      <c r="D24297" s="9"/>
      <c r="G24297" s="9"/>
      <c r="J24297" s="11"/>
      <c r="U24297" s="9"/>
      <c r="X24297" s="9"/>
    </row>
    <row r="24298">
      <c r="D24298" s="9"/>
      <c r="G24298" s="9"/>
      <c r="J24298" s="11"/>
      <c r="U24298" s="9"/>
      <c r="X24298" s="9"/>
    </row>
    <row r="24299">
      <c r="D24299" s="9"/>
      <c r="G24299" s="9"/>
      <c r="J24299" s="11"/>
      <c r="U24299" s="9"/>
      <c r="X24299" s="9"/>
    </row>
    <row r="24300">
      <c r="D24300" s="9"/>
      <c r="G24300" s="9"/>
      <c r="J24300" s="11"/>
      <c r="U24300" s="9"/>
      <c r="X24300" s="9"/>
    </row>
    <row r="24301">
      <c r="D24301" s="9"/>
      <c r="G24301" s="9"/>
      <c r="J24301" s="11"/>
      <c r="U24301" s="9"/>
      <c r="X24301" s="9"/>
    </row>
    <row r="24302">
      <c r="D24302" s="9"/>
      <c r="G24302" s="9"/>
      <c r="J24302" s="11"/>
      <c r="U24302" s="9"/>
      <c r="X24302" s="9"/>
    </row>
    <row r="24303">
      <c r="D24303" s="9"/>
      <c r="G24303" s="9"/>
      <c r="J24303" s="11"/>
      <c r="U24303" s="9"/>
      <c r="X24303" s="9"/>
    </row>
    <row r="24304">
      <c r="D24304" s="9"/>
      <c r="G24304" s="9"/>
      <c r="J24304" s="11"/>
      <c r="U24304" s="9"/>
      <c r="X24304" s="9"/>
    </row>
    <row r="24305">
      <c r="D24305" s="9"/>
      <c r="G24305" s="9"/>
      <c r="J24305" s="11"/>
      <c r="U24305" s="9"/>
      <c r="X24305" s="9"/>
    </row>
    <row r="24306">
      <c r="D24306" s="9"/>
      <c r="G24306" s="9"/>
      <c r="J24306" s="11"/>
      <c r="U24306" s="9"/>
      <c r="X24306" s="9"/>
    </row>
    <row r="24307">
      <c r="D24307" s="9"/>
      <c r="G24307" s="9"/>
      <c r="J24307" s="11"/>
      <c r="U24307" s="9"/>
      <c r="X24307" s="9"/>
    </row>
    <row r="24308">
      <c r="D24308" s="9"/>
      <c r="G24308" s="9"/>
      <c r="J24308" s="11"/>
      <c r="U24308" s="9"/>
      <c r="X24308" s="9"/>
    </row>
    <row r="24309">
      <c r="D24309" s="9"/>
      <c r="G24309" s="9"/>
      <c r="J24309" s="11"/>
      <c r="U24309" s="9"/>
      <c r="X24309" s="9"/>
    </row>
    <row r="24310">
      <c r="D24310" s="9"/>
      <c r="G24310" s="9"/>
      <c r="J24310" s="11"/>
      <c r="U24310" s="9"/>
      <c r="X24310" s="9"/>
    </row>
    <row r="24311">
      <c r="D24311" s="9"/>
      <c r="G24311" s="9"/>
      <c r="J24311" s="11"/>
      <c r="U24311" s="9"/>
      <c r="X24311" s="9"/>
    </row>
    <row r="24312">
      <c r="D24312" s="9"/>
      <c r="G24312" s="9"/>
      <c r="J24312" s="11"/>
      <c r="U24312" s="9"/>
      <c r="X24312" s="9"/>
    </row>
    <row r="24313">
      <c r="D24313" s="9"/>
      <c r="G24313" s="9"/>
      <c r="J24313" s="11"/>
      <c r="U24313" s="9"/>
      <c r="X24313" s="9"/>
    </row>
    <row r="24314">
      <c r="D24314" s="9"/>
      <c r="G24314" s="9"/>
      <c r="J24314" s="11"/>
      <c r="U24314" s="9"/>
      <c r="X24314" s="9"/>
    </row>
    <row r="24315">
      <c r="D24315" s="9"/>
      <c r="G24315" s="9"/>
      <c r="J24315" s="11"/>
      <c r="U24315" s="9"/>
      <c r="X24315" s="9"/>
    </row>
    <row r="24316">
      <c r="D24316" s="9"/>
      <c r="G24316" s="9"/>
      <c r="J24316" s="11"/>
      <c r="U24316" s="9"/>
      <c r="X24316" s="9"/>
    </row>
    <row r="24317">
      <c r="D24317" s="9"/>
      <c r="G24317" s="9"/>
      <c r="J24317" s="11"/>
      <c r="U24317" s="9"/>
      <c r="X24317" s="9"/>
    </row>
    <row r="24318">
      <c r="D24318" s="9"/>
      <c r="G24318" s="9"/>
      <c r="J24318" s="11"/>
      <c r="U24318" s="9"/>
      <c r="X24318" s="9"/>
    </row>
    <row r="24319">
      <c r="D24319" s="9"/>
      <c r="G24319" s="9"/>
      <c r="J24319" s="11"/>
      <c r="U24319" s="9"/>
      <c r="X24319" s="9"/>
    </row>
    <row r="24320">
      <c r="D24320" s="9"/>
      <c r="G24320" s="9"/>
      <c r="J24320" s="11"/>
      <c r="U24320" s="9"/>
      <c r="X24320" s="9"/>
    </row>
    <row r="24321">
      <c r="D24321" s="9"/>
      <c r="G24321" s="9"/>
      <c r="J24321" s="11"/>
      <c r="U24321" s="9"/>
      <c r="X24321" s="9"/>
    </row>
    <row r="24322">
      <c r="D24322" s="9"/>
      <c r="G24322" s="9"/>
      <c r="J24322" s="11"/>
      <c r="U24322" s="9"/>
      <c r="X24322" s="9"/>
    </row>
    <row r="24323">
      <c r="D24323" s="9"/>
      <c r="G24323" s="9"/>
      <c r="J24323" s="11"/>
      <c r="U24323" s="9"/>
      <c r="X24323" s="9"/>
    </row>
    <row r="24324">
      <c r="D24324" s="9"/>
      <c r="G24324" s="9"/>
      <c r="J24324" s="11"/>
      <c r="U24324" s="9"/>
      <c r="X24324" s="9"/>
    </row>
    <row r="24325">
      <c r="D24325" s="9"/>
      <c r="G24325" s="9"/>
      <c r="J24325" s="11"/>
      <c r="U24325" s="9"/>
      <c r="X24325" s="9"/>
    </row>
    <row r="24326">
      <c r="D24326" s="9"/>
      <c r="G24326" s="9"/>
      <c r="J24326" s="11"/>
      <c r="U24326" s="9"/>
      <c r="X24326" s="9"/>
    </row>
    <row r="24327">
      <c r="D24327" s="9"/>
      <c r="G24327" s="9"/>
      <c r="J24327" s="11"/>
      <c r="U24327" s="9"/>
      <c r="X24327" s="9"/>
    </row>
    <row r="24328">
      <c r="D24328" s="9"/>
      <c r="G24328" s="9"/>
      <c r="J24328" s="11"/>
      <c r="U24328" s="9"/>
      <c r="X24328" s="9"/>
    </row>
    <row r="24329">
      <c r="D24329" s="9"/>
      <c r="G24329" s="9"/>
      <c r="J24329" s="11"/>
      <c r="U24329" s="9"/>
      <c r="X24329" s="9"/>
    </row>
    <row r="24330">
      <c r="D24330" s="9"/>
      <c r="G24330" s="9"/>
      <c r="J24330" s="11"/>
      <c r="U24330" s="9"/>
      <c r="X24330" s="9"/>
    </row>
    <row r="24331">
      <c r="D24331" s="9"/>
      <c r="G24331" s="9"/>
      <c r="J24331" s="11"/>
      <c r="U24331" s="9"/>
      <c r="X24331" s="9"/>
    </row>
    <row r="24332">
      <c r="D24332" s="9"/>
      <c r="G24332" s="9"/>
      <c r="J24332" s="11"/>
      <c r="U24332" s="9"/>
      <c r="X24332" s="9"/>
    </row>
    <row r="24333">
      <c r="D24333" s="9"/>
      <c r="G24333" s="9"/>
      <c r="J24333" s="11"/>
      <c r="U24333" s="9"/>
      <c r="X24333" s="9"/>
    </row>
    <row r="24334">
      <c r="D24334" s="9"/>
      <c r="G24334" s="9"/>
      <c r="J24334" s="11"/>
      <c r="U24334" s="9"/>
      <c r="X24334" s="9"/>
    </row>
    <row r="24335">
      <c r="D24335" s="9"/>
      <c r="G24335" s="9"/>
      <c r="J24335" s="11"/>
      <c r="U24335" s="9"/>
      <c r="X24335" s="9"/>
    </row>
    <row r="24336">
      <c r="D24336" s="9"/>
      <c r="G24336" s="9"/>
      <c r="J24336" s="11"/>
      <c r="U24336" s="9"/>
      <c r="X24336" s="9"/>
    </row>
    <row r="24337">
      <c r="D24337" s="9"/>
      <c r="G24337" s="9"/>
      <c r="J24337" s="11"/>
      <c r="U24337" s="9"/>
      <c r="X24337" s="9"/>
    </row>
    <row r="24338">
      <c r="D24338" s="9"/>
      <c r="G24338" s="9"/>
      <c r="J24338" s="11"/>
      <c r="U24338" s="9"/>
      <c r="X24338" s="9"/>
    </row>
    <row r="24339">
      <c r="D24339" s="9"/>
      <c r="G24339" s="9"/>
      <c r="J24339" s="11"/>
      <c r="U24339" s="9"/>
      <c r="X24339" s="9"/>
    </row>
    <row r="24340">
      <c r="D24340" s="9"/>
      <c r="G24340" s="9"/>
      <c r="J24340" s="11"/>
      <c r="U24340" s="9"/>
      <c r="X24340" s="9"/>
    </row>
    <row r="24341">
      <c r="D24341" s="9"/>
      <c r="G24341" s="9"/>
      <c r="J24341" s="11"/>
      <c r="U24341" s="9"/>
      <c r="X24341" s="9"/>
    </row>
    <row r="24342">
      <c r="D24342" s="9"/>
      <c r="G24342" s="9"/>
      <c r="J24342" s="11"/>
      <c r="U24342" s="9"/>
      <c r="X24342" s="9"/>
    </row>
    <row r="24343">
      <c r="D24343" s="9"/>
      <c r="G24343" s="9"/>
      <c r="J24343" s="11"/>
      <c r="U24343" s="9"/>
      <c r="X24343" s="9"/>
    </row>
    <row r="24344">
      <c r="D24344" s="9"/>
      <c r="G24344" s="9"/>
      <c r="J24344" s="11"/>
      <c r="U24344" s="9"/>
      <c r="X24344" s="9"/>
    </row>
    <row r="24345">
      <c r="D24345" s="9"/>
      <c r="G24345" s="9"/>
      <c r="J24345" s="11"/>
      <c r="U24345" s="9"/>
      <c r="X24345" s="9"/>
    </row>
    <row r="24346">
      <c r="D24346" s="9"/>
      <c r="G24346" s="9"/>
      <c r="J24346" s="11"/>
      <c r="U24346" s="9"/>
      <c r="X24346" s="9"/>
    </row>
    <row r="24347">
      <c r="D24347" s="9"/>
      <c r="G24347" s="9"/>
      <c r="J24347" s="11"/>
      <c r="U24347" s="9"/>
      <c r="X24347" s="9"/>
    </row>
    <row r="24348">
      <c r="D24348" s="9"/>
      <c r="G24348" s="9"/>
      <c r="J24348" s="11"/>
      <c r="U24348" s="9"/>
      <c r="X24348" s="9"/>
    </row>
    <row r="24349">
      <c r="D24349" s="9"/>
      <c r="G24349" s="9"/>
      <c r="J24349" s="11"/>
      <c r="U24349" s="9"/>
      <c r="X24349" s="9"/>
    </row>
    <row r="24350">
      <c r="D24350" s="9"/>
      <c r="G24350" s="9"/>
      <c r="J24350" s="11"/>
      <c r="U24350" s="9"/>
      <c r="X24350" s="9"/>
    </row>
    <row r="24351">
      <c r="D24351" s="9"/>
      <c r="G24351" s="9"/>
      <c r="J24351" s="11"/>
      <c r="U24351" s="9"/>
      <c r="X24351" s="9"/>
    </row>
    <row r="24352">
      <c r="D24352" s="9"/>
      <c r="G24352" s="9"/>
      <c r="J24352" s="11"/>
      <c r="U24352" s="9"/>
      <c r="X24352" s="9"/>
    </row>
    <row r="24353">
      <c r="D24353" s="9"/>
      <c r="G24353" s="9"/>
      <c r="J24353" s="11"/>
      <c r="U24353" s="9"/>
      <c r="X24353" s="9"/>
    </row>
    <row r="24354">
      <c r="D24354" s="9"/>
      <c r="G24354" s="9"/>
      <c r="J24354" s="11"/>
      <c r="U24354" s="9"/>
      <c r="X24354" s="9"/>
    </row>
    <row r="24355">
      <c r="D24355" s="9"/>
      <c r="G24355" s="9"/>
      <c r="J24355" s="11"/>
      <c r="U24355" s="9"/>
      <c r="X24355" s="9"/>
    </row>
    <row r="24356">
      <c r="D24356" s="9"/>
      <c r="G24356" s="9"/>
      <c r="J24356" s="11"/>
      <c r="U24356" s="9"/>
      <c r="X24356" s="9"/>
    </row>
    <row r="24357">
      <c r="D24357" s="9"/>
      <c r="G24357" s="9"/>
      <c r="J24357" s="11"/>
      <c r="U24357" s="9"/>
      <c r="X24357" s="9"/>
    </row>
    <row r="24358">
      <c r="D24358" s="9"/>
      <c r="G24358" s="9"/>
      <c r="J24358" s="11"/>
      <c r="U24358" s="9"/>
      <c r="X24358" s="9"/>
    </row>
    <row r="24359">
      <c r="D24359" s="9"/>
      <c r="G24359" s="9"/>
      <c r="J24359" s="11"/>
      <c r="U24359" s="9"/>
      <c r="X24359" s="9"/>
    </row>
    <row r="24360">
      <c r="D24360" s="9"/>
      <c r="G24360" s="9"/>
      <c r="J24360" s="11"/>
      <c r="U24360" s="9"/>
      <c r="X24360" s="9"/>
    </row>
    <row r="24361">
      <c r="D24361" s="9"/>
      <c r="G24361" s="9"/>
      <c r="J24361" s="11"/>
      <c r="U24361" s="9"/>
      <c r="X24361" s="9"/>
    </row>
    <row r="24362">
      <c r="D24362" s="9"/>
      <c r="G24362" s="9"/>
      <c r="J24362" s="11"/>
      <c r="U24362" s="9"/>
      <c r="X24362" s="9"/>
    </row>
    <row r="24363">
      <c r="D24363" s="9"/>
      <c r="G24363" s="9"/>
      <c r="J24363" s="11"/>
      <c r="U24363" s="9"/>
      <c r="X24363" s="9"/>
    </row>
    <row r="24364">
      <c r="D24364" s="9"/>
      <c r="G24364" s="9"/>
      <c r="J24364" s="11"/>
      <c r="U24364" s="9"/>
      <c r="X24364" s="9"/>
    </row>
    <row r="24365">
      <c r="D24365" s="9"/>
      <c r="G24365" s="9"/>
      <c r="J24365" s="11"/>
      <c r="U24365" s="9"/>
      <c r="X24365" s="9"/>
    </row>
    <row r="24366">
      <c r="D24366" s="9"/>
      <c r="G24366" s="9"/>
      <c r="J24366" s="11"/>
      <c r="U24366" s="9"/>
      <c r="X24366" s="9"/>
    </row>
    <row r="24367">
      <c r="D24367" s="9"/>
      <c r="G24367" s="9"/>
      <c r="J24367" s="11"/>
      <c r="U24367" s="9"/>
      <c r="X24367" s="9"/>
    </row>
    <row r="24368">
      <c r="D24368" s="9"/>
      <c r="G24368" s="9"/>
      <c r="J24368" s="11"/>
      <c r="U24368" s="9"/>
      <c r="X24368" s="9"/>
    </row>
    <row r="24369">
      <c r="D24369" s="9"/>
      <c r="G24369" s="9"/>
      <c r="J24369" s="11"/>
      <c r="U24369" s="9"/>
      <c r="X24369" s="9"/>
    </row>
    <row r="24370">
      <c r="D24370" s="9"/>
      <c r="G24370" s="9"/>
      <c r="J24370" s="11"/>
      <c r="U24370" s="9"/>
      <c r="X24370" s="9"/>
    </row>
    <row r="24371">
      <c r="D24371" s="9"/>
      <c r="G24371" s="9"/>
      <c r="J24371" s="11"/>
      <c r="U24371" s="9"/>
      <c r="X24371" s="9"/>
    </row>
    <row r="24372">
      <c r="D24372" s="9"/>
      <c r="G24372" s="9"/>
      <c r="J24372" s="11"/>
      <c r="U24372" s="9"/>
      <c r="X24372" s="9"/>
    </row>
    <row r="24373">
      <c r="D24373" s="9"/>
      <c r="G24373" s="9"/>
      <c r="J24373" s="11"/>
      <c r="U24373" s="9"/>
      <c r="X24373" s="9"/>
    </row>
    <row r="24374">
      <c r="D24374" s="9"/>
      <c r="G24374" s="9"/>
      <c r="J24374" s="11"/>
      <c r="U24374" s="9"/>
      <c r="X24374" s="9"/>
    </row>
    <row r="24375">
      <c r="D24375" s="9"/>
      <c r="G24375" s="9"/>
      <c r="J24375" s="11"/>
      <c r="U24375" s="9"/>
      <c r="X24375" s="9"/>
    </row>
    <row r="24376">
      <c r="D24376" s="9"/>
      <c r="G24376" s="9"/>
      <c r="J24376" s="11"/>
      <c r="U24376" s="9"/>
      <c r="X24376" s="9"/>
    </row>
    <row r="24377">
      <c r="D24377" s="9"/>
      <c r="G24377" s="9"/>
      <c r="J24377" s="11"/>
      <c r="U24377" s="9"/>
      <c r="X24377" s="9"/>
    </row>
    <row r="24378">
      <c r="D24378" s="9"/>
      <c r="G24378" s="9"/>
      <c r="J24378" s="11"/>
      <c r="U24378" s="9"/>
      <c r="X24378" s="9"/>
    </row>
    <row r="24379">
      <c r="D24379" s="9"/>
      <c r="G24379" s="9"/>
      <c r="J24379" s="11"/>
      <c r="U24379" s="9"/>
      <c r="X24379" s="9"/>
    </row>
    <row r="24380">
      <c r="D24380" s="9"/>
      <c r="G24380" s="9"/>
      <c r="J24380" s="11"/>
      <c r="U24380" s="9"/>
      <c r="X24380" s="9"/>
    </row>
    <row r="24381">
      <c r="D24381" s="9"/>
      <c r="G24381" s="9"/>
      <c r="J24381" s="11"/>
      <c r="U24381" s="9"/>
      <c r="X24381" s="9"/>
    </row>
    <row r="24382">
      <c r="D24382" s="9"/>
      <c r="G24382" s="9"/>
      <c r="J24382" s="11"/>
      <c r="U24382" s="9"/>
      <c r="X24382" s="9"/>
    </row>
    <row r="24383">
      <c r="D24383" s="9"/>
      <c r="G24383" s="9"/>
      <c r="J24383" s="11"/>
      <c r="U24383" s="9"/>
      <c r="X24383" s="9"/>
    </row>
    <row r="24384">
      <c r="D24384" s="9"/>
      <c r="G24384" s="9"/>
      <c r="J24384" s="11"/>
      <c r="U24384" s="9"/>
      <c r="X24384" s="9"/>
    </row>
    <row r="24385">
      <c r="D24385" s="9"/>
      <c r="G24385" s="9"/>
      <c r="J24385" s="11"/>
      <c r="U24385" s="9"/>
      <c r="X24385" s="9"/>
    </row>
    <row r="24386">
      <c r="D24386" s="9"/>
      <c r="G24386" s="9"/>
      <c r="J24386" s="11"/>
      <c r="U24386" s="9"/>
      <c r="X24386" s="9"/>
    </row>
    <row r="24387">
      <c r="D24387" s="9"/>
      <c r="G24387" s="9"/>
      <c r="J24387" s="11"/>
      <c r="U24387" s="9"/>
      <c r="X24387" s="9"/>
    </row>
    <row r="24388">
      <c r="D24388" s="9"/>
      <c r="G24388" s="9"/>
      <c r="J24388" s="11"/>
      <c r="U24388" s="9"/>
      <c r="X24388" s="9"/>
    </row>
    <row r="24389">
      <c r="D24389" s="9"/>
      <c r="G24389" s="9"/>
      <c r="J24389" s="11"/>
      <c r="U24389" s="9"/>
      <c r="X24389" s="9"/>
    </row>
    <row r="24390">
      <c r="D24390" s="9"/>
      <c r="G24390" s="9"/>
      <c r="J24390" s="11"/>
      <c r="U24390" s="9"/>
      <c r="X24390" s="9"/>
    </row>
    <row r="24391">
      <c r="D24391" s="9"/>
      <c r="G24391" s="9"/>
      <c r="J24391" s="11"/>
      <c r="U24391" s="9"/>
      <c r="X24391" s="9"/>
    </row>
    <row r="24392">
      <c r="D24392" s="9"/>
      <c r="G24392" s="9"/>
      <c r="J24392" s="11"/>
      <c r="U24392" s="9"/>
      <c r="X24392" s="9"/>
    </row>
    <row r="24393">
      <c r="D24393" s="9"/>
      <c r="G24393" s="9"/>
      <c r="J24393" s="11"/>
      <c r="U24393" s="9"/>
      <c r="X24393" s="9"/>
    </row>
    <row r="24394">
      <c r="D24394" s="9"/>
      <c r="G24394" s="9"/>
      <c r="J24394" s="11"/>
      <c r="U24394" s="9"/>
      <c r="X24394" s="9"/>
    </row>
    <row r="24395">
      <c r="D24395" s="9"/>
      <c r="G24395" s="9"/>
      <c r="J24395" s="11"/>
      <c r="U24395" s="9"/>
      <c r="X24395" s="9"/>
    </row>
    <row r="24396">
      <c r="D24396" s="9"/>
      <c r="G24396" s="9"/>
      <c r="J24396" s="11"/>
      <c r="U24396" s="9"/>
      <c r="X24396" s="9"/>
    </row>
    <row r="24397">
      <c r="D24397" s="9"/>
      <c r="G24397" s="9"/>
      <c r="J24397" s="11"/>
      <c r="U24397" s="9"/>
      <c r="X24397" s="9"/>
    </row>
    <row r="24398">
      <c r="D24398" s="9"/>
      <c r="G24398" s="9"/>
      <c r="J24398" s="11"/>
      <c r="U24398" s="9"/>
      <c r="X24398" s="9"/>
    </row>
    <row r="24399">
      <c r="D24399" s="9"/>
      <c r="G24399" s="9"/>
      <c r="J24399" s="11"/>
      <c r="U24399" s="9"/>
      <c r="X24399" s="9"/>
    </row>
    <row r="24400">
      <c r="D24400" s="9"/>
      <c r="G24400" s="9"/>
      <c r="J24400" s="11"/>
      <c r="U24400" s="9"/>
      <c r="X24400" s="9"/>
    </row>
    <row r="24401">
      <c r="D24401" s="9"/>
      <c r="G24401" s="9"/>
      <c r="J24401" s="11"/>
      <c r="U24401" s="9"/>
      <c r="X24401" s="9"/>
    </row>
    <row r="24402">
      <c r="D24402" s="9"/>
      <c r="G24402" s="9"/>
      <c r="J24402" s="11"/>
      <c r="U24402" s="9"/>
      <c r="X24402" s="9"/>
    </row>
    <row r="24403">
      <c r="D24403" s="9"/>
      <c r="G24403" s="9"/>
      <c r="J24403" s="11"/>
      <c r="U24403" s="9"/>
      <c r="X24403" s="9"/>
    </row>
    <row r="24404">
      <c r="D24404" s="9"/>
      <c r="G24404" s="9"/>
      <c r="J24404" s="11"/>
      <c r="U24404" s="9"/>
      <c r="X24404" s="9"/>
    </row>
    <row r="24405">
      <c r="D24405" s="9"/>
      <c r="G24405" s="9"/>
      <c r="J24405" s="11"/>
      <c r="U24405" s="9"/>
      <c r="X24405" s="9"/>
    </row>
    <row r="24406">
      <c r="D24406" s="9"/>
      <c r="G24406" s="9"/>
      <c r="J24406" s="11"/>
      <c r="U24406" s="9"/>
      <c r="X24406" s="9"/>
    </row>
    <row r="24407">
      <c r="D24407" s="9"/>
      <c r="G24407" s="9"/>
      <c r="J24407" s="11"/>
      <c r="U24407" s="9"/>
      <c r="X24407" s="9"/>
    </row>
    <row r="24408">
      <c r="D24408" s="9"/>
      <c r="G24408" s="9"/>
      <c r="J24408" s="11"/>
      <c r="U24408" s="9"/>
      <c r="X24408" s="9"/>
    </row>
    <row r="24409">
      <c r="D24409" s="9"/>
      <c r="G24409" s="9"/>
      <c r="J24409" s="11"/>
      <c r="U24409" s="9"/>
      <c r="X24409" s="9"/>
    </row>
    <row r="24410">
      <c r="D24410" s="9"/>
      <c r="G24410" s="9"/>
      <c r="J24410" s="11"/>
      <c r="U24410" s="9"/>
      <c r="X24410" s="9"/>
    </row>
    <row r="24411">
      <c r="D24411" s="9"/>
      <c r="G24411" s="9"/>
      <c r="J24411" s="11"/>
      <c r="U24411" s="9"/>
      <c r="X24411" s="9"/>
    </row>
    <row r="24412">
      <c r="D24412" s="9"/>
      <c r="G24412" s="9"/>
      <c r="J24412" s="11"/>
      <c r="U24412" s="9"/>
      <c r="X24412" s="9"/>
    </row>
    <row r="24413">
      <c r="D24413" s="9"/>
      <c r="G24413" s="9"/>
      <c r="J24413" s="11"/>
      <c r="U24413" s="9"/>
      <c r="X24413" s="9"/>
    </row>
    <row r="24414">
      <c r="D24414" s="9"/>
      <c r="G24414" s="9"/>
      <c r="J24414" s="11"/>
      <c r="U24414" s="9"/>
      <c r="X24414" s="9"/>
    </row>
    <row r="24415">
      <c r="D24415" s="9"/>
      <c r="G24415" s="9"/>
      <c r="J24415" s="11"/>
      <c r="U24415" s="9"/>
      <c r="X24415" s="9"/>
    </row>
    <row r="24416">
      <c r="D24416" s="9"/>
      <c r="G24416" s="9"/>
      <c r="J24416" s="11"/>
      <c r="U24416" s="9"/>
      <c r="X24416" s="9"/>
    </row>
    <row r="24417">
      <c r="D24417" s="9"/>
      <c r="G24417" s="9"/>
      <c r="J24417" s="11"/>
      <c r="U24417" s="9"/>
      <c r="X24417" s="9"/>
    </row>
    <row r="24418">
      <c r="D24418" s="9"/>
      <c r="G24418" s="9"/>
      <c r="J24418" s="11"/>
      <c r="U24418" s="9"/>
      <c r="X24418" s="9"/>
    </row>
    <row r="24419">
      <c r="D24419" s="9"/>
      <c r="G24419" s="9"/>
      <c r="J24419" s="11"/>
      <c r="U24419" s="9"/>
      <c r="X24419" s="9"/>
    </row>
    <row r="24420">
      <c r="D24420" s="9"/>
      <c r="G24420" s="9"/>
      <c r="J24420" s="11"/>
      <c r="U24420" s="9"/>
      <c r="X24420" s="9"/>
    </row>
    <row r="24421">
      <c r="D24421" s="9"/>
      <c r="G24421" s="9"/>
      <c r="J24421" s="11"/>
      <c r="U24421" s="9"/>
      <c r="X24421" s="9"/>
    </row>
    <row r="24422">
      <c r="D24422" s="9"/>
      <c r="G24422" s="9"/>
      <c r="J24422" s="11"/>
      <c r="U24422" s="9"/>
      <c r="X24422" s="9"/>
    </row>
    <row r="24423">
      <c r="D24423" s="9"/>
      <c r="G24423" s="9"/>
      <c r="J24423" s="11"/>
      <c r="U24423" s="9"/>
      <c r="X24423" s="9"/>
    </row>
    <row r="24424">
      <c r="D24424" s="9"/>
      <c r="G24424" s="9"/>
      <c r="J24424" s="11"/>
      <c r="U24424" s="9"/>
      <c r="X24424" s="9"/>
    </row>
    <row r="24425">
      <c r="D24425" s="9"/>
      <c r="G24425" s="9"/>
      <c r="J24425" s="11"/>
      <c r="U24425" s="9"/>
      <c r="X24425" s="9"/>
    </row>
    <row r="24426">
      <c r="D24426" s="9"/>
      <c r="G24426" s="9"/>
      <c r="J24426" s="11"/>
      <c r="U24426" s="9"/>
      <c r="X24426" s="9"/>
    </row>
    <row r="24427">
      <c r="D24427" s="9"/>
      <c r="G24427" s="9"/>
      <c r="J24427" s="11"/>
      <c r="U24427" s="9"/>
      <c r="X24427" s="9"/>
    </row>
    <row r="24428">
      <c r="D24428" s="9"/>
      <c r="G24428" s="9"/>
      <c r="J24428" s="11"/>
      <c r="U24428" s="9"/>
      <c r="X24428" s="9"/>
    </row>
    <row r="24429">
      <c r="D24429" s="9"/>
      <c r="G24429" s="9"/>
      <c r="J24429" s="11"/>
      <c r="U24429" s="9"/>
      <c r="X24429" s="9"/>
    </row>
    <row r="24430">
      <c r="D24430" s="9"/>
      <c r="G24430" s="9"/>
      <c r="J24430" s="11"/>
      <c r="U24430" s="9"/>
      <c r="X24430" s="9"/>
    </row>
    <row r="24431">
      <c r="D24431" s="9"/>
      <c r="G24431" s="9"/>
      <c r="J24431" s="11"/>
      <c r="U24431" s="9"/>
      <c r="X24431" s="9"/>
    </row>
    <row r="24432">
      <c r="D24432" s="9"/>
      <c r="G24432" s="9"/>
      <c r="J24432" s="11"/>
      <c r="U24432" s="9"/>
      <c r="X24432" s="9"/>
    </row>
    <row r="24433">
      <c r="D24433" s="9"/>
      <c r="G24433" s="9"/>
      <c r="J24433" s="11"/>
      <c r="U24433" s="9"/>
      <c r="X24433" s="9"/>
    </row>
    <row r="24434">
      <c r="D24434" s="9"/>
      <c r="G24434" s="9"/>
      <c r="J24434" s="11"/>
      <c r="U24434" s="9"/>
      <c r="X24434" s="9"/>
    </row>
    <row r="24435">
      <c r="D24435" s="9"/>
      <c r="G24435" s="9"/>
      <c r="J24435" s="11"/>
      <c r="U24435" s="9"/>
      <c r="X24435" s="9"/>
    </row>
    <row r="24436">
      <c r="D24436" s="9"/>
      <c r="G24436" s="9"/>
      <c r="J24436" s="11"/>
      <c r="U24436" s="9"/>
      <c r="X24436" s="9"/>
    </row>
    <row r="24437">
      <c r="D24437" s="9"/>
      <c r="G24437" s="9"/>
      <c r="J24437" s="11"/>
      <c r="U24437" s="9"/>
      <c r="X24437" s="9"/>
    </row>
    <row r="24438">
      <c r="D24438" s="9"/>
      <c r="G24438" s="9"/>
      <c r="J24438" s="11"/>
      <c r="U24438" s="9"/>
      <c r="X24438" s="9"/>
    </row>
    <row r="24439">
      <c r="D24439" s="9"/>
      <c r="G24439" s="9"/>
      <c r="J24439" s="11"/>
      <c r="U24439" s="9"/>
      <c r="X24439" s="9"/>
    </row>
    <row r="24440">
      <c r="D24440" s="9"/>
      <c r="G24440" s="9"/>
      <c r="J24440" s="11"/>
      <c r="U24440" s="9"/>
      <c r="X24440" s="9"/>
    </row>
    <row r="24441">
      <c r="D24441" s="9"/>
      <c r="G24441" s="9"/>
      <c r="J24441" s="11"/>
      <c r="U24441" s="9"/>
      <c r="X24441" s="9"/>
    </row>
    <row r="24442">
      <c r="D24442" s="9"/>
      <c r="G24442" s="9"/>
      <c r="J24442" s="11"/>
      <c r="U24442" s="9"/>
      <c r="X24442" s="9"/>
    </row>
    <row r="24443">
      <c r="D24443" s="9"/>
      <c r="G24443" s="9"/>
      <c r="J24443" s="11"/>
      <c r="U24443" s="9"/>
      <c r="X24443" s="9"/>
    </row>
    <row r="24444">
      <c r="D24444" s="9"/>
      <c r="G24444" s="9"/>
      <c r="J24444" s="11"/>
      <c r="U24444" s="9"/>
      <c r="X24444" s="9"/>
    </row>
    <row r="24445">
      <c r="D24445" s="9"/>
      <c r="G24445" s="9"/>
      <c r="J24445" s="11"/>
      <c r="U24445" s="9"/>
      <c r="X24445" s="9"/>
    </row>
    <row r="24446">
      <c r="D24446" s="9"/>
      <c r="G24446" s="9"/>
      <c r="J24446" s="11"/>
      <c r="U24446" s="9"/>
      <c r="X24446" s="9"/>
    </row>
    <row r="24447">
      <c r="D24447" s="9"/>
      <c r="G24447" s="9"/>
      <c r="J24447" s="11"/>
      <c r="U24447" s="9"/>
      <c r="X24447" s="9"/>
    </row>
    <row r="24448">
      <c r="D24448" s="9"/>
      <c r="G24448" s="9"/>
      <c r="J24448" s="11"/>
      <c r="U24448" s="9"/>
      <c r="X24448" s="9"/>
    </row>
    <row r="24449">
      <c r="D24449" s="9"/>
      <c r="G24449" s="9"/>
      <c r="J24449" s="11"/>
      <c r="U24449" s="9"/>
      <c r="X24449" s="9"/>
    </row>
    <row r="24450">
      <c r="D24450" s="9"/>
      <c r="G24450" s="9"/>
      <c r="J24450" s="11"/>
      <c r="U24450" s="9"/>
      <c r="X24450" s="9"/>
    </row>
    <row r="24451">
      <c r="D24451" s="9"/>
      <c r="G24451" s="9"/>
      <c r="J24451" s="11"/>
      <c r="U24451" s="9"/>
      <c r="X24451" s="9"/>
    </row>
    <row r="24452">
      <c r="D24452" s="9"/>
      <c r="G24452" s="9"/>
      <c r="J24452" s="11"/>
      <c r="U24452" s="9"/>
      <c r="X24452" s="9"/>
    </row>
    <row r="24453">
      <c r="D24453" s="9"/>
      <c r="G24453" s="9"/>
      <c r="J24453" s="11"/>
      <c r="U24453" s="9"/>
      <c r="X24453" s="9"/>
    </row>
    <row r="24454">
      <c r="D24454" s="9"/>
      <c r="G24454" s="9"/>
      <c r="J24454" s="11"/>
      <c r="U24454" s="9"/>
      <c r="X24454" s="9"/>
    </row>
    <row r="24455">
      <c r="D24455" s="9"/>
      <c r="G24455" s="9"/>
      <c r="J24455" s="11"/>
      <c r="U24455" s="9"/>
      <c r="X24455" s="9"/>
    </row>
    <row r="24456">
      <c r="D24456" s="9"/>
      <c r="G24456" s="9"/>
      <c r="J24456" s="11"/>
      <c r="U24456" s="9"/>
      <c r="X24456" s="9"/>
    </row>
    <row r="24457">
      <c r="D24457" s="9"/>
      <c r="G24457" s="9"/>
      <c r="J24457" s="11"/>
      <c r="U24457" s="9"/>
      <c r="X24457" s="9"/>
    </row>
    <row r="24458">
      <c r="D24458" s="9"/>
      <c r="G24458" s="9"/>
      <c r="J24458" s="11"/>
      <c r="U24458" s="9"/>
      <c r="X24458" s="9"/>
    </row>
    <row r="24459">
      <c r="D24459" s="9"/>
      <c r="G24459" s="9"/>
      <c r="J24459" s="11"/>
      <c r="U24459" s="9"/>
      <c r="X24459" s="9"/>
    </row>
    <row r="24460">
      <c r="D24460" s="9"/>
      <c r="G24460" s="9"/>
      <c r="J24460" s="11"/>
      <c r="U24460" s="9"/>
      <c r="X24460" s="9"/>
    </row>
    <row r="24461">
      <c r="D24461" s="9"/>
      <c r="G24461" s="9"/>
      <c r="J24461" s="11"/>
      <c r="U24461" s="9"/>
      <c r="X24461" s="9"/>
    </row>
    <row r="24462">
      <c r="D24462" s="9"/>
      <c r="G24462" s="9"/>
      <c r="J24462" s="11"/>
      <c r="U24462" s="9"/>
      <c r="X24462" s="9"/>
    </row>
    <row r="24463">
      <c r="D24463" s="9"/>
      <c r="G24463" s="9"/>
      <c r="J24463" s="11"/>
      <c r="U24463" s="9"/>
      <c r="X24463" s="9"/>
    </row>
    <row r="24464">
      <c r="D24464" s="9"/>
      <c r="G24464" s="9"/>
      <c r="J24464" s="11"/>
      <c r="U24464" s="9"/>
      <c r="X24464" s="9"/>
    </row>
    <row r="24465">
      <c r="D24465" s="9"/>
      <c r="G24465" s="9"/>
      <c r="J24465" s="11"/>
      <c r="U24465" s="9"/>
      <c r="X24465" s="9"/>
    </row>
    <row r="24466">
      <c r="D24466" s="9"/>
      <c r="G24466" s="9"/>
      <c r="J24466" s="11"/>
      <c r="U24466" s="9"/>
      <c r="X24466" s="9"/>
    </row>
    <row r="24467">
      <c r="D24467" s="9"/>
      <c r="G24467" s="9"/>
      <c r="J24467" s="11"/>
      <c r="U24467" s="9"/>
      <c r="X24467" s="9"/>
    </row>
    <row r="24468">
      <c r="D24468" s="9"/>
      <c r="G24468" s="9"/>
      <c r="J24468" s="11"/>
      <c r="U24468" s="9"/>
      <c r="X24468" s="9"/>
    </row>
    <row r="24469">
      <c r="D24469" s="9"/>
      <c r="G24469" s="9"/>
      <c r="J24469" s="11"/>
      <c r="U24469" s="9"/>
      <c r="X24469" s="9"/>
    </row>
    <row r="24470">
      <c r="D24470" s="9"/>
      <c r="G24470" s="9"/>
      <c r="J24470" s="11"/>
      <c r="U24470" s="9"/>
      <c r="X24470" s="9"/>
    </row>
    <row r="24471">
      <c r="D24471" s="9"/>
      <c r="G24471" s="9"/>
      <c r="J24471" s="11"/>
      <c r="U24471" s="9"/>
      <c r="X24471" s="9"/>
    </row>
    <row r="24472">
      <c r="D24472" s="9"/>
      <c r="G24472" s="9"/>
      <c r="J24472" s="11"/>
      <c r="U24472" s="9"/>
      <c r="X24472" s="9"/>
    </row>
    <row r="24473">
      <c r="D24473" s="9"/>
      <c r="G24473" s="9"/>
      <c r="J24473" s="11"/>
      <c r="U24473" s="9"/>
      <c r="X24473" s="9"/>
    </row>
    <row r="24474">
      <c r="D24474" s="9"/>
      <c r="G24474" s="9"/>
      <c r="J24474" s="11"/>
      <c r="U24474" s="9"/>
      <c r="X24474" s="9"/>
    </row>
    <row r="24475">
      <c r="D24475" s="9"/>
      <c r="G24475" s="9"/>
      <c r="J24475" s="11"/>
      <c r="U24475" s="9"/>
      <c r="X24475" s="9"/>
    </row>
    <row r="24476">
      <c r="D24476" s="9"/>
      <c r="G24476" s="9"/>
      <c r="J24476" s="11"/>
      <c r="U24476" s="9"/>
      <c r="X24476" s="9"/>
    </row>
    <row r="24477">
      <c r="D24477" s="9"/>
      <c r="G24477" s="9"/>
      <c r="J24477" s="11"/>
      <c r="U24477" s="9"/>
      <c r="X24477" s="9"/>
    </row>
    <row r="24478">
      <c r="D24478" s="9"/>
      <c r="G24478" s="9"/>
      <c r="J24478" s="11"/>
      <c r="U24478" s="9"/>
      <c r="X24478" s="9"/>
    </row>
    <row r="24479">
      <c r="D24479" s="9"/>
      <c r="G24479" s="9"/>
      <c r="J24479" s="11"/>
      <c r="U24479" s="9"/>
      <c r="X24479" s="9"/>
    </row>
    <row r="24480">
      <c r="D24480" s="9"/>
      <c r="G24480" s="9"/>
      <c r="J24480" s="11"/>
      <c r="U24480" s="9"/>
      <c r="X24480" s="9"/>
    </row>
    <row r="24481">
      <c r="D24481" s="9"/>
      <c r="G24481" s="9"/>
      <c r="J24481" s="11"/>
      <c r="U24481" s="9"/>
      <c r="X24481" s="9"/>
    </row>
    <row r="24482">
      <c r="D24482" s="9"/>
      <c r="G24482" s="9"/>
      <c r="J24482" s="11"/>
      <c r="U24482" s="9"/>
      <c r="X24482" s="9"/>
    </row>
    <row r="24483">
      <c r="D24483" s="9"/>
      <c r="G24483" s="9"/>
      <c r="J24483" s="11"/>
      <c r="U24483" s="9"/>
      <c r="X24483" s="9"/>
    </row>
    <row r="24484">
      <c r="D24484" s="9"/>
      <c r="G24484" s="9"/>
      <c r="J24484" s="11"/>
      <c r="U24484" s="9"/>
      <c r="X24484" s="9"/>
    </row>
    <row r="24485">
      <c r="D24485" s="9"/>
      <c r="G24485" s="9"/>
      <c r="J24485" s="11"/>
      <c r="U24485" s="9"/>
      <c r="X24485" s="9"/>
    </row>
    <row r="24486">
      <c r="D24486" s="9"/>
      <c r="G24486" s="9"/>
      <c r="J24486" s="11"/>
      <c r="U24486" s="9"/>
      <c r="X24486" s="9"/>
    </row>
    <row r="24487">
      <c r="D24487" s="9"/>
      <c r="G24487" s="9"/>
      <c r="J24487" s="11"/>
      <c r="U24487" s="9"/>
      <c r="X24487" s="9"/>
    </row>
    <row r="24488">
      <c r="D24488" s="9"/>
      <c r="G24488" s="9"/>
      <c r="J24488" s="11"/>
      <c r="U24488" s="9"/>
      <c r="X24488" s="9"/>
    </row>
    <row r="24489">
      <c r="D24489" s="9"/>
      <c r="G24489" s="9"/>
      <c r="J24489" s="11"/>
      <c r="U24489" s="9"/>
      <c r="X24489" s="9"/>
    </row>
    <row r="24490">
      <c r="D24490" s="9"/>
      <c r="G24490" s="9"/>
      <c r="J24490" s="11"/>
      <c r="U24490" s="9"/>
      <c r="X24490" s="9"/>
    </row>
    <row r="24491">
      <c r="D24491" s="9"/>
      <c r="G24491" s="9"/>
      <c r="J24491" s="11"/>
      <c r="U24491" s="9"/>
      <c r="X24491" s="9"/>
    </row>
    <row r="24492">
      <c r="D24492" s="9"/>
      <c r="G24492" s="9"/>
      <c r="J24492" s="11"/>
      <c r="U24492" s="9"/>
      <c r="X24492" s="9"/>
    </row>
    <row r="24493">
      <c r="D24493" s="9"/>
      <c r="G24493" s="9"/>
      <c r="J24493" s="11"/>
      <c r="U24493" s="9"/>
      <c r="X24493" s="9"/>
    </row>
    <row r="24494">
      <c r="D24494" s="9"/>
      <c r="G24494" s="9"/>
      <c r="J24494" s="11"/>
      <c r="U24494" s="9"/>
      <c r="X24494" s="9"/>
    </row>
    <row r="24495">
      <c r="D24495" s="9"/>
      <c r="G24495" s="9"/>
      <c r="J24495" s="11"/>
      <c r="U24495" s="9"/>
      <c r="X24495" s="9"/>
    </row>
    <row r="24496">
      <c r="D24496" s="9"/>
      <c r="G24496" s="9"/>
      <c r="J24496" s="11"/>
      <c r="U24496" s="9"/>
      <c r="X24496" s="9"/>
    </row>
    <row r="24497">
      <c r="D24497" s="9"/>
      <c r="G24497" s="9"/>
      <c r="J24497" s="11"/>
      <c r="U24497" s="9"/>
      <c r="X24497" s="9"/>
    </row>
    <row r="24498">
      <c r="D24498" s="9"/>
      <c r="G24498" s="9"/>
      <c r="J24498" s="11"/>
      <c r="U24498" s="9"/>
      <c r="X24498" s="9"/>
    </row>
    <row r="24499">
      <c r="D24499" s="9"/>
      <c r="G24499" s="9"/>
      <c r="J24499" s="11"/>
      <c r="U24499" s="9"/>
      <c r="X24499" s="9"/>
    </row>
    <row r="24500">
      <c r="D24500" s="9"/>
      <c r="G24500" s="9"/>
      <c r="J24500" s="11"/>
      <c r="U24500" s="9"/>
      <c r="X24500" s="9"/>
    </row>
    <row r="24501">
      <c r="D24501" s="9"/>
      <c r="G24501" s="9"/>
      <c r="J24501" s="11"/>
      <c r="U24501" s="9"/>
      <c r="X24501" s="9"/>
    </row>
    <row r="24502">
      <c r="D24502" s="9"/>
      <c r="G24502" s="9"/>
      <c r="J24502" s="11"/>
      <c r="U24502" s="9"/>
      <c r="X24502" s="9"/>
    </row>
    <row r="24503">
      <c r="D24503" s="9"/>
      <c r="G24503" s="9"/>
      <c r="J24503" s="11"/>
      <c r="U24503" s="9"/>
      <c r="X24503" s="9"/>
    </row>
    <row r="24504">
      <c r="D24504" s="9"/>
      <c r="G24504" s="9"/>
      <c r="J24504" s="11"/>
      <c r="U24504" s="9"/>
      <c r="X24504" s="9"/>
    </row>
    <row r="24505">
      <c r="D24505" s="9"/>
      <c r="G24505" s="9"/>
      <c r="J24505" s="11"/>
      <c r="U24505" s="9"/>
      <c r="X24505" s="9"/>
    </row>
    <row r="24506">
      <c r="D24506" s="9"/>
      <c r="G24506" s="9"/>
      <c r="J24506" s="11"/>
      <c r="U24506" s="9"/>
      <c r="X24506" s="9"/>
    </row>
    <row r="24507">
      <c r="D24507" s="9"/>
      <c r="G24507" s="9"/>
      <c r="J24507" s="11"/>
      <c r="U24507" s="9"/>
      <c r="X24507" s="9"/>
    </row>
    <row r="24508">
      <c r="D24508" s="9"/>
      <c r="G24508" s="9"/>
      <c r="J24508" s="11"/>
      <c r="U24508" s="9"/>
      <c r="X24508" s="9"/>
    </row>
    <row r="24509">
      <c r="D24509" s="9"/>
      <c r="G24509" s="9"/>
      <c r="J24509" s="11"/>
      <c r="U24509" s="9"/>
      <c r="X24509" s="9"/>
    </row>
    <row r="24510">
      <c r="D24510" s="9"/>
      <c r="G24510" s="9"/>
      <c r="J24510" s="11"/>
      <c r="U24510" s="9"/>
      <c r="X24510" s="9"/>
    </row>
    <row r="24511">
      <c r="D24511" s="9"/>
      <c r="G24511" s="9"/>
      <c r="J24511" s="11"/>
      <c r="U24511" s="9"/>
      <c r="X24511" s="9"/>
    </row>
    <row r="24512">
      <c r="D24512" s="9"/>
      <c r="G24512" s="9"/>
      <c r="J24512" s="11"/>
      <c r="U24512" s="9"/>
      <c r="X24512" s="9"/>
    </row>
    <row r="24513">
      <c r="D24513" s="9"/>
      <c r="G24513" s="9"/>
      <c r="J24513" s="11"/>
      <c r="U24513" s="9"/>
      <c r="X24513" s="9"/>
    </row>
    <row r="24514">
      <c r="D24514" s="9"/>
      <c r="G24514" s="9"/>
      <c r="J24514" s="11"/>
      <c r="U24514" s="9"/>
      <c r="X24514" s="9"/>
    </row>
    <row r="24515">
      <c r="D24515" s="9"/>
      <c r="G24515" s="9"/>
      <c r="J24515" s="11"/>
      <c r="U24515" s="9"/>
      <c r="X24515" s="9"/>
    </row>
    <row r="24516">
      <c r="D24516" s="9"/>
      <c r="G24516" s="9"/>
      <c r="J24516" s="11"/>
      <c r="U24516" s="9"/>
      <c r="X24516" s="9"/>
    </row>
    <row r="24517">
      <c r="D24517" s="9"/>
      <c r="G24517" s="9"/>
      <c r="J24517" s="11"/>
      <c r="U24517" s="9"/>
      <c r="X24517" s="9"/>
    </row>
    <row r="24518">
      <c r="D24518" s="9"/>
      <c r="G24518" s="9"/>
      <c r="J24518" s="11"/>
      <c r="U24518" s="9"/>
      <c r="X24518" s="9"/>
    </row>
    <row r="24519">
      <c r="D24519" s="9"/>
      <c r="G24519" s="9"/>
      <c r="J24519" s="11"/>
      <c r="U24519" s="9"/>
      <c r="X24519" s="9"/>
    </row>
    <row r="24520">
      <c r="D24520" s="9"/>
      <c r="G24520" s="9"/>
      <c r="J24520" s="11"/>
      <c r="U24520" s="9"/>
      <c r="X24520" s="9"/>
    </row>
    <row r="24521">
      <c r="D24521" s="9"/>
      <c r="G24521" s="9"/>
      <c r="J24521" s="11"/>
      <c r="U24521" s="9"/>
      <c r="X24521" s="9"/>
    </row>
    <row r="24522">
      <c r="D24522" s="9"/>
      <c r="G24522" s="9"/>
      <c r="J24522" s="11"/>
      <c r="U24522" s="9"/>
      <c r="X24522" s="9"/>
    </row>
    <row r="24523">
      <c r="D24523" s="9"/>
      <c r="G24523" s="9"/>
      <c r="J24523" s="11"/>
      <c r="U24523" s="9"/>
      <c r="X24523" s="9"/>
    </row>
    <row r="24524">
      <c r="D24524" s="9"/>
      <c r="G24524" s="9"/>
      <c r="J24524" s="11"/>
      <c r="U24524" s="9"/>
      <c r="X24524" s="9"/>
    </row>
    <row r="24525">
      <c r="D24525" s="9"/>
      <c r="G24525" s="9"/>
      <c r="J24525" s="11"/>
      <c r="U24525" s="9"/>
      <c r="X24525" s="9"/>
    </row>
    <row r="24526">
      <c r="D24526" s="9"/>
      <c r="G24526" s="9"/>
      <c r="J24526" s="11"/>
      <c r="U24526" s="9"/>
      <c r="X24526" s="9"/>
    </row>
    <row r="24527">
      <c r="D24527" s="9"/>
      <c r="G24527" s="9"/>
      <c r="J24527" s="11"/>
      <c r="U24527" s="9"/>
      <c r="X24527" s="9"/>
    </row>
    <row r="24528">
      <c r="D24528" s="9"/>
      <c r="G24528" s="9"/>
      <c r="J24528" s="11"/>
      <c r="U24528" s="9"/>
      <c r="X24528" s="9"/>
    </row>
    <row r="24529">
      <c r="D24529" s="9"/>
      <c r="G24529" s="9"/>
      <c r="J24529" s="11"/>
      <c r="U24529" s="9"/>
      <c r="X24529" s="9"/>
    </row>
    <row r="24530">
      <c r="D24530" s="9"/>
      <c r="G24530" s="9"/>
      <c r="J24530" s="11"/>
      <c r="U24530" s="9"/>
      <c r="X24530" s="9"/>
    </row>
    <row r="24531">
      <c r="D24531" s="9"/>
      <c r="G24531" s="9"/>
      <c r="J24531" s="11"/>
      <c r="U24531" s="9"/>
      <c r="X24531" s="9"/>
    </row>
    <row r="24532">
      <c r="D24532" s="9"/>
      <c r="G24532" s="9"/>
      <c r="J24532" s="11"/>
      <c r="U24532" s="9"/>
      <c r="X24532" s="9"/>
    </row>
    <row r="24533">
      <c r="D24533" s="9"/>
      <c r="G24533" s="9"/>
      <c r="J24533" s="11"/>
      <c r="U24533" s="9"/>
      <c r="X24533" s="9"/>
    </row>
    <row r="24534">
      <c r="D24534" s="9"/>
      <c r="G24534" s="9"/>
      <c r="J24534" s="11"/>
      <c r="U24534" s="9"/>
      <c r="X24534" s="9"/>
    </row>
    <row r="24535">
      <c r="D24535" s="9"/>
      <c r="G24535" s="9"/>
      <c r="J24535" s="11"/>
      <c r="U24535" s="9"/>
      <c r="X24535" s="9"/>
    </row>
    <row r="24536">
      <c r="D24536" s="9"/>
      <c r="G24536" s="9"/>
      <c r="J24536" s="11"/>
      <c r="U24536" s="9"/>
      <c r="X24536" s="9"/>
    </row>
    <row r="24537">
      <c r="D24537" s="9"/>
      <c r="G24537" s="9"/>
      <c r="J24537" s="11"/>
      <c r="U24537" s="9"/>
      <c r="X24537" s="9"/>
    </row>
    <row r="24538">
      <c r="D24538" s="9"/>
      <c r="G24538" s="9"/>
      <c r="J24538" s="11"/>
      <c r="U24538" s="9"/>
      <c r="X24538" s="9"/>
    </row>
    <row r="24539">
      <c r="D24539" s="9"/>
      <c r="G24539" s="9"/>
      <c r="J24539" s="11"/>
      <c r="U24539" s="9"/>
      <c r="X24539" s="9"/>
    </row>
    <row r="24540">
      <c r="D24540" s="9"/>
      <c r="G24540" s="9"/>
      <c r="J24540" s="11"/>
      <c r="U24540" s="9"/>
      <c r="X24540" s="9"/>
    </row>
    <row r="24541">
      <c r="D24541" s="9"/>
      <c r="G24541" s="9"/>
      <c r="J24541" s="11"/>
      <c r="U24541" s="9"/>
      <c r="X24541" s="9"/>
    </row>
    <row r="24542">
      <c r="D24542" s="9"/>
      <c r="G24542" s="9"/>
      <c r="J24542" s="11"/>
      <c r="U24542" s="9"/>
      <c r="X24542" s="9"/>
    </row>
    <row r="24543">
      <c r="D24543" s="9"/>
      <c r="G24543" s="9"/>
      <c r="J24543" s="11"/>
      <c r="U24543" s="9"/>
      <c r="X24543" s="9"/>
    </row>
    <row r="24544">
      <c r="D24544" s="9"/>
      <c r="G24544" s="9"/>
      <c r="J24544" s="11"/>
      <c r="U24544" s="9"/>
      <c r="X24544" s="9"/>
    </row>
    <row r="24545">
      <c r="D24545" s="9"/>
      <c r="G24545" s="9"/>
      <c r="J24545" s="11"/>
      <c r="U24545" s="9"/>
      <c r="X24545" s="9"/>
    </row>
    <row r="24546">
      <c r="D24546" s="9"/>
      <c r="G24546" s="9"/>
      <c r="J24546" s="11"/>
      <c r="U24546" s="9"/>
      <c r="X24546" s="9"/>
    </row>
    <row r="24547">
      <c r="D24547" s="9"/>
      <c r="G24547" s="9"/>
      <c r="J24547" s="11"/>
      <c r="U24547" s="9"/>
      <c r="X24547" s="9"/>
    </row>
    <row r="24548">
      <c r="D24548" s="9"/>
      <c r="G24548" s="9"/>
      <c r="J24548" s="11"/>
      <c r="U24548" s="9"/>
      <c r="X24548" s="9"/>
    </row>
    <row r="24549">
      <c r="D24549" s="9"/>
      <c r="G24549" s="9"/>
      <c r="J24549" s="11"/>
      <c r="U24549" s="9"/>
      <c r="X24549" s="9"/>
    </row>
    <row r="24550">
      <c r="D24550" s="9"/>
      <c r="G24550" s="9"/>
      <c r="J24550" s="11"/>
      <c r="U24550" s="9"/>
      <c r="X24550" s="9"/>
    </row>
    <row r="24551">
      <c r="D24551" s="9"/>
      <c r="G24551" s="9"/>
      <c r="J24551" s="11"/>
      <c r="U24551" s="9"/>
      <c r="X24551" s="9"/>
    </row>
    <row r="24552">
      <c r="D24552" s="9"/>
      <c r="G24552" s="9"/>
      <c r="J24552" s="11"/>
      <c r="U24552" s="9"/>
      <c r="X24552" s="9"/>
    </row>
    <row r="24553">
      <c r="D24553" s="9"/>
      <c r="G24553" s="9"/>
      <c r="J24553" s="11"/>
      <c r="U24553" s="9"/>
      <c r="X24553" s="9"/>
    </row>
    <row r="24554">
      <c r="D24554" s="9"/>
      <c r="G24554" s="9"/>
      <c r="J24554" s="11"/>
      <c r="U24554" s="9"/>
      <c r="X24554" s="9"/>
    </row>
    <row r="24555">
      <c r="D24555" s="9"/>
      <c r="G24555" s="9"/>
      <c r="J24555" s="11"/>
      <c r="U24555" s="9"/>
      <c r="X24555" s="9"/>
    </row>
    <row r="24556">
      <c r="D24556" s="9"/>
      <c r="G24556" s="9"/>
      <c r="J24556" s="11"/>
      <c r="U24556" s="9"/>
      <c r="X24556" s="9"/>
    </row>
    <row r="24557">
      <c r="D24557" s="9"/>
      <c r="G24557" s="9"/>
      <c r="J24557" s="11"/>
      <c r="U24557" s="9"/>
      <c r="X24557" s="9"/>
    </row>
    <row r="24558">
      <c r="D24558" s="9"/>
      <c r="G24558" s="9"/>
      <c r="J24558" s="11"/>
      <c r="U24558" s="9"/>
      <c r="X24558" s="9"/>
    </row>
    <row r="24559">
      <c r="D24559" s="9"/>
      <c r="G24559" s="9"/>
      <c r="J24559" s="11"/>
      <c r="U24559" s="9"/>
      <c r="X24559" s="9"/>
    </row>
    <row r="24560">
      <c r="D24560" s="9"/>
      <c r="G24560" s="9"/>
      <c r="J24560" s="11"/>
      <c r="U24560" s="9"/>
      <c r="X24560" s="9"/>
    </row>
    <row r="24561">
      <c r="D24561" s="9"/>
      <c r="G24561" s="9"/>
      <c r="J24561" s="11"/>
      <c r="U24561" s="9"/>
      <c r="X24561" s="9"/>
    </row>
    <row r="24562">
      <c r="D24562" s="9"/>
      <c r="G24562" s="9"/>
      <c r="J24562" s="11"/>
      <c r="U24562" s="9"/>
      <c r="X24562" s="9"/>
    </row>
    <row r="24563">
      <c r="D24563" s="9"/>
      <c r="G24563" s="9"/>
      <c r="J24563" s="11"/>
      <c r="U24563" s="9"/>
      <c r="X24563" s="9"/>
    </row>
    <row r="24564">
      <c r="D24564" s="9"/>
      <c r="G24564" s="9"/>
      <c r="J24564" s="11"/>
      <c r="U24564" s="9"/>
      <c r="X24564" s="9"/>
    </row>
    <row r="24565">
      <c r="D24565" s="9"/>
      <c r="G24565" s="9"/>
      <c r="J24565" s="11"/>
      <c r="U24565" s="9"/>
      <c r="X24565" s="9"/>
    </row>
    <row r="24566">
      <c r="D24566" s="9"/>
      <c r="G24566" s="9"/>
      <c r="J24566" s="11"/>
      <c r="U24566" s="9"/>
      <c r="X24566" s="9"/>
    </row>
    <row r="24567">
      <c r="D24567" s="9"/>
      <c r="G24567" s="9"/>
      <c r="J24567" s="11"/>
      <c r="U24567" s="9"/>
      <c r="X24567" s="9"/>
    </row>
    <row r="24568">
      <c r="D24568" s="9"/>
      <c r="G24568" s="9"/>
      <c r="J24568" s="11"/>
      <c r="U24568" s="9"/>
      <c r="X24568" s="9"/>
    </row>
    <row r="24569">
      <c r="D24569" s="9"/>
      <c r="G24569" s="9"/>
      <c r="J24569" s="11"/>
      <c r="U24569" s="9"/>
      <c r="X24569" s="9"/>
    </row>
    <row r="24570">
      <c r="D24570" s="9"/>
      <c r="G24570" s="9"/>
      <c r="J24570" s="11"/>
      <c r="U24570" s="9"/>
      <c r="X24570" s="9"/>
    </row>
    <row r="24571">
      <c r="D24571" s="9"/>
      <c r="G24571" s="9"/>
      <c r="J24571" s="11"/>
      <c r="U24571" s="9"/>
      <c r="X24571" s="9"/>
    </row>
    <row r="24572">
      <c r="D24572" s="9"/>
      <c r="G24572" s="9"/>
      <c r="J24572" s="11"/>
      <c r="U24572" s="9"/>
      <c r="X24572" s="9"/>
    </row>
    <row r="24573">
      <c r="D24573" s="9"/>
      <c r="G24573" s="9"/>
      <c r="J24573" s="11"/>
      <c r="U24573" s="9"/>
      <c r="X24573" s="9"/>
    </row>
    <row r="24574">
      <c r="D24574" s="9"/>
      <c r="G24574" s="9"/>
      <c r="J24574" s="11"/>
      <c r="U24574" s="9"/>
      <c r="X24574" s="9"/>
    </row>
    <row r="24575">
      <c r="D24575" s="9"/>
      <c r="G24575" s="9"/>
      <c r="J24575" s="11"/>
      <c r="U24575" s="9"/>
      <c r="X24575" s="9"/>
    </row>
    <row r="24576">
      <c r="D24576" s="9"/>
      <c r="G24576" s="9"/>
      <c r="J24576" s="11"/>
      <c r="U24576" s="9"/>
      <c r="X24576" s="9"/>
    </row>
    <row r="24577">
      <c r="D24577" s="9"/>
      <c r="G24577" s="9"/>
      <c r="J24577" s="11"/>
      <c r="U24577" s="9"/>
      <c r="X24577" s="9"/>
    </row>
    <row r="24578">
      <c r="D24578" s="9"/>
      <c r="G24578" s="9"/>
      <c r="J24578" s="11"/>
      <c r="U24578" s="9"/>
      <c r="X24578" s="9"/>
    </row>
    <row r="24579">
      <c r="D24579" s="9"/>
      <c r="G24579" s="9"/>
      <c r="J24579" s="11"/>
      <c r="U24579" s="9"/>
      <c r="X24579" s="9"/>
    </row>
    <row r="24580">
      <c r="D24580" s="9"/>
      <c r="G24580" s="9"/>
      <c r="J24580" s="11"/>
      <c r="U24580" s="9"/>
      <c r="X24580" s="9"/>
    </row>
    <row r="24581">
      <c r="D24581" s="9"/>
      <c r="G24581" s="9"/>
      <c r="J24581" s="11"/>
      <c r="U24581" s="9"/>
      <c r="X24581" s="9"/>
    </row>
    <row r="24582">
      <c r="D24582" s="9"/>
      <c r="G24582" s="9"/>
      <c r="J24582" s="11"/>
      <c r="U24582" s="9"/>
      <c r="X24582" s="9"/>
    </row>
    <row r="24583">
      <c r="D24583" s="9"/>
      <c r="G24583" s="9"/>
      <c r="J24583" s="11"/>
      <c r="U24583" s="9"/>
      <c r="X24583" s="9"/>
    </row>
    <row r="24584">
      <c r="D24584" s="9"/>
      <c r="G24584" s="9"/>
      <c r="J24584" s="11"/>
      <c r="U24584" s="9"/>
      <c r="X24584" s="9"/>
    </row>
    <row r="24585">
      <c r="D24585" s="9"/>
      <c r="G24585" s="9"/>
      <c r="J24585" s="11"/>
      <c r="U24585" s="9"/>
      <c r="X24585" s="9"/>
    </row>
    <row r="24586">
      <c r="D24586" s="9"/>
      <c r="G24586" s="9"/>
      <c r="J24586" s="11"/>
      <c r="U24586" s="9"/>
      <c r="X24586" s="9"/>
    </row>
    <row r="24587">
      <c r="D24587" s="9"/>
      <c r="G24587" s="9"/>
      <c r="J24587" s="11"/>
      <c r="U24587" s="9"/>
      <c r="X24587" s="9"/>
    </row>
    <row r="24588">
      <c r="D24588" s="9"/>
      <c r="G24588" s="9"/>
      <c r="J24588" s="11"/>
      <c r="U24588" s="9"/>
      <c r="X24588" s="9"/>
    </row>
    <row r="24589">
      <c r="D24589" s="9"/>
      <c r="G24589" s="9"/>
      <c r="J24589" s="11"/>
      <c r="U24589" s="9"/>
      <c r="X24589" s="9"/>
    </row>
    <row r="24590">
      <c r="D24590" s="9"/>
      <c r="G24590" s="9"/>
      <c r="J24590" s="11"/>
      <c r="U24590" s="9"/>
      <c r="X24590" s="9"/>
    </row>
    <row r="24591">
      <c r="D24591" s="9"/>
      <c r="G24591" s="9"/>
      <c r="J24591" s="11"/>
      <c r="U24591" s="9"/>
      <c r="X24591" s="9"/>
    </row>
    <row r="24592">
      <c r="D24592" s="9"/>
      <c r="G24592" s="9"/>
      <c r="J24592" s="11"/>
      <c r="U24592" s="9"/>
      <c r="X24592" s="9"/>
    </row>
    <row r="24593">
      <c r="D24593" s="9"/>
      <c r="G24593" s="9"/>
      <c r="J24593" s="11"/>
      <c r="U24593" s="9"/>
      <c r="X24593" s="9"/>
    </row>
    <row r="24594">
      <c r="D24594" s="9"/>
      <c r="G24594" s="9"/>
      <c r="J24594" s="11"/>
      <c r="U24594" s="9"/>
      <c r="X24594" s="9"/>
    </row>
    <row r="24595">
      <c r="D24595" s="9"/>
      <c r="G24595" s="9"/>
      <c r="J24595" s="11"/>
      <c r="U24595" s="9"/>
      <c r="X24595" s="9"/>
    </row>
    <row r="24596">
      <c r="D24596" s="9"/>
      <c r="G24596" s="9"/>
      <c r="J24596" s="11"/>
      <c r="U24596" s="9"/>
      <c r="X24596" s="9"/>
    </row>
    <row r="24597">
      <c r="D24597" s="9"/>
      <c r="G24597" s="9"/>
      <c r="J24597" s="11"/>
      <c r="U24597" s="9"/>
      <c r="X24597" s="9"/>
    </row>
    <row r="24598">
      <c r="D24598" s="9"/>
      <c r="G24598" s="9"/>
      <c r="J24598" s="11"/>
      <c r="U24598" s="9"/>
      <c r="X24598" s="9"/>
    </row>
    <row r="24599">
      <c r="D24599" s="9"/>
      <c r="G24599" s="9"/>
      <c r="J24599" s="11"/>
      <c r="U24599" s="9"/>
      <c r="X24599" s="9"/>
    </row>
    <row r="24600">
      <c r="D24600" s="9"/>
      <c r="G24600" s="9"/>
      <c r="J24600" s="11"/>
      <c r="U24600" s="9"/>
      <c r="X24600" s="9"/>
    </row>
    <row r="24601">
      <c r="D24601" s="9"/>
      <c r="G24601" s="9"/>
      <c r="J24601" s="11"/>
      <c r="U24601" s="9"/>
      <c r="X24601" s="9"/>
    </row>
    <row r="24602">
      <c r="D24602" s="9"/>
      <c r="G24602" s="9"/>
      <c r="J24602" s="11"/>
      <c r="U24602" s="9"/>
      <c r="X24602" s="9"/>
    </row>
    <row r="24603">
      <c r="D24603" s="9"/>
      <c r="G24603" s="9"/>
      <c r="J24603" s="11"/>
      <c r="U24603" s="9"/>
      <c r="X24603" s="9"/>
    </row>
    <row r="24604">
      <c r="D24604" s="9"/>
      <c r="G24604" s="9"/>
      <c r="J24604" s="11"/>
      <c r="U24604" s="9"/>
      <c r="X24604" s="9"/>
    </row>
    <row r="24605">
      <c r="D24605" s="9"/>
      <c r="G24605" s="9"/>
      <c r="J24605" s="11"/>
      <c r="U24605" s="9"/>
      <c r="X24605" s="9"/>
    </row>
    <row r="24606">
      <c r="D24606" s="9"/>
      <c r="G24606" s="9"/>
      <c r="J24606" s="11"/>
      <c r="U24606" s="9"/>
      <c r="X24606" s="9"/>
    </row>
    <row r="24607">
      <c r="D24607" s="9"/>
      <c r="G24607" s="9"/>
      <c r="J24607" s="11"/>
      <c r="U24607" s="9"/>
      <c r="X24607" s="9"/>
    </row>
    <row r="24608">
      <c r="D24608" s="9"/>
      <c r="G24608" s="9"/>
      <c r="J24608" s="11"/>
      <c r="U24608" s="9"/>
      <c r="X24608" s="9"/>
    </row>
    <row r="24609">
      <c r="D24609" s="9"/>
      <c r="G24609" s="9"/>
      <c r="J24609" s="11"/>
      <c r="U24609" s="9"/>
      <c r="X24609" s="9"/>
    </row>
    <row r="24610">
      <c r="D24610" s="9"/>
      <c r="G24610" s="9"/>
      <c r="J24610" s="11"/>
      <c r="U24610" s="9"/>
      <c r="X24610" s="9"/>
    </row>
    <row r="24611">
      <c r="D24611" s="9"/>
      <c r="G24611" s="9"/>
      <c r="J24611" s="11"/>
      <c r="U24611" s="9"/>
      <c r="X24611" s="9"/>
    </row>
    <row r="24612">
      <c r="D24612" s="9"/>
      <c r="G24612" s="9"/>
      <c r="J24612" s="11"/>
      <c r="U24612" s="9"/>
      <c r="X24612" s="9"/>
    </row>
    <row r="24613">
      <c r="D24613" s="9"/>
      <c r="G24613" s="9"/>
      <c r="J24613" s="11"/>
      <c r="U24613" s="9"/>
      <c r="X24613" s="9"/>
    </row>
    <row r="24614">
      <c r="D24614" s="9"/>
      <c r="G24614" s="9"/>
      <c r="J24614" s="11"/>
      <c r="U24614" s="9"/>
      <c r="X24614" s="9"/>
    </row>
    <row r="24615">
      <c r="D24615" s="9"/>
      <c r="G24615" s="9"/>
      <c r="J24615" s="11"/>
      <c r="U24615" s="9"/>
      <c r="X24615" s="9"/>
    </row>
    <row r="24616">
      <c r="D24616" s="9"/>
      <c r="G24616" s="9"/>
      <c r="J24616" s="11"/>
      <c r="U24616" s="9"/>
      <c r="X24616" s="9"/>
    </row>
    <row r="24617">
      <c r="D24617" s="9"/>
      <c r="G24617" s="9"/>
      <c r="J24617" s="11"/>
      <c r="U24617" s="9"/>
      <c r="X24617" s="9"/>
    </row>
    <row r="24618">
      <c r="D24618" s="9"/>
      <c r="G24618" s="9"/>
      <c r="J24618" s="11"/>
      <c r="U24618" s="9"/>
      <c r="X24618" s="9"/>
    </row>
    <row r="24619">
      <c r="D24619" s="9"/>
      <c r="G24619" s="9"/>
      <c r="J24619" s="11"/>
      <c r="U24619" s="9"/>
      <c r="X24619" s="9"/>
    </row>
    <row r="24620">
      <c r="D24620" s="9"/>
      <c r="G24620" s="9"/>
      <c r="J24620" s="11"/>
      <c r="U24620" s="9"/>
      <c r="X24620" s="9"/>
    </row>
    <row r="24621">
      <c r="D24621" s="9"/>
      <c r="G24621" s="9"/>
      <c r="J24621" s="11"/>
      <c r="U24621" s="9"/>
      <c r="X24621" s="9"/>
    </row>
    <row r="24622">
      <c r="D24622" s="9"/>
      <c r="G24622" s="9"/>
      <c r="J24622" s="11"/>
      <c r="U24622" s="9"/>
      <c r="X24622" s="9"/>
    </row>
    <row r="24623">
      <c r="D24623" s="9"/>
      <c r="G24623" s="9"/>
      <c r="J24623" s="11"/>
      <c r="U24623" s="9"/>
      <c r="X24623" s="9"/>
    </row>
    <row r="24624">
      <c r="D24624" s="9"/>
      <c r="G24624" s="9"/>
      <c r="J24624" s="11"/>
      <c r="U24624" s="9"/>
      <c r="X24624" s="9"/>
    </row>
    <row r="24625">
      <c r="D24625" s="9"/>
      <c r="G24625" s="9"/>
      <c r="J24625" s="11"/>
      <c r="U24625" s="9"/>
      <c r="X24625" s="9"/>
    </row>
    <row r="24626">
      <c r="D24626" s="9"/>
      <c r="G24626" s="9"/>
      <c r="J24626" s="11"/>
      <c r="U24626" s="9"/>
      <c r="X24626" s="9"/>
    </row>
    <row r="24627">
      <c r="D24627" s="9"/>
      <c r="G24627" s="9"/>
      <c r="J24627" s="11"/>
      <c r="U24627" s="9"/>
      <c r="X24627" s="9"/>
    </row>
    <row r="24628">
      <c r="D24628" s="9"/>
      <c r="G24628" s="9"/>
      <c r="J24628" s="11"/>
      <c r="U24628" s="9"/>
      <c r="X24628" s="9"/>
    </row>
    <row r="24629">
      <c r="D24629" s="9"/>
      <c r="G24629" s="9"/>
      <c r="J24629" s="11"/>
      <c r="U24629" s="9"/>
      <c r="X24629" s="9"/>
    </row>
    <row r="24630">
      <c r="D24630" s="9"/>
      <c r="G24630" s="9"/>
      <c r="J24630" s="11"/>
      <c r="U24630" s="9"/>
      <c r="X24630" s="9"/>
    </row>
    <row r="24631">
      <c r="D24631" s="9"/>
      <c r="G24631" s="9"/>
      <c r="J24631" s="11"/>
      <c r="U24631" s="9"/>
      <c r="X24631" s="9"/>
    </row>
    <row r="24632">
      <c r="D24632" s="9"/>
      <c r="G24632" s="9"/>
      <c r="J24632" s="11"/>
      <c r="U24632" s="9"/>
      <c r="X24632" s="9"/>
    </row>
    <row r="24633">
      <c r="D24633" s="9"/>
      <c r="G24633" s="9"/>
      <c r="J24633" s="11"/>
      <c r="U24633" s="9"/>
      <c r="X24633" s="9"/>
    </row>
    <row r="24634">
      <c r="D24634" s="9"/>
      <c r="G24634" s="9"/>
      <c r="J24634" s="11"/>
      <c r="U24634" s="9"/>
      <c r="X24634" s="9"/>
    </row>
    <row r="24635">
      <c r="D24635" s="9"/>
      <c r="G24635" s="9"/>
      <c r="J24635" s="11"/>
      <c r="U24635" s="9"/>
      <c r="X24635" s="9"/>
    </row>
    <row r="24636">
      <c r="D24636" s="9"/>
      <c r="G24636" s="9"/>
      <c r="J24636" s="11"/>
      <c r="U24636" s="9"/>
      <c r="X24636" s="9"/>
    </row>
    <row r="24637">
      <c r="D24637" s="9"/>
      <c r="G24637" s="9"/>
      <c r="J24637" s="11"/>
      <c r="U24637" s="9"/>
      <c r="X24637" s="9"/>
    </row>
    <row r="24638">
      <c r="D24638" s="9"/>
      <c r="G24638" s="9"/>
      <c r="J24638" s="11"/>
      <c r="U24638" s="9"/>
      <c r="X24638" s="9"/>
    </row>
    <row r="24639">
      <c r="D24639" s="9"/>
      <c r="G24639" s="9"/>
      <c r="J24639" s="11"/>
      <c r="U24639" s="9"/>
      <c r="X24639" s="9"/>
    </row>
    <row r="24640">
      <c r="D24640" s="9"/>
      <c r="G24640" s="9"/>
      <c r="J24640" s="11"/>
      <c r="U24640" s="9"/>
      <c r="X24640" s="9"/>
    </row>
    <row r="24641">
      <c r="D24641" s="9"/>
      <c r="G24641" s="9"/>
      <c r="J24641" s="11"/>
      <c r="U24641" s="9"/>
      <c r="X24641" s="9"/>
    </row>
    <row r="24642">
      <c r="D24642" s="9"/>
      <c r="G24642" s="9"/>
      <c r="J24642" s="11"/>
      <c r="U24642" s="9"/>
      <c r="X24642" s="9"/>
    </row>
    <row r="24643">
      <c r="D24643" s="9"/>
      <c r="G24643" s="9"/>
      <c r="J24643" s="11"/>
      <c r="U24643" s="9"/>
      <c r="X24643" s="9"/>
    </row>
    <row r="24644">
      <c r="D24644" s="9"/>
      <c r="G24644" s="9"/>
      <c r="J24644" s="11"/>
      <c r="U24644" s="9"/>
      <c r="X24644" s="9"/>
    </row>
    <row r="24645">
      <c r="D24645" s="9"/>
      <c r="G24645" s="9"/>
      <c r="J24645" s="11"/>
      <c r="U24645" s="9"/>
      <c r="X24645" s="9"/>
    </row>
    <row r="24646">
      <c r="D24646" s="9"/>
      <c r="G24646" s="9"/>
      <c r="J24646" s="11"/>
      <c r="U24646" s="9"/>
      <c r="X24646" s="9"/>
    </row>
    <row r="24647">
      <c r="D24647" s="9"/>
      <c r="G24647" s="9"/>
      <c r="J24647" s="11"/>
      <c r="U24647" s="9"/>
      <c r="X24647" s="9"/>
    </row>
    <row r="24648">
      <c r="D24648" s="9"/>
      <c r="G24648" s="9"/>
      <c r="J24648" s="11"/>
      <c r="U24648" s="9"/>
      <c r="X24648" s="9"/>
    </row>
    <row r="24649">
      <c r="D24649" s="9"/>
      <c r="G24649" s="9"/>
      <c r="J24649" s="11"/>
      <c r="U24649" s="9"/>
      <c r="X24649" s="9"/>
    </row>
    <row r="24650">
      <c r="D24650" s="9"/>
      <c r="G24650" s="9"/>
      <c r="J24650" s="11"/>
      <c r="U24650" s="9"/>
      <c r="X24650" s="9"/>
    </row>
    <row r="24651">
      <c r="D24651" s="9"/>
      <c r="G24651" s="9"/>
      <c r="J24651" s="11"/>
      <c r="U24651" s="9"/>
      <c r="X24651" s="9"/>
    </row>
    <row r="24652">
      <c r="D24652" s="9"/>
      <c r="G24652" s="9"/>
      <c r="J24652" s="11"/>
      <c r="U24652" s="9"/>
      <c r="X24652" s="9"/>
    </row>
    <row r="24653">
      <c r="D24653" s="9"/>
      <c r="G24653" s="9"/>
      <c r="J24653" s="11"/>
      <c r="U24653" s="9"/>
      <c r="X24653" s="9"/>
    </row>
    <row r="24654">
      <c r="D24654" s="9"/>
      <c r="G24654" s="9"/>
      <c r="J24654" s="11"/>
      <c r="U24654" s="9"/>
      <c r="X24654" s="9"/>
    </row>
    <row r="24655">
      <c r="D24655" s="9"/>
      <c r="G24655" s="9"/>
      <c r="J24655" s="11"/>
      <c r="U24655" s="9"/>
      <c r="X24655" s="9"/>
    </row>
    <row r="24656">
      <c r="D24656" s="9"/>
      <c r="G24656" s="9"/>
      <c r="J24656" s="11"/>
      <c r="U24656" s="9"/>
      <c r="X24656" s="9"/>
    </row>
    <row r="24657">
      <c r="D24657" s="9"/>
      <c r="G24657" s="9"/>
      <c r="J24657" s="11"/>
      <c r="U24657" s="9"/>
      <c r="X24657" s="9"/>
    </row>
    <row r="24658">
      <c r="D24658" s="9"/>
      <c r="G24658" s="9"/>
      <c r="J24658" s="11"/>
      <c r="U24658" s="9"/>
      <c r="X24658" s="9"/>
    </row>
    <row r="24659">
      <c r="D24659" s="9"/>
      <c r="G24659" s="9"/>
      <c r="J24659" s="11"/>
      <c r="U24659" s="9"/>
      <c r="X24659" s="9"/>
    </row>
    <row r="24660">
      <c r="D24660" s="9"/>
      <c r="G24660" s="9"/>
      <c r="J24660" s="11"/>
      <c r="U24660" s="9"/>
      <c r="X24660" s="9"/>
    </row>
    <row r="24661">
      <c r="D24661" s="9"/>
      <c r="G24661" s="9"/>
      <c r="J24661" s="11"/>
      <c r="U24661" s="9"/>
      <c r="X24661" s="9"/>
    </row>
    <row r="24662">
      <c r="D24662" s="9"/>
      <c r="G24662" s="9"/>
      <c r="J24662" s="11"/>
      <c r="U24662" s="9"/>
      <c r="X24662" s="9"/>
    </row>
    <row r="24663">
      <c r="D24663" s="9"/>
      <c r="G24663" s="9"/>
      <c r="J24663" s="11"/>
      <c r="U24663" s="9"/>
      <c r="X24663" s="9"/>
    </row>
    <row r="24664">
      <c r="D24664" s="9"/>
      <c r="G24664" s="9"/>
      <c r="J24664" s="11"/>
      <c r="U24664" s="9"/>
      <c r="X24664" s="9"/>
    </row>
    <row r="24665">
      <c r="D24665" s="9"/>
      <c r="G24665" s="9"/>
      <c r="J24665" s="11"/>
      <c r="U24665" s="9"/>
      <c r="X24665" s="9"/>
    </row>
    <row r="24666">
      <c r="D24666" s="9"/>
      <c r="G24666" s="9"/>
      <c r="J24666" s="11"/>
      <c r="U24666" s="9"/>
      <c r="X24666" s="9"/>
    </row>
    <row r="24667">
      <c r="D24667" s="9"/>
      <c r="G24667" s="9"/>
      <c r="J24667" s="11"/>
      <c r="U24667" s="9"/>
      <c r="X24667" s="9"/>
    </row>
    <row r="24668">
      <c r="D24668" s="9"/>
      <c r="G24668" s="9"/>
      <c r="J24668" s="11"/>
      <c r="U24668" s="9"/>
      <c r="X24668" s="9"/>
    </row>
    <row r="24669">
      <c r="D24669" s="9"/>
      <c r="G24669" s="9"/>
      <c r="J24669" s="11"/>
      <c r="U24669" s="9"/>
      <c r="X24669" s="9"/>
    </row>
    <row r="24670">
      <c r="D24670" s="9"/>
      <c r="G24670" s="9"/>
      <c r="J24670" s="11"/>
      <c r="U24670" s="9"/>
      <c r="X24670" s="9"/>
    </row>
    <row r="24671">
      <c r="D24671" s="9"/>
      <c r="G24671" s="9"/>
      <c r="J24671" s="11"/>
      <c r="U24671" s="9"/>
      <c r="X24671" s="9"/>
    </row>
    <row r="24672">
      <c r="D24672" s="9"/>
      <c r="G24672" s="9"/>
      <c r="J24672" s="11"/>
      <c r="U24672" s="9"/>
      <c r="X24672" s="9"/>
    </row>
    <row r="24673">
      <c r="D24673" s="9"/>
      <c r="G24673" s="9"/>
      <c r="J24673" s="11"/>
      <c r="U24673" s="9"/>
      <c r="X24673" s="9"/>
    </row>
    <row r="24674">
      <c r="D24674" s="9"/>
      <c r="G24674" s="9"/>
      <c r="J24674" s="11"/>
      <c r="U24674" s="9"/>
      <c r="X24674" s="9"/>
    </row>
    <row r="24675">
      <c r="D24675" s="9"/>
      <c r="G24675" s="9"/>
      <c r="J24675" s="11"/>
      <c r="U24675" s="9"/>
      <c r="X24675" s="9"/>
    </row>
    <row r="24676">
      <c r="D24676" s="9"/>
      <c r="G24676" s="9"/>
      <c r="J24676" s="11"/>
      <c r="U24676" s="9"/>
      <c r="X24676" s="9"/>
    </row>
    <row r="24677">
      <c r="D24677" s="9"/>
      <c r="G24677" s="9"/>
      <c r="J24677" s="11"/>
      <c r="U24677" s="9"/>
      <c r="X24677" s="9"/>
    </row>
    <row r="24678">
      <c r="D24678" s="9"/>
      <c r="G24678" s="9"/>
      <c r="J24678" s="11"/>
      <c r="U24678" s="9"/>
      <c r="X24678" s="9"/>
    </row>
    <row r="24679">
      <c r="D24679" s="9"/>
      <c r="G24679" s="9"/>
      <c r="J24679" s="11"/>
      <c r="U24679" s="9"/>
      <c r="X24679" s="9"/>
    </row>
    <row r="24680">
      <c r="D24680" s="9"/>
      <c r="G24680" s="9"/>
      <c r="J24680" s="11"/>
      <c r="U24680" s="9"/>
      <c r="X24680" s="9"/>
    </row>
    <row r="24681">
      <c r="D24681" s="9"/>
      <c r="G24681" s="9"/>
      <c r="J24681" s="11"/>
      <c r="U24681" s="9"/>
      <c r="X24681" s="9"/>
    </row>
    <row r="24682">
      <c r="D24682" s="9"/>
      <c r="G24682" s="9"/>
      <c r="J24682" s="11"/>
      <c r="U24682" s="9"/>
      <c r="X24682" s="9"/>
    </row>
    <row r="24683">
      <c r="D24683" s="9"/>
      <c r="G24683" s="9"/>
      <c r="J24683" s="11"/>
      <c r="U24683" s="9"/>
      <c r="X24683" s="9"/>
    </row>
    <row r="24684">
      <c r="D24684" s="9"/>
      <c r="G24684" s="9"/>
      <c r="J24684" s="11"/>
      <c r="U24684" s="9"/>
      <c r="X24684" s="9"/>
    </row>
    <row r="24685">
      <c r="D24685" s="9"/>
      <c r="G24685" s="9"/>
      <c r="J24685" s="11"/>
      <c r="U24685" s="9"/>
      <c r="X24685" s="9"/>
    </row>
    <row r="24686">
      <c r="D24686" s="9"/>
      <c r="G24686" s="9"/>
      <c r="J24686" s="11"/>
      <c r="U24686" s="9"/>
      <c r="X24686" s="9"/>
    </row>
    <row r="24687">
      <c r="D24687" s="9"/>
      <c r="G24687" s="9"/>
      <c r="J24687" s="11"/>
      <c r="U24687" s="9"/>
      <c r="X24687" s="9"/>
    </row>
    <row r="24688">
      <c r="D24688" s="9"/>
      <c r="G24688" s="9"/>
      <c r="J24688" s="11"/>
      <c r="U24688" s="9"/>
      <c r="X24688" s="9"/>
    </row>
    <row r="24689">
      <c r="D24689" s="9"/>
      <c r="G24689" s="9"/>
      <c r="J24689" s="11"/>
      <c r="U24689" s="9"/>
      <c r="X24689" s="9"/>
    </row>
    <row r="24690">
      <c r="D24690" s="9"/>
      <c r="G24690" s="9"/>
      <c r="J24690" s="11"/>
      <c r="U24690" s="9"/>
      <c r="X24690" s="9"/>
    </row>
    <row r="24691">
      <c r="D24691" s="9"/>
      <c r="G24691" s="9"/>
      <c r="J24691" s="11"/>
      <c r="U24691" s="9"/>
      <c r="X24691" s="9"/>
    </row>
    <row r="24692">
      <c r="D24692" s="9"/>
      <c r="G24692" s="9"/>
      <c r="J24692" s="11"/>
      <c r="U24692" s="9"/>
      <c r="X24692" s="9"/>
    </row>
    <row r="24693">
      <c r="D24693" s="9"/>
      <c r="G24693" s="9"/>
      <c r="J24693" s="11"/>
      <c r="U24693" s="9"/>
      <c r="X24693" s="9"/>
    </row>
    <row r="24694">
      <c r="D24694" s="9"/>
      <c r="G24694" s="9"/>
      <c r="J24694" s="11"/>
      <c r="U24694" s="9"/>
      <c r="X24694" s="9"/>
    </row>
    <row r="24695">
      <c r="D24695" s="9"/>
      <c r="G24695" s="9"/>
      <c r="J24695" s="11"/>
      <c r="U24695" s="9"/>
      <c r="X24695" s="9"/>
    </row>
    <row r="24696">
      <c r="D24696" s="9"/>
      <c r="G24696" s="9"/>
      <c r="J24696" s="11"/>
      <c r="U24696" s="9"/>
      <c r="X24696" s="9"/>
    </row>
    <row r="24697">
      <c r="D24697" s="9"/>
      <c r="G24697" s="9"/>
      <c r="J24697" s="11"/>
      <c r="U24697" s="9"/>
      <c r="X24697" s="9"/>
    </row>
    <row r="24698">
      <c r="D24698" s="9"/>
      <c r="G24698" s="9"/>
      <c r="J24698" s="11"/>
      <c r="U24698" s="9"/>
      <c r="X24698" s="9"/>
    </row>
    <row r="24699">
      <c r="D24699" s="9"/>
      <c r="G24699" s="9"/>
      <c r="J24699" s="11"/>
      <c r="U24699" s="9"/>
      <c r="X24699" s="9"/>
    </row>
    <row r="24700">
      <c r="D24700" s="9"/>
      <c r="G24700" s="9"/>
      <c r="J24700" s="11"/>
      <c r="U24700" s="9"/>
      <c r="X24700" s="9"/>
    </row>
    <row r="24701">
      <c r="D24701" s="9"/>
      <c r="G24701" s="9"/>
      <c r="J24701" s="11"/>
      <c r="U24701" s="9"/>
      <c r="X24701" s="9"/>
    </row>
    <row r="24702">
      <c r="D24702" s="9"/>
      <c r="G24702" s="9"/>
      <c r="J24702" s="11"/>
      <c r="U24702" s="9"/>
      <c r="X24702" s="9"/>
    </row>
    <row r="24703">
      <c r="D24703" s="9"/>
      <c r="G24703" s="9"/>
      <c r="J24703" s="11"/>
      <c r="U24703" s="9"/>
      <c r="X24703" s="9"/>
    </row>
    <row r="24704">
      <c r="D24704" s="9"/>
      <c r="G24704" s="9"/>
      <c r="J24704" s="11"/>
      <c r="U24704" s="9"/>
      <c r="X24704" s="9"/>
    </row>
    <row r="24705">
      <c r="D24705" s="9"/>
      <c r="G24705" s="9"/>
      <c r="J24705" s="11"/>
      <c r="U24705" s="9"/>
      <c r="X24705" s="9"/>
    </row>
    <row r="24706">
      <c r="D24706" s="9"/>
      <c r="G24706" s="9"/>
      <c r="J24706" s="11"/>
      <c r="U24706" s="9"/>
      <c r="X24706" s="9"/>
    </row>
    <row r="24707">
      <c r="D24707" s="9"/>
      <c r="G24707" s="9"/>
      <c r="J24707" s="11"/>
      <c r="U24707" s="9"/>
      <c r="X24707" s="9"/>
    </row>
    <row r="24708">
      <c r="D24708" s="9"/>
      <c r="G24708" s="9"/>
      <c r="J24708" s="11"/>
      <c r="U24708" s="9"/>
      <c r="X24708" s="9"/>
    </row>
    <row r="24709">
      <c r="D24709" s="9"/>
      <c r="G24709" s="9"/>
      <c r="J24709" s="11"/>
      <c r="U24709" s="9"/>
      <c r="X24709" s="9"/>
    </row>
    <row r="24710">
      <c r="D24710" s="9"/>
      <c r="G24710" s="9"/>
      <c r="J24710" s="11"/>
      <c r="U24710" s="9"/>
      <c r="X24710" s="9"/>
    </row>
    <row r="24711">
      <c r="D24711" s="9"/>
      <c r="G24711" s="9"/>
      <c r="J24711" s="11"/>
      <c r="U24711" s="9"/>
      <c r="X24711" s="9"/>
    </row>
    <row r="24712">
      <c r="D24712" s="9"/>
      <c r="G24712" s="9"/>
      <c r="J24712" s="11"/>
      <c r="U24712" s="9"/>
      <c r="X24712" s="9"/>
    </row>
    <row r="24713">
      <c r="D24713" s="9"/>
      <c r="G24713" s="9"/>
      <c r="J24713" s="11"/>
      <c r="U24713" s="9"/>
      <c r="X24713" s="9"/>
    </row>
    <row r="24714">
      <c r="D24714" s="9"/>
      <c r="G24714" s="9"/>
      <c r="J24714" s="11"/>
      <c r="U24714" s="9"/>
      <c r="X24714" s="9"/>
    </row>
    <row r="24715">
      <c r="D24715" s="9"/>
      <c r="G24715" s="9"/>
      <c r="J24715" s="11"/>
      <c r="U24715" s="9"/>
      <c r="X24715" s="9"/>
    </row>
    <row r="24716">
      <c r="D24716" s="9"/>
      <c r="G24716" s="9"/>
      <c r="J24716" s="11"/>
      <c r="U24716" s="9"/>
      <c r="X24716" s="9"/>
    </row>
    <row r="24717">
      <c r="D24717" s="9"/>
      <c r="G24717" s="9"/>
      <c r="J24717" s="11"/>
      <c r="U24717" s="9"/>
      <c r="X24717" s="9"/>
    </row>
    <row r="24718">
      <c r="D24718" s="9"/>
      <c r="G24718" s="9"/>
      <c r="J24718" s="11"/>
      <c r="U24718" s="9"/>
      <c r="X24718" s="9"/>
    </row>
    <row r="24719">
      <c r="D24719" s="9"/>
      <c r="G24719" s="9"/>
      <c r="J24719" s="11"/>
      <c r="U24719" s="9"/>
      <c r="X24719" s="9"/>
    </row>
    <row r="24720">
      <c r="D24720" s="9"/>
      <c r="G24720" s="9"/>
      <c r="J24720" s="11"/>
      <c r="U24720" s="9"/>
      <c r="X24720" s="9"/>
    </row>
    <row r="24721">
      <c r="D24721" s="9"/>
      <c r="G24721" s="9"/>
      <c r="J24721" s="11"/>
      <c r="U24721" s="9"/>
      <c r="X24721" s="9"/>
    </row>
    <row r="24722">
      <c r="D24722" s="9"/>
      <c r="G24722" s="9"/>
      <c r="J24722" s="11"/>
      <c r="U24722" s="9"/>
      <c r="X24722" s="9"/>
    </row>
    <row r="24723">
      <c r="D24723" s="9"/>
      <c r="G24723" s="9"/>
      <c r="J24723" s="11"/>
      <c r="U24723" s="9"/>
      <c r="X24723" s="9"/>
    </row>
    <row r="24724">
      <c r="D24724" s="9"/>
      <c r="G24724" s="9"/>
      <c r="J24724" s="11"/>
      <c r="U24724" s="9"/>
      <c r="X24724" s="9"/>
    </row>
    <row r="24725">
      <c r="D24725" s="9"/>
      <c r="G24725" s="9"/>
      <c r="J24725" s="11"/>
      <c r="U24725" s="9"/>
      <c r="X24725" s="9"/>
    </row>
    <row r="24726">
      <c r="D24726" s="9"/>
      <c r="G24726" s="9"/>
      <c r="J24726" s="11"/>
      <c r="U24726" s="9"/>
      <c r="X24726" s="9"/>
    </row>
    <row r="24727">
      <c r="D24727" s="9"/>
      <c r="G24727" s="9"/>
      <c r="J24727" s="11"/>
      <c r="U24727" s="9"/>
      <c r="X24727" s="9"/>
    </row>
    <row r="24728">
      <c r="D24728" s="9"/>
      <c r="G24728" s="9"/>
      <c r="J24728" s="11"/>
      <c r="U24728" s="9"/>
      <c r="X24728" s="9"/>
    </row>
    <row r="24729">
      <c r="D24729" s="9"/>
      <c r="G24729" s="9"/>
      <c r="J24729" s="11"/>
      <c r="U24729" s="9"/>
      <c r="X24729" s="9"/>
    </row>
    <row r="24730">
      <c r="D24730" s="9"/>
      <c r="G24730" s="9"/>
      <c r="J24730" s="11"/>
      <c r="U24730" s="9"/>
      <c r="X24730" s="9"/>
    </row>
    <row r="24731">
      <c r="D24731" s="9"/>
      <c r="G24731" s="9"/>
      <c r="J24731" s="11"/>
      <c r="U24731" s="9"/>
      <c r="X24731" s="9"/>
    </row>
    <row r="24732">
      <c r="D24732" s="9"/>
      <c r="G24732" s="9"/>
      <c r="J24732" s="11"/>
      <c r="U24732" s="9"/>
      <c r="X24732" s="9"/>
    </row>
    <row r="24733">
      <c r="D24733" s="9"/>
      <c r="G24733" s="9"/>
      <c r="J24733" s="11"/>
      <c r="U24733" s="9"/>
      <c r="X24733" s="9"/>
    </row>
    <row r="24734">
      <c r="D24734" s="9"/>
      <c r="G24734" s="9"/>
      <c r="J24734" s="11"/>
      <c r="U24734" s="9"/>
      <c r="X24734" s="9"/>
    </row>
    <row r="24735">
      <c r="D24735" s="9"/>
      <c r="G24735" s="9"/>
      <c r="J24735" s="11"/>
      <c r="U24735" s="9"/>
      <c r="X24735" s="9"/>
    </row>
    <row r="24736">
      <c r="D24736" s="9"/>
      <c r="G24736" s="9"/>
      <c r="J24736" s="11"/>
      <c r="U24736" s="9"/>
      <c r="X24736" s="9"/>
    </row>
    <row r="24737">
      <c r="D24737" s="9"/>
      <c r="G24737" s="9"/>
      <c r="J24737" s="11"/>
      <c r="U24737" s="9"/>
      <c r="X24737" s="9"/>
    </row>
    <row r="24738">
      <c r="D24738" s="9"/>
      <c r="G24738" s="9"/>
      <c r="J24738" s="11"/>
      <c r="U24738" s="9"/>
      <c r="X24738" s="9"/>
    </row>
    <row r="24739">
      <c r="D24739" s="9"/>
      <c r="G24739" s="9"/>
      <c r="J24739" s="11"/>
      <c r="U24739" s="9"/>
      <c r="X24739" s="9"/>
    </row>
    <row r="24740">
      <c r="D24740" s="9"/>
      <c r="G24740" s="9"/>
      <c r="J24740" s="11"/>
      <c r="U24740" s="9"/>
      <c r="X24740" s="9"/>
    </row>
    <row r="24741">
      <c r="D24741" s="9"/>
      <c r="G24741" s="9"/>
      <c r="J24741" s="11"/>
      <c r="U24741" s="9"/>
      <c r="X24741" s="9"/>
    </row>
    <row r="24742">
      <c r="D24742" s="9"/>
      <c r="G24742" s="9"/>
      <c r="J24742" s="11"/>
      <c r="U24742" s="9"/>
      <c r="X24742" s="9"/>
    </row>
    <row r="24743">
      <c r="D24743" s="9"/>
      <c r="G24743" s="9"/>
      <c r="J24743" s="11"/>
      <c r="U24743" s="9"/>
      <c r="X24743" s="9"/>
    </row>
    <row r="24744">
      <c r="D24744" s="9"/>
      <c r="G24744" s="9"/>
      <c r="J24744" s="11"/>
      <c r="U24744" s="9"/>
      <c r="X24744" s="9"/>
    </row>
    <row r="24745">
      <c r="D24745" s="9"/>
      <c r="G24745" s="9"/>
      <c r="J24745" s="11"/>
      <c r="U24745" s="9"/>
      <c r="X24745" s="9"/>
    </row>
    <row r="24746">
      <c r="D24746" s="9"/>
      <c r="G24746" s="9"/>
      <c r="J24746" s="11"/>
      <c r="U24746" s="9"/>
      <c r="X24746" s="9"/>
    </row>
    <row r="24747">
      <c r="D24747" s="9"/>
      <c r="G24747" s="9"/>
      <c r="J24747" s="11"/>
      <c r="U24747" s="9"/>
      <c r="X24747" s="9"/>
    </row>
    <row r="24748">
      <c r="D24748" s="9"/>
      <c r="G24748" s="9"/>
      <c r="J24748" s="11"/>
      <c r="U24748" s="9"/>
      <c r="X24748" s="9"/>
    </row>
    <row r="24749">
      <c r="D24749" s="9"/>
      <c r="G24749" s="9"/>
      <c r="J24749" s="11"/>
      <c r="U24749" s="9"/>
      <c r="X24749" s="9"/>
    </row>
    <row r="24750">
      <c r="D24750" s="9"/>
      <c r="G24750" s="9"/>
      <c r="J24750" s="11"/>
      <c r="U24750" s="9"/>
      <c r="X24750" s="9"/>
    </row>
    <row r="24751">
      <c r="D24751" s="9"/>
      <c r="G24751" s="9"/>
      <c r="J24751" s="11"/>
      <c r="U24751" s="9"/>
      <c r="X24751" s="9"/>
    </row>
    <row r="24752">
      <c r="D24752" s="9"/>
      <c r="G24752" s="9"/>
      <c r="J24752" s="11"/>
      <c r="U24752" s="9"/>
      <c r="X24752" s="9"/>
    </row>
    <row r="24753">
      <c r="D24753" s="9"/>
      <c r="G24753" s="9"/>
      <c r="J24753" s="11"/>
      <c r="U24753" s="9"/>
      <c r="X24753" s="9"/>
    </row>
    <row r="24754">
      <c r="D24754" s="9"/>
      <c r="G24754" s="9"/>
      <c r="J24754" s="11"/>
      <c r="U24754" s="9"/>
      <c r="X24754" s="9"/>
    </row>
    <row r="24755">
      <c r="D24755" s="9"/>
      <c r="G24755" s="9"/>
      <c r="J24755" s="11"/>
      <c r="U24755" s="9"/>
      <c r="X24755" s="9"/>
    </row>
    <row r="24756">
      <c r="D24756" s="9"/>
      <c r="G24756" s="9"/>
      <c r="J24756" s="11"/>
      <c r="U24756" s="9"/>
      <c r="X24756" s="9"/>
    </row>
    <row r="24757">
      <c r="D24757" s="9"/>
      <c r="G24757" s="9"/>
      <c r="J24757" s="11"/>
      <c r="U24757" s="9"/>
      <c r="X24757" s="9"/>
    </row>
    <row r="24758">
      <c r="D24758" s="9"/>
      <c r="G24758" s="9"/>
      <c r="J24758" s="11"/>
      <c r="U24758" s="9"/>
      <c r="X24758" s="9"/>
    </row>
    <row r="24759">
      <c r="D24759" s="9"/>
      <c r="G24759" s="9"/>
      <c r="J24759" s="11"/>
      <c r="U24759" s="9"/>
      <c r="X24759" s="9"/>
    </row>
    <row r="24760">
      <c r="D24760" s="9"/>
      <c r="G24760" s="9"/>
      <c r="J24760" s="11"/>
      <c r="U24760" s="9"/>
      <c r="X24760" s="9"/>
    </row>
    <row r="24761">
      <c r="D24761" s="9"/>
      <c r="G24761" s="9"/>
      <c r="J24761" s="11"/>
      <c r="U24761" s="9"/>
      <c r="X24761" s="9"/>
    </row>
    <row r="24762">
      <c r="D24762" s="9"/>
      <c r="G24762" s="9"/>
      <c r="J24762" s="11"/>
      <c r="U24762" s="9"/>
      <c r="X24762" s="9"/>
    </row>
    <row r="24763">
      <c r="D24763" s="9"/>
      <c r="G24763" s="9"/>
      <c r="J24763" s="11"/>
      <c r="U24763" s="9"/>
      <c r="X24763" s="9"/>
    </row>
    <row r="24764">
      <c r="D24764" s="9"/>
      <c r="G24764" s="9"/>
      <c r="J24764" s="11"/>
      <c r="U24764" s="9"/>
      <c r="X24764" s="9"/>
    </row>
    <row r="24765">
      <c r="D24765" s="9"/>
      <c r="G24765" s="9"/>
      <c r="J24765" s="11"/>
      <c r="U24765" s="9"/>
      <c r="X24765" s="9"/>
    </row>
    <row r="24766">
      <c r="D24766" s="9"/>
      <c r="G24766" s="9"/>
      <c r="J24766" s="11"/>
      <c r="U24766" s="9"/>
      <c r="X24766" s="9"/>
    </row>
    <row r="24767">
      <c r="D24767" s="9"/>
      <c r="G24767" s="9"/>
      <c r="J24767" s="11"/>
      <c r="U24767" s="9"/>
      <c r="X24767" s="9"/>
    </row>
    <row r="24768">
      <c r="D24768" s="9"/>
      <c r="G24768" s="9"/>
      <c r="J24768" s="11"/>
      <c r="U24768" s="9"/>
      <c r="X24768" s="9"/>
    </row>
    <row r="24769">
      <c r="D24769" s="9"/>
      <c r="G24769" s="9"/>
      <c r="J24769" s="11"/>
      <c r="U24769" s="9"/>
      <c r="X24769" s="9"/>
    </row>
    <row r="24770">
      <c r="D24770" s="9"/>
      <c r="G24770" s="9"/>
      <c r="J24770" s="11"/>
      <c r="U24770" s="9"/>
      <c r="X24770" s="9"/>
    </row>
    <row r="24771">
      <c r="D24771" s="9"/>
      <c r="G24771" s="9"/>
      <c r="J24771" s="11"/>
      <c r="U24771" s="9"/>
      <c r="X24771" s="9"/>
    </row>
    <row r="24772">
      <c r="D24772" s="9"/>
      <c r="G24772" s="9"/>
      <c r="J24772" s="11"/>
      <c r="U24772" s="9"/>
      <c r="X24772" s="9"/>
    </row>
    <row r="24773">
      <c r="D24773" s="9"/>
      <c r="G24773" s="9"/>
      <c r="J24773" s="11"/>
      <c r="U24773" s="9"/>
      <c r="X24773" s="9"/>
    </row>
    <row r="24774">
      <c r="D24774" s="9"/>
      <c r="G24774" s="9"/>
      <c r="J24774" s="11"/>
      <c r="U24774" s="9"/>
      <c r="X24774" s="9"/>
    </row>
    <row r="24775">
      <c r="D24775" s="9"/>
      <c r="G24775" s="9"/>
      <c r="J24775" s="11"/>
      <c r="U24775" s="9"/>
      <c r="X24775" s="9"/>
    </row>
    <row r="24776">
      <c r="D24776" s="9"/>
      <c r="G24776" s="9"/>
      <c r="J24776" s="11"/>
      <c r="U24776" s="9"/>
      <c r="X24776" s="9"/>
    </row>
    <row r="24777">
      <c r="D24777" s="9"/>
      <c r="G24777" s="9"/>
      <c r="J24777" s="11"/>
      <c r="U24777" s="9"/>
      <c r="X24777" s="9"/>
    </row>
    <row r="24778">
      <c r="D24778" s="9"/>
      <c r="G24778" s="9"/>
      <c r="J24778" s="11"/>
      <c r="U24778" s="9"/>
      <c r="X24778" s="9"/>
    </row>
    <row r="24779">
      <c r="D24779" s="9"/>
      <c r="G24779" s="9"/>
      <c r="J24779" s="11"/>
      <c r="U24779" s="9"/>
      <c r="X24779" s="9"/>
    </row>
    <row r="24780">
      <c r="D24780" s="9"/>
      <c r="G24780" s="9"/>
      <c r="J24780" s="11"/>
      <c r="U24780" s="9"/>
      <c r="X24780" s="9"/>
    </row>
    <row r="24781">
      <c r="D24781" s="9"/>
      <c r="G24781" s="9"/>
      <c r="J24781" s="11"/>
      <c r="U24781" s="9"/>
      <c r="X24781" s="9"/>
    </row>
    <row r="24782">
      <c r="D24782" s="9"/>
      <c r="G24782" s="9"/>
      <c r="J24782" s="11"/>
      <c r="U24782" s="9"/>
      <c r="X24782" s="9"/>
    </row>
    <row r="24783">
      <c r="D24783" s="9"/>
      <c r="G24783" s="9"/>
      <c r="J24783" s="11"/>
      <c r="U24783" s="9"/>
      <c r="X24783" s="9"/>
    </row>
    <row r="24784">
      <c r="D24784" s="9"/>
      <c r="G24784" s="9"/>
      <c r="J24784" s="11"/>
      <c r="U24784" s="9"/>
      <c r="X24784" s="9"/>
    </row>
    <row r="24785">
      <c r="D24785" s="9"/>
      <c r="G24785" s="9"/>
      <c r="J24785" s="11"/>
      <c r="U24785" s="9"/>
      <c r="X24785" s="9"/>
    </row>
    <row r="24786">
      <c r="D24786" s="9"/>
      <c r="G24786" s="9"/>
      <c r="J24786" s="11"/>
      <c r="U24786" s="9"/>
      <c r="X24786" s="9"/>
    </row>
    <row r="24787">
      <c r="D24787" s="9"/>
      <c r="G24787" s="9"/>
      <c r="J24787" s="11"/>
      <c r="U24787" s="9"/>
      <c r="X24787" s="9"/>
    </row>
    <row r="24788">
      <c r="D24788" s="9"/>
      <c r="G24788" s="9"/>
      <c r="J24788" s="11"/>
      <c r="U24788" s="9"/>
      <c r="X24788" s="9"/>
    </row>
    <row r="24789">
      <c r="D24789" s="9"/>
      <c r="G24789" s="9"/>
      <c r="J24789" s="11"/>
      <c r="U24789" s="9"/>
      <c r="X24789" s="9"/>
    </row>
    <row r="24790">
      <c r="D24790" s="9"/>
      <c r="G24790" s="9"/>
      <c r="J24790" s="11"/>
      <c r="U24790" s="9"/>
      <c r="X24790" s="9"/>
    </row>
    <row r="24791">
      <c r="D24791" s="9"/>
      <c r="G24791" s="9"/>
      <c r="J24791" s="11"/>
      <c r="U24791" s="9"/>
      <c r="X24791" s="9"/>
    </row>
    <row r="24792">
      <c r="D24792" s="9"/>
      <c r="G24792" s="9"/>
      <c r="J24792" s="11"/>
      <c r="U24792" s="9"/>
      <c r="X24792" s="9"/>
    </row>
    <row r="24793">
      <c r="D24793" s="9"/>
      <c r="G24793" s="9"/>
      <c r="J24793" s="11"/>
      <c r="U24793" s="9"/>
      <c r="X24793" s="9"/>
    </row>
    <row r="24794">
      <c r="D24794" s="9"/>
      <c r="G24794" s="9"/>
      <c r="J24794" s="11"/>
      <c r="U24794" s="9"/>
      <c r="X24794" s="9"/>
    </row>
    <row r="24795">
      <c r="D24795" s="9"/>
      <c r="G24795" s="9"/>
      <c r="J24795" s="11"/>
      <c r="U24795" s="9"/>
      <c r="X24795" s="9"/>
    </row>
    <row r="24796">
      <c r="D24796" s="9"/>
      <c r="G24796" s="9"/>
      <c r="J24796" s="11"/>
      <c r="U24796" s="9"/>
      <c r="X24796" s="9"/>
    </row>
    <row r="24797">
      <c r="D24797" s="9"/>
      <c r="G24797" s="9"/>
      <c r="J24797" s="11"/>
      <c r="U24797" s="9"/>
      <c r="X24797" s="9"/>
    </row>
    <row r="24798">
      <c r="D24798" s="9"/>
      <c r="G24798" s="9"/>
      <c r="J24798" s="11"/>
      <c r="U24798" s="9"/>
      <c r="X24798" s="9"/>
    </row>
    <row r="24799">
      <c r="D24799" s="9"/>
      <c r="G24799" s="9"/>
      <c r="J24799" s="11"/>
      <c r="U24799" s="9"/>
      <c r="X24799" s="9"/>
    </row>
    <row r="24800">
      <c r="D24800" s="9"/>
      <c r="G24800" s="9"/>
      <c r="J24800" s="11"/>
      <c r="U24800" s="9"/>
      <c r="X24800" s="9"/>
    </row>
    <row r="24801">
      <c r="D24801" s="9"/>
      <c r="G24801" s="9"/>
      <c r="J24801" s="11"/>
      <c r="U24801" s="9"/>
      <c r="X24801" s="9"/>
    </row>
    <row r="24802">
      <c r="D24802" s="9"/>
      <c r="G24802" s="9"/>
      <c r="J24802" s="11"/>
      <c r="U24802" s="9"/>
      <c r="X24802" s="9"/>
    </row>
    <row r="24803">
      <c r="D24803" s="9"/>
      <c r="G24803" s="9"/>
      <c r="J24803" s="11"/>
      <c r="U24803" s="9"/>
      <c r="X24803" s="9"/>
    </row>
    <row r="24804">
      <c r="D24804" s="9"/>
      <c r="G24804" s="9"/>
      <c r="J24804" s="11"/>
      <c r="U24804" s="9"/>
      <c r="X24804" s="9"/>
    </row>
    <row r="24805">
      <c r="D24805" s="9"/>
      <c r="G24805" s="9"/>
      <c r="J24805" s="11"/>
      <c r="U24805" s="9"/>
      <c r="X24805" s="9"/>
    </row>
    <row r="24806">
      <c r="D24806" s="9"/>
      <c r="G24806" s="9"/>
      <c r="J24806" s="11"/>
      <c r="U24806" s="9"/>
      <c r="X24806" s="9"/>
    </row>
    <row r="24807">
      <c r="D24807" s="9"/>
      <c r="G24807" s="9"/>
      <c r="J24807" s="11"/>
      <c r="U24807" s="9"/>
      <c r="X24807" s="9"/>
    </row>
    <row r="24808">
      <c r="D24808" s="9"/>
      <c r="G24808" s="9"/>
      <c r="J24808" s="11"/>
      <c r="U24808" s="9"/>
      <c r="X24808" s="9"/>
    </row>
    <row r="24809">
      <c r="D24809" s="9"/>
      <c r="G24809" s="9"/>
      <c r="J24809" s="11"/>
      <c r="U24809" s="9"/>
      <c r="X24809" s="9"/>
    </row>
    <row r="24810">
      <c r="D24810" s="9"/>
      <c r="G24810" s="9"/>
      <c r="J24810" s="11"/>
      <c r="U24810" s="9"/>
      <c r="X24810" s="9"/>
    </row>
    <row r="24811">
      <c r="D24811" s="9"/>
      <c r="G24811" s="9"/>
      <c r="J24811" s="11"/>
      <c r="U24811" s="9"/>
      <c r="X24811" s="9"/>
    </row>
    <row r="24812">
      <c r="D24812" s="9"/>
      <c r="G24812" s="9"/>
      <c r="J24812" s="11"/>
      <c r="U24812" s="9"/>
      <c r="X24812" s="9"/>
    </row>
    <row r="24813">
      <c r="D24813" s="9"/>
      <c r="G24813" s="9"/>
      <c r="J24813" s="11"/>
      <c r="U24813" s="9"/>
      <c r="X24813" s="9"/>
    </row>
    <row r="24814">
      <c r="D24814" s="9"/>
      <c r="G24814" s="9"/>
      <c r="J24814" s="11"/>
      <c r="U24814" s="9"/>
      <c r="X24814" s="9"/>
    </row>
    <row r="24815">
      <c r="D24815" s="9"/>
      <c r="G24815" s="9"/>
      <c r="J24815" s="11"/>
      <c r="U24815" s="9"/>
      <c r="X24815" s="9"/>
    </row>
    <row r="24816">
      <c r="D24816" s="9"/>
      <c r="G24816" s="9"/>
      <c r="J24816" s="11"/>
      <c r="U24816" s="9"/>
      <c r="X24816" s="9"/>
    </row>
    <row r="24817">
      <c r="D24817" s="9"/>
      <c r="G24817" s="9"/>
      <c r="J24817" s="11"/>
      <c r="U24817" s="9"/>
      <c r="X24817" s="9"/>
    </row>
    <row r="24818">
      <c r="D24818" s="9"/>
      <c r="G24818" s="9"/>
      <c r="J24818" s="11"/>
      <c r="U24818" s="9"/>
      <c r="X24818" s="9"/>
    </row>
    <row r="24819">
      <c r="D24819" s="9"/>
      <c r="G24819" s="9"/>
      <c r="J24819" s="11"/>
      <c r="U24819" s="9"/>
      <c r="X24819" s="9"/>
    </row>
    <row r="24820">
      <c r="D24820" s="9"/>
      <c r="G24820" s="9"/>
      <c r="J24820" s="11"/>
      <c r="U24820" s="9"/>
      <c r="X24820" s="9"/>
    </row>
    <row r="24821">
      <c r="D24821" s="9"/>
      <c r="G24821" s="9"/>
      <c r="J24821" s="11"/>
      <c r="U24821" s="9"/>
      <c r="X24821" s="9"/>
    </row>
    <row r="24822">
      <c r="D24822" s="9"/>
      <c r="G24822" s="9"/>
      <c r="J24822" s="11"/>
      <c r="U24822" s="9"/>
      <c r="X24822" s="9"/>
    </row>
    <row r="24823">
      <c r="D24823" s="9"/>
      <c r="G24823" s="9"/>
      <c r="J24823" s="11"/>
      <c r="U24823" s="9"/>
      <c r="X24823" s="9"/>
    </row>
    <row r="24824">
      <c r="D24824" s="9"/>
      <c r="G24824" s="9"/>
      <c r="J24824" s="11"/>
      <c r="U24824" s="9"/>
      <c r="X24824" s="9"/>
    </row>
    <row r="24825">
      <c r="D24825" s="9"/>
      <c r="G24825" s="9"/>
      <c r="J24825" s="11"/>
      <c r="U24825" s="9"/>
      <c r="X24825" s="9"/>
    </row>
    <row r="24826">
      <c r="D24826" s="9"/>
      <c r="G24826" s="9"/>
      <c r="J24826" s="11"/>
      <c r="U24826" s="9"/>
      <c r="X24826" s="9"/>
    </row>
    <row r="24827">
      <c r="D24827" s="9"/>
      <c r="G24827" s="9"/>
      <c r="J24827" s="11"/>
      <c r="U24827" s="9"/>
      <c r="X24827" s="9"/>
    </row>
    <row r="24828">
      <c r="D24828" s="9"/>
      <c r="G24828" s="9"/>
      <c r="J24828" s="11"/>
      <c r="U24828" s="9"/>
      <c r="X24828" s="9"/>
    </row>
    <row r="24829">
      <c r="D24829" s="9"/>
      <c r="G24829" s="9"/>
      <c r="J24829" s="11"/>
      <c r="U24829" s="9"/>
      <c r="X24829" s="9"/>
    </row>
    <row r="24830">
      <c r="D24830" s="9"/>
      <c r="G24830" s="9"/>
      <c r="J24830" s="11"/>
      <c r="U24830" s="9"/>
      <c r="X24830" s="9"/>
    </row>
    <row r="24831">
      <c r="D24831" s="9"/>
      <c r="G24831" s="9"/>
      <c r="J24831" s="11"/>
      <c r="U24831" s="9"/>
      <c r="X24831" s="9"/>
    </row>
    <row r="24832">
      <c r="D24832" s="9"/>
      <c r="G24832" s="9"/>
      <c r="J24832" s="11"/>
      <c r="U24832" s="9"/>
      <c r="X24832" s="9"/>
    </row>
    <row r="24833">
      <c r="D24833" s="9"/>
      <c r="G24833" s="9"/>
      <c r="J24833" s="11"/>
      <c r="U24833" s="9"/>
      <c r="X24833" s="9"/>
    </row>
    <row r="24834">
      <c r="D24834" s="9"/>
      <c r="G24834" s="9"/>
      <c r="J24834" s="11"/>
      <c r="U24834" s="9"/>
      <c r="X24834" s="9"/>
    </row>
    <row r="24835">
      <c r="D24835" s="9"/>
      <c r="G24835" s="9"/>
      <c r="J24835" s="11"/>
      <c r="U24835" s="9"/>
      <c r="X24835" s="9"/>
    </row>
    <row r="24836">
      <c r="D24836" s="9"/>
      <c r="G24836" s="9"/>
      <c r="J24836" s="11"/>
      <c r="U24836" s="9"/>
      <c r="X24836" s="9"/>
    </row>
    <row r="24837">
      <c r="D24837" s="9"/>
      <c r="G24837" s="9"/>
      <c r="J24837" s="11"/>
      <c r="U24837" s="9"/>
      <c r="X24837" s="9"/>
    </row>
    <row r="24838">
      <c r="D24838" s="9"/>
      <c r="G24838" s="9"/>
      <c r="J24838" s="11"/>
      <c r="U24838" s="9"/>
      <c r="X24838" s="9"/>
    </row>
    <row r="24839">
      <c r="D24839" s="9"/>
      <c r="G24839" s="9"/>
      <c r="J24839" s="11"/>
      <c r="U24839" s="9"/>
      <c r="X24839" s="9"/>
    </row>
    <row r="24840">
      <c r="D24840" s="9"/>
      <c r="G24840" s="9"/>
      <c r="J24840" s="11"/>
      <c r="U24840" s="9"/>
      <c r="X24840" s="9"/>
    </row>
    <row r="24841">
      <c r="D24841" s="9"/>
      <c r="G24841" s="9"/>
      <c r="J24841" s="11"/>
      <c r="U24841" s="9"/>
      <c r="X24841" s="9"/>
    </row>
    <row r="24842">
      <c r="D24842" s="9"/>
      <c r="G24842" s="9"/>
      <c r="J24842" s="11"/>
      <c r="U24842" s="9"/>
      <c r="X24842" s="9"/>
    </row>
    <row r="24843">
      <c r="D24843" s="9"/>
      <c r="G24843" s="9"/>
      <c r="J24843" s="11"/>
      <c r="U24843" s="9"/>
      <c r="X24843" s="9"/>
    </row>
    <row r="24844">
      <c r="D24844" s="9"/>
      <c r="G24844" s="9"/>
      <c r="J24844" s="11"/>
      <c r="U24844" s="9"/>
      <c r="X24844" s="9"/>
    </row>
    <row r="24845">
      <c r="D24845" s="9"/>
      <c r="G24845" s="9"/>
      <c r="J24845" s="11"/>
      <c r="U24845" s="9"/>
      <c r="X24845" s="9"/>
    </row>
    <row r="24846">
      <c r="D24846" s="9"/>
      <c r="G24846" s="9"/>
      <c r="J24846" s="11"/>
      <c r="U24846" s="9"/>
      <c r="X24846" s="9"/>
    </row>
    <row r="24847">
      <c r="D24847" s="9"/>
      <c r="G24847" s="9"/>
      <c r="J24847" s="11"/>
      <c r="U24847" s="9"/>
      <c r="X24847" s="9"/>
    </row>
    <row r="24848">
      <c r="D24848" s="9"/>
      <c r="G24848" s="9"/>
      <c r="J24848" s="11"/>
      <c r="U24848" s="9"/>
      <c r="X24848" s="9"/>
    </row>
    <row r="24849">
      <c r="D24849" s="9"/>
      <c r="G24849" s="9"/>
      <c r="J24849" s="11"/>
      <c r="U24849" s="9"/>
      <c r="X24849" s="9"/>
    </row>
    <row r="24850">
      <c r="D24850" s="9"/>
      <c r="G24850" s="9"/>
      <c r="J24850" s="11"/>
      <c r="U24850" s="9"/>
      <c r="X24850" s="9"/>
    </row>
    <row r="24851">
      <c r="D24851" s="9"/>
      <c r="G24851" s="9"/>
      <c r="J24851" s="11"/>
      <c r="U24851" s="9"/>
      <c r="X24851" s="9"/>
    </row>
    <row r="24852">
      <c r="D24852" s="9"/>
      <c r="G24852" s="9"/>
      <c r="J24852" s="11"/>
      <c r="U24852" s="9"/>
      <c r="X24852" s="9"/>
    </row>
    <row r="24853">
      <c r="D24853" s="9"/>
      <c r="G24853" s="9"/>
      <c r="J24853" s="11"/>
      <c r="U24853" s="9"/>
      <c r="X24853" s="9"/>
    </row>
    <row r="24854">
      <c r="D24854" s="9"/>
      <c r="G24854" s="9"/>
      <c r="J24854" s="11"/>
      <c r="U24854" s="9"/>
      <c r="X24854" s="9"/>
    </row>
    <row r="24855">
      <c r="D24855" s="9"/>
      <c r="G24855" s="9"/>
      <c r="J24855" s="11"/>
      <c r="U24855" s="9"/>
      <c r="X24855" s="9"/>
    </row>
    <row r="24856">
      <c r="D24856" s="9"/>
      <c r="G24856" s="9"/>
      <c r="J24856" s="11"/>
      <c r="U24856" s="9"/>
      <c r="X24856" s="9"/>
    </row>
    <row r="24857">
      <c r="D24857" s="9"/>
      <c r="G24857" s="9"/>
      <c r="J24857" s="11"/>
      <c r="U24857" s="9"/>
      <c r="X24857" s="9"/>
    </row>
    <row r="24858">
      <c r="D24858" s="9"/>
      <c r="G24858" s="9"/>
      <c r="J24858" s="11"/>
      <c r="U24858" s="9"/>
      <c r="X24858" s="9"/>
    </row>
    <row r="24859">
      <c r="D24859" s="9"/>
      <c r="G24859" s="9"/>
      <c r="J24859" s="11"/>
      <c r="U24859" s="9"/>
      <c r="X24859" s="9"/>
    </row>
    <row r="24860">
      <c r="D24860" s="9"/>
      <c r="G24860" s="9"/>
      <c r="J24860" s="11"/>
      <c r="U24860" s="9"/>
      <c r="X24860" s="9"/>
    </row>
    <row r="24861">
      <c r="D24861" s="9"/>
      <c r="G24861" s="9"/>
      <c r="J24861" s="11"/>
      <c r="U24861" s="9"/>
      <c r="X24861" s="9"/>
    </row>
    <row r="24862">
      <c r="D24862" s="9"/>
      <c r="G24862" s="9"/>
      <c r="J24862" s="11"/>
      <c r="U24862" s="9"/>
      <c r="X24862" s="9"/>
    </row>
    <row r="24863">
      <c r="D24863" s="9"/>
      <c r="G24863" s="9"/>
      <c r="J24863" s="11"/>
      <c r="U24863" s="9"/>
      <c r="X24863" s="9"/>
    </row>
    <row r="24864">
      <c r="D24864" s="9"/>
      <c r="G24864" s="9"/>
      <c r="J24864" s="11"/>
      <c r="U24864" s="9"/>
      <c r="X24864" s="9"/>
    </row>
    <row r="24865">
      <c r="D24865" s="9"/>
      <c r="G24865" s="9"/>
      <c r="J24865" s="11"/>
      <c r="U24865" s="9"/>
      <c r="X24865" s="9"/>
    </row>
    <row r="24866">
      <c r="D24866" s="9"/>
      <c r="G24866" s="9"/>
      <c r="J24866" s="11"/>
      <c r="U24866" s="9"/>
      <c r="X24866" s="9"/>
    </row>
    <row r="24867">
      <c r="D24867" s="9"/>
      <c r="G24867" s="9"/>
      <c r="J24867" s="11"/>
      <c r="U24867" s="9"/>
      <c r="X24867" s="9"/>
    </row>
    <row r="24868">
      <c r="D24868" s="9"/>
      <c r="G24868" s="9"/>
      <c r="J24868" s="11"/>
      <c r="U24868" s="9"/>
      <c r="X24868" s="9"/>
    </row>
    <row r="24869">
      <c r="D24869" s="9"/>
      <c r="G24869" s="9"/>
      <c r="J24869" s="11"/>
      <c r="U24869" s="9"/>
      <c r="X24869" s="9"/>
    </row>
    <row r="24870">
      <c r="D24870" s="9"/>
      <c r="G24870" s="9"/>
      <c r="J24870" s="11"/>
      <c r="U24870" s="9"/>
      <c r="X24870" s="9"/>
    </row>
    <row r="24871">
      <c r="D24871" s="9"/>
      <c r="G24871" s="9"/>
      <c r="J24871" s="11"/>
      <c r="U24871" s="9"/>
      <c r="X24871" s="9"/>
    </row>
    <row r="24872">
      <c r="D24872" s="9"/>
      <c r="G24872" s="9"/>
      <c r="J24872" s="11"/>
      <c r="U24872" s="9"/>
      <c r="X24872" s="9"/>
    </row>
    <row r="24873">
      <c r="D24873" s="9"/>
      <c r="G24873" s="9"/>
      <c r="J24873" s="11"/>
      <c r="U24873" s="9"/>
      <c r="X24873" s="9"/>
    </row>
    <row r="24874">
      <c r="D24874" s="9"/>
      <c r="G24874" s="9"/>
      <c r="J24874" s="11"/>
      <c r="U24874" s="9"/>
      <c r="X24874" s="9"/>
    </row>
    <row r="24875">
      <c r="D24875" s="9"/>
      <c r="G24875" s="9"/>
      <c r="J24875" s="11"/>
      <c r="U24875" s="9"/>
      <c r="X24875" s="9"/>
    </row>
    <row r="24876">
      <c r="D24876" s="9"/>
      <c r="G24876" s="9"/>
      <c r="J24876" s="11"/>
      <c r="U24876" s="9"/>
      <c r="X24876" s="9"/>
    </row>
    <row r="24877">
      <c r="D24877" s="9"/>
      <c r="G24877" s="9"/>
      <c r="J24877" s="11"/>
      <c r="U24877" s="9"/>
      <c r="X24877" s="9"/>
    </row>
    <row r="24878">
      <c r="D24878" s="9"/>
      <c r="G24878" s="9"/>
      <c r="J24878" s="11"/>
      <c r="U24878" s="9"/>
      <c r="X24878" s="9"/>
    </row>
    <row r="24879">
      <c r="D24879" s="9"/>
      <c r="G24879" s="9"/>
      <c r="J24879" s="11"/>
      <c r="U24879" s="9"/>
      <c r="X24879" s="9"/>
    </row>
    <row r="24880">
      <c r="D24880" s="9"/>
      <c r="G24880" s="9"/>
      <c r="J24880" s="11"/>
      <c r="U24880" s="9"/>
      <c r="X24880" s="9"/>
    </row>
    <row r="24881">
      <c r="D24881" s="9"/>
      <c r="G24881" s="9"/>
      <c r="J24881" s="11"/>
      <c r="U24881" s="9"/>
      <c r="X24881" s="9"/>
    </row>
    <row r="24882">
      <c r="D24882" s="9"/>
      <c r="G24882" s="9"/>
      <c r="J24882" s="11"/>
      <c r="U24882" s="9"/>
      <c r="X24882" s="9"/>
    </row>
    <row r="24883">
      <c r="D24883" s="9"/>
      <c r="G24883" s="9"/>
      <c r="J24883" s="11"/>
      <c r="U24883" s="9"/>
      <c r="X24883" s="9"/>
    </row>
    <row r="24884">
      <c r="D24884" s="9"/>
      <c r="G24884" s="9"/>
      <c r="J24884" s="11"/>
      <c r="U24884" s="9"/>
      <c r="X24884" s="9"/>
    </row>
    <row r="24885">
      <c r="D24885" s="9"/>
      <c r="G24885" s="9"/>
      <c r="J24885" s="11"/>
      <c r="U24885" s="9"/>
      <c r="X24885" s="9"/>
    </row>
    <row r="24886">
      <c r="D24886" s="9"/>
      <c r="G24886" s="9"/>
      <c r="J24886" s="11"/>
      <c r="U24886" s="9"/>
      <c r="X24886" s="9"/>
    </row>
    <row r="24887">
      <c r="D24887" s="9"/>
      <c r="G24887" s="9"/>
      <c r="J24887" s="11"/>
      <c r="U24887" s="9"/>
      <c r="X24887" s="9"/>
    </row>
    <row r="24888">
      <c r="D24888" s="9"/>
      <c r="G24888" s="9"/>
      <c r="J24888" s="11"/>
      <c r="U24888" s="9"/>
      <c r="X24888" s="9"/>
    </row>
    <row r="24889">
      <c r="D24889" s="9"/>
      <c r="G24889" s="9"/>
      <c r="J24889" s="11"/>
      <c r="U24889" s="9"/>
      <c r="X24889" s="9"/>
    </row>
    <row r="24890">
      <c r="D24890" s="9"/>
      <c r="G24890" s="9"/>
      <c r="J24890" s="11"/>
      <c r="U24890" s="9"/>
      <c r="X24890" s="9"/>
    </row>
    <row r="24891">
      <c r="D24891" s="9"/>
      <c r="G24891" s="9"/>
      <c r="J24891" s="11"/>
      <c r="U24891" s="9"/>
      <c r="X24891" s="9"/>
    </row>
    <row r="24892">
      <c r="D24892" s="9"/>
      <c r="G24892" s="9"/>
      <c r="J24892" s="11"/>
      <c r="U24892" s="9"/>
      <c r="X24892" s="9"/>
    </row>
    <row r="24893">
      <c r="D24893" s="9"/>
      <c r="G24893" s="9"/>
      <c r="J24893" s="11"/>
      <c r="U24893" s="9"/>
      <c r="X24893" s="9"/>
    </row>
    <row r="24894">
      <c r="D24894" s="9"/>
      <c r="G24894" s="9"/>
      <c r="J24894" s="11"/>
      <c r="U24894" s="9"/>
      <c r="X24894" s="9"/>
    </row>
    <row r="24895">
      <c r="D24895" s="9"/>
      <c r="G24895" s="9"/>
      <c r="J24895" s="11"/>
      <c r="U24895" s="9"/>
      <c r="X24895" s="9"/>
    </row>
    <row r="24896">
      <c r="D24896" s="9"/>
      <c r="G24896" s="9"/>
      <c r="J24896" s="11"/>
      <c r="U24896" s="9"/>
      <c r="X24896" s="9"/>
    </row>
    <row r="24897">
      <c r="D24897" s="9"/>
      <c r="G24897" s="9"/>
      <c r="J24897" s="11"/>
      <c r="U24897" s="9"/>
      <c r="X24897" s="9"/>
    </row>
    <row r="24898">
      <c r="D24898" s="9"/>
      <c r="G24898" s="9"/>
      <c r="J24898" s="11"/>
      <c r="U24898" s="9"/>
      <c r="X24898" s="9"/>
    </row>
    <row r="24899">
      <c r="D24899" s="9"/>
      <c r="G24899" s="9"/>
      <c r="J24899" s="11"/>
      <c r="U24899" s="9"/>
      <c r="X24899" s="9"/>
    </row>
    <row r="24900">
      <c r="D24900" s="9"/>
      <c r="G24900" s="9"/>
      <c r="J24900" s="11"/>
      <c r="U24900" s="9"/>
      <c r="X24900" s="9"/>
    </row>
    <row r="24901">
      <c r="D24901" s="9"/>
      <c r="G24901" s="9"/>
      <c r="J24901" s="11"/>
      <c r="U24901" s="9"/>
      <c r="X24901" s="9"/>
    </row>
    <row r="24902">
      <c r="D24902" s="9"/>
      <c r="G24902" s="9"/>
      <c r="J24902" s="11"/>
      <c r="U24902" s="9"/>
      <c r="X24902" s="9"/>
    </row>
    <row r="24903">
      <c r="D24903" s="9"/>
      <c r="G24903" s="9"/>
      <c r="J24903" s="11"/>
      <c r="U24903" s="9"/>
      <c r="X24903" s="9"/>
    </row>
    <row r="24904">
      <c r="D24904" s="9"/>
      <c r="G24904" s="9"/>
      <c r="J24904" s="11"/>
      <c r="U24904" s="9"/>
      <c r="X24904" s="9"/>
    </row>
    <row r="24905">
      <c r="D24905" s="9"/>
      <c r="G24905" s="9"/>
      <c r="J24905" s="11"/>
      <c r="U24905" s="9"/>
      <c r="X24905" s="9"/>
    </row>
    <row r="24906">
      <c r="D24906" s="9"/>
      <c r="G24906" s="9"/>
      <c r="J24906" s="11"/>
      <c r="U24906" s="9"/>
      <c r="X24906" s="9"/>
    </row>
    <row r="24907">
      <c r="D24907" s="9"/>
      <c r="G24907" s="9"/>
      <c r="J24907" s="11"/>
      <c r="U24907" s="9"/>
      <c r="X24907" s="9"/>
    </row>
    <row r="24908">
      <c r="D24908" s="9"/>
      <c r="G24908" s="9"/>
      <c r="J24908" s="11"/>
      <c r="U24908" s="9"/>
      <c r="X24908" s="9"/>
    </row>
    <row r="24909">
      <c r="D24909" s="9"/>
      <c r="G24909" s="9"/>
      <c r="J24909" s="11"/>
      <c r="U24909" s="9"/>
      <c r="X24909" s="9"/>
    </row>
    <row r="24910">
      <c r="D24910" s="9"/>
      <c r="G24910" s="9"/>
      <c r="J24910" s="11"/>
      <c r="U24910" s="9"/>
      <c r="X24910" s="9"/>
    </row>
    <row r="24911">
      <c r="D24911" s="9"/>
      <c r="G24911" s="9"/>
      <c r="J24911" s="11"/>
      <c r="U24911" s="9"/>
      <c r="X24911" s="9"/>
    </row>
    <row r="24912">
      <c r="D24912" s="9"/>
      <c r="G24912" s="9"/>
      <c r="J24912" s="11"/>
      <c r="U24912" s="9"/>
      <c r="X24912" s="9"/>
    </row>
    <row r="24913">
      <c r="D24913" s="9"/>
      <c r="G24913" s="9"/>
      <c r="J24913" s="11"/>
      <c r="U24913" s="9"/>
      <c r="X24913" s="9"/>
    </row>
    <row r="24914">
      <c r="D24914" s="9"/>
      <c r="G24914" s="9"/>
      <c r="J24914" s="11"/>
      <c r="U24914" s="9"/>
      <c r="X24914" s="9"/>
    </row>
    <row r="24915">
      <c r="D24915" s="9"/>
      <c r="G24915" s="9"/>
      <c r="J24915" s="11"/>
      <c r="U24915" s="9"/>
      <c r="X24915" s="9"/>
    </row>
    <row r="24916">
      <c r="D24916" s="9"/>
      <c r="G24916" s="9"/>
      <c r="J24916" s="11"/>
      <c r="U24916" s="9"/>
      <c r="X24916" s="9"/>
    </row>
    <row r="24917">
      <c r="D24917" s="9"/>
      <c r="G24917" s="9"/>
      <c r="J24917" s="11"/>
      <c r="U24917" s="9"/>
      <c r="X24917" s="9"/>
    </row>
    <row r="24918">
      <c r="D24918" s="9"/>
      <c r="G24918" s="9"/>
      <c r="J24918" s="11"/>
      <c r="U24918" s="9"/>
      <c r="X24918" s="9"/>
    </row>
    <row r="24919">
      <c r="D24919" s="9"/>
      <c r="G24919" s="9"/>
      <c r="J24919" s="11"/>
      <c r="U24919" s="9"/>
      <c r="X24919" s="9"/>
    </row>
    <row r="24920">
      <c r="D24920" s="9"/>
      <c r="G24920" s="9"/>
      <c r="J24920" s="11"/>
      <c r="U24920" s="9"/>
      <c r="X24920" s="9"/>
    </row>
    <row r="24921">
      <c r="D24921" s="9"/>
      <c r="G24921" s="9"/>
      <c r="J24921" s="11"/>
      <c r="U24921" s="9"/>
      <c r="X24921" s="9"/>
    </row>
    <row r="24922">
      <c r="D24922" s="9"/>
      <c r="G24922" s="9"/>
      <c r="J24922" s="11"/>
      <c r="U24922" s="9"/>
      <c r="X24922" s="9"/>
    </row>
    <row r="24923">
      <c r="D24923" s="9"/>
      <c r="G24923" s="9"/>
      <c r="J24923" s="11"/>
      <c r="U24923" s="9"/>
      <c r="X24923" s="9"/>
    </row>
    <row r="24924">
      <c r="D24924" s="9"/>
      <c r="G24924" s="9"/>
      <c r="J24924" s="11"/>
      <c r="U24924" s="9"/>
      <c r="X24924" s="9"/>
    </row>
    <row r="24925">
      <c r="D24925" s="9"/>
      <c r="G24925" s="9"/>
      <c r="J24925" s="11"/>
      <c r="U24925" s="9"/>
      <c r="X24925" s="9"/>
    </row>
    <row r="24926">
      <c r="D24926" s="9"/>
      <c r="G24926" s="9"/>
      <c r="J24926" s="11"/>
      <c r="U24926" s="9"/>
      <c r="X24926" s="9"/>
    </row>
    <row r="24927">
      <c r="D24927" s="9"/>
      <c r="G24927" s="9"/>
      <c r="J24927" s="11"/>
      <c r="U24927" s="9"/>
      <c r="X24927" s="9"/>
    </row>
    <row r="24928">
      <c r="D24928" s="9"/>
      <c r="G24928" s="9"/>
      <c r="J24928" s="11"/>
      <c r="U24928" s="9"/>
      <c r="X24928" s="9"/>
    </row>
    <row r="24929">
      <c r="D24929" s="9"/>
      <c r="G24929" s="9"/>
      <c r="J24929" s="11"/>
      <c r="U24929" s="9"/>
      <c r="X24929" s="9"/>
    </row>
    <row r="24930">
      <c r="D24930" s="9"/>
      <c r="G24930" s="9"/>
      <c r="J24930" s="11"/>
      <c r="U24930" s="9"/>
      <c r="X24930" s="9"/>
    </row>
    <row r="24931">
      <c r="D24931" s="9"/>
      <c r="G24931" s="9"/>
      <c r="J24931" s="11"/>
      <c r="U24931" s="9"/>
      <c r="X24931" s="9"/>
    </row>
    <row r="24932">
      <c r="D24932" s="9"/>
      <c r="G24932" s="9"/>
      <c r="J24932" s="11"/>
      <c r="U24932" s="9"/>
      <c r="X24932" s="9"/>
    </row>
    <row r="24933">
      <c r="D24933" s="9"/>
      <c r="G24933" s="9"/>
      <c r="J24933" s="11"/>
      <c r="U24933" s="9"/>
      <c r="X24933" s="9"/>
    </row>
    <row r="24934">
      <c r="D24934" s="9"/>
      <c r="G24934" s="9"/>
      <c r="J24934" s="11"/>
      <c r="U24934" s="9"/>
      <c r="X24934" s="9"/>
    </row>
    <row r="24935">
      <c r="D24935" s="9"/>
      <c r="G24935" s="9"/>
      <c r="J24935" s="11"/>
      <c r="U24935" s="9"/>
      <c r="X24935" s="9"/>
    </row>
    <row r="24936">
      <c r="D24936" s="9"/>
      <c r="G24936" s="9"/>
      <c r="J24936" s="11"/>
      <c r="U24936" s="9"/>
      <c r="X24936" s="9"/>
    </row>
    <row r="24937">
      <c r="D24937" s="9"/>
      <c r="G24937" s="9"/>
      <c r="J24937" s="11"/>
      <c r="U24937" s="9"/>
      <c r="X24937" s="9"/>
    </row>
    <row r="24938">
      <c r="D24938" s="9"/>
      <c r="G24938" s="9"/>
      <c r="J24938" s="11"/>
      <c r="U24938" s="9"/>
      <c r="X24938" s="9"/>
    </row>
    <row r="24939">
      <c r="D24939" s="9"/>
      <c r="G24939" s="9"/>
      <c r="J24939" s="11"/>
      <c r="U24939" s="9"/>
      <c r="X24939" s="9"/>
    </row>
    <row r="24940">
      <c r="D24940" s="9"/>
      <c r="G24940" s="9"/>
      <c r="J24940" s="11"/>
      <c r="U24940" s="9"/>
      <c r="X24940" s="9"/>
    </row>
    <row r="24941">
      <c r="D24941" s="9"/>
      <c r="G24941" s="9"/>
      <c r="J24941" s="11"/>
      <c r="U24941" s="9"/>
      <c r="X24941" s="9"/>
    </row>
    <row r="24942">
      <c r="D24942" s="9"/>
      <c r="G24942" s="9"/>
      <c r="J24942" s="11"/>
      <c r="U24942" s="9"/>
      <c r="X24942" s="9"/>
    </row>
    <row r="24943">
      <c r="D24943" s="9"/>
      <c r="G24943" s="9"/>
      <c r="J24943" s="11"/>
      <c r="U24943" s="9"/>
      <c r="X24943" s="9"/>
    </row>
    <row r="24944">
      <c r="D24944" s="9"/>
      <c r="G24944" s="9"/>
      <c r="J24944" s="11"/>
      <c r="U24944" s="9"/>
      <c r="X24944" s="9"/>
    </row>
    <row r="24945">
      <c r="D24945" s="9"/>
      <c r="G24945" s="9"/>
      <c r="J24945" s="11"/>
      <c r="U24945" s="9"/>
      <c r="X24945" s="9"/>
    </row>
    <row r="24946">
      <c r="D24946" s="9"/>
      <c r="G24946" s="9"/>
      <c r="J24946" s="11"/>
      <c r="U24946" s="9"/>
      <c r="X24946" s="9"/>
    </row>
    <row r="24947">
      <c r="D24947" s="9"/>
      <c r="G24947" s="9"/>
      <c r="J24947" s="11"/>
      <c r="U24947" s="9"/>
      <c r="X24947" s="9"/>
    </row>
    <row r="24948">
      <c r="D24948" s="9"/>
      <c r="G24948" s="9"/>
      <c r="J24948" s="11"/>
      <c r="U24948" s="9"/>
      <c r="X24948" s="9"/>
    </row>
    <row r="24949">
      <c r="D24949" s="9"/>
      <c r="G24949" s="9"/>
      <c r="J24949" s="11"/>
      <c r="U24949" s="9"/>
      <c r="X24949" s="9"/>
    </row>
    <row r="24950">
      <c r="D24950" s="9"/>
      <c r="G24950" s="9"/>
      <c r="J24950" s="11"/>
      <c r="U24950" s="9"/>
      <c r="X24950" s="9"/>
    </row>
    <row r="24951">
      <c r="D24951" s="9"/>
      <c r="G24951" s="9"/>
      <c r="J24951" s="11"/>
      <c r="U24951" s="9"/>
      <c r="X24951" s="9"/>
    </row>
    <row r="24952">
      <c r="D24952" s="9"/>
      <c r="G24952" s="9"/>
      <c r="J24952" s="11"/>
      <c r="U24952" s="9"/>
      <c r="X24952" s="9"/>
    </row>
    <row r="24953">
      <c r="D24953" s="9"/>
      <c r="G24953" s="9"/>
      <c r="J24953" s="11"/>
      <c r="U24953" s="9"/>
      <c r="X24953" s="9"/>
    </row>
    <row r="24954">
      <c r="D24954" s="9"/>
      <c r="G24954" s="9"/>
      <c r="J24954" s="11"/>
      <c r="U24954" s="9"/>
      <c r="X24954" s="9"/>
    </row>
    <row r="24955">
      <c r="D24955" s="9"/>
      <c r="G24955" s="9"/>
      <c r="J24955" s="11"/>
      <c r="U24955" s="9"/>
      <c r="X24955" s="9"/>
    </row>
    <row r="24956">
      <c r="D24956" s="9"/>
      <c r="G24956" s="9"/>
      <c r="J24956" s="11"/>
      <c r="U24956" s="9"/>
      <c r="X24956" s="9"/>
    </row>
    <row r="24957">
      <c r="D24957" s="9"/>
      <c r="G24957" s="9"/>
      <c r="J24957" s="11"/>
      <c r="U24957" s="9"/>
      <c r="X24957" s="9"/>
    </row>
    <row r="24958">
      <c r="D24958" s="9"/>
      <c r="G24958" s="9"/>
      <c r="J24958" s="11"/>
      <c r="U24958" s="9"/>
      <c r="X24958" s="9"/>
    </row>
    <row r="24959">
      <c r="D24959" s="9"/>
      <c r="G24959" s="9"/>
      <c r="J24959" s="11"/>
      <c r="U24959" s="9"/>
      <c r="X24959" s="9"/>
    </row>
    <row r="24960">
      <c r="D24960" s="9"/>
      <c r="G24960" s="9"/>
      <c r="J24960" s="11"/>
      <c r="U24960" s="9"/>
      <c r="X24960" s="9"/>
    </row>
    <row r="24961">
      <c r="D24961" s="9"/>
      <c r="G24961" s="9"/>
      <c r="J24961" s="11"/>
      <c r="U24961" s="9"/>
      <c r="X24961" s="9"/>
    </row>
    <row r="24962">
      <c r="D24962" s="9"/>
      <c r="G24962" s="9"/>
      <c r="J24962" s="11"/>
      <c r="U24962" s="9"/>
      <c r="X24962" s="9"/>
    </row>
    <row r="24963">
      <c r="D24963" s="9"/>
      <c r="G24963" s="9"/>
      <c r="J24963" s="11"/>
      <c r="U24963" s="9"/>
      <c r="X24963" s="9"/>
    </row>
    <row r="24964">
      <c r="D24964" s="9"/>
      <c r="G24964" s="9"/>
      <c r="J24964" s="11"/>
      <c r="U24964" s="9"/>
      <c r="X24964" s="9"/>
    </row>
    <row r="24965">
      <c r="D24965" s="9"/>
      <c r="G24965" s="9"/>
      <c r="J24965" s="11"/>
      <c r="U24965" s="9"/>
      <c r="X24965" s="9"/>
    </row>
    <row r="24966">
      <c r="D24966" s="9"/>
      <c r="G24966" s="9"/>
      <c r="J24966" s="11"/>
      <c r="U24966" s="9"/>
      <c r="X24966" s="9"/>
    </row>
    <row r="24967">
      <c r="D24967" s="9"/>
      <c r="G24967" s="9"/>
      <c r="J24967" s="11"/>
      <c r="U24967" s="9"/>
      <c r="X24967" s="9"/>
    </row>
    <row r="24968">
      <c r="D24968" s="9"/>
      <c r="G24968" s="9"/>
      <c r="J24968" s="11"/>
      <c r="U24968" s="9"/>
      <c r="X24968" s="9"/>
    </row>
    <row r="24969">
      <c r="D24969" s="9"/>
      <c r="G24969" s="9"/>
      <c r="J24969" s="11"/>
      <c r="U24969" s="9"/>
      <c r="X24969" s="9"/>
    </row>
    <row r="24970">
      <c r="D24970" s="9"/>
      <c r="G24970" s="9"/>
      <c r="J24970" s="11"/>
      <c r="U24970" s="9"/>
      <c r="X24970" s="9"/>
    </row>
    <row r="24971">
      <c r="D24971" s="9"/>
      <c r="G24971" s="9"/>
      <c r="J24971" s="11"/>
      <c r="U24971" s="9"/>
      <c r="X24971" s="9"/>
    </row>
    <row r="24972">
      <c r="D24972" s="9"/>
      <c r="G24972" s="9"/>
      <c r="J24972" s="11"/>
      <c r="U24972" s="9"/>
      <c r="X24972" s="9"/>
    </row>
    <row r="24973">
      <c r="D24973" s="9"/>
      <c r="G24973" s="9"/>
      <c r="J24973" s="11"/>
      <c r="U24973" s="9"/>
      <c r="X24973" s="9"/>
    </row>
    <row r="24974">
      <c r="D24974" s="9"/>
      <c r="G24974" s="9"/>
      <c r="J24974" s="11"/>
      <c r="U24974" s="9"/>
      <c r="X24974" s="9"/>
    </row>
    <row r="24975">
      <c r="D24975" s="9"/>
      <c r="G24975" s="9"/>
      <c r="J24975" s="11"/>
      <c r="U24975" s="9"/>
      <c r="X24975" s="9"/>
    </row>
    <row r="24976">
      <c r="D24976" s="9"/>
      <c r="G24976" s="9"/>
      <c r="J24976" s="11"/>
      <c r="U24976" s="9"/>
      <c r="X24976" s="9"/>
    </row>
    <row r="24977">
      <c r="D24977" s="9"/>
      <c r="G24977" s="9"/>
      <c r="J24977" s="11"/>
      <c r="U24977" s="9"/>
      <c r="X24977" s="9"/>
    </row>
    <row r="24978">
      <c r="D24978" s="9"/>
      <c r="G24978" s="9"/>
      <c r="J24978" s="11"/>
      <c r="U24978" s="9"/>
      <c r="X24978" s="9"/>
    </row>
    <row r="24979">
      <c r="D24979" s="9"/>
      <c r="G24979" s="9"/>
      <c r="J24979" s="11"/>
      <c r="U24979" s="9"/>
      <c r="X24979" s="9"/>
    </row>
    <row r="24980">
      <c r="D24980" s="9"/>
      <c r="G24980" s="9"/>
      <c r="J24980" s="11"/>
      <c r="U24980" s="9"/>
      <c r="X24980" s="9"/>
    </row>
    <row r="24981">
      <c r="D24981" s="9"/>
      <c r="G24981" s="9"/>
      <c r="J24981" s="11"/>
      <c r="U24981" s="9"/>
      <c r="X24981" s="9"/>
    </row>
    <row r="24982">
      <c r="D24982" s="9"/>
      <c r="G24982" s="9"/>
      <c r="J24982" s="11"/>
      <c r="U24982" s="9"/>
      <c r="X24982" s="9"/>
    </row>
    <row r="24983">
      <c r="D24983" s="9"/>
      <c r="G24983" s="9"/>
      <c r="J24983" s="11"/>
      <c r="U24983" s="9"/>
      <c r="X24983" s="9"/>
    </row>
    <row r="24984">
      <c r="D24984" s="9"/>
      <c r="G24984" s="9"/>
      <c r="J24984" s="11"/>
      <c r="U24984" s="9"/>
      <c r="X24984" s="9"/>
    </row>
    <row r="24985">
      <c r="D24985" s="9"/>
      <c r="G24985" s="9"/>
      <c r="J24985" s="11"/>
      <c r="U24985" s="9"/>
      <c r="X24985" s="9"/>
    </row>
    <row r="24986">
      <c r="D24986" s="9"/>
      <c r="G24986" s="9"/>
      <c r="J24986" s="11"/>
      <c r="U24986" s="9"/>
      <c r="X24986" s="9"/>
    </row>
    <row r="24987">
      <c r="D24987" s="9"/>
      <c r="G24987" s="9"/>
      <c r="J24987" s="11"/>
      <c r="U24987" s="9"/>
      <c r="X24987" s="9"/>
    </row>
    <row r="24988">
      <c r="D24988" s="9"/>
      <c r="G24988" s="9"/>
      <c r="J24988" s="11"/>
      <c r="U24988" s="9"/>
      <c r="X24988" s="9"/>
    </row>
    <row r="24989">
      <c r="D24989" s="9"/>
      <c r="G24989" s="9"/>
      <c r="J24989" s="11"/>
      <c r="U24989" s="9"/>
      <c r="X24989" s="9"/>
    </row>
    <row r="24990">
      <c r="D24990" s="9"/>
      <c r="G24990" s="9"/>
      <c r="J24990" s="11"/>
      <c r="U24990" s="9"/>
      <c r="X24990" s="9"/>
    </row>
    <row r="24991">
      <c r="D24991" s="9"/>
      <c r="G24991" s="9"/>
      <c r="J24991" s="11"/>
      <c r="U24991" s="9"/>
      <c r="X24991" s="9"/>
    </row>
    <row r="24992">
      <c r="D24992" s="9"/>
      <c r="G24992" s="9"/>
      <c r="J24992" s="11"/>
      <c r="U24992" s="9"/>
      <c r="X24992" s="9"/>
    </row>
    <row r="24993">
      <c r="D24993" s="9"/>
      <c r="G24993" s="9"/>
      <c r="J24993" s="11"/>
      <c r="U24993" s="9"/>
      <c r="X24993" s="9"/>
    </row>
    <row r="24994">
      <c r="D24994" s="9"/>
      <c r="G24994" s="9"/>
      <c r="J24994" s="11"/>
      <c r="U24994" s="9"/>
      <c r="X24994" s="9"/>
    </row>
    <row r="24995">
      <c r="D24995" s="9"/>
      <c r="G24995" s="9"/>
      <c r="J24995" s="11"/>
      <c r="U24995" s="9"/>
      <c r="X24995" s="9"/>
    </row>
    <row r="24996">
      <c r="D24996" s="9"/>
      <c r="G24996" s="9"/>
      <c r="J24996" s="11"/>
      <c r="U24996" s="9"/>
      <c r="X24996" s="9"/>
    </row>
    <row r="24997">
      <c r="D24997" s="9"/>
      <c r="G24997" s="9"/>
      <c r="J24997" s="11"/>
      <c r="U24997" s="9"/>
      <c r="X24997" s="9"/>
    </row>
    <row r="24998">
      <c r="D24998" s="9"/>
      <c r="G24998" s="9"/>
      <c r="J24998" s="11"/>
      <c r="U24998" s="9"/>
      <c r="X24998" s="9"/>
    </row>
    <row r="24999">
      <c r="D24999" s="9"/>
      <c r="G24999" s="9"/>
      <c r="J24999" s="11"/>
      <c r="U24999" s="9"/>
      <c r="X24999" s="9"/>
    </row>
    <row r="25000">
      <c r="D25000" s="9"/>
      <c r="G25000" s="9"/>
      <c r="J25000" s="11"/>
      <c r="U25000" s="9"/>
      <c r="X25000" s="9"/>
    </row>
    <row r="25001">
      <c r="D25001" s="9"/>
      <c r="G25001" s="9"/>
      <c r="J25001" s="11"/>
      <c r="U25001" s="9"/>
      <c r="X25001" s="9"/>
    </row>
    <row r="25002">
      <c r="D25002" s="9"/>
      <c r="G25002" s="9"/>
      <c r="J25002" s="11"/>
      <c r="U25002" s="9"/>
      <c r="X25002" s="9"/>
    </row>
    <row r="25003">
      <c r="D25003" s="9"/>
      <c r="G25003" s="9"/>
      <c r="J25003" s="11"/>
      <c r="U25003" s="9"/>
      <c r="X25003" s="9"/>
    </row>
    <row r="25004">
      <c r="D25004" s="9"/>
      <c r="G25004" s="9"/>
      <c r="J25004" s="11"/>
      <c r="U25004" s="9"/>
      <c r="X25004" s="9"/>
    </row>
    <row r="25005">
      <c r="D25005" s="9"/>
      <c r="G25005" s="9"/>
      <c r="J25005" s="11"/>
      <c r="U25005" s="9"/>
      <c r="X25005" s="9"/>
    </row>
    <row r="25006">
      <c r="D25006" s="9"/>
      <c r="G25006" s="9"/>
      <c r="J25006" s="11"/>
      <c r="U25006" s="9"/>
      <c r="X25006" s="9"/>
    </row>
    <row r="25007">
      <c r="D25007" s="9"/>
      <c r="G25007" s="9"/>
      <c r="J25007" s="11"/>
      <c r="U25007" s="9"/>
      <c r="X25007" s="9"/>
    </row>
    <row r="25008">
      <c r="D25008" s="9"/>
      <c r="G25008" s="9"/>
      <c r="J25008" s="11"/>
      <c r="U25008" s="9"/>
      <c r="X25008" s="9"/>
    </row>
    <row r="25009">
      <c r="D25009" s="9"/>
      <c r="G25009" s="9"/>
      <c r="J25009" s="11"/>
      <c r="U25009" s="9"/>
      <c r="X25009" s="9"/>
    </row>
    <row r="25010">
      <c r="D25010" s="9"/>
      <c r="G25010" s="9"/>
      <c r="J25010" s="11"/>
      <c r="U25010" s="9"/>
      <c r="X25010" s="9"/>
    </row>
    <row r="25011">
      <c r="D25011" s="9"/>
      <c r="G25011" s="9"/>
      <c r="J25011" s="11"/>
      <c r="U25011" s="9"/>
      <c r="X25011" s="9"/>
    </row>
    <row r="25012">
      <c r="D25012" s="9"/>
      <c r="G25012" s="9"/>
      <c r="J25012" s="11"/>
      <c r="U25012" s="9"/>
      <c r="X25012" s="9"/>
    </row>
    <row r="25013">
      <c r="D25013" s="9"/>
      <c r="G25013" s="9"/>
      <c r="J25013" s="11"/>
      <c r="U25013" s="9"/>
      <c r="X25013" s="9"/>
    </row>
    <row r="25014">
      <c r="D25014" s="9"/>
      <c r="G25014" s="9"/>
      <c r="J25014" s="11"/>
      <c r="U25014" s="9"/>
      <c r="X25014" s="9"/>
    </row>
    <row r="25015">
      <c r="D25015" s="9"/>
      <c r="G25015" s="9"/>
      <c r="J25015" s="11"/>
      <c r="U25015" s="9"/>
      <c r="X25015" s="9"/>
    </row>
    <row r="25016">
      <c r="D25016" s="9"/>
      <c r="G25016" s="9"/>
      <c r="J25016" s="11"/>
      <c r="U25016" s="9"/>
      <c r="X25016" s="9"/>
    </row>
    <row r="25017">
      <c r="D25017" s="9"/>
      <c r="G25017" s="9"/>
      <c r="J25017" s="11"/>
      <c r="U25017" s="9"/>
      <c r="X25017" s="9"/>
    </row>
    <row r="25018">
      <c r="D25018" s="9"/>
      <c r="G25018" s="9"/>
      <c r="J25018" s="11"/>
      <c r="U25018" s="9"/>
      <c r="X25018" s="9"/>
    </row>
    <row r="25019">
      <c r="D25019" s="9"/>
      <c r="G25019" s="9"/>
      <c r="J25019" s="11"/>
      <c r="U25019" s="9"/>
      <c r="X25019" s="9"/>
    </row>
    <row r="25020">
      <c r="D25020" s="9"/>
      <c r="G25020" s="9"/>
      <c r="J25020" s="11"/>
      <c r="U25020" s="9"/>
      <c r="X25020" s="9"/>
    </row>
    <row r="25021">
      <c r="D25021" s="9"/>
      <c r="G25021" s="9"/>
      <c r="J25021" s="11"/>
      <c r="U25021" s="9"/>
      <c r="X25021" s="9"/>
    </row>
    <row r="25022">
      <c r="D25022" s="9"/>
      <c r="G25022" s="9"/>
      <c r="J25022" s="11"/>
      <c r="U25022" s="9"/>
      <c r="X25022" s="9"/>
    </row>
    <row r="25023">
      <c r="D25023" s="9"/>
      <c r="G25023" s="9"/>
      <c r="J25023" s="11"/>
      <c r="U25023" s="9"/>
      <c r="X25023" s="9"/>
    </row>
    <row r="25024">
      <c r="D25024" s="9"/>
      <c r="G25024" s="9"/>
      <c r="J25024" s="11"/>
      <c r="U25024" s="9"/>
      <c r="X25024" s="9"/>
    </row>
    <row r="25025">
      <c r="D25025" s="9"/>
      <c r="G25025" s="9"/>
      <c r="J25025" s="11"/>
      <c r="U25025" s="9"/>
      <c r="X25025" s="9"/>
    </row>
    <row r="25026">
      <c r="D25026" s="9"/>
      <c r="G25026" s="9"/>
      <c r="J25026" s="11"/>
      <c r="U25026" s="9"/>
      <c r="X25026" s="9"/>
    </row>
    <row r="25027">
      <c r="D25027" s="9"/>
      <c r="G25027" s="9"/>
      <c r="J25027" s="11"/>
      <c r="U25027" s="9"/>
      <c r="X25027" s="9"/>
    </row>
    <row r="25028">
      <c r="D25028" s="9"/>
      <c r="G25028" s="9"/>
      <c r="J25028" s="11"/>
      <c r="U25028" s="9"/>
      <c r="X25028" s="9"/>
    </row>
    <row r="25029">
      <c r="D25029" s="9"/>
      <c r="G25029" s="9"/>
      <c r="J25029" s="11"/>
      <c r="U25029" s="9"/>
      <c r="X25029" s="9"/>
    </row>
    <row r="25030">
      <c r="D25030" s="9"/>
      <c r="G25030" s="9"/>
      <c r="J25030" s="11"/>
      <c r="U25030" s="9"/>
      <c r="X25030" s="9"/>
    </row>
    <row r="25031">
      <c r="D25031" s="9"/>
      <c r="G25031" s="9"/>
      <c r="J25031" s="11"/>
      <c r="U25031" s="9"/>
      <c r="X25031" s="9"/>
    </row>
    <row r="25032">
      <c r="D25032" s="9"/>
      <c r="G25032" s="9"/>
      <c r="J25032" s="11"/>
      <c r="U25032" s="9"/>
      <c r="X25032" s="9"/>
    </row>
    <row r="25033">
      <c r="D25033" s="9"/>
      <c r="G25033" s="9"/>
      <c r="J25033" s="11"/>
      <c r="U25033" s="9"/>
      <c r="X25033" s="9"/>
    </row>
    <row r="25034">
      <c r="D25034" s="9"/>
      <c r="G25034" s="9"/>
      <c r="J25034" s="11"/>
      <c r="U25034" s="9"/>
      <c r="X25034" s="9"/>
    </row>
    <row r="25035">
      <c r="D25035" s="9"/>
      <c r="G25035" s="9"/>
      <c r="J25035" s="11"/>
      <c r="U25035" s="9"/>
      <c r="X25035" s="9"/>
    </row>
    <row r="25036">
      <c r="D25036" s="9"/>
      <c r="G25036" s="9"/>
      <c r="J25036" s="11"/>
      <c r="U25036" s="9"/>
      <c r="X25036" s="9"/>
    </row>
    <row r="25037">
      <c r="D25037" s="9"/>
      <c r="G25037" s="9"/>
      <c r="J25037" s="11"/>
      <c r="U25037" s="9"/>
      <c r="X25037" s="9"/>
    </row>
    <row r="25038">
      <c r="D25038" s="9"/>
      <c r="G25038" s="9"/>
      <c r="J25038" s="11"/>
      <c r="U25038" s="9"/>
      <c r="X25038" s="9"/>
    </row>
    <row r="25039">
      <c r="D25039" s="9"/>
      <c r="G25039" s="9"/>
      <c r="J25039" s="11"/>
      <c r="U25039" s="9"/>
      <c r="X25039" s="9"/>
    </row>
    <row r="25040">
      <c r="D25040" s="9"/>
      <c r="G25040" s="9"/>
      <c r="J25040" s="11"/>
      <c r="U25040" s="9"/>
      <c r="X25040" s="9"/>
    </row>
    <row r="25041">
      <c r="D25041" s="9"/>
      <c r="G25041" s="9"/>
      <c r="J25041" s="11"/>
      <c r="U25041" s="9"/>
      <c r="X25041" s="9"/>
    </row>
    <row r="25042">
      <c r="D25042" s="9"/>
      <c r="G25042" s="9"/>
      <c r="J25042" s="11"/>
      <c r="U25042" s="9"/>
      <c r="X25042" s="9"/>
    </row>
    <row r="25043">
      <c r="D25043" s="9"/>
      <c r="G25043" s="9"/>
      <c r="J25043" s="11"/>
      <c r="U25043" s="9"/>
      <c r="X25043" s="9"/>
    </row>
    <row r="25044">
      <c r="D25044" s="9"/>
      <c r="G25044" s="9"/>
      <c r="J25044" s="11"/>
      <c r="U25044" s="9"/>
      <c r="X25044" s="9"/>
    </row>
    <row r="25045">
      <c r="D25045" s="9"/>
      <c r="G25045" s="9"/>
      <c r="J25045" s="11"/>
      <c r="U25045" s="9"/>
      <c r="X25045" s="9"/>
    </row>
    <row r="25046">
      <c r="D25046" s="9"/>
      <c r="G25046" s="9"/>
      <c r="J25046" s="11"/>
      <c r="U25046" s="9"/>
      <c r="X25046" s="9"/>
    </row>
    <row r="25047">
      <c r="D25047" s="9"/>
      <c r="G25047" s="9"/>
      <c r="J25047" s="11"/>
      <c r="U25047" s="9"/>
      <c r="X25047" s="9"/>
    </row>
    <row r="25048">
      <c r="D25048" s="9"/>
      <c r="G25048" s="9"/>
      <c r="J25048" s="11"/>
      <c r="U25048" s="9"/>
      <c r="X25048" s="9"/>
    </row>
    <row r="25049">
      <c r="D25049" s="9"/>
      <c r="G25049" s="9"/>
      <c r="J25049" s="11"/>
      <c r="U25049" s="9"/>
      <c r="X25049" s="9"/>
    </row>
    <row r="25050">
      <c r="D25050" s="9"/>
      <c r="G25050" s="9"/>
      <c r="J25050" s="11"/>
      <c r="U25050" s="9"/>
      <c r="X25050" s="9"/>
    </row>
    <row r="25051">
      <c r="D25051" s="9"/>
      <c r="G25051" s="9"/>
      <c r="J25051" s="11"/>
      <c r="U25051" s="9"/>
      <c r="X25051" s="9"/>
    </row>
    <row r="25052">
      <c r="D25052" s="9"/>
      <c r="G25052" s="9"/>
      <c r="J25052" s="11"/>
      <c r="U25052" s="9"/>
      <c r="X25052" s="9"/>
    </row>
    <row r="25053">
      <c r="D25053" s="9"/>
      <c r="G25053" s="9"/>
      <c r="J25053" s="11"/>
      <c r="U25053" s="9"/>
      <c r="X25053" s="9"/>
    </row>
    <row r="25054">
      <c r="D25054" s="9"/>
      <c r="G25054" s="9"/>
      <c r="J25054" s="11"/>
      <c r="U25054" s="9"/>
      <c r="X25054" s="9"/>
    </row>
    <row r="25055">
      <c r="D25055" s="9"/>
      <c r="G25055" s="9"/>
      <c r="J25055" s="11"/>
      <c r="U25055" s="9"/>
      <c r="X25055" s="9"/>
    </row>
    <row r="25056">
      <c r="D25056" s="9"/>
      <c r="G25056" s="9"/>
      <c r="J25056" s="11"/>
      <c r="U25056" s="9"/>
      <c r="X25056" s="9"/>
    </row>
    <row r="25057">
      <c r="D25057" s="9"/>
      <c r="G25057" s="9"/>
      <c r="J25057" s="11"/>
      <c r="U25057" s="9"/>
      <c r="X25057" s="9"/>
    </row>
    <row r="25058">
      <c r="D25058" s="9"/>
      <c r="G25058" s="9"/>
      <c r="J25058" s="11"/>
      <c r="U25058" s="9"/>
      <c r="X25058" s="9"/>
    </row>
    <row r="25059">
      <c r="D25059" s="9"/>
      <c r="G25059" s="9"/>
      <c r="J25059" s="11"/>
      <c r="U25059" s="9"/>
      <c r="X25059" s="9"/>
    </row>
    <row r="25060">
      <c r="D25060" s="9"/>
      <c r="G25060" s="9"/>
      <c r="J25060" s="11"/>
      <c r="U25060" s="9"/>
      <c r="X25060" s="9"/>
    </row>
    <row r="25061">
      <c r="D25061" s="9"/>
      <c r="G25061" s="9"/>
      <c r="J25061" s="11"/>
      <c r="U25061" s="9"/>
      <c r="X25061" s="9"/>
    </row>
    <row r="25062">
      <c r="D25062" s="9"/>
      <c r="G25062" s="9"/>
      <c r="J25062" s="11"/>
      <c r="U25062" s="9"/>
      <c r="X25062" s="9"/>
    </row>
    <row r="25063">
      <c r="D25063" s="9"/>
      <c r="G25063" s="9"/>
      <c r="J25063" s="11"/>
      <c r="U25063" s="9"/>
      <c r="X25063" s="9"/>
    </row>
    <row r="25064">
      <c r="D25064" s="9"/>
      <c r="G25064" s="9"/>
      <c r="J25064" s="11"/>
      <c r="U25064" s="9"/>
      <c r="X25064" s="9"/>
    </row>
    <row r="25065">
      <c r="D25065" s="9"/>
      <c r="G25065" s="9"/>
      <c r="J25065" s="11"/>
      <c r="U25065" s="9"/>
      <c r="X25065" s="9"/>
    </row>
    <row r="25066">
      <c r="D25066" s="9"/>
      <c r="G25066" s="9"/>
      <c r="J25066" s="11"/>
      <c r="U25066" s="9"/>
      <c r="X25066" s="9"/>
    </row>
    <row r="25067">
      <c r="D25067" s="9"/>
      <c r="G25067" s="9"/>
      <c r="J25067" s="11"/>
      <c r="U25067" s="9"/>
      <c r="X25067" s="9"/>
    </row>
    <row r="25068">
      <c r="D25068" s="9"/>
      <c r="G25068" s="9"/>
      <c r="J25068" s="11"/>
      <c r="U25068" s="9"/>
      <c r="X25068" s="9"/>
    </row>
    <row r="25069">
      <c r="D25069" s="9"/>
      <c r="G25069" s="9"/>
      <c r="J25069" s="11"/>
      <c r="U25069" s="9"/>
      <c r="X25069" s="9"/>
    </row>
    <row r="25070">
      <c r="D25070" s="9"/>
      <c r="G25070" s="9"/>
      <c r="J25070" s="11"/>
      <c r="U25070" s="9"/>
      <c r="X25070" s="9"/>
    </row>
    <row r="25071">
      <c r="D25071" s="9"/>
      <c r="G25071" s="9"/>
      <c r="J25071" s="11"/>
      <c r="U25071" s="9"/>
      <c r="X25071" s="9"/>
    </row>
    <row r="25072">
      <c r="D25072" s="9"/>
      <c r="G25072" s="9"/>
      <c r="J25072" s="11"/>
      <c r="U25072" s="9"/>
      <c r="X25072" s="9"/>
    </row>
    <row r="25073">
      <c r="D25073" s="9"/>
      <c r="G25073" s="9"/>
      <c r="J25073" s="11"/>
      <c r="U25073" s="9"/>
      <c r="X25073" s="9"/>
    </row>
    <row r="25074">
      <c r="D25074" s="9"/>
      <c r="G25074" s="9"/>
      <c r="J25074" s="11"/>
      <c r="U25074" s="9"/>
      <c r="X25074" s="9"/>
    </row>
    <row r="25075">
      <c r="D25075" s="9"/>
      <c r="G25075" s="9"/>
      <c r="J25075" s="11"/>
      <c r="U25075" s="9"/>
      <c r="X25075" s="9"/>
    </row>
    <row r="25076">
      <c r="D25076" s="9"/>
      <c r="G25076" s="9"/>
      <c r="J25076" s="11"/>
      <c r="U25076" s="9"/>
      <c r="X25076" s="9"/>
    </row>
    <row r="25077">
      <c r="D25077" s="9"/>
      <c r="G25077" s="9"/>
      <c r="J25077" s="11"/>
      <c r="U25077" s="9"/>
      <c r="X25077" s="9"/>
    </row>
    <row r="25078">
      <c r="D25078" s="9"/>
      <c r="G25078" s="9"/>
      <c r="J25078" s="11"/>
      <c r="U25078" s="9"/>
      <c r="X25078" s="9"/>
    </row>
    <row r="25079">
      <c r="D25079" s="9"/>
      <c r="G25079" s="9"/>
      <c r="J25079" s="11"/>
      <c r="U25079" s="9"/>
      <c r="X25079" s="9"/>
    </row>
    <row r="25080">
      <c r="D25080" s="9"/>
      <c r="G25080" s="9"/>
      <c r="J25080" s="11"/>
      <c r="U25080" s="9"/>
      <c r="X25080" s="9"/>
    </row>
    <row r="25081">
      <c r="D25081" s="9"/>
      <c r="G25081" s="9"/>
      <c r="J25081" s="11"/>
      <c r="U25081" s="9"/>
      <c r="X25081" s="9"/>
    </row>
    <row r="25082">
      <c r="D25082" s="9"/>
      <c r="G25082" s="9"/>
      <c r="J25082" s="11"/>
      <c r="U25082" s="9"/>
      <c r="X25082" s="9"/>
    </row>
    <row r="25083">
      <c r="D25083" s="9"/>
      <c r="G25083" s="9"/>
      <c r="J25083" s="11"/>
      <c r="U25083" s="9"/>
      <c r="X25083" s="9"/>
    </row>
    <row r="25084">
      <c r="D25084" s="9"/>
      <c r="G25084" s="9"/>
      <c r="J25084" s="11"/>
      <c r="U25084" s="9"/>
      <c r="X25084" s="9"/>
    </row>
    <row r="25085">
      <c r="D25085" s="9"/>
      <c r="G25085" s="9"/>
      <c r="J25085" s="11"/>
      <c r="U25085" s="9"/>
      <c r="X25085" s="9"/>
    </row>
    <row r="25086">
      <c r="D25086" s="9"/>
      <c r="G25086" s="9"/>
      <c r="J25086" s="11"/>
      <c r="U25086" s="9"/>
      <c r="X25086" s="9"/>
    </row>
    <row r="25087">
      <c r="D25087" s="9"/>
      <c r="G25087" s="9"/>
      <c r="J25087" s="11"/>
      <c r="U25087" s="9"/>
      <c r="X25087" s="9"/>
    </row>
    <row r="25088">
      <c r="D25088" s="9"/>
      <c r="G25088" s="9"/>
      <c r="J25088" s="11"/>
      <c r="U25088" s="9"/>
      <c r="X25088" s="9"/>
    </row>
    <row r="25089">
      <c r="D25089" s="9"/>
      <c r="G25089" s="9"/>
      <c r="J25089" s="11"/>
      <c r="U25089" s="9"/>
      <c r="X25089" s="9"/>
    </row>
    <row r="25090">
      <c r="D25090" s="9"/>
      <c r="G25090" s="9"/>
      <c r="J25090" s="11"/>
      <c r="U25090" s="9"/>
      <c r="X25090" s="9"/>
    </row>
    <row r="25091">
      <c r="D25091" s="9"/>
      <c r="G25091" s="9"/>
      <c r="J25091" s="11"/>
      <c r="U25091" s="9"/>
      <c r="X25091" s="9"/>
    </row>
    <row r="25092">
      <c r="D25092" s="9"/>
      <c r="G25092" s="9"/>
      <c r="J25092" s="11"/>
      <c r="U25092" s="9"/>
      <c r="X25092" s="9"/>
    </row>
    <row r="25093">
      <c r="D25093" s="9"/>
      <c r="G25093" s="9"/>
      <c r="J25093" s="11"/>
      <c r="U25093" s="9"/>
      <c r="X25093" s="9"/>
    </row>
    <row r="25094">
      <c r="D25094" s="9"/>
      <c r="G25094" s="9"/>
      <c r="J25094" s="11"/>
      <c r="U25094" s="9"/>
      <c r="X25094" s="9"/>
    </row>
    <row r="25095">
      <c r="D25095" s="9"/>
      <c r="G25095" s="9"/>
      <c r="J25095" s="11"/>
      <c r="U25095" s="9"/>
      <c r="X25095" s="9"/>
    </row>
    <row r="25096">
      <c r="D25096" s="9"/>
      <c r="G25096" s="9"/>
      <c r="J25096" s="11"/>
      <c r="U25096" s="9"/>
      <c r="X25096" s="9"/>
    </row>
    <row r="25097">
      <c r="D25097" s="9"/>
      <c r="G25097" s="9"/>
      <c r="J25097" s="11"/>
      <c r="U25097" s="9"/>
      <c r="X25097" s="9"/>
    </row>
    <row r="25098">
      <c r="D25098" s="9"/>
      <c r="G25098" s="9"/>
      <c r="J25098" s="11"/>
      <c r="U25098" s="9"/>
      <c r="X25098" s="9"/>
    </row>
    <row r="25099">
      <c r="D25099" s="9"/>
      <c r="G25099" s="9"/>
      <c r="J25099" s="11"/>
      <c r="U25099" s="9"/>
      <c r="X25099" s="9"/>
    </row>
    <row r="25100">
      <c r="D25100" s="9"/>
      <c r="G25100" s="9"/>
      <c r="J25100" s="11"/>
      <c r="U25100" s="9"/>
      <c r="X25100" s="9"/>
    </row>
    <row r="25101">
      <c r="D25101" s="9"/>
      <c r="G25101" s="9"/>
      <c r="J25101" s="11"/>
      <c r="U25101" s="9"/>
      <c r="X25101" s="9"/>
    </row>
    <row r="25102">
      <c r="D25102" s="9"/>
      <c r="G25102" s="9"/>
      <c r="J25102" s="11"/>
      <c r="U25102" s="9"/>
      <c r="X25102" s="9"/>
    </row>
    <row r="25103">
      <c r="D25103" s="9"/>
      <c r="G25103" s="9"/>
      <c r="J25103" s="11"/>
      <c r="U25103" s="9"/>
      <c r="X25103" s="9"/>
    </row>
    <row r="25104">
      <c r="D25104" s="9"/>
      <c r="G25104" s="9"/>
      <c r="J25104" s="11"/>
      <c r="U25104" s="9"/>
      <c r="X25104" s="9"/>
    </row>
    <row r="25105">
      <c r="D25105" s="9"/>
      <c r="G25105" s="9"/>
      <c r="J25105" s="11"/>
      <c r="U25105" s="9"/>
      <c r="X25105" s="9"/>
    </row>
    <row r="25106">
      <c r="D25106" s="9"/>
      <c r="G25106" s="9"/>
      <c r="J25106" s="11"/>
      <c r="U25106" s="9"/>
      <c r="X25106" s="9"/>
    </row>
    <row r="25107">
      <c r="D25107" s="9"/>
      <c r="G25107" s="9"/>
      <c r="J25107" s="11"/>
      <c r="U25107" s="9"/>
      <c r="X25107" s="9"/>
    </row>
    <row r="25108">
      <c r="D25108" s="9"/>
      <c r="G25108" s="9"/>
      <c r="J25108" s="11"/>
      <c r="U25108" s="9"/>
      <c r="X25108" s="9"/>
    </row>
    <row r="25109">
      <c r="D25109" s="9"/>
      <c r="G25109" s="9"/>
      <c r="J25109" s="11"/>
      <c r="U25109" s="9"/>
      <c r="X25109" s="9"/>
    </row>
    <row r="25110">
      <c r="D25110" s="9"/>
      <c r="G25110" s="9"/>
      <c r="J25110" s="11"/>
      <c r="U25110" s="9"/>
      <c r="X25110" s="9"/>
    </row>
    <row r="25111">
      <c r="D25111" s="9"/>
      <c r="G25111" s="9"/>
      <c r="J25111" s="11"/>
      <c r="U25111" s="9"/>
      <c r="X25111" s="9"/>
    </row>
    <row r="25112">
      <c r="D25112" s="9"/>
      <c r="G25112" s="9"/>
      <c r="J25112" s="11"/>
      <c r="U25112" s="9"/>
      <c r="X25112" s="9"/>
    </row>
    <row r="25113">
      <c r="D25113" s="9"/>
      <c r="G25113" s="9"/>
      <c r="J25113" s="11"/>
      <c r="U25113" s="9"/>
      <c r="X25113" s="9"/>
    </row>
    <row r="25114">
      <c r="D25114" s="9"/>
      <c r="G25114" s="9"/>
      <c r="J25114" s="11"/>
      <c r="U25114" s="9"/>
      <c r="X25114" s="9"/>
    </row>
    <row r="25115">
      <c r="D25115" s="9"/>
      <c r="G25115" s="9"/>
      <c r="J25115" s="11"/>
      <c r="U25115" s="9"/>
      <c r="X25115" s="9"/>
    </row>
    <row r="25116">
      <c r="D25116" s="9"/>
      <c r="G25116" s="9"/>
      <c r="J25116" s="11"/>
      <c r="U25116" s="9"/>
      <c r="X25116" s="9"/>
    </row>
    <row r="25117">
      <c r="D25117" s="9"/>
      <c r="G25117" s="9"/>
      <c r="J25117" s="11"/>
      <c r="U25117" s="9"/>
      <c r="X25117" s="9"/>
    </row>
    <row r="25118">
      <c r="D25118" s="9"/>
      <c r="G25118" s="9"/>
      <c r="J25118" s="11"/>
      <c r="U25118" s="9"/>
      <c r="X25118" s="9"/>
    </row>
    <row r="25119">
      <c r="D25119" s="9"/>
      <c r="G25119" s="9"/>
      <c r="J25119" s="11"/>
      <c r="U25119" s="9"/>
      <c r="X25119" s="9"/>
    </row>
    <row r="25120">
      <c r="D25120" s="9"/>
      <c r="G25120" s="9"/>
      <c r="J25120" s="11"/>
      <c r="U25120" s="9"/>
      <c r="X25120" s="9"/>
    </row>
    <row r="25121">
      <c r="D25121" s="9"/>
      <c r="G25121" s="9"/>
      <c r="J25121" s="11"/>
      <c r="U25121" s="9"/>
      <c r="X25121" s="9"/>
    </row>
    <row r="25122">
      <c r="D25122" s="9"/>
      <c r="G25122" s="9"/>
      <c r="J25122" s="11"/>
      <c r="U25122" s="9"/>
      <c r="X25122" s="9"/>
    </row>
    <row r="25123">
      <c r="D25123" s="9"/>
      <c r="G25123" s="9"/>
      <c r="J25123" s="11"/>
      <c r="U25123" s="9"/>
      <c r="X25123" s="9"/>
    </row>
    <row r="25124">
      <c r="D25124" s="9"/>
      <c r="G25124" s="9"/>
      <c r="J25124" s="11"/>
      <c r="U25124" s="9"/>
      <c r="X25124" s="9"/>
    </row>
    <row r="25125">
      <c r="D25125" s="9"/>
      <c r="G25125" s="9"/>
      <c r="J25125" s="11"/>
      <c r="U25125" s="9"/>
      <c r="X25125" s="9"/>
    </row>
    <row r="25126">
      <c r="D25126" s="9"/>
      <c r="G25126" s="9"/>
      <c r="J25126" s="11"/>
      <c r="U25126" s="9"/>
      <c r="X25126" s="9"/>
    </row>
    <row r="25127">
      <c r="D25127" s="9"/>
      <c r="G25127" s="9"/>
      <c r="J25127" s="11"/>
      <c r="U25127" s="9"/>
      <c r="X25127" s="9"/>
    </row>
    <row r="25128">
      <c r="D25128" s="9"/>
      <c r="G25128" s="9"/>
      <c r="J25128" s="11"/>
      <c r="U25128" s="9"/>
      <c r="X25128" s="9"/>
    </row>
    <row r="25129">
      <c r="D25129" s="9"/>
      <c r="G25129" s="9"/>
      <c r="J25129" s="11"/>
      <c r="U25129" s="9"/>
      <c r="X25129" s="9"/>
    </row>
    <row r="25130">
      <c r="D25130" s="9"/>
      <c r="G25130" s="9"/>
      <c r="J25130" s="11"/>
      <c r="U25130" s="9"/>
      <c r="X25130" s="9"/>
    </row>
    <row r="25131">
      <c r="D25131" s="9"/>
      <c r="G25131" s="9"/>
      <c r="J25131" s="11"/>
      <c r="U25131" s="9"/>
      <c r="X25131" s="9"/>
    </row>
    <row r="25132">
      <c r="D25132" s="9"/>
      <c r="G25132" s="9"/>
      <c r="J25132" s="11"/>
      <c r="U25132" s="9"/>
      <c r="X25132" s="9"/>
    </row>
    <row r="25133">
      <c r="D25133" s="9"/>
      <c r="G25133" s="9"/>
      <c r="J25133" s="11"/>
      <c r="U25133" s="9"/>
      <c r="X25133" s="9"/>
    </row>
    <row r="25134">
      <c r="D25134" s="9"/>
      <c r="G25134" s="9"/>
      <c r="J25134" s="11"/>
      <c r="U25134" s="9"/>
      <c r="X25134" s="9"/>
    </row>
    <row r="25135">
      <c r="D25135" s="9"/>
      <c r="G25135" s="9"/>
      <c r="J25135" s="11"/>
      <c r="U25135" s="9"/>
      <c r="X25135" s="9"/>
    </row>
    <row r="25136">
      <c r="D25136" s="9"/>
      <c r="G25136" s="9"/>
      <c r="J25136" s="11"/>
      <c r="U25136" s="9"/>
      <c r="X25136" s="9"/>
    </row>
    <row r="25137">
      <c r="D25137" s="9"/>
      <c r="G25137" s="9"/>
      <c r="J25137" s="11"/>
      <c r="U25137" s="9"/>
      <c r="X25137" s="9"/>
    </row>
    <row r="25138">
      <c r="D25138" s="9"/>
      <c r="G25138" s="9"/>
      <c r="J25138" s="11"/>
      <c r="U25138" s="9"/>
      <c r="X25138" s="9"/>
    </row>
    <row r="25139">
      <c r="D25139" s="9"/>
      <c r="G25139" s="9"/>
      <c r="J25139" s="11"/>
      <c r="U25139" s="9"/>
      <c r="X25139" s="9"/>
    </row>
    <row r="25140">
      <c r="D25140" s="9"/>
      <c r="G25140" s="9"/>
      <c r="J25140" s="11"/>
      <c r="U25140" s="9"/>
      <c r="X25140" s="9"/>
    </row>
    <row r="25141">
      <c r="D25141" s="9"/>
      <c r="G25141" s="9"/>
      <c r="J25141" s="11"/>
      <c r="U25141" s="9"/>
      <c r="X25141" s="9"/>
    </row>
    <row r="25142">
      <c r="D25142" s="9"/>
      <c r="G25142" s="9"/>
      <c r="J25142" s="11"/>
      <c r="U25142" s="9"/>
      <c r="X25142" s="9"/>
    </row>
    <row r="25143">
      <c r="D25143" s="9"/>
      <c r="G25143" s="9"/>
      <c r="J25143" s="11"/>
      <c r="U25143" s="9"/>
      <c r="X25143" s="9"/>
    </row>
    <row r="25144">
      <c r="D25144" s="9"/>
      <c r="G25144" s="9"/>
      <c r="J25144" s="11"/>
      <c r="U25144" s="9"/>
      <c r="X25144" s="9"/>
    </row>
    <row r="25145">
      <c r="D25145" s="9"/>
      <c r="G25145" s="9"/>
      <c r="J25145" s="11"/>
      <c r="U25145" s="9"/>
      <c r="X25145" s="9"/>
    </row>
    <row r="25146">
      <c r="D25146" s="9"/>
      <c r="G25146" s="9"/>
      <c r="J25146" s="11"/>
      <c r="U25146" s="9"/>
      <c r="X25146" s="9"/>
    </row>
    <row r="25147">
      <c r="D25147" s="9"/>
      <c r="G25147" s="9"/>
      <c r="J25147" s="11"/>
      <c r="U25147" s="9"/>
      <c r="X25147" s="9"/>
    </row>
    <row r="25148">
      <c r="D25148" s="9"/>
      <c r="G25148" s="9"/>
      <c r="J25148" s="11"/>
      <c r="U25148" s="9"/>
      <c r="X25148" s="9"/>
    </row>
    <row r="25149">
      <c r="D25149" s="9"/>
      <c r="G25149" s="9"/>
      <c r="J25149" s="11"/>
      <c r="U25149" s="9"/>
      <c r="X25149" s="9"/>
    </row>
    <row r="25150">
      <c r="D25150" s="9"/>
      <c r="G25150" s="9"/>
      <c r="J25150" s="11"/>
      <c r="U25150" s="9"/>
      <c r="X25150" s="9"/>
    </row>
    <row r="25151">
      <c r="D25151" s="9"/>
      <c r="G25151" s="9"/>
      <c r="J25151" s="11"/>
      <c r="U25151" s="9"/>
      <c r="X25151" s="9"/>
    </row>
    <row r="25152">
      <c r="D25152" s="9"/>
      <c r="G25152" s="9"/>
      <c r="J25152" s="11"/>
      <c r="U25152" s="9"/>
      <c r="X25152" s="9"/>
    </row>
    <row r="25153">
      <c r="D25153" s="9"/>
      <c r="G25153" s="9"/>
      <c r="J25153" s="11"/>
      <c r="U25153" s="9"/>
      <c r="X25153" s="9"/>
    </row>
    <row r="25154">
      <c r="D25154" s="9"/>
      <c r="G25154" s="9"/>
      <c r="J25154" s="11"/>
      <c r="U25154" s="9"/>
      <c r="X25154" s="9"/>
    </row>
    <row r="25155">
      <c r="D25155" s="9"/>
      <c r="G25155" s="9"/>
      <c r="J25155" s="11"/>
      <c r="U25155" s="9"/>
      <c r="X25155" s="9"/>
    </row>
    <row r="25156">
      <c r="D25156" s="9"/>
      <c r="G25156" s="9"/>
      <c r="J25156" s="11"/>
      <c r="U25156" s="9"/>
      <c r="X25156" s="9"/>
    </row>
    <row r="25157">
      <c r="D25157" s="9"/>
      <c r="G25157" s="9"/>
      <c r="J25157" s="11"/>
      <c r="U25157" s="9"/>
      <c r="X25157" s="9"/>
    </row>
    <row r="25158">
      <c r="D25158" s="9"/>
      <c r="G25158" s="9"/>
      <c r="J25158" s="11"/>
      <c r="U25158" s="9"/>
      <c r="X25158" s="9"/>
    </row>
    <row r="25159">
      <c r="D25159" s="9"/>
      <c r="G25159" s="9"/>
      <c r="J25159" s="11"/>
      <c r="U25159" s="9"/>
      <c r="X25159" s="9"/>
    </row>
    <row r="25160">
      <c r="D25160" s="9"/>
      <c r="G25160" s="9"/>
      <c r="J25160" s="11"/>
      <c r="U25160" s="9"/>
      <c r="X25160" s="9"/>
    </row>
    <row r="25161">
      <c r="D25161" s="9"/>
      <c r="G25161" s="9"/>
      <c r="J25161" s="11"/>
      <c r="U25161" s="9"/>
      <c r="X25161" s="9"/>
    </row>
    <row r="25162">
      <c r="D25162" s="9"/>
      <c r="G25162" s="9"/>
      <c r="J25162" s="11"/>
      <c r="U25162" s="9"/>
      <c r="X25162" s="9"/>
    </row>
    <row r="25163">
      <c r="D25163" s="9"/>
      <c r="G25163" s="9"/>
      <c r="J25163" s="11"/>
      <c r="U25163" s="9"/>
      <c r="X25163" s="9"/>
    </row>
    <row r="25164">
      <c r="D25164" s="9"/>
      <c r="G25164" s="9"/>
      <c r="J25164" s="11"/>
      <c r="U25164" s="9"/>
      <c r="X25164" s="9"/>
    </row>
    <row r="25165">
      <c r="D25165" s="9"/>
      <c r="G25165" s="9"/>
      <c r="J25165" s="11"/>
      <c r="U25165" s="9"/>
      <c r="X25165" s="9"/>
    </row>
    <row r="25166">
      <c r="D25166" s="9"/>
      <c r="G25166" s="9"/>
      <c r="J25166" s="11"/>
      <c r="U25166" s="9"/>
      <c r="X25166" s="9"/>
    </row>
    <row r="25167">
      <c r="D25167" s="9"/>
      <c r="G25167" s="9"/>
      <c r="J25167" s="11"/>
      <c r="U25167" s="9"/>
      <c r="X25167" s="9"/>
    </row>
    <row r="25168">
      <c r="D25168" s="9"/>
      <c r="G25168" s="9"/>
      <c r="J25168" s="11"/>
      <c r="U25168" s="9"/>
      <c r="X25168" s="9"/>
    </row>
    <row r="25169">
      <c r="D25169" s="9"/>
      <c r="G25169" s="9"/>
      <c r="J25169" s="11"/>
      <c r="U25169" s="9"/>
      <c r="X25169" s="9"/>
    </row>
    <row r="25170">
      <c r="D25170" s="9"/>
      <c r="G25170" s="9"/>
      <c r="J25170" s="11"/>
      <c r="U25170" s="9"/>
      <c r="X25170" s="9"/>
    </row>
    <row r="25171">
      <c r="D25171" s="9"/>
      <c r="G25171" s="9"/>
      <c r="J25171" s="11"/>
      <c r="U25171" s="9"/>
      <c r="X25171" s="9"/>
    </row>
    <row r="25172">
      <c r="D25172" s="9"/>
      <c r="G25172" s="9"/>
      <c r="J25172" s="11"/>
      <c r="U25172" s="9"/>
      <c r="X25172" s="9"/>
    </row>
    <row r="25173">
      <c r="D25173" s="9"/>
      <c r="G25173" s="9"/>
      <c r="J25173" s="11"/>
      <c r="U25173" s="9"/>
      <c r="X25173" s="9"/>
    </row>
    <row r="25174">
      <c r="D25174" s="9"/>
      <c r="G25174" s="9"/>
      <c r="J25174" s="11"/>
      <c r="U25174" s="9"/>
      <c r="X25174" s="9"/>
    </row>
    <row r="25175">
      <c r="D25175" s="9"/>
      <c r="G25175" s="9"/>
      <c r="J25175" s="11"/>
      <c r="U25175" s="9"/>
      <c r="X25175" s="9"/>
    </row>
    <row r="25176">
      <c r="D25176" s="9"/>
      <c r="G25176" s="9"/>
      <c r="J25176" s="11"/>
      <c r="U25176" s="9"/>
      <c r="X25176" s="9"/>
    </row>
    <row r="25177">
      <c r="D25177" s="9"/>
      <c r="G25177" s="9"/>
      <c r="J25177" s="11"/>
      <c r="U25177" s="9"/>
      <c r="X25177" s="9"/>
    </row>
    <row r="25178">
      <c r="D25178" s="9"/>
      <c r="G25178" s="9"/>
      <c r="J25178" s="11"/>
      <c r="U25178" s="9"/>
      <c r="X25178" s="9"/>
    </row>
    <row r="25179">
      <c r="D25179" s="9"/>
      <c r="G25179" s="9"/>
      <c r="J25179" s="11"/>
      <c r="U25179" s="9"/>
      <c r="X25179" s="9"/>
    </row>
    <row r="25180">
      <c r="D25180" s="9"/>
      <c r="G25180" s="9"/>
      <c r="J25180" s="11"/>
      <c r="U25180" s="9"/>
      <c r="X25180" s="9"/>
    </row>
    <row r="25181">
      <c r="D25181" s="9"/>
      <c r="G25181" s="9"/>
      <c r="J25181" s="11"/>
      <c r="U25181" s="9"/>
      <c r="X25181" s="9"/>
    </row>
    <row r="25182">
      <c r="D25182" s="9"/>
      <c r="G25182" s="9"/>
      <c r="J25182" s="11"/>
      <c r="U25182" s="9"/>
      <c r="X25182" s="9"/>
    </row>
    <row r="25183">
      <c r="D25183" s="9"/>
      <c r="G25183" s="9"/>
      <c r="J25183" s="11"/>
      <c r="U25183" s="9"/>
      <c r="X25183" s="9"/>
    </row>
    <row r="25184">
      <c r="D25184" s="9"/>
      <c r="G25184" s="9"/>
      <c r="J25184" s="11"/>
      <c r="U25184" s="9"/>
      <c r="X25184" s="9"/>
    </row>
    <row r="25185">
      <c r="D25185" s="9"/>
      <c r="G25185" s="9"/>
      <c r="J25185" s="11"/>
      <c r="U25185" s="9"/>
      <c r="X25185" s="9"/>
    </row>
    <row r="25186">
      <c r="D25186" s="9"/>
      <c r="G25186" s="9"/>
      <c r="J25186" s="11"/>
      <c r="U25186" s="9"/>
      <c r="X25186" s="9"/>
    </row>
    <row r="25187">
      <c r="D25187" s="9"/>
      <c r="G25187" s="9"/>
      <c r="J25187" s="11"/>
      <c r="U25187" s="9"/>
      <c r="X25187" s="9"/>
    </row>
    <row r="25188">
      <c r="D25188" s="9"/>
      <c r="G25188" s="9"/>
      <c r="J25188" s="11"/>
      <c r="U25188" s="9"/>
      <c r="X25188" s="9"/>
    </row>
    <row r="25189">
      <c r="D25189" s="9"/>
      <c r="G25189" s="9"/>
      <c r="J25189" s="11"/>
      <c r="U25189" s="9"/>
      <c r="X25189" s="9"/>
    </row>
    <row r="25190">
      <c r="D25190" s="9"/>
      <c r="G25190" s="9"/>
      <c r="J25190" s="11"/>
      <c r="U25190" s="9"/>
      <c r="X25190" s="9"/>
    </row>
    <row r="25191">
      <c r="D25191" s="9"/>
      <c r="G25191" s="9"/>
      <c r="J25191" s="11"/>
      <c r="U25191" s="9"/>
      <c r="X25191" s="9"/>
    </row>
    <row r="25192">
      <c r="D25192" s="9"/>
      <c r="G25192" s="9"/>
      <c r="J25192" s="11"/>
      <c r="U25192" s="9"/>
      <c r="X25192" s="9"/>
    </row>
    <row r="25193">
      <c r="D25193" s="9"/>
      <c r="G25193" s="9"/>
      <c r="J25193" s="11"/>
      <c r="U25193" s="9"/>
      <c r="X25193" s="9"/>
    </row>
    <row r="25194">
      <c r="D25194" s="9"/>
      <c r="G25194" s="9"/>
      <c r="J25194" s="11"/>
      <c r="U25194" s="9"/>
      <c r="X25194" s="9"/>
    </row>
    <row r="25195">
      <c r="D25195" s="9"/>
      <c r="G25195" s="9"/>
      <c r="J25195" s="11"/>
      <c r="U25195" s="9"/>
      <c r="X25195" s="9"/>
    </row>
    <row r="25196">
      <c r="D25196" s="9"/>
      <c r="G25196" s="9"/>
      <c r="J25196" s="11"/>
      <c r="U25196" s="9"/>
      <c r="X25196" s="9"/>
    </row>
    <row r="25197">
      <c r="D25197" s="9"/>
      <c r="G25197" s="9"/>
      <c r="J25197" s="11"/>
      <c r="U25197" s="9"/>
      <c r="X25197" s="9"/>
    </row>
    <row r="25198">
      <c r="D25198" s="9"/>
      <c r="G25198" s="9"/>
      <c r="J25198" s="11"/>
      <c r="U25198" s="9"/>
      <c r="X25198" s="9"/>
    </row>
    <row r="25199">
      <c r="D25199" s="9"/>
      <c r="G25199" s="9"/>
      <c r="J25199" s="11"/>
      <c r="U25199" s="9"/>
      <c r="X25199" s="9"/>
    </row>
    <row r="25200">
      <c r="D25200" s="9"/>
      <c r="G25200" s="9"/>
      <c r="J25200" s="11"/>
      <c r="U25200" s="9"/>
      <c r="X25200" s="9"/>
    </row>
    <row r="25201">
      <c r="D25201" s="9"/>
      <c r="G25201" s="9"/>
      <c r="J25201" s="11"/>
      <c r="U25201" s="9"/>
      <c r="X25201" s="9"/>
    </row>
    <row r="25202">
      <c r="D25202" s="9"/>
      <c r="G25202" s="9"/>
      <c r="J25202" s="11"/>
      <c r="U25202" s="9"/>
      <c r="X25202" s="9"/>
    </row>
    <row r="25203">
      <c r="D25203" s="9"/>
      <c r="G25203" s="9"/>
      <c r="J25203" s="11"/>
      <c r="U25203" s="9"/>
      <c r="X25203" s="9"/>
    </row>
    <row r="25204">
      <c r="D25204" s="9"/>
      <c r="G25204" s="9"/>
      <c r="J25204" s="11"/>
      <c r="U25204" s="9"/>
      <c r="X25204" s="9"/>
    </row>
    <row r="25205">
      <c r="D25205" s="9"/>
      <c r="G25205" s="9"/>
      <c r="J25205" s="11"/>
      <c r="U25205" s="9"/>
      <c r="X25205" s="9"/>
    </row>
    <row r="25206">
      <c r="D25206" s="9"/>
      <c r="G25206" s="9"/>
      <c r="J25206" s="11"/>
      <c r="U25206" s="9"/>
      <c r="X25206" s="9"/>
    </row>
    <row r="25207">
      <c r="D25207" s="9"/>
      <c r="G25207" s="9"/>
      <c r="J25207" s="11"/>
      <c r="U25207" s="9"/>
      <c r="X25207" s="9"/>
    </row>
    <row r="25208">
      <c r="D25208" s="9"/>
      <c r="G25208" s="9"/>
      <c r="J25208" s="11"/>
      <c r="U25208" s="9"/>
      <c r="X25208" s="9"/>
    </row>
    <row r="25209">
      <c r="D25209" s="9"/>
      <c r="G25209" s="9"/>
      <c r="J25209" s="11"/>
      <c r="U25209" s="9"/>
      <c r="X25209" s="9"/>
    </row>
    <row r="25210">
      <c r="D25210" s="9"/>
      <c r="G25210" s="9"/>
      <c r="J25210" s="11"/>
      <c r="U25210" s="9"/>
      <c r="X25210" s="9"/>
    </row>
    <row r="25211">
      <c r="D25211" s="9"/>
      <c r="G25211" s="9"/>
      <c r="J25211" s="11"/>
      <c r="U25211" s="9"/>
      <c r="X25211" s="9"/>
    </row>
    <row r="25212">
      <c r="D25212" s="9"/>
      <c r="G25212" s="9"/>
      <c r="J25212" s="11"/>
      <c r="U25212" s="9"/>
      <c r="X25212" s="9"/>
    </row>
    <row r="25213">
      <c r="D25213" s="9"/>
      <c r="G25213" s="9"/>
      <c r="J25213" s="11"/>
      <c r="U25213" s="9"/>
      <c r="X25213" s="9"/>
    </row>
    <row r="25214">
      <c r="D25214" s="9"/>
      <c r="G25214" s="9"/>
      <c r="J25214" s="11"/>
      <c r="U25214" s="9"/>
      <c r="X25214" s="9"/>
    </row>
    <row r="25215">
      <c r="D25215" s="9"/>
      <c r="G25215" s="9"/>
      <c r="J25215" s="11"/>
      <c r="U25215" s="9"/>
      <c r="X25215" s="9"/>
    </row>
    <row r="25216">
      <c r="D25216" s="9"/>
      <c r="G25216" s="9"/>
      <c r="J25216" s="11"/>
      <c r="U25216" s="9"/>
      <c r="X25216" s="9"/>
    </row>
    <row r="25217">
      <c r="D25217" s="9"/>
      <c r="G25217" s="9"/>
      <c r="J25217" s="11"/>
      <c r="U25217" s="9"/>
      <c r="X25217" s="9"/>
    </row>
    <row r="25218">
      <c r="D25218" s="9"/>
      <c r="G25218" s="9"/>
      <c r="J25218" s="11"/>
      <c r="U25218" s="9"/>
      <c r="X25218" s="9"/>
    </row>
    <row r="25219">
      <c r="D25219" s="9"/>
      <c r="G25219" s="9"/>
      <c r="J25219" s="11"/>
      <c r="U25219" s="9"/>
      <c r="X25219" s="9"/>
    </row>
    <row r="25220">
      <c r="D25220" s="9"/>
      <c r="G25220" s="9"/>
      <c r="J25220" s="11"/>
      <c r="U25220" s="9"/>
      <c r="X25220" s="9"/>
    </row>
    <row r="25221">
      <c r="D25221" s="9"/>
      <c r="G25221" s="9"/>
      <c r="J25221" s="11"/>
      <c r="U25221" s="9"/>
      <c r="X25221" s="9"/>
    </row>
    <row r="25222">
      <c r="D25222" s="9"/>
      <c r="G25222" s="9"/>
      <c r="J25222" s="11"/>
      <c r="U25222" s="9"/>
      <c r="X25222" s="9"/>
    </row>
    <row r="25223">
      <c r="D25223" s="9"/>
      <c r="G25223" s="9"/>
      <c r="J25223" s="11"/>
      <c r="U25223" s="9"/>
      <c r="X25223" s="9"/>
    </row>
    <row r="25224">
      <c r="D25224" s="9"/>
      <c r="G25224" s="9"/>
      <c r="J25224" s="11"/>
      <c r="U25224" s="9"/>
      <c r="X25224" s="9"/>
    </row>
    <row r="25225">
      <c r="D25225" s="9"/>
      <c r="G25225" s="9"/>
      <c r="J25225" s="11"/>
      <c r="U25225" s="9"/>
      <c r="X25225" s="9"/>
    </row>
    <row r="25226">
      <c r="D25226" s="9"/>
      <c r="G25226" s="9"/>
      <c r="J25226" s="11"/>
      <c r="U25226" s="9"/>
      <c r="X25226" s="9"/>
    </row>
    <row r="25227">
      <c r="D25227" s="9"/>
      <c r="G25227" s="9"/>
      <c r="J25227" s="11"/>
      <c r="U25227" s="9"/>
      <c r="X25227" s="9"/>
    </row>
    <row r="25228">
      <c r="D25228" s="9"/>
      <c r="G25228" s="9"/>
      <c r="J25228" s="11"/>
      <c r="U25228" s="9"/>
      <c r="X25228" s="9"/>
    </row>
    <row r="25229">
      <c r="D25229" s="9"/>
      <c r="G25229" s="9"/>
      <c r="J25229" s="11"/>
      <c r="U25229" s="9"/>
      <c r="X25229" s="9"/>
    </row>
    <row r="25230">
      <c r="D25230" s="9"/>
      <c r="G25230" s="9"/>
      <c r="J25230" s="11"/>
      <c r="U25230" s="9"/>
      <c r="X25230" s="9"/>
    </row>
    <row r="25231">
      <c r="D25231" s="9"/>
      <c r="G25231" s="9"/>
      <c r="J25231" s="11"/>
      <c r="U25231" s="9"/>
      <c r="X25231" s="9"/>
    </row>
    <row r="25232">
      <c r="D25232" s="9"/>
      <c r="G25232" s="9"/>
      <c r="J25232" s="11"/>
      <c r="U25232" s="9"/>
      <c r="X25232" s="9"/>
    </row>
    <row r="25233">
      <c r="D25233" s="9"/>
      <c r="G25233" s="9"/>
      <c r="J25233" s="11"/>
      <c r="U25233" s="9"/>
      <c r="X25233" s="9"/>
    </row>
    <row r="25234">
      <c r="D25234" s="9"/>
      <c r="G25234" s="9"/>
      <c r="J25234" s="11"/>
      <c r="U25234" s="9"/>
      <c r="X25234" s="9"/>
    </row>
    <row r="25235">
      <c r="D25235" s="9"/>
      <c r="G25235" s="9"/>
      <c r="J25235" s="11"/>
      <c r="U25235" s="9"/>
      <c r="X25235" s="9"/>
    </row>
    <row r="25236">
      <c r="D25236" s="9"/>
      <c r="G25236" s="9"/>
      <c r="J25236" s="11"/>
      <c r="U25236" s="9"/>
      <c r="X25236" s="9"/>
    </row>
    <row r="25237">
      <c r="D25237" s="9"/>
      <c r="G25237" s="9"/>
      <c r="J25237" s="11"/>
      <c r="U25237" s="9"/>
      <c r="X25237" s="9"/>
    </row>
    <row r="25238">
      <c r="D25238" s="9"/>
      <c r="G25238" s="9"/>
      <c r="J25238" s="11"/>
      <c r="U25238" s="9"/>
      <c r="X25238" s="9"/>
    </row>
    <row r="25239">
      <c r="D25239" s="9"/>
      <c r="G25239" s="9"/>
      <c r="J25239" s="11"/>
      <c r="U25239" s="9"/>
      <c r="X25239" s="9"/>
    </row>
    <row r="25240">
      <c r="D25240" s="9"/>
      <c r="G25240" s="9"/>
      <c r="J25240" s="11"/>
      <c r="U25240" s="9"/>
      <c r="X25240" s="9"/>
    </row>
    <row r="25241">
      <c r="D25241" s="9"/>
      <c r="G25241" s="9"/>
      <c r="J25241" s="11"/>
      <c r="U25241" s="9"/>
      <c r="X25241" s="9"/>
    </row>
    <row r="25242">
      <c r="D25242" s="9"/>
      <c r="G25242" s="9"/>
      <c r="J25242" s="11"/>
      <c r="U25242" s="9"/>
      <c r="X25242" s="9"/>
    </row>
    <row r="25243">
      <c r="D25243" s="9"/>
      <c r="G25243" s="9"/>
      <c r="J25243" s="11"/>
      <c r="U25243" s="9"/>
      <c r="X25243" s="9"/>
    </row>
    <row r="25244">
      <c r="D25244" s="9"/>
      <c r="G25244" s="9"/>
      <c r="J25244" s="11"/>
      <c r="U25244" s="9"/>
      <c r="X25244" s="9"/>
    </row>
    <row r="25245">
      <c r="D25245" s="9"/>
      <c r="G25245" s="9"/>
      <c r="J25245" s="11"/>
      <c r="U25245" s="9"/>
      <c r="X25245" s="9"/>
    </row>
    <row r="25246">
      <c r="D25246" s="9"/>
      <c r="G25246" s="9"/>
      <c r="J25246" s="11"/>
      <c r="U25246" s="9"/>
      <c r="X25246" s="9"/>
    </row>
    <row r="25247">
      <c r="D25247" s="9"/>
      <c r="G25247" s="9"/>
      <c r="J25247" s="11"/>
      <c r="U25247" s="9"/>
      <c r="X25247" s="9"/>
    </row>
    <row r="25248">
      <c r="D25248" s="9"/>
      <c r="G25248" s="9"/>
      <c r="J25248" s="11"/>
      <c r="U25248" s="9"/>
      <c r="X25248" s="9"/>
    </row>
    <row r="25249">
      <c r="D25249" s="9"/>
      <c r="G25249" s="9"/>
      <c r="J25249" s="11"/>
      <c r="U25249" s="9"/>
      <c r="X25249" s="9"/>
    </row>
    <row r="25250">
      <c r="D25250" s="9"/>
      <c r="G25250" s="9"/>
      <c r="J25250" s="11"/>
      <c r="U25250" s="9"/>
      <c r="X25250" s="9"/>
    </row>
    <row r="25251">
      <c r="D25251" s="9"/>
      <c r="G25251" s="9"/>
      <c r="J25251" s="11"/>
      <c r="U25251" s="9"/>
      <c r="X25251" s="9"/>
    </row>
    <row r="25252">
      <c r="D25252" s="9"/>
      <c r="G25252" s="9"/>
      <c r="J25252" s="11"/>
      <c r="U25252" s="9"/>
      <c r="X25252" s="9"/>
    </row>
    <row r="25253">
      <c r="D25253" s="9"/>
      <c r="G25253" s="9"/>
      <c r="J25253" s="11"/>
      <c r="U25253" s="9"/>
      <c r="X25253" s="9"/>
    </row>
    <row r="25254">
      <c r="D25254" s="9"/>
      <c r="G25254" s="9"/>
      <c r="J25254" s="11"/>
      <c r="U25254" s="9"/>
      <c r="X25254" s="9"/>
    </row>
    <row r="25255">
      <c r="D25255" s="9"/>
      <c r="G25255" s="9"/>
      <c r="J25255" s="11"/>
      <c r="U25255" s="9"/>
      <c r="X25255" s="9"/>
    </row>
    <row r="25256">
      <c r="D25256" s="9"/>
      <c r="G25256" s="9"/>
      <c r="J25256" s="11"/>
      <c r="U25256" s="9"/>
      <c r="X25256" s="9"/>
    </row>
    <row r="25257">
      <c r="D25257" s="9"/>
      <c r="G25257" s="9"/>
      <c r="J25257" s="11"/>
      <c r="U25257" s="9"/>
      <c r="X25257" s="9"/>
    </row>
    <row r="25258">
      <c r="D25258" s="9"/>
      <c r="G25258" s="9"/>
      <c r="J25258" s="11"/>
      <c r="U25258" s="9"/>
      <c r="X25258" s="9"/>
    </row>
    <row r="25259">
      <c r="D25259" s="9"/>
      <c r="G25259" s="9"/>
      <c r="J25259" s="11"/>
      <c r="U25259" s="9"/>
      <c r="X25259" s="9"/>
    </row>
    <row r="25260">
      <c r="D25260" s="9"/>
      <c r="G25260" s="9"/>
      <c r="J25260" s="11"/>
      <c r="U25260" s="9"/>
      <c r="X25260" s="9"/>
    </row>
    <row r="25261">
      <c r="D25261" s="9"/>
      <c r="G25261" s="9"/>
      <c r="J25261" s="11"/>
      <c r="U25261" s="9"/>
      <c r="X25261" s="9"/>
    </row>
    <row r="25262">
      <c r="D25262" s="9"/>
      <c r="G25262" s="9"/>
      <c r="J25262" s="11"/>
      <c r="U25262" s="9"/>
      <c r="X25262" s="9"/>
    </row>
    <row r="25263">
      <c r="D25263" s="9"/>
      <c r="G25263" s="9"/>
      <c r="J25263" s="11"/>
      <c r="U25263" s="9"/>
      <c r="X25263" s="9"/>
    </row>
    <row r="25264">
      <c r="D25264" s="9"/>
      <c r="G25264" s="9"/>
      <c r="J25264" s="11"/>
      <c r="U25264" s="9"/>
      <c r="X25264" s="9"/>
    </row>
    <row r="25265">
      <c r="D25265" s="9"/>
      <c r="G25265" s="9"/>
      <c r="J25265" s="11"/>
      <c r="U25265" s="9"/>
      <c r="X25265" s="9"/>
    </row>
    <row r="25266">
      <c r="D25266" s="9"/>
      <c r="G25266" s="9"/>
      <c r="J25266" s="11"/>
      <c r="U25266" s="9"/>
      <c r="X25266" s="9"/>
    </row>
    <row r="25267">
      <c r="D25267" s="9"/>
      <c r="G25267" s="9"/>
      <c r="J25267" s="11"/>
      <c r="U25267" s="9"/>
      <c r="X25267" s="9"/>
    </row>
    <row r="25268">
      <c r="D25268" s="9"/>
      <c r="G25268" s="9"/>
      <c r="J25268" s="11"/>
      <c r="U25268" s="9"/>
      <c r="X25268" s="9"/>
    </row>
    <row r="25269">
      <c r="D25269" s="9"/>
      <c r="G25269" s="9"/>
      <c r="J25269" s="11"/>
      <c r="U25269" s="9"/>
      <c r="X25269" s="9"/>
    </row>
    <row r="25270">
      <c r="D25270" s="9"/>
      <c r="G25270" s="9"/>
      <c r="J25270" s="11"/>
      <c r="U25270" s="9"/>
      <c r="X25270" s="9"/>
    </row>
    <row r="25271">
      <c r="D25271" s="9"/>
      <c r="G25271" s="9"/>
      <c r="J25271" s="11"/>
      <c r="U25271" s="9"/>
      <c r="X25271" s="9"/>
    </row>
    <row r="25272">
      <c r="D25272" s="9"/>
      <c r="G25272" s="9"/>
      <c r="J25272" s="11"/>
      <c r="U25272" s="9"/>
      <c r="X25272" s="9"/>
    </row>
    <row r="25273">
      <c r="D25273" s="9"/>
      <c r="G25273" s="9"/>
      <c r="J25273" s="11"/>
      <c r="U25273" s="9"/>
      <c r="X25273" s="9"/>
    </row>
    <row r="25274">
      <c r="D25274" s="9"/>
      <c r="G25274" s="9"/>
      <c r="J25274" s="11"/>
      <c r="U25274" s="9"/>
      <c r="X25274" s="9"/>
    </row>
    <row r="25275">
      <c r="D25275" s="9"/>
      <c r="G25275" s="9"/>
      <c r="J25275" s="11"/>
      <c r="U25275" s="9"/>
      <c r="X25275" s="9"/>
    </row>
    <row r="25276">
      <c r="D25276" s="9"/>
      <c r="G25276" s="9"/>
      <c r="J25276" s="11"/>
      <c r="U25276" s="9"/>
      <c r="X25276" s="9"/>
    </row>
    <row r="25277">
      <c r="D25277" s="9"/>
      <c r="G25277" s="9"/>
      <c r="J25277" s="11"/>
      <c r="U25277" s="9"/>
      <c r="X25277" s="9"/>
    </row>
    <row r="25278">
      <c r="D25278" s="9"/>
      <c r="G25278" s="9"/>
      <c r="J25278" s="11"/>
      <c r="U25278" s="9"/>
      <c r="X25278" s="9"/>
    </row>
    <row r="25279">
      <c r="D25279" s="9"/>
      <c r="G25279" s="9"/>
      <c r="J25279" s="11"/>
      <c r="U25279" s="9"/>
      <c r="X25279" s="9"/>
    </row>
    <row r="25280">
      <c r="D25280" s="9"/>
      <c r="G25280" s="9"/>
      <c r="J25280" s="11"/>
      <c r="U25280" s="9"/>
      <c r="X25280" s="9"/>
    </row>
    <row r="25281">
      <c r="D25281" s="9"/>
      <c r="G25281" s="9"/>
      <c r="J25281" s="11"/>
      <c r="U25281" s="9"/>
      <c r="X25281" s="9"/>
    </row>
    <row r="25282">
      <c r="D25282" s="9"/>
      <c r="G25282" s="9"/>
      <c r="J25282" s="11"/>
      <c r="U25282" s="9"/>
      <c r="X25282" s="9"/>
    </row>
    <row r="25283">
      <c r="D25283" s="9"/>
      <c r="G25283" s="9"/>
      <c r="J25283" s="11"/>
      <c r="U25283" s="9"/>
      <c r="X25283" s="9"/>
    </row>
    <row r="25284">
      <c r="D25284" s="9"/>
      <c r="G25284" s="9"/>
      <c r="J25284" s="11"/>
      <c r="U25284" s="9"/>
      <c r="X25284" s="9"/>
    </row>
    <row r="25285">
      <c r="D25285" s="9"/>
      <c r="G25285" s="9"/>
      <c r="J25285" s="11"/>
      <c r="U25285" s="9"/>
      <c r="X25285" s="9"/>
    </row>
    <row r="25286">
      <c r="D25286" s="9"/>
      <c r="G25286" s="9"/>
      <c r="J25286" s="11"/>
      <c r="U25286" s="9"/>
      <c r="X25286" s="9"/>
    </row>
    <row r="25287">
      <c r="D25287" s="9"/>
      <c r="G25287" s="9"/>
      <c r="J25287" s="11"/>
      <c r="U25287" s="9"/>
      <c r="X25287" s="9"/>
    </row>
    <row r="25288">
      <c r="D25288" s="9"/>
      <c r="G25288" s="9"/>
      <c r="J25288" s="11"/>
      <c r="U25288" s="9"/>
      <c r="X25288" s="9"/>
    </row>
    <row r="25289">
      <c r="D25289" s="9"/>
      <c r="G25289" s="9"/>
      <c r="J25289" s="11"/>
      <c r="U25289" s="9"/>
      <c r="X25289" s="9"/>
    </row>
    <row r="25290">
      <c r="D25290" s="9"/>
      <c r="G25290" s="9"/>
      <c r="J25290" s="11"/>
      <c r="U25290" s="9"/>
      <c r="X25290" s="9"/>
    </row>
    <row r="25291">
      <c r="D25291" s="9"/>
      <c r="G25291" s="9"/>
      <c r="J25291" s="11"/>
      <c r="U25291" s="9"/>
      <c r="X25291" s="9"/>
    </row>
    <row r="25292">
      <c r="D25292" s="9"/>
      <c r="G25292" s="9"/>
      <c r="J25292" s="11"/>
      <c r="U25292" s="9"/>
      <c r="X25292" s="9"/>
    </row>
    <row r="25293">
      <c r="D25293" s="9"/>
      <c r="G25293" s="9"/>
      <c r="J25293" s="11"/>
      <c r="U25293" s="9"/>
      <c r="X25293" s="9"/>
    </row>
    <row r="25294">
      <c r="D25294" s="9"/>
      <c r="G25294" s="9"/>
      <c r="J25294" s="11"/>
      <c r="U25294" s="9"/>
      <c r="X25294" s="9"/>
    </row>
    <row r="25295">
      <c r="D25295" s="9"/>
      <c r="G25295" s="9"/>
      <c r="J25295" s="11"/>
      <c r="U25295" s="9"/>
      <c r="X25295" s="9"/>
    </row>
    <row r="25296">
      <c r="D25296" s="9"/>
      <c r="G25296" s="9"/>
      <c r="J25296" s="11"/>
      <c r="U25296" s="9"/>
      <c r="X25296" s="9"/>
    </row>
    <row r="25297">
      <c r="D25297" s="9"/>
      <c r="G25297" s="9"/>
      <c r="J25297" s="11"/>
      <c r="U25297" s="9"/>
      <c r="X25297" s="9"/>
    </row>
    <row r="25298">
      <c r="D25298" s="9"/>
      <c r="G25298" s="9"/>
      <c r="J25298" s="11"/>
      <c r="U25298" s="9"/>
      <c r="X25298" s="9"/>
    </row>
    <row r="25299">
      <c r="D25299" s="9"/>
      <c r="G25299" s="9"/>
      <c r="J25299" s="11"/>
      <c r="U25299" s="9"/>
      <c r="X25299" s="9"/>
    </row>
    <row r="25300">
      <c r="D25300" s="9"/>
      <c r="G25300" s="9"/>
      <c r="J25300" s="11"/>
      <c r="U25300" s="9"/>
      <c r="X25300" s="9"/>
    </row>
    <row r="25301">
      <c r="D25301" s="9"/>
      <c r="G25301" s="9"/>
      <c r="J25301" s="11"/>
      <c r="U25301" s="9"/>
      <c r="X25301" s="9"/>
    </row>
    <row r="25302">
      <c r="D25302" s="9"/>
      <c r="G25302" s="9"/>
      <c r="J25302" s="11"/>
      <c r="U25302" s="9"/>
      <c r="X25302" s="9"/>
    </row>
    <row r="25303">
      <c r="D25303" s="9"/>
      <c r="G25303" s="9"/>
      <c r="J25303" s="11"/>
      <c r="U25303" s="9"/>
      <c r="X25303" s="9"/>
    </row>
    <row r="25304">
      <c r="D25304" s="9"/>
      <c r="G25304" s="9"/>
      <c r="J25304" s="11"/>
      <c r="U25304" s="9"/>
      <c r="X25304" s="9"/>
    </row>
    <row r="25305">
      <c r="D25305" s="9"/>
      <c r="G25305" s="9"/>
      <c r="J25305" s="11"/>
      <c r="U25305" s="9"/>
      <c r="X25305" s="9"/>
    </row>
    <row r="25306">
      <c r="D25306" s="9"/>
      <c r="G25306" s="9"/>
      <c r="J25306" s="11"/>
      <c r="U25306" s="9"/>
      <c r="X25306" s="9"/>
    </row>
    <row r="25307">
      <c r="D25307" s="9"/>
      <c r="G25307" s="9"/>
      <c r="J25307" s="11"/>
      <c r="U25307" s="9"/>
      <c r="X25307" s="9"/>
    </row>
    <row r="25308">
      <c r="D25308" s="9"/>
      <c r="G25308" s="9"/>
      <c r="J25308" s="11"/>
      <c r="U25308" s="9"/>
      <c r="X25308" s="9"/>
    </row>
    <row r="25309">
      <c r="D25309" s="9"/>
      <c r="G25309" s="9"/>
      <c r="J25309" s="11"/>
      <c r="U25309" s="9"/>
      <c r="X25309" s="9"/>
    </row>
    <row r="25310">
      <c r="D25310" s="9"/>
      <c r="G25310" s="9"/>
      <c r="J25310" s="11"/>
      <c r="U25310" s="9"/>
      <c r="X25310" s="9"/>
    </row>
    <row r="25311">
      <c r="D25311" s="9"/>
      <c r="G25311" s="9"/>
      <c r="J25311" s="11"/>
      <c r="U25311" s="9"/>
      <c r="X25311" s="9"/>
    </row>
    <row r="25312">
      <c r="D25312" s="9"/>
      <c r="G25312" s="9"/>
      <c r="J25312" s="11"/>
      <c r="U25312" s="9"/>
      <c r="X25312" s="9"/>
    </row>
    <row r="25313">
      <c r="D25313" s="9"/>
      <c r="G25313" s="9"/>
      <c r="J25313" s="11"/>
      <c r="U25313" s="9"/>
      <c r="X25313" s="9"/>
    </row>
    <row r="25314">
      <c r="D25314" s="9"/>
      <c r="G25314" s="9"/>
      <c r="J25314" s="11"/>
      <c r="U25314" s="9"/>
      <c r="X25314" s="9"/>
    </row>
    <row r="25315">
      <c r="D25315" s="9"/>
      <c r="G25315" s="9"/>
      <c r="J25315" s="11"/>
      <c r="U25315" s="9"/>
      <c r="X25315" s="9"/>
    </row>
    <row r="25316">
      <c r="D25316" s="9"/>
      <c r="G25316" s="9"/>
      <c r="J25316" s="11"/>
      <c r="U25316" s="9"/>
      <c r="X25316" s="9"/>
    </row>
    <row r="25317">
      <c r="D25317" s="9"/>
      <c r="G25317" s="9"/>
      <c r="J25317" s="11"/>
      <c r="U25317" s="9"/>
      <c r="X25317" s="9"/>
    </row>
    <row r="25318">
      <c r="D25318" s="9"/>
      <c r="G25318" s="9"/>
      <c r="J25318" s="11"/>
      <c r="U25318" s="9"/>
      <c r="X25318" s="9"/>
    </row>
    <row r="25319">
      <c r="D25319" s="9"/>
      <c r="G25319" s="9"/>
      <c r="J25319" s="11"/>
      <c r="U25319" s="9"/>
      <c r="X25319" s="9"/>
    </row>
    <row r="25320">
      <c r="D25320" s="9"/>
      <c r="G25320" s="9"/>
      <c r="J25320" s="11"/>
      <c r="U25320" s="9"/>
      <c r="X25320" s="9"/>
    </row>
    <row r="25321">
      <c r="D25321" s="9"/>
      <c r="G25321" s="9"/>
      <c r="J25321" s="11"/>
      <c r="U25321" s="9"/>
      <c r="X25321" s="9"/>
    </row>
    <row r="25322">
      <c r="D25322" s="9"/>
      <c r="G25322" s="9"/>
      <c r="J25322" s="11"/>
      <c r="U25322" s="9"/>
      <c r="X25322" s="9"/>
    </row>
    <row r="25323">
      <c r="D25323" s="9"/>
      <c r="G25323" s="9"/>
      <c r="J25323" s="11"/>
      <c r="U25323" s="9"/>
      <c r="X25323" s="9"/>
    </row>
    <row r="25324">
      <c r="D25324" s="9"/>
      <c r="G25324" s="9"/>
      <c r="J25324" s="11"/>
      <c r="U25324" s="9"/>
      <c r="X25324" s="9"/>
    </row>
    <row r="25325">
      <c r="D25325" s="9"/>
      <c r="G25325" s="9"/>
      <c r="J25325" s="11"/>
      <c r="U25325" s="9"/>
      <c r="X25325" s="9"/>
    </row>
    <row r="25326">
      <c r="D25326" s="9"/>
      <c r="G25326" s="9"/>
      <c r="J25326" s="11"/>
      <c r="U25326" s="9"/>
      <c r="X25326" s="9"/>
    </row>
    <row r="25327">
      <c r="D25327" s="9"/>
      <c r="G25327" s="9"/>
      <c r="J25327" s="11"/>
      <c r="U25327" s="9"/>
      <c r="X25327" s="9"/>
    </row>
    <row r="25328">
      <c r="D25328" s="9"/>
      <c r="G25328" s="9"/>
      <c r="J25328" s="11"/>
      <c r="U25328" s="9"/>
      <c r="X25328" s="9"/>
    </row>
    <row r="25329">
      <c r="D25329" s="9"/>
      <c r="G25329" s="9"/>
      <c r="J25329" s="11"/>
      <c r="U25329" s="9"/>
      <c r="X25329" s="9"/>
    </row>
    <row r="25330">
      <c r="D25330" s="9"/>
      <c r="G25330" s="9"/>
      <c r="J25330" s="11"/>
      <c r="U25330" s="9"/>
      <c r="X25330" s="9"/>
    </row>
    <row r="25331">
      <c r="D25331" s="9"/>
      <c r="G25331" s="9"/>
      <c r="J25331" s="11"/>
      <c r="U25331" s="9"/>
      <c r="X25331" s="9"/>
    </row>
    <row r="25332">
      <c r="D25332" s="9"/>
      <c r="G25332" s="9"/>
      <c r="J25332" s="11"/>
      <c r="U25332" s="9"/>
      <c r="X25332" s="9"/>
    </row>
    <row r="25333">
      <c r="D25333" s="9"/>
      <c r="G25333" s="9"/>
      <c r="J25333" s="11"/>
      <c r="U25333" s="9"/>
      <c r="X25333" s="9"/>
    </row>
    <row r="25334">
      <c r="D25334" s="9"/>
      <c r="G25334" s="9"/>
      <c r="J25334" s="11"/>
      <c r="U25334" s="9"/>
      <c r="X25334" s="9"/>
    </row>
    <row r="25335">
      <c r="D25335" s="9"/>
      <c r="G25335" s="9"/>
      <c r="J25335" s="11"/>
      <c r="U25335" s="9"/>
      <c r="X25335" s="9"/>
    </row>
    <row r="25336">
      <c r="D25336" s="9"/>
      <c r="G25336" s="9"/>
      <c r="J25336" s="11"/>
      <c r="U25336" s="9"/>
      <c r="X25336" s="9"/>
    </row>
    <row r="25337">
      <c r="D25337" s="9"/>
      <c r="G25337" s="9"/>
      <c r="J25337" s="11"/>
      <c r="U25337" s="9"/>
      <c r="X25337" s="9"/>
    </row>
    <row r="25338">
      <c r="D25338" s="9"/>
      <c r="G25338" s="9"/>
      <c r="J25338" s="11"/>
      <c r="U25338" s="9"/>
      <c r="X25338" s="9"/>
    </row>
    <row r="25339">
      <c r="D25339" s="9"/>
      <c r="G25339" s="9"/>
      <c r="J25339" s="11"/>
      <c r="U25339" s="9"/>
      <c r="X25339" s="9"/>
    </row>
    <row r="25340">
      <c r="D25340" s="9"/>
      <c r="G25340" s="9"/>
      <c r="J25340" s="11"/>
      <c r="U25340" s="9"/>
      <c r="X25340" s="9"/>
    </row>
    <row r="25341">
      <c r="D25341" s="9"/>
      <c r="G25341" s="9"/>
      <c r="J25341" s="11"/>
      <c r="U25341" s="9"/>
      <c r="X25341" s="9"/>
    </row>
    <row r="25342">
      <c r="D25342" s="9"/>
      <c r="G25342" s="9"/>
      <c r="J25342" s="11"/>
      <c r="U25342" s="9"/>
      <c r="X25342" s="9"/>
    </row>
    <row r="25343">
      <c r="D25343" s="9"/>
      <c r="G25343" s="9"/>
      <c r="J25343" s="11"/>
      <c r="U25343" s="9"/>
      <c r="X25343" s="9"/>
    </row>
    <row r="25344">
      <c r="D25344" s="9"/>
      <c r="G25344" s="9"/>
      <c r="J25344" s="11"/>
      <c r="U25344" s="9"/>
      <c r="X25344" s="9"/>
    </row>
    <row r="25345">
      <c r="D25345" s="9"/>
      <c r="G25345" s="9"/>
      <c r="J25345" s="11"/>
      <c r="U25345" s="9"/>
      <c r="X25345" s="9"/>
    </row>
    <row r="25346">
      <c r="D25346" s="9"/>
      <c r="G25346" s="9"/>
      <c r="J25346" s="11"/>
      <c r="U25346" s="9"/>
      <c r="X25346" s="9"/>
    </row>
    <row r="25347">
      <c r="D25347" s="9"/>
      <c r="G25347" s="9"/>
      <c r="J25347" s="11"/>
      <c r="U25347" s="9"/>
      <c r="X25347" s="9"/>
    </row>
    <row r="25348">
      <c r="D25348" s="9"/>
      <c r="G25348" s="9"/>
      <c r="J25348" s="11"/>
      <c r="U25348" s="9"/>
      <c r="X25348" s="9"/>
    </row>
    <row r="25349">
      <c r="D25349" s="9"/>
      <c r="G25349" s="9"/>
      <c r="J25349" s="11"/>
      <c r="U25349" s="9"/>
      <c r="X25349" s="9"/>
    </row>
    <row r="25350">
      <c r="D25350" s="9"/>
      <c r="G25350" s="9"/>
      <c r="J25350" s="11"/>
      <c r="U25350" s="9"/>
      <c r="X25350" s="9"/>
    </row>
    <row r="25351">
      <c r="D25351" s="9"/>
      <c r="G25351" s="9"/>
      <c r="J25351" s="11"/>
      <c r="U25351" s="9"/>
      <c r="X25351" s="9"/>
    </row>
    <row r="25352">
      <c r="D25352" s="9"/>
      <c r="G25352" s="9"/>
      <c r="J25352" s="11"/>
      <c r="U25352" s="9"/>
      <c r="X25352" s="9"/>
    </row>
    <row r="25353">
      <c r="D25353" s="9"/>
      <c r="G25353" s="9"/>
      <c r="J25353" s="11"/>
      <c r="U25353" s="9"/>
      <c r="X25353" s="9"/>
    </row>
    <row r="25354">
      <c r="D25354" s="9"/>
      <c r="G25354" s="9"/>
      <c r="J25354" s="11"/>
      <c r="U25354" s="9"/>
      <c r="X25354" s="9"/>
    </row>
    <row r="25355">
      <c r="D25355" s="9"/>
      <c r="G25355" s="9"/>
      <c r="J25355" s="11"/>
      <c r="U25355" s="9"/>
      <c r="X25355" s="9"/>
    </row>
    <row r="25356">
      <c r="D25356" s="9"/>
      <c r="G25356" s="9"/>
      <c r="J25356" s="11"/>
      <c r="U25356" s="9"/>
      <c r="X25356" s="9"/>
    </row>
    <row r="25357">
      <c r="D25357" s="9"/>
      <c r="G25357" s="9"/>
      <c r="J25357" s="11"/>
      <c r="U25357" s="9"/>
      <c r="X25357" s="9"/>
    </row>
    <row r="25358">
      <c r="D25358" s="9"/>
      <c r="G25358" s="9"/>
      <c r="J25358" s="11"/>
      <c r="U25358" s="9"/>
      <c r="X25358" s="9"/>
    </row>
    <row r="25359">
      <c r="D25359" s="9"/>
      <c r="G25359" s="9"/>
      <c r="J25359" s="11"/>
      <c r="U25359" s="9"/>
      <c r="X25359" s="9"/>
    </row>
    <row r="25360">
      <c r="D25360" s="9"/>
      <c r="G25360" s="9"/>
      <c r="J25360" s="11"/>
      <c r="U25360" s="9"/>
      <c r="X25360" s="9"/>
    </row>
    <row r="25361">
      <c r="D25361" s="9"/>
      <c r="G25361" s="9"/>
      <c r="J25361" s="11"/>
      <c r="U25361" s="9"/>
      <c r="X25361" s="9"/>
    </row>
    <row r="25362">
      <c r="D25362" s="9"/>
      <c r="G25362" s="9"/>
      <c r="J25362" s="11"/>
      <c r="U25362" s="9"/>
      <c r="X25362" s="9"/>
    </row>
    <row r="25363">
      <c r="D25363" s="9"/>
      <c r="G25363" s="9"/>
      <c r="J25363" s="11"/>
      <c r="U25363" s="9"/>
      <c r="X25363" s="9"/>
    </row>
    <row r="25364">
      <c r="D25364" s="9"/>
      <c r="G25364" s="9"/>
      <c r="J25364" s="11"/>
      <c r="U25364" s="9"/>
      <c r="X25364" s="9"/>
    </row>
    <row r="25365">
      <c r="D25365" s="9"/>
      <c r="G25365" s="9"/>
      <c r="J25365" s="11"/>
      <c r="U25365" s="9"/>
      <c r="X25365" s="9"/>
    </row>
    <row r="25366">
      <c r="D25366" s="9"/>
      <c r="G25366" s="9"/>
      <c r="J25366" s="11"/>
      <c r="U25366" s="9"/>
      <c r="X25366" s="9"/>
    </row>
    <row r="25367">
      <c r="D25367" s="9"/>
      <c r="G25367" s="9"/>
      <c r="J25367" s="11"/>
      <c r="U25367" s="9"/>
      <c r="X25367" s="9"/>
    </row>
    <row r="25368">
      <c r="D25368" s="9"/>
      <c r="G25368" s="9"/>
      <c r="J25368" s="11"/>
      <c r="U25368" s="9"/>
      <c r="X25368" s="9"/>
    </row>
    <row r="25369">
      <c r="D25369" s="9"/>
      <c r="G25369" s="9"/>
      <c r="J25369" s="11"/>
      <c r="U25369" s="9"/>
      <c r="X25369" s="9"/>
    </row>
    <row r="25370">
      <c r="D25370" s="9"/>
      <c r="G25370" s="9"/>
      <c r="J25370" s="11"/>
      <c r="U25370" s="9"/>
      <c r="X25370" s="9"/>
    </row>
    <row r="25371">
      <c r="D25371" s="9"/>
      <c r="G25371" s="9"/>
      <c r="J25371" s="11"/>
      <c r="U25371" s="9"/>
      <c r="X25371" s="9"/>
    </row>
    <row r="25372">
      <c r="D25372" s="9"/>
      <c r="G25372" s="9"/>
      <c r="J25372" s="11"/>
      <c r="U25372" s="9"/>
      <c r="X25372" s="9"/>
    </row>
    <row r="25373">
      <c r="D25373" s="9"/>
      <c r="G25373" s="9"/>
      <c r="J25373" s="11"/>
      <c r="U25373" s="9"/>
      <c r="X25373" s="9"/>
    </row>
    <row r="25374">
      <c r="D25374" s="9"/>
      <c r="G25374" s="9"/>
      <c r="J25374" s="11"/>
      <c r="U25374" s="9"/>
      <c r="X25374" s="9"/>
    </row>
    <row r="25375">
      <c r="D25375" s="9"/>
      <c r="G25375" s="9"/>
      <c r="J25375" s="11"/>
      <c r="U25375" s="9"/>
      <c r="X25375" s="9"/>
    </row>
    <row r="25376">
      <c r="D25376" s="9"/>
      <c r="G25376" s="9"/>
      <c r="J25376" s="11"/>
      <c r="U25376" s="9"/>
      <c r="X25376" s="9"/>
    </row>
    <row r="25377">
      <c r="D25377" s="9"/>
      <c r="G25377" s="9"/>
      <c r="J25377" s="11"/>
      <c r="U25377" s="9"/>
      <c r="X25377" s="9"/>
    </row>
    <row r="25378">
      <c r="D25378" s="9"/>
      <c r="G25378" s="9"/>
      <c r="J25378" s="11"/>
      <c r="U25378" s="9"/>
      <c r="X25378" s="9"/>
    </row>
    <row r="25379">
      <c r="D25379" s="9"/>
      <c r="G25379" s="9"/>
      <c r="J25379" s="11"/>
      <c r="U25379" s="9"/>
      <c r="X25379" s="9"/>
    </row>
    <row r="25380">
      <c r="D25380" s="9"/>
      <c r="G25380" s="9"/>
      <c r="J25380" s="11"/>
      <c r="U25380" s="9"/>
      <c r="X25380" s="9"/>
    </row>
    <row r="25381">
      <c r="D25381" s="9"/>
      <c r="G25381" s="9"/>
      <c r="J25381" s="11"/>
      <c r="U25381" s="9"/>
      <c r="X25381" s="9"/>
    </row>
    <row r="25382">
      <c r="D25382" s="9"/>
      <c r="G25382" s="9"/>
      <c r="J25382" s="11"/>
      <c r="U25382" s="9"/>
      <c r="X25382" s="9"/>
    </row>
    <row r="25383">
      <c r="D25383" s="9"/>
      <c r="G25383" s="9"/>
      <c r="J25383" s="11"/>
      <c r="U25383" s="9"/>
      <c r="X25383" s="9"/>
    </row>
    <row r="25384">
      <c r="D25384" s="9"/>
      <c r="G25384" s="9"/>
      <c r="J25384" s="11"/>
      <c r="U25384" s="9"/>
      <c r="X25384" s="9"/>
    </row>
    <row r="25385">
      <c r="D25385" s="9"/>
      <c r="G25385" s="9"/>
      <c r="J25385" s="11"/>
      <c r="U25385" s="9"/>
      <c r="X25385" s="9"/>
    </row>
    <row r="25386">
      <c r="D25386" s="9"/>
      <c r="G25386" s="9"/>
      <c r="J25386" s="11"/>
      <c r="U25386" s="9"/>
      <c r="X25386" s="9"/>
    </row>
    <row r="25387">
      <c r="D25387" s="9"/>
      <c r="G25387" s="9"/>
      <c r="J25387" s="11"/>
      <c r="U25387" s="9"/>
      <c r="X25387" s="9"/>
    </row>
    <row r="25388">
      <c r="D25388" s="9"/>
      <c r="G25388" s="9"/>
      <c r="J25388" s="11"/>
      <c r="U25388" s="9"/>
      <c r="X25388" s="9"/>
    </row>
    <row r="25389">
      <c r="D25389" s="9"/>
      <c r="G25389" s="9"/>
      <c r="J25389" s="11"/>
      <c r="U25389" s="9"/>
      <c r="X25389" s="9"/>
    </row>
    <row r="25390">
      <c r="D25390" s="9"/>
      <c r="G25390" s="9"/>
      <c r="J25390" s="11"/>
      <c r="U25390" s="9"/>
      <c r="X25390" s="9"/>
    </row>
    <row r="25391">
      <c r="D25391" s="9"/>
      <c r="G25391" s="9"/>
      <c r="J25391" s="11"/>
      <c r="U25391" s="9"/>
      <c r="X25391" s="9"/>
    </row>
    <row r="25392">
      <c r="D25392" s="9"/>
      <c r="G25392" s="9"/>
      <c r="J25392" s="11"/>
      <c r="U25392" s="9"/>
      <c r="X25392" s="9"/>
    </row>
    <row r="25393">
      <c r="D25393" s="9"/>
      <c r="G25393" s="9"/>
      <c r="J25393" s="11"/>
      <c r="U25393" s="9"/>
      <c r="X25393" s="9"/>
    </row>
    <row r="25394">
      <c r="D25394" s="9"/>
      <c r="G25394" s="9"/>
      <c r="J25394" s="11"/>
      <c r="U25394" s="9"/>
      <c r="X25394" s="9"/>
    </row>
    <row r="25395">
      <c r="D25395" s="9"/>
      <c r="G25395" s="9"/>
      <c r="J25395" s="11"/>
      <c r="U25395" s="9"/>
      <c r="X25395" s="9"/>
    </row>
    <row r="25396">
      <c r="D25396" s="9"/>
      <c r="G25396" s="9"/>
      <c r="J25396" s="11"/>
      <c r="U25396" s="9"/>
      <c r="X25396" s="9"/>
    </row>
    <row r="25397">
      <c r="D25397" s="9"/>
      <c r="G25397" s="9"/>
      <c r="J25397" s="11"/>
      <c r="U25397" s="9"/>
      <c r="X25397" s="9"/>
    </row>
    <row r="25398">
      <c r="D25398" s="9"/>
      <c r="G25398" s="9"/>
      <c r="J25398" s="11"/>
      <c r="U25398" s="9"/>
      <c r="X25398" s="9"/>
    </row>
    <row r="25399">
      <c r="D25399" s="9"/>
      <c r="G25399" s="9"/>
      <c r="J25399" s="11"/>
      <c r="U25399" s="9"/>
      <c r="X25399" s="9"/>
    </row>
    <row r="25400">
      <c r="D25400" s="9"/>
      <c r="G25400" s="9"/>
      <c r="J25400" s="11"/>
      <c r="U25400" s="9"/>
      <c r="X25400" s="9"/>
    </row>
    <row r="25401">
      <c r="D25401" s="9"/>
      <c r="G25401" s="9"/>
      <c r="J25401" s="11"/>
      <c r="U25401" s="9"/>
      <c r="X25401" s="9"/>
    </row>
    <row r="25402">
      <c r="D25402" s="9"/>
      <c r="G25402" s="9"/>
      <c r="J25402" s="11"/>
      <c r="U25402" s="9"/>
      <c r="X25402" s="9"/>
    </row>
    <row r="25403">
      <c r="D25403" s="9"/>
      <c r="G25403" s="9"/>
      <c r="J25403" s="11"/>
      <c r="U25403" s="9"/>
      <c r="X25403" s="9"/>
    </row>
    <row r="25404">
      <c r="D25404" s="9"/>
      <c r="G25404" s="9"/>
      <c r="J25404" s="11"/>
      <c r="U25404" s="9"/>
      <c r="X25404" s="9"/>
    </row>
    <row r="25405">
      <c r="D25405" s="9"/>
      <c r="G25405" s="9"/>
      <c r="J25405" s="11"/>
      <c r="U25405" s="9"/>
      <c r="X25405" s="9"/>
    </row>
    <row r="25406">
      <c r="D25406" s="9"/>
      <c r="G25406" s="9"/>
      <c r="J25406" s="11"/>
      <c r="U25406" s="9"/>
      <c r="X25406" s="9"/>
    </row>
    <row r="25407">
      <c r="D25407" s="9"/>
      <c r="G25407" s="9"/>
      <c r="J25407" s="11"/>
      <c r="U25407" s="9"/>
      <c r="X25407" s="9"/>
    </row>
    <row r="25408">
      <c r="D25408" s="9"/>
      <c r="G25408" s="9"/>
      <c r="J25408" s="11"/>
      <c r="U25408" s="9"/>
      <c r="X25408" s="9"/>
    </row>
    <row r="25409">
      <c r="D25409" s="9"/>
      <c r="G25409" s="9"/>
      <c r="J25409" s="11"/>
      <c r="U25409" s="9"/>
      <c r="X25409" s="9"/>
    </row>
    <row r="25410">
      <c r="D25410" s="9"/>
      <c r="G25410" s="9"/>
      <c r="J25410" s="11"/>
      <c r="U25410" s="9"/>
      <c r="X25410" s="9"/>
    </row>
    <row r="25411">
      <c r="D25411" s="9"/>
      <c r="G25411" s="9"/>
      <c r="J25411" s="11"/>
      <c r="U25411" s="9"/>
      <c r="X25411" s="9"/>
    </row>
    <row r="25412">
      <c r="D25412" s="9"/>
      <c r="G25412" s="9"/>
      <c r="J25412" s="11"/>
      <c r="U25412" s="9"/>
      <c r="X25412" s="9"/>
    </row>
    <row r="25413">
      <c r="D25413" s="9"/>
      <c r="G25413" s="9"/>
      <c r="J25413" s="11"/>
      <c r="U25413" s="9"/>
      <c r="X25413" s="9"/>
    </row>
    <row r="25414">
      <c r="D25414" s="9"/>
      <c r="G25414" s="9"/>
      <c r="J25414" s="11"/>
      <c r="U25414" s="9"/>
      <c r="X25414" s="9"/>
    </row>
    <row r="25415">
      <c r="D25415" s="9"/>
      <c r="G25415" s="9"/>
      <c r="J25415" s="11"/>
      <c r="U25415" s="9"/>
      <c r="X25415" s="9"/>
    </row>
    <row r="25416">
      <c r="D25416" s="9"/>
      <c r="G25416" s="9"/>
      <c r="J25416" s="11"/>
      <c r="U25416" s="9"/>
      <c r="X25416" s="9"/>
    </row>
    <row r="25417">
      <c r="D25417" s="9"/>
      <c r="G25417" s="9"/>
      <c r="J25417" s="11"/>
      <c r="U25417" s="9"/>
      <c r="X25417" s="9"/>
    </row>
    <row r="25418">
      <c r="D25418" s="9"/>
      <c r="G25418" s="9"/>
      <c r="J25418" s="11"/>
      <c r="U25418" s="9"/>
      <c r="X25418" s="9"/>
    </row>
    <row r="25419">
      <c r="D25419" s="9"/>
      <c r="G25419" s="9"/>
      <c r="J25419" s="11"/>
      <c r="U25419" s="9"/>
      <c r="X25419" s="9"/>
    </row>
    <row r="25420">
      <c r="D25420" s="9"/>
      <c r="G25420" s="9"/>
      <c r="J25420" s="11"/>
      <c r="U25420" s="9"/>
      <c r="X25420" s="9"/>
    </row>
    <row r="25421">
      <c r="D25421" s="9"/>
      <c r="G25421" s="9"/>
      <c r="J25421" s="11"/>
      <c r="U25421" s="9"/>
      <c r="X25421" s="9"/>
    </row>
    <row r="25422">
      <c r="D25422" s="9"/>
      <c r="G25422" s="9"/>
      <c r="J25422" s="11"/>
      <c r="U25422" s="9"/>
      <c r="X25422" s="9"/>
    </row>
    <row r="25423">
      <c r="D25423" s="9"/>
      <c r="G25423" s="9"/>
      <c r="J25423" s="11"/>
      <c r="U25423" s="9"/>
      <c r="X25423" s="9"/>
    </row>
    <row r="25424">
      <c r="D25424" s="9"/>
      <c r="G25424" s="9"/>
      <c r="J25424" s="11"/>
      <c r="U25424" s="9"/>
      <c r="X25424" s="9"/>
    </row>
    <row r="25425">
      <c r="D25425" s="9"/>
      <c r="G25425" s="9"/>
      <c r="J25425" s="11"/>
      <c r="U25425" s="9"/>
      <c r="X25425" s="9"/>
    </row>
    <row r="25426">
      <c r="D25426" s="9"/>
      <c r="G25426" s="9"/>
      <c r="J25426" s="11"/>
      <c r="U25426" s="9"/>
      <c r="X25426" s="9"/>
    </row>
    <row r="25427">
      <c r="D25427" s="9"/>
      <c r="G25427" s="9"/>
      <c r="J25427" s="11"/>
      <c r="U25427" s="9"/>
      <c r="X25427" s="9"/>
    </row>
    <row r="25428">
      <c r="D25428" s="9"/>
      <c r="G25428" s="9"/>
      <c r="J25428" s="11"/>
      <c r="U25428" s="9"/>
      <c r="X25428" s="9"/>
    </row>
    <row r="25429">
      <c r="D25429" s="9"/>
      <c r="G25429" s="9"/>
      <c r="J25429" s="11"/>
      <c r="U25429" s="9"/>
      <c r="X25429" s="9"/>
    </row>
    <row r="25430">
      <c r="D25430" s="9"/>
      <c r="G25430" s="9"/>
      <c r="J25430" s="11"/>
      <c r="U25430" s="9"/>
      <c r="X25430" s="9"/>
    </row>
    <row r="25431">
      <c r="D25431" s="9"/>
      <c r="G25431" s="9"/>
      <c r="J25431" s="11"/>
      <c r="U25431" s="9"/>
      <c r="X25431" s="9"/>
    </row>
    <row r="25432">
      <c r="D25432" s="9"/>
      <c r="G25432" s="9"/>
      <c r="J25432" s="11"/>
      <c r="U25432" s="9"/>
      <c r="X25432" s="9"/>
    </row>
    <row r="25433">
      <c r="D25433" s="9"/>
      <c r="G25433" s="9"/>
      <c r="J25433" s="11"/>
      <c r="U25433" s="9"/>
      <c r="X25433" s="9"/>
    </row>
    <row r="25434">
      <c r="D25434" s="9"/>
      <c r="G25434" s="9"/>
      <c r="J25434" s="11"/>
      <c r="U25434" s="9"/>
      <c r="X25434" s="9"/>
    </row>
    <row r="25435">
      <c r="D25435" s="9"/>
      <c r="G25435" s="9"/>
      <c r="J25435" s="11"/>
      <c r="U25435" s="9"/>
      <c r="X25435" s="9"/>
    </row>
    <row r="25436">
      <c r="D25436" s="9"/>
      <c r="G25436" s="9"/>
      <c r="J25436" s="11"/>
      <c r="U25436" s="9"/>
      <c r="X25436" s="9"/>
    </row>
    <row r="25437">
      <c r="D25437" s="9"/>
      <c r="G25437" s="9"/>
      <c r="J25437" s="11"/>
      <c r="U25437" s="9"/>
      <c r="X25437" s="9"/>
    </row>
    <row r="25438">
      <c r="D25438" s="9"/>
      <c r="G25438" s="9"/>
      <c r="J25438" s="11"/>
      <c r="U25438" s="9"/>
      <c r="X25438" s="9"/>
    </row>
    <row r="25439">
      <c r="D25439" s="9"/>
      <c r="G25439" s="9"/>
      <c r="J25439" s="11"/>
      <c r="U25439" s="9"/>
      <c r="X25439" s="9"/>
    </row>
    <row r="25440">
      <c r="D25440" s="9"/>
      <c r="G25440" s="9"/>
      <c r="J25440" s="11"/>
      <c r="U25440" s="9"/>
      <c r="X25440" s="9"/>
    </row>
    <row r="25441">
      <c r="D25441" s="9"/>
      <c r="G25441" s="9"/>
      <c r="J25441" s="11"/>
      <c r="U25441" s="9"/>
      <c r="X25441" s="9"/>
    </row>
    <row r="25442">
      <c r="D25442" s="9"/>
      <c r="G25442" s="9"/>
      <c r="J25442" s="11"/>
      <c r="U25442" s="9"/>
      <c r="X25442" s="9"/>
    </row>
    <row r="25443">
      <c r="D25443" s="9"/>
      <c r="G25443" s="9"/>
      <c r="J25443" s="11"/>
      <c r="U25443" s="9"/>
      <c r="X25443" s="9"/>
    </row>
    <row r="25444">
      <c r="D25444" s="9"/>
      <c r="G25444" s="9"/>
      <c r="J25444" s="11"/>
      <c r="U25444" s="9"/>
      <c r="X25444" s="9"/>
    </row>
    <row r="25445">
      <c r="D25445" s="9"/>
      <c r="G25445" s="9"/>
      <c r="J25445" s="11"/>
      <c r="U25445" s="9"/>
      <c r="X25445" s="9"/>
    </row>
    <row r="25446">
      <c r="D25446" s="9"/>
      <c r="G25446" s="9"/>
      <c r="J25446" s="11"/>
      <c r="U25446" s="9"/>
      <c r="X25446" s="9"/>
    </row>
    <row r="25447">
      <c r="D25447" s="9"/>
      <c r="G25447" s="9"/>
      <c r="J25447" s="11"/>
      <c r="U25447" s="9"/>
      <c r="X25447" s="9"/>
    </row>
    <row r="25448">
      <c r="D25448" s="9"/>
      <c r="G25448" s="9"/>
      <c r="J25448" s="11"/>
      <c r="U25448" s="9"/>
      <c r="X25448" s="9"/>
    </row>
    <row r="25449">
      <c r="D25449" s="9"/>
      <c r="G25449" s="9"/>
      <c r="J25449" s="11"/>
      <c r="U25449" s="9"/>
      <c r="X25449" s="9"/>
    </row>
    <row r="25450">
      <c r="D25450" s="9"/>
      <c r="G25450" s="9"/>
      <c r="J25450" s="11"/>
      <c r="U25450" s="9"/>
      <c r="X25450" s="9"/>
    </row>
    <row r="25451">
      <c r="D25451" s="9"/>
      <c r="G25451" s="9"/>
      <c r="J25451" s="11"/>
      <c r="U25451" s="9"/>
      <c r="X25451" s="9"/>
    </row>
    <row r="25452">
      <c r="D25452" s="9"/>
      <c r="G25452" s="9"/>
      <c r="J25452" s="11"/>
      <c r="U25452" s="9"/>
      <c r="X25452" s="9"/>
    </row>
    <row r="25453">
      <c r="D25453" s="9"/>
      <c r="G25453" s="9"/>
      <c r="J25453" s="11"/>
      <c r="U25453" s="9"/>
      <c r="X25453" s="9"/>
    </row>
    <row r="25454">
      <c r="D25454" s="9"/>
      <c r="G25454" s="9"/>
      <c r="J25454" s="11"/>
      <c r="U25454" s="9"/>
      <c r="X25454" s="9"/>
    </row>
    <row r="25455">
      <c r="D25455" s="9"/>
      <c r="G25455" s="9"/>
      <c r="J25455" s="11"/>
      <c r="U25455" s="9"/>
      <c r="X25455" s="9"/>
    </row>
    <row r="25456">
      <c r="D25456" s="9"/>
      <c r="G25456" s="9"/>
      <c r="J25456" s="11"/>
      <c r="U25456" s="9"/>
      <c r="X25456" s="9"/>
    </row>
    <row r="25457">
      <c r="D25457" s="9"/>
      <c r="G25457" s="9"/>
      <c r="J25457" s="11"/>
      <c r="U25457" s="9"/>
      <c r="X25457" s="9"/>
    </row>
    <row r="25458">
      <c r="D25458" s="9"/>
      <c r="G25458" s="9"/>
      <c r="J25458" s="11"/>
      <c r="U25458" s="9"/>
      <c r="X25458" s="9"/>
    </row>
    <row r="25459">
      <c r="D25459" s="9"/>
      <c r="G25459" s="9"/>
      <c r="J25459" s="11"/>
      <c r="U25459" s="9"/>
      <c r="X25459" s="9"/>
    </row>
    <row r="25460">
      <c r="D25460" s="9"/>
      <c r="G25460" s="9"/>
      <c r="J25460" s="11"/>
      <c r="U25460" s="9"/>
      <c r="X25460" s="9"/>
    </row>
    <row r="25461">
      <c r="D25461" s="9"/>
      <c r="G25461" s="9"/>
      <c r="J25461" s="11"/>
      <c r="U25461" s="9"/>
      <c r="X25461" s="9"/>
    </row>
    <row r="25462">
      <c r="D25462" s="9"/>
      <c r="G25462" s="9"/>
      <c r="J25462" s="11"/>
      <c r="U25462" s="9"/>
      <c r="X25462" s="9"/>
    </row>
    <row r="25463">
      <c r="D25463" s="9"/>
      <c r="G25463" s="9"/>
      <c r="J25463" s="11"/>
      <c r="U25463" s="9"/>
      <c r="X25463" s="9"/>
    </row>
    <row r="25464">
      <c r="D25464" s="9"/>
      <c r="G25464" s="9"/>
      <c r="J25464" s="11"/>
      <c r="U25464" s="9"/>
      <c r="X25464" s="9"/>
    </row>
    <row r="25465">
      <c r="D25465" s="9"/>
      <c r="G25465" s="9"/>
      <c r="J25465" s="11"/>
      <c r="U25465" s="9"/>
      <c r="X25465" s="9"/>
    </row>
    <row r="25466">
      <c r="D25466" s="9"/>
      <c r="G25466" s="9"/>
      <c r="J25466" s="11"/>
      <c r="U25466" s="9"/>
      <c r="X25466" s="9"/>
    </row>
    <row r="25467">
      <c r="D25467" s="9"/>
      <c r="G25467" s="9"/>
      <c r="J25467" s="11"/>
      <c r="U25467" s="9"/>
      <c r="X25467" s="9"/>
    </row>
    <row r="25468">
      <c r="D25468" s="9"/>
      <c r="G25468" s="9"/>
      <c r="J25468" s="11"/>
      <c r="U25468" s="9"/>
      <c r="X25468" s="9"/>
    </row>
    <row r="25469">
      <c r="D25469" s="9"/>
      <c r="G25469" s="9"/>
      <c r="J25469" s="11"/>
      <c r="U25469" s="9"/>
      <c r="X25469" s="9"/>
    </row>
    <row r="25470">
      <c r="D25470" s="9"/>
      <c r="G25470" s="9"/>
      <c r="J25470" s="11"/>
      <c r="U25470" s="9"/>
      <c r="X25470" s="9"/>
    </row>
    <row r="25471">
      <c r="D25471" s="9"/>
      <c r="G25471" s="9"/>
      <c r="J25471" s="11"/>
      <c r="U25471" s="9"/>
      <c r="X25471" s="9"/>
    </row>
    <row r="25472">
      <c r="D25472" s="9"/>
      <c r="G25472" s="9"/>
      <c r="J25472" s="11"/>
      <c r="U25472" s="9"/>
      <c r="X25472" s="9"/>
    </row>
    <row r="25473">
      <c r="D25473" s="9"/>
      <c r="G25473" s="9"/>
      <c r="J25473" s="11"/>
      <c r="U25473" s="9"/>
      <c r="X25473" s="9"/>
    </row>
    <row r="25474">
      <c r="D25474" s="9"/>
      <c r="G25474" s="9"/>
      <c r="J25474" s="11"/>
      <c r="U25474" s="9"/>
      <c r="X25474" s="9"/>
    </row>
    <row r="25475">
      <c r="D25475" s="9"/>
      <c r="G25475" s="9"/>
      <c r="J25475" s="11"/>
      <c r="U25475" s="9"/>
      <c r="X25475" s="9"/>
    </row>
    <row r="25476">
      <c r="D25476" s="9"/>
      <c r="G25476" s="9"/>
      <c r="J25476" s="11"/>
      <c r="U25476" s="9"/>
      <c r="X25476" s="9"/>
    </row>
    <row r="25477">
      <c r="D25477" s="9"/>
      <c r="G25477" s="9"/>
      <c r="J25477" s="11"/>
      <c r="U25477" s="9"/>
      <c r="X25477" s="9"/>
    </row>
    <row r="25478">
      <c r="D25478" s="9"/>
      <c r="G25478" s="9"/>
      <c r="J25478" s="11"/>
      <c r="U25478" s="9"/>
      <c r="X25478" s="9"/>
    </row>
    <row r="25479">
      <c r="D25479" s="9"/>
      <c r="G25479" s="9"/>
      <c r="J25479" s="11"/>
      <c r="U25479" s="9"/>
      <c r="X25479" s="9"/>
    </row>
    <row r="25480">
      <c r="D25480" s="9"/>
      <c r="G25480" s="9"/>
      <c r="J25480" s="11"/>
      <c r="U25480" s="9"/>
      <c r="X25480" s="9"/>
    </row>
    <row r="25481">
      <c r="D25481" s="9"/>
      <c r="G25481" s="9"/>
      <c r="J25481" s="11"/>
      <c r="U25481" s="9"/>
      <c r="X25481" s="9"/>
    </row>
    <row r="25482">
      <c r="D25482" s="9"/>
      <c r="G25482" s="9"/>
      <c r="J25482" s="11"/>
      <c r="U25482" s="9"/>
      <c r="X25482" s="9"/>
    </row>
    <row r="25483">
      <c r="D25483" s="9"/>
      <c r="G25483" s="9"/>
      <c r="J25483" s="11"/>
      <c r="U25483" s="9"/>
      <c r="X25483" s="9"/>
    </row>
    <row r="25484">
      <c r="D25484" s="9"/>
      <c r="G25484" s="9"/>
      <c r="J25484" s="11"/>
      <c r="U25484" s="9"/>
      <c r="X25484" s="9"/>
    </row>
    <row r="25485">
      <c r="D25485" s="9"/>
      <c r="G25485" s="9"/>
      <c r="J25485" s="11"/>
      <c r="U25485" s="9"/>
      <c r="X25485" s="9"/>
    </row>
    <row r="25486">
      <c r="D25486" s="9"/>
      <c r="G25486" s="9"/>
      <c r="J25486" s="11"/>
      <c r="U25486" s="9"/>
      <c r="X25486" s="9"/>
    </row>
    <row r="25487">
      <c r="D25487" s="9"/>
      <c r="G25487" s="9"/>
      <c r="J25487" s="11"/>
      <c r="U25487" s="9"/>
      <c r="X25487" s="9"/>
    </row>
    <row r="25488">
      <c r="D25488" s="9"/>
      <c r="G25488" s="9"/>
      <c r="J25488" s="11"/>
      <c r="U25488" s="9"/>
      <c r="X25488" s="9"/>
    </row>
    <row r="25489">
      <c r="D25489" s="9"/>
      <c r="G25489" s="9"/>
      <c r="J25489" s="11"/>
      <c r="U25489" s="9"/>
      <c r="X25489" s="9"/>
    </row>
    <row r="25490">
      <c r="D25490" s="9"/>
      <c r="G25490" s="9"/>
      <c r="J25490" s="11"/>
      <c r="U25490" s="9"/>
      <c r="X25490" s="9"/>
    </row>
    <row r="25491">
      <c r="D25491" s="9"/>
      <c r="G25491" s="9"/>
      <c r="J25491" s="11"/>
      <c r="U25491" s="9"/>
      <c r="X25491" s="9"/>
    </row>
    <row r="25492">
      <c r="D25492" s="9"/>
      <c r="G25492" s="9"/>
      <c r="J25492" s="11"/>
      <c r="U25492" s="9"/>
      <c r="X25492" s="9"/>
    </row>
    <row r="25493">
      <c r="D25493" s="9"/>
      <c r="G25493" s="9"/>
      <c r="J25493" s="11"/>
      <c r="U25493" s="9"/>
      <c r="X25493" s="9"/>
    </row>
    <row r="25494">
      <c r="D25494" s="9"/>
      <c r="G25494" s="9"/>
      <c r="J25494" s="11"/>
      <c r="U25494" s="9"/>
      <c r="X25494" s="9"/>
    </row>
    <row r="25495">
      <c r="D25495" s="9"/>
      <c r="G25495" s="9"/>
      <c r="J25495" s="11"/>
      <c r="U25495" s="9"/>
      <c r="X25495" s="9"/>
    </row>
    <row r="25496">
      <c r="D25496" s="9"/>
      <c r="G25496" s="9"/>
      <c r="J25496" s="11"/>
      <c r="U25496" s="9"/>
      <c r="X25496" s="9"/>
    </row>
    <row r="25497">
      <c r="D25497" s="9"/>
      <c r="G25497" s="9"/>
      <c r="J25497" s="11"/>
      <c r="U25497" s="9"/>
      <c r="X25497" s="9"/>
    </row>
    <row r="25498">
      <c r="D25498" s="9"/>
      <c r="G25498" s="9"/>
      <c r="J25498" s="11"/>
      <c r="U25498" s="9"/>
      <c r="X25498" s="9"/>
    </row>
    <row r="25499">
      <c r="D25499" s="9"/>
      <c r="G25499" s="9"/>
      <c r="J25499" s="11"/>
      <c r="U25499" s="9"/>
      <c r="X25499" s="9"/>
    </row>
    <row r="25500">
      <c r="D25500" s="9"/>
      <c r="G25500" s="9"/>
      <c r="J25500" s="11"/>
      <c r="U25500" s="9"/>
      <c r="X25500" s="9"/>
    </row>
    <row r="25501">
      <c r="D25501" s="9"/>
      <c r="G25501" s="9"/>
      <c r="J25501" s="11"/>
      <c r="U25501" s="9"/>
      <c r="X25501" s="9"/>
    </row>
    <row r="25502">
      <c r="D25502" s="9"/>
      <c r="G25502" s="9"/>
      <c r="J25502" s="11"/>
      <c r="U25502" s="9"/>
      <c r="X25502" s="9"/>
    </row>
    <row r="25503">
      <c r="D25503" s="9"/>
      <c r="G25503" s="9"/>
      <c r="J25503" s="11"/>
      <c r="U25503" s="9"/>
      <c r="X25503" s="9"/>
    </row>
    <row r="25504">
      <c r="D25504" s="9"/>
      <c r="G25504" s="9"/>
      <c r="J25504" s="11"/>
      <c r="U25504" s="9"/>
      <c r="X25504" s="9"/>
    </row>
    <row r="25505">
      <c r="D25505" s="9"/>
      <c r="G25505" s="9"/>
      <c r="J25505" s="11"/>
      <c r="U25505" s="9"/>
      <c r="X25505" s="9"/>
    </row>
    <row r="25506">
      <c r="D25506" s="9"/>
      <c r="G25506" s="9"/>
      <c r="J25506" s="11"/>
      <c r="U25506" s="9"/>
      <c r="X25506" s="9"/>
    </row>
    <row r="25507">
      <c r="D25507" s="9"/>
      <c r="G25507" s="9"/>
      <c r="J25507" s="11"/>
      <c r="U25507" s="9"/>
      <c r="X25507" s="9"/>
    </row>
    <row r="25508">
      <c r="D25508" s="9"/>
      <c r="G25508" s="9"/>
      <c r="J25508" s="11"/>
      <c r="U25508" s="9"/>
      <c r="X25508" s="9"/>
    </row>
    <row r="25509">
      <c r="D25509" s="9"/>
      <c r="G25509" s="9"/>
      <c r="J25509" s="11"/>
      <c r="U25509" s="9"/>
      <c r="X25509" s="9"/>
    </row>
    <row r="25510">
      <c r="D25510" s="9"/>
      <c r="G25510" s="9"/>
      <c r="J25510" s="11"/>
      <c r="U25510" s="9"/>
      <c r="X25510" s="9"/>
    </row>
    <row r="25511">
      <c r="D25511" s="9"/>
      <c r="G25511" s="9"/>
      <c r="J25511" s="11"/>
      <c r="U25511" s="9"/>
      <c r="X25511" s="9"/>
    </row>
    <row r="25512">
      <c r="D25512" s="9"/>
      <c r="G25512" s="9"/>
      <c r="J25512" s="11"/>
      <c r="U25512" s="9"/>
      <c r="X25512" s="9"/>
    </row>
    <row r="25513">
      <c r="D25513" s="9"/>
      <c r="G25513" s="9"/>
      <c r="J25513" s="11"/>
      <c r="U25513" s="9"/>
      <c r="X25513" s="9"/>
    </row>
    <row r="25514">
      <c r="D25514" s="9"/>
      <c r="G25514" s="9"/>
      <c r="J25514" s="11"/>
      <c r="U25514" s="9"/>
      <c r="X25514" s="9"/>
    </row>
    <row r="25515">
      <c r="D25515" s="9"/>
      <c r="G25515" s="9"/>
      <c r="J25515" s="11"/>
      <c r="U25515" s="9"/>
      <c r="X25515" s="9"/>
    </row>
    <row r="25516">
      <c r="D25516" s="9"/>
      <c r="G25516" s="9"/>
      <c r="J25516" s="11"/>
      <c r="U25516" s="9"/>
      <c r="X25516" s="9"/>
    </row>
    <row r="25517">
      <c r="D25517" s="9"/>
      <c r="G25517" s="9"/>
      <c r="J25517" s="11"/>
      <c r="U25517" s="9"/>
      <c r="X25517" s="9"/>
    </row>
    <row r="25518">
      <c r="D25518" s="9"/>
      <c r="G25518" s="9"/>
      <c r="J25518" s="11"/>
      <c r="U25518" s="9"/>
      <c r="X25518" s="9"/>
    </row>
    <row r="25519">
      <c r="D25519" s="9"/>
      <c r="G25519" s="9"/>
      <c r="J25519" s="11"/>
      <c r="U25519" s="9"/>
      <c r="X25519" s="9"/>
    </row>
    <row r="25520">
      <c r="D25520" s="9"/>
      <c r="G25520" s="9"/>
      <c r="J25520" s="11"/>
      <c r="U25520" s="9"/>
      <c r="X25520" s="9"/>
    </row>
    <row r="25521">
      <c r="D25521" s="9"/>
      <c r="G25521" s="9"/>
      <c r="J25521" s="11"/>
      <c r="U25521" s="9"/>
      <c r="X25521" s="9"/>
    </row>
    <row r="25522">
      <c r="D25522" s="9"/>
      <c r="G25522" s="9"/>
      <c r="J25522" s="11"/>
      <c r="U25522" s="9"/>
      <c r="X25522" s="9"/>
    </row>
    <row r="25523">
      <c r="D25523" s="9"/>
      <c r="G25523" s="9"/>
      <c r="J25523" s="11"/>
      <c r="U25523" s="9"/>
      <c r="X25523" s="9"/>
    </row>
    <row r="25524">
      <c r="D25524" s="9"/>
      <c r="G25524" s="9"/>
      <c r="J25524" s="11"/>
      <c r="U25524" s="9"/>
      <c r="X25524" s="9"/>
    </row>
    <row r="25525">
      <c r="D25525" s="9"/>
      <c r="G25525" s="9"/>
      <c r="J25525" s="11"/>
      <c r="U25525" s="9"/>
      <c r="X25525" s="9"/>
    </row>
    <row r="25526">
      <c r="D25526" s="9"/>
      <c r="G25526" s="9"/>
      <c r="J25526" s="11"/>
      <c r="U25526" s="9"/>
      <c r="X25526" s="9"/>
    </row>
    <row r="25527">
      <c r="D25527" s="9"/>
      <c r="G25527" s="9"/>
      <c r="J25527" s="11"/>
      <c r="U25527" s="9"/>
      <c r="X25527" s="9"/>
    </row>
    <row r="25528">
      <c r="D25528" s="9"/>
      <c r="G25528" s="9"/>
      <c r="J25528" s="11"/>
      <c r="U25528" s="9"/>
      <c r="X25528" s="9"/>
    </row>
    <row r="25529">
      <c r="D25529" s="9"/>
      <c r="G25529" s="9"/>
      <c r="J25529" s="11"/>
      <c r="U25529" s="9"/>
      <c r="X25529" s="9"/>
    </row>
    <row r="25530">
      <c r="D25530" s="9"/>
      <c r="G25530" s="9"/>
      <c r="J25530" s="11"/>
      <c r="U25530" s="9"/>
      <c r="X25530" s="9"/>
    </row>
    <row r="25531">
      <c r="D25531" s="9"/>
      <c r="G25531" s="9"/>
      <c r="J25531" s="11"/>
      <c r="U25531" s="9"/>
      <c r="X25531" s="9"/>
    </row>
    <row r="25532">
      <c r="D25532" s="9"/>
      <c r="G25532" s="9"/>
      <c r="J25532" s="11"/>
      <c r="U25532" s="9"/>
      <c r="X25532" s="9"/>
    </row>
    <row r="25533">
      <c r="D25533" s="9"/>
      <c r="G25533" s="9"/>
      <c r="J25533" s="11"/>
      <c r="U25533" s="9"/>
      <c r="X25533" s="9"/>
    </row>
    <row r="25534">
      <c r="D25534" s="9"/>
      <c r="G25534" s="9"/>
      <c r="J25534" s="11"/>
      <c r="U25534" s="9"/>
      <c r="X25534" s="9"/>
    </row>
    <row r="25535">
      <c r="D25535" s="9"/>
      <c r="G25535" s="9"/>
      <c r="J25535" s="11"/>
      <c r="U25535" s="9"/>
      <c r="X25535" s="9"/>
    </row>
    <row r="25536">
      <c r="D25536" s="9"/>
      <c r="G25536" s="9"/>
      <c r="J25536" s="11"/>
      <c r="U25536" s="9"/>
      <c r="X25536" s="9"/>
    </row>
    <row r="25537">
      <c r="D25537" s="9"/>
      <c r="G25537" s="9"/>
      <c r="J25537" s="11"/>
      <c r="U25537" s="9"/>
      <c r="X25537" s="9"/>
    </row>
    <row r="25538">
      <c r="D25538" s="9"/>
      <c r="G25538" s="9"/>
      <c r="J25538" s="11"/>
      <c r="U25538" s="9"/>
      <c r="X25538" s="9"/>
    </row>
    <row r="25539">
      <c r="D25539" s="9"/>
      <c r="G25539" s="9"/>
      <c r="J25539" s="11"/>
      <c r="U25539" s="9"/>
      <c r="X25539" s="9"/>
    </row>
    <row r="25540">
      <c r="D25540" s="9"/>
      <c r="G25540" s="9"/>
      <c r="J25540" s="11"/>
      <c r="U25540" s="9"/>
      <c r="X25540" s="9"/>
    </row>
    <row r="25541">
      <c r="D25541" s="9"/>
      <c r="G25541" s="9"/>
      <c r="J25541" s="11"/>
      <c r="U25541" s="9"/>
      <c r="X25541" s="9"/>
    </row>
    <row r="25542">
      <c r="D25542" s="9"/>
      <c r="G25542" s="9"/>
      <c r="J25542" s="11"/>
      <c r="U25542" s="9"/>
      <c r="X25542" s="9"/>
    </row>
    <row r="25543">
      <c r="D25543" s="9"/>
      <c r="G25543" s="9"/>
      <c r="J25543" s="11"/>
      <c r="U25543" s="9"/>
      <c r="X25543" s="9"/>
    </row>
    <row r="25544">
      <c r="D25544" s="9"/>
      <c r="G25544" s="9"/>
      <c r="J25544" s="11"/>
      <c r="U25544" s="9"/>
      <c r="X25544" s="9"/>
    </row>
    <row r="25545">
      <c r="D25545" s="9"/>
      <c r="G25545" s="9"/>
      <c r="J25545" s="11"/>
      <c r="U25545" s="9"/>
      <c r="X25545" s="9"/>
    </row>
    <row r="25546">
      <c r="D25546" s="9"/>
      <c r="G25546" s="9"/>
      <c r="J25546" s="11"/>
      <c r="U25546" s="9"/>
      <c r="X25546" s="9"/>
    </row>
    <row r="25547">
      <c r="D25547" s="9"/>
      <c r="G25547" s="9"/>
      <c r="J25547" s="11"/>
      <c r="U25547" s="9"/>
      <c r="X25547" s="9"/>
    </row>
    <row r="25548">
      <c r="D25548" s="9"/>
      <c r="G25548" s="9"/>
      <c r="J25548" s="11"/>
      <c r="U25548" s="9"/>
      <c r="X25548" s="9"/>
    </row>
    <row r="25549">
      <c r="D25549" s="9"/>
      <c r="G25549" s="9"/>
      <c r="J25549" s="11"/>
      <c r="U25549" s="9"/>
      <c r="X25549" s="9"/>
    </row>
    <row r="25550">
      <c r="D25550" s="9"/>
      <c r="G25550" s="9"/>
      <c r="J25550" s="11"/>
      <c r="U25550" s="9"/>
      <c r="X25550" s="9"/>
    </row>
    <row r="25551">
      <c r="D25551" s="9"/>
      <c r="G25551" s="9"/>
      <c r="J25551" s="11"/>
      <c r="U25551" s="9"/>
      <c r="X25551" s="9"/>
    </row>
    <row r="25552">
      <c r="D25552" s="9"/>
      <c r="G25552" s="9"/>
      <c r="J25552" s="11"/>
      <c r="U25552" s="9"/>
      <c r="X25552" s="9"/>
    </row>
    <row r="25553">
      <c r="D25553" s="9"/>
      <c r="G25553" s="9"/>
      <c r="J25553" s="11"/>
      <c r="U25553" s="9"/>
      <c r="X25553" s="9"/>
    </row>
    <row r="25554">
      <c r="D25554" s="9"/>
      <c r="G25554" s="9"/>
      <c r="J25554" s="11"/>
      <c r="U25554" s="9"/>
      <c r="X25554" s="9"/>
    </row>
    <row r="25555">
      <c r="D25555" s="9"/>
      <c r="G25555" s="9"/>
      <c r="J25555" s="11"/>
      <c r="U25555" s="9"/>
      <c r="X25555" s="9"/>
    </row>
    <row r="25556">
      <c r="D25556" s="9"/>
      <c r="G25556" s="9"/>
      <c r="J25556" s="11"/>
      <c r="U25556" s="9"/>
      <c r="X25556" s="9"/>
    </row>
    <row r="25557">
      <c r="D25557" s="9"/>
      <c r="G25557" s="9"/>
      <c r="J25557" s="11"/>
      <c r="U25557" s="9"/>
      <c r="X25557" s="9"/>
    </row>
    <row r="25558">
      <c r="D25558" s="9"/>
      <c r="G25558" s="9"/>
      <c r="J25558" s="11"/>
      <c r="U25558" s="9"/>
      <c r="X25558" s="9"/>
    </row>
    <row r="25559">
      <c r="D25559" s="9"/>
      <c r="G25559" s="9"/>
      <c r="J25559" s="11"/>
      <c r="U25559" s="9"/>
      <c r="X25559" s="9"/>
    </row>
    <row r="25560">
      <c r="D25560" s="9"/>
      <c r="G25560" s="9"/>
      <c r="J25560" s="11"/>
      <c r="U25560" s="9"/>
      <c r="X25560" s="9"/>
    </row>
    <row r="25561">
      <c r="D25561" s="9"/>
      <c r="G25561" s="9"/>
      <c r="J25561" s="11"/>
      <c r="U25561" s="9"/>
      <c r="X25561" s="9"/>
    </row>
    <row r="25562">
      <c r="D25562" s="9"/>
      <c r="G25562" s="9"/>
      <c r="J25562" s="11"/>
      <c r="U25562" s="9"/>
      <c r="X25562" s="9"/>
    </row>
    <row r="25563">
      <c r="D25563" s="9"/>
      <c r="G25563" s="9"/>
      <c r="J25563" s="11"/>
      <c r="U25563" s="9"/>
      <c r="X25563" s="9"/>
    </row>
    <row r="25564">
      <c r="D25564" s="9"/>
      <c r="G25564" s="9"/>
      <c r="J25564" s="11"/>
      <c r="U25564" s="9"/>
      <c r="X25564" s="9"/>
    </row>
    <row r="25565">
      <c r="D25565" s="9"/>
      <c r="G25565" s="9"/>
      <c r="J25565" s="11"/>
      <c r="U25565" s="9"/>
      <c r="X25565" s="9"/>
    </row>
    <row r="25566">
      <c r="D25566" s="9"/>
      <c r="G25566" s="9"/>
      <c r="J25566" s="11"/>
      <c r="U25566" s="9"/>
      <c r="X25566" s="9"/>
    </row>
    <row r="25567">
      <c r="D25567" s="9"/>
      <c r="G25567" s="9"/>
      <c r="J25567" s="11"/>
      <c r="U25567" s="9"/>
      <c r="X25567" s="9"/>
    </row>
    <row r="25568">
      <c r="D25568" s="9"/>
      <c r="G25568" s="9"/>
      <c r="J25568" s="11"/>
      <c r="U25568" s="9"/>
      <c r="X25568" s="9"/>
    </row>
    <row r="25569">
      <c r="D25569" s="9"/>
      <c r="G25569" s="9"/>
      <c r="J25569" s="11"/>
      <c r="U25569" s="9"/>
      <c r="X25569" s="9"/>
    </row>
    <row r="25570">
      <c r="D25570" s="9"/>
      <c r="G25570" s="9"/>
      <c r="J25570" s="11"/>
      <c r="U25570" s="9"/>
      <c r="X25570" s="9"/>
    </row>
    <row r="25571">
      <c r="D25571" s="9"/>
      <c r="G25571" s="9"/>
      <c r="J25571" s="11"/>
      <c r="U25571" s="9"/>
      <c r="X25571" s="9"/>
    </row>
    <row r="25572">
      <c r="D25572" s="9"/>
      <c r="G25572" s="9"/>
      <c r="J25572" s="11"/>
      <c r="U25572" s="9"/>
      <c r="X25572" s="9"/>
    </row>
    <row r="25573">
      <c r="D25573" s="9"/>
      <c r="G25573" s="9"/>
      <c r="J25573" s="11"/>
      <c r="U25573" s="9"/>
      <c r="X25573" s="9"/>
    </row>
    <row r="25574">
      <c r="D25574" s="9"/>
      <c r="G25574" s="9"/>
      <c r="J25574" s="11"/>
      <c r="U25574" s="9"/>
      <c r="X25574" s="9"/>
    </row>
    <row r="25575">
      <c r="D25575" s="9"/>
      <c r="G25575" s="9"/>
      <c r="J25575" s="11"/>
      <c r="U25575" s="9"/>
      <c r="X25575" s="9"/>
    </row>
    <row r="25576">
      <c r="D25576" s="9"/>
      <c r="G25576" s="9"/>
      <c r="J25576" s="11"/>
      <c r="U25576" s="9"/>
      <c r="X25576" s="9"/>
    </row>
    <row r="25577">
      <c r="D25577" s="9"/>
      <c r="G25577" s="9"/>
      <c r="J25577" s="11"/>
      <c r="U25577" s="9"/>
      <c r="X25577" s="9"/>
    </row>
    <row r="25578">
      <c r="D25578" s="9"/>
      <c r="G25578" s="9"/>
      <c r="J25578" s="11"/>
      <c r="U25578" s="9"/>
      <c r="X25578" s="9"/>
    </row>
    <row r="25579">
      <c r="D25579" s="9"/>
      <c r="G25579" s="9"/>
      <c r="J25579" s="11"/>
      <c r="U25579" s="9"/>
      <c r="X25579" s="9"/>
    </row>
    <row r="25580">
      <c r="D25580" s="9"/>
      <c r="G25580" s="9"/>
      <c r="J25580" s="11"/>
      <c r="U25580" s="9"/>
      <c r="X25580" s="9"/>
    </row>
    <row r="25581">
      <c r="D25581" s="9"/>
      <c r="G25581" s="9"/>
      <c r="J25581" s="11"/>
      <c r="U25581" s="9"/>
      <c r="X25581" s="9"/>
    </row>
    <row r="25582">
      <c r="D25582" s="9"/>
      <c r="G25582" s="9"/>
      <c r="J25582" s="11"/>
      <c r="U25582" s="9"/>
      <c r="X25582" s="9"/>
    </row>
    <row r="25583">
      <c r="D25583" s="9"/>
      <c r="G25583" s="9"/>
      <c r="J25583" s="11"/>
      <c r="U25583" s="9"/>
      <c r="X25583" s="9"/>
    </row>
    <row r="25584">
      <c r="D25584" s="9"/>
      <c r="G25584" s="9"/>
      <c r="J25584" s="11"/>
      <c r="U25584" s="9"/>
      <c r="X25584" s="9"/>
    </row>
    <row r="25585">
      <c r="D25585" s="9"/>
      <c r="G25585" s="9"/>
      <c r="J25585" s="11"/>
      <c r="U25585" s="9"/>
      <c r="X25585" s="9"/>
    </row>
    <row r="25586">
      <c r="D25586" s="9"/>
      <c r="G25586" s="9"/>
      <c r="J25586" s="11"/>
      <c r="U25586" s="9"/>
      <c r="X25586" s="9"/>
    </row>
    <row r="25587">
      <c r="D25587" s="9"/>
      <c r="G25587" s="9"/>
      <c r="J25587" s="11"/>
      <c r="U25587" s="9"/>
      <c r="X25587" s="9"/>
    </row>
    <row r="25588">
      <c r="D25588" s="9"/>
      <c r="G25588" s="9"/>
      <c r="J25588" s="11"/>
      <c r="U25588" s="9"/>
      <c r="X25588" s="9"/>
    </row>
    <row r="25589">
      <c r="D25589" s="9"/>
      <c r="G25589" s="9"/>
      <c r="J25589" s="11"/>
      <c r="U25589" s="9"/>
      <c r="X25589" s="9"/>
    </row>
    <row r="25590">
      <c r="D25590" s="9"/>
      <c r="G25590" s="9"/>
      <c r="J25590" s="11"/>
      <c r="U25590" s="9"/>
      <c r="X25590" s="9"/>
    </row>
    <row r="25591">
      <c r="D25591" s="9"/>
      <c r="G25591" s="9"/>
      <c r="J25591" s="11"/>
      <c r="U25591" s="9"/>
      <c r="X25591" s="9"/>
    </row>
    <row r="25592">
      <c r="D25592" s="9"/>
      <c r="G25592" s="9"/>
      <c r="J25592" s="11"/>
      <c r="U25592" s="9"/>
      <c r="X25592" s="9"/>
    </row>
    <row r="25593">
      <c r="D25593" s="9"/>
      <c r="G25593" s="9"/>
      <c r="J25593" s="11"/>
      <c r="U25593" s="9"/>
      <c r="X25593" s="9"/>
    </row>
    <row r="25594">
      <c r="D25594" s="9"/>
      <c r="G25594" s="9"/>
      <c r="J25594" s="11"/>
      <c r="U25594" s="9"/>
      <c r="X25594" s="9"/>
    </row>
    <row r="25595">
      <c r="D25595" s="9"/>
      <c r="G25595" s="9"/>
      <c r="J25595" s="11"/>
      <c r="U25595" s="9"/>
      <c r="X25595" s="9"/>
    </row>
    <row r="25596">
      <c r="D25596" s="9"/>
      <c r="G25596" s="9"/>
      <c r="J25596" s="11"/>
      <c r="U25596" s="9"/>
      <c r="X25596" s="9"/>
    </row>
    <row r="25597">
      <c r="D25597" s="9"/>
      <c r="G25597" s="9"/>
      <c r="J25597" s="11"/>
      <c r="U25597" s="9"/>
      <c r="X25597" s="9"/>
    </row>
    <row r="25598">
      <c r="D25598" s="9"/>
      <c r="G25598" s="9"/>
      <c r="J25598" s="11"/>
      <c r="U25598" s="9"/>
      <c r="X25598" s="9"/>
    </row>
    <row r="25599">
      <c r="D25599" s="9"/>
      <c r="G25599" s="9"/>
      <c r="J25599" s="11"/>
      <c r="U25599" s="9"/>
      <c r="X25599" s="9"/>
    </row>
    <row r="25600">
      <c r="D25600" s="9"/>
      <c r="G25600" s="9"/>
      <c r="J25600" s="11"/>
      <c r="U25600" s="9"/>
      <c r="X25600" s="9"/>
    </row>
    <row r="25601">
      <c r="D25601" s="9"/>
      <c r="G25601" s="9"/>
      <c r="J25601" s="11"/>
      <c r="U25601" s="9"/>
      <c r="X25601" s="9"/>
    </row>
    <row r="25602">
      <c r="D25602" s="9"/>
      <c r="G25602" s="9"/>
      <c r="J25602" s="11"/>
      <c r="U25602" s="9"/>
      <c r="X25602" s="9"/>
    </row>
    <row r="25603">
      <c r="D25603" s="9"/>
      <c r="G25603" s="9"/>
      <c r="J25603" s="11"/>
      <c r="U25603" s="9"/>
      <c r="X25603" s="9"/>
    </row>
    <row r="25604">
      <c r="D25604" s="9"/>
      <c r="G25604" s="9"/>
      <c r="J25604" s="11"/>
      <c r="U25604" s="9"/>
      <c r="X25604" s="9"/>
    </row>
    <row r="25605">
      <c r="D25605" s="9"/>
      <c r="G25605" s="9"/>
      <c r="J25605" s="11"/>
      <c r="U25605" s="9"/>
      <c r="X25605" s="9"/>
    </row>
    <row r="25606">
      <c r="D25606" s="9"/>
      <c r="G25606" s="9"/>
      <c r="J25606" s="11"/>
      <c r="U25606" s="9"/>
      <c r="X25606" s="9"/>
    </row>
    <row r="25607">
      <c r="D25607" s="9"/>
      <c r="G25607" s="9"/>
      <c r="J25607" s="11"/>
      <c r="U25607" s="9"/>
      <c r="X25607" s="9"/>
    </row>
    <row r="25608">
      <c r="D25608" s="9"/>
      <c r="G25608" s="9"/>
      <c r="J25608" s="11"/>
      <c r="U25608" s="9"/>
      <c r="X25608" s="9"/>
    </row>
    <row r="25609">
      <c r="D25609" s="9"/>
      <c r="G25609" s="9"/>
      <c r="J25609" s="11"/>
      <c r="U25609" s="9"/>
      <c r="X25609" s="9"/>
    </row>
    <row r="25610">
      <c r="D25610" s="9"/>
      <c r="G25610" s="9"/>
      <c r="J25610" s="11"/>
      <c r="U25610" s="9"/>
      <c r="X25610" s="9"/>
    </row>
    <row r="25611">
      <c r="D25611" s="9"/>
      <c r="G25611" s="9"/>
      <c r="J25611" s="11"/>
      <c r="U25611" s="9"/>
      <c r="X25611" s="9"/>
    </row>
    <row r="25612">
      <c r="D25612" s="9"/>
      <c r="G25612" s="9"/>
      <c r="J25612" s="11"/>
      <c r="U25612" s="9"/>
      <c r="X25612" s="9"/>
    </row>
    <row r="25613">
      <c r="D25613" s="9"/>
      <c r="G25613" s="9"/>
      <c r="J25613" s="11"/>
      <c r="U25613" s="9"/>
      <c r="X25613" s="9"/>
    </row>
    <row r="25614">
      <c r="D25614" s="9"/>
      <c r="G25614" s="9"/>
      <c r="J25614" s="11"/>
      <c r="U25614" s="9"/>
      <c r="X25614" s="9"/>
    </row>
    <row r="25615">
      <c r="D25615" s="9"/>
      <c r="G25615" s="9"/>
      <c r="J25615" s="11"/>
      <c r="U25615" s="9"/>
      <c r="X25615" s="9"/>
    </row>
    <row r="25616">
      <c r="D25616" s="9"/>
      <c r="G25616" s="9"/>
      <c r="J25616" s="11"/>
      <c r="U25616" s="9"/>
      <c r="X25616" s="9"/>
    </row>
    <row r="25617">
      <c r="D25617" s="9"/>
      <c r="G25617" s="9"/>
      <c r="J25617" s="11"/>
      <c r="U25617" s="9"/>
      <c r="X25617" s="9"/>
    </row>
    <row r="25618">
      <c r="D25618" s="9"/>
      <c r="G25618" s="9"/>
      <c r="J25618" s="11"/>
      <c r="U25618" s="9"/>
      <c r="X25618" s="9"/>
    </row>
    <row r="25619">
      <c r="D25619" s="9"/>
      <c r="G25619" s="9"/>
      <c r="J25619" s="11"/>
      <c r="U25619" s="9"/>
      <c r="X25619" s="9"/>
    </row>
    <row r="25620">
      <c r="D25620" s="9"/>
      <c r="G25620" s="9"/>
      <c r="J25620" s="11"/>
      <c r="U25620" s="9"/>
      <c r="X25620" s="9"/>
    </row>
    <row r="25621">
      <c r="D25621" s="9"/>
      <c r="G25621" s="9"/>
      <c r="J25621" s="11"/>
      <c r="U25621" s="9"/>
      <c r="X25621" s="9"/>
    </row>
    <row r="25622">
      <c r="D25622" s="9"/>
      <c r="G25622" s="9"/>
      <c r="J25622" s="11"/>
      <c r="U25622" s="9"/>
      <c r="X25622" s="9"/>
    </row>
    <row r="25623">
      <c r="D25623" s="9"/>
      <c r="G25623" s="9"/>
      <c r="J25623" s="11"/>
      <c r="U25623" s="9"/>
      <c r="X25623" s="9"/>
    </row>
    <row r="25624">
      <c r="D25624" s="9"/>
      <c r="G25624" s="9"/>
      <c r="J25624" s="11"/>
      <c r="U25624" s="9"/>
      <c r="X25624" s="9"/>
    </row>
    <row r="25625">
      <c r="D25625" s="9"/>
      <c r="G25625" s="9"/>
      <c r="J25625" s="11"/>
      <c r="U25625" s="9"/>
      <c r="X25625" s="9"/>
    </row>
    <row r="25626">
      <c r="D25626" s="9"/>
      <c r="G25626" s="9"/>
      <c r="J25626" s="11"/>
      <c r="U25626" s="9"/>
      <c r="X25626" s="9"/>
    </row>
    <row r="25627">
      <c r="D25627" s="9"/>
      <c r="G25627" s="9"/>
      <c r="J25627" s="11"/>
      <c r="U25627" s="9"/>
      <c r="X25627" s="9"/>
    </row>
    <row r="25628">
      <c r="D25628" s="9"/>
      <c r="G25628" s="9"/>
      <c r="J25628" s="11"/>
      <c r="U25628" s="9"/>
      <c r="X25628" s="9"/>
    </row>
    <row r="25629">
      <c r="D25629" s="9"/>
      <c r="G25629" s="9"/>
      <c r="J25629" s="11"/>
      <c r="U25629" s="9"/>
      <c r="X25629" s="9"/>
    </row>
    <row r="25630">
      <c r="D25630" s="9"/>
      <c r="G25630" s="9"/>
      <c r="J25630" s="11"/>
      <c r="U25630" s="9"/>
      <c r="X25630" s="9"/>
    </row>
    <row r="25631">
      <c r="D25631" s="9"/>
      <c r="G25631" s="9"/>
      <c r="J25631" s="11"/>
      <c r="U25631" s="9"/>
      <c r="X25631" s="9"/>
    </row>
    <row r="25632">
      <c r="D25632" s="9"/>
      <c r="G25632" s="9"/>
      <c r="J25632" s="11"/>
      <c r="U25632" s="9"/>
      <c r="X25632" s="9"/>
    </row>
    <row r="25633">
      <c r="D25633" s="9"/>
      <c r="G25633" s="9"/>
      <c r="J25633" s="11"/>
      <c r="U25633" s="9"/>
      <c r="X25633" s="9"/>
    </row>
    <row r="25634">
      <c r="D25634" s="9"/>
      <c r="G25634" s="9"/>
      <c r="J25634" s="11"/>
      <c r="U25634" s="9"/>
      <c r="X25634" s="9"/>
    </row>
    <row r="25635">
      <c r="D25635" s="9"/>
      <c r="G25635" s="9"/>
      <c r="J25635" s="11"/>
      <c r="U25635" s="9"/>
      <c r="X25635" s="9"/>
    </row>
    <row r="25636">
      <c r="D25636" s="9"/>
      <c r="G25636" s="9"/>
      <c r="J25636" s="11"/>
      <c r="U25636" s="9"/>
      <c r="X25636" s="9"/>
    </row>
    <row r="25637">
      <c r="D25637" s="9"/>
      <c r="G25637" s="9"/>
      <c r="J25637" s="11"/>
      <c r="U25637" s="9"/>
      <c r="X25637" s="9"/>
    </row>
    <row r="25638">
      <c r="D25638" s="9"/>
      <c r="G25638" s="9"/>
      <c r="J25638" s="11"/>
      <c r="U25638" s="9"/>
      <c r="X25638" s="9"/>
    </row>
    <row r="25639">
      <c r="D25639" s="9"/>
      <c r="G25639" s="9"/>
      <c r="J25639" s="11"/>
      <c r="U25639" s="9"/>
      <c r="X25639" s="9"/>
    </row>
    <row r="25640">
      <c r="D25640" s="9"/>
      <c r="G25640" s="9"/>
      <c r="J25640" s="11"/>
      <c r="U25640" s="9"/>
      <c r="X25640" s="9"/>
    </row>
    <row r="25641">
      <c r="D25641" s="9"/>
      <c r="G25641" s="9"/>
      <c r="J25641" s="11"/>
      <c r="U25641" s="9"/>
      <c r="X25641" s="9"/>
    </row>
    <row r="25642">
      <c r="D25642" s="9"/>
      <c r="G25642" s="9"/>
      <c r="J25642" s="11"/>
      <c r="U25642" s="9"/>
      <c r="X25642" s="9"/>
    </row>
    <row r="25643">
      <c r="D25643" s="9"/>
      <c r="G25643" s="9"/>
      <c r="J25643" s="11"/>
      <c r="U25643" s="9"/>
      <c r="X25643" s="9"/>
    </row>
    <row r="25644">
      <c r="D25644" s="9"/>
      <c r="G25644" s="9"/>
      <c r="J25644" s="11"/>
      <c r="U25644" s="9"/>
      <c r="X25644" s="9"/>
    </row>
    <row r="25645">
      <c r="D25645" s="9"/>
      <c r="G25645" s="9"/>
      <c r="J25645" s="11"/>
      <c r="U25645" s="9"/>
      <c r="X25645" s="9"/>
    </row>
    <row r="25646">
      <c r="D25646" s="9"/>
      <c r="G25646" s="9"/>
      <c r="J25646" s="11"/>
      <c r="U25646" s="9"/>
      <c r="X25646" s="9"/>
    </row>
    <row r="25647">
      <c r="D25647" s="9"/>
      <c r="G25647" s="9"/>
      <c r="J25647" s="11"/>
      <c r="U25647" s="9"/>
      <c r="X25647" s="9"/>
    </row>
    <row r="25648">
      <c r="D25648" s="9"/>
      <c r="G25648" s="9"/>
      <c r="J25648" s="11"/>
      <c r="U25648" s="9"/>
      <c r="X25648" s="9"/>
    </row>
    <row r="25649">
      <c r="D25649" s="9"/>
      <c r="G25649" s="9"/>
      <c r="J25649" s="11"/>
      <c r="U25649" s="9"/>
      <c r="X25649" s="9"/>
    </row>
    <row r="25650">
      <c r="D25650" s="9"/>
      <c r="G25650" s="9"/>
      <c r="J25650" s="11"/>
      <c r="U25650" s="9"/>
      <c r="X25650" s="9"/>
    </row>
    <row r="25651">
      <c r="D25651" s="9"/>
      <c r="G25651" s="9"/>
      <c r="J25651" s="11"/>
      <c r="U25651" s="9"/>
      <c r="X25651" s="9"/>
    </row>
    <row r="25652">
      <c r="D25652" s="9"/>
      <c r="G25652" s="9"/>
      <c r="J25652" s="11"/>
      <c r="U25652" s="9"/>
      <c r="X25652" s="9"/>
    </row>
    <row r="25653">
      <c r="D25653" s="9"/>
      <c r="G25653" s="9"/>
      <c r="J25653" s="11"/>
      <c r="U25653" s="9"/>
      <c r="X25653" s="9"/>
    </row>
    <row r="25654">
      <c r="D25654" s="9"/>
      <c r="G25654" s="9"/>
      <c r="J25654" s="11"/>
      <c r="U25654" s="9"/>
      <c r="X25654" s="9"/>
    </row>
    <row r="25655">
      <c r="D25655" s="9"/>
      <c r="G25655" s="9"/>
      <c r="J25655" s="11"/>
      <c r="U25655" s="9"/>
      <c r="X25655" s="9"/>
    </row>
    <row r="25656">
      <c r="D25656" s="9"/>
      <c r="G25656" s="9"/>
      <c r="J25656" s="11"/>
      <c r="U25656" s="9"/>
      <c r="X25656" s="9"/>
    </row>
    <row r="25657">
      <c r="D25657" s="9"/>
      <c r="G25657" s="9"/>
      <c r="J25657" s="11"/>
      <c r="U25657" s="9"/>
      <c r="X25657" s="9"/>
    </row>
    <row r="25658">
      <c r="D25658" s="9"/>
      <c r="G25658" s="9"/>
      <c r="J25658" s="11"/>
      <c r="U25658" s="9"/>
      <c r="X25658" s="9"/>
    </row>
    <row r="25659">
      <c r="D25659" s="9"/>
      <c r="G25659" s="9"/>
      <c r="J25659" s="11"/>
      <c r="U25659" s="9"/>
      <c r="X25659" s="9"/>
    </row>
    <row r="25660">
      <c r="D25660" s="9"/>
      <c r="G25660" s="9"/>
      <c r="J25660" s="11"/>
      <c r="U25660" s="9"/>
      <c r="X25660" s="9"/>
    </row>
    <row r="25661">
      <c r="D25661" s="9"/>
      <c r="G25661" s="9"/>
      <c r="J25661" s="11"/>
      <c r="U25661" s="9"/>
      <c r="X25661" s="9"/>
    </row>
    <row r="25662">
      <c r="D25662" s="9"/>
      <c r="G25662" s="9"/>
      <c r="J25662" s="11"/>
      <c r="U25662" s="9"/>
      <c r="X25662" s="9"/>
    </row>
    <row r="25663">
      <c r="D25663" s="9"/>
      <c r="G25663" s="9"/>
      <c r="J25663" s="11"/>
      <c r="U25663" s="9"/>
      <c r="X25663" s="9"/>
    </row>
    <row r="25664">
      <c r="D25664" s="9"/>
      <c r="G25664" s="9"/>
      <c r="J25664" s="11"/>
      <c r="U25664" s="9"/>
      <c r="X25664" s="9"/>
    </row>
    <row r="25665">
      <c r="D25665" s="9"/>
      <c r="G25665" s="9"/>
      <c r="J25665" s="11"/>
      <c r="U25665" s="9"/>
      <c r="X25665" s="9"/>
    </row>
    <row r="25666">
      <c r="D25666" s="9"/>
      <c r="G25666" s="9"/>
      <c r="J25666" s="11"/>
      <c r="U25666" s="9"/>
      <c r="X25666" s="9"/>
    </row>
    <row r="25667">
      <c r="D25667" s="9"/>
      <c r="G25667" s="9"/>
      <c r="J25667" s="11"/>
      <c r="U25667" s="9"/>
      <c r="X25667" s="9"/>
    </row>
    <row r="25668">
      <c r="D25668" s="9"/>
      <c r="G25668" s="9"/>
      <c r="J25668" s="11"/>
      <c r="U25668" s="9"/>
      <c r="X25668" s="9"/>
    </row>
    <row r="25669">
      <c r="D25669" s="9"/>
      <c r="G25669" s="9"/>
      <c r="J25669" s="11"/>
      <c r="U25669" s="9"/>
      <c r="X25669" s="9"/>
    </row>
    <row r="25670">
      <c r="D25670" s="9"/>
      <c r="G25670" s="9"/>
      <c r="J25670" s="11"/>
      <c r="U25670" s="9"/>
      <c r="X25670" s="9"/>
    </row>
    <row r="25671">
      <c r="D25671" s="9"/>
      <c r="G25671" s="9"/>
      <c r="J25671" s="11"/>
      <c r="U25671" s="9"/>
      <c r="X25671" s="9"/>
    </row>
    <row r="25672">
      <c r="D25672" s="9"/>
      <c r="G25672" s="9"/>
      <c r="J25672" s="11"/>
      <c r="U25672" s="9"/>
      <c r="X25672" s="9"/>
    </row>
    <row r="25673">
      <c r="D25673" s="9"/>
      <c r="G25673" s="9"/>
      <c r="J25673" s="11"/>
      <c r="U25673" s="9"/>
      <c r="X25673" s="9"/>
    </row>
    <row r="25674">
      <c r="D25674" s="9"/>
      <c r="G25674" s="9"/>
      <c r="J25674" s="11"/>
      <c r="U25674" s="9"/>
      <c r="X25674" s="9"/>
    </row>
    <row r="25675">
      <c r="D25675" s="9"/>
      <c r="G25675" s="9"/>
      <c r="J25675" s="11"/>
      <c r="U25675" s="9"/>
      <c r="X25675" s="9"/>
    </row>
    <row r="25676">
      <c r="D25676" s="9"/>
      <c r="G25676" s="9"/>
      <c r="J25676" s="11"/>
      <c r="U25676" s="9"/>
      <c r="X25676" s="9"/>
    </row>
    <row r="25677">
      <c r="D25677" s="9"/>
      <c r="G25677" s="9"/>
      <c r="J25677" s="11"/>
      <c r="U25677" s="9"/>
      <c r="X25677" s="9"/>
    </row>
    <row r="25678">
      <c r="D25678" s="9"/>
      <c r="G25678" s="9"/>
      <c r="J25678" s="11"/>
      <c r="U25678" s="9"/>
      <c r="X25678" s="9"/>
    </row>
    <row r="25679">
      <c r="D25679" s="9"/>
      <c r="G25679" s="9"/>
      <c r="J25679" s="11"/>
      <c r="U25679" s="9"/>
      <c r="X25679" s="9"/>
    </row>
    <row r="25680">
      <c r="D25680" s="9"/>
      <c r="G25680" s="9"/>
      <c r="J25680" s="11"/>
      <c r="U25680" s="9"/>
      <c r="X25680" s="9"/>
    </row>
    <row r="25681">
      <c r="D25681" s="9"/>
      <c r="G25681" s="9"/>
      <c r="J25681" s="11"/>
      <c r="U25681" s="9"/>
      <c r="X25681" s="9"/>
    </row>
    <row r="25682">
      <c r="D25682" s="9"/>
      <c r="G25682" s="9"/>
      <c r="J25682" s="11"/>
      <c r="U25682" s="9"/>
      <c r="X25682" s="9"/>
    </row>
    <row r="25683">
      <c r="D25683" s="9"/>
      <c r="G25683" s="9"/>
      <c r="J25683" s="11"/>
      <c r="U25683" s="9"/>
      <c r="X25683" s="9"/>
    </row>
    <row r="25684">
      <c r="D25684" s="9"/>
      <c r="G25684" s="9"/>
      <c r="J25684" s="11"/>
      <c r="U25684" s="9"/>
      <c r="X25684" s="9"/>
    </row>
    <row r="25685">
      <c r="D25685" s="9"/>
      <c r="G25685" s="9"/>
      <c r="J25685" s="11"/>
      <c r="U25685" s="9"/>
      <c r="X25685" s="9"/>
    </row>
    <row r="25686">
      <c r="D25686" s="9"/>
      <c r="G25686" s="9"/>
      <c r="J25686" s="11"/>
      <c r="U25686" s="9"/>
      <c r="X25686" s="9"/>
    </row>
    <row r="25687">
      <c r="D25687" s="9"/>
      <c r="G25687" s="9"/>
      <c r="J25687" s="11"/>
      <c r="U25687" s="9"/>
      <c r="X25687" s="9"/>
    </row>
    <row r="25688">
      <c r="D25688" s="9"/>
      <c r="G25688" s="9"/>
      <c r="J25688" s="11"/>
      <c r="U25688" s="9"/>
      <c r="X25688" s="9"/>
    </row>
    <row r="25689">
      <c r="D25689" s="9"/>
      <c r="G25689" s="9"/>
      <c r="J25689" s="11"/>
      <c r="U25689" s="9"/>
      <c r="X25689" s="9"/>
    </row>
    <row r="25690">
      <c r="D25690" s="9"/>
      <c r="G25690" s="9"/>
      <c r="J25690" s="11"/>
      <c r="U25690" s="9"/>
      <c r="X25690" s="9"/>
    </row>
    <row r="25691">
      <c r="D25691" s="9"/>
      <c r="G25691" s="9"/>
      <c r="J25691" s="11"/>
      <c r="U25691" s="9"/>
      <c r="X25691" s="9"/>
    </row>
    <row r="25692">
      <c r="D25692" s="9"/>
      <c r="G25692" s="9"/>
      <c r="J25692" s="11"/>
      <c r="U25692" s="9"/>
      <c r="X25692" s="9"/>
    </row>
    <row r="25693">
      <c r="D25693" s="9"/>
      <c r="G25693" s="9"/>
      <c r="J25693" s="11"/>
      <c r="U25693" s="9"/>
      <c r="X25693" s="9"/>
    </row>
    <row r="25694">
      <c r="D25694" s="9"/>
      <c r="G25694" s="9"/>
      <c r="J25694" s="11"/>
      <c r="U25694" s="9"/>
      <c r="X25694" s="9"/>
    </row>
    <row r="25695">
      <c r="D25695" s="9"/>
      <c r="G25695" s="9"/>
      <c r="J25695" s="11"/>
      <c r="U25695" s="9"/>
      <c r="X25695" s="9"/>
    </row>
    <row r="25696">
      <c r="D25696" s="9"/>
      <c r="G25696" s="9"/>
      <c r="J25696" s="11"/>
      <c r="U25696" s="9"/>
      <c r="X25696" s="9"/>
    </row>
    <row r="25697">
      <c r="D25697" s="9"/>
      <c r="G25697" s="9"/>
      <c r="J25697" s="11"/>
      <c r="U25697" s="9"/>
      <c r="X25697" s="9"/>
    </row>
    <row r="25698">
      <c r="D25698" s="9"/>
      <c r="G25698" s="9"/>
      <c r="J25698" s="11"/>
      <c r="U25698" s="9"/>
      <c r="X25698" s="9"/>
    </row>
    <row r="25699">
      <c r="D25699" s="9"/>
      <c r="G25699" s="9"/>
      <c r="J25699" s="11"/>
      <c r="U25699" s="9"/>
      <c r="X25699" s="9"/>
    </row>
    <row r="25700">
      <c r="D25700" s="9"/>
      <c r="G25700" s="9"/>
      <c r="J25700" s="11"/>
      <c r="U25700" s="9"/>
      <c r="X25700" s="9"/>
    </row>
    <row r="25701">
      <c r="D25701" s="9"/>
      <c r="G25701" s="9"/>
      <c r="J25701" s="11"/>
      <c r="U25701" s="9"/>
      <c r="X25701" s="9"/>
    </row>
    <row r="25702">
      <c r="D25702" s="9"/>
      <c r="G25702" s="9"/>
      <c r="J25702" s="11"/>
      <c r="U25702" s="9"/>
      <c r="X25702" s="9"/>
    </row>
    <row r="25703">
      <c r="D25703" s="9"/>
      <c r="G25703" s="9"/>
      <c r="J25703" s="11"/>
      <c r="U25703" s="9"/>
      <c r="X25703" s="9"/>
    </row>
    <row r="25704">
      <c r="D25704" s="9"/>
      <c r="G25704" s="9"/>
      <c r="J25704" s="11"/>
      <c r="U25704" s="9"/>
      <c r="X25704" s="9"/>
    </row>
    <row r="25705">
      <c r="D25705" s="9"/>
      <c r="G25705" s="9"/>
      <c r="J25705" s="11"/>
      <c r="U25705" s="9"/>
      <c r="X25705" s="9"/>
    </row>
    <row r="25706">
      <c r="D25706" s="9"/>
      <c r="G25706" s="9"/>
      <c r="J25706" s="11"/>
      <c r="U25706" s="9"/>
      <c r="X25706" s="9"/>
    </row>
    <row r="25707">
      <c r="D25707" s="9"/>
      <c r="G25707" s="9"/>
      <c r="J25707" s="11"/>
      <c r="U25707" s="9"/>
      <c r="X25707" s="9"/>
    </row>
    <row r="25708">
      <c r="D25708" s="9"/>
      <c r="G25708" s="9"/>
      <c r="J25708" s="11"/>
      <c r="U25708" s="9"/>
      <c r="X25708" s="9"/>
    </row>
    <row r="25709">
      <c r="D25709" s="9"/>
      <c r="G25709" s="9"/>
      <c r="J25709" s="11"/>
      <c r="U25709" s="9"/>
      <c r="X25709" s="9"/>
    </row>
    <row r="25710">
      <c r="D25710" s="9"/>
      <c r="G25710" s="9"/>
      <c r="J25710" s="11"/>
      <c r="U25710" s="9"/>
      <c r="X25710" s="9"/>
    </row>
    <row r="25711">
      <c r="D25711" s="9"/>
      <c r="G25711" s="9"/>
      <c r="J25711" s="11"/>
      <c r="U25711" s="9"/>
      <c r="X25711" s="9"/>
    </row>
    <row r="25712">
      <c r="D25712" s="9"/>
      <c r="G25712" s="9"/>
      <c r="J25712" s="11"/>
      <c r="U25712" s="9"/>
      <c r="X25712" s="9"/>
    </row>
    <row r="25713">
      <c r="D25713" s="9"/>
      <c r="G25713" s="9"/>
      <c r="J25713" s="11"/>
      <c r="U25713" s="9"/>
      <c r="X25713" s="9"/>
    </row>
    <row r="25714">
      <c r="D25714" s="9"/>
      <c r="G25714" s="9"/>
      <c r="J25714" s="11"/>
      <c r="U25714" s="9"/>
      <c r="X25714" s="9"/>
    </row>
    <row r="25715">
      <c r="D25715" s="9"/>
      <c r="G25715" s="9"/>
      <c r="J25715" s="11"/>
      <c r="U25715" s="9"/>
      <c r="X25715" s="9"/>
    </row>
    <row r="25716">
      <c r="D25716" s="9"/>
      <c r="G25716" s="9"/>
      <c r="J25716" s="11"/>
      <c r="U25716" s="9"/>
      <c r="X25716" s="9"/>
    </row>
    <row r="25717">
      <c r="D25717" s="9"/>
      <c r="G25717" s="9"/>
      <c r="J25717" s="11"/>
      <c r="U25717" s="9"/>
      <c r="X25717" s="9"/>
    </row>
    <row r="25718">
      <c r="D25718" s="9"/>
      <c r="G25718" s="9"/>
      <c r="J25718" s="11"/>
      <c r="U25718" s="9"/>
      <c r="X25718" s="9"/>
    </row>
    <row r="25719">
      <c r="D25719" s="9"/>
      <c r="G25719" s="9"/>
      <c r="J25719" s="11"/>
      <c r="U25719" s="9"/>
      <c r="X25719" s="9"/>
    </row>
    <row r="25720">
      <c r="D25720" s="9"/>
      <c r="G25720" s="9"/>
      <c r="J25720" s="11"/>
      <c r="U25720" s="9"/>
      <c r="X25720" s="9"/>
    </row>
    <row r="25721">
      <c r="D25721" s="9"/>
      <c r="G25721" s="9"/>
      <c r="J25721" s="11"/>
      <c r="U25721" s="9"/>
      <c r="X25721" s="9"/>
    </row>
    <row r="25722">
      <c r="D25722" s="9"/>
      <c r="G25722" s="9"/>
      <c r="J25722" s="11"/>
      <c r="U25722" s="9"/>
      <c r="X25722" s="9"/>
    </row>
    <row r="25723">
      <c r="D25723" s="9"/>
      <c r="G25723" s="9"/>
      <c r="J25723" s="11"/>
      <c r="U25723" s="9"/>
      <c r="X25723" s="9"/>
    </row>
    <row r="25724">
      <c r="D25724" s="9"/>
      <c r="G25724" s="9"/>
      <c r="J25724" s="11"/>
      <c r="U25724" s="9"/>
      <c r="X25724" s="9"/>
    </row>
    <row r="25725">
      <c r="D25725" s="9"/>
      <c r="G25725" s="9"/>
      <c r="J25725" s="11"/>
      <c r="U25725" s="9"/>
      <c r="X25725" s="9"/>
    </row>
    <row r="25726">
      <c r="D25726" s="9"/>
      <c r="G25726" s="9"/>
      <c r="J25726" s="11"/>
      <c r="U25726" s="9"/>
      <c r="X25726" s="9"/>
    </row>
    <row r="25727">
      <c r="D25727" s="9"/>
      <c r="G25727" s="9"/>
      <c r="J25727" s="11"/>
      <c r="U25727" s="9"/>
      <c r="X25727" s="9"/>
    </row>
    <row r="25728">
      <c r="D25728" s="9"/>
      <c r="G25728" s="9"/>
      <c r="J25728" s="11"/>
      <c r="U25728" s="9"/>
      <c r="X25728" s="9"/>
    </row>
    <row r="25729">
      <c r="D25729" s="9"/>
      <c r="G25729" s="9"/>
      <c r="J25729" s="11"/>
      <c r="U25729" s="9"/>
      <c r="X25729" s="9"/>
    </row>
    <row r="25730">
      <c r="D25730" s="9"/>
      <c r="G25730" s="9"/>
      <c r="J25730" s="11"/>
      <c r="U25730" s="9"/>
      <c r="X25730" s="9"/>
    </row>
    <row r="25731">
      <c r="D25731" s="9"/>
      <c r="G25731" s="9"/>
      <c r="J25731" s="11"/>
      <c r="U25731" s="9"/>
      <c r="X25731" s="9"/>
    </row>
    <row r="25732">
      <c r="D25732" s="9"/>
      <c r="G25732" s="9"/>
      <c r="J25732" s="11"/>
      <c r="U25732" s="9"/>
      <c r="X25732" s="9"/>
    </row>
    <row r="25733">
      <c r="D25733" s="9"/>
      <c r="G25733" s="9"/>
      <c r="J25733" s="11"/>
      <c r="U25733" s="9"/>
      <c r="X25733" s="9"/>
    </row>
    <row r="25734">
      <c r="D25734" s="9"/>
      <c r="G25734" s="9"/>
      <c r="J25734" s="11"/>
      <c r="U25734" s="9"/>
      <c r="X25734" s="9"/>
    </row>
    <row r="25735">
      <c r="D25735" s="9"/>
      <c r="G25735" s="9"/>
      <c r="J25735" s="11"/>
      <c r="U25735" s="9"/>
      <c r="X25735" s="9"/>
    </row>
    <row r="25736">
      <c r="D25736" s="9"/>
      <c r="G25736" s="9"/>
      <c r="J25736" s="11"/>
      <c r="U25736" s="9"/>
      <c r="X25736" s="9"/>
    </row>
    <row r="25737">
      <c r="D25737" s="9"/>
      <c r="G25737" s="9"/>
      <c r="J25737" s="11"/>
      <c r="U25737" s="9"/>
      <c r="X25737" s="9"/>
    </row>
    <row r="25738">
      <c r="D25738" s="9"/>
      <c r="G25738" s="9"/>
      <c r="J25738" s="11"/>
      <c r="U25738" s="9"/>
      <c r="X25738" s="9"/>
    </row>
    <row r="25739">
      <c r="D25739" s="9"/>
      <c r="G25739" s="9"/>
      <c r="J25739" s="11"/>
      <c r="U25739" s="9"/>
      <c r="X25739" s="9"/>
    </row>
    <row r="25740">
      <c r="D25740" s="9"/>
      <c r="G25740" s="9"/>
      <c r="J25740" s="11"/>
      <c r="U25740" s="9"/>
      <c r="X25740" s="9"/>
    </row>
    <row r="25741">
      <c r="D25741" s="9"/>
      <c r="G25741" s="9"/>
      <c r="J25741" s="11"/>
      <c r="U25741" s="9"/>
      <c r="X25741" s="9"/>
    </row>
    <row r="25742">
      <c r="D25742" s="9"/>
      <c r="G25742" s="9"/>
      <c r="J25742" s="11"/>
      <c r="U25742" s="9"/>
      <c r="X25742" s="9"/>
    </row>
    <row r="25743">
      <c r="D25743" s="9"/>
      <c r="G25743" s="9"/>
      <c r="J25743" s="11"/>
      <c r="U25743" s="9"/>
      <c r="X25743" s="9"/>
    </row>
    <row r="25744">
      <c r="D25744" s="9"/>
      <c r="G25744" s="9"/>
      <c r="J25744" s="11"/>
      <c r="U25744" s="9"/>
      <c r="X25744" s="9"/>
    </row>
    <row r="25745">
      <c r="D25745" s="9"/>
      <c r="G25745" s="9"/>
      <c r="J25745" s="11"/>
      <c r="U25745" s="9"/>
      <c r="X25745" s="9"/>
    </row>
    <row r="25746">
      <c r="D25746" s="9"/>
      <c r="G25746" s="9"/>
      <c r="J25746" s="11"/>
      <c r="U25746" s="9"/>
      <c r="X25746" s="9"/>
    </row>
    <row r="25747">
      <c r="D25747" s="9"/>
      <c r="G25747" s="9"/>
      <c r="J25747" s="11"/>
      <c r="U25747" s="9"/>
      <c r="X25747" s="9"/>
    </row>
    <row r="25748">
      <c r="D25748" s="9"/>
      <c r="G25748" s="9"/>
      <c r="J25748" s="11"/>
      <c r="U25748" s="9"/>
      <c r="X25748" s="9"/>
    </row>
    <row r="25749">
      <c r="D25749" s="9"/>
      <c r="G25749" s="9"/>
      <c r="J25749" s="11"/>
      <c r="U25749" s="9"/>
      <c r="X25749" s="9"/>
    </row>
    <row r="25750">
      <c r="D25750" s="9"/>
      <c r="G25750" s="9"/>
      <c r="J25750" s="11"/>
      <c r="U25750" s="9"/>
      <c r="X25750" s="9"/>
    </row>
    <row r="25751">
      <c r="D25751" s="9"/>
      <c r="G25751" s="9"/>
      <c r="J25751" s="11"/>
      <c r="U25751" s="9"/>
      <c r="X25751" s="9"/>
    </row>
    <row r="25752">
      <c r="D25752" s="9"/>
      <c r="G25752" s="9"/>
      <c r="J25752" s="11"/>
      <c r="U25752" s="9"/>
      <c r="X25752" s="9"/>
    </row>
    <row r="25753">
      <c r="D25753" s="9"/>
      <c r="G25753" s="9"/>
      <c r="J25753" s="11"/>
      <c r="U25753" s="9"/>
      <c r="X25753" s="9"/>
    </row>
    <row r="25754">
      <c r="D25754" s="9"/>
      <c r="G25754" s="9"/>
      <c r="J25754" s="11"/>
      <c r="U25754" s="9"/>
      <c r="X25754" s="9"/>
    </row>
    <row r="25755">
      <c r="D25755" s="9"/>
      <c r="G25755" s="9"/>
      <c r="J25755" s="11"/>
      <c r="U25755" s="9"/>
      <c r="X25755" s="9"/>
    </row>
    <row r="25756">
      <c r="D25756" s="9"/>
      <c r="G25756" s="9"/>
      <c r="J25756" s="11"/>
      <c r="U25756" s="9"/>
      <c r="X25756" s="9"/>
    </row>
    <row r="25757">
      <c r="D25757" s="9"/>
      <c r="G25757" s="9"/>
      <c r="J25757" s="11"/>
      <c r="U25757" s="9"/>
      <c r="X25757" s="9"/>
    </row>
    <row r="25758">
      <c r="D25758" s="9"/>
      <c r="G25758" s="9"/>
      <c r="J25758" s="11"/>
      <c r="U25758" s="9"/>
      <c r="X25758" s="9"/>
    </row>
    <row r="25759">
      <c r="D25759" s="9"/>
      <c r="G25759" s="9"/>
      <c r="J25759" s="11"/>
      <c r="U25759" s="9"/>
      <c r="X25759" s="9"/>
    </row>
    <row r="25760">
      <c r="D25760" s="9"/>
      <c r="G25760" s="9"/>
      <c r="J25760" s="11"/>
      <c r="U25760" s="9"/>
      <c r="X25760" s="9"/>
    </row>
    <row r="25761">
      <c r="D25761" s="9"/>
      <c r="G25761" s="9"/>
      <c r="J25761" s="11"/>
      <c r="U25761" s="9"/>
      <c r="X25761" s="9"/>
    </row>
    <row r="25762">
      <c r="D25762" s="9"/>
      <c r="G25762" s="9"/>
      <c r="J25762" s="11"/>
      <c r="U25762" s="9"/>
      <c r="X25762" s="9"/>
    </row>
    <row r="25763">
      <c r="D25763" s="9"/>
      <c r="G25763" s="9"/>
      <c r="J25763" s="11"/>
      <c r="U25763" s="9"/>
      <c r="X25763" s="9"/>
    </row>
    <row r="25764">
      <c r="D25764" s="9"/>
      <c r="G25764" s="9"/>
      <c r="J25764" s="11"/>
      <c r="U25764" s="9"/>
      <c r="X25764" s="9"/>
    </row>
    <row r="25765">
      <c r="D25765" s="9"/>
      <c r="G25765" s="9"/>
      <c r="J25765" s="11"/>
      <c r="U25765" s="9"/>
      <c r="X25765" s="9"/>
    </row>
    <row r="25766">
      <c r="D25766" s="9"/>
      <c r="G25766" s="9"/>
      <c r="J25766" s="11"/>
      <c r="U25766" s="9"/>
      <c r="X25766" s="9"/>
    </row>
    <row r="25767">
      <c r="D25767" s="9"/>
      <c r="G25767" s="9"/>
      <c r="J25767" s="11"/>
      <c r="U25767" s="9"/>
      <c r="X25767" s="9"/>
    </row>
    <row r="25768">
      <c r="D25768" s="9"/>
      <c r="G25768" s="9"/>
      <c r="J25768" s="11"/>
      <c r="U25768" s="9"/>
      <c r="X25768" s="9"/>
    </row>
    <row r="25769">
      <c r="D25769" s="9"/>
      <c r="G25769" s="9"/>
      <c r="J25769" s="11"/>
      <c r="U25769" s="9"/>
      <c r="X25769" s="9"/>
    </row>
    <row r="25770">
      <c r="D25770" s="9"/>
      <c r="G25770" s="9"/>
      <c r="J25770" s="11"/>
      <c r="U25770" s="9"/>
      <c r="X25770" s="9"/>
    </row>
    <row r="25771">
      <c r="D25771" s="9"/>
      <c r="G25771" s="9"/>
      <c r="J25771" s="11"/>
      <c r="U25771" s="9"/>
      <c r="X25771" s="9"/>
    </row>
    <row r="25772">
      <c r="D25772" s="9"/>
      <c r="G25772" s="9"/>
      <c r="J25772" s="11"/>
      <c r="U25772" s="9"/>
      <c r="X25772" s="9"/>
    </row>
    <row r="25773">
      <c r="D25773" s="9"/>
      <c r="G25773" s="9"/>
      <c r="J25773" s="11"/>
      <c r="U25773" s="9"/>
      <c r="X25773" s="9"/>
    </row>
    <row r="25774">
      <c r="D25774" s="9"/>
      <c r="G25774" s="9"/>
      <c r="J25774" s="11"/>
      <c r="U25774" s="9"/>
      <c r="X25774" s="9"/>
    </row>
    <row r="25775">
      <c r="D25775" s="9"/>
      <c r="G25775" s="9"/>
      <c r="J25775" s="11"/>
      <c r="U25775" s="9"/>
      <c r="X25775" s="9"/>
    </row>
    <row r="25776">
      <c r="D25776" s="9"/>
      <c r="G25776" s="9"/>
      <c r="J25776" s="11"/>
      <c r="U25776" s="9"/>
      <c r="X25776" s="9"/>
    </row>
    <row r="25777">
      <c r="D25777" s="9"/>
      <c r="G25777" s="9"/>
      <c r="J25777" s="11"/>
      <c r="U25777" s="9"/>
      <c r="X25777" s="9"/>
    </row>
    <row r="25778">
      <c r="D25778" s="9"/>
      <c r="G25778" s="9"/>
      <c r="J25778" s="11"/>
      <c r="U25778" s="9"/>
      <c r="X25778" s="9"/>
    </row>
    <row r="25779">
      <c r="D25779" s="9"/>
      <c r="G25779" s="9"/>
      <c r="J25779" s="11"/>
      <c r="U25779" s="9"/>
      <c r="X25779" s="9"/>
    </row>
    <row r="25780">
      <c r="D25780" s="9"/>
      <c r="G25780" s="9"/>
      <c r="J25780" s="11"/>
      <c r="U25780" s="9"/>
      <c r="X25780" s="9"/>
    </row>
    <row r="25781">
      <c r="D25781" s="9"/>
      <c r="G25781" s="9"/>
      <c r="J25781" s="11"/>
      <c r="U25781" s="9"/>
      <c r="X25781" s="9"/>
    </row>
    <row r="25782">
      <c r="D25782" s="9"/>
      <c r="G25782" s="9"/>
      <c r="J25782" s="11"/>
      <c r="U25782" s="9"/>
      <c r="X25782" s="9"/>
    </row>
    <row r="25783">
      <c r="D25783" s="9"/>
      <c r="G25783" s="9"/>
      <c r="J25783" s="11"/>
      <c r="U25783" s="9"/>
      <c r="X25783" s="9"/>
    </row>
    <row r="25784">
      <c r="D25784" s="9"/>
      <c r="G25784" s="9"/>
      <c r="J25784" s="11"/>
      <c r="U25784" s="9"/>
      <c r="X25784" s="9"/>
    </row>
    <row r="25785">
      <c r="D25785" s="9"/>
      <c r="G25785" s="9"/>
      <c r="J25785" s="11"/>
      <c r="U25785" s="9"/>
      <c r="X25785" s="9"/>
    </row>
    <row r="25786">
      <c r="D25786" s="9"/>
      <c r="G25786" s="9"/>
      <c r="J25786" s="11"/>
      <c r="U25786" s="9"/>
      <c r="X25786" s="9"/>
    </row>
    <row r="25787">
      <c r="D25787" s="9"/>
      <c r="G25787" s="9"/>
      <c r="J25787" s="11"/>
      <c r="U25787" s="9"/>
      <c r="X25787" s="9"/>
    </row>
    <row r="25788">
      <c r="D25788" s="9"/>
      <c r="G25788" s="9"/>
      <c r="J25788" s="11"/>
      <c r="U25788" s="9"/>
      <c r="X25788" s="9"/>
    </row>
    <row r="25789">
      <c r="D25789" s="9"/>
      <c r="G25789" s="9"/>
      <c r="J25789" s="11"/>
      <c r="U25789" s="9"/>
      <c r="X25789" s="9"/>
    </row>
    <row r="25790">
      <c r="D25790" s="9"/>
      <c r="G25790" s="9"/>
      <c r="J25790" s="11"/>
      <c r="U25790" s="9"/>
      <c r="X25790" s="9"/>
    </row>
    <row r="25791">
      <c r="D25791" s="9"/>
      <c r="G25791" s="9"/>
      <c r="J25791" s="11"/>
      <c r="U25791" s="9"/>
      <c r="X25791" s="9"/>
    </row>
    <row r="25792">
      <c r="D25792" s="9"/>
      <c r="G25792" s="9"/>
      <c r="J25792" s="11"/>
      <c r="U25792" s="9"/>
      <c r="X25792" s="9"/>
    </row>
    <row r="25793">
      <c r="D25793" s="9"/>
      <c r="G25793" s="9"/>
      <c r="J25793" s="11"/>
      <c r="U25793" s="9"/>
      <c r="X25793" s="9"/>
    </row>
    <row r="25794">
      <c r="D25794" s="9"/>
      <c r="G25794" s="9"/>
      <c r="J25794" s="11"/>
      <c r="U25794" s="9"/>
      <c r="X25794" s="9"/>
    </row>
    <row r="25795">
      <c r="D25795" s="9"/>
      <c r="G25795" s="9"/>
      <c r="J25795" s="11"/>
      <c r="U25795" s="9"/>
      <c r="X25795" s="9"/>
    </row>
    <row r="25796">
      <c r="D25796" s="9"/>
      <c r="G25796" s="9"/>
      <c r="J25796" s="11"/>
      <c r="U25796" s="9"/>
      <c r="X25796" s="9"/>
    </row>
    <row r="25797">
      <c r="D25797" s="9"/>
      <c r="G25797" s="9"/>
      <c r="J25797" s="11"/>
      <c r="U25797" s="9"/>
      <c r="X25797" s="9"/>
    </row>
    <row r="25798">
      <c r="D25798" s="9"/>
      <c r="G25798" s="9"/>
      <c r="J25798" s="11"/>
      <c r="U25798" s="9"/>
      <c r="X25798" s="9"/>
    </row>
    <row r="25799">
      <c r="D25799" s="9"/>
      <c r="G25799" s="9"/>
      <c r="J25799" s="11"/>
      <c r="U25799" s="9"/>
      <c r="X25799" s="9"/>
    </row>
    <row r="25800">
      <c r="D25800" s="9"/>
      <c r="G25800" s="9"/>
      <c r="J25800" s="11"/>
      <c r="U25800" s="9"/>
      <c r="X25800" s="9"/>
    </row>
    <row r="25801">
      <c r="D25801" s="9"/>
      <c r="G25801" s="9"/>
      <c r="J25801" s="11"/>
      <c r="U25801" s="9"/>
      <c r="X25801" s="9"/>
    </row>
    <row r="25802">
      <c r="D25802" s="9"/>
      <c r="G25802" s="9"/>
      <c r="J25802" s="11"/>
      <c r="U25802" s="9"/>
      <c r="X25802" s="9"/>
    </row>
    <row r="25803">
      <c r="D25803" s="9"/>
      <c r="G25803" s="9"/>
      <c r="J25803" s="11"/>
      <c r="U25803" s="9"/>
      <c r="X25803" s="9"/>
    </row>
    <row r="25804">
      <c r="D25804" s="9"/>
      <c r="G25804" s="9"/>
      <c r="J25804" s="11"/>
      <c r="U25804" s="9"/>
      <c r="X25804" s="9"/>
    </row>
    <row r="25805">
      <c r="D25805" s="9"/>
      <c r="G25805" s="9"/>
      <c r="J25805" s="11"/>
      <c r="U25805" s="9"/>
      <c r="X25805" s="9"/>
    </row>
    <row r="25806">
      <c r="D25806" s="9"/>
      <c r="G25806" s="9"/>
      <c r="J25806" s="11"/>
      <c r="U25806" s="9"/>
      <c r="X25806" s="9"/>
    </row>
    <row r="25807">
      <c r="D25807" s="9"/>
      <c r="G25807" s="9"/>
      <c r="J25807" s="11"/>
      <c r="U25807" s="9"/>
      <c r="X25807" s="9"/>
    </row>
    <row r="25808">
      <c r="D25808" s="9"/>
      <c r="G25808" s="9"/>
      <c r="J25808" s="11"/>
      <c r="U25808" s="9"/>
      <c r="X25808" s="9"/>
    </row>
    <row r="25809">
      <c r="D25809" s="9"/>
      <c r="G25809" s="9"/>
      <c r="J25809" s="11"/>
      <c r="U25809" s="9"/>
      <c r="X25809" s="9"/>
    </row>
    <row r="25810">
      <c r="D25810" s="9"/>
      <c r="G25810" s="9"/>
      <c r="J25810" s="11"/>
      <c r="U25810" s="9"/>
      <c r="X25810" s="9"/>
    </row>
    <row r="25811">
      <c r="D25811" s="9"/>
      <c r="G25811" s="9"/>
      <c r="J25811" s="11"/>
      <c r="U25811" s="9"/>
      <c r="X25811" s="9"/>
    </row>
    <row r="25812">
      <c r="D25812" s="9"/>
      <c r="G25812" s="9"/>
      <c r="J25812" s="11"/>
      <c r="U25812" s="9"/>
      <c r="X25812" s="9"/>
    </row>
    <row r="25813">
      <c r="D25813" s="9"/>
      <c r="G25813" s="9"/>
      <c r="J25813" s="11"/>
      <c r="U25813" s="9"/>
      <c r="X25813" s="9"/>
    </row>
    <row r="25814">
      <c r="D25814" s="9"/>
      <c r="G25814" s="9"/>
      <c r="J25814" s="11"/>
      <c r="U25814" s="9"/>
      <c r="X25814" s="9"/>
    </row>
    <row r="25815">
      <c r="D25815" s="9"/>
      <c r="G25815" s="9"/>
      <c r="J25815" s="11"/>
      <c r="U25815" s="9"/>
      <c r="X25815" s="9"/>
    </row>
    <row r="25816">
      <c r="D25816" s="9"/>
      <c r="G25816" s="9"/>
      <c r="J25816" s="11"/>
      <c r="U25816" s="9"/>
      <c r="X25816" s="9"/>
    </row>
    <row r="25817">
      <c r="D25817" s="9"/>
      <c r="G25817" s="9"/>
      <c r="J25817" s="11"/>
      <c r="U25817" s="9"/>
      <c r="X25817" s="9"/>
    </row>
    <row r="25818">
      <c r="D25818" s="9"/>
      <c r="G25818" s="9"/>
      <c r="J25818" s="11"/>
      <c r="U25818" s="9"/>
      <c r="X25818" s="9"/>
    </row>
    <row r="25819">
      <c r="D25819" s="9"/>
      <c r="G25819" s="9"/>
      <c r="J25819" s="11"/>
      <c r="U25819" s="9"/>
      <c r="X25819" s="9"/>
    </row>
    <row r="25820">
      <c r="D25820" s="9"/>
      <c r="G25820" s="9"/>
      <c r="J25820" s="11"/>
      <c r="U25820" s="9"/>
      <c r="X25820" s="9"/>
    </row>
    <row r="25821">
      <c r="D25821" s="9"/>
      <c r="G25821" s="9"/>
      <c r="J25821" s="11"/>
      <c r="U25821" s="9"/>
      <c r="X25821" s="9"/>
    </row>
    <row r="25822">
      <c r="D25822" s="9"/>
      <c r="G25822" s="9"/>
      <c r="J25822" s="11"/>
      <c r="U25822" s="9"/>
      <c r="X25822" s="9"/>
    </row>
    <row r="25823">
      <c r="D25823" s="9"/>
      <c r="G25823" s="9"/>
      <c r="J25823" s="11"/>
      <c r="U25823" s="9"/>
      <c r="X25823" s="9"/>
    </row>
    <row r="25824">
      <c r="D25824" s="9"/>
      <c r="G25824" s="9"/>
      <c r="J25824" s="11"/>
      <c r="U25824" s="9"/>
      <c r="X25824" s="9"/>
    </row>
    <row r="25825">
      <c r="D25825" s="9"/>
      <c r="G25825" s="9"/>
      <c r="J25825" s="11"/>
      <c r="U25825" s="9"/>
      <c r="X25825" s="9"/>
    </row>
    <row r="25826">
      <c r="D25826" s="9"/>
      <c r="G25826" s="9"/>
      <c r="J25826" s="11"/>
      <c r="U25826" s="9"/>
      <c r="X25826" s="9"/>
    </row>
    <row r="25827">
      <c r="D25827" s="9"/>
      <c r="G25827" s="9"/>
      <c r="J25827" s="11"/>
      <c r="U25827" s="9"/>
      <c r="X25827" s="9"/>
    </row>
    <row r="25828">
      <c r="D25828" s="9"/>
      <c r="G25828" s="9"/>
      <c r="J25828" s="11"/>
      <c r="U25828" s="9"/>
      <c r="X25828" s="9"/>
    </row>
    <row r="25829">
      <c r="D25829" s="9"/>
      <c r="G25829" s="9"/>
      <c r="J25829" s="11"/>
      <c r="U25829" s="9"/>
      <c r="X25829" s="9"/>
    </row>
    <row r="25830">
      <c r="D25830" s="9"/>
      <c r="G25830" s="9"/>
      <c r="J25830" s="11"/>
      <c r="U25830" s="9"/>
      <c r="X25830" s="9"/>
    </row>
    <row r="25831">
      <c r="D25831" s="9"/>
      <c r="G25831" s="9"/>
      <c r="J25831" s="11"/>
      <c r="U25831" s="9"/>
      <c r="X25831" s="9"/>
    </row>
    <row r="25832">
      <c r="D25832" s="9"/>
      <c r="G25832" s="9"/>
      <c r="J25832" s="11"/>
      <c r="U25832" s="9"/>
      <c r="X25832" s="9"/>
    </row>
    <row r="25833">
      <c r="D25833" s="9"/>
      <c r="G25833" s="9"/>
      <c r="J25833" s="11"/>
      <c r="U25833" s="9"/>
      <c r="X25833" s="9"/>
    </row>
    <row r="25834">
      <c r="D25834" s="9"/>
      <c r="G25834" s="9"/>
      <c r="J25834" s="11"/>
      <c r="U25834" s="9"/>
      <c r="X25834" s="9"/>
    </row>
    <row r="25835">
      <c r="D25835" s="9"/>
      <c r="G25835" s="9"/>
      <c r="J25835" s="11"/>
      <c r="U25835" s="9"/>
      <c r="X25835" s="9"/>
    </row>
    <row r="25836">
      <c r="D25836" s="9"/>
      <c r="G25836" s="9"/>
      <c r="J25836" s="11"/>
      <c r="U25836" s="9"/>
      <c r="X25836" s="9"/>
    </row>
    <row r="25837">
      <c r="D25837" s="9"/>
      <c r="G25837" s="9"/>
      <c r="J25837" s="11"/>
      <c r="U25837" s="9"/>
      <c r="X25837" s="9"/>
    </row>
    <row r="25838">
      <c r="D25838" s="9"/>
      <c r="G25838" s="9"/>
      <c r="J25838" s="11"/>
      <c r="U25838" s="9"/>
      <c r="X25838" s="9"/>
    </row>
    <row r="25839">
      <c r="D25839" s="9"/>
      <c r="G25839" s="9"/>
      <c r="J25839" s="11"/>
      <c r="U25839" s="9"/>
      <c r="X25839" s="9"/>
    </row>
    <row r="25840">
      <c r="D25840" s="9"/>
      <c r="G25840" s="9"/>
      <c r="J25840" s="11"/>
      <c r="U25840" s="9"/>
      <c r="X25840" s="9"/>
    </row>
    <row r="25841">
      <c r="D25841" s="9"/>
      <c r="G25841" s="9"/>
      <c r="J25841" s="11"/>
      <c r="U25841" s="9"/>
      <c r="X25841" s="9"/>
    </row>
    <row r="25842">
      <c r="D25842" s="9"/>
      <c r="G25842" s="9"/>
      <c r="J25842" s="11"/>
      <c r="U25842" s="9"/>
      <c r="X25842" s="9"/>
    </row>
    <row r="25843">
      <c r="D25843" s="9"/>
      <c r="G25843" s="9"/>
      <c r="J25843" s="11"/>
      <c r="U25843" s="9"/>
      <c r="X25843" s="9"/>
    </row>
    <row r="25844">
      <c r="D25844" s="9"/>
      <c r="G25844" s="9"/>
      <c r="J25844" s="11"/>
      <c r="U25844" s="9"/>
      <c r="X25844" s="9"/>
    </row>
    <row r="25845">
      <c r="D25845" s="9"/>
      <c r="G25845" s="9"/>
      <c r="J25845" s="11"/>
      <c r="U25845" s="9"/>
      <c r="X25845" s="9"/>
    </row>
    <row r="25846">
      <c r="D25846" s="9"/>
      <c r="G25846" s="9"/>
      <c r="J25846" s="11"/>
      <c r="U25846" s="9"/>
      <c r="X25846" s="9"/>
    </row>
    <row r="25847">
      <c r="D25847" s="9"/>
      <c r="G25847" s="9"/>
      <c r="J25847" s="11"/>
      <c r="U25847" s="9"/>
      <c r="X25847" s="9"/>
    </row>
    <row r="25848">
      <c r="D25848" s="9"/>
      <c r="G25848" s="9"/>
      <c r="J25848" s="11"/>
      <c r="U25848" s="9"/>
      <c r="X25848" s="9"/>
    </row>
    <row r="25849">
      <c r="D25849" s="9"/>
      <c r="G25849" s="9"/>
      <c r="J25849" s="11"/>
      <c r="U25849" s="9"/>
      <c r="X25849" s="9"/>
    </row>
    <row r="25850">
      <c r="D25850" s="9"/>
      <c r="G25850" s="9"/>
      <c r="J25850" s="11"/>
      <c r="U25850" s="9"/>
      <c r="X25850" s="9"/>
    </row>
    <row r="25851">
      <c r="D25851" s="9"/>
      <c r="G25851" s="9"/>
      <c r="J25851" s="11"/>
      <c r="U25851" s="9"/>
      <c r="X25851" s="9"/>
    </row>
    <row r="25852">
      <c r="D25852" s="9"/>
      <c r="G25852" s="9"/>
      <c r="J25852" s="11"/>
      <c r="U25852" s="9"/>
      <c r="X25852" s="9"/>
    </row>
    <row r="25853">
      <c r="D25853" s="9"/>
      <c r="G25853" s="9"/>
      <c r="J25853" s="11"/>
      <c r="U25853" s="9"/>
      <c r="X25853" s="9"/>
    </row>
    <row r="25854">
      <c r="D25854" s="9"/>
      <c r="G25854" s="9"/>
      <c r="J25854" s="11"/>
      <c r="U25854" s="9"/>
      <c r="X25854" s="9"/>
    </row>
    <row r="25855">
      <c r="D25855" s="9"/>
      <c r="G25855" s="9"/>
      <c r="J25855" s="11"/>
      <c r="U25855" s="9"/>
      <c r="X25855" s="9"/>
    </row>
    <row r="25856">
      <c r="D25856" s="9"/>
      <c r="G25856" s="9"/>
      <c r="J25856" s="11"/>
      <c r="U25856" s="9"/>
      <c r="X25856" s="9"/>
    </row>
    <row r="25857">
      <c r="D25857" s="9"/>
      <c r="G25857" s="9"/>
      <c r="J25857" s="11"/>
      <c r="U25857" s="9"/>
      <c r="X25857" s="9"/>
    </row>
    <row r="25858">
      <c r="D25858" s="9"/>
      <c r="G25858" s="9"/>
      <c r="J25858" s="11"/>
      <c r="U25858" s="9"/>
      <c r="X25858" s="9"/>
    </row>
    <row r="25859">
      <c r="D25859" s="9"/>
      <c r="G25859" s="9"/>
      <c r="J25859" s="11"/>
      <c r="U25859" s="9"/>
      <c r="X25859" s="9"/>
    </row>
    <row r="25860">
      <c r="D25860" s="9"/>
      <c r="G25860" s="9"/>
      <c r="J25860" s="11"/>
      <c r="U25860" s="9"/>
      <c r="X25860" s="9"/>
    </row>
    <row r="25861">
      <c r="D25861" s="9"/>
      <c r="G25861" s="9"/>
      <c r="J25861" s="11"/>
      <c r="U25861" s="9"/>
      <c r="X25861" s="9"/>
    </row>
    <row r="25862">
      <c r="D25862" s="9"/>
      <c r="G25862" s="9"/>
      <c r="J25862" s="11"/>
      <c r="U25862" s="9"/>
      <c r="X25862" s="9"/>
    </row>
    <row r="25863">
      <c r="D25863" s="9"/>
      <c r="G25863" s="9"/>
      <c r="J25863" s="11"/>
      <c r="U25863" s="9"/>
      <c r="X25863" s="9"/>
    </row>
    <row r="25864">
      <c r="D25864" s="9"/>
      <c r="G25864" s="9"/>
      <c r="J25864" s="11"/>
      <c r="U25864" s="9"/>
      <c r="X25864" s="9"/>
    </row>
    <row r="25865">
      <c r="D25865" s="9"/>
      <c r="G25865" s="9"/>
      <c r="J25865" s="11"/>
      <c r="U25865" s="9"/>
      <c r="X25865" s="9"/>
    </row>
    <row r="25866">
      <c r="D25866" s="9"/>
      <c r="G25866" s="9"/>
      <c r="J25866" s="11"/>
      <c r="U25866" s="9"/>
      <c r="X25866" s="9"/>
    </row>
    <row r="25867">
      <c r="D25867" s="9"/>
      <c r="G25867" s="9"/>
      <c r="J25867" s="11"/>
      <c r="U25867" s="9"/>
      <c r="X25867" s="9"/>
    </row>
    <row r="25868">
      <c r="D25868" s="9"/>
      <c r="G25868" s="9"/>
      <c r="J25868" s="11"/>
      <c r="U25868" s="9"/>
      <c r="X25868" s="9"/>
    </row>
    <row r="25869">
      <c r="D25869" s="9"/>
      <c r="G25869" s="9"/>
      <c r="J25869" s="11"/>
      <c r="U25869" s="9"/>
      <c r="X25869" s="9"/>
    </row>
    <row r="25870">
      <c r="D25870" s="9"/>
      <c r="G25870" s="9"/>
      <c r="J25870" s="11"/>
      <c r="U25870" s="9"/>
      <c r="X25870" s="9"/>
    </row>
    <row r="25871">
      <c r="D25871" s="9"/>
      <c r="G25871" s="9"/>
      <c r="J25871" s="11"/>
      <c r="U25871" s="9"/>
      <c r="X25871" s="9"/>
    </row>
    <row r="25872">
      <c r="D25872" s="9"/>
      <c r="G25872" s="9"/>
      <c r="J25872" s="11"/>
      <c r="U25872" s="9"/>
      <c r="X25872" s="9"/>
    </row>
    <row r="25873">
      <c r="D25873" s="9"/>
      <c r="G25873" s="9"/>
      <c r="J25873" s="11"/>
      <c r="U25873" s="9"/>
      <c r="X25873" s="9"/>
    </row>
    <row r="25874">
      <c r="D25874" s="9"/>
      <c r="G25874" s="9"/>
      <c r="J25874" s="11"/>
      <c r="U25874" s="9"/>
      <c r="X25874" s="9"/>
    </row>
    <row r="25875">
      <c r="D25875" s="9"/>
      <c r="G25875" s="9"/>
      <c r="J25875" s="11"/>
      <c r="U25875" s="9"/>
      <c r="X25875" s="9"/>
    </row>
    <row r="25876">
      <c r="D25876" s="9"/>
      <c r="G25876" s="9"/>
      <c r="J25876" s="11"/>
      <c r="U25876" s="9"/>
      <c r="X25876" s="9"/>
    </row>
    <row r="25877">
      <c r="D25877" s="9"/>
      <c r="G25877" s="9"/>
      <c r="J25877" s="11"/>
      <c r="U25877" s="9"/>
      <c r="X25877" s="9"/>
    </row>
    <row r="25878">
      <c r="D25878" s="9"/>
      <c r="G25878" s="9"/>
      <c r="J25878" s="11"/>
      <c r="U25878" s="9"/>
      <c r="X25878" s="9"/>
    </row>
    <row r="25879">
      <c r="D25879" s="9"/>
      <c r="G25879" s="9"/>
      <c r="J25879" s="11"/>
      <c r="U25879" s="9"/>
      <c r="X25879" s="9"/>
    </row>
    <row r="25880">
      <c r="D25880" s="9"/>
      <c r="G25880" s="9"/>
      <c r="J25880" s="11"/>
      <c r="U25880" s="9"/>
      <c r="X25880" s="9"/>
    </row>
    <row r="25881">
      <c r="D25881" s="9"/>
      <c r="G25881" s="9"/>
      <c r="J25881" s="11"/>
      <c r="U25881" s="9"/>
      <c r="X25881" s="9"/>
    </row>
    <row r="25882">
      <c r="D25882" s="9"/>
      <c r="G25882" s="9"/>
      <c r="J25882" s="11"/>
      <c r="U25882" s="9"/>
      <c r="X25882" s="9"/>
    </row>
    <row r="25883">
      <c r="D25883" s="9"/>
      <c r="G25883" s="9"/>
      <c r="J25883" s="11"/>
      <c r="U25883" s="9"/>
      <c r="X25883" s="9"/>
    </row>
    <row r="25884">
      <c r="D25884" s="9"/>
      <c r="G25884" s="9"/>
      <c r="J25884" s="11"/>
      <c r="U25884" s="9"/>
      <c r="X25884" s="9"/>
    </row>
    <row r="25885">
      <c r="D25885" s="9"/>
      <c r="G25885" s="9"/>
      <c r="J25885" s="11"/>
      <c r="U25885" s="9"/>
      <c r="X25885" s="9"/>
    </row>
    <row r="25886">
      <c r="D25886" s="9"/>
      <c r="G25886" s="9"/>
      <c r="J25886" s="11"/>
      <c r="U25886" s="9"/>
      <c r="X25886" s="9"/>
    </row>
    <row r="25887">
      <c r="D25887" s="9"/>
      <c r="G25887" s="9"/>
      <c r="J25887" s="11"/>
      <c r="U25887" s="9"/>
      <c r="X25887" s="9"/>
    </row>
    <row r="25888">
      <c r="D25888" s="9"/>
      <c r="G25888" s="9"/>
      <c r="J25888" s="11"/>
      <c r="U25888" s="9"/>
      <c r="X25888" s="9"/>
    </row>
    <row r="25889">
      <c r="D25889" s="9"/>
      <c r="G25889" s="9"/>
      <c r="J25889" s="11"/>
      <c r="U25889" s="9"/>
      <c r="X25889" s="9"/>
    </row>
    <row r="25890">
      <c r="D25890" s="9"/>
      <c r="G25890" s="9"/>
      <c r="J25890" s="11"/>
      <c r="U25890" s="9"/>
      <c r="X25890" s="9"/>
    </row>
    <row r="25891">
      <c r="D25891" s="9"/>
      <c r="G25891" s="9"/>
      <c r="J25891" s="11"/>
      <c r="U25891" s="9"/>
      <c r="X25891" s="9"/>
    </row>
    <row r="25892">
      <c r="D25892" s="9"/>
      <c r="G25892" s="9"/>
      <c r="J25892" s="11"/>
      <c r="U25892" s="9"/>
      <c r="X25892" s="9"/>
    </row>
    <row r="25893">
      <c r="D25893" s="9"/>
      <c r="G25893" s="9"/>
      <c r="J25893" s="11"/>
      <c r="U25893" s="9"/>
      <c r="X25893" s="9"/>
    </row>
    <row r="25894">
      <c r="D25894" s="9"/>
      <c r="G25894" s="9"/>
      <c r="J25894" s="11"/>
      <c r="U25894" s="9"/>
      <c r="X25894" s="9"/>
    </row>
    <row r="25895">
      <c r="D25895" s="9"/>
      <c r="G25895" s="9"/>
      <c r="J25895" s="11"/>
      <c r="U25895" s="9"/>
      <c r="X25895" s="9"/>
    </row>
    <row r="25896">
      <c r="D25896" s="9"/>
      <c r="G25896" s="9"/>
      <c r="J25896" s="11"/>
      <c r="U25896" s="9"/>
      <c r="X25896" s="9"/>
    </row>
    <row r="25897">
      <c r="D25897" s="9"/>
      <c r="G25897" s="9"/>
      <c r="J25897" s="11"/>
      <c r="U25897" s="9"/>
      <c r="X25897" s="9"/>
    </row>
    <row r="25898">
      <c r="D25898" s="9"/>
      <c r="G25898" s="9"/>
      <c r="J25898" s="11"/>
      <c r="U25898" s="9"/>
      <c r="X25898" s="9"/>
    </row>
    <row r="25899">
      <c r="D25899" s="9"/>
      <c r="G25899" s="9"/>
      <c r="J25899" s="11"/>
      <c r="U25899" s="9"/>
      <c r="X25899" s="9"/>
    </row>
    <row r="25900">
      <c r="D25900" s="9"/>
      <c r="G25900" s="9"/>
      <c r="J25900" s="11"/>
      <c r="U25900" s="9"/>
      <c r="X25900" s="9"/>
    </row>
    <row r="25901">
      <c r="D25901" s="9"/>
      <c r="G25901" s="9"/>
      <c r="J25901" s="11"/>
      <c r="U25901" s="9"/>
      <c r="X25901" s="9"/>
    </row>
    <row r="25902">
      <c r="D25902" s="9"/>
      <c r="G25902" s="9"/>
      <c r="J25902" s="11"/>
      <c r="U25902" s="9"/>
      <c r="X25902" s="9"/>
    </row>
    <row r="25903">
      <c r="D25903" s="9"/>
      <c r="G25903" s="9"/>
      <c r="J25903" s="11"/>
      <c r="U25903" s="9"/>
      <c r="X25903" s="9"/>
    </row>
    <row r="25904">
      <c r="D25904" s="9"/>
      <c r="G25904" s="9"/>
      <c r="J25904" s="11"/>
      <c r="U25904" s="9"/>
      <c r="X25904" s="9"/>
    </row>
    <row r="25905">
      <c r="D25905" s="9"/>
      <c r="G25905" s="9"/>
      <c r="J25905" s="11"/>
      <c r="U25905" s="9"/>
      <c r="X25905" s="9"/>
    </row>
    <row r="25906">
      <c r="D25906" s="9"/>
      <c r="G25906" s="9"/>
      <c r="J25906" s="11"/>
      <c r="U25906" s="9"/>
      <c r="X25906" s="9"/>
    </row>
    <row r="25907">
      <c r="D25907" s="9"/>
      <c r="G25907" s="9"/>
      <c r="J25907" s="11"/>
      <c r="U25907" s="9"/>
      <c r="X25907" s="9"/>
    </row>
    <row r="25908">
      <c r="D25908" s="9"/>
      <c r="G25908" s="9"/>
      <c r="J25908" s="11"/>
      <c r="U25908" s="9"/>
      <c r="X25908" s="9"/>
    </row>
    <row r="25909">
      <c r="D25909" s="9"/>
      <c r="G25909" s="9"/>
      <c r="J25909" s="11"/>
      <c r="U25909" s="9"/>
      <c r="X25909" s="9"/>
    </row>
    <row r="25910">
      <c r="D25910" s="9"/>
      <c r="G25910" s="9"/>
      <c r="J25910" s="11"/>
      <c r="U25910" s="9"/>
      <c r="X25910" s="9"/>
    </row>
    <row r="25911">
      <c r="D25911" s="9"/>
      <c r="G25911" s="9"/>
      <c r="J25911" s="11"/>
      <c r="U25911" s="9"/>
      <c r="X25911" s="9"/>
    </row>
    <row r="25912">
      <c r="D25912" s="9"/>
      <c r="G25912" s="9"/>
      <c r="J25912" s="11"/>
      <c r="U25912" s="9"/>
      <c r="X25912" s="9"/>
    </row>
    <row r="25913">
      <c r="D25913" s="9"/>
      <c r="G25913" s="9"/>
      <c r="J25913" s="11"/>
      <c r="U25913" s="9"/>
      <c r="X25913" s="9"/>
    </row>
    <row r="25914">
      <c r="D25914" s="9"/>
      <c r="G25914" s="9"/>
      <c r="J25914" s="11"/>
      <c r="U25914" s="9"/>
      <c r="X25914" s="9"/>
    </row>
    <row r="25915">
      <c r="D25915" s="9"/>
      <c r="G25915" s="9"/>
      <c r="J25915" s="11"/>
      <c r="U25915" s="9"/>
      <c r="X25915" s="9"/>
    </row>
    <row r="25916">
      <c r="D25916" s="9"/>
      <c r="G25916" s="9"/>
      <c r="J25916" s="11"/>
      <c r="U25916" s="9"/>
      <c r="X25916" s="9"/>
    </row>
    <row r="25917">
      <c r="D25917" s="9"/>
      <c r="G25917" s="9"/>
      <c r="J25917" s="11"/>
      <c r="U25917" s="9"/>
      <c r="X25917" s="9"/>
    </row>
    <row r="25918">
      <c r="D25918" s="9"/>
      <c r="G25918" s="9"/>
      <c r="J25918" s="11"/>
      <c r="U25918" s="9"/>
      <c r="X25918" s="9"/>
    </row>
    <row r="25919">
      <c r="D25919" s="9"/>
      <c r="G25919" s="9"/>
      <c r="J25919" s="11"/>
      <c r="U25919" s="9"/>
      <c r="X25919" s="9"/>
    </row>
    <row r="25920">
      <c r="D25920" s="9"/>
      <c r="G25920" s="9"/>
      <c r="J25920" s="11"/>
      <c r="U25920" s="9"/>
      <c r="X25920" s="9"/>
    </row>
    <row r="25921">
      <c r="D25921" s="9"/>
      <c r="G25921" s="9"/>
      <c r="J25921" s="11"/>
      <c r="U25921" s="9"/>
      <c r="X25921" s="9"/>
    </row>
    <row r="25922">
      <c r="D25922" s="9"/>
      <c r="G25922" s="9"/>
      <c r="J25922" s="11"/>
      <c r="U25922" s="9"/>
      <c r="X25922" s="9"/>
    </row>
    <row r="25923">
      <c r="D25923" s="9"/>
      <c r="G25923" s="9"/>
      <c r="J25923" s="11"/>
      <c r="U25923" s="9"/>
      <c r="X25923" s="9"/>
    </row>
    <row r="25924">
      <c r="D25924" s="9"/>
      <c r="G25924" s="9"/>
      <c r="J25924" s="11"/>
      <c r="U25924" s="9"/>
      <c r="X25924" s="9"/>
    </row>
    <row r="25925">
      <c r="D25925" s="9"/>
      <c r="G25925" s="9"/>
      <c r="J25925" s="11"/>
      <c r="U25925" s="9"/>
      <c r="X25925" s="9"/>
    </row>
    <row r="25926">
      <c r="D25926" s="9"/>
      <c r="G25926" s="9"/>
      <c r="J25926" s="11"/>
      <c r="U25926" s="9"/>
      <c r="X25926" s="9"/>
    </row>
    <row r="25927">
      <c r="D25927" s="9"/>
      <c r="G25927" s="9"/>
      <c r="J25927" s="11"/>
      <c r="U25927" s="9"/>
      <c r="X25927" s="9"/>
    </row>
    <row r="25928">
      <c r="D25928" s="9"/>
      <c r="G25928" s="9"/>
      <c r="J25928" s="11"/>
      <c r="U25928" s="9"/>
      <c r="X25928" s="9"/>
    </row>
    <row r="25929">
      <c r="D25929" s="9"/>
      <c r="G25929" s="9"/>
      <c r="J25929" s="11"/>
      <c r="U25929" s="9"/>
      <c r="X25929" s="9"/>
    </row>
    <row r="25930">
      <c r="D25930" s="9"/>
      <c r="G25930" s="9"/>
      <c r="J25930" s="11"/>
      <c r="U25930" s="9"/>
      <c r="X25930" s="9"/>
    </row>
    <row r="25931">
      <c r="D25931" s="9"/>
      <c r="G25931" s="9"/>
      <c r="J25931" s="11"/>
      <c r="U25931" s="9"/>
      <c r="X25931" s="9"/>
    </row>
    <row r="25932">
      <c r="D25932" s="9"/>
      <c r="G25932" s="9"/>
      <c r="J25932" s="11"/>
      <c r="U25932" s="9"/>
      <c r="X25932" s="9"/>
    </row>
    <row r="25933">
      <c r="D25933" s="9"/>
      <c r="G25933" s="9"/>
      <c r="J25933" s="11"/>
      <c r="U25933" s="9"/>
      <c r="X25933" s="9"/>
    </row>
    <row r="25934">
      <c r="D25934" s="9"/>
      <c r="G25934" s="9"/>
      <c r="J25934" s="11"/>
      <c r="U25934" s="9"/>
      <c r="X25934" s="9"/>
    </row>
    <row r="25935">
      <c r="D25935" s="9"/>
      <c r="G25935" s="9"/>
      <c r="J25935" s="11"/>
      <c r="U25935" s="9"/>
      <c r="X25935" s="9"/>
    </row>
    <row r="25936">
      <c r="D25936" s="9"/>
      <c r="G25936" s="9"/>
      <c r="J25936" s="11"/>
      <c r="U25936" s="9"/>
      <c r="X25936" s="9"/>
    </row>
    <row r="25937">
      <c r="D25937" s="9"/>
      <c r="G25937" s="9"/>
      <c r="J25937" s="11"/>
      <c r="U25937" s="9"/>
      <c r="X25937" s="9"/>
    </row>
    <row r="25938">
      <c r="D25938" s="9"/>
      <c r="G25938" s="9"/>
      <c r="J25938" s="11"/>
      <c r="U25938" s="9"/>
      <c r="X25938" s="9"/>
    </row>
    <row r="25939">
      <c r="D25939" s="9"/>
      <c r="G25939" s="9"/>
      <c r="J25939" s="11"/>
      <c r="U25939" s="9"/>
      <c r="X25939" s="9"/>
    </row>
    <row r="25940">
      <c r="D25940" s="9"/>
      <c r="G25940" s="9"/>
      <c r="J25940" s="11"/>
      <c r="U25940" s="9"/>
      <c r="X25940" s="9"/>
    </row>
    <row r="25941">
      <c r="D25941" s="9"/>
      <c r="G25941" s="9"/>
      <c r="J25941" s="11"/>
      <c r="U25941" s="9"/>
      <c r="X25941" s="9"/>
    </row>
    <row r="25942">
      <c r="D25942" s="9"/>
      <c r="G25942" s="9"/>
      <c r="J25942" s="11"/>
      <c r="U25942" s="9"/>
      <c r="X25942" s="9"/>
    </row>
    <row r="25943">
      <c r="D25943" s="9"/>
      <c r="G25943" s="9"/>
      <c r="J25943" s="11"/>
      <c r="U25943" s="9"/>
      <c r="X25943" s="9"/>
    </row>
    <row r="25944">
      <c r="D25944" s="9"/>
      <c r="G25944" s="9"/>
      <c r="J25944" s="11"/>
      <c r="U25944" s="9"/>
      <c r="X25944" s="9"/>
    </row>
    <row r="25945">
      <c r="D25945" s="9"/>
      <c r="G25945" s="9"/>
      <c r="J25945" s="11"/>
      <c r="U25945" s="9"/>
      <c r="X25945" s="9"/>
    </row>
    <row r="25946">
      <c r="D25946" s="9"/>
      <c r="G25946" s="9"/>
      <c r="J25946" s="11"/>
      <c r="U25946" s="9"/>
      <c r="X25946" s="9"/>
    </row>
    <row r="25947">
      <c r="D25947" s="9"/>
      <c r="G25947" s="9"/>
      <c r="J25947" s="11"/>
      <c r="U25947" s="9"/>
      <c r="X25947" s="9"/>
    </row>
    <row r="25948">
      <c r="D25948" s="9"/>
      <c r="G25948" s="9"/>
      <c r="J25948" s="11"/>
      <c r="U25948" s="9"/>
      <c r="X25948" s="9"/>
    </row>
    <row r="25949">
      <c r="D25949" s="9"/>
      <c r="G25949" s="9"/>
      <c r="J25949" s="11"/>
      <c r="U25949" s="9"/>
      <c r="X25949" s="9"/>
    </row>
    <row r="25950">
      <c r="D25950" s="9"/>
      <c r="G25950" s="9"/>
      <c r="J25950" s="11"/>
      <c r="U25950" s="9"/>
      <c r="X25950" s="9"/>
    </row>
    <row r="25951">
      <c r="D25951" s="9"/>
      <c r="G25951" s="9"/>
      <c r="J25951" s="11"/>
      <c r="U25951" s="9"/>
      <c r="X25951" s="9"/>
    </row>
    <row r="25952">
      <c r="D25952" s="9"/>
      <c r="G25952" s="9"/>
      <c r="J25952" s="11"/>
      <c r="U25952" s="9"/>
      <c r="X25952" s="9"/>
    </row>
    <row r="25953">
      <c r="D25953" s="9"/>
      <c r="G25953" s="9"/>
      <c r="J25953" s="11"/>
      <c r="U25953" s="9"/>
      <c r="X25953" s="9"/>
    </row>
    <row r="25954">
      <c r="D25954" s="9"/>
      <c r="G25954" s="9"/>
      <c r="J25954" s="11"/>
      <c r="U25954" s="9"/>
      <c r="X25954" s="9"/>
    </row>
    <row r="25955">
      <c r="D25955" s="9"/>
      <c r="G25955" s="9"/>
      <c r="J25955" s="11"/>
      <c r="U25955" s="9"/>
      <c r="X25955" s="9"/>
    </row>
    <row r="25956">
      <c r="D25956" s="9"/>
      <c r="G25956" s="9"/>
      <c r="J25956" s="11"/>
      <c r="U25956" s="9"/>
      <c r="X25956" s="9"/>
    </row>
    <row r="25957">
      <c r="D25957" s="9"/>
      <c r="G25957" s="9"/>
      <c r="J25957" s="11"/>
      <c r="U25957" s="9"/>
      <c r="X25957" s="9"/>
    </row>
    <row r="25958">
      <c r="D25958" s="9"/>
      <c r="G25958" s="9"/>
      <c r="J25958" s="11"/>
      <c r="U25958" s="9"/>
      <c r="X25958" s="9"/>
    </row>
    <row r="25959">
      <c r="D25959" s="9"/>
      <c r="G25959" s="9"/>
      <c r="J25959" s="11"/>
      <c r="U25959" s="9"/>
      <c r="X25959" s="9"/>
    </row>
    <row r="25960">
      <c r="D25960" s="9"/>
      <c r="G25960" s="9"/>
      <c r="J25960" s="11"/>
      <c r="U25960" s="9"/>
      <c r="X25960" s="9"/>
    </row>
    <row r="25961">
      <c r="D25961" s="9"/>
      <c r="G25961" s="9"/>
      <c r="J25961" s="11"/>
      <c r="U25961" s="9"/>
      <c r="X25961" s="9"/>
    </row>
    <row r="25962">
      <c r="D25962" s="9"/>
      <c r="G25962" s="9"/>
      <c r="J25962" s="11"/>
      <c r="U25962" s="9"/>
      <c r="X25962" s="9"/>
    </row>
    <row r="25963">
      <c r="D25963" s="9"/>
      <c r="G25963" s="9"/>
      <c r="J25963" s="11"/>
      <c r="U25963" s="9"/>
      <c r="X25963" s="9"/>
    </row>
    <row r="25964">
      <c r="D25964" s="9"/>
      <c r="G25964" s="9"/>
      <c r="J25964" s="11"/>
      <c r="U25964" s="9"/>
      <c r="X25964" s="9"/>
    </row>
    <row r="25965">
      <c r="D25965" s="9"/>
      <c r="G25965" s="9"/>
      <c r="J25965" s="11"/>
      <c r="U25965" s="9"/>
      <c r="X25965" s="9"/>
    </row>
    <row r="25966">
      <c r="D25966" s="9"/>
      <c r="G25966" s="9"/>
      <c r="J25966" s="11"/>
      <c r="U25966" s="9"/>
      <c r="X25966" s="9"/>
    </row>
    <row r="25967">
      <c r="D25967" s="9"/>
      <c r="G25967" s="9"/>
      <c r="J25967" s="11"/>
      <c r="U25967" s="9"/>
      <c r="X25967" s="9"/>
    </row>
    <row r="25968">
      <c r="D25968" s="9"/>
      <c r="G25968" s="9"/>
      <c r="J25968" s="11"/>
      <c r="U25968" s="9"/>
      <c r="X25968" s="9"/>
    </row>
    <row r="25969">
      <c r="D25969" s="9"/>
      <c r="G25969" s="9"/>
      <c r="J25969" s="11"/>
      <c r="U25969" s="9"/>
      <c r="X25969" s="9"/>
    </row>
    <row r="25970">
      <c r="D25970" s="9"/>
      <c r="G25970" s="9"/>
      <c r="J25970" s="11"/>
      <c r="U25970" s="9"/>
      <c r="X25970" s="9"/>
    </row>
    <row r="25971">
      <c r="D25971" s="9"/>
      <c r="G25971" s="9"/>
      <c r="J25971" s="11"/>
      <c r="U25971" s="9"/>
      <c r="X25971" s="9"/>
    </row>
    <row r="25972">
      <c r="D25972" s="9"/>
      <c r="G25972" s="9"/>
      <c r="J25972" s="11"/>
      <c r="U25972" s="9"/>
      <c r="X25972" s="9"/>
    </row>
    <row r="25973">
      <c r="D25973" s="9"/>
      <c r="G25973" s="9"/>
      <c r="J25973" s="11"/>
      <c r="U25973" s="9"/>
      <c r="X25973" s="9"/>
    </row>
    <row r="25974">
      <c r="D25974" s="9"/>
      <c r="G25974" s="9"/>
      <c r="J25974" s="11"/>
      <c r="U25974" s="9"/>
      <c r="X25974" s="9"/>
    </row>
    <row r="25975">
      <c r="D25975" s="9"/>
      <c r="G25975" s="9"/>
      <c r="J25975" s="11"/>
      <c r="U25975" s="9"/>
      <c r="X25975" s="9"/>
    </row>
    <row r="25976">
      <c r="D25976" s="9"/>
      <c r="G25976" s="9"/>
      <c r="J25976" s="11"/>
      <c r="U25976" s="9"/>
      <c r="X25976" s="9"/>
    </row>
    <row r="25977">
      <c r="D25977" s="9"/>
      <c r="G25977" s="9"/>
      <c r="J25977" s="11"/>
      <c r="U25977" s="9"/>
      <c r="X25977" s="9"/>
    </row>
    <row r="25978">
      <c r="D25978" s="9"/>
      <c r="G25978" s="9"/>
      <c r="J25978" s="11"/>
      <c r="U25978" s="9"/>
      <c r="X25978" s="9"/>
    </row>
    <row r="25979">
      <c r="D25979" s="9"/>
      <c r="G25979" s="9"/>
      <c r="J25979" s="11"/>
      <c r="U25979" s="9"/>
      <c r="X25979" s="9"/>
    </row>
    <row r="25980">
      <c r="D25980" s="9"/>
      <c r="G25980" s="9"/>
      <c r="J25980" s="11"/>
      <c r="U25980" s="9"/>
      <c r="X25980" s="9"/>
    </row>
    <row r="25981">
      <c r="D25981" s="9"/>
      <c r="G25981" s="9"/>
      <c r="J25981" s="11"/>
      <c r="U25981" s="9"/>
      <c r="X25981" s="9"/>
    </row>
    <row r="25982">
      <c r="D25982" s="9"/>
      <c r="G25982" s="9"/>
      <c r="J25982" s="11"/>
      <c r="U25982" s="9"/>
      <c r="X25982" s="9"/>
    </row>
    <row r="25983">
      <c r="D25983" s="9"/>
      <c r="G25983" s="9"/>
      <c r="J25983" s="11"/>
      <c r="U25983" s="9"/>
      <c r="X25983" s="9"/>
    </row>
    <row r="25984">
      <c r="D25984" s="9"/>
      <c r="G25984" s="9"/>
      <c r="J25984" s="11"/>
      <c r="U25984" s="9"/>
      <c r="X25984" s="9"/>
    </row>
    <row r="25985">
      <c r="D25985" s="9"/>
      <c r="G25985" s="9"/>
      <c r="J25985" s="11"/>
      <c r="U25985" s="9"/>
      <c r="X25985" s="9"/>
    </row>
    <row r="25986">
      <c r="D25986" s="9"/>
      <c r="G25986" s="9"/>
      <c r="J25986" s="11"/>
      <c r="U25986" s="9"/>
      <c r="X25986" s="9"/>
    </row>
    <row r="25987">
      <c r="D25987" s="9"/>
      <c r="G25987" s="9"/>
      <c r="J25987" s="11"/>
      <c r="U25987" s="9"/>
      <c r="X25987" s="9"/>
    </row>
    <row r="25988">
      <c r="D25988" s="9"/>
      <c r="G25988" s="9"/>
      <c r="J25988" s="11"/>
      <c r="U25988" s="9"/>
      <c r="X25988" s="9"/>
    </row>
    <row r="25989">
      <c r="D25989" s="9"/>
      <c r="G25989" s="9"/>
      <c r="J25989" s="11"/>
      <c r="U25989" s="9"/>
      <c r="X25989" s="9"/>
    </row>
    <row r="25990">
      <c r="D25990" s="9"/>
      <c r="G25990" s="9"/>
      <c r="J25990" s="11"/>
      <c r="U25990" s="9"/>
      <c r="X25990" s="9"/>
    </row>
    <row r="25991">
      <c r="D25991" s="9"/>
      <c r="G25991" s="9"/>
      <c r="J25991" s="11"/>
      <c r="U25991" s="9"/>
      <c r="X25991" s="9"/>
    </row>
    <row r="25992">
      <c r="D25992" s="9"/>
      <c r="G25992" s="9"/>
      <c r="J25992" s="11"/>
      <c r="U25992" s="9"/>
      <c r="X25992" s="9"/>
    </row>
    <row r="25993">
      <c r="D25993" s="9"/>
      <c r="G25993" s="9"/>
      <c r="J25993" s="11"/>
      <c r="U25993" s="9"/>
      <c r="X25993" s="9"/>
    </row>
    <row r="25994">
      <c r="D25994" s="9"/>
      <c r="G25994" s="9"/>
      <c r="J25994" s="11"/>
      <c r="U25994" s="9"/>
      <c r="X25994" s="9"/>
    </row>
    <row r="25995">
      <c r="D25995" s="9"/>
      <c r="G25995" s="9"/>
      <c r="J25995" s="11"/>
      <c r="U25995" s="9"/>
      <c r="X25995" s="9"/>
    </row>
    <row r="25996">
      <c r="D25996" s="9"/>
      <c r="G25996" s="9"/>
      <c r="J25996" s="11"/>
      <c r="U25996" s="9"/>
      <c r="X25996" s="9"/>
    </row>
    <row r="25997">
      <c r="D25997" s="9"/>
      <c r="G25997" s="9"/>
      <c r="J25997" s="11"/>
      <c r="U25997" s="9"/>
      <c r="X25997" s="9"/>
    </row>
    <row r="25998">
      <c r="D25998" s="9"/>
      <c r="G25998" s="9"/>
      <c r="J25998" s="11"/>
      <c r="U25998" s="9"/>
      <c r="X25998" s="9"/>
    </row>
    <row r="25999">
      <c r="D25999" s="9"/>
      <c r="G25999" s="9"/>
      <c r="J25999" s="11"/>
      <c r="U25999" s="9"/>
      <c r="X25999" s="9"/>
    </row>
    <row r="26000">
      <c r="D26000" s="9"/>
      <c r="G26000" s="9"/>
      <c r="J26000" s="11"/>
      <c r="U26000" s="9"/>
      <c r="X26000" s="9"/>
    </row>
    <row r="26001">
      <c r="D26001" s="9"/>
      <c r="G26001" s="9"/>
      <c r="J26001" s="11"/>
      <c r="U26001" s="9"/>
      <c r="X26001" s="9"/>
    </row>
    <row r="26002">
      <c r="D26002" s="9"/>
      <c r="G26002" s="9"/>
      <c r="J26002" s="11"/>
      <c r="U26002" s="9"/>
      <c r="X26002" s="9"/>
    </row>
    <row r="26003">
      <c r="D26003" s="9"/>
      <c r="G26003" s="9"/>
      <c r="J26003" s="11"/>
      <c r="U26003" s="9"/>
      <c r="X26003" s="9"/>
    </row>
    <row r="26004">
      <c r="D26004" s="9"/>
      <c r="G26004" s="9"/>
      <c r="J26004" s="11"/>
      <c r="U26004" s="9"/>
      <c r="X26004" s="9"/>
    </row>
    <row r="26005">
      <c r="D26005" s="9"/>
      <c r="G26005" s="9"/>
      <c r="J26005" s="11"/>
      <c r="U26005" s="9"/>
      <c r="X26005" s="9"/>
    </row>
    <row r="26006">
      <c r="D26006" s="9"/>
      <c r="G26006" s="9"/>
      <c r="J26006" s="11"/>
      <c r="U26006" s="9"/>
      <c r="X26006" s="9"/>
    </row>
    <row r="26007">
      <c r="D26007" s="9"/>
      <c r="G26007" s="9"/>
      <c r="J26007" s="11"/>
      <c r="U26007" s="9"/>
      <c r="X26007" s="9"/>
    </row>
    <row r="26008">
      <c r="D26008" s="9"/>
      <c r="G26008" s="9"/>
      <c r="J26008" s="11"/>
      <c r="U26008" s="9"/>
      <c r="X26008" s="9"/>
    </row>
    <row r="26009">
      <c r="D26009" s="9"/>
      <c r="G26009" s="9"/>
      <c r="J26009" s="11"/>
      <c r="U26009" s="9"/>
      <c r="X26009" s="9"/>
    </row>
    <row r="26010">
      <c r="D26010" s="9"/>
      <c r="G26010" s="9"/>
      <c r="J26010" s="11"/>
      <c r="U26010" s="9"/>
      <c r="X26010" s="9"/>
    </row>
    <row r="26011">
      <c r="D26011" s="9"/>
      <c r="G26011" s="9"/>
      <c r="J26011" s="11"/>
      <c r="U26011" s="9"/>
      <c r="X26011" s="9"/>
    </row>
    <row r="26012">
      <c r="D26012" s="9"/>
      <c r="G26012" s="9"/>
      <c r="J26012" s="11"/>
      <c r="U26012" s="9"/>
      <c r="X26012" s="9"/>
    </row>
    <row r="26013">
      <c r="D26013" s="9"/>
      <c r="G26013" s="9"/>
      <c r="J26013" s="11"/>
      <c r="U26013" s="9"/>
      <c r="X26013" s="9"/>
    </row>
    <row r="26014">
      <c r="D26014" s="9"/>
      <c r="G26014" s="9"/>
      <c r="J26014" s="11"/>
      <c r="U26014" s="9"/>
      <c r="X26014" s="9"/>
    </row>
    <row r="26015">
      <c r="D26015" s="9"/>
      <c r="G26015" s="9"/>
      <c r="J26015" s="11"/>
      <c r="U26015" s="9"/>
      <c r="X26015" s="9"/>
    </row>
    <row r="26016">
      <c r="D26016" s="9"/>
      <c r="G26016" s="9"/>
      <c r="J26016" s="11"/>
      <c r="U26016" s="9"/>
      <c r="X26016" s="9"/>
    </row>
    <row r="26017">
      <c r="D26017" s="9"/>
      <c r="G26017" s="9"/>
      <c r="J26017" s="11"/>
      <c r="U26017" s="9"/>
      <c r="X26017" s="9"/>
    </row>
    <row r="26018">
      <c r="D26018" s="9"/>
      <c r="G26018" s="9"/>
      <c r="J26018" s="11"/>
      <c r="U26018" s="9"/>
      <c r="X26018" s="9"/>
    </row>
    <row r="26019">
      <c r="D26019" s="9"/>
      <c r="G26019" s="9"/>
      <c r="J26019" s="11"/>
      <c r="U26019" s="9"/>
      <c r="X26019" s="9"/>
    </row>
    <row r="26020">
      <c r="D26020" s="9"/>
      <c r="G26020" s="9"/>
      <c r="J26020" s="11"/>
      <c r="U26020" s="9"/>
      <c r="X26020" s="9"/>
    </row>
    <row r="26021">
      <c r="D26021" s="9"/>
      <c r="G26021" s="9"/>
      <c r="J26021" s="11"/>
      <c r="U26021" s="9"/>
      <c r="X26021" s="9"/>
    </row>
    <row r="26022">
      <c r="D26022" s="9"/>
      <c r="G26022" s="9"/>
      <c r="J26022" s="11"/>
      <c r="U26022" s="9"/>
      <c r="X26022" s="9"/>
    </row>
    <row r="26023">
      <c r="D26023" s="9"/>
      <c r="G26023" s="9"/>
      <c r="J26023" s="11"/>
      <c r="U26023" s="9"/>
      <c r="X26023" s="9"/>
    </row>
    <row r="26024">
      <c r="D26024" s="9"/>
      <c r="G26024" s="9"/>
      <c r="J26024" s="11"/>
      <c r="U26024" s="9"/>
      <c r="X26024" s="9"/>
    </row>
    <row r="26025">
      <c r="D26025" s="9"/>
      <c r="G26025" s="9"/>
      <c r="J26025" s="11"/>
      <c r="U26025" s="9"/>
      <c r="X26025" s="9"/>
    </row>
    <row r="26026">
      <c r="D26026" s="9"/>
      <c r="G26026" s="9"/>
      <c r="J26026" s="11"/>
      <c r="U26026" s="9"/>
      <c r="X26026" s="9"/>
    </row>
    <row r="26027">
      <c r="D26027" s="9"/>
      <c r="G26027" s="9"/>
      <c r="J26027" s="11"/>
      <c r="U26027" s="9"/>
      <c r="X26027" s="9"/>
    </row>
    <row r="26028">
      <c r="D26028" s="9"/>
      <c r="G26028" s="9"/>
      <c r="J26028" s="11"/>
      <c r="U26028" s="9"/>
      <c r="X26028" s="9"/>
    </row>
    <row r="26029">
      <c r="D26029" s="9"/>
      <c r="G26029" s="9"/>
      <c r="J26029" s="11"/>
      <c r="U26029" s="9"/>
      <c r="X26029" s="9"/>
    </row>
    <row r="26030">
      <c r="D26030" s="9"/>
      <c r="G26030" s="9"/>
      <c r="J26030" s="11"/>
      <c r="U26030" s="9"/>
      <c r="X26030" s="9"/>
    </row>
    <row r="26031">
      <c r="D26031" s="9"/>
      <c r="G26031" s="9"/>
      <c r="J26031" s="11"/>
      <c r="U26031" s="9"/>
      <c r="X26031" s="9"/>
    </row>
    <row r="26032">
      <c r="D26032" s="9"/>
      <c r="G26032" s="9"/>
      <c r="J26032" s="11"/>
      <c r="U26032" s="9"/>
      <c r="X26032" s="9"/>
    </row>
    <row r="26033">
      <c r="D26033" s="9"/>
      <c r="G26033" s="9"/>
      <c r="J26033" s="11"/>
      <c r="U26033" s="9"/>
      <c r="X26033" s="9"/>
    </row>
    <row r="26034">
      <c r="D26034" s="9"/>
      <c r="G26034" s="9"/>
      <c r="J26034" s="11"/>
      <c r="U26034" s="9"/>
      <c r="X26034" s="9"/>
    </row>
    <row r="26035">
      <c r="D26035" s="9"/>
      <c r="G26035" s="9"/>
      <c r="J26035" s="11"/>
      <c r="U26035" s="9"/>
      <c r="X26035" s="9"/>
    </row>
    <row r="26036">
      <c r="D26036" s="9"/>
      <c r="G26036" s="9"/>
      <c r="J26036" s="11"/>
      <c r="U26036" s="9"/>
      <c r="X26036" s="9"/>
    </row>
    <row r="26037">
      <c r="D26037" s="9"/>
      <c r="G26037" s="9"/>
      <c r="J26037" s="11"/>
      <c r="U26037" s="9"/>
      <c r="X26037" s="9"/>
    </row>
    <row r="26038">
      <c r="D26038" s="9"/>
      <c r="G26038" s="9"/>
      <c r="J26038" s="11"/>
      <c r="U26038" s="9"/>
      <c r="X26038" s="9"/>
    </row>
    <row r="26039">
      <c r="D26039" s="9"/>
      <c r="G26039" s="9"/>
      <c r="J26039" s="11"/>
      <c r="U26039" s="9"/>
      <c r="X26039" s="9"/>
    </row>
    <row r="26040">
      <c r="D26040" s="9"/>
      <c r="G26040" s="9"/>
      <c r="J26040" s="11"/>
      <c r="U26040" s="9"/>
      <c r="X26040" s="9"/>
    </row>
    <row r="26041">
      <c r="D26041" s="9"/>
      <c r="G26041" s="9"/>
      <c r="J26041" s="11"/>
      <c r="U26041" s="9"/>
      <c r="X26041" s="9"/>
    </row>
    <row r="26042">
      <c r="D26042" s="9"/>
      <c r="G26042" s="9"/>
      <c r="J26042" s="11"/>
      <c r="U26042" s="9"/>
      <c r="X26042" s="9"/>
    </row>
    <row r="26043">
      <c r="D26043" s="9"/>
      <c r="G26043" s="9"/>
      <c r="J26043" s="11"/>
      <c r="U26043" s="9"/>
      <c r="X26043" s="9"/>
    </row>
    <row r="26044">
      <c r="D26044" s="9"/>
      <c r="G26044" s="9"/>
      <c r="J26044" s="11"/>
      <c r="U26044" s="9"/>
      <c r="X26044" s="9"/>
    </row>
    <row r="26045">
      <c r="D26045" s="9"/>
      <c r="G26045" s="9"/>
      <c r="J26045" s="11"/>
      <c r="U26045" s="9"/>
      <c r="X26045" s="9"/>
    </row>
    <row r="26046">
      <c r="D26046" s="9"/>
      <c r="G26046" s="9"/>
      <c r="J26046" s="11"/>
      <c r="U26046" s="9"/>
      <c r="X26046" s="9"/>
    </row>
    <row r="26047">
      <c r="D26047" s="9"/>
      <c r="G26047" s="9"/>
      <c r="J26047" s="11"/>
      <c r="U26047" s="9"/>
      <c r="X26047" s="9"/>
    </row>
    <row r="26048">
      <c r="D26048" s="9"/>
      <c r="G26048" s="9"/>
      <c r="J26048" s="11"/>
      <c r="U26048" s="9"/>
      <c r="X26048" s="9"/>
    </row>
    <row r="26049">
      <c r="D26049" s="9"/>
      <c r="G26049" s="9"/>
      <c r="J26049" s="11"/>
      <c r="U26049" s="9"/>
      <c r="X26049" s="9"/>
    </row>
    <row r="26050">
      <c r="D26050" s="9"/>
      <c r="G26050" s="9"/>
      <c r="J26050" s="11"/>
      <c r="U26050" s="9"/>
      <c r="X26050" s="9"/>
    </row>
    <row r="26051">
      <c r="D26051" s="9"/>
      <c r="G26051" s="9"/>
      <c r="J26051" s="11"/>
      <c r="U26051" s="9"/>
      <c r="X26051" s="9"/>
    </row>
    <row r="26052">
      <c r="D26052" s="9"/>
      <c r="G26052" s="9"/>
      <c r="J26052" s="11"/>
      <c r="U26052" s="9"/>
      <c r="X26052" s="9"/>
    </row>
    <row r="26053">
      <c r="D26053" s="9"/>
      <c r="G26053" s="9"/>
      <c r="J26053" s="11"/>
      <c r="U26053" s="9"/>
      <c r="X26053" s="9"/>
    </row>
    <row r="26054">
      <c r="D26054" s="9"/>
      <c r="G26054" s="9"/>
      <c r="J26054" s="11"/>
      <c r="U26054" s="9"/>
      <c r="X26054" s="9"/>
    </row>
    <row r="26055">
      <c r="D26055" s="9"/>
      <c r="G26055" s="9"/>
      <c r="J26055" s="11"/>
      <c r="U26055" s="9"/>
      <c r="X26055" s="9"/>
    </row>
    <row r="26056">
      <c r="D26056" s="9"/>
      <c r="G26056" s="9"/>
      <c r="J26056" s="11"/>
      <c r="U26056" s="9"/>
      <c r="X26056" s="9"/>
    </row>
    <row r="26057">
      <c r="D26057" s="9"/>
      <c r="G26057" s="9"/>
      <c r="J26057" s="11"/>
      <c r="U26057" s="9"/>
      <c r="X26057" s="9"/>
    </row>
    <row r="26058">
      <c r="D26058" s="9"/>
      <c r="G26058" s="9"/>
      <c r="J26058" s="11"/>
      <c r="U26058" s="9"/>
      <c r="X26058" s="9"/>
    </row>
    <row r="26059">
      <c r="D26059" s="9"/>
      <c r="G26059" s="9"/>
      <c r="J26059" s="11"/>
      <c r="U26059" s="9"/>
      <c r="X26059" s="9"/>
    </row>
    <row r="26060">
      <c r="D26060" s="9"/>
      <c r="G26060" s="9"/>
      <c r="J26060" s="11"/>
      <c r="U26060" s="9"/>
      <c r="X26060" s="9"/>
    </row>
    <row r="26061">
      <c r="D26061" s="9"/>
      <c r="G26061" s="9"/>
      <c r="J26061" s="11"/>
      <c r="U26061" s="9"/>
      <c r="X26061" s="9"/>
    </row>
    <row r="26062">
      <c r="D26062" s="9"/>
      <c r="G26062" s="9"/>
      <c r="J26062" s="11"/>
      <c r="U26062" s="9"/>
      <c r="X26062" s="9"/>
    </row>
    <row r="26063">
      <c r="D26063" s="9"/>
      <c r="G26063" s="9"/>
      <c r="J26063" s="11"/>
      <c r="U26063" s="9"/>
      <c r="X26063" s="9"/>
    </row>
    <row r="26064">
      <c r="D26064" s="9"/>
      <c r="G26064" s="9"/>
      <c r="J26064" s="11"/>
      <c r="U26064" s="9"/>
      <c r="X26064" s="9"/>
    </row>
    <row r="26065">
      <c r="D26065" s="9"/>
      <c r="G26065" s="9"/>
      <c r="J26065" s="11"/>
      <c r="U26065" s="9"/>
      <c r="X26065" s="9"/>
    </row>
    <row r="26066">
      <c r="D26066" s="9"/>
      <c r="G26066" s="9"/>
      <c r="J26066" s="11"/>
      <c r="U26066" s="9"/>
      <c r="X26066" s="9"/>
    </row>
    <row r="26067">
      <c r="D26067" s="9"/>
      <c r="G26067" s="9"/>
      <c r="J26067" s="11"/>
      <c r="U26067" s="9"/>
      <c r="X26067" s="9"/>
    </row>
    <row r="26068">
      <c r="D26068" s="9"/>
      <c r="G26068" s="9"/>
      <c r="J26068" s="11"/>
      <c r="U26068" s="9"/>
      <c r="X26068" s="9"/>
    </row>
    <row r="26069">
      <c r="D26069" s="9"/>
      <c r="G26069" s="9"/>
      <c r="J26069" s="11"/>
      <c r="U26069" s="9"/>
      <c r="X26069" s="9"/>
    </row>
    <row r="26070">
      <c r="D26070" s="9"/>
      <c r="G26070" s="9"/>
      <c r="J26070" s="11"/>
      <c r="U26070" s="9"/>
      <c r="X26070" s="9"/>
    </row>
    <row r="26071">
      <c r="D26071" s="9"/>
      <c r="G26071" s="9"/>
      <c r="J26071" s="11"/>
      <c r="U26071" s="9"/>
      <c r="X26071" s="9"/>
    </row>
    <row r="26072">
      <c r="D26072" s="9"/>
      <c r="G26072" s="9"/>
      <c r="J26072" s="11"/>
      <c r="U26072" s="9"/>
      <c r="X26072" s="9"/>
    </row>
    <row r="26073">
      <c r="D26073" s="9"/>
      <c r="G26073" s="9"/>
      <c r="J26073" s="11"/>
      <c r="U26073" s="9"/>
      <c r="X26073" s="9"/>
    </row>
    <row r="26074">
      <c r="D26074" s="9"/>
      <c r="G26074" s="9"/>
      <c r="J26074" s="11"/>
      <c r="U26074" s="9"/>
      <c r="X26074" s="9"/>
    </row>
    <row r="26075">
      <c r="D26075" s="9"/>
      <c r="G26075" s="9"/>
      <c r="J26075" s="11"/>
      <c r="U26075" s="9"/>
      <c r="X26075" s="9"/>
    </row>
    <row r="26076">
      <c r="D26076" s="9"/>
      <c r="G26076" s="9"/>
      <c r="J26076" s="11"/>
      <c r="U26076" s="9"/>
      <c r="X26076" s="9"/>
    </row>
    <row r="26077">
      <c r="D26077" s="9"/>
      <c r="G26077" s="9"/>
      <c r="J26077" s="11"/>
      <c r="U26077" s="9"/>
      <c r="X26077" s="9"/>
    </row>
    <row r="26078">
      <c r="D26078" s="9"/>
      <c r="G26078" s="9"/>
      <c r="J26078" s="11"/>
      <c r="U26078" s="9"/>
      <c r="X26078" s="9"/>
    </row>
    <row r="26079">
      <c r="D26079" s="9"/>
      <c r="G26079" s="9"/>
      <c r="J26079" s="11"/>
      <c r="U26079" s="9"/>
      <c r="X26079" s="9"/>
    </row>
    <row r="26080">
      <c r="D26080" s="9"/>
      <c r="G26080" s="9"/>
      <c r="J26080" s="11"/>
      <c r="U26080" s="9"/>
      <c r="X26080" s="9"/>
    </row>
    <row r="26081">
      <c r="D26081" s="9"/>
      <c r="G26081" s="9"/>
      <c r="J26081" s="11"/>
      <c r="U26081" s="9"/>
      <c r="X26081" s="9"/>
    </row>
    <row r="26082">
      <c r="D26082" s="9"/>
      <c r="G26082" s="9"/>
      <c r="J26082" s="11"/>
      <c r="U26082" s="9"/>
      <c r="X26082" s="9"/>
    </row>
    <row r="26083">
      <c r="D26083" s="9"/>
      <c r="G26083" s="9"/>
      <c r="J26083" s="11"/>
      <c r="U26083" s="9"/>
      <c r="X26083" s="9"/>
    </row>
    <row r="26084">
      <c r="D26084" s="9"/>
      <c r="G26084" s="9"/>
      <c r="J26084" s="11"/>
      <c r="U26084" s="9"/>
      <c r="X26084" s="9"/>
    </row>
    <row r="26085">
      <c r="D26085" s="9"/>
      <c r="G26085" s="9"/>
      <c r="J26085" s="11"/>
      <c r="U26085" s="9"/>
      <c r="X26085" s="9"/>
    </row>
    <row r="26086">
      <c r="D26086" s="9"/>
      <c r="G26086" s="9"/>
      <c r="J26086" s="11"/>
      <c r="U26086" s="9"/>
      <c r="X26086" s="9"/>
    </row>
    <row r="26087">
      <c r="D26087" s="9"/>
      <c r="G26087" s="9"/>
      <c r="J26087" s="11"/>
      <c r="U26087" s="9"/>
      <c r="X26087" s="9"/>
    </row>
    <row r="26088">
      <c r="D26088" s="9"/>
      <c r="G26088" s="9"/>
      <c r="J26088" s="11"/>
      <c r="U26088" s="9"/>
      <c r="X26088" s="9"/>
    </row>
    <row r="26089">
      <c r="D26089" s="9"/>
      <c r="G26089" s="9"/>
      <c r="J26089" s="11"/>
      <c r="U26089" s="9"/>
      <c r="X26089" s="9"/>
    </row>
    <row r="26090">
      <c r="D26090" s="9"/>
      <c r="G26090" s="9"/>
      <c r="J26090" s="11"/>
      <c r="U26090" s="9"/>
      <c r="X26090" s="9"/>
    </row>
    <row r="26091">
      <c r="D26091" s="9"/>
      <c r="G26091" s="9"/>
      <c r="J26091" s="11"/>
      <c r="U26091" s="9"/>
      <c r="X26091" s="9"/>
    </row>
    <row r="26092">
      <c r="D26092" s="9"/>
      <c r="G26092" s="9"/>
      <c r="J26092" s="11"/>
      <c r="U26092" s="9"/>
      <c r="X26092" s="9"/>
    </row>
    <row r="26093">
      <c r="D26093" s="9"/>
      <c r="G26093" s="9"/>
      <c r="J26093" s="11"/>
      <c r="U26093" s="9"/>
      <c r="X26093" s="9"/>
    </row>
    <row r="26094">
      <c r="D26094" s="9"/>
      <c r="G26094" s="9"/>
      <c r="J26094" s="11"/>
      <c r="U26094" s="9"/>
      <c r="X26094" s="9"/>
    </row>
    <row r="26095">
      <c r="D26095" s="9"/>
      <c r="G26095" s="9"/>
      <c r="J26095" s="11"/>
      <c r="U26095" s="9"/>
      <c r="X26095" s="9"/>
    </row>
    <row r="26096">
      <c r="D26096" s="9"/>
      <c r="G26096" s="9"/>
      <c r="J26096" s="11"/>
      <c r="U26096" s="9"/>
      <c r="X26096" s="9"/>
    </row>
    <row r="26097">
      <c r="D26097" s="9"/>
      <c r="G26097" s="9"/>
      <c r="J26097" s="11"/>
      <c r="U26097" s="9"/>
      <c r="X26097" s="9"/>
    </row>
    <row r="26098">
      <c r="D26098" s="9"/>
      <c r="G26098" s="9"/>
      <c r="J26098" s="11"/>
      <c r="U26098" s="9"/>
      <c r="X26098" s="9"/>
    </row>
    <row r="26099">
      <c r="D26099" s="9"/>
      <c r="G26099" s="9"/>
      <c r="J26099" s="11"/>
      <c r="U26099" s="9"/>
      <c r="X26099" s="9"/>
    </row>
    <row r="26100">
      <c r="D26100" s="9"/>
      <c r="G26100" s="9"/>
      <c r="J26100" s="11"/>
      <c r="U26100" s="9"/>
      <c r="X26100" s="9"/>
    </row>
    <row r="26101">
      <c r="D26101" s="9"/>
      <c r="G26101" s="9"/>
      <c r="J26101" s="11"/>
      <c r="U26101" s="9"/>
      <c r="X26101" s="9"/>
    </row>
    <row r="26102">
      <c r="D26102" s="9"/>
      <c r="G26102" s="9"/>
      <c r="J26102" s="11"/>
      <c r="U26102" s="9"/>
      <c r="X26102" s="9"/>
    </row>
    <row r="26103">
      <c r="D26103" s="9"/>
      <c r="G26103" s="9"/>
      <c r="J26103" s="11"/>
      <c r="U26103" s="9"/>
      <c r="X26103" s="9"/>
    </row>
    <row r="26104">
      <c r="D26104" s="9"/>
      <c r="G26104" s="9"/>
      <c r="J26104" s="11"/>
      <c r="U26104" s="9"/>
      <c r="X26104" s="9"/>
    </row>
    <row r="26105">
      <c r="D26105" s="9"/>
      <c r="G26105" s="9"/>
      <c r="J26105" s="11"/>
      <c r="U26105" s="9"/>
      <c r="X26105" s="9"/>
    </row>
    <row r="26106">
      <c r="D26106" s="9"/>
      <c r="G26106" s="9"/>
      <c r="J26106" s="11"/>
      <c r="U26106" s="9"/>
      <c r="X26106" s="9"/>
    </row>
    <row r="26107">
      <c r="D26107" s="9"/>
      <c r="G26107" s="9"/>
      <c r="J26107" s="11"/>
      <c r="U26107" s="9"/>
      <c r="X26107" s="9"/>
    </row>
    <row r="26108">
      <c r="D26108" s="9"/>
      <c r="G26108" s="9"/>
      <c r="J26108" s="11"/>
      <c r="U26108" s="9"/>
      <c r="X26108" s="9"/>
    </row>
    <row r="26109">
      <c r="D26109" s="9"/>
      <c r="G26109" s="9"/>
      <c r="J26109" s="11"/>
      <c r="U26109" s="9"/>
      <c r="X26109" s="9"/>
    </row>
    <row r="26110">
      <c r="D26110" s="9"/>
      <c r="G26110" s="9"/>
      <c r="J26110" s="11"/>
      <c r="U26110" s="9"/>
      <c r="X26110" s="9"/>
    </row>
    <row r="26111">
      <c r="D26111" s="9"/>
      <c r="G26111" s="9"/>
      <c r="J26111" s="11"/>
      <c r="U26111" s="9"/>
      <c r="X26111" s="9"/>
    </row>
    <row r="26112">
      <c r="D26112" s="9"/>
      <c r="G26112" s="9"/>
      <c r="J26112" s="11"/>
      <c r="U26112" s="9"/>
      <c r="X26112" s="9"/>
    </row>
    <row r="26113">
      <c r="D26113" s="9"/>
      <c r="G26113" s="9"/>
      <c r="J26113" s="11"/>
      <c r="U26113" s="9"/>
      <c r="X26113" s="9"/>
    </row>
    <row r="26114">
      <c r="D26114" s="9"/>
      <c r="G26114" s="9"/>
      <c r="J26114" s="11"/>
      <c r="U26114" s="9"/>
      <c r="X26114" s="9"/>
    </row>
    <row r="26115">
      <c r="D26115" s="9"/>
      <c r="G26115" s="9"/>
      <c r="J26115" s="11"/>
      <c r="U26115" s="9"/>
      <c r="X26115" s="9"/>
    </row>
    <row r="26116">
      <c r="D26116" s="9"/>
      <c r="G26116" s="9"/>
      <c r="J26116" s="11"/>
      <c r="U26116" s="9"/>
      <c r="X26116" s="9"/>
    </row>
    <row r="26117">
      <c r="D26117" s="9"/>
      <c r="G26117" s="9"/>
      <c r="J26117" s="11"/>
      <c r="U26117" s="9"/>
      <c r="X26117" s="9"/>
    </row>
    <row r="26118">
      <c r="D26118" s="9"/>
      <c r="G26118" s="9"/>
      <c r="J26118" s="11"/>
      <c r="U26118" s="9"/>
      <c r="X26118" s="9"/>
    </row>
    <row r="26119">
      <c r="D26119" s="9"/>
      <c r="G26119" s="9"/>
      <c r="J26119" s="11"/>
      <c r="U26119" s="9"/>
      <c r="X26119" s="9"/>
    </row>
    <row r="26120">
      <c r="D26120" s="9"/>
      <c r="G26120" s="9"/>
      <c r="J26120" s="11"/>
      <c r="U26120" s="9"/>
      <c r="X26120" s="9"/>
    </row>
    <row r="26121">
      <c r="D26121" s="9"/>
      <c r="G26121" s="9"/>
      <c r="J26121" s="11"/>
      <c r="U26121" s="9"/>
      <c r="X26121" s="9"/>
    </row>
    <row r="26122">
      <c r="D26122" s="9"/>
      <c r="G26122" s="9"/>
      <c r="J26122" s="11"/>
      <c r="U26122" s="9"/>
      <c r="X26122" s="9"/>
    </row>
    <row r="26123">
      <c r="D26123" s="9"/>
      <c r="G26123" s="9"/>
      <c r="J26123" s="11"/>
      <c r="U26123" s="9"/>
      <c r="X26123" s="9"/>
    </row>
    <row r="26124">
      <c r="D26124" s="9"/>
      <c r="G26124" s="9"/>
      <c r="J26124" s="11"/>
      <c r="U26124" s="9"/>
      <c r="X26124" s="9"/>
    </row>
    <row r="26125">
      <c r="D26125" s="9"/>
      <c r="G26125" s="9"/>
      <c r="J26125" s="11"/>
      <c r="U26125" s="9"/>
      <c r="X26125" s="9"/>
    </row>
    <row r="26126">
      <c r="D26126" s="9"/>
      <c r="G26126" s="9"/>
      <c r="J26126" s="11"/>
      <c r="U26126" s="9"/>
      <c r="X26126" s="9"/>
    </row>
    <row r="26127">
      <c r="D26127" s="9"/>
      <c r="G26127" s="9"/>
      <c r="J26127" s="11"/>
      <c r="U26127" s="9"/>
      <c r="X26127" s="9"/>
    </row>
    <row r="26128">
      <c r="D26128" s="9"/>
      <c r="G26128" s="9"/>
      <c r="J26128" s="11"/>
      <c r="U26128" s="9"/>
      <c r="X26128" s="9"/>
    </row>
    <row r="26129">
      <c r="D26129" s="9"/>
      <c r="G26129" s="9"/>
      <c r="J26129" s="11"/>
      <c r="U26129" s="9"/>
      <c r="X26129" s="9"/>
    </row>
    <row r="26130">
      <c r="D26130" s="9"/>
      <c r="G26130" s="9"/>
      <c r="J26130" s="11"/>
      <c r="U26130" s="9"/>
      <c r="X26130" s="9"/>
    </row>
    <row r="26131">
      <c r="D26131" s="9"/>
      <c r="G26131" s="9"/>
      <c r="J26131" s="11"/>
      <c r="U26131" s="9"/>
      <c r="X26131" s="9"/>
    </row>
    <row r="26132">
      <c r="D26132" s="9"/>
      <c r="G26132" s="9"/>
      <c r="J26132" s="11"/>
      <c r="U26132" s="9"/>
      <c r="X26132" s="9"/>
    </row>
    <row r="26133">
      <c r="D26133" s="9"/>
      <c r="G26133" s="9"/>
      <c r="J26133" s="11"/>
      <c r="U26133" s="9"/>
      <c r="X26133" s="9"/>
    </row>
    <row r="26134">
      <c r="D26134" s="9"/>
      <c r="G26134" s="9"/>
      <c r="J26134" s="11"/>
      <c r="U26134" s="9"/>
      <c r="X26134" s="9"/>
    </row>
    <row r="26135">
      <c r="D26135" s="9"/>
      <c r="G26135" s="9"/>
      <c r="J26135" s="11"/>
      <c r="U26135" s="9"/>
      <c r="X26135" s="9"/>
    </row>
    <row r="26136">
      <c r="D26136" s="9"/>
      <c r="G26136" s="9"/>
      <c r="J26136" s="11"/>
      <c r="U26136" s="9"/>
      <c r="X26136" s="9"/>
    </row>
    <row r="26137">
      <c r="D26137" s="9"/>
      <c r="G26137" s="9"/>
      <c r="J26137" s="11"/>
      <c r="U26137" s="9"/>
      <c r="X26137" s="9"/>
    </row>
    <row r="26138">
      <c r="D26138" s="9"/>
      <c r="G26138" s="9"/>
      <c r="J26138" s="11"/>
      <c r="U26138" s="9"/>
      <c r="X26138" s="9"/>
    </row>
    <row r="26139">
      <c r="D26139" s="9"/>
      <c r="G26139" s="9"/>
      <c r="J26139" s="11"/>
      <c r="U26139" s="9"/>
      <c r="X26139" s="9"/>
    </row>
    <row r="26140">
      <c r="D26140" s="9"/>
      <c r="G26140" s="9"/>
      <c r="J26140" s="11"/>
      <c r="U26140" s="9"/>
      <c r="X26140" s="9"/>
    </row>
    <row r="26141">
      <c r="D26141" s="9"/>
      <c r="G26141" s="9"/>
      <c r="J26141" s="11"/>
      <c r="U26141" s="9"/>
      <c r="X26141" s="9"/>
    </row>
    <row r="26142">
      <c r="D26142" s="9"/>
      <c r="G26142" s="9"/>
      <c r="J26142" s="11"/>
      <c r="U26142" s="9"/>
      <c r="X26142" s="9"/>
    </row>
    <row r="26143">
      <c r="D26143" s="9"/>
      <c r="G26143" s="9"/>
      <c r="J26143" s="11"/>
      <c r="U26143" s="9"/>
      <c r="X26143" s="9"/>
    </row>
    <row r="26144">
      <c r="D26144" s="9"/>
      <c r="G26144" s="9"/>
      <c r="J26144" s="11"/>
      <c r="U26144" s="9"/>
      <c r="X26144" s="9"/>
    </row>
    <row r="26145">
      <c r="D26145" s="9"/>
      <c r="G26145" s="9"/>
      <c r="J26145" s="11"/>
      <c r="U26145" s="9"/>
      <c r="X26145" s="9"/>
    </row>
    <row r="26146">
      <c r="D26146" s="9"/>
      <c r="G26146" s="9"/>
      <c r="J26146" s="11"/>
      <c r="U26146" s="9"/>
      <c r="X26146" s="9"/>
    </row>
    <row r="26147">
      <c r="D26147" s="9"/>
      <c r="G26147" s="9"/>
      <c r="J26147" s="11"/>
      <c r="U26147" s="9"/>
      <c r="X26147" s="9"/>
    </row>
    <row r="26148">
      <c r="D26148" s="9"/>
      <c r="G26148" s="9"/>
      <c r="J26148" s="11"/>
      <c r="U26148" s="9"/>
      <c r="X26148" s="9"/>
    </row>
    <row r="26149">
      <c r="D26149" s="9"/>
      <c r="G26149" s="9"/>
      <c r="J26149" s="11"/>
      <c r="U26149" s="9"/>
      <c r="X26149" s="9"/>
    </row>
    <row r="26150">
      <c r="D26150" s="9"/>
      <c r="G26150" s="9"/>
      <c r="J26150" s="11"/>
      <c r="U26150" s="9"/>
      <c r="X26150" s="9"/>
    </row>
    <row r="26151">
      <c r="D26151" s="9"/>
      <c r="G26151" s="9"/>
      <c r="J26151" s="11"/>
      <c r="U26151" s="9"/>
      <c r="X26151" s="9"/>
    </row>
    <row r="26152">
      <c r="D26152" s="9"/>
      <c r="G26152" s="9"/>
      <c r="J26152" s="11"/>
      <c r="U26152" s="9"/>
      <c r="X26152" s="9"/>
    </row>
    <row r="26153">
      <c r="D26153" s="9"/>
      <c r="G26153" s="9"/>
      <c r="J26153" s="11"/>
      <c r="U26153" s="9"/>
      <c r="X26153" s="9"/>
    </row>
    <row r="26154">
      <c r="D26154" s="9"/>
      <c r="G26154" s="9"/>
      <c r="J26154" s="11"/>
      <c r="U26154" s="9"/>
      <c r="X26154" s="9"/>
    </row>
    <row r="26155">
      <c r="D26155" s="9"/>
      <c r="G26155" s="9"/>
      <c r="J26155" s="11"/>
      <c r="U26155" s="9"/>
      <c r="X26155" s="9"/>
    </row>
    <row r="26156">
      <c r="D26156" s="9"/>
      <c r="G26156" s="9"/>
      <c r="J26156" s="11"/>
      <c r="U26156" s="9"/>
      <c r="X26156" s="9"/>
    </row>
    <row r="26157">
      <c r="D26157" s="9"/>
      <c r="G26157" s="9"/>
      <c r="J26157" s="11"/>
      <c r="U26157" s="9"/>
      <c r="X26157" s="9"/>
    </row>
    <row r="26158">
      <c r="D26158" s="9"/>
      <c r="G26158" s="9"/>
      <c r="J26158" s="11"/>
      <c r="U26158" s="9"/>
      <c r="X26158" s="9"/>
    </row>
    <row r="26159">
      <c r="D26159" s="9"/>
      <c r="G26159" s="9"/>
      <c r="J26159" s="11"/>
      <c r="U26159" s="9"/>
      <c r="X26159" s="9"/>
    </row>
    <row r="26160">
      <c r="D26160" s="9"/>
      <c r="G26160" s="9"/>
      <c r="J26160" s="11"/>
      <c r="U26160" s="9"/>
      <c r="X26160" s="9"/>
    </row>
    <row r="26161">
      <c r="D26161" s="9"/>
      <c r="G26161" s="9"/>
      <c r="J26161" s="11"/>
      <c r="U26161" s="9"/>
      <c r="X26161" s="9"/>
    </row>
    <row r="26162">
      <c r="D26162" s="9"/>
      <c r="G26162" s="9"/>
      <c r="J26162" s="11"/>
      <c r="U26162" s="9"/>
      <c r="X26162" s="9"/>
    </row>
    <row r="26163">
      <c r="D26163" s="9"/>
      <c r="G26163" s="9"/>
      <c r="J26163" s="11"/>
      <c r="U26163" s="9"/>
      <c r="X26163" s="9"/>
    </row>
    <row r="26164">
      <c r="D26164" s="9"/>
      <c r="G26164" s="9"/>
      <c r="J26164" s="11"/>
      <c r="U26164" s="9"/>
      <c r="X26164" s="9"/>
    </row>
    <row r="26165">
      <c r="D26165" s="9"/>
      <c r="G26165" s="9"/>
      <c r="J26165" s="11"/>
      <c r="U26165" s="9"/>
      <c r="X26165" s="9"/>
    </row>
    <row r="26166">
      <c r="D26166" s="9"/>
      <c r="G26166" s="9"/>
      <c r="J26166" s="11"/>
      <c r="U26166" s="9"/>
      <c r="X26166" s="9"/>
    </row>
    <row r="26167">
      <c r="D26167" s="9"/>
      <c r="G26167" s="9"/>
      <c r="J26167" s="11"/>
      <c r="U26167" s="9"/>
      <c r="X26167" s="9"/>
    </row>
    <row r="26168">
      <c r="D26168" s="9"/>
      <c r="G26168" s="9"/>
      <c r="J26168" s="11"/>
      <c r="U26168" s="9"/>
      <c r="X26168" s="9"/>
    </row>
    <row r="26169">
      <c r="D26169" s="9"/>
      <c r="G26169" s="9"/>
      <c r="J26169" s="11"/>
      <c r="U26169" s="9"/>
      <c r="X26169" s="9"/>
    </row>
    <row r="26170">
      <c r="D26170" s="9"/>
      <c r="G26170" s="9"/>
      <c r="J26170" s="11"/>
      <c r="U26170" s="9"/>
      <c r="X26170" s="9"/>
    </row>
    <row r="26171">
      <c r="D26171" s="9"/>
      <c r="G26171" s="9"/>
      <c r="J26171" s="11"/>
      <c r="U26171" s="9"/>
      <c r="X26171" s="9"/>
    </row>
    <row r="26172">
      <c r="D26172" s="9"/>
      <c r="G26172" s="9"/>
      <c r="J26172" s="11"/>
      <c r="U26172" s="9"/>
      <c r="X26172" s="9"/>
    </row>
    <row r="26173">
      <c r="D26173" s="9"/>
      <c r="G26173" s="9"/>
      <c r="J26173" s="11"/>
      <c r="U26173" s="9"/>
      <c r="X26173" s="9"/>
    </row>
    <row r="26174">
      <c r="D26174" s="9"/>
      <c r="G26174" s="9"/>
      <c r="J26174" s="11"/>
      <c r="U26174" s="9"/>
      <c r="X26174" s="9"/>
    </row>
    <row r="26175">
      <c r="D26175" s="9"/>
      <c r="G26175" s="9"/>
      <c r="J26175" s="11"/>
      <c r="U26175" s="9"/>
      <c r="X26175" s="9"/>
    </row>
    <row r="26176">
      <c r="D26176" s="9"/>
      <c r="G26176" s="9"/>
      <c r="J26176" s="11"/>
      <c r="U26176" s="9"/>
      <c r="X26176" s="9"/>
    </row>
    <row r="26177">
      <c r="D26177" s="9"/>
      <c r="G26177" s="9"/>
      <c r="J26177" s="11"/>
      <c r="U26177" s="9"/>
      <c r="X26177" s="9"/>
    </row>
    <row r="26178">
      <c r="D26178" s="9"/>
      <c r="G26178" s="9"/>
      <c r="J26178" s="11"/>
      <c r="U26178" s="9"/>
      <c r="X26178" s="9"/>
    </row>
    <row r="26179">
      <c r="D26179" s="9"/>
      <c r="G26179" s="9"/>
      <c r="J26179" s="11"/>
      <c r="U26179" s="9"/>
      <c r="X26179" s="9"/>
    </row>
    <row r="26180">
      <c r="D26180" s="9"/>
      <c r="G26180" s="9"/>
      <c r="J26180" s="11"/>
      <c r="U26180" s="9"/>
      <c r="X26180" s="9"/>
    </row>
    <row r="26181">
      <c r="D26181" s="9"/>
      <c r="G26181" s="9"/>
      <c r="J26181" s="11"/>
      <c r="U26181" s="9"/>
      <c r="X26181" s="9"/>
    </row>
    <row r="26182">
      <c r="D26182" s="9"/>
      <c r="G26182" s="9"/>
      <c r="J26182" s="11"/>
      <c r="U26182" s="9"/>
      <c r="X26182" s="9"/>
    </row>
    <row r="26183">
      <c r="D26183" s="9"/>
      <c r="G26183" s="9"/>
      <c r="J26183" s="11"/>
      <c r="U26183" s="9"/>
      <c r="X26183" s="9"/>
    </row>
    <row r="26184">
      <c r="D26184" s="9"/>
      <c r="G26184" s="9"/>
      <c r="J26184" s="11"/>
      <c r="U26184" s="9"/>
      <c r="X26184" s="9"/>
    </row>
    <row r="26185">
      <c r="D26185" s="9"/>
      <c r="G26185" s="9"/>
      <c r="J26185" s="11"/>
      <c r="U26185" s="9"/>
      <c r="X26185" s="9"/>
    </row>
    <row r="26186">
      <c r="D26186" s="9"/>
      <c r="G26186" s="9"/>
      <c r="J26186" s="11"/>
      <c r="U26186" s="9"/>
      <c r="X26186" s="9"/>
    </row>
    <row r="26187">
      <c r="D26187" s="9"/>
      <c r="G26187" s="9"/>
      <c r="J26187" s="11"/>
      <c r="U26187" s="9"/>
      <c r="X26187" s="9"/>
    </row>
    <row r="26188">
      <c r="D26188" s="9"/>
      <c r="G26188" s="9"/>
      <c r="J26188" s="11"/>
      <c r="U26188" s="9"/>
      <c r="X26188" s="9"/>
    </row>
    <row r="26189">
      <c r="D26189" s="9"/>
      <c r="G26189" s="9"/>
      <c r="J26189" s="11"/>
      <c r="U26189" s="9"/>
      <c r="X26189" s="9"/>
    </row>
    <row r="26190">
      <c r="D26190" s="9"/>
      <c r="G26190" s="9"/>
      <c r="J26190" s="11"/>
      <c r="U26190" s="9"/>
      <c r="X26190" s="9"/>
    </row>
    <row r="26191">
      <c r="D26191" s="9"/>
      <c r="G26191" s="9"/>
      <c r="J26191" s="11"/>
      <c r="U26191" s="9"/>
      <c r="X26191" s="9"/>
    </row>
    <row r="26192">
      <c r="D26192" s="9"/>
      <c r="G26192" s="9"/>
      <c r="J26192" s="11"/>
      <c r="U26192" s="9"/>
      <c r="X26192" s="9"/>
    </row>
    <row r="26193">
      <c r="D26193" s="9"/>
      <c r="G26193" s="9"/>
      <c r="J26193" s="11"/>
      <c r="U26193" s="9"/>
      <c r="X26193" s="9"/>
    </row>
    <row r="26194">
      <c r="D26194" s="9"/>
      <c r="G26194" s="9"/>
      <c r="J26194" s="11"/>
      <c r="U26194" s="9"/>
      <c r="X26194" s="9"/>
    </row>
    <row r="26195">
      <c r="D26195" s="9"/>
      <c r="G26195" s="9"/>
      <c r="J26195" s="11"/>
      <c r="U26195" s="9"/>
      <c r="X26195" s="9"/>
    </row>
    <row r="26196">
      <c r="D26196" s="9"/>
      <c r="G26196" s="9"/>
      <c r="J26196" s="11"/>
      <c r="U26196" s="9"/>
      <c r="X26196" s="9"/>
    </row>
    <row r="26197">
      <c r="D26197" s="9"/>
      <c r="G26197" s="9"/>
      <c r="J26197" s="11"/>
      <c r="U26197" s="9"/>
      <c r="X26197" s="9"/>
    </row>
    <row r="26198">
      <c r="D26198" s="9"/>
      <c r="G26198" s="9"/>
      <c r="J26198" s="11"/>
      <c r="U26198" s="9"/>
      <c r="X26198" s="9"/>
    </row>
    <row r="26199">
      <c r="D26199" s="9"/>
      <c r="G26199" s="9"/>
      <c r="J26199" s="11"/>
      <c r="U26199" s="9"/>
      <c r="X26199" s="9"/>
    </row>
    <row r="26200">
      <c r="D26200" s="9"/>
      <c r="G26200" s="9"/>
      <c r="J26200" s="11"/>
      <c r="U26200" s="9"/>
      <c r="X26200" s="9"/>
    </row>
    <row r="26201">
      <c r="D26201" s="9"/>
      <c r="G26201" s="9"/>
      <c r="J26201" s="11"/>
      <c r="U26201" s="9"/>
      <c r="X26201" s="9"/>
    </row>
    <row r="26202">
      <c r="D26202" s="9"/>
      <c r="G26202" s="9"/>
      <c r="J26202" s="11"/>
      <c r="U26202" s="9"/>
      <c r="X26202" s="9"/>
    </row>
    <row r="26203">
      <c r="D26203" s="9"/>
      <c r="G26203" s="9"/>
      <c r="J26203" s="11"/>
      <c r="U26203" s="9"/>
      <c r="X26203" s="9"/>
    </row>
    <row r="26204">
      <c r="D26204" s="9"/>
      <c r="G26204" s="9"/>
      <c r="J26204" s="11"/>
      <c r="U26204" s="9"/>
      <c r="X26204" s="9"/>
    </row>
    <row r="26205">
      <c r="D26205" s="9"/>
      <c r="G26205" s="9"/>
      <c r="J26205" s="11"/>
      <c r="U26205" s="9"/>
      <c r="X26205" s="9"/>
    </row>
    <row r="26206">
      <c r="D26206" s="9"/>
      <c r="G26206" s="9"/>
      <c r="J26206" s="11"/>
      <c r="U26206" s="9"/>
      <c r="X26206" s="9"/>
    </row>
    <row r="26207">
      <c r="D26207" s="9"/>
      <c r="G26207" s="9"/>
      <c r="J26207" s="11"/>
      <c r="U26207" s="9"/>
      <c r="X26207" s="9"/>
    </row>
    <row r="26208">
      <c r="D26208" s="9"/>
      <c r="G26208" s="9"/>
      <c r="J26208" s="11"/>
      <c r="U26208" s="9"/>
      <c r="X26208" s="9"/>
    </row>
    <row r="26209">
      <c r="D26209" s="9"/>
      <c r="G26209" s="9"/>
      <c r="J26209" s="11"/>
      <c r="U26209" s="9"/>
      <c r="X26209" s="9"/>
    </row>
    <row r="26210">
      <c r="D26210" s="9"/>
      <c r="G26210" s="9"/>
      <c r="J26210" s="11"/>
      <c r="U26210" s="9"/>
      <c r="X26210" s="9"/>
    </row>
    <row r="26211">
      <c r="D26211" s="9"/>
      <c r="G26211" s="9"/>
      <c r="J26211" s="11"/>
      <c r="U26211" s="9"/>
      <c r="X26211" s="9"/>
    </row>
    <row r="26212">
      <c r="D26212" s="9"/>
      <c r="G26212" s="9"/>
      <c r="J26212" s="11"/>
      <c r="U26212" s="9"/>
      <c r="X26212" s="9"/>
    </row>
    <row r="26213">
      <c r="D26213" s="9"/>
      <c r="G26213" s="9"/>
      <c r="J26213" s="11"/>
      <c r="U26213" s="9"/>
      <c r="X26213" s="9"/>
    </row>
    <row r="26214">
      <c r="D26214" s="9"/>
      <c r="G26214" s="9"/>
      <c r="J26214" s="11"/>
      <c r="U26214" s="9"/>
      <c r="X26214" s="9"/>
    </row>
    <row r="26215">
      <c r="D26215" s="9"/>
      <c r="G26215" s="9"/>
      <c r="J26215" s="11"/>
      <c r="U26215" s="9"/>
      <c r="X26215" s="9"/>
    </row>
    <row r="26216">
      <c r="D26216" s="9"/>
      <c r="G26216" s="9"/>
      <c r="J26216" s="11"/>
      <c r="U26216" s="9"/>
      <c r="X26216" s="9"/>
    </row>
    <row r="26217">
      <c r="D26217" s="9"/>
      <c r="G26217" s="9"/>
      <c r="J26217" s="11"/>
      <c r="U26217" s="9"/>
      <c r="X26217" s="9"/>
    </row>
    <row r="26218">
      <c r="D26218" s="9"/>
      <c r="G26218" s="9"/>
      <c r="J26218" s="11"/>
      <c r="U26218" s="9"/>
      <c r="X26218" s="9"/>
    </row>
    <row r="26219">
      <c r="D26219" s="9"/>
      <c r="G26219" s="9"/>
      <c r="J26219" s="11"/>
      <c r="U26219" s="9"/>
      <c r="X26219" s="9"/>
    </row>
    <row r="26220">
      <c r="D26220" s="9"/>
      <c r="G26220" s="9"/>
      <c r="J26220" s="11"/>
      <c r="U26220" s="9"/>
      <c r="X26220" s="9"/>
    </row>
    <row r="26221">
      <c r="D26221" s="9"/>
      <c r="G26221" s="9"/>
      <c r="J26221" s="11"/>
      <c r="U26221" s="9"/>
      <c r="X26221" s="9"/>
    </row>
    <row r="26222">
      <c r="D26222" s="9"/>
      <c r="G26222" s="9"/>
      <c r="J26222" s="11"/>
      <c r="U26222" s="9"/>
      <c r="X26222" s="9"/>
    </row>
    <row r="26223">
      <c r="D26223" s="9"/>
      <c r="G26223" s="9"/>
      <c r="J26223" s="11"/>
      <c r="U26223" s="9"/>
      <c r="X26223" s="9"/>
    </row>
    <row r="26224">
      <c r="D26224" s="9"/>
      <c r="G26224" s="9"/>
      <c r="J26224" s="11"/>
      <c r="U26224" s="9"/>
      <c r="X26224" s="9"/>
    </row>
    <row r="26225">
      <c r="D26225" s="9"/>
      <c r="G26225" s="9"/>
      <c r="J26225" s="11"/>
      <c r="U26225" s="9"/>
      <c r="X26225" s="9"/>
    </row>
    <row r="26226">
      <c r="D26226" s="9"/>
      <c r="G26226" s="9"/>
      <c r="J26226" s="11"/>
      <c r="U26226" s="9"/>
      <c r="X26226" s="9"/>
    </row>
    <row r="26227">
      <c r="D26227" s="9"/>
      <c r="G26227" s="9"/>
      <c r="J26227" s="11"/>
      <c r="U26227" s="9"/>
      <c r="X26227" s="9"/>
    </row>
    <row r="26228">
      <c r="D26228" s="9"/>
      <c r="G26228" s="9"/>
      <c r="J26228" s="11"/>
      <c r="U26228" s="9"/>
      <c r="X26228" s="9"/>
    </row>
    <row r="26229">
      <c r="D26229" s="9"/>
      <c r="G26229" s="9"/>
      <c r="J26229" s="11"/>
      <c r="U26229" s="9"/>
      <c r="X26229" s="9"/>
    </row>
    <row r="26230">
      <c r="D26230" s="9"/>
      <c r="G26230" s="9"/>
      <c r="J26230" s="11"/>
      <c r="U26230" s="9"/>
      <c r="X26230" s="9"/>
    </row>
    <row r="26231">
      <c r="D26231" s="9"/>
      <c r="G26231" s="9"/>
      <c r="J26231" s="11"/>
      <c r="U26231" s="9"/>
      <c r="X26231" s="9"/>
    </row>
    <row r="26232">
      <c r="D26232" s="9"/>
      <c r="G26232" s="9"/>
      <c r="J26232" s="11"/>
      <c r="U26232" s="9"/>
      <c r="X26232" s="9"/>
    </row>
    <row r="26233">
      <c r="D26233" s="9"/>
      <c r="G26233" s="9"/>
      <c r="J26233" s="11"/>
      <c r="U26233" s="9"/>
      <c r="X26233" s="9"/>
    </row>
    <row r="26234">
      <c r="D26234" s="9"/>
      <c r="G26234" s="9"/>
      <c r="J26234" s="11"/>
      <c r="U26234" s="9"/>
      <c r="X26234" s="9"/>
    </row>
    <row r="26235">
      <c r="D26235" s="9"/>
      <c r="G26235" s="9"/>
      <c r="J26235" s="11"/>
      <c r="U26235" s="9"/>
      <c r="X26235" s="9"/>
    </row>
    <row r="26236">
      <c r="D26236" s="9"/>
      <c r="G26236" s="9"/>
      <c r="J26236" s="11"/>
      <c r="U26236" s="9"/>
      <c r="X26236" s="9"/>
    </row>
    <row r="26237">
      <c r="D26237" s="9"/>
      <c r="G26237" s="9"/>
      <c r="J26237" s="11"/>
      <c r="U26237" s="9"/>
      <c r="X26237" s="9"/>
    </row>
    <row r="26238">
      <c r="D26238" s="9"/>
      <c r="G26238" s="9"/>
      <c r="J26238" s="11"/>
      <c r="U26238" s="9"/>
      <c r="X26238" s="9"/>
    </row>
    <row r="26239">
      <c r="D26239" s="9"/>
      <c r="G26239" s="9"/>
      <c r="J26239" s="11"/>
      <c r="U26239" s="9"/>
      <c r="X26239" s="9"/>
    </row>
    <row r="26240">
      <c r="D26240" s="9"/>
      <c r="G26240" s="9"/>
      <c r="J26240" s="11"/>
      <c r="U26240" s="9"/>
      <c r="X26240" s="9"/>
    </row>
    <row r="26241">
      <c r="D26241" s="9"/>
      <c r="G26241" s="9"/>
      <c r="J26241" s="11"/>
      <c r="U26241" s="9"/>
      <c r="X26241" s="9"/>
    </row>
    <row r="26242">
      <c r="D26242" s="9"/>
      <c r="G26242" s="9"/>
      <c r="J26242" s="11"/>
      <c r="U26242" s="9"/>
      <c r="X26242" s="9"/>
    </row>
    <row r="26243">
      <c r="D26243" s="9"/>
      <c r="G26243" s="9"/>
      <c r="J26243" s="11"/>
      <c r="U26243" s="9"/>
      <c r="X26243" s="9"/>
    </row>
    <row r="26244">
      <c r="D26244" s="9"/>
      <c r="G26244" s="9"/>
      <c r="J26244" s="11"/>
      <c r="U26244" s="9"/>
      <c r="X26244" s="9"/>
    </row>
    <row r="26245">
      <c r="D26245" s="9"/>
      <c r="G26245" s="9"/>
      <c r="J26245" s="11"/>
      <c r="U26245" s="9"/>
      <c r="X26245" s="9"/>
    </row>
    <row r="26246">
      <c r="D26246" s="9"/>
      <c r="G26246" s="9"/>
      <c r="J26246" s="11"/>
      <c r="U26246" s="9"/>
      <c r="X26246" s="9"/>
    </row>
    <row r="26247">
      <c r="D26247" s="9"/>
      <c r="G26247" s="9"/>
      <c r="J26247" s="11"/>
      <c r="U26247" s="9"/>
      <c r="X26247" s="9"/>
    </row>
    <row r="26248">
      <c r="D26248" s="9"/>
      <c r="G26248" s="9"/>
      <c r="J26248" s="11"/>
      <c r="U26248" s="9"/>
      <c r="X26248" s="9"/>
    </row>
    <row r="26249">
      <c r="D26249" s="9"/>
      <c r="G26249" s="9"/>
      <c r="J26249" s="11"/>
      <c r="U26249" s="9"/>
      <c r="X26249" s="9"/>
    </row>
    <row r="26250">
      <c r="D26250" s="9"/>
      <c r="G26250" s="9"/>
      <c r="J26250" s="11"/>
      <c r="U26250" s="9"/>
      <c r="X26250" s="9"/>
    </row>
    <row r="26251">
      <c r="D26251" s="9"/>
      <c r="G26251" s="9"/>
      <c r="J26251" s="11"/>
      <c r="U26251" s="9"/>
      <c r="X26251" s="9"/>
    </row>
    <row r="26252">
      <c r="D26252" s="9"/>
      <c r="G26252" s="9"/>
      <c r="J26252" s="11"/>
      <c r="U26252" s="9"/>
      <c r="X26252" s="9"/>
    </row>
    <row r="26253">
      <c r="D26253" s="9"/>
      <c r="G26253" s="9"/>
      <c r="J26253" s="11"/>
      <c r="U26253" s="9"/>
      <c r="X26253" s="9"/>
    </row>
    <row r="26254">
      <c r="D26254" s="9"/>
      <c r="G26254" s="9"/>
      <c r="J26254" s="11"/>
      <c r="U26254" s="9"/>
      <c r="X26254" s="9"/>
    </row>
    <row r="26255">
      <c r="D26255" s="9"/>
      <c r="G26255" s="9"/>
      <c r="J26255" s="11"/>
      <c r="U26255" s="9"/>
      <c r="X26255" s="9"/>
    </row>
    <row r="26256">
      <c r="D26256" s="9"/>
      <c r="G26256" s="9"/>
      <c r="J26256" s="11"/>
      <c r="U26256" s="9"/>
      <c r="X26256" s="9"/>
    </row>
    <row r="26257">
      <c r="D26257" s="9"/>
      <c r="G26257" s="9"/>
      <c r="J26257" s="11"/>
      <c r="U26257" s="9"/>
      <c r="X26257" s="9"/>
    </row>
    <row r="26258">
      <c r="D26258" s="9"/>
      <c r="G26258" s="9"/>
      <c r="J26258" s="11"/>
      <c r="U26258" s="9"/>
      <c r="X26258" s="9"/>
    </row>
    <row r="26259">
      <c r="D26259" s="9"/>
      <c r="G26259" s="9"/>
      <c r="J26259" s="11"/>
      <c r="U26259" s="9"/>
      <c r="X26259" s="9"/>
    </row>
    <row r="26260">
      <c r="D26260" s="9"/>
      <c r="G26260" s="9"/>
      <c r="J26260" s="11"/>
      <c r="U26260" s="9"/>
      <c r="X26260" s="9"/>
    </row>
    <row r="26261">
      <c r="D26261" s="9"/>
      <c r="G26261" s="9"/>
      <c r="J26261" s="11"/>
      <c r="U26261" s="9"/>
      <c r="X26261" s="9"/>
    </row>
    <row r="26262">
      <c r="D26262" s="9"/>
      <c r="G26262" s="9"/>
      <c r="J26262" s="11"/>
      <c r="U26262" s="9"/>
      <c r="X26262" s="9"/>
    </row>
    <row r="26263">
      <c r="D26263" s="9"/>
      <c r="G26263" s="9"/>
      <c r="J26263" s="11"/>
      <c r="U26263" s="9"/>
      <c r="X26263" s="9"/>
    </row>
    <row r="26264">
      <c r="D26264" s="9"/>
      <c r="G26264" s="9"/>
      <c r="J26264" s="11"/>
      <c r="U26264" s="9"/>
      <c r="X26264" s="9"/>
    </row>
    <row r="26265">
      <c r="D26265" s="9"/>
      <c r="G26265" s="9"/>
      <c r="J26265" s="11"/>
      <c r="U26265" s="9"/>
      <c r="X26265" s="9"/>
    </row>
    <row r="26266">
      <c r="D26266" s="9"/>
      <c r="G26266" s="9"/>
      <c r="J26266" s="11"/>
      <c r="U26266" s="9"/>
      <c r="X26266" s="9"/>
    </row>
    <row r="26267">
      <c r="D26267" s="9"/>
      <c r="G26267" s="9"/>
      <c r="J26267" s="11"/>
      <c r="U26267" s="9"/>
      <c r="X26267" s="9"/>
    </row>
    <row r="26268">
      <c r="D26268" s="9"/>
      <c r="G26268" s="9"/>
      <c r="J26268" s="11"/>
      <c r="U26268" s="9"/>
      <c r="X26268" s="9"/>
    </row>
    <row r="26269">
      <c r="D26269" s="9"/>
      <c r="G26269" s="9"/>
      <c r="J26269" s="11"/>
      <c r="U26269" s="9"/>
      <c r="X26269" s="9"/>
    </row>
    <row r="26270">
      <c r="D26270" s="9"/>
      <c r="G26270" s="9"/>
      <c r="J26270" s="11"/>
      <c r="U26270" s="9"/>
      <c r="X26270" s="9"/>
    </row>
    <row r="26271">
      <c r="D26271" s="9"/>
      <c r="G26271" s="9"/>
      <c r="J26271" s="11"/>
      <c r="U26271" s="9"/>
      <c r="X26271" s="9"/>
    </row>
    <row r="26272">
      <c r="D26272" s="9"/>
      <c r="G26272" s="9"/>
      <c r="J26272" s="11"/>
      <c r="U26272" s="9"/>
      <c r="X26272" s="9"/>
    </row>
    <row r="26273">
      <c r="D26273" s="9"/>
      <c r="G26273" s="9"/>
      <c r="J26273" s="11"/>
      <c r="U26273" s="9"/>
      <c r="X26273" s="9"/>
    </row>
    <row r="26274">
      <c r="D26274" s="9"/>
      <c r="G26274" s="9"/>
      <c r="J26274" s="11"/>
      <c r="U26274" s="9"/>
      <c r="X26274" s="9"/>
    </row>
    <row r="26275">
      <c r="D26275" s="9"/>
      <c r="G26275" s="9"/>
      <c r="J26275" s="11"/>
      <c r="U26275" s="9"/>
      <c r="X26275" s="9"/>
    </row>
    <row r="26276">
      <c r="D26276" s="9"/>
      <c r="G26276" s="9"/>
      <c r="J26276" s="11"/>
      <c r="U26276" s="9"/>
      <c r="X26276" s="9"/>
    </row>
    <row r="26277">
      <c r="D26277" s="9"/>
      <c r="G26277" s="9"/>
      <c r="J26277" s="11"/>
      <c r="U26277" s="9"/>
      <c r="X26277" s="9"/>
    </row>
    <row r="26278">
      <c r="D26278" s="9"/>
      <c r="G26278" s="9"/>
      <c r="J26278" s="11"/>
      <c r="U26278" s="9"/>
      <c r="X26278" s="9"/>
    </row>
    <row r="26279">
      <c r="D26279" s="9"/>
      <c r="G26279" s="9"/>
      <c r="J26279" s="11"/>
      <c r="U26279" s="9"/>
      <c r="X26279" s="9"/>
    </row>
    <row r="26280">
      <c r="D26280" s="9"/>
      <c r="G26280" s="9"/>
      <c r="J26280" s="11"/>
      <c r="U26280" s="9"/>
      <c r="X26280" s="9"/>
    </row>
    <row r="26281">
      <c r="D26281" s="9"/>
      <c r="G26281" s="9"/>
      <c r="J26281" s="11"/>
      <c r="U26281" s="9"/>
      <c r="X26281" s="9"/>
    </row>
    <row r="26282">
      <c r="D26282" s="9"/>
      <c r="G26282" s="9"/>
      <c r="J26282" s="11"/>
      <c r="U26282" s="9"/>
      <c r="X26282" s="9"/>
    </row>
    <row r="26283">
      <c r="D26283" s="9"/>
      <c r="G26283" s="9"/>
      <c r="J26283" s="11"/>
      <c r="U26283" s="9"/>
      <c r="X26283" s="9"/>
    </row>
    <row r="26284">
      <c r="D26284" s="9"/>
      <c r="G26284" s="9"/>
      <c r="J26284" s="11"/>
      <c r="U26284" s="9"/>
      <c r="X26284" s="9"/>
    </row>
    <row r="26285">
      <c r="D26285" s="9"/>
      <c r="G26285" s="9"/>
      <c r="J26285" s="11"/>
      <c r="U26285" s="9"/>
      <c r="X26285" s="9"/>
    </row>
    <row r="26286">
      <c r="D26286" s="9"/>
      <c r="G26286" s="9"/>
      <c r="J26286" s="11"/>
      <c r="U26286" s="9"/>
      <c r="X26286" s="9"/>
    </row>
    <row r="26287">
      <c r="D26287" s="9"/>
      <c r="G26287" s="9"/>
      <c r="J26287" s="11"/>
      <c r="U26287" s="9"/>
      <c r="X26287" s="9"/>
    </row>
    <row r="26288">
      <c r="D26288" s="9"/>
      <c r="G26288" s="9"/>
      <c r="J26288" s="11"/>
      <c r="U26288" s="9"/>
      <c r="X26288" s="9"/>
    </row>
    <row r="26289">
      <c r="D26289" s="9"/>
      <c r="G26289" s="9"/>
      <c r="J26289" s="11"/>
      <c r="U26289" s="9"/>
      <c r="X26289" s="9"/>
    </row>
    <row r="26290">
      <c r="D26290" s="9"/>
      <c r="G26290" s="9"/>
      <c r="J26290" s="11"/>
      <c r="U26290" s="9"/>
      <c r="X26290" s="9"/>
    </row>
    <row r="26291">
      <c r="D26291" s="9"/>
      <c r="G26291" s="9"/>
      <c r="J26291" s="11"/>
      <c r="U26291" s="9"/>
      <c r="X26291" s="9"/>
    </row>
    <row r="26292">
      <c r="D26292" s="9"/>
      <c r="G26292" s="9"/>
      <c r="J26292" s="11"/>
      <c r="U26292" s="9"/>
      <c r="X26292" s="9"/>
    </row>
    <row r="26293">
      <c r="D26293" s="9"/>
      <c r="G26293" s="9"/>
      <c r="J26293" s="11"/>
      <c r="U26293" s="9"/>
      <c r="X26293" s="9"/>
    </row>
    <row r="26294">
      <c r="D26294" s="9"/>
      <c r="G26294" s="9"/>
      <c r="J26294" s="11"/>
      <c r="U26294" s="9"/>
      <c r="X26294" s="9"/>
    </row>
    <row r="26295">
      <c r="D26295" s="9"/>
      <c r="G26295" s="9"/>
      <c r="J26295" s="11"/>
      <c r="U26295" s="9"/>
      <c r="X26295" s="9"/>
    </row>
    <row r="26296">
      <c r="D26296" s="9"/>
      <c r="G26296" s="9"/>
      <c r="J26296" s="11"/>
      <c r="U26296" s="9"/>
      <c r="X26296" s="9"/>
    </row>
    <row r="26297">
      <c r="D26297" s="9"/>
      <c r="G26297" s="9"/>
      <c r="J26297" s="11"/>
      <c r="U26297" s="9"/>
      <c r="X26297" s="9"/>
    </row>
    <row r="26298">
      <c r="D26298" s="9"/>
      <c r="G26298" s="9"/>
      <c r="J26298" s="11"/>
      <c r="U26298" s="9"/>
      <c r="X26298" s="9"/>
    </row>
    <row r="26299">
      <c r="D26299" s="9"/>
      <c r="G26299" s="9"/>
      <c r="J26299" s="11"/>
      <c r="U26299" s="9"/>
      <c r="X26299" s="9"/>
    </row>
    <row r="26300">
      <c r="D26300" s="9"/>
      <c r="G26300" s="9"/>
      <c r="J26300" s="11"/>
      <c r="U26300" s="9"/>
      <c r="X26300" s="9"/>
    </row>
    <row r="26301">
      <c r="D26301" s="9"/>
      <c r="G26301" s="9"/>
      <c r="J26301" s="11"/>
      <c r="U26301" s="9"/>
      <c r="X26301" s="9"/>
    </row>
    <row r="26302">
      <c r="D26302" s="9"/>
      <c r="G26302" s="9"/>
      <c r="J26302" s="11"/>
      <c r="U26302" s="9"/>
      <c r="X26302" s="9"/>
    </row>
    <row r="26303">
      <c r="D26303" s="9"/>
      <c r="G26303" s="9"/>
      <c r="J26303" s="11"/>
      <c r="U26303" s="9"/>
      <c r="X26303" s="9"/>
    </row>
    <row r="26304">
      <c r="D26304" s="9"/>
      <c r="G26304" s="9"/>
      <c r="J26304" s="11"/>
      <c r="U26304" s="9"/>
      <c r="X26304" s="9"/>
    </row>
    <row r="26305">
      <c r="D26305" s="9"/>
      <c r="G26305" s="9"/>
      <c r="J26305" s="11"/>
      <c r="U26305" s="9"/>
      <c r="X26305" s="9"/>
    </row>
    <row r="26306">
      <c r="D26306" s="9"/>
      <c r="G26306" s="9"/>
      <c r="J26306" s="11"/>
      <c r="U26306" s="9"/>
      <c r="X26306" s="9"/>
    </row>
    <row r="26307">
      <c r="D26307" s="9"/>
      <c r="G26307" s="9"/>
      <c r="J26307" s="11"/>
      <c r="U26307" s="9"/>
      <c r="X26307" s="9"/>
    </row>
    <row r="26308">
      <c r="D26308" s="9"/>
      <c r="G26308" s="9"/>
      <c r="J26308" s="11"/>
      <c r="U26308" s="9"/>
      <c r="X26308" s="9"/>
    </row>
    <row r="26309">
      <c r="D26309" s="9"/>
      <c r="G26309" s="9"/>
      <c r="J26309" s="11"/>
      <c r="U26309" s="9"/>
      <c r="X26309" s="9"/>
    </row>
    <row r="26310">
      <c r="D26310" s="9"/>
      <c r="G26310" s="9"/>
      <c r="J26310" s="11"/>
      <c r="U26310" s="9"/>
      <c r="X26310" s="9"/>
    </row>
    <row r="26311">
      <c r="D26311" s="9"/>
      <c r="G26311" s="9"/>
      <c r="J26311" s="11"/>
      <c r="U26311" s="9"/>
      <c r="X26311" s="9"/>
    </row>
    <row r="26312">
      <c r="D26312" s="9"/>
      <c r="G26312" s="9"/>
      <c r="J26312" s="11"/>
      <c r="U26312" s="9"/>
      <c r="X26312" s="9"/>
    </row>
    <row r="26313">
      <c r="D26313" s="9"/>
      <c r="G26313" s="9"/>
      <c r="J26313" s="11"/>
      <c r="U26313" s="9"/>
      <c r="X26313" s="9"/>
    </row>
    <row r="26314">
      <c r="D26314" s="9"/>
      <c r="G26314" s="9"/>
      <c r="J26314" s="11"/>
      <c r="U26314" s="9"/>
      <c r="X26314" s="9"/>
    </row>
    <row r="26315">
      <c r="D26315" s="9"/>
      <c r="G26315" s="9"/>
      <c r="J26315" s="11"/>
      <c r="U26315" s="9"/>
      <c r="X26315" s="9"/>
    </row>
    <row r="26316">
      <c r="D26316" s="9"/>
      <c r="G26316" s="9"/>
      <c r="J26316" s="11"/>
      <c r="U26316" s="9"/>
      <c r="X26316" s="9"/>
    </row>
    <row r="26317">
      <c r="D26317" s="9"/>
      <c r="G26317" s="9"/>
      <c r="J26317" s="11"/>
      <c r="U26317" s="9"/>
      <c r="X26317" s="9"/>
    </row>
    <row r="26318">
      <c r="D26318" s="9"/>
      <c r="G26318" s="9"/>
      <c r="J26318" s="11"/>
      <c r="U26318" s="9"/>
      <c r="X26318" s="9"/>
    </row>
    <row r="26319">
      <c r="D26319" s="9"/>
      <c r="G26319" s="9"/>
      <c r="J26319" s="11"/>
      <c r="U26319" s="9"/>
      <c r="X26319" s="9"/>
    </row>
    <row r="26320">
      <c r="D26320" s="9"/>
      <c r="G26320" s="9"/>
      <c r="J26320" s="11"/>
      <c r="U26320" s="9"/>
      <c r="X26320" s="9"/>
    </row>
    <row r="26321">
      <c r="D26321" s="9"/>
      <c r="G26321" s="9"/>
      <c r="J26321" s="11"/>
      <c r="U26321" s="9"/>
      <c r="X26321" s="9"/>
    </row>
    <row r="26322">
      <c r="D26322" s="9"/>
      <c r="G26322" s="9"/>
      <c r="J26322" s="11"/>
      <c r="U26322" s="9"/>
      <c r="X26322" s="9"/>
    </row>
    <row r="26323">
      <c r="D26323" s="9"/>
      <c r="G26323" s="9"/>
      <c r="J26323" s="11"/>
      <c r="U26323" s="9"/>
      <c r="X26323" s="9"/>
    </row>
    <row r="26324">
      <c r="D26324" s="9"/>
      <c r="G26324" s="9"/>
      <c r="J26324" s="11"/>
      <c r="U26324" s="9"/>
      <c r="X26324" s="9"/>
    </row>
    <row r="26325">
      <c r="D26325" s="9"/>
      <c r="G26325" s="9"/>
      <c r="J26325" s="11"/>
      <c r="U26325" s="9"/>
      <c r="X26325" s="9"/>
    </row>
    <row r="26326">
      <c r="D26326" s="9"/>
      <c r="G26326" s="9"/>
      <c r="J26326" s="11"/>
      <c r="U26326" s="9"/>
      <c r="X26326" s="9"/>
    </row>
    <row r="26327">
      <c r="D26327" s="9"/>
      <c r="G26327" s="9"/>
      <c r="J26327" s="11"/>
      <c r="U26327" s="9"/>
      <c r="X26327" s="9"/>
    </row>
    <row r="26328">
      <c r="D26328" s="9"/>
      <c r="G26328" s="9"/>
      <c r="J26328" s="11"/>
      <c r="U26328" s="9"/>
      <c r="X26328" s="9"/>
    </row>
    <row r="26329">
      <c r="D26329" s="9"/>
      <c r="G26329" s="9"/>
      <c r="J26329" s="11"/>
      <c r="U26329" s="9"/>
      <c r="X26329" s="9"/>
    </row>
    <row r="26330">
      <c r="D26330" s="9"/>
      <c r="G26330" s="9"/>
      <c r="J26330" s="11"/>
      <c r="U26330" s="9"/>
      <c r="X26330" s="9"/>
    </row>
    <row r="26331">
      <c r="D26331" s="9"/>
      <c r="G26331" s="9"/>
      <c r="J26331" s="11"/>
      <c r="U26331" s="9"/>
      <c r="X26331" s="9"/>
    </row>
    <row r="26332">
      <c r="D26332" s="9"/>
      <c r="G26332" s="9"/>
      <c r="J26332" s="11"/>
      <c r="U26332" s="9"/>
      <c r="X26332" s="9"/>
    </row>
    <row r="26333">
      <c r="D26333" s="9"/>
      <c r="G26333" s="9"/>
      <c r="J26333" s="11"/>
      <c r="U26333" s="9"/>
      <c r="X26333" s="9"/>
    </row>
    <row r="26334">
      <c r="D26334" s="9"/>
      <c r="G26334" s="9"/>
      <c r="J26334" s="11"/>
      <c r="U26334" s="9"/>
      <c r="X26334" s="9"/>
    </row>
    <row r="26335">
      <c r="D26335" s="9"/>
      <c r="G26335" s="9"/>
      <c r="J26335" s="11"/>
      <c r="U26335" s="9"/>
      <c r="X26335" s="9"/>
    </row>
    <row r="26336">
      <c r="D26336" s="9"/>
      <c r="G26336" s="9"/>
      <c r="J26336" s="11"/>
      <c r="U26336" s="9"/>
      <c r="X26336" s="9"/>
    </row>
    <row r="26337">
      <c r="D26337" s="9"/>
      <c r="G26337" s="9"/>
      <c r="J26337" s="11"/>
      <c r="U26337" s="9"/>
      <c r="X26337" s="9"/>
    </row>
    <row r="26338">
      <c r="D26338" s="9"/>
      <c r="G26338" s="9"/>
      <c r="J26338" s="11"/>
      <c r="U26338" s="9"/>
      <c r="X26338" s="9"/>
    </row>
    <row r="26339">
      <c r="D26339" s="9"/>
      <c r="G26339" s="9"/>
      <c r="J26339" s="11"/>
      <c r="U26339" s="9"/>
      <c r="X26339" s="9"/>
    </row>
    <row r="26340">
      <c r="D26340" s="9"/>
      <c r="G26340" s="9"/>
      <c r="J26340" s="11"/>
      <c r="U26340" s="9"/>
      <c r="X26340" s="9"/>
    </row>
    <row r="26341">
      <c r="D26341" s="9"/>
      <c r="G26341" s="9"/>
      <c r="J26341" s="11"/>
      <c r="U26341" s="9"/>
      <c r="X26341" s="9"/>
    </row>
    <row r="26342">
      <c r="D26342" s="9"/>
      <c r="G26342" s="9"/>
      <c r="J26342" s="11"/>
      <c r="U26342" s="9"/>
      <c r="X26342" s="9"/>
    </row>
    <row r="26343">
      <c r="D26343" s="9"/>
      <c r="G26343" s="9"/>
      <c r="J26343" s="11"/>
      <c r="U26343" s="9"/>
      <c r="X26343" s="9"/>
    </row>
    <row r="26344">
      <c r="D26344" s="9"/>
      <c r="G26344" s="9"/>
      <c r="J26344" s="11"/>
      <c r="U26344" s="9"/>
      <c r="X26344" s="9"/>
    </row>
    <row r="26345">
      <c r="D26345" s="9"/>
      <c r="G26345" s="9"/>
      <c r="J26345" s="11"/>
      <c r="U26345" s="9"/>
      <c r="X26345" s="9"/>
    </row>
    <row r="26346">
      <c r="D26346" s="9"/>
      <c r="G26346" s="9"/>
      <c r="J26346" s="11"/>
      <c r="U26346" s="9"/>
      <c r="X26346" s="9"/>
    </row>
    <row r="26347">
      <c r="D26347" s="9"/>
      <c r="G26347" s="9"/>
      <c r="J26347" s="11"/>
      <c r="U26347" s="9"/>
      <c r="X26347" s="9"/>
    </row>
    <row r="26348">
      <c r="D26348" s="9"/>
      <c r="G26348" s="9"/>
      <c r="J26348" s="11"/>
      <c r="U26348" s="9"/>
      <c r="X26348" s="9"/>
    </row>
    <row r="26349">
      <c r="D26349" s="9"/>
      <c r="G26349" s="9"/>
      <c r="J26349" s="11"/>
      <c r="U26349" s="9"/>
      <c r="X26349" s="9"/>
    </row>
    <row r="26350">
      <c r="D26350" s="9"/>
      <c r="G26350" s="9"/>
      <c r="J26350" s="11"/>
      <c r="U26350" s="9"/>
      <c r="X26350" s="9"/>
    </row>
    <row r="26351">
      <c r="D26351" s="9"/>
      <c r="G26351" s="9"/>
      <c r="J26351" s="11"/>
      <c r="U26351" s="9"/>
      <c r="X26351" s="9"/>
    </row>
    <row r="26352">
      <c r="D26352" s="9"/>
      <c r="G26352" s="9"/>
      <c r="J26352" s="11"/>
      <c r="U26352" s="9"/>
      <c r="X26352" s="9"/>
    </row>
    <row r="26353">
      <c r="D26353" s="9"/>
      <c r="G26353" s="9"/>
      <c r="J26353" s="11"/>
      <c r="U26353" s="9"/>
      <c r="X26353" s="9"/>
    </row>
    <row r="26354">
      <c r="D26354" s="9"/>
      <c r="G26354" s="9"/>
      <c r="J26354" s="11"/>
      <c r="U26354" s="9"/>
      <c r="X26354" s="9"/>
    </row>
    <row r="26355">
      <c r="D26355" s="9"/>
      <c r="G26355" s="9"/>
      <c r="J26355" s="11"/>
      <c r="U26355" s="9"/>
      <c r="X26355" s="9"/>
    </row>
    <row r="26356">
      <c r="D26356" s="9"/>
      <c r="G26356" s="9"/>
      <c r="J26356" s="11"/>
      <c r="U26356" s="9"/>
      <c r="X26356" s="9"/>
    </row>
    <row r="26357">
      <c r="D26357" s="9"/>
      <c r="G26357" s="9"/>
      <c r="J26357" s="11"/>
      <c r="U26357" s="9"/>
      <c r="X26357" s="9"/>
    </row>
    <row r="26358">
      <c r="D26358" s="9"/>
      <c r="G26358" s="9"/>
      <c r="J26358" s="11"/>
      <c r="U26358" s="9"/>
      <c r="X26358" s="9"/>
    </row>
    <row r="26359">
      <c r="D26359" s="9"/>
      <c r="G26359" s="9"/>
      <c r="J26359" s="11"/>
      <c r="U26359" s="9"/>
      <c r="X26359" s="9"/>
    </row>
    <row r="26360">
      <c r="D26360" s="9"/>
      <c r="G26360" s="9"/>
      <c r="J26360" s="11"/>
      <c r="U26360" s="9"/>
      <c r="X26360" s="9"/>
    </row>
    <row r="26361">
      <c r="D26361" s="9"/>
      <c r="G26361" s="9"/>
      <c r="J26361" s="11"/>
      <c r="U26361" s="9"/>
      <c r="X26361" s="9"/>
    </row>
    <row r="26362">
      <c r="D26362" s="9"/>
      <c r="G26362" s="9"/>
      <c r="J26362" s="11"/>
      <c r="U26362" s="9"/>
      <c r="X26362" s="9"/>
    </row>
    <row r="26363">
      <c r="D26363" s="9"/>
      <c r="G26363" s="9"/>
      <c r="J26363" s="11"/>
      <c r="U26363" s="9"/>
      <c r="X26363" s="9"/>
    </row>
    <row r="26364">
      <c r="D26364" s="9"/>
      <c r="G26364" s="9"/>
      <c r="J26364" s="11"/>
      <c r="U26364" s="9"/>
      <c r="X26364" s="9"/>
    </row>
    <row r="26365">
      <c r="D26365" s="9"/>
      <c r="G26365" s="9"/>
      <c r="J26365" s="11"/>
      <c r="U26365" s="9"/>
      <c r="X26365" s="9"/>
    </row>
    <row r="26366">
      <c r="D26366" s="9"/>
      <c r="G26366" s="9"/>
      <c r="J26366" s="11"/>
      <c r="U26366" s="9"/>
      <c r="X26366" s="9"/>
    </row>
    <row r="26367">
      <c r="D26367" s="9"/>
      <c r="G26367" s="9"/>
      <c r="J26367" s="11"/>
      <c r="U26367" s="9"/>
      <c r="X26367" s="9"/>
    </row>
    <row r="26368">
      <c r="D26368" s="9"/>
      <c r="G26368" s="9"/>
      <c r="J26368" s="11"/>
      <c r="U26368" s="9"/>
      <c r="X26368" s="9"/>
    </row>
    <row r="26369">
      <c r="D26369" s="9"/>
      <c r="G26369" s="9"/>
      <c r="J26369" s="11"/>
      <c r="U26369" s="9"/>
      <c r="X26369" s="9"/>
    </row>
    <row r="26370">
      <c r="D26370" s="9"/>
      <c r="G26370" s="9"/>
      <c r="J26370" s="11"/>
      <c r="U26370" s="9"/>
      <c r="X26370" s="9"/>
    </row>
    <row r="26371">
      <c r="D26371" s="9"/>
      <c r="G26371" s="9"/>
      <c r="J26371" s="11"/>
      <c r="U26371" s="9"/>
      <c r="X26371" s="9"/>
    </row>
    <row r="26372">
      <c r="D26372" s="9"/>
      <c r="G26372" s="9"/>
      <c r="J26372" s="11"/>
      <c r="U26372" s="9"/>
      <c r="X26372" s="9"/>
    </row>
    <row r="26373">
      <c r="D26373" s="9"/>
      <c r="G26373" s="9"/>
      <c r="J26373" s="11"/>
      <c r="U26373" s="9"/>
      <c r="X26373" s="9"/>
    </row>
    <row r="26374">
      <c r="D26374" s="9"/>
      <c r="G26374" s="9"/>
      <c r="J26374" s="11"/>
      <c r="U26374" s="9"/>
      <c r="X26374" s="9"/>
    </row>
    <row r="26375">
      <c r="D26375" s="9"/>
      <c r="G26375" s="9"/>
      <c r="J26375" s="11"/>
      <c r="U26375" s="9"/>
      <c r="X26375" s="9"/>
    </row>
    <row r="26376">
      <c r="D26376" s="9"/>
      <c r="G26376" s="9"/>
      <c r="J26376" s="11"/>
      <c r="U26376" s="9"/>
      <c r="X26376" s="9"/>
    </row>
    <row r="26377">
      <c r="D26377" s="9"/>
      <c r="G26377" s="9"/>
      <c r="J26377" s="11"/>
      <c r="U26377" s="9"/>
      <c r="X26377" s="9"/>
    </row>
    <row r="26378">
      <c r="D26378" s="9"/>
      <c r="G26378" s="9"/>
      <c r="J26378" s="11"/>
      <c r="U26378" s="9"/>
      <c r="X26378" s="9"/>
    </row>
    <row r="26379">
      <c r="D26379" s="9"/>
      <c r="G26379" s="9"/>
      <c r="J26379" s="11"/>
      <c r="U26379" s="9"/>
      <c r="X26379" s="9"/>
    </row>
    <row r="26380">
      <c r="D26380" s="9"/>
      <c r="G26380" s="9"/>
      <c r="J26380" s="11"/>
      <c r="U26380" s="9"/>
      <c r="X26380" s="9"/>
    </row>
    <row r="26381">
      <c r="D26381" s="9"/>
      <c r="G26381" s="9"/>
      <c r="J26381" s="11"/>
      <c r="U26381" s="9"/>
      <c r="X26381" s="9"/>
    </row>
    <row r="26382">
      <c r="D26382" s="9"/>
      <c r="G26382" s="9"/>
      <c r="J26382" s="11"/>
      <c r="U26382" s="9"/>
      <c r="X26382" s="9"/>
    </row>
    <row r="26383">
      <c r="D26383" s="9"/>
      <c r="G26383" s="9"/>
      <c r="J26383" s="11"/>
      <c r="U26383" s="9"/>
      <c r="X26383" s="9"/>
    </row>
    <row r="26384">
      <c r="D26384" s="9"/>
      <c r="G26384" s="9"/>
      <c r="J26384" s="11"/>
      <c r="U26384" s="9"/>
      <c r="X26384" s="9"/>
    </row>
    <row r="26385">
      <c r="D26385" s="9"/>
      <c r="G26385" s="9"/>
      <c r="J26385" s="11"/>
      <c r="U26385" s="9"/>
      <c r="X26385" s="9"/>
    </row>
    <row r="26386">
      <c r="D26386" s="9"/>
      <c r="G26386" s="9"/>
      <c r="J26386" s="11"/>
      <c r="U26386" s="9"/>
      <c r="X26386" s="9"/>
    </row>
    <row r="26387">
      <c r="D26387" s="9"/>
      <c r="G26387" s="9"/>
      <c r="J26387" s="11"/>
      <c r="U26387" s="9"/>
      <c r="X26387" s="9"/>
    </row>
    <row r="26388">
      <c r="D26388" s="9"/>
      <c r="G26388" s="9"/>
      <c r="J26388" s="11"/>
      <c r="U26388" s="9"/>
      <c r="X26388" s="9"/>
    </row>
    <row r="26389">
      <c r="D26389" s="9"/>
      <c r="G26389" s="9"/>
      <c r="J26389" s="11"/>
      <c r="U26389" s="9"/>
      <c r="X26389" s="9"/>
    </row>
    <row r="26390">
      <c r="D26390" s="9"/>
      <c r="G26390" s="9"/>
      <c r="J26390" s="11"/>
      <c r="U26390" s="9"/>
      <c r="X26390" s="9"/>
    </row>
    <row r="26391">
      <c r="D26391" s="9"/>
      <c r="G26391" s="9"/>
      <c r="J26391" s="11"/>
      <c r="U26391" s="9"/>
      <c r="X26391" s="9"/>
    </row>
    <row r="26392">
      <c r="D26392" s="9"/>
      <c r="G26392" s="9"/>
      <c r="J26392" s="11"/>
      <c r="U26392" s="9"/>
      <c r="X26392" s="9"/>
    </row>
    <row r="26393">
      <c r="D26393" s="9"/>
      <c r="G26393" s="9"/>
      <c r="J26393" s="11"/>
      <c r="U26393" s="9"/>
      <c r="X26393" s="9"/>
    </row>
    <row r="26394">
      <c r="D26394" s="9"/>
      <c r="G26394" s="9"/>
      <c r="J26394" s="11"/>
      <c r="U26394" s="9"/>
      <c r="X26394" s="9"/>
    </row>
    <row r="26395">
      <c r="D26395" s="9"/>
      <c r="G26395" s="9"/>
      <c r="J26395" s="11"/>
      <c r="U26395" s="9"/>
      <c r="X26395" s="9"/>
    </row>
    <row r="26396">
      <c r="D26396" s="9"/>
      <c r="G26396" s="9"/>
      <c r="J26396" s="11"/>
      <c r="U26396" s="9"/>
      <c r="X26396" s="9"/>
    </row>
    <row r="26397">
      <c r="D26397" s="9"/>
      <c r="G26397" s="9"/>
      <c r="J26397" s="11"/>
      <c r="U26397" s="9"/>
      <c r="X26397" s="9"/>
    </row>
    <row r="26398">
      <c r="D26398" s="9"/>
      <c r="G26398" s="9"/>
      <c r="J26398" s="11"/>
      <c r="U26398" s="9"/>
      <c r="X26398" s="9"/>
    </row>
    <row r="26399">
      <c r="D26399" s="9"/>
      <c r="G26399" s="9"/>
      <c r="J26399" s="11"/>
      <c r="U26399" s="9"/>
      <c r="X26399" s="9"/>
    </row>
    <row r="26400">
      <c r="D26400" s="9"/>
      <c r="G26400" s="9"/>
      <c r="J26400" s="11"/>
      <c r="U26400" s="9"/>
      <c r="X26400" s="9"/>
    </row>
    <row r="26401">
      <c r="D26401" s="9"/>
      <c r="G26401" s="9"/>
      <c r="J26401" s="11"/>
      <c r="U26401" s="9"/>
      <c r="X26401" s="9"/>
    </row>
    <row r="26402">
      <c r="D26402" s="9"/>
      <c r="G26402" s="9"/>
      <c r="J26402" s="11"/>
      <c r="U26402" s="9"/>
      <c r="X26402" s="9"/>
    </row>
    <row r="26403">
      <c r="D26403" s="9"/>
      <c r="G26403" s="9"/>
      <c r="J26403" s="11"/>
      <c r="U26403" s="9"/>
      <c r="X26403" s="9"/>
    </row>
    <row r="26404">
      <c r="D26404" s="9"/>
      <c r="G26404" s="9"/>
      <c r="J26404" s="11"/>
      <c r="U26404" s="9"/>
      <c r="X26404" s="9"/>
    </row>
    <row r="26405">
      <c r="D26405" s="9"/>
      <c r="G26405" s="9"/>
      <c r="J26405" s="11"/>
      <c r="U26405" s="9"/>
      <c r="X26405" s="9"/>
    </row>
    <row r="26406">
      <c r="D26406" s="9"/>
      <c r="G26406" s="9"/>
      <c r="J26406" s="11"/>
      <c r="U26406" s="9"/>
      <c r="X26406" s="9"/>
    </row>
    <row r="26407">
      <c r="D26407" s="9"/>
      <c r="G26407" s="9"/>
      <c r="J26407" s="11"/>
      <c r="U26407" s="9"/>
      <c r="X26407" s="9"/>
    </row>
    <row r="26408">
      <c r="D26408" s="9"/>
      <c r="G26408" s="9"/>
      <c r="J26408" s="11"/>
      <c r="U26408" s="9"/>
      <c r="X26408" s="9"/>
    </row>
    <row r="26409">
      <c r="D26409" s="9"/>
      <c r="G26409" s="9"/>
      <c r="J26409" s="11"/>
      <c r="U26409" s="9"/>
      <c r="X26409" s="9"/>
    </row>
    <row r="26410">
      <c r="D26410" s="9"/>
      <c r="G26410" s="9"/>
      <c r="J26410" s="11"/>
      <c r="U26410" s="9"/>
      <c r="X26410" s="9"/>
    </row>
    <row r="26411">
      <c r="D26411" s="9"/>
      <c r="G26411" s="9"/>
      <c r="J26411" s="11"/>
      <c r="U26411" s="9"/>
      <c r="X26411" s="9"/>
    </row>
    <row r="26412">
      <c r="D26412" s="9"/>
      <c r="G26412" s="9"/>
      <c r="J26412" s="11"/>
      <c r="U26412" s="9"/>
      <c r="X26412" s="9"/>
    </row>
    <row r="26413">
      <c r="D26413" s="9"/>
      <c r="G26413" s="9"/>
      <c r="J26413" s="11"/>
      <c r="U26413" s="9"/>
      <c r="X26413" s="9"/>
    </row>
    <row r="26414">
      <c r="D26414" s="9"/>
      <c r="G26414" s="9"/>
      <c r="J26414" s="11"/>
      <c r="U26414" s="9"/>
      <c r="X26414" s="9"/>
    </row>
    <row r="26415">
      <c r="D26415" s="9"/>
      <c r="G26415" s="9"/>
      <c r="J26415" s="11"/>
      <c r="U26415" s="9"/>
      <c r="X26415" s="9"/>
    </row>
    <row r="26416">
      <c r="D26416" s="9"/>
      <c r="G26416" s="9"/>
      <c r="J26416" s="11"/>
      <c r="U26416" s="9"/>
      <c r="X26416" s="9"/>
    </row>
    <row r="26417">
      <c r="D26417" s="9"/>
      <c r="G26417" s="9"/>
      <c r="J26417" s="11"/>
      <c r="U26417" s="9"/>
      <c r="X26417" s="9"/>
    </row>
    <row r="26418">
      <c r="D26418" s="9"/>
      <c r="G26418" s="9"/>
      <c r="J26418" s="11"/>
      <c r="U26418" s="9"/>
      <c r="X26418" s="9"/>
    </row>
    <row r="26419">
      <c r="D26419" s="9"/>
      <c r="G26419" s="9"/>
      <c r="J26419" s="11"/>
      <c r="U26419" s="9"/>
      <c r="X26419" s="9"/>
    </row>
    <row r="26420">
      <c r="D26420" s="9"/>
      <c r="G26420" s="9"/>
      <c r="J26420" s="11"/>
      <c r="U26420" s="9"/>
      <c r="X26420" s="9"/>
    </row>
    <row r="26421">
      <c r="D26421" s="9"/>
      <c r="G26421" s="9"/>
      <c r="J26421" s="11"/>
      <c r="U26421" s="9"/>
      <c r="X26421" s="9"/>
    </row>
    <row r="26422">
      <c r="D26422" s="9"/>
      <c r="G26422" s="9"/>
      <c r="J26422" s="11"/>
      <c r="U26422" s="9"/>
      <c r="X26422" s="9"/>
    </row>
    <row r="26423">
      <c r="D26423" s="9"/>
      <c r="G26423" s="9"/>
      <c r="J26423" s="11"/>
      <c r="U26423" s="9"/>
      <c r="X26423" s="9"/>
    </row>
    <row r="26424">
      <c r="D26424" s="9"/>
      <c r="G26424" s="9"/>
      <c r="J26424" s="11"/>
      <c r="U26424" s="9"/>
      <c r="X26424" s="9"/>
    </row>
    <row r="26425">
      <c r="D26425" s="9"/>
      <c r="G26425" s="9"/>
      <c r="J26425" s="11"/>
      <c r="U26425" s="9"/>
      <c r="X26425" s="9"/>
    </row>
    <row r="26426">
      <c r="D26426" s="9"/>
      <c r="G26426" s="9"/>
      <c r="J26426" s="11"/>
      <c r="U26426" s="9"/>
      <c r="X26426" s="9"/>
    </row>
    <row r="26427">
      <c r="D26427" s="9"/>
      <c r="G26427" s="9"/>
      <c r="J26427" s="11"/>
      <c r="U26427" s="9"/>
      <c r="X26427" s="9"/>
    </row>
    <row r="26428">
      <c r="D26428" s="9"/>
      <c r="G26428" s="9"/>
      <c r="J26428" s="11"/>
      <c r="U26428" s="9"/>
      <c r="X26428" s="9"/>
    </row>
    <row r="26429">
      <c r="D26429" s="9"/>
      <c r="G26429" s="9"/>
      <c r="J26429" s="11"/>
      <c r="U26429" s="9"/>
      <c r="X26429" s="9"/>
    </row>
    <row r="26430">
      <c r="D26430" s="9"/>
      <c r="G26430" s="9"/>
      <c r="J26430" s="11"/>
      <c r="U26430" s="9"/>
      <c r="X26430" s="9"/>
    </row>
    <row r="26431">
      <c r="D26431" s="9"/>
      <c r="G26431" s="9"/>
      <c r="J26431" s="11"/>
      <c r="U26431" s="9"/>
      <c r="X26431" s="9"/>
    </row>
    <row r="26432">
      <c r="D26432" s="9"/>
      <c r="G26432" s="9"/>
      <c r="J26432" s="11"/>
      <c r="U26432" s="9"/>
      <c r="X26432" s="9"/>
    </row>
    <row r="26433">
      <c r="D26433" s="9"/>
      <c r="G26433" s="9"/>
      <c r="J26433" s="11"/>
      <c r="U26433" s="9"/>
      <c r="X26433" s="9"/>
    </row>
    <row r="26434">
      <c r="D26434" s="9"/>
      <c r="G26434" s="9"/>
      <c r="J26434" s="11"/>
      <c r="U26434" s="9"/>
      <c r="X26434" s="9"/>
    </row>
    <row r="26435">
      <c r="D26435" s="9"/>
      <c r="G26435" s="9"/>
      <c r="J26435" s="11"/>
      <c r="U26435" s="9"/>
      <c r="X26435" s="9"/>
    </row>
    <row r="26436">
      <c r="D26436" s="9"/>
      <c r="G26436" s="9"/>
      <c r="J26436" s="11"/>
      <c r="U26436" s="9"/>
      <c r="X26436" s="9"/>
    </row>
    <row r="26437">
      <c r="D26437" s="9"/>
      <c r="G26437" s="9"/>
      <c r="J26437" s="11"/>
      <c r="U26437" s="9"/>
      <c r="X26437" s="9"/>
    </row>
    <row r="26438">
      <c r="D26438" s="9"/>
      <c r="G26438" s="9"/>
      <c r="J26438" s="11"/>
      <c r="U26438" s="9"/>
      <c r="X26438" s="9"/>
    </row>
    <row r="26439">
      <c r="D26439" s="9"/>
      <c r="G26439" s="9"/>
      <c r="J26439" s="11"/>
      <c r="U26439" s="9"/>
      <c r="X26439" s="9"/>
    </row>
    <row r="26440">
      <c r="D26440" s="9"/>
      <c r="G26440" s="9"/>
      <c r="J26440" s="11"/>
      <c r="U26440" s="9"/>
      <c r="X26440" s="9"/>
    </row>
    <row r="26441">
      <c r="D26441" s="9"/>
      <c r="G26441" s="9"/>
      <c r="J26441" s="11"/>
      <c r="U26441" s="9"/>
      <c r="X26441" s="9"/>
    </row>
    <row r="26442">
      <c r="D26442" s="9"/>
      <c r="G26442" s="9"/>
      <c r="J26442" s="11"/>
      <c r="U26442" s="9"/>
      <c r="X26442" s="9"/>
    </row>
    <row r="26443">
      <c r="D26443" s="9"/>
      <c r="G26443" s="9"/>
      <c r="J26443" s="11"/>
      <c r="U26443" s="9"/>
      <c r="X26443" s="9"/>
    </row>
    <row r="26444">
      <c r="D26444" s="9"/>
      <c r="G26444" s="9"/>
      <c r="J26444" s="11"/>
      <c r="U26444" s="9"/>
      <c r="X26444" s="9"/>
    </row>
    <row r="26445">
      <c r="D26445" s="9"/>
      <c r="G26445" s="9"/>
      <c r="J26445" s="11"/>
      <c r="U26445" s="9"/>
      <c r="X26445" s="9"/>
    </row>
    <row r="26446">
      <c r="D26446" s="9"/>
      <c r="G26446" s="9"/>
      <c r="J26446" s="11"/>
      <c r="U26446" s="9"/>
      <c r="X26446" s="9"/>
    </row>
    <row r="26447">
      <c r="D26447" s="9"/>
      <c r="G26447" s="9"/>
      <c r="J26447" s="11"/>
      <c r="U26447" s="9"/>
      <c r="X26447" s="9"/>
    </row>
    <row r="26448">
      <c r="D26448" s="9"/>
      <c r="G26448" s="9"/>
      <c r="J26448" s="11"/>
      <c r="U26448" s="9"/>
      <c r="X26448" s="9"/>
    </row>
    <row r="26449">
      <c r="D26449" s="9"/>
      <c r="G26449" s="9"/>
      <c r="J26449" s="11"/>
      <c r="U26449" s="9"/>
      <c r="X26449" s="9"/>
    </row>
    <row r="26450">
      <c r="D26450" s="9"/>
      <c r="G26450" s="9"/>
      <c r="J26450" s="11"/>
      <c r="U26450" s="9"/>
      <c r="X26450" s="9"/>
    </row>
    <row r="26451">
      <c r="D26451" s="9"/>
      <c r="G26451" s="9"/>
      <c r="J26451" s="11"/>
      <c r="U26451" s="9"/>
      <c r="X26451" s="9"/>
    </row>
    <row r="26452">
      <c r="D26452" s="9"/>
      <c r="G26452" s="9"/>
      <c r="J26452" s="11"/>
      <c r="U26452" s="9"/>
      <c r="X26452" s="9"/>
    </row>
    <row r="26453">
      <c r="D26453" s="9"/>
      <c r="G26453" s="9"/>
      <c r="J26453" s="11"/>
      <c r="U26453" s="9"/>
      <c r="X26453" s="9"/>
    </row>
    <row r="26454">
      <c r="D26454" s="9"/>
      <c r="G26454" s="9"/>
      <c r="J26454" s="11"/>
      <c r="U26454" s="9"/>
      <c r="X26454" s="9"/>
    </row>
    <row r="26455">
      <c r="D26455" s="9"/>
      <c r="G26455" s="9"/>
      <c r="J26455" s="11"/>
      <c r="U26455" s="9"/>
      <c r="X26455" s="9"/>
    </row>
    <row r="26456">
      <c r="D26456" s="9"/>
      <c r="G26456" s="9"/>
      <c r="J26456" s="11"/>
      <c r="U26456" s="9"/>
      <c r="X26456" s="9"/>
    </row>
    <row r="26457">
      <c r="D26457" s="9"/>
      <c r="G26457" s="9"/>
      <c r="J26457" s="11"/>
      <c r="U26457" s="9"/>
      <c r="X26457" s="9"/>
    </row>
    <row r="26458">
      <c r="D26458" s="9"/>
      <c r="G26458" s="9"/>
      <c r="J26458" s="11"/>
      <c r="U26458" s="9"/>
      <c r="X26458" s="9"/>
    </row>
    <row r="26459">
      <c r="D26459" s="9"/>
      <c r="G26459" s="9"/>
      <c r="J26459" s="11"/>
      <c r="U26459" s="9"/>
      <c r="X26459" s="9"/>
    </row>
    <row r="26460">
      <c r="D26460" s="9"/>
      <c r="G26460" s="9"/>
      <c r="J26460" s="11"/>
      <c r="U26460" s="9"/>
      <c r="X26460" s="9"/>
    </row>
    <row r="26461">
      <c r="D26461" s="9"/>
      <c r="G26461" s="9"/>
      <c r="J26461" s="11"/>
      <c r="U26461" s="9"/>
      <c r="X26461" s="9"/>
    </row>
    <row r="26462">
      <c r="D26462" s="9"/>
      <c r="G26462" s="9"/>
      <c r="J26462" s="11"/>
      <c r="U26462" s="9"/>
      <c r="X26462" s="9"/>
    </row>
    <row r="26463">
      <c r="D26463" s="9"/>
      <c r="G26463" s="9"/>
      <c r="J26463" s="11"/>
      <c r="U26463" s="9"/>
      <c r="X26463" s="9"/>
    </row>
    <row r="26464">
      <c r="D26464" s="9"/>
      <c r="G26464" s="9"/>
      <c r="J26464" s="11"/>
      <c r="U26464" s="9"/>
      <c r="X26464" s="9"/>
    </row>
    <row r="26465">
      <c r="D26465" s="9"/>
      <c r="G26465" s="9"/>
      <c r="J26465" s="11"/>
      <c r="U26465" s="9"/>
      <c r="X26465" s="9"/>
    </row>
    <row r="26466">
      <c r="D26466" s="9"/>
      <c r="G26466" s="9"/>
      <c r="J26466" s="11"/>
      <c r="U26466" s="9"/>
      <c r="X26466" s="9"/>
    </row>
    <row r="26467">
      <c r="D26467" s="9"/>
      <c r="G26467" s="9"/>
      <c r="J26467" s="11"/>
      <c r="U26467" s="9"/>
      <c r="X26467" s="9"/>
    </row>
    <row r="26468">
      <c r="D26468" s="9"/>
      <c r="G26468" s="9"/>
      <c r="J26468" s="11"/>
      <c r="U26468" s="9"/>
      <c r="X26468" s="9"/>
    </row>
    <row r="26469">
      <c r="D26469" s="9"/>
      <c r="G26469" s="9"/>
      <c r="J26469" s="11"/>
      <c r="U26469" s="9"/>
      <c r="X26469" s="9"/>
    </row>
    <row r="26470">
      <c r="D26470" s="9"/>
      <c r="G26470" s="9"/>
      <c r="J26470" s="11"/>
      <c r="U26470" s="9"/>
      <c r="X26470" s="9"/>
    </row>
    <row r="26471">
      <c r="D26471" s="9"/>
      <c r="G26471" s="9"/>
      <c r="J26471" s="11"/>
      <c r="U26471" s="9"/>
      <c r="X26471" s="9"/>
    </row>
    <row r="26472">
      <c r="D26472" s="9"/>
      <c r="G26472" s="9"/>
      <c r="J26472" s="11"/>
      <c r="U26472" s="9"/>
      <c r="X26472" s="9"/>
    </row>
    <row r="26473">
      <c r="D26473" s="9"/>
      <c r="G26473" s="9"/>
      <c r="J26473" s="11"/>
      <c r="U26473" s="9"/>
      <c r="X26473" s="9"/>
    </row>
    <row r="26474">
      <c r="D26474" s="9"/>
      <c r="G26474" s="9"/>
      <c r="J26474" s="11"/>
      <c r="U26474" s="9"/>
      <c r="X26474" s="9"/>
    </row>
    <row r="26475">
      <c r="D26475" s="9"/>
      <c r="G26475" s="9"/>
      <c r="J26475" s="11"/>
      <c r="U26475" s="9"/>
      <c r="X26475" s="9"/>
    </row>
    <row r="26476">
      <c r="D26476" s="9"/>
      <c r="G26476" s="9"/>
      <c r="J26476" s="11"/>
      <c r="U26476" s="9"/>
      <c r="X26476" s="9"/>
    </row>
    <row r="26477">
      <c r="D26477" s="9"/>
      <c r="G26477" s="9"/>
      <c r="J26477" s="11"/>
      <c r="U26477" s="9"/>
      <c r="X26477" s="9"/>
    </row>
    <row r="26478">
      <c r="D26478" s="9"/>
      <c r="G26478" s="9"/>
      <c r="J26478" s="11"/>
      <c r="U26478" s="9"/>
      <c r="X26478" s="9"/>
    </row>
    <row r="26479">
      <c r="D26479" s="9"/>
      <c r="G26479" s="9"/>
      <c r="J26479" s="11"/>
      <c r="U26479" s="9"/>
      <c r="X26479" s="9"/>
    </row>
    <row r="26480">
      <c r="D26480" s="9"/>
      <c r="G26480" s="9"/>
      <c r="J26480" s="11"/>
      <c r="U26480" s="9"/>
      <c r="X26480" s="9"/>
    </row>
    <row r="26481">
      <c r="D26481" s="9"/>
      <c r="G26481" s="9"/>
      <c r="J26481" s="11"/>
      <c r="U26481" s="9"/>
      <c r="X26481" s="9"/>
    </row>
    <row r="26482">
      <c r="D26482" s="9"/>
      <c r="G26482" s="9"/>
      <c r="J26482" s="11"/>
      <c r="U26482" s="9"/>
      <c r="X26482" s="9"/>
    </row>
    <row r="26483">
      <c r="D26483" s="9"/>
      <c r="G26483" s="9"/>
      <c r="J26483" s="11"/>
      <c r="U26483" s="9"/>
      <c r="X26483" s="9"/>
    </row>
    <row r="26484">
      <c r="D26484" s="9"/>
      <c r="G26484" s="9"/>
      <c r="J26484" s="11"/>
      <c r="U26484" s="9"/>
      <c r="X26484" s="9"/>
    </row>
    <row r="26485">
      <c r="D26485" s="9"/>
      <c r="G26485" s="9"/>
      <c r="J26485" s="11"/>
      <c r="U26485" s="9"/>
      <c r="X26485" s="9"/>
    </row>
    <row r="26486">
      <c r="D26486" s="9"/>
      <c r="G26486" s="9"/>
      <c r="J26486" s="11"/>
      <c r="U26486" s="9"/>
      <c r="X26486" s="9"/>
    </row>
    <row r="26487">
      <c r="D26487" s="9"/>
      <c r="G26487" s="9"/>
      <c r="J26487" s="11"/>
      <c r="U26487" s="9"/>
      <c r="X26487" s="9"/>
    </row>
    <row r="26488">
      <c r="D26488" s="9"/>
      <c r="G26488" s="9"/>
      <c r="J26488" s="11"/>
      <c r="U26488" s="9"/>
      <c r="X26488" s="9"/>
    </row>
    <row r="26489">
      <c r="D26489" s="9"/>
      <c r="G26489" s="9"/>
      <c r="J26489" s="11"/>
      <c r="U26489" s="9"/>
      <c r="X26489" s="9"/>
    </row>
    <row r="26490">
      <c r="D26490" s="9"/>
      <c r="G26490" s="9"/>
      <c r="J26490" s="11"/>
      <c r="U26490" s="9"/>
      <c r="X26490" s="9"/>
    </row>
    <row r="26491">
      <c r="D26491" s="9"/>
      <c r="G26491" s="9"/>
      <c r="J26491" s="11"/>
      <c r="U26491" s="9"/>
      <c r="X26491" s="9"/>
    </row>
    <row r="26492">
      <c r="D26492" s="9"/>
      <c r="G26492" s="9"/>
      <c r="J26492" s="11"/>
      <c r="U26492" s="9"/>
      <c r="X26492" s="9"/>
    </row>
    <row r="26493">
      <c r="D26493" s="9"/>
      <c r="G26493" s="9"/>
      <c r="J26493" s="11"/>
      <c r="U26493" s="9"/>
      <c r="X26493" s="9"/>
    </row>
    <row r="26494">
      <c r="D26494" s="9"/>
      <c r="G26494" s="9"/>
      <c r="J26494" s="11"/>
      <c r="U26494" s="9"/>
      <c r="X26494" s="9"/>
    </row>
    <row r="26495">
      <c r="D26495" s="9"/>
      <c r="G26495" s="9"/>
      <c r="J26495" s="11"/>
      <c r="U26495" s="9"/>
      <c r="X26495" s="9"/>
    </row>
    <row r="26496">
      <c r="D26496" s="9"/>
      <c r="G26496" s="9"/>
      <c r="J26496" s="11"/>
      <c r="U26496" s="9"/>
      <c r="X26496" s="9"/>
    </row>
    <row r="26497">
      <c r="D26497" s="9"/>
      <c r="G26497" s="9"/>
      <c r="J26497" s="11"/>
      <c r="U26497" s="9"/>
      <c r="X26497" s="9"/>
    </row>
    <row r="26498">
      <c r="D26498" s="9"/>
      <c r="G26498" s="9"/>
      <c r="J26498" s="11"/>
      <c r="U26498" s="9"/>
      <c r="X26498" s="9"/>
    </row>
    <row r="26499">
      <c r="D26499" s="9"/>
      <c r="G26499" s="9"/>
      <c r="J26499" s="11"/>
      <c r="U26499" s="9"/>
      <c r="X26499" s="9"/>
    </row>
    <row r="26500">
      <c r="D26500" s="9"/>
      <c r="G26500" s="9"/>
      <c r="J26500" s="11"/>
      <c r="U26500" s="9"/>
      <c r="X26500" s="9"/>
    </row>
    <row r="26501">
      <c r="D26501" s="9"/>
      <c r="G26501" s="9"/>
      <c r="J26501" s="11"/>
      <c r="U26501" s="9"/>
      <c r="X26501" s="9"/>
    </row>
    <row r="26502">
      <c r="D26502" s="9"/>
      <c r="G26502" s="9"/>
      <c r="J26502" s="11"/>
      <c r="U26502" s="9"/>
      <c r="X26502" s="9"/>
    </row>
    <row r="26503">
      <c r="D26503" s="9"/>
      <c r="G26503" s="9"/>
      <c r="J26503" s="11"/>
      <c r="U26503" s="9"/>
      <c r="X26503" s="9"/>
    </row>
    <row r="26504">
      <c r="D26504" s="9"/>
      <c r="G26504" s="9"/>
      <c r="J26504" s="11"/>
      <c r="U26504" s="9"/>
      <c r="X26504" s="9"/>
    </row>
    <row r="26505">
      <c r="D26505" s="9"/>
      <c r="G26505" s="9"/>
      <c r="J26505" s="11"/>
      <c r="U26505" s="9"/>
      <c r="X26505" s="9"/>
    </row>
    <row r="26506">
      <c r="D26506" s="9"/>
      <c r="G26506" s="9"/>
      <c r="J26506" s="11"/>
      <c r="U26506" s="9"/>
      <c r="X26506" s="9"/>
    </row>
    <row r="26507">
      <c r="D26507" s="9"/>
      <c r="G26507" s="9"/>
      <c r="J26507" s="11"/>
      <c r="U26507" s="9"/>
      <c r="X26507" s="9"/>
    </row>
    <row r="26508">
      <c r="D26508" s="9"/>
      <c r="G26508" s="9"/>
      <c r="J26508" s="11"/>
      <c r="U26508" s="9"/>
      <c r="X26508" s="9"/>
    </row>
    <row r="26509">
      <c r="D26509" s="9"/>
      <c r="G26509" s="9"/>
      <c r="J26509" s="11"/>
      <c r="U26509" s="9"/>
      <c r="X26509" s="9"/>
    </row>
    <row r="26510">
      <c r="D26510" s="9"/>
      <c r="G26510" s="9"/>
      <c r="J26510" s="11"/>
      <c r="U26510" s="9"/>
      <c r="X26510" s="9"/>
    </row>
    <row r="26511">
      <c r="D26511" s="9"/>
      <c r="G26511" s="9"/>
      <c r="J26511" s="11"/>
      <c r="U26511" s="9"/>
      <c r="X26511" s="9"/>
    </row>
    <row r="26512">
      <c r="D26512" s="9"/>
      <c r="G26512" s="9"/>
      <c r="J26512" s="11"/>
      <c r="U26512" s="9"/>
      <c r="X26512" s="9"/>
    </row>
    <row r="26513">
      <c r="D26513" s="9"/>
      <c r="G26513" s="9"/>
      <c r="J26513" s="11"/>
      <c r="U26513" s="9"/>
      <c r="X26513" s="9"/>
    </row>
    <row r="26514">
      <c r="D26514" s="9"/>
      <c r="G26514" s="9"/>
      <c r="J26514" s="11"/>
      <c r="U26514" s="9"/>
      <c r="X26514" s="9"/>
    </row>
    <row r="26515">
      <c r="D26515" s="9"/>
      <c r="G26515" s="9"/>
      <c r="J26515" s="11"/>
      <c r="U26515" s="9"/>
      <c r="X26515" s="9"/>
    </row>
    <row r="26516">
      <c r="D26516" s="9"/>
      <c r="G26516" s="9"/>
      <c r="J26516" s="11"/>
      <c r="U26516" s="9"/>
      <c r="X26516" s="9"/>
    </row>
    <row r="26517">
      <c r="D26517" s="9"/>
      <c r="G26517" s="9"/>
      <c r="J26517" s="11"/>
      <c r="U26517" s="9"/>
      <c r="X26517" s="9"/>
    </row>
    <row r="26518">
      <c r="D26518" s="9"/>
      <c r="G26518" s="9"/>
      <c r="J26518" s="11"/>
      <c r="U26518" s="9"/>
      <c r="X26518" s="9"/>
    </row>
    <row r="26519">
      <c r="D26519" s="9"/>
      <c r="G26519" s="9"/>
      <c r="J26519" s="11"/>
      <c r="U26519" s="9"/>
      <c r="X26519" s="9"/>
    </row>
    <row r="26520">
      <c r="D26520" s="9"/>
      <c r="G26520" s="9"/>
      <c r="J26520" s="11"/>
      <c r="U26520" s="9"/>
      <c r="X26520" s="9"/>
    </row>
    <row r="26521">
      <c r="D26521" s="9"/>
      <c r="G26521" s="9"/>
      <c r="J26521" s="11"/>
      <c r="U26521" s="9"/>
      <c r="X26521" s="9"/>
    </row>
    <row r="26522">
      <c r="D26522" s="9"/>
      <c r="G26522" s="9"/>
      <c r="J26522" s="11"/>
      <c r="U26522" s="9"/>
      <c r="X26522" s="9"/>
    </row>
    <row r="26523">
      <c r="D26523" s="9"/>
      <c r="G26523" s="9"/>
      <c r="J26523" s="11"/>
      <c r="U26523" s="9"/>
      <c r="X26523" s="9"/>
    </row>
    <row r="26524">
      <c r="D26524" s="9"/>
      <c r="G26524" s="9"/>
      <c r="J26524" s="11"/>
      <c r="U26524" s="9"/>
      <c r="X26524" s="9"/>
    </row>
    <row r="26525">
      <c r="D26525" s="9"/>
      <c r="G26525" s="9"/>
      <c r="J26525" s="11"/>
      <c r="U26525" s="9"/>
      <c r="X26525" s="9"/>
    </row>
    <row r="26526">
      <c r="D26526" s="9"/>
      <c r="G26526" s="9"/>
      <c r="J26526" s="11"/>
      <c r="U26526" s="9"/>
      <c r="X26526" s="9"/>
    </row>
    <row r="26527">
      <c r="D26527" s="9"/>
      <c r="G26527" s="9"/>
      <c r="J26527" s="11"/>
      <c r="U26527" s="9"/>
      <c r="X26527" s="9"/>
    </row>
    <row r="26528">
      <c r="D26528" s="9"/>
      <c r="G26528" s="9"/>
      <c r="J26528" s="11"/>
      <c r="U26528" s="9"/>
      <c r="X26528" s="9"/>
    </row>
    <row r="26529">
      <c r="D26529" s="9"/>
      <c r="G26529" s="9"/>
      <c r="J26529" s="11"/>
      <c r="U26529" s="9"/>
      <c r="X26529" s="9"/>
    </row>
    <row r="26530">
      <c r="D26530" s="9"/>
      <c r="G26530" s="9"/>
      <c r="J26530" s="11"/>
      <c r="U26530" s="9"/>
      <c r="X26530" s="9"/>
    </row>
    <row r="26531">
      <c r="D26531" s="9"/>
      <c r="G26531" s="9"/>
      <c r="J26531" s="11"/>
      <c r="U26531" s="9"/>
      <c r="X26531" s="9"/>
    </row>
    <row r="26532">
      <c r="D26532" s="9"/>
      <c r="G26532" s="9"/>
      <c r="J26532" s="11"/>
      <c r="U26532" s="9"/>
      <c r="X26532" s="9"/>
    </row>
    <row r="26533">
      <c r="D26533" s="9"/>
      <c r="G26533" s="9"/>
      <c r="J26533" s="11"/>
      <c r="U26533" s="9"/>
      <c r="X26533" s="9"/>
    </row>
    <row r="26534">
      <c r="D26534" s="9"/>
      <c r="G26534" s="9"/>
      <c r="J26534" s="11"/>
      <c r="U26534" s="9"/>
      <c r="X26534" s="9"/>
    </row>
    <row r="26535">
      <c r="D26535" s="9"/>
      <c r="G26535" s="9"/>
      <c r="J26535" s="11"/>
      <c r="U26535" s="9"/>
      <c r="X26535" s="9"/>
    </row>
    <row r="26536">
      <c r="D26536" s="9"/>
      <c r="G26536" s="9"/>
      <c r="J26536" s="11"/>
      <c r="U26536" s="9"/>
      <c r="X26536" s="9"/>
    </row>
    <row r="26537">
      <c r="D26537" s="9"/>
      <c r="G26537" s="9"/>
      <c r="J26537" s="11"/>
      <c r="U26537" s="9"/>
      <c r="X26537" s="9"/>
    </row>
    <row r="26538">
      <c r="D26538" s="9"/>
      <c r="G26538" s="9"/>
      <c r="J26538" s="11"/>
      <c r="U26538" s="9"/>
      <c r="X26538" s="9"/>
    </row>
    <row r="26539">
      <c r="D26539" s="9"/>
      <c r="G26539" s="9"/>
      <c r="J26539" s="11"/>
      <c r="U26539" s="9"/>
      <c r="X26539" s="9"/>
    </row>
    <row r="26540">
      <c r="D26540" s="9"/>
      <c r="G26540" s="9"/>
      <c r="J26540" s="11"/>
      <c r="U26540" s="9"/>
      <c r="X26540" s="9"/>
    </row>
    <row r="26541">
      <c r="D26541" s="9"/>
      <c r="G26541" s="9"/>
      <c r="J26541" s="11"/>
      <c r="U26541" s="9"/>
      <c r="X26541" s="9"/>
    </row>
    <row r="26542">
      <c r="D26542" s="9"/>
      <c r="G26542" s="9"/>
      <c r="J26542" s="11"/>
      <c r="U26542" s="9"/>
      <c r="X26542" s="9"/>
    </row>
    <row r="26543">
      <c r="D26543" s="9"/>
      <c r="G26543" s="9"/>
      <c r="J26543" s="11"/>
      <c r="U26543" s="9"/>
      <c r="X26543" s="9"/>
    </row>
    <row r="26544">
      <c r="D26544" s="9"/>
      <c r="G26544" s="9"/>
      <c r="J26544" s="11"/>
      <c r="U26544" s="9"/>
      <c r="X26544" s="9"/>
    </row>
    <row r="26545">
      <c r="D26545" s="9"/>
      <c r="G26545" s="9"/>
      <c r="J26545" s="11"/>
      <c r="U26545" s="9"/>
      <c r="X26545" s="9"/>
    </row>
    <row r="26546">
      <c r="D26546" s="9"/>
      <c r="G26546" s="9"/>
      <c r="J26546" s="11"/>
      <c r="U26546" s="9"/>
      <c r="X26546" s="9"/>
    </row>
    <row r="26547">
      <c r="D26547" s="9"/>
      <c r="G26547" s="9"/>
      <c r="J26547" s="11"/>
      <c r="U26547" s="9"/>
      <c r="X26547" s="9"/>
    </row>
    <row r="26548">
      <c r="D26548" s="9"/>
      <c r="G26548" s="9"/>
      <c r="J26548" s="11"/>
      <c r="U26548" s="9"/>
      <c r="X26548" s="9"/>
    </row>
    <row r="26549">
      <c r="D26549" s="9"/>
      <c r="G26549" s="9"/>
      <c r="J26549" s="11"/>
      <c r="U26549" s="9"/>
      <c r="X26549" s="9"/>
    </row>
    <row r="26550">
      <c r="D26550" s="9"/>
      <c r="G26550" s="9"/>
      <c r="J26550" s="11"/>
      <c r="U26550" s="9"/>
      <c r="X26550" s="9"/>
    </row>
    <row r="26551">
      <c r="D26551" s="9"/>
      <c r="G26551" s="9"/>
      <c r="J26551" s="11"/>
      <c r="U26551" s="9"/>
      <c r="X26551" s="9"/>
    </row>
    <row r="26552">
      <c r="D26552" s="9"/>
      <c r="G26552" s="9"/>
      <c r="J26552" s="11"/>
      <c r="U26552" s="9"/>
      <c r="X26552" s="9"/>
    </row>
    <row r="26553">
      <c r="D26553" s="9"/>
      <c r="G26553" s="9"/>
      <c r="J26553" s="11"/>
      <c r="U26553" s="9"/>
      <c r="X26553" s="9"/>
    </row>
    <row r="26554">
      <c r="D26554" s="9"/>
      <c r="G26554" s="9"/>
      <c r="J26554" s="11"/>
      <c r="U26554" s="9"/>
      <c r="X26554" s="9"/>
    </row>
    <row r="26555">
      <c r="D26555" s="9"/>
      <c r="G26555" s="9"/>
      <c r="J26555" s="11"/>
      <c r="U26555" s="9"/>
      <c r="X26555" s="9"/>
    </row>
    <row r="26556">
      <c r="D26556" s="9"/>
      <c r="G26556" s="9"/>
      <c r="J26556" s="11"/>
      <c r="U26556" s="9"/>
      <c r="X26556" s="9"/>
    </row>
    <row r="26557">
      <c r="D26557" s="9"/>
      <c r="G26557" s="9"/>
      <c r="J26557" s="11"/>
      <c r="U26557" s="9"/>
      <c r="X26557" s="9"/>
    </row>
    <row r="26558">
      <c r="D26558" s="9"/>
      <c r="G26558" s="9"/>
      <c r="J26558" s="11"/>
      <c r="U26558" s="9"/>
      <c r="X26558" s="9"/>
    </row>
    <row r="26559">
      <c r="D26559" s="9"/>
      <c r="G26559" s="9"/>
      <c r="J26559" s="11"/>
      <c r="U26559" s="9"/>
      <c r="X26559" s="9"/>
    </row>
    <row r="26560">
      <c r="D26560" s="9"/>
      <c r="G26560" s="9"/>
      <c r="J26560" s="11"/>
      <c r="U26560" s="9"/>
      <c r="X26560" s="9"/>
    </row>
    <row r="26561">
      <c r="D26561" s="9"/>
      <c r="G26561" s="9"/>
      <c r="J26561" s="11"/>
      <c r="U26561" s="9"/>
      <c r="X26561" s="9"/>
    </row>
    <row r="26562">
      <c r="D26562" s="9"/>
      <c r="G26562" s="9"/>
      <c r="J26562" s="11"/>
      <c r="U26562" s="9"/>
      <c r="X26562" s="9"/>
    </row>
    <row r="26563">
      <c r="D26563" s="9"/>
      <c r="G26563" s="9"/>
      <c r="J26563" s="11"/>
      <c r="U26563" s="9"/>
      <c r="X26563" s="9"/>
    </row>
    <row r="26564">
      <c r="D26564" s="9"/>
      <c r="G26564" s="9"/>
      <c r="J26564" s="11"/>
      <c r="U26564" s="9"/>
      <c r="X26564" s="9"/>
    </row>
    <row r="26565">
      <c r="D26565" s="9"/>
      <c r="G26565" s="9"/>
      <c r="J26565" s="11"/>
      <c r="U26565" s="9"/>
      <c r="X26565" s="9"/>
    </row>
    <row r="26566">
      <c r="D26566" s="9"/>
      <c r="G26566" s="9"/>
      <c r="J26566" s="11"/>
      <c r="U26566" s="9"/>
      <c r="X26566" s="9"/>
    </row>
    <row r="26567">
      <c r="D26567" s="9"/>
      <c r="G26567" s="9"/>
      <c r="J26567" s="11"/>
      <c r="U26567" s="9"/>
      <c r="X26567" s="9"/>
    </row>
    <row r="26568">
      <c r="D26568" s="9"/>
      <c r="G26568" s="9"/>
      <c r="J26568" s="11"/>
      <c r="U26568" s="9"/>
      <c r="X26568" s="9"/>
    </row>
    <row r="26569">
      <c r="D26569" s="9"/>
      <c r="G26569" s="9"/>
      <c r="J26569" s="11"/>
      <c r="U26569" s="9"/>
      <c r="X26569" s="9"/>
    </row>
    <row r="26570">
      <c r="D26570" s="9"/>
      <c r="G26570" s="9"/>
      <c r="J26570" s="11"/>
      <c r="U26570" s="9"/>
      <c r="X26570" s="9"/>
    </row>
    <row r="26571">
      <c r="D26571" s="9"/>
      <c r="G26571" s="9"/>
      <c r="J26571" s="11"/>
      <c r="U26571" s="9"/>
      <c r="X26571" s="9"/>
    </row>
    <row r="26572">
      <c r="D26572" s="9"/>
      <c r="G26572" s="9"/>
      <c r="J26572" s="11"/>
      <c r="U26572" s="9"/>
      <c r="X26572" s="9"/>
    </row>
    <row r="26573">
      <c r="D26573" s="9"/>
      <c r="G26573" s="9"/>
      <c r="J26573" s="11"/>
      <c r="U26573" s="9"/>
      <c r="X26573" s="9"/>
    </row>
    <row r="26574">
      <c r="D26574" s="9"/>
      <c r="G26574" s="9"/>
      <c r="J26574" s="11"/>
      <c r="U26574" s="9"/>
      <c r="X26574" s="9"/>
    </row>
    <row r="26575">
      <c r="D26575" s="9"/>
      <c r="G26575" s="9"/>
      <c r="J26575" s="11"/>
      <c r="U26575" s="9"/>
      <c r="X26575" s="9"/>
    </row>
    <row r="26576">
      <c r="D26576" s="9"/>
      <c r="G26576" s="9"/>
      <c r="J26576" s="11"/>
      <c r="U26576" s="9"/>
      <c r="X26576" s="9"/>
    </row>
    <row r="26577">
      <c r="D26577" s="9"/>
      <c r="G26577" s="9"/>
      <c r="J26577" s="11"/>
      <c r="U26577" s="9"/>
      <c r="X26577" s="9"/>
    </row>
    <row r="26578">
      <c r="D26578" s="9"/>
      <c r="G26578" s="9"/>
      <c r="J26578" s="11"/>
      <c r="U26578" s="9"/>
      <c r="X26578" s="9"/>
    </row>
    <row r="26579">
      <c r="D26579" s="9"/>
      <c r="G26579" s="9"/>
      <c r="J26579" s="11"/>
      <c r="U26579" s="9"/>
      <c r="X26579" s="9"/>
    </row>
    <row r="26580">
      <c r="D26580" s="9"/>
      <c r="G26580" s="9"/>
      <c r="J26580" s="11"/>
      <c r="U26580" s="9"/>
      <c r="X26580" s="9"/>
    </row>
    <row r="26581">
      <c r="D26581" s="9"/>
      <c r="G26581" s="9"/>
      <c r="J26581" s="11"/>
      <c r="U26581" s="9"/>
      <c r="X26581" s="9"/>
    </row>
    <row r="26582">
      <c r="D26582" s="9"/>
      <c r="G26582" s="9"/>
      <c r="J26582" s="11"/>
      <c r="U26582" s="9"/>
      <c r="X26582" s="9"/>
    </row>
    <row r="26583">
      <c r="D26583" s="9"/>
      <c r="G26583" s="9"/>
      <c r="J26583" s="11"/>
      <c r="U26583" s="9"/>
      <c r="X26583" s="9"/>
    </row>
    <row r="26584">
      <c r="D26584" s="9"/>
      <c r="G26584" s="9"/>
      <c r="J26584" s="11"/>
      <c r="U26584" s="9"/>
      <c r="X26584" s="9"/>
    </row>
    <row r="26585">
      <c r="D26585" s="9"/>
      <c r="G26585" s="9"/>
      <c r="J26585" s="11"/>
      <c r="U26585" s="9"/>
      <c r="X26585" s="9"/>
    </row>
    <row r="26586">
      <c r="D26586" s="9"/>
      <c r="G26586" s="9"/>
      <c r="J26586" s="11"/>
      <c r="U26586" s="9"/>
      <c r="X26586" s="9"/>
    </row>
    <row r="26587">
      <c r="D26587" s="9"/>
      <c r="G26587" s="9"/>
      <c r="J26587" s="11"/>
      <c r="U26587" s="9"/>
      <c r="X26587" s="9"/>
    </row>
    <row r="26588">
      <c r="D26588" s="9"/>
      <c r="G26588" s="9"/>
      <c r="J26588" s="11"/>
      <c r="U26588" s="9"/>
      <c r="X26588" s="9"/>
    </row>
    <row r="26589">
      <c r="D26589" s="9"/>
      <c r="G26589" s="9"/>
      <c r="J26589" s="11"/>
      <c r="U26589" s="9"/>
      <c r="X26589" s="9"/>
    </row>
    <row r="26590">
      <c r="D26590" s="9"/>
      <c r="G26590" s="9"/>
      <c r="J26590" s="11"/>
      <c r="U26590" s="9"/>
      <c r="X26590" s="9"/>
    </row>
    <row r="26591">
      <c r="D26591" s="9"/>
      <c r="G26591" s="9"/>
      <c r="J26591" s="11"/>
      <c r="U26591" s="9"/>
      <c r="X26591" s="9"/>
    </row>
    <row r="26592">
      <c r="D26592" s="9"/>
      <c r="G26592" s="9"/>
      <c r="J26592" s="11"/>
      <c r="U26592" s="9"/>
      <c r="X26592" s="9"/>
    </row>
    <row r="26593">
      <c r="D26593" s="9"/>
      <c r="G26593" s="9"/>
      <c r="J26593" s="11"/>
      <c r="U26593" s="9"/>
      <c r="X26593" s="9"/>
    </row>
    <row r="26594">
      <c r="D26594" s="9"/>
      <c r="G26594" s="9"/>
      <c r="J26594" s="11"/>
      <c r="U26594" s="9"/>
      <c r="X26594" s="9"/>
    </row>
    <row r="26595">
      <c r="D26595" s="9"/>
      <c r="G26595" s="9"/>
      <c r="J26595" s="11"/>
      <c r="U26595" s="9"/>
      <c r="X26595" s="9"/>
    </row>
    <row r="26596">
      <c r="D26596" s="9"/>
      <c r="G26596" s="9"/>
      <c r="J26596" s="11"/>
      <c r="U26596" s="9"/>
      <c r="X26596" s="9"/>
    </row>
    <row r="26597">
      <c r="D26597" s="9"/>
      <c r="G26597" s="9"/>
      <c r="J26597" s="11"/>
      <c r="U26597" s="9"/>
      <c r="X26597" s="9"/>
    </row>
    <row r="26598">
      <c r="D26598" s="9"/>
      <c r="G26598" s="9"/>
      <c r="J26598" s="11"/>
      <c r="U26598" s="9"/>
      <c r="X26598" s="9"/>
    </row>
    <row r="26599">
      <c r="D26599" s="9"/>
      <c r="G26599" s="9"/>
      <c r="J26599" s="11"/>
      <c r="U26599" s="9"/>
      <c r="X26599" s="9"/>
    </row>
    <row r="26600">
      <c r="D26600" s="9"/>
      <c r="G26600" s="9"/>
      <c r="J26600" s="11"/>
      <c r="U26600" s="9"/>
      <c r="X26600" s="9"/>
    </row>
    <row r="26601">
      <c r="D26601" s="9"/>
      <c r="G26601" s="9"/>
      <c r="J26601" s="11"/>
      <c r="U26601" s="9"/>
      <c r="X26601" s="9"/>
    </row>
    <row r="26602">
      <c r="D26602" s="9"/>
      <c r="G26602" s="9"/>
      <c r="J26602" s="11"/>
      <c r="U26602" s="9"/>
      <c r="X26602" s="9"/>
    </row>
    <row r="26603">
      <c r="D26603" s="9"/>
      <c r="G26603" s="9"/>
      <c r="J26603" s="11"/>
      <c r="U26603" s="9"/>
      <c r="X26603" s="9"/>
    </row>
    <row r="26604">
      <c r="D26604" s="9"/>
      <c r="G26604" s="9"/>
      <c r="J26604" s="11"/>
      <c r="U26604" s="9"/>
      <c r="X26604" s="9"/>
    </row>
    <row r="26605">
      <c r="D26605" s="9"/>
      <c r="G26605" s="9"/>
      <c r="J26605" s="11"/>
      <c r="U26605" s="9"/>
      <c r="X26605" s="9"/>
    </row>
    <row r="26606">
      <c r="D26606" s="9"/>
      <c r="G26606" s="9"/>
      <c r="J26606" s="11"/>
      <c r="U26606" s="9"/>
      <c r="X26606" s="9"/>
    </row>
    <row r="26607">
      <c r="D26607" s="9"/>
      <c r="G26607" s="9"/>
      <c r="J26607" s="11"/>
      <c r="U26607" s="9"/>
      <c r="X26607" s="9"/>
    </row>
    <row r="26608">
      <c r="D26608" s="9"/>
      <c r="G26608" s="9"/>
      <c r="J26608" s="11"/>
      <c r="U26608" s="9"/>
      <c r="X26608" s="9"/>
    </row>
    <row r="26609">
      <c r="D26609" s="9"/>
      <c r="G26609" s="9"/>
      <c r="J26609" s="11"/>
      <c r="U26609" s="9"/>
      <c r="X26609" s="9"/>
    </row>
    <row r="26610">
      <c r="D26610" s="9"/>
      <c r="G26610" s="9"/>
      <c r="J26610" s="11"/>
      <c r="U26610" s="9"/>
      <c r="X26610" s="9"/>
    </row>
    <row r="26611">
      <c r="D26611" s="9"/>
      <c r="G26611" s="9"/>
      <c r="J26611" s="11"/>
      <c r="U26611" s="9"/>
      <c r="X26611" s="9"/>
    </row>
    <row r="26612">
      <c r="D26612" s="9"/>
      <c r="G26612" s="9"/>
      <c r="J26612" s="11"/>
      <c r="U26612" s="9"/>
      <c r="X26612" s="9"/>
    </row>
    <row r="26613">
      <c r="D26613" s="9"/>
      <c r="G26613" s="9"/>
      <c r="J26613" s="11"/>
      <c r="U26613" s="9"/>
      <c r="X26613" s="9"/>
    </row>
    <row r="26614">
      <c r="D26614" s="9"/>
      <c r="G26614" s="9"/>
      <c r="J26614" s="11"/>
      <c r="U26614" s="9"/>
      <c r="X26614" s="9"/>
    </row>
    <row r="26615">
      <c r="D26615" s="9"/>
      <c r="G26615" s="9"/>
      <c r="J26615" s="11"/>
      <c r="U26615" s="9"/>
      <c r="X26615" s="9"/>
    </row>
    <row r="26616">
      <c r="D26616" s="9"/>
      <c r="G26616" s="9"/>
      <c r="J26616" s="11"/>
      <c r="U26616" s="9"/>
      <c r="X26616" s="9"/>
    </row>
    <row r="26617">
      <c r="D26617" s="9"/>
      <c r="G26617" s="9"/>
      <c r="J26617" s="11"/>
      <c r="U26617" s="9"/>
      <c r="X26617" s="9"/>
    </row>
    <row r="26618">
      <c r="D26618" s="9"/>
      <c r="G26618" s="9"/>
      <c r="J26618" s="11"/>
      <c r="U26618" s="9"/>
      <c r="X26618" s="9"/>
    </row>
    <row r="26619">
      <c r="D26619" s="9"/>
      <c r="G26619" s="9"/>
      <c r="J26619" s="11"/>
      <c r="U26619" s="9"/>
      <c r="X26619" s="9"/>
    </row>
    <row r="26620">
      <c r="D26620" s="9"/>
      <c r="G26620" s="9"/>
      <c r="J26620" s="11"/>
      <c r="U26620" s="9"/>
      <c r="X26620" s="9"/>
    </row>
    <row r="26621">
      <c r="D26621" s="9"/>
      <c r="G26621" s="9"/>
      <c r="J26621" s="11"/>
      <c r="U26621" s="9"/>
      <c r="X26621" s="9"/>
    </row>
    <row r="26622">
      <c r="D26622" s="9"/>
      <c r="G26622" s="9"/>
      <c r="J26622" s="11"/>
      <c r="U26622" s="9"/>
      <c r="X26622" s="9"/>
    </row>
    <row r="26623">
      <c r="D26623" s="9"/>
      <c r="G26623" s="9"/>
      <c r="J26623" s="11"/>
      <c r="U26623" s="9"/>
      <c r="X26623" s="9"/>
    </row>
    <row r="26624">
      <c r="D26624" s="9"/>
      <c r="G26624" s="9"/>
      <c r="J26624" s="11"/>
      <c r="U26624" s="9"/>
      <c r="X26624" s="9"/>
    </row>
    <row r="26625">
      <c r="D26625" s="9"/>
      <c r="G26625" s="9"/>
      <c r="J26625" s="11"/>
      <c r="U26625" s="9"/>
      <c r="X26625" s="9"/>
    </row>
    <row r="26626">
      <c r="D26626" s="9"/>
      <c r="G26626" s="9"/>
      <c r="J26626" s="11"/>
      <c r="U26626" s="9"/>
      <c r="X26626" s="9"/>
    </row>
    <row r="26627">
      <c r="D26627" s="9"/>
      <c r="G26627" s="9"/>
      <c r="J26627" s="11"/>
      <c r="U26627" s="9"/>
      <c r="X26627" s="9"/>
    </row>
    <row r="26628">
      <c r="D26628" s="9"/>
      <c r="G26628" s="9"/>
      <c r="J26628" s="11"/>
      <c r="U26628" s="9"/>
      <c r="X26628" s="9"/>
    </row>
    <row r="26629">
      <c r="D26629" s="9"/>
      <c r="G26629" s="9"/>
      <c r="J26629" s="11"/>
      <c r="U26629" s="9"/>
      <c r="X26629" s="9"/>
    </row>
    <row r="26630">
      <c r="D26630" s="9"/>
      <c r="G26630" s="9"/>
      <c r="J26630" s="11"/>
      <c r="U26630" s="9"/>
      <c r="X26630" s="9"/>
    </row>
    <row r="26631">
      <c r="D26631" s="9"/>
      <c r="G26631" s="9"/>
      <c r="J26631" s="11"/>
      <c r="U26631" s="9"/>
      <c r="X26631" s="9"/>
    </row>
    <row r="26632">
      <c r="D26632" s="9"/>
      <c r="G26632" s="9"/>
      <c r="J26632" s="11"/>
      <c r="U26632" s="9"/>
      <c r="X26632" s="9"/>
    </row>
    <row r="26633">
      <c r="D26633" s="9"/>
      <c r="G26633" s="9"/>
      <c r="J26633" s="11"/>
      <c r="U26633" s="9"/>
      <c r="X26633" s="9"/>
    </row>
    <row r="26634">
      <c r="D26634" s="9"/>
      <c r="G26634" s="9"/>
      <c r="J26634" s="11"/>
      <c r="U26634" s="9"/>
      <c r="X26634" s="9"/>
    </row>
    <row r="26635">
      <c r="D26635" s="9"/>
      <c r="G26635" s="9"/>
      <c r="J26635" s="11"/>
      <c r="U26635" s="9"/>
      <c r="X26635" s="9"/>
    </row>
    <row r="26636">
      <c r="D26636" s="9"/>
      <c r="G26636" s="9"/>
      <c r="J26636" s="11"/>
      <c r="U26636" s="9"/>
      <c r="X26636" s="9"/>
    </row>
    <row r="26637">
      <c r="D26637" s="9"/>
      <c r="G26637" s="9"/>
      <c r="J26637" s="11"/>
      <c r="U26637" s="9"/>
      <c r="X26637" s="9"/>
    </row>
    <row r="26638">
      <c r="D26638" s="9"/>
      <c r="G26638" s="9"/>
      <c r="J26638" s="11"/>
      <c r="U26638" s="9"/>
      <c r="X26638" s="9"/>
    </row>
    <row r="26639">
      <c r="D26639" s="9"/>
      <c r="G26639" s="9"/>
      <c r="J26639" s="11"/>
      <c r="U26639" s="9"/>
      <c r="X26639" s="9"/>
    </row>
    <row r="26640">
      <c r="D26640" s="9"/>
      <c r="G26640" s="9"/>
      <c r="J26640" s="11"/>
      <c r="U26640" s="9"/>
      <c r="X26640" s="9"/>
    </row>
    <row r="26641">
      <c r="D26641" s="9"/>
      <c r="G26641" s="9"/>
      <c r="J26641" s="11"/>
      <c r="U26641" s="9"/>
      <c r="X26641" s="9"/>
    </row>
    <row r="26642">
      <c r="D26642" s="9"/>
      <c r="G26642" s="9"/>
      <c r="J26642" s="11"/>
      <c r="U26642" s="9"/>
      <c r="X26642" s="9"/>
    </row>
    <row r="26643">
      <c r="D26643" s="9"/>
      <c r="G26643" s="9"/>
      <c r="J26643" s="11"/>
      <c r="U26643" s="9"/>
      <c r="X26643" s="9"/>
    </row>
    <row r="26644">
      <c r="D26644" s="9"/>
      <c r="G26644" s="9"/>
      <c r="J26644" s="11"/>
      <c r="U26644" s="9"/>
      <c r="X26644" s="9"/>
    </row>
    <row r="26645">
      <c r="D26645" s="9"/>
      <c r="G26645" s="9"/>
      <c r="J26645" s="11"/>
      <c r="U26645" s="9"/>
      <c r="X26645" s="9"/>
    </row>
    <row r="26646">
      <c r="D26646" s="9"/>
      <c r="G26646" s="9"/>
      <c r="J26646" s="11"/>
      <c r="U26646" s="9"/>
      <c r="X26646" s="9"/>
    </row>
    <row r="26647">
      <c r="D26647" s="9"/>
      <c r="G26647" s="9"/>
      <c r="J26647" s="11"/>
      <c r="U26647" s="9"/>
      <c r="X26647" s="9"/>
    </row>
    <row r="26648">
      <c r="D26648" s="9"/>
      <c r="G26648" s="9"/>
      <c r="J26648" s="11"/>
      <c r="U26648" s="9"/>
      <c r="X26648" s="9"/>
    </row>
    <row r="26649">
      <c r="D26649" s="9"/>
      <c r="G26649" s="9"/>
      <c r="J26649" s="11"/>
      <c r="U26649" s="9"/>
      <c r="X26649" s="9"/>
    </row>
    <row r="26650">
      <c r="D26650" s="9"/>
      <c r="G26650" s="9"/>
      <c r="J26650" s="11"/>
      <c r="U26650" s="9"/>
      <c r="X26650" s="9"/>
    </row>
    <row r="26651">
      <c r="D26651" s="9"/>
      <c r="G26651" s="9"/>
      <c r="J26651" s="11"/>
      <c r="U26651" s="9"/>
      <c r="X26651" s="9"/>
    </row>
    <row r="26652">
      <c r="D26652" s="9"/>
      <c r="G26652" s="9"/>
      <c r="J26652" s="11"/>
      <c r="U26652" s="9"/>
      <c r="X26652" s="9"/>
    </row>
    <row r="26653">
      <c r="D26653" s="9"/>
      <c r="G26653" s="9"/>
      <c r="J26653" s="11"/>
      <c r="U26653" s="9"/>
      <c r="X26653" s="9"/>
    </row>
    <row r="26654">
      <c r="D26654" s="9"/>
      <c r="G26654" s="9"/>
      <c r="J26654" s="11"/>
      <c r="U26654" s="9"/>
      <c r="X26654" s="9"/>
    </row>
    <row r="26655">
      <c r="D26655" s="9"/>
      <c r="G26655" s="9"/>
      <c r="J26655" s="11"/>
      <c r="U26655" s="9"/>
      <c r="X26655" s="9"/>
    </row>
    <row r="26656">
      <c r="D26656" s="9"/>
      <c r="G26656" s="9"/>
      <c r="J26656" s="11"/>
      <c r="U26656" s="9"/>
      <c r="X26656" s="9"/>
    </row>
    <row r="26657">
      <c r="D26657" s="9"/>
      <c r="G26657" s="9"/>
      <c r="J26657" s="11"/>
      <c r="U26657" s="9"/>
      <c r="X26657" s="9"/>
    </row>
    <row r="26658">
      <c r="D26658" s="9"/>
      <c r="G26658" s="9"/>
      <c r="J26658" s="11"/>
      <c r="U26658" s="9"/>
      <c r="X26658" s="9"/>
    </row>
    <row r="26659">
      <c r="D26659" s="9"/>
      <c r="G26659" s="9"/>
      <c r="J26659" s="11"/>
      <c r="U26659" s="9"/>
      <c r="X26659" s="9"/>
    </row>
    <row r="26660">
      <c r="D26660" s="9"/>
      <c r="G26660" s="9"/>
      <c r="J26660" s="11"/>
      <c r="U26660" s="9"/>
      <c r="X26660" s="9"/>
    </row>
    <row r="26661">
      <c r="D26661" s="9"/>
      <c r="G26661" s="9"/>
      <c r="J26661" s="11"/>
      <c r="U26661" s="9"/>
      <c r="X26661" s="9"/>
    </row>
    <row r="26662">
      <c r="D26662" s="9"/>
      <c r="G26662" s="9"/>
      <c r="J26662" s="11"/>
      <c r="U26662" s="9"/>
      <c r="X26662" s="9"/>
    </row>
    <row r="26663">
      <c r="D26663" s="9"/>
      <c r="G26663" s="9"/>
      <c r="J26663" s="11"/>
      <c r="U26663" s="9"/>
      <c r="X26663" s="9"/>
    </row>
    <row r="26664">
      <c r="D26664" s="9"/>
      <c r="G26664" s="9"/>
      <c r="J26664" s="11"/>
      <c r="U26664" s="9"/>
      <c r="X26664" s="9"/>
    </row>
    <row r="26665">
      <c r="D26665" s="9"/>
      <c r="G26665" s="9"/>
      <c r="J26665" s="11"/>
      <c r="U26665" s="9"/>
      <c r="X26665" s="9"/>
    </row>
    <row r="26666">
      <c r="D26666" s="9"/>
      <c r="G26666" s="9"/>
      <c r="J26666" s="11"/>
      <c r="U26666" s="9"/>
      <c r="X26666" s="9"/>
    </row>
    <row r="26667">
      <c r="D26667" s="9"/>
      <c r="G26667" s="9"/>
      <c r="J26667" s="11"/>
      <c r="U26667" s="9"/>
      <c r="X26667" s="9"/>
    </row>
    <row r="26668">
      <c r="D26668" s="9"/>
      <c r="G26668" s="9"/>
      <c r="J26668" s="11"/>
      <c r="U26668" s="9"/>
      <c r="X26668" s="9"/>
    </row>
    <row r="26669">
      <c r="D26669" s="9"/>
      <c r="G26669" s="9"/>
      <c r="J26669" s="11"/>
      <c r="U26669" s="9"/>
      <c r="X26669" s="9"/>
    </row>
    <row r="26670">
      <c r="D26670" s="9"/>
      <c r="G26670" s="9"/>
      <c r="J26670" s="11"/>
      <c r="U26670" s="9"/>
      <c r="X26670" s="9"/>
    </row>
    <row r="26671">
      <c r="D26671" s="9"/>
      <c r="G26671" s="9"/>
      <c r="J26671" s="11"/>
      <c r="U26671" s="9"/>
      <c r="X26671" s="9"/>
    </row>
    <row r="26672">
      <c r="D26672" s="9"/>
      <c r="G26672" s="9"/>
      <c r="J26672" s="11"/>
      <c r="U26672" s="9"/>
      <c r="X26672" s="9"/>
    </row>
    <row r="26673">
      <c r="D26673" s="9"/>
      <c r="G26673" s="9"/>
      <c r="J26673" s="11"/>
      <c r="U26673" s="9"/>
      <c r="X26673" s="9"/>
    </row>
    <row r="26674">
      <c r="D26674" s="9"/>
      <c r="G26674" s="9"/>
      <c r="J26674" s="11"/>
      <c r="U26674" s="9"/>
      <c r="X26674" s="9"/>
    </row>
    <row r="26675">
      <c r="D26675" s="9"/>
      <c r="G26675" s="9"/>
      <c r="J26675" s="11"/>
      <c r="U26675" s="9"/>
      <c r="X26675" s="9"/>
    </row>
    <row r="26676">
      <c r="D26676" s="9"/>
      <c r="G26676" s="9"/>
      <c r="J26676" s="11"/>
      <c r="U26676" s="9"/>
      <c r="X26676" s="9"/>
    </row>
    <row r="26677">
      <c r="D26677" s="9"/>
      <c r="G26677" s="9"/>
      <c r="J26677" s="11"/>
      <c r="U26677" s="9"/>
      <c r="X26677" s="9"/>
    </row>
    <row r="26678">
      <c r="D26678" s="9"/>
      <c r="G26678" s="9"/>
      <c r="J26678" s="11"/>
      <c r="U26678" s="9"/>
      <c r="X26678" s="9"/>
    </row>
    <row r="26679">
      <c r="D26679" s="9"/>
      <c r="G26679" s="9"/>
      <c r="J26679" s="11"/>
      <c r="U26679" s="9"/>
      <c r="X26679" s="9"/>
    </row>
    <row r="26680">
      <c r="D26680" s="9"/>
      <c r="G26680" s="9"/>
      <c r="J26680" s="11"/>
      <c r="U26680" s="9"/>
      <c r="X26680" s="9"/>
    </row>
    <row r="26681">
      <c r="D26681" s="9"/>
      <c r="G26681" s="9"/>
      <c r="J26681" s="11"/>
      <c r="U26681" s="9"/>
      <c r="X26681" s="9"/>
    </row>
    <row r="26682">
      <c r="D26682" s="9"/>
      <c r="G26682" s="9"/>
      <c r="J26682" s="11"/>
      <c r="U26682" s="9"/>
      <c r="X26682" s="9"/>
    </row>
    <row r="26683">
      <c r="D26683" s="9"/>
      <c r="G26683" s="9"/>
      <c r="J26683" s="11"/>
      <c r="U26683" s="9"/>
      <c r="X26683" s="9"/>
    </row>
    <row r="26684">
      <c r="D26684" s="9"/>
      <c r="G26684" s="9"/>
      <c r="J26684" s="11"/>
      <c r="U26684" s="9"/>
      <c r="X26684" s="9"/>
    </row>
    <row r="26685">
      <c r="D26685" s="9"/>
      <c r="G26685" s="9"/>
      <c r="J26685" s="11"/>
      <c r="U26685" s="9"/>
      <c r="X26685" s="9"/>
    </row>
    <row r="26686">
      <c r="D26686" s="9"/>
      <c r="G26686" s="9"/>
      <c r="J26686" s="11"/>
      <c r="U26686" s="9"/>
      <c r="X26686" s="9"/>
    </row>
    <row r="26687">
      <c r="D26687" s="9"/>
      <c r="G26687" s="9"/>
      <c r="J26687" s="11"/>
      <c r="U26687" s="9"/>
      <c r="X26687" s="9"/>
    </row>
    <row r="26688">
      <c r="D26688" s="9"/>
      <c r="G26688" s="9"/>
      <c r="J26688" s="11"/>
      <c r="U26688" s="9"/>
      <c r="X26688" s="9"/>
    </row>
    <row r="26689">
      <c r="D26689" s="9"/>
      <c r="G26689" s="9"/>
      <c r="J26689" s="11"/>
      <c r="U26689" s="9"/>
      <c r="X26689" s="9"/>
    </row>
    <row r="26690">
      <c r="D26690" s="9"/>
      <c r="G26690" s="9"/>
      <c r="J26690" s="11"/>
      <c r="U26690" s="9"/>
      <c r="X26690" s="9"/>
    </row>
    <row r="26691">
      <c r="D26691" s="9"/>
      <c r="G26691" s="9"/>
      <c r="J26691" s="11"/>
      <c r="U26691" s="9"/>
      <c r="X26691" s="9"/>
    </row>
    <row r="26692">
      <c r="D26692" s="9"/>
      <c r="G26692" s="9"/>
      <c r="J26692" s="11"/>
      <c r="U26692" s="9"/>
      <c r="X26692" s="9"/>
    </row>
    <row r="26693">
      <c r="D26693" s="9"/>
      <c r="G26693" s="9"/>
      <c r="J26693" s="11"/>
      <c r="U26693" s="9"/>
      <c r="X26693" s="9"/>
    </row>
    <row r="26694">
      <c r="D26694" s="9"/>
      <c r="G26694" s="9"/>
      <c r="J26694" s="11"/>
      <c r="U26694" s="9"/>
      <c r="X26694" s="9"/>
    </row>
    <row r="26695">
      <c r="D26695" s="9"/>
      <c r="G26695" s="9"/>
      <c r="J26695" s="11"/>
      <c r="U26695" s="9"/>
      <c r="X26695" s="9"/>
    </row>
    <row r="26696">
      <c r="D26696" s="9"/>
      <c r="G26696" s="9"/>
      <c r="J26696" s="11"/>
      <c r="U26696" s="9"/>
      <c r="X26696" s="9"/>
    </row>
    <row r="26697">
      <c r="D26697" s="9"/>
      <c r="G26697" s="9"/>
      <c r="J26697" s="11"/>
      <c r="U26697" s="9"/>
      <c r="X26697" s="9"/>
    </row>
    <row r="26698">
      <c r="D26698" s="9"/>
      <c r="G26698" s="9"/>
      <c r="J26698" s="11"/>
      <c r="U26698" s="9"/>
      <c r="X26698" s="9"/>
    </row>
    <row r="26699">
      <c r="D26699" s="9"/>
      <c r="G26699" s="9"/>
      <c r="J26699" s="11"/>
      <c r="U26699" s="9"/>
      <c r="X26699" s="9"/>
    </row>
    <row r="26700">
      <c r="D26700" s="9"/>
      <c r="G26700" s="9"/>
      <c r="J26700" s="11"/>
      <c r="U26700" s="9"/>
      <c r="X26700" s="9"/>
    </row>
    <row r="26701">
      <c r="D26701" s="9"/>
      <c r="G26701" s="9"/>
      <c r="J26701" s="11"/>
      <c r="U26701" s="9"/>
      <c r="X26701" s="9"/>
    </row>
    <row r="26702">
      <c r="D26702" s="9"/>
      <c r="G26702" s="9"/>
      <c r="J26702" s="11"/>
      <c r="U26702" s="9"/>
      <c r="X26702" s="9"/>
    </row>
    <row r="26703">
      <c r="D26703" s="9"/>
      <c r="G26703" s="9"/>
      <c r="J26703" s="11"/>
      <c r="U26703" s="9"/>
      <c r="X26703" s="9"/>
    </row>
    <row r="26704">
      <c r="D26704" s="9"/>
      <c r="G26704" s="9"/>
      <c r="J26704" s="11"/>
      <c r="U26704" s="9"/>
      <c r="X26704" s="9"/>
    </row>
    <row r="26705">
      <c r="D26705" s="9"/>
      <c r="G26705" s="9"/>
      <c r="J26705" s="11"/>
      <c r="U26705" s="9"/>
      <c r="X26705" s="9"/>
    </row>
    <row r="26706">
      <c r="D26706" s="9"/>
      <c r="G26706" s="9"/>
      <c r="J26706" s="11"/>
      <c r="U26706" s="9"/>
      <c r="X26706" s="9"/>
    </row>
    <row r="26707">
      <c r="D26707" s="9"/>
      <c r="G26707" s="9"/>
      <c r="J26707" s="11"/>
      <c r="U26707" s="9"/>
      <c r="X26707" s="9"/>
    </row>
    <row r="26708">
      <c r="D26708" s="9"/>
      <c r="G26708" s="9"/>
      <c r="J26708" s="11"/>
      <c r="U26708" s="9"/>
      <c r="X26708" s="9"/>
    </row>
    <row r="26709">
      <c r="D26709" s="9"/>
      <c r="G26709" s="9"/>
      <c r="J26709" s="11"/>
      <c r="U26709" s="9"/>
      <c r="X26709" s="9"/>
    </row>
    <row r="26710">
      <c r="D26710" s="9"/>
      <c r="G26710" s="9"/>
      <c r="J26710" s="11"/>
      <c r="U26710" s="9"/>
      <c r="X26710" s="9"/>
    </row>
    <row r="26711">
      <c r="D26711" s="9"/>
      <c r="G26711" s="9"/>
      <c r="J26711" s="11"/>
      <c r="U26711" s="9"/>
      <c r="X26711" s="9"/>
    </row>
    <row r="26712">
      <c r="D26712" s="9"/>
      <c r="G26712" s="9"/>
      <c r="J26712" s="11"/>
      <c r="U26712" s="9"/>
      <c r="X26712" s="9"/>
    </row>
    <row r="26713">
      <c r="D26713" s="9"/>
      <c r="G26713" s="9"/>
      <c r="J26713" s="11"/>
      <c r="U26713" s="9"/>
      <c r="X26713" s="9"/>
    </row>
    <row r="26714">
      <c r="D26714" s="9"/>
      <c r="G26714" s="9"/>
      <c r="J26714" s="11"/>
      <c r="U26714" s="9"/>
      <c r="X26714" s="9"/>
    </row>
    <row r="26715">
      <c r="D26715" s="9"/>
      <c r="G26715" s="9"/>
      <c r="J26715" s="11"/>
      <c r="U26715" s="9"/>
      <c r="X26715" s="9"/>
    </row>
    <row r="26716">
      <c r="D26716" s="9"/>
      <c r="G26716" s="9"/>
      <c r="J26716" s="11"/>
      <c r="U26716" s="9"/>
      <c r="X26716" s="9"/>
    </row>
    <row r="26717">
      <c r="D26717" s="9"/>
      <c r="G26717" s="9"/>
      <c r="J26717" s="11"/>
      <c r="U26717" s="9"/>
      <c r="X26717" s="9"/>
    </row>
    <row r="26718">
      <c r="D26718" s="9"/>
      <c r="G26718" s="9"/>
      <c r="J26718" s="11"/>
      <c r="U26718" s="9"/>
      <c r="X26718" s="9"/>
    </row>
    <row r="26719">
      <c r="D26719" s="9"/>
      <c r="G26719" s="9"/>
      <c r="J26719" s="11"/>
      <c r="U26719" s="9"/>
      <c r="X26719" s="9"/>
    </row>
    <row r="26720">
      <c r="D26720" s="9"/>
      <c r="G26720" s="9"/>
      <c r="J26720" s="11"/>
      <c r="U26720" s="9"/>
      <c r="X26720" s="9"/>
    </row>
    <row r="26721">
      <c r="D26721" s="9"/>
      <c r="G26721" s="9"/>
      <c r="J26721" s="11"/>
      <c r="U26721" s="9"/>
      <c r="X26721" s="9"/>
    </row>
    <row r="26722">
      <c r="D26722" s="9"/>
      <c r="G26722" s="9"/>
      <c r="J26722" s="11"/>
      <c r="U26722" s="9"/>
      <c r="X26722" s="9"/>
    </row>
    <row r="26723">
      <c r="D26723" s="9"/>
      <c r="G26723" s="9"/>
      <c r="J26723" s="11"/>
      <c r="U26723" s="9"/>
      <c r="X26723" s="9"/>
    </row>
    <row r="26724">
      <c r="D26724" s="9"/>
      <c r="G26724" s="9"/>
      <c r="J26724" s="11"/>
      <c r="U26724" s="9"/>
      <c r="X26724" s="9"/>
    </row>
    <row r="26725">
      <c r="D26725" s="9"/>
      <c r="G26725" s="9"/>
      <c r="J26725" s="11"/>
      <c r="U26725" s="9"/>
      <c r="X26725" s="9"/>
    </row>
    <row r="26726">
      <c r="D26726" s="9"/>
      <c r="G26726" s="9"/>
      <c r="J26726" s="11"/>
      <c r="U26726" s="9"/>
      <c r="X26726" s="9"/>
    </row>
    <row r="26727">
      <c r="D26727" s="9"/>
      <c r="G26727" s="9"/>
      <c r="J26727" s="11"/>
      <c r="U26727" s="9"/>
      <c r="X26727" s="9"/>
    </row>
    <row r="26728">
      <c r="D26728" s="9"/>
      <c r="G26728" s="9"/>
      <c r="J26728" s="11"/>
      <c r="U26728" s="9"/>
      <c r="X26728" s="9"/>
    </row>
    <row r="26729">
      <c r="D26729" s="9"/>
      <c r="G26729" s="9"/>
      <c r="J26729" s="11"/>
      <c r="U26729" s="9"/>
      <c r="X26729" s="9"/>
    </row>
    <row r="26730">
      <c r="D26730" s="9"/>
      <c r="G26730" s="9"/>
      <c r="J26730" s="11"/>
      <c r="U26730" s="9"/>
      <c r="X26730" s="9"/>
    </row>
    <row r="26731">
      <c r="D26731" s="9"/>
      <c r="G26731" s="9"/>
      <c r="J26731" s="11"/>
      <c r="U26731" s="9"/>
      <c r="X26731" s="9"/>
    </row>
    <row r="26732">
      <c r="D26732" s="9"/>
      <c r="G26732" s="9"/>
      <c r="J26732" s="11"/>
      <c r="U26732" s="9"/>
      <c r="X26732" s="9"/>
    </row>
    <row r="26733">
      <c r="D26733" s="9"/>
      <c r="G26733" s="9"/>
      <c r="J26733" s="11"/>
      <c r="U26733" s="9"/>
      <c r="X26733" s="9"/>
    </row>
    <row r="26734">
      <c r="D26734" s="9"/>
      <c r="G26734" s="9"/>
      <c r="J26734" s="11"/>
      <c r="U26734" s="9"/>
      <c r="X26734" s="9"/>
    </row>
    <row r="26735">
      <c r="D26735" s="9"/>
      <c r="G26735" s="9"/>
      <c r="J26735" s="11"/>
      <c r="U26735" s="9"/>
      <c r="X26735" s="9"/>
    </row>
    <row r="26736">
      <c r="D26736" s="9"/>
      <c r="G26736" s="9"/>
      <c r="J26736" s="11"/>
      <c r="U26736" s="9"/>
      <c r="X26736" s="9"/>
    </row>
    <row r="26737">
      <c r="D26737" s="9"/>
      <c r="G26737" s="9"/>
      <c r="J26737" s="11"/>
      <c r="U26737" s="9"/>
      <c r="X26737" s="9"/>
    </row>
    <row r="26738">
      <c r="D26738" s="9"/>
      <c r="G26738" s="9"/>
      <c r="J26738" s="11"/>
      <c r="U26738" s="9"/>
      <c r="X26738" s="9"/>
    </row>
    <row r="26739">
      <c r="D26739" s="9"/>
      <c r="G26739" s="9"/>
      <c r="J26739" s="11"/>
      <c r="U26739" s="9"/>
      <c r="X26739" s="9"/>
    </row>
    <row r="26740">
      <c r="D26740" s="9"/>
      <c r="G26740" s="9"/>
      <c r="J26740" s="11"/>
      <c r="U26740" s="9"/>
      <c r="X26740" s="9"/>
    </row>
    <row r="26741">
      <c r="D26741" s="9"/>
      <c r="G26741" s="9"/>
      <c r="J26741" s="11"/>
      <c r="U26741" s="9"/>
      <c r="X26741" s="9"/>
    </row>
    <row r="26742">
      <c r="D26742" s="9"/>
      <c r="G26742" s="9"/>
      <c r="J26742" s="11"/>
      <c r="U26742" s="9"/>
      <c r="X26742" s="9"/>
    </row>
    <row r="26743">
      <c r="D26743" s="9"/>
      <c r="G26743" s="9"/>
      <c r="J26743" s="11"/>
      <c r="U26743" s="9"/>
      <c r="X26743" s="9"/>
    </row>
    <row r="26744">
      <c r="D26744" s="9"/>
      <c r="G26744" s="9"/>
      <c r="J26744" s="11"/>
      <c r="U26744" s="9"/>
      <c r="X26744" s="9"/>
    </row>
    <row r="26745">
      <c r="D26745" s="9"/>
      <c r="G26745" s="9"/>
      <c r="J26745" s="11"/>
      <c r="U26745" s="9"/>
      <c r="X26745" s="9"/>
    </row>
    <row r="26746">
      <c r="D26746" s="9"/>
      <c r="G26746" s="9"/>
      <c r="J26746" s="11"/>
      <c r="U26746" s="9"/>
      <c r="X26746" s="9"/>
    </row>
    <row r="26747">
      <c r="D26747" s="9"/>
      <c r="G26747" s="9"/>
      <c r="J26747" s="11"/>
      <c r="U26747" s="9"/>
      <c r="X26747" s="9"/>
    </row>
    <row r="26748">
      <c r="D26748" s="9"/>
      <c r="G26748" s="9"/>
      <c r="J26748" s="11"/>
      <c r="U26748" s="9"/>
      <c r="X26748" s="9"/>
    </row>
    <row r="26749">
      <c r="D26749" s="9"/>
      <c r="G26749" s="9"/>
      <c r="J26749" s="11"/>
      <c r="U26749" s="9"/>
      <c r="X26749" s="9"/>
    </row>
    <row r="26750">
      <c r="D26750" s="9"/>
      <c r="G26750" s="9"/>
      <c r="J26750" s="11"/>
      <c r="U26750" s="9"/>
      <c r="X26750" s="9"/>
    </row>
    <row r="26751">
      <c r="D26751" s="9"/>
      <c r="G26751" s="9"/>
      <c r="J26751" s="11"/>
      <c r="U26751" s="9"/>
      <c r="X26751" s="9"/>
    </row>
    <row r="26752">
      <c r="D26752" s="9"/>
      <c r="G26752" s="9"/>
      <c r="J26752" s="11"/>
      <c r="U26752" s="9"/>
      <c r="X26752" s="9"/>
    </row>
    <row r="26753">
      <c r="D26753" s="9"/>
      <c r="G26753" s="9"/>
      <c r="J26753" s="11"/>
      <c r="U26753" s="9"/>
      <c r="X26753" s="9"/>
    </row>
    <row r="26754">
      <c r="D26754" s="9"/>
      <c r="G26754" s="9"/>
      <c r="J26754" s="11"/>
      <c r="U26754" s="9"/>
      <c r="X26754" s="9"/>
    </row>
    <row r="26755">
      <c r="D26755" s="9"/>
      <c r="G26755" s="9"/>
      <c r="J26755" s="11"/>
      <c r="U26755" s="9"/>
      <c r="X26755" s="9"/>
    </row>
    <row r="26756">
      <c r="D26756" s="9"/>
      <c r="G26756" s="9"/>
      <c r="J26756" s="11"/>
      <c r="U26756" s="9"/>
      <c r="X26756" s="9"/>
    </row>
    <row r="26757">
      <c r="D26757" s="9"/>
      <c r="G26757" s="9"/>
      <c r="J26757" s="11"/>
      <c r="U26757" s="9"/>
      <c r="X26757" s="9"/>
    </row>
    <row r="26758">
      <c r="D26758" s="9"/>
      <c r="G26758" s="9"/>
      <c r="J26758" s="11"/>
      <c r="U26758" s="9"/>
      <c r="X26758" s="9"/>
    </row>
    <row r="26759">
      <c r="D26759" s="9"/>
      <c r="G26759" s="9"/>
      <c r="J26759" s="11"/>
      <c r="U26759" s="9"/>
      <c r="X26759" s="9"/>
    </row>
    <row r="26760">
      <c r="D26760" s="9"/>
      <c r="G26760" s="9"/>
      <c r="J26760" s="11"/>
      <c r="U26760" s="9"/>
      <c r="X26760" s="9"/>
    </row>
    <row r="26761">
      <c r="D26761" s="9"/>
      <c r="G26761" s="9"/>
      <c r="J26761" s="11"/>
      <c r="U26761" s="9"/>
      <c r="X26761" s="9"/>
    </row>
    <row r="26762">
      <c r="D26762" s="9"/>
      <c r="G26762" s="9"/>
      <c r="J26762" s="11"/>
      <c r="U26762" s="9"/>
      <c r="X26762" s="9"/>
    </row>
    <row r="26763">
      <c r="D26763" s="9"/>
      <c r="G26763" s="9"/>
      <c r="J26763" s="11"/>
      <c r="U26763" s="9"/>
      <c r="X26763" s="9"/>
    </row>
    <row r="26764">
      <c r="D26764" s="9"/>
      <c r="G26764" s="9"/>
      <c r="J26764" s="11"/>
      <c r="U26764" s="9"/>
      <c r="X26764" s="9"/>
    </row>
    <row r="26765">
      <c r="D26765" s="9"/>
      <c r="G26765" s="9"/>
      <c r="J26765" s="11"/>
      <c r="U26765" s="9"/>
      <c r="X26765" s="9"/>
    </row>
    <row r="26766">
      <c r="D26766" s="9"/>
      <c r="G26766" s="9"/>
      <c r="J26766" s="11"/>
      <c r="U26766" s="9"/>
      <c r="X26766" s="9"/>
    </row>
    <row r="26767">
      <c r="D26767" s="9"/>
      <c r="G26767" s="9"/>
      <c r="J26767" s="11"/>
      <c r="U26767" s="9"/>
      <c r="X26767" s="9"/>
    </row>
    <row r="26768">
      <c r="D26768" s="9"/>
      <c r="G26768" s="9"/>
      <c r="J26768" s="11"/>
      <c r="U26768" s="9"/>
      <c r="X26768" s="9"/>
    </row>
    <row r="26769">
      <c r="D26769" s="9"/>
      <c r="G26769" s="9"/>
      <c r="J26769" s="11"/>
      <c r="U26769" s="9"/>
      <c r="X26769" s="9"/>
    </row>
    <row r="26770">
      <c r="D26770" s="9"/>
      <c r="G26770" s="9"/>
      <c r="J26770" s="11"/>
      <c r="U26770" s="9"/>
      <c r="X26770" s="9"/>
    </row>
    <row r="26771">
      <c r="D26771" s="9"/>
      <c r="G26771" s="9"/>
      <c r="J26771" s="11"/>
      <c r="U26771" s="9"/>
      <c r="X26771" s="9"/>
    </row>
    <row r="26772">
      <c r="D26772" s="9"/>
      <c r="G26772" s="9"/>
      <c r="J26772" s="11"/>
      <c r="U26772" s="9"/>
      <c r="X26772" s="9"/>
    </row>
    <row r="26773">
      <c r="D26773" s="9"/>
      <c r="G26773" s="9"/>
      <c r="J26773" s="11"/>
      <c r="U26773" s="9"/>
      <c r="X26773" s="9"/>
    </row>
    <row r="26774">
      <c r="D26774" s="9"/>
      <c r="G26774" s="9"/>
      <c r="J26774" s="11"/>
      <c r="U26774" s="9"/>
      <c r="X26774" s="9"/>
    </row>
    <row r="26775">
      <c r="D26775" s="9"/>
      <c r="G26775" s="9"/>
      <c r="J26775" s="11"/>
      <c r="U26775" s="9"/>
      <c r="X26775" s="9"/>
    </row>
    <row r="26776">
      <c r="D26776" s="9"/>
      <c r="G26776" s="9"/>
      <c r="J26776" s="11"/>
      <c r="U26776" s="9"/>
      <c r="X26776" s="9"/>
    </row>
    <row r="26777">
      <c r="D26777" s="9"/>
      <c r="G26777" s="9"/>
      <c r="J26777" s="11"/>
      <c r="U26777" s="9"/>
      <c r="X26777" s="9"/>
    </row>
    <row r="26778">
      <c r="D26778" s="9"/>
      <c r="G26778" s="9"/>
      <c r="J26778" s="11"/>
      <c r="U26778" s="9"/>
      <c r="X26778" s="9"/>
    </row>
    <row r="26779">
      <c r="D26779" s="9"/>
      <c r="G26779" s="9"/>
      <c r="J26779" s="11"/>
      <c r="U26779" s="9"/>
      <c r="X26779" s="9"/>
    </row>
    <row r="26780">
      <c r="D26780" s="9"/>
      <c r="G26780" s="9"/>
      <c r="J26780" s="11"/>
      <c r="U26780" s="9"/>
      <c r="X26780" s="9"/>
    </row>
    <row r="26781">
      <c r="D26781" s="9"/>
      <c r="G26781" s="9"/>
      <c r="J26781" s="11"/>
      <c r="U26781" s="9"/>
      <c r="X26781" s="9"/>
    </row>
    <row r="26782">
      <c r="D26782" s="9"/>
      <c r="G26782" s="9"/>
      <c r="J26782" s="11"/>
      <c r="U26782" s="9"/>
      <c r="X26782" s="9"/>
    </row>
    <row r="26783">
      <c r="D26783" s="9"/>
      <c r="G26783" s="9"/>
      <c r="J26783" s="11"/>
      <c r="U26783" s="9"/>
      <c r="X26783" s="9"/>
    </row>
    <row r="26784">
      <c r="D26784" s="9"/>
      <c r="G26784" s="9"/>
      <c r="J26784" s="11"/>
      <c r="U26784" s="9"/>
      <c r="X26784" s="9"/>
    </row>
    <row r="26785">
      <c r="D26785" s="9"/>
      <c r="G26785" s="9"/>
      <c r="J26785" s="11"/>
      <c r="U26785" s="9"/>
      <c r="X26785" s="9"/>
    </row>
    <row r="26786">
      <c r="D26786" s="9"/>
      <c r="G26786" s="9"/>
      <c r="J26786" s="11"/>
      <c r="U26786" s="9"/>
      <c r="X26786" s="9"/>
    </row>
    <row r="26787">
      <c r="D26787" s="9"/>
      <c r="G26787" s="9"/>
      <c r="J26787" s="11"/>
      <c r="U26787" s="9"/>
      <c r="X26787" s="9"/>
    </row>
    <row r="26788">
      <c r="D26788" s="9"/>
      <c r="G26788" s="9"/>
      <c r="J26788" s="11"/>
      <c r="U26788" s="9"/>
      <c r="X26788" s="9"/>
    </row>
    <row r="26789">
      <c r="D26789" s="9"/>
      <c r="G26789" s="9"/>
      <c r="J26789" s="11"/>
      <c r="U26789" s="9"/>
      <c r="X26789" s="9"/>
    </row>
    <row r="26790">
      <c r="D26790" s="9"/>
      <c r="G26790" s="9"/>
      <c r="J26790" s="11"/>
      <c r="U26790" s="9"/>
      <c r="X26790" s="9"/>
    </row>
    <row r="26791">
      <c r="D26791" s="9"/>
      <c r="G26791" s="9"/>
      <c r="J26791" s="11"/>
      <c r="U26791" s="9"/>
      <c r="X26791" s="9"/>
    </row>
    <row r="26792">
      <c r="D26792" s="9"/>
      <c r="G26792" s="9"/>
      <c r="J26792" s="11"/>
      <c r="U26792" s="9"/>
      <c r="X26792" s="9"/>
    </row>
    <row r="26793">
      <c r="D26793" s="9"/>
      <c r="G26793" s="9"/>
      <c r="J26793" s="11"/>
      <c r="U26793" s="9"/>
      <c r="X26793" s="9"/>
    </row>
    <row r="26794">
      <c r="D26794" s="9"/>
      <c r="G26794" s="9"/>
      <c r="J26794" s="11"/>
      <c r="U26794" s="9"/>
      <c r="X26794" s="9"/>
    </row>
    <row r="26795">
      <c r="D26795" s="9"/>
      <c r="G26795" s="9"/>
      <c r="J26795" s="11"/>
      <c r="U26795" s="9"/>
      <c r="X26795" s="9"/>
    </row>
    <row r="26796">
      <c r="D26796" s="9"/>
      <c r="G26796" s="9"/>
      <c r="J26796" s="11"/>
      <c r="U26796" s="9"/>
      <c r="X26796" s="9"/>
    </row>
    <row r="26797">
      <c r="D26797" s="9"/>
      <c r="G26797" s="9"/>
      <c r="J26797" s="11"/>
      <c r="U26797" s="9"/>
      <c r="X26797" s="9"/>
    </row>
    <row r="26798">
      <c r="D26798" s="9"/>
      <c r="G26798" s="9"/>
      <c r="J26798" s="11"/>
      <c r="U26798" s="9"/>
      <c r="X26798" s="9"/>
    </row>
    <row r="26799">
      <c r="D26799" s="9"/>
      <c r="G26799" s="9"/>
      <c r="J26799" s="11"/>
      <c r="U26799" s="9"/>
      <c r="X26799" s="9"/>
    </row>
    <row r="26800">
      <c r="D26800" s="9"/>
      <c r="G26800" s="9"/>
      <c r="J26800" s="11"/>
      <c r="U26800" s="9"/>
      <c r="X26800" s="9"/>
    </row>
    <row r="26801">
      <c r="D26801" s="9"/>
      <c r="G26801" s="9"/>
      <c r="J26801" s="11"/>
      <c r="U26801" s="9"/>
      <c r="X26801" s="9"/>
    </row>
    <row r="26802">
      <c r="D26802" s="9"/>
      <c r="G26802" s="9"/>
      <c r="J26802" s="11"/>
      <c r="U26802" s="9"/>
      <c r="X26802" s="9"/>
    </row>
    <row r="26803">
      <c r="D26803" s="9"/>
      <c r="G26803" s="9"/>
      <c r="J26803" s="11"/>
      <c r="U26803" s="9"/>
      <c r="X26803" s="9"/>
    </row>
    <row r="26804">
      <c r="D26804" s="9"/>
      <c r="G26804" s="9"/>
      <c r="J26804" s="11"/>
      <c r="U26804" s="9"/>
      <c r="X26804" s="9"/>
    </row>
    <row r="26805">
      <c r="D26805" s="9"/>
      <c r="G26805" s="9"/>
      <c r="J26805" s="11"/>
      <c r="U26805" s="9"/>
      <c r="X26805" s="9"/>
    </row>
    <row r="26806">
      <c r="D26806" s="9"/>
      <c r="G26806" s="9"/>
      <c r="J26806" s="11"/>
      <c r="U26806" s="9"/>
      <c r="X26806" s="9"/>
    </row>
    <row r="26807">
      <c r="D26807" s="9"/>
      <c r="G26807" s="9"/>
      <c r="J26807" s="11"/>
      <c r="U26807" s="9"/>
      <c r="X26807" s="9"/>
    </row>
    <row r="26808">
      <c r="D26808" s="9"/>
      <c r="G26808" s="9"/>
      <c r="J26808" s="11"/>
      <c r="U26808" s="9"/>
      <c r="X26808" s="9"/>
    </row>
    <row r="26809">
      <c r="D26809" s="9"/>
      <c r="G26809" s="9"/>
      <c r="J26809" s="11"/>
      <c r="U26809" s="9"/>
      <c r="X26809" s="9"/>
    </row>
    <row r="26810">
      <c r="D26810" s="9"/>
      <c r="G26810" s="9"/>
      <c r="J26810" s="11"/>
      <c r="U26810" s="9"/>
      <c r="X26810" s="9"/>
    </row>
    <row r="26811">
      <c r="D26811" s="9"/>
      <c r="G26811" s="9"/>
      <c r="J26811" s="11"/>
      <c r="U26811" s="9"/>
      <c r="X26811" s="9"/>
    </row>
    <row r="26812">
      <c r="D26812" s="9"/>
      <c r="G26812" s="9"/>
      <c r="J26812" s="11"/>
      <c r="U26812" s="9"/>
      <c r="X26812" s="9"/>
    </row>
    <row r="26813">
      <c r="D26813" s="9"/>
      <c r="G26813" s="9"/>
      <c r="J26813" s="11"/>
      <c r="U26813" s="9"/>
      <c r="X26813" s="9"/>
    </row>
    <row r="26814">
      <c r="D26814" s="9"/>
      <c r="G26814" s="9"/>
      <c r="J26814" s="11"/>
      <c r="U26814" s="9"/>
      <c r="X26814" s="9"/>
    </row>
    <row r="26815">
      <c r="D26815" s="9"/>
      <c r="G26815" s="9"/>
      <c r="J26815" s="11"/>
      <c r="U26815" s="9"/>
      <c r="X26815" s="9"/>
    </row>
    <row r="26816">
      <c r="D26816" s="9"/>
      <c r="G26816" s="9"/>
      <c r="J26816" s="11"/>
      <c r="U26816" s="9"/>
      <c r="X26816" s="9"/>
    </row>
    <row r="26817">
      <c r="D26817" s="9"/>
      <c r="G26817" s="9"/>
      <c r="J26817" s="11"/>
      <c r="U26817" s="9"/>
      <c r="X26817" s="9"/>
    </row>
    <row r="26818">
      <c r="D26818" s="9"/>
      <c r="G26818" s="9"/>
      <c r="J26818" s="11"/>
      <c r="U26818" s="9"/>
      <c r="X26818" s="9"/>
    </row>
    <row r="26819">
      <c r="D26819" s="9"/>
      <c r="G26819" s="9"/>
      <c r="J26819" s="11"/>
      <c r="U26819" s="9"/>
      <c r="X26819" s="9"/>
    </row>
    <row r="26820">
      <c r="D26820" s="9"/>
      <c r="G26820" s="9"/>
      <c r="J26820" s="11"/>
      <c r="U26820" s="9"/>
      <c r="X26820" s="9"/>
    </row>
    <row r="26821">
      <c r="D26821" s="9"/>
      <c r="G26821" s="9"/>
      <c r="J26821" s="11"/>
      <c r="U26821" s="9"/>
      <c r="X26821" s="9"/>
    </row>
    <row r="26822">
      <c r="D26822" s="9"/>
      <c r="G26822" s="9"/>
      <c r="J26822" s="11"/>
      <c r="U26822" s="9"/>
      <c r="X26822" s="9"/>
    </row>
    <row r="26823">
      <c r="D26823" s="9"/>
      <c r="G26823" s="9"/>
      <c r="J26823" s="11"/>
      <c r="U26823" s="9"/>
      <c r="X26823" s="9"/>
    </row>
    <row r="26824">
      <c r="D26824" s="9"/>
      <c r="G26824" s="9"/>
      <c r="J26824" s="11"/>
      <c r="U26824" s="9"/>
      <c r="X26824" s="9"/>
    </row>
    <row r="26825">
      <c r="D26825" s="9"/>
      <c r="G26825" s="9"/>
      <c r="J26825" s="11"/>
      <c r="U26825" s="9"/>
      <c r="X26825" s="9"/>
    </row>
    <row r="26826">
      <c r="D26826" s="9"/>
      <c r="G26826" s="9"/>
      <c r="J26826" s="11"/>
      <c r="U26826" s="9"/>
      <c r="X26826" s="9"/>
    </row>
    <row r="26827">
      <c r="D26827" s="9"/>
      <c r="G26827" s="9"/>
      <c r="J26827" s="11"/>
      <c r="U26827" s="9"/>
      <c r="X26827" s="9"/>
    </row>
    <row r="26828">
      <c r="D26828" s="9"/>
      <c r="G26828" s="9"/>
      <c r="J26828" s="11"/>
      <c r="U26828" s="9"/>
      <c r="X26828" s="9"/>
    </row>
    <row r="26829">
      <c r="D26829" s="9"/>
      <c r="G26829" s="9"/>
      <c r="J26829" s="11"/>
      <c r="U26829" s="9"/>
      <c r="X26829" s="9"/>
    </row>
    <row r="26830">
      <c r="D26830" s="9"/>
      <c r="G26830" s="9"/>
      <c r="J26830" s="11"/>
      <c r="U26830" s="9"/>
      <c r="X26830" s="9"/>
    </row>
    <row r="26831">
      <c r="D26831" s="9"/>
      <c r="G26831" s="9"/>
      <c r="J26831" s="11"/>
      <c r="U26831" s="9"/>
      <c r="X26831" s="9"/>
    </row>
    <row r="26832">
      <c r="D26832" s="9"/>
      <c r="G26832" s="9"/>
      <c r="J26832" s="11"/>
      <c r="U26832" s="9"/>
      <c r="X26832" s="9"/>
    </row>
    <row r="26833">
      <c r="D26833" s="9"/>
      <c r="G26833" s="9"/>
      <c r="J26833" s="11"/>
      <c r="U26833" s="9"/>
      <c r="X26833" s="9"/>
    </row>
    <row r="26834">
      <c r="D26834" s="9"/>
      <c r="G26834" s="9"/>
      <c r="J26834" s="11"/>
      <c r="U26834" s="9"/>
      <c r="X26834" s="9"/>
    </row>
    <row r="26835">
      <c r="D26835" s="9"/>
      <c r="G26835" s="9"/>
      <c r="J26835" s="11"/>
      <c r="U26835" s="9"/>
      <c r="X26835" s="9"/>
    </row>
    <row r="26836">
      <c r="D26836" s="9"/>
      <c r="G26836" s="9"/>
      <c r="J26836" s="11"/>
      <c r="U26836" s="9"/>
      <c r="X26836" s="9"/>
    </row>
    <row r="26837">
      <c r="D26837" s="9"/>
      <c r="G26837" s="9"/>
      <c r="J26837" s="11"/>
      <c r="U26837" s="9"/>
      <c r="X26837" s="9"/>
    </row>
    <row r="26838">
      <c r="D26838" s="9"/>
      <c r="G26838" s="9"/>
      <c r="J26838" s="11"/>
      <c r="U26838" s="9"/>
      <c r="X26838" s="9"/>
    </row>
    <row r="26839">
      <c r="D26839" s="9"/>
      <c r="G26839" s="9"/>
      <c r="J26839" s="11"/>
      <c r="U26839" s="9"/>
      <c r="X26839" s="9"/>
    </row>
    <row r="26840">
      <c r="D26840" s="9"/>
      <c r="G26840" s="9"/>
      <c r="J26840" s="11"/>
      <c r="U26840" s="9"/>
      <c r="X26840" s="9"/>
    </row>
    <row r="26841">
      <c r="D26841" s="9"/>
      <c r="G26841" s="9"/>
      <c r="J26841" s="11"/>
      <c r="U26841" s="9"/>
      <c r="X26841" s="9"/>
    </row>
    <row r="26842">
      <c r="D26842" s="9"/>
      <c r="G26842" s="9"/>
      <c r="J26842" s="11"/>
      <c r="U26842" s="9"/>
      <c r="X26842" s="9"/>
    </row>
    <row r="26843">
      <c r="D26843" s="9"/>
      <c r="G26843" s="9"/>
      <c r="J26843" s="11"/>
      <c r="U26843" s="9"/>
      <c r="X26843" s="9"/>
    </row>
    <row r="26844">
      <c r="D26844" s="9"/>
      <c r="G26844" s="9"/>
      <c r="J26844" s="11"/>
      <c r="U26844" s="9"/>
      <c r="X26844" s="9"/>
    </row>
    <row r="26845">
      <c r="D26845" s="9"/>
      <c r="G26845" s="9"/>
      <c r="J26845" s="11"/>
      <c r="U26845" s="9"/>
      <c r="X26845" s="9"/>
    </row>
    <row r="26846">
      <c r="D26846" s="9"/>
      <c r="G26846" s="9"/>
      <c r="J26846" s="11"/>
      <c r="U26846" s="9"/>
      <c r="X26846" s="9"/>
    </row>
    <row r="26847">
      <c r="D26847" s="9"/>
      <c r="G26847" s="9"/>
      <c r="J26847" s="11"/>
      <c r="U26847" s="9"/>
      <c r="X26847" s="9"/>
    </row>
    <row r="26848">
      <c r="D26848" s="9"/>
      <c r="G26848" s="9"/>
      <c r="J26848" s="11"/>
      <c r="U26848" s="9"/>
      <c r="X26848" s="9"/>
    </row>
    <row r="26849">
      <c r="D26849" s="9"/>
      <c r="G26849" s="9"/>
      <c r="J26849" s="11"/>
      <c r="U26849" s="9"/>
      <c r="X26849" s="9"/>
    </row>
    <row r="26850">
      <c r="D26850" s="9"/>
      <c r="G26850" s="9"/>
      <c r="J26850" s="11"/>
      <c r="U26850" s="9"/>
      <c r="X26850" s="9"/>
    </row>
    <row r="26851">
      <c r="D26851" s="9"/>
      <c r="G26851" s="9"/>
      <c r="J26851" s="11"/>
      <c r="U26851" s="9"/>
      <c r="X26851" s="9"/>
    </row>
    <row r="26852">
      <c r="D26852" s="9"/>
      <c r="G26852" s="9"/>
      <c r="J26852" s="11"/>
      <c r="U26852" s="9"/>
      <c r="X26852" s="9"/>
    </row>
    <row r="26853">
      <c r="D26853" s="9"/>
      <c r="G26853" s="9"/>
      <c r="J26853" s="11"/>
      <c r="U26853" s="9"/>
      <c r="X26853" s="9"/>
    </row>
    <row r="26854">
      <c r="D26854" s="9"/>
      <c r="G26854" s="9"/>
      <c r="J26854" s="11"/>
      <c r="U26854" s="9"/>
      <c r="X26854" s="9"/>
    </row>
    <row r="26855">
      <c r="D26855" s="9"/>
      <c r="G26855" s="9"/>
      <c r="J26855" s="11"/>
      <c r="U26855" s="9"/>
      <c r="X26855" s="9"/>
    </row>
    <row r="26856">
      <c r="D26856" s="9"/>
      <c r="G26856" s="9"/>
      <c r="J26856" s="11"/>
      <c r="U26856" s="9"/>
      <c r="X26856" s="9"/>
    </row>
    <row r="26857">
      <c r="D26857" s="9"/>
      <c r="G26857" s="9"/>
      <c r="J26857" s="11"/>
      <c r="U26857" s="9"/>
      <c r="X26857" s="9"/>
    </row>
    <row r="26858">
      <c r="D26858" s="9"/>
      <c r="G26858" s="9"/>
      <c r="J26858" s="11"/>
      <c r="U26858" s="9"/>
      <c r="X26858" s="9"/>
    </row>
    <row r="26859">
      <c r="D26859" s="9"/>
      <c r="G26859" s="9"/>
      <c r="J26859" s="11"/>
      <c r="U26859" s="9"/>
      <c r="X26859" s="9"/>
    </row>
    <row r="26860">
      <c r="D26860" s="9"/>
      <c r="G26860" s="9"/>
      <c r="J26860" s="11"/>
      <c r="U26860" s="9"/>
      <c r="X26860" s="9"/>
    </row>
    <row r="26861">
      <c r="D26861" s="9"/>
      <c r="G26861" s="9"/>
      <c r="J26861" s="11"/>
      <c r="U26861" s="9"/>
      <c r="X26861" s="9"/>
    </row>
    <row r="26862">
      <c r="D26862" s="9"/>
      <c r="G26862" s="9"/>
      <c r="J26862" s="11"/>
      <c r="U26862" s="9"/>
      <c r="X26862" s="9"/>
    </row>
    <row r="26863">
      <c r="D26863" s="9"/>
      <c r="G26863" s="9"/>
      <c r="J26863" s="11"/>
      <c r="U26863" s="9"/>
      <c r="X26863" s="9"/>
    </row>
    <row r="26864">
      <c r="D26864" s="9"/>
      <c r="G26864" s="9"/>
      <c r="J26864" s="11"/>
      <c r="U26864" s="9"/>
      <c r="X26864" s="9"/>
    </row>
    <row r="26865">
      <c r="D26865" s="9"/>
      <c r="G26865" s="9"/>
      <c r="J26865" s="11"/>
      <c r="U26865" s="9"/>
      <c r="X26865" s="9"/>
    </row>
    <row r="26866">
      <c r="D26866" s="9"/>
      <c r="G26866" s="9"/>
      <c r="J26866" s="11"/>
      <c r="U26866" s="9"/>
      <c r="X26866" s="9"/>
    </row>
    <row r="26867">
      <c r="D26867" s="9"/>
      <c r="G26867" s="9"/>
      <c r="J26867" s="11"/>
      <c r="U26867" s="9"/>
      <c r="X26867" s="9"/>
    </row>
    <row r="26868">
      <c r="D26868" s="9"/>
      <c r="G26868" s="9"/>
      <c r="J26868" s="11"/>
      <c r="U26868" s="9"/>
      <c r="X26868" s="9"/>
    </row>
    <row r="26869">
      <c r="D26869" s="9"/>
      <c r="G26869" s="9"/>
      <c r="J26869" s="11"/>
      <c r="U26869" s="9"/>
      <c r="X26869" s="9"/>
    </row>
    <row r="26870">
      <c r="D26870" s="9"/>
      <c r="G26870" s="9"/>
      <c r="J26870" s="11"/>
      <c r="U26870" s="9"/>
      <c r="X26870" s="9"/>
    </row>
    <row r="26871">
      <c r="D26871" s="9"/>
      <c r="G26871" s="9"/>
      <c r="J26871" s="11"/>
      <c r="U26871" s="9"/>
      <c r="X26871" s="9"/>
    </row>
    <row r="26872">
      <c r="D26872" s="9"/>
      <c r="G26872" s="9"/>
      <c r="J26872" s="11"/>
      <c r="U26872" s="9"/>
      <c r="X26872" s="9"/>
    </row>
    <row r="26873">
      <c r="D26873" s="9"/>
      <c r="G26873" s="9"/>
      <c r="J26873" s="11"/>
      <c r="U26873" s="9"/>
      <c r="X26873" s="9"/>
    </row>
    <row r="26874">
      <c r="D26874" s="9"/>
      <c r="G26874" s="9"/>
      <c r="J26874" s="11"/>
      <c r="U26874" s="9"/>
      <c r="X26874" s="9"/>
    </row>
    <row r="26875">
      <c r="D26875" s="9"/>
      <c r="G26875" s="9"/>
      <c r="J26875" s="11"/>
      <c r="U26875" s="9"/>
      <c r="X26875" s="9"/>
    </row>
    <row r="26876">
      <c r="D26876" s="9"/>
      <c r="G26876" s="9"/>
      <c r="J26876" s="11"/>
      <c r="U26876" s="9"/>
      <c r="X26876" s="9"/>
    </row>
    <row r="26877">
      <c r="D26877" s="9"/>
      <c r="G26877" s="9"/>
      <c r="J26877" s="11"/>
      <c r="U26877" s="9"/>
      <c r="X26877" s="9"/>
    </row>
    <row r="26878">
      <c r="D26878" s="9"/>
      <c r="G26878" s="9"/>
      <c r="J26878" s="11"/>
      <c r="U26878" s="9"/>
      <c r="X26878" s="9"/>
    </row>
    <row r="26879">
      <c r="D26879" s="9"/>
      <c r="G26879" s="9"/>
      <c r="J26879" s="11"/>
      <c r="U26879" s="9"/>
      <c r="X26879" s="9"/>
    </row>
    <row r="26880">
      <c r="D26880" s="9"/>
      <c r="G26880" s="9"/>
      <c r="J26880" s="11"/>
      <c r="U26880" s="9"/>
      <c r="X26880" s="9"/>
    </row>
    <row r="26881">
      <c r="D26881" s="9"/>
      <c r="G26881" s="9"/>
      <c r="J26881" s="11"/>
      <c r="U26881" s="9"/>
      <c r="X26881" s="9"/>
    </row>
    <row r="26882">
      <c r="D26882" s="9"/>
      <c r="G26882" s="9"/>
      <c r="J26882" s="11"/>
      <c r="U26882" s="9"/>
      <c r="X26882" s="9"/>
    </row>
    <row r="26883">
      <c r="D26883" s="9"/>
      <c r="G26883" s="9"/>
      <c r="J26883" s="11"/>
      <c r="U26883" s="9"/>
      <c r="X26883" s="9"/>
    </row>
    <row r="26884">
      <c r="D26884" s="9"/>
      <c r="G26884" s="9"/>
      <c r="J26884" s="11"/>
      <c r="U26884" s="9"/>
      <c r="X26884" s="9"/>
    </row>
    <row r="26885">
      <c r="D26885" s="9"/>
      <c r="G26885" s="9"/>
      <c r="J26885" s="11"/>
      <c r="U26885" s="9"/>
      <c r="X26885" s="9"/>
    </row>
    <row r="26886">
      <c r="D26886" s="9"/>
      <c r="G26886" s="9"/>
      <c r="J26886" s="11"/>
      <c r="U26886" s="9"/>
      <c r="X26886" s="9"/>
    </row>
    <row r="26887">
      <c r="D26887" s="9"/>
      <c r="G26887" s="9"/>
      <c r="J26887" s="11"/>
      <c r="U26887" s="9"/>
      <c r="X26887" s="9"/>
    </row>
    <row r="26888">
      <c r="D26888" s="9"/>
      <c r="G26888" s="9"/>
      <c r="J26888" s="11"/>
      <c r="U26888" s="9"/>
      <c r="X26888" s="9"/>
    </row>
    <row r="26889">
      <c r="D26889" s="9"/>
      <c r="G26889" s="9"/>
      <c r="J26889" s="11"/>
      <c r="U26889" s="9"/>
      <c r="X26889" s="9"/>
    </row>
    <row r="26890">
      <c r="D26890" s="9"/>
      <c r="G26890" s="9"/>
      <c r="J26890" s="11"/>
      <c r="U26890" s="9"/>
      <c r="X26890" s="9"/>
    </row>
    <row r="26891">
      <c r="D26891" s="9"/>
      <c r="G26891" s="9"/>
      <c r="J26891" s="11"/>
      <c r="U26891" s="9"/>
      <c r="X26891" s="9"/>
    </row>
    <row r="26892">
      <c r="D26892" s="9"/>
      <c r="G26892" s="9"/>
      <c r="J26892" s="11"/>
      <c r="U26892" s="9"/>
      <c r="X26892" s="9"/>
    </row>
    <row r="26893">
      <c r="D26893" s="9"/>
      <c r="G26893" s="9"/>
      <c r="J26893" s="11"/>
      <c r="U26893" s="9"/>
      <c r="X26893" s="9"/>
    </row>
    <row r="26894">
      <c r="D26894" s="9"/>
      <c r="G26894" s="9"/>
      <c r="J26894" s="11"/>
      <c r="U26894" s="9"/>
      <c r="X26894" s="9"/>
    </row>
    <row r="26895">
      <c r="D26895" s="9"/>
      <c r="G26895" s="9"/>
      <c r="J26895" s="11"/>
      <c r="U26895" s="9"/>
      <c r="X26895" s="9"/>
    </row>
    <row r="26896">
      <c r="D26896" s="9"/>
      <c r="G26896" s="9"/>
      <c r="J26896" s="11"/>
      <c r="U26896" s="9"/>
      <c r="X26896" s="9"/>
    </row>
    <row r="26897">
      <c r="D26897" s="9"/>
      <c r="G26897" s="9"/>
      <c r="J26897" s="11"/>
      <c r="U26897" s="9"/>
      <c r="X26897" s="9"/>
    </row>
    <row r="26898">
      <c r="D26898" s="9"/>
      <c r="G26898" s="9"/>
      <c r="J26898" s="11"/>
      <c r="U26898" s="9"/>
      <c r="X26898" s="9"/>
    </row>
    <row r="26899">
      <c r="D26899" s="9"/>
      <c r="G26899" s="9"/>
      <c r="J26899" s="11"/>
      <c r="U26899" s="9"/>
      <c r="X26899" s="9"/>
    </row>
    <row r="26900">
      <c r="D26900" s="9"/>
      <c r="G26900" s="9"/>
      <c r="J26900" s="11"/>
      <c r="U26900" s="9"/>
      <c r="X26900" s="9"/>
    </row>
    <row r="26901">
      <c r="D26901" s="9"/>
      <c r="G26901" s="9"/>
      <c r="J26901" s="11"/>
      <c r="U26901" s="9"/>
      <c r="X26901" s="9"/>
    </row>
    <row r="26902">
      <c r="D26902" s="9"/>
      <c r="G26902" s="9"/>
      <c r="J26902" s="11"/>
      <c r="U26902" s="9"/>
      <c r="X26902" s="9"/>
    </row>
    <row r="26903">
      <c r="D26903" s="9"/>
      <c r="G26903" s="9"/>
      <c r="J26903" s="11"/>
      <c r="U26903" s="9"/>
      <c r="X26903" s="9"/>
    </row>
    <row r="26904">
      <c r="D26904" s="9"/>
      <c r="G26904" s="9"/>
      <c r="J26904" s="11"/>
      <c r="U26904" s="9"/>
      <c r="X26904" s="9"/>
    </row>
    <row r="26905">
      <c r="D26905" s="9"/>
      <c r="G26905" s="9"/>
      <c r="J26905" s="11"/>
      <c r="U26905" s="9"/>
      <c r="X26905" s="9"/>
    </row>
    <row r="26906">
      <c r="D26906" s="9"/>
      <c r="G26906" s="9"/>
      <c r="J26906" s="11"/>
      <c r="U26906" s="9"/>
      <c r="X26906" s="9"/>
    </row>
    <row r="26907">
      <c r="D26907" s="9"/>
      <c r="G26907" s="9"/>
      <c r="J26907" s="11"/>
      <c r="U26907" s="9"/>
      <c r="X26907" s="9"/>
    </row>
    <row r="26908">
      <c r="D26908" s="9"/>
      <c r="G26908" s="9"/>
      <c r="J26908" s="11"/>
      <c r="U26908" s="9"/>
      <c r="X26908" s="9"/>
    </row>
    <row r="26909">
      <c r="D26909" s="9"/>
      <c r="G26909" s="9"/>
      <c r="J26909" s="11"/>
      <c r="U26909" s="9"/>
      <c r="X26909" s="9"/>
    </row>
    <row r="26910">
      <c r="D26910" s="9"/>
      <c r="G26910" s="9"/>
      <c r="J26910" s="11"/>
      <c r="U26910" s="9"/>
      <c r="X26910" s="9"/>
    </row>
    <row r="26911">
      <c r="D26911" s="9"/>
      <c r="G26911" s="9"/>
      <c r="J26911" s="11"/>
      <c r="U26911" s="9"/>
      <c r="X26911" s="9"/>
    </row>
    <row r="26912">
      <c r="D26912" s="9"/>
      <c r="G26912" s="9"/>
      <c r="J26912" s="11"/>
      <c r="U26912" s="9"/>
      <c r="X26912" s="9"/>
    </row>
    <row r="26913">
      <c r="D26913" s="9"/>
      <c r="G26913" s="9"/>
      <c r="J26913" s="11"/>
      <c r="U26913" s="9"/>
      <c r="X26913" s="9"/>
    </row>
    <row r="26914">
      <c r="D26914" s="9"/>
      <c r="G26914" s="9"/>
      <c r="J26914" s="11"/>
      <c r="U26914" s="9"/>
      <c r="X26914" s="9"/>
    </row>
    <row r="26915">
      <c r="D26915" s="9"/>
      <c r="G26915" s="9"/>
      <c r="J26915" s="11"/>
      <c r="U26915" s="9"/>
      <c r="X26915" s="9"/>
    </row>
    <row r="26916">
      <c r="D26916" s="9"/>
      <c r="G26916" s="9"/>
      <c r="J26916" s="11"/>
      <c r="U26916" s="9"/>
      <c r="X26916" s="9"/>
    </row>
    <row r="26917">
      <c r="D26917" s="9"/>
      <c r="G26917" s="9"/>
      <c r="J26917" s="11"/>
      <c r="U26917" s="9"/>
      <c r="X26917" s="9"/>
    </row>
    <row r="26918">
      <c r="D26918" s="9"/>
      <c r="G26918" s="9"/>
      <c r="J26918" s="11"/>
      <c r="U26918" s="9"/>
      <c r="X26918" s="9"/>
    </row>
    <row r="26919">
      <c r="D26919" s="9"/>
      <c r="G26919" s="9"/>
      <c r="J26919" s="11"/>
      <c r="U26919" s="9"/>
      <c r="X26919" s="9"/>
    </row>
    <row r="26920">
      <c r="D26920" s="9"/>
      <c r="G26920" s="9"/>
      <c r="J26920" s="11"/>
      <c r="U26920" s="9"/>
      <c r="X26920" s="9"/>
    </row>
    <row r="26921">
      <c r="D26921" s="9"/>
      <c r="G26921" s="9"/>
      <c r="J26921" s="11"/>
      <c r="U26921" s="9"/>
      <c r="X26921" s="9"/>
    </row>
    <row r="26922">
      <c r="D26922" s="9"/>
      <c r="G26922" s="9"/>
      <c r="J26922" s="11"/>
      <c r="U26922" s="9"/>
      <c r="X26922" s="9"/>
    </row>
    <row r="26923">
      <c r="D26923" s="9"/>
      <c r="G26923" s="9"/>
      <c r="J26923" s="11"/>
      <c r="U26923" s="9"/>
      <c r="X26923" s="9"/>
    </row>
    <row r="26924">
      <c r="D26924" s="9"/>
      <c r="G26924" s="9"/>
      <c r="J26924" s="11"/>
      <c r="U26924" s="9"/>
      <c r="X26924" s="9"/>
    </row>
    <row r="26925">
      <c r="D26925" s="9"/>
      <c r="G26925" s="9"/>
      <c r="J26925" s="11"/>
      <c r="U26925" s="9"/>
      <c r="X26925" s="9"/>
    </row>
    <row r="26926">
      <c r="D26926" s="9"/>
      <c r="G26926" s="9"/>
      <c r="J26926" s="11"/>
      <c r="U26926" s="9"/>
      <c r="X26926" s="9"/>
    </row>
    <row r="26927">
      <c r="D26927" s="9"/>
      <c r="G26927" s="9"/>
      <c r="J26927" s="11"/>
      <c r="U26927" s="9"/>
      <c r="X26927" s="9"/>
    </row>
    <row r="26928">
      <c r="D26928" s="9"/>
      <c r="G26928" s="9"/>
      <c r="J26928" s="11"/>
      <c r="U26928" s="9"/>
      <c r="X26928" s="9"/>
    </row>
    <row r="26929">
      <c r="D26929" s="9"/>
      <c r="G26929" s="9"/>
      <c r="J26929" s="11"/>
      <c r="U26929" s="9"/>
      <c r="X26929" s="9"/>
    </row>
    <row r="26930">
      <c r="D26930" s="9"/>
      <c r="G26930" s="9"/>
      <c r="J26930" s="11"/>
      <c r="U26930" s="9"/>
      <c r="X26930" s="9"/>
    </row>
    <row r="26931">
      <c r="D26931" s="9"/>
      <c r="G26931" s="9"/>
      <c r="J26931" s="11"/>
      <c r="U26931" s="9"/>
      <c r="X26931" s="9"/>
    </row>
    <row r="26932">
      <c r="D26932" s="9"/>
      <c r="G26932" s="9"/>
      <c r="J26932" s="11"/>
      <c r="U26932" s="9"/>
      <c r="X26932" s="9"/>
    </row>
    <row r="26933">
      <c r="D26933" s="9"/>
      <c r="G26933" s="9"/>
      <c r="J26933" s="11"/>
      <c r="U26933" s="9"/>
      <c r="X26933" s="9"/>
    </row>
    <row r="26934">
      <c r="D26934" s="9"/>
      <c r="G26934" s="9"/>
      <c r="J26934" s="11"/>
      <c r="U26934" s="9"/>
      <c r="X26934" s="9"/>
    </row>
    <row r="26935">
      <c r="D26935" s="9"/>
      <c r="G26935" s="9"/>
      <c r="J26935" s="11"/>
      <c r="U26935" s="9"/>
      <c r="X26935" s="9"/>
    </row>
    <row r="26936">
      <c r="D26936" s="9"/>
      <c r="G26936" s="9"/>
      <c r="J26936" s="11"/>
      <c r="U26936" s="9"/>
      <c r="X26936" s="9"/>
    </row>
    <row r="26937">
      <c r="D26937" s="9"/>
      <c r="G26937" s="9"/>
      <c r="J26937" s="11"/>
      <c r="U26937" s="9"/>
      <c r="X26937" s="9"/>
    </row>
    <row r="26938">
      <c r="D26938" s="9"/>
      <c r="G26938" s="9"/>
      <c r="J26938" s="11"/>
      <c r="U26938" s="9"/>
      <c r="X26938" s="9"/>
    </row>
    <row r="26939">
      <c r="D26939" s="9"/>
      <c r="G26939" s="9"/>
      <c r="J26939" s="11"/>
      <c r="U26939" s="9"/>
      <c r="X26939" s="9"/>
    </row>
    <row r="26940">
      <c r="D26940" s="9"/>
      <c r="G26940" s="9"/>
      <c r="J26940" s="11"/>
      <c r="U26940" s="9"/>
      <c r="X26940" s="9"/>
    </row>
    <row r="26941">
      <c r="D26941" s="9"/>
      <c r="G26941" s="9"/>
      <c r="J26941" s="11"/>
      <c r="U26941" s="9"/>
      <c r="X26941" s="9"/>
    </row>
    <row r="26942">
      <c r="D26942" s="9"/>
      <c r="G26942" s="9"/>
      <c r="J26942" s="11"/>
      <c r="U26942" s="9"/>
      <c r="X26942" s="9"/>
    </row>
    <row r="26943">
      <c r="D26943" s="9"/>
      <c r="G26943" s="9"/>
      <c r="J26943" s="11"/>
      <c r="U26943" s="9"/>
      <c r="X26943" s="9"/>
    </row>
    <row r="26944">
      <c r="D26944" s="9"/>
      <c r="G26944" s="9"/>
      <c r="J26944" s="11"/>
      <c r="U26944" s="9"/>
      <c r="X26944" s="9"/>
    </row>
    <row r="26945">
      <c r="D26945" s="9"/>
      <c r="G26945" s="9"/>
      <c r="J26945" s="11"/>
      <c r="U26945" s="9"/>
      <c r="X26945" s="9"/>
    </row>
    <row r="26946">
      <c r="D26946" s="9"/>
      <c r="G26946" s="9"/>
      <c r="J26946" s="11"/>
      <c r="U26946" s="9"/>
      <c r="X26946" s="9"/>
    </row>
    <row r="26947">
      <c r="D26947" s="9"/>
      <c r="G26947" s="9"/>
      <c r="J26947" s="11"/>
      <c r="U26947" s="9"/>
      <c r="X26947" s="9"/>
    </row>
    <row r="26948">
      <c r="D26948" s="9"/>
      <c r="G26948" s="9"/>
      <c r="J26948" s="11"/>
      <c r="U26948" s="9"/>
      <c r="X26948" s="9"/>
    </row>
    <row r="26949">
      <c r="D26949" s="9"/>
      <c r="G26949" s="9"/>
      <c r="J26949" s="11"/>
      <c r="U26949" s="9"/>
      <c r="X26949" s="9"/>
    </row>
    <row r="26950">
      <c r="D26950" s="9"/>
      <c r="G26950" s="9"/>
      <c r="J26950" s="11"/>
      <c r="U26950" s="9"/>
      <c r="X26950" s="9"/>
    </row>
    <row r="26951">
      <c r="D26951" s="9"/>
      <c r="G26951" s="9"/>
      <c r="J26951" s="11"/>
      <c r="U26951" s="9"/>
      <c r="X26951" s="9"/>
    </row>
    <row r="26952">
      <c r="D26952" s="9"/>
      <c r="G26952" s="9"/>
      <c r="J26952" s="11"/>
      <c r="U26952" s="9"/>
      <c r="X26952" s="9"/>
    </row>
    <row r="26953">
      <c r="D26953" s="9"/>
      <c r="G26953" s="9"/>
      <c r="J26953" s="11"/>
      <c r="U26953" s="9"/>
      <c r="X26953" s="9"/>
    </row>
    <row r="26954">
      <c r="D26954" s="9"/>
      <c r="G26954" s="9"/>
      <c r="J26954" s="11"/>
      <c r="U26954" s="9"/>
      <c r="X26954" s="9"/>
    </row>
    <row r="26955">
      <c r="D26955" s="9"/>
      <c r="G26955" s="9"/>
      <c r="J26955" s="11"/>
      <c r="U26955" s="9"/>
      <c r="X26955" s="9"/>
    </row>
    <row r="26956">
      <c r="D26956" s="9"/>
      <c r="G26956" s="9"/>
      <c r="J26956" s="11"/>
      <c r="U26956" s="9"/>
      <c r="X26956" s="9"/>
    </row>
    <row r="26957">
      <c r="D26957" s="9"/>
      <c r="G26957" s="9"/>
      <c r="J26957" s="11"/>
      <c r="U26957" s="9"/>
      <c r="X26957" s="9"/>
    </row>
    <row r="26958">
      <c r="D26958" s="9"/>
      <c r="G26958" s="9"/>
      <c r="J26958" s="11"/>
      <c r="U26958" s="9"/>
      <c r="X26958" s="9"/>
    </row>
    <row r="26959">
      <c r="D26959" s="9"/>
      <c r="G26959" s="9"/>
      <c r="J26959" s="11"/>
      <c r="U26959" s="9"/>
      <c r="X26959" s="9"/>
    </row>
    <row r="26960">
      <c r="D26960" s="9"/>
      <c r="G26960" s="9"/>
      <c r="J26960" s="11"/>
      <c r="U26960" s="9"/>
      <c r="X26960" s="9"/>
    </row>
    <row r="26961">
      <c r="D26961" s="9"/>
      <c r="G26961" s="9"/>
      <c r="J26961" s="11"/>
      <c r="U26961" s="9"/>
      <c r="X26961" s="9"/>
    </row>
    <row r="26962">
      <c r="D26962" s="9"/>
      <c r="G26962" s="9"/>
      <c r="J26962" s="11"/>
      <c r="U26962" s="9"/>
      <c r="X26962" s="9"/>
    </row>
    <row r="26963">
      <c r="D26963" s="9"/>
      <c r="G26963" s="9"/>
      <c r="J26963" s="11"/>
      <c r="U26963" s="9"/>
      <c r="X26963" s="9"/>
    </row>
    <row r="26964">
      <c r="D26964" s="9"/>
      <c r="G26964" s="9"/>
      <c r="J26964" s="11"/>
      <c r="U26964" s="9"/>
      <c r="X26964" s="9"/>
    </row>
    <row r="26965">
      <c r="D26965" s="9"/>
      <c r="G26965" s="9"/>
      <c r="J26965" s="11"/>
      <c r="U26965" s="9"/>
      <c r="X26965" s="9"/>
    </row>
    <row r="26966">
      <c r="D26966" s="9"/>
      <c r="G26966" s="9"/>
      <c r="J26966" s="11"/>
      <c r="U26966" s="9"/>
      <c r="X26966" s="9"/>
    </row>
    <row r="26967">
      <c r="D26967" s="9"/>
      <c r="G26967" s="9"/>
      <c r="J26967" s="11"/>
      <c r="U26967" s="9"/>
      <c r="X26967" s="9"/>
    </row>
    <row r="26968">
      <c r="D26968" s="9"/>
      <c r="G26968" s="9"/>
      <c r="J26968" s="11"/>
      <c r="U26968" s="9"/>
      <c r="X26968" s="9"/>
    </row>
    <row r="26969">
      <c r="D26969" s="9"/>
      <c r="G26969" s="9"/>
      <c r="J26969" s="11"/>
      <c r="U26969" s="9"/>
      <c r="X26969" s="9"/>
    </row>
    <row r="26970">
      <c r="D26970" s="9"/>
      <c r="G26970" s="9"/>
      <c r="J26970" s="11"/>
      <c r="U26970" s="9"/>
      <c r="X26970" s="9"/>
    </row>
    <row r="26971">
      <c r="D26971" s="9"/>
      <c r="G26971" s="9"/>
      <c r="J26971" s="11"/>
      <c r="U26971" s="9"/>
      <c r="X26971" s="9"/>
    </row>
    <row r="26972">
      <c r="D26972" s="9"/>
      <c r="G26972" s="9"/>
      <c r="J26972" s="11"/>
      <c r="U26972" s="9"/>
      <c r="X26972" s="9"/>
    </row>
    <row r="26973">
      <c r="D26973" s="9"/>
      <c r="G26973" s="9"/>
      <c r="J26973" s="11"/>
      <c r="U26973" s="9"/>
      <c r="X26973" s="9"/>
    </row>
    <row r="26974">
      <c r="D26974" s="9"/>
      <c r="G26974" s="9"/>
      <c r="J26974" s="11"/>
      <c r="U26974" s="9"/>
      <c r="X26974" s="9"/>
    </row>
    <row r="26975">
      <c r="D26975" s="9"/>
      <c r="G26975" s="9"/>
      <c r="J26975" s="11"/>
      <c r="U26975" s="9"/>
      <c r="X26975" s="9"/>
    </row>
    <row r="26976">
      <c r="D26976" s="9"/>
      <c r="G26976" s="9"/>
      <c r="J26976" s="11"/>
      <c r="U26976" s="9"/>
      <c r="X26976" s="9"/>
    </row>
    <row r="26977">
      <c r="D26977" s="9"/>
      <c r="G26977" s="9"/>
      <c r="J26977" s="11"/>
      <c r="U26977" s="9"/>
      <c r="X26977" s="9"/>
    </row>
    <row r="26978">
      <c r="D26978" s="9"/>
      <c r="G26978" s="9"/>
      <c r="J26978" s="11"/>
      <c r="U26978" s="9"/>
      <c r="X26978" s="9"/>
    </row>
    <row r="26979">
      <c r="D26979" s="9"/>
      <c r="G26979" s="9"/>
      <c r="J26979" s="11"/>
      <c r="U26979" s="9"/>
      <c r="X26979" s="9"/>
    </row>
    <row r="26980">
      <c r="D26980" s="9"/>
      <c r="G26980" s="9"/>
      <c r="J26980" s="11"/>
      <c r="U26980" s="9"/>
      <c r="X26980" s="9"/>
    </row>
    <row r="26981">
      <c r="D26981" s="9"/>
      <c r="G26981" s="9"/>
      <c r="J26981" s="11"/>
      <c r="U26981" s="9"/>
      <c r="X26981" s="9"/>
    </row>
    <row r="26982">
      <c r="D26982" s="9"/>
      <c r="G26982" s="9"/>
      <c r="J26982" s="11"/>
      <c r="U26982" s="9"/>
      <c r="X26982" s="9"/>
    </row>
    <row r="26983">
      <c r="D26983" s="9"/>
      <c r="G26983" s="9"/>
      <c r="J26983" s="11"/>
      <c r="U26983" s="9"/>
      <c r="X26983" s="9"/>
    </row>
    <row r="26984">
      <c r="D26984" s="9"/>
      <c r="G26984" s="9"/>
      <c r="J26984" s="11"/>
      <c r="U26984" s="9"/>
      <c r="X26984" s="9"/>
    </row>
    <row r="26985">
      <c r="D26985" s="9"/>
      <c r="G26985" s="9"/>
      <c r="J26985" s="11"/>
      <c r="U26985" s="9"/>
      <c r="X26985" s="9"/>
    </row>
    <row r="26986">
      <c r="D26986" s="9"/>
      <c r="G26986" s="9"/>
      <c r="J26986" s="11"/>
      <c r="U26986" s="9"/>
      <c r="X26986" s="9"/>
    </row>
    <row r="26987">
      <c r="D26987" s="9"/>
      <c r="G26987" s="9"/>
      <c r="J26987" s="11"/>
      <c r="U26987" s="9"/>
      <c r="X26987" s="9"/>
    </row>
    <row r="26988">
      <c r="D26988" s="9"/>
      <c r="G26988" s="9"/>
      <c r="J26988" s="11"/>
      <c r="U26988" s="9"/>
      <c r="X26988" s="9"/>
    </row>
    <row r="26989">
      <c r="D26989" s="9"/>
      <c r="G26989" s="9"/>
      <c r="J26989" s="11"/>
      <c r="U26989" s="9"/>
      <c r="X26989" s="9"/>
    </row>
    <row r="26990">
      <c r="D26990" s="9"/>
      <c r="G26990" s="9"/>
      <c r="J26990" s="11"/>
      <c r="U26990" s="9"/>
      <c r="X26990" s="9"/>
    </row>
    <row r="26991">
      <c r="D26991" s="9"/>
      <c r="G26991" s="9"/>
      <c r="J26991" s="11"/>
      <c r="U26991" s="9"/>
      <c r="X26991" s="9"/>
    </row>
    <row r="26992">
      <c r="D26992" s="9"/>
      <c r="G26992" s="9"/>
      <c r="J26992" s="11"/>
      <c r="U26992" s="9"/>
      <c r="X26992" s="9"/>
    </row>
    <row r="26993">
      <c r="D26993" s="9"/>
      <c r="G26993" s="9"/>
      <c r="J26993" s="11"/>
      <c r="U26993" s="9"/>
      <c r="X26993" s="9"/>
    </row>
    <row r="26994">
      <c r="D26994" s="9"/>
      <c r="G26994" s="9"/>
      <c r="J26994" s="11"/>
      <c r="U26994" s="9"/>
      <c r="X26994" s="9"/>
    </row>
    <row r="26995">
      <c r="D26995" s="9"/>
      <c r="G26995" s="9"/>
      <c r="J26995" s="11"/>
      <c r="U26995" s="9"/>
      <c r="X26995" s="9"/>
    </row>
    <row r="26996">
      <c r="D26996" s="9"/>
      <c r="G26996" s="9"/>
      <c r="J26996" s="11"/>
      <c r="U26996" s="9"/>
      <c r="X26996" s="9"/>
    </row>
    <row r="26997">
      <c r="D26997" s="9"/>
      <c r="G26997" s="9"/>
      <c r="J26997" s="11"/>
      <c r="U26997" s="9"/>
      <c r="X26997" s="9"/>
    </row>
    <row r="26998">
      <c r="D26998" s="9"/>
      <c r="G26998" s="9"/>
      <c r="J26998" s="11"/>
      <c r="U26998" s="9"/>
      <c r="X26998" s="9"/>
    </row>
    <row r="26999">
      <c r="D26999" s="9"/>
      <c r="G26999" s="9"/>
      <c r="J26999" s="11"/>
      <c r="U26999" s="9"/>
      <c r="X26999" s="9"/>
    </row>
    <row r="27000">
      <c r="D27000" s="9"/>
      <c r="G27000" s="9"/>
      <c r="J27000" s="11"/>
      <c r="U27000" s="9"/>
      <c r="X27000" s="9"/>
    </row>
    <row r="27001">
      <c r="D27001" s="9"/>
      <c r="G27001" s="9"/>
      <c r="J27001" s="11"/>
      <c r="U27001" s="9"/>
      <c r="X27001" s="9"/>
    </row>
    <row r="27002">
      <c r="D27002" s="9"/>
      <c r="G27002" s="9"/>
      <c r="J27002" s="11"/>
      <c r="U27002" s="9"/>
      <c r="X27002" s="9"/>
    </row>
    <row r="27003">
      <c r="D27003" s="9"/>
      <c r="G27003" s="9"/>
      <c r="J27003" s="11"/>
      <c r="U27003" s="9"/>
      <c r="X27003" s="9"/>
    </row>
    <row r="27004">
      <c r="D27004" s="9"/>
      <c r="G27004" s="9"/>
      <c r="J27004" s="11"/>
      <c r="U27004" s="9"/>
      <c r="X27004" s="9"/>
    </row>
    <row r="27005">
      <c r="D27005" s="9"/>
      <c r="G27005" s="9"/>
      <c r="J27005" s="11"/>
      <c r="U27005" s="9"/>
      <c r="X27005" s="9"/>
    </row>
    <row r="27006">
      <c r="D27006" s="9"/>
      <c r="G27006" s="9"/>
      <c r="J27006" s="11"/>
      <c r="U27006" s="9"/>
      <c r="X27006" s="9"/>
    </row>
    <row r="27007">
      <c r="D27007" s="9"/>
      <c r="G27007" s="9"/>
      <c r="J27007" s="11"/>
      <c r="U27007" s="9"/>
      <c r="X27007" s="9"/>
    </row>
    <row r="27008">
      <c r="D27008" s="9"/>
      <c r="G27008" s="9"/>
      <c r="J27008" s="11"/>
      <c r="U27008" s="9"/>
      <c r="X27008" s="9"/>
    </row>
    <row r="27009">
      <c r="D27009" s="9"/>
      <c r="G27009" s="9"/>
      <c r="J27009" s="11"/>
      <c r="U27009" s="9"/>
      <c r="X27009" s="9"/>
    </row>
    <row r="27010">
      <c r="D27010" s="9"/>
      <c r="G27010" s="9"/>
      <c r="J27010" s="11"/>
      <c r="U27010" s="9"/>
      <c r="X27010" s="9"/>
    </row>
    <row r="27011">
      <c r="D27011" s="9"/>
      <c r="G27011" s="9"/>
      <c r="J27011" s="11"/>
      <c r="U27011" s="9"/>
      <c r="X27011" s="9"/>
    </row>
    <row r="27012">
      <c r="D27012" s="9"/>
      <c r="G27012" s="9"/>
      <c r="J27012" s="11"/>
      <c r="U27012" s="9"/>
      <c r="X27012" s="9"/>
    </row>
    <row r="27013">
      <c r="D27013" s="9"/>
      <c r="G27013" s="9"/>
      <c r="J27013" s="11"/>
      <c r="U27013" s="9"/>
      <c r="X27013" s="9"/>
    </row>
    <row r="27014">
      <c r="D27014" s="9"/>
      <c r="G27014" s="9"/>
      <c r="J27014" s="11"/>
      <c r="U27014" s="9"/>
      <c r="X27014" s="9"/>
    </row>
    <row r="27015">
      <c r="D27015" s="9"/>
      <c r="G27015" s="9"/>
      <c r="J27015" s="11"/>
      <c r="U27015" s="9"/>
      <c r="X27015" s="9"/>
    </row>
    <row r="27016">
      <c r="D27016" s="9"/>
      <c r="G27016" s="9"/>
      <c r="J27016" s="11"/>
      <c r="U27016" s="9"/>
      <c r="X27016" s="9"/>
    </row>
    <row r="27017">
      <c r="D27017" s="9"/>
      <c r="G27017" s="9"/>
      <c r="J27017" s="11"/>
      <c r="U27017" s="9"/>
      <c r="X27017" s="9"/>
    </row>
    <row r="27018">
      <c r="D27018" s="9"/>
      <c r="G27018" s="9"/>
      <c r="J27018" s="11"/>
      <c r="U27018" s="9"/>
      <c r="X27018" s="9"/>
    </row>
    <row r="27019">
      <c r="D27019" s="9"/>
      <c r="G27019" s="9"/>
      <c r="J27019" s="11"/>
      <c r="U27019" s="9"/>
      <c r="X27019" s="9"/>
    </row>
    <row r="27020">
      <c r="D27020" s="9"/>
      <c r="G27020" s="9"/>
      <c r="J27020" s="11"/>
      <c r="U27020" s="9"/>
      <c r="X27020" s="9"/>
    </row>
    <row r="27021">
      <c r="D27021" s="9"/>
      <c r="G27021" s="9"/>
      <c r="J27021" s="11"/>
      <c r="U27021" s="9"/>
      <c r="X27021" s="9"/>
    </row>
    <row r="27022">
      <c r="D27022" s="9"/>
      <c r="G27022" s="9"/>
      <c r="J27022" s="11"/>
      <c r="U27022" s="9"/>
      <c r="X27022" s="9"/>
    </row>
    <row r="27023">
      <c r="D27023" s="9"/>
      <c r="G27023" s="9"/>
      <c r="J27023" s="11"/>
      <c r="U27023" s="9"/>
      <c r="X27023" s="9"/>
    </row>
    <row r="27024">
      <c r="D27024" s="9"/>
      <c r="G27024" s="9"/>
      <c r="J27024" s="11"/>
      <c r="U27024" s="9"/>
      <c r="X27024" s="9"/>
    </row>
    <row r="27025">
      <c r="D27025" s="9"/>
      <c r="G27025" s="9"/>
      <c r="J27025" s="11"/>
      <c r="U27025" s="9"/>
      <c r="X27025" s="9"/>
    </row>
    <row r="27026">
      <c r="D27026" s="9"/>
      <c r="G27026" s="9"/>
      <c r="J27026" s="11"/>
      <c r="U27026" s="9"/>
      <c r="X27026" s="9"/>
    </row>
    <row r="27027">
      <c r="D27027" s="9"/>
      <c r="G27027" s="9"/>
      <c r="J27027" s="11"/>
      <c r="U27027" s="9"/>
      <c r="X27027" s="9"/>
    </row>
    <row r="27028">
      <c r="D27028" s="9"/>
      <c r="G27028" s="9"/>
      <c r="J27028" s="11"/>
      <c r="U27028" s="9"/>
      <c r="X27028" s="9"/>
    </row>
    <row r="27029">
      <c r="D27029" s="9"/>
      <c r="G27029" s="9"/>
      <c r="J27029" s="11"/>
      <c r="U27029" s="9"/>
      <c r="X27029" s="9"/>
    </row>
    <row r="27030">
      <c r="D27030" s="9"/>
      <c r="G27030" s="9"/>
      <c r="J27030" s="11"/>
      <c r="U27030" s="9"/>
      <c r="X27030" s="9"/>
    </row>
    <row r="27031">
      <c r="D27031" s="9"/>
      <c r="G27031" s="9"/>
      <c r="J27031" s="11"/>
      <c r="U27031" s="9"/>
      <c r="X27031" s="9"/>
    </row>
    <row r="27032">
      <c r="D27032" s="9"/>
      <c r="G27032" s="9"/>
      <c r="J27032" s="11"/>
      <c r="U27032" s="9"/>
      <c r="X27032" s="9"/>
    </row>
    <row r="27033">
      <c r="D27033" s="9"/>
      <c r="G27033" s="9"/>
      <c r="J27033" s="11"/>
      <c r="U27033" s="9"/>
      <c r="X27033" s="9"/>
    </row>
    <row r="27034">
      <c r="D27034" s="9"/>
      <c r="G27034" s="9"/>
      <c r="J27034" s="11"/>
      <c r="U27034" s="9"/>
      <c r="X27034" s="9"/>
    </row>
    <row r="27035">
      <c r="D27035" s="9"/>
      <c r="G27035" s="9"/>
      <c r="J27035" s="11"/>
      <c r="U27035" s="9"/>
      <c r="X27035" s="9"/>
    </row>
    <row r="27036">
      <c r="D27036" s="9"/>
      <c r="G27036" s="9"/>
      <c r="J27036" s="11"/>
      <c r="U27036" s="9"/>
      <c r="X27036" s="9"/>
    </row>
    <row r="27037">
      <c r="D27037" s="9"/>
      <c r="G27037" s="9"/>
      <c r="J27037" s="11"/>
      <c r="U27037" s="9"/>
      <c r="X27037" s="9"/>
    </row>
    <row r="27038">
      <c r="D27038" s="9"/>
      <c r="G27038" s="9"/>
      <c r="J27038" s="11"/>
      <c r="U27038" s="9"/>
      <c r="X27038" s="9"/>
    </row>
    <row r="27039">
      <c r="D27039" s="9"/>
      <c r="G27039" s="9"/>
      <c r="J27039" s="11"/>
      <c r="U27039" s="9"/>
      <c r="X27039" s="9"/>
    </row>
    <row r="27040">
      <c r="D27040" s="9"/>
      <c r="G27040" s="9"/>
      <c r="J27040" s="11"/>
      <c r="U27040" s="9"/>
      <c r="X27040" s="9"/>
    </row>
    <row r="27041">
      <c r="D27041" s="9"/>
      <c r="G27041" s="9"/>
      <c r="J27041" s="11"/>
      <c r="U27041" s="9"/>
      <c r="X27041" s="9"/>
    </row>
    <row r="27042">
      <c r="D27042" s="9"/>
      <c r="G27042" s="9"/>
      <c r="J27042" s="11"/>
      <c r="U27042" s="9"/>
      <c r="X27042" s="9"/>
    </row>
    <row r="27043">
      <c r="D27043" s="9"/>
      <c r="G27043" s="9"/>
      <c r="J27043" s="11"/>
      <c r="U27043" s="9"/>
      <c r="X27043" s="9"/>
    </row>
    <row r="27044">
      <c r="D27044" s="9"/>
      <c r="G27044" s="9"/>
      <c r="J27044" s="11"/>
      <c r="U27044" s="9"/>
      <c r="X27044" s="9"/>
    </row>
    <row r="27045">
      <c r="D27045" s="9"/>
      <c r="G27045" s="9"/>
      <c r="J27045" s="11"/>
      <c r="U27045" s="9"/>
      <c r="X27045" s="9"/>
    </row>
    <row r="27046">
      <c r="D27046" s="9"/>
      <c r="G27046" s="9"/>
      <c r="J27046" s="11"/>
      <c r="U27046" s="9"/>
      <c r="X27046" s="9"/>
    </row>
    <row r="27047">
      <c r="D27047" s="9"/>
      <c r="G27047" s="9"/>
      <c r="J27047" s="11"/>
      <c r="U27047" s="9"/>
      <c r="X27047" s="9"/>
    </row>
    <row r="27048">
      <c r="D27048" s="9"/>
      <c r="G27048" s="9"/>
      <c r="J27048" s="11"/>
      <c r="U27048" s="9"/>
      <c r="X27048" s="9"/>
    </row>
    <row r="27049">
      <c r="D27049" s="9"/>
      <c r="G27049" s="9"/>
      <c r="J27049" s="11"/>
      <c r="U27049" s="9"/>
      <c r="X27049" s="9"/>
    </row>
    <row r="27050">
      <c r="D27050" s="9"/>
      <c r="G27050" s="9"/>
      <c r="J27050" s="11"/>
      <c r="U27050" s="9"/>
      <c r="X27050" s="9"/>
    </row>
    <row r="27051">
      <c r="D27051" s="9"/>
      <c r="G27051" s="9"/>
      <c r="J27051" s="11"/>
      <c r="U27051" s="9"/>
      <c r="X27051" s="9"/>
    </row>
    <row r="27052">
      <c r="D27052" s="9"/>
      <c r="G27052" s="9"/>
      <c r="J27052" s="11"/>
      <c r="U27052" s="9"/>
      <c r="X27052" s="9"/>
    </row>
    <row r="27053">
      <c r="D27053" s="9"/>
      <c r="G27053" s="9"/>
      <c r="J27053" s="11"/>
      <c r="U27053" s="9"/>
      <c r="X27053" s="9"/>
    </row>
    <row r="27054">
      <c r="D27054" s="9"/>
      <c r="G27054" s="9"/>
      <c r="J27054" s="11"/>
      <c r="U27054" s="9"/>
      <c r="X27054" s="9"/>
    </row>
    <row r="27055">
      <c r="D27055" s="9"/>
      <c r="G27055" s="9"/>
      <c r="J27055" s="11"/>
      <c r="U27055" s="9"/>
      <c r="X27055" s="9"/>
    </row>
    <row r="27056">
      <c r="D27056" s="9"/>
      <c r="G27056" s="9"/>
      <c r="J27056" s="11"/>
      <c r="U27056" s="9"/>
      <c r="X27056" s="9"/>
    </row>
    <row r="27057">
      <c r="D27057" s="9"/>
      <c r="G27057" s="9"/>
      <c r="J27057" s="11"/>
      <c r="U27057" s="9"/>
      <c r="X27057" s="9"/>
    </row>
    <row r="27058">
      <c r="D27058" s="9"/>
      <c r="G27058" s="9"/>
      <c r="J27058" s="11"/>
      <c r="U27058" s="9"/>
      <c r="X27058" s="9"/>
    </row>
    <row r="27059">
      <c r="D27059" s="9"/>
      <c r="G27059" s="9"/>
      <c r="J27059" s="11"/>
      <c r="U27059" s="9"/>
      <c r="X27059" s="9"/>
    </row>
    <row r="27060">
      <c r="D27060" s="9"/>
      <c r="G27060" s="9"/>
      <c r="J27060" s="11"/>
      <c r="U27060" s="9"/>
      <c r="X27060" s="9"/>
    </row>
    <row r="27061">
      <c r="D27061" s="9"/>
      <c r="G27061" s="9"/>
      <c r="J27061" s="11"/>
      <c r="U27061" s="9"/>
      <c r="X27061" s="9"/>
    </row>
    <row r="27062">
      <c r="D27062" s="9"/>
      <c r="G27062" s="9"/>
      <c r="J27062" s="11"/>
      <c r="U27062" s="9"/>
      <c r="X27062" s="9"/>
    </row>
    <row r="27063">
      <c r="D27063" s="9"/>
      <c r="G27063" s="9"/>
      <c r="J27063" s="11"/>
      <c r="U27063" s="9"/>
      <c r="X27063" s="9"/>
    </row>
    <row r="27064">
      <c r="D27064" s="9"/>
      <c r="G27064" s="9"/>
      <c r="J27064" s="11"/>
      <c r="U27064" s="9"/>
      <c r="X27064" s="9"/>
    </row>
    <row r="27065">
      <c r="D27065" s="9"/>
      <c r="G27065" s="9"/>
      <c r="J27065" s="11"/>
      <c r="U27065" s="9"/>
      <c r="X27065" s="9"/>
    </row>
    <row r="27066">
      <c r="D27066" s="9"/>
      <c r="G27066" s="9"/>
      <c r="J27066" s="11"/>
      <c r="U27066" s="9"/>
      <c r="X27066" s="9"/>
    </row>
    <row r="27067">
      <c r="D27067" s="9"/>
      <c r="G27067" s="9"/>
      <c r="J27067" s="11"/>
      <c r="U27067" s="9"/>
      <c r="X27067" s="9"/>
    </row>
    <row r="27068">
      <c r="D27068" s="9"/>
      <c r="G27068" s="9"/>
      <c r="J27068" s="11"/>
      <c r="U27068" s="9"/>
      <c r="X27068" s="9"/>
    </row>
    <row r="27069">
      <c r="D27069" s="9"/>
      <c r="G27069" s="9"/>
      <c r="J27069" s="11"/>
      <c r="U27069" s="9"/>
      <c r="X27069" s="9"/>
    </row>
    <row r="27070">
      <c r="D27070" s="9"/>
      <c r="G27070" s="9"/>
      <c r="J27070" s="11"/>
      <c r="U27070" s="9"/>
      <c r="X27070" s="9"/>
    </row>
    <row r="27071">
      <c r="D27071" s="9"/>
      <c r="G27071" s="9"/>
      <c r="J27071" s="11"/>
      <c r="U27071" s="9"/>
      <c r="X27071" s="9"/>
    </row>
    <row r="27072">
      <c r="D27072" s="9"/>
      <c r="G27072" s="9"/>
      <c r="J27072" s="11"/>
      <c r="U27072" s="9"/>
      <c r="X27072" s="9"/>
    </row>
    <row r="27073">
      <c r="D27073" s="9"/>
      <c r="G27073" s="9"/>
      <c r="J27073" s="11"/>
      <c r="U27073" s="9"/>
      <c r="X27073" s="9"/>
    </row>
    <row r="27074">
      <c r="D27074" s="9"/>
      <c r="G27074" s="9"/>
      <c r="J27074" s="11"/>
      <c r="U27074" s="9"/>
      <c r="X27074" s="9"/>
    </row>
    <row r="27075">
      <c r="D27075" s="9"/>
      <c r="G27075" s="9"/>
      <c r="J27075" s="11"/>
      <c r="U27075" s="9"/>
      <c r="X27075" s="9"/>
    </row>
    <row r="27076">
      <c r="D27076" s="9"/>
      <c r="G27076" s="9"/>
      <c r="J27076" s="11"/>
      <c r="U27076" s="9"/>
      <c r="X27076" s="9"/>
    </row>
    <row r="27077">
      <c r="D27077" s="9"/>
      <c r="G27077" s="9"/>
      <c r="J27077" s="11"/>
      <c r="U27077" s="9"/>
      <c r="X27077" s="9"/>
    </row>
    <row r="27078">
      <c r="D27078" s="9"/>
      <c r="G27078" s="9"/>
      <c r="J27078" s="11"/>
      <c r="U27078" s="9"/>
      <c r="X27078" s="9"/>
    </row>
    <row r="27079">
      <c r="D27079" s="9"/>
      <c r="G27079" s="9"/>
      <c r="J27079" s="11"/>
      <c r="U27079" s="9"/>
      <c r="X27079" s="9"/>
    </row>
    <row r="27080">
      <c r="D27080" s="9"/>
      <c r="G27080" s="9"/>
      <c r="J27080" s="11"/>
      <c r="U27080" s="9"/>
      <c r="X27080" s="9"/>
    </row>
    <row r="27081">
      <c r="D27081" s="9"/>
      <c r="G27081" s="9"/>
      <c r="J27081" s="11"/>
      <c r="U27081" s="9"/>
      <c r="X27081" s="9"/>
    </row>
    <row r="27082">
      <c r="D27082" s="9"/>
      <c r="G27082" s="9"/>
      <c r="J27082" s="11"/>
      <c r="U27082" s="9"/>
      <c r="X27082" s="9"/>
    </row>
    <row r="27083">
      <c r="D27083" s="9"/>
      <c r="G27083" s="9"/>
      <c r="J27083" s="11"/>
      <c r="U27083" s="9"/>
      <c r="X27083" s="9"/>
    </row>
    <row r="27084">
      <c r="D27084" s="9"/>
      <c r="G27084" s="9"/>
      <c r="J27084" s="11"/>
      <c r="U27084" s="9"/>
      <c r="X27084" s="9"/>
    </row>
    <row r="27085">
      <c r="D27085" s="9"/>
      <c r="G27085" s="9"/>
      <c r="J27085" s="11"/>
      <c r="U27085" s="9"/>
      <c r="X27085" s="9"/>
    </row>
    <row r="27086">
      <c r="D27086" s="9"/>
      <c r="G27086" s="9"/>
      <c r="J27086" s="11"/>
      <c r="U27086" s="9"/>
      <c r="X27086" s="9"/>
    </row>
    <row r="27087">
      <c r="D27087" s="9"/>
      <c r="G27087" s="9"/>
      <c r="J27087" s="11"/>
      <c r="U27087" s="9"/>
      <c r="X27087" s="9"/>
    </row>
    <row r="27088">
      <c r="D27088" s="9"/>
      <c r="G27088" s="9"/>
      <c r="J27088" s="11"/>
      <c r="U27088" s="9"/>
      <c r="X27088" s="9"/>
    </row>
    <row r="27089">
      <c r="D27089" s="9"/>
      <c r="G27089" s="9"/>
      <c r="J27089" s="11"/>
      <c r="U27089" s="9"/>
      <c r="X27089" s="9"/>
    </row>
    <row r="27090">
      <c r="D27090" s="9"/>
      <c r="G27090" s="9"/>
      <c r="J27090" s="11"/>
      <c r="U27090" s="9"/>
      <c r="X27090" s="9"/>
    </row>
    <row r="27091">
      <c r="D27091" s="9"/>
      <c r="G27091" s="9"/>
      <c r="J27091" s="11"/>
      <c r="U27091" s="9"/>
      <c r="X27091" s="9"/>
    </row>
    <row r="27092">
      <c r="D27092" s="9"/>
      <c r="G27092" s="9"/>
      <c r="J27092" s="11"/>
      <c r="U27092" s="9"/>
      <c r="X27092" s="9"/>
    </row>
    <row r="27093">
      <c r="D27093" s="9"/>
      <c r="G27093" s="9"/>
      <c r="J27093" s="11"/>
      <c r="U27093" s="9"/>
      <c r="X27093" s="9"/>
    </row>
    <row r="27094">
      <c r="D27094" s="9"/>
      <c r="G27094" s="9"/>
      <c r="J27094" s="11"/>
      <c r="U27094" s="9"/>
      <c r="X27094" s="9"/>
    </row>
    <row r="27095">
      <c r="D27095" s="9"/>
      <c r="G27095" s="9"/>
      <c r="J27095" s="11"/>
      <c r="U27095" s="9"/>
      <c r="X27095" s="9"/>
    </row>
    <row r="27096">
      <c r="D27096" s="9"/>
      <c r="G27096" s="9"/>
      <c r="J27096" s="11"/>
      <c r="U27096" s="9"/>
      <c r="X27096" s="9"/>
    </row>
    <row r="27097">
      <c r="D27097" s="9"/>
      <c r="G27097" s="9"/>
      <c r="J27097" s="11"/>
      <c r="U27097" s="9"/>
      <c r="X27097" s="9"/>
    </row>
    <row r="27098">
      <c r="D27098" s="9"/>
      <c r="G27098" s="9"/>
      <c r="J27098" s="11"/>
      <c r="U27098" s="9"/>
      <c r="X27098" s="9"/>
    </row>
    <row r="27099">
      <c r="D27099" s="9"/>
      <c r="G27099" s="9"/>
      <c r="J27099" s="11"/>
      <c r="U27099" s="9"/>
      <c r="X27099" s="9"/>
    </row>
    <row r="27100">
      <c r="D27100" s="9"/>
      <c r="G27100" s="9"/>
      <c r="J27100" s="11"/>
      <c r="U27100" s="9"/>
      <c r="X27100" s="9"/>
    </row>
    <row r="27101">
      <c r="D27101" s="9"/>
      <c r="G27101" s="9"/>
      <c r="J27101" s="11"/>
      <c r="U27101" s="9"/>
      <c r="X27101" s="9"/>
    </row>
    <row r="27102">
      <c r="D27102" s="9"/>
      <c r="G27102" s="9"/>
      <c r="J27102" s="11"/>
      <c r="U27102" s="9"/>
      <c r="X27102" s="9"/>
    </row>
    <row r="27103">
      <c r="D27103" s="9"/>
      <c r="G27103" s="9"/>
      <c r="J27103" s="11"/>
      <c r="U27103" s="9"/>
      <c r="X27103" s="9"/>
    </row>
    <row r="27104">
      <c r="D27104" s="9"/>
      <c r="G27104" s="9"/>
      <c r="J27104" s="11"/>
      <c r="U27104" s="9"/>
      <c r="X27104" s="9"/>
    </row>
    <row r="27105">
      <c r="D27105" s="9"/>
      <c r="G27105" s="9"/>
      <c r="J27105" s="11"/>
      <c r="U27105" s="9"/>
      <c r="X27105" s="9"/>
    </row>
    <row r="27106">
      <c r="D27106" s="9"/>
      <c r="G27106" s="9"/>
      <c r="J27106" s="11"/>
      <c r="U27106" s="9"/>
      <c r="X27106" s="9"/>
    </row>
    <row r="27107">
      <c r="D27107" s="9"/>
      <c r="G27107" s="9"/>
      <c r="J27107" s="11"/>
      <c r="U27107" s="9"/>
      <c r="X27107" s="9"/>
    </row>
    <row r="27108">
      <c r="D27108" s="9"/>
      <c r="G27108" s="9"/>
      <c r="J27108" s="11"/>
      <c r="U27108" s="9"/>
      <c r="X27108" s="9"/>
    </row>
    <row r="27109">
      <c r="D27109" s="9"/>
      <c r="G27109" s="9"/>
      <c r="J27109" s="11"/>
      <c r="U27109" s="9"/>
      <c r="X27109" s="9"/>
    </row>
    <row r="27110">
      <c r="D27110" s="9"/>
      <c r="G27110" s="9"/>
      <c r="J27110" s="11"/>
      <c r="U27110" s="9"/>
      <c r="X27110" s="9"/>
    </row>
    <row r="27111">
      <c r="D27111" s="9"/>
      <c r="G27111" s="9"/>
      <c r="J27111" s="11"/>
      <c r="U27111" s="9"/>
      <c r="X27111" s="9"/>
    </row>
    <row r="27112">
      <c r="D27112" s="9"/>
      <c r="G27112" s="9"/>
      <c r="J27112" s="11"/>
      <c r="U27112" s="9"/>
      <c r="X27112" s="9"/>
    </row>
    <row r="27113">
      <c r="D27113" s="9"/>
      <c r="G27113" s="9"/>
      <c r="J27113" s="11"/>
      <c r="U27113" s="9"/>
      <c r="X27113" s="9"/>
    </row>
    <row r="27114">
      <c r="D27114" s="9"/>
      <c r="G27114" s="9"/>
      <c r="J27114" s="11"/>
      <c r="U27114" s="9"/>
      <c r="X27114" s="9"/>
    </row>
    <row r="27115">
      <c r="D27115" s="9"/>
      <c r="G27115" s="9"/>
      <c r="J27115" s="11"/>
      <c r="U27115" s="9"/>
      <c r="X27115" s="9"/>
    </row>
    <row r="27116">
      <c r="D27116" s="9"/>
      <c r="G27116" s="9"/>
      <c r="J27116" s="11"/>
      <c r="U27116" s="9"/>
      <c r="X27116" s="9"/>
    </row>
    <row r="27117">
      <c r="D27117" s="9"/>
      <c r="G27117" s="9"/>
      <c r="J27117" s="11"/>
      <c r="U27117" s="9"/>
      <c r="X27117" s="9"/>
    </row>
    <row r="27118">
      <c r="D27118" s="9"/>
      <c r="G27118" s="9"/>
      <c r="J27118" s="11"/>
      <c r="U27118" s="9"/>
      <c r="X27118" s="9"/>
    </row>
    <row r="27119">
      <c r="D27119" s="9"/>
      <c r="G27119" s="9"/>
      <c r="J27119" s="11"/>
      <c r="U27119" s="9"/>
      <c r="X27119" s="9"/>
    </row>
    <row r="27120">
      <c r="D27120" s="9"/>
      <c r="G27120" s="9"/>
      <c r="J27120" s="11"/>
      <c r="U27120" s="9"/>
      <c r="X27120" s="9"/>
    </row>
    <row r="27121">
      <c r="D27121" s="9"/>
      <c r="G27121" s="9"/>
      <c r="J27121" s="11"/>
      <c r="U27121" s="9"/>
      <c r="X27121" s="9"/>
    </row>
    <row r="27122">
      <c r="D27122" s="9"/>
      <c r="G27122" s="9"/>
      <c r="J27122" s="11"/>
      <c r="U27122" s="9"/>
      <c r="X27122" s="9"/>
    </row>
    <row r="27123">
      <c r="D27123" s="9"/>
      <c r="G27123" s="9"/>
      <c r="J27123" s="11"/>
      <c r="U27123" s="9"/>
      <c r="X27123" s="9"/>
    </row>
    <row r="27124">
      <c r="D27124" s="9"/>
      <c r="G27124" s="9"/>
      <c r="J27124" s="11"/>
      <c r="U27124" s="9"/>
      <c r="X27124" s="9"/>
    </row>
    <row r="27125">
      <c r="D27125" s="9"/>
      <c r="G27125" s="9"/>
      <c r="J27125" s="11"/>
      <c r="U27125" s="9"/>
      <c r="X27125" s="9"/>
    </row>
    <row r="27126">
      <c r="D27126" s="9"/>
      <c r="G27126" s="9"/>
      <c r="J27126" s="11"/>
      <c r="U27126" s="9"/>
      <c r="X27126" s="9"/>
    </row>
    <row r="27127">
      <c r="D27127" s="9"/>
      <c r="G27127" s="9"/>
      <c r="J27127" s="11"/>
      <c r="U27127" s="9"/>
      <c r="X27127" s="9"/>
    </row>
    <row r="27128">
      <c r="D27128" s="9"/>
      <c r="G27128" s="9"/>
      <c r="J27128" s="11"/>
      <c r="U27128" s="9"/>
      <c r="X27128" s="9"/>
    </row>
    <row r="27129">
      <c r="D27129" s="9"/>
      <c r="G27129" s="9"/>
      <c r="J27129" s="11"/>
      <c r="U27129" s="9"/>
      <c r="X27129" s="9"/>
    </row>
    <row r="27130">
      <c r="D27130" s="9"/>
      <c r="G27130" s="9"/>
      <c r="J27130" s="11"/>
      <c r="U27130" s="9"/>
      <c r="X27130" s="9"/>
    </row>
    <row r="27131">
      <c r="D27131" s="9"/>
      <c r="G27131" s="9"/>
      <c r="J27131" s="11"/>
      <c r="U27131" s="9"/>
      <c r="X27131" s="9"/>
    </row>
    <row r="27132">
      <c r="D27132" s="9"/>
      <c r="G27132" s="9"/>
      <c r="J27132" s="11"/>
      <c r="U27132" s="9"/>
      <c r="X27132" s="9"/>
    </row>
    <row r="27133">
      <c r="D27133" s="9"/>
      <c r="G27133" s="9"/>
      <c r="J27133" s="11"/>
      <c r="U27133" s="9"/>
      <c r="X27133" s="9"/>
    </row>
    <row r="27134">
      <c r="D27134" s="9"/>
      <c r="G27134" s="9"/>
      <c r="J27134" s="11"/>
      <c r="U27134" s="9"/>
      <c r="X27134" s="9"/>
    </row>
    <row r="27135">
      <c r="D27135" s="9"/>
      <c r="G27135" s="9"/>
      <c r="J27135" s="11"/>
      <c r="U27135" s="9"/>
      <c r="X27135" s="9"/>
    </row>
    <row r="27136">
      <c r="D27136" s="9"/>
      <c r="G27136" s="9"/>
      <c r="J27136" s="11"/>
      <c r="U27136" s="9"/>
      <c r="X27136" s="9"/>
    </row>
    <row r="27137">
      <c r="D27137" s="9"/>
      <c r="G27137" s="9"/>
      <c r="J27137" s="11"/>
      <c r="U27137" s="9"/>
      <c r="X27137" s="9"/>
    </row>
    <row r="27138">
      <c r="D27138" s="9"/>
      <c r="G27138" s="9"/>
      <c r="J27138" s="11"/>
      <c r="U27138" s="9"/>
      <c r="X27138" s="9"/>
    </row>
    <row r="27139">
      <c r="D27139" s="9"/>
      <c r="G27139" s="9"/>
      <c r="J27139" s="11"/>
      <c r="U27139" s="9"/>
      <c r="X27139" s="9"/>
    </row>
    <row r="27140">
      <c r="D27140" s="9"/>
      <c r="G27140" s="9"/>
      <c r="J27140" s="11"/>
      <c r="U27140" s="9"/>
      <c r="X27140" s="9"/>
    </row>
    <row r="27141">
      <c r="D27141" s="9"/>
      <c r="G27141" s="9"/>
      <c r="J27141" s="11"/>
      <c r="U27141" s="9"/>
      <c r="X27141" s="9"/>
    </row>
    <row r="27142">
      <c r="D27142" s="9"/>
      <c r="G27142" s="9"/>
      <c r="J27142" s="11"/>
      <c r="U27142" s="9"/>
      <c r="X27142" s="9"/>
    </row>
    <row r="27143">
      <c r="D27143" s="9"/>
      <c r="G27143" s="9"/>
      <c r="J27143" s="11"/>
      <c r="U27143" s="9"/>
      <c r="X27143" s="9"/>
    </row>
    <row r="27144">
      <c r="D27144" s="9"/>
      <c r="G27144" s="9"/>
      <c r="J27144" s="11"/>
      <c r="U27144" s="9"/>
      <c r="X27144" s="9"/>
    </row>
    <row r="27145">
      <c r="D27145" s="9"/>
      <c r="G27145" s="9"/>
      <c r="J27145" s="11"/>
      <c r="U27145" s="9"/>
      <c r="X27145" s="9"/>
    </row>
    <row r="27146">
      <c r="D27146" s="9"/>
      <c r="G27146" s="9"/>
      <c r="J27146" s="11"/>
      <c r="U27146" s="9"/>
      <c r="X27146" s="9"/>
    </row>
    <row r="27147">
      <c r="D27147" s="9"/>
      <c r="G27147" s="9"/>
      <c r="J27147" s="11"/>
      <c r="U27147" s="9"/>
      <c r="X27147" s="9"/>
    </row>
    <row r="27148">
      <c r="D27148" s="9"/>
      <c r="G27148" s="9"/>
      <c r="J27148" s="11"/>
      <c r="U27148" s="9"/>
      <c r="X27148" s="9"/>
    </row>
    <row r="27149">
      <c r="D27149" s="9"/>
      <c r="G27149" s="9"/>
      <c r="J27149" s="11"/>
      <c r="U27149" s="9"/>
      <c r="X27149" s="9"/>
    </row>
    <row r="27150">
      <c r="D27150" s="9"/>
      <c r="G27150" s="9"/>
      <c r="J27150" s="11"/>
      <c r="U27150" s="9"/>
      <c r="X27150" s="9"/>
    </row>
    <row r="27151">
      <c r="D27151" s="9"/>
      <c r="G27151" s="9"/>
      <c r="J27151" s="11"/>
      <c r="U27151" s="9"/>
      <c r="X27151" s="9"/>
    </row>
    <row r="27152">
      <c r="D27152" s="9"/>
      <c r="G27152" s="9"/>
      <c r="J27152" s="11"/>
      <c r="U27152" s="9"/>
      <c r="X27152" s="9"/>
    </row>
    <row r="27153">
      <c r="D27153" s="9"/>
      <c r="G27153" s="9"/>
      <c r="J27153" s="11"/>
      <c r="U27153" s="9"/>
      <c r="X27153" s="9"/>
    </row>
    <row r="27154">
      <c r="D27154" s="9"/>
      <c r="G27154" s="9"/>
      <c r="J27154" s="11"/>
      <c r="U27154" s="9"/>
      <c r="X27154" s="9"/>
    </row>
    <row r="27155">
      <c r="D27155" s="9"/>
      <c r="G27155" s="9"/>
      <c r="J27155" s="11"/>
      <c r="U27155" s="9"/>
      <c r="X27155" s="9"/>
    </row>
    <row r="27156">
      <c r="D27156" s="9"/>
      <c r="G27156" s="9"/>
      <c r="J27156" s="11"/>
      <c r="U27156" s="9"/>
      <c r="X27156" s="9"/>
    </row>
    <row r="27157">
      <c r="D27157" s="9"/>
      <c r="G27157" s="9"/>
      <c r="J27157" s="11"/>
      <c r="U27157" s="9"/>
      <c r="X27157" s="9"/>
    </row>
    <row r="27158">
      <c r="D27158" s="9"/>
      <c r="G27158" s="9"/>
      <c r="J27158" s="11"/>
      <c r="U27158" s="9"/>
      <c r="X27158" s="9"/>
    </row>
    <row r="27159">
      <c r="D27159" s="9"/>
      <c r="G27159" s="9"/>
      <c r="J27159" s="11"/>
      <c r="U27159" s="9"/>
      <c r="X27159" s="9"/>
    </row>
    <row r="27160">
      <c r="D27160" s="9"/>
      <c r="G27160" s="9"/>
      <c r="J27160" s="11"/>
      <c r="U27160" s="9"/>
      <c r="X27160" s="9"/>
    </row>
    <row r="27161">
      <c r="D27161" s="9"/>
      <c r="G27161" s="9"/>
      <c r="J27161" s="11"/>
      <c r="U27161" s="9"/>
      <c r="X27161" s="9"/>
    </row>
    <row r="27162">
      <c r="D27162" s="9"/>
      <c r="G27162" s="9"/>
      <c r="J27162" s="11"/>
      <c r="U27162" s="9"/>
      <c r="X27162" s="9"/>
    </row>
    <row r="27163">
      <c r="D27163" s="9"/>
      <c r="G27163" s="9"/>
      <c r="J27163" s="11"/>
      <c r="U27163" s="9"/>
      <c r="X27163" s="9"/>
    </row>
    <row r="27164">
      <c r="D27164" s="9"/>
      <c r="G27164" s="9"/>
      <c r="J27164" s="11"/>
      <c r="U27164" s="9"/>
      <c r="X27164" s="9"/>
    </row>
    <row r="27165">
      <c r="D27165" s="9"/>
      <c r="G27165" s="9"/>
      <c r="J27165" s="11"/>
      <c r="U27165" s="9"/>
      <c r="X27165" s="9"/>
    </row>
    <row r="27166">
      <c r="D27166" s="9"/>
      <c r="G27166" s="9"/>
      <c r="J27166" s="11"/>
      <c r="U27166" s="9"/>
      <c r="X27166" s="9"/>
    </row>
    <row r="27167">
      <c r="D27167" s="9"/>
      <c r="G27167" s="9"/>
      <c r="J27167" s="11"/>
      <c r="U27167" s="9"/>
      <c r="X27167" s="9"/>
    </row>
    <row r="27168">
      <c r="D27168" s="9"/>
      <c r="G27168" s="9"/>
      <c r="J27168" s="11"/>
      <c r="U27168" s="9"/>
      <c r="X27168" s="9"/>
    </row>
    <row r="27169">
      <c r="D27169" s="9"/>
      <c r="G27169" s="9"/>
      <c r="J27169" s="11"/>
      <c r="U27169" s="9"/>
      <c r="X27169" s="9"/>
    </row>
    <row r="27170">
      <c r="D27170" s="9"/>
      <c r="G27170" s="9"/>
      <c r="J27170" s="11"/>
      <c r="U27170" s="9"/>
      <c r="X27170" s="9"/>
    </row>
    <row r="27171">
      <c r="D27171" s="9"/>
      <c r="G27171" s="9"/>
      <c r="J27171" s="11"/>
      <c r="U27171" s="9"/>
      <c r="X27171" s="9"/>
    </row>
    <row r="27172">
      <c r="D27172" s="9"/>
      <c r="G27172" s="9"/>
      <c r="J27172" s="11"/>
      <c r="U27172" s="9"/>
      <c r="X27172" s="9"/>
    </row>
    <row r="27173">
      <c r="D27173" s="9"/>
      <c r="G27173" s="9"/>
      <c r="J27173" s="11"/>
      <c r="U27173" s="9"/>
      <c r="X27173" s="9"/>
    </row>
    <row r="27174">
      <c r="D27174" s="9"/>
      <c r="G27174" s="9"/>
      <c r="J27174" s="11"/>
      <c r="U27174" s="9"/>
      <c r="X27174" s="9"/>
    </row>
    <row r="27175">
      <c r="D27175" s="9"/>
      <c r="G27175" s="9"/>
      <c r="J27175" s="11"/>
      <c r="U27175" s="9"/>
      <c r="X27175" s="9"/>
    </row>
    <row r="27176">
      <c r="D27176" s="9"/>
      <c r="G27176" s="9"/>
      <c r="J27176" s="11"/>
      <c r="U27176" s="9"/>
      <c r="X27176" s="9"/>
    </row>
    <row r="27177">
      <c r="D27177" s="9"/>
      <c r="G27177" s="9"/>
      <c r="J27177" s="11"/>
      <c r="U27177" s="9"/>
      <c r="X27177" s="9"/>
    </row>
    <row r="27178">
      <c r="D27178" s="9"/>
      <c r="G27178" s="9"/>
      <c r="J27178" s="11"/>
      <c r="U27178" s="9"/>
      <c r="X27178" s="9"/>
    </row>
    <row r="27179">
      <c r="D27179" s="9"/>
      <c r="G27179" s="9"/>
      <c r="J27179" s="11"/>
      <c r="U27179" s="9"/>
      <c r="X27179" s="9"/>
    </row>
    <row r="27180">
      <c r="D27180" s="9"/>
      <c r="G27180" s="9"/>
      <c r="J27180" s="11"/>
      <c r="U27180" s="9"/>
      <c r="X27180" s="9"/>
    </row>
    <row r="27181">
      <c r="D27181" s="9"/>
      <c r="G27181" s="9"/>
      <c r="J27181" s="11"/>
      <c r="U27181" s="9"/>
      <c r="X27181" s="9"/>
    </row>
    <row r="27182">
      <c r="D27182" s="9"/>
      <c r="G27182" s="9"/>
      <c r="J27182" s="11"/>
      <c r="U27182" s="9"/>
      <c r="X27182" s="9"/>
    </row>
    <row r="27183">
      <c r="D27183" s="9"/>
      <c r="G27183" s="9"/>
      <c r="J27183" s="11"/>
      <c r="U27183" s="9"/>
      <c r="X27183" s="9"/>
    </row>
    <row r="27184">
      <c r="D27184" s="9"/>
      <c r="G27184" s="9"/>
      <c r="J27184" s="11"/>
      <c r="U27184" s="9"/>
      <c r="X27184" s="9"/>
    </row>
    <row r="27185">
      <c r="D27185" s="9"/>
      <c r="G27185" s="9"/>
      <c r="J27185" s="11"/>
      <c r="U27185" s="9"/>
      <c r="X27185" s="9"/>
    </row>
    <row r="27186">
      <c r="D27186" s="9"/>
      <c r="G27186" s="9"/>
      <c r="J27186" s="11"/>
      <c r="U27186" s="9"/>
      <c r="X27186" s="9"/>
    </row>
    <row r="27187">
      <c r="D27187" s="9"/>
      <c r="G27187" s="9"/>
      <c r="J27187" s="11"/>
      <c r="U27187" s="9"/>
      <c r="X27187" s="9"/>
    </row>
    <row r="27188">
      <c r="D27188" s="9"/>
      <c r="G27188" s="9"/>
      <c r="J27188" s="11"/>
      <c r="U27188" s="9"/>
      <c r="X27188" s="9"/>
    </row>
    <row r="27189">
      <c r="D27189" s="9"/>
      <c r="G27189" s="9"/>
      <c r="J27189" s="11"/>
      <c r="U27189" s="9"/>
      <c r="X27189" s="9"/>
    </row>
    <row r="27190">
      <c r="D27190" s="9"/>
      <c r="G27190" s="9"/>
      <c r="J27190" s="11"/>
      <c r="U27190" s="9"/>
      <c r="X27190" s="9"/>
    </row>
    <row r="27191">
      <c r="D27191" s="9"/>
      <c r="G27191" s="9"/>
      <c r="J27191" s="11"/>
      <c r="U27191" s="9"/>
      <c r="X27191" s="9"/>
    </row>
    <row r="27192">
      <c r="D27192" s="9"/>
      <c r="G27192" s="9"/>
      <c r="J27192" s="11"/>
      <c r="U27192" s="9"/>
      <c r="X27192" s="9"/>
    </row>
    <row r="27193">
      <c r="D27193" s="9"/>
      <c r="G27193" s="9"/>
      <c r="J27193" s="11"/>
      <c r="U27193" s="9"/>
      <c r="X27193" s="9"/>
    </row>
    <row r="27194">
      <c r="D27194" s="9"/>
      <c r="G27194" s="9"/>
      <c r="J27194" s="11"/>
      <c r="U27194" s="9"/>
      <c r="X27194" s="9"/>
    </row>
    <row r="27195">
      <c r="D27195" s="9"/>
      <c r="G27195" s="9"/>
      <c r="J27195" s="11"/>
      <c r="U27195" s="9"/>
      <c r="X27195" s="9"/>
    </row>
    <row r="27196">
      <c r="D27196" s="9"/>
      <c r="G27196" s="9"/>
      <c r="J27196" s="11"/>
      <c r="U27196" s="9"/>
      <c r="X27196" s="9"/>
    </row>
    <row r="27197">
      <c r="D27197" s="9"/>
      <c r="G27197" s="9"/>
      <c r="J27197" s="11"/>
      <c r="U27197" s="9"/>
      <c r="X27197" s="9"/>
    </row>
    <row r="27198">
      <c r="D27198" s="9"/>
      <c r="G27198" s="9"/>
      <c r="J27198" s="11"/>
      <c r="U27198" s="9"/>
      <c r="X27198" s="9"/>
    </row>
    <row r="27199">
      <c r="D27199" s="9"/>
      <c r="G27199" s="9"/>
      <c r="J27199" s="11"/>
      <c r="U27199" s="9"/>
      <c r="X27199" s="9"/>
    </row>
    <row r="27200">
      <c r="D27200" s="9"/>
      <c r="G27200" s="9"/>
      <c r="J27200" s="11"/>
      <c r="U27200" s="9"/>
      <c r="X27200" s="9"/>
    </row>
    <row r="27201">
      <c r="D27201" s="9"/>
      <c r="G27201" s="9"/>
      <c r="J27201" s="11"/>
      <c r="U27201" s="9"/>
      <c r="X27201" s="9"/>
    </row>
    <row r="27202">
      <c r="D27202" s="9"/>
      <c r="G27202" s="9"/>
      <c r="J27202" s="11"/>
      <c r="U27202" s="9"/>
      <c r="X27202" s="9"/>
    </row>
    <row r="27203">
      <c r="D27203" s="9"/>
      <c r="G27203" s="9"/>
      <c r="J27203" s="11"/>
      <c r="U27203" s="9"/>
      <c r="X27203" s="9"/>
    </row>
    <row r="27204">
      <c r="D27204" s="9"/>
      <c r="G27204" s="9"/>
      <c r="J27204" s="11"/>
      <c r="U27204" s="9"/>
      <c r="X27204" s="9"/>
    </row>
    <row r="27205">
      <c r="D27205" s="9"/>
      <c r="G27205" s="9"/>
      <c r="J27205" s="11"/>
      <c r="U27205" s="9"/>
      <c r="X27205" s="9"/>
    </row>
    <row r="27206">
      <c r="D27206" s="9"/>
      <c r="G27206" s="9"/>
      <c r="J27206" s="11"/>
      <c r="U27206" s="9"/>
      <c r="X27206" s="9"/>
    </row>
    <row r="27207">
      <c r="D27207" s="9"/>
      <c r="G27207" s="9"/>
      <c r="J27207" s="11"/>
      <c r="U27207" s="9"/>
      <c r="X27207" s="9"/>
    </row>
    <row r="27208">
      <c r="D27208" s="9"/>
      <c r="G27208" s="9"/>
      <c r="J27208" s="11"/>
      <c r="U27208" s="9"/>
      <c r="X27208" s="9"/>
    </row>
    <row r="27209">
      <c r="D27209" s="9"/>
      <c r="G27209" s="9"/>
      <c r="J27209" s="11"/>
      <c r="U27209" s="9"/>
      <c r="X27209" s="9"/>
    </row>
    <row r="27210">
      <c r="D27210" s="9"/>
      <c r="G27210" s="9"/>
      <c r="J27210" s="11"/>
      <c r="U27210" s="9"/>
      <c r="X27210" s="9"/>
    </row>
    <row r="27211">
      <c r="D27211" s="9"/>
      <c r="G27211" s="9"/>
      <c r="J27211" s="11"/>
      <c r="U27211" s="9"/>
      <c r="X27211" s="9"/>
    </row>
    <row r="27212">
      <c r="D27212" s="9"/>
      <c r="G27212" s="9"/>
      <c r="J27212" s="11"/>
      <c r="U27212" s="9"/>
      <c r="X27212" s="9"/>
    </row>
    <row r="27213">
      <c r="D27213" s="9"/>
      <c r="G27213" s="9"/>
      <c r="J27213" s="11"/>
      <c r="U27213" s="9"/>
      <c r="X27213" s="9"/>
    </row>
    <row r="27214">
      <c r="D27214" s="9"/>
      <c r="G27214" s="9"/>
      <c r="J27214" s="11"/>
      <c r="U27214" s="9"/>
      <c r="X27214" s="9"/>
    </row>
    <row r="27215">
      <c r="D27215" s="9"/>
      <c r="G27215" s="9"/>
      <c r="J27215" s="11"/>
      <c r="U27215" s="9"/>
      <c r="X27215" s="9"/>
    </row>
    <row r="27216">
      <c r="D27216" s="9"/>
      <c r="G27216" s="9"/>
      <c r="J27216" s="11"/>
      <c r="U27216" s="9"/>
      <c r="X27216" s="9"/>
    </row>
    <row r="27217">
      <c r="D27217" s="9"/>
      <c r="G27217" s="9"/>
      <c r="J27217" s="11"/>
      <c r="U27217" s="9"/>
      <c r="X27217" s="9"/>
    </row>
    <row r="27218">
      <c r="D27218" s="9"/>
      <c r="G27218" s="9"/>
      <c r="J27218" s="11"/>
      <c r="U27218" s="9"/>
      <c r="X27218" s="9"/>
    </row>
    <row r="27219">
      <c r="D27219" s="9"/>
      <c r="G27219" s="9"/>
      <c r="J27219" s="11"/>
      <c r="U27219" s="9"/>
      <c r="X27219" s="9"/>
    </row>
    <row r="27220">
      <c r="D27220" s="9"/>
      <c r="G27220" s="9"/>
      <c r="J27220" s="11"/>
      <c r="U27220" s="9"/>
      <c r="X27220" s="9"/>
    </row>
    <row r="27221">
      <c r="D27221" s="9"/>
      <c r="G27221" s="9"/>
      <c r="J27221" s="11"/>
      <c r="U27221" s="9"/>
      <c r="X27221" s="9"/>
    </row>
    <row r="27222">
      <c r="D27222" s="9"/>
      <c r="G27222" s="9"/>
      <c r="J27222" s="11"/>
      <c r="U27222" s="9"/>
      <c r="X27222" s="9"/>
    </row>
    <row r="27223">
      <c r="D27223" s="9"/>
      <c r="G27223" s="9"/>
      <c r="J27223" s="11"/>
      <c r="U27223" s="9"/>
      <c r="X27223" s="9"/>
    </row>
    <row r="27224">
      <c r="D27224" s="9"/>
      <c r="G27224" s="9"/>
      <c r="J27224" s="11"/>
      <c r="U27224" s="9"/>
      <c r="X27224" s="9"/>
    </row>
    <row r="27225">
      <c r="D27225" s="9"/>
      <c r="G27225" s="9"/>
      <c r="J27225" s="11"/>
      <c r="U27225" s="9"/>
      <c r="X27225" s="9"/>
    </row>
    <row r="27226">
      <c r="D27226" s="9"/>
      <c r="G27226" s="9"/>
      <c r="J27226" s="11"/>
      <c r="U27226" s="9"/>
      <c r="X27226" s="9"/>
    </row>
    <row r="27227">
      <c r="D27227" s="9"/>
      <c r="G27227" s="9"/>
      <c r="J27227" s="11"/>
      <c r="U27227" s="9"/>
      <c r="X27227" s="9"/>
    </row>
    <row r="27228">
      <c r="D27228" s="9"/>
      <c r="G27228" s="9"/>
      <c r="J27228" s="11"/>
      <c r="U27228" s="9"/>
      <c r="X27228" s="9"/>
    </row>
    <row r="27229">
      <c r="D27229" s="9"/>
      <c r="G27229" s="9"/>
      <c r="J27229" s="11"/>
      <c r="U27229" s="9"/>
      <c r="X27229" s="9"/>
    </row>
    <row r="27230">
      <c r="D27230" s="9"/>
      <c r="G27230" s="9"/>
      <c r="J27230" s="11"/>
      <c r="U27230" s="9"/>
      <c r="X27230" s="9"/>
    </row>
    <row r="27231">
      <c r="D27231" s="9"/>
      <c r="G27231" s="9"/>
      <c r="J27231" s="11"/>
      <c r="U27231" s="9"/>
      <c r="X27231" s="9"/>
    </row>
    <row r="27232">
      <c r="D27232" s="9"/>
      <c r="G27232" s="9"/>
      <c r="J27232" s="11"/>
      <c r="U27232" s="9"/>
      <c r="X27232" s="9"/>
    </row>
    <row r="27233">
      <c r="D27233" s="9"/>
      <c r="G27233" s="9"/>
      <c r="J27233" s="11"/>
      <c r="U27233" s="9"/>
      <c r="X27233" s="9"/>
    </row>
    <row r="27234">
      <c r="D27234" s="9"/>
      <c r="G27234" s="9"/>
      <c r="J27234" s="11"/>
      <c r="U27234" s="9"/>
      <c r="X27234" s="9"/>
    </row>
    <row r="27235">
      <c r="D27235" s="9"/>
      <c r="G27235" s="9"/>
      <c r="J27235" s="11"/>
      <c r="U27235" s="9"/>
      <c r="X27235" s="9"/>
    </row>
    <row r="27236">
      <c r="D27236" s="9"/>
      <c r="G27236" s="9"/>
      <c r="J27236" s="11"/>
      <c r="U27236" s="9"/>
      <c r="X27236" s="9"/>
    </row>
    <row r="27237">
      <c r="D27237" s="9"/>
      <c r="G27237" s="9"/>
      <c r="J27237" s="11"/>
      <c r="U27237" s="9"/>
      <c r="X27237" s="9"/>
    </row>
    <row r="27238">
      <c r="D27238" s="9"/>
      <c r="G27238" s="9"/>
      <c r="J27238" s="11"/>
      <c r="U27238" s="9"/>
      <c r="X27238" s="9"/>
    </row>
    <row r="27239">
      <c r="D27239" s="9"/>
      <c r="G27239" s="9"/>
      <c r="J27239" s="11"/>
      <c r="U27239" s="9"/>
      <c r="X27239" s="9"/>
    </row>
    <row r="27240">
      <c r="D27240" s="9"/>
      <c r="G27240" s="9"/>
      <c r="J27240" s="11"/>
      <c r="U27240" s="9"/>
      <c r="X27240" s="9"/>
    </row>
    <row r="27241">
      <c r="D27241" s="9"/>
      <c r="G27241" s="9"/>
      <c r="J27241" s="11"/>
      <c r="U27241" s="9"/>
      <c r="X27241" s="9"/>
    </row>
    <row r="27242">
      <c r="D27242" s="9"/>
      <c r="G27242" s="9"/>
      <c r="J27242" s="11"/>
      <c r="U27242" s="9"/>
      <c r="X27242" s="9"/>
    </row>
    <row r="27243">
      <c r="D27243" s="9"/>
      <c r="G27243" s="9"/>
      <c r="J27243" s="11"/>
      <c r="U27243" s="9"/>
      <c r="X27243" s="9"/>
    </row>
    <row r="27244">
      <c r="D27244" s="9"/>
      <c r="G27244" s="9"/>
      <c r="J27244" s="11"/>
      <c r="U27244" s="9"/>
      <c r="X27244" s="9"/>
    </row>
    <row r="27245">
      <c r="D27245" s="9"/>
      <c r="G27245" s="9"/>
      <c r="J27245" s="11"/>
      <c r="U27245" s="9"/>
      <c r="X27245" s="9"/>
    </row>
    <row r="27246">
      <c r="D27246" s="9"/>
      <c r="G27246" s="9"/>
      <c r="J27246" s="11"/>
      <c r="U27246" s="9"/>
      <c r="X27246" s="9"/>
    </row>
    <row r="27247">
      <c r="D27247" s="9"/>
      <c r="G27247" s="9"/>
      <c r="J27247" s="11"/>
      <c r="U27247" s="9"/>
      <c r="X27247" s="9"/>
    </row>
    <row r="27248">
      <c r="D27248" s="9"/>
      <c r="G27248" s="9"/>
      <c r="J27248" s="11"/>
      <c r="U27248" s="9"/>
      <c r="X27248" s="9"/>
    </row>
    <row r="27249">
      <c r="D27249" s="9"/>
      <c r="G27249" s="9"/>
      <c r="J27249" s="11"/>
      <c r="U27249" s="9"/>
      <c r="X27249" s="9"/>
    </row>
    <row r="27250">
      <c r="D27250" s="9"/>
      <c r="G27250" s="9"/>
      <c r="J27250" s="11"/>
      <c r="U27250" s="9"/>
      <c r="X27250" s="9"/>
    </row>
    <row r="27251">
      <c r="D27251" s="9"/>
      <c r="G27251" s="9"/>
      <c r="J27251" s="11"/>
      <c r="U27251" s="9"/>
      <c r="X27251" s="9"/>
    </row>
    <row r="27252">
      <c r="D27252" s="9"/>
      <c r="G27252" s="9"/>
      <c r="J27252" s="11"/>
      <c r="U27252" s="9"/>
      <c r="X27252" s="9"/>
    </row>
    <row r="27253">
      <c r="D27253" s="9"/>
      <c r="G27253" s="9"/>
      <c r="J27253" s="11"/>
      <c r="U27253" s="9"/>
      <c r="X27253" s="9"/>
    </row>
    <row r="27254">
      <c r="D27254" s="9"/>
      <c r="G27254" s="9"/>
      <c r="J27254" s="11"/>
      <c r="U27254" s="9"/>
      <c r="X27254" s="9"/>
    </row>
    <row r="27255">
      <c r="D27255" s="9"/>
      <c r="G27255" s="9"/>
      <c r="J27255" s="11"/>
      <c r="U27255" s="9"/>
      <c r="X27255" s="9"/>
    </row>
    <row r="27256">
      <c r="D27256" s="9"/>
      <c r="G27256" s="9"/>
      <c r="J27256" s="11"/>
      <c r="U27256" s="9"/>
      <c r="X27256" s="9"/>
    </row>
    <row r="27257">
      <c r="D27257" s="9"/>
      <c r="G27257" s="9"/>
      <c r="J27257" s="11"/>
      <c r="U27257" s="9"/>
      <c r="X27257" s="9"/>
    </row>
    <row r="27258">
      <c r="D27258" s="9"/>
      <c r="G27258" s="9"/>
      <c r="J27258" s="11"/>
      <c r="U27258" s="9"/>
      <c r="X27258" s="9"/>
    </row>
    <row r="27259">
      <c r="D27259" s="9"/>
      <c r="G27259" s="9"/>
      <c r="J27259" s="11"/>
      <c r="U27259" s="9"/>
      <c r="X27259" s="9"/>
    </row>
    <row r="27260">
      <c r="D27260" s="9"/>
      <c r="G27260" s="9"/>
      <c r="J27260" s="11"/>
      <c r="U27260" s="9"/>
      <c r="X27260" s="9"/>
    </row>
    <row r="27261">
      <c r="D27261" s="9"/>
      <c r="G27261" s="9"/>
      <c r="J27261" s="11"/>
      <c r="U27261" s="9"/>
      <c r="X27261" s="9"/>
    </row>
    <row r="27262">
      <c r="D27262" s="9"/>
      <c r="G27262" s="9"/>
      <c r="J27262" s="11"/>
      <c r="U27262" s="9"/>
      <c r="X27262" s="9"/>
    </row>
    <row r="27263">
      <c r="D27263" s="9"/>
      <c r="G27263" s="9"/>
      <c r="J27263" s="11"/>
      <c r="U27263" s="9"/>
      <c r="X27263" s="9"/>
    </row>
    <row r="27264">
      <c r="D27264" s="9"/>
      <c r="G27264" s="9"/>
      <c r="J27264" s="11"/>
      <c r="U27264" s="9"/>
      <c r="X27264" s="9"/>
    </row>
    <row r="27265">
      <c r="D27265" s="9"/>
      <c r="G27265" s="9"/>
      <c r="J27265" s="11"/>
      <c r="U27265" s="9"/>
      <c r="X27265" s="9"/>
    </row>
    <row r="27266">
      <c r="D27266" s="9"/>
      <c r="G27266" s="9"/>
      <c r="J27266" s="11"/>
      <c r="U27266" s="9"/>
      <c r="X27266" s="9"/>
    </row>
    <row r="27267">
      <c r="D27267" s="9"/>
      <c r="G27267" s="9"/>
      <c r="J27267" s="11"/>
      <c r="U27267" s="9"/>
      <c r="X27267" s="9"/>
    </row>
    <row r="27268">
      <c r="D27268" s="9"/>
      <c r="G27268" s="9"/>
      <c r="J27268" s="11"/>
      <c r="U27268" s="9"/>
      <c r="X27268" s="9"/>
    </row>
    <row r="27269">
      <c r="D27269" s="9"/>
      <c r="G27269" s="9"/>
      <c r="J27269" s="11"/>
      <c r="U27269" s="9"/>
      <c r="X27269" s="9"/>
    </row>
    <row r="27270">
      <c r="D27270" s="9"/>
      <c r="G27270" s="9"/>
      <c r="J27270" s="11"/>
      <c r="U27270" s="9"/>
      <c r="X27270" s="9"/>
    </row>
    <row r="27271">
      <c r="D27271" s="9"/>
      <c r="G27271" s="9"/>
      <c r="J27271" s="11"/>
      <c r="U27271" s="9"/>
      <c r="X27271" s="9"/>
    </row>
    <row r="27272">
      <c r="D27272" s="9"/>
      <c r="G27272" s="9"/>
      <c r="J27272" s="11"/>
      <c r="U27272" s="9"/>
      <c r="X27272" s="9"/>
    </row>
    <row r="27273">
      <c r="D27273" s="9"/>
      <c r="G27273" s="9"/>
      <c r="J27273" s="11"/>
      <c r="U27273" s="9"/>
      <c r="X27273" s="9"/>
    </row>
    <row r="27274">
      <c r="D27274" s="9"/>
      <c r="G27274" s="9"/>
      <c r="J27274" s="11"/>
      <c r="U27274" s="9"/>
      <c r="X27274" s="9"/>
    </row>
    <row r="27275">
      <c r="D27275" s="9"/>
      <c r="G27275" s="9"/>
      <c r="J27275" s="11"/>
      <c r="U27275" s="9"/>
      <c r="X27275" s="9"/>
    </row>
    <row r="27276">
      <c r="D27276" s="9"/>
      <c r="G27276" s="9"/>
      <c r="J27276" s="11"/>
      <c r="U27276" s="9"/>
      <c r="X27276" s="9"/>
    </row>
    <row r="27277">
      <c r="D27277" s="9"/>
      <c r="G27277" s="9"/>
      <c r="J27277" s="11"/>
      <c r="U27277" s="9"/>
      <c r="X27277" s="9"/>
    </row>
    <row r="27278">
      <c r="D27278" s="9"/>
      <c r="G27278" s="9"/>
      <c r="J27278" s="11"/>
      <c r="U27278" s="9"/>
      <c r="X27278" s="9"/>
    </row>
    <row r="27279">
      <c r="D27279" s="9"/>
      <c r="G27279" s="9"/>
      <c r="J27279" s="11"/>
      <c r="U27279" s="9"/>
      <c r="X27279" s="9"/>
    </row>
    <row r="27280">
      <c r="D27280" s="9"/>
      <c r="G27280" s="9"/>
      <c r="J27280" s="11"/>
      <c r="U27280" s="9"/>
      <c r="X27280" s="9"/>
    </row>
    <row r="27281">
      <c r="D27281" s="9"/>
      <c r="G27281" s="9"/>
      <c r="J27281" s="11"/>
      <c r="U27281" s="9"/>
      <c r="X27281" s="9"/>
    </row>
    <row r="27282">
      <c r="D27282" s="9"/>
      <c r="G27282" s="9"/>
      <c r="J27282" s="11"/>
      <c r="U27282" s="9"/>
      <c r="X27282" s="9"/>
    </row>
    <row r="27283">
      <c r="D27283" s="9"/>
      <c r="G27283" s="9"/>
      <c r="J27283" s="11"/>
      <c r="U27283" s="9"/>
      <c r="X27283" s="9"/>
    </row>
    <row r="27284">
      <c r="D27284" s="9"/>
      <c r="G27284" s="9"/>
      <c r="J27284" s="11"/>
      <c r="U27284" s="9"/>
      <c r="X27284" s="9"/>
    </row>
    <row r="27285">
      <c r="D27285" s="9"/>
      <c r="G27285" s="9"/>
      <c r="J27285" s="11"/>
      <c r="U27285" s="9"/>
      <c r="X27285" s="9"/>
    </row>
    <row r="27286">
      <c r="D27286" s="9"/>
      <c r="G27286" s="9"/>
      <c r="J27286" s="11"/>
      <c r="U27286" s="9"/>
      <c r="X27286" s="9"/>
    </row>
    <row r="27287">
      <c r="D27287" s="9"/>
      <c r="G27287" s="9"/>
      <c r="J27287" s="11"/>
      <c r="U27287" s="9"/>
      <c r="X27287" s="9"/>
    </row>
    <row r="27288">
      <c r="D27288" s="9"/>
      <c r="G27288" s="9"/>
      <c r="J27288" s="11"/>
      <c r="U27288" s="9"/>
      <c r="X27288" s="9"/>
    </row>
    <row r="27289">
      <c r="D27289" s="9"/>
      <c r="G27289" s="9"/>
      <c r="J27289" s="11"/>
      <c r="U27289" s="9"/>
      <c r="X27289" s="9"/>
    </row>
    <row r="27290">
      <c r="D27290" s="9"/>
      <c r="G27290" s="9"/>
      <c r="J27290" s="11"/>
      <c r="U27290" s="9"/>
      <c r="X27290" s="9"/>
    </row>
    <row r="27291">
      <c r="D27291" s="9"/>
      <c r="G27291" s="9"/>
      <c r="J27291" s="11"/>
      <c r="U27291" s="9"/>
      <c r="X27291" s="9"/>
    </row>
    <row r="27292">
      <c r="D27292" s="9"/>
      <c r="G27292" s="9"/>
      <c r="J27292" s="11"/>
      <c r="U27292" s="9"/>
      <c r="X27292" s="9"/>
    </row>
    <row r="27293">
      <c r="D27293" s="9"/>
      <c r="G27293" s="9"/>
      <c r="J27293" s="11"/>
      <c r="U27293" s="9"/>
      <c r="X27293" s="9"/>
    </row>
    <row r="27294">
      <c r="D27294" s="9"/>
      <c r="G27294" s="9"/>
      <c r="J27294" s="11"/>
      <c r="U27294" s="9"/>
      <c r="X27294" s="9"/>
    </row>
    <row r="27295">
      <c r="D27295" s="9"/>
      <c r="G27295" s="9"/>
      <c r="J27295" s="11"/>
      <c r="U27295" s="9"/>
      <c r="X27295" s="9"/>
    </row>
    <row r="27296">
      <c r="D27296" s="9"/>
      <c r="G27296" s="9"/>
      <c r="J27296" s="11"/>
      <c r="U27296" s="9"/>
      <c r="X27296" s="9"/>
    </row>
    <row r="27297">
      <c r="D27297" s="9"/>
      <c r="G27297" s="9"/>
      <c r="J27297" s="11"/>
      <c r="U27297" s="9"/>
      <c r="X27297" s="9"/>
    </row>
    <row r="27298">
      <c r="D27298" s="9"/>
      <c r="G27298" s="9"/>
      <c r="J27298" s="11"/>
      <c r="U27298" s="9"/>
      <c r="X27298" s="9"/>
    </row>
    <row r="27299">
      <c r="D27299" s="9"/>
      <c r="G27299" s="9"/>
      <c r="J27299" s="11"/>
      <c r="U27299" s="9"/>
      <c r="X27299" s="9"/>
    </row>
    <row r="27300">
      <c r="D27300" s="9"/>
      <c r="G27300" s="9"/>
      <c r="J27300" s="11"/>
      <c r="U27300" s="9"/>
      <c r="X27300" s="9"/>
    </row>
    <row r="27301">
      <c r="D27301" s="9"/>
      <c r="G27301" s="9"/>
      <c r="J27301" s="11"/>
      <c r="U27301" s="9"/>
      <c r="X27301" s="9"/>
    </row>
    <row r="27302">
      <c r="D27302" s="9"/>
      <c r="G27302" s="9"/>
      <c r="J27302" s="11"/>
      <c r="U27302" s="9"/>
      <c r="X27302" s="9"/>
    </row>
    <row r="27303">
      <c r="D27303" s="9"/>
      <c r="G27303" s="9"/>
      <c r="J27303" s="11"/>
      <c r="U27303" s="9"/>
      <c r="X27303" s="9"/>
    </row>
    <row r="27304">
      <c r="D27304" s="9"/>
      <c r="G27304" s="9"/>
      <c r="J27304" s="11"/>
      <c r="U27304" s="9"/>
      <c r="X27304" s="9"/>
    </row>
    <row r="27305">
      <c r="D27305" s="9"/>
      <c r="G27305" s="9"/>
      <c r="J27305" s="11"/>
      <c r="U27305" s="9"/>
      <c r="X27305" s="9"/>
    </row>
    <row r="27306">
      <c r="D27306" s="9"/>
      <c r="G27306" s="9"/>
      <c r="J27306" s="11"/>
      <c r="U27306" s="9"/>
      <c r="X27306" s="9"/>
    </row>
    <row r="27307">
      <c r="D27307" s="9"/>
      <c r="G27307" s="9"/>
      <c r="J27307" s="11"/>
      <c r="U27307" s="9"/>
      <c r="X27307" s="9"/>
    </row>
    <row r="27308">
      <c r="D27308" s="9"/>
      <c r="G27308" s="9"/>
      <c r="J27308" s="11"/>
      <c r="U27308" s="9"/>
      <c r="X27308" s="9"/>
    </row>
    <row r="27309">
      <c r="D27309" s="9"/>
      <c r="G27309" s="9"/>
      <c r="J27309" s="11"/>
      <c r="U27309" s="9"/>
      <c r="X27309" s="9"/>
    </row>
    <row r="27310">
      <c r="D27310" s="9"/>
      <c r="G27310" s="9"/>
      <c r="J27310" s="11"/>
      <c r="U27310" s="9"/>
      <c r="X27310" s="9"/>
    </row>
    <row r="27311">
      <c r="D27311" s="9"/>
      <c r="G27311" s="9"/>
      <c r="J27311" s="11"/>
      <c r="U27311" s="9"/>
      <c r="X27311" s="9"/>
    </row>
    <row r="27312">
      <c r="D27312" s="9"/>
      <c r="G27312" s="9"/>
      <c r="J27312" s="11"/>
      <c r="U27312" s="9"/>
      <c r="X27312" s="9"/>
    </row>
    <row r="27313">
      <c r="D27313" s="9"/>
      <c r="G27313" s="9"/>
      <c r="J27313" s="11"/>
      <c r="U27313" s="9"/>
      <c r="X27313" s="9"/>
    </row>
    <row r="27314">
      <c r="D27314" s="9"/>
      <c r="G27314" s="9"/>
      <c r="J27314" s="11"/>
      <c r="U27314" s="9"/>
      <c r="X27314" s="9"/>
    </row>
    <row r="27315">
      <c r="D27315" s="9"/>
      <c r="G27315" s="9"/>
      <c r="J27315" s="11"/>
      <c r="U27315" s="9"/>
      <c r="X27315" s="9"/>
    </row>
    <row r="27316">
      <c r="D27316" s="9"/>
      <c r="G27316" s="9"/>
      <c r="J27316" s="11"/>
      <c r="U27316" s="9"/>
      <c r="X27316" s="9"/>
    </row>
    <row r="27317">
      <c r="D27317" s="9"/>
      <c r="G27317" s="9"/>
      <c r="J27317" s="11"/>
      <c r="U27317" s="9"/>
      <c r="X27317" s="9"/>
    </row>
    <row r="27318">
      <c r="D27318" s="9"/>
      <c r="G27318" s="9"/>
      <c r="J27318" s="11"/>
      <c r="U27318" s="9"/>
      <c r="X27318" s="9"/>
    </row>
    <row r="27319">
      <c r="D27319" s="9"/>
      <c r="G27319" s="9"/>
      <c r="J27319" s="11"/>
      <c r="U27319" s="9"/>
      <c r="X27319" s="9"/>
    </row>
    <row r="27320">
      <c r="D27320" s="9"/>
      <c r="G27320" s="9"/>
      <c r="J27320" s="11"/>
      <c r="U27320" s="9"/>
      <c r="X27320" s="9"/>
    </row>
    <row r="27321">
      <c r="D27321" s="9"/>
      <c r="G27321" s="9"/>
      <c r="J27321" s="11"/>
      <c r="U27321" s="9"/>
      <c r="X27321" s="9"/>
    </row>
    <row r="27322">
      <c r="D27322" s="9"/>
      <c r="G27322" s="9"/>
      <c r="J27322" s="11"/>
      <c r="U27322" s="9"/>
      <c r="X27322" s="9"/>
    </row>
    <row r="27323">
      <c r="D27323" s="9"/>
      <c r="G27323" s="9"/>
      <c r="J27323" s="11"/>
      <c r="U27323" s="9"/>
      <c r="X27323" s="9"/>
    </row>
    <row r="27324">
      <c r="D27324" s="9"/>
      <c r="G27324" s="9"/>
      <c r="J27324" s="11"/>
      <c r="U27324" s="9"/>
      <c r="X27324" s="9"/>
    </row>
    <row r="27325">
      <c r="D27325" s="9"/>
      <c r="G27325" s="9"/>
      <c r="J27325" s="11"/>
      <c r="U27325" s="9"/>
      <c r="X27325" s="9"/>
    </row>
    <row r="27326">
      <c r="D27326" s="9"/>
      <c r="G27326" s="9"/>
      <c r="J27326" s="11"/>
      <c r="U27326" s="9"/>
      <c r="X27326" s="9"/>
    </row>
    <row r="27327">
      <c r="D27327" s="9"/>
      <c r="G27327" s="9"/>
      <c r="J27327" s="11"/>
      <c r="U27327" s="9"/>
      <c r="X27327" s="9"/>
    </row>
    <row r="27328">
      <c r="D27328" s="9"/>
      <c r="G27328" s="9"/>
      <c r="J27328" s="11"/>
      <c r="U27328" s="9"/>
      <c r="X27328" s="9"/>
    </row>
    <row r="27329">
      <c r="D27329" s="9"/>
      <c r="G27329" s="9"/>
      <c r="J27329" s="11"/>
      <c r="U27329" s="9"/>
      <c r="X27329" s="9"/>
    </row>
    <row r="27330">
      <c r="D27330" s="9"/>
      <c r="G27330" s="9"/>
      <c r="J27330" s="11"/>
      <c r="U27330" s="9"/>
      <c r="X27330" s="9"/>
    </row>
    <row r="27331">
      <c r="D27331" s="9"/>
      <c r="G27331" s="9"/>
      <c r="J27331" s="11"/>
      <c r="U27331" s="9"/>
      <c r="X27331" s="9"/>
    </row>
    <row r="27332">
      <c r="D27332" s="9"/>
      <c r="G27332" s="9"/>
      <c r="J27332" s="11"/>
      <c r="U27332" s="9"/>
      <c r="X27332" s="9"/>
    </row>
    <row r="27333">
      <c r="D27333" s="9"/>
      <c r="G27333" s="9"/>
      <c r="J27333" s="11"/>
      <c r="U27333" s="9"/>
      <c r="X27333" s="9"/>
    </row>
    <row r="27334">
      <c r="D27334" s="9"/>
      <c r="G27334" s="9"/>
      <c r="J27334" s="11"/>
      <c r="U27334" s="9"/>
      <c r="X27334" s="9"/>
    </row>
    <row r="27335">
      <c r="D27335" s="9"/>
      <c r="G27335" s="9"/>
      <c r="J27335" s="11"/>
      <c r="U27335" s="9"/>
      <c r="X27335" s="9"/>
    </row>
    <row r="27336">
      <c r="D27336" s="9"/>
      <c r="G27336" s="9"/>
      <c r="J27336" s="11"/>
      <c r="U27336" s="9"/>
      <c r="X27336" s="9"/>
    </row>
    <row r="27337">
      <c r="D27337" s="9"/>
      <c r="G27337" s="9"/>
      <c r="J27337" s="11"/>
      <c r="U27337" s="9"/>
      <c r="X27337" s="9"/>
    </row>
    <row r="27338">
      <c r="D27338" s="9"/>
      <c r="G27338" s="9"/>
      <c r="J27338" s="11"/>
      <c r="U27338" s="9"/>
      <c r="X27338" s="9"/>
    </row>
    <row r="27339">
      <c r="D27339" s="9"/>
      <c r="G27339" s="9"/>
      <c r="J27339" s="11"/>
      <c r="U27339" s="9"/>
      <c r="X27339" s="9"/>
    </row>
    <row r="27340">
      <c r="D27340" s="9"/>
      <c r="G27340" s="9"/>
      <c r="J27340" s="11"/>
      <c r="U27340" s="9"/>
      <c r="X27340" s="9"/>
    </row>
    <row r="27341">
      <c r="D27341" s="9"/>
      <c r="G27341" s="9"/>
      <c r="J27341" s="11"/>
      <c r="U27341" s="9"/>
      <c r="X27341" s="9"/>
    </row>
    <row r="27342">
      <c r="D27342" s="9"/>
      <c r="G27342" s="9"/>
      <c r="J27342" s="11"/>
      <c r="U27342" s="9"/>
      <c r="X27342" s="9"/>
    </row>
    <row r="27343">
      <c r="D27343" s="9"/>
      <c r="G27343" s="9"/>
      <c r="J27343" s="11"/>
      <c r="U27343" s="9"/>
      <c r="X27343" s="9"/>
    </row>
    <row r="27344">
      <c r="D27344" s="9"/>
      <c r="G27344" s="9"/>
      <c r="J27344" s="11"/>
      <c r="U27344" s="9"/>
      <c r="X27344" s="9"/>
    </row>
    <row r="27345">
      <c r="D27345" s="9"/>
      <c r="G27345" s="9"/>
      <c r="J27345" s="11"/>
      <c r="U27345" s="9"/>
      <c r="X27345" s="9"/>
    </row>
    <row r="27346">
      <c r="D27346" s="9"/>
      <c r="G27346" s="9"/>
      <c r="J27346" s="11"/>
      <c r="U27346" s="9"/>
      <c r="X27346" s="9"/>
    </row>
    <row r="27347">
      <c r="D27347" s="9"/>
      <c r="G27347" s="9"/>
      <c r="J27347" s="11"/>
      <c r="U27347" s="9"/>
      <c r="X27347" s="9"/>
    </row>
    <row r="27348">
      <c r="D27348" s="9"/>
      <c r="G27348" s="9"/>
      <c r="J27348" s="11"/>
      <c r="U27348" s="9"/>
      <c r="X27348" s="9"/>
    </row>
    <row r="27349">
      <c r="D27349" s="9"/>
      <c r="G27349" s="9"/>
      <c r="J27349" s="11"/>
      <c r="U27349" s="9"/>
      <c r="X27349" s="9"/>
    </row>
    <row r="27350">
      <c r="D27350" s="9"/>
      <c r="G27350" s="9"/>
      <c r="J27350" s="11"/>
      <c r="U27350" s="9"/>
      <c r="X27350" s="9"/>
    </row>
    <row r="27351">
      <c r="D27351" s="9"/>
      <c r="G27351" s="9"/>
      <c r="J27351" s="11"/>
      <c r="U27351" s="9"/>
      <c r="X27351" s="9"/>
    </row>
    <row r="27352">
      <c r="D27352" s="9"/>
      <c r="G27352" s="9"/>
      <c r="J27352" s="11"/>
      <c r="U27352" s="9"/>
      <c r="X27352" s="9"/>
    </row>
    <row r="27353">
      <c r="D27353" s="9"/>
      <c r="G27353" s="9"/>
      <c r="J27353" s="11"/>
      <c r="U27353" s="9"/>
      <c r="X27353" s="9"/>
    </row>
    <row r="27354">
      <c r="D27354" s="9"/>
      <c r="G27354" s="9"/>
      <c r="J27354" s="11"/>
      <c r="U27354" s="9"/>
      <c r="X27354" s="9"/>
    </row>
    <row r="27355">
      <c r="D27355" s="9"/>
      <c r="G27355" s="9"/>
      <c r="J27355" s="11"/>
      <c r="U27355" s="9"/>
      <c r="X27355" s="9"/>
    </row>
    <row r="27356">
      <c r="D27356" s="9"/>
      <c r="G27356" s="9"/>
      <c r="J27356" s="11"/>
      <c r="U27356" s="9"/>
      <c r="X27356" s="9"/>
    </row>
    <row r="27357">
      <c r="D27357" s="9"/>
      <c r="G27357" s="9"/>
      <c r="J27357" s="11"/>
      <c r="U27357" s="9"/>
      <c r="X27357" s="9"/>
    </row>
    <row r="27358">
      <c r="D27358" s="9"/>
      <c r="G27358" s="9"/>
      <c r="J27358" s="11"/>
      <c r="U27358" s="9"/>
      <c r="X27358" s="9"/>
    </row>
    <row r="27359">
      <c r="D27359" s="9"/>
      <c r="G27359" s="9"/>
      <c r="J27359" s="11"/>
      <c r="U27359" s="9"/>
      <c r="X27359" s="9"/>
    </row>
    <row r="27360">
      <c r="D27360" s="9"/>
      <c r="G27360" s="9"/>
      <c r="J27360" s="11"/>
      <c r="U27360" s="9"/>
      <c r="X27360" s="9"/>
    </row>
    <row r="27361">
      <c r="D27361" s="9"/>
      <c r="G27361" s="9"/>
      <c r="J27361" s="11"/>
      <c r="U27361" s="9"/>
      <c r="X27361" s="9"/>
    </row>
    <row r="27362">
      <c r="D27362" s="9"/>
      <c r="G27362" s="9"/>
      <c r="J27362" s="11"/>
      <c r="U27362" s="9"/>
      <c r="X27362" s="9"/>
    </row>
    <row r="27363">
      <c r="D27363" s="9"/>
      <c r="G27363" s="9"/>
      <c r="J27363" s="11"/>
      <c r="U27363" s="9"/>
      <c r="X27363" s="9"/>
    </row>
    <row r="27364">
      <c r="D27364" s="9"/>
      <c r="G27364" s="9"/>
      <c r="J27364" s="11"/>
      <c r="U27364" s="9"/>
      <c r="X27364" s="9"/>
    </row>
    <row r="27365">
      <c r="D27365" s="9"/>
      <c r="G27365" s="9"/>
      <c r="J27365" s="11"/>
      <c r="U27365" s="9"/>
      <c r="X27365" s="9"/>
    </row>
    <row r="27366">
      <c r="D27366" s="9"/>
      <c r="G27366" s="9"/>
      <c r="J27366" s="11"/>
      <c r="U27366" s="9"/>
      <c r="X27366" s="9"/>
    </row>
    <row r="27367">
      <c r="D27367" s="9"/>
      <c r="G27367" s="9"/>
      <c r="J27367" s="11"/>
      <c r="U27367" s="9"/>
      <c r="X27367" s="9"/>
    </row>
    <row r="27368">
      <c r="D27368" s="9"/>
      <c r="G27368" s="9"/>
      <c r="J27368" s="11"/>
      <c r="U27368" s="9"/>
      <c r="X27368" s="9"/>
    </row>
    <row r="27369">
      <c r="D27369" s="9"/>
      <c r="G27369" s="9"/>
      <c r="J27369" s="11"/>
      <c r="U27369" s="9"/>
      <c r="X27369" s="9"/>
    </row>
    <row r="27370">
      <c r="D27370" s="9"/>
      <c r="G27370" s="9"/>
      <c r="J27370" s="11"/>
      <c r="U27370" s="9"/>
      <c r="X27370" s="9"/>
    </row>
    <row r="27371">
      <c r="D27371" s="9"/>
      <c r="G27371" s="9"/>
      <c r="J27371" s="11"/>
      <c r="U27371" s="9"/>
      <c r="X27371" s="9"/>
    </row>
    <row r="27372">
      <c r="D27372" s="9"/>
      <c r="G27372" s="9"/>
      <c r="J27372" s="11"/>
      <c r="U27372" s="9"/>
      <c r="X27372" s="9"/>
    </row>
    <row r="27373">
      <c r="D27373" s="9"/>
      <c r="G27373" s="9"/>
      <c r="J27373" s="11"/>
      <c r="U27373" s="9"/>
      <c r="X27373" s="9"/>
    </row>
    <row r="27374">
      <c r="D27374" s="9"/>
      <c r="G27374" s="9"/>
      <c r="J27374" s="11"/>
      <c r="U27374" s="9"/>
      <c r="X27374" s="9"/>
    </row>
    <row r="27375">
      <c r="D27375" s="9"/>
      <c r="G27375" s="9"/>
      <c r="J27375" s="11"/>
      <c r="U27375" s="9"/>
      <c r="X27375" s="9"/>
    </row>
    <row r="27376">
      <c r="D27376" s="9"/>
      <c r="G27376" s="9"/>
      <c r="J27376" s="11"/>
      <c r="U27376" s="9"/>
      <c r="X27376" s="9"/>
    </row>
    <row r="27377">
      <c r="D27377" s="9"/>
      <c r="G27377" s="9"/>
      <c r="J27377" s="11"/>
      <c r="U27377" s="9"/>
      <c r="X27377" s="9"/>
    </row>
    <row r="27378">
      <c r="D27378" s="9"/>
      <c r="G27378" s="9"/>
      <c r="J27378" s="11"/>
      <c r="U27378" s="9"/>
      <c r="X27378" s="9"/>
    </row>
    <row r="27379">
      <c r="D27379" s="9"/>
      <c r="G27379" s="9"/>
      <c r="J27379" s="11"/>
      <c r="U27379" s="9"/>
      <c r="X27379" s="9"/>
    </row>
    <row r="27380">
      <c r="D27380" s="9"/>
      <c r="G27380" s="9"/>
      <c r="J27380" s="11"/>
      <c r="U27380" s="9"/>
      <c r="X27380" s="9"/>
    </row>
    <row r="27381">
      <c r="D27381" s="9"/>
      <c r="G27381" s="9"/>
      <c r="J27381" s="11"/>
      <c r="U27381" s="9"/>
      <c r="X27381" s="9"/>
    </row>
    <row r="27382">
      <c r="D27382" s="9"/>
      <c r="G27382" s="9"/>
      <c r="J27382" s="11"/>
      <c r="U27382" s="9"/>
      <c r="X27382" s="9"/>
    </row>
    <row r="27383">
      <c r="D27383" s="9"/>
      <c r="G27383" s="9"/>
      <c r="J27383" s="11"/>
      <c r="U27383" s="9"/>
      <c r="X27383" s="9"/>
    </row>
    <row r="27384">
      <c r="D27384" s="9"/>
      <c r="G27384" s="9"/>
      <c r="J27384" s="11"/>
      <c r="U27384" s="9"/>
      <c r="X27384" s="9"/>
    </row>
    <row r="27385">
      <c r="D27385" s="9"/>
      <c r="G27385" s="9"/>
      <c r="J27385" s="11"/>
      <c r="U27385" s="9"/>
      <c r="X27385" s="9"/>
    </row>
    <row r="27386">
      <c r="D27386" s="9"/>
      <c r="G27386" s="9"/>
      <c r="J27386" s="11"/>
      <c r="U27386" s="9"/>
      <c r="X27386" s="9"/>
    </row>
    <row r="27387">
      <c r="D27387" s="9"/>
      <c r="G27387" s="9"/>
      <c r="J27387" s="11"/>
      <c r="U27387" s="9"/>
      <c r="X27387" s="9"/>
    </row>
    <row r="27388">
      <c r="D27388" s="9"/>
      <c r="G27388" s="9"/>
      <c r="J27388" s="11"/>
      <c r="U27388" s="9"/>
      <c r="X27388" s="9"/>
    </row>
    <row r="27389">
      <c r="D27389" s="9"/>
      <c r="G27389" s="9"/>
      <c r="J27389" s="11"/>
      <c r="U27389" s="9"/>
      <c r="X27389" s="9"/>
    </row>
    <row r="27390">
      <c r="D27390" s="9"/>
      <c r="G27390" s="9"/>
      <c r="J27390" s="11"/>
      <c r="U27390" s="9"/>
      <c r="X27390" s="9"/>
    </row>
    <row r="27391">
      <c r="D27391" s="9"/>
      <c r="G27391" s="9"/>
      <c r="J27391" s="11"/>
      <c r="U27391" s="9"/>
      <c r="X27391" s="9"/>
    </row>
    <row r="27392">
      <c r="D27392" s="9"/>
      <c r="G27392" s="9"/>
      <c r="J27392" s="11"/>
      <c r="U27392" s="9"/>
      <c r="X27392" s="9"/>
    </row>
    <row r="27393">
      <c r="D27393" s="9"/>
      <c r="G27393" s="9"/>
      <c r="J27393" s="11"/>
      <c r="U27393" s="9"/>
      <c r="X27393" s="9"/>
    </row>
    <row r="27394">
      <c r="D27394" s="9"/>
      <c r="G27394" s="9"/>
      <c r="J27394" s="11"/>
      <c r="U27394" s="9"/>
      <c r="X27394" s="9"/>
    </row>
    <row r="27395">
      <c r="D27395" s="9"/>
      <c r="G27395" s="9"/>
      <c r="J27395" s="11"/>
      <c r="U27395" s="9"/>
      <c r="X27395" s="9"/>
    </row>
    <row r="27396">
      <c r="D27396" s="9"/>
      <c r="G27396" s="9"/>
      <c r="J27396" s="11"/>
      <c r="U27396" s="9"/>
      <c r="X27396" s="9"/>
    </row>
    <row r="27397">
      <c r="D27397" s="9"/>
      <c r="G27397" s="9"/>
      <c r="J27397" s="11"/>
      <c r="U27397" s="9"/>
      <c r="X27397" s="9"/>
    </row>
    <row r="27398">
      <c r="D27398" s="9"/>
      <c r="G27398" s="9"/>
      <c r="J27398" s="11"/>
      <c r="U27398" s="9"/>
      <c r="X27398" s="9"/>
    </row>
    <row r="27399">
      <c r="D27399" s="9"/>
      <c r="G27399" s="9"/>
      <c r="J27399" s="11"/>
      <c r="U27399" s="9"/>
      <c r="X27399" s="9"/>
    </row>
    <row r="27400">
      <c r="D27400" s="9"/>
      <c r="G27400" s="9"/>
      <c r="J27400" s="11"/>
      <c r="U27400" s="9"/>
      <c r="X27400" s="9"/>
    </row>
    <row r="27401">
      <c r="D27401" s="9"/>
      <c r="G27401" s="9"/>
      <c r="J27401" s="11"/>
      <c r="U27401" s="9"/>
      <c r="X27401" s="9"/>
    </row>
    <row r="27402">
      <c r="D27402" s="9"/>
      <c r="G27402" s="9"/>
      <c r="J27402" s="11"/>
      <c r="U27402" s="9"/>
      <c r="X27402" s="9"/>
    </row>
    <row r="27403">
      <c r="D27403" s="9"/>
      <c r="G27403" s="9"/>
      <c r="J27403" s="11"/>
      <c r="U27403" s="9"/>
      <c r="X27403" s="9"/>
    </row>
    <row r="27404">
      <c r="D27404" s="9"/>
      <c r="G27404" s="9"/>
      <c r="J27404" s="11"/>
      <c r="U27404" s="9"/>
      <c r="X27404" s="9"/>
    </row>
    <row r="27405">
      <c r="D27405" s="9"/>
      <c r="G27405" s="9"/>
      <c r="J27405" s="11"/>
      <c r="U27405" s="9"/>
      <c r="X27405" s="9"/>
    </row>
    <row r="27406">
      <c r="D27406" s="9"/>
      <c r="G27406" s="9"/>
      <c r="J27406" s="11"/>
      <c r="U27406" s="9"/>
      <c r="X27406" s="9"/>
    </row>
    <row r="27407">
      <c r="D27407" s="9"/>
      <c r="G27407" s="9"/>
      <c r="J27407" s="11"/>
      <c r="U27407" s="9"/>
      <c r="X27407" s="9"/>
    </row>
    <row r="27408">
      <c r="D27408" s="9"/>
      <c r="G27408" s="9"/>
      <c r="J27408" s="11"/>
      <c r="U27408" s="9"/>
      <c r="X27408" s="9"/>
    </row>
    <row r="27409">
      <c r="D27409" s="9"/>
      <c r="G27409" s="9"/>
      <c r="J27409" s="11"/>
      <c r="U27409" s="9"/>
      <c r="X27409" s="9"/>
    </row>
    <row r="27410">
      <c r="D27410" s="9"/>
      <c r="G27410" s="9"/>
      <c r="J27410" s="11"/>
      <c r="U27410" s="9"/>
      <c r="X27410" s="9"/>
    </row>
    <row r="27411">
      <c r="D27411" s="9"/>
      <c r="G27411" s="9"/>
      <c r="J27411" s="11"/>
      <c r="U27411" s="9"/>
      <c r="X27411" s="9"/>
    </row>
    <row r="27412">
      <c r="D27412" s="9"/>
      <c r="G27412" s="9"/>
      <c r="J27412" s="11"/>
      <c r="U27412" s="9"/>
      <c r="X27412" s="9"/>
    </row>
    <row r="27413">
      <c r="D27413" s="9"/>
      <c r="G27413" s="9"/>
      <c r="J27413" s="11"/>
      <c r="U27413" s="9"/>
      <c r="X27413" s="9"/>
    </row>
    <row r="27414">
      <c r="D27414" s="9"/>
      <c r="G27414" s="9"/>
      <c r="J27414" s="11"/>
      <c r="U27414" s="9"/>
      <c r="X27414" s="9"/>
    </row>
    <row r="27415">
      <c r="D27415" s="9"/>
      <c r="G27415" s="9"/>
      <c r="J27415" s="11"/>
      <c r="U27415" s="9"/>
      <c r="X27415" s="9"/>
    </row>
    <row r="27416">
      <c r="D27416" s="9"/>
      <c r="G27416" s="9"/>
      <c r="J27416" s="11"/>
      <c r="U27416" s="9"/>
      <c r="X27416" s="9"/>
    </row>
    <row r="27417">
      <c r="D27417" s="9"/>
      <c r="G27417" s="9"/>
      <c r="J27417" s="11"/>
      <c r="U27417" s="9"/>
      <c r="X27417" s="9"/>
    </row>
    <row r="27418">
      <c r="D27418" s="9"/>
      <c r="G27418" s="9"/>
      <c r="J27418" s="11"/>
      <c r="U27418" s="9"/>
      <c r="X27418" s="9"/>
    </row>
    <row r="27419">
      <c r="D27419" s="9"/>
      <c r="G27419" s="9"/>
      <c r="J27419" s="11"/>
      <c r="U27419" s="9"/>
      <c r="X27419" s="9"/>
    </row>
    <row r="27420">
      <c r="D27420" s="9"/>
      <c r="G27420" s="9"/>
      <c r="J27420" s="11"/>
      <c r="U27420" s="9"/>
      <c r="X27420" s="9"/>
    </row>
    <row r="27421">
      <c r="D27421" s="9"/>
      <c r="G27421" s="9"/>
      <c r="J27421" s="11"/>
      <c r="U27421" s="9"/>
      <c r="X27421" s="9"/>
    </row>
    <row r="27422">
      <c r="D27422" s="9"/>
      <c r="G27422" s="9"/>
      <c r="J27422" s="11"/>
      <c r="U27422" s="9"/>
      <c r="X27422" s="9"/>
    </row>
    <row r="27423">
      <c r="D27423" s="9"/>
      <c r="G27423" s="9"/>
      <c r="J27423" s="11"/>
      <c r="U27423" s="9"/>
      <c r="X27423" s="9"/>
    </row>
    <row r="27424">
      <c r="D27424" s="9"/>
      <c r="G27424" s="9"/>
      <c r="J27424" s="11"/>
      <c r="U27424" s="9"/>
      <c r="X27424" s="9"/>
    </row>
    <row r="27425">
      <c r="D27425" s="9"/>
      <c r="G27425" s="9"/>
      <c r="J27425" s="11"/>
      <c r="U27425" s="9"/>
      <c r="X27425" s="9"/>
    </row>
    <row r="27426">
      <c r="D27426" s="9"/>
      <c r="G27426" s="9"/>
      <c r="J27426" s="11"/>
      <c r="U27426" s="9"/>
      <c r="X27426" s="9"/>
    </row>
    <row r="27427">
      <c r="D27427" s="9"/>
      <c r="G27427" s="9"/>
      <c r="J27427" s="11"/>
      <c r="U27427" s="9"/>
      <c r="X27427" s="9"/>
    </row>
    <row r="27428">
      <c r="D27428" s="9"/>
      <c r="G27428" s="9"/>
      <c r="J27428" s="11"/>
      <c r="U27428" s="9"/>
      <c r="X27428" s="9"/>
    </row>
    <row r="27429">
      <c r="D27429" s="9"/>
      <c r="G27429" s="9"/>
      <c r="J27429" s="11"/>
      <c r="U27429" s="9"/>
      <c r="X27429" s="9"/>
    </row>
    <row r="27430">
      <c r="D27430" s="9"/>
      <c r="G27430" s="9"/>
      <c r="J27430" s="11"/>
      <c r="U27430" s="9"/>
      <c r="X27430" s="9"/>
    </row>
    <row r="27431">
      <c r="D27431" s="9"/>
      <c r="G27431" s="9"/>
      <c r="J27431" s="11"/>
      <c r="U27431" s="9"/>
      <c r="X27431" s="9"/>
    </row>
    <row r="27432">
      <c r="D27432" s="9"/>
      <c r="G27432" s="9"/>
      <c r="J27432" s="11"/>
      <c r="U27432" s="9"/>
      <c r="X27432" s="9"/>
    </row>
    <row r="27433">
      <c r="D27433" s="9"/>
      <c r="G27433" s="9"/>
      <c r="J27433" s="11"/>
      <c r="U27433" s="9"/>
      <c r="X27433" s="9"/>
    </row>
    <row r="27434">
      <c r="D27434" s="9"/>
      <c r="G27434" s="9"/>
      <c r="J27434" s="11"/>
      <c r="U27434" s="9"/>
      <c r="X27434" s="9"/>
    </row>
    <row r="27435">
      <c r="D27435" s="9"/>
      <c r="G27435" s="9"/>
      <c r="J27435" s="11"/>
      <c r="U27435" s="9"/>
      <c r="X27435" s="9"/>
    </row>
    <row r="27436">
      <c r="D27436" s="9"/>
      <c r="G27436" s="9"/>
      <c r="J27436" s="11"/>
      <c r="U27436" s="9"/>
      <c r="X27436" s="9"/>
    </row>
    <row r="27437">
      <c r="D27437" s="9"/>
      <c r="G27437" s="9"/>
      <c r="J27437" s="11"/>
      <c r="U27437" s="9"/>
      <c r="X27437" s="9"/>
    </row>
    <row r="27438">
      <c r="D27438" s="9"/>
      <c r="G27438" s="9"/>
      <c r="J27438" s="11"/>
      <c r="U27438" s="9"/>
      <c r="X27438" s="9"/>
    </row>
    <row r="27439">
      <c r="D27439" s="9"/>
      <c r="G27439" s="9"/>
      <c r="J27439" s="11"/>
      <c r="U27439" s="9"/>
      <c r="X27439" s="9"/>
    </row>
    <row r="27440">
      <c r="D27440" s="9"/>
      <c r="G27440" s="9"/>
      <c r="J27440" s="11"/>
      <c r="U27440" s="9"/>
      <c r="X27440" s="9"/>
    </row>
    <row r="27441">
      <c r="D27441" s="9"/>
      <c r="G27441" s="9"/>
      <c r="J27441" s="11"/>
      <c r="U27441" s="9"/>
      <c r="X27441" s="9"/>
    </row>
    <row r="27442">
      <c r="D27442" s="9"/>
      <c r="G27442" s="9"/>
      <c r="J27442" s="11"/>
      <c r="U27442" s="9"/>
      <c r="X27442" s="9"/>
    </row>
    <row r="27443">
      <c r="D27443" s="9"/>
      <c r="G27443" s="9"/>
      <c r="J27443" s="11"/>
      <c r="U27443" s="9"/>
      <c r="X27443" s="9"/>
    </row>
    <row r="27444">
      <c r="D27444" s="9"/>
      <c r="G27444" s="9"/>
      <c r="J27444" s="11"/>
      <c r="U27444" s="9"/>
      <c r="X27444" s="9"/>
    </row>
    <row r="27445">
      <c r="D27445" s="9"/>
      <c r="G27445" s="9"/>
      <c r="J27445" s="11"/>
      <c r="U27445" s="9"/>
      <c r="X27445" s="9"/>
    </row>
    <row r="27446">
      <c r="D27446" s="9"/>
      <c r="G27446" s="9"/>
      <c r="J27446" s="11"/>
      <c r="U27446" s="9"/>
      <c r="X27446" s="9"/>
    </row>
    <row r="27447">
      <c r="D27447" s="9"/>
      <c r="G27447" s="9"/>
      <c r="J27447" s="11"/>
      <c r="U27447" s="9"/>
      <c r="X27447" s="9"/>
    </row>
    <row r="27448">
      <c r="D27448" s="9"/>
      <c r="G27448" s="9"/>
      <c r="J27448" s="11"/>
      <c r="U27448" s="9"/>
      <c r="X27448" s="9"/>
    </row>
    <row r="27449">
      <c r="D27449" s="9"/>
      <c r="G27449" s="9"/>
      <c r="J27449" s="11"/>
      <c r="U27449" s="9"/>
      <c r="X27449" s="9"/>
    </row>
    <row r="27450">
      <c r="D27450" s="9"/>
      <c r="G27450" s="9"/>
      <c r="J27450" s="11"/>
      <c r="U27450" s="9"/>
      <c r="X27450" s="9"/>
    </row>
    <row r="27451">
      <c r="D27451" s="9"/>
      <c r="G27451" s="9"/>
      <c r="J27451" s="11"/>
      <c r="U27451" s="9"/>
      <c r="X27451" s="9"/>
    </row>
    <row r="27452">
      <c r="D27452" s="9"/>
      <c r="G27452" s="9"/>
      <c r="J27452" s="11"/>
      <c r="U27452" s="9"/>
      <c r="X27452" s="9"/>
    </row>
    <row r="27453">
      <c r="D27453" s="9"/>
      <c r="G27453" s="9"/>
      <c r="J27453" s="11"/>
      <c r="U27453" s="9"/>
      <c r="X27453" s="9"/>
    </row>
    <row r="27454">
      <c r="D27454" s="9"/>
      <c r="G27454" s="9"/>
      <c r="J27454" s="11"/>
      <c r="U27454" s="9"/>
      <c r="X27454" s="9"/>
    </row>
    <row r="27455">
      <c r="D27455" s="9"/>
      <c r="G27455" s="9"/>
      <c r="J27455" s="11"/>
      <c r="U27455" s="9"/>
      <c r="X27455" s="9"/>
    </row>
    <row r="27456">
      <c r="D27456" s="9"/>
      <c r="G27456" s="9"/>
      <c r="J27456" s="11"/>
      <c r="U27456" s="9"/>
      <c r="X27456" s="9"/>
    </row>
    <row r="27457">
      <c r="D27457" s="9"/>
      <c r="G27457" s="9"/>
      <c r="J27457" s="11"/>
      <c r="U27457" s="9"/>
      <c r="X27457" s="9"/>
    </row>
    <row r="27458">
      <c r="D27458" s="9"/>
      <c r="G27458" s="9"/>
      <c r="J27458" s="11"/>
      <c r="U27458" s="9"/>
      <c r="X27458" s="9"/>
    </row>
    <row r="27459">
      <c r="D27459" s="9"/>
      <c r="G27459" s="9"/>
      <c r="J27459" s="11"/>
      <c r="U27459" s="9"/>
      <c r="X27459" s="9"/>
    </row>
    <row r="27460">
      <c r="D27460" s="9"/>
      <c r="G27460" s="9"/>
      <c r="J27460" s="11"/>
      <c r="U27460" s="9"/>
      <c r="X27460" s="9"/>
    </row>
    <row r="27461">
      <c r="D27461" s="9"/>
      <c r="G27461" s="9"/>
      <c r="J27461" s="11"/>
      <c r="U27461" s="9"/>
      <c r="X27461" s="9"/>
    </row>
    <row r="27462">
      <c r="D27462" s="9"/>
      <c r="G27462" s="9"/>
      <c r="J27462" s="11"/>
      <c r="U27462" s="9"/>
      <c r="X27462" s="9"/>
    </row>
    <row r="27463">
      <c r="D27463" s="9"/>
      <c r="G27463" s="9"/>
      <c r="J27463" s="11"/>
      <c r="U27463" s="9"/>
      <c r="X27463" s="9"/>
    </row>
    <row r="27464">
      <c r="D27464" s="9"/>
      <c r="G27464" s="9"/>
      <c r="J27464" s="11"/>
      <c r="U27464" s="9"/>
      <c r="X27464" s="9"/>
    </row>
    <row r="27465">
      <c r="D27465" s="9"/>
      <c r="G27465" s="9"/>
      <c r="J27465" s="11"/>
      <c r="U27465" s="9"/>
      <c r="X27465" s="9"/>
    </row>
    <row r="27466">
      <c r="D27466" s="9"/>
      <c r="G27466" s="9"/>
      <c r="J27466" s="11"/>
      <c r="U27466" s="9"/>
      <c r="X27466" s="9"/>
    </row>
    <row r="27467">
      <c r="D27467" s="9"/>
      <c r="G27467" s="9"/>
      <c r="J27467" s="11"/>
      <c r="U27467" s="9"/>
      <c r="X27467" s="9"/>
    </row>
    <row r="27468">
      <c r="D27468" s="9"/>
      <c r="G27468" s="9"/>
      <c r="J27468" s="11"/>
      <c r="U27468" s="9"/>
      <c r="X27468" s="9"/>
    </row>
    <row r="27469">
      <c r="D27469" s="9"/>
      <c r="G27469" s="9"/>
      <c r="J27469" s="11"/>
      <c r="U27469" s="9"/>
      <c r="X27469" s="9"/>
    </row>
    <row r="27470">
      <c r="D27470" s="9"/>
      <c r="G27470" s="9"/>
      <c r="J27470" s="11"/>
      <c r="U27470" s="9"/>
      <c r="X27470" s="9"/>
    </row>
    <row r="27471">
      <c r="D27471" s="9"/>
      <c r="G27471" s="9"/>
      <c r="J27471" s="11"/>
      <c r="U27471" s="9"/>
      <c r="X27471" s="9"/>
    </row>
    <row r="27472">
      <c r="D27472" s="9"/>
      <c r="G27472" s="9"/>
      <c r="J27472" s="11"/>
      <c r="U27472" s="9"/>
      <c r="X27472" s="9"/>
    </row>
    <row r="27473">
      <c r="D27473" s="9"/>
      <c r="G27473" s="9"/>
      <c r="J27473" s="11"/>
      <c r="U27473" s="9"/>
      <c r="X27473" s="9"/>
    </row>
    <row r="27474">
      <c r="D27474" s="9"/>
      <c r="G27474" s="9"/>
      <c r="J27474" s="11"/>
      <c r="U27474" s="9"/>
      <c r="X27474" s="9"/>
    </row>
    <row r="27475">
      <c r="D27475" s="9"/>
      <c r="G27475" s="9"/>
      <c r="J27475" s="11"/>
      <c r="U27475" s="9"/>
      <c r="X27475" s="9"/>
    </row>
    <row r="27476">
      <c r="D27476" s="9"/>
      <c r="G27476" s="9"/>
      <c r="J27476" s="11"/>
      <c r="U27476" s="9"/>
      <c r="X27476" s="9"/>
    </row>
    <row r="27477">
      <c r="D27477" s="9"/>
      <c r="G27477" s="9"/>
      <c r="J27477" s="11"/>
      <c r="U27477" s="9"/>
      <c r="X27477" s="9"/>
    </row>
    <row r="27478">
      <c r="D27478" s="9"/>
      <c r="G27478" s="9"/>
      <c r="J27478" s="11"/>
      <c r="U27478" s="9"/>
      <c r="X27478" s="9"/>
    </row>
    <row r="27479">
      <c r="D27479" s="9"/>
      <c r="G27479" s="9"/>
      <c r="J27479" s="11"/>
      <c r="U27479" s="9"/>
      <c r="X27479" s="9"/>
    </row>
    <row r="27480">
      <c r="D27480" s="9"/>
      <c r="G27480" s="9"/>
      <c r="J27480" s="11"/>
      <c r="U27480" s="9"/>
      <c r="X27480" s="9"/>
    </row>
    <row r="27481">
      <c r="D27481" s="9"/>
      <c r="G27481" s="9"/>
      <c r="J27481" s="11"/>
      <c r="U27481" s="9"/>
      <c r="X27481" s="9"/>
    </row>
    <row r="27482">
      <c r="D27482" s="9"/>
      <c r="G27482" s="9"/>
      <c r="J27482" s="11"/>
      <c r="U27482" s="9"/>
      <c r="X27482" s="9"/>
    </row>
    <row r="27483">
      <c r="D27483" s="9"/>
      <c r="G27483" s="9"/>
      <c r="J27483" s="11"/>
      <c r="U27483" s="9"/>
      <c r="X27483" s="9"/>
    </row>
    <row r="27484">
      <c r="D27484" s="9"/>
      <c r="G27484" s="9"/>
      <c r="J27484" s="11"/>
      <c r="U27484" s="9"/>
      <c r="X27484" s="9"/>
    </row>
    <row r="27485">
      <c r="D27485" s="9"/>
      <c r="G27485" s="9"/>
      <c r="J27485" s="11"/>
      <c r="U27485" s="9"/>
      <c r="X27485" s="9"/>
    </row>
    <row r="27486">
      <c r="D27486" s="9"/>
      <c r="G27486" s="9"/>
      <c r="J27486" s="11"/>
      <c r="U27486" s="9"/>
      <c r="X27486" s="9"/>
    </row>
    <row r="27487">
      <c r="D27487" s="9"/>
      <c r="G27487" s="9"/>
      <c r="J27487" s="11"/>
      <c r="U27487" s="9"/>
      <c r="X27487" s="9"/>
    </row>
    <row r="27488">
      <c r="D27488" s="9"/>
      <c r="G27488" s="9"/>
      <c r="J27488" s="11"/>
      <c r="U27488" s="9"/>
      <c r="X27488" s="9"/>
    </row>
    <row r="27489">
      <c r="D27489" s="9"/>
      <c r="G27489" s="9"/>
      <c r="J27489" s="11"/>
      <c r="U27489" s="9"/>
      <c r="X27489" s="9"/>
    </row>
    <row r="27490">
      <c r="D27490" s="9"/>
      <c r="G27490" s="9"/>
      <c r="J27490" s="11"/>
      <c r="U27490" s="9"/>
      <c r="X27490" s="9"/>
    </row>
    <row r="27491">
      <c r="D27491" s="9"/>
      <c r="G27491" s="9"/>
      <c r="J27491" s="11"/>
      <c r="U27491" s="9"/>
      <c r="X27491" s="9"/>
    </row>
    <row r="27492">
      <c r="D27492" s="9"/>
      <c r="G27492" s="9"/>
      <c r="J27492" s="11"/>
      <c r="U27492" s="9"/>
      <c r="X27492" s="9"/>
    </row>
    <row r="27493">
      <c r="D27493" s="9"/>
      <c r="G27493" s="9"/>
      <c r="J27493" s="11"/>
      <c r="U27493" s="9"/>
      <c r="X27493" s="9"/>
    </row>
    <row r="27494">
      <c r="D27494" s="9"/>
      <c r="G27494" s="9"/>
      <c r="J27494" s="11"/>
      <c r="U27494" s="9"/>
      <c r="X27494" s="9"/>
    </row>
    <row r="27495">
      <c r="D27495" s="9"/>
      <c r="G27495" s="9"/>
      <c r="J27495" s="11"/>
      <c r="U27495" s="9"/>
      <c r="X27495" s="9"/>
    </row>
    <row r="27496">
      <c r="D27496" s="9"/>
      <c r="G27496" s="9"/>
      <c r="J27496" s="11"/>
      <c r="U27496" s="9"/>
      <c r="X27496" s="9"/>
    </row>
    <row r="27497">
      <c r="D27497" s="9"/>
      <c r="G27497" s="9"/>
      <c r="J27497" s="11"/>
      <c r="U27497" s="9"/>
      <c r="X27497" s="9"/>
    </row>
    <row r="27498">
      <c r="D27498" s="9"/>
      <c r="G27498" s="9"/>
      <c r="J27498" s="11"/>
      <c r="U27498" s="9"/>
      <c r="X27498" s="9"/>
    </row>
    <row r="27499">
      <c r="D27499" s="9"/>
      <c r="G27499" s="9"/>
      <c r="J27499" s="11"/>
      <c r="U27499" s="9"/>
      <c r="X27499" s="9"/>
    </row>
    <row r="27500">
      <c r="D27500" s="9"/>
      <c r="G27500" s="9"/>
      <c r="J27500" s="11"/>
      <c r="U27500" s="9"/>
      <c r="X27500" s="9"/>
    </row>
    <row r="27501">
      <c r="D27501" s="9"/>
      <c r="G27501" s="9"/>
      <c r="J27501" s="11"/>
      <c r="U27501" s="9"/>
      <c r="X27501" s="9"/>
    </row>
    <row r="27502">
      <c r="D27502" s="9"/>
      <c r="G27502" s="9"/>
      <c r="J27502" s="11"/>
      <c r="U27502" s="9"/>
      <c r="X27502" s="9"/>
    </row>
    <row r="27503">
      <c r="D27503" s="9"/>
      <c r="G27503" s="9"/>
      <c r="J27503" s="11"/>
      <c r="U27503" s="9"/>
      <c r="X27503" s="9"/>
    </row>
    <row r="27504">
      <c r="D27504" s="9"/>
      <c r="G27504" s="9"/>
      <c r="J27504" s="11"/>
      <c r="U27504" s="9"/>
      <c r="X27504" s="9"/>
    </row>
    <row r="27505">
      <c r="D27505" s="9"/>
      <c r="G27505" s="9"/>
      <c r="J27505" s="11"/>
      <c r="U27505" s="9"/>
      <c r="X27505" s="9"/>
    </row>
    <row r="27506">
      <c r="D27506" s="9"/>
      <c r="G27506" s="9"/>
      <c r="J27506" s="11"/>
      <c r="U27506" s="9"/>
      <c r="X27506" s="9"/>
    </row>
    <row r="27507">
      <c r="D27507" s="9"/>
      <c r="G27507" s="9"/>
      <c r="J27507" s="11"/>
      <c r="U27507" s="9"/>
      <c r="X27507" s="9"/>
    </row>
    <row r="27508">
      <c r="D27508" s="9"/>
      <c r="G27508" s="9"/>
      <c r="J27508" s="11"/>
      <c r="U27508" s="9"/>
      <c r="X27508" s="9"/>
    </row>
    <row r="27509">
      <c r="D27509" s="9"/>
      <c r="G27509" s="9"/>
      <c r="J27509" s="11"/>
      <c r="U27509" s="9"/>
      <c r="X27509" s="9"/>
    </row>
    <row r="27510">
      <c r="D27510" s="9"/>
      <c r="G27510" s="9"/>
      <c r="J27510" s="11"/>
      <c r="U27510" s="9"/>
      <c r="X27510" s="9"/>
    </row>
    <row r="27511">
      <c r="D27511" s="9"/>
      <c r="G27511" s="9"/>
      <c r="J27511" s="11"/>
      <c r="U27511" s="9"/>
      <c r="X27511" s="9"/>
    </row>
    <row r="27512">
      <c r="D27512" s="9"/>
      <c r="G27512" s="9"/>
      <c r="J27512" s="11"/>
      <c r="U27512" s="9"/>
      <c r="X27512" s="9"/>
    </row>
    <row r="27513">
      <c r="D27513" s="9"/>
      <c r="G27513" s="9"/>
      <c r="J27513" s="11"/>
      <c r="U27513" s="9"/>
      <c r="X27513" s="9"/>
    </row>
    <row r="27514">
      <c r="D27514" s="9"/>
      <c r="G27514" s="9"/>
      <c r="J27514" s="11"/>
      <c r="U27514" s="9"/>
      <c r="X27514" s="9"/>
    </row>
    <row r="27515">
      <c r="D27515" s="9"/>
      <c r="G27515" s="9"/>
      <c r="J27515" s="11"/>
      <c r="U27515" s="9"/>
      <c r="X27515" s="9"/>
    </row>
    <row r="27516">
      <c r="D27516" s="9"/>
      <c r="G27516" s="9"/>
      <c r="J27516" s="11"/>
      <c r="U27516" s="9"/>
      <c r="X27516" s="9"/>
    </row>
    <row r="27517">
      <c r="D27517" s="9"/>
      <c r="G27517" s="9"/>
      <c r="J27517" s="11"/>
      <c r="U27517" s="9"/>
      <c r="X27517" s="9"/>
    </row>
    <row r="27518">
      <c r="D27518" s="9"/>
      <c r="G27518" s="9"/>
      <c r="J27518" s="11"/>
      <c r="U27518" s="9"/>
      <c r="X27518" s="9"/>
    </row>
    <row r="27519">
      <c r="D27519" s="9"/>
      <c r="G27519" s="9"/>
      <c r="J27519" s="11"/>
      <c r="U27519" s="9"/>
      <c r="X27519" s="9"/>
    </row>
    <row r="27520">
      <c r="D27520" s="9"/>
      <c r="G27520" s="9"/>
      <c r="J27520" s="11"/>
      <c r="U27520" s="9"/>
      <c r="X27520" s="9"/>
    </row>
    <row r="27521">
      <c r="D27521" s="9"/>
      <c r="G27521" s="9"/>
      <c r="J27521" s="11"/>
      <c r="U27521" s="9"/>
      <c r="X27521" s="9"/>
    </row>
    <row r="27522">
      <c r="D27522" s="9"/>
      <c r="G27522" s="9"/>
      <c r="J27522" s="11"/>
      <c r="U27522" s="9"/>
      <c r="X27522" s="9"/>
    </row>
    <row r="27523">
      <c r="D27523" s="9"/>
      <c r="G27523" s="9"/>
      <c r="J27523" s="11"/>
      <c r="U27523" s="9"/>
      <c r="X27523" s="9"/>
    </row>
    <row r="27524">
      <c r="D27524" s="9"/>
      <c r="G27524" s="9"/>
      <c r="J27524" s="11"/>
      <c r="U27524" s="9"/>
      <c r="X27524" s="9"/>
    </row>
    <row r="27525">
      <c r="D27525" s="9"/>
      <c r="G27525" s="9"/>
      <c r="J27525" s="11"/>
      <c r="U27525" s="9"/>
      <c r="X27525" s="9"/>
    </row>
    <row r="27526">
      <c r="D27526" s="9"/>
      <c r="G27526" s="9"/>
      <c r="J27526" s="11"/>
      <c r="U27526" s="9"/>
      <c r="X27526" s="9"/>
    </row>
    <row r="27527">
      <c r="D27527" s="9"/>
      <c r="G27527" s="9"/>
      <c r="J27527" s="11"/>
      <c r="U27527" s="9"/>
      <c r="X27527" s="9"/>
    </row>
    <row r="27528">
      <c r="D27528" s="9"/>
      <c r="G27528" s="9"/>
      <c r="J27528" s="11"/>
      <c r="U27528" s="9"/>
      <c r="X27528" s="9"/>
    </row>
    <row r="27529">
      <c r="D27529" s="9"/>
      <c r="G27529" s="9"/>
      <c r="J27529" s="11"/>
      <c r="U27529" s="9"/>
      <c r="X27529" s="9"/>
    </row>
    <row r="27530">
      <c r="D27530" s="9"/>
      <c r="G27530" s="9"/>
      <c r="J27530" s="11"/>
      <c r="U27530" s="9"/>
      <c r="X27530" s="9"/>
    </row>
    <row r="27531">
      <c r="D27531" s="9"/>
      <c r="G27531" s="9"/>
      <c r="J27531" s="11"/>
      <c r="U27531" s="9"/>
      <c r="X27531" s="9"/>
    </row>
    <row r="27532">
      <c r="D27532" s="9"/>
      <c r="G27532" s="9"/>
      <c r="J27532" s="11"/>
      <c r="U27532" s="9"/>
      <c r="X27532" s="9"/>
    </row>
    <row r="27533">
      <c r="D27533" s="9"/>
      <c r="G27533" s="9"/>
      <c r="J27533" s="11"/>
      <c r="U27533" s="9"/>
      <c r="X27533" s="9"/>
    </row>
    <row r="27534">
      <c r="D27534" s="9"/>
      <c r="G27534" s="9"/>
      <c r="J27534" s="11"/>
      <c r="U27534" s="9"/>
      <c r="X27534" s="9"/>
    </row>
    <row r="27535">
      <c r="D27535" s="9"/>
      <c r="G27535" s="9"/>
      <c r="J27535" s="11"/>
      <c r="U27535" s="9"/>
      <c r="X27535" s="9"/>
    </row>
    <row r="27536">
      <c r="D27536" s="9"/>
      <c r="G27536" s="9"/>
      <c r="J27536" s="11"/>
      <c r="U27536" s="9"/>
      <c r="X27536" s="9"/>
    </row>
    <row r="27537">
      <c r="D27537" s="9"/>
      <c r="G27537" s="9"/>
      <c r="J27537" s="11"/>
      <c r="U27537" s="9"/>
      <c r="X27537" s="9"/>
    </row>
    <row r="27538">
      <c r="D27538" s="9"/>
      <c r="G27538" s="9"/>
      <c r="J27538" s="11"/>
      <c r="U27538" s="9"/>
      <c r="X27538" s="9"/>
    </row>
    <row r="27539">
      <c r="D27539" s="9"/>
      <c r="G27539" s="9"/>
      <c r="J27539" s="11"/>
      <c r="U27539" s="9"/>
      <c r="X27539" s="9"/>
    </row>
    <row r="27540">
      <c r="D27540" s="9"/>
      <c r="G27540" s="9"/>
      <c r="J27540" s="11"/>
      <c r="U27540" s="9"/>
      <c r="X27540" s="9"/>
    </row>
    <row r="27541">
      <c r="D27541" s="9"/>
      <c r="G27541" s="9"/>
      <c r="J27541" s="11"/>
      <c r="U27541" s="9"/>
      <c r="X27541" s="9"/>
    </row>
    <row r="27542">
      <c r="D27542" s="9"/>
      <c r="G27542" s="9"/>
      <c r="J27542" s="11"/>
      <c r="U27542" s="9"/>
      <c r="X27542" s="9"/>
    </row>
    <row r="27543">
      <c r="D27543" s="9"/>
      <c r="G27543" s="9"/>
      <c r="J27543" s="11"/>
      <c r="U27543" s="9"/>
      <c r="X27543" s="9"/>
    </row>
    <row r="27544">
      <c r="D27544" s="9"/>
      <c r="G27544" s="9"/>
      <c r="J27544" s="11"/>
      <c r="U27544" s="9"/>
      <c r="X27544" s="9"/>
    </row>
    <row r="27545">
      <c r="D27545" s="9"/>
      <c r="G27545" s="9"/>
      <c r="J27545" s="11"/>
      <c r="U27545" s="9"/>
      <c r="X27545" s="9"/>
    </row>
    <row r="27546">
      <c r="D27546" s="9"/>
      <c r="G27546" s="9"/>
      <c r="J27546" s="11"/>
      <c r="U27546" s="9"/>
      <c r="X27546" s="9"/>
    </row>
    <row r="27547">
      <c r="D27547" s="9"/>
      <c r="G27547" s="9"/>
      <c r="J27547" s="11"/>
      <c r="U27547" s="9"/>
      <c r="X27547" s="9"/>
    </row>
    <row r="27548">
      <c r="D27548" s="9"/>
      <c r="G27548" s="9"/>
      <c r="J27548" s="11"/>
      <c r="U27548" s="9"/>
      <c r="X27548" s="9"/>
    </row>
    <row r="27549">
      <c r="D27549" s="9"/>
      <c r="G27549" s="9"/>
      <c r="J27549" s="11"/>
      <c r="U27549" s="9"/>
      <c r="X27549" s="9"/>
    </row>
    <row r="27550">
      <c r="D27550" s="9"/>
      <c r="G27550" s="9"/>
      <c r="J27550" s="11"/>
      <c r="U27550" s="9"/>
      <c r="X27550" s="9"/>
    </row>
    <row r="27551">
      <c r="D27551" s="9"/>
      <c r="G27551" s="9"/>
      <c r="J27551" s="11"/>
      <c r="U27551" s="9"/>
      <c r="X27551" s="9"/>
    </row>
    <row r="27552">
      <c r="D27552" s="9"/>
      <c r="G27552" s="9"/>
      <c r="J27552" s="11"/>
      <c r="U27552" s="9"/>
      <c r="X27552" s="9"/>
    </row>
    <row r="27553">
      <c r="D27553" s="9"/>
      <c r="G27553" s="9"/>
      <c r="J27553" s="11"/>
      <c r="U27553" s="9"/>
      <c r="X27553" s="9"/>
    </row>
    <row r="27554">
      <c r="D27554" s="9"/>
      <c r="G27554" s="9"/>
      <c r="J27554" s="11"/>
      <c r="U27554" s="9"/>
      <c r="X27554" s="9"/>
    </row>
    <row r="27555">
      <c r="D27555" s="9"/>
      <c r="G27555" s="9"/>
      <c r="J27555" s="11"/>
      <c r="U27555" s="9"/>
      <c r="X27555" s="9"/>
    </row>
    <row r="27556">
      <c r="D27556" s="9"/>
      <c r="G27556" s="9"/>
      <c r="J27556" s="11"/>
      <c r="U27556" s="9"/>
      <c r="X27556" s="9"/>
    </row>
    <row r="27557">
      <c r="D27557" s="9"/>
      <c r="G27557" s="9"/>
      <c r="J27557" s="11"/>
      <c r="U27557" s="9"/>
      <c r="X27557" s="9"/>
    </row>
    <row r="27558">
      <c r="D27558" s="9"/>
      <c r="G27558" s="9"/>
      <c r="J27558" s="11"/>
      <c r="U27558" s="9"/>
      <c r="X27558" s="9"/>
    </row>
    <row r="27559">
      <c r="D27559" s="9"/>
      <c r="G27559" s="9"/>
      <c r="J27559" s="11"/>
      <c r="U27559" s="9"/>
      <c r="X27559" s="9"/>
    </row>
    <row r="27560">
      <c r="D27560" s="9"/>
      <c r="G27560" s="9"/>
      <c r="J27560" s="11"/>
      <c r="U27560" s="9"/>
      <c r="X27560" s="9"/>
    </row>
    <row r="27561">
      <c r="D27561" s="9"/>
      <c r="G27561" s="9"/>
      <c r="J27561" s="11"/>
      <c r="U27561" s="9"/>
      <c r="X27561" s="9"/>
    </row>
    <row r="27562">
      <c r="D27562" s="9"/>
      <c r="G27562" s="9"/>
      <c r="J27562" s="11"/>
      <c r="U27562" s="9"/>
      <c r="X27562" s="9"/>
    </row>
    <row r="27563">
      <c r="D27563" s="9"/>
      <c r="G27563" s="9"/>
      <c r="J27563" s="11"/>
      <c r="U27563" s="9"/>
      <c r="X27563" s="9"/>
    </row>
    <row r="27564">
      <c r="D27564" s="9"/>
      <c r="G27564" s="9"/>
      <c r="J27564" s="11"/>
      <c r="U27564" s="9"/>
      <c r="X27564" s="9"/>
    </row>
    <row r="27565">
      <c r="D27565" s="9"/>
      <c r="G27565" s="9"/>
      <c r="J27565" s="11"/>
      <c r="U27565" s="9"/>
      <c r="X27565" s="9"/>
    </row>
    <row r="27566">
      <c r="D27566" s="9"/>
      <c r="G27566" s="9"/>
      <c r="J27566" s="11"/>
      <c r="U27566" s="9"/>
      <c r="X27566" s="9"/>
    </row>
    <row r="27567">
      <c r="D27567" s="9"/>
      <c r="G27567" s="9"/>
      <c r="J27567" s="11"/>
      <c r="U27567" s="9"/>
      <c r="X27567" s="9"/>
    </row>
    <row r="27568">
      <c r="D27568" s="9"/>
      <c r="G27568" s="9"/>
      <c r="J27568" s="11"/>
      <c r="U27568" s="9"/>
      <c r="X27568" s="9"/>
    </row>
    <row r="27569">
      <c r="D27569" s="9"/>
      <c r="G27569" s="9"/>
      <c r="J27569" s="11"/>
      <c r="U27569" s="9"/>
      <c r="X27569" s="9"/>
    </row>
    <row r="27570">
      <c r="D27570" s="9"/>
      <c r="G27570" s="9"/>
      <c r="J27570" s="11"/>
      <c r="U27570" s="9"/>
      <c r="X27570" s="9"/>
    </row>
    <row r="27571">
      <c r="D27571" s="9"/>
      <c r="G27571" s="9"/>
      <c r="J27571" s="11"/>
      <c r="U27571" s="9"/>
      <c r="X27571" s="9"/>
    </row>
    <row r="27572">
      <c r="D27572" s="9"/>
      <c r="G27572" s="9"/>
      <c r="J27572" s="11"/>
      <c r="U27572" s="9"/>
      <c r="X27572" s="9"/>
    </row>
    <row r="27573">
      <c r="D27573" s="9"/>
      <c r="G27573" s="9"/>
      <c r="J27573" s="11"/>
      <c r="U27573" s="9"/>
      <c r="X27573" s="9"/>
    </row>
    <row r="27574">
      <c r="D27574" s="9"/>
      <c r="G27574" s="9"/>
      <c r="J27574" s="11"/>
      <c r="U27574" s="9"/>
      <c r="X27574" s="9"/>
    </row>
    <row r="27575">
      <c r="D27575" s="9"/>
      <c r="G27575" s="9"/>
      <c r="J27575" s="11"/>
      <c r="U27575" s="9"/>
      <c r="X27575" s="9"/>
    </row>
    <row r="27576">
      <c r="D27576" s="9"/>
      <c r="G27576" s="9"/>
      <c r="J27576" s="11"/>
      <c r="U27576" s="9"/>
      <c r="X27576" s="9"/>
    </row>
    <row r="27577">
      <c r="D27577" s="9"/>
      <c r="G27577" s="9"/>
      <c r="J27577" s="11"/>
      <c r="U27577" s="9"/>
      <c r="X27577" s="9"/>
    </row>
    <row r="27578">
      <c r="D27578" s="9"/>
      <c r="G27578" s="9"/>
      <c r="J27578" s="11"/>
      <c r="U27578" s="9"/>
      <c r="X27578" s="9"/>
    </row>
    <row r="27579">
      <c r="D27579" s="9"/>
      <c r="G27579" s="9"/>
      <c r="J27579" s="11"/>
      <c r="U27579" s="9"/>
      <c r="X27579" s="9"/>
    </row>
    <row r="27580">
      <c r="D27580" s="9"/>
      <c r="G27580" s="9"/>
      <c r="J27580" s="11"/>
      <c r="U27580" s="9"/>
      <c r="X27580" s="9"/>
    </row>
    <row r="27581">
      <c r="D27581" s="9"/>
      <c r="G27581" s="9"/>
      <c r="J27581" s="11"/>
      <c r="U27581" s="9"/>
      <c r="X27581" s="9"/>
    </row>
    <row r="27582">
      <c r="D27582" s="9"/>
      <c r="G27582" s="9"/>
      <c r="J27582" s="11"/>
      <c r="U27582" s="9"/>
      <c r="X27582" s="9"/>
    </row>
    <row r="27583">
      <c r="D27583" s="9"/>
      <c r="G27583" s="9"/>
      <c r="J27583" s="11"/>
      <c r="U27583" s="9"/>
      <c r="X27583" s="9"/>
    </row>
    <row r="27584">
      <c r="D27584" s="9"/>
      <c r="G27584" s="9"/>
      <c r="J27584" s="11"/>
      <c r="U27584" s="9"/>
      <c r="X27584" s="9"/>
    </row>
    <row r="27585">
      <c r="D27585" s="9"/>
      <c r="G27585" s="9"/>
      <c r="J27585" s="11"/>
      <c r="U27585" s="9"/>
      <c r="X27585" s="9"/>
    </row>
    <row r="27586">
      <c r="D27586" s="9"/>
      <c r="G27586" s="9"/>
      <c r="J27586" s="11"/>
      <c r="U27586" s="9"/>
      <c r="X27586" s="9"/>
    </row>
    <row r="27587">
      <c r="D27587" s="9"/>
      <c r="G27587" s="9"/>
      <c r="J27587" s="11"/>
      <c r="U27587" s="9"/>
      <c r="X27587" s="9"/>
    </row>
    <row r="27588">
      <c r="D27588" s="9"/>
      <c r="G27588" s="9"/>
      <c r="J27588" s="11"/>
      <c r="U27588" s="9"/>
      <c r="X27588" s="9"/>
    </row>
    <row r="27589">
      <c r="D27589" s="9"/>
      <c r="G27589" s="9"/>
      <c r="J27589" s="11"/>
      <c r="U27589" s="9"/>
      <c r="X27589" s="9"/>
    </row>
    <row r="27590">
      <c r="D27590" s="9"/>
      <c r="G27590" s="9"/>
      <c r="J27590" s="11"/>
      <c r="U27590" s="9"/>
      <c r="X27590" s="9"/>
    </row>
    <row r="27591">
      <c r="D27591" s="9"/>
      <c r="G27591" s="9"/>
      <c r="J27591" s="11"/>
      <c r="U27591" s="9"/>
      <c r="X27591" s="9"/>
    </row>
    <row r="27592">
      <c r="D27592" s="9"/>
      <c r="G27592" s="9"/>
      <c r="J27592" s="11"/>
      <c r="U27592" s="9"/>
      <c r="X27592" s="9"/>
    </row>
    <row r="27593">
      <c r="D27593" s="9"/>
      <c r="G27593" s="9"/>
      <c r="J27593" s="11"/>
      <c r="U27593" s="9"/>
      <c r="X27593" s="9"/>
    </row>
    <row r="27594">
      <c r="D27594" s="9"/>
      <c r="G27594" s="9"/>
      <c r="J27594" s="11"/>
      <c r="U27594" s="9"/>
      <c r="X27594" s="9"/>
    </row>
    <row r="27595">
      <c r="D27595" s="9"/>
      <c r="G27595" s="9"/>
      <c r="J27595" s="11"/>
      <c r="U27595" s="9"/>
      <c r="X27595" s="9"/>
    </row>
    <row r="27596">
      <c r="D27596" s="9"/>
      <c r="G27596" s="9"/>
      <c r="J27596" s="11"/>
      <c r="U27596" s="9"/>
      <c r="X27596" s="9"/>
    </row>
    <row r="27597">
      <c r="D27597" s="9"/>
      <c r="G27597" s="9"/>
      <c r="J27597" s="11"/>
      <c r="U27597" s="9"/>
      <c r="X27597" s="9"/>
    </row>
    <row r="27598">
      <c r="D27598" s="9"/>
      <c r="G27598" s="9"/>
      <c r="J27598" s="11"/>
      <c r="U27598" s="9"/>
      <c r="X27598" s="9"/>
    </row>
    <row r="27599">
      <c r="D27599" s="9"/>
      <c r="G27599" s="9"/>
      <c r="J27599" s="11"/>
      <c r="U27599" s="9"/>
      <c r="X27599" s="9"/>
    </row>
    <row r="27600">
      <c r="D27600" s="9"/>
      <c r="G27600" s="9"/>
      <c r="J27600" s="11"/>
      <c r="U27600" s="9"/>
      <c r="X27600" s="9"/>
    </row>
    <row r="27601">
      <c r="D27601" s="9"/>
      <c r="G27601" s="9"/>
      <c r="J27601" s="11"/>
      <c r="U27601" s="9"/>
      <c r="X27601" s="9"/>
    </row>
    <row r="27602">
      <c r="D27602" s="9"/>
      <c r="G27602" s="9"/>
      <c r="J27602" s="11"/>
      <c r="U27602" s="9"/>
      <c r="X27602" s="9"/>
    </row>
    <row r="27603">
      <c r="D27603" s="9"/>
      <c r="G27603" s="9"/>
      <c r="J27603" s="11"/>
      <c r="U27603" s="9"/>
      <c r="X27603" s="9"/>
    </row>
    <row r="27604">
      <c r="D27604" s="9"/>
      <c r="G27604" s="9"/>
      <c r="J27604" s="11"/>
      <c r="U27604" s="9"/>
      <c r="X27604" s="9"/>
    </row>
    <row r="27605">
      <c r="D27605" s="9"/>
      <c r="G27605" s="9"/>
      <c r="J27605" s="11"/>
      <c r="U27605" s="9"/>
      <c r="X27605" s="9"/>
    </row>
    <row r="27606">
      <c r="D27606" s="9"/>
      <c r="G27606" s="9"/>
      <c r="J27606" s="11"/>
      <c r="U27606" s="9"/>
      <c r="X27606" s="9"/>
    </row>
    <row r="27607">
      <c r="D27607" s="9"/>
      <c r="G27607" s="9"/>
      <c r="J27607" s="11"/>
      <c r="U27607" s="9"/>
      <c r="X27607" s="9"/>
    </row>
    <row r="27608">
      <c r="D27608" s="9"/>
      <c r="G27608" s="9"/>
      <c r="J27608" s="11"/>
      <c r="U27608" s="9"/>
      <c r="X27608" s="9"/>
    </row>
    <row r="27609">
      <c r="D27609" s="9"/>
      <c r="G27609" s="9"/>
      <c r="J27609" s="11"/>
      <c r="U27609" s="9"/>
      <c r="X27609" s="9"/>
    </row>
    <row r="27610">
      <c r="D27610" s="9"/>
      <c r="G27610" s="9"/>
      <c r="J27610" s="11"/>
      <c r="U27610" s="9"/>
      <c r="X27610" s="9"/>
    </row>
    <row r="27611">
      <c r="D27611" s="9"/>
      <c r="G27611" s="9"/>
      <c r="J27611" s="11"/>
      <c r="U27611" s="9"/>
      <c r="X27611" s="9"/>
    </row>
    <row r="27612">
      <c r="D27612" s="9"/>
      <c r="G27612" s="9"/>
      <c r="J27612" s="11"/>
      <c r="U27612" s="9"/>
      <c r="X27612" s="9"/>
    </row>
    <row r="27613">
      <c r="D27613" s="9"/>
      <c r="G27613" s="9"/>
      <c r="J27613" s="11"/>
      <c r="U27613" s="9"/>
      <c r="X27613" s="9"/>
    </row>
    <row r="27614">
      <c r="D27614" s="9"/>
      <c r="G27614" s="9"/>
      <c r="J27614" s="11"/>
      <c r="U27614" s="9"/>
      <c r="X27614" s="9"/>
    </row>
    <row r="27615">
      <c r="D27615" s="9"/>
      <c r="G27615" s="9"/>
      <c r="J27615" s="11"/>
      <c r="U27615" s="9"/>
      <c r="X27615" s="9"/>
    </row>
    <row r="27616">
      <c r="D27616" s="9"/>
      <c r="G27616" s="9"/>
      <c r="J27616" s="11"/>
      <c r="U27616" s="9"/>
      <c r="X27616" s="9"/>
    </row>
    <row r="27617">
      <c r="D27617" s="9"/>
      <c r="G27617" s="9"/>
      <c r="J27617" s="11"/>
      <c r="U27617" s="9"/>
      <c r="X27617" s="9"/>
    </row>
    <row r="27618">
      <c r="D27618" s="9"/>
      <c r="G27618" s="9"/>
      <c r="J27618" s="11"/>
      <c r="U27618" s="9"/>
      <c r="X27618" s="9"/>
    </row>
    <row r="27619">
      <c r="D27619" s="9"/>
      <c r="G27619" s="9"/>
      <c r="J27619" s="11"/>
      <c r="U27619" s="9"/>
      <c r="X27619" s="9"/>
    </row>
    <row r="27620">
      <c r="D27620" s="9"/>
      <c r="G27620" s="9"/>
      <c r="J27620" s="11"/>
      <c r="U27620" s="9"/>
      <c r="X27620" s="9"/>
    </row>
    <row r="27621">
      <c r="D27621" s="9"/>
      <c r="G27621" s="9"/>
      <c r="J27621" s="11"/>
      <c r="U27621" s="9"/>
      <c r="X27621" s="9"/>
    </row>
    <row r="27622">
      <c r="D27622" s="9"/>
      <c r="G27622" s="9"/>
      <c r="J27622" s="11"/>
      <c r="U27622" s="9"/>
      <c r="X27622" s="9"/>
    </row>
    <row r="27623">
      <c r="D27623" s="9"/>
      <c r="G27623" s="9"/>
      <c r="J27623" s="11"/>
      <c r="U27623" s="9"/>
      <c r="X27623" s="9"/>
    </row>
    <row r="27624">
      <c r="D27624" s="9"/>
      <c r="G27624" s="9"/>
      <c r="J27624" s="11"/>
      <c r="U27624" s="9"/>
      <c r="X27624" s="9"/>
    </row>
    <row r="27625">
      <c r="D27625" s="9"/>
      <c r="G27625" s="9"/>
      <c r="J27625" s="11"/>
      <c r="U27625" s="9"/>
      <c r="X27625" s="9"/>
    </row>
    <row r="27626">
      <c r="D27626" s="9"/>
      <c r="G27626" s="9"/>
      <c r="J27626" s="11"/>
      <c r="U27626" s="9"/>
      <c r="X27626" s="9"/>
    </row>
    <row r="27627">
      <c r="D27627" s="9"/>
      <c r="G27627" s="9"/>
      <c r="J27627" s="11"/>
      <c r="U27627" s="9"/>
      <c r="X27627" s="9"/>
    </row>
    <row r="27628">
      <c r="D27628" s="9"/>
      <c r="G27628" s="9"/>
      <c r="J27628" s="11"/>
      <c r="U27628" s="9"/>
      <c r="X27628" s="9"/>
    </row>
    <row r="27629">
      <c r="D27629" s="9"/>
      <c r="G27629" s="9"/>
      <c r="J27629" s="11"/>
      <c r="U27629" s="9"/>
      <c r="X27629" s="9"/>
    </row>
    <row r="27630">
      <c r="D27630" s="9"/>
      <c r="G27630" s="9"/>
      <c r="J27630" s="11"/>
      <c r="U27630" s="9"/>
      <c r="X27630" s="9"/>
    </row>
    <row r="27631">
      <c r="D27631" s="9"/>
      <c r="G27631" s="9"/>
      <c r="J27631" s="11"/>
      <c r="U27631" s="9"/>
      <c r="X27631" s="9"/>
    </row>
    <row r="27632">
      <c r="D27632" s="9"/>
      <c r="G27632" s="9"/>
      <c r="J27632" s="11"/>
      <c r="U27632" s="9"/>
      <c r="X27632" s="9"/>
    </row>
    <row r="27633">
      <c r="D27633" s="9"/>
      <c r="G27633" s="9"/>
      <c r="J27633" s="11"/>
      <c r="U27633" s="9"/>
      <c r="X27633" s="9"/>
    </row>
    <row r="27634">
      <c r="D27634" s="9"/>
      <c r="G27634" s="9"/>
      <c r="J27634" s="11"/>
      <c r="U27634" s="9"/>
      <c r="X27634" s="9"/>
    </row>
    <row r="27635">
      <c r="D27635" s="9"/>
      <c r="G27635" s="9"/>
      <c r="J27635" s="11"/>
      <c r="U27635" s="9"/>
      <c r="X27635" s="9"/>
    </row>
    <row r="27636">
      <c r="D27636" s="9"/>
      <c r="G27636" s="9"/>
      <c r="J27636" s="11"/>
      <c r="U27636" s="9"/>
      <c r="X27636" s="9"/>
    </row>
    <row r="27637">
      <c r="D27637" s="9"/>
      <c r="G27637" s="9"/>
      <c r="J27637" s="11"/>
      <c r="U27637" s="9"/>
      <c r="X27637" s="9"/>
    </row>
    <row r="27638">
      <c r="D27638" s="9"/>
      <c r="G27638" s="9"/>
      <c r="J27638" s="11"/>
      <c r="U27638" s="9"/>
      <c r="X27638" s="9"/>
    </row>
    <row r="27639">
      <c r="D27639" s="9"/>
      <c r="G27639" s="9"/>
      <c r="J27639" s="11"/>
      <c r="U27639" s="9"/>
      <c r="X27639" s="9"/>
    </row>
    <row r="27640">
      <c r="D27640" s="9"/>
      <c r="G27640" s="9"/>
      <c r="J27640" s="11"/>
      <c r="U27640" s="9"/>
      <c r="X27640" s="9"/>
    </row>
    <row r="27641">
      <c r="D27641" s="9"/>
      <c r="G27641" s="9"/>
      <c r="J27641" s="11"/>
      <c r="U27641" s="9"/>
      <c r="X27641" s="9"/>
    </row>
    <row r="27642">
      <c r="D27642" s="9"/>
      <c r="G27642" s="9"/>
      <c r="J27642" s="11"/>
      <c r="U27642" s="9"/>
      <c r="X27642" s="9"/>
    </row>
    <row r="27643">
      <c r="D27643" s="9"/>
      <c r="G27643" s="9"/>
      <c r="J27643" s="11"/>
      <c r="U27643" s="9"/>
      <c r="X27643" s="9"/>
    </row>
    <row r="27644">
      <c r="D27644" s="9"/>
      <c r="G27644" s="9"/>
      <c r="J27644" s="11"/>
      <c r="U27644" s="9"/>
      <c r="X27644" s="9"/>
    </row>
    <row r="27645">
      <c r="D27645" s="9"/>
      <c r="G27645" s="9"/>
      <c r="J27645" s="11"/>
      <c r="U27645" s="9"/>
      <c r="X27645" s="9"/>
    </row>
    <row r="27646">
      <c r="D27646" s="9"/>
      <c r="G27646" s="9"/>
      <c r="J27646" s="11"/>
      <c r="U27646" s="9"/>
      <c r="X27646" s="9"/>
    </row>
    <row r="27647">
      <c r="D27647" s="9"/>
      <c r="G27647" s="9"/>
      <c r="J27647" s="11"/>
      <c r="U27647" s="9"/>
      <c r="X27647" s="9"/>
    </row>
    <row r="27648">
      <c r="D27648" s="9"/>
      <c r="G27648" s="9"/>
      <c r="J27648" s="11"/>
      <c r="U27648" s="9"/>
      <c r="X27648" s="9"/>
    </row>
    <row r="27649">
      <c r="D27649" s="9"/>
      <c r="G27649" s="9"/>
      <c r="J27649" s="11"/>
      <c r="U27649" s="9"/>
      <c r="X27649" s="9"/>
    </row>
    <row r="27650">
      <c r="D27650" s="9"/>
      <c r="G27650" s="9"/>
      <c r="J27650" s="11"/>
      <c r="U27650" s="9"/>
      <c r="X27650" s="9"/>
    </row>
    <row r="27651">
      <c r="D27651" s="9"/>
      <c r="G27651" s="9"/>
      <c r="J27651" s="11"/>
      <c r="U27651" s="9"/>
      <c r="X27651" s="9"/>
    </row>
    <row r="27652">
      <c r="D27652" s="9"/>
      <c r="G27652" s="9"/>
      <c r="J27652" s="11"/>
      <c r="U27652" s="9"/>
      <c r="X27652" s="9"/>
    </row>
    <row r="27653">
      <c r="D27653" s="9"/>
      <c r="G27653" s="9"/>
      <c r="J27653" s="11"/>
      <c r="U27653" s="9"/>
      <c r="X27653" s="9"/>
    </row>
    <row r="27654">
      <c r="D27654" s="9"/>
      <c r="G27654" s="9"/>
      <c r="J27654" s="11"/>
      <c r="U27654" s="9"/>
      <c r="X27654" s="9"/>
    </row>
    <row r="27655">
      <c r="D27655" s="9"/>
      <c r="G27655" s="9"/>
      <c r="J27655" s="11"/>
      <c r="U27655" s="9"/>
      <c r="X27655" s="9"/>
    </row>
    <row r="27656">
      <c r="D27656" s="9"/>
      <c r="G27656" s="9"/>
      <c r="J27656" s="11"/>
      <c r="U27656" s="9"/>
      <c r="X27656" s="9"/>
    </row>
    <row r="27657">
      <c r="D27657" s="9"/>
      <c r="G27657" s="9"/>
      <c r="J27657" s="11"/>
      <c r="U27657" s="9"/>
      <c r="X27657" s="9"/>
    </row>
    <row r="27658">
      <c r="D27658" s="9"/>
      <c r="G27658" s="9"/>
      <c r="J27658" s="11"/>
      <c r="U27658" s="9"/>
      <c r="X27658" s="9"/>
    </row>
    <row r="27659">
      <c r="D27659" s="9"/>
      <c r="G27659" s="9"/>
      <c r="J27659" s="11"/>
      <c r="U27659" s="9"/>
      <c r="X27659" s="9"/>
    </row>
    <row r="27660">
      <c r="D27660" s="9"/>
      <c r="G27660" s="9"/>
      <c r="J27660" s="11"/>
      <c r="U27660" s="9"/>
      <c r="X27660" s="9"/>
    </row>
    <row r="27661">
      <c r="D27661" s="9"/>
      <c r="G27661" s="9"/>
      <c r="J27661" s="11"/>
      <c r="U27661" s="9"/>
      <c r="X27661" s="9"/>
    </row>
    <row r="27662">
      <c r="D27662" s="9"/>
      <c r="G27662" s="9"/>
      <c r="J27662" s="11"/>
      <c r="U27662" s="9"/>
      <c r="X27662" s="9"/>
    </row>
    <row r="27663">
      <c r="D27663" s="9"/>
      <c r="G27663" s="9"/>
      <c r="J27663" s="11"/>
      <c r="U27663" s="9"/>
      <c r="X27663" s="9"/>
    </row>
    <row r="27664">
      <c r="D27664" s="9"/>
      <c r="G27664" s="9"/>
      <c r="J27664" s="11"/>
      <c r="U27664" s="9"/>
      <c r="X27664" s="9"/>
    </row>
    <row r="27665">
      <c r="D27665" s="9"/>
      <c r="G27665" s="9"/>
      <c r="J27665" s="11"/>
      <c r="U27665" s="9"/>
      <c r="X27665" s="9"/>
    </row>
    <row r="27666">
      <c r="D27666" s="9"/>
      <c r="G27666" s="9"/>
      <c r="J27666" s="11"/>
      <c r="U27666" s="9"/>
      <c r="X27666" s="9"/>
    </row>
    <row r="27667">
      <c r="D27667" s="9"/>
      <c r="G27667" s="9"/>
      <c r="J27667" s="11"/>
      <c r="U27667" s="9"/>
      <c r="X27667" s="9"/>
    </row>
    <row r="27668">
      <c r="D27668" s="9"/>
      <c r="G27668" s="9"/>
      <c r="J27668" s="11"/>
      <c r="U27668" s="9"/>
      <c r="X27668" s="9"/>
    </row>
    <row r="27669">
      <c r="D27669" s="9"/>
      <c r="G27669" s="9"/>
      <c r="J27669" s="11"/>
      <c r="U27669" s="9"/>
      <c r="X27669" s="9"/>
    </row>
    <row r="27670">
      <c r="D27670" s="9"/>
      <c r="G27670" s="9"/>
      <c r="J27670" s="11"/>
      <c r="U27670" s="9"/>
      <c r="X27670" s="9"/>
    </row>
    <row r="27671">
      <c r="D27671" s="9"/>
      <c r="G27671" s="9"/>
      <c r="J27671" s="11"/>
      <c r="U27671" s="9"/>
      <c r="X27671" s="9"/>
    </row>
    <row r="27672">
      <c r="D27672" s="9"/>
      <c r="G27672" s="9"/>
      <c r="J27672" s="11"/>
      <c r="U27672" s="9"/>
      <c r="X27672" s="9"/>
    </row>
    <row r="27673">
      <c r="D27673" s="9"/>
      <c r="G27673" s="9"/>
      <c r="J27673" s="11"/>
      <c r="U27673" s="9"/>
      <c r="X27673" s="9"/>
    </row>
    <row r="27674">
      <c r="D27674" s="9"/>
      <c r="G27674" s="9"/>
      <c r="J27674" s="11"/>
      <c r="U27674" s="9"/>
      <c r="X27674" s="9"/>
    </row>
    <row r="27675">
      <c r="D27675" s="9"/>
      <c r="G27675" s="9"/>
      <c r="J27675" s="11"/>
      <c r="U27675" s="9"/>
      <c r="X27675" s="9"/>
    </row>
    <row r="27676">
      <c r="D27676" s="9"/>
      <c r="G27676" s="9"/>
      <c r="J27676" s="11"/>
      <c r="U27676" s="9"/>
      <c r="X27676" s="9"/>
    </row>
    <row r="27677">
      <c r="D27677" s="9"/>
      <c r="G27677" s="9"/>
      <c r="J27677" s="11"/>
      <c r="U27677" s="9"/>
      <c r="X27677" s="9"/>
    </row>
    <row r="27678">
      <c r="D27678" s="9"/>
      <c r="G27678" s="9"/>
      <c r="J27678" s="11"/>
      <c r="U27678" s="9"/>
      <c r="X27678" s="9"/>
    </row>
    <row r="27679">
      <c r="D27679" s="9"/>
      <c r="G27679" s="9"/>
      <c r="J27679" s="11"/>
      <c r="U27679" s="9"/>
      <c r="X27679" s="9"/>
    </row>
    <row r="27680">
      <c r="D27680" s="9"/>
      <c r="G27680" s="9"/>
      <c r="J27680" s="11"/>
      <c r="U27680" s="9"/>
      <c r="X27680" s="9"/>
    </row>
    <row r="27681">
      <c r="D27681" s="9"/>
      <c r="G27681" s="9"/>
      <c r="J27681" s="11"/>
      <c r="U27681" s="9"/>
      <c r="X27681" s="9"/>
    </row>
    <row r="27682">
      <c r="D27682" s="9"/>
      <c r="G27682" s="9"/>
      <c r="J27682" s="11"/>
      <c r="U27682" s="9"/>
      <c r="X27682" s="9"/>
    </row>
    <row r="27683">
      <c r="D27683" s="9"/>
      <c r="G27683" s="9"/>
      <c r="J27683" s="11"/>
      <c r="U27683" s="9"/>
      <c r="X27683" s="9"/>
    </row>
    <row r="27684">
      <c r="D27684" s="9"/>
      <c r="G27684" s="9"/>
      <c r="J27684" s="11"/>
      <c r="U27684" s="9"/>
      <c r="X27684" s="9"/>
    </row>
    <row r="27685">
      <c r="D27685" s="9"/>
      <c r="G27685" s="9"/>
      <c r="J27685" s="11"/>
      <c r="U27685" s="9"/>
      <c r="X27685" s="9"/>
    </row>
    <row r="27686">
      <c r="D27686" s="9"/>
      <c r="G27686" s="9"/>
      <c r="J27686" s="11"/>
      <c r="U27686" s="9"/>
      <c r="X27686" s="9"/>
    </row>
    <row r="27687">
      <c r="D27687" s="9"/>
      <c r="G27687" s="9"/>
      <c r="J27687" s="11"/>
      <c r="U27687" s="9"/>
      <c r="X27687" s="9"/>
    </row>
    <row r="27688">
      <c r="D27688" s="9"/>
      <c r="G27688" s="9"/>
      <c r="J27688" s="11"/>
      <c r="U27688" s="9"/>
      <c r="X27688" s="9"/>
    </row>
    <row r="27689">
      <c r="D27689" s="9"/>
      <c r="G27689" s="9"/>
      <c r="J27689" s="11"/>
      <c r="U27689" s="9"/>
      <c r="X27689" s="9"/>
    </row>
    <row r="27690">
      <c r="D27690" s="9"/>
      <c r="G27690" s="9"/>
      <c r="J27690" s="11"/>
      <c r="U27690" s="9"/>
      <c r="X27690" s="9"/>
    </row>
    <row r="27691">
      <c r="D27691" s="9"/>
      <c r="G27691" s="9"/>
      <c r="J27691" s="11"/>
      <c r="U27691" s="9"/>
      <c r="X27691" s="9"/>
    </row>
    <row r="27692">
      <c r="D27692" s="9"/>
      <c r="G27692" s="9"/>
      <c r="J27692" s="11"/>
      <c r="U27692" s="9"/>
      <c r="X27692" s="9"/>
    </row>
    <row r="27693">
      <c r="D27693" s="9"/>
      <c r="G27693" s="9"/>
      <c r="J27693" s="11"/>
      <c r="U27693" s="9"/>
      <c r="X27693" s="9"/>
    </row>
    <row r="27694">
      <c r="D27694" s="9"/>
      <c r="G27694" s="9"/>
      <c r="J27694" s="11"/>
      <c r="U27694" s="9"/>
      <c r="X27694" s="9"/>
    </row>
    <row r="27695">
      <c r="D27695" s="9"/>
      <c r="G27695" s="9"/>
      <c r="J27695" s="11"/>
      <c r="U27695" s="9"/>
      <c r="X27695" s="9"/>
    </row>
    <row r="27696">
      <c r="D27696" s="9"/>
      <c r="G27696" s="9"/>
      <c r="J27696" s="11"/>
      <c r="U27696" s="9"/>
      <c r="X27696" s="9"/>
    </row>
    <row r="27697">
      <c r="D27697" s="9"/>
      <c r="G27697" s="9"/>
      <c r="J27697" s="11"/>
      <c r="U27697" s="9"/>
      <c r="X27697" s="9"/>
    </row>
    <row r="27698">
      <c r="D27698" s="9"/>
      <c r="G27698" s="9"/>
      <c r="J27698" s="11"/>
      <c r="U27698" s="9"/>
      <c r="X27698" s="9"/>
    </row>
    <row r="27699">
      <c r="D27699" s="9"/>
      <c r="G27699" s="9"/>
      <c r="J27699" s="11"/>
      <c r="U27699" s="9"/>
      <c r="X27699" s="9"/>
    </row>
    <row r="27700">
      <c r="D27700" s="9"/>
      <c r="G27700" s="9"/>
      <c r="J27700" s="11"/>
      <c r="U27700" s="9"/>
      <c r="X27700" s="9"/>
    </row>
    <row r="27701">
      <c r="D27701" s="9"/>
      <c r="G27701" s="9"/>
      <c r="J27701" s="11"/>
      <c r="U27701" s="9"/>
      <c r="X27701" s="9"/>
    </row>
    <row r="27702">
      <c r="D27702" s="9"/>
      <c r="G27702" s="9"/>
      <c r="J27702" s="11"/>
      <c r="U27702" s="9"/>
      <c r="X27702" s="9"/>
    </row>
    <row r="27703">
      <c r="D27703" s="9"/>
      <c r="G27703" s="9"/>
      <c r="J27703" s="11"/>
      <c r="U27703" s="9"/>
      <c r="X27703" s="9"/>
    </row>
    <row r="27704">
      <c r="D27704" s="9"/>
      <c r="G27704" s="9"/>
      <c r="J27704" s="11"/>
      <c r="U27704" s="9"/>
      <c r="X27704" s="9"/>
    </row>
    <row r="27705">
      <c r="D27705" s="9"/>
      <c r="G27705" s="9"/>
      <c r="J27705" s="11"/>
      <c r="U27705" s="9"/>
      <c r="X27705" s="9"/>
    </row>
    <row r="27706">
      <c r="D27706" s="9"/>
      <c r="G27706" s="9"/>
      <c r="J27706" s="11"/>
      <c r="U27706" s="9"/>
      <c r="X27706" s="9"/>
    </row>
    <row r="27707">
      <c r="D27707" s="9"/>
      <c r="G27707" s="9"/>
      <c r="J27707" s="11"/>
      <c r="U27707" s="9"/>
      <c r="X27707" s="9"/>
    </row>
    <row r="27708">
      <c r="D27708" s="9"/>
      <c r="G27708" s="9"/>
      <c r="J27708" s="11"/>
      <c r="U27708" s="9"/>
      <c r="X27708" s="9"/>
    </row>
    <row r="27709">
      <c r="D27709" s="9"/>
      <c r="G27709" s="9"/>
      <c r="J27709" s="11"/>
      <c r="U27709" s="9"/>
      <c r="X27709" s="9"/>
    </row>
    <row r="27710">
      <c r="D27710" s="9"/>
      <c r="G27710" s="9"/>
      <c r="J27710" s="11"/>
      <c r="U27710" s="9"/>
      <c r="X27710" s="9"/>
    </row>
    <row r="27711">
      <c r="D27711" s="9"/>
      <c r="G27711" s="9"/>
      <c r="J27711" s="11"/>
      <c r="U27711" s="9"/>
      <c r="X27711" s="9"/>
    </row>
    <row r="27712">
      <c r="D27712" s="9"/>
      <c r="G27712" s="9"/>
      <c r="J27712" s="11"/>
      <c r="U27712" s="9"/>
      <c r="X27712" s="9"/>
    </row>
    <row r="27713">
      <c r="D27713" s="9"/>
      <c r="G27713" s="9"/>
      <c r="J27713" s="11"/>
      <c r="U27713" s="9"/>
      <c r="X27713" s="9"/>
    </row>
    <row r="27714">
      <c r="D27714" s="9"/>
      <c r="G27714" s="9"/>
      <c r="J27714" s="11"/>
      <c r="U27714" s="9"/>
      <c r="X27714" s="9"/>
    </row>
    <row r="27715">
      <c r="D27715" s="9"/>
      <c r="G27715" s="9"/>
      <c r="J27715" s="11"/>
      <c r="U27715" s="9"/>
      <c r="X27715" s="9"/>
    </row>
    <row r="27716">
      <c r="D27716" s="9"/>
      <c r="G27716" s="9"/>
      <c r="J27716" s="11"/>
      <c r="U27716" s="9"/>
      <c r="X27716" s="9"/>
    </row>
    <row r="27717">
      <c r="D27717" s="9"/>
      <c r="G27717" s="9"/>
      <c r="J27717" s="11"/>
      <c r="U27717" s="9"/>
      <c r="X27717" s="9"/>
    </row>
    <row r="27718">
      <c r="D27718" s="9"/>
      <c r="G27718" s="9"/>
      <c r="J27718" s="11"/>
      <c r="U27718" s="9"/>
      <c r="X27718" s="9"/>
    </row>
    <row r="27719">
      <c r="D27719" s="9"/>
      <c r="G27719" s="9"/>
      <c r="J27719" s="11"/>
      <c r="U27719" s="9"/>
      <c r="X27719" s="9"/>
    </row>
    <row r="27720">
      <c r="D27720" s="9"/>
      <c r="G27720" s="9"/>
      <c r="J27720" s="11"/>
      <c r="U27720" s="9"/>
      <c r="X27720" s="9"/>
    </row>
    <row r="27721">
      <c r="D27721" s="9"/>
      <c r="G27721" s="9"/>
      <c r="J27721" s="11"/>
      <c r="U27721" s="9"/>
      <c r="X27721" s="9"/>
    </row>
    <row r="27722">
      <c r="D27722" s="9"/>
      <c r="G27722" s="9"/>
      <c r="J27722" s="11"/>
      <c r="U27722" s="9"/>
      <c r="X27722" s="9"/>
    </row>
    <row r="27723">
      <c r="D27723" s="9"/>
      <c r="G27723" s="9"/>
      <c r="J27723" s="11"/>
      <c r="U27723" s="9"/>
      <c r="X27723" s="9"/>
    </row>
    <row r="27724">
      <c r="D27724" s="9"/>
      <c r="G27724" s="9"/>
      <c r="J27724" s="11"/>
      <c r="U27724" s="9"/>
      <c r="X27724" s="9"/>
    </row>
    <row r="27725">
      <c r="D27725" s="9"/>
      <c r="G27725" s="9"/>
      <c r="J27725" s="11"/>
      <c r="U27725" s="9"/>
      <c r="X27725" s="9"/>
    </row>
    <row r="27726">
      <c r="D27726" s="9"/>
      <c r="G27726" s="9"/>
      <c r="J27726" s="11"/>
      <c r="U27726" s="9"/>
      <c r="X27726" s="9"/>
    </row>
    <row r="27727">
      <c r="D27727" s="9"/>
      <c r="G27727" s="9"/>
      <c r="J27727" s="11"/>
      <c r="U27727" s="9"/>
      <c r="X27727" s="9"/>
    </row>
    <row r="27728">
      <c r="D27728" s="9"/>
      <c r="G27728" s="9"/>
      <c r="J27728" s="11"/>
      <c r="U27728" s="9"/>
      <c r="X27728" s="9"/>
    </row>
    <row r="27729">
      <c r="D27729" s="9"/>
      <c r="G27729" s="9"/>
      <c r="J27729" s="11"/>
      <c r="U27729" s="9"/>
      <c r="X27729" s="9"/>
    </row>
    <row r="27730">
      <c r="D27730" s="9"/>
      <c r="G27730" s="9"/>
      <c r="J27730" s="11"/>
      <c r="U27730" s="9"/>
      <c r="X27730" s="9"/>
    </row>
    <row r="27731">
      <c r="D27731" s="9"/>
      <c r="G27731" s="9"/>
      <c r="J27731" s="11"/>
      <c r="U27731" s="9"/>
      <c r="X27731" s="9"/>
    </row>
    <row r="27732">
      <c r="D27732" s="9"/>
      <c r="G27732" s="9"/>
      <c r="J27732" s="11"/>
      <c r="U27732" s="9"/>
      <c r="X27732" s="9"/>
    </row>
    <row r="27733">
      <c r="D27733" s="9"/>
      <c r="G27733" s="9"/>
      <c r="J27733" s="11"/>
      <c r="U27733" s="9"/>
      <c r="X27733" s="9"/>
    </row>
    <row r="27734">
      <c r="D27734" s="9"/>
      <c r="G27734" s="9"/>
      <c r="J27734" s="11"/>
      <c r="U27734" s="9"/>
      <c r="X27734" s="9"/>
    </row>
    <row r="27735">
      <c r="D27735" s="9"/>
      <c r="G27735" s="9"/>
      <c r="J27735" s="11"/>
      <c r="U27735" s="9"/>
      <c r="X27735" s="9"/>
    </row>
    <row r="27736">
      <c r="D27736" s="9"/>
      <c r="G27736" s="9"/>
      <c r="J27736" s="11"/>
      <c r="U27736" s="9"/>
      <c r="X27736" s="9"/>
    </row>
    <row r="27737">
      <c r="D27737" s="9"/>
      <c r="G27737" s="9"/>
      <c r="J27737" s="11"/>
      <c r="U27737" s="9"/>
      <c r="X27737" s="9"/>
    </row>
    <row r="27738">
      <c r="D27738" s="9"/>
      <c r="G27738" s="9"/>
      <c r="J27738" s="11"/>
      <c r="U27738" s="9"/>
      <c r="X27738" s="9"/>
    </row>
    <row r="27739">
      <c r="D27739" s="9"/>
      <c r="G27739" s="9"/>
      <c r="J27739" s="11"/>
      <c r="U27739" s="9"/>
      <c r="X27739" s="9"/>
    </row>
    <row r="27740">
      <c r="D27740" s="9"/>
      <c r="G27740" s="9"/>
      <c r="J27740" s="11"/>
      <c r="U27740" s="9"/>
      <c r="X27740" s="9"/>
    </row>
    <row r="27741">
      <c r="D27741" s="9"/>
      <c r="G27741" s="9"/>
      <c r="J27741" s="11"/>
      <c r="U27741" s="9"/>
      <c r="X27741" s="9"/>
    </row>
    <row r="27742">
      <c r="D27742" s="9"/>
      <c r="G27742" s="9"/>
      <c r="J27742" s="11"/>
      <c r="U27742" s="9"/>
      <c r="X27742" s="9"/>
    </row>
    <row r="27743">
      <c r="D27743" s="9"/>
      <c r="G27743" s="9"/>
      <c r="J27743" s="11"/>
      <c r="U27743" s="9"/>
      <c r="X27743" s="9"/>
    </row>
    <row r="27744">
      <c r="D27744" s="9"/>
      <c r="G27744" s="9"/>
      <c r="J27744" s="11"/>
      <c r="U27744" s="9"/>
      <c r="X27744" s="9"/>
    </row>
    <row r="27745">
      <c r="D27745" s="9"/>
      <c r="G27745" s="9"/>
      <c r="J27745" s="11"/>
      <c r="U27745" s="9"/>
      <c r="X27745" s="9"/>
    </row>
    <row r="27746">
      <c r="D27746" s="9"/>
      <c r="G27746" s="9"/>
      <c r="J27746" s="11"/>
      <c r="U27746" s="9"/>
      <c r="X27746" s="9"/>
    </row>
    <row r="27747">
      <c r="D27747" s="9"/>
      <c r="G27747" s="9"/>
      <c r="J27747" s="11"/>
      <c r="U27747" s="9"/>
      <c r="X27747" s="9"/>
    </row>
    <row r="27748">
      <c r="D27748" s="9"/>
      <c r="G27748" s="9"/>
      <c r="J27748" s="11"/>
      <c r="U27748" s="9"/>
      <c r="X27748" s="9"/>
    </row>
    <row r="27749">
      <c r="D27749" s="9"/>
      <c r="G27749" s="9"/>
      <c r="J27749" s="11"/>
      <c r="U27749" s="9"/>
      <c r="X27749" s="9"/>
    </row>
    <row r="27750">
      <c r="D27750" s="9"/>
      <c r="G27750" s="9"/>
      <c r="J27750" s="11"/>
      <c r="U27750" s="9"/>
      <c r="X27750" s="9"/>
    </row>
    <row r="27751">
      <c r="D27751" s="9"/>
      <c r="G27751" s="9"/>
      <c r="J27751" s="11"/>
      <c r="U27751" s="9"/>
      <c r="X27751" s="9"/>
    </row>
    <row r="27752">
      <c r="D27752" s="9"/>
      <c r="G27752" s="9"/>
      <c r="J27752" s="11"/>
      <c r="U27752" s="9"/>
      <c r="X27752" s="9"/>
    </row>
    <row r="27753">
      <c r="D27753" s="9"/>
      <c r="G27753" s="9"/>
      <c r="J27753" s="11"/>
      <c r="U27753" s="9"/>
      <c r="X27753" s="9"/>
    </row>
    <row r="27754">
      <c r="D27754" s="9"/>
      <c r="G27754" s="9"/>
      <c r="J27754" s="11"/>
      <c r="U27754" s="9"/>
      <c r="X27754" s="9"/>
    </row>
    <row r="27755">
      <c r="D27755" s="9"/>
      <c r="G27755" s="9"/>
      <c r="J27755" s="11"/>
      <c r="U27755" s="9"/>
      <c r="X27755" s="9"/>
    </row>
    <row r="27756">
      <c r="D27756" s="9"/>
      <c r="G27756" s="9"/>
      <c r="J27756" s="11"/>
      <c r="U27756" s="9"/>
      <c r="X27756" s="9"/>
    </row>
    <row r="27757">
      <c r="D27757" s="9"/>
      <c r="G27757" s="9"/>
      <c r="J27757" s="11"/>
      <c r="U27757" s="9"/>
      <c r="X27757" s="9"/>
    </row>
    <row r="27758">
      <c r="D27758" s="9"/>
      <c r="G27758" s="9"/>
      <c r="J27758" s="11"/>
      <c r="U27758" s="9"/>
      <c r="X27758" s="9"/>
    </row>
    <row r="27759">
      <c r="D27759" s="9"/>
      <c r="G27759" s="9"/>
      <c r="J27759" s="11"/>
      <c r="U27759" s="9"/>
      <c r="X27759" s="9"/>
    </row>
    <row r="27760">
      <c r="D27760" s="9"/>
      <c r="G27760" s="9"/>
      <c r="J27760" s="11"/>
      <c r="U27760" s="9"/>
      <c r="X27760" s="9"/>
    </row>
    <row r="27761">
      <c r="D27761" s="9"/>
      <c r="G27761" s="9"/>
      <c r="J27761" s="11"/>
      <c r="U27761" s="9"/>
      <c r="X27761" s="9"/>
    </row>
    <row r="27762">
      <c r="D27762" s="9"/>
      <c r="G27762" s="9"/>
      <c r="J27762" s="11"/>
      <c r="U27762" s="9"/>
      <c r="X27762" s="9"/>
    </row>
    <row r="27763">
      <c r="D27763" s="9"/>
      <c r="G27763" s="9"/>
      <c r="J27763" s="11"/>
      <c r="U27763" s="9"/>
      <c r="X27763" s="9"/>
    </row>
    <row r="27764">
      <c r="D27764" s="9"/>
      <c r="G27764" s="9"/>
      <c r="J27764" s="11"/>
      <c r="U27764" s="9"/>
      <c r="X27764" s="9"/>
    </row>
    <row r="27765">
      <c r="D27765" s="9"/>
      <c r="G27765" s="9"/>
      <c r="J27765" s="11"/>
      <c r="U27765" s="9"/>
      <c r="X27765" s="9"/>
    </row>
    <row r="27766">
      <c r="D27766" s="9"/>
      <c r="G27766" s="9"/>
      <c r="J27766" s="11"/>
      <c r="U27766" s="9"/>
      <c r="X27766" s="9"/>
    </row>
    <row r="27767">
      <c r="D27767" s="9"/>
      <c r="G27767" s="9"/>
      <c r="J27767" s="11"/>
      <c r="U27767" s="9"/>
      <c r="X27767" s="9"/>
    </row>
    <row r="27768">
      <c r="D27768" s="9"/>
      <c r="G27768" s="9"/>
      <c r="J27768" s="11"/>
      <c r="U27768" s="9"/>
      <c r="X27768" s="9"/>
    </row>
    <row r="27769">
      <c r="D27769" s="9"/>
      <c r="G27769" s="9"/>
      <c r="J27769" s="11"/>
      <c r="U27769" s="9"/>
      <c r="X27769" s="9"/>
    </row>
    <row r="27770">
      <c r="D27770" s="9"/>
      <c r="G27770" s="9"/>
      <c r="J27770" s="11"/>
      <c r="U27770" s="9"/>
      <c r="X27770" s="9"/>
    </row>
    <row r="27771">
      <c r="D27771" s="9"/>
      <c r="G27771" s="9"/>
      <c r="J27771" s="11"/>
      <c r="U27771" s="9"/>
      <c r="X27771" s="9"/>
    </row>
    <row r="27772">
      <c r="D27772" s="9"/>
      <c r="G27772" s="9"/>
      <c r="J27772" s="11"/>
      <c r="U27772" s="9"/>
      <c r="X27772" s="9"/>
    </row>
    <row r="27773">
      <c r="D27773" s="9"/>
      <c r="G27773" s="9"/>
      <c r="J27773" s="11"/>
      <c r="U27773" s="9"/>
      <c r="X27773" s="9"/>
    </row>
    <row r="27774">
      <c r="D27774" s="9"/>
      <c r="G27774" s="9"/>
      <c r="J27774" s="11"/>
      <c r="U27774" s="9"/>
      <c r="X27774" s="9"/>
    </row>
    <row r="27775">
      <c r="D27775" s="9"/>
      <c r="G27775" s="9"/>
      <c r="J27775" s="11"/>
      <c r="U27775" s="9"/>
      <c r="X27775" s="9"/>
    </row>
    <row r="27776">
      <c r="D27776" s="9"/>
      <c r="G27776" s="9"/>
      <c r="J27776" s="11"/>
      <c r="U27776" s="9"/>
      <c r="X27776" s="9"/>
    </row>
    <row r="27777">
      <c r="D27777" s="9"/>
      <c r="G27777" s="9"/>
      <c r="J27777" s="11"/>
      <c r="U27777" s="9"/>
      <c r="X27777" s="9"/>
    </row>
    <row r="27778">
      <c r="D27778" s="9"/>
      <c r="G27778" s="9"/>
      <c r="J27778" s="11"/>
      <c r="U27778" s="9"/>
      <c r="X27778" s="9"/>
    </row>
    <row r="27779">
      <c r="D27779" s="9"/>
      <c r="G27779" s="9"/>
      <c r="J27779" s="11"/>
      <c r="U27779" s="9"/>
      <c r="X27779" s="9"/>
    </row>
    <row r="27780">
      <c r="D27780" s="9"/>
      <c r="G27780" s="9"/>
      <c r="J27780" s="11"/>
      <c r="U27780" s="9"/>
      <c r="X27780" s="9"/>
    </row>
    <row r="27781">
      <c r="D27781" s="9"/>
      <c r="G27781" s="9"/>
      <c r="J27781" s="11"/>
      <c r="U27781" s="9"/>
      <c r="X27781" s="9"/>
    </row>
    <row r="27782">
      <c r="D27782" s="9"/>
      <c r="G27782" s="9"/>
      <c r="J27782" s="11"/>
      <c r="U27782" s="9"/>
      <c r="X27782" s="9"/>
    </row>
    <row r="27783">
      <c r="D27783" s="9"/>
      <c r="G27783" s="9"/>
      <c r="J27783" s="11"/>
      <c r="U27783" s="9"/>
      <c r="X27783" s="9"/>
    </row>
    <row r="27784">
      <c r="D27784" s="9"/>
      <c r="G27784" s="9"/>
      <c r="J27784" s="11"/>
      <c r="U27784" s="9"/>
      <c r="X27784" s="9"/>
    </row>
    <row r="27785">
      <c r="D27785" s="9"/>
      <c r="G27785" s="9"/>
      <c r="J27785" s="11"/>
      <c r="U27785" s="9"/>
      <c r="X27785" s="9"/>
    </row>
    <row r="27786">
      <c r="D27786" s="9"/>
      <c r="G27786" s="9"/>
      <c r="J27786" s="11"/>
      <c r="U27786" s="9"/>
      <c r="X27786" s="9"/>
    </row>
    <row r="27787">
      <c r="D27787" s="9"/>
      <c r="G27787" s="9"/>
      <c r="J27787" s="11"/>
      <c r="U27787" s="9"/>
      <c r="X27787" s="9"/>
    </row>
    <row r="27788">
      <c r="D27788" s="9"/>
      <c r="G27788" s="9"/>
      <c r="J27788" s="11"/>
      <c r="U27788" s="9"/>
      <c r="X27788" s="9"/>
    </row>
    <row r="27789">
      <c r="D27789" s="9"/>
      <c r="G27789" s="9"/>
      <c r="J27789" s="11"/>
      <c r="U27789" s="9"/>
      <c r="X27789" s="9"/>
    </row>
    <row r="27790">
      <c r="D27790" s="9"/>
      <c r="G27790" s="9"/>
      <c r="J27790" s="11"/>
      <c r="U27790" s="9"/>
      <c r="X27790" s="9"/>
    </row>
    <row r="27791">
      <c r="D27791" s="9"/>
      <c r="G27791" s="9"/>
      <c r="J27791" s="11"/>
      <c r="U27791" s="9"/>
      <c r="X27791" s="9"/>
    </row>
    <row r="27792">
      <c r="D27792" s="9"/>
      <c r="G27792" s="9"/>
      <c r="J27792" s="11"/>
      <c r="U27792" s="9"/>
      <c r="X27792" s="9"/>
    </row>
    <row r="27793">
      <c r="D27793" s="9"/>
      <c r="G27793" s="9"/>
      <c r="J27793" s="11"/>
      <c r="U27793" s="9"/>
      <c r="X27793" s="9"/>
    </row>
    <row r="27794">
      <c r="D27794" s="9"/>
      <c r="G27794" s="9"/>
      <c r="J27794" s="11"/>
      <c r="U27794" s="9"/>
      <c r="X27794" s="9"/>
    </row>
    <row r="27795">
      <c r="D27795" s="9"/>
      <c r="G27795" s="9"/>
      <c r="J27795" s="11"/>
      <c r="U27795" s="9"/>
      <c r="X27795" s="9"/>
    </row>
    <row r="27796">
      <c r="D27796" s="9"/>
      <c r="G27796" s="9"/>
      <c r="J27796" s="11"/>
      <c r="U27796" s="9"/>
      <c r="X27796" s="9"/>
    </row>
    <row r="27797">
      <c r="D27797" s="9"/>
      <c r="G27797" s="9"/>
      <c r="J27797" s="11"/>
      <c r="U27797" s="9"/>
      <c r="X27797" s="9"/>
    </row>
    <row r="27798">
      <c r="D27798" s="9"/>
      <c r="G27798" s="9"/>
      <c r="J27798" s="11"/>
      <c r="U27798" s="9"/>
      <c r="X27798" s="9"/>
    </row>
    <row r="27799">
      <c r="D27799" s="9"/>
      <c r="G27799" s="9"/>
      <c r="J27799" s="11"/>
      <c r="U27799" s="9"/>
      <c r="X27799" s="9"/>
    </row>
    <row r="27800">
      <c r="D27800" s="9"/>
      <c r="G27800" s="9"/>
      <c r="J27800" s="11"/>
      <c r="U27800" s="9"/>
      <c r="X27800" s="9"/>
    </row>
    <row r="27801">
      <c r="D27801" s="9"/>
      <c r="G27801" s="9"/>
      <c r="J27801" s="11"/>
      <c r="U27801" s="9"/>
      <c r="X27801" s="9"/>
    </row>
    <row r="27802">
      <c r="D27802" s="9"/>
      <c r="G27802" s="9"/>
      <c r="J27802" s="11"/>
      <c r="U27802" s="9"/>
      <c r="X27802" s="9"/>
    </row>
    <row r="27803">
      <c r="D27803" s="9"/>
      <c r="G27803" s="9"/>
      <c r="J27803" s="11"/>
      <c r="U27803" s="9"/>
      <c r="X27803" s="9"/>
    </row>
    <row r="27804">
      <c r="D27804" s="9"/>
      <c r="G27804" s="9"/>
      <c r="J27804" s="11"/>
      <c r="U27804" s="9"/>
      <c r="X27804" s="9"/>
    </row>
    <row r="27805">
      <c r="D27805" s="9"/>
      <c r="G27805" s="9"/>
      <c r="J27805" s="11"/>
      <c r="U27805" s="9"/>
      <c r="X27805" s="9"/>
    </row>
    <row r="27806">
      <c r="D27806" s="9"/>
      <c r="G27806" s="9"/>
      <c r="J27806" s="11"/>
      <c r="U27806" s="9"/>
      <c r="X27806" s="9"/>
    </row>
    <row r="27807">
      <c r="D27807" s="9"/>
      <c r="G27807" s="9"/>
      <c r="J27807" s="11"/>
      <c r="U27807" s="9"/>
      <c r="X27807" s="9"/>
    </row>
    <row r="27808">
      <c r="D27808" s="9"/>
      <c r="G27808" s="9"/>
      <c r="J27808" s="11"/>
      <c r="U27808" s="9"/>
      <c r="X27808" s="9"/>
    </row>
    <row r="27809">
      <c r="D27809" s="9"/>
      <c r="G27809" s="9"/>
      <c r="J27809" s="11"/>
      <c r="U27809" s="9"/>
      <c r="X27809" s="9"/>
    </row>
    <row r="27810">
      <c r="D27810" s="9"/>
      <c r="G27810" s="9"/>
      <c r="J27810" s="11"/>
      <c r="U27810" s="9"/>
      <c r="X27810" s="9"/>
    </row>
    <row r="27811">
      <c r="D27811" s="9"/>
      <c r="G27811" s="9"/>
      <c r="J27811" s="11"/>
      <c r="U27811" s="9"/>
      <c r="X27811" s="9"/>
    </row>
    <row r="27812">
      <c r="D27812" s="9"/>
      <c r="G27812" s="9"/>
      <c r="J27812" s="11"/>
      <c r="U27812" s="9"/>
      <c r="X27812" s="9"/>
    </row>
    <row r="27813">
      <c r="D27813" s="9"/>
      <c r="G27813" s="9"/>
      <c r="J27813" s="11"/>
      <c r="U27813" s="9"/>
      <c r="X27813" s="9"/>
    </row>
    <row r="27814">
      <c r="D27814" s="9"/>
      <c r="G27814" s="9"/>
      <c r="J27814" s="11"/>
      <c r="U27814" s="9"/>
      <c r="X27814" s="9"/>
    </row>
    <row r="27815">
      <c r="D27815" s="9"/>
      <c r="G27815" s="9"/>
      <c r="J27815" s="11"/>
      <c r="U27815" s="9"/>
      <c r="X27815" s="9"/>
    </row>
    <row r="27816">
      <c r="D27816" s="9"/>
      <c r="G27816" s="9"/>
      <c r="J27816" s="11"/>
      <c r="U27816" s="9"/>
      <c r="X27816" s="9"/>
    </row>
    <row r="27817">
      <c r="D27817" s="9"/>
      <c r="G27817" s="9"/>
      <c r="J27817" s="11"/>
      <c r="U27817" s="9"/>
      <c r="X27817" s="9"/>
    </row>
    <row r="27818">
      <c r="D27818" s="9"/>
      <c r="G27818" s="9"/>
      <c r="J27818" s="11"/>
      <c r="U27818" s="9"/>
      <c r="X27818" s="9"/>
    </row>
    <row r="27819">
      <c r="D27819" s="9"/>
      <c r="G27819" s="9"/>
      <c r="J27819" s="11"/>
      <c r="U27819" s="9"/>
      <c r="X27819" s="9"/>
    </row>
    <row r="27820">
      <c r="D27820" s="9"/>
      <c r="G27820" s="9"/>
      <c r="J27820" s="11"/>
      <c r="U27820" s="9"/>
      <c r="X27820" s="9"/>
    </row>
    <row r="27821">
      <c r="D27821" s="9"/>
      <c r="G27821" s="9"/>
      <c r="J27821" s="11"/>
      <c r="U27821" s="9"/>
      <c r="X27821" s="9"/>
    </row>
    <row r="27822">
      <c r="D27822" s="9"/>
      <c r="G27822" s="9"/>
      <c r="J27822" s="11"/>
      <c r="U27822" s="9"/>
      <c r="X27822" s="9"/>
    </row>
    <row r="27823">
      <c r="D27823" s="9"/>
      <c r="G27823" s="9"/>
      <c r="J27823" s="11"/>
      <c r="U27823" s="9"/>
      <c r="X27823" s="9"/>
    </row>
    <row r="27824">
      <c r="D27824" s="9"/>
      <c r="G27824" s="9"/>
      <c r="J27824" s="11"/>
      <c r="U27824" s="9"/>
      <c r="X27824" s="9"/>
    </row>
    <row r="27825">
      <c r="D27825" s="9"/>
      <c r="G27825" s="9"/>
      <c r="J27825" s="11"/>
      <c r="U27825" s="9"/>
      <c r="X27825" s="9"/>
    </row>
    <row r="27826">
      <c r="D27826" s="9"/>
      <c r="G27826" s="9"/>
      <c r="J27826" s="11"/>
      <c r="U27826" s="9"/>
      <c r="X27826" s="9"/>
    </row>
    <row r="27827">
      <c r="D27827" s="9"/>
      <c r="G27827" s="9"/>
      <c r="J27827" s="11"/>
      <c r="U27827" s="9"/>
      <c r="X27827" s="9"/>
    </row>
    <row r="27828">
      <c r="D27828" s="9"/>
      <c r="G27828" s="9"/>
      <c r="J27828" s="11"/>
      <c r="U27828" s="9"/>
      <c r="X27828" s="9"/>
    </row>
    <row r="27829">
      <c r="D27829" s="9"/>
      <c r="G27829" s="9"/>
      <c r="J27829" s="11"/>
      <c r="U27829" s="9"/>
      <c r="X27829" s="9"/>
    </row>
    <row r="27830">
      <c r="D27830" s="9"/>
      <c r="G27830" s="9"/>
      <c r="J27830" s="11"/>
      <c r="U27830" s="9"/>
      <c r="X27830" s="9"/>
    </row>
    <row r="27831">
      <c r="D27831" s="9"/>
      <c r="G27831" s="9"/>
      <c r="J27831" s="11"/>
      <c r="U27831" s="9"/>
      <c r="X27831" s="9"/>
    </row>
    <row r="27832">
      <c r="D27832" s="9"/>
      <c r="G27832" s="9"/>
      <c r="J27832" s="11"/>
      <c r="U27832" s="9"/>
      <c r="X27832" s="9"/>
    </row>
    <row r="27833">
      <c r="D27833" s="9"/>
      <c r="G27833" s="9"/>
      <c r="J27833" s="11"/>
      <c r="U27833" s="9"/>
      <c r="X27833" s="9"/>
    </row>
    <row r="27834">
      <c r="D27834" s="9"/>
      <c r="G27834" s="9"/>
      <c r="J27834" s="11"/>
      <c r="U27834" s="9"/>
      <c r="X27834" s="9"/>
    </row>
    <row r="27835">
      <c r="D27835" s="9"/>
      <c r="G27835" s="9"/>
      <c r="J27835" s="11"/>
      <c r="U27835" s="9"/>
      <c r="X27835" s="9"/>
    </row>
    <row r="27836">
      <c r="D27836" s="9"/>
      <c r="G27836" s="9"/>
      <c r="J27836" s="11"/>
      <c r="U27836" s="9"/>
      <c r="X27836" s="9"/>
    </row>
    <row r="27837">
      <c r="D27837" s="9"/>
      <c r="G27837" s="9"/>
      <c r="J27837" s="11"/>
      <c r="U27837" s="9"/>
      <c r="X27837" s="9"/>
    </row>
    <row r="27838">
      <c r="D27838" s="9"/>
      <c r="G27838" s="9"/>
      <c r="J27838" s="11"/>
      <c r="U27838" s="9"/>
      <c r="X27838" s="9"/>
    </row>
    <row r="27839">
      <c r="D27839" s="9"/>
      <c r="G27839" s="9"/>
      <c r="J27839" s="11"/>
      <c r="U27839" s="9"/>
      <c r="X27839" s="9"/>
    </row>
    <row r="27840">
      <c r="D27840" s="9"/>
      <c r="G27840" s="9"/>
      <c r="J27840" s="11"/>
      <c r="U27840" s="9"/>
      <c r="X27840" s="9"/>
    </row>
    <row r="27841">
      <c r="D27841" s="9"/>
      <c r="G27841" s="9"/>
      <c r="J27841" s="11"/>
      <c r="U27841" s="9"/>
      <c r="X27841" s="9"/>
    </row>
    <row r="27842">
      <c r="D27842" s="9"/>
      <c r="G27842" s="9"/>
      <c r="J27842" s="11"/>
      <c r="U27842" s="9"/>
      <c r="X27842" s="9"/>
    </row>
    <row r="27843">
      <c r="D27843" s="9"/>
      <c r="G27843" s="9"/>
      <c r="J27843" s="11"/>
      <c r="U27843" s="9"/>
      <c r="X27843" s="9"/>
    </row>
    <row r="27844">
      <c r="D27844" s="9"/>
      <c r="G27844" s="9"/>
      <c r="J27844" s="11"/>
      <c r="U27844" s="9"/>
      <c r="X27844" s="9"/>
    </row>
    <row r="27845">
      <c r="D27845" s="9"/>
      <c r="G27845" s="9"/>
      <c r="J27845" s="11"/>
      <c r="U27845" s="9"/>
      <c r="X27845" s="9"/>
    </row>
    <row r="27846">
      <c r="D27846" s="9"/>
      <c r="G27846" s="9"/>
      <c r="J27846" s="11"/>
      <c r="U27846" s="9"/>
      <c r="X27846" s="9"/>
    </row>
    <row r="27847">
      <c r="D27847" s="9"/>
      <c r="G27847" s="9"/>
      <c r="J27847" s="11"/>
      <c r="U27847" s="9"/>
      <c r="X27847" s="9"/>
    </row>
    <row r="27848">
      <c r="D27848" s="9"/>
      <c r="G27848" s="9"/>
      <c r="J27848" s="11"/>
      <c r="U27848" s="9"/>
      <c r="X27848" s="9"/>
    </row>
    <row r="27849">
      <c r="D27849" s="9"/>
      <c r="G27849" s="9"/>
      <c r="J27849" s="11"/>
      <c r="U27849" s="9"/>
      <c r="X27849" s="9"/>
    </row>
    <row r="27850">
      <c r="D27850" s="9"/>
      <c r="G27850" s="9"/>
      <c r="J27850" s="11"/>
      <c r="U27850" s="9"/>
      <c r="X27850" s="9"/>
    </row>
    <row r="27851">
      <c r="D27851" s="9"/>
      <c r="G27851" s="9"/>
      <c r="J27851" s="11"/>
      <c r="U27851" s="9"/>
      <c r="X27851" s="9"/>
    </row>
    <row r="27852">
      <c r="D27852" s="9"/>
      <c r="G27852" s="9"/>
      <c r="J27852" s="11"/>
      <c r="U27852" s="9"/>
      <c r="X27852" s="9"/>
    </row>
    <row r="27853">
      <c r="D27853" s="9"/>
      <c r="G27853" s="9"/>
      <c r="J27853" s="11"/>
      <c r="U27853" s="9"/>
      <c r="X27853" s="9"/>
    </row>
    <row r="27854">
      <c r="D27854" s="9"/>
      <c r="G27854" s="9"/>
      <c r="J27854" s="11"/>
      <c r="U27854" s="9"/>
      <c r="X27854" s="9"/>
    </row>
    <row r="27855">
      <c r="D27855" s="9"/>
      <c r="G27855" s="9"/>
      <c r="J27855" s="11"/>
      <c r="U27855" s="9"/>
      <c r="X27855" s="9"/>
    </row>
    <row r="27856">
      <c r="D27856" s="9"/>
      <c r="G27856" s="9"/>
      <c r="J27856" s="11"/>
      <c r="U27856" s="9"/>
      <c r="X27856" s="9"/>
    </row>
    <row r="27857">
      <c r="D27857" s="9"/>
      <c r="G27857" s="9"/>
      <c r="J27857" s="11"/>
      <c r="U27857" s="9"/>
      <c r="X27857" s="9"/>
    </row>
    <row r="27858">
      <c r="D27858" s="9"/>
      <c r="G27858" s="9"/>
      <c r="J27858" s="11"/>
      <c r="U27858" s="9"/>
      <c r="X27858" s="9"/>
    </row>
    <row r="27859">
      <c r="D27859" s="9"/>
      <c r="G27859" s="9"/>
      <c r="J27859" s="11"/>
      <c r="U27859" s="9"/>
      <c r="X27859" s="9"/>
    </row>
    <row r="27860">
      <c r="D27860" s="9"/>
      <c r="G27860" s="9"/>
      <c r="J27860" s="11"/>
      <c r="U27860" s="9"/>
      <c r="X27860" s="9"/>
    </row>
    <row r="27861">
      <c r="D27861" s="9"/>
      <c r="G27861" s="9"/>
      <c r="J27861" s="11"/>
      <c r="U27861" s="9"/>
      <c r="X27861" s="9"/>
    </row>
    <row r="27862">
      <c r="D27862" s="9"/>
      <c r="G27862" s="9"/>
      <c r="J27862" s="11"/>
      <c r="U27862" s="9"/>
      <c r="X27862" s="9"/>
    </row>
    <row r="27863">
      <c r="D27863" s="9"/>
      <c r="G27863" s="9"/>
      <c r="J27863" s="11"/>
      <c r="U27863" s="9"/>
      <c r="X27863" s="9"/>
    </row>
    <row r="27864">
      <c r="D27864" s="9"/>
      <c r="G27864" s="9"/>
      <c r="J27864" s="11"/>
      <c r="U27864" s="9"/>
      <c r="X27864" s="9"/>
    </row>
    <row r="27865">
      <c r="D27865" s="9"/>
      <c r="G27865" s="9"/>
      <c r="J27865" s="11"/>
      <c r="U27865" s="9"/>
      <c r="X27865" s="9"/>
    </row>
    <row r="27866">
      <c r="D27866" s="9"/>
      <c r="G27866" s="9"/>
      <c r="J27866" s="11"/>
      <c r="U27866" s="9"/>
      <c r="X27866" s="9"/>
    </row>
    <row r="27867">
      <c r="D27867" s="9"/>
      <c r="G27867" s="9"/>
      <c r="J27867" s="11"/>
      <c r="U27867" s="9"/>
      <c r="X27867" s="9"/>
    </row>
    <row r="27868">
      <c r="D27868" s="9"/>
      <c r="G27868" s="9"/>
      <c r="J27868" s="11"/>
      <c r="U27868" s="9"/>
      <c r="X27868" s="9"/>
    </row>
    <row r="27869">
      <c r="D27869" s="9"/>
      <c r="G27869" s="9"/>
      <c r="J27869" s="11"/>
      <c r="U27869" s="9"/>
      <c r="X27869" s="9"/>
    </row>
    <row r="27870">
      <c r="D27870" s="9"/>
      <c r="G27870" s="9"/>
      <c r="J27870" s="11"/>
      <c r="U27870" s="9"/>
      <c r="X27870" s="9"/>
    </row>
    <row r="27871">
      <c r="D27871" s="9"/>
      <c r="G27871" s="9"/>
      <c r="J27871" s="11"/>
      <c r="U27871" s="9"/>
      <c r="X27871" s="9"/>
    </row>
    <row r="27872">
      <c r="D27872" s="9"/>
      <c r="G27872" s="9"/>
      <c r="J27872" s="11"/>
      <c r="U27872" s="9"/>
      <c r="X27872" s="9"/>
    </row>
    <row r="27873">
      <c r="D27873" s="9"/>
      <c r="G27873" s="9"/>
      <c r="J27873" s="11"/>
      <c r="U27873" s="9"/>
      <c r="X27873" s="9"/>
    </row>
    <row r="27874">
      <c r="D27874" s="9"/>
      <c r="G27874" s="9"/>
      <c r="J27874" s="11"/>
      <c r="U27874" s="9"/>
      <c r="X27874" s="9"/>
    </row>
    <row r="27875">
      <c r="D27875" s="9"/>
      <c r="G27875" s="9"/>
      <c r="J27875" s="11"/>
      <c r="U27875" s="9"/>
      <c r="X27875" s="9"/>
    </row>
    <row r="27876">
      <c r="D27876" s="9"/>
      <c r="G27876" s="9"/>
      <c r="J27876" s="11"/>
      <c r="U27876" s="9"/>
      <c r="X27876" s="9"/>
    </row>
    <row r="27877">
      <c r="D27877" s="9"/>
      <c r="G27877" s="9"/>
      <c r="J27877" s="11"/>
      <c r="U27877" s="9"/>
      <c r="X27877" s="9"/>
    </row>
    <row r="27878">
      <c r="D27878" s="9"/>
      <c r="G27878" s="9"/>
      <c r="J27878" s="11"/>
      <c r="U27878" s="9"/>
      <c r="X27878" s="9"/>
    </row>
    <row r="27879">
      <c r="D27879" s="9"/>
      <c r="G27879" s="9"/>
      <c r="J27879" s="11"/>
      <c r="U27879" s="9"/>
      <c r="X27879" s="9"/>
    </row>
    <row r="27880">
      <c r="D27880" s="9"/>
      <c r="G27880" s="9"/>
      <c r="J27880" s="11"/>
      <c r="U27880" s="9"/>
      <c r="X27880" s="9"/>
    </row>
    <row r="27881">
      <c r="D27881" s="9"/>
      <c r="G27881" s="9"/>
      <c r="J27881" s="11"/>
      <c r="U27881" s="9"/>
      <c r="X27881" s="9"/>
    </row>
    <row r="27882">
      <c r="D27882" s="9"/>
      <c r="G27882" s="9"/>
      <c r="J27882" s="11"/>
      <c r="U27882" s="9"/>
      <c r="X27882" s="9"/>
    </row>
    <row r="27883">
      <c r="D27883" s="9"/>
      <c r="G27883" s="9"/>
      <c r="J27883" s="11"/>
      <c r="U27883" s="9"/>
      <c r="X27883" s="9"/>
    </row>
    <row r="27884">
      <c r="D27884" s="9"/>
      <c r="G27884" s="9"/>
      <c r="J27884" s="11"/>
      <c r="U27884" s="9"/>
      <c r="X27884" s="9"/>
    </row>
    <row r="27885">
      <c r="D27885" s="9"/>
      <c r="G27885" s="9"/>
      <c r="J27885" s="11"/>
      <c r="U27885" s="9"/>
      <c r="X27885" s="9"/>
    </row>
    <row r="27886">
      <c r="D27886" s="9"/>
      <c r="G27886" s="9"/>
      <c r="J27886" s="11"/>
      <c r="U27886" s="9"/>
      <c r="X27886" s="9"/>
    </row>
    <row r="27887">
      <c r="D27887" s="9"/>
      <c r="G27887" s="9"/>
      <c r="J27887" s="11"/>
      <c r="U27887" s="9"/>
      <c r="X27887" s="9"/>
    </row>
    <row r="27888">
      <c r="D27888" s="9"/>
      <c r="G27888" s="9"/>
      <c r="J27888" s="11"/>
      <c r="U27888" s="9"/>
      <c r="X27888" s="9"/>
    </row>
    <row r="27889">
      <c r="D27889" s="9"/>
      <c r="G27889" s="9"/>
      <c r="J27889" s="11"/>
      <c r="U27889" s="9"/>
      <c r="X27889" s="9"/>
    </row>
    <row r="27890">
      <c r="D27890" s="9"/>
      <c r="G27890" s="9"/>
      <c r="J27890" s="11"/>
      <c r="U27890" s="9"/>
      <c r="X27890" s="9"/>
    </row>
    <row r="27891">
      <c r="D27891" s="9"/>
      <c r="G27891" s="9"/>
      <c r="J27891" s="11"/>
      <c r="U27891" s="9"/>
      <c r="X27891" s="9"/>
    </row>
    <row r="27892">
      <c r="D27892" s="9"/>
      <c r="G27892" s="9"/>
      <c r="J27892" s="11"/>
      <c r="U27892" s="9"/>
      <c r="X27892" s="9"/>
    </row>
    <row r="27893">
      <c r="D27893" s="9"/>
      <c r="G27893" s="9"/>
      <c r="J27893" s="11"/>
      <c r="U27893" s="9"/>
      <c r="X27893" s="9"/>
    </row>
    <row r="27894">
      <c r="D27894" s="9"/>
      <c r="G27894" s="9"/>
      <c r="J27894" s="11"/>
      <c r="U27894" s="9"/>
      <c r="X27894" s="9"/>
    </row>
    <row r="27895">
      <c r="D27895" s="9"/>
      <c r="G27895" s="9"/>
      <c r="J27895" s="11"/>
      <c r="U27895" s="9"/>
      <c r="X27895" s="9"/>
    </row>
    <row r="27896">
      <c r="D27896" s="9"/>
      <c r="G27896" s="9"/>
      <c r="J27896" s="11"/>
      <c r="U27896" s="9"/>
      <c r="X27896" s="9"/>
    </row>
    <row r="27897">
      <c r="D27897" s="9"/>
      <c r="G27897" s="9"/>
      <c r="J27897" s="11"/>
      <c r="U27897" s="9"/>
      <c r="X27897" s="9"/>
    </row>
    <row r="27898">
      <c r="D27898" s="9"/>
      <c r="G27898" s="9"/>
      <c r="J27898" s="11"/>
      <c r="U27898" s="9"/>
      <c r="X27898" s="9"/>
    </row>
    <row r="27899">
      <c r="D27899" s="9"/>
      <c r="G27899" s="9"/>
      <c r="J27899" s="11"/>
      <c r="U27899" s="9"/>
      <c r="X27899" s="9"/>
    </row>
    <row r="27900">
      <c r="D27900" s="9"/>
      <c r="G27900" s="9"/>
      <c r="J27900" s="11"/>
      <c r="U27900" s="9"/>
      <c r="X27900" s="9"/>
    </row>
    <row r="27901">
      <c r="D27901" s="9"/>
      <c r="G27901" s="9"/>
      <c r="J27901" s="11"/>
      <c r="U27901" s="9"/>
      <c r="X27901" s="9"/>
    </row>
    <row r="27902">
      <c r="D27902" s="9"/>
      <c r="G27902" s="9"/>
      <c r="J27902" s="11"/>
      <c r="U27902" s="9"/>
      <c r="X27902" s="9"/>
    </row>
    <row r="27903">
      <c r="D27903" s="9"/>
      <c r="G27903" s="9"/>
      <c r="J27903" s="11"/>
      <c r="U27903" s="9"/>
      <c r="X27903" s="9"/>
    </row>
    <row r="27904">
      <c r="D27904" s="9"/>
      <c r="G27904" s="9"/>
      <c r="J27904" s="11"/>
      <c r="U27904" s="9"/>
      <c r="X27904" s="9"/>
    </row>
    <row r="27905">
      <c r="D27905" s="9"/>
      <c r="G27905" s="9"/>
      <c r="J27905" s="11"/>
      <c r="U27905" s="9"/>
      <c r="X27905" s="9"/>
    </row>
    <row r="27906">
      <c r="D27906" s="9"/>
      <c r="G27906" s="9"/>
      <c r="J27906" s="11"/>
      <c r="U27906" s="9"/>
      <c r="X27906" s="9"/>
    </row>
    <row r="27907">
      <c r="D27907" s="9"/>
      <c r="G27907" s="9"/>
      <c r="J27907" s="11"/>
      <c r="U27907" s="9"/>
      <c r="X27907" s="9"/>
    </row>
    <row r="27908">
      <c r="D27908" s="9"/>
      <c r="G27908" s="9"/>
      <c r="J27908" s="11"/>
      <c r="U27908" s="9"/>
      <c r="X27908" s="9"/>
    </row>
    <row r="27909">
      <c r="D27909" s="9"/>
      <c r="G27909" s="9"/>
      <c r="J27909" s="11"/>
      <c r="U27909" s="9"/>
      <c r="X27909" s="9"/>
    </row>
    <row r="27910">
      <c r="D27910" s="9"/>
      <c r="G27910" s="9"/>
      <c r="J27910" s="11"/>
      <c r="U27910" s="9"/>
      <c r="X27910" s="9"/>
    </row>
    <row r="27911">
      <c r="D27911" s="9"/>
      <c r="G27911" s="9"/>
      <c r="J27911" s="11"/>
      <c r="U27911" s="9"/>
      <c r="X27911" s="9"/>
    </row>
    <row r="27912">
      <c r="D27912" s="9"/>
      <c r="G27912" s="9"/>
      <c r="J27912" s="11"/>
      <c r="U27912" s="9"/>
      <c r="X27912" s="9"/>
    </row>
    <row r="27913">
      <c r="D27913" s="9"/>
      <c r="G27913" s="9"/>
      <c r="J27913" s="11"/>
      <c r="U27913" s="9"/>
      <c r="X27913" s="9"/>
    </row>
    <row r="27914">
      <c r="D27914" s="9"/>
      <c r="G27914" s="9"/>
      <c r="J27914" s="11"/>
      <c r="U27914" s="9"/>
      <c r="X27914" s="9"/>
    </row>
    <row r="27915">
      <c r="D27915" s="9"/>
      <c r="G27915" s="9"/>
      <c r="J27915" s="11"/>
      <c r="U27915" s="9"/>
      <c r="X27915" s="9"/>
    </row>
    <row r="27916">
      <c r="D27916" s="9"/>
      <c r="G27916" s="9"/>
      <c r="J27916" s="11"/>
      <c r="U27916" s="9"/>
      <c r="X27916" s="9"/>
    </row>
    <row r="27917">
      <c r="D27917" s="9"/>
      <c r="G27917" s="9"/>
      <c r="J27917" s="11"/>
      <c r="U27917" s="9"/>
      <c r="X27917" s="9"/>
    </row>
    <row r="27918">
      <c r="D27918" s="9"/>
      <c r="G27918" s="9"/>
      <c r="J27918" s="11"/>
      <c r="U27918" s="9"/>
      <c r="X27918" s="9"/>
    </row>
    <row r="27919">
      <c r="D27919" s="9"/>
      <c r="G27919" s="9"/>
      <c r="J27919" s="11"/>
      <c r="U27919" s="9"/>
      <c r="X27919" s="9"/>
    </row>
    <row r="27920">
      <c r="D27920" s="9"/>
      <c r="G27920" s="9"/>
      <c r="J27920" s="11"/>
      <c r="U27920" s="9"/>
      <c r="X27920" s="9"/>
    </row>
    <row r="27921">
      <c r="D27921" s="9"/>
      <c r="G27921" s="9"/>
      <c r="J27921" s="11"/>
      <c r="U27921" s="9"/>
      <c r="X27921" s="9"/>
    </row>
    <row r="27922">
      <c r="D27922" s="9"/>
      <c r="G27922" s="9"/>
      <c r="J27922" s="11"/>
      <c r="U27922" s="9"/>
      <c r="X27922" s="9"/>
    </row>
    <row r="27923">
      <c r="D27923" s="9"/>
      <c r="G27923" s="9"/>
      <c r="J27923" s="11"/>
      <c r="U27923" s="9"/>
      <c r="X27923" s="9"/>
    </row>
    <row r="27924">
      <c r="D27924" s="9"/>
      <c r="G27924" s="9"/>
      <c r="J27924" s="11"/>
      <c r="U27924" s="9"/>
      <c r="X27924" s="9"/>
    </row>
    <row r="27925">
      <c r="D27925" s="9"/>
      <c r="G27925" s="9"/>
      <c r="J27925" s="11"/>
      <c r="U27925" s="9"/>
      <c r="X27925" s="9"/>
    </row>
    <row r="27926">
      <c r="D27926" s="9"/>
      <c r="G27926" s="9"/>
      <c r="J27926" s="11"/>
      <c r="U27926" s="9"/>
      <c r="X27926" s="9"/>
    </row>
    <row r="27927">
      <c r="D27927" s="9"/>
      <c r="G27927" s="9"/>
      <c r="J27927" s="11"/>
      <c r="U27927" s="9"/>
      <c r="X27927" s="9"/>
    </row>
    <row r="27928">
      <c r="D27928" s="9"/>
      <c r="G27928" s="9"/>
      <c r="J27928" s="11"/>
      <c r="U27928" s="9"/>
      <c r="X27928" s="9"/>
    </row>
    <row r="27929">
      <c r="D27929" s="9"/>
      <c r="G27929" s="9"/>
      <c r="J27929" s="11"/>
      <c r="U27929" s="9"/>
      <c r="X27929" s="9"/>
    </row>
    <row r="27930">
      <c r="D27930" s="9"/>
      <c r="G27930" s="9"/>
      <c r="J27930" s="11"/>
      <c r="U27930" s="9"/>
      <c r="X27930" s="9"/>
    </row>
    <row r="27931">
      <c r="D27931" s="9"/>
      <c r="G27931" s="9"/>
      <c r="J27931" s="11"/>
      <c r="U27931" s="9"/>
      <c r="X27931" s="9"/>
    </row>
    <row r="27932">
      <c r="D27932" s="9"/>
      <c r="G27932" s="9"/>
      <c r="J27932" s="11"/>
      <c r="U27932" s="9"/>
      <c r="X27932" s="9"/>
    </row>
    <row r="27933">
      <c r="D27933" s="9"/>
      <c r="G27933" s="9"/>
      <c r="J27933" s="11"/>
      <c r="U27933" s="9"/>
      <c r="X27933" s="9"/>
    </row>
    <row r="27934">
      <c r="D27934" s="9"/>
      <c r="G27934" s="9"/>
      <c r="J27934" s="11"/>
      <c r="U27934" s="9"/>
      <c r="X27934" s="9"/>
    </row>
    <row r="27935">
      <c r="D27935" s="9"/>
      <c r="G27935" s="9"/>
      <c r="J27935" s="11"/>
      <c r="U27935" s="9"/>
      <c r="X27935" s="9"/>
    </row>
    <row r="27936">
      <c r="D27936" s="9"/>
      <c r="G27936" s="9"/>
      <c r="J27936" s="11"/>
      <c r="U27936" s="9"/>
      <c r="X27936" s="9"/>
    </row>
    <row r="27937">
      <c r="D27937" s="9"/>
      <c r="G27937" s="9"/>
      <c r="J27937" s="11"/>
      <c r="U27937" s="9"/>
      <c r="X27937" s="9"/>
    </row>
    <row r="27938">
      <c r="D27938" s="9"/>
      <c r="G27938" s="9"/>
      <c r="J27938" s="11"/>
      <c r="U27938" s="9"/>
      <c r="X27938" s="9"/>
    </row>
    <row r="27939">
      <c r="D27939" s="9"/>
      <c r="G27939" s="9"/>
      <c r="J27939" s="11"/>
      <c r="U27939" s="9"/>
      <c r="X27939" s="9"/>
    </row>
    <row r="27940">
      <c r="D27940" s="9"/>
      <c r="G27940" s="9"/>
      <c r="J27940" s="11"/>
      <c r="U27940" s="9"/>
      <c r="X27940" s="9"/>
    </row>
    <row r="27941">
      <c r="D27941" s="9"/>
      <c r="G27941" s="9"/>
      <c r="J27941" s="11"/>
      <c r="U27941" s="9"/>
      <c r="X27941" s="9"/>
    </row>
    <row r="27942">
      <c r="D27942" s="9"/>
      <c r="G27942" s="9"/>
      <c r="J27942" s="11"/>
      <c r="U27942" s="9"/>
      <c r="X27942" s="9"/>
    </row>
    <row r="27943">
      <c r="D27943" s="9"/>
      <c r="G27943" s="9"/>
      <c r="J27943" s="11"/>
      <c r="U27943" s="9"/>
      <c r="X27943" s="9"/>
    </row>
    <row r="27944">
      <c r="D27944" s="9"/>
      <c r="G27944" s="9"/>
      <c r="J27944" s="11"/>
      <c r="U27944" s="9"/>
      <c r="X27944" s="9"/>
    </row>
    <row r="27945">
      <c r="D27945" s="9"/>
      <c r="G27945" s="9"/>
      <c r="J27945" s="11"/>
      <c r="U27945" s="9"/>
      <c r="X27945" s="9"/>
    </row>
    <row r="27946">
      <c r="D27946" s="9"/>
      <c r="G27946" s="9"/>
      <c r="J27946" s="11"/>
      <c r="U27946" s="9"/>
      <c r="X27946" s="9"/>
    </row>
    <row r="27947">
      <c r="D27947" s="9"/>
      <c r="G27947" s="9"/>
      <c r="J27947" s="11"/>
      <c r="U27947" s="9"/>
      <c r="X27947" s="9"/>
    </row>
    <row r="27948">
      <c r="D27948" s="9"/>
      <c r="G27948" s="9"/>
      <c r="J27948" s="11"/>
      <c r="U27948" s="9"/>
      <c r="X27948" s="9"/>
    </row>
    <row r="27949">
      <c r="D27949" s="9"/>
      <c r="G27949" s="9"/>
      <c r="J27949" s="11"/>
      <c r="U27949" s="9"/>
      <c r="X27949" s="9"/>
    </row>
    <row r="27950">
      <c r="D27950" s="9"/>
      <c r="G27950" s="9"/>
      <c r="J27950" s="11"/>
      <c r="U27950" s="9"/>
      <c r="X27950" s="9"/>
    </row>
    <row r="27951">
      <c r="D27951" s="9"/>
      <c r="G27951" s="9"/>
      <c r="J27951" s="11"/>
      <c r="U27951" s="9"/>
      <c r="X27951" s="9"/>
    </row>
    <row r="27952">
      <c r="D27952" s="9"/>
      <c r="G27952" s="9"/>
      <c r="J27952" s="11"/>
      <c r="U27952" s="9"/>
      <c r="X27952" s="9"/>
    </row>
    <row r="27953">
      <c r="D27953" s="9"/>
      <c r="G27953" s="9"/>
      <c r="J27953" s="11"/>
      <c r="U27953" s="9"/>
      <c r="X27953" s="9"/>
    </row>
    <row r="27954">
      <c r="D27954" s="9"/>
      <c r="G27954" s="9"/>
      <c r="J27954" s="11"/>
      <c r="U27954" s="9"/>
      <c r="X27954" s="9"/>
    </row>
    <row r="27955">
      <c r="D27955" s="9"/>
      <c r="G27955" s="9"/>
      <c r="J27955" s="11"/>
      <c r="U27955" s="9"/>
      <c r="X27955" s="9"/>
    </row>
    <row r="27956">
      <c r="D27956" s="9"/>
      <c r="G27956" s="9"/>
      <c r="J27956" s="11"/>
      <c r="U27956" s="9"/>
      <c r="X27956" s="9"/>
    </row>
    <row r="27957">
      <c r="D27957" s="9"/>
      <c r="G27957" s="9"/>
      <c r="J27957" s="11"/>
      <c r="U27957" s="9"/>
      <c r="X27957" s="9"/>
    </row>
    <row r="27958">
      <c r="D27958" s="9"/>
      <c r="G27958" s="9"/>
      <c r="J27958" s="11"/>
      <c r="U27958" s="9"/>
      <c r="X27958" s="9"/>
    </row>
    <row r="27959">
      <c r="D27959" s="9"/>
      <c r="G27959" s="9"/>
      <c r="J27959" s="11"/>
      <c r="U27959" s="9"/>
      <c r="X27959" s="9"/>
    </row>
    <row r="27960">
      <c r="D27960" s="9"/>
      <c r="G27960" s="9"/>
      <c r="J27960" s="11"/>
      <c r="U27960" s="9"/>
      <c r="X27960" s="9"/>
    </row>
    <row r="27961">
      <c r="D27961" s="9"/>
      <c r="G27961" s="9"/>
      <c r="J27961" s="11"/>
      <c r="U27961" s="9"/>
      <c r="X27961" s="9"/>
    </row>
    <row r="27962">
      <c r="D27962" s="9"/>
      <c r="G27962" s="9"/>
      <c r="J27962" s="11"/>
      <c r="U27962" s="9"/>
      <c r="X27962" s="9"/>
    </row>
    <row r="27963">
      <c r="D27963" s="9"/>
      <c r="G27963" s="9"/>
      <c r="J27963" s="11"/>
      <c r="U27963" s="9"/>
      <c r="X27963" s="9"/>
    </row>
    <row r="27964">
      <c r="D27964" s="9"/>
      <c r="G27964" s="9"/>
      <c r="J27964" s="11"/>
      <c r="U27964" s="9"/>
      <c r="X27964" s="9"/>
    </row>
    <row r="27965">
      <c r="D27965" s="9"/>
      <c r="G27965" s="9"/>
      <c r="J27965" s="11"/>
      <c r="U27965" s="9"/>
      <c r="X27965" s="9"/>
    </row>
    <row r="27966">
      <c r="D27966" s="9"/>
      <c r="G27966" s="9"/>
      <c r="J27966" s="11"/>
      <c r="U27966" s="9"/>
      <c r="X27966" s="9"/>
    </row>
    <row r="27967">
      <c r="D27967" s="9"/>
      <c r="G27967" s="9"/>
      <c r="J27967" s="11"/>
      <c r="U27967" s="9"/>
      <c r="X27967" s="9"/>
    </row>
    <row r="27968">
      <c r="D27968" s="9"/>
      <c r="G27968" s="9"/>
      <c r="J27968" s="11"/>
      <c r="U27968" s="9"/>
      <c r="X27968" s="9"/>
    </row>
    <row r="27969">
      <c r="D27969" s="9"/>
      <c r="G27969" s="9"/>
      <c r="J27969" s="11"/>
      <c r="U27969" s="9"/>
      <c r="X27969" s="9"/>
    </row>
    <row r="27970">
      <c r="D27970" s="9"/>
      <c r="G27970" s="9"/>
      <c r="J27970" s="11"/>
      <c r="U27970" s="9"/>
      <c r="X27970" s="9"/>
    </row>
    <row r="27971">
      <c r="D27971" s="9"/>
      <c r="G27971" s="9"/>
      <c r="J27971" s="11"/>
      <c r="U27971" s="9"/>
      <c r="X27971" s="9"/>
    </row>
    <row r="27972">
      <c r="D27972" s="9"/>
      <c r="G27972" s="9"/>
      <c r="J27972" s="11"/>
      <c r="U27972" s="9"/>
      <c r="X27972" s="9"/>
    </row>
    <row r="27973">
      <c r="D27973" s="9"/>
      <c r="G27973" s="9"/>
      <c r="J27973" s="11"/>
      <c r="U27973" s="9"/>
      <c r="X27973" s="9"/>
    </row>
    <row r="27974">
      <c r="D27974" s="9"/>
      <c r="G27974" s="9"/>
      <c r="J27974" s="11"/>
      <c r="U27974" s="9"/>
      <c r="X27974" s="9"/>
    </row>
    <row r="27975">
      <c r="D27975" s="9"/>
      <c r="G27975" s="9"/>
      <c r="J27975" s="11"/>
      <c r="U27975" s="9"/>
      <c r="X27975" s="9"/>
    </row>
    <row r="27976">
      <c r="D27976" s="9"/>
      <c r="G27976" s="9"/>
      <c r="J27976" s="11"/>
      <c r="U27976" s="9"/>
      <c r="X27976" s="9"/>
    </row>
    <row r="27977">
      <c r="D27977" s="9"/>
      <c r="G27977" s="9"/>
      <c r="J27977" s="11"/>
      <c r="U27977" s="9"/>
      <c r="X27977" s="9"/>
    </row>
    <row r="27978">
      <c r="D27978" s="9"/>
      <c r="G27978" s="9"/>
      <c r="J27978" s="11"/>
      <c r="U27978" s="9"/>
      <c r="X27978" s="9"/>
    </row>
    <row r="27979">
      <c r="D27979" s="9"/>
      <c r="G27979" s="9"/>
      <c r="J27979" s="11"/>
      <c r="U27979" s="9"/>
      <c r="X27979" s="9"/>
    </row>
    <row r="27980">
      <c r="D27980" s="9"/>
      <c r="G27980" s="9"/>
      <c r="J27980" s="11"/>
      <c r="U27980" s="9"/>
      <c r="X27980" s="9"/>
    </row>
    <row r="27981">
      <c r="D27981" s="9"/>
      <c r="G27981" s="9"/>
      <c r="J27981" s="11"/>
      <c r="U27981" s="9"/>
      <c r="X27981" s="9"/>
    </row>
    <row r="27982">
      <c r="D27982" s="9"/>
      <c r="G27982" s="9"/>
      <c r="J27982" s="11"/>
      <c r="U27982" s="9"/>
      <c r="X27982" s="9"/>
    </row>
    <row r="27983">
      <c r="D27983" s="9"/>
      <c r="G27983" s="9"/>
      <c r="J27983" s="11"/>
      <c r="U27983" s="9"/>
      <c r="X27983" s="9"/>
    </row>
    <row r="27984">
      <c r="D27984" s="9"/>
      <c r="G27984" s="9"/>
      <c r="J27984" s="11"/>
      <c r="U27984" s="9"/>
      <c r="X27984" s="9"/>
    </row>
    <row r="27985">
      <c r="D27985" s="9"/>
      <c r="G27985" s="9"/>
      <c r="J27985" s="11"/>
      <c r="U27985" s="9"/>
      <c r="X27985" s="9"/>
    </row>
    <row r="27986">
      <c r="D27986" s="9"/>
      <c r="G27986" s="9"/>
      <c r="J27986" s="11"/>
      <c r="U27986" s="9"/>
      <c r="X27986" s="9"/>
    </row>
    <row r="27987">
      <c r="D27987" s="9"/>
      <c r="G27987" s="9"/>
      <c r="J27987" s="11"/>
      <c r="U27987" s="9"/>
      <c r="X27987" s="9"/>
    </row>
    <row r="27988">
      <c r="D27988" s="9"/>
      <c r="G27988" s="9"/>
      <c r="J27988" s="11"/>
      <c r="U27988" s="9"/>
      <c r="X27988" s="9"/>
    </row>
    <row r="27989">
      <c r="D27989" s="9"/>
      <c r="G27989" s="9"/>
      <c r="J27989" s="11"/>
      <c r="U27989" s="9"/>
      <c r="X27989" s="9"/>
    </row>
    <row r="27990">
      <c r="D27990" s="9"/>
      <c r="G27990" s="9"/>
      <c r="J27990" s="11"/>
      <c r="U27990" s="9"/>
      <c r="X27990" s="9"/>
    </row>
    <row r="27991">
      <c r="D27991" s="9"/>
      <c r="G27991" s="9"/>
      <c r="J27991" s="11"/>
      <c r="U27991" s="9"/>
      <c r="X27991" s="9"/>
    </row>
    <row r="27992">
      <c r="D27992" s="9"/>
      <c r="G27992" s="9"/>
      <c r="J27992" s="11"/>
      <c r="U27992" s="9"/>
      <c r="X27992" s="9"/>
    </row>
    <row r="27993">
      <c r="D27993" s="9"/>
      <c r="G27993" s="9"/>
      <c r="J27993" s="11"/>
      <c r="U27993" s="9"/>
      <c r="X27993" s="9"/>
    </row>
    <row r="27994">
      <c r="D27994" s="9"/>
      <c r="G27994" s="9"/>
      <c r="J27994" s="11"/>
      <c r="U27994" s="9"/>
      <c r="X27994" s="9"/>
    </row>
    <row r="27995">
      <c r="D27995" s="9"/>
      <c r="G27995" s="9"/>
      <c r="J27995" s="11"/>
      <c r="U27995" s="9"/>
      <c r="X27995" s="9"/>
    </row>
    <row r="27996">
      <c r="D27996" s="9"/>
      <c r="G27996" s="9"/>
      <c r="J27996" s="11"/>
      <c r="U27996" s="9"/>
      <c r="X27996" s="9"/>
    </row>
    <row r="27997">
      <c r="D27997" s="9"/>
      <c r="G27997" s="9"/>
      <c r="J27997" s="11"/>
      <c r="U27997" s="9"/>
      <c r="X27997" s="9"/>
    </row>
    <row r="27998">
      <c r="D27998" s="9"/>
      <c r="G27998" s="9"/>
      <c r="J27998" s="11"/>
      <c r="U27998" s="9"/>
      <c r="X27998" s="9"/>
    </row>
    <row r="27999">
      <c r="D27999" s="9"/>
      <c r="G27999" s="9"/>
      <c r="J27999" s="11"/>
      <c r="U27999" s="9"/>
      <c r="X27999" s="9"/>
    </row>
    <row r="28000">
      <c r="D28000" s="9"/>
      <c r="G28000" s="9"/>
      <c r="J28000" s="11"/>
      <c r="U28000" s="9"/>
      <c r="X28000" s="9"/>
    </row>
    <row r="28001">
      <c r="D28001" s="9"/>
      <c r="G28001" s="9"/>
      <c r="J28001" s="11"/>
      <c r="U28001" s="9"/>
      <c r="X28001" s="9"/>
    </row>
    <row r="28002">
      <c r="D28002" s="9"/>
      <c r="G28002" s="9"/>
      <c r="J28002" s="11"/>
      <c r="U28002" s="9"/>
      <c r="X28002" s="9"/>
    </row>
    <row r="28003">
      <c r="D28003" s="9"/>
      <c r="G28003" s="9"/>
      <c r="J28003" s="11"/>
      <c r="U28003" s="9"/>
      <c r="X28003" s="9"/>
    </row>
    <row r="28004">
      <c r="D28004" s="9"/>
      <c r="G28004" s="9"/>
      <c r="J28004" s="11"/>
      <c r="U28004" s="9"/>
      <c r="X28004" s="9"/>
    </row>
    <row r="28005">
      <c r="D28005" s="9"/>
      <c r="G28005" s="9"/>
      <c r="J28005" s="11"/>
      <c r="U28005" s="9"/>
      <c r="X28005" s="9"/>
    </row>
    <row r="28006">
      <c r="D28006" s="9"/>
      <c r="G28006" s="9"/>
      <c r="J28006" s="11"/>
      <c r="U28006" s="9"/>
      <c r="X28006" s="9"/>
    </row>
    <row r="28007">
      <c r="D28007" s="9"/>
      <c r="G28007" s="9"/>
      <c r="J28007" s="11"/>
      <c r="U28007" s="9"/>
      <c r="X28007" s="9"/>
    </row>
    <row r="28008">
      <c r="D28008" s="9"/>
      <c r="G28008" s="9"/>
      <c r="J28008" s="11"/>
      <c r="U28008" s="9"/>
      <c r="X28008" s="9"/>
    </row>
    <row r="28009">
      <c r="D28009" s="9"/>
      <c r="G28009" s="9"/>
      <c r="J28009" s="11"/>
      <c r="U28009" s="9"/>
      <c r="X28009" s="9"/>
    </row>
    <row r="28010">
      <c r="D28010" s="9"/>
      <c r="G28010" s="9"/>
      <c r="J28010" s="11"/>
      <c r="U28010" s="9"/>
      <c r="X28010" s="9"/>
    </row>
    <row r="28011">
      <c r="D28011" s="9"/>
      <c r="G28011" s="9"/>
      <c r="J28011" s="11"/>
      <c r="U28011" s="9"/>
      <c r="X28011" s="9"/>
    </row>
    <row r="28012">
      <c r="D28012" s="9"/>
      <c r="G28012" s="9"/>
      <c r="J28012" s="11"/>
      <c r="U28012" s="9"/>
      <c r="X28012" s="9"/>
    </row>
    <row r="28013">
      <c r="D28013" s="9"/>
      <c r="G28013" s="9"/>
      <c r="J28013" s="11"/>
      <c r="U28013" s="9"/>
      <c r="X28013" s="9"/>
    </row>
    <row r="28014">
      <c r="D28014" s="9"/>
      <c r="G28014" s="9"/>
      <c r="J28014" s="11"/>
      <c r="U28014" s="9"/>
      <c r="X28014" s="9"/>
    </row>
    <row r="28015">
      <c r="D28015" s="9"/>
      <c r="G28015" s="9"/>
      <c r="J28015" s="11"/>
      <c r="U28015" s="9"/>
      <c r="X28015" s="9"/>
    </row>
    <row r="28016">
      <c r="D28016" s="9"/>
      <c r="G28016" s="9"/>
      <c r="J28016" s="11"/>
      <c r="U28016" s="9"/>
      <c r="X28016" s="9"/>
    </row>
    <row r="28017">
      <c r="D28017" s="9"/>
      <c r="G28017" s="9"/>
      <c r="J28017" s="11"/>
      <c r="U28017" s="9"/>
      <c r="X28017" s="9"/>
    </row>
    <row r="28018">
      <c r="D28018" s="9"/>
      <c r="G28018" s="9"/>
      <c r="J28018" s="11"/>
      <c r="U28018" s="9"/>
      <c r="X28018" s="9"/>
    </row>
    <row r="28019">
      <c r="D28019" s="9"/>
      <c r="G28019" s="9"/>
      <c r="J28019" s="11"/>
      <c r="U28019" s="9"/>
      <c r="X28019" s="9"/>
    </row>
    <row r="28020">
      <c r="D28020" s="9"/>
      <c r="G28020" s="9"/>
      <c r="J28020" s="11"/>
      <c r="U28020" s="9"/>
      <c r="X28020" s="9"/>
    </row>
    <row r="28021">
      <c r="D28021" s="9"/>
      <c r="G28021" s="9"/>
      <c r="J28021" s="11"/>
      <c r="U28021" s="9"/>
      <c r="X28021" s="9"/>
    </row>
    <row r="28022">
      <c r="D28022" s="9"/>
      <c r="G28022" s="9"/>
      <c r="J28022" s="11"/>
      <c r="U28022" s="9"/>
      <c r="X28022" s="9"/>
    </row>
    <row r="28023">
      <c r="D28023" s="9"/>
      <c r="G28023" s="9"/>
      <c r="J28023" s="11"/>
      <c r="U28023" s="9"/>
      <c r="X28023" s="9"/>
    </row>
    <row r="28024">
      <c r="D28024" s="9"/>
      <c r="G28024" s="9"/>
      <c r="J28024" s="11"/>
      <c r="U28024" s="9"/>
      <c r="X28024" s="9"/>
    </row>
    <row r="28025">
      <c r="D28025" s="9"/>
      <c r="G28025" s="9"/>
      <c r="J28025" s="11"/>
      <c r="U28025" s="9"/>
      <c r="X28025" s="9"/>
    </row>
    <row r="28026">
      <c r="D28026" s="9"/>
      <c r="G28026" s="9"/>
      <c r="J28026" s="11"/>
      <c r="U28026" s="9"/>
      <c r="X28026" s="9"/>
    </row>
    <row r="28027">
      <c r="D28027" s="9"/>
      <c r="G28027" s="9"/>
      <c r="J28027" s="11"/>
      <c r="U28027" s="9"/>
      <c r="X28027" s="9"/>
    </row>
    <row r="28028">
      <c r="D28028" s="9"/>
      <c r="G28028" s="9"/>
      <c r="J28028" s="11"/>
      <c r="U28028" s="9"/>
      <c r="X28028" s="9"/>
    </row>
    <row r="28029">
      <c r="D28029" s="9"/>
      <c r="G28029" s="9"/>
      <c r="J28029" s="11"/>
      <c r="U28029" s="9"/>
      <c r="X28029" s="9"/>
    </row>
    <row r="28030">
      <c r="D28030" s="9"/>
      <c r="G28030" s="9"/>
      <c r="J28030" s="11"/>
      <c r="U28030" s="9"/>
      <c r="X28030" s="9"/>
    </row>
    <row r="28031">
      <c r="D28031" s="9"/>
      <c r="G28031" s="9"/>
      <c r="J28031" s="11"/>
      <c r="U28031" s="9"/>
      <c r="X28031" s="9"/>
    </row>
    <row r="28032">
      <c r="D28032" s="9"/>
      <c r="G28032" s="9"/>
      <c r="J28032" s="11"/>
      <c r="U28032" s="9"/>
      <c r="X28032" s="9"/>
    </row>
    <row r="28033">
      <c r="D28033" s="9"/>
      <c r="G28033" s="9"/>
      <c r="J28033" s="11"/>
      <c r="U28033" s="9"/>
      <c r="X28033" s="9"/>
    </row>
    <row r="28034">
      <c r="D28034" s="9"/>
      <c r="G28034" s="9"/>
      <c r="J28034" s="11"/>
      <c r="U28034" s="9"/>
      <c r="X28034" s="9"/>
    </row>
    <row r="28035">
      <c r="D28035" s="9"/>
      <c r="G28035" s="9"/>
      <c r="J28035" s="11"/>
      <c r="U28035" s="9"/>
      <c r="X28035" s="9"/>
    </row>
    <row r="28036">
      <c r="D28036" s="9"/>
      <c r="G28036" s="9"/>
      <c r="J28036" s="11"/>
      <c r="U28036" s="9"/>
      <c r="X28036" s="9"/>
    </row>
    <row r="28037">
      <c r="D28037" s="9"/>
      <c r="G28037" s="9"/>
      <c r="J28037" s="11"/>
      <c r="U28037" s="9"/>
      <c r="X28037" s="9"/>
    </row>
    <row r="28038">
      <c r="D28038" s="9"/>
      <c r="G28038" s="9"/>
      <c r="J28038" s="11"/>
      <c r="U28038" s="9"/>
      <c r="X28038" s="9"/>
    </row>
    <row r="28039">
      <c r="D28039" s="9"/>
      <c r="G28039" s="9"/>
      <c r="J28039" s="11"/>
      <c r="U28039" s="9"/>
      <c r="X28039" s="9"/>
    </row>
    <row r="28040">
      <c r="D28040" s="9"/>
      <c r="G28040" s="9"/>
      <c r="J28040" s="11"/>
      <c r="U28040" s="9"/>
      <c r="X28040" s="9"/>
    </row>
    <row r="28041">
      <c r="D28041" s="9"/>
      <c r="G28041" s="9"/>
      <c r="J28041" s="11"/>
      <c r="U28041" s="9"/>
      <c r="X28041" s="9"/>
    </row>
    <row r="28042">
      <c r="D28042" s="9"/>
      <c r="G28042" s="9"/>
      <c r="J28042" s="11"/>
      <c r="U28042" s="9"/>
      <c r="X28042" s="9"/>
    </row>
    <row r="28043">
      <c r="D28043" s="9"/>
      <c r="G28043" s="9"/>
      <c r="J28043" s="11"/>
      <c r="U28043" s="9"/>
      <c r="X28043" s="9"/>
    </row>
    <row r="28044">
      <c r="D28044" s="9"/>
      <c r="G28044" s="9"/>
      <c r="J28044" s="11"/>
      <c r="U28044" s="9"/>
      <c r="X28044" s="9"/>
    </row>
    <row r="28045">
      <c r="D28045" s="9"/>
      <c r="G28045" s="9"/>
      <c r="J28045" s="11"/>
      <c r="U28045" s="9"/>
      <c r="X28045" s="9"/>
    </row>
    <row r="28046">
      <c r="D28046" s="9"/>
      <c r="G28046" s="9"/>
      <c r="J28046" s="11"/>
      <c r="U28046" s="9"/>
      <c r="X28046" s="9"/>
    </row>
    <row r="28047">
      <c r="D28047" s="9"/>
      <c r="G28047" s="9"/>
      <c r="J28047" s="11"/>
      <c r="U28047" s="9"/>
      <c r="X28047" s="9"/>
    </row>
    <row r="28048">
      <c r="D28048" s="9"/>
      <c r="G28048" s="9"/>
      <c r="J28048" s="11"/>
      <c r="U28048" s="9"/>
      <c r="X28048" s="9"/>
    </row>
    <row r="28049">
      <c r="D28049" s="9"/>
      <c r="G28049" s="9"/>
      <c r="J28049" s="11"/>
      <c r="U28049" s="9"/>
      <c r="X28049" s="9"/>
    </row>
    <row r="28050">
      <c r="D28050" s="9"/>
      <c r="G28050" s="9"/>
      <c r="J28050" s="11"/>
      <c r="U28050" s="9"/>
      <c r="X28050" s="9"/>
    </row>
    <row r="28051">
      <c r="D28051" s="9"/>
      <c r="G28051" s="9"/>
      <c r="J28051" s="11"/>
      <c r="U28051" s="9"/>
      <c r="X28051" s="9"/>
    </row>
    <row r="28052">
      <c r="D28052" s="9"/>
      <c r="G28052" s="9"/>
      <c r="J28052" s="11"/>
      <c r="U28052" s="9"/>
      <c r="X28052" s="9"/>
    </row>
    <row r="28053">
      <c r="D28053" s="9"/>
      <c r="G28053" s="9"/>
      <c r="J28053" s="11"/>
      <c r="U28053" s="9"/>
      <c r="X28053" s="9"/>
    </row>
    <row r="28054">
      <c r="D28054" s="9"/>
      <c r="G28054" s="9"/>
      <c r="J28054" s="11"/>
      <c r="U28054" s="9"/>
      <c r="X28054" s="9"/>
    </row>
    <row r="28055">
      <c r="D28055" s="9"/>
      <c r="G28055" s="9"/>
      <c r="J28055" s="11"/>
      <c r="U28055" s="9"/>
      <c r="X28055" s="9"/>
    </row>
    <row r="28056">
      <c r="D28056" s="9"/>
      <c r="G28056" s="9"/>
      <c r="J28056" s="11"/>
      <c r="U28056" s="9"/>
      <c r="X28056" s="9"/>
    </row>
    <row r="28057">
      <c r="D28057" s="9"/>
      <c r="G28057" s="9"/>
      <c r="J28057" s="11"/>
      <c r="U28057" s="9"/>
      <c r="X28057" s="9"/>
    </row>
    <row r="28058">
      <c r="D28058" s="9"/>
      <c r="G28058" s="9"/>
      <c r="J28058" s="11"/>
      <c r="U28058" s="9"/>
      <c r="X28058" s="9"/>
    </row>
    <row r="28059">
      <c r="D28059" s="9"/>
      <c r="G28059" s="9"/>
      <c r="J28059" s="11"/>
      <c r="U28059" s="9"/>
      <c r="X28059" s="9"/>
    </row>
    <row r="28060">
      <c r="D28060" s="9"/>
      <c r="G28060" s="9"/>
      <c r="J28060" s="11"/>
      <c r="U28060" s="9"/>
      <c r="X28060" s="9"/>
    </row>
    <row r="28061">
      <c r="D28061" s="9"/>
      <c r="G28061" s="9"/>
      <c r="J28061" s="11"/>
      <c r="U28061" s="9"/>
      <c r="X28061" s="9"/>
    </row>
    <row r="28062">
      <c r="D28062" s="9"/>
      <c r="G28062" s="9"/>
      <c r="J28062" s="11"/>
      <c r="U28062" s="9"/>
      <c r="X28062" s="9"/>
    </row>
    <row r="28063">
      <c r="D28063" s="9"/>
      <c r="G28063" s="9"/>
      <c r="J28063" s="11"/>
      <c r="U28063" s="9"/>
      <c r="X28063" s="9"/>
    </row>
    <row r="28064">
      <c r="D28064" s="9"/>
      <c r="G28064" s="9"/>
      <c r="J28064" s="11"/>
      <c r="U28064" s="9"/>
      <c r="X28064" s="9"/>
    </row>
    <row r="28065">
      <c r="D28065" s="9"/>
      <c r="G28065" s="9"/>
      <c r="J28065" s="11"/>
      <c r="U28065" s="9"/>
      <c r="X28065" s="9"/>
    </row>
    <row r="28066">
      <c r="D28066" s="9"/>
      <c r="G28066" s="9"/>
      <c r="J28066" s="11"/>
      <c r="U28066" s="9"/>
      <c r="X28066" s="9"/>
    </row>
    <row r="28067">
      <c r="D28067" s="9"/>
      <c r="G28067" s="9"/>
      <c r="J28067" s="11"/>
      <c r="U28067" s="9"/>
      <c r="X28067" s="9"/>
    </row>
    <row r="28068">
      <c r="D28068" s="9"/>
      <c r="G28068" s="9"/>
      <c r="J28068" s="11"/>
      <c r="U28068" s="9"/>
      <c r="X28068" s="9"/>
    </row>
    <row r="28069">
      <c r="D28069" s="9"/>
      <c r="G28069" s="9"/>
      <c r="J28069" s="11"/>
      <c r="U28069" s="9"/>
      <c r="X28069" s="9"/>
    </row>
    <row r="28070">
      <c r="D28070" s="9"/>
      <c r="G28070" s="9"/>
      <c r="J28070" s="11"/>
      <c r="U28070" s="9"/>
      <c r="X28070" s="9"/>
    </row>
    <row r="28071">
      <c r="D28071" s="9"/>
      <c r="G28071" s="9"/>
      <c r="J28071" s="11"/>
      <c r="U28071" s="9"/>
      <c r="X28071" s="9"/>
    </row>
    <row r="28072">
      <c r="D28072" s="9"/>
      <c r="G28072" s="9"/>
      <c r="J28072" s="11"/>
      <c r="U28072" s="9"/>
      <c r="X28072" s="9"/>
    </row>
    <row r="28073">
      <c r="D28073" s="9"/>
      <c r="G28073" s="9"/>
      <c r="J28073" s="11"/>
      <c r="U28073" s="9"/>
      <c r="X28073" s="9"/>
    </row>
    <row r="28074">
      <c r="D28074" s="9"/>
      <c r="G28074" s="9"/>
      <c r="J28074" s="11"/>
      <c r="U28074" s="9"/>
      <c r="X28074" s="9"/>
    </row>
    <row r="28075">
      <c r="D28075" s="9"/>
      <c r="G28075" s="9"/>
      <c r="J28075" s="11"/>
      <c r="U28075" s="9"/>
      <c r="X28075" s="9"/>
    </row>
    <row r="28076">
      <c r="D28076" s="9"/>
      <c r="G28076" s="9"/>
      <c r="J28076" s="11"/>
      <c r="U28076" s="9"/>
      <c r="X28076" s="9"/>
    </row>
    <row r="28077">
      <c r="D28077" s="9"/>
      <c r="G28077" s="9"/>
      <c r="J28077" s="11"/>
      <c r="U28077" s="9"/>
      <c r="X28077" s="9"/>
    </row>
    <row r="28078">
      <c r="D28078" s="9"/>
      <c r="G28078" s="9"/>
      <c r="J28078" s="11"/>
      <c r="U28078" s="9"/>
      <c r="X28078" s="9"/>
    </row>
    <row r="28079">
      <c r="D28079" s="9"/>
      <c r="G28079" s="9"/>
      <c r="J28079" s="11"/>
      <c r="U28079" s="9"/>
      <c r="X28079" s="9"/>
    </row>
    <row r="28080">
      <c r="D28080" s="9"/>
      <c r="G28080" s="9"/>
      <c r="J28080" s="11"/>
      <c r="U28080" s="9"/>
      <c r="X28080" s="9"/>
    </row>
    <row r="28081">
      <c r="D28081" s="9"/>
      <c r="G28081" s="9"/>
      <c r="J28081" s="11"/>
      <c r="U28081" s="9"/>
      <c r="X28081" s="9"/>
    </row>
    <row r="28082">
      <c r="D28082" s="9"/>
      <c r="G28082" s="9"/>
      <c r="J28082" s="11"/>
      <c r="U28082" s="9"/>
      <c r="X28082" s="9"/>
    </row>
    <row r="28083">
      <c r="D28083" s="9"/>
      <c r="G28083" s="9"/>
      <c r="J28083" s="11"/>
      <c r="U28083" s="9"/>
      <c r="X28083" s="9"/>
    </row>
    <row r="28084">
      <c r="D28084" s="9"/>
      <c r="G28084" s="9"/>
      <c r="J28084" s="11"/>
      <c r="U28084" s="9"/>
      <c r="X28084" s="9"/>
    </row>
    <row r="28085">
      <c r="D28085" s="9"/>
      <c r="G28085" s="9"/>
      <c r="J28085" s="11"/>
      <c r="U28085" s="9"/>
      <c r="X28085" s="9"/>
    </row>
    <row r="28086">
      <c r="D28086" s="9"/>
      <c r="G28086" s="9"/>
      <c r="J28086" s="11"/>
      <c r="U28086" s="9"/>
      <c r="X28086" s="9"/>
    </row>
    <row r="28087">
      <c r="D28087" s="9"/>
      <c r="G28087" s="9"/>
      <c r="J28087" s="11"/>
      <c r="U28087" s="9"/>
      <c r="X28087" s="9"/>
    </row>
    <row r="28088">
      <c r="D28088" s="9"/>
      <c r="G28088" s="9"/>
      <c r="J28088" s="11"/>
      <c r="U28088" s="9"/>
      <c r="X28088" s="9"/>
    </row>
    <row r="28089">
      <c r="D28089" s="9"/>
      <c r="G28089" s="9"/>
      <c r="J28089" s="11"/>
      <c r="U28089" s="9"/>
      <c r="X28089" s="9"/>
    </row>
    <row r="28090">
      <c r="D28090" s="9"/>
      <c r="G28090" s="9"/>
      <c r="J28090" s="11"/>
      <c r="U28090" s="9"/>
      <c r="X28090" s="9"/>
    </row>
    <row r="28091">
      <c r="D28091" s="9"/>
      <c r="G28091" s="9"/>
      <c r="J28091" s="11"/>
      <c r="U28091" s="9"/>
      <c r="X28091" s="9"/>
    </row>
    <row r="28092">
      <c r="D28092" s="9"/>
      <c r="G28092" s="9"/>
      <c r="J28092" s="11"/>
      <c r="U28092" s="9"/>
      <c r="X28092" s="9"/>
    </row>
    <row r="28093">
      <c r="D28093" s="9"/>
      <c r="G28093" s="9"/>
      <c r="J28093" s="11"/>
      <c r="U28093" s="9"/>
      <c r="X28093" s="9"/>
    </row>
    <row r="28094">
      <c r="D28094" s="9"/>
      <c r="G28094" s="9"/>
      <c r="J28094" s="11"/>
      <c r="U28094" s="9"/>
      <c r="X28094" s="9"/>
    </row>
    <row r="28095">
      <c r="D28095" s="9"/>
      <c r="G28095" s="9"/>
      <c r="J28095" s="11"/>
      <c r="U28095" s="9"/>
      <c r="X28095" s="9"/>
    </row>
    <row r="28096">
      <c r="D28096" s="9"/>
      <c r="G28096" s="9"/>
      <c r="J28096" s="11"/>
      <c r="U28096" s="9"/>
      <c r="X28096" s="9"/>
    </row>
    <row r="28097">
      <c r="D28097" s="9"/>
      <c r="G28097" s="9"/>
      <c r="J28097" s="11"/>
      <c r="U28097" s="9"/>
      <c r="X28097" s="9"/>
    </row>
    <row r="28098">
      <c r="D28098" s="9"/>
      <c r="G28098" s="9"/>
      <c r="J28098" s="11"/>
      <c r="U28098" s="9"/>
      <c r="X28098" s="9"/>
    </row>
    <row r="28099">
      <c r="D28099" s="9"/>
      <c r="G28099" s="9"/>
      <c r="J28099" s="11"/>
      <c r="U28099" s="9"/>
      <c r="X28099" s="9"/>
    </row>
    <row r="28100">
      <c r="D28100" s="9"/>
      <c r="G28100" s="9"/>
      <c r="J28100" s="11"/>
      <c r="U28100" s="9"/>
      <c r="X28100" s="9"/>
    </row>
    <row r="28101">
      <c r="D28101" s="9"/>
      <c r="G28101" s="9"/>
      <c r="J28101" s="11"/>
      <c r="U28101" s="9"/>
      <c r="X28101" s="9"/>
    </row>
    <row r="28102">
      <c r="D28102" s="9"/>
      <c r="G28102" s="9"/>
      <c r="J28102" s="11"/>
      <c r="U28102" s="9"/>
      <c r="X28102" s="9"/>
    </row>
    <row r="28103">
      <c r="D28103" s="9"/>
      <c r="G28103" s="9"/>
      <c r="J28103" s="11"/>
      <c r="U28103" s="9"/>
      <c r="X28103" s="9"/>
    </row>
    <row r="28104">
      <c r="D28104" s="9"/>
      <c r="G28104" s="9"/>
      <c r="J28104" s="11"/>
      <c r="U28104" s="9"/>
      <c r="X28104" s="9"/>
    </row>
    <row r="28105">
      <c r="D28105" s="9"/>
      <c r="G28105" s="9"/>
      <c r="J28105" s="11"/>
      <c r="U28105" s="9"/>
      <c r="X28105" s="9"/>
    </row>
    <row r="28106">
      <c r="D28106" s="9"/>
      <c r="G28106" s="9"/>
      <c r="J28106" s="11"/>
      <c r="U28106" s="9"/>
      <c r="X28106" s="9"/>
    </row>
    <row r="28107">
      <c r="D28107" s="9"/>
      <c r="G28107" s="9"/>
      <c r="J28107" s="11"/>
      <c r="U28107" s="9"/>
      <c r="X28107" s="9"/>
    </row>
    <row r="28108">
      <c r="D28108" s="9"/>
      <c r="G28108" s="9"/>
      <c r="J28108" s="11"/>
      <c r="U28108" s="9"/>
      <c r="X28108" s="9"/>
    </row>
    <row r="28109">
      <c r="D28109" s="9"/>
      <c r="G28109" s="9"/>
      <c r="J28109" s="11"/>
      <c r="U28109" s="9"/>
      <c r="X28109" s="9"/>
    </row>
    <row r="28110">
      <c r="D28110" s="9"/>
      <c r="G28110" s="9"/>
      <c r="J28110" s="11"/>
      <c r="U28110" s="9"/>
      <c r="X28110" s="9"/>
    </row>
    <row r="28111">
      <c r="D28111" s="9"/>
      <c r="G28111" s="9"/>
      <c r="J28111" s="11"/>
      <c r="U28111" s="9"/>
      <c r="X28111" s="9"/>
    </row>
    <row r="28112">
      <c r="D28112" s="9"/>
      <c r="G28112" s="9"/>
      <c r="J28112" s="11"/>
      <c r="U28112" s="9"/>
      <c r="X28112" s="9"/>
    </row>
    <row r="28113">
      <c r="D28113" s="9"/>
      <c r="G28113" s="9"/>
      <c r="J28113" s="11"/>
      <c r="U28113" s="9"/>
      <c r="X28113" s="9"/>
    </row>
    <row r="28114">
      <c r="D28114" s="9"/>
      <c r="G28114" s="9"/>
      <c r="J28114" s="11"/>
      <c r="U28114" s="9"/>
      <c r="X28114" s="9"/>
    </row>
    <row r="28115">
      <c r="D28115" s="9"/>
      <c r="G28115" s="9"/>
      <c r="J28115" s="11"/>
      <c r="U28115" s="9"/>
      <c r="X28115" s="9"/>
    </row>
    <row r="28116">
      <c r="D28116" s="9"/>
      <c r="G28116" s="9"/>
      <c r="J28116" s="11"/>
      <c r="U28116" s="9"/>
      <c r="X28116" s="9"/>
    </row>
    <row r="28117">
      <c r="D28117" s="9"/>
      <c r="G28117" s="9"/>
      <c r="J28117" s="11"/>
      <c r="U28117" s="9"/>
      <c r="X28117" s="9"/>
    </row>
    <row r="28118">
      <c r="D28118" s="9"/>
      <c r="G28118" s="9"/>
      <c r="J28118" s="11"/>
      <c r="U28118" s="9"/>
      <c r="X28118" s="9"/>
    </row>
    <row r="28119">
      <c r="D28119" s="9"/>
      <c r="G28119" s="9"/>
      <c r="J28119" s="11"/>
      <c r="U28119" s="9"/>
      <c r="X28119" s="9"/>
    </row>
    <row r="28120">
      <c r="D28120" s="9"/>
      <c r="G28120" s="9"/>
      <c r="J28120" s="11"/>
      <c r="U28120" s="9"/>
      <c r="X28120" s="9"/>
    </row>
    <row r="28121">
      <c r="D28121" s="9"/>
      <c r="G28121" s="9"/>
      <c r="J28121" s="11"/>
      <c r="U28121" s="9"/>
      <c r="X28121" s="9"/>
    </row>
    <row r="28122">
      <c r="D28122" s="9"/>
      <c r="G28122" s="9"/>
      <c r="J28122" s="11"/>
      <c r="U28122" s="9"/>
      <c r="X28122" s="9"/>
    </row>
    <row r="28123">
      <c r="D28123" s="9"/>
      <c r="G28123" s="9"/>
      <c r="J28123" s="11"/>
      <c r="U28123" s="9"/>
      <c r="X28123" s="9"/>
    </row>
    <row r="28124">
      <c r="D28124" s="9"/>
      <c r="G28124" s="9"/>
      <c r="J28124" s="11"/>
      <c r="U28124" s="9"/>
      <c r="X28124" s="9"/>
    </row>
    <row r="28125">
      <c r="D28125" s="9"/>
      <c r="G28125" s="9"/>
      <c r="J28125" s="11"/>
      <c r="U28125" s="9"/>
      <c r="X28125" s="9"/>
    </row>
    <row r="28126">
      <c r="D28126" s="9"/>
      <c r="G28126" s="9"/>
      <c r="J28126" s="11"/>
      <c r="U28126" s="9"/>
      <c r="X28126" s="9"/>
    </row>
    <row r="28127">
      <c r="D28127" s="9"/>
      <c r="G28127" s="9"/>
      <c r="J28127" s="11"/>
      <c r="U28127" s="9"/>
      <c r="X28127" s="9"/>
    </row>
    <row r="28128">
      <c r="D28128" s="9"/>
      <c r="G28128" s="9"/>
      <c r="J28128" s="11"/>
      <c r="U28128" s="9"/>
      <c r="X28128" s="9"/>
    </row>
    <row r="28129">
      <c r="D28129" s="9"/>
      <c r="G28129" s="9"/>
      <c r="J28129" s="11"/>
      <c r="U28129" s="9"/>
      <c r="X28129" s="9"/>
    </row>
    <row r="28130">
      <c r="D28130" s="9"/>
      <c r="G28130" s="9"/>
      <c r="J28130" s="11"/>
      <c r="U28130" s="9"/>
      <c r="X28130" s="9"/>
    </row>
    <row r="28131">
      <c r="D28131" s="9"/>
      <c r="G28131" s="9"/>
      <c r="J28131" s="11"/>
      <c r="U28131" s="9"/>
      <c r="X28131" s="9"/>
    </row>
    <row r="28132">
      <c r="D28132" s="9"/>
      <c r="G28132" s="9"/>
      <c r="J28132" s="11"/>
      <c r="U28132" s="9"/>
      <c r="X28132" s="9"/>
    </row>
    <row r="28133">
      <c r="D28133" s="9"/>
      <c r="G28133" s="9"/>
      <c r="J28133" s="11"/>
      <c r="U28133" s="9"/>
      <c r="X28133" s="9"/>
    </row>
    <row r="28134">
      <c r="D28134" s="9"/>
      <c r="G28134" s="9"/>
      <c r="J28134" s="11"/>
      <c r="U28134" s="9"/>
      <c r="X28134" s="9"/>
    </row>
    <row r="28135">
      <c r="D28135" s="9"/>
      <c r="G28135" s="9"/>
      <c r="J28135" s="11"/>
      <c r="U28135" s="9"/>
      <c r="X28135" s="9"/>
    </row>
    <row r="28136">
      <c r="D28136" s="9"/>
      <c r="G28136" s="9"/>
      <c r="J28136" s="11"/>
      <c r="U28136" s="9"/>
      <c r="X28136" s="9"/>
    </row>
    <row r="28137">
      <c r="D28137" s="9"/>
      <c r="G28137" s="9"/>
      <c r="J28137" s="11"/>
      <c r="U28137" s="9"/>
      <c r="X28137" s="9"/>
    </row>
    <row r="28138">
      <c r="D28138" s="9"/>
      <c r="G28138" s="9"/>
      <c r="J28138" s="11"/>
      <c r="U28138" s="9"/>
      <c r="X28138" s="9"/>
    </row>
    <row r="28139">
      <c r="D28139" s="9"/>
      <c r="G28139" s="9"/>
      <c r="J28139" s="11"/>
      <c r="U28139" s="9"/>
      <c r="X28139" s="9"/>
    </row>
    <row r="28140">
      <c r="D28140" s="9"/>
      <c r="G28140" s="9"/>
      <c r="J28140" s="11"/>
      <c r="U28140" s="9"/>
      <c r="X28140" s="9"/>
    </row>
    <row r="28141">
      <c r="D28141" s="9"/>
      <c r="G28141" s="9"/>
      <c r="J28141" s="11"/>
      <c r="U28141" s="9"/>
      <c r="X28141" s="9"/>
    </row>
    <row r="28142">
      <c r="D28142" s="9"/>
      <c r="G28142" s="9"/>
      <c r="J28142" s="11"/>
      <c r="U28142" s="9"/>
      <c r="X28142" s="9"/>
    </row>
    <row r="28143">
      <c r="D28143" s="9"/>
      <c r="G28143" s="9"/>
      <c r="J28143" s="11"/>
      <c r="U28143" s="9"/>
      <c r="X28143" s="9"/>
    </row>
    <row r="28144">
      <c r="D28144" s="9"/>
      <c r="G28144" s="9"/>
      <c r="J28144" s="11"/>
      <c r="U28144" s="9"/>
      <c r="X28144" s="9"/>
    </row>
    <row r="28145">
      <c r="D28145" s="9"/>
      <c r="G28145" s="9"/>
      <c r="J28145" s="11"/>
      <c r="U28145" s="9"/>
      <c r="X28145" s="9"/>
    </row>
    <row r="28146">
      <c r="D28146" s="9"/>
      <c r="G28146" s="9"/>
      <c r="J28146" s="11"/>
      <c r="U28146" s="9"/>
      <c r="X28146" s="9"/>
    </row>
    <row r="28147">
      <c r="D28147" s="9"/>
      <c r="G28147" s="9"/>
      <c r="J28147" s="11"/>
      <c r="U28147" s="9"/>
      <c r="X28147" s="9"/>
    </row>
    <row r="28148">
      <c r="D28148" s="9"/>
      <c r="G28148" s="9"/>
      <c r="J28148" s="11"/>
      <c r="U28148" s="9"/>
      <c r="X28148" s="9"/>
    </row>
    <row r="28149">
      <c r="D28149" s="9"/>
      <c r="G28149" s="9"/>
      <c r="J28149" s="11"/>
      <c r="U28149" s="9"/>
      <c r="X28149" s="9"/>
    </row>
    <row r="28150">
      <c r="D28150" s="9"/>
      <c r="G28150" s="9"/>
      <c r="J28150" s="11"/>
      <c r="U28150" s="9"/>
      <c r="X28150" s="9"/>
    </row>
    <row r="28151">
      <c r="D28151" s="9"/>
      <c r="G28151" s="9"/>
      <c r="J28151" s="11"/>
      <c r="U28151" s="9"/>
      <c r="X28151" s="9"/>
    </row>
    <row r="28152">
      <c r="D28152" s="9"/>
      <c r="G28152" s="9"/>
      <c r="J28152" s="11"/>
      <c r="U28152" s="9"/>
      <c r="X28152" s="9"/>
    </row>
    <row r="28153">
      <c r="D28153" s="9"/>
      <c r="G28153" s="9"/>
      <c r="J28153" s="11"/>
      <c r="U28153" s="9"/>
      <c r="X28153" s="9"/>
    </row>
    <row r="28154">
      <c r="D28154" s="9"/>
      <c r="G28154" s="9"/>
      <c r="J28154" s="11"/>
      <c r="U28154" s="9"/>
      <c r="X28154" s="9"/>
    </row>
    <row r="28155">
      <c r="D28155" s="9"/>
      <c r="G28155" s="9"/>
      <c r="J28155" s="11"/>
      <c r="U28155" s="9"/>
      <c r="X28155" s="9"/>
    </row>
    <row r="28156">
      <c r="D28156" s="9"/>
      <c r="G28156" s="9"/>
      <c r="J28156" s="11"/>
      <c r="U28156" s="9"/>
      <c r="X28156" s="9"/>
    </row>
    <row r="28157">
      <c r="D28157" s="9"/>
      <c r="G28157" s="9"/>
      <c r="J28157" s="11"/>
      <c r="U28157" s="9"/>
      <c r="X28157" s="9"/>
    </row>
    <row r="28158">
      <c r="D28158" s="9"/>
      <c r="G28158" s="9"/>
      <c r="J28158" s="11"/>
      <c r="U28158" s="9"/>
      <c r="X28158" s="9"/>
    </row>
    <row r="28159">
      <c r="D28159" s="9"/>
      <c r="G28159" s="9"/>
      <c r="J28159" s="11"/>
      <c r="U28159" s="9"/>
      <c r="X28159" s="9"/>
    </row>
    <row r="28160">
      <c r="D28160" s="9"/>
      <c r="G28160" s="9"/>
      <c r="J28160" s="11"/>
      <c r="U28160" s="9"/>
      <c r="X28160" s="9"/>
    </row>
    <row r="28161">
      <c r="D28161" s="9"/>
      <c r="G28161" s="9"/>
      <c r="J28161" s="11"/>
      <c r="U28161" s="9"/>
      <c r="X28161" s="9"/>
    </row>
    <row r="28162">
      <c r="D28162" s="9"/>
      <c r="G28162" s="9"/>
      <c r="J28162" s="11"/>
      <c r="U28162" s="9"/>
      <c r="X28162" s="9"/>
    </row>
    <row r="28163">
      <c r="D28163" s="9"/>
      <c r="G28163" s="9"/>
      <c r="J28163" s="11"/>
      <c r="U28163" s="9"/>
      <c r="X28163" s="9"/>
    </row>
    <row r="28164">
      <c r="D28164" s="9"/>
      <c r="G28164" s="9"/>
      <c r="J28164" s="11"/>
      <c r="U28164" s="9"/>
      <c r="X28164" s="9"/>
    </row>
    <row r="28165">
      <c r="D28165" s="9"/>
      <c r="G28165" s="9"/>
      <c r="J28165" s="11"/>
      <c r="U28165" s="9"/>
      <c r="X28165" s="9"/>
    </row>
    <row r="28166">
      <c r="D28166" s="9"/>
      <c r="G28166" s="9"/>
      <c r="J28166" s="11"/>
      <c r="U28166" s="9"/>
      <c r="X28166" s="9"/>
    </row>
    <row r="28167">
      <c r="D28167" s="9"/>
      <c r="G28167" s="9"/>
      <c r="J28167" s="11"/>
      <c r="U28167" s="9"/>
      <c r="X28167" s="9"/>
    </row>
    <row r="28168">
      <c r="D28168" s="9"/>
      <c r="G28168" s="9"/>
      <c r="J28168" s="11"/>
      <c r="U28168" s="9"/>
      <c r="X28168" s="9"/>
    </row>
    <row r="28169">
      <c r="D28169" s="9"/>
      <c r="G28169" s="9"/>
      <c r="J28169" s="11"/>
      <c r="U28169" s="9"/>
      <c r="X28169" s="9"/>
    </row>
    <row r="28170">
      <c r="D28170" s="9"/>
      <c r="G28170" s="9"/>
      <c r="J28170" s="11"/>
      <c r="U28170" s="9"/>
      <c r="X28170" s="9"/>
    </row>
    <row r="28171">
      <c r="D28171" s="9"/>
      <c r="G28171" s="9"/>
      <c r="J28171" s="11"/>
      <c r="U28171" s="9"/>
      <c r="X28171" s="9"/>
    </row>
    <row r="28172">
      <c r="D28172" s="9"/>
      <c r="G28172" s="9"/>
      <c r="J28172" s="11"/>
      <c r="U28172" s="9"/>
      <c r="X28172" s="9"/>
    </row>
    <row r="28173">
      <c r="D28173" s="9"/>
      <c r="G28173" s="9"/>
      <c r="J28173" s="11"/>
      <c r="U28173" s="9"/>
      <c r="X28173" s="9"/>
    </row>
    <row r="28174">
      <c r="D28174" s="9"/>
      <c r="G28174" s="9"/>
      <c r="J28174" s="11"/>
      <c r="U28174" s="9"/>
      <c r="X28174" s="9"/>
    </row>
    <row r="28175">
      <c r="D28175" s="9"/>
      <c r="G28175" s="9"/>
      <c r="J28175" s="11"/>
      <c r="U28175" s="9"/>
      <c r="X28175" s="9"/>
    </row>
    <row r="28176">
      <c r="D28176" s="9"/>
      <c r="G28176" s="9"/>
      <c r="J28176" s="11"/>
      <c r="U28176" s="9"/>
      <c r="X28176" s="9"/>
    </row>
    <row r="28177">
      <c r="D28177" s="9"/>
      <c r="G28177" s="9"/>
      <c r="J28177" s="11"/>
      <c r="U28177" s="9"/>
      <c r="X28177" s="9"/>
    </row>
    <row r="28178">
      <c r="D28178" s="9"/>
      <c r="G28178" s="9"/>
      <c r="J28178" s="11"/>
      <c r="U28178" s="9"/>
      <c r="X28178" s="9"/>
    </row>
    <row r="28179">
      <c r="D28179" s="9"/>
      <c r="G28179" s="9"/>
      <c r="J28179" s="11"/>
      <c r="U28179" s="9"/>
      <c r="X28179" s="9"/>
    </row>
    <row r="28180">
      <c r="D28180" s="9"/>
      <c r="G28180" s="9"/>
      <c r="J28180" s="11"/>
      <c r="U28180" s="9"/>
      <c r="X28180" s="9"/>
    </row>
    <row r="28181">
      <c r="D28181" s="9"/>
      <c r="G28181" s="9"/>
      <c r="J28181" s="11"/>
      <c r="U28181" s="9"/>
      <c r="X28181" s="9"/>
    </row>
    <row r="28182">
      <c r="D28182" s="9"/>
      <c r="G28182" s="9"/>
      <c r="J28182" s="11"/>
      <c r="U28182" s="9"/>
      <c r="X28182" s="9"/>
    </row>
    <row r="28183">
      <c r="D28183" s="9"/>
      <c r="G28183" s="9"/>
      <c r="J28183" s="11"/>
      <c r="U28183" s="9"/>
      <c r="X28183" s="9"/>
    </row>
    <row r="28184">
      <c r="D28184" s="9"/>
      <c r="G28184" s="9"/>
      <c r="J28184" s="11"/>
      <c r="U28184" s="9"/>
      <c r="X28184" s="9"/>
    </row>
    <row r="28185">
      <c r="D28185" s="9"/>
      <c r="G28185" s="9"/>
      <c r="J28185" s="11"/>
      <c r="U28185" s="9"/>
      <c r="X28185" s="9"/>
    </row>
    <row r="28186">
      <c r="D28186" s="9"/>
      <c r="G28186" s="9"/>
      <c r="J28186" s="11"/>
      <c r="U28186" s="9"/>
      <c r="X28186" s="9"/>
    </row>
    <row r="28187">
      <c r="D28187" s="9"/>
      <c r="G28187" s="9"/>
      <c r="J28187" s="11"/>
      <c r="U28187" s="9"/>
      <c r="X28187" s="9"/>
    </row>
    <row r="28188">
      <c r="D28188" s="9"/>
      <c r="G28188" s="9"/>
      <c r="J28188" s="11"/>
      <c r="U28188" s="9"/>
      <c r="X28188" s="9"/>
    </row>
    <row r="28189">
      <c r="D28189" s="9"/>
      <c r="G28189" s="9"/>
      <c r="J28189" s="11"/>
      <c r="U28189" s="9"/>
      <c r="X28189" s="9"/>
    </row>
    <row r="28190">
      <c r="D28190" s="9"/>
      <c r="G28190" s="9"/>
      <c r="J28190" s="11"/>
      <c r="U28190" s="9"/>
      <c r="X28190" s="9"/>
    </row>
    <row r="28191">
      <c r="D28191" s="9"/>
      <c r="G28191" s="9"/>
      <c r="J28191" s="11"/>
      <c r="U28191" s="9"/>
      <c r="X28191" s="9"/>
    </row>
    <row r="28192">
      <c r="D28192" s="9"/>
      <c r="G28192" s="9"/>
      <c r="J28192" s="11"/>
      <c r="U28192" s="9"/>
      <c r="X28192" s="9"/>
    </row>
    <row r="28193">
      <c r="D28193" s="9"/>
      <c r="G28193" s="9"/>
      <c r="J28193" s="11"/>
      <c r="U28193" s="9"/>
      <c r="X28193" s="9"/>
    </row>
    <row r="28194">
      <c r="D28194" s="9"/>
      <c r="G28194" s="9"/>
      <c r="J28194" s="11"/>
      <c r="U28194" s="9"/>
      <c r="X28194" s="9"/>
    </row>
    <row r="28195">
      <c r="D28195" s="9"/>
      <c r="G28195" s="9"/>
      <c r="J28195" s="11"/>
      <c r="U28195" s="9"/>
      <c r="X28195" s="9"/>
    </row>
    <row r="28196">
      <c r="D28196" s="9"/>
      <c r="G28196" s="9"/>
      <c r="J28196" s="11"/>
      <c r="U28196" s="9"/>
      <c r="X28196" s="9"/>
    </row>
    <row r="28197">
      <c r="D28197" s="9"/>
      <c r="G28197" s="9"/>
      <c r="J28197" s="11"/>
      <c r="U28197" s="9"/>
      <c r="X28197" s="9"/>
    </row>
    <row r="28198">
      <c r="D28198" s="9"/>
      <c r="G28198" s="9"/>
      <c r="J28198" s="11"/>
      <c r="U28198" s="9"/>
      <c r="X28198" s="9"/>
    </row>
    <row r="28199">
      <c r="D28199" s="9"/>
      <c r="G28199" s="9"/>
      <c r="J28199" s="11"/>
      <c r="U28199" s="9"/>
      <c r="X28199" s="9"/>
    </row>
    <row r="28200">
      <c r="D28200" s="9"/>
      <c r="G28200" s="9"/>
      <c r="J28200" s="11"/>
      <c r="U28200" s="9"/>
      <c r="X28200" s="9"/>
    </row>
    <row r="28201">
      <c r="D28201" s="9"/>
      <c r="G28201" s="9"/>
      <c r="J28201" s="11"/>
      <c r="U28201" s="9"/>
      <c r="X28201" s="9"/>
    </row>
    <row r="28202">
      <c r="D28202" s="9"/>
      <c r="G28202" s="9"/>
      <c r="J28202" s="11"/>
      <c r="U28202" s="9"/>
      <c r="X28202" s="9"/>
    </row>
    <row r="28203">
      <c r="D28203" s="9"/>
      <c r="G28203" s="9"/>
      <c r="J28203" s="11"/>
      <c r="U28203" s="9"/>
      <c r="X28203" s="9"/>
    </row>
    <row r="28204">
      <c r="D28204" s="9"/>
      <c r="G28204" s="9"/>
      <c r="J28204" s="11"/>
      <c r="U28204" s="9"/>
      <c r="X28204" s="9"/>
    </row>
    <row r="28205">
      <c r="D28205" s="9"/>
      <c r="G28205" s="9"/>
      <c r="J28205" s="11"/>
      <c r="U28205" s="9"/>
      <c r="X28205" s="9"/>
    </row>
    <row r="28206">
      <c r="D28206" s="9"/>
      <c r="G28206" s="9"/>
      <c r="J28206" s="11"/>
      <c r="U28206" s="9"/>
      <c r="X28206" s="9"/>
    </row>
    <row r="28207">
      <c r="D28207" s="9"/>
      <c r="G28207" s="9"/>
      <c r="J28207" s="11"/>
      <c r="U28207" s="9"/>
      <c r="X28207" s="9"/>
    </row>
    <row r="28208">
      <c r="D28208" s="9"/>
      <c r="G28208" s="9"/>
      <c r="J28208" s="11"/>
      <c r="U28208" s="9"/>
      <c r="X28208" s="9"/>
    </row>
    <row r="28209">
      <c r="D28209" s="9"/>
      <c r="G28209" s="9"/>
      <c r="J28209" s="11"/>
      <c r="U28209" s="9"/>
      <c r="X28209" s="9"/>
    </row>
    <row r="28210">
      <c r="D28210" s="9"/>
      <c r="G28210" s="9"/>
      <c r="J28210" s="11"/>
      <c r="U28210" s="9"/>
      <c r="X28210" s="9"/>
    </row>
    <row r="28211">
      <c r="D28211" s="9"/>
      <c r="G28211" s="9"/>
      <c r="J28211" s="11"/>
      <c r="U28211" s="9"/>
      <c r="X28211" s="9"/>
    </row>
    <row r="28212">
      <c r="D28212" s="9"/>
      <c r="G28212" s="9"/>
      <c r="J28212" s="11"/>
      <c r="U28212" s="9"/>
      <c r="X28212" s="9"/>
    </row>
    <row r="28213">
      <c r="D28213" s="9"/>
      <c r="G28213" s="9"/>
      <c r="J28213" s="11"/>
      <c r="U28213" s="9"/>
      <c r="X28213" s="9"/>
    </row>
    <row r="28214">
      <c r="D28214" s="9"/>
      <c r="G28214" s="9"/>
      <c r="J28214" s="11"/>
      <c r="U28214" s="9"/>
      <c r="X28214" s="9"/>
    </row>
    <row r="28215">
      <c r="D28215" s="9"/>
      <c r="G28215" s="9"/>
      <c r="J28215" s="11"/>
      <c r="U28215" s="9"/>
      <c r="X28215" s="9"/>
    </row>
    <row r="28216">
      <c r="D28216" s="9"/>
      <c r="G28216" s="9"/>
      <c r="J28216" s="11"/>
      <c r="U28216" s="9"/>
      <c r="X28216" s="9"/>
    </row>
    <row r="28217">
      <c r="D28217" s="9"/>
      <c r="G28217" s="9"/>
      <c r="J28217" s="11"/>
      <c r="U28217" s="9"/>
      <c r="X28217" s="9"/>
    </row>
    <row r="28218">
      <c r="D28218" s="9"/>
      <c r="G28218" s="9"/>
      <c r="J28218" s="11"/>
      <c r="U28218" s="9"/>
      <c r="X28218" s="9"/>
    </row>
    <row r="28219">
      <c r="D28219" s="9"/>
      <c r="G28219" s="9"/>
      <c r="J28219" s="11"/>
      <c r="U28219" s="9"/>
      <c r="X28219" s="9"/>
    </row>
    <row r="28220">
      <c r="D28220" s="9"/>
      <c r="G28220" s="9"/>
      <c r="J28220" s="11"/>
      <c r="U28220" s="9"/>
      <c r="X28220" s="9"/>
    </row>
    <row r="28221">
      <c r="D28221" s="9"/>
      <c r="G28221" s="9"/>
      <c r="J28221" s="11"/>
      <c r="U28221" s="9"/>
      <c r="X28221" s="9"/>
    </row>
    <row r="28222">
      <c r="D28222" s="9"/>
      <c r="G28222" s="9"/>
      <c r="J28222" s="11"/>
      <c r="U28222" s="9"/>
      <c r="X28222" s="9"/>
    </row>
    <row r="28223">
      <c r="D28223" s="9"/>
      <c r="G28223" s="9"/>
      <c r="J28223" s="11"/>
      <c r="U28223" s="9"/>
      <c r="X28223" s="9"/>
    </row>
    <row r="28224">
      <c r="D28224" s="9"/>
      <c r="G28224" s="9"/>
      <c r="J28224" s="11"/>
      <c r="U28224" s="9"/>
      <c r="X28224" s="9"/>
    </row>
    <row r="28225">
      <c r="D28225" s="9"/>
      <c r="G28225" s="9"/>
      <c r="J28225" s="11"/>
      <c r="U28225" s="9"/>
      <c r="X28225" s="9"/>
    </row>
    <row r="28226">
      <c r="D28226" s="9"/>
      <c r="G28226" s="9"/>
      <c r="J28226" s="11"/>
      <c r="U28226" s="9"/>
      <c r="X28226" s="9"/>
    </row>
    <row r="28227">
      <c r="D28227" s="9"/>
      <c r="G28227" s="9"/>
      <c r="J28227" s="11"/>
      <c r="U28227" s="9"/>
      <c r="X28227" s="9"/>
    </row>
    <row r="28228">
      <c r="D28228" s="9"/>
      <c r="G28228" s="9"/>
      <c r="J28228" s="11"/>
      <c r="U28228" s="9"/>
      <c r="X28228" s="9"/>
    </row>
    <row r="28229">
      <c r="D28229" s="9"/>
      <c r="G28229" s="9"/>
      <c r="J28229" s="11"/>
      <c r="U28229" s="9"/>
      <c r="X28229" s="9"/>
    </row>
    <row r="28230">
      <c r="D28230" s="9"/>
      <c r="G28230" s="9"/>
      <c r="J28230" s="11"/>
      <c r="U28230" s="9"/>
      <c r="X28230" s="9"/>
    </row>
    <row r="28231">
      <c r="D28231" s="9"/>
      <c r="G28231" s="9"/>
      <c r="J28231" s="11"/>
      <c r="U28231" s="9"/>
      <c r="X28231" s="9"/>
    </row>
    <row r="28232">
      <c r="D28232" s="9"/>
      <c r="G28232" s="9"/>
      <c r="J28232" s="11"/>
      <c r="U28232" s="9"/>
      <c r="X28232" s="9"/>
    </row>
    <row r="28233">
      <c r="D28233" s="9"/>
      <c r="G28233" s="9"/>
      <c r="J28233" s="11"/>
      <c r="U28233" s="9"/>
      <c r="X28233" s="9"/>
    </row>
    <row r="28234">
      <c r="D28234" s="9"/>
      <c r="G28234" s="9"/>
      <c r="J28234" s="11"/>
      <c r="U28234" s="9"/>
      <c r="X28234" s="9"/>
    </row>
    <row r="28235">
      <c r="D28235" s="9"/>
      <c r="G28235" s="9"/>
      <c r="J28235" s="11"/>
      <c r="U28235" s="9"/>
      <c r="X28235" s="9"/>
    </row>
    <row r="28236">
      <c r="D28236" s="9"/>
      <c r="G28236" s="9"/>
      <c r="J28236" s="11"/>
      <c r="U28236" s="9"/>
      <c r="X28236" s="9"/>
    </row>
    <row r="28237">
      <c r="D28237" s="9"/>
      <c r="G28237" s="9"/>
      <c r="J28237" s="11"/>
      <c r="U28237" s="9"/>
      <c r="X28237" s="9"/>
    </row>
    <row r="28238">
      <c r="D28238" s="9"/>
      <c r="G28238" s="9"/>
      <c r="J28238" s="11"/>
      <c r="U28238" s="9"/>
      <c r="X28238" s="9"/>
    </row>
    <row r="28239">
      <c r="D28239" s="9"/>
      <c r="G28239" s="9"/>
      <c r="J28239" s="11"/>
      <c r="U28239" s="9"/>
      <c r="X28239" s="9"/>
    </row>
    <row r="28240">
      <c r="D28240" s="9"/>
      <c r="G28240" s="9"/>
      <c r="J28240" s="11"/>
      <c r="U28240" s="9"/>
      <c r="X28240" s="9"/>
    </row>
    <row r="28241">
      <c r="D28241" s="9"/>
      <c r="G28241" s="9"/>
      <c r="J28241" s="11"/>
      <c r="U28241" s="9"/>
      <c r="X28241" s="9"/>
    </row>
    <row r="28242">
      <c r="D28242" s="9"/>
      <c r="G28242" s="9"/>
      <c r="J28242" s="11"/>
      <c r="U28242" s="9"/>
      <c r="X28242" s="9"/>
    </row>
    <row r="28243">
      <c r="D28243" s="9"/>
      <c r="G28243" s="9"/>
      <c r="J28243" s="11"/>
      <c r="U28243" s="9"/>
      <c r="X28243" s="9"/>
    </row>
    <row r="28244">
      <c r="D28244" s="9"/>
      <c r="G28244" s="9"/>
      <c r="J28244" s="11"/>
      <c r="U28244" s="9"/>
      <c r="X28244" s="9"/>
    </row>
    <row r="28245">
      <c r="D28245" s="9"/>
      <c r="G28245" s="9"/>
      <c r="J28245" s="11"/>
      <c r="U28245" s="9"/>
      <c r="X28245" s="9"/>
    </row>
    <row r="28246">
      <c r="D28246" s="9"/>
      <c r="G28246" s="9"/>
      <c r="J28246" s="11"/>
      <c r="U28246" s="9"/>
      <c r="X28246" s="9"/>
    </row>
    <row r="28247">
      <c r="D28247" s="9"/>
      <c r="G28247" s="9"/>
      <c r="J28247" s="11"/>
      <c r="U28247" s="9"/>
      <c r="X28247" s="9"/>
    </row>
    <row r="28248">
      <c r="D28248" s="9"/>
      <c r="G28248" s="9"/>
      <c r="J28248" s="11"/>
      <c r="U28248" s="9"/>
      <c r="X28248" s="9"/>
    </row>
    <row r="28249">
      <c r="D28249" s="9"/>
      <c r="G28249" s="9"/>
      <c r="J28249" s="11"/>
      <c r="U28249" s="9"/>
      <c r="X28249" s="9"/>
    </row>
    <row r="28250">
      <c r="D28250" s="9"/>
      <c r="G28250" s="9"/>
      <c r="J28250" s="11"/>
      <c r="U28250" s="9"/>
      <c r="X28250" s="9"/>
    </row>
    <row r="28251">
      <c r="D28251" s="9"/>
      <c r="G28251" s="9"/>
      <c r="J28251" s="11"/>
      <c r="U28251" s="9"/>
      <c r="X28251" s="9"/>
    </row>
    <row r="28252">
      <c r="D28252" s="9"/>
      <c r="G28252" s="9"/>
      <c r="J28252" s="11"/>
      <c r="U28252" s="9"/>
      <c r="X28252" s="9"/>
    </row>
    <row r="28253">
      <c r="D28253" s="9"/>
      <c r="G28253" s="9"/>
      <c r="J28253" s="11"/>
      <c r="U28253" s="9"/>
      <c r="X28253" s="9"/>
    </row>
    <row r="28254">
      <c r="D28254" s="9"/>
      <c r="G28254" s="9"/>
      <c r="J28254" s="11"/>
      <c r="U28254" s="9"/>
      <c r="X28254" s="9"/>
    </row>
    <row r="28255">
      <c r="D28255" s="9"/>
      <c r="G28255" s="9"/>
      <c r="J28255" s="11"/>
      <c r="U28255" s="9"/>
      <c r="X28255" s="9"/>
    </row>
    <row r="28256">
      <c r="D28256" s="9"/>
      <c r="G28256" s="9"/>
      <c r="J28256" s="11"/>
      <c r="U28256" s="9"/>
      <c r="X28256" s="9"/>
    </row>
    <row r="28257">
      <c r="D28257" s="9"/>
      <c r="G28257" s="9"/>
      <c r="J28257" s="11"/>
      <c r="U28257" s="9"/>
      <c r="X28257" s="9"/>
    </row>
    <row r="28258">
      <c r="D28258" s="9"/>
      <c r="G28258" s="9"/>
      <c r="J28258" s="11"/>
      <c r="U28258" s="9"/>
      <c r="X28258" s="9"/>
    </row>
    <row r="28259">
      <c r="D28259" s="9"/>
      <c r="G28259" s="9"/>
      <c r="J28259" s="11"/>
      <c r="U28259" s="9"/>
      <c r="X28259" s="9"/>
    </row>
    <row r="28260">
      <c r="D28260" s="9"/>
      <c r="G28260" s="9"/>
      <c r="J28260" s="11"/>
      <c r="U28260" s="9"/>
      <c r="X28260" s="9"/>
    </row>
    <row r="28261">
      <c r="D28261" s="9"/>
      <c r="G28261" s="9"/>
      <c r="J28261" s="11"/>
      <c r="U28261" s="9"/>
      <c r="X28261" s="9"/>
    </row>
    <row r="28262">
      <c r="D28262" s="9"/>
      <c r="G28262" s="9"/>
      <c r="J28262" s="11"/>
      <c r="U28262" s="9"/>
      <c r="X28262" s="9"/>
    </row>
    <row r="28263">
      <c r="D28263" s="9"/>
      <c r="G28263" s="9"/>
      <c r="J28263" s="11"/>
      <c r="U28263" s="9"/>
      <c r="X28263" s="9"/>
    </row>
    <row r="28264">
      <c r="D28264" s="9"/>
      <c r="G28264" s="9"/>
      <c r="J28264" s="11"/>
      <c r="U28264" s="9"/>
      <c r="X28264" s="9"/>
    </row>
    <row r="28265">
      <c r="D28265" s="9"/>
      <c r="G28265" s="9"/>
      <c r="J28265" s="11"/>
      <c r="U28265" s="9"/>
      <c r="X28265" s="9"/>
    </row>
    <row r="28266">
      <c r="D28266" s="9"/>
      <c r="G28266" s="9"/>
      <c r="J28266" s="11"/>
      <c r="U28266" s="9"/>
      <c r="X28266" s="9"/>
    </row>
    <row r="28267">
      <c r="D28267" s="9"/>
      <c r="G28267" s="9"/>
      <c r="J28267" s="11"/>
      <c r="U28267" s="9"/>
      <c r="X28267" s="9"/>
    </row>
    <row r="28268">
      <c r="D28268" s="9"/>
      <c r="G28268" s="9"/>
      <c r="J28268" s="11"/>
      <c r="U28268" s="9"/>
      <c r="X28268" s="9"/>
    </row>
    <row r="28269">
      <c r="D28269" s="9"/>
      <c r="G28269" s="9"/>
      <c r="J28269" s="11"/>
      <c r="U28269" s="9"/>
      <c r="X28269" s="9"/>
    </row>
    <row r="28270">
      <c r="D28270" s="9"/>
      <c r="G28270" s="9"/>
      <c r="J28270" s="11"/>
      <c r="U28270" s="9"/>
      <c r="X28270" s="9"/>
    </row>
    <row r="28271">
      <c r="D28271" s="9"/>
      <c r="G28271" s="9"/>
      <c r="J28271" s="11"/>
      <c r="U28271" s="9"/>
      <c r="X28271" s="9"/>
    </row>
    <row r="28272">
      <c r="D28272" s="9"/>
      <c r="G28272" s="9"/>
      <c r="J28272" s="11"/>
      <c r="U28272" s="9"/>
      <c r="X28272" s="9"/>
    </row>
    <row r="28273">
      <c r="D28273" s="9"/>
      <c r="G28273" s="9"/>
      <c r="J28273" s="11"/>
      <c r="U28273" s="9"/>
      <c r="X28273" s="9"/>
    </row>
    <row r="28274">
      <c r="D28274" s="9"/>
      <c r="G28274" s="9"/>
      <c r="J28274" s="11"/>
      <c r="U28274" s="9"/>
      <c r="X28274" s="9"/>
    </row>
    <row r="28275">
      <c r="D28275" s="9"/>
      <c r="G28275" s="9"/>
      <c r="J28275" s="11"/>
      <c r="U28275" s="9"/>
      <c r="X28275" s="9"/>
    </row>
    <row r="28276">
      <c r="D28276" s="9"/>
      <c r="G28276" s="9"/>
      <c r="J28276" s="11"/>
      <c r="U28276" s="9"/>
      <c r="X28276" s="9"/>
    </row>
    <row r="28277">
      <c r="D28277" s="9"/>
      <c r="G28277" s="9"/>
      <c r="J28277" s="11"/>
      <c r="U28277" s="9"/>
      <c r="X28277" s="9"/>
    </row>
    <row r="28278">
      <c r="D28278" s="9"/>
      <c r="G28278" s="9"/>
      <c r="J28278" s="11"/>
      <c r="U28278" s="9"/>
      <c r="X28278" s="9"/>
    </row>
    <row r="28279">
      <c r="D28279" s="9"/>
      <c r="G28279" s="9"/>
      <c r="J28279" s="11"/>
      <c r="U28279" s="9"/>
      <c r="X28279" s="9"/>
    </row>
    <row r="28280">
      <c r="D28280" s="9"/>
      <c r="G28280" s="9"/>
      <c r="J28280" s="11"/>
      <c r="U28280" s="9"/>
      <c r="X28280" s="9"/>
    </row>
    <row r="28281">
      <c r="D28281" s="9"/>
      <c r="G28281" s="9"/>
      <c r="J28281" s="11"/>
      <c r="U28281" s="9"/>
      <c r="X28281" s="9"/>
    </row>
    <row r="28282">
      <c r="D28282" s="9"/>
      <c r="G28282" s="9"/>
      <c r="J28282" s="11"/>
      <c r="U28282" s="9"/>
      <c r="X28282" s="9"/>
    </row>
    <row r="28283">
      <c r="D28283" s="9"/>
      <c r="G28283" s="9"/>
      <c r="J28283" s="11"/>
      <c r="U28283" s="9"/>
      <c r="X28283" s="9"/>
    </row>
    <row r="28284">
      <c r="D28284" s="9"/>
      <c r="G28284" s="9"/>
      <c r="J28284" s="11"/>
      <c r="U28284" s="9"/>
      <c r="X28284" s="9"/>
    </row>
    <row r="28285">
      <c r="D28285" s="9"/>
      <c r="G28285" s="9"/>
      <c r="J28285" s="11"/>
      <c r="U28285" s="9"/>
      <c r="X28285" s="9"/>
    </row>
    <row r="28286">
      <c r="D28286" s="9"/>
      <c r="G28286" s="9"/>
      <c r="J28286" s="11"/>
      <c r="U28286" s="9"/>
      <c r="X28286" s="9"/>
    </row>
    <row r="28287">
      <c r="D28287" s="9"/>
      <c r="G28287" s="9"/>
      <c r="J28287" s="11"/>
      <c r="U28287" s="9"/>
      <c r="X28287" s="9"/>
    </row>
    <row r="28288">
      <c r="D28288" s="9"/>
      <c r="G28288" s="9"/>
      <c r="J28288" s="11"/>
      <c r="U28288" s="9"/>
      <c r="X28288" s="9"/>
    </row>
    <row r="28289">
      <c r="D28289" s="9"/>
      <c r="G28289" s="9"/>
      <c r="J28289" s="11"/>
      <c r="U28289" s="9"/>
      <c r="X28289" s="9"/>
    </row>
    <row r="28290">
      <c r="D28290" s="9"/>
      <c r="G28290" s="9"/>
      <c r="J28290" s="11"/>
      <c r="U28290" s="9"/>
      <c r="X28290" s="9"/>
    </row>
    <row r="28291">
      <c r="D28291" s="9"/>
      <c r="G28291" s="9"/>
      <c r="J28291" s="11"/>
      <c r="U28291" s="9"/>
      <c r="X28291" s="9"/>
    </row>
    <row r="28292">
      <c r="D28292" s="9"/>
      <c r="G28292" s="9"/>
      <c r="J28292" s="11"/>
      <c r="U28292" s="9"/>
      <c r="X28292" s="9"/>
    </row>
    <row r="28293">
      <c r="D28293" s="9"/>
      <c r="G28293" s="9"/>
      <c r="J28293" s="11"/>
      <c r="U28293" s="9"/>
      <c r="X28293" s="9"/>
    </row>
    <row r="28294">
      <c r="D28294" s="9"/>
      <c r="G28294" s="9"/>
      <c r="J28294" s="11"/>
      <c r="U28294" s="9"/>
      <c r="X28294" s="9"/>
    </row>
    <row r="28295">
      <c r="D28295" s="9"/>
      <c r="G28295" s="9"/>
      <c r="J28295" s="11"/>
      <c r="U28295" s="9"/>
      <c r="X28295" s="9"/>
    </row>
    <row r="28296">
      <c r="D28296" s="9"/>
      <c r="G28296" s="9"/>
      <c r="J28296" s="11"/>
      <c r="U28296" s="9"/>
      <c r="X28296" s="9"/>
    </row>
    <row r="28297">
      <c r="D28297" s="9"/>
      <c r="G28297" s="9"/>
      <c r="J28297" s="11"/>
      <c r="U28297" s="9"/>
      <c r="X28297" s="9"/>
    </row>
    <row r="28298">
      <c r="D28298" s="9"/>
      <c r="G28298" s="9"/>
      <c r="J28298" s="11"/>
      <c r="U28298" s="9"/>
      <c r="X28298" s="9"/>
    </row>
    <row r="28299">
      <c r="D28299" s="9"/>
      <c r="G28299" s="9"/>
      <c r="J28299" s="11"/>
      <c r="U28299" s="9"/>
      <c r="X28299" s="9"/>
    </row>
    <row r="28300">
      <c r="D28300" s="9"/>
      <c r="G28300" s="9"/>
      <c r="J28300" s="11"/>
      <c r="U28300" s="9"/>
      <c r="X28300" s="9"/>
    </row>
    <row r="28301">
      <c r="D28301" s="9"/>
      <c r="G28301" s="9"/>
      <c r="J28301" s="11"/>
      <c r="U28301" s="9"/>
      <c r="X28301" s="9"/>
    </row>
    <row r="28302">
      <c r="D28302" s="9"/>
      <c r="G28302" s="9"/>
      <c r="J28302" s="11"/>
      <c r="U28302" s="9"/>
      <c r="X28302" s="9"/>
    </row>
    <row r="28303">
      <c r="D28303" s="9"/>
      <c r="G28303" s="9"/>
      <c r="J28303" s="11"/>
      <c r="U28303" s="9"/>
      <c r="X28303" s="9"/>
    </row>
    <row r="28304">
      <c r="D28304" s="9"/>
      <c r="G28304" s="9"/>
      <c r="J28304" s="11"/>
      <c r="U28304" s="9"/>
      <c r="X28304" s="9"/>
    </row>
    <row r="28305">
      <c r="D28305" s="9"/>
      <c r="G28305" s="9"/>
      <c r="J28305" s="11"/>
      <c r="U28305" s="9"/>
      <c r="X28305" s="9"/>
    </row>
    <row r="28306">
      <c r="D28306" s="9"/>
      <c r="G28306" s="9"/>
      <c r="J28306" s="11"/>
      <c r="U28306" s="9"/>
      <c r="X28306" s="9"/>
    </row>
    <row r="28307">
      <c r="D28307" s="9"/>
      <c r="G28307" s="9"/>
      <c r="J28307" s="11"/>
      <c r="U28307" s="9"/>
      <c r="X28307" s="9"/>
    </row>
    <row r="28308">
      <c r="D28308" s="9"/>
      <c r="G28308" s="9"/>
      <c r="J28308" s="11"/>
      <c r="U28308" s="9"/>
      <c r="X28308" s="9"/>
    </row>
    <row r="28309">
      <c r="D28309" s="9"/>
      <c r="G28309" s="9"/>
      <c r="J28309" s="11"/>
      <c r="U28309" s="9"/>
      <c r="X28309" s="9"/>
    </row>
    <row r="28310">
      <c r="D28310" s="9"/>
      <c r="G28310" s="9"/>
      <c r="J28310" s="11"/>
      <c r="U28310" s="9"/>
      <c r="X28310" s="9"/>
    </row>
    <row r="28311">
      <c r="D28311" s="9"/>
      <c r="G28311" s="9"/>
      <c r="J28311" s="11"/>
      <c r="U28311" s="9"/>
      <c r="X28311" s="9"/>
    </row>
    <row r="28312">
      <c r="D28312" s="9"/>
      <c r="G28312" s="9"/>
      <c r="J28312" s="11"/>
      <c r="U28312" s="9"/>
      <c r="X28312" s="9"/>
    </row>
    <row r="28313">
      <c r="D28313" s="9"/>
      <c r="G28313" s="9"/>
      <c r="J28313" s="11"/>
      <c r="U28313" s="9"/>
      <c r="X28313" s="9"/>
    </row>
    <row r="28314">
      <c r="D28314" s="9"/>
      <c r="G28314" s="9"/>
      <c r="J28314" s="11"/>
      <c r="U28314" s="9"/>
      <c r="X28314" s="9"/>
    </row>
    <row r="28315">
      <c r="D28315" s="9"/>
      <c r="G28315" s="9"/>
      <c r="J28315" s="11"/>
      <c r="U28315" s="9"/>
      <c r="X28315" s="9"/>
    </row>
    <row r="28316">
      <c r="D28316" s="9"/>
      <c r="G28316" s="9"/>
      <c r="J28316" s="11"/>
      <c r="U28316" s="9"/>
      <c r="X28316" s="9"/>
    </row>
    <row r="28317">
      <c r="D28317" s="9"/>
      <c r="G28317" s="9"/>
      <c r="J28317" s="11"/>
      <c r="U28317" s="9"/>
      <c r="X28317" s="9"/>
    </row>
    <row r="28318">
      <c r="D28318" s="9"/>
      <c r="G28318" s="9"/>
      <c r="J28318" s="11"/>
      <c r="U28318" s="9"/>
      <c r="X28318" s="9"/>
    </row>
    <row r="28319">
      <c r="D28319" s="9"/>
      <c r="G28319" s="9"/>
      <c r="J28319" s="11"/>
      <c r="U28319" s="9"/>
      <c r="X28319" s="9"/>
    </row>
    <row r="28320">
      <c r="D28320" s="9"/>
      <c r="G28320" s="9"/>
      <c r="J28320" s="11"/>
      <c r="U28320" s="9"/>
      <c r="X28320" s="9"/>
    </row>
    <row r="28321">
      <c r="D28321" s="9"/>
      <c r="G28321" s="9"/>
      <c r="J28321" s="11"/>
      <c r="U28321" s="9"/>
      <c r="X28321" s="9"/>
    </row>
    <row r="28322">
      <c r="D28322" s="9"/>
      <c r="G28322" s="9"/>
      <c r="J28322" s="11"/>
      <c r="U28322" s="9"/>
      <c r="X28322" s="9"/>
    </row>
    <row r="28323">
      <c r="D28323" s="9"/>
      <c r="G28323" s="9"/>
      <c r="J28323" s="11"/>
      <c r="U28323" s="9"/>
      <c r="X28323" s="9"/>
    </row>
    <row r="28324">
      <c r="D28324" s="9"/>
      <c r="G28324" s="9"/>
      <c r="J28324" s="11"/>
      <c r="U28324" s="9"/>
      <c r="X28324" s="9"/>
    </row>
    <row r="28325">
      <c r="D28325" s="9"/>
      <c r="G28325" s="9"/>
      <c r="J28325" s="11"/>
      <c r="U28325" s="9"/>
      <c r="X28325" s="9"/>
    </row>
    <row r="28326">
      <c r="D28326" s="9"/>
      <c r="G28326" s="9"/>
      <c r="J28326" s="11"/>
      <c r="U28326" s="9"/>
      <c r="X28326" s="9"/>
    </row>
    <row r="28327">
      <c r="D28327" s="9"/>
      <c r="G28327" s="9"/>
      <c r="J28327" s="11"/>
      <c r="U28327" s="9"/>
      <c r="X28327" s="9"/>
    </row>
    <row r="28328">
      <c r="D28328" s="9"/>
      <c r="G28328" s="9"/>
      <c r="J28328" s="11"/>
      <c r="U28328" s="9"/>
      <c r="X28328" s="9"/>
    </row>
    <row r="28329">
      <c r="D28329" s="9"/>
      <c r="G28329" s="9"/>
      <c r="J28329" s="11"/>
      <c r="U28329" s="9"/>
      <c r="X28329" s="9"/>
    </row>
    <row r="28330">
      <c r="D28330" s="9"/>
      <c r="G28330" s="9"/>
      <c r="J28330" s="11"/>
      <c r="U28330" s="9"/>
      <c r="X28330" s="9"/>
    </row>
    <row r="28331">
      <c r="D28331" s="9"/>
      <c r="G28331" s="9"/>
      <c r="J28331" s="11"/>
      <c r="U28331" s="9"/>
      <c r="X28331" s="9"/>
    </row>
    <row r="28332">
      <c r="D28332" s="9"/>
      <c r="G28332" s="9"/>
      <c r="J28332" s="11"/>
      <c r="U28332" s="9"/>
      <c r="X28332" s="9"/>
    </row>
    <row r="28333">
      <c r="D28333" s="9"/>
      <c r="G28333" s="9"/>
      <c r="J28333" s="11"/>
      <c r="U28333" s="9"/>
      <c r="X28333" s="9"/>
    </row>
    <row r="28334">
      <c r="D28334" s="9"/>
      <c r="G28334" s="9"/>
      <c r="J28334" s="11"/>
      <c r="U28334" s="9"/>
      <c r="X28334" s="9"/>
    </row>
    <row r="28335">
      <c r="D28335" s="9"/>
      <c r="G28335" s="9"/>
      <c r="J28335" s="11"/>
      <c r="U28335" s="9"/>
      <c r="X28335" s="9"/>
    </row>
    <row r="28336">
      <c r="D28336" s="9"/>
      <c r="G28336" s="9"/>
      <c r="J28336" s="11"/>
      <c r="U28336" s="9"/>
      <c r="X28336" s="9"/>
    </row>
    <row r="28337">
      <c r="D28337" s="9"/>
      <c r="G28337" s="9"/>
      <c r="J28337" s="11"/>
      <c r="U28337" s="9"/>
      <c r="X28337" s="9"/>
    </row>
    <row r="28338">
      <c r="D28338" s="9"/>
      <c r="G28338" s="9"/>
      <c r="J28338" s="11"/>
      <c r="U28338" s="9"/>
      <c r="X28338" s="9"/>
    </row>
    <row r="28339">
      <c r="D28339" s="9"/>
      <c r="G28339" s="9"/>
      <c r="J28339" s="11"/>
      <c r="U28339" s="9"/>
      <c r="X28339" s="9"/>
    </row>
    <row r="28340">
      <c r="D28340" s="9"/>
      <c r="G28340" s="9"/>
      <c r="J28340" s="11"/>
      <c r="U28340" s="9"/>
      <c r="X28340" s="9"/>
    </row>
    <row r="28341">
      <c r="D28341" s="9"/>
      <c r="G28341" s="9"/>
      <c r="J28341" s="11"/>
      <c r="U28341" s="9"/>
      <c r="X28341" s="9"/>
    </row>
    <row r="28342">
      <c r="D28342" s="9"/>
      <c r="G28342" s="9"/>
      <c r="J28342" s="11"/>
      <c r="U28342" s="9"/>
      <c r="X28342" s="9"/>
    </row>
    <row r="28343">
      <c r="D28343" s="9"/>
      <c r="G28343" s="9"/>
      <c r="J28343" s="11"/>
      <c r="U28343" s="9"/>
      <c r="X28343" s="9"/>
    </row>
    <row r="28344">
      <c r="D28344" s="9"/>
      <c r="G28344" s="9"/>
      <c r="J28344" s="11"/>
      <c r="U28344" s="9"/>
      <c r="X28344" s="9"/>
    </row>
    <row r="28345">
      <c r="D28345" s="9"/>
      <c r="G28345" s="9"/>
      <c r="J28345" s="11"/>
      <c r="U28345" s="9"/>
      <c r="X28345" s="9"/>
    </row>
    <row r="28346">
      <c r="D28346" s="9"/>
      <c r="G28346" s="9"/>
      <c r="J28346" s="11"/>
      <c r="U28346" s="9"/>
      <c r="X28346" s="9"/>
    </row>
    <row r="28347">
      <c r="D28347" s="9"/>
      <c r="G28347" s="9"/>
      <c r="J28347" s="11"/>
      <c r="U28347" s="9"/>
      <c r="X28347" s="9"/>
    </row>
    <row r="28348">
      <c r="D28348" s="9"/>
      <c r="G28348" s="9"/>
      <c r="J28348" s="11"/>
      <c r="U28348" s="9"/>
      <c r="X28348" s="9"/>
    </row>
    <row r="28349">
      <c r="D28349" s="9"/>
      <c r="G28349" s="9"/>
      <c r="J28349" s="11"/>
      <c r="U28349" s="9"/>
      <c r="X28349" s="9"/>
    </row>
    <row r="28350">
      <c r="D28350" s="9"/>
      <c r="G28350" s="9"/>
      <c r="J28350" s="11"/>
      <c r="U28350" s="9"/>
      <c r="X28350" s="9"/>
    </row>
    <row r="28351">
      <c r="D28351" s="9"/>
      <c r="G28351" s="9"/>
      <c r="J28351" s="11"/>
      <c r="U28351" s="9"/>
      <c r="X28351" s="9"/>
    </row>
    <row r="28352">
      <c r="D28352" s="9"/>
      <c r="G28352" s="9"/>
      <c r="J28352" s="11"/>
      <c r="U28352" s="9"/>
      <c r="X28352" s="9"/>
    </row>
    <row r="28353">
      <c r="D28353" s="9"/>
      <c r="G28353" s="9"/>
      <c r="J28353" s="11"/>
      <c r="U28353" s="9"/>
      <c r="X28353" s="9"/>
    </row>
    <row r="28354">
      <c r="D28354" s="9"/>
      <c r="G28354" s="9"/>
      <c r="J28354" s="11"/>
      <c r="U28354" s="9"/>
      <c r="X28354" s="9"/>
    </row>
    <row r="28355">
      <c r="D28355" s="9"/>
      <c r="G28355" s="9"/>
      <c r="J28355" s="11"/>
      <c r="U28355" s="9"/>
      <c r="X28355" s="9"/>
    </row>
    <row r="28356">
      <c r="D28356" s="9"/>
      <c r="G28356" s="9"/>
      <c r="J28356" s="11"/>
      <c r="U28356" s="9"/>
      <c r="X28356" s="9"/>
    </row>
    <row r="28357">
      <c r="D28357" s="9"/>
      <c r="G28357" s="9"/>
      <c r="J28357" s="11"/>
      <c r="U28357" s="9"/>
      <c r="X28357" s="9"/>
    </row>
    <row r="28358">
      <c r="D28358" s="9"/>
      <c r="G28358" s="9"/>
      <c r="J28358" s="11"/>
      <c r="U28358" s="9"/>
      <c r="X28358" s="9"/>
    </row>
    <row r="28359">
      <c r="D28359" s="9"/>
      <c r="G28359" s="9"/>
      <c r="J28359" s="11"/>
      <c r="U28359" s="9"/>
      <c r="X28359" s="9"/>
    </row>
    <row r="28360">
      <c r="D28360" s="9"/>
      <c r="G28360" s="9"/>
      <c r="J28360" s="11"/>
      <c r="U28360" s="9"/>
      <c r="X28360" s="9"/>
    </row>
    <row r="28361">
      <c r="D28361" s="9"/>
      <c r="G28361" s="9"/>
      <c r="J28361" s="11"/>
      <c r="U28361" s="9"/>
      <c r="X28361" s="9"/>
    </row>
    <row r="28362">
      <c r="D28362" s="9"/>
      <c r="G28362" s="9"/>
      <c r="J28362" s="11"/>
      <c r="U28362" s="9"/>
      <c r="X28362" s="9"/>
    </row>
    <row r="28363">
      <c r="D28363" s="9"/>
      <c r="G28363" s="9"/>
      <c r="J28363" s="11"/>
      <c r="U28363" s="9"/>
      <c r="X28363" s="9"/>
    </row>
    <row r="28364">
      <c r="D28364" s="9"/>
      <c r="G28364" s="9"/>
      <c r="J28364" s="11"/>
      <c r="U28364" s="9"/>
      <c r="X28364" s="9"/>
    </row>
    <row r="28365">
      <c r="D28365" s="9"/>
      <c r="G28365" s="9"/>
      <c r="J28365" s="11"/>
      <c r="U28365" s="9"/>
      <c r="X28365" s="9"/>
    </row>
    <row r="28366">
      <c r="D28366" s="9"/>
      <c r="G28366" s="9"/>
      <c r="J28366" s="11"/>
      <c r="U28366" s="9"/>
      <c r="X28366" s="9"/>
    </row>
    <row r="28367">
      <c r="D28367" s="9"/>
      <c r="G28367" s="9"/>
      <c r="J28367" s="11"/>
      <c r="U28367" s="9"/>
      <c r="X28367" s="9"/>
    </row>
    <row r="28368">
      <c r="D28368" s="9"/>
      <c r="G28368" s="9"/>
      <c r="J28368" s="11"/>
      <c r="U28368" s="9"/>
      <c r="X28368" s="9"/>
    </row>
    <row r="28369">
      <c r="D28369" s="9"/>
      <c r="G28369" s="9"/>
      <c r="J28369" s="11"/>
      <c r="U28369" s="9"/>
      <c r="X28369" s="9"/>
    </row>
    <row r="28370">
      <c r="D28370" s="9"/>
      <c r="G28370" s="9"/>
      <c r="J28370" s="11"/>
      <c r="U28370" s="9"/>
      <c r="X28370" s="9"/>
    </row>
    <row r="28371">
      <c r="D28371" s="9"/>
      <c r="G28371" s="9"/>
      <c r="J28371" s="11"/>
      <c r="U28371" s="9"/>
      <c r="X28371" s="9"/>
    </row>
    <row r="28372">
      <c r="D28372" s="9"/>
      <c r="G28372" s="9"/>
      <c r="J28372" s="11"/>
      <c r="U28372" s="9"/>
      <c r="X28372" s="9"/>
    </row>
    <row r="28373">
      <c r="D28373" s="9"/>
      <c r="G28373" s="9"/>
      <c r="J28373" s="11"/>
      <c r="U28373" s="9"/>
      <c r="X28373" s="9"/>
    </row>
    <row r="28374">
      <c r="D28374" s="9"/>
      <c r="G28374" s="9"/>
      <c r="J28374" s="11"/>
      <c r="U28374" s="9"/>
      <c r="X28374" s="9"/>
    </row>
    <row r="28375">
      <c r="D28375" s="9"/>
      <c r="G28375" s="9"/>
      <c r="J28375" s="11"/>
      <c r="U28375" s="9"/>
      <c r="X28375" s="9"/>
    </row>
    <row r="28376">
      <c r="D28376" s="9"/>
      <c r="G28376" s="9"/>
      <c r="J28376" s="11"/>
      <c r="U28376" s="9"/>
      <c r="X28376" s="9"/>
    </row>
    <row r="28377">
      <c r="D28377" s="9"/>
      <c r="G28377" s="9"/>
      <c r="J28377" s="11"/>
      <c r="U28377" s="9"/>
      <c r="X28377" s="9"/>
    </row>
    <row r="28378">
      <c r="D28378" s="9"/>
      <c r="G28378" s="9"/>
      <c r="J28378" s="11"/>
      <c r="U28378" s="9"/>
      <c r="X28378" s="9"/>
    </row>
    <row r="28379">
      <c r="D28379" s="9"/>
      <c r="G28379" s="9"/>
      <c r="J28379" s="11"/>
      <c r="U28379" s="9"/>
      <c r="X28379" s="9"/>
    </row>
    <row r="28380">
      <c r="D28380" s="9"/>
      <c r="G28380" s="9"/>
      <c r="J28380" s="11"/>
      <c r="U28380" s="9"/>
      <c r="X28380" s="9"/>
    </row>
    <row r="28381">
      <c r="D28381" s="9"/>
      <c r="G28381" s="9"/>
      <c r="J28381" s="11"/>
      <c r="U28381" s="9"/>
      <c r="X28381" s="9"/>
    </row>
    <row r="28382">
      <c r="D28382" s="9"/>
      <c r="G28382" s="9"/>
      <c r="J28382" s="11"/>
      <c r="U28382" s="9"/>
      <c r="X28382" s="9"/>
    </row>
    <row r="28383">
      <c r="D28383" s="9"/>
      <c r="G28383" s="9"/>
      <c r="J28383" s="11"/>
      <c r="U28383" s="9"/>
      <c r="X28383" s="9"/>
    </row>
    <row r="28384">
      <c r="D28384" s="9"/>
      <c r="G28384" s="9"/>
      <c r="J28384" s="11"/>
      <c r="U28384" s="9"/>
      <c r="X28384" s="9"/>
    </row>
    <row r="28385">
      <c r="D28385" s="9"/>
      <c r="G28385" s="9"/>
      <c r="J28385" s="11"/>
      <c r="U28385" s="9"/>
      <c r="X28385" s="9"/>
    </row>
    <row r="28386">
      <c r="D28386" s="9"/>
      <c r="G28386" s="9"/>
      <c r="J28386" s="11"/>
      <c r="U28386" s="9"/>
      <c r="X28386" s="9"/>
    </row>
    <row r="28387">
      <c r="D28387" s="9"/>
      <c r="G28387" s="9"/>
      <c r="J28387" s="11"/>
      <c r="U28387" s="9"/>
      <c r="X28387" s="9"/>
    </row>
    <row r="28388">
      <c r="D28388" s="9"/>
      <c r="G28388" s="9"/>
      <c r="J28388" s="11"/>
      <c r="U28388" s="9"/>
      <c r="X28388" s="9"/>
    </row>
    <row r="28389">
      <c r="D28389" s="9"/>
      <c r="G28389" s="9"/>
      <c r="J28389" s="11"/>
      <c r="U28389" s="9"/>
      <c r="X28389" s="9"/>
    </row>
    <row r="28390">
      <c r="D28390" s="9"/>
      <c r="G28390" s="9"/>
      <c r="J28390" s="11"/>
      <c r="U28390" s="9"/>
      <c r="X28390" s="9"/>
    </row>
    <row r="28391">
      <c r="D28391" s="9"/>
      <c r="G28391" s="9"/>
      <c r="J28391" s="11"/>
      <c r="U28391" s="9"/>
      <c r="X28391" s="9"/>
    </row>
    <row r="28392">
      <c r="D28392" s="9"/>
      <c r="G28392" s="9"/>
      <c r="J28392" s="11"/>
      <c r="U28392" s="9"/>
      <c r="X28392" s="9"/>
    </row>
    <row r="28393">
      <c r="D28393" s="9"/>
      <c r="G28393" s="9"/>
      <c r="J28393" s="11"/>
      <c r="U28393" s="9"/>
      <c r="X28393" s="9"/>
    </row>
    <row r="28394">
      <c r="D28394" s="9"/>
      <c r="G28394" s="9"/>
      <c r="J28394" s="11"/>
      <c r="U28394" s="9"/>
      <c r="X28394" s="9"/>
    </row>
    <row r="28395">
      <c r="D28395" s="9"/>
      <c r="G28395" s="9"/>
      <c r="J28395" s="11"/>
      <c r="U28395" s="9"/>
      <c r="X28395" s="9"/>
    </row>
    <row r="28396">
      <c r="D28396" s="9"/>
      <c r="G28396" s="9"/>
      <c r="J28396" s="11"/>
      <c r="U28396" s="9"/>
      <c r="X28396" s="9"/>
    </row>
    <row r="28397">
      <c r="D28397" s="9"/>
      <c r="G28397" s="9"/>
      <c r="J28397" s="11"/>
      <c r="U28397" s="9"/>
      <c r="X28397" s="9"/>
    </row>
    <row r="28398">
      <c r="D28398" s="9"/>
      <c r="G28398" s="9"/>
      <c r="J28398" s="11"/>
      <c r="U28398" s="9"/>
      <c r="X28398" s="9"/>
    </row>
    <row r="28399">
      <c r="D28399" s="9"/>
      <c r="G28399" s="9"/>
      <c r="J28399" s="11"/>
      <c r="U28399" s="9"/>
      <c r="X28399" s="9"/>
    </row>
    <row r="28400">
      <c r="D28400" s="9"/>
      <c r="G28400" s="9"/>
      <c r="J28400" s="11"/>
      <c r="U28400" s="9"/>
      <c r="X28400" s="9"/>
    </row>
    <row r="28401">
      <c r="D28401" s="9"/>
      <c r="G28401" s="9"/>
      <c r="J28401" s="11"/>
      <c r="U28401" s="9"/>
      <c r="X28401" s="9"/>
    </row>
    <row r="28402">
      <c r="D28402" s="9"/>
      <c r="G28402" s="9"/>
      <c r="J28402" s="11"/>
      <c r="U28402" s="9"/>
      <c r="X28402" s="9"/>
    </row>
    <row r="28403">
      <c r="D28403" s="9"/>
      <c r="G28403" s="9"/>
      <c r="J28403" s="11"/>
      <c r="U28403" s="9"/>
      <c r="X28403" s="9"/>
    </row>
    <row r="28404">
      <c r="D28404" s="9"/>
      <c r="G28404" s="9"/>
      <c r="J28404" s="11"/>
      <c r="U28404" s="9"/>
      <c r="X28404" s="9"/>
    </row>
    <row r="28405">
      <c r="D28405" s="9"/>
      <c r="G28405" s="9"/>
      <c r="J28405" s="11"/>
      <c r="U28405" s="9"/>
      <c r="X28405" s="9"/>
    </row>
    <row r="28406">
      <c r="D28406" s="9"/>
      <c r="G28406" s="9"/>
      <c r="J28406" s="11"/>
      <c r="U28406" s="9"/>
      <c r="X28406" s="9"/>
    </row>
    <row r="28407">
      <c r="D28407" s="9"/>
      <c r="G28407" s="9"/>
      <c r="J28407" s="11"/>
      <c r="U28407" s="9"/>
      <c r="X28407" s="9"/>
    </row>
    <row r="28408">
      <c r="D28408" s="9"/>
      <c r="G28408" s="9"/>
      <c r="J28408" s="11"/>
      <c r="U28408" s="9"/>
      <c r="X28408" s="9"/>
    </row>
    <row r="28409">
      <c r="D28409" s="9"/>
      <c r="G28409" s="9"/>
      <c r="J28409" s="11"/>
      <c r="U28409" s="9"/>
      <c r="X28409" s="9"/>
    </row>
    <row r="28410">
      <c r="D28410" s="9"/>
      <c r="G28410" s="9"/>
      <c r="J28410" s="11"/>
      <c r="U28410" s="9"/>
      <c r="X28410" s="9"/>
    </row>
    <row r="28411">
      <c r="D28411" s="9"/>
      <c r="G28411" s="9"/>
      <c r="J28411" s="11"/>
      <c r="U28411" s="9"/>
      <c r="X28411" s="9"/>
    </row>
    <row r="28412">
      <c r="D28412" s="9"/>
      <c r="G28412" s="9"/>
      <c r="J28412" s="11"/>
      <c r="U28412" s="9"/>
      <c r="X28412" s="9"/>
    </row>
    <row r="28413">
      <c r="D28413" s="9"/>
      <c r="G28413" s="9"/>
      <c r="J28413" s="11"/>
      <c r="U28413" s="9"/>
      <c r="X28413" s="9"/>
    </row>
    <row r="28414">
      <c r="D28414" s="9"/>
      <c r="G28414" s="9"/>
      <c r="J28414" s="11"/>
      <c r="U28414" s="9"/>
      <c r="X28414" s="9"/>
    </row>
    <row r="28415">
      <c r="D28415" s="9"/>
      <c r="G28415" s="9"/>
      <c r="J28415" s="11"/>
      <c r="U28415" s="9"/>
      <c r="X28415" s="9"/>
    </row>
    <row r="28416">
      <c r="D28416" s="9"/>
      <c r="G28416" s="9"/>
      <c r="J28416" s="11"/>
      <c r="U28416" s="9"/>
      <c r="X28416" s="9"/>
    </row>
    <row r="28417">
      <c r="D28417" s="9"/>
      <c r="G28417" s="9"/>
      <c r="J28417" s="11"/>
      <c r="U28417" s="9"/>
      <c r="X28417" s="9"/>
    </row>
    <row r="28418">
      <c r="D28418" s="9"/>
      <c r="G28418" s="9"/>
      <c r="J28418" s="11"/>
      <c r="U28418" s="9"/>
      <c r="X28418" s="9"/>
    </row>
    <row r="28419">
      <c r="D28419" s="9"/>
      <c r="G28419" s="9"/>
      <c r="J28419" s="11"/>
      <c r="U28419" s="9"/>
      <c r="X28419" s="9"/>
    </row>
    <row r="28420">
      <c r="D28420" s="9"/>
      <c r="G28420" s="9"/>
      <c r="J28420" s="11"/>
      <c r="U28420" s="9"/>
      <c r="X28420" s="9"/>
    </row>
    <row r="28421">
      <c r="D28421" s="9"/>
      <c r="G28421" s="9"/>
      <c r="J28421" s="11"/>
      <c r="U28421" s="9"/>
      <c r="X28421" s="9"/>
    </row>
    <row r="28422">
      <c r="D28422" s="9"/>
      <c r="G28422" s="9"/>
      <c r="J28422" s="11"/>
      <c r="U28422" s="9"/>
      <c r="X28422" s="9"/>
    </row>
    <row r="28423">
      <c r="D28423" s="9"/>
      <c r="G28423" s="9"/>
      <c r="J28423" s="11"/>
      <c r="U28423" s="9"/>
      <c r="X28423" s="9"/>
    </row>
    <row r="28424">
      <c r="D28424" s="9"/>
      <c r="G28424" s="9"/>
      <c r="J28424" s="11"/>
      <c r="U28424" s="9"/>
      <c r="X28424" s="9"/>
    </row>
    <row r="28425">
      <c r="D28425" s="9"/>
      <c r="G28425" s="9"/>
      <c r="J28425" s="11"/>
      <c r="U28425" s="9"/>
      <c r="X28425" s="9"/>
    </row>
    <row r="28426">
      <c r="D28426" s="9"/>
      <c r="G28426" s="9"/>
      <c r="J28426" s="11"/>
      <c r="U28426" s="9"/>
      <c r="X28426" s="9"/>
    </row>
    <row r="28427">
      <c r="D28427" s="9"/>
      <c r="G28427" s="9"/>
      <c r="J28427" s="11"/>
      <c r="U28427" s="9"/>
      <c r="X28427" s="9"/>
    </row>
    <row r="28428">
      <c r="D28428" s="9"/>
      <c r="G28428" s="9"/>
      <c r="J28428" s="11"/>
      <c r="U28428" s="9"/>
      <c r="X28428" s="9"/>
    </row>
    <row r="28429">
      <c r="D28429" s="9"/>
      <c r="G28429" s="9"/>
      <c r="J28429" s="11"/>
      <c r="U28429" s="9"/>
      <c r="X28429" s="9"/>
    </row>
    <row r="28430">
      <c r="D28430" s="9"/>
      <c r="G28430" s="9"/>
      <c r="J28430" s="11"/>
      <c r="U28430" s="9"/>
      <c r="X28430" s="9"/>
    </row>
    <row r="28431">
      <c r="D28431" s="9"/>
      <c r="G28431" s="9"/>
      <c r="J28431" s="11"/>
      <c r="U28431" s="9"/>
      <c r="X28431" s="9"/>
    </row>
    <row r="28432">
      <c r="D28432" s="9"/>
      <c r="G28432" s="9"/>
      <c r="J28432" s="11"/>
      <c r="U28432" s="9"/>
      <c r="X28432" s="9"/>
    </row>
    <row r="28433">
      <c r="D28433" s="9"/>
      <c r="G28433" s="9"/>
      <c r="J28433" s="11"/>
      <c r="U28433" s="9"/>
      <c r="X28433" s="9"/>
    </row>
    <row r="28434">
      <c r="D28434" s="9"/>
      <c r="G28434" s="9"/>
      <c r="J28434" s="11"/>
      <c r="U28434" s="9"/>
      <c r="X28434" s="9"/>
    </row>
    <row r="28435">
      <c r="D28435" s="9"/>
      <c r="G28435" s="9"/>
      <c r="J28435" s="11"/>
      <c r="U28435" s="9"/>
      <c r="X28435" s="9"/>
    </row>
    <row r="28436">
      <c r="D28436" s="9"/>
      <c r="G28436" s="9"/>
      <c r="J28436" s="11"/>
      <c r="U28436" s="9"/>
      <c r="X28436" s="9"/>
    </row>
    <row r="28437">
      <c r="D28437" s="9"/>
      <c r="G28437" s="9"/>
      <c r="J28437" s="11"/>
      <c r="U28437" s="9"/>
      <c r="X28437" s="9"/>
    </row>
    <row r="28438">
      <c r="D28438" s="9"/>
      <c r="G28438" s="9"/>
      <c r="J28438" s="11"/>
      <c r="U28438" s="9"/>
      <c r="X28438" s="9"/>
    </row>
    <row r="28439">
      <c r="D28439" s="9"/>
      <c r="G28439" s="9"/>
      <c r="J28439" s="11"/>
      <c r="U28439" s="9"/>
      <c r="X28439" s="9"/>
    </row>
    <row r="28440">
      <c r="D28440" s="9"/>
      <c r="G28440" s="9"/>
      <c r="J28440" s="11"/>
      <c r="U28440" s="9"/>
      <c r="X28440" s="9"/>
    </row>
    <row r="28441">
      <c r="D28441" s="9"/>
      <c r="G28441" s="9"/>
      <c r="J28441" s="11"/>
      <c r="U28441" s="9"/>
      <c r="X28441" s="9"/>
    </row>
    <row r="28442">
      <c r="D28442" s="9"/>
      <c r="G28442" s="9"/>
      <c r="J28442" s="11"/>
      <c r="U28442" s="9"/>
      <c r="X28442" s="9"/>
    </row>
    <row r="28443">
      <c r="D28443" s="9"/>
      <c r="G28443" s="9"/>
      <c r="J28443" s="11"/>
      <c r="U28443" s="9"/>
      <c r="X28443" s="9"/>
    </row>
    <row r="28444">
      <c r="D28444" s="9"/>
      <c r="G28444" s="9"/>
      <c r="J28444" s="11"/>
      <c r="U28444" s="9"/>
      <c r="X28444" s="9"/>
    </row>
    <row r="28445">
      <c r="D28445" s="9"/>
      <c r="G28445" s="9"/>
      <c r="J28445" s="11"/>
      <c r="U28445" s="9"/>
      <c r="X28445" s="9"/>
    </row>
    <row r="28446">
      <c r="D28446" s="9"/>
      <c r="G28446" s="9"/>
      <c r="J28446" s="11"/>
      <c r="U28446" s="9"/>
      <c r="X28446" s="9"/>
    </row>
    <row r="28447">
      <c r="D28447" s="9"/>
      <c r="G28447" s="9"/>
      <c r="J28447" s="11"/>
      <c r="U28447" s="9"/>
      <c r="X28447" s="9"/>
    </row>
    <row r="28448">
      <c r="D28448" s="9"/>
      <c r="G28448" s="9"/>
      <c r="J28448" s="11"/>
      <c r="U28448" s="9"/>
      <c r="X28448" s="9"/>
    </row>
    <row r="28449">
      <c r="D28449" s="9"/>
      <c r="G28449" s="9"/>
      <c r="J28449" s="11"/>
      <c r="U28449" s="9"/>
      <c r="X28449" s="9"/>
    </row>
    <row r="28450">
      <c r="D28450" s="9"/>
      <c r="G28450" s="9"/>
      <c r="J28450" s="11"/>
      <c r="U28450" s="9"/>
      <c r="X28450" s="9"/>
    </row>
    <row r="28451">
      <c r="D28451" s="9"/>
      <c r="G28451" s="9"/>
      <c r="J28451" s="11"/>
      <c r="U28451" s="9"/>
      <c r="X28451" s="9"/>
    </row>
    <row r="28452">
      <c r="D28452" s="9"/>
      <c r="G28452" s="9"/>
      <c r="J28452" s="11"/>
      <c r="U28452" s="9"/>
      <c r="X28452" s="9"/>
    </row>
    <row r="28453">
      <c r="D28453" s="9"/>
      <c r="G28453" s="9"/>
      <c r="J28453" s="11"/>
      <c r="U28453" s="9"/>
      <c r="X28453" s="9"/>
    </row>
    <row r="28454">
      <c r="D28454" s="9"/>
      <c r="G28454" s="9"/>
      <c r="J28454" s="11"/>
      <c r="U28454" s="9"/>
      <c r="X28454" s="9"/>
    </row>
    <row r="28455">
      <c r="D28455" s="9"/>
      <c r="G28455" s="9"/>
      <c r="J28455" s="11"/>
      <c r="U28455" s="9"/>
      <c r="X28455" s="9"/>
    </row>
    <row r="28456">
      <c r="D28456" s="9"/>
      <c r="G28456" s="9"/>
      <c r="J28456" s="11"/>
      <c r="U28456" s="9"/>
      <c r="X28456" s="9"/>
    </row>
    <row r="28457">
      <c r="D28457" s="9"/>
      <c r="G28457" s="9"/>
      <c r="J28457" s="11"/>
      <c r="U28457" s="9"/>
      <c r="X28457" s="9"/>
    </row>
    <row r="28458">
      <c r="D28458" s="9"/>
      <c r="G28458" s="9"/>
      <c r="J28458" s="11"/>
      <c r="U28458" s="9"/>
      <c r="X28458" s="9"/>
    </row>
    <row r="28459">
      <c r="D28459" s="9"/>
      <c r="G28459" s="9"/>
      <c r="J28459" s="11"/>
      <c r="U28459" s="9"/>
      <c r="X28459" s="9"/>
    </row>
    <row r="28460">
      <c r="D28460" s="9"/>
      <c r="G28460" s="9"/>
      <c r="J28460" s="11"/>
      <c r="U28460" s="9"/>
      <c r="X28460" s="9"/>
    </row>
    <row r="28461">
      <c r="D28461" s="9"/>
      <c r="G28461" s="9"/>
      <c r="J28461" s="11"/>
      <c r="U28461" s="9"/>
      <c r="X28461" s="9"/>
    </row>
    <row r="28462">
      <c r="D28462" s="9"/>
      <c r="G28462" s="9"/>
      <c r="J28462" s="11"/>
      <c r="U28462" s="9"/>
      <c r="X28462" s="9"/>
    </row>
    <row r="28463">
      <c r="D28463" s="9"/>
      <c r="G28463" s="9"/>
      <c r="J28463" s="11"/>
      <c r="U28463" s="9"/>
      <c r="X28463" s="9"/>
    </row>
    <row r="28464">
      <c r="D28464" s="9"/>
      <c r="G28464" s="9"/>
      <c r="J28464" s="11"/>
      <c r="U28464" s="9"/>
      <c r="X28464" s="9"/>
    </row>
    <row r="28465">
      <c r="D28465" s="9"/>
      <c r="G28465" s="9"/>
      <c r="J28465" s="11"/>
      <c r="U28465" s="9"/>
      <c r="X28465" s="9"/>
    </row>
    <row r="28466">
      <c r="D28466" s="9"/>
      <c r="G28466" s="9"/>
      <c r="J28466" s="11"/>
      <c r="U28466" s="9"/>
      <c r="X28466" s="9"/>
    </row>
    <row r="28467">
      <c r="D28467" s="9"/>
      <c r="G28467" s="9"/>
      <c r="J28467" s="11"/>
      <c r="U28467" s="9"/>
      <c r="X28467" s="9"/>
    </row>
    <row r="28468">
      <c r="D28468" s="9"/>
      <c r="G28468" s="9"/>
      <c r="J28468" s="11"/>
      <c r="U28468" s="9"/>
      <c r="X28468" s="9"/>
    </row>
    <row r="28469">
      <c r="D28469" s="9"/>
      <c r="G28469" s="9"/>
      <c r="J28469" s="11"/>
      <c r="U28469" s="9"/>
      <c r="X28469" s="9"/>
    </row>
    <row r="28470">
      <c r="D28470" s="9"/>
      <c r="G28470" s="9"/>
      <c r="J28470" s="11"/>
      <c r="U28470" s="9"/>
      <c r="X28470" s="9"/>
    </row>
    <row r="28471">
      <c r="D28471" s="9"/>
      <c r="G28471" s="9"/>
      <c r="J28471" s="11"/>
      <c r="U28471" s="9"/>
      <c r="X28471" s="9"/>
    </row>
    <row r="28472">
      <c r="D28472" s="9"/>
      <c r="G28472" s="9"/>
      <c r="J28472" s="11"/>
      <c r="U28472" s="9"/>
      <c r="X28472" s="9"/>
    </row>
    <row r="28473">
      <c r="D28473" s="9"/>
      <c r="G28473" s="9"/>
      <c r="J28473" s="11"/>
      <c r="U28473" s="9"/>
      <c r="X28473" s="9"/>
    </row>
    <row r="28474">
      <c r="D28474" s="9"/>
      <c r="G28474" s="9"/>
      <c r="J28474" s="11"/>
      <c r="U28474" s="9"/>
      <c r="X28474" s="9"/>
    </row>
    <row r="28475">
      <c r="D28475" s="9"/>
      <c r="G28475" s="9"/>
      <c r="J28475" s="11"/>
      <c r="U28475" s="9"/>
      <c r="X28475" s="9"/>
    </row>
    <row r="28476">
      <c r="D28476" s="9"/>
      <c r="G28476" s="9"/>
      <c r="J28476" s="11"/>
      <c r="U28476" s="9"/>
      <c r="X28476" s="9"/>
    </row>
    <row r="28477">
      <c r="D28477" s="9"/>
      <c r="G28477" s="9"/>
      <c r="J28477" s="11"/>
      <c r="U28477" s="9"/>
      <c r="X28477" s="9"/>
    </row>
    <row r="28478">
      <c r="D28478" s="9"/>
      <c r="G28478" s="9"/>
      <c r="J28478" s="11"/>
      <c r="U28478" s="9"/>
      <c r="X28478" s="9"/>
    </row>
    <row r="28479">
      <c r="D28479" s="9"/>
      <c r="G28479" s="9"/>
      <c r="J28479" s="11"/>
      <c r="U28479" s="9"/>
      <c r="X28479" s="9"/>
    </row>
    <row r="28480">
      <c r="D28480" s="9"/>
      <c r="G28480" s="9"/>
      <c r="J28480" s="11"/>
      <c r="U28480" s="9"/>
      <c r="X28480" s="9"/>
    </row>
    <row r="28481">
      <c r="D28481" s="9"/>
      <c r="G28481" s="9"/>
      <c r="J28481" s="11"/>
      <c r="U28481" s="9"/>
      <c r="X28481" s="9"/>
    </row>
    <row r="28482">
      <c r="D28482" s="9"/>
      <c r="G28482" s="9"/>
      <c r="J28482" s="11"/>
      <c r="U28482" s="9"/>
      <c r="X28482" s="9"/>
    </row>
    <row r="28483">
      <c r="D28483" s="9"/>
      <c r="G28483" s="9"/>
      <c r="J28483" s="11"/>
      <c r="U28483" s="9"/>
      <c r="X28483" s="9"/>
    </row>
    <row r="28484">
      <c r="D28484" s="9"/>
      <c r="G28484" s="9"/>
      <c r="J28484" s="11"/>
      <c r="U28484" s="9"/>
      <c r="X28484" s="9"/>
    </row>
    <row r="28485">
      <c r="D28485" s="9"/>
      <c r="G28485" s="9"/>
      <c r="J28485" s="11"/>
      <c r="U28485" s="9"/>
      <c r="X28485" s="9"/>
    </row>
    <row r="28486">
      <c r="D28486" s="9"/>
      <c r="G28486" s="9"/>
      <c r="J28486" s="11"/>
      <c r="U28486" s="9"/>
      <c r="X28486" s="9"/>
    </row>
    <row r="28487">
      <c r="D28487" s="9"/>
      <c r="G28487" s="9"/>
      <c r="J28487" s="11"/>
      <c r="U28487" s="9"/>
      <c r="X28487" s="9"/>
    </row>
    <row r="28488">
      <c r="D28488" s="9"/>
      <c r="G28488" s="9"/>
      <c r="J28488" s="11"/>
      <c r="U28488" s="9"/>
      <c r="X28488" s="9"/>
    </row>
    <row r="28489">
      <c r="D28489" s="9"/>
      <c r="G28489" s="9"/>
      <c r="J28489" s="11"/>
      <c r="U28489" s="9"/>
      <c r="X28489" s="9"/>
    </row>
    <row r="28490">
      <c r="D28490" s="9"/>
      <c r="G28490" s="9"/>
      <c r="J28490" s="11"/>
      <c r="U28490" s="9"/>
      <c r="X28490" s="9"/>
    </row>
    <row r="28491">
      <c r="D28491" s="9"/>
      <c r="G28491" s="9"/>
      <c r="J28491" s="11"/>
      <c r="U28491" s="9"/>
      <c r="X28491" s="9"/>
    </row>
    <row r="28492">
      <c r="D28492" s="9"/>
      <c r="G28492" s="9"/>
      <c r="J28492" s="11"/>
      <c r="U28492" s="9"/>
      <c r="X28492" s="9"/>
    </row>
    <row r="28493">
      <c r="D28493" s="9"/>
      <c r="G28493" s="9"/>
      <c r="J28493" s="11"/>
      <c r="U28493" s="9"/>
      <c r="X28493" s="9"/>
    </row>
    <row r="28494">
      <c r="D28494" s="9"/>
      <c r="G28494" s="9"/>
      <c r="J28494" s="11"/>
      <c r="U28494" s="9"/>
      <c r="X28494" s="9"/>
    </row>
    <row r="28495">
      <c r="D28495" s="9"/>
      <c r="G28495" s="9"/>
      <c r="J28495" s="11"/>
      <c r="U28495" s="9"/>
      <c r="X28495" s="9"/>
    </row>
    <row r="28496">
      <c r="D28496" s="9"/>
      <c r="G28496" s="9"/>
      <c r="J28496" s="11"/>
      <c r="U28496" s="9"/>
      <c r="X28496" s="9"/>
    </row>
    <row r="28497">
      <c r="D28497" s="9"/>
      <c r="G28497" s="9"/>
      <c r="J28497" s="11"/>
      <c r="U28497" s="9"/>
      <c r="X28497" s="9"/>
    </row>
    <row r="28498">
      <c r="D28498" s="9"/>
      <c r="G28498" s="9"/>
      <c r="J28498" s="11"/>
      <c r="U28498" s="9"/>
      <c r="X28498" s="9"/>
    </row>
    <row r="28499">
      <c r="D28499" s="9"/>
      <c r="G28499" s="9"/>
      <c r="J28499" s="11"/>
      <c r="U28499" s="9"/>
      <c r="X28499" s="9"/>
    </row>
    <row r="28500">
      <c r="D28500" s="9"/>
      <c r="G28500" s="9"/>
      <c r="J28500" s="11"/>
      <c r="U28500" s="9"/>
      <c r="X28500" s="9"/>
    </row>
    <row r="28501">
      <c r="D28501" s="9"/>
      <c r="G28501" s="9"/>
      <c r="J28501" s="11"/>
      <c r="U28501" s="9"/>
      <c r="X28501" s="9"/>
    </row>
    <row r="28502">
      <c r="D28502" s="9"/>
      <c r="G28502" s="9"/>
      <c r="J28502" s="11"/>
      <c r="U28502" s="9"/>
      <c r="X28502" s="9"/>
    </row>
    <row r="28503">
      <c r="D28503" s="9"/>
      <c r="G28503" s="9"/>
      <c r="J28503" s="11"/>
      <c r="U28503" s="9"/>
      <c r="X28503" s="9"/>
    </row>
    <row r="28504">
      <c r="D28504" s="9"/>
      <c r="G28504" s="9"/>
      <c r="J28504" s="11"/>
      <c r="U28504" s="9"/>
      <c r="X28504" s="9"/>
    </row>
    <row r="28505">
      <c r="D28505" s="9"/>
      <c r="G28505" s="9"/>
      <c r="J28505" s="11"/>
      <c r="U28505" s="9"/>
      <c r="X28505" s="9"/>
    </row>
    <row r="28506">
      <c r="D28506" s="9"/>
      <c r="G28506" s="9"/>
      <c r="J28506" s="11"/>
      <c r="U28506" s="9"/>
      <c r="X28506" s="9"/>
    </row>
    <row r="28507">
      <c r="D28507" s="9"/>
      <c r="G28507" s="9"/>
      <c r="J28507" s="11"/>
      <c r="U28507" s="9"/>
      <c r="X28507" s="9"/>
    </row>
    <row r="28508">
      <c r="D28508" s="9"/>
      <c r="G28508" s="9"/>
      <c r="J28508" s="11"/>
      <c r="U28508" s="9"/>
      <c r="X28508" s="9"/>
    </row>
    <row r="28509">
      <c r="D28509" s="9"/>
      <c r="G28509" s="9"/>
      <c r="J28509" s="11"/>
      <c r="U28509" s="9"/>
      <c r="X28509" s="9"/>
    </row>
    <row r="28510">
      <c r="D28510" s="9"/>
      <c r="G28510" s="9"/>
      <c r="J28510" s="11"/>
      <c r="U28510" s="9"/>
      <c r="X28510" s="9"/>
    </row>
    <row r="28511">
      <c r="D28511" s="9"/>
      <c r="G28511" s="9"/>
      <c r="J28511" s="11"/>
      <c r="U28511" s="9"/>
      <c r="X28511" s="9"/>
    </row>
    <row r="28512">
      <c r="D28512" s="9"/>
      <c r="G28512" s="9"/>
      <c r="J28512" s="11"/>
      <c r="U28512" s="9"/>
      <c r="X28512" s="9"/>
    </row>
    <row r="28513">
      <c r="D28513" s="9"/>
      <c r="G28513" s="9"/>
      <c r="J28513" s="11"/>
      <c r="U28513" s="9"/>
      <c r="X28513" s="9"/>
    </row>
    <row r="28514">
      <c r="D28514" s="9"/>
      <c r="G28514" s="9"/>
      <c r="J28514" s="11"/>
      <c r="U28514" s="9"/>
      <c r="X28514" s="9"/>
    </row>
    <row r="28515">
      <c r="D28515" s="9"/>
      <c r="G28515" s="9"/>
      <c r="J28515" s="11"/>
      <c r="U28515" s="9"/>
      <c r="X28515" s="9"/>
    </row>
    <row r="28516">
      <c r="D28516" s="9"/>
      <c r="G28516" s="9"/>
      <c r="J28516" s="11"/>
      <c r="U28516" s="9"/>
      <c r="X28516" s="9"/>
    </row>
    <row r="28517">
      <c r="D28517" s="9"/>
      <c r="G28517" s="9"/>
      <c r="J28517" s="11"/>
      <c r="U28517" s="9"/>
      <c r="X28517" s="9"/>
    </row>
    <row r="28518">
      <c r="D28518" s="9"/>
      <c r="G28518" s="9"/>
      <c r="J28518" s="11"/>
      <c r="U28518" s="9"/>
      <c r="X28518" s="9"/>
    </row>
    <row r="28519">
      <c r="D28519" s="9"/>
      <c r="G28519" s="9"/>
      <c r="J28519" s="11"/>
      <c r="U28519" s="9"/>
      <c r="X28519" s="9"/>
    </row>
    <row r="28520">
      <c r="D28520" s="9"/>
      <c r="G28520" s="9"/>
      <c r="J28520" s="11"/>
      <c r="U28520" s="9"/>
      <c r="X28520" s="9"/>
    </row>
    <row r="28521">
      <c r="D28521" s="9"/>
      <c r="G28521" s="9"/>
      <c r="J28521" s="11"/>
      <c r="U28521" s="9"/>
      <c r="X28521" s="9"/>
    </row>
    <row r="28522">
      <c r="D28522" s="9"/>
      <c r="G28522" s="9"/>
      <c r="J28522" s="11"/>
      <c r="U28522" s="9"/>
      <c r="X28522" s="9"/>
    </row>
    <row r="28523">
      <c r="D28523" s="9"/>
      <c r="G28523" s="9"/>
      <c r="J28523" s="11"/>
      <c r="U28523" s="9"/>
      <c r="X28523" s="9"/>
    </row>
    <row r="28524">
      <c r="D28524" s="9"/>
      <c r="G28524" s="9"/>
      <c r="J28524" s="11"/>
      <c r="U28524" s="9"/>
      <c r="X28524" s="9"/>
    </row>
    <row r="28525">
      <c r="D28525" s="9"/>
      <c r="G28525" s="9"/>
      <c r="J28525" s="11"/>
      <c r="U28525" s="9"/>
      <c r="X28525" s="9"/>
    </row>
    <row r="28526">
      <c r="D28526" s="9"/>
      <c r="G28526" s="9"/>
      <c r="J28526" s="11"/>
      <c r="U28526" s="9"/>
      <c r="X28526" s="9"/>
    </row>
    <row r="28527">
      <c r="D28527" s="9"/>
      <c r="G28527" s="9"/>
      <c r="J28527" s="11"/>
      <c r="U28527" s="9"/>
      <c r="X28527" s="9"/>
    </row>
    <row r="28528">
      <c r="D28528" s="9"/>
      <c r="G28528" s="9"/>
      <c r="J28528" s="11"/>
      <c r="U28528" s="9"/>
      <c r="X28528" s="9"/>
    </row>
    <row r="28529">
      <c r="D28529" s="9"/>
      <c r="G28529" s="9"/>
      <c r="J28529" s="11"/>
      <c r="U28529" s="9"/>
      <c r="X28529" s="9"/>
    </row>
    <row r="28530">
      <c r="D28530" s="9"/>
      <c r="G28530" s="9"/>
      <c r="J28530" s="11"/>
      <c r="U28530" s="9"/>
      <c r="X28530" s="9"/>
    </row>
    <row r="28531">
      <c r="D28531" s="9"/>
      <c r="G28531" s="9"/>
      <c r="J28531" s="11"/>
      <c r="U28531" s="9"/>
      <c r="X28531" s="9"/>
    </row>
    <row r="28532">
      <c r="D28532" s="9"/>
      <c r="G28532" s="9"/>
      <c r="J28532" s="11"/>
      <c r="U28532" s="9"/>
      <c r="X28532" s="9"/>
    </row>
    <row r="28533">
      <c r="D28533" s="9"/>
      <c r="G28533" s="9"/>
      <c r="J28533" s="11"/>
      <c r="U28533" s="9"/>
      <c r="X28533" s="9"/>
    </row>
    <row r="28534">
      <c r="D28534" s="9"/>
      <c r="G28534" s="9"/>
      <c r="J28534" s="11"/>
      <c r="U28534" s="9"/>
      <c r="X28534" s="9"/>
    </row>
    <row r="28535">
      <c r="D28535" s="9"/>
      <c r="G28535" s="9"/>
      <c r="J28535" s="11"/>
      <c r="U28535" s="9"/>
      <c r="X28535" s="9"/>
    </row>
    <row r="28536">
      <c r="D28536" s="9"/>
      <c r="G28536" s="9"/>
      <c r="J28536" s="11"/>
      <c r="U28536" s="9"/>
      <c r="X28536" s="9"/>
    </row>
    <row r="28537">
      <c r="D28537" s="9"/>
      <c r="G28537" s="9"/>
      <c r="J28537" s="11"/>
      <c r="U28537" s="9"/>
      <c r="X28537" s="9"/>
    </row>
    <row r="28538">
      <c r="D28538" s="9"/>
      <c r="G28538" s="9"/>
      <c r="J28538" s="11"/>
      <c r="U28538" s="9"/>
      <c r="X28538" s="9"/>
    </row>
    <row r="28539">
      <c r="D28539" s="9"/>
      <c r="G28539" s="9"/>
      <c r="J28539" s="11"/>
      <c r="U28539" s="9"/>
      <c r="X28539" s="9"/>
    </row>
    <row r="28540">
      <c r="D28540" s="9"/>
      <c r="G28540" s="9"/>
      <c r="J28540" s="11"/>
      <c r="U28540" s="9"/>
      <c r="X28540" s="9"/>
    </row>
    <row r="28541">
      <c r="D28541" s="9"/>
      <c r="G28541" s="9"/>
      <c r="J28541" s="11"/>
      <c r="U28541" s="9"/>
      <c r="X28541" s="9"/>
    </row>
    <row r="28542">
      <c r="D28542" s="9"/>
      <c r="G28542" s="9"/>
      <c r="J28542" s="11"/>
      <c r="U28542" s="9"/>
      <c r="X28542" s="9"/>
    </row>
    <row r="28543">
      <c r="D28543" s="9"/>
      <c r="G28543" s="9"/>
      <c r="J28543" s="11"/>
      <c r="U28543" s="9"/>
      <c r="X28543" s="9"/>
    </row>
    <row r="28544">
      <c r="D28544" s="9"/>
      <c r="G28544" s="9"/>
      <c r="J28544" s="11"/>
      <c r="U28544" s="9"/>
      <c r="X28544" s="9"/>
    </row>
    <row r="28545">
      <c r="D28545" s="9"/>
      <c r="G28545" s="9"/>
      <c r="J28545" s="11"/>
      <c r="U28545" s="9"/>
      <c r="X28545" s="9"/>
    </row>
    <row r="28546">
      <c r="D28546" s="9"/>
      <c r="G28546" s="9"/>
      <c r="J28546" s="11"/>
      <c r="U28546" s="9"/>
      <c r="X28546" s="9"/>
    </row>
    <row r="28547">
      <c r="D28547" s="9"/>
      <c r="G28547" s="9"/>
      <c r="J28547" s="11"/>
      <c r="U28547" s="9"/>
      <c r="X28547" s="9"/>
    </row>
    <row r="28548">
      <c r="D28548" s="9"/>
      <c r="G28548" s="9"/>
      <c r="J28548" s="11"/>
      <c r="U28548" s="9"/>
      <c r="X28548" s="9"/>
    </row>
    <row r="28549">
      <c r="D28549" s="9"/>
      <c r="G28549" s="9"/>
      <c r="J28549" s="11"/>
      <c r="U28549" s="9"/>
      <c r="X28549" s="9"/>
    </row>
    <row r="28550">
      <c r="D28550" s="9"/>
      <c r="G28550" s="9"/>
      <c r="J28550" s="11"/>
      <c r="U28550" s="9"/>
      <c r="X28550" s="9"/>
    </row>
    <row r="28551">
      <c r="D28551" s="9"/>
      <c r="G28551" s="9"/>
      <c r="J28551" s="11"/>
      <c r="U28551" s="9"/>
      <c r="X28551" s="9"/>
    </row>
    <row r="28552">
      <c r="D28552" s="9"/>
      <c r="G28552" s="9"/>
      <c r="J28552" s="11"/>
      <c r="U28552" s="9"/>
      <c r="X28552" s="9"/>
    </row>
    <row r="28553">
      <c r="D28553" s="9"/>
      <c r="G28553" s="9"/>
      <c r="J28553" s="11"/>
      <c r="U28553" s="9"/>
      <c r="X28553" s="9"/>
    </row>
    <row r="28554">
      <c r="D28554" s="9"/>
      <c r="G28554" s="9"/>
      <c r="J28554" s="11"/>
      <c r="U28554" s="9"/>
      <c r="X28554" s="9"/>
    </row>
    <row r="28555">
      <c r="D28555" s="9"/>
      <c r="G28555" s="9"/>
      <c r="J28555" s="11"/>
      <c r="U28555" s="9"/>
      <c r="X28555" s="9"/>
    </row>
    <row r="28556">
      <c r="D28556" s="9"/>
      <c r="G28556" s="9"/>
      <c r="J28556" s="11"/>
      <c r="U28556" s="9"/>
      <c r="X28556" s="9"/>
    </row>
    <row r="28557">
      <c r="D28557" s="9"/>
      <c r="G28557" s="9"/>
      <c r="J28557" s="11"/>
      <c r="U28557" s="9"/>
      <c r="X28557" s="9"/>
    </row>
    <row r="28558">
      <c r="D28558" s="9"/>
      <c r="G28558" s="9"/>
      <c r="J28558" s="11"/>
      <c r="U28558" s="9"/>
      <c r="X28558" s="9"/>
    </row>
    <row r="28559">
      <c r="D28559" s="9"/>
      <c r="G28559" s="9"/>
      <c r="J28559" s="11"/>
      <c r="U28559" s="9"/>
      <c r="X28559" s="9"/>
    </row>
    <row r="28560">
      <c r="D28560" s="9"/>
      <c r="G28560" s="9"/>
      <c r="J28560" s="11"/>
      <c r="U28560" s="9"/>
      <c r="X28560" s="9"/>
    </row>
    <row r="28561">
      <c r="D28561" s="9"/>
      <c r="G28561" s="9"/>
      <c r="J28561" s="11"/>
      <c r="U28561" s="9"/>
      <c r="X28561" s="9"/>
    </row>
    <row r="28562">
      <c r="D28562" s="9"/>
      <c r="G28562" s="9"/>
      <c r="J28562" s="11"/>
      <c r="U28562" s="9"/>
      <c r="X28562" s="9"/>
    </row>
    <row r="28563">
      <c r="D28563" s="9"/>
      <c r="G28563" s="9"/>
      <c r="J28563" s="11"/>
      <c r="U28563" s="9"/>
      <c r="X28563" s="9"/>
    </row>
    <row r="28564">
      <c r="D28564" s="9"/>
      <c r="G28564" s="9"/>
      <c r="J28564" s="11"/>
      <c r="U28564" s="9"/>
      <c r="X28564" s="9"/>
    </row>
    <row r="28565">
      <c r="D28565" s="9"/>
      <c r="G28565" s="9"/>
      <c r="J28565" s="11"/>
      <c r="U28565" s="9"/>
      <c r="X28565" s="9"/>
    </row>
    <row r="28566">
      <c r="D28566" s="9"/>
      <c r="G28566" s="9"/>
      <c r="J28566" s="11"/>
      <c r="U28566" s="9"/>
      <c r="X28566" s="9"/>
    </row>
    <row r="28567">
      <c r="D28567" s="9"/>
      <c r="G28567" s="9"/>
      <c r="J28567" s="11"/>
      <c r="U28567" s="9"/>
      <c r="X28567" s="9"/>
    </row>
    <row r="28568">
      <c r="D28568" s="9"/>
      <c r="G28568" s="9"/>
      <c r="J28568" s="11"/>
      <c r="U28568" s="9"/>
      <c r="X28568" s="9"/>
    </row>
    <row r="28569">
      <c r="D28569" s="9"/>
      <c r="G28569" s="9"/>
      <c r="J28569" s="11"/>
      <c r="U28569" s="9"/>
      <c r="X28569" s="9"/>
    </row>
    <row r="28570">
      <c r="D28570" s="9"/>
      <c r="G28570" s="9"/>
      <c r="J28570" s="11"/>
      <c r="U28570" s="9"/>
      <c r="X28570" s="9"/>
    </row>
    <row r="28571">
      <c r="D28571" s="9"/>
      <c r="G28571" s="9"/>
      <c r="J28571" s="11"/>
      <c r="U28571" s="9"/>
      <c r="X28571" s="9"/>
    </row>
    <row r="28572">
      <c r="D28572" s="9"/>
      <c r="G28572" s="9"/>
      <c r="J28572" s="11"/>
      <c r="U28572" s="9"/>
      <c r="X28572" s="9"/>
    </row>
    <row r="28573">
      <c r="D28573" s="9"/>
      <c r="G28573" s="9"/>
      <c r="J28573" s="11"/>
      <c r="U28573" s="9"/>
      <c r="X28573" s="9"/>
    </row>
    <row r="28574">
      <c r="D28574" s="9"/>
      <c r="G28574" s="9"/>
      <c r="J28574" s="11"/>
      <c r="U28574" s="9"/>
      <c r="X28574" s="9"/>
    </row>
    <row r="28575">
      <c r="D28575" s="9"/>
      <c r="G28575" s="9"/>
      <c r="J28575" s="11"/>
      <c r="U28575" s="9"/>
      <c r="X28575" s="9"/>
    </row>
    <row r="28576">
      <c r="D28576" s="9"/>
      <c r="G28576" s="9"/>
      <c r="J28576" s="11"/>
      <c r="U28576" s="9"/>
      <c r="X28576" s="9"/>
    </row>
    <row r="28577">
      <c r="D28577" s="9"/>
      <c r="G28577" s="9"/>
      <c r="J28577" s="11"/>
      <c r="U28577" s="9"/>
      <c r="X28577" s="9"/>
    </row>
    <row r="28578">
      <c r="D28578" s="9"/>
      <c r="G28578" s="9"/>
      <c r="J28578" s="11"/>
      <c r="U28578" s="9"/>
      <c r="X28578" s="9"/>
    </row>
    <row r="28579">
      <c r="D28579" s="9"/>
      <c r="G28579" s="9"/>
      <c r="J28579" s="11"/>
      <c r="U28579" s="9"/>
      <c r="X28579" s="9"/>
    </row>
    <row r="28580">
      <c r="D28580" s="9"/>
      <c r="G28580" s="9"/>
      <c r="J28580" s="11"/>
      <c r="U28580" s="9"/>
      <c r="X28580" s="9"/>
    </row>
    <row r="28581">
      <c r="D28581" s="9"/>
      <c r="G28581" s="9"/>
      <c r="J28581" s="11"/>
      <c r="U28581" s="9"/>
      <c r="X28581" s="9"/>
    </row>
    <row r="28582">
      <c r="D28582" s="9"/>
      <c r="G28582" s="9"/>
      <c r="J28582" s="11"/>
      <c r="U28582" s="9"/>
      <c r="X28582" s="9"/>
    </row>
    <row r="28583">
      <c r="D28583" s="9"/>
      <c r="G28583" s="9"/>
      <c r="J28583" s="11"/>
      <c r="U28583" s="9"/>
      <c r="X28583" s="9"/>
    </row>
    <row r="28584">
      <c r="D28584" s="9"/>
      <c r="G28584" s="9"/>
      <c r="J28584" s="11"/>
      <c r="U28584" s="9"/>
      <c r="X28584" s="9"/>
    </row>
    <row r="28585">
      <c r="D28585" s="9"/>
      <c r="G28585" s="9"/>
      <c r="J28585" s="11"/>
      <c r="U28585" s="9"/>
      <c r="X28585" s="9"/>
    </row>
    <row r="28586">
      <c r="D28586" s="9"/>
      <c r="G28586" s="9"/>
      <c r="J28586" s="11"/>
      <c r="U28586" s="9"/>
      <c r="X28586" s="9"/>
    </row>
    <row r="28587">
      <c r="D28587" s="9"/>
      <c r="G28587" s="9"/>
      <c r="J28587" s="11"/>
      <c r="U28587" s="9"/>
      <c r="X28587" s="9"/>
    </row>
    <row r="28588">
      <c r="D28588" s="9"/>
      <c r="G28588" s="9"/>
      <c r="J28588" s="11"/>
      <c r="U28588" s="9"/>
      <c r="X28588" s="9"/>
    </row>
    <row r="28589">
      <c r="D28589" s="9"/>
      <c r="G28589" s="9"/>
      <c r="J28589" s="11"/>
      <c r="U28589" s="9"/>
      <c r="X28589" s="9"/>
    </row>
    <row r="28590">
      <c r="D28590" s="9"/>
      <c r="G28590" s="9"/>
      <c r="J28590" s="11"/>
      <c r="U28590" s="9"/>
      <c r="X28590" s="9"/>
    </row>
    <row r="28591">
      <c r="D28591" s="9"/>
      <c r="G28591" s="9"/>
      <c r="J28591" s="11"/>
      <c r="U28591" s="9"/>
      <c r="X28591" s="9"/>
    </row>
    <row r="28592">
      <c r="D28592" s="9"/>
      <c r="G28592" s="9"/>
      <c r="J28592" s="11"/>
      <c r="U28592" s="9"/>
      <c r="X28592" s="9"/>
    </row>
    <row r="28593">
      <c r="D28593" s="9"/>
      <c r="G28593" s="9"/>
      <c r="J28593" s="11"/>
      <c r="U28593" s="9"/>
      <c r="X28593" s="9"/>
    </row>
    <row r="28594">
      <c r="D28594" s="9"/>
      <c r="G28594" s="9"/>
      <c r="J28594" s="11"/>
      <c r="U28594" s="9"/>
      <c r="X28594" s="9"/>
    </row>
    <row r="28595">
      <c r="D28595" s="9"/>
      <c r="G28595" s="9"/>
      <c r="J28595" s="11"/>
      <c r="U28595" s="9"/>
      <c r="X28595" s="9"/>
    </row>
    <row r="28596">
      <c r="D28596" s="9"/>
      <c r="G28596" s="9"/>
      <c r="J28596" s="11"/>
      <c r="U28596" s="9"/>
      <c r="X28596" s="9"/>
    </row>
    <row r="28597">
      <c r="D28597" s="9"/>
      <c r="G28597" s="9"/>
      <c r="J28597" s="11"/>
      <c r="U28597" s="9"/>
      <c r="X28597" s="9"/>
    </row>
    <row r="28598">
      <c r="D28598" s="9"/>
      <c r="G28598" s="9"/>
      <c r="J28598" s="11"/>
      <c r="U28598" s="9"/>
      <c r="X28598" s="9"/>
    </row>
    <row r="28599">
      <c r="D28599" s="9"/>
      <c r="G28599" s="9"/>
      <c r="J28599" s="11"/>
      <c r="U28599" s="9"/>
      <c r="X28599" s="9"/>
    </row>
    <row r="28600">
      <c r="D28600" s="9"/>
      <c r="G28600" s="9"/>
      <c r="J28600" s="11"/>
      <c r="U28600" s="9"/>
      <c r="X28600" s="9"/>
    </row>
    <row r="28601">
      <c r="D28601" s="9"/>
      <c r="G28601" s="9"/>
      <c r="J28601" s="11"/>
      <c r="U28601" s="9"/>
      <c r="X28601" s="9"/>
    </row>
    <row r="28602">
      <c r="D28602" s="9"/>
      <c r="G28602" s="9"/>
      <c r="J28602" s="11"/>
      <c r="U28602" s="9"/>
      <c r="X28602" s="9"/>
    </row>
    <row r="28603">
      <c r="D28603" s="9"/>
      <c r="G28603" s="9"/>
      <c r="J28603" s="11"/>
      <c r="U28603" s="9"/>
      <c r="X28603" s="9"/>
    </row>
    <row r="28604">
      <c r="D28604" s="9"/>
      <c r="G28604" s="9"/>
      <c r="J28604" s="11"/>
      <c r="U28604" s="9"/>
      <c r="X28604" s="9"/>
    </row>
    <row r="28605">
      <c r="D28605" s="9"/>
      <c r="G28605" s="9"/>
      <c r="J28605" s="11"/>
      <c r="U28605" s="9"/>
      <c r="X28605" s="9"/>
    </row>
    <row r="28606">
      <c r="D28606" s="9"/>
      <c r="G28606" s="9"/>
      <c r="J28606" s="11"/>
      <c r="U28606" s="9"/>
      <c r="X28606" s="9"/>
    </row>
    <row r="28607">
      <c r="D28607" s="9"/>
      <c r="G28607" s="9"/>
      <c r="J28607" s="11"/>
      <c r="U28607" s="9"/>
      <c r="X28607" s="9"/>
    </row>
    <row r="28608">
      <c r="D28608" s="9"/>
      <c r="G28608" s="9"/>
      <c r="J28608" s="11"/>
      <c r="U28608" s="9"/>
      <c r="X28608" s="9"/>
    </row>
    <row r="28609">
      <c r="D28609" s="9"/>
      <c r="G28609" s="9"/>
      <c r="J28609" s="11"/>
      <c r="U28609" s="9"/>
      <c r="X28609" s="9"/>
    </row>
    <row r="28610">
      <c r="D28610" s="9"/>
      <c r="G28610" s="9"/>
      <c r="J28610" s="11"/>
      <c r="U28610" s="9"/>
      <c r="X28610" s="9"/>
    </row>
    <row r="28611">
      <c r="D28611" s="9"/>
      <c r="G28611" s="9"/>
      <c r="J28611" s="11"/>
      <c r="U28611" s="9"/>
      <c r="X28611" s="9"/>
    </row>
    <row r="28612">
      <c r="D28612" s="9"/>
      <c r="G28612" s="9"/>
      <c r="J28612" s="11"/>
      <c r="U28612" s="9"/>
      <c r="X28612" s="9"/>
    </row>
    <row r="28613">
      <c r="D28613" s="9"/>
      <c r="G28613" s="9"/>
      <c r="J28613" s="11"/>
      <c r="U28613" s="9"/>
      <c r="X28613" s="9"/>
    </row>
    <row r="28614">
      <c r="D28614" s="9"/>
      <c r="G28614" s="9"/>
      <c r="J28614" s="11"/>
      <c r="U28614" s="9"/>
      <c r="X28614" s="9"/>
    </row>
    <row r="28615">
      <c r="D28615" s="9"/>
      <c r="G28615" s="9"/>
      <c r="J28615" s="11"/>
      <c r="U28615" s="9"/>
      <c r="X28615" s="9"/>
    </row>
    <row r="28616">
      <c r="D28616" s="9"/>
      <c r="G28616" s="9"/>
      <c r="J28616" s="11"/>
      <c r="U28616" s="9"/>
      <c r="X28616" s="9"/>
    </row>
    <row r="28617">
      <c r="D28617" s="9"/>
      <c r="G28617" s="9"/>
      <c r="J28617" s="11"/>
      <c r="U28617" s="9"/>
      <c r="X28617" s="9"/>
    </row>
    <row r="28618">
      <c r="D28618" s="9"/>
      <c r="G28618" s="9"/>
      <c r="J28618" s="11"/>
      <c r="U28618" s="9"/>
      <c r="X28618" s="9"/>
    </row>
    <row r="28619">
      <c r="D28619" s="9"/>
      <c r="G28619" s="9"/>
      <c r="J28619" s="11"/>
      <c r="U28619" s="9"/>
      <c r="X28619" s="9"/>
    </row>
    <row r="28620">
      <c r="D28620" s="9"/>
      <c r="G28620" s="9"/>
      <c r="J28620" s="11"/>
      <c r="U28620" s="9"/>
      <c r="X28620" s="9"/>
    </row>
    <row r="28621">
      <c r="D28621" s="9"/>
      <c r="G28621" s="9"/>
      <c r="J28621" s="11"/>
      <c r="U28621" s="9"/>
      <c r="X28621" s="9"/>
    </row>
    <row r="28622">
      <c r="D28622" s="9"/>
      <c r="G28622" s="9"/>
      <c r="J28622" s="11"/>
      <c r="U28622" s="9"/>
      <c r="X28622" s="9"/>
    </row>
    <row r="28623">
      <c r="D28623" s="9"/>
      <c r="G28623" s="9"/>
      <c r="J28623" s="11"/>
      <c r="U28623" s="9"/>
      <c r="X28623" s="9"/>
    </row>
    <row r="28624">
      <c r="D28624" s="9"/>
      <c r="G28624" s="9"/>
      <c r="J28624" s="11"/>
      <c r="U28624" s="9"/>
      <c r="X28624" s="9"/>
    </row>
    <row r="28625">
      <c r="D28625" s="9"/>
      <c r="G28625" s="9"/>
      <c r="J28625" s="11"/>
      <c r="U28625" s="9"/>
      <c r="X28625" s="9"/>
    </row>
    <row r="28626">
      <c r="D28626" s="9"/>
      <c r="G28626" s="9"/>
      <c r="J28626" s="11"/>
      <c r="U28626" s="9"/>
      <c r="X28626" s="9"/>
    </row>
    <row r="28627">
      <c r="D28627" s="9"/>
      <c r="G28627" s="9"/>
      <c r="J28627" s="11"/>
      <c r="U28627" s="9"/>
      <c r="X28627" s="9"/>
    </row>
    <row r="28628">
      <c r="D28628" s="9"/>
      <c r="G28628" s="9"/>
      <c r="J28628" s="11"/>
      <c r="U28628" s="9"/>
      <c r="X28628" s="9"/>
    </row>
    <row r="28629">
      <c r="D28629" s="9"/>
      <c r="G28629" s="9"/>
      <c r="J28629" s="11"/>
      <c r="U28629" s="9"/>
      <c r="X28629" s="9"/>
    </row>
    <row r="28630">
      <c r="D28630" s="9"/>
      <c r="G28630" s="9"/>
      <c r="J28630" s="11"/>
      <c r="U28630" s="9"/>
      <c r="X28630" s="9"/>
    </row>
    <row r="28631">
      <c r="D28631" s="9"/>
      <c r="G28631" s="9"/>
      <c r="J28631" s="11"/>
      <c r="U28631" s="9"/>
      <c r="X28631" s="9"/>
    </row>
    <row r="28632">
      <c r="D28632" s="9"/>
      <c r="G28632" s="9"/>
      <c r="J28632" s="11"/>
      <c r="U28632" s="9"/>
      <c r="X28632" s="9"/>
    </row>
    <row r="28633">
      <c r="D28633" s="9"/>
      <c r="G28633" s="9"/>
      <c r="J28633" s="11"/>
      <c r="U28633" s="9"/>
      <c r="X28633" s="9"/>
    </row>
    <row r="28634">
      <c r="D28634" s="9"/>
      <c r="G28634" s="9"/>
      <c r="J28634" s="11"/>
      <c r="U28634" s="9"/>
      <c r="X28634" s="9"/>
    </row>
    <row r="28635">
      <c r="D28635" s="9"/>
      <c r="G28635" s="9"/>
      <c r="J28635" s="11"/>
      <c r="U28635" s="9"/>
      <c r="X28635" s="9"/>
    </row>
    <row r="28636">
      <c r="D28636" s="9"/>
      <c r="G28636" s="9"/>
      <c r="J28636" s="11"/>
      <c r="U28636" s="9"/>
      <c r="X28636" s="9"/>
    </row>
    <row r="28637">
      <c r="D28637" s="9"/>
      <c r="G28637" s="9"/>
      <c r="J28637" s="11"/>
      <c r="U28637" s="9"/>
      <c r="X28637" s="9"/>
    </row>
    <row r="28638">
      <c r="D28638" s="9"/>
      <c r="G28638" s="9"/>
      <c r="J28638" s="11"/>
      <c r="U28638" s="9"/>
      <c r="X28638" s="9"/>
    </row>
    <row r="28639">
      <c r="D28639" s="9"/>
      <c r="G28639" s="9"/>
      <c r="J28639" s="11"/>
      <c r="U28639" s="9"/>
      <c r="X28639" s="9"/>
    </row>
    <row r="28640">
      <c r="D28640" s="9"/>
      <c r="G28640" s="9"/>
      <c r="J28640" s="11"/>
      <c r="U28640" s="9"/>
      <c r="X28640" s="9"/>
    </row>
    <row r="28641">
      <c r="D28641" s="9"/>
      <c r="G28641" s="9"/>
      <c r="J28641" s="11"/>
      <c r="U28641" s="9"/>
      <c r="X28641" s="9"/>
    </row>
    <row r="28642">
      <c r="D28642" s="9"/>
      <c r="G28642" s="9"/>
      <c r="J28642" s="11"/>
      <c r="U28642" s="9"/>
      <c r="X28642" s="9"/>
    </row>
    <row r="28643">
      <c r="D28643" s="9"/>
      <c r="G28643" s="9"/>
      <c r="J28643" s="11"/>
      <c r="U28643" s="9"/>
      <c r="X28643" s="9"/>
    </row>
    <row r="28644">
      <c r="D28644" s="9"/>
      <c r="G28644" s="9"/>
      <c r="J28644" s="11"/>
      <c r="U28644" s="9"/>
      <c r="X28644" s="9"/>
    </row>
    <row r="28645">
      <c r="D28645" s="9"/>
      <c r="G28645" s="9"/>
      <c r="J28645" s="11"/>
      <c r="U28645" s="9"/>
      <c r="X28645" s="9"/>
    </row>
    <row r="28646">
      <c r="D28646" s="9"/>
      <c r="G28646" s="9"/>
      <c r="J28646" s="11"/>
      <c r="U28646" s="9"/>
      <c r="X28646" s="9"/>
    </row>
    <row r="28647">
      <c r="D28647" s="9"/>
      <c r="G28647" s="9"/>
      <c r="J28647" s="11"/>
      <c r="U28647" s="9"/>
      <c r="X28647" s="9"/>
    </row>
    <row r="28648">
      <c r="D28648" s="9"/>
      <c r="G28648" s="9"/>
      <c r="J28648" s="11"/>
      <c r="U28648" s="9"/>
      <c r="X28648" s="9"/>
    </row>
    <row r="28649">
      <c r="D28649" s="9"/>
      <c r="G28649" s="9"/>
      <c r="J28649" s="11"/>
      <c r="U28649" s="9"/>
      <c r="X28649" s="9"/>
    </row>
    <row r="28650">
      <c r="D28650" s="9"/>
      <c r="G28650" s="9"/>
      <c r="J28650" s="11"/>
      <c r="U28650" s="9"/>
      <c r="X28650" s="9"/>
    </row>
    <row r="28651">
      <c r="D28651" s="9"/>
      <c r="G28651" s="9"/>
      <c r="J28651" s="11"/>
      <c r="U28651" s="9"/>
      <c r="X28651" s="9"/>
    </row>
    <row r="28652">
      <c r="D28652" s="9"/>
      <c r="G28652" s="9"/>
      <c r="J28652" s="11"/>
      <c r="U28652" s="9"/>
      <c r="X28652" s="9"/>
    </row>
    <row r="28653">
      <c r="D28653" s="9"/>
      <c r="G28653" s="9"/>
      <c r="J28653" s="11"/>
      <c r="U28653" s="9"/>
      <c r="X28653" s="9"/>
    </row>
    <row r="28654">
      <c r="D28654" s="9"/>
      <c r="G28654" s="9"/>
      <c r="J28654" s="11"/>
      <c r="U28654" s="9"/>
      <c r="X28654" s="9"/>
    </row>
    <row r="28655">
      <c r="D28655" s="9"/>
      <c r="G28655" s="9"/>
      <c r="J28655" s="11"/>
      <c r="U28655" s="9"/>
      <c r="X28655" s="9"/>
    </row>
    <row r="28656">
      <c r="D28656" s="9"/>
      <c r="G28656" s="9"/>
      <c r="J28656" s="11"/>
      <c r="U28656" s="9"/>
      <c r="X28656" s="9"/>
    </row>
    <row r="28657">
      <c r="D28657" s="9"/>
      <c r="G28657" s="9"/>
      <c r="J28657" s="11"/>
      <c r="U28657" s="9"/>
      <c r="X28657" s="9"/>
    </row>
    <row r="28658">
      <c r="D28658" s="9"/>
      <c r="G28658" s="9"/>
      <c r="J28658" s="11"/>
      <c r="U28658" s="9"/>
      <c r="X28658" s="9"/>
    </row>
    <row r="28659">
      <c r="D28659" s="9"/>
      <c r="G28659" s="9"/>
      <c r="J28659" s="11"/>
      <c r="U28659" s="9"/>
      <c r="X28659" s="9"/>
    </row>
    <row r="28660">
      <c r="D28660" s="9"/>
      <c r="G28660" s="9"/>
      <c r="J28660" s="11"/>
      <c r="U28660" s="9"/>
      <c r="X28660" s="9"/>
    </row>
    <row r="28661">
      <c r="D28661" s="9"/>
      <c r="G28661" s="9"/>
      <c r="J28661" s="11"/>
      <c r="U28661" s="9"/>
      <c r="X28661" s="9"/>
    </row>
    <row r="28662">
      <c r="D28662" s="9"/>
      <c r="G28662" s="9"/>
      <c r="J28662" s="11"/>
      <c r="U28662" s="9"/>
      <c r="X28662" s="9"/>
    </row>
    <row r="28663">
      <c r="D28663" s="9"/>
      <c r="G28663" s="9"/>
      <c r="J28663" s="11"/>
      <c r="U28663" s="9"/>
      <c r="X28663" s="9"/>
    </row>
    <row r="28664">
      <c r="D28664" s="9"/>
      <c r="G28664" s="9"/>
      <c r="J28664" s="11"/>
      <c r="U28664" s="9"/>
      <c r="X28664" s="9"/>
    </row>
    <row r="28665">
      <c r="D28665" s="9"/>
      <c r="G28665" s="9"/>
      <c r="J28665" s="11"/>
      <c r="U28665" s="9"/>
      <c r="X28665" s="9"/>
    </row>
    <row r="28666">
      <c r="D28666" s="9"/>
      <c r="G28666" s="9"/>
      <c r="J28666" s="11"/>
      <c r="U28666" s="9"/>
      <c r="X28666" s="9"/>
    </row>
    <row r="28667">
      <c r="D28667" s="9"/>
      <c r="G28667" s="9"/>
      <c r="J28667" s="11"/>
      <c r="U28667" s="9"/>
      <c r="X28667" s="9"/>
    </row>
    <row r="28668">
      <c r="D28668" s="9"/>
      <c r="G28668" s="9"/>
      <c r="J28668" s="11"/>
      <c r="U28668" s="9"/>
      <c r="X28668" s="9"/>
    </row>
    <row r="28669">
      <c r="D28669" s="9"/>
      <c r="G28669" s="9"/>
      <c r="J28669" s="11"/>
      <c r="U28669" s="9"/>
      <c r="X28669" s="9"/>
    </row>
    <row r="28670">
      <c r="D28670" s="9"/>
      <c r="G28670" s="9"/>
      <c r="J28670" s="11"/>
      <c r="U28670" s="9"/>
      <c r="X28670" s="9"/>
    </row>
    <row r="28671">
      <c r="D28671" s="9"/>
      <c r="G28671" s="9"/>
      <c r="J28671" s="11"/>
      <c r="U28671" s="9"/>
      <c r="X28671" s="9"/>
    </row>
    <row r="28672">
      <c r="D28672" s="9"/>
      <c r="G28672" s="9"/>
      <c r="J28672" s="11"/>
      <c r="U28672" s="9"/>
      <c r="X28672" s="9"/>
    </row>
    <row r="28673">
      <c r="D28673" s="9"/>
      <c r="G28673" s="9"/>
      <c r="J28673" s="11"/>
      <c r="U28673" s="9"/>
      <c r="X28673" s="9"/>
    </row>
    <row r="28674">
      <c r="D28674" s="9"/>
      <c r="G28674" s="9"/>
      <c r="J28674" s="11"/>
      <c r="U28674" s="9"/>
      <c r="X28674" s="9"/>
    </row>
    <row r="28675">
      <c r="D28675" s="9"/>
      <c r="G28675" s="9"/>
      <c r="J28675" s="11"/>
      <c r="U28675" s="9"/>
      <c r="X28675" s="9"/>
    </row>
    <row r="28676">
      <c r="D28676" s="9"/>
      <c r="G28676" s="9"/>
      <c r="J28676" s="11"/>
      <c r="U28676" s="9"/>
      <c r="X28676" s="9"/>
    </row>
    <row r="28677">
      <c r="D28677" s="9"/>
      <c r="G28677" s="9"/>
      <c r="J28677" s="11"/>
      <c r="U28677" s="9"/>
      <c r="X28677" s="9"/>
    </row>
    <row r="28678">
      <c r="D28678" s="9"/>
      <c r="G28678" s="9"/>
      <c r="J28678" s="11"/>
      <c r="U28678" s="9"/>
      <c r="X28678" s="9"/>
    </row>
    <row r="28679">
      <c r="D28679" s="9"/>
      <c r="G28679" s="9"/>
      <c r="J28679" s="11"/>
      <c r="U28679" s="9"/>
      <c r="X28679" s="9"/>
    </row>
    <row r="28680">
      <c r="D28680" s="9"/>
      <c r="G28680" s="9"/>
      <c r="J28680" s="11"/>
      <c r="U28680" s="9"/>
      <c r="X28680" s="9"/>
    </row>
    <row r="28681">
      <c r="D28681" s="9"/>
      <c r="G28681" s="9"/>
      <c r="J28681" s="11"/>
      <c r="U28681" s="9"/>
      <c r="X28681" s="9"/>
    </row>
    <row r="28682">
      <c r="D28682" s="9"/>
      <c r="G28682" s="9"/>
      <c r="J28682" s="11"/>
      <c r="U28682" s="9"/>
      <c r="X28682" s="9"/>
    </row>
    <row r="28683">
      <c r="D28683" s="9"/>
      <c r="G28683" s="9"/>
      <c r="J28683" s="11"/>
      <c r="U28683" s="9"/>
      <c r="X28683" s="9"/>
    </row>
    <row r="28684">
      <c r="D28684" s="9"/>
      <c r="G28684" s="9"/>
      <c r="J28684" s="11"/>
      <c r="U28684" s="9"/>
      <c r="X28684" s="9"/>
    </row>
    <row r="28685">
      <c r="D28685" s="9"/>
      <c r="G28685" s="9"/>
      <c r="J28685" s="11"/>
      <c r="U28685" s="9"/>
      <c r="X28685" s="9"/>
    </row>
    <row r="28686">
      <c r="D28686" s="9"/>
      <c r="G28686" s="9"/>
      <c r="J28686" s="11"/>
      <c r="U28686" s="9"/>
      <c r="X28686" s="9"/>
    </row>
    <row r="28687">
      <c r="D28687" s="9"/>
      <c r="G28687" s="9"/>
      <c r="J28687" s="11"/>
      <c r="U28687" s="9"/>
      <c r="X28687" s="9"/>
    </row>
    <row r="28688">
      <c r="D28688" s="9"/>
      <c r="G28688" s="9"/>
      <c r="J28688" s="11"/>
      <c r="U28688" s="9"/>
      <c r="X28688" s="9"/>
    </row>
    <row r="28689">
      <c r="D28689" s="9"/>
      <c r="G28689" s="9"/>
      <c r="J28689" s="11"/>
      <c r="U28689" s="9"/>
      <c r="X28689" s="9"/>
    </row>
    <row r="28690">
      <c r="D28690" s="9"/>
      <c r="G28690" s="9"/>
      <c r="J28690" s="11"/>
      <c r="U28690" s="9"/>
      <c r="X28690" s="9"/>
    </row>
    <row r="28691">
      <c r="D28691" s="9"/>
      <c r="G28691" s="9"/>
      <c r="J28691" s="11"/>
      <c r="U28691" s="9"/>
      <c r="X28691" s="9"/>
    </row>
    <row r="28692">
      <c r="D28692" s="9"/>
      <c r="G28692" s="9"/>
      <c r="J28692" s="11"/>
      <c r="U28692" s="9"/>
      <c r="X28692" s="9"/>
    </row>
    <row r="28693">
      <c r="D28693" s="9"/>
      <c r="G28693" s="9"/>
      <c r="J28693" s="11"/>
      <c r="U28693" s="9"/>
      <c r="X28693" s="9"/>
    </row>
    <row r="28694">
      <c r="D28694" s="9"/>
      <c r="G28694" s="9"/>
      <c r="J28694" s="11"/>
      <c r="U28694" s="9"/>
      <c r="X28694" s="9"/>
    </row>
    <row r="28695">
      <c r="D28695" s="9"/>
      <c r="G28695" s="9"/>
      <c r="J28695" s="11"/>
      <c r="U28695" s="9"/>
      <c r="X28695" s="9"/>
    </row>
    <row r="28696">
      <c r="D28696" s="9"/>
      <c r="G28696" s="9"/>
      <c r="J28696" s="11"/>
      <c r="U28696" s="9"/>
      <c r="X28696" s="9"/>
    </row>
    <row r="28697">
      <c r="D28697" s="9"/>
      <c r="G28697" s="9"/>
      <c r="J28697" s="11"/>
      <c r="U28697" s="9"/>
      <c r="X28697" s="9"/>
    </row>
    <row r="28698">
      <c r="D28698" s="9"/>
      <c r="G28698" s="9"/>
      <c r="J28698" s="11"/>
      <c r="U28698" s="9"/>
      <c r="X28698" s="9"/>
    </row>
    <row r="28699">
      <c r="D28699" s="9"/>
      <c r="G28699" s="9"/>
      <c r="J28699" s="11"/>
      <c r="U28699" s="9"/>
      <c r="X28699" s="9"/>
    </row>
    <row r="28700">
      <c r="D28700" s="9"/>
      <c r="G28700" s="9"/>
      <c r="J28700" s="11"/>
      <c r="U28700" s="9"/>
      <c r="X28700" s="9"/>
    </row>
    <row r="28701">
      <c r="D28701" s="9"/>
      <c r="G28701" s="9"/>
      <c r="J28701" s="11"/>
      <c r="U28701" s="9"/>
      <c r="X28701" s="9"/>
    </row>
    <row r="28702">
      <c r="D28702" s="9"/>
      <c r="G28702" s="9"/>
      <c r="J28702" s="11"/>
      <c r="U28702" s="9"/>
      <c r="X28702" s="9"/>
    </row>
    <row r="28703">
      <c r="D28703" s="9"/>
      <c r="G28703" s="9"/>
      <c r="J28703" s="11"/>
      <c r="U28703" s="9"/>
      <c r="X28703" s="9"/>
    </row>
    <row r="28704">
      <c r="D28704" s="9"/>
      <c r="G28704" s="9"/>
      <c r="J28704" s="11"/>
      <c r="U28704" s="9"/>
      <c r="X28704" s="9"/>
    </row>
    <row r="28705">
      <c r="D28705" s="9"/>
      <c r="G28705" s="9"/>
      <c r="J28705" s="11"/>
      <c r="U28705" s="9"/>
      <c r="X28705" s="9"/>
    </row>
    <row r="28706">
      <c r="D28706" s="9"/>
      <c r="G28706" s="9"/>
      <c r="J28706" s="11"/>
      <c r="U28706" s="9"/>
      <c r="X28706" s="9"/>
    </row>
    <row r="28707">
      <c r="D28707" s="9"/>
      <c r="G28707" s="9"/>
      <c r="J28707" s="11"/>
      <c r="U28707" s="9"/>
      <c r="X28707" s="9"/>
    </row>
    <row r="28708">
      <c r="D28708" s="9"/>
      <c r="G28708" s="9"/>
      <c r="J28708" s="11"/>
      <c r="U28708" s="9"/>
      <c r="X28708" s="9"/>
    </row>
    <row r="28709">
      <c r="D28709" s="9"/>
      <c r="G28709" s="9"/>
      <c r="J28709" s="11"/>
      <c r="U28709" s="9"/>
      <c r="X28709" s="9"/>
    </row>
    <row r="28710">
      <c r="D28710" s="9"/>
      <c r="G28710" s="9"/>
      <c r="J28710" s="11"/>
      <c r="U28710" s="9"/>
      <c r="X28710" s="9"/>
    </row>
    <row r="28711">
      <c r="D28711" s="9"/>
      <c r="G28711" s="9"/>
      <c r="J28711" s="11"/>
      <c r="U28711" s="9"/>
      <c r="X28711" s="9"/>
    </row>
    <row r="28712">
      <c r="D28712" s="9"/>
      <c r="G28712" s="9"/>
      <c r="J28712" s="11"/>
      <c r="U28712" s="9"/>
      <c r="X28712" s="9"/>
    </row>
    <row r="28713">
      <c r="D28713" s="9"/>
      <c r="G28713" s="9"/>
      <c r="J28713" s="11"/>
      <c r="U28713" s="9"/>
      <c r="X28713" s="9"/>
    </row>
    <row r="28714">
      <c r="D28714" s="9"/>
      <c r="G28714" s="9"/>
      <c r="J28714" s="11"/>
      <c r="U28714" s="9"/>
      <c r="X28714" s="9"/>
    </row>
    <row r="28715">
      <c r="D28715" s="9"/>
      <c r="G28715" s="9"/>
      <c r="J28715" s="11"/>
      <c r="U28715" s="9"/>
      <c r="X28715" s="9"/>
    </row>
    <row r="28716">
      <c r="D28716" s="9"/>
      <c r="G28716" s="9"/>
      <c r="J28716" s="11"/>
      <c r="U28716" s="9"/>
      <c r="X28716" s="9"/>
    </row>
    <row r="28717">
      <c r="D28717" s="9"/>
      <c r="G28717" s="9"/>
      <c r="J28717" s="11"/>
      <c r="U28717" s="9"/>
      <c r="X28717" s="9"/>
    </row>
    <row r="28718">
      <c r="D28718" s="9"/>
      <c r="G28718" s="9"/>
      <c r="J28718" s="11"/>
      <c r="U28718" s="9"/>
      <c r="X28718" s="9"/>
    </row>
    <row r="28719">
      <c r="D28719" s="9"/>
      <c r="G28719" s="9"/>
      <c r="J28719" s="11"/>
      <c r="U28719" s="9"/>
      <c r="X28719" s="9"/>
    </row>
    <row r="28720">
      <c r="D28720" s="9"/>
      <c r="G28720" s="9"/>
      <c r="J28720" s="11"/>
      <c r="U28720" s="9"/>
      <c r="X28720" s="9"/>
    </row>
    <row r="28721">
      <c r="D28721" s="9"/>
      <c r="G28721" s="9"/>
      <c r="J28721" s="11"/>
      <c r="U28721" s="9"/>
      <c r="X28721" s="9"/>
    </row>
    <row r="28722">
      <c r="D28722" s="9"/>
      <c r="G28722" s="9"/>
      <c r="J28722" s="11"/>
      <c r="U28722" s="9"/>
      <c r="X28722" s="9"/>
    </row>
    <row r="28723">
      <c r="D28723" s="9"/>
      <c r="G28723" s="9"/>
      <c r="J28723" s="11"/>
      <c r="U28723" s="9"/>
      <c r="X28723" s="9"/>
    </row>
    <row r="28724">
      <c r="D28724" s="9"/>
      <c r="G28724" s="9"/>
      <c r="J28724" s="11"/>
      <c r="U28724" s="9"/>
      <c r="X28724" s="9"/>
    </row>
    <row r="28725">
      <c r="D28725" s="9"/>
      <c r="G28725" s="9"/>
      <c r="J28725" s="11"/>
      <c r="U28725" s="9"/>
      <c r="X28725" s="9"/>
    </row>
    <row r="28726">
      <c r="D28726" s="9"/>
      <c r="G28726" s="9"/>
      <c r="J28726" s="11"/>
      <c r="U28726" s="9"/>
      <c r="X28726" s="9"/>
    </row>
    <row r="28727">
      <c r="D28727" s="9"/>
      <c r="G28727" s="9"/>
      <c r="J28727" s="11"/>
      <c r="U28727" s="9"/>
      <c r="X28727" s="9"/>
    </row>
    <row r="28728">
      <c r="D28728" s="9"/>
      <c r="G28728" s="9"/>
      <c r="J28728" s="11"/>
      <c r="U28728" s="9"/>
      <c r="X28728" s="9"/>
    </row>
    <row r="28729">
      <c r="D28729" s="9"/>
      <c r="G28729" s="9"/>
      <c r="J28729" s="11"/>
      <c r="U28729" s="9"/>
      <c r="X28729" s="9"/>
    </row>
    <row r="28730">
      <c r="D28730" s="9"/>
      <c r="G28730" s="9"/>
      <c r="J28730" s="11"/>
      <c r="U28730" s="9"/>
      <c r="X28730" s="9"/>
    </row>
    <row r="28731">
      <c r="D28731" s="9"/>
      <c r="G28731" s="9"/>
      <c r="J28731" s="11"/>
      <c r="U28731" s="9"/>
      <c r="X28731" s="9"/>
    </row>
    <row r="28732">
      <c r="D28732" s="9"/>
      <c r="G28732" s="9"/>
      <c r="J28732" s="11"/>
      <c r="U28732" s="9"/>
      <c r="X28732" s="9"/>
    </row>
    <row r="28733">
      <c r="D28733" s="9"/>
      <c r="G28733" s="9"/>
      <c r="J28733" s="11"/>
      <c r="U28733" s="9"/>
      <c r="X28733" s="9"/>
    </row>
    <row r="28734">
      <c r="D28734" s="9"/>
      <c r="G28734" s="9"/>
      <c r="J28734" s="11"/>
      <c r="U28734" s="9"/>
      <c r="X28734" s="9"/>
    </row>
    <row r="28735">
      <c r="D28735" s="9"/>
      <c r="G28735" s="9"/>
      <c r="J28735" s="11"/>
      <c r="U28735" s="9"/>
      <c r="X28735" s="9"/>
    </row>
    <row r="28736">
      <c r="D28736" s="9"/>
      <c r="G28736" s="9"/>
      <c r="J28736" s="11"/>
      <c r="U28736" s="9"/>
      <c r="X28736" s="9"/>
    </row>
    <row r="28737">
      <c r="D28737" s="9"/>
      <c r="G28737" s="9"/>
      <c r="J28737" s="11"/>
      <c r="U28737" s="9"/>
      <c r="X28737" s="9"/>
    </row>
    <row r="28738">
      <c r="D28738" s="9"/>
      <c r="G28738" s="9"/>
      <c r="J28738" s="11"/>
      <c r="U28738" s="9"/>
      <c r="X28738" s="9"/>
    </row>
    <row r="28739">
      <c r="D28739" s="9"/>
      <c r="G28739" s="9"/>
      <c r="J28739" s="11"/>
      <c r="U28739" s="9"/>
      <c r="X28739" s="9"/>
    </row>
    <row r="28740">
      <c r="D28740" s="9"/>
      <c r="G28740" s="9"/>
      <c r="J28740" s="11"/>
      <c r="U28740" s="9"/>
      <c r="X28740" s="9"/>
    </row>
    <row r="28741">
      <c r="D28741" s="9"/>
      <c r="G28741" s="9"/>
      <c r="J28741" s="11"/>
      <c r="U28741" s="9"/>
      <c r="X28741" s="9"/>
    </row>
    <row r="28742">
      <c r="D28742" s="9"/>
      <c r="G28742" s="9"/>
      <c r="J28742" s="11"/>
      <c r="U28742" s="9"/>
      <c r="X28742" s="9"/>
    </row>
    <row r="28743">
      <c r="D28743" s="9"/>
      <c r="G28743" s="9"/>
      <c r="J28743" s="11"/>
      <c r="U28743" s="9"/>
      <c r="X28743" s="9"/>
    </row>
    <row r="28744">
      <c r="D28744" s="9"/>
      <c r="G28744" s="9"/>
      <c r="J28744" s="11"/>
      <c r="U28744" s="9"/>
      <c r="X28744" s="9"/>
    </row>
    <row r="28745">
      <c r="D28745" s="9"/>
      <c r="G28745" s="9"/>
      <c r="J28745" s="11"/>
      <c r="U28745" s="9"/>
      <c r="X28745" s="9"/>
    </row>
    <row r="28746">
      <c r="D28746" s="9"/>
      <c r="G28746" s="9"/>
      <c r="J28746" s="11"/>
      <c r="U28746" s="9"/>
      <c r="X28746" s="9"/>
    </row>
    <row r="28747">
      <c r="D28747" s="9"/>
      <c r="G28747" s="9"/>
      <c r="J28747" s="11"/>
      <c r="U28747" s="9"/>
      <c r="X28747" s="9"/>
    </row>
    <row r="28748">
      <c r="D28748" s="9"/>
      <c r="G28748" s="9"/>
      <c r="J28748" s="11"/>
      <c r="U28748" s="9"/>
      <c r="X28748" s="9"/>
    </row>
    <row r="28749">
      <c r="D28749" s="9"/>
      <c r="G28749" s="9"/>
      <c r="J28749" s="11"/>
      <c r="U28749" s="9"/>
      <c r="X28749" s="9"/>
    </row>
    <row r="28750">
      <c r="D28750" s="9"/>
      <c r="G28750" s="9"/>
      <c r="J28750" s="11"/>
      <c r="U28750" s="9"/>
      <c r="X28750" s="9"/>
    </row>
    <row r="28751">
      <c r="D28751" s="9"/>
      <c r="G28751" s="9"/>
      <c r="J28751" s="11"/>
      <c r="U28751" s="9"/>
      <c r="X28751" s="9"/>
    </row>
    <row r="28752">
      <c r="D28752" s="9"/>
      <c r="G28752" s="9"/>
      <c r="J28752" s="11"/>
      <c r="U28752" s="9"/>
      <c r="X28752" s="9"/>
    </row>
    <row r="28753">
      <c r="D28753" s="9"/>
      <c r="G28753" s="9"/>
      <c r="J28753" s="11"/>
      <c r="U28753" s="9"/>
      <c r="X28753" s="9"/>
    </row>
    <row r="28754">
      <c r="D28754" s="9"/>
      <c r="G28754" s="9"/>
      <c r="J28754" s="11"/>
      <c r="U28754" s="9"/>
      <c r="X28754" s="9"/>
    </row>
    <row r="28755">
      <c r="D28755" s="9"/>
      <c r="G28755" s="9"/>
      <c r="J28755" s="11"/>
      <c r="U28755" s="9"/>
      <c r="X28755" s="9"/>
    </row>
    <row r="28756">
      <c r="D28756" s="9"/>
      <c r="G28756" s="9"/>
      <c r="J28756" s="11"/>
      <c r="U28756" s="9"/>
      <c r="X28756" s="9"/>
    </row>
    <row r="28757">
      <c r="D28757" s="9"/>
      <c r="G28757" s="9"/>
      <c r="J28757" s="11"/>
      <c r="U28757" s="9"/>
      <c r="X28757" s="9"/>
    </row>
    <row r="28758">
      <c r="D28758" s="9"/>
      <c r="G28758" s="9"/>
      <c r="J28758" s="11"/>
      <c r="U28758" s="9"/>
      <c r="X28758" s="9"/>
    </row>
    <row r="28759">
      <c r="D28759" s="9"/>
      <c r="G28759" s="9"/>
      <c r="J28759" s="11"/>
      <c r="U28759" s="9"/>
      <c r="X28759" s="9"/>
    </row>
    <row r="28760">
      <c r="D28760" s="9"/>
      <c r="G28760" s="9"/>
      <c r="J28760" s="11"/>
      <c r="U28760" s="9"/>
      <c r="X28760" s="9"/>
    </row>
    <row r="28761">
      <c r="D28761" s="9"/>
      <c r="G28761" s="9"/>
      <c r="J28761" s="11"/>
      <c r="U28761" s="9"/>
      <c r="X28761" s="9"/>
    </row>
    <row r="28762">
      <c r="D28762" s="9"/>
      <c r="G28762" s="9"/>
      <c r="J28762" s="11"/>
      <c r="U28762" s="9"/>
      <c r="X28762" s="9"/>
    </row>
    <row r="28763">
      <c r="D28763" s="9"/>
      <c r="G28763" s="9"/>
      <c r="J28763" s="11"/>
      <c r="U28763" s="9"/>
      <c r="X28763" s="9"/>
    </row>
    <row r="28764">
      <c r="D28764" s="9"/>
      <c r="G28764" s="9"/>
      <c r="J28764" s="11"/>
      <c r="U28764" s="9"/>
      <c r="X28764" s="9"/>
    </row>
    <row r="28765">
      <c r="D28765" s="9"/>
      <c r="G28765" s="9"/>
      <c r="J28765" s="11"/>
      <c r="U28765" s="9"/>
      <c r="X28765" s="9"/>
    </row>
    <row r="28766">
      <c r="D28766" s="9"/>
      <c r="G28766" s="9"/>
      <c r="J28766" s="11"/>
      <c r="U28766" s="9"/>
      <c r="X28766" s="9"/>
    </row>
    <row r="28767">
      <c r="D28767" s="9"/>
      <c r="G28767" s="9"/>
      <c r="J28767" s="11"/>
      <c r="U28767" s="9"/>
      <c r="X28767" s="9"/>
    </row>
    <row r="28768">
      <c r="D28768" s="9"/>
      <c r="G28768" s="9"/>
      <c r="J28768" s="11"/>
      <c r="U28768" s="9"/>
      <c r="X28768" s="9"/>
    </row>
    <row r="28769">
      <c r="D28769" s="9"/>
      <c r="G28769" s="9"/>
      <c r="J28769" s="11"/>
      <c r="U28769" s="9"/>
      <c r="X28769" s="9"/>
    </row>
    <row r="28770">
      <c r="D28770" s="9"/>
      <c r="G28770" s="9"/>
      <c r="J28770" s="11"/>
      <c r="U28770" s="9"/>
      <c r="X28770" s="9"/>
    </row>
    <row r="28771">
      <c r="D28771" s="9"/>
      <c r="G28771" s="9"/>
      <c r="J28771" s="11"/>
      <c r="U28771" s="9"/>
      <c r="X28771" s="9"/>
    </row>
    <row r="28772">
      <c r="D28772" s="9"/>
      <c r="G28772" s="9"/>
      <c r="J28772" s="11"/>
      <c r="U28772" s="9"/>
      <c r="X28772" s="9"/>
    </row>
    <row r="28773">
      <c r="D28773" s="9"/>
      <c r="G28773" s="9"/>
      <c r="J28773" s="11"/>
      <c r="U28773" s="9"/>
      <c r="X28773" s="9"/>
    </row>
    <row r="28774">
      <c r="D28774" s="9"/>
      <c r="G28774" s="9"/>
      <c r="J28774" s="11"/>
      <c r="U28774" s="9"/>
      <c r="X28774" s="9"/>
    </row>
    <row r="28775">
      <c r="D28775" s="9"/>
      <c r="G28775" s="9"/>
      <c r="J28775" s="11"/>
      <c r="U28775" s="9"/>
      <c r="X28775" s="9"/>
    </row>
    <row r="28776">
      <c r="D28776" s="9"/>
      <c r="G28776" s="9"/>
      <c r="J28776" s="11"/>
      <c r="U28776" s="9"/>
      <c r="X28776" s="9"/>
    </row>
    <row r="28777">
      <c r="D28777" s="9"/>
      <c r="G28777" s="9"/>
      <c r="J28777" s="11"/>
      <c r="U28777" s="9"/>
      <c r="X28777" s="9"/>
    </row>
    <row r="28778">
      <c r="D28778" s="9"/>
      <c r="G28778" s="9"/>
      <c r="J28778" s="11"/>
      <c r="U28778" s="9"/>
      <c r="X28778" s="9"/>
    </row>
    <row r="28779">
      <c r="D28779" s="9"/>
      <c r="G28779" s="9"/>
      <c r="J28779" s="11"/>
      <c r="U28779" s="9"/>
      <c r="X28779" s="9"/>
    </row>
    <row r="28780">
      <c r="D28780" s="9"/>
      <c r="G28780" s="9"/>
      <c r="J28780" s="11"/>
      <c r="U28780" s="9"/>
      <c r="X28780" s="9"/>
    </row>
    <row r="28781">
      <c r="D28781" s="9"/>
      <c r="G28781" s="9"/>
      <c r="J28781" s="11"/>
      <c r="U28781" s="9"/>
      <c r="X28781" s="9"/>
    </row>
    <row r="28782">
      <c r="D28782" s="9"/>
      <c r="G28782" s="9"/>
      <c r="J28782" s="11"/>
      <c r="U28782" s="9"/>
      <c r="X28782" s="9"/>
    </row>
    <row r="28783">
      <c r="D28783" s="9"/>
      <c r="G28783" s="9"/>
      <c r="J28783" s="11"/>
      <c r="U28783" s="9"/>
      <c r="X28783" s="9"/>
    </row>
    <row r="28784">
      <c r="D28784" s="9"/>
      <c r="G28784" s="9"/>
      <c r="J28784" s="11"/>
      <c r="U28784" s="9"/>
      <c r="X28784" s="9"/>
    </row>
    <row r="28785">
      <c r="D28785" s="9"/>
      <c r="G28785" s="9"/>
      <c r="J28785" s="11"/>
      <c r="U28785" s="9"/>
      <c r="X28785" s="9"/>
    </row>
    <row r="28786">
      <c r="D28786" s="9"/>
      <c r="G28786" s="9"/>
      <c r="J28786" s="11"/>
      <c r="U28786" s="9"/>
      <c r="X28786" s="9"/>
    </row>
    <row r="28787">
      <c r="D28787" s="9"/>
      <c r="G28787" s="9"/>
      <c r="J28787" s="11"/>
      <c r="U28787" s="9"/>
      <c r="X28787" s="9"/>
    </row>
    <row r="28788">
      <c r="D28788" s="9"/>
      <c r="G28788" s="9"/>
      <c r="J28788" s="11"/>
      <c r="U28788" s="9"/>
      <c r="X28788" s="9"/>
    </row>
    <row r="28789">
      <c r="D28789" s="9"/>
      <c r="G28789" s="9"/>
      <c r="J28789" s="11"/>
      <c r="U28789" s="9"/>
      <c r="X28789" s="9"/>
    </row>
    <row r="28790">
      <c r="D28790" s="9"/>
      <c r="G28790" s="9"/>
      <c r="J28790" s="11"/>
      <c r="U28790" s="9"/>
      <c r="X28790" s="9"/>
    </row>
    <row r="28791">
      <c r="D28791" s="9"/>
      <c r="G28791" s="9"/>
      <c r="J28791" s="11"/>
      <c r="U28791" s="9"/>
      <c r="X28791" s="9"/>
    </row>
    <row r="28792">
      <c r="D28792" s="9"/>
      <c r="G28792" s="9"/>
      <c r="J28792" s="11"/>
      <c r="U28792" s="9"/>
      <c r="X28792" s="9"/>
    </row>
    <row r="28793">
      <c r="D28793" s="9"/>
      <c r="G28793" s="9"/>
      <c r="J28793" s="11"/>
      <c r="U28793" s="9"/>
      <c r="X28793" s="9"/>
    </row>
    <row r="28794">
      <c r="D28794" s="9"/>
      <c r="G28794" s="9"/>
      <c r="J28794" s="11"/>
      <c r="U28794" s="9"/>
      <c r="X28794" s="9"/>
    </row>
    <row r="28795">
      <c r="D28795" s="9"/>
      <c r="G28795" s="9"/>
      <c r="J28795" s="11"/>
      <c r="U28795" s="9"/>
      <c r="X28795" s="9"/>
    </row>
    <row r="28796">
      <c r="D28796" s="9"/>
      <c r="G28796" s="9"/>
      <c r="J28796" s="11"/>
      <c r="U28796" s="9"/>
      <c r="X28796" s="9"/>
    </row>
    <row r="28797">
      <c r="D28797" s="9"/>
      <c r="G28797" s="9"/>
      <c r="J28797" s="11"/>
      <c r="U28797" s="9"/>
      <c r="X28797" s="9"/>
    </row>
    <row r="28798">
      <c r="D28798" s="9"/>
      <c r="G28798" s="9"/>
      <c r="J28798" s="11"/>
      <c r="U28798" s="9"/>
      <c r="X28798" s="9"/>
    </row>
    <row r="28799">
      <c r="D28799" s="9"/>
      <c r="G28799" s="9"/>
      <c r="J28799" s="11"/>
      <c r="U28799" s="9"/>
      <c r="X28799" s="9"/>
    </row>
    <row r="28800">
      <c r="D28800" s="9"/>
      <c r="G28800" s="9"/>
      <c r="J28800" s="11"/>
      <c r="U28800" s="9"/>
      <c r="X28800" s="9"/>
    </row>
    <row r="28801">
      <c r="D28801" s="9"/>
      <c r="G28801" s="9"/>
      <c r="J28801" s="11"/>
      <c r="U28801" s="9"/>
      <c r="X28801" s="9"/>
    </row>
    <row r="28802">
      <c r="D28802" s="9"/>
      <c r="G28802" s="9"/>
      <c r="J28802" s="11"/>
      <c r="U28802" s="9"/>
      <c r="X28802" s="9"/>
    </row>
    <row r="28803">
      <c r="D28803" s="9"/>
      <c r="G28803" s="9"/>
      <c r="J28803" s="11"/>
      <c r="U28803" s="9"/>
      <c r="X28803" s="9"/>
    </row>
    <row r="28804">
      <c r="D28804" s="9"/>
      <c r="G28804" s="9"/>
      <c r="J28804" s="11"/>
      <c r="U28804" s="9"/>
      <c r="X28804" s="9"/>
    </row>
    <row r="28805">
      <c r="D28805" s="9"/>
      <c r="G28805" s="9"/>
      <c r="J28805" s="11"/>
      <c r="U28805" s="9"/>
      <c r="X28805" s="9"/>
    </row>
    <row r="28806">
      <c r="D28806" s="9"/>
      <c r="G28806" s="9"/>
      <c r="J28806" s="11"/>
      <c r="U28806" s="9"/>
      <c r="X28806" s="9"/>
    </row>
    <row r="28807">
      <c r="D28807" s="9"/>
      <c r="G28807" s="9"/>
      <c r="J28807" s="11"/>
      <c r="U28807" s="9"/>
      <c r="X28807" s="9"/>
    </row>
    <row r="28808">
      <c r="D28808" s="9"/>
      <c r="G28808" s="9"/>
      <c r="J28808" s="11"/>
      <c r="U28808" s="9"/>
      <c r="X28808" s="9"/>
    </row>
    <row r="28809">
      <c r="D28809" s="9"/>
      <c r="G28809" s="9"/>
      <c r="J28809" s="11"/>
      <c r="U28809" s="9"/>
      <c r="X28809" s="9"/>
    </row>
    <row r="28810">
      <c r="D28810" s="9"/>
      <c r="G28810" s="9"/>
      <c r="J28810" s="11"/>
      <c r="U28810" s="9"/>
      <c r="X28810" s="9"/>
    </row>
    <row r="28811">
      <c r="D28811" s="9"/>
      <c r="G28811" s="9"/>
      <c r="J28811" s="11"/>
      <c r="U28811" s="9"/>
      <c r="X28811" s="9"/>
    </row>
    <row r="28812">
      <c r="D28812" s="9"/>
      <c r="G28812" s="9"/>
      <c r="J28812" s="11"/>
      <c r="U28812" s="9"/>
      <c r="X28812" s="9"/>
    </row>
    <row r="28813">
      <c r="D28813" s="9"/>
      <c r="G28813" s="9"/>
      <c r="J28813" s="11"/>
      <c r="U28813" s="9"/>
      <c r="X28813" s="9"/>
    </row>
    <row r="28814">
      <c r="D28814" s="9"/>
      <c r="G28814" s="9"/>
      <c r="J28814" s="11"/>
      <c r="U28814" s="9"/>
      <c r="X28814" s="9"/>
    </row>
    <row r="28815">
      <c r="D28815" s="9"/>
      <c r="G28815" s="9"/>
      <c r="J28815" s="11"/>
      <c r="U28815" s="9"/>
      <c r="X28815" s="9"/>
    </row>
    <row r="28816">
      <c r="D28816" s="9"/>
      <c r="G28816" s="9"/>
      <c r="J28816" s="11"/>
      <c r="U28816" s="9"/>
      <c r="X28816" s="9"/>
    </row>
    <row r="28817">
      <c r="D28817" s="9"/>
      <c r="G28817" s="9"/>
      <c r="J28817" s="11"/>
      <c r="U28817" s="9"/>
      <c r="X28817" s="9"/>
    </row>
    <row r="28818">
      <c r="D28818" s="9"/>
      <c r="G28818" s="9"/>
      <c r="J28818" s="11"/>
      <c r="U28818" s="9"/>
      <c r="X28818" s="9"/>
    </row>
    <row r="28819">
      <c r="D28819" s="9"/>
      <c r="G28819" s="9"/>
      <c r="J28819" s="11"/>
      <c r="U28819" s="9"/>
      <c r="X28819" s="9"/>
    </row>
    <row r="28820">
      <c r="D28820" s="9"/>
      <c r="G28820" s="9"/>
      <c r="J28820" s="11"/>
      <c r="U28820" s="9"/>
      <c r="X28820" s="9"/>
    </row>
    <row r="28821">
      <c r="D28821" s="9"/>
      <c r="G28821" s="9"/>
      <c r="J28821" s="11"/>
      <c r="U28821" s="9"/>
      <c r="X28821" s="9"/>
    </row>
    <row r="28822">
      <c r="D28822" s="9"/>
      <c r="G28822" s="9"/>
      <c r="J28822" s="11"/>
      <c r="U28822" s="9"/>
      <c r="X28822" s="9"/>
    </row>
    <row r="28823">
      <c r="D28823" s="9"/>
      <c r="G28823" s="9"/>
      <c r="J28823" s="11"/>
      <c r="U28823" s="9"/>
      <c r="X28823" s="9"/>
    </row>
    <row r="28824">
      <c r="D28824" s="9"/>
      <c r="G28824" s="9"/>
      <c r="J28824" s="11"/>
      <c r="U28824" s="9"/>
      <c r="X28824" s="9"/>
    </row>
    <row r="28825">
      <c r="D28825" s="9"/>
      <c r="G28825" s="9"/>
      <c r="J28825" s="11"/>
      <c r="U28825" s="9"/>
      <c r="X28825" s="9"/>
    </row>
    <row r="28826">
      <c r="D28826" s="9"/>
      <c r="G28826" s="9"/>
      <c r="J28826" s="11"/>
      <c r="U28826" s="9"/>
      <c r="X28826" s="9"/>
    </row>
    <row r="28827">
      <c r="D28827" s="9"/>
      <c r="G28827" s="9"/>
      <c r="J28827" s="11"/>
      <c r="U28827" s="9"/>
      <c r="X28827" s="9"/>
    </row>
    <row r="28828">
      <c r="D28828" s="9"/>
      <c r="G28828" s="9"/>
      <c r="J28828" s="11"/>
      <c r="U28828" s="9"/>
      <c r="X28828" s="9"/>
    </row>
    <row r="28829">
      <c r="D28829" s="9"/>
      <c r="G28829" s="9"/>
      <c r="J28829" s="11"/>
      <c r="U28829" s="9"/>
      <c r="X28829" s="9"/>
    </row>
    <row r="28830">
      <c r="D28830" s="9"/>
      <c r="G28830" s="9"/>
      <c r="J28830" s="11"/>
      <c r="U28830" s="9"/>
      <c r="X28830" s="9"/>
    </row>
    <row r="28831">
      <c r="D28831" s="9"/>
      <c r="G28831" s="9"/>
      <c r="J28831" s="11"/>
      <c r="U28831" s="9"/>
      <c r="X28831" s="9"/>
    </row>
    <row r="28832">
      <c r="D28832" s="9"/>
      <c r="G28832" s="9"/>
      <c r="J28832" s="11"/>
      <c r="U28832" s="9"/>
      <c r="X28832" s="9"/>
    </row>
    <row r="28833">
      <c r="D28833" s="9"/>
      <c r="G28833" s="9"/>
      <c r="J28833" s="11"/>
      <c r="U28833" s="9"/>
      <c r="X28833" s="9"/>
    </row>
    <row r="28834">
      <c r="D28834" s="9"/>
      <c r="G28834" s="9"/>
      <c r="J28834" s="11"/>
      <c r="U28834" s="9"/>
      <c r="X28834" s="9"/>
    </row>
    <row r="28835">
      <c r="D28835" s="9"/>
      <c r="G28835" s="9"/>
      <c r="J28835" s="11"/>
      <c r="U28835" s="9"/>
      <c r="X28835" s="9"/>
    </row>
    <row r="28836">
      <c r="D28836" s="9"/>
      <c r="G28836" s="9"/>
      <c r="J28836" s="11"/>
      <c r="U28836" s="9"/>
      <c r="X28836" s="9"/>
    </row>
    <row r="28837">
      <c r="D28837" s="9"/>
      <c r="G28837" s="9"/>
      <c r="J28837" s="11"/>
      <c r="U28837" s="9"/>
      <c r="X28837" s="9"/>
    </row>
    <row r="28838">
      <c r="D28838" s="9"/>
      <c r="G28838" s="9"/>
      <c r="J28838" s="11"/>
      <c r="U28838" s="9"/>
      <c r="X28838" s="9"/>
    </row>
    <row r="28839">
      <c r="D28839" s="9"/>
      <c r="G28839" s="9"/>
      <c r="J28839" s="11"/>
      <c r="U28839" s="9"/>
      <c r="X28839" s="9"/>
    </row>
    <row r="28840">
      <c r="D28840" s="9"/>
      <c r="G28840" s="9"/>
      <c r="J28840" s="11"/>
      <c r="U28840" s="9"/>
      <c r="X28840" s="9"/>
    </row>
    <row r="28841">
      <c r="D28841" s="9"/>
      <c r="G28841" s="9"/>
      <c r="J28841" s="11"/>
      <c r="U28841" s="9"/>
      <c r="X28841" s="9"/>
    </row>
    <row r="28842">
      <c r="D28842" s="9"/>
      <c r="G28842" s="9"/>
      <c r="J28842" s="11"/>
      <c r="U28842" s="9"/>
      <c r="X28842" s="9"/>
    </row>
    <row r="28843">
      <c r="D28843" s="9"/>
      <c r="G28843" s="9"/>
      <c r="J28843" s="11"/>
      <c r="U28843" s="9"/>
      <c r="X28843" s="9"/>
    </row>
    <row r="28844">
      <c r="D28844" s="9"/>
      <c r="G28844" s="9"/>
      <c r="J28844" s="11"/>
      <c r="U28844" s="9"/>
      <c r="X28844" s="9"/>
    </row>
    <row r="28845">
      <c r="D28845" s="9"/>
      <c r="G28845" s="9"/>
      <c r="J28845" s="11"/>
      <c r="U28845" s="9"/>
      <c r="X28845" s="9"/>
    </row>
    <row r="28846">
      <c r="D28846" s="9"/>
      <c r="G28846" s="9"/>
      <c r="J28846" s="11"/>
      <c r="U28846" s="9"/>
      <c r="X28846" s="9"/>
    </row>
    <row r="28847">
      <c r="D28847" s="9"/>
      <c r="G28847" s="9"/>
      <c r="J28847" s="11"/>
      <c r="U28847" s="9"/>
      <c r="X28847" s="9"/>
    </row>
    <row r="28848">
      <c r="D28848" s="9"/>
      <c r="G28848" s="9"/>
      <c r="J28848" s="11"/>
      <c r="U28848" s="9"/>
      <c r="X28848" s="9"/>
    </row>
    <row r="28849">
      <c r="D28849" s="9"/>
      <c r="G28849" s="9"/>
      <c r="J28849" s="11"/>
      <c r="U28849" s="9"/>
      <c r="X28849" s="9"/>
    </row>
    <row r="28850">
      <c r="D28850" s="9"/>
      <c r="G28850" s="9"/>
      <c r="J28850" s="11"/>
      <c r="U28850" s="9"/>
      <c r="X28850" s="9"/>
    </row>
    <row r="28851">
      <c r="D28851" s="9"/>
      <c r="G28851" s="9"/>
      <c r="J28851" s="11"/>
      <c r="U28851" s="9"/>
      <c r="X28851" s="9"/>
    </row>
    <row r="28852">
      <c r="D28852" s="9"/>
      <c r="G28852" s="9"/>
      <c r="J28852" s="11"/>
      <c r="U28852" s="9"/>
      <c r="X28852" s="9"/>
    </row>
    <row r="28853">
      <c r="D28853" s="9"/>
      <c r="G28853" s="9"/>
      <c r="J28853" s="11"/>
      <c r="U28853" s="9"/>
      <c r="X28853" s="9"/>
    </row>
    <row r="28854">
      <c r="D28854" s="9"/>
      <c r="G28854" s="9"/>
      <c r="J28854" s="11"/>
      <c r="U28854" s="9"/>
      <c r="X28854" s="9"/>
    </row>
    <row r="28855">
      <c r="D28855" s="9"/>
      <c r="G28855" s="9"/>
      <c r="J28855" s="11"/>
      <c r="U28855" s="9"/>
      <c r="X28855" s="9"/>
    </row>
    <row r="28856">
      <c r="D28856" s="9"/>
      <c r="G28856" s="9"/>
      <c r="J28856" s="11"/>
      <c r="U28856" s="9"/>
      <c r="X28856" s="9"/>
    </row>
    <row r="28857">
      <c r="D28857" s="9"/>
      <c r="G28857" s="9"/>
      <c r="J28857" s="11"/>
      <c r="U28857" s="9"/>
      <c r="X28857" s="9"/>
    </row>
    <row r="28858">
      <c r="D28858" s="9"/>
      <c r="G28858" s="9"/>
      <c r="J28858" s="11"/>
      <c r="U28858" s="9"/>
      <c r="X28858" s="9"/>
    </row>
    <row r="28859">
      <c r="D28859" s="9"/>
      <c r="G28859" s="9"/>
      <c r="J28859" s="11"/>
      <c r="U28859" s="9"/>
      <c r="X28859" s="9"/>
    </row>
    <row r="28860">
      <c r="D28860" s="9"/>
      <c r="G28860" s="9"/>
      <c r="J28860" s="11"/>
      <c r="U28860" s="9"/>
      <c r="X28860" s="9"/>
    </row>
    <row r="28861">
      <c r="D28861" s="9"/>
      <c r="G28861" s="9"/>
      <c r="J28861" s="11"/>
      <c r="U28861" s="9"/>
      <c r="X28861" s="9"/>
    </row>
    <row r="28862">
      <c r="D28862" s="9"/>
      <c r="G28862" s="9"/>
      <c r="J28862" s="11"/>
      <c r="U28862" s="9"/>
      <c r="X28862" s="9"/>
    </row>
    <row r="28863">
      <c r="D28863" s="9"/>
      <c r="G28863" s="9"/>
      <c r="J28863" s="11"/>
      <c r="U28863" s="9"/>
      <c r="X28863" s="9"/>
    </row>
    <row r="28864">
      <c r="D28864" s="9"/>
      <c r="G28864" s="9"/>
      <c r="J28864" s="11"/>
      <c r="U28864" s="9"/>
      <c r="X28864" s="9"/>
    </row>
    <row r="28865">
      <c r="D28865" s="9"/>
      <c r="G28865" s="9"/>
      <c r="J28865" s="11"/>
      <c r="U28865" s="9"/>
      <c r="X28865" s="9"/>
    </row>
    <row r="28866">
      <c r="D28866" s="9"/>
      <c r="G28866" s="9"/>
      <c r="J28866" s="11"/>
      <c r="U28866" s="9"/>
      <c r="X28866" s="9"/>
    </row>
    <row r="28867">
      <c r="D28867" s="9"/>
      <c r="G28867" s="9"/>
      <c r="J28867" s="11"/>
      <c r="U28867" s="9"/>
      <c r="X28867" s="9"/>
    </row>
    <row r="28868">
      <c r="D28868" s="9"/>
      <c r="G28868" s="9"/>
      <c r="J28868" s="11"/>
      <c r="U28868" s="9"/>
      <c r="X28868" s="9"/>
    </row>
    <row r="28869">
      <c r="D28869" s="9"/>
      <c r="G28869" s="9"/>
      <c r="J28869" s="11"/>
      <c r="U28869" s="9"/>
      <c r="X28869" s="9"/>
    </row>
    <row r="28870">
      <c r="D28870" s="9"/>
      <c r="G28870" s="9"/>
      <c r="J28870" s="11"/>
      <c r="U28870" s="9"/>
      <c r="X28870" s="9"/>
    </row>
    <row r="28871">
      <c r="D28871" s="9"/>
      <c r="G28871" s="9"/>
      <c r="J28871" s="11"/>
      <c r="U28871" s="9"/>
      <c r="X28871" s="9"/>
    </row>
    <row r="28872">
      <c r="D28872" s="9"/>
      <c r="G28872" s="9"/>
      <c r="J28872" s="11"/>
      <c r="U28872" s="9"/>
      <c r="X28872" s="9"/>
    </row>
    <row r="28873">
      <c r="D28873" s="9"/>
      <c r="G28873" s="9"/>
      <c r="J28873" s="11"/>
      <c r="U28873" s="9"/>
      <c r="X28873" s="9"/>
    </row>
    <row r="28874">
      <c r="D28874" s="9"/>
      <c r="G28874" s="9"/>
      <c r="J28874" s="11"/>
      <c r="U28874" s="9"/>
      <c r="X28874" s="9"/>
    </row>
    <row r="28875">
      <c r="D28875" s="9"/>
      <c r="G28875" s="9"/>
      <c r="J28875" s="11"/>
      <c r="U28875" s="9"/>
      <c r="X28875" s="9"/>
    </row>
    <row r="28876">
      <c r="D28876" s="9"/>
      <c r="G28876" s="9"/>
      <c r="J28876" s="11"/>
      <c r="U28876" s="9"/>
      <c r="X28876" s="9"/>
    </row>
    <row r="28877">
      <c r="D28877" s="9"/>
      <c r="G28877" s="9"/>
      <c r="J28877" s="11"/>
      <c r="U28877" s="9"/>
      <c r="X28877" s="9"/>
    </row>
    <row r="28878">
      <c r="D28878" s="9"/>
      <c r="G28878" s="9"/>
      <c r="J28878" s="11"/>
      <c r="U28878" s="9"/>
      <c r="X28878" s="9"/>
    </row>
    <row r="28879">
      <c r="D28879" s="9"/>
      <c r="G28879" s="9"/>
      <c r="J28879" s="11"/>
      <c r="U28879" s="9"/>
      <c r="X28879" s="9"/>
    </row>
    <row r="28880">
      <c r="D28880" s="9"/>
      <c r="G28880" s="9"/>
      <c r="J28880" s="11"/>
      <c r="U28880" s="9"/>
      <c r="X28880" s="9"/>
    </row>
    <row r="28881">
      <c r="D28881" s="9"/>
      <c r="G28881" s="9"/>
      <c r="J28881" s="11"/>
      <c r="U28881" s="9"/>
      <c r="X28881" s="9"/>
    </row>
    <row r="28882">
      <c r="D28882" s="9"/>
      <c r="G28882" s="9"/>
      <c r="J28882" s="11"/>
      <c r="U28882" s="9"/>
      <c r="X28882" s="9"/>
    </row>
    <row r="28883">
      <c r="D28883" s="9"/>
      <c r="G28883" s="9"/>
      <c r="J28883" s="11"/>
      <c r="U28883" s="9"/>
      <c r="X28883" s="9"/>
    </row>
    <row r="28884">
      <c r="D28884" s="9"/>
      <c r="G28884" s="9"/>
      <c r="J28884" s="11"/>
      <c r="U28884" s="9"/>
      <c r="X28884" s="9"/>
    </row>
    <row r="28885">
      <c r="D28885" s="9"/>
      <c r="G28885" s="9"/>
      <c r="J28885" s="11"/>
      <c r="U28885" s="9"/>
      <c r="X28885" s="9"/>
    </row>
    <row r="28886">
      <c r="D28886" s="9"/>
      <c r="G28886" s="9"/>
      <c r="J28886" s="11"/>
      <c r="U28886" s="9"/>
      <c r="X28886" s="9"/>
    </row>
    <row r="28887">
      <c r="D28887" s="9"/>
      <c r="G28887" s="9"/>
      <c r="J28887" s="11"/>
      <c r="U28887" s="9"/>
      <c r="X28887" s="9"/>
    </row>
    <row r="28888">
      <c r="D28888" s="9"/>
      <c r="G28888" s="9"/>
      <c r="J28888" s="11"/>
      <c r="U28888" s="9"/>
      <c r="X28888" s="9"/>
    </row>
    <row r="28889">
      <c r="D28889" s="9"/>
      <c r="G28889" s="9"/>
      <c r="J28889" s="11"/>
      <c r="U28889" s="9"/>
      <c r="X28889" s="9"/>
    </row>
    <row r="28890">
      <c r="D28890" s="9"/>
      <c r="G28890" s="9"/>
      <c r="J28890" s="11"/>
      <c r="U28890" s="9"/>
      <c r="X28890" s="9"/>
    </row>
    <row r="28891">
      <c r="D28891" s="9"/>
      <c r="G28891" s="9"/>
      <c r="J28891" s="11"/>
      <c r="U28891" s="9"/>
      <c r="X28891" s="9"/>
    </row>
    <row r="28892">
      <c r="D28892" s="9"/>
      <c r="G28892" s="9"/>
      <c r="J28892" s="11"/>
      <c r="U28892" s="9"/>
      <c r="X28892" s="9"/>
    </row>
    <row r="28893">
      <c r="D28893" s="9"/>
      <c r="G28893" s="9"/>
      <c r="J28893" s="11"/>
      <c r="U28893" s="9"/>
      <c r="X28893" s="9"/>
    </row>
    <row r="28894">
      <c r="D28894" s="9"/>
      <c r="G28894" s="9"/>
      <c r="J28894" s="11"/>
      <c r="U28894" s="9"/>
      <c r="X28894" s="9"/>
    </row>
    <row r="28895">
      <c r="D28895" s="9"/>
      <c r="G28895" s="9"/>
      <c r="J28895" s="11"/>
      <c r="U28895" s="9"/>
      <c r="X28895" s="9"/>
    </row>
    <row r="28896">
      <c r="D28896" s="9"/>
      <c r="G28896" s="9"/>
      <c r="J28896" s="11"/>
      <c r="U28896" s="9"/>
      <c r="X28896" s="9"/>
    </row>
    <row r="28897">
      <c r="D28897" s="9"/>
      <c r="G28897" s="9"/>
      <c r="J28897" s="11"/>
      <c r="U28897" s="9"/>
      <c r="X28897" s="9"/>
    </row>
    <row r="28898">
      <c r="D28898" s="9"/>
      <c r="G28898" s="9"/>
      <c r="J28898" s="11"/>
      <c r="U28898" s="9"/>
      <c r="X28898" s="9"/>
    </row>
    <row r="28899">
      <c r="D28899" s="9"/>
      <c r="G28899" s="9"/>
      <c r="J28899" s="11"/>
      <c r="U28899" s="9"/>
      <c r="X28899" s="9"/>
    </row>
    <row r="28900">
      <c r="D28900" s="9"/>
      <c r="G28900" s="9"/>
      <c r="J28900" s="11"/>
      <c r="U28900" s="9"/>
      <c r="X28900" s="9"/>
    </row>
    <row r="28901">
      <c r="D28901" s="9"/>
      <c r="G28901" s="9"/>
      <c r="J28901" s="11"/>
      <c r="U28901" s="9"/>
      <c r="X28901" s="9"/>
    </row>
    <row r="28902">
      <c r="D28902" s="9"/>
      <c r="G28902" s="9"/>
      <c r="J28902" s="11"/>
      <c r="U28902" s="9"/>
      <c r="X28902" s="9"/>
    </row>
    <row r="28903">
      <c r="D28903" s="9"/>
      <c r="G28903" s="9"/>
      <c r="J28903" s="11"/>
      <c r="U28903" s="9"/>
      <c r="X28903" s="9"/>
    </row>
    <row r="28904">
      <c r="D28904" s="9"/>
      <c r="G28904" s="9"/>
      <c r="J28904" s="11"/>
      <c r="U28904" s="9"/>
      <c r="X28904" s="9"/>
    </row>
    <row r="28905">
      <c r="D28905" s="9"/>
      <c r="G28905" s="9"/>
      <c r="J28905" s="11"/>
      <c r="U28905" s="9"/>
      <c r="X28905" s="9"/>
    </row>
    <row r="28906">
      <c r="D28906" s="9"/>
      <c r="G28906" s="9"/>
      <c r="J28906" s="11"/>
      <c r="U28906" s="9"/>
      <c r="X28906" s="9"/>
    </row>
    <row r="28907">
      <c r="D28907" s="9"/>
      <c r="G28907" s="9"/>
      <c r="J28907" s="11"/>
      <c r="U28907" s="9"/>
      <c r="X28907" s="9"/>
    </row>
    <row r="28908">
      <c r="D28908" s="9"/>
      <c r="G28908" s="9"/>
      <c r="J28908" s="11"/>
      <c r="U28908" s="9"/>
      <c r="X28908" s="9"/>
    </row>
    <row r="28909">
      <c r="D28909" s="9"/>
      <c r="G28909" s="9"/>
      <c r="J28909" s="11"/>
      <c r="U28909" s="9"/>
      <c r="X28909" s="9"/>
    </row>
    <row r="28910">
      <c r="D28910" s="9"/>
      <c r="G28910" s="9"/>
      <c r="J28910" s="11"/>
      <c r="U28910" s="9"/>
      <c r="X28910" s="9"/>
    </row>
    <row r="28911">
      <c r="D28911" s="9"/>
      <c r="G28911" s="9"/>
      <c r="J28911" s="11"/>
      <c r="U28911" s="9"/>
      <c r="X28911" s="9"/>
    </row>
    <row r="28912">
      <c r="D28912" s="9"/>
      <c r="G28912" s="9"/>
      <c r="J28912" s="11"/>
      <c r="U28912" s="9"/>
      <c r="X28912" s="9"/>
    </row>
    <row r="28913">
      <c r="D28913" s="9"/>
      <c r="G28913" s="9"/>
      <c r="J28913" s="11"/>
      <c r="U28913" s="9"/>
      <c r="X28913" s="9"/>
    </row>
    <row r="28914">
      <c r="D28914" s="9"/>
      <c r="G28914" s="9"/>
      <c r="J28914" s="11"/>
      <c r="U28914" s="9"/>
      <c r="X28914" s="9"/>
    </row>
    <row r="28915">
      <c r="D28915" s="9"/>
      <c r="G28915" s="9"/>
      <c r="J28915" s="11"/>
      <c r="U28915" s="9"/>
      <c r="X28915" s="9"/>
    </row>
    <row r="28916">
      <c r="D28916" s="9"/>
      <c r="G28916" s="9"/>
      <c r="J28916" s="11"/>
      <c r="U28916" s="9"/>
      <c r="X28916" s="9"/>
    </row>
    <row r="28917">
      <c r="D28917" s="9"/>
      <c r="G28917" s="9"/>
      <c r="J28917" s="11"/>
      <c r="U28917" s="9"/>
      <c r="X28917" s="9"/>
    </row>
    <row r="28918">
      <c r="D28918" s="9"/>
      <c r="G28918" s="9"/>
      <c r="J28918" s="11"/>
      <c r="U28918" s="9"/>
      <c r="X28918" s="9"/>
    </row>
    <row r="28919">
      <c r="D28919" s="9"/>
      <c r="G28919" s="9"/>
      <c r="J28919" s="11"/>
      <c r="U28919" s="9"/>
      <c r="X28919" s="9"/>
    </row>
    <row r="28920">
      <c r="D28920" s="9"/>
      <c r="G28920" s="9"/>
      <c r="J28920" s="11"/>
      <c r="U28920" s="9"/>
      <c r="X28920" s="9"/>
    </row>
    <row r="28921">
      <c r="D28921" s="9"/>
      <c r="G28921" s="9"/>
      <c r="J28921" s="11"/>
      <c r="U28921" s="9"/>
      <c r="X28921" s="9"/>
    </row>
    <row r="28922">
      <c r="D28922" s="9"/>
      <c r="G28922" s="9"/>
      <c r="J28922" s="11"/>
      <c r="U28922" s="9"/>
      <c r="X28922" s="9"/>
    </row>
    <row r="28923">
      <c r="D28923" s="9"/>
      <c r="G28923" s="9"/>
      <c r="J28923" s="11"/>
      <c r="U28923" s="9"/>
      <c r="X28923" s="9"/>
    </row>
    <row r="28924">
      <c r="D28924" s="9"/>
      <c r="G28924" s="9"/>
      <c r="J28924" s="11"/>
      <c r="U28924" s="9"/>
      <c r="X28924" s="9"/>
    </row>
    <row r="28925">
      <c r="D28925" s="9"/>
      <c r="G28925" s="9"/>
      <c r="J28925" s="11"/>
      <c r="U28925" s="9"/>
      <c r="X28925" s="9"/>
    </row>
    <row r="28926">
      <c r="D28926" s="9"/>
      <c r="G28926" s="9"/>
      <c r="J28926" s="11"/>
      <c r="U28926" s="9"/>
      <c r="X28926" s="9"/>
    </row>
    <row r="28927">
      <c r="D28927" s="9"/>
      <c r="G28927" s="9"/>
      <c r="J28927" s="11"/>
      <c r="U28927" s="9"/>
      <c r="X28927" s="9"/>
    </row>
    <row r="28928">
      <c r="D28928" s="9"/>
      <c r="G28928" s="9"/>
      <c r="J28928" s="11"/>
      <c r="U28928" s="9"/>
      <c r="X28928" s="9"/>
    </row>
    <row r="28929">
      <c r="D28929" s="9"/>
      <c r="G28929" s="9"/>
      <c r="J28929" s="11"/>
      <c r="U28929" s="9"/>
      <c r="X28929" s="9"/>
    </row>
    <row r="28930">
      <c r="D28930" s="9"/>
      <c r="G28930" s="9"/>
      <c r="J28930" s="11"/>
      <c r="U28930" s="9"/>
      <c r="X28930" s="9"/>
    </row>
    <row r="28931">
      <c r="D28931" s="9"/>
      <c r="G28931" s="9"/>
      <c r="J28931" s="11"/>
      <c r="U28931" s="9"/>
      <c r="X28931" s="9"/>
    </row>
    <row r="28932">
      <c r="D28932" s="9"/>
      <c r="G28932" s="9"/>
      <c r="J28932" s="11"/>
      <c r="U28932" s="9"/>
      <c r="X28932" s="9"/>
    </row>
    <row r="28933">
      <c r="D28933" s="9"/>
      <c r="G28933" s="9"/>
      <c r="J28933" s="11"/>
      <c r="U28933" s="9"/>
      <c r="X28933" s="9"/>
    </row>
    <row r="28934">
      <c r="D28934" s="9"/>
      <c r="G28934" s="9"/>
      <c r="J28934" s="11"/>
      <c r="U28934" s="9"/>
      <c r="X28934" s="9"/>
    </row>
    <row r="28935">
      <c r="D28935" s="9"/>
      <c r="G28935" s="9"/>
      <c r="J28935" s="11"/>
      <c r="U28935" s="9"/>
      <c r="X28935" s="9"/>
    </row>
    <row r="28936">
      <c r="D28936" s="9"/>
      <c r="G28936" s="9"/>
      <c r="J28936" s="11"/>
      <c r="U28936" s="9"/>
      <c r="X28936" s="9"/>
    </row>
    <row r="28937">
      <c r="D28937" s="9"/>
      <c r="G28937" s="9"/>
      <c r="J28937" s="11"/>
      <c r="U28937" s="9"/>
      <c r="X28937" s="9"/>
    </row>
    <row r="28938">
      <c r="D28938" s="9"/>
      <c r="G28938" s="9"/>
      <c r="J28938" s="11"/>
      <c r="U28938" s="9"/>
      <c r="X28938" s="9"/>
    </row>
    <row r="28939">
      <c r="D28939" s="9"/>
      <c r="G28939" s="9"/>
      <c r="J28939" s="11"/>
      <c r="U28939" s="9"/>
      <c r="X28939" s="9"/>
    </row>
    <row r="28940">
      <c r="D28940" s="9"/>
      <c r="G28940" s="9"/>
      <c r="J28940" s="11"/>
      <c r="U28940" s="9"/>
      <c r="X28940" s="9"/>
    </row>
    <row r="28941">
      <c r="D28941" s="9"/>
      <c r="G28941" s="9"/>
      <c r="J28941" s="11"/>
      <c r="U28941" s="9"/>
      <c r="X28941" s="9"/>
    </row>
    <row r="28942">
      <c r="D28942" s="9"/>
      <c r="G28942" s="9"/>
      <c r="J28942" s="11"/>
      <c r="U28942" s="9"/>
      <c r="X28942" s="9"/>
    </row>
    <row r="28943">
      <c r="D28943" s="9"/>
      <c r="G28943" s="9"/>
      <c r="J28943" s="11"/>
      <c r="U28943" s="9"/>
      <c r="X28943" s="9"/>
    </row>
    <row r="28944">
      <c r="D28944" s="9"/>
      <c r="G28944" s="9"/>
      <c r="J28944" s="11"/>
      <c r="U28944" s="9"/>
      <c r="X28944" s="9"/>
    </row>
    <row r="28945">
      <c r="D28945" s="9"/>
      <c r="G28945" s="9"/>
      <c r="J28945" s="11"/>
      <c r="U28945" s="9"/>
      <c r="X28945" s="9"/>
    </row>
    <row r="28946">
      <c r="D28946" s="9"/>
      <c r="G28946" s="9"/>
      <c r="J28946" s="11"/>
      <c r="U28946" s="9"/>
      <c r="X28946" s="9"/>
    </row>
    <row r="28947">
      <c r="D28947" s="9"/>
      <c r="G28947" s="9"/>
      <c r="J28947" s="11"/>
      <c r="U28947" s="9"/>
      <c r="X28947" s="9"/>
    </row>
    <row r="28948">
      <c r="D28948" s="9"/>
      <c r="G28948" s="9"/>
      <c r="J28948" s="11"/>
      <c r="U28948" s="9"/>
      <c r="X28948" s="9"/>
    </row>
    <row r="28949">
      <c r="D28949" s="9"/>
      <c r="G28949" s="9"/>
      <c r="J28949" s="11"/>
      <c r="U28949" s="9"/>
      <c r="X28949" s="9"/>
    </row>
    <row r="28950">
      <c r="D28950" s="9"/>
      <c r="G28950" s="9"/>
      <c r="J28950" s="11"/>
      <c r="U28950" s="9"/>
      <c r="X28950" s="9"/>
    </row>
    <row r="28951">
      <c r="D28951" s="9"/>
      <c r="G28951" s="9"/>
      <c r="J28951" s="11"/>
      <c r="U28951" s="9"/>
      <c r="X28951" s="9"/>
    </row>
    <row r="28952">
      <c r="D28952" s="9"/>
      <c r="G28952" s="9"/>
      <c r="J28952" s="11"/>
      <c r="U28952" s="9"/>
      <c r="X28952" s="9"/>
    </row>
    <row r="28953">
      <c r="D28953" s="9"/>
      <c r="G28953" s="9"/>
      <c r="J28953" s="11"/>
      <c r="U28953" s="9"/>
      <c r="X28953" s="9"/>
    </row>
    <row r="28954">
      <c r="D28954" s="9"/>
      <c r="G28954" s="9"/>
      <c r="J28954" s="11"/>
      <c r="U28954" s="9"/>
      <c r="X28954" s="9"/>
    </row>
    <row r="28955">
      <c r="D28955" s="9"/>
      <c r="G28955" s="9"/>
      <c r="J28955" s="11"/>
      <c r="U28955" s="9"/>
      <c r="X28955" s="9"/>
    </row>
    <row r="28956">
      <c r="D28956" s="9"/>
      <c r="G28956" s="9"/>
      <c r="J28956" s="11"/>
      <c r="U28956" s="9"/>
      <c r="X28956" s="9"/>
    </row>
    <row r="28957">
      <c r="D28957" s="9"/>
      <c r="G28957" s="9"/>
      <c r="J28957" s="11"/>
      <c r="U28957" s="9"/>
      <c r="X28957" s="9"/>
    </row>
    <row r="28958">
      <c r="D28958" s="9"/>
      <c r="G28958" s="9"/>
      <c r="J28958" s="11"/>
      <c r="U28958" s="9"/>
      <c r="X28958" s="9"/>
    </row>
    <row r="28959">
      <c r="D28959" s="9"/>
      <c r="G28959" s="9"/>
      <c r="J28959" s="11"/>
      <c r="U28959" s="9"/>
      <c r="X28959" s="9"/>
    </row>
    <row r="28960">
      <c r="D28960" s="9"/>
      <c r="G28960" s="9"/>
      <c r="J28960" s="11"/>
      <c r="U28960" s="9"/>
      <c r="X28960" s="9"/>
    </row>
    <row r="28961">
      <c r="D28961" s="9"/>
      <c r="G28961" s="9"/>
      <c r="J28961" s="11"/>
      <c r="U28961" s="9"/>
      <c r="X28961" s="9"/>
    </row>
    <row r="28962">
      <c r="D28962" s="9"/>
      <c r="G28962" s="9"/>
      <c r="J28962" s="11"/>
      <c r="U28962" s="9"/>
      <c r="X28962" s="9"/>
    </row>
    <row r="28963">
      <c r="D28963" s="9"/>
      <c r="G28963" s="9"/>
      <c r="J28963" s="11"/>
      <c r="U28963" s="9"/>
      <c r="X28963" s="9"/>
    </row>
    <row r="28964">
      <c r="D28964" s="9"/>
      <c r="G28964" s="9"/>
      <c r="J28964" s="11"/>
      <c r="U28964" s="9"/>
      <c r="X28964" s="9"/>
    </row>
    <row r="28965">
      <c r="D28965" s="9"/>
      <c r="G28965" s="9"/>
      <c r="J28965" s="11"/>
      <c r="U28965" s="9"/>
      <c r="X28965" s="9"/>
    </row>
    <row r="28966">
      <c r="D28966" s="9"/>
      <c r="G28966" s="9"/>
      <c r="J28966" s="11"/>
      <c r="U28966" s="9"/>
      <c r="X28966" s="9"/>
    </row>
    <row r="28967">
      <c r="D28967" s="9"/>
      <c r="G28967" s="9"/>
      <c r="J28967" s="11"/>
      <c r="U28967" s="9"/>
      <c r="X28967" s="9"/>
    </row>
    <row r="28968">
      <c r="D28968" s="9"/>
      <c r="G28968" s="9"/>
      <c r="J28968" s="11"/>
      <c r="U28968" s="9"/>
      <c r="X28968" s="9"/>
    </row>
    <row r="28969">
      <c r="D28969" s="9"/>
      <c r="G28969" s="9"/>
      <c r="J28969" s="11"/>
      <c r="U28969" s="9"/>
      <c r="X28969" s="9"/>
    </row>
    <row r="28970">
      <c r="D28970" s="9"/>
      <c r="G28970" s="9"/>
      <c r="J28970" s="11"/>
      <c r="U28970" s="9"/>
      <c r="X28970" s="9"/>
    </row>
    <row r="28971">
      <c r="D28971" s="9"/>
      <c r="G28971" s="9"/>
      <c r="J28971" s="11"/>
      <c r="U28971" s="9"/>
      <c r="X28971" s="9"/>
    </row>
    <row r="28972">
      <c r="D28972" s="9"/>
      <c r="G28972" s="9"/>
      <c r="J28972" s="11"/>
      <c r="U28972" s="9"/>
      <c r="X28972" s="9"/>
    </row>
    <row r="28973">
      <c r="D28973" s="9"/>
      <c r="G28973" s="9"/>
      <c r="J28973" s="11"/>
      <c r="U28973" s="9"/>
      <c r="X28973" s="9"/>
    </row>
    <row r="28974">
      <c r="D28974" s="9"/>
      <c r="G28974" s="9"/>
      <c r="J28974" s="11"/>
      <c r="U28974" s="9"/>
      <c r="X28974" s="9"/>
    </row>
    <row r="28975">
      <c r="D28975" s="9"/>
      <c r="G28975" s="9"/>
      <c r="J28975" s="11"/>
      <c r="U28975" s="9"/>
      <c r="X28975" s="9"/>
    </row>
    <row r="28976">
      <c r="D28976" s="9"/>
      <c r="G28976" s="9"/>
      <c r="J28976" s="11"/>
      <c r="U28976" s="9"/>
      <c r="X28976" s="9"/>
    </row>
    <row r="28977">
      <c r="D28977" s="9"/>
      <c r="G28977" s="9"/>
      <c r="J28977" s="11"/>
      <c r="U28977" s="9"/>
      <c r="X28977" s="9"/>
    </row>
    <row r="28978">
      <c r="D28978" s="9"/>
      <c r="G28978" s="9"/>
      <c r="J28978" s="11"/>
      <c r="U28978" s="9"/>
      <c r="X28978" s="9"/>
    </row>
    <row r="28979">
      <c r="D28979" s="9"/>
      <c r="G28979" s="9"/>
      <c r="J28979" s="11"/>
      <c r="U28979" s="9"/>
      <c r="X28979" s="9"/>
    </row>
    <row r="28980">
      <c r="D28980" s="9"/>
      <c r="G28980" s="9"/>
      <c r="J28980" s="11"/>
      <c r="U28980" s="9"/>
      <c r="X28980" s="9"/>
    </row>
    <row r="28981">
      <c r="D28981" s="9"/>
      <c r="G28981" s="9"/>
      <c r="J28981" s="11"/>
      <c r="U28981" s="9"/>
      <c r="X28981" s="9"/>
    </row>
    <row r="28982">
      <c r="D28982" s="9"/>
      <c r="G28982" s="9"/>
      <c r="J28982" s="11"/>
      <c r="U28982" s="9"/>
      <c r="X28982" s="9"/>
    </row>
    <row r="28983">
      <c r="D28983" s="9"/>
      <c r="G28983" s="9"/>
      <c r="J28983" s="11"/>
      <c r="U28983" s="9"/>
      <c r="X28983" s="9"/>
    </row>
    <row r="28984">
      <c r="D28984" s="9"/>
      <c r="G28984" s="9"/>
      <c r="J28984" s="11"/>
      <c r="U28984" s="9"/>
      <c r="X28984" s="9"/>
    </row>
    <row r="28985">
      <c r="D28985" s="9"/>
      <c r="G28985" s="9"/>
      <c r="J28985" s="11"/>
      <c r="U28985" s="9"/>
      <c r="X28985" s="9"/>
    </row>
    <row r="28986">
      <c r="D28986" s="9"/>
      <c r="G28986" s="9"/>
      <c r="J28986" s="11"/>
      <c r="U28986" s="9"/>
      <c r="X28986" s="9"/>
    </row>
    <row r="28987">
      <c r="D28987" s="9"/>
      <c r="G28987" s="9"/>
      <c r="J28987" s="11"/>
      <c r="U28987" s="9"/>
      <c r="X28987" s="9"/>
    </row>
    <row r="28988">
      <c r="D28988" s="9"/>
      <c r="G28988" s="9"/>
      <c r="J28988" s="11"/>
      <c r="U28988" s="9"/>
      <c r="X28988" s="9"/>
    </row>
    <row r="28989">
      <c r="D28989" s="9"/>
      <c r="G28989" s="9"/>
      <c r="J28989" s="11"/>
      <c r="U28989" s="9"/>
      <c r="X28989" s="9"/>
    </row>
    <row r="28990">
      <c r="D28990" s="9"/>
      <c r="G28990" s="9"/>
      <c r="J28990" s="11"/>
      <c r="U28990" s="9"/>
      <c r="X28990" s="9"/>
    </row>
    <row r="28991">
      <c r="D28991" s="9"/>
      <c r="G28991" s="9"/>
      <c r="J28991" s="11"/>
      <c r="U28991" s="9"/>
      <c r="X28991" s="9"/>
    </row>
    <row r="28992">
      <c r="D28992" s="9"/>
      <c r="G28992" s="9"/>
      <c r="J28992" s="11"/>
      <c r="U28992" s="9"/>
      <c r="X28992" s="9"/>
    </row>
    <row r="28993">
      <c r="D28993" s="9"/>
      <c r="G28993" s="9"/>
      <c r="J28993" s="11"/>
      <c r="U28993" s="9"/>
      <c r="X28993" s="9"/>
    </row>
    <row r="28994">
      <c r="D28994" s="9"/>
      <c r="G28994" s="9"/>
      <c r="J28994" s="11"/>
      <c r="U28994" s="9"/>
      <c r="X28994" s="9"/>
    </row>
    <row r="28995">
      <c r="D28995" s="9"/>
      <c r="G28995" s="9"/>
      <c r="J28995" s="11"/>
      <c r="U28995" s="9"/>
      <c r="X28995" s="9"/>
    </row>
    <row r="28996">
      <c r="D28996" s="9"/>
      <c r="G28996" s="9"/>
      <c r="J28996" s="11"/>
      <c r="U28996" s="9"/>
      <c r="X28996" s="9"/>
    </row>
    <row r="28997">
      <c r="D28997" s="9"/>
      <c r="G28997" s="9"/>
      <c r="J28997" s="11"/>
      <c r="U28997" s="9"/>
      <c r="X28997" s="9"/>
    </row>
    <row r="28998">
      <c r="D28998" s="9"/>
      <c r="G28998" s="9"/>
      <c r="J28998" s="11"/>
      <c r="U28998" s="9"/>
      <c r="X28998" s="9"/>
    </row>
    <row r="28999">
      <c r="D28999" s="9"/>
      <c r="G28999" s="9"/>
      <c r="J28999" s="11"/>
      <c r="U28999" s="9"/>
      <c r="X28999" s="9"/>
    </row>
    <row r="29000">
      <c r="D29000" s="9"/>
      <c r="G29000" s="9"/>
      <c r="J29000" s="11"/>
      <c r="U29000" s="9"/>
      <c r="X29000" s="9"/>
    </row>
    <row r="29001">
      <c r="D29001" s="9"/>
      <c r="G29001" s="9"/>
      <c r="J29001" s="11"/>
      <c r="U29001" s="9"/>
      <c r="X29001" s="9"/>
    </row>
    <row r="29002">
      <c r="D29002" s="9"/>
      <c r="G29002" s="9"/>
      <c r="J29002" s="11"/>
      <c r="U29002" s="9"/>
      <c r="X29002" s="9"/>
    </row>
    <row r="29003">
      <c r="D29003" s="9"/>
      <c r="G29003" s="9"/>
      <c r="J29003" s="11"/>
      <c r="U29003" s="9"/>
      <c r="X29003" s="9"/>
    </row>
    <row r="29004">
      <c r="D29004" s="9"/>
      <c r="G29004" s="9"/>
      <c r="J29004" s="11"/>
      <c r="U29004" s="9"/>
      <c r="X29004" s="9"/>
    </row>
    <row r="29005">
      <c r="D29005" s="9"/>
      <c r="G29005" s="9"/>
      <c r="J29005" s="11"/>
      <c r="U29005" s="9"/>
      <c r="X29005" s="9"/>
    </row>
    <row r="29006">
      <c r="D29006" s="9"/>
      <c r="G29006" s="9"/>
      <c r="J29006" s="11"/>
      <c r="U29006" s="9"/>
      <c r="X29006" s="9"/>
    </row>
    <row r="29007">
      <c r="D29007" s="9"/>
      <c r="G29007" s="9"/>
      <c r="J29007" s="11"/>
      <c r="U29007" s="9"/>
      <c r="X29007" s="9"/>
    </row>
    <row r="29008">
      <c r="D29008" s="9"/>
      <c r="G29008" s="9"/>
      <c r="J29008" s="11"/>
      <c r="U29008" s="9"/>
      <c r="X29008" s="9"/>
    </row>
    <row r="29009">
      <c r="D29009" s="9"/>
      <c r="G29009" s="9"/>
      <c r="J29009" s="11"/>
      <c r="U29009" s="9"/>
      <c r="X29009" s="9"/>
    </row>
    <row r="29010">
      <c r="D29010" s="9"/>
      <c r="G29010" s="9"/>
      <c r="J29010" s="11"/>
      <c r="U29010" s="9"/>
      <c r="X29010" s="9"/>
    </row>
    <row r="29011">
      <c r="D29011" s="9"/>
      <c r="G29011" s="9"/>
      <c r="J29011" s="11"/>
      <c r="U29011" s="9"/>
      <c r="X29011" s="9"/>
    </row>
    <row r="29012">
      <c r="D29012" s="9"/>
      <c r="G29012" s="9"/>
      <c r="J29012" s="11"/>
      <c r="U29012" s="9"/>
      <c r="X29012" s="9"/>
    </row>
    <row r="29013">
      <c r="D29013" s="9"/>
      <c r="G29013" s="9"/>
      <c r="J29013" s="11"/>
      <c r="U29013" s="9"/>
      <c r="X29013" s="9"/>
    </row>
    <row r="29014">
      <c r="D29014" s="9"/>
      <c r="G29014" s="9"/>
      <c r="J29014" s="11"/>
      <c r="U29014" s="9"/>
      <c r="X29014" s="9"/>
    </row>
    <row r="29015">
      <c r="D29015" s="9"/>
      <c r="G29015" s="9"/>
      <c r="J29015" s="11"/>
      <c r="U29015" s="9"/>
      <c r="X29015" s="9"/>
    </row>
    <row r="29016">
      <c r="D29016" s="9"/>
      <c r="G29016" s="9"/>
      <c r="J29016" s="11"/>
      <c r="U29016" s="9"/>
      <c r="X29016" s="9"/>
    </row>
    <row r="29017">
      <c r="D29017" s="9"/>
      <c r="G29017" s="9"/>
      <c r="J29017" s="11"/>
      <c r="U29017" s="9"/>
      <c r="X29017" s="9"/>
    </row>
    <row r="29018">
      <c r="D29018" s="9"/>
      <c r="G29018" s="9"/>
      <c r="J29018" s="11"/>
      <c r="U29018" s="9"/>
      <c r="X29018" s="9"/>
    </row>
    <row r="29019">
      <c r="D29019" s="9"/>
      <c r="G29019" s="9"/>
      <c r="J29019" s="11"/>
      <c r="U29019" s="9"/>
      <c r="X29019" s="9"/>
    </row>
    <row r="29020">
      <c r="D29020" s="9"/>
      <c r="G29020" s="9"/>
      <c r="J29020" s="11"/>
      <c r="U29020" s="9"/>
      <c r="X29020" s="9"/>
    </row>
    <row r="29021">
      <c r="D29021" s="9"/>
      <c r="G29021" s="9"/>
      <c r="J29021" s="11"/>
      <c r="U29021" s="9"/>
      <c r="X29021" s="9"/>
    </row>
    <row r="29022">
      <c r="D29022" s="9"/>
      <c r="G29022" s="9"/>
      <c r="J29022" s="11"/>
      <c r="U29022" s="9"/>
      <c r="X29022" s="9"/>
    </row>
    <row r="29023">
      <c r="D29023" s="9"/>
      <c r="G29023" s="9"/>
      <c r="J29023" s="11"/>
      <c r="U29023" s="9"/>
      <c r="X29023" s="9"/>
    </row>
    <row r="29024">
      <c r="D29024" s="9"/>
      <c r="G29024" s="9"/>
      <c r="J29024" s="11"/>
      <c r="U29024" s="9"/>
      <c r="X29024" s="9"/>
    </row>
    <row r="29025">
      <c r="D29025" s="9"/>
      <c r="G29025" s="9"/>
      <c r="J29025" s="11"/>
      <c r="U29025" s="9"/>
      <c r="X29025" s="9"/>
    </row>
    <row r="29026">
      <c r="D29026" s="9"/>
      <c r="G29026" s="9"/>
      <c r="J29026" s="11"/>
      <c r="U29026" s="9"/>
      <c r="X29026" s="9"/>
    </row>
    <row r="29027">
      <c r="D29027" s="9"/>
      <c r="G29027" s="9"/>
      <c r="J29027" s="11"/>
      <c r="U29027" s="9"/>
      <c r="X29027" s="9"/>
    </row>
    <row r="29028">
      <c r="D29028" s="9"/>
      <c r="G29028" s="9"/>
      <c r="J29028" s="11"/>
      <c r="U29028" s="9"/>
      <c r="X29028" s="9"/>
    </row>
    <row r="29029">
      <c r="D29029" s="9"/>
      <c r="G29029" s="9"/>
      <c r="J29029" s="11"/>
      <c r="U29029" s="9"/>
      <c r="X29029" s="9"/>
    </row>
    <row r="29030">
      <c r="D29030" s="9"/>
      <c r="G29030" s="9"/>
      <c r="J29030" s="11"/>
      <c r="U29030" s="9"/>
      <c r="X29030" s="9"/>
    </row>
    <row r="29031">
      <c r="D29031" s="9"/>
      <c r="G29031" s="9"/>
      <c r="J29031" s="11"/>
      <c r="U29031" s="9"/>
      <c r="X29031" s="9"/>
    </row>
    <row r="29032">
      <c r="D29032" s="9"/>
      <c r="G29032" s="9"/>
      <c r="J29032" s="11"/>
      <c r="U29032" s="9"/>
      <c r="X29032" s="9"/>
    </row>
    <row r="29033">
      <c r="D29033" s="9"/>
      <c r="G29033" s="9"/>
      <c r="J29033" s="11"/>
      <c r="U29033" s="9"/>
      <c r="X29033" s="9"/>
    </row>
    <row r="29034">
      <c r="D29034" s="9"/>
      <c r="G29034" s="9"/>
      <c r="J29034" s="11"/>
      <c r="U29034" s="9"/>
      <c r="X29034" s="9"/>
    </row>
    <row r="29035">
      <c r="D29035" s="9"/>
      <c r="G29035" s="9"/>
      <c r="J29035" s="11"/>
      <c r="U29035" s="9"/>
      <c r="X29035" s="9"/>
    </row>
    <row r="29036">
      <c r="D29036" s="9"/>
      <c r="G29036" s="9"/>
      <c r="J29036" s="11"/>
      <c r="U29036" s="9"/>
      <c r="X29036" s="9"/>
    </row>
    <row r="29037">
      <c r="D29037" s="9"/>
      <c r="G29037" s="9"/>
      <c r="J29037" s="11"/>
      <c r="U29037" s="9"/>
      <c r="X29037" s="9"/>
    </row>
    <row r="29038">
      <c r="D29038" s="9"/>
      <c r="G29038" s="9"/>
      <c r="J29038" s="11"/>
      <c r="U29038" s="9"/>
      <c r="X29038" s="9"/>
    </row>
    <row r="29039">
      <c r="D29039" s="9"/>
      <c r="G29039" s="9"/>
      <c r="J29039" s="11"/>
      <c r="U29039" s="9"/>
      <c r="X29039" s="9"/>
    </row>
    <row r="29040">
      <c r="D29040" s="9"/>
      <c r="G29040" s="9"/>
      <c r="J29040" s="11"/>
      <c r="U29040" s="9"/>
      <c r="X29040" s="9"/>
    </row>
    <row r="29041">
      <c r="D29041" s="9"/>
      <c r="G29041" s="9"/>
      <c r="J29041" s="11"/>
      <c r="U29041" s="9"/>
      <c r="X29041" s="9"/>
    </row>
    <row r="29042">
      <c r="D29042" s="9"/>
      <c r="G29042" s="9"/>
      <c r="J29042" s="11"/>
      <c r="U29042" s="9"/>
      <c r="X29042" s="9"/>
    </row>
    <row r="29043">
      <c r="D29043" s="9"/>
      <c r="G29043" s="9"/>
      <c r="J29043" s="11"/>
      <c r="U29043" s="9"/>
      <c r="X29043" s="9"/>
    </row>
    <row r="29044">
      <c r="D29044" s="9"/>
      <c r="G29044" s="9"/>
      <c r="J29044" s="11"/>
      <c r="U29044" s="9"/>
      <c r="X29044" s="9"/>
    </row>
    <row r="29045">
      <c r="D29045" s="9"/>
      <c r="G29045" s="9"/>
      <c r="J29045" s="11"/>
      <c r="U29045" s="9"/>
      <c r="X29045" s="9"/>
    </row>
    <row r="29046">
      <c r="D29046" s="9"/>
      <c r="G29046" s="9"/>
      <c r="J29046" s="11"/>
      <c r="U29046" s="9"/>
      <c r="X29046" s="9"/>
    </row>
    <row r="29047">
      <c r="D29047" s="9"/>
      <c r="G29047" s="9"/>
      <c r="J29047" s="11"/>
      <c r="U29047" s="9"/>
      <c r="X29047" s="9"/>
    </row>
    <row r="29048">
      <c r="D29048" s="9"/>
      <c r="G29048" s="9"/>
      <c r="J29048" s="11"/>
      <c r="U29048" s="9"/>
      <c r="X29048" s="9"/>
    </row>
    <row r="29049">
      <c r="D29049" s="9"/>
      <c r="G29049" s="9"/>
      <c r="J29049" s="11"/>
      <c r="U29049" s="9"/>
      <c r="X29049" s="9"/>
    </row>
    <row r="29050">
      <c r="D29050" s="9"/>
      <c r="G29050" s="9"/>
      <c r="J29050" s="11"/>
      <c r="U29050" s="9"/>
      <c r="X29050" s="9"/>
    </row>
    <row r="29051">
      <c r="D29051" s="9"/>
      <c r="G29051" s="9"/>
      <c r="J29051" s="11"/>
      <c r="U29051" s="9"/>
      <c r="X29051" s="9"/>
    </row>
    <row r="29052">
      <c r="D29052" s="9"/>
      <c r="G29052" s="9"/>
      <c r="J29052" s="11"/>
      <c r="U29052" s="9"/>
      <c r="X29052" s="9"/>
    </row>
    <row r="29053">
      <c r="D29053" s="9"/>
      <c r="G29053" s="9"/>
      <c r="J29053" s="11"/>
      <c r="U29053" s="9"/>
      <c r="X29053" s="9"/>
    </row>
    <row r="29054">
      <c r="D29054" s="9"/>
      <c r="G29054" s="9"/>
      <c r="J29054" s="11"/>
      <c r="U29054" s="9"/>
      <c r="X29054" s="9"/>
    </row>
    <row r="29055">
      <c r="D29055" s="9"/>
      <c r="G29055" s="9"/>
      <c r="J29055" s="11"/>
      <c r="U29055" s="9"/>
      <c r="X29055" s="9"/>
    </row>
    <row r="29056">
      <c r="D29056" s="9"/>
      <c r="G29056" s="9"/>
      <c r="J29056" s="11"/>
      <c r="U29056" s="9"/>
      <c r="X29056" s="9"/>
    </row>
    <row r="29057">
      <c r="D29057" s="9"/>
      <c r="G29057" s="9"/>
      <c r="J29057" s="11"/>
      <c r="U29057" s="9"/>
      <c r="X29057" s="9"/>
    </row>
    <row r="29058">
      <c r="D29058" s="9"/>
      <c r="G29058" s="9"/>
      <c r="J29058" s="11"/>
      <c r="U29058" s="9"/>
      <c r="X29058" s="9"/>
    </row>
    <row r="29059">
      <c r="D29059" s="9"/>
      <c r="G29059" s="9"/>
      <c r="J29059" s="11"/>
      <c r="U29059" s="9"/>
      <c r="X29059" s="9"/>
    </row>
    <row r="29060">
      <c r="D29060" s="9"/>
      <c r="G29060" s="9"/>
      <c r="J29060" s="11"/>
      <c r="U29060" s="9"/>
      <c r="X29060" s="9"/>
    </row>
    <row r="29061">
      <c r="D29061" s="9"/>
      <c r="G29061" s="9"/>
      <c r="J29061" s="11"/>
      <c r="U29061" s="9"/>
      <c r="X29061" s="9"/>
    </row>
    <row r="29062">
      <c r="D29062" s="9"/>
      <c r="G29062" s="9"/>
      <c r="J29062" s="11"/>
      <c r="U29062" s="9"/>
      <c r="X29062" s="9"/>
    </row>
    <row r="29063">
      <c r="D29063" s="9"/>
      <c r="G29063" s="9"/>
      <c r="J29063" s="11"/>
      <c r="U29063" s="9"/>
      <c r="X29063" s="9"/>
    </row>
    <row r="29064">
      <c r="D29064" s="9"/>
      <c r="G29064" s="9"/>
      <c r="J29064" s="11"/>
      <c r="U29064" s="9"/>
      <c r="X29064" s="9"/>
    </row>
    <row r="29065">
      <c r="D29065" s="9"/>
      <c r="G29065" s="9"/>
      <c r="J29065" s="11"/>
      <c r="U29065" s="9"/>
      <c r="X29065" s="9"/>
    </row>
    <row r="29066">
      <c r="D29066" s="9"/>
      <c r="G29066" s="9"/>
      <c r="J29066" s="11"/>
      <c r="U29066" s="9"/>
      <c r="X29066" s="9"/>
    </row>
    <row r="29067">
      <c r="D29067" s="9"/>
      <c r="G29067" s="9"/>
      <c r="J29067" s="11"/>
      <c r="U29067" s="9"/>
      <c r="X29067" s="9"/>
    </row>
    <row r="29068">
      <c r="D29068" s="9"/>
      <c r="G29068" s="9"/>
      <c r="J29068" s="11"/>
      <c r="U29068" s="9"/>
      <c r="X29068" s="9"/>
    </row>
    <row r="29069">
      <c r="D29069" s="9"/>
      <c r="G29069" s="9"/>
      <c r="J29069" s="11"/>
      <c r="U29069" s="9"/>
      <c r="X29069" s="9"/>
    </row>
    <row r="29070">
      <c r="D29070" s="9"/>
      <c r="G29070" s="9"/>
      <c r="J29070" s="11"/>
      <c r="U29070" s="9"/>
      <c r="X29070" s="9"/>
    </row>
    <row r="29071">
      <c r="D29071" s="9"/>
      <c r="G29071" s="9"/>
      <c r="J29071" s="11"/>
      <c r="U29071" s="9"/>
      <c r="X29071" s="9"/>
    </row>
    <row r="29072">
      <c r="D29072" s="9"/>
      <c r="G29072" s="9"/>
      <c r="J29072" s="11"/>
      <c r="U29072" s="9"/>
      <c r="X29072" s="9"/>
    </row>
    <row r="29073">
      <c r="D29073" s="9"/>
      <c r="G29073" s="9"/>
      <c r="J29073" s="11"/>
      <c r="U29073" s="9"/>
      <c r="X29073" s="9"/>
    </row>
    <row r="29074">
      <c r="D29074" s="9"/>
      <c r="G29074" s="9"/>
      <c r="J29074" s="11"/>
      <c r="U29074" s="9"/>
      <c r="X29074" s="9"/>
    </row>
    <row r="29075">
      <c r="D29075" s="9"/>
      <c r="G29075" s="9"/>
      <c r="J29075" s="11"/>
      <c r="U29075" s="9"/>
      <c r="X29075" s="9"/>
    </row>
    <row r="29076">
      <c r="D29076" s="9"/>
      <c r="G29076" s="9"/>
      <c r="J29076" s="11"/>
      <c r="U29076" s="9"/>
      <c r="X29076" s="9"/>
    </row>
    <row r="29077">
      <c r="D29077" s="9"/>
      <c r="G29077" s="9"/>
      <c r="J29077" s="11"/>
      <c r="U29077" s="9"/>
      <c r="X29077" s="9"/>
    </row>
    <row r="29078">
      <c r="D29078" s="9"/>
      <c r="G29078" s="9"/>
      <c r="J29078" s="11"/>
      <c r="U29078" s="9"/>
      <c r="X29078" s="9"/>
    </row>
    <row r="29079">
      <c r="D29079" s="9"/>
      <c r="G29079" s="9"/>
      <c r="J29079" s="11"/>
      <c r="U29079" s="9"/>
      <c r="X29079" s="9"/>
    </row>
    <row r="29080">
      <c r="D29080" s="9"/>
      <c r="G29080" s="9"/>
      <c r="J29080" s="11"/>
      <c r="U29080" s="9"/>
      <c r="X29080" s="9"/>
    </row>
    <row r="29081">
      <c r="D29081" s="9"/>
      <c r="G29081" s="9"/>
      <c r="J29081" s="11"/>
      <c r="U29081" s="9"/>
      <c r="X29081" s="9"/>
    </row>
    <row r="29082">
      <c r="D29082" s="9"/>
      <c r="G29082" s="9"/>
      <c r="J29082" s="11"/>
      <c r="U29082" s="9"/>
      <c r="X29082" s="9"/>
    </row>
    <row r="29083">
      <c r="D29083" s="9"/>
      <c r="G29083" s="9"/>
      <c r="J29083" s="11"/>
      <c r="U29083" s="9"/>
      <c r="X29083" s="9"/>
    </row>
    <row r="29084">
      <c r="D29084" s="9"/>
      <c r="G29084" s="9"/>
      <c r="J29084" s="11"/>
      <c r="U29084" s="9"/>
      <c r="X29084" s="9"/>
    </row>
    <row r="29085">
      <c r="D29085" s="9"/>
      <c r="G29085" s="9"/>
      <c r="J29085" s="11"/>
      <c r="U29085" s="9"/>
      <c r="X29085" s="9"/>
    </row>
    <row r="29086">
      <c r="D29086" s="9"/>
      <c r="G29086" s="9"/>
      <c r="J29086" s="11"/>
      <c r="U29086" s="9"/>
      <c r="X29086" s="9"/>
    </row>
    <row r="29087">
      <c r="D29087" s="9"/>
      <c r="G29087" s="9"/>
      <c r="J29087" s="11"/>
      <c r="U29087" s="9"/>
      <c r="X29087" s="9"/>
    </row>
    <row r="29088">
      <c r="D29088" s="9"/>
      <c r="G29088" s="9"/>
      <c r="J29088" s="11"/>
      <c r="U29088" s="9"/>
      <c r="X29088" s="9"/>
    </row>
    <row r="29089">
      <c r="D29089" s="9"/>
      <c r="G29089" s="9"/>
      <c r="J29089" s="11"/>
      <c r="U29089" s="9"/>
      <c r="X29089" s="9"/>
    </row>
    <row r="29090">
      <c r="D29090" s="9"/>
      <c r="G29090" s="9"/>
      <c r="J29090" s="11"/>
      <c r="U29090" s="9"/>
      <c r="X29090" s="9"/>
    </row>
    <row r="29091">
      <c r="D29091" s="9"/>
      <c r="G29091" s="9"/>
      <c r="J29091" s="11"/>
      <c r="U29091" s="9"/>
      <c r="X29091" s="9"/>
    </row>
    <row r="29092">
      <c r="D29092" s="9"/>
      <c r="G29092" s="9"/>
      <c r="J29092" s="11"/>
      <c r="U29092" s="9"/>
      <c r="X29092" s="9"/>
    </row>
    <row r="29093">
      <c r="D29093" s="9"/>
      <c r="G29093" s="9"/>
      <c r="J29093" s="11"/>
      <c r="U29093" s="9"/>
      <c r="X29093" s="9"/>
    </row>
    <row r="29094">
      <c r="D29094" s="9"/>
      <c r="G29094" s="9"/>
      <c r="J29094" s="11"/>
      <c r="U29094" s="9"/>
      <c r="X29094" s="9"/>
    </row>
    <row r="29095">
      <c r="D29095" s="9"/>
      <c r="G29095" s="9"/>
      <c r="J29095" s="11"/>
      <c r="U29095" s="9"/>
      <c r="X29095" s="9"/>
    </row>
    <row r="29096">
      <c r="D29096" s="9"/>
      <c r="G29096" s="9"/>
      <c r="J29096" s="11"/>
      <c r="U29096" s="9"/>
      <c r="X29096" s="9"/>
    </row>
    <row r="29097">
      <c r="D29097" s="9"/>
      <c r="G29097" s="9"/>
      <c r="J29097" s="11"/>
      <c r="U29097" s="9"/>
      <c r="X29097" s="9"/>
    </row>
    <row r="29098">
      <c r="D29098" s="9"/>
      <c r="G29098" s="9"/>
      <c r="J29098" s="11"/>
      <c r="U29098" s="9"/>
      <c r="X29098" s="9"/>
    </row>
    <row r="29099">
      <c r="D29099" s="9"/>
      <c r="G29099" s="9"/>
      <c r="J29099" s="11"/>
      <c r="U29099" s="9"/>
      <c r="X29099" s="9"/>
    </row>
    <row r="29100">
      <c r="D29100" s="9"/>
      <c r="G29100" s="9"/>
      <c r="J29100" s="11"/>
      <c r="U29100" s="9"/>
      <c r="X29100" s="9"/>
    </row>
    <row r="29101">
      <c r="D29101" s="9"/>
      <c r="G29101" s="9"/>
      <c r="J29101" s="11"/>
      <c r="U29101" s="9"/>
      <c r="X29101" s="9"/>
    </row>
    <row r="29102">
      <c r="D29102" s="9"/>
      <c r="G29102" s="9"/>
      <c r="J29102" s="11"/>
      <c r="U29102" s="9"/>
      <c r="X29102" s="9"/>
    </row>
    <row r="29103">
      <c r="D29103" s="9"/>
      <c r="G29103" s="9"/>
      <c r="J29103" s="11"/>
      <c r="U29103" s="9"/>
      <c r="X29103" s="9"/>
    </row>
    <row r="29104">
      <c r="D29104" s="9"/>
      <c r="G29104" s="9"/>
      <c r="J29104" s="11"/>
      <c r="U29104" s="9"/>
      <c r="X29104" s="9"/>
    </row>
    <row r="29105">
      <c r="D29105" s="9"/>
      <c r="G29105" s="9"/>
      <c r="J29105" s="11"/>
      <c r="U29105" s="9"/>
      <c r="X29105" s="9"/>
    </row>
    <row r="29106">
      <c r="D29106" s="9"/>
      <c r="G29106" s="9"/>
      <c r="J29106" s="11"/>
      <c r="U29106" s="9"/>
      <c r="X29106" s="9"/>
    </row>
    <row r="29107">
      <c r="D29107" s="9"/>
      <c r="G29107" s="9"/>
      <c r="J29107" s="11"/>
      <c r="U29107" s="9"/>
      <c r="X29107" s="9"/>
    </row>
    <row r="29108">
      <c r="D29108" s="9"/>
      <c r="G29108" s="9"/>
      <c r="J29108" s="11"/>
      <c r="U29108" s="9"/>
      <c r="X29108" s="9"/>
    </row>
    <row r="29109">
      <c r="D29109" s="9"/>
      <c r="G29109" s="9"/>
      <c r="J29109" s="11"/>
      <c r="U29109" s="9"/>
      <c r="X29109" s="9"/>
    </row>
    <row r="29110">
      <c r="D29110" s="9"/>
      <c r="G29110" s="9"/>
      <c r="J29110" s="11"/>
      <c r="U29110" s="9"/>
      <c r="X29110" s="9"/>
    </row>
    <row r="29111">
      <c r="D29111" s="9"/>
      <c r="G29111" s="9"/>
      <c r="J29111" s="11"/>
      <c r="U29111" s="9"/>
      <c r="X29111" s="9"/>
    </row>
    <row r="29112">
      <c r="D29112" s="9"/>
      <c r="G29112" s="9"/>
      <c r="J29112" s="11"/>
      <c r="U29112" s="9"/>
      <c r="X29112" s="9"/>
    </row>
    <row r="29113">
      <c r="D29113" s="9"/>
      <c r="G29113" s="9"/>
      <c r="J29113" s="11"/>
      <c r="U29113" s="9"/>
      <c r="X29113" s="9"/>
    </row>
    <row r="29114">
      <c r="D29114" s="9"/>
      <c r="G29114" s="9"/>
      <c r="J29114" s="11"/>
      <c r="U29114" s="9"/>
      <c r="X29114" s="9"/>
    </row>
    <row r="29115">
      <c r="D29115" s="9"/>
      <c r="G29115" s="9"/>
      <c r="J29115" s="11"/>
      <c r="U29115" s="9"/>
      <c r="X29115" s="9"/>
    </row>
    <row r="29116">
      <c r="D29116" s="9"/>
      <c r="G29116" s="9"/>
      <c r="J29116" s="11"/>
      <c r="U29116" s="9"/>
      <c r="X29116" s="9"/>
    </row>
    <row r="29117">
      <c r="D29117" s="9"/>
      <c r="G29117" s="9"/>
      <c r="J29117" s="11"/>
      <c r="U29117" s="9"/>
      <c r="X29117" s="9"/>
    </row>
    <row r="29118">
      <c r="D29118" s="9"/>
      <c r="G29118" s="9"/>
      <c r="J29118" s="11"/>
      <c r="U29118" s="9"/>
      <c r="X29118" s="9"/>
    </row>
    <row r="29119">
      <c r="D29119" s="9"/>
      <c r="G29119" s="9"/>
      <c r="J29119" s="11"/>
      <c r="U29119" s="9"/>
      <c r="X29119" s="9"/>
    </row>
    <row r="29120">
      <c r="D29120" s="9"/>
      <c r="G29120" s="9"/>
      <c r="J29120" s="11"/>
      <c r="U29120" s="9"/>
      <c r="X29120" s="9"/>
    </row>
    <row r="29121">
      <c r="D29121" s="9"/>
      <c r="G29121" s="9"/>
      <c r="J29121" s="11"/>
      <c r="U29121" s="9"/>
      <c r="X29121" s="9"/>
    </row>
    <row r="29122">
      <c r="D29122" s="9"/>
      <c r="G29122" s="9"/>
      <c r="J29122" s="11"/>
      <c r="U29122" s="9"/>
      <c r="X29122" s="9"/>
    </row>
    <row r="29123">
      <c r="D29123" s="9"/>
      <c r="G29123" s="9"/>
      <c r="J29123" s="11"/>
      <c r="U29123" s="9"/>
      <c r="X29123" s="9"/>
    </row>
    <row r="29124">
      <c r="D29124" s="9"/>
      <c r="G29124" s="9"/>
      <c r="J29124" s="11"/>
      <c r="U29124" s="9"/>
      <c r="X29124" s="9"/>
    </row>
    <row r="29125">
      <c r="D29125" s="9"/>
      <c r="G29125" s="9"/>
      <c r="J29125" s="11"/>
      <c r="U29125" s="9"/>
      <c r="X29125" s="9"/>
    </row>
    <row r="29126">
      <c r="D29126" s="9"/>
      <c r="G29126" s="9"/>
      <c r="J29126" s="11"/>
      <c r="U29126" s="9"/>
      <c r="X29126" s="9"/>
    </row>
    <row r="29127">
      <c r="D29127" s="9"/>
      <c r="G29127" s="9"/>
      <c r="J29127" s="11"/>
      <c r="U29127" s="9"/>
      <c r="X29127" s="9"/>
    </row>
    <row r="29128">
      <c r="D29128" s="9"/>
      <c r="G29128" s="9"/>
      <c r="J29128" s="11"/>
      <c r="U29128" s="9"/>
      <c r="X29128" s="9"/>
    </row>
    <row r="29129">
      <c r="D29129" s="9"/>
      <c r="G29129" s="9"/>
      <c r="J29129" s="11"/>
      <c r="U29129" s="9"/>
      <c r="X29129" s="9"/>
    </row>
    <row r="29130">
      <c r="D29130" s="9"/>
      <c r="G29130" s="9"/>
      <c r="J29130" s="11"/>
      <c r="U29130" s="9"/>
      <c r="X29130" s="9"/>
    </row>
    <row r="29131">
      <c r="D29131" s="9"/>
      <c r="G29131" s="9"/>
      <c r="J29131" s="11"/>
      <c r="U29131" s="9"/>
      <c r="X29131" s="9"/>
    </row>
    <row r="29132">
      <c r="D29132" s="9"/>
      <c r="G29132" s="9"/>
      <c r="J29132" s="11"/>
      <c r="U29132" s="9"/>
      <c r="X29132" s="9"/>
    </row>
    <row r="29133">
      <c r="D29133" s="9"/>
      <c r="G29133" s="9"/>
      <c r="J29133" s="11"/>
      <c r="U29133" s="9"/>
      <c r="X29133" s="9"/>
    </row>
    <row r="29134">
      <c r="D29134" s="9"/>
      <c r="G29134" s="9"/>
      <c r="J29134" s="11"/>
      <c r="U29134" s="9"/>
      <c r="X29134" s="9"/>
    </row>
    <row r="29135">
      <c r="D29135" s="9"/>
      <c r="G29135" s="9"/>
      <c r="J29135" s="11"/>
      <c r="U29135" s="9"/>
      <c r="X29135" s="9"/>
    </row>
    <row r="29136">
      <c r="D29136" s="9"/>
      <c r="G29136" s="9"/>
      <c r="J29136" s="11"/>
      <c r="U29136" s="9"/>
      <c r="X29136" s="9"/>
    </row>
    <row r="29137">
      <c r="D29137" s="9"/>
      <c r="G29137" s="9"/>
      <c r="J29137" s="11"/>
      <c r="U29137" s="9"/>
      <c r="X29137" s="9"/>
    </row>
    <row r="29138">
      <c r="D29138" s="9"/>
      <c r="G29138" s="9"/>
      <c r="J29138" s="11"/>
      <c r="U29138" s="9"/>
      <c r="X29138" s="9"/>
    </row>
    <row r="29139">
      <c r="D29139" s="9"/>
      <c r="G29139" s="9"/>
      <c r="J29139" s="11"/>
      <c r="U29139" s="9"/>
      <c r="X29139" s="9"/>
    </row>
    <row r="29140">
      <c r="D29140" s="9"/>
      <c r="G29140" s="9"/>
      <c r="J29140" s="11"/>
      <c r="U29140" s="9"/>
      <c r="X29140" s="9"/>
    </row>
    <row r="29141">
      <c r="D29141" s="9"/>
      <c r="G29141" s="9"/>
      <c r="J29141" s="11"/>
      <c r="U29141" s="9"/>
      <c r="X29141" s="9"/>
    </row>
    <row r="29142">
      <c r="D29142" s="9"/>
      <c r="G29142" s="9"/>
      <c r="J29142" s="11"/>
      <c r="U29142" s="9"/>
      <c r="X29142" s="9"/>
    </row>
    <row r="29143">
      <c r="D29143" s="9"/>
      <c r="G29143" s="9"/>
      <c r="J29143" s="11"/>
      <c r="U29143" s="9"/>
      <c r="X29143" s="9"/>
    </row>
    <row r="29144">
      <c r="D29144" s="9"/>
      <c r="G29144" s="9"/>
      <c r="J29144" s="11"/>
      <c r="U29144" s="9"/>
      <c r="X29144" s="9"/>
    </row>
    <row r="29145">
      <c r="D29145" s="9"/>
      <c r="G29145" s="9"/>
      <c r="J29145" s="11"/>
      <c r="U29145" s="9"/>
      <c r="X29145" s="9"/>
    </row>
    <row r="29146">
      <c r="D29146" s="9"/>
      <c r="G29146" s="9"/>
      <c r="J29146" s="11"/>
      <c r="U29146" s="9"/>
      <c r="X29146" s="9"/>
    </row>
    <row r="29147">
      <c r="D29147" s="9"/>
      <c r="G29147" s="9"/>
      <c r="J29147" s="11"/>
      <c r="U29147" s="9"/>
      <c r="X29147" s="9"/>
    </row>
    <row r="29148">
      <c r="D29148" s="9"/>
      <c r="G29148" s="9"/>
      <c r="J29148" s="11"/>
      <c r="U29148" s="9"/>
      <c r="X29148" s="9"/>
    </row>
    <row r="29149">
      <c r="D29149" s="9"/>
      <c r="G29149" s="9"/>
      <c r="J29149" s="11"/>
      <c r="U29149" s="9"/>
      <c r="X29149" s="9"/>
    </row>
    <row r="29150">
      <c r="D29150" s="9"/>
      <c r="G29150" s="9"/>
      <c r="J29150" s="11"/>
      <c r="U29150" s="9"/>
      <c r="X29150" s="9"/>
    </row>
    <row r="29151">
      <c r="D29151" s="9"/>
      <c r="G29151" s="9"/>
      <c r="J29151" s="11"/>
      <c r="U29151" s="9"/>
      <c r="X29151" s="9"/>
    </row>
    <row r="29152">
      <c r="D29152" s="9"/>
      <c r="G29152" s="9"/>
      <c r="J29152" s="11"/>
      <c r="U29152" s="9"/>
      <c r="X29152" s="9"/>
    </row>
    <row r="29153">
      <c r="D29153" s="9"/>
      <c r="G29153" s="9"/>
      <c r="J29153" s="11"/>
      <c r="U29153" s="9"/>
      <c r="X29153" s="9"/>
    </row>
    <row r="29154">
      <c r="D29154" s="9"/>
      <c r="G29154" s="9"/>
      <c r="J29154" s="11"/>
      <c r="U29154" s="9"/>
      <c r="X29154" s="9"/>
    </row>
    <row r="29155">
      <c r="D29155" s="9"/>
      <c r="G29155" s="9"/>
      <c r="J29155" s="11"/>
      <c r="U29155" s="9"/>
      <c r="X29155" s="9"/>
    </row>
    <row r="29156">
      <c r="D29156" s="9"/>
      <c r="G29156" s="9"/>
      <c r="J29156" s="11"/>
      <c r="U29156" s="9"/>
      <c r="X29156" s="9"/>
    </row>
    <row r="29157">
      <c r="D29157" s="9"/>
      <c r="G29157" s="9"/>
      <c r="J29157" s="11"/>
      <c r="U29157" s="9"/>
      <c r="X29157" s="9"/>
    </row>
    <row r="29158">
      <c r="D29158" s="9"/>
      <c r="G29158" s="9"/>
      <c r="J29158" s="11"/>
      <c r="U29158" s="9"/>
      <c r="X29158" s="9"/>
    </row>
    <row r="29159">
      <c r="D29159" s="9"/>
      <c r="G29159" s="9"/>
      <c r="J29159" s="11"/>
      <c r="U29159" s="9"/>
      <c r="X29159" s="9"/>
    </row>
    <row r="29160">
      <c r="D29160" s="9"/>
      <c r="G29160" s="9"/>
      <c r="J29160" s="11"/>
      <c r="U29160" s="9"/>
      <c r="X29160" s="9"/>
    </row>
    <row r="29161">
      <c r="D29161" s="9"/>
      <c r="G29161" s="9"/>
      <c r="J29161" s="11"/>
      <c r="U29161" s="9"/>
      <c r="X29161" s="9"/>
    </row>
    <row r="29162">
      <c r="D29162" s="9"/>
      <c r="G29162" s="9"/>
      <c r="J29162" s="11"/>
      <c r="U29162" s="9"/>
      <c r="X29162" s="9"/>
    </row>
    <row r="29163">
      <c r="D29163" s="9"/>
      <c r="G29163" s="9"/>
      <c r="J29163" s="11"/>
      <c r="U29163" s="9"/>
      <c r="X29163" s="9"/>
    </row>
    <row r="29164">
      <c r="D29164" s="9"/>
      <c r="G29164" s="9"/>
      <c r="J29164" s="11"/>
      <c r="U29164" s="9"/>
      <c r="X29164" s="9"/>
    </row>
    <row r="29165">
      <c r="D29165" s="9"/>
      <c r="G29165" s="9"/>
      <c r="J29165" s="11"/>
      <c r="U29165" s="9"/>
      <c r="X29165" s="9"/>
    </row>
    <row r="29166">
      <c r="D29166" s="9"/>
      <c r="G29166" s="9"/>
      <c r="J29166" s="11"/>
      <c r="U29166" s="9"/>
      <c r="X29166" s="9"/>
    </row>
    <row r="29167">
      <c r="D29167" s="9"/>
      <c r="G29167" s="9"/>
      <c r="J29167" s="11"/>
      <c r="U29167" s="9"/>
      <c r="X29167" s="9"/>
    </row>
    <row r="29168">
      <c r="D29168" s="9"/>
      <c r="G29168" s="9"/>
      <c r="J29168" s="11"/>
      <c r="U29168" s="9"/>
      <c r="X29168" s="9"/>
    </row>
    <row r="29169">
      <c r="D29169" s="9"/>
      <c r="G29169" s="9"/>
      <c r="J29169" s="11"/>
      <c r="U29169" s="9"/>
      <c r="X29169" s="9"/>
    </row>
    <row r="29170">
      <c r="D29170" s="9"/>
      <c r="G29170" s="9"/>
      <c r="J29170" s="11"/>
      <c r="U29170" s="9"/>
      <c r="X29170" s="9"/>
    </row>
    <row r="29171">
      <c r="D29171" s="9"/>
      <c r="G29171" s="9"/>
      <c r="J29171" s="11"/>
      <c r="U29171" s="9"/>
      <c r="X29171" s="9"/>
    </row>
    <row r="29172">
      <c r="D29172" s="9"/>
      <c r="G29172" s="9"/>
      <c r="J29172" s="11"/>
      <c r="U29172" s="9"/>
      <c r="X29172" s="9"/>
    </row>
    <row r="29173">
      <c r="D29173" s="9"/>
      <c r="G29173" s="9"/>
      <c r="J29173" s="11"/>
      <c r="U29173" s="9"/>
      <c r="X29173" s="9"/>
    </row>
    <row r="29174">
      <c r="D29174" s="9"/>
      <c r="G29174" s="9"/>
      <c r="J29174" s="11"/>
      <c r="U29174" s="9"/>
      <c r="X29174" s="9"/>
    </row>
    <row r="29175">
      <c r="D29175" s="9"/>
      <c r="G29175" s="9"/>
      <c r="J29175" s="11"/>
      <c r="U29175" s="9"/>
      <c r="X29175" s="9"/>
    </row>
    <row r="29176">
      <c r="D29176" s="9"/>
      <c r="G29176" s="9"/>
      <c r="J29176" s="11"/>
      <c r="U29176" s="9"/>
      <c r="X29176" s="9"/>
    </row>
    <row r="29177">
      <c r="D29177" s="9"/>
      <c r="G29177" s="9"/>
      <c r="J29177" s="11"/>
      <c r="U29177" s="9"/>
      <c r="X29177" s="9"/>
    </row>
    <row r="29178">
      <c r="D29178" s="9"/>
      <c r="G29178" s="9"/>
      <c r="J29178" s="11"/>
      <c r="U29178" s="9"/>
      <c r="X29178" s="9"/>
    </row>
    <row r="29179">
      <c r="D29179" s="9"/>
      <c r="G29179" s="9"/>
      <c r="J29179" s="11"/>
      <c r="U29179" s="9"/>
      <c r="X29179" s="9"/>
    </row>
    <row r="29180">
      <c r="D29180" s="9"/>
      <c r="G29180" s="9"/>
      <c r="J29180" s="11"/>
      <c r="U29180" s="9"/>
      <c r="X29180" s="9"/>
    </row>
    <row r="29181">
      <c r="D29181" s="9"/>
      <c r="G29181" s="9"/>
      <c r="J29181" s="11"/>
      <c r="U29181" s="9"/>
      <c r="X29181" s="9"/>
    </row>
    <row r="29182">
      <c r="D29182" s="9"/>
      <c r="G29182" s="9"/>
      <c r="J29182" s="11"/>
      <c r="U29182" s="9"/>
      <c r="X29182" s="9"/>
    </row>
    <row r="29183">
      <c r="D29183" s="9"/>
      <c r="G29183" s="9"/>
      <c r="J29183" s="11"/>
      <c r="U29183" s="9"/>
      <c r="X29183" s="9"/>
    </row>
    <row r="29184">
      <c r="D29184" s="9"/>
      <c r="G29184" s="9"/>
      <c r="J29184" s="11"/>
      <c r="U29184" s="9"/>
      <c r="X29184" s="9"/>
    </row>
    <row r="29185">
      <c r="D29185" s="9"/>
      <c r="G29185" s="9"/>
      <c r="J29185" s="11"/>
      <c r="U29185" s="9"/>
      <c r="X29185" s="9"/>
    </row>
    <row r="29186">
      <c r="D29186" s="9"/>
      <c r="G29186" s="9"/>
      <c r="J29186" s="11"/>
      <c r="U29186" s="9"/>
      <c r="X29186" s="9"/>
    </row>
    <row r="29187">
      <c r="D29187" s="9"/>
      <c r="G29187" s="9"/>
      <c r="J29187" s="11"/>
      <c r="U29187" s="9"/>
      <c r="X29187" s="9"/>
    </row>
    <row r="29188">
      <c r="D29188" s="9"/>
      <c r="G29188" s="9"/>
      <c r="J29188" s="11"/>
      <c r="U29188" s="9"/>
      <c r="X29188" s="9"/>
    </row>
    <row r="29189">
      <c r="D29189" s="9"/>
      <c r="G29189" s="9"/>
      <c r="J29189" s="11"/>
      <c r="U29189" s="9"/>
      <c r="X29189" s="9"/>
    </row>
    <row r="29190">
      <c r="D29190" s="9"/>
      <c r="G29190" s="9"/>
      <c r="J29190" s="11"/>
      <c r="U29190" s="9"/>
      <c r="X29190" s="9"/>
    </row>
    <row r="29191">
      <c r="D29191" s="9"/>
      <c r="G29191" s="9"/>
      <c r="J29191" s="11"/>
      <c r="U29191" s="9"/>
      <c r="X29191" s="9"/>
    </row>
    <row r="29192">
      <c r="D29192" s="9"/>
      <c r="G29192" s="9"/>
      <c r="J29192" s="11"/>
      <c r="U29192" s="9"/>
      <c r="X29192" s="9"/>
    </row>
    <row r="29193">
      <c r="D29193" s="9"/>
      <c r="G29193" s="9"/>
      <c r="J29193" s="11"/>
      <c r="U29193" s="9"/>
      <c r="X29193" s="9"/>
    </row>
    <row r="29194">
      <c r="D29194" s="9"/>
      <c r="G29194" s="9"/>
      <c r="J29194" s="11"/>
      <c r="U29194" s="9"/>
      <c r="X29194" s="9"/>
    </row>
    <row r="29195">
      <c r="D29195" s="9"/>
      <c r="G29195" s="9"/>
      <c r="J29195" s="11"/>
      <c r="U29195" s="9"/>
      <c r="X29195" s="9"/>
    </row>
    <row r="29196">
      <c r="D29196" s="9"/>
      <c r="G29196" s="9"/>
      <c r="J29196" s="11"/>
      <c r="U29196" s="9"/>
      <c r="X29196" s="9"/>
    </row>
    <row r="29197">
      <c r="D29197" s="9"/>
      <c r="G29197" s="9"/>
      <c r="J29197" s="11"/>
      <c r="U29197" s="9"/>
      <c r="X29197" s="9"/>
    </row>
    <row r="29198">
      <c r="D29198" s="9"/>
      <c r="G29198" s="9"/>
      <c r="J29198" s="11"/>
      <c r="U29198" s="9"/>
      <c r="X29198" s="9"/>
    </row>
    <row r="29199">
      <c r="D29199" s="9"/>
      <c r="G29199" s="9"/>
      <c r="J29199" s="11"/>
      <c r="U29199" s="9"/>
      <c r="X29199" s="9"/>
    </row>
    <row r="29200">
      <c r="D29200" s="9"/>
      <c r="G29200" s="9"/>
      <c r="J29200" s="11"/>
      <c r="U29200" s="9"/>
      <c r="X29200" s="9"/>
    </row>
    <row r="29201">
      <c r="D29201" s="9"/>
      <c r="G29201" s="9"/>
      <c r="J29201" s="11"/>
      <c r="U29201" s="9"/>
      <c r="X29201" s="9"/>
    </row>
    <row r="29202">
      <c r="D29202" s="9"/>
      <c r="G29202" s="9"/>
      <c r="J29202" s="11"/>
      <c r="U29202" s="9"/>
      <c r="X29202" s="9"/>
    </row>
    <row r="29203">
      <c r="D29203" s="9"/>
      <c r="G29203" s="9"/>
      <c r="J29203" s="11"/>
      <c r="U29203" s="9"/>
      <c r="X29203" s="9"/>
    </row>
    <row r="29204">
      <c r="D29204" s="9"/>
      <c r="G29204" s="9"/>
      <c r="J29204" s="11"/>
      <c r="U29204" s="9"/>
      <c r="X29204" s="9"/>
    </row>
    <row r="29205">
      <c r="D29205" s="9"/>
      <c r="G29205" s="9"/>
      <c r="J29205" s="11"/>
      <c r="U29205" s="9"/>
      <c r="X29205" s="9"/>
    </row>
    <row r="29206">
      <c r="D29206" s="9"/>
      <c r="G29206" s="9"/>
      <c r="J29206" s="11"/>
      <c r="U29206" s="9"/>
      <c r="X29206" s="9"/>
    </row>
    <row r="29207">
      <c r="D29207" s="9"/>
      <c r="G29207" s="9"/>
      <c r="J29207" s="11"/>
      <c r="U29207" s="9"/>
      <c r="X29207" s="9"/>
    </row>
    <row r="29208">
      <c r="D29208" s="9"/>
      <c r="G29208" s="9"/>
      <c r="J29208" s="11"/>
      <c r="U29208" s="9"/>
      <c r="X29208" s="9"/>
    </row>
    <row r="29209">
      <c r="D29209" s="9"/>
      <c r="G29209" s="9"/>
      <c r="J29209" s="11"/>
      <c r="U29209" s="9"/>
      <c r="X29209" s="9"/>
    </row>
    <row r="29210">
      <c r="D29210" s="9"/>
      <c r="G29210" s="9"/>
      <c r="J29210" s="11"/>
      <c r="U29210" s="9"/>
      <c r="X29210" s="9"/>
    </row>
    <row r="29211">
      <c r="D29211" s="9"/>
      <c r="G29211" s="9"/>
      <c r="J29211" s="11"/>
      <c r="U29211" s="9"/>
      <c r="X29211" s="9"/>
    </row>
    <row r="29212">
      <c r="D29212" s="9"/>
      <c r="G29212" s="9"/>
      <c r="J29212" s="11"/>
      <c r="U29212" s="9"/>
      <c r="X29212" s="9"/>
    </row>
    <row r="29213">
      <c r="D29213" s="9"/>
      <c r="G29213" s="9"/>
      <c r="J29213" s="11"/>
      <c r="U29213" s="9"/>
      <c r="X29213" s="9"/>
    </row>
    <row r="29214">
      <c r="D29214" s="9"/>
      <c r="G29214" s="9"/>
      <c r="J29214" s="11"/>
      <c r="U29214" s="9"/>
      <c r="X29214" s="9"/>
    </row>
    <row r="29215">
      <c r="D29215" s="9"/>
      <c r="G29215" s="9"/>
      <c r="J29215" s="11"/>
      <c r="U29215" s="9"/>
      <c r="X29215" s="9"/>
    </row>
    <row r="29216">
      <c r="D29216" s="9"/>
      <c r="G29216" s="9"/>
      <c r="J29216" s="11"/>
      <c r="U29216" s="9"/>
      <c r="X29216" s="9"/>
    </row>
    <row r="29217">
      <c r="D29217" s="9"/>
      <c r="G29217" s="9"/>
      <c r="J29217" s="11"/>
      <c r="U29217" s="9"/>
      <c r="X29217" s="9"/>
    </row>
    <row r="29218">
      <c r="D29218" s="9"/>
      <c r="G29218" s="9"/>
      <c r="J29218" s="11"/>
      <c r="U29218" s="9"/>
      <c r="X29218" s="9"/>
    </row>
    <row r="29219">
      <c r="D29219" s="9"/>
      <c r="G29219" s="9"/>
      <c r="J29219" s="11"/>
      <c r="U29219" s="9"/>
      <c r="X29219" s="9"/>
    </row>
    <row r="29220">
      <c r="D29220" s="9"/>
      <c r="G29220" s="9"/>
      <c r="J29220" s="11"/>
      <c r="U29220" s="9"/>
      <c r="X29220" s="9"/>
    </row>
    <row r="29221">
      <c r="D29221" s="9"/>
      <c r="G29221" s="9"/>
      <c r="J29221" s="11"/>
      <c r="U29221" s="9"/>
      <c r="X29221" s="9"/>
    </row>
    <row r="29222">
      <c r="D29222" s="9"/>
      <c r="G29222" s="9"/>
      <c r="J29222" s="11"/>
      <c r="U29222" s="9"/>
      <c r="X29222" s="9"/>
    </row>
    <row r="29223">
      <c r="D29223" s="9"/>
      <c r="G29223" s="9"/>
      <c r="J29223" s="11"/>
      <c r="U29223" s="9"/>
      <c r="X29223" s="9"/>
    </row>
    <row r="29224">
      <c r="D29224" s="9"/>
      <c r="G29224" s="9"/>
      <c r="J29224" s="11"/>
      <c r="U29224" s="9"/>
      <c r="X29224" s="9"/>
    </row>
    <row r="29225">
      <c r="D29225" s="9"/>
      <c r="G29225" s="9"/>
      <c r="J29225" s="11"/>
      <c r="U29225" s="9"/>
      <c r="X29225" s="9"/>
    </row>
    <row r="29226">
      <c r="D29226" s="9"/>
      <c r="G29226" s="9"/>
      <c r="J29226" s="11"/>
      <c r="U29226" s="9"/>
      <c r="X29226" s="9"/>
    </row>
    <row r="29227">
      <c r="D29227" s="9"/>
      <c r="G29227" s="9"/>
      <c r="J29227" s="11"/>
      <c r="U29227" s="9"/>
      <c r="X29227" s="9"/>
    </row>
    <row r="29228">
      <c r="D29228" s="9"/>
      <c r="G29228" s="9"/>
      <c r="J29228" s="11"/>
      <c r="U29228" s="9"/>
      <c r="X29228" s="9"/>
    </row>
    <row r="29229">
      <c r="D29229" s="9"/>
      <c r="G29229" s="9"/>
      <c r="J29229" s="11"/>
      <c r="U29229" s="9"/>
      <c r="X29229" s="9"/>
    </row>
    <row r="29230">
      <c r="D29230" s="9"/>
      <c r="G29230" s="9"/>
      <c r="J29230" s="11"/>
      <c r="U29230" s="9"/>
      <c r="X29230" s="9"/>
    </row>
    <row r="29231">
      <c r="D29231" s="9"/>
      <c r="G29231" s="9"/>
      <c r="J29231" s="11"/>
      <c r="U29231" s="9"/>
      <c r="X29231" s="9"/>
    </row>
    <row r="29232">
      <c r="D29232" s="9"/>
      <c r="G29232" s="9"/>
      <c r="J29232" s="11"/>
      <c r="U29232" s="9"/>
      <c r="X29232" s="9"/>
    </row>
    <row r="29233">
      <c r="D29233" s="9"/>
      <c r="G29233" s="9"/>
      <c r="J29233" s="11"/>
      <c r="U29233" s="9"/>
      <c r="X29233" s="9"/>
    </row>
    <row r="29234">
      <c r="D29234" s="9"/>
      <c r="G29234" s="9"/>
      <c r="J29234" s="11"/>
      <c r="U29234" s="9"/>
      <c r="X29234" s="9"/>
    </row>
    <row r="29235">
      <c r="D29235" s="9"/>
      <c r="G29235" s="9"/>
      <c r="J29235" s="11"/>
      <c r="U29235" s="9"/>
      <c r="X29235" s="9"/>
    </row>
    <row r="29236">
      <c r="D29236" s="9"/>
      <c r="G29236" s="9"/>
      <c r="J29236" s="11"/>
      <c r="U29236" s="9"/>
      <c r="X29236" s="9"/>
    </row>
    <row r="29237">
      <c r="D29237" s="9"/>
      <c r="G29237" s="9"/>
      <c r="J29237" s="11"/>
      <c r="U29237" s="9"/>
      <c r="X29237" s="9"/>
    </row>
    <row r="29238">
      <c r="D29238" s="9"/>
      <c r="G29238" s="9"/>
      <c r="J29238" s="11"/>
      <c r="U29238" s="9"/>
      <c r="X29238" s="9"/>
    </row>
    <row r="29239">
      <c r="D29239" s="9"/>
      <c r="G29239" s="9"/>
      <c r="J29239" s="11"/>
      <c r="U29239" s="9"/>
      <c r="X29239" s="9"/>
    </row>
    <row r="29240">
      <c r="D29240" s="9"/>
      <c r="G29240" s="9"/>
      <c r="J29240" s="11"/>
      <c r="U29240" s="9"/>
      <c r="X29240" s="9"/>
    </row>
    <row r="29241">
      <c r="D29241" s="9"/>
      <c r="G29241" s="9"/>
      <c r="J29241" s="11"/>
      <c r="U29241" s="9"/>
      <c r="X29241" s="9"/>
    </row>
    <row r="29242">
      <c r="D29242" s="9"/>
      <c r="G29242" s="9"/>
      <c r="J29242" s="11"/>
      <c r="U29242" s="9"/>
      <c r="X29242" s="9"/>
    </row>
    <row r="29243">
      <c r="D29243" s="9"/>
      <c r="G29243" s="9"/>
      <c r="J29243" s="11"/>
      <c r="U29243" s="9"/>
      <c r="X29243" s="9"/>
    </row>
    <row r="29244">
      <c r="D29244" s="9"/>
      <c r="G29244" s="9"/>
      <c r="J29244" s="11"/>
      <c r="U29244" s="9"/>
      <c r="X29244" s="9"/>
    </row>
    <row r="29245">
      <c r="D29245" s="9"/>
      <c r="G29245" s="9"/>
      <c r="J29245" s="11"/>
      <c r="U29245" s="9"/>
      <c r="X29245" s="9"/>
    </row>
    <row r="29246">
      <c r="D29246" s="9"/>
      <c r="G29246" s="9"/>
      <c r="J29246" s="11"/>
      <c r="U29246" s="9"/>
      <c r="X29246" s="9"/>
    </row>
    <row r="29247">
      <c r="D29247" s="9"/>
      <c r="G29247" s="9"/>
      <c r="J29247" s="11"/>
      <c r="U29247" s="9"/>
      <c r="X29247" s="9"/>
    </row>
    <row r="29248">
      <c r="D29248" s="9"/>
      <c r="G29248" s="9"/>
      <c r="J29248" s="11"/>
      <c r="U29248" s="9"/>
      <c r="X29248" s="9"/>
    </row>
    <row r="29249">
      <c r="D29249" s="9"/>
      <c r="G29249" s="9"/>
      <c r="J29249" s="11"/>
      <c r="U29249" s="9"/>
      <c r="X29249" s="9"/>
    </row>
    <row r="29250">
      <c r="D29250" s="9"/>
      <c r="G29250" s="9"/>
      <c r="J29250" s="11"/>
      <c r="U29250" s="9"/>
      <c r="X29250" s="9"/>
    </row>
    <row r="29251">
      <c r="D29251" s="9"/>
      <c r="G29251" s="9"/>
      <c r="J29251" s="11"/>
      <c r="U29251" s="9"/>
      <c r="X29251" s="9"/>
    </row>
    <row r="29252">
      <c r="D29252" s="9"/>
      <c r="G29252" s="9"/>
      <c r="J29252" s="11"/>
      <c r="U29252" s="9"/>
      <c r="X29252" s="9"/>
    </row>
    <row r="29253">
      <c r="D29253" s="9"/>
      <c r="G29253" s="9"/>
      <c r="J29253" s="11"/>
      <c r="U29253" s="9"/>
      <c r="X29253" s="9"/>
    </row>
    <row r="29254">
      <c r="D29254" s="9"/>
      <c r="G29254" s="9"/>
      <c r="J29254" s="11"/>
      <c r="U29254" s="9"/>
      <c r="X29254" s="9"/>
    </row>
    <row r="29255">
      <c r="D29255" s="9"/>
      <c r="G29255" s="9"/>
      <c r="J29255" s="11"/>
      <c r="U29255" s="9"/>
      <c r="X29255" s="9"/>
    </row>
    <row r="29256">
      <c r="D29256" s="9"/>
      <c r="G29256" s="9"/>
      <c r="J29256" s="11"/>
      <c r="U29256" s="9"/>
      <c r="X29256" s="9"/>
    </row>
    <row r="29257">
      <c r="D29257" s="9"/>
      <c r="G29257" s="9"/>
      <c r="J29257" s="11"/>
      <c r="U29257" s="9"/>
      <c r="X29257" s="9"/>
    </row>
    <row r="29258">
      <c r="D29258" s="9"/>
      <c r="G29258" s="9"/>
      <c r="J29258" s="11"/>
      <c r="U29258" s="9"/>
      <c r="X29258" s="9"/>
    </row>
    <row r="29259">
      <c r="D29259" s="9"/>
      <c r="G29259" s="9"/>
      <c r="J29259" s="11"/>
      <c r="U29259" s="9"/>
      <c r="X29259" s="9"/>
    </row>
    <row r="29260">
      <c r="D29260" s="9"/>
      <c r="G29260" s="9"/>
      <c r="J29260" s="11"/>
      <c r="U29260" s="9"/>
      <c r="X29260" s="9"/>
    </row>
    <row r="29261">
      <c r="D29261" s="9"/>
      <c r="G29261" s="9"/>
      <c r="J29261" s="11"/>
      <c r="U29261" s="9"/>
      <c r="X29261" s="9"/>
    </row>
    <row r="29262">
      <c r="D29262" s="9"/>
      <c r="G29262" s="9"/>
      <c r="J29262" s="11"/>
      <c r="U29262" s="9"/>
      <c r="X29262" s="9"/>
    </row>
    <row r="29263">
      <c r="D29263" s="9"/>
      <c r="G29263" s="9"/>
      <c r="J29263" s="11"/>
      <c r="U29263" s="9"/>
      <c r="X29263" s="9"/>
    </row>
    <row r="29264">
      <c r="D29264" s="9"/>
      <c r="G29264" s="9"/>
      <c r="J29264" s="11"/>
      <c r="U29264" s="9"/>
      <c r="X29264" s="9"/>
    </row>
    <row r="29265">
      <c r="D29265" s="9"/>
      <c r="G29265" s="9"/>
      <c r="J29265" s="11"/>
      <c r="U29265" s="9"/>
      <c r="X29265" s="9"/>
    </row>
    <row r="29266">
      <c r="D29266" s="9"/>
      <c r="G29266" s="9"/>
      <c r="J29266" s="11"/>
      <c r="U29266" s="9"/>
      <c r="X29266" s="9"/>
    </row>
    <row r="29267">
      <c r="D29267" s="9"/>
      <c r="G29267" s="9"/>
      <c r="J29267" s="11"/>
      <c r="U29267" s="9"/>
      <c r="X29267" s="9"/>
    </row>
    <row r="29268">
      <c r="D29268" s="9"/>
      <c r="G29268" s="9"/>
      <c r="J29268" s="11"/>
      <c r="U29268" s="9"/>
      <c r="X29268" s="9"/>
    </row>
    <row r="29269">
      <c r="D29269" s="9"/>
      <c r="G29269" s="9"/>
      <c r="J29269" s="11"/>
      <c r="U29269" s="9"/>
      <c r="X29269" s="9"/>
    </row>
    <row r="29270">
      <c r="D29270" s="9"/>
      <c r="G29270" s="9"/>
      <c r="J29270" s="11"/>
      <c r="U29270" s="9"/>
      <c r="X29270" s="9"/>
    </row>
    <row r="29271">
      <c r="D29271" s="9"/>
      <c r="G29271" s="9"/>
      <c r="J29271" s="11"/>
      <c r="U29271" s="9"/>
      <c r="X29271" s="9"/>
    </row>
    <row r="29272">
      <c r="D29272" s="9"/>
      <c r="G29272" s="9"/>
      <c r="J29272" s="11"/>
      <c r="U29272" s="9"/>
      <c r="X29272" s="9"/>
    </row>
    <row r="29273">
      <c r="D29273" s="9"/>
      <c r="G29273" s="9"/>
      <c r="J29273" s="11"/>
      <c r="U29273" s="9"/>
      <c r="X29273" s="9"/>
    </row>
    <row r="29274">
      <c r="D29274" s="9"/>
      <c r="G29274" s="9"/>
      <c r="J29274" s="11"/>
      <c r="U29274" s="9"/>
      <c r="X29274" s="9"/>
    </row>
    <row r="29275">
      <c r="D29275" s="9"/>
      <c r="G29275" s="9"/>
      <c r="J29275" s="11"/>
      <c r="U29275" s="9"/>
      <c r="X29275" s="9"/>
    </row>
    <row r="29276">
      <c r="D29276" s="9"/>
      <c r="G29276" s="9"/>
      <c r="J29276" s="11"/>
      <c r="U29276" s="9"/>
      <c r="X29276" s="9"/>
    </row>
    <row r="29277">
      <c r="D29277" s="9"/>
      <c r="G29277" s="9"/>
      <c r="J29277" s="11"/>
      <c r="U29277" s="9"/>
      <c r="X29277" s="9"/>
    </row>
    <row r="29278">
      <c r="D29278" s="9"/>
      <c r="G29278" s="9"/>
      <c r="J29278" s="11"/>
      <c r="U29278" s="9"/>
      <c r="X29278" s="9"/>
    </row>
    <row r="29279">
      <c r="D29279" s="9"/>
      <c r="G29279" s="9"/>
      <c r="J29279" s="11"/>
      <c r="U29279" s="9"/>
      <c r="X29279" s="9"/>
    </row>
    <row r="29280">
      <c r="D29280" s="9"/>
      <c r="G29280" s="9"/>
      <c r="J29280" s="11"/>
      <c r="U29280" s="9"/>
      <c r="X29280" s="9"/>
    </row>
    <row r="29281">
      <c r="D29281" s="9"/>
      <c r="G29281" s="9"/>
      <c r="J29281" s="11"/>
      <c r="U29281" s="9"/>
      <c r="X29281" s="9"/>
    </row>
    <row r="29282">
      <c r="D29282" s="9"/>
      <c r="G29282" s="9"/>
      <c r="J29282" s="11"/>
      <c r="U29282" s="9"/>
      <c r="X29282" s="9"/>
    </row>
    <row r="29283">
      <c r="D29283" s="9"/>
      <c r="G29283" s="9"/>
      <c r="J29283" s="11"/>
      <c r="U29283" s="9"/>
      <c r="X29283" s="9"/>
    </row>
    <row r="29284">
      <c r="D29284" s="9"/>
      <c r="G29284" s="9"/>
      <c r="J29284" s="11"/>
      <c r="U29284" s="9"/>
      <c r="X29284" s="9"/>
    </row>
    <row r="29285">
      <c r="D29285" s="9"/>
      <c r="G29285" s="9"/>
      <c r="J29285" s="11"/>
      <c r="U29285" s="9"/>
      <c r="X29285" s="9"/>
    </row>
    <row r="29286">
      <c r="D29286" s="9"/>
      <c r="G29286" s="9"/>
      <c r="J29286" s="11"/>
      <c r="U29286" s="9"/>
      <c r="X29286" s="9"/>
    </row>
    <row r="29287">
      <c r="D29287" s="9"/>
      <c r="G29287" s="9"/>
      <c r="J29287" s="11"/>
      <c r="U29287" s="9"/>
      <c r="X29287" s="9"/>
    </row>
    <row r="29288">
      <c r="D29288" s="9"/>
      <c r="G29288" s="9"/>
      <c r="J29288" s="11"/>
      <c r="U29288" s="9"/>
      <c r="X29288" s="9"/>
    </row>
    <row r="29289">
      <c r="D29289" s="9"/>
      <c r="G29289" s="9"/>
      <c r="J29289" s="11"/>
      <c r="U29289" s="9"/>
      <c r="X29289" s="9"/>
    </row>
    <row r="29290">
      <c r="D29290" s="9"/>
      <c r="G29290" s="9"/>
      <c r="J29290" s="11"/>
      <c r="U29290" s="9"/>
      <c r="X29290" s="9"/>
    </row>
    <row r="29291">
      <c r="D29291" s="9"/>
      <c r="G29291" s="9"/>
      <c r="J29291" s="11"/>
      <c r="U29291" s="9"/>
      <c r="X29291" s="9"/>
    </row>
    <row r="29292">
      <c r="D29292" s="9"/>
      <c r="G29292" s="9"/>
      <c r="J29292" s="11"/>
      <c r="U29292" s="9"/>
      <c r="X29292" s="9"/>
    </row>
    <row r="29293">
      <c r="D29293" s="9"/>
      <c r="G29293" s="9"/>
      <c r="J29293" s="11"/>
      <c r="U29293" s="9"/>
      <c r="X29293" s="9"/>
    </row>
    <row r="29294">
      <c r="D29294" s="9"/>
      <c r="G29294" s="9"/>
      <c r="J29294" s="11"/>
      <c r="U29294" s="9"/>
      <c r="X29294" s="9"/>
    </row>
    <row r="29295">
      <c r="D29295" s="9"/>
      <c r="G29295" s="9"/>
      <c r="J29295" s="11"/>
      <c r="U29295" s="9"/>
      <c r="X29295" s="9"/>
    </row>
    <row r="29296">
      <c r="D29296" s="9"/>
      <c r="G29296" s="9"/>
      <c r="J29296" s="11"/>
      <c r="U29296" s="9"/>
      <c r="X29296" s="9"/>
    </row>
    <row r="29297">
      <c r="D29297" s="9"/>
      <c r="G29297" s="9"/>
      <c r="J29297" s="11"/>
      <c r="U29297" s="9"/>
      <c r="X29297" s="9"/>
    </row>
    <row r="29298">
      <c r="D29298" s="9"/>
      <c r="G29298" s="9"/>
      <c r="J29298" s="11"/>
      <c r="U29298" s="9"/>
      <c r="X29298" s="9"/>
    </row>
    <row r="29299">
      <c r="D29299" s="9"/>
      <c r="G29299" s="9"/>
      <c r="J29299" s="11"/>
      <c r="U29299" s="9"/>
      <c r="X29299" s="9"/>
    </row>
    <row r="29300">
      <c r="D29300" s="9"/>
      <c r="G29300" s="9"/>
      <c r="J29300" s="11"/>
      <c r="U29300" s="9"/>
      <c r="X29300" s="9"/>
    </row>
    <row r="29301">
      <c r="D29301" s="9"/>
      <c r="G29301" s="9"/>
      <c r="J29301" s="11"/>
      <c r="U29301" s="9"/>
      <c r="X29301" s="9"/>
    </row>
    <row r="29302">
      <c r="D29302" s="9"/>
      <c r="G29302" s="9"/>
      <c r="J29302" s="11"/>
      <c r="U29302" s="9"/>
      <c r="X29302" s="9"/>
    </row>
    <row r="29303">
      <c r="D29303" s="9"/>
      <c r="G29303" s="9"/>
      <c r="J29303" s="11"/>
      <c r="U29303" s="9"/>
      <c r="X29303" s="9"/>
    </row>
    <row r="29304">
      <c r="D29304" s="9"/>
      <c r="G29304" s="9"/>
      <c r="J29304" s="11"/>
      <c r="U29304" s="9"/>
      <c r="X29304" s="9"/>
    </row>
    <row r="29305">
      <c r="D29305" s="9"/>
      <c r="G29305" s="9"/>
      <c r="J29305" s="11"/>
      <c r="U29305" s="9"/>
      <c r="X29305" s="9"/>
    </row>
    <row r="29306">
      <c r="D29306" s="9"/>
      <c r="G29306" s="9"/>
      <c r="J29306" s="11"/>
      <c r="U29306" s="9"/>
      <c r="X29306" s="9"/>
    </row>
    <row r="29307">
      <c r="D29307" s="9"/>
      <c r="G29307" s="9"/>
      <c r="J29307" s="11"/>
      <c r="U29307" s="9"/>
      <c r="X29307" s="9"/>
    </row>
    <row r="29308">
      <c r="D29308" s="9"/>
      <c r="G29308" s="9"/>
      <c r="J29308" s="11"/>
      <c r="U29308" s="9"/>
      <c r="X29308" s="9"/>
    </row>
    <row r="29309">
      <c r="D29309" s="9"/>
      <c r="G29309" s="9"/>
      <c r="J29309" s="11"/>
      <c r="U29309" s="9"/>
      <c r="X29309" s="9"/>
    </row>
    <row r="29310">
      <c r="D29310" s="9"/>
      <c r="G29310" s="9"/>
      <c r="J29310" s="11"/>
      <c r="U29310" s="9"/>
      <c r="X29310" s="9"/>
    </row>
    <row r="29311">
      <c r="D29311" s="9"/>
      <c r="G29311" s="9"/>
      <c r="J29311" s="11"/>
      <c r="U29311" s="9"/>
      <c r="X29311" s="9"/>
    </row>
    <row r="29312">
      <c r="D29312" s="9"/>
      <c r="G29312" s="9"/>
      <c r="J29312" s="11"/>
      <c r="U29312" s="9"/>
      <c r="X29312" s="9"/>
    </row>
    <row r="29313">
      <c r="D29313" s="9"/>
      <c r="G29313" s="9"/>
      <c r="J29313" s="11"/>
      <c r="U29313" s="9"/>
      <c r="X29313" s="9"/>
    </row>
    <row r="29314">
      <c r="D29314" s="9"/>
      <c r="G29314" s="9"/>
      <c r="J29314" s="11"/>
      <c r="U29314" s="9"/>
      <c r="X29314" s="9"/>
    </row>
    <row r="29315">
      <c r="D29315" s="9"/>
      <c r="G29315" s="9"/>
      <c r="J29315" s="11"/>
      <c r="U29315" s="9"/>
      <c r="X29315" s="9"/>
    </row>
    <row r="29316">
      <c r="D29316" s="9"/>
      <c r="G29316" s="9"/>
      <c r="J29316" s="11"/>
      <c r="U29316" s="9"/>
      <c r="X29316" s="9"/>
    </row>
    <row r="29317">
      <c r="D29317" s="9"/>
      <c r="G29317" s="9"/>
      <c r="J29317" s="11"/>
      <c r="U29317" s="9"/>
      <c r="X29317" s="9"/>
    </row>
    <row r="29318">
      <c r="D29318" s="9"/>
      <c r="G29318" s="9"/>
      <c r="J29318" s="11"/>
      <c r="U29318" s="9"/>
      <c r="X29318" s="9"/>
    </row>
    <row r="29319">
      <c r="D29319" s="9"/>
      <c r="G29319" s="9"/>
      <c r="J29319" s="11"/>
      <c r="U29319" s="9"/>
      <c r="X29319" s="9"/>
    </row>
    <row r="29320">
      <c r="D29320" s="9"/>
      <c r="G29320" s="9"/>
      <c r="J29320" s="11"/>
      <c r="U29320" s="9"/>
      <c r="X29320" s="9"/>
    </row>
    <row r="29321">
      <c r="D29321" s="9"/>
      <c r="G29321" s="9"/>
      <c r="J29321" s="11"/>
      <c r="U29321" s="9"/>
      <c r="X29321" s="9"/>
    </row>
    <row r="29322">
      <c r="D29322" s="9"/>
      <c r="G29322" s="9"/>
      <c r="J29322" s="11"/>
      <c r="U29322" s="9"/>
      <c r="X29322" s="9"/>
    </row>
    <row r="29323">
      <c r="D29323" s="9"/>
      <c r="G29323" s="9"/>
      <c r="J29323" s="11"/>
      <c r="U29323" s="9"/>
      <c r="X29323" s="9"/>
    </row>
    <row r="29324">
      <c r="D29324" s="9"/>
      <c r="G29324" s="9"/>
      <c r="J29324" s="11"/>
      <c r="U29324" s="9"/>
      <c r="X29324" s="9"/>
    </row>
    <row r="29325">
      <c r="D29325" s="9"/>
      <c r="G29325" s="9"/>
      <c r="J29325" s="11"/>
      <c r="U29325" s="9"/>
      <c r="X29325" s="9"/>
    </row>
    <row r="29326">
      <c r="D29326" s="9"/>
      <c r="G29326" s="9"/>
      <c r="J29326" s="11"/>
      <c r="U29326" s="9"/>
      <c r="X29326" s="9"/>
    </row>
    <row r="29327">
      <c r="D29327" s="9"/>
      <c r="G29327" s="9"/>
      <c r="J29327" s="11"/>
      <c r="U29327" s="9"/>
      <c r="X29327" s="9"/>
    </row>
    <row r="29328">
      <c r="D29328" s="9"/>
      <c r="G29328" s="9"/>
      <c r="J29328" s="11"/>
      <c r="U29328" s="9"/>
      <c r="X29328" s="9"/>
    </row>
    <row r="29329">
      <c r="D29329" s="9"/>
      <c r="G29329" s="9"/>
      <c r="J29329" s="11"/>
      <c r="U29329" s="9"/>
      <c r="X29329" s="9"/>
    </row>
    <row r="29330">
      <c r="D29330" s="9"/>
      <c r="G29330" s="9"/>
      <c r="J29330" s="11"/>
      <c r="U29330" s="9"/>
      <c r="X29330" s="9"/>
    </row>
    <row r="29331">
      <c r="D29331" s="9"/>
      <c r="G29331" s="9"/>
      <c r="J29331" s="11"/>
      <c r="U29331" s="9"/>
      <c r="X29331" s="9"/>
    </row>
    <row r="29332">
      <c r="D29332" s="9"/>
      <c r="G29332" s="9"/>
      <c r="J29332" s="11"/>
      <c r="U29332" s="9"/>
      <c r="X29332" s="9"/>
    </row>
    <row r="29333">
      <c r="D29333" s="9"/>
      <c r="G29333" s="9"/>
      <c r="J29333" s="11"/>
      <c r="U29333" s="9"/>
      <c r="X29333" s="9"/>
    </row>
    <row r="29334">
      <c r="D29334" s="9"/>
      <c r="G29334" s="9"/>
      <c r="J29334" s="11"/>
      <c r="U29334" s="9"/>
      <c r="X29334" s="9"/>
    </row>
    <row r="29335">
      <c r="D29335" s="9"/>
      <c r="G29335" s="9"/>
      <c r="J29335" s="11"/>
      <c r="U29335" s="9"/>
      <c r="X29335" s="9"/>
    </row>
    <row r="29336">
      <c r="D29336" s="9"/>
      <c r="G29336" s="9"/>
      <c r="J29336" s="11"/>
      <c r="U29336" s="9"/>
      <c r="X29336" s="9"/>
    </row>
    <row r="29337">
      <c r="D29337" s="9"/>
      <c r="G29337" s="9"/>
      <c r="J29337" s="11"/>
      <c r="U29337" s="9"/>
      <c r="X29337" s="9"/>
    </row>
    <row r="29338">
      <c r="D29338" s="9"/>
      <c r="G29338" s="9"/>
      <c r="J29338" s="11"/>
      <c r="U29338" s="9"/>
      <c r="X29338" s="9"/>
    </row>
    <row r="29339">
      <c r="D29339" s="9"/>
      <c r="G29339" s="9"/>
      <c r="J29339" s="11"/>
      <c r="U29339" s="9"/>
      <c r="X29339" s="9"/>
    </row>
    <row r="29340">
      <c r="D29340" s="9"/>
      <c r="G29340" s="9"/>
      <c r="J29340" s="11"/>
      <c r="U29340" s="9"/>
      <c r="X29340" s="9"/>
    </row>
    <row r="29341">
      <c r="D29341" s="9"/>
      <c r="G29341" s="9"/>
      <c r="J29341" s="11"/>
      <c r="U29341" s="9"/>
      <c r="X29341" s="9"/>
    </row>
    <row r="29342">
      <c r="D29342" s="9"/>
      <c r="G29342" s="9"/>
      <c r="J29342" s="11"/>
      <c r="U29342" s="9"/>
      <c r="X29342" s="9"/>
    </row>
    <row r="29343">
      <c r="D29343" s="9"/>
      <c r="G29343" s="9"/>
      <c r="J29343" s="11"/>
      <c r="U29343" s="9"/>
      <c r="X29343" s="9"/>
    </row>
    <row r="29344">
      <c r="D29344" s="9"/>
      <c r="G29344" s="9"/>
      <c r="J29344" s="11"/>
      <c r="U29344" s="9"/>
      <c r="X29344" s="9"/>
    </row>
    <row r="29345">
      <c r="D29345" s="9"/>
      <c r="G29345" s="9"/>
      <c r="J29345" s="11"/>
      <c r="U29345" s="9"/>
      <c r="X29345" s="9"/>
    </row>
    <row r="29346">
      <c r="D29346" s="9"/>
      <c r="G29346" s="9"/>
      <c r="J29346" s="11"/>
      <c r="U29346" s="9"/>
      <c r="X29346" s="9"/>
    </row>
    <row r="29347">
      <c r="D29347" s="9"/>
      <c r="G29347" s="9"/>
      <c r="J29347" s="11"/>
      <c r="U29347" s="9"/>
      <c r="X29347" s="9"/>
    </row>
    <row r="29348">
      <c r="D29348" s="9"/>
      <c r="G29348" s="9"/>
      <c r="J29348" s="11"/>
      <c r="U29348" s="9"/>
      <c r="X29348" s="9"/>
    </row>
    <row r="29349">
      <c r="D29349" s="9"/>
      <c r="G29349" s="9"/>
      <c r="J29349" s="11"/>
      <c r="U29349" s="9"/>
      <c r="X29349" s="9"/>
    </row>
    <row r="29350">
      <c r="D29350" s="9"/>
      <c r="G29350" s="9"/>
      <c r="J29350" s="11"/>
      <c r="U29350" s="9"/>
      <c r="X29350" s="9"/>
    </row>
    <row r="29351">
      <c r="D29351" s="9"/>
      <c r="G29351" s="9"/>
      <c r="J29351" s="11"/>
      <c r="U29351" s="9"/>
      <c r="X29351" s="9"/>
    </row>
    <row r="29352">
      <c r="D29352" s="9"/>
      <c r="G29352" s="9"/>
      <c r="J29352" s="11"/>
      <c r="U29352" s="9"/>
      <c r="X29352" s="9"/>
    </row>
    <row r="29353">
      <c r="D29353" s="9"/>
      <c r="G29353" s="9"/>
      <c r="J29353" s="11"/>
      <c r="U29353" s="9"/>
      <c r="X29353" s="9"/>
    </row>
    <row r="29354">
      <c r="D29354" s="9"/>
      <c r="G29354" s="9"/>
      <c r="J29354" s="11"/>
      <c r="U29354" s="9"/>
      <c r="X29354" s="9"/>
    </row>
    <row r="29355">
      <c r="D29355" s="9"/>
      <c r="G29355" s="9"/>
      <c r="J29355" s="11"/>
      <c r="U29355" s="9"/>
      <c r="X29355" s="9"/>
    </row>
    <row r="29356">
      <c r="D29356" s="9"/>
      <c r="G29356" s="9"/>
      <c r="J29356" s="11"/>
      <c r="U29356" s="9"/>
      <c r="X29356" s="9"/>
    </row>
    <row r="29357">
      <c r="D29357" s="9"/>
      <c r="G29357" s="9"/>
      <c r="J29357" s="11"/>
      <c r="U29357" s="9"/>
      <c r="X29357" s="9"/>
    </row>
    <row r="29358">
      <c r="D29358" s="9"/>
      <c r="G29358" s="9"/>
      <c r="J29358" s="11"/>
      <c r="U29358" s="9"/>
      <c r="X29358" s="9"/>
    </row>
    <row r="29359">
      <c r="D29359" s="9"/>
      <c r="G29359" s="9"/>
      <c r="J29359" s="11"/>
      <c r="U29359" s="9"/>
      <c r="X29359" s="9"/>
    </row>
    <row r="29360">
      <c r="D29360" s="9"/>
      <c r="G29360" s="9"/>
      <c r="J29360" s="11"/>
      <c r="U29360" s="9"/>
      <c r="X29360" s="9"/>
    </row>
    <row r="29361">
      <c r="D29361" s="9"/>
      <c r="G29361" s="9"/>
      <c r="J29361" s="11"/>
      <c r="U29361" s="9"/>
      <c r="X29361" s="9"/>
    </row>
    <row r="29362">
      <c r="D29362" s="9"/>
      <c r="G29362" s="9"/>
      <c r="J29362" s="11"/>
      <c r="U29362" s="9"/>
      <c r="X29362" s="9"/>
    </row>
    <row r="29363">
      <c r="D29363" s="9"/>
      <c r="G29363" s="9"/>
      <c r="J29363" s="11"/>
      <c r="U29363" s="9"/>
      <c r="X29363" s="9"/>
    </row>
    <row r="29364">
      <c r="D29364" s="9"/>
      <c r="G29364" s="9"/>
      <c r="J29364" s="11"/>
      <c r="U29364" s="9"/>
      <c r="X29364" s="9"/>
    </row>
    <row r="29365">
      <c r="D29365" s="9"/>
      <c r="G29365" s="9"/>
      <c r="J29365" s="11"/>
      <c r="U29365" s="9"/>
      <c r="X29365" s="9"/>
    </row>
    <row r="29366">
      <c r="D29366" s="9"/>
      <c r="G29366" s="9"/>
      <c r="J29366" s="11"/>
      <c r="U29366" s="9"/>
      <c r="X29366" s="9"/>
    </row>
    <row r="29367">
      <c r="D29367" s="9"/>
      <c r="G29367" s="9"/>
      <c r="J29367" s="11"/>
      <c r="U29367" s="9"/>
      <c r="X29367" s="9"/>
    </row>
    <row r="29368">
      <c r="D29368" s="9"/>
      <c r="G29368" s="9"/>
      <c r="J29368" s="11"/>
      <c r="U29368" s="9"/>
      <c r="X29368" s="9"/>
    </row>
    <row r="29369">
      <c r="D29369" s="9"/>
      <c r="G29369" s="9"/>
      <c r="J29369" s="11"/>
      <c r="U29369" s="9"/>
      <c r="X29369" s="9"/>
    </row>
    <row r="29370">
      <c r="D29370" s="9"/>
      <c r="G29370" s="9"/>
      <c r="J29370" s="11"/>
      <c r="U29370" s="9"/>
      <c r="X29370" s="9"/>
    </row>
    <row r="29371">
      <c r="D29371" s="9"/>
      <c r="G29371" s="9"/>
      <c r="J29371" s="11"/>
      <c r="U29371" s="9"/>
      <c r="X29371" s="9"/>
    </row>
    <row r="29372">
      <c r="D29372" s="9"/>
      <c r="G29372" s="9"/>
      <c r="J29372" s="11"/>
      <c r="U29372" s="9"/>
      <c r="X29372" s="9"/>
    </row>
    <row r="29373">
      <c r="D29373" s="9"/>
      <c r="G29373" s="9"/>
      <c r="J29373" s="11"/>
      <c r="U29373" s="9"/>
      <c r="X29373" s="9"/>
    </row>
    <row r="29374">
      <c r="D29374" s="9"/>
      <c r="G29374" s="9"/>
      <c r="J29374" s="11"/>
      <c r="U29374" s="9"/>
      <c r="X29374" s="9"/>
    </row>
    <row r="29375">
      <c r="D29375" s="9"/>
      <c r="G29375" s="9"/>
      <c r="J29375" s="11"/>
      <c r="U29375" s="9"/>
      <c r="X29375" s="9"/>
    </row>
    <row r="29376">
      <c r="D29376" s="9"/>
      <c r="G29376" s="9"/>
      <c r="J29376" s="11"/>
      <c r="U29376" s="9"/>
      <c r="X29376" s="9"/>
    </row>
    <row r="29377">
      <c r="D29377" s="9"/>
      <c r="G29377" s="9"/>
      <c r="J29377" s="11"/>
      <c r="U29377" s="9"/>
      <c r="X29377" s="9"/>
    </row>
    <row r="29378">
      <c r="D29378" s="9"/>
      <c r="G29378" s="9"/>
      <c r="J29378" s="11"/>
      <c r="U29378" s="9"/>
      <c r="X29378" s="9"/>
    </row>
    <row r="29379">
      <c r="D29379" s="9"/>
      <c r="G29379" s="9"/>
      <c r="J29379" s="11"/>
      <c r="U29379" s="9"/>
      <c r="X29379" s="9"/>
    </row>
    <row r="29380">
      <c r="D29380" s="9"/>
      <c r="G29380" s="9"/>
      <c r="J29380" s="11"/>
      <c r="U29380" s="9"/>
      <c r="X29380" s="9"/>
    </row>
    <row r="29381">
      <c r="D29381" s="9"/>
      <c r="G29381" s="9"/>
      <c r="J29381" s="11"/>
      <c r="U29381" s="9"/>
      <c r="X29381" s="9"/>
    </row>
    <row r="29382">
      <c r="D29382" s="9"/>
      <c r="G29382" s="9"/>
      <c r="J29382" s="11"/>
      <c r="U29382" s="9"/>
      <c r="X29382" s="9"/>
    </row>
    <row r="29383">
      <c r="D29383" s="9"/>
      <c r="G29383" s="9"/>
      <c r="J29383" s="11"/>
      <c r="U29383" s="9"/>
      <c r="X29383" s="9"/>
    </row>
    <row r="29384">
      <c r="D29384" s="9"/>
      <c r="G29384" s="9"/>
      <c r="J29384" s="11"/>
      <c r="U29384" s="9"/>
      <c r="X29384" s="9"/>
    </row>
    <row r="29385">
      <c r="D29385" s="9"/>
      <c r="G29385" s="9"/>
      <c r="J29385" s="11"/>
      <c r="U29385" s="9"/>
      <c r="X29385" s="9"/>
    </row>
    <row r="29386">
      <c r="D29386" s="9"/>
      <c r="G29386" s="9"/>
      <c r="J29386" s="11"/>
      <c r="U29386" s="9"/>
      <c r="X29386" s="9"/>
    </row>
    <row r="29387">
      <c r="D29387" s="9"/>
      <c r="G29387" s="9"/>
      <c r="J29387" s="11"/>
      <c r="U29387" s="9"/>
      <c r="X29387" s="9"/>
    </row>
    <row r="29388">
      <c r="D29388" s="9"/>
      <c r="G29388" s="9"/>
      <c r="J29388" s="11"/>
      <c r="U29388" s="9"/>
      <c r="X29388" s="9"/>
    </row>
    <row r="29389">
      <c r="D29389" s="9"/>
      <c r="G29389" s="9"/>
      <c r="J29389" s="11"/>
      <c r="U29389" s="9"/>
      <c r="X29389" s="9"/>
    </row>
    <row r="29390">
      <c r="D29390" s="9"/>
      <c r="G29390" s="9"/>
      <c r="J29390" s="11"/>
      <c r="U29390" s="9"/>
      <c r="X29390" s="9"/>
    </row>
    <row r="29391">
      <c r="D29391" s="9"/>
      <c r="G29391" s="9"/>
      <c r="J29391" s="11"/>
      <c r="U29391" s="9"/>
      <c r="X29391" s="9"/>
    </row>
    <row r="29392">
      <c r="D29392" s="9"/>
      <c r="G29392" s="9"/>
      <c r="J29392" s="11"/>
      <c r="U29392" s="9"/>
      <c r="X29392" s="9"/>
    </row>
    <row r="29393">
      <c r="D29393" s="9"/>
      <c r="G29393" s="9"/>
      <c r="J29393" s="11"/>
      <c r="U29393" s="9"/>
      <c r="X29393" s="9"/>
    </row>
    <row r="29394">
      <c r="D29394" s="9"/>
      <c r="G29394" s="9"/>
      <c r="J29394" s="11"/>
      <c r="U29394" s="9"/>
      <c r="X29394" s="9"/>
    </row>
    <row r="29395">
      <c r="D29395" s="9"/>
      <c r="G29395" s="9"/>
      <c r="J29395" s="11"/>
      <c r="U29395" s="9"/>
      <c r="X29395" s="9"/>
    </row>
    <row r="29396">
      <c r="D29396" s="9"/>
      <c r="G29396" s="9"/>
      <c r="J29396" s="11"/>
      <c r="U29396" s="9"/>
      <c r="X29396" s="9"/>
    </row>
    <row r="29397">
      <c r="D29397" s="9"/>
      <c r="G29397" s="9"/>
      <c r="J29397" s="11"/>
      <c r="U29397" s="9"/>
      <c r="X29397" s="9"/>
    </row>
    <row r="29398">
      <c r="D29398" s="9"/>
      <c r="G29398" s="9"/>
      <c r="J29398" s="11"/>
      <c r="U29398" s="9"/>
      <c r="X29398" s="9"/>
    </row>
    <row r="29399">
      <c r="D29399" s="9"/>
      <c r="G29399" s="9"/>
      <c r="J29399" s="11"/>
      <c r="U29399" s="9"/>
      <c r="X29399" s="9"/>
    </row>
    <row r="29400">
      <c r="D29400" s="9"/>
      <c r="G29400" s="9"/>
      <c r="J29400" s="11"/>
      <c r="U29400" s="9"/>
      <c r="X29400" s="9"/>
    </row>
    <row r="29401">
      <c r="D29401" s="9"/>
      <c r="G29401" s="9"/>
      <c r="J29401" s="11"/>
      <c r="U29401" s="9"/>
      <c r="X29401" s="9"/>
    </row>
    <row r="29402">
      <c r="D29402" s="9"/>
      <c r="G29402" s="9"/>
      <c r="J29402" s="11"/>
      <c r="U29402" s="9"/>
      <c r="X29402" s="9"/>
    </row>
    <row r="29403">
      <c r="D29403" s="9"/>
      <c r="G29403" s="9"/>
      <c r="J29403" s="11"/>
      <c r="U29403" s="9"/>
      <c r="X29403" s="9"/>
    </row>
    <row r="29404">
      <c r="D29404" s="9"/>
      <c r="G29404" s="9"/>
      <c r="J29404" s="11"/>
      <c r="U29404" s="9"/>
      <c r="X29404" s="9"/>
    </row>
    <row r="29405">
      <c r="D29405" s="9"/>
      <c r="G29405" s="9"/>
      <c r="J29405" s="11"/>
      <c r="U29405" s="9"/>
      <c r="X29405" s="9"/>
    </row>
    <row r="29406">
      <c r="D29406" s="9"/>
      <c r="G29406" s="9"/>
      <c r="J29406" s="11"/>
      <c r="U29406" s="9"/>
      <c r="X29406" s="9"/>
    </row>
    <row r="29407">
      <c r="D29407" s="9"/>
      <c r="G29407" s="9"/>
      <c r="J29407" s="11"/>
      <c r="U29407" s="9"/>
      <c r="X29407" s="9"/>
    </row>
    <row r="29408">
      <c r="D29408" s="9"/>
      <c r="G29408" s="9"/>
      <c r="J29408" s="11"/>
      <c r="U29408" s="9"/>
      <c r="X29408" s="9"/>
    </row>
    <row r="29409">
      <c r="D29409" s="9"/>
      <c r="G29409" s="9"/>
      <c r="J29409" s="11"/>
      <c r="U29409" s="9"/>
      <c r="X29409" s="9"/>
    </row>
    <row r="29410">
      <c r="D29410" s="9"/>
      <c r="G29410" s="9"/>
      <c r="J29410" s="11"/>
      <c r="U29410" s="9"/>
      <c r="X29410" s="9"/>
    </row>
    <row r="29411">
      <c r="D29411" s="9"/>
      <c r="G29411" s="9"/>
      <c r="J29411" s="11"/>
      <c r="U29411" s="9"/>
      <c r="X29411" s="9"/>
    </row>
    <row r="29412">
      <c r="D29412" s="9"/>
      <c r="G29412" s="9"/>
      <c r="J29412" s="11"/>
      <c r="U29412" s="9"/>
      <c r="X29412" s="9"/>
    </row>
    <row r="29413">
      <c r="D29413" s="9"/>
      <c r="G29413" s="9"/>
      <c r="J29413" s="11"/>
      <c r="U29413" s="9"/>
      <c r="X29413" s="9"/>
    </row>
    <row r="29414">
      <c r="D29414" s="9"/>
      <c r="G29414" s="9"/>
      <c r="J29414" s="11"/>
      <c r="U29414" s="9"/>
      <c r="X29414" s="9"/>
    </row>
    <row r="29415">
      <c r="D29415" s="9"/>
      <c r="G29415" s="9"/>
      <c r="J29415" s="11"/>
      <c r="U29415" s="9"/>
      <c r="X29415" s="9"/>
    </row>
    <row r="29416">
      <c r="D29416" s="9"/>
      <c r="G29416" s="9"/>
      <c r="J29416" s="11"/>
      <c r="U29416" s="9"/>
      <c r="X29416" s="9"/>
    </row>
    <row r="29417">
      <c r="D29417" s="9"/>
      <c r="G29417" s="9"/>
      <c r="J29417" s="11"/>
      <c r="U29417" s="9"/>
      <c r="X29417" s="9"/>
    </row>
    <row r="29418">
      <c r="D29418" s="9"/>
      <c r="G29418" s="9"/>
      <c r="J29418" s="11"/>
      <c r="U29418" s="9"/>
      <c r="X29418" s="9"/>
    </row>
    <row r="29419">
      <c r="D29419" s="9"/>
      <c r="G29419" s="9"/>
      <c r="J29419" s="11"/>
      <c r="U29419" s="9"/>
      <c r="X29419" s="9"/>
    </row>
    <row r="29420">
      <c r="D29420" s="9"/>
      <c r="G29420" s="9"/>
      <c r="J29420" s="11"/>
      <c r="U29420" s="9"/>
      <c r="X29420" s="9"/>
    </row>
    <row r="29421">
      <c r="D29421" s="9"/>
      <c r="G29421" s="9"/>
      <c r="J29421" s="11"/>
      <c r="U29421" s="9"/>
      <c r="X29421" s="9"/>
    </row>
    <row r="29422">
      <c r="D29422" s="9"/>
      <c r="G29422" s="9"/>
      <c r="J29422" s="11"/>
      <c r="U29422" s="9"/>
      <c r="X29422" s="9"/>
    </row>
    <row r="29423">
      <c r="D29423" s="9"/>
      <c r="G29423" s="9"/>
      <c r="J29423" s="11"/>
      <c r="U29423" s="9"/>
      <c r="X29423" s="9"/>
    </row>
    <row r="29424">
      <c r="D29424" s="9"/>
      <c r="G29424" s="9"/>
      <c r="J29424" s="11"/>
      <c r="U29424" s="9"/>
      <c r="X29424" s="9"/>
    </row>
    <row r="29425">
      <c r="D29425" s="9"/>
      <c r="G29425" s="9"/>
      <c r="J29425" s="11"/>
      <c r="U29425" s="9"/>
      <c r="X29425" s="9"/>
    </row>
    <row r="29426">
      <c r="D29426" s="9"/>
      <c r="G29426" s="9"/>
      <c r="J29426" s="11"/>
      <c r="U29426" s="9"/>
      <c r="X29426" s="9"/>
    </row>
    <row r="29427">
      <c r="D29427" s="9"/>
      <c r="G29427" s="9"/>
      <c r="J29427" s="11"/>
      <c r="U29427" s="9"/>
      <c r="X29427" s="9"/>
    </row>
    <row r="29428">
      <c r="D29428" s="9"/>
      <c r="G29428" s="9"/>
      <c r="J29428" s="11"/>
      <c r="U29428" s="9"/>
      <c r="X29428" s="9"/>
    </row>
    <row r="29429">
      <c r="D29429" s="9"/>
      <c r="G29429" s="9"/>
      <c r="J29429" s="11"/>
      <c r="U29429" s="9"/>
      <c r="X29429" s="9"/>
    </row>
    <row r="29430">
      <c r="D29430" s="9"/>
      <c r="G29430" s="9"/>
      <c r="J29430" s="11"/>
      <c r="U29430" s="9"/>
      <c r="X29430" s="9"/>
    </row>
    <row r="29431">
      <c r="D29431" s="9"/>
      <c r="G29431" s="9"/>
      <c r="J29431" s="11"/>
      <c r="U29431" s="9"/>
      <c r="X29431" s="9"/>
    </row>
    <row r="29432">
      <c r="D29432" s="9"/>
      <c r="G29432" s="9"/>
      <c r="J29432" s="11"/>
      <c r="U29432" s="9"/>
      <c r="X29432" s="9"/>
    </row>
    <row r="29433">
      <c r="D29433" s="9"/>
      <c r="G29433" s="9"/>
      <c r="J29433" s="11"/>
      <c r="U29433" s="9"/>
      <c r="X29433" s="9"/>
    </row>
    <row r="29434">
      <c r="D29434" s="9"/>
      <c r="G29434" s="9"/>
      <c r="J29434" s="11"/>
      <c r="U29434" s="9"/>
      <c r="X29434" s="9"/>
    </row>
    <row r="29435">
      <c r="D29435" s="9"/>
      <c r="G29435" s="9"/>
      <c r="J29435" s="11"/>
      <c r="U29435" s="9"/>
      <c r="X29435" s="9"/>
    </row>
    <row r="29436">
      <c r="D29436" s="9"/>
      <c r="G29436" s="9"/>
      <c r="J29436" s="11"/>
      <c r="U29436" s="9"/>
      <c r="X29436" s="9"/>
    </row>
    <row r="29437">
      <c r="D29437" s="9"/>
      <c r="G29437" s="9"/>
      <c r="J29437" s="11"/>
      <c r="U29437" s="9"/>
      <c r="X29437" s="9"/>
    </row>
    <row r="29438">
      <c r="D29438" s="9"/>
      <c r="G29438" s="9"/>
      <c r="J29438" s="11"/>
      <c r="U29438" s="9"/>
      <c r="X29438" s="9"/>
    </row>
    <row r="29439">
      <c r="D29439" s="9"/>
      <c r="G29439" s="9"/>
      <c r="J29439" s="11"/>
      <c r="U29439" s="9"/>
      <c r="X29439" s="9"/>
    </row>
    <row r="29440">
      <c r="D29440" s="9"/>
      <c r="G29440" s="9"/>
      <c r="J29440" s="11"/>
      <c r="U29440" s="9"/>
      <c r="X29440" s="9"/>
    </row>
    <row r="29441">
      <c r="D29441" s="9"/>
      <c r="G29441" s="9"/>
      <c r="J29441" s="11"/>
      <c r="U29441" s="9"/>
      <c r="X29441" s="9"/>
    </row>
    <row r="29442">
      <c r="D29442" s="9"/>
      <c r="G29442" s="9"/>
      <c r="J29442" s="11"/>
      <c r="U29442" s="9"/>
      <c r="X29442" s="9"/>
    </row>
    <row r="29443">
      <c r="D29443" s="9"/>
      <c r="G29443" s="9"/>
      <c r="J29443" s="11"/>
      <c r="U29443" s="9"/>
      <c r="X29443" s="9"/>
    </row>
    <row r="29444">
      <c r="D29444" s="9"/>
      <c r="G29444" s="9"/>
      <c r="J29444" s="11"/>
      <c r="U29444" s="9"/>
      <c r="X29444" s="9"/>
    </row>
    <row r="29445">
      <c r="D29445" s="9"/>
      <c r="G29445" s="9"/>
      <c r="J29445" s="11"/>
      <c r="U29445" s="9"/>
      <c r="X29445" s="9"/>
    </row>
    <row r="29446">
      <c r="D29446" s="9"/>
      <c r="G29446" s="9"/>
      <c r="J29446" s="11"/>
      <c r="U29446" s="9"/>
      <c r="X29446" s="9"/>
    </row>
    <row r="29447">
      <c r="D29447" s="9"/>
      <c r="G29447" s="9"/>
      <c r="J29447" s="11"/>
      <c r="U29447" s="9"/>
      <c r="X29447" s="9"/>
    </row>
    <row r="29448">
      <c r="D29448" s="9"/>
      <c r="G29448" s="9"/>
      <c r="J29448" s="11"/>
      <c r="U29448" s="9"/>
      <c r="X29448" s="9"/>
    </row>
    <row r="29449">
      <c r="D29449" s="9"/>
      <c r="G29449" s="9"/>
      <c r="J29449" s="11"/>
      <c r="U29449" s="9"/>
      <c r="X29449" s="9"/>
    </row>
    <row r="29450">
      <c r="D29450" s="9"/>
      <c r="G29450" s="9"/>
      <c r="J29450" s="11"/>
      <c r="U29450" s="9"/>
      <c r="X29450" s="9"/>
    </row>
    <row r="29451">
      <c r="D29451" s="9"/>
      <c r="G29451" s="9"/>
      <c r="J29451" s="11"/>
      <c r="U29451" s="9"/>
      <c r="X29451" s="9"/>
    </row>
    <row r="29452">
      <c r="D29452" s="9"/>
      <c r="G29452" s="9"/>
      <c r="J29452" s="11"/>
      <c r="U29452" s="9"/>
      <c r="X29452" s="9"/>
    </row>
    <row r="29453">
      <c r="D29453" s="9"/>
      <c r="G29453" s="9"/>
      <c r="J29453" s="11"/>
      <c r="U29453" s="9"/>
      <c r="X29453" s="9"/>
    </row>
    <row r="29454">
      <c r="D29454" s="9"/>
      <c r="G29454" s="9"/>
      <c r="J29454" s="11"/>
      <c r="U29454" s="9"/>
      <c r="X29454" s="9"/>
    </row>
    <row r="29455">
      <c r="D29455" s="9"/>
      <c r="G29455" s="9"/>
      <c r="J29455" s="11"/>
      <c r="U29455" s="9"/>
      <c r="X29455" s="9"/>
    </row>
    <row r="29456">
      <c r="D29456" s="9"/>
      <c r="G29456" s="9"/>
      <c r="J29456" s="11"/>
      <c r="U29456" s="9"/>
      <c r="X29456" s="9"/>
    </row>
    <row r="29457">
      <c r="D29457" s="9"/>
      <c r="G29457" s="9"/>
      <c r="J29457" s="11"/>
      <c r="U29457" s="9"/>
      <c r="X29457" s="9"/>
    </row>
    <row r="29458">
      <c r="D29458" s="9"/>
      <c r="G29458" s="9"/>
      <c r="J29458" s="11"/>
      <c r="U29458" s="9"/>
      <c r="X29458" s="9"/>
    </row>
    <row r="29459">
      <c r="D29459" s="9"/>
      <c r="G29459" s="9"/>
      <c r="J29459" s="11"/>
      <c r="U29459" s="9"/>
      <c r="X29459" s="9"/>
    </row>
    <row r="29460">
      <c r="D29460" s="9"/>
      <c r="G29460" s="9"/>
      <c r="J29460" s="11"/>
      <c r="U29460" s="9"/>
      <c r="X29460" s="9"/>
    </row>
    <row r="29461">
      <c r="D29461" s="9"/>
      <c r="G29461" s="9"/>
      <c r="J29461" s="11"/>
      <c r="U29461" s="9"/>
      <c r="X29461" s="9"/>
    </row>
    <row r="29462">
      <c r="D29462" s="9"/>
      <c r="G29462" s="9"/>
      <c r="J29462" s="11"/>
      <c r="U29462" s="9"/>
      <c r="X29462" s="9"/>
    </row>
    <row r="29463">
      <c r="D29463" s="9"/>
      <c r="G29463" s="9"/>
      <c r="J29463" s="11"/>
      <c r="U29463" s="9"/>
      <c r="X29463" s="9"/>
    </row>
    <row r="29464">
      <c r="D29464" s="9"/>
      <c r="G29464" s="9"/>
      <c r="J29464" s="11"/>
      <c r="U29464" s="9"/>
      <c r="X29464" s="9"/>
    </row>
    <row r="29465">
      <c r="D29465" s="9"/>
      <c r="G29465" s="9"/>
      <c r="J29465" s="11"/>
      <c r="U29465" s="9"/>
      <c r="X29465" s="9"/>
    </row>
    <row r="29466">
      <c r="D29466" s="9"/>
      <c r="G29466" s="9"/>
      <c r="J29466" s="11"/>
      <c r="U29466" s="9"/>
      <c r="X29466" s="9"/>
    </row>
    <row r="29467">
      <c r="D29467" s="9"/>
      <c r="G29467" s="9"/>
      <c r="J29467" s="11"/>
      <c r="U29467" s="9"/>
      <c r="X29467" s="9"/>
    </row>
    <row r="29468">
      <c r="D29468" s="9"/>
      <c r="G29468" s="9"/>
      <c r="J29468" s="11"/>
      <c r="U29468" s="9"/>
      <c r="X29468" s="9"/>
    </row>
    <row r="29469">
      <c r="D29469" s="9"/>
      <c r="G29469" s="9"/>
      <c r="J29469" s="11"/>
      <c r="U29469" s="9"/>
      <c r="X29469" s="9"/>
    </row>
    <row r="29470">
      <c r="D29470" s="9"/>
      <c r="G29470" s="9"/>
      <c r="J29470" s="11"/>
      <c r="U29470" s="9"/>
      <c r="X29470" s="9"/>
    </row>
    <row r="29471">
      <c r="D29471" s="9"/>
      <c r="G29471" s="9"/>
      <c r="J29471" s="11"/>
      <c r="U29471" s="9"/>
      <c r="X29471" s="9"/>
    </row>
    <row r="29472">
      <c r="D29472" s="9"/>
      <c r="G29472" s="9"/>
      <c r="J29472" s="11"/>
      <c r="U29472" s="9"/>
      <c r="X29472" s="9"/>
    </row>
    <row r="29473">
      <c r="D29473" s="9"/>
      <c r="G29473" s="9"/>
      <c r="J29473" s="11"/>
      <c r="U29473" s="9"/>
      <c r="X29473" s="9"/>
    </row>
    <row r="29474">
      <c r="D29474" s="9"/>
      <c r="G29474" s="9"/>
      <c r="J29474" s="11"/>
      <c r="U29474" s="9"/>
      <c r="X29474" s="9"/>
    </row>
    <row r="29475">
      <c r="D29475" s="9"/>
      <c r="G29475" s="9"/>
      <c r="J29475" s="11"/>
      <c r="U29475" s="9"/>
      <c r="X29475" s="9"/>
    </row>
    <row r="29476">
      <c r="D29476" s="9"/>
      <c r="G29476" s="9"/>
      <c r="J29476" s="11"/>
      <c r="U29476" s="9"/>
      <c r="X29476" s="9"/>
    </row>
    <row r="29477">
      <c r="D29477" s="9"/>
      <c r="G29477" s="9"/>
      <c r="J29477" s="11"/>
      <c r="U29477" s="9"/>
      <c r="X29477" s="9"/>
    </row>
    <row r="29478">
      <c r="D29478" s="9"/>
      <c r="G29478" s="9"/>
      <c r="J29478" s="11"/>
      <c r="U29478" s="9"/>
      <c r="X29478" s="9"/>
    </row>
    <row r="29479">
      <c r="D29479" s="9"/>
      <c r="G29479" s="9"/>
      <c r="J29479" s="11"/>
      <c r="U29479" s="9"/>
      <c r="X29479" s="9"/>
    </row>
    <row r="29480">
      <c r="D29480" s="9"/>
      <c r="G29480" s="9"/>
      <c r="J29480" s="11"/>
      <c r="U29480" s="9"/>
      <c r="X29480" s="9"/>
    </row>
    <row r="29481">
      <c r="D29481" s="9"/>
      <c r="G29481" s="9"/>
      <c r="J29481" s="11"/>
      <c r="U29481" s="9"/>
      <c r="X29481" s="9"/>
    </row>
    <row r="29482">
      <c r="D29482" s="9"/>
      <c r="G29482" s="9"/>
      <c r="J29482" s="11"/>
      <c r="U29482" s="9"/>
      <c r="X29482" s="9"/>
    </row>
    <row r="29483">
      <c r="D29483" s="9"/>
      <c r="G29483" s="9"/>
      <c r="J29483" s="11"/>
      <c r="U29483" s="9"/>
      <c r="X29483" s="9"/>
    </row>
    <row r="29484">
      <c r="D29484" s="9"/>
      <c r="G29484" s="9"/>
      <c r="J29484" s="11"/>
      <c r="U29484" s="9"/>
      <c r="X29484" s="9"/>
    </row>
    <row r="29485">
      <c r="D29485" s="9"/>
      <c r="G29485" s="9"/>
      <c r="J29485" s="11"/>
      <c r="U29485" s="9"/>
      <c r="X29485" s="9"/>
    </row>
    <row r="29486">
      <c r="D29486" s="9"/>
      <c r="G29486" s="9"/>
      <c r="J29486" s="11"/>
      <c r="U29486" s="9"/>
      <c r="X29486" s="9"/>
    </row>
    <row r="29487">
      <c r="D29487" s="9"/>
      <c r="G29487" s="9"/>
      <c r="J29487" s="11"/>
      <c r="U29487" s="9"/>
      <c r="X29487" s="9"/>
    </row>
    <row r="29488">
      <c r="D29488" s="9"/>
      <c r="G29488" s="9"/>
      <c r="J29488" s="11"/>
      <c r="U29488" s="9"/>
      <c r="X29488" s="9"/>
    </row>
    <row r="29489">
      <c r="D29489" s="9"/>
      <c r="G29489" s="9"/>
      <c r="J29489" s="11"/>
      <c r="U29489" s="9"/>
      <c r="X29489" s="9"/>
    </row>
    <row r="29490">
      <c r="D29490" s="9"/>
      <c r="G29490" s="9"/>
      <c r="J29490" s="11"/>
      <c r="U29490" s="9"/>
      <c r="X29490" s="9"/>
    </row>
    <row r="29491">
      <c r="D29491" s="9"/>
      <c r="G29491" s="9"/>
      <c r="J29491" s="11"/>
      <c r="U29491" s="9"/>
      <c r="X29491" s="9"/>
    </row>
    <row r="29492">
      <c r="D29492" s="9"/>
      <c r="G29492" s="9"/>
      <c r="J29492" s="11"/>
      <c r="U29492" s="9"/>
      <c r="X29492" s="9"/>
    </row>
    <row r="29493">
      <c r="D29493" s="9"/>
      <c r="G29493" s="9"/>
      <c r="J29493" s="11"/>
      <c r="U29493" s="9"/>
      <c r="X29493" s="9"/>
    </row>
    <row r="29494">
      <c r="D29494" s="9"/>
      <c r="G29494" s="9"/>
      <c r="J29494" s="11"/>
      <c r="U29494" s="9"/>
      <c r="X29494" s="9"/>
    </row>
    <row r="29495">
      <c r="D29495" s="9"/>
      <c r="G29495" s="9"/>
      <c r="J29495" s="11"/>
      <c r="U29495" s="9"/>
      <c r="X29495" s="9"/>
    </row>
    <row r="29496">
      <c r="D29496" s="9"/>
      <c r="G29496" s="9"/>
      <c r="J29496" s="11"/>
      <c r="U29496" s="9"/>
      <c r="X29496" s="9"/>
    </row>
    <row r="29497">
      <c r="D29497" s="9"/>
      <c r="G29497" s="9"/>
      <c r="J29497" s="11"/>
      <c r="U29497" s="9"/>
      <c r="X29497" s="9"/>
    </row>
    <row r="29498">
      <c r="D29498" s="9"/>
      <c r="G29498" s="9"/>
      <c r="J29498" s="11"/>
      <c r="U29498" s="9"/>
      <c r="X29498" s="9"/>
    </row>
    <row r="29499">
      <c r="D29499" s="9"/>
      <c r="G29499" s="9"/>
      <c r="J29499" s="11"/>
      <c r="U29499" s="9"/>
      <c r="X29499" s="9"/>
    </row>
    <row r="29500">
      <c r="D29500" s="9"/>
      <c r="G29500" s="9"/>
      <c r="J29500" s="11"/>
      <c r="U29500" s="9"/>
      <c r="X29500" s="9"/>
    </row>
    <row r="29501">
      <c r="D29501" s="9"/>
      <c r="G29501" s="9"/>
      <c r="J29501" s="11"/>
      <c r="U29501" s="9"/>
      <c r="X29501" s="9"/>
    </row>
    <row r="29502">
      <c r="D29502" s="9"/>
      <c r="G29502" s="9"/>
      <c r="J29502" s="11"/>
      <c r="U29502" s="9"/>
      <c r="X29502" s="9"/>
    </row>
    <row r="29503">
      <c r="D29503" s="9"/>
      <c r="G29503" s="9"/>
      <c r="J29503" s="11"/>
      <c r="U29503" s="9"/>
      <c r="X29503" s="9"/>
    </row>
    <row r="29504">
      <c r="D29504" s="9"/>
      <c r="G29504" s="9"/>
      <c r="J29504" s="11"/>
      <c r="U29504" s="9"/>
      <c r="X29504" s="9"/>
    </row>
    <row r="29505">
      <c r="D29505" s="9"/>
      <c r="G29505" s="9"/>
      <c r="J29505" s="11"/>
      <c r="U29505" s="9"/>
      <c r="X29505" s="9"/>
    </row>
    <row r="29506">
      <c r="D29506" s="9"/>
      <c r="G29506" s="9"/>
      <c r="J29506" s="11"/>
      <c r="U29506" s="9"/>
      <c r="X29506" s="9"/>
    </row>
    <row r="29507">
      <c r="D29507" s="9"/>
      <c r="G29507" s="9"/>
      <c r="J29507" s="11"/>
      <c r="U29507" s="9"/>
      <c r="X29507" s="9"/>
    </row>
    <row r="29508">
      <c r="D29508" s="9"/>
      <c r="G29508" s="9"/>
      <c r="J29508" s="11"/>
      <c r="U29508" s="9"/>
      <c r="X29508" s="9"/>
    </row>
    <row r="29509">
      <c r="D29509" s="9"/>
      <c r="G29509" s="9"/>
      <c r="J29509" s="11"/>
      <c r="U29509" s="9"/>
      <c r="X29509" s="9"/>
    </row>
    <row r="29510">
      <c r="D29510" s="9"/>
      <c r="G29510" s="9"/>
      <c r="J29510" s="11"/>
      <c r="U29510" s="9"/>
      <c r="X29510" s="9"/>
    </row>
    <row r="29511">
      <c r="D29511" s="9"/>
      <c r="G29511" s="9"/>
      <c r="J29511" s="11"/>
      <c r="U29511" s="9"/>
      <c r="X29511" s="9"/>
    </row>
    <row r="29512">
      <c r="D29512" s="9"/>
      <c r="G29512" s="9"/>
      <c r="J29512" s="11"/>
      <c r="U29512" s="9"/>
      <c r="X29512" s="9"/>
    </row>
    <row r="29513">
      <c r="D29513" s="9"/>
      <c r="G29513" s="9"/>
      <c r="J29513" s="11"/>
      <c r="U29513" s="9"/>
      <c r="X29513" s="9"/>
    </row>
    <row r="29514">
      <c r="D29514" s="9"/>
      <c r="G29514" s="9"/>
      <c r="J29514" s="11"/>
      <c r="U29514" s="9"/>
      <c r="X29514" s="9"/>
    </row>
    <row r="29515">
      <c r="D29515" s="9"/>
      <c r="G29515" s="9"/>
      <c r="J29515" s="11"/>
      <c r="U29515" s="9"/>
      <c r="X29515" s="9"/>
    </row>
    <row r="29516">
      <c r="D29516" s="9"/>
      <c r="G29516" s="9"/>
      <c r="J29516" s="11"/>
      <c r="U29516" s="9"/>
      <c r="X29516" s="9"/>
    </row>
    <row r="29517">
      <c r="D29517" s="9"/>
      <c r="G29517" s="9"/>
      <c r="J29517" s="11"/>
      <c r="U29517" s="9"/>
      <c r="X29517" s="9"/>
    </row>
    <row r="29518">
      <c r="D29518" s="9"/>
      <c r="G29518" s="9"/>
      <c r="J29518" s="11"/>
      <c r="U29518" s="9"/>
      <c r="X29518" s="9"/>
    </row>
    <row r="29519">
      <c r="D29519" s="9"/>
      <c r="G29519" s="9"/>
      <c r="J29519" s="11"/>
      <c r="U29519" s="9"/>
      <c r="X29519" s="9"/>
    </row>
    <row r="29520">
      <c r="D29520" s="9"/>
      <c r="G29520" s="9"/>
      <c r="J29520" s="11"/>
      <c r="U29520" s="9"/>
      <c r="X29520" s="9"/>
    </row>
    <row r="29521">
      <c r="D29521" s="9"/>
      <c r="G29521" s="9"/>
      <c r="J29521" s="11"/>
      <c r="U29521" s="9"/>
      <c r="X29521" s="9"/>
    </row>
    <row r="29522">
      <c r="D29522" s="9"/>
      <c r="G29522" s="9"/>
      <c r="J29522" s="11"/>
      <c r="U29522" s="9"/>
      <c r="X29522" s="9"/>
    </row>
    <row r="29523">
      <c r="D29523" s="9"/>
      <c r="G29523" s="9"/>
      <c r="J29523" s="11"/>
      <c r="U29523" s="9"/>
      <c r="X29523" s="9"/>
    </row>
    <row r="29524">
      <c r="D29524" s="9"/>
      <c r="G29524" s="9"/>
      <c r="J29524" s="11"/>
      <c r="U29524" s="9"/>
      <c r="X29524" s="9"/>
    </row>
    <row r="29525">
      <c r="D29525" s="9"/>
      <c r="G29525" s="9"/>
      <c r="J29525" s="11"/>
      <c r="U29525" s="9"/>
      <c r="X29525" s="9"/>
    </row>
    <row r="29526">
      <c r="D29526" s="9"/>
      <c r="G29526" s="9"/>
      <c r="J29526" s="11"/>
      <c r="U29526" s="9"/>
      <c r="X29526" s="9"/>
    </row>
    <row r="29527">
      <c r="D29527" s="9"/>
      <c r="G29527" s="9"/>
      <c r="J29527" s="11"/>
      <c r="U29527" s="9"/>
      <c r="X29527" s="9"/>
    </row>
    <row r="29528">
      <c r="D29528" s="9"/>
      <c r="G29528" s="9"/>
      <c r="J29528" s="11"/>
      <c r="U29528" s="9"/>
      <c r="X29528" s="9"/>
    </row>
    <row r="29529">
      <c r="D29529" s="9"/>
      <c r="G29529" s="9"/>
      <c r="J29529" s="11"/>
      <c r="U29529" s="9"/>
      <c r="X29529" s="9"/>
    </row>
    <row r="29530">
      <c r="D29530" s="9"/>
      <c r="G29530" s="9"/>
      <c r="J29530" s="11"/>
      <c r="U29530" s="9"/>
      <c r="X29530" s="9"/>
    </row>
    <row r="29531">
      <c r="D29531" s="9"/>
      <c r="G29531" s="9"/>
      <c r="J29531" s="11"/>
      <c r="U29531" s="9"/>
      <c r="X29531" s="9"/>
    </row>
    <row r="29532">
      <c r="D29532" s="9"/>
      <c r="G29532" s="9"/>
      <c r="J29532" s="11"/>
      <c r="U29532" s="9"/>
      <c r="X29532" s="9"/>
    </row>
    <row r="29533">
      <c r="D29533" s="9"/>
      <c r="G29533" s="9"/>
      <c r="J29533" s="11"/>
      <c r="U29533" s="9"/>
      <c r="X29533" s="9"/>
    </row>
    <row r="29534">
      <c r="D29534" s="9"/>
      <c r="G29534" s="9"/>
      <c r="J29534" s="11"/>
      <c r="U29534" s="9"/>
      <c r="X29534" s="9"/>
    </row>
    <row r="29535">
      <c r="D29535" s="9"/>
      <c r="G29535" s="9"/>
      <c r="J29535" s="11"/>
      <c r="U29535" s="9"/>
      <c r="X29535" s="9"/>
    </row>
    <row r="29536">
      <c r="D29536" s="9"/>
      <c r="G29536" s="9"/>
      <c r="J29536" s="11"/>
      <c r="U29536" s="9"/>
      <c r="X29536" s="9"/>
    </row>
    <row r="29537">
      <c r="D29537" s="9"/>
      <c r="G29537" s="9"/>
      <c r="J29537" s="11"/>
      <c r="U29537" s="9"/>
      <c r="X29537" s="9"/>
    </row>
    <row r="29538">
      <c r="D29538" s="9"/>
      <c r="G29538" s="9"/>
      <c r="J29538" s="11"/>
      <c r="U29538" s="9"/>
      <c r="X29538" s="9"/>
    </row>
    <row r="29539">
      <c r="D29539" s="9"/>
      <c r="G29539" s="9"/>
      <c r="J29539" s="11"/>
      <c r="U29539" s="9"/>
      <c r="X29539" s="9"/>
    </row>
    <row r="29540">
      <c r="D29540" s="9"/>
      <c r="G29540" s="9"/>
      <c r="J29540" s="11"/>
      <c r="U29540" s="9"/>
      <c r="X29540" s="9"/>
    </row>
    <row r="29541">
      <c r="D29541" s="9"/>
      <c r="G29541" s="9"/>
      <c r="J29541" s="11"/>
      <c r="U29541" s="9"/>
      <c r="X29541" s="9"/>
    </row>
    <row r="29542">
      <c r="D29542" s="9"/>
      <c r="G29542" s="9"/>
      <c r="J29542" s="11"/>
      <c r="U29542" s="9"/>
      <c r="X29542" s="9"/>
    </row>
    <row r="29543">
      <c r="D29543" s="9"/>
      <c r="G29543" s="9"/>
      <c r="J29543" s="11"/>
      <c r="U29543" s="9"/>
      <c r="X29543" s="9"/>
    </row>
    <row r="29544">
      <c r="D29544" s="9"/>
      <c r="G29544" s="9"/>
      <c r="J29544" s="11"/>
      <c r="U29544" s="9"/>
      <c r="X29544" s="9"/>
    </row>
    <row r="29545">
      <c r="D29545" s="9"/>
      <c r="G29545" s="9"/>
      <c r="J29545" s="11"/>
      <c r="U29545" s="9"/>
      <c r="X29545" s="9"/>
    </row>
    <row r="29546">
      <c r="D29546" s="9"/>
      <c r="G29546" s="9"/>
      <c r="J29546" s="11"/>
      <c r="U29546" s="9"/>
      <c r="X29546" s="9"/>
    </row>
    <row r="29547">
      <c r="D29547" s="9"/>
      <c r="G29547" s="9"/>
      <c r="J29547" s="11"/>
      <c r="U29547" s="9"/>
      <c r="X29547" s="9"/>
    </row>
    <row r="29548">
      <c r="D29548" s="9"/>
      <c r="G29548" s="9"/>
      <c r="J29548" s="11"/>
      <c r="U29548" s="9"/>
      <c r="X29548" s="9"/>
    </row>
    <row r="29549">
      <c r="D29549" s="9"/>
      <c r="G29549" s="9"/>
      <c r="J29549" s="11"/>
      <c r="U29549" s="9"/>
      <c r="X29549" s="9"/>
    </row>
    <row r="29550">
      <c r="D29550" s="9"/>
      <c r="G29550" s="9"/>
      <c r="J29550" s="11"/>
      <c r="U29550" s="9"/>
      <c r="X29550" s="9"/>
    </row>
    <row r="29551">
      <c r="D29551" s="9"/>
      <c r="G29551" s="9"/>
      <c r="J29551" s="11"/>
      <c r="U29551" s="9"/>
      <c r="X29551" s="9"/>
    </row>
    <row r="29552">
      <c r="D29552" s="9"/>
      <c r="G29552" s="9"/>
      <c r="J29552" s="11"/>
      <c r="U29552" s="9"/>
      <c r="X29552" s="9"/>
    </row>
    <row r="29553">
      <c r="D29553" s="9"/>
      <c r="G29553" s="9"/>
      <c r="J29553" s="11"/>
      <c r="U29553" s="9"/>
      <c r="X29553" s="9"/>
    </row>
    <row r="29554">
      <c r="D29554" s="9"/>
      <c r="G29554" s="9"/>
      <c r="J29554" s="11"/>
      <c r="U29554" s="9"/>
      <c r="X29554" s="9"/>
    </row>
    <row r="29555">
      <c r="D29555" s="9"/>
      <c r="G29555" s="9"/>
      <c r="J29555" s="11"/>
      <c r="U29555" s="9"/>
      <c r="X29555" s="9"/>
    </row>
    <row r="29556">
      <c r="D29556" s="9"/>
      <c r="G29556" s="9"/>
      <c r="J29556" s="11"/>
      <c r="U29556" s="9"/>
      <c r="X29556" s="9"/>
    </row>
    <row r="29557">
      <c r="D29557" s="9"/>
      <c r="G29557" s="9"/>
      <c r="J29557" s="11"/>
      <c r="U29557" s="9"/>
      <c r="X29557" s="9"/>
    </row>
    <row r="29558">
      <c r="D29558" s="9"/>
      <c r="G29558" s="9"/>
      <c r="J29558" s="11"/>
      <c r="U29558" s="9"/>
      <c r="X29558" s="9"/>
    </row>
    <row r="29559">
      <c r="D29559" s="9"/>
      <c r="G29559" s="9"/>
      <c r="J29559" s="11"/>
      <c r="U29559" s="9"/>
      <c r="X29559" s="9"/>
    </row>
    <row r="29560">
      <c r="D29560" s="9"/>
      <c r="G29560" s="9"/>
      <c r="J29560" s="11"/>
      <c r="U29560" s="9"/>
      <c r="X29560" s="9"/>
    </row>
    <row r="29561">
      <c r="D29561" s="9"/>
      <c r="G29561" s="9"/>
      <c r="J29561" s="11"/>
      <c r="U29561" s="9"/>
      <c r="X29561" s="9"/>
    </row>
    <row r="29562">
      <c r="D29562" s="9"/>
      <c r="G29562" s="9"/>
      <c r="J29562" s="11"/>
      <c r="U29562" s="9"/>
      <c r="X29562" s="9"/>
    </row>
    <row r="29563">
      <c r="D29563" s="9"/>
      <c r="G29563" s="9"/>
      <c r="J29563" s="11"/>
      <c r="U29563" s="9"/>
      <c r="X29563" s="9"/>
    </row>
    <row r="29564">
      <c r="D29564" s="9"/>
      <c r="G29564" s="9"/>
      <c r="J29564" s="11"/>
      <c r="U29564" s="9"/>
      <c r="X29564" s="9"/>
    </row>
    <row r="29565">
      <c r="D29565" s="9"/>
      <c r="G29565" s="9"/>
      <c r="J29565" s="11"/>
      <c r="U29565" s="9"/>
      <c r="X29565" s="9"/>
    </row>
    <row r="29566">
      <c r="D29566" s="9"/>
      <c r="G29566" s="9"/>
      <c r="J29566" s="11"/>
      <c r="U29566" s="9"/>
      <c r="X29566" s="9"/>
    </row>
    <row r="29567">
      <c r="D29567" s="9"/>
      <c r="G29567" s="9"/>
      <c r="J29567" s="11"/>
      <c r="U29567" s="9"/>
      <c r="X29567" s="9"/>
    </row>
    <row r="29568">
      <c r="D29568" s="9"/>
      <c r="G29568" s="9"/>
      <c r="J29568" s="11"/>
      <c r="U29568" s="9"/>
      <c r="X29568" s="9"/>
    </row>
    <row r="29569">
      <c r="D29569" s="9"/>
      <c r="G29569" s="9"/>
      <c r="J29569" s="11"/>
      <c r="U29569" s="9"/>
      <c r="X29569" s="9"/>
    </row>
    <row r="29570">
      <c r="D29570" s="9"/>
      <c r="G29570" s="9"/>
      <c r="J29570" s="11"/>
      <c r="U29570" s="9"/>
      <c r="X29570" s="9"/>
    </row>
    <row r="29571">
      <c r="D29571" s="9"/>
      <c r="G29571" s="9"/>
      <c r="J29571" s="11"/>
      <c r="U29571" s="9"/>
      <c r="X29571" s="9"/>
    </row>
    <row r="29572">
      <c r="D29572" s="9"/>
      <c r="G29572" s="9"/>
      <c r="J29572" s="11"/>
      <c r="U29572" s="9"/>
      <c r="X29572" s="9"/>
    </row>
    <row r="29573">
      <c r="D29573" s="9"/>
      <c r="G29573" s="9"/>
      <c r="J29573" s="11"/>
      <c r="U29573" s="9"/>
      <c r="X29573" s="9"/>
    </row>
    <row r="29574">
      <c r="D29574" s="9"/>
      <c r="G29574" s="9"/>
      <c r="J29574" s="11"/>
      <c r="U29574" s="9"/>
      <c r="X29574" s="9"/>
    </row>
    <row r="29575">
      <c r="D29575" s="9"/>
      <c r="G29575" s="9"/>
      <c r="J29575" s="11"/>
      <c r="U29575" s="9"/>
      <c r="X29575" s="9"/>
    </row>
    <row r="29576">
      <c r="D29576" s="9"/>
      <c r="G29576" s="9"/>
      <c r="J29576" s="11"/>
      <c r="U29576" s="9"/>
      <c r="X29576" s="9"/>
    </row>
    <row r="29577">
      <c r="D29577" s="9"/>
      <c r="G29577" s="9"/>
      <c r="J29577" s="11"/>
      <c r="U29577" s="9"/>
      <c r="X29577" s="9"/>
    </row>
    <row r="29578">
      <c r="D29578" s="9"/>
      <c r="G29578" s="9"/>
      <c r="J29578" s="11"/>
      <c r="U29578" s="9"/>
      <c r="X29578" s="9"/>
    </row>
    <row r="29579">
      <c r="D29579" s="9"/>
      <c r="G29579" s="9"/>
      <c r="J29579" s="11"/>
      <c r="U29579" s="9"/>
      <c r="X29579" s="9"/>
    </row>
    <row r="29580">
      <c r="D29580" s="9"/>
      <c r="G29580" s="9"/>
      <c r="J29580" s="11"/>
      <c r="U29580" s="9"/>
      <c r="X29580" s="9"/>
    </row>
    <row r="29581">
      <c r="D29581" s="9"/>
      <c r="G29581" s="9"/>
      <c r="J29581" s="11"/>
      <c r="U29581" s="9"/>
      <c r="X29581" s="9"/>
    </row>
    <row r="29582">
      <c r="D29582" s="9"/>
      <c r="G29582" s="9"/>
      <c r="J29582" s="11"/>
      <c r="U29582" s="9"/>
      <c r="X29582" s="9"/>
    </row>
    <row r="29583">
      <c r="D29583" s="9"/>
      <c r="G29583" s="9"/>
      <c r="J29583" s="11"/>
      <c r="U29583" s="9"/>
      <c r="X29583" s="9"/>
    </row>
    <row r="29584">
      <c r="D29584" s="9"/>
      <c r="G29584" s="9"/>
      <c r="J29584" s="11"/>
      <c r="U29584" s="9"/>
      <c r="X29584" s="9"/>
    </row>
    <row r="29585">
      <c r="D29585" s="9"/>
      <c r="G29585" s="9"/>
      <c r="J29585" s="11"/>
      <c r="U29585" s="9"/>
      <c r="X29585" s="9"/>
    </row>
    <row r="29586">
      <c r="D29586" s="9"/>
      <c r="G29586" s="9"/>
      <c r="J29586" s="11"/>
      <c r="U29586" s="9"/>
      <c r="X29586" s="9"/>
    </row>
    <row r="29587">
      <c r="D29587" s="9"/>
      <c r="G29587" s="9"/>
      <c r="J29587" s="11"/>
      <c r="U29587" s="9"/>
      <c r="X29587" s="9"/>
    </row>
    <row r="29588">
      <c r="D29588" s="9"/>
      <c r="G29588" s="9"/>
      <c r="J29588" s="11"/>
      <c r="U29588" s="9"/>
      <c r="X29588" s="9"/>
    </row>
    <row r="29589">
      <c r="D29589" s="9"/>
      <c r="G29589" s="9"/>
      <c r="J29589" s="11"/>
      <c r="U29589" s="9"/>
      <c r="X29589" s="9"/>
    </row>
    <row r="29590">
      <c r="D29590" s="9"/>
      <c r="G29590" s="9"/>
      <c r="J29590" s="11"/>
      <c r="U29590" s="9"/>
      <c r="X29590" s="9"/>
    </row>
    <row r="29591">
      <c r="D29591" s="9"/>
      <c r="G29591" s="9"/>
      <c r="J29591" s="11"/>
      <c r="U29591" s="9"/>
      <c r="X29591" s="9"/>
    </row>
    <row r="29592">
      <c r="D29592" s="9"/>
      <c r="G29592" s="9"/>
      <c r="J29592" s="11"/>
      <c r="U29592" s="9"/>
      <c r="X29592" s="9"/>
    </row>
    <row r="29593">
      <c r="D29593" s="9"/>
      <c r="G29593" s="9"/>
      <c r="J29593" s="11"/>
      <c r="U29593" s="9"/>
      <c r="X29593" s="9"/>
    </row>
    <row r="29594">
      <c r="D29594" s="9"/>
      <c r="G29594" s="9"/>
      <c r="J29594" s="11"/>
      <c r="U29594" s="9"/>
      <c r="X29594" s="9"/>
    </row>
    <row r="29595">
      <c r="D29595" s="9"/>
      <c r="G29595" s="9"/>
      <c r="J29595" s="11"/>
      <c r="U29595" s="9"/>
      <c r="X29595" s="9"/>
    </row>
    <row r="29596">
      <c r="D29596" s="9"/>
      <c r="G29596" s="9"/>
      <c r="J29596" s="11"/>
      <c r="U29596" s="9"/>
      <c r="X29596" s="9"/>
    </row>
    <row r="29597">
      <c r="D29597" s="9"/>
      <c r="G29597" s="9"/>
      <c r="J29597" s="11"/>
      <c r="U29597" s="9"/>
      <c r="X29597" s="9"/>
    </row>
    <row r="29598">
      <c r="D29598" s="9"/>
      <c r="G29598" s="9"/>
      <c r="J29598" s="11"/>
      <c r="U29598" s="9"/>
      <c r="X29598" s="9"/>
    </row>
    <row r="29599">
      <c r="D29599" s="9"/>
      <c r="G29599" s="9"/>
      <c r="J29599" s="11"/>
      <c r="U29599" s="9"/>
      <c r="X29599" s="9"/>
    </row>
    <row r="29600">
      <c r="D29600" s="9"/>
      <c r="G29600" s="9"/>
      <c r="J29600" s="11"/>
      <c r="U29600" s="9"/>
      <c r="X29600" s="9"/>
    </row>
    <row r="29601">
      <c r="D29601" s="9"/>
      <c r="G29601" s="9"/>
      <c r="J29601" s="11"/>
      <c r="U29601" s="9"/>
      <c r="X29601" s="9"/>
    </row>
    <row r="29602">
      <c r="D29602" s="9"/>
      <c r="G29602" s="9"/>
      <c r="J29602" s="11"/>
      <c r="U29602" s="9"/>
      <c r="X29602" s="9"/>
    </row>
    <row r="29603">
      <c r="D29603" s="9"/>
      <c r="G29603" s="9"/>
      <c r="J29603" s="11"/>
      <c r="U29603" s="9"/>
      <c r="X29603" s="9"/>
    </row>
    <row r="29604">
      <c r="D29604" s="9"/>
      <c r="G29604" s="9"/>
      <c r="J29604" s="11"/>
      <c r="U29604" s="9"/>
      <c r="X29604" s="9"/>
    </row>
    <row r="29605">
      <c r="D29605" s="9"/>
      <c r="G29605" s="9"/>
      <c r="J29605" s="11"/>
      <c r="U29605" s="9"/>
      <c r="X29605" s="9"/>
    </row>
    <row r="29606">
      <c r="D29606" s="9"/>
      <c r="G29606" s="9"/>
      <c r="J29606" s="11"/>
      <c r="U29606" s="9"/>
      <c r="X29606" s="9"/>
    </row>
    <row r="29607">
      <c r="D29607" s="9"/>
      <c r="G29607" s="9"/>
      <c r="J29607" s="11"/>
      <c r="U29607" s="9"/>
      <c r="X29607" s="9"/>
    </row>
    <row r="29608">
      <c r="D29608" s="9"/>
      <c r="G29608" s="9"/>
      <c r="J29608" s="11"/>
      <c r="U29608" s="9"/>
      <c r="X29608" s="9"/>
    </row>
    <row r="29609">
      <c r="D29609" s="9"/>
      <c r="G29609" s="9"/>
      <c r="J29609" s="11"/>
      <c r="U29609" s="9"/>
      <c r="X29609" s="9"/>
    </row>
    <row r="29610">
      <c r="D29610" s="9"/>
      <c r="G29610" s="9"/>
      <c r="J29610" s="11"/>
      <c r="U29610" s="9"/>
      <c r="X29610" s="9"/>
    </row>
    <row r="29611">
      <c r="D29611" s="9"/>
      <c r="G29611" s="9"/>
      <c r="J29611" s="11"/>
      <c r="U29611" s="9"/>
      <c r="X29611" s="9"/>
    </row>
    <row r="29612">
      <c r="D29612" s="9"/>
      <c r="G29612" s="9"/>
      <c r="J29612" s="11"/>
      <c r="U29612" s="9"/>
      <c r="X29612" s="9"/>
    </row>
    <row r="29613">
      <c r="D29613" s="9"/>
      <c r="G29613" s="9"/>
      <c r="J29613" s="11"/>
      <c r="U29613" s="9"/>
      <c r="X29613" s="9"/>
    </row>
    <row r="29614">
      <c r="D29614" s="9"/>
      <c r="G29614" s="9"/>
      <c r="J29614" s="11"/>
      <c r="U29614" s="9"/>
      <c r="X29614" s="9"/>
    </row>
    <row r="29615">
      <c r="D29615" s="9"/>
      <c r="G29615" s="9"/>
      <c r="J29615" s="11"/>
      <c r="U29615" s="9"/>
      <c r="X29615" s="9"/>
    </row>
    <row r="29616">
      <c r="D29616" s="9"/>
      <c r="G29616" s="9"/>
      <c r="J29616" s="11"/>
      <c r="U29616" s="9"/>
      <c r="X29616" s="9"/>
    </row>
    <row r="29617">
      <c r="D29617" s="9"/>
      <c r="G29617" s="9"/>
      <c r="J29617" s="11"/>
      <c r="U29617" s="9"/>
      <c r="X29617" s="9"/>
    </row>
    <row r="29618">
      <c r="D29618" s="9"/>
      <c r="G29618" s="9"/>
      <c r="J29618" s="11"/>
      <c r="U29618" s="9"/>
      <c r="X29618" s="9"/>
    </row>
    <row r="29619">
      <c r="D29619" s="9"/>
      <c r="G29619" s="9"/>
      <c r="J29619" s="11"/>
      <c r="U29619" s="9"/>
      <c r="X29619" s="9"/>
    </row>
    <row r="29620">
      <c r="D29620" s="9"/>
      <c r="G29620" s="9"/>
      <c r="J29620" s="11"/>
      <c r="U29620" s="9"/>
      <c r="X29620" s="9"/>
    </row>
    <row r="29621">
      <c r="D29621" s="9"/>
      <c r="G29621" s="9"/>
      <c r="J29621" s="11"/>
      <c r="U29621" s="9"/>
      <c r="X29621" s="9"/>
    </row>
    <row r="29622">
      <c r="D29622" s="9"/>
      <c r="G29622" s="9"/>
      <c r="J29622" s="11"/>
      <c r="U29622" s="9"/>
      <c r="X29622" s="9"/>
    </row>
    <row r="29623">
      <c r="D29623" s="9"/>
      <c r="G29623" s="9"/>
      <c r="J29623" s="11"/>
      <c r="U29623" s="9"/>
      <c r="X29623" s="9"/>
    </row>
    <row r="29624">
      <c r="D29624" s="9"/>
      <c r="G29624" s="9"/>
      <c r="J29624" s="11"/>
      <c r="U29624" s="9"/>
      <c r="X29624" s="9"/>
    </row>
    <row r="29625">
      <c r="D29625" s="9"/>
      <c r="G29625" s="9"/>
      <c r="J29625" s="11"/>
      <c r="U29625" s="9"/>
      <c r="X29625" s="9"/>
    </row>
    <row r="29626">
      <c r="D29626" s="9"/>
      <c r="G29626" s="9"/>
      <c r="J29626" s="11"/>
      <c r="U29626" s="9"/>
      <c r="X29626" s="9"/>
    </row>
    <row r="29627">
      <c r="D29627" s="9"/>
      <c r="G29627" s="9"/>
      <c r="J29627" s="11"/>
      <c r="U29627" s="9"/>
      <c r="X29627" s="9"/>
    </row>
    <row r="29628">
      <c r="D29628" s="9"/>
      <c r="G29628" s="9"/>
      <c r="J29628" s="11"/>
      <c r="U29628" s="9"/>
      <c r="X29628" s="9"/>
    </row>
    <row r="29629">
      <c r="D29629" s="9"/>
      <c r="G29629" s="9"/>
      <c r="J29629" s="11"/>
      <c r="U29629" s="9"/>
      <c r="X29629" s="9"/>
    </row>
    <row r="29630">
      <c r="D29630" s="9"/>
      <c r="G29630" s="9"/>
      <c r="J29630" s="11"/>
      <c r="U29630" s="9"/>
      <c r="X29630" s="9"/>
    </row>
    <row r="29631">
      <c r="D29631" s="9"/>
      <c r="G29631" s="9"/>
      <c r="J29631" s="11"/>
      <c r="U29631" s="9"/>
      <c r="X29631" s="9"/>
    </row>
    <row r="29632">
      <c r="D29632" s="9"/>
      <c r="G29632" s="9"/>
      <c r="J29632" s="11"/>
      <c r="U29632" s="9"/>
      <c r="X29632" s="9"/>
    </row>
    <row r="29633">
      <c r="D29633" s="9"/>
      <c r="G29633" s="9"/>
      <c r="J29633" s="11"/>
      <c r="U29633" s="9"/>
      <c r="X29633" s="9"/>
    </row>
    <row r="29634">
      <c r="D29634" s="9"/>
      <c r="G29634" s="9"/>
      <c r="J29634" s="11"/>
      <c r="U29634" s="9"/>
      <c r="X29634" s="9"/>
    </row>
    <row r="29635">
      <c r="D29635" s="9"/>
      <c r="G29635" s="9"/>
      <c r="J29635" s="11"/>
      <c r="U29635" s="9"/>
      <c r="X29635" s="9"/>
    </row>
    <row r="29636">
      <c r="D29636" s="9"/>
      <c r="G29636" s="9"/>
      <c r="J29636" s="11"/>
      <c r="U29636" s="9"/>
      <c r="X29636" s="9"/>
    </row>
    <row r="29637">
      <c r="D29637" s="9"/>
      <c r="G29637" s="9"/>
      <c r="J29637" s="11"/>
      <c r="U29637" s="9"/>
      <c r="X29637" s="9"/>
    </row>
    <row r="29638">
      <c r="D29638" s="9"/>
      <c r="G29638" s="9"/>
      <c r="J29638" s="11"/>
      <c r="U29638" s="9"/>
      <c r="X29638" s="9"/>
    </row>
    <row r="29639">
      <c r="D29639" s="9"/>
      <c r="G29639" s="9"/>
      <c r="J29639" s="11"/>
      <c r="U29639" s="9"/>
      <c r="X29639" s="9"/>
    </row>
    <row r="29640">
      <c r="D29640" s="9"/>
      <c r="G29640" s="9"/>
      <c r="J29640" s="11"/>
      <c r="U29640" s="9"/>
      <c r="X29640" s="9"/>
    </row>
    <row r="29641">
      <c r="D29641" s="9"/>
      <c r="G29641" s="9"/>
      <c r="J29641" s="11"/>
      <c r="U29641" s="9"/>
      <c r="X29641" s="9"/>
    </row>
    <row r="29642">
      <c r="D29642" s="9"/>
      <c r="G29642" s="9"/>
      <c r="J29642" s="11"/>
      <c r="U29642" s="9"/>
      <c r="X29642" s="9"/>
    </row>
    <row r="29643">
      <c r="D29643" s="9"/>
      <c r="G29643" s="9"/>
      <c r="J29643" s="11"/>
      <c r="U29643" s="9"/>
      <c r="X29643" s="9"/>
    </row>
    <row r="29644">
      <c r="D29644" s="9"/>
      <c r="G29644" s="9"/>
      <c r="J29644" s="11"/>
      <c r="U29644" s="9"/>
      <c r="X29644" s="9"/>
    </row>
    <row r="29645">
      <c r="D29645" s="9"/>
      <c r="G29645" s="9"/>
      <c r="J29645" s="11"/>
      <c r="U29645" s="9"/>
      <c r="X29645" s="9"/>
    </row>
    <row r="29646">
      <c r="D29646" s="9"/>
      <c r="G29646" s="9"/>
      <c r="J29646" s="11"/>
      <c r="U29646" s="9"/>
      <c r="X29646" s="9"/>
    </row>
    <row r="29647">
      <c r="D29647" s="9"/>
      <c r="G29647" s="9"/>
      <c r="J29647" s="11"/>
      <c r="U29647" s="9"/>
      <c r="X29647" s="9"/>
    </row>
    <row r="29648">
      <c r="D29648" s="9"/>
      <c r="G29648" s="9"/>
      <c r="J29648" s="11"/>
      <c r="U29648" s="9"/>
      <c r="X29648" s="9"/>
    </row>
    <row r="29649">
      <c r="D29649" s="9"/>
      <c r="G29649" s="9"/>
      <c r="J29649" s="11"/>
      <c r="U29649" s="9"/>
      <c r="X29649" s="9"/>
    </row>
    <row r="29650">
      <c r="D29650" s="9"/>
      <c r="G29650" s="9"/>
      <c r="J29650" s="11"/>
      <c r="U29650" s="9"/>
      <c r="X29650" s="9"/>
    </row>
    <row r="29651">
      <c r="D29651" s="9"/>
      <c r="G29651" s="9"/>
      <c r="J29651" s="11"/>
      <c r="U29651" s="9"/>
      <c r="X29651" s="9"/>
    </row>
    <row r="29652">
      <c r="D29652" s="9"/>
      <c r="G29652" s="9"/>
      <c r="J29652" s="11"/>
      <c r="U29652" s="9"/>
      <c r="X29652" s="9"/>
    </row>
    <row r="29653">
      <c r="D29653" s="9"/>
      <c r="G29653" s="9"/>
      <c r="J29653" s="11"/>
      <c r="U29653" s="9"/>
      <c r="X29653" s="9"/>
    </row>
    <row r="29654">
      <c r="D29654" s="9"/>
      <c r="G29654" s="9"/>
      <c r="J29654" s="11"/>
      <c r="U29654" s="9"/>
      <c r="X29654" s="9"/>
    </row>
    <row r="29655">
      <c r="D29655" s="9"/>
      <c r="G29655" s="9"/>
      <c r="J29655" s="11"/>
      <c r="U29655" s="9"/>
      <c r="X29655" s="9"/>
    </row>
    <row r="29656">
      <c r="D29656" s="9"/>
      <c r="G29656" s="9"/>
      <c r="J29656" s="11"/>
      <c r="U29656" s="9"/>
      <c r="X29656" s="9"/>
    </row>
    <row r="29657">
      <c r="D29657" s="9"/>
      <c r="G29657" s="9"/>
      <c r="J29657" s="11"/>
      <c r="U29657" s="9"/>
      <c r="X29657" s="9"/>
    </row>
    <row r="29658">
      <c r="D29658" s="9"/>
      <c r="G29658" s="9"/>
      <c r="J29658" s="11"/>
      <c r="U29658" s="9"/>
      <c r="X29658" s="9"/>
    </row>
    <row r="29659">
      <c r="D29659" s="9"/>
      <c r="G29659" s="9"/>
      <c r="J29659" s="11"/>
      <c r="U29659" s="9"/>
      <c r="X29659" s="9"/>
    </row>
    <row r="29660">
      <c r="D29660" s="9"/>
      <c r="G29660" s="9"/>
      <c r="J29660" s="11"/>
      <c r="U29660" s="9"/>
      <c r="X29660" s="9"/>
    </row>
    <row r="29661">
      <c r="D29661" s="9"/>
      <c r="G29661" s="9"/>
      <c r="J29661" s="11"/>
      <c r="U29661" s="9"/>
      <c r="X29661" s="9"/>
    </row>
    <row r="29662">
      <c r="D29662" s="9"/>
      <c r="G29662" s="9"/>
      <c r="J29662" s="11"/>
      <c r="U29662" s="9"/>
      <c r="X29662" s="9"/>
    </row>
    <row r="29663">
      <c r="D29663" s="9"/>
      <c r="G29663" s="9"/>
      <c r="J29663" s="11"/>
      <c r="U29663" s="9"/>
      <c r="X29663" s="9"/>
    </row>
    <row r="29664">
      <c r="D29664" s="9"/>
      <c r="G29664" s="9"/>
      <c r="J29664" s="11"/>
      <c r="U29664" s="9"/>
      <c r="X29664" s="9"/>
    </row>
    <row r="29665">
      <c r="D29665" s="9"/>
      <c r="G29665" s="9"/>
      <c r="J29665" s="11"/>
      <c r="U29665" s="9"/>
      <c r="X29665" s="9"/>
    </row>
    <row r="29666">
      <c r="D29666" s="9"/>
      <c r="G29666" s="9"/>
      <c r="J29666" s="11"/>
      <c r="U29666" s="9"/>
      <c r="X29666" s="9"/>
    </row>
    <row r="29667">
      <c r="D29667" s="9"/>
      <c r="G29667" s="9"/>
      <c r="J29667" s="11"/>
      <c r="U29667" s="9"/>
      <c r="X29667" s="9"/>
    </row>
    <row r="29668">
      <c r="D29668" s="9"/>
      <c r="G29668" s="9"/>
      <c r="J29668" s="11"/>
      <c r="U29668" s="9"/>
      <c r="X29668" s="9"/>
    </row>
    <row r="29669">
      <c r="D29669" s="9"/>
      <c r="G29669" s="9"/>
      <c r="J29669" s="11"/>
      <c r="U29669" s="9"/>
      <c r="X29669" s="9"/>
    </row>
    <row r="29670">
      <c r="D29670" s="9"/>
      <c r="G29670" s="9"/>
      <c r="J29670" s="11"/>
      <c r="U29670" s="9"/>
      <c r="X29670" s="9"/>
    </row>
    <row r="29671">
      <c r="D29671" s="9"/>
      <c r="G29671" s="9"/>
      <c r="J29671" s="11"/>
      <c r="U29671" s="9"/>
      <c r="X29671" s="9"/>
    </row>
    <row r="29672">
      <c r="D29672" s="9"/>
      <c r="G29672" s="9"/>
      <c r="J29672" s="11"/>
      <c r="U29672" s="9"/>
      <c r="X29672" s="9"/>
    </row>
    <row r="29673">
      <c r="D29673" s="9"/>
      <c r="G29673" s="9"/>
      <c r="J29673" s="11"/>
      <c r="U29673" s="9"/>
      <c r="X29673" s="9"/>
    </row>
    <row r="29674">
      <c r="D29674" s="9"/>
      <c r="G29674" s="9"/>
      <c r="J29674" s="11"/>
      <c r="U29674" s="9"/>
      <c r="X29674" s="9"/>
    </row>
    <row r="29675">
      <c r="D29675" s="9"/>
      <c r="G29675" s="9"/>
      <c r="J29675" s="11"/>
      <c r="U29675" s="9"/>
      <c r="X29675" s="9"/>
    </row>
    <row r="29676">
      <c r="D29676" s="9"/>
      <c r="G29676" s="9"/>
      <c r="J29676" s="11"/>
      <c r="U29676" s="9"/>
      <c r="X29676" s="9"/>
    </row>
    <row r="29677">
      <c r="D29677" s="9"/>
      <c r="G29677" s="9"/>
      <c r="J29677" s="11"/>
      <c r="U29677" s="9"/>
      <c r="X29677" s="9"/>
    </row>
    <row r="29678">
      <c r="D29678" s="9"/>
      <c r="G29678" s="9"/>
      <c r="J29678" s="11"/>
      <c r="U29678" s="9"/>
      <c r="X29678" s="9"/>
    </row>
    <row r="29679">
      <c r="D29679" s="9"/>
      <c r="G29679" s="9"/>
      <c r="J29679" s="11"/>
      <c r="U29679" s="9"/>
      <c r="X29679" s="9"/>
    </row>
    <row r="29680">
      <c r="D29680" s="9"/>
      <c r="G29680" s="9"/>
      <c r="J29680" s="11"/>
      <c r="U29680" s="9"/>
      <c r="X29680" s="9"/>
    </row>
    <row r="29681">
      <c r="D29681" s="9"/>
      <c r="G29681" s="9"/>
      <c r="J29681" s="11"/>
      <c r="U29681" s="9"/>
      <c r="X29681" s="9"/>
    </row>
    <row r="29682">
      <c r="D29682" s="9"/>
      <c r="G29682" s="9"/>
      <c r="J29682" s="11"/>
      <c r="U29682" s="9"/>
      <c r="X29682" s="9"/>
    </row>
    <row r="29683">
      <c r="D29683" s="9"/>
      <c r="G29683" s="9"/>
      <c r="J29683" s="11"/>
      <c r="U29683" s="9"/>
      <c r="X29683" s="9"/>
    </row>
    <row r="29684">
      <c r="D29684" s="9"/>
      <c r="G29684" s="9"/>
      <c r="J29684" s="11"/>
      <c r="U29684" s="9"/>
      <c r="X29684" s="9"/>
    </row>
    <row r="29685">
      <c r="D29685" s="9"/>
      <c r="G29685" s="9"/>
      <c r="J29685" s="11"/>
      <c r="U29685" s="9"/>
      <c r="X29685" s="9"/>
    </row>
    <row r="29686">
      <c r="D29686" s="9"/>
      <c r="G29686" s="9"/>
      <c r="J29686" s="11"/>
      <c r="U29686" s="9"/>
      <c r="X29686" s="9"/>
    </row>
    <row r="29687">
      <c r="D29687" s="9"/>
      <c r="G29687" s="9"/>
      <c r="J29687" s="11"/>
      <c r="U29687" s="9"/>
      <c r="X29687" s="9"/>
    </row>
    <row r="29688">
      <c r="D29688" s="9"/>
      <c r="G29688" s="9"/>
      <c r="J29688" s="11"/>
      <c r="U29688" s="9"/>
      <c r="X29688" s="9"/>
    </row>
    <row r="29689">
      <c r="D29689" s="9"/>
      <c r="G29689" s="9"/>
      <c r="J29689" s="11"/>
      <c r="U29689" s="9"/>
      <c r="X29689" s="9"/>
    </row>
    <row r="29690">
      <c r="D29690" s="9"/>
      <c r="G29690" s="9"/>
      <c r="J29690" s="11"/>
      <c r="U29690" s="9"/>
      <c r="X29690" s="9"/>
    </row>
    <row r="29691">
      <c r="D29691" s="9"/>
      <c r="G29691" s="9"/>
      <c r="J29691" s="11"/>
      <c r="U29691" s="9"/>
      <c r="X29691" s="9"/>
    </row>
    <row r="29692">
      <c r="D29692" s="9"/>
      <c r="G29692" s="9"/>
      <c r="J29692" s="11"/>
      <c r="U29692" s="9"/>
      <c r="X29692" s="9"/>
    </row>
    <row r="29693">
      <c r="D29693" s="9"/>
      <c r="G29693" s="9"/>
      <c r="J29693" s="11"/>
      <c r="U29693" s="9"/>
      <c r="X29693" s="9"/>
    </row>
    <row r="29694">
      <c r="D29694" s="9"/>
      <c r="G29694" s="9"/>
      <c r="J29694" s="11"/>
      <c r="U29694" s="9"/>
      <c r="X29694" s="9"/>
    </row>
    <row r="29695">
      <c r="D29695" s="9"/>
      <c r="G29695" s="9"/>
      <c r="J29695" s="11"/>
      <c r="U29695" s="9"/>
      <c r="X29695" s="9"/>
    </row>
    <row r="29696">
      <c r="D29696" s="9"/>
      <c r="G29696" s="9"/>
      <c r="J29696" s="11"/>
      <c r="U29696" s="9"/>
      <c r="X29696" s="9"/>
    </row>
    <row r="29697">
      <c r="D29697" s="9"/>
      <c r="G29697" s="9"/>
      <c r="J29697" s="11"/>
      <c r="U29697" s="9"/>
      <c r="X29697" s="9"/>
    </row>
    <row r="29698">
      <c r="D29698" s="9"/>
      <c r="G29698" s="9"/>
      <c r="J29698" s="11"/>
      <c r="U29698" s="9"/>
      <c r="X29698" s="9"/>
    </row>
    <row r="29699">
      <c r="D29699" s="9"/>
      <c r="G29699" s="9"/>
      <c r="J29699" s="11"/>
      <c r="U29699" s="9"/>
      <c r="X29699" s="9"/>
    </row>
    <row r="29700">
      <c r="D29700" s="9"/>
      <c r="G29700" s="9"/>
      <c r="J29700" s="11"/>
      <c r="U29700" s="9"/>
      <c r="X29700" s="9"/>
    </row>
    <row r="29701">
      <c r="D29701" s="9"/>
      <c r="G29701" s="9"/>
      <c r="J29701" s="11"/>
      <c r="U29701" s="9"/>
      <c r="X29701" s="9"/>
    </row>
    <row r="29702">
      <c r="D29702" s="9"/>
      <c r="G29702" s="9"/>
      <c r="J29702" s="11"/>
      <c r="U29702" s="9"/>
      <c r="X29702" s="9"/>
    </row>
    <row r="29703">
      <c r="D29703" s="9"/>
      <c r="G29703" s="9"/>
      <c r="J29703" s="11"/>
      <c r="U29703" s="9"/>
      <c r="X29703" s="9"/>
    </row>
    <row r="29704">
      <c r="D29704" s="9"/>
      <c r="G29704" s="9"/>
      <c r="J29704" s="11"/>
      <c r="U29704" s="9"/>
      <c r="X29704" s="9"/>
    </row>
    <row r="29705">
      <c r="D29705" s="9"/>
      <c r="G29705" s="9"/>
      <c r="J29705" s="11"/>
      <c r="U29705" s="9"/>
      <c r="X29705" s="9"/>
    </row>
    <row r="29706">
      <c r="D29706" s="9"/>
      <c r="G29706" s="9"/>
      <c r="J29706" s="11"/>
      <c r="U29706" s="9"/>
      <c r="X29706" s="9"/>
    </row>
    <row r="29707">
      <c r="D29707" s="9"/>
      <c r="G29707" s="9"/>
      <c r="J29707" s="11"/>
      <c r="U29707" s="9"/>
      <c r="X29707" s="9"/>
    </row>
    <row r="29708">
      <c r="D29708" s="9"/>
      <c r="G29708" s="9"/>
      <c r="J29708" s="11"/>
      <c r="U29708" s="9"/>
      <c r="X29708" s="9"/>
    </row>
    <row r="29709">
      <c r="D29709" s="9"/>
      <c r="G29709" s="9"/>
      <c r="J29709" s="11"/>
      <c r="U29709" s="9"/>
      <c r="X29709" s="9"/>
    </row>
    <row r="29710">
      <c r="D29710" s="9"/>
      <c r="G29710" s="9"/>
      <c r="J29710" s="11"/>
      <c r="U29710" s="9"/>
      <c r="X29710" s="9"/>
    </row>
    <row r="29711">
      <c r="D29711" s="9"/>
      <c r="G29711" s="9"/>
      <c r="J29711" s="11"/>
      <c r="U29711" s="9"/>
      <c r="X29711" s="9"/>
    </row>
    <row r="29712">
      <c r="D29712" s="9"/>
      <c r="G29712" s="9"/>
      <c r="J29712" s="11"/>
      <c r="U29712" s="9"/>
      <c r="X29712" s="9"/>
    </row>
    <row r="29713">
      <c r="D29713" s="9"/>
      <c r="G29713" s="9"/>
      <c r="J29713" s="11"/>
      <c r="U29713" s="9"/>
      <c r="X29713" s="9"/>
    </row>
    <row r="29714">
      <c r="D29714" s="9"/>
      <c r="G29714" s="9"/>
      <c r="J29714" s="11"/>
      <c r="U29714" s="9"/>
      <c r="X29714" s="9"/>
    </row>
    <row r="29715">
      <c r="D29715" s="9"/>
      <c r="G29715" s="9"/>
      <c r="J29715" s="11"/>
      <c r="U29715" s="9"/>
      <c r="X29715" s="9"/>
    </row>
    <row r="29716">
      <c r="D29716" s="9"/>
      <c r="G29716" s="9"/>
      <c r="J29716" s="11"/>
      <c r="U29716" s="9"/>
      <c r="X29716" s="9"/>
    </row>
    <row r="29717">
      <c r="D29717" s="9"/>
      <c r="G29717" s="9"/>
      <c r="J29717" s="11"/>
      <c r="U29717" s="9"/>
      <c r="X29717" s="9"/>
    </row>
    <row r="29718">
      <c r="D29718" s="9"/>
      <c r="G29718" s="9"/>
      <c r="J29718" s="11"/>
      <c r="U29718" s="9"/>
      <c r="X29718" s="9"/>
    </row>
    <row r="29719">
      <c r="D29719" s="9"/>
      <c r="G29719" s="9"/>
      <c r="J29719" s="11"/>
      <c r="U29719" s="9"/>
      <c r="X29719" s="9"/>
    </row>
    <row r="29720">
      <c r="D29720" s="9"/>
      <c r="G29720" s="9"/>
      <c r="J29720" s="11"/>
      <c r="U29720" s="9"/>
      <c r="X29720" s="9"/>
    </row>
    <row r="29721">
      <c r="D29721" s="9"/>
      <c r="G29721" s="9"/>
      <c r="J29721" s="11"/>
      <c r="U29721" s="9"/>
      <c r="X29721" s="9"/>
    </row>
    <row r="29722">
      <c r="D29722" s="9"/>
      <c r="G29722" s="9"/>
      <c r="J29722" s="11"/>
      <c r="U29722" s="9"/>
      <c r="X29722" s="9"/>
    </row>
    <row r="29723">
      <c r="D29723" s="9"/>
      <c r="G29723" s="9"/>
      <c r="J29723" s="11"/>
      <c r="U29723" s="9"/>
      <c r="X29723" s="9"/>
    </row>
    <row r="29724">
      <c r="D29724" s="9"/>
      <c r="G29724" s="9"/>
      <c r="J29724" s="11"/>
      <c r="U29724" s="9"/>
      <c r="X29724" s="9"/>
    </row>
    <row r="29725">
      <c r="D29725" s="9"/>
      <c r="G29725" s="9"/>
      <c r="J29725" s="11"/>
      <c r="U29725" s="9"/>
      <c r="X29725" s="9"/>
    </row>
    <row r="29726">
      <c r="D29726" s="9"/>
      <c r="G29726" s="9"/>
      <c r="J29726" s="11"/>
      <c r="U29726" s="9"/>
      <c r="X29726" s="9"/>
    </row>
    <row r="29727">
      <c r="D29727" s="9"/>
      <c r="G29727" s="9"/>
      <c r="J29727" s="11"/>
      <c r="U29727" s="9"/>
      <c r="X29727" s="9"/>
    </row>
    <row r="29728">
      <c r="D29728" s="9"/>
      <c r="G29728" s="9"/>
      <c r="J29728" s="11"/>
      <c r="U29728" s="9"/>
      <c r="X29728" s="9"/>
    </row>
    <row r="29729">
      <c r="D29729" s="9"/>
      <c r="G29729" s="9"/>
      <c r="J29729" s="11"/>
      <c r="U29729" s="9"/>
      <c r="X29729" s="9"/>
    </row>
    <row r="29730">
      <c r="D29730" s="9"/>
      <c r="G29730" s="9"/>
      <c r="J29730" s="11"/>
      <c r="U29730" s="9"/>
      <c r="X29730" s="9"/>
    </row>
    <row r="29731">
      <c r="D29731" s="9"/>
      <c r="G29731" s="9"/>
      <c r="J29731" s="11"/>
      <c r="U29731" s="9"/>
      <c r="X29731" s="9"/>
    </row>
    <row r="29732">
      <c r="D29732" s="9"/>
      <c r="G29732" s="9"/>
      <c r="J29732" s="11"/>
      <c r="U29732" s="9"/>
      <c r="X29732" s="9"/>
    </row>
    <row r="29733">
      <c r="D29733" s="9"/>
      <c r="G29733" s="9"/>
      <c r="J29733" s="11"/>
      <c r="U29733" s="9"/>
      <c r="X29733" s="9"/>
    </row>
    <row r="29734">
      <c r="D29734" s="9"/>
      <c r="G29734" s="9"/>
      <c r="J29734" s="11"/>
      <c r="U29734" s="9"/>
      <c r="X29734" s="9"/>
    </row>
    <row r="29735">
      <c r="D29735" s="9"/>
      <c r="G29735" s="9"/>
      <c r="J29735" s="11"/>
      <c r="U29735" s="9"/>
      <c r="X29735" s="9"/>
    </row>
    <row r="29736">
      <c r="D29736" s="9"/>
      <c r="G29736" s="9"/>
      <c r="J29736" s="11"/>
      <c r="U29736" s="9"/>
      <c r="X29736" s="9"/>
    </row>
    <row r="29737">
      <c r="D29737" s="9"/>
      <c r="G29737" s="9"/>
      <c r="J29737" s="11"/>
      <c r="U29737" s="9"/>
      <c r="X29737" s="9"/>
    </row>
    <row r="29738">
      <c r="D29738" s="9"/>
      <c r="G29738" s="9"/>
      <c r="J29738" s="11"/>
      <c r="U29738" s="9"/>
      <c r="X29738" s="9"/>
    </row>
    <row r="29739">
      <c r="D29739" s="9"/>
      <c r="G29739" s="9"/>
      <c r="J29739" s="11"/>
      <c r="U29739" s="9"/>
      <c r="X29739" s="9"/>
    </row>
    <row r="29740">
      <c r="D29740" s="9"/>
      <c r="G29740" s="9"/>
      <c r="J29740" s="11"/>
      <c r="U29740" s="9"/>
      <c r="X29740" s="9"/>
    </row>
    <row r="29741">
      <c r="D29741" s="9"/>
      <c r="G29741" s="9"/>
      <c r="J29741" s="11"/>
      <c r="U29741" s="9"/>
      <c r="X29741" s="9"/>
    </row>
    <row r="29742">
      <c r="D29742" s="9"/>
      <c r="G29742" s="9"/>
      <c r="J29742" s="11"/>
      <c r="U29742" s="9"/>
      <c r="X29742" s="9"/>
    </row>
    <row r="29743">
      <c r="D29743" s="9"/>
      <c r="G29743" s="9"/>
      <c r="J29743" s="11"/>
      <c r="U29743" s="9"/>
      <c r="X29743" s="9"/>
    </row>
    <row r="29744">
      <c r="D29744" s="9"/>
      <c r="G29744" s="9"/>
      <c r="J29744" s="11"/>
      <c r="U29744" s="9"/>
      <c r="X29744" s="9"/>
    </row>
    <row r="29745">
      <c r="D29745" s="9"/>
      <c r="G29745" s="9"/>
      <c r="J29745" s="11"/>
      <c r="U29745" s="9"/>
      <c r="X29745" s="9"/>
    </row>
    <row r="29746">
      <c r="D29746" s="9"/>
      <c r="G29746" s="9"/>
      <c r="J29746" s="11"/>
      <c r="U29746" s="9"/>
      <c r="X29746" s="9"/>
    </row>
    <row r="29747">
      <c r="D29747" s="9"/>
      <c r="G29747" s="9"/>
      <c r="J29747" s="11"/>
      <c r="U29747" s="9"/>
      <c r="X29747" s="9"/>
    </row>
    <row r="29748">
      <c r="D29748" s="9"/>
      <c r="G29748" s="9"/>
      <c r="J29748" s="11"/>
      <c r="U29748" s="9"/>
      <c r="X29748" s="9"/>
    </row>
    <row r="29749">
      <c r="D29749" s="9"/>
      <c r="G29749" s="9"/>
      <c r="J29749" s="11"/>
      <c r="U29749" s="9"/>
      <c r="X29749" s="9"/>
    </row>
    <row r="29750">
      <c r="D29750" s="9"/>
      <c r="G29750" s="9"/>
      <c r="J29750" s="11"/>
      <c r="U29750" s="9"/>
      <c r="X29750" s="9"/>
    </row>
    <row r="29751">
      <c r="D29751" s="9"/>
      <c r="G29751" s="9"/>
      <c r="J29751" s="11"/>
      <c r="U29751" s="9"/>
      <c r="X29751" s="9"/>
    </row>
    <row r="29752">
      <c r="D29752" s="9"/>
      <c r="G29752" s="9"/>
      <c r="J29752" s="11"/>
      <c r="U29752" s="9"/>
      <c r="X29752" s="9"/>
    </row>
    <row r="29753">
      <c r="D29753" s="9"/>
      <c r="G29753" s="9"/>
      <c r="J29753" s="11"/>
      <c r="U29753" s="9"/>
      <c r="X29753" s="9"/>
    </row>
    <row r="29754">
      <c r="D29754" s="9"/>
      <c r="G29754" s="9"/>
      <c r="J29754" s="11"/>
      <c r="U29754" s="9"/>
      <c r="X29754" s="9"/>
    </row>
    <row r="29755">
      <c r="D29755" s="9"/>
      <c r="G29755" s="9"/>
      <c r="J29755" s="11"/>
      <c r="U29755" s="9"/>
      <c r="X29755" s="9"/>
    </row>
    <row r="29756">
      <c r="D29756" s="9"/>
      <c r="G29756" s="9"/>
      <c r="J29756" s="11"/>
      <c r="U29756" s="9"/>
      <c r="X29756" s="9"/>
    </row>
    <row r="29757">
      <c r="D29757" s="9"/>
      <c r="G29757" s="9"/>
      <c r="J29757" s="11"/>
      <c r="U29757" s="9"/>
      <c r="X29757" s="9"/>
    </row>
    <row r="29758">
      <c r="D29758" s="9"/>
      <c r="G29758" s="9"/>
      <c r="J29758" s="11"/>
      <c r="U29758" s="9"/>
      <c r="X29758" s="9"/>
    </row>
    <row r="29759">
      <c r="D29759" s="9"/>
      <c r="G29759" s="9"/>
      <c r="J29759" s="11"/>
      <c r="U29759" s="9"/>
      <c r="X29759" s="9"/>
    </row>
    <row r="29760">
      <c r="D29760" s="9"/>
      <c r="G29760" s="9"/>
      <c r="J29760" s="11"/>
      <c r="U29760" s="9"/>
      <c r="X29760" s="9"/>
    </row>
    <row r="29761">
      <c r="D29761" s="9"/>
      <c r="G29761" s="9"/>
      <c r="J29761" s="11"/>
      <c r="U29761" s="9"/>
      <c r="X29761" s="9"/>
    </row>
    <row r="29762">
      <c r="D29762" s="9"/>
      <c r="G29762" s="9"/>
      <c r="J29762" s="11"/>
      <c r="U29762" s="9"/>
      <c r="X29762" s="9"/>
    </row>
    <row r="29763">
      <c r="D29763" s="9"/>
      <c r="G29763" s="9"/>
      <c r="J29763" s="11"/>
      <c r="U29763" s="9"/>
      <c r="X29763" s="9"/>
    </row>
    <row r="29764">
      <c r="D29764" s="9"/>
      <c r="G29764" s="9"/>
      <c r="J29764" s="11"/>
      <c r="U29764" s="9"/>
      <c r="X29764" s="9"/>
    </row>
    <row r="29765">
      <c r="D29765" s="9"/>
      <c r="G29765" s="9"/>
      <c r="J29765" s="11"/>
      <c r="U29765" s="9"/>
      <c r="X29765" s="9"/>
    </row>
    <row r="29766">
      <c r="D29766" s="9"/>
      <c r="G29766" s="9"/>
      <c r="J29766" s="11"/>
      <c r="U29766" s="9"/>
      <c r="X29766" s="9"/>
    </row>
    <row r="29767">
      <c r="D29767" s="9"/>
      <c r="G29767" s="9"/>
      <c r="J29767" s="11"/>
      <c r="U29767" s="9"/>
      <c r="X29767" s="9"/>
    </row>
    <row r="29768">
      <c r="D29768" s="9"/>
      <c r="G29768" s="9"/>
      <c r="J29768" s="11"/>
      <c r="U29768" s="9"/>
      <c r="X29768" s="9"/>
    </row>
    <row r="29769">
      <c r="D29769" s="9"/>
      <c r="G29769" s="9"/>
      <c r="J29769" s="11"/>
      <c r="U29769" s="9"/>
      <c r="X29769" s="9"/>
    </row>
    <row r="29770">
      <c r="D29770" s="9"/>
      <c r="G29770" s="9"/>
      <c r="J29770" s="11"/>
      <c r="U29770" s="9"/>
      <c r="X29770" s="9"/>
    </row>
    <row r="29771">
      <c r="D29771" s="9"/>
      <c r="G29771" s="9"/>
      <c r="J29771" s="11"/>
      <c r="U29771" s="9"/>
      <c r="X29771" s="9"/>
    </row>
    <row r="29772">
      <c r="D29772" s="9"/>
      <c r="G29772" s="9"/>
      <c r="J29772" s="11"/>
      <c r="U29772" s="9"/>
      <c r="X29772" s="9"/>
    </row>
    <row r="29773">
      <c r="D29773" s="9"/>
      <c r="G29773" s="9"/>
      <c r="J29773" s="11"/>
      <c r="U29773" s="9"/>
      <c r="X29773" s="9"/>
    </row>
    <row r="29774">
      <c r="D29774" s="9"/>
      <c r="G29774" s="9"/>
      <c r="J29774" s="11"/>
      <c r="U29774" s="9"/>
      <c r="X29774" s="9"/>
    </row>
    <row r="29775">
      <c r="D29775" s="9"/>
      <c r="G29775" s="9"/>
      <c r="J29775" s="11"/>
      <c r="U29775" s="9"/>
      <c r="X29775" s="9"/>
    </row>
    <row r="29776">
      <c r="D29776" s="9"/>
      <c r="G29776" s="9"/>
      <c r="J29776" s="11"/>
      <c r="U29776" s="9"/>
      <c r="X29776" s="9"/>
    </row>
    <row r="29777">
      <c r="D29777" s="9"/>
      <c r="G29777" s="9"/>
      <c r="J29777" s="11"/>
      <c r="U29777" s="9"/>
      <c r="X29777" s="9"/>
    </row>
    <row r="29778">
      <c r="D29778" s="9"/>
      <c r="G29778" s="9"/>
      <c r="J29778" s="11"/>
      <c r="U29778" s="9"/>
      <c r="X29778" s="9"/>
    </row>
    <row r="29779">
      <c r="D29779" s="9"/>
      <c r="G29779" s="9"/>
      <c r="J29779" s="11"/>
      <c r="U29779" s="9"/>
      <c r="X29779" s="9"/>
    </row>
    <row r="29780">
      <c r="D29780" s="9"/>
      <c r="G29780" s="9"/>
      <c r="J29780" s="11"/>
      <c r="U29780" s="9"/>
      <c r="X29780" s="9"/>
    </row>
    <row r="29781">
      <c r="D29781" s="9"/>
      <c r="G29781" s="9"/>
      <c r="J29781" s="11"/>
      <c r="U29781" s="9"/>
      <c r="X29781" s="9"/>
    </row>
    <row r="29782">
      <c r="D29782" s="9"/>
      <c r="G29782" s="9"/>
      <c r="J29782" s="11"/>
      <c r="U29782" s="9"/>
      <c r="X29782" s="9"/>
    </row>
    <row r="29783">
      <c r="D29783" s="9"/>
      <c r="G29783" s="9"/>
      <c r="J29783" s="11"/>
      <c r="U29783" s="9"/>
      <c r="X29783" s="9"/>
    </row>
    <row r="29784">
      <c r="D29784" s="9"/>
      <c r="G29784" s="9"/>
      <c r="J29784" s="11"/>
      <c r="U29784" s="9"/>
      <c r="X29784" s="9"/>
    </row>
    <row r="29785">
      <c r="D29785" s="9"/>
      <c r="G29785" s="9"/>
      <c r="J29785" s="11"/>
      <c r="U29785" s="9"/>
      <c r="X29785" s="9"/>
    </row>
    <row r="29786">
      <c r="D29786" s="9"/>
      <c r="G29786" s="9"/>
      <c r="J29786" s="11"/>
      <c r="U29786" s="9"/>
      <c r="X29786" s="9"/>
    </row>
    <row r="29787">
      <c r="D29787" s="9"/>
      <c r="G29787" s="9"/>
      <c r="J29787" s="11"/>
      <c r="U29787" s="9"/>
      <c r="X29787" s="9"/>
    </row>
    <row r="29788">
      <c r="D29788" s="9"/>
      <c r="G29788" s="9"/>
      <c r="J29788" s="11"/>
      <c r="U29788" s="9"/>
      <c r="X29788" s="9"/>
    </row>
    <row r="29789">
      <c r="D29789" s="9"/>
      <c r="G29789" s="9"/>
      <c r="J29789" s="11"/>
      <c r="U29789" s="9"/>
      <c r="X29789" s="9"/>
    </row>
    <row r="29790">
      <c r="D29790" s="9"/>
      <c r="G29790" s="9"/>
      <c r="J29790" s="11"/>
      <c r="U29790" s="9"/>
      <c r="X29790" s="9"/>
    </row>
    <row r="29791">
      <c r="D29791" s="9"/>
      <c r="G29791" s="9"/>
      <c r="J29791" s="11"/>
      <c r="U29791" s="9"/>
      <c r="X29791" s="9"/>
    </row>
    <row r="29792">
      <c r="D29792" s="9"/>
      <c r="G29792" s="9"/>
      <c r="J29792" s="11"/>
      <c r="U29792" s="9"/>
      <c r="X29792" s="9"/>
    </row>
    <row r="29793">
      <c r="D29793" s="9"/>
      <c r="G29793" s="9"/>
      <c r="J29793" s="11"/>
      <c r="U29793" s="9"/>
      <c r="X29793" s="9"/>
    </row>
    <row r="29794">
      <c r="D29794" s="9"/>
      <c r="G29794" s="9"/>
      <c r="J29794" s="11"/>
      <c r="U29794" s="9"/>
      <c r="X29794" s="9"/>
    </row>
    <row r="29795">
      <c r="D29795" s="9"/>
      <c r="G29795" s="9"/>
      <c r="J29795" s="11"/>
      <c r="U29795" s="9"/>
      <c r="X29795" s="9"/>
    </row>
    <row r="29796">
      <c r="D29796" s="9"/>
      <c r="G29796" s="9"/>
      <c r="J29796" s="11"/>
      <c r="U29796" s="9"/>
      <c r="X29796" s="9"/>
    </row>
    <row r="29797">
      <c r="D29797" s="9"/>
      <c r="G29797" s="9"/>
      <c r="J29797" s="11"/>
      <c r="U29797" s="9"/>
      <c r="X29797" s="9"/>
    </row>
    <row r="29798">
      <c r="D29798" s="9"/>
      <c r="G29798" s="9"/>
      <c r="J29798" s="11"/>
      <c r="U29798" s="9"/>
      <c r="X29798" s="9"/>
    </row>
    <row r="29799">
      <c r="D29799" s="9"/>
      <c r="G29799" s="9"/>
      <c r="J29799" s="11"/>
      <c r="U29799" s="9"/>
      <c r="X29799" s="9"/>
    </row>
    <row r="29800">
      <c r="D29800" s="9"/>
      <c r="G29800" s="9"/>
      <c r="J29800" s="11"/>
      <c r="U29800" s="9"/>
      <c r="X29800" s="9"/>
    </row>
    <row r="29801">
      <c r="D29801" s="9"/>
      <c r="G29801" s="9"/>
      <c r="J29801" s="11"/>
      <c r="U29801" s="9"/>
      <c r="X29801" s="9"/>
    </row>
    <row r="29802">
      <c r="D29802" s="9"/>
      <c r="G29802" s="9"/>
      <c r="J29802" s="11"/>
      <c r="U29802" s="9"/>
      <c r="X29802" s="9"/>
    </row>
    <row r="29803">
      <c r="D29803" s="9"/>
      <c r="G29803" s="9"/>
      <c r="J29803" s="11"/>
      <c r="U29803" s="9"/>
      <c r="X29803" s="9"/>
    </row>
    <row r="29804">
      <c r="D29804" s="9"/>
      <c r="G29804" s="9"/>
      <c r="J29804" s="11"/>
      <c r="U29804" s="9"/>
      <c r="X29804" s="9"/>
    </row>
    <row r="29805">
      <c r="D29805" s="9"/>
      <c r="G29805" s="9"/>
      <c r="J29805" s="11"/>
      <c r="U29805" s="9"/>
      <c r="X29805" s="9"/>
    </row>
    <row r="29806">
      <c r="D29806" s="9"/>
      <c r="G29806" s="9"/>
      <c r="J29806" s="11"/>
      <c r="U29806" s="9"/>
      <c r="X29806" s="9"/>
    </row>
    <row r="29807">
      <c r="D29807" s="9"/>
      <c r="G29807" s="9"/>
      <c r="J29807" s="11"/>
      <c r="U29807" s="9"/>
      <c r="X29807" s="9"/>
    </row>
    <row r="29808">
      <c r="D29808" s="9"/>
      <c r="G29808" s="9"/>
      <c r="J29808" s="11"/>
      <c r="U29808" s="9"/>
      <c r="X29808" s="9"/>
    </row>
    <row r="29809">
      <c r="D29809" s="9"/>
      <c r="G29809" s="9"/>
      <c r="J29809" s="11"/>
      <c r="U29809" s="9"/>
      <c r="X29809" s="9"/>
    </row>
    <row r="29810">
      <c r="D29810" s="9"/>
      <c r="G29810" s="9"/>
      <c r="J29810" s="11"/>
      <c r="U29810" s="9"/>
      <c r="X29810" s="9"/>
    </row>
    <row r="29811">
      <c r="D29811" s="9"/>
      <c r="G29811" s="9"/>
      <c r="J29811" s="11"/>
      <c r="U29811" s="9"/>
      <c r="X29811" s="9"/>
    </row>
    <row r="29812">
      <c r="D29812" s="9"/>
      <c r="G29812" s="9"/>
      <c r="J29812" s="11"/>
      <c r="U29812" s="9"/>
      <c r="X29812" s="9"/>
    </row>
    <row r="29813">
      <c r="D29813" s="9"/>
      <c r="G29813" s="9"/>
      <c r="J29813" s="11"/>
      <c r="U29813" s="9"/>
      <c r="X29813" s="9"/>
    </row>
    <row r="29814">
      <c r="D29814" s="9"/>
      <c r="G29814" s="9"/>
      <c r="J29814" s="11"/>
      <c r="U29814" s="9"/>
      <c r="X29814" s="9"/>
    </row>
    <row r="29815">
      <c r="D29815" s="9"/>
      <c r="G29815" s="9"/>
      <c r="J29815" s="11"/>
      <c r="U29815" s="9"/>
      <c r="X29815" s="9"/>
    </row>
    <row r="29816">
      <c r="D29816" s="9"/>
      <c r="G29816" s="9"/>
      <c r="J29816" s="11"/>
      <c r="U29816" s="9"/>
      <c r="X29816" s="9"/>
    </row>
    <row r="29817">
      <c r="D29817" s="9"/>
      <c r="G29817" s="9"/>
      <c r="J29817" s="11"/>
      <c r="U29817" s="9"/>
      <c r="X29817" s="9"/>
    </row>
    <row r="29818">
      <c r="D29818" s="9"/>
      <c r="G29818" s="9"/>
      <c r="J29818" s="11"/>
      <c r="U29818" s="9"/>
      <c r="X29818" s="9"/>
    </row>
    <row r="29819">
      <c r="D29819" s="9"/>
      <c r="G29819" s="9"/>
      <c r="J29819" s="11"/>
      <c r="U29819" s="9"/>
      <c r="X29819" s="9"/>
    </row>
    <row r="29820">
      <c r="D29820" s="9"/>
      <c r="G29820" s="9"/>
      <c r="J29820" s="11"/>
      <c r="U29820" s="9"/>
      <c r="X29820" s="9"/>
    </row>
    <row r="29821">
      <c r="D29821" s="9"/>
      <c r="G29821" s="9"/>
      <c r="J29821" s="11"/>
      <c r="U29821" s="9"/>
      <c r="X29821" s="9"/>
    </row>
    <row r="29822">
      <c r="D29822" s="9"/>
      <c r="G29822" s="9"/>
      <c r="J29822" s="11"/>
      <c r="U29822" s="9"/>
      <c r="X29822" s="9"/>
    </row>
    <row r="29823">
      <c r="D29823" s="9"/>
      <c r="G29823" s="9"/>
      <c r="J29823" s="11"/>
      <c r="U29823" s="9"/>
      <c r="X29823" s="9"/>
    </row>
    <row r="29824">
      <c r="D29824" s="9"/>
      <c r="G29824" s="9"/>
      <c r="J29824" s="11"/>
      <c r="U29824" s="9"/>
      <c r="X29824" s="9"/>
    </row>
    <row r="29825">
      <c r="D29825" s="9"/>
      <c r="G29825" s="9"/>
      <c r="J29825" s="11"/>
      <c r="U29825" s="9"/>
      <c r="X29825" s="9"/>
    </row>
    <row r="29826">
      <c r="D29826" s="9"/>
      <c r="G29826" s="9"/>
      <c r="J29826" s="11"/>
      <c r="U29826" s="9"/>
      <c r="X29826" s="9"/>
    </row>
    <row r="29827">
      <c r="D29827" s="9"/>
      <c r="G29827" s="9"/>
      <c r="J29827" s="11"/>
      <c r="U29827" s="9"/>
      <c r="X29827" s="9"/>
    </row>
    <row r="29828">
      <c r="D29828" s="9"/>
      <c r="G29828" s="9"/>
      <c r="J29828" s="11"/>
      <c r="U29828" s="9"/>
      <c r="X29828" s="9"/>
    </row>
    <row r="29829">
      <c r="D29829" s="9"/>
      <c r="G29829" s="9"/>
      <c r="J29829" s="11"/>
      <c r="U29829" s="9"/>
      <c r="X29829" s="9"/>
    </row>
    <row r="29830">
      <c r="D29830" s="9"/>
      <c r="G29830" s="9"/>
      <c r="J29830" s="11"/>
      <c r="U29830" s="9"/>
      <c r="X29830" s="9"/>
    </row>
    <row r="29831">
      <c r="D29831" s="9"/>
      <c r="G29831" s="9"/>
      <c r="J29831" s="11"/>
      <c r="U29831" s="9"/>
      <c r="X29831" s="9"/>
    </row>
    <row r="29832">
      <c r="D29832" s="9"/>
      <c r="G29832" s="9"/>
      <c r="J29832" s="11"/>
      <c r="U29832" s="9"/>
      <c r="X29832" s="9"/>
    </row>
    <row r="29833">
      <c r="D29833" s="9"/>
      <c r="G29833" s="9"/>
      <c r="J29833" s="11"/>
      <c r="U29833" s="9"/>
      <c r="X29833" s="9"/>
    </row>
    <row r="29834">
      <c r="D29834" s="9"/>
      <c r="G29834" s="9"/>
      <c r="J29834" s="11"/>
      <c r="U29834" s="9"/>
      <c r="X29834" s="9"/>
    </row>
    <row r="29835">
      <c r="D29835" s="9"/>
      <c r="G29835" s="9"/>
      <c r="J29835" s="11"/>
      <c r="U29835" s="9"/>
      <c r="X29835" s="9"/>
    </row>
    <row r="29836">
      <c r="D29836" s="9"/>
      <c r="G29836" s="9"/>
      <c r="J29836" s="11"/>
      <c r="U29836" s="9"/>
      <c r="X29836" s="9"/>
    </row>
    <row r="29837">
      <c r="D29837" s="9"/>
      <c r="G29837" s="9"/>
      <c r="J29837" s="11"/>
      <c r="U29837" s="9"/>
      <c r="X29837" s="9"/>
    </row>
    <row r="29838">
      <c r="D29838" s="9"/>
      <c r="G29838" s="9"/>
      <c r="J29838" s="11"/>
      <c r="U29838" s="9"/>
      <c r="X29838" s="9"/>
    </row>
    <row r="29839">
      <c r="D29839" s="9"/>
      <c r="G29839" s="9"/>
      <c r="J29839" s="11"/>
      <c r="U29839" s="9"/>
      <c r="X29839" s="9"/>
    </row>
    <row r="29840">
      <c r="D29840" s="9"/>
      <c r="G29840" s="9"/>
      <c r="J29840" s="11"/>
      <c r="U29840" s="9"/>
      <c r="X29840" s="9"/>
    </row>
    <row r="29841">
      <c r="D29841" s="9"/>
      <c r="G29841" s="9"/>
      <c r="J29841" s="11"/>
      <c r="U29841" s="9"/>
      <c r="X29841" s="9"/>
    </row>
    <row r="29842">
      <c r="D29842" s="9"/>
      <c r="G29842" s="9"/>
      <c r="J29842" s="11"/>
      <c r="U29842" s="9"/>
      <c r="X29842" s="9"/>
    </row>
    <row r="29843">
      <c r="D29843" s="9"/>
      <c r="G29843" s="9"/>
      <c r="J29843" s="11"/>
      <c r="U29843" s="9"/>
      <c r="X29843" s="9"/>
    </row>
    <row r="29844">
      <c r="D29844" s="9"/>
      <c r="G29844" s="9"/>
      <c r="J29844" s="11"/>
      <c r="U29844" s="9"/>
      <c r="X29844" s="9"/>
    </row>
    <row r="29845">
      <c r="D29845" s="9"/>
      <c r="G29845" s="9"/>
      <c r="J29845" s="11"/>
      <c r="U29845" s="9"/>
      <c r="X29845" s="9"/>
    </row>
    <row r="29846">
      <c r="D29846" s="9"/>
      <c r="G29846" s="9"/>
      <c r="J29846" s="11"/>
      <c r="U29846" s="9"/>
      <c r="X29846" s="9"/>
    </row>
    <row r="29847">
      <c r="D29847" s="9"/>
      <c r="G29847" s="9"/>
      <c r="J29847" s="11"/>
      <c r="U29847" s="9"/>
      <c r="X29847" s="9"/>
    </row>
    <row r="29848">
      <c r="D29848" s="9"/>
      <c r="G29848" s="9"/>
      <c r="J29848" s="11"/>
      <c r="U29848" s="9"/>
      <c r="X29848" s="9"/>
    </row>
    <row r="29849">
      <c r="D29849" s="9"/>
      <c r="G29849" s="9"/>
      <c r="J29849" s="11"/>
      <c r="U29849" s="9"/>
      <c r="X29849" s="9"/>
    </row>
    <row r="29850">
      <c r="D29850" s="9"/>
      <c r="G29850" s="9"/>
      <c r="J29850" s="11"/>
      <c r="U29850" s="9"/>
      <c r="X29850" s="9"/>
    </row>
    <row r="29851">
      <c r="D29851" s="9"/>
      <c r="G29851" s="9"/>
      <c r="J29851" s="11"/>
      <c r="U29851" s="9"/>
      <c r="X29851" s="9"/>
    </row>
    <row r="29852">
      <c r="D29852" s="9"/>
      <c r="G29852" s="9"/>
      <c r="J29852" s="11"/>
      <c r="U29852" s="9"/>
      <c r="X29852" s="9"/>
    </row>
    <row r="29853">
      <c r="D29853" s="9"/>
      <c r="G29853" s="9"/>
      <c r="J29853" s="11"/>
      <c r="U29853" s="9"/>
      <c r="X29853" s="9"/>
    </row>
    <row r="29854">
      <c r="D29854" s="9"/>
      <c r="G29854" s="9"/>
      <c r="J29854" s="11"/>
      <c r="U29854" s="9"/>
      <c r="X29854" s="9"/>
    </row>
    <row r="29855">
      <c r="D29855" s="9"/>
      <c r="G29855" s="9"/>
      <c r="J29855" s="11"/>
      <c r="U29855" s="9"/>
      <c r="X29855" s="9"/>
    </row>
    <row r="29856">
      <c r="D29856" s="9"/>
      <c r="G29856" s="9"/>
      <c r="J29856" s="11"/>
      <c r="U29856" s="9"/>
      <c r="X29856" s="9"/>
    </row>
    <row r="29857">
      <c r="D29857" s="9"/>
      <c r="G29857" s="9"/>
      <c r="J29857" s="11"/>
      <c r="U29857" s="9"/>
      <c r="X29857" s="9"/>
    </row>
    <row r="29858">
      <c r="D29858" s="9"/>
      <c r="G29858" s="9"/>
      <c r="J29858" s="11"/>
      <c r="U29858" s="9"/>
      <c r="X29858" s="9"/>
    </row>
    <row r="29859">
      <c r="D29859" s="9"/>
      <c r="G29859" s="9"/>
      <c r="J29859" s="11"/>
      <c r="U29859" s="9"/>
      <c r="X29859" s="9"/>
    </row>
    <row r="29860">
      <c r="D29860" s="9"/>
      <c r="G29860" s="9"/>
      <c r="J29860" s="11"/>
      <c r="U29860" s="9"/>
      <c r="X29860" s="9"/>
    </row>
    <row r="29861">
      <c r="D29861" s="9"/>
      <c r="G29861" s="9"/>
      <c r="J29861" s="11"/>
      <c r="U29861" s="9"/>
      <c r="X29861" s="9"/>
    </row>
    <row r="29862">
      <c r="D29862" s="9"/>
      <c r="G29862" s="9"/>
      <c r="J29862" s="11"/>
      <c r="U29862" s="9"/>
      <c r="X29862" s="9"/>
    </row>
    <row r="29863">
      <c r="D29863" s="9"/>
      <c r="G29863" s="9"/>
      <c r="J29863" s="11"/>
      <c r="U29863" s="9"/>
      <c r="X29863" s="9"/>
    </row>
    <row r="29864">
      <c r="D29864" s="9"/>
      <c r="G29864" s="9"/>
      <c r="J29864" s="11"/>
      <c r="U29864" s="9"/>
      <c r="X29864" s="9"/>
    </row>
    <row r="29865">
      <c r="D29865" s="9"/>
      <c r="G29865" s="9"/>
      <c r="J29865" s="11"/>
      <c r="U29865" s="9"/>
      <c r="X29865" s="9"/>
    </row>
    <row r="29866">
      <c r="D29866" s="9"/>
      <c r="G29866" s="9"/>
      <c r="J29866" s="11"/>
      <c r="U29866" s="9"/>
      <c r="X29866" s="9"/>
    </row>
    <row r="29867">
      <c r="D29867" s="9"/>
      <c r="G29867" s="9"/>
      <c r="J29867" s="11"/>
      <c r="U29867" s="9"/>
      <c r="X29867" s="9"/>
    </row>
    <row r="29868">
      <c r="D29868" s="9"/>
      <c r="G29868" s="9"/>
      <c r="J29868" s="11"/>
      <c r="U29868" s="9"/>
      <c r="X29868" s="9"/>
    </row>
    <row r="29869">
      <c r="D29869" s="9"/>
      <c r="G29869" s="9"/>
      <c r="J29869" s="11"/>
      <c r="U29869" s="9"/>
      <c r="X29869" s="9"/>
    </row>
    <row r="29870">
      <c r="D29870" s="9"/>
      <c r="G29870" s="9"/>
      <c r="J29870" s="11"/>
      <c r="U29870" s="9"/>
      <c r="X29870" s="9"/>
    </row>
    <row r="29871">
      <c r="D29871" s="9"/>
      <c r="G29871" s="9"/>
      <c r="J29871" s="11"/>
      <c r="U29871" s="9"/>
      <c r="X29871" s="9"/>
    </row>
    <row r="29872">
      <c r="D29872" s="9"/>
      <c r="G29872" s="9"/>
      <c r="J29872" s="11"/>
      <c r="U29872" s="9"/>
      <c r="X29872" s="9"/>
    </row>
    <row r="29873">
      <c r="D29873" s="9"/>
      <c r="G29873" s="9"/>
      <c r="J29873" s="11"/>
      <c r="U29873" s="9"/>
      <c r="X29873" s="9"/>
    </row>
    <row r="29874">
      <c r="D29874" s="9"/>
      <c r="G29874" s="9"/>
      <c r="J29874" s="11"/>
      <c r="U29874" s="9"/>
      <c r="X29874" s="9"/>
    </row>
    <row r="29875">
      <c r="D29875" s="9"/>
      <c r="G29875" s="9"/>
      <c r="J29875" s="11"/>
      <c r="U29875" s="9"/>
      <c r="X29875" s="9"/>
    </row>
    <row r="29876">
      <c r="D29876" s="9"/>
      <c r="G29876" s="9"/>
      <c r="J29876" s="11"/>
      <c r="U29876" s="9"/>
      <c r="X29876" s="9"/>
    </row>
    <row r="29877">
      <c r="D29877" s="9"/>
      <c r="G29877" s="9"/>
      <c r="J29877" s="11"/>
      <c r="U29877" s="9"/>
      <c r="X29877" s="9"/>
    </row>
    <row r="29878">
      <c r="D29878" s="9"/>
      <c r="G29878" s="9"/>
      <c r="J29878" s="11"/>
      <c r="U29878" s="9"/>
      <c r="X29878" s="9"/>
    </row>
    <row r="29879">
      <c r="D29879" s="9"/>
      <c r="G29879" s="9"/>
      <c r="J29879" s="11"/>
      <c r="U29879" s="9"/>
      <c r="X29879" s="9"/>
    </row>
    <row r="29880">
      <c r="D29880" s="9"/>
      <c r="G29880" s="9"/>
      <c r="J29880" s="11"/>
      <c r="U29880" s="9"/>
      <c r="X29880" s="9"/>
    </row>
    <row r="29881">
      <c r="D29881" s="9"/>
      <c r="G29881" s="9"/>
      <c r="J29881" s="11"/>
      <c r="U29881" s="9"/>
      <c r="X29881" s="9"/>
    </row>
    <row r="29882">
      <c r="D29882" s="9"/>
      <c r="G29882" s="9"/>
      <c r="J29882" s="11"/>
      <c r="U29882" s="9"/>
      <c r="X29882" s="9"/>
    </row>
    <row r="29883">
      <c r="D29883" s="9"/>
      <c r="G29883" s="9"/>
      <c r="J29883" s="11"/>
      <c r="U29883" s="9"/>
      <c r="X29883" s="9"/>
    </row>
    <row r="29884">
      <c r="D29884" s="9"/>
      <c r="G29884" s="9"/>
      <c r="J29884" s="11"/>
      <c r="U29884" s="9"/>
      <c r="X29884" s="9"/>
    </row>
    <row r="29885">
      <c r="D29885" s="9"/>
      <c r="G29885" s="9"/>
      <c r="J29885" s="11"/>
      <c r="U29885" s="9"/>
      <c r="X29885" s="9"/>
    </row>
    <row r="29886">
      <c r="D29886" s="9"/>
      <c r="G29886" s="9"/>
      <c r="J29886" s="11"/>
      <c r="U29886" s="9"/>
      <c r="X29886" s="9"/>
    </row>
    <row r="29887">
      <c r="D29887" s="9"/>
      <c r="G29887" s="9"/>
      <c r="J29887" s="11"/>
      <c r="U29887" s="9"/>
      <c r="X29887" s="9"/>
    </row>
    <row r="29888">
      <c r="D29888" s="9"/>
      <c r="G29888" s="9"/>
      <c r="J29888" s="11"/>
      <c r="U29888" s="9"/>
      <c r="X29888" s="9"/>
    </row>
    <row r="29889">
      <c r="D29889" s="9"/>
      <c r="G29889" s="9"/>
      <c r="J29889" s="11"/>
      <c r="U29889" s="9"/>
      <c r="X29889" s="9"/>
    </row>
    <row r="29890">
      <c r="D29890" s="9"/>
      <c r="G29890" s="9"/>
      <c r="J29890" s="11"/>
      <c r="U29890" s="9"/>
      <c r="X29890" s="9"/>
    </row>
    <row r="29891">
      <c r="D29891" s="9"/>
      <c r="G29891" s="9"/>
      <c r="J29891" s="11"/>
      <c r="U29891" s="9"/>
      <c r="X29891" s="9"/>
    </row>
    <row r="29892">
      <c r="D29892" s="9"/>
      <c r="G29892" s="9"/>
      <c r="J29892" s="11"/>
      <c r="U29892" s="9"/>
      <c r="X29892" s="9"/>
    </row>
    <row r="29893">
      <c r="D29893" s="9"/>
      <c r="G29893" s="9"/>
      <c r="J29893" s="11"/>
      <c r="U29893" s="9"/>
      <c r="X29893" s="9"/>
    </row>
    <row r="29894">
      <c r="D29894" s="9"/>
      <c r="G29894" s="9"/>
      <c r="J29894" s="11"/>
      <c r="U29894" s="9"/>
      <c r="X29894" s="9"/>
    </row>
    <row r="29895">
      <c r="D29895" s="9"/>
      <c r="G29895" s="9"/>
      <c r="J29895" s="11"/>
      <c r="U29895" s="9"/>
      <c r="X29895" s="9"/>
    </row>
    <row r="29896">
      <c r="D29896" s="9"/>
      <c r="G29896" s="9"/>
      <c r="J29896" s="11"/>
      <c r="U29896" s="9"/>
      <c r="X29896" s="9"/>
    </row>
    <row r="29897">
      <c r="D29897" s="9"/>
      <c r="G29897" s="9"/>
      <c r="J29897" s="11"/>
      <c r="U29897" s="9"/>
      <c r="X29897" s="9"/>
    </row>
    <row r="29898">
      <c r="D29898" s="9"/>
      <c r="G29898" s="9"/>
      <c r="J29898" s="11"/>
      <c r="U29898" s="9"/>
      <c r="X29898" s="9"/>
    </row>
    <row r="29899">
      <c r="D29899" s="9"/>
      <c r="G29899" s="9"/>
      <c r="J29899" s="11"/>
      <c r="U29899" s="9"/>
      <c r="X29899" s="9"/>
    </row>
    <row r="29900">
      <c r="D29900" s="9"/>
      <c r="G29900" s="9"/>
      <c r="J29900" s="11"/>
      <c r="U29900" s="9"/>
      <c r="X29900" s="9"/>
    </row>
    <row r="29901">
      <c r="D29901" s="9"/>
      <c r="G29901" s="9"/>
      <c r="J29901" s="11"/>
      <c r="U29901" s="9"/>
      <c r="X29901" s="9"/>
    </row>
    <row r="29902">
      <c r="D29902" s="9"/>
      <c r="G29902" s="9"/>
      <c r="J29902" s="11"/>
      <c r="U29902" s="9"/>
      <c r="X29902" s="9"/>
    </row>
    <row r="29903">
      <c r="D29903" s="9"/>
      <c r="G29903" s="9"/>
      <c r="J29903" s="11"/>
      <c r="U29903" s="9"/>
      <c r="X29903" s="9"/>
    </row>
    <row r="29904">
      <c r="D29904" s="9"/>
      <c r="G29904" s="9"/>
      <c r="J29904" s="11"/>
      <c r="U29904" s="9"/>
      <c r="X29904" s="9"/>
    </row>
    <row r="29905">
      <c r="D29905" s="9"/>
      <c r="G29905" s="9"/>
      <c r="J29905" s="11"/>
      <c r="U29905" s="9"/>
      <c r="X29905" s="9"/>
    </row>
    <row r="29906">
      <c r="D29906" s="9"/>
      <c r="G29906" s="9"/>
      <c r="J29906" s="11"/>
      <c r="U29906" s="9"/>
      <c r="X29906" s="9"/>
    </row>
    <row r="29907">
      <c r="D29907" s="9"/>
      <c r="G29907" s="9"/>
      <c r="J29907" s="11"/>
      <c r="U29907" s="9"/>
      <c r="X29907" s="9"/>
    </row>
    <row r="29908">
      <c r="D29908" s="9"/>
      <c r="G29908" s="9"/>
      <c r="J29908" s="11"/>
      <c r="U29908" s="9"/>
      <c r="X29908" s="9"/>
    </row>
    <row r="29909">
      <c r="D29909" s="9"/>
      <c r="G29909" s="9"/>
      <c r="J29909" s="11"/>
      <c r="U29909" s="9"/>
      <c r="X29909" s="9"/>
    </row>
    <row r="29910">
      <c r="D29910" s="9"/>
      <c r="G29910" s="9"/>
      <c r="J29910" s="11"/>
      <c r="U29910" s="9"/>
      <c r="X29910" s="9"/>
    </row>
    <row r="29911">
      <c r="D29911" s="9"/>
      <c r="G29911" s="9"/>
      <c r="J29911" s="11"/>
      <c r="U29911" s="9"/>
      <c r="X29911" s="9"/>
    </row>
    <row r="29912">
      <c r="D29912" s="9"/>
      <c r="G29912" s="9"/>
      <c r="J29912" s="11"/>
      <c r="U29912" s="9"/>
      <c r="X29912" s="9"/>
    </row>
    <row r="29913">
      <c r="D29913" s="9"/>
      <c r="G29913" s="9"/>
      <c r="J29913" s="11"/>
      <c r="U29913" s="9"/>
      <c r="X29913" s="9"/>
    </row>
    <row r="29914">
      <c r="D29914" s="9"/>
      <c r="G29914" s="9"/>
      <c r="J29914" s="11"/>
      <c r="U29914" s="9"/>
      <c r="X29914" s="9"/>
    </row>
    <row r="29915">
      <c r="D29915" s="9"/>
      <c r="G29915" s="9"/>
      <c r="J29915" s="11"/>
      <c r="U29915" s="9"/>
      <c r="X29915" s="9"/>
    </row>
    <row r="29916">
      <c r="D29916" s="9"/>
      <c r="G29916" s="9"/>
      <c r="J29916" s="11"/>
      <c r="U29916" s="9"/>
      <c r="X29916" s="9"/>
    </row>
    <row r="29917">
      <c r="D29917" s="9"/>
      <c r="G29917" s="9"/>
      <c r="J29917" s="11"/>
      <c r="U29917" s="9"/>
      <c r="X29917" s="9"/>
    </row>
    <row r="29918">
      <c r="D29918" s="9"/>
      <c r="G29918" s="9"/>
      <c r="J29918" s="11"/>
      <c r="U29918" s="9"/>
      <c r="X29918" s="9"/>
    </row>
    <row r="29919">
      <c r="D29919" s="9"/>
      <c r="G29919" s="9"/>
      <c r="J29919" s="11"/>
      <c r="U29919" s="9"/>
      <c r="X29919" s="9"/>
    </row>
    <row r="29920">
      <c r="D29920" s="9"/>
      <c r="G29920" s="9"/>
      <c r="J29920" s="11"/>
      <c r="U29920" s="9"/>
      <c r="X29920" s="9"/>
    </row>
    <row r="29921">
      <c r="D29921" s="9"/>
      <c r="G29921" s="9"/>
      <c r="J29921" s="11"/>
      <c r="U29921" s="9"/>
      <c r="X29921" s="9"/>
    </row>
    <row r="29922">
      <c r="D29922" s="9"/>
      <c r="G29922" s="9"/>
      <c r="J29922" s="11"/>
      <c r="U29922" s="9"/>
      <c r="X29922" s="9"/>
    </row>
    <row r="29923">
      <c r="D29923" s="9"/>
      <c r="G29923" s="9"/>
      <c r="J29923" s="11"/>
      <c r="U29923" s="9"/>
      <c r="X29923" s="9"/>
    </row>
    <row r="29924">
      <c r="D29924" s="9"/>
      <c r="G29924" s="9"/>
      <c r="J29924" s="11"/>
      <c r="U29924" s="9"/>
      <c r="X29924" s="9"/>
    </row>
    <row r="29925">
      <c r="D29925" s="9"/>
      <c r="G29925" s="9"/>
      <c r="J29925" s="11"/>
      <c r="U29925" s="9"/>
      <c r="X29925" s="9"/>
    </row>
    <row r="29926">
      <c r="D29926" s="9"/>
      <c r="G29926" s="9"/>
      <c r="J29926" s="11"/>
      <c r="U29926" s="9"/>
      <c r="X29926" s="9"/>
    </row>
    <row r="29927">
      <c r="D29927" s="9"/>
      <c r="G29927" s="9"/>
      <c r="J29927" s="11"/>
      <c r="U29927" s="9"/>
      <c r="X29927" s="9"/>
    </row>
    <row r="29928">
      <c r="D29928" s="9"/>
      <c r="G29928" s="9"/>
      <c r="J29928" s="11"/>
      <c r="U29928" s="9"/>
      <c r="X29928" s="9"/>
    </row>
    <row r="29929">
      <c r="D29929" s="9"/>
      <c r="G29929" s="9"/>
      <c r="J29929" s="11"/>
      <c r="U29929" s="9"/>
      <c r="X29929" s="9"/>
    </row>
    <row r="29930">
      <c r="D29930" s="9"/>
      <c r="G29930" s="9"/>
      <c r="J29930" s="11"/>
      <c r="U29930" s="9"/>
      <c r="X29930" s="9"/>
    </row>
    <row r="29931">
      <c r="D29931" s="9"/>
      <c r="G29931" s="9"/>
      <c r="J29931" s="11"/>
      <c r="U29931" s="9"/>
      <c r="X29931" s="9"/>
    </row>
    <row r="29932">
      <c r="D29932" s="9"/>
      <c r="G29932" s="9"/>
      <c r="J29932" s="11"/>
      <c r="U29932" s="9"/>
      <c r="X29932" s="9"/>
    </row>
    <row r="29933">
      <c r="D29933" s="9"/>
      <c r="G29933" s="9"/>
      <c r="J29933" s="11"/>
      <c r="U29933" s="9"/>
      <c r="X29933" s="9"/>
    </row>
    <row r="29934">
      <c r="D29934" s="9"/>
      <c r="G29934" s="9"/>
      <c r="J29934" s="11"/>
      <c r="U29934" s="9"/>
      <c r="X29934" s="9"/>
    </row>
    <row r="29935">
      <c r="D29935" s="9"/>
      <c r="G29935" s="9"/>
      <c r="J29935" s="11"/>
      <c r="U29935" s="9"/>
      <c r="X29935" s="9"/>
    </row>
    <row r="29936">
      <c r="D29936" s="9"/>
      <c r="G29936" s="9"/>
      <c r="J29936" s="11"/>
      <c r="U29936" s="9"/>
      <c r="X29936" s="9"/>
    </row>
    <row r="29937">
      <c r="D29937" s="9"/>
      <c r="G29937" s="9"/>
      <c r="J29937" s="11"/>
      <c r="U29937" s="9"/>
      <c r="X29937" s="9"/>
    </row>
    <row r="29938">
      <c r="D29938" s="9"/>
      <c r="G29938" s="9"/>
      <c r="J29938" s="11"/>
      <c r="U29938" s="9"/>
      <c r="X29938" s="9"/>
    </row>
    <row r="29939">
      <c r="D29939" s="9"/>
      <c r="G29939" s="9"/>
      <c r="J29939" s="11"/>
      <c r="U29939" s="9"/>
      <c r="X29939" s="9"/>
    </row>
    <row r="29940">
      <c r="D29940" s="9"/>
      <c r="G29940" s="9"/>
      <c r="J29940" s="11"/>
      <c r="U29940" s="9"/>
      <c r="X29940" s="9"/>
    </row>
    <row r="29941">
      <c r="D29941" s="9"/>
      <c r="G29941" s="9"/>
      <c r="J29941" s="11"/>
      <c r="U29941" s="9"/>
      <c r="X29941" s="9"/>
    </row>
    <row r="29942">
      <c r="D29942" s="9"/>
      <c r="G29942" s="9"/>
      <c r="J29942" s="11"/>
      <c r="U29942" s="9"/>
      <c r="X29942" s="9"/>
    </row>
    <row r="29943">
      <c r="D29943" s="9"/>
      <c r="G29943" s="9"/>
      <c r="J29943" s="11"/>
      <c r="U29943" s="9"/>
      <c r="X29943" s="9"/>
    </row>
    <row r="29944">
      <c r="D29944" s="9"/>
      <c r="G29944" s="9"/>
      <c r="J29944" s="11"/>
      <c r="U29944" s="9"/>
      <c r="X29944" s="9"/>
    </row>
    <row r="29945">
      <c r="D29945" s="9"/>
      <c r="G29945" s="9"/>
      <c r="J29945" s="11"/>
      <c r="U29945" s="9"/>
      <c r="X29945" s="9"/>
    </row>
    <row r="29946">
      <c r="D29946" s="9"/>
      <c r="G29946" s="9"/>
      <c r="J29946" s="11"/>
      <c r="U29946" s="9"/>
      <c r="X29946" s="9"/>
    </row>
    <row r="29947">
      <c r="D29947" s="9"/>
      <c r="G29947" s="9"/>
      <c r="J29947" s="11"/>
      <c r="U29947" s="9"/>
      <c r="X29947" s="9"/>
    </row>
    <row r="29948">
      <c r="D29948" s="9"/>
      <c r="G29948" s="9"/>
      <c r="J29948" s="11"/>
      <c r="U29948" s="9"/>
      <c r="X29948" s="9"/>
    </row>
    <row r="29949">
      <c r="D29949" s="9"/>
      <c r="G29949" s="9"/>
      <c r="J29949" s="11"/>
      <c r="U29949" s="9"/>
      <c r="X29949" s="9"/>
    </row>
    <row r="29950">
      <c r="D29950" s="9"/>
      <c r="G29950" s="9"/>
      <c r="J29950" s="11"/>
      <c r="U29950" s="9"/>
      <c r="X29950" s="9"/>
    </row>
    <row r="29951">
      <c r="D29951" s="9"/>
      <c r="G29951" s="9"/>
      <c r="J29951" s="11"/>
      <c r="U29951" s="9"/>
      <c r="X29951" s="9"/>
    </row>
    <row r="29952">
      <c r="D29952" s="9"/>
      <c r="G29952" s="9"/>
      <c r="J29952" s="11"/>
      <c r="U29952" s="9"/>
      <c r="X29952" s="9"/>
    </row>
    <row r="29953">
      <c r="D29953" s="9"/>
      <c r="G29953" s="9"/>
      <c r="J29953" s="11"/>
      <c r="U29953" s="9"/>
      <c r="X29953" s="9"/>
    </row>
    <row r="29954">
      <c r="D29954" s="9"/>
      <c r="G29954" s="9"/>
      <c r="J29954" s="11"/>
      <c r="U29954" s="9"/>
      <c r="X29954" s="9"/>
    </row>
    <row r="29955">
      <c r="D29955" s="9"/>
      <c r="G29955" s="9"/>
      <c r="J29955" s="11"/>
      <c r="U29955" s="9"/>
      <c r="X29955" s="9"/>
    </row>
    <row r="29956">
      <c r="D29956" s="9"/>
      <c r="G29956" s="9"/>
      <c r="J29956" s="11"/>
      <c r="U29956" s="9"/>
      <c r="X29956" s="9"/>
    </row>
    <row r="29957">
      <c r="D29957" s="9"/>
      <c r="G29957" s="9"/>
      <c r="J29957" s="11"/>
      <c r="U29957" s="9"/>
      <c r="X29957" s="9"/>
    </row>
    <row r="29958">
      <c r="D29958" s="9"/>
      <c r="G29958" s="9"/>
      <c r="J29958" s="11"/>
      <c r="U29958" s="9"/>
      <c r="X29958" s="9"/>
    </row>
    <row r="29959">
      <c r="D29959" s="9"/>
      <c r="G29959" s="9"/>
      <c r="J29959" s="11"/>
      <c r="U29959" s="9"/>
      <c r="X29959" s="9"/>
    </row>
    <row r="29960">
      <c r="D29960" s="9"/>
      <c r="G29960" s="9"/>
      <c r="J29960" s="11"/>
      <c r="U29960" s="9"/>
      <c r="X29960" s="9"/>
    </row>
    <row r="29961">
      <c r="D29961" s="9"/>
      <c r="G29961" s="9"/>
      <c r="J29961" s="11"/>
      <c r="U29961" s="9"/>
      <c r="X29961" s="9"/>
    </row>
    <row r="29962">
      <c r="D29962" s="9"/>
      <c r="G29962" s="9"/>
      <c r="J29962" s="11"/>
      <c r="U29962" s="9"/>
      <c r="X29962" s="9"/>
    </row>
    <row r="29963">
      <c r="D29963" s="9"/>
      <c r="G29963" s="9"/>
      <c r="J29963" s="11"/>
      <c r="U29963" s="9"/>
      <c r="X29963" s="9"/>
    </row>
    <row r="29964">
      <c r="D29964" s="9"/>
      <c r="G29964" s="9"/>
      <c r="J29964" s="11"/>
      <c r="U29964" s="9"/>
      <c r="X29964" s="9"/>
    </row>
    <row r="29965">
      <c r="D29965" s="9"/>
      <c r="G29965" s="9"/>
      <c r="J29965" s="11"/>
      <c r="U29965" s="9"/>
      <c r="X29965" s="9"/>
    </row>
    <row r="29966">
      <c r="D29966" s="9"/>
      <c r="G29966" s="9"/>
      <c r="J29966" s="11"/>
      <c r="U29966" s="9"/>
      <c r="X29966" s="9"/>
    </row>
    <row r="29967">
      <c r="D29967" s="9"/>
      <c r="G29967" s="9"/>
      <c r="J29967" s="11"/>
      <c r="U29967" s="9"/>
      <c r="X29967" s="9"/>
    </row>
    <row r="29968">
      <c r="D29968" s="9"/>
      <c r="G29968" s="9"/>
      <c r="J29968" s="11"/>
      <c r="U29968" s="9"/>
      <c r="X29968" s="9"/>
    </row>
    <row r="29969">
      <c r="D29969" s="9"/>
      <c r="G29969" s="9"/>
      <c r="J29969" s="11"/>
      <c r="U29969" s="9"/>
      <c r="X29969" s="9"/>
    </row>
    <row r="29970">
      <c r="D29970" s="9"/>
      <c r="G29970" s="9"/>
      <c r="J29970" s="11"/>
      <c r="U29970" s="9"/>
      <c r="X29970" s="9"/>
    </row>
    <row r="29971">
      <c r="D29971" s="9"/>
      <c r="G29971" s="9"/>
      <c r="J29971" s="11"/>
      <c r="U29971" s="9"/>
      <c r="X29971" s="9"/>
    </row>
    <row r="29972">
      <c r="D29972" s="9"/>
      <c r="G29972" s="9"/>
      <c r="J29972" s="11"/>
      <c r="U29972" s="9"/>
      <c r="X29972" s="9"/>
    </row>
    <row r="29973">
      <c r="D29973" s="9"/>
      <c r="G29973" s="9"/>
      <c r="J29973" s="11"/>
      <c r="U29973" s="9"/>
      <c r="X29973" s="9"/>
    </row>
    <row r="29974">
      <c r="D29974" s="9"/>
      <c r="G29974" s="9"/>
      <c r="J29974" s="11"/>
      <c r="U29974" s="9"/>
      <c r="X29974" s="9"/>
    </row>
    <row r="29975">
      <c r="D29975" s="9"/>
      <c r="G29975" s="9"/>
      <c r="J29975" s="11"/>
      <c r="U29975" s="9"/>
      <c r="X29975" s="9"/>
    </row>
    <row r="29976">
      <c r="D29976" s="9"/>
      <c r="G29976" s="9"/>
      <c r="J29976" s="11"/>
      <c r="U29976" s="9"/>
      <c r="X29976" s="9"/>
    </row>
    <row r="29977">
      <c r="D29977" s="9"/>
      <c r="G29977" s="9"/>
      <c r="J29977" s="11"/>
      <c r="U29977" s="9"/>
      <c r="X29977" s="9"/>
    </row>
    <row r="29978">
      <c r="D29978" s="9"/>
      <c r="G29978" s="9"/>
      <c r="J29978" s="11"/>
      <c r="U29978" s="9"/>
      <c r="X29978" s="9"/>
    </row>
    <row r="29979">
      <c r="D29979" s="9"/>
      <c r="G29979" s="9"/>
      <c r="J29979" s="11"/>
      <c r="U29979" s="9"/>
      <c r="X29979" s="9"/>
    </row>
    <row r="29980">
      <c r="D29980" s="9"/>
      <c r="G29980" s="9"/>
      <c r="J29980" s="11"/>
      <c r="U29980" s="9"/>
      <c r="X29980" s="9"/>
    </row>
    <row r="29981">
      <c r="D29981" s="9"/>
      <c r="G29981" s="9"/>
      <c r="J29981" s="11"/>
      <c r="U29981" s="9"/>
      <c r="X29981" s="9"/>
    </row>
    <row r="29982">
      <c r="D29982" s="9"/>
      <c r="G29982" s="9"/>
      <c r="J29982" s="11"/>
      <c r="U29982" s="9"/>
      <c r="X29982" s="9"/>
    </row>
    <row r="29983">
      <c r="D29983" s="9"/>
      <c r="G29983" s="9"/>
      <c r="J29983" s="11"/>
      <c r="U29983" s="9"/>
      <c r="X29983" s="9"/>
    </row>
    <row r="29984">
      <c r="D29984" s="9"/>
      <c r="G29984" s="9"/>
      <c r="J29984" s="11"/>
      <c r="U29984" s="9"/>
      <c r="X29984" s="9"/>
    </row>
    <row r="29985">
      <c r="D29985" s="9"/>
      <c r="G29985" s="9"/>
      <c r="J29985" s="11"/>
      <c r="U29985" s="9"/>
      <c r="X29985" s="9"/>
    </row>
    <row r="29986">
      <c r="D29986" s="9"/>
      <c r="G29986" s="9"/>
      <c r="J29986" s="11"/>
      <c r="U29986" s="9"/>
      <c r="X29986" s="9"/>
    </row>
    <row r="29987">
      <c r="D29987" s="9"/>
      <c r="G29987" s="9"/>
      <c r="J29987" s="11"/>
      <c r="U29987" s="9"/>
      <c r="X29987" s="9"/>
    </row>
    <row r="29988">
      <c r="D29988" s="9"/>
      <c r="G29988" s="9"/>
      <c r="J29988" s="11"/>
      <c r="U29988" s="9"/>
      <c r="X29988" s="9"/>
    </row>
    <row r="29989">
      <c r="D29989" s="9"/>
      <c r="G29989" s="9"/>
      <c r="J29989" s="11"/>
      <c r="U29989" s="9"/>
      <c r="X29989" s="9"/>
    </row>
    <row r="29990">
      <c r="D29990" s="9"/>
      <c r="G29990" s="9"/>
      <c r="J29990" s="11"/>
      <c r="U29990" s="9"/>
      <c r="X29990" s="9"/>
    </row>
    <row r="29991">
      <c r="D29991" s="9"/>
      <c r="G29991" s="9"/>
      <c r="J29991" s="11"/>
      <c r="U29991" s="9"/>
      <c r="X29991" s="9"/>
    </row>
    <row r="29992">
      <c r="D29992" s="9"/>
      <c r="G29992" s="9"/>
      <c r="J29992" s="11"/>
      <c r="U29992" s="9"/>
      <c r="X29992" s="9"/>
    </row>
    <row r="29993">
      <c r="D29993" s="9"/>
      <c r="G29993" s="9"/>
      <c r="J29993" s="11"/>
      <c r="U29993" s="9"/>
      <c r="X29993" s="9"/>
    </row>
    <row r="29994">
      <c r="D29994" s="9"/>
      <c r="G29994" s="9"/>
      <c r="J29994" s="11"/>
      <c r="U29994" s="9"/>
      <c r="X29994" s="9"/>
    </row>
    <row r="29995">
      <c r="D29995" s="9"/>
      <c r="G29995" s="9"/>
      <c r="J29995" s="11"/>
      <c r="U29995" s="9"/>
      <c r="X29995" s="9"/>
    </row>
    <row r="29996">
      <c r="D29996" s="9"/>
      <c r="G29996" s="9"/>
      <c r="J29996" s="11"/>
      <c r="U29996" s="9"/>
      <c r="X29996" s="9"/>
    </row>
    <row r="29997">
      <c r="D29997" s="9"/>
      <c r="G29997" s="9"/>
      <c r="J29997" s="11"/>
      <c r="U29997" s="9"/>
      <c r="X29997" s="9"/>
    </row>
    <row r="29998">
      <c r="D29998" s="9"/>
      <c r="G29998" s="9"/>
      <c r="J29998" s="11"/>
      <c r="U29998" s="9"/>
      <c r="X29998" s="9"/>
    </row>
    <row r="29999">
      <c r="D29999" s="9"/>
      <c r="G29999" s="9"/>
      <c r="J29999" s="11"/>
      <c r="U29999" s="9"/>
      <c r="X29999" s="9"/>
    </row>
    <row r="30000">
      <c r="D30000" s="9"/>
      <c r="G30000" s="9"/>
      <c r="J30000" s="11"/>
      <c r="U30000" s="9"/>
      <c r="X30000" s="9"/>
    </row>
    <row r="30001">
      <c r="D30001" s="9"/>
      <c r="G30001" s="9"/>
      <c r="J30001" s="11"/>
      <c r="U30001" s="9"/>
      <c r="X30001" s="9"/>
    </row>
    <row r="30002">
      <c r="D30002" s="9"/>
      <c r="G30002" s="9"/>
      <c r="J30002" s="11"/>
      <c r="U30002" s="9"/>
      <c r="X30002" s="9"/>
    </row>
    <row r="30003">
      <c r="D30003" s="9"/>
      <c r="G30003" s="9"/>
      <c r="J30003" s="11"/>
      <c r="U30003" s="9"/>
      <c r="X30003" s="9"/>
    </row>
    <row r="30004">
      <c r="D30004" s="9"/>
      <c r="G30004" s="9"/>
      <c r="J30004" s="11"/>
      <c r="U30004" s="9"/>
      <c r="X30004" s="9"/>
    </row>
    <row r="30005">
      <c r="D30005" s="9"/>
      <c r="G30005" s="9"/>
      <c r="J30005" s="11"/>
      <c r="U30005" s="9"/>
      <c r="X30005" s="9"/>
    </row>
    <row r="30006">
      <c r="D30006" s="9"/>
      <c r="G30006" s="9"/>
      <c r="J30006" s="11"/>
      <c r="U30006" s="9"/>
      <c r="X30006" s="9"/>
    </row>
    <row r="30007">
      <c r="D30007" s="9"/>
      <c r="G30007" s="9"/>
      <c r="J30007" s="11"/>
      <c r="U30007" s="9"/>
      <c r="X30007" s="9"/>
    </row>
    <row r="30008">
      <c r="D30008" s="9"/>
      <c r="G30008" s="9"/>
      <c r="J30008" s="11"/>
      <c r="U30008" s="9"/>
      <c r="X30008" s="9"/>
    </row>
    <row r="30009">
      <c r="D30009" s="9"/>
      <c r="G30009" s="9"/>
      <c r="J30009" s="11"/>
      <c r="U30009" s="9"/>
      <c r="X30009" s="9"/>
    </row>
    <row r="30010">
      <c r="D30010" s="9"/>
      <c r="G30010" s="9"/>
      <c r="J30010" s="11"/>
      <c r="U30010" s="9"/>
      <c r="X30010" s="9"/>
    </row>
    <row r="30011">
      <c r="D30011" s="9"/>
      <c r="G30011" s="9"/>
      <c r="J30011" s="11"/>
      <c r="U30011" s="9"/>
      <c r="X30011" s="9"/>
    </row>
    <row r="30012">
      <c r="D30012" s="9"/>
      <c r="G30012" s="9"/>
      <c r="J30012" s="11"/>
      <c r="U30012" s="9"/>
      <c r="X30012" s="9"/>
    </row>
    <row r="30013">
      <c r="D30013" s="9"/>
      <c r="G30013" s="9"/>
      <c r="J30013" s="11"/>
      <c r="U30013" s="9"/>
      <c r="X30013" s="9"/>
    </row>
    <row r="30014">
      <c r="D30014" s="9"/>
      <c r="G30014" s="9"/>
      <c r="J30014" s="11"/>
      <c r="U30014" s="9"/>
      <c r="X30014" s="9"/>
    </row>
    <row r="30015">
      <c r="D30015" s="9"/>
      <c r="G30015" s="9"/>
      <c r="J30015" s="11"/>
      <c r="U30015" s="9"/>
      <c r="X30015" s="9"/>
    </row>
    <row r="30016">
      <c r="D30016" s="9"/>
      <c r="G30016" s="9"/>
      <c r="J30016" s="11"/>
      <c r="U30016" s="9"/>
      <c r="X30016" s="9"/>
    </row>
    <row r="30017">
      <c r="D30017" s="9"/>
      <c r="G30017" s="9"/>
      <c r="J30017" s="11"/>
      <c r="U30017" s="9"/>
      <c r="X30017" s="9"/>
    </row>
    <row r="30018">
      <c r="D30018" s="9"/>
      <c r="G30018" s="9"/>
      <c r="J30018" s="11"/>
      <c r="U30018" s="9"/>
      <c r="X30018" s="9"/>
    </row>
    <row r="30019">
      <c r="D30019" s="9"/>
      <c r="G30019" s="9"/>
      <c r="J30019" s="11"/>
      <c r="U30019" s="9"/>
      <c r="X30019" s="9"/>
    </row>
    <row r="30020">
      <c r="D30020" s="9"/>
      <c r="G30020" s="9"/>
      <c r="J30020" s="11"/>
      <c r="U30020" s="9"/>
      <c r="X30020" s="9"/>
    </row>
    <row r="30021">
      <c r="D30021" s="9"/>
      <c r="G30021" s="9"/>
      <c r="J30021" s="11"/>
      <c r="U30021" s="9"/>
      <c r="X30021" s="9"/>
    </row>
    <row r="30022">
      <c r="D30022" s="9"/>
      <c r="G30022" s="9"/>
      <c r="J30022" s="11"/>
      <c r="U30022" s="9"/>
      <c r="X30022" s="9"/>
    </row>
    <row r="30023">
      <c r="D30023" s="9"/>
      <c r="G30023" s="9"/>
      <c r="J30023" s="11"/>
      <c r="U30023" s="9"/>
      <c r="X30023" s="9"/>
    </row>
    <row r="30024">
      <c r="D30024" s="9"/>
      <c r="G30024" s="9"/>
      <c r="J30024" s="11"/>
      <c r="U30024" s="9"/>
      <c r="X30024" s="9"/>
    </row>
    <row r="30025">
      <c r="D30025" s="9"/>
      <c r="G30025" s="9"/>
      <c r="J30025" s="11"/>
      <c r="U30025" s="9"/>
      <c r="X30025" s="9"/>
    </row>
    <row r="30026">
      <c r="D30026" s="9"/>
      <c r="G30026" s="9"/>
      <c r="J30026" s="11"/>
      <c r="U30026" s="9"/>
      <c r="X30026" s="9"/>
    </row>
    <row r="30027">
      <c r="D30027" s="9"/>
      <c r="G30027" s="9"/>
      <c r="J30027" s="11"/>
      <c r="U30027" s="9"/>
      <c r="X30027" s="9"/>
    </row>
    <row r="30028">
      <c r="D30028" s="9"/>
      <c r="G30028" s="9"/>
      <c r="J30028" s="11"/>
      <c r="U30028" s="9"/>
      <c r="X30028" s="9"/>
    </row>
    <row r="30029">
      <c r="D30029" s="9"/>
      <c r="G30029" s="9"/>
      <c r="J30029" s="11"/>
      <c r="U30029" s="9"/>
      <c r="X30029" s="9"/>
    </row>
    <row r="30030">
      <c r="D30030" s="9"/>
      <c r="G30030" s="9"/>
      <c r="J30030" s="11"/>
      <c r="U30030" s="9"/>
      <c r="X30030" s="9"/>
    </row>
    <row r="30031">
      <c r="D30031" s="9"/>
      <c r="G30031" s="9"/>
      <c r="J30031" s="11"/>
      <c r="U30031" s="9"/>
      <c r="X30031" s="9"/>
    </row>
    <row r="30032">
      <c r="D30032" s="9"/>
      <c r="G30032" s="9"/>
      <c r="J30032" s="11"/>
      <c r="U30032" s="9"/>
      <c r="X30032" s="9"/>
    </row>
    <row r="30033">
      <c r="D30033" s="9"/>
      <c r="G30033" s="9"/>
      <c r="J30033" s="11"/>
      <c r="U30033" s="9"/>
      <c r="X30033" s="9"/>
    </row>
    <row r="30034">
      <c r="D30034" s="9"/>
      <c r="G30034" s="9"/>
      <c r="J30034" s="11"/>
      <c r="U30034" s="9"/>
      <c r="X30034" s="9"/>
    </row>
    <row r="30035">
      <c r="D30035" s="9"/>
      <c r="G30035" s="9"/>
      <c r="J30035" s="11"/>
      <c r="U30035" s="9"/>
      <c r="X30035" s="9"/>
    </row>
    <row r="30036">
      <c r="D30036" s="9"/>
      <c r="G30036" s="9"/>
      <c r="J30036" s="11"/>
      <c r="U30036" s="9"/>
      <c r="X30036" s="9"/>
    </row>
    <row r="30037">
      <c r="D30037" s="9"/>
      <c r="G30037" s="9"/>
      <c r="J30037" s="11"/>
      <c r="U30037" s="9"/>
      <c r="X30037" s="9"/>
    </row>
    <row r="30038">
      <c r="D30038" s="9"/>
      <c r="G30038" s="9"/>
      <c r="J30038" s="11"/>
      <c r="U30038" s="9"/>
      <c r="X30038" s="9"/>
    </row>
    <row r="30039">
      <c r="D30039" s="9"/>
      <c r="G30039" s="9"/>
      <c r="J30039" s="11"/>
      <c r="U30039" s="9"/>
      <c r="X30039" s="9"/>
    </row>
    <row r="30040">
      <c r="D30040" s="9"/>
      <c r="G30040" s="9"/>
      <c r="J30040" s="11"/>
      <c r="U30040" s="9"/>
      <c r="X30040" s="9"/>
    </row>
    <row r="30041">
      <c r="D30041" s="9"/>
      <c r="G30041" s="9"/>
      <c r="J30041" s="11"/>
      <c r="U30041" s="9"/>
      <c r="X30041" s="9"/>
    </row>
    <row r="30042">
      <c r="D30042" s="9"/>
      <c r="G30042" s="9"/>
      <c r="J30042" s="11"/>
      <c r="U30042" s="9"/>
      <c r="X30042" s="9"/>
    </row>
    <row r="30043">
      <c r="D30043" s="9"/>
      <c r="G30043" s="9"/>
      <c r="J30043" s="11"/>
      <c r="U30043" s="9"/>
      <c r="X30043" s="9"/>
    </row>
    <row r="30044">
      <c r="D30044" s="9"/>
      <c r="G30044" s="9"/>
      <c r="J30044" s="11"/>
      <c r="U30044" s="9"/>
      <c r="X30044" s="9"/>
    </row>
    <row r="30045">
      <c r="D30045" s="9"/>
      <c r="G30045" s="9"/>
      <c r="J30045" s="11"/>
      <c r="U30045" s="9"/>
      <c r="X30045" s="9"/>
    </row>
    <row r="30046">
      <c r="D30046" s="9"/>
      <c r="G30046" s="9"/>
      <c r="J30046" s="11"/>
      <c r="U30046" s="9"/>
      <c r="X30046" s="9"/>
    </row>
    <row r="30047">
      <c r="D30047" s="9"/>
      <c r="G30047" s="9"/>
      <c r="J30047" s="11"/>
      <c r="U30047" s="9"/>
      <c r="X30047" s="9"/>
    </row>
    <row r="30048">
      <c r="D30048" s="9"/>
      <c r="G30048" s="9"/>
      <c r="J30048" s="11"/>
      <c r="U30048" s="9"/>
      <c r="X30048" s="9"/>
    </row>
    <row r="30049">
      <c r="D30049" s="9"/>
      <c r="G30049" s="9"/>
      <c r="J30049" s="11"/>
      <c r="U30049" s="9"/>
      <c r="X30049" s="9"/>
    </row>
    <row r="30050">
      <c r="D30050" s="9"/>
      <c r="G30050" s="9"/>
      <c r="J30050" s="11"/>
      <c r="U30050" s="9"/>
      <c r="X30050" s="9"/>
    </row>
    <row r="30051">
      <c r="D30051" s="9"/>
      <c r="G30051" s="9"/>
      <c r="J30051" s="11"/>
      <c r="U30051" s="9"/>
      <c r="X30051" s="9"/>
    </row>
    <row r="30052">
      <c r="D30052" s="9"/>
      <c r="G30052" s="9"/>
      <c r="J30052" s="11"/>
      <c r="U30052" s="9"/>
      <c r="X30052" s="9"/>
    </row>
    <row r="30053">
      <c r="D30053" s="9"/>
      <c r="G30053" s="9"/>
      <c r="J30053" s="11"/>
      <c r="U30053" s="9"/>
      <c r="X30053" s="9"/>
    </row>
    <row r="30054">
      <c r="D30054" s="9"/>
      <c r="G30054" s="9"/>
      <c r="J30054" s="11"/>
      <c r="U30054" s="9"/>
      <c r="X30054" s="9"/>
    </row>
    <row r="30055">
      <c r="D30055" s="9"/>
      <c r="G30055" s="9"/>
      <c r="J30055" s="11"/>
      <c r="U30055" s="9"/>
      <c r="X30055" s="9"/>
    </row>
    <row r="30056">
      <c r="D30056" s="9"/>
      <c r="G30056" s="9"/>
      <c r="J30056" s="11"/>
      <c r="U30056" s="9"/>
      <c r="X30056" s="9"/>
    </row>
    <row r="30057">
      <c r="D30057" s="9"/>
      <c r="G30057" s="9"/>
      <c r="J30057" s="11"/>
      <c r="U30057" s="9"/>
      <c r="X30057" s="9"/>
    </row>
    <row r="30058">
      <c r="D30058" s="9"/>
      <c r="G30058" s="9"/>
      <c r="J30058" s="11"/>
      <c r="U30058" s="9"/>
      <c r="X30058" s="9"/>
    </row>
    <row r="30059">
      <c r="D30059" s="9"/>
      <c r="G30059" s="9"/>
      <c r="J30059" s="11"/>
      <c r="U30059" s="9"/>
      <c r="X30059" s="9"/>
    </row>
    <row r="30060">
      <c r="D30060" s="9"/>
      <c r="G30060" s="9"/>
      <c r="J30060" s="11"/>
      <c r="U30060" s="9"/>
      <c r="X30060" s="9"/>
    </row>
    <row r="30061">
      <c r="D30061" s="9"/>
      <c r="G30061" s="9"/>
      <c r="J30061" s="11"/>
      <c r="U30061" s="9"/>
      <c r="X30061" s="9"/>
    </row>
    <row r="30062">
      <c r="D30062" s="9"/>
      <c r="G30062" s="9"/>
      <c r="J30062" s="11"/>
      <c r="U30062" s="9"/>
      <c r="X30062" s="9"/>
    </row>
    <row r="30063">
      <c r="D30063" s="9"/>
      <c r="G30063" s="9"/>
      <c r="J30063" s="11"/>
      <c r="U30063" s="9"/>
      <c r="X30063" s="9"/>
    </row>
    <row r="30064">
      <c r="D30064" s="9"/>
      <c r="G30064" s="9"/>
      <c r="J30064" s="11"/>
      <c r="U30064" s="9"/>
      <c r="X30064" s="9"/>
    </row>
    <row r="30065">
      <c r="D30065" s="9"/>
      <c r="G30065" s="9"/>
      <c r="J30065" s="11"/>
      <c r="U30065" s="9"/>
      <c r="X30065" s="9"/>
    </row>
    <row r="30066">
      <c r="D30066" s="9"/>
      <c r="G30066" s="9"/>
      <c r="J30066" s="11"/>
      <c r="U30066" s="9"/>
      <c r="X30066" s="9"/>
    </row>
    <row r="30067">
      <c r="D30067" s="9"/>
      <c r="G30067" s="9"/>
      <c r="J30067" s="11"/>
      <c r="U30067" s="9"/>
      <c r="X30067" s="9"/>
    </row>
    <row r="30068">
      <c r="D30068" s="9"/>
      <c r="G30068" s="9"/>
      <c r="J30068" s="11"/>
      <c r="U30068" s="9"/>
      <c r="X30068" s="9"/>
    </row>
    <row r="30069">
      <c r="D30069" s="9"/>
      <c r="G30069" s="9"/>
      <c r="J30069" s="11"/>
      <c r="U30069" s="9"/>
      <c r="X30069" s="9"/>
    </row>
    <row r="30070">
      <c r="D30070" s="9"/>
      <c r="G30070" s="9"/>
      <c r="J30070" s="11"/>
      <c r="U30070" s="9"/>
      <c r="X30070" s="9"/>
    </row>
    <row r="30071">
      <c r="D30071" s="9"/>
      <c r="G30071" s="9"/>
      <c r="J30071" s="11"/>
      <c r="U30071" s="9"/>
      <c r="X30071" s="9"/>
    </row>
    <row r="30072">
      <c r="D30072" s="9"/>
      <c r="G30072" s="9"/>
      <c r="J30072" s="11"/>
      <c r="U30072" s="9"/>
      <c r="X30072" s="9"/>
    </row>
    <row r="30073">
      <c r="D30073" s="9"/>
      <c r="G30073" s="9"/>
      <c r="J30073" s="11"/>
      <c r="U30073" s="9"/>
      <c r="X30073" s="9"/>
    </row>
    <row r="30074">
      <c r="D30074" s="9"/>
      <c r="G30074" s="9"/>
      <c r="J30074" s="11"/>
      <c r="U30074" s="9"/>
      <c r="X30074" s="9"/>
    </row>
    <row r="30075">
      <c r="D30075" s="9"/>
      <c r="G30075" s="9"/>
      <c r="J30075" s="11"/>
      <c r="U30075" s="9"/>
      <c r="X30075" s="9"/>
    </row>
    <row r="30076">
      <c r="D30076" s="9"/>
      <c r="G30076" s="9"/>
      <c r="J30076" s="11"/>
      <c r="U30076" s="9"/>
      <c r="X30076" s="9"/>
    </row>
    <row r="30077">
      <c r="D30077" s="9"/>
      <c r="G30077" s="9"/>
      <c r="J30077" s="11"/>
      <c r="U30077" s="9"/>
      <c r="X30077" s="9"/>
    </row>
    <row r="30078">
      <c r="D30078" s="9"/>
      <c r="G30078" s="9"/>
      <c r="J30078" s="11"/>
      <c r="U30078" s="9"/>
      <c r="X30078" s="9"/>
    </row>
    <row r="30079">
      <c r="D30079" s="9"/>
      <c r="G30079" s="9"/>
      <c r="J30079" s="11"/>
      <c r="U30079" s="9"/>
      <c r="X30079" s="9"/>
    </row>
    <row r="30080">
      <c r="D30080" s="9"/>
      <c r="G30080" s="9"/>
      <c r="J30080" s="11"/>
      <c r="U30080" s="9"/>
      <c r="X30080" s="9"/>
    </row>
    <row r="30081">
      <c r="D30081" s="9"/>
      <c r="G30081" s="9"/>
      <c r="J30081" s="11"/>
      <c r="U30081" s="9"/>
      <c r="X30081" s="9"/>
    </row>
    <row r="30082">
      <c r="D30082" s="9"/>
      <c r="G30082" s="9"/>
      <c r="J30082" s="11"/>
      <c r="U30082" s="9"/>
      <c r="X30082" s="9"/>
    </row>
    <row r="30083">
      <c r="D30083" s="9"/>
      <c r="G30083" s="9"/>
      <c r="J30083" s="11"/>
      <c r="U30083" s="9"/>
      <c r="X30083" s="9"/>
    </row>
    <row r="30084">
      <c r="D30084" s="9"/>
      <c r="G30084" s="9"/>
      <c r="J30084" s="11"/>
      <c r="U30084" s="9"/>
      <c r="X30084" s="9"/>
    </row>
    <row r="30085">
      <c r="D30085" s="9"/>
      <c r="G30085" s="9"/>
      <c r="J30085" s="11"/>
      <c r="U30085" s="9"/>
      <c r="X30085" s="9"/>
    </row>
    <row r="30086">
      <c r="D30086" s="9"/>
      <c r="G30086" s="9"/>
      <c r="J30086" s="11"/>
      <c r="U30086" s="9"/>
      <c r="X30086" s="9"/>
    </row>
    <row r="30087">
      <c r="D30087" s="9"/>
      <c r="G30087" s="9"/>
      <c r="J30087" s="11"/>
      <c r="U30087" s="9"/>
      <c r="X30087" s="9"/>
    </row>
    <row r="30088">
      <c r="D30088" s="9"/>
      <c r="G30088" s="9"/>
      <c r="J30088" s="11"/>
      <c r="U30088" s="9"/>
      <c r="X30088" s="9"/>
    </row>
    <row r="30089">
      <c r="D30089" s="9"/>
      <c r="G30089" s="9"/>
      <c r="J30089" s="11"/>
      <c r="U30089" s="9"/>
      <c r="X30089" s="9"/>
    </row>
    <row r="30090">
      <c r="D30090" s="9"/>
      <c r="G30090" s="9"/>
      <c r="J30090" s="11"/>
      <c r="U30090" s="9"/>
      <c r="X30090" s="9"/>
    </row>
    <row r="30091">
      <c r="D30091" s="9"/>
      <c r="G30091" s="9"/>
      <c r="J30091" s="11"/>
      <c r="U30091" s="9"/>
      <c r="X30091" s="9"/>
    </row>
    <row r="30092">
      <c r="D30092" s="9"/>
      <c r="G30092" s="9"/>
      <c r="J30092" s="11"/>
      <c r="U30092" s="9"/>
      <c r="X30092" s="9"/>
    </row>
    <row r="30093">
      <c r="D30093" s="9"/>
      <c r="G30093" s="9"/>
      <c r="J30093" s="11"/>
      <c r="U30093" s="9"/>
      <c r="X30093" s="9"/>
    </row>
    <row r="30094">
      <c r="D30094" s="9"/>
      <c r="G30094" s="9"/>
      <c r="J30094" s="11"/>
      <c r="U30094" s="9"/>
      <c r="X30094" s="9"/>
    </row>
    <row r="30095">
      <c r="D30095" s="9"/>
      <c r="G30095" s="9"/>
      <c r="J30095" s="11"/>
      <c r="U30095" s="9"/>
      <c r="X30095" s="9"/>
    </row>
    <row r="30096">
      <c r="D30096" s="9"/>
      <c r="G30096" s="9"/>
      <c r="J30096" s="11"/>
      <c r="U30096" s="9"/>
      <c r="X30096" s="9"/>
    </row>
    <row r="30097">
      <c r="D30097" s="9"/>
      <c r="G30097" s="9"/>
      <c r="J30097" s="11"/>
      <c r="U30097" s="9"/>
      <c r="X30097" s="9"/>
    </row>
    <row r="30098">
      <c r="D30098" s="9"/>
      <c r="G30098" s="9"/>
      <c r="J30098" s="11"/>
      <c r="U30098" s="9"/>
      <c r="X30098" s="9"/>
    </row>
    <row r="30099">
      <c r="D30099" s="9"/>
      <c r="G30099" s="9"/>
      <c r="J30099" s="11"/>
      <c r="U30099" s="9"/>
      <c r="X30099" s="9"/>
    </row>
    <row r="30100">
      <c r="D30100" s="9"/>
      <c r="G30100" s="9"/>
      <c r="J30100" s="11"/>
      <c r="U30100" s="9"/>
      <c r="X30100" s="9"/>
    </row>
    <row r="30101">
      <c r="D30101" s="9"/>
      <c r="G30101" s="9"/>
      <c r="J30101" s="11"/>
      <c r="U30101" s="9"/>
      <c r="X30101" s="9"/>
    </row>
    <row r="30102">
      <c r="D30102" s="9"/>
      <c r="G30102" s="9"/>
      <c r="J30102" s="11"/>
      <c r="U30102" s="9"/>
      <c r="X30102" s="9"/>
    </row>
    <row r="30103">
      <c r="D30103" s="9"/>
      <c r="G30103" s="9"/>
      <c r="J30103" s="11"/>
      <c r="U30103" s="9"/>
      <c r="X30103" s="9"/>
    </row>
    <row r="30104">
      <c r="D30104" s="9"/>
      <c r="G30104" s="9"/>
      <c r="J30104" s="11"/>
      <c r="U30104" s="9"/>
      <c r="X30104" s="9"/>
    </row>
    <row r="30105">
      <c r="D30105" s="9"/>
      <c r="G30105" s="9"/>
      <c r="J30105" s="11"/>
      <c r="U30105" s="9"/>
      <c r="X30105" s="9"/>
    </row>
    <row r="30106">
      <c r="D30106" s="9"/>
      <c r="G30106" s="9"/>
      <c r="J30106" s="11"/>
      <c r="U30106" s="9"/>
      <c r="X30106" s="9"/>
    </row>
    <row r="30107">
      <c r="D30107" s="9"/>
      <c r="G30107" s="9"/>
      <c r="J30107" s="11"/>
      <c r="U30107" s="9"/>
      <c r="X30107" s="9"/>
    </row>
    <row r="30108">
      <c r="D30108" s="9"/>
      <c r="G30108" s="9"/>
      <c r="J30108" s="11"/>
      <c r="U30108" s="9"/>
      <c r="X30108" s="9"/>
    </row>
    <row r="30109">
      <c r="D30109" s="9"/>
      <c r="G30109" s="9"/>
      <c r="J30109" s="11"/>
      <c r="U30109" s="9"/>
      <c r="X30109" s="9"/>
    </row>
    <row r="30110">
      <c r="D30110" s="9"/>
      <c r="G30110" s="9"/>
      <c r="J30110" s="11"/>
      <c r="U30110" s="9"/>
      <c r="X30110" s="9"/>
    </row>
    <row r="30111">
      <c r="D30111" s="9"/>
      <c r="G30111" s="9"/>
      <c r="J30111" s="11"/>
      <c r="U30111" s="9"/>
      <c r="X30111" s="9"/>
    </row>
    <row r="30112">
      <c r="D30112" s="9"/>
      <c r="G30112" s="9"/>
      <c r="J30112" s="11"/>
      <c r="U30112" s="9"/>
      <c r="X30112" s="9"/>
    </row>
    <row r="30113">
      <c r="D30113" s="9"/>
      <c r="G30113" s="9"/>
      <c r="J30113" s="11"/>
      <c r="U30113" s="9"/>
      <c r="X30113" s="9"/>
    </row>
    <row r="30114">
      <c r="D30114" s="9"/>
      <c r="G30114" s="9"/>
      <c r="J30114" s="11"/>
      <c r="U30114" s="9"/>
      <c r="X30114" s="9"/>
    </row>
    <row r="30115">
      <c r="D30115" s="9"/>
      <c r="G30115" s="9"/>
      <c r="J30115" s="11"/>
      <c r="U30115" s="9"/>
      <c r="X30115" s="9"/>
    </row>
    <row r="30116">
      <c r="D30116" s="9"/>
      <c r="G30116" s="9"/>
      <c r="J30116" s="11"/>
      <c r="U30116" s="9"/>
      <c r="X30116" s="9"/>
    </row>
    <row r="30117">
      <c r="D30117" s="9"/>
      <c r="G30117" s="9"/>
      <c r="J30117" s="11"/>
      <c r="U30117" s="9"/>
      <c r="X30117" s="9"/>
    </row>
    <row r="30118">
      <c r="D30118" s="9"/>
      <c r="G30118" s="9"/>
      <c r="J30118" s="11"/>
      <c r="U30118" s="9"/>
      <c r="X30118" s="9"/>
    </row>
    <row r="30119">
      <c r="D30119" s="9"/>
      <c r="G30119" s="9"/>
      <c r="J30119" s="11"/>
      <c r="U30119" s="9"/>
      <c r="X30119" s="9"/>
    </row>
    <row r="30120">
      <c r="D30120" s="9"/>
      <c r="G30120" s="9"/>
      <c r="J30120" s="11"/>
      <c r="U30120" s="9"/>
      <c r="X30120" s="9"/>
    </row>
    <row r="30121">
      <c r="D30121" s="9"/>
      <c r="G30121" s="9"/>
      <c r="J30121" s="11"/>
      <c r="U30121" s="9"/>
      <c r="X30121" s="9"/>
    </row>
    <row r="30122">
      <c r="D30122" s="9"/>
      <c r="G30122" s="9"/>
      <c r="J30122" s="11"/>
      <c r="U30122" s="9"/>
      <c r="X30122" s="9"/>
    </row>
    <row r="30123">
      <c r="D30123" s="9"/>
      <c r="G30123" s="9"/>
      <c r="J30123" s="11"/>
      <c r="U30123" s="9"/>
      <c r="X30123" s="9"/>
    </row>
    <row r="30124">
      <c r="D30124" s="9"/>
      <c r="G30124" s="9"/>
      <c r="J30124" s="11"/>
      <c r="U30124" s="9"/>
      <c r="X30124" s="9"/>
    </row>
    <row r="30125">
      <c r="D30125" s="9"/>
      <c r="G30125" s="9"/>
      <c r="J30125" s="11"/>
      <c r="U30125" s="9"/>
      <c r="X30125" s="9"/>
    </row>
    <row r="30126">
      <c r="D30126" s="9"/>
      <c r="G30126" s="9"/>
      <c r="J30126" s="11"/>
      <c r="U30126" s="9"/>
      <c r="X30126" s="9"/>
    </row>
    <row r="30127">
      <c r="D30127" s="9"/>
      <c r="G30127" s="9"/>
      <c r="J30127" s="11"/>
      <c r="U30127" s="9"/>
      <c r="X30127" s="9"/>
    </row>
    <row r="30128">
      <c r="D30128" s="9"/>
      <c r="G30128" s="9"/>
      <c r="J30128" s="11"/>
      <c r="U30128" s="9"/>
      <c r="X30128" s="9"/>
    </row>
    <row r="30129">
      <c r="D30129" s="9"/>
      <c r="G30129" s="9"/>
      <c r="J30129" s="11"/>
      <c r="U30129" s="9"/>
      <c r="X30129" s="9"/>
    </row>
    <row r="30130">
      <c r="D30130" s="9"/>
      <c r="G30130" s="9"/>
      <c r="J30130" s="11"/>
      <c r="U30130" s="9"/>
      <c r="X30130" s="9"/>
    </row>
    <row r="30131">
      <c r="D30131" s="9"/>
      <c r="G30131" s="9"/>
      <c r="J30131" s="11"/>
      <c r="U30131" s="9"/>
      <c r="X30131" s="9"/>
    </row>
    <row r="30132">
      <c r="D30132" s="9"/>
      <c r="G30132" s="9"/>
      <c r="J30132" s="11"/>
      <c r="U30132" s="9"/>
      <c r="X30132" s="9"/>
    </row>
    <row r="30133">
      <c r="D30133" s="9"/>
      <c r="G30133" s="9"/>
      <c r="J30133" s="11"/>
      <c r="U30133" s="9"/>
      <c r="X30133" s="9"/>
    </row>
    <row r="30134">
      <c r="D30134" s="9"/>
      <c r="G30134" s="9"/>
      <c r="J30134" s="11"/>
      <c r="U30134" s="9"/>
      <c r="X30134" s="9"/>
    </row>
    <row r="30135">
      <c r="D30135" s="9"/>
      <c r="G30135" s="9"/>
      <c r="J30135" s="11"/>
      <c r="U30135" s="9"/>
      <c r="X30135" s="9"/>
    </row>
    <row r="30136">
      <c r="D30136" s="9"/>
      <c r="G30136" s="9"/>
      <c r="J30136" s="11"/>
      <c r="U30136" s="9"/>
      <c r="X30136" s="9"/>
    </row>
    <row r="30137">
      <c r="D30137" s="9"/>
      <c r="G30137" s="9"/>
      <c r="J30137" s="11"/>
      <c r="U30137" s="9"/>
      <c r="X30137" s="9"/>
    </row>
    <row r="30138">
      <c r="D30138" s="9"/>
      <c r="G30138" s="9"/>
      <c r="J30138" s="11"/>
      <c r="U30138" s="9"/>
      <c r="X30138" s="9"/>
    </row>
    <row r="30139">
      <c r="D30139" s="9"/>
      <c r="G30139" s="9"/>
      <c r="J30139" s="11"/>
      <c r="U30139" s="9"/>
      <c r="X30139" s="9"/>
    </row>
    <row r="30140">
      <c r="D30140" s="9"/>
      <c r="G30140" s="9"/>
      <c r="J30140" s="11"/>
      <c r="U30140" s="9"/>
      <c r="X30140" s="9"/>
    </row>
    <row r="30141">
      <c r="D30141" s="9"/>
      <c r="G30141" s="9"/>
      <c r="J30141" s="11"/>
      <c r="U30141" s="9"/>
      <c r="X30141" s="9"/>
    </row>
    <row r="30142">
      <c r="D30142" s="9"/>
      <c r="G30142" s="9"/>
      <c r="J30142" s="11"/>
      <c r="U30142" s="9"/>
      <c r="X30142" s="9"/>
    </row>
    <row r="30143">
      <c r="D30143" s="9"/>
      <c r="G30143" s="9"/>
      <c r="J30143" s="11"/>
      <c r="U30143" s="9"/>
      <c r="X30143" s="9"/>
    </row>
    <row r="30144">
      <c r="D30144" s="9"/>
      <c r="G30144" s="9"/>
      <c r="J30144" s="11"/>
      <c r="U30144" s="9"/>
      <c r="X30144" s="9"/>
    </row>
    <row r="30145">
      <c r="D30145" s="9"/>
      <c r="G30145" s="9"/>
      <c r="J30145" s="11"/>
      <c r="U30145" s="9"/>
      <c r="X30145" s="9"/>
    </row>
    <row r="30146">
      <c r="D30146" s="9"/>
      <c r="G30146" s="9"/>
      <c r="J30146" s="11"/>
      <c r="U30146" s="9"/>
      <c r="X30146" s="9"/>
    </row>
    <row r="30147">
      <c r="D30147" s="9"/>
      <c r="G30147" s="9"/>
      <c r="J30147" s="11"/>
      <c r="U30147" s="9"/>
      <c r="X30147" s="9"/>
    </row>
    <row r="30148">
      <c r="D30148" s="9"/>
      <c r="G30148" s="9"/>
      <c r="J30148" s="11"/>
      <c r="U30148" s="9"/>
      <c r="X30148" s="9"/>
    </row>
    <row r="30149">
      <c r="D30149" s="9"/>
      <c r="G30149" s="9"/>
      <c r="J30149" s="11"/>
      <c r="U30149" s="9"/>
      <c r="X30149" s="9"/>
    </row>
    <row r="30150">
      <c r="D30150" s="9"/>
      <c r="G30150" s="9"/>
      <c r="J30150" s="11"/>
      <c r="U30150" s="9"/>
      <c r="X30150" s="9"/>
    </row>
    <row r="30151">
      <c r="D30151" s="9"/>
      <c r="G30151" s="9"/>
      <c r="J30151" s="11"/>
      <c r="U30151" s="9"/>
      <c r="X30151" s="9"/>
    </row>
    <row r="30152">
      <c r="D30152" s="9"/>
      <c r="G30152" s="9"/>
      <c r="J30152" s="11"/>
      <c r="U30152" s="9"/>
      <c r="X30152" s="9"/>
    </row>
    <row r="30153">
      <c r="D30153" s="9"/>
      <c r="G30153" s="9"/>
      <c r="J30153" s="11"/>
      <c r="U30153" s="9"/>
      <c r="X30153" s="9"/>
    </row>
    <row r="30154">
      <c r="D30154" s="9"/>
      <c r="G30154" s="9"/>
      <c r="J30154" s="11"/>
      <c r="U30154" s="9"/>
      <c r="X30154" s="9"/>
    </row>
    <row r="30155">
      <c r="D30155" s="9"/>
      <c r="G30155" s="9"/>
      <c r="J30155" s="11"/>
      <c r="U30155" s="9"/>
      <c r="X30155" s="9"/>
    </row>
    <row r="30156">
      <c r="D30156" s="9"/>
      <c r="G30156" s="9"/>
      <c r="J30156" s="11"/>
      <c r="U30156" s="9"/>
      <c r="X30156" s="9"/>
    </row>
    <row r="30157">
      <c r="D30157" s="9"/>
      <c r="G30157" s="9"/>
      <c r="J30157" s="11"/>
      <c r="U30157" s="9"/>
      <c r="X30157" s="9"/>
    </row>
    <row r="30158">
      <c r="D30158" s="9"/>
      <c r="G30158" s="9"/>
      <c r="J30158" s="11"/>
      <c r="U30158" s="9"/>
      <c r="X30158" s="9"/>
    </row>
    <row r="30159">
      <c r="D30159" s="9"/>
      <c r="G30159" s="9"/>
      <c r="J30159" s="11"/>
      <c r="U30159" s="9"/>
      <c r="X30159" s="9"/>
    </row>
    <row r="30160">
      <c r="D30160" s="9"/>
      <c r="G30160" s="9"/>
      <c r="J30160" s="11"/>
      <c r="U30160" s="9"/>
      <c r="X30160" s="9"/>
    </row>
    <row r="30161">
      <c r="D30161" s="9"/>
      <c r="G30161" s="9"/>
      <c r="J30161" s="11"/>
      <c r="U30161" s="9"/>
      <c r="X30161" s="9"/>
    </row>
    <row r="30162">
      <c r="D30162" s="9"/>
      <c r="G30162" s="9"/>
      <c r="J30162" s="11"/>
      <c r="U30162" s="9"/>
      <c r="X30162" s="9"/>
    </row>
    <row r="30163">
      <c r="D30163" s="9"/>
      <c r="G30163" s="9"/>
      <c r="J30163" s="11"/>
      <c r="U30163" s="9"/>
      <c r="X30163" s="9"/>
    </row>
    <row r="30164">
      <c r="D30164" s="9"/>
      <c r="G30164" s="9"/>
      <c r="J30164" s="11"/>
      <c r="U30164" s="9"/>
      <c r="X30164" s="9"/>
    </row>
    <row r="30165">
      <c r="D30165" s="9"/>
      <c r="G30165" s="9"/>
      <c r="J30165" s="11"/>
      <c r="U30165" s="9"/>
      <c r="X30165" s="9"/>
    </row>
    <row r="30166">
      <c r="D30166" s="9"/>
      <c r="G30166" s="9"/>
      <c r="J30166" s="11"/>
      <c r="U30166" s="9"/>
      <c r="X30166" s="9"/>
    </row>
    <row r="30167">
      <c r="D30167" s="9"/>
      <c r="G30167" s="9"/>
      <c r="J30167" s="11"/>
      <c r="U30167" s="9"/>
      <c r="X30167" s="9"/>
    </row>
    <row r="30168">
      <c r="D30168" s="9"/>
      <c r="G30168" s="9"/>
      <c r="J30168" s="11"/>
      <c r="U30168" s="9"/>
      <c r="X30168" s="9"/>
    </row>
    <row r="30169">
      <c r="D30169" s="9"/>
      <c r="G30169" s="9"/>
      <c r="J30169" s="11"/>
      <c r="U30169" s="9"/>
      <c r="X30169" s="9"/>
    </row>
    <row r="30170">
      <c r="D30170" s="9"/>
      <c r="G30170" s="9"/>
      <c r="J30170" s="11"/>
      <c r="U30170" s="9"/>
      <c r="X30170" s="9"/>
    </row>
    <row r="30171">
      <c r="D30171" s="9"/>
      <c r="G30171" s="9"/>
      <c r="J30171" s="11"/>
      <c r="U30171" s="9"/>
      <c r="X30171" s="9"/>
    </row>
    <row r="30172">
      <c r="D30172" s="9"/>
      <c r="G30172" s="9"/>
      <c r="J30172" s="11"/>
      <c r="U30172" s="9"/>
      <c r="X30172" s="9"/>
    </row>
    <row r="30173">
      <c r="D30173" s="9"/>
      <c r="G30173" s="9"/>
      <c r="J30173" s="11"/>
      <c r="U30173" s="9"/>
      <c r="X30173" s="9"/>
    </row>
    <row r="30174">
      <c r="D30174" s="9"/>
      <c r="G30174" s="9"/>
      <c r="J30174" s="11"/>
      <c r="U30174" s="9"/>
      <c r="X30174" s="9"/>
    </row>
    <row r="30175">
      <c r="D30175" s="9"/>
      <c r="G30175" s="9"/>
      <c r="J30175" s="11"/>
      <c r="U30175" s="9"/>
      <c r="X30175" s="9"/>
    </row>
    <row r="30176">
      <c r="D30176" s="9"/>
      <c r="G30176" s="9"/>
      <c r="J30176" s="11"/>
      <c r="U30176" s="9"/>
      <c r="X30176" s="9"/>
    </row>
    <row r="30177">
      <c r="D30177" s="9"/>
      <c r="G30177" s="9"/>
      <c r="J30177" s="11"/>
      <c r="U30177" s="9"/>
      <c r="X30177" s="9"/>
    </row>
    <row r="30178">
      <c r="D30178" s="9"/>
      <c r="G30178" s="9"/>
      <c r="J30178" s="11"/>
      <c r="U30178" s="9"/>
      <c r="X30178" s="9"/>
    </row>
    <row r="30179">
      <c r="D30179" s="9"/>
      <c r="G30179" s="9"/>
      <c r="J30179" s="11"/>
      <c r="U30179" s="9"/>
      <c r="X30179" s="9"/>
    </row>
    <row r="30180">
      <c r="D30180" s="9"/>
      <c r="G30180" s="9"/>
      <c r="J30180" s="11"/>
      <c r="U30180" s="9"/>
      <c r="X30180" s="9"/>
    </row>
    <row r="30181">
      <c r="D30181" s="9"/>
      <c r="G30181" s="9"/>
      <c r="J30181" s="11"/>
      <c r="U30181" s="9"/>
      <c r="X30181" s="9"/>
    </row>
    <row r="30182">
      <c r="D30182" s="9"/>
      <c r="G30182" s="9"/>
      <c r="J30182" s="11"/>
      <c r="U30182" s="9"/>
      <c r="X30182" s="9"/>
    </row>
    <row r="30183">
      <c r="D30183" s="9"/>
      <c r="G30183" s="9"/>
      <c r="J30183" s="11"/>
      <c r="U30183" s="9"/>
      <c r="X30183" s="9"/>
    </row>
    <row r="30184">
      <c r="D30184" s="9"/>
      <c r="G30184" s="9"/>
      <c r="J30184" s="11"/>
      <c r="U30184" s="9"/>
      <c r="X30184" s="9"/>
    </row>
    <row r="30185">
      <c r="D30185" s="9"/>
      <c r="G30185" s="9"/>
      <c r="J30185" s="11"/>
      <c r="U30185" s="9"/>
      <c r="X30185" s="9"/>
    </row>
    <row r="30186">
      <c r="D30186" s="9"/>
      <c r="G30186" s="9"/>
      <c r="J30186" s="11"/>
      <c r="U30186" s="9"/>
      <c r="X30186" s="9"/>
    </row>
    <row r="30187">
      <c r="D30187" s="9"/>
      <c r="G30187" s="9"/>
      <c r="J30187" s="11"/>
      <c r="U30187" s="9"/>
      <c r="X30187" s="9"/>
    </row>
    <row r="30188">
      <c r="D30188" s="9"/>
      <c r="G30188" s="9"/>
      <c r="J30188" s="11"/>
      <c r="U30188" s="9"/>
      <c r="X30188" s="9"/>
    </row>
    <row r="30189">
      <c r="D30189" s="9"/>
      <c r="G30189" s="9"/>
      <c r="J30189" s="11"/>
      <c r="U30189" s="9"/>
      <c r="X30189" s="9"/>
    </row>
    <row r="30190">
      <c r="D30190" s="9"/>
      <c r="G30190" s="9"/>
      <c r="J30190" s="11"/>
      <c r="U30190" s="9"/>
      <c r="X30190" s="9"/>
    </row>
    <row r="30191">
      <c r="D30191" s="9"/>
      <c r="G30191" s="9"/>
      <c r="J30191" s="11"/>
      <c r="U30191" s="9"/>
      <c r="X30191" s="9"/>
    </row>
    <row r="30192">
      <c r="D30192" s="9"/>
      <c r="G30192" s="9"/>
      <c r="J30192" s="11"/>
      <c r="U30192" s="9"/>
      <c r="X30192" s="9"/>
    </row>
    <row r="30193">
      <c r="D30193" s="9"/>
      <c r="G30193" s="9"/>
      <c r="J30193" s="11"/>
      <c r="U30193" s="9"/>
      <c r="X30193" s="9"/>
    </row>
    <row r="30194">
      <c r="D30194" s="9"/>
      <c r="G30194" s="9"/>
      <c r="J30194" s="11"/>
      <c r="U30194" s="9"/>
      <c r="X30194" s="9"/>
    </row>
    <row r="30195">
      <c r="D30195" s="9"/>
      <c r="G30195" s="9"/>
      <c r="J30195" s="11"/>
      <c r="U30195" s="9"/>
      <c r="X30195" s="9"/>
    </row>
    <row r="30196">
      <c r="D30196" s="9"/>
      <c r="G30196" s="9"/>
      <c r="J30196" s="11"/>
      <c r="U30196" s="9"/>
      <c r="X30196" s="9"/>
    </row>
    <row r="30197">
      <c r="D30197" s="9"/>
      <c r="G30197" s="9"/>
      <c r="J30197" s="11"/>
      <c r="U30197" s="9"/>
      <c r="X30197" s="9"/>
    </row>
    <row r="30198">
      <c r="D30198" s="9"/>
      <c r="G30198" s="9"/>
      <c r="J30198" s="11"/>
      <c r="U30198" s="9"/>
      <c r="X30198" s="9"/>
    </row>
    <row r="30199">
      <c r="D30199" s="9"/>
      <c r="G30199" s="9"/>
      <c r="J30199" s="11"/>
      <c r="U30199" s="9"/>
      <c r="X30199" s="9"/>
    </row>
    <row r="30200">
      <c r="D30200" s="9"/>
      <c r="G30200" s="9"/>
      <c r="J30200" s="11"/>
      <c r="U30200" s="9"/>
      <c r="X30200" s="9"/>
    </row>
    <row r="30201">
      <c r="D30201" s="9"/>
      <c r="G30201" s="9"/>
      <c r="J30201" s="11"/>
      <c r="U30201" s="9"/>
      <c r="X30201" s="9"/>
    </row>
    <row r="30202">
      <c r="D30202" s="9"/>
      <c r="G30202" s="9"/>
      <c r="J30202" s="11"/>
      <c r="U30202" s="9"/>
      <c r="X30202" s="9"/>
    </row>
    <row r="30203">
      <c r="D30203" s="9"/>
      <c r="G30203" s="9"/>
      <c r="J30203" s="11"/>
      <c r="U30203" s="9"/>
      <c r="X30203" s="9"/>
    </row>
    <row r="30204">
      <c r="D30204" s="9"/>
      <c r="G30204" s="9"/>
      <c r="J30204" s="11"/>
      <c r="U30204" s="9"/>
      <c r="X30204" s="9"/>
    </row>
    <row r="30205">
      <c r="D30205" s="9"/>
      <c r="G30205" s="9"/>
      <c r="J30205" s="11"/>
      <c r="U30205" s="9"/>
      <c r="X30205" s="9"/>
    </row>
    <row r="30206">
      <c r="D30206" s="9"/>
      <c r="G30206" s="9"/>
      <c r="J30206" s="11"/>
      <c r="U30206" s="9"/>
      <c r="X30206" s="9"/>
    </row>
    <row r="30207">
      <c r="D30207" s="9"/>
      <c r="G30207" s="9"/>
      <c r="J30207" s="11"/>
      <c r="U30207" s="9"/>
      <c r="X30207" s="9"/>
    </row>
    <row r="30208">
      <c r="D30208" s="9"/>
      <c r="G30208" s="9"/>
      <c r="J30208" s="11"/>
      <c r="U30208" s="9"/>
      <c r="X30208" s="9"/>
    </row>
    <row r="30209">
      <c r="D30209" s="9"/>
      <c r="G30209" s="9"/>
      <c r="J30209" s="11"/>
      <c r="U30209" s="9"/>
      <c r="X30209" s="9"/>
    </row>
    <row r="30210">
      <c r="D30210" s="9"/>
      <c r="G30210" s="9"/>
      <c r="J30210" s="11"/>
      <c r="U30210" s="9"/>
      <c r="X30210" s="9"/>
    </row>
    <row r="30211">
      <c r="D30211" s="9"/>
      <c r="G30211" s="9"/>
      <c r="J30211" s="11"/>
      <c r="U30211" s="9"/>
      <c r="X30211" s="9"/>
    </row>
    <row r="30212">
      <c r="D30212" s="9"/>
      <c r="G30212" s="9"/>
      <c r="J30212" s="11"/>
      <c r="U30212" s="9"/>
      <c r="X30212" s="9"/>
    </row>
    <row r="30213">
      <c r="D30213" s="9"/>
      <c r="G30213" s="9"/>
      <c r="J30213" s="11"/>
      <c r="U30213" s="9"/>
      <c r="X30213" s="9"/>
    </row>
    <row r="30214">
      <c r="D30214" s="9"/>
      <c r="G30214" s="9"/>
      <c r="J30214" s="11"/>
      <c r="U30214" s="9"/>
      <c r="X30214" s="9"/>
    </row>
    <row r="30215">
      <c r="D30215" s="9"/>
      <c r="G30215" s="9"/>
      <c r="J30215" s="11"/>
      <c r="U30215" s="9"/>
      <c r="X30215" s="9"/>
    </row>
    <row r="30216">
      <c r="D30216" s="9"/>
      <c r="G30216" s="9"/>
      <c r="J30216" s="11"/>
      <c r="U30216" s="9"/>
      <c r="X30216" s="9"/>
    </row>
    <row r="30217">
      <c r="D30217" s="9"/>
      <c r="G30217" s="9"/>
      <c r="J30217" s="11"/>
      <c r="U30217" s="9"/>
      <c r="X30217" s="9"/>
    </row>
    <row r="30218">
      <c r="D30218" s="9"/>
      <c r="G30218" s="9"/>
      <c r="J30218" s="11"/>
      <c r="U30218" s="9"/>
      <c r="X30218" s="9"/>
    </row>
    <row r="30219">
      <c r="D30219" s="9"/>
      <c r="G30219" s="9"/>
      <c r="J30219" s="11"/>
      <c r="U30219" s="9"/>
      <c r="X30219" s="9"/>
    </row>
    <row r="30220">
      <c r="D30220" s="9"/>
      <c r="G30220" s="9"/>
      <c r="J30220" s="11"/>
      <c r="U30220" s="9"/>
      <c r="X30220" s="9"/>
    </row>
    <row r="30221">
      <c r="D30221" s="9"/>
      <c r="G30221" s="9"/>
      <c r="J30221" s="11"/>
      <c r="U30221" s="9"/>
      <c r="X30221" s="9"/>
    </row>
    <row r="30222">
      <c r="D30222" s="9"/>
      <c r="G30222" s="9"/>
      <c r="J30222" s="11"/>
      <c r="U30222" s="9"/>
      <c r="X30222" s="9"/>
    </row>
    <row r="30223">
      <c r="D30223" s="9"/>
      <c r="G30223" s="9"/>
      <c r="J30223" s="11"/>
      <c r="U30223" s="9"/>
      <c r="X30223" s="9"/>
    </row>
    <row r="30224">
      <c r="D30224" s="9"/>
      <c r="G30224" s="9"/>
      <c r="J30224" s="11"/>
      <c r="U30224" s="9"/>
      <c r="X30224" s="9"/>
    </row>
    <row r="30225">
      <c r="D30225" s="9"/>
      <c r="G30225" s="9"/>
      <c r="J30225" s="11"/>
      <c r="U30225" s="9"/>
      <c r="X30225" s="9"/>
    </row>
    <row r="30226">
      <c r="D30226" s="9"/>
      <c r="G30226" s="9"/>
      <c r="J30226" s="11"/>
      <c r="U30226" s="9"/>
      <c r="X30226" s="9"/>
    </row>
    <row r="30227">
      <c r="D30227" s="9"/>
      <c r="G30227" s="9"/>
      <c r="J30227" s="11"/>
      <c r="U30227" s="9"/>
      <c r="X30227" s="9"/>
    </row>
    <row r="30228">
      <c r="D30228" s="9"/>
      <c r="G30228" s="9"/>
      <c r="J30228" s="11"/>
      <c r="U30228" s="9"/>
      <c r="X30228" s="9"/>
    </row>
    <row r="30229">
      <c r="D30229" s="9"/>
      <c r="G30229" s="9"/>
      <c r="J30229" s="11"/>
      <c r="U30229" s="9"/>
      <c r="X30229" s="9"/>
    </row>
    <row r="30230">
      <c r="D30230" s="9"/>
      <c r="G30230" s="9"/>
      <c r="J30230" s="11"/>
      <c r="U30230" s="9"/>
      <c r="X30230" s="9"/>
    </row>
    <row r="30231">
      <c r="D30231" s="9"/>
      <c r="G30231" s="9"/>
      <c r="J30231" s="11"/>
      <c r="U30231" s="9"/>
      <c r="X30231" s="9"/>
    </row>
    <row r="30232">
      <c r="D30232" s="9"/>
      <c r="G30232" s="9"/>
      <c r="J30232" s="11"/>
      <c r="U30232" s="9"/>
      <c r="X30232" s="9"/>
    </row>
    <row r="30233">
      <c r="D30233" s="9"/>
      <c r="G30233" s="9"/>
      <c r="J30233" s="11"/>
      <c r="U30233" s="9"/>
      <c r="X30233" s="9"/>
    </row>
    <row r="30234">
      <c r="D30234" s="9"/>
      <c r="G30234" s="9"/>
      <c r="J30234" s="11"/>
      <c r="U30234" s="9"/>
      <c r="X30234" s="9"/>
    </row>
    <row r="30235">
      <c r="D30235" s="9"/>
      <c r="G30235" s="9"/>
      <c r="J30235" s="11"/>
      <c r="U30235" s="9"/>
      <c r="X30235" s="9"/>
    </row>
    <row r="30236">
      <c r="D30236" s="9"/>
      <c r="G30236" s="9"/>
      <c r="J30236" s="11"/>
      <c r="U30236" s="9"/>
      <c r="X30236" s="9"/>
    </row>
    <row r="30237">
      <c r="D30237" s="9"/>
      <c r="G30237" s="9"/>
      <c r="J30237" s="11"/>
      <c r="U30237" s="9"/>
      <c r="X30237" s="9"/>
    </row>
    <row r="30238">
      <c r="D30238" s="9"/>
      <c r="G30238" s="9"/>
      <c r="J30238" s="11"/>
      <c r="U30238" s="9"/>
      <c r="X30238" s="9"/>
    </row>
    <row r="30239">
      <c r="D30239" s="9"/>
      <c r="G30239" s="9"/>
      <c r="J30239" s="11"/>
      <c r="U30239" s="9"/>
      <c r="X30239" s="9"/>
    </row>
    <row r="30240">
      <c r="D30240" s="9"/>
      <c r="G30240" s="9"/>
      <c r="J30240" s="11"/>
      <c r="U30240" s="9"/>
      <c r="X30240" s="9"/>
    </row>
    <row r="30241">
      <c r="D30241" s="9"/>
      <c r="G30241" s="9"/>
      <c r="J30241" s="11"/>
      <c r="U30241" s="9"/>
      <c r="X30241" s="9"/>
    </row>
    <row r="30242">
      <c r="D30242" s="9"/>
      <c r="G30242" s="9"/>
      <c r="J30242" s="11"/>
      <c r="U30242" s="9"/>
      <c r="X30242" s="9"/>
    </row>
    <row r="30243">
      <c r="D30243" s="9"/>
      <c r="G30243" s="9"/>
      <c r="J30243" s="11"/>
      <c r="U30243" s="9"/>
      <c r="X30243" s="9"/>
    </row>
    <row r="30244">
      <c r="D30244" s="9"/>
      <c r="G30244" s="9"/>
      <c r="J30244" s="11"/>
      <c r="U30244" s="9"/>
      <c r="X30244" s="9"/>
    </row>
    <row r="30245">
      <c r="D30245" s="9"/>
      <c r="G30245" s="9"/>
      <c r="J30245" s="11"/>
      <c r="U30245" s="9"/>
      <c r="X30245" s="9"/>
    </row>
    <row r="30246">
      <c r="D30246" s="9"/>
      <c r="G30246" s="9"/>
      <c r="J30246" s="11"/>
      <c r="U30246" s="9"/>
      <c r="X30246" s="9"/>
    </row>
    <row r="30247">
      <c r="D30247" s="9"/>
      <c r="G30247" s="9"/>
      <c r="J30247" s="11"/>
      <c r="U30247" s="9"/>
      <c r="X30247" s="9"/>
    </row>
    <row r="30248">
      <c r="D30248" s="9"/>
      <c r="G30248" s="9"/>
      <c r="J30248" s="11"/>
      <c r="U30248" s="9"/>
      <c r="X30248" s="9"/>
    </row>
    <row r="30249">
      <c r="D30249" s="9"/>
      <c r="G30249" s="9"/>
      <c r="J30249" s="11"/>
      <c r="U30249" s="9"/>
      <c r="X30249" s="9"/>
    </row>
    <row r="30250">
      <c r="D30250" s="9"/>
      <c r="G30250" s="9"/>
      <c r="J30250" s="11"/>
      <c r="U30250" s="9"/>
      <c r="X30250" s="9"/>
    </row>
    <row r="30251">
      <c r="D30251" s="9"/>
      <c r="G30251" s="9"/>
      <c r="J30251" s="11"/>
      <c r="U30251" s="9"/>
      <c r="X30251" s="9"/>
    </row>
    <row r="30252">
      <c r="D30252" s="9"/>
      <c r="G30252" s="9"/>
      <c r="J30252" s="11"/>
      <c r="U30252" s="9"/>
      <c r="X30252" s="9"/>
    </row>
    <row r="30253">
      <c r="D30253" s="9"/>
      <c r="G30253" s="9"/>
      <c r="J30253" s="11"/>
      <c r="U30253" s="9"/>
      <c r="X30253" s="9"/>
    </row>
    <row r="30254">
      <c r="D30254" s="9"/>
      <c r="G30254" s="9"/>
      <c r="J30254" s="11"/>
      <c r="U30254" s="9"/>
      <c r="X30254" s="9"/>
    </row>
    <row r="30255">
      <c r="D30255" s="9"/>
      <c r="G30255" s="9"/>
      <c r="J30255" s="11"/>
      <c r="U30255" s="9"/>
      <c r="X30255" s="9"/>
    </row>
    <row r="30256">
      <c r="D30256" s="9"/>
      <c r="G30256" s="9"/>
      <c r="J30256" s="11"/>
      <c r="U30256" s="9"/>
      <c r="X30256" s="9"/>
    </row>
    <row r="30257">
      <c r="D30257" s="9"/>
      <c r="G30257" s="9"/>
      <c r="J30257" s="11"/>
      <c r="U30257" s="9"/>
      <c r="X30257" s="9"/>
    </row>
    <row r="30258">
      <c r="D30258" s="9"/>
      <c r="G30258" s="9"/>
      <c r="J30258" s="11"/>
      <c r="U30258" s="9"/>
      <c r="X30258" s="9"/>
    </row>
    <row r="30259">
      <c r="D30259" s="9"/>
      <c r="G30259" s="9"/>
      <c r="J30259" s="11"/>
      <c r="U30259" s="9"/>
      <c r="X30259" s="9"/>
    </row>
    <row r="30260">
      <c r="D30260" s="9"/>
      <c r="G30260" s="9"/>
      <c r="J30260" s="11"/>
      <c r="U30260" s="9"/>
      <c r="X30260" s="9"/>
    </row>
    <row r="30261">
      <c r="D30261" s="9"/>
      <c r="G30261" s="9"/>
      <c r="J30261" s="11"/>
      <c r="U30261" s="9"/>
      <c r="X30261" s="9"/>
    </row>
    <row r="30262">
      <c r="D30262" s="9"/>
      <c r="G30262" s="9"/>
      <c r="J30262" s="11"/>
      <c r="U30262" s="9"/>
      <c r="X30262" s="9"/>
    </row>
    <row r="30263">
      <c r="D30263" s="9"/>
      <c r="G30263" s="9"/>
      <c r="J30263" s="11"/>
      <c r="U30263" s="9"/>
      <c r="X30263" s="9"/>
    </row>
    <row r="30264">
      <c r="D30264" s="9"/>
      <c r="G30264" s="9"/>
      <c r="J30264" s="11"/>
      <c r="U30264" s="9"/>
      <c r="X30264" s="9"/>
    </row>
    <row r="30265">
      <c r="D30265" s="9"/>
      <c r="G30265" s="9"/>
      <c r="J30265" s="11"/>
      <c r="U30265" s="9"/>
      <c r="X30265" s="9"/>
    </row>
    <row r="30266">
      <c r="D30266" s="9"/>
      <c r="G30266" s="9"/>
      <c r="J30266" s="11"/>
      <c r="U30266" s="9"/>
      <c r="X30266" s="9"/>
    </row>
    <row r="30267">
      <c r="D30267" s="9"/>
      <c r="G30267" s="9"/>
      <c r="J30267" s="11"/>
      <c r="U30267" s="9"/>
      <c r="X30267" s="9"/>
    </row>
    <row r="30268">
      <c r="D30268" s="9"/>
      <c r="G30268" s="9"/>
      <c r="J30268" s="11"/>
      <c r="U30268" s="9"/>
      <c r="X30268" s="9"/>
    </row>
    <row r="30269">
      <c r="D30269" s="9"/>
      <c r="G30269" s="9"/>
      <c r="J30269" s="11"/>
      <c r="U30269" s="9"/>
      <c r="X30269" s="9"/>
    </row>
    <row r="30270">
      <c r="D30270" s="9"/>
      <c r="G30270" s="9"/>
      <c r="J30270" s="11"/>
      <c r="U30270" s="9"/>
      <c r="X30270" s="9"/>
    </row>
    <row r="30271">
      <c r="D30271" s="9"/>
      <c r="G30271" s="9"/>
      <c r="J30271" s="11"/>
      <c r="U30271" s="9"/>
      <c r="X30271" s="9"/>
    </row>
    <row r="30272">
      <c r="D30272" s="9"/>
      <c r="G30272" s="9"/>
      <c r="J30272" s="11"/>
      <c r="U30272" s="9"/>
      <c r="X30272" s="9"/>
    </row>
    <row r="30273">
      <c r="D30273" s="9"/>
      <c r="G30273" s="9"/>
      <c r="J30273" s="11"/>
      <c r="U30273" s="9"/>
      <c r="X30273" s="9"/>
    </row>
    <row r="30274">
      <c r="D30274" s="9"/>
      <c r="G30274" s="9"/>
      <c r="J30274" s="11"/>
      <c r="U30274" s="9"/>
      <c r="X30274" s="9"/>
    </row>
    <row r="30275">
      <c r="D30275" s="9"/>
      <c r="G30275" s="9"/>
      <c r="J30275" s="11"/>
      <c r="U30275" s="9"/>
      <c r="X30275" s="9"/>
    </row>
    <row r="30276">
      <c r="D30276" s="9"/>
      <c r="G30276" s="9"/>
      <c r="J30276" s="11"/>
      <c r="U30276" s="9"/>
      <c r="X30276" s="9"/>
    </row>
    <row r="30277">
      <c r="D30277" s="9"/>
      <c r="G30277" s="9"/>
      <c r="J30277" s="11"/>
      <c r="U30277" s="9"/>
      <c r="X30277" s="9"/>
    </row>
    <row r="30278">
      <c r="D30278" s="9"/>
      <c r="G30278" s="9"/>
      <c r="J30278" s="11"/>
      <c r="U30278" s="9"/>
      <c r="X30278" s="9"/>
    </row>
    <row r="30279">
      <c r="D30279" s="9"/>
      <c r="G30279" s="9"/>
      <c r="J30279" s="11"/>
      <c r="U30279" s="9"/>
      <c r="X30279" s="9"/>
    </row>
    <row r="30280">
      <c r="D30280" s="9"/>
      <c r="G30280" s="9"/>
      <c r="J30280" s="11"/>
      <c r="U30280" s="9"/>
      <c r="X30280" s="9"/>
    </row>
    <row r="30281">
      <c r="D30281" s="9"/>
      <c r="G30281" s="9"/>
      <c r="J30281" s="11"/>
      <c r="U30281" s="9"/>
      <c r="X30281" s="9"/>
    </row>
    <row r="30282">
      <c r="D30282" s="9"/>
      <c r="G30282" s="9"/>
      <c r="J30282" s="11"/>
      <c r="U30282" s="9"/>
      <c r="X30282" s="9"/>
    </row>
    <row r="30283">
      <c r="D30283" s="9"/>
      <c r="G30283" s="9"/>
      <c r="J30283" s="11"/>
      <c r="U30283" s="9"/>
      <c r="X30283" s="9"/>
    </row>
    <row r="30284">
      <c r="D30284" s="9"/>
      <c r="G30284" s="9"/>
      <c r="J30284" s="11"/>
      <c r="U30284" s="9"/>
      <c r="X30284" s="9"/>
    </row>
    <row r="30285">
      <c r="D30285" s="9"/>
      <c r="G30285" s="9"/>
      <c r="J30285" s="11"/>
      <c r="U30285" s="9"/>
      <c r="X30285" s="9"/>
    </row>
    <row r="30286">
      <c r="D30286" s="9"/>
      <c r="G30286" s="9"/>
      <c r="J30286" s="11"/>
      <c r="U30286" s="9"/>
      <c r="X30286" s="9"/>
    </row>
    <row r="30287">
      <c r="D30287" s="9"/>
      <c r="G30287" s="9"/>
      <c r="J30287" s="11"/>
      <c r="U30287" s="9"/>
      <c r="X30287" s="9"/>
    </row>
    <row r="30288">
      <c r="D30288" s="9"/>
      <c r="G30288" s="9"/>
      <c r="J30288" s="11"/>
      <c r="U30288" s="9"/>
      <c r="X30288" s="9"/>
    </row>
    <row r="30289">
      <c r="D30289" s="9"/>
      <c r="G30289" s="9"/>
      <c r="J30289" s="11"/>
      <c r="U30289" s="9"/>
      <c r="X30289" s="9"/>
    </row>
    <row r="30290">
      <c r="D30290" s="9"/>
      <c r="G30290" s="9"/>
      <c r="J30290" s="11"/>
      <c r="U30290" s="9"/>
      <c r="X30290" s="9"/>
    </row>
    <row r="30291">
      <c r="D30291" s="9"/>
      <c r="G30291" s="9"/>
      <c r="J30291" s="11"/>
      <c r="U30291" s="9"/>
      <c r="X30291" s="9"/>
    </row>
    <row r="30292">
      <c r="D30292" s="9"/>
      <c r="G30292" s="9"/>
      <c r="J30292" s="11"/>
      <c r="U30292" s="9"/>
      <c r="X30292" s="9"/>
    </row>
    <row r="30293">
      <c r="D30293" s="9"/>
      <c r="G30293" s="9"/>
      <c r="J30293" s="11"/>
      <c r="U30293" s="9"/>
      <c r="X30293" s="9"/>
    </row>
    <row r="30294">
      <c r="D30294" s="9"/>
      <c r="G30294" s="9"/>
      <c r="J30294" s="11"/>
      <c r="U30294" s="9"/>
      <c r="X30294" s="9"/>
    </row>
    <row r="30295">
      <c r="D30295" s="9"/>
      <c r="G30295" s="9"/>
      <c r="J30295" s="11"/>
      <c r="U30295" s="9"/>
      <c r="X30295" s="9"/>
    </row>
    <row r="30296">
      <c r="D30296" s="9"/>
      <c r="G30296" s="9"/>
      <c r="J30296" s="11"/>
      <c r="U30296" s="9"/>
      <c r="X30296" s="9"/>
    </row>
    <row r="30297">
      <c r="D30297" s="9"/>
      <c r="G30297" s="9"/>
      <c r="J30297" s="11"/>
      <c r="U30297" s="9"/>
      <c r="X30297" s="9"/>
    </row>
    <row r="30298">
      <c r="D30298" s="9"/>
      <c r="G30298" s="9"/>
      <c r="J30298" s="11"/>
      <c r="U30298" s="9"/>
      <c r="X30298" s="9"/>
    </row>
    <row r="30299">
      <c r="D30299" s="9"/>
      <c r="G30299" s="9"/>
      <c r="J30299" s="11"/>
      <c r="U30299" s="9"/>
      <c r="X30299" s="9"/>
    </row>
    <row r="30300">
      <c r="D30300" s="9"/>
      <c r="G30300" s="9"/>
      <c r="J30300" s="11"/>
      <c r="U30300" s="9"/>
      <c r="X30300" s="9"/>
    </row>
    <row r="30301">
      <c r="D30301" s="9"/>
      <c r="G30301" s="9"/>
      <c r="J30301" s="11"/>
      <c r="U30301" s="9"/>
      <c r="X30301" s="9"/>
    </row>
    <row r="30302">
      <c r="D30302" s="9"/>
      <c r="G30302" s="9"/>
      <c r="J30302" s="11"/>
      <c r="U30302" s="9"/>
      <c r="X30302" s="9"/>
    </row>
    <row r="30303">
      <c r="D30303" s="9"/>
      <c r="G30303" s="9"/>
      <c r="J30303" s="11"/>
      <c r="U30303" s="9"/>
      <c r="X30303" s="9"/>
    </row>
    <row r="30304">
      <c r="D30304" s="9"/>
      <c r="G30304" s="9"/>
      <c r="J30304" s="11"/>
      <c r="U30304" s="9"/>
      <c r="X30304" s="9"/>
    </row>
    <row r="30305">
      <c r="D30305" s="9"/>
      <c r="G30305" s="9"/>
      <c r="J30305" s="11"/>
      <c r="U30305" s="9"/>
      <c r="X30305" s="9"/>
    </row>
    <row r="30306">
      <c r="D30306" s="9"/>
      <c r="G30306" s="9"/>
      <c r="J30306" s="11"/>
      <c r="U30306" s="9"/>
      <c r="X30306" s="9"/>
    </row>
    <row r="30307">
      <c r="D30307" s="9"/>
      <c r="G30307" s="9"/>
      <c r="J30307" s="11"/>
      <c r="U30307" s="9"/>
      <c r="X30307" s="9"/>
    </row>
    <row r="30308">
      <c r="D30308" s="9"/>
      <c r="G30308" s="9"/>
      <c r="J30308" s="11"/>
      <c r="U30308" s="9"/>
      <c r="X30308" s="9"/>
    </row>
    <row r="30309">
      <c r="D30309" s="9"/>
      <c r="G30309" s="9"/>
      <c r="J30309" s="11"/>
      <c r="U30309" s="9"/>
      <c r="X30309" s="9"/>
    </row>
    <row r="30310">
      <c r="D30310" s="9"/>
      <c r="G30310" s="9"/>
      <c r="J30310" s="11"/>
      <c r="U30310" s="9"/>
      <c r="X30310" s="9"/>
    </row>
    <row r="30311">
      <c r="D30311" s="9"/>
      <c r="G30311" s="9"/>
      <c r="J30311" s="11"/>
      <c r="U30311" s="9"/>
      <c r="X30311" s="9"/>
    </row>
    <row r="30312">
      <c r="D30312" s="9"/>
      <c r="G30312" s="9"/>
      <c r="J30312" s="11"/>
      <c r="U30312" s="9"/>
      <c r="X30312" s="9"/>
    </row>
    <row r="30313">
      <c r="D30313" s="9"/>
      <c r="G30313" s="9"/>
      <c r="J30313" s="11"/>
      <c r="U30313" s="9"/>
      <c r="X30313" s="9"/>
    </row>
    <row r="30314">
      <c r="D30314" s="9"/>
      <c r="G30314" s="9"/>
      <c r="J30314" s="11"/>
      <c r="U30314" s="9"/>
      <c r="X30314" s="9"/>
    </row>
    <row r="30315">
      <c r="D30315" s="9"/>
      <c r="G30315" s="9"/>
      <c r="J30315" s="11"/>
      <c r="U30315" s="9"/>
      <c r="X30315" s="9"/>
    </row>
    <row r="30316">
      <c r="D30316" s="9"/>
      <c r="G30316" s="9"/>
      <c r="J30316" s="11"/>
      <c r="U30316" s="9"/>
      <c r="X30316" s="9"/>
    </row>
    <row r="30317">
      <c r="D30317" s="9"/>
      <c r="G30317" s="9"/>
      <c r="J30317" s="11"/>
      <c r="U30317" s="9"/>
      <c r="X30317" s="9"/>
    </row>
    <row r="30318">
      <c r="D30318" s="9"/>
      <c r="G30318" s="9"/>
      <c r="J30318" s="11"/>
      <c r="U30318" s="9"/>
      <c r="X30318" s="9"/>
    </row>
    <row r="30319">
      <c r="D30319" s="9"/>
      <c r="G30319" s="9"/>
      <c r="J30319" s="11"/>
      <c r="U30319" s="9"/>
      <c r="X30319" s="9"/>
    </row>
    <row r="30320">
      <c r="D30320" s="9"/>
      <c r="G30320" s="9"/>
      <c r="J30320" s="11"/>
      <c r="U30320" s="9"/>
      <c r="X30320" s="9"/>
    </row>
    <row r="30321">
      <c r="D30321" s="9"/>
      <c r="G30321" s="9"/>
      <c r="J30321" s="11"/>
      <c r="U30321" s="9"/>
      <c r="X30321" s="9"/>
    </row>
    <row r="30322">
      <c r="D30322" s="9"/>
      <c r="G30322" s="9"/>
      <c r="J30322" s="11"/>
      <c r="U30322" s="9"/>
      <c r="X30322" s="9"/>
    </row>
    <row r="30323">
      <c r="D30323" s="9"/>
      <c r="G30323" s="9"/>
      <c r="J30323" s="11"/>
      <c r="U30323" s="9"/>
      <c r="X30323" s="9"/>
    </row>
    <row r="30324">
      <c r="D30324" s="9"/>
      <c r="G30324" s="9"/>
      <c r="J30324" s="11"/>
      <c r="U30324" s="9"/>
      <c r="X30324" s="9"/>
    </row>
    <row r="30325">
      <c r="D30325" s="9"/>
      <c r="G30325" s="9"/>
      <c r="J30325" s="11"/>
      <c r="U30325" s="9"/>
      <c r="X30325" s="9"/>
    </row>
    <row r="30326">
      <c r="D30326" s="9"/>
      <c r="G30326" s="9"/>
      <c r="J30326" s="11"/>
      <c r="U30326" s="9"/>
      <c r="X30326" s="9"/>
    </row>
    <row r="30327">
      <c r="D30327" s="9"/>
      <c r="G30327" s="9"/>
      <c r="J30327" s="11"/>
      <c r="U30327" s="9"/>
      <c r="X30327" s="9"/>
    </row>
    <row r="30328">
      <c r="D30328" s="9"/>
      <c r="G30328" s="9"/>
      <c r="J30328" s="11"/>
      <c r="U30328" s="9"/>
      <c r="X30328" s="9"/>
    </row>
    <row r="30329">
      <c r="D30329" s="9"/>
      <c r="G30329" s="9"/>
      <c r="J30329" s="11"/>
      <c r="U30329" s="9"/>
      <c r="X30329" s="9"/>
    </row>
    <row r="30330">
      <c r="D30330" s="9"/>
      <c r="G30330" s="9"/>
      <c r="J30330" s="11"/>
      <c r="U30330" s="9"/>
      <c r="X30330" s="9"/>
    </row>
    <row r="30331">
      <c r="D30331" s="9"/>
      <c r="G30331" s="9"/>
      <c r="J30331" s="11"/>
      <c r="U30331" s="9"/>
      <c r="X30331" s="9"/>
    </row>
    <row r="30332">
      <c r="D30332" s="9"/>
      <c r="G30332" s="9"/>
      <c r="J30332" s="11"/>
      <c r="U30332" s="9"/>
      <c r="X30332" s="9"/>
    </row>
    <row r="30333">
      <c r="D30333" s="9"/>
      <c r="G30333" s="9"/>
      <c r="J30333" s="11"/>
      <c r="U30333" s="9"/>
      <c r="X30333" s="9"/>
    </row>
    <row r="30334">
      <c r="D30334" s="9"/>
      <c r="G30334" s="9"/>
      <c r="J30334" s="11"/>
      <c r="U30334" s="9"/>
      <c r="X30334" s="9"/>
    </row>
    <row r="30335">
      <c r="D30335" s="9"/>
      <c r="G30335" s="9"/>
      <c r="J30335" s="11"/>
      <c r="U30335" s="9"/>
      <c r="X30335" s="9"/>
    </row>
    <row r="30336">
      <c r="D30336" s="9"/>
      <c r="G30336" s="9"/>
      <c r="J30336" s="11"/>
      <c r="U30336" s="9"/>
      <c r="X30336" s="9"/>
    </row>
    <row r="30337">
      <c r="D30337" s="9"/>
      <c r="G30337" s="9"/>
      <c r="J30337" s="11"/>
      <c r="U30337" s="9"/>
      <c r="X30337" s="9"/>
    </row>
    <row r="30338">
      <c r="D30338" s="9"/>
      <c r="G30338" s="9"/>
      <c r="J30338" s="11"/>
      <c r="U30338" s="9"/>
      <c r="X30338" s="9"/>
    </row>
    <row r="30339">
      <c r="D30339" s="9"/>
      <c r="G30339" s="9"/>
      <c r="J30339" s="11"/>
      <c r="U30339" s="9"/>
      <c r="X30339" s="9"/>
    </row>
    <row r="30340">
      <c r="D30340" s="9"/>
      <c r="G30340" s="9"/>
      <c r="J30340" s="11"/>
      <c r="U30340" s="9"/>
      <c r="X30340" s="9"/>
    </row>
    <row r="30341">
      <c r="D30341" s="9"/>
      <c r="G30341" s="9"/>
      <c r="J30341" s="11"/>
      <c r="U30341" s="9"/>
      <c r="X30341" s="9"/>
    </row>
    <row r="30342">
      <c r="D30342" s="9"/>
      <c r="G30342" s="9"/>
      <c r="J30342" s="11"/>
      <c r="U30342" s="9"/>
      <c r="X30342" s="9"/>
    </row>
    <row r="30343">
      <c r="D30343" s="9"/>
      <c r="G30343" s="9"/>
      <c r="J30343" s="11"/>
      <c r="U30343" s="9"/>
      <c r="X30343" s="9"/>
    </row>
    <row r="30344">
      <c r="D30344" s="9"/>
      <c r="G30344" s="9"/>
      <c r="J30344" s="11"/>
      <c r="U30344" s="9"/>
      <c r="X30344" s="9"/>
    </row>
    <row r="30345">
      <c r="D30345" s="9"/>
      <c r="G30345" s="9"/>
      <c r="J30345" s="11"/>
      <c r="U30345" s="9"/>
      <c r="X30345" s="9"/>
    </row>
    <row r="30346">
      <c r="D30346" s="9"/>
      <c r="G30346" s="9"/>
      <c r="J30346" s="11"/>
      <c r="U30346" s="9"/>
      <c r="X30346" s="9"/>
    </row>
    <row r="30347">
      <c r="D30347" s="9"/>
      <c r="G30347" s="9"/>
      <c r="J30347" s="11"/>
      <c r="U30347" s="9"/>
      <c r="X30347" s="9"/>
    </row>
    <row r="30348">
      <c r="D30348" s="9"/>
      <c r="G30348" s="9"/>
      <c r="J30348" s="11"/>
      <c r="U30348" s="9"/>
      <c r="X30348" s="9"/>
    </row>
    <row r="30349">
      <c r="D30349" s="9"/>
      <c r="G30349" s="9"/>
      <c r="J30349" s="11"/>
      <c r="U30349" s="9"/>
      <c r="X30349" s="9"/>
    </row>
    <row r="30350">
      <c r="D30350" s="9"/>
      <c r="G30350" s="9"/>
      <c r="J30350" s="11"/>
      <c r="U30350" s="9"/>
      <c r="X30350" s="9"/>
    </row>
    <row r="30351">
      <c r="D30351" s="9"/>
      <c r="G30351" s="9"/>
      <c r="J30351" s="11"/>
      <c r="U30351" s="9"/>
      <c r="X30351" s="9"/>
    </row>
    <row r="30352">
      <c r="D30352" s="9"/>
      <c r="G30352" s="9"/>
      <c r="J30352" s="11"/>
      <c r="U30352" s="9"/>
      <c r="X30352" s="9"/>
    </row>
    <row r="30353">
      <c r="D30353" s="9"/>
      <c r="G30353" s="9"/>
      <c r="J30353" s="11"/>
      <c r="U30353" s="9"/>
      <c r="X30353" s="9"/>
    </row>
    <row r="30354">
      <c r="D30354" s="9"/>
      <c r="G30354" s="9"/>
      <c r="J30354" s="11"/>
      <c r="U30354" s="9"/>
      <c r="X30354" s="9"/>
    </row>
    <row r="30355">
      <c r="D30355" s="9"/>
      <c r="G30355" s="9"/>
      <c r="J30355" s="11"/>
      <c r="U30355" s="9"/>
      <c r="X30355" s="9"/>
    </row>
    <row r="30356">
      <c r="D30356" s="9"/>
      <c r="G30356" s="9"/>
      <c r="J30356" s="11"/>
      <c r="U30356" s="9"/>
      <c r="X30356" s="9"/>
    </row>
    <row r="30357">
      <c r="D30357" s="9"/>
      <c r="G30357" s="9"/>
      <c r="J30357" s="11"/>
      <c r="U30357" s="9"/>
      <c r="X30357" s="9"/>
    </row>
    <row r="30358">
      <c r="D30358" s="9"/>
      <c r="G30358" s="9"/>
      <c r="J30358" s="11"/>
      <c r="U30358" s="9"/>
      <c r="X30358" s="9"/>
    </row>
    <row r="30359">
      <c r="D30359" s="9"/>
      <c r="G30359" s="9"/>
      <c r="J30359" s="11"/>
      <c r="U30359" s="9"/>
      <c r="X30359" s="9"/>
    </row>
    <row r="30360">
      <c r="D30360" s="9"/>
      <c r="G30360" s="9"/>
      <c r="J30360" s="11"/>
      <c r="U30360" s="9"/>
      <c r="X30360" s="9"/>
    </row>
    <row r="30361">
      <c r="D30361" s="9"/>
      <c r="G30361" s="9"/>
      <c r="J30361" s="11"/>
      <c r="U30361" s="9"/>
      <c r="X30361" s="9"/>
    </row>
    <row r="30362">
      <c r="D30362" s="9"/>
      <c r="G30362" s="9"/>
      <c r="J30362" s="11"/>
      <c r="U30362" s="9"/>
      <c r="X30362" s="9"/>
    </row>
    <row r="30363">
      <c r="D30363" s="9"/>
      <c r="G30363" s="9"/>
      <c r="J30363" s="11"/>
      <c r="U30363" s="9"/>
      <c r="X30363" s="9"/>
    </row>
    <row r="30364">
      <c r="D30364" s="9"/>
      <c r="G30364" s="9"/>
      <c r="J30364" s="11"/>
      <c r="U30364" s="9"/>
      <c r="X30364" s="9"/>
    </row>
    <row r="30365">
      <c r="D30365" s="9"/>
      <c r="G30365" s="9"/>
      <c r="J30365" s="11"/>
      <c r="U30365" s="9"/>
      <c r="X30365" s="9"/>
    </row>
    <row r="30366">
      <c r="D30366" s="9"/>
      <c r="G30366" s="9"/>
      <c r="J30366" s="11"/>
      <c r="U30366" s="9"/>
      <c r="X30366" s="9"/>
    </row>
    <row r="30367">
      <c r="D30367" s="9"/>
      <c r="G30367" s="9"/>
      <c r="J30367" s="11"/>
      <c r="U30367" s="9"/>
      <c r="X30367" s="9"/>
    </row>
    <row r="30368">
      <c r="D30368" s="9"/>
      <c r="G30368" s="9"/>
      <c r="J30368" s="11"/>
      <c r="U30368" s="9"/>
      <c r="X30368" s="9"/>
    </row>
    <row r="30369">
      <c r="D30369" s="9"/>
      <c r="G30369" s="9"/>
      <c r="J30369" s="11"/>
      <c r="U30369" s="9"/>
      <c r="X30369" s="9"/>
    </row>
    <row r="30370">
      <c r="D30370" s="9"/>
      <c r="G30370" s="9"/>
      <c r="J30370" s="11"/>
      <c r="U30370" s="9"/>
      <c r="X30370" s="9"/>
    </row>
    <row r="30371">
      <c r="D30371" s="9"/>
      <c r="G30371" s="9"/>
      <c r="J30371" s="11"/>
      <c r="U30371" s="9"/>
      <c r="X30371" s="9"/>
    </row>
    <row r="30372">
      <c r="D30372" s="9"/>
      <c r="G30372" s="9"/>
      <c r="J30372" s="11"/>
      <c r="U30372" s="9"/>
      <c r="X30372" s="9"/>
    </row>
    <row r="30373">
      <c r="D30373" s="9"/>
      <c r="G30373" s="9"/>
      <c r="J30373" s="11"/>
      <c r="U30373" s="9"/>
      <c r="X30373" s="9"/>
    </row>
    <row r="30374">
      <c r="D30374" s="9"/>
      <c r="G30374" s="9"/>
      <c r="J30374" s="11"/>
      <c r="U30374" s="9"/>
      <c r="X30374" s="9"/>
    </row>
    <row r="30375">
      <c r="D30375" s="9"/>
      <c r="G30375" s="9"/>
      <c r="J30375" s="11"/>
      <c r="U30375" s="9"/>
      <c r="X30375" s="9"/>
    </row>
    <row r="30376">
      <c r="D30376" s="9"/>
      <c r="G30376" s="9"/>
      <c r="J30376" s="11"/>
      <c r="U30376" s="9"/>
      <c r="X30376" s="9"/>
    </row>
    <row r="30377">
      <c r="D30377" s="9"/>
      <c r="G30377" s="9"/>
      <c r="J30377" s="11"/>
      <c r="U30377" s="9"/>
      <c r="X30377" s="9"/>
    </row>
    <row r="30378">
      <c r="D30378" s="9"/>
      <c r="G30378" s="9"/>
      <c r="J30378" s="11"/>
      <c r="U30378" s="9"/>
      <c r="X30378" s="9"/>
    </row>
    <row r="30379">
      <c r="D30379" s="9"/>
      <c r="G30379" s="9"/>
      <c r="J30379" s="11"/>
      <c r="U30379" s="9"/>
      <c r="X30379" s="9"/>
    </row>
    <row r="30380">
      <c r="D30380" s="9"/>
      <c r="G30380" s="9"/>
      <c r="J30380" s="11"/>
      <c r="U30380" s="9"/>
      <c r="X30380" s="9"/>
    </row>
    <row r="30381">
      <c r="D30381" s="9"/>
      <c r="G30381" s="9"/>
      <c r="J30381" s="11"/>
      <c r="U30381" s="9"/>
      <c r="X30381" s="9"/>
    </row>
    <row r="30382">
      <c r="D30382" s="9"/>
      <c r="G30382" s="9"/>
      <c r="J30382" s="11"/>
      <c r="U30382" s="9"/>
      <c r="X30382" s="9"/>
    </row>
    <row r="30383">
      <c r="D30383" s="9"/>
      <c r="G30383" s="9"/>
      <c r="J30383" s="11"/>
      <c r="U30383" s="9"/>
      <c r="X30383" s="9"/>
    </row>
    <row r="30384">
      <c r="D30384" s="9"/>
      <c r="G30384" s="9"/>
      <c r="J30384" s="11"/>
      <c r="U30384" s="9"/>
      <c r="X30384" s="9"/>
    </row>
    <row r="30385">
      <c r="D30385" s="9"/>
      <c r="G30385" s="9"/>
      <c r="J30385" s="11"/>
      <c r="U30385" s="9"/>
      <c r="X30385" s="9"/>
    </row>
    <row r="30386">
      <c r="D30386" s="9"/>
      <c r="G30386" s="9"/>
      <c r="J30386" s="11"/>
      <c r="U30386" s="9"/>
      <c r="X30386" s="9"/>
    </row>
    <row r="30387">
      <c r="D30387" s="9"/>
      <c r="G30387" s="9"/>
      <c r="J30387" s="11"/>
      <c r="U30387" s="9"/>
      <c r="X30387" s="9"/>
    </row>
    <row r="30388">
      <c r="D30388" s="9"/>
      <c r="G30388" s="9"/>
      <c r="J30388" s="11"/>
      <c r="U30388" s="9"/>
      <c r="X30388" s="9"/>
    </row>
    <row r="30389">
      <c r="D30389" s="9"/>
      <c r="G30389" s="9"/>
      <c r="J30389" s="11"/>
      <c r="U30389" s="9"/>
      <c r="X30389" s="9"/>
    </row>
    <row r="30390">
      <c r="D30390" s="9"/>
      <c r="G30390" s="9"/>
      <c r="J30390" s="11"/>
      <c r="U30390" s="9"/>
      <c r="X30390" s="9"/>
    </row>
    <row r="30391">
      <c r="D30391" s="9"/>
      <c r="G30391" s="9"/>
      <c r="J30391" s="11"/>
      <c r="U30391" s="9"/>
      <c r="X30391" s="9"/>
    </row>
    <row r="30392">
      <c r="D30392" s="9"/>
      <c r="G30392" s="9"/>
      <c r="J30392" s="11"/>
      <c r="U30392" s="9"/>
      <c r="X30392" s="9"/>
    </row>
    <row r="30393">
      <c r="D30393" s="9"/>
      <c r="G30393" s="9"/>
      <c r="J30393" s="11"/>
      <c r="U30393" s="9"/>
      <c r="X30393" s="9"/>
    </row>
    <row r="30394">
      <c r="D30394" s="9"/>
      <c r="G30394" s="9"/>
      <c r="J30394" s="11"/>
      <c r="U30394" s="9"/>
      <c r="X30394" s="9"/>
    </row>
    <row r="30395">
      <c r="D30395" s="9"/>
      <c r="G30395" s="9"/>
      <c r="J30395" s="11"/>
      <c r="U30395" s="9"/>
      <c r="X30395" s="9"/>
    </row>
    <row r="30396">
      <c r="D30396" s="9"/>
      <c r="G30396" s="9"/>
      <c r="J30396" s="11"/>
      <c r="U30396" s="9"/>
      <c r="X30396" s="9"/>
    </row>
    <row r="30397">
      <c r="D30397" s="9"/>
      <c r="G30397" s="9"/>
      <c r="J30397" s="11"/>
      <c r="U30397" s="9"/>
      <c r="X30397" s="9"/>
    </row>
    <row r="30398">
      <c r="D30398" s="9"/>
      <c r="G30398" s="9"/>
      <c r="J30398" s="11"/>
      <c r="U30398" s="9"/>
      <c r="X30398" s="9"/>
    </row>
    <row r="30399">
      <c r="D30399" s="9"/>
      <c r="G30399" s="9"/>
      <c r="J30399" s="11"/>
      <c r="U30399" s="9"/>
      <c r="X30399" s="9"/>
    </row>
    <row r="30400">
      <c r="D30400" s="9"/>
      <c r="G30400" s="9"/>
      <c r="J30400" s="11"/>
      <c r="U30400" s="9"/>
      <c r="X30400" s="9"/>
    </row>
    <row r="30401">
      <c r="D30401" s="9"/>
      <c r="G30401" s="9"/>
      <c r="J30401" s="11"/>
      <c r="U30401" s="9"/>
      <c r="X30401" s="9"/>
    </row>
    <row r="30402">
      <c r="D30402" s="9"/>
      <c r="G30402" s="9"/>
      <c r="J30402" s="11"/>
      <c r="U30402" s="9"/>
      <c r="X30402" s="9"/>
    </row>
    <row r="30403">
      <c r="D30403" s="9"/>
      <c r="G30403" s="9"/>
      <c r="J30403" s="11"/>
      <c r="U30403" s="9"/>
      <c r="X30403" s="9"/>
    </row>
    <row r="30404">
      <c r="D30404" s="9"/>
      <c r="G30404" s="9"/>
      <c r="J30404" s="11"/>
      <c r="U30404" s="9"/>
      <c r="X30404" s="9"/>
    </row>
    <row r="30405">
      <c r="D30405" s="9"/>
      <c r="G30405" s="9"/>
      <c r="J30405" s="11"/>
      <c r="U30405" s="9"/>
      <c r="X30405" s="9"/>
    </row>
    <row r="30406">
      <c r="D30406" s="9"/>
      <c r="G30406" s="9"/>
      <c r="J30406" s="11"/>
      <c r="U30406" s="9"/>
      <c r="X30406" s="9"/>
    </row>
    <row r="30407">
      <c r="D30407" s="9"/>
      <c r="G30407" s="9"/>
      <c r="J30407" s="11"/>
      <c r="U30407" s="9"/>
      <c r="X30407" s="9"/>
    </row>
    <row r="30408">
      <c r="D30408" s="9"/>
      <c r="G30408" s="9"/>
      <c r="J30408" s="11"/>
      <c r="U30408" s="9"/>
      <c r="X30408" s="9"/>
    </row>
    <row r="30409">
      <c r="D30409" s="9"/>
      <c r="G30409" s="9"/>
      <c r="J30409" s="11"/>
      <c r="U30409" s="9"/>
      <c r="X30409" s="9"/>
    </row>
    <row r="30410">
      <c r="D30410" s="9"/>
      <c r="G30410" s="9"/>
      <c r="J30410" s="11"/>
      <c r="U30410" s="9"/>
      <c r="X30410" s="9"/>
    </row>
    <row r="30411">
      <c r="D30411" s="9"/>
      <c r="G30411" s="9"/>
      <c r="J30411" s="11"/>
      <c r="U30411" s="9"/>
      <c r="X30411" s="9"/>
    </row>
    <row r="30412">
      <c r="D30412" s="9"/>
      <c r="G30412" s="9"/>
      <c r="J30412" s="11"/>
      <c r="U30412" s="9"/>
      <c r="X30412" s="9"/>
    </row>
    <row r="30413">
      <c r="D30413" s="9"/>
      <c r="G30413" s="9"/>
      <c r="J30413" s="11"/>
      <c r="U30413" s="9"/>
      <c r="X30413" s="9"/>
    </row>
    <row r="30414">
      <c r="D30414" s="9"/>
      <c r="G30414" s="9"/>
      <c r="J30414" s="11"/>
      <c r="U30414" s="9"/>
      <c r="X30414" s="9"/>
    </row>
    <row r="30415">
      <c r="D30415" s="9"/>
      <c r="G30415" s="9"/>
      <c r="J30415" s="11"/>
      <c r="U30415" s="9"/>
      <c r="X30415" s="9"/>
    </row>
    <row r="30416">
      <c r="D30416" s="9"/>
      <c r="G30416" s="9"/>
      <c r="J30416" s="11"/>
      <c r="U30416" s="9"/>
      <c r="X30416" s="9"/>
    </row>
    <row r="30417">
      <c r="D30417" s="9"/>
      <c r="G30417" s="9"/>
      <c r="J30417" s="11"/>
      <c r="U30417" s="9"/>
      <c r="X30417" s="9"/>
    </row>
    <row r="30418">
      <c r="D30418" s="9"/>
      <c r="G30418" s="9"/>
      <c r="J30418" s="11"/>
      <c r="U30418" s="9"/>
      <c r="X30418" s="9"/>
    </row>
    <row r="30419">
      <c r="D30419" s="9"/>
      <c r="G30419" s="9"/>
      <c r="J30419" s="11"/>
      <c r="U30419" s="9"/>
      <c r="X30419" s="9"/>
    </row>
    <row r="30420">
      <c r="D30420" s="9"/>
      <c r="G30420" s="9"/>
      <c r="J30420" s="11"/>
      <c r="U30420" s="9"/>
      <c r="X30420" s="9"/>
    </row>
    <row r="30421">
      <c r="D30421" s="9"/>
      <c r="G30421" s="9"/>
      <c r="J30421" s="11"/>
      <c r="U30421" s="9"/>
      <c r="X30421" s="9"/>
    </row>
    <row r="30422">
      <c r="D30422" s="9"/>
      <c r="G30422" s="9"/>
      <c r="J30422" s="11"/>
      <c r="U30422" s="9"/>
      <c r="X30422" s="9"/>
    </row>
    <row r="30423">
      <c r="D30423" s="9"/>
      <c r="G30423" s="9"/>
      <c r="J30423" s="11"/>
      <c r="U30423" s="9"/>
      <c r="X30423" s="9"/>
    </row>
    <row r="30424">
      <c r="D30424" s="9"/>
      <c r="G30424" s="9"/>
      <c r="J30424" s="11"/>
      <c r="U30424" s="9"/>
      <c r="X30424" s="9"/>
    </row>
    <row r="30425">
      <c r="D30425" s="9"/>
      <c r="G30425" s="9"/>
      <c r="J30425" s="11"/>
      <c r="U30425" s="9"/>
      <c r="X30425" s="9"/>
    </row>
    <row r="30426">
      <c r="D30426" s="9"/>
      <c r="G30426" s="9"/>
      <c r="J30426" s="11"/>
      <c r="U30426" s="9"/>
      <c r="X30426" s="9"/>
    </row>
    <row r="30427">
      <c r="D30427" s="9"/>
      <c r="G30427" s="9"/>
      <c r="J30427" s="11"/>
      <c r="U30427" s="9"/>
      <c r="X30427" s="9"/>
    </row>
    <row r="30428">
      <c r="D30428" s="9"/>
      <c r="G30428" s="9"/>
      <c r="J30428" s="11"/>
      <c r="U30428" s="9"/>
      <c r="X30428" s="9"/>
    </row>
    <row r="30429">
      <c r="D30429" s="9"/>
      <c r="G30429" s="9"/>
      <c r="J30429" s="11"/>
      <c r="U30429" s="9"/>
      <c r="X30429" s="9"/>
    </row>
    <row r="30430">
      <c r="D30430" s="9"/>
      <c r="G30430" s="9"/>
      <c r="J30430" s="11"/>
      <c r="U30430" s="9"/>
      <c r="X30430" s="9"/>
    </row>
    <row r="30431">
      <c r="D30431" s="9"/>
      <c r="G30431" s="9"/>
      <c r="J30431" s="11"/>
      <c r="U30431" s="9"/>
      <c r="X30431" s="9"/>
    </row>
    <row r="30432">
      <c r="D30432" s="9"/>
      <c r="G30432" s="9"/>
      <c r="J30432" s="11"/>
      <c r="U30432" s="9"/>
      <c r="X30432" s="9"/>
    </row>
    <row r="30433">
      <c r="D30433" s="9"/>
      <c r="G30433" s="9"/>
      <c r="J30433" s="11"/>
      <c r="U30433" s="9"/>
      <c r="X30433" s="9"/>
    </row>
    <row r="30434">
      <c r="D30434" s="9"/>
      <c r="G30434" s="9"/>
      <c r="J30434" s="11"/>
      <c r="U30434" s="9"/>
      <c r="X30434" s="9"/>
    </row>
    <row r="30435">
      <c r="D30435" s="9"/>
      <c r="G30435" s="9"/>
      <c r="J30435" s="11"/>
      <c r="U30435" s="9"/>
      <c r="X30435" s="9"/>
    </row>
    <row r="30436">
      <c r="D30436" s="9"/>
      <c r="G30436" s="9"/>
      <c r="J30436" s="11"/>
      <c r="U30436" s="9"/>
      <c r="X30436" s="9"/>
    </row>
    <row r="30437">
      <c r="D30437" s="9"/>
      <c r="G30437" s="9"/>
      <c r="J30437" s="11"/>
      <c r="U30437" s="9"/>
      <c r="X30437" s="9"/>
    </row>
    <row r="30438">
      <c r="D30438" s="9"/>
      <c r="G30438" s="9"/>
      <c r="J30438" s="11"/>
      <c r="U30438" s="9"/>
      <c r="X30438" s="9"/>
    </row>
    <row r="30439">
      <c r="D30439" s="9"/>
      <c r="G30439" s="9"/>
      <c r="J30439" s="11"/>
      <c r="U30439" s="9"/>
      <c r="X30439" s="9"/>
    </row>
    <row r="30440">
      <c r="D30440" s="9"/>
      <c r="G30440" s="9"/>
      <c r="J30440" s="11"/>
      <c r="U30440" s="9"/>
      <c r="X30440" s="9"/>
    </row>
    <row r="30441">
      <c r="D30441" s="9"/>
      <c r="G30441" s="9"/>
      <c r="J30441" s="11"/>
      <c r="U30441" s="9"/>
      <c r="X30441" s="9"/>
    </row>
    <row r="30442">
      <c r="D30442" s="9"/>
      <c r="G30442" s="9"/>
      <c r="J30442" s="11"/>
      <c r="U30442" s="9"/>
      <c r="X30442" s="9"/>
    </row>
    <row r="30443">
      <c r="D30443" s="9"/>
      <c r="G30443" s="9"/>
      <c r="J30443" s="11"/>
      <c r="U30443" s="9"/>
      <c r="X30443" s="9"/>
    </row>
    <row r="30444">
      <c r="D30444" s="9"/>
      <c r="G30444" s="9"/>
      <c r="J30444" s="11"/>
      <c r="U30444" s="9"/>
      <c r="X30444" s="9"/>
    </row>
    <row r="30445">
      <c r="D30445" s="9"/>
      <c r="G30445" s="9"/>
      <c r="J30445" s="11"/>
      <c r="U30445" s="9"/>
      <c r="X30445" s="9"/>
    </row>
    <row r="30446">
      <c r="D30446" s="9"/>
      <c r="G30446" s="9"/>
      <c r="J30446" s="11"/>
      <c r="U30446" s="9"/>
      <c r="X30446" s="9"/>
    </row>
    <row r="30447">
      <c r="D30447" s="9"/>
      <c r="G30447" s="9"/>
      <c r="J30447" s="11"/>
      <c r="U30447" s="9"/>
      <c r="X30447" s="9"/>
    </row>
    <row r="30448">
      <c r="D30448" s="9"/>
      <c r="G30448" s="9"/>
      <c r="J30448" s="11"/>
      <c r="U30448" s="9"/>
      <c r="X30448" s="9"/>
    </row>
    <row r="30449">
      <c r="D30449" s="9"/>
      <c r="G30449" s="9"/>
      <c r="J30449" s="11"/>
      <c r="U30449" s="9"/>
      <c r="X30449" s="9"/>
    </row>
    <row r="30450">
      <c r="D30450" s="9"/>
      <c r="G30450" s="9"/>
      <c r="J30450" s="11"/>
      <c r="U30450" s="9"/>
      <c r="X30450" s="9"/>
    </row>
    <row r="30451">
      <c r="D30451" s="9"/>
      <c r="G30451" s="9"/>
      <c r="J30451" s="11"/>
      <c r="U30451" s="9"/>
      <c r="X30451" s="9"/>
    </row>
    <row r="30452">
      <c r="D30452" s="9"/>
      <c r="G30452" s="9"/>
      <c r="J30452" s="11"/>
      <c r="U30452" s="9"/>
      <c r="X30452" s="9"/>
    </row>
    <row r="30453">
      <c r="D30453" s="9"/>
      <c r="G30453" s="9"/>
      <c r="J30453" s="11"/>
      <c r="U30453" s="9"/>
      <c r="X30453" s="9"/>
    </row>
    <row r="30454">
      <c r="D30454" s="9"/>
      <c r="G30454" s="9"/>
      <c r="J30454" s="11"/>
      <c r="U30454" s="9"/>
      <c r="X30454" s="9"/>
    </row>
    <row r="30455">
      <c r="D30455" s="9"/>
      <c r="G30455" s="9"/>
      <c r="J30455" s="11"/>
      <c r="U30455" s="9"/>
      <c r="X30455" s="9"/>
    </row>
    <row r="30456">
      <c r="D30456" s="9"/>
      <c r="G30456" s="9"/>
      <c r="J30456" s="11"/>
      <c r="U30456" s="9"/>
      <c r="X30456" s="9"/>
    </row>
    <row r="30457">
      <c r="D30457" s="9"/>
      <c r="G30457" s="9"/>
      <c r="J30457" s="11"/>
      <c r="U30457" s="9"/>
      <c r="X30457" s="9"/>
    </row>
    <row r="30458">
      <c r="D30458" s="9"/>
      <c r="G30458" s="9"/>
      <c r="J30458" s="11"/>
      <c r="U30458" s="9"/>
      <c r="X30458" s="9"/>
    </row>
    <row r="30459">
      <c r="D30459" s="9"/>
      <c r="G30459" s="9"/>
      <c r="J30459" s="11"/>
      <c r="U30459" s="9"/>
      <c r="X30459" s="9"/>
    </row>
    <row r="30460">
      <c r="D30460" s="9"/>
      <c r="G30460" s="9"/>
      <c r="J30460" s="11"/>
      <c r="U30460" s="9"/>
      <c r="X30460" s="9"/>
    </row>
    <row r="30461">
      <c r="D30461" s="9"/>
      <c r="G30461" s="9"/>
      <c r="J30461" s="11"/>
      <c r="U30461" s="9"/>
      <c r="X30461" s="9"/>
    </row>
    <row r="30462">
      <c r="D30462" s="9"/>
      <c r="G30462" s="9"/>
      <c r="J30462" s="11"/>
      <c r="U30462" s="9"/>
      <c r="X30462" s="9"/>
    </row>
    <row r="30463">
      <c r="D30463" s="9"/>
      <c r="G30463" s="9"/>
      <c r="J30463" s="11"/>
      <c r="U30463" s="9"/>
      <c r="X30463" s="9"/>
    </row>
    <row r="30464">
      <c r="D30464" s="9"/>
      <c r="G30464" s="9"/>
      <c r="J30464" s="11"/>
      <c r="U30464" s="9"/>
      <c r="X30464" s="9"/>
    </row>
    <row r="30465">
      <c r="D30465" s="9"/>
      <c r="G30465" s="9"/>
      <c r="J30465" s="11"/>
      <c r="U30465" s="9"/>
      <c r="X30465" s="9"/>
    </row>
    <row r="30466">
      <c r="D30466" s="9"/>
      <c r="G30466" s="9"/>
      <c r="J30466" s="11"/>
      <c r="U30466" s="9"/>
      <c r="X30466" s="9"/>
    </row>
    <row r="30467">
      <c r="D30467" s="9"/>
      <c r="G30467" s="9"/>
      <c r="J30467" s="11"/>
      <c r="U30467" s="9"/>
      <c r="X30467" s="9"/>
    </row>
    <row r="30468">
      <c r="D30468" s="9"/>
      <c r="G30468" s="9"/>
      <c r="J30468" s="11"/>
      <c r="U30468" s="9"/>
      <c r="X30468" s="9"/>
    </row>
    <row r="30469">
      <c r="D30469" s="9"/>
      <c r="G30469" s="9"/>
      <c r="J30469" s="11"/>
      <c r="U30469" s="9"/>
      <c r="X30469" s="9"/>
    </row>
    <row r="30470">
      <c r="D30470" s="9"/>
      <c r="G30470" s="9"/>
      <c r="J30470" s="11"/>
      <c r="U30470" s="9"/>
      <c r="X30470" s="9"/>
    </row>
    <row r="30471">
      <c r="D30471" s="9"/>
      <c r="G30471" s="9"/>
      <c r="J30471" s="11"/>
      <c r="U30471" s="9"/>
      <c r="X30471" s="9"/>
    </row>
    <row r="30472">
      <c r="D30472" s="9"/>
      <c r="G30472" s="9"/>
      <c r="J30472" s="11"/>
      <c r="U30472" s="9"/>
      <c r="X30472" s="9"/>
    </row>
    <row r="30473">
      <c r="D30473" s="9"/>
      <c r="G30473" s="9"/>
      <c r="J30473" s="11"/>
      <c r="U30473" s="9"/>
      <c r="X30473" s="9"/>
    </row>
    <row r="30474">
      <c r="D30474" s="9"/>
      <c r="G30474" s="9"/>
      <c r="J30474" s="11"/>
      <c r="U30474" s="9"/>
      <c r="X30474" s="9"/>
    </row>
    <row r="30475">
      <c r="D30475" s="9"/>
      <c r="G30475" s="9"/>
      <c r="J30475" s="11"/>
      <c r="U30475" s="9"/>
      <c r="X30475" s="9"/>
    </row>
    <row r="30476">
      <c r="D30476" s="9"/>
      <c r="G30476" s="9"/>
      <c r="J30476" s="11"/>
      <c r="U30476" s="9"/>
      <c r="X30476" s="9"/>
    </row>
    <row r="30477">
      <c r="D30477" s="9"/>
      <c r="G30477" s="9"/>
      <c r="J30477" s="11"/>
      <c r="U30477" s="9"/>
      <c r="X30477" s="9"/>
    </row>
    <row r="30478">
      <c r="D30478" s="9"/>
      <c r="G30478" s="9"/>
      <c r="J30478" s="11"/>
      <c r="U30478" s="9"/>
      <c r="X30478" s="9"/>
    </row>
    <row r="30479">
      <c r="D30479" s="9"/>
      <c r="G30479" s="9"/>
      <c r="J30479" s="11"/>
      <c r="U30479" s="9"/>
      <c r="X30479" s="9"/>
    </row>
    <row r="30480">
      <c r="D30480" s="9"/>
      <c r="G30480" s="9"/>
      <c r="J30480" s="11"/>
      <c r="U30480" s="9"/>
      <c r="X30480" s="9"/>
    </row>
    <row r="30481">
      <c r="D30481" s="9"/>
      <c r="G30481" s="9"/>
      <c r="J30481" s="11"/>
      <c r="U30481" s="9"/>
      <c r="X30481" s="9"/>
    </row>
    <row r="30482">
      <c r="D30482" s="9"/>
      <c r="G30482" s="9"/>
      <c r="J30482" s="11"/>
      <c r="U30482" s="9"/>
      <c r="X30482" s="9"/>
    </row>
    <row r="30483">
      <c r="D30483" s="9"/>
      <c r="G30483" s="9"/>
      <c r="J30483" s="11"/>
      <c r="U30483" s="9"/>
      <c r="X30483" s="9"/>
    </row>
    <row r="30484">
      <c r="D30484" s="9"/>
      <c r="G30484" s="9"/>
      <c r="J30484" s="11"/>
      <c r="U30484" s="9"/>
      <c r="X30484" s="9"/>
    </row>
    <row r="30485">
      <c r="D30485" s="9"/>
      <c r="G30485" s="9"/>
      <c r="J30485" s="11"/>
      <c r="U30485" s="9"/>
      <c r="X30485" s="9"/>
    </row>
    <row r="30486">
      <c r="D30486" s="9"/>
      <c r="G30486" s="9"/>
      <c r="J30486" s="11"/>
      <c r="U30486" s="9"/>
      <c r="X30486" s="9"/>
    </row>
    <row r="30487">
      <c r="D30487" s="9"/>
      <c r="G30487" s="9"/>
      <c r="J30487" s="11"/>
      <c r="U30487" s="9"/>
      <c r="X30487" s="9"/>
    </row>
    <row r="30488">
      <c r="D30488" s="9"/>
      <c r="G30488" s="9"/>
      <c r="J30488" s="11"/>
      <c r="U30488" s="9"/>
      <c r="X30488" s="9"/>
    </row>
    <row r="30489">
      <c r="D30489" s="9"/>
      <c r="G30489" s="9"/>
      <c r="J30489" s="11"/>
      <c r="U30489" s="9"/>
      <c r="X30489" s="9"/>
    </row>
    <row r="30490">
      <c r="D30490" s="9"/>
      <c r="G30490" s="9"/>
      <c r="J30490" s="11"/>
      <c r="U30490" s="9"/>
      <c r="X30490" s="9"/>
    </row>
    <row r="30491">
      <c r="D30491" s="9"/>
      <c r="G30491" s="9"/>
      <c r="J30491" s="11"/>
      <c r="U30491" s="9"/>
      <c r="X30491" s="9"/>
    </row>
    <row r="30492">
      <c r="D30492" s="9"/>
      <c r="G30492" s="9"/>
      <c r="J30492" s="11"/>
      <c r="U30492" s="9"/>
      <c r="X30492" s="9"/>
    </row>
    <row r="30493">
      <c r="D30493" s="9"/>
      <c r="G30493" s="9"/>
      <c r="J30493" s="11"/>
      <c r="U30493" s="9"/>
      <c r="X30493" s="9"/>
    </row>
    <row r="30494">
      <c r="D30494" s="9"/>
      <c r="G30494" s="9"/>
      <c r="J30494" s="11"/>
      <c r="U30494" s="9"/>
      <c r="X30494" s="9"/>
    </row>
    <row r="30495">
      <c r="D30495" s="9"/>
      <c r="G30495" s="9"/>
      <c r="J30495" s="11"/>
      <c r="U30495" s="9"/>
      <c r="X30495" s="9"/>
    </row>
    <row r="30496">
      <c r="D30496" s="9"/>
      <c r="G30496" s="9"/>
      <c r="J30496" s="11"/>
      <c r="U30496" s="9"/>
      <c r="X30496" s="9"/>
    </row>
    <row r="30497">
      <c r="D30497" s="9"/>
      <c r="G30497" s="9"/>
      <c r="J30497" s="11"/>
      <c r="U30497" s="9"/>
      <c r="X30497" s="9"/>
    </row>
    <row r="30498">
      <c r="D30498" s="9"/>
      <c r="G30498" s="9"/>
      <c r="J30498" s="11"/>
      <c r="U30498" s="9"/>
      <c r="X30498" s="9"/>
    </row>
    <row r="30499">
      <c r="D30499" s="9"/>
      <c r="G30499" s="9"/>
      <c r="J30499" s="11"/>
      <c r="U30499" s="9"/>
      <c r="X30499" s="9"/>
    </row>
    <row r="30500">
      <c r="D30500" s="9"/>
      <c r="G30500" s="9"/>
      <c r="J30500" s="11"/>
      <c r="U30500" s="9"/>
      <c r="X30500" s="9"/>
    </row>
    <row r="30501">
      <c r="D30501" s="9"/>
      <c r="G30501" s="9"/>
      <c r="J30501" s="11"/>
      <c r="U30501" s="9"/>
      <c r="X30501" s="9"/>
    </row>
    <row r="30502">
      <c r="D30502" s="9"/>
      <c r="G30502" s="9"/>
      <c r="J30502" s="11"/>
      <c r="U30502" s="9"/>
      <c r="X30502" s="9"/>
    </row>
    <row r="30503">
      <c r="D30503" s="9"/>
      <c r="G30503" s="9"/>
      <c r="J30503" s="11"/>
      <c r="U30503" s="9"/>
      <c r="X30503" s="9"/>
    </row>
    <row r="30504">
      <c r="D30504" s="9"/>
      <c r="G30504" s="9"/>
      <c r="J30504" s="11"/>
      <c r="U30504" s="9"/>
      <c r="X30504" s="9"/>
    </row>
    <row r="30505">
      <c r="D30505" s="9"/>
      <c r="G30505" s="9"/>
      <c r="J30505" s="11"/>
      <c r="U30505" s="9"/>
      <c r="X30505" s="9"/>
    </row>
    <row r="30506">
      <c r="D30506" s="9"/>
      <c r="G30506" s="9"/>
      <c r="J30506" s="11"/>
      <c r="U30506" s="9"/>
      <c r="X30506" s="9"/>
    </row>
    <row r="30507">
      <c r="D30507" s="9"/>
      <c r="G30507" s="9"/>
      <c r="J30507" s="11"/>
      <c r="U30507" s="9"/>
      <c r="X30507" s="9"/>
    </row>
    <row r="30508">
      <c r="D30508" s="9"/>
      <c r="G30508" s="9"/>
      <c r="J30508" s="11"/>
      <c r="U30508" s="9"/>
      <c r="X30508" s="9"/>
    </row>
    <row r="30509">
      <c r="D30509" s="9"/>
      <c r="G30509" s="9"/>
      <c r="J30509" s="11"/>
      <c r="U30509" s="9"/>
      <c r="X30509" s="9"/>
    </row>
    <row r="30510">
      <c r="D30510" s="9"/>
      <c r="G30510" s="9"/>
      <c r="J30510" s="11"/>
      <c r="U30510" s="9"/>
      <c r="X30510" s="9"/>
    </row>
    <row r="30511">
      <c r="D30511" s="9"/>
      <c r="G30511" s="9"/>
      <c r="J30511" s="11"/>
      <c r="U30511" s="9"/>
      <c r="X30511" s="9"/>
    </row>
    <row r="30512">
      <c r="D30512" s="9"/>
      <c r="G30512" s="9"/>
      <c r="J30512" s="11"/>
      <c r="U30512" s="9"/>
      <c r="X30512" s="9"/>
    </row>
    <row r="30513">
      <c r="D30513" s="9"/>
      <c r="G30513" s="9"/>
      <c r="J30513" s="11"/>
      <c r="U30513" s="9"/>
      <c r="X30513" s="9"/>
    </row>
    <row r="30514">
      <c r="D30514" s="9"/>
      <c r="G30514" s="9"/>
      <c r="J30514" s="11"/>
      <c r="U30514" s="9"/>
      <c r="X30514" s="9"/>
    </row>
    <row r="30515">
      <c r="D30515" s="9"/>
      <c r="G30515" s="9"/>
      <c r="J30515" s="11"/>
      <c r="U30515" s="9"/>
      <c r="X30515" s="9"/>
    </row>
    <row r="30516">
      <c r="D30516" s="9"/>
      <c r="G30516" s="9"/>
      <c r="J30516" s="11"/>
      <c r="U30516" s="9"/>
      <c r="X30516" s="9"/>
    </row>
    <row r="30517">
      <c r="D30517" s="9"/>
      <c r="G30517" s="9"/>
      <c r="J30517" s="11"/>
      <c r="U30517" s="9"/>
      <c r="X30517" s="9"/>
    </row>
    <row r="30518">
      <c r="D30518" s="9"/>
      <c r="G30518" s="9"/>
      <c r="J30518" s="11"/>
      <c r="U30518" s="9"/>
      <c r="X30518" s="9"/>
    </row>
    <row r="30519">
      <c r="D30519" s="9"/>
      <c r="G30519" s="9"/>
      <c r="J30519" s="11"/>
      <c r="U30519" s="9"/>
      <c r="X30519" s="9"/>
    </row>
    <row r="30520">
      <c r="D30520" s="9"/>
      <c r="G30520" s="9"/>
      <c r="J30520" s="11"/>
      <c r="U30520" s="9"/>
      <c r="X30520" s="9"/>
    </row>
    <row r="30521">
      <c r="D30521" s="9"/>
      <c r="G30521" s="9"/>
      <c r="J30521" s="11"/>
      <c r="U30521" s="9"/>
      <c r="X30521" s="9"/>
    </row>
    <row r="30522">
      <c r="D30522" s="9"/>
      <c r="G30522" s="9"/>
      <c r="J30522" s="11"/>
      <c r="U30522" s="9"/>
      <c r="X30522" s="9"/>
    </row>
    <row r="30523">
      <c r="D30523" s="9"/>
      <c r="G30523" s="9"/>
      <c r="J30523" s="11"/>
      <c r="U30523" s="9"/>
      <c r="X30523" s="9"/>
    </row>
    <row r="30524">
      <c r="D30524" s="9"/>
      <c r="G30524" s="9"/>
      <c r="J30524" s="11"/>
      <c r="U30524" s="9"/>
      <c r="X30524" s="9"/>
    </row>
    <row r="30525">
      <c r="D30525" s="9"/>
      <c r="G30525" s="9"/>
      <c r="J30525" s="11"/>
      <c r="U30525" s="9"/>
      <c r="X30525" s="9"/>
    </row>
    <row r="30526">
      <c r="D30526" s="9"/>
      <c r="G30526" s="9"/>
      <c r="J30526" s="11"/>
      <c r="U30526" s="9"/>
      <c r="X30526" s="9"/>
    </row>
    <row r="30527">
      <c r="D30527" s="9"/>
      <c r="G30527" s="9"/>
      <c r="J30527" s="11"/>
      <c r="U30527" s="9"/>
      <c r="X30527" s="9"/>
    </row>
    <row r="30528">
      <c r="D30528" s="9"/>
      <c r="G30528" s="9"/>
      <c r="J30528" s="11"/>
      <c r="U30528" s="9"/>
      <c r="X30528" s="9"/>
    </row>
    <row r="30529">
      <c r="D30529" s="9"/>
      <c r="G30529" s="9"/>
      <c r="J30529" s="11"/>
      <c r="U30529" s="9"/>
      <c r="X30529" s="9"/>
    </row>
    <row r="30530">
      <c r="D30530" s="9"/>
      <c r="G30530" s="9"/>
      <c r="J30530" s="11"/>
      <c r="U30530" s="9"/>
      <c r="X30530" s="9"/>
    </row>
    <row r="30531">
      <c r="D30531" s="9"/>
      <c r="G30531" s="9"/>
      <c r="J30531" s="11"/>
      <c r="U30531" s="9"/>
      <c r="X30531" s="9"/>
    </row>
    <row r="30532">
      <c r="D30532" s="9"/>
      <c r="G30532" s="9"/>
      <c r="J30532" s="11"/>
      <c r="U30532" s="9"/>
      <c r="X30532" s="9"/>
    </row>
    <row r="30533">
      <c r="D30533" s="9"/>
      <c r="G30533" s="9"/>
      <c r="J30533" s="11"/>
      <c r="U30533" s="9"/>
      <c r="X30533" s="9"/>
    </row>
    <row r="30534">
      <c r="D30534" s="9"/>
      <c r="G30534" s="9"/>
      <c r="J30534" s="11"/>
      <c r="U30534" s="9"/>
      <c r="X30534" s="9"/>
    </row>
    <row r="30535">
      <c r="D30535" s="9"/>
      <c r="G30535" s="9"/>
      <c r="J30535" s="11"/>
      <c r="U30535" s="9"/>
      <c r="X30535" s="9"/>
    </row>
    <row r="30536">
      <c r="D30536" s="9"/>
      <c r="G30536" s="9"/>
      <c r="J30536" s="11"/>
      <c r="U30536" s="9"/>
      <c r="X30536" s="9"/>
    </row>
    <row r="30537">
      <c r="D30537" s="9"/>
      <c r="G30537" s="9"/>
      <c r="J30537" s="11"/>
      <c r="U30537" s="9"/>
      <c r="X30537" s="9"/>
    </row>
    <row r="30538">
      <c r="D30538" s="9"/>
      <c r="G30538" s="9"/>
      <c r="J30538" s="11"/>
      <c r="U30538" s="9"/>
      <c r="X30538" s="9"/>
    </row>
    <row r="30539">
      <c r="D30539" s="9"/>
      <c r="G30539" s="9"/>
      <c r="J30539" s="11"/>
      <c r="U30539" s="9"/>
      <c r="X30539" s="9"/>
    </row>
    <row r="30540">
      <c r="D30540" s="9"/>
      <c r="G30540" s="9"/>
      <c r="J30540" s="11"/>
      <c r="U30540" s="9"/>
      <c r="X30540" s="9"/>
    </row>
    <row r="30541">
      <c r="D30541" s="9"/>
      <c r="G30541" s="9"/>
      <c r="J30541" s="11"/>
      <c r="U30541" s="9"/>
      <c r="X30541" s="9"/>
    </row>
    <row r="30542">
      <c r="D30542" s="9"/>
      <c r="G30542" s="9"/>
      <c r="J30542" s="11"/>
      <c r="U30542" s="9"/>
      <c r="X30542" s="9"/>
    </row>
    <row r="30543">
      <c r="D30543" s="9"/>
      <c r="G30543" s="9"/>
      <c r="J30543" s="11"/>
      <c r="U30543" s="9"/>
      <c r="X30543" s="9"/>
    </row>
    <row r="30544">
      <c r="D30544" s="9"/>
      <c r="G30544" s="9"/>
      <c r="J30544" s="11"/>
      <c r="U30544" s="9"/>
      <c r="X30544" s="9"/>
    </row>
    <row r="30545">
      <c r="D30545" s="9"/>
      <c r="G30545" s="9"/>
      <c r="J30545" s="11"/>
      <c r="U30545" s="9"/>
      <c r="X30545" s="9"/>
    </row>
    <row r="30546">
      <c r="D30546" s="9"/>
      <c r="G30546" s="9"/>
      <c r="J30546" s="11"/>
      <c r="U30546" s="9"/>
      <c r="X30546" s="9"/>
    </row>
    <row r="30547">
      <c r="D30547" s="9"/>
      <c r="G30547" s="9"/>
      <c r="J30547" s="11"/>
      <c r="U30547" s="9"/>
      <c r="X30547" s="9"/>
    </row>
    <row r="30548">
      <c r="D30548" s="9"/>
      <c r="G30548" s="9"/>
      <c r="J30548" s="11"/>
      <c r="U30548" s="9"/>
      <c r="X30548" s="9"/>
    </row>
    <row r="30549">
      <c r="D30549" s="9"/>
      <c r="G30549" s="9"/>
      <c r="J30549" s="11"/>
      <c r="U30549" s="9"/>
      <c r="X30549" s="9"/>
    </row>
    <row r="30550">
      <c r="D30550" s="9"/>
      <c r="G30550" s="9"/>
      <c r="J30550" s="11"/>
      <c r="U30550" s="9"/>
      <c r="X30550" s="9"/>
    </row>
    <row r="30551">
      <c r="D30551" s="9"/>
      <c r="G30551" s="9"/>
      <c r="J30551" s="11"/>
      <c r="U30551" s="9"/>
      <c r="X30551" s="9"/>
    </row>
    <row r="30552">
      <c r="D30552" s="9"/>
      <c r="G30552" s="9"/>
      <c r="J30552" s="11"/>
      <c r="U30552" s="9"/>
      <c r="X30552" s="9"/>
    </row>
    <row r="30553">
      <c r="D30553" s="9"/>
      <c r="G30553" s="9"/>
      <c r="J30553" s="11"/>
      <c r="U30553" s="9"/>
      <c r="X30553" s="9"/>
    </row>
    <row r="30554">
      <c r="D30554" s="9"/>
      <c r="G30554" s="9"/>
      <c r="J30554" s="11"/>
      <c r="U30554" s="9"/>
      <c r="X30554" s="9"/>
    </row>
    <row r="30555">
      <c r="D30555" s="9"/>
      <c r="G30555" s="9"/>
      <c r="J30555" s="11"/>
      <c r="U30555" s="9"/>
      <c r="X30555" s="9"/>
    </row>
    <row r="30556">
      <c r="D30556" s="9"/>
      <c r="G30556" s="9"/>
      <c r="J30556" s="11"/>
      <c r="U30556" s="9"/>
      <c r="X30556" s="9"/>
    </row>
    <row r="30557">
      <c r="D30557" s="9"/>
      <c r="G30557" s="9"/>
      <c r="J30557" s="11"/>
      <c r="U30557" s="9"/>
      <c r="X30557" s="9"/>
    </row>
    <row r="30558">
      <c r="D30558" s="9"/>
      <c r="G30558" s="9"/>
      <c r="J30558" s="11"/>
      <c r="U30558" s="9"/>
      <c r="X30558" s="9"/>
    </row>
    <row r="30559">
      <c r="D30559" s="9"/>
      <c r="G30559" s="9"/>
      <c r="J30559" s="11"/>
      <c r="U30559" s="9"/>
      <c r="X30559" s="9"/>
    </row>
    <row r="30560">
      <c r="D30560" s="9"/>
      <c r="G30560" s="9"/>
      <c r="J30560" s="11"/>
      <c r="U30560" s="9"/>
      <c r="X30560" s="9"/>
    </row>
    <row r="30561">
      <c r="D30561" s="9"/>
      <c r="G30561" s="9"/>
      <c r="J30561" s="11"/>
      <c r="U30561" s="9"/>
      <c r="X30561" s="9"/>
    </row>
    <row r="30562">
      <c r="D30562" s="9"/>
      <c r="G30562" s="9"/>
      <c r="J30562" s="11"/>
      <c r="U30562" s="9"/>
      <c r="X30562" s="9"/>
    </row>
    <row r="30563">
      <c r="D30563" s="9"/>
      <c r="G30563" s="9"/>
      <c r="J30563" s="11"/>
      <c r="U30563" s="9"/>
      <c r="X30563" s="9"/>
    </row>
    <row r="30564">
      <c r="D30564" s="9"/>
      <c r="G30564" s="9"/>
      <c r="J30564" s="11"/>
      <c r="U30564" s="9"/>
      <c r="X30564" s="9"/>
    </row>
    <row r="30565">
      <c r="D30565" s="9"/>
      <c r="G30565" s="9"/>
      <c r="J30565" s="11"/>
      <c r="U30565" s="9"/>
      <c r="X30565" s="9"/>
    </row>
    <row r="30566">
      <c r="D30566" s="9"/>
      <c r="G30566" s="9"/>
      <c r="J30566" s="11"/>
      <c r="U30566" s="9"/>
      <c r="X30566" s="9"/>
    </row>
    <row r="30567">
      <c r="D30567" s="9"/>
      <c r="G30567" s="9"/>
      <c r="J30567" s="11"/>
      <c r="U30567" s="9"/>
      <c r="X30567" s="9"/>
    </row>
    <row r="30568">
      <c r="D30568" s="9"/>
      <c r="G30568" s="9"/>
      <c r="J30568" s="11"/>
      <c r="U30568" s="9"/>
      <c r="X30568" s="9"/>
    </row>
    <row r="30569">
      <c r="D30569" s="9"/>
      <c r="G30569" s="9"/>
      <c r="J30569" s="11"/>
      <c r="U30569" s="9"/>
      <c r="X30569" s="9"/>
    </row>
    <row r="30570">
      <c r="D30570" s="9"/>
      <c r="G30570" s="9"/>
      <c r="J30570" s="11"/>
      <c r="U30570" s="9"/>
      <c r="X30570" s="9"/>
    </row>
    <row r="30571">
      <c r="D30571" s="9"/>
      <c r="G30571" s="9"/>
      <c r="J30571" s="11"/>
      <c r="U30571" s="9"/>
      <c r="X30571" s="9"/>
    </row>
    <row r="30572">
      <c r="D30572" s="9"/>
      <c r="G30572" s="9"/>
      <c r="J30572" s="11"/>
      <c r="U30572" s="9"/>
      <c r="X30572" s="9"/>
    </row>
    <row r="30573">
      <c r="D30573" s="9"/>
      <c r="G30573" s="9"/>
      <c r="J30573" s="11"/>
      <c r="U30573" s="9"/>
      <c r="X30573" s="9"/>
    </row>
    <row r="30574">
      <c r="D30574" s="9"/>
      <c r="G30574" s="9"/>
      <c r="J30574" s="11"/>
      <c r="U30574" s="9"/>
      <c r="X30574" s="9"/>
    </row>
    <row r="30575">
      <c r="D30575" s="9"/>
      <c r="G30575" s="9"/>
      <c r="J30575" s="11"/>
      <c r="U30575" s="9"/>
      <c r="X30575" s="9"/>
    </row>
    <row r="30576">
      <c r="D30576" s="9"/>
      <c r="G30576" s="9"/>
      <c r="J30576" s="11"/>
      <c r="U30576" s="9"/>
      <c r="X30576" s="9"/>
    </row>
    <row r="30577">
      <c r="D30577" s="9"/>
      <c r="G30577" s="9"/>
      <c r="J30577" s="11"/>
      <c r="U30577" s="9"/>
      <c r="X30577" s="9"/>
    </row>
    <row r="30578">
      <c r="D30578" s="9"/>
      <c r="G30578" s="9"/>
      <c r="J30578" s="11"/>
      <c r="U30578" s="9"/>
      <c r="X30578" s="9"/>
    </row>
    <row r="30579">
      <c r="D30579" s="9"/>
      <c r="G30579" s="9"/>
      <c r="J30579" s="11"/>
      <c r="U30579" s="9"/>
      <c r="X30579" s="9"/>
    </row>
    <row r="30580">
      <c r="D30580" s="9"/>
      <c r="G30580" s="9"/>
      <c r="J30580" s="11"/>
      <c r="U30580" s="9"/>
      <c r="X30580" s="9"/>
    </row>
    <row r="30581">
      <c r="D30581" s="9"/>
      <c r="G30581" s="9"/>
      <c r="J30581" s="11"/>
      <c r="U30581" s="9"/>
      <c r="X30581" s="9"/>
    </row>
    <row r="30582">
      <c r="D30582" s="9"/>
      <c r="G30582" s="9"/>
      <c r="J30582" s="11"/>
      <c r="U30582" s="9"/>
      <c r="X30582" s="9"/>
    </row>
    <row r="30583">
      <c r="D30583" s="9"/>
      <c r="G30583" s="9"/>
      <c r="J30583" s="11"/>
      <c r="U30583" s="9"/>
      <c r="X30583" s="9"/>
    </row>
    <row r="30584">
      <c r="D30584" s="9"/>
      <c r="G30584" s="9"/>
      <c r="J30584" s="11"/>
      <c r="U30584" s="9"/>
      <c r="X30584" s="9"/>
    </row>
    <row r="30585">
      <c r="D30585" s="9"/>
      <c r="G30585" s="9"/>
      <c r="J30585" s="11"/>
      <c r="U30585" s="9"/>
      <c r="X30585" s="9"/>
    </row>
    <row r="30586">
      <c r="D30586" s="9"/>
      <c r="G30586" s="9"/>
      <c r="J30586" s="11"/>
      <c r="U30586" s="9"/>
      <c r="X30586" s="9"/>
    </row>
    <row r="30587">
      <c r="D30587" s="9"/>
      <c r="G30587" s="9"/>
      <c r="J30587" s="11"/>
      <c r="U30587" s="9"/>
      <c r="X30587" s="9"/>
    </row>
    <row r="30588">
      <c r="D30588" s="9"/>
      <c r="G30588" s="9"/>
      <c r="J30588" s="11"/>
      <c r="U30588" s="9"/>
      <c r="X30588" s="9"/>
    </row>
    <row r="30589">
      <c r="D30589" s="9"/>
      <c r="G30589" s="9"/>
      <c r="J30589" s="11"/>
      <c r="U30589" s="9"/>
      <c r="X30589" s="9"/>
    </row>
    <row r="30590">
      <c r="D30590" s="9"/>
      <c r="G30590" s="9"/>
      <c r="J30590" s="11"/>
      <c r="U30590" s="9"/>
      <c r="X30590" s="9"/>
    </row>
    <row r="30591">
      <c r="D30591" s="9"/>
      <c r="G30591" s="9"/>
      <c r="J30591" s="11"/>
      <c r="U30591" s="9"/>
      <c r="X30591" s="9"/>
    </row>
    <row r="30592">
      <c r="D30592" s="9"/>
      <c r="G30592" s="9"/>
      <c r="J30592" s="11"/>
      <c r="U30592" s="9"/>
      <c r="X30592" s="9"/>
    </row>
    <row r="30593">
      <c r="D30593" s="9"/>
      <c r="G30593" s="9"/>
      <c r="J30593" s="11"/>
      <c r="U30593" s="9"/>
      <c r="X30593" s="9"/>
    </row>
    <row r="30594">
      <c r="D30594" s="9"/>
      <c r="G30594" s="9"/>
      <c r="J30594" s="11"/>
      <c r="U30594" s="9"/>
      <c r="X30594" s="9"/>
    </row>
    <row r="30595">
      <c r="D30595" s="9"/>
      <c r="G30595" s="9"/>
      <c r="J30595" s="11"/>
      <c r="U30595" s="9"/>
      <c r="X30595" s="9"/>
    </row>
    <row r="30596">
      <c r="D30596" s="9"/>
      <c r="G30596" s="9"/>
      <c r="J30596" s="11"/>
      <c r="U30596" s="9"/>
      <c r="X30596" s="9"/>
    </row>
    <row r="30597">
      <c r="D30597" s="9"/>
      <c r="G30597" s="9"/>
      <c r="J30597" s="11"/>
      <c r="U30597" s="9"/>
      <c r="X30597" s="9"/>
    </row>
    <row r="30598">
      <c r="D30598" s="9"/>
      <c r="G30598" s="9"/>
      <c r="J30598" s="11"/>
      <c r="U30598" s="9"/>
      <c r="X30598" s="9"/>
    </row>
    <row r="30599">
      <c r="D30599" s="9"/>
      <c r="G30599" s="9"/>
      <c r="J30599" s="11"/>
      <c r="U30599" s="9"/>
      <c r="X30599" s="9"/>
    </row>
    <row r="30600">
      <c r="D30600" s="9"/>
      <c r="G30600" s="9"/>
      <c r="J30600" s="11"/>
      <c r="U30600" s="9"/>
      <c r="X30600" s="9"/>
    </row>
    <row r="30601">
      <c r="D30601" s="9"/>
      <c r="G30601" s="9"/>
      <c r="J30601" s="11"/>
      <c r="U30601" s="9"/>
      <c r="X30601" s="9"/>
    </row>
    <row r="30602">
      <c r="D30602" s="9"/>
      <c r="G30602" s="9"/>
      <c r="J30602" s="11"/>
      <c r="U30602" s="9"/>
      <c r="X30602" s="9"/>
    </row>
    <row r="30603">
      <c r="D30603" s="9"/>
      <c r="G30603" s="9"/>
      <c r="J30603" s="11"/>
      <c r="U30603" s="9"/>
      <c r="X30603" s="9"/>
    </row>
    <row r="30604">
      <c r="D30604" s="9"/>
      <c r="G30604" s="9"/>
      <c r="J30604" s="11"/>
      <c r="U30604" s="9"/>
      <c r="X30604" s="9"/>
    </row>
    <row r="30605">
      <c r="D30605" s="9"/>
      <c r="G30605" s="9"/>
      <c r="J30605" s="11"/>
      <c r="U30605" s="9"/>
      <c r="X30605" s="9"/>
    </row>
    <row r="30606">
      <c r="D30606" s="9"/>
      <c r="G30606" s="9"/>
      <c r="J30606" s="11"/>
      <c r="U30606" s="9"/>
      <c r="X30606" s="9"/>
    </row>
    <row r="30607">
      <c r="D30607" s="9"/>
      <c r="G30607" s="9"/>
      <c r="J30607" s="11"/>
      <c r="U30607" s="9"/>
      <c r="X30607" s="9"/>
    </row>
    <row r="30608">
      <c r="D30608" s="9"/>
      <c r="G30608" s="9"/>
      <c r="J30608" s="11"/>
      <c r="U30608" s="9"/>
      <c r="X30608" s="9"/>
    </row>
    <row r="30609">
      <c r="D30609" s="9"/>
      <c r="G30609" s="9"/>
      <c r="J30609" s="11"/>
      <c r="U30609" s="9"/>
      <c r="X30609" s="9"/>
    </row>
    <row r="30610">
      <c r="D30610" s="9"/>
      <c r="G30610" s="9"/>
      <c r="J30610" s="11"/>
      <c r="U30610" s="9"/>
      <c r="X30610" s="9"/>
    </row>
    <row r="30611">
      <c r="D30611" s="9"/>
      <c r="G30611" s="9"/>
      <c r="J30611" s="11"/>
      <c r="U30611" s="9"/>
      <c r="X30611" s="9"/>
    </row>
    <row r="30612">
      <c r="D30612" s="9"/>
      <c r="G30612" s="9"/>
      <c r="J30612" s="11"/>
      <c r="U30612" s="9"/>
      <c r="X30612" s="9"/>
    </row>
    <row r="30613">
      <c r="D30613" s="9"/>
      <c r="G30613" s="9"/>
      <c r="J30613" s="11"/>
      <c r="U30613" s="9"/>
      <c r="X30613" s="9"/>
    </row>
    <row r="30614">
      <c r="D30614" s="9"/>
      <c r="G30614" s="9"/>
      <c r="J30614" s="11"/>
      <c r="U30614" s="9"/>
      <c r="X30614" s="9"/>
    </row>
    <row r="30615">
      <c r="D30615" s="9"/>
      <c r="G30615" s="9"/>
      <c r="J30615" s="11"/>
      <c r="U30615" s="9"/>
      <c r="X30615" s="9"/>
    </row>
    <row r="30616">
      <c r="D30616" s="9"/>
      <c r="G30616" s="9"/>
      <c r="J30616" s="11"/>
      <c r="U30616" s="9"/>
      <c r="X30616" s="9"/>
    </row>
    <row r="30617">
      <c r="D30617" s="9"/>
      <c r="G30617" s="9"/>
      <c r="J30617" s="11"/>
      <c r="U30617" s="9"/>
      <c r="X30617" s="9"/>
    </row>
    <row r="30618">
      <c r="D30618" s="9"/>
      <c r="G30618" s="9"/>
      <c r="J30618" s="11"/>
      <c r="U30618" s="9"/>
      <c r="X30618" s="9"/>
    </row>
    <row r="30619">
      <c r="D30619" s="9"/>
      <c r="G30619" s="9"/>
      <c r="J30619" s="11"/>
      <c r="U30619" s="9"/>
      <c r="X30619" s="9"/>
    </row>
    <row r="30620">
      <c r="D30620" s="9"/>
      <c r="G30620" s="9"/>
      <c r="J30620" s="11"/>
      <c r="U30620" s="9"/>
      <c r="X30620" s="9"/>
    </row>
    <row r="30621">
      <c r="D30621" s="9"/>
      <c r="G30621" s="9"/>
      <c r="J30621" s="11"/>
      <c r="U30621" s="9"/>
      <c r="X30621" s="9"/>
    </row>
    <row r="30622">
      <c r="D30622" s="9"/>
      <c r="G30622" s="9"/>
      <c r="J30622" s="11"/>
      <c r="U30622" s="9"/>
      <c r="X30622" s="9"/>
    </row>
    <row r="30623">
      <c r="D30623" s="9"/>
      <c r="G30623" s="9"/>
      <c r="J30623" s="11"/>
      <c r="U30623" s="9"/>
      <c r="X30623" s="9"/>
    </row>
    <row r="30624">
      <c r="D30624" s="9"/>
      <c r="G30624" s="9"/>
      <c r="J30624" s="11"/>
      <c r="U30624" s="9"/>
      <c r="X30624" s="9"/>
    </row>
    <row r="30625">
      <c r="D30625" s="9"/>
      <c r="G30625" s="9"/>
      <c r="J30625" s="11"/>
      <c r="U30625" s="9"/>
      <c r="X30625" s="9"/>
    </row>
    <row r="30626">
      <c r="D30626" s="9"/>
      <c r="G30626" s="9"/>
      <c r="J30626" s="11"/>
      <c r="U30626" s="9"/>
      <c r="X30626" s="9"/>
    </row>
    <row r="30627">
      <c r="D30627" s="9"/>
      <c r="G30627" s="9"/>
      <c r="J30627" s="11"/>
      <c r="U30627" s="9"/>
      <c r="X30627" s="9"/>
    </row>
    <row r="30628">
      <c r="D30628" s="9"/>
      <c r="G30628" s="9"/>
      <c r="J30628" s="11"/>
      <c r="U30628" s="9"/>
      <c r="X30628" s="9"/>
    </row>
    <row r="30629">
      <c r="D30629" s="9"/>
      <c r="G30629" s="9"/>
      <c r="J30629" s="11"/>
      <c r="U30629" s="9"/>
      <c r="X30629" s="9"/>
    </row>
    <row r="30630">
      <c r="D30630" s="9"/>
      <c r="G30630" s="9"/>
      <c r="J30630" s="11"/>
      <c r="U30630" s="9"/>
      <c r="X30630" s="9"/>
    </row>
    <row r="30631">
      <c r="D30631" s="9"/>
      <c r="G30631" s="9"/>
      <c r="J30631" s="11"/>
      <c r="U30631" s="9"/>
      <c r="X30631" s="9"/>
    </row>
    <row r="30632">
      <c r="D30632" s="9"/>
      <c r="G30632" s="9"/>
      <c r="J30632" s="11"/>
      <c r="U30632" s="9"/>
      <c r="X30632" s="9"/>
    </row>
    <row r="30633">
      <c r="D30633" s="9"/>
      <c r="G30633" s="9"/>
      <c r="J30633" s="11"/>
      <c r="U30633" s="9"/>
      <c r="X30633" s="9"/>
    </row>
    <row r="30634">
      <c r="D30634" s="9"/>
      <c r="G30634" s="9"/>
      <c r="J30634" s="11"/>
      <c r="U30634" s="9"/>
      <c r="X30634" s="9"/>
    </row>
    <row r="30635">
      <c r="D30635" s="9"/>
      <c r="G30635" s="9"/>
      <c r="J30635" s="11"/>
      <c r="U30635" s="9"/>
      <c r="X30635" s="9"/>
    </row>
    <row r="30636">
      <c r="D30636" s="9"/>
      <c r="G30636" s="9"/>
      <c r="J30636" s="11"/>
      <c r="U30636" s="9"/>
      <c r="X30636" s="9"/>
    </row>
    <row r="30637">
      <c r="D30637" s="9"/>
      <c r="G30637" s="9"/>
      <c r="J30637" s="11"/>
      <c r="U30637" s="9"/>
      <c r="X30637" s="9"/>
    </row>
    <row r="30638">
      <c r="D30638" s="9"/>
      <c r="G30638" s="9"/>
      <c r="J30638" s="11"/>
      <c r="U30638" s="9"/>
      <c r="X30638" s="9"/>
    </row>
    <row r="30639">
      <c r="D30639" s="9"/>
      <c r="G30639" s="9"/>
      <c r="J30639" s="11"/>
      <c r="U30639" s="9"/>
      <c r="X30639" s="9"/>
    </row>
    <row r="30640">
      <c r="D30640" s="9"/>
      <c r="G30640" s="9"/>
      <c r="J30640" s="11"/>
      <c r="U30640" s="9"/>
      <c r="X30640" s="9"/>
    </row>
    <row r="30641">
      <c r="D30641" s="9"/>
      <c r="G30641" s="9"/>
      <c r="J30641" s="11"/>
      <c r="U30641" s="9"/>
      <c r="X30641" s="9"/>
    </row>
    <row r="30642">
      <c r="D30642" s="9"/>
      <c r="G30642" s="9"/>
      <c r="J30642" s="11"/>
      <c r="U30642" s="9"/>
      <c r="X30642" s="9"/>
    </row>
    <row r="30643">
      <c r="D30643" s="9"/>
      <c r="G30643" s="9"/>
      <c r="J30643" s="11"/>
      <c r="U30643" s="9"/>
      <c r="X30643" s="9"/>
    </row>
    <row r="30644">
      <c r="D30644" s="9"/>
      <c r="G30644" s="9"/>
      <c r="J30644" s="11"/>
      <c r="U30644" s="9"/>
      <c r="X30644" s="9"/>
    </row>
    <row r="30645">
      <c r="D30645" s="9"/>
      <c r="G30645" s="9"/>
      <c r="J30645" s="11"/>
      <c r="U30645" s="9"/>
      <c r="X30645" s="9"/>
    </row>
    <row r="30646">
      <c r="D30646" s="9"/>
      <c r="G30646" s="9"/>
      <c r="J30646" s="11"/>
      <c r="U30646" s="9"/>
      <c r="X30646" s="9"/>
    </row>
    <row r="30647">
      <c r="D30647" s="9"/>
      <c r="G30647" s="9"/>
      <c r="J30647" s="11"/>
      <c r="U30647" s="9"/>
      <c r="X30647" s="9"/>
    </row>
    <row r="30648">
      <c r="D30648" s="9"/>
      <c r="G30648" s="9"/>
      <c r="J30648" s="11"/>
      <c r="U30648" s="9"/>
      <c r="X30648" s="9"/>
    </row>
    <row r="30649">
      <c r="D30649" s="9"/>
      <c r="G30649" s="9"/>
      <c r="J30649" s="11"/>
      <c r="U30649" s="9"/>
      <c r="X30649" s="9"/>
    </row>
    <row r="30650">
      <c r="D30650" s="9"/>
      <c r="G30650" s="9"/>
      <c r="J30650" s="11"/>
      <c r="U30650" s="9"/>
      <c r="X30650" s="9"/>
    </row>
    <row r="30651">
      <c r="D30651" s="9"/>
      <c r="G30651" s="9"/>
      <c r="J30651" s="11"/>
      <c r="U30651" s="9"/>
      <c r="X30651" s="9"/>
    </row>
    <row r="30652">
      <c r="D30652" s="9"/>
      <c r="G30652" s="9"/>
      <c r="J30652" s="11"/>
      <c r="U30652" s="9"/>
      <c r="X30652" s="9"/>
    </row>
    <row r="30653">
      <c r="D30653" s="9"/>
      <c r="G30653" s="9"/>
      <c r="J30653" s="11"/>
      <c r="U30653" s="9"/>
      <c r="X30653" s="9"/>
    </row>
    <row r="30654">
      <c r="D30654" s="9"/>
      <c r="G30654" s="9"/>
      <c r="J30654" s="11"/>
      <c r="U30654" s="9"/>
      <c r="X30654" s="9"/>
    </row>
    <row r="30655">
      <c r="D30655" s="9"/>
      <c r="G30655" s="9"/>
      <c r="J30655" s="11"/>
      <c r="U30655" s="9"/>
      <c r="X30655" s="9"/>
    </row>
    <row r="30656">
      <c r="D30656" s="9"/>
      <c r="G30656" s="9"/>
      <c r="J30656" s="11"/>
      <c r="U30656" s="9"/>
      <c r="X30656" s="9"/>
    </row>
    <row r="30657">
      <c r="D30657" s="9"/>
      <c r="G30657" s="9"/>
      <c r="J30657" s="11"/>
      <c r="U30657" s="9"/>
      <c r="X30657" s="9"/>
    </row>
    <row r="30658">
      <c r="D30658" s="9"/>
      <c r="G30658" s="9"/>
      <c r="J30658" s="11"/>
      <c r="U30658" s="9"/>
      <c r="X30658" s="9"/>
    </row>
    <row r="30659">
      <c r="D30659" s="9"/>
      <c r="G30659" s="9"/>
      <c r="J30659" s="11"/>
      <c r="U30659" s="9"/>
      <c r="X30659" s="9"/>
    </row>
    <row r="30660">
      <c r="D30660" s="9"/>
      <c r="G30660" s="9"/>
      <c r="J30660" s="11"/>
      <c r="U30660" s="9"/>
      <c r="X30660" s="9"/>
    </row>
    <row r="30661">
      <c r="D30661" s="9"/>
      <c r="G30661" s="9"/>
      <c r="J30661" s="11"/>
      <c r="U30661" s="9"/>
      <c r="X30661" s="9"/>
    </row>
    <row r="30662">
      <c r="D30662" s="9"/>
      <c r="G30662" s="9"/>
      <c r="J30662" s="11"/>
      <c r="U30662" s="9"/>
      <c r="X30662" s="9"/>
    </row>
    <row r="30663">
      <c r="D30663" s="9"/>
      <c r="G30663" s="9"/>
      <c r="J30663" s="11"/>
      <c r="U30663" s="9"/>
      <c r="X30663" s="9"/>
    </row>
    <row r="30664">
      <c r="D30664" s="9"/>
      <c r="G30664" s="9"/>
      <c r="J30664" s="11"/>
      <c r="U30664" s="9"/>
      <c r="X30664" s="9"/>
    </row>
    <row r="30665">
      <c r="D30665" s="9"/>
      <c r="G30665" s="9"/>
      <c r="J30665" s="11"/>
      <c r="U30665" s="9"/>
      <c r="X30665" s="9"/>
    </row>
    <row r="30666">
      <c r="D30666" s="9"/>
      <c r="G30666" s="9"/>
      <c r="J30666" s="11"/>
      <c r="U30666" s="9"/>
      <c r="X30666" s="9"/>
    </row>
    <row r="30667">
      <c r="D30667" s="9"/>
      <c r="G30667" s="9"/>
      <c r="J30667" s="11"/>
      <c r="U30667" s="9"/>
      <c r="X30667" s="9"/>
    </row>
    <row r="30668">
      <c r="D30668" s="9"/>
      <c r="G30668" s="9"/>
      <c r="J30668" s="11"/>
      <c r="U30668" s="9"/>
      <c r="X30668" s="9"/>
    </row>
    <row r="30669">
      <c r="D30669" s="9"/>
      <c r="G30669" s="9"/>
      <c r="J30669" s="11"/>
      <c r="U30669" s="9"/>
      <c r="X30669" s="9"/>
    </row>
    <row r="30670">
      <c r="D30670" s="9"/>
      <c r="G30670" s="9"/>
      <c r="J30670" s="11"/>
      <c r="U30670" s="9"/>
      <c r="X30670" s="9"/>
    </row>
    <row r="30671">
      <c r="D30671" s="9"/>
      <c r="G30671" s="9"/>
      <c r="J30671" s="11"/>
      <c r="U30671" s="9"/>
      <c r="X30671" s="9"/>
    </row>
    <row r="30672">
      <c r="D30672" s="9"/>
      <c r="G30672" s="9"/>
      <c r="J30672" s="11"/>
      <c r="U30672" s="9"/>
      <c r="X30672" s="9"/>
    </row>
    <row r="30673">
      <c r="D30673" s="9"/>
      <c r="G30673" s="9"/>
      <c r="J30673" s="11"/>
      <c r="U30673" s="9"/>
      <c r="X30673" s="9"/>
    </row>
    <row r="30674">
      <c r="D30674" s="9"/>
      <c r="G30674" s="9"/>
      <c r="J30674" s="11"/>
      <c r="U30674" s="9"/>
      <c r="X30674" s="9"/>
    </row>
    <row r="30675">
      <c r="D30675" s="9"/>
      <c r="G30675" s="9"/>
      <c r="J30675" s="11"/>
      <c r="U30675" s="9"/>
      <c r="X30675" s="9"/>
    </row>
    <row r="30676">
      <c r="D30676" s="9"/>
      <c r="G30676" s="9"/>
      <c r="J30676" s="11"/>
      <c r="U30676" s="9"/>
      <c r="X30676" s="9"/>
    </row>
    <row r="30677">
      <c r="D30677" s="9"/>
      <c r="G30677" s="9"/>
      <c r="J30677" s="11"/>
      <c r="U30677" s="9"/>
      <c r="X30677" s="9"/>
    </row>
    <row r="30678">
      <c r="D30678" s="9"/>
      <c r="G30678" s="9"/>
      <c r="J30678" s="11"/>
      <c r="U30678" s="9"/>
      <c r="X30678" s="9"/>
    </row>
    <row r="30679">
      <c r="D30679" s="9"/>
      <c r="G30679" s="9"/>
      <c r="J30679" s="11"/>
      <c r="U30679" s="9"/>
      <c r="X30679" s="9"/>
    </row>
    <row r="30680">
      <c r="D30680" s="9"/>
      <c r="G30680" s="9"/>
      <c r="J30680" s="11"/>
      <c r="U30680" s="9"/>
      <c r="X30680" s="9"/>
    </row>
    <row r="30681">
      <c r="D30681" s="9"/>
      <c r="G30681" s="9"/>
      <c r="J30681" s="11"/>
      <c r="U30681" s="9"/>
      <c r="X30681" s="9"/>
    </row>
    <row r="30682">
      <c r="D30682" s="9"/>
      <c r="G30682" s="9"/>
      <c r="J30682" s="11"/>
      <c r="U30682" s="9"/>
      <c r="X30682" s="9"/>
    </row>
    <row r="30683">
      <c r="D30683" s="9"/>
      <c r="G30683" s="9"/>
      <c r="J30683" s="11"/>
      <c r="U30683" s="9"/>
      <c r="X30683" s="9"/>
    </row>
    <row r="30684">
      <c r="D30684" s="9"/>
      <c r="G30684" s="9"/>
      <c r="J30684" s="11"/>
      <c r="U30684" s="9"/>
      <c r="X30684" s="9"/>
    </row>
    <row r="30685">
      <c r="D30685" s="9"/>
      <c r="G30685" s="9"/>
      <c r="J30685" s="11"/>
      <c r="U30685" s="9"/>
      <c r="X30685" s="9"/>
    </row>
    <row r="30686">
      <c r="D30686" s="9"/>
      <c r="G30686" s="9"/>
      <c r="J30686" s="11"/>
      <c r="U30686" s="9"/>
      <c r="X30686" s="9"/>
    </row>
    <row r="30687">
      <c r="D30687" s="9"/>
      <c r="G30687" s="9"/>
      <c r="J30687" s="11"/>
      <c r="U30687" s="9"/>
      <c r="X30687" s="9"/>
    </row>
    <row r="30688">
      <c r="D30688" s="9"/>
      <c r="G30688" s="9"/>
      <c r="J30688" s="11"/>
      <c r="U30688" s="9"/>
      <c r="X30688" s="9"/>
    </row>
    <row r="30689">
      <c r="D30689" s="9"/>
      <c r="G30689" s="9"/>
      <c r="J30689" s="11"/>
      <c r="U30689" s="9"/>
      <c r="X30689" s="9"/>
    </row>
    <row r="30690">
      <c r="D30690" s="9"/>
      <c r="G30690" s="9"/>
      <c r="J30690" s="11"/>
      <c r="U30690" s="9"/>
      <c r="X30690" s="9"/>
    </row>
    <row r="30691">
      <c r="D30691" s="9"/>
      <c r="G30691" s="9"/>
      <c r="J30691" s="11"/>
      <c r="U30691" s="9"/>
      <c r="X30691" s="9"/>
    </row>
    <row r="30692">
      <c r="D30692" s="9"/>
      <c r="G30692" s="9"/>
      <c r="J30692" s="11"/>
      <c r="U30692" s="9"/>
      <c r="X30692" s="9"/>
    </row>
    <row r="30693">
      <c r="D30693" s="9"/>
      <c r="G30693" s="9"/>
      <c r="J30693" s="11"/>
      <c r="U30693" s="9"/>
      <c r="X30693" s="9"/>
    </row>
    <row r="30694">
      <c r="D30694" s="9"/>
      <c r="G30694" s="9"/>
      <c r="J30694" s="11"/>
      <c r="U30694" s="9"/>
      <c r="X30694" s="9"/>
    </row>
    <row r="30695">
      <c r="D30695" s="9"/>
      <c r="G30695" s="9"/>
      <c r="J30695" s="11"/>
      <c r="U30695" s="9"/>
      <c r="X30695" s="9"/>
    </row>
    <row r="30696">
      <c r="D30696" s="9"/>
      <c r="G30696" s="9"/>
      <c r="J30696" s="11"/>
      <c r="U30696" s="9"/>
      <c r="X30696" s="9"/>
    </row>
    <row r="30697">
      <c r="D30697" s="9"/>
      <c r="G30697" s="9"/>
      <c r="J30697" s="11"/>
      <c r="U30697" s="9"/>
      <c r="X30697" s="9"/>
    </row>
    <row r="30698">
      <c r="D30698" s="9"/>
      <c r="G30698" s="9"/>
      <c r="J30698" s="11"/>
      <c r="U30698" s="9"/>
      <c r="X30698" s="9"/>
    </row>
    <row r="30699">
      <c r="D30699" s="9"/>
      <c r="G30699" s="9"/>
      <c r="J30699" s="11"/>
      <c r="U30699" s="9"/>
      <c r="X30699" s="9"/>
    </row>
    <row r="30700">
      <c r="D30700" s="9"/>
      <c r="G30700" s="9"/>
      <c r="J30700" s="11"/>
      <c r="U30700" s="9"/>
      <c r="X30700" s="9"/>
    </row>
    <row r="30701">
      <c r="D30701" s="9"/>
      <c r="G30701" s="9"/>
      <c r="J30701" s="11"/>
      <c r="U30701" s="9"/>
      <c r="X30701" s="9"/>
    </row>
    <row r="30702">
      <c r="D30702" s="9"/>
      <c r="G30702" s="9"/>
      <c r="J30702" s="11"/>
      <c r="U30702" s="9"/>
      <c r="X30702" s="9"/>
    </row>
    <row r="30703">
      <c r="D30703" s="9"/>
      <c r="G30703" s="9"/>
      <c r="J30703" s="11"/>
      <c r="U30703" s="9"/>
      <c r="X30703" s="9"/>
    </row>
    <row r="30704">
      <c r="D30704" s="9"/>
      <c r="G30704" s="9"/>
      <c r="J30704" s="11"/>
      <c r="U30704" s="9"/>
      <c r="X30704" s="9"/>
    </row>
    <row r="30705">
      <c r="D30705" s="9"/>
      <c r="G30705" s="9"/>
      <c r="J30705" s="11"/>
      <c r="U30705" s="9"/>
      <c r="X30705" s="9"/>
    </row>
    <row r="30706">
      <c r="D30706" s="9"/>
      <c r="G30706" s="9"/>
      <c r="J30706" s="11"/>
      <c r="U30706" s="9"/>
      <c r="X30706" s="9"/>
    </row>
    <row r="30707">
      <c r="D30707" s="9"/>
      <c r="G30707" s="9"/>
      <c r="J30707" s="11"/>
      <c r="U30707" s="9"/>
      <c r="X30707" s="9"/>
    </row>
    <row r="30708">
      <c r="D30708" s="9"/>
      <c r="G30708" s="9"/>
      <c r="J30708" s="11"/>
      <c r="U30708" s="9"/>
      <c r="X30708" s="9"/>
    </row>
    <row r="30709">
      <c r="D30709" s="9"/>
      <c r="G30709" s="9"/>
      <c r="J30709" s="11"/>
      <c r="U30709" s="9"/>
      <c r="X30709" s="9"/>
    </row>
    <row r="30710">
      <c r="D30710" s="9"/>
      <c r="G30710" s="9"/>
      <c r="J30710" s="11"/>
      <c r="U30710" s="9"/>
      <c r="X30710" s="9"/>
    </row>
    <row r="30711">
      <c r="D30711" s="9"/>
      <c r="G30711" s="9"/>
      <c r="J30711" s="11"/>
      <c r="U30711" s="9"/>
      <c r="X30711" s="9"/>
    </row>
    <row r="30712">
      <c r="D30712" s="9"/>
      <c r="G30712" s="9"/>
      <c r="J30712" s="11"/>
      <c r="U30712" s="9"/>
      <c r="X30712" s="9"/>
    </row>
    <row r="30713">
      <c r="D30713" s="9"/>
      <c r="G30713" s="9"/>
      <c r="J30713" s="11"/>
      <c r="U30713" s="9"/>
      <c r="X30713" s="9"/>
    </row>
    <row r="30714">
      <c r="D30714" s="9"/>
      <c r="G30714" s="9"/>
      <c r="J30714" s="11"/>
      <c r="U30714" s="9"/>
      <c r="X30714" s="9"/>
    </row>
    <row r="30715">
      <c r="D30715" s="9"/>
      <c r="G30715" s="9"/>
      <c r="J30715" s="11"/>
      <c r="U30715" s="9"/>
      <c r="X30715" s="9"/>
    </row>
    <row r="30716">
      <c r="D30716" s="9"/>
      <c r="G30716" s="9"/>
      <c r="J30716" s="11"/>
      <c r="U30716" s="9"/>
      <c r="X30716" s="9"/>
    </row>
    <row r="30717">
      <c r="D30717" s="9"/>
      <c r="G30717" s="9"/>
      <c r="J30717" s="11"/>
      <c r="U30717" s="9"/>
      <c r="X30717" s="9"/>
    </row>
    <row r="30718">
      <c r="D30718" s="9"/>
      <c r="G30718" s="9"/>
      <c r="J30718" s="11"/>
      <c r="U30718" s="9"/>
      <c r="X30718" s="9"/>
    </row>
    <row r="30719">
      <c r="D30719" s="9"/>
      <c r="G30719" s="9"/>
      <c r="J30719" s="11"/>
      <c r="U30719" s="9"/>
      <c r="X30719" s="9"/>
    </row>
    <row r="30720">
      <c r="D30720" s="9"/>
      <c r="G30720" s="9"/>
      <c r="J30720" s="11"/>
      <c r="U30720" s="9"/>
      <c r="X30720" s="9"/>
    </row>
    <row r="30721">
      <c r="D30721" s="9"/>
      <c r="G30721" s="9"/>
      <c r="J30721" s="11"/>
      <c r="U30721" s="9"/>
      <c r="X30721" s="9"/>
    </row>
    <row r="30722">
      <c r="D30722" s="9"/>
      <c r="G30722" s="9"/>
      <c r="J30722" s="11"/>
      <c r="U30722" s="9"/>
      <c r="X30722" s="9"/>
    </row>
    <row r="30723">
      <c r="D30723" s="9"/>
      <c r="G30723" s="9"/>
      <c r="J30723" s="11"/>
      <c r="U30723" s="9"/>
      <c r="X30723" s="9"/>
    </row>
    <row r="30724">
      <c r="D30724" s="9"/>
      <c r="G30724" s="9"/>
      <c r="J30724" s="11"/>
      <c r="U30724" s="9"/>
      <c r="X30724" s="9"/>
    </row>
    <row r="30725">
      <c r="D30725" s="9"/>
      <c r="G30725" s="9"/>
      <c r="J30725" s="11"/>
      <c r="U30725" s="9"/>
      <c r="X30725" s="9"/>
    </row>
    <row r="30726">
      <c r="D30726" s="9"/>
      <c r="G30726" s="9"/>
      <c r="J30726" s="11"/>
      <c r="U30726" s="9"/>
      <c r="X30726" s="9"/>
    </row>
    <row r="30727">
      <c r="D30727" s="9"/>
      <c r="G30727" s="9"/>
      <c r="J30727" s="11"/>
      <c r="U30727" s="9"/>
      <c r="X30727" s="9"/>
    </row>
    <row r="30728">
      <c r="D30728" s="9"/>
      <c r="G30728" s="9"/>
      <c r="J30728" s="11"/>
      <c r="U30728" s="9"/>
      <c r="X30728" s="9"/>
    </row>
    <row r="30729">
      <c r="D30729" s="9"/>
      <c r="G30729" s="9"/>
      <c r="J30729" s="11"/>
      <c r="U30729" s="9"/>
      <c r="X30729" s="9"/>
    </row>
    <row r="30730">
      <c r="D30730" s="9"/>
      <c r="G30730" s="9"/>
      <c r="J30730" s="11"/>
      <c r="U30730" s="9"/>
      <c r="X30730" s="9"/>
    </row>
    <row r="30731">
      <c r="D30731" s="9"/>
      <c r="G30731" s="9"/>
      <c r="J30731" s="11"/>
      <c r="U30731" s="9"/>
      <c r="X30731" s="9"/>
    </row>
    <row r="30732">
      <c r="D30732" s="9"/>
      <c r="G30732" s="9"/>
      <c r="J30732" s="11"/>
      <c r="U30732" s="9"/>
      <c r="X30732" s="9"/>
    </row>
    <row r="30733">
      <c r="D30733" s="9"/>
      <c r="G30733" s="9"/>
      <c r="J30733" s="11"/>
      <c r="U30733" s="9"/>
      <c r="X30733" s="9"/>
    </row>
    <row r="30734">
      <c r="D30734" s="9"/>
      <c r="G30734" s="9"/>
      <c r="J30734" s="11"/>
      <c r="U30734" s="9"/>
      <c r="X30734" s="9"/>
    </row>
    <row r="30735">
      <c r="D30735" s="9"/>
      <c r="G30735" s="9"/>
      <c r="J30735" s="11"/>
      <c r="U30735" s="9"/>
      <c r="X30735" s="9"/>
    </row>
    <row r="30736">
      <c r="D30736" s="9"/>
      <c r="G30736" s="9"/>
      <c r="J30736" s="11"/>
      <c r="U30736" s="9"/>
      <c r="X30736" s="9"/>
    </row>
    <row r="30737">
      <c r="D30737" s="9"/>
      <c r="G30737" s="9"/>
      <c r="J30737" s="11"/>
      <c r="U30737" s="9"/>
      <c r="X30737" s="9"/>
    </row>
    <row r="30738">
      <c r="D30738" s="9"/>
      <c r="G30738" s="9"/>
      <c r="J30738" s="11"/>
      <c r="U30738" s="9"/>
      <c r="X30738" s="9"/>
    </row>
    <row r="30739">
      <c r="D30739" s="9"/>
      <c r="G30739" s="9"/>
      <c r="J30739" s="11"/>
      <c r="U30739" s="9"/>
      <c r="X30739" s="9"/>
    </row>
    <row r="30740">
      <c r="D30740" s="9"/>
      <c r="G30740" s="9"/>
      <c r="J30740" s="11"/>
      <c r="U30740" s="9"/>
      <c r="X30740" s="9"/>
    </row>
    <row r="30741">
      <c r="D30741" s="9"/>
      <c r="G30741" s="9"/>
      <c r="J30741" s="11"/>
      <c r="U30741" s="9"/>
      <c r="X30741" s="9"/>
    </row>
    <row r="30742">
      <c r="D30742" s="9"/>
      <c r="G30742" s="9"/>
      <c r="J30742" s="11"/>
      <c r="U30742" s="9"/>
      <c r="X30742" s="9"/>
    </row>
    <row r="30743">
      <c r="D30743" s="9"/>
      <c r="G30743" s="9"/>
      <c r="J30743" s="11"/>
      <c r="U30743" s="9"/>
      <c r="X30743" s="9"/>
    </row>
    <row r="30744">
      <c r="D30744" s="9"/>
      <c r="G30744" s="9"/>
      <c r="J30744" s="11"/>
      <c r="U30744" s="9"/>
      <c r="X30744" s="9"/>
    </row>
    <row r="30745">
      <c r="D30745" s="9"/>
      <c r="G30745" s="9"/>
      <c r="J30745" s="11"/>
      <c r="U30745" s="9"/>
      <c r="X30745" s="9"/>
    </row>
    <row r="30746">
      <c r="D30746" s="9"/>
      <c r="G30746" s="9"/>
      <c r="J30746" s="11"/>
      <c r="U30746" s="9"/>
      <c r="X30746" s="9"/>
    </row>
    <row r="30747">
      <c r="D30747" s="9"/>
      <c r="G30747" s="9"/>
      <c r="J30747" s="11"/>
      <c r="U30747" s="9"/>
      <c r="X30747" s="9"/>
    </row>
    <row r="30748">
      <c r="D30748" s="9"/>
      <c r="G30748" s="9"/>
      <c r="J30748" s="11"/>
      <c r="U30748" s="9"/>
      <c r="X30748" s="9"/>
    </row>
    <row r="30749">
      <c r="D30749" s="9"/>
      <c r="G30749" s="9"/>
      <c r="J30749" s="11"/>
      <c r="U30749" s="9"/>
      <c r="X30749" s="9"/>
    </row>
    <row r="30750">
      <c r="D30750" s="9"/>
      <c r="G30750" s="9"/>
      <c r="J30750" s="11"/>
      <c r="U30750" s="9"/>
      <c r="X30750" s="9"/>
    </row>
    <row r="30751">
      <c r="D30751" s="9"/>
      <c r="G30751" s="9"/>
      <c r="J30751" s="11"/>
      <c r="U30751" s="9"/>
      <c r="X30751" s="9"/>
    </row>
    <row r="30752">
      <c r="D30752" s="9"/>
      <c r="G30752" s="9"/>
      <c r="J30752" s="11"/>
      <c r="U30752" s="9"/>
      <c r="X30752" s="9"/>
    </row>
    <row r="30753">
      <c r="D30753" s="9"/>
      <c r="G30753" s="9"/>
      <c r="J30753" s="11"/>
      <c r="U30753" s="9"/>
      <c r="X30753" s="9"/>
    </row>
    <row r="30754">
      <c r="D30754" s="9"/>
      <c r="G30754" s="9"/>
      <c r="J30754" s="11"/>
      <c r="U30754" s="9"/>
      <c r="X30754" s="9"/>
    </row>
    <row r="30755">
      <c r="D30755" s="9"/>
      <c r="G30755" s="9"/>
      <c r="J30755" s="11"/>
      <c r="U30755" s="9"/>
      <c r="X30755" s="9"/>
    </row>
    <row r="30756">
      <c r="D30756" s="9"/>
      <c r="G30756" s="9"/>
      <c r="J30756" s="11"/>
      <c r="U30756" s="9"/>
      <c r="X30756" s="9"/>
    </row>
    <row r="30757">
      <c r="D30757" s="9"/>
      <c r="G30757" s="9"/>
      <c r="J30757" s="11"/>
      <c r="U30757" s="9"/>
      <c r="X30757" s="9"/>
    </row>
    <row r="30758">
      <c r="D30758" s="9"/>
      <c r="G30758" s="9"/>
      <c r="J30758" s="11"/>
      <c r="U30758" s="9"/>
      <c r="X30758" s="9"/>
    </row>
    <row r="30759">
      <c r="D30759" s="9"/>
      <c r="G30759" s="9"/>
      <c r="J30759" s="11"/>
      <c r="U30759" s="9"/>
      <c r="X30759" s="9"/>
    </row>
    <row r="30760">
      <c r="D30760" s="9"/>
      <c r="G30760" s="9"/>
      <c r="J30760" s="11"/>
      <c r="U30760" s="9"/>
      <c r="X30760" s="9"/>
    </row>
    <row r="30761">
      <c r="D30761" s="9"/>
      <c r="G30761" s="9"/>
      <c r="J30761" s="11"/>
      <c r="U30761" s="9"/>
      <c r="X30761" s="9"/>
    </row>
    <row r="30762">
      <c r="D30762" s="9"/>
      <c r="G30762" s="9"/>
      <c r="J30762" s="11"/>
      <c r="U30762" s="9"/>
      <c r="X30762" s="9"/>
    </row>
    <row r="30763">
      <c r="D30763" s="9"/>
      <c r="G30763" s="9"/>
      <c r="J30763" s="11"/>
      <c r="U30763" s="9"/>
      <c r="X30763" s="9"/>
    </row>
    <row r="30764">
      <c r="D30764" s="9"/>
      <c r="G30764" s="9"/>
      <c r="J30764" s="11"/>
      <c r="U30764" s="9"/>
      <c r="X30764" s="9"/>
    </row>
    <row r="30765">
      <c r="D30765" s="9"/>
      <c r="G30765" s="9"/>
      <c r="J30765" s="11"/>
      <c r="U30765" s="9"/>
      <c r="X30765" s="9"/>
    </row>
    <row r="30766">
      <c r="D30766" s="9"/>
      <c r="G30766" s="9"/>
      <c r="J30766" s="11"/>
      <c r="U30766" s="9"/>
      <c r="X30766" s="9"/>
    </row>
    <row r="30767">
      <c r="D30767" s="9"/>
      <c r="G30767" s="9"/>
      <c r="J30767" s="11"/>
      <c r="U30767" s="9"/>
      <c r="X30767" s="9"/>
    </row>
    <row r="30768">
      <c r="D30768" s="9"/>
      <c r="G30768" s="9"/>
      <c r="J30768" s="11"/>
      <c r="U30768" s="9"/>
      <c r="X30768" s="9"/>
    </row>
    <row r="30769">
      <c r="D30769" s="9"/>
      <c r="G30769" s="9"/>
      <c r="J30769" s="11"/>
      <c r="U30769" s="9"/>
      <c r="X30769" s="9"/>
    </row>
    <row r="30770">
      <c r="D30770" s="9"/>
      <c r="G30770" s="9"/>
      <c r="J30770" s="11"/>
      <c r="U30770" s="9"/>
      <c r="X30770" s="9"/>
    </row>
    <row r="30771">
      <c r="D30771" s="9"/>
      <c r="G30771" s="9"/>
      <c r="J30771" s="11"/>
      <c r="U30771" s="9"/>
      <c r="X30771" s="9"/>
    </row>
    <row r="30772">
      <c r="D30772" s="9"/>
      <c r="G30772" s="9"/>
      <c r="J30772" s="11"/>
      <c r="U30772" s="9"/>
      <c r="X30772" s="9"/>
    </row>
    <row r="30773">
      <c r="D30773" s="9"/>
      <c r="G30773" s="9"/>
      <c r="J30773" s="11"/>
      <c r="U30773" s="9"/>
      <c r="X30773" s="9"/>
    </row>
    <row r="30774">
      <c r="D30774" s="9"/>
      <c r="G30774" s="9"/>
      <c r="J30774" s="11"/>
      <c r="U30774" s="9"/>
      <c r="X30774" s="9"/>
    </row>
    <row r="30775">
      <c r="D30775" s="9"/>
      <c r="G30775" s="9"/>
      <c r="J30775" s="11"/>
      <c r="U30775" s="9"/>
      <c r="X30775" s="9"/>
    </row>
    <row r="30776">
      <c r="D30776" s="9"/>
      <c r="G30776" s="9"/>
      <c r="J30776" s="11"/>
      <c r="U30776" s="9"/>
      <c r="X30776" s="9"/>
    </row>
    <row r="30777">
      <c r="D30777" s="9"/>
      <c r="G30777" s="9"/>
      <c r="J30777" s="11"/>
      <c r="U30777" s="9"/>
      <c r="X30777" s="9"/>
    </row>
    <row r="30778">
      <c r="D30778" s="9"/>
      <c r="G30778" s="9"/>
      <c r="J30778" s="11"/>
      <c r="U30778" s="9"/>
      <c r="X30778" s="9"/>
    </row>
    <row r="30779">
      <c r="D30779" s="9"/>
      <c r="G30779" s="9"/>
      <c r="J30779" s="11"/>
      <c r="U30779" s="9"/>
      <c r="X30779" s="9"/>
    </row>
    <row r="30780">
      <c r="D30780" s="9"/>
      <c r="G30780" s="9"/>
      <c r="J30780" s="11"/>
      <c r="U30780" s="9"/>
      <c r="X30780" s="9"/>
    </row>
    <row r="30781">
      <c r="D30781" s="9"/>
      <c r="G30781" s="9"/>
      <c r="J30781" s="11"/>
      <c r="U30781" s="9"/>
      <c r="X30781" s="9"/>
    </row>
    <row r="30782">
      <c r="D30782" s="9"/>
      <c r="G30782" s="9"/>
      <c r="J30782" s="11"/>
      <c r="U30782" s="9"/>
      <c r="X30782" s="9"/>
    </row>
    <row r="30783">
      <c r="D30783" s="9"/>
      <c r="G30783" s="9"/>
      <c r="J30783" s="11"/>
      <c r="U30783" s="9"/>
      <c r="X30783" s="9"/>
    </row>
    <row r="30784">
      <c r="D30784" s="9"/>
      <c r="G30784" s="9"/>
      <c r="J30784" s="11"/>
      <c r="U30784" s="9"/>
      <c r="X30784" s="9"/>
    </row>
    <row r="30785">
      <c r="D30785" s="9"/>
      <c r="G30785" s="9"/>
      <c r="J30785" s="11"/>
      <c r="U30785" s="9"/>
      <c r="X30785" s="9"/>
    </row>
    <row r="30786">
      <c r="D30786" s="9"/>
      <c r="G30786" s="9"/>
      <c r="J30786" s="11"/>
      <c r="U30786" s="9"/>
      <c r="X30786" s="9"/>
    </row>
    <row r="30787">
      <c r="D30787" s="9"/>
      <c r="G30787" s="9"/>
      <c r="J30787" s="11"/>
      <c r="U30787" s="9"/>
      <c r="X30787" s="9"/>
    </row>
    <row r="30788">
      <c r="D30788" s="9"/>
      <c r="G30788" s="9"/>
      <c r="J30788" s="11"/>
      <c r="U30788" s="9"/>
      <c r="X30788" s="9"/>
    </row>
    <row r="30789">
      <c r="D30789" s="9"/>
      <c r="G30789" s="9"/>
      <c r="J30789" s="11"/>
      <c r="U30789" s="9"/>
      <c r="X30789" s="9"/>
    </row>
    <row r="30790">
      <c r="D30790" s="9"/>
      <c r="G30790" s="9"/>
      <c r="J30790" s="11"/>
      <c r="U30790" s="9"/>
      <c r="X30790" s="9"/>
    </row>
    <row r="30791">
      <c r="D30791" s="9"/>
      <c r="G30791" s="9"/>
      <c r="J30791" s="11"/>
      <c r="U30791" s="9"/>
      <c r="X30791" s="9"/>
    </row>
    <row r="30792">
      <c r="D30792" s="9"/>
      <c r="G30792" s="9"/>
      <c r="J30792" s="11"/>
      <c r="U30792" s="9"/>
      <c r="X30792" s="9"/>
    </row>
    <row r="30793">
      <c r="D30793" s="9"/>
      <c r="G30793" s="9"/>
      <c r="J30793" s="11"/>
      <c r="U30793" s="9"/>
      <c r="X30793" s="9"/>
    </row>
    <row r="30794">
      <c r="D30794" s="9"/>
      <c r="G30794" s="9"/>
      <c r="J30794" s="11"/>
      <c r="U30794" s="9"/>
      <c r="X30794" s="9"/>
    </row>
    <row r="30795">
      <c r="D30795" s="9"/>
      <c r="G30795" s="9"/>
      <c r="J30795" s="11"/>
      <c r="U30795" s="9"/>
      <c r="X30795" s="9"/>
    </row>
    <row r="30796">
      <c r="D30796" s="9"/>
      <c r="G30796" s="9"/>
      <c r="J30796" s="11"/>
      <c r="U30796" s="9"/>
      <c r="X30796" s="9"/>
    </row>
    <row r="30797">
      <c r="D30797" s="9"/>
      <c r="G30797" s="9"/>
      <c r="J30797" s="11"/>
      <c r="U30797" s="9"/>
      <c r="X30797" s="9"/>
    </row>
    <row r="30798">
      <c r="D30798" s="9"/>
      <c r="G30798" s="9"/>
      <c r="J30798" s="11"/>
      <c r="U30798" s="9"/>
      <c r="X30798" s="9"/>
    </row>
    <row r="30799">
      <c r="D30799" s="9"/>
      <c r="G30799" s="9"/>
      <c r="J30799" s="11"/>
      <c r="U30799" s="9"/>
      <c r="X30799" s="9"/>
    </row>
    <row r="30800">
      <c r="D30800" s="9"/>
      <c r="G30800" s="9"/>
      <c r="J30800" s="11"/>
      <c r="U30800" s="9"/>
      <c r="X30800" s="9"/>
    </row>
    <row r="30801">
      <c r="D30801" s="9"/>
      <c r="G30801" s="9"/>
      <c r="J30801" s="11"/>
      <c r="U30801" s="9"/>
      <c r="X30801" s="9"/>
    </row>
    <row r="30802">
      <c r="D30802" s="9"/>
      <c r="G30802" s="9"/>
      <c r="J30802" s="11"/>
      <c r="U30802" s="9"/>
      <c r="X30802" s="9"/>
    </row>
    <row r="30803">
      <c r="D30803" s="9"/>
      <c r="G30803" s="9"/>
      <c r="J30803" s="11"/>
      <c r="U30803" s="9"/>
      <c r="X30803" s="9"/>
    </row>
    <row r="30804">
      <c r="D30804" s="9"/>
      <c r="G30804" s="9"/>
      <c r="J30804" s="11"/>
      <c r="U30804" s="9"/>
      <c r="X30804" s="9"/>
    </row>
    <row r="30805">
      <c r="D30805" s="9"/>
      <c r="G30805" s="9"/>
      <c r="J30805" s="11"/>
      <c r="U30805" s="9"/>
      <c r="X30805" s="9"/>
    </row>
    <row r="30806">
      <c r="D30806" s="9"/>
      <c r="G30806" s="9"/>
      <c r="J30806" s="11"/>
      <c r="U30806" s="9"/>
      <c r="X30806" s="9"/>
    </row>
    <row r="30807">
      <c r="D30807" s="9"/>
      <c r="G30807" s="9"/>
      <c r="J30807" s="11"/>
      <c r="U30807" s="9"/>
      <c r="X30807" s="9"/>
    </row>
    <row r="30808">
      <c r="D30808" s="9"/>
      <c r="G30808" s="9"/>
      <c r="J30808" s="11"/>
      <c r="U30808" s="9"/>
      <c r="X30808" s="9"/>
    </row>
    <row r="30809">
      <c r="D30809" s="9"/>
      <c r="G30809" s="9"/>
      <c r="J30809" s="11"/>
      <c r="U30809" s="9"/>
      <c r="X30809" s="9"/>
    </row>
    <row r="30810">
      <c r="D30810" s="9"/>
      <c r="G30810" s="9"/>
      <c r="J30810" s="11"/>
      <c r="U30810" s="9"/>
      <c r="X30810" s="9"/>
    </row>
    <row r="30811">
      <c r="D30811" s="9"/>
      <c r="G30811" s="9"/>
      <c r="J30811" s="11"/>
      <c r="U30811" s="9"/>
      <c r="X30811" s="9"/>
    </row>
    <row r="30812">
      <c r="D30812" s="9"/>
      <c r="G30812" s="9"/>
      <c r="J30812" s="11"/>
      <c r="U30812" s="9"/>
      <c r="X30812" s="9"/>
    </row>
    <row r="30813">
      <c r="D30813" s="9"/>
      <c r="G30813" s="9"/>
      <c r="J30813" s="11"/>
      <c r="U30813" s="9"/>
      <c r="X30813" s="9"/>
    </row>
    <row r="30814">
      <c r="D30814" s="9"/>
      <c r="G30814" s="9"/>
      <c r="J30814" s="11"/>
      <c r="U30814" s="9"/>
      <c r="X30814" s="9"/>
    </row>
    <row r="30815">
      <c r="D30815" s="9"/>
      <c r="G30815" s="9"/>
      <c r="J30815" s="11"/>
      <c r="U30815" s="9"/>
      <c r="X30815" s="9"/>
    </row>
    <row r="30816">
      <c r="D30816" s="9"/>
      <c r="G30816" s="9"/>
      <c r="J30816" s="11"/>
      <c r="U30816" s="9"/>
      <c r="X30816" s="9"/>
    </row>
    <row r="30817">
      <c r="D30817" s="9"/>
      <c r="G30817" s="9"/>
      <c r="J30817" s="11"/>
      <c r="U30817" s="9"/>
      <c r="X30817" s="9"/>
    </row>
    <row r="30818">
      <c r="D30818" s="9"/>
      <c r="G30818" s="9"/>
      <c r="J30818" s="11"/>
      <c r="U30818" s="9"/>
      <c r="X30818" s="9"/>
    </row>
    <row r="30819">
      <c r="D30819" s="9"/>
      <c r="G30819" s="9"/>
      <c r="J30819" s="11"/>
      <c r="U30819" s="9"/>
      <c r="X30819" s="9"/>
    </row>
    <row r="30820">
      <c r="D30820" s="9"/>
      <c r="G30820" s="9"/>
      <c r="J30820" s="11"/>
      <c r="U30820" s="9"/>
      <c r="X30820" s="9"/>
    </row>
    <row r="30821">
      <c r="D30821" s="9"/>
      <c r="G30821" s="9"/>
      <c r="J30821" s="11"/>
      <c r="U30821" s="9"/>
      <c r="X30821" s="9"/>
    </row>
    <row r="30822">
      <c r="D30822" s="9"/>
      <c r="G30822" s="9"/>
      <c r="J30822" s="11"/>
      <c r="U30822" s="9"/>
      <c r="X30822" s="9"/>
    </row>
    <row r="30823">
      <c r="D30823" s="9"/>
      <c r="G30823" s="9"/>
      <c r="J30823" s="11"/>
      <c r="U30823" s="9"/>
      <c r="X30823" s="9"/>
    </row>
    <row r="30824">
      <c r="D30824" s="9"/>
      <c r="G30824" s="9"/>
      <c r="J30824" s="11"/>
      <c r="U30824" s="9"/>
      <c r="X30824" s="9"/>
    </row>
    <row r="30825">
      <c r="D30825" s="9"/>
      <c r="G30825" s="9"/>
      <c r="J30825" s="11"/>
      <c r="U30825" s="9"/>
      <c r="X30825" s="9"/>
    </row>
    <row r="30826">
      <c r="D30826" s="9"/>
      <c r="G30826" s="9"/>
      <c r="J30826" s="11"/>
      <c r="U30826" s="9"/>
      <c r="X30826" s="9"/>
    </row>
    <row r="30827">
      <c r="D30827" s="9"/>
      <c r="G30827" s="9"/>
      <c r="J30827" s="11"/>
      <c r="U30827" s="9"/>
      <c r="X30827" s="9"/>
    </row>
    <row r="30828">
      <c r="D30828" s="9"/>
      <c r="G30828" s="9"/>
      <c r="J30828" s="11"/>
      <c r="U30828" s="9"/>
      <c r="X30828" s="9"/>
    </row>
    <row r="30829">
      <c r="D30829" s="9"/>
      <c r="G30829" s="9"/>
      <c r="J30829" s="11"/>
      <c r="U30829" s="9"/>
      <c r="X30829" s="9"/>
    </row>
    <row r="30830">
      <c r="D30830" s="9"/>
      <c r="G30830" s="9"/>
      <c r="J30830" s="11"/>
      <c r="U30830" s="9"/>
      <c r="X30830" s="9"/>
    </row>
    <row r="30831">
      <c r="D30831" s="9"/>
      <c r="G30831" s="9"/>
      <c r="J30831" s="11"/>
      <c r="U30831" s="9"/>
      <c r="X30831" s="9"/>
    </row>
    <row r="30832">
      <c r="D30832" s="9"/>
      <c r="G30832" s="9"/>
      <c r="J30832" s="11"/>
      <c r="U30832" s="9"/>
      <c r="X30832" s="9"/>
    </row>
    <row r="30833">
      <c r="D30833" s="9"/>
      <c r="G30833" s="9"/>
      <c r="J30833" s="11"/>
      <c r="U30833" s="9"/>
      <c r="X30833" s="9"/>
    </row>
    <row r="30834">
      <c r="D30834" s="9"/>
      <c r="G30834" s="9"/>
      <c r="J30834" s="11"/>
      <c r="U30834" s="9"/>
      <c r="X30834" s="9"/>
    </row>
    <row r="30835">
      <c r="D30835" s="9"/>
      <c r="G30835" s="9"/>
      <c r="J30835" s="11"/>
      <c r="U30835" s="9"/>
      <c r="X30835" s="9"/>
    </row>
    <row r="30836">
      <c r="D30836" s="9"/>
      <c r="G30836" s="9"/>
      <c r="J30836" s="11"/>
      <c r="U30836" s="9"/>
      <c r="X30836" s="9"/>
    </row>
    <row r="30837">
      <c r="D30837" s="9"/>
      <c r="G30837" s="9"/>
      <c r="J30837" s="11"/>
      <c r="U30837" s="9"/>
      <c r="X30837" s="9"/>
    </row>
    <row r="30838">
      <c r="D30838" s="9"/>
      <c r="G30838" s="9"/>
      <c r="J30838" s="11"/>
      <c r="U30838" s="9"/>
      <c r="X30838" s="9"/>
    </row>
    <row r="30839">
      <c r="D30839" s="9"/>
      <c r="G30839" s="9"/>
      <c r="J30839" s="11"/>
      <c r="U30839" s="9"/>
      <c r="X30839" s="9"/>
    </row>
    <row r="30840">
      <c r="D30840" s="9"/>
      <c r="G30840" s="9"/>
      <c r="J30840" s="11"/>
      <c r="U30840" s="9"/>
      <c r="X30840" s="9"/>
    </row>
    <row r="30841">
      <c r="D30841" s="9"/>
      <c r="G30841" s="9"/>
      <c r="J30841" s="11"/>
      <c r="U30841" s="9"/>
      <c r="X30841" s="9"/>
    </row>
    <row r="30842">
      <c r="D30842" s="9"/>
      <c r="G30842" s="9"/>
      <c r="J30842" s="11"/>
      <c r="U30842" s="9"/>
      <c r="X30842" s="9"/>
    </row>
    <row r="30843">
      <c r="D30843" s="9"/>
      <c r="G30843" s="9"/>
      <c r="J30843" s="11"/>
      <c r="U30843" s="9"/>
      <c r="X30843" s="9"/>
    </row>
    <row r="30844">
      <c r="D30844" s="9"/>
      <c r="G30844" s="9"/>
      <c r="J30844" s="11"/>
      <c r="U30844" s="9"/>
      <c r="X30844" s="9"/>
    </row>
    <row r="30845">
      <c r="D30845" s="9"/>
      <c r="G30845" s="9"/>
      <c r="J30845" s="11"/>
      <c r="U30845" s="9"/>
      <c r="X30845" s="9"/>
    </row>
    <row r="30846">
      <c r="D30846" s="9"/>
      <c r="G30846" s="9"/>
      <c r="J30846" s="11"/>
      <c r="U30846" s="9"/>
      <c r="X30846" s="9"/>
    </row>
    <row r="30847">
      <c r="D30847" s="9"/>
      <c r="G30847" s="9"/>
      <c r="J30847" s="11"/>
      <c r="U30847" s="9"/>
      <c r="X30847" s="9"/>
    </row>
    <row r="30848">
      <c r="D30848" s="9"/>
      <c r="G30848" s="9"/>
      <c r="J30848" s="11"/>
      <c r="U30848" s="9"/>
      <c r="X30848" s="9"/>
    </row>
    <row r="30849">
      <c r="D30849" s="9"/>
      <c r="G30849" s="9"/>
      <c r="J30849" s="11"/>
      <c r="U30849" s="9"/>
      <c r="X30849" s="9"/>
    </row>
    <row r="30850">
      <c r="D30850" s="9"/>
      <c r="G30850" s="9"/>
      <c r="J30850" s="11"/>
      <c r="U30850" s="9"/>
      <c r="X30850" s="9"/>
    </row>
    <row r="30851">
      <c r="D30851" s="9"/>
      <c r="G30851" s="9"/>
      <c r="J30851" s="11"/>
      <c r="U30851" s="9"/>
      <c r="X30851" s="9"/>
    </row>
    <row r="30852">
      <c r="D30852" s="9"/>
      <c r="G30852" s="9"/>
      <c r="J30852" s="11"/>
      <c r="U30852" s="9"/>
      <c r="X30852" s="9"/>
    </row>
    <row r="30853">
      <c r="D30853" s="9"/>
      <c r="G30853" s="9"/>
      <c r="J30853" s="11"/>
      <c r="U30853" s="9"/>
      <c r="X30853" s="9"/>
    </row>
    <row r="30854">
      <c r="D30854" s="9"/>
      <c r="G30854" s="9"/>
      <c r="J30854" s="11"/>
      <c r="U30854" s="9"/>
      <c r="X30854" s="9"/>
    </row>
    <row r="30855">
      <c r="D30855" s="9"/>
      <c r="G30855" s="9"/>
      <c r="J30855" s="11"/>
      <c r="U30855" s="9"/>
      <c r="X30855" s="9"/>
    </row>
    <row r="30856">
      <c r="D30856" s="9"/>
      <c r="G30856" s="9"/>
      <c r="J30856" s="11"/>
      <c r="U30856" s="9"/>
      <c r="X30856" s="9"/>
    </row>
    <row r="30857">
      <c r="D30857" s="9"/>
      <c r="G30857" s="9"/>
      <c r="J30857" s="11"/>
      <c r="U30857" s="9"/>
      <c r="X30857" s="9"/>
    </row>
    <row r="30858">
      <c r="D30858" s="9"/>
      <c r="G30858" s="9"/>
      <c r="J30858" s="11"/>
      <c r="U30858" s="9"/>
      <c r="X30858" s="9"/>
    </row>
    <row r="30859">
      <c r="D30859" s="9"/>
      <c r="G30859" s="9"/>
      <c r="J30859" s="11"/>
      <c r="U30859" s="9"/>
      <c r="X30859" s="9"/>
    </row>
    <row r="30860">
      <c r="D30860" s="9"/>
      <c r="G30860" s="9"/>
      <c r="J30860" s="11"/>
      <c r="U30860" s="9"/>
      <c r="X30860" s="9"/>
    </row>
    <row r="30861">
      <c r="D30861" s="9"/>
      <c r="G30861" s="9"/>
      <c r="J30861" s="11"/>
      <c r="U30861" s="9"/>
      <c r="X30861" s="9"/>
    </row>
    <row r="30862">
      <c r="D30862" s="9"/>
      <c r="G30862" s="9"/>
      <c r="J30862" s="11"/>
      <c r="U30862" s="9"/>
      <c r="X30862" s="9"/>
    </row>
    <row r="30863">
      <c r="D30863" s="9"/>
      <c r="G30863" s="9"/>
      <c r="J30863" s="11"/>
      <c r="U30863" s="9"/>
      <c r="X30863" s="9"/>
    </row>
    <row r="30864">
      <c r="D30864" s="9"/>
      <c r="G30864" s="9"/>
      <c r="J30864" s="11"/>
      <c r="U30864" s="9"/>
      <c r="X30864" s="9"/>
    </row>
    <row r="30865">
      <c r="D30865" s="9"/>
      <c r="G30865" s="9"/>
      <c r="J30865" s="11"/>
      <c r="U30865" s="9"/>
      <c r="X30865" s="9"/>
    </row>
    <row r="30866">
      <c r="D30866" s="9"/>
      <c r="G30866" s="9"/>
      <c r="J30866" s="11"/>
      <c r="U30866" s="9"/>
      <c r="X30866" s="9"/>
    </row>
    <row r="30867">
      <c r="D30867" s="9"/>
      <c r="G30867" s="9"/>
      <c r="J30867" s="11"/>
      <c r="U30867" s="9"/>
      <c r="X30867" s="9"/>
    </row>
    <row r="30868">
      <c r="D30868" s="9"/>
      <c r="G30868" s="9"/>
      <c r="J30868" s="11"/>
      <c r="U30868" s="9"/>
      <c r="X30868" s="9"/>
    </row>
    <row r="30869">
      <c r="D30869" s="9"/>
      <c r="G30869" s="9"/>
      <c r="J30869" s="11"/>
      <c r="U30869" s="9"/>
      <c r="X30869" s="9"/>
    </row>
    <row r="30870">
      <c r="D30870" s="9"/>
      <c r="G30870" s="9"/>
      <c r="J30870" s="11"/>
      <c r="U30870" s="9"/>
      <c r="X30870" s="9"/>
    </row>
    <row r="30871">
      <c r="D30871" s="9"/>
      <c r="G30871" s="9"/>
      <c r="J30871" s="11"/>
      <c r="U30871" s="9"/>
      <c r="X30871" s="9"/>
    </row>
    <row r="30872">
      <c r="D30872" s="9"/>
      <c r="G30872" s="9"/>
      <c r="J30872" s="11"/>
      <c r="U30872" s="9"/>
      <c r="X30872" s="9"/>
    </row>
    <row r="30873">
      <c r="D30873" s="9"/>
      <c r="G30873" s="9"/>
      <c r="J30873" s="11"/>
      <c r="U30873" s="9"/>
      <c r="X30873" s="9"/>
    </row>
    <row r="30874">
      <c r="D30874" s="9"/>
      <c r="G30874" s="9"/>
      <c r="J30874" s="11"/>
      <c r="U30874" s="9"/>
      <c r="X30874" s="9"/>
    </row>
    <row r="30875">
      <c r="D30875" s="9"/>
      <c r="G30875" s="9"/>
      <c r="J30875" s="11"/>
      <c r="U30875" s="9"/>
      <c r="X30875" s="9"/>
    </row>
    <row r="30876">
      <c r="D30876" s="9"/>
      <c r="G30876" s="9"/>
      <c r="J30876" s="11"/>
      <c r="U30876" s="9"/>
      <c r="X30876" s="9"/>
    </row>
    <row r="30877">
      <c r="D30877" s="9"/>
      <c r="G30877" s="9"/>
      <c r="J30877" s="11"/>
      <c r="U30877" s="9"/>
      <c r="X30877" s="9"/>
    </row>
    <row r="30878">
      <c r="D30878" s="9"/>
      <c r="G30878" s="9"/>
      <c r="J30878" s="11"/>
      <c r="U30878" s="9"/>
      <c r="X30878" s="9"/>
    </row>
    <row r="30879">
      <c r="D30879" s="9"/>
      <c r="G30879" s="9"/>
      <c r="J30879" s="11"/>
      <c r="U30879" s="9"/>
      <c r="X30879" s="9"/>
    </row>
    <row r="30880">
      <c r="D30880" s="9"/>
      <c r="G30880" s="9"/>
      <c r="J30880" s="11"/>
      <c r="U30880" s="9"/>
      <c r="X30880" s="9"/>
    </row>
    <row r="30881">
      <c r="D30881" s="9"/>
      <c r="G30881" s="9"/>
      <c r="J30881" s="11"/>
      <c r="U30881" s="9"/>
      <c r="X30881" s="9"/>
    </row>
    <row r="30882">
      <c r="D30882" s="9"/>
      <c r="G30882" s="9"/>
      <c r="J30882" s="11"/>
      <c r="U30882" s="9"/>
      <c r="X30882" s="9"/>
    </row>
    <row r="30883">
      <c r="D30883" s="9"/>
      <c r="G30883" s="9"/>
      <c r="J30883" s="11"/>
      <c r="U30883" s="9"/>
      <c r="X30883" s="9"/>
    </row>
    <row r="30884">
      <c r="D30884" s="9"/>
      <c r="G30884" s="9"/>
      <c r="J30884" s="11"/>
      <c r="U30884" s="9"/>
      <c r="X30884" s="9"/>
    </row>
    <row r="30885">
      <c r="D30885" s="9"/>
      <c r="G30885" s="9"/>
      <c r="J30885" s="11"/>
      <c r="U30885" s="9"/>
      <c r="X30885" s="9"/>
    </row>
    <row r="30886">
      <c r="D30886" s="9"/>
      <c r="G30886" s="9"/>
      <c r="J30886" s="11"/>
      <c r="U30886" s="9"/>
      <c r="X30886" s="9"/>
    </row>
    <row r="30887">
      <c r="D30887" s="9"/>
      <c r="G30887" s="9"/>
      <c r="J30887" s="11"/>
      <c r="U30887" s="9"/>
      <c r="X30887" s="9"/>
    </row>
    <row r="30888">
      <c r="D30888" s="9"/>
      <c r="G30888" s="9"/>
      <c r="J30888" s="11"/>
      <c r="U30888" s="9"/>
      <c r="X30888" s="9"/>
    </row>
    <row r="30889">
      <c r="D30889" s="9"/>
      <c r="G30889" s="9"/>
      <c r="J30889" s="11"/>
      <c r="U30889" s="9"/>
      <c r="X30889" s="9"/>
    </row>
    <row r="30890">
      <c r="D30890" s="9"/>
      <c r="G30890" s="9"/>
      <c r="J30890" s="11"/>
      <c r="U30890" s="9"/>
      <c r="X30890" s="9"/>
    </row>
    <row r="30891">
      <c r="D30891" s="9"/>
      <c r="G30891" s="9"/>
      <c r="J30891" s="11"/>
      <c r="U30891" s="9"/>
      <c r="X30891" s="9"/>
    </row>
    <row r="30892">
      <c r="D30892" s="9"/>
      <c r="G30892" s="9"/>
      <c r="J30892" s="11"/>
      <c r="U30892" s="9"/>
      <c r="X30892" s="9"/>
    </row>
    <row r="30893">
      <c r="D30893" s="9"/>
      <c r="G30893" s="9"/>
      <c r="J30893" s="11"/>
      <c r="U30893" s="9"/>
      <c r="X30893" s="9"/>
    </row>
    <row r="30894">
      <c r="D30894" s="9"/>
      <c r="G30894" s="9"/>
      <c r="J30894" s="11"/>
      <c r="U30894" s="9"/>
      <c r="X30894" s="9"/>
    </row>
    <row r="30895">
      <c r="D30895" s="9"/>
      <c r="G30895" s="9"/>
      <c r="J30895" s="11"/>
      <c r="U30895" s="9"/>
      <c r="X30895" s="9"/>
    </row>
    <row r="30896">
      <c r="D30896" s="9"/>
      <c r="G30896" s="9"/>
      <c r="J30896" s="11"/>
      <c r="U30896" s="9"/>
      <c r="X30896" s="9"/>
    </row>
    <row r="30897">
      <c r="D30897" s="9"/>
      <c r="G30897" s="9"/>
      <c r="J30897" s="11"/>
      <c r="U30897" s="9"/>
      <c r="X30897" s="9"/>
    </row>
    <row r="30898">
      <c r="D30898" s="9"/>
      <c r="G30898" s="9"/>
      <c r="J30898" s="11"/>
      <c r="U30898" s="9"/>
      <c r="X30898" s="9"/>
    </row>
    <row r="30899">
      <c r="D30899" s="9"/>
      <c r="G30899" s="9"/>
      <c r="J30899" s="11"/>
      <c r="U30899" s="9"/>
      <c r="X30899" s="9"/>
    </row>
    <row r="30900">
      <c r="D30900" s="9"/>
      <c r="G30900" s="9"/>
      <c r="J30900" s="11"/>
      <c r="U30900" s="9"/>
      <c r="X30900" s="9"/>
    </row>
    <row r="30901">
      <c r="D30901" s="9"/>
      <c r="G30901" s="9"/>
      <c r="J30901" s="11"/>
      <c r="U30901" s="9"/>
      <c r="X30901" s="9"/>
    </row>
    <row r="30902">
      <c r="D30902" s="9"/>
      <c r="G30902" s="9"/>
      <c r="J30902" s="11"/>
      <c r="U30902" s="9"/>
      <c r="X30902" s="9"/>
    </row>
    <row r="30903">
      <c r="D30903" s="9"/>
      <c r="G30903" s="9"/>
      <c r="J30903" s="11"/>
      <c r="U30903" s="9"/>
      <c r="X30903" s="9"/>
    </row>
    <row r="30904">
      <c r="D30904" s="9"/>
      <c r="G30904" s="9"/>
      <c r="J30904" s="11"/>
      <c r="U30904" s="9"/>
      <c r="X30904" s="9"/>
    </row>
    <row r="30905">
      <c r="D30905" s="9"/>
      <c r="G30905" s="9"/>
      <c r="J30905" s="11"/>
      <c r="U30905" s="9"/>
      <c r="X30905" s="9"/>
    </row>
    <row r="30906">
      <c r="D30906" s="9"/>
      <c r="G30906" s="9"/>
      <c r="J30906" s="11"/>
      <c r="U30906" s="9"/>
      <c r="X30906" s="9"/>
    </row>
    <row r="30907">
      <c r="D30907" s="9"/>
      <c r="G30907" s="9"/>
      <c r="J30907" s="11"/>
      <c r="U30907" s="9"/>
      <c r="X30907" s="9"/>
    </row>
    <row r="30908">
      <c r="D30908" s="9"/>
      <c r="G30908" s="9"/>
      <c r="J30908" s="11"/>
      <c r="U30908" s="9"/>
      <c r="X30908" s="9"/>
    </row>
    <row r="30909">
      <c r="D30909" s="9"/>
      <c r="G30909" s="9"/>
      <c r="J30909" s="11"/>
      <c r="U30909" s="9"/>
      <c r="X30909" s="9"/>
    </row>
    <row r="30910">
      <c r="D30910" s="9"/>
      <c r="G30910" s="9"/>
      <c r="J30910" s="11"/>
      <c r="U30910" s="9"/>
      <c r="X30910" s="9"/>
    </row>
    <row r="30911">
      <c r="D30911" s="9"/>
      <c r="G30911" s="9"/>
      <c r="J30911" s="11"/>
      <c r="U30911" s="9"/>
      <c r="X30911" s="9"/>
    </row>
    <row r="30912">
      <c r="D30912" s="9"/>
      <c r="G30912" s="9"/>
      <c r="J30912" s="11"/>
      <c r="U30912" s="9"/>
      <c r="X30912" s="9"/>
    </row>
    <row r="30913">
      <c r="D30913" s="9"/>
      <c r="G30913" s="9"/>
      <c r="J30913" s="11"/>
      <c r="U30913" s="9"/>
      <c r="X30913" s="9"/>
    </row>
    <row r="30914">
      <c r="D30914" s="9"/>
      <c r="G30914" s="9"/>
      <c r="J30914" s="11"/>
      <c r="U30914" s="9"/>
      <c r="X30914" s="9"/>
    </row>
    <row r="30915">
      <c r="D30915" s="9"/>
      <c r="G30915" s="9"/>
      <c r="J30915" s="11"/>
      <c r="U30915" s="9"/>
      <c r="X30915" s="9"/>
    </row>
    <row r="30916">
      <c r="D30916" s="9"/>
      <c r="G30916" s="9"/>
      <c r="J30916" s="11"/>
      <c r="U30916" s="9"/>
      <c r="X30916" s="9"/>
    </row>
    <row r="30917">
      <c r="D30917" s="9"/>
      <c r="G30917" s="9"/>
      <c r="J30917" s="11"/>
      <c r="U30917" s="9"/>
      <c r="X30917" s="9"/>
    </row>
    <row r="30918">
      <c r="D30918" s="9"/>
      <c r="G30918" s="9"/>
      <c r="J30918" s="11"/>
      <c r="U30918" s="9"/>
      <c r="X30918" s="9"/>
    </row>
    <row r="30919">
      <c r="D30919" s="9"/>
      <c r="G30919" s="9"/>
      <c r="J30919" s="11"/>
      <c r="U30919" s="9"/>
      <c r="X30919" s="9"/>
    </row>
    <row r="30920">
      <c r="D30920" s="9"/>
      <c r="G30920" s="9"/>
      <c r="J30920" s="11"/>
      <c r="U30920" s="9"/>
      <c r="X30920" s="9"/>
    </row>
    <row r="30921">
      <c r="D30921" s="9"/>
      <c r="G30921" s="9"/>
      <c r="J30921" s="11"/>
      <c r="U30921" s="9"/>
      <c r="X30921" s="9"/>
    </row>
    <row r="30922">
      <c r="D30922" s="9"/>
      <c r="G30922" s="9"/>
      <c r="J30922" s="11"/>
      <c r="U30922" s="9"/>
      <c r="X30922" s="9"/>
    </row>
    <row r="30923">
      <c r="D30923" s="9"/>
      <c r="G30923" s="9"/>
      <c r="J30923" s="11"/>
      <c r="U30923" s="9"/>
      <c r="X30923" s="9"/>
    </row>
    <row r="30924">
      <c r="D30924" s="9"/>
      <c r="G30924" s="9"/>
      <c r="J30924" s="11"/>
      <c r="U30924" s="9"/>
      <c r="X30924" s="9"/>
    </row>
    <row r="30925">
      <c r="D30925" s="9"/>
      <c r="G30925" s="9"/>
      <c r="J30925" s="11"/>
      <c r="U30925" s="9"/>
      <c r="X30925" s="9"/>
    </row>
    <row r="30926">
      <c r="D30926" s="9"/>
      <c r="G30926" s="9"/>
      <c r="J30926" s="11"/>
      <c r="U30926" s="9"/>
      <c r="X30926" s="9"/>
    </row>
    <row r="30927">
      <c r="D30927" s="9"/>
      <c r="G30927" s="9"/>
      <c r="J30927" s="11"/>
      <c r="U30927" s="9"/>
      <c r="X30927" s="9"/>
    </row>
    <row r="30928">
      <c r="D30928" s="9"/>
      <c r="G30928" s="9"/>
      <c r="J30928" s="11"/>
      <c r="U30928" s="9"/>
      <c r="X30928" s="9"/>
    </row>
    <row r="30929">
      <c r="D30929" s="9"/>
      <c r="G30929" s="9"/>
      <c r="J30929" s="11"/>
      <c r="U30929" s="9"/>
      <c r="X30929" s="9"/>
    </row>
    <row r="30930">
      <c r="D30930" s="9"/>
      <c r="G30930" s="9"/>
      <c r="J30930" s="11"/>
      <c r="U30930" s="9"/>
      <c r="X30930" s="9"/>
    </row>
    <row r="30931">
      <c r="D30931" s="9"/>
      <c r="G30931" s="9"/>
      <c r="J30931" s="11"/>
      <c r="U30931" s="9"/>
      <c r="X30931" s="9"/>
    </row>
    <row r="30932">
      <c r="D30932" s="9"/>
      <c r="G30932" s="9"/>
      <c r="J30932" s="11"/>
      <c r="U30932" s="9"/>
      <c r="X30932" s="9"/>
    </row>
    <row r="30933">
      <c r="D30933" s="9"/>
      <c r="G30933" s="9"/>
      <c r="J30933" s="11"/>
      <c r="U30933" s="9"/>
      <c r="X30933" s="9"/>
    </row>
    <row r="30934">
      <c r="D30934" s="9"/>
      <c r="G30934" s="9"/>
      <c r="J30934" s="11"/>
      <c r="U30934" s="9"/>
      <c r="X30934" s="9"/>
    </row>
    <row r="30935">
      <c r="D30935" s="9"/>
      <c r="G30935" s="9"/>
      <c r="J30935" s="11"/>
      <c r="U30935" s="9"/>
      <c r="X30935" s="9"/>
    </row>
    <row r="30936">
      <c r="D30936" s="9"/>
      <c r="G30936" s="9"/>
      <c r="J30936" s="11"/>
      <c r="U30936" s="9"/>
      <c r="X30936" s="9"/>
    </row>
    <row r="30937">
      <c r="D30937" s="9"/>
      <c r="G30937" s="9"/>
      <c r="J30937" s="11"/>
      <c r="U30937" s="9"/>
      <c r="X30937" s="9"/>
    </row>
    <row r="30938">
      <c r="D30938" s="9"/>
      <c r="G30938" s="9"/>
      <c r="J30938" s="11"/>
      <c r="U30938" s="9"/>
      <c r="X30938" s="9"/>
    </row>
    <row r="30939">
      <c r="D30939" s="9"/>
      <c r="G30939" s="9"/>
      <c r="J30939" s="11"/>
      <c r="U30939" s="9"/>
      <c r="X30939" s="9"/>
    </row>
    <row r="30940">
      <c r="D30940" s="9"/>
      <c r="G30940" s="9"/>
      <c r="J30940" s="11"/>
      <c r="U30940" s="9"/>
      <c r="X30940" s="9"/>
    </row>
    <row r="30941">
      <c r="D30941" s="9"/>
      <c r="G30941" s="9"/>
      <c r="J30941" s="11"/>
      <c r="U30941" s="9"/>
      <c r="X30941" s="9"/>
    </row>
    <row r="30942">
      <c r="D30942" s="9"/>
      <c r="G30942" s="9"/>
      <c r="J30942" s="11"/>
      <c r="U30942" s="9"/>
      <c r="X30942" s="9"/>
    </row>
    <row r="30943">
      <c r="D30943" s="9"/>
      <c r="G30943" s="9"/>
      <c r="J30943" s="11"/>
      <c r="U30943" s="9"/>
      <c r="X30943" s="9"/>
    </row>
    <row r="30944">
      <c r="D30944" s="9"/>
      <c r="G30944" s="9"/>
      <c r="J30944" s="11"/>
      <c r="U30944" s="9"/>
      <c r="X30944" s="9"/>
    </row>
    <row r="30945">
      <c r="D30945" s="9"/>
      <c r="G30945" s="9"/>
      <c r="J30945" s="11"/>
      <c r="U30945" s="9"/>
      <c r="X30945" s="9"/>
    </row>
    <row r="30946">
      <c r="D30946" s="9"/>
      <c r="G30946" s="9"/>
      <c r="J30946" s="11"/>
      <c r="U30946" s="9"/>
      <c r="X30946" s="9"/>
    </row>
    <row r="30947">
      <c r="D30947" s="9"/>
      <c r="G30947" s="9"/>
      <c r="J30947" s="11"/>
      <c r="U30947" s="9"/>
      <c r="X30947" s="9"/>
    </row>
    <row r="30948">
      <c r="D30948" s="9"/>
      <c r="G30948" s="9"/>
      <c r="J30948" s="11"/>
      <c r="U30948" s="9"/>
      <c r="X30948" s="9"/>
    </row>
    <row r="30949">
      <c r="D30949" s="9"/>
      <c r="G30949" s="9"/>
      <c r="J30949" s="11"/>
      <c r="U30949" s="9"/>
      <c r="X30949" s="9"/>
    </row>
    <row r="30950">
      <c r="D30950" s="9"/>
      <c r="G30950" s="9"/>
      <c r="J30950" s="11"/>
      <c r="U30950" s="9"/>
      <c r="X30950" s="9"/>
    </row>
    <row r="30951">
      <c r="D30951" s="9"/>
      <c r="G30951" s="9"/>
      <c r="J30951" s="11"/>
      <c r="U30951" s="9"/>
      <c r="X30951" s="9"/>
    </row>
    <row r="30952">
      <c r="D30952" s="9"/>
      <c r="G30952" s="9"/>
      <c r="J30952" s="11"/>
      <c r="U30952" s="9"/>
      <c r="X30952" s="9"/>
    </row>
    <row r="30953">
      <c r="D30953" s="9"/>
      <c r="G30953" s="9"/>
      <c r="J30953" s="11"/>
      <c r="U30953" s="9"/>
      <c r="X30953" s="9"/>
    </row>
    <row r="30954">
      <c r="D30954" s="9"/>
      <c r="G30954" s="9"/>
      <c r="J30954" s="11"/>
      <c r="U30954" s="9"/>
      <c r="X30954" s="9"/>
    </row>
    <row r="30955">
      <c r="D30955" s="9"/>
      <c r="G30955" s="9"/>
      <c r="J30955" s="11"/>
      <c r="U30955" s="9"/>
      <c r="X30955" s="9"/>
    </row>
    <row r="30956">
      <c r="D30956" s="9"/>
      <c r="G30956" s="9"/>
      <c r="J30956" s="11"/>
      <c r="U30956" s="9"/>
      <c r="X30956" s="9"/>
    </row>
    <row r="30957">
      <c r="D30957" s="9"/>
      <c r="G30957" s="9"/>
      <c r="J30957" s="11"/>
      <c r="U30957" s="9"/>
      <c r="X30957" s="9"/>
    </row>
    <row r="30958">
      <c r="D30958" s="9"/>
      <c r="G30958" s="9"/>
      <c r="J30958" s="11"/>
      <c r="U30958" s="9"/>
      <c r="X30958" s="9"/>
    </row>
    <row r="30959">
      <c r="D30959" s="9"/>
      <c r="G30959" s="9"/>
      <c r="J30959" s="11"/>
      <c r="U30959" s="9"/>
      <c r="X30959" s="9"/>
    </row>
    <row r="30960">
      <c r="D30960" s="9"/>
      <c r="G30960" s="9"/>
      <c r="J30960" s="11"/>
      <c r="U30960" s="9"/>
      <c r="X30960" s="9"/>
    </row>
    <row r="30961">
      <c r="D30961" s="9"/>
      <c r="G30961" s="9"/>
      <c r="J30961" s="11"/>
      <c r="U30961" s="9"/>
      <c r="X30961" s="9"/>
    </row>
    <row r="30962">
      <c r="D30962" s="9"/>
      <c r="G30962" s="9"/>
      <c r="J30962" s="11"/>
      <c r="U30962" s="9"/>
      <c r="X30962" s="9"/>
    </row>
    <row r="30963">
      <c r="D30963" s="9"/>
      <c r="G30963" s="9"/>
      <c r="J30963" s="11"/>
      <c r="U30963" s="9"/>
      <c r="X30963" s="9"/>
    </row>
    <row r="30964">
      <c r="D30964" s="9"/>
      <c r="G30964" s="9"/>
      <c r="J30964" s="11"/>
      <c r="U30964" s="9"/>
      <c r="X30964" s="9"/>
    </row>
    <row r="30965">
      <c r="D30965" s="9"/>
      <c r="G30965" s="9"/>
      <c r="J30965" s="11"/>
      <c r="U30965" s="9"/>
      <c r="X30965" s="9"/>
    </row>
    <row r="30966">
      <c r="D30966" s="9"/>
      <c r="G30966" s="9"/>
      <c r="J30966" s="11"/>
      <c r="U30966" s="9"/>
      <c r="X30966" s="9"/>
    </row>
    <row r="30967">
      <c r="D30967" s="9"/>
      <c r="G30967" s="9"/>
      <c r="J30967" s="11"/>
      <c r="U30967" s="9"/>
      <c r="X30967" s="9"/>
    </row>
    <row r="30968">
      <c r="D30968" s="9"/>
      <c r="G30968" s="9"/>
      <c r="J30968" s="11"/>
      <c r="U30968" s="9"/>
      <c r="X30968" s="9"/>
    </row>
    <row r="30969">
      <c r="D30969" s="9"/>
      <c r="G30969" s="9"/>
      <c r="J30969" s="11"/>
      <c r="U30969" s="9"/>
      <c r="X30969" s="9"/>
    </row>
    <row r="30970">
      <c r="D30970" s="9"/>
      <c r="G30970" s="9"/>
      <c r="J30970" s="11"/>
      <c r="U30970" s="9"/>
      <c r="X30970" s="9"/>
    </row>
    <row r="30971">
      <c r="D30971" s="9"/>
      <c r="G30971" s="9"/>
      <c r="J30971" s="11"/>
      <c r="U30971" s="9"/>
      <c r="X30971" s="9"/>
    </row>
    <row r="30972">
      <c r="D30972" s="9"/>
      <c r="G30972" s="9"/>
      <c r="J30972" s="11"/>
      <c r="U30972" s="9"/>
      <c r="X30972" s="9"/>
    </row>
    <row r="30973">
      <c r="D30973" s="9"/>
      <c r="G30973" s="9"/>
      <c r="J30973" s="11"/>
      <c r="U30973" s="9"/>
      <c r="X30973" s="9"/>
    </row>
    <row r="30974">
      <c r="D30974" s="9"/>
      <c r="G30974" s="9"/>
      <c r="J30974" s="11"/>
      <c r="U30974" s="9"/>
      <c r="X30974" s="9"/>
    </row>
    <row r="30975">
      <c r="D30975" s="9"/>
      <c r="G30975" s="9"/>
      <c r="J30975" s="11"/>
      <c r="U30975" s="9"/>
      <c r="X30975" s="9"/>
    </row>
    <row r="30976">
      <c r="D30976" s="9"/>
      <c r="G30976" s="9"/>
      <c r="J30976" s="11"/>
      <c r="U30976" s="9"/>
      <c r="X30976" s="9"/>
    </row>
    <row r="30977">
      <c r="D30977" s="9"/>
      <c r="G30977" s="9"/>
      <c r="J30977" s="11"/>
      <c r="U30977" s="9"/>
      <c r="X30977" s="9"/>
    </row>
    <row r="30978">
      <c r="D30978" s="9"/>
      <c r="G30978" s="9"/>
      <c r="J30978" s="11"/>
      <c r="U30978" s="9"/>
      <c r="X30978" s="9"/>
    </row>
    <row r="30979">
      <c r="D30979" s="9"/>
      <c r="G30979" s="9"/>
      <c r="J30979" s="11"/>
      <c r="U30979" s="9"/>
      <c r="X30979" s="9"/>
    </row>
    <row r="30980">
      <c r="D30980" s="9"/>
      <c r="G30980" s="9"/>
      <c r="J30980" s="11"/>
      <c r="U30980" s="9"/>
      <c r="X30980" s="9"/>
    </row>
    <row r="30981">
      <c r="D30981" s="9"/>
      <c r="G30981" s="9"/>
      <c r="J30981" s="11"/>
      <c r="U30981" s="9"/>
      <c r="X30981" s="9"/>
    </row>
    <row r="30982">
      <c r="D30982" s="9"/>
      <c r="G30982" s="9"/>
      <c r="J30982" s="11"/>
      <c r="U30982" s="9"/>
      <c r="X30982" s="9"/>
    </row>
    <row r="30983">
      <c r="D30983" s="9"/>
      <c r="G30983" s="9"/>
      <c r="J30983" s="11"/>
      <c r="U30983" s="9"/>
      <c r="X30983" s="9"/>
    </row>
    <row r="30984">
      <c r="D30984" s="9"/>
      <c r="G30984" s="9"/>
      <c r="J30984" s="11"/>
      <c r="U30984" s="9"/>
      <c r="X30984" s="9"/>
    </row>
    <row r="30985">
      <c r="D30985" s="9"/>
      <c r="G30985" s="9"/>
      <c r="J30985" s="11"/>
      <c r="U30985" s="9"/>
      <c r="X30985" s="9"/>
    </row>
    <row r="30986">
      <c r="D30986" s="9"/>
      <c r="G30986" s="9"/>
      <c r="J30986" s="11"/>
      <c r="U30986" s="9"/>
      <c r="X30986" s="9"/>
    </row>
    <row r="30987">
      <c r="D30987" s="9"/>
      <c r="G30987" s="9"/>
      <c r="J30987" s="11"/>
      <c r="U30987" s="9"/>
      <c r="X30987" s="9"/>
    </row>
    <row r="30988">
      <c r="D30988" s="9"/>
      <c r="G30988" s="9"/>
      <c r="J30988" s="11"/>
      <c r="U30988" s="9"/>
      <c r="X30988" s="9"/>
    </row>
    <row r="30989">
      <c r="D30989" s="9"/>
      <c r="G30989" s="9"/>
      <c r="J30989" s="11"/>
      <c r="U30989" s="9"/>
      <c r="X30989" s="9"/>
    </row>
    <row r="30990">
      <c r="D30990" s="9"/>
      <c r="G30990" s="9"/>
      <c r="J30990" s="11"/>
      <c r="U30990" s="9"/>
      <c r="X30990" s="9"/>
    </row>
    <row r="30991">
      <c r="D30991" s="9"/>
      <c r="G30991" s="9"/>
      <c r="J30991" s="11"/>
      <c r="U30991" s="9"/>
      <c r="X30991" s="9"/>
    </row>
    <row r="30992">
      <c r="D30992" s="9"/>
      <c r="G30992" s="9"/>
      <c r="J30992" s="11"/>
      <c r="U30992" s="9"/>
      <c r="X30992" s="9"/>
    </row>
    <row r="30993">
      <c r="D30993" s="9"/>
      <c r="G30993" s="9"/>
      <c r="J30993" s="11"/>
      <c r="U30993" s="9"/>
      <c r="X30993" s="9"/>
    </row>
    <row r="30994">
      <c r="D30994" s="9"/>
      <c r="G30994" s="9"/>
      <c r="J30994" s="11"/>
      <c r="U30994" s="9"/>
      <c r="X30994" s="9"/>
    </row>
    <row r="30995">
      <c r="D30995" s="9"/>
      <c r="G30995" s="9"/>
      <c r="J30995" s="11"/>
      <c r="U30995" s="9"/>
      <c r="X30995" s="9"/>
    </row>
    <row r="30996">
      <c r="D30996" s="9"/>
      <c r="G30996" s="9"/>
      <c r="J30996" s="11"/>
      <c r="U30996" s="9"/>
      <c r="X30996" s="9"/>
    </row>
    <row r="30997">
      <c r="D30997" s="9"/>
      <c r="G30997" s="9"/>
      <c r="J30997" s="11"/>
      <c r="U30997" s="9"/>
      <c r="X30997" s="9"/>
    </row>
    <row r="30998">
      <c r="D30998" s="9"/>
      <c r="G30998" s="9"/>
      <c r="J30998" s="11"/>
      <c r="U30998" s="9"/>
      <c r="X30998" s="9"/>
    </row>
    <row r="30999">
      <c r="D30999" s="9"/>
      <c r="G30999" s="9"/>
      <c r="J30999" s="11"/>
      <c r="U30999" s="9"/>
      <c r="X30999" s="9"/>
    </row>
    <row r="31000">
      <c r="D31000" s="9"/>
      <c r="G31000" s="9"/>
      <c r="J31000" s="11"/>
      <c r="U31000" s="9"/>
      <c r="X31000" s="9"/>
    </row>
    <row r="31001">
      <c r="D31001" s="9"/>
      <c r="G31001" s="9"/>
      <c r="J31001" s="11"/>
      <c r="U31001" s="9"/>
      <c r="X31001" s="9"/>
    </row>
    <row r="31002">
      <c r="D31002" s="9"/>
      <c r="G31002" s="9"/>
      <c r="J31002" s="11"/>
      <c r="U31002" s="9"/>
      <c r="X31002" s="9"/>
    </row>
    <row r="31003">
      <c r="D31003" s="9"/>
      <c r="G31003" s="9"/>
      <c r="J31003" s="11"/>
      <c r="U31003" s="9"/>
      <c r="X31003" s="9"/>
    </row>
    <row r="31004">
      <c r="D31004" s="9"/>
      <c r="G31004" s="9"/>
      <c r="J31004" s="11"/>
      <c r="U31004" s="9"/>
      <c r="X31004" s="9"/>
    </row>
    <row r="31005">
      <c r="D31005" s="9"/>
      <c r="G31005" s="9"/>
      <c r="J31005" s="11"/>
      <c r="U31005" s="9"/>
      <c r="X31005" s="9"/>
    </row>
    <row r="31006">
      <c r="D31006" s="9"/>
      <c r="G31006" s="9"/>
      <c r="J31006" s="11"/>
      <c r="U31006" s="9"/>
      <c r="X31006" s="9"/>
    </row>
    <row r="31007">
      <c r="D31007" s="9"/>
      <c r="G31007" s="9"/>
      <c r="J31007" s="11"/>
      <c r="U31007" s="9"/>
      <c r="X31007" s="9"/>
    </row>
    <row r="31008">
      <c r="D31008" s="9"/>
      <c r="G31008" s="9"/>
      <c r="J31008" s="11"/>
      <c r="U31008" s="9"/>
      <c r="X31008" s="9"/>
    </row>
    <row r="31009">
      <c r="D31009" s="9"/>
      <c r="G31009" s="9"/>
      <c r="J31009" s="11"/>
      <c r="U31009" s="9"/>
      <c r="X31009" s="9"/>
    </row>
    <row r="31010">
      <c r="D31010" s="9"/>
      <c r="G31010" s="9"/>
      <c r="J31010" s="11"/>
      <c r="U31010" s="9"/>
      <c r="X31010" s="9"/>
    </row>
    <row r="31011">
      <c r="D31011" s="9"/>
      <c r="G31011" s="9"/>
      <c r="J31011" s="11"/>
      <c r="U31011" s="9"/>
      <c r="X31011" s="9"/>
    </row>
    <row r="31012">
      <c r="D31012" s="9"/>
      <c r="G31012" s="9"/>
      <c r="J31012" s="11"/>
      <c r="U31012" s="9"/>
      <c r="X31012" s="9"/>
    </row>
    <row r="31013">
      <c r="D31013" s="9"/>
      <c r="G31013" s="9"/>
      <c r="J31013" s="11"/>
      <c r="U31013" s="9"/>
      <c r="X31013" s="9"/>
    </row>
    <row r="31014">
      <c r="D31014" s="9"/>
      <c r="G31014" s="9"/>
      <c r="J31014" s="11"/>
      <c r="U31014" s="9"/>
      <c r="X31014" s="9"/>
    </row>
    <row r="31015">
      <c r="D31015" s="9"/>
      <c r="G31015" s="9"/>
      <c r="J31015" s="11"/>
      <c r="U31015" s="9"/>
      <c r="X31015" s="9"/>
    </row>
    <row r="31016">
      <c r="D31016" s="9"/>
      <c r="G31016" s="9"/>
      <c r="J31016" s="11"/>
      <c r="U31016" s="9"/>
      <c r="X31016" s="9"/>
    </row>
    <row r="31017">
      <c r="D31017" s="9"/>
      <c r="G31017" s="9"/>
      <c r="J31017" s="11"/>
      <c r="U31017" s="9"/>
      <c r="X31017" s="9"/>
    </row>
    <row r="31018">
      <c r="D31018" s="9"/>
      <c r="G31018" s="9"/>
      <c r="J31018" s="11"/>
      <c r="U31018" s="9"/>
      <c r="X31018" s="9"/>
    </row>
    <row r="31019">
      <c r="D31019" s="9"/>
      <c r="G31019" s="9"/>
      <c r="J31019" s="11"/>
      <c r="U31019" s="9"/>
      <c r="X31019" s="9"/>
    </row>
    <row r="31020">
      <c r="D31020" s="9"/>
      <c r="G31020" s="9"/>
      <c r="J31020" s="11"/>
      <c r="U31020" s="9"/>
      <c r="X31020" s="9"/>
    </row>
    <row r="31021">
      <c r="D31021" s="9"/>
      <c r="G31021" s="9"/>
      <c r="J31021" s="11"/>
      <c r="U31021" s="9"/>
      <c r="X31021" s="9"/>
    </row>
    <row r="31022">
      <c r="D31022" s="9"/>
      <c r="G31022" s="9"/>
      <c r="J31022" s="11"/>
      <c r="U31022" s="9"/>
      <c r="X31022" s="9"/>
    </row>
    <row r="31023">
      <c r="D31023" s="9"/>
      <c r="G31023" s="9"/>
      <c r="J31023" s="11"/>
      <c r="U31023" s="9"/>
      <c r="X31023" s="9"/>
    </row>
    <row r="31024">
      <c r="D31024" s="9"/>
      <c r="G31024" s="9"/>
      <c r="J31024" s="11"/>
      <c r="U31024" s="9"/>
      <c r="X31024" s="9"/>
    </row>
    <row r="31025">
      <c r="D31025" s="9"/>
      <c r="G31025" s="9"/>
      <c r="J31025" s="11"/>
      <c r="U31025" s="9"/>
      <c r="X31025" s="9"/>
    </row>
    <row r="31026">
      <c r="D31026" s="9"/>
      <c r="G31026" s="9"/>
      <c r="J31026" s="11"/>
      <c r="U31026" s="9"/>
      <c r="X31026" s="9"/>
    </row>
    <row r="31027">
      <c r="D31027" s="9"/>
      <c r="G31027" s="9"/>
      <c r="J31027" s="11"/>
      <c r="U31027" s="9"/>
      <c r="X31027" s="9"/>
    </row>
    <row r="31028">
      <c r="D31028" s="9"/>
      <c r="G31028" s="9"/>
      <c r="J31028" s="11"/>
      <c r="U31028" s="9"/>
      <c r="X31028" s="9"/>
    </row>
    <row r="31029">
      <c r="D31029" s="9"/>
      <c r="G31029" s="9"/>
      <c r="J31029" s="11"/>
      <c r="U31029" s="9"/>
      <c r="X31029" s="9"/>
    </row>
    <row r="31030">
      <c r="D31030" s="9"/>
      <c r="G31030" s="9"/>
      <c r="J31030" s="11"/>
      <c r="U31030" s="9"/>
      <c r="X31030" s="9"/>
    </row>
    <row r="31031">
      <c r="D31031" s="9"/>
      <c r="G31031" s="9"/>
      <c r="J31031" s="11"/>
      <c r="U31031" s="9"/>
      <c r="X31031" s="9"/>
    </row>
    <row r="31032">
      <c r="D31032" s="9"/>
      <c r="G31032" s="9"/>
      <c r="J31032" s="11"/>
      <c r="U31032" s="9"/>
      <c r="X31032" s="9"/>
    </row>
    <row r="31033">
      <c r="D31033" s="9"/>
      <c r="G31033" s="9"/>
      <c r="J31033" s="11"/>
      <c r="U31033" s="9"/>
      <c r="X31033" s="9"/>
    </row>
    <row r="31034">
      <c r="D31034" s="9"/>
      <c r="G31034" s="9"/>
      <c r="J31034" s="11"/>
      <c r="U31034" s="9"/>
      <c r="X31034" s="9"/>
    </row>
    <row r="31035">
      <c r="D31035" s="9"/>
      <c r="G31035" s="9"/>
      <c r="J31035" s="11"/>
      <c r="U31035" s="9"/>
      <c r="X31035" s="9"/>
    </row>
    <row r="31036">
      <c r="D31036" s="9"/>
      <c r="G31036" s="9"/>
      <c r="J31036" s="11"/>
      <c r="U31036" s="9"/>
      <c r="X31036" s="9"/>
    </row>
    <row r="31037">
      <c r="D31037" s="9"/>
      <c r="G31037" s="9"/>
      <c r="J31037" s="11"/>
      <c r="U31037" s="9"/>
      <c r="X31037" s="9"/>
    </row>
    <row r="31038">
      <c r="D31038" s="9"/>
      <c r="G31038" s="9"/>
      <c r="J31038" s="11"/>
      <c r="U31038" s="9"/>
      <c r="X31038" s="9"/>
    </row>
    <row r="31039">
      <c r="D31039" s="9"/>
      <c r="G31039" s="9"/>
      <c r="J31039" s="11"/>
      <c r="U31039" s="9"/>
      <c r="X31039" s="9"/>
    </row>
    <row r="31040">
      <c r="D31040" s="9"/>
      <c r="G31040" s="9"/>
      <c r="J31040" s="11"/>
      <c r="U31040" s="9"/>
      <c r="X31040" s="9"/>
    </row>
    <row r="31041">
      <c r="D31041" s="9"/>
      <c r="G31041" s="9"/>
      <c r="J31041" s="11"/>
      <c r="U31041" s="9"/>
      <c r="X31041" s="9"/>
    </row>
    <row r="31042">
      <c r="D31042" s="9"/>
      <c r="G31042" s="9"/>
      <c r="J31042" s="11"/>
      <c r="U31042" s="9"/>
      <c r="X31042" s="9"/>
    </row>
    <row r="31043">
      <c r="D31043" s="9"/>
      <c r="G31043" s="9"/>
      <c r="J31043" s="11"/>
      <c r="U31043" s="9"/>
      <c r="X31043" s="9"/>
    </row>
    <row r="31044">
      <c r="D31044" s="9"/>
      <c r="G31044" s="9"/>
      <c r="J31044" s="11"/>
      <c r="U31044" s="9"/>
      <c r="X31044" s="9"/>
    </row>
    <row r="31045">
      <c r="D31045" s="9"/>
      <c r="G31045" s="9"/>
      <c r="J31045" s="11"/>
      <c r="U31045" s="9"/>
      <c r="X31045" s="9"/>
    </row>
    <row r="31046">
      <c r="D31046" s="9"/>
      <c r="G31046" s="9"/>
      <c r="J31046" s="11"/>
      <c r="U31046" s="9"/>
      <c r="X31046" s="9"/>
    </row>
    <row r="31047">
      <c r="D31047" s="9"/>
      <c r="G31047" s="9"/>
      <c r="J31047" s="11"/>
      <c r="U31047" s="9"/>
      <c r="X31047" s="9"/>
    </row>
    <row r="31048">
      <c r="D31048" s="9"/>
      <c r="G31048" s="9"/>
      <c r="J31048" s="11"/>
      <c r="U31048" s="9"/>
      <c r="X31048" s="9"/>
    </row>
    <row r="31049">
      <c r="D31049" s="9"/>
      <c r="G31049" s="9"/>
      <c r="J31049" s="11"/>
      <c r="U31049" s="9"/>
      <c r="X31049" s="9"/>
    </row>
    <row r="31050">
      <c r="D31050" s="9"/>
      <c r="G31050" s="9"/>
      <c r="J31050" s="11"/>
      <c r="U31050" s="9"/>
      <c r="X31050" s="9"/>
    </row>
    <row r="31051">
      <c r="D31051" s="9"/>
      <c r="G31051" s="9"/>
      <c r="J31051" s="11"/>
      <c r="U31051" s="9"/>
      <c r="X31051" s="9"/>
    </row>
    <row r="31052">
      <c r="D31052" s="9"/>
      <c r="G31052" s="9"/>
      <c r="J31052" s="11"/>
      <c r="U31052" s="9"/>
      <c r="X31052" s="9"/>
    </row>
    <row r="31053">
      <c r="D31053" s="9"/>
      <c r="G31053" s="9"/>
      <c r="J31053" s="11"/>
      <c r="U31053" s="9"/>
      <c r="X31053" s="9"/>
    </row>
    <row r="31054">
      <c r="D31054" s="9"/>
      <c r="G31054" s="9"/>
      <c r="J31054" s="11"/>
      <c r="U31054" s="9"/>
      <c r="X31054" s="9"/>
    </row>
    <row r="31055">
      <c r="D31055" s="9"/>
      <c r="G31055" s="9"/>
      <c r="J31055" s="11"/>
      <c r="U31055" s="9"/>
      <c r="X31055" s="9"/>
    </row>
    <row r="31056">
      <c r="D31056" s="9"/>
      <c r="G31056" s="9"/>
      <c r="J31056" s="11"/>
      <c r="U31056" s="9"/>
      <c r="X31056" s="9"/>
    </row>
    <row r="31057">
      <c r="D31057" s="9"/>
      <c r="G31057" s="9"/>
      <c r="J31057" s="11"/>
      <c r="U31057" s="9"/>
      <c r="X31057" s="9"/>
    </row>
    <row r="31058">
      <c r="D31058" s="9"/>
      <c r="G31058" s="9"/>
      <c r="J31058" s="11"/>
      <c r="U31058" s="9"/>
      <c r="X31058" s="9"/>
    </row>
    <row r="31059">
      <c r="D31059" s="9"/>
      <c r="G31059" s="9"/>
      <c r="J31059" s="11"/>
      <c r="U31059" s="9"/>
      <c r="X31059" s="9"/>
    </row>
    <row r="31060">
      <c r="D31060" s="9"/>
      <c r="G31060" s="9"/>
      <c r="J31060" s="11"/>
      <c r="U31060" s="9"/>
      <c r="X31060" s="9"/>
    </row>
    <row r="31061">
      <c r="D31061" s="9"/>
      <c r="G31061" s="9"/>
      <c r="J31061" s="11"/>
      <c r="U31061" s="9"/>
      <c r="X31061" s="9"/>
    </row>
    <row r="31062">
      <c r="D31062" s="9"/>
      <c r="G31062" s="9"/>
      <c r="J31062" s="11"/>
      <c r="U31062" s="9"/>
      <c r="X31062" s="9"/>
    </row>
    <row r="31063">
      <c r="D31063" s="9"/>
      <c r="G31063" s="9"/>
      <c r="J31063" s="11"/>
      <c r="U31063" s="9"/>
      <c r="X31063" s="9"/>
    </row>
    <row r="31064">
      <c r="D31064" s="9"/>
      <c r="G31064" s="9"/>
      <c r="J31064" s="11"/>
      <c r="U31064" s="9"/>
      <c r="X31064" s="9"/>
    </row>
    <row r="31065">
      <c r="D31065" s="9"/>
      <c r="G31065" s="9"/>
      <c r="J31065" s="11"/>
      <c r="U31065" s="9"/>
      <c r="X31065" s="9"/>
    </row>
    <row r="31066">
      <c r="D31066" s="9"/>
      <c r="G31066" s="9"/>
      <c r="J31066" s="11"/>
      <c r="U31066" s="9"/>
      <c r="X31066" s="9"/>
    </row>
    <row r="31067">
      <c r="D31067" s="9"/>
      <c r="G31067" s="9"/>
      <c r="J31067" s="11"/>
      <c r="U31067" s="9"/>
      <c r="X31067" s="9"/>
    </row>
    <row r="31068">
      <c r="D31068" s="9"/>
      <c r="G31068" s="9"/>
      <c r="J31068" s="11"/>
      <c r="U31068" s="9"/>
      <c r="X31068" s="9"/>
    </row>
    <row r="31069">
      <c r="D31069" s="9"/>
      <c r="G31069" s="9"/>
      <c r="J31069" s="11"/>
      <c r="U31069" s="9"/>
      <c r="X31069" s="9"/>
    </row>
    <row r="31070">
      <c r="D31070" s="9"/>
      <c r="G31070" s="9"/>
      <c r="J31070" s="11"/>
      <c r="U31070" s="9"/>
      <c r="X31070" s="9"/>
    </row>
    <row r="31071">
      <c r="D31071" s="9"/>
      <c r="G31071" s="9"/>
      <c r="J31071" s="11"/>
      <c r="U31071" s="9"/>
      <c r="X31071" s="9"/>
    </row>
    <row r="31072">
      <c r="D31072" s="9"/>
      <c r="G31072" s="9"/>
      <c r="J31072" s="11"/>
      <c r="U31072" s="9"/>
      <c r="X31072" s="9"/>
    </row>
    <row r="31073">
      <c r="D31073" s="9"/>
      <c r="G31073" s="9"/>
      <c r="J31073" s="11"/>
      <c r="U31073" s="9"/>
      <c r="X31073" s="9"/>
    </row>
    <row r="31074">
      <c r="D31074" s="9"/>
      <c r="G31074" s="9"/>
      <c r="J31074" s="11"/>
      <c r="U31074" s="9"/>
      <c r="X31074" s="9"/>
    </row>
    <row r="31075">
      <c r="D31075" s="9"/>
      <c r="G31075" s="9"/>
      <c r="J31075" s="11"/>
      <c r="U31075" s="9"/>
      <c r="X31075" s="9"/>
    </row>
    <row r="31076">
      <c r="D31076" s="9"/>
      <c r="G31076" s="9"/>
      <c r="J31076" s="11"/>
      <c r="U31076" s="9"/>
      <c r="X31076" s="9"/>
    </row>
    <row r="31077">
      <c r="D31077" s="9"/>
      <c r="G31077" s="9"/>
      <c r="J31077" s="11"/>
      <c r="U31077" s="9"/>
      <c r="X31077" s="9"/>
    </row>
    <row r="31078">
      <c r="D31078" s="9"/>
      <c r="G31078" s="9"/>
      <c r="J31078" s="11"/>
      <c r="U31078" s="9"/>
      <c r="X31078" s="9"/>
    </row>
    <row r="31079">
      <c r="D31079" s="9"/>
      <c r="G31079" s="9"/>
      <c r="J31079" s="11"/>
      <c r="U31079" s="9"/>
      <c r="X31079" s="9"/>
    </row>
    <row r="31080">
      <c r="D31080" s="9"/>
      <c r="G31080" s="9"/>
      <c r="J31080" s="11"/>
      <c r="U31080" s="9"/>
      <c r="X31080" s="9"/>
    </row>
    <row r="31081">
      <c r="D31081" s="9"/>
      <c r="G31081" s="9"/>
      <c r="J31081" s="11"/>
      <c r="U31081" s="9"/>
      <c r="X31081" s="9"/>
    </row>
    <row r="31082">
      <c r="D31082" s="9"/>
      <c r="G31082" s="9"/>
      <c r="J31082" s="11"/>
      <c r="U31082" s="9"/>
      <c r="X31082" s="9"/>
    </row>
    <row r="31083">
      <c r="D31083" s="9"/>
      <c r="G31083" s="9"/>
      <c r="J31083" s="11"/>
      <c r="U31083" s="9"/>
      <c r="X31083" s="9"/>
    </row>
    <row r="31084">
      <c r="D31084" s="9"/>
      <c r="G31084" s="9"/>
      <c r="J31084" s="11"/>
      <c r="U31084" s="9"/>
      <c r="X31084" s="9"/>
    </row>
    <row r="31085">
      <c r="D31085" s="9"/>
      <c r="G31085" s="9"/>
      <c r="J31085" s="11"/>
      <c r="U31085" s="9"/>
      <c r="X31085" s="9"/>
    </row>
    <row r="31086">
      <c r="D31086" s="9"/>
      <c r="G31086" s="9"/>
      <c r="J31086" s="11"/>
      <c r="U31086" s="9"/>
      <c r="X31086" s="9"/>
    </row>
    <row r="31087">
      <c r="D31087" s="9"/>
      <c r="G31087" s="9"/>
      <c r="J31087" s="11"/>
      <c r="U31087" s="9"/>
      <c r="X31087" s="9"/>
    </row>
    <row r="31088">
      <c r="D31088" s="9"/>
      <c r="G31088" s="9"/>
      <c r="J31088" s="11"/>
      <c r="U31088" s="9"/>
      <c r="X31088" s="9"/>
    </row>
    <row r="31089">
      <c r="D31089" s="9"/>
      <c r="G31089" s="9"/>
      <c r="J31089" s="11"/>
      <c r="U31089" s="9"/>
      <c r="X31089" s="9"/>
    </row>
    <row r="31090">
      <c r="D31090" s="9"/>
      <c r="G31090" s="9"/>
      <c r="J31090" s="11"/>
      <c r="U31090" s="9"/>
      <c r="X31090" s="9"/>
    </row>
    <row r="31091">
      <c r="D31091" s="9"/>
      <c r="G31091" s="9"/>
      <c r="J31091" s="11"/>
      <c r="U31091" s="9"/>
      <c r="X31091" s="9"/>
    </row>
    <row r="31092">
      <c r="D31092" s="9"/>
      <c r="G31092" s="9"/>
      <c r="J31092" s="11"/>
      <c r="U31092" s="9"/>
      <c r="X31092" s="9"/>
    </row>
    <row r="31093">
      <c r="D31093" s="9"/>
      <c r="G31093" s="9"/>
      <c r="J31093" s="11"/>
      <c r="U31093" s="9"/>
      <c r="X31093" s="9"/>
    </row>
    <row r="31094">
      <c r="D31094" s="9"/>
      <c r="G31094" s="9"/>
      <c r="J31094" s="11"/>
      <c r="U31094" s="9"/>
      <c r="X31094" s="9"/>
    </row>
    <row r="31095">
      <c r="D31095" s="9"/>
      <c r="G31095" s="9"/>
      <c r="J31095" s="11"/>
      <c r="U31095" s="9"/>
      <c r="X31095" s="9"/>
    </row>
    <row r="31096">
      <c r="D31096" s="9"/>
      <c r="G31096" s="9"/>
      <c r="J31096" s="11"/>
      <c r="U31096" s="9"/>
      <c r="X31096" s="9"/>
    </row>
    <row r="31097">
      <c r="D31097" s="9"/>
      <c r="G31097" s="9"/>
      <c r="J31097" s="11"/>
      <c r="U31097" s="9"/>
      <c r="X31097" s="9"/>
    </row>
    <row r="31098">
      <c r="D31098" s="9"/>
      <c r="G31098" s="9"/>
      <c r="J31098" s="11"/>
      <c r="U31098" s="9"/>
      <c r="X31098" s="9"/>
    </row>
    <row r="31099">
      <c r="D31099" s="9"/>
      <c r="G31099" s="9"/>
      <c r="J31099" s="11"/>
      <c r="U31099" s="9"/>
      <c r="X31099" s="9"/>
    </row>
    <row r="31100">
      <c r="D31100" s="9"/>
      <c r="G31100" s="9"/>
      <c r="J31100" s="11"/>
      <c r="U31100" s="9"/>
      <c r="X31100" s="9"/>
    </row>
    <row r="31101">
      <c r="D31101" s="9"/>
      <c r="G31101" s="9"/>
      <c r="J31101" s="11"/>
      <c r="U31101" s="9"/>
      <c r="X31101" s="9"/>
    </row>
    <row r="31102">
      <c r="D31102" s="9"/>
      <c r="G31102" s="9"/>
      <c r="J31102" s="11"/>
      <c r="U31102" s="9"/>
      <c r="X31102" s="9"/>
    </row>
    <row r="31103">
      <c r="D31103" s="9"/>
      <c r="G31103" s="9"/>
      <c r="J31103" s="11"/>
      <c r="U31103" s="9"/>
      <c r="X31103" s="9"/>
    </row>
    <row r="31104">
      <c r="D31104" s="9"/>
      <c r="G31104" s="9"/>
      <c r="J31104" s="11"/>
      <c r="U31104" s="9"/>
      <c r="X31104" s="9"/>
    </row>
    <row r="31105">
      <c r="D31105" s="9"/>
      <c r="G31105" s="9"/>
      <c r="J31105" s="11"/>
      <c r="U31105" s="9"/>
      <c r="X31105" s="9"/>
    </row>
    <row r="31106">
      <c r="D31106" s="9"/>
      <c r="G31106" s="9"/>
      <c r="J31106" s="11"/>
      <c r="U31106" s="9"/>
      <c r="X31106" s="9"/>
    </row>
    <row r="31107">
      <c r="D31107" s="9"/>
      <c r="G31107" s="9"/>
      <c r="J31107" s="11"/>
      <c r="U31107" s="9"/>
      <c r="X31107" s="9"/>
    </row>
    <row r="31108">
      <c r="D31108" s="9"/>
      <c r="G31108" s="9"/>
      <c r="J31108" s="11"/>
      <c r="U31108" s="9"/>
      <c r="X31108" s="9"/>
    </row>
    <row r="31109">
      <c r="D31109" s="9"/>
      <c r="G31109" s="9"/>
      <c r="J31109" s="11"/>
      <c r="U31109" s="9"/>
      <c r="X31109" s="9"/>
    </row>
    <row r="31110">
      <c r="D31110" s="9"/>
      <c r="G31110" s="9"/>
      <c r="J31110" s="11"/>
      <c r="U31110" s="9"/>
      <c r="X31110" s="9"/>
    </row>
    <row r="31111">
      <c r="D31111" s="9"/>
      <c r="G31111" s="9"/>
      <c r="J31111" s="11"/>
      <c r="U31111" s="9"/>
      <c r="X31111" s="9"/>
    </row>
    <row r="31112">
      <c r="D31112" s="9"/>
      <c r="G31112" s="9"/>
      <c r="J31112" s="11"/>
      <c r="U31112" s="9"/>
      <c r="X31112" s="9"/>
    </row>
    <row r="31113">
      <c r="D31113" s="9"/>
      <c r="G31113" s="9"/>
      <c r="J31113" s="11"/>
      <c r="U31113" s="9"/>
      <c r="X31113" s="9"/>
    </row>
    <row r="31114">
      <c r="D31114" s="9"/>
      <c r="G31114" s="9"/>
      <c r="J31114" s="11"/>
      <c r="U31114" s="9"/>
      <c r="X31114" s="9"/>
    </row>
    <row r="31115">
      <c r="D31115" s="9"/>
      <c r="G31115" s="9"/>
      <c r="J31115" s="11"/>
      <c r="U31115" s="9"/>
      <c r="X31115" s="9"/>
    </row>
    <row r="31116">
      <c r="D31116" s="9"/>
      <c r="G31116" s="9"/>
      <c r="J31116" s="11"/>
      <c r="U31116" s="9"/>
      <c r="X31116" s="9"/>
    </row>
    <row r="31117">
      <c r="D31117" s="9"/>
      <c r="G31117" s="9"/>
      <c r="J31117" s="11"/>
      <c r="U31117" s="9"/>
      <c r="X31117" s="9"/>
    </row>
    <row r="31118">
      <c r="D31118" s="9"/>
      <c r="G31118" s="9"/>
      <c r="J31118" s="11"/>
      <c r="U31118" s="9"/>
      <c r="X31118" s="9"/>
    </row>
    <row r="31119">
      <c r="D31119" s="9"/>
      <c r="G31119" s="9"/>
      <c r="J31119" s="11"/>
      <c r="U31119" s="9"/>
      <c r="X31119" s="9"/>
    </row>
    <row r="31120">
      <c r="D31120" s="9"/>
      <c r="G31120" s="9"/>
      <c r="J31120" s="11"/>
      <c r="U31120" s="9"/>
      <c r="X31120" s="9"/>
    </row>
    <row r="31121">
      <c r="D31121" s="9"/>
      <c r="G31121" s="9"/>
      <c r="J31121" s="11"/>
      <c r="U31121" s="9"/>
      <c r="X31121" s="9"/>
    </row>
    <row r="31122">
      <c r="D31122" s="9"/>
      <c r="G31122" s="9"/>
      <c r="J31122" s="11"/>
      <c r="U31122" s="9"/>
      <c r="X31122" s="9"/>
    </row>
    <row r="31123">
      <c r="D31123" s="9"/>
      <c r="G31123" s="9"/>
      <c r="J31123" s="11"/>
      <c r="U31123" s="9"/>
      <c r="X31123" s="9"/>
    </row>
    <row r="31124">
      <c r="D31124" s="9"/>
      <c r="G31124" s="9"/>
      <c r="J31124" s="11"/>
      <c r="U31124" s="9"/>
      <c r="X31124" s="9"/>
    </row>
    <row r="31125">
      <c r="D31125" s="9"/>
      <c r="G31125" s="9"/>
      <c r="J31125" s="11"/>
      <c r="U31125" s="9"/>
      <c r="X31125" s="9"/>
    </row>
    <row r="31126">
      <c r="D31126" s="9"/>
      <c r="G31126" s="9"/>
      <c r="J31126" s="11"/>
      <c r="U31126" s="9"/>
      <c r="X31126" s="9"/>
    </row>
    <row r="31127">
      <c r="D31127" s="9"/>
      <c r="G31127" s="9"/>
      <c r="J31127" s="11"/>
      <c r="U31127" s="9"/>
      <c r="X31127" s="9"/>
    </row>
    <row r="31128">
      <c r="D31128" s="9"/>
      <c r="G31128" s="9"/>
      <c r="J31128" s="11"/>
      <c r="U31128" s="9"/>
      <c r="X31128" s="9"/>
    </row>
    <row r="31129">
      <c r="D31129" s="9"/>
      <c r="G31129" s="9"/>
      <c r="J31129" s="11"/>
      <c r="U31129" s="9"/>
      <c r="X31129" s="9"/>
    </row>
    <row r="31130">
      <c r="D31130" s="9"/>
      <c r="G31130" s="9"/>
      <c r="J31130" s="11"/>
      <c r="U31130" s="9"/>
      <c r="X31130" s="9"/>
    </row>
    <row r="31131">
      <c r="D31131" s="9"/>
      <c r="G31131" s="9"/>
      <c r="J31131" s="11"/>
      <c r="U31131" s="9"/>
      <c r="X31131" s="9"/>
    </row>
    <row r="31132">
      <c r="D31132" s="9"/>
      <c r="G31132" s="9"/>
      <c r="J31132" s="11"/>
      <c r="U31132" s="9"/>
      <c r="X31132" s="9"/>
    </row>
    <row r="31133">
      <c r="D31133" s="9"/>
      <c r="G31133" s="9"/>
      <c r="J31133" s="11"/>
      <c r="U31133" s="9"/>
      <c r="X31133" s="9"/>
    </row>
    <row r="31134">
      <c r="D31134" s="9"/>
      <c r="G31134" s="9"/>
      <c r="J31134" s="11"/>
      <c r="U31134" s="9"/>
      <c r="X31134" s="9"/>
    </row>
    <row r="31135">
      <c r="D31135" s="9"/>
      <c r="G31135" s="9"/>
      <c r="J31135" s="11"/>
      <c r="U31135" s="9"/>
      <c r="X31135" s="9"/>
    </row>
    <row r="31136">
      <c r="D31136" s="9"/>
      <c r="G31136" s="9"/>
      <c r="J31136" s="11"/>
      <c r="U31136" s="9"/>
      <c r="X31136" s="9"/>
    </row>
    <row r="31137">
      <c r="D31137" s="9"/>
      <c r="G31137" s="9"/>
      <c r="J31137" s="11"/>
      <c r="U31137" s="9"/>
      <c r="X31137" s="9"/>
    </row>
    <row r="31138">
      <c r="D31138" s="9"/>
      <c r="G31138" s="9"/>
      <c r="J31138" s="11"/>
      <c r="U31138" s="9"/>
      <c r="X31138" s="9"/>
    </row>
    <row r="31139">
      <c r="D31139" s="9"/>
      <c r="G31139" s="9"/>
      <c r="J31139" s="11"/>
      <c r="U31139" s="9"/>
      <c r="X31139" s="9"/>
    </row>
    <row r="31140">
      <c r="D31140" s="9"/>
      <c r="G31140" s="9"/>
      <c r="J31140" s="11"/>
      <c r="U31140" s="9"/>
      <c r="X31140" s="9"/>
    </row>
    <row r="31141">
      <c r="D31141" s="9"/>
      <c r="G31141" s="9"/>
      <c r="J31141" s="11"/>
      <c r="U31141" s="9"/>
      <c r="X31141" s="9"/>
    </row>
    <row r="31142">
      <c r="D31142" s="9"/>
      <c r="G31142" s="9"/>
      <c r="J31142" s="11"/>
      <c r="U31142" s="9"/>
      <c r="X31142" s="9"/>
    </row>
    <row r="31143">
      <c r="D31143" s="9"/>
      <c r="G31143" s="9"/>
      <c r="J31143" s="11"/>
      <c r="U31143" s="9"/>
      <c r="X31143" s="9"/>
    </row>
    <row r="31144">
      <c r="D31144" s="9"/>
      <c r="G31144" s="9"/>
      <c r="J31144" s="11"/>
      <c r="U31144" s="9"/>
      <c r="X31144" s="9"/>
    </row>
    <row r="31145">
      <c r="D31145" s="9"/>
      <c r="G31145" s="9"/>
      <c r="J31145" s="11"/>
      <c r="U31145" s="9"/>
      <c r="X31145" s="9"/>
    </row>
    <row r="31146">
      <c r="D31146" s="9"/>
      <c r="G31146" s="9"/>
      <c r="J31146" s="11"/>
      <c r="U31146" s="9"/>
      <c r="X31146" s="9"/>
    </row>
    <row r="31147">
      <c r="D31147" s="9"/>
      <c r="G31147" s="9"/>
      <c r="J31147" s="11"/>
      <c r="U31147" s="9"/>
      <c r="X31147" s="9"/>
    </row>
    <row r="31148">
      <c r="D31148" s="9"/>
      <c r="G31148" s="9"/>
      <c r="J31148" s="11"/>
      <c r="U31148" s="9"/>
      <c r="X31148" s="9"/>
    </row>
    <row r="31149">
      <c r="D31149" s="9"/>
      <c r="G31149" s="9"/>
      <c r="J31149" s="11"/>
      <c r="U31149" s="9"/>
      <c r="X31149" s="9"/>
    </row>
    <row r="31150">
      <c r="D31150" s="9"/>
      <c r="G31150" s="9"/>
      <c r="J31150" s="11"/>
      <c r="U31150" s="9"/>
      <c r="X31150" s="9"/>
    </row>
    <row r="31151">
      <c r="D31151" s="9"/>
      <c r="G31151" s="9"/>
      <c r="J31151" s="11"/>
      <c r="U31151" s="9"/>
      <c r="X31151" s="9"/>
    </row>
    <row r="31152">
      <c r="D31152" s="9"/>
      <c r="G31152" s="9"/>
      <c r="J31152" s="11"/>
      <c r="U31152" s="9"/>
      <c r="X31152" s="9"/>
    </row>
    <row r="31153">
      <c r="D31153" s="9"/>
      <c r="G31153" s="9"/>
      <c r="J31153" s="11"/>
      <c r="U31153" s="9"/>
      <c r="X31153" s="9"/>
    </row>
    <row r="31154">
      <c r="D31154" s="9"/>
      <c r="G31154" s="9"/>
      <c r="J31154" s="11"/>
      <c r="U31154" s="9"/>
      <c r="X31154" s="9"/>
    </row>
    <row r="31155">
      <c r="D31155" s="9"/>
      <c r="G31155" s="9"/>
      <c r="J31155" s="11"/>
      <c r="U31155" s="9"/>
      <c r="X31155" s="9"/>
    </row>
    <row r="31156">
      <c r="D31156" s="9"/>
      <c r="G31156" s="9"/>
      <c r="J31156" s="11"/>
      <c r="U31156" s="9"/>
      <c r="X31156" s="9"/>
    </row>
    <row r="31157">
      <c r="D31157" s="9"/>
      <c r="G31157" s="9"/>
      <c r="J31157" s="11"/>
      <c r="U31157" s="9"/>
      <c r="X31157" s="9"/>
    </row>
    <row r="31158">
      <c r="D31158" s="9"/>
      <c r="G31158" s="9"/>
      <c r="J31158" s="11"/>
      <c r="U31158" s="9"/>
      <c r="X31158" s="9"/>
    </row>
    <row r="31159">
      <c r="D31159" s="9"/>
      <c r="G31159" s="9"/>
      <c r="J31159" s="11"/>
      <c r="U31159" s="9"/>
      <c r="X31159" s="9"/>
    </row>
    <row r="31160">
      <c r="D31160" s="9"/>
      <c r="G31160" s="9"/>
      <c r="J31160" s="11"/>
      <c r="U31160" s="9"/>
      <c r="X31160" s="9"/>
    </row>
    <row r="31161">
      <c r="D31161" s="9"/>
      <c r="G31161" s="9"/>
      <c r="J31161" s="11"/>
      <c r="U31161" s="9"/>
      <c r="X31161" s="9"/>
    </row>
    <row r="31162">
      <c r="D31162" s="9"/>
      <c r="G31162" s="9"/>
      <c r="J31162" s="11"/>
      <c r="U31162" s="9"/>
      <c r="X31162" s="9"/>
    </row>
    <row r="31163">
      <c r="D31163" s="9"/>
      <c r="G31163" s="9"/>
      <c r="J31163" s="11"/>
      <c r="U31163" s="9"/>
      <c r="X31163" s="9"/>
    </row>
    <row r="31164">
      <c r="D31164" s="9"/>
      <c r="G31164" s="9"/>
      <c r="J31164" s="11"/>
      <c r="U31164" s="9"/>
      <c r="X31164" s="9"/>
    </row>
    <row r="31165">
      <c r="D31165" s="9"/>
      <c r="G31165" s="9"/>
      <c r="J31165" s="11"/>
      <c r="U31165" s="9"/>
      <c r="X31165" s="9"/>
    </row>
    <row r="31166">
      <c r="D31166" s="9"/>
      <c r="G31166" s="9"/>
      <c r="J31166" s="11"/>
      <c r="U31166" s="9"/>
      <c r="X31166" s="9"/>
    </row>
    <row r="31167">
      <c r="D31167" s="9"/>
      <c r="G31167" s="9"/>
      <c r="J31167" s="11"/>
      <c r="U31167" s="9"/>
      <c r="X31167" s="9"/>
    </row>
    <row r="31168">
      <c r="D31168" s="9"/>
      <c r="G31168" s="9"/>
      <c r="J31168" s="11"/>
      <c r="U31168" s="9"/>
      <c r="X31168" s="9"/>
    </row>
    <row r="31169">
      <c r="D31169" s="9"/>
      <c r="G31169" s="9"/>
      <c r="J31169" s="11"/>
      <c r="U31169" s="9"/>
      <c r="X31169" s="9"/>
    </row>
    <row r="31170">
      <c r="D31170" s="9"/>
      <c r="G31170" s="9"/>
      <c r="J31170" s="11"/>
      <c r="U31170" s="9"/>
      <c r="X31170" s="9"/>
    </row>
    <row r="31171">
      <c r="D31171" s="9"/>
      <c r="G31171" s="9"/>
      <c r="J31171" s="11"/>
      <c r="U31171" s="9"/>
      <c r="X31171" s="9"/>
    </row>
    <row r="31172">
      <c r="D31172" s="9"/>
      <c r="G31172" s="9"/>
      <c r="J31172" s="11"/>
      <c r="U31172" s="9"/>
      <c r="X31172" s="9"/>
    </row>
    <row r="31173">
      <c r="D31173" s="9"/>
      <c r="G31173" s="9"/>
      <c r="J31173" s="11"/>
      <c r="U31173" s="9"/>
      <c r="X31173" s="9"/>
    </row>
    <row r="31174">
      <c r="D31174" s="9"/>
      <c r="G31174" s="9"/>
      <c r="J31174" s="11"/>
      <c r="U31174" s="9"/>
      <c r="X31174" s="9"/>
    </row>
    <row r="31175">
      <c r="D31175" s="9"/>
      <c r="G31175" s="9"/>
      <c r="J31175" s="11"/>
      <c r="U31175" s="9"/>
      <c r="X31175" s="9"/>
    </row>
    <row r="31176">
      <c r="D31176" s="9"/>
      <c r="G31176" s="9"/>
      <c r="J31176" s="11"/>
      <c r="U31176" s="9"/>
      <c r="X31176" s="9"/>
    </row>
    <row r="31177">
      <c r="D31177" s="9"/>
      <c r="G31177" s="9"/>
      <c r="J31177" s="11"/>
      <c r="U31177" s="9"/>
      <c r="X31177" s="9"/>
    </row>
    <row r="31178">
      <c r="D31178" s="9"/>
      <c r="G31178" s="9"/>
      <c r="J31178" s="11"/>
      <c r="U31178" s="9"/>
      <c r="X31178" s="9"/>
    </row>
    <row r="31179">
      <c r="D31179" s="9"/>
      <c r="G31179" s="9"/>
      <c r="J31179" s="11"/>
      <c r="U31179" s="9"/>
      <c r="X31179" s="9"/>
    </row>
    <row r="31180">
      <c r="D31180" s="9"/>
      <c r="G31180" s="9"/>
      <c r="J31180" s="11"/>
      <c r="U31180" s="9"/>
      <c r="X31180" s="9"/>
    </row>
    <row r="31181">
      <c r="D31181" s="9"/>
      <c r="G31181" s="9"/>
      <c r="J31181" s="11"/>
      <c r="U31181" s="9"/>
      <c r="X31181" s="9"/>
    </row>
    <row r="31182">
      <c r="D31182" s="9"/>
      <c r="G31182" s="9"/>
      <c r="J31182" s="11"/>
      <c r="U31182" s="9"/>
      <c r="X31182" s="9"/>
    </row>
    <row r="31183">
      <c r="D31183" s="9"/>
      <c r="G31183" s="9"/>
      <c r="J31183" s="11"/>
      <c r="U31183" s="9"/>
      <c r="X31183" s="9"/>
    </row>
    <row r="31184">
      <c r="D31184" s="9"/>
      <c r="G31184" s="9"/>
      <c r="J31184" s="11"/>
      <c r="U31184" s="9"/>
      <c r="X31184" s="9"/>
    </row>
    <row r="31185">
      <c r="D31185" s="9"/>
      <c r="G31185" s="9"/>
      <c r="J31185" s="11"/>
      <c r="U31185" s="9"/>
      <c r="X31185" s="9"/>
    </row>
    <row r="31186">
      <c r="D31186" s="9"/>
      <c r="G31186" s="9"/>
      <c r="J31186" s="11"/>
      <c r="U31186" s="9"/>
      <c r="X31186" s="9"/>
    </row>
    <row r="31187">
      <c r="D31187" s="9"/>
      <c r="G31187" s="9"/>
      <c r="J31187" s="11"/>
      <c r="U31187" s="9"/>
      <c r="X31187" s="9"/>
    </row>
    <row r="31188">
      <c r="D31188" s="9"/>
      <c r="G31188" s="9"/>
      <c r="J31188" s="11"/>
      <c r="U31188" s="9"/>
      <c r="X31188" s="9"/>
    </row>
    <row r="31189">
      <c r="D31189" s="9"/>
      <c r="G31189" s="9"/>
      <c r="J31189" s="11"/>
      <c r="U31189" s="9"/>
      <c r="X31189" s="9"/>
    </row>
    <row r="31190">
      <c r="D31190" s="9"/>
      <c r="G31190" s="9"/>
      <c r="J31190" s="11"/>
      <c r="U31190" s="9"/>
      <c r="X31190" s="9"/>
    </row>
    <row r="31191">
      <c r="D31191" s="9"/>
      <c r="G31191" s="9"/>
      <c r="J31191" s="11"/>
      <c r="U31191" s="9"/>
      <c r="X31191" s="9"/>
    </row>
    <row r="31192">
      <c r="D31192" s="9"/>
      <c r="G31192" s="9"/>
      <c r="J31192" s="11"/>
      <c r="U31192" s="9"/>
      <c r="X31192" s="9"/>
    </row>
    <row r="31193">
      <c r="D31193" s="9"/>
      <c r="G31193" s="9"/>
      <c r="J31193" s="11"/>
      <c r="U31193" s="9"/>
      <c r="X31193" s="9"/>
    </row>
    <row r="31194">
      <c r="D31194" s="9"/>
      <c r="G31194" s="9"/>
      <c r="J31194" s="11"/>
      <c r="U31194" s="9"/>
      <c r="X31194" s="9"/>
    </row>
    <row r="31195">
      <c r="D31195" s="9"/>
      <c r="G31195" s="9"/>
      <c r="J31195" s="11"/>
      <c r="U31195" s="9"/>
      <c r="X31195" s="9"/>
    </row>
    <row r="31196">
      <c r="D31196" s="9"/>
      <c r="G31196" s="9"/>
      <c r="J31196" s="11"/>
      <c r="U31196" s="9"/>
      <c r="X31196" s="9"/>
    </row>
    <row r="31197">
      <c r="D31197" s="9"/>
      <c r="G31197" s="9"/>
      <c r="J31197" s="11"/>
      <c r="U31197" s="9"/>
      <c r="X31197" s="9"/>
    </row>
    <row r="31198">
      <c r="D31198" s="9"/>
      <c r="G31198" s="9"/>
      <c r="J31198" s="11"/>
      <c r="U31198" s="9"/>
      <c r="X31198" s="9"/>
    </row>
    <row r="31199">
      <c r="D31199" s="9"/>
      <c r="G31199" s="9"/>
      <c r="J31199" s="11"/>
      <c r="U31199" s="9"/>
      <c r="X31199" s="9"/>
    </row>
    <row r="31200">
      <c r="D31200" s="9"/>
      <c r="G31200" s="9"/>
      <c r="J31200" s="11"/>
      <c r="U31200" s="9"/>
      <c r="X31200" s="9"/>
    </row>
    <row r="31201">
      <c r="D31201" s="9"/>
      <c r="G31201" s="9"/>
      <c r="J31201" s="11"/>
      <c r="U31201" s="9"/>
      <c r="X31201" s="9"/>
    </row>
    <row r="31202">
      <c r="D31202" s="9"/>
      <c r="G31202" s="9"/>
      <c r="J31202" s="11"/>
      <c r="U31202" s="9"/>
      <c r="X31202" s="9"/>
    </row>
    <row r="31203">
      <c r="D31203" s="9"/>
      <c r="G31203" s="9"/>
      <c r="J31203" s="11"/>
      <c r="U31203" s="9"/>
      <c r="X31203" s="9"/>
    </row>
    <row r="31204">
      <c r="D31204" s="9"/>
      <c r="G31204" s="9"/>
      <c r="J31204" s="11"/>
      <c r="U31204" s="9"/>
      <c r="X31204" s="9"/>
    </row>
    <row r="31205">
      <c r="D31205" s="9"/>
      <c r="G31205" s="9"/>
      <c r="J31205" s="11"/>
      <c r="U31205" s="9"/>
      <c r="X31205" s="9"/>
    </row>
    <row r="31206">
      <c r="D31206" s="9"/>
      <c r="G31206" s="9"/>
      <c r="J31206" s="11"/>
      <c r="U31206" s="9"/>
      <c r="X31206" s="9"/>
    </row>
    <row r="31207">
      <c r="D31207" s="9"/>
      <c r="G31207" s="9"/>
      <c r="J31207" s="11"/>
      <c r="U31207" s="9"/>
      <c r="X31207" s="9"/>
    </row>
    <row r="31208">
      <c r="D31208" s="9"/>
      <c r="G31208" s="9"/>
      <c r="J31208" s="11"/>
      <c r="U31208" s="9"/>
      <c r="X31208" s="9"/>
    </row>
    <row r="31209">
      <c r="D31209" s="9"/>
      <c r="G31209" s="9"/>
      <c r="J31209" s="11"/>
      <c r="U31209" s="9"/>
      <c r="X31209" s="9"/>
    </row>
    <row r="31210">
      <c r="D31210" s="9"/>
      <c r="G31210" s="9"/>
      <c r="J31210" s="11"/>
      <c r="U31210" s="9"/>
      <c r="X31210" s="9"/>
    </row>
    <row r="31211">
      <c r="D31211" s="9"/>
      <c r="G31211" s="9"/>
      <c r="J31211" s="11"/>
      <c r="U31211" s="9"/>
      <c r="X31211" s="9"/>
    </row>
    <row r="31212">
      <c r="D31212" s="9"/>
      <c r="G31212" s="9"/>
      <c r="J31212" s="11"/>
      <c r="U31212" s="9"/>
      <c r="X31212" s="9"/>
    </row>
    <row r="31213">
      <c r="D31213" s="9"/>
      <c r="G31213" s="9"/>
      <c r="J31213" s="11"/>
      <c r="U31213" s="9"/>
      <c r="X31213" s="9"/>
    </row>
    <row r="31214">
      <c r="D31214" s="9"/>
      <c r="G31214" s="9"/>
      <c r="J31214" s="11"/>
      <c r="U31214" s="9"/>
      <c r="X31214" s="9"/>
    </row>
    <row r="31215">
      <c r="D31215" s="9"/>
      <c r="G31215" s="9"/>
      <c r="J31215" s="11"/>
      <c r="U31215" s="9"/>
      <c r="X31215" s="9"/>
    </row>
    <row r="31216">
      <c r="D31216" s="9"/>
      <c r="G31216" s="9"/>
      <c r="J31216" s="11"/>
      <c r="U31216" s="9"/>
      <c r="X31216" s="9"/>
    </row>
    <row r="31217">
      <c r="D31217" s="9"/>
      <c r="G31217" s="9"/>
      <c r="J31217" s="11"/>
      <c r="U31217" s="9"/>
      <c r="X31217" s="9"/>
    </row>
    <row r="31218">
      <c r="D31218" s="9"/>
      <c r="G31218" s="9"/>
      <c r="J31218" s="11"/>
      <c r="U31218" s="9"/>
      <c r="X31218" s="9"/>
    </row>
    <row r="31219">
      <c r="D31219" s="9"/>
      <c r="G31219" s="9"/>
      <c r="J31219" s="11"/>
      <c r="U31219" s="9"/>
      <c r="X31219" s="9"/>
    </row>
    <row r="31220">
      <c r="D31220" s="9"/>
      <c r="G31220" s="9"/>
      <c r="J31220" s="11"/>
      <c r="U31220" s="9"/>
      <c r="X31220" s="9"/>
    </row>
    <row r="31221">
      <c r="D31221" s="9"/>
      <c r="G31221" s="9"/>
      <c r="J31221" s="11"/>
      <c r="U31221" s="9"/>
      <c r="X31221" s="9"/>
    </row>
    <row r="31222">
      <c r="D31222" s="9"/>
      <c r="G31222" s="9"/>
      <c r="J31222" s="11"/>
      <c r="U31222" s="9"/>
      <c r="X31222" s="9"/>
    </row>
    <row r="31223">
      <c r="D31223" s="9"/>
      <c r="G31223" s="9"/>
      <c r="J31223" s="11"/>
      <c r="U31223" s="9"/>
      <c r="X31223" s="9"/>
    </row>
    <row r="31224">
      <c r="D31224" s="9"/>
      <c r="G31224" s="9"/>
      <c r="J31224" s="11"/>
      <c r="U31224" s="9"/>
      <c r="X31224" s="9"/>
    </row>
    <row r="31225">
      <c r="D31225" s="9"/>
      <c r="G31225" s="9"/>
      <c r="J31225" s="11"/>
      <c r="U31225" s="9"/>
      <c r="X31225" s="9"/>
    </row>
    <row r="31226">
      <c r="D31226" s="9"/>
      <c r="G31226" s="9"/>
      <c r="J31226" s="11"/>
      <c r="U31226" s="9"/>
      <c r="X31226" s="9"/>
    </row>
    <row r="31227">
      <c r="D31227" s="9"/>
      <c r="G31227" s="9"/>
      <c r="J31227" s="11"/>
      <c r="U31227" s="9"/>
      <c r="X31227" s="9"/>
    </row>
    <row r="31228">
      <c r="D31228" s="9"/>
      <c r="G31228" s="9"/>
      <c r="J31228" s="11"/>
      <c r="U31228" s="9"/>
      <c r="X31228" s="9"/>
    </row>
    <row r="31229">
      <c r="D31229" s="9"/>
      <c r="G31229" s="9"/>
      <c r="J31229" s="11"/>
      <c r="U31229" s="9"/>
      <c r="X31229" s="9"/>
    </row>
    <row r="31230">
      <c r="D31230" s="9"/>
      <c r="G31230" s="9"/>
      <c r="J31230" s="11"/>
      <c r="U31230" s="9"/>
      <c r="X31230" s="9"/>
    </row>
    <row r="31231">
      <c r="D31231" s="9"/>
      <c r="G31231" s="9"/>
      <c r="J31231" s="11"/>
      <c r="U31231" s="9"/>
      <c r="X31231" s="9"/>
    </row>
    <row r="31232">
      <c r="D31232" s="9"/>
      <c r="G31232" s="9"/>
      <c r="J31232" s="11"/>
      <c r="U31232" s="9"/>
      <c r="X31232" s="9"/>
    </row>
    <row r="31233">
      <c r="D31233" s="9"/>
      <c r="G31233" s="9"/>
      <c r="J31233" s="11"/>
      <c r="U31233" s="9"/>
      <c r="X31233" s="9"/>
    </row>
    <row r="31234">
      <c r="D31234" s="9"/>
      <c r="G31234" s="9"/>
      <c r="J31234" s="11"/>
      <c r="U31234" s="9"/>
      <c r="X31234" s="9"/>
    </row>
    <row r="31235">
      <c r="D31235" s="9"/>
      <c r="G31235" s="9"/>
      <c r="J31235" s="11"/>
      <c r="U31235" s="9"/>
      <c r="X31235" s="9"/>
    </row>
    <row r="31236">
      <c r="D31236" s="9"/>
      <c r="G31236" s="9"/>
      <c r="J31236" s="11"/>
      <c r="U31236" s="9"/>
      <c r="X31236" s="9"/>
    </row>
    <row r="31237">
      <c r="D31237" s="9"/>
      <c r="G31237" s="9"/>
      <c r="J31237" s="11"/>
      <c r="U31237" s="9"/>
      <c r="X31237" s="9"/>
    </row>
    <row r="31238">
      <c r="D31238" s="9"/>
      <c r="G31238" s="9"/>
      <c r="J31238" s="11"/>
      <c r="U31238" s="9"/>
      <c r="X31238" s="9"/>
    </row>
    <row r="31239">
      <c r="D31239" s="9"/>
      <c r="G31239" s="9"/>
      <c r="J31239" s="11"/>
      <c r="U31239" s="9"/>
      <c r="X31239" s="9"/>
    </row>
    <row r="31240">
      <c r="D31240" s="9"/>
      <c r="G31240" s="9"/>
      <c r="J31240" s="11"/>
      <c r="U31240" s="9"/>
      <c r="X31240" s="9"/>
    </row>
    <row r="31241">
      <c r="D31241" s="9"/>
      <c r="G31241" s="9"/>
      <c r="J31241" s="11"/>
      <c r="U31241" s="9"/>
      <c r="X31241" s="9"/>
    </row>
    <row r="31242">
      <c r="D31242" s="9"/>
      <c r="G31242" s="9"/>
      <c r="J31242" s="11"/>
      <c r="U31242" s="9"/>
      <c r="X31242" s="9"/>
    </row>
    <row r="31243">
      <c r="D31243" s="9"/>
      <c r="G31243" s="9"/>
      <c r="J31243" s="11"/>
      <c r="U31243" s="9"/>
      <c r="X31243" s="9"/>
    </row>
    <row r="31244">
      <c r="D31244" s="9"/>
      <c r="G31244" s="9"/>
      <c r="J31244" s="11"/>
      <c r="U31244" s="9"/>
      <c r="X31244" s="9"/>
    </row>
    <row r="31245">
      <c r="D31245" s="9"/>
      <c r="G31245" s="9"/>
      <c r="J31245" s="11"/>
      <c r="U31245" s="9"/>
      <c r="X31245" s="9"/>
    </row>
    <row r="31246">
      <c r="D31246" s="9"/>
      <c r="G31246" s="9"/>
      <c r="J31246" s="11"/>
      <c r="U31246" s="9"/>
      <c r="X31246" s="9"/>
    </row>
    <row r="31247">
      <c r="D31247" s="9"/>
      <c r="G31247" s="9"/>
      <c r="J31247" s="11"/>
      <c r="U31247" s="9"/>
      <c r="X31247" s="9"/>
    </row>
    <row r="31248">
      <c r="D31248" s="9"/>
      <c r="G31248" s="9"/>
      <c r="J31248" s="11"/>
      <c r="U31248" s="9"/>
      <c r="X31248" s="9"/>
    </row>
    <row r="31249">
      <c r="D31249" s="9"/>
      <c r="G31249" s="9"/>
      <c r="J31249" s="11"/>
      <c r="U31249" s="9"/>
      <c r="X31249" s="9"/>
    </row>
    <row r="31250">
      <c r="D31250" s="9"/>
      <c r="G31250" s="9"/>
      <c r="J31250" s="11"/>
      <c r="U31250" s="9"/>
      <c r="X31250" s="9"/>
    </row>
    <row r="31251">
      <c r="D31251" s="9"/>
      <c r="G31251" s="9"/>
      <c r="J31251" s="11"/>
      <c r="U31251" s="9"/>
      <c r="X31251" s="9"/>
    </row>
    <row r="31252">
      <c r="D31252" s="9"/>
      <c r="G31252" s="9"/>
      <c r="J31252" s="11"/>
      <c r="U31252" s="9"/>
      <c r="X31252" s="9"/>
    </row>
    <row r="31253">
      <c r="D31253" s="9"/>
      <c r="G31253" s="9"/>
      <c r="J31253" s="11"/>
      <c r="U31253" s="9"/>
      <c r="X31253" s="9"/>
    </row>
    <row r="31254">
      <c r="D31254" s="9"/>
      <c r="G31254" s="9"/>
      <c r="J31254" s="11"/>
      <c r="U31254" s="9"/>
      <c r="X31254" s="9"/>
    </row>
    <row r="31255">
      <c r="D31255" s="9"/>
      <c r="G31255" s="9"/>
      <c r="J31255" s="11"/>
      <c r="U31255" s="9"/>
      <c r="X31255" s="9"/>
    </row>
    <row r="31256">
      <c r="D31256" s="9"/>
      <c r="G31256" s="9"/>
      <c r="J31256" s="11"/>
      <c r="U31256" s="9"/>
      <c r="X31256" s="9"/>
    </row>
    <row r="31257">
      <c r="D31257" s="9"/>
      <c r="G31257" s="9"/>
      <c r="J31257" s="11"/>
      <c r="U31257" s="9"/>
      <c r="X31257" s="9"/>
    </row>
    <row r="31258">
      <c r="D31258" s="9"/>
      <c r="G31258" s="9"/>
      <c r="J31258" s="11"/>
      <c r="U31258" s="9"/>
      <c r="X31258" s="9"/>
    </row>
    <row r="31259">
      <c r="D31259" s="9"/>
      <c r="G31259" s="9"/>
      <c r="J31259" s="11"/>
      <c r="U31259" s="9"/>
      <c r="X31259" s="9"/>
    </row>
    <row r="31260">
      <c r="D31260" s="9"/>
      <c r="G31260" s="9"/>
      <c r="J31260" s="11"/>
      <c r="U31260" s="9"/>
      <c r="X31260" s="9"/>
    </row>
    <row r="31261">
      <c r="D31261" s="9"/>
      <c r="G31261" s="9"/>
      <c r="J31261" s="11"/>
      <c r="U31261" s="9"/>
      <c r="X31261" s="9"/>
    </row>
    <row r="31262">
      <c r="D31262" s="9"/>
      <c r="G31262" s="9"/>
      <c r="J31262" s="11"/>
      <c r="U31262" s="9"/>
      <c r="X31262" s="9"/>
    </row>
    <row r="31263">
      <c r="D31263" s="9"/>
      <c r="G31263" s="9"/>
      <c r="J31263" s="11"/>
      <c r="U31263" s="9"/>
      <c r="X31263" s="9"/>
    </row>
    <row r="31264">
      <c r="D31264" s="9"/>
      <c r="G31264" s="9"/>
      <c r="J31264" s="11"/>
      <c r="U31264" s="9"/>
      <c r="X31264" s="9"/>
    </row>
    <row r="31265">
      <c r="D31265" s="9"/>
      <c r="G31265" s="9"/>
      <c r="J31265" s="11"/>
      <c r="U31265" s="9"/>
      <c r="X31265" s="9"/>
    </row>
    <row r="31266">
      <c r="D31266" s="9"/>
      <c r="G31266" s="9"/>
      <c r="J31266" s="11"/>
      <c r="U31266" s="9"/>
      <c r="X31266" s="9"/>
    </row>
    <row r="31267">
      <c r="D31267" s="9"/>
      <c r="G31267" s="9"/>
      <c r="J31267" s="11"/>
      <c r="U31267" s="9"/>
      <c r="X31267" s="9"/>
    </row>
    <row r="31268">
      <c r="D31268" s="9"/>
      <c r="G31268" s="9"/>
      <c r="J31268" s="11"/>
      <c r="U31268" s="9"/>
      <c r="X31268" s="9"/>
    </row>
    <row r="31269">
      <c r="D31269" s="9"/>
      <c r="G31269" s="9"/>
      <c r="J31269" s="11"/>
      <c r="U31269" s="9"/>
      <c r="X31269" s="9"/>
    </row>
    <row r="31270">
      <c r="D31270" s="9"/>
      <c r="G31270" s="9"/>
      <c r="J31270" s="11"/>
      <c r="U31270" s="9"/>
      <c r="X31270" s="9"/>
    </row>
    <row r="31271">
      <c r="D31271" s="9"/>
      <c r="G31271" s="9"/>
      <c r="J31271" s="11"/>
      <c r="U31271" s="9"/>
      <c r="X31271" s="9"/>
    </row>
    <row r="31272">
      <c r="D31272" s="9"/>
      <c r="G31272" s="9"/>
      <c r="J31272" s="11"/>
      <c r="U31272" s="9"/>
      <c r="X31272" s="9"/>
    </row>
    <row r="31273">
      <c r="D31273" s="9"/>
      <c r="G31273" s="9"/>
      <c r="J31273" s="11"/>
      <c r="U31273" s="9"/>
      <c r="X31273" s="9"/>
    </row>
    <row r="31274">
      <c r="D31274" s="9"/>
      <c r="G31274" s="9"/>
      <c r="J31274" s="11"/>
      <c r="U31274" s="9"/>
      <c r="X31274" s="9"/>
    </row>
    <row r="31275">
      <c r="D31275" s="9"/>
      <c r="G31275" s="9"/>
      <c r="J31275" s="11"/>
      <c r="U31275" s="9"/>
      <c r="X31275" s="9"/>
    </row>
    <row r="31276">
      <c r="D31276" s="9"/>
      <c r="G31276" s="9"/>
      <c r="J31276" s="11"/>
      <c r="U31276" s="9"/>
      <c r="X31276" s="9"/>
    </row>
    <row r="31277">
      <c r="D31277" s="9"/>
      <c r="G31277" s="9"/>
      <c r="J31277" s="11"/>
      <c r="U31277" s="9"/>
      <c r="X31277" s="9"/>
    </row>
    <row r="31278">
      <c r="D31278" s="9"/>
      <c r="G31278" s="9"/>
      <c r="J31278" s="11"/>
      <c r="U31278" s="9"/>
      <c r="X31278" s="9"/>
    </row>
    <row r="31279">
      <c r="D31279" s="9"/>
      <c r="G31279" s="9"/>
      <c r="J31279" s="11"/>
      <c r="U31279" s="9"/>
      <c r="X31279" s="9"/>
    </row>
    <row r="31280">
      <c r="D31280" s="9"/>
      <c r="G31280" s="9"/>
      <c r="J31280" s="11"/>
      <c r="U31280" s="9"/>
      <c r="X31280" s="9"/>
    </row>
    <row r="31281">
      <c r="D31281" s="9"/>
      <c r="G31281" s="9"/>
      <c r="J31281" s="11"/>
      <c r="U31281" s="9"/>
      <c r="X31281" s="9"/>
    </row>
    <row r="31282">
      <c r="D31282" s="9"/>
      <c r="G31282" s="9"/>
      <c r="J31282" s="11"/>
      <c r="U31282" s="9"/>
      <c r="X31282" s="9"/>
    </row>
    <row r="31283">
      <c r="D31283" s="9"/>
      <c r="G31283" s="9"/>
      <c r="J31283" s="11"/>
      <c r="U31283" s="9"/>
      <c r="X31283" s="9"/>
    </row>
    <row r="31284">
      <c r="D31284" s="9"/>
      <c r="G31284" s="9"/>
      <c r="J31284" s="11"/>
      <c r="U31284" s="9"/>
      <c r="X31284" s="9"/>
    </row>
    <row r="31285">
      <c r="D31285" s="9"/>
      <c r="G31285" s="9"/>
      <c r="J31285" s="11"/>
      <c r="U31285" s="9"/>
      <c r="X31285" s="9"/>
    </row>
    <row r="31286">
      <c r="D31286" s="9"/>
      <c r="G31286" s="9"/>
      <c r="J31286" s="11"/>
      <c r="U31286" s="9"/>
      <c r="X31286" s="9"/>
    </row>
    <row r="31287">
      <c r="D31287" s="9"/>
      <c r="G31287" s="9"/>
      <c r="J31287" s="11"/>
      <c r="U31287" s="9"/>
      <c r="X31287" s="9"/>
    </row>
    <row r="31288">
      <c r="D31288" s="9"/>
      <c r="G31288" s="9"/>
      <c r="J31288" s="11"/>
      <c r="U31288" s="9"/>
      <c r="X31288" s="9"/>
    </row>
    <row r="31289">
      <c r="D31289" s="9"/>
      <c r="G31289" s="9"/>
      <c r="J31289" s="11"/>
      <c r="U31289" s="9"/>
      <c r="X31289" s="9"/>
    </row>
    <row r="31290">
      <c r="D31290" s="9"/>
      <c r="G31290" s="9"/>
      <c r="J31290" s="11"/>
      <c r="U31290" s="9"/>
      <c r="X31290" s="9"/>
    </row>
    <row r="31291">
      <c r="D31291" s="9"/>
      <c r="G31291" s="9"/>
      <c r="J31291" s="11"/>
      <c r="U31291" s="9"/>
      <c r="X31291" s="9"/>
    </row>
    <row r="31292">
      <c r="D31292" s="9"/>
      <c r="G31292" s="9"/>
      <c r="J31292" s="11"/>
      <c r="U31292" s="9"/>
      <c r="X31292" s="9"/>
    </row>
    <row r="31293">
      <c r="D31293" s="9"/>
      <c r="G31293" s="9"/>
      <c r="J31293" s="11"/>
      <c r="U31293" s="9"/>
      <c r="X31293" s="9"/>
    </row>
    <row r="31294">
      <c r="D31294" s="9"/>
      <c r="G31294" s="9"/>
      <c r="J31294" s="11"/>
      <c r="U31294" s="9"/>
      <c r="X31294" s="9"/>
    </row>
    <row r="31295">
      <c r="D31295" s="9"/>
      <c r="G31295" s="9"/>
      <c r="J31295" s="11"/>
      <c r="U31295" s="9"/>
      <c r="X31295" s="9"/>
    </row>
    <row r="31296">
      <c r="D31296" s="9"/>
      <c r="G31296" s="9"/>
      <c r="J31296" s="11"/>
      <c r="U31296" s="9"/>
      <c r="X31296" s="9"/>
    </row>
    <row r="31297">
      <c r="D31297" s="9"/>
      <c r="G31297" s="9"/>
      <c r="J31297" s="11"/>
      <c r="U31297" s="9"/>
      <c r="X31297" s="9"/>
    </row>
    <row r="31298">
      <c r="D31298" s="9"/>
      <c r="G31298" s="9"/>
      <c r="J31298" s="11"/>
      <c r="U31298" s="9"/>
      <c r="X31298" s="9"/>
    </row>
    <row r="31299">
      <c r="D31299" s="9"/>
      <c r="G31299" s="9"/>
      <c r="J31299" s="11"/>
      <c r="U31299" s="9"/>
      <c r="X31299" s="9"/>
    </row>
    <row r="31300">
      <c r="D31300" s="9"/>
      <c r="G31300" s="9"/>
      <c r="J31300" s="11"/>
      <c r="U31300" s="9"/>
      <c r="X31300" s="9"/>
    </row>
    <row r="31301">
      <c r="D31301" s="9"/>
      <c r="G31301" s="9"/>
      <c r="J31301" s="11"/>
      <c r="U31301" s="9"/>
      <c r="X31301" s="9"/>
    </row>
    <row r="31302">
      <c r="D31302" s="9"/>
      <c r="G31302" s="9"/>
      <c r="J31302" s="11"/>
      <c r="U31302" s="9"/>
      <c r="X31302" s="9"/>
    </row>
    <row r="31303">
      <c r="D31303" s="9"/>
      <c r="G31303" s="9"/>
      <c r="J31303" s="11"/>
      <c r="U31303" s="9"/>
      <c r="X31303" s="9"/>
    </row>
    <row r="31304">
      <c r="D31304" s="9"/>
      <c r="G31304" s="9"/>
      <c r="J31304" s="11"/>
      <c r="U31304" s="9"/>
      <c r="X31304" s="9"/>
    </row>
    <row r="31305">
      <c r="D31305" s="9"/>
      <c r="G31305" s="9"/>
      <c r="J31305" s="11"/>
      <c r="U31305" s="9"/>
      <c r="X31305" s="9"/>
    </row>
    <row r="31306">
      <c r="D31306" s="9"/>
      <c r="G31306" s="9"/>
      <c r="J31306" s="11"/>
      <c r="U31306" s="9"/>
      <c r="X31306" s="9"/>
    </row>
    <row r="31307">
      <c r="D31307" s="9"/>
      <c r="G31307" s="9"/>
      <c r="J31307" s="11"/>
      <c r="U31307" s="9"/>
      <c r="X31307" s="9"/>
    </row>
    <row r="31308">
      <c r="D31308" s="9"/>
      <c r="G31308" s="9"/>
      <c r="J31308" s="11"/>
      <c r="U31308" s="9"/>
      <c r="X31308" s="9"/>
    </row>
    <row r="31309">
      <c r="D31309" s="9"/>
      <c r="G31309" s="9"/>
      <c r="J31309" s="11"/>
      <c r="U31309" s="9"/>
      <c r="X31309" s="9"/>
    </row>
    <row r="31310">
      <c r="D31310" s="9"/>
      <c r="G31310" s="9"/>
      <c r="J31310" s="11"/>
      <c r="U31310" s="9"/>
      <c r="X31310" s="9"/>
    </row>
    <row r="31311">
      <c r="D31311" s="9"/>
      <c r="G31311" s="9"/>
      <c r="J31311" s="11"/>
      <c r="U31311" s="9"/>
      <c r="X31311" s="9"/>
    </row>
    <row r="31312">
      <c r="D31312" s="9"/>
      <c r="G31312" s="9"/>
      <c r="J31312" s="11"/>
      <c r="U31312" s="9"/>
      <c r="X31312" s="9"/>
    </row>
    <row r="31313">
      <c r="D31313" s="9"/>
      <c r="G31313" s="9"/>
      <c r="J31313" s="11"/>
      <c r="U31313" s="9"/>
      <c r="X31313" s="9"/>
    </row>
    <row r="31314">
      <c r="D31314" s="9"/>
      <c r="G31314" s="9"/>
      <c r="J31314" s="11"/>
      <c r="U31314" s="9"/>
      <c r="X31314" s="9"/>
    </row>
    <row r="31315">
      <c r="D31315" s="9"/>
      <c r="G31315" s="9"/>
      <c r="J31315" s="11"/>
      <c r="U31315" s="9"/>
      <c r="X31315" s="9"/>
    </row>
    <row r="31316">
      <c r="D31316" s="9"/>
      <c r="G31316" s="9"/>
      <c r="J31316" s="11"/>
      <c r="U31316" s="9"/>
      <c r="X31316" s="9"/>
    </row>
    <row r="31317">
      <c r="D31317" s="9"/>
      <c r="G31317" s="9"/>
      <c r="J31317" s="11"/>
      <c r="U31317" s="9"/>
      <c r="X31317" s="9"/>
    </row>
    <row r="31318">
      <c r="D31318" s="9"/>
      <c r="G31318" s="9"/>
      <c r="J31318" s="11"/>
      <c r="U31318" s="9"/>
      <c r="X31318" s="9"/>
    </row>
    <row r="31319">
      <c r="D31319" s="9"/>
      <c r="G31319" s="9"/>
      <c r="J31319" s="11"/>
      <c r="U31319" s="9"/>
      <c r="X31319" s="9"/>
    </row>
    <row r="31320">
      <c r="D31320" s="9"/>
      <c r="G31320" s="9"/>
      <c r="J31320" s="11"/>
      <c r="U31320" s="9"/>
      <c r="X31320" s="9"/>
    </row>
    <row r="31321">
      <c r="D31321" s="9"/>
      <c r="G31321" s="9"/>
      <c r="J31321" s="11"/>
      <c r="U31321" s="9"/>
      <c r="X31321" s="9"/>
    </row>
    <row r="31322">
      <c r="D31322" s="9"/>
      <c r="G31322" s="9"/>
      <c r="J31322" s="11"/>
      <c r="U31322" s="9"/>
      <c r="X31322" s="9"/>
    </row>
    <row r="31323">
      <c r="D31323" s="9"/>
      <c r="G31323" s="9"/>
      <c r="J31323" s="11"/>
      <c r="U31323" s="9"/>
      <c r="X31323" s="9"/>
    </row>
    <row r="31324">
      <c r="D31324" s="9"/>
      <c r="G31324" s="9"/>
      <c r="J31324" s="11"/>
      <c r="U31324" s="9"/>
      <c r="X31324" s="9"/>
    </row>
    <row r="31325">
      <c r="D31325" s="9"/>
      <c r="G31325" s="9"/>
      <c r="J31325" s="11"/>
      <c r="U31325" s="9"/>
      <c r="X31325" s="9"/>
    </row>
    <row r="31326">
      <c r="D31326" s="9"/>
      <c r="G31326" s="9"/>
      <c r="J31326" s="11"/>
      <c r="U31326" s="9"/>
      <c r="X31326" s="9"/>
    </row>
    <row r="31327">
      <c r="D31327" s="9"/>
      <c r="G31327" s="9"/>
      <c r="J31327" s="11"/>
      <c r="U31327" s="9"/>
      <c r="X31327" s="9"/>
    </row>
    <row r="31328">
      <c r="D31328" s="9"/>
      <c r="G31328" s="9"/>
      <c r="J31328" s="11"/>
      <c r="U31328" s="9"/>
      <c r="X31328" s="9"/>
    </row>
    <row r="31329">
      <c r="D31329" s="9"/>
      <c r="G31329" s="9"/>
      <c r="J31329" s="11"/>
      <c r="U31329" s="9"/>
      <c r="X31329" s="9"/>
    </row>
    <row r="31330">
      <c r="D31330" s="9"/>
      <c r="G31330" s="9"/>
      <c r="J31330" s="11"/>
      <c r="U31330" s="9"/>
      <c r="X31330" s="9"/>
    </row>
    <row r="31331">
      <c r="D31331" s="9"/>
      <c r="G31331" s="9"/>
      <c r="J31331" s="11"/>
      <c r="U31331" s="9"/>
      <c r="X31331" s="9"/>
    </row>
    <row r="31332">
      <c r="D31332" s="9"/>
      <c r="G31332" s="9"/>
      <c r="J31332" s="11"/>
      <c r="U31332" s="9"/>
      <c r="X31332" s="9"/>
    </row>
    <row r="31333">
      <c r="D31333" s="9"/>
      <c r="G31333" s="9"/>
      <c r="J31333" s="11"/>
      <c r="U31333" s="9"/>
      <c r="X31333" s="9"/>
    </row>
    <row r="31334">
      <c r="D31334" s="9"/>
      <c r="G31334" s="9"/>
      <c r="J31334" s="11"/>
      <c r="U31334" s="9"/>
      <c r="X31334" s="9"/>
    </row>
    <row r="31335">
      <c r="D31335" s="9"/>
      <c r="G31335" s="9"/>
      <c r="J31335" s="11"/>
      <c r="U31335" s="9"/>
      <c r="X31335" s="9"/>
    </row>
    <row r="31336">
      <c r="D31336" s="9"/>
      <c r="G31336" s="9"/>
      <c r="J31336" s="11"/>
      <c r="U31336" s="9"/>
      <c r="X31336" s="9"/>
    </row>
    <row r="31337">
      <c r="D31337" s="9"/>
      <c r="G31337" s="9"/>
      <c r="J31337" s="11"/>
      <c r="U31337" s="9"/>
      <c r="X31337" s="9"/>
    </row>
    <row r="31338">
      <c r="D31338" s="9"/>
      <c r="G31338" s="9"/>
      <c r="J31338" s="11"/>
      <c r="U31338" s="9"/>
      <c r="X31338" s="9"/>
    </row>
    <row r="31339">
      <c r="D31339" s="9"/>
      <c r="G31339" s="9"/>
      <c r="J31339" s="11"/>
      <c r="U31339" s="9"/>
      <c r="X31339" s="9"/>
    </row>
    <row r="31340">
      <c r="D31340" s="9"/>
      <c r="G31340" s="9"/>
      <c r="J31340" s="11"/>
      <c r="U31340" s="9"/>
      <c r="X31340" s="9"/>
    </row>
    <row r="31341">
      <c r="D31341" s="9"/>
      <c r="G31341" s="9"/>
      <c r="J31341" s="11"/>
      <c r="U31341" s="9"/>
      <c r="X31341" s="9"/>
    </row>
    <row r="31342">
      <c r="D31342" s="9"/>
      <c r="G31342" s="9"/>
      <c r="J31342" s="11"/>
      <c r="U31342" s="9"/>
      <c r="X31342" s="9"/>
    </row>
    <row r="31343">
      <c r="D31343" s="9"/>
      <c r="G31343" s="9"/>
      <c r="J31343" s="11"/>
      <c r="U31343" s="9"/>
      <c r="X31343" s="9"/>
    </row>
    <row r="31344">
      <c r="D31344" s="9"/>
      <c r="G31344" s="9"/>
      <c r="J31344" s="11"/>
      <c r="U31344" s="9"/>
      <c r="X31344" s="9"/>
    </row>
    <row r="31345">
      <c r="D31345" s="9"/>
      <c r="G31345" s="9"/>
      <c r="J31345" s="11"/>
      <c r="U31345" s="9"/>
      <c r="X31345" s="9"/>
    </row>
    <row r="31346">
      <c r="D31346" s="9"/>
      <c r="G31346" s="9"/>
      <c r="J31346" s="11"/>
      <c r="U31346" s="9"/>
      <c r="X31346" s="9"/>
    </row>
    <row r="31347">
      <c r="D31347" s="9"/>
      <c r="G31347" s="9"/>
      <c r="J31347" s="11"/>
      <c r="U31347" s="9"/>
      <c r="X31347" s="9"/>
    </row>
    <row r="31348">
      <c r="D31348" s="9"/>
      <c r="G31348" s="9"/>
      <c r="J31348" s="11"/>
      <c r="U31348" s="9"/>
      <c r="X31348" s="9"/>
    </row>
    <row r="31349">
      <c r="D31349" s="9"/>
      <c r="G31349" s="9"/>
      <c r="J31349" s="11"/>
      <c r="U31349" s="9"/>
      <c r="X31349" s="9"/>
    </row>
    <row r="31350">
      <c r="D31350" s="9"/>
      <c r="G31350" s="9"/>
      <c r="J31350" s="11"/>
      <c r="U31350" s="9"/>
      <c r="X31350" s="9"/>
    </row>
    <row r="31351">
      <c r="D31351" s="9"/>
      <c r="G31351" s="9"/>
      <c r="J31351" s="11"/>
      <c r="U31351" s="9"/>
      <c r="X31351" s="9"/>
    </row>
    <row r="31352">
      <c r="D31352" s="9"/>
      <c r="G31352" s="9"/>
      <c r="J31352" s="11"/>
      <c r="U31352" s="9"/>
      <c r="X31352" s="9"/>
    </row>
    <row r="31353">
      <c r="D31353" s="9"/>
      <c r="G31353" s="9"/>
      <c r="J31353" s="11"/>
      <c r="U31353" s="9"/>
      <c r="X31353" s="9"/>
    </row>
    <row r="31354">
      <c r="D31354" s="9"/>
      <c r="G31354" s="9"/>
      <c r="J31354" s="11"/>
      <c r="U31354" s="9"/>
      <c r="X31354" s="9"/>
    </row>
    <row r="31355">
      <c r="D31355" s="9"/>
      <c r="G31355" s="9"/>
      <c r="J31355" s="11"/>
      <c r="U31355" s="9"/>
      <c r="X31355" s="9"/>
    </row>
    <row r="31356">
      <c r="D31356" s="9"/>
      <c r="G31356" s="9"/>
      <c r="J31356" s="11"/>
      <c r="U31356" s="9"/>
      <c r="X31356" s="9"/>
    </row>
    <row r="31357">
      <c r="D31357" s="9"/>
      <c r="G31357" s="9"/>
      <c r="J31357" s="11"/>
      <c r="U31357" s="9"/>
      <c r="X31357" s="9"/>
    </row>
    <row r="31358">
      <c r="D31358" s="9"/>
      <c r="G31358" s="9"/>
      <c r="J31358" s="11"/>
      <c r="U31358" s="9"/>
      <c r="X31358" s="9"/>
    </row>
    <row r="31359">
      <c r="D31359" s="9"/>
      <c r="G31359" s="9"/>
      <c r="J31359" s="11"/>
      <c r="U31359" s="9"/>
      <c r="X31359" s="9"/>
    </row>
    <row r="31360">
      <c r="D31360" s="9"/>
      <c r="G31360" s="9"/>
      <c r="J31360" s="11"/>
      <c r="U31360" s="9"/>
      <c r="X31360" s="9"/>
    </row>
    <row r="31361">
      <c r="D31361" s="9"/>
      <c r="G31361" s="9"/>
      <c r="J31361" s="11"/>
      <c r="U31361" s="9"/>
      <c r="X31361" s="9"/>
    </row>
    <row r="31362">
      <c r="D31362" s="9"/>
      <c r="G31362" s="9"/>
      <c r="J31362" s="11"/>
      <c r="U31362" s="9"/>
      <c r="X31362" s="9"/>
    </row>
    <row r="31363">
      <c r="D31363" s="9"/>
      <c r="G31363" s="9"/>
      <c r="J31363" s="11"/>
      <c r="U31363" s="9"/>
      <c r="X31363" s="9"/>
    </row>
    <row r="31364">
      <c r="D31364" s="9"/>
      <c r="G31364" s="9"/>
      <c r="J31364" s="11"/>
      <c r="U31364" s="9"/>
      <c r="X31364" s="9"/>
    </row>
    <row r="31365">
      <c r="D31365" s="9"/>
      <c r="G31365" s="9"/>
      <c r="J31365" s="11"/>
      <c r="U31365" s="9"/>
      <c r="X31365" s="9"/>
    </row>
    <row r="31366">
      <c r="D31366" s="9"/>
      <c r="G31366" s="9"/>
      <c r="J31366" s="11"/>
      <c r="U31366" s="9"/>
      <c r="X31366" s="9"/>
    </row>
    <row r="31367">
      <c r="D31367" s="9"/>
      <c r="G31367" s="9"/>
      <c r="J31367" s="11"/>
      <c r="U31367" s="9"/>
      <c r="X31367" s="9"/>
    </row>
    <row r="31368">
      <c r="D31368" s="9"/>
      <c r="G31368" s="9"/>
      <c r="J31368" s="11"/>
      <c r="U31368" s="9"/>
      <c r="X31368" s="9"/>
    </row>
    <row r="31369">
      <c r="D31369" s="9"/>
      <c r="G31369" s="9"/>
      <c r="J31369" s="11"/>
      <c r="U31369" s="9"/>
      <c r="X31369" s="9"/>
    </row>
    <row r="31370">
      <c r="D31370" s="9"/>
      <c r="G31370" s="9"/>
      <c r="J31370" s="11"/>
      <c r="U31370" s="9"/>
      <c r="X31370" s="9"/>
    </row>
    <row r="31371">
      <c r="D31371" s="9"/>
      <c r="G31371" s="9"/>
      <c r="J31371" s="11"/>
      <c r="U31371" s="9"/>
      <c r="X31371" s="9"/>
    </row>
    <row r="31372">
      <c r="D31372" s="9"/>
      <c r="G31372" s="9"/>
      <c r="J31372" s="11"/>
      <c r="U31372" s="9"/>
      <c r="X31372" s="9"/>
    </row>
    <row r="31373">
      <c r="D31373" s="9"/>
      <c r="G31373" s="9"/>
      <c r="J31373" s="11"/>
      <c r="U31373" s="9"/>
      <c r="X31373" s="9"/>
    </row>
    <row r="31374">
      <c r="D31374" s="9"/>
      <c r="G31374" s="9"/>
      <c r="J31374" s="11"/>
      <c r="U31374" s="9"/>
      <c r="X31374" s="9"/>
    </row>
    <row r="31375">
      <c r="D31375" s="9"/>
      <c r="G31375" s="9"/>
      <c r="J31375" s="11"/>
      <c r="U31375" s="9"/>
      <c r="X31375" s="9"/>
    </row>
    <row r="31376">
      <c r="D31376" s="9"/>
      <c r="G31376" s="9"/>
      <c r="J31376" s="11"/>
      <c r="U31376" s="9"/>
      <c r="X31376" s="9"/>
    </row>
    <row r="31377">
      <c r="D31377" s="9"/>
      <c r="G31377" s="9"/>
      <c r="J31377" s="11"/>
      <c r="U31377" s="9"/>
      <c r="X31377" s="9"/>
    </row>
    <row r="31378">
      <c r="D31378" s="9"/>
      <c r="G31378" s="9"/>
      <c r="J31378" s="11"/>
      <c r="U31378" s="9"/>
      <c r="X31378" s="9"/>
    </row>
    <row r="31379">
      <c r="D31379" s="9"/>
      <c r="G31379" s="9"/>
      <c r="J31379" s="11"/>
      <c r="U31379" s="9"/>
      <c r="X31379" s="9"/>
    </row>
    <row r="31380">
      <c r="D31380" s="9"/>
      <c r="G31380" s="9"/>
      <c r="J31380" s="11"/>
      <c r="U31380" s="9"/>
      <c r="X31380" s="9"/>
    </row>
    <row r="31381">
      <c r="D31381" s="9"/>
      <c r="G31381" s="9"/>
      <c r="J31381" s="11"/>
      <c r="U31381" s="9"/>
      <c r="X31381" s="9"/>
    </row>
    <row r="31382">
      <c r="D31382" s="9"/>
      <c r="G31382" s="9"/>
      <c r="J31382" s="11"/>
      <c r="U31382" s="9"/>
      <c r="X31382" s="9"/>
    </row>
    <row r="31383">
      <c r="D31383" s="9"/>
      <c r="G31383" s="9"/>
      <c r="J31383" s="11"/>
      <c r="U31383" s="9"/>
      <c r="X31383" s="9"/>
    </row>
    <row r="31384">
      <c r="D31384" s="9"/>
      <c r="G31384" s="9"/>
      <c r="J31384" s="11"/>
      <c r="U31384" s="9"/>
      <c r="X31384" s="9"/>
    </row>
    <row r="31385">
      <c r="D31385" s="9"/>
      <c r="G31385" s="9"/>
      <c r="J31385" s="11"/>
      <c r="U31385" s="9"/>
      <c r="X31385" s="9"/>
    </row>
    <row r="31386">
      <c r="D31386" s="9"/>
      <c r="G31386" s="9"/>
      <c r="J31386" s="11"/>
      <c r="U31386" s="9"/>
      <c r="X31386" s="9"/>
    </row>
    <row r="31387">
      <c r="D31387" s="9"/>
      <c r="G31387" s="9"/>
      <c r="J31387" s="11"/>
      <c r="U31387" s="9"/>
      <c r="X31387" s="9"/>
    </row>
    <row r="31388">
      <c r="D31388" s="9"/>
      <c r="G31388" s="9"/>
      <c r="J31388" s="11"/>
      <c r="U31388" s="9"/>
      <c r="X31388" s="9"/>
    </row>
    <row r="31389">
      <c r="D31389" s="9"/>
      <c r="G31389" s="9"/>
      <c r="J31389" s="11"/>
      <c r="U31389" s="9"/>
      <c r="X31389" s="9"/>
    </row>
    <row r="31390">
      <c r="D31390" s="9"/>
      <c r="G31390" s="9"/>
      <c r="J31390" s="11"/>
      <c r="U31390" s="9"/>
      <c r="X31390" s="9"/>
    </row>
    <row r="31391">
      <c r="D31391" s="9"/>
      <c r="G31391" s="9"/>
      <c r="J31391" s="11"/>
      <c r="U31391" s="9"/>
      <c r="X31391" s="9"/>
    </row>
    <row r="31392">
      <c r="D31392" s="9"/>
      <c r="G31392" s="9"/>
      <c r="J31392" s="11"/>
      <c r="U31392" s="9"/>
      <c r="X31392" s="9"/>
    </row>
    <row r="31393">
      <c r="D31393" s="9"/>
      <c r="G31393" s="9"/>
      <c r="J31393" s="11"/>
      <c r="U31393" s="9"/>
      <c r="X31393" s="9"/>
    </row>
    <row r="31394">
      <c r="D31394" s="9"/>
      <c r="G31394" s="9"/>
      <c r="J31394" s="11"/>
      <c r="U31394" s="9"/>
      <c r="X31394" s="9"/>
    </row>
    <row r="31395">
      <c r="D31395" s="9"/>
      <c r="G31395" s="9"/>
      <c r="J31395" s="11"/>
      <c r="U31395" s="9"/>
      <c r="X31395" s="9"/>
    </row>
    <row r="31396">
      <c r="D31396" s="9"/>
      <c r="G31396" s="9"/>
      <c r="J31396" s="11"/>
      <c r="U31396" s="9"/>
      <c r="X31396" s="9"/>
    </row>
    <row r="31397">
      <c r="D31397" s="9"/>
      <c r="G31397" s="9"/>
      <c r="J31397" s="11"/>
      <c r="U31397" s="9"/>
      <c r="X31397" s="9"/>
    </row>
    <row r="31398">
      <c r="D31398" s="9"/>
      <c r="G31398" s="9"/>
      <c r="J31398" s="11"/>
      <c r="U31398" s="9"/>
      <c r="X31398" s="9"/>
    </row>
    <row r="31399">
      <c r="D31399" s="9"/>
      <c r="G31399" s="9"/>
      <c r="J31399" s="11"/>
      <c r="U31399" s="9"/>
      <c r="X31399" s="9"/>
    </row>
    <row r="31400">
      <c r="D31400" s="9"/>
      <c r="G31400" s="9"/>
      <c r="J31400" s="11"/>
      <c r="U31400" s="9"/>
      <c r="X31400" s="9"/>
    </row>
    <row r="31401">
      <c r="D31401" s="9"/>
      <c r="G31401" s="9"/>
      <c r="J31401" s="11"/>
      <c r="U31401" s="9"/>
      <c r="X31401" s="9"/>
    </row>
    <row r="31402">
      <c r="D31402" s="9"/>
      <c r="G31402" s="9"/>
      <c r="J31402" s="11"/>
      <c r="U31402" s="9"/>
      <c r="X31402" s="9"/>
    </row>
    <row r="31403">
      <c r="D31403" s="9"/>
      <c r="G31403" s="9"/>
      <c r="J31403" s="11"/>
      <c r="U31403" s="9"/>
      <c r="X31403" s="9"/>
    </row>
    <row r="31404">
      <c r="D31404" s="9"/>
      <c r="G31404" s="9"/>
      <c r="J31404" s="11"/>
      <c r="U31404" s="9"/>
      <c r="X31404" s="9"/>
    </row>
    <row r="31405">
      <c r="D31405" s="9"/>
      <c r="G31405" s="9"/>
      <c r="J31405" s="11"/>
      <c r="U31405" s="9"/>
      <c r="X31405" s="9"/>
    </row>
    <row r="31406">
      <c r="D31406" s="9"/>
      <c r="G31406" s="9"/>
      <c r="J31406" s="11"/>
      <c r="U31406" s="9"/>
      <c r="X31406" s="9"/>
    </row>
    <row r="31407">
      <c r="D31407" s="9"/>
      <c r="G31407" s="9"/>
      <c r="J31407" s="11"/>
      <c r="U31407" s="9"/>
      <c r="X31407" s="9"/>
    </row>
    <row r="31408">
      <c r="D31408" s="9"/>
      <c r="G31408" s="9"/>
      <c r="J31408" s="11"/>
      <c r="U31408" s="9"/>
      <c r="X31408" s="9"/>
    </row>
    <row r="31409">
      <c r="D31409" s="9"/>
      <c r="G31409" s="9"/>
      <c r="J31409" s="11"/>
      <c r="U31409" s="9"/>
      <c r="X31409" s="9"/>
    </row>
    <row r="31410">
      <c r="D31410" s="9"/>
      <c r="G31410" s="9"/>
      <c r="J31410" s="11"/>
      <c r="U31410" s="9"/>
      <c r="X31410" s="9"/>
    </row>
    <row r="31411">
      <c r="D31411" s="9"/>
      <c r="G31411" s="9"/>
      <c r="J31411" s="11"/>
      <c r="U31411" s="9"/>
      <c r="X31411" s="9"/>
    </row>
    <row r="31412">
      <c r="D31412" s="9"/>
      <c r="G31412" s="9"/>
      <c r="J31412" s="11"/>
      <c r="U31412" s="9"/>
      <c r="X31412" s="9"/>
    </row>
    <row r="31413">
      <c r="D31413" s="9"/>
      <c r="G31413" s="9"/>
      <c r="J31413" s="11"/>
      <c r="U31413" s="9"/>
      <c r="X31413" s="9"/>
    </row>
    <row r="31414">
      <c r="D31414" s="9"/>
      <c r="G31414" s="9"/>
      <c r="J31414" s="11"/>
      <c r="U31414" s="9"/>
      <c r="X31414" s="9"/>
    </row>
    <row r="31415">
      <c r="D31415" s="9"/>
      <c r="G31415" s="9"/>
      <c r="J31415" s="11"/>
      <c r="U31415" s="9"/>
      <c r="X31415" s="9"/>
    </row>
    <row r="31416">
      <c r="D31416" s="9"/>
      <c r="G31416" s="9"/>
      <c r="J31416" s="11"/>
      <c r="U31416" s="9"/>
      <c r="X31416" s="9"/>
    </row>
    <row r="31417">
      <c r="D31417" s="9"/>
      <c r="G31417" s="9"/>
      <c r="J31417" s="11"/>
      <c r="U31417" s="9"/>
      <c r="X31417" s="9"/>
    </row>
    <row r="31418">
      <c r="D31418" s="9"/>
      <c r="G31418" s="9"/>
      <c r="J31418" s="11"/>
      <c r="U31418" s="9"/>
      <c r="X31418" s="9"/>
    </row>
    <row r="31419">
      <c r="D31419" s="9"/>
      <c r="G31419" s="9"/>
      <c r="J31419" s="11"/>
      <c r="U31419" s="9"/>
      <c r="X31419" s="9"/>
    </row>
    <row r="31420">
      <c r="D31420" s="9"/>
      <c r="G31420" s="9"/>
      <c r="J31420" s="11"/>
      <c r="U31420" s="9"/>
      <c r="X31420" s="9"/>
    </row>
    <row r="31421">
      <c r="D31421" s="9"/>
      <c r="G31421" s="9"/>
      <c r="J31421" s="11"/>
      <c r="U31421" s="9"/>
      <c r="X31421" s="9"/>
    </row>
    <row r="31422">
      <c r="D31422" s="9"/>
      <c r="G31422" s="9"/>
      <c r="J31422" s="11"/>
      <c r="U31422" s="9"/>
      <c r="X31422" s="9"/>
    </row>
    <row r="31423">
      <c r="D31423" s="9"/>
      <c r="G31423" s="9"/>
      <c r="J31423" s="11"/>
      <c r="U31423" s="9"/>
      <c r="X31423" s="9"/>
    </row>
    <row r="31424">
      <c r="D31424" s="9"/>
      <c r="G31424" s="9"/>
      <c r="J31424" s="11"/>
      <c r="U31424" s="9"/>
      <c r="X31424" s="9"/>
    </row>
    <row r="31425">
      <c r="D31425" s="9"/>
      <c r="G31425" s="9"/>
      <c r="J31425" s="11"/>
      <c r="U31425" s="9"/>
      <c r="X31425" s="9"/>
    </row>
    <row r="31426">
      <c r="D31426" s="9"/>
      <c r="G31426" s="9"/>
      <c r="J31426" s="11"/>
      <c r="U31426" s="9"/>
      <c r="X31426" s="9"/>
    </row>
    <row r="31427">
      <c r="D31427" s="9"/>
      <c r="G31427" s="9"/>
      <c r="J31427" s="11"/>
      <c r="U31427" s="9"/>
      <c r="X31427" s="9"/>
    </row>
    <row r="31428">
      <c r="D31428" s="9"/>
      <c r="G31428" s="9"/>
      <c r="J31428" s="11"/>
      <c r="U31428" s="9"/>
      <c r="X31428" s="9"/>
    </row>
    <row r="31429">
      <c r="D31429" s="9"/>
      <c r="G31429" s="9"/>
      <c r="J31429" s="11"/>
      <c r="U31429" s="9"/>
      <c r="X31429" s="9"/>
    </row>
    <row r="31430">
      <c r="D31430" s="9"/>
      <c r="G31430" s="9"/>
      <c r="J31430" s="11"/>
      <c r="U31430" s="9"/>
      <c r="X31430" s="9"/>
    </row>
    <row r="31431">
      <c r="D31431" s="9"/>
      <c r="G31431" s="9"/>
      <c r="J31431" s="11"/>
      <c r="U31431" s="9"/>
      <c r="X31431" s="9"/>
    </row>
    <row r="31432">
      <c r="D31432" s="9"/>
      <c r="G31432" s="9"/>
      <c r="J31432" s="11"/>
      <c r="U31432" s="9"/>
      <c r="X31432" s="9"/>
    </row>
    <row r="31433">
      <c r="D31433" s="9"/>
      <c r="G31433" s="9"/>
      <c r="J31433" s="11"/>
      <c r="U31433" s="9"/>
      <c r="X31433" s="9"/>
    </row>
    <row r="31434">
      <c r="D31434" s="9"/>
      <c r="G31434" s="9"/>
      <c r="J31434" s="11"/>
      <c r="U31434" s="9"/>
      <c r="X31434" s="9"/>
    </row>
    <row r="31435">
      <c r="D31435" s="9"/>
      <c r="G31435" s="9"/>
      <c r="J31435" s="11"/>
      <c r="U31435" s="9"/>
      <c r="X31435" s="9"/>
    </row>
    <row r="31436">
      <c r="D31436" s="9"/>
      <c r="G31436" s="9"/>
      <c r="J31436" s="11"/>
      <c r="U31436" s="9"/>
      <c r="X31436" s="9"/>
    </row>
    <row r="31437">
      <c r="D31437" s="9"/>
      <c r="G31437" s="9"/>
      <c r="J31437" s="11"/>
      <c r="U31437" s="9"/>
      <c r="X31437" s="9"/>
    </row>
    <row r="31438">
      <c r="D31438" s="9"/>
      <c r="G31438" s="9"/>
      <c r="J31438" s="11"/>
      <c r="U31438" s="9"/>
      <c r="X31438" s="9"/>
    </row>
    <row r="31439">
      <c r="D31439" s="9"/>
      <c r="G31439" s="9"/>
      <c r="J31439" s="11"/>
      <c r="U31439" s="9"/>
      <c r="X31439" s="9"/>
    </row>
    <row r="31440">
      <c r="D31440" s="9"/>
      <c r="G31440" s="9"/>
      <c r="J31440" s="11"/>
      <c r="U31440" s="9"/>
      <c r="X31440" s="9"/>
    </row>
    <row r="31441">
      <c r="D31441" s="9"/>
      <c r="G31441" s="9"/>
      <c r="J31441" s="11"/>
      <c r="U31441" s="9"/>
      <c r="X31441" s="9"/>
    </row>
    <row r="31442">
      <c r="D31442" s="9"/>
      <c r="G31442" s="9"/>
      <c r="J31442" s="11"/>
      <c r="U31442" s="9"/>
      <c r="X31442" s="9"/>
    </row>
    <row r="31443">
      <c r="D31443" s="9"/>
      <c r="G31443" s="9"/>
      <c r="J31443" s="11"/>
      <c r="U31443" s="9"/>
      <c r="X31443" s="9"/>
    </row>
    <row r="31444">
      <c r="D31444" s="9"/>
      <c r="G31444" s="9"/>
      <c r="J31444" s="11"/>
      <c r="U31444" s="9"/>
      <c r="X31444" s="9"/>
    </row>
    <row r="31445">
      <c r="D31445" s="9"/>
      <c r="G31445" s="9"/>
      <c r="J31445" s="11"/>
      <c r="U31445" s="9"/>
      <c r="X31445" s="9"/>
    </row>
    <row r="31446">
      <c r="D31446" s="9"/>
      <c r="G31446" s="9"/>
      <c r="J31446" s="11"/>
      <c r="U31446" s="9"/>
      <c r="X31446" s="9"/>
    </row>
    <row r="31447">
      <c r="D31447" s="9"/>
      <c r="G31447" s="9"/>
      <c r="J31447" s="11"/>
      <c r="U31447" s="9"/>
      <c r="X31447" s="9"/>
    </row>
    <row r="31448">
      <c r="D31448" s="9"/>
      <c r="G31448" s="9"/>
      <c r="J31448" s="11"/>
      <c r="U31448" s="9"/>
      <c r="X31448" s="9"/>
    </row>
    <row r="31449">
      <c r="D31449" s="9"/>
      <c r="G31449" s="9"/>
      <c r="J31449" s="11"/>
      <c r="U31449" s="9"/>
      <c r="X31449" s="9"/>
    </row>
    <row r="31450">
      <c r="D31450" s="9"/>
      <c r="G31450" s="9"/>
      <c r="J31450" s="11"/>
      <c r="U31450" s="9"/>
      <c r="X31450" s="9"/>
    </row>
    <row r="31451">
      <c r="D31451" s="9"/>
      <c r="G31451" s="9"/>
      <c r="J31451" s="11"/>
      <c r="U31451" s="9"/>
      <c r="X31451" s="9"/>
    </row>
    <row r="31452">
      <c r="D31452" s="9"/>
      <c r="G31452" s="9"/>
      <c r="J31452" s="11"/>
      <c r="U31452" s="9"/>
      <c r="X31452" s="9"/>
    </row>
    <row r="31453">
      <c r="D31453" s="9"/>
      <c r="G31453" s="9"/>
      <c r="J31453" s="11"/>
      <c r="U31453" s="9"/>
      <c r="X31453" s="9"/>
    </row>
    <row r="31454">
      <c r="D31454" s="9"/>
      <c r="G31454" s="9"/>
      <c r="J31454" s="11"/>
      <c r="U31454" s="9"/>
      <c r="X31454" s="9"/>
    </row>
    <row r="31455">
      <c r="D31455" s="9"/>
      <c r="G31455" s="9"/>
      <c r="J31455" s="11"/>
      <c r="U31455" s="9"/>
      <c r="X31455" s="9"/>
    </row>
    <row r="31456">
      <c r="D31456" s="9"/>
      <c r="G31456" s="9"/>
      <c r="J31456" s="11"/>
      <c r="U31456" s="9"/>
      <c r="X31456" s="9"/>
    </row>
    <row r="31457">
      <c r="D31457" s="9"/>
      <c r="G31457" s="9"/>
      <c r="J31457" s="11"/>
      <c r="U31457" s="9"/>
      <c r="X31457" s="9"/>
    </row>
    <row r="31458">
      <c r="D31458" s="9"/>
      <c r="G31458" s="9"/>
      <c r="J31458" s="11"/>
      <c r="U31458" s="9"/>
      <c r="X31458" s="9"/>
    </row>
    <row r="31459">
      <c r="D31459" s="9"/>
      <c r="G31459" s="9"/>
      <c r="J31459" s="11"/>
      <c r="U31459" s="9"/>
      <c r="X31459" s="9"/>
    </row>
    <row r="31460">
      <c r="D31460" s="9"/>
      <c r="G31460" s="9"/>
      <c r="J31460" s="11"/>
      <c r="U31460" s="9"/>
      <c r="X31460" s="9"/>
    </row>
    <row r="31461">
      <c r="D31461" s="9"/>
      <c r="G31461" s="9"/>
      <c r="J31461" s="11"/>
      <c r="U31461" s="9"/>
      <c r="X31461" s="9"/>
    </row>
    <row r="31462">
      <c r="D31462" s="9"/>
      <c r="G31462" s="9"/>
      <c r="J31462" s="11"/>
      <c r="U31462" s="9"/>
      <c r="X31462" s="9"/>
    </row>
    <row r="31463">
      <c r="D31463" s="9"/>
      <c r="G31463" s="9"/>
      <c r="J31463" s="11"/>
      <c r="U31463" s="9"/>
      <c r="X31463" s="9"/>
    </row>
    <row r="31464">
      <c r="D31464" s="9"/>
      <c r="G31464" s="9"/>
      <c r="J31464" s="11"/>
      <c r="U31464" s="9"/>
      <c r="X31464" s="9"/>
    </row>
    <row r="31465">
      <c r="D31465" s="9"/>
      <c r="G31465" s="9"/>
      <c r="J31465" s="11"/>
      <c r="U31465" s="9"/>
      <c r="X31465" s="9"/>
    </row>
    <row r="31466">
      <c r="D31466" s="9"/>
      <c r="G31466" s="9"/>
      <c r="J31466" s="11"/>
      <c r="U31466" s="9"/>
      <c r="X31466" s="9"/>
    </row>
    <row r="31467">
      <c r="D31467" s="9"/>
      <c r="G31467" s="9"/>
      <c r="J31467" s="11"/>
      <c r="U31467" s="9"/>
      <c r="X31467" s="9"/>
    </row>
    <row r="31468">
      <c r="D31468" s="9"/>
      <c r="G31468" s="9"/>
      <c r="J31468" s="11"/>
      <c r="U31468" s="9"/>
      <c r="X31468" s="9"/>
    </row>
    <row r="31469">
      <c r="D31469" s="9"/>
      <c r="G31469" s="9"/>
      <c r="J31469" s="11"/>
      <c r="U31469" s="9"/>
      <c r="X31469" s="9"/>
    </row>
    <row r="31470">
      <c r="D31470" s="9"/>
      <c r="G31470" s="9"/>
      <c r="J31470" s="11"/>
      <c r="U31470" s="9"/>
      <c r="X31470" s="9"/>
    </row>
    <row r="31471">
      <c r="D31471" s="9"/>
      <c r="G31471" s="9"/>
      <c r="J31471" s="11"/>
      <c r="U31471" s="9"/>
      <c r="X31471" s="9"/>
    </row>
    <row r="31472">
      <c r="D31472" s="9"/>
      <c r="G31472" s="9"/>
      <c r="J31472" s="11"/>
      <c r="U31472" s="9"/>
      <c r="X31472" s="9"/>
    </row>
    <row r="31473">
      <c r="D31473" s="9"/>
      <c r="G31473" s="9"/>
      <c r="J31473" s="11"/>
      <c r="U31473" s="9"/>
      <c r="X31473" s="9"/>
    </row>
    <row r="31474">
      <c r="D31474" s="9"/>
      <c r="G31474" s="9"/>
      <c r="J31474" s="11"/>
      <c r="U31474" s="9"/>
      <c r="X31474" s="9"/>
    </row>
    <row r="31475">
      <c r="D31475" s="9"/>
      <c r="G31475" s="9"/>
      <c r="J31475" s="11"/>
      <c r="U31475" s="9"/>
      <c r="X31475" s="9"/>
    </row>
    <row r="31476">
      <c r="D31476" s="9"/>
      <c r="G31476" s="9"/>
      <c r="J31476" s="11"/>
      <c r="U31476" s="9"/>
      <c r="X31476" s="9"/>
    </row>
    <row r="31477">
      <c r="D31477" s="9"/>
      <c r="G31477" s="9"/>
      <c r="J31477" s="11"/>
      <c r="U31477" s="9"/>
      <c r="X31477" s="9"/>
    </row>
    <row r="31478">
      <c r="D31478" s="9"/>
      <c r="G31478" s="9"/>
      <c r="J31478" s="11"/>
      <c r="U31478" s="9"/>
      <c r="X31478" s="9"/>
    </row>
    <row r="31479">
      <c r="D31479" s="9"/>
      <c r="G31479" s="9"/>
      <c r="J31479" s="11"/>
      <c r="U31479" s="9"/>
      <c r="X31479" s="9"/>
    </row>
    <row r="31480">
      <c r="D31480" s="9"/>
      <c r="G31480" s="9"/>
      <c r="J31480" s="11"/>
      <c r="U31480" s="9"/>
      <c r="X31480" s="9"/>
    </row>
    <row r="31481">
      <c r="D31481" s="9"/>
      <c r="G31481" s="9"/>
      <c r="J31481" s="11"/>
      <c r="U31481" s="9"/>
      <c r="X31481" s="9"/>
    </row>
    <row r="31482">
      <c r="D31482" s="9"/>
      <c r="G31482" s="9"/>
      <c r="J31482" s="11"/>
      <c r="U31482" s="9"/>
      <c r="X31482" s="9"/>
    </row>
    <row r="31483">
      <c r="D31483" s="9"/>
      <c r="G31483" s="9"/>
      <c r="J31483" s="11"/>
      <c r="U31483" s="9"/>
      <c r="X31483" s="9"/>
    </row>
    <row r="31484">
      <c r="D31484" s="9"/>
      <c r="G31484" s="9"/>
      <c r="J31484" s="11"/>
      <c r="U31484" s="9"/>
      <c r="X31484" s="9"/>
    </row>
    <row r="31485">
      <c r="D31485" s="9"/>
      <c r="G31485" s="9"/>
      <c r="J31485" s="11"/>
      <c r="U31485" s="9"/>
      <c r="X31485" s="9"/>
    </row>
    <row r="31486">
      <c r="D31486" s="9"/>
      <c r="G31486" s="9"/>
      <c r="J31486" s="11"/>
      <c r="U31486" s="9"/>
      <c r="X31486" s="9"/>
    </row>
    <row r="31487">
      <c r="D31487" s="9"/>
      <c r="G31487" s="9"/>
      <c r="J31487" s="11"/>
      <c r="U31487" s="9"/>
      <c r="X31487" s="9"/>
    </row>
    <row r="31488">
      <c r="D31488" s="9"/>
      <c r="G31488" s="9"/>
      <c r="J31488" s="11"/>
      <c r="U31488" s="9"/>
      <c r="X31488" s="9"/>
    </row>
    <row r="31489">
      <c r="D31489" s="9"/>
      <c r="G31489" s="9"/>
      <c r="J31489" s="11"/>
      <c r="U31489" s="9"/>
      <c r="X31489" s="9"/>
    </row>
    <row r="31490">
      <c r="D31490" s="9"/>
      <c r="G31490" s="9"/>
      <c r="J31490" s="11"/>
      <c r="U31490" s="9"/>
      <c r="X31490" s="9"/>
    </row>
    <row r="31491">
      <c r="D31491" s="9"/>
      <c r="G31491" s="9"/>
      <c r="J31491" s="11"/>
      <c r="U31491" s="9"/>
      <c r="X31491" s="9"/>
    </row>
    <row r="31492">
      <c r="D31492" s="9"/>
      <c r="G31492" s="9"/>
      <c r="J31492" s="11"/>
      <c r="U31492" s="9"/>
      <c r="X31492" s="9"/>
    </row>
    <row r="31493">
      <c r="D31493" s="9"/>
      <c r="G31493" s="9"/>
      <c r="J31493" s="11"/>
      <c r="U31493" s="9"/>
      <c r="X31493" s="9"/>
    </row>
    <row r="31494">
      <c r="D31494" s="9"/>
      <c r="G31494" s="9"/>
      <c r="J31494" s="11"/>
      <c r="U31494" s="9"/>
      <c r="X31494" s="9"/>
    </row>
    <row r="31495">
      <c r="D31495" s="9"/>
      <c r="G31495" s="9"/>
      <c r="J31495" s="11"/>
      <c r="U31495" s="9"/>
      <c r="X31495" s="9"/>
    </row>
    <row r="31496">
      <c r="D31496" s="9"/>
      <c r="G31496" s="9"/>
      <c r="J31496" s="11"/>
      <c r="U31496" s="9"/>
      <c r="X31496" s="9"/>
    </row>
    <row r="31497">
      <c r="D31497" s="9"/>
      <c r="G31497" s="9"/>
      <c r="J31497" s="11"/>
      <c r="U31497" s="9"/>
      <c r="X31497" s="9"/>
    </row>
    <row r="31498">
      <c r="D31498" s="9"/>
      <c r="G31498" s="9"/>
      <c r="J31498" s="11"/>
      <c r="U31498" s="9"/>
      <c r="X31498" s="9"/>
    </row>
    <row r="31499">
      <c r="D31499" s="9"/>
      <c r="G31499" s="9"/>
      <c r="J31499" s="11"/>
      <c r="U31499" s="9"/>
      <c r="X31499" s="9"/>
    </row>
    <row r="31500">
      <c r="D31500" s="9"/>
      <c r="G31500" s="9"/>
      <c r="J31500" s="11"/>
      <c r="U31500" s="9"/>
      <c r="X31500" s="9"/>
    </row>
    <row r="31501">
      <c r="D31501" s="9"/>
      <c r="G31501" s="9"/>
      <c r="J31501" s="11"/>
      <c r="U31501" s="9"/>
      <c r="X31501" s="9"/>
    </row>
    <row r="31502">
      <c r="D31502" s="9"/>
      <c r="G31502" s="9"/>
      <c r="J31502" s="11"/>
      <c r="U31502" s="9"/>
      <c r="X31502" s="9"/>
    </row>
    <row r="31503">
      <c r="D31503" s="9"/>
      <c r="G31503" s="9"/>
      <c r="J31503" s="11"/>
      <c r="U31503" s="9"/>
      <c r="X31503" s="9"/>
    </row>
    <row r="31504">
      <c r="D31504" s="9"/>
      <c r="G31504" s="9"/>
      <c r="J31504" s="11"/>
      <c r="U31504" s="9"/>
      <c r="X31504" s="9"/>
    </row>
    <row r="31505">
      <c r="D31505" s="9"/>
      <c r="G31505" s="9"/>
      <c r="J31505" s="11"/>
      <c r="U31505" s="9"/>
      <c r="X31505" s="9"/>
    </row>
    <row r="31506">
      <c r="D31506" s="9"/>
      <c r="G31506" s="9"/>
      <c r="J31506" s="11"/>
      <c r="U31506" s="9"/>
      <c r="X31506" s="9"/>
    </row>
    <row r="31507">
      <c r="D31507" s="9"/>
      <c r="G31507" s="9"/>
      <c r="J31507" s="11"/>
      <c r="U31507" s="9"/>
      <c r="X31507" s="9"/>
    </row>
    <row r="31508">
      <c r="D31508" s="9"/>
      <c r="G31508" s="9"/>
      <c r="J31508" s="11"/>
      <c r="U31508" s="9"/>
      <c r="X31508" s="9"/>
    </row>
    <row r="31509">
      <c r="D31509" s="9"/>
      <c r="G31509" s="9"/>
      <c r="J31509" s="11"/>
      <c r="U31509" s="9"/>
      <c r="X31509" s="9"/>
    </row>
    <row r="31510">
      <c r="D31510" s="9"/>
      <c r="G31510" s="9"/>
      <c r="J31510" s="11"/>
      <c r="U31510" s="9"/>
      <c r="X31510" s="9"/>
    </row>
    <row r="31511">
      <c r="D31511" s="9"/>
      <c r="G31511" s="9"/>
      <c r="J31511" s="11"/>
      <c r="U31511" s="9"/>
      <c r="X31511" s="9"/>
    </row>
    <row r="31512">
      <c r="D31512" s="9"/>
      <c r="G31512" s="9"/>
      <c r="J31512" s="11"/>
      <c r="U31512" s="9"/>
      <c r="X31512" s="9"/>
    </row>
    <row r="31513">
      <c r="D31513" s="9"/>
      <c r="G31513" s="9"/>
      <c r="J31513" s="11"/>
      <c r="U31513" s="9"/>
      <c r="X31513" s="9"/>
    </row>
    <row r="31514">
      <c r="D31514" s="9"/>
      <c r="G31514" s="9"/>
      <c r="J31514" s="11"/>
      <c r="U31514" s="9"/>
      <c r="X31514" s="9"/>
    </row>
    <row r="31515">
      <c r="D31515" s="9"/>
      <c r="G31515" s="9"/>
      <c r="J31515" s="11"/>
      <c r="U31515" s="9"/>
      <c r="X31515" s="9"/>
    </row>
    <row r="31516">
      <c r="D31516" s="9"/>
      <c r="G31516" s="9"/>
      <c r="J31516" s="11"/>
      <c r="U31516" s="9"/>
      <c r="X31516" s="9"/>
    </row>
    <row r="31517">
      <c r="D31517" s="9"/>
      <c r="G31517" s="9"/>
      <c r="J31517" s="11"/>
      <c r="U31517" s="9"/>
      <c r="X31517" s="9"/>
    </row>
    <row r="31518">
      <c r="D31518" s="9"/>
      <c r="G31518" s="9"/>
      <c r="J31518" s="11"/>
      <c r="U31518" s="9"/>
      <c r="X31518" s="9"/>
    </row>
    <row r="31519">
      <c r="D31519" s="9"/>
      <c r="G31519" s="9"/>
      <c r="J31519" s="11"/>
      <c r="U31519" s="9"/>
      <c r="X31519" s="9"/>
    </row>
    <row r="31520">
      <c r="D31520" s="9"/>
      <c r="G31520" s="9"/>
      <c r="J31520" s="11"/>
      <c r="U31520" s="9"/>
      <c r="X31520" s="9"/>
    </row>
    <row r="31521">
      <c r="D31521" s="9"/>
      <c r="G31521" s="9"/>
      <c r="J31521" s="11"/>
      <c r="U31521" s="9"/>
      <c r="X31521" s="9"/>
    </row>
    <row r="31522">
      <c r="D31522" s="9"/>
      <c r="G31522" s="9"/>
      <c r="J31522" s="11"/>
      <c r="U31522" s="9"/>
      <c r="X31522" s="9"/>
    </row>
    <row r="31523">
      <c r="D31523" s="9"/>
      <c r="G31523" s="9"/>
      <c r="J31523" s="11"/>
      <c r="U31523" s="9"/>
      <c r="X31523" s="9"/>
    </row>
    <row r="31524">
      <c r="D31524" s="9"/>
      <c r="G31524" s="9"/>
      <c r="J31524" s="11"/>
      <c r="U31524" s="9"/>
      <c r="X31524" s="9"/>
    </row>
    <row r="31525">
      <c r="D31525" s="9"/>
      <c r="G31525" s="9"/>
      <c r="J31525" s="11"/>
      <c r="U31525" s="9"/>
      <c r="X31525" s="9"/>
    </row>
    <row r="31526">
      <c r="D31526" s="9"/>
      <c r="G31526" s="9"/>
      <c r="J31526" s="11"/>
      <c r="U31526" s="9"/>
      <c r="X31526" s="9"/>
    </row>
    <row r="31527">
      <c r="D31527" s="9"/>
      <c r="G31527" s="9"/>
      <c r="J31527" s="11"/>
      <c r="U31527" s="9"/>
      <c r="X31527" s="9"/>
    </row>
    <row r="31528">
      <c r="D31528" s="9"/>
      <c r="G31528" s="9"/>
      <c r="J31528" s="11"/>
      <c r="U31528" s="9"/>
      <c r="X31528" s="9"/>
    </row>
    <row r="31529">
      <c r="D31529" s="9"/>
      <c r="G31529" s="9"/>
      <c r="J31529" s="11"/>
      <c r="U31529" s="9"/>
      <c r="X31529" s="9"/>
    </row>
    <row r="31530">
      <c r="D31530" s="9"/>
      <c r="G31530" s="9"/>
      <c r="J31530" s="11"/>
      <c r="U31530" s="9"/>
      <c r="X31530" s="9"/>
    </row>
    <row r="31531">
      <c r="D31531" s="9"/>
      <c r="G31531" s="9"/>
      <c r="J31531" s="11"/>
      <c r="U31531" s="9"/>
      <c r="X31531" s="9"/>
    </row>
    <row r="31532">
      <c r="D31532" s="9"/>
      <c r="G31532" s="9"/>
      <c r="J31532" s="11"/>
      <c r="U31532" s="9"/>
      <c r="X31532" s="9"/>
    </row>
    <row r="31533">
      <c r="D31533" s="9"/>
      <c r="G31533" s="9"/>
      <c r="J31533" s="11"/>
      <c r="U31533" s="9"/>
      <c r="X31533" s="9"/>
    </row>
    <row r="31534">
      <c r="D31534" s="9"/>
      <c r="G31534" s="9"/>
      <c r="J31534" s="11"/>
      <c r="U31534" s="9"/>
      <c r="X31534" s="9"/>
    </row>
    <row r="31535">
      <c r="D31535" s="9"/>
      <c r="G31535" s="9"/>
      <c r="J31535" s="11"/>
      <c r="U31535" s="9"/>
      <c r="X31535" s="9"/>
    </row>
    <row r="31536">
      <c r="D31536" s="9"/>
      <c r="G31536" s="9"/>
      <c r="J31536" s="11"/>
      <c r="U31536" s="9"/>
      <c r="X31536" s="9"/>
    </row>
    <row r="31537">
      <c r="D31537" s="9"/>
      <c r="G31537" s="9"/>
      <c r="J31537" s="11"/>
      <c r="U31537" s="9"/>
      <c r="X31537" s="9"/>
    </row>
    <row r="31538">
      <c r="D31538" s="9"/>
      <c r="G31538" s="9"/>
      <c r="J31538" s="11"/>
      <c r="U31538" s="9"/>
      <c r="X31538" s="9"/>
    </row>
    <row r="31539">
      <c r="D31539" s="9"/>
      <c r="G31539" s="9"/>
      <c r="J31539" s="11"/>
      <c r="U31539" s="9"/>
      <c r="X31539" s="9"/>
    </row>
    <row r="31540">
      <c r="D31540" s="9"/>
      <c r="G31540" s="9"/>
      <c r="J31540" s="11"/>
      <c r="U31540" s="9"/>
      <c r="X31540" s="9"/>
    </row>
    <row r="31541">
      <c r="D31541" s="9"/>
      <c r="G31541" s="9"/>
      <c r="J31541" s="11"/>
      <c r="U31541" s="9"/>
      <c r="X31541" s="9"/>
    </row>
    <row r="31542">
      <c r="D31542" s="9"/>
      <c r="G31542" s="9"/>
      <c r="J31542" s="11"/>
      <c r="U31542" s="9"/>
      <c r="X31542" s="9"/>
    </row>
    <row r="31543">
      <c r="D31543" s="9"/>
      <c r="G31543" s="9"/>
      <c r="J31543" s="11"/>
      <c r="U31543" s="9"/>
      <c r="X31543" s="9"/>
    </row>
    <row r="31544">
      <c r="D31544" s="9"/>
      <c r="G31544" s="9"/>
      <c r="J31544" s="11"/>
      <c r="U31544" s="9"/>
      <c r="X31544" s="9"/>
    </row>
    <row r="31545">
      <c r="D31545" s="9"/>
      <c r="G31545" s="9"/>
      <c r="J31545" s="11"/>
      <c r="U31545" s="9"/>
      <c r="X31545" s="9"/>
    </row>
    <row r="31546">
      <c r="D31546" s="9"/>
      <c r="G31546" s="9"/>
      <c r="J31546" s="11"/>
      <c r="U31546" s="9"/>
      <c r="X31546" s="9"/>
    </row>
    <row r="31547">
      <c r="D31547" s="9"/>
      <c r="G31547" s="9"/>
      <c r="J31547" s="11"/>
      <c r="U31547" s="9"/>
      <c r="X31547" s="9"/>
    </row>
    <row r="31548">
      <c r="D31548" s="9"/>
      <c r="G31548" s="9"/>
      <c r="J31548" s="11"/>
      <c r="U31548" s="9"/>
      <c r="X31548" s="9"/>
    </row>
    <row r="31549">
      <c r="D31549" s="9"/>
      <c r="G31549" s="9"/>
      <c r="J31549" s="11"/>
      <c r="U31549" s="9"/>
      <c r="X31549" s="9"/>
    </row>
    <row r="31550">
      <c r="D31550" s="9"/>
      <c r="G31550" s="9"/>
      <c r="J31550" s="11"/>
      <c r="U31550" s="9"/>
      <c r="X31550" s="9"/>
    </row>
    <row r="31551">
      <c r="D31551" s="9"/>
      <c r="G31551" s="9"/>
      <c r="J31551" s="11"/>
      <c r="U31551" s="9"/>
      <c r="X31551" s="9"/>
    </row>
    <row r="31552">
      <c r="D31552" s="9"/>
      <c r="G31552" s="9"/>
      <c r="J31552" s="11"/>
      <c r="U31552" s="9"/>
      <c r="X31552" s="9"/>
    </row>
    <row r="31553">
      <c r="D31553" s="9"/>
      <c r="G31553" s="9"/>
      <c r="J31553" s="11"/>
      <c r="U31553" s="9"/>
      <c r="X31553" s="9"/>
    </row>
    <row r="31554">
      <c r="D31554" s="9"/>
      <c r="G31554" s="9"/>
      <c r="J31554" s="11"/>
      <c r="U31554" s="9"/>
      <c r="X31554" s="9"/>
    </row>
    <row r="31555">
      <c r="D31555" s="9"/>
      <c r="G31555" s="9"/>
      <c r="J31555" s="11"/>
      <c r="U31555" s="9"/>
      <c r="X31555" s="9"/>
    </row>
    <row r="31556">
      <c r="D31556" s="9"/>
      <c r="G31556" s="9"/>
      <c r="J31556" s="11"/>
      <c r="U31556" s="9"/>
      <c r="X31556" s="9"/>
    </row>
    <row r="31557">
      <c r="D31557" s="9"/>
      <c r="G31557" s="9"/>
      <c r="J31557" s="11"/>
      <c r="U31557" s="9"/>
      <c r="X31557" s="9"/>
    </row>
    <row r="31558">
      <c r="D31558" s="9"/>
      <c r="G31558" s="9"/>
      <c r="J31558" s="11"/>
      <c r="U31558" s="9"/>
      <c r="X31558" s="9"/>
    </row>
    <row r="31559">
      <c r="D31559" s="9"/>
      <c r="G31559" s="9"/>
      <c r="J31559" s="11"/>
      <c r="U31559" s="9"/>
      <c r="X31559" s="9"/>
    </row>
    <row r="31560">
      <c r="D31560" s="9"/>
      <c r="G31560" s="9"/>
      <c r="J31560" s="11"/>
      <c r="U31560" s="9"/>
      <c r="X31560" s="9"/>
    </row>
    <row r="31561">
      <c r="D31561" s="9"/>
      <c r="G31561" s="9"/>
      <c r="J31561" s="11"/>
      <c r="U31561" s="9"/>
      <c r="X31561" s="9"/>
    </row>
    <row r="31562">
      <c r="D31562" s="9"/>
      <c r="G31562" s="9"/>
      <c r="J31562" s="11"/>
      <c r="U31562" s="9"/>
      <c r="X31562" s="9"/>
    </row>
    <row r="31563">
      <c r="D31563" s="9"/>
      <c r="G31563" s="9"/>
      <c r="J31563" s="11"/>
      <c r="U31563" s="9"/>
      <c r="X31563" s="9"/>
    </row>
    <row r="31564">
      <c r="D31564" s="9"/>
      <c r="G31564" s="9"/>
      <c r="J31564" s="11"/>
      <c r="U31564" s="9"/>
      <c r="X31564" s="9"/>
    </row>
    <row r="31565">
      <c r="D31565" s="9"/>
      <c r="G31565" s="9"/>
      <c r="J31565" s="11"/>
      <c r="U31565" s="9"/>
      <c r="X31565" s="9"/>
    </row>
    <row r="31566">
      <c r="D31566" s="9"/>
      <c r="G31566" s="9"/>
      <c r="J31566" s="11"/>
      <c r="U31566" s="9"/>
      <c r="X31566" s="9"/>
    </row>
    <row r="31567">
      <c r="D31567" s="9"/>
      <c r="G31567" s="9"/>
      <c r="J31567" s="11"/>
      <c r="U31567" s="9"/>
      <c r="X31567" s="9"/>
    </row>
    <row r="31568">
      <c r="D31568" s="9"/>
      <c r="G31568" s="9"/>
      <c r="J31568" s="11"/>
      <c r="U31568" s="9"/>
      <c r="X31568" s="9"/>
    </row>
    <row r="31569">
      <c r="D31569" s="9"/>
      <c r="G31569" s="9"/>
      <c r="J31569" s="11"/>
      <c r="U31569" s="9"/>
      <c r="X31569" s="9"/>
    </row>
    <row r="31570">
      <c r="D31570" s="9"/>
      <c r="G31570" s="9"/>
      <c r="J31570" s="11"/>
      <c r="U31570" s="9"/>
      <c r="X31570" s="9"/>
    </row>
    <row r="31571">
      <c r="D31571" s="9"/>
      <c r="G31571" s="9"/>
      <c r="J31571" s="11"/>
      <c r="U31571" s="9"/>
      <c r="X31571" s="9"/>
    </row>
    <row r="31572">
      <c r="D31572" s="9"/>
      <c r="G31572" s="9"/>
      <c r="J31572" s="11"/>
      <c r="U31572" s="9"/>
      <c r="X31572" s="9"/>
    </row>
    <row r="31573">
      <c r="D31573" s="9"/>
      <c r="G31573" s="9"/>
      <c r="J31573" s="11"/>
      <c r="U31573" s="9"/>
      <c r="X31573" s="9"/>
    </row>
    <row r="31574">
      <c r="D31574" s="9"/>
      <c r="G31574" s="9"/>
      <c r="J31574" s="11"/>
      <c r="U31574" s="9"/>
      <c r="X31574" s="9"/>
    </row>
    <row r="31575">
      <c r="D31575" s="9"/>
      <c r="G31575" s="9"/>
      <c r="J31575" s="11"/>
      <c r="U31575" s="9"/>
      <c r="X31575" s="9"/>
    </row>
    <row r="31576">
      <c r="D31576" s="9"/>
      <c r="G31576" s="9"/>
      <c r="J31576" s="11"/>
      <c r="U31576" s="9"/>
      <c r="X31576" s="9"/>
    </row>
    <row r="31577">
      <c r="D31577" s="9"/>
      <c r="G31577" s="9"/>
      <c r="J31577" s="11"/>
      <c r="U31577" s="9"/>
      <c r="X31577" s="9"/>
    </row>
    <row r="31578">
      <c r="D31578" s="9"/>
      <c r="G31578" s="9"/>
      <c r="J31578" s="11"/>
      <c r="U31578" s="9"/>
      <c r="X31578" s="9"/>
    </row>
    <row r="31579">
      <c r="D31579" s="9"/>
      <c r="G31579" s="9"/>
      <c r="J31579" s="11"/>
      <c r="U31579" s="9"/>
      <c r="X31579" s="9"/>
    </row>
    <row r="31580">
      <c r="D31580" s="9"/>
      <c r="G31580" s="9"/>
      <c r="J31580" s="11"/>
      <c r="U31580" s="9"/>
      <c r="X31580" s="9"/>
    </row>
    <row r="31581">
      <c r="D31581" s="9"/>
      <c r="G31581" s="9"/>
      <c r="J31581" s="11"/>
      <c r="U31581" s="9"/>
      <c r="X31581" s="9"/>
    </row>
    <row r="31582">
      <c r="D31582" s="9"/>
      <c r="G31582" s="9"/>
      <c r="J31582" s="11"/>
      <c r="U31582" s="9"/>
      <c r="X31582" s="9"/>
    </row>
    <row r="31583">
      <c r="D31583" s="9"/>
      <c r="G31583" s="9"/>
      <c r="J31583" s="11"/>
      <c r="U31583" s="9"/>
      <c r="X31583" s="9"/>
    </row>
    <row r="31584">
      <c r="D31584" s="9"/>
      <c r="G31584" s="9"/>
      <c r="J31584" s="11"/>
      <c r="U31584" s="9"/>
      <c r="X31584" s="9"/>
    </row>
    <row r="31585">
      <c r="D31585" s="9"/>
      <c r="G31585" s="9"/>
      <c r="J31585" s="11"/>
      <c r="U31585" s="9"/>
      <c r="X31585" s="9"/>
    </row>
    <row r="31586">
      <c r="D31586" s="9"/>
      <c r="G31586" s="9"/>
      <c r="J31586" s="11"/>
      <c r="U31586" s="9"/>
      <c r="X31586" s="9"/>
    </row>
    <row r="31587">
      <c r="D31587" s="9"/>
      <c r="G31587" s="9"/>
      <c r="J31587" s="11"/>
      <c r="U31587" s="9"/>
      <c r="X31587" s="9"/>
    </row>
    <row r="31588">
      <c r="D31588" s="9"/>
      <c r="G31588" s="9"/>
      <c r="J31588" s="11"/>
      <c r="U31588" s="9"/>
      <c r="X31588" s="9"/>
    </row>
    <row r="31589">
      <c r="D31589" s="9"/>
      <c r="G31589" s="9"/>
      <c r="J31589" s="11"/>
      <c r="U31589" s="9"/>
      <c r="X31589" s="9"/>
    </row>
    <row r="31590">
      <c r="D31590" s="9"/>
      <c r="G31590" s="9"/>
      <c r="J31590" s="11"/>
      <c r="U31590" s="9"/>
      <c r="X31590" s="9"/>
    </row>
    <row r="31591">
      <c r="D31591" s="9"/>
      <c r="G31591" s="9"/>
      <c r="J31591" s="11"/>
      <c r="U31591" s="9"/>
      <c r="X31591" s="9"/>
    </row>
    <row r="31592">
      <c r="D31592" s="9"/>
      <c r="G31592" s="9"/>
      <c r="J31592" s="11"/>
      <c r="U31592" s="9"/>
      <c r="X31592" s="9"/>
    </row>
    <row r="31593">
      <c r="D31593" s="9"/>
      <c r="G31593" s="9"/>
      <c r="J31593" s="11"/>
      <c r="U31593" s="9"/>
      <c r="X31593" s="9"/>
    </row>
    <row r="31594">
      <c r="D31594" s="9"/>
      <c r="G31594" s="9"/>
      <c r="J31594" s="11"/>
      <c r="U31594" s="9"/>
      <c r="X31594" s="9"/>
    </row>
    <row r="31595">
      <c r="D31595" s="9"/>
      <c r="G31595" s="9"/>
      <c r="J31595" s="11"/>
      <c r="U31595" s="9"/>
      <c r="X31595" s="9"/>
    </row>
    <row r="31596">
      <c r="D31596" s="9"/>
      <c r="G31596" s="9"/>
      <c r="J31596" s="11"/>
      <c r="U31596" s="9"/>
      <c r="X31596" s="9"/>
    </row>
    <row r="31597">
      <c r="D31597" s="9"/>
      <c r="G31597" s="9"/>
      <c r="J31597" s="11"/>
      <c r="U31597" s="9"/>
      <c r="X31597" s="9"/>
    </row>
    <row r="31598">
      <c r="D31598" s="9"/>
      <c r="G31598" s="9"/>
      <c r="J31598" s="11"/>
      <c r="U31598" s="9"/>
      <c r="X31598" s="9"/>
    </row>
    <row r="31599">
      <c r="D31599" s="9"/>
      <c r="G31599" s="9"/>
      <c r="J31599" s="11"/>
      <c r="U31599" s="9"/>
      <c r="X31599" s="9"/>
    </row>
    <row r="31600">
      <c r="D31600" s="9"/>
      <c r="G31600" s="9"/>
      <c r="J31600" s="11"/>
      <c r="U31600" s="9"/>
      <c r="X31600" s="9"/>
    </row>
    <row r="31601">
      <c r="D31601" s="9"/>
      <c r="G31601" s="9"/>
      <c r="J31601" s="11"/>
      <c r="U31601" s="9"/>
      <c r="X31601" s="9"/>
    </row>
    <row r="31602">
      <c r="D31602" s="9"/>
      <c r="G31602" s="9"/>
      <c r="J31602" s="11"/>
      <c r="U31602" s="9"/>
      <c r="X31602" s="9"/>
    </row>
    <row r="31603">
      <c r="D31603" s="9"/>
      <c r="G31603" s="9"/>
      <c r="J31603" s="11"/>
      <c r="U31603" s="9"/>
      <c r="X31603" s="9"/>
    </row>
    <row r="31604">
      <c r="D31604" s="9"/>
      <c r="G31604" s="9"/>
      <c r="J31604" s="11"/>
      <c r="U31604" s="9"/>
      <c r="X31604" s="9"/>
    </row>
    <row r="31605">
      <c r="D31605" s="9"/>
      <c r="G31605" s="9"/>
      <c r="J31605" s="11"/>
      <c r="U31605" s="9"/>
      <c r="X31605" s="9"/>
    </row>
    <row r="31606">
      <c r="D31606" s="9"/>
      <c r="G31606" s="9"/>
      <c r="J31606" s="11"/>
      <c r="U31606" s="9"/>
      <c r="X31606" s="9"/>
    </row>
    <row r="31607">
      <c r="D31607" s="9"/>
      <c r="G31607" s="9"/>
      <c r="J31607" s="11"/>
      <c r="U31607" s="9"/>
      <c r="X31607" s="9"/>
    </row>
    <row r="31608">
      <c r="D31608" s="9"/>
      <c r="G31608" s="9"/>
      <c r="J31608" s="11"/>
      <c r="U31608" s="9"/>
      <c r="X31608" s="9"/>
    </row>
    <row r="31609">
      <c r="D31609" s="9"/>
      <c r="G31609" s="9"/>
      <c r="J31609" s="11"/>
      <c r="U31609" s="9"/>
      <c r="X31609" s="9"/>
    </row>
    <row r="31610">
      <c r="D31610" s="9"/>
      <c r="G31610" s="9"/>
      <c r="J31610" s="11"/>
      <c r="U31610" s="9"/>
      <c r="X31610" s="9"/>
    </row>
    <row r="31611">
      <c r="D31611" s="9"/>
      <c r="G31611" s="9"/>
      <c r="J31611" s="11"/>
      <c r="U31611" s="9"/>
      <c r="X31611" s="9"/>
    </row>
    <row r="31612">
      <c r="D31612" s="9"/>
      <c r="G31612" s="9"/>
      <c r="J31612" s="11"/>
      <c r="U31612" s="9"/>
      <c r="X31612" s="9"/>
    </row>
    <row r="31613">
      <c r="D31613" s="9"/>
      <c r="G31613" s="9"/>
      <c r="J31613" s="11"/>
      <c r="U31613" s="9"/>
      <c r="X31613" s="9"/>
    </row>
    <row r="31614">
      <c r="D31614" s="9"/>
      <c r="G31614" s="9"/>
      <c r="J31614" s="11"/>
      <c r="U31614" s="9"/>
      <c r="X31614" s="9"/>
    </row>
    <row r="31615">
      <c r="D31615" s="9"/>
      <c r="G31615" s="9"/>
      <c r="J31615" s="11"/>
      <c r="U31615" s="9"/>
      <c r="X31615" s="9"/>
    </row>
    <row r="31616">
      <c r="D31616" s="9"/>
      <c r="G31616" s="9"/>
      <c r="J31616" s="11"/>
      <c r="U31616" s="9"/>
      <c r="X31616" s="9"/>
    </row>
    <row r="31617">
      <c r="D31617" s="9"/>
      <c r="G31617" s="9"/>
      <c r="J31617" s="11"/>
      <c r="U31617" s="9"/>
      <c r="X31617" s="9"/>
    </row>
    <row r="31618">
      <c r="D31618" s="9"/>
      <c r="G31618" s="9"/>
      <c r="J31618" s="11"/>
      <c r="U31618" s="9"/>
      <c r="X31618" s="9"/>
    </row>
    <row r="31619">
      <c r="D31619" s="9"/>
      <c r="G31619" s="9"/>
      <c r="J31619" s="11"/>
      <c r="U31619" s="9"/>
      <c r="X31619" s="9"/>
    </row>
    <row r="31620">
      <c r="D31620" s="9"/>
      <c r="G31620" s="9"/>
      <c r="J31620" s="11"/>
      <c r="U31620" s="9"/>
      <c r="X31620" s="9"/>
    </row>
    <row r="31621">
      <c r="D31621" s="9"/>
      <c r="G31621" s="9"/>
      <c r="J31621" s="11"/>
      <c r="U31621" s="9"/>
      <c r="X31621" s="9"/>
    </row>
    <row r="31622">
      <c r="D31622" s="9"/>
      <c r="G31622" s="9"/>
      <c r="J31622" s="11"/>
      <c r="U31622" s="9"/>
      <c r="X31622" s="9"/>
    </row>
    <row r="31623">
      <c r="D31623" s="9"/>
      <c r="G31623" s="9"/>
      <c r="J31623" s="11"/>
      <c r="U31623" s="9"/>
      <c r="X31623" s="9"/>
    </row>
    <row r="31624">
      <c r="D31624" s="9"/>
      <c r="G31624" s="9"/>
      <c r="J31624" s="11"/>
      <c r="U31624" s="9"/>
      <c r="X31624" s="9"/>
    </row>
    <row r="31625">
      <c r="D31625" s="9"/>
      <c r="G31625" s="9"/>
      <c r="J31625" s="11"/>
      <c r="U31625" s="9"/>
      <c r="X31625" s="9"/>
    </row>
    <row r="31626">
      <c r="D31626" s="9"/>
      <c r="G31626" s="9"/>
      <c r="J31626" s="11"/>
      <c r="U31626" s="9"/>
      <c r="X31626" s="9"/>
    </row>
    <row r="31627">
      <c r="D31627" s="9"/>
      <c r="G31627" s="9"/>
      <c r="J31627" s="11"/>
      <c r="U31627" s="9"/>
      <c r="X31627" s="9"/>
    </row>
    <row r="31628">
      <c r="D31628" s="9"/>
      <c r="G31628" s="9"/>
      <c r="J31628" s="11"/>
      <c r="U31628" s="9"/>
      <c r="X31628" s="9"/>
    </row>
    <row r="31629">
      <c r="D31629" s="9"/>
      <c r="G31629" s="9"/>
      <c r="J31629" s="11"/>
      <c r="U31629" s="9"/>
      <c r="X31629" s="9"/>
    </row>
    <row r="31630">
      <c r="D31630" s="9"/>
      <c r="G31630" s="9"/>
      <c r="J31630" s="11"/>
      <c r="U31630" s="9"/>
      <c r="X31630" s="9"/>
    </row>
    <row r="31631">
      <c r="D31631" s="9"/>
      <c r="G31631" s="9"/>
      <c r="J31631" s="11"/>
      <c r="U31631" s="9"/>
      <c r="X31631" s="9"/>
    </row>
    <row r="31632">
      <c r="D31632" s="9"/>
      <c r="G31632" s="9"/>
      <c r="J31632" s="11"/>
      <c r="U31632" s="9"/>
      <c r="X31632" s="9"/>
    </row>
    <row r="31633">
      <c r="D31633" s="9"/>
      <c r="G31633" s="9"/>
      <c r="J31633" s="11"/>
      <c r="U31633" s="9"/>
      <c r="X31633" s="9"/>
    </row>
    <row r="31634">
      <c r="D31634" s="9"/>
      <c r="G31634" s="9"/>
      <c r="J31634" s="11"/>
      <c r="U31634" s="9"/>
      <c r="X31634" s="9"/>
    </row>
    <row r="31635">
      <c r="D31635" s="9"/>
      <c r="G31635" s="9"/>
      <c r="J31635" s="11"/>
      <c r="U31635" s="9"/>
      <c r="X31635" s="9"/>
    </row>
    <row r="31636">
      <c r="D31636" s="9"/>
      <c r="G31636" s="9"/>
      <c r="J31636" s="11"/>
      <c r="U31636" s="9"/>
      <c r="X31636" s="9"/>
    </row>
    <row r="31637">
      <c r="D31637" s="9"/>
      <c r="G31637" s="9"/>
      <c r="J31637" s="11"/>
      <c r="U31637" s="9"/>
      <c r="X31637" s="9"/>
    </row>
    <row r="31638">
      <c r="D31638" s="9"/>
      <c r="G31638" s="9"/>
      <c r="J31638" s="11"/>
      <c r="U31638" s="9"/>
      <c r="X31638" s="9"/>
    </row>
    <row r="31639">
      <c r="D31639" s="9"/>
      <c r="G31639" s="9"/>
      <c r="J31639" s="11"/>
      <c r="U31639" s="9"/>
      <c r="X31639" s="9"/>
    </row>
    <row r="31640">
      <c r="D31640" s="9"/>
      <c r="G31640" s="9"/>
      <c r="J31640" s="11"/>
      <c r="U31640" s="9"/>
      <c r="X31640" s="9"/>
    </row>
    <row r="31641">
      <c r="D31641" s="9"/>
      <c r="G31641" s="9"/>
      <c r="J31641" s="11"/>
      <c r="U31641" s="9"/>
      <c r="X31641" s="9"/>
    </row>
    <row r="31642">
      <c r="D31642" s="9"/>
      <c r="G31642" s="9"/>
      <c r="J31642" s="11"/>
      <c r="U31642" s="9"/>
      <c r="X31642" s="9"/>
    </row>
    <row r="31643">
      <c r="D31643" s="9"/>
      <c r="G31643" s="9"/>
      <c r="J31643" s="11"/>
      <c r="U31643" s="9"/>
      <c r="X31643" s="9"/>
    </row>
    <row r="31644">
      <c r="D31644" s="9"/>
      <c r="G31644" s="9"/>
      <c r="J31644" s="11"/>
      <c r="U31644" s="9"/>
      <c r="X31644" s="9"/>
    </row>
    <row r="31645">
      <c r="D31645" s="9"/>
      <c r="G31645" s="9"/>
      <c r="J31645" s="11"/>
      <c r="U31645" s="9"/>
      <c r="X31645" s="9"/>
    </row>
    <row r="31646">
      <c r="D31646" s="9"/>
      <c r="G31646" s="9"/>
      <c r="J31646" s="11"/>
      <c r="U31646" s="9"/>
      <c r="X31646" s="9"/>
    </row>
    <row r="31647">
      <c r="D31647" s="9"/>
      <c r="G31647" s="9"/>
      <c r="J31647" s="11"/>
      <c r="U31647" s="9"/>
      <c r="X31647" s="9"/>
    </row>
    <row r="31648">
      <c r="D31648" s="9"/>
      <c r="G31648" s="9"/>
      <c r="J31648" s="11"/>
      <c r="U31648" s="9"/>
      <c r="X31648" s="9"/>
    </row>
    <row r="31649">
      <c r="D31649" s="9"/>
      <c r="G31649" s="9"/>
      <c r="J31649" s="11"/>
      <c r="U31649" s="9"/>
      <c r="X31649" s="9"/>
    </row>
    <row r="31650">
      <c r="D31650" s="9"/>
      <c r="G31650" s="9"/>
      <c r="J31650" s="11"/>
      <c r="U31650" s="9"/>
      <c r="X31650" s="9"/>
    </row>
    <row r="31651">
      <c r="D31651" s="9"/>
      <c r="G31651" s="9"/>
      <c r="J31651" s="11"/>
      <c r="U31651" s="9"/>
      <c r="X31651" s="9"/>
    </row>
    <row r="31652">
      <c r="D31652" s="9"/>
      <c r="G31652" s="9"/>
      <c r="J31652" s="11"/>
      <c r="U31652" s="9"/>
      <c r="X31652" s="9"/>
    </row>
    <row r="31653">
      <c r="D31653" s="9"/>
      <c r="G31653" s="9"/>
      <c r="J31653" s="11"/>
      <c r="U31653" s="9"/>
      <c r="X31653" s="9"/>
    </row>
    <row r="31654">
      <c r="D31654" s="9"/>
      <c r="G31654" s="9"/>
      <c r="J31654" s="11"/>
      <c r="U31654" s="9"/>
      <c r="X31654" s="9"/>
    </row>
    <row r="31655">
      <c r="D31655" s="9"/>
      <c r="G31655" s="9"/>
      <c r="J31655" s="11"/>
      <c r="U31655" s="9"/>
      <c r="X31655" s="9"/>
    </row>
    <row r="31656">
      <c r="D31656" s="9"/>
      <c r="G31656" s="9"/>
      <c r="J31656" s="11"/>
      <c r="U31656" s="9"/>
      <c r="X31656" s="9"/>
    </row>
    <row r="31657">
      <c r="D31657" s="9"/>
      <c r="G31657" s="9"/>
      <c r="J31657" s="11"/>
      <c r="U31657" s="9"/>
      <c r="X31657" s="9"/>
    </row>
    <row r="31658">
      <c r="D31658" s="9"/>
      <c r="G31658" s="9"/>
      <c r="J31658" s="11"/>
      <c r="U31658" s="9"/>
      <c r="X31658" s="9"/>
    </row>
    <row r="31659">
      <c r="D31659" s="9"/>
      <c r="G31659" s="9"/>
      <c r="J31659" s="11"/>
      <c r="U31659" s="9"/>
      <c r="X31659" s="9"/>
    </row>
    <row r="31660">
      <c r="D31660" s="9"/>
      <c r="G31660" s="9"/>
      <c r="J31660" s="11"/>
      <c r="U31660" s="9"/>
      <c r="X31660" s="9"/>
    </row>
    <row r="31661">
      <c r="D31661" s="9"/>
      <c r="G31661" s="9"/>
      <c r="J31661" s="11"/>
      <c r="U31661" s="9"/>
      <c r="X31661" s="9"/>
    </row>
    <row r="31662">
      <c r="D31662" s="9"/>
      <c r="G31662" s="9"/>
      <c r="J31662" s="11"/>
      <c r="U31662" s="9"/>
      <c r="X31662" s="9"/>
    </row>
    <row r="31663">
      <c r="D31663" s="9"/>
      <c r="G31663" s="9"/>
      <c r="J31663" s="11"/>
      <c r="U31663" s="9"/>
      <c r="X31663" s="9"/>
    </row>
    <row r="31664">
      <c r="D31664" s="9"/>
      <c r="G31664" s="9"/>
      <c r="J31664" s="11"/>
      <c r="U31664" s="9"/>
      <c r="X31664" s="9"/>
    </row>
    <row r="31665">
      <c r="D31665" s="9"/>
      <c r="G31665" s="9"/>
      <c r="J31665" s="11"/>
      <c r="U31665" s="9"/>
      <c r="X31665" s="9"/>
    </row>
    <row r="31666">
      <c r="D31666" s="9"/>
      <c r="G31666" s="9"/>
      <c r="J31666" s="11"/>
      <c r="U31666" s="9"/>
      <c r="X31666" s="9"/>
    </row>
    <row r="31667">
      <c r="D31667" s="9"/>
      <c r="G31667" s="9"/>
      <c r="J31667" s="11"/>
      <c r="U31667" s="9"/>
      <c r="X31667" s="9"/>
    </row>
    <row r="31668">
      <c r="D31668" s="9"/>
      <c r="G31668" s="9"/>
      <c r="J31668" s="11"/>
      <c r="U31668" s="9"/>
      <c r="X31668" s="9"/>
    </row>
    <row r="31669">
      <c r="D31669" s="9"/>
      <c r="G31669" s="9"/>
      <c r="J31669" s="11"/>
      <c r="U31669" s="9"/>
      <c r="X31669" s="9"/>
    </row>
    <row r="31670">
      <c r="D31670" s="9"/>
      <c r="G31670" s="9"/>
      <c r="J31670" s="11"/>
      <c r="U31670" s="9"/>
      <c r="X31670" s="9"/>
    </row>
    <row r="31671">
      <c r="D31671" s="9"/>
      <c r="G31671" s="9"/>
      <c r="J31671" s="11"/>
      <c r="U31671" s="9"/>
      <c r="X31671" s="9"/>
    </row>
    <row r="31672">
      <c r="D31672" s="9"/>
      <c r="G31672" s="9"/>
      <c r="J31672" s="11"/>
      <c r="U31672" s="9"/>
      <c r="X31672" s="9"/>
    </row>
    <row r="31673">
      <c r="D31673" s="9"/>
      <c r="G31673" s="9"/>
      <c r="J31673" s="11"/>
      <c r="U31673" s="9"/>
      <c r="X31673" s="9"/>
    </row>
    <row r="31674">
      <c r="D31674" s="9"/>
      <c r="G31674" s="9"/>
      <c r="J31674" s="11"/>
      <c r="U31674" s="9"/>
      <c r="X31674" s="9"/>
    </row>
    <row r="31675">
      <c r="D31675" s="9"/>
      <c r="G31675" s="9"/>
      <c r="J31675" s="11"/>
      <c r="U31675" s="9"/>
      <c r="X31675" s="9"/>
    </row>
    <row r="31676">
      <c r="D31676" s="9"/>
      <c r="G31676" s="9"/>
      <c r="J31676" s="11"/>
      <c r="U31676" s="9"/>
      <c r="X31676" s="9"/>
    </row>
    <row r="31677">
      <c r="D31677" s="9"/>
      <c r="G31677" s="9"/>
      <c r="J31677" s="11"/>
      <c r="U31677" s="9"/>
      <c r="X31677" s="9"/>
    </row>
    <row r="31678">
      <c r="D31678" s="9"/>
      <c r="G31678" s="9"/>
      <c r="J31678" s="11"/>
      <c r="U31678" s="9"/>
      <c r="X31678" s="9"/>
    </row>
    <row r="31679">
      <c r="D31679" s="9"/>
      <c r="G31679" s="9"/>
      <c r="J31679" s="11"/>
      <c r="U31679" s="9"/>
      <c r="X31679" s="9"/>
    </row>
    <row r="31680">
      <c r="D31680" s="9"/>
      <c r="G31680" s="9"/>
      <c r="J31680" s="11"/>
      <c r="U31680" s="9"/>
      <c r="X31680" s="9"/>
    </row>
    <row r="31681">
      <c r="D31681" s="9"/>
      <c r="G31681" s="9"/>
      <c r="J31681" s="11"/>
      <c r="U31681" s="9"/>
      <c r="X31681" s="9"/>
    </row>
    <row r="31682">
      <c r="D31682" s="9"/>
      <c r="G31682" s="9"/>
      <c r="J31682" s="11"/>
      <c r="U31682" s="9"/>
      <c r="X31682" s="9"/>
    </row>
    <row r="31683">
      <c r="D31683" s="9"/>
      <c r="G31683" s="9"/>
      <c r="J31683" s="11"/>
      <c r="U31683" s="9"/>
      <c r="X31683" s="9"/>
    </row>
    <row r="31684">
      <c r="D31684" s="9"/>
      <c r="G31684" s="9"/>
      <c r="J31684" s="11"/>
      <c r="U31684" s="9"/>
      <c r="X31684" s="9"/>
    </row>
    <row r="31685">
      <c r="D31685" s="9"/>
      <c r="G31685" s="9"/>
      <c r="J31685" s="11"/>
      <c r="U31685" s="9"/>
      <c r="X31685" s="9"/>
    </row>
    <row r="31686">
      <c r="D31686" s="9"/>
      <c r="G31686" s="9"/>
      <c r="J31686" s="11"/>
      <c r="U31686" s="9"/>
      <c r="X31686" s="9"/>
    </row>
    <row r="31687">
      <c r="D31687" s="9"/>
      <c r="G31687" s="9"/>
      <c r="J31687" s="11"/>
      <c r="U31687" s="9"/>
      <c r="X31687" s="9"/>
    </row>
    <row r="31688">
      <c r="D31688" s="9"/>
      <c r="G31688" s="9"/>
      <c r="J31688" s="11"/>
      <c r="U31688" s="9"/>
      <c r="X31688" s="9"/>
    </row>
    <row r="31689">
      <c r="D31689" s="9"/>
      <c r="G31689" s="9"/>
      <c r="J31689" s="11"/>
      <c r="U31689" s="9"/>
      <c r="X31689" s="9"/>
    </row>
    <row r="31690">
      <c r="D31690" s="9"/>
      <c r="G31690" s="9"/>
      <c r="J31690" s="11"/>
      <c r="U31690" s="9"/>
      <c r="X31690" s="9"/>
    </row>
    <row r="31691">
      <c r="D31691" s="9"/>
      <c r="G31691" s="9"/>
      <c r="J31691" s="11"/>
      <c r="U31691" s="9"/>
      <c r="X31691" s="9"/>
    </row>
    <row r="31692">
      <c r="D31692" s="9"/>
      <c r="G31692" s="9"/>
      <c r="J31692" s="11"/>
      <c r="U31692" s="9"/>
      <c r="X31692" s="9"/>
    </row>
    <row r="31693">
      <c r="D31693" s="9"/>
      <c r="G31693" s="9"/>
      <c r="J31693" s="11"/>
      <c r="U31693" s="9"/>
      <c r="X31693" s="9"/>
    </row>
    <row r="31694">
      <c r="D31694" s="9"/>
      <c r="G31694" s="9"/>
      <c r="J31694" s="11"/>
      <c r="U31694" s="9"/>
      <c r="X31694" s="9"/>
    </row>
    <row r="31695">
      <c r="D31695" s="9"/>
      <c r="G31695" s="9"/>
      <c r="J31695" s="11"/>
      <c r="U31695" s="9"/>
      <c r="X31695" s="9"/>
    </row>
    <row r="31696">
      <c r="D31696" s="9"/>
      <c r="G31696" s="9"/>
      <c r="J31696" s="11"/>
      <c r="U31696" s="9"/>
      <c r="X31696" s="9"/>
    </row>
    <row r="31697">
      <c r="D31697" s="9"/>
      <c r="G31697" s="9"/>
      <c r="J31697" s="11"/>
      <c r="U31697" s="9"/>
      <c r="X31697" s="9"/>
    </row>
    <row r="31698">
      <c r="D31698" s="9"/>
      <c r="G31698" s="9"/>
      <c r="J31698" s="11"/>
      <c r="U31698" s="9"/>
      <c r="X31698" s="9"/>
    </row>
    <row r="31699">
      <c r="D31699" s="9"/>
      <c r="G31699" s="9"/>
      <c r="J31699" s="11"/>
      <c r="U31699" s="9"/>
      <c r="X31699" s="9"/>
    </row>
    <row r="31700">
      <c r="D31700" s="9"/>
      <c r="G31700" s="9"/>
      <c r="J31700" s="11"/>
      <c r="U31700" s="9"/>
      <c r="X31700" s="9"/>
    </row>
    <row r="31701">
      <c r="D31701" s="9"/>
      <c r="G31701" s="9"/>
      <c r="J31701" s="11"/>
      <c r="U31701" s="9"/>
      <c r="X31701" s="9"/>
    </row>
    <row r="31702">
      <c r="D31702" s="9"/>
      <c r="G31702" s="9"/>
      <c r="J31702" s="11"/>
      <c r="U31702" s="9"/>
      <c r="X31702" s="9"/>
    </row>
    <row r="31703">
      <c r="D31703" s="9"/>
      <c r="G31703" s="9"/>
      <c r="J31703" s="11"/>
      <c r="U31703" s="9"/>
      <c r="X31703" s="9"/>
    </row>
    <row r="31704">
      <c r="D31704" s="9"/>
      <c r="G31704" s="9"/>
      <c r="J31704" s="11"/>
      <c r="U31704" s="9"/>
      <c r="X31704" s="9"/>
    </row>
    <row r="31705">
      <c r="D31705" s="9"/>
      <c r="G31705" s="9"/>
      <c r="J31705" s="11"/>
      <c r="U31705" s="9"/>
      <c r="X31705" s="9"/>
    </row>
    <row r="31706">
      <c r="D31706" s="9"/>
      <c r="G31706" s="9"/>
      <c r="J31706" s="11"/>
      <c r="U31706" s="9"/>
      <c r="X31706" s="9"/>
    </row>
    <row r="31707">
      <c r="D31707" s="9"/>
      <c r="G31707" s="9"/>
      <c r="J31707" s="11"/>
      <c r="U31707" s="9"/>
      <c r="X31707" s="9"/>
    </row>
    <row r="31708">
      <c r="D31708" s="9"/>
      <c r="G31708" s="9"/>
      <c r="J31708" s="11"/>
      <c r="U31708" s="9"/>
      <c r="X31708" s="9"/>
    </row>
    <row r="31709">
      <c r="D31709" s="9"/>
      <c r="G31709" s="9"/>
      <c r="J31709" s="11"/>
      <c r="U31709" s="9"/>
      <c r="X31709" s="9"/>
    </row>
    <row r="31710">
      <c r="D31710" s="9"/>
      <c r="G31710" s="9"/>
      <c r="J31710" s="11"/>
      <c r="U31710" s="9"/>
      <c r="X31710" s="9"/>
    </row>
    <row r="31711">
      <c r="D31711" s="9"/>
      <c r="G31711" s="9"/>
      <c r="J31711" s="11"/>
      <c r="U31711" s="9"/>
      <c r="X31711" s="9"/>
    </row>
    <row r="31712">
      <c r="D31712" s="9"/>
      <c r="G31712" s="9"/>
      <c r="J31712" s="11"/>
      <c r="U31712" s="9"/>
      <c r="X31712" s="9"/>
    </row>
    <row r="31713">
      <c r="D31713" s="9"/>
      <c r="G31713" s="9"/>
      <c r="J31713" s="11"/>
      <c r="U31713" s="9"/>
      <c r="X31713" s="9"/>
    </row>
    <row r="31714">
      <c r="D31714" s="9"/>
      <c r="G31714" s="9"/>
      <c r="J31714" s="11"/>
      <c r="U31714" s="9"/>
      <c r="X31714" s="9"/>
    </row>
    <row r="31715">
      <c r="D31715" s="9"/>
      <c r="G31715" s="9"/>
      <c r="J31715" s="11"/>
      <c r="U31715" s="9"/>
      <c r="X31715" s="9"/>
    </row>
    <row r="31716">
      <c r="D31716" s="9"/>
      <c r="G31716" s="9"/>
      <c r="J31716" s="11"/>
      <c r="U31716" s="9"/>
      <c r="X31716" s="9"/>
    </row>
    <row r="31717">
      <c r="D31717" s="9"/>
      <c r="G31717" s="9"/>
      <c r="J31717" s="11"/>
      <c r="U31717" s="9"/>
      <c r="X31717" s="9"/>
    </row>
    <row r="31718">
      <c r="D31718" s="9"/>
      <c r="G31718" s="9"/>
      <c r="J31718" s="11"/>
      <c r="U31718" s="9"/>
      <c r="X31718" s="9"/>
    </row>
    <row r="31719">
      <c r="D31719" s="9"/>
      <c r="G31719" s="9"/>
      <c r="J31719" s="11"/>
      <c r="U31719" s="9"/>
      <c r="X31719" s="9"/>
    </row>
    <row r="31720">
      <c r="D31720" s="9"/>
      <c r="G31720" s="9"/>
      <c r="J31720" s="11"/>
      <c r="U31720" s="9"/>
      <c r="X31720" s="9"/>
    </row>
    <row r="31721">
      <c r="D31721" s="9"/>
      <c r="G31721" s="9"/>
      <c r="J31721" s="11"/>
      <c r="U31721" s="9"/>
      <c r="X31721" s="9"/>
    </row>
    <row r="31722">
      <c r="D31722" s="9"/>
      <c r="G31722" s="9"/>
      <c r="J31722" s="11"/>
      <c r="U31722" s="9"/>
      <c r="X31722" s="9"/>
    </row>
    <row r="31723">
      <c r="D31723" s="9"/>
      <c r="G31723" s="9"/>
      <c r="J31723" s="11"/>
      <c r="U31723" s="9"/>
      <c r="X31723" s="9"/>
    </row>
    <row r="31724">
      <c r="D31724" s="9"/>
      <c r="G31724" s="9"/>
      <c r="J31724" s="11"/>
      <c r="U31724" s="9"/>
      <c r="X31724" s="9"/>
    </row>
    <row r="31725">
      <c r="D31725" s="9"/>
      <c r="G31725" s="9"/>
      <c r="J31725" s="11"/>
      <c r="U31725" s="9"/>
      <c r="X31725" s="9"/>
    </row>
    <row r="31726">
      <c r="D31726" s="9"/>
      <c r="G31726" s="9"/>
      <c r="J31726" s="11"/>
      <c r="U31726" s="9"/>
      <c r="X31726" s="9"/>
    </row>
    <row r="31727">
      <c r="D31727" s="9"/>
      <c r="G31727" s="9"/>
      <c r="J31727" s="11"/>
      <c r="U31727" s="9"/>
      <c r="X31727" s="9"/>
    </row>
    <row r="31728">
      <c r="D31728" s="9"/>
      <c r="G31728" s="9"/>
      <c r="J31728" s="11"/>
      <c r="U31728" s="9"/>
      <c r="X31728" s="9"/>
    </row>
    <row r="31729">
      <c r="D31729" s="9"/>
      <c r="G31729" s="9"/>
      <c r="J31729" s="11"/>
      <c r="U31729" s="9"/>
      <c r="X31729" s="9"/>
    </row>
    <row r="31730">
      <c r="D31730" s="9"/>
      <c r="G31730" s="9"/>
      <c r="J31730" s="11"/>
      <c r="U31730" s="9"/>
      <c r="X31730" s="9"/>
    </row>
    <row r="31731">
      <c r="D31731" s="9"/>
      <c r="G31731" s="9"/>
      <c r="J31731" s="11"/>
      <c r="U31731" s="9"/>
      <c r="X31731" s="9"/>
    </row>
    <row r="31732">
      <c r="D31732" s="9"/>
      <c r="G31732" s="9"/>
      <c r="J31732" s="11"/>
      <c r="U31732" s="9"/>
      <c r="X31732" s="9"/>
    </row>
    <row r="31733">
      <c r="D31733" s="9"/>
      <c r="G31733" s="9"/>
      <c r="J31733" s="11"/>
      <c r="U31733" s="9"/>
      <c r="X31733" s="9"/>
    </row>
    <row r="31734">
      <c r="D31734" s="9"/>
      <c r="G31734" s="9"/>
      <c r="J31734" s="11"/>
      <c r="U31734" s="9"/>
      <c r="X31734" s="9"/>
    </row>
    <row r="31735">
      <c r="D31735" s="9"/>
      <c r="G31735" s="9"/>
      <c r="J31735" s="11"/>
      <c r="U31735" s="9"/>
      <c r="X31735" s="9"/>
    </row>
    <row r="31736">
      <c r="D31736" s="9"/>
      <c r="G31736" s="9"/>
      <c r="J31736" s="11"/>
      <c r="U31736" s="9"/>
      <c r="X31736" s="9"/>
    </row>
    <row r="31737">
      <c r="D31737" s="9"/>
      <c r="G31737" s="9"/>
      <c r="J31737" s="11"/>
      <c r="U31737" s="9"/>
      <c r="X31737" s="9"/>
    </row>
    <row r="31738">
      <c r="D31738" s="9"/>
      <c r="G31738" s="9"/>
      <c r="J31738" s="11"/>
      <c r="U31738" s="9"/>
      <c r="X31738" s="9"/>
    </row>
    <row r="31739">
      <c r="D31739" s="9"/>
      <c r="G31739" s="9"/>
      <c r="J31739" s="11"/>
      <c r="U31739" s="9"/>
      <c r="X31739" s="9"/>
    </row>
    <row r="31740">
      <c r="D31740" s="9"/>
      <c r="G31740" s="9"/>
      <c r="J31740" s="11"/>
      <c r="U31740" s="9"/>
      <c r="X31740" s="9"/>
    </row>
    <row r="31741">
      <c r="D31741" s="9"/>
      <c r="G31741" s="9"/>
      <c r="J31741" s="11"/>
      <c r="U31741" s="9"/>
      <c r="X31741" s="9"/>
    </row>
    <row r="31742">
      <c r="D31742" s="9"/>
      <c r="G31742" s="9"/>
      <c r="J31742" s="11"/>
      <c r="U31742" s="9"/>
      <c r="X31742" s="9"/>
    </row>
    <row r="31743">
      <c r="D31743" s="9"/>
      <c r="G31743" s="9"/>
      <c r="J31743" s="11"/>
      <c r="U31743" s="9"/>
      <c r="X31743" s="9"/>
    </row>
    <row r="31744">
      <c r="D31744" s="9"/>
      <c r="G31744" s="9"/>
      <c r="J31744" s="11"/>
      <c r="U31744" s="9"/>
      <c r="X31744" s="9"/>
    </row>
    <row r="31745">
      <c r="D31745" s="9"/>
      <c r="G31745" s="9"/>
      <c r="J31745" s="11"/>
      <c r="U31745" s="9"/>
      <c r="X31745" s="9"/>
    </row>
    <row r="31746">
      <c r="D31746" s="9"/>
      <c r="G31746" s="9"/>
      <c r="J31746" s="11"/>
      <c r="U31746" s="9"/>
      <c r="X31746" s="9"/>
    </row>
    <row r="31747">
      <c r="D31747" s="9"/>
      <c r="G31747" s="9"/>
      <c r="J31747" s="11"/>
      <c r="U31747" s="9"/>
      <c r="X31747" s="9"/>
    </row>
    <row r="31748">
      <c r="D31748" s="9"/>
      <c r="G31748" s="9"/>
      <c r="J31748" s="11"/>
      <c r="U31748" s="9"/>
      <c r="X31748" s="9"/>
    </row>
    <row r="31749">
      <c r="D31749" s="9"/>
      <c r="G31749" s="9"/>
      <c r="J31749" s="11"/>
      <c r="U31749" s="9"/>
      <c r="X31749" s="9"/>
    </row>
    <row r="31750">
      <c r="D31750" s="9"/>
      <c r="G31750" s="9"/>
      <c r="J31750" s="11"/>
      <c r="U31750" s="9"/>
      <c r="X31750" s="9"/>
    </row>
    <row r="31751">
      <c r="D31751" s="9"/>
      <c r="G31751" s="9"/>
      <c r="J31751" s="11"/>
      <c r="U31751" s="9"/>
      <c r="X31751" s="9"/>
    </row>
    <row r="31752">
      <c r="D31752" s="9"/>
      <c r="G31752" s="9"/>
      <c r="J31752" s="11"/>
      <c r="U31752" s="9"/>
      <c r="X31752" s="9"/>
    </row>
    <row r="31753">
      <c r="D31753" s="9"/>
      <c r="G31753" s="9"/>
      <c r="J31753" s="11"/>
      <c r="U31753" s="9"/>
      <c r="X31753" s="9"/>
    </row>
    <row r="31754">
      <c r="D31754" s="9"/>
      <c r="G31754" s="9"/>
      <c r="J31754" s="11"/>
      <c r="U31754" s="9"/>
      <c r="X31754" s="9"/>
    </row>
    <row r="31755">
      <c r="D31755" s="9"/>
      <c r="G31755" s="9"/>
      <c r="J31755" s="11"/>
      <c r="U31755" s="9"/>
      <c r="X31755" s="9"/>
    </row>
    <row r="31756">
      <c r="D31756" s="9"/>
      <c r="G31756" s="9"/>
      <c r="J31756" s="11"/>
      <c r="U31756" s="9"/>
      <c r="X31756" s="9"/>
    </row>
    <row r="31757">
      <c r="D31757" s="9"/>
      <c r="G31757" s="9"/>
      <c r="J31757" s="11"/>
      <c r="U31757" s="9"/>
      <c r="X31757" s="9"/>
    </row>
    <row r="31758">
      <c r="D31758" s="9"/>
      <c r="G31758" s="9"/>
      <c r="J31758" s="11"/>
      <c r="U31758" s="9"/>
      <c r="X31758" s="9"/>
    </row>
    <row r="31759">
      <c r="D31759" s="9"/>
      <c r="G31759" s="9"/>
      <c r="J31759" s="11"/>
      <c r="U31759" s="9"/>
      <c r="X31759" s="9"/>
    </row>
    <row r="31760">
      <c r="D31760" s="9"/>
      <c r="G31760" s="9"/>
      <c r="J31760" s="11"/>
      <c r="U31760" s="9"/>
      <c r="X31760" s="9"/>
    </row>
    <row r="31761">
      <c r="D31761" s="9"/>
      <c r="G31761" s="9"/>
      <c r="J31761" s="11"/>
      <c r="U31761" s="9"/>
      <c r="X31761" s="9"/>
    </row>
    <row r="31762">
      <c r="D31762" s="9"/>
      <c r="G31762" s="9"/>
      <c r="J31762" s="11"/>
      <c r="U31762" s="9"/>
      <c r="X31762" s="9"/>
    </row>
    <row r="31763">
      <c r="D31763" s="9"/>
      <c r="G31763" s="9"/>
      <c r="J31763" s="11"/>
      <c r="U31763" s="9"/>
      <c r="X31763" s="9"/>
    </row>
    <row r="31764">
      <c r="D31764" s="9"/>
      <c r="G31764" s="9"/>
      <c r="J31764" s="11"/>
      <c r="U31764" s="9"/>
      <c r="X31764" s="9"/>
    </row>
    <row r="31765">
      <c r="D31765" s="9"/>
      <c r="G31765" s="9"/>
      <c r="J31765" s="11"/>
      <c r="U31765" s="9"/>
      <c r="X31765" s="9"/>
    </row>
    <row r="31766">
      <c r="D31766" s="9"/>
      <c r="G31766" s="9"/>
      <c r="J31766" s="11"/>
      <c r="U31766" s="9"/>
      <c r="X31766" s="9"/>
    </row>
    <row r="31767">
      <c r="D31767" s="9"/>
      <c r="G31767" s="9"/>
      <c r="J31767" s="11"/>
      <c r="U31767" s="9"/>
      <c r="X31767" s="9"/>
    </row>
    <row r="31768">
      <c r="D31768" s="9"/>
      <c r="G31768" s="9"/>
      <c r="J31768" s="11"/>
      <c r="U31768" s="9"/>
      <c r="X31768" s="9"/>
    </row>
    <row r="31769">
      <c r="D31769" s="9"/>
      <c r="G31769" s="9"/>
      <c r="J31769" s="11"/>
      <c r="U31769" s="9"/>
      <c r="X31769" s="9"/>
    </row>
    <row r="31770">
      <c r="D31770" s="9"/>
      <c r="G31770" s="9"/>
      <c r="J31770" s="11"/>
      <c r="U31770" s="9"/>
      <c r="X31770" s="9"/>
    </row>
    <row r="31771">
      <c r="D31771" s="9"/>
      <c r="G31771" s="9"/>
      <c r="J31771" s="11"/>
      <c r="U31771" s="9"/>
      <c r="X31771" s="9"/>
    </row>
    <row r="31772">
      <c r="D31772" s="9"/>
      <c r="G31772" s="9"/>
      <c r="J31772" s="11"/>
      <c r="U31772" s="9"/>
      <c r="X31772" s="9"/>
    </row>
    <row r="31773">
      <c r="D31773" s="9"/>
      <c r="G31773" s="9"/>
      <c r="J31773" s="11"/>
      <c r="U31773" s="9"/>
      <c r="X31773" s="9"/>
    </row>
    <row r="31774">
      <c r="D31774" s="9"/>
      <c r="G31774" s="9"/>
      <c r="J31774" s="11"/>
      <c r="U31774" s="9"/>
      <c r="X31774" s="9"/>
    </row>
    <row r="31775">
      <c r="D31775" s="9"/>
      <c r="G31775" s="9"/>
      <c r="J31775" s="11"/>
      <c r="U31775" s="9"/>
      <c r="X31775" s="9"/>
    </row>
    <row r="31776">
      <c r="D31776" s="9"/>
      <c r="G31776" s="9"/>
      <c r="J31776" s="11"/>
      <c r="U31776" s="9"/>
      <c r="X31776" s="9"/>
    </row>
    <row r="31777">
      <c r="D31777" s="9"/>
      <c r="G31777" s="9"/>
      <c r="J31777" s="11"/>
      <c r="U31777" s="9"/>
      <c r="X31777" s="9"/>
    </row>
    <row r="31778">
      <c r="D31778" s="9"/>
      <c r="G31778" s="9"/>
      <c r="J31778" s="11"/>
      <c r="U31778" s="9"/>
      <c r="X31778" s="9"/>
    </row>
    <row r="31779">
      <c r="D31779" s="9"/>
      <c r="G31779" s="9"/>
      <c r="J31779" s="11"/>
      <c r="U31779" s="9"/>
      <c r="X31779" s="9"/>
    </row>
    <row r="31780">
      <c r="D31780" s="9"/>
      <c r="G31780" s="9"/>
      <c r="J31780" s="11"/>
      <c r="U31780" s="9"/>
      <c r="X31780" s="9"/>
    </row>
    <row r="31781">
      <c r="D31781" s="9"/>
      <c r="G31781" s="9"/>
      <c r="J31781" s="11"/>
      <c r="U31781" s="9"/>
      <c r="X31781" s="9"/>
    </row>
    <row r="31782">
      <c r="D31782" s="9"/>
      <c r="G31782" s="9"/>
      <c r="J31782" s="11"/>
      <c r="U31782" s="9"/>
      <c r="X31782" s="9"/>
    </row>
    <row r="31783">
      <c r="D31783" s="9"/>
      <c r="G31783" s="9"/>
      <c r="J31783" s="11"/>
      <c r="U31783" s="9"/>
      <c r="X31783" s="9"/>
    </row>
    <row r="31784">
      <c r="D31784" s="9"/>
      <c r="G31784" s="9"/>
      <c r="J31784" s="11"/>
      <c r="U31784" s="9"/>
      <c r="X31784" s="9"/>
    </row>
    <row r="31785">
      <c r="D31785" s="9"/>
      <c r="G31785" s="9"/>
      <c r="J31785" s="11"/>
      <c r="U31785" s="9"/>
      <c r="X31785" s="9"/>
    </row>
    <row r="31786">
      <c r="D31786" s="9"/>
      <c r="G31786" s="9"/>
      <c r="J31786" s="11"/>
      <c r="U31786" s="9"/>
      <c r="X31786" s="9"/>
    </row>
    <row r="31787">
      <c r="D31787" s="9"/>
      <c r="G31787" s="9"/>
      <c r="J31787" s="11"/>
      <c r="U31787" s="9"/>
      <c r="X31787" s="9"/>
    </row>
    <row r="31788">
      <c r="D31788" s="9"/>
      <c r="G31788" s="9"/>
      <c r="J31788" s="11"/>
      <c r="U31788" s="9"/>
      <c r="X31788" s="9"/>
    </row>
    <row r="31789">
      <c r="D31789" s="9"/>
      <c r="G31789" s="9"/>
      <c r="J31789" s="11"/>
      <c r="U31789" s="9"/>
      <c r="X31789" s="9"/>
    </row>
    <row r="31790">
      <c r="D31790" s="9"/>
      <c r="G31790" s="9"/>
      <c r="J31790" s="11"/>
      <c r="U31790" s="9"/>
      <c r="X31790" s="9"/>
    </row>
    <row r="31791">
      <c r="D31791" s="9"/>
      <c r="G31791" s="9"/>
      <c r="J31791" s="11"/>
      <c r="U31791" s="9"/>
      <c r="X31791" s="9"/>
    </row>
    <row r="31792">
      <c r="D31792" s="9"/>
      <c r="G31792" s="9"/>
      <c r="J31792" s="11"/>
      <c r="U31792" s="9"/>
      <c r="X31792" s="9"/>
    </row>
    <row r="31793">
      <c r="D31793" s="9"/>
      <c r="G31793" s="9"/>
      <c r="J31793" s="11"/>
      <c r="U31793" s="9"/>
      <c r="X31793" s="9"/>
    </row>
    <row r="31794">
      <c r="D31794" s="9"/>
      <c r="G31794" s="9"/>
      <c r="J31794" s="11"/>
      <c r="U31794" s="9"/>
      <c r="X31794" s="9"/>
    </row>
    <row r="31795">
      <c r="D31795" s="9"/>
      <c r="G31795" s="9"/>
      <c r="J31795" s="11"/>
      <c r="U31795" s="9"/>
      <c r="X31795" s="9"/>
    </row>
    <row r="31796">
      <c r="D31796" s="9"/>
      <c r="G31796" s="9"/>
      <c r="J31796" s="11"/>
      <c r="U31796" s="9"/>
      <c r="X31796" s="9"/>
    </row>
    <row r="31797">
      <c r="D31797" s="9"/>
      <c r="G31797" s="9"/>
      <c r="J31797" s="11"/>
      <c r="U31797" s="9"/>
      <c r="X31797" s="9"/>
    </row>
    <row r="31798">
      <c r="D31798" s="9"/>
      <c r="G31798" s="9"/>
      <c r="J31798" s="11"/>
      <c r="U31798" s="9"/>
      <c r="X31798" s="9"/>
    </row>
    <row r="31799">
      <c r="D31799" s="9"/>
      <c r="G31799" s="9"/>
      <c r="J31799" s="11"/>
      <c r="U31799" s="9"/>
      <c r="X31799" s="9"/>
    </row>
    <row r="31800">
      <c r="D31800" s="9"/>
      <c r="G31800" s="9"/>
      <c r="J31800" s="11"/>
      <c r="U31800" s="9"/>
      <c r="X31800" s="9"/>
    </row>
    <row r="31801">
      <c r="D31801" s="9"/>
      <c r="G31801" s="9"/>
      <c r="J31801" s="11"/>
      <c r="U31801" s="9"/>
      <c r="X31801" s="9"/>
    </row>
    <row r="31802">
      <c r="D31802" s="9"/>
      <c r="G31802" s="9"/>
      <c r="J31802" s="11"/>
      <c r="U31802" s="9"/>
      <c r="X31802" s="9"/>
    </row>
    <row r="31803">
      <c r="D31803" s="9"/>
      <c r="G31803" s="9"/>
      <c r="J31803" s="11"/>
      <c r="U31803" s="9"/>
      <c r="X31803" s="9"/>
    </row>
    <row r="31804">
      <c r="D31804" s="9"/>
      <c r="G31804" s="9"/>
      <c r="J31804" s="11"/>
      <c r="U31804" s="9"/>
      <c r="X31804" s="9"/>
    </row>
    <row r="31805">
      <c r="D31805" s="9"/>
      <c r="G31805" s="9"/>
      <c r="J31805" s="11"/>
      <c r="U31805" s="9"/>
      <c r="X31805" s="9"/>
    </row>
    <row r="31806">
      <c r="D31806" s="9"/>
      <c r="G31806" s="9"/>
      <c r="J31806" s="11"/>
      <c r="U31806" s="9"/>
      <c r="X31806" s="9"/>
    </row>
    <row r="31807">
      <c r="D31807" s="9"/>
      <c r="G31807" s="9"/>
      <c r="J31807" s="11"/>
      <c r="U31807" s="9"/>
      <c r="X31807" s="9"/>
    </row>
    <row r="31808">
      <c r="D31808" s="9"/>
      <c r="G31808" s="9"/>
      <c r="J31808" s="11"/>
      <c r="U31808" s="9"/>
      <c r="X31808" s="9"/>
    </row>
    <row r="31809">
      <c r="D31809" s="9"/>
      <c r="G31809" s="9"/>
      <c r="J31809" s="11"/>
      <c r="U31809" s="9"/>
      <c r="X31809" s="9"/>
    </row>
    <row r="31810">
      <c r="D31810" s="9"/>
      <c r="G31810" s="9"/>
      <c r="J31810" s="11"/>
      <c r="U31810" s="9"/>
      <c r="X31810" s="9"/>
    </row>
    <row r="31811">
      <c r="D31811" s="9"/>
      <c r="G31811" s="9"/>
      <c r="J31811" s="11"/>
      <c r="U31811" s="9"/>
      <c r="X31811" s="9"/>
    </row>
    <row r="31812">
      <c r="D31812" s="9"/>
      <c r="G31812" s="9"/>
      <c r="J31812" s="11"/>
      <c r="U31812" s="9"/>
      <c r="X31812" s="9"/>
    </row>
    <row r="31813">
      <c r="D31813" s="9"/>
      <c r="G31813" s="9"/>
      <c r="J31813" s="11"/>
      <c r="U31813" s="9"/>
      <c r="X31813" s="9"/>
    </row>
    <row r="31814">
      <c r="D31814" s="9"/>
      <c r="G31814" s="9"/>
      <c r="J31814" s="11"/>
      <c r="U31814" s="9"/>
      <c r="X31814" s="9"/>
    </row>
    <row r="31815">
      <c r="D31815" s="9"/>
      <c r="G31815" s="9"/>
      <c r="J31815" s="11"/>
      <c r="U31815" s="9"/>
      <c r="X31815" s="9"/>
    </row>
    <row r="31816">
      <c r="D31816" s="9"/>
      <c r="G31816" s="9"/>
      <c r="J31816" s="11"/>
      <c r="U31816" s="9"/>
      <c r="X31816" s="9"/>
    </row>
    <row r="31817">
      <c r="D31817" s="9"/>
      <c r="G31817" s="9"/>
      <c r="J31817" s="11"/>
      <c r="U31817" s="9"/>
      <c r="X31817" s="9"/>
    </row>
    <row r="31818">
      <c r="D31818" s="9"/>
      <c r="G31818" s="9"/>
      <c r="J31818" s="11"/>
      <c r="U31818" s="9"/>
      <c r="X31818" s="9"/>
    </row>
    <row r="31819">
      <c r="D31819" s="9"/>
      <c r="G31819" s="9"/>
      <c r="J31819" s="11"/>
      <c r="U31819" s="9"/>
      <c r="X31819" s="9"/>
    </row>
    <row r="31820">
      <c r="D31820" s="9"/>
      <c r="G31820" s="9"/>
      <c r="J31820" s="11"/>
      <c r="U31820" s="9"/>
      <c r="X31820" s="9"/>
    </row>
    <row r="31821">
      <c r="D31821" s="9"/>
      <c r="G31821" s="9"/>
      <c r="J31821" s="11"/>
      <c r="U31821" s="9"/>
      <c r="X31821" s="9"/>
    </row>
    <row r="31822">
      <c r="D31822" s="9"/>
      <c r="G31822" s="9"/>
      <c r="J31822" s="11"/>
      <c r="U31822" s="9"/>
      <c r="X31822" s="9"/>
    </row>
    <row r="31823">
      <c r="D31823" s="9"/>
      <c r="G31823" s="9"/>
      <c r="J31823" s="11"/>
      <c r="U31823" s="9"/>
      <c r="X31823" s="9"/>
    </row>
    <row r="31824">
      <c r="D31824" s="9"/>
      <c r="G31824" s="9"/>
      <c r="J31824" s="11"/>
      <c r="U31824" s="9"/>
      <c r="X31824" s="9"/>
    </row>
    <row r="31825">
      <c r="D31825" s="9"/>
      <c r="G31825" s="9"/>
      <c r="J31825" s="11"/>
      <c r="U31825" s="9"/>
      <c r="X31825" s="9"/>
    </row>
    <row r="31826">
      <c r="D31826" s="9"/>
      <c r="G31826" s="9"/>
      <c r="J31826" s="11"/>
      <c r="U31826" s="9"/>
      <c r="X31826" s="9"/>
    </row>
    <row r="31827">
      <c r="D31827" s="9"/>
      <c r="G31827" s="9"/>
      <c r="J31827" s="11"/>
      <c r="U31827" s="9"/>
      <c r="X31827" s="9"/>
    </row>
    <row r="31828">
      <c r="D31828" s="9"/>
      <c r="G31828" s="9"/>
      <c r="J31828" s="11"/>
      <c r="U31828" s="9"/>
      <c r="X31828" s="9"/>
    </row>
    <row r="31829">
      <c r="D31829" s="9"/>
      <c r="G31829" s="9"/>
      <c r="J31829" s="11"/>
      <c r="U31829" s="9"/>
      <c r="X31829" s="9"/>
    </row>
    <row r="31830">
      <c r="D31830" s="9"/>
      <c r="G31830" s="9"/>
      <c r="J31830" s="11"/>
      <c r="U31830" s="9"/>
      <c r="X31830" s="9"/>
    </row>
    <row r="31831">
      <c r="D31831" s="9"/>
      <c r="G31831" s="9"/>
      <c r="J31831" s="11"/>
      <c r="U31831" s="9"/>
      <c r="X31831" s="9"/>
    </row>
    <row r="31832">
      <c r="D31832" s="9"/>
      <c r="G31832" s="9"/>
      <c r="J31832" s="11"/>
      <c r="U31832" s="9"/>
      <c r="X31832" s="9"/>
    </row>
    <row r="31833">
      <c r="D31833" s="9"/>
      <c r="G31833" s="9"/>
      <c r="J31833" s="11"/>
      <c r="U31833" s="9"/>
      <c r="X31833" s="9"/>
    </row>
    <row r="31834">
      <c r="D31834" s="9"/>
      <c r="G31834" s="9"/>
      <c r="J31834" s="11"/>
      <c r="U31834" s="9"/>
      <c r="X31834" s="9"/>
    </row>
    <row r="31835">
      <c r="D31835" s="9"/>
      <c r="G31835" s="9"/>
      <c r="J31835" s="11"/>
      <c r="U31835" s="9"/>
      <c r="X31835" s="9"/>
    </row>
    <row r="31836">
      <c r="D31836" s="9"/>
      <c r="G31836" s="9"/>
      <c r="J31836" s="11"/>
      <c r="U31836" s="9"/>
      <c r="X31836" s="9"/>
    </row>
    <row r="31837">
      <c r="D31837" s="9"/>
      <c r="G31837" s="9"/>
      <c r="J31837" s="11"/>
      <c r="U31837" s="9"/>
      <c r="X31837" s="9"/>
    </row>
    <row r="31838">
      <c r="D31838" s="9"/>
      <c r="G31838" s="9"/>
      <c r="J31838" s="11"/>
      <c r="U31838" s="9"/>
      <c r="X31838" s="9"/>
    </row>
    <row r="31839">
      <c r="D31839" s="9"/>
      <c r="G31839" s="9"/>
      <c r="J31839" s="11"/>
      <c r="U31839" s="9"/>
      <c r="X31839" s="9"/>
    </row>
    <row r="31840">
      <c r="D31840" s="9"/>
      <c r="G31840" s="9"/>
      <c r="J31840" s="11"/>
      <c r="U31840" s="9"/>
      <c r="X31840" s="9"/>
    </row>
    <row r="31841">
      <c r="D31841" s="9"/>
      <c r="G31841" s="9"/>
      <c r="J31841" s="11"/>
      <c r="U31841" s="9"/>
      <c r="X31841" s="9"/>
    </row>
    <row r="31842">
      <c r="D31842" s="9"/>
      <c r="G31842" s="9"/>
      <c r="J31842" s="11"/>
      <c r="U31842" s="9"/>
      <c r="X31842" s="9"/>
    </row>
    <row r="31843">
      <c r="D31843" s="9"/>
      <c r="G31843" s="9"/>
      <c r="J31843" s="11"/>
      <c r="U31843" s="9"/>
      <c r="X31843" s="9"/>
    </row>
    <row r="31844">
      <c r="D31844" s="9"/>
      <c r="G31844" s="9"/>
      <c r="J31844" s="11"/>
      <c r="U31844" s="9"/>
      <c r="X31844" s="9"/>
    </row>
    <row r="31845">
      <c r="D31845" s="9"/>
      <c r="G31845" s="9"/>
      <c r="J31845" s="11"/>
      <c r="U31845" s="9"/>
      <c r="X31845" s="9"/>
    </row>
    <row r="31846">
      <c r="D31846" s="9"/>
      <c r="G31846" s="9"/>
      <c r="J31846" s="11"/>
      <c r="U31846" s="9"/>
      <c r="X31846" s="9"/>
    </row>
    <row r="31847">
      <c r="D31847" s="9"/>
      <c r="G31847" s="9"/>
      <c r="J31847" s="11"/>
      <c r="U31847" s="9"/>
      <c r="X31847" s="9"/>
    </row>
    <row r="31848">
      <c r="D31848" s="9"/>
      <c r="G31848" s="9"/>
      <c r="J31848" s="11"/>
      <c r="U31848" s="9"/>
      <c r="X31848" s="9"/>
    </row>
    <row r="31849">
      <c r="D31849" s="9"/>
      <c r="G31849" s="9"/>
      <c r="J31849" s="11"/>
      <c r="U31849" s="9"/>
      <c r="X31849" s="9"/>
    </row>
    <row r="31850">
      <c r="D31850" s="9"/>
      <c r="G31850" s="9"/>
      <c r="J31850" s="11"/>
      <c r="U31850" s="9"/>
      <c r="X31850" s="9"/>
    </row>
    <row r="31851">
      <c r="D31851" s="9"/>
      <c r="G31851" s="9"/>
      <c r="J31851" s="11"/>
      <c r="U31851" s="9"/>
      <c r="X31851" s="9"/>
    </row>
    <row r="31852">
      <c r="D31852" s="9"/>
      <c r="G31852" s="9"/>
      <c r="J31852" s="11"/>
      <c r="U31852" s="9"/>
      <c r="X31852" s="9"/>
    </row>
    <row r="31853">
      <c r="D31853" s="9"/>
      <c r="G31853" s="9"/>
      <c r="J31853" s="11"/>
      <c r="U31853" s="9"/>
      <c r="X31853" s="9"/>
    </row>
    <row r="31854">
      <c r="D31854" s="9"/>
      <c r="G31854" s="9"/>
      <c r="J31854" s="11"/>
      <c r="U31854" s="9"/>
      <c r="X31854" s="9"/>
    </row>
    <row r="31855">
      <c r="D31855" s="9"/>
      <c r="G31855" s="9"/>
      <c r="J31855" s="11"/>
      <c r="U31855" s="9"/>
      <c r="X31855" s="9"/>
    </row>
    <row r="31856">
      <c r="D31856" s="9"/>
      <c r="G31856" s="9"/>
      <c r="J31856" s="11"/>
      <c r="U31856" s="9"/>
      <c r="X31856" s="9"/>
    </row>
    <row r="31857">
      <c r="D31857" s="9"/>
      <c r="G31857" s="9"/>
      <c r="J31857" s="11"/>
      <c r="U31857" s="9"/>
      <c r="X31857" s="9"/>
    </row>
    <row r="31858">
      <c r="D31858" s="9"/>
      <c r="G31858" s="9"/>
      <c r="J31858" s="11"/>
      <c r="U31858" s="9"/>
      <c r="X31858" s="9"/>
    </row>
    <row r="31859">
      <c r="D31859" s="9"/>
      <c r="G31859" s="9"/>
      <c r="J31859" s="11"/>
      <c r="U31859" s="9"/>
      <c r="X31859" s="9"/>
    </row>
    <row r="31860">
      <c r="D31860" s="9"/>
      <c r="G31860" s="9"/>
      <c r="J31860" s="11"/>
      <c r="U31860" s="9"/>
      <c r="X31860" s="9"/>
    </row>
    <row r="31861">
      <c r="D31861" s="9"/>
      <c r="G31861" s="9"/>
      <c r="J31861" s="11"/>
      <c r="U31861" s="9"/>
      <c r="X31861" s="9"/>
    </row>
    <row r="31862">
      <c r="D31862" s="9"/>
      <c r="G31862" s="9"/>
      <c r="J31862" s="11"/>
      <c r="U31862" s="9"/>
      <c r="X31862" s="9"/>
    </row>
    <row r="31863">
      <c r="D31863" s="9"/>
      <c r="G31863" s="9"/>
      <c r="J31863" s="11"/>
      <c r="U31863" s="9"/>
      <c r="X31863" s="9"/>
    </row>
    <row r="31864">
      <c r="D31864" s="9"/>
      <c r="G31864" s="9"/>
      <c r="J31864" s="11"/>
      <c r="U31864" s="9"/>
      <c r="X31864" s="9"/>
    </row>
    <row r="31865">
      <c r="D31865" s="9"/>
      <c r="G31865" s="9"/>
      <c r="J31865" s="11"/>
      <c r="U31865" s="9"/>
      <c r="X31865" s="9"/>
    </row>
    <row r="31866">
      <c r="D31866" s="9"/>
      <c r="G31866" s="9"/>
      <c r="J31866" s="11"/>
      <c r="U31866" s="9"/>
      <c r="X31866" s="9"/>
    </row>
    <row r="31867">
      <c r="D31867" s="9"/>
      <c r="G31867" s="9"/>
      <c r="J31867" s="11"/>
      <c r="U31867" s="9"/>
      <c r="X31867" s="9"/>
    </row>
    <row r="31868">
      <c r="D31868" s="9"/>
      <c r="G31868" s="9"/>
      <c r="J31868" s="11"/>
      <c r="U31868" s="9"/>
      <c r="X31868" s="9"/>
    </row>
    <row r="31869">
      <c r="D31869" s="9"/>
      <c r="G31869" s="9"/>
      <c r="J31869" s="11"/>
      <c r="U31869" s="9"/>
      <c r="X31869" s="9"/>
    </row>
    <row r="31870">
      <c r="D31870" s="9"/>
      <c r="G31870" s="9"/>
      <c r="J31870" s="11"/>
      <c r="U31870" s="9"/>
      <c r="X31870" s="9"/>
    </row>
    <row r="31871">
      <c r="D31871" s="9"/>
      <c r="G31871" s="9"/>
      <c r="J31871" s="11"/>
      <c r="U31871" s="9"/>
      <c r="X31871" s="9"/>
    </row>
    <row r="31872">
      <c r="D31872" s="9"/>
      <c r="G31872" s="9"/>
      <c r="J31872" s="11"/>
      <c r="U31872" s="9"/>
      <c r="X31872" s="9"/>
    </row>
    <row r="31873">
      <c r="D31873" s="9"/>
      <c r="G31873" s="9"/>
      <c r="J31873" s="11"/>
      <c r="U31873" s="9"/>
      <c r="X31873" s="9"/>
    </row>
    <row r="31874">
      <c r="D31874" s="9"/>
      <c r="G31874" s="9"/>
      <c r="J31874" s="11"/>
      <c r="U31874" s="9"/>
      <c r="X31874" s="9"/>
    </row>
    <row r="31875">
      <c r="D31875" s="9"/>
      <c r="G31875" s="9"/>
      <c r="J31875" s="11"/>
      <c r="U31875" s="9"/>
      <c r="X31875" s="9"/>
    </row>
    <row r="31876">
      <c r="D31876" s="9"/>
      <c r="G31876" s="9"/>
      <c r="J31876" s="11"/>
      <c r="U31876" s="9"/>
      <c r="X31876" s="9"/>
    </row>
    <row r="31877">
      <c r="D31877" s="9"/>
      <c r="G31877" s="9"/>
      <c r="J31877" s="11"/>
      <c r="U31877" s="9"/>
      <c r="X31877" s="9"/>
    </row>
    <row r="31878">
      <c r="D31878" s="9"/>
      <c r="G31878" s="9"/>
      <c r="J31878" s="11"/>
      <c r="U31878" s="9"/>
      <c r="X31878" s="9"/>
    </row>
    <row r="31879">
      <c r="D31879" s="9"/>
      <c r="G31879" s="9"/>
      <c r="J31879" s="11"/>
      <c r="U31879" s="9"/>
      <c r="X31879" s="9"/>
    </row>
    <row r="31880">
      <c r="D31880" s="9"/>
      <c r="G31880" s="9"/>
      <c r="J31880" s="11"/>
      <c r="U31880" s="9"/>
      <c r="X31880" s="9"/>
    </row>
    <row r="31881">
      <c r="D31881" s="9"/>
      <c r="G31881" s="9"/>
      <c r="J31881" s="11"/>
      <c r="U31881" s="9"/>
      <c r="X31881" s="9"/>
    </row>
    <row r="31882">
      <c r="D31882" s="9"/>
      <c r="G31882" s="9"/>
      <c r="J31882" s="11"/>
      <c r="U31882" s="9"/>
      <c r="X31882" s="9"/>
    </row>
    <row r="31883">
      <c r="D31883" s="9"/>
      <c r="G31883" s="9"/>
      <c r="J31883" s="11"/>
      <c r="U31883" s="9"/>
      <c r="X31883" s="9"/>
    </row>
    <row r="31884">
      <c r="D31884" s="9"/>
      <c r="G31884" s="9"/>
      <c r="J31884" s="11"/>
      <c r="U31884" s="9"/>
      <c r="X31884" s="9"/>
    </row>
    <row r="31885">
      <c r="D31885" s="9"/>
      <c r="G31885" s="9"/>
      <c r="J31885" s="11"/>
      <c r="U31885" s="9"/>
      <c r="X31885" s="9"/>
    </row>
    <row r="31886">
      <c r="D31886" s="9"/>
      <c r="G31886" s="9"/>
      <c r="J31886" s="11"/>
      <c r="U31886" s="9"/>
      <c r="X31886" s="9"/>
    </row>
    <row r="31887">
      <c r="D31887" s="9"/>
      <c r="G31887" s="9"/>
      <c r="J31887" s="11"/>
      <c r="U31887" s="9"/>
      <c r="X31887" s="9"/>
    </row>
    <row r="31888">
      <c r="D31888" s="9"/>
      <c r="G31888" s="9"/>
      <c r="J31888" s="11"/>
      <c r="U31888" s="9"/>
      <c r="X31888" s="9"/>
    </row>
    <row r="31889">
      <c r="D31889" s="9"/>
      <c r="G31889" s="9"/>
      <c r="J31889" s="11"/>
      <c r="U31889" s="9"/>
      <c r="X31889" s="9"/>
    </row>
    <row r="31890">
      <c r="D31890" s="9"/>
      <c r="G31890" s="9"/>
      <c r="J31890" s="11"/>
      <c r="U31890" s="9"/>
      <c r="X31890" s="9"/>
    </row>
    <row r="31891">
      <c r="D31891" s="9"/>
      <c r="G31891" s="9"/>
      <c r="J31891" s="11"/>
      <c r="U31891" s="9"/>
      <c r="X31891" s="9"/>
    </row>
    <row r="31892">
      <c r="D31892" s="9"/>
      <c r="G31892" s="9"/>
      <c r="J31892" s="11"/>
      <c r="U31892" s="9"/>
      <c r="X31892" s="9"/>
    </row>
    <row r="31893">
      <c r="D31893" s="9"/>
      <c r="G31893" s="9"/>
      <c r="J31893" s="11"/>
      <c r="U31893" s="9"/>
      <c r="X31893" s="9"/>
    </row>
    <row r="31894">
      <c r="D31894" s="9"/>
      <c r="G31894" s="9"/>
      <c r="J31894" s="11"/>
      <c r="U31894" s="9"/>
      <c r="X31894" s="9"/>
    </row>
    <row r="31895">
      <c r="D31895" s="9"/>
      <c r="G31895" s="9"/>
      <c r="J31895" s="11"/>
      <c r="U31895" s="9"/>
      <c r="X31895" s="9"/>
    </row>
    <row r="31896">
      <c r="D31896" s="9"/>
      <c r="G31896" s="9"/>
      <c r="J31896" s="11"/>
      <c r="U31896" s="9"/>
      <c r="X31896" s="9"/>
    </row>
    <row r="31897">
      <c r="D31897" s="9"/>
      <c r="G31897" s="9"/>
      <c r="J31897" s="11"/>
      <c r="U31897" s="9"/>
      <c r="X31897" s="9"/>
    </row>
    <row r="31898">
      <c r="D31898" s="9"/>
      <c r="G31898" s="9"/>
      <c r="J31898" s="11"/>
      <c r="U31898" s="9"/>
      <c r="X31898" s="9"/>
    </row>
    <row r="31899">
      <c r="D31899" s="9"/>
      <c r="G31899" s="9"/>
      <c r="J31899" s="11"/>
      <c r="U31899" s="9"/>
      <c r="X31899" s="9"/>
    </row>
    <row r="31900">
      <c r="D31900" s="9"/>
      <c r="G31900" s="9"/>
      <c r="J31900" s="11"/>
      <c r="U31900" s="9"/>
      <c r="X31900" s="9"/>
    </row>
    <row r="31901">
      <c r="D31901" s="9"/>
      <c r="G31901" s="9"/>
      <c r="J31901" s="11"/>
      <c r="U31901" s="9"/>
      <c r="X31901" s="9"/>
    </row>
    <row r="31902">
      <c r="D31902" s="9"/>
      <c r="G31902" s="9"/>
      <c r="J31902" s="11"/>
      <c r="U31902" s="9"/>
      <c r="X31902" s="9"/>
    </row>
    <row r="31903">
      <c r="D31903" s="9"/>
      <c r="G31903" s="9"/>
      <c r="J31903" s="11"/>
      <c r="U31903" s="9"/>
      <c r="X31903" s="9"/>
    </row>
    <row r="31904">
      <c r="D31904" s="9"/>
      <c r="G31904" s="9"/>
      <c r="J31904" s="11"/>
      <c r="U31904" s="9"/>
      <c r="X31904" s="9"/>
    </row>
    <row r="31905">
      <c r="D31905" s="9"/>
      <c r="G31905" s="9"/>
      <c r="J31905" s="11"/>
      <c r="U31905" s="9"/>
      <c r="X31905" s="9"/>
    </row>
    <row r="31906">
      <c r="D31906" s="9"/>
      <c r="G31906" s="9"/>
      <c r="J31906" s="11"/>
      <c r="U31906" s="9"/>
      <c r="X31906" s="9"/>
    </row>
    <row r="31907">
      <c r="D31907" s="9"/>
      <c r="G31907" s="9"/>
      <c r="J31907" s="11"/>
      <c r="U31907" s="9"/>
      <c r="X31907" s="9"/>
    </row>
    <row r="31908">
      <c r="D31908" s="9"/>
      <c r="G31908" s="9"/>
      <c r="J31908" s="11"/>
      <c r="U31908" s="9"/>
      <c r="X31908" s="9"/>
    </row>
    <row r="31909">
      <c r="D31909" s="9"/>
      <c r="G31909" s="9"/>
      <c r="J31909" s="11"/>
      <c r="U31909" s="9"/>
      <c r="X31909" s="9"/>
    </row>
    <row r="31910">
      <c r="D31910" s="9"/>
      <c r="G31910" s="9"/>
      <c r="J31910" s="11"/>
      <c r="U31910" s="9"/>
      <c r="X31910" s="9"/>
    </row>
    <row r="31911">
      <c r="D31911" s="9"/>
      <c r="G31911" s="9"/>
      <c r="J31911" s="11"/>
      <c r="U31911" s="9"/>
      <c r="X31911" s="9"/>
    </row>
    <row r="31912">
      <c r="D31912" s="9"/>
      <c r="G31912" s="9"/>
      <c r="J31912" s="11"/>
      <c r="U31912" s="9"/>
      <c r="X31912" s="9"/>
    </row>
    <row r="31913">
      <c r="D31913" s="9"/>
      <c r="G31913" s="9"/>
      <c r="J31913" s="11"/>
      <c r="U31913" s="9"/>
      <c r="X31913" s="9"/>
    </row>
    <row r="31914">
      <c r="D31914" s="9"/>
      <c r="G31914" s="9"/>
      <c r="J31914" s="11"/>
      <c r="U31914" s="9"/>
      <c r="X31914" s="9"/>
    </row>
    <row r="31915">
      <c r="D31915" s="9"/>
      <c r="G31915" s="9"/>
      <c r="J31915" s="11"/>
      <c r="U31915" s="9"/>
      <c r="X31915" s="9"/>
    </row>
    <row r="31916">
      <c r="D31916" s="9"/>
      <c r="G31916" s="9"/>
      <c r="J31916" s="11"/>
      <c r="U31916" s="9"/>
      <c r="X31916" s="9"/>
    </row>
    <row r="31917">
      <c r="D31917" s="9"/>
      <c r="G31917" s="9"/>
      <c r="J31917" s="11"/>
      <c r="U31917" s="9"/>
      <c r="X31917" s="9"/>
    </row>
    <row r="31918">
      <c r="D31918" s="9"/>
      <c r="G31918" s="9"/>
      <c r="J31918" s="11"/>
      <c r="U31918" s="9"/>
      <c r="X31918" s="9"/>
    </row>
    <row r="31919">
      <c r="D31919" s="9"/>
      <c r="G31919" s="9"/>
      <c r="J31919" s="11"/>
      <c r="U31919" s="9"/>
      <c r="X31919" s="9"/>
    </row>
    <row r="31920">
      <c r="D31920" s="9"/>
      <c r="G31920" s="9"/>
      <c r="J31920" s="11"/>
      <c r="U31920" s="9"/>
      <c r="X31920" s="9"/>
    </row>
    <row r="31921">
      <c r="D31921" s="9"/>
      <c r="G31921" s="9"/>
      <c r="J31921" s="11"/>
      <c r="U31921" s="9"/>
      <c r="X31921" s="9"/>
    </row>
    <row r="31922">
      <c r="D31922" s="9"/>
      <c r="G31922" s="9"/>
      <c r="J31922" s="11"/>
      <c r="U31922" s="9"/>
      <c r="X31922" s="9"/>
    </row>
    <row r="31923">
      <c r="D31923" s="9"/>
      <c r="G31923" s="9"/>
      <c r="J31923" s="11"/>
      <c r="U31923" s="9"/>
      <c r="X31923" s="9"/>
    </row>
    <row r="31924">
      <c r="D31924" s="9"/>
      <c r="G31924" s="9"/>
      <c r="J31924" s="11"/>
      <c r="U31924" s="9"/>
      <c r="X31924" s="9"/>
    </row>
    <row r="31925">
      <c r="D31925" s="9"/>
      <c r="G31925" s="9"/>
      <c r="J31925" s="11"/>
      <c r="U31925" s="9"/>
      <c r="X31925" s="9"/>
    </row>
    <row r="31926">
      <c r="D31926" s="9"/>
      <c r="G31926" s="9"/>
      <c r="J31926" s="11"/>
      <c r="U31926" s="9"/>
      <c r="X31926" s="9"/>
    </row>
    <row r="31927">
      <c r="D31927" s="9"/>
      <c r="G31927" s="9"/>
      <c r="J31927" s="11"/>
      <c r="U31927" s="9"/>
      <c r="X31927" s="9"/>
    </row>
    <row r="31928">
      <c r="D31928" s="9"/>
      <c r="G31928" s="9"/>
      <c r="J31928" s="11"/>
      <c r="U31928" s="9"/>
      <c r="X31928" s="9"/>
    </row>
    <row r="31929">
      <c r="D31929" s="9"/>
      <c r="G31929" s="9"/>
      <c r="J31929" s="11"/>
      <c r="U31929" s="9"/>
      <c r="X31929" s="9"/>
    </row>
    <row r="31930">
      <c r="D31930" s="9"/>
      <c r="G31930" s="9"/>
      <c r="J31930" s="11"/>
      <c r="U31930" s="9"/>
      <c r="X31930" s="9"/>
    </row>
    <row r="31931">
      <c r="D31931" s="9"/>
      <c r="G31931" s="9"/>
      <c r="J31931" s="11"/>
      <c r="U31931" s="9"/>
      <c r="X31931" s="9"/>
    </row>
    <row r="31932">
      <c r="D31932" s="9"/>
      <c r="G31932" s="9"/>
      <c r="J31932" s="11"/>
      <c r="U31932" s="9"/>
      <c r="X31932" s="9"/>
    </row>
    <row r="31933">
      <c r="D31933" s="9"/>
      <c r="G31933" s="9"/>
      <c r="J31933" s="11"/>
      <c r="U31933" s="9"/>
      <c r="X31933" s="9"/>
    </row>
    <row r="31934">
      <c r="D31934" s="9"/>
      <c r="G31934" s="9"/>
      <c r="J31934" s="11"/>
      <c r="U31934" s="9"/>
      <c r="X31934" s="9"/>
    </row>
    <row r="31935">
      <c r="D31935" s="9"/>
      <c r="G31935" s="9"/>
      <c r="J31935" s="11"/>
      <c r="U31935" s="9"/>
      <c r="X31935" s="9"/>
    </row>
    <row r="31936">
      <c r="D31936" s="9"/>
      <c r="G31936" s="9"/>
      <c r="J31936" s="11"/>
      <c r="U31936" s="9"/>
      <c r="X31936" s="9"/>
    </row>
    <row r="31937">
      <c r="D31937" s="9"/>
      <c r="G31937" s="9"/>
      <c r="J31937" s="11"/>
      <c r="U31937" s="9"/>
      <c r="X31937" s="9"/>
    </row>
    <row r="31938">
      <c r="D31938" s="9"/>
      <c r="G31938" s="9"/>
      <c r="J31938" s="11"/>
      <c r="U31938" s="9"/>
      <c r="X31938" s="9"/>
    </row>
    <row r="31939">
      <c r="D31939" s="9"/>
      <c r="G31939" s="9"/>
      <c r="J31939" s="11"/>
      <c r="U31939" s="9"/>
      <c r="X31939" s="9"/>
    </row>
    <row r="31940">
      <c r="D31940" s="9"/>
      <c r="G31940" s="9"/>
      <c r="J31940" s="11"/>
      <c r="U31940" s="9"/>
      <c r="X31940" s="9"/>
    </row>
    <row r="31941">
      <c r="D31941" s="9"/>
      <c r="G31941" s="9"/>
      <c r="J31941" s="11"/>
      <c r="U31941" s="9"/>
      <c r="X31941" s="9"/>
    </row>
    <row r="31942">
      <c r="D31942" s="9"/>
      <c r="G31942" s="9"/>
      <c r="J31942" s="11"/>
      <c r="U31942" s="9"/>
      <c r="X31942" s="9"/>
    </row>
    <row r="31943">
      <c r="D31943" s="9"/>
      <c r="G31943" s="9"/>
      <c r="J31943" s="11"/>
      <c r="U31943" s="9"/>
      <c r="X31943" s="9"/>
    </row>
    <row r="31944">
      <c r="D31944" s="9"/>
      <c r="G31944" s="9"/>
      <c r="J31944" s="11"/>
      <c r="U31944" s="9"/>
      <c r="X31944" s="9"/>
    </row>
    <row r="31945">
      <c r="D31945" s="9"/>
      <c r="G31945" s="9"/>
      <c r="J31945" s="11"/>
      <c r="U31945" s="9"/>
      <c r="X31945" s="9"/>
    </row>
    <row r="31946">
      <c r="D31946" s="9"/>
      <c r="G31946" s="9"/>
      <c r="J31946" s="11"/>
      <c r="U31946" s="9"/>
      <c r="X31946" s="9"/>
    </row>
    <row r="31947">
      <c r="D31947" s="9"/>
      <c r="G31947" s="9"/>
      <c r="J31947" s="11"/>
      <c r="U31947" s="9"/>
      <c r="X31947" s="9"/>
    </row>
    <row r="31948">
      <c r="D31948" s="9"/>
      <c r="G31948" s="9"/>
      <c r="J31948" s="11"/>
      <c r="U31948" s="9"/>
      <c r="X31948" s="9"/>
    </row>
    <row r="31949">
      <c r="D31949" s="9"/>
      <c r="G31949" s="9"/>
      <c r="J31949" s="11"/>
      <c r="U31949" s="9"/>
      <c r="X31949" s="9"/>
    </row>
    <row r="31950">
      <c r="D31950" s="9"/>
      <c r="G31950" s="9"/>
      <c r="J31950" s="11"/>
      <c r="U31950" s="9"/>
      <c r="X31950" s="9"/>
    </row>
    <row r="31951">
      <c r="D31951" s="9"/>
      <c r="G31951" s="9"/>
      <c r="J31951" s="11"/>
      <c r="U31951" s="9"/>
      <c r="X31951" s="9"/>
    </row>
    <row r="31952">
      <c r="D31952" s="9"/>
      <c r="G31952" s="9"/>
      <c r="J31952" s="11"/>
      <c r="U31952" s="9"/>
      <c r="X31952" s="9"/>
    </row>
    <row r="31953">
      <c r="D31953" s="9"/>
      <c r="G31953" s="9"/>
      <c r="J31953" s="11"/>
      <c r="U31953" s="9"/>
      <c r="X31953" s="9"/>
    </row>
    <row r="31954">
      <c r="D31954" s="9"/>
      <c r="G31954" s="9"/>
      <c r="J31954" s="11"/>
      <c r="U31954" s="9"/>
      <c r="X31954" s="9"/>
    </row>
    <row r="31955">
      <c r="D31955" s="9"/>
      <c r="G31955" s="9"/>
      <c r="J31955" s="11"/>
      <c r="U31955" s="9"/>
      <c r="X31955" s="9"/>
    </row>
    <row r="31956">
      <c r="D31956" s="9"/>
      <c r="G31956" s="9"/>
      <c r="J31956" s="11"/>
      <c r="U31956" s="9"/>
      <c r="X31956" s="9"/>
    </row>
    <row r="31957">
      <c r="D31957" s="9"/>
      <c r="G31957" s="9"/>
      <c r="J31957" s="11"/>
      <c r="U31957" s="9"/>
      <c r="X31957" s="9"/>
    </row>
    <row r="31958">
      <c r="D31958" s="9"/>
      <c r="G31958" s="9"/>
      <c r="J31958" s="11"/>
      <c r="U31958" s="9"/>
      <c r="X31958" s="9"/>
    </row>
    <row r="31959">
      <c r="D31959" s="9"/>
      <c r="G31959" s="9"/>
      <c r="J31959" s="11"/>
      <c r="U31959" s="9"/>
      <c r="X31959" s="9"/>
    </row>
    <row r="31960">
      <c r="D31960" s="9"/>
      <c r="G31960" s="9"/>
      <c r="J31960" s="11"/>
      <c r="U31960" s="9"/>
      <c r="X31960" s="9"/>
    </row>
    <row r="31961">
      <c r="D31961" s="9"/>
      <c r="G31961" s="9"/>
      <c r="J31961" s="11"/>
      <c r="U31961" s="9"/>
      <c r="X31961" s="9"/>
    </row>
    <row r="31962">
      <c r="D31962" s="9"/>
      <c r="G31962" s="9"/>
      <c r="J31962" s="11"/>
      <c r="U31962" s="9"/>
      <c r="X31962" s="9"/>
    </row>
    <row r="31963">
      <c r="D31963" s="9"/>
      <c r="G31963" s="9"/>
      <c r="J31963" s="11"/>
      <c r="U31963" s="9"/>
      <c r="X31963" s="9"/>
    </row>
    <row r="31964">
      <c r="D31964" s="9"/>
      <c r="G31964" s="9"/>
      <c r="J31964" s="11"/>
      <c r="U31964" s="9"/>
      <c r="X31964" s="9"/>
    </row>
    <row r="31965">
      <c r="D31965" s="9"/>
      <c r="G31965" s="9"/>
      <c r="J31965" s="11"/>
      <c r="U31965" s="9"/>
      <c r="X31965" s="9"/>
    </row>
    <row r="31966">
      <c r="D31966" s="9"/>
      <c r="G31966" s="9"/>
      <c r="J31966" s="11"/>
      <c r="U31966" s="9"/>
      <c r="X31966" s="9"/>
    </row>
    <row r="31967">
      <c r="D31967" s="9"/>
      <c r="G31967" s="9"/>
      <c r="J31967" s="11"/>
      <c r="U31967" s="9"/>
      <c r="X31967" s="9"/>
    </row>
    <row r="31968">
      <c r="D31968" s="9"/>
      <c r="G31968" s="9"/>
      <c r="J31968" s="11"/>
      <c r="U31968" s="9"/>
      <c r="X31968" s="9"/>
    </row>
    <row r="31969">
      <c r="D31969" s="9"/>
      <c r="G31969" s="9"/>
      <c r="J31969" s="11"/>
      <c r="U31969" s="9"/>
      <c r="X31969" s="9"/>
    </row>
    <row r="31970">
      <c r="D31970" s="9"/>
      <c r="G31970" s="9"/>
      <c r="J31970" s="11"/>
      <c r="U31970" s="9"/>
      <c r="X31970" s="9"/>
    </row>
    <row r="31971">
      <c r="D31971" s="9"/>
      <c r="G31971" s="9"/>
      <c r="J31971" s="11"/>
      <c r="U31971" s="9"/>
      <c r="X31971" s="9"/>
    </row>
    <row r="31972">
      <c r="D31972" s="9"/>
      <c r="G31972" s="9"/>
      <c r="J31972" s="11"/>
      <c r="U31972" s="9"/>
      <c r="X31972" s="9"/>
    </row>
    <row r="31973">
      <c r="D31973" s="9"/>
      <c r="G31973" s="9"/>
      <c r="J31973" s="11"/>
      <c r="U31973" s="9"/>
      <c r="X31973" s="9"/>
    </row>
    <row r="31974">
      <c r="D31974" s="9"/>
      <c r="G31974" s="9"/>
      <c r="J31974" s="11"/>
      <c r="U31974" s="9"/>
      <c r="X31974" s="9"/>
    </row>
    <row r="31975">
      <c r="D31975" s="9"/>
      <c r="G31975" s="9"/>
      <c r="J31975" s="11"/>
      <c r="U31975" s="9"/>
      <c r="X31975" s="9"/>
    </row>
    <row r="31976">
      <c r="D31976" s="9"/>
      <c r="G31976" s="9"/>
      <c r="J31976" s="11"/>
      <c r="U31976" s="9"/>
      <c r="X31976" s="9"/>
    </row>
    <row r="31977">
      <c r="D31977" s="9"/>
      <c r="G31977" s="9"/>
      <c r="J31977" s="11"/>
      <c r="U31977" s="9"/>
      <c r="X31977" s="9"/>
    </row>
    <row r="31978">
      <c r="D31978" s="9"/>
      <c r="G31978" s="9"/>
      <c r="J31978" s="11"/>
      <c r="U31978" s="9"/>
      <c r="X31978" s="9"/>
    </row>
    <row r="31979">
      <c r="D31979" s="9"/>
      <c r="G31979" s="9"/>
      <c r="J31979" s="11"/>
      <c r="U31979" s="9"/>
      <c r="X31979" s="9"/>
    </row>
    <row r="31980">
      <c r="D31980" s="9"/>
      <c r="G31980" s="9"/>
      <c r="J31980" s="11"/>
      <c r="U31980" s="9"/>
      <c r="X31980" s="9"/>
    </row>
    <row r="31981">
      <c r="D31981" s="9"/>
      <c r="G31981" s="9"/>
      <c r="J31981" s="11"/>
      <c r="U31981" s="9"/>
      <c r="X31981" s="9"/>
    </row>
    <row r="31982">
      <c r="D31982" s="9"/>
      <c r="G31982" s="9"/>
      <c r="J31982" s="11"/>
      <c r="U31982" s="9"/>
      <c r="X31982" s="9"/>
    </row>
    <row r="31983">
      <c r="D31983" s="9"/>
      <c r="G31983" s="9"/>
      <c r="J31983" s="11"/>
      <c r="U31983" s="9"/>
      <c r="X31983" s="9"/>
    </row>
    <row r="31984">
      <c r="D31984" s="9"/>
      <c r="G31984" s="9"/>
      <c r="J31984" s="11"/>
      <c r="U31984" s="9"/>
      <c r="X31984" s="9"/>
    </row>
    <row r="31985">
      <c r="D31985" s="9"/>
      <c r="G31985" s="9"/>
      <c r="J31985" s="11"/>
      <c r="U31985" s="9"/>
      <c r="X31985" s="9"/>
    </row>
    <row r="31986">
      <c r="D31986" s="9"/>
      <c r="G31986" s="9"/>
      <c r="J31986" s="11"/>
      <c r="U31986" s="9"/>
      <c r="X31986" s="9"/>
    </row>
    <row r="31987">
      <c r="D31987" s="9"/>
      <c r="G31987" s="9"/>
      <c r="J31987" s="11"/>
      <c r="U31987" s="9"/>
      <c r="X31987" s="9"/>
    </row>
    <row r="31988">
      <c r="D31988" s="9"/>
      <c r="G31988" s="9"/>
      <c r="J31988" s="11"/>
      <c r="U31988" s="9"/>
      <c r="X31988" s="9"/>
    </row>
    <row r="31989">
      <c r="D31989" s="9"/>
      <c r="G31989" s="9"/>
      <c r="J31989" s="11"/>
      <c r="U31989" s="9"/>
      <c r="X31989" s="9"/>
    </row>
    <row r="31990">
      <c r="D31990" s="9"/>
      <c r="G31990" s="9"/>
      <c r="J31990" s="11"/>
      <c r="U31990" s="9"/>
      <c r="X31990" s="9"/>
    </row>
    <row r="31991">
      <c r="D31991" s="9"/>
      <c r="G31991" s="9"/>
      <c r="J31991" s="11"/>
      <c r="U31991" s="9"/>
      <c r="X31991" s="9"/>
    </row>
    <row r="31992">
      <c r="D31992" s="9"/>
      <c r="G31992" s="9"/>
      <c r="J31992" s="11"/>
      <c r="U31992" s="9"/>
      <c r="X31992" s="9"/>
    </row>
    <row r="31993">
      <c r="D31993" s="9"/>
      <c r="G31993" s="9"/>
      <c r="J31993" s="11"/>
      <c r="U31993" s="9"/>
      <c r="X31993" s="9"/>
    </row>
    <row r="31994">
      <c r="D31994" s="9"/>
      <c r="G31994" s="9"/>
      <c r="J31994" s="11"/>
      <c r="U31994" s="9"/>
      <c r="X31994" s="9"/>
    </row>
    <row r="31995">
      <c r="D31995" s="9"/>
      <c r="G31995" s="9"/>
      <c r="J31995" s="11"/>
      <c r="U31995" s="9"/>
      <c r="X31995" s="9"/>
    </row>
    <row r="31996">
      <c r="D31996" s="9"/>
      <c r="G31996" s="9"/>
      <c r="J31996" s="11"/>
      <c r="U31996" s="9"/>
      <c r="X31996" s="9"/>
    </row>
    <row r="31997">
      <c r="D31997" s="9"/>
      <c r="G31997" s="9"/>
      <c r="J31997" s="11"/>
      <c r="U31997" s="9"/>
      <c r="X31997" s="9"/>
    </row>
    <row r="31998">
      <c r="D31998" s="9"/>
      <c r="G31998" s="9"/>
      <c r="J31998" s="11"/>
      <c r="U31998" s="9"/>
      <c r="X31998" s="9"/>
    </row>
    <row r="31999">
      <c r="D31999" s="9"/>
      <c r="G31999" s="9"/>
      <c r="J31999" s="11"/>
      <c r="U31999" s="9"/>
      <c r="X31999" s="9"/>
    </row>
    <row r="32000">
      <c r="D32000" s="9"/>
      <c r="G32000" s="9"/>
      <c r="J32000" s="11"/>
      <c r="U32000" s="9"/>
      <c r="X32000" s="9"/>
    </row>
    <row r="32001">
      <c r="D32001" s="9"/>
      <c r="G32001" s="9"/>
      <c r="J32001" s="11"/>
      <c r="U32001" s="9"/>
      <c r="X32001" s="9"/>
    </row>
    <row r="32002">
      <c r="D32002" s="9"/>
      <c r="G32002" s="9"/>
      <c r="J32002" s="11"/>
      <c r="U32002" s="9"/>
      <c r="X32002" s="9"/>
    </row>
    <row r="32003">
      <c r="D32003" s="9"/>
      <c r="G32003" s="9"/>
      <c r="J32003" s="11"/>
      <c r="U32003" s="9"/>
      <c r="X32003" s="9"/>
    </row>
    <row r="32004">
      <c r="D32004" s="9"/>
      <c r="G32004" s="9"/>
      <c r="J32004" s="11"/>
      <c r="U32004" s="9"/>
      <c r="X32004" s="9"/>
    </row>
    <row r="32005">
      <c r="D32005" s="9"/>
      <c r="G32005" s="9"/>
      <c r="J32005" s="11"/>
      <c r="U32005" s="9"/>
      <c r="X32005" s="9"/>
    </row>
    <row r="32006">
      <c r="D32006" s="9"/>
      <c r="G32006" s="9"/>
      <c r="J32006" s="11"/>
      <c r="U32006" s="9"/>
      <c r="X32006" s="9"/>
    </row>
    <row r="32007">
      <c r="D32007" s="9"/>
      <c r="G32007" s="9"/>
      <c r="J32007" s="11"/>
      <c r="U32007" s="9"/>
      <c r="X32007" s="9"/>
    </row>
    <row r="32008">
      <c r="D32008" s="9"/>
      <c r="G32008" s="9"/>
      <c r="J32008" s="11"/>
      <c r="U32008" s="9"/>
      <c r="X32008" s="9"/>
    </row>
    <row r="32009">
      <c r="D32009" s="9"/>
      <c r="G32009" s="9"/>
      <c r="J32009" s="11"/>
      <c r="U32009" s="9"/>
      <c r="X32009" s="9"/>
    </row>
    <row r="32010">
      <c r="D32010" s="9"/>
      <c r="G32010" s="9"/>
      <c r="J32010" s="11"/>
      <c r="U32010" s="9"/>
      <c r="X32010" s="9"/>
    </row>
    <row r="32011">
      <c r="D32011" s="9"/>
      <c r="G32011" s="9"/>
      <c r="J32011" s="11"/>
      <c r="U32011" s="9"/>
      <c r="X32011" s="9"/>
    </row>
    <row r="32012">
      <c r="D32012" s="9"/>
      <c r="G32012" s="9"/>
      <c r="J32012" s="11"/>
      <c r="U32012" s="9"/>
      <c r="X32012" s="9"/>
    </row>
    <row r="32013">
      <c r="D32013" s="9"/>
      <c r="G32013" s="9"/>
      <c r="J32013" s="11"/>
      <c r="U32013" s="9"/>
      <c r="X32013" s="9"/>
    </row>
    <row r="32014">
      <c r="D32014" s="9"/>
      <c r="G32014" s="9"/>
      <c r="J32014" s="11"/>
      <c r="U32014" s="9"/>
      <c r="X32014" s="9"/>
    </row>
    <row r="32015">
      <c r="D32015" s="9"/>
      <c r="G32015" s="9"/>
      <c r="J32015" s="11"/>
      <c r="U32015" s="9"/>
      <c r="X32015" s="9"/>
    </row>
    <row r="32016">
      <c r="D32016" s="9"/>
      <c r="G32016" s="9"/>
      <c r="J32016" s="11"/>
      <c r="U32016" s="9"/>
      <c r="X32016" s="9"/>
    </row>
    <row r="32017">
      <c r="D32017" s="9"/>
      <c r="G32017" s="9"/>
      <c r="J32017" s="11"/>
      <c r="U32017" s="9"/>
      <c r="X32017" s="9"/>
    </row>
    <row r="32018">
      <c r="D32018" s="9"/>
      <c r="G32018" s="9"/>
      <c r="J32018" s="11"/>
      <c r="U32018" s="9"/>
      <c r="X32018" s="9"/>
    </row>
    <row r="32019">
      <c r="D32019" s="9"/>
      <c r="G32019" s="9"/>
      <c r="J32019" s="11"/>
      <c r="U32019" s="9"/>
      <c r="X32019" s="9"/>
    </row>
    <row r="32020">
      <c r="D32020" s="9"/>
      <c r="G32020" s="9"/>
      <c r="J32020" s="11"/>
      <c r="U32020" s="9"/>
      <c r="X32020" s="9"/>
    </row>
    <row r="32021">
      <c r="D32021" s="9"/>
      <c r="G32021" s="9"/>
      <c r="J32021" s="11"/>
      <c r="U32021" s="9"/>
      <c r="X32021" s="9"/>
    </row>
    <row r="32022">
      <c r="D32022" s="9"/>
      <c r="G32022" s="9"/>
      <c r="J32022" s="11"/>
      <c r="U32022" s="9"/>
      <c r="X32022" s="9"/>
    </row>
    <row r="32023">
      <c r="D32023" s="9"/>
      <c r="G32023" s="9"/>
      <c r="J32023" s="11"/>
      <c r="U32023" s="9"/>
      <c r="X32023" s="9"/>
    </row>
    <row r="32024">
      <c r="D32024" s="9"/>
      <c r="G32024" s="9"/>
      <c r="J32024" s="11"/>
      <c r="U32024" s="9"/>
      <c r="X32024" s="9"/>
    </row>
    <row r="32025">
      <c r="D32025" s="9"/>
      <c r="G32025" s="9"/>
      <c r="J32025" s="11"/>
      <c r="U32025" s="9"/>
      <c r="X32025" s="9"/>
    </row>
    <row r="32026">
      <c r="D32026" s="9"/>
      <c r="G32026" s="9"/>
      <c r="J32026" s="11"/>
      <c r="U32026" s="9"/>
      <c r="X32026" s="9"/>
    </row>
    <row r="32027">
      <c r="D32027" s="9"/>
      <c r="G32027" s="9"/>
      <c r="J32027" s="11"/>
      <c r="U32027" s="9"/>
      <c r="X32027" s="9"/>
    </row>
    <row r="32028">
      <c r="D32028" s="9"/>
      <c r="G32028" s="9"/>
      <c r="J32028" s="11"/>
      <c r="U32028" s="9"/>
      <c r="X32028" s="9"/>
    </row>
    <row r="32029">
      <c r="D32029" s="9"/>
      <c r="G32029" s="9"/>
      <c r="J32029" s="11"/>
      <c r="U32029" s="9"/>
      <c r="X32029" s="9"/>
    </row>
    <row r="32030">
      <c r="D32030" s="9"/>
      <c r="G32030" s="9"/>
      <c r="J32030" s="11"/>
      <c r="U32030" s="9"/>
      <c r="X32030" s="9"/>
    </row>
    <row r="32031">
      <c r="D32031" s="9"/>
      <c r="G32031" s="9"/>
      <c r="J32031" s="11"/>
      <c r="U32031" s="9"/>
      <c r="X32031" s="9"/>
    </row>
    <row r="32032">
      <c r="D32032" s="9"/>
      <c r="G32032" s="9"/>
      <c r="J32032" s="11"/>
      <c r="U32032" s="9"/>
      <c r="X32032" s="9"/>
    </row>
    <row r="32033">
      <c r="D32033" s="9"/>
      <c r="G32033" s="9"/>
      <c r="J32033" s="11"/>
      <c r="U32033" s="9"/>
      <c r="X32033" s="9"/>
    </row>
    <row r="32034">
      <c r="D32034" s="9"/>
      <c r="G32034" s="9"/>
      <c r="J32034" s="11"/>
      <c r="U32034" s="9"/>
      <c r="X32034" s="9"/>
    </row>
    <row r="32035">
      <c r="D32035" s="9"/>
      <c r="G32035" s="9"/>
      <c r="J32035" s="11"/>
      <c r="U32035" s="9"/>
      <c r="X32035" s="9"/>
    </row>
    <row r="32036">
      <c r="D32036" s="9"/>
      <c r="G32036" s="9"/>
      <c r="J32036" s="11"/>
      <c r="U32036" s="9"/>
      <c r="X32036" s="9"/>
    </row>
    <row r="32037">
      <c r="D32037" s="9"/>
      <c r="G32037" s="9"/>
      <c r="J32037" s="11"/>
      <c r="U32037" s="9"/>
      <c r="X32037" s="9"/>
    </row>
    <row r="32038">
      <c r="D32038" s="9"/>
      <c r="G32038" s="9"/>
      <c r="J32038" s="11"/>
      <c r="U32038" s="9"/>
      <c r="X32038" s="9"/>
    </row>
    <row r="32039">
      <c r="D32039" s="9"/>
      <c r="G32039" s="9"/>
      <c r="J32039" s="11"/>
      <c r="U32039" s="9"/>
      <c r="X32039" s="9"/>
    </row>
    <row r="32040">
      <c r="D32040" s="9"/>
      <c r="G32040" s="9"/>
      <c r="J32040" s="11"/>
      <c r="U32040" s="9"/>
      <c r="X32040" s="9"/>
    </row>
    <row r="32041">
      <c r="D32041" s="9"/>
      <c r="G32041" s="9"/>
      <c r="J32041" s="11"/>
      <c r="U32041" s="9"/>
      <c r="X32041" s="9"/>
    </row>
    <row r="32042">
      <c r="D32042" s="9"/>
      <c r="G32042" s="9"/>
      <c r="J32042" s="11"/>
      <c r="U32042" s="9"/>
      <c r="X32042" s="9"/>
    </row>
    <row r="32043">
      <c r="D32043" s="9"/>
      <c r="G32043" s="9"/>
      <c r="J32043" s="11"/>
      <c r="U32043" s="9"/>
      <c r="X32043" s="9"/>
    </row>
    <row r="32044">
      <c r="D32044" s="9"/>
      <c r="G32044" s="9"/>
      <c r="J32044" s="11"/>
      <c r="U32044" s="9"/>
      <c r="X32044" s="9"/>
    </row>
    <row r="32045">
      <c r="D32045" s="9"/>
      <c r="G32045" s="9"/>
      <c r="J32045" s="11"/>
      <c r="U32045" s="9"/>
      <c r="X32045" s="9"/>
    </row>
    <row r="32046">
      <c r="D32046" s="9"/>
      <c r="G32046" s="9"/>
      <c r="J32046" s="11"/>
      <c r="U32046" s="9"/>
      <c r="X32046" s="9"/>
    </row>
    <row r="32047">
      <c r="D32047" s="9"/>
      <c r="G32047" s="9"/>
      <c r="J32047" s="11"/>
      <c r="U32047" s="9"/>
      <c r="X32047" s="9"/>
    </row>
    <row r="32048">
      <c r="D32048" s="9"/>
      <c r="G32048" s="9"/>
      <c r="J32048" s="11"/>
      <c r="U32048" s="9"/>
      <c r="X32048" s="9"/>
    </row>
    <row r="32049">
      <c r="D32049" s="9"/>
      <c r="G32049" s="9"/>
      <c r="J32049" s="11"/>
      <c r="U32049" s="9"/>
      <c r="X32049" s="9"/>
    </row>
    <row r="32050">
      <c r="D32050" s="9"/>
      <c r="G32050" s="9"/>
      <c r="J32050" s="11"/>
      <c r="U32050" s="9"/>
      <c r="X32050" s="9"/>
    </row>
    <row r="32051">
      <c r="D32051" s="9"/>
      <c r="G32051" s="9"/>
      <c r="J32051" s="11"/>
      <c r="U32051" s="9"/>
      <c r="X32051" s="9"/>
    </row>
    <row r="32052">
      <c r="D32052" s="9"/>
      <c r="G32052" s="9"/>
      <c r="J32052" s="11"/>
      <c r="U32052" s="9"/>
      <c r="X32052" s="9"/>
    </row>
    <row r="32053">
      <c r="D32053" s="9"/>
      <c r="G32053" s="9"/>
      <c r="J32053" s="11"/>
      <c r="U32053" s="9"/>
      <c r="X32053" s="9"/>
    </row>
    <row r="32054">
      <c r="D32054" s="9"/>
      <c r="G32054" s="9"/>
      <c r="J32054" s="11"/>
      <c r="U32054" s="9"/>
      <c r="X32054" s="9"/>
    </row>
    <row r="32055">
      <c r="D32055" s="9"/>
      <c r="G32055" s="9"/>
      <c r="J32055" s="11"/>
      <c r="U32055" s="9"/>
      <c r="X32055" s="9"/>
    </row>
    <row r="32056">
      <c r="D32056" s="9"/>
      <c r="G32056" s="9"/>
      <c r="J32056" s="11"/>
      <c r="U32056" s="9"/>
      <c r="X32056" s="9"/>
    </row>
    <row r="32057">
      <c r="D32057" s="9"/>
      <c r="G32057" s="9"/>
      <c r="J32057" s="11"/>
      <c r="U32057" s="9"/>
      <c r="X32057" s="9"/>
    </row>
    <row r="32058">
      <c r="D32058" s="9"/>
      <c r="G32058" s="9"/>
      <c r="J32058" s="11"/>
      <c r="U32058" s="9"/>
      <c r="X32058" s="9"/>
    </row>
    <row r="32059">
      <c r="D32059" s="9"/>
      <c r="G32059" s="9"/>
      <c r="J32059" s="11"/>
      <c r="U32059" s="9"/>
      <c r="X32059" s="9"/>
    </row>
    <row r="32060">
      <c r="D32060" s="9"/>
      <c r="G32060" s="9"/>
      <c r="J32060" s="11"/>
      <c r="U32060" s="9"/>
      <c r="X32060" s="9"/>
    </row>
    <row r="32061">
      <c r="D32061" s="9"/>
      <c r="G32061" s="9"/>
      <c r="J32061" s="11"/>
      <c r="U32061" s="9"/>
      <c r="X32061" s="9"/>
    </row>
    <row r="32062">
      <c r="D32062" s="9"/>
      <c r="G32062" s="9"/>
      <c r="J32062" s="11"/>
      <c r="U32062" s="9"/>
      <c r="X32062" s="9"/>
    </row>
    <row r="32063">
      <c r="D32063" s="9"/>
      <c r="G32063" s="9"/>
      <c r="J32063" s="11"/>
      <c r="U32063" s="9"/>
      <c r="X32063" s="9"/>
    </row>
    <row r="32064">
      <c r="D32064" s="9"/>
      <c r="G32064" s="9"/>
      <c r="J32064" s="11"/>
      <c r="U32064" s="9"/>
      <c r="X32064" s="9"/>
    </row>
    <row r="32065">
      <c r="D32065" s="9"/>
      <c r="G32065" s="9"/>
      <c r="J32065" s="11"/>
      <c r="U32065" s="9"/>
      <c r="X32065" s="9"/>
    </row>
    <row r="32066">
      <c r="D32066" s="9"/>
      <c r="G32066" s="9"/>
      <c r="J32066" s="11"/>
      <c r="U32066" s="9"/>
      <c r="X32066" s="9"/>
    </row>
    <row r="32067">
      <c r="D32067" s="9"/>
      <c r="G32067" s="9"/>
      <c r="J32067" s="11"/>
      <c r="U32067" s="9"/>
      <c r="X32067" s="9"/>
    </row>
    <row r="32068">
      <c r="D32068" s="9"/>
      <c r="G32068" s="9"/>
      <c r="J32068" s="11"/>
      <c r="U32068" s="9"/>
      <c r="X32068" s="9"/>
    </row>
    <row r="32069">
      <c r="D32069" s="9"/>
      <c r="G32069" s="9"/>
      <c r="J32069" s="11"/>
      <c r="U32069" s="9"/>
      <c r="X32069" s="9"/>
    </row>
    <row r="32070">
      <c r="D32070" s="9"/>
      <c r="G32070" s="9"/>
      <c r="J32070" s="11"/>
      <c r="U32070" s="9"/>
      <c r="X32070" s="9"/>
    </row>
    <row r="32071">
      <c r="D32071" s="9"/>
      <c r="G32071" s="9"/>
      <c r="J32071" s="11"/>
      <c r="U32071" s="9"/>
      <c r="X32071" s="9"/>
    </row>
    <row r="32072">
      <c r="D32072" s="9"/>
      <c r="G32072" s="9"/>
      <c r="J32072" s="11"/>
      <c r="U32072" s="9"/>
      <c r="X32072" s="9"/>
    </row>
    <row r="32073">
      <c r="D32073" s="9"/>
      <c r="G32073" s="9"/>
      <c r="J32073" s="11"/>
      <c r="U32073" s="9"/>
      <c r="X32073" s="9"/>
    </row>
    <row r="32074">
      <c r="D32074" s="9"/>
      <c r="G32074" s="9"/>
      <c r="J32074" s="11"/>
      <c r="U32074" s="9"/>
      <c r="X32074" s="9"/>
    </row>
    <row r="32075">
      <c r="D32075" s="9"/>
      <c r="G32075" s="9"/>
      <c r="J32075" s="11"/>
      <c r="U32075" s="9"/>
      <c r="X32075" s="9"/>
    </row>
    <row r="32076">
      <c r="D32076" s="9"/>
      <c r="G32076" s="9"/>
      <c r="J32076" s="11"/>
      <c r="U32076" s="9"/>
      <c r="X32076" s="9"/>
    </row>
    <row r="32077">
      <c r="D32077" s="9"/>
      <c r="G32077" s="9"/>
      <c r="J32077" s="11"/>
      <c r="U32077" s="9"/>
      <c r="X32077" s="9"/>
    </row>
    <row r="32078">
      <c r="D32078" s="9"/>
      <c r="G32078" s="9"/>
      <c r="J32078" s="11"/>
      <c r="U32078" s="9"/>
      <c r="X32078" s="9"/>
    </row>
    <row r="32079">
      <c r="D32079" s="9"/>
      <c r="G32079" s="9"/>
      <c r="J32079" s="11"/>
      <c r="U32079" s="9"/>
      <c r="X32079" s="9"/>
    </row>
    <row r="32080">
      <c r="D32080" s="9"/>
      <c r="G32080" s="9"/>
      <c r="J32080" s="11"/>
      <c r="U32080" s="9"/>
      <c r="X32080" s="9"/>
    </row>
    <row r="32081">
      <c r="D32081" s="9"/>
      <c r="G32081" s="9"/>
      <c r="J32081" s="11"/>
      <c r="U32081" s="9"/>
      <c r="X32081" s="9"/>
    </row>
    <row r="32082">
      <c r="D32082" s="9"/>
      <c r="G32082" s="9"/>
      <c r="J32082" s="11"/>
      <c r="U32082" s="9"/>
      <c r="X32082" s="9"/>
    </row>
    <row r="32083">
      <c r="D32083" s="9"/>
      <c r="G32083" s="9"/>
      <c r="J32083" s="11"/>
      <c r="U32083" s="9"/>
      <c r="X32083" s="9"/>
    </row>
    <row r="32084">
      <c r="D32084" s="9"/>
      <c r="G32084" s="9"/>
      <c r="J32084" s="11"/>
      <c r="U32084" s="9"/>
      <c r="X32084" s="9"/>
    </row>
    <row r="32085">
      <c r="D32085" s="9"/>
      <c r="G32085" s="9"/>
      <c r="J32085" s="11"/>
      <c r="U32085" s="9"/>
      <c r="X32085" s="9"/>
    </row>
    <row r="32086">
      <c r="D32086" s="9"/>
      <c r="G32086" s="9"/>
      <c r="J32086" s="11"/>
      <c r="U32086" s="9"/>
      <c r="X32086" s="9"/>
    </row>
    <row r="32087">
      <c r="D32087" s="9"/>
      <c r="G32087" s="9"/>
      <c r="J32087" s="11"/>
      <c r="U32087" s="9"/>
      <c r="X32087" s="9"/>
    </row>
    <row r="32088">
      <c r="D32088" s="9"/>
      <c r="G32088" s="9"/>
      <c r="J32088" s="11"/>
      <c r="U32088" s="9"/>
      <c r="X32088" s="9"/>
    </row>
    <row r="32089">
      <c r="D32089" s="9"/>
      <c r="G32089" s="9"/>
      <c r="J32089" s="11"/>
      <c r="U32089" s="9"/>
      <c r="X32089" s="9"/>
    </row>
    <row r="32090">
      <c r="D32090" s="9"/>
      <c r="G32090" s="9"/>
      <c r="J32090" s="11"/>
      <c r="U32090" s="9"/>
      <c r="X32090" s="9"/>
    </row>
    <row r="32091">
      <c r="D32091" s="9"/>
      <c r="G32091" s="9"/>
      <c r="J32091" s="11"/>
      <c r="U32091" s="9"/>
      <c r="X32091" s="9"/>
    </row>
    <row r="32092">
      <c r="D32092" s="9"/>
      <c r="G32092" s="9"/>
      <c r="J32092" s="11"/>
      <c r="U32092" s="9"/>
      <c r="X32092" s="9"/>
    </row>
    <row r="32093">
      <c r="D32093" s="9"/>
      <c r="G32093" s="9"/>
      <c r="J32093" s="11"/>
      <c r="U32093" s="9"/>
      <c r="X32093" s="9"/>
    </row>
    <row r="32094">
      <c r="D32094" s="9"/>
      <c r="G32094" s="9"/>
      <c r="J32094" s="11"/>
      <c r="U32094" s="9"/>
      <c r="X32094" s="9"/>
    </row>
    <row r="32095">
      <c r="D32095" s="9"/>
      <c r="G32095" s="9"/>
      <c r="J32095" s="11"/>
      <c r="U32095" s="9"/>
      <c r="X32095" s="9"/>
    </row>
    <row r="32096">
      <c r="D32096" s="9"/>
      <c r="G32096" s="9"/>
      <c r="J32096" s="11"/>
      <c r="U32096" s="9"/>
      <c r="X32096" s="9"/>
    </row>
    <row r="32097">
      <c r="D32097" s="9"/>
      <c r="G32097" s="9"/>
      <c r="J32097" s="11"/>
      <c r="U32097" s="9"/>
      <c r="X32097" s="9"/>
    </row>
    <row r="32098">
      <c r="D32098" s="9"/>
      <c r="G32098" s="9"/>
      <c r="J32098" s="11"/>
      <c r="U32098" s="9"/>
      <c r="X32098" s="9"/>
    </row>
    <row r="32099">
      <c r="D32099" s="9"/>
      <c r="G32099" s="9"/>
      <c r="J32099" s="11"/>
      <c r="U32099" s="9"/>
      <c r="X32099" s="9"/>
    </row>
    <row r="32100">
      <c r="D32100" s="9"/>
      <c r="G32100" s="9"/>
      <c r="J32100" s="11"/>
      <c r="U32100" s="9"/>
      <c r="X32100" s="9"/>
    </row>
    <row r="32101">
      <c r="D32101" s="9"/>
      <c r="G32101" s="9"/>
      <c r="J32101" s="11"/>
      <c r="U32101" s="9"/>
      <c r="X32101" s="9"/>
    </row>
    <row r="32102">
      <c r="D32102" s="9"/>
      <c r="G32102" s="9"/>
      <c r="J32102" s="11"/>
      <c r="U32102" s="9"/>
      <c r="X32102" s="9"/>
    </row>
    <row r="32103">
      <c r="D32103" s="9"/>
      <c r="G32103" s="9"/>
      <c r="J32103" s="11"/>
      <c r="U32103" s="9"/>
      <c r="X32103" s="9"/>
    </row>
    <row r="32104">
      <c r="D32104" s="9"/>
      <c r="G32104" s="9"/>
      <c r="J32104" s="11"/>
      <c r="U32104" s="9"/>
      <c r="X32104" s="9"/>
    </row>
    <row r="32105">
      <c r="D32105" s="9"/>
      <c r="G32105" s="9"/>
      <c r="J32105" s="11"/>
      <c r="U32105" s="9"/>
      <c r="X32105" s="9"/>
    </row>
    <row r="32106">
      <c r="D32106" s="9"/>
      <c r="G32106" s="9"/>
      <c r="J32106" s="11"/>
      <c r="U32106" s="9"/>
      <c r="X32106" s="9"/>
    </row>
    <row r="32107">
      <c r="D32107" s="9"/>
      <c r="G32107" s="9"/>
      <c r="J32107" s="11"/>
      <c r="U32107" s="9"/>
      <c r="X32107" s="9"/>
    </row>
    <row r="32108">
      <c r="D32108" s="9"/>
      <c r="G32108" s="9"/>
      <c r="J32108" s="11"/>
      <c r="U32108" s="9"/>
      <c r="X32108" s="9"/>
    </row>
    <row r="32109">
      <c r="D32109" s="9"/>
      <c r="G32109" s="9"/>
      <c r="J32109" s="11"/>
      <c r="U32109" s="9"/>
      <c r="X32109" s="9"/>
    </row>
    <row r="32110">
      <c r="D32110" s="9"/>
      <c r="G32110" s="9"/>
      <c r="J32110" s="11"/>
      <c r="U32110" s="9"/>
      <c r="X32110" s="9"/>
    </row>
    <row r="32111">
      <c r="D32111" s="9"/>
      <c r="G32111" s="9"/>
      <c r="J32111" s="11"/>
      <c r="U32111" s="9"/>
      <c r="X32111" s="9"/>
    </row>
    <row r="32112">
      <c r="D32112" s="9"/>
      <c r="G32112" s="9"/>
      <c r="J32112" s="11"/>
      <c r="U32112" s="9"/>
      <c r="X32112" s="9"/>
    </row>
    <row r="32113">
      <c r="D32113" s="9"/>
      <c r="G32113" s="9"/>
      <c r="J32113" s="11"/>
      <c r="U32113" s="9"/>
      <c r="X32113" s="9"/>
    </row>
    <row r="32114">
      <c r="D32114" s="9"/>
      <c r="G32114" s="9"/>
      <c r="J32114" s="11"/>
      <c r="U32114" s="9"/>
      <c r="X32114" s="9"/>
    </row>
    <row r="32115">
      <c r="D32115" s="9"/>
      <c r="G32115" s="9"/>
      <c r="J32115" s="11"/>
      <c r="U32115" s="9"/>
      <c r="X32115" s="9"/>
    </row>
    <row r="32116">
      <c r="D32116" s="9"/>
      <c r="G32116" s="9"/>
      <c r="J32116" s="11"/>
      <c r="U32116" s="9"/>
      <c r="X32116" s="9"/>
    </row>
    <row r="32117">
      <c r="D32117" s="9"/>
      <c r="G32117" s="9"/>
      <c r="J32117" s="11"/>
      <c r="U32117" s="9"/>
      <c r="X32117" s="9"/>
    </row>
    <row r="32118">
      <c r="D32118" s="9"/>
      <c r="G32118" s="9"/>
      <c r="J32118" s="11"/>
      <c r="U32118" s="9"/>
      <c r="X32118" s="9"/>
    </row>
    <row r="32119">
      <c r="D32119" s="9"/>
      <c r="G32119" s="9"/>
      <c r="J32119" s="11"/>
      <c r="U32119" s="9"/>
      <c r="X32119" s="9"/>
    </row>
    <row r="32120">
      <c r="D32120" s="9"/>
      <c r="G32120" s="9"/>
      <c r="J32120" s="11"/>
      <c r="U32120" s="9"/>
      <c r="X32120" s="9"/>
    </row>
    <row r="32121">
      <c r="D32121" s="9"/>
      <c r="G32121" s="9"/>
      <c r="J32121" s="11"/>
      <c r="U32121" s="9"/>
      <c r="X32121" s="9"/>
    </row>
    <row r="32122">
      <c r="D32122" s="9"/>
      <c r="G32122" s="9"/>
      <c r="J32122" s="11"/>
      <c r="U32122" s="9"/>
      <c r="X32122" s="9"/>
    </row>
    <row r="32123">
      <c r="D32123" s="9"/>
      <c r="G32123" s="9"/>
      <c r="J32123" s="11"/>
      <c r="U32123" s="9"/>
      <c r="X32123" s="9"/>
    </row>
    <row r="32124">
      <c r="D32124" s="9"/>
      <c r="G32124" s="9"/>
      <c r="J32124" s="11"/>
      <c r="U32124" s="9"/>
      <c r="X32124" s="9"/>
    </row>
    <row r="32125">
      <c r="D32125" s="9"/>
      <c r="G32125" s="9"/>
      <c r="J32125" s="11"/>
      <c r="U32125" s="9"/>
      <c r="X32125" s="9"/>
    </row>
    <row r="32126">
      <c r="D32126" s="9"/>
      <c r="G32126" s="9"/>
      <c r="J32126" s="11"/>
      <c r="U32126" s="9"/>
      <c r="X32126" s="9"/>
    </row>
    <row r="32127">
      <c r="D32127" s="9"/>
      <c r="G32127" s="9"/>
      <c r="J32127" s="11"/>
      <c r="U32127" s="9"/>
      <c r="X32127" s="9"/>
    </row>
    <row r="32128">
      <c r="D32128" s="9"/>
      <c r="G32128" s="9"/>
      <c r="J32128" s="11"/>
      <c r="U32128" s="9"/>
      <c r="X32128" s="9"/>
    </row>
    <row r="32129">
      <c r="D32129" s="9"/>
      <c r="G32129" s="9"/>
      <c r="J32129" s="11"/>
      <c r="U32129" s="9"/>
      <c r="X32129" s="9"/>
    </row>
    <row r="32130">
      <c r="D32130" s="9"/>
      <c r="G32130" s="9"/>
      <c r="J32130" s="11"/>
      <c r="U32130" s="9"/>
      <c r="X32130" s="9"/>
    </row>
    <row r="32131">
      <c r="D32131" s="9"/>
      <c r="G32131" s="9"/>
      <c r="J32131" s="11"/>
      <c r="U32131" s="9"/>
      <c r="X32131" s="9"/>
    </row>
    <row r="32132">
      <c r="D32132" s="9"/>
      <c r="G32132" s="9"/>
      <c r="J32132" s="11"/>
      <c r="U32132" s="9"/>
      <c r="X32132" s="9"/>
    </row>
    <row r="32133">
      <c r="D32133" s="9"/>
      <c r="G32133" s="9"/>
      <c r="J32133" s="11"/>
      <c r="U32133" s="9"/>
      <c r="X32133" s="9"/>
    </row>
    <row r="32134">
      <c r="D32134" s="9"/>
      <c r="G32134" s="9"/>
      <c r="J32134" s="11"/>
      <c r="U32134" s="9"/>
      <c r="X32134" s="9"/>
    </row>
    <row r="32135">
      <c r="D32135" s="9"/>
      <c r="G32135" s="9"/>
      <c r="J32135" s="11"/>
      <c r="U32135" s="9"/>
      <c r="X32135" s="9"/>
    </row>
    <row r="32136">
      <c r="D32136" s="9"/>
      <c r="G32136" s="9"/>
      <c r="J32136" s="11"/>
      <c r="U32136" s="9"/>
      <c r="X32136" s="9"/>
    </row>
    <row r="32137">
      <c r="D32137" s="9"/>
      <c r="G32137" s="9"/>
      <c r="J32137" s="11"/>
      <c r="U32137" s="9"/>
      <c r="X32137" s="9"/>
    </row>
    <row r="32138">
      <c r="D32138" s="9"/>
      <c r="G32138" s="9"/>
      <c r="J32138" s="11"/>
      <c r="U32138" s="9"/>
      <c r="X32138" s="9"/>
    </row>
    <row r="32139">
      <c r="D32139" s="9"/>
      <c r="G32139" s="9"/>
      <c r="J32139" s="11"/>
      <c r="U32139" s="9"/>
      <c r="X32139" s="9"/>
    </row>
    <row r="32140">
      <c r="D32140" s="9"/>
      <c r="G32140" s="9"/>
      <c r="J32140" s="11"/>
      <c r="U32140" s="9"/>
      <c r="X32140" s="9"/>
    </row>
    <row r="32141">
      <c r="D32141" s="9"/>
      <c r="G32141" s="9"/>
      <c r="J32141" s="11"/>
      <c r="U32141" s="9"/>
      <c r="X32141" s="9"/>
    </row>
    <row r="32142">
      <c r="D32142" s="9"/>
      <c r="G32142" s="9"/>
      <c r="J32142" s="11"/>
      <c r="U32142" s="9"/>
      <c r="X32142" s="9"/>
    </row>
    <row r="32143">
      <c r="D32143" s="9"/>
      <c r="G32143" s="9"/>
      <c r="J32143" s="11"/>
      <c r="U32143" s="9"/>
      <c r="X32143" s="9"/>
    </row>
    <row r="32144">
      <c r="D32144" s="9"/>
      <c r="G32144" s="9"/>
      <c r="J32144" s="11"/>
      <c r="U32144" s="9"/>
      <c r="X32144" s="9"/>
    </row>
    <row r="32145">
      <c r="D32145" s="9"/>
      <c r="G32145" s="9"/>
      <c r="J32145" s="11"/>
      <c r="U32145" s="9"/>
      <c r="X32145" s="9"/>
    </row>
    <row r="32146">
      <c r="D32146" s="9"/>
      <c r="G32146" s="9"/>
      <c r="J32146" s="11"/>
      <c r="U32146" s="9"/>
      <c r="X32146" s="9"/>
    </row>
    <row r="32147">
      <c r="D32147" s="9"/>
      <c r="G32147" s="9"/>
      <c r="J32147" s="11"/>
      <c r="U32147" s="9"/>
      <c r="X32147" s="9"/>
    </row>
    <row r="32148">
      <c r="D32148" s="9"/>
      <c r="G32148" s="9"/>
      <c r="J32148" s="11"/>
      <c r="U32148" s="9"/>
      <c r="X32148" s="9"/>
    </row>
    <row r="32149">
      <c r="D32149" s="9"/>
      <c r="G32149" s="9"/>
      <c r="J32149" s="11"/>
      <c r="U32149" s="9"/>
      <c r="X32149" s="9"/>
    </row>
    <row r="32150">
      <c r="D32150" s="9"/>
      <c r="G32150" s="9"/>
      <c r="J32150" s="11"/>
      <c r="U32150" s="9"/>
      <c r="X32150" s="9"/>
    </row>
    <row r="32151">
      <c r="D32151" s="9"/>
      <c r="G32151" s="9"/>
      <c r="J32151" s="11"/>
      <c r="U32151" s="9"/>
      <c r="X32151" s="9"/>
    </row>
    <row r="32152">
      <c r="D32152" s="9"/>
      <c r="G32152" s="9"/>
      <c r="J32152" s="11"/>
      <c r="U32152" s="9"/>
      <c r="X32152" s="9"/>
    </row>
    <row r="32153">
      <c r="D32153" s="9"/>
      <c r="G32153" s="9"/>
      <c r="J32153" s="11"/>
      <c r="U32153" s="9"/>
      <c r="X32153" s="9"/>
    </row>
    <row r="32154">
      <c r="D32154" s="9"/>
      <c r="G32154" s="9"/>
      <c r="J32154" s="11"/>
      <c r="U32154" s="9"/>
      <c r="X32154" s="9"/>
    </row>
    <row r="32155">
      <c r="D32155" s="9"/>
      <c r="G32155" s="9"/>
      <c r="J32155" s="11"/>
      <c r="U32155" s="9"/>
      <c r="X32155" s="9"/>
    </row>
    <row r="32156">
      <c r="D32156" s="9"/>
      <c r="G32156" s="9"/>
      <c r="J32156" s="11"/>
      <c r="U32156" s="9"/>
      <c r="X32156" s="9"/>
    </row>
    <row r="32157">
      <c r="D32157" s="9"/>
      <c r="G32157" s="9"/>
      <c r="J32157" s="11"/>
      <c r="U32157" s="9"/>
      <c r="X32157" s="9"/>
    </row>
    <row r="32158">
      <c r="D32158" s="9"/>
      <c r="G32158" s="9"/>
      <c r="J32158" s="11"/>
      <c r="U32158" s="9"/>
      <c r="X32158" s="9"/>
    </row>
    <row r="32159">
      <c r="D32159" s="9"/>
      <c r="G32159" s="9"/>
      <c r="J32159" s="11"/>
      <c r="U32159" s="9"/>
      <c r="X32159" s="9"/>
    </row>
    <row r="32160">
      <c r="D32160" s="9"/>
      <c r="G32160" s="9"/>
      <c r="J32160" s="11"/>
      <c r="U32160" s="9"/>
      <c r="X32160" s="9"/>
    </row>
    <row r="32161">
      <c r="D32161" s="9"/>
      <c r="G32161" s="9"/>
      <c r="J32161" s="11"/>
      <c r="U32161" s="9"/>
      <c r="X32161" s="9"/>
    </row>
    <row r="32162">
      <c r="D32162" s="9"/>
      <c r="G32162" s="9"/>
      <c r="J32162" s="11"/>
      <c r="U32162" s="9"/>
      <c r="X32162" s="9"/>
    </row>
    <row r="32163">
      <c r="D32163" s="9"/>
      <c r="G32163" s="9"/>
      <c r="J32163" s="11"/>
      <c r="U32163" s="9"/>
      <c r="X32163" s="9"/>
    </row>
    <row r="32164">
      <c r="D32164" s="9"/>
      <c r="G32164" s="9"/>
      <c r="J32164" s="11"/>
      <c r="U32164" s="9"/>
      <c r="X32164" s="9"/>
    </row>
    <row r="32165">
      <c r="D32165" s="9"/>
      <c r="G32165" s="9"/>
      <c r="J32165" s="11"/>
      <c r="U32165" s="9"/>
      <c r="X32165" s="9"/>
    </row>
    <row r="32166">
      <c r="D32166" s="9"/>
      <c r="G32166" s="9"/>
      <c r="J32166" s="11"/>
      <c r="U32166" s="9"/>
      <c r="X32166" s="9"/>
    </row>
    <row r="32167">
      <c r="D32167" s="9"/>
      <c r="G32167" s="9"/>
      <c r="J32167" s="11"/>
      <c r="U32167" s="9"/>
      <c r="X32167" s="9"/>
    </row>
    <row r="32168">
      <c r="D32168" s="9"/>
      <c r="G32168" s="9"/>
      <c r="J32168" s="11"/>
      <c r="U32168" s="9"/>
      <c r="X32168" s="9"/>
    </row>
    <row r="32169">
      <c r="D32169" s="9"/>
      <c r="G32169" s="9"/>
      <c r="J32169" s="11"/>
      <c r="U32169" s="9"/>
      <c r="X32169" s="9"/>
    </row>
    <row r="32170">
      <c r="D32170" s="9"/>
      <c r="G32170" s="9"/>
      <c r="J32170" s="11"/>
      <c r="U32170" s="9"/>
      <c r="X32170" s="9"/>
    </row>
    <row r="32171">
      <c r="D32171" s="9"/>
      <c r="G32171" s="9"/>
      <c r="J32171" s="11"/>
      <c r="U32171" s="9"/>
      <c r="X32171" s="9"/>
    </row>
    <row r="32172">
      <c r="D32172" s="9"/>
      <c r="G32172" s="9"/>
      <c r="J32172" s="11"/>
      <c r="U32172" s="9"/>
      <c r="X32172" s="9"/>
    </row>
    <row r="32173">
      <c r="D32173" s="9"/>
      <c r="G32173" s="9"/>
      <c r="J32173" s="11"/>
      <c r="U32173" s="9"/>
      <c r="X32173" s="9"/>
    </row>
    <row r="32174">
      <c r="D32174" s="9"/>
      <c r="G32174" s="9"/>
      <c r="J32174" s="11"/>
      <c r="U32174" s="9"/>
      <c r="X32174" s="9"/>
    </row>
    <row r="32175">
      <c r="D32175" s="9"/>
      <c r="G32175" s="9"/>
      <c r="J32175" s="11"/>
      <c r="U32175" s="9"/>
      <c r="X32175" s="9"/>
    </row>
    <row r="32176">
      <c r="D32176" s="9"/>
      <c r="G32176" s="9"/>
      <c r="J32176" s="11"/>
      <c r="U32176" s="9"/>
      <c r="X32176" s="9"/>
    </row>
    <row r="32177">
      <c r="D32177" s="9"/>
      <c r="G32177" s="9"/>
      <c r="J32177" s="11"/>
      <c r="U32177" s="9"/>
      <c r="X32177" s="9"/>
    </row>
    <row r="32178">
      <c r="D32178" s="9"/>
      <c r="G32178" s="9"/>
      <c r="J32178" s="11"/>
      <c r="U32178" s="9"/>
      <c r="X32178" s="9"/>
    </row>
    <row r="32179">
      <c r="D32179" s="9"/>
      <c r="G32179" s="9"/>
      <c r="J32179" s="11"/>
      <c r="U32179" s="9"/>
      <c r="X32179" s="9"/>
    </row>
    <row r="32180">
      <c r="D32180" s="9"/>
      <c r="G32180" s="9"/>
      <c r="J32180" s="11"/>
      <c r="U32180" s="9"/>
      <c r="X32180" s="9"/>
    </row>
    <row r="32181">
      <c r="D32181" s="9"/>
      <c r="G32181" s="9"/>
      <c r="J32181" s="11"/>
      <c r="U32181" s="9"/>
      <c r="X32181" s="9"/>
    </row>
    <row r="32182">
      <c r="D32182" s="9"/>
      <c r="G32182" s="9"/>
      <c r="J32182" s="11"/>
      <c r="U32182" s="9"/>
      <c r="X32182" s="9"/>
    </row>
    <row r="32183">
      <c r="D32183" s="9"/>
      <c r="G32183" s="9"/>
      <c r="J32183" s="11"/>
      <c r="U32183" s="9"/>
      <c r="X32183" s="9"/>
    </row>
    <row r="32184">
      <c r="D32184" s="9"/>
      <c r="G32184" s="9"/>
      <c r="J32184" s="11"/>
      <c r="U32184" s="9"/>
      <c r="X32184" s="9"/>
    </row>
    <row r="32185">
      <c r="D32185" s="9"/>
      <c r="G32185" s="9"/>
      <c r="J32185" s="11"/>
      <c r="U32185" s="9"/>
      <c r="X32185" s="9"/>
    </row>
    <row r="32186">
      <c r="D32186" s="9"/>
      <c r="G32186" s="9"/>
      <c r="J32186" s="11"/>
      <c r="U32186" s="9"/>
      <c r="X32186" s="9"/>
    </row>
    <row r="32187">
      <c r="D32187" s="9"/>
      <c r="G32187" s="9"/>
      <c r="J32187" s="11"/>
      <c r="U32187" s="9"/>
      <c r="X32187" s="9"/>
    </row>
    <row r="32188">
      <c r="D32188" s="9"/>
      <c r="G32188" s="9"/>
      <c r="J32188" s="11"/>
      <c r="U32188" s="9"/>
      <c r="X32188" s="9"/>
    </row>
    <row r="32189">
      <c r="D32189" s="9"/>
      <c r="G32189" s="9"/>
      <c r="J32189" s="11"/>
      <c r="U32189" s="9"/>
      <c r="X32189" s="9"/>
    </row>
    <row r="32190">
      <c r="D32190" s="9"/>
      <c r="G32190" s="9"/>
      <c r="J32190" s="11"/>
      <c r="U32190" s="9"/>
      <c r="X32190" s="9"/>
    </row>
    <row r="32191">
      <c r="D32191" s="9"/>
      <c r="G32191" s="9"/>
      <c r="J32191" s="11"/>
      <c r="U32191" s="9"/>
      <c r="X32191" s="9"/>
    </row>
    <row r="32192">
      <c r="D32192" s="9"/>
      <c r="G32192" s="9"/>
      <c r="J32192" s="11"/>
      <c r="U32192" s="9"/>
      <c r="X32192" s="9"/>
    </row>
    <row r="32193">
      <c r="D32193" s="9"/>
      <c r="G32193" s="9"/>
      <c r="J32193" s="11"/>
      <c r="U32193" s="9"/>
      <c r="X32193" s="9"/>
    </row>
    <row r="32194">
      <c r="D32194" s="9"/>
      <c r="G32194" s="9"/>
      <c r="J32194" s="11"/>
      <c r="U32194" s="9"/>
      <c r="X32194" s="9"/>
    </row>
    <row r="32195">
      <c r="D32195" s="9"/>
      <c r="G32195" s="9"/>
      <c r="J32195" s="11"/>
      <c r="U32195" s="9"/>
      <c r="X32195" s="9"/>
    </row>
    <row r="32196">
      <c r="D32196" s="9"/>
      <c r="G32196" s="9"/>
      <c r="J32196" s="11"/>
      <c r="U32196" s="9"/>
      <c r="X32196" s="9"/>
    </row>
    <row r="32197">
      <c r="D32197" s="9"/>
      <c r="G32197" s="9"/>
      <c r="J32197" s="11"/>
      <c r="U32197" s="9"/>
      <c r="X32197" s="9"/>
    </row>
    <row r="32198">
      <c r="D32198" s="9"/>
      <c r="G32198" s="9"/>
      <c r="J32198" s="11"/>
      <c r="U32198" s="9"/>
      <c r="X32198" s="9"/>
    </row>
    <row r="32199">
      <c r="D32199" s="9"/>
      <c r="G32199" s="9"/>
      <c r="J32199" s="11"/>
      <c r="U32199" s="9"/>
      <c r="X32199" s="9"/>
    </row>
    <row r="32200">
      <c r="D32200" s="9"/>
      <c r="G32200" s="9"/>
      <c r="J32200" s="11"/>
      <c r="U32200" s="9"/>
      <c r="X32200" s="9"/>
    </row>
    <row r="32201">
      <c r="D32201" s="9"/>
      <c r="G32201" s="9"/>
      <c r="J32201" s="11"/>
      <c r="U32201" s="9"/>
      <c r="X32201" s="9"/>
    </row>
    <row r="32202">
      <c r="D32202" s="9"/>
      <c r="G32202" s="9"/>
      <c r="J32202" s="11"/>
      <c r="U32202" s="9"/>
      <c r="X32202" s="9"/>
    </row>
    <row r="32203">
      <c r="D32203" s="9"/>
      <c r="G32203" s="9"/>
      <c r="J32203" s="11"/>
      <c r="U32203" s="9"/>
      <c r="X32203" s="9"/>
    </row>
    <row r="32204">
      <c r="D32204" s="9"/>
      <c r="G32204" s="9"/>
      <c r="J32204" s="11"/>
      <c r="U32204" s="9"/>
      <c r="X32204" s="9"/>
    </row>
    <row r="32205">
      <c r="D32205" s="9"/>
      <c r="G32205" s="9"/>
      <c r="J32205" s="11"/>
      <c r="U32205" s="9"/>
      <c r="X32205" s="9"/>
    </row>
    <row r="32206">
      <c r="D32206" s="9"/>
      <c r="G32206" s="9"/>
      <c r="J32206" s="11"/>
      <c r="U32206" s="9"/>
      <c r="X32206" s="9"/>
    </row>
    <row r="32207">
      <c r="D32207" s="9"/>
      <c r="G32207" s="9"/>
      <c r="J32207" s="11"/>
      <c r="U32207" s="9"/>
      <c r="X32207" s="9"/>
    </row>
    <row r="32208">
      <c r="D32208" s="9"/>
      <c r="G32208" s="9"/>
      <c r="J32208" s="11"/>
      <c r="U32208" s="9"/>
      <c r="X32208" s="9"/>
    </row>
    <row r="32209">
      <c r="D32209" s="9"/>
      <c r="G32209" s="9"/>
      <c r="J32209" s="11"/>
      <c r="U32209" s="9"/>
      <c r="X32209" s="9"/>
    </row>
    <row r="32210">
      <c r="D32210" s="9"/>
      <c r="G32210" s="9"/>
      <c r="J32210" s="11"/>
      <c r="U32210" s="9"/>
      <c r="X32210" s="9"/>
    </row>
    <row r="32211">
      <c r="D32211" s="9"/>
      <c r="G32211" s="9"/>
      <c r="J32211" s="11"/>
      <c r="U32211" s="9"/>
      <c r="X32211" s="9"/>
    </row>
    <row r="32212">
      <c r="D32212" s="9"/>
      <c r="G32212" s="9"/>
      <c r="J32212" s="11"/>
      <c r="U32212" s="9"/>
      <c r="X32212" s="9"/>
    </row>
    <row r="32213">
      <c r="D32213" s="9"/>
      <c r="G32213" s="9"/>
      <c r="J32213" s="11"/>
      <c r="U32213" s="9"/>
      <c r="X32213" s="9"/>
    </row>
    <row r="32214">
      <c r="D32214" s="9"/>
      <c r="G32214" s="9"/>
      <c r="J32214" s="11"/>
      <c r="U32214" s="9"/>
      <c r="X32214" s="9"/>
    </row>
    <row r="32215">
      <c r="D32215" s="9"/>
      <c r="G32215" s="9"/>
      <c r="J32215" s="11"/>
      <c r="U32215" s="9"/>
      <c r="X32215" s="9"/>
    </row>
    <row r="32216">
      <c r="D32216" s="9"/>
      <c r="G32216" s="9"/>
      <c r="J32216" s="11"/>
      <c r="U32216" s="9"/>
      <c r="X32216" s="9"/>
    </row>
    <row r="32217">
      <c r="D32217" s="9"/>
      <c r="G32217" s="9"/>
      <c r="J32217" s="11"/>
      <c r="U32217" s="9"/>
      <c r="X32217" s="9"/>
    </row>
    <row r="32218">
      <c r="D32218" s="9"/>
      <c r="G32218" s="9"/>
      <c r="J32218" s="11"/>
      <c r="U32218" s="9"/>
      <c r="X32218" s="9"/>
    </row>
    <row r="32219">
      <c r="D32219" s="9"/>
      <c r="G32219" s="9"/>
      <c r="J32219" s="11"/>
      <c r="U32219" s="9"/>
      <c r="X32219" s="9"/>
    </row>
    <row r="32220">
      <c r="D32220" s="9"/>
      <c r="G32220" s="9"/>
      <c r="J32220" s="11"/>
      <c r="U32220" s="9"/>
      <c r="X32220" s="9"/>
    </row>
    <row r="32221">
      <c r="D32221" s="9"/>
      <c r="G32221" s="9"/>
      <c r="J32221" s="11"/>
      <c r="U32221" s="9"/>
      <c r="X32221" s="9"/>
    </row>
    <row r="32222">
      <c r="D32222" s="9"/>
      <c r="G32222" s="9"/>
      <c r="J32222" s="11"/>
      <c r="U32222" s="9"/>
      <c r="X32222" s="9"/>
    </row>
    <row r="32223">
      <c r="D32223" s="9"/>
      <c r="G32223" s="9"/>
      <c r="J32223" s="11"/>
      <c r="U32223" s="9"/>
      <c r="X32223" s="9"/>
    </row>
    <row r="32224">
      <c r="D32224" s="9"/>
      <c r="G32224" s="9"/>
      <c r="J32224" s="11"/>
      <c r="U32224" s="9"/>
      <c r="X32224" s="9"/>
    </row>
    <row r="32225">
      <c r="D32225" s="9"/>
      <c r="G32225" s="9"/>
      <c r="J32225" s="11"/>
      <c r="U32225" s="9"/>
      <c r="X32225" s="9"/>
    </row>
    <row r="32226">
      <c r="D32226" s="9"/>
      <c r="G32226" s="9"/>
      <c r="J32226" s="11"/>
      <c r="U32226" s="9"/>
      <c r="X32226" s="9"/>
    </row>
    <row r="32227">
      <c r="D32227" s="9"/>
      <c r="G32227" s="9"/>
      <c r="J32227" s="11"/>
      <c r="U32227" s="9"/>
      <c r="X32227" s="9"/>
    </row>
    <row r="32228">
      <c r="D32228" s="9"/>
      <c r="G32228" s="9"/>
      <c r="J32228" s="11"/>
      <c r="U32228" s="9"/>
      <c r="X32228" s="9"/>
    </row>
    <row r="32229">
      <c r="D32229" s="9"/>
      <c r="G32229" s="9"/>
      <c r="J32229" s="11"/>
      <c r="U32229" s="9"/>
      <c r="X32229" s="9"/>
    </row>
    <row r="32230">
      <c r="D32230" s="9"/>
      <c r="G32230" s="9"/>
      <c r="J32230" s="11"/>
      <c r="U32230" s="9"/>
      <c r="X32230" s="9"/>
    </row>
    <row r="32231">
      <c r="D32231" s="9"/>
      <c r="G32231" s="9"/>
      <c r="J32231" s="11"/>
      <c r="U32231" s="9"/>
      <c r="X32231" s="9"/>
    </row>
    <row r="32232">
      <c r="D32232" s="9"/>
      <c r="G32232" s="9"/>
      <c r="J32232" s="11"/>
      <c r="U32232" s="9"/>
      <c r="X32232" s="9"/>
    </row>
    <row r="32233">
      <c r="D32233" s="9"/>
      <c r="G32233" s="9"/>
      <c r="J32233" s="11"/>
      <c r="U32233" s="9"/>
      <c r="X32233" s="9"/>
    </row>
    <row r="32234">
      <c r="D32234" s="9"/>
      <c r="G32234" s="9"/>
      <c r="J32234" s="11"/>
      <c r="U32234" s="9"/>
      <c r="X32234" s="9"/>
    </row>
    <row r="32235">
      <c r="D32235" s="9"/>
      <c r="G32235" s="9"/>
      <c r="J32235" s="11"/>
      <c r="U32235" s="9"/>
      <c r="X32235" s="9"/>
    </row>
    <row r="32236">
      <c r="D32236" s="9"/>
      <c r="G32236" s="9"/>
      <c r="J32236" s="11"/>
      <c r="U32236" s="9"/>
      <c r="X32236" s="9"/>
    </row>
    <row r="32237">
      <c r="D32237" s="9"/>
      <c r="G32237" s="9"/>
      <c r="J32237" s="11"/>
      <c r="U32237" s="9"/>
      <c r="X32237" s="9"/>
    </row>
    <row r="32238">
      <c r="D32238" s="9"/>
      <c r="G32238" s="9"/>
      <c r="J32238" s="11"/>
      <c r="U32238" s="9"/>
      <c r="X32238" s="9"/>
    </row>
    <row r="32239">
      <c r="D32239" s="9"/>
      <c r="G32239" s="9"/>
      <c r="J32239" s="11"/>
      <c r="U32239" s="9"/>
      <c r="X32239" s="9"/>
    </row>
    <row r="32240">
      <c r="D32240" s="9"/>
      <c r="G32240" s="9"/>
      <c r="J32240" s="11"/>
      <c r="U32240" s="9"/>
      <c r="X32240" s="9"/>
    </row>
    <row r="32241">
      <c r="D32241" s="9"/>
      <c r="G32241" s="9"/>
      <c r="J32241" s="11"/>
      <c r="U32241" s="9"/>
      <c r="X32241" s="9"/>
    </row>
    <row r="32242">
      <c r="D32242" s="9"/>
      <c r="G32242" s="9"/>
      <c r="J32242" s="11"/>
      <c r="U32242" s="9"/>
      <c r="X32242" s="9"/>
    </row>
    <row r="32243">
      <c r="D32243" s="9"/>
      <c r="G32243" s="9"/>
      <c r="J32243" s="11"/>
      <c r="U32243" s="9"/>
      <c r="X32243" s="9"/>
    </row>
    <row r="32244">
      <c r="D32244" s="9"/>
      <c r="G32244" s="9"/>
      <c r="J32244" s="11"/>
      <c r="U32244" s="9"/>
      <c r="X32244" s="9"/>
    </row>
    <row r="32245">
      <c r="D32245" s="9"/>
      <c r="G32245" s="9"/>
      <c r="J32245" s="11"/>
      <c r="U32245" s="9"/>
      <c r="X32245" s="9"/>
    </row>
    <row r="32246">
      <c r="D32246" s="9"/>
      <c r="G32246" s="9"/>
      <c r="J32246" s="11"/>
      <c r="U32246" s="9"/>
      <c r="X32246" s="9"/>
    </row>
    <row r="32247">
      <c r="D32247" s="9"/>
      <c r="G32247" s="9"/>
      <c r="J32247" s="11"/>
      <c r="U32247" s="9"/>
      <c r="X32247" s="9"/>
    </row>
    <row r="32248">
      <c r="D32248" s="9"/>
      <c r="G32248" s="9"/>
      <c r="J32248" s="11"/>
      <c r="U32248" s="9"/>
      <c r="X32248" s="9"/>
    </row>
    <row r="32249">
      <c r="D32249" s="9"/>
      <c r="G32249" s="9"/>
      <c r="J32249" s="11"/>
      <c r="U32249" s="9"/>
      <c r="X32249" s="9"/>
    </row>
    <row r="32250">
      <c r="D32250" s="9"/>
      <c r="G32250" s="9"/>
      <c r="J32250" s="11"/>
      <c r="U32250" s="9"/>
      <c r="X32250" s="9"/>
    </row>
    <row r="32251">
      <c r="D32251" s="9"/>
      <c r="G32251" s="9"/>
      <c r="J32251" s="11"/>
      <c r="U32251" s="9"/>
      <c r="X32251" s="9"/>
    </row>
    <row r="32252">
      <c r="D32252" s="9"/>
      <c r="G32252" s="9"/>
      <c r="J32252" s="11"/>
      <c r="U32252" s="9"/>
      <c r="X32252" s="9"/>
    </row>
    <row r="32253">
      <c r="D32253" s="9"/>
      <c r="G32253" s="9"/>
      <c r="J32253" s="11"/>
      <c r="U32253" s="9"/>
      <c r="X32253" s="9"/>
    </row>
    <row r="32254">
      <c r="D32254" s="9"/>
      <c r="G32254" s="9"/>
      <c r="J32254" s="11"/>
      <c r="U32254" s="9"/>
      <c r="X32254" s="9"/>
    </row>
    <row r="32255">
      <c r="D32255" s="9"/>
      <c r="G32255" s="9"/>
      <c r="J32255" s="11"/>
      <c r="U32255" s="9"/>
      <c r="X32255" s="9"/>
    </row>
    <row r="32256">
      <c r="D32256" s="9"/>
      <c r="G32256" s="9"/>
      <c r="J32256" s="11"/>
      <c r="U32256" s="9"/>
      <c r="X32256" s="9"/>
    </row>
    <row r="32257">
      <c r="D32257" s="9"/>
      <c r="G32257" s="9"/>
      <c r="J32257" s="11"/>
      <c r="U32257" s="9"/>
      <c r="X32257" s="9"/>
    </row>
    <row r="32258">
      <c r="D32258" s="9"/>
      <c r="G32258" s="9"/>
      <c r="J32258" s="11"/>
      <c r="U32258" s="9"/>
      <c r="X32258" s="9"/>
    </row>
    <row r="32259">
      <c r="D32259" s="9"/>
      <c r="G32259" s="9"/>
      <c r="J32259" s="11"/>
      <c r="U32259" s="9"/>
      <c r="X32259" s="9"/>
    </row>
    <row r="32260">
      <c r="D32260" s="9"/>
      <c r="G32260" s="9"/>
      <c r="J32260" s="11"/>
      <c r="U32260" s="9"/>
      <c r="X32260" s="9"/>
    </row>
    <row r="32261">
      <c r="D32261" s="9"/>
      <c r="G32261" s="9"/>
      <c r="J32261" s="11"/>
      <c r="U32261" s="9"/>
      <c r="X32261" s="9"/>
    </row>
    <row r="32262">
      <c r="D32262" s="9"/>
      <c r="G32262" s="9"/>
      <c r="J32262" s="11"/>
      <c r="U32262" s="9"/>
      <c r="X32262" s="9"/>
    </row>
    <row r="32263">
      <c r="D32263" s="9"/>
      <c r="G32263" s="9"/>
      <c r="J32263" s="11"/>
      <c r="U32263" s="9"/>
      <c r="X32263" s="9"/>
    </row>
    <row r="32264">
      <c r="D32264" s="9"/>
      <c r="G32264" s="9"/>
      <c r="J32264" s="11"/>
      <c r="U32264" s="9"/>
      <c r="X32264" s="9"/>
    </row>
    <row r="32265">
      <c r="D32265" s="9"/>
      <c r="G32265" s="9"/>
      <c r="J32265" s="11"/>
      <c r="U32265" s="9"/>
      <c r="X32265" s="9"/>
    </row>
    <row r="32266">
      <c r="D32266" s="9"/>
      <c r="G32266" s="9"/>
      <c r="J32266" s="11"/>
      <c r="U32266" s="9"/>
      <c r="X32266" s="9"/>
    </row>
    <row r="32267">
      <c r="D32267" s="9"/>
      <c r="G32267" s="9"/>
      <c r="J32267" s="11"/>
      <c r="U32267" s="9"/>
      <c r="X32267" s="9"/>
    </row>
    <row r="32268">
      <c r="D32268" s="9"/>
      <c r="G32268" s="9"/>
      <c r="J32268" s="11"/>
      <c r="U32268" s="9"/>
      <c r="X32268" s="9"/>
    </row>
    <row r="32269">
      <c r="D32269" s="9"/>
      <c r="G32269" s="9"/>
      <c r="J32269" s="11"/>
      <c r="U32269" s="9"/>
      <c r="X32269" s="9"/>
    </row>
    <row r="32270">
      <c r="D32270" s="9"/>
      <c r="G32270" s="9"/>
      <c r="J32270" s="11"/>
      <c r="U32270" s="9"/>
      <c r="X32270" s="9"/>
    </row>
    <row r="32271">
      <c r="D32271" s="9"/>
      <c r="G32271" s="9"/>
      <c r="J32271" s="11"/>
      <c r="U32271" s="9"/>
      <c r="X32271" s="9"/>
    </row>
    <row r="32272">
      <c r="D32272" s="9"/>
      <c r="G32272" s="9"/>
      <c r="J32272" s="11"/>
      <c r="U32272" s="9"/>
      <c r="X32272" s="9"/>
    </row>
    <row r="32273">
      <c r="D32273" s="9"/>
      <c r="G32273" s="9"/>
      <c r="J32273" s="11"/>
      <c r="U32273" s="9"/>
      <c r="X32273" s="9"/>
    </row>
    <row r="32274">
      <c r="D32274" s="9"/>
      <c r="G32274" s="9"/>
      <c r="J32274" s="11"/>
      <c r="U32274" s="9"/>
      <c r="X32274" s="9"/>
    </row>
    <row r="32275">
      <c r="D32275" s="9"/>
      <c r="G32275" s="9"/>
      <c r="J32275" s="11"/>
      <c r="U32275" s="9"/>
      <c r="X32275" s="9"/>
    </row>
    <row r="32276">
      <c r="D32276" s="9"/>
      <c r="G32276" s="9"/>
      <c r="J32276" s="11"/>
      <c r="U32276" s="9"/>
      <c r="X32276" s="9"/>
    </row>
    <row r="32277">
      <c r="D32277" s="9"/>
      <c r="G32277" s="9"/>
      <c r="J32277" s="11"/>
      <c r="U32277" s="9"/>
      <c r="X32277" s="9"/>
    </row>
    <row r="32278">
      <c r="D32278" s="9"/>
      <c r="G32278" s="9"/>
      <c r="J32278" s="11"/>
      <c r="U32278" s="9"/>
      <c r="X32278" s="9"/>
    </row>
    <row r="32279">
      <c r="D32279" s="9"/>
      <c r="G32279" s="9"/>
      <c r="J32279" s="11"/>
      <c r="U32279" s="9"/>
      <c r="X32279" s="9"/>
    </row>
    <row r="32280">
      <c r="D32280" s="9"/>
      <c r="G32280" s="9"/>
      <c r="J32280" s="11"/>
      <c r="U32280" s="9"/>
      <c r="X32280" s="9"/>
    </row>
    <row r="32281">
      <c r="D32281" s="9"/>
      <c r="G32281" s="9"/>
      <c r="J32281" s="11"/>
      <c r="U32281" s="9"/>
      <c r="X32281" s="9"/>
    </row>
    <row r="32282">
      <c r="D32282" s="9"/>
      <c r="G32282" s="9"/>
      <c r="J32282" s="11"/>
      <c r="U32282" s="9"/>
      <c r="X32282" s="9"/>
    </row>
    <row r="32283">
      <c r="D32283" s="9"/>
      <c r="G32283" s="9"/>
      <c r="J32283" s="11"/>
      <c r="U32283" s="9"/>
      <c r="X32283" s="9"/>
    </row>
    <row r="32284">
      <c r="D32284" s="9"/>
      <c r="G32284" s="9"/>
      <c r="J32284" s="11"/>
      <c r="U32284" s="9"/>
      <c r="X32284" s="9"/>
    </row>
    <row r="32285">
      <c r="D32285" s="9"/>
      <c r="G32285" s="9"/>
      <c r="J32285" s="11"/>
      <c r="U32285" s="9"/>
      <c r="X32285" s="9"/>
    </row>
    <row r="32286">
      <c r="D32286" s="9"/>
      <c r="G32286" s="9"/>
      <c r="J32286" s="11"/>
      <c r="U32286" s="9"/>
      <c r="X32286" s="9"/>
    </row>
    <row r="32287">
      <c r="D32287" s="9"/>
      <c r="G32287" s="9"/>
      <c r="J32287" s="11"/>
      <c r="U32287" s="9"/>
      <c r="X32287" s="9"/>
    </row>
    <row r="32288">
      <c r="D32288" s="9"/>
      <c r="G32288" s="9"/>
      <c r="J32288" s="11"/>
      <c r="U32288" s="9"/>
      <c r="X32288" s="9"/>
    </row>
    <row r="32289">
      <c r="D32289" s="9"/>
      <c r="G32289" s="9"/>
      <c r="J32289" s="11"/>
      <c r="U32289" s="9"/>
      <c r="X32289" s="9"/>
    </row>
    <row r="32290">
      <c r="D32290" s="9"/>
      <c r="G32290" s="9"/>
      <c r="J32290" s="11"/>
      <c r="U32290" s="9"/>
      <c r="X32290" s="9"/>
    </row>
    <row r="32291">
      <c r="D32291" s="9"/>
      <c r="G32291" s="9"/>
      <c r="J32291" s="11"/>
      <c r="U32291" s="9"/>
      <c r="X32291" s="9"/>
    </row>
    <row r="32292">
      <c r="D32292" s="9"/>
      <c r="G32292" s="9"/>
      <c r="J32292" s="11"/>
      <c r="U32292" s="9"/>
      <c r="X32292" s="9"/>
    </row>
    <row r="32293">
      <c r="D32293" s="9"/>
      <c r="G32293" s="9"/>
      <c r="J32293" s="11"/>
      <c r="U32293" s="9"/>
      <c r="X32293" s="9"/>
    </row>
    <row r="32294">
      <c r="D32294" s="9"/>
      <c r="G32294" s="9"/>
      <c r="J32294" s="11"/>
      <c r="U32294" s="9"/>
      <c r="X32294" s="9"/>
    </row>
    <row r="32295">
      <c r="D32295" s="9"/>
      <c r="G32295" s="9"/>
      <c r="J32295" s="11"/>
      <c r="U32295" s="9"/>
      <c r="X32295" s="9"/>
    </row>
    <row r="32296">
      <c r="D32296" s="9"/>
      <c r="G32296" s="9"/>
      <c r="J32296" s="11"/>
      <c r="U32296" s="9"/>
      <c r="X32296" s="9"/>
    </row>
    <row r="32297">
      <c r="D32297" s="9"/>
      <c r="G32297" s="9"/>
      <c r="J32297" s="11"/>
      <c r="U32297" s="9"/>
      <c r="X32297" s="9"/>
    </row>
    <row r="32298">
      <c r="D32298" s="9"/>
      <c r="G32298" s="9"/>
      <c r="J32298" s="11"/>
      <c r="U32298" s="9"/>
      <c r="X32298" s="9"/>
    </row>
    <row r="32299">
      <c r="D32299" s="9"/>
      <c r="G32299" s="9"/>
      <c r="J32299" s="11"/>
      <c r="U32299" s="9"/>
      <c r="X32299" s="9"/>
    </row>
    <row r="32300">
      <c r="D32300" s="9"/>
      <c r="G32300" s="9"/>
      <c r="J32300" s="11"/>
      <c r="U32300" s="9"/>
      <c r="X32300" s="9"/>
    </row>
    <row r="32301">
      <c r="D32301" s="9"/>
      <c r="G32301" s="9"/>
      <c r="J32301" s="11"/>
      <c r="U32301" s="9"/>
      <c r="X32301" s="9"/>
    </row>
    <row r="32302">
      <c r="D32302" s="9"/>
      <c r="G32302" s="9"/>
      <c r="J32302" s="11"/>
      <c r="U32302" s="9"/>
      <c r="X32302" s="9"/>
    </row>
    <row r="32303">
      <c r="D32303" s="9"/>
      <c r="G32303" s="9"/>
      <c r="J32303" s="11"/>
      <c r="U32303" s="9"/>
      <c r="X32303" s="9"/>
    </row>
    <row r="32304">
      <c r="D32304" s="9"/>
      <c r="G32304" s="9"/>
      <c r="J32304" s="11"/>
      <c r="U32304" s="9"/>
      <c r="X32304" s="9"/>
    </row>
    <row r="32305">
      <c r="D32305" s="9"/>
      <c r="G32305" s="9"/>
      <c r="J32305" s="11"/>
      <c r="U32305" s="9"/>
      <c r="X32305" s="9"/>
    </row>
    <row r="32306">
      <c r="D32306" s="9"/>
      <c r="G32306" s="9"/>
      <c r="J32306" s="11"/>
      <c r="U32306" s="9"/>
      <c r="X32306" s="9"/>
    </row>
    <row r="32307">
      <c r="D32307" s="9"/>
      <c r="G32307" s="9"/>
      <c r="J32307" s="11"/>
      <c r="U32307" s="9"/>
      <c r="X32307" s="9"/>
    </row>
    <row r="32308">
      <c r="D32308" s="9"/>
      <c r="G32308" s="9"/>
      <c r="J32308" s="11"/>
      <c r="U32308" s="9"/>
      <c r="X32308" s="9"/>
    </row>
    <row r="32309">
      <c r="D32309" s="9"/>
      <c r="G32309" s="9"/>
      <c r="J32309" s="11"/>
      <c r="U32309" s="9"/>
      <c r="X32309" s="9"/>
    </row>
    <row r="32310">
      <c r="D32310" s="9"/>
      <c r="G32310" s="9"/>
      <c r="J32310" s="11"/>
      <c r="U32310" s="9"/>
      <c r="X32310" s="9"/>
    </row>
    <row r="32311">
      <c r="D32311" s="9"/>
      <c r="G32311" s="9"/>
      <c r="J32311" s="11"/>
      <c r="U32311" s="9"/>
      <c r="X32311" s="9"/>
    </row>
    <row r="32312">
      <c r="D32312" s="9"/>
      <c r="G32312" s="9"/>
      <c r="J32312" s="11"/>
      <c r="U32312" s="9"/>
      <c r="X32312" s="9"/>
    </row>
    <row r="32313">
      <c r="D32313" s="9"/>
      <c r="G32313" s="9"/>
      <c r="J32313" s="11"/>
      <c r="U32313" s="9"/>
      <c r="X32313" s="9"/>
    </row>
    <row r="32314">
      <c r="D32314" s="9"/>
      <c r="G32314" s="9"/>
      <c r="J32314" s="11"/>
      <c r="U32314" s="9"/>
      <c r="X32314" s="9"/>
    </row>
    <row r="32315">
      <c r="D32315" s="9"/>
      <c r="G32315" s="9"/>
      <c r="J32315" s="11"/>
      <c r="U32315" s="9"/>
      <c r="X32315" s="9"/>
    </row>
    <row r="32316">
      <c r="D32316" s="9"/>
      <c r="G32316" s="9"/>
      <c r="J32316" s="11"/>
      <c r="U32316" s="9"/>
      <c r="X32316" s="9"/>
    </row>
    <row r="32317">
      <c r="D32317" s="9"/>
      <c r="G32317" s="9"/>
      <c r="J32317" s="11"/>
      <c r="U32317" s="9"/>
      <c r="X32317" s="9"/>
    </row>
    <row r="32318">
      <c r="D32318" s="9"/>
      <c r="G32318" s="9"/>
      <c r="J32318" s="11"/>
      <c r="U32318" s="9"/>
      <c r="X32318" s="9"/>
    </row>
    <row r="32319">
      <c r="D32319" s="9"/>
      <c r="G32319" s="9"/>
      <c r="J32319" s="11"/>
      <c r="U32319" s="9"/>
      <c r="X32319" s="9"/>
    </row>
    <row r="32320">
      <c r="D32320" s="9"/>
      <c r="G32320" s="9"/>
      <c r="J32320" s="11"/>
      <c r="U32320" s="9"/>
      <c r="X32320" s="9"/>
    </row>
    <row r="32321">
      <c r="D32321" s="9"/>
      <c r="G32321" s="9"/>
      <c r="J32321" s="11"/>
      <c r="U32321" s="9"/>
      <c r="X32321" s="9"/>
    </row>
    <row r="32322">
      <c r="D32322" s="9"/>
      <c r="G32322" s="9"/>
      <c r="J32322" s="11"/>
      <c r="U32322" s="9"/>
      <c r="X32322" s="9"/>
    </row>
    <row r="32323">
      <c r="D32323" s="9"/>
      <c r="G32323" s="9"/>
      <c r="J32323" s="11"/>
      <c r="U32323" s="9"/>
      <c r="X32323" s="9"/>
    </row>
    <row r="32324">
      <c r="D32324" s="9"/>
      <c r="G32324" s="9"/>
      <c r="J32324" s="11"/>
      <c r="U32324" s="9"/>
      <c r="X32324" s="9"/>
    </row>
    <row r="32325">
      <c r="D32325" s="9"/>
      <c r="G32325" s="9"/>
      <c r="J32325" s="11"/>
      <c r="U32325" s="9"/>
      <c r="X32325" s="9"/>
    </row>
    <row r="32326">
      <c r="D32326" s="9"/>
      <c r="G32326" s="9"/>
      <c r="J32326" s="11"/>
      <c r="U32326" s="9"/>
      <c r="X32326" s="9"/>
    </row>
    <row r="32327">
      <c r="D32327" s="9"/>
      <c r="G32327" s="9"/>
      <c r="J32327" s="11"/>
      <c r="U32327" s="9"/>
      <c r="X32327" s="9"/>
    </row>
    <row r="32328">
      <c r="D32328" s="9"/>
      <c r="G32328" s="9"/>
      <c r="J32328" s="11"/>
      <c r="U32328" s="9"/>
      <c r="X32328" s="9"/>
    </row>
    <row r="32329">
      <c r="D32329" s="9"/>
      <c r="G32329" s="9"/>
      <c r="J32329" s="11"/>
      <c r="U32329" s="9"/>
      <c r="X32329" s="9"/>
    </row>
    <row r="32330">
      <c r="D32330" s="9"/>
      <c r="G32330" s="9"/>
      <c r="J32330" s="11"/>
      <c r="U32330" s="9"/>
      <c r="X32330" s="9"/>
    </row>
    <row r="32331">
      <c r="D32331" s="9"/>
      <c r="G32331" s="9"/>
      <c r="J32331" s="11"/>
      <c r="U32331" s="9"/>
      <c r="X32331" s="9"/>
    </row>
    <row r="32332">
      <c r="D32332" s="9"/>
      <c r="G32332" s="9"/>
      <c r="J32332" s="11"/>
      <c r="U32332" s="9"/>
      <c r="X32332" s="9"/>
    </row>
    <row r="32333">
      <c r="D32333" s="9"/>
      <c r="G32333" s="9"/>
      <c r="J32333" s="11"/>
      <c r="U32333" s="9"/>
      <c r="X32333" s="9"/>
    </row>
    <row r="32334">
      <c r="D32334" s="9"/>
      <c r="G32334" s="9"/>
      <c r="J32334" s="11"/>
      <c r="U32334" s="9"/>
      <c r="X32334" s="9"/>
    </row>
    <row r="32335">
      <c r="D32335" s="9"/>
      <c r="G32335" s="9"/>
      <c r="J32335" s="11"/>
      <c r="U32335" s="9"/>
      <c r="X32335" s="9"/>
    </row>
    <row r="32336">
      <c r="D32336" s="9"/>
      <c r="G32336" s="9"/>
      <c r="J32336" s="11"/>
      <c r="U32336" s="9"/>
      <c r="X32336" s="9"/>
    </row>
    <row r="32337">
      <c r="D32337" s="9"/>
      <c r="G32337" s="9"/>
      <c r="J32337" s="11"/>
      <c r="U32337" s="9"/>
      <c r="X32337" s="9"/>
    </row>
    <row r="32338">
      <c r="D32338" s="9"/>
      <c r="G32338" s="9"/>
      <c r="J32338" s="11"/>
      <c r="U32338" s="9"/>
      <c r="X32338" s="9"/>
    </row>
    <row r="32339">
      <c r="D32339" s="9"/>
      <c r="G32339" s="9"/>
      <c r="J32339" s="11"/>
      <c r="U32339" s="9"/>
      <c r="X32339" s="9"/>
    </row>
    <row r="32340">
      <c r="D32340" s="9"/>
      <c r="G32340" s="9"/>
      <c r="J32340" s="11"/>
      <c r="U32340" s="9"/>
      <c r="X32340" s="9"/>
    </row>
    <row r="32341">
      <c r="D32341" s="9"/>
      <c r="G32341" s="9"/>
      <c r="J32341" s="11"/>
      <c r="U32341" s="9"/>
      <c r="X32341" s="9"/>
    </row>
    <row r="32342">
      <c r="D32342" s="9"/>
      <c r="G32342" s="9"/>
      <c r="J32342" s="11"/>
      <c r="U32342" s="9"/>
      <c r="X32342" s="9"/>
    </row>
    <row r="32343">
      <c r="D32343" s="9"/>
      <c r="G32343" s="9"/>
      <c r="J32343" s="11"/>
      <c r="U32343" s="9"/>
      <c r="X32343" s="9"/>
    </row>
    <row r="32344">
      <c r="D32344" s="9"/>
      <c r="G32344" s="9"/>
      <c r="J32344" s="11"/>
      <c r="U32344" s="9"/>
      <c r="X32344" s="9"/>
    </row>
    <row r="32345">
      <c r="D32345" s="9"/>
      <c r="G32345" s="9"/>
      <c r="J32345" s="11"/>
      <c r="U32345" s="9"/>
      <c r="X32345" s="9"/>
    </row>
    <row r="32346">
      <c r="D32346" s="9"/>
      <c r="G32346" s="9"/>
      <c r="J32346" s="11"/>
      <c r="U32346" s="9"/>
      <c r="X32346" s="9"/>
    </row>
    <row r="32347">
      <c r="D32347" s="9"/>
      <c r="G32347" s="9"/>
      <c r="J32347" s="11"/>
      <c r="U32347" s="9"/>
      <c r="X32347" s="9"/>
    </row>
    <row r="32348">
      <c r="D32348" s="9"/>
      <c r="G32348" s="9"/>
      <c r="J32348" s="11"/>
      <c r="U32348" s="9"/>
      <c r="X32348" s="9"/>
    </row>
    <row r="32349">
      <c r="D32349" s="9"/>
      <c r="G32349" s="9"/>
      <c r="J32349" s="11"/>
      <c r="U32349" s="9"/>
      <c r="X32349" s="9"/>
    </row>
    <row r="32350">
      <c r="D32350" s="9"/>
      <c r="G32350" s="9"/>
      <c r="J32350" s="11"/>
      <c r="U32350" s="9"/>
      <c r="X32350" s="9"/>
    </row>
    <row r="32351">
      <c r="D32351" s="9"/>
      <c r="G32351" s="9"/>
      <c r="J32351" s="11"/>
      <c r="U32351" s="9"/>
      <c r="X32351" s="9"/>
    </row>
    <row r="32352">
      <c r="D32352" s="9"/>
      <c r="G32352" s="9"/>
      <c r="J32352" s="11"/>
      <c r="U32352" s="9"/>
      <c r="X32352" s="9"/>
    </row>
    <row r="32353">
      <c r="D32353" s="9"/>
      <c r="G32353" s="9"/>
      <c r="J32353" s="11"/>
      <c r="U32353" s="9"/>
      <c r="X32353" s="9"/>
    </row>
    <row r="32354">
      <c r="D32354" s="9"/>
      <c r="G32354" s="9"/>
      <c r="J32354" s="11"/>
      <c r="U32354" s="9"/>
      <c r="X32354" s="9"/>
    </row>
    <row r="32355">
      <c r="D32355" s="9"/>
      <c r="G32355" s="9"/>
      <c r="J32355" s="11"/>
      <c r="U32355" s="9"/>
      <c r="X32355" s="9"/>
    </row>
    <row r="32356">
      <c r="D32356" s="9"/>
      <c r="G32356" s="9"/>
      <c r="J32356" s="11"/>
      <c r="U32356" s="9"/>
      <c r="X32356" s="9"/>
    </row>
    <row r="32357">
      <c r="D32357" s="9"/>
      <c r="G32357" s="9"/>
      <c r="J32357" s="11"/>
      <c r="U32357" s="9"/>
      <c r="X32357" s="9"/>
    </row>
    <row r="32358">
      <c r="D32358" s="9"/>
      <c r="G32358" s="9"/>
      <c r="J32358" s="11"/>
      <c r="U32358" s="9"/>
      <c r="X32358" s="9"/>
    </row>
    <row r="32359">
      <c r="D32359" s="9"/>
      <c r="G32359" s="9"/>
      <c r="J32359" s="11"/>
      <c r="U32359" s="9"/>
      <c r="X32359" s="9"/>
    </row>
    <row r="32360">
      <c r="D32360" s="9"/>
      <c r="G32360" s="9"/>
      <c r="J32360" s="11"/>
      <c r="U32360" s="9"/>
      <c r="X32360" s="9"/>
    </row>
    <row r="32361">
      <c r="D32361" s="9"/>
      <c r="G32361" s="9"/>
      <c r="J32361" s="11"/>
      <c r="U32361" s="9"/>
      <c r="X32361" s="9"/>
    </row>
    <row r="32362">
      <c r="D32362" s="9"/>
      <c r="G32362" s="9"/>
      <c r="J32362" s="11"/>
      <c r="U32362" s="9"/>
      <c r="X32362" s="9"/>
    </row>
    <row r="32363">
      <c r="D32363" s="9"/>
      <c r="G32363" s="9"/>
      <c r="J32363" s="11"/>
      <c r="U32363" s="9"/>
      <c r="X32363" s="9"/>
    </row>
    <row r="32364">
      <c r="D32364" s="9"/>
      <c r="G32364" s="9"/>
      <c r="J32364" s="11"/>
      <c r="U32364" s="9"/>
      <c r="X32364" s="9"/>
    </row>
    <row r="32365">
      <c r="D32365" s="9"/>
      <c r="G32365" s="9"/>
      <c r="J32365" s="11"/>
      <c r="U32365" s="9"/>
      <c r="X32365" s="9"/>
    </row>
    <row r="32366">
      <c r="D32366" s="9"/>
      <c r="G32366" s="9"/>
      <c r="J32366" s="11"/>
      <c r="U32366" s="9"/>
      <c r="X32366" s="9"/>
    </row>
    <row r="32367">
      <c r="D32367" s="9"/>
      <c r="G32367" s="9"/>
      <c r="J32367" s="11"/>
      <c r="U32367" s="9"/>
      <c r="X32367" s="9"/>
    </row>
    <row r="32368">
      <c r="D32368" s="9"/>
      <c r="G32368" s="9"/>
      <c r="J32368" s="11"/>
      <c r="U32368" s="9"/>
      <c r="X32368" s="9"/>
    </row>
    <row r="32369">
      <c r="D32369" s="9"/>
      <c r="G32369" s="9"/>
      <c r="J32369" s="11"/>
      <c r="U32369" s="9"/>
      <c r="X32369" s="9"/>
    </row>
    <row r="32370">
      <c r="D32370" s="9"/>
      <c r="G32370" s="9"/>
      <c r="J32370" s="11"/>
      <c r="U32370" s="9"/>
      <c r="X32370" s="9"/>
    </row>
    <row r="32371">
      <c r="D32371" s="9"/>
      <c r="G32371" s="9"/>
      <c r="J32371" s="11"/>
      <c r="U32371" s="9"/>
      <c r="X32371" s="9"/>
    </row>
    <row r="32372">
      <c r="D32372" s="9"/>
      <c r="G32372" s="9"/>
      <c r="J32372" s="11"/>
      <c r="U32372" s="9"/>
      <c r="X32372" s="9"/>
    </row>
    <row r="32373">
      <c r="D32373" s="9"/>
      <c r="G32373" s="9"/>
      <c r="J32373" s="11"/>
      <c r="U32373" s="9"/>
      <c r="X32373" s="9"/>
    </row>
    <row r="32374">
      <c r="D32374" s="9"/>
      <c r="G32374" s="9"/>
      <c r="J32374" s="11"/>
      <c r="U32374" s="9"/>
      <c r="X32374" s="9"/>
    </row>
    <row r="32375">
      <c r="D32375" s="9"/>
      <c r="G32375" s="9"/>
      <c r="J32375" s="11"/>
      <c r="U32375" s="9"/>
      <c r="X32375" s="9"/>
    </row>
    <row r="32376">
      <c r="D32376" s="9"/>
      <c r="G32376" s="9"/>
      <c r="J32376" s="11"/>
      <c r="U32376" s="9"/>
      <c r="X32376" s="9"/>
    </row>
    <row r="32377">
      <c r="D32377" s="9"/>
      <c r="G32377" s="9"/>
      <c r="J32377" s="11"/>
      <c r="U32377" s="9"/>
      <c r="X32377" s="9"/>
    </row>
    <row r="32378">
      <c r="D32378" s="9"/>
      <c r="G32378" s="9"/>
      <c r="J32378" s="11"/>
      <c r="U32378" s="9"/>
      <c r="X32378" s="9"/>
    </row>
    <row r="32379">
      <c r="D32379" s="9"/>
      <c r="G32379" s="9"/>
      <c r="J32379" s="11"/>
      <c r="U32379" s="9"/>
      <c r="X32379" s="9"/>
    </row>
    <row r="32380">
      <c r="D32380" s="9"/>
      <c r="G32380" s="9"/>
      <c r="J32380" s="11"/>
      <c r="U32380" s="9"/>
      <c r="X32380" s="9"/>
    </row>
    <row r="32381">
      <c r="D32381" s="9"/>
      <c r="G32381" s="9"/>
      <c r="J32381" s="11"/>
      <c r="U32381" s="9"/>
      <c r="X32381" s="9"/>
    </row>
    <row r="32382">
      <c r="D32382" s="9"/>
      <c r="G32382" s="9"/>
      <c r="J32382" s="11"/>
      <c r="U32382" s="9"/>
      <c r="X32382" s="9"/>
    </row>
    <row r="32383">
      <c r="D32383" s="9"/>
      <c r="G32383" s="9"/>
      <c r="J32383" s="11"/>
      <c r="U32383" s="9"/>
      <c r="X32383" s="9"/>
    </row>
    <row r="32384">
      <c r="D32384" s="9"/>
      <c r="G32384" s="9"/>
      <c r="J32384" s="11"/>
      <c r="U32384" s="9"/>
      <c r="X32384" s="9"/>
    </row>
    <row r="32385">
      <c r="D32385" s="9"/>
      <c r="G32385" s="9"/>
      <c r="J32385" s="11"/>
      <c r="U32385" s="9"/>
      <c r="X32385" s="9"/>
    </row>
    <row r="32386">
      <c r="D32386" s="9"/>
      <c r="G32386" s="9"/>
      <c r="J32386" s="11"/>
      <c r="U32386" s="9"/>
      <c r="X32386" s="9"/>
    </row>
    <row r="32387">
      <c r="D32387" s="9"/>
      <c r="G32387" s="9"/>
      <c r="J32387" s="11"/>
      <c r="U32387" s="9"/>
      <c r="X32387" s="9"/>
    </row>
    <row r="32388">
      <c r="D32388" s="9"/>
      <c r="G32388" s="9"/>
      <c r="J32388" s="11"/>
      <c r="U32388" s="9"/>
      <c r="X32388" s="9"/>
    </row>
    <row r="32389">
      <c r="D32389" s="9"/>
      <c r="G32389" s="9"/>
      <c r="J32389" s="11"/>
      <c r="U32389" s="9"/>
      <c r="X32389" s="9"/>
    </row>
    <row r="32390">
      <c r="D32390" s="9"/>
      <c r="G32390" s="9"/>
      <c r="J32390" s="11"/>
      <c r="U32390" s="9"/>
      <c r="X32390" s="9"/>
    </row>
    <row r="32391">
      <c r="D32391" s="9"/>
      <c r="G32391" s="9"/>
      <c r="J32391" s="11"/>
      <c r="U32391" s="9"/>
      <c r="X32391" s="9"/>
    </row>
    <row r="32392">
      <c r="D32392" s="9"/>
      <c r="G32392" s="9"/>
      <c r="J32392" s="11"/>
      <c r="U32392" s="9"/>
      <c r="X32392" s="9"/>
    </row>
    <row r="32393">
      <c r="D32393" s="9"/>
      <c r="G32393" s="9"/>
      <c r="J32393" s="11"/>
      <c r="U32393" s="9"/>
      <c r="X32393" s="9"/>
    </row>
    <row r="32394">
      <c r="D32394" s="9"/>
      <c r="G32394" s="9"/>
      <c r="J32394" s="11"/>
      <c r="U32394" s="9"/>
      <c r="X32394" s="9"/>
    </row>
    <row r="32395">
      <c r="D32395" s="9"/>
      <c r="G32395" s="9"/>
      <c r="J32395" s="11"/>
      <c r="U32395" s="9"/>
      <c r="X32395" s="9"/>
    </row>
    <row r="32396">
      <c r="D32396" s="9"/>
      <c r="G32396" s="9"/>
      <c r="J32396" s="11"/>
      <c r="U32396" s="9"/>
      <c r="X32396" s="9"/>
    </row>
    <row r="32397">
      <c r="D32397" s="9"/>
      <c r="G32397" s="9"/>
      <c r="J32397" s="11"/>
      <c r="U32397" s="9"/>
      <c r="X32397" s="9"/>
    </row>
    <row r="32398">
      <c r="D32398" s="9"/>
      <c r="G32398" s="9"/>
      <c r="J32398" s="11"/>
      <c r="U32398" s="9"/>
      <c r="X32398" s="9"/>
    </row>
    <row r="32399">
      <c r="D32399" s="9"/>
      <c r="G32399" s="9"/>
      <c r="J32399" s="11"/>
      <c r="U32399" s="9"/>
      <c r="X32399" s="9"/>
    </row>
    <row r="32400">
      <c r="D32400" s="9"/>
      <c r="G32400" s="9"/>
      <c r="J32400" s="11"/>
      <c r="U32400" s="9"/>
      <c r="X32400" s="9"/>
    </row>
    <row r="32401">
      <c r="D32401" s="9"/>
      <c r="G32401" s="9"/>
      <c r="J32401" s="11"/>
      <c r="U32401" s="9"/>
      <c r="X32401" s="9"/>
    </row>
    <row r="32402">
      <c r="D32402" s="9"/>
      <c r="G32402" s="9"/>
      <c r="J32402" s="11"/>
      <c r="U32402" s="9"/>
      <c r="X32402" s="9"/>
    </row>
    <row r="32403">
      <c r="D32403" s="9"/>
      <c r="G32403" s="9"/>
      <c r="J32403" s="11"/>
      <c r="U32403" s="9"/>
      <c r="X32403" s="9"/>
    </row>
    <row r="32404">
      <c r="D32404" s="9"/>
      <c r="G32404" s="9"/>
      <c r="J32404" s="11"/>
      <c r="U32404" s="9"/>
      <c r="X32404" s="9"/>
    </row>
    <row r="32405">
      <c r="D32405" s="9"/>
      <c r="G32405" s="9"/>
      <c r="J32405" s="11"/>
      <c r="U32405" s="9"/>
      <c r="X32405" s="9"/>
    </row>
    <row r="32406">
      <c r="D32406" s="9"/>
      <c r="G32406" s="9"/>
      <c r="J32406" s="11"/>
      <c r="U32406" s="9"/>
      <c r="X32406" s="9"/>
    </row>
    <row r="32407">
      <c r="D32407" s="9"/>
      <c r="G32407" s="9"/>
      <c r="J32407" s="11"/>
      <c r="U32407" s="9"/>
      <c r="X32407" s="9"/>
    </row>
    <row r="32408">
      <c r="D32408" s="9"/>
      <c r="G32408" s="9"/>
      <c r="J32408" s="11"/>
      <c r="U32408" s="9"/>
      <c r="X32408" s="9"/>
    </row>
    <row r="32409">
      <c r="D32409" s="9"/>
      <c r="G32409" s="9"/>
      <c r="J32409" s="11"/>
      <c r="U32409" s="9"/>
      <c r="X32409" s="9"/>
    </row>
    <row r="32410">
      <c r="D32410" s="9"/>
      <c r="G32410" s="9"/>
      <c r="J32410" s="11"/>
      <c r="U32410" s="9"/>
      <c r="X32410" s="9"/>
    </row>
    <row r="32411">
      <c r="D32411" s="9"/>
      <c r="G32411" s="9"/>
      <c r="J32411" s="11"/>
      <c r="U32411" s="9"/>
      <c r="X32411" s="9"/>
    </row>
    <row r="32412">
      <c r="D32412" s="9"/>
      <c r="G32412" s="9"/>
      <c r="J32412" s="11"/>
      <c r="U32412" s="9"/>
      <c r="X32412" s="9"/>
    </row>
    <row r="32413">
      <c r="D32413" s="9"/>
      <c r="G32413" s="9"/>
      <c r="J32413" s="11"/>
      <c r="U32413" s="9"/>
      <c r="X32413" s="9"/>
    </row>
    <row r="32414">
      <c r="D32414" s="9"/>
      <c r="G32414" s="9"/>
      <c r="J32414" s="11"/>
      <c r="U32414" s="9"/>
      <c r="X32414" s="9"/>
    </row>
    <row r="32415">
      <c r="D32415" s="9"/>
      <c r="G32415" s="9"/>
      <c r="J32415" s="11"/>
      <c r="U32415" s="9"/>
      <c r="X32415" s="9"/>
    </row>
    <row r="32416">
      <c r="D32416" s="9"/>
      <c r="G32416" s="9"/>
      <c r="J32416" s="11"/>
      <c r="U32416" s="9"/>
      <c r="X32416" s="9"/>
    </row>
    <row r="32417">
      <c r="D32417" s="9"/>
      <c r="G32417" s="9"/>
      <c r="J32417" s="11"/>
      <c r="U32417" s="9"/>
      <c r="X32417" s="9"/>
    </row>
    <row r="32418">
      <c r="D32418" s="9"/>
      <c r="G32418" s="9"/>
      <c r="J32418" s="11"/>
      <c r="U32418" s="9"/>
      <c r="X32418" s="9"/>
    </row>
    <row r="32419">
      <c r="D32419" s="9"/>
      <c r="G32419" s="9"/>
      <c r="J32419" s="11"/>
      <c r="U32419" s="9"/>
      <c r="X32419" s="9"/>
    </row>
    <row r="32420">
      <c r="D32420" s="9"/>
      <c r="G32420" s="9"/>
      <c r="J32420" s="11"/>
      <c r="U32420" s="9"/>
      <c r="X32420" s="9"/>
    </row>
    <row r="32421">
      <c r="D32421" s="9"/>
      <c r="G32421" s="9"/>
      <c r="J32421" s="11"/>
      <c r="U32421" s="9"/>
      <c r="X32421" s="9"/>
    </row>
    <row r="32422">
      <c r="D32422" s="9"/>
      <c r="G32422" s="9"/>
      <c r="J32422" s="11"/>
      <c r="U32422" s="9"/>
      <c r="X32422" s="9"/>
    </row>
    <row r="32423">
      <c r="D32423" s="9"/>
      <c r="G32423" s="9"/>
      <c r="J32423" s="11"/>
      <c r="U32423" s="9"/>
      <c r="X32423" s="9"/>
    </row>
    <row r="32424">
      <c r="D32424" s="9"/>
      <c r="G32424" s="9"/>
      <c r="J32424" s="11"/>
      <c r="U32424" s="9"/>
      <c r="X32424" s="9"/>
    </row>
    <row r="32425">
      <c r="D32425" s="9"/>
      <c r="G32425" s="9"/>
      <c r="J32425" s="11"/>
      <c r="U32425" s="9"/>
      <c r="X32425" s="9"/>
    </row>
    <row r="32426">
      <c r="D32426" s="9"/>
      <c r="G32426" s="9"/>
      <c r="J32426" s="11"/>
      <c r="U32426" s="9"/>
      <c r="X32426" s="9"/>
    </row>
    <row r="32427">
      <c r="D32427" s="9"/>
      <c r="G32427" s="9"/>
      <c r="J32427" s="11"/>
      <c r="U32427" s="9"/>
      <c r="X32427" s="9"/>
    </row>
    <row r="32428">
      <c r="D32428" s="9"/>
      <c r="G32428" s="9"/>
      <c r="J32428" s="11"/>
      <c r="U32428" s="9"/>
      <c r="X32428" s="9"/>
    </row>
    <row r="32429">
      <c r="D32429" s="9"/>
      <c r="G32429" s="9"/>
      <c r="J32429" s="11"/>
      <c r="U32429" s="9"/>
      <c r="X32429" s="9"/>
    </row>
    <row r="32430">
      <c r="D32430" s="9"/>
      <c r="G32430" s="9"/>
      <c r="J32430" s="11"/>
      <c r="U32430" s="9"/>
      <c r="X32430" s="9"/>
    </row>
    <row r="32431">
      <c r="D32431" s="9"/>
      <c r="G32431" s="9"/>
      <c r="J32431" s="11"/>
      <c r="U32431" s="9"/>
      <c r="X32431" s="9"/>
    </row>
    <row r="32432">
      <c r="D32432" s="9"/>
      <c r="G32432" s="9"/>
      <c r="J32432" s="11"/>
      <c r="U32432" s="9"/>
      <c r="X32432" s="9"/>
    </row>
    <row r="32433">
      <c r="D32433" s="9"/>
      <c r="G32433" s="9"/>
      <c r="J32433" s="11"/>
      <c r="U32433" s="9"/>
      <c r="X32433" s="9"/>
    </row>
    <row r="32434">
      <c r="D32434" s="9"/>
      <c r="G32434" s="9"/>
      <c r="J32434" s="11"/>
      <c r="U32434" s="9"/>
      <c r="X32434" s="9"/>
    </row>
    <row r="32435">
      <c r="D32435" s="9"/>
      <c r="G32435" s="9"/>
      <c r="J32435" s="11"/>
      <c r="U32435" s="9"/>
      <c r="X32435" s="9"/>
    </row>
    <row r="32436">
      <c r="D32436" s="9"/>
      <c r="G32436" s="9"/>
      <c r="J32436" s="11"/>
      <c r="U32436" s="9"/>
      <c r="X32436" s="9"/>
    </row>
    <row r="32437">
      <c r="D32437" s="9"/>
      <c r="G32437" s="9"/>
      <c r="J32437" s="11"/>
      <c r="U32437" s="9"/>
      <c r="X32437" s="9"/>
    </row>
    <row r="32438">
      <c r="D32438" s="9"/>
      <c r="G32438" s="9"/>
      <c r="J32438" s="11"/>
      <c r="U32438" s="9"/>
      <c r="X32438" s="9"/>
    </row>
    <row r="32439">
      <c r="D32439" s="9"/>
      <c r="G32439" s="9"/>
      <c r="J32439" s="11"/>
      <c r="U32439" s="9"/>
      <c r="X32439" s="9"/>
    </row>
    <row r="32440">
      <c r="D32440" s="9"/>
      <c r="G32440" s="9"/>
      <c r="J32440" s="11"/>
      <c r="U32440" s="9"/>
      <c r="X32440" s="9"/>
    </row>
    <row r="32441">
      <c r="D32441" s="9"/>
      <c r="G32441" s="9"/>
      <c r="J32441" s="11"/>
      <c r="U32441" s="9"/>
      <c r="X32441" s="9"/>
    </row>
    <row r="32442">
      <c r="D32442" s="9"/>
      <c r="G32442" s="9"/>
      <c r="J32442" s="11"/>
      <c r="U32442" s="9"/>
      <c r="X32442" s="9"/>
    </row>
    <row r="32443">
      <c r="D32443" s="9"/>
      <c r="G32443" s="9"/>
      <c r="J32443" s="11"/>
      <c r="U32443" s="9"/>
      <c r="X32443" s="9"/>
    </row>
    <row r="32444">
      <c r="D32444" s="9"/>
      <c r="G32444" s="9"/>
      <c r="J32444" s="11"/>
      <c r="U32444" s="9"/>
      <c r="X32444" s="9"/>
    </row>
    <row r="32445">
      <c r="D32445" s="9"/>
      <c r="G32445" s="9"/>
      <c r="J32445" s="11"/>
      <c r="U32445" s="9"/>
      <c r="X32445" s="9"/>
    </row>
    <row r="32446">
      <c r="D32446" s="9"/>
      <c r="G32446" s="9"/>
      <c r="J32446" s="11"/>
      <c r="U32446" s="9"/>
      <c r="X32446" s="9"/>
    </row>
    <row r="32447">
      <c r="D32447" s="9"/>
      <c r="G32447" s="9"/>
      <c r="J32447" s="11"/>
      <c r="U32447" s="9"/>
      <c r="X32447" s="9"/>
    </row>
    <row r="32448">
      <c r="D32448" s="9"/>
      <c r="G32448" s="9"/>
      <c r="J32448" s="11"/>
      <c r="U32448" s="9"/>
      <c r="X32448" s="9"/>
    </row>
    <row r="32449">
      <c r="D32449" s="9"/>
      <c r="G32449" s="9"/>
      <c r="J32449" s="11"/>
      <c r="U32449" s="9"/>
      <c r="X32449" s="9"/>
    </row>
    <row r="32450">
      <c r="D32450" s="9"/>
      <c r="G32450" s="9"/>
      <c r="J32450" s="11"/>
      <c r="U32450" s="9"/>
      <c r="X32450" s="9"/>
    </row>
    <row r="32451">
      <c r="D32451" s="9"/>
      <c r="G32451" s="9"/>
      <c r="J32451" s="11"/>
      <c r="U32451" s="9"/>
      <c r="X32451" s="9"/>
    </row>
    <row r="32452">
      <c r="D32452" s="9"/>
      <c r="G32452" s="9"/>
      <c r="J32452" s="11"/>
      <c r="U32452" s="9"/>
      <c r="X32452" s="9"/>
    </row>
    <row r="32453">
      <c r="D32453" s="9"/>
      <c r="G32453" s="9"/>
      <c r="J32453" s="11"/>
      <c r="U32453" s="9"/>
      <c r="X32453" s="9"/>
    </row>
    <row r="32454">
      <c r="D32454" s="9"/>
      <c r="G32454" s="9"/>
      <c r="J32454" s="11"/>
      <c r="U32454" s="9"/>
      <c r="X32454" s="9"/>
    </row>
    <row r="32455">
      <c r="D32455" s="9"/>
      <c r="G32455" s="9"/>
      <c r="J32455" s="11"/>
      <c r="U32455" s="9"/>
      <c r="X32455" s="9"/>
    </row>
    <row r="32456">
      <c r="D32456" s="9"/>
      <c r="G32456" s="9"/>
      <c r="J32456" s="11"/>
      <c r="U32456" s="9"/>
      <c r="X32456" s="9"/>
    </row>
    <row r="32457">
      <c r="D32457" s="9"/>
      <c r="G32457" s="9"/>
      <c r="J32457" s="11"/>
      <c r="U32457" s="9"/>
      <c r="X32457" s="9"/>
    </row>
    <row r="32458">
      <c r="D32458" s="9"/>
      <c r="G32458" s="9"/>
      <c r="J32458" s="11"/>
      <c r="U32458" s="9"/>
      <c r="X32458" s="9"/>
    </row>
    <row r="32459">
      <c r="D32459" s="9"/>
      <c r="G32459" s="9"/>
      <c r="J32459" s="11"/>
      <c r="U32459" s="9"/>
      <c r="X32459" s="9"/>
    </row>
    <row r="32460">
      <c r="D32460" s="9"/>
      <c r="G32460" s="9"/>
      <c r="J32460" s="11"/>
      <c r="U32460" s="9"/>
      <c r="X32460" s="9"/>
    </row>
    <row r="32461">
      <c r="D32461" s="9"/>
      <c r="G32461" s="9"/>
      <c r="J32461" s="11"/>
      <c r="U32461" s="9"/>
      <c r="X32461" s="9"/>
    </row>
    <row r="32462">
      <c r="D32462" s="9"/>
      <c r="G32462" s="9"/>
      <c r="J32462" s="11"/>
      <c r="U32462" s="9"/>
      <c r="X32462" s="9"/>
    </row>
    <row r="32463">
      <c r="D32463" s="9"/>
      <c r="G32463" s="9"/>
      <c r="J32463" s="11"/>
      <c r="U32463" s="9"/>
      <c r="X32463" s="9"/>
    </row>
    <row r="32464">
      <c r="D32464" s="9"/>
      <c r="G32464" s="9"/>
      <c r="J32464" s="11"/>
      <c r="U32464" s="9"/>
      <c r="X32464" s="9"/>
    </row>
    <row r="32465">
      <c r="D32465" s="9"/>
      <c r="G32465" s="9"/>
      <c r="J32465" s="11"/>
      <c r="U32465" s="9"/>
      <c r="X32465" s="9"/>
    </row>
    <row r="32466">
      <c r="D32466" s="9"/>
      <c r="G32466" s="9"/>
      <c r="J32466" s="11"/>
      <c r="U32466" s="9"/>
      <c r="X32466" s="9"/>
    </row>
    <row r="32467">
      <c r="D32467" s="9"/>
      <c r="G32467" s="9"/>
      <c r="J32467" s="11"/>
      <c r="U32467" s="9"/>
      <c r="X32467" s="9"/>
    </row>
    <row r="32468">
      <c r="D32468" s="9"/>
      <c r="G32468" s="9"/>
      <c r="J32468" s="11"/>
      <c r="U32468" s="9"/>
      <c r="X32468" s="9"/>
    </row>
    <row r="32469">
      <c r="D32469" s="9"/>
      <c r="G32469" s="9"/>
      <c r="J32469" s="11"/>
      <c r="U32469" s="9"/>
      <c r="X32469" s="9"/>
    </row>
    <row r="32470">
      <c r="D32470" s="9"/>
      <c r="G32470" s="9"/>
      <c r="J32470" s="11"/>
      <c r="U32470" s="9"/>
      <c r="X32470" s="9"/>
    </row>
    <row r="32471">
      <c r="D32471" s="9"/>
      <c r="G32471" s="9"/>
      <c r="J32471" s="11"/>
      <c r="U32471" s="9"/>
      <c r="X32471" s="9"/>
    </row>
    <row r="32472">
      <c r="D32472" s="9"/>
      <c r="G32472" s="9"/>
      <c r="J32472" s="11"/>
      <c r="U32472" s="9"/>
      <c r="X32472" s="9"/>
    </row>
    <row r="32473">
      <c r="D32473" s="9"/>
      <c r="G32473" s="9"/>
      <c r="J32473" s="11"/>
      <c r="U32473" s="9"/>
      <c r="X32473" s="9"/>
    </row>
    <row r="32474">
      <c r="D32474" s="9"/>
      <c r="G32474" s="9"/>
      <c r="J32474" s="11"/>
      <c r="U32474" s="9"/>
      <c r="X32474" s="9"/>
    </row>
    <row r="32475">
      <c r="D32475" s="9"/>
      <c r="G32475" s="9"/>
      <c r="J32475" s="11"/>
      <c r="U32475" s="9"/>
      <c r="X32475" s="9"/>
    </row>
    <row r="32476">
      <c r="D32476" s="9"/>
      <c r="G32476" s="9"/>
      <c r="J32476" s="11"/>
      <c r="U32476" s="9"/>
      <c r="X32476" s="9"/>
    </row>
    <row r="32477">
      <c r="D32477" s="9"/>
      <c r="G32477" s="9"/>
      <c r="J32477" s="11"/>
      <c r="U32477" s="9"/>
      <c r="X32477" s="9"/>
    </row>
    <row r="32478">
      <c r="D32478" s="9"/>
      <c r="G32478" s="9"/>
      <c r="J32478" s="11"/>
      <c r="U32478" s="9"/>
      <c r="X32478" s="9"/>
    </row>
    <row r="32479">
      <c r="D32479" s="9"/>
      <c r="G32479" s="9"/>
      <c r="J32479" s="11"/>
      <c r="U32479" s="9"/>
      <c r="X32479" s="9"/>
    </row>
    <row r="32480">
      <c r="D32480" s="9"/>
      <c r="G32480" s="9"/>
      <c r="J32480" s="11"/>
      <c r="U32480" s="9"/>
      <c r="X32480" s="9"/>
    </row>
    <row r="32481">
      <c r="D32481" s="9"/>
      <c r="G32481" s="9"/>
      <c r="J32481" s="11"/>
      <c r="U32481" s="9"/>
      <c r="X32481" s="9"/>
    </row>
    <row r="32482">
      <c r="D32482" s="9"/>
      <c r="G32482" s="9"/>
      <c r="J32482" s="11"/>
      <c r="U32482" s="9"/>
      <c r="X32482" s="9"/>
    </row>
    <row r="32483">
      <c r="D32483" s="9"/>
      <c r="G32483" s="9"/>
      <c r="J32483" s="11"/>
      <c r="U32483" s="9"/>
      <c r="X32483" s="9"/>
    </row>
    <row r="32484">
      <c r="D32484" s="9"/>
      <c r="G32484" s="9"/>
      <c r="J32484" s="11"/>
      <c r="U32484" s="9"/>
      <c r="X32484" s="9"/>
    </row>
    <row r="32485">
      <c r="D32485" s="9"/>
      <c r="G32485" s="9"/>
      <c r="J32485" s="11"/>
      <c r="U32485" s="9"/>
      <c r="X32485" s="9"/>
    </row>
    <row r="32486">
      <c r="D32486" s="9"/>
      <c r="G32486" s="9"/>
      <c r="J32486" s="11"/>
      <c r="U32486" s="9"/>
      <c r="X32486" s="9"/>
    </row>
    <row r="32487">
      <c r="D32487" s="9"/>
      <c r="G32487" s="9"/>
      <c r="J32487" s="11"/>
      <c r="U32487" s="9"/>
      <c r="X32487" s="9"/>
    </row>
    <row r="32488">
      <c r="D32488" s="9"/>
      <c r="G32488" s="9"/>
      <c r="J32488" s="11"/>
      <c r="U32488" s="9"/>
      <c r="X32488" s="9"/>
    </row>
    <row r="32489">
      <c r="D32489" s="9"/>
      <c r="G32489" s="9"/>
      <c r="J32489" s="11"/>
      <c r="U32489" s="9"/>
      <c r="X32489" s="9"/>
    </row>
    <row r="32490">
      <c r="D32490" s="9"/>
      <c r="G32490" s="9"/>
      <c r="J32490" s="11"/>
      <c r="U32490" s="9"/>
      <c r="X32490" s="9"/>
    </row>
    <row r="32491">
      <c r="D32491" s="9"/>
      <c r="G32491" s="9"/>
      <c r="J32491" s="11"/>
      <c r="U32491" s="9"/>
      <c r="X32491" s="9"/>
    </row>
    <row r="32492">
      <c r="D32492" s="9"/>
      <c r="G32492" s="9"/>
      <c r="J32492" s="11"/>
      <c r="U32492" s="9"/>
      <c r="X32492" s="9"/>
    </row>
    <row r="32493">
      <c r="D32493" s="9"/>
      <c r="G32493" s="9"/>
      <c r="J32493" s="11"/>
      <c r="U32493" s="9"/>
      <c r="X32493" s="9"/>
    </row>
    <row r="32494">
      <c r="D32494" s="9"/>
      <c r="G32494" s="9"/>
      <c r="J32494" s="11"/>
      <c r="U32494" s="9"/>
      <c r="X32494" s="9"/>
    </row>
    <row r="32495">
      <c r="D32495" s="9"/>
      <c r="G32495" s="9"/>
      <c r="J32495" s="11"/>
      <c r="U32495" s="9"/>
      <c r="X32495" s="9"/>
    </row>
    <row r="32496">
      <c r="D32496" s="9"/>
      <c r="G32496" s="9"/>
      <c r="J32496" s="11"/>
      <c r="U32496" s="9"/>
      <c r="X32496" s="9"/>
    </row>
    <row r="32497">
      <c r="D32497" s="9"/>
      <c r="G32497" s="9"/>
      <c r="J32497" s="11"/>
      <c r="U32497" s="9"/>
      <c r="X32497" s="9"/>
    </row>
    <row r="32498">
      <c r="D32498" s="9"/>
      <c r="G32498" s="9"/>
      <c r="J32498" s="11"/>
      <c r="U32498" s="9"/>
      <c r="X32498" s="9"/>
    </row>
    <row r="32499">
      <c r="D32499" s="9"/>
      <c r="G32499" s="9"/>
      <c r="J32499" s="11"/>
      <c r="U32499" s="9"/>
      <c r="X32499" s="9"/>
    </row>
    <row r="32500">
      <c r="D32500" s="9"/>
      <c r="G32500" s="9"/>
      <c r="J32500" s="11"/>
      <c r="U32500" s="9"/>
      <c r="X32500" s="9"/>
    </row>
    <row r="32501">
      <c r="D32501" s="9"/>
      <c r="G32501" s="9"/>
      <c r="J32501" s="11"/>
      <c r="U32501" s="9"/>
      <c r="X32501" s="9"/>
    </row>
    <row r="32502">
      <c r="D32502" s="9"/>
      <c r="G32502" s="9"/>
      <c r="J32502" s="11"/>
      <c r="U32502" s="9"/>
      <c r="X32502" s="9"/>
    </row>
    <row r="32503">
      <c r="D32503" s="9"/>
      <c r="G32503" s="9"/>
      <c r="J32503" s="11"/>
      <c r="U32503" s="9"/>
      <c r="X32503" s="9"/>
    </row>
    <row r="32504">
      <c r="D32504" s="9"/>
      <c r="G32504" s="9"/>
      <c r="J32504" s="11"/>
      <c r="U32504" s="9"/>
      <c r="X32504" s="9"/>
    </row>
    <row r="32505">
      <c r="D32505" s="9"/>
      <c r="G32505" s="9"/>
      <c r="J32505" s="11"/>
      <c r="U32505" s="9"/>
      <c r="X32505" s="9"/>
    </row>
    <row r="32506">
      <c r="D32506" s="9"/>
      <c r="G32506" s="9"/>
      <c r="J32506" s="11"/>
      <c r="U32506" s="9"/>
      <c r="X32506" s="9"/>
    </row>
    <row r="32507">
      <c r="D32507" s="9"/>
      <c r="G32507" s="9"/>
      <c r="J32507" s="11"/>
      <c r="U32507" s="9"/>
      <c r="X32507" s="9"/>
    </row>
    <row r="32508">
      <c r="D32508" s="9"/>
      <c r="G32508" s="9"/>
      <c r="J32508" s="11"/>
      <c r="U32508" s="9"/>
      <c r="X32508" s="9"/>
    </row>
    <row r="32509">
      <c r="D32509" s="9"/>
      <c r="G32509" s="9"/>
      <c r="J32509" s="11"/>
      <c r="U32509" s="9"/>
      <c r="X32509" s="9"/>
    </row>
    <row r="32510">
      <c r="D32510" s="9"/>
      <c r="G32510" s="9"/>
      <c r="J32510" s="11"/>
      <c r="U32510" s="9"/>
      <c r="X32510" s="9"/>
    </row>
    <row r="32511">
      <c r="D32511" s="9"/>
      <c r="G32511" s="9"/>
      <c r="J32511" s="11"/>
      <c r="U32511" s="9"/>
      <c r="X32511" s="9"/>
    </row>
    <row r="32512">
      <c r="D32512" s="9"/>
      <c r="G32512" s="9"/>
      <c r="J32512" s="11"/>
      <c r="U32512" s="9"/>
      <c r="X32512" s="9"/>
    </row>
    <row r="32513">
      <c r="D32513" s="9"/>
      <c r="G32513" s="9"/>
      <c r="J32513" s="11"/>
      <c r="U32513" s="9"/>
      <c r="X32513" s="9"/>
    </row>
    <row r="32514">
      <c r="D32514" s="9"/>
      <c r="G32514" s="9"/>
      <c r="J32514" s="11"/>
      <c r="U32514" s="9"/>
      <c r="X32514" s="9"/>
    </row>
    <row r="32515">
      <c r="D32515" s="9"/>
      <c r="G32515" s="9"/>
      <c r="J32515" s="11"/>
      <c r="U32515" s="9"/>
      <c r="X32515" s="9"/>
    </row>
    <row r="32516">
      <c r="D32516" s="9"/>
      <c r="G32516" s="9"/>
      <c r="J32516" s="11"/>
      <c r="U32516" s="9"/>
      <c r="X32516" s="9"/>
    </row>
    <row r="32517">
      <c r="D32517" s="9"/>
      <c r="G32517" s="9"/>
      <c r="J32517" s="11"/>
      <c r="U32517" s="9"/>
      <c r="X32517" s="9"/>
    </row>
    <row r="32518">
      <c r="D32518" s="9"/>
      <c r="G32518" s="9"/>
      <c r="J32518" s="11"/>
      <c r="U32518" s="9"/>
      <c r="X32518" s="9"/>
    </row>
    <row r="32519">
      <c r="D32519" s="9"/>
      <c r="G32519" s="9"/>
      <c r="J32519" s="11"/>
      <c r="U32519" s="9"/>
      <c r="X32519" s="9"/>
    </row>
    <row r="32520">
      <c r="D32520" s="9"/>
      <c r="G32520" s="9"/>
      <c r="J32520" s="11"/>
      <c r="U32520" s="9"/>
      <c r="X32520" s="9"/>
    </row>
    <row r="32521">
      <c r="D32521" s="9"/>
      <c r="G32521" s="9"/>
      <c r="J32521" s="11"/>
      <c r="U32521" s="9"/>
      <c r="X32521" s="9"/>
    </row>
    <row r="32522">
      <c r="D32522" s="9"/>
      <c r="G32522" s="9"/>
      <c r="J32522" s="11"/>
      <c r="U32522" s="9"/>
      <c r="X32522" s="9"/>
    </row>
    <row r="32523">
      <c r="D32523" s="9"/>
      <c r="G32523" s="9"/>
      <c r="J32523" s="11"/>
      <c r="U32523" s="9"/>
      <c r="X32523" s="9"/>
    </row>
    <row r="32524">
      <c r="D32524" s="9"/>
      <c r="G32524" s="9"/>
      <c r="J32524" s="11"/>
      <c r="U32524" s="9"/>
      <c r="X32524" s="9"/>
    </row>
    <row r="32525">
      <c r="D32525" s="9"/>
      <c r="G32525" s="9"/>
      <c r="J32525" s="11"/>
      <c r="U32525" s="9"/>
      <c r="X32525" s="9"/>
    </row>
    <row r="32526">
      <c r="D32526" s="9"/>
      <c r="G32526" s="9"/>
      <c r="J32526" s="11"/>
      <c r="U32526" s="9"/>
      <c r="X32526" s="9"/>
    </row>
    <row r="32527">
      <c r="D32527" s="9"/>
      <c r="G32527" s="9"/>
      <c r="J32527" s="11"/>
      <c r="U32527" s="9"/>
      <c r="X32527" s="9"/>
    </row>
    <row r="32528">
      <c r="D32528" s="9"/>
      <c r="G32528" s="9"/>
      <c r="J32528" s="11"/>
      <c r="U32528" s="9"/>
      <c r="X32528" s="9"/>
    </row>
    <row r="32529">
      <c r="D32529" s="9"/>
      <c r="G32529" s="9"/>
      <c r="J32529" s="11"/>
      <c r="U32529" s="9"/>
      <c r="X32529" s="9"/>
    </row>
    <row r="32530">
      <c r="D32530" s="9"/>
      <c r="G32530" s="9"/>
      <c r="J32530" s="11"/>
      <c r="U32530" s="9"/>
      <c r="X32530" s="9"/>
    </row>
    <row r="32531">
      <c r="D32531" s="9"/>
      <c r="G32531" s="9"/>
      <c r="J32531" s="11"/>
      <c r="U32531" s="9"/>
      <c r="X32531" s="9"/>
    </row>
    <row r="32532">
      <c r="D32532" s="9"/>
      <c r="G32532" s="9"/>
      <c r="J32532" s="11"/>
      <c r="U32532" s="9"/>
      <c r="X32532" s="9"/>
    </row>
    <row r="32533">
      <c r="D32533" s="9"/>
      <c r="G32533" s="9"/>
      <c r="J32533" s="11"/>
      <c r="U32533" s="9"/>
      <c r="X32533" s="9"/>
    </row>
    <row r="32534">
      <c r="D32534" s="9"/>
      <c r="G32534" s="9"/>
      <c r="J32534" s="11"/>
      <c r="U32534" s="9"/>
      <c r="X32534" s="9"/>
    </row>
    <row r="32535">
      <c r="D32535" s="9"/>
      <c r="G32535" s="9"/>
      <c r="J32535" s="11"/>
      <c r="U32535" s="9"/>
      <c r="X32535" s="9"/>
    </row>
    <row r="32536">
      <c r="D32536" s="9"/>
      <c r="G32536" s="9"/>
      <c r="J32536" s="11"/>
      <c r="U32536" s="9"/>
      <c r="X32536" s="9"/>
    </row>
    <row r="32537">
      <c r="D32537" s="9"/>
      <c r="G32537" s="9"/>
      <c r="J32537" s="11"/>
      <c r="U32537" s="9"/>
      <c r="X32537" s="9"/>
    </row>
    <row r="32538">
      <c r="D32538" s="9"/>
      <c r="G32538" s="9"/>
      <c r="J32538" s="11"/>
      <c r="U32538" s="9"/>
      <c r="X32538" s="9"/>
    </row>
    <row r="32539">
      <c r="D32539" s="9"/>
      <c r="G32539" s="9"/>
      <c r="J32539" s="11"/>
      <c r="U32539" s="9"/>
      <c r="X32539" s="9"/>
    </row>
    <row r="32540">
      <c r="D32540" s="9"/>
      <c r="G32540" s="9"/>
      <c r="J32540" s="11"/>
      <c r="U32540" s="9"/>
      <c r="X32540" s="9"/>
    </row>
    <row r="32541">
      <c r="D32541" s="9"/>
      <c r="G32541" s="9"/>
      <c r="J32541" s="11"/>
      <c r="U32541" s="9"/>
      <c r="X32541" s="9"/>
    </row>
    <row r="32542">
      <c r="D32542" s="9"/>
      <c r="G32542" s="9"/>
      <c r="J32542" s="11"/>
      <c r="U32542" s="9"/>
      <c r="X32542" s="9"/>
    </row>
    <row r="32543">
      <c r="D32543" s="9"/>
      <c r="G32543" s="9"/>
      <c r="J32543" s="11"/>
      <c r="U32543" s="9"/>
      <c r="X32543" s="9"/>
    </row>
    <row r="32544">
      <c r="D32544" s="9"/>
      <c r="G32544" s="9"/>
      <c r="J32544" s="11"/>
      <c r="U32544" s="9"/>
      <c r="X32544" s="9"/>
    </row>
    <row r="32545">
      <c r="D32545" s="9"/>
      <c r="G32545" s="9"/>
      <c r="J32545" s="11"/>
      <c r="U32545" s="9"/>
      <c r="X32545" s="9"/>
    </row>
    <row r="32546">
      <c r="D32546" s="9"/>
      <c r="G32546" s="9"/>
      <c r="J32546" s="11"/>
      <c r="U32546" s="9"/>
      <c r="X32546" s="9"/>
    </row>
    <row r="32547">
      <c r="D32547" s="9"/>
      <c r="G32547" s="9"/>
      <c r="J32547" s="11"/>
      <c r="U32547" s="9"/>
      <c r="X32547" s="9"/>
    </row>
    <row r="32548">
      <c r="D32548" s="9"/>
      <c r="G32548" s="9"/>
      <c r="J32548" s="11"/>
      <c r="U32548" s="9"/>
      <c r="X32548" s="9"/>
    </row>
    <row r="32549">
      <c r="D32549" s="9"/>
      <c r="G32549" s="9"/>
      <c r="J32549" s="11"/>
      <c r="U32549" s="9"/>
      <c r="X32549" s="9"/>
    </row>
    <row r="32550">
      <c r="D32550" s="9"/>
      <c r="G32550" s="9"/>
      <c r="J32550" s="11"/>
      <c r="U32550" s="9"/>
      <c r="X32550" s="9"/>
    </row>
    <row r="32551">
      <c r="D32551" s="9"/>
      <c r="G32551" s="9"/>
      <c r="J32551" s="11"/>
      <c r="U32551" s="9"/>
      <c r="X32551" s="9"/>
    </row>
    <row r="32552">
      <c r="D32552" s="9"/>
      <c r="G32552" s="9"/>
      <c r="J32552" s="11"/>
      <c r="U32552" s="9"/>
      <c r="X32552" s="9"/>
    </row>
    <row r="32553">
      <c r="D32553" s="9"/>
      <c r="G32553" s="9"/>
      <c r="J32553" s="11"/>
      <c r="U32553" s="9"/>
      <c r="X32553" s="9"/>
    </row>
    <row r="32554">
      <c r="D32554" s="9"/>
      <c r="G32554" s="9"/>
      <c r="J32554" s="11"/>
      <c r="U32554" s="9"/>
      <c r="X32554" s="9"/>
    </row>
    <row r="32555">
      <c r="D32555" s="9"/>
      <c r="G32555" s="9"/>
      <c r="J32555" s="11"/>
      <c r="U32555" s="9"/>
      <c r="X32555" s="9"/>
    </row>
    <row r="32556">
      <c r="D32556" s="9"/>
      <c r="G32556" s="9"/>
      <c r="J32556" s="11"/>
      <c r="U32556" s="9"/>
      <c r="X32556" s="9"/>
    </row>
    <row r="32557">
      <c r="D32557" s="9"/>
      <c r="G32557" s="9"/>
      <c r="J32557" s="11"/>
      <c r="U32557" s="9"/>
      <c r="X32557" s="9"/>
    </row>
    <row r="32558">
      <c r="D32558" s="9"/>
      <c r="G32558" s="9"/>
      <c r="J32558" s="11"/>
      <c r="U32558" s="9"/>
      <c r="X32558" s="9"/>
    </row>
    <row r="32559">
      <c r="D32559" s="9"/>
      <c r="G32559" s="9"/>
      <c r="J32559" s="11"/>
      <c r="U32559" s="9"/>
      <c r="X32559" s="9"/>
    </row>
    <row r="32560">
      <c r="D32560" s="9"/>
      <c r="G32560" s="9"/>
      <c r="J32560" s="11"/>
      <c r="U32560" s="9"/>
      <c r="X32560" s="9"/>
    </row>
    <row r="32561">
      <c r="D32561" s="9"/>
      <c r="G32561" s="9"/>
      <c r="J32561" s="11"/>
      <c r="U32561" s="9"/>
      <c r="X32561" s="9"/>
    </row>
    <row r="32562">
      <c r="D32562" s="9"/>
      <c r="G32562" s="9"/>
      <c r="J32562" s="11"/>
      <c r="U32562" s="9"/>
      <c r="X32562" s="9"/>
    </row>
    <row r="32563">
      <c r="D32563" s="9"/>
      <c r="G32563" s="9"/>
      <c r="J32563" s="11"/>
      <c r="U32563" s="9"/>
      <c r="X32563" s="9"/>
    </row>
    <row r="32564">
      <c r="D32564" s="9"/>
      <c r="G32564" s="9"/>
      <c r="J32564" s="11"/>
      <c r="U32564" s="9"/>
      <c r="X32564" s="9"/>
    </row>
    <row r="32565">
      <c r="D32565" s="9"/>
      <c r="G32565" s="9"/>
      <c r="J32565" s="11"/>
      <c r="U32565" s="9"/>
      <c r="X32565" s="9"/>
    </row>
    <row r="32566">
      <c r="D32566" s="9"/>
      <c r="G32566" s="9"/>
      <c r="J32566" s="11"/>
      <c r="U32566" s="9"/>
      <c r="X32566" s="9"/>
    </row>
    <row r="32567">
      <c r="D32567" s="9"/>
      <c r="G32567" s="9"/>
      <c r="J32567" s="11"/>
      <c r="U32567" s="9"/>
      <c r="X32567" s="9"/>
    </row>
    <row r="32568">
      <c r="D32568" s="9"/>
      <c r="G32568" s="9"/>
      <c r="J32568" s="11"/>
      <c r="U32568" s="9"/>
      <c r="X32568" s="9"/>
    </row>
    <row r="32569">
      <c r="D32569" s="9"/>
      <c r="G32569" s="9"/>
      <c r="J32569" s="11"/>
      <c r="U32569" s="9"/>
      <c r="X32569" s="9"/>
    </row>
    <row r="32570">
      <c r="D32570" s="9"/>
      <c r="G32570" s="9"/>
      <c r="J32570" s="11"/>
      <c r="U32570" s="9"/>
      <c r="X32570" s="9"/>
    </row>
    <row r="32571">
      <c r="D32571" s="9"/>
      <c r="G32571" s="9"/>
      <c r="J32571" s="11"/>
      <c r="U32571" s="9"/>
      <c r="X32571" s="9"/>
    </row>
    <row r="32572">
      <c r="D32572" s="9"/>
      <c r="G32572" s="9"/>
      <c r="J32572" s="11"/>
      <c r="U32572" s="9"/>
      <c r="X32572" s="9"/>
    </row>
    <row r="32573">
      <c r="D32573" s="9"/>
      <c r="G32573" s="9"/>
      <c r="J32573" s="11"/>
      <c r="U32573" s="9"/>
      <c r="X32573" s="9"/>
    </row>
    <row r="32574">
      <c r="D32574" s="9"/>
      <c r="G32574" s="9"/>
      <c r="J32574" s="11"/>
      <c r="U32574" s="9"/>
      <c r="X32574" s="9"/>
    </row>
    <row r="32575">
      <c r="D32575" s="9"/>
      <c r="G32575" s="9"/>
      <c r="J32575" s="11"/>
      <c r="U32575" s="9"/>
      <c r="X32575" s="9"/>
    </row>
    <row r="32576">
      <c r="D32576" s="9"/>
      <c r="G32576" s="9"/>
      <c r="J32576" s="11"/>
      <c r="U32576" s="9"/>
      <c r="X32576" s="9"/>
    </row>
    <row r="32577">
      <c r="D32577" s="9"/>
      <c r="G32577" s="9"/>
      <c r="J32577" s="11"/>
      <c r="U32577" s="9"/>
      <c r="X32577" s="9"/>
    </row>
    <row r="32578">
      <c r="D32578" s="9"/>
      <c r="G32578" s="9"/>
      <c r="J32578" s="11"/>
      <c r="U32578" s="9"/>
      <c r="X32578" s="9"/>
    </row>
    <row r="32579">
      <c r="D32579" s="9"/>
      <c r="G32579" s="9"/>
      <c r="J32579" s="11"/>
      <c r="U32579" s="9"/>
      <c r="X32579" s="9"/>
    </row>
    <row r="32580">
      <c r="D32580" s="9"/>
      <c r="G32580" s="9"/>
      <c r="J32580" s="11"/>
      <c r="U32580" s="9"/>
      <c r="X32580" s="9"/>
    </row>
    <row r="32581">
      <c r="D32581" s="9"/>
      <c r="G32581" s="9"/>
      <c r="J32581" s="11"/>
      <c r="U32581" s="9"/>
      <c r="X32581" s="9"/>
    </row>
    <row r="32582">
      <c r="D32582" s="9"/>
      <c r="G32582" s="9"/>
      <c r="J32582" s="11"/>
      <c r="U32582" s="9"/>
      <c r="X32582" s="9"/>
    </row>
    <row r="32583">
      <c r="D32583" s="9"/>
      <c r="G32583" s="9"/>
      <c r="J32583" s="11"/>
      <c r="U32583" s="9"/>
      <c r="X32583" s="9"/>
    </row>
    <row r="32584">
      <c r="D32584" s="9"/>
      <c r="G32584" s="9"/>
      <c r="J32584" s="11"/>
      <c r="U32584" s="9"/>
      <c r="X32584" s="9"/>
    </row>
    <row r="32585">
      <c r="D32585" s="9"/>
      <c r="G32585" s="9"/>
      <c r="J32585" s="11"/>
      <c r="U32585" s="9"/>
      <c r="X32585" s="9"/>
    </row>
    <row r="32586">
      <c r="D32586" s="9"/>
      <c r="G32586" s="9"/>
      <c r="J32586" s="11"/>
      <c r="U32586" s="9"/>
      <c r="X32586" s="9"/>
    </row>
    <row r="32587">
      <c r="D32587" s="9"/>
      <c r="G32587" s="9"/>
      <c r="J32587" s="11"/>
      <c r="U32587" s="9"/>
      <c r="X32587" s="9"/>
    </row>
    <row r="32588">
      <c r="D32588" s="9"/>
      <c r="G32588" s="9"/>
      <c r="J32588" s="11"/>
      <c r="U32588" s="9"/>
      <c r="X32588" s="9"/>
    </row>
    <row r="32589">
      <c r="D32589" s="9"/>
      <c r="G32589" s="9"/>
      <c r="J32589" s="11"/>
      <c r="U32589" s="9"/>
      <c r="X32589" s="9"/>
    </row>
    <row r="32590">
      <c r="D32590" s="9"/>
      <c r="G32590" s="9"/>
      <c r="J32590" s="11"/>
      <c r="U32590" s="9"/>
      <c r="X32590" s="9"/>
    </row>
    <row r="32591">
      <c r="D32591" s="9"/>
      <c r="G32591" s="9"/>
      <c r="J32591" s="11"/>
      <c r="U32591" s="9"/>
      <c r="X32591" s="9"/>
    </row>
    <row r="32592">
      <c r="D32592" s="9"/>
      <c r="G32592" s="9"/>
      <c r="J32592" s="11"/>
      <c r="U32592" s="9"/>
      <c r="X32592" s="9"/>
    </row>
    <row r="32593">
      <c r="D32593" s="9"/>
      <c r="G32593" s="9"/>
      <c r="J32593" s="11"/>
      <c r="U32593" s="9"/>
      <c r="X32593" s="9"/>
    </row>
    <row r="32594">
      <c r="D32594" s="9"/>
      <c r="G32594" s="9"/>
      <c r="J32594" s="11"/>
      <c r="U32594" s="9"/>
      <c r="X32594" s="9"/>
    </row>
    <row r="32595">
      <c r="D32595" s="9"/>
      <c r="G32595" s="9"/>
      <c r="J32595" s="11"/>
      <c r="U32595" s="9"/>
      <c r="X32595" s="9"/>
    </row>
    <row r="32596">
      <c r="D32596" s="9"/>
      <c r="G32596" s="9"/>
      <c r="J32596" s="11"/>
      <c r="U32596" s="9"/>
      <c r="X32596" s="9"/>
    </row>
    <row r="32597">
      <c r="D32597" s="9"/>
      <c r="G32597" s="9"/>
      <c r="J32597" s="11"/>
      <c r="U32597" s="9"/>
      <c r="X32597" s="9"/>
    </row>
    <row r="32598">
      <c r="D32598" s="9"/>
      <c r="G32598" s="9"/>
      <c r="J32598" s="11"/>
      <c r="U32598" s="9"/>
      <c r="X32598" s="9"/>
    </row>
    <row r="32599">
      <c r="D32599" s="9"/>
      <c r="G32599" s="9"/>
      <c r="J32599" s="11"/>
      <c r="U32599" s="9"/>
      <c r="X32599" s="9"/>
    </row>
    <row r="32600">
      <c r="D32600" s="9"/>
      <c r="G32600" s="9"/>
      <c r="J32600" s="11"/>
      <c r="U32600" s="9"/>
      <c r="X32600" s="9"/>
    </row>
    <row r="32601">
      <c r="D32601" s="9"/>
      <c r="G32601" s="9"/>
      <c r="J32601" s="11"/>
      <c r="U32601" s="9"/>
      <c r="X32601" s="9"/>
    </row>
    <row r="32602">
      <c r="D32602" s="9"/>
      <c r="G32602" s="9"/>
      <c r="J32602" s="11"/>
      <c r="U32602" s="9"/>
      <c r="X32602" s="9"/>
    </row>
    <row r="32603">
      <c r="D32603" s="9"/>
      <c r="G32603" s="9"/>
      <c r="J32603" s="11"/>
      <c r="U32603" s="9"/>
      <c r="X32603" s="9"/>
    </row>
    <row r="32604">
      <c r="D32604" s="9"/>
      <c r="G32604" s="9"/>
      <c r="J32604" s="11"/>
      <c r="U32604" s="9"/>
      <c r="X32604" s="9"/>
    </row>
    <row r="32605">
      <c r="D32605" s="9"/>
      <c r="G32605" s="9"/>
      <c r="J32605" s="11"/>
      <c r="U32605" s="9"/>
      <c r="X32605" s="9"/>
    </row>
    <row r="32606">
      <c r="D32606" s="9"/>
      <c r="G32606" s="9"/>
      <c r="J32606" s="11"/>
      <c r="U32606" s="9"/>
      <c r="X32606" s="9"/>
    </row>
    <row r="32607">
      <c r="D32607" s="9"/>
      <c r="G32607" s="9"/>
      <c r="J32607" s="11"/>
      <c r="U32607" s="9"/>
      <c r="X32607" s="9"/>
    </row>
    <row r="32608">
      <c r="D32608" s="9"/>
      <c r="G32608" s="9"/>
      <c r="J32608" s="11"/>
      <c r="U32608" s="9"/>
      <c r="X32608" s="9"/>
    </row>
    <row r="32609">
      <c r="D32609" s="9"/>
      <c r="G32609" s="9"/>
      <c r="J32609" s="11"/>
      <c r="U32609" s="9"/>
      <c r="X32609" s="9"/>
    </row>
    <row r="32610">
      <c r="D32610" s="9"/>
      <c r="G32610" s="9"/>
      <c r="J32610" s="11"/>
      <c r="U32610" s="9"/>
      <c r="X32610" s="9"/>
    </row>
    <row r="32611">
      <c r="D32611" s="9"/>
      <c r="G32611" s="9"/>
      <c r="J32611" s="11"/>
      <c r="U32611" s="9"/>
      <c r="X32611" s="9"/>
    </row>
    <row r="32612">
      <c r="D32612" s="9"/>
      <c r="G32612" s="9"/>
      <c r="J32612" s="11"/>
      <c r="U32612" s="9"/>
      <c r="X32612" s="9"/>
    </row>
    <row r="32613">
      <c r="D32613" s="9"/>
      <c r="G32613" s="9"/>
      <c r="J32613" s="11"/>
      <c r="U32613" s="9"/>
      <c r="X32613" s="9"/>
    </row>
    <row r="32614">
      <c r="D32614" s="9"/>
      <c r="G32614" s="9"/>
      <c r="J32614" s="11"/>
      <c r="U32614" s="9"/>
      <c r="X32614" s="9"/>
    </row>
    <row r="32615">
      <c r="D32615" s="9"/>
      <c r="G32615" s="9"/>
      <c r="J32615" s="11"/>
      <c r="U32615" s="9"/>
      <c r="X32615" s="9"/>
    </row>
    <row r="32616">
      <c r="D32616" s="9"/>
      <c r="G32616" s="9"/>
      <c r="J32616" s="11"/>
      <c r="U32616" s="9"/>
      <c r="X32616" s="9"/>
    </row>
    <row r="32617">
      <c r="D32617" s="9"/>
      <c r="G32617" s="9"/>
      <c r="J32617" s="11"/>
      <c r="U32617" s="9"/>
      <c r="X32617" s="9"/>
    </row>
    <row r="32618">
      <c r="D32618" s="9"/>
      <c r="G32618" s="9"/>
      <c r="J32618" s="11"/>
      <c r="U32618" s="9"/>
      <c r="X32618" s="9"/>
    </row>
    <row r="32619">
      <c r="D32619" s="9"/>
      <c r="G32619" s="9"/>
      <c r="J32619" s="11"/>
      <c r="U32619" s="9"/>
      <c r="X32619" s="9"/>
    </row>
    <row r="32620">
      <c r="D32620" s="9"/>
      <c r="G32620" s="9"/>
      <c r="J32620" s="11"/>
      <c r="U32620" s="9"/>
      <c r="X32620" s="9"/>
    </row>
    <row r="32621">
      <c r="D32621" s="9"/>
      <c r="G32621" s="9"/>
      <c r="J32621" s="11"/>
      <c r="U32621" s="9"/>
      <c r="X32621" s="9"/>
    </row>
    <row r="32622">
      <c r="D32622" s="9"/>
      <c r="G32622" s="9"/>
      <c r="J32622" s="11"/>
      <c r="U32622" s="9"/>
      <c r="X32622" s="9"/>
    </row>
    <row r="32623">
      <c r="D32623" s="9"/>
      <c r="G32623" s="9"/>
      <c r="J32623" s="11"/>
      <c r="U32623" s="9"/>
      <c r="X32623" s="9"/>
    </row>
    <row r="32624">
      <c r="D32624" s="9"/>
      <c r="G32624" s="9"/>
      <c r="J32624" s="11"/>
      <c r="U32624" s="9"/>
      <c r="X32624" s="9"/>
    </row>
    <row r="32625">
      <c r="D32625" s="9"/>
      <c r="G32625" s="9"/>
      <c r="J32625" s="11"/>
      <c r="U32625" s="9"/>
      <c r="X32625" s="9"/>
    </row>
    <row r="32626">
      <c r="D32626" s="9"/>
      <c r="G32626" s="9"/>
      <c r="J32626" s="11"/>
      <c r="U32626" s="9"/>
      <c r="X32626" s="9"/>
    </row>
    <row r="32627">
      <c r="D32627" s="9"/>
      <c r="G32627" s="9"/>
      <c r="J32627" s="11"/>
      <c r="U32627" s="9"/>
      <c r="X32627" s="9"/>
    </row>
    <row r="32628">
      <c r="D32628" s="9"/>
      <c r="G32628" s="9"/>
      <c r="J32628" s="11"/>
      <c r="U32628" s="9"/>
      <c r="X32628" s="9"/>
    </row>
    <row r="32629">
      <c r="D32629" s="9"/>
      <c r="G32629" s="9"/>
      <c r="J32629" s="11"/>
      <c r="U32629" s="9"/>
      <c r="X32629" s="9"/>
    </row>
    <row r="32630">
      <c r="D32630" s="9"/>
      <c r="G32630" s="9"/>
      <c r="J32630" s="11"/>
      <c r="U32630" s="9"/>
      <c r="X32630" s="9"/>
    </row>
    <row r="32631">
      <c r="D32631" s="9"/>
      <c r="G32631" s="9"/>
      <c r="J32631" s="11"/>
      <c r="U32631" s="9"/>
      <c r="X32631" s="9"/>
    </row>
    <row r="32632">
      <c r="D32632" s="9"/>
      <c r="G32632" s="9"/>
      <c r="J32632" s="11"/>
      <c r="U32632" s="9"/>
      <c r="X32632" s="9"/>
    </row>
    <row r="32633">
      <c r="D32633" s="9"/>
      <c r="G32633" s="9"/>
      <c r="J32633" s="11"/>
      <c r="U32633" s="9"/>
      <c r="X32633" s="9"/>
    </row>
    <row r="32634">
      <c r="D32634" s="9"/>
      <c r="G32634" s="9"/>
      <c r="J32634" s="11"/>
      <c r="U32634" s="9"/>
      <c r="X32634" s="9"/>
    </row>
    <row r="32635">
      <c r="D32635" s="9"/>
      <c r="G32635" s="9"/>
      <c r="J32635" s="11"/>
      <c r="U32635" s="9"/>
      <c r="X32635" s="9"/>
    </row>
    <row r="32636">
      <c r="D32636" s="9"/>
      <c r="G32636" s="9"/>
      <c r="J32636" s="11"/>
      <c r="U32636" s="9"/>
      <c r="X32636" s="9"/>
    </row>
    <row r="32637">
      <c r="D32637" s="9"/>
      <c r="G32637" s="9"/>
      <c r="J32637" s="11"/>
      <c r="U32637" s="9"/>
      <c r="X32637" s="9"/>
    </row>
    <row r="32638">
      <c r="D32638" s="9"/>
      <c r="G32638" s="9"/>
      <c r="J32638" s="11"/>
      <c r="U32638" s="9"/>
      <c r="X32638" s="9"/>
    </row>
    <row r="32639">
      <c r="D32639" s="9"/>
      <c r="G32639" s="9"/>
      <c r="J32639" s="11"/>
      <c r="U32639" s="9"/>
      <c r="X32639" s="9"/>
    </row>
    <row r="32640">
      <c r="D32640" s="9"/>
      <c r="G32640" s="9"/>
      <c r="J32640" s="11"/>
      <c r="U32640" s="9"/>
      <c r="X32640" s="9"/>
    </row>
    <row r="32641">
      <c r="D32641" s="9"/>
      <c r="G32641" s="9"/>
      <c r="J32641" s="11"/>
      <c r="U32641" s="9"/>
      <c r="X32641" s="9"/>
    </row>
    <row r="32642">
      <c r="D32642" s="9"/>
      <c r="G32642" s="9"/>
      <c r="J32642" s="11"/>
      <c r="U32642" s="9"/>
      <c r="X32642" s="9"/>
    </row>
    <row r="32643">
      <c r="D32643" s="9"/>
      <c r="G32643" s="9"/>
      <c r="J32643" s="11"/>
      <c r="U32643" s="9"/>
      <c r="X32643" s="9"/>
    </row>
    <row r="32644">
      <c r="D32644" s="9"/>
      <c r="G32644" s="9"/>
      <c r="J32644" s="11"/>
      <c r="U32644" s="9"/>
      <c r="X32644" s="9"/>
    </row>
    <row r="32645">
      <c r="D32645" s="9"/>
      <c r="G32645" s="9"/>
      <c r="J32645" s="11"/>
      <c r="U32645" s="9"/>
      <c r="X32645" s="9"/>
    </row>
    <row r="32646">
      <c r="D32646" s="9"/>
      <c r="G32646" s="9"/>
      <c r="J32646" s="11"/>
      <c r="U32646" s="9"/>
      <c r="X32646" s="9"/>
    </row>
    <row r="32647">
      <c r="D32647" s="9"/>
      <c r="G32647" s="9"/>
      <c r="J32647" s="11"/>
      <c r="U32647" s="9"/>
      <c r="X32647" s="9"/>
    </row>
    <row r="32648">
      <c r="D32648" s="9"/>
      <c r="G32648" s="9"/>
      <c r="J32648" s="11"/>
      <c r="U32648" s="9"/>
      <c r="X32648" s="9"/>
    </row>
    <row r="32649">
      <c r="D32649" s="9"/>
      <c r="G32649" s="9"/>
      <c r="J32649" s="11"/>
      <c r="U32649" s="9"/>
      <c r="X32649" s="9"/>
    </row>
    <row r="32650">
      <c r="D32650" s="9"/>
      <c r="G32650" s="9"/>
      <c r="J32650" s="11"/>
      <c r="U32650" s="9"/>
      <c r="X32650" s="9"/>
    </row>
    <row r="32651">
      <c r="D32651" s="9"/>
      <c r="G32651" s="9"/>
      <c r="J32651" s="11"/>
      <c r="U32651" s="9"/>
      <c r="X32651" s="9"/>
    </row>
    <row r="32652">
      <c r="D32652" s="9"/>
      <c r="G32652" s="9"/>
      <c r="J32652" s="11"/>
      <c r="U32652" s="9"/>
      <c r="X32652" s="9"/>
    </row>
    <row r="32653">
      <c r="D32653" s="9"/>
      <c r="G32653" s="9"/>
      <c r="J32653" s="11"/>
      <c r="U32653" s="9"/>
      <c r="X32653" s="9"/>
    </row>
    <row r="32654">
      <c r="D32654" s="9"/>
      <c r="G32654" s="9"/>
      <c r="J32654" s="11"/>
      <c r="U32654" s="9"/>
      <c r="X32654" s="9"/>
    </row>
    <row r="32655">
      <c r="D32655" s="9"/>
      <c r="G32655" s="9"/>
      <c r="J32655" s="11"/>
      <c r="U32655" s="9"/>
      <c r="X32655" s="9"/>
    </row>
    <row r="32656">
      <c r="D32656" s="9"/>
      <c r="G32656" s="9"/>
      <c r="J32656" s="11"/>
      <c r="U32656" s="9"/>
      <c r="X32656" s="9"/>
    </row>
    <row r="32657">
      <c r="D32657" s="9"/>
      <c r="G32657" s="9"/>
      <c r="J32657" s="11"/>
      <c r="U32657" s="9"/>
      <c r="X32657" s="9"/>
    </row>
    <row r="32658">
      <c r="D32658" s="9"/>
      <c r="G32658" s="9"/>
      <c r="J32658" s="11"/>
      <c r="U32658" s="9"/>
      <c r="X32658" s="9"/>
    </row>
    <row r="32659">
      <c r="D32659" s="9"/>
      <c r="G32659" s="9"/>
      <c r="J32659" s="11"/>
      <c r="U32659" s="9"/>
      <c r="X32659" s="9"/>
    </row>
    <row r="32660">
      <c r="D32660" s="9"/>
      <c r="G32660" s="9"/>
      <c r="J32660" s="11"/>
      <c r="U32660" s="9"/>
      <c r="X32660" s="9"/>
    </row>
    <row r="32661">
      <c r="D32661" s="9"/>
      <c r="G32661" s="9"/>
      <c r="J32661" s="11"/>
      <c r="U32661" s="9"/>
      <c r="X32661" s="9"/>
    </row>
    <row r="32662">
      <c r="D32662" s="9"/>
      <c r="G32662" s="9"/>
      <c r="J32662" s="11"/>
      <c r="U32662" s="9"/>
      <c r="X32662" s="9"/>
    </row>
    <row r="32663">
      <c r="D32663" s="9"/>
      <c r="G32663" s="9"/>
      <c r="J32663" s="11"/>
      <c r="U32663" s="9"/>
      <c r="X32663" s="9"/>
    </row>
    <row r="32664">
      <c r="D32664" s="9"/>
      <c r="G32664" s="9"/>
      <c r="J32664" s="11"/>
      <c r="U32664" s="9"/>
      <c r="X32664" s="9"/>
    </row>
    <row r="32665">
      <c r="D32665" s="9"/>
      <c r="G32665" s="9"/>
      <c r="J32665" s="11"/>
      <c r="U32665" s="9"/>
      <c r="X32665" s="9"/>
    </row>
    <row r="32666">
      <c r="D32666" s="9"/>
      <c r="G32666" s="9"/>
      <c r="J32666" s="11"/>
      <c r="U32666" s="9"/>
      <c r="X32666" s="9"/>
    </row>
    <row r="32667">
      <c r="D32667" s="9"/>
      <c r="G32667" s="9"/>
      <c r="J32667" s="11"/>
      <c r="U32667" s="9"/>
      <c r="X32667" s="9"/>
    </row>
    <row r="32668">
      <c r="D32668" s="9"/>
      <c r="G32668" s="9"/>
      <c r="J32668" s="11"/>
      <c r="U32668" s="9"/>
      <c r="X32668" s="9"/>
    </row>
    <row r="32669">
      <c r="D32669" s="9"/>
      <c r="G32669" s="9"/>
      <c r="J32669" s="11"/>
      <c r="U32669" s="9"/>
      <c r="X32669" s="9"/>
    </row>
    <row r="32670">
      <c r="D32670" s="9"/>
      <c r="G32670" s="9"/>
      <c r="J32670" s="11"/>
      <c r="U32670" s="9"/>
      <c r="X32670" s="9"/>
    </row>
    <row r="32671">
      <c r="D32671" s="9"/>
      <c r="G32671" s="9"/>
      <c r="J32671" s="11"/>
      <c r="U32671" s="9"/>
      <c r="X32671" s="9"/>
    </row>
    <row r="32672">
      <c r="D32672" s="9"/>
      <c r="G32672" s="9"/>
      <c r="J32672" s="11"/>
      <c r="U32672" s="9"/>
      <c r="X32672" s="9"/>
    </row>
    <row r="32673">
      <c r="D32673" s="9"/>
      <c r="G32673" s="9"/>
      <c r="J32673" s="11"/>
      <c r="U32673" s="9"/>
      <c r="X32673" s="9"/>
    </row>
    <row r="32674">
      <c r="D32674" s="9"/>
      <c r="G32674" s="9"/>
      <c r="J32674" s="11"/>
      <c r="U32674" s="9"/>
      <c r="X32674" s="9"/>
    </row>
    <row r="32675">
      <c r="D32675" s="9"/>
      <c r="G32675" s="9"/>
      <c r="J32675" s="11"/>
      <c r="U32675" s="9"/>
      <c r="X32675" s="9"/>
    </row>
    <row r="32676">
      <c r="D32676" s="9"/>
      <c r="G32676" s="9"/>
      <c r="J32676" s="11"/>
      <c r="U32676" s="9"/>
      <c r="X32676" s="9"/>
    </row>
    <row r="32677">
      <c r="D32677" s="9"/>
      <c r="G32677" s="9"/>
      <c r="J32677" s="11"/>
      <c r="U32677" s="9"/>
      <c r="X32677" s="9"/>
    </row>
    <row r="32678">
      <c r="D32678" s="9"/>
      <c r="G32678" s="9"/>
      <c r="J32678" s="11"/>
      <c r="U32678" s="9"/>
      <c r="X32678" s="9"/>
    </row>
    <row r="32679">
      <c r="D32679" s="9"/>
      <c r="G32679" s="9"/>
      <c r="J32679" s="11"/>
      <c r="U32679" s="9"/>
      <c r="X32679" s="9"/>
    </row>
    <row r="32680">
      <c r="D32680" s="9"/>
      <c r="G32680" s="9"/>
      <c r="J32680" s="11"/>
      <c r="U32680" s="9"/>
      <c r="X32680" s="9"/>
    </row>
    <row r="32681">
      <c r="D32681" s="9"/>
      <c r="G32681" s="9"/>
      <c r="J32681" s="11"/>
      <c r="U32681" s="9"/>
      <c r="X32681" s="9"/>
    </row>
    <row r="32682">
      <c r="D32682" s="9"/>
      <c r="G32682" s="9"/>
      <c r="J32682" s="11"/>
      <c r="U32682" s="9"/>
      <c r="X32682" s="9"/>
    </row>
    <row r="32683">
      <c r="D32683" s="9"/>
      <c r="G32683" s="9"/>
      <c r="J32683" s="11"/>
      <c r="U32683" s="9"/>
      <c r="X32683" s="9"/>
    </row>
    <row r="32684">
      <c r="D32684" s="9"/>
      <c r="G32684" s="9"/>
      <c r="J32684" s="11"/>
      <c r="U32684" s="9"/>
      <c r="X32684" s="9"/>
    </row>
    <row r="32685">
      <c r="D32685" s="9"/>
      <c r="G32685" s="9"/>
      <c r="J32685" s="11"/>
      <c r="U32685" s="9"/>
      <c r="X32685" s="9"/>
    </row>
    <row r="32686">
      <c r="D32686" s="9"/>
      <c r="G32686" s="9"/>
      <c r="J32686" s="11"/>
      <c r="U32686" s="9"/>
      <c r="X32686" s="9"/>
    </row>
    <row r="32687">
      <c r="D32687" s="9"/>
      <c r="G32687" s="9"/>
      <c r="J32687" s="11"/>
      <c r="U32687" s="9"/>
      <c r="X32687" s="9"/>
    </row>
    <row r="32688">
      <c r="D32688" s="9"/>
      <c r="G32688" s="9"/>
      <c r="J32688" s="11"/>
      <c r="U32688" s="9"/>
      <c r="X32688" s="9"/>
    </row>
    <row r="32689">
      <c r="D32689" s="9"/>
      <c r="G32689" s="9"/>
      <c r="J32689" s="11"/>
      <c r="U32689" s="9"/>
      <c r="X32689" s="9"/>
    </row>
    <row r="32690">
      <c r="D32690" s="9"/>
      <c r="G32690" s="9"/>
      <c r="J32690" s="11"/>
      <c r="U32690" s="9"/>
      <c r="X32690" s="9"/>
    </row>
    <row r="32691">
      <c r="D32691" s="9"/>
      <c r="G32691" s="9"/>
      <c r="J32691" s="11"/>
      <c r="U32691" s="9"/>
      <c r="X32691" s="9"/>
    </row>
    <row r="32692">
      <c r="D32692" s="9"/>
      <c r="G32692" s="9"/>
      <c r="J32692" s="11"/>
      <c r="U32692" s="9"/>
      <c r="X32692" s="9"/>
    </row>
    <row r="32693">
      <c r="D32693" s="9"/>
      <c r="G32693" s="9"/>
      <c r="J32693" s="11"/>
      <c r="U32693" s="9"/>
      <c r="X32693" s="9"/>
    </row>
    <row r="32694">
      <c r="D32694" s="9"/>
      <c r="G32694" s="9"/>
      <c r="J32694" s="11"/>
      <c r="U32694" s="9"/>
      <c r="X32694" s="9"/>
    </row>
    <row r="32695">
      <c r="D32695" s="9"/>
      <c r="G32695" s="9"/>
      <c r="J32695" s="11"/>
      <c r="U32695" s="9"/>
      <c r="X32695" s="9"/>
    </row>
    <row r="32696">
      <c r="D32696" s="9"/>
      <c r="G32696" s="9"/>
      <c r="J32696" s="11"/>
      <c r="U32696" s="9"/>
      <c r="X32696" s="9"/>
    </row>
    <row r="32697">
      <c r="D32697" s="9"/>
      <c r="G32697" s="9"/>
      <c r="J32697" s="11"/>
      <c r="U32697" s="9"/>
      <c r="X32697" s="9"/>
    </row>
    <row r="32698">
      <c r="D32698" s="9"/>
      <c r="G32698" s="9"/>
      <c r="J32698" s="11"/>
      <c r="U32698" s="9"/>
      <c r="X32698" s="9"/>
    </row>
    <row r="32699">
      <c r="D32699" s="9"/>
      <c r="G32699" s="9"/>
      <c r="J32699" s="11"/>
      <c r="U32699" s="9"/>
      <c r="X32699" s="9"/>
    </row>
    <row r="32700">
      <c r="D32700" s="9"/>
      <c r="G32700" s="9"/>
      <c r="J32700" s="11"/>
      <c r="U32700" s="9"/>
      <c r="X32700" s="9"/>
    </row>
    <row r="32701">
      <c r="D32701" s="9"/>
      <c r="G32701" s="9"/>
      <c r="J32701" s="11"/>
      <c r="U32701" s="9"/>
      <c r="X32701" s="9"/>
    </row>
    <row r="32702">
      <c r="D32702" s="9"/>
      <c r="G32702" s="9"/>
      <c r="J32702" s="11"/>
      <c r="U32702" s="9"/>
      <c r="X32702" s="9"/>
    </row>
    <row r="32703">
      <c r="D32703" s="9"/>
      <c r="G32703" s="9"/>
      <c r="J32703" s="11"/>
      <c r="U32703" s="9"/>
      <c r="X32703" s="9"/>
    </row>
    <row r="32704">
      <c r="D32704" s="9"/>
      <c r="G32704" s="9"/>
      <c r="J32704" s="11"/>
      <c r="U32704" s="9"/>
      <c r="X32704" s="9"/>
    </row>
    <row r="32705">
      <c r="D32705" s="9"/>
      <c r="G32705" s="9"/>
      <c r="J32705" s="11"/>
      <c r="U32705" s="9"/>
      <c r="X32705" s="9"/>
    </row>
    <row r="32706">
      <c r="D32706" s="9"/>
      <c r="G32706" s="9"/>
      <c r="J32706" s="11"/>
      <c r="U32706" s="9"/>
      <c r="X32706" s="9"/>
    </row>
    <row r="32707">
      <c r="D32707" s="9"/>
      <c r="G32707" s="9"/>
      <c r="J32707" s="11"/>
      <c r="U32707" s="9"/>
      <c r="X32707" s="9"/>
    </row>
    <row r="32708">
      <c r="D32708" s="9"/>
      <c r="G32708" s="9"/>
      <c r="J32708" s="11"/>
      <c r="U32708" s="9"/>
      <c r="X32708" s="9"/>
    </row>
    <row r="32709">
      <c r="D32709" s="9"/>
      <c r="G32709" s="9"/>
      <c r="J32709" s="11"/>
      <c r="U32709" s="9"/>
      <c r="X32709" s="9"/>
    </row>
    <row r="32710">
      <c r="D32710" s="9"/>
      <c r="G32710" s="9"/>
      <c r="J32710" s="11"/>
      <c r="U32710" s="9"/>
      <c r="X32710" s="9"/>
    </row>
    <row r="32711">
      <c r="D32711" s="9"/>
      <c r="G32711" s="9"/>
      <c r="J32711" s="11"/>
      <c r="U32711" s="9"/>
      <c r="X32711" s="9"/>
    </row>
    <row r="32712">
      <c r="D32712" s="9"/>
      <c r="G32712" s="9"/>
      <c r="J32712" s="11"/>
      <c r="U32712" s="9"/>
      <c r="X32712" s="9"/>
    </row>
    <row r="32713">
      <c r="D32713" s="9"/>
      <c r="G32713" s="9"/>
      <c r="J32713" s="11"/>
      <c r="U32713" s="9"/>
      <c r="X32713" s="9"/>
    </row>
    <row r="32714">
      <c r="D32714" s="9"/>
      <c r="G32714" s="9"/>
      <c r="J32714" s="11"/>
      <c r="U32714" s="9"/>
      <c r="X32714" s="9"/>
    </row>
    <row r="32715">
      <c r="D32715" s="9"/>
      <c r="G32715" s="9"/>
      <c r="J32715" s="11"/>
      <c r="U32715" s="9"/>
      <c r="X32715" s="9"/>
    </row>
    <row r="32716">
      <c r="D32716" s="9"/>
      <c r="G32716" s="9"/>
      <c r="J32716" s="11"/>
      <c r="U32716" s="9"/>
      <c r="X32716" s="9"/>
    </row>
    <row r="32717">
      <c r="D32717" s="9"/>
      <c r="G32717" s="9"/>
      <c r="J32717" s="11"/>
      <c r="U32717" s="9"/>
      <c r="X32717" s="9"/>
    </row>
    <row r="32718">
      <c r="D32718" s="9"/>
      <c r="G32718" s="9"/>
      <c r="J32718" s="11"/>
      <c r="U32718" s="9"/>
      <c r="X32718" s="9"/>
    </row>
    <row r="32719">
      <c r="D32719" s="9"/>
      <c r="G32719" s="9"/>
      <c r="J32719" s="11"/>
      <c r="U32719" s="9"/>
      <c r="X32719" s="9"/>
    </row>
    <row r="32720">
      <c r="D32720" s="9"/>
      <c r="G32720" s="9"/>
      <c r="J32720" s="11"/>
      <c r="U32720" s="9"/>
      <c r="X32720" s="9"/>
    </row>
    <row r="32721">
      <c r="D32721" s="9"/>
      <c r="G32721" s="9"/>
      <c r="J32721" s="11"/>
      <c r="U32721" s="9"/>
      <c r="X32721" s="9"/>
    </row>
    <row r="32722">
      <c r="D32722" s="9"/>
      <c r="G32722" s="9"/>
      <c r="J32722" s="11"/>
      <c r="U32722" s="9"/>
      <c r="X32722" s="9"/>
    </row>
    <row r="32723">
      <c r="D32723" s="9"/>
      <c r="G32723" s="9"/>
      <c r="J32723" s="11"/>
      <c r="U32723" s="9"/>
      <c r="X32723" s="9"/>
    </row>
    <row r="32724">
      <c r="D32724" s="9"/>
      <c r="G32724" s="9"/>
      <c r="J32724" s="11"/>
      <c r="U32724" s="9"/>
      <c r="X32724" s="9"/>
    </row>
    <row r="32725">
      <c r="D32725" s="9"/>
      <c r="G32725" s="9"/>
      <c r="J32725" s="11"/>
      <c r="U32725" s="9"/>
      <c r="X32725" s="9"/>
    </row>
    <row r="32726">
      <c r="D32726" s="9"/>
      <c r="G32726" s="9"/>
      <c r="J32726" s="11"/>
      <c r="U32726" s="9"/>
      <c r="X32726" s="9"/>
    </row>
    <row r="32727">
      <c r="D32727" s="9"/>
      <c r="G32727" s="9"/>
      <c r="J32727" s="11"/>
      <c r="U32727" s="9"/>
      <c r="X32727" s="9"/>
    </row>
    <row r="32728">
      <c r="D32728" s="9"/>
      <c r="G32728" s="9"/>
      <c r="J32728" s="11"/>
      <c r="U32728" s="9"/>
      <c r="X32728" s="9"/>
    </row>
    <row r="32729">
      <c r="D32729" s="9"/>
      <c r="G32729" s="9"/>
      <c r="J32729" s="11"/>
      <c r="U32729" s="9"/>
      <c r="X32729" s="9"/>
    </row>
    <row r="32730">
      <c r="D32730" s="9"/>
      <c r="G32730" s="9"/>
      <c r="J32730" s="11"/>
      <c r="U32730" s="9"/>
      <c r="X32730" s="9"/>
    </row>
    <row r="32731">
      <c r="D32731" s="9"/>
      <c r="G32731" s="9"/>
      <c r="J32731" s="11"/>
      <c r="U32731" s="9"/>
      <c r="X32731" s="9"/>
    </row>
    <row r="32732">
      <c r="D32732" s="9"/>
      <c r="G32732" s="9"/>
      <c r="J32732" s="11"/>
      <c r="U32732" s="9"/>
      <c r="X32732" s="9"/>
    </row>
    <row r="32733">
      <c r="D32733" s="9"/>
      <c r="G32733" s="9"/>
      <c r="J32733" s="11"/>
      <c r="U32733" s="9"/>
      <c r="X32733" s="9"/>
    </row>
    <row r="32734">
      <c r="D32734" s="9"/>
      <c r="G32734" s="9"/>
      <c r="J32734" s="11"/>
      <c r="U32734" s="9"/>
      <c r="X32734" s="9"/>
    </row>
    <row r="32735">
      <c r="D32735" s="9"/>
      <c r="G32735" s="9"/>
      <c r="J32735" s="11"/>
      <c r="U32735" s="9"/>
      <c r="X32735" s="9"/>
    </row>
    <row r="32736">
      <c r="D32736" s="9"/>
      <c r="G32736" s="9"/>
      <c r="J32736" s="11"/>
      <c r="U32736" s="9"/>
      <c r="X32736" s="9"/>
    </row>
    <row r="32737">
      <c r="D32737" s="9"/>
      <c r="G32737" s="9"/>
      <c r="J32737" s="11"/>
      <c r="U32737" s="9"/>
      <c r="X32737" s="9"/>
    </row>
    <row r="32738">
      <c r="D32738" s="9"/>
      <c r="G32738" s="9"/>
      <c r="J32738" s="11"/>
      <c r="U32738" s="9"/>
      <c r="X32738" s="9"/>
    </row>
    <row r="32739">
      <c r="D32739" s="9"/>
      <c r="G32739" s="9"/>
      <c r="J32739" s="11"/>
      <c r="U32739" s="9"/>
      <c r="X32739" s="9"/>
    </row>
    <row r="32740">
      <c r="D32740" s="9"/>
      <c r="G32740" s="9"/>
      <c r="J32740" s="11"/>
      <c r="U32740" s="9"/>
      <c r="X32740" s="9"/>
    </row>
    <row r="32741">
      <c r="D32741" s="9"/>
      <c r="G32741" s="9"/>
      <c r="J32741" s="11"/>
      <c r="U32741" s="9"/>
      <c r="X32741" s="9"/>
    </row>
    <row r="32742">
      <c r="D32742" s="9"/>
      <c r="G32742" s="9"/>
      <c r="J32742" s="11"/>
      <c r="U32742" s="9"/>
      <c r="X32742" s="9"/>
    </row>
    <row r="32743">
      <c r="D32743" s="9"/>
      <c r="G32743" s="9"/>
      <c r="J32743" s="11"/>
      <c r="U32743" s="9"/>
      <c r="X32743" s="9"/>
    </row>
    <row r="32744">
      <c r="D32744" s="9"/>
      <c r="G32744" s="9"/>
      <c r="J32744" s="11"/>
      <c r="U32744" s="9"/>
      <c r="X32744" s="9"/>
    </row>
    <row r="32745">
      <c r="D32745" s="9"/>
      <c r="G32745" s="9"/>
      <c r="J32745" s="11"/>
      <c r="U32745" s="9"/>
      <c r="X32745" s="9"/>
    </row>
    <row r="32746">
      <c r="D32746" s="9"/>
      <c r="G32746" s="9"/>
      <c r="J32746" s="11"/>
      <c r="U32746" s="9"/>
      <c r="X32746" s="9"/>
    </row>
    <row r="32747">
      <c r="D32747" s="9"/>
      <c r="G32747" s="9"/>
      <c r="J32747" s="11"/>
      <c r="U32747" s="9"/>
      <c r="X32747" s="9"/>
    </row>
    <row r="32748">
      <c r="D32748" s="9"/>
      <c r="G32748" s="9"/>
      <c r="J32748" s="11"/>
      <c r="U32748" s="9"/>
      <c r="X32748" s="9"/>
    </row>
    <row r="32749">
      <c r="D32749" s="9"/>
      <c r="G32749" s="9"/>
      <c r="J32749" s="11"/>
      <c r="U32749" s="9"/>
      <c r="X32749" s="9"/>
    </row>
    <row r="32750">
      <c r="D32750" s="9"/>
      <c r="G32750" s="9"/>
      <c r="J32750" s="11"/>
      <c r="U32750" s="9"/>
      <c r="X32750" s="9"/>
    </row>
    <row r="32751">
      <c r="D32751" s="9"/>
      <c r="G32751" s="9"/>
      <c r="J32751" s="11"/>
      <c r="U32751" s="9"/>
      <c r="X32751" s="9"/>
    </row>
    <row r="32752">
      <c r="D32752" s="9"/>
      <c r="G32752" s="9"/>
      <c r="J32752" s="11"/>
      <c r="U32752" s="9"/>
      <c r="X32752" s="9"/>
    </row>
    <row r="32753">
      <c r="D32753" s="9"/>
      <c r="G32753" s="9"/>
      <c r="J32753" s="11"/>
      <c r="U32753" s="9"/>
      <c r="X32753" s="9"/>
    </row>
    <row r="32754">
      <c r="D32754" s="9"/>
      <c r="G32754" s="9"/>
      <c r="J32754" s="11"/>
      <c r="U32754" s="9"/>
      <c r="X32754" s="9"/>
    </row>
    <row r="32755">
      <c r="D32755" s="9"/>
      <c r="G32755" s="9"/>
      <c r="J32755" s="11"/>
      <c r="U32755" s="9"/>
      <c r="X32755" s="9"/>
    </row>
    <row r="32756">
      <c r="D32756" s="9"/>
      <c r="G32756" s="9"/>
      <c r="J32756" s="11"/>
      <c r="U32756" s="9"/>
      <c r="X32756" s="9"/>
    </row>
    <row r="32757">
      <c r="D32757" s="9"/>
      <c r="G32757" s="9"/>
      <c r="J32757" s="11"/>
      <c r="U32757" s="9"/>
      <c r="X32757" s="9"/>
    </row>
    <row r="32758">
      <c r="D32758" s="9"/>
      <c r="G32758" s="9"/>
      <c r="J32758" s="11"/>
      <c r="U32758" s="9"/>
      <c r="X32758" s="9"/>
    </row>
    <row r="32759">
      <c r="D32759" s="9"/>
      <c r="G32759" s="9"/>
      <c r="J32759" s="11"/>
      <c r="U32759" s="9"/>
      <c r="X32759" s="9"/>
    </row>
    <row r="32760">
      <c r="D32760" s="9"/>
      <c r="G32760" s="9"/>
      <c r="J32760" s="11"/>
      <c r="U32760" s="9"/>
      <c r="X32760" s="9"/>
    </row>
    <row r="32761">
      <c r="D32761" s="9"/>
      <c r="G32761" s="9"/>
      <c r="J32761" s="11"/>
      <c r="U32761" s="9"/>
      <c r="X32761" s="9"/>
    </row>
    <row r="32762">
      <c r="D32762" s="9"/>
      <c r="G32762" s="9"/>
      <c r="J32762" s="11"/>
      <c r="U32762" s="9"/>
      <c r="X32762" s="9"/>
    </row>
    <row r="32763">
      <c r="D32763" s="9"/>
      <c r="G32763" s="9"/>
      <c r="J32763" s="11"/>
      <c r="U32763" s="9"/>
      <c r="X32763" s="9"/>
    </row>
    <row r="32764">
      <c r="D32764" s="9"/>
      <c r="G32764" s="9"/>
      <c r="J32764" s="11"/>
      <c r="U32764" s="9"/>
      <c r="X32764" s="9"/>
    </row>
    <row r="32765">
      <c r="D32765" s="9"/>
      <c r="G32765" s="9"/>
      <c r="J32765" s="11"/>
      <c r="U32765" s="9"/>
      <c r="X32765" s="9"/>
    </row>
    <row r="32766">
      <c r="D32766" s="9"/>
      <c r="G32766" s="9"/>
      <c r="J32766" s="11"/>
      <c r="U32766" s="9"/>
      <c r="X32766" s="9"/>
    </row>
    <row r="32767">
      <c r="D32767" s="9"/>
      <c r="G32767" s="9"/>
      <c r="J32767" s="11"/>
      <c r="U32767" s="9"/>
      <c r="X32767" s="9"/>
    </row>
    <row r="32768">
      <c r="D32768" s="9"/>
      <c r="G32768" s="9"/>
      <c r="J32768" s="11"/>
      <c r="U32768" s="9"/>
      <c r="X32768" s="9"/>
    </row>
    <row r="32769">
      <c r="D32769" s="9"/>
      <c r="G32769" s="9"/>
      <c r="J32769" s="11"/>
      <c r="U32769" s="9"/>
      <c r="X32769" s="9"/>
    </row>
    <row r="32770">
      <c r="D32770" s="9"/>
      <c r="G32770" s="9"/>
      <c r="J32770" s="11"/>
      <c r="U32770" s="9"/>
      <c r="X32770" s="9"/>
    </row>
    <row r="32771">
      <c r="D32771" s="9"/>
      <c r="G32771" s="9"/>
      <c r="J32771" s="11"/>
      <c r="U32771" s="9"/>
      <c r="X32771" s="9"/>
    </row>
    <row r="32772">
      <c r="D32772" s="9"/>
      <c r="G32772" s="9"/>
      <c r="J32772" s="11"/>
      <c r="U32772" s="9"/>
      <c r="X32772" s="9"/>
    </row>
    <row r="32773">
      <c r="D32773" s="9"/>
      <c r="G32773" s="9"/>
      <c r="J32773" s="11"/>
      <c r="U32773" s="9"/>
      <c r="X32773" s="9"/>
    </row>
    <row r="32774">
      <c r="D32774" s="9"/>
      <c r="G32774" s="9"/>
      <c r="J32774" s="11"/>
      <c r="U32774" s="9"/>
      <c r="X32774" s="9"/>
    </row>
    <row r="32775">
      <c r="D32775" s="9"/>
      <c r="G32775" s="9"/>
      <c r="J32775" s="11"/>
      <c r="U32775" s="9"/>
      <c r="X32775" s="9"/>
    </row>
    <row r="32776">
      <c r="D32776" s="9"/>
      <c r="G32776" s="9"/>
      <c r="J32776" s="11"/>
      <c r="U32776" s="9"/>
      <c r="X32776" s="9"/>
    </row>
    <row r="32777">
      <c r="D32777" s="9"/>
      <c r="G32777" s="9"/>
      <c r="J32777" s="11"/>
      <c r="U32777" s="9"/>
      <c r="X32777" s="9"/>
    </row>
    <row r="32778">
      <c r="D32778" s="9"/>
      <c r="G32778" s="9"/>
      <c r="J32778" s="11"/>
      <c r="U32778" s="9"/>
      <c r="X32778" s="9"/>
    </row>
    <row r="32779">
      <c r="D32779" s="9"/>
      <c r="G32779" s="9"/>
      <c r="J32779" s="11"/>
      <c r="U32779" s="9"/>
      <c r="X32779" s="9"/>
    </row>
    <row r="32780">
      <c r="D32780" s="9"/>
      <c r="G32780" s="9"/>
      <c r="J32780" s="11"/>
      <c r="U32780" s="9"/>
      <c r="X32780" s="9"/>
    </row>
    <row r="32781">
      <c r="D32781" s="9"/>
      <c r="G32781" s="9"/>
      <c r="J32781" s="11"/>
      <c r="U32781" s="9"/>
      <c r="X32781" s="9"/>
    </row>
    <row r="32782">
      <c r="D32782" s="9"/>
      <c r="G32782" s="9"/>
      <c r="J32782" s="11"/>
      <c r="U32782" s="9"/>
      <c r="X32782" s="9"/>
    </row>
    <row r="32783">
      <c r="D32783" s="9"/>
      <c r="G32783" s="9"/>
      <c r="J32783" s="11"/>
      <c r="U32783" s="9"/>
      <c r="X32783" s="9"/>
    </row>
    <row r="32784">
      <c r="D32784" s="9"/>
      <c r="G32784" s="9"/>
      <c r="J32784" s="11"/>
      <c r="U32784" s="9"/>
      <c r="X32784" s="9"/>
    </row>
    <row r="32785">
      <c r="D32785" s="9"/>
      <c r="G32785" s="9"/>
      <c r="J32785" s="11"/>
      <c r="U32785" s="9"/>
      <c r="X32785" s="9"/>
    </row>
    <row r="32786">
      <c r="D32786" s="9"/>
      <c r="G32786" s="9"/>
      <c r="J32786" s="11"/>
      <c r="U32786" s="9"/>
      <c r="X32786" s="9"/>
    </row>
    <row r="32787">
      <c r="D32787" s="9"/>
      <c r="G32787" s="9"/>
      <c r="J32787" s="11"/>
      <c r="U32787" s="9"/>
      <c r="X32787" s="9"/>
    </row>
    <row r="32788">
      <c r="D32788" s="9"/>
      <c r="G32788" s="9"/>
      <c r="J32788" s="11"/>
      <c r="U32788" s="9"/>
      <c r="X32788" s="9"/>
    </row>
    <row r="32789">
      <c r="D32789" s="9"/>
      <c r="G32789" s="9"/>
      <c r="J32789" s="11"/>
      <c r="U32789" s="9"/>
      <c r="X32789" s="9"/>
    </row>
    <row r="32790">
      <c r="D32790" s="9"/>
      <c r="G32790" s="9"/>
      <c r="J32790" s="11"/>
      <c r="U32790" s="9"/>
      <c r="X32790" s="9"/>
    </row>
    <row r="32791">
      <c r="D32791" s="9"/>
      <c r="G32791" s="9"/>
      <c r="J32791" s="11"/>
      <c r="U32791" s="9"/>
      <c r="X32791" s="9"/>
    </row>
    <row r="32792">
      <c r="D32792" s="9"/>
      <c r="G32792" s="9"/>
      <c r="J32792" s="11"/>
      <c r="U32792" s="9"/>
      <c r="X32792" s="9"/>
    </row>
    <row r="32793">
      <c r="D32793" s="9"/>
      <c r="G32793" s="9"/>
      <c r="J32793" s="11"/>
      <c r="U32793" s="9"/>
      <c r="X32793" s="9"/>
    </row>
    <row r="32794">
      <c r="D32794" s="9"/>
      <c r="G32794" s="9"/>
      <c r="J32794" s="11"/>
      <c r="U32794" s="9"/>
      <c r="X32794" s="9"/>
    </row>
    <row r="32795">
      <c r="D32795" s="9"/>
      <c r="G32795" s="9"/>
      <c r="J32795" s="11"/>
      <c r="U32795" s="9"/>
      <c r="X32795" s="9"/>
    </row>
    <row r="32796">
      <c r="D32796" s="9"/>
      <c r="G32796" s="9"/>
      <c r="J32796" s="11"/>
      <c r="U32796" s="9"/>
      <c r="X32796" s="9"/>
    </row>
    <row r="32797">
      <c r="D32797" s="9"/>
      <c r="G32797" s="9"/>
      <c r="J32797" s="11"/>
      <c r="U32797" s="9"/>
      <c r="X32797" s="9"/>
    </row>
    <row r="32798">
      <c r="D32798" s="9"/>
      <c r="G32798" s="9"/>
      <c r="J32798" s="11"/>
      <c r="U32798" s="9"/>
      <c r="X32798" s="9"/>
    </row>
    <row r="32799">
      <c r="D32799" s="9"/>
      <c r="G32799" s="9"/>
      <c r="J32799" s="11"/>
      <c r="U32799" s="9"/>
      <c r="X32799" s="9"/>
    </row>
    <row r="32800">
      <c r="D32800" s="9"/>
      <c r="G32800" s="9"/>
      <c r="J32800" s="11"/>
      <c r="U32800" s="9"/>
      <c r="X32800" s="9"/>
    </row>
    <row r="32801">
      <c r="D32801" s="9"/>
      <c r="G32801" s="9"/>
      <c r="J32801" s="11"/>
      <c r="U32801" s="9"/>
      <c r="X32801" s="9"/>
    </row>
    <row r="32802">
      <c r="D32802" s="9"/>
      <c r="G32802" s="9"/>
      <c r="J32802" s="11"/>
      <c r="U32802" s="9"/>
      <c r="X32802" s="9"/>
    </row>
    <row r="32803">
      <c r="D32803" s="9"/>
      <c r="G32803" s="9"/>
      <c r="J32803" s="11"/>
      <c r="U32803" s="9"/>
      <c r="X32803" s="9"/>
    </row>
    <row r="32804">
      <c r="D32804" s="9"/>
      <c r="G32804" s="9"/>
      <c r="J32804" s="11"/>
      <c r="U32804" s="9"/>
      <c r="X32804" s="9"/>
    </row>
    <row r="32805">
      <c r="D32805" s="9"/>
      <c r="G32805" s="9"/>
      <c r="J32805" s="11"/>
      <c r="U32805" s="9"/>
      <c r="X32805" s="9"/>
    </row>
    <row r="32806">
      <c r="D32806" s="9"/>
      <c r="G32806" s="9"/>
      <c r="J32806" s="11"/>
      <c r="U32806" s="9"/>
      <c r="X32806" s="9"/>
    </row>
    <row r="32807">
      <c r="D32807" s="9"/>
      <c r="G32807" s="9"/>
      <c r="J32807" s="11"/>
      <c r="U32807" s="9"/>
      <c r="X32807" s="9"/>
    </row>
    <row r="32808">
      <c r="D32808" s="9"/>
      <c r="G32808" s="9"/>
      <c r="J32808" s="11"/>
      <c r="U32808" s="9"/>
      <c r="X32808" s="9"/>
    </row>
    <row r="32809">
      <c r="D32809" s="9"/>
      <c r="G32809" s="9"/>
      <c r="J32809" s="11"/>
      <c r="U32809" s="9"/>
      <c r="X32809" s="9"/>
    </row>
    <row r="32810">
      <c r="D32810" s="9"/>
      <c r="G32810" s="9"/>
      <c r="J32810" s="11"/>
      <c r="U32810" s="9"/>
      <c r="X32810" s="9"/>
    </row>
    <row r="32811">
      <c r="D32811" s="9"/>
      <c r="G32811" s="9"/>
      <c r="J32811" s="11"/>
      <c r="U32811" s="9"/>
      <c r="X32811" s="9"/>
    </row>
    <row r="32812">
      <c r="D32812" s="9"/>
      <c r="G32812" s="9"/>
      <c r="J32812" s="11"/>
      <c r="U32812" s="9"/>
      <c r="X32812" s="9"/>
    </row>
    <row r="32813">
      <c r="D32813" s="9"/>
      <c r="G32813" s="9"/>
      <c r="J32813" s="11"/>
      <c r="U32813" s="9"/>
      <c r="X32813" s="9"/>
    </row>
    <row r="32814">
      <c r="D32814" s="9"/>
      <c r="G32814" s="9"/>
      <c r="J32814" s="11"/>
      <c r="U32814" s="9"/>
      <c r="X32814" s="9"/>
    </row>
    <row r="32815">
      <c r="D32815" s="9"/>
      <c r="G32815" s="9"/>
      <c r="J32815" s="11"/>
      <c r="U32815" s="9"/>
      <c r="X32815" s="9"/>
    </row>
    <row r="32816">
      <c r="D32816" s="9"/>
      <c r="G32816" s="9"/>
      <c r="J32816" s="11"/>
      <c r="U32816" s="9"/>
      <c r="X32816" s="9"/>
    </row>
    <row r="32817">
      <c r="D32817" s="9"/>
      <c r="G32817" s="9"/>
      <c r="J32817" s="11"/>
      <c r="U32817" s="9"/>
      <c r="X32817" s="9"/>
    </row>
    <row r="32818">
      <c r="D32818" s="9"/>
      <c r="G32818" s="9"/>
      <c r="J32818" s="11"/>
      <c r="U32818" s="9"/>
      <c r="X32818" s="9"/>
    </row>
    <row r="32819">
      <c r="D32819" s="9"/>
      <c r="G32819" s="9"/>
      <c r="J32819" s="11"/>
      <c r="U32819" s="9"/>
      <c r="X32819" s="9"/>
    </row>
    <row r="32820">
      <c r="D32820" s="9"/>
      <c r="G32820" s="9"/>
      <c r="J32820" s="11"/>
      <c r="U32820" s="9"/>
      <c r="X32820" s="9"/>
    </row>
    <row r="32821">
      <c r="D32821" s="9"/>
      <c r="G32821" s="9"/>
      <c r="J32821" s="11"/>
      <c r="U32821" s="9"/>
      <c r="X32821" s="9"/>
    </row>
    <row r="32822">
      <c r="D32822" s="9"/>
      <c r="G32822" s="9"/>
      <c r="J32822" s="11"/>
      <c r="U32822" s="9"/>
      <c r="X32822" s="9"/>
    </row>
    <row r="32823">
      <c r="D32823" s="9"/>
      <c r="G32823" s="9"/>
      <c r="J32823" s="11"/>
      <c r="U32823" s="9"/>
      <c r="X32823" s="9"/>
    </row>
    <row r="32824">
      <c r="D32824" s="9"/>
      <c r="G32824" s="9"/>
      <c r="J32824" s="11"/>
      <c r="U32824" s="9"/>
      <c r="X32824" s="9"/>
    </row>
    <row r="32825">
      <c r="D32825" s="9"/>
      <c r="G32825" s="9"/>
      <c r="J32825" s="11"/>
      <c r="U32825" s="9"/>
      <c r="X32825" s="9"/>
    </row>
    <row r="32826">
      <c r="D32826" s="9"/>
      <c r="G32826" s="9"/>
      <c r="J32826" s="11"/>
      <c r="U32826" s="9"/>
      <c r="X32826" s="9"/>
    </row>
    <row r="32827">
      <c r="D32827" s="9"/>
      <c r="G32827" s="9"/>
      <c r="J32827" s="11"/>
      <c r="U32827" s="9"/>
      <c r="X32827" s="9"/>
    </row>
    <row r="32828">
      <c r="D32828" s="9"/>
      <c r="G32828" s="9"/>
      <c r="J32828" s="11"/>
      <c r="U32828" s="9"/>
      <c r="X32828" s="9"/>
    </row>
    <row r="32829">
      <c r="D32829" s="9"/>
      <c r="G32829" s="9"/>
      <c r="J32829" s="11"/>
      <c r="U32829" s="9"/>
      <c r="X32829" s="9"/>
    </row>
    <row r="32830">
      <c r="D32830" s="9"/>
      <c r="G32830" s="9"/>
      <c r="J32830" s="11"/>
      <c r="U32830" s="9"/>
      <c r="X32830" s="9"/>
    </row>
    <row r="32831">
      <c r="D32831" s="9"/>
      <c r="G32831" s="9"/>
      <c r="J32831" s="11"/>
      <c r="U32831" s="9"/>
      <c r="X32831" s="9"/>
    </row>
    <row r="32832">
      <c r="D32832" s="9"/>
      <c r="G32832" s="9"/>
      <c r="J32832" s="11"/>
      <c r="U32832" s="9"/>
      <c r="X32832" s="9"/>
    </row>
    <row r="32833">
      <c r="D32833" s="9"/>
      <c r="G32833" s="9"/>
      <c r="J32833" s="11"/>
      <c r="U32833" s="9"/>
      <c r="X32833" s="9"/>
    </row>
    <row r="32834">
      <c r="D32834" s="9"/>
      <c r="G32834" s="9"/>
      <c r="J32834" s="11"/>
      <c r="U32834" s="9"/>
      <c r="X32834" s="9"/>
    </row>
    <row r="32835">
      <c r="D32835" s="9"/>
      <c r="G32835" s="9"/>
      <c r="J32835" s="11"/>
      <c r="U32835" s="9"/>
      <c r="X32835" s="9"/>
    </row>
    <row r="32836">
      <c r="D32836" s="9"/>
      <c r="G32836" s="9"/>
      <c r="J32836" s="11"/>
      <c r="U32836" s="9"/>
      <c r="X32836" s="9"/>
    </row>
    <row r="32837">
      <c r="D32837" s="9"/>
      <c r="G32837" s="9"/>
      <c r="J32837" s="11"/>
      <c r="U32837" s="9"/>
      <c r="X32837" s="9"/>
    </row>
    <row r="32838">
      <c r="D32838" s="9"/>
      <c r="G32838" s="9"/>
      <c r="J32838" s="11"/>
      <c r="U32838" s="9"/>
      <c r="X32838" s="9"/>
    </row>
    <row r="32839">
      <c r="D32839" s="9"/>
      <c r="G32839" s="9"/>
      <c r="J32839" s="11"/>
      <c r="U32839" s="9"/>
      <c r="X32839" s="9"/>
    </row>
    <row r="32840">
      <c r="D32840" s="9"/>
      <c r="G32840" s="9"/>
      <c r="J32840" s="11"/>
      <c r="U32840" s="9"/>
      <c r="X32840" s="9"/>
    </row>
    <row r="32841">
      <c r="D32841" s="9"/>
      <c r="G32841" s="9"/>
      <c r="J32841" s="11"/>
      <c r="U32841" s="9"/>
      <c r="X32841" s="9"/>
    </row>
    <row r="32842">
      <c r="D32842" s="9"/>
      <c r="G32842" s="9"/>
      <c r="J32842" s="11"/>
      <c r="U32842" s="9"/>
      <c r="X32842" s="9"/>
    </row>
    <row r="32843">
      <c r="D32843" s="9"/>
      <c r="G32843" s="9"/>
      <c r="J32843" s="11"/>
      <c r="U32843" s="9"/>
      <c r="X32843" s="9"/>
    </row>
    <row r="32844">
      <c r="D32844" s="9"/>
      <c r="G32844" s="9"/>
      <c r="J32844" s="11"/>
      <c r="U32844" s="9"/>
      <c r="X32844" s="9"/>
    </row>
    <row r="32845">
      <c r="D32845" s="9"/>
      <c r="G32845" s="9"/>
      <c r="J32845" s="11"/>
      <c r="U32845" s="9"/>
      <c r="X32845" s="9"/>
    </row>
    <row r="32846">
      <c r="D32846" s="9"/>
      <c r="G32846" s="9"/>
      <c r="J32846" s="11"/>
      <c r="U32846" s="9"/>
      <c r="X32846" s="9"/>
    </row>
    <row r="32847">
      <c r="D32847" s="9"/>
      <c r="G32847" s="9"/>
      <c r="J32847" s="11"/>
      <c r="U32847" s="9"/>
      <c r="X32847" s="9"/>
    </row>
    <row r="32848">
      <c r="D32848" s="9"/>
      <c r="G32848" s="9"/>
      <c r="J32848" s="11"/>
      <c r="U32848" s="9"/>
      <c r="X32848" s="9"/>
    </row>
    <row r="32849">
      <c r="D32849" s="9"/>
      <c r="G32849" s="9"/>
      <c r="J32849" s="11"/>
      <c r="U32849" s="9"/>
      <c r="X32849" s="9"/>
    </row>
    <row r="32850">
      <c r="D32850" s="9"/>
      <c r="G32850" s="9"/>
      <c r="J32850" s="11"/>
      <c r="U32850" s="9"/>
      <c r="X32850" s="9"/>
    </row>
    <row r="32851">
      <c r="D32851" s="9"/>
      <c r="G32851" s="9"/>
      <c r="J32851" s="11"/>
      <c r="U32851" s="9"/>
      <c r="X32851" s="9"/>
    </row>
    <row r="32852">
      <c r="D32852" s="9"/>
      <c r="G32852" s="9"/>
      <c r="J32852" s="11"/>
      <c r="U32852" s="9"/>
      <c r="X32852" s="9"/>
    </row>
    <row r="32853">
      <c r="D32853" s="9"/>
      <c r="G32853" s="9"/>
      <c r="J32853" s="11"/>
      <c r="U32853" s="9"/>
      <c r="X32853" s="9"/>
    </row>
    <row r="32854">
      <c r="D32854" s="9"/>
      <c r="G32854" s="9"/>
      <c r="J32854" s="11"/>
      <c r="U32854" s="9"/>
      <c r="X32854" s="9"/>
    </row>
    <row r="32855">
      <c r="D32855" s="9"/>
      <c r="G32855" s="9"/>
      <c r="J32855" s="11"/>
      <c r="U32855" s="9"/>
      <c r="X32855" s="9"/>
    </row>
    <row r="32856">
      <c r="D32856" s="9"/>
      <c r="G32856" s="9"/>
      <c r="J32856" s="11"/>
      <c r="U32856" s="9"/>
      <c r="X32856" s="9"/>
    </row>
    <row r="32857">
      <c r="D32857" s="9"/>
      <c r="G32857" s="9"/>
      <c r="J32857" s="11"/>
      <c r="U32857" s="9"/>
      <c r="X32857" s="9"/>
    </row>
    <row r="32858">
      <c r="D32858" s="9"/>
      <c r="G32858" s="9"/>
      <c r="J32858" s="11"/>
      <c r="U32858" s="9"/>
      <c r="X32858" s="9"/>
    </row>
    <row r="32859">
      <c r="D32859" s="9"/>
      <c r="G32859" s="9"/>
      <c r="J32859" s="11"/>
      <c r="U32859" s="9"/>
      <c r="X32859" s="9"/>
    </row>
    <row r="32860">
      <c r="D32860" s="9"/>
      <c r="G32860" s="9"/>
      <c r="J32860" s="11"/>
      <c r="U32860" s="9"/>
      <c r="X32860" s="9"/>
    </row>
    <row r="32861">
      <c r="D32861" s="9"/>
      <c r="G32861" s="9"/>
      <c r="J32861" s="11"/>
      <c r="U32861" s="9"/>
      <c r="X32861" s="9"/>
    </row>
    <row r="32862">
      <c r="D32862" s="9"/>
      <c r="G32862" s="9"/>
      <c r="J32862" s="11"/>
      <c r="U32862" s="9"/>
      <c r="X32862" s="9"/>
    </row>
    <row r="32863">
      <c r="D32863" s="9"/>
      <c r="G32863" s="9"/>
      <c r="J32863" s="11"/>
      <c r="U32863" s="9"/>
      <c r="X32863" s="9"/>
    </row>
    <row r="32864">
      <c r="D32864" s="9"/>
      <c r="G32864" s="9"/>
      <c r="J32864" s="11"/>
      <c r="U32864" s="9"/>
      <c r="X32864" s="9"/>
    </row>
    <row r="32865">
      <c r="D32865" s="9"/>
      <c r="G32865" s="9"/>
      <c r="J32865" s="11"/>
      <c r="U32865" s="9"/>
      <c r="X32865" s="9"/>
    </row>
    <row r="32866">
      <c r="D32866" s="9"/>
      <c r="G32866" s="9"/>
      <c r="J32866" s="11"/>
      <c r="U32866" s="9"/>
      <c r="X32866" s="9"/>
    </row>
    <row r="32867">
      <c r="D32867" s="9"/>
      <c r="G32867" s="9"/>
      <c r="J32867" s="11"/>
      <c r="U32867" s="9"/>
      <c r="X32867" s="9"/>
    </row>
    <row r="32868">
      <c r="D32868" s="9"/>
      <c r="G32868" s="9"/>
      <c r="J32868" s="11"/>
      <c r="U32868" s="9"/>
      <c r="X32868" s="9"/>
    </row>
    <row r="32869">
      <c r="D32869" s="9"/>
      <c r="G32869" s="9"/>
      <c r="J32869" s="11"/>
      <c r="U32869" s="9"/>
      <c r="X32869" s="9"/>
    </row>
    <row r="32870">
      <c r="D32870" s="9"/>
      <c r="G32870" s="9"/>
      <c r="J32870" s="11"/>
      <c r="U32870" s="9"/>
      <c r="X32870" s="9"/>
    </row>
    <row r="32871">
      <c r="D32871" s="9"/>
      <c r="G32871" s="9"/>
      <c r="J32871" s="11"/>
      <c r="U32871" s="9"/>
      <c r="X32871" s="9"/>
    </row>
    <row r="32872">
      <c r="D32872" s="9"/>
      <c r="G32872" s="9"/>
      <c r="J32872" s="11"/>
      <c r="U32872" s="9"/>
      <c r="X32872" s="9"/>
    </row>
    <row r="32873">
      <c r="D32873" s="9"/>
      <c r="G32873" s="9"/>
      <c r="J32873" s="11"/>
      <c r="U32873" s="9"/>
      <c r="X32873" s="9"/>
    </row>
    <row r="32874">
      <c r="D32874" s="9"/>
      <c r="G32874" s="9"/>
      <c r="J32874" s="11"/>
      <c r="U32874" s="9"/>
      <c r="X32874" s="9"/>
    </row>
    <row r="32875">
      <c r="D32875" s="9"/>
      <c r="G32875" s="9"/>
      <c r="J32875" s="11"/>
      <c r="U32875" s="9"/>
      <c r="X32875" s="9"/>
    </row>
    <row r="32876">
      <c r="D32876" s="9"/>
      <c r="G32876" s="9"/>
      <c r="J32876" s="11"/>
      <c r="U32876" s="9"/>
      <c r="X32876" s="9"/>
    </row>
    <row r="32877">
      <c r="D32877" s="9"/>
      <c r="G32877" s="9"/>
      <c r="J32877" s="11"/>
      <c r="U32877" s="9"/>
      <c r="X32877" s="9"/>
    </row>
    <row r="32878">
      <c r="D32878" s="9"/>
      <c r="G32878" s="9"/>
      <c r="J32878" s="11"/>
      <c r="U32878" s="9"/>
      <c r="X32878" s="9"/>
    </row>
    <row r="32879">
      <c r="D32879" s="9"/>
      <c r="G32879" s="9"/>
      <c r="J32879" s="11"/>
      <c r="U32879" s="9"/>
      <c r="X32879" s="9"/>
    </row>
    <row r="32880">
      <c r="D32880" s="9"/>
      <c r="G32880" s="9"/>
      <c r="J32880" s="11"/>
      <c r="U32880" s="9"/>
      <c r="X32880" s="9"/>
    </row>
    <row r="32881">
      <c r="D32881" s="9"/>
      <c r="G32881" s="9"/>
      <c r="J32881" s="11"/>
      <c r="U32881" s="9"/>
      <c r="X32881" s="9"/>
    </row>
    <row r="32882">
      <c r="D32882" s="9"/>
      <c r="G32882" s="9"/>
      <c r="J32882" s="11"/>
      <c r="U32882" s="9"/>
      <c r="X32882" s="9"/>
    </row>
    <row r="32883">
      <c r="D32883" s="9"/>
      <c r="G32883" s="9"/>
      <c r="J32883" s="11"/>
      <c r="U32883" s="9"/>
      <c r="X32883" s="9"/>
    </row>
    <row r="32884">
      <c r="D32884" s="9"/>
      <c r="G32884" s="9"/>
      <c r="J32884" s="11"/>
      <c r="U32884" s="9"/>
      <c r="X32884" s="9"/>
    </row>
    <row r="32885">
      <c r="D32885" s="9"/>
      <c r="G32885" s="9"/>
      <c r="J32885" s="11"/>
      <c r="U32885" s="9"/>
      <c r="X32885" s="9"/>
    </row>
    <row r="32886">
      <c r="D32886" s="9"/>
      <c r="G32886" s="9"/>
      <c r="J32886" s="11"/>
      <c r="U32886" s="9"/>
      <c r="X32886" s="9"/>
    </row>
    <row r="32887">
      <c r="D32887" s="9"/>
      <c r="G32887" s="9"/>
      <c r="J32887" s="11"/>
      <c r="U32887" s="9"/>
      <c r="X32887" s="9"/>
    </row>
    <row r="32888">
      <c r="D32888" s="9"/>
      <c r="G32888" s="9"/>
      <c r="J32888" s="11"/>
      <c r="U32888" s="9"/>
      <c r="X32888" s="9"/>
    </row>
    <row r="32889">
      <c r="D32889" s="9"/>
      <c r="G32889" s="9"/>
      <c r="J32889" s="11"/>
      <c r="U32889" s="9"/>
      <c r="X32889" s="9"/>
    </row>
    <row r="32890">
      <c r="D32890" s="9"/>
      <c r="G32890" s="9"/>
      <c r="J32890" s="11"/>
      <c r="U32890" s="9"/>
      <c r="X32890" s="9"/>
    </row>
    <row r="32891">
      <c r="D32891" s="9"/>
      <c r="G32891" s="9"/>
      <c r="J32891" s="11"/>
      <c r="U32891" s="9"/>
      <c r="X32891" s="9"/>
    </row>
    <row r="32892">
      <c r="D32892" s="9"/>
      <c r="G32892" s="9"/>
      <c r="J32892" s="11"/>
      <c r="U32892" s="9"/>
      <c r="X32892" s="9"/>
    </row>
    <row r="32893">
      <c r="D32893" s="9"/>
      <c r="G32893" s="9"/>
      <c r="J32893" s="11"/>
      <c r="U32893" s="9"/>
      <c r="X32893" s="9"/>
    </row>
    <row r="32894">
      <c r="D32894" s="9"/>
      <c r="G32894" s="9"/>
      <c r="J32894" s="11"/>
      <c r="U32894" s="9"/>
      <c r="X32894" s="9"/>
    </row>
    <row r="32895">
      <c r="D32895" s="9"/>
      <c r="G32895" s="9"/>
      <c r="J32895" s="11"/>
      <c r="U32895" s="9"/>
      <c r="X32895" s="9"/>
    </row>
    <row r="32896">
      <c r="D32896" s="9"/>
      <c r="G32896" s="9"/>
      <c r="J32896" s="11"/>
      <c r="U32896" s="9"/>
      <c r="X32896" s="9"/>
    </row>
    <row r="32897">
      <c r="D32897" s="9"/>
      <c r="G32897" s="9"/>
      <c r="J32897" s="11"/>
      <c r="U32897" s="9"/>
      <c r="X32897" s="9"/>
    </row>
    <row r="32898">
      <c r="D32898" s="9"/>
      <c r="G32898" s="9"/>
      <c r="J32898" s="11"/>
      <c r="U32898" s="9"/>
      <c r="X32898" s="9"/>
    </row>
    <row r="32899">
      <c r="D32899" s="9"/>
      <c r="G32899" s="9"/>
      <c r="J32899" s="11"/>
      <c r="U32899" s="9"/>
      <c r="X32899" s="9"/>
    </row>
    <row r="32900">
      <c r="D32900" s="9"/>
      <c r="G32900" s="9"/>
      <c r="J32900" s="11"/>
      <c r="U32900" s="9"/>
      <c r="X32900" s="9"/>
    </row>
    <row r="32901">
      <c r="D32901" s="9"/>
      <c r="G32901" s="9"/>
      <c r="J32901" s="11"/>
      <c r="U32901" s="9"/>
      <c r="X32901" s="9"/>
    </row>
    <row r="32902">
      <c r="D32902" s="9"/>
      <c r="G32902" s="9"/>
      <c r="J32902" s="11"/>
      <c r="U32902" s="9"/>
      <c r="X32902" s="9"/>
    </row>
    <row r="32903">
      <c r="D32903" s="9"/>
      <c r="G32903" s="9"/>
      <c r="J32903" s="11"/>
      <c r="U32903" s="9"/>
      <c r="X32903" s="9"/>
    </row>
    <row r="32904">
      <c r="D32904" s="9"/>
      <c r="G32904" s="9"/>
      <c r="J32904" s="11"/>
      <c r="U32904" s="9"/>
      <c r="X32904" s="9"/>
    </row>
    <row r="32905">
      <c r="D32905" s="9"/>
      <c r="G32905" s="9"/>
      <c r="J32905" s="11"/>
      <c r="U32905" s="9"/>
      <c r="X32905" s="9"/>
    </row>
    <row r="32906">
      <c r="D32906" s="9"/>
      <c r="G32906" s="9"/>
      <c r="J32906" s="11"/>
      <c r="U32906" s="9"/>
      <c r="X32906" s="9"/>
    </row>
    <row r="32907">
      <c r="D32907" s="9"/>
      <c r="G32907" s="9"/>
      <c r="J32907" s="11"/>
      <c r="U32907" s="9"/>
      <c r="X32907" s="9"/>
    </row>
    <row r="32908">
      <c r="D32908" s="9"/>
      <c r="G32908" s="9"/>
      <c r="J32908" s="11"/>
      <c r="U32908" s="9"/>
      <c r="X32908" s="9"/>
    </row>
    <row r="32909">
      <c r="D32909" s="9"/>
      <c r="G32909" s="9"/>
      <c r="J32909" s="11"/>
      <c r="U32909" s="9"/>
      <c r="X32909" s="9"/>
    </row>
    <row r="32910">
      <c r="D32910" s="9"/>
      <c r="G32910" s="9"/>
      <c r="J32910" s="11"/>
      <c r="U32910" s="9"/>
      <c r="X32910" s="9"/>
    </row>
    <row r="32911">
      <c r="D32911" s="9"/>
      <c r="G32911" s="9"/>
      <c r="J32911" s="11"/>
      <c r="U32911" s="9"/>
      <c r="X32911" s="9"/>
    </row>
    <row r="32912">
      <c r="D32912" s="9"/>
      <c r="G32912" s="9"/>
      <c r="J32912" s="11"/>
      <c r="U32912" s="9"/>
      <c r="X32912" s="9"/>
    </row>
    <row r="32913">
      <c r="D32913" s="9"/>
      <c r="G32913" s="9"/>
      <c r="J32913" s="11"/>
      <c r="U32913" s="9"/>
      <c r="X32913" s="9"/>
    </row>
    <row r="32914">
      <c r="D32914" s="9"/>
      <c r="G32914" s="9"/>
      <c r="J32914" s="11"/>
      <c r="U32914" s="9"/>
      <c r="X32914" s="9"/>
    </row>
    <row r="32915">
      <c r="D32915" s="9"/>
      <c r="G32915" s="9"/>
      <c r="J32915" s="11"/>
      <c r="U32915" s="9"/>
      <c r="X32915" s="9"/>
    </row>
    <row r="32916">
      <c r="D32916" s="9"/>
      <c r="G32916" s="9"/>
      <c r="J32916" s="11"/>
      <c r="U32916" s="9"/>
      <c r="X32916" s="9"/>
    </row>
    <row r="32917">
      <c r="D32917" s="9"/>
      <c r="G32917" s="9"/>
      <c r="J32917" s="11"/>
      <c r="U32917" s="9"/>
      <c r="X32917" s="9"/>
    </row>
    <row r="32918">
      <c r="D32918" s="9"/>
      <c r="G32918" s="9"/>
      <c r="J32918" s="11"/>
      <c r="U32918" s="9"/>
      <c r="X32918" s="9"/>
    </row>
    <row r="32919">
      <c r="D32919" s="9"/>
      <c r="G32919" s="9"/>
      <c r="J32919" s="11"/>
      <c r="U32919" s="9"/>
      <c r="X32919" s="9"/>
    </row>
    <row r="32920">
      <c r="D32920" s="9"/>
      <c r="G32920" s="9"/>
      <c r="J32920" s="11"/>
      <c r="U32920" s="9"/>
      <c r="X32920" s="9"/>
    </row>
    <row r="32921">
      <c r="D32921" s="9"/>
      <c r="G32921" s="9"/>
      <c r="J32921" s="11"/>
      <c r="U32921" s="9"/>
      <c r="X32921" s="9"/>
    </row>
    <row r="32922">
      <c r="D32922" s="9"/>
      <c r="G32922" s="9"/>
      <c r="J32922" s="11"/>
      <c r="U32922" s="9"/>
      <c r="X32922" s="9"/>
    </row>
    <row r="32923">
      <c r="D32923" s="9"/>
      <c r="G32923" s="9"/>
      <c r="J32923" s="11"/>
      <c r="U32923" s="9"/>
      <c r="X32923" s="9"/>
    </row>
    <row r="32924">
      <c r="D32924" s="9"/>
      <c r="G32924" s="9"/>
      <c r="J32924" s="11"/>
      <c r="U32924" s="9"/>
      <c r="X32924" s="9"/>
    </row>
    <row r="32925">
      <c r="D32925" s="9"/>
      <c r="G32925" s="9"/>
      <c r="J32925" s="11"/>
      <c r="U32925" s="9"/>
      <c r="X32925" s="9"/>
    </row>
    <row r="32926">
      <c r="D32926" s="9"/>
      <c r="G32926" s="9"/>
      <c r="J32926" s="11"/>
      <c r="U32926" s="9"/>
      <c r="X32926" s="9"/>
    </row>
    <row r="32927">
      <c r="D32927" s="9"/>
      <c r="G32927" s="9"/>
      <c r="J32927" s="11"/>
      <c r="U32927" s="9"/>
      <c r="X32927" s="9"/>
    </row>
    <row r="32928">
      <c r="D32928" s="9"/>
      <c r="G32928" s="9"/>
      <c r="J32928" s="11"/>
      <c r="U32928" s="9"/>
      <c r="X32928" s="9"/>
    </row>
    <row r="32929">
      <c r="D32929" s="9"/>
      <c r="G32929" s="9"/>
      <c r="J32929" s="11"/>
      <c r="U32929" s="9"/>
      <c r="X32929" s="9"/>
    </row>
    <row r="32930">
      <c r="D32930" s="9"/>
      <c r="G32930" s="9"/>
      <c r="J32930" s="11"/>
      <c r="U32930" s="9"/>
      <c r="X32930" s="9"/>
    </row>
    <row r="32931">
      <c r="D32931" s="9"/>
      <c r="G32931" s="9"/>
      <c r="J32931" s="11"/>
      <c r="U32931" s="9"/>
      <c r="X32931" s="9"/>
    </row>
    <row r="32932">
      <c r="D32932" s="9"/>
      <c r="G32932" s="9"/>
      <c r="J32932" s="11"/>
      <c r="U32932" s="9"/>
      <c r="X32932" s="9"/>
    </row>
    <row r="32933">
      <c r="D32933" s="9"/>
      <c r="G32933" s="9"/>
      <c r="J32933" s="11"/>
      <c r="U32933" s="9"/>
      <c r="X32933" s="9"/>
    </row>
    <row r="32934">
      <c r="D32934" s="9"/>
      <c r="G32934" s="9"/>
      <c r="J32934" s="11"/>
      <c r="U32934" s="9"/>
      <c r="X32934" s="9"/>
    </row>
    <row r="32935">
      <c r="D32935" s="9"/>
      <c r="G32935" s="9"/>
      <c r="J32935" s="11"/>
      <c r="U32935" s="9"/>
      <c r="X32935" s="9"/>
    </row>
    <row r="32936">
      <c r="D32936" s="9"/>
      <c r="G32936" s="9"/>
      <c r="J32936" s="11"/>
      <c r="U32936" s="9"/>
      <c r="X32936" s="9"/>
    </row>
    <row r="32937">
      <c r="D32937" s="9"/>
      <c r="G32937" s="9"/>
      <c r="J32937" s="11"/>
      <c r="U32937" s="9"/>
      <c r="X32937" s="9"/>
    </row>
    <row r="32938">
      <c r="D32938" s="9"/>
      <c r="G32938" s="9"/>
      <c r="J32938" s="11"/>
      <c r="U32938" s="9"/>
      <c r="X32938" s="9"/>
    </row>
    <row r="32939">
      <c r="D32939" s="9"/>
      <c r="G32939" s="9"/>
      <c r="J32939" s="11"/>
      <c r="U32939" s="9"/>
      <c r="X32939" s="9"/>
    </row>
    <row r="32940">
      <c r="D32940" s="9"/>
      <c r="G32940" s="9"/>
      <c r="J32940" s="11"/>
      <c r="U32940" s="9"/>
      <c r="X32940" s="9"/>
    </row>
    <row r="32941">
      <c r="D32941" s="9"/>
      <c r="G32941" s="9"/>
      <c r="J32941" s="11"/>
      <c r="U32941" s="9"/>
      <c r="X32941" s="9"/>
    </row>
    <row r="32942">
      <c r="D32942" s="9"/>
      <c r="G32942" s="9"/>
      <c r="J32942" s="11"/>
      <c r="U32942" s="9"/>
      <c r="X32942" s="9"/>
    </row>
    <row r="32943">
      <c r="D32943" s="9"/>
      <c r="G32943" s="9"/>
      <c r="J32943" s="11"/>
      <c r="U32943" s="9"/>
      <c r="X32943" s="9"/>
    </row>
    <row r="32944">
      <c r="D32944" s="9"/>
      <c r="G32944" s="9"/>
      <c r="J32944" s="11"/>
      <c r="U32944" s="9"/>
      <c r="X32944" s="9"/>
    </row>
    <row r="32945">
      <c r="D32945" s="9"/>
      <c r="G32945" s="9"/>
      <c r="J32945" s="11"/>
      <c r="U32945" s="9"/>
      <c r="X32945" s="9"/>
    </row>
    <row r="32946">
      <c r="D32946" s="9"/>
      <c r="G32946" s="9"/>
      <c r="J32946" s="11"/>
      <c r="U32946" s="9"/>
      <c r="X32946" s="9"/>
    </row>
    <row r="32947">
      <c r="D32947" s="9"/>
      <c r="G32947" s="9"/>
      <c r="J32947" s="11"/>
      <c r="U32947" s="9"/>
      <c r="X32947" s="9"/>
    </row>
    <row r="32948">
      <c r="D32948" s="9"/>
      <c r="G32948" s="9"/>
      <c r="J32948" s="11"/>
      <c r="U32948" s="9"/>
      <c r="X32948" s="9"/>
    </row>
    <row r="32949">
      <c r="D32949" s="9"/>
      <c r="G32949" s="9"/>
      <c r="J32949" s="11"/>
      <c r="U32949" s="9"/>
      <c r="X32949" s="9"/>
    </row>
    <row r="32950">
      <c r="D32950" s="9"/>
      <c r="G32950" s="9"/>
      <c r="J32950" s="11"/>
      <c r="U32950" s="9"/>
      <c r="X32950" s="9"/>
    </row>
    <row r="32951">
      <c r="D32951" s="9"/>
      <c r="G32951" s="9"/>
      <c r="J32951" s="11"/>
      <c r="U32951" s="9"/>
      <c r="X32951" s="9"/>
    </row>
    <row r="32952">
      <c r="D32952" s="9"/>
      <c r="G32952" s="9"/>
      <c r="J32952" s="11"/>
      <c r="U32952" s="9"/>
      <c r="X32952" s="9"/>
    </row>
    <row r="32953">
      <c r="D32953" s="9"/>
      <c r="G32953" s="9"/>
      <c r="J32953" s="11"/>
      <c r="U32953" s="9"/>
      <c r="X32953" s="9"/>
    </row>
    <row r="32954">
      <c r="D32954" s="9"/>
      <c r="G32954" s="9"/>
      <c r="J32954" s="11"/>
      <c r="U32954" s="9"/>
      <c r="X32954" s="9"/>
    </row>
    <row r="32955">
      <c r="D32955" s="9"/>
      <c r="G32955" s="9"/>
      <c r="J32955" s="11"/>
      <c r="U32955" s="9"/>
      <c r="X32955" s="9"/>
    </row>
    <row r="32956">
      <c r="D32956" s="9"/>
      <c r="G32956" s="9"/>
      <c r="J32956" s="11"/>
      <c r="U32956" s="9"/>
      <c r="X32956" s="9"/>
    </row>
    <row r="32957">
      <c r="D32957" s="9"/>
      <c r="G32957" s="9"/>
      <c r="J32957" s="11"/>
      <c r="U32957" s="9"/>
      <c r="X32957" s="9"/>
    </row>
    <row r="32958">
      <c r="D32958" s="9"/>
      <c r="G32958" s="9"/>
      <c r="J32958" s="11"/>
      <c r="U32958" s="9"/>
      <c r="X32958" s="9"/>
    </row>
    <row r="32959">
      <c r="D32959" s="9"/>
      <c r="G32959" s="9"/>
      <c r="J32959" s="11"/>
      <c r="U32959" s="9"/>
      <c r="X32959" s="9"/>
    </row>
    <row r="32960">
      <c r="D32960" s="9"/>
      <c r="G32960" s="9"/>
      <c r="J32960" s="11"/>
      <c r="U32960" s="9"/>
      <c r="X32960" s="9"/>
    </row>
    <row r="32961">
      <c r="D32961" s="9"/>
      <c r="G32961" s="9"/>
      <c r="J32961" s="11"/>
      <c r="U32961" s="9"/>
      <c r="X32961" s="9"/>
    </row>
    <row r="32962">
      <c r="D32962" s="9"/>
      <c r="G32962" s="9"/>
      <c r="J32962" s="11"/>
      <c r="U32962" s="9"/>
      <c r="X32962" s="9"/>
    </row>
    <row r="32963">
      <c r="D32963" s="9"/>
      <c r="G32963" s="9"/>
      <c r="J32963" s="11"/>
      <c r="U32963" s="9"/>
      <c r="X32963" s="9"/>
    </row>
    <row r="32964">
      <c r="D32964" s="9"/>
      <c r="G32964" s="9"/>
      <c r="J32964" s="11"/>
      <c r="U32964" s="9"/>
      <c r="X32964" s="9"/>
    </row>
    <row r="32965">
      <c r="D32965" s="9"/>
      <c r="G32965" s="9"/>
      <c r="J32965" s="11"/>
      <c r="U32965" s="9"/>
      <c r="X32965" s="9"/>
    </row>
    <row r="32966">
      <c r="D32966" s="9"/>
      <c r="G32966" s="9"/>
      <c r="J32966" s="11"/>
      <c r="U32966" s="9"/>
      <c r="X32966" s="9"/>
    </row>
    <row r="32967">
      <c r="D32967" s="9"/>
      <c r="G32967" s="9"/>
      <c r="J32967" s="11"/>
      <c r="U32967" s="9"/>
      <c r="X32967" s="9"/>
    </row>
    <row r="32968">
      <c r="D32968" s="9"/>
      <c r="G32968" s="9"/>
      <c r="J32968" s="11"/>
      <c r="U32968" s="9"/>
      <c r="X32968" s="9"/>
    </row>
    <row r="32969">
      <c r="D32969" s="9"/>
      <c r="G32969" s="9"/>
      <c r="J32969" s="11"/>
      <c r="U32969" s="9"/>
      <c r="X32969" s="9"/>
    </row>
    <row r="32970">
      <c r="D32970" s="9"/>
      <c r="G32970" s="9"/>
      <c r="J32970" s="11"/>
      <c r="U32970" s="9"/>
      <c r="X32970" s="9"/>
    </row>
    <row r="32971">
      <c r="D32971" s="9"/>
      <c r="G32971" s="9"/>
      <c r="J32971" s="11"/>
      <c r="U32971" s="9"/>
      <c r="X32971" s="9"/>
    </row>
    <row r="32972">
      <c r="D32972" s="9"/>
      <c r="G32972" s="9"/>
      <c r="J32972" s="11"/>
      <c r="U32972" s="9"/>
      <c r="X32972" s="9"/>
    </row>
    <row r="32973">
      <c r="D32973" s="9"/>
      <c r="G32973" s="9"/>
      <c r="J32973" s="11"/>
      <c r="U32973" s="9"/>
      <c r="X32973" s="9"/>
    </row>
    <row r="32974">
      <c r="D32974" s="9"/>
      <c r="G32974" s="9"/>
      <c r="J32974" s="11"/>
      <c r="U32974" s="9"/>
      <c r="X32974" s="9"/>
    </row>
    <row r="32975">
      <c r="D32975" s="9"/>
      <c r="G32975" s="9"/>
      <c r="J32975" s="11"/>
      <c r="U32975" s="9"/>
      <c r="X32975" s="9"/>
    </row>
    <row r="32976">
      <c r="D32976" s="9"/>
      <c r="G32976" s="9"/>
      <c r="J32976" s="11"/>
      <c r="U32976" s="9"/>
      <c r="X32976" s="9"/>
    </row>
    <row r="32977">
      <c r="D32977" s="9"/>
      <c r="G32977" s="9"/>
      <c r="J32977" s="11"/>
      <c r="U32977" s="9"/>
      <c r="X32977" s="9"/>
    </row>
    <row r="32978">
      <c r="D32978" s="9"/>
      <c r="G32978" s="9"/>
      <c r="J32978" s="11"/>
      <c r="U32978" s="9"/>
      <c r="X32978" s="9"/>
    </row>
    <row r="32979">
      <c r="D32979" s="9"/>
      <c r="G32979" s="9"/>
      <c r="J32979" s="11"/>
      <c r="U32979" s="9"/>
      <c r="X32979" s="9"/>
    </row>
    <row r="32980">
      <c r="D32980" s="9"/>
      <c r="G32980" s="9"/>
      <c r="J32980" s="11"/>
      <c r="U32980" s="9"/>
      <c r="X32980" s="9"/>
    </row>
    <row r="32981">
      <c r="D32981" s="9"/>
      <c r="G32981" s="9"/>
      <c r="J32981" s="11"/>
      <c r="U32981" s="9"/>
      <c r="X32981" s="9"/>
    </row>
    <row r="32982">
      <c r="D32982" s="9"/>
      <c r="G32982" s="9"/>
      <c r="J32982" s="11"/>
      <c r="U32982" s="9"/>
      <c r="X32982" s="9"/>
    </row>
    <row r="32983">
      <c r="D32983" s="9"/>
      <c r="G32983" s="9"/>
      <c r="J32983" s="11"/>
      <c r="U32983" s="9"/>
      <c r="X32983" s="9"/>
    </row>
    <row r="32984">
      <c r="D32984" s="9"/>
      <c r="G32984" s="9"/>
      <c r="J32984" s="11"/>
      <c r="U32984" s="9"/>
      <c r="X32984" s="9"/>
    </row>
    <row r="32985">
      <c r="D32985" s="9"/>
      <c r="G32985" s="9"/>
      <c r="J32985" s="11"/>
      <c r="U32985" s="9"/>
      <c r="X32985" s="9"/>
    </row>
    <row r="32986">
      <c r="D32986" s="9"/>
      <c r="G32986" s="9"/>
      <c r="J32986" s="11"/>
      <c r="U32986" s="9"/>
      <c r="X32986" s="9"/>
    </row>
    <row r="32987">
      <c r="D32987" s="9"/>
      <c r="G32987" s="9"/>
      <c r="J32987" s="11"/>
      <c r="U32987" s="9"/>
      <c r="X32987" s="9"/>
    </row>
    <row r="32988">
      <c r="D32988" s="9"/>
      <c r="G32988" s="9"/>
      <c r="J32988" s="11"/>
      <c r="U32988" s="9"/>
      <c r="X32988" s="9"/>
    </row>
    <row r="32989">
      <c r="D32989" s="9"/>
      <c r="G32989" s="9"/>
      <c r="J32989" s="11"/>
      <c r="U32989" s="9"/>
      <c r="X32989" s="9"/>
    </row>
    <row r="32990">
      <c r="D32990" s="9"/>
      <c r="G32990" s="9"/>
      <c r="J32990" s="11"/>
      <c r="U32990" s="9"/>
      <c r="X32990" s="9"/>
    </row>
    <row r="32991">
      <c r="D32991" s="9"/>
      <c r="G32991" s="9"/>
      <c r="J32991" s="11"/>
      <c r="U32991" s="9"/>
      <c r="X32991" s="9"/>
    </row>
    <row r="32992">
      <c r="D32992" s="9"/>
      <c r="G32992" s="9"/>
      <c r="J32992" s="11"/>
      <c r="U32992" s="9"/>
      <c r="X32992" s="9"/>
    </row>
    <row r="32993">
      <c r="D32993" s="9"/>
      <c r="G32993" s="9"/>
      <c r="J32993" s="11"/>
      <c r="U32993" s="9"/>
      <c r="X32993" s="9"/>
    </row>
    <row r="32994">
      <c r="D32994" s="9"/>
      <c r="G32994" s="9"/>
      <c r="J32994" s="11"/>
      <c r="U32994" s="9"/>
      <c r="X32994" s="9"/>
    </row>
    <row r="32995">
      <c r="D32995" s="9"/>
      <c r="G32995" s="9"/>
      <c r="J32995" s="11"/>
      <c r="U32995" s="9"/>
      <c r="X32995" s="9"/>
    </row>
    <row r="32996">
      <c r="D32996" s="9"/>
      <c r="G32996" s="9"/>
      <c r="J32996" s="11"/>
      <c r="U32996" s="9"/>
      <c r="X32996" s="9"/>
    </row>
    <row r="32997">
      <c r="D32997" s="9"/>
      <c r="G32997" s="9"/>
      <c r="J32997" s="11"/>
      <c r="U32997" s="9"/>
      <c r="X32997" s="9"/>
    </row>
    <row r="32998">
      <c r="D32998" s="9"/>
      <c r="G32998" s="9"/>
      <c r="J32998" s="11"/>
      <c r="U32998" s="9"/>
      <c r="X32998" s="9"/>
    </row>
    <row r="32999">
      <c r="D32999" s="9"/>
      <c r="G32999" s="9"/>
      <c r="J32999" s="11"/>
      <c r="U32999" s="9"/>
      <c r="X32999" s="9"/>
    </row>
    <row r="33000">
      <c r="D33000" s="9"/>
      <c r="G33000" s="9"/>
      <c r="J33000" s="11"/>
      <c r="U33000" s="9"/>
      <c r="X33000" s="9"/>
    </row>
    <row r="33001">
      <c r="D33001" s="9"/>
      <c r="G33001" s="9"/>
      <c r="J33001" s="11"/>
      <c r="U33001" s="9"/>
      <c r="X33001" s="9"/>
    </row>
    <row r="33002">
      <c r="D33002" s="9"/>
      <c r="G33002" s="9"/>
      <c r="J33002" s="11"/>
      <c r="U33002" s="9"/>
      <c r="X33002" s="9"/>
    </row>
    <row r="33003">
      <c r="D33003" s="9"/>
      <c r="G33003" s="9"/>
      <c r="J33003" s="11"/>
      <c r="U33003" s="9"/>
      <c r="X33003" s="9"/>
    </row>
    <row r="33004">
      <c r="D33004" s="9"/>
      <c r="G33004" s="9"/>
      <c r="J33004" s="11"/>
      <c r="U33004" s="9"/>
      <c r="X33004" s="9"/>
    </row>
    <row r="33005">
      <c r="D33005" s="9"/>
      <c r="G33005" s="9"/>
      <c r="J33005" s="11"/>
      <c r="U33005" s="9"/>
      <c r="X33005" s="9"/>
    </row>
    <row r="33006">
      <c r="D33006" s="9"/>
      <c r="G33006" s="9"/>
      <c r="J33006" s="11"/>
      <c r="U33006" s="9"/>
      <c r="X33006" s="9"/>
    </row>
    <row r="33007">
      <c r="D33007" s="9"/>
      <c r="G33007" s="9"/>
      <c r="J33007" s="11"/>
      <c r="U33007" s="9"/>
      <c r="X33007" s="9"/>
    </row>
    <row r="33008">
      <c r="D33008" s="9"/>
      <c r="G33008" s="9"/>
      <c r="J33008" s="11"/>
      <c r="U33008" s="9"/>
      <c r="X33008" s="9"/>
    </row>
    <row r="33009">
      <c r="D33009" s="9"/>
      <c r="G33009" s="9"/>
      <c r="J33009" s="11"/>
      <c r="U33009" s="9"/>
      <c r="X33009" s="9"/>
    </row>
    <row r="33010">
      <c r="D33010" s="9"/>
      <c r="G33010" s="9"/>
      <c r="J33010" s="11"/>
      <c r="U33010" s="9"/>
      <c r="X33010" s="9"/>
    </row>
    <row r="33011">
      <c r="D33011" s="9"/>
      <c r="G33011" s="9"/>
      <c r="J33011" s="11"/>
      <c r="U33011" s="9"/>
      <c r="X33011" s="9"/>
    </row>
    <row r="33012">
      <c r="D33012" s="9"/>
      <c r="G33012" s="9"/>
      <c r="J33012" s="11"/>
      <c r="U33012" s="9"/>
      <c r="X33012" s="9"/>
    </row>
    <row r="33013">
      <c r="D33013" s="9"/>
      <c r="G33013" s="9"/>
      <c r="J33013" s="11"/>
      <c r="U33013" s="9"/>
      <c r="X33013" s="9"/>
    </row>
    <row r="33014">
      <c r="D33014" s="9"/>
      <c r="G33014" s="9"/>
      <c r="J33014" s="11"/>
      <c r="U33014" s="9"/>
      <c r="X33014" s="9"/>
    </row>
    <row r="33015">
      <c r="D33015" s="9"/>
      <c r="G33015" s="9"/>
      <c r="J33015" s="11"/>
      <c r="U33015" s="9"/>
      <c r="X33015" s="9"/>
    </row>
    <row r="33016">
      <c r="D33016" s="9"/>
      <c r="G33016" s="9"/>
      <c r="J33016" s="11"/>
      <c r="U33016" s="9"/>
      <c r="X33016" s="9"/>
    </row>
    <row r="33017">
      <c r="D33017" s="9"/>
      <c r="G33017" s="9"/>
      <c r="J33017" s="11"/>
      <c r="U33017" s="9"/>
      <c r="X33017" s="9"/>
    </row>
    <row r="33018">
      <c r="D33018" s="9"/>
      <c r="G33018" s="9"/>
      <c r="J33018" s="11"/>
      <c r="U33018" s="9"/>
      <c r="X33018" s="9"/>
    </row>
    <row r="33019">
      <c r="D33019" s="9"/>
      <c r="G33019" s="9"/>
      <c r="J33019" s="11"/>
      <c r="U33019" s="9"/>
      <c r="X33019" s="9"/>
    </row>
    <row r="33020">
      <c r="D33020" s="9"/>
      <c r="G33020" s="9"/>
      <c r="J33020" s="11"/>
      <c r="U33020" s="9"/>
      <c r="X33020" s="9"/>
    </row>
    <row r="33021">
      <c r="D33021" s="9"/>
      <c r="G33021" s="9"/>
      <c r="J33021" s="11"/>
      <c r="U33021" s="9"/>
      <c r="X33021" s="9"/>
    </row>
    <row r="33022">
      <c r="D33022" s="9"/>
      <c r="G33022" s="9"/>
      <c r="J33022" s="11"/>
      <c r="U33022" s="9"/>
      <c r="X33022" s="9"/>
    </row>
    <row r="33023">
      <c r="D33023" s="9"/>
      <c r="G33023" s="9"/>
      <c r="J33023" s="11"/>
      <c r="U33023" s="9"/>
      <c r="X33023" s="9"/>
    </row>
    <row r="33024">
      <c r="D33024" s="9"/>
      <c r="G33024" s="9"/>
      <c r="J33024" s="11"/>
      <c r="U33024" s="9"/>
      <c r="X33024" s="9"/>
    </row>
    <row r="33025">
      <c r="D33025" s="9"/>
      <c r="G33025" s="9"/>
      <c r="J33025" s="11"/>
      <c r="U33025" s="9"/>
      <c r="X33025" s="9"/>
    </row>
    <row r="33026">
      <c r="D33026" s="9"/>
      <c r="G33026" s="9"/>
      <c r="J33026" s="11"/>
      <c r="U33026" s="9"/>
      <c r="X33026" s="9"/>
    </row>
    <row r="33027">
      <c r="D33027" s="9"/>
      <c r="G33027" s="9"/>
      <c r="J33027" s="11"/>
      <c r="U33027" s="9"/>
      <c r="X33027" s="9"/>
    </row>
    <row r="33028">
      <c r="D33028" s="9"/>
      <c r="G33028" s="9"/>
      <c r="J33028" s="11"/>
      <c r="U33028" s="9"/>
      <c r="X33028" s="9"/>
    </row>
    <row r="33029">
      <c r="D33029" s="9"/>
      <c r="G33029" s="9"/>
      <c r="J33029" s="11"/>
      <c r="U33029" s="9"/>
      <c r="X33029" s="9"/>
    </row>
    <row r="33030">
      <c r="D33030" s="9"/>
      <c r="G33030" s="9"/>
      <c r="J33030" s="11"/>
      <c r="U33030" s="9"/>
      <c r="X33030" s="9"/>
    </row>
    <row r="33031">
      <c r="D33031" s="9"/>
      <c r="G33031" s="9"/>
      <c r="J33031" s="11"/>
      <c r="U33031" s="9"/>
      <c r="X33031" s="9"/>
    </row>
    <row r="33032">
      <c r="D33032" s="9"/>
      <c r="G33032" s="9"/>
      <c r="J33032" s="11"/>
      <c r="U33032" s="9"/>
      <c r="X33032" s="9"/>
    </row>
    <row r="33033">
      <c r="D33033" s="9"/>
      <c r="G33033" s="9"/>
      <c r="J33033" s="11"/>
      <c r="U33033" s="9"/>
      <c r="X33033" s="9"/>
    </row>
    <row r="33034">
      <c r="D33034" s="9"/>
      <c r="G33034" s="9"/>
      <c r="J33034" s="11"/>
      <c r="U33034" s="9"/>
      <c r="X33034" s="9"/>
    </row>
    <row r="33035">
      <c r="D33035" s="9"/>
      <c r="G33035" s="9"/>
      <c r="J33035" s="11"/>
      <c r="U33035" s="9"/>
      <c r="X33035" s="9"/>
    </row>
    <row r="33036">
      <c r="D33036" s="9"/>
      <c r="G33036" s="9"/>
      <c r="J33036" s="11"/>
      <c r="U33036" s="9"/>
      <c r="X33036" s="9"/>
    </row>
    <row r="33037">
      <c r="D33037" s="9"/>
      <c r="G33037" s="9"/>
      <c r="J33037" s="11"/>
      <c r="U33037" s="9"/>
      <c r="X33037" s="9"/>
    </row>
    <row r="33038">
      <c r="D33038" s="9"/>
      <c r="G33038" s="9"/>
      <c r="J33038" s="11"/>
      <c r="U33038" s="9"/>
      <c r="X33038" s="9"/>
    </row>
    <row r="33039">
      <c r="D33039" s="9"/>
      <c r="G33039" s="9"/>
      <c r="J33039" s="11"/>
      <c r="U33039" s="9"/>
      <c r="X33039" s="9"/>
    </row>
    <row r="33040">
      <c r="D33040" s="9"/>
      <c r="G33040" s="9"/>
      <c r="J33040" s="11"/>
      <c r="U33040" s="9"/>
      <c r="X33040" s="9"/>
    </row>
    <row r="33041">
      <c r="D33041" s="9"/>
      <c r="G33041" s="9"/>
      <c r="J33041" s="11"/>
      <c r="U33041" s="9"/>
      <c r="X33041" s="9"/>
    </row>
    <row r="33042">
      <c r="D33042" s="9"/>
      <c r="G33042" s="9"/>
      <c r="J33042" s="11"/>
      <c r="U33042" s="9"/>
      <c r="X33042" s="9"/>
    </row>
    <row r="33043">
      <c r="D33043" s="9"/>
      <c r="G33043" s="9"/>
      <c r="J33043" s="11"/>
      <c r="U33043" s="9"/>
      <c r="X33043" s="9"/>
    </row>
    <row r="33044">
      <c r="D33044" s="9"/>
      <c r="G33044" s="9"/>
      <c r="J33044" s="11"/>
      <c r="U33044" s="9"/>
      <c r="X33044" s="9"/>
    </row>
    <row r="33045">
      <c r="D33045" s="9"/>
      <c r="G33045" s="9"/>
      <c r="J33045" s="11"/>
      <c r="U33045" s="9"/>
      <c r="X33045" s="9"/>
    </row>
    <row r="33046">
      <c r="D33046" s="9"/>
      <c r="G33046" s="9"/>
      <c r="J33046" s="11"/>
      <c r="U33046" s="9"/>
      <c r="X33046" s="9"/>
    </row>
    <row r="33047">
      <c r="D33047" s="9"/>
      <c r="G33047" s="9"/>
      <c r="J33047" s="11"/>
      <c r="U33047" s="9"/>
      <c r="X33047" s="9"/>
    </row>
    <row r="33048">
      <c r="D33048" s="9"/>
      <c r="G33048" s="9"/>
      <c r="J33048" s="11"/>
      <c r="U33048" s="9"/>
      <c r="X33048" s="9"/>
    </row>
    <row r="33049">
      <c r="D33049" s="9"/>
      <c r="G33049" s="9"/>
      <c r="J33049" s="11"/>
      <c r="U33049" s="9"/>
      <c r="X33049" s="9"/>
    </row>
    <row r="33050">
      <c r="D33050" s="9"/>
      <c r="G33050" s="9"/>
      <c r="J33050" s="11"/>
      <c r="U33050" s="9"/>
      <c r="X33050" s="9"/>
    </row>
    <row r="33051">
      <c r="D33051" s="9"/>
      <c r="G33051" s="9"/>
      <c r="J33051" s="11"/>
      <c r="U33051" s="9"/>
      <c r="X33051" s="9"/>
    </row>
    <row r="33052">
      <c r="D33052" s="9"/>
      <c r="G33052" s="9"/>
      <c r="J33052" s="11"/>
      <c r="U33052" s="9"/>
      <c r="X33052" s="9"/>
    </row>
    <row r="33053">
      <c r="D33053" s="9"/>
      <c r="G33053" s="9"/>
      <c r="J33053" s="11"/>
      <c r="U33053" s="9"/>
      <c r="X33053" s="9"/>
    </row>
    <row r="33054">
      <c r="D33054" s="9"/>
      <c r="G33054" s="9"/>
      <c r="J33054" s="11"/>
      <c r="U33054" s="9"/>
      <c r="X33054" s="9"/>
    </row>
    <row r="33055">
      <c r="D33055" s="9"/>
      <c r="G33055" s="9"/>
      <c r="J33055" s="11"/>
      <c r="U33055" s="9"/>
      <c r="X33055" s="9"/>
    </row>
    <row r="33056">
      <c r="D33056" s="9"/>
      <c r="G33056" s="9"/>
      <c r="J33056" s="11"/>
      <c r="U33056" s="9"/>
      <c r="X33056" s="9"/>
    </row>
    <row r="33057">
      <c r="D33057" s="9"/>
      <c r="G33057" s="9"/>
      <c r="J33057" s="11"/>
      <c r="U33057" s="9"/>
      <c r="X33057" s="9"/>
    </row>
    <row r="33058">
      <c r="D33058" s="9"/>
      <c r="G33058" s="9"/>
      <c r="J33058" s="11"/>
      <c r="U33058" s="9"/>
      <c r="X33058" s="9"/>
    </row>
    <row r="33059">
      <c r="D33059" s="9"/>
      <c r="G33059" s="9"/>
      <c r="J33059" s="11"/>
      <c r="U33059" s="9"/>
      <c r="X33059" s="9"/>
    </row>
    <row r="33060">
      <c r="D33060" s="9"/>
      <c r="G33060" s="9"/>
      <c r="J33060" s="11"/>
      <c r="U33060" s="9"/>
      <c r="X33060" s="9"/>
    </row>
    <row r="33061">
      <c r="D33061" s="9"/>
      <c r="G33061" s="9"/>
      <c r="J33061" s="11"/>
      <c r="U33061" s="9"/>
      <c r="X33061" s="9"/>
    </row>
    <row r="33062">
      <c r="D33062" s="9"/>
      <c r="G33062" s="9"/>
      <c r="J33062" s="11"/>
      <c r="U33062" s="9"/>
      <c r="X33062" s="9"/>
    </row>
    <row r="33063">
      <c r="D33063" s="9"/>
      <c r="G33063" s="9"/>
      <c r="J33063" s="11"/>
      <c r="U33063" s="9"/>
      <c r="X33063" s="9"/>
    </row>
    <row r="33064">
      <c r="D33064" s="9"/>
      <c r="G33064" s="9"/>
      <c r="J33064" s="11"/>
      <c r="U33064" s="9"/>
      <c r="X33064" s="9"/>
    </row>
    <row r="33065">
      <c r="D33065" s="9"/>
      <c r="G33065" s="9"/>
      <c r="J33065" s="11"/>
      <c r="U33065" s="9"/>
      <c r="X33065" s="9"/>
    </row>
    <row r="33066">
      <c r="D33066" s="9"/>
      <c r="G33066" s="9"/>
      <c r="J33066" s="11"/>
      <c r="U33066" s="9"/>
      <c r="X33066" s="9"/>
    </row>
    <row r="33067">
      <c r="D33067" s="9"/>
      <c r="G33067" s="9"/>
      <c r="J33067" s="11"/>
      <c r="U33067" s="9"/>
      <c r="X33067" s="9"/>
    </row>
    <row r="33068">
      <c r="D33068" s="9"/>
      <c r="G33068" s="9"/>
      <c r="J33068" s="11"/>
      <c r="U33068" s="9"/>
      <c r="X33068" s="9"/>
    </row>
    <row r="33069">
      <c r="D33069" s="9"/>
      <c r="G33069" s="9"/>
      <c r="J33069" s="11"/>
      <c r="U33069" s="9"/>
      <c r="X33069" s="9"/>
    </row>
    <row r="33070">
      <c r="D33070" s="9"/>
      <c r="G33070" s="9"/>
      <c r="J33070" s="11"/>
      <c r="U33070" s="9"/>
      <c r="X33070" s="9"/>
    </row>
    <row r="33071">
      <c r="D33071" s="9"/>
      <c r="G33071" s="9"/>
      <c r="J33071" s="11"/>
      <c r="U33071" s="9"/>
      <c r="X33071" s="9"/>
    </row>
    <row r="33072">
      <c r="D33072" s="9"/>
      <c r="G33072" s="9"/>
      <c r="J33072" s="11"/>
      <c r="U33072" s="9"/>
      <c r="X33072" s="9"/>
    </row>
    <row r="33073">
      <c r="D33073" s="9"/>
      <c r="G33073" s="9"/>
      <c r="J33073" s="11"/>
      <c r="U33073" s="9"/>
      <c r="X33073" s="9"/>
    </row>
    <row r="33074">
      <c r="D33074" s="9"/>
      <c r="G33074" s="9"/>
      <c r="J33074" s="11"/>
      <c r="U33074" s="9"/>
      <c r="X33074" s="9"/>
    </row>
    <row r="33075">
      <c r="D33075" s="9"/>
      <c r="G33075" s="9"/>
      <c r="J33075" s="11"/>
      <c r="U33075" s="9"/>
      <c r="X33075" s="9"/>
    </row>
    <row r="33076">
      <c r="D33076" s="9"/>
      <c r="G33076" s="9"/>
      <c r="J33076" s="11"/>
      <c r="U33076" s="9"/>
      <c r="X33076" s="9"/>
    </row>
    <row r="33077">
      <c r="D33077" s="9"/>
      <c r="G33077" s="9"/>
      <c r="J33077" s="11"/>
      <c r="U33077" s="9"/>
      <c r="X33077" s="9"/>
    </row>
    <row r="33078">
      <c r="D33078" s="9"/>
      <c r="G33078" s="9"/>
      <c r="J33078" s="11"/>
      <c r="U33078" s="9"/>
      <c r="X33078" s="9"/>
    </row>
    <row r="33079">
      <c r="D33079" s="9"/>
      <c r="G33079" s="9"/>
      <c r="J33079" s="11"/>
      <c r="U33079" s="9"/>
      <c r="X33079" s="9"/>
    </row>
    <row r="33080">
      <c r="D33080" s="9"/>
      <c r="G33080" s="9"/>
      <c r="J33080" s="11"/>
      <c r="U33080" s="9"/>
      <c r="X33080" s="9"/>
    </row>
    <row r="33081">
      <c r="D33081" s="9"/>
      <c r="G33081" s="9"/>
      <c r="J33081" s="11"/>
      <c r="U33081" s="9"/>
      <c r="X33081" s="9"/>
    </row>
    <row r="33082">
      <c r="D33082" s="9"/>
      <c r="G33082" s="9"/>
      <c r="J33082" s="11"/>
      <c r="U33082" s="9"/>
      <c r="X33082" s="9"/>
    </row>
    <row r="33083">
      <c r="D33083" s="9"/>
      <c r="G33083" s="9"/>
      <c r="J33083" s="11"/>
      <c r="U33083" s="9"/>
      <c r="X33083" s="9"/>
    </row>
    <row r="33084">
      <c r="D33084" s="9"/>
      <c r="G33084" s="9"/>
      <c r="J33084" s="11"/>
      <c r="U33084" s="9"/>
      <c r="X33084" s="9"/>
    </row>
    <row r="33085">
      <c r="D33085" s="9"/>
      <c r="G33085" s="9"/>
      <c r="J33085" s="11"/>
      <c r="U33085" s="9"/>
      <c r="X33085" s="9"/>
    </row>
    <row r="33086">
      <c r="D33086" s="9"/>
      <c r="G33086" s="9"/>
      <c r="J33086" s="11"/>
      <c r="U33086" s="9"/>
      <c r="X33086" s="9"/>
    </row>
    <row r="33087">
      <c r="D33087" s="9"/>
      <c r="G33087" s="9"/>
      <c r="J33087" s="11"/>
      <c r="U33087" s="9"/>
      <c r="X33087" s="9"/>
    </row>
    <row r="33088">
      <c r="D33088" s="9"/>
      <c r="G33088" s="9"/>
      <c r="J33088" s="11"/>
      <c r="U33088" s="9"/>
      <c r="X33088" s="9"/>
    </row>
    <row r="33089">
      <c r="D33089" s="9"/>
      <c r="G33089" s="9"/>
      <c r="J33089" s="11"/>
      <c r="U33089" s="9"/>
      <c r="X33089" s="9"/>
    </row>
    <row r="33090">
      <c r="D33090" s="9"/>
      <c r="G33090" s="9"/>
      <c r="J33090" s="11"/>
      <c r="U33090" s="9"/>
      <c r="X33090" s="9"/>
    </row>
    <row r="33091">
      <c r="D33091" s="9"/>
      <c r="G33091" s="9"/>
      <c r="J33091" s="11"/>
      <c r="U33091" s="9"/>
      <c r="X33091" s="9"/>
    </row>
    <row r="33092">
      <c r="D33092" s="9"/>
      <c r="G33092" s="9"/>
      <c r="J33092" s="11"/>
      <c r="U33092" s="9"/>
      <c r="X33092" s="9"/>
    </row>
    <row r="33093">
      <c r="D33093" s="9"/>
      <c r="G33093" s="9"/>
      <c r="J33093" s="11"/>
      <c r="U33093" s="9"/>
      <c r="X33093" s="9"/>
    </row>
    <row r="33094">
      <c r="D33094" s="9"/>
      <c r="G33094" s="9"/>
      <c r="J33094" s="11"/>
      <c r="U33094" s="9"/>
      <c r="X33094" s="9"/>
    </row>
    <row r="33095">
      <c r="D33095" s="9"/>
      <c r="G33095" s="9"/>
      <c r="J33095" s="11"/>
      <c r="U33095" s="9"/>
      <c r="X33095" s="9"/>
    </row>
    <row r="33096">
      <c r="D33096" s="9"/>
      <c r="G33096" s="9"/>
      <c r="J33096" s="11"/>
      <c r="U33096" s="9"/>
      <c r="X33096" s="9"/>
    </row>
    <row r="33097">
      <c r="D33097" s="9"/>
      <c r="G33097" s="9"/>
      <c r="J33097" s="11"/>
      <c r="U33097" s="9"/>
      <c r="X33097" s="9"/>
    </row>
    <row r="33098">
      <c r="D33098" s="9"/>
      <c r="G33098" s="9"/>
      <c r="J33098" s="11"/>
      <c r="U33098" s="9"/>
      <c r="X33098" s="9"/>
    </row>
    <row r="33099">
      <c r="D33099" s="9"/>
      <c r="G33099" s="9"/>
      <c r="J33099" s="11"/>
      <c r="U33099" s="9"/>
      <c r="X33099" s="9"/>
    </row>
    <row r="33100">
      <c r="D33100" s="9"/>
      <c r="G33100" s="9"/>
      <c r="J33100" s="11"/>
      <c r="U33100" s="9"/>
      <c r="X33100" s="9"/>
    </row>
    <row r="33101">
      <c r="D33101" s="9"/>
      <c r="G33101" s="9"/>
      <c r="J33101" s="11"/>
      <c r="U33101" s="9"/>
      <c r="X33101" s="9"/>
    </row>
    <row r="33102">
      <c r="D33102" s="9"/>
      <c r="G33102" s="9"/>
      <c r="J33102" s="11"/>
      <c r="U33102" s="9"/>
      <c r="X33102" s="9"/>
    </row>
    <row r="33103">
      <c r="D33103" s="9"/>
      <c r="G33103" s="9"/>
      <c r="J33103" s="11"/>
      <c r="U33103" s="9"/>
      <c r="X33103" s="9"/>
    </row>
    <row r="33104">
      <c r="D33104" s="9"/>
      <c r="G33104" s="9"/>
      <c r="J33104" s="11"/>
      <c r="U33104" s="9"/>
      <c r="X33104" s="9"/>
    </row>
    <row r="33105">
      <c r="D33105" s="9"/>
      <c r="G33105" s="9"/>
      <c r="J33105" s="11"/>
      <c r="U33105" s="9"/>
      <c r="X33105" s="9"/>
    </row>
    <row r="33106">
      <c r="D33106" s="9"/>
      <c r="G33106" s="9"/>
      <c r="J33106" s="11"/>
      <c r="U33106" s="9"/>
      <c r="X33106" s="9"/>
    </row>
    <row r="33107">
      <c r="D33107" s="9"/>
      <c r="G33107" s="9"/>
      <c r="J33107" s="11"/>
      <c r="U33107" s="9"/>
      <c r="X33107" s="9"/>
    </row>
    <row r="33108">
      <c r="D33108" s="9"/>
      <c r="G33108" s="9"/>
      <c r="J33108" s="11"/>
      <c r="U33108" s="9"/>
      <c r="X33108" s="9"/>
    </row>
    <row r="33109">
      <c r="D33109" s="9"/>
      <c r="G33109" s="9"/>
      <c r="J33109" s="11"/>
      <c r="U33109" s="9"/>
      <c r="X33109" s="9"/>
    </row>
    <row r="33110">
      <c r="D33110" s="9"/>
      <c r="G33110" s="9"/>
      <c r="J33110" s="11"/>
      <c r="U33110" s="9"/>
      <c r="X33110" s="9"/>
    </row>
    <row r="33111">
      <c r="D33111" s="9"/>
      <c r="G33111" s="9"/>
      <c r="J33111" s="11"/>
      <c r="U33111" s="9"/>
      <c r="X33111" s="9"/>
    </row>
    <row r="33112">
      <c r="D33112" s="9"/>
      <c r="G33112" s="9"/>
      <c r="J33112" s="11"/>
      <c r="U33112" s="9"/>
      <c r="X33112" s="9"/>
    </row>
    <row r="33113">
      <c r="D33113" s="9"/>
      <c r="G33113" s="9"/>
      <c r="J33113" s="11"/>
      <c r="U33113" s="9"/>
      <c r="X33113" s="9"/>
    </row>
    <row r="33114">
      <c r="D33114" s="9"/>
      <c r="G33114" s="9"/>
      <c r="J33114" s="11"/>
      <c r="U33114" s="9"/>
      <c r="X33114" s="9"/>
    </row>
    <row r="33115">
      <c r="D33115" s="9"/>
      <c r="G33115" s="9"/>
      <c r="J33115" s="11"/>
      <c r="U33115" s="9"/>
      <c r="X33115" s="9"/>
    </row>
    <row r="33116">
      <c r="D33116" s="9"/>
      <c r="G33116" s="9"/>
      <c r="J33116" s="11"/>
      <c r="U33116" s="9"/>
      <c r="X33116" s="9"/>
    </row>
    <row r="33117">
      <c r="D33117" s="9"/>
      <c r="G33117" s="9"/>
      <c r="J33117" s="11"/>
      <c r="U33117" s="9"/>
      <c r="X33117" s="9"/>
    </row>
    <row r="33118">
      <c r="D33118" s="9"/>
      <c r="G33118" s="9"/>
      <c r="J33118" s="11"/>
      <c r="U33118" s="9"/>
      <c r="X33118" s="9"/>
    </row>
    <row r="33119">
      <c r="D33119" s="9"/>
      <c r="G33119" s="9"/>
      <c r="J33119" s="11"/>
      <c r="U33119" s="9"/>
      <c r="X33119" s="9"/>
    </row>
    <row r="33120">
      <c r="D33120" s="9"/>
      <c r="G33120" s="9"/>
      <c r="J33120" s="11"/>
      <c r="U33120" s="9"/>
      <c r="X33120" s="9"/>
    </row>
    <row r="33121">
      <c r="D33121" s="9"/>
      <c r="G33121" s="9"/>
      <c r="J33121" s="11"/>
      <c r="U33121" s="9"/>
      <c r="X33121" s="9"/>
    </row>
    <row r="33122">
      <c r="D33122" s="9"/>
      <c r="G33122" s="9"/>
      <c r="J33122" s="11"/>
      <c r="U33122" s="9"/>
      <c r="X33122" s="9"/>
    </row>
    <row r="33123">
      <c r="D33123" s="9"/>
      <c r="G33123" s="9"/>
      <c r="J33123" s="11"/>
      <c r="U33123" s="9"/>
      <c r="X33123" s="9"/>
    </row>
    <row r="33124">
      <c r="D33124" s="9"/>
      <c r="G33124" s="9"/>
      <c r="J33124" s="11"/>
      <c r="U33124" s="9"/>
      <c r="X33124" s="9"/>
    </row>
    <row r="33125">
      <c r="D33125" s="9"/>
      <c r="G33125" s="9"/>
      <c r="J33125" s="11"/>
      <c r="U33125" s="9"/>
      <c r="X33125" s="9"/>
    </row>
    <row r="33126">
      <c r="D33126" s="9"/>
      <c r="G33126" s="9"/>
      <c r="J33126" s="11"/>
      <c r="U33126" s="9"/>
      <c r="X33126" s="9"/>
    </row>
    <row r="33127">
      <c r="D33127" s="9"/>
      <c r="G33127" s="9"/>
      <c r="J33127" s="11"/>
      <c r="U33127" s="9"/>
      <c r="X33127" s="9"/>
    </row>
    <row r="33128">
      <c r="D33128" s="9"/>
      <c r="G33128" s="9"/>
      <c r="J33128" s="11"/>
      <c r="U33128" s="9"/>
      <c r="X33128" s="9"/>
    </row>
    <row r="33129">
      <c r="D33129" s="9"/>
      <c r="G33129" s="9"/>
      <c r="J33129" s="11"/>
      <c r="U33129" s="9"/>
      <c r="X33129" s="9"/>
    </row>
    <row r="33130">
      <c r="D33130" s="9"/>
      <c r="G33130" s="9"/>
      <c r="J33130" s="11"/>
      <c r="U33130" s="9"/>
      <c r="X33130" s="9"/>
    </row>
    <row r="33131">
      <c r="D33131" s="9"/>
      <c r="G33131" s="9"/>
      <c r="J33131" s="11"/>
      <c r="U33131" s="9"/>
      <c r="X33131" s="9"/>
    </row>
    <row r="33132">
      <c r="D33132" s="9"/>
      <c r="G33132" s="9"/>
      <c r="J33132" s="11"/>
      <c r="U33132" s="9"/>
      <c r="X33132" s="9"/>
    </row>
    <row r="33133">
      <c r="D33133" s="9"/>
      <c r="G33133" s="9"/>
      <c r="J33133" s="11"/>
      <c r="U33133" s="9"/>
      <c r="X33133" s="9"/>
    </row>
    <row r="33134">
      <c r="D33134" s="9"/>
      <c r="G33134" s="9"/>
      <c r="J33134" s="11"/>
      <c r="U33134" s="9"/>
      <c r="X33134" s="9"/>
    </row>
    <row r="33135">
      <c r="D33135" s="9"/>
      <c r="G33135" s="9"/>
      <c r="J33135" s="11"/>
      <c r="U33135" s="9"/>
      <c r="X33135" s="9"/>
    </row>
    <row r="33136">
      <c r="D33136" s="9"/>
      <c r="G33136" s="9"/>
      <c r="J33136" s="11"/>
      <c r="U33136" s="9"/>
      <c r="X33136" s="9"/>
    </row>
    <row r="33137">
      <c r="D33137" s="9"/>
      <c r="G33137" s="9"/>
      <c r="J33137" s="11"/>
      <c r="U33137" s="9"/>
      <c r="X33137" s="9"/>
    </row>
    <row r="33138">
      <c r="D33138" s="9"/>
      <c r="G33138" s="9"/>
      <c r="J33138" s="11"/>
      <c r="U33138" s="9"/>
      <c r="X33138" s="9"/>
    </row>
    <row r="33139">
      <c r="D33139" s="9"/>
      <c r="G33139" s="9"/>
      <c r="J33139" s="11"/>
      <c r="U33139" s="9"/>
      <c r="X33139" s="9"/>
    </row>
    <row r="33140">
      <c r="D33140" s="9"/>
      <c r="G33140" s="9"/>
      <c r="J33140" s="11"/>
      <c r="U33140" s="9"/>
      <c r="X33140" s="9"/>
    </row>
    <row r="33141">
      <c r="D33141" s="9"/>
      <c r="G33141" s="9"/>
      <c r="J33141" s="11"/>
      <c r="U33141" s="9"/>
      <c r="X33141" s="9"/>
    </row>
    <row r="33142">
      <c r="D33142" s="9"/>
      <c r="G33142" s="9"/>
      <c r="J33142" s="11"/>
      <c r="U33142" s="9"/>
      <c r="X33142" s="9"/>
    </row>
    <row r="33143">
      <c r="D33143" s="9"/>
      <c r="G33143" s="9"/>
      <c r="J33143" s="11"/>
      <c r="U33143" s="9"/>
      <c r="X33143" s="9"/>
    </row>
    <row r="33144">
      <c r="D33144" s="9"/>
      <c r="G33144" s="9"/>
      <c r="J33144" s="11"/>
      <c r="U33144" s="9"/>
      <c r="X33144" s="9"/>
    </row>
    <row r="33145">
      <c r="D33145" s="9"/>
      <c r="G33145" s="9"/>
      <c r="J33145" s="11"/>
      <c r="U33145" s="9"/>
      <c r="X33145" s="9"/>
    </row>
    <row r="33146">
      <c r="D33146" s="9"/>
      <c r="G33146" s="9"/>
      <c r="J33146" s="11"/>
      <c r="U33146" s="9"/>
      <c r="X33146" s="9"/>
    </row>
    <row r="33147">
      <c r="D33147" s="9"/>
      <c r="G33147" s="9"/>
      <c r="J33147" s="11"/>
      <c r="U33147" s="9"/>
      <c r="X33147" s="9"/>
    </row>
    <row r="33148">
      <c r="D33148" s="9"/>
      <c r="G33148" s="9"/>
      <c r="J33148" s="11"/>
      <c r="U33148" s="9"/>
      <c r="X33148" s="9"/>
    </row>
    <row r="33149">
      <c r="D33149" s="9"/>
      <c r="G33149" s="9"/>
      <c r="J33149" s="11"/>
      <c r="U33149" s="9"/>
      <c r="X33149" s="9"/>
    </row>
    <row r="33150">
      <c r="D33150" s="9"/>
      <c r="G33150" s="9"/>
      <c r="J33150" s="11"/>
      <c r="U33150" s="9"/>
      <c r="X33150" s="9"/>
    </row>
    <row r="33151">
      <c r="D33151" s="9"/>
      <c r="G33151" s="9"/>
      <c r="J33151" s="11"/>
      <c r="U33151" s="9"/>
      <c r="X33151" s="9"/>
    </row>
    <row r="33152">
      <c r="D33152" s="9"/>
      <c r="G33152" s="9"/>
      <c r="J33152" s="11"/>
      <c r="U33152" s="9"/>
      <c r="X33152" s="9"/>
    </row>
    <row r="33153">
      <c r="D33153" s="9"/>
      <c r="G33153" s="9"/>
      <c r="J33153" s="11"/>
      <c r="U33153" s="9"/>
      <c r="X33153" s="9"/>
    </row>
    <row r="33154">
      <c r="D33154" s="9"/>
      <c r="G33154" s="9"/>
      <c r="J33154" s="11"/>
      <c r="U33154" s="9"/>
      <c r="X33154" s="9"/>
    </row>
    <row r="33155">
      <c r="D33155" s="9"/>
      <c r="G33155" s="9"/>
      <c r="J33155" s="11"/>
      <c r="U33155" s="9"/>
      <c r="X33155" s="9"/>
    </row>
    <row r="33156">
      <c r="D33156" s="9"/>
      <c r="G33156" s="9"/>
      <c r="J33156" s="11"/>
      <c r="U33156" s="9"/>
      <c r="X33156" s="9"/>
    </row>
    <row r="33157">
      <c r="D33157" s="9"/>
      <c r="G33157" s="9"/>
      <c r="J33157" s="11"/>
      <c r="U33157" s="9"/>
      <c r="X33157" s="9"/>
    </row>
    <row r="33158">
      <c r="D33158" s="9"/>
      <c r="G33158" s="9"/>
      <c r="J33158" s="11"/>
      <c r="U33158" s="9"/>
      <c r="X33158" s="9"/>
    </row>
    <row r="33159">
      <c r="D33159" s="9"/>
      <c r="G33159" s="9"/>
      <c r="J33159" s="11"/>
      <c r="U33159" s="9"/>
      <c r="X33159" s="9"/>
    </row>
    <row r="33160">
      <c r="D33160" s="9"/>
      <c r="G33160" s="9"/>
      <c r="J33160" s="11"/>
      <c r="U33160" s="9"/>
      <c r="X33160" s="9"/>
    </row>
    <row r="33161">
      <c r="D33161" s="9"/>
      <c r="G33161" s="9"/>
      <c r="J33161" s="11"/>
      <c r="U33161" s="9"/>
      <c r="X33161" s="9"/>
    </row>
    <row r="33162">
      <c r="D33162" s="9"/>
      <c r="G33162" s="9"/>
      <c r="J33162" s="11"/>
      <c r="U33162" s="9"/>
      <c r="X33162" s="9"/>
    </row>
    <row r="33163">
      <c r="D33163" s="9"/>
      <c r="G33163" s="9"/>
      <c r="J33163" s="11"/>
      <c r="U33163" s="9"/>
      <c r="X33163" s="9"/>
    </row>
    <row r="33164">
      <c r="D33164" s="9"/>
      <c r="G33164" s="9"/>
      <c r="J33164" s="11"/>
      <c r="U33164" s="9"/>
      <c r="X33164" s="9"/>
    </row>
    <row r="33165">
      <c r="D33165" s="9"/>
      <c r="G33165" s="9"/>
      <c r="J33165" s="11"/>
      <c r="U33165" s="9"/>
      <c r="X33165" s="9"/>
    </row>
    <row r="33166">
      <c r="D33166" s="9"/>
      <c r="G33166" s="9"/>
      <c r="J33166" s="11"/>
      <c r="U33166" s="9"/>
      <c r="X33166" s="9"/>
    </row>
    <row r="33167">
      <c r="D33167" s="9"/>
      <c r="G33167" s="9"/>
      <c r="J33167" s="11"/>
      <c r="U33167" s="9"/>
      <c r="X33167" s="9"/>
    </row>
    <row r="33168">
      <c r="D33168" s="9"/>
      <c r="G33168" s="9"/>
      <c r="J33168" s="11"/>
      <c r="U33168" s="9"/>
      <c r="X33168" s="9"/>
    </row>
    <row r="33169">
      <c r="D33169" s="9"/>
      <c r="G33169" s="9"/>
      <c r="J33169" s="11"/>
      <c r="U33169" s="9"/>
      <c r="X33169" s="9"/>
    </row>
    <row r="33170">
      <c r="D33170" s="9"/>
      <c r="G33170" s="9"/>
      <c r="J33170" s="11"/>
      <c r="U33170" s="9"/>
      <c r="X33170" s="9"/>
    </row>
    <row r="33171">
      <c r="D33171" s="9"/>
      <c r="G33171" s="9"/>
      <c r="J33171" s="11"/>
      <c r="U33171" s="9"/>
      <c r="X33171" s="9"/>
    </row>
    <row r="33172">
      <c r="D33172" s="9"/>
      <c r="G33172" s="9"/>
      <c r="J33172" s="11"/>
      <c r="U33172" s="9"/>
      <c r="X33172" s="9"/>
    </row>
    <row r="33173">
      <c r="D33173" s="9"/>
      <c r="G33173" s="9"/>
      <c r="J33173" s="11"/>
      <c r="U33173" s="9"/>
      <c r="X33173" s="9"/>
    </row>
    <row r="33174">
      <c r="D33174" s="9"/>
      <c r="G33174" s="9"/>
      <c r="J33174" s="11"/>
      <c r="U33174" s="9"/>
      <c r="X33174" s="9"/>
    </row>
    <row r="33175">
      <c r="D33175" s="9"/>
      <c r="G33175" s="9"/>
      <c r="J33175" s="11"/>
      <c r="U33175" s="9"/>
      <c r="X33175" s="9"/>
    </row>
    <row r="33176">
      <c r="D33176" s="9"/>
      <c r="G33176" s="9"/>
      <c r="J33176" s="11"/>
      <c r="U33176" s="9"/>
      <c r="X33176" s="9"/>
    </row>
    <row r="33177">
      <c r="D33177" s="9"/>
      <c r="G33177" s="9"/>
      <c r="J33177" s="11"/>
      <c r="U33177" s="9"/>
      <c r="X33177" s="9"/>
    </row>
    <row r="33178">
      <c r="D33178" s="9"/>
      <c r="G33178" s="9"/>
      <c r="J33178" s="11"/>
      <c r="U33178" s="9"/>
      <c r="X33178" s="9"/>
    </row>
    <row r="33179">
      <c r="D33179" s="9"/>
      <c r="G33179" s="9"/>
      <c r="J33179" s="11"/>
      <c r="U33179" s="9"/>
      <c r="X33179" s="9"/>
    </row>
    <row r="33180">
      <c r="D33180" s="9"/>
      <c r="G33180" s="9"/>
      <c r="J33180" s="11"/>
      <c r="U33180" s="9"/>
      <c r="X33180" s="9"/>
    </row>
    <row r="33181">
      <c r="D33181" s="9"/>
      <c r="G33181" s="9"/>
      <c r="J33181" s="11"/>
      <c r="U33181" s="9"/>
      <c r="X33181" s="9"/>
    </row>
    <row r="33182">
      <c r="D33182" s="9"/>
      <c r="G33182" s="9"/>
      <c r="J33182" s="11"/>
      <c r="U33182" s="9"/>
      <c r="X33182" s="9"/>
    </row>
    <row r="33183">
      <c r="D33183" s="9"/>
      <c r="G33183" s="9"/>
      <c r="J33183" s="11"/>
      <c r="U33183" s="9"/>
      <c r="X33183" s="9"/>
    </row>
    <row r="33184">
      <c r="D33184" s="9"/>
      <c r="G33184" s="9"/>
      <c r="J33184" s="11"/>
      <c r="U33184" s="9"/>
      <c r="X33184" s="9"/>
    </row>
    <row r="33185">
      <c r="D33185" s="9"/>
      <c r="G33185" s="9"/>
      <c r="J33185" s="11"/>
      <c r="U33185" s="9"/>
      <c r="X33185" s="9"/>
    </row>
    <row r="33186">
      <c r="D33186" s="9"/>
      <c r="G33186" s="9"/>
      <c r="J33186" s="11"/>
      <c r="U33186" s="9"/>
      <c r="X33186" s="9"/>
    </row>
    <row r="33187">
      <c r="D33187" s="9"/>
      <c r="G33187" s="9"/>
      <c r="J33187" s="11"/>
      <c r="U33187" s="9"/>
      <c r="X33187" s="9"/>
    </row>
    <row r="33188">
      <c r="D33188" s="9"/>
      <c r="G33188" s="9"/>
      <c r="J33188" s="11"/>
      <c r="U33188" s="9"/>
      <c r="X33188" s="9"/>
    </row>
    <row r="33189">
      <c r="D33189" s="9"/>
      <c r="G33189" s="9"/>
      <c r="J33189" s="11"/>
      <c r="U33189" s="9"/>
      <c r="X33189" s="9"/>
    </row>
    <row r="33190">
      <c r="D33190" s="9"/>
      <c r="G33190" s="9"/>
      <c r="J33190" s="11"/>
      <c r="U33190" s="9"/>
      <c r="X33190" s="9"/>
    </row>
    <row r="33191">
      <c r="D33191" s="9"/>
      <c r="G33191" s="9"/>
      <c r="J33191" s="11"/>
      <c r="U33191" s="9"/>
      <c r="X33191" s="9"/>
    </row>
    <row r="33192">
      <c r="D33192" s="9"/>
      <c r="G33192" s="9"/>
      <c r="J33192" s="11"/>
      <c r="U33192" s="9"/>
      <c r="X33192" s="9"/>
    </row>
    <row r="33193">
      <c r="D33193" s="9"/>
      <c r="G33193" s="9"/>
      <c r="J33193" s="11"/>
      <c r="U33193" s="9"/>
      <c r="X33193" s="9"/>
    </row>
    <row r="33194">
      <c r="D33194" s="9"/>
      <c r="G33194" s="9"/>
      <c r="J33194" s="11"/>
      <c r="U33194" s="9"/>
      <c r="X33194" s="9"/>
    </row>
    <row r="33195">
      <c r="D33195" s="9"/>
      <c r="G33195" s="9"/>
      <c r="J33195" s="11"/>
      <c r="U33195" s="9"/>
      <c r="X33195" s="9"/>
    </row>
    <row r="33196">
      <c r="D33196" s="9"/>
      <c r="G33196" s="9"/>
      <c r="J33196" s="11"/>
      <c r="U33196" s="9"/>
      <c r="X33196" s="9"/>
    </row>
    <row r="33197">
      <c r="D33197" s="9"/>
      <c r="G33197" s="9"/>
      <c r="J33197" s="11"/>
      <c r="U33197" s="9"/>
      <c r="X33197" s="9"/>
    </row>
    <row r="33198">
      <c r="D33198" s="9"/>
      <c r="G33198" s="9"/>
      <c r="J33198" s="11"/>
      <c r="U33198" s="9"/>
      <c r="X33198" s="9"/>
    </row>
    <row r="33199">
      <c r="D33199" s="9"/>
      <c r="G33199" s="9"/>
      <c r="J33199" s="11"/>
      <c r="U33199" s="9"/>
      <c r="X33199" s="9"/>
    </row>
    <row r="33200">
      <c r="D33200" s="9"/>
      <c r="G33200" s="9"/>
      <c r="J33200" s="11"/>
      <c r="U33200" s="9"/>
      <c r="X33200" s="9"/>
    </row>
    <row r="33201">
      <c r="D33201" s="9"/>
      <c r="G33201" s="9"/>
      <c r="J33201" s="11"/>
      <c r="U33201" s="9"/>
      <c r="X33201" s="9"/>
    </row>
    <row r="33202">
      <c r="D33202" s="9"/>
      <c r="G33202" s="9"/>
      <c r="J33202" s="11"/>
      <c r="U33202" s="9"/>
      <c r="X33202" s="9"/>
    </row>
    <row r="33203">
      <c r="D33203" s="9"/>
      <c r="G33203" s="9"/>
      <c r="J33203" s="11"/>
      <c r="U33203" s="9"/>
      <c r="X33203" s="9"/>
    </row>
    <row r="33204">
      <c r="D33204" s="9"/>
      <c r="G33204" s="9"/>
      <c r="J33204" s="11"/>
      <c r="U33204" s="9"/>
      <c r="X33204" s="9"/>
    </row>
    <row r="33205">
      <c r="D33205" s="9"/>
      <c r="G33205" s="9"/>
      <c r="J33205" s="11"/>
      <c r="U33205" s="9"/>
      <c r="X33205" s="9"/>
    </row>
    <row r="33206">
      <c r="D33206" s="9"/>
      <c r="G33206" s="9"/>
      <c r="J33206" s="11"/>
      <c r="U33206" s="9"/>
      <c r="X33206" s="9"/>
    </row>
    <row r="33207">
      <c r="D33207" s="9"/>
      <c r="G33207" s="9"/>
      <c r="J33207" s="11"/>
      <c r="U33207" s="9"/>
      <c r="X33207" s="9"/>
    </row>
    <row r="33208">
      <c r="D33208" s="9"/>
      <c r="G33208" s="9"/>
      <c r="J33208" s="11"/>
      <c r="U33208" s="9"/>
      <c r="X33208" s="9"/>
    </row>
    <row r="33209">
      <c r="D33209" s="9"/>
      <c r="G33209" s="9"/>
      <c r="J33209" s="11"/>
      <c r="U33209" s="9"/>
      <c r="X33209" s="9"/>
    </row>
    <row r="33210">
      <c r="D33210" s="9"/>
      <c r="G33210" s="9"/>
      <c r="J33210" s="11"/>
      <c r="U33210" s="9"/>
      <c r="X33210" s="9"/>
    </row>
    <row r="33211">
      <c r="D33211" s="9"/>
      <c r="G33211" s="9"/>
      <c r="J33211" s="11"/>
      <c r="U33211" s="9"/>
      <c r="X33211" s="9"/>
    </row>
    <row r="33212">
      <c r="D33212" s="9"/>
      <c r="G33212" s="9"/>
      <c r="J33212" s="11"/>
      <c r="U33212" s="9"/>
      <c r="X33212" s="9"/>
    </row>
    <row r="33213">
      <c r="D33213" s="9"/>
      <c r="G33213" s="9"/>
      <c r="J33213" s="11"/>
      <c r="U33213" s="9"/>
      <c r="X33213" s="9"/>
    </row>
    <row r="33214">
      <c r="D33214" s="9"/>
      <c r="G33214" s="9"/>
      <c r="J33214" s="11"/>
      <c r="U33214" s="9"/>
      <c r="X33214" s="9"/>
    </row>
    <row r="33215">
      <c r="D33215" s="9"/>
      <c r="G33215" s="9"/>
      <c r="J33215" s="11"/>
      <c r="U33215" s="9"/>
      <c r="X33215" s="9"/>
    </row>
    <row r="33216">
      <c r="D33216" s="9"/>
      <c r="G33216" s="9"/>
      <c r="J33216" s="11"/>
      <c r="U33216" s="9"/>
      <c r="X33216" s="9"/>
    </row>
    <row r="33217">
      <c r="D33217" s="9"/>
      <c r="G33217" s="9"/>
      <c r="J33217" s="11"/>
      <c r="U33217" s="9"/>
      <c r="X33217" s="9"/>
    </row>
    <row r="33218">
      <c r="D33218" s="9"/>
      <c r="G33218" s="9"/>
      <c r="J33218" s="11"/>
      <c r="U33218" s="9"/>
      <c r="X33218" s="9"/>
    </row>
    <row r="33219">
      <c r="D33219" s="9"/>
      <c r="G33219" s="9"/>
      <c r="J33219" s="11"/>
      <c r="U33219" s="9"/>
      <c r="X33219" s="9"/>
    </row>
    <row r="33220">
      <c r="D33220" s="9"/>
      <c r="G33220" s="9"/>
      <c r="J33220" s="11"/>
      <c r="U33220" s="9"/>
      <c r="X33220" s="9"/>
    </row>
    <row r="33221">
      <c r="D33221" s="9"/>
      <c r="G33221" s="9"/>
      <c r="J33221" s="11"/>
      <c r="U33221" s="9"/>
      <c r="X33221" s="9"/>
    </row>
    <row r="33222">
      <c r="D33222" s="9"/>
      <c r="G33222" s="9"/>
      <c r="J33222" s="11"/>
      <c r="U33222" s="9"/>
      <c r="X33222" s="9"/>
    </row>
    <row r="33223">
      <c r="D33223" s="9"/>
      <c r="G33223" s="9"/>
      <c r="J33223" s="11"/>
      <c r="U33223" s="9"/>
      <c r="X33223" s="9"/>
    </row>
    <row r="33224">
      <c r="D33224" s="9"/>
      <c r="G33224" s="9"/>
      <c r="J33224" s="11"/>
      <c r="U33224" s="9"/>
      <c r="X33224" s="9"/>
    </row>
    <row r="33225">
      <c r="D33225" s="9"/>
      <c r="G33225" s="9"/>
      <c r="J33225" s="11"/>
      <c r="U33225" s="9"/>
      <c r="X33225" s="9"/>
    </row>
    <row r="33226">
      <c r="D33226" s="9"/>
      <c r="G33226" s="9"/>
      <c r="J33226" s="11"/>
      <c r="U33226" s="9"/>
      <c r="X33226" s="9"/>
    </row>
    <row r="33227">
      <c r="D33227" s="9"/>
      <c r="G33227" s="9"/>
      <c r="J33227" s="11"/>
      <c r="U33227" s="9"/>
      <c r="X33227" s="9"/>
    </row>
    <row r="33228">
      <c r="D33228" s="9"/>
      <c r="G33228" s="9"/>
      <c r="J33228" s="11"/>
      <c r="U33228" s="9"/>
      <c r="X33228" s="9"/>
    </row>
    <row r="33229">
      <c r="D33229" s="9"/>
      <c r="G33229" s="9"/>
      <c r="J33229" s="11"/>
      <c r="U33229" s="9"/>
      <c r="X33229" s="9"/>
    </row>
    <row r="33230">
      <c r="D33230" s="9"/>
      <c r="G33230" s="9"/>
      <c r="J33230" s="11"/>
      <c r="U33230" s="9"/>
      <c r="X33230" s="9"/>
    </row>
    <row r="33231">
      <c r="D33231" s="9"/>
      <c r="G33231" s="9"/>
      <c r="J33231" s="11"/>
      <c r="U33231" s="9"/>
      <c r="X33231" s="9"/>
    </row>
    <row r="33232">
      <c r="D33232" s="9"/>
      <c r="G33232" s="9"/>
      <c r="J33232" s="11"/>
      <c r="U33232" s="9"/>
      <c r="X33232" s="9"/>
    </row>
    <row r="33233">
      <c r="D33233" s="9"/>
      <c r="G33233" s="9"/>
      <c r="J33233" s="11"/>
      <c r="U33233" s="9"/>
      <c r="X33233" s="9"/>
    </row>
    <row r="33234">
      <c r="D33234" s="9"/>
      <c r="G33234" s="9"/>
      <c r="J33234" s="11"/>
      <c r="U33234" s="9"/>
      <c r="X33234" s="9"/>
    </row>
    <row r="33235">
      <c r="D33235" s="9"/>
      <c r="G33235" s="9"/>
      <c r="J33235" s="11"/>
      <c r="U33235" s="9"/>
      <c r="X33235" s="9"/>
    </row>
    <row r="33236">
      <c r="D33236" s="9"/>
      <c r="G33236" s="9"/>
      <c r="J33236" s="11"/>
      <c r="U33236" s="9"/>
      <c r="X33236" s="9"/>
    </row>
    <row r="33237">
      <c r="D33237" s="9"/>
      <c r="G33237" s="9"/>
      <c r="J33237" s="11"/>
      <c r="U33237" s="9"/>
      <c r="X33237" s="9"/>
    </row>
    <row r="33238">
      <c r="D33238" s="9"/>
      <c r="G33238" s="9"/>
      <c r="J33238" s="11"/>
      <c r="U33238" s="9"/>
      <c r="X33238" s="9"/>
    </row>
    <row r="33239">
      <c r="D33239" s="9"/>
      <c r="G33239" s="9"/>
      <c r="J33239" s="11"/>
      <c r="U33239" s="9"/>
      <c r="X33239" s="9"/>
    </row>
    <row r="33240">
      <c r="D33240" s="9"/>
      <c r="G33240" s="9"/>
      <c r="J33240" s="11"/>
      <c r="U33240" s="9"/>
      <c r="X33240" s="9"/>
    </row>
    <row r="33241">
      <c r="D33241" s="9"/>
      <c r="G33241" s="9"/>
      <c r="J33241" s="11"/>
      <c r="U33241" s="9"/>
      <c r="X33241" s="9"/>
    </row>
    <row r="33242">
      <c r="D33242" s="9"/>
      <c r="G33242" s="9"/>
      <c r="J33242" s="11"/>
      <c r="U33242" s="9"/>
      <c r="X33242" s="9"/>
    </row>
    <row r="33243">
      <c r="D33243" s="9"/>
      <c r="G33243" s="9"/>
      <c r="J33243" s="11"/>
      <c r="U33243" s="9"/>
      <c r="X33243" s="9"/>
    </row>
    <row r="33244">
      <c r="D33244" s="9"/>
      <c r="G33244" s="9"/>
      <c r="J33244" s="11"/>
      <c r="U33244" s="9"/>
      <c r="X33244" s="9"/>
    </row>
    <row r="33245">
      <c r="D33245" s="9"/>
      <c r="G33245" s="9"/>
      <c r="J33245" s="11"/>
      <c r="U33245" s="9"/>
      <c r="X33245" s="9"/>
    </row>
    <row r="33246">
      <c r="D33246" s="9"/>
      <c r="G33246" s="9"/>
      <c r="J33246" s="11"/>
      <c r="U33246" s="9"/>
      <c r="X33246" s="9"/>
    </row>
    <row r="33247">
      <c r="D33247" s="9"/>
      <c r="G33247" s="9"/>
      <c r="J33247" s="11"/>
      <c r="U33247" s="9"/>
      <c r="X33247" s="9"/>
    </row>
    <row r="33248">
      <c r="D33248" s="9"/>
      <c r="G33248" s="9"/>
      <c r="J33248" s="11"/>
      <c r="U33248" s="9"/>
      <c r="X33248" s="9"/>
    </row>
    <row r="33249">
      <c r="D33249" s="9"/>
      <c r="G33249" s="9"/>
      <c r="J33249" s="11"/>
      <c r="U33249" s="9"/>
      <c r="X33249" s="9"/>
    </row>
    <row r="33250">
      <c r="D33250" s="9"/>
      <c r="G33250" s="9"/>
      <c r="J33250" s="11"/>
      <c r="U33250" s="9"/>
      <c r="X33250" s="9"/>
    </row>
    <row r="33251">
      <c r="D33251" s="9"/>
      <c r="G33251" s="9"/>
      <c r="J33251" s="11"/>
      <c r="U33251" s="9"/>
      <c r="X33251" s="9"/>
    </row>
    <row r="33252">
      <c r="D33252" s="9"/>
      <c r="G33252" s="9"/>
      <c r="J33252" s="11"/>
      <c r="U33252" s="9"/>
      <c r="X33252" s="9"/>
    </row>
    <row r="33253">
      <c r="D33253" s="9"/>
      <c r="G33253" s="9"/>
      <c r="J33253" s="11"/>
      <c r="U33253" s="9"/>
      <c r="X33253" s="9"/>
    </row>
    <row r="33254">
      <c r="D33254" s="9"/>
      <c r="G33254" s="9"/>
      <c r="J33254" s="11"/>
      <c r="U33254" s="9"/>
      <c r="X33254" s="9"/>
    </row>
    <row r="33255">
      <c r="D33255" s="9"/>
      <c r="G33255" s="9"/>
      <c r="J33255" s="11"/>
      <c r="U33255" s="9"/>
      <c r="X33255" s="9"/>
    </row>
    <row r="33256">
      <c r="D33256" s="9"/>
      <c r="G33256" s="9"/>
      <c r="J33256" s="11"/>
      <c r="U33256" s="9"/>
      <c r="X33256" s="9"/>
    </row>
    <row r="33257">
      <c r="D33257" s="9"/>
      <c r="G33257" s="9"/>
      <c r="J33257" s="11"/>
      <c r="U33257" s="9"/>
      <c r="X33257" s="9"/>
    </row>
    <row r="33258">
      <c r="D33258" s="9"/>
      <c r="G33258" s="9"/>
      <c r="J33258" s="11"/>
      <c r="U33258" s="9"/>
      <c r="X33258" s="9"/>
    </row>
    <row r="33259">
      <c r="D33259" s="9"/>
      <c r="G33259" s="9"/>
      <c r="J33259" s="11"/>
      <c r="U33259" s="9"/>
      <c r="X33259" s="9"/>
    </row>
    <row r="33260">
      <c r="D33260" s="9"/>
      <c r="G33260" s="9"/>
      <c r="J33260" s="11"/>
      <c r="U33260" s="9"/>
      <c r="X33260" s="9"/>
    </row>
    <row r="33261">
      <c r="D33261" s="9"/>
      <c r="G33261" s="9"/>
      <c r="J33261" s="11"/>
      <c r="U33261" s="9"/>
      <c r="X33261" s="9"/>
    </row>
    <row r="33262">
      <c r="D33262" s="9"/>
      <c r="G33262" s="9"/>
      <c r="J33262" s="11"/>
      <c r="U33262" s="9"/>
      <c r="X33262" s="9"/>
    </row>
    <row r="33263">
      <c r="D33263" s="9"/>
      <c r="G33263" s="9"/>
      <c r="J33263" s="11"/>
      <c r="U33263" s="9"/>
      <c r="X33263" s="9"/>
    </row>
    <row r="33264">
      <c r="D33264" s="9"/>
      <c r="G33264" s="9"/>
      <c r="J33264" s="11"/>
      <c r="U33264" s="9"/>
      <c r="X33264" s="9"/>
    </row>
    <row r="33265">
      <c r="D33265" s="9"/>
      <c r="G33265" s="9"/>
      <c r="J33265" s="11"/>
      <c r="U33265" s="9"/>
      <c r="X33265" s="9"/>
    </row>
    <row r="33266">
      <c r="D33266" s="9"/>
      <c r="G33266" s="9"/>
      <c r="J33266" s="11"/>
      <c r="U33266" s="9"/>
      <c r="X33266" s="9"/>
    </row>
    <row r="33267">
      <c r="D33267" s="9"/>
      <c r="G33267" s="9"/>
      <c r="J33267" s="11"/>
      <c r="U33267" s="9"/>
      <c r="X33267" s="9"/>
    </row>
    <row r="33268">
      <c r="D33268" s="9"/>
      <c r="G33268" s="9"/>
      <c r="J33268" s="11"/>
      <c r="U33268" s="9"/>
      <c r="X33268" s="9"/>
    </row>
    <row r="33269">
      <c r="D33269" s="9"/>
      <c r="G33269" s="9"/>
      <c r="J33269" s="11"/>
      <c r="U33269" s="9"/>
      <c r="X33269" s="9"/>
    </row>
    <row r="33270">
      <c r="D33270" s="9"/>
      <c r="G33270" s="9"/>
      <c r="J33270" s="11"/>
      <c r="U33270" s="9"/>
      <c r="X33270" s="9"/>
    </row>
    <row r="33271">
      <c r="D33271" s="9"/>
      <c r="G33271" s="9"/>
      <c r="J33271" s="11"/>
      <c r="U33271" s="9"/>
      <c r="X33271" s="9"/>
    </row>
    <row r="33272">
      <c r="D33272" s="9"/>
      <c r="G33272" s="9"/>
      <c r="J33272" s="11"/>
      <c r="U33272" s="9"/>
      <c r="X33272" s="9"/>
    </row>
    <row r="33273">
      <c r="D33273" s="9"/>
      <c r="G33273" s="9"/>
      <c r="J33273" s="11"/>
      <c r="U33273" s="9"/>
      <c r="X33273" s="9"/>
    </row>
    <row r="33274">
      <c r="D33274" s="9"/>
      <c r="G33274" s="9"/>
      <c r="J33274" s="11"/>
      <c r="U33274" s="9"/>
      <c r="X33274" s="9"/>
    </row>
    <row r="33275">
      <c r="D33275" s="9"/>
      <c r="G33275" s="9"/>
      <c r="J33275" s="11"/>
      <c r="U33275" s="9"/>
      <c r="X33275" s="9"/>
    </row>
    <row r="33276">
      <c r="D33276" s="9"/>
      <c r="G33276" s="9"/>
      <c r="J33276" s="11"/>
      <c r="U33276" s="9"/>
      <c r="X33276" s="9"/>
    </row>
    <row r="33277">
      <c r="D33277" s="9"/>
      <c r="G33277" s="9"/>
      <c r="J33277" s="11"/>
      <c r="U33277" s="9"/>
      <c r="X33277" s="9"/>
    </row>
    <row r="33278">
      <c r="D33278" s="9"/>
      <c r="G33278" s="9"/>
      <c r="J33278" s="11"/>
      <c r="U33278" s="9"/>
      <c r="X33278" s="9"/>
    </row>
    <row r="33279">
      <c r="D33279" s="9"/>
      <c r="G33279" s="9"/>
      <c r="J33279" s="11"/>
      <c r="U33279" s="9"/>
      <c r="X33279" s="9"/>
    </row>
    <row r="33280">
      <c r="D33280" s="9"/>
      <c r="G33280" s="9"/>
      <c r="J33280" s="11"/>
      <c r="U33280" s="9"/>
      <c r="X33280" s="9"/>
    </row>
    <row r="33281">
      <c r="D33281" s="9"/>
      <c r="G33281" s="9"/>
      <c r="J33281" s="11"/>
      <c r="U33281" s="9"/>
      <c r="X33281" s="9"/>
    </row>
    <row r="33282">
      <c r="D33282" s="9"/>
      <c r="G33282" s="9"/>
      <c r="J33282" s="11"/>
      <c r="U33282" s="9"/>
      <c r="X33282" s="9"/>
    </row>
    <row r="33283">
      <c r="D33283" s="9"/>
      <c r="G33283" s="9"/>
      <c r="J33283" s="11"/>
      <c r="U33283" s="9"/>
      <c r="X33283" s="9"/>
    </row>
    <row r="33284">
      <c r="D33284" s="9"/>
      <c r="G33284" s="9"/>
      <c r="J33284" s="11"/>
      <c r="U33284" s="9"/>
      <c r="X33284" s="9"/>
    </row>
    <row r="33285">
      <c r="D33285" s="9"/>
      <c r="G33285" s="9"/>
      <c r="J33285" s="11"/>
      <c r="U33285" s="9"/>
      <c r="X33285" s="9"/>
    </row>
    <row r="33286">
      <c r="D33286" s="9"/>
      <c r="G33286" s="9"/>
      <c r="J33286" s="11"/>
      <c r="U33286" s="9"/>
      <c r="X33286" s="9"/>
    </row>
    <row r="33287">
      <c r="D33287" s="9"/>
      <c r="G33287" s="9"/>
      <c r="J33287" s="11"/>
      <c r="U33287" s="9"/>
      <c r="X33287" s="9"/>
    </row>
    <row r="33288">
      <c r="D33288" s="9"/>
      <c r="G33288" s="9"/>
      <c r="J33288" s="11"/>
      <c r="U33288" s="9"/>
      <c r="X33288" s="9"/>
    </row>
    <row r="33289">
      <c r="D33289" s="9"/>
      <c r="G33289" s="9"/>
      <c r="J33289" s="11"/>
      <c r="U33289" s="9"/>
      <c r="X33289" s="9"/>
    </row>
    <row r="33290">
      <c r="D33290" s="9"/>
      <c r="G33290" s="9"/>
      <c r="J33290" s="11"/>
      <c r="U33290" s="9"/>
      <c r="X33290" s="9"/>
    </row>
    <row r="33291">
      <c r="D33291" s="9"/>
      <c r="G33291" s="9"/>
      <c r="J33291" s="11"/>
      <c r="U33291" s="9"/>
      <c r="X33291" s="9"/>
    </row>
    <row r="33292">
      <c r="D33292" s="9"/>
      <c r="G33292" s="9"/>
      <c r="J33292" s="11"/>
      <c r="U33292" s="9"/>
      <c r="X33292" s="9"/>
    </row>
    <row r="33293">
      <c r="D33293" s="9"/>
      <c r="G33293" s="9"/>
      <c r="J33293" s="11"/>
      <c r="U33293" s="9"/>
      <c r="X33293" s="9"/>
    </row>
    <row r="33294">
      <c r="D33294" s="9"/>
      <c r="G33294" s="9"/>
      <c r="J33294" s="11"/>
      <c r="U33294" s="9"/>
      <c r="X33294" s="9"/>
    </row>
    <row r="33295">
      <c r="D33295" s="9"/>
      <c r="G33295" s="9"/>
      <c r="J33295" s="11"/>
      <c r="U33295" s="9"/>
      <c r="X33295" s="9"/>
    </row>
    <row r="33296">
      <c r="D33296" s="9"/>
      <c r="G33296" s="9"/>
      <c r="J33296" s="11"/>
      <c r="U33296" s="9"/>
      <c r="X33296" s="9"/>
    </row>
    <row r="33297">
      <c r="D33297" s="9"/>
      <c r="G33297" s="9"/>
      <c r="J33297" s="11"/>
      <c r="U33297" s="9"/>
      <c r="X33297" s="9"/>
    </row>
    <row r="33298">
      <c r="D33298" s="9"/>
      <c r="G33298" s="9"/>
      <c r="J33298" s="11"/>
      <c r="U33298" s="9"/>
      <c r="X33298" s="9"/>
    </row>
    <row r="33299">
      <c r="D33299" s="9"/>
      <c r="G33299" s="9"/>
      <c r="J33299" s="11"/>
      <c r="U33299" s="9"/>
      <c r="X33299" s="9"/>
    </row>
    <row r="33300">
      <c r="D33300" s="9"/>
      <c r="G33300" s="9"/>
      <c r="J33300" s="11"/>
      <c r="U33300" s="9"/>
      <c r="X33300" s="9"/>
    </row>
    <row r="33301">
      <c r="D33301" s="9"/>
      <c r="G33301" s="9"/>
      <c r="J33301" s="11"/>
      <c r="U33301" s="9"/>
      <c r="X33301" s="9"/>
    </row>
    <row r="33302">
      <c r="D33302" s="9"/>
      <c r="G33302" s="9"/>
      <c r="J33302" s="11"/>
      <c r="U33302" s="9"/>
      <c r="X33302" s="9"/>
    </row>
    <row r="33303">
      <c r="D33303" s="9"/>
      <c r="G33303" s="9"/>
      <c r="J33303" s="11"/>
      <c r="U33303" s="9"/>
      <c r="X33303" s="9"/>
    </row>
    <row r="33304">
      <c r="D33304" s="9"/>
      <c r="G33304" s="9"/>
      <c r="J33304" s="11"/>
      <c r="U33304" s="9"/>
      <c r="X33304" s="9"/>
    </row>
    <row r="33305">
      <c r="D33305" s="9"/>
      <c r="G33305" s="9"/>
      <c r="J33305" s="11"/>
      <c r="U33305" s="9"/>
      <c r="X33305" s="9"/>
    </row>
    <row r="33306">
      <c r="D33306" s="9"/>
      <c r="G33306" s="9"/>
      <c r="J33306" s="11"/>
      <c r="U33306" s="9"/>
      <c r="X33306" s="9"/>
    </row>
    <row r="33307">
      <c r="D33307" s="9"/>
      <c r="G33307" s="9"/>
      <c r="J33307" s="11"/>
      <c r="U33307" s="9"/>
      <c r="X33307" s="9"/>
    </row>
    <row r="33308">
      <c r="D33308" s="9"/>
      <c r="G33308" s="9"/>
      <c r="J33308" s="11"/>
      <c r="U33308" s="9"/>
      <c r="X33308" s="9"/>
    </row>
    <row r="33309">
      <c r="D33309" s="9"/>
      <c r="G33309" s="9"/>
      <c r="J33309" s="11"/>
      <c r="U33309" s="9"/>
      <c r="X33309" s="9"/>
    </row>
    <row r="33310">
      <c r="D33310" s="9"/>
      <c r="G33310" s="9"/>
      <c r="J33310" s="11"/>
      <c r="U33310" s="9"/>
      <c r="X33310" s="9"/>
    </row>
    <row r="33311">
      <c r="D33311" s="9"/>
      <c r="G33311" s="9"/>
      <c r="J33311" s="11"/>
      <c r="U33311" s="9"/>
      <c r="X33311" s="9"/>
    </row>
    <row r="33312">
      <c r="D33312" s="9"/>
      <c r="G33312" s="9"/>
      <c r="J33312" s="11"/>
      <c r="U33312" s="9"/>
      <c r="X33312" s="9"/>
    </row>
    <row r="33313">
      <c r="D33313" s="9"/>
      <c r="G33313" s="9"/>
      <c r="J33313" s="11"/>
      <c r="U33313" s="9"/>
      <c r="X33313" s="9"/>
    </row>
    <row r="33314">
      <c r="D33314" s="9"/>
      <c r="G33314" s="9"/>
      <c r="J33314" s="11"/>
      <c r="U33314" s="9"/>
      <c r="X33314" s="9"/>
    </row>
    <row r="33315">
      <c r="D33315" s="9"/>
      <c r="G33315" s="9"/>
      <c r="J33315" s="11"/>
      <c r="U33315" s="9"/>
      <c r="X33315" s="9"/>
    </row>
    <row r="33316">
      <c r="D33316" s="9"/>
      <c r="G33316" s="9"/>
      <c r="J33316" s="11"/>
      <c r="U33316" s="9"/>
      <c r="X33316" s="9"/>
    </row>
    <row r="33317">
      <c r="D33317" s="9"/>
      <c r="G33317" s="9"/>
      <c r="J33317" s="11"/>
      <c r="U33317" s="9"/>
      <c r="X33317" s="9"/>
    </row>
    <row r="33318">
      <c r="D33318" s="9"/>
      <c r="G33318" s="9"/>
      <c r="J33318" s="11"/>
      <c r="U33318" s="9"/>
      <c r="X33318" s="9"/>
    </row>
    <row r="33319">
      <c r="D33319" s="9"/>
      <c r="G33319" s="9"/>
      <c r="J33319" s="11"/>
      <c r="U33319" s="9"/>
      <c r="X33319" s="9"/>
    </row>
    <row r="33320">
      <c r="D33320" s="9"/>
      <c r="G33320" s="9"/>
      <c r="J33320" s="11"/>
      <c r="U33320" s="9"/>
      <c r="X33320" s="9"/>
    </row>
    <row r="33321">
      <c r="D33321" s="9"/>
      <c r="G33321" s="9"/>
      <c r="J33321" s="11"/>
      <c r="U33321" s="9"/>
      <c r="X33321" s="9"/>
    </row>
    <row r="33322">
      <c r="D33322" s="9"/>
      <c r="G33322" s="9"/>
      <c r="J33322" s="11"/>
      <c r="U33322" s="9"/>
      <c r="X33322" s="9"/>
    </row>
    <row r="33323">
      <c r="D33323" s="9"/>
      <c r="G33323" s="9"/>
      <c r="J33323" s="11"/>
      <c r="U33323" s="9"/>
      <c r="X33323" s="9"/>
    </row>
    <row r="33324">
      <c r="D33324" s="9"/>
      <c r="G33324" s="9"/>
      <c r="J33324" s="11"/>
      <c r="U33324" s="9"/>
      <c r="X33324" s="9"/>
    </row>
    <row r="33325">
      <c r="D33325" s="9"/>
      <c r="G33325" s="9"/>
      <c r="J33325" s="11"/>
      <c r="U33325" s="9"/>
      <c r="X33325" s="9"/>
    </row>
    <row r="33326">
      <c r="D33326" s="9"/>
      <c r="G33326" s="9"/>
      <c r="J33326" s="11"/>
      <c r="U33326" s="9"/>
      <c r="X33326" s="9"/>
    </row>
    <row r="33327">
      <c r="D33327" s="9"/>
      <c r="G33327" s="9"/>
      <c r="J33327" s="11"/>
      <c r="U33327" s="9"/>
      <c r="X33327" s="9"/>
    </row>
    <row r="33328">
      <c r="D33328" s="9"/>
      <c r="G33328" s="9"/>
      <c r="J33328" s="11"/>
      <c r="U33328" s="9"/>
      <c r="X33328" s="9"/>
    </row>
    <row r="33329">
      <c r="D33329" s="9"/>
      <c r="G33329" s="9"/>
      <c r="J33329" s="11"/>
      <c r="U33329" s="9"/>
      <c r="X33329" s="9"/>
    </row>
    <row r="33330">
      <c r="D33330" s="9"/>
      <c r="G33330" s="9"/>
      <c r="J33330" s="11"/>
      <c r="U33330" s="9"/>
      <c r="X33330" s="9"/>
    </row>
    <row r="33331">
      <c r="D33331" s="9"/>
      <c r="G33331" s="9"/>
      <c r="J33331" s="11"/>
      <c r="U33331" s="9"/>
      <c r="X33331" s="9"/>
    </row>
    <row r="33332">
      <c r="D33332" s="9"/>
      <c r="G33332" s="9"/>
      <c r="J33332" s="11"/>
      <c r="U33332" s="9"/>
      <c r="X33332" s="9"/>
    </row>
    <row r="33333">
      <c r="D33333" s="9"/>
      <c r="G33333" s="9"/>
      <c r="J33333" s="11"/>
      <c r="U33333" s="9"/>
      <c r="X33333" s="9"/>
    </row>
    <row r="33334">
      <c r="D33334" s="9"/>
      <c r="G33334" s="9"/>
      <c r="J33334" s="11"/>
      <c r="U33334" s="9"/>
      <c r="X33334" s="9"/>
    </row>
    <row r="33335">
      <c r="D33335" s="9"/>
      <c r="G33335" s="9"/>
      <c r="J33335" s="11"/>
      <c r="U33335" s="9"/>
      <c r="X33335" s="9"/>
    </row>
    <row r="33336">
      <c r="D33336" s="9"/>
      <c r="G33336" s="9"/>
      <c r="J33336" s="11"/>
      <c r="U33336" s="9"/>
      <c r="X33336" s="9"/>
    </row>
    <row r="33337">
      <c r="D33337" s="9"/>
      <c r="G33337" s="9"/>
      <c r="J33337" s="11"/>
      <c r="U33337" s="9"/>
      <c r="X33337" s="9"/>
    </row>
    <row r="33338">
      <c r="D33338" s="9"/>
      <c r="G33338" s="9"/>
      <c r="J33338" s="11"/>
      <c r="U33338" s="9"/>
      <c r="X33338" s="9"/>
    </row>
    <row r="33339">
      <c r="D33339" s="9"/>
      <c r="G33339" s="9"/>
      <c r="J33339" s="11"/>
      <c r="U33339" s="9"/>
      <c r="X33339" s="9"/>
    </row>
    <row r="33340">
      <c r="D33340" s="9"/>
      <c r="G33340" s="9"/>
      <c r="J33340" s="11"/>
      <c r="U33340" s="9"/>
      <c r="X33340" s="9"/>
    </row>
    <row r="33341">
      <c r="D33341" s="9"/>
      <c r="G33341" s="9"/>
      <c r="J33341" s="11"/>
      <c r="U33341" s="9"/>
      <c r="X33341" s="9"/>
    </row>
    <row r="33342">
      <c r="D33342" s="9"/>
      <c r="G33342" s="9"/>
      <c r="J33342" s="11"/>
      <c r="U33342" s="9"/>
      <c r="X33342" s="9"/>
    </row>
    <row r="33343">
      <c r="D33343" s="9"/>
      <c r="G33343" s="9"/>
      <c r="J33343" s="11"/>
      <c r="U33343" s="9"/>
      <c r="X33343" s="9"/>
    </row>
    <row r="33344">
      <c r="D33344" s="9"/>
      <c r="G33344" s="9"/>
      <c r="J33344" s="11"/>
      <c r="U33344" s="9"/>
      <c r="X33344" s="9"/>
    </row>
    <row r="33345">
      <c r="D33345" s="9"/>
      <c r="G33345" s="9"/>
      <c r="J33345" s="11"/>
      <c r="U33345" s="9"/>
      <c r="X33345" s="9"/>
    </row>
    <row r="33346">
      <c r="D33346" s="9"/>
      <c r="G33346" s="9"/>
      <c r="J33346" s="11"/>
      <c r="U33346" s="9"/>
      <c r="X33346" s="9"/>
    </row>
    <row r="33347">
      <c r="D33347" s="9"/>
      <c r="G33347" s="9"/>
      <c r="J33347" s="11"/>
      <c r="U33347" s="9"/>
      <c r="X33347" s="9"/>
    </row>
    <row r="33348">
      <c r="D33348" s="9"/>
      <c r="G33348" s="9"/>
      <c r="J33348" s="11"/>
      <c r="U33348" s="9"/>
      <c r="X33348" s="9"/>
    </row>
    <row r="33349">
      <c r="D33349" s="9"/>
      <c r="G33349" s="9"/>
      <c r="J33349" s="11"/>
      <c r="U33349" s="9"/>
      <c r="X33349" s="9"/>
    </row>
    <row r="33350">
      <c r="D33350" s="9"/>
      <c r="G33350" s="9"/>
      <c r="J33350" s="11"/>
      <c r="U33350" s="9"/>
      <c r="X33350" s="9"/>
    </row>
    <row r="33351">
      <c r="D33351" s="9"/>
      <c r="G33351" s="9"/>
      <c r="J33351" s="11"/>
      <c r="U33351" s="9"/>
      <c r="X33351" s="9"/>
    </row>
    <row r="33352">
      <c r="D33352" s="9"/>
      <c r="G33352" s="9"/>
      <c r="J33352" s="11"/>
      <c r="U33352" s="9"/>
      <c r="X33352" s="9"/>
    </row>
    <row r="33353">
      <c r="D33353" s="9"/>
      <c r="G33353" s="9"/>
      <c r="J33353" s="11"/>
      <c r="U33353" s="9"/>
      <c r="X33353" s="9"/>
    </row>
    <row r="33354">
      <c r="D33354" s="9"/>
      <c r="G33354" s="9"/>
      <c r="J33354" s="11"/>
      <c r="U33354" s="9"/>
      <c r="X33354" s="9"/>
    </row>
    <row r="33355">
      <c r="D33355" s="9"/>
      <c r="G33355" s="9"/>
      <c r="J33355" s="11"/>
      <c r="U33355" s="9"/>
      <c r="X33355" s="9"/>
    </row>
    <row r="33356">
      <c r="D33356" s="9"/>
      <c r="G33356" s="9"/>
      <c r="J33356" s="11"/>
      <c r="U33356" s="9"/>
      <c r="X33356" s="9"/>
    </row>
    <row r="33357">
      <c r="D33357" s="9"/>
      <c r="G33357" s="9"/>
      <c r="J33357" s="11"/>
      <c r="U33357" s="9"/>
      <c r="X33357" s="9"/>
    </row>
    <row r="33358">
      <c r="D33358" s="9"/>
      <c r="G33358" s="9"/>
      <c r="J33358" s="11"/>
      <c r="U33358" s="9"/>
      <c r="X33358" s="9"/>
    </row>
    <row r="33359">
      <c r="D33359" s="9"/>
      <c r="G33359" s="9"/>
      <c r="J33359" s="11"/>
      <c r="U33359" s="9"/>
      <c r="X33359" s="9"/>
    </row>
    <row r="33360">
      <c r="D33360" s="9"/>
      <c r="G33360" s="9"/>
      <c r="J33360" s="11"/>
      <c r="U33360" s="9"/>
      <c r="X33360" s="9"/>
    </row>
    <row r="33361">
      <c r="D33361" s="9"/>
      <c r="G33361" s="9"/>
      <c r="J33361" s="11"/>
      <c r="U33361" s="9"/>
      <c r="X33361" s="9"/>
    </row>
    <row r="33362">
      <c r="D33362" s="9"/>
      <c r="G33362" s="9"/>
      <c r="J33362" s="11"/>
      <c r="U33362" s="9"/>
      <c r="X33362" s="9"/>
    </row>
    <row r="33363">
      <c r="D33363" s="9"/>
      <c r="G33363" s="9"/>
      <c r="J33363" s="11"/>
      <c r="U33363" s="9"/>
      <c r="X33363" s="9"/>
    </row>
    <row r="33364">
      <c r="D33364" s="9"/>
      <c r="G33364" s="9"/>
      <c r="J33364" s="11"/>
      <c r="U33364" s="9"/>
      <c r="X33364" s="9"/>
    </row>
    <row r="33365">
      <c r="D33365" s="9"/>
      <c r="G33365" s="9"/>
      <c r="J33365" s="11"/>
      <c r="U33365" s="9"/>
      <c r="X33365" s="9"/>
    </row>
    <row r="33366">
      <c r="D33366" s="9"/>
      <c r="G33366" s="9"/>
      <c r="J33366" s="11"/>
      <c r="U33366" s="9"/>
      <c r="X33366" s="9"/>
    </row>
    <row r="33367">
      <c r="D33367" s="9"/>
      <c r="G33367" s="9"/>
      <c r="J33367" s="11"/>
      <c r="U33367" s="9"/>
      <c r="X33367" s="9"/>
    </row>
    <row r="33368">
      <c r="D33368" s="9"/>
      <c r="G33368" s="9"/>
      <c r="J33368" s="11"/>
      <c r="U33368" s="9"/>
      <c r="X33368" s="9"/>
    </row>
    <row r="33369">
      <c r="D33369" s="9"/>
      <c r="G33369" s="9"/>
      <c r="J33369" s="11"/>
      <c r="U33369" s="9"/>
      <c r="X33369" s="9"/>
    </row>
    <row r="33370">
      <c r="D33370" s="9"/>
      <c r="G33370" s="9"/>
      <c r="J33370" s="11"/>
      <c r="U33370" s="9"/>
      <c r="X33370" s="9"/>
    </row>
    <row r="33371">
      <c r="D33371" s="9"/>
      <c r="G33371" s="9"/>
      <c r="J33371" s="11"/>
      <c r="U33371" s="9"/>
      <c r="X33371" s="9"/>
    </row>
    <row r="33372">
      <c r="D33372" s="9"/>
      <c r="G33372" s="9"/>
      <c r="J33372" s="11"/>
      <c r="U33372" s="9"/>
      <c r="X33372" s="9"/>
    </row>
    <row r="33373">
      <c r="D33373" s="9"/>
      <c r="G33373" s="9"/>
      <c r="J33373" s="11"/>
      <c r="U33373" s="9"/>
      <c r="X33373" s="9"/>
    </row>
    <row r="33374">
      <c r="D33374" s="9"/>
      <c r="G33374" s="9"/>
      <c r="J33374" s="11"/>
      <c r="U33374" s="9"/>
      <c r="X33374" s="9"/>
    </row>
    <row r="33375">
      <c r="D33375" s="9"/>
      <c r="G33375" s="9"/>
      <c r="J33375" s="11"/>
      <c r="U33375" s="9"/>
      <c r="X33375" s="9"/>
    </row>
    <row r="33376">
      <c r="D33376" s="9"/>
      <c r="G33376" s="9"/>
      <c r="J33376" s="11"/>
      <c r="U33376" s="9"/>
      <c r="X33376" s="9"/>
    </row>
    <row r="33377">
      <c r="D33377" s="9"/>
      <c r="G33377" s="9"/>
      <c r="J33377" s="11"/>
      <c r="U33377" s="9"/>
      <c r="X33377" s="9"/>
    </row>
    <row r="33378">
      <c r="D33378" s="9"/>
      <c r="G33378" s="9"/>
      <c r="J33378" s="11"/>
      <c r="U33378" s="9"/>
      <c r="X33378" s="9"/>
    </row>
    <row r="33379">
      <c r="D33379" s="9"/>
      <c r="G33379" s="9"/>
      <c r="J33379" s="11"/>
      <c r="U33379" s="9"/>
      <c r="X33379" s="9"/>
    </row>
    <row r="33380">
      <c r="D33380" s="9"/>
      <c r="G33380" s="9"/>
      <c r="J33380" s="11"/>
      <c r="U33380" s="9"/>
      <c r="X33380" s="9"/>
    </row>
    <row r="33381">
      <c r="D33381" s="9"/>
      <c r="G33381" s="9"/>
      <c r="J33381" s="11"/>
      <c r="U33381" s="9"/>
      <c r="X33381" s="9"/>
    </row>
    <row r="33382">
      <c r="D33382" s="9"/>
      <c r="G33382" s="9"/>
      <c r="J33382" s="11"/>
      <c r="U33382" s="9"/>
      <c r="X33382" s="9"/>
    </row>
    <row r="33383">
      <c r="D33383" s="9"/>
      <c r="G33383" s="9"/>
      <c r="J33383" s="11"/>
      <c r="U33383" s="9"/>
      <c r="X33383" s="9"/>
    </row>
    <row r="33384">
      <c r="D33384" s="9"/>
      <c r="G33384" s="9"/>
      <c r="J33384" s="11"/>
      <c r="U33384" s="9"/>
      <c r="X33384" s="9"/>
    </row>
    <row r="33385">
      <c r="D33385" s="9"/>
      <c r="G33385" s="9"/>
      <c r="J33385" s="11"/>
      <c r="U33385" s="9"/>
      <c r="X33385" s="9"/>
    </row>
    <row r="33386">
      <c r="D33386" s="9"/>
      <c r="G33386" s="9"/>
      <c r="J33386" s="11"/>
      <c r="U33386" s="9"/>
      <c r="X33386" s="9"/>
    </row>
    <row r="33387">
      <c r="D33387" s="9"/>
      <c r="G33387" s="9"/>
      <c r="J33387" s="11"/>
      <c r="U33387" s="9"/>
      <c r="X33387" s="9"/>
    </row>
    <row r="33388">
      <c r="D33388" s="9"/>
      <c r="G33388" s="9"/>
      <c r="J33388" s="11"/>
      <c r="U33388" s="9"/>
      <c r="X33388" s="9"/>
    </row>
    <row r="33389">
      <c r="D33389" s="9"/>
      <c r="G33389" s="9"/>
      <c r="J33389" s="11"/>
      <c r="U33389" s="9"/>
      <c r="X33389" s="9"/>
    </row>
    <row r="33390">
      <c r="D33390" s="9"/>
      <c r="G33390" s="9"/>
      <c r="J33390" s="11"/>
      <c r="U33390" s="9"/>
      <c r="X33390" s="9"/>
    </row>
    <row r="33391">
      <c r="D33391" s="9"/>
      <c r="G33391" s="9"/>
      <c r="J33391" s="11"/>
      <c r="U33391" s="9"/>
      <c r="X33391" s="9"/>
    </row>
    <row r="33392">
      <c r="D33392" s="9"/>
      <c r="G33392" s="9"/>
      <c r="J33392" s="11"/>
      <c r="U33392" s="9"/>
      <c r="X33392" s="9"/>
    </row>
    <row r="33393">
      <c r="D33393" s="9"/>
      <c r="G33393" s="9"/>
      <c r="J33393" s="11"/>
      <c r="U33393" s="9"/>
      <c r="X33393" s="9"/>
    </row>
    <row r="33394">
      <c r="D33394" s="9"/>
      <c r="G33394" s="9"/>
      <c r="J33394" s="11"/>
      <c r="U33394" s="9"/>
      <c r="X33394" s="9"/>
    </row>
    <row r="33395">
      <c r="D33395" s="9"/>
      <c r="G33395" s="9"/>
      <c r="J33395" s="11"/>
      <c r="U33395" s="9"/>
      <c r="X33395" s="9"/>
    </row>
    <row r="33396">
      <c r="D33396" s="9"/>
      <c r="G33396" s="9"/>
      <c r="J33396" s="11"/>
      <c r="U33396" s="9"/>
      <c r="X33396" s="9"/>
    </row>
    <row r="33397">
      <c r="D33397" s="9"/>
      <c r="G33397" s="9"/>
      <c r="J33397" s="11"/>
      <c r="U33397" s="9"/>
      <c r="X33397" s="9"/>
    </row>
    <row r="33398">
      <c r="D33398" s="9"/>
      <c r="G33398" s="9"/>
      <c r="J33398" s="11"/>
      <c r="U33398" s="9"/>
      <c r="X33398" s="9"/>
    </row>
    <row r="33399">
      <c r="D33399" s="9"/>
      <c r="G33399" s="9"/>
      <c r="J33399" s="11"/>
      <c r="U33399" s="9"/>
      <c r="X33399" s="9"/>
    </row>
    <row r="33400">
      <c r="D33400" s="9"/>
      <c r="G33400" s="9"/>
      <c r="J33400" s="11"/>
      <c r="U33400" s="9"/>
      <c r="X33400" s="9"/>
    </row>
    <row r="33401">
      <c r="D33401" s="9"/>
      <c r="G33401" s="9"/>
      <c r="J33401" s="11"/>
      <c r="U33401" s="9"/>
      <c r="X33401" s="9"/>
    </row>
    <row r="33402">
      <c r="D33402" s="9"/>
      <c r="G33402" s="9"/>
      <c r="J33402" s="11"/>
      <c r="U33402" s="9"/>
      <c r="X33402" s="9"/>
    </row>
    <row r="33403">
      <c r="D33403" s="9"/>
      <c r="G33403" s="9"/>
      <c r="J33403" s="11"/>
      <c r="U33403" s="9"/>
      <c r="X33403" s="9"/>
    </row>
    <row r="33404">
      <c r="D33404" s="9"/>
      <c r="G33404" s="9"/>
      <c r="J33404" s="11"/>
      <c r="U33404" s="9"/>
      <c r="X33404" s="9"/>
    </row>
    <row r="33405">
      <c r="D33405" s="9"/>
      <c r="G33405" s="9"/>
      <c r="J33405" s="11"/>
      <c r="U33405" s="9"/>
      <c r="X33405" s="9"/>
    </row>
    <row r="33406">
      <c r="D33406" s="9"/>
      <c r="G33406" s="9"/>
      <c r="J33406" s="11"/>
      <c r="U33406" s="9"/>
      <c r="X33406" s="9"/>
    </row>
    <row r="33407">
      <c r="D33407" s="9"/>
      <c r="G33407" s="9"/>
      <c r="J33407" s="11"/>
      <c r="U33407" s="9"/>
      <c r="X33407" s="9"/>
    </row>
    <row r="33408">
      <c r="D33408" s="9"/>
      <c r="G33408" s="9"/>
      <c r="J33408" s="11"/>
      <c r="U33408" s="9"/>
      <c r="X33408" s="9"/>
    </row>
    <row r="33409">
      <c r="D33409" s="9"/>
      <c r="G33409" s="9"/>
      <c r="J33409" s="11"/>
      <c r="U33409" s="9"/>
      <c r="X33409" s="9"/>
    </row>
    <row r="33410">
      <c r="D33410" s="9"/>
      <c r="G33410" s="9"/>
      <c r="J33410" s="11"/>
      <c r="U33410" s="9"/>
      <c r="X33410" s="9"/>
    </row>
    <row r="33411">
      <c r="D33411" s="9"/>
      <c r="G33411" s="9"/>
      <c r="J33411" s="11"/>
      <c r="U33411" s="9"/>
      <c r="X33411" s="9"/>
    </row>
    <row r="33412">
      <c r="D33412" s="9"/>
      <c r="G33412" s="9"/>
      <c r="J33412" s="11"/>
      <c r="U33412" s="9"/>
      <c r="X33412" s="9"/>
    </row>
    <row r="33413">
      <c r="D33413" s="9"/>
      <c r="G33413" s="9"/>
      <c r="J33413" s="11"/>
      <c r="U33413" s="9"/>
      <c r="X33413" s="9"/>
    </row>
    <row r="33414">
      <c r="D33414" s="9"/>
      <c r="G33414" s="9"/>
      <c r="J33414" s="11"/>
      <c r="U33414" s="9"/>
      <c r="X33414" s="9"/>
    </row>
    <row r="33415">
      <c r="D33415" s="9"/>
      <c r="G33415" s="9"/>
      <c r="J33415" s="11"/>
      <c r="U33415" s="9"/>
      <c r="X33415" s="9"/>
    </row>
    <row r="33416">
      <c r="D33416" s="9"/>
      <c r="G33416" s="9"/>
      <c r="J33416" s="11"/>
      <c r="U33416" s="9"/>
      <c r="X33416" s="9"/>
    </row>
    <row r="33417">
      <c r="D33417" s="9"/>
      <c r="G33417" s="9"/>
      <c r="J33417" s="11"/>
      <c r="U33417" s="9"/>
      <c r="X33417" s="9"/>
    </row>
    <row r="33418">
      <c r="D33418" s="9"/>
      <c r="G33418" s="9"/>
      <c r="J33418" s="11"/>
      <c r="U33418" s="9"/>
      <c r="X33418" s="9"/>
    </row>
    <row r="33419">
      <c r="D33419" s="9"/>
      <c r="G33419" s="9"/>
      <c r="J33419" s="11"/>
      <c r="U33419" s="9"/>
      <c r="X33419" s="9"/>
    </row>
    <row r="33420">
      <c r="D33420" s="9"/>
      <c r="G33420" s="9"/>
      <c r="J33420" s="11"/>
      <c r="U33420" s="9"/>
      <c r="X33420" s="9"/>
    </row>
    <row r="33421">
      <c r="D33421" s="9"/>
      <c r="G33421" s="9"/>
      <c r="J33421" s="11"/>
      <c r="U33421" s="9"/>
      <c r="X33421" s="9"/>
    </row>
    <row r="33422">
      <c r="D33422" s="9"/>
      <c r="G33422" s="9"/>
      <c r="J33422" s="11"/>
      <c r="U33422" s="9"/>
      <c r="X33422" s="9"/>
    </row>
    <row r="33423">
      <c r="D33423" s="9"/>
      <c r="G33423" s="9"/>
      <c r="J33423" s="11"/>
      <c r="U33423" s="9"/>
      <c r="X33423" s="9"/>
    </row>
    <row r="33424">
      <c r="D33424" s="9"/>
      <c r="G33424" s="9"/>
      <c r="J33424" s="11"/>
      <c r="U33424" s="9"/>
      <c r="X33424" s="9"/>
    </row>
    <row r="33425">
      <c r="D33425" s="9"/>
      <c r="G33425" s="9"/>
      <c r="J33425" s="11"/>
      <c r="U33425" s="9"/>
      <c r="X33425" s="9"/>
    </row>
    <row r="33426">
      <c r="D33426" s="9"/>
      <c r="G33426" s="9"/>
      <c r="J33426" s="11"/>
      <c r="U33426" s="9"/>
      <c r="X33426" s="9"/>
    </row>
    <row r="33427">
      <c r="D33427" s="9"/>
      <c r="G33427" s="9"/>
      <c r="J33427" s="11"/>
      <c r="U33427" s="9"/>
      <c r="X33427" s="9"/>
    </row>
    <row r="33428">
      <c r="D33428" s="9"/>
      <c r="G33428" s="9"/>
      <c r="J33428" s="11"/>
      <c r="U33428" s="9"/>
      <c r="X33428" s="9"/>
    </row>
    <row r="33429">
      <c r="D33429" s="9"/>
      <c r="G33429" s="9"/>
      <c r="J33429" s="11"/>
      <c r="U33429" s="9"/>
      <c r="X33429" s="9"/>
    </row>
    <row r="33430">
      <c r="D33430" s="9"/>
      <c r="G33430" s="9"/>
      <c r="J33430" s="11"/>
      <c r="U33430" s="9"/>
      <c r="X33430" s="9"/>
    </row>
    <row r="33431">
      <c r="D33431" s="9"/>
      <c r="G33431" s="9"/>
      <c r="J33431" s="11"/>
      <c r="U33431" s="9"/>
      <c r="X33431" s="9"/>
    </row>
    <row r="33432">
      <c r="D33432" s="9"/>
      <c r="G33432" s="9"/>
      <c r="J33432" s="11"/>
      <c r="U33432" s="9"/>
      <c r="X33432" s="9"/>
    </row>
    <row r="33433">
      <c r="D33433" s="9"/>
      <c r="G33433" s="9"/>
      <c r="J33433" s="11"/>
      <c r="U33433" s="9"/>
      <c r="X33433" s="9"/>
    </row>
    <row r="33434">
      <c r="D33434" s="9"/>
      <c r="G33434" s="9"/>
      <c r="J33434" s="11"/>
      <c r="U33434" s="9"/>
      <c r="X33434" s="9"/>
    </row>
    <row r="33435">
      <c r="D33435" s="9"/>
      <c r="G33435" s="9"/>
      <c r="J33435" s="11"/>
      <c r="U33435" s="9"/>
      <c r="X33435" s="9"/>
    </row>
    <row r="33436">
      <c r="D33436" s="9"/>
      <c r="G33436" s="9"/>
      <c r="J33436" s="11"/>
      <c r="U33436" s="9"/>
      <c r="X33436" s="9"/>
    </row>
    <row r="33437">
      <c r="D33437" s="9"/>
      <c r="G33437" s="9"/>
      <c r="J33437" s="11"/>
      <c r="U33437" s="9"/>
      <c r="X33437" s="9"/>
    </row>
    <row r="33438">
      <c r="D33438" s="9"/>
      <c r="G33438" s="9"/>
      <c r="J33438" s="11"/>
      <c r="U33438" s="9"/>
      <c r="X33438" s="9"/>
    </row>
    <row r="33439">
      <c r="D33439" s="9"/>
      <c r="G33439" s="9"/>
      <c r="J33439" s="11"/>
      <c r="U33439" s="9"/>
      <c r="X33439" s="9"/>
    </row>
    <row r="33440">
      <c r="D33440" s="9"/>
      <c r="G33440" s="9"/>
      <c r="J33440" s="11"/>
      <c r="U33440" s="9"/>
      <c r="X33440" s="9"/>
    </row>
    <row r="33441">
      <c r="D33441" s="9"/>
      <c r="G33441" s="9"/>
      <c r="J33441" s="11"/>
      <c r="U33441" s="9"/>
      <c r="X33441" s="9"/>
    </row>
    <row r="33442">
      <c r="D33442" s="9"/>
      <c r="G33442" s="9"/>
      <c r="J33442" s="11"/>
      <c r="U33442" s="9"/>
      <c r="X33442" s="9"/>
    </row>
    <row r="33443">
      <c r="D33443" s="9"/>
      <c r="G33443" s="9"/>
      <c r="J33443" s="11"/>
      <c r="U33443" s="9"/>
      <c r="X33443" s="9"/>
    </row>
    <row r="33444">
      <c r="D33444" s="9"/>
      <c r="G33444" s="9"/>
      <c r="J33444" s="11"/>
      <c r="U33444" s="9"/>
      <c r="X33444" s="9"/>
    </row>
    <row r="33445">
      <c r="D33445" s="9"/>
      <c r="G33445" s="9"/>
      <c r="J33445" s="11"/>
      <c r="U33445" s="9"/>
      <c r="X33445" s="9"/>
    </row>
    <row r="33446">
      <c r="D33446" s="9"/>
      <c r="G33446" s="9"/>
      <c r="J33446" s="11"/>
      <c r="U33446" s="9"/>
      <c r="X33446" s="9"/>
    </row>
    <row r="33447">
      <c r="D33447" s="9"/>
      <c r="G33447" s="9"/>
      <c r="J33447" s="11"/>
      <c r="U33447" s="9"/>
      <c r="X33447" s="9"/>
    </row>
    <row r="33448">
      <c r="D33448" s="9"/>
      <c r="G33448" s="9"/>
      <c r="J33448" s="11"/>
      <c r="U33448" s="9"/>
      <c r="X33448" s="9"/>
    </row>
    <row r="33449">
      <c r="D33449" s="9"/>
      <c r="G33449" s="9"/>
      <c r="J33449" s="11"/>
      <c r="U33449" s="9"/>
      <c r="X33449" s="9"/>
    </row>
    <row r="33450">
      <c r="D33450" s="9"/>
      <c r="G33450" s="9"/>
      <c r="J33450" s="11"/>
      <c r="U33450" s="9"/>
      <c r="X33450" s="9"/>
    </row>
    <row r="33451">
      <c r="D33451" s="9"/>
      <c r="G33451" s="9"/>
      <c r="J33451" s="11"/>
      <c r="U33451" s="9"/>
      <c r="X33451" s="9"/>
    </row>
    <row r="33452">
      <c r="D33452" s="9"/>
      <c r="G33452" s="9"/>
      <c r="J33452" s="11"/>
      <c r="U33452" s="9"/>
      <c r="X33452" s="9"/>
    </row>
    <row r="33453">
      <c r="D33453" s="9"/>
      <c r="G33453" s="9"/>
      <c r="J33453" s="11"/>
      <c r="U33453" s="9"/>
      <c r="X33453" s="9"/>
    </row>
    <row r="33454">
      <c r="D33454" s="9"/>
      <c r="G33454" s="9"/>
      <c r="J33454" s="11"/>
      <c r="U33454" s="9"/>
      <c r="X33454" s="9"/>
    </row>
    <row r="33455">
      <c r="D33455" s="9"/>
      <c r="G33455" s="9"/>
      <c r="J33455" s="11"/>
      <c r="U33455" s="9"/>
      <c r="X33455" s="9"/>
    </row>
    <row r="33456">
      <c r="D33456" s="9"/>
      <c r="G33456" s="9"/>
      <c r="J33456" s="11"/>
      <c r="U33456" s="9"/>
      <c r="X33456" s="9"/>
    </row>
    <row r="33457">
      <c r="D33457" s="9"/>
      <c r="G33457" s="9"/>
      <c r="J33457" s="11"/>
      <c r="U33457" s="9"/>
      <c r="X33457" s="9"/>
    </row>
    <row r="33458">
      <c r="D33458" s="9"/>
      <c r="G33458" s="9"/>
      <c r="J33458" s="11"/>
      <c r="U33458" s="9"/>
      <c r="X33458" s="9"/>
    </row>
    <row r="33459">
      <c r="D33459" s="9"/>
      <c r="G33459" s="9"/>
      <c r="J33459" s="11"/>
      <c r="U33459" s="9"/>
      <c r="X33459" s="9"/>
    </row>
    <row r="33460">
      <c r="D33460" s="9"/>
      <c r="G33460" s="9"/>
      <c r="J33460" s="11"/>
      <c r="U33460" s="9"/>
      <c r="X33460" s="9"/>
    </row>
    <row r="33461">
      <c r="D33461" s="9"/>
      <c r="G33461" s="9"/>
      <c r="J33461" s="11"/>
      <c r="U33461" s="9"/>
      <c r="X33461" s="9"/>
    </row>
    <row r="33462">
      <c r="D33462" s="9"/>
      <c r="G33462" s="9"/>
      <c r="J33462" s="11"/>
      <c r="U33462" s="9"/>
      <c r="X33462" s="9"/>
    </row>
    <row r="33463">
      <c r="D33463" s="9"/>
      <c r="G33463" s="9"/>
      <c r="J33463" s="11"/>
      <c r="U33463" s="9"/>
      <c r="X33463" s="9"/>
    </row>
    <row r="33464">
      <c r="D33464" s="9"/>
      <c r="G33464" s="9"/>
      <c r="J33464" s="11"/>
      <c r="U33464" s="9"/>
      <c r="X33464" s="9"/>
    </row>
    <row r="33465">
      <c r="D33465" s="9"/>
      <c r="G33465" s="9"/>
      <c r="J33465" s="11"/>
      <c r="U33465" s="9"/>
      <c r="X33465" s="9"/>
    </row>
    <row r="33466">
      <c r="D33466" s="9"/>
      <c r="G33466" s="9"/>
      <c r="J33466" s="11"/>
      <c r="U33466" s="9"/>
      <c r="X33466" s="9"/>
    </row>
    <row r="33467">
      <c r="D33467" s="9"/>
      <c r="G33467" s="9"/>
      <c r="J33467" s="11"/>
      <c r="U33467" s="9"/>
      <c r="X33467" s="9"/>
    </row>
    <row r="33468">
      <c r="D33468" s="9"/>
      <c r="G33468" s="9"/>
      <c r="J33468" s="11"/>
      <c r="U33468" s="9"/>
      <c r="X33468" s="9"/>
    </row>
    <row r="33469">
      <c r="D33469" s="9"/>
      <c r="G33469" s="9"/>
      <c r="J33469" s="11"/>
      <c r="U33469" s="9"/>
      <c r="X33469" s="9"/>
    </row>
    <row r="33470">
      <c r="D33470" s="9"/>
      <c r="G33470" s="9"/>
      <c r="J33470" s="11"/>
      <c r="U33470" s="9"/>
      <c r="X33470" s="9"/>
    </row>
    <row r="33471">
      <c r="D33471" s="9"/>
      <c r="G33471" s="9"/>
      <c r="J33471" s="11"/>
      <c r="U33471" s="9"/>
      <c r="X33471" s="9"/>
    </row>
    <row r="33472">
      <c r="D33472" s="9"/>
      <c r="G33472" s="9"/>
      <c r="J33472" s="11"/>
      <c r="U33472" s="9"/>
      <c r="X33472" s="9"/>
    </row>
    <row r="33473">
      <c r="D33473" s="9"/>
      <c r="G33473" s="9"/>
      <c r="J33473" s="11"/>
      <c r="U33473" s="9"/>
      <c r="X33473" s="9"/>
    </row>
    <row r="33474">
      <c r="D33474" s="9"/>
      <c r="G33474" s="9"/>
      <c r="J33474" s="11"/>
      <c r="U33474" s="9"/>
      <c r="X33474" s="9"/>
    </row>
    <row r="33475">
      <c r="D33475" s="9"/>
      <c r="G33475" s="9"/>
      <c r="J33475" s="11"/>
      <c r="U33475" s="9"/>
      <c r="X33475" s="9"/>
    </row>
    <row r="33476">
      <c r="D33476" s="9"/>
      <c r="G33476" s="9"/>
      <c r="J33476" s="11"/>
      <c r="U33476" s="9"/>
      <c r="X33476" s="9"/>
    </row>
    <row r="33477">
      <c r="D33477" s="9"/>
      <c r="G33477" s="9"/>
      <c r="J33477" s="11"/>
      <c r="U33477" s="9"/>
      <c r="X33477" s="9"/>
    </row>
    <row r="33478">
      <c r="D33478" s="9"/>
      <c r="G33478" s="9"/>
      <c r="J33478" s="11"/>
      <c r="U33478" s="9"/>
      <c r="X33478" s="9"/>
    </row>
    <row r="33479">
      <c r="D33479" s="9"/>
      <c r="G33479" s="9"/>
      <c r="J33479" s="11"/>
      <c r="U33479" s="9"/>
      <c r="X33479" s="9"/>
    </row>
    <row r="33480">
      <c r="D33480" s="9"/>
      <c r="G33480" s="9"/>
      <c r="J33480" s="11"/>
      <c r="U33480" s="9"/>
      <c r="X33480" s="9"/>
    </row>
    <row r="33481">
      <c r="D33481" s="9"/>
      <c r="G33481" s="9"/>
      <c r="J33481" s="11"/>
      <c r="U33481" s="9"/>
      <c r="X33481" s="9"/>
    </row>
    <row r="33482">
      <c r="D33482" s="9"/>
      <c r="G33482" s="9"/>
      <c r="J33482" s="11"/>
      <c r="U33482" s="9"/>
      <c r="X33482" s="9"/>
    </row>
    <row r="33483">
      <c r="D33483" s="9"/>
      <c r="G33483" s="9"/>
      <c r="J33483" s="11"/>
      <c r="U33483" s="9"/>
      <c r="X33483" s="9"/>
    </row>
    <row r="33484">
      <c r="D33484" s="9"/>
      <c r="G33484" s="9"/>
      <c r="J33484" s="11"/>
      <c r="U33484" s="9"/>
      <c r="X33484" s="9"/>
    </row>
    <row r="33485">
      <c r="D33485" s="9"/>
      <c r="G33485" s="9"/>
      <c r="J33485" s="11"/>
      <c r="U33485" s="9"/>
      <c r="X33485" s="9"/>
    </row>
    <row r="33486">
      <c r="D33486" s="9"/>
      <c r="G33486" s="9"/>
      <c r="J33486" s="11"/>
      <c r="U33486" s="9"/>
      <c r="X33486" s="9"/>
    </row>
    <row r="33487">
      <c r="D33487" s="9"/>
      <c r="G33487" s="9"/>
      <c r="J33487" s="11"/>
      <c r="U33487" s="9"/>
      <c r="X33487" s="9"/>
    </row>
    <row r="33488">
      <c r="D33488" s="9"/>
      <c r="G33488" s="9"/>
      <c r="J33488" s="11"/>
      <c r="U33488" s="9"/>
      <c r="X33488" s="9"/>
    </row>
    <row r="33489">
      <c r="D33489" s="9"/>
      <c r="G33489" s="9"/>
      <c r="J33489" s="11"/>
      <c r="U33489" s="9"/>
      <c r="X33489" s="9"/>
    </row>
    <row r="33490">
      <c r="D33490" s="9"/>
      <c r="G33490" s="9"/>
      <c r="J33490" s="11"/>
      <c r="U33490" s="9"/>
      <c r="X33490" s="9"/>
    </row>
    <row r="33491">
      <c r="D33491" s="9"/>
      <c r="G33491" s="9"/>
      <c r="J33491" s="11"/>
      <c r="U33491" s="9"/>
      <c r="X33491" s="9"/>
    </row>
    <row r="33492">
      <c r="D33492" s="9"/>
      <c r="G33492" s="9"/>
      <c r="J33492" s="11"/>
      <c r="U33492" s="9"/>
      <c r="X33492" s="9"/>
    </row>
    <row r="33493">
      <c r="D33493" s="9"/>
      <c r="G33493" s="9"/>
      <c r="J33493" s="11"/>
      <c r="U33493" s="9"/>
      <c r="X33493" s="9"/>
    </row>
    <row r="33494">
      <c r="D33494" s="9"/>
      <c r="G33494" s="9"/>
      <c r="J33494" s="11"/>
      <c r="U33494" s="9"/>
      <c r="X33494" s="9"/>
    </row>
    <row r="33495">
      <c r="D33495" s="9"/>
      <c r="G33495" s="9"/>
      <c r="J33495" s="11"/>
      <c r="U33495" s="9"/>
      <c r="X33495" s="9"/>
    </row>
    <row r="33496">
      <c r="D33496" s="9"/>
      <c r="G33496" s="9"/>
      <c r="J33496" s="11"/>
      <c r="U33496" s="9"/>
      <c r="X33496" s="9"/>
    </row>
    <row r="33497">
      <c r="D33497" s="9"/>
      <c r="G33497" s="9"/>
      <c r="J33497" s="11"/>
      <c r="U33497" s="9"/>
      <c r="X33497" s="9"/>
    </row>
    <row r="33498">
      <c r="D33498" s="9"/>
      <c r="G33498" s="9"/>
      <c r="J33498" s="11"/>
      <c r="U33498" s="9"/>
      <c r="X33498" s="9"/>
    </row>
    <row r="33499">
      <c r="D33499" s="9"/>
      <c r="G33499" s="9"/>
      <c r="J33499" s="11"/>
      <c r="U33499" s="9"/>
      <c r="X33499" s="9"/>
    </row>
    <row r="33500">
      <c r="D33500" s="9"/>
      <c r="G33500" s="9"/>
      <c r="J33500" s="11"/>
      <c r="U33500" s="9"/>
      <c r="X33500" s="9"/>
    </row>
    <row r="33501">
      <c r="D33501" s="9"/>
      <c r="G33501" s="9"/>
      <c r="J33501" s="11"/>
      <c r="U33501" s="9"/>
      <c r="X33501" s="9"/>
    </row>
    <row r="33502">
      <c r="D33502" s="9"/>
      <c r="G33502" s="9"/>
      <c r="J33502" s="11"/>
      <c r="U33502" s="9"/>
      <c r="X33502" s="9"/>
    </row>
    <row r="33503">
      <c r="D33503" s="9"/>
      <c r="G33503" s="9"/>
      <c r="J33503" s="11"/>
      <c r="U33503" s="9"/>
      <c r="X33503" s="9"/>
    </row>
    <row r="33504">
      <c r="D33504" s="9"/>
      <c r="G33504" s="9"/>
      <c r="J33504" s="11"/>
      <c r="U33504" s="9"/>
      <c r="X33504" s="9"/>
    </row>
    <row r="33505">
      <c r="D33505" s="9"/>
      <c r="G33505" s="9"/>
      <c r="J33505" s="11"/>
      <c r="U33505" s="9"/>
      <c r="X33505" s="9"/>
    </row>
    <row r="33506">
      <c r="D33506" s="9"/>
      <c r="G33506" s="9"/>
      <c r="J33506" s="11"/>
      <c r="U33506" s="9"/>
      <c r="X33506" s="9"/>
    </row>
    <row r="33507">
      <c r="D33507" s="9"/>
      <c r="G33507" s="9"/>
      <c r="J33507" s="11"/>
      <c r="U33507" s="9"/>
      <c r="X33507" s="9"/>
    </row>
    <row r="33508">
      <c r="D33508" s="9"/>
      <c r="G33508" s="9"/>
      <c r="J33508" s="11"/>
      <c r="U33508" s="9"/>
      <c r="X33508" s="9"/>
    </row>
    <row r="33509">
      <c r="D33509" s="9"/>
      <c r="G33509" s="9"/>
      <c r="J33509" s="11"/>
      <c r="U33509" s="9"/>
      <c r="X33509" s="9"/>
    </row>
    <row r="33510">
      <c r="D33510" s="9"/>
      <c r="G33510" s="9"/>
      <c r="J33510" s="11"/>
      <c r="U33510" s="9"/>
      <c r="X33510" s="9"/>
    </row>
    <row r="33511">
      <c r="D33511" s="9"/>
      <c r="G33511" s="9"/>
      <c r="J33511" s="11"/>
      <c r="U33511" s="9"/>
      <c r="X33511" s="9"/>
    </row>
    <row r="33512">
      <c r="D33512" s="9"/>
      <c r="G33512" s="9"/>
      <c r="J33512" s="11"/>
      <c r="U33512" s="9"/>
      <c r="X33512" s="9"/>
    </row>
    <row r="33513">
      <c r="D33513" s="9"/>
      <c r="G33513" s="9"/>
      <c r="J33513" s="11"/>
      <c r="U33513" s="9"/>
      <c r="X33513" s="9"/>
    </row>
    <row r="33514">
      <c r="D33514" s="9"/>
      <c r="G33514" s="9"/>
      <c r="J33514" s="11"/>
      <c r="U33514" s="9"/>
      <c r="X33514" s="9"/>
    </row>
    <row r="33515">
      <c r="D33515" s="9"/>
      <c r="G33515" s="9"/>
      <c r="J33515" s="11"/>
      <c r="U33515" s="9"/>
      <c r="X33515" s="9"/>
    </row>
    <row r="33516">
      <c r="D33516" s="9"/>
      <c r="G33516" s="9"/>
      <c r="J33516" s="11"/>
      <c r="U33516" s="9"/>
      <c r="X33516" s="9"/>
    </row>
    <row r="33517">
      <c r="D33517" s="9"/>
      <c r="G33517" s="9"/>
      <c r="J33517" s="11"/>
      <c r="U33517" s="9"/>
      <c r="X33517" s="9"/>
    </row>
    <row r="33518">
      <c r="D33518" s="9"/>
      <c r="G33518" s="9"/>
      <c r="J33518" s="11"/>
      <c r="U33518" s="9"/>
      <c r="X33518" s="9"/>
    </row>
    <row r="33519">
      <c r="D33519" s="9"/>
      <c r="G33519" s="9"/>
      <c r="J33519" s="11"/>
      <c r="U33519" s="9"/>
      <c r="X33519" s="9"/>
    </row>
    <row r="33520">
      <c r="D33520" s="9"/>
      <c r="G33520" s="9"/>
      <c r="J33520" s="11"/>
      <c r="U33520" s="9"/>
      <c r="X33520" s="9"/>
    </row>
    <row r="33521">
      <c r="D33521" s="9"/>
      <c r="G33521" s="9"/>
      <c r="J33521" s="11"/>
      <c r="U33521" s="9"/>
      <c r="X33521" s="9"/>
    </row>
    <row r="33522">
      <c r="D33522" s="9"/>
      <c r="G33522" s="9"/>
      <c r="J33522" s="11"/>
      <c r="U33522" s="9"/>
      <c r="X33522" s="9"/>
    </row>
    <row r="33523">
      <c r="D33523" s="9"/>
      <c r="G33523" s="9"/>
      <c r="J33523" s="11"/>
      <c r="U33523" s="9"/>
      <c r="X33523" s="9"/>
    </row>
    <row r="33524">
      <c r="D33524" s="9"/>
      <c r="G33524" s="9"/>
      <c r="J33524" s="11"/>
      <c r="U33524" s="9"/>
      <c r="X33524" s="9"/>
    </row>
    <row r="33525">
      <c r="D33525" s="9"/>
      <c r="G33525" s="9"/>
      <c r="J33525" s="11"/>
      <c r="U33525" s="9"/>
      <c r="X33525" s="9"/>
    </row>
    <row r="33526">
      <c r="D33526" s="9"/>
      <c r="G33526" s="9"/>
      <c r="J33526" s="11"/>
      <c r="U33526" s="9"/>
      <c r="X33526" s="9"/>
    </row>
    <row r="33527">
      <c r="D33527" s="9"/>
      <c r="G33527" s="9"/>
      <c r="J33527" s="11"/>
      <c r="U33527" s="9"/>
      <c r="X33527" s="9"/>
    </row>
    <row r="33528">
      <c r="D33528" s="9"/>
      <c r="G33528" s="9"/>
      <c r="J33528" s="11"/>
      <c r="U33528" s="9"/>
      <c r="X33528" s="9"/>
    </row>
    <row r="33529">
      <c r="D33529" s="9"/>
      <c r="G33529" s="9"/>
      <c r="J33529" s="11"/>
      <c r="U33529" s="9"/>
      <c r="X33529" s="9"/>
    </row>
    <row r="33530">
      <c r="D33530" s="9"/>
      <c r="G33530" s="9"/>
      <c r="J33530" s="11"/>
      <c r="U33530" s="9"/>
      <c r="X33530" s="9"/>
    </row>
    <row r="33531">
      <c r="D33531" s="9"/>
      <c r="G33531" s="9"/>
      <c r="J33531" s="11"/>
      <c r="U33531" s="9"/>
      <c r="X33531" s="9"/>
    </row>
    <row r="33532">
      <c r="D33532" s="9"/>
      <c r="G33532" s="9"/>
      <c r="J33532" s="11"/>
      <c r="U33532" s="9"/>
      <c r="X33532" s="9"/>
    </row>
    <row r="33533">
      <c r="D33533" s="9"/>
      <c r="G33533" s="9"/>
      <c r="J33533" s="11"/>
      <c r="U33533" s="9"/>
      <c r="X33533" s="9"/>
    </row>
    <row r="33534">
      <c r="D33534" s="9"/>
      <c r="G33534" s="9"/>
      <c r="J33534" s="11"/>
      <c r="U33534" s="9"/>
      <c r="X33534" s="9"/>
    </row>
    <row r="33535">
      <c r="D33535" s="9"/>
      <c r="G33535" s="9"/>
      <c r="J33535" s="11"/>
      <c r="U33535" s="9"/>
      <c r="X33535" s="9"/>
    </row>
    <row r="33536">
      <c r="D33536" s="9"/>
      <c r="G33536" s="9"/>
      <c r="J33536" s="11"/>
      <c r="U33536" s="9"/>
      <c r="X33536" s="9"/>
    </row>
    <row r="33537">
      <c r="D33537" s="9"/>
      <c r="G33537" s="9"/>
      <c r="J33537" s="11"/>
      <c r="U33537" s="9"/>
      <c r="X33537" s="9"/>
    </row>
    <row r="33538">
      <c r="D33538" s="9"/>
      <c r="G33538" s="9"/>
      <c r="J33538" s="11"/>
      <c r="U33538" s="9"/>
      <c r="X33538" s="9"/>
    </row>
    <row r="33539">
      <c r="D33539" s="9"/>
      <c r="G33539" s="9"/>
      <c r="J33539" s="11"/>
      <c r="U33539" s="9"/>
      <c r="X33539" s="9"/>
    </row>
    <row r="33540">
      <c r="D33540" s="9"/>
      <c r="G33540" s="9"/>
      <c r="J33540" s="11"/>
      <c r="U33540" s="9"/>
      <c r="X33540" s="9"/>
    </row>
    <row r="33541">
      <c r="D33541" s="9"/>
      <c r="G33541" s="9"/>
      <c r="J33541" s="11"/>
      <c r="U33541" s="9"/>
      <c r="X33541" s="9"/>
    </row>
    <row r="33542">
      <c r="D33542" s="9"/>
      <c r="G33542" s="9"/>
      <c r="J33542" s="11"/>
      <c r="U33542" s="9"/>
      <c r="X33542" s="9"/>
    </row>
    <row r="33543">
      <c r="D33543" s="9"/>
      <c r="G33543" s="9"/>
      <c r="J33543" s="11"/>
      <c r="U33543" s="9"/>
      <c r="X33543" s="9"/>
    </row>
    <row r="33544">
      <c r="D33544" s="9"/>
      <c r="G33544" s="9"/>
      <c r="J33544" s="11"/>
      <c r="U33544" s="9"/>
      <c r="X33544" s="9"/>
    </row>
    <row r="33545">
      <c r="D33545" s="9"/>
      <c r="G33545" s="9"/>
      <c r="J33545" s="11"/>
      <c r="U33545" s="9"/>
      <c r="X33545" s="9"/>
    </row>
    <row r="33546">
      <c r="D33546" s="9"/>
      <c r="G33546" s="9"/>
      <c r="J33546" s="11"/>
      <c r="U33546" s="9"/>
      <c r="X33546" s="9"/>
    </row>
    <row r="33547">
      <c r="D33547" s="9"/>
      <c r="G33547" s="9"/>
      <c r="J33547" s="11"/>
      <c r="U33547" s="9"/>
      <c r="X33547" s="9"/>
    </row>
    <row r="33548">
      <c r="D33548" s="9"/>
      <c r="G33548" s="9"/>
      <c r="J33548" s="11"/>
      <c r="U33548" s="9"/>
      <c r="X33548" s="9"/>
    </row>
    <row r="33549">
      <c r="D33549" s="9"/>
      <c r="G33549" s="9"/>
      <c r="J33549" s="11"/>
      <c r="U33549" s="9"/>
      <c r="X33549" s="9"/>
    </row>
    <row r="33550">
      <c r="D33550" s="9"/>
      <c r="G33550" s="9"/>
      <c r="J33550" s="11"/>
      <c r="U33550" s="9"/>
      <c r="X33550" s="9"/>
    </row>
    <row r="33551">
      <c r="D33551" s="9"/>
      <c r="G33551" s="9"/>
      <c r="J33551" s="11"/>
      <c r="U33551" s="9"/>
      <c r="X33551" s="9"/>
    </row>
    <row r="33552">
      <c r="D33552" s="9"/>
      <c r="G33552" s="9"/>
      <c r="J33552" s="11"/>
      <c r="U33552" s="9"/>
      <c r="X33552" s="9"/>
    </row>
    <row r="33553">
      <c r="D33553" s="9"/>
      <c r="G33553" s="9"/>
      <c r="J33553" s="11"/>
      <c r="U33553" s="9"/>
      <c r="X33553" s="9"/>
    </row>
    <row r="33554">
      <c r="D33554" s="9"/>
      <c r="G33554" s="9"/>
      <c r="J33554" s="11"/>
      <c r="U33554" s="9"/>
      <c r="X33554" s="9"/>
    </row>
    <row r="33555">
      <c r="D33555" s="9"/>
      <c r="G33555" s="9"/>
      <c r="J33555" s="11"/>
      <c r="U33555" s="9"/>
      <c r="X33555" s="9"/>
    </row>
    <row r="33556">
      <c r="D33556" s="9"/>
      <c r="G33556" s="9"/>
      <c r="J33556" s="11"/>
      <c r="U33556" s="9"/>
      <c r="X33556" s="9"/>
    </row>
    <row r="33557">
      <c r="D33557" s="9"/>
      <c r="G33557" s="9"/>
      <c r="J33557" s="11"/>
      <c r="U33557" s="9"/>
      <c r="X33557" s="9"/>
    </row>
    <row r="33558">
      <c r="D33558" s="9"/>
      <c r="G33558" s="9"/>
      <c r="J33558" s="11"/>
      <c r="U33558" s="9"/>
      <c r="X33558" s="9"/>
    </row>
    <row r="33559">
      <c r="D33559" s="9"/>
      <c r="G33559" s="9"/>
      <c r="J33559" s="11"/>
      <c r="U33559" s="9"/>
      <c r="X33559" s="9"/>
    </row>
    <row r="33560">
      <c r="D33560" s="9"/>
      <c r="G33560" s="9"/>
      <c r="J33560" s="11"/>
      <c r="U33560" s="9"/>
      <c r="X33560" s="9"/>
    </row>
    <row r="33561">
      <c r="D33561" s="9"/>
      <c r="G33561" s="9"/>
      <c r="J33561" s="11"/>
      <c r="U33561" s="9"/>
      <c r="X33561" s="9"/>
    </row>
    <row r="33562">
      <c r="D33562" s="9"/>
      <c r="G33562" s="9"/>
      <c r="J33562" s="11"/>
      <c r="U33562" s="9"/>
      <c r="X33562" s="9"/>
    </row>
    <row r="33563">
      <c r="D33563" s="9"/>
      <c r="G33563" s="9"/>
      <c r="J33563" s="11"/>
      <c r="U33563" s="9"/>
      <c r="X33563" s="9"/>
    </row>
    <row r="33564">
      <c r="D33564" s="9"/>
      <c r="G33564" s="9"/>
      <c r="J33564" s="11"/>
      <c r="U33564" s="9"/>
      <c r="X33564" s="9"/>
    </row>
    <row r="33565">
      <c r="D33565" s="9"/>
      <c r="G33565" s="9"/>
      <c r="J33565" s="11"/>
      <c r="U33565" s="9"/>
      <c r="X33565" s="9"/>
    </row>
    <row r="33566">
      <c r="D33566" s="9"/>
      <c r="G33566" s="9"/>
      <c r="J33566" s="11"/>
      <c r="U33566" s="9"/>
      <c r="X33566" s="9"/>
    </row>
    <row r="33567">
      <c r="D33567" s="9"/>
      <c r="G33567" s="9"/>
      <c r="J33567" s="11"/>
      <c r="U33567" s="9"/>
      <c r="X33567" s="9"/>
    </row>
    <row r="33568">
      <c r="D33568" s="9"/>
      <c r="G33568" s="9"/>
      <c r="J33568" s="11"/>
      <c r="U33568" s="9"/>
      <c r="X33568" s="9"/>
    </row>
    <row r="33569">
      <c r="D33569" s="9"/>
      <c r="G33569" s="9"/>
      <c r="J33569" s="11"/>
      <c r="U33569" s="9"/>
      <c r="X33569" s="9"/>
    </row>
    <row r="33570">
      <c r="D33570" s="9"/>
      <c r="G33570" s="9"/>
      <c r="J33570" s="11"/>
      <c r="U33570" s="9"/>
      <c r="X33570" s="9"/>
    </row>
    <row r="33571">
      <c r="D33571" s="9"/>
      <c r="G33571" s="9"/>
      <c r="J33571" s="11"/>
      <c r="U33571" s="9"/>
      <c r="X33571" s="9"/>
    </row>
    <row r="33572">
      <c r="D33572" s="9"/>
      <c r="G33572" s="9"/>
      <c r="J33572" s="11"/>
      <c r="U33572" s="9"/>
      <c r="X33572" s="9"/>
    </row>
    <row r="33573">
      <c r="D33573" s="9"/>
      <c r="G33573" s="9"/>
      <c r="J33573" s="11"/>
      <c r="U33573" s="9"/>
      <c r="X33573" s="9"/>
    </row>
    <row r="33574">
      <c r="D33574" s="9"/>
      <c r="G33574" s="9"/>
      <c r="J33574" s="11"/>
      <c r="U33574" s="9"/>
      <c r="X33574" s="9"/>
    </row>
    <row r="33575">
      <c r="D33575" s="9"/>
      <c r="G33575" s="9"/>
      <c r="J33575" s="11"/>
      <c r="U33575" s="9"/>
      <c r="X33575" s="9"/>
    </row>
    <row r="33576">
      <c r="D33576" s="9"/>
      <c r="G33576" s="9"/>
      <c r="J33576" s="11"/>
      <c r="U33576" s="9"/>
      <c r="X33576" s="9"/>
    </row>
    <row r="33577">
      <c r="D33577" s="9"/>
      <c r="G33577" s="9"/>
      <c r="J33577" s="11"/>
      <c r="U33577" s="9"/>
      <c r="X33577" s="9"/>
    </row>
    <row r="33578">
      <c r="D33578" s="9"/>
      <c r="G33578" s="9"/>
      <c r="J33578" s="11"/>
      <c r="U33578" s="9"/>
      <c r="X33578" s="9"/>
    </row>
    <row r="33579">
      <c r="D33579" s="9"/>
      <c r="G33579" s="9"/>
      <c r="J33579" s="11"/>
      <c r="U33579" s="9"/>
      <c r="X33579" s="9"/>
    </row>
    <row r="33580">
      <c r="D33580" s="9"/>
      <c r="G33580" s="9"/>
      <c r="J33580" s="11"/>
      <c r="U33580" s="9"/>
      <c r="X33580" s="9"/>
    </row>
    <row r="33581">
      <c r="D33581" s="9"/>
      <c r="G33581" s="9"/>
      <c r="J33581" s="11"/>
      <c r="U33581" s="9"/>
      <c r="X33581" s="9"/>
    </row>
    <row r="33582">
      <c r="D33582" s="9"/>
      <c r="G33582" s="9"/>
      <c r="J33582" s="11"/>
      <c r="U33582" s="9"/>
      <c r="X33582" s="9"/>
    </row>
    <row r="33583">
      <c r="D33583" s="9"/>
      <c r="G33583" s="9"/>
      <c r="J33583" s="11"/>
      <c r="U33583" s="9"/>
      <c r="X33583" s="9"/>
    </row>
    <row r="33584">
      <c r="D33584" s="9"/>
      <c r="G33584" s="9"/>
      <c r="J33584" s="11"/>
      <c r="U33584" s="9"/>
      <c r="X33584" s="9"/>
    </row>
    <row r="33585">
      <c r="D33585" s="9"/>
      <c r="G33585" s="9"/>
      <c r="J33585" s="11"/>
      <c r="U33585" s="9"/>
      <c r="X33585" s="9"/>
    </row>
    <row r="33586">
      <c r="D33586" s="9"/>
      <c r="G33586" s="9"/>
      <c r="J33586" s="11"/>
      <c r="U33586" s="9"/>
      <c r="X33586" s="9"/>
    </row>
    <row r="33587">
      <c r="D33587" s="9"/>
      <c r="G33587" s="9"/>
      <c r="J33587" s="11"/>
      <c r="U33587" s="9"/>
      <c r="X33587" s="9"/>
    </row>
    <row r="33588">
      <c r="D33588" s="9"/>
      <c r="G33588" s="9"/>
      <c r="J33588" s="11"/>
      <c r="U33588" s="9"/>
      <c r="X33588" s="9"/>
    </row>
    <row r="33589">
      <c r="D33589" s="9"/>
      <c r="G33589" s="9"/>
      <c r="J33589" s="11"/>
      <c r="U33589" s="9"/>
      <c r="X33589" s="9"/>
    </row>
    <row r="33590">
      <c r="D33590" s="9"/>
      <c r="G33590" s="9"/>
      <c r="J33590" s="11"/>
      <c r="U33590" s="9"/>
      <c r="X33590" s="9"/>
    </row>
    <row r="33591">
      <c r="D33591" s="9"/>
      <c r="G33591" s="9"/>
      <c r="J33591" s="11"/>
      <c r="U33591" s="9"/>
      <c r="X33591" s="9"/>
    </row>
    <row r="33592">
      <c r="D33592" s="9"/>
      <c r="G33592" s="9"/>
      <c r="J33592" s="11"/>
      <c r="U33592" s="9"/>
      <c r="X33592" s="9"/>
    </row>
    <row r="33593">
      <c r="D33593" s="9"/>
      <c r="G33593" s="9"/>
      <c r="J33593" s="11"/>
      <c r="U33593" s="9"/>
      <c r="X33593" s="9"/>
    </row>
    <row r="33594">
      <c r="D33594" s="9"/>
      <c r="G33594" s="9"/>
      <c r="J33594" s="11"/>
      <c r="U33594" s="9"/>
      <c r="X33594" s="9"/>
    </row>
    <row r="33595">
      <c r="D33595" s="9"/>
      <c r="G33595" s="9"/>
      <c r="J33595" s="11"/>
      <c r="U33595" s="9"/>
      <c r="X33595" s="9"/>
    </row>
    <row r="33596">
      <c r="D33596" s="9"/>
      <c r="G33596" s="9"/>
      <c r="J33596" s="11"/>
      <c r="U33596" s="9"/>
      <c r="X33596" s="9"/>
    </row>
    <row r="33597">
      <c r="D33597" s="9"/>
      <c r="G33597" s="9"/>
      <c r="J33597" s="11"/>
      <c r="U33597" s="9"/>
      <c r="X33597" s="9"/>
    </row>
    <row r="33598">
      <c r="D33598" s="9"/>
      <c r="G33598" s="9"/>
      <c r="J33598" s="11"/>
      <c r="U33598" s="9"/>
      <c r="X33598" s="9"/>
    </row>
    <row r="33599">
      <c r="D33599" s="9"/>
      <c r="G33599" s="9"/>
      <c r="J33599" s="11"/>
      <c r="U33599" s="9"/>
      <c r="X33599" s="9"/>
    </row>
    <row r="33600">
      <c r="D33600" s="9"/>
      <c r="G33600" s="9"/>
      <c r="J33600" s="11"/>
      <c r="U33600" s="9"/>
      <c r="X33600" s="9"/>
    </row>
    <row r="33601">
      <c r="D33601" s="9"/>
      <c r="G33601" s="9"/>
      <c r="J33601" s="11"/>
      <c r="U33601" s="9"/>
      <c r="X33601" s="9"/>
    </row>
    <row r="33602">
      <c r="D33602" s="9"/>
      <c r="G33602" s="9"/>
      <c r="J33602" s="11"/>
      <c r="U33602" s="9"/>
      <c r="X33602" s="9"/>
    </row>
    <row r="33603">
      <c r="D33603" s="9"/>
      <c r="G33603" s="9"/>
      <c r="J33603" s="11"/>
      <c r="U33603" s="9"/>
      <c r="X33603" s="9"/>
    </row>
    <row r="33604">
      <c r="D33604" s="9"/>
      <c r="G33604" s="9"/>
      <c r="J33604" s="11"/>
      <c r="U33604" s="9"/>
      <c r="X33604" s="9"/>
    </row>
    <row r="33605">
      <c r="D33605" s="9"/>
      <c r="G33605" s="9"/>
      <c r="J33605" s="11"/>
      <c r="U33605" s="9"/>
      <c r="X33605" s="9"/>
    </row>
    <row r="33606">
      <c r="D33606" s="9"/>
      <c r="G33606" s="9"/>
      <c r="J33606" s="11"/>
      <c r="U33606" s="9"/>
      <c r="X33606" s="9"/>
    </row>
    <row r="33607">
      <c r="D33607" s="9"/>
      <c r="G33607" s="9"/>
      <c r="J33607" s="11"/>
      <c r="U33607" s="9"/>
      <c r="X33607" s="9"/>
    </row>
    <row r="33608">
      <c r="D33608" s="9"/>
      <c r="G33608" s="9"/>
      <c r="J33608" s="11"/>
      <c r="U33608" s="9"/>
      <c r="X33608" s="9"/>
    </row>
    <row r="33609">
      <c r="D33609" s="9"/>
      <c r="G33609" s="9"/>
      <c r="J33609" s="11"/>
      <c r="U33609" s="9"/>
      <c r="X33609" s="9"/>
    </row>
    <row r="33610">
      <c r="D33610" s="9"/>
      <c r="G33610" s="9"/>
      <c r="J33610" s="11"/>
      <c r="U33610" s="9"/>
      <c r="X33610" s="9"/>
    </row>
    <row r="33611">
      <c r="D33611" s="9"/>
      <c r="G33611" s="9"/>
      <c r="J33611" s="11"/>
      <c r="U33611" s="9"/>
      <c r="X33611" s="9"/>
    </row>
    <row r="33612">
      <c r="D33612" s="9"/>
      <c r="G33612" s="9"/>
      <c r="J33612" s="11"/>
      <c r="U33612" s="9"/>
      <c r="X33612" s="9"/>
    </row>
    <row r="33613">
      <c r="D33613" s="9"/>
      <c r="G33613" s="9"/>
      <c r="J33613" s="11"/>
      <c r="U33613" s="9"/>
      <c r="X33613" s="9"/>
    </row>
    <row r="33614">
      <c r="D33614" s="9"/>
      <c r="G33614" s="9"/>
      <c r="J33614" s="11"/>
      <c r="U33614" s="9"/>
      <c r="X33614" s="9"/>
    </row>
    <row r="33615">
      <c r="D33615" s="9"/>
      <c r="G33615" s="9"/>
      <c r="J33615" s="11"/>
      <c r="U33615" s="9"/>
      <c r="X33615" s="9"/>
    </row>
    <row r="33616">
      <c r="D33616" s="9"/>
      <c r="G33616" s="9"/>
      <c r="J33616" s="11"/>
      <c r="U33616" s="9"/>
      <c r="X33616" s="9"/>
    </row>
    <row r="33617">
      <c r="D33617" s="9"/>
      <c r="G33617" s="9"/>
      <c r="J33617" s="11"/>
      <c r="U33617" s="9"/>
      <c r="X33617" s="9"/>
    </row>
    <row r="33618">
      <c r="D33618" s="9"/>
      <c r="G33618" s="9"/>
      <c r="J33618" s="11"/>
      <c r="U33618" s="9"/>
      <c r="X33618" s="9"/>
    </row>
    <row r="33619">
      <c r="D33619" s="9"/>
      <c r="G33619" s="9"/>
      <c r="J33619" s="11"/>
      <c r="U33619" s="9"/>
      <c r="X33619" s="9"/>
    </row>
    <row r="33620">
      <c r="D33620" s="9"/>
      <c r="G33620" s="9"/>
      <c r="J33620" s="11"/>
      <c r="U33620" s="9"/>
      <c r="X33620" s="9"/>
    </row>
    <row r="33621">
      <c r="D33621" s="9"/>
      <c r="G33621" s="9"/>
      <c r="J33621" s="11"/>
      <c r="U33621" s="9"/>
      <c r="X33621" s="9"/>
    </row>
    <row r="33622">
      <c r="D33622" s="9"/>
      <c r="G33622" s="9"/>
      <c r="J33622" s="11"/>
      <c r="U33622" s="9"/>
      <c r="X33622" s="9"/>
    </row>
    <row r="33623">
      <c r="D33623" s="9"/>
      <c r="G33623" s="9"/>
      <c r="J33623" s="11"/>
      <c r="U33623" s="9"/>
      <c r="X33623" s="9"/>
    </row>
    <row r="33624">
      <c r="D33624" s="9"/>
      <c r="G33624" s="9"/>
      <c r="J33624" s="11"/>
      <c r="U33624" s="9"/>
      <c r="X33624" s="9"/>
    </row>
    <row r="33625">
      <c r="D33625" s="9"/>
      <c r="G33625" s="9"/>
      <c r="J33625" s="11"/>
      <c r="U33625" s="9"/>
      <c r="X33625" s="9"/>
    </row>
    <row r="33626">
      <c r="D33626" s="9"/>
      <c r="G33626" s="9"/>
      <c r="J33626" s="11"/>
      <c r="U33626" s="9"/>
      <c r="X33626" s="9"/>
    </row>
    <row r="33627">
      <c r="D33627" s="9"/>
      <c r="G33627" s="9"/>
      <c r="J33627" s="11"/>
      <c r="U33627" s="9"/>
      <c r="X33627" s="9"/>
    </row>
    <row r="33628">
      <c r="D33628" s="9"/>
      <c r="G33628" s="9"/>
      <c r="J33628" s="11"/>
      <c r="U33628" s="9"/>
      <c r="X33628" s="9"/>
    </row>
    <row r="33629">
      <c r="D33629" s="9"/>
      <c r="G33629" s="9"/>
      <c r="J33629" s="11"/>
      <c r="U33629" s="9"/>
      <c r="X33629" s="9"/>
    </row>
    <row r="33630">
      <c r="D33630" s="9"/>
      <c r="G33630" s="9"/>
      <c r="J33630" s="11"/>
      <c r="U33630" s="9"/>
      <c r="X33630" s="9"/>
    </row>
    <row r="33631">
      <c r="D33631" s="9"/>
      <c r="G33631" s="9"/>
      <c r="J33631" s="11"/>
      <c r="U33631" s="9"/>
      <c r="X33631" s="9"/>
    </row>
    <row r="33632">
      <c r="D33632" s="9"/>
      <c r="G33632" s="9"/>
      <c r="J33632" s="11"/>
      <c r="U33632" s="9"/>
      <c r="X33632" s="9"/>
    </row>
    <row r="33633">
      <c r="D33633" s="9"/>
      <c r="G33633" s="9"/>
      <c r="J33633" s="11"/>
      <c r="U33633" s="9"/>
      <c r="X33633" s="9"/>
    </row>
    <row r="33634">
      <c r="D33634" s="9"/>
      <c r="G33634" s="9"/>
      <c r="J33634" s="11"/>
      <c r="U33634" s="9"/>
      <c r="X33634" s="9"/>
    </row>
    <row r="33635">
      <c r="D33635" s="9"/>
      <c r="G33635" s="9"/>
      <c r="J33635" s="11"/>
      <c r="U33635" s="9"/>
      <c r="X33635" s="9"/>
    </row>
    <row r="33636">
      <c r="D33636" s="9"/>
      <c r="G33636" s="9"/>
      <c r="J33636" s="11"/>
      <c r="U33636" s="9"/>
      <c r="X33636" s="9"/>
    </row>
    <row r="33637">
      <c r="D33637" s="9"/>
      <c r="G33637" s="9"/>
      <c r="J33637" s="11"/>
      <c r="U33637" s="9"/>
      <c r="X33637" s="9"/>
    </row>
    <row r="33638">
      <c r="D33638" s="9"/>
      <c r="G33638" s="9"/>
      <c r="J33638" s="11"/>
      <c r="U33638" s="9"/>
      <c r="X33638" s="9"/>
    </row>
    <row r="33639">
      <c r="D33639" s="9"/>
      <c r="G33639" s="9"/>
      <c r="J33639" s="11"/>
      <c r="U33639" s="9"/>
      <c r="X33639" s="9"/>
    </row>
    <row r="33640">
      <c r="D33640" s="9"/>
      <c r="G33640" s="9"/>
      <c r="J33640" s="11"/>
      <c r="U33640" s="9"/>
      <c r="X33640" s="9"/>
    </row>
    <row r="33641">
      <c r="D33641" s="9"/>
      <c r="G33641" s="9"/>
      <c r="J33641" s="11"/>
      <c r="U33641" s="9"/>
      <c r="X33641" s="9"/>
    </row>
    <row r="33642">
      <c r="D33642" s="9"/>
      <c r="G33642" s="9"/>
      <c r="J33642" s="11"/>
      <c r="U33642" s="9"/>
      <c r="X33642" s="9"/>
    </row>
    <row r="33643">
      <c r="D33643" s="9"/>
      <c r="G33643" s="9"/>
      <c r="J33643" s="11"/>
      <c r="U33643" s="9"/>
      <c r="X33643" s="9"/>
    </row>
    <row r="33644">
      <c r="D33644" s="9"/>
      <c r="G33644" s="9"/>
      <c r="J33644" s="11"/>
      <c r="U33644" s="9"/>
      <c r="X33644" s="9"/>
    </row>
    <row r="33645">
      <c r="D33645" s="9"/>
      <c r="G33645" s="9"/>
      <c r="J33645" s="11"/>
      <c r="U33645" s="9"/>
      <c r="X33645" s="9"/>
    </row>
    <row r="33646">
      <c r="D33646" s="9"/>
      <c r="G33646" s="9"/>
      <c r="J33646" s="11"/>
      <c r="U33646" s="9"/>
      <c r="X33646" s="9"/>
    </row>
    <row r="33647">
      <c r="D33647" s="9"/>
      <c r="G33647" s="9"/>
      <c r="J33647" s="11"/>
      <c r="U33647" s="9"/>
      <c r="X33647" s="9"/>
    </row>
    <row r="33648">
      <c r="D33648" s="9"/>
      <c r="G33648" s="9"/>
      <c r="J33648" s="11"/>
      <c r="U33648" s="9"/>
      <c r="X33648" s="9"/>
    </row>
    <row r="33649">
      <c r="D33649" s="9"/>
      <c r="G33649" s="9"/>
      <c r="J33649" s="11"/>
      <c r="U33649" s="9"/>
      <c r="X33649" s="9"/>
    </row>
    <row r="33650">
      <c r="D33650" s="9"/>
      <c r="G33650" s="9"/>
      <c r="J33650" s="11"/>
      <c r="U33650" s="9"/>
      <c r="X33650" s="9"/>
    </row>
    <row r="33651">
      <c r="D33651" s="9"/>
      <c r="G33651" s="9"/>
      <c r="J33651" s="11"/>
      <c r="U33651" s="9"/>
      <c r="X33651" s="9"/>
    </row>
    <row r="33652">
      <c r="D33652" s="9"/>
      <c r="G33652" s="9"/>
      <c r="J33652" s="11"/>
      <c r="U33652" s="9"/>
      <c r="X33652" s="9"/>
    </row>
    <row r="33653">
      <c r="D33653" s="9"/>
      <c r="G33653" s="9"/>
      <c r="J33653" s="11"/>
      <c r="U33653" s="9"/>
      <c r="X33653" s="9"/>
    </row>
    <row r="33654">
      <c r="D33654" s="9"/>
      <c r="G33654" s="9"/>
      <c r="J33654" s="11"/>
      <c r="U33654" s="9"/>
      <c r="X33654" s="9"/>
    </row>
    <row r="33655">
      <c r="D33655" s="9"/>
      <c r="G33655" s="9"/>
      <c r="J33655" s="11"/>
      <c r="U33655" s="9"/>
      <c r="X33655" s="9"/>
    </row>
    <row r="33656">
      <c r="D33656" s="9"/>
      <c r="G33656" s="9"/>
      <c r="J33656" s="11"/>
      <c r="U33656" s="9"/>
      <c r="X33656" s="9"/>
    </row>
    <row r="33657">
      <c r="D33657" s="9"/>
      <c r="G33657" s="9"/>
      <c r="J33657" s="11"/>
      <c r="U33657" s="9"/>
      <c r="X33657" s="9"/>
    </row>
    <row r="33658">
      <c r="D33658" s="9"/>
      <c r="G33658" s="9"/>
      <c r="J33658" s="11"/>
      <c r="U33658" s="9"/>
      <c r="X33658" s="9"/>
    </row>
    <row r="33659">
      <c r="D33659" s="9"/>
      <c r="G33659" s="9"/>
      <c r="J33659" s="11"/>
      <c r="U33659" s="9"/>
      <c r="X33659" s="9"/>
    </row>
    <row r="33660">
      <c r="D33660" s="9"/>
      <c r="G33660" s="9"/>
      <c r="J33660" s="11"/>
      <c r="U33660" s="9"/>
      <c r="X33660" s="9"/>
    </row>
    <row r="33661">
      <c r="D33661" s="9"/>
      <c r="G33661" s="9"/>
      <c r="J33661" s="11"/>
      <c r="U33661" s="9"/>
      <c r="X33661" s="9"/>
    </row>
    <row r="33662">
      <c r="D33662" s="9"/>
      <c r="G33662" s="9"/>
      <c r="J33662" s="11"/>
      <c r="U33662" s="9"/>
      <c r="X33662" s="9"/>
    </row>
    <row r="33663">
      <c r="D33663" s="9"/>
      <c r="G33663" s="9"/>
      <c r="J33663" s="11"/>
      <c r="U33663" s="9"/>
      <c r="X33663" s="9"/>
    </row>
    <row r="33664">
      <c r="D33664" s="9"/>
      <c r="G33664" s="9"/>
      <c r="J33664" s="11"/>
      <c r="U33664" s="9"/>
      <c r="X33664" s="9"/>
    </row>
    <row r="33665">
      <c r="D33665" s="9"/>
      <c r="G33665" s="9"/>
      <c r="J33665" s="11"/>
      <c r="U33665" s="9"/>
      <c r="X33665" s="9"/>
    </row>
    <row r="33666">
      <c r="D33666" s="9"/>
      <c r="G33666" s="9"/>
      <c r="J33666" s="11"/>
      <c r="U33666" s="9"/>
      <c r="X33666" s="9"/>
    </row>
    <row r="33667">
      <c r="D33667" s="9"/>
      <c r="G33667" s="9"/>
      <c r="J33667" s="11"/>
      <c r="U33667" s="9"/>
      <c r="X33667" s="9"/>
    </row>
    <row r="33668">
      <c r="D33668" s="9"/>
      <c r="G33668" s="9"/>
      <c r="J33668" s="11"/>
      <c r="U33668" s="9"/>
      <c r="X33668" s="9"/>
    </row>
    <row r="33669">
      <c r="D33669" s="9"/>
      <c r="G33669" s="9"/>
      <c r="J33669" s="11"/>
      <c r="U33669" s="9"/>
      <c r="X33669" s="9"/>
    </row>
    <row r="33670">
      <c r="D33670" s="9"/>
      <c r="G33670" s="9"/>
      <c r="J33670" s="11"/>
      <c r="U33670" s="9"/>
      <c r="X33670" s="9"/>
    </row>
    <row r="33671">
      <c r="D33671" s="9"/>
      <c r="G33671" s="9"/>
      <c r="J33671" s="11"/>
      <c r="U33671" s="9"/>
      <c r="X33671" s="9"/>
    </row>
    <row r="33672">
      <c r="D33672" s="9"/>
      <c r="G33672" s="9"/>
      <c r="J33672" s="11"/>
      <c r="U33672" s="9"/>
      <c r="X33672" s="9"/>
    </row>
    <row r="33673">
      <c r="D33673" s="9"/>
      <c r="G33673" s="9"/>
      <c r="J33673" s="11"/>
      <c r="U33673" s="9"/>
      <c r="X33673" s="9"/>
    </row>
    <row r="33674">
      <c r="D33674" s="9"/>
      <c r="G33674" s="9"/>
      <c r="J33674" s="11"/>
      <c r="U33674" s="9"/>
      <c r="X33674" s="9"/>
    </row>
    <row r="33675">
      <c r="D33675" s="9"/>
      <c r="G33675" s="9"/>
      <c r="J33675" s="11"/>
      <c r="U33675" s="9"/>
      <c r="X33675" s="9"/>
    </row>
    <row r="33676">
      <c r="D33676" s="9"/>
      <c r="G33676" s="9"/>
      <c r="J33676" s="11"/>
      <c r="U33676" s="9"/>
      <c r="X33676" s="9"/>
    </row>
    <row r="33677">
      <c r="D33677" s="9"/>
      <c r="G33677" s="9"/>
      <c r="J33677" s="11"/>
      <c r="U33677" s="9"/>
      <c r="X33677" s="9"/>
    </row>
    <row r="33678">
      <c r="D33678" s="9"/>
      <c r="G33678" s="9"/>
      <c r="J33678" s="11"/>
      <c r="U33678" s="9"/>
      <c r="X33678" s="9"/>
    </row>
    <row r="33679">
      <c r="D33679" s="9"/>
      <c r="G33679" s="9"/>
      <c r="J33679" s="11"/>
      <c r="U33679" s="9"/>
      <c r="X33679" s="9"/>
    </row>
    <row r="33680">
      <c r="D33680" s="9"/>
      <c r="G33680" s="9"/>
      <c r="J33680" s="11"/>
      <c r="U33680" s="9"/>
      <c r="X33680" s="9"/>
    </row>
    <row r="33681">
      <c r="D33681" s="9"/>
      <c r="G33681" s="9"/>
      <c r="J33681" s="11"/>
      <c r="U33681" s="9"/>
      <c r="X33681" s="9"/>
    </row>
    <row r="33682">
      <c r="D33682" s="9"/>
      <c r="G33682" s="9"/>
      <c r="J33682" s="11"/>
      <c r="U33682" s="9"/>
      <c r="X33682" s="9"/>
    </row>
    <row r="33683">
      <c r="D33683" s="9"/>
      <c r="G33683" s="9"/>
      <c r="J33683" s="11"/>
      <c r="U33683" s="9"/>
      <c r="X33683" s="9"/>
    </row>
    <row r="33684">
      <c r="D33684" s="9"/>
      <c r="G33684" s="9"/>
      <c r="J33684" s="11"/>
      <c r="U33684" s="9"/>
      <c r="X33684" s="9"/>
    </row>
    <row r="33685">
      <c r="D33685" s="9"/>
      <c r="G33685" s="9"/>
      <c r="J33685" s="11"/>
      <c r="U33685" s="9"/>
      <c r="X33685" s="9"/>
    </row>
    <row r="33686">
      <c r="D33686" s="9"/>
      <c r="G33686" s="9"/>
      <c r="J33686" s="11"/>
      <c r="U33686" s="9"/>
      <c r="X33686" s="9"/>
    </row>
    <row r="33687">
      <c r="D33687" s="9"/>
      <c r="G33687" s="9"/>
      <c r="J33687" s="11"/>
      <c r="U33687" s="9"/>
      <c r="X33687" s="9"/>
    </row>
    <row r="33688">
      <c r="D33688" s="9"/>
      <c r="G33688" s="9"/>
      <c r="J33688" s="11"/>
      <c r="U33688" s="9"/>
      <c r="X33688" s="9"/>
    </row>
    <row r="33689">
      <c r="D33689" s="9"/>
      <c r="G33689" s="9"/>
      <c r="J33689" s="11"/>
      <c r="U33689" s="9"/>
      <c r="X33689" s="9"/>
    </row>
    <row r="33690">
      <c r="D33690" s="9"/>
      <c r="G33690" s="9"/>
      <c r="J33690" s="11"/>
      <c r="U33690" s="9"/>
      <c r="X33690" s="9"/>
    </row>
    <row r="33691">
      <c r="D33691" s="9"/>
      <c r="G33691" s="9"/>
      <c r="J33691" s="11"/>
      <c r="U33691" s="9"/>
      <c r="X33691" s="9"/>
    </row>
    <row r="33692">
      <c r="D33692" s="9"/>
      <c r="G33692" s="9"/>
      <c r="J33692" s="11"/>
      <c r="U33692" s="9"/>
      <c r="X33692" s="9"/>
    </row>
    <row r="33693">
      <c r="D33693" s="9"/>
      <c r="G33693" s="9"/>
      <c r="J33693" s="11"/>
      <c r="U33693" s="9"/>
      <c r="X33693" s="9"/>
    </row>
    <row r="33694">
      <c r="D33694" s="9"/>
      <c r="G33694" s="9"/>
      <c r="J33694" s="11"/>
      <c r="U33694" s="9"/>
      <c r="X33694" s="9"/>
    </row>
    <row r="33695">
      <c r="D33695" s="9"/>
      <c r="G33695" s="9"/>
      <c r="J33695" s="11"/>
      <c r="U33695" s="9"/>
      <c r="X33695" s="9"/>
    </row>
    <row r="33696">
      <c r="D33696" s="9"/>
      <c r="G33696" s="9"/>
      <c r="J33696" s="11"/>
      <c r="U33696" s="9"/>
      <c r="X33696" s="9"/>
    </row>
    <row r="33697">
      <c r="D33697" s="9"/>
      <c r="G33697" s="9"/>
      <c r="J33697" s="11"/>
      <c r="U33697" s="9"/>
      <c r="X33697" s="9"/>
    </row>
    <row r="33698">
      <c r="D33698" s="9"/>
      <c r="G33698" s="9"/>
      <c r="J33698" s="11"/>
      <c r="U33698" s="9"/>
      <c r="X33698" s="9"/>
    </row>
    <row r="33699">
      <c r="D33699" s="9"/>
      <c r="G33699" s="9"/>
      <c r="J33699" s="11"/>
      <c r="U33699" s="9"/>
      <c r="X33699" s="9"/>
    </row>
    <row r="33700">
      <c r="D33700" s="9"/>
      <c r="G33700" s="9"/>
      <c r="J33700" s="11"/>
      <c r="U33700" s="9"/>
      <c r="X33700" s="9"/>
    </row>
    <row r="33701">
      <c r="D33701" s="9"/>
      <c r="G33701" s="9"/>
      <c r="J33701" s="11"/>
      <c r="U33701" s="9"/>
      <c r="X33701" s="9"/>
    </row>
    <row r="33702">
      <c r="D33702" s="9"/>
      <c r="G33702" s="9"/>
      <c r="J33702" s="11"/>
      <c r="U33702" s="9"/>
      <c r="X33702" s="9"/>
    </row>
    <row r="33703">
      <c r="D33703" s="9"/>
      <c r="G33703" s="9"/>
      <c r="J33703" s="11"/>
      <c r="U33703" s="9"/>
      <c r="X33703" s="9"/>
    </row>
    <row r="33704">
      <c r="D33704" s="9"/>
      <c r="G33704" s="9"/>
      <c r="J33704" s="11"/>
      <c r="U33704" s="9"/>
      <c r="X33704" s="9"/>
    </row>
    <row r="33705">
      <c r="D33705" s="9"/>
      <c r="G33705" s="9"/>
      <c r="J33705" s="11"/>
      <c r="U33705" s="9"/>
      <c r="X33705" s="9"/>
    </row>
    <row r="33706">
      <c r="D33706" s="9"/>
      <c r="G33706" s="9"/>
      <c r="J33706" s="11"/>
      <c r="U33706" s="9"/>
      <c r="X33706" s="9"/>
    </row>
    <row r="33707">
      <c r="D33707" s="9"/>
      <c r="G33707" s="9"/>
      <c r="J33707" s="11"/>
      <c r="U33707" s="9"/>
      <c r="X33707" s="9"/>
    </row>
    <row r="33708">
      <c r="D33708" s="9"/>
      <c r="G33708" s="9"/>
      <c r="J33708" s="11"/>
      <c r="U33708" s="9"/>
      <c r="X33708" s="9"/>
    </row>
    <row r="33709">
      <c r="D33709" s="9"/>
      <c r="G33709" s="9"/>
      <c r="J33709" s="11"/>
      <c r="U33709" s="9"/>
      <c r="X33709" s="9"/>
    </row>
    <row r="33710">
      <c r="D33710" s="9"/>
      <c r="G33710" s="9"/>
      <c r="J33710" s="11"/>
      <c r="U33710" s="9"/>
      <c r="X33710" s="9"/>
    </row>
    <row r="33711">
      <c r="D33711" s="9"/>
      <c r="G33711" s="9"/>
      <c r="J33711" s="11"/>
      <c r="U33711" s="9"/>
      <c r="X33711" s="9"/>
    </row>
    <row r="33712">
      <c r="D33712" s="9"/>
      <c r="G33712" s="9"/>
      <c r="J33712" s="11"/>
      <c r="U33712" s="9"/>
      <c r="X33712" s="9"/>
    </row>
    <row r="33713">
      <c r="D33713" s="9"/>
      <c r="G33713" s="9"/>
      <c r="J33713" s="11"/>
      <c r="U33713" s="9"/>
      <c r="X33713" s="9"/>
    </row>
    <row r="33714">
      <c r="D33714" s="9"/>
      <c r="G33714" s="9"/>
      <c r="J33714" s="11"/>
      <c r="U33714" s="9"/>
      <c r="X33714" s="9"/>
    </row>
    <row r="33715">
      <c r="D33715" s="9"/>
      <c r="G33715" s="9"/>
      <c r="J33715" s="11"/>
      <c r="U33715" s="9"/>
      <c r="X33715" s="9"/>
    </row>
    <row r="33716">
      <c r="D33716" s="9"/>
      <c r="G33716" s="9"/>
      <c r="J33716" s="11"/>
      <c r="U33716" s="9"/>
      <c r="X33716" s="9"/>
    </row>
    <row r="33717">
      <c r="D33717" s="9"/>
      <c r="G33717" s="9"/>
      <c r="J33717" s="11"/>
      <c r="U33717" s="9"/>
      <c r="X33717" s="9"/>
    </row>
    <row r="33718">
      <c r="D33718" s="9"/>
      <c r="G33718" s="9"/>
      <c r="J33718" s="11"/>
      <c r="U33718" s="9"/>
      <c r="X33718" s="9"/>
    </row>
    <row r="33719">
      <c r="D33719" s="9"/>
      <c r="G33719" s="9"/>
      <c r="J33719" s="11"/>
      <c r="U33719" s="9"/>
      <c r="X33719" s="9"/>
    </row>
    <row r="33720">
      <c r="D33720" s="9"/>
      <c r="G33720" s="9"/>
      <c r="J33720" s="11"/>
      <c r="U33720" s="9"/>
      <c r="X33720" s="9"/>
    </row>
    <row r="33721">
      <c r="D33721" s="9"/>
      <c r="G33721" s="9"/>
      <c r="J33721" s="11"/>
      <c r="U33721" s="9"/>
      <c r="X33721" s="9"/>
    </row>
    <row r="33722">
      <c r="D33722" s="9"/>
      <c r="G33722" s="9"/>
      <c r="J33722" s="11"/>
      <c r="U33722" s="9"/>
      <c r="X33722" s="9"/>
    </row>
    <row r="33723">
      <c r="D33723" s="9"/>
      <c r="G33723" s="9"/>
      <c r="J33723" s="11"/>
      <c r="U33723" s="9"/>
      <c r="X33723" s="9"/>
    </row>
    <row r="33724">
      <c r="D33724" s="9"/>
      <c r="G33724" s="9"/>
      <c r="J33724" s="11"/>
      <c r="U33724" s="9"/>
      <c r="X33724" s="9"/>
    </row>
    <row r="33725">
      <c r="D33725" s="9"/>
      <c r="G33725" s="9"/>
      <c r="J33725" s="11"/>
      <c r="U33725" s="9"/>
      <c r="X33725" s="9"/>
    </row>
    <row r="33726">
      <c r="D33726" s="9"/>
      <c r="G33726" s="9"/>
      <c r="J33726" s="11"/>
      <c r="U33726" s="9"/>
      <c r="X33726" s="9"/>
    </row>
    <row r="33727">
      <c r="D33727" s="9"/>
      <c r="G33727" s="9"/>
      <c r="J33727" s="11"/>
      <c r="U33727" s="9"/>
      <c r="X33727" s="9"/>
    </row>
    <row r="33728">
      <c r="D33728" s="9"/>
      <c r="G33728" s="9"/>
      <c r="J33728" s="11"/>
      <c r="U33728" s="9"/>
      <c r="X33728" s="9"/>
    </row>
    <row r="33729">
      <c r="D33729" s="9"/>
      <c r="G33729" s="9"/>
      <c r="J33729" s="11"/>
      <c r="U33729" s="9"/>
      <c r="X33729" s="9"/>
    </row>
    <row r="33730">
      <c r="D33730" s="9"/>
      <c r="G33730" s="9"/>
      <c r="J33730" s="11"/>
      <c r="U33730" s="9"/>
      <c r="X33730" s="9"/>
    </row>
    <row r="33731">
      <c r="D33731" s="9"/>
      <c r="G33731" s="9"/>
      <c r="J33731" s="11"/>
      <c r="U33731" s="9"/>
      <c r="X33731" s="9"/>
    </row>
    <row r="33732">
      <c r="D33732" s="9"/>
      <c r="G33732" s="9"/>
      <c r="J33732" s="11"/>
      <c r="U33732" s="9"/>
      <c r="X33732" s="9"/>
    </row>
    <row r="33733">
      <c r="D33733" s="9"/>
      <c r="G33733" s="9"/>
      <c r="J33733" s="11"/>
      <c r="U33733" s="9"/>
      <c r="X33733" s="9"/>
    </row>
    <row r="33734">
      <c r="D33734" s="9"/>
      <c r="G33734" s="9"/>
      <c r="J33734" s="11"/>
      <c r="U33734" s="9"/>
      <c r="X33734" s="9"/>
    </row>
    <row r="33735">
      <c r="D33735" s="9"/>
      <c r="G33735" s="9"/>
      <c r="J33735" s="11"/>
      <c r="U33735" s="9"/>
      <c r="X33735" s="9"/>
    </row>
    <row r="33736">
      <c r="D33736" s="9"/>
      <c r="G33736" s="9"/>
      <c r="J33736" s="11"/>
      <c r="U33736" s="9"/>
      <c r="X33736" s="9"/>
    </row>
    <row r="33737">
      <c r="D33737" s="9"/>
      <c r="G33737" s="9"/>
      <c r="J33737" s="11"/>
      <c r="U33737" s="9"/>
      <c r="X33737" s="9"/>
    </row>
    <row r="33738">
      <c r="D33738" s="9"/>
      <c r="G33738" s="9"/>
      <c r="J33738" s="11"/>
      <c r="U33738" s="9"/>
      <c r="X33738" s="9"/>
    </row>
    <row r="33739">
      <c r="D33739" s="9"/>
      <c r="G33739" s="9"/>
      <c r="J33739" s="11"/>
      <c r="U33739" s="9"/>
      <c r="X33739" s="9"/>
    </row>
    <row r="33740">
      <c r="D33740" s="9"/>
      <c r="G33740" s="9"/>
      <c r="J33740" s="11"/>
      <c r="U33740" s="9"/>
      <c r="X33740" s="9"/>
    </row>
    <row r="33741">
      <c r="D33741" s="9"/>
      <c r="G33741" s="9"/>
      <c r="J33741" s="11"/>
      <c r="U33741" s="9"/>
      <c r="X33741" s="9"/>
    </row>
    <row r="33742">
      <c r="D33742" s="9"/>
      <c r="G33742" s="9"/>
      <c r="J33742" s="11"/>
      <c r="U33742" s="9"/>
      <c r="X33742" s="9"/>
    </row>
    <row r="33743">
      <c r="D33743" s="9"/>
      <c r="G33743" s="9"/>
      <c r="J33743" s="11"/>
      <c r="U33743" s="9"/>
      <c r="X33743" s="9"/>
    </row>
    <row r="33744">
      <c r="D33744" s="9"/>
      <c r="G33744" s="9"/>
      <c r="J33744" s="11"/>
      <c r="U33744" s="9"/>
      <c r="X33744" s="9"/>
    </row>
    <row r="33745">
      <c r="D33745" s="9"/>
      <c r="G33745" s="9"/>
      <c r="J33745" s="11"/>
      <c r="U33745" s="9"/>
      <c r="X33745" s="9"/>
    </row>
    <row r="33746">
      <c r="D33746" s="9"/>
      <c r="G33746" s="9"/>
      <c r="J33746" s="11"/>
      <c r="U33746" s="9"/>
      <c r="X33746" s="9"/>
    </row>
    <row r="33747">
      <c r="D33747" s="9"/>
      <c r="G33747" s="9"/>
      <c r="J33747" s="11"/>
      <c r="U33747" s="9"/>
      <c r="X33747" s="9"/>
    </row>
    <row r="33748">
      <c r="D33748" s="9"/>
      <c r="G33748" s="9"/>
      <c r="J33748" s="11"/>
      <c r="U33748" s="9"/>
      <c r="X33748" s="9"/>
    </row>
    <row r="33749">
      <c r="D33749" s="9"/>
      <c r="G33749" s="9"/>
      <c r="J33749" s="11"/>
      <c r="U33749" s="9"/>
      <c r="X33749" s="9"/>
    </row>
    <row r="33750">
      <c r="D33750" s="9"/>
      <c r="G33750" s="9"/>
      <c r="J33750" s="11"/>
      <c r="U33750" s="9"/>
      <c r="X33750" s="9"/>
    </row>
    <row r="33751">
      <c r="D33751" s="9"/>
      <c r="G33751" s="9"/>
      <c r="J33751" s="11"/>
      <c r="U33751" s="9"/>
      <c r="X33751" s="9"/>
    </row>
    <row r="33752">
      <c r="D33752" s="9"/>
      <c r="G33752" s="9"/>
      <c r="J33752" s="11"/>
      <c r="U33752" s="9"/>
      <c r="X33752" s="9"/>
    </row>
    <row r="33753">
      <c r="D33753" s="9"/>
      <c r="G33753" s="9"/>
      <c r="J33753" s="11"/>
      <c r="U33753" s="9"/>
      <c r="X33753" s="9"/>
    </row>
    <row r="33754">
      <c r="D33754" s="9"/>
      <c r="G33754" s="9"/>
      <c r="J33754" s="11"/>
      <c r="U33754" s="9"/>
      <c r="X33754" s="9"/>
    </row>
    <row r="33755">
      <c r="D33755" s="9"/>
      <c r="G33755" s="9"/>
      <c r="J33755" s="11"/>
      <c r="U33755" s="9"/>
      <c r="X33755" s="9"/>
    </row>
    <row r="33756">
      <c r="D33756" s="9"/>
      <c r="G33756" s="9"/>
      <c r="J33756" s="11"/>
      <c r="U33756" s="9"/>
      <c r="X33756" s="9"/>
    </row>
    <row r="33757">
      <c r="D33757" s="9"/>
      <c r="G33757" s="9"/>
      <c r="J33757" s="11"/>
      <c r="U33757" s="9"/>
      <c r="X33757" s="9"/>
    </row>
    <row r="33758">
      <c r="D33758" s="9"/>
      <c r="G33758" s="9"/>
      <c r="J33758" s="11"/>
      <c r="U33758" s="9"/>
      <c r="X33758" s="9"/>
    </row>
    <row r="33759">
      <c r="D33759" s="9"/>
      <c r="G33759" s="9"/>
      <c r="J33759" s="11"/>
      <c r="U33759" s="9"/>
      <c r="X33759" s="9"/>
    </row>
    <row r="33760">
      <c r="D33760" s="9"/>
      <c r="G33760" s="9"/>
      <c r="J33760" s="11"/>
      <c r="U33760" s="9"/>
      <c r="X33760" s="9"/>
    </row>
    <row r="33761">
      <c r="D33761" s="9"/>
      <c r="G33761" s="9"/>
      <c r="J33761" s="11"/>
      <c r="U33761" s="9"/>
      <c r="X33761" s="9"/>
    </row>
    <row r="33762">
      <c r="D33762" s="9"/>
      <c r="G33762" s="9"/>
      <c r="J33762" s="11"/>
      <c r="U33762" s="9"/>
      <c r="X33762" s="9"/>
    </row>
    <row r="33763">
      <c r="D33763" s="9"/>
      <c r="G33763" s="9"/>
      <c r="J33763" s="11"/>
      <c r="U33763" s="9"/>
      <c r="X33763" s="9"/>
    </row>
    <row r="33764">
      <c r="D33764" s="9"/>
      <c r="G33764" s="9"/>
      <c r="J33764" s="11"/>
      <c r="U33764" s="9"/>
      <c r="X33764" s="9"/>
    </row>
    <row r="33765">
      <c r="D33765" s="9"/>
      <c r="G33765" s="9"/>
      <c r="J33765" s="11"/>
      <c r="U33765" s="9"/>
      <c r="X33765" s="9"/>
    </row>
    <row r="33766">
      <c r="D33766" s="9"/>
      <c r="G33766" s="9"/>
      <c r="J33766" s="11"/>
      <c r="U33766" s="9"/>
      <c r="X33766" s="9"/>
    </row>
    <row r="33767">
      <c r="D33767" s="9"/>
      <c r="G33767" s="9"/>
      <c r="J33767" s="11"/>
      <c r="U33767" s="9"/>
      <c r="X33767" s="9"/>
    </row>
    <row r="33768">
      <c r="D33768" s="9"/>
      <c r="G33768" s="9"/>
      <c r="J33768" s="11"/>
      <c r="U33768" s="9"/>
      <c r="X33768" s="9"/>
    </row>
    <row r="33769">
      <c r="D33769" s="9"/>
      <c r="G33769" s="9"/>
      <c r="J33769" s="11"/>
      <c r="U33769" s="9"/>
      <c r="X33769" s="9"/>
    </row>
    <row r="33770">
      <c r="D33770" s="9"/>
      <c r="G33770" s="9"/>
      <c r="J33770" s="11"/>
      <c r="U33770" s="9"/>
      <c r="X33770" s="9"/>
    </row>
    <row r="33771">
      <c r="D33771" s="9"/>
      <c r="G33771" s="9"/>
      <c r="J33771" s="11"/>
      <c r="U33771" s="9"/>
      <c r="X33771" s="9"/>
    </row>
    <row r="33772">
      <c r="D33772" s="9"/>
      <c r="G33772" s="9"/>
      <c r="J33772" s="11"/>
      <c r="U33772" s="9"/>
      <c r="X33772" s="9"/>
    </row>
    <row r="33773">
      <c r="D33773" s="9"/>
      <c r="G33773" s="9"/>
      <c r="J33773" s="11"/>
      <c r="U33773" s="9"/>
      <c r="X33773" s="9"/>
    </row>
    <row r="33774">
      <c r="D33774" s="9"/>
      <c r="G33774" s="9"/>
      <c r="J33774" s="11"/>
      <c r="U33774" s="9"/>
      <c r="X33774" s="9"/>
    </row>
    <row r="33775">
      <c r="D33775" s="9"/>
      <c r="G33775" s="9"/>
      <c r="J33775" s="11"/>
      <c r="U33775" s="9"/>
      <c r="X33775" s="9"/>
    </row>
    <row r="33776">
      <c r="D33776" s="9"/>
      <c r="G33776" s="9"/>
      <c r="J33776" s="11"/>
      <c r="U33776" s="9"/>
      <c r="X33776" s="9"/>
    </row>
    <row r="33777">
      <c r="D33777" s="9"/>
      <c r="G33777" s="9"/>
      <c r="J33777" s="11"/>
      <c r="U33777" s="9"/>
      <c r="X33777" s="9"/>
    </row>
    <row r="33778">
      <c r="D33778" s="9"/>
      <c r="G33778" s="9"/>
      <c r="J33778" s="11"/>
      <c r="U33778" s="9"/>
      <c r="X33778" s="9"/>
    </row>
    <row r="33779">
      <c r="D33779" s="9"/>
      <c r="G33779" s="9"/>
      <c r="J33779" s="11"/>
      <c r="U33779" s="9"/>
      <c r="X33779" s="9"/>
    </row>
    <row r="33780">
      <c r="D33780" s="9"/>
      <c r="G33780" s="9"/>
      <c r="J33780" s="11"/>
      <c r="U33780" s="9"/>
      <c r="X33780" s="9"/>
    </row>
    <row r="33781">
      <c r="D33781" s="9"/>
      <c r="G33781" s="9"/>
      <c r="J33781" s="11"/>
      <c r="U33781" s="9"/>
      <c r="X33781" s="9"/>
    </row>
    <row r="33782">
      <c r="D33782" s="9"/>
      <c r="G33782" s="9"/>
      <c r="J33782" s="11"/>
      <c r="U33782" s="9"/>
      <c r="X33782" s="9"/>
    </row>
    <row r="33783">
      <c r="D33783" s="9"/>
      <c r="G33783" s="9"/>
      <c r="J33783" s="11"/>
      <c r="U33783" s="9"/>
      <c r="X33783" s="9"/>
    </row>
    <row r="33784">
      <c r="D33784" s="9"/>
      <c r="G33784" s="9"/>
      <c r="J33784" s="11"/>
      <c r="U33784" s="9"/>
      <c r="X33784" s="9"/>
    </row>
    <row r="33785">
      <c r="D33785" s="9"/>
      <c r="G33785" s="9"/>
      <c r="J33785" s="11"/>
      <c r="U33785" s="9"/>
      <c r="X33785" s="9"/>
    </row>
    <row r="33786">
      <c r="D33786" s="9"/>
      <c r="G33786" s="9"/>
      <c r="J33786" s="11"/>
      <c r="U33786" s="9"/>
      <c r="X33786" s="9"/>
    </row>
    <row r="33787">
      <c r="D33787" s="9"/>
      <c r="G33787" s="9"/>
      <c r="J33787" s="11"/>
      <c r="U33787" s="9"/>
      <c r="X33787" s="9"/>
    </row>
    <row r="33788">
      <c r="D33788" s="9"/>
      <c r="G33788" s="9"/>
      <c r="J33788" s="11"/>
      <c r="U33788" s="9"/>
      <c r="X33788" s="9"/>
    </row>
    <row r="33789">
      <c r="D33789" s="9"/>
      <c r="G33789" s="9"/>
      <c r="J33789" s="11"/>
      <c r="U33789" s="9"/>
      <c r="X33789" s="9"/>
    </row>
    <row r="33790">
      <c r="D33790" s="9"/>
      <c r="G33790" s="9"/>
      <c r="J33790" s="11"/>
      <c r="U33790" s="9"/>
      <c r="X33790" s="9"/>
    </row>
    <row r="33791">
      <c r="D33791" s="9"/>
      <c r="G33791" s="9"/>
      <c r="J33791" s="11"/>
      <c r="U33791" s="9"/>
      <c r="X33791" s="9"/>
    </row>
    <row r="33792">
      <c r="D33792" s="9"/>
      <c r="G33792" s="9"/>
      <c r="J33792" s="11"/>
      <c r="U33792" s="9"/>
      <c r="X33792" s="9"/>
    </row>
    <row r="33793">
      <c r="D33793" s="9"/>
      <c r="G33793" s="9"/>
      <c r="J33793" s="11"/>
      <c r="U33793" s="9"/>
      <c r="X33793" s="9"/>
    </row>
    <row r="33794">
      <c r="D33794" s="9"/>
      <c r="G33794" s="9"/>
      <c r="J33794" s="11"/>
      <c r="U33794" s="9"/>
      <c r="X33794" s="9"/>
    </row>
    <row r="33795">
      <c r="D33795" s="9"/>
      <c r="G33795" s="9"/>
      <c r="J33795" s="11"/>
      <c r="U33795" s="9"/>
      <c r="X33795" s="9"/>
    </row>
    <row r="33796">
      <c r="D33796" s="9"/>
      <c r="G33796" s="9"/>
      <c r="J33796" s="11"/>
      <c r="U33796" s="9"/>
      <c r="X33796" s="9"/>
    </row>
    <row r="33797">
      <c r="D33797" s="9"/>
      <c r="G33797" s="9"/>
      <c r="J33797" s="11"/>
      <c r="U33797" s="9"/>
      <c r="X33797" s="9"/>
    </row>
    <row r="33798">
      <c r="D33798" s="9"/>
      <c r="G33798" s="9"/>
      <c r="J33798" s="11"/>
      <c r="U33798" s="9"/>
      <c r="X33798" s="9"/>
    </row>
    <row r="33799">
      <c r="D33799" s="9"/>
      <c r="G33799" s="9"/>
      <c r="J33799" s="11"/>
      <c r="U33799" s="9"/>
      <c r="X33799" s="9"/>
    </row>
    <row r="33800">
      <c r="D33800" s="9"/>
      <c r="G33800" s="9"/>
      <c r="J33800" s="11"/>
      <c r="U33800" s="9"/>
      <c r="X33800" s="9"/>
    </row>
    <row r="33801">
      <c r="D33801" s="9"/>
      <c r="G33801" s="9"/>
      <c r="J33801" s="11"/>
      <c r="U33801" s="9"/>
      <c r="X33801" s="9"/>
    </row>
    <row r="33802">
      <c r="D33802" s="9"/>
      <c r="G33802" s="9"/>
      <c r="J33802" s="11"/>
      <c r="U33802" s="9"/>
      <c r="X33802" s="9"/>
    </row>
    <row r="33803">
      <c r="D33803" s="9"/>
      <c r="G33803" s="9"/>
      <c r="J33803" s="11"/>
      <c r="U33803" s="9"/>
      <c r="X33803" s="9"/>
    </row>
    <row r="33804">
      <c r="D33804" s="9"/>
      <c r="G33804" s="9"/>
      <c r="J33804" s="11"/>
      <c r="U33804" s="9"/>
      <c r="X33804" s="9"/>
    </row>
    <row r="33805">
      <c r="D33805" s="9"/>
      <c r="G33805" s="9"/>
      <c r="J33805" s="11"/>
      <c r="U33805" s="9"/>
      <c r="X33805" s="9"/>
    </row>
    <row r="33806">
      <c r="D33806" s="9"/>
      <c r="G33806" s="9"/>
      <c r="J33806" s="11"/>
      <c r="U33806" s="9"/>
      <c r="X33806" s="9"/>
    </row>
    <row r="33807">
      <c r="D33807" s="9"/>
      <c r="G33807" s="9"/>
      <c r="J33807" s="11"/>
      <c r="U33807" s="9"/>
      <c r="X33807" s="9"/>
    </row>
    <row r="33808">
      <c r="D33808" s="9"/>
      <c r="G33808" s="9"/>
      <c r="J33808" s="11"/>
      <c r="U33808" s="9"/>
      <c r="X33808" s="9"/>
    </row>
    <row r="33809">
      <c r="D33809" s="9"/>
      <c r="G33809" s="9"/>
      <c r="J33809" s="11"/>
      <c r="U33809" s="9"/>
      <c r="X33809" s="9"/>
    </row>
    <row r="33810">
      <c r="D33810" s="9"/>
      <c r="G33810" s="9"/>
      <c r="J33810" s="11"/>
      <c r="U33810" s="9"/>
      <c r="X33810" s="9"/>
    </row>
    <row r="33811">
      <c r="D33811" s="9"/>
      <c r="G33811" s="9"/>
      <c r="J33811" s="11"/>
      <c r="U33811" s="9"/>
      <c r="X33811" s="9"/>
    </row>
    <row r="33812">
      <c r="D33812" s="9"/>
      <c r="G33812" s="9"/>
      <c r="J33812" s="11"/>
      <c r="U33812" s="9"/>
      <c r="X33812" s="9"/>
    </row>
    <row r="33813">
      <c r="D33813" s="9"/>
      <c r="G33813" s="9"/>
      <c r="J33813" s="11"/>
      <c r="U33813" s="9"/>
      <c r="X33813" s="9"/>
    </row>
    <row r="33814">
      <c r="D33814" s="9"/>
      <c r="G33814" s="9"/>
      <c r="J33814" s="11"/>
      <c r="U33814" s="9"/>
      <c r="X33814" s="9"/>
    </row>
    <row r="33815">
      <c r="D33815" s="9"/>
      <c r="G33815" s="9"/>
      <c r="J33815" s="11"/>
      <c r="U33815" s="9"/>
      <c r="X33815" s="9"/>
    </row>
    <row r="33816">
      <c r="D33816" s="9"/>
      <c r="G33816" s="9"/>
      <c r="J33816" s="11"/>
      <c r="U33816" s="9"/>
      <c r="X33816" s="9"/>
    </row>
    <row r="33817">
      <c r="D33817" s="9"/>
      <c r="G33817" s="9"/>
      <c r="J33817" s="11"/>
      <c r="U33817" s="9"/>
      <c r="X33817" s="9"/>
    </row>
    <row r="33818">
      <c r="D33818" s="9"/>
      <c r="G33818" s="9"/>
      <c r="J33818" s="11"/>
      <c r="U33818" s="9"/>
      <c r="X33818" s="9"/>
    </row>
    <row r="33819">
      <c r="D33819" s="9"/>
      <c r="G33819" s="9"/>
      <c r="J33819" s="11"/>
      <c r="U33819" s="9"/>
      <c r="X33819" s="9"/>
    </row>
    <row r="33820">
      <c r="D33820" s="9"/>
      <c r="G33820" s="9"/>
      <c r="J33820" s="11"/>
      <c r="U33820" s="9"/>
      <c r="X33820" s="9"/>
    </row>
    <row r="33821">
      <c r="D33821" s="9"/>
      <c r="G33821" s="9"/>
      <c r="J33821" s="11"/>
      <c r="U33821" s="9"/>
      <c r="X33821" s="9"/>
    </row>
    <row r="33822">
      <c r="D33822" s="9"/>
      <c r="G33822" s="9"/>
      <c r="J33822" s="11"/>
      <c r="U33822" s="9"/>
      <c r="X33822" s="9"/>
    </row>
    <row r="33823">
      <c r="D33823" s="9"/>
      <c r="G33823" s="9"/>
      <c r="J33823" s="11"/>
      <c r="U33823" s="9"/>
      <c r="X33823" s="9"/>
    </row>
    <row r="33824">
      <c r="D33824" s="9"/>
      <c r="G33824" s="9"/>
      <c r="J33824" s="11"/>
      <c r="U33824" s="9"/>
      <c r="X33824" s="9"/>
    </row>
    <row r="33825">
      <c r="D33825" s="9"/>
      <c r="G33825" s="9"/>
      <c r="J33825" s="11"/>
      <c r="U33825" s="9"/>
      <c r="X33825" s="9"/>
    </row>
    <row r="33826">
      <c r="D33826" s="9"/>
      <c r="G33826" s="9"/>
      <c r="J33826" s="11"/>
      <c r="U33826" s="9"/>
      <c r="X33826" s="9"/>
    </row>
    <row r="33827">
      <c r="D33827" s="9"/>
      <c r="G33827" s="9"/>
      <c r="J33827" s="11"/>
      <c r="U33827" s="9"/>
      <c r="X33827" s="9"/>
    </row>
    <row r="33828">
      <c r="D33828" s="9"/>
      <c r="G33828" s="9"/>
      <c r="J33828" s="11"/>
      <c r="U33828" s="9"/>
      <c r="X33828" s="9"/>
    </row>
    <row r="33829">
      <c r="D33829" s="9"/>
      <c r="G33829" s="9"/>
      <c r="J33829" s="11"/>
      <c r="U33829" s="9"/>
      <c r="X33829" s="9"/>
    </row>
    <row r="33830">
      <c r="D33830" s="9"/>
      <c r="G33830" s="9"/>
      <c r="J33830" s="11"/>
      <c r="U33830" s="9"/>
      <c r="X33830" s="9"/>
    </row>
    <row r="33831">
      <c r="D33831" s="9"/>
      <c r="G33831" s="9"/>
      <c r="J33831" s="11"/>
      <c r="U33831" s="9"/>
      <c r="X33831" s="9"/>
    </row>
    <row r="33832">
      <c r="D33832" s="9"/>
      <c r="G33832" s="9"/>
      <c r="J33832" s="11"/>
      <c r="U33832" s="9"/>
      <c r="X33832" s="9"/>
    </row>
    <row r="33833">
      <c r="D33833" s="9"/>
      <c r="G33833" s="9"/>
      <c r="J33833" s="11"/>
      <c r="U33833" s="9"/>
      <c r="X33833" s="9"/>
    </row>
    <row r="33834">
      <c r="D33834" s="9"/>
      <c r="G33834" s="9"/>
      <c r="J33834" s="11"/>
      <c r="U33834" s="9"/>
      <c r="X33834" s="9"/>
    </row>
    <row r="33835">
      <c r="D33835" s="9"/>
      <c r="G33835" s="9"/>
      <c r="J33835" s="11"/>
      <c r="U33835" s="9"/>
      <c r="X33835" s="9"/>
    </row>
    <row r="33836">
      <c r="D33836" s="9"/>
      <c r="G33836" s="9"/>
      <c r="J33836" s="11"/>
      <c r="U33836" s="9"/>
      <c r="X33836" s="9"/>
    </row>
    <row r="33837">
      <c r="D33837" s="9"/>
      <c r="G33837" s="9"/>
      <c r="J33837" s="11"/>
      <c r="U33837" s="9"/>
      <c r="X33837" s="9"/>
    </row>
    <row r="33838">
      <c r="D33838" s="9"/>
      <c r="G33838" s="9"/>
      <c r="J33838" s="11"/>
      <c r="U33838" s="9"/>
      <c r="X33838" s="9"/>
    </row>
    <row r="33839">
      <c r="D33839" s="9"/>
      <c r="G33839" s="9"/>
      <c r="J33839" s="11"/>
      <c r="U33839" s="9"/>
      <c r="X33839" s="9"/>
    </row>
    <row r="33840">
      <c r="D33840" s="9"/>
      <c r="G33840" s="9"/>
      <c r="J33840" s="11"/>
      <c r="U33840" s="9"/>
      <c r="X33840" s="9"/>
    </row>
    <row r="33841">
      <c r="D33841" s="9"/>
      <c r="G33841" s="9"/>
      <c r="J33841" s="11"/>
      <c r="U33841" s="9"/>
      <c r="X33841" s="9"/>
    </row>
    <row r="33842">
      <c r="D33842" s="9"/>
      <c r="G33842" s="9"/>
      <c r="J33842" s="11"/>
      <c r="U33842" s="9"/>
      <c r="X33842" s="9"/>
    </row>
    <row r="33843">
      <c r="D33843" s="9"/>
      <c r="G33843" s="9"/>
      <c r="J33843" s="11"/>
      <c r="U33843" s="9"/>
      <c r="X33843" s="9"/>
    </row>
    <row r="33844">
      <c r="D33844" s="9"/>
      <c r="G33844" s="9"/>
      <c r="J33844" s="11"/>
      <c r="U33844" s="9"/>
      <c r="X33844" s="9"/>
    </row>
    <row r="33845">
      <c r="D33845" s="9"/>
      <c r="G33845" s="9"/>
      <c r="J33845" s="11"/>
      <c r="U33845" s="9"/>
      <c r="X33845" s="9"/>
    </row>
    <row r="33846">
      <c r="D33846" s="9"/>
      <c r="G33846" s="9"/>
      <c r="J33846" s="11"/>
      <c r="U33846" s="9"/>
      <c r="X33846" s="9"/>
    </row>
    <row r="33847">
      <c r="D33847" s="9"/>
      <c r="G33847" s="9"/>
      <c r="J33847" s="11"/>
      <c r="U33847" s="9"/>
      <c r="X33847" s="9"/>
    </row>
    <row r="33848">
      <c r="D33848" s="9"/>
      <c r="G33848" s="9"/>
      <c r="J33848" s="11"/>
      <c r="U33848" s="9"/>
      <c r="X33848" s="9"/>
    </row>
    <row r="33849">
      <c r="D33849" s="9"/>
      <c r="G33849" s="9"/>
      <c r="J33849" s="11"/>
      <c r="U33849" s="9"/>
      <c r="X33849" s="9"/>
    </row>
    <row r="33850">
      <c r="D33850" s="9"/>
      <c r="G33850" s="9"/>
      <c r="J33850" s="11"/>
      <c r="U33850" s="9"/>
      <c r="X33850" s="9"/>
    </row>
    <row r="33851">
      <c r="D33851" s="9"/>
      <c r="G33851" s="9"/>
      <c r="J33851" s="11"/>
      <c r="U33851" s="9"/>
      <c r="X33851" s="9"/>
    </row>
    <row r="33852">
      <c r="D33852" s="9"/>
      <c r="G33852" s="9"/>
      <c r="J33852" s="11"/>
      <c r="U33852" s="9"/>
      <c r="X33852" s="9"/>
    </row>
    <row r="33853">
      <c r="D33853" s="9"/>
      <c r="G33853" s="9"/>
      <c r="J33853" s="11"/>
      <c r="U33853" s="9"/>
      <c r="X33853" s="9"/>
    </row>
    <row r="33854">
      <c r="D33854" s="9"/>
      <c r="G33854" s="9"/>
      <c r="J33854" s="11"/>
      <c r="U33854" s="9"/>
      <c r="X33854" s="9"/>
    </row>
    <row r="33855">
      <c r="D33855" s="9"/>
      <c r="G33855" s="9"/>
      <c r="J33855" s="11"/>
      <c r="U33855" s="9"/>
      <c r="X33855" s="9"/>
    </row>
    <row r="33856">
      <c r="D33856" s="9"/>
      <c r="G33856" s="9"/>
      <c r="J33856" s="11"/>
      <c r="U33856" s="9"/>
      <c r="X33856" s="9"/>
    </row>
    <row r="33857">
      <c r="D33857" s="9"/>
      <c r="G33857" s="9"/>
      <c r="J33857" s="11"/>
      <c r="U33857" s="9"/>
      <c r="X33857" s="9"/>
    </row>
    <row r="33858">
      <c r="D33858" s="9"/>
      <c r="G33858" s="9"/>
      <c r="J33858" s="11"/>
      <c r="U33858" s="9"/>
      <c r="X33858" s="9"/>
    </row>
    <row r="33859">
      <c r="D33859" s="9"/>
      <c r="G33859" s="9"/>
      <c r="J33859" s="11"/>
      <c r="U33859" s="9"/>
      <c r="X33859" s="9"/>
    </row>
    <row r="33860">
      <c r="D33860" s="9"/>
      <c r="G33860" s="9"/>
      <c r="J33860" s="11"/>
      <c r="U33860" s="9"/>
      <c r="X33860" s="9"/>
    </row>
    <row r="33861">
      <c r="D33861" s="9"/>
      <c r="G33861" s="9"/>
      <c r="J33861" s="11"/>
      <c r="U33861" s="9"/>
      <c r="X33861" s="9"/>
    </row>
    <row r="33862">
      <c r="D33862" s="9"/>
      <c r="G33862" s="9"/>
      <c r="J33862" s="11"/>
      <c r="U33862" s="9"/>
      <c r="X33862" s="9"/>
    </row>
    <row r="33863">
      <c r="D33863" s="9"/>
      <c r="G33863" s="9"/>
      <c r="J33863" s="11"/>
      <c r="U33863" s="9"/>
      <c r="X33863" s="9"/>
    </row>
    <row r="33864">
      <c r="D33864" s="9"/>
      <c r="G33864" s="9"/>
      <c r="J33864" s="11"/>
      <c r="U33864" s="9"/>
      <c r="X33864" s="9"/>
    </row>
    <row r="33865">
      <c r="D33865" s="9"/>
      <c r="G33865" s="9"/>
      <c r="J33865" s="11"/>
      <c r="U33865" s="9"/>
      <c r="X33865" s="9"/>
    </row>
    <row r="33866">
      <c r="D33866" s="9"/>
      <c r="G33866" s="9"/>
      <c r="J33866" s="11"/>
      <c r="U33866" s="9"/>
      <c r="X33866" s="9"/>
    </row>
    <row r="33867">
      <c r="D33867" s="9"/>
      <c r="G33867" s="9"/>
      <c r="J33867" s="11"/>
      <c r="U33867" s="9"/>
      <c r="X33867" s="9"/>
    </row>
    <row r="33868">
      <c r="D33868" s="9"/>
      <c r="G33868" s="9"/>
      <c r="J33868" s="11"/>
      <c r="U33868" s="9"/>
      <c r="X33868" s="9"/>
    </row>
    <row r="33869">
      <c r="D33869" s="9"/>
      <c r="G33869" s="9"/>
      <c r="J33869" s="11"/>
      <c r="U33869" s="9"/>
      <c r="X33869" s="9"/>
    </row>
    <row r="33870">
      <c r="D33870" s="9"/>
      <c r="G33870" s="9"/>
      <c r="J33870" s="11"/>
      <c r="U33870" s="9"/>
      <c r="X33870" s="9"/>
    </row>
    <row r="33871">
      <c r="D33871" s="9"/>
      <c r="G33871" s="9"/>
      <c r="J33871" s="11"/>
      <c r="U33871" s="9"/>
      <c r="X33871" s="9"/>
    </row>
    <row r="33872">
      <c r="D33872" s="9"/>
      <c r="G33872" s="9"/>
      <c r="J33872" s="11"/>
      <c r="U33872" s="9"/>
      <c r="X33872" s="9"/>
    </row>
    <row r="33873">
      <c r="D33873" s="9"/>
      <c r="G33873" s="9"/>
      <c r="J33873" s="11"/>
      <c r="U33873" s="9"/>
      <c r="X33873" s="9"/>
    </row>
    <row r="33874">
      <c r="D33874" s="9"/>
      <c r="G33874" s="9"/>
      <c r="J33874" s="11"/>
      <c r="U33874" s="9"/>
      <c r="X33874" s="9"/>
    </row>
    <row r="33875">
      <c r="D33875" s="9"/>
      <c r="G33875" s="9"/>
      <c r="J33875" s="11"/>
      <c r="U33875" s="9"/>
      <c r="X33875" s="9"/>
    </row>
    <row r="33876">
      <c r="D33876" s="9"/>
      <c r="G33876" s="9"/>
      <c r="J33876" s="11"/>
      <c r="U33876" s="9"/>
      <c r="X33876" s="9"/>
    </row>
    <row r="33877">
      <c r="D33877" s="9"/>
      <c r="G33877" s="9"/>
      <c r="J33877" s="11"/>
      <c r="U33877" s="9"/>
      <c r="X33877" s="9"/>
    </row>
    <row r="33878">
      <c r="D33878" s="9"/>
      <c r="G33878" s="9"/>
      <c r="J33878" s="11"/>
      <c r="U33878" s="9"/>
      <c r="X33878" s="9"/>
    </row>
    <row r="33879">
      <c r="D33879" s="9"/>
      <c r="G33879" s="9"/>
      <c r="J33879" s="11"/>
      <c r="U33879" s="9"/>
      <c r="X33879" s="9"/>
    </row>
    <row r="33880">
      <c r="D33880" s="9"/>
      <c r="G33880" s="9"/>
      <c r="J33880" s="11"/>
      <c r="U33880" s="9"/>
      <c r="X33880" s="9"/>
    </row>
    <row r="33881">
      <c r="D33881" s="9"/>
      <c r="G33881" s="9"/>
      <c r="J33881" s="11"/>
      <c r="U33881" s="9"/>
      <c r="X33881" s="9"/>
    </row>
    <row r="33882">
      <c r="D33882" s="9"/>
      <c r="G33882" s="9"/>
      <c r="J33882" s="11"/>
      <c r="U33882" s="9"/>
      <c r="X33882" s="9"/>
    </row>
    <row r="33883">
      <c r="D33883" s="9"/>
      <c r="G33883" s="9"/>
      <c r="J33883" s="11"/>
      <c r="U33883" s="9"/>
      <c r="X33883" s="9"/>
    </row>
    <row r="33884">
      <c r="D33884" s="9"/>
      <c r="G33884" s="9"/>
      <c r="J33884" s="11"/>
      <c r="U33884" s="9"/>
      <c r="X33884" s="9"/>
    </row>
    <row r="33885">
      <c r="D33885" s="9"/>
      <c r="G33885" s="9"/>
      <c r="J33885" s="11"/>
      <c r="U33885" s="9"/>
      <c r="X33885" s="9"/>
    </row>
    <row r="33886">
      <c r="D33886" s="9"/>
      <c r="G33886" s="9"/>
      <c r="J33886" s="11"/>
      <c r="U33886" s="9"/>
      <c r="X33886" s="9"/>
    </row>
    <row r="33887">
      <c r="D33887" s="9"/>
      <c r="G33887" s="9"/>
      <c r="J33887" s="11"/>
      <c r="U33887" s="9"/>
      <c r="X33887" s="9"/>
    </row>
    <row r="33888">
      <c r="D33888" s="9"/>
      <c r="G33888" s="9"/>
      <c r="J33888" s="11"/>
      <c r="U33888" s="9"/>
      <c r="X33888" s="9"/>
    </row>
    <row r="33889">
      <c r="D33889" s="9"/>
      <c r="G33889" s="9"/>
      <c r="J33889" s="11"/>
      <c r="U33889" s="9"/>
      <c r="X33889" s="9"/>
    </row>
    <row r="33890">
      <c r="D33890" s="9"/>
      <c r="G33890" s="9"/>
      <c r="J33890" s="11"/>
      <c r="U33890" s="9"/>
      <c r="X33890" s="9"/>
    </row>
    <row r="33891">
      <c r="D33891" s="9"/>
      <c r="G33891" s="9"/>
      <c r="J33891" s="11"/>
      <c r="U33891" s="9"/>
      <c r="X33891" s="9"/>
    </row>
    <row r="33892">
      <c r="D33892" s="9"/>
      <c r="G33892" s="9"/>
      <c r="J33892" s="11"/>
      <c r="U33892" s="9"/>
      <c r="X33892" s="9"/>
    </row>
    <row r="33893">
      <c r="D33893" s="9"/>
      <c r="G33893" s="9"/>
      <c r="J33893" s="11"/>
      <c r="U33893" s="9"/>
      <c r="X33893" s="9"/>
    </row>
    <row r="33894">
      <c r="D33894" s="9"/>
      <c r="G33894" s="9"/>
      <c r="J33894" s="11"/>
      <c r="U33894" s="9"/>
      <c r="X33894" s="9"/>
    </row>
    <row r="33895">
      <c r="D33895" s="9"/>
      <c r="G33895" s="9"/>
      <c r="J33895" s="11"/>
      <c r="U33895" s="9"/>
      <c r="X33895" s="9"/>
    </row>
    <row r="33896">
      <c r="D33896" s="9"/>
      <c r="G33896" s="9"/>
      <c r="J33896" s="11"/>
      <c r="U33896" s="9"/>
      <c r="X33896" s="9"/>
    </row>
    <row r="33897">
      <c r="D33897" s="9"/>
      <c r="G33897" s="9"/>
      <c r="J33897" s="11"/>
      <c r="U33897" s="9"/>
      <c r="X33897" s="9"/>
    </row>
    <row r="33898">
      <c r="D33898" s="9"/>
      <c r="G33898" s="9"/>
      <c r="J33898" s="11"/>
      <c r="U33898" s="9"/>
      <c r="X33898" s="9"/>
    </row>
    <row r="33899">
      <c r="D33899" s="9"/>
      <c r="G33899" s="9"/>
      <c r="J33899" s="11"/>
      <c r="U33899" s="9"/>
      <c r="X33899" s="9"/>
    </row>
    <row r="33900">
      <c r="D33900" s="9"/>
      <c r="G33900" s="9"/>
      <c r="J33900" s="11"/>
      <c r="U33900" s="9"/>
      <c r="X33900" s="9"/>
    </row>
    <row r="33901">
      <c r="D33901" s="9"/>
      <c r="G33901" s="9"/>
      <c r="J33901" s="11"/>
      <c r="U33901" s="9"/>
      <c r="X33901" s="9"/>
    </row>
    <row r="33902">
      <c r="D33902" s="9"/>
      <c r="G33902" s="9"/>
      <c r="J33902" s="11"/>
      <c r="U33902" s="9"/>
      <c r="X33902" s="9"/>
    </row>
    <row r="33903">
      <c r="D33903" s="9"/>
      <c r="G33903" s="9"/>
      <c r="J33903" s="11"/>
      <c r="U33903" s="9"/>
      <c r="X33903" s="9"/>
    </row>
    <row r="33904">
      <c r="D33904" s="9"/>
      <c r="G33904" s="9"/>
      <c r="J33904" s="11"/>
      <c r="U33904" s="9"/>
      <c r="X33904" s="9"/>
    </row>
    <row r="33905">
      <c r="D33905" s="9"/>
      <c r="G33905" s="9"/>
      <c r="J33905" s="11"/>
      <c r="U33905" s="9"/>
      <c r="X33905" s="9"/>
    </row>
    <row r="33906">
      <c r="D33906" s="9"/>
      <c r="G33906" s="9"/>
      <c r="J33906" s="11"/>
      <c r="U33906" s="9"/>
      <c r="X33906" s="9"/>
    </row>
    <row r="33907">
      <c r="D33907" s="9"/>
      <c r="G33907" s="9"/>
      <c r="J33907" s="11"/>
      <c r="U33907" s="9"/>
      <c r="X33907" s="9"/>
    </row>
    <row r="33908">
      <c r="D33908" s="9"/>
      <c r="G33908" s="9"/>
      <c r="J33908" s="11"/>
      <c r="U33908" s="9"/>
      <c r="X33908" s="9"/>
    </row>
    <row r="33909">
      <c r="D33909" s="9"/>
      <c r="G33909" s="9"/>
      <c r="J33909" s="11"/>
      <c r="U33909" s="9"/>
      <c r="X33909" s="9"/>
    </row>
    <row r="33910">
      <c r="D33910" s="9"/>
      <c r="G33910" s="9"/>
      <c r="J33910" s="11"/>
      <c r="U33910" s="9"/>
      <c r="X33910" s="9"/>
    </row>
    <row r="33911">
      <c r="D33911" s="9"/>
      <c r="G33911" s="9"/>
      <c r="J33911" s="11"/>
      <c r="U33911" s="9"/>
      <c r="X33911" s="9"/>
    </row>
    <row r="33912">
      <c r="D33912" s="9"/>
      <c r="G33912" s="9"/>
      <c r="J33912" s="11"/>
      <c r="U33912" s="9"/>
      <c r="X33912" s="9"/>
    </row>
    <row r="33913">
      <c r="D33913" s="9"/>
      <c r="G33913" s="9"/>
      <c r="J33913" s="11"/>
      <c r="U33913" s="9"/>
      <c r="X33913" s="9"/>
    </row>
    <row r="33914">
      <c r="D33914" s="9"/>
      <c r="G33914" s="9"/>
      <c r="J33914" s="11"/>
      <c r="U33914" s="9"/>
      <c r="X33914" s="9"/>
    </row>
    <row r="33915">
      <c r="D33915" s="9"/>
      <c r="G33915" s="9"/>
      <c r="J33915" s="11"/>
      <c r="U33915" s="9"/>
      <c r="X33915" s="9"/>
    </row>
    <row r="33916">
      <c r="D33916" s="9"/>
      <c r="G33916" s="9"/>
      <c r="J33916" s="11"/>
      <c r="U33916" s="9"/>
      <c r="X33916" s="9"/>
    </row>
    <row r="33917">
      <c r="D33917" s="9"/>
      <c r="G33917" s="9"/>
      <c r="J33917" s="11"/>
      <c r="U33917" s="9"/>
      <c r="X33917" s="9"/>
    </row>
    <row r="33918">
      <c r="D33918" s="9"/>
      <c r="G33918" s="9"/>
      <c r="J33918" s="11"/>
      <c r="U33918" s="9"/>
      <c r="X33918" s="9"/>
    </row>
    <row r="33919">
      <c r="D33919" s="9"/>
      <c r="G33919" s="9"/>
      <c r="J33919" s="11"/>
      <c r="U33919" s="9"/>
      <c r="X33919" s="9"/>
    </row>
    <row r="33920">
      <c r="D33920" s="9"/>
      <c r="G33920" s="9"/>
      <c r="J33920" s="11"/>
      <c r="U33920" s="9"/>
      <c r="X33920" s="9"/>
    </row>
    <row r="33921">
      <c r="D33921" s="9"/>
      <c r="G33921" s="9"/>
      <c r="J33921" s="11"/>
      <c r="U33921" s="9"/>
      <c r="X33921" s="9"/>
    </row>
    <row r="33922">
      <c r="D33922" s="9"/>
      <c r="G33922" s="9"/>
      <c r="J33922" s="11"/>
      <c r="U33922" s="9"/>
      <c r="X33922" s="9"/>
    </row>
    <row r="33923">
      <c r="D33923" s="9"/>
      <c r="G33923" s="9"/>
      <c r="J33923" s="11"/>
      <c r="U33923" s="9"/>
      <c r="X33923" s="9"/>
    </row>
    <row r="33924">
      <c r="D33924" s="9"/>
      <c r="G33924" s="9"/>
      <c r="J33924" s="11"/>
      <c r="U33924" s="9"/>
      <c r="X33924" s="9"/>
    </row>
    <row r="33925">
      <c r="D33925" s="9"/>
      <c r="G33925" s="9"/>
      <c r="J33925" s="11"/>
      <c r="U33925" s="9"/>
      <c r="X33925" s="9"/>
    </row>
    <row r="33926">
      <c r="D33926" s="9"/>
      <c r="G33926" s="9"/>
      <c r="J33926" s="11"/>
      <c r="U33926" s="9"/>
      <c r="X33926" s="9"/>
    </row>
    <row r="33927">
      <c r="D33927" s="9"/>
      <c r="G33927" s="9"/>
      <c r="J33927" s="11"/>
      <c r="U33927" s="9"/>
      <c r="X33927" s="9"/>
    </row>
    <row r="33928">
      <c r="D33928" s="9"/>
      <c r="G33928" s="9"/>
      <c r="J33928" s="11"/>
      <c r="U33928" s="9"/>
      <c r="X33928" s="9"/>
    </row>
    <row r="33929">
      <c r="D33929" s="9"/>
      <c r="G33929" s="9"/>
      <c r="J33929" s="11"/>
      <c r="U33929" s="9"/>
      <c r="X33929" s="9"/>
    </row>
    <row r="33930">
      <c r="D33930" s="9"/>
      <c r="G33930" s="9"/>
      <c r="J33930" s="11"/>
      <c r="U33930" s="9"/>
      <c r="X33930" s="9"/>
    </row>
    <row r="33931">
      <c r="D33931" s="9"/>
      <c r="G33931" s="9"/>
      <c r="J33931" s="11"/>
      <c r="U33931" s="9"/>
      <c r="X33931" s="9"/>
    </row>
    <row r="33932">
      <c r="D33932" s="9"/>
      <c r="G33932" s="9"/>
      <c r="J33932" s="11"/>
      <c r="U33932" s="9"/>
      <c r="X33932" s="9"/>
    </row>
    <row r="33933">
      <c r="D33933" s="9"/>
      <c r="G33933" s="9"/>
      <c r="J33933" s="11"/>
      <c r="U33933" s="9"/>
      <c r="X33933" s="9"/>
    </row>
    <row r="33934">
      <c r="D33934" s="9"/>
      <c r="G33934" s="9"/>
      <c r="J33934" s="11"/>
      <c r="U33934" s="9"/>
      <c r="X33934" s="9"/>
    </row>
    <row r="33935">
      <c r="D33935" s="9"/>
      <c r="G33935" s="9"/>
      <c r="J33935" s="11"/>
      <c r="U33935" s="9"/>
      <c r="X33935" s="9"/>
    </row>
    <row r="33936">
      <c r="D33936" s="9"/>
      <c r="G33936" s="9"/>
      <c r="J33936" s="11"/>
      <c r="U33936" s="9"/>
      <c r="X33936" s="9"/>
    </row>
    <row r="33937">
      <c r="D33937" s="9"/>
      <c r="G33937" s="9"/>
      <c r="J33937" s="11"/>
      <c r="U33937" s="9"/>
      <c r="X33937" s="9"/>
    </row>
    <row r="33938">
      <c r="D33938" s="9"/>
      <c r="G33938" s="9"/>
      <c r="J33938" s="11"/>
      <c r="U33938" s="9"/>
      <c r="X33938" s="9"/>
    </row>
    <row r="33939">
      <c r="D33939" s="9"/>
      <c r="G33939" s="9"/>
      <c r="J33939" s="11"/>
      <c r="U33939" s="9"/>
      <c r="X33939" s="9"/>
    </row>
    <row r="33940">
      <c r="D33940" s="9"/>
      <c r="G33940" s="9"/>
      <c r="J33940" s="11"/>
      <c r="U33940" s="9"/>
      <c r="X33940" s="9"/>
    </row>
    <row r="33941">
      <c r="D33941" s="9"/>
      <c r="G33941" s="9"/>
      <c r="J33941" s="11"/>
      <c r="U33941" s="9"/>
      <c r="X33941" s="9"/>
    </row>
    <row r="33942">
      <c r="D33942" s="9"/>
      <c r="G33942" s="9"/>
      <c r="J33942" s="11"/>
      <c r="U33942" s="9"/>
      <c r="X33942" s="9"/>
    </row>
    <row r="33943">
      <c r="D33943" s="9"/>
      <c r="G33943" s="9"/>
      <c r="J33943" s="11"/>
      <c r="U33943" s="9"/>
      <c r="X33943" s="9"/>
    </row>
    <row r="33944">
      <c r="D33944" s="9"/>
      <c r="G33944" s="9"/>
      <c r="J33944" s="11"/>
      <c r="U33944" s="9"/>
      <c r="X33944" s="9"/>
    </row>
    <row r="33945">
      <c r="D33945" s="9"/>
      <c r="G33945" s="9"/>
      <c r="J33945" s="11"/>
      <c r="U33945" s="9"/>
      <c r="X33945" s="9"/>
    </row>
    <row r="33946">
      <c r="D33946" s="9"/>
      <c r="G33946" s="9"/>
      <c r="J33946" s="11"/>
      <c r="U33946" s="9"/>
      <c r="X33946" s="9"/>
    </row>
    <row r="33947">
      <c r="D33947" s="9"/>
      <c r="G33947" s="9"/>
      <c r="J33947" s="11"/>
      <c r="U33947" s="9"/>
      <c r="X33947" s="9"/>
    </row>
    <row r="33948">
      <c r="D33948" s="9"/>
      <c r="G33948" s="9"/>
      <c r="J33948" s="11"/>
      <c r="U33948" s="9"/>
      <c r="X33948" s="9"/>
    </row>
    <row r="33949">
      <c r="D33949" s="9"/>
      <c r="G33949" s="9"/>
      <c r="J33949" s="11"/>
      <c r="U33949" s="9"/>
      <c r="X33949" s="9"/>
    </row>
    <row r="33950">
      <c r="D33950" s="9"/>
      <c r="G33950" s="9"/>
      <c r="J33950" s="11"/>
      <c r="U33950" s="9"/>
      <c r="X33950" s="9"/>
    </row>
    <row r="33951">
      <c r="D33951" s="9"/>
      <c r="G33951" s="9"/>
      <c r="J33951" s="11"/>
      <c r="U33951" s="9"/>
      <c r="X33951" s="9"/>
    </row>
    <row r="33952">
      <c r="D33952" s="9"/>
      <c r="G33952" s="9"/>
      <c r="J33952" s="11"/>
      <c r="U33952" s="9"/>
      <c r="X33952" s="9"/>
    </row>
    <row r="33953">
      <c r="D33953" s="9"/>
      <c r="G33953" s="9"/>
      <c r="J33953" s="11"/>
      <c r="U33953" s="9"/>
      <c r="X33953" s="9"/>
    </row>
    <row r="33954">
      <c r="D33954" s="9"/>
      <c r="G33954" s="9"/>
      <c r="J33954" s="11"/>
      <c r="U33954" s="9"/>
      <c r="X33954" s="9"/>
    </row>
    <row r="33955">
      <c r="D33955" s="9"/>
      <c r="G33955" s="9"/>
      <c r="J33955" s="11"/>
      <c r="U33955" s="9"/>
      <c r="X33955" s="9"/>
    </row>
    <row r="33956">
      <c r="D33956" s="9"/>
      <c r="G33956" s="9"/>
      <c r="J33956" s="11"/>
      <c r="U33956" s="9"/>
      <c r="X33956" s="9"/>
    </row>
    <row r="33957">
      <c r="D33957" s="9"/>
      <c r="G33957" s="9"/>
      <c r="J33957" s="11"/>
      <c r="U33957" s="9"/>
      <c r="X33957" s="9"/>
    </row>
    <row r="33958">
      <c r="D33958" s="9"/>
      <c r="G33958" s="9"/>
      <c r="J33958" s="11"/>
      <c r="U33958" s="9"/>
      <c r="X33958" s="9"/>
    </row>
    <row r="33959">
      <c r="D33959" s="9"/>
      <c r="G33959" s="9"/>
      <c r="J33959" s="11"/>
      <c r="U33959" s="9"/>
      <c r="X33959" s="9"/>
    </row>
    <row r="33960">
      <c r="D33960" s="9"/>
      <c r="G33960" s="9"/>
      <c r="J33960" s="11"/>
      <c r="U33960" s="9"/>
      <c r="X33960" s="9"/>
    </row>
    <row r="33961">
      <c r="D33961" s="9"/>
      <c r="G33961" s="9"/>
      <c r="J33961" s="11"/>
      <c r="U33961" s="9"/>
      <c r="X33961" s="9"/>
    </row>
    <row r="33962">
      <c r="D33962" s="9"/>
      <c r="G33962" s="9"/>
      <c r="J33962" s="11"/>
      <c r="U33962" s="9"/>
      <c r="X33962" s="9"/>
    </row>
    <row r="33963">
      <c r="D33963" s="9"/>
      <c r="G33963" s="9"/>
      <c r="J33963" s="11"/>
      <c r="U33963" s="9"/>
      <c r="X33963" s="9"/>
    </row>
    <row r="33964">
      <c r="D33964" s="9"/>
      <c r="G33964" s="9"/>
      <c r="J33964" s="11"/>
      <c r="U33964" s="9"/>
      <c r="X33964" s="9"/>
    </row>
    <row r="33965">
      <c r="D33965" s="9"/>
      <c r="G33965" s="9"/>
      <c r="J33965" s="11"/>
      <c r="U33965" s="9"/>
      <c r="X33965" s="9"/>
    </row>
    <row r="33966">
      <c r="D33966" s="9"/>
      <c r="G33966" s="9"/>
      <c r="J33966" s="11"/>
      <c r="U33966" s="9"/>
      <c r="X33966" s="9"/>
    </row>
    <row r="33967">
      <c r="D33967" s="9"/>
      <c r="G33967" s="9"/>
      <c r="J33967" s="11"/>
      <c r="U33967" s="9"/>
      <c r="X33967" s="9"/>
    </row>
    <row r="33968">
      <c r="D33968" s="9"/>
      <c r="G33968" s="9"/>
      <c r="J33968" s="11"/>
      <c r="U33968" s="9"/>
      <c r="X33968" s="9"/>
    </row>
    <row r="33969">
      <c r="D33969" s="9"/>
      <c r="G33969" s="9"/>
      <c r="J33969" s="11"/>
      <c r="U33969" s="9"/>
      <c r="X33969" s="9"/>
    </row>
    <row r="33970">
      <c r="D33970" s="9"/>
      <c r="G33970" s="9"/>
      <c r="J33970" s="11"/>
      <c r="U33970" s="9"/>
      <c r="X33970" s="9"/>
    </row>
    <row r="33971">
      <c r="D33971" s="9"/>
      <c r="G33971" s="9"/>
      <c r="J33971" s="11"/>
      <c r="U33971" s="9"/>
      <c r="X33971" s="9"/>
    </row>
    <row r="33972">
      <c r="D33972" s="9"/>
      <c r="G33972" s="9"/>
      <c r="J33972" s="11"/>
      <c r="U33972" s="9"/>
      <c r="X33972" s="9"/>
    </row>
    <row r="33973">
      <c r="D33973" s="9"/>
      <c r="G33973" s="9"/>
      <c r="J33973" s="11"/>
      <c r="U33973" s="9"/>
      <c r="X33973" s="9"/>
    </row>
    <row r="33974">
      <c r="D33974" s="9"/>
      <c r="G33974" s="9"/>
      <c r="J33974" s="11"/>
      <c r="U33974" s="9"/>
      <c r="X33974" s="9"/>
    </row>
    <row r="33975">
      <c r="D33975" s="9"/>
      <c r="G33975" s="9"/>
      <c r="J33975" s="11"/>
      <c r="U33975" s="9"/>
      <c r="X33975" s="9"/>
    </row>
    <row r="33976">
      <c r="D33976" s="9"/>
      <c r="G33976" s="9"/>
      <c r="J33976" s="11"/>
      <c r="U33976" s="9"/>
      <c r="X33976" s="9"/>
    </row>
    <row r="33977">
      <c r="D33977" s="9"/>
      <c r="G33977" s="9"/>
      <c r="J33977" s="11"/>
      <c r="U33977" s="9"/>
      <c r="X33977" s="9"/>
    </row>
    <row r="33978">
      <c r="D33978" s="9"/>
      <c r="G33978" s="9"/>
      <c r="J33978" s="11"/>
      <c r="U33978" s="9"/>
      <c r="X33978" s="9"/>
    </row>
    <row r="33979">
      <c r="D33979" s="9"/>
      <c r="G33979" s="9"/>
      <c r="J33979" s="11"/>
      <c r="U33979" s="9"/>
      <c r="X33979" s="9"/>
    </row>
    <row r="33980">
      <c r="D33980" s="9"/>
      <c r="G33980" s="9"/>
      <c r="J33980" s="11"/>
      <c r="U33980" s="9"/>
      <c r="X33980" s="9"/>
    </row>
    <row r="33981">
      <c r="D33981" s="9"/>
      <c r="G33981" s="9"/>
      <c r="J33981" s="11"/>
      <c r="U33981" s="9"/>
      <c r="X33981" s="9"/>
    </row>
    <row r="33982">
      <c r="D33982" s="9"/>
      <c r="G33982" s="9"/>
      <c r="J33982" s="11"/>
      <c r="U33982" s="9"/>
      <c r="X33982" s="9"/>
    </row>
    <row r="33983">
      <c r="D33983" s="9"/>
      <c r="G33983" s="9"/>
      <c r="J33983" s="11"/>
      <c r="U33983" s="9"/>
      <c r="X33983" s="9"/>
    </row>
    <row r="33984">
      <c r="D33984" s="9"/>
      <c r="G33984" s="9"/>
      <c r="J33984" s="11"/>
      <c r="U33984" s="9"/>
      <c r="X33984" s="9"/>
    </row>
    <row r="33985">
      <c r="D33985" s="9"/>
      <c r="G33985" s="9"/>
      <c r="J33985" s="11"/>
      <c r="U33985" s="9"/>
      <c r="X33985" s="9"/>
    </row>
    <row r="33986">
      <c r="D33986" s="9"/>
      <c r="G33986" s="9"/>
      <c r="J33986" s="11"/>
      <c r="U33986" s="9"/>
      <c r="X33986" s="9"/>
    </row>
    <row r="33987">
      <c r="D33987" s="9"/>
      <c r="G33987" s="9"/>
      <c r="J33987" s="11"/>
      <c r="U33987" s="9"/>
      <c r="X33987" s="9"/>
    </row>
    <row r="33988">
      <c r="D33988" s="9"/>
      <c r="G33988" s="9"/>
      <c r="J33988" s="11"/>
      <c r="U33988" s="9"/>
      <c r="X33988" s="9"/>
    </row>
    <row r="33989">
      <c r="D33989" s="9"/>
      <c r="G33989" s="9"/>
      <c r="J33989" s="11"/>
      <c r="U33989" s="9"/>
      <c r="X33989" s="9"/>
    </row>
    <row r="33990">
      <c r="D33990" s="9"/>
      <c r="G33990" s="9"/>
      <c r="J33990" s="11"/>
      <c r="U33990" s="9"/>
      <c r="X33990" s="9"/>
    </row>
    <row r="33991">
      <c r="D33991" s="9"/>
      <c r="G33991" s="9"/>
      <c r="J33991" s="11"/>
      <c r="U33991" s="9"/>
      <c r="X33991" s="9"/>
    </row>
    <row r="33992">
      <c r="D33992" s="9"/>
      <c r="G33992" s="9"/>
      <c r="J33992" s="11"/>
      <c r="U33992" s="9"/>
      <c r="X33992" s="9"/>
    </row>
    <row r="33993">
      <c r="D33993" s="9"/>
      <c r="G33993" s="9"/>
      <c r="J33993" s="11"/>
      <c r="U33993" s="9"/>
      <c r="X33993" s="9"/>
    </row>
    <row r="33994">
      <c r="D33994" s="9"/>
      <c r="G33994" s="9"/>
      <c r="J33994" s="11"/>
      <c r="U33994" s="9"/>
      <c r="X33994" s="9"/>
    </row>
    <row r="33995">
      <c r="D33995" s="9"/>
      <c r="G33995" s="9"/>
      <c r="J33995" s="11"/>
      <c r="U33995" s="9"/>
      <c r="X33995" s="9"/>
    </row>
    <row r="33996">
      <c r="D33996" s="9"/>
      <c r="G33996" s="9"/>
      <c r="J33996" s="11"/>
      <c r="U33996" s="9"/>
      <c r="X33996" s="9"/>
    </row>
    <row r="33997">
      <c r="D33997" s="9"/>
      <c r="G33997" s="9"/>
      <c r="J33997" s="11"/>
      <c r="U33997" s="9"/>
      <c r="X33997" s="9"/>
    </row>
    <row r="33998">
      <c r="D33998" s="9"/>
      <c r="G33998" s="9"/>
      <c r="J33998" s="11"/>
      <c r="U33998" s="9"/>
      <c r="X33998" s="9"/>
    </row>
    <row r="33999">
      <c r="D33999" s="9"/>
      <c r="G33999" s="9"/>
      <c r="J33999" s="11"/>
      <c r="U33999" s="9"/>
      <c r="X33999" s="9"/>
    </row>
    <row r="34000">
      <c r="D34000" s="9"/>
      <c r="G34000" s="9"/>
      <c r="J34000" s="11"/>
      <c r="U34000" s="9"/>
      <c r="X34000" s="9"/>
    </row>
    <row r="34001">
      <c r="D34001" s="9"/>
      <c r="G34001" s="9"/>
      <c r="J34001" s="11"/>
      <c r="U34001" s="9"/>
      <c r="X34001" s="9"/>
    </row>
    <row r="34002">
      <c r="D34002" s="9"/>
      <c r="G34002" s="9"/>
      <c r="J34002" s="11"/>
      <c r="U34002" s="9"/>
      <c r="X34002" s="9"/>
    </row>
    <row r="34003">
      <c r="D34003" s="9"/>
      <c r="G34003" s="9"/>
      <c r="J34003" s="11"/>
      <c r="U34003" s="9"/>
      <c r="X34003" s="9"/>
    </row>
    <row r="34004">
      <c r="D34004" s="9"/>
      <c r="G34004" s="9"/>
      <c r="J34004" s="11"/>
      <c r="U34004" s="9"/>
      <c r="X34004" s="9"/>
    </row>
    <row r="34005">
      <c r="D34005" s="9"/>
      <c r="G34005" s="9"/>
      <c r="J34005" s="11"/>
      <c r="U34005" s="9"/>
      <c r="X34005" s="9"/>
    </row>
    <row r="34006">
      <c r="D34006" s="9"/>
      <c r="G34006" s="9"/>
      <c r="J34006" s="11"/>
      <c r="U34006" s="9"/>
      <c r="X34006" s="9"/>
    </row>
    <row r="34007">
      <c r="D34007" s="9"/>
      <c r="G34007" s="9"/>
      <c r="J34007" s="11"/>
      <c r="U34007" s="9"/>
      <c r="X34007" s="9"/>
    </row>
    <row r="34008">
      <c r="D34008" s="9"/>
      <c r="G34008" s="9"/>
      <c r="J34008" s="11"/>
      <c r="U34008" s="9"/>
      <c r="X34008" s="9"/>
    </row>
    <row r="34009">
      <c r="D34009" s="9"/>
      <c r="G34009" s="9"/>
      <c r="J34009" s="11"/>
      <c r="U34009" s="9"/>
      <c r="X34009" s="9"/>
    </row>
    <row r="34010">
      <c r="D34010" s="9"/>
      <c r="G34010" s="9"/>
      <c r="J34010" s="11"/>
      <c r="U34010" s="9"/>
      <c r="X34010" s="9"/>
    </row>
    <row r="34011">
      <c r="D34011" s="9"/>
      <c r="G34011" s="9"/>
      <c r="J34011" s="11"/>
      <c r="U34011" s="9"/>
      <c r="X34011" s="9"/>
    </row>
    <row r="34012">
      <c r="D34012" s="9"/>
      <c r="G34012" s="9"/>
      <c r="J34012" s="11"/>
      <c r="U34012" s="9"/>
      <c r="X34012" s="9"/>
    </row>
    <row r="34013">
      <c r="D34013" s="9"/>
      <c r="G34013" s="9"/>
      <c r="J34013" s="11"/>
      <c r="U34013" s="9"/>
      <c r="X34013" s="9"/>
    </row>
    <row r="34014">
      <c r="D34014" s="9"/>
      <c r="G34014" s="9"/>
      <c r="J34014" s="11"/>
      <c r="U34014" s="9"/>
      <c r="X34014" s="9"/>
    </row>
    <row r="34015">
      <c r="D34015" s="9"/>
      <c r="G34015" s="9"/>
      <c r="J34015" s="11"/>
      <c r="U34015" s="9"/>
      <c r="X34015" s="9"/>
    </row>
    <row r="34016">
      <c r="D34016" s="9"/>
      <c r="G34016" s="9"/>
      <c r="J34016" s="11"/>
      <c r="U34016" s="9"/>
      <c r="X34016" s="9"/>
    </row>
    <row r="34017">
      <c r="D34017" s="9"/>
      <c r="G34017" s="9"/>
      <c r="J34017" s="11"/>
      <c r="U34017" s="9"/>
      <c r="X34017" s="9"/>
    </row>
    <row r="34018">
      <c r="D34018" s="9"/>
      <c r="G34018" s="9"/>
      <c r="J34018" s="11"/>
      <c r="U34018" s="9"/>
      <c r="X34018" s="9"/>
    </row>
    <row r="34019">
      <c r="D34019" s="9"/>
      <c r="G34019" s="9"/>
      <c r="J34019" s="11"/>
      <c r="U34019" s="9"/>
      <c r="X34019" s="9"/>
    </row>
    <row r="34020">
      <c r="D34020" s="9"/>
      <c r="G34020" s="9"/>
      <c r="J34020" s="11"/>
      <c r="U34020" s="9"/>
      <c r="X34020" s="9"/>
    </row>
    <row r="34021">
      <c r="D34021" s="9"/>
      <c r="G34021" s="9"/>
      <c r="J34021" s="11"/>
      <c r="U34021" s="9"/>
      <c r="X34021" s="9"/>
    </row>
    <row r="34022">
      <c r="D34022" s="9"/>
      <c r="G34022" s="9"/>
      <c r="J34022" s="11"/>
      <c r="U34022" s="9"/>
      <c r="X34022" s="9"/>
    </row>
    <row r="34023">
      <c r="D34023" s="9"/>
      <c r="G34023" s="9"/>
      <c r="J34023" s="11"/>
      <c r="U34023" s="9"/>
      <c r="X34023" s="9"/>
    </row>
    <row r="34024">
      <c r="D34024" s="9"/>
      <c r="G34024" s="9"/>
      <c r="J34024" s="11"/>
      <c r="U34024" s="9"/>
      <c r="X34024" s="9"/>
    </row>
    <row r="34025">
      <c r="D34025" s="9"/>
      <c r="G34025" s="9"/>
      <c r="J34025" s="11"/>
      <c r="U34025" s="9"/>
      <c r="X34025" s="9"/>
    </row>
    <row r="34026">
      <c r="D34026" s="9"/>
      <c r="G34026" s="9"/>
      <c r="J34026" s="11"/>
      <c r="U34026" s="9"/>
      <c r="X34026" s="9"/>
    </row>
    <row r="34027">
      <c r="D34027" s="9"/>
      <c r="G34027" s="9"/>
      <c r="J34027" s="11"/>
      <c r="U34027" s="9"/>
      <c r="X34027" s="9"/>
    </row>
    <row r="34028">
      <c r="D34028" s="9"/>
      <c r="G34028" s="9"/>
      <c r="J34028" s="11"/>
      <c r="U34028" s="9"/>
      <c r="X34028" s="9"/>
    </row>
    <row r="34029">
      <c r="D34029" s="9"/>
      <c r="G34029" s="9"/>
      <c r="J34029" s="11"/>
      <c r="U34029" s="9"/>
      <c r="X34029" s="9"/>
    </row>
    <row r="34030">
      <c r="D34030" s="9"/>
      <c r="G34030" s="9"/>
      <c r="J34030" s="11"/>
      <c r="U34030" s="9"/>
      <c r="X34030" s="9"/>
    </row>
    <row r="34031">
      <c r="D34031" s="9"/>
      <c r="G34031" s="9"/>
      <c r="J34031" s="11"/>
      <c r="U34031" s="9"/>
      <c r="X34031" s="9"/>
    </row>
    <row r="34032">
      <c r="D34032" s="9"/>
      <c r="G34032" s="9"/>
      <c r="J34032" s="11"/>
      <c r="U34032" s="9"/>
      <c r="X34032" s="9"/>
    </row>
    <row r="34033">
      <c r="D34033" s="9"/>
      <c r="G34033" s="9"/>
      <c r="J34033" s="11"/>
      <c r="U34033" s="9"/>
      <c r="X34033" s="9"/>
    </row>
    <row r="34034">
      <c r="D34034" s="9"/>
      <c r="G34034" s="9"/>
      <c r="J34034" s="11"/>
      <c r="U34034" s="9"/>
      <c r="X34034" s="9"/>
    </row>
    <row r="34035">
      <c r="D34035" s="9"/>
      <c r="G34035" s="9"/>
      <c r="J34035" s="11"/>
      <c r="U34035" s="9"/>
      <c r="X34035" s="9"/>
    </row>
    <row r="34036">
      <c r="D34036" s="9"/>
      <c r="G34036" s="9"/>
      <c r="J34036" s="11"/>
      <c r="U34036" s="9"/>
      <c r="X34036" s="9"/>
    </row>
    <row r="34037">
      <c r="D34037" s="9"/>
      <c r="G34037" s="9"/>
      <c r="J34037" s="11"/>
      <c r="U34037" s="9"/>
      <c r="X34037" s="9"/>
    </row>
    <row r="34038">
      <c r="D34038" s="9"/>
      <c r="G34038" s="9"/>
      <c r="J34038" s="11"/>
      <c r="U34038" s="9"/>
      <c r="X34038" s="9"/>
    </row>
    <row r="34039">
      <c r="D34039" s="9"/>
      <c r="G34039" s="9"/>
      <c r="J34039" s="11"/>
      <c r="U34039" s="9"/>
      <c r="X34039" s="9"/>
    </row>
    <row r="34040">
      <c r="D34040" s="9"/>
      <c r="G34040" s="9"/>
      <c r="J34040" s="11"/>
      <c r="U34040" s="9"/>
      <c r="X34040" s="9"/>
    </row>
    <row r="34041">
      <c r="D34041" s="9"/>
      <c r="G34041" s="9"/>
      <c r="J34041" s="11"/>
      <c r="U34041" s="9"/>
      <c r="X34041" s="9"/>
    </row>
    <row r="34042">
      <c r="D34042" s="9"/>
      <c r="G34042" s="9"/>
      <c r="J34042" s="11"/>
      <c r="U34042" s="9"/>
      <c r="X34042" s="9"/>
    </row>
    <row r="34043">
      <c r="D34043" s="9"/>
      <c r="G34043" s="9"/>
      <c r="J34043" s="11"/>
      <c r="U34043" s="9"/>
      <c r="X34043" s="9"/>
    </row>
    <row r="34044">
      <c r="D34044" s="9"/>
      <c r="G34044" s="9"/>
      <c r="J34044" s="11"/>
      <c r="U34044" s="9"/>
      <c r="X34044" s="9"/>
    </row>
    <row r="34045">
      <c r="D34045" s="9"/>
      <c r="G34045" s="9"/>
      <c r="J34045" s="11"/>
      <c r="U34045" s="9"/>
      <c r="X34045" s="9"/>
    </row>
    <row r="34046">
      <c r="D34046" s="9"/>
      <c r="G34046" s="9"/>
      <c r="J34046" s="11"/>
      <c r="U34046" s="9"/>
      <c r="X34046" s="9"/>
    </row>
    <row r="34047">
      <c r="D34047" s="9"/>
      <c r="G34047" s="9"/>
      <c r="J34047" s="11"/>
      <c r="U34047" s="9"/>
      <c r="X34047" s="9"/>
    </row>
    <row r="34048">
      <c r="D34048" s="9"/>
      <c r="G34048" s="9"/>
      <c r="J34048" s="11"/>
      <c r="U34048" s="9"/>
      <c r="X34048" s="9"/>
    </row>
    <row r="34049">
      <c r="D34049" s="9"/>
      <c r="G34049" s="9"/>
      <c r="J34049" s="11"/>
      <c r="U34049" s="9"/>
      <c r="X34049" s="9"/>
    </row>
    <row r="34050">
      <c r="D34050" s="9"/>
      <c r="G34050" s="9"/>
      <c r="J34050" s="11"/>
      <c r="U34050" s="9"/>
      <c r="X34050" s="9"/>
    </row>
    <row r="34051">
      <c r="D34051" s="9"/>
      <c r="G34051" s="9"/>
      <c r="J34051" s="11"/>
      <c r="U34051" s="9"/>
      <c r="X34051" s="9"/>
    </row>
    <row r="34052">
      <c r="D34052" s="9"/>
      <c r="G34052" s="9"/>
      <c r="J34052" s="11"/>
      <c r="U34052" s="9"/>
      <c r="X34052" s="9"/>
    </row>
    <row r="34053">
      <c r="D34053" s="9"/>
      <c r="G34053" s="9"/>
      <c r="J34053" s="11"/>
      <c r="U34053" s="9"/>
      <c r="X34053" s="9"/>
    </row>
    <row r="34054">
      <c r="D34054" s="9"/>
      <c r="G34054" s="9"/>
      <c r="J34054" s="11"/>
      <c r="U34054" s="9"/>
      <c r="X34054" s="9"/>
    </row>
    <row r="34055">
      <c r="D34055" s="9"/>
      <c r="G34055" s="9"/>
      <c r="J34055" s="11"/>
      <c r="U34055" s="9"/>
      <c r="X34055" s="9"/>
    </row>
    <row r="34056">
      <c r="D34056" s="9"/>
      <c r="G34056" s="9"/>
      <c r="J34056" s="11"/>
      <c r="U34056" s="9"/>
      <c r="X34056" s="9"/>
    </row>
    <row r="34057">
      <c r="D34057" s="9"/>
      <c r="G34057" s="9"/>
      <c r="J34057" s="11"/>
      <c r="U34057" s="9"/>
      <c r="X34057" s="9"/>
    </row>
    <row r="34058">
      <c r="D34058" s="9"/>
      <c r="G34058" s="9"/>
      <c r="J34058" s="11"/>
      <c r="U34058" s="9"/>
      <c r="X34058" s="9"/>
    </row>
    <row r="34059">
      <c r="D34059" s="9"/>
      <c r="G34059" s="9"/>
      <c r="J34059" s="11"/>
      <c r="U34059" s="9"/>
      <c r="X34059" s="9"/>
    </row>
    <row r="34060">
      <c r="D34060" s="9"/>
      <c r="G34060" s="9"/>
      <c r="J34060" s="11"/>
      <c r="U34060" s="9"/>
      <c r="X34060" s="9"/>
    </row>
    <row r="34061">
      <c r="D34061" s="9"/>
      <c r="G34061" s="9"/>
      <c r="J34061" s="11"/>
      <c r="U34061" s="9"/>
      <c r="X34061" s="9"/>
    </row>
    <row r="34062">
      <c r="D34062" s="9"/>
      <c r="G34062" s="9"/>
      <c r="J34062" s="11"/>
      <c r="U34062" s="9"/>
      <c r="X34062" s="9"/>
    </row>
    <row r="34063">
      <c r="D34063" s="9"/>
      <c r="G34063" s="9"/>
      <c r="J34063" s="11"/>
      <c r="U34063" s="9"/>
      <c r="X34063" s="9"/>
    </row>
    <row r="34064">
      <c r="D34064" s="9"/>
      <c r="G34064" s="9"/>
      <c r="J34064" s="11"/>
      <c r="U34064" s="9"/>
      <c r="X34064" s="9"/>
    </row>
    <row r="34065">
      <c r="D34065" s="9"/>
      <c r="G34065" s="9"/>
      <c r="J34065" s="11"/>
      <c r="U34065" s="9"/>
      <c r="X34065" s="9"/>
    </row>
    <row r="34066">
      <c r="D34066" s="9"/>
      <c r="G34066" s="9"/>
      <c r="J34066" s="11"/>
      <c r="U34066" s="9"/>
      <c r="X34066" s="9"/>
    </row>
    <row r="34067">
      <c r="D34067" s="9"/>
      <c r="G34067" s="9"/>
      <c r="J34067" s="11"/>
      <c r="U34067" s="9"/>
      <c r="X34067" s="9"/>
    </row>
    <row r="34068">
      <c r="D34068" s="9"/>
      <c r="G34068" s="9"/>
      <c r="J34068" s="11"/>
      <c r="U34068" s="9"/>
      <c r="X34068" s="9"/>
    </row>
    <row r="34069">
      <c r="D34069" s="9"/>
      <c r="G34069" s="9"/>
      <c r="J34069" s="11"/>
      <c r="U34069" s="9"/>
      <c r="X34069" s="9"/>
    </row>
    <row r="34070">
      <c r="D34070" s="9"/>
      <c r="G34070" s="9"/>
      <c r="J34070" s="11"/>
      <c r="U34070" s="9"/>
      <c r="X34070" s="9"/>
    </row>
    <row r="34071">
      <c r="D34071" s="9"/>
      <c r="G34071" s="9"/>
      <c r="J34071" s="11"/>
      <c r="U34071" s="9"/>
      <c r="X34071" s="9"/>
    </row>
    <row r="34072">
      <c r="D34072" s="9"/>
      <c r="G34072" s="9"/>
      <c r="J34072" s="11"/>
      <c r="U34072" s="9"/>
      <c r="X34072" s="9"/>
    </row>
    <row r="34073">
      <c r="D34073" s="9"/>
      <c r="G34073" s="9"/>
      <c r="J34073" s="11"/>
      <c r="U34073" s="9"/>
      <c r="X34073" s="9"/>
    </row>
    <row r="34074">
      <c r="D34074" s="9"/>
      <c r="G34074" s="9"/>
      <c r="J34074" s="11"/>
      <c r="U34074" s="9"/>
      <c r="X34074" s="9"/>
    </row>
    <row r="34075">
      <c r="D34075" s="9"/>
      <c r="G34075" s="9"/>
      <c r="J34075" s="11"/>
      <c r="U34075" s="9"/>
      <c r="X34075" s="9"/>
    </row>
    <row r="34076">
      <c r="D34076" s="9"/>
      <c r="G34076" s="9"/>
      <c r="J34076" s="11"/>
      <c r="U34076" s="9"/>
      <c r="X34076" s="9"/>
    </row>
    <row r="34077">
      <c r="D34077" s="9"/>
      <c r="G34077" s="9"/>
      <c r="J34077" s="11"/>
      <c r="U34077" s="9"/>
      <c r="X34077" s="9"/>
    </row>
    <row r="34078">
      <c r="D34078" s="9"/>
      <c r="G34078" s="9"/>
      <c r="J34078" s="11"/>
      <c r="U34078" s="9"/>
      <c r="X34078" s="9"/>
    </row>
    <row r="34079">
      <c r="D34079" s="9"/>
      <c r="G34079" s="9"/>
      <c r="J34079" s="11"/>
      <c r="U34079" s="9"/>
      <c r="X34079" s="9"/>
    </row>
    <row r="34080">
      <c r="D34080" s="9"/>
      <c r="G34080" s="9"/>
      <c r="J34080" s="11"/>
      <c r="U34080" s="9"/>
      <c r="X34080" s="9"/>
    </row>
    <row r="34081">
      <c r="D34081" s="9"/>
      <c r="G34081" s="9"/>
      <c r="J34081" s="11"/>
      <c r="U34081" s="9"/>
      <c r="X34081" s="9"/>
    </row>
    <row r="34082">
      <c r="D34082" s="9"/>
      <c r="G34082" s="9"/>
      <c r="J34082" s="11"/>
      <c r="U34082" s="9"/>
      <c r="X34082" s="9"/>
    </row>
    <row r="34083">
      <c r="D34083" s="9"/>
      <c r="G34083" s="9"/>
      <c r="J34083" s="11"/>
      <c r="U34083" s="9"/>
      <c r="X34083" s="9"/>
    </row>
    <row r="34084">
      <c r="D34084" s="9"/>
      <c r="G34084" s="9"/>
      <c r="J34084" s="11"/>
      <c r="U34084" s="9"/>
      <c r="X34084" s="9"/>
    </row>
    <row r="34085">
      <c r="D34085" s="9"/>
      <c r="G34085" s="9"/>
      <c r="J34085" s="11"/>
      <c r="U34085" s="9"/>
      <c r="X34085" s="9"/>
    </row>
    <row r="34086">
      <c r="D34086" s="9"/>
      <c r="G34086" s="9"/>
      <c r="J34086" s="11"/>
      <c r="U34086" s="9"/>
      <c r="X34086" s="9"/>
    </row>
    <row r="34087">
      <c r="D34087" s="9"/>
      <c r="G34087" s="9"/>
      <c r="J34087" s="11"/>
      <c r="U34087" s="9"/>
      <c r="X34087" s="9"/>
    </row>
    <row r="34088">
      <c r="D34088" s="9"/>
      <c r="G34088" s="9"/>
      <c r="J34088" s="11"/>
      <c r="U34088" s="9"/>
      <c r="X34088" s="9"/>
    </row>
    <row r="34089">
      <c r="D34089" s="9"/>
      <c r="G34089" s="9"/>
      <c r="J34089" s="11"/>
      <c r="U34089" s="9"/>
      <c r="X34089" s="9"/>
    </row>
    <row r="34090">
      <c r="D34090" s="9"/>
      <c r="G34090" s="9"/>
      <c r="J34090" s="11"/>
      <c r="U34090" s="9"/>
      <c r="X34090" s="9"/>
    </row>
    <row r="34091">
      <c r="D34091" s="9"/>
      <c r="G34091" s="9"/>
      <c r="J34091" s="11"/>
      <c r="U34091" s="9"/>
      <c r="X34091" s="9"/>
    </row>
    <row r="34092">
      <c r="D34092" s="9"/>
      <c r="G34092" s="9"/>
      <c r="J34092" s="11"/>
      <c r="U34092" s="9"/>
      <c r="X34092" s="9"/>
    </row>
    <row r="34093">
      <c r="D34093" s="9"/>
      <c r="G34093" s="9"/>
      <c r="J34093" s="11"/>
      <c r="U34093" s="9"/>
      <c r="X34093" s="9"/>
    </row>
    <row r="34094">
      <c r="D34094" s="9"/>
      <c r="G34094" s="9"/>
      <c r="J34094" s="11"/>
      <c r="U34094" s="9"/>
      <c r="X34094" s="9"/>
    </row>
    <row r="34095">
      <c r="D34095" s="9"/>
      <c r="G34095" s="9"/>
      <c r="J34095" s="11"/>
      <c r="U34095" s="9"/>
      <c r="X34095" s="9"/>
    </row>
    <row r="34096">
      <c r="D34096" s="9"/>
      <c r="G34096" s="9"/>
      <c r="J34096" s="11"/>
      <c r="U34096" s="9"/>
      <c r="X34096" s="9"/>
    </row>
    <row r="34097">
      <c r="D34097" s="9"/>
      <c r="G34097" s="9"/>
      <c r="J34097" s="11"/>
      <c r="U34097" s="9"/>
      <c r="X34097" s="9"/>
    </row>
    <row r="34098">
      <c r="D34098" s="9"/>
      <c r="G34098" s="9"/>
      <c r="J34098" s="11"/>
      <c r="U34098" s="9"/>
      <c r="X34098" s="9"/>
    </row>
    <row r="34099">
      <c r="D34099" s="9"/>
      <c r="G34099" s="9"/>
      <c r="J34099" s="11"/>
      <c r="U34099" s="9"/>
      <c r="X34099" s="9"/>
    </row>
    <row r="34100">
      <c r="D34100" s="9"/>
      <c r="G34100" s="9"/>
      <c r="J34100" s="11"/>
      <c r="U34100" s="9"/>
      <c r="X34100" s="9"/>
    </row>
    <row r="34101">
      <c r="D34101" s="9"/>
      <c r="G34101" s="9"/>
      <c r="J34101" s="11"/>
      <c r="U34101" s="9"/>
      <c r="X34101" s="9"/>
    </row>
    <row r="34102">
      <c r="D34102" s="9"/>
      <c r="G34102" s="9"/>
      <c r="J34102" s="11"/>
      <c r="U34102" s="9"/>
      <c r="X34102" s="9"/>
    </row>
    <row r="34103">
      <c r="D34103" s="9"/>
      <c r="G34103" s="9"/>
      <c r="J34103" s="11"/>
      <c r="U34103" s="9"/>
      <c r="X34103" s="9"/>
    </row>
    <row r="34104">
      <c r="D34104" s="9"/>
      <c r="G34104" s="9"/>
      <c r="J34104" s="11"/>
      <c r="U34104" s="9"/>
      <c r="X34104" s="9"/>
    </row>
    <row r="34105">
      <c r="D34105" s="9"/>
      <c r="G34105" s="9"/>
      <c r="J34105" s="11"/>
      <c r="U34105" s="9"/>
      <c r="X34105" s="9"/>
    </row>
    <row r="34106">
      <c r="D34106" s="9"/>
      <c r="G34106" s="9"/>
      <c r="J34106" s="11"/>
      <c r="U34106" s="9"/>
      <c r="X34106" s="9"/>
    </row>
    <row r="34107">
      <c r="D34107" s="9"/>
      <c r="G34107" s="9"/>
      <c r="J34107" s="11"/>
      <c r="U34107" s="9"/>
      <c r="X34107" s="9"/>
    </row>
    <row r="34108">
      <c r="D34108" s="9"/>
      <c r="G34108" s="9"/>
      <c r="J34108" s="11"/>
      <c r="U34108" s="9"/>
      <c r="X34108" s="9"/>
    </row>
    <row r="34109">
      <c r="D34109" s="9"/>
      <c r="G34109" s="9"/>
      <c r="J34109" s="11"/>
      <c r="U34109" s="9"/>
      <c r="X34109" s="9"/>
    </row>
    <row r="34110">
      <c r="D34110" s="9"/>
      <c r="G34110" s="9"/>
      <c r="J34110" s="11"/>
      <c r="U34110" s="9"/>
      <c r="X34110" s="9"/>
    </row>
    <row r="34111">
      <c r="D34111" s="9"/>
      <c r="G34111" s="9"/>
      <c r="J34111" s="11"/>
      <c r="U34111" s="9"/>
      <c r="X34111" s="9"/>
    </row>
    <row r="34112">
      <c r="D34112" s="9"/>
      <c r="G34112" s="9"/>
      <c r="J34112" s="11"/>
      <c r="U34112" s="9"/>
      <c r="X34112" s="9"/>
    </row>
    <row r="34113">
      <c r="D34113" s="9"/>
      <c r="G34113" s="9"/>
      <c r="J34113" s="11"/>
      <c r="U34113" s="9"/>
      <c r="X34113" s="9"/>
    </row>
    <row r="34114">
      <c r="D34114" s="9"/>
      <c r="G34114" s="9"/>
      <c r="J34114" s="11"/>
      <c r="U34114" s="9"/>
      <c r="X34114" s="9"/>
    </row>
    <row r="34115">
      <c r="D34115" s="9"/>
      <c r="G34115" s="9"/>
      <c r="J34115" s="11"/>
      <c r="U34115" s="9"/>
      <c r="X34115" s="9"/>
    </row>
    <row r="34116">
      <c r="D34116" s="9"/>
      <c r="G34116" s="9"/>
      <c r="J34116" s="11"/>
      <c r="U34116" s="9"/>
      <c r="X34116" s="9"/>
    </row>
    <row r="34117">
      <c r="D34117" s="9"/>
      <c r="G34117" s="9"/>
      <c r="J34117" s="11"/>
      <c r="U34117" s="9"/>
      <c r="X34117" s="9"/>
    </row>
    <row r="34118">
      <c r="D34118" s="9"/>
      <c r="G34118" s="9"/>
      <c r="J34118" s="11"/>
      <c r="U34118" s="9"/>
      <c r="X34118" s="9"/>
    </row>
    <row r="34119">
      <c r="D34119" s="9"/>
      <c r="G34119" s="9"/>
      <c r="J34119" s="11"/>
      <c r="U34119" s="9"/>
      <c r="X34119" s="9"/>
    </row>
    <row r="34120">
      <c r="D34120" s="9"/>
      <c r="G34120" s="9"/>
      <c r="J34120" s="11"/>
      <c r="U34120" s="9"/>
      <c r="X34120" s="9"/>
    </row>
    <row r="34121">
      <c r="D34121" s="9"/>
      <c r="G34121" s="9"/>
      <c r="J34121" s="11"/>
      <c r="U34121" s="9"/>
      <c r="X34121" s="9"/>
    </row>
    <row r="34122">
      <c r="D34122" s="9"/>
      <c r="G34122" s="9"/>
      <c r="J34122" s="11"/>
      <c r="U34122" s="9"/>
      <c r="X34122" s="9"/>
    </row>
    <row r="34123">
      <c r="D34123" s="9"/>
      <c r="G34123" s="9"/>
      <c r="J34123" s="11"/>
      <c r="U34123" s="9"/>
      <c r="X34123" s="9"/>
    </row>
    <row r="34124">
      <c r="D34124" s="9"/>
      <c r="G34124" s="9"/>
      <c r="J34124" s="11"/>
      <c r="U34124" s="9"/>
      <c r="X34124" s="9"/>
    </row>
    <row r="34125">
      <c r="D34125" s="9"/>
      <c r="G34125" s="9"/>
      <c r="J34125" s="11"/>
      <c r="U34125" s="9"/>
      <c r="X34125" s="9"/>
    </row>
    <row r="34126">
      <c r="D34126" s="9"/>
      <c r="G34126" s="9"/>
      <c r="J34126" s="11"/>
      <c r="U34126" s="9"/>
      <c r="X34126" s="9"/>
    </row>
    <row r="34127">
      <c r="D34127" s="9"/>
      <c r="G34127" s="9"/>
      <c r="J34127" s="11"/>
      <c r="U34127" s="9"/>
      <c r="X34127" s="9"/>
    </row>
    <row r="34128">
      <c r="D34128" s="9"/>
      <c r="G34128" s="9"/>
      <c r="J34128" s="11"/>
      <c r="U34128" s="9"/>
      <c r="X34128" s="9"/>
    </row>
    <row r="34129">
      <c r="D34129" s="9"/>
      <c r="G34129" s="9"/>
      <c r="J34129" s="11"/>
      <c r="U34129" s="9"/>
      <c r="X34129" s="9"/>
    </row>
    <row r="34130">
      <c r="D34130" s="9"/>
      <c r="G34130" s="9"/>
      <c r="J34130" s="11"/>
      <c r="U34130" s="9"/>
      <c r="X34130" s="9"/>
    </row>
    <row r="34131">
      <c r="D34131" s="9"/>
      <c r="G34131" s="9"/>
      <c r="J34131" s="11"/>
      <c r="U34131" s="9"/>
      <c r="X34131" s="9"/>
    </row>
    <row r="34132">
      <c r="D34132" s="9"/>
      <c r="G34132" s="9"/>
      <c r="J34132" s="11"/>
      <c r="U34132" s="9"/>
      <c r="X34132" s="9"/>
    </row>
    <row r="34133">
      <c r="D34133" s="9"/>
      <c r="G34133" s="9"/>
      <c r="J34133" s="11"/>
      <c r="U34133" s="9"/>
      <c r="X34133" s="9"/>
    </row>
    <row r="34134">
      <c r="D34134" s="9"/>
      <c r="G34134" s="9"/>
      <c r="J34134" s="11"/>
      <c r="U34134" s="9"/>
      <c r="X34134" s="9"/>
    </row>
    <row r="34135">
      <c r="D34135" s="9"/>
      <c r="G34135" s="9"/>
      <c r="J34135" s="11"/>
      <c r="U34135" s="9"/>
      <c r="X34135" s="9"/>
    </row>
    <row r="34136">
      <c r="D34136" s="9"/>
      <c r="G34136" s="9"/>
      <c r="J34136" s="11"/>
      <c r="U34136" s="9"/>
      <c r="X34136" s="9"/>
    </row>
    <row r="34137">
      <c r="D34137" s="9"/>
      <c r="G34137" s="9"/>
      <c r="J34137" s="11"/>
      <c r="U34137" s="9"/>
      <c r="X34137" s="9"/>
    </row>
    <row r="34138">
      <c r="D34138" s="9"/>
      <c r="G34138" s="9"/>
      <c r="J34138" s="11"/>
      <c r="U34138" s="9"/>
      <c r="X34138" s="9"/>
    </row>
    <row r="34139">
      <c r="D34139" s="9"/>
      <c r="G34139" s="9"/>
      <c r="J34139" s="11"/>
      <c r="U34139" s="9"/>
      <c r="X34139" s="9"/>
    </row>
    <row r="34140">
      <c r="D34140" s="9"/>
      <c r="G34140" s="9"/>
      <c r="J34140" s="11"/>
      <c r="U34140" s="9"/>
      <c r="X34140" s="9"/>
    </row>
    <row r="34141">
      <c r="D34141" s="9"/>
      <c r="G34141" s="9"/>
      <c r="J34141" s="11"/>
      <c r="U34141" s="9"/>
      <c r="X34141" s="9"/>
    </row>
    <row r="34142">
      <c r="D34142" s="9"/>
      <c r="G34142" s="9"/>
      <c r="J34142" s="11"/>
      <c r="U34142" s="9"/>
      <c r="X34142" s="9"/>
    </row>
    <row r="34143">
      <c r="D34143" s="9"/>
      <c r="G34143" s="9"/>
      <c r="J34143" s="11"/>
      <c r="U34143" s="9"/>
      <c r="X34143" s="9"/>
    </row>
    <row r="34144">
      <c r="D34144" s="9"/>
      <c r="G34144" s="9"/>
      <c r="J34144" s="11"/>
      <c r="U34144" s="9"/>
      <c r="X34144" s="9"/>
    </row>
    <row r="34145">
      <c r="D34145" s="9"/>
      <c r="G34145" s="9"/>
      <c r="J34145" s="11"/>
      <c r="U34145" s="9"/>
      <c r="X34145" s="9"/>
    </row>
    <row r="34146">
      <c r="D34146" s="9"/>
      <c r="G34146" s="9"/>
      <c r="J34146" s="11"/>
      <c r="U34146" s="9"/>
      <c r="X34146" s="9"/>
    </row>
    <row r="34147">
      <c r="D34147" s="9"/>
      <c r="G34147" s="9"/>
      <c r="J34147" s="11"/>
      <c r="U34147" s="9"/>
      <c r="X34147" s="9"/>
    </row>
    <row r="34148">
      <c r="D34148" s="9"/>
      <c r="G34148" s="9"/>
      <c r="J34148" s="11"/>
      <c r="U34148" s="9"/>
      <c r="X34148" s="9"/>
    </row>
    <row r="34149">
      <c r="D34149" s="9"/>
      <c r="G34149" s="9"/>
      <c r="J34149" s="11"/>
      <c r="U34149" s="9"/>
      <c r="X34149" s="9"/>
    </row>
    <row r="34150">
      <c r="D34150" s="9"/>
      <c r="G34150" s="9"/>
      <c r="J34150" s="11"/>
      <c r="U34150" s="9"/>
      <c r="X34150" s="9"/>
    </row>
    <row r="34151">
      <c r="D34151" s="9"/>
      <c r="G34151" s="9"/>
      <c r="J34151" s="11"/>
      <c r="U34151" s="9"/>
      <c r="X34151" s="9"/>
    </row>
    <row r="34152">
      <c r="D34152" s="9"/>
      <c r="G34152" s="9"/>
      <c r="J34152" s="11"/>
      <c r="U34152" s="9"/>
      <c r="X34152" s="9"/>
    </row>
    <row r="34153">
      <c r="D34153" s="9"/>
      <c r="G34153" s="9"/>
      <c r="J34153" s="11"/>
      <c r="U34153" s="9"/>
      <c r="X34153" s="9"/>
    </row>
    <row r="34154">
      <c r="D34154" s="9"/>
      <c r="G34154" s="9"/>
      <c r="J34154" s="11"/>
      <c r="U34154" s="9"/>
      <c r="X34154" s="9"/>
    </row>
    <row r="34155">
      <c r="D34155" s="9"/>
      <c r="G34155" s="9"/>
      <c r="J34155" s="11"/>
      <c r="U34155" s="9"/>
      <c r="X34155" s="9"/>
    </row>
    <row r="34156">
      <c r="D34156" s="9"/>
      <c r="G34156" s="9"/>
      <c r="J34156" s="11"/>
      <c r="U34156" s="9"/>
      <c r="X34156" s="9"/>
    </row>
    <row r="34157">
      <c r="D34157" s="9"/>
      <c r="G34157" s="9"/>
      <c r="J34157" s="11"/>
      <c r="U34157" s="9"/>
      <c r="X34157" s="9"/>
    </row>
    <row r="34158">
      <c r="D34158" s="9"/>
      <c r="G34158" s="9"/>
      <c r="J34158" s="11"/>
      <c r="U34158" s="9"/>
      <c r="X34158" s="9"/>
    </row>
    <row r="34159">
      <c r="D34159" s="9"/>
      <c r="G34159" s="9"/>
      <c r="J34159" s="11"/>
      <c r="U34159" s="9"/>
      <c r="X34159" s="9"/>
    </row>
    <row r="34160">
      <c r="D34160" s="9"/>
      <c r="G34160" s="9"/>
      <c r="J34160" s="11"/>
      <c r="U34160" s="9"/>
      <c r="X34160" s="9"/>
    </row>
    <row r="34161">
      <c r="D34161" s="9"/>
      <c r="G34161" s="9"/>
      <c r="J34161" s="11"/>
      <c r="U34161" s="9"/>
      <c r="X34161" s="9"/>
    </row>
    <row r="34162">
      <c r="D34162" s="9"/>
      <c r="G34162" s="9"/>
      <c r="J34162" s="11"/>
      <c r="U34162" s="9"/>
      <c r="X34162" s="9"/>
    </row>
    <row r="34163">
      <c r="D34163" s="9"/>
      <c r="G34163" s="9"/>
      <c r="J34163" s="11"/>
      <c r="U34163" s="9"/>
      <c r="X34163" s="9"/>
    </row>
    <row r="34164">
      <c r="D34164" s="9"/>
      <c r="G34164" s="9"/>
      <c r="J34164" s="11"/>
      <c r="U34164" s="9"/>
      <c r="X34164" s="9"/>
    </row>
    <row r="34165">
      <c r="D34165" s="9"/>
      <c r="G34165" s="9"/>
      <c r="J34165" s="11"/>
      <c r="U34165" s="9"/>
      <c r="X34165" s="9"/>
    </row>
    <row r="34166">
      <c r="D34166" s="9"/>
      <c r="G34166" s="9"/>
      <c r="J34166" s="11"/>
      <c r="U34166" s="9"/>
      <c r="X34166" s="9"/>
    </row>
    <row r="34167">
      <c r="D34167" s="9"/>
      <c r="G34167" s="9"/>
      <c r="J34167" s="11"/>
      <c r="U34167" s="9"/>
      <c r="X34167" s="9"/>
    </row>
    <row r="34168">
      <c r="D34168" s="9"/>
      <c r="G34168" s="9"/>
      <c r="J34168" s="11"/>
      <c r="U34168" s="9"/>
      <c r="X34168" s="9"/>
    </row>
    <row r="34169">
      <c r="D34169" s="9"/>
      <c r="G34169" s="9"/>
      <c r="J34169" s="11"/>
      <c r="U34169" s="9"/>
      <c r="X34169" s="9"/>
    </row>
    <row r="34170">
      <c r="D34170" s="9"/>
      <c r="G34170" s="9"/>
      <c r="J34170" s="11"/>
      <c r="U34170" s="9"/>
      <c r="X34170" s="9"/>
    </row>
    <row r="34171">
      <c r="D34171" s="9"/>
      <c r="G34171" s="9"/>
      <c r="J34171" s="11"/>
      <c r="U34171" s="9"/>
      <c r="X34171" s="9"/>
    </row>
    <row r="34172">
      <c r="D34172" s="9"/>
      <c r="G34172" s="9"/>
      <c r="J34172" s="11"/>
      <c r="U34172" s="9"/>
      <c r="X34172" s="9"/>
    </row>
    <row r="34173">
      <c r="D34173" s="9"/>
      <c r="G34173" s="9"/>
      <c r="J34173" s="11"/>
      <c r="U34173" s="9"/>
      <c r="X34173" s="9"/>
    </row>
    <row r="34174">
      <c r="D34174" s="9"/>
      <c r="G34174" s="9"/>
      <c r="J34174" s="11"/>
      <c r="U34174" s="9"/>
      <c r="X34174" s="9"/>
    </row>
    <row r="34175">
      <c r="D34175" s="9"/>
      <c r="G34175" s="9"/>
      <c r="J34175" s="11"/>
      <c r="U34175" s="9"/>
      <c r="X34175" s="9"/>
    </row>
    <row r="34176">
      <c r="D34176" s="9"/>
      <c r="G34176" s="9"/>
      <c r="J34176" s="11"/>
      <c r="U34176" s="9"/>
      <c r="X34176" s="9"/>
    </row>
    <row r="34177">
      <c r="D34177" s="9"/>
      <c r="G34177" s="9"/>
      <c r="J34177" s="11"/>
      <c r="U34177" s="9"/>
      <c r="X34177" s="9"/>
    </row>
    <row r="34178">
      <c r="D34178" s="9"/>
      <c r="G34178" s="9"/>
      <c r="J34178" s="11"/>
      <c r="U34178" s="9"/>
      <c r="X34178" s="9"/>
    </row>
    <row r="34179">
      <c r="D34179" s="9"/>
      <c r="G34179" s="9"/>
      <c r="J34179" s="11"/>
      <c r="U34179" s="9"/>
      <c r="X34179" s="9"/>
    </row>
    <row r="34180">
      <c r="D34180" s="9"/>
      <c r="G34180" s="9"/>
      <c r="J34180" s="11"/>
      <c r="U34180" s="9"/>
      <c r="X34180" s="9"/>
    </row>
    <row r="34181">
      <c r="D34181" s="9"/>
      <c r="G34181" s="9"/>
      <c r="J34181" s="11"/>
      <c r="U34181" s="9"/>
      <c r="X34181" s="9"/>
    </row>
    <row r="34182">
      <c r="D34182" s="9"/>
      <c r="G34182" s="9"/>
      <c r="J34182" s="11"/>
      <c r="U34182" s="9"/>
      <c r="X34182" s="9"/>
    </row>
    <row r="34183">
      <c r="D34183" s="9"/>
      <c r="G34183" s="9"/>
      <c r="J34183" s="11"/>
      <c r="U34183" s="9"/>
      <c r="X34183" s="9"/>
    </row>
    <row r="34184">
      <c r="D34184" s="9"/>
      <c r="G34184" s="9"/>
      <c r="J34184" s="11"/>
      <c r="U34184" s="9"/>
      <c r="X34184" s="9"/>
    </row>
    <row r="34185">
      <c r="D34185" s="9"/>
      <c r="G34185" s="9"/>
      <c r="J34185" s="11"/>
      <c r="U34185" s="9"/>
      <c r="X34185" s="9"/>
    </row>
    <row r="34186">
      <c r="D34186" s="9"/>
      <c r="G34186" s="9"/>
      <c r="J34186" s="11"/>
      <c r="U34186" s="9"/>
      <c r="X34186" s="9"/>
    </row>
    <row r="34187">
      <c r="D34187" s="9"/>
      <c r="G34187" s="9"/>
      <c r="J34187" s="11"/>
      <c r="U34187" s="9"/>
      <c r="X34187" s="9"/>
    </row>
    <row r="34188">
      <c r="D34188" s="9"/>
      <c r="G34188" s="9"/>
      <c r="J34188" s="11"/>
      <c r="U34188" s="9"/>
      <c r="X34188" s="9"/>
    </row>
    <row r="34189">
      <c r="D34189" s="9"/>
      <c r="G34189" s="9"/>
      <c r="J34189" s="11"/>
      <c r="U34189" s="9"/>
      <c r="X34189" s="9"/>
    </row>
    <row r="34190">
      <c r="D34190" s="9"/>
      <c r="G34190" s="9"/>
      <c r="J34190" s="11"/>
      <c r="U34190" s="9"/>
      <c r="X34190" s="9"/>
    </row>
    <row r="34191">
      <c r="D34191" s="9"/>
      <c r="G34191" s="9"/>
      <c r="J34191" s="11"/>
      <c r="U34191" s="9"/>
      <c r="X34191" s="9"/>
    </row>
    <row r="34192">
      <c r="D34192" s="9"/>
      <c r="G34192" s="9"/>
      <c r="J34192" s="11"/>
      <c r="U34192" s="9"/>
      <c r="X34192" s="9"/>
    </row>
    <row r="34193">
      <c r="D34193" s="9"/>
      <c r="G34193" s="9"/>
      <c r="J34193" s="11"/>
      <c r="U34193" s="9"/>
      <c r="X34193" s="9"/>
    </row>
    <row r="34194">
      <c r="D34194" s="9"/>
      <c r="G34194" s="9"/>
      <c r="J34194" s="11"/>
      <c r="U34194" s="9"/>
      <c r="X34194" s="9"/>
    </row>
    <row r="34195">
      <c r="D34195" s="9"/>
      <c r="G34195" s="9"/>
      <c r="J34195" s="11"/>
      <c r="U34195" s="9"/>
      <c r="X34195" s="9"/>
    </row>
    <row r="34196">
      <c r="D34196" s="9"/>
      <c r="G34196" s="9"/>
      <c r="J34196" s="11"/>
      <c r="U34196" s="9"/>
      <c r="X34196" s="9"/>
    </row>
    <row r="34197">
      <c r="D34197" s="9"/>
      <c r="G34197" s="9"/>
      <c r="J34197" s="11"/>
      <c r="U34197" s="9"/>
      <c r="X34197" s="9"/>
    </row>
    <row r="34198">
      <c r="D34198" s="9"/>
      <c r="G34198" s="9"/>
      <c r="J34198" s="11"/>
      <c r="U34198" s="9"/>
      <c r="X34198" s="9"/>
    </row>
    <row r="34199">
      <c r="D34199" s="9"/>
      <c r="G34199" s="9"/>
      <c r="J34199" s="11"/>
      <c r="U34199" s="9"/>
      <c r="X34199" s="9"/>
    </row>
    <row r="34200">
      <c r="D34200" s="9"/>
      <c r="G34200" s="9"/>
      <c r="J34200" s="11"/>
      <c r="U34200" s="9"/>
      <c r="X34200" s="9"/>
    </row>
    <row r="34201">
      <c r="D34201" s="9"/>
      <c r="G34201" s="9"/>
      <c r="J34201" s="11"/>
      <c r="U34201" s="9"/>
      <c r="X34201" s="9"/>
    </row>
    <row r="34202">
      <c r="D34202" s="9"/>
      <c r="G34202" s="9"/>
      <c r="J34202" s="11"/>
      <c r="U34202" s="9"/>
      <c r="X34202" s="9"/>
    </row>
    <row r="34203">
      <c r="D34203" s="9"/>
      <c r="G34203" s="9"/>
      <c r="J34203" s="11"/>
      <c r="U34203" s="9"/>
      <c r="X34203" s="9"/>
    </row>
    <row r="34204">
      <c r="D34204" s="9"/>
      <c r="G34204" s="9"/>
      <c r="J34204" s="11"/>
      <c r="U34204" s="9"/>
      <c r="X34204" s="9"/>
    </row>
    <row r="34205">
      <c r="D34205" s="9"/>
      <c r="G34205" s="9"/>
      <c r="J34205" s="11"/>
      <c r="U34205" s="9"/>
      <c r="X34205" s="9"/>
    </row>
    <row r="34206">
      <c r="D34206" s="9"/>
      <c r="G34206" s="9"/>
      <c r="J34206" s="11"/>
      <c r="U34206" s="9"/>
      <c r="X34206" s="9"/>
    </row>
    <row r="34207">
      <c r="D34207" s="9"/>
      <c r="G34207" s="9"/>
      <c r="J34207" s="11"/>
      <c r="U34207" s="9"/>
      <c r="X34207" s="9"/>
    </row>
    <row r="34208">
      <c r="D34208" s="9"/>
      <c r="G34208" s="9"/>
      <c r="J34208" s="11"/>
      <c r="U34208" s="9"/>
      <c r="X34208" s="9"/>
    </row>
    <row r="34209">
      <c r="D34209" s="9"/>
      <c r="G34209" s="9"/>
      <c r="J34209" s="11"/>
      <c r="U34209" s="9"/>
      <c r="X34209" s="9"/>
    </row>
    <row r="34210">
      <c r="D34210" s="9"/>
      <c r="G34210" s="9"/>
      <c r="J34210" s="11"/>
      <c r="U34210" s="9"/>
      <c r="X34210" s="9"/>
    </row>
    <row r="34211">
      <c r="D34211" s="9"/>
      <c r="G34211" s="9"/>
      <c r="J34211" s="11"/>
      <c r="U34211" s="9"/>
      <c r="X34211" s="9"/>
    </row>
    <row r="34212">
      <c r="D34212" s="9"/>
      <c r="G34212" s="9"/>
      <c r="J34212" s="11"/>
      <c r="U34212" s="9"/>
      <c r="X34212" s="9"/>
    </row>
    <row r="34213">
      <c r="D34213" s="9"/>
      <c r="G34213" s="9"/>
      <c r="J34213" s="11"/>
      <c r="U34213" s="9"/>
      <c r="X34213" s="9"/>
    </row>
    <row r="34214">
      <c r="D34214" s="9"/>
      <c r="G34214" s="9"/>
      <c r="J34214" s="11"/>
      <c r="U34214" s="9"/>
      <c r="X34214" s="9"/>
    </row>
    <row r="34215">
      <c r="D34215" s="9"/>
      <c r="G34215" s="9"/>
      <c r="J34215" s="11"/>
      <c r="U34215" s="9"/>
      <c r="X34215" s="9"/>
    </row>
    <row r="34216">
      <c r="D34216" s="9"/>
      <c r="G34216" s="9"/>
      <c r="J34216" s="11"/>
      <c r="U34216" s="9"/>
      <c r="X34216" s="9"/>
    </row>
    <row r="34217">
      <c r="D34217" s="9"/>
      <c r="G34217" s="9"/>
      <c r="J34217" s="11"/>
      <c r="U34217" s="9"/>
      <c r="X34217" s="9"/>
    </row>
    <row r="34218">
      <c r="D34218" s="9"/>
      <c r="G34218" s="9"/>
      <c r="J34218" s="11"/>
      <c r="U34218" s="9"/>
      <c r="X34218" s="9"/>
    </row>
    <row r="34219">
      <c r="D34219" s="9"/>
      <c r="G34219" s="9"/>
      <c r="J34219" s="11"/>
      <c r="U34219" s="9"/>
      <c r="X34219" s="9"/>
    </row>
    <row r="34220">
      <c r="D34220" s="9"/>
      <c r="G34220" s="9"/>
      <c r="J34220" s="11"/>
      <c r="U34220" s="9"/>
      <c r="X34220" s="9"/>
    </row>
    <row r="34221">
      <c r="D34221" s="9"/>
      <c r="G34221" s="9"/>
      <c r="J34221" s="11"/>
      <c r="U34221" s="9"/>
      <c r="X34221" s="9"/>
    </row>
    <row r="34222">
      <c r="D34222" s="9"/>
      <c r="G34222" s="9"/>
      <c r="J34222" s="11"/>
      <c r="U34222" s="9"/>
      <c r="X34222" s="9"/>
    </row>
    <row r="34223">
      <c r="D34223" s="9"/>
      <c r="G34223" s="9"/>
      <c r="J34223" s="11"/>
      <c r="U34223" s="9"/>
      <c r="X34223" s="9"/>
    </row>
    <row r="34224">
      <c r="D34224" s="9"/>
      <c r="G34224" s="9"/>
      <c r="J34224" s="11"/>
      <c r="U34224" s="9"/>
      <c r="X34224" s="9"/>
    </row>
    <row r="34225">
      <c r="D34225" s="9"/>
      <c r="G34225" s="9"/>
      <c r="J34225" s="11"/>
      <c r="U34225" s="9"/>
      <c r="X34225" s="9"/>
    </row>
    <row r="34226">
      <c r="D34226" s="9"/>
      <c r="G34226" s="9"/>
      <c r="J34226" s="11"/>
      <c r="U34226" s="9"/>
      <c r="X34226" s="9"/>
    </row>
    <row r="34227">
      <c r="D34227" s="9"/>
      <c r="G34227" s="9"/>
      <c r="J34227" s="11"/>
      <c r="U34227" s="9"/>
      <c r="X34227" s="9"/>
    </row>
    <row r="34228">
      <c r="D34228" s="9"/>
      <c r="G34228" s="9"/>
      <c r="J34228" s="11"/>
      <c r="U34228" s="9"/>
      <c r="X34228" s="9"/>
    </row>
    <row r="34229">
      <c r="D34229" s="9"/>
      <c r="G34229" s="9"/>
      <c r="J34229" s="11"/>
      <c r="U34229" s="9"/>
      <c r="X34229" s="9"/>
    </row>
    <row r="34230">
      <c r="D34230" s="9"/>
      <c r="G34230" s="9"/>
      <c r="J34230" s="11"/>
      <c r="U34230" s="9"/>
      <c r="X34230" s="9"/>
    </row>
    <row r="34231">
      <c r="D34231" s="9"/>
      <c r="G34231" s="9"/>
      <c r="J34231" s="11"/>
      <c r="U34231" s="9"/>
      <c r="X34231" s="9"/>
    </row>
    <row r="34232">
      <c r="D34232" s="9"/>
      <c r="G34232" s="9"/>
      <c r="J34232" s="11"/>
      <c r="U34232" s="9"/>
      <c r="X34232" s="9"/>
    </row>
    <row r="34233">
      <c r="D34233" s="9"/>
      <c r="G34233" s="9"/>
      <c r="J34233" s="11"/>
      <c r="U34233" s="9"/>
      <c r="X34233" s="9"/>
    </row>
    <row r="34234">
      <c r="D34234" s="9"/>
      <c r="G34234" s="9"/>
      <c r="J34234" s="11"/>
      <c r="U34234" s="9"/>
      <c r="X34234" s="9"/>
    </row>
    <row r="34235">
      <c r="D34235" s="9"/>
      <c r="G34235" s="9"/>
      <c r="J34235" s="11"/>
      <c r="U34235" s="9"/>
      <c r="X34235" s="9"/>
    </row>
    <row r="34236">
      <c r="D34236" s="9"/>
      <c r="G34236" s="9"/>
      <c r="J34236" s="11"/>
      <c r="U34236" s="9"/>
      <c r="X34236" s="9"/>
    </row>
    <row r="34237">
      <c r="D34237" s="9"/>
      <c r="G34237" s="9"/>
      <c r="J34237" s="11"/>
      <c r="U34237" s="9"/>
      <c r="X34237" s="9"/>
    </row>
    <row r="34238">
      <c r="D34238" s="9"/>
      <c r="G34238" s="9"/>
      <c r="J34238" s="11"/>
      <c r="U34238" s="9"/>
      <c r="X34238" s="9"/>
    </row>
    <row r="34239">
      <c r="D34239" s="9"/>
      <c r="G34239" s="9"/>
      <c r="J34239" s="11"/>
      <c r="U34239" s="9"/>
      <c r="X34239" s="9"/>
    </row>
    <row r="34240">
      <c r="D34240" s="9"/>
      <c r="G34240" s="9"/>
      <c r="J34240" s="11"/>
      <c r="U34240" s="9"/>
      <c r="X34240" s="9"/>
    </row>
    <row r="34241">
      <c r="D34241" s="9"/>
      <c r="G34241" s="9"/>
      <c r="J34241" s="11"/>
      <c r="U34241" s="9"/>
      <c r="X34241" s="9"/>
    </row>
    <row r="34242">
      <c r="D34242" s="9"/>
      <c r="G34242" s="9"/>
      <c r="J34242" s="11"/>
      <c r="U34242" s="9"/>
      <c r="X34242" s="9"/>
    </row>
    <row r="34243">
      <c r="D34243" s="9"/>
      <c r="G34243" s="9"/>
      <c r="J34243" s="11"/>
      <c r="U34243" s="9"/>
      <c r="X34243" s="9"/>
    </row>
    <row r="34244">
      <c r="D34244" s="9"/>
      <c r="G34244" s="9"/>
      <c r="J34244" s="11"/>
      <c r="U34244" s="9"/>
      <c r="X34244" s="9"/>
    </row>
    <row r="34245">
      <c r="D34245" s="9"/>
      <c r="G34245" s="9"/>
      <c r="J34245" s="11"/>
      <c r="U34245" s="9"/>
      <c r="X34245" s="9"/>
    </row>
    <row r="34246">
      <c r="D34246" s="9"/>
      <c r="G34246" s="9"/>
      <c r="J34246" s="11"/>
      <c r="U34246" s="9"/>
      <c r="X34246" s="9"/>
    </row>
    <row r="34247">
      <c r="D34247" s="9"/>
      <c r="G34247" s="9"/>
      <c r="J34247" s="11"/>
      <c r="U34247" s="9"/>
      <c r="X34247" s="9"/>
    </row>
    <row r="34248">
      <c r="D34248" s="9"/>
      <c r="G34248" s="9"/>
      <c r="J34248" s="11"/>
      <c r="U34248" s="9"/>
      <c r="X34248" s="9"/>
    </row>
    <row r="34249">
      <c r="D34249" s="9"/>
      <c r="G34249" s="9"/>
      <c r="J34249" s="11"/>
      <c r="U34249" s="9"/>
      <c r="X34249" s="9"/>
    </row>
    <row r="34250">
      <c r="D34250" s="9"/>
      <c r="G34250" s="9"/>
      <c r="J34250" s="11"/>
      <c r="U34250" s="9"/>
      <c r="X34250" s="9"/>
    </row>
    <row r="34251">
      <c r="D34251" s="9"/>
      <c r="G34251" s="9"/>
      <c r="J34251" s="11"/>
      <c r="U34251" s="9"/>
      <c r="X34251" s="9"/>
    </row>
    <row r="34252">
      <c r="D34252" s="9"/>
      <c r="G34252" s="9"/>
      <c r="J34252" s="11"/>
      <c r="U34252" s="9"/>
      <c r="X34252" s="9"/>
    </row>
    <row r="34253">
      <c r="D34253" s="9"/>
      <c r="G34253" s="9"/>
      <c r="J34253" s="11"/>
      <c r="U34253" s="9"/>
      <c r="X34253" s="9"/>
    </row>
    <row r="34254">
      <c r="D34254" s="9"/>
      <c r="G34254" s="9"/>
      <c r="J34254" s="11"/>
      <c r="U34254" s="9"/>
      <c r="X34254" s="9"/>
    </row>
    <row r="34255">
      <c r="D34255" s="9"/>
      <c r="G34255" s="9"/>
      <c r="J34255" s="11"/>
      <c r="U34255" s="9"/>
      <c r="X34255" s="9"/>
    </row>
    <row r="34256">
      <c r="D34256" s="9"/>
      <c r="G34256" s="9"/>
      <c r="J34256" s="11"/>
      <c r="U34256" s="9"/>
      <c r="X34256" s="9"/>
    </row>
    <row r="34257">
      <c r="D34257" s="9"/>
      <c r="G34257" s="9"/>
      <c r="J34257" s="11"/>
      <c r="U34257" s="9"/>
      <c r="X34257" s="9"/>
    </row>
    <row r="34258">
      <c r="D34258" s="9"/>
      <c r="G34258" s="9"/>
      <c r="J34258" s="11"/>
      <c r="U34258" s="9"/>
      <c r="X34258" s="9"/>
    </row>
    <row r="34259">
      <c r="D34259" s="9"/>
      <c r="G34259" s="9"/>
      <c r="J34259" s="11"/>
      <c r="U34259" s="9"/>
      <c r="X34259" s="9"/>
    </row>
    <row r="34260">
      <c r="D34260" s="9"/>
      <c r="G34260" s="9"/>
      <c r="J34260" s="11"/>
      <c r="U34260" s="9"/>
      <c r="X34260" s="9"/>
    </row>
    <row r="34261">
      <c r="D34261" s="9"/>
      <c r="G34261" s="9"/>
      <c r="J34261" s="11"/>
      <c r="U34261" s="9"/>
      <c r="X34261" s="9"/>
    </row>
    <row r="34262">
      <c r="D34262" s="9"/>
      <c r="G34262" s="9"/>
      <c r="J34262" s="11"/>
      <c r="U34262" s="9"/>
      <c r="X34262" s="9"/>
    </row>
    <row r="34263">
      <c r="D34263" s="9"/>
      <c r="G34263" s="9"/>
      <c r="J34263" s="11"/>
      <c r="U34263" s="9"/>
      <c r="X34263" s="9"/>
    </row>
    <row r="34264">
      <c r="D34264" s="9"/>
      <c r="G34264" s="9"/>
      <c r="J34264" s="11"/>
      <c r="U34264" s="9"/>
      <c r="X34264" s="9"/>
    </row>
    <row r="34265">
      <c r="D34265" s="9"/>
      <c r="G34265" s="9"/>
      <c r="J34265" s="11"/>
      <c r="U34265" s="9"/>
      <c r="X34265" s="9"/>
    </row>
    <row r="34266">
      <c r="D34266" s="9"/>
      <c r="G34266" s="9"/>
      <c r="J34266" s="11"/>
      <c r="U34266" s="9"/>
      <c r="X34266" s="9"/>
    </row>
    <row r="34267">
      <c r="D34267" s="9"/>
      <c r="G34267" s="9"/>
      <c r="J34267" s="11"/>
      <c r="U34267" s="9"/>
      <c r="X34267" s="9"/>
    </row>
    <row r="34268">
      <c r="D34268" s="9"/>
      <c r="G34268" s="9"/>
      <c r="J34268" s="11"/>
      <c r="U34268" s="9"/>
      <c r="X34268" s="9"/>
    </row>
    <row r="34269">
      <c r="D34269" s="9"/>
      <c r="G34269" s="9"/>
      <c r="J34269" s="11"/>
      <c r="U34269" s="9"/>
      <c r="X34269" s="9"/>
    </row>
    <row r="34270">
      <c r="D34270" s="9"/>
      <c r="G34270" s="9"/>
      <c r="J34270" s="11"/>
      <c r="U34270" s="9"/>
      <c r="X34270" s="9"/>
    </row>
    <row r="34271">
      <c r="D34271" s="9"/>
      <c r="G34271" s="9"/>
      <c r="J34271" s="11"/>
      <c r="U34271" s="9"/>
      <c r="X34271" s="9"/>
    </row>
    <row r="34272">
      <c r="D34272" s="9"/>
      <c r="G34272" s="9"/>
      <c r="J34272" s="11"/>
      <c r="U34272" s="9"/>
      <c r="X34272" s="9"/>
    </row>
    <row r="34273">
      <c r="D34273" s="9"/>
      <c r="G34273" s="9"/>
      <c r="J34273" s="11"/>
      <c r="U34273" s="9"/>
      <c r="X34273" s="9"/>
    </row>
    <row r="34274">
      <c r="D34274" s="9"/>
      <c r="G34274" s="9"/>
      <c r="J34274" s="11"/>
      <c r="U34274" s="9"/>
      <c r="X34274" s="9"/>
    </row>
    <row r="34275">
      <c r="D34275" s="9"/>
      <c r="G34275" s="9"/>
      <c r="J34275" s="11"/>
      <c r="U34275" s="9"/>
      <c r="X34275" s="9"/>
    </row>
    <row r="34276">
      <c r="D34276" s="9"/>
      <c r="G34276" s="9"/>
      <c r="J34276" s="11"/>
      <c r="U34276" s="9"/>
      <c r="X34276" s="9"/>
    </row>
    <row r="34277">
      <c r="D34277" s="9"/>
      <c r="G34277" s="9"/>
      <c r="J34277" s="11"/>
      <c r="U34277" s="9"/>
      <c r="X34277" s="9"/>
    </row>
    <row r="34278">
      <c r="D34278" s="9"/>
      <c r="G34278" s="9"/>
      <c r="J34278" s="11"/>
      <c r="U34278" s="9"/>
      <c r="X34278" s="9"/>
    </row>
    <row r="34279">
      <c r="D34279" s="9"/>
      <c r="G34279" s="9"/>
      <c r="J34279" s="11"/>
      <c r="U34279" s="9"/>
      <c r="X34279" s="9"/>
    </row>
    <row r="34280">
      <c r="D34280" s="9"/>
      <c r="G34280" s="9"/>
      <c r="J34280" s="11"/>
      <c r="U34280" s="9"/>
      <c r="X34280" s="9"/>
    </row>
    <row r="34281">
      <c r="D34281" s="9"/>
      <c r="G34281" s="9"/>
      <c r="J34281" s="11"/>
      <c r="U34281" s="9"/>
      <c r="X34281" s="9"/>
    </row>
    <row r="34282">
      <c r="D34282" s="9"/>
      <c r="G34282" s="9"/>
      <c r="J34282" s="11"/>
      <c r="U34282" s="9"/>
      <c r="X34282" s="9"/>
    </row>
    <row r="34283">
      <c r="D34283" s="9"/>
      <c r="G34283" s="9"/>
      <c r="J34283" s="11"/>
      <c r="U34283" s="9"/>
      <c r="X34283" s="9"/>
    </row>
    <row r="34284">
      <c r="D34284" s="9"/>
      <c r="G34284" s="9"/>
      <c r="J34284" s="11"/>
      <c r="U34284" s="9"/>
      <c r="X34284" s="9"/>
    </row>
    <row r="34285">
      <c r="D34285" s="9"/>
      <c r="G34285" s="9"/>
      <c r="J34285" s="11"/>
      <c r="U34285" s="9"/>
      <c r="X34285" s="9"/>
    </row>
    <row r="34286">
      <c r="D34286" s="9"/>
      <c r="G34286" s="9"/>
      <c r="J34286" s="11"/>
      <c r="U34286" s="9"/>
      <c r="X34286" s="9"/>
    </row>
    <row r="34287">
      <c r="D34287" s="9"/>
      <c r="G34287" s="9"/>
      <c r="J34287" s="11"/>
      <c r="U34287" s="9"/>
      <c r="X34287" s="9"/>
    </row>
    <row r="34288">
      <c r="D34288" s="9"/>
      <c r="G34288" s="9"/>
      <c r="J34288" s="11"/>
      <c r="U34288" s="9"/>
      <c r="X34288" s="9"/>
    </row>
    <row r="34289">
      <c r="D34289" s="9"/>
      <c r="G34289" s="9"/>
      <c r="J34289" s="11"/>
      <c r="U34289" s="9"/>
      <c r="X34289" s="9"/>
    </row>
    <row r="34290">
      <c r="D34290" s="9"/>
      <c r="G34290" s="9"/>
      <c r="J34290" s="11"/>
      <c r="U34290" s="9"/>
      <c r="X34290" s="9"/>
    </row>
    <row r="34291">
      <c r="D34291" s="9"/>
      <c r="G34291" s="9"/>
      <c r="J34291" s="11"/>
      <c r="U34291" s="9"/>
      <c r="X34291" s="9"/>
    </row>
    <row r="34292">
      <c r="D34292" s="9"/>
      <c r="G34292" s="9"/>
      <c r="J34292" s="11"/>
      <c r="U34292" s="9"/>
      <c r="X34292" s="9"/>
    </row>
    <row r="34293">
      <c r="D34293" s="9"/>
      <c r="G34293" s="9"/>
      <c r="J34293" s="11"/>
      <c r="U34293" s="9"/>
      <c r="X34293" s="9"/>
    </row>
    <row r="34294">
      <c r="D34294" s="9"/>
      <c r="G34294" s="9"/>
      <c r="J34294" s="11"/>
      <c r="U34294" s="9"/>
      <c r="X34294" s="9"/>
    </row>
    <row r="34295">
      <c r="D34295" s="9"/>
      <c r="G34295" s="9"/>
      <c r="J34295" s="11"/>
      <c r="U34295" s="9"/>
      <c r="X34295" s="9"/>
    </row>
    <row r="34296">
      <c r="D34296" s="9"/>
      <c r="G34296" s="9"/>
      <c r="J34296" s="11"/>
      <c r="U34296" s="9"/>
      <c r="X34296" s="9"/>
    </row>
    <row r="34297">
      <c r="D34297" s="9"/>
      <c r="G34297" s="9"/>
      <c r="J34297" s="11"/>
      <c r="U34297" s="9"/>
      <c r="X34297" s="9"/>
    </row>
    <row r="34298">
      <c r="D34298" s="9"/>
      <c r="G34298" s="9"/>
      <c r="J34298" s="11"/>
      <c r="U34298" s="9"/>
      <c r="X34298" s="9"/>
    </row>
    <row r="34299">
      <c r="D34299" s="9"/>
      <c r="G34299" s="9"/>
      <c r="J34299" s="11"/>
      <c r="U34299" s="9"/>
      <c r="X34299" s="9"/>
    </row>
    <row r="34300">
      <c r="D34300" s="9"/>
      <c r="G34300" s="9"/>
      <c r="J34300" s="11"/>
      <c r="U34300" s="9"/>
      <c r="X34300" s="9"/>
    </row>
    <row r="34301">
      <c r="D34301" s="9"/>
      <c r="G34301" s="9"/>
      <c r="J34301" s="11"/>
      <c r="U34301" s="9"/>
      <c r="X34301" s="9"/>
    </row>
    <row r="34302">
      <c r="D34302" s="9"/>
      <c r="G34302" s="9"/>
      <c r="J34302" s="11"/>
      <c r="U34302" s="9"/>
      <c r="X34302" s="9"/>
    </row>
    <row r="34303">
      <c r="D34303" s="9"/>
      <c r="G34303" s="9"/>
      <c r="J34303" s="11"/>
      <c r="U34303" s="9"/>
      <c r="X34303" s="9"/>
    </row>
    <row r="34304">
      <c r="D34304" s="9"/>
      <c r="G34304" s="9"/>
      <c r="J34304" s="11"/>
      <c r="U34304" s="9"/>
      <c r="X34304" s="9"/>
    </row>
    <row r="34305">
      <c r="D34305" s="9"/>
      <c r="G34305" s="9"/>
      <c r="J34305" s="11"/>
      <c r="U34305" s="9"/>
      <c r="X34305" s="9"/>
    </row>
    <row r="34306">
      <c r="D34306" s="9"/>
      <c r="G34306" s="9"/>
      <c r="J34306" s="11"/>
      <c r="U34306" s="9"/>
      <c r="X34306" s="9"/>
    </row>
    <row r="34307">
      <c r="D34307" s="9"/>
      <c r="G34307" s="9"/>
      <c r="J34307" s="11"/>
      <c r="U34307" s="9"/>
      <c r="X34307" s="9"/>
    </row>
    <row r="34308">
      <c r="D34308" s="9"/>
      <c r="G34308" s="9"/>
      <c r="J34308" s="11"/>
      <c r="U34308" s="9"/>
      <c r="X34308" s="9"/>
    </row>
    <row r="34309">
      <c r="D34309" s="9"/>
      <c r="G34309" s="9"/>
      <c r="J34309" s="11"/>
      <c r="U34309" s="9"/>
      <c r="X34309" s="9"/>
    </row>
    <row r="34310">
      <c r="D34310" s="9"/>
      <c r="G34310" s="9"/>
      <c r="J34310" s="11"/>
      <c r="U34310" s="9"/>
      <c r="X34310" s="9"/>
    </row>
    <row r="34311">
      <c r="D34311" s="9"/>
      <c r="G34311" s="9"/>
      <c r="J34311" s="11"/>
      <c r="U34311" s="9"/>
      <c r="X34311" s="9"/>
    </row>
    <row r="34312">
      <c r="D34312" s="9"/>
      <c r="G34312" s="9"/>
      <c r="J34312" s="11"/>
      <c r="U34312" s="9"/>
      <c r="X34312" s="9"/>
    </row>
    <row r="34313">
      <c r="D34313" s="9"/>
      <c r="G34313" s="9"/>
      <c r="J34313" s="11"/>
      <c r="U34313" s="9"/>
      <c r="X34313" s="9"/>
    </row>
    <row r="34314">
      <c r="D34314" s="9"/>
      <c r="G34314" s="9"/>
      <c r="J34314" s="11"/>
      <c r="U34314" s="9"/>
      <c r="X34314" s="9"/>
    </row>
    <row r="34315">
      <c r="D34315" s="9"/>
      <c r="G34315" s="9"/>
      <c r="J34315" s="11"/>
      <c r="U34315" s="9"/>
      <c r="X34315" s="9"/>
    </row>
    <row r="34316">
      <c r="D34316" s="9"/>
      <c r="G34316" s="9"/>
      <c r="J34316" s="11"/>
      <c r="U34316" s="9"/>
      <c r="X34316" s="9"/>
    </row>
    <row r="34317">
      <c r="D34317" s="9"/>
      <c r="G34317" s="9"/>
      <c r="J34317" s="11"/>
      <c r="U34317" s="9"/>
      <c r="X34317" s="9"/>
    </row>
    <row r="34318">
      <c r="D34318" s="9"/>
      <c r="G34318" s="9"/>
      <c r="J34318" s="11"/>
      <c r="U34318" s="9"/>
      <c r="X34318" s="9"/>
    </row>
    <row r="34319">
      <c r="D34319" s="9"/>
      <c r="G34319" s="9"/>
      <c r="J34319" s="11"/>
      <c r="U34319" s="9"/>
      <c r="X34319" s="9"/>
    </row>
    <row r="34320">
      <c r="D34320" s="9"/>
      <c r="G34320" s="9"/>
      <c r="J34320" s="11"/>
      <c r="U34320" s="9"/>
      <c r="X34320" s="9"/>
    </row>
    <row r="34321">
      <c r="D34321" s="9"/>
      <c r="G34321" s="9"/>
      <c r="J34321" s="11"/>
      <c r="U34321" s="9"/>
      <c r="X34321" s="9"/>
    </row>
    <row r="34322">
      <c r="D34322" s="9"/>
      <c r="G34322" s="9"/>
      <c r="J34322" s="11"/>
      <c r="U34322" s="9"/>
      <c r="X34322" s="9"/>
    </row>
    <row r="34323">
      <c r="D34323" s="9"/>
      <c r="G34323" s="9"/>
      <c r="J34323" s="11"/>
      <c r="U34323" s="9"/>
      <c r="X34323" s="9"/>
    </row>
    <row r="34324">
      <c r="D34324" s="9"/>
      <c r="G34324" s="9"/>
      <c r="J34324" s="11"/>
      <c r="U34324" s="9"/>
      <c r="X34324" s="9"/>
    </row>
    <row r="34325">
      <c r="D34325" s="9"/>
      <c r="G34325" s="9"/>
      <c r="J34325" s="11"/>
      <c r="U34325" s="9"/>
      <c r="X34325" s="9"/>
    </row>
    <row r="34326">
      <c r="D34326" s="9"/>
      <c r="G34326" s="9"/>
      <c r="J34326" s="11"/>
      <c r="U34326" s="9"/>
      <c r="X34326" s="9"/>
    </row>
    <row r="34327">
      <c r="D34327" s="9"/>
      <c r="G34327" s="9"/>
      <c r="J34327" s="11"/>
      <c r="U34327" s="9"/>
      <c r="X34327" s="9"/>
    </row>
    <row r="34328">
      <c r="D34328" s="9"/>
      <c r="G34328" s="9"/>
      <c r="J34328" s="11"/>
      <c r="U34328" s="9"/>
      <c r="X34328" s="9"/>
    </row>
    <row r="34329">
      <c r="D34329" s="9"/>
      <c r="G34329" s="9"/>
      <c r="J34329" s="11"/>
      <c r="U34329" s="9"/>
      <c r="X34329" s="9"/>
    </row>
    <row r="34330">
      <c r="D34330" s="9"/>
      <c r="G34330" s="9"/>
      <c r="J34330" s="11"/>
      <c r="U34330" s="9"/>
      <c r="X34330" s="9"/>
    </row>
    <row r="34331">
      <c r="D34331" s="9"/>
      <c r="G34331" s="9"/>
      <c r="J34331" s="11"/>
      <c r="U34331" s="9"/>
      <c r="X34331" s="9"/>
    </row>
    <row r="34332">
      <c r="D34332" s="9"/>
      <c r="G34332" s="9"/>
      <c r="J34332" s="11"/>
      <c r="U34332" s="9"/>
      <c r="X34332" s="9"/>
    </row>
    <row r="34333">
      <c r="D34333" s="9"/>
      <c r="G34333" s="9"/>
      <c r="J34333" s="11"/>
      <c r="U34333" s="9"/>
      <c r="X34333" s="9"/>
    </row>
    <row r="34334">
      <c r="D34334" s="9"/>
      <c r="G34334" s="9"/>
      <c r="J34334" s="11"/>
      <c r="U34334" s="9"/>
      <c r="X34334" s="9"/>
    </row>
    <row r="34335">
      <c r="D34335" s="9"/>
      <c r="G34335" s="9"/>
      <c r="J34335" s="11"/>
      <c r="U34335" s="9"/>
      <c r="X34335" s="9"/>
    </row>
    <row r="34336">
      <c r="D34336" s="9"/>
      <c r="G34336" s="9"/>
      <c r="J34336" s="11"/>
      <c r="U34336" s="9"/>
      <c r="X34336" s="9"/>
    </row>
    <row r="34337">
      <c r="D34337" s="9"/>
      <c r="G34337" s="9"/>
      <c r="J34337" s="11"/>
      <c r="U34337" s="9"/>
      <c r="X34337" s="9"/>
    </row>
    <row r="34338">
      <c r="D34338" s="9"/>
      <c r="G34338" s="9"/>
      <c r="J34338" s="11"/>
      <c r="U34338" s="9"/>
      <c r="X34338" s="9"/>
    </row>
    <row r="34339">
      <c r="D34339" s="9"/>
      <c r="G34339" s="9"/>
      <c r="J34339" s="11"/>
      <c r="U34339" s="9"/>
      <c r="X34339" s="9"/>
    </row>
    <row r="34340">
      <c r="D34340" s="9"/>
      <c r="G34340" s="9"/>
      <c r="J34340" s="11"/>
      <c r="U34340" s="9"/>
      <c r="X34340" s="9"/>
    </row>
    <row r="34341">
      <c r="D34341" s="9"/>
      <c r="G34341" s="9"/>
      <c r="J34341" s="11"/>
      <c r="U34341" s="9"/>
      <c r="X34341" s="9"/>
    </row>
    <row r="34342">
      <c r="D34342" s="9"/>
      <c r="G34342" s="9"/>
      <c r="J34342" s="11"/>
      <c r="U34342" s="9"/>
      <c r="X34342" s="9"/>
    </row>
    <row r="34343">
      <c r="D34343" s="9"/>
      <c r="G34343" s="9"/>
      <c r="J34343" s="11"/>
      <c r="U34343" s="9"/>
      <c r="X34343" s="9"/>
    </row>
    <row r="34344">
      <c r="D34344" s="9"/>
      <c r="G34344" s="9"/>
      <c r="J34344" s="11"/>
      <c r="U34344" s="9"/>
      <c r="X34344" s="9"/>
    </row>
    <row r="34345">
      <c r="D34345" s="9"/>
      <c r="G34345" s="9"/>
      <c r="J34345" s="11"/>
      <c r="U34345" s="9"/>
      <c r="X34345" s="9"/>
    </row>
    <row r="34346">
      <c r="D34346" s="9"/>
      <c r="G34346" s="9"/>
      <c r="J34346" s="11"/>
      <c r="U34346" s="9"/>
      <c r="X34346" s="9"/>
    </row>
    <row r="34347">
      <c r="D34347" s="9"/>
      <c r="G34347" s="9"/>
      <c r="J34347" s="11"/>
      <c r="U34347" s="9"/>
      <c r="X34347" s="9"/>
    </row>
    <row r="34348">
      <c r="D34348" s="9"/>
      <c r="G34348" s="9"/>
      <c r="J34348" s="11"/>
      <c r="U34348" s="9"/>
      <c r="X34348" s="9"/>
    </row>
    <row r="34349">
      <c r="D34349" s="9"/>
      <c r="G34349" s="9"/>
      <c r="J34349" s="11"/>
      <c r="U34349" s="9"/>
      <c r="X34349" s="9"/>
    </row>
    <row r="34350">
      <c r="D34350" s="9"/>
      <c r="G34350" s="9"/>
      <c r="J34350" s="11"/>
      <c r="U34350" s="9"/>
      <c r="X34350" s="9"/>
    </row>
    <row r="34351">
      <c r="D34351" s="9"/>
      <c r="G34351" s="9"/>
      <c r="J34351" s="11"/>
      <c r="U34351" s="9"/>
      <c r="X34351" s="9"/>
    </row>
    <row r="34352">
      <c r="D34352" s="9"/>
      <c r="G34352" s="9"/>
      <c r="J34352" s="11"/>
      <c r="U34352" s="9"/>
      <c r="X34352" s="9"/>
    </row>
    <row r="34353">
      <c r="D34353" s="9"/>
      <c r="G34353" s="9"/>
      <c r="J34353" s="11"/>
      <c r="U34353" s="9"/>
      <c r="X34353" s="9"/>
    </row>
    <row r="34354">
      <c r="D34354" s="9"/>
      <c r="G34354" s="9"/>
      <c r="J34354" s="11"/>
      <c r="U34354" s="9"/>
      <c r="X34354" s="9"/>
    </row>
    <row r="34355">
      <c r="D34355" s="9"/>
      <c r="G34355" s="9"/>
      <c r="J34355" s="11"/>
      <c r="U34355" s="9"/>
      <c r="X34355" s="9"/>
    </row>
    <row r="34356">
      <c r="D34356" s="9"/>
      <c r="G34356" s="9"/>
      <c r="J34356" s="11"/>
      <c r="U34356" s="9"/>
      <c r="X34356" s="9"/>
    </row>
    <row r="34357">
      <c r="D34357" s="9"/>
      <c r="G34357" s="9"/>
      <c r="J34357" s="11"/>
      <c r="U34357" s="9"/>
      <c r="X34357" s="9"/>
    </row>
    <row r="34358">
      <c r="D34358" s="9"/>
      <c r="G34358" s="9"/>
      <c r="J34358" s="11"/>
      <c r="U34358" s="9"/>
      <c r="X34358" s="9"/>
    </row>
    <row r="34359">
      <c r="D34359" s="9"/>
      <c r="G34359" s="9"/>
      <c r="J34359" s="11"/>
      <c r="U34359" s="9"/>
      <c r="X34359" s="9"/>
    </row>
    <row r="34360">
      <c r="D34360" s="9"/>
      <c r="G34360" s="9"/>
      <c r="J34360" s="11"/>
      <c r="U34360" s="9"/>
      <c r="X34360" s="9"/>
    </row>
    <row r="34361">
      <c r="D34361" s="9"/>
      <c r="G34361" s="9"/>
      <c r="J34361" s="11"/>
      <c r="U34361" s="9"/>
      <c r="X34361" s="9"/>
    </row>
    <row r="34362">
      <c r="D34362" s="9"/>
      <c r="G34362" s="9"/>
      <c r="J34362" s="11"/>
      <c r="U34362" s="9"/>
      <c r="X34362" s="9"/>
    </row>
    <row r="34363">
      <c r="D34363" s="9"/>
      <c r="G34363" s="9"/>
      <c r="J34363" s="11"/>
      <c r="U34363" s="9"/>
      <c r="X34363" s="9"/>
    </row>
    <row r="34364">
      <c r="D34364" s="9"/>
      <c r="G34364" s="9"/>
      <c r="J34364" s="11"/>
      <c r="U34364" s="9"/>
      <c r="X34364" s="9"/>
    </row>
    <row r="34365">
      <c r="D34365" s="9"/>
      <c r="G34365" s="9"/>
      <c r="J34365" s="11"/>
      <c r="U34365" s="9"/>
      <c r="X34365" s="9"/>
    </row>
    <row r="34366">
      <c r="D34366" s="9"/>
      <c r="G34366" s="9"/>
      <c r="J34366" s="11"/>
      <c r="U34366" s="9"/>
      <c r="X34366" s="9"/>
    </row>
    <row r="34367">
      <c r="D34367" s="9"/>
      <c r="G34367" s="9"/>
      <c r="J34367" s="11"/>
      <c r="U34367" s="9"/>
      <c r="X34367" s="9"/>
    </row>
    <row r="34368">
      <c r="D34368" s="9"/>
      <c r="G34368" s="9"/>
      <c r="J34368" s="11"/>
      <c r="U34368" s="9"/>
      <c r="X34368" s="9"/>
    </row>
    <row r="34369">
      <c r="D34369" s="9"/>
      <c r="G34369" s="9"/>
      <c r="J34369" s="11"/>
      <c r="U34369" s="9"/>
      <c r="X34369" s="9"/>
    </row>
    <row r="34370">
      <c r="D34370" s="9"/>
      <c r="G34370" s="9"/>
      <c r="J34370" s="11"/>
      <c r="U34370" s="9"/>
      <c r="X34370" s="9"/>
    </row>
    <row r="34371">
      <c r="D34371" s="9"/>
      <c r="G34371" s="9"/>
      <c r="J34371" s="11"/>
      <c r="U34371" s="9"/>
      <c r="X34371" s="9"/>
    </row>
    <row r="34372">
      <c r="D34372" s="9"/>
      <c r="G34372" s="9"/>
      <c r="J34372" s="11"/>
      <c r="U34372" s="9"/>
      <c r="X34372" s="9"/>
    </row>
    <row r="34373">
      <c r="D34373" s="9"/>
      <c r="G34373" s="9"/>
      <c r="J34373" s="11"/>
      <c r="U34373" s="9"/>
      <c r="X34373" s="9"/>
    </row>
    <row r="34374">
      <c r="D34374" s="9"/>
      <c r="G34374" s="9"/>
      <c r="J34374" s="11"/>
      <c r="U34374" s="9"/>
      <c r="X34374" s="9"/>
    </row>
    <row r="34375">
      <c r="D34375" s="9"/>
      <c r="G34375" s="9"/>
      <c r="J34375" s="11"/>
      <c r="U34375" s="9"/>
      <c r="X34375" s="9"/>
    </row>
    <row r="34376">
      <c r="D34376" s="9"/>
      <c r="G34376" s="9"/>
      <c r="J34376" s="11"/>
      <c r="U34376" s="9"/>
      <c r="X34376" s="9"/>
    </row>
    <row r="34377">
      <c r="D34377" s="9"/>
      <c r="G34377" s="9"/>
      <c r="J34377" s="11"/>
      <c r="U34377" s="9"/>
      <c r="X34377" s="9"/>
    </row>
    <row r="34378">
      <c r="D34378" s="9"/>
      <c r="G34378" s="9"/>
      <c r="J34378" s="11"/>
      <c r="U34378" s="9"/>
      <c r="X34378" s="9"/>
    </row>
    <row r="34379">
      <c r="D34379" s="9"/>
      <c r="G34379" s="9"/>
      <c r="J34379" s="11"/>
      <c r="U34379" s="9"/>
      <c r="X34379" s="9"/>
    </row>
    <row r="34380">
      <c r="D34380" s="9"/>
      <c r="G34380" s="9"/>
      <c r="J34380" s="11"/>
      <c r="U34380" s="9"/>
      <c r="X34380" s="9"/>
    </row>
    <row r="34381">
      <c r="D34381" s="9"/>
      <c r="G34381" s="9"/>
      <c r="J34381" s="11"/>
      <c r="U34381" s="9"/>
      <c r="X34381" s="9"/>
    </row>
    <row r="34382">
      <c r="D34382" s="9"/>
      <c r="G34382" s="9"/>
      <c r="J34382" s="11"/>
      <c r="U34382" s="9"/>
      <c r="X34382" s="9"/>
    </row>
    <row r="34383">
      <c r="D34383" s="9"/>
      <c r="G34383" s="9"/>
      <c r="J34383" s="11"/>
      <c r="U34383" s="9"/>
      <c r="X34383" s="9"/>
    </row>
    <row r="34384">
      <c r="D34384" s="9"/>
      <c r="G34384" s="9"/>
      <c r="J34384" s="11"/>
      <c r="U34384" s="9"/>
      <c r="X34384" s="9"/>
    </row>
    <row r="34385">
      <c r="D34385" s="9"/>
      <c r="G34385" s="9"/>
      <c r="J34385" s="11"/>
      <c r="U34385" s="9"/>
      <c r="X34385" s="9"/>
    </row>
    <row r="34386">
      <c r="D34386" s="9"/>
      <c r="G34386" s="9"/>
      <c r="J34386" s="11"/>
      <c r="U34386" s="9"/>
      <c r="X34386" s="9"/>
    </row>
    <row r="34387">
      <c r="D34387" s="9"/>
      <c r="G34387" s="9"/>
      <c r="J34387" s="11"/>
      <c r="U34387" s="9"/>
      <c r="X34387" s="9"/>
    </row>
    <row r="34388">
      <c r="D34388" s="9"/>
      <c r="G34388" s="9"/>
      <c r="J34388" s="11"/>
      <c r="U34388" s="9"/>
      <c r="X34388" s="9"/>
    </row>
    <row r="34389">
      <c r="D34389" s="9"/>
      <c r="G34389" s="9"/>
      <c r="J34389" s="11"/>
      <c r="U34389" s="9"/>
      <c r="X34389" s="9"/>
    </row>
    <row r="34390">
      <c r="D34390" s="9"/>
      <c r="G34390" s="9"/>
      <c r="J34390" s="11"/>
      <c r="U34390" s="9"/>
      <c r="X34390" s="9"/>
    </row>
    <row r="34391">
      <c r="D34391" s="9"/>
      <c r="G34391" s="9"/>
      <c r="J34391" s="11"/>
      <c r="U34391" s="9"/>
      <c r="X34391" s="9"/>
    </row>
    <row r="34392">
      <c r="D34392" s="9"/>
      <c r="G34392" s="9"/>
      <c r="J34392" s="11"/>
      <c r="U34392" s="9"/>
      <c r="X34392" s="9"/>
    </row>
    <row r="34393">
      <c r="D34393" s="9"/>
      <c r="G34393" s="9"/>
      <c r="J34393" s="11"/>
      <c r="U34393" s="9"/>
      <c r="X34393" s="9"/>
    </row>
    <row r="34394">
      <c r="D34394" s="9"/>
      <c r="G34394" s="9"/>
      <c r="J34394" s="11"/>
      <c r="U34394" s="9"/>
      <c r="X34394" s="9"/>
    </row>
    <row r="34395">
      <c r="D34395" s="9"/>
      <c r="G34395" s="9"/>
      <c r="J34395" s="11"/>
      <c r="U34395" s="9"/>
      <c r="X34395" s="9"/>
    </row>
    <row r="34396">
      <c r="D34396" s="9"/>
      <c r="G34396" s="9"/>
      <c r="J34396" s="11"/>
      <c r="U34396" s="9"/>
      <c r="X34396" s="9"/>
    </row>
    <row r="34397">
      <c r="D34397" s="9"/>
      <c r="G34397" s="9"/>
      <c r="J34397" s="11"/>
      <c r="U34397" s="9"/>
      <c r="X34397" s="9"/>
    </row>
    <row r="34398">
      <c r="D34398" s="9"/>
      <c r="G34398" s="9"/>
      <c r="J34398" s="11"/>
      <c r="U34398" s="9"/>
      <c r="X34398" s="9"/>
    </row>
    <row r="34399">
      <c r="D34399" s="9"/>
      <c r="G34399" s="9"/>
      <c r="J34399" s="11"/>
      <c r="U34399" s="9"/>
      <c r="X34399" s="9"/>
    </row>
    <row r="34400">
      <c r="D34400" s="9"/>
      <c r="G34400" s="9"/>
      <c r="J34400" s="11"/>
      <c r="U34400" s="9"/>
      <c r="X34400" s="9"/>
    </row>
    <row r="34401">
      <c r="D34401" s="9"/>
      <c r="G34401" s="9"/>
      <c r="J34401" s="11"/>
      <c r="U34401" s="9"/>
      <c r="X34401" s="9"/>
    </row>
    <row r="34402">
      <c r="D34402" s="9"/>
      <c r="G34402" s="9"/>
      <c r="J34402" s="11"/>
      <c r="U34402" s="9"/>
      <c r="X34402" s="9"/>
    </row>
    <row r="34403">
      <c r="D34403" s="9"/>
      <c r="G34403" s="9"/>
      <c r="J34403" s="11"/>
      <c r="U34403" s="9"/>
      <c r="X34403" s="9"/>
    </row>
    <row r="34404">
      <c r="D34404" s="9"/>
      <c r="G34404" s="9"/>
      <c r="J34404" s="11"/>
      <c r="U34404" s="9"/>
      <c r="X34404" s="9"/>
    </row>
    <row r="34405">
      <c r="D34405" s="9"/>
      <c r="G34405" s="9"/>
      <c r="J34405" s="11"/>
      <c r="U34405" s="9"/>
      <c r="X34405" s="9"/>
    </row>
    <row r="34406">
      <c r="D34406" s="9"/>
      <c r="G34406" s="9"/>
      <c r="J34406" s="11"/>
      <c r="U34406" s="9"/>
      <c r="X34406" s="9"/>
    </row>
    <row r="34407">
      <c r="D34407" s="9"/>
      <c r="G34407" s="9"/>
      <c r="J34407" s="11"/>
      <c r="U34407" s="9"/>
      <c r="X34407" s="9"/>
    </row>
    <row r="34408">
      <c r="D34408" s="9"/>
      <c r="G34408" s="9"/>
      <c r="J34408" s="11"/>
      <c r="U34408" s="9"/>
      <c r="X34408" s="9"/>
    </row>
    <row r="34409">
      <c r="D34409" s="9"/>
      <c r="G34409" s="9"/>
      <c r="J34409" s="11"/>
      <c r="U34409" s="9"/>
      <c r="X34409" s="9"/>
    </row>
    <row r="34410">
      <c r="D34410" s="9"/>
      <c r="G34410" s="9"/>
      <c r="J34410" s="11"/>
      <c r="U34410" s="9"/>
      <c r="X34410" s="9"/>
    </row>
    <row r="34411">
      <c r="D34411" s="9"/>
      <c r="G34411" s="9"/>
      <c r="J34411" s="11"/>
      <c r="U34411" s="9"/>
      <c r="X34411" s="9"/>
    </row>
    <row r="34412">
      <c r="D34412" s="9"/>
      <c r="G34412" s="9"/>
      <c r="J34412" s="11"/>
      <c r="U34412" s="9"/>
      <c r="X34412" s="9"/>
    </row>
    <row r="34413">
      <c r="D34413" s="9"/>
      <c r="G34413" s="9"/>
      <c r="J34413" s="11"/>
      <c r="U34413" s="9"/>
      <c r="X34413" s="9"/>
    </row>
    <row r="34414">
      <c r="D34414" s="9"/>
      <c r="G34414" s="9"/>
      <c r="J34414" s="11"/>
      <c r="U34414" s="9"/>
      <c r="X34414" s="9"/>
    </row>
    <row r="34415">
      <c r="D34415" s="9"/>
      <c r="G34415" s="9"/>
      <c r="J34415" s="11"/>
      <c r="U34415" s="9"/>
      <c r="X34415" s="9"/>
    </row>
    <row r="34416">
      <c r="D34416" s="9"/>
      <c r="G34416" s="9"/>
      <c r="J34416" s="11"/>
      <c r="U34416" s="9"/>
      <c r="X34416" s="9"/>
    </row>
    <row r="34417">
      <c r="D34417" s="9"/>
      <c r="G34417" s="9"/>
      <c r="J34417" s="11"/>
      <c r="U34417" s="9"/>
      <c r="X34417" s="9"/>
    </row>
    <row r="34418">
      <c r="D34418" s="9"/>
      <c r="G34418" s="9"/>
      <c r="J34418" s="11"/>
      <c r="U34418" s="9"/>
      <c r="X34418" s="9"/>
    </row>
    <row r="34419">
      <c r="D34419" s="9"/>
      <c r="G34419" s="9"/>
      <c r="J34419" s="11"/>
      <c r="U34419" s="9"/>
      <c r="X34419" s="9"/>
    </row>
    <row r="34420">
      <c r="D34420" s="9"/>
      <c r="G34420" s="9"/>
      <c r="J34420" s="11"/>
      <c r="U34420" s="9"/>
      <c r="X34420" s="9"/>
    </row>
    <row r="34421">
      <c r="D34421" s="9"/>
      <c r="G34421" s="9"/>
      <c r="J34421" s="11"/>
      <c r="U34421" s="9"/>
      <c r="X34421" s="9"/>
    </row>
    <row r="34422">
      <c r="D34422" s="9"/>
      <c r="G34422" s="9"/>
      <c r="J34422" s="11"/>
      <c r="U34422" s="9"/>
      <c r="X34422" s="9"/>
    </row>
    <row r="34423">
      <c r="D34423" s="9"/>
      <c r="G34423" s="9"/>
      <c r="J34423" s="11"/>
      <c r="U34423" s="9"/>
      <c r="X34423" s="9"/>
    </row>
    <row r="34424">
      <c r="D34424" s="9"/>
      <c r="G34424" s="9"/>
      <c r="J34424" s="11"/>
      <c r="U34424" s="9"/>
      <c r="X34424" s="9"/>
    </row>
    <row r="34425">
      <c r="D34425" s="9"/>
      <c r="G34425" s="9"/>
      <c r="J34425" s="11"/>
      <c r="U34425" s="9"/>
      <c r="X34425" s="9"/>
    </row>
    <row r="34426">
      <c r="D34426" s="9"/>
      <c r="G34426" s="9"/>
      <c r="J34426" s="11"/>
      <c r="U34426" s="9"/>
      <c r="X34426" s="9"/>
    </row>
    <row r="34427">
      <c r="D34427" s="9"/>
      <c r="G34427" s="9"/>
      <c r="J34427" s="11"/>
      <c r="U34427" s="9"/>
      <c r="X34427" s="9"/>
    </row>
    <row r="34428">
      <c r="D34428" s="9"/>
      <c r="G34428" s="9"/>
      <c r="J34428" s="11"/>
      <c r="U34428" s="9"/>
      <c r="X34428" s="9"/>
    </row>
    <row r="34429">
      <c r="D34429" s="9"/>
      <c r="G34429" s="9"/>
      <c r="J34429" s="11"/>
      <c r="U34429" s="9"/>
      <c r="X34429" s="9"/>
    </row>
    <row r="34430">
      <c r="D34430" s="9"/>
      <c r="G34430" s="9"/>
      <c r="J34430" s="11"/>
      <c r="U34430" s="9"/>
      <c r="X34430" s="9"/>
    </row>
    <row r="34431">
      <c r="D34431" s="9"/>
      <c r="G34431" s="9"/>
      <c r="J34431" s="11"/>
      <c r="U34431" s="9"/>
      <c r="X34431" s="9"/>
    </row>
    <row r="34432">
      <c r="D34432" s="9"/>
      <c r="G34432" s="9"/>
      <c r="J34432" s="11"/>
      <c r="U34432" s="9"/>
      <c r="X34432" s="9"/>
    </row>
    <row r="34433">
      <c r="D34433" s="9"/>
      <c r="G34433" s="9"/>
      <c r="J34433" s="11"/>
      <c r="U34433" s="9"/>
      <c r="X34433" s="9"/>
    </row>
    <row r="34434">
      <c r="D34434" s="9"/>
      <c r="G34434" s="9"/>
      <c r="J34434" s="11"/>
      <c r="U34434" s="9"/>
      <c r="X34434" s="9"/>
    </row>
    <row r="34435">
      <c r="D34435" s="9"/>
      <c r="G34435" s="9"/>
      <c r="J34435" s="11"/>
      <c r="U34435" s="9"/>
      <c r="X34435" s="9"/>
    </row>
    <row r="34436">
      <c r="D34436" s="9"/>
      <c r="G34436" s="9"/>
      <c r="J34436" s="11"/>
      <c r="U34436" s="9"/>
      <c r="X34436" s="9"/>
    </row>
    <row r="34437">
      <c r="D34437" s="9"/>
      <c r="G34437" s="9"/>
      <c r="J34437" s="11"/>
      <c r="U34437" s="9"/>
      <c r="X34437" s="9"/>
    </row>
    <row r="34438">
      <c r="D34438" s="9"/>
      <c r="G34438" s="9"/>
      <c r="J34438" s="11"/>
      <c r="U34438" s="9"/>
      <c r="X34438" s="9"/>
    </row>
    <row r="34439">
      <c r="D34439" s="9"/>
      <c r="G34439" s="9"/>
      <c r="J34439" s="11"/>
      <c r="U34439" s="9"/>
      <c r="X34439" s="9"/>
    </row>
    <row r="34440">
      <c r="D34440" s="9"/>
      <c r="G34440" s="9"/>
      <c r="J34440" s="11"/>
      <c r="U34440" s="9"/>
      <c r="X34440" s="9"/>
    </row>
    <row r="34441">
      <c r="D34441" s="9"/>
      <c r="G34441" s="9"/>
      <c r="J34441" s="11"/>
      <c r="U34441" s="9"/>
      <c r="X34441" s="9"/>
    </row>
    <row r="34442">
      <c r="D34442" s="9"/>
      <c r="G34442" s="9"/>
      <c r="J34442" s="11"/>
      <c r="U34442" s="9"/>
      <c r="X34442" s="9"/>
    </row>
    <row r="34443">
      <c r="D34443" s="9"/>
      <c r="G34443" s="9"/>
      <c r="J34443" s="11"/>
      <c r="U34443" s="9"/>
      <c r="X34443" s="9"/>
    </row>
    <row r="34444">
      <c r="D34444" s="9"/>
      <c r="G34444" s="9"/>
      <c r="J34444" s="11"/>
      <c r="U34444" s="9"/>
      <c r="X34444" s="9"/>
    </row>
    <row r="34445">
      <c r="D34445" s="9"/>
      <c r="G34445" s="9"/>
      <c r="J34445" s="11"/>
      <c r="U34445" s="9"/>
      <c r="X34445" s="9"/>
    </row>
    <row r="34446">
      <c r="D34446" s="9"/>
      <c r="G34446" s="9"/>
      <c r="J34446" s="11"/>
      <c r="U34446" s="9"/>
      <c r="X34446" s="9"/>
    </row>
    <row r="34447">
      <c r="D34447" s="9"/>
      <c r="G34447" s="9"/>
      <c r="J34447" s="11"/>
      <c r="U34447" s="9"/>
      <c r="X34447" s="9"/>
    </row>
    <row r="34448">
      <c r="D34448" s="9"/>
      <c r="G34448" s="9"/>
      <c r="J34448" s="11"/>
      <c r="U34448" s="9"/>
      <c r="X34448" s="9"/>
    </row>
    <row r="34449">
      <c r="D34449" s="9"/>
      <c r="G34449" s="9"/>
      <c r="J34449" s="11"/>
      <c r="U34449" s="9"/>
      <c r="X34449" s="9"/>
    </row>
    <row r="34450">
      <c r="D34450" s="9"/>
      <c r="G34450" s="9"/>
      <c r="J34450" s="11"/>
      <c r="U34450" s="9"/>
      <c r="X34450" s="9"/>
    </row>
    <row r="34451">
      <c r="D34451" s="9"/>
      <c r="G34451" s="9"/>
      <c r="J34451" s="11"/>
      <c r="U34451" s="9"/>
      <c r="X34451" s="9"/>
    </row>
    <row r="34452">
      <c r="D34452" s="9"/>
      <c r="G34452" s="9"/>
      <c r="J34452" s="11"/>
      <c r="U34452" s="9"/>
      <c r="X34452" s="9"/>
    </row>
    <row r="34453">
      <c r="D34453" s="9"/>
      <c r="G34453" s="9"/>
      <c r="J34453" s="11"/>
      <c r="U34453" s="9"/>
      <c r="X34453" s="9"/>
    </row>
    <row r="34454">
      <c r="D34454" s="9"/>
      <c r="G34454" s="9"/>
      <c r="J34454" s="11"/>
      <c r="U34454" s="9"/>
      <c r="X34454" s="9"/>
    </row>
    <row r="34455">
      <c r="D34455" s="9"/>
      <c r="G34455" s="9"/>
      <c r="J34455" s="11"/>
      <c r="U34455" s="9"/>
      <c r="X34455" s="9"/>
    </row>
    <row r="34456">
      <c r="D34456" s="9"/>
      <c r="G34456" s="9"/>
      <c r="J34456" s="11"/>
      <c r="U34456" s="9"/>
      <c r="X34456" s="9"/>
    </row>
    <row r="34457">
      <c r="D34457" s="9"/>
      <c r="G34457" s="9"/>
      <c r="J34457" s="11"/>
      <c r="U34457" s="9"/>
      <c r="X34457" s="9"/>
    </row>
    <row r="34458">
      <c r="D34458" s="9"/>
      <c r="G34458" s="9"/>
      <c r="J34458" s="11"/>
      <c r="U34458" s="9"/>
      <c r="X34458" s="9"/>
    </row>
    <row r="34459">
      <c r="D34459" s="9"/>
      <c r="G34459" s="9"/>
      <c r="J34459" s="11"/>
      <c r="U34459" s="9"/>
      <c r="X34459" s="9"/>
    </row>
    <row r="34460">
      <c r="D34460" s="9"/>
      <c r="G34460" s="9"/>
      <c r="J34460" s="11"/>
      <c r="U34460" s="9"/>
      <c r="X34460" s="9"/>
    </row>
    <row r="34461">
      <c r="D34461" s="9"/>
      <c r="G34461" s="9"/>
      <c r="J34461" s="11"/>
      <c r="U34461" s="9"/>
      <c r="X34461" s="9"/>
    </row>
    <row r="34462">
      <c r="D34462" s="9"/>
      <c r="G34462" s="9"/>
      <c r="J34462" s="11"/>
      <c r="U34462" s="9"/>
      <c r="X34462" s="9"/>
    </row>
    <row r="34463">
      <c r="D34463" s="9"/>
      <c r="G34463" s="9"/>
      <c r="J34463" s="11"/>
      <c r="U34463" s="9"/>
      <c r="X34463" s="9"/>
    </row>
    <row r="34464">
      <c r="D34464" s="9"/>
      <c r="G34464" s="9"/>
      <c r="J34464" s="11"/>
      <c r="U34464" s="9"/>
      <c r="X34464" s="9"/>
    </row>
    <row r="34465">
      <c r="D34465" s="9"/>
      <c r="G34465" s="9"/>
      <c r="J34465" s="11"/>
      <c r="U34465" s="9"/>
      <c r="X34465" s="9"/>
    </row>
    <row r="34466">
      <c r="D34466" s="9"/>
      <c r="G34466" s="9"/>
      <c r="J34466" s="11"/>
      <c r="U34466" s="9"/>
      <c r="X34466" s="9"/>
    </row>
    <row r="34467">
      <c r="D34467" s="9"/>
      <c r="G34467" s="9"/>
      <c r="J34467" s="11"/>
      <c r="U34467" s="9"/>
      <c r="X34467" s="9"/>
    </row>
    <row r="34468">
      <c r="D34468" s="9"/>
      <c r="G34468" s="9"/>
      <c r="J34468" s="11"/>
      <c r="U34468" s="9"/>
      <c r="X34468" s="9"/>
    </row>
    <row r="34469">
      <c r="D34469" s="9"/>
      <c r="G34469" s="9"/>
      <c r="J34469" s="11"/>
      <c r="U34469" s="9"/>
      <c r="X34469" s="9"/>
    </row>
    <row r="34470">
      <c r="D34470" s="9"/>
      <c r="G34470" s="9"/>
      <c r="J34470" s="11"/>
      <c r="U34470" s="9"/>
      <c r="X34470" s="9"/>
    </row>
    <row r="34471">
      <c r="D34471" s="9"/>
      <c r="G34471" s="9"/>
      <c r="J34471" s="11"/>
      <c r="U34471" s="9"/>
      <c r="X34471" s="9"/>
    </row>
    <row r="34472">
      <c r="D34472" s="9"/>
      <c r="G34472" s="9"/>
      <c r="J34472" s="11"/>
      <c r="U34472" s="9"/>
      <c r="X34472" s="9"/>
    </row>
    <row r="34473">
      <c r="D34473" s="9"/>
      <c r="G34473" s="9"/>
      <c r="J34473" s="11"/>
      <c r="U34473" s="9"/>
      <c r="X34473" s="9"/>
    </row>
    <row r="34474">
      <c r="D34474" s="9"/>
      <c r="G34474" s="9"/>
      <c r="J34474" s="11"/>
      <c r="U34474" s="9"/>
      <c r="X34474" s="9"/>
    </row>
    <row r="34475">
      <c r="D34475" s="9"/>
      <c r="G34475" s="9"/>
      <c r="J34475" s="11"/>
      <c r="U34475" s="9"/>
      <c r="X34475" s="9"/>
    </row>
    <row r="34476">
      <c r="D34476" s="9"/>
      <c r="G34476" s="9"/>
      <c r="J34476" s="11"/>
      <c r="U34476" s="9"/>
      <c r="X34476" s="9"/>
    </row>
    <row r="34477">
      <c r="D34477" s="9"/>
      <c r="G34477" s="9"/>
      <c r="J34477" s="11"/>
      <c r="U34477" s="9"/>
      <c r="X34477" s="9"/>
    </row>
    <row r="34478">
      <c r="D34478" s="9"/>
      <c r="G34478" s="9"/>
      <c r="J34478" s="11"/>
      <c r="U34478" s="9"/>
      <c r="X34478" s="9"/>
    </row>
    <row r="34479">
      <c r="D34479" s="9"/>
      <c r="G34479" s="9"/>
      <c r="J34479" s="11"/>
      <c r="U34479" s="9"/>
      <c r="X34479" s="9"/>
    </row>
    <row r="34480">
      <c r="D34480" s="9"/>
      <c r="G34480" s="9"/>
      <c r="J34480" s="11"/>
      <c r="U34480" s="9"/>
      <c r="X34480" s="9"/>
    </row>
    <row r="34481">
      <c r="D34481" s="9"/>
      <c r="G34481" s="9"/>
      <c r="J34481" s="11"/>
      <c r="U34481" s="9"/>
      <c r="X34481" s="9"/>
    </row>
    <row r="34482">
      <c r="D34482" s="9"/>
      <c r="G34482" s="9"/>
      <c r="J34482" s="11"/>
      <c r="U34482" s="9"/>
      <c r="X34482" s="9"/>
    </row>
    <row r="34483">
      <c r="D34483" s="9"/>
      <c r="G34483" s="9"/>
      <c r="J34483" s="11"/>
      <c r="U34483" s="9"/>
      <c r="X34483" s="9"/>
    </row>
    <row r="34484">
      <c r="D34484" s="9"/>
      <c r="G34484" s="9"/>
      <c r="J34484" s="11"/>
      <c r="U34484" s="9"/>
      <c r="X34484" s="9"/>
    </row>
    <row r="34485">
      <c r="D34485" s="9"/>
      <c r="G34485" s="9"/>
      <c r="J34485" s="11"/>
      <c r="U34485" s="9"/>
      <c r="X34485" s="9"/>
    </row>
    <row r="34486">
      <c r="D34486" s="9"/>
      <c r="G34486" s="9"/>
      <c r="J34486" s="11"/>
      <c r="U34486" s="9"/>
      <c r="X34486" s="9"/>
    </row>
    <row r="34487">
      <c r="D34487" s="9"/>
      <c r="G34487" s="9"/>
      <c r="J34487" s="11"/>
      <c r="U34487" s="9"/>
      <c r="X34487" s="9"/>
    </row>
    <row r="34488">
      <c r="D34488" s="9"/>
      <c r="G34488" s="9"/>
      <c r="J34488" s="11"/>
      <c r="U34488" s="9"/>
      <c r="X34488" s="9"/>
    </row>
    <row r="34489">
      <c r="D34489" s="9"/>
      <c r="G34489" s="9"/>
      <c r="J34489" s="11"/>
      <c r="U34489" s="9"/>
      <c r="X34489" s="9"/>
    </row>
    <row r="34490">
      <c r="D34490" s="9"/>
      <c r="G34490" s="9"/>
      <c r="J34490" s="11"/>
      <c r="U34490" s="9"/>
      <c r="X34490" s="9"/>
    </row>
    <row r="34491">
      <c r="D34491" s="9"/>
      <c r="G34491" s="9"/>
      <c r="J34491" s="11"/>
      <c r="U34491" s="9"/>
      <c r="X34491" s="9"/>
    </row>
    <row r="34492">
      <c r="D34492" s="9"/>
      <c r="G34492" s="9"/>
      <c r="J34492" s="11"/>
      <c r="U34492" s="9"/>
      <c r="X34492" s="9"/>
    </row>
    <row r="34493">
      <c r="D34493" s="9"/>
      <c r="G34493" s="9"/>
      <c r="J34493" s="11"/>
      <c r="U34493" s="9"/>
      <c r="X34493" s="9"/>
    </row>
    <row r="34494">
      <c r="D34494" s="9"/>
      <c r="G34494" s="9"/>
      <c r="J34494" s="11"/>
      <c r="U34494" s="9"/>
      <c r="X34494" s="9"/>
    </row>
    <row r="34495">
      <c r="D34495" s="9"/>
      <c r="G34495" s="9"/>
      <c r="J34495" s="11"/>
      <c r="U34495" s="9"/>
      <c r="X34495" s="9"/>
    </row>
    <row r="34496">
      <c r="D34496" s="9"/>
      <c r="G34496" s="9"/>
      <c r="J34496" s="11"/>
      <c r="U34496" s="9"/>
      <c r="X34496" s="9"/>
    </row>
    <row r="34497">
      <c r="D34497" s="9"/>
      <c r="G34497" s="9"/>
      <c r="J34497" s="11"/>
      <c r="U34497" s="9"/>
      <c r="X34497" s="9"/>
    </row>
    <row r="34498">
      <c r="D34498" s="9"/>
      <c r="G34498" s="9"/>
      <c r="J34498" s="11"/>
      <c r="U34498" s="9"/>
      <c r="X34498" s="9"/>
    </row>
    <row r="34499">
      <c r="D34499" s="9"/>
      <c r="G34499" s="9"/>
      <c r="J34499" s="11"/>
      <c r="U34499" s="9"/>
      <c r="X34499" s="9"/>
    </row>
    <row r="34500">
      <c r="D34500" s="9"/>
      <c r="G34500" s="9"/>
      <c r="J34500" s="11"/>
      <c r="U34500" s="9"/>
      <c r="X34500" s="9"/>
    </row>
    <row r="34501">
      <c r="D34501" s="9"/>
      <c r="G34501" s="9"/>
      <c r="J34501" s="11"/>
      <c r="U34501" s="9"/>
      <c r="X34501" s="9"/>
    </row>
    <row r="34502">
      <c r="D34502" s="9"/>
      <c r="G34502" s="9"/>
      <c r="J34502" s="11"/>
      <c r="U34502" s="9"/>
      <c r="X34502" s="9"/>
    </row>
    <row r="34503">
      <c r="D34503" s="9"/>
      <c r="G34503" s="9"/>
      <c r="J34503" s="11"/>
      <c r="U34503" s="9"/>
      <c r="X34503" s="9"/>
    </row>
    <row r="34504">
      <c r="D34504" s="9"/>
      <c r="G34504" s="9"/>
      <c r="J34504" s="11"/>
      <c r="U34504" s="9"/>
      <c r="X34504" s="9"/>
    </row>
    <row r="34505">
      <c r="D34505" s="9"/>
      <c r="G34505" s="9"/>
      <c r="J34505" s="11"/>
      <c r="U34505" s="9"/>
      <c r="X34505" s="9"/>
    </row>
    <row r="34506">
      <c r="D34506" s="9"/>
      <c r="G34506" s="9"/>
      <c r="J34506" s="11"/>
      <c r="U34506" s="9"/>
      <c r="X34506" s="9"/>
    </row>
    <row r="34507">
      <c r="D34507" s="9"/>
      <c r="G34507" s="9"/>
      <c r="J34507" s="11"/>
      <c r="U34507" s="9"/>
      <c r="X34507" s="9"/>
    </row>
    <row r="34508">
      <c r="D34508" s="9"/>
      <c r="G34508" s="9"/>
      <c r="J34508" s="11"/>
      <c r="U34508" s="9"/>
      <c r="X34508" s="9"/>
    </row>
    <row r="34509">
      <c r="D34509" s="9"/>
      <c r="G34509" s="9"/>
      <c r="J34509" s="11"/>
      <c r="U34509" s="9"/>
      <c r="X34509" s="9"/>
    </row>
    <row r="34510">
      <c r="D34510" s="9"/>
      <c r="G34510" s="9"/>
      <c r="J34510" s="11"/>
      <c r="U34510" s="9"/>
      <c r="X34510" s="9"/>
    </row>
    <row r="34511">
      <c r="D34511" s="9"/>
      <c r="G34511" s="9"/>
      <c r="J34511" s="11"/>
      <c r="U34511" s="9"/>
      <c r="X34511" s="9"/>
    </row>
    <row r="34512">
      <c r="D34512" s="9"/>
      <c r="G34512" s="9"/>
      <c r="J34512" s="11"/>
      <c r="U34512" s="9"/>
      <c r="X34512" s="9"/>
    </row>
    <row r="34513">
      <c r="D34513" s="9"/>
      <c r="G34513" s="9"/>
      <c r="J34513" s="11"/>
      <c r="U34513" s="9"/>
      <c r="X34513" s="9"/>
    </row>
    <row r="34514">
      <c r="D34514" s="9"/>
      <c r="G34514" s="9"/>
      <c r="J34514" s="11"/>
      <c r="U34514" s="9"/>
      <c r="X34514" s="9"/>
    </row>
    <row r="34515">
      <c r="D34515" s="9"/>
      <c r="G34515" s="9"/>
      <c r="J34515" s="11"/>
      <c r="U34515" s="9"/>
      <c r="X34515" s="9"/>
    </row>
    <row r="34516">
      <c r="D34516" s="9"/>
      <c r="G34516" s="9"/>
      <c r="J34516" s="11"/>
      <c r="U34516" s="9"/>
      <c r="X34516" s="9"/>
    </row>
    <row r="34517">
      <c r="D34517" s="9"/>
      <c r="G34517" s="9"/>
      <c r="J34517" s="11"/>
      <c r="U34517" s="9"/>
      <c r="X34517" s="9"/>
    </row>
    <row r="34518">
      <c r="D34518" s="9"/>
      <c r="G34518" s="9"/>
      <c r="J34518" s="11"/>
      <c r="U34518" s="9"/>
      <c r="X34518" s="9"/>
    </row>
    <row r="34519">
      <c r="D34519" s="9"/>
      <c r="G34519" s="9"/>
      <c r="J34519" s="11"/>
      <c r="U34519" s="9"/>
      <c r="X34519" s="9"/>
    </row>
    <row r="34520">
      <c r="D34520" s="9"/>
      <c r="G34520" s="9"/>
      <c r="J34520" s="11"/>
      <c r="U34520" s="9"/>
      <c r="X34520" s="9"/>
    </row>
    <row r="34521">
      <c r="D34521" s="9"/>
      <c r="G34521" s="9"/>
      <c r="J34521" s="11"/>
      <c r="U34521" s="9"/>
      <c r="X34521" s="9"/>
    </row>
    <row r="34522">
      <c r="D34522" s="9"/>
      <c r="G34522" s="9"/>
      <c r="J34522" s="11"/>
      <c r="U34522" s="9"/>
      <c r="X34522" s="9"/>
    </row>
    <row r="34523">
      <c r="D34523" s="9"/>
      <c r="G34523" s="9"/>
      <c r="J34523" s="11"/>
      <c r="U34523" s="9"/>
      <c r="X34523" s="9"/>
    </row>
    <row r="34524">
      <c r="D34524" s="9"/>
      <c r="G34524" s="9"/>
      <c r="J34524" s="11"/>
      <c r="U34524" s="9"/>
      <c r="X34524" s="9"/>
    </row>
    <row r="34525">
      <c r="D34525" s="9"/>
      <c r="G34525" s="9"/>
      <c r="J34525" s="11"/>
      <c r="U34525" s="9"/>
      <c r="X34525" s="9"/>
    </row>
    <row r="34526">
      <c r="D34526" s="9"/>
      <c r="G34526" s="9"/>
      <c r="J34526" s="11"/>
      <c r="U34526" s="9"/>
      <c r="X34526" s="9"/>
    </row>
    <row r="34527">
      <c r="D34527" s="9"/>
      <c r="G34527" s="9"/>
      <c r="J34527" s="11"/>
      <c r="U34527" s="9"/>
      <c r="X34527" s="9"/>
    </row>
    <row r="34528">
      <c r="D34528" s="9"/>
      <c r="G34528" s="9"/>
      <c r="J34528" s="11"/>
      <c r="U34528" s="9"/>
      <c r="X34528" s="9"/>
    </row>
    <row r="34529">
      <c r="D34529" s="9"/>
      <c r="G34529" s="9"/>
      <c r="J34529" s="11"/>
      <c r="U34529" s="9"/>
      <c r="X34529" s="9"/>
    </row>
    <row r="34530">
      <c r="D34530" s="9"/>
      <c r="G34530" s="9"/>
      <c r="J34530" s="11"/>
      <c r="U34530" s="9"/>
      <c r="X34530" s="9"/>
    </row>
    <row r="34531">
      <c r="D34531" s="9"/>
      <c r="G34531" s="9"/>
      <c r="J34531" s="11"/>
      <c r="U34531" s="9"/>
      <c r="X34531" s="9"/>
    </row>
    <row r="34532">
      <c r="D34532" s="9"/>
      <c r="G34532" s="9"/>
      <c r="J34532" s="11"/>
      <c r="U34532" s="9"/>
      <c r="X34532" s="9"/>
    </row>
    <row r="34533">
      <c r="D34533" s="9"/>
      <c r="G34533" s="9"/>
      <c r="J34533" s="11"/>
      <c r="U34533" s="9"/>
      <c r="X34533" s="9"/>
    </row>
    <row r="34534">
      <c r="D34534" s="9"/>
      <c r="G34534" s="9"/>
      <c r="J34534" s="11"/>
      <c r="U34534" s="9"/>
      <c r="X34534" s="9"/>
    </row>
    <row r="34535">
      <c r="D34535" s="9"/>
      <c r="G34535" s="9"/>
      <c r="J34535" s="11"/>
      <c r="U34535" s="9"/>
      <c r="X34535" s="9"/>
    </row>
    <row r="34536">
      <c r="D34536" s="9"/>
      <c r="G34536" s="9"/>
      <c r="J34536" s="11"/>
      <c r="U34536" s="9"/>
      <c r="X34536" s="9"/>
    </row>
    <row r="34537">
      <c r="D34537" s="9"/>
      <c r="G34537" s="9"/>
      <c r="J34537" s="11"/>
      <c r="U34537" s="9"/>
      <c r="X34537" s="9"/>
    </row>
    <row r="34538">
      <c r="D34538" s="9"/>
      <c r="G34538" s="9"/>
      <c r="J34538" s="11"/>
      <c r="U34538" s="9"/>
      <c r="X34538" s="9"/>
    </row>
    <row r="34539">
      <c r="D34539" s="9"/>
      <c r="G34539" s="9"/>
      <c r="J34539" s="11"/>
      <c r="U34539" s="9"/>
      <c r="X34539" s="9"/>
    </row>
    <row r="34540">
      <c r="D34540" s="9"/>
      <c r="G34540" s="9"/>
      <c r="J34540" s="11"/>
      <c r="U34540" s="9"/>
      <c r="X34540" s="9"/>
    </row>
    <row r="34541">
      <c r="D34541" s="9"/>
      <c r="G34541" s="9"/>
      <c r="J34541" s="11"/>
      <c r="U34541" s="9"/>
      <c r="X34541" s="9"/>
    </row>
    <row r="34542">
      <c r="D34542" s="9"/>
      <c r="G34542" s="9"/>
      <c r="J34542" s="11"/>
      <c r="U34542" s="9"/>
      <c r="X34542" s="9"/>
    </row>
    <row r="34543">
      <c r="D34543" s="9"/>
      <c r="G34543" s="9"/>
      <c r="J34543" s="11"/>
      <c r="U34543" s="9"/>
      <c r="X34543" s="9"/>
    </row>
    <row r="34544">
      <c r="D34544" s="9"/>
      <c r="G34544" s="9"/>
      <c r="J34544" s="11"/>
      <c r="U34544" s="9"/>
      <c r="X34544" s="9"/>
    </row>
    <row r="34545">
      <c r="D34545" s="9"/>
      <c r="G34545" s="9"/>
      <c r="J34545" s="11"/>
      <c r="U34545" s="9"/>
      <c r="X34545" s="9"/>
    </row>
    <row r="34546">
      <c r="D34546" s="9"/>
      <c r="G34546" s="9"/>
      <c r="J34546" s="11"/>
      <c r="U34546" s="9"/>
      <c r="X34546" s="9"/>
    </row>
    <row r="34547">
      <c r="D34547" s="9"/>
      <c r="G34547" s="9"/>
      <c r="J34547" s="11"/>
      <c r="U34547" s="9"/>
      <c r="X34547" s="9"/>
    </row>
    <row r="34548">
      <c r="D34548" s="9"/>
      <c r="G34548" s="9"/>
      <c r="J34548" s="11"/>
      <c r="U34548" s="9"/>
      <c r="X34548" s="9"/>
    </row>
    <row r="34549">
      <c r="D34549" s="9"/>
      <c r="G34549" s="9"/>
      <c r="J34549" s="11"/>
      <c r="U34549" s="9"/>
      <c r="X34549" s="9"/>
    </row>
    <row r="34550">
      <c r="D34550" s="9"/>
      <c r="G34550" s="9"/>
      <c r="J34550" s="11"/>
      <c r="U34550" s="9"/>
      <c r="X34550" s="9"/>
    </row>
    <row r="34551">
      <c r="D34551" s="9"/>
      <c r="G34551" s="9"/>
      <c r="J34551" s="11"/>
      <c r="U34551" s="9"/>
      <c r="X34551" s="9"/>
    </row>
    <row r="34552">
      <c r="D34552" s="9"/>
      <c r="G34552" s="9"/>
      <c r="J34552" s="11"/>
      <c r="U34552" s="9"/>
      <c r="X34552" s="9"/>
    </row>
    <row r="34553">
      <c r="D34553" s="9"/>
      <c r="G34553" s="9"/>
      <c r="J34553" s="11"/>
      <c r="U34553" s="9"/>
      <c r="X34553" s="9"/>
    </row>
    <row r="34554">
      <c r="D34554" s="9"/>
      <c r="G34554" s="9"/>
      <c r="J34554" s="11"/>
      <c r="U34554" s="9"/>
      <c r="X34554" s="9"/>
    </row>
    <row r="34555">
      <c r="D34555" s="9"/>
      <c r="G34555" s="9"/>
      <c r="J34555" s="11"/>
      <c r="U34555" s="9"/>
      <c r="X34555" s="9"/>
    </row>
    <row r="34556">
      <c r="D34556" s="9"/>
      <c r="G34556" s="9"/>
      <c r="J34556" s="11"/>
      <c r="U34556" s="9"/>
      <c r="X34556" s="9"/>
    </row>
    <row r="34557">
      <c r="D34557" s="9"/>
      <c r="G34557" s="9"/>
      <c r="J34557" s="11"/>
      <c r="U34557" s="9"/>
      <c r="X34557" s="9"/>
    </row>
    <row r="34558">
      <c r="D34558" s="9"/>
      <c r="G34558" s="9"/>
      <c r="J34558" s="11"/>
      <c r="U34558" s="9"/>
      <c r="X34558" s="9"/>
    </row>
    <row r="34559">
      <c r="D34559" s="9"/>
      <c r="G34559" s="9"/>
      <c r="J34559" s="11"/>
      <c r="U34559" s="9"/>
      <c r="X34559" s="9"/>
    </row>
    <row r="34560">
      <c r="D34560" s="9"/>
      <c r="G34560" s="9"/>
      <c r="J34560" s="11"/>
      <c r="U34560" s="9"/>
      <c r="X34560" s="9"/>
    </row>
    <row r="34561">
      <c r="D34561" s="9"/>
      <c r="G34561" s="9"/>
      <c r="J34561" s="11"/>
      <c r="U34561" s="9"/>
      <c r="X34561" s="9"/>
    </row>
    <row r="34562">
      <c r="D34562" s="9"/>
      <c r="G34562" s="9"/>
      <c r="J34562" s="11"/>
      <c r="U34562" s="9"/>
      <c r="X34562" s="9"/>
    </row>
    <row r="34563">
      <c r="D34563" s="9"/>
      <c r="G34563" s="9"/>
      <c r="J34563" s="11"/>
      <c r="U34563" s="9"/>
      <c r="X34563" s="9"/>
    </row>
    <row r="34564">
      <c r="D34564" s="9"/>
      <c r="G34564" s="9"/>
      <c r="J34564" s="11"/>
      <c r="U34564" s="9"/>
      <c r="X34564" s="9"/>
    </row>
    <row r="34565">
      <c r="D34565" s="9"/>
      <c r="G34565" s="9"/>
      <c r="J34565" s="11"/>
      <c r="U34565" s="9"/>
      <c r="X34565" s="9"/>
    </row>
    <row r="34566">
      <c r="D34566" s="9"/>
      <c r="G34566" s="9"/>
      <c r="J34566" s="11"/>
      <c r="U34566" s="9"/>
      <c r="X34566" s="9"/>
    </row>
    <row r="34567">
      <c r="D34567" s="9"/>
      <c r="G34567" s="9"/>
      <c r="J34567" s="11"/>
      <c r="U34567" s="9"/>
      <c r="X34567" s="9"/>
    </row>
    <row r="34568">
      <c r="D34568" s="9"/>
      <c r="G34568" s="9"/>
      <c r="J34568" s="11"/>
      <c r="U34568" s="9"/>
      <c r="X34568" s="9"/>
    </row>
    <row r="34569">
      <c r="D34569" s="9"/>
      <c r="G34569" s="9"/>
      <c r="J34569" s="11"/>
      <c r="U34569" s="9"/>
      <c r="X34569" s="9"/>
    </row>
    <row r="34570">
      <c r="D34570" s="9"/>
      <c r="G34570" s="9"/>
      <c r="J34570" s="11"/>
      <c r="U34570" s="9"/>
      <c r="X34570" s="9"/>
    </row>
    <row r="34571">
      <c r="D34571" s="9"/>
      <c r="G34571" s="9"/>
      <c r="J34571" s="11"/>
      <c r="U34571" s="9"/>
      <c r="X34571" s="9"/>
    </row>
    <row r="34572">
      <c r="D34572" s="9"/>
      <c r="G34572" s="9"/>
      <c r="J34572" s="11"/>
      <c r="U34572" s="9"/>
      <c r="X34572" s="9"/>
    </row>
    <row r="34573">
      <c r="D34573" s="9"/>
      <c r="G34573" s="9"/>
      <c r="J34573" s="11"/>
      <c r="U34573" s="9"/>
      <c r="X34573" s="9"/>
    </row>
    <row r="34574">
      <c r="D34574" s="9"/>
      <c r="G34574" s="9"/>
      <c r="J34574" s="11"/>
      <c r="U34574" s="9"/>
      <c r="X34574" s="9"/>
    </row>
    <row r="34575">
      <c r="D34575" s="9"/>
      <c r="G34575" s="9"/>
      <c r="J34575" s="11"/>
      <c r="U34575" s="9"/>
      <c r="X34575" s="9"/>
    </row>
    <row r="34576">
      <c r="D34576" s="9"/>
      <c r="G34576" s="9"/>
      <c r="J34576" s="11"/>
      <c r="U34576" s="9"/>
      <c r="X34576" s="9"/>
    </row>
    <row r="34577">
      <c r="D34577" s="9"/>
      <c r="G34577" s="9"/>
      <c r="J34577" s="11"/>
      <c r="U34577" s="9"/>
      <c r="X34577" s="9"/>
    </row>
    <row r="34578">
      <c r="D34578" s="9"/>
      <c r="G34578" s="9"/>
      <c r="J34578" s="11"/>
      <c r="U34578" s="9"/>
      <c r="X34578" s="9"/>
    </row>
    <row r="34579">
      <c r="D34579" s="9"/>
      <c r="G34579" s="9"/>
      <c r="J34579" s="11"/>
      <c r="U34579" s="9"/>
      <c r="X34579" s="9"/>
    </row>
    <row r="34580">
      <c r="D34580" s="9"/>
      <c r="G34580" s="9"/>
      <c r="J34580" s="11"/>
      <c r="U34580" s="9"/>
      <c r="X34580" s="9"/>
    </row>
    <row r="34581">
      <c r="D34581" s="9"/>
      <c r="G34581" s="9"/>
      <c r="J34581" s="11"/>
      <c r="U34581" s="9"/>
      <c r="X34581" s="9"/>
    </row>
    <row r="34582">
      <c r="D34582" s="9"/>
      <c r="G34582" s="9"/>
      <c r="J34582" s="11"/>
      <c r="U34582" s="9"/>
      <c r="X34582" s="9"/>
    </row>
    <row r="34583">
      <c r="D34583" s="9"/>
      <c r="G34583" s="9"/>
      <c r="J34583" s="11"/>
      <c r="U34583" s="9"/>
      <c r="X34583" s="9"/>
    </row>
    <row r="34584">
      <c r="D34584" s="9"/>
      <c r="G34584" s="9"/>
      <c r="J34584" s="11"/>
      <c r="U34584" s="9"/>
      <c r="X34584" s="9"/>
    </row>
    <row r="34585">
      <c r="D34585" s="9"/>
      <c r="G34585" s="9"/>
      <c r="J34585" s="11"/>
      <c r="U34585" s="9"/>
      <c r="X34585" s="9"/>
    </row>
    <row r="34586">
      <c r="D34586" s="9"/>
      <c r="G34586" s="9"/>
      <c r="J34586" s="11"/>
      <c r="U34586" s="9"/>
      <c r="X34586" s="9"/>
    </row>
    <row r="34587">
      <c r="D34587" s="9"/>
      <c r="G34587" s="9"/>
      <c r="J34587" s="11"/>
      <c r="U34587" s="9"/>
      <c r="X34587" s="9"/>
    </row>
    <row r="34588">
      <c r="D34588" s="9"/>
      <c r="G34588" s="9"/>
      <c r="J34588" s="11"/>
      <c r="U34588" s="9"/>
      <c r="X34588" s="9"/>
    </row>
    <row r="34589">
      <c r="D34589" s="9"/>
      <c r="G34589" s="9"/>
      <c r="J34589" s="11"/>
      <c r="U34589" s="9"/>
      <c r="X34589" s="9"/>
    </row>
    <row r="34590">
      <c r="D34590" s="9"/>
      <c r="G34590" s="9"/>
      <c r="J34590" s="11"/>
      <c r="U34590" s="9"/>
      <c r="X34590" s="9"/>
    </row>
    <row r="34591">
      <c r="D34591" s="9"/>
      <c r="G34591" s="9"/>
      <c r="J34591" s="11"/>
      <c r="U34591" s="9"/>
      <c r="X34591" s="9"/>
    </row>
    <row r="34592">
      <c r="D34592" s="9"/>
      <c r="G34592" s="9"/>
      <c r="J34592" s="11"/>
      <c r="U34592" s="9"/>
      <c r="X34592" s="9"/>
    </row>
    <row r="34593">
      <c r="D34593" s="9"/>
      <c r="G34593" s="9"/>
      <c r="J34593" s="11"/>
      <c r="U34593" s="9"/>
      <c r="X34593" s="9"/>
    </row>
    <row r="34594">
      <c r="D34594" s="9"/>
      <c r="G34594" s="9"/>
      <c r="J34594" s="11"/>
      <c r="U34594" s="9"/>
      <c r="X34594" s="9"/>
    </row>
    <row r="34595">
      <c r="D34595" s="9"/>
      <c r="G34595" s="9"/>
      <c r="J34595" s="11"/>
      <c r="U34595" s="9"/>
      <c r="X34595" s="9"/>
    </row>
    <row r="34596">
      <c r="D34596" s="9"/>
      <c r="G34596" s="9"/>
      <c r="J34596" s="11"/>
      <c r="U34596" s="9"/>
      <c r="X34596" s="9"/>
    </row>
    <row r="34597">
      <c r="D34597" s="9"/>
      <c r="G34597" s="9"/>
      <c r="J34597" s="11"/>
      <c r="U34597" s="9"/>
      <c r="X34597" s="9"/>
    </row>
    <row r="34598">
      <c r="D34598" s="9"/>
      <c r="G34598" s="9"/>
      <c r="J34598" s="11"/>
      <c r="U34598" s="9"/>
      <c r="X34598" s="9"/>
    </row>
    <row r="34599">
      <c r="D34599" s="9"/>
      <c r="G34599" s="9"/>
      <c r="J34599" s="11"/>
      <c r="U34599" s="9"/>
      <c r="X34599" s="9"/>
    </row>
    <row r="34600">
      <c r="D34600" s="9"/>
      <c r="G34600" s="9"/>
      <c r="J34600" s="11"/>
      <c r="U34600" s="9"/>
      <c r="X34600" s="9"/>
    </row>
    <row r="34601">
      <c r="D34601" s="9"/>
      <c r="G34601" s="9"/>
      <c r="J34601" s="11"/>
      <c r="U34601" s="9"/>
      <c r="X34601" s="9"/>
    </row>
    <row r="34602">
      <c r="D34602" s="9"/>
      <c r="G34602" s="9"/>
      <c r="J34602" s="11"/>
      <c r="U34602" s="9"/>
      <c r="X34602" s="9"/>
    </row>
    <row r="34603">
      <c r="D34603" s="9"/>
      <c r="G34603" s="9"/>
      <c r="J34603" s="11"/>
      <c r="U34603" s="9"/>
      <c r="X34603" s="9"/>
    </row>
    <row r="34604">
      <c r="D34604" s="9"/>
      <c r="G34604" s="9"/>
      <c r="J34604" s="11"/>
      <c r="U34604" s="9"/>
      <c r="X34604" s="9"/>
    </row>
    <row r="34605">
      <c r="D34605" s="9"/>
      <c r="G34605" s="9"/>
      <c r="J34605" s="11"/>
      <c r="U34605" s="9"/>
      <c r="X34605" s="9"/>
    </row>
    <row r="34606">
      <c r="D34606" s="9"/>
      <c r="G34606" s="9"/>
      <c r="J34606" s="11"/>
      <c r="U34606" s="9"/>
      <c r="X34606" s="9"/>
    </row>
    <row r="34607">
      <c r="D34607" s="9"/>
      <c r="G34607" s="9"/>
      <c r="J34607" s="11"/>
      <c r="U34607" s="9"/>
      <c r="X34607" s="9"/>
    </row>
    <row r="34608">
      <c r="D34608" s="9"/>
      <c r="G34608" s="9"/>
      <c r="J34608" s="11"/>
      <c r="U34608" s="9"/>
      <c r="X34608" s="9"/>
    </row>
    <row r="34609">
      <c r="D34609" s="9"/>
      <c r="G34609" s="9"/>
      <c r="J34609" s="11"/>
      <c r="U34609" s="9"/>
      <c r="X34609" s="9"/>
    </row>
    <row r="34610">
      <c r="D34610" s="9"/>
      <c r="G34610" s="9"/>
      <c r="J34610" s="11"/>
      <c r="U34610" s="9"/>
      <c r="X34610" s="9"/>
    </row>
    <row r="34611">
      <c r="D34611" s="9"/>
      <c r="G34611" s="9"/>
      <c r="J34611" s="11"/>
      <c r="U34611" s="9"/>
      <c r="X34611" s="9"/>
    </row>
    <row r="34612">
      <c r="D34612" s="9"/>
      <c r="G34612" s="9"/>
      <c r="J34612" s="11"/>
      <c r="U34612" s="9"/>
      <c r="X34612" s="9"/>
    </row>
    <row r="34613">
      <c r="D34613" s="9"/>
      <c r="G34613" s="9"/>
      <c r="J34613" s="11"/>
      <c r="U34613" s="9"/>
      <c r="X34613" s="9"/>
    </row>
    <row r="34614">
      <c r="D34614" s="9"/>
      <c r="G34614" s="9"/>
      <c r="J34614" s="11"/>
      <c r="U34614" s="9"/>
      <c r="X34614" s="9"/>
    </row>
    <row r="34615">
      <c r="D34615" s="9"/>
      <c r="G34615" s="9"/>
      <c r="J34615" s="11"/>
      <c r="U34615" s="9"/>
      <c r="X34615" s="9"/>
    </row>
    <row r="34616">
      <c r="D34616" s="9"/>
      <c r="G34616" s="9"/>
      <c r="J34616" s="11"/>
      <c r="U34616" s="9"/>
      <c r="X34616" s="9"/>
    </row>
    <row r="34617">
      <c r="D34617" s="9"/>
      <c r="G34617" s="9"/>
      <c r="J34617" s="11"/>
      <c r="U34617" s="9"/>
      <c r="X34617" s="9"/>
    </row>
    <row r="34618">
      <c r="D34618" s="9"/>
      <c r="G34618" s="9"/>
      <c r="J34618" s="11"/>
      <c r="U34618" s="9"/>
      <c r="X34618" s="9"/>
    </row>
    <row r="34619">
      <c r="D34619" s="9"/>
      <c r="G34619" s="9"/>
      <c r="J34619" s="11"/>
      <c r="U34619" s="9"/>
      <c r="X34619" s="9"/>
    </row>
    <row r="34620">
      <c r="D34620" s="9"/>
      <c r="G34620" s="9"/>
      <c r="J34620" s="11"/>
      <c r="U34620" s="9"/>
      <c r="X34620" s="9"/>
    </row>
    <row r="34621">
      <c r="D34621" s="9"/>
      <c r="G34621" s="9"/>
      <c r="J34621" s="11"/>
      <c r="U34621" s="9"/>
      <c r="X34621" s="9"/>
    </row>
    <row r="34622">
      <c r="D34622" s="9"/>
      <c r="G34622" s="9"/>
      <c r="J34622" s="11"/>
      <c r="U34622" s="9"/>
      <c r="X34622" s="9"/>
    </row>
    <row r="34623">
      <c r="D34623" s="9"/>
      <c r="G34623" s="9"/>
      <c r="J34623" s="11"/>
      <c r="U34623" s="9"/>
      <c r="X34623" s="9"/>
    </row>
    <row r="34624">
      <c r="D34624" s="9"/>
      <c r="G34624" s="9"/>
      <c r="J34624" s="11"/>
      <c r="U34624" s="9"/>
      <c r="X34624" s="9"/>
    </row>
    <row r="34625">
      <c r="D34625" s="9"/>
      <c r="G34625" s="9"/>
      <c r="J34625" s="11"/>
      <c r="U34625" s="9"/>
      <c r="X34625" s="9"/>
    </row>
    <row r="34626">
      <c r="D34626" s="9"/>
      <c r="G34626" s="9"/>
      <c r="J34626" s="11"/>
      <c r="U34626" s="9"/>
      <c r="X34626" s="9"/>
    </row>
    <row r="34627">
      <c r="D34627" s="9"/>
      <c r="G34627" s="9"/>
      <c r="J34627" s="11"/>
      <c r="U34627" s="9"/>
      <c r="X34627" s="9"/>
    </row>
    <row r="34628">
      <c r="D34628" s="9"/>
      <c r="G34628" s="9"/>
      <c r="J34628" s="11"/>
      <c r="U34628" s="9"/>
      <c r="X34628" s="9"/>
    </row>
    <row r="34629">
      <c r="D34629" s="9"/>
      <c r="G34629" s="9"/>
      <c r="J34629" s="11"/>
      <c r="U34629" s="9"/>
      <c r="X34629" s="9"/>
    </row>
    <row r="34630">
      <c r="D34630" s="9"/>
      <c r="G34630" s="9"/>
      <c r="J34630" s="11"/>
      <c r="U34630" s="9"/>
      <c r="X34630" s="9"/>
    </row>
    <row r="34631">
      <c r="D34631" s="9"/>
      <c r="G34631" s="9"/>
      <c r="J34631" s="11"/>
      <c r="U34631" s="9"/>
      <c r="X34631" s="9"/>
    </row>
    <row r="34632">
      <c r="D34632" s="9"/>
      <c r="G34632" s="9"/>
      <c r="J34632" s="11"/>
      <c r="U34632" s="9"/>
      <c r="X34632" s="9"/>
    </row>
    <row r="34633">
      <c r="D34633" s="9"/>
      <c r="G34633" s="9"/>
      <c r="J34633" s="11"/>
      <c r="U34633" s="9"/>
      <c r="X34633" s="9"/>
    </row>
    <row r="34634">
      <c r="D34634" s="9"/>
      <c r="G34634" s="9"/>
      <c r="J34634" s="11"/>
      <c r="U34634" s="9"/>
      <c r="X34634" s="9"/>
    </row>
    <row r="34635">
      <c r="D34635" s="9"/>
      <c r="G34635" s="9"/>
      <c r="J34635" s="11"/>
      <c r="U34635" s="9"/>
      <c r="X34635" s="9"/>
    </row>
    <row r="34636">
      <c r="D34636" s="9"/>
      <c r="G34636" s="9"/>
      <c r="J34636" s="11"/>
      <c r="U34636" s="9"/>
      <c r="X34636" s="9"/>
    </row>
    <row r="34637">
      <c r="D34637" s="9"/>
      <c r="G34637" s="9"/>
      <c r="J34637" s="11"/>
      <c r="U34637" s="9"/>
      <c r="X34637" s="9"/>
    </row>
    <row r="34638">
      <c r="D34638" s="9"/>
      <c r="G34638" s="9"/>
      <c r="J34638" s="11"/>
      <c r="U34638" s="9"/>
      <c r="X34638" s="9"/>
    </row>
    <row r="34639">
      <c r="D34639" s="9"/>
      <c r="G34639" s="9"/>
      <c r="J34639" s="11"/>
      <c r="U34639" s="9"/>
      <c r="X34639" s="9"/>
    </row>
    <row r="34640">
      <c r="D34640" s="9"/>
      <c r="G34640" s="9"/>
      <c r="J34640" s="11"/>
      <c r="U34640" s="9"/>
      <c r="X34640" s="9"/>
    </row>
    <row r="34641">
      <c r="D34641" s="9"/>
      <c r="G34641" s="9"/>
      <c r="J34641" s="11"/>
      <c r="U34641" s="9"/>
      <c r="X34641" s="9"/>
    </row>
    <row r="34642">
      <c r="D34642" s="9"/>
      <c r="G34642" s="9"/>
      <c r="J34642" s="11"/>
      <c r="U34642" s="9"/>
      <c r="X34642" s="9"/>
    </row>
    <row r="34643">
      <c r="D34643" s="9"/>
      <c r="G34643" s="9"/>
      <c r="J34643" s="11"/>
      <c r="U34643" s="9"/>
      <c r="X34643" s="9"/>
    </row>
    <row r="34644">
      <c r="D34644" s="9"/>
      <c r="G34644" s="9"/>
      <c r="J34644" s="11"/>
      <c r="U34644" s="9"/>
      <c r="X34644" s="9"/>
    </row>
    <row r="34645">
      <c r="D34645" s="9"/>
      <c r="G34645" s="9"/>
      <c r="J34645" s="11"/>
      <c r="U34645" s="9"/>
      <c r="X34645" s="9"/>
    </row>
    <row r="34646">
      <c r="D34646" s="9"/>
      <c r="G34646" s="9"/>
      <c r="J34646" s="11"/>
      <c r="U34646" s="9"/>
      <c r="X34646" s="9"/>
    </row>
    <row r="34647">
      <c r="D34647" s="9"/>
      <c r="G34647" s="9"/>
      <c r="J34647" s="11"/>
      <c r="U34647" s="9"/>
      <c r="X34647" s="9"/>
    </row>
    <row r="34648">
      <c r="D34648" s="9"/>
      <c r="G34648" s="9"/>
      <c r="J34648" s="11"/>
      <c r="U34648" s="9"/>
      <c r="X34648" s="9"/>
    </row>
    <row r="34649">
      <c r="D34649" s="9"/>
      <c r="G34649" s="9"/>
      <c r="J34649" s="11"/>
      <c r="U34649" s="9"/>
      <c r="X34649" s="9"/>
    </row>
    <row r="34650">
      <c r="D34650" s="9"/>
      <c r="G34650" s="9"/>
      <c r="J34650" s="11"/>
      <c r="U34650" s="9"/>
      <c r="X34650" s="9"/>
    </row>
    <row r="34651">
      <c r="D34651" s="9"/>
      <c r="G34651" s="9"/>
      <c r="J34651" s="11"/>
      <c r="U34651" s="9"/>
      <c r="X34651" s="9"/>
    </row>
    <row r="34652">
      <c r="D34652" s="9"/>
      <c r="G34652" s="9"/>
      <c r="J34652" s="11"/>
      <c r="U34652" s="9"/>
      <c r="X34652" s="9"/>
    </row>
    <row r="34653">
      <c r="D34653" s="9"/>
      <c r="G34653" s="9"/>
      <c r="J34653" s="11"/>
      <c r="U34653" s="9"/>
      <c r="X34653" s="9"/>
    </row>
    <row r="34654">
      <c r="D34654" s="9"/>
      <c r="G34654" s="9"/>
      <c r="J34654" s="11"/>
      <c r="U34654" s="9"/>
      <c r="X34654" s="9"/>
    </row>
    <row r="34655">
      <c r="D34655" s="9"/>
      <c r="G34655" s="9"/>
      <c r="J34655" s="11"/>
      <c r="U34655" s="9"/>
      <c r="X34655" s="9"/>
    </row>
    <row r="34656">
      <c r="D34656" s="9"/>
      <c r="G34656" s="9"/>
      <c r="J34656" s="11"/>
      <c r="U34656" s="9"/>
      <c r="X34656" s="9"/>
    </row>
    <row r="34657">
      <c r="D34657" s="9"/>
      <c r="G34657" s="9"/>
      <c r="J34657" s="11"/>
      <c r="U34657" s="9"/>
      <c r="X34657" s="9"/>
    </row>
    <row r="34658">
      <c r="D34658" s="9"/>
      <c r="G34658" s="9"/>
      <c r="J34658" s="11"/>
      <c r="U34658" s="9"/>
      <c r="X34658" s="9"/>
    </row>
    <row r="34659">
      <c r="D34659" s="9"/>
      <c r="G34659" s="9"/>
      <c r="J34659" s="11"/>
      <c r="U34659" s="9"/>
      <c r="X34659" s="9"/>
    </row>
    <row r="34660">
      <c r="D34660" s="9"/>
      <c r="G34660" s="9"/>
      <c r="J34660" s="11"/>
      <c r="U34660" s="9"/>
      <c r="X34660" s="9"/>
    </row>
    <row r="34661">
      <c r="D34661" s="9"/>
      <c r="G34661" s="9"/>
      <c r="J34661" s="11"/>
      <c r="U34661" s="9"/>
      <c r="X34661" s="9"/>
    </row>
    <row r="34662">
      <c r="D34662" s="9"/>
      <c r="G34662" s="9"/>
      <c r="J34662" s="11"/>
      <c r="U34662" s="9"/>
      <c r="X34662" s="9"/>
    </row>
    <row r="34663">
      <c r="D34663" s="9"/>
      <c r="G34663" s="9"/>
      <c r="J34663" s="11"/>
      <c r="U34663" s="9"/>
      <c r="X34663" s="9"/>
    </row>
    <row r="34664">
      <c r="D34664" s="9"/>
      <c r="G34664" s="9"/>
      <c r="J34664" s="11"/>
      <c r="U34664" s="9"/>
      <c r="X34664" s="9"/>
    </row>
    <row r="34665">
      <c r="D34665" s="9"/>
      <c r="G34665" s="9"/>
      <c r="J34665" s="11"/>
      <c r="U34665" s="9"/>
      <c r="X34665" s="9"/>
    </row>
    <row r="34666">
      <c r="D34666" s="9"/>
      <c r="G34666" s="9"/>
      <c r="J34666" s="11"/>
      <c r="U34666" s="9"/>
      <c r="X34666" s="9"/>
    </row>
    <row r="34667">
      <c r="D34667" s="9"/>
      <c r="G34667" s="9"/>
      <c r="J34667" s="11"/>
      <c r="U34667" s="9"/>
      <c r="X34667" s="9"/>
    </row>
    <row r="34668">
      <c r="D34668" s="9"/>
      <c r="G34668" s="9"/>
      <c r="J34668" s="11"/>
      <c r="U34668" s="9"/>
      <c r="X34668" s="9"/>
    </row>
    <row r="34669">
      <c r="D34669" s="9"/>
      <c r="G34669" s="9"/>
      <c r="J34669" s="11"/>
      <c r="U34669" s="9"/>
      <c r="X34669" s="9"/>
    </row>
    <row r="34670">
      <c r="D34670" s="9"/>
      <c r="G34670" s="9"/>
      <c r="J34670" s="11"/>
      <c r="U34670" s="9"/>
      <c r="X34670" s="9"/>
    </row>
    <row r="34671">
      <c r="D34671" s="9"/>
      <c r="G34671" s="9"/>
      <c r="J34671" s="11"/>
      <c r="U34671" s="9"/>
      <c r="X34671" s="9"/>
    </row>
    <row r="34672">
      <c r="D34672" s="9"/>
      <c r="G34672" s="9"/>
      <c r="J34672" s="11"/>
      <c r="U34672" s="9"/>
      <c r="X34672" s="9"/>
    </row>
    <row r="34673">
      <c r="D34673" s="9"/>
      <c r="G34673" s="9"/>
      <c r="J34673" s="11"/>
      <c r="U34673" s="9"/>
      <c r="X34673" s="9"/>
    </row>
    <row r="34674">
      <c r="D34674" s="9"/>
      <c r="G34674" s="9"/>
      <c r="J34674" s="11"/>
      <c r="U34674" s="9"/>
      <c r="X34674" s="9"/>
    </row>
    <row r="34675">
      <c r="D34675" s="9"/>
      <c r="G34675" s="9"/>
      <c r="J34675" s="11"/>
      <c r="U34675" s="9"/>
      <c r="X34675" s="9"/>
    </row>
    <row r="34676">
      <c r="D34676" s="9"/>
      <c r="G34676" s="9"/>
      <c r="J34676" s="11"/>
      <c r="U34676" s="9"/>
      <c r="X34676" s="9"/>
    </row>
    <row r="34677">
      <c r="D34677" s="9"/>
      <c r="G34677" s="9"/>
      <c r="J34677" s="11"/>
      <c r="U34677" s="9"/>
      <c r="X34677" s="9"/>
    </row>
    <row r="34678">
      <c r="D34678" s="9"/>
      <c r="G34678" s="9"/>
      <c r="J34678" s="11"/>
      <c r="U34678" s="9"/>
      <c r="X34678" s="9"/>
    </row>
    <row r="34679">
      <c r="D34679" s="9"/>
      <c r="G34679" s="9"/>
      <c r="J34679" s="11"/>
      <c r="U34679" s="9"/>
      <c r="X34679" s="9"/>
    </row>
    <row r="34680">
      <c r="D34680" s="9"/>
      <c r="G34680" s="9"/>
      <c r="J34680" s="11"/>
      <c r="U34680" s="9"/>
      <c r="X34680" s="9"/>
    </row>
    <row r="34681">
      <c r="D34681" s="9"/>
      <c r="G34681" s="9"/>
      <c r="J34681" s="11"/>
      <c r="U34681" s="9"/>
      <c r="X34681" s="9"/>
    </row>
    <row r="34682">
      <c r="D34682" s="9"/>
      <c r="G34682" s="9"/>
      <c r="J34682" s="11"/>
      <c r="U34682" s="9"/>
      <c r="X34682" s="9"/>
    </row>
    <row r="34683">
      <c r="D34683" s="9"/>
      <c r="G34683" s="9"/>
      <c r="J34683" s="11"/>
      <c r="U34683" s="9"/>
      <c r="X34683" s="9"/>
    </row>
    <row r="34684">
      <c r="D34684" s="9"/>
      <c r="G34684" s="9"/>
      <c r="J34684" s="11"/>
      <c r="U34684" s="9"/>
      <c r="X34684" s="9"/>
    </row>
    <row r="34685">
      <c r="D34685" s="9"/>
      <c r="G34685" s="9"/>
      <c r="J34685" s="11"/>
      <c r="U34685" s="9"/>
      <c r="X34685" s="9"/>
    </row>
    <row r="34686">
      <c r="D34686" s="9"/>
      <c r="G34686" s="9"/>
      <c r="J34686" s="11"/>
      <c r="U34686" s="9"/>
      <c r="X34686" s="9"/>
    </row>
    <row r="34687">
      <c r="D34687" s="9"/>
      <c r="G34687" s="9"/>
      <c r="J34687" s="11"/>
      <c r="U34687" s="9"/>
      <c r="X34687" s="9"/>
    </row>
    <row r="34688">
      <c r="D34688" s="9"/>
      <c r="G34688" s="9"/>
      <c r="J34688" s="11"/>
      <c r="U34688" s="9"/>
      <c r="X34688" s="9"/>
    </row>
    <row r="34689">
      <c r="D34689" s="9"/>
      <c r="G34689" s="9"/>
      <c r="J34689" s="11"/>
      <c r="U34689" s="9"/>
      <c r="X34689" s="9"/>
    </row>
    <row r="34690">
      <c r="D34690" s="9"/>
      <c r="G34690" s="9"/>
      <c r="J34690" s="11"/>
      <c r="U34690" s="9"/>
      <c r="X34690" s="9"/>
    </row>
    <row r="34691">
      <c r="D34691" s="9"/>
      <c r="G34691" s="9"/>
      <c r="J34691" s="11"/>
      <c r="U34691" s="9"/>
      <c r="X34691" s="9"/>
    </row>
    <row r="34692">
      <c r="D34692" s="9"/>
      <c r="G34692" s="9"/>
      <c r="J34692" s="11"/>
      <c r="U34692" s="9"/>
      <c r="X34692" s="9"/>
    </row>
    <row r="34693">
      <c r="D34693" s="9"/>
      <c r="G34693" s="9"/>
      <c r="J34693" s="11"/>
      <c r="U34693" s="9"/>
      <c r="X34693" s="9"/>
    </row>
    <row r="34694">
      <c r="D34694" s="9"/>
      <c r="G34694" s="9"/>
      <c r="J34694" s="11"/>
      <c r="U34694" s="9"/>
      <c r="X34694" s="9"/>
    </row>
    <row r="34695">
      <c r="D34695" s="9"/>
      <c r="G34695" s="9"/>
      <c r="J34695" s="11"/>
      <c r="U34695" s="9"/>
      <c r="X34695" s="9"/>
    </row>
    <row r="34696">
      <c r="D34696" s="9"/>
      <c r="G34696" s="9"/>
      <c r="J34696" s="11"/>
      <c r="U34696" s="9"/>
      <c r="X34696" s="9"/>
    </row>
    <row r="34697">
      <c r="D34697" s="9"/>
      <c r="G34697" s="9"/>
      <c r="J34697" s="11"/>
      <c r="U34697" s="9"/>
      <c r="X34697" s="9"/>
    </row>
    <row r="34698">
      <c r="D34698" s="9"/>
      <c r="G34698" s="9"/>
      <c r="J34698" s="11"/>
      <c r="U34698" s="9"/>
      <c r="X34698" s="9"/>
    </row>
    <row r="34699">
      <c r="D34699" s="9"/>
      <c r="G34699" s="9"/>
      <c r="J34699" s="11"/>
      <c r="U34699" s="9"/>
      <c r="X34699" s="9"/>
    </row>
    <row r="34700">
      <c r="D34700" s="9"/>
      <c r="G34700" s="9"/>
      <c r="J34700" s="11"/>
      <c r="U34700" s="9"/>
      <c r="X34700" s="9"/>
    </row>
    <row r="34701">
      <c r="D34701" s="9"/>
      <c r="G34701" s="9"/>
      <c r="J34701" s="11"/>
      <c r="U34701" s="9"/>
      <c r="X34701" s="9"/>
    </row>
    <row r="34702">
      <c r="D34702" s="9"/>
      <c r="G34702" s="9"/>
      <c r="J34702" s="11"/>
      <c r="U34702" s="9"/>
      <c r="X34702" s="9"/>
    </row>
    <row r="34703">
      <c r="D34703" s="9"/>
      <c r="G34703" s="9"/>
      <c r="J34703" s="11"/>
      <c r="U34703" s="9"/>
      <c r="X34703" s="9"/>
    </row>
    <row r="34704">
      <c r="D34704" s="9"/>
      <c r="G34704" s="9"/>
      <c r="J34704" s="11"/>
      <c r="U34704" s="9"/>
      <c r="X34704" s="9"/>
    </row>
    <row r="34705">
      <c r="D34705" s="9"/>
      <c r="G34705" s="9"/>
      <c r="J34705" s="11"/>
      <c r="U34705" s="9"/>
      <c r="X34705" s="9"/>
    </row>
    <row r="34706">
      <c r="D34706" s="9"/>
      <c r="G34706" s="9"/>
      <c r="J34706" s="11"/>
      <c r="U34706" s="9"/>
      <c r="X34706" s="9"/>
    </row>
    <row r="34707">
      <c r="D34707" s="9"/>
      <c r="G34707" s="9"/>
      <c r="J34707" s="11"/>
      <c r="U34707" s="9"/>
      <c r="X34707" s="9"/>
    </row>
    <row r="34708">
      <c r="D34708" s="9"/>
      <c r="G34708" s="9"/>
      <c r="J34708" s="11"/>
      <c r="U34708" s="9"/>
      <c r="X34708" s="9"/>
    </row>
    <row r="34709">
      <c r="D34709" s="9"/>
      <c r="G34709" s="9"/>
      <c r="J34709" s="11"/>
      <c r="U34709" s="9"/>
      <c r="X34709" s="9"/>
    </row>
    <row r="34710">
      <c r="D34710" s="9"/>
      <c r="G34710" s="9"/>
      <c r="J34710" s="11"/>
      <c r="U34710" s="9"/>
      <c r="X34710" s="9"/>
    </row>
    <row r="34711">
      <c r="D34711" s="9"/>
      <c r="G34711" s="9"/>
      <c r="J34711" s="11"/>
      <c r="U34711" s="9"/>
      <c r="X34711" s="9"/>
    </row>
    <row r="34712">
      <c r="D34712" s="9"/>
      <c r="G34712" s="9"/>
      <c r="J34712" s="11"/>
      <c r="U34712" s="9"/>
      <c r="X34712" s="9"/>
    </row>
    <row r="34713">
      <c r="D34713" s="9"/>
      <c r="G34713" s="9"/>
      <c r="J34713" s="11"/>
      <c r="U34713" s="9"/>
      <c r="X34713" s="9"/>
    </row>
    <row r="34714">
      <c r="D34714" s="9"/>
      <c r="G34714" s="9"/>
      <c r="J34714" s="11"/>
      <c r="U34714" s="9"/>
      <c r="X34714" s="9"/>
    </row>
    <row r="34715">
      <c r="D34715" s="9"/>
      <c r="G34715" s="9"/>
      <c r="J34715" s="11"/>
      <c r="U34715" s="9"/>
      <c r="X34715" s="9"/>
    </row>
    <row r="34716">
      <c r="D34716" s="9"/>
      <c r="G34716" s="9"/>
      <c r="J34716" s="11"/>
      <c r="U34716" s="9"/>
      <c r="X34716" s="9"/>
    </row>
    <row r="34717">
      <c r="D34717" s="9"/>
      <c r="G34717" s="9"/>
      <c r="J34717" s="11"/>
      <c r="U34717" s="9"/>
      <c r="X34717" s="9"/>
    </row>
    <row r="34718">
      <c r="D34718" s="9"/>
      <c r="G34718" s="9"/>
      <c r="J34718" s="11"/>
      <c r="U34718" s="9"/>
      <c r="X34718" s="9"/>
    </row>
    <row r="34719">
      <c r="D34719" s="9"/>
      <c r="G34719" s="9"/>
      <c r="J34719" s="11"/>
      <c r="U34719" s="9"/>
      <c r="X34719" s="9"/>
    </row>
    <row r="34720">
      <c r="D34720" s="9"/>
      <c r="G34720" s="9"/>
      <c r="J34720" s="11"/>
      <c r="U34720" s="9"/>
      <c r="X34720" s="9"/>
    </row>
    <row r="34721">
      <c r="D34721" s="9"/>
      <c r="G34721" s="9"/>
      <c r="J34721" s="11"/>
      <c r="U34721" s="9"/>
      <c r="X34721" s="9"/>
    </row>
    <row r="34722">
      <c r="D34722" s="9"/>
      <c r="G34722" s="9"/>
      <c r="J34722" s="11"/>
      <c r="U34722" s="9"/>
      <c r="X34722" s="9"/>
    </row>
    <row r="34723">
      <c r="D34723" s="9"/>
      <c r="G34723" s="9"/>
      <c r="J34723" s="11"/>
      <c r="U34723" s="9"/>
      <c r="X34723" s="9"/>
    </row>
    <row r="34724">
      <c r="D34724" s="9"/>
      <c r="G34724" s="9"/>
      <c r="J34724" s="11"/>
      <c r="U34724" s="9"/>
      <c r="X34724" s="9"/>
    </row>
    <row r="34725">
      <c r="D34725" s="9"/>
      <c r="G34725" s="9"/>
      <c r="J34725" s="11"/>
      <c r="U34725" s="9"/>
      <c r="X34725" s="9"/>
    </row>
    <row r="34726">
      <c r="D34726" s="9"/>
      <c r="G34726" s="9"/>
      <c r="J34726" s="11"/>
      <c r="U34726" s="9"/>
      <c r="X34726" s="9"/>
    </row>
    <row r="34727">
      <c r="D34727" s="9"/>
      <c r="G34727" s="9"/>
      <c r="J34727" s="11"/>
      <c r="U34727" s="9"/>
      <c r="X34727" s="9"/>
    </row>
    <row r="34728">
      <c r="D34728" s="9"/>
      <c r="G34728" s="9"/>
      <c r="J34728" s="11"/>
      <c r="U34728" s="9"/>
      <c r="X34728" s="9"/>
    </row>
    <row r="34729">
      <c r="D34729" s="9"/>
      <c r="G34729" s="9"/>
      <c r="J34729" s="11"/>
      <c r="U34729" s="9"/>
      <c r="X34729" s="9"/>
    </row>
    <row r="34730">
      <c r="D34730" s="9"/>
      <c r="G34730" s="9"/>
      <c r="J34730" s="11"/>
      <c r="U34730" s="9"/>
      <c r="X34730" s="9"/>
    </row>
    <row r="34731">
      <c r="D34731" s="9"/>
      <c r="G34731" s="9"/>
      <c r="J34731" s="11"/>
      <c r="U34731" s="9"/>
      <c r="X34731" s="9"/>
    </row>
    <row r="34732">
      <c r="D34732" s="9"/>
      <c r="G34732" s="9"/>
      <c r="J34732" s="11"/>
      <c r="U34732" s="9"/>
      <c r="X34732" s="9"/>
    </row>
    <row r="34733">
      <c r="D34733" s="9"/>
      <c r="G34733" s="9"/>
      <c r="J34733" s="11"/>
      <c r="U34733" s="9"/>
      <c r="X34733" s="9"/>
    </row>
    <row r="34734">
      <c r="D34734" s="9"/>
      <c r="G34734" s="9"/>
      <c r="J34734" s="11"/>
      <c r="U34734" s="9"/>
      <c r="X34734" s="9"/>
    </row>
    <row r="34735">
      <c r="D34735" s="9"/>
      <c r="G34735" s="9"/>
      <c r="J34735" s="11"/>
      <c r="U34735" s="9"/>
      <c r="X34735" s="9"/>
    </row>
    <row r="34736">
      <c r="D34736" s="9"/>
      <c r="G34736" s="9"/>
      <c r="J34736" s="11"/>
      <c r="U34736" s="9"/>
      <c r="X34736" s="9"/>
    </row>
    <row r="34737">
      <c r="D34737" s="9"/>
      <c r="G34737" s="9"/>
      <c r="J34737" s="11"/>
      <c r="U34737" s="9"/>
      <c r="X34737" s="9"/>
    </row>
    <row r="34738">
      <c r="D34738" s="9"/>
      <c r="G34738" s="9"/>
      <c r="J34738" s="11"/>
      <c r="U34738" s="9"/>
      <c r="X34738" s="9"/>
    </row>
    <row r="34739">
      <c r="D34739" s="9"/>
      <c r="G34739" s="9"/>
      <c r="J34739" s="11"/>
      <c r="U34739" s="9"/>
      <c r="X34739" s="9"/>
    </row>
    <row r="34740">
      <c r="D34740" s="9"/>
      <c r="G34740" s="9"/>
      <c r="J34740" s="11"/>
      <c r="U34740" s="9"/>
      <c r="X34740" s="9"/>
    </row>
    <row r="34741">
      <c r="D34741" s="9"/>
      <c r="G34741" s="9"/>
      <c r="J34741" s="11"/>
      <c r="U34741" s="9"/>
      <c r="X34741" s="9"/>
    </row>
    <row r="34742">
      <c r="D34742" s="9"/>
      <c r="G34742" s="9"/>
      <c r="J34742" s="11"/>
      <c r="U34742" s="9"/>
      <c r="X34742" s="9"/>
    </row>
    <row r="34743">
      <c r="D34743" s="9"/>
      <c r="G34743" s="9"/>
      <c r="J34743" s="11"/>
      <c r="U34743" s="9"/>
      <c r="X34743" s="9"/>
    </row>
    <row r="34744">
      <c r="D34744" s="9"/>
      <c r="G34744" s="9"/>
      <c r="J34744" s="11"/>
      <c r="U34744" s="9"/>
      <c r="X34744" s="9"/>
    </row>
    <row r="34745">
      <c r="D34745" s="9"/>
      <c r="G34745" s="9"/>
      <c r="J34745" s="11"/>
      <c r="U34745" s="9"/>
      <c r="X34745" s="9"/>
    </row>
    <row r="34746">
      <c r="D34746" s="9"/>
      <c r="G34746" s="9"/>
      <c r="J34746" s="11"/>
      <c r="U34746" s="9"/>
      <c r="X34746" s="9"/>
    </row>
    <row r="34747">
      <c r="D34747" s="9"/>
      <c r="G34747" s="9"/>
      <c r="J34747" s="11"/>
      <c r="U34747" s="9"/>
      <c r="X34747" s="9"/>
    </row>
    <row r="34748">
      <c r="D34748" s="9"/>
      <c r="G34748" s="9"/>
      <c r="J34748" s="11"/>
      <c r="U34748" s="9"/>
      <c r="X34748" s="9"/>
    </row>
    <row r="34749">
      <c r="D34749" s="9"/>
      <c r="G34749" s="9"/>
      <c r="J34749" s="11"/>
      <c r="U34749" s="9"/>
      <c r="X34749" s="9"/>
    </row>
    <row r="34750">
      <c r="D34750" s="9"/>
      <c r="G34750" s="9"/>
      <c r="J34750" s="11"/>
      <c r="U34750" s="9"/>
      <c r="X34750" s="9"/>
    </row>
    <row r="34751">
      <c r="D34751" s="9"/>
      <c r="G34751" s="9"/>
      <c r="J34751" s="11"/>
      <c r="U34751" s="9"/>
      <c r="X34751" s="9"/>
    </row>
    <row r="34752">
      <c r="D34752" s="9"/>
      <c r="G34752" s="9"/>
      <c r="J34752" s="11"/>
      <c r="U34752" s="9"/>
      <c r="X34752" s="9"/>
    </row>
    <row r="34753">
      <c r="D34753" s="9"/>
      <c r="G34753" s="9"/>
      <c r="J34753" s="11"/>
      <c r="U34753" s="9"/>
      <c r="X34753" s="9"/>
    </row>
    <row r="34754">
      <c r="D34754" s="9"/>
      <c r="G34754" s="9"/>
      <c r="J34754" s="11"/>
      <c r="U34754" s="9"/>
      <c r="X34754" s="9"/>
    </row>
    <row r="34755">
      <c r="D34755" s="9"/>
      <c r="G34755" s="9"/>
      <c r="J34755" s="11"/>
      <c r="U34755" s="9"/>
      <c r="X34755" s="9"/>
    </row>
    <row r="34756">
      <c r="D34756" s="9"/>
      <c r="G34756" s="9"/>
      <c r="J34756" s="11"/>
      <c r="U34756" s="9"/>
      <c r="X34756" s="9"/>
    </row>
    <row r="34757">
      <c r="D34757" s="9"/>
      <c r="G34757" s="9"/>
      <c r="J34757" s="11"/>
      <c r="U34757" s="9"/>
      <c r="X34757" s="9"/>
    </row>
    <row r="34758">
      <c r="D34758" s="9"/>
      <c r="G34758" s="9"/>
      <c r="J34758" s="11"/>
      <c r="U34758" s="9"/>
      <c r="X34758" s="9"/>
    </row>
    <row r="34759">
      <c r="D34759" s="9"/>
      <c r="G34759" s="9"/>
      <c r="J34759" s="11"/>
      <c r="U34759" s="9"/>
      <c r="X34759" s="9"/>
    </row>
    <row r="34760">
      <c r="D34760" s="9"/>
      <c r="G34760" s="9"/>
      <c r="J34760" s="11"/>
      <c r="U34760" s="9"/>
      <c r="X34760" s="9"/>
    </row>
    <row r="34761">
      <c r="D34761" s="9"/>
      <c r="G34761" s="9"/>
      <c r="J34761" s="11"/>
      <c r="U34761" s="9"/>
      <c r="X34761" s="9"/>
    </row>
    <row r="34762">
      <c r="D34762" s="9"/>
      <c r="G34762" s="9"/>
      <c r="J34762" s="11"/>
      <c r="U34762" s="9"/>
      <c r="X34762" s="9"/>
    </row>
    <row r="34763">
      <c r="D34763" s="9"/>
      <c r="G34763" s="9"/>
      <c r="J34763" s="11"/>
      <c r="U34763" s="9"/>
      <c r="X34763" s="9"/>
    </row>
    <row r="34764">
      <c r="D34764" s="9"/>
      <c r="G34764" s="9"/>
      <c r="J34764" s="11"/>
      <c r="U34764" s="9"/>
      <c r="X34764" s="9"/>
    </row>
    <row r="34765">
      <c r="D34765" s="9"/>
      <c r="G34765" s="9"/>
      <c r="J34765" s="11"/>
      <c r="U34765" s="9"/>
      <c r="X34765" s="9"/>
    </row>
    <row r="34766">
      <c r="D34766" s="9"/>
      <c r="G34766" s="9"/>
      <c r="J34766" s="11"/>
      <c r="U34766" s="9"/>
      <c r="X34766" s="9"/>
    </row>
    <row r="34767">
      <c r="D34767" s="9"/>
      <c r="G34767" s="9"/>
      <c r="J34767" s="11"/>
      <c r="U34767" s="9"/>
      <c r="X34767" s="9"/>
    </row>
    <row r="34768">
      <c r="D34768" s="9"/>
      <c r="G34768" s="9"/>
      <c r="J34768" s="11"/>
      <c r="U34768" s="9"/>
      <c r="X34768" s="9"/>
    </row>
    <row r="34769">
      <c r="D34769" s="9"/>
      <c r="G34769" s="9"/>
      <c r="J34769" s="11"/>
      <c r="U34769" s="9"/>
      <c r="X34769" s="9"/>
    </row>
    <row r="34770">
      <c r="D34770" s="9"/>
      <c r="G34770" s="9"/>
      <c r="J34770" s="11"/>
      <c r="U34770" s="9"/>
      <c r="X34770" s="9"/>
    </row>
    <row r="34771">
      <c r="D34771" s="9"/>
      <c r="G34771" s="9"/>
      <c r="J34771" s="11"/>
      <c r="U34771" s="9"/>
      <c r="X34771" s="9"/>
    </row>
    <row r="34772">
      <c r="D34772" s="9"/>
      <c r="G34772" s="9"/>
      <c r="J34772" s="11"/>
      <c r="U34772" s="9"/>
      <c r="X34772" s="9"/>
    </row>
    <row r="34773">
      <c r="D34773" s="9"/>
      <c r="G34773" s="9"/>
      <c r="J34773" s="11"/>
      <c r="U34773" s="9"/>
      <c r="X34773" s="9"/>
    </row>
    <row r="34774">
      <c r="D34774" s="9"/>
      <c r="G34774" s="9"/>
      <c r="J34774" s="11"/>
      <c r="U34774" s="9"/>
      <c r="X34774" s="9"/>
    </row>
    <row r="34775">
      <c r="D34775" s="9"/>
      <c r="G34775" s="9"/>
      <c r="J34775" s="11"/>
      <c r="U34775" s="9"/>
      <c r="X34775" s="9"/>
    </row>
    <row r="34776">
      <c r="D34776" s="9"/>
      <c r="G34776" s="9"/>
      <c r="J34776" s="11"/>
      <c r="U34776" s="9"/>
      <c r="X34776" s="9"/>
    </row>
    <row r="34777">
      <c r="D34777" s="9"/>
      <c r="G34777" s="9"/>
      <c r="J34777" s="11"/>
      <c r="U34777" s="9"/>
      <c r="X34777" s="9"/>
    </row>
    <row r="34778">
      <c r="D34778" s="9"/>
      <c r="G34778" s="9"/>
      <c r="J34778" s="11"/>
      <c r="U34778" s="9"/>
      <c r="X34778" s="9"/>
    </row>
    <row r="34779">
      <c r="D34779" s="9"/>
      <c r="G34779" s="9"/>
      <c r="J34779" s="11"/>
      <c r="U34779" s="9"/>
      <c r="X34779" s="9"/>
    </row>
    <row r="34780">
      <c r="D34780" s="9"/>
      <c r="G34780" s="9"/>
      <c r="J34780" s="11"/>
      <c r="U34780" s="9"/>
      <c r="X34780" s="9"/>
    </row>
    <row r="34781">
      <c r="D34781" s="9"/>
      <c r="G34781" s="9"/>
      <c r="J34781" s="11"/>
      <c r="U34781" s="9"/>
      <c r="X34781" s="9"/>
    </row>
    <row r="34782">
      <c r="D34782" s="9"/>
      <c r="G34782" s="9"/>
      <c r="J34782" s="11"/>
      <c r="U34782" s="9"/>
      <c r="X34782" s="9"/>
    </row>
    <row r="34783">
      <c r="D34783" s="9"/>
      <c r="G34783" s="9"/>
      <c r="J34783" s="11"/>
      <c r="U34783" s="9"/>
      <c r="X34783" s="9"/>
    </row>
    <row r="34784">
      <c r="D34784" s="9"/>
      <c r="G34784" s="9"/>
      <c r="J34784" s="11"/>
      <c r="U34784" s="9"/>
      <c r="X34784" s="9"/>
    </row>
    <row r="34785">
      <c r="D34785" s="9"/>
      <c r="G34785" s="9"/>
      <c r="J34785" s="11"/>
      <c r="U34785" s="9"/>
      <c r="X34785" s="9"/>
    </row>
    <row r="34786">
      <c r="D34786" s="9"/>
      <c r="G34786" s="9"/>
      <c r="J34786" s="11"/>
      <c r="U34786" s="9"/>
      <c r="X34786" s="9"/>
    </row>
    <row r="34787">
      <c r="D34787" s="9"/>
      <c r="G34787" s="9"/>
      <c r="J34787" s="11"/>
      <c r="U34787" s="9"/>
      <c r="X34787" s="9"/>
    </row>
    <row r="34788">
      <c r="D34788" s="9"/>
      <c r="G34788" s="9"/>
      <c r="J34788" s="11"/>
      <c r="U34788" s="9"/>
      <c r="X34788" s="9"/>
    </row>
    <row r="34789">
      <c r="D34789" s="9"/>
      <c r="G34789" s="9"/>
      <c r="J34789" s="11"/>
      <c r="U34789" s="9"/>
      <c r="X34789" s="9"/>
    </row>
    <row r="34790">
      <c r="D34790" s="9"/>
      <c r="G34790" s="9"/>
      <c r="J34790" s="11"/>
      <c r="U34790" s="9"/>
      <c r="X34790" s="9"/>
    </row>
    <row r="34791">
      <c r="D34791" s="9"/>
      <c r="G34791" s="9"/>
      <c r="J34791" s="11"/>
      <c r="U34791" s="9"/>
      <c r="X34791" s="9"/>
    </row>
    <row r="34792">
      <c r="D34792" s="9"/>
      <c r="G34792" s="9"/>
      <c r="J34792" s="11"/>
      <c r="U34792" s="9"/>
      <c r="X34792" s="9"/>
    </row>
    <row r="34793">
      <c r="D34793" s="9"/>
      <c r="G34793" s="9"/>
      <c r="J34793" s="11"/>
      <c r="U34793" s="9"/>
      <c r="X34793" s="9"/>
    </row>
    <row r="34794">
      <c r="D34794" s="9"/>
      <c r="G34794" s="9"/>
      <c r="J34794" s="11"/>
      <c r="U34794" s="9"/>
      <c r="X34794" s="9"/>
    </row>
    <row r="34795">
      <c r="D34795" s="9"/>
      <c r="G34795" s="9"/>
      <c r="J34795" s="11"/>
      <c r="U34795" s="9"/>
      <c r="X34795" s="9"/>
    </row>
    <row r="34796">
      <c r="D34796" s="9"/>
      <c r="G34796" s="9"/>
      <c r="J34796" s="11"/>
      <c r="U34796" s="9"/>
      <c r="X34796" s="9"/>
    </row>
    <row r="34797">
      <c r="D34797" s="9"/>
      <c r="G34797" s="9"/>
      <c r="J34797" s="11"/>
      <c r="U34797" s="9"/>
      <c r="X34797" s="9"/>
    </row>
    <row r="34798">
      <c r="D34798" s="9"/>
      <c r="G34798" s="9"/>
      <c r="J34798" s="11"/>
      <c r="U34798" s="9"/>
      <c r="X34798" s="9"/>
    </row>
    <row r="34799">
      <c r="D34799" s="9"/>
      <c r="G34799" s="9"/>
      <c r="J34799" s="11"/>
      <c r="U34799" s="9"/>
      <c r="X34799" s="9"/>
    </row>
    <row r="34800">
      <c r="D34800" s="9"/>
      <c r="G34800" s="9"/>
      <c r="J34800" s="11"/>
      <c r="U34800" s="9"/>
      <c r="X34800" s="9"/>
    </row>
    <row r="34801">
      <c r="D34801" s="9"/>
      <c r="G34801" s="9"/>
      <c r="J34801" s="11"/>
      <c r="U34801" s="9"/>
      <c r="X34801" s="9"/>
    </row>
    <row r="34802">
      <c r="D34802" s="9"/>
      <c r="G34802" s="9"/>
      <c r="J34802" s="11"/>
      <c r="U34802" s="9"/>
      <c r="X34802" s="9"/>
    </row>
    <row r="34803">
      <c r="D34803" s="9"/>
      <c r="G34803" s="9"/>
      <c r="J34803" s="11"/>
      <c r="U34803" s="9"/>
      <c r="X34803" s="9"/>
    </row>
    <row r="34804">
      <c r="D34804" s="9"/>
      <c r="G34804" s="9"/>
      <c r="J34804" s="11"/>
      <c r="U34804" s="9"/>
      <c r="X34804" s="9"/>
    </row>
    <row r="34805">
      <c r="D34805" s="9"/>
      <c r="G34805" s="9"/>
      <c r="J34805" s="11"/>
      <c r="U34805" s="9"/>
      <c r="X34805" s="9"/>
    </row>
    <row r="34806">
      <c r="D34806" s="9"/>
      <c r="G34806" s="9"/>
      <c r="J34806" s="11"/>
      <c r="U34806" s="9"/>
      <c r="X34806" s="9"/>
    </row>
    <row r="34807">
      <c r="D34807" s="9"/>
      <c r="G34807" s="9"/>
      <c r="J34807" s="11"/>
      <c r="U34807" s="9"/>
      <c r="X34807" s="9"/>
    </row>
    <row r="34808">
      <c r="D34808" s="9"/>
      <c r="G34808" s="9"/>
      <c r="J34808" s="11"/>
      <c r="U34808" s="9"/>
      <c r="X34808" s="9"/>
    </row>
    <row r="34809">
      <c r="D34809" s="9"/>
      <c r="G34809" s="9"/>
      <c r="J34809" s="11"/>
      <c r="U34809" s="9"/>
      <c r="X34809" s="9"/>
    </row>
    <row r="34810">
      <c r="D34810" s="9"/>
      <c r="G34810" s="9"/>
      <c r="J34810" s="11"/>
      <c r="U34810" s="9"/>
      <c r="X34810" s="9"/>
    </row>
    <row r="34811">
      <c r="D34811" s="9"/>
      <c r="G34811" s="9"/>
      <c r="J34811" s="11"/>
      <c r="U34811" s="9"/>
      <c r="X34811" s="9"/>
    </row>
    <row r="34812">
      <c r="D34812" s="9"/>
      <c r="G34812" s="9"/>
      <c r="J34812" s="11"/>
      <c r="U34812" s="9"/>
      <c r="X34812" s="9"/>
    </row>
    <row r="34813">
      <c r="D34813" s="9"/>
      <c r="G34813" s="9"/>
      <c r="J34813" s="11"/>
      <c r="U34813" s="9"/>
      <c r="X34813" s="9"/>
    </row>
    <row r="34814">
      <c r="D34814" s="9"/>
      <c r="G34814" s="9"/>
      <c r="J34814" s="11"/>
      <c r="U34814" s="9"/>
      <c r="X34814" s="9"/>
    </row>
    <row r="34815">
      <c r="D34815" s="9"/>
      <c r="G34815" s="9"/>
      <c r="J34815" s="11"/>
      <c r="U34815" s="9"/>
      <c r="X34815" s="9"/>
    </row>
    <row r="34816">
      <c r="D34816" s="9"/>
      <c r="G34816" s="9"/>
      <c r="J34816" s="11"/>
      <c r="U34816" s="9"/>
      <c r="X34816" s="9"/>
    </row>
    <row r="34817">
      <c r="D34817" s="9"/>
      <c r="G34817" s="9"/>
      <c r="J34817" s="11"/>
      <c r="U34817" s="9"/>
      <c r="X34817" s="9"/>
    </row>
    <row r="34818">
      <c r="D34818" s="9"/>
      <c r="G34818" s="9"/>
      <c r="J34818" s="11"/>
      <c r="U34818" s="9"/>
      <c r="X34818" s="9"/>
    </row>
    <row r="34819">
      <c r="D34819" s="9"/>
      <c r="G34819" s="9"/>
      <c r="J34819" s="11"/>
      <c r="U34819" s="9"/>
      <c r="X34819" s="9"/>
    </row>
    <row r="34820">
      <c r="D34820" s="9"/>
      <c r="G34820" s="9"/>
      <c r="J34820" s="11"/>
      <c r="U34820" s="9"/>
      <c r="X34820" s="9"/>
    </row>
    <row r="34821">
      <c r="D34821" s="9"/>
      <c r="G34821" s="9"/>
      <c r="J34821" s="11"/>
      <c r="U34821" s="9"/>
      <c r="X34821" s="9"/>
    </row>
    <row r="34822">
      <c r="D34822" s="9"/>
      <c r="G34822" s="9"/>
      <c r="J34822" s="11"/>
      <c r="U34822" s="9"/>
      <c r="X34822" s="9"/>
    </row>
    <row r="34823">
      <c r="D34823" s="9"/>
      <c r="G34823" s="9"/>
      <c r="J34823" s="11"/>
      <c r="U34823" s="9"/>
      <c r="X34823" s="9"/>
    </row>
    <row r="34824">
      <c r="D34824" s="9"/>
      <c r="G34824" s="9"/>
      <c r="J34824" s="11"/>
      <c r="U34824" s="9"/>
      <c r="X34824" s="9"/>
    </row>
    <row r="34825">
      <c r="D34825" s="9"/>
      <c r="G34825" s="9"/>
      <c r="J34825" s="11"/>
      <c r="U34825" s="9"/>
      <c r="X34825" s="9"/>
    </row>
    <row r="34826">
      <c r="D34826" s="9"/>
      <c r="G34826" s="9"/>
      <c r="J34826" s="11"/>
      <c r="U34826" s="9"/>
      <c r="X34826" s="9"/>
    </row>
    <row r="34827">
      <c r="D34827" s="9"/>
      <c r="G34827" s="9"/>
      <c r="J34827" s="11"/>
      <c r="U34827" s="9"/>
      <c r="X34827" s="9"/>
    </row>
    <row r="34828">
      <c r="D34828" s="9"/>
      <c r="G34828" s="9"/>
      <c r="J34828" s="11"/>
      <c r="U34828" s="9"/>
      <c r="X34828" s="9"/>
    </row>
    <row r="34829">
      <c r="D34829" s="9"/>
      <c r="G34829" s="9"/>
      <c r="J34829" s="11"/>
      <c r="U34829" s="9"/>
      <c r="X34829" s="9"/>
    </row>
    <row r="34830">
      <c r="D34830" s="9"/>
      <c r="G34830" s="9"/>
      <c r="J34830" s="11"/>
      <c r="U34830" s="9"/>
      <c r="X34830" s="9"/>
    </row>
    <row r="34831">
      <c r="D34831" s="9"/>
      <c r="G34831" s="9"/>
      <c r="J34831" s="11"/>
      <c r="U34831" s="9"/>
      <c r="X34831" s="9"/>
    </row>
    <row r="34832">
      <c r="D34832" s="9"/>
      <c r="G34832" s="9"/>
      <c r="J34832" s="11"/>
      <c r="U34832" s="9"/>
      <c r="X34832" s="9"/>
    </row>
    <row r="34833">
      <c r="D34833" s="9"/>
      <c r="G34833" s="9"/>
      <c r="J34833" s="11"/>
      <c r="U34833" s="9"/>
      <c r="X34833" s="9"/>
    </row>
    <row r="34834">
      <c r="D34834" s="9"/>
      <c r="G34834" s="9"/>
      <c r="J34834" s="11"/>
      <c r="U34834" s="9"/>
      <c r="X34834" s="9"/>
    </row>
    <row r="34835">
      <c r="D34835" s="9"/>
      <c r="G34835" s="9"/>
      <c r="J34835" s="11"/>
      <c r="U34835" s="9"/>
      <c r="X34835" s="9"/>
    </row>
    <row r="34836">
      <c r="D34836" s="9"/>
      <c r="G34836" s="9"/>
      <c r="J34836" s="11"/>
      <c r="U34836" s="9"/>
      <c r="X34836" s="9"/>
    </row>
    <row r="34837">
      <c r="D34837" s="9"/>
      <c r="G34837" s="9"/>
      <c r="J34837" s="11"/>
      <c r="U34837" s="9"/>
      <c r="X34837" s="9"/>
    </row>
    <row r="34838">
      <c r="D34838" s="9"/>
      <c r="G34838" s="9"/>
      <c r="J34838" s="11"/>
      <c r="U34838" s="9"/>
      <c r="X34838" s="9"/>
    </row>
    <row r="34839">
      <c r="D34839" s="9"/>
      <c r="G34839" s="9"/>
      <c r="J34839" s="11"/>
      <c r="U34839" s="9"/>
      <c r="X34839" s="9"/>
    </row>
    <row r="34840">
      <c r="D34840" s="9"/>
      <c r="G34840" s="9"/>
      <c r="J34840" s="11"/>
      <c r="U34840" s="9"/>
      <c r="X34840" s="9"/>
    </row>
    <row r="34841">
      <c r="D34841" s="9"/>
      <c r="G34841" s="9"/>
      <c r="J34841" s="11"/>
      <c r="U34841" s="9"/>
      <c r="X34841" s="9"/>
    </row>
    <row r="34842">
      <c r="D34842" s="9"/>
      <c r="G34842" s="9"/>
      <c r="J34842" s="11"/>
      <c r="U34842" s="9"/>
      <c r="X34842" s="9"/>
    </row>
    <row r="34843">
      <c r="D34843" s="9"/>
      <c r="G34843" s="9"/>
      <c r="J34843" s="11"/>
      <c r="U34843" s="9"/>
      <c r="X34843" s="9"/>
    </row>
    <row r="34844">
      <c r="D34844" s="9"/>
      <c r="G34844" s="9"/>
      <c r="J34844" s="11"/>
      <c r="U34844" s="9"/>
      <c r="X34844" s="9"/>
    </row>
    <row r="34845">
      <c r="D34845" s="9"/>
      <c r="G34845" s="9"/>
      <c r="J34845" s="11"/>
      <c r="U34845" s="9"/>
      <c r="X34845" s="9"/>
    </row>
    <row r="34846">
      <c r="D34846" s="9"/>
      <c r="G34846" s="9"/>
      <c r="J34846" s="11"/>
      <c r="U34846" s="9"/>
      <c r="X34846" s="9"/>
    </row>
    <row r="34847">
      <c r="D34847" s="9"/>
      <c r="G34847" s="9"/>
      <c r="J34847" s="11"/>
      <c r="U34847" s="9"/>
      <c r="X34847" s="9"/>
    </row>
    <row r="34848">
      <c r="D34848" s="9"/>
      <c r="G34848" s="9"/>
      <c r="J34848" s="11"/>
      <c r="U34848" s="9"/>
      <c r="X34848" s="9"/>
    </row>
    <row r="34849">
      <c r="D34849" s="9"/>
      <c r="G34849" s="9"/>
      <c r="J34849" s="11"/>
      <c r="U34849" s="9"/>
      <c r="X34849" s="9"/>
    </row>
    <row r="34850">
      <c r="D34850" s="9"/>
      <c r="G34850" s="9"/>
      <c r="J34850" s="11"/>
      <c r="U34850" s="9"/>
      <c r="X34850" s="9"/>
    </row>
    <row r="34851">
      <c r="D34851" s="9"/>
      <c r="G34851" s="9"/>
      <c r="J34851" s="11"/>
      <c r="U34851" s="9"/>
      <c r="X34851" s="9"/>
    </row>
    <row r="34852">
      <c r="D34852" s="9"/>
      <c r="G34852" s="9"/>
      <c r="J34852" s="11"/>
      <c r="U34852" s="9"/>
      <c r="X34852" s="9"/>
    </row>
    <row r="34853">
      <c r="D34853" s="9"/>
      <c r="G34853" s="9"/>
      <c r="J34853" s="11"/>
      <c r="U34853" s="9"/>
      <c r="X34853" s="9"/>
    </row>
    <row r="34854">
      <c r="D34854" s="9"/>
      <c r="G34854" s="9"/>
      <c r="J34854" s="11"/>
      <c r="U34854" s="9"/>
      <c r="X34854" s="9"/>
    </row>
    <row r="34855">
      <c r="D34855" s="9"/>
      <c r="G34855" s="9"/>
      <c r="J34855" s="11"/>
      <c r="U34855" s="9"/>
      <c r="X34855" s="9"/>
    </row>
    <row r="34856">
      <c r="D34856" s="9"/>
      <c r="G34856" s="9"/>
      <c r="J34856" s="11"/>
      <c r="U34856" s="9"/>
      <c r="X34856" s="9"/>
    </row>
    <row r="34857">
      <c r="D34857" s="9"/>
      <c r="G34857" s="9"/>
      <c r="J34857" s="11"/>
      <c r="U34857" s="9"/>
      <c r="X34857" s="9"/>
    </row>
    <row r="34858">
      <c r="D34858" s="9"/>
      <c r="G34858" s="9"/>
      <c r="J34858" s="11"/>
      <c r="U34858" s="9"/>
      <c r="X34858" s="9"/>
    </row>
    <row r="34859">
      <c r="D34859" s="9"/>
      <c r="G34859" s="9"/>
      <c r="J34859" s="11"/>
      <c r="U34859" s="9"/>
      <c r="X34859" s="9"/>
    </row>
    <row r="34860">
      <c r="D34860" s="9"/>
      <c r="G34860" s="9"/>
      <c r="J34860" s="11"/>
      <c r="U34860" s="9"/>
      <c r="X34860" s="9"/>
    </row>
    <row r="34861">
      <c r="D34861" s="9"/>
      <c r="G34861" s="9"/>
      <c r="J34861" s="11"/>
      <c r="U34861" s="9"/>
      <c r="X34861" s="9"/>
    </row>
    <row r="34862">
      <c r="D34862" s="9"/>
      <c r="G34862" s="9"/>
      <c r="J34862" s="11"/>
      <c r="U34862" s="9"/>
      <c r="X34862" s="9"/>
    </row>
    <row r="34863">
      <c r="D34863" s="9"/>
      <c r="G34863" s="9"/>
      <c r="J34863" s="11"/>
      <c r="U34863" s="9"/>
      <c r="X34863" s="9"/>
    </row>
    <row r="34864">
      <c r="D34864" s="9"/>
      <c r="G34864" s="9"/>
      <c r="J34864" s="11"/>
      <c r="U34864" s="9"/>
      <c r="X34864" s="9"/>
    </row>
    <row r="34865">
      <c r="D34865" s="9"/>
      <c r="G34865" s="9"/>
      <c r="J34865" s="11"/>
      <c r="U34865" s="9"/>
      <c r="X34865" s="9"/>
    </row>
    <row r="34866">
      <c r="D34866" s="9"/>
      <c r="G34866" s="9"/>
      <c r="J34866" s="11"/>
      <c r="U34866" s="9"/>
      <c r="X34866" s="9"/>
    </row>
    <row r="34867">
      <c r="D34867" s="9"/>
      <c r="G34867" s="9"/>
      <c r="J34867" s="11"/>
      <c r="U34867" s="9"/>
      <c r="X34867" s="9"/>
    </row>
    <row r="34868">
      <c r="D34868" s="9"/>
      <c r="G34868" s="9"/>
      <c r="J34868" s="11"/>
      <c r="U34868" s="9"/>
      <c r="X34868" s="9"/>
    </row>
    <row r="34869">
      <c r="D34869" s="9"/>
      <c r="G34869" s="9"/>
      <c r="J34869" s="11"/>
      <c r="U34869" s="9"/>
      <c r="X34869" s="9"/>
    </row>
    <row r="34870">
      <c r="D34870" s="9"/>
      <c r="G34870" s="9"/>
      <c r="J34870" s="11"/>
      <c r="U34870" s="9"/>
      <c r="X34870" s="9"/>
    </row>
    <row r="34871">
      <c r="D34871" s="9"/>
      <c r="G34871" s="9"/>
      <c r="J34871" s="11"/>
      <c r="U34871" s="9"/>
      <c r="X34871" s="9"/>
    </row>
    <row r="34872">
      <c r="D34872" s="9"/>
      <c r="G34872" s="9"/>
      <c r="J34872" s="11"/>
      <c r="U34872" s="9"/>
      <c r="X34872" s="9"/>
    </row>
    <row r="34873">
      <c r="D34873" s="9"/>
      <c r="G34873" s="9"/>
      <c r="J34873" s="11"/>
      <c r="U34873" s="9"/>
      <c r="X34873" s="9"/>
    </row>
    <row r="34874">
      <c r="D34874" s="9"/>
      <c r="G34874" s="9"/>
      <c r="J34874" s="11"/>
      <c r="U34874" s="9"/>
      <c r="X34874" s="9"/>
    </row>
    <row r="34875">
      <c r="D34875" s="9"/>
      <c r="G34875" s="9"/>
      <c r="J34875" s="11"/>
      <c r="U34875" s="9"/>
      <c r="X34875" s="9"/>
    </row>
    <row r="34876">
      <c r="D34876" s="9"/>
      <c r="G34876" s="9"/>
      <c r="J34876" s="11"/>
      <c r="U34876" s="9"/>
      <c r="X34876" s="9"/>
    </row>
    <row r="34877">
      <c r="D34877" s="9"/>
      <c r="G34877" s="9"/>
      <c r="J34877" s="11"/>
      <c r="U34877" s="9"/>
      <c r="X34877" s="9"/>
    </row>
    <row r="34878">
      <c r="D34878" s="9"/>
      <c r="G34878" s="9"/>
      <c r="J34878" s="11"/>
      <c r="U34878" s="9"/>
      <c r="X34878" s="9"/>
    </row>
    <row r="34879">
      <c r="D34879" s="9"/>
      <c r="G34879" s="9"/>
      <c r="J34879" s="11"/>
      <c r="U34879" s="9"/>
      <c r="X34879" s="9"/>
    </row>
    <row r="34880">
      <c r="D34880" s="9"/>
      <c r="G34880" s="9"/>
      <c r="J34880" s="11"/>
      <c r="U34880" s="9"/>
      <c r="X34880" s="9"/>
    </row>
    <row r="34881">
      <c r="D34881" s="9"/>
      <c r="G34881" s="9"/>
      <c r="J34881" s="11"/>
      <c r="U34881" s="9"/>
      <c r="X34881" s="9"/>
    </row>
    <row r="34882">
      <c r="D34882" s="9"/>
      <c r="G34882" s="9"/>
      <c r="J34882" s="11"/>
      <c r="U34882" s="9"/>
      <c r="X34882" s="9"/>
    </row>
    <row r="34883">
      <c r="D34883" s="9"/>
      <c r="G34883" s="9"/>
      <c r="J34883" s="11"/>
      <c r="U34883" s="9"/>
      <c r="X34883" s="9"/>
    </row>
    <row r="34884">
      <c r="D34884" s="9"/>
      <c r="G34884" s="9"/>
      <c r="J34884" s="11"/>
      <c r="U34884" s="9"/>
      <c r="X34884" s="9"/>
    </row>
    <row r="34885">
      <c r="D34885" s="9"/>
      <c r="G34885" s="9"/>
      <c r="J34885" s="11"/>
      <c r="U34885" s="9"/>
      <c r="X34885" s="9"/>
    </row>
    <row r="34886">
      <c r="D34886" s="9"/>
      <c r="G34886" s="9"/>
      <c r="J34886" s="11"/>
      <c r="U34886" s="9"/>
      <c r="X34886" s="9"/>
    </row>
    <row r="34887">
      <c r="D34887" s="9"/>
      <c r="G34887" s="9"/>
      <c r="J34887" s="11"/>
      <c r="U34887" s="9"/>
      <c r="X34887" s="9"/>
    </row>
    <row r="34888">
      <c r="D34888" s="9"/>
      <c r="G34888" s="9"/>
      <c r="J34888" s="11"/>
      <c r="U34888" s="9"/>
      <c r="X34888" s="9"/>
    </row>
    <row r="34889">
      <c r="D34889" s="9"/>
      <c r="G34889" s="9"/>
      <c r="J34889" s="11"/>
      <c r="U34889" s="9"/>
      <c r="X34889" s="9"/>
    </row>
    <row r="34890">
      <c r="D34890" s="9"/>
      <c r="G34890" s="9"/>
      <c r="J34890" s="11"/>
      <c r="U34890" s="9"/>
      <c r="X34890" s="9"/>
    </row>
    <row r="34891">
      <c r="D34891" s="9"/>
      <c r="G34891" s="9"/>
      <c r="J34891" s="11"/>
      <c r="U34891" s="9"/>
      <c r="X34891" s="9"/>
    </row>
    <row r="34892">
      <c r="D34892" s="9"/>
      <c r="G34892" s="9"/>
      <c r="J34892" s="11"/>
      <c r="U34892" s="9"/>
      <c r="X34892" s="9"/>
    </row>
    <row r="34893">
      <c r="D34893" s="9"/>
      <c r="G34893" s="9"/>
      <c r="J34893" s="11"/>
      <c r="U34893" s="9"/>
      <c r="X34893" s="9"/>
    </row>
    <row r="34894">
      <c r="D34894" s="9"/>
      <c r="G34894" s="9"/>
      <c r="J34894" s="11"/>
      <c r="U34894" s="9"/>
      <c r="X34894" s="9"/>
    </row>
    <row r="34895">
      <c r="D34895" s="9"/>
      <c r="G34895" s="9"/>
      <c r="J34895" s="11"/>
      <c r="U34895" s="9"/>
      <c r="X34895" s="9"/>
    </row>
    <row r="34896">
      <c r="D34896" s="9"/>
      <c r="G34896" s="9"/>
      <c r="J34896" s="11"/>
      <c r="U34896" s="9"/>
      <c r="X34896" s="9"/>
    </row>
    <row r="34897">
      <c r="D34897" s="9"/>
      <c r="G34897" s="9"/>
      <c r="J34897" s="11"/>
      <c r="U34897" s="9"/>
      <c r="X34897" s="9"/>
    </row>
    <row r="34898">
      <c r="D34898" s="9"/>
      <c r="G34898" s="9"/>
      <c r="J34898" s="11"/>
      <c r="U34898" s="9"/>
      <c r="X34898" s="9"/>
    </row>
    <row r="34899">
      <c r="D34899" s="9"/>
      <c r="G34899" s="9"/>
      <c r="J34899" s="11"/>
      <c r="U34899" s="9"/>
      <c r="X34899" s="9"/>
    </row>
    <row r="34900">
      <c r="D34900" s="9"/>
      <c r="G34900" s="9"/>
      <c r="J34900" s="11"/>
      <c r="U34900" s="9"/>
      <c r="X34900" s="9"/>
    </row>
    <row r="34901">
      <c r="D34901" s="9"/>
      <c r="G34901" s="9"/>
      <c r="J34901" s="11"/>
      <c r="U34901" s="9"/>
      <c r="X34901" s="9"/>
    </row>
    <row r="34902">
      <c r="D34902" s="9"/>
      <c r="G34902" s="9"/>
      <c r="J34902" s="11"/>
      <c r="U34902" s="9"/>
      <c r="X34902" s="9"/>
    </row>
    <row r="34903">
      <c r="D34903" s="9"/>
      <c r="G34903" s="9"/>
      <c r="J34903" s="11"/>
      <c r="U34903" s="9"/>
      <c r="X34903" s="9"/>
    </row>
    <row r="34904">
      <c r="D34904" s="9"/>
      <c r="G34904" s="9"/>
      <c r="J34904" s="11"/>
      <c r="U34904" s="9"/>
      <c r="X34904" s="9"/>
    </row>
    <row r="34905">
      <c r="D34905" s="9"/>
      <c r="G34905" s="9"/>
      <c r="J34905" s="11"/>
      <c r="U34905" s="9"/>
      <c r="X34905" s="9"/>
    </row>
    <row r="34906">
      <c r="D34906" s="9"/>
      <c r="G34906" s="9"/>
      <c r="J34906" s="11"/>
      <c r="U34906" s="9"/>
      <c r="X34906" s="9"/>
    </row>
    <row r="34907">
      <c r="D34907" s="9"/>
      <c r="G34907" s="9"/>
      <c r="J34907" s="11"/>
      <c r="U34907" s="9"/>
      <c r="X34907" s="9"/>
    </row>
    <row r="34908">
      <c r="D34908" s="9"/>
      <c r="G34908" s="9"/>
      <c r="J34908" s="11"/>
      <c r="U34908" s="9"/>
      <c r="X34908" s="9"/>
    </row>
    <row r="34909">
      <c r="D34909" s="9"/>
      <c r="G34909" s="9"/>
      <c r="J34909" s="11"/>
      <c r="U34909" s="9"/>
      <c r="X34909" s="9"/>
    </row>
    <row r="34910">
      <c r="D34910" s="9"/>
      <c r="G34910" s="9"/>
      <c r="J34910" s="11"/>
      <c r="U34910" s="9"/>
      <c r="X34910" s="9"/>
    </row>
    <row r="34911">
      <c r="D34911" s="9"/>
      <c r="G34911" s="9"/>
      <c r="J34911" s="11"/>
      <c r="U34911" s="9"/>
      <c r="X34911" s="9"/>
    </row>
    <row r="34912">
      <c r="D34912" s="9"/>
      <c r="G34912" s="9"/>
      <c r="J34912" s="11"/>
      <c r="U34912" s="9"/>
      <c r="X34912" s="9"/>
    </row>
    <row r="34913">
      <c r="D34913" s="9"/>
      <c r="G34913" s="9"/>
      <c r="J34913" s="11"/>
      <c r="U34913" s="9"/>
      <c r="X34913" s="9"/>
    </row>
    <row r="34914">
      <c r="D34914" s="9"/>
      <c r="G34914" s="9"/>
      <c r="J34914" s="11"/>
      <c r="U34914" s="9"/>
      <c r="X34914" s="9"/>
    </row>
    <row r="34915">
      <c r="D34915" s="9"/>
      <c r="G34915" s="9"/>
      <c r="J34915" s="11"/>
      <c r="U34915" s="9"/>
      <c r="X34915" s="9"/>
    </row>
    <row r="34916">
      <c r="D34916" s="9"/>
      <c r="G34916" s="9"/>
      <c r="J34916" s="11"/>
      <c r="U34916" s="9"/>
      <c r="X34916" s="9"/>
    </row>
    <row r="34917">
      <c r="D34917" s="9"/>
      <c r="G34917" s="9"/>
      <c r="J34917" s="11"/>
      <c r="U34917" s="9"/>
      <c r="X34917" s="9"/>
    </row>
    <row r="34918">
      <c r="D34918" s="9"/>
      <c r="G34918" s="9"/>
      <c r="J34918" s="11"/>
      <c r="U34918" s="9"/>
      <c r="X34918" s="9"/>
    </row>
    <row r="34919">
      <c r="D34919" s="9"/>
      <c r="G34919" s="9"/>
      <c r="J34919" s="11"/>
      <c r="U34919" s="9"/>
      <c r="X34919" s="9"/>
    </row>
    <row r="34920">
      <c r="D34920" s="9"/>
      <c r="G34920" s="9"/>
      <c r="J34920" s="11"/>
      <c r="U34920" s="9"/>
      <c r="X34920" s="9"/>
    </row>
    <row r="34921">
      <c r="D34921" s="9"/>
      <c r="G34921" s="9"/>
      <c r="J34921" s="11"/>
      <c r="U34921" s="9"/>
      <c r="X34921" s="9"/>
    </row>
    <row r="34922">
      <c r="D34922" s="9"/>
      <c r="G34922" s="9"/>
      <c r="J34922" s="11"/>
      <c r="U34922" s="9"/>
      <c r="X34922" s="9"/>
    </row>
    <row r="34923">
      <c r="D34923" s="9"/>
      <c r="G34923" s="9"/>
      <c r="J34923" s="11"/>
      <c r="U34923" s="9"/>
      <c r="X34923" s="9"/>
    </row>
    <row r="34924">
      <c r="D34924" s="9"/>
      <c r="G34924" s="9"/>
      <c r="J34924" s="11"/>
      <c r="U34924" s="9"/>
      <c r="X34924" s="9"/>
    </row>
    <row r="34925">
      <c r="D34925" s="9"/>
      <c r="G34925" s="9"/>
      <c r="J34925" s="11"/>
      <c r="U34925" s="9"/>
      <c r="X34925" s="9"/>
    </row>
    <row r="34926">
      <c r="D34926" s="9"/>
      <c r="G34926" s="9"/>
      <c r="J34926" s="11"/>
      <c r="U34926" s="9"/>
      <c r="X34926" s="9"/>
    </row>
    <row r="34927">
      <c r="D34927" s="9"/>
      <c r="G34927" s="9"/>
      <c r="J34927" s="11"/>
      <c r="U34927" s="9"/>
      <c r="X34927" s="9"/>
    </row>
    <row r="34928">
      <c r="D34928" s="9"/>
      <c r="G34928" s="9"/>
      <c r="J34928" s="11"/>
      <c r="U34928" s="9"/>
      <c r="X34928" s="9"/>
    </row>
    <row r="34929">
      <c r="D34929" s="9"/>
      <c r="G34929" s="9"/>
      <c r="J34929" s="11"/>
      <c r="U34929" s="9"/>
      <c r="X34929" s="9"/>
    </row>
    <row r="34930">
      <c r="D34930" s="9"/>
      <c r="G34930" s="9"/>
      <c r="J34930" s="11"/>
      <c r="U34930" s="9"/>
      <c r="X34930" s="9"/>
    </row>
    <row r="34931">
      <c r="D34931" s="9"/>
      <c r="G34931" s="9"/>
      <c r="J34931" s="11"/>
      <c r="U34931" s="9"/>
      <c r="X34931" s="9"/>
    </row>
    <row r="34932">
      <c r="D34932" s="9"/>
      <c r="G34932" s="9"/>
      <c r="J34932" s="11"/>
      <c r="U34932" s="9"/>
      <c r="X34932" s="9"/>
    </row>
    <row r="34933">
      <c r="D34933" s="9"/>
      <c r="G34933" s="9"/>
      <c r="J34933" s="11"/>
      <c r="U34933" s="9"/>
      <c r="X34933" s="9"/>
    </row>
    <row r="34934">
      <c r="D34934" s="9"/>
      <c r="G34934" s="9"/>
      <c r="J34934" s="11"/>
      <c r="U34934" s="9"/>
      <c r="X34934" s="9"/>
    </row>
    <row r="34935">
      <c r="D34935" s="9"/>
      <c r="G34935" s="9"/>
      <c r="J34935" s="11"/>
      <c r="U34935" s="9"/>
      <c r="X34935" s="9"/>
    </row>
    <row r="34936">
      <c r="D34936" s="9"/>
      <c r="G34936" s="9"/>
      <c r="J34936" s="11"/>
      <c r="U34936" s="9"/>
      <c r="X34936" s="9"/>
    </row>
    <row r="34937">
      <c r="D34937" s="9"/>
      <c r="G34937" s="9"/>
      <c r="J34937" s="11"/>
      <c r="U34937" s="9"/>
      <c r="X34937" s="9"/>
    </row>
    <row r="34938">
      <c r="D34938" s="9"/>
      <c r="G34938" s="9"/>
      <c r="J34938" s="11"/>
      <c r="U34938" s="9"/>
      <c r="X34938" s="9"/>
    </row>
    <row r="34939">
      <c r="D34939" s="9"/>
      <c r="G34939" s="9"/>
      <c r="J34939" s="11"/>
      <c r="U34939" s="9"/>
      <c r="X34939" s="9"/>
    </row>
    <row r="34940">
      <c r="D34940" s="9"/>
      <c r="G34940" s="9"/>
      <c r="J34940" s="11"/>
      <c r="U34940" s="9"/>
      <c r="X34940" s="9"/>
    </row>
    <row r="34941">
      <c r="D34941" s="9"/>
      <c r="G34941" s="9"/>
      <c r="J34941" s="11"/>
      <c r="U34941" s="9"/>
      <c r="X34941" s="9"/>
    </row>
    <row r="34942">
      <c r="D34942" s="9"/>
      <c r="G34942" s="9"/>
      <c r="J34942" s="11"/>
      <c r="U34942" s="9"/>
      <c r="X34942" s="9"/>
    </row>
    <row r="34943">
      <c r="D34943" s="9"/>
      <c r="G34943" s="9"/>
      <c r="J34943" s="11"/>
      <c r="U34943" s="9"/>
      <c r="X34943" s="9"/>
    </row>
    <row r="34944">
      <c r="D34944" s="9"/>
      <c r="G34944" s="9"/>
      <c r="J34944" s="11"/>
      <c r="U34944" s="9"/>
      <c r="X34944" s="9"/>
    </row>
    <row r="34945">
      <c r="D34945" s="9"/>
      <c r="G34945" s="9"/>
      <c r="J34945" s="11"/>
      <c r="U34945" s="9"/>
      <c r="X34945" s="9"/>
    </row>
    <row r="34946">
      <c r="D34946" s="9"/>
      <c r="G34946" s="9"/>
      <c r="J34946" s="11"/>
      <c r="U34946" s="9"/>
      <c r="X34946" s="9"/>
    </row>
    <row r="34947">
      <c r="D34947" s="9"/>
      <c r="G34947" s="9"/>
      <c r="J34947" s="11"/>
      <c r="U34947" s="9"/>
      <c r="X34947" s="9"/>
    </row>
    <row r="34948">
      <c r="D34948" s="9"/>
      <c r="G34948" s="9"/>
      <c r="J34948" s="11"/>
      <c r="U34948" s="9"/>
      <c r="X34948" s="9"/>
    </row>
    <row r="34949">
      <c r="D34949" s="9"/>
      <c r="G34949" s="9"/>
      <c r="J34949" s="11"/>
      <c r="U34949" s="9"/>
      <c r="X34949" s="9"/>
    </row>
    <row r="34950">
      <c r="D34950" s="9"/>
      <c r="G34950" s="9"/>
      <c r="J34950" s="11"/>
      <c r="U34950" s="9"/>
      <c r="X34950" s="9"/>
    </row>
    <row r="34951">
      <c r="D34951" s="9"/>
      <c r="G34951" s="9"/>
      <c r="J34951" s="11"/>
      <c r="U34951" s="9"/>
      <c r="X34951" s="9"/>
    </row>
    <row r="34952">
      <c r="D34952" s="9"/>
      <c r="G34952" s="9"/>
      <c r="J34952" s="11"/>
      <c r="U34952" s="9"/>
      <c r="X34952" s="9"/>
    </row>
    <row r="34953">
      <c r="D34953" s="9"/>
      <c r="G34953" s="9"/>
      <c r="J34953" s="11"/>
      <c r="U34953" s="9"/>
      <c r="X34953" s="9"/>
    </row>
    <row r="34954">
      <c r="D34954" s="9"/>
      <c r="G34954" s="9"/>
      <c r="J34954" s="11"/>
      <c r="U34954" s="9"/>
      <c r="X34954" s="9"/>
    </row>
    <row r="34955">
      <c r="D34955" s="9"/>
      <c r="G34955" s="9"/>
      <c r="J34955" s="11"/>
      <c r="U34955" s="9"/>
      <c r="X34955" s="9"/>
    </row>
    <row r="34956">
      <c r="D34956" s="9"/>
      <c r="G34956" s="9"/>
      <c r="J34956" s="11"/>
      <c r="U34956" s="9"/>
      <c r="X34956" s="9"/>
    </row>
    <row r="34957">
      <c r="D34957" s="9"/>
      <c r="G34957" s="9"/>
      <c r="J34957" s="11"/>
      <c r="U34957" s="9"/>
      <c r="X34957" s="9"/>
    </row>
    <row r="34958">
      <c r="D34958" s="9"/>
      <c r="G34958" s="9"/>
      <c r="J34958" s="11"/>
      <c r="U34958" s="9"/>
      <c r="X34958" s="9"/>
    </row>
    <row r="34959">
      <c r="D34959" s="9"/>
      <c r="G34959" s="9"/>
      <c r="J34959" s="11"/>
      <c r="U34959" s="9"/>
      <c r="X34959" s="9"/>
    </row>
    <row r="34960">
      <c r="D34960" s="9"/>
      <c r="G34960" s="9"/>
      <c r="J34960" s="11"/>
      <c r="U34960" s="9"/>
      <c r="X34960" s="9"/>
    </row>
    <row r="34961">
      <c r="D34961" s="9"/>
      <c r="G34961" s="9"/>
      <c r="J34961" s="11"/>
      <c r="U34961" s="9"/>
      <c r="X34961" s="9"/>
    </row>
    <row r="34962">
      <c r="D34962" s="9"/>
      <c r="G34962" s="9"/>
      <c r="J34962" s="11"/>
      <c r="U34962" s="9"/>
      <c r="X34962" s="9"/>
    </row>
    <row r="34963">
      <c r="D34963" s="9"/>
      <c r="G34963" s="9"/>
      <c r="J34963" s="11"/>
      <c r="U34963" s="9"/>
      <c r="X34963" s="9"/>
    </row>
    <row r="34964">
      <c r="D34964" s="9"/>
      <c r="G34964" s="9"/>
      <c r="J34964" s="11"/>
      <c r="U34964" s="9"/>
      <c r="X34964" s="9"/>
    </row>
    <row r="34965">
      <c r="D34965" s="9"/>
      <c r="G34965" s="9"/>
      <c r="J34965" s="11"/>
      <c r="U34965" s="9"/>
      <c r="X34965" s="9"/>
    </row>
    <row r="34966">
      <c r="D34966" s="9"/>
      <c r="G34966" s="9"/>
      <c r="J34966" s="11"/>
      <c r="U34966" s="9"/>
      <c r="X34966" s="9"/>
    </row>
    <row r="34967">
      <c r="D34967" s="9"/>
      <c r="G34967" s="9"/>
      <c r="J34967" s="11"/>
      <c r="U34967" s="9"/>
      <c r="X34967" s="9"/>
    </row>
    <row r="34968">
      <c r="D34968" s="9"/>
      <c r="G34968" s="9"/>
      <c r="J34968" s="11"/>
      <c r="U34968" s="9"/>
      <c r="X34968" s="9"/>
    </row>
    <row r="34969">
      <c r="D34969" s="9"/>
      <c r="G34969" s="9"/>
      <c r="J34969" s="11"/>
      <c r="U34969" s="9"/>
      <c r="X34969" s="9"/>
    </row>
    <row r="34970">
      <c r="D34970" s="9"/>
      <c r="G34970" s="9"/>
      <c r="J34970" s="11"/>
      <c r="U34970" s="9"/>
      <c r="X34970" s="9"/>
    </row>
    <row r="34971">
      <c r="D34971" s="9"/>
      <c r="G34971" s="9"/>
      <c r="J34971" s="11"/>
      <c r="U34971" s="9"/>
      <c r="X34971" s="9"/>
    </row>
    <row r="34972">
      <c r="D34972" s="9"/>
      <c r="G34972" s="9"/>
      <c r="J34972" s="11"/>
      <c r="U34972" s="9"/>
      <c r="X34972" s="9"/>
    </row>
    <row r="34973">
      <c r="D34973" s="9"/>
      <c r="G34973" s="9"/>
      <c r="J34973" s="11"/>
      <c r="U34973" s="9"/>
      <c r="X34973" s="9"/>
    </row>
    <row r="34974">
      <c r="D34974" s="9"/>
      <c r="G34974" s="9"/>
      <c r="J34974" s="11"/>
      <c r="U34974" s="9"/>
      <c r="X34974" s="9"/>
    </row>
    <row r="34975">
      <c r="D34975" s="9"/>
      <c r="G34975" s="9"/>
      <c r="J34975" s="11"/>
      <c r="U34975" s="9"/>
      <c r="X34975" s="9"/>
    </row>
    <row r="34976">
      <c r="D34976" s="9"/>
      <c r="G34976" s="9"/>
      <c r="J34976" s="11"/>
      <c r="U34976" s="9"/>
      <c r="X34976" s="9"/>
    </row>
    <row r="34977">
      <c r="D34977" s="9"/>
      <c r="G34977" s="9"/>
      <c r="J34977" s="11"/>
      <c r="U34977" s="9"/>
      <c r="X34977" s="9"/>
    </row>
    <row r="34978">
      <c r="D34978" s="9"/>
      <c r="G34978" s="9"/>
      <c r="J34978" s="11"/>
      <c r="U34978" s="9"/>
      <c r="X34978" s="9"/>
    </row>
    <row r="34979">
      <c r="D34979" s="9"/>
      <c r="G34979" s="9"/>
      <c r="J34979" s="11"/>
      <c r="U34979" s="9"/>
      <c r="X34979" s="9"/>
    </row>
    <row r="34980">
      <c r="D34980" s="9"/>
      <c r="G34980" s="9"/>
      <c r="J34980" s="11"/>
      <c r="U34980" s="9"/>
      <c r="X34980" s="9"/>
    </row>
    <row r="34981">
      <c r="D34981" s="9"/>
      <c r="G34981" s="9"/>
      <c r="J34981" s="11"/>
      <c r="U34981" s="9"/>
      <c r="X34981" s="9"/>
    </row>
    <row r="34982">
      <c r="D34982" s="9"/>
      <c r="G34982" s="9"/>
      <c r="J34982" s="11"/>
      <c r="U34982" s="9"/>
      <c r="X34982" s="9"/>
    </row>
    <row r="34983">
      <c r="D34983" s="9"/>
      <c r="G34983" s="9"/>
      <c r="J34983" s="11"/>
      <c r="U34983" s="9"/>
      <c r="X34983" s="9"/>
    </row>
    <row r="34984">
      <c r="D34984" s="9"/>
      <c r="G34984" s="9"/>
      <c r="J34984" s="11"/>
      <c r="U34984" s="9"/>
      <c r="X34984" s="9"/>
    </row>
    <row r="34985">
      <c r="D34985" s="9"/>
      <c r="G34985" s="9"/>
      <c r="J34985" s="11"/>
      <c r="U34985" s="9"/>
      <c r="X34985" s="9"/>
    </row>
    <row r="34986">
      <c r="D34986" s="9"/>
      <c r="G34986" s="9"/>
      <c r="J34986" s="11"/>
      <c r="U34986" s="9"/>
      <c r="X34986" s="9"/>
    </row>
    <row r="34987">
      <c r="D34987" s="9"/>
      <c r="G34987" s="9"/>
      <c r="J34987" s="11"/>
      <c r="U34987" s="9"/>
      <c r="X34987" s="9"/>
    </row>
    <row r="34988">
      <c r="D34988" s="9"/>
      <c r="G34988" s="9"/>
      <c r="J34988" s="11"/>
      <c r="U34988" s="9"/>
      <c r="X34988" s="9"/>
    </row>
    <row r="34989">
      <c r="D34989" s="9"/>
      <c r="G34989" s="9"/>
      <c r="J34989" s="11"/>
      <c r="U34989" s="9"/>
      <c r="X34989" s="9"/>
    </row>
    <row r="34990">
      <c r="D34990" s="9"/>
      <c r="G34990" s="9"/>
      <c r="J34990" s="11"/>
      <c r="U34990" s="9"/>
      <c r="X34990" s="9"/>
    </row>
    <row r="34991">
      <c r="D34991" s="9"/>
      <c r="G34991" s="9"/>
      <c r="J34991" s="11"/>
      <c r="U34991" s="9"/>
      <c r="X34991" s="9"/>
    </row>
    <row r="34992">
      <c r="D34992" s="9"/>
      <c r="G34992" s="9"/>
      <c r="J34992" s="11"/>
      <c r="U34992" s="9"/>
      <c r="X34992" s="9"/>
    </row>
    <row r="34993">
      <c r="D34993" s="9"/>
      <c r="G34993" s="9"/>
      <c r="J34993" s="11"/>
      <c r="U34993" s="9"/>
      <c r="X34993" s="9"/>
    </row>
    <row r="34994">
      <c r="D34994" s="9"/>
      <c r="G34994" s="9"/>
      <c r="J34994" s="11"/>
      <c r="U34994" s="9"/>
      <c r="X34994" s="9"/>
    </row>
    <row r="34995">
      <c r="D34995" s="9"/>
      <c r="G34995" s="9"/>
      <c r="J34995" s="11"/>
      <c r="U34995" s="9"/>
      <c r="X34995" s="9"/>
    </row>
    <row r="34996">
      <c r="D34996" s="9"/>
      <c r="G34996" s="9"/>
      <c r="J34996" s="11"/>
      <c r="U34996" s="9"/>
      <c r="X34996" s="9"/>
    </row>
    <row r="34997">
      <c r="D34997" s="9"/>
      <c r="G34997" s="9"/>
      <c r="J34997" s="11"/>
      <c r="U34997" s="9"/>
      <c r="X34997" s="9"/>
    </row>
    <row r="34998">
      <c r="D34998" s="9"/>
      <c r="G34998" s="9"/>
      <c r="J34998" s="11"/>
      <c r="U34998" s="9"/>
      <c r="X34998" s="9"/>
    </row>
    <row r="34999">
      <c r="D34999" s="9"/>
      <c r="G34999" s="9"/>
      <c r="J34999" s="11"/>
      <c r="U34999" s="9"/>
      <c r="X34999" s="9"/>
    </row>
    <row r="35000">
      <c r="D35000" s="9"/>
      <c r="G35000" s="9"/>
      <c r="J35000" s="11"/>
      <c r="U35000" s="9"/>
      <c r="X35000" s="9"/>
    </row>
    <row r="35001">
      <c r="D35001" s="9"/>
      <c r="G35001" s="9"/>
      <c r="J35001" s="11"/>
      <c r="U35001" s="9"/>
      <c r="X35001" s="9"/>
    </row>
    <row r="35002">
      <c r="D35002" s="9"/>
      <c r="G35002" s="9"/>
      <c r="J35002" s="11"/>
      <c r="U35002" s="9"/>
      <c r="X35002" s="9"/>
    </row>
    <row r="35003">
      <c r="D35003" s="9"/>
      <c r="G35003" s="9"/>
      <c r="J35003" s="11"/>
      <c r="U35003" s="9"/>
      <c r="X35003" s="9"/>
    </row>
    <row r="35004">
      <c r="D35004" s="9"/>
      <c r="G35004" s="9"/>
      <c r="J35004" s="11"/>
      <c r="U35004" s="9"/>
      <c r="X35004" s="9"/>
    </row>
    <row r="35005">
      <c r="D35005" s="9"/>
      <c r="G35005" s="9"/>
      <c r="J35005" s="11"/>
      <c r="U35005" s="9"/>
      <c r="X35005" s="9"/>
    </row>
    <row r="35006">
      <c r="D35006" s="9"/>
      <c r="G35006" s="9"/>
      <c r="J35006" s="11"/>
      <c r="U35006" s="9"/>
      <c r="X35006" s="9"/>
    </row>
    <row r="35007">
      <c r="D35007" s="9"/>
      <c r="G35007" s="9"/>
      <c r="J35007" s="11"/>
      <c r="U35007" s="9"/>
      <c r="X35007" s="9"/>
    </row>
    <row r="35008">
      <c r="D35008" s="9"/>
      <c r="G35008" s="9"/>
      <c r="J35008" s="11"/>
      <c r="U35008" s="9"/>
      <c r="X35008" s="9"/>
    </row>
    <row r="35009">
      <c r="D35009" s="9"/>
      <c r="G35009" s="9"/>
      <c r="J35009" s="11"/>
      <c r="U35009" s="9"/>
      <c r="X35009" s="9"/>
    </row>
    <row r="35010">
      <c r="D35010" s="9"/>
      <c r="G35010" s="9"/>
      <c r="J35010" s="11"/>
      <c r="U35010" s="9"/>
      <c r="X35010" s="9"/>
    </row>
    <row r="35011">
      <c r="D35011" s="9"/>
      <c r="G35011" s="9"/>
      <c r="J35011" s="11"/>
      <c r="U35011" s="9"/>
      <c r="X35011" s="9"/>
    </row>
    <row r="35012">
      <c r="D35012" s="9"/>
      <c r="G35012" s="9"/>
      <c r="J35012" s="11"/>
      <c r="U35012" s="9"/>
      <c r="X35012" s="9"/>
    </row>
    <row r="35013">
      <c r="D35013" s="9"/>
      <c r="G35013" s="9"/>
      <c r="J35013" s="11"/>
      <c r="U35013" s="9"/>
      <c r="X35013" s="9"/>
    </row>
    <row r="35014">
      <c r="D35014" s="9"/>
      <c r="G35014" s="9"/>
      <c r="J35014" s="11"/>
      <c r="U35014" s="9"/>
      <c r="X35014" s="9"/>
    </row>
    <row r="35015">
      <c r="D35015" s="9"/>
      <c r="G35015" s="9"/>
      <c r="J35015" s="11"/>
      <c r="U35015" s="9"/>
      <c r="X35015" s="9"/>
    </row>
    <row r="35016">
      <c r="D35016" s="9"/>
      <c r="G35016" s="9"/>
      <c r="J35016" s="11"/>
      <c r="U35016" s="9"/>
      <c r="X35016" s="9"/>
    </row>
    <row r="35017">
      <c r="D35017" s="9"/>
      <c r="G35017" s="9"/>
      <c r="J35017" s="11"/>
      <c r="U35017" s="9"/>
      <c r="X35017" s="9"/>
    </row>
    <row r="35018">
      <c r="D35018" s="9"/>
      <c r="G35018" s="9"/>
      <c r="J35018" s="11"/>
      <c r="U35018" s="9"/>
      <c r="X35018" s="9"/>
    </row>
    <row r="35019">
      <c r="D35019" s="9"/>
      <c r="G35019" s="9"/>
      <c r="J35019" s="11"/>
      <c r="U35019" s="9"/>
      <c r="X35019" s="9"/>
    </row>
    <row r="35020">
      <c r="D35020" s="9"/>
      <c r="G35020" s="9"/>
      <c r="J35020" s="11"/>
      <c r="U35020" s="9"/>
      <c r="X35020" s="9"/>
    </row>
    <row r="35021">
      <c r="D35021" s="9"/>
      <c r="G35021" s="9"/>
      <c r="J35021" s="11"/>
      <c r="U35021" s="9"/>
      <c r="X35021" s="9"/>
    </row>
    <row r="35022">
      <c r="D35022" s="9"/>
      <c r="G35022" s="9"/>
      <c r="J35022" s="11"/>
      <c r="U35022" s="9"/>
      <c r="X35022" s="9"/>
    </row>
    <row r="35023">
      <c r="D35023" s="9"/>
      <c r="G35023" s="9"/>
      <c r="J35023" s="11"/>
      <c r="U35023" s="9"/>
      <c r="X35023" s="9"/>
    </row>
    <row r="35024">
      <c r="D35024" s="9"/>
      <c r="G35024" s="9"/>
      <c r="J35024" s="11"/>
      <c r="U35024" s="9"/>
      <c r="X35024" s="9"/>
    </row>
    <row r="35025">
      <c r="D35025" s="9"/>
      <c r="G35025" s="9"/>
      <c r="J35025" s="11"/>
      <c r="U35025" s="9"/>
      <c r="X35025" s="9"/>
    </row>
    <row r="35026">
      <c r="D35026" s="9"/>
      <c r="G35026" s="9"/>
      <c r="J35026" s="11"/>
      <c r="U35026" s="9"/>
      <c r="X35026" s="9"/>
    </row>
    <row r="35027">
      <c r="D35027" s="9"/>
      <c r="G35027" s="9"/>
      <c r="J35027" s="11"/>
      <c r="U35027" s="9"/>
      <c r="X35027" s="9"/>
    </row>
    <row r="35028">
      <c r="D35028" s="9"/>
      <c r="G35028" s="9"/>
      <c r="J35028" s="11"/>
      <c r="U35028" s="9"/>
      <c r="X35028" s="9"/>
    </row>
    <row r="35029">
      <c r="D35029" s="9"/>
      <c r="G35029" s="9"/>
      <c r="J35029" s="11"/>
      <c r="U35029" s="9"/>
      <c r="X35029" s="9"/>
    </row>
    <row r="35030">
      <c r="D35030" s="9"/>
      <c r="G35030" s="9"/>
      <c r="J35030" s="11"/>
      <c r="U35030" s="9"/>
      <c r="X35030" s="9"/>
    </row>
    <row r="35031">
      <c r="D35031" s="9"/>
      <c r="G35031" s="9"/>
      <c r="J35031" s="11"/>
      <c r="U35031" s="9"/>
      <c r="X35031" s="9"/>
    </row>
    <row r="35032">
      <c r="D35032" s="9"/>
      <c r="G35032" s="9"/>
      <c r="J35032" s="11"/>
      <c r="U35032" s="9"/>
      <c r="X35032" s="9"/>
    </row>
    <row r="35033">
      <c r="D35033" s="9"/>
      <c r="G35033" s="9"/>
      <c r="J35033" s="11"/>
      <c r="U35033" s="9"/>
      <c r="X35033" s="9"/>
    </row>
    <row r="35034">
      <c r="D35034" s="9"/>
      <c r="G35034" s="9"/>
      <c r="J35034" s="11"/>
      <c r="U35034" s="9"/>
      <c r="X35034" s="9"/>
    </row>
    <row r="35035">
      <c r="D35035" s="9"/>
      <c r="G35035" s="9"/>
      <c r="J35035" s="11"/>
      <c r="U35035" s="9"/>
      <c r="X35035" s="9"/>
    </row>
    <row r="35036">
      <c r="D35036" s="9"/>
      <c r="G35036" s="9"/>
      <c r="J35036" s="11"/>
      <c r="U35036" s="9"/>
      <c r="X35036" s="9"/>
    </row>
    <row r="35037">
      <c r="D35037" s="9"/>
      <c r="G35037" s="9"/>
      <c r="J35037" s="11"/>
      <c r="U35037" s="9"/>
      <c r="X35037" s="9"/>
    </row>
    <row r="35038">
      <c r="D35038" s="9"/>
      <c r="G35038" s="9"/>
      <c r="J35038" s="11"/>
      <c r="U35038" s="9"/>
      <c r="X35038" s="9"/>
    </row>
    <row r="35039">
      <c r="D35039" s="9"/>
      <c r="G35039" s="9"/>
      <c r="J35039" s="11"/>
      <c r="U35039" s="9"/>
      <c r="X35039" s="9"/>
    </row>
    <row r="35040">
      <c r="D35040" s="9"/>
      <c r="G35040" s="9"/>
      <c r="J35040" s="11"/>
      <c r="U35040" s="9"/>
      <c r="X35040" s="9"/>
    </row>
    <row r="35041">
      <c r="D35041" s="9"/>
      <c r="G35041" s="9"/>
      <c r="J35041" s="11"/>
      <c r="U35041" s="9"/>
      <c r="X35041" s="9"/>
    </row>
    <row r="35042">
      <c r="D35042" s="9"/>
      <c r="G35042" s="9"/>
      <c r="J35042" s="11"/>
      <c r="U35042" s="9"/>
      <c r="X35042" s="9"/>
    </row>
    <row r="35043">
      <c r="D35043" s="9"/>
      <c r="G35043" s="9"/>
      <c r="J35043" s="11"/>
      <c r="U35043" s="9"/>
      <c r="X35043" s="9"/>
    </row>
    <row r="35044">
      <c r="D35044" s="9"/>
      <c r="G35044" s="9"/>
      <c r="J35044" s="11"/>
      <c r="U35044" s="9"/>
      <c r="X35044" s="9"/>
    </row>
    <row r="35045">
      <c r="D35045" s="9"/>
      <c r="G35045" s="9"/>
      <c r="J35045" s="11"/>
      <c r="U35045" s="9"/>
      <c r="X35045" s="9"/>
    </row>
    <row r="35046">
      <c r="D35046" s="9"/>
      <c r="G35046" s="9"/>
      <c r="J35046" s="11"/>
      <c r="U35046" s="9"/>
      <c r="X35046" s="9"/>
    </row>
    <row r="35047">
      <c r="D35047" s="9"/>
      <c r="G35047" s="9"/>
      <c r="J35047" s="11"/>
      <c r="U35047" s="9"/>
      <c r="X35047" s="9"/>
    </row>
    <row r="35048">
      <c r="D35048" s="9"/>
      <c r="G35048" s="9"/>
      <c r="J35048" s="11"/>
      <c r="U35048" s="9"/>
      <c r="X35048" s="9"/>
    </row>
    <row r="35049">
      <c r="D35049" s="9"/>
      <c r="G35049" s="9"/>
      <c r="J35049" s="11"/>
      <c r="U35049" s="9"/>
      <c r="X35049" s="9"/>
    </row>
    <row r="35050">
      <c r="D35050" s="9"/>
      <c r="G35050" s="9"/>
      <c r="J35050" s="11"/>
      <c r="U35050" s="9"/>
      <c r="X35050" s="9"/>
    </row>
    <row r="35051">
      <c r="D35051" s="9"/>
      <c r="G35051" s="9"/>
      <c r="J35051" s="11"/>
      <c r="U35051" s="9"/>
      <c r="X35051" s="9"/>
    </row>
    <row r="35052">
      <c r="D35052" s="9"/>
      <c r="G35052" s="9"/>
      <c r="J35052" s="11"/>
      <c r="U35052" s="9"/>
      <c r="X35052" s="9"/>
    </row>
    <row r="35053">
      <c r="D35053" s="9"/>
      <c r="G35053" s="9"/>
      <c r="J35053" s="11"/>
      <c r="U35053" s="9"/>
      <c r="X35053" s="9"/>
    </row>
    <row r="35054">
      <c r="D35054" s="9"/>
      <c r="G35054" s="9"/>
      <c r="J35054" s="11"/>
      <c r="U35054" s="9"/>
      <c r="X35054" s="9"/>
    </row>
    <row r="35055">
      <c r="D35055" s="9"/>
      <c r="G35055" s="9"/>
      <c r="J35055" s="11"/>
      <c r="U35055" s="9"/>
      <c r="X35055" s="9"/>
    </row>
    <row r="35056">
      <c r="D35056" s="9"/>
      <c r="G35056" s="9"/>
      <c r="J35056" s="11"/>
      <c r="U35056" s="9"/>
      <c r="X35056" s="9"/>
    </row>
    <row r="35057">
      <c r="D35057" s="9"/>
      <c r="G35057" s="9"/>
      <c r="J35057" s="11"/>
      <c r="U35057" s="9"/>
      <c r="X35057" s="9"/>
    </row>
    <row r="35058">
      <c r="D35058" s="9"/>
      <c r="G35058" s="9"/>
      <c r="J35058" s="11"/>
      <c r="U35058" s="9"/>
      <c r="X35058" s="9"/>
    </row>
    <row r="35059">
      <c r="D35059" s="9"/>
      <c r="G35059" s="9"/>
      <c r="J35059" s="11"/>
      <c r="U35059" s="9"/>
      <c r="X35059" s="9"/>
    </row>
    <row r="35060">
      <c r="D35060" s="9"/>
      <c r="G35060" s="9"/>
      <c r="J35060" s="11"/>
      <c r="U35060" s="9"/>
      <c r="X35060" s="9"/>
    </row>
    <row r="35061">
      <c r="D35061" s="9"/>
      <c r="G35061" s="9"/>
      <c r="J35061" s="11"/>
      <c r="U35061" s="9"/>
      <c r="X35061" s="9"/>
    </row>
    <row r="35062">
      <c r="D35062" s="9"/>
      <c r="G35062" s="9"/>
      <c r="J35062" s="11"/>
      <c r="U35062" s="9"/>
      <c r="X35062" s="9"/>
    </row>
    <row r="35063">
      <c r="D35063" s="9"/>
      <c r="G35063" s="9"/>
      <c r="J35063" s="11"/>
      <c r="U35063" s="9"/>
      <c r="X35063" s="9"/>
    </row>
    <row r="35064">
      <c r="D35064" s="9"/>
      <c r="G35064" s="9"/>
      <c r="J35064" s="11"/>
      <c r="U35064" s="9"/>
      <c r="X35064" s="9"/>
    </row>
    <row r="35065">
      <c r="D35065" s="9"/>
      <c r="G35065" s="9"/>
      <c r="J35065" s="11"/>
      <c r="U35065" s="9"/>
      <c r="X35065" s="9"/>
    </row>
    <row r="35066">
      <c r="D35066" s="9"/>
      <c r="G35066" s="9"/>
      <c r="J35066" s="11"/>
      <c r="U35066" s="9"/>
      <c r="X35066" s="9"/>
    </row>
    <row r="35067">
      <c r="D35067" s="9"/>
      <c r="G35067" s="9"/>
      <c r="J35067" s="11"/>
      <c r="U35067" s="9"/>
      <c r="X35067" s="9"/>
    </row>
    <row r="35068">
      <c r="D35068" s="9"/>
      <c r="G35068" s="9"/>
      <c r="J35068" s="11"/>
      <c r="U35068" s="9"/>
      <c r="X35068" s="9"/>
    </row>
    <row r="35069">
      <c r="D35069" s="9"/>
      <c r="G35069" s="9"/>
      <c r="J35069" s="11"/>
      <c r="U35069" s="9"/>
      <c r="X35069" s="9"/>
    </row>
    <row r="35070">
      <c r="D35070" s="9"/>
      <c r="G35070" s="9"/>
      <c r="J35070" s="11"/>
      <c r="U35070" s="9"/>
      <c r="X35070" s="9"/>
    </row>
    <row r="35071">
      <c r="D35071" s="9"/>
      <c r="G35071" s="9"/>
      <c r="J35071" s="11"/>
      <c r="U35071" s="9"/>
      <c r="X35071" s="9"/>
    </row>
    <row r="35072">
      <c r="D35072" s="9"/>
      <c r="G35072" s="9"/>
      <c r="J35072" s="11"/>
      <c r="U35072" s="9"/>
      <c r="X35072" s="9"/>
    </row>
    <row r="35073">
      <c r="D35073" s="9"/>
      <c r="G35073" s="9"/>
      <c r="J35073" s="11"/>
      <c r="U35073" s="9"/>
      <c r="X35073" s="9"/>
    </row>
    <row r="35074">
      <c r="D35074" s="9"/>
      <c r="G35074" s="9"/>
      <c r="J35074" s="11"/>
      <c r="U35074" s="9"/>
      <c r="X35074" s="9"/>
    </row>
    <row r="35075">
      <c r="D35075" s="9"/>
      <c r="G35075" s="9"/>
      <c r="J35075" s="11"/>
      <c r="U35075" s="9"/>
      <c r="X35075" s="9"/>
    </row>
    <row r="35076">
      <c r="D35076" s="9"/>
      <c r="G35076" s="9"/>
      <c r="J35076" s="11"/>
      <c r="U35076" s="9"/>
      <c r="X35076" s="9"/>
    </row>
    <row r="35077">
      <c r="D35077" s="9"/>
      <c r="G35077" s="9"/>
      <c r="J35077" s="11"/>
      <c r="U35077" s="9"/>
      <c r="X35077" s="9"/>
    </row>
    <row r="35078">
      <c r="D35078" s="9"/>
      <c r="G35078" s="9"/>
      <c r="J35078" s="11"/>
      <c r="U35078" s="9"/>
      <c r="X35078" s="9"/>
    </row>
    <row r="35079">
      <c r="D35079" s="9"/>
      <c r="G35079" s="9"/>
      <c r="J35079" s="11"/>
      <c r="U35079" s="9"/>
      <c r="X35079" s="9"/>
    </row>
    <row r="35080">
      <c r="D35080" s="9"/>
      <c r="G35080" s="9"/>
      <c r="J35080" s="11"/>
      <c r="U35080" s="9"/>
      <c r="X35080" s="9"/>
    </row>
    <row r="35081">
      <c r="D35081" s="9"/>
      <c r="G35081" s="9"/>
      <c r="J35081" s="11"/>
      <c r="U35081" s="9"/>
      <c r="X35081" s="9"/>
    </row>
    <row r="35082">
      <c r="D35082" s="9"/>
      <c r="G35082" s="9"/>
      <c r="J35082" s="11"/>
      <c r="U35082" s="9"/>
      <c r="X35082" s="9"/>
    </row>
    <row r="35083">
      <c r="D35083" s="9"/>
      <c r="G35083" s="9"/>
      <c r="J35083" s="11"/>
      <c r="U35083" s="9"/>
      <c r="X35083" s="9"/>
    </row>
    <row r="35084">
      <c r="D35084" s="9"/>
      <c r="G35084" s="9"/>
      <c r="J35084" s="11"/>
      <c r="U35084" s="9"/>
      <c r="X35084" s="9"/>
    </row>
    <row r="35085">
      <c r="D35085" s="9"/>
      <c r="G35085" s="9"/>
      <c r="J35085" s="11"/>
      <c r="U35085" s="9"/>
      <c r="X35085" s="9"/>
    </row>
    <row r="35086">
      <c r="D35086" s="9"/>
      <c r="G35086" s="9"/>
      <c r="J35086" s="11"/>
      <c r="U35086" s="9"/>
      <c r="X35086" s="9"/>
    </row>
    <row r="35087">
      <c r="D35087" s="9"/>
      <c r="G35087" s="9"/>
      <c r="J35087" s="11"/>
      <c r="U35087" s="9"/>
      <c r="X35087" s="9"/>
    </row>
    <row r="35088">
      <c r="D35088" s="9"/>
      <c r="G35088" s="9"/>
      <c r="J35088" s="11"/>
      <c r="U35088" s="9"/>
      <c r="X35088" s="9"/>
    </row>
    <row r="35089">
      <c r="D35089" s="9"/>
      <c r="G35089" s="9"/>
      <c r="J35089" s="11"/>
      <c r="U35089" s="9"/>
      <c r="X35089" s="9"/>
    </row>
    <row r="35090">
      <c r="D35090" s="9"/>
      <c r="G35090" s="9"/>
      <c r="J35090" s="11"/>
      <c r="U35090" s="9"/>
      <c r="X35090" s="9"/>
    </row>
    <row r="35091">
      <c r="D35091" s="9"/>
      <c r="G35091" s="9"/>
      <c r="J35091" s="11"/>
      <c r="U35091" s="9"/>
      <c r="X35091" s="9"/>
    </row>
    <row r="35092">
      <c r="D35092" s="9"/>
      <c r="G35092" s="9"/>
      <c r="J35092" s="11"/>
      <c r="U35092" s="9"/>
      <c r="X35092" s="9"/>
    </row>
    <row r="35093">
      <c r="D35093" s="9"/>
      <c r="G35093" s="9"/>
      <c r="J35093" s="11"/>
      <c r="U35093" s="9"/>
      <c r="X35093" s="9"/>
    </row>
    <row r="35094">
      <c r="D35094" s="9"/>
      <c r="G35094" s="9"/>
      <c r="J35094" s="11"/>
      <c r="U35094" s="9"/>
      <c r="X35094" s="9"/>
    </row>
    <row r="35095">
      <c r="D35095" s="9"/>
      <c r="G35095" s="9"/>
      <c r="J35095" s="11"/>
      <c r="U35095" s="9"/>
      <c r="X35095" s="9"/>
    </row>
    <row r="35096">
      <c r="D35096" s="9"/>
      <c r="G35096" s="9"/>
      <c r="J35096" s="11"/>
      <c r="U35096" s="9"/>
      <c r="X35096" s="9"/>
    </row>
    <row r="35097">
      <c r="D35097" s="9"/>
      <c r="G35097" s="9"/>
      <c r="J35097" s="11"/>
      <c r="U35097" s="9"/>
      <c r="X35097" s="9"/>
    </row>
    <row r="35098">
      <c r="D35098" s="9"/>
      <c r="G35098" s="9"/>
      <c r="J35098" s="11"/>
      <c r="U35098" s="9"/>
      <c r="X35098" s="9"/>
    </row>
    <row r="35099">
      <c r="D35099" s="9"/>
      <c r="G35099" s="9"/>
      <c r="J35099" s="11"/>
      <c r="U35099" s="9"/>
      <c r="X35099" s="9"/>
    </row>
    <row r="35100">
      <c r="D35100" s="9"/>
      <c r="G35100" s="9"/>
      <c r="J35100" s="11"/>
      <c r="U35100" s="9"/>
      <c r="X35100" s="9"/>
    </row>
    <row r="35101">
      <c r="D35101" s="9"/>
      <c r="G35101" s="9"/>
      <c r="J35101" s="11"/>
      <c r="U35101" s="9"/>
      <c r="X35101" s="9"/>
    </row>
    <row r="35102">
      <c r="D35102" s="9"/>
      <c r="G35102" s="9"/>
      <c r="J35102" s="11"/>
      <c r="U35102" s="9"/>
      <c r="X35102" s="9"/>
    </row>
    <row r="35103">
      <c r="D35103" s="9"/>
      <c r="G35103" s="9"/>
      <c r="J35103" s="11"/>
      <c r="U35103" s="9"/>
      <c r="X35103" s="9"/>
    </row>
    <row r="35104">
      <c r="D35104" s="9"/>
      <c r="G35104" s="9"/>
      <c r="J35104" s="11"/>
      <c r="U35104" s="9"/>
      <c r="X35104" s="9"/>
    </row>
    <row r="35105">
      <c r="D35105" s="9"/>
      <c r="G35105" s="9"/>
      <c r="J35105" s="11"/>
      <c r="U35105" s="9"/>
      <c r="X35105" s="9"/>
    </row>
    <row r="35106">
      <c r="D35106" s="9"/>
      <c r="G35106" s="9"/>
      <c r="J35106" s="11"/>
      <c r="U35106" s="9"/>
      <c r="X35106" s="9"/>
    </row>
    <row r="35107">
      <c r="D35107" s="9"/>
      <c r="G35107" s="9"/>
      <c r="J35107" s="11"/>
      <c r="U35107" s="9"/>
      <c r="X35107" s="9"/>
    </row>
    <row r="35108">
      <c r="D35108" s="9"/>
      <c r="G35108" s="9"/>
      <c r="J35108" s="11"/>
      <c r="U35108" s="9"/>
      <c r="X35108" s="9"/>
    </row>
    <row r="35109">
      <c r="D35109" s="9"/>
      <c r="G35109" s="9"/>
      <c r="J35109" s="11"/>
      <c r="U35109" s="9"/>
      <c r="X35109" s="9"/>
    </row>
    <row r="35110">
      <c r="D35110" s="9"/>
      <c r="G35110" s="9"/>
      <c r="J35110" s="11"/>
      <c r="U35110" s="9"/>
      <c r="X35110" s="9"/>
    </row>
    <row r="35111">
      <c r="D35111" s="9"/>
      <c r="G35111" s="9"/>
      <c r="J35111" s="11"/>
      <c r="U35111" s="9"/>
      <c r="X35111" s="9"/>
    </row>
    <row r="35112">
      <c r="D35112" s="9"/>
      <c r="G35112" s="9"/>
      <c r="J35112" s="11"/>
      <c r="U35112" s="9"/>
      <c r="X35112" s="9"/>
    </row>
    <row r="35113">
      <c r="D35113" s="9"/>
      <c r="G35113" s="9"/>
      <c r="J35113" s="11"/>
      <c r="U35113" s="9"/>
      <c r="X35113" s="9"/>
    </row>
    <row r="35114">
      <c r="D35114" s="9"/>
      <c r="G35114" s="9"/>
      <c r="J35114" s="11"/>
      <c r="U35114" s="9"/>
      <c r="X35114" s="9"/>
    </row>
    <row r="35115">
      <c r="D35115" s="9"/>
      <c r="G35115" s="9"/>
      <c r="J35115" s="11"/>
      <c r="U35115" s="9"/>
      <c r="X35115" s="9"/>
    </row>
    <row r="35116">
      <c r="D35116" s="9"/>
      <c r="G35116" s="9"/>
      <c r="J35116" s="11"/>
      <c r="U35116" s="9"/>
      <c r="X35116" s="9"/>
    </row>
    <row r="35117">
      <c r="D35117" s="9"/>
      <c r="G35117" s="9"/>
      <c r="J35117" s="11"/>
      <c r="U35117" s="9"/>
      <c r="X35117" s="9"/>
    </row>
    <row r="35118">
      <c r="D35118" s="9"/>
      <c r="G35118" s="9"/>
      <c r="J35118" s="11"/>
      <c r="U35118" s="9"/>
      <c r="X35118" s="9"/>
    </row>
    <row r="35119">
      <c r="D35119" s="9"/>
      <c r="G35119" s="9"/>
      <c r="J35119" s="11"/>
      <c r="U35119" s="9"/>
      <c r="X35119" s="9"/>
    </row>
    <row r="35120">
      <c r="D35120" s="9"/>
      <c r="G35120" s="9"/>
      <c r="J35120" s="11"/>
      <c r="U35120" s="9"/>
      <c r="X35120" s="9"/>
    </row>
    <row r="35121">
      <c r="D35121" s="9"/>
      <c r="G35121" s="9"/>
      <c r="J35121" s="11"/>
      <c r="U35121" s="9"/>
      <c r="X35121" s="9"/>
    </row>
    <row r="35122">
      <c r="D35122" s="9"/>
      <c r="G35122" s="9"/>
      <c r="J35122" s="11"/>
      <c r="U35122" s="9"/>
      <c r="X35122" s="9"/>
    </row>
    <row r="35123">
      <c r="D35123" s="9"/>
      <c r="G35123" s="9"/>
      <c r="J35123" s="11"/>
      <c r="U35123" s="9"/>
      <c r="X35123" s="9"/>
    </row>
    <row r="35124">
      <c r="D35124" s="9"/>
      <c r="G35124" s="9"/>
      <c r="J35124" s="11"/>
      <c r="U35124" s="9"/>
      <c r="X35124" s="9"/>
    </row>
    <row r="35125">
      <c r="D35125" s="9"/>
      <c r="G35125" s="9"/>
      <c r="J35125" s="11"/>
      <c r="U35125" s="9"/>
      <c r="X35125" s="9"/>
    </row>
    <row r="35126">
      <c r="D35126" s="9"/>
      <c r="G35126" s="9"/>
      <c r="J35126" s="11"/>
      <c r="U35126" s="9"/>
      <c r="X35126" s="9"/>
    </row>
    <row r="35127">
      <c r="D35127" s="9"/>
      <c r="G35127" s="9"/>
      <c r="J35127" s="11"/>
      <c r="U35127" s="9"/>
      <c r="X35127" s="9"/>
    </row>
    <row r="35128">
      <c r="D35128" s="9"/>
      <c r="G35128" s="9"/>
      <c r="J35128" s="11"/>
      <c r="U35128" s="9"/>
      <c r="X35128" s="9"/>
    </row>
    <row r="35129">
      <c r="D35129" s="9"/>
      <c r="G35129" s="9"/>
      <c r="J35129" s="11"/>
      <c r="U35129" s="9"/>
      <c r="X35129" s="9"/>
    </row>
    <row r="35130">
      <c r="D35130" s="9"/>
      <c r="G35130" s="9"/>
      <c r="J35130" s="11"/>
      <c r="U35130" s="9"/>
      <c r="X35130" s="9"/>
    </row>
    <row r="35131">
      <c r="D35131" s="9"/>
      <c r="G35131" s="9"/>
      <c r="J35131" s="11"/>
      <c r="U35131" s="9"/>
      <c r="X35131" s="9"/>
    </row>
    <row r="35132">
      <c r="D35132" s="9"/>
      <c r="G35132" s="9"/>
      <c r="J35132" s="11"/>
      <c r="U35132" s="9"/>
      <c r="X35132" s="9"/>
    </row>
    <row r="35133">
      <c r="D35133" s="9"/>
      <c r="G35133" s="9"/>
      <c r="J35133" s="11"/>
      <c r="U35133" s="9"/>
      <c r="X35133" s="9"/>
    </row>
    <row r="35134">
      <c r="D35134" s="9"/>
      <c r="G35134" s="9"/>
      <c r="J35134" s="11"/>
      <c r="U35134" s="9"/>
      <c r="X35134" s="9"/>
    </row>
    <row r="35135">
      <c r="D35135" s="9"/>
      <c r="G35135" s="9"/>
      <c r="J35135" s="11"/>
      <c r="U35135" s="9"/>
      <c r="X35135" s="9"/>
    </row>
    <row r="35136">
      <c r="D35136" s="9"/>
      <c r="G35136" s="9"/>
      <c r="J35136" s="11"/>
      <c r="U35136" s="9"/>
      <c r="X35136" s="9"/>
    </row>
    <row r="35137">
      <c r="D35137" s="9"/>
      <c r="G35137" s="9"/>
      <c r="J35137" s="11"/>
      <c r="U35137" s="9"/>
      <c r="X35137" s="9"/>
    </row>
    <row r="35138">
      <c r="D35138" s="9"/>
      <c r="G35138" s="9"/>
      <c r="J35138" s="11"/>
      <c r="U35138" s="9"/>
      <c r="X35138" s="9"/>
    </row>
    <row r="35139">
      <c r="D35139" s="9"/>
      <c r="G35139" s="9"/>
      <c r="J35139" s="11"/>
      <c r="U35139" s="9"/>
      <c r="X35139" s="9"/>
    </row>
    <row r="35140">
      <c r="D35140" s="9"/>
      <c r="G35140" s="9"/>
      <c r="J35140" s="11"/>
      <c r="U35140" s="9"/>
      <c r="X35140" s="9"/>
    </row>
    <row r="35141">
      <c r="D35141" s="9"/>
      <c r="G35141" s="9"/>
      <c r="J35141" s="11"/>
      <c r="U35141" s="9"/>
      <c r="X35141" s="9"/>
    </row>
    <row r="35142">
      <c r="D35142" s="9"/>
      <c r="G35142" s="9"/>
      <c r="J35142" s="11"/>
      <c r="U35142" s="9"/>
      <c r="X35142" s="9"/>
    </row>
    <row r="35143">
      <c r="D35143" s="9"/>
      <c r="G35143" s="9"/>
      <c r="J35143" s="11"/>
      <c r="U35143" s="9"/>
      <c r="X35143" s="9"/>
    </row>
    <row r="35144">
      <c r="D35144" s="9"/>
      <c r="G35144" s="9"/>
      <c r="J35144" s="11"/>
      <c r="U35144" s="9"/>
      <c r="X35144" s="9"/>
    </row>
    <row r="35145">
      <c r="D35145" s="9"/>
      <c r="G35145" s="9"/>
      <c r="J35145" s="11"/>
      <c r="U35145" s="9"/>
      <c r="X35145" s="9"/>
    </row>
    <row r="35146">
      <c r="D35146" s="9"/>
      <c r="G35146" s="9"/>
      <c r="J35146" s="11"/>
      <c r="U35146" s="9"/>
      <c r="X35146" s="9"/>
    </row>
    <row r="35147">
      <c r="D35147" s="9"/>
      <c r="G35147" s="9"/>
      <c r="J35147" s="11"/>
      <c r="U35147" s="9"/>
      <c r="X35147" s="9"/>
    </row>
    <row r="35148">
      <c r="D35148" s="9"/>
      <c r="G35148" s="9"/>
      <c r="J35148" s="11"/>
      <c r="U35148" s="9"/>
      <c r="X35148" s="9"/>
    </row>
    <row r="35149">
      <c r="D35149" s="9"/>
      <c r="G35149" s="9"/>
      <c r="J35149" s="11"/>
      <c r="U35149" s="9"/>
      <c r="X35149" s="9"/>
    </row>
    <row r="35150">
      <c r="D35150" s="9"/>
      <c r="G35150" s="9"/>
      <c r="J35150" s="11"/>
      <c r="U35150" s="9"/>
      <c r="X35150" s="9"/>
    </row>
    <row r="35151">
      <c r="D35151" s="9"/>
      <c r="G35151" s="9"/>
      <c r="J35151" s="11"/>
      <c r="U35151" s="9"/>
      <c r="X35151" s="9"/>
    </row>
    <row r="35152">
      <c r="D35152" s="9"/>
      <c r="G35152" s="9"/>
      <c r="J35152" s="11"/>
      <c r="U35152" s="9"/>
      <c r="X35152" s="9"/>
    </row>
    <row r="35153">
      <c r="D35153" s="9"/>
      <c r="G35153" s="9"/>
      <c r="J35153" s="11"/>
      <c r="U35153" s="9"/>
      <c r="X35153" s="9"/>
    </row>
    <row r="35154">
      <c r="D35154" s="9"/>
      <c r="G35154" s="9"/>
      <c r="J35154" s="11"/>
      <c r="U35154" s="9"/>
      <c r="X35154" s="9"/>
    </row>
    <row r="35155">
      <c r="D35155" s="9"/>
      <c r="G35155" s="9"/>
      <c r="J35155" s="11"/>
      <c r="U35155" s="9"/>
      <c r="X35155" s="9"/>
    </row>
    <row r="35156">
      <c r="D35156" s="9"/>
      <c r="G35156" s="9"/>
      <c r="J35156" s="11"/>
      <c r="U35156" s="9"/>
      <c r="X35156" s="9"/>
    </row>
    <row r="35157">
      <c r="D35157" s="9"/>
      <c r="G35157" s="9"/>
      <c r="J35157" s="11"/>
      <c r="U35157" s="9"/>
      <c r="X35157" s="9"/>
    </row>
    <row r="35158">
      <c r="D35158" s="9"/>
      <c r="G35158" s="9"/>
      <c r="J35158" s="11"/>
      <c r="U35158" s="9"/>
      <c r="X35158" s="9"/>
    </row>
    <row r="35159">
      <c r="D35159" s="9"/>
      <c r="G35159" s="9"/>
      <c r="J35159" s="11"/>
      <c r="U35159" s="9"/>
      <c r="X35159" s="9"/>
    </row>
    <row r="35160">
      <c r="D35160" s="9"/>
      <c r="G35160" s="9"/>
      <c r="J35160" s="11"/>
      <c r="U35160" s="9"/>
      <c r="X35160" s="9"/>
    </row>
    <row r="35161">
      <c r="D35161" s="9"/>
      <c r="G35161" s="9"/>
      <c r="J35161" s="11"/>
      <c r="U35161" s="9"/>
      <c r="X35161" s="9"/>
    </row>
    <row r="35162">
      <c r="D35162" s="9"/>
      <c r="G35162" s="9"/>
      <c r="J35162" s="11"/>
      <c r="U35162" s="9"/>
      <c r="X35162" s="9"/>
    </row>
    <row r="35163">
      <c r="D35163" s="9"/>
      <c r="G35163" s="9"/>
      <c r="J35163" s="11"/>
      <c r="U35163" s="9"/>
      <c r="X35163" s="9"/>
    </row>
    <row r="35164">
      <c r="D35164" s="9"/>
      <c r="G35164" s="9"/>
      <c r="J35164" s="11"/>
      <c r="U35164" s="9"/>
      <c r="X35164" s="9"/>
    </row>
    <row r="35165">
      <c r="D35165" s="9"/>
      <c r="G35165" s="9"/>
      <c r="J35165" s="11"/>
      <c r="U35165" s="9"/>
      <c r="X35165" s="9"/>
    </row>
    <row r="35166">
      <c r="D35166" s="9"/>
      <c r="G35166" s="9"/>
      <c r="J35166" s="11"/>
      <c r="U35166" s="9"/>
      <c r="X35166" s="9"/>
    </row>
    <row r="35167">
      <c r="D35167" s="9"/>
      <c r="G35167" s="9"/>
      <c r="J35167" s="11"/>
      <c r="U35167" s="9"/>
      <c r="X35167" s="9"/>
    </row>
    <row r="35168">
      <c r="D35168" s="9"/>
      <c r="G35168" s="9"/>
      <c r="J35168" s="11"/>
      <c r="U35168" s="9"/>
      <c r="X35168" s="9"/>
    </row>
    <row r="35169">
      <c r="D35169" s="9"/>
      <c r="G35169" s="9"/>
      <c r="J35169" s="11"/>
      <c r="U35169" s="9"/>
      <c r="X35169" s="9"/>
    </row>
    <row r="35170">
      <c r="D35170" s="9"/>
      <c r="G35170" s="9"/>
      <c r="J35170" s="11"/>
      <c r="U35170" s="9"/>
      <c r="X35170" s="9"/>
    </row>
    <row r="35171">
      <c r="D35171" s="9"/>
      <c r="G35171" s="9"/>
      <c r="J35171" s="11"/>
      <c r="U35171" s="9"/>
      <c r="X35171" s="9"/>
    </row>
    <row r="35172">
      <c r="D35172" s="9"/>
      <c r="G35172" s="9"/>
      <c r="J35172" s="11"/>
      <c r="U35172" s="9"/>
      <c r="X35172" s="9"/>
    </row>
    <row r="35173">
      <c r="D35173" s="9"/>
      <c r="G35173" s="9"/>
      <c r="J35173" s="11"/>
      <c r="U35173" s="9"/>
      <c r="X35173" s="9"/>
    </row>
    <row r="35174">
      <c r="D35174" s="9"/>
      <c r="G35174" s="9"/>
      <c r="J35174" s="11"/>
      <c r="U35174" s="9"/>
      <c r="X35174" s="9"/>
    </row>
    <row r="35175">
      <c r="D35175" s="9"/>
      <c r="G35175" s="9"/>
      <c r="J35175" s="11"/>
      <c r="U35175" s="9"/>
      <c r="X35175" s="9"/>
    </row>
    <row r="35176">
      <c r="D35176" s="9"/>
      <c r="G35176" s="9"/>
      <c r="J35176" s="11"/>
      <c r="U35176" s="9"/>
      <c r="X35176" s="9"/>
    </row>
    <row r="35177">
      <c r="D35177" s="9"/>
      <c r="G35177" s="9"/>
      <c r="J35177" s="11"/>
      <c r="U35177" s="9"/>
      <c r="X35177" s="9"/>
    </row>
    <row r="35178">
      <c r="D35178" s="9"/>
      <c r="G35178" s="9"/>
      <c r="J35178" s="11"/>
      <c r="U35178" s="9"/>
      <c r="X35178" s="9"/>
    </row>
    <row r="35179">
      <c r="D35179" s="9"/>
      <c r="G35179" s="9"/>
      <c r="J35179" s="11"/>
      <c r="U35179" s="9"/>
      <c r="X35179" s="9"/>
    </row>
    <row r="35180">
      <c r="D35180" s="9"/>
      <c r="G35180" s="9"/>
      <c r="J35180" s="11"/>
      <c r="U35180" s="9"/>
      <c r="X35180" s="9"/>
    </row>
    <row r="35181">
      <c r="D35181" s="9"/>
      <c r="G35181" s="9"/>
      <c r="J35181" s="11"/>
      <c r="U35181" s="9"/>
      <c r="X35181" s="9"/>
    </row>
    <row r="35182">
      <c r="D35182" s="9"/>
      <c r="G35182" s="9"/>
      <c r="J35182" s="11"/>
      <c r="U35182" s="9"/>
      <c r="X35182" s="9"/>
    </row>
    <row r="35183">
      <c r="D35183" s="9"/>
      <c r="G35183" s="9"/>
      <c r="J35183" s="11"/>
      <c r="U35183" s="9"/>
      <c r="X35183" s="9"/>
    </row>
    <row r="35184">
      <c r="D35184" s="9"/>
      <c r="G35184" s="9"/>
      <c r="J35184" s="11"/>
      <c r="U35184" s="9"/>
      <c r="X35184" s="9"/>
    </row>
    <row r="35185">
      <c r="D35185" s="9"/>
      <c r="G35185" s="9"/>
      <c r="J35185" s="11"/>
      <c r="U35185" s="9"/>
      <c r="X35185" s="9"/>
    </row>
    <row r="35186">
      <c r="D35186" s="9"/>
      <c r="G35186" s="9"/>
      <c r="J35186" s="11"/>
      <c r="U35186" s="9"/>
      <c r="X35186" s="9"/>
    </row>
    <row r="35187">
      <c r="D35187" s="9"/>
      <c r="G35187" s="9"/>
      <c r="J35187" s="11"/>
      <c r="U35187" s="9"/>
      <c r="X35187" s="9"/>
    </row>
    <row r="35188">
      <c r="D35188" s="9"/>
      <c r="G35188" s="9"/>
      <c r="J35188" s="11"/>
      <c r="U35188" s="9"/>
      <c r="X35188" s="9"/>
    </row>
    <row r="35189">
      <c r="D35189" s="9"/>
      <c r="G35189" s="9"/>
      <c r="J35189" s="11"/>
      <c r="U35189" s="9"/>
      <c r="X35189" s="9"/>
    </row>
    <row r="35190">
      <c r="D35190" s="9"/>
      <c r="G35190" s="9"/>
      <c r="J35190" s="11"/>
      <c r="U35190" s="9"/>
      <c r="X35190" s="9"/>
    </row>
    <row r="35191">
      <c r="D35191" s="9"/>
      <c r="G35191" s="9"/>
      <c r="J35191" s="11"/>
      <c r="U35191" s="9"/>
      <c r="X35191" s="9"/>
    </row>
    <row r="35192">
      <c r="D35192" s="9"/>
      <c r="G35192" s="9"/>
      <c r="J35192" s="11"/>
      <c r="U35192" s="9"/>
      <c r="X35192" s="9"/>
    </row>
    <row r="35193">
      <c r="D35193" s="9"/>
      <c r="G35193" s="9"/>
      <c r="J35193" s="11"/>
      <c r="U35193" s="9"/>
      <c r="X35193" s="9"/>
    </row>
    <row r="35194">
      <c r="D35194" s="9"/>
      <c r="G35194" s="9"/>
      <c r="J35194" s="11"/>
      <c r="U35194" s="9"/>
      <c r="X35194" s="9"/>
    </row>
    <row r="35195">
      <c r="D35195" s="9"/>
      <c r="G35195" s="9"/>
      <c r="J35195" s="11"/>
      <c r="U35195" s="9"/>
      <c r="X35195" s="9"/>
    </row>
    <row r="35196">
      <c r="D35196" s="9"/>
      <c r="G35196" s="9"/>
      <c r="J35196" s="11"/>
      <c r="U35196" s="9"/>
      <c r="X35196" s="9"/>
    </row>
    <row r="35197">
      <c r="D35197" s="9"/>
      <c r="G35197" s="9"/>
      <c r="J35197" s="11"/>
      <c r="U35197" s="9"/>
      <c r="X35197" s="9"/>
    </row>
    <row r="35198">
      <c r="D35198" s="9"/>
      <c r="G35198" s="9"/>
      <c r="J35198" s="11"/>
      <c r="U35198" s="9"/>
      <c r="X35198" s="9"/>
    </row>
    <row r="35199">
      <c r="D35199" s="9"/>
      <c r="G35199" s="9"/>
      <c r="J35199" s="11"/>
      <c r="U35199" s="9"/>
      <c r="X35199" s="9"/>
    </row>
    <row r="35200">
      <c r="D35200" s="9"/>
      <c r="G35200" s="9"/>
      <c r="J35200" s="11"/>
      <c r="U35200" s="9"/>
      <c r="X35200" s="9"/>
    </row>
    <row r="35201">
      <c r="D35201" s="9"/>
      <c r="G35201" s="9"/>
      <c r="J35201" s="11"/>
      <c r="U35201" s="9"/>
      <c r="X35201" s="9"/>
    </row>
    <row r="35202">
      <c r="D35202" s="9"/>
      <c r="G35202" s="9"/>
      <c r="J35202" s="11"/>
      <c r="U35202" s="9"/>
      <c r="X35202" s="9"/>
    </row>
    <row r="35203">
      <c r="D35203" s="9"/>
      <c r="G35203" s="9"/>
      <c r="J35203" s="11"/>
      <c r="U35203" s="9"/>
      <c r="X35203" s="9"/>
    </row>
    <row r="35204">
      <c r="D35204" s="9"/>
      <c r="G35204" s="9"/>
      <c r="J35204" s="11"/>
      <c r="U35204" s="9"/>
      <c r="X35204" s="9"/>
    </row>
    <row r="35205">
      <c r="D35205" s="9"/>
      <c r="G35205" s="9"/>
      <c r="J35205" s="11"/>
      <c r="U35205" s="9"/>
      <c r="X35205" s="9"/>
    </row>
    <row r="35206">
      <c r="D35206" s="9"/>
      <c r="G35206" s="9"/>
      <c r="J35206" s="11"/>
      <c r="U35206" s="9"/>
      <c r="X35206" s="9"/>
    </row>
    <row r="35207">
      <c r="D35207" s="9"/>
      <c r="G35207" s="9"/>
      <c r="J35207" s="11"/>
      <c r="U35207" s="9"/>
      <c r="X35207" s="9"/>
    </row>
    <row r="35208">
      <c r="D35208" s="9"/>
      <c r="G35208" s="9"/>
      <c r="J35208" s="11"/>
      <c r="U35208" s="9"/>
      <c r="X35208" s="9"/>
    </row>
    <row r="35209">
      <c r="D35209" s="9"/>
      <c r="G35209" s="9"/>
      <c r="J35209" s="11"/>
      <c r="U35209" s="9"/>
      <c r="X35209" s="9"/>
    </row>
    <row r="35210">
      <c r="D35210" s="9"/>
      <c r="G35210" s="9"/>
      <c r="J35210" s="11"/>
      <c r="U35210" s="9"/>
      <c r="X35210" s="9"/>
    </row>
    <row r="35211">
      <c r="D35211" s="9"/>
      <c r="G35211" s="9"/>
      <c r="J35211" s="11"/>
      <c r="U35211" s="9"/>
      <c r="X35211" s="9"/>
    </row>
    <row r="35212">
      <c r="D35212" s="9"/>
      <c r="G35212" s="9"/>
      <c r="J35212" s="11"/>
      <c r="U35212" s="9"/>
      <c r="X35212" s="9"/>
    </row>
    <row r="35213">
      <c r="D35213" s="9"/>
      <c r="G35213" s="9"/>
      <c r="J35213" s="11"/>
      <c r="U35213" s="9"/>
      <c r="X35213" s="9"/>
    </row>
    <row r="35214">
      <c r="D35214" s="9"/>
      <c r="G35214" s="9"/>
      <c r="J35214" s="11"/>
      <c r="U35214" s="9"/>
      <c r="X35214" s="9"/>
    </row>
    <row r="35215">
      <c r="D35215" s="9"/>
      <c r="G35215" s="9"/>
      <c r="J35215" s="11"/>
      <c r="U35215" s="9"/>
      <c r="X35215" s="9"/>
    </row>
    <row r="35216">
      <c r="D35216" s="9"/>
      <c r="G35216" s="9"/>
      <c r="J35216" s="11"/>
      <c r="U35216" s="9"/>
      <c r="X35216" s="9"/>
    </row>
    <row r="35217">
      <c r="D35217" s="9"/>
      <c r="G35217" s="9"/>
      <c r="J35217" s="11"/>
      <c r="U35217" s="9"/>
      <c r="X35217" s="9"/>
    </row>
    <row r="35218">
      <c r="D35218" s="9"/>
      <c r="G35218" s="9"/>
      <c r="J35218" s="11"/>
      <c r="U35218" s="9"/>
      <c r="X35218" s="9"/>
    </row>
    <row r="35219">
      <c r="D35219" s="9"/>
      <c r="G35219" s="9"/>
      <c r="J35219" s="11"/>
      <c r="U35219" s="9"/>
      <c r="X35219" s="9"/>
    </row>
    <row r="35220">
      <c r="D35220" s="9"/>
      <c r="G35220" s="9"/>
      <c r="J35220" s="11"/>
      <c r="U35220" s="9"/>
      <c r="X35220" s="9"/>
    </row>
    <row r="35221">
      <c r="D35221" s="9"/>
      <c r="G35221" s="9"/>
      <c r="J35221" s="11"/>
      <c r="U35221" s="9"/>
      <c r="X35221" s="9"/>
    </row>
    <row r="35222">
      <c r="D35222" s="9"/>
      <c r="G35222" s="9"/>
      <c r="J35222" s="11"/>
      <c r="U35222" s="9"/>
      <c r="X35222" s="9"/>
    </row>
    <row r="35223">
      <c r="D35223" s="9"/>
      <c r="G35223" s="9"/>
      <c r="J35223" s="11"/>
      <c r="U35223" s="9"/>
      <c r="X35223" s="9"/>
    </row>
    <row r="35224">
      <c r="D35224" s="9"/>
      <c r="G35224" s="9"/>
      <c r="J35224" s="11"/>
      <c r="U35224" s="9"/>
      <c r="X35224" s="9"/>
    </row>
    <row r="35225">
      <c r="D35225" s="9"/>
      <c r="G35225" s="9"/>
      <c r="J35225" s="11"/>
      <c r="U35225" s="9"/>
      <c r="X35225" s="9"/>
    </row>
    <row r="35226">
      <c r="D35226" s="9"/>
      <c r="G35226" s="9"/>
      <c r="J35226" s="11"/>
      <c r="U35226" s="9"/>
      <c r="X35226" s="9"/>
    </row>
    <row r="35227">
      <c r="D35227" s="9"/>
      <c r="G35227" s="9"/>
      <c r="J35227" s="11"/>
      <c r="U35227" s="9"/>
      <c r="X35227" s="9"/>
    </row>
    <row r="35228">
      <c r="D35228" s="9"/>
      <c r="G35228" s="9"/>
      <c r="J35228" s="11"/>
      <c r="U35228" s="9"/>
      <c r="X35228" s="9"/>
    </row>
    <row r="35229">
      <c r="D35229" s="9"/>
      <c r="G35229" s="9"/>
      <c r="J35229" s="11"/>
      <c r="U35229" s="9"/>
      <c r="X35229" s="9"/>
    </row>
    <row r="35230">
      <c r="D35230" s="9"/>
      <c r="G35230" s="9"/>
      <c r="J35230" s="11"/>
      <c r="U35230" s="9"/>
      <c r="X35230" s="9"/>
    </row>
    <row r="35231">
      <c r="D35231" s="9"/>
      <c r="G35231" s="9"/>
      <c r="J35231" s="11"/>
      <c r="U35231" s="9"/>
      <c r="X35231" s="9"/>
    </row>
    <row r="35232">
      <c r="D35232" s="9"/>
      <c r="G35232" s="9"/>
      <c r="J35232" s="11"/>
      <c r="U35232" s="9"/>
      <c r="X35232" s="9"/>
    </row>
    <row r="35233">
      <c r="D35233" s="9"/>
      <c r="G35233" s="9"/>
      <c r="J35233" s="11"/>
      <c r="U35233" s="9"/>
      <c r="X35233" s="9"/>
    </row>
    <row r="35234">
      <c r="D35234" s="9"/>
      <c r="G35234" s="9"/>
      <c r="J35234" s="11"/>
      <c r="U35234" s="9"/>
      <c r="X35234" s="9"/>
    </row>
    <row r="35235">
      <c r="D35235" s="9"/>
      <c r="G35235" s="9"/>
      <c r="J35235" s="11"/>
      <c r="U35235" s="9"/>
      <c r="X35235" s="9"/>
    </row>
    <row r="35236">
      <c r="D35236" s="9"/>
      <c r="G35236" s="9"/>
      <c r="J35236" s="11"/>
      <c r="U35236" s="9"/>
      <c r="X35236" s="9"/>
    </row>
    <row r="35237">
      <c r="D35237" s="9"/>
      <c r="G35237" s="9"/>
      <c r="J35237" s="11"/>
      <c r="U35237" s="9"/>
      <c r="X35237" s="9"/>
    </row>
    <row r="35238">
      <c r="D35238" s="9"/>
      <c r="G35238" s="9"/>
      <c r="J35238" s="11"/>
      <c r="U35238" s="9"/>
      <c r="X35238" s="9"/>
    </row>
    <row r="35239">
      <c r="D35239" s="9"/>
      <c r="G35239" s="9"/>
      <c r="J35239" s="11"/>
      <c r="U35239" s="9"/>
      <c r="X35239" s="9"/>
    </row>
    <row r="35240">
      <c r="D35240" s="9"/>
      <c r="G35240" s="9"/>
      <c r="J35240" s="11"/>
      <c r="U35240" s="9"/>
      <c r="X35240" s="9"/>
    </row>
    <row r="35241">
      <c r="D35241" s="9"/>
      <c r="G35241" s="9"/>
      <c r="J35241" s="11"/>
      <c r="U35241" s="9"/>
      <c r="X35241" s="9"/>
    </row>
    <row r="35242">
      <c r="D35242" s="9"/>
      <c r="G35242" s="9"/>
      <c r="J35242" s="11"/>
      <c r="U35242" s="9"/>
      <c r="X35242" s="9"/>
    </row>
    <row r="35243">
      <c r="D35243" s="9"/>
      <c r="G35243" s="9"/>
      <c r="J35243" s="11"/>
      <c r="U35243" s="9"/>
      <c r="X35243" s="9"/>
    </row>
    <row r="35244">
      <c r="D35244" s="9"/>
      <c r="G35244" s="9"/>
      <c r="J35244" s="11"/>
      <c r="U35244" s="9"/>
      <c r="X35244" s="9"/>
    </row>
    <row r="35245">
      <c r="D35245" s="9"/>
      <c r="G35245" s="9"/>
      <c r="J35245" s="11"/>
      <c r="U35245" s="9"/>
      <c r="X35245" s="9"/>
    </row>
    <row r="35246">
      <c r="D35246" s="9"/>
      <c r="G35246" s="9"/>
      <c r="J35246" s="11"/>
      <c r="U35246" s="9"/>
      <c r="X35246" s="9"/>
    </row>
    <row r="35247">
      <c r="D35247" s="9"/>
      <c r="G35247" s="9"/>
      <c r="J35247" s="11"/>
      <c r="U35247" s="9"/>
      <c r="X35247" s="9"/>
    </row>
    <row r="35248">
      <c r="D35248" s="9"/>
      <c r="G35248" s="9"/>
      <c r="J35248" s="11"/>
      <c r="U35248" s="9"/>
      <c r="X35248" s="9"/>
    </row>
    <row r="35249">
      <c r="D35249" s="9"/>
      <c r="G35249" s="9"/>
      <c r="J35249" s="11"/>
      <c r="U35249" s="9"/>
      <c r="X35249" s="9"/>
    </row>
    <row r="35250">
      <c r="D35250" s="9"/>
      <c r="G35250" s="9"/>
      <c r="J35250" s="11"/>
      <c r="U35250" s="9"/>
      <c r="X35250" s="9"/>
    </row>
    <row r="35251">
      <c r="D35251" s="9"/>
      <c r="G35251" s="9"/>
      <c r="J35251" s="11"/>
      <c r="U35251" s="9"/>
      <c r="X35251" s="9"/>
    </row>
    <row r="35252">
      <c r="D35252" s="9"/>
      <c r="G35252" s="9"/>
      <c r="J35252" s="11"/>
      <c r="U35252" s="9"/>
      <c r="X35252" s="9"/>
    </row>
    <row r="35253">
      <c r="D35253" s="9"/>
      <c r="G35253" s="9"/>
      <c r="J35253" s="11"/>
      <c r="U35253" s="9"/>
      <c r="X35253" s="9"/>
    </row>
    <row r="35254">
      <c r="D35254" s="9"/>
      <c r="G35254" s="9"/>
      <c r="J35254" s="11"/>
      <c r="U35254" s="9"/>
      <c r="X35254" s="9"/>
    </row>
    <row r="35255">
      <c r="D35255" s="9"/>
      <c r="G35255" s="9"/>
      <c r="J35255" s="11"/>
      <c r="U35255" s="9"/>
      <c r="X35255" s="9"/>
    </row>
    <row r="35256">
      <c r="D35256" s="9"/>
      <c r="G35256" s="9"/>
      <c r="J35256" s="11"/>
      <c r="U35256" s="9"/>
      <c r="X35256" s="9"/>
    </row>
    <row r="35257">
      <c r="D35257" s="9"/>
      <c r="G35257" s="9"/>
      <c r="J35257" s="11"/>
      <c r="U35257" s="9"/>
      <c r="X35257" s="9"/>
    </row>
    <row r="35258">
      <c r="D35258" s="9"/>
      <c r="G35258" s="9"/>
      <c r="J35258" s="11"/>
      <c r="U35258" s="9"/>
      <c r="X35258" s="9"/>
    </row>
    <row r="35259">
      <c r="D35259" s="9"/>
      <c r="G35259" s="9"/>
      <c r="J35259" s="11"/>
      <c r="U35259" s="9"/>
      <c r="X35259" s="9"/>
    </row>
    <row r="35260">
      <c r="D35260" s="9"/>
      <c r="G35260" s="9"/>
      <c r="J35260" s="11"/>
      <c r="U35260" s="9"/>
      <c r="X35260" s="9"/>
    </row>
    <row r="35261">
      <c r="D35261" s="9"/>
      <c r="G35261" s="9"/>
      <c r="J35261" s="11"/>
      <c r="U35261" s="9"/>
      <c r="X35261" s="9"/>
    </row>
    <row r="35262">
      <c r="D35262" s="9"/>
      <c r="G35262" s="9"/>
      <c r="J35262" s="11"/>
      <c r="U35262" s="9"/>
      <c r="X35262" s="9"/>
    </row>
    <row r="35263">
      <c r="D35263" s="9"/>
      <c r="G35263" s="9"/>
      <c r="J35263" s="11"/>
      <c r="U35263" s="9"/>
      <c r="X35263" s="9"/>
    </row>
    <row r="35264">
      <c r="D35264" s="9"/>
      <c r="G35264" s="9"/>
      <c r="J35264" s="11"/>
      <c r="U35264" s="9"/>
      <c r="X35264" s="9"/>
    </row>
    <row r="35265">
      <c r="D35265" s="9"/>
      <c r="G35265" s="9"/>
      <c r="J35265" s="11"/>
      <c r="U35265" s="9"/>
      <c r="X35265" s="9"/>
    </row>
    <row r="35266">
      <c r="D35266" s="9"/>
      <c r="G35266" s="9"/>
      <c r="J35266" s="11"/>
      <c r="U35266" s="9"/>
      <c r="X35266" s="9"/>
    </row>
    <row r="35267">
      <c r="D35267" s="9"/>
      <c r="G35267" s="9"/>
      <c r="J35267" s="11"/>
      <c r="U35267" s="9"/>
      <c r="X35267" s="9"/>
    </row>
    <row r="35268">
      <c r="D35268" s="9"/>
      <c r="G35268" s="9"/>
      <c r="J35268" s="11"/>
      <c r="U35268" s="9"/>
      <c r="X35268" s="9"/>
    </row>
    <row r="35269">
      <c r="D35269" s="9"/>
      <c r="G35269" s="9"/>
      <c r="J35269" s="11"/>
      <c r="U35269" s="9"/>
      <c r="X35269" s="9"/>
    </row>
    <row r="35270">
      <c r="D35270" s="9"/>
      <c r="G35270" s="9"/>
      <c r="J35270" s="11"/>
      <c r="U35270" s="9"/>
      <c r="X35270" s="9"/>
    </row>
    <row r="35271">
      <c r="D35271" s="9"/>
      <c r="G35271" s="9"/>
      <c r="J35271" s="11"/>
      <c r="U35271" s="9"/>
      <c r="X35271" s="9"/>
    </row>
    <row r="35272">
      <c r="D35272" s="9"/>
      <c r="G35272" s="9"/>
      <c r="J35272" s="11"/>
      <c r="U35272" s="9"/>
      <c r="X35272" s="9"/>
    </row>
    <row r="35273">
      <c r="D35273" s="9"/>
      <c r="G35273" s="9"/>
      <c r="J35273" s="11"/>
      <c r="U35273" s="9"/>
      <c r="X35273" s="9"/>
    </row>
    <row r="35274">
      <c r="D35274" s="9"/>
      <c r="G35274" s="9"/>
      <c r="J35274" s="11"/>
      <c r="U35274" s="9"/>
      <c r="X35274" s="9"/>
    </row>
    <row r="35275">
      <c r="D35275" s="9"/>
      <c r="G35275" s="9"/>
      <c r="J35275" s="11"/>
      <c r="U35275" s="9"/>
      <c r="X35275" s="9"/>
    </row>
    <row r="35276">
      <c r="D35276" s="9"/>
      <c r="G35276" s="9"/>
      <c r="J35276" s="11"/>
      <c r="U35276" s="9"/>
      <c r="X35276" s="9"/>
    </row>
    <row r="35277">
      <c r="D35277" s="9"/>
      <c r="G35277" s="9"/>
      <c r="J35277" s="11"/>
      <c r="U35277" s="9"/>
      <c r="X35277" s="9"/>
    </row>
    <row r="35278">
      <c r="D35278" s="9"/>
      <c r="G35278" s="9"/>
      <c r="J35278" s="11"/>
      <c r="U35278" s="9"/>
      <c r="X35278" s="9"/>
    </row>
    <row r="35279">
      <c r="D35279" s="9"/>
      <c r="G35279" s="9"/>
      <c r="J35279" s="11"/>
      <c r="U35279" s="9"/>
      <c r="X35279" s="9"/>
    </row>
    <row r="35280">
      <c r="D35280" s="9"/>
      <c r="G35280" s="9"/>
      <c r="J35280" s="11"/>
      <c r="U35280" s="9"/>
      <c r="X35280" s="9"/>
    </row>
    <row r="35281">
      <c r="D35281" s="9"/>
      <c r="G35281" s="9"/>
      <c r="J35281" s="11"/>
      <c r="U35281" s="9"/>
      <c r="X35281" s="9"/>
    </row>
    <row r="35282">
      <c r="D35282" s="9"/>
      <c r="G35282" s="9"/>
      <c r="J35282" s="11"/>
      <c r="U35282" s="9"/>
      <c r="X35282" s="9"/>
    </row>
    <row r="35283">
      <c r="D35283" s="9"/>
      <c r="G35283" s="9"/>
      <c r="J35283" s="11"/>
      <c r="U35283" s="9"/>
      <c r="X35283" s="9"/>
    </row>
    <row r="35284">
      <c r="D35284" s="9"/>
      <c r="G35284" s="9"/>
      <c r="J35284" s="11"/>
      <c r="U35284" s="9"/>
      <c r="X35284" s="9"/>
    </row>
    <row r="35285">
      <c r="D35285" s="9"/>
      <c r="G35285" s="9"/>
      <c r="J35285" s="11"/>
      <c r="U35285" s="9"/>
      <c r="X35285" s="9"/>
    </row>
    <row r="35286">
      <c r="D35286" s="9"/>
      <c r="G35286" s="9"/>
      <c r="J35286" s="11"/>
      <c r="U35286" s="9"/>
      <c r="X35286" s="9"/>
    </row>
    <row r="35287">
      <c r="D35287" s="9"/>
      <c r="G35287" s="9"/>
      <c r="J35287" s="11"/>
      <c r="U35287" s="9"/>
      <c r="X35287" s="9"/>
    </row>
    <row r="35288">
      <c r="D35288" s="9"/>
      <c r="G35288" s="9"/>
      <c r="J35288" s="11"/>
      <c r="U35288" s="9"/>
      <c r="X35288" s="9"/>
    </row>
    <row r="35289">
      <c r="D35289" s="9"/>
      <c r="G35289" s="9"/>
      <c r="J35289" s="11"/>
      <c r="U35289" s="9"/>
      <c r="X35289" s="9"/>
    </row>
    <row r="35290">
      <c r="D35290" s="9"/>
      <c r="G35290" s="9"/>
      <c r="J35290" s="11"/>
      <c r="U35290" s="9"/>
      <c r="X35290" s="9"/>
    </row>
    <row r="35291">
      <c r="D35291" s="9"/>
      <c r="G35291" s="9"/>
      <c r="J35291" s="11"/>
      <c r="U35291" s="9"/>
      <c r="X35291" s="9"/>
    </row>
    <row r="35292">
      <c r="D35292" s="9"/>
      <c r="G35292" s="9"/>
      <c r="J35292" s="11"/>
      <c r="U35292" s="9"/>
      <c r="X35292" s="9"/>
    </row>
    <row r="35293">
      <c r="D35293" s="9"/>
      <c r="G35293" s="9"/>
      <c r="J35293" s="11"/>
      <c r="U35293" s="9"/>
      <c r="X35293" s="9"/>
    </row>
    <row r="35294">
      <c r="D35294" s="9"/>
      <c r="G35294" s="9"/>
      <c r="J35294" s="11"/>
      <c r="U35294" s="9"/>
      <c r="X35294" s="9"/>
    </row>
    <row r="35295">
      <c r="D35295" s="9"/>
      <c r="G35295" s="9"/>
      <c r="J35295" s="11"/>
      <c r="U35295" s="9"/>
      <c r="X35295" s="9"/>
    </row>
    <row r="35296">
      <c r="D35296" s="9"/>
      <c r="G35296" s="9"/>
      <c r="J35296" s="11"/>
      <c r="U35296" s="9"/>
      <c r="X35296" s="9"/>
    </row>
    <row r="35297">
      <c r="D35297" s="9"/>
      <c r="G35297" s="9"/>
      <c r="J35297" s="11"/>
      <c r="U35297" s="9"/>
      <c r="X35297" s="9"/>
    </row>
    <row r="35298">
      <c r="D35298" s="9"/>
      <c r="G35298" s="9"/>
      <c r="J35298" s="11"/>
      <c r="U35298" s="9"/>
      <c r="X35298" s="9"/>
    </row>
    <row r="35299">
      <c r="D35299" s="9"/>
      <c r="G35299" s="9"/>
      <c r="J35299" s="11"/>
      <c r="U35299" s="9"/>
      <c r="X35299" s="9"/>
    </row>
    <row r="35300">
      <c r="D35300" s="9"/>
      <c r="G35300" s="9"/>
      <c r="J35300" s="11"/>
      <c r="U35300" s="9"/>
      <c r="X35300" s="9"/>
    </row>
    <row r="35301">
      <c r="D35301" s="9"/>
      <c r="G35301" s="9"/>
      <c r="J35301" s="11"/>
      <c r="U35301" s="9"/>
      <c r="X35301" s="9"/>
    </row>
    <row r="35302">
      <c r="D35302" s="9"/>
      <c r="G35302" s="9"/>
      <c r="J35302" s="11"/>
      <c r="U35302" s="9"/>
      <c r="X35302" s="9"/>
    </row>
    <row r="35303">
      <c r="D35303" s="9"/>
      <c r="G35303" s="9"/>
      <c r="J35303" s="11"/>
      <c r="U35303" s="9"/>
      <c r="X35303" s="9"/>
    </row>
    <row r="35304">
      <c r="D35304" s="9"/>
      <c r="G35304" s="9"/>
      <c r="J35304" s="11"/>
      <c r="U35304" s="9"/>
      <c r="X35304" s="9"/>
    </row>
    <row r="35305">
      <c r="D35305" s="9"/>
      <c r="G35305" s="9"/>
      <c r="J35305" s="11"/>
      <c r="U35305" s="9"/>
      <c r="X35305" s="9"/>
    </row>
    <row r="35306">
      <c r="D35306" s="9"/>
      <c r="G35306" s="9"/>
      <c r="J35306" s="11"/>
      <c r="U35306" s="9"/>
      <c r="X35306" s="9"/>
    </row>
    <row r="35307">
      <c r="D35307" s="9"/>
      <c r="G35307" s="9"/>
      <c r="J35307" s="11"/>
      <c r="U35307" s="9"/>
      <c r="X35307" s="9"/>
    </row>
    <row r="35308">
      <c r="D35308" s="9"/>
      <c r="G35308" s="9"/>
      <c r="J35308" s="11"/>
      <c r="U35308" s="9"/>
      <c r="X35308" s="9"/>
    </row>
    <row r="35309">
      <c r="D35309" s="9"/>
      <c r="G35309" s="9"/>
      <c r="J35309" s="11"/>
      <c r="U35309" s="9"/>
      <c r="X35309" s="9"/>
    </row>
    <row r="35310">
      <c r="D35310" s="9"/>
      <c r="G35310" s="9"/>
      <c r="J35310" s="11"/>
      <c r="U35310" s="9"/>
      <c r="X35310" s="9"/>
    </row>
    <row r="35311">
      <c r="D35311" s="9"/>
      <c r="G35311" s="9"/>
      <c r="J35311" s="11"/>
      <c r="U35311" s="9"/>
      <c r="X35311" s="9"/>
    </row>
    <row r="35312">
      <c r="D35312" s="9"/>
      <c r="G35312" s="9"/>
      <c r="J35312" s="11"/>
      <c r="U35312" s="9"/>
      <c r="X35312" s="9"/>
    </row>
    <row r="35313">
      <c r="D35313" s="9"/>
      <c r="G35313" s="9"/>
      <c r="J35313" s="11"/>
      <c r="U35313" s="9"/>
      <c r="X35313" s="9"/>
    </row>
    <row r="35314">
      <c r="D35314" s="9"/>
      <c r="G35314" s="9"/>
      <c r="J35314" s="11"/>
      <c r="U35314" s="9"/>
      <c r="X35314" s="9"/>
    </row>
    <row r="35315">
      <c r="D35315" s="9"/>
      <c r="G35315" s="9"/>
      <c r="J35315" s="11"/>
      <c r="U35315" s="9"/>
      <c r="X35315" s="9"/>
    </row>
    <row r="35316">
      <c r="D35316" s="9"/>
      <c r="G35316" s="9"/>
      <c r="J35316" s="11"/>
      <c r="U35316" s="9"/>
      <c r="X35316" s="9"/>
    </row>
    <row r="35317">
      <c r="D35317" s="9"/>
      <c r="G35317" s="9"/>
      <c r="J35317" s="11"/>
      <c r="U35317" s="9"/>
      <c r="X35317" s="9"/>
    </row>
    <row r="35318">
      <c r="D35318" s="9"/>
      <c r="G35318" s="9"/>
      <c r="J35318" s="11"/>
      <c r="U35318" s="9"/>
      <c r="X35318" s="9"/>
    </row>
    <row r="35319">
      <c r="D35319" s="9"/>
      <c r="G35319" s="9"/>
      <c r="J35319" s="11"/>
      <c r="U35319" s="9"/>
      <c r="X35319" s="9"/>
    </row>
    <row r="35320">
      <c r="D35320" s="9"/>
      <c r="G35320" s="9"/>
      <c r="J35320" s="11"/>
      <c r="U35320" s="9"/>
      <c r="X35320" s="9"/>
    </row>
    <row r="35321">
      <c r="D35321" s="9"/>
      <c r="G35321" s="9"/>
      <c r="J35321" s="11"/>
      <c r="U35321" s="9"/>
      <c r="X35321" s="9"/>
    </row>
    <row r="35322">
      <c r="D35322" s="9"/>
      <c r="G35322" s="9"/>
      <c r="J35322" s="11"/>
      <c r="U35322" s="9"/>
      <c r="X35322" s="9"/>
    </row>
    <row r="35323">
      <c r="D35323" s="9"/>
      <c r="G35323" s="9"/>
      <c r="J35323" s="11"/>
      <c r="U35323" s="9"/>
      <c r="X35323" s="9"/>
    </row>
    <row r="35324">
      <c r="D35324" s="9"/>
      <c r="G35324" s="9"/>
      <c r="J35324" s="11"/>
      <c r="U35324" s="9"/>
      <c r="X35324" s="9"/>
    </row>
    <row r="35325">
      <c r="D35325" s="9"/>
      <c r="G35325" s="9"/>
      <c r="J35325" s="11"/>
      <c r="U35325" s="9"/>
      <c r="X35325" s="9"/>
    </row>
    <row r="35326">
      <c r="D35326" s="9"/>
      <c r="G35326" s="9"/>
      <c r="J35326" s="11"/>
      <c r="U35326" s="9"/>
      <c r="X35326" s="9"/>
    </row>
    <row r="35327">
      <c r="D35327" s="9"/>
      <c r="G35327" s="9"/>
      <c r="J35327" s="11"/>
      <c r="U35327" s="9"/>
      <c r="X35327" s="9"/>
    </row>
    <row r="35328">
      <c r="D35328" s="9"/>
      <c r="G35328" s="9"/>
      <c r="J35328" s="11"/>
      <c r="U35328" s="9"/>
      <c r="X35328" s="9"/>
    </row>
    <row r="35329">
      <c r="D35329" s="9"/>
      <c r="G35329" s="9"/>
      <c r="J35329" s="11"/>
      <c r="U35329" s="9"/>
      <c r="X35329" s="9"/>
    </row>
    <row r="35330">
      <c r="D35330" s="9"/>
      <c r="G35330" s="9"/>
      <c r="J35330" s="11"/>
      <c r="U35330" s="9"/>
      <c r="X35330" s="9"/>
    </row>
    <row r="35331">
      <c r="D35331" s="9"/>
      <c r="G35331" s="9"/>
      <c r="J35331" s="11"/>
      <c r="U35331" s="9"/>
      <c r="X35331" s="9"/>
    </row>
    <row r="35332">
      <c r="D35332" s="9"/>
      <c r="G35332" s="9"/>
      <c r="J35332" s="11"/>
      <c r="U35332" s="9"/>
      <c r="X35332" s="9"/>
    </row>
    <row r="35333">
      <c r="D35333" s="9"/>
      <c r="G35333" s="9"/>
      <c r="J35333" s="11"/>
      <c r="U35333" s="9"/>
      <c r="X35333" s="9"/>
    </row>
    <row r="35334">
      <c r="D35334" s="9"/>
      <c r="G35334" s="9"/>
      <c r="J35334" s="11"/>
      <c r="U35334" s="9"/>
      <c r="X35334" s="9"/>
    </row>
    <row r="35335">
      <c r="D35335" s="9"/>
      <c r="G35335" s="9"/>
      <c r="J35335" s="11"/>
      <c r="U35335" s="9"/>
      <c r="X35335" s="9"/>
    </row>
    <row r="35336">
      <c r="D35336" s="9"/>
      <c r="G35336" s="9"/>
      <c r="J35336" s="11"/>
      <c r="U35336" s="9"/>
      <c r="X35336" s="9"/>
    </row>
    <row r="35337">
      <c r="D35337" s="9"/>
      <c r="G35337" s="9"/>
      <c r="J35337" s="11"/>
      <c r="U35337" s="9"/>
      <c r="X35337" s="9"/>
    </row>
    <row r="35338">
      <c r="D35338" s="9"/>
      <c r="G35338" s="9"/>
      <c r="J35338" s="11"/>
      <c r="U35338" s="9"/>
      <c r="X35338" s="9"/>
    </row>
    <row r="35339">
      <c r="D35339" s="9"/>
      <c r="G35339" s="9"/>
      <c r="J35339" s="11"/>
      <c r="U35339" s="9"/>
      <c r="X35339" s="9"/>
    </row>
    <row r="35340">
      <c r="D35340" s="9"/>
      <c r="G35340" s="9"/>
      <c r="J35340" s="11"/>
      <c r="U35340" s="9"/>
      <c r="X35340" s="9"/>
    </row>
    <row r="35341">
      <c r="D35341" s="9"/>
      <c r="G35341" s="9"/>
      <c r="J35341" s="11"/>
      <c r="U35341" s="9"/>
      <c r="X35341" s="9"/>
    </row>
    <row r="35342">
      <c r="D35342" s="9"/>
      <c r="G35342" s="9"/>
      <c r="J35342" s="11"/>
      <c r="U35342" s="9"/>
      <c r="X35342" s="9"/>
    </row>
    <row r="35343">
      <c r="D35343" s="9"/>
      <c r="G35343" s="9"/>
      <c r="J35343" s="11"/>
      <c r="U35343" s="9"/>
      <c r="X35343" s="9"/>
    </row>
    <row r="35344">
      <c r="D35344" s="9"/>
      <c r="G35344" s="9"/>
      <c r="J35344" s="11"/>
      <c r="U35344" s="9"/>
      <c r="X35344" s="9"/>
    </row>
    <row r="35345">
      <c r="D35345" s="9"/>
      <c r="G35345" s="9"/>
      <c r="J35345" s="11"/>
      <c r="U35345" s="9"/>
      <c r="X35345" s="9"/>
    </row>
    <row r="35346">
      <c r="D35346" s="9"/>
      <c r="G35346" s="9"/>
      <c r="J35346" s="11"/>
      <c r="U35346" s="9"/>
      <c r="X35346" s="9"/>
    </row>
    <row r="35347">
      <c r="D35347" s="9"/>
      <c r="G35347" s="9"/>
      <c r="J35347" s="11"/>
      <c r="U35347" s="9"/>
      <c r="X35347" s="9"/>
    </row>
    <row r="35348">
      <c r="D35348" s="9"/>
      <c r="G35348" s="9"/>
      <c r="J35348" s="11"/>
      <c r="U35348" s="9"/>
      <c r="X35348" s="9"/>
    </row>
    <row r="35349">
      <c r="D35349" s="9"/>
      <c r="G35349" s="9"/>
      <c r="J35349" s="11"/>
      <c r="U35349" s="9"/>
      <c r="X35349" s="9"/>
    </row>
    <row r="35350">
      <c r="D35350" s="9"/>
      <c r="G35350" s="9"/>
      <c r="J35350" s="11"/>
      <c r="U35350" s="9"/>
      <c r="X35350" s="9"/>
    </row>
    <row r="35351">
      <c r="D35351" s="9"/>
      <c r="G35351" s="9"/>
      <c r="J35351" s="11"/>
      <c r="U35351" s="9"/>
      <c r="X35351" s="9"/>
    </row>
    <row r="35352">
      <c r="D35352" s="9"/>
      <c r="G35352" s="9"/>
      <c r="J35352" s="11"/>
      <c r="U35352" s="9"/>
      <c r="X35352" s="9"/>
    </row>
    <row r="35353">
      <c r="D35353" s="9"/>
      <c r="G35353" s="9"/>
      <c r="J35353" s="11"/>
      <c r="U35353" s="9"/>
      <c r="X35353" s="9"/>
    </row>
    <row r="35354">
      <c r="D35354" s="9"/>
      <c r="G35354" s="9"/>
      <c r="J35354" s="11"/>
      <c r="U35354" s="9"/>
      <c r="X35354" s="9"/>
    </row>
    <row r="35355">
      <c r="D35355" s="9"/>
      <c r="G35355" s="9"/>
      <c r="J35355" s="11"/>
      <c r="U35355" s="9"/>
      <c r="X35355" s="9"/>
    </row>
    <row r="35356">
      <c r="D35356" s="9"/>
      <c r="G35356" s="9"/>
      <c r="J35356" s="11"/>
      <c r="U35356" s="9"/>
      <c r="X35356" s="9"/>
    </row>
    <row r="35357">
      <c r="D35357" s="9"/>
      <c r="G35357" s="9"/>
      <c r="J35357" s="11"/>
      <c r="U35357" s="9"/>
      <c r="X35357" s="9"/>
    </row>
    <row r="35358">
      <c r="D35358" s="9"/>
      <c r="G35358" s="9"/>
      <c r="J35358" s="11"/>
      <c r="U35358" s="9"/>
      <c r="X35358" s="9"/>
    </row>
    <row r="35359">
      <c r="D35359" s="9"/>
      <c r="G35359" s="9"/>
      <c r="J35359" s="11"/>
      <c r="U35359" s="9"/>
      <c r="X35359" s="9"/>
    </row>
    <row r="35360">
      <c r="D35360" s="9"/>
      <c r="G35360" s="9"/>
      <c r="J35360" s="11"/>
      <c r="U35360" s="9"/>
      <c r="X35360" s="9"/>
    </row>
    <row r="35361">
      <c r="D35361" s="9"/>
      <c r="G35361" s="9"/>
      <c r="J35361" s="11"/>
      <c r="U35361" s="9"/>
      <c r="X35361" s="9"/>
    </row>
    <row r="35362">
      <c r="D35362" s="9"/>
      <c r="G35362" s="9"/>
      <c r="J35362" s="11"/>
      <c r="U35362" s="9"/>
      <c r="X35362" s="9"/>
    </row>
    <row r="35363">
      <c r="D35363" s="9"/>
      <c r="G35363" s="9"/>
      <c r="J35363" s="11"/>
      <c r="U35363" s="9"/>
      <c r="X35363" s="9"/>
    </row>
    <row r="35364">
      <c r="D35364" s="9"/>
      <c r="G35364" s="9"/>
      <c r="J35364" s="11"/>
      <c r="U35364" s="9"/>
      <c r="X35364" s="9"/>
    </row>
    <row r="35365">
      <c r="D35365" s="9"/>
      <c r="G35365" s="9"/>
      <c r="J35365" s="11"/>
      <c r="U35365" s="9"/>
      <c r="X35365" s="9"/>
    </row>
    <row r="35366">
      <c r="D35366" s="9"/>
      <c r="G35366" s="9"/>
      <c r="J35366" s="11"/>
      <c r="U35366" s="9"/>
      <c r="X35366" s="9"/>
    </row>
    <row r="35367">
      <c r="D35367" s="9"/>
      <c r="G35367" s="9"/>
      <c r="J35367" s="11"/>
      <c r="U35367" s="9"/>
      <c r="X35367" s="9"/>
    </row>
    <row r="35368">
      <c r="D35368" s="9"/>
      <c r="G35368" s="9"/>
      <c r="J35368" s="11"/>
      <c r="U35368" s="9"/>
      <c r="X35368" s="9"/>
    </row>
    <row r="35369">
      <c r="D35369" s="9"/>
      <c r="G35369" s="9"/>
      <c r="J35369" s="11"/>
      <c r="U35369" s="9"/>
      <c r="X35369" s="9"/>
    </row>
    <row r="35370">
      <c r="D35370" s="9"/>
      <c r="G35370" s="9"/>
      <c r="J35370" s="11"/>
      <c r="U35370" s="9"/>
      <c r="X35370" s="9"/>
    </row>
    <row r="35371">
      <c r="D35371" s="9"/>
      <c r="G35371" s="9"/>
      <c r="J35371" s="11"/>
      <c r="U35371" s="9"/>
      <c r="X35371" s="9"/>
    </row>
    <row r="35372">
      <c r="D35372" s="9"/>
      <c r="G35372" s="9"/>
      <c r="J35372" s="11"/>
      <c r="U35372" s="9"/>
      <c r="X35372" s="9"/>
    </row>
    <row r="35373">
      <c r="D35373" s="9"/>
      <c r="G35373" s="9"/>
      <c r="J35373" s="11"/>
      <c r="U35373" s="9"/>
      <c r="X35373" s="9"/>
    </row>
    <row r="35374">
      <c r="D35374" s="9"/>
      <c r="G35374" s="9"/>
      <c r="J35374" s="11"/>
      <c r="U35374" s="9"/>
      <c r="X35374" s="9"/>
    </row>
    <row r="35375">
      <c r="D35375" s="9"/>
      <c r="G35375" s="9"/>
      <c r="J35375" s="11"/>
      <c r="U35375" s="9"/>
      <c r="X35375" s="9"/>
    </row>
    <row r="35376">
      <c r="D35376" s="9"/>
      <c r="G35376" s="9"/>
      <c r="J35376" s="11"/>
      <c r="U35376" s="9"/>
      <c r="X35376" s="9"/>
    </row>
    <row r="35377">
      <c r="D35377" s="9"/>
      <c r="G35377" s="9"/>
      <c r="J35377" s="11"/>
      <c r="U35377" s="9"/>
      <c r="X35377" s="9"/>
    </row>
    <row r="35378">
      <c r="D35378" s="9"/>
      <c r="G35378" s="9"/>
      <c r="J35378" s="11"/>
      <c r="U35378" s="9"/>
      <c r="X35378" s="9"/>
    </row>
    <row r="35379">
      <c r="D35379" s="9"/>
      <c r="G35379" s="9"/>
      <c r="J35379" s="11"/>
      <c r="U35379" s="9"/>
      <c r="X35379" s="9"/>
    </row>
    <row r="35380">
      <c r="D35380" s="9"/>
      <c r="G35380" s="9"/>
      <c r="J35380" s="11"/>
      <c r="U35380" s="9"/>
      <c r="X35380" s="9"/>
    </row>
    <row r="35381">
      <c r="D35381" s="9"/>
      <c r="G35381" s="9"/>
      <c r="J35381" s="11"/>
      <c r="U35381" s="9"/>
      <c r="X35381" s="9"/>
    </row>
    <row r="35382">
      <c r="D35382" s="9"/>
      <c r="G35382" s="9"/>
      <c r="J35382" s="11"/>
      <c r="U35382" s="9"/>
      <c r="X35382" s="9"/>
    </row>
    <row r="35383">
      <c r="D35383" s="9"/>
      <c r="G35383" s="9"/>
      <c r="J35383" s="11"/>
      <c r="U35383" s="9"/>
      <c r="X35383" s="9"/>
    </row>
    <row r="35384">
      <c r="D35384" s="9"/>
      <c r="G35384" s="9"/>
      <c r="J35384" s="11"/>
      <c r="U35384" s="9"/>
      <c r="X35384" s="9"/>
    </row>
    <row r="35385">
      <c r="D35385" s="9"/>
      <c r="G35385" s="9"/>
      <c r="J35385" s="11"/>
      <c r="U35385" s="9"/>
      <c r="X35385" s="9"/>
    </row>
    <row r="35386">
      <c r="D35386" s="9"/>
      <c r="G35386" s="9"/>
      <c r="J35386" s="11"/>
      <c r="U35386" s="9"/>
      <c r="X35386" s="9"/>
    </row>
    <row r="35387">
      <c r="D35387" s="9"/>
      <c r="G35387" s="9"/>
      <c r="J35387" s="11"/>
      <c r="U35387" s="9"/>
      <c r="X35387" s="9"/>
    </row>
    <row r="35388">
      <c r="D35388" s="9"/>
      <c r="G35388" s="9"/>
      <c r="J35388" s="11"/>
      <c r="U35388" s="9"/>
      <c r="X35388" s="9"/>
    </row>
    <row r="35389">
      <c r="D35389" s="9"/>
      <c r="G35389" s="9"/>
      <c r="J35389" s="11"/>
      <c r="U35389" s="9"/>
      <c r="X35389" s="9"/>
    </row>
    <row r="35390">
      <c r="D35390" s="9"/>
      <c r="G35390" s="9"/>
      <c r="J35390" s="11"/>
      <c r="U35390" s="9"/>
      <c r="X35390" s="9"/>
    </row>
    <row r="35391">
      <c r="D35391" s="9"/>
      <c r="G35391" s="9"/>
      <c r="J35391" s="11"/>
      <c r="U35391" s="9"/>
      <c r="X35391" s="9"/>
    </row>
    <row r="35392">
      <c r="D35392" s="9"/>
      <c r="G35392" s="9"/>
      <c r="J35392" s="11"/>
      <c r="U35392" s="9"/>
      <c r="X35392" s="9"/>
    </row>
    <row r="35393">
      <c r="D35393" s="9"/>
      <c r="G35393" s="9"/>
      <c r="J35393" s="11"/>
      <c r="U35393" s="9"/>
      <c r="X35393" s="9"/>
    </row>
    <row r="35394">
      <c r="D35394" s="9"/>
      <c r="G35394" s="9"/>
      <c r="J35394" s="11"/>
      <c r="U35394" s="9"/>
      <c r="X35394" s="9"/>
    </row>
    <row r="35395">
      <c r="D35395" s="9"/>
      <c r="G35395" s="9"/>
      <c r="J35395" s="11"/>
      <c r="U35395" s="9"/>
      <c r="X35395" s="9"/>
    </row>
    <row r="35396">
      <c r="D35396" s="9"/>
      <c r="G35396" s="9"/>
      <c r="J35396" s="11"/>
      <c r="U35396" s="9"/>
      <c r="X35396" s="9"/>
    </row>
    <row r="35397">
      <c r="D35397" s="9"/>
      <c r="G35397" s="9"/>
      <c r="J35397" s="11"/>
      <c r="U35397" s="9"/>
      <c r="X35397" s="9"/>
    </row>
    <row r="35398">
      <c r="D35398" s="9"/>
      <c r="G35398" s="9"/>
      <c r="J35398" s="11"/>
      <c r="U35398" s="9"/>
      <c r="X35398" s="9"/>
    </row>
    <row r="35399">
      <c r="D35399" s="9"/>
      <c r="G35399" s="9"/>
      <c r="J35399" s="11"/>
      <c r="U35399" s="9"/>
      <c r="X35399" s="9"/>
    </row>
    <row r="35400">
      <c r="D35400" s="9"/>
      <c r="G35400" s="9"/>
      <c r="J35400" s="11"/>
      <c r="U35400" s="9"/>
      <c r="X35400" s="9"/>
    </row>
    <row r="35401">
      <c r="D35401" s="9"/>
      <c r="G35401" s="9"/>
      <c r="J35401" s="11"/>
      <c r="U35401" s="9"/>
      <c r="X35401" s="9"/>
    </row>
    <row r="35402">
      <c r="D35402" s="9"/>
      <c r="G35402" s="9"/>
      <c r="J35402" s="11"/>
      <c r="U35402" s="9"/>
      <c r="X35402" s="9"/>
    </row>
    <row r="35403">
      <c r="D35403" s="9"/>
      <c r="G35403" s="9"/>
      <c r="J35403" s="11"/>
      <c r="U35403" s="9"/>
      <c r="X35403" s="9"/>
    </row>
    <row r="35404">
      <c r="D35404" s="9"/>
      <c r="G35404" s="9"/>
      <c r="J35404" s="11"/>
      <c r="U35404" s="9"/>
      <c r="X35404" s="9"/>
    </row>
    <row r="35405">
      <c r="D35405" s="9"/>
      <c r="G35405" s="9"/>
      <c r="J35405" s="11"/>
      <c r="U35405" s="9"/>
      <c r="X35405" s="9"/>
    </row>
    <row r="35406">
      <c r="D35406" s="9"/>
      <c r="G35406" s="9"/>
      <c r="J35406" s="11"/>
      <c r="U35406" s="9"/>
      <c r="X35406" s="9"/>
    </row>
    <row r="35407">
      <c r="D35407" s="9"/>
      <c r="G35407" s="9"/>
      <c r="J35407" s="11"/>
      <c r="U35407" s="9"/>
      <c r="X35407" s="9"/>
    </row>
    <row r="35408">
      <c r="D35408" s="9"/>
      <c r="G35408" s="9"/>
      <c r="J35408" s="11"/>
      <c r="U35408" s="9"/>
      <c r="X35408" s="9"/>
    </row>
    <row r="35409">
      <c r="D35409" s="9"/>
      <c r="G35409" s="9"/>
      <c r="J35409" s="11"/>
      <c r="U35409" s="9"/>
      <c r="X35409" s="9"/>
    </row>
    <row r="35410">
      <c r="D35410" s="9"/>
      <c r="G35410" s="9"/>
      <c r="J35410" s="11"/>
      <c r="U35410" s="9"/>
      <c r="X35410" s="9"/>
    </row>
    <row r="35411">
      <c r="D35411" s="9"/>
      <c r="G35411" s="9"/>
      <c r="J35411" s="11"/>
      <c r="U35411" s="9"/>
      <c r="X35411" s="9"/>
    </row>
    <row r="35412">
      <c r="D35412" s="9"/>
      <c r="G35412" s="9"/>
      <c r="J35412" s="11"/>
      <c r="U35412" s="9"/>
      <c r="X35412" s="9"/>
    </row>
    <row r="35413">
      <c r="D35413" s="9"/>
      <c r="G35413" s="9"/>
      <c r="J35413" s="11"/>
      <c r="U35413" s="9"/>
      <c r="X35413" s="9"/>
    </row>
    <row r="35414">
      <c r="D35414" s="9"/>
      <c r="G35414" s="9"/>
      <c r="J35414" s="11"/>
      <c r="U35414" s="9"/>
      <c r="X35414" s="9"/>
    </row>
    <row r="35415">
      <c r="D35415" s="9"/>
      <c r="G35415" s="9"/>
      <c r="J35415" s="11"/>
      <c r="U35415" s="9"/>
      <c r="X35415" s="9"/>
    </row>
    <row r="35416">
      <c r="D35416" s="9"/>
      <c r="G35416" s="9"/>
      <c r="J35416" s="11"/>
      <c r="U35416" s="9"/>
      <c r="X35416" s="9"/>
    </row>
    <row r="35417">
      <c r="D35417" s="9"/>
      <c r="G35417" s="9"/>
      <c r="J35417" s="11"/>
      <c r="U35417" s="9"/>
      <c r="X35417" s="9"/>
    </row>
    <row r="35418">
      <c r="D35418" s="9"/>
      <c r="G35418" s="9"/>
      <c r="J35418" s="11"/>
      <c r="U35418" s="9"/>
      <c r="X35418" s="9"/>
    </row>
    <row r="35419">
      <c r="D35419" s="9"/>
      <c r="G35419" s="9"/>
      <c r="J35419" s="11"/>
      <c r="U35419" s="9"/>
      <c r="X35419" s="9"/>
    </row>
    <row r="35420">
      <c r="D35420" s="9"/>
      <c r="G35420" s="9"/>
      <c r="J35420" s="11"/>
      <c r="U35420" s="9"/>
      <c r="X35420" s="9"/>
    </row>
    <row r="35421">
      <c r="D35421" s="9"/>
      <c r="G35421" s="9"/>
      <c r="J35421" s="11"/>
      <c r="U35421" s="9"/>
      <c r="X35421" s="9"/>
    </row>
    <row r="35422">
      <c r="D35422" s="9"/>
      <c r="G35422" s="9"/>
      <c r="J35422" s="11"/>
      <c r="U35422" s="9"/>
      <c r="X35422" s="9"/>
    </row>
    <row r="35423">
      <c r="D35423" s="9"/>
      <c r="G35423" s="9"/>
      <c r="J35423" s="11"/>
      <c r="U35423" s="9"/>
      <c r="X35423" s="9"/>
    </row>
    <row r="35424">
      <c r="D35424" s="9"/>
      <c r="G35424" s="9"/>
      <c r="J35424" s="11"/>
      <c r="U35424" s="9"/>
      <c r="X35424" s="9"/>
    </row>
    <row r="35425">
      <c r="D35425" s="9"/>
      <c r="G35425" s="9"/>
      <c r="J35425" s="11"/>
      <c r="U35425" s="9"/>
      <c r="X35425" s="9"/>
    </row>
    <row r="35426">
      <c r="D35426" s="9"/>
      <c r="G35426" s="9"/>
      <c r="J35426" s="11"/>
      <c r="U35426" s="9"/>
      <c r="X35426" s="9"/>
    </row>
    <row r="35427">
      <c r="D35427" s="9"/>
      <c r="G35427" s="9"/>
      <c r="J35427" s="11"/>
      <c r="U35427" s="9"/>
      <c r="X35427" s="9"/>
    </row>
    <row r="35428">
      <c r="D35428" s="9"/>
      <c r="G35428" s="9"/>
      <c r="J35428" s="11"/>
      <c r="U35428" s="9"/>
      <c r="X35428" s="9"/>
    </row>
    <row r="35429">
      <c r="D35429" s="9"/>
      <c r="G35429" s="9"/>
      <c r="J35429" s="11"/>
      <c r="U35429" s="9"/>
      <c r="X35429" s="9"/>
    </row>
    <row r="35430">
      <c r="D35430" s="9"/>
      <c r="G35430" s="9"/>
      <c r="J35430" s="11"/>
      <c r="U35430" s="9"/>
      <c r="X35430" s="9"/>
    </row>
    <row r="35431">
      <c r="D35431" s="9"/>
      <c r="G35431" s="9"/>
      <c r="J35431" s="11"/>
      <c r="U35431" s="9"/>
      <c r="X35431" s="9"/>
    </row>
    <row r="35432">
      <c r="D35432" s="9"/>
      <c r="G35432" s="9"/>
      <c r="J35432" s="11"/>
      <c r="U35432" s="9"/>
      <c r="X35432" s="9"/>
    </row>
    <row r="35433">
      <c r="D35433" s="9"/>
      <c r="G35433" s="9"/>
      <c r="J35433" s="11"/>
      <c r="U35433" s="9"/>
      <c r="X35433" s="9"/>
    </row>
    <row r="35434">
      <c r="D35434" s="9"/>
      <c r="G35434" s="9"/>
      <c r="J35434" s="11"/>
      <c r="U35434" s="9"/>
      <c r="X35434" s="9"/>
    </row>
    <row r="35435">
      <c r="D35435" s="9"/>
      <c r="G35435" s="9"/>
      <c r="J35435" s="11"/>
      <c r="U35435" s="9"/>
      <c r="X35435" s="9"/>
    </row>
    <row r="35436">
      <c r="D35436" s="9"/>
      <c r="G35436" s="9"/>
      <c r="J35436" s="11"/>
      <c r="U35436" s="9"/>
      <c r="X35436" s="9"/>
    </row>
    <row r="35437">
      <c r="D35437" s="9"/>
      <c r="G35437" s="9"/>
      <c r="J35437" s="11"/>
      <c r="U35437" s="9"/>
      <c r="X35437" s="9"/>
    </row>
    <row r="35438">
      <c r="D35438" s="9"/>
      <c r="G35438" s="9"/>
      <c r="J35438" s="11"/>
      <c r="U35438" s="9"/>
      <c r="X35438" s="9"/>
    </row>
    <row r="35439">
      <c r="D35439" s="9"/>
      <c r="G35439" s="9"/>
      <c r="J35439" s="11"/>
      <c r="U35439" s="9"/>
      <c r="X35439" s="9"/>
    </row>
    <row r="35440">
      <c r="D35440" s="9"/>
      <c r="G35440" s="9"/>
      <c r="J35440" s="11"/>
      <c r="U35440" s="9"/>
      <c r="X35440" s="9"/>
    </row>
    <row r="35441">
      <c r="D35441" s="9"/>
      <c r="G35441" s="9"/>
      <c r="J35441" s="11"/>
      <c r="U35441" s="9"/>
      <c r="X35441" s="9"/>
    </row>
    <row r="35442">
      <c r="D35442" s="9"/>
      <c r="G35442" s="9"/>
      <c r="J35442" s="11"/>
      <c r="U35442" s="9"/>
      <c r="X35442" s="9"/>
    </row>
    <row r="35443">
      <c r="D35443" s="9"/>
      <c r="G35443" s="9"/>
      <c r="J35443" s="11"/>
      <c r="U35443" s="9"/>
      <c r="X35443" s="9"/>
    </row>
    <row r="35444">
      <c r="D35444" s="9"/>
      <c r="G35444" s="9"/>
      <c r="J35444" s="11"/>
      <c r="U35444" s="9"/>
      <c r="X35444" s="9"/>
    </row>
    <row r="35445">
      <c r="D35445" s="9"/>
      <c r="G35445" s="9"/>
      <c r="J35445" s="11"/>
      <c r="U35445" s="9"/>
      <c r="X35445" s="9"/>
    </row>
    <row r="35446">
      <c r="D35446" s="9"/>
      <c r="G35446" s="9"/>
      <c r="J35446" s="11"/>
      <c r="U35446" s="9"/>
      <c r="X35446" s="9"/>
    </row>
    <row r="35447">
      <c r="D35447" s="9"/>
      <c r="G35447" s="9"/>
      <c r="J35447" s="11"/>
      <c r="U35447" s="9"/>
      <c r="X35447" s="9"/>
    </row>
    <row r="35448">
      <c r="D35448" s="9"/>
      <c r="G35448" s="9"/>
      <c r="J35448" s="11"/>
      <c r="U35448" s="9"/>
      <c r="X35448" s="9"/>
    </row>
    <row r="35449">
      <c r="D35449" s="9"/>
      <c r="G35449" s="9"/>
      <c r="J35449" s="11"/>
      <c r="U35449" s="9"/>
      <c r="X35449" s="9"/>
    </row>
    <row r="35450">
      <c r="D35450" s="9"/>
      <c r="G35450" s="9"/>
      <c r="J35450" s="11"/>
      <c r="U35450" s="9"/>
      <c r="X35450" s="9"/>
    </row>
    <row r="35451">
      <c r="D35451" s="9"/>
      <c r="G35451" s="9"/>
      <c r="J35451" s="11"/>
      <c r="U35451" s="9"/>
      <c r="X35451" s="9"/>
    </row>
    <row r="35452">
      <c r="D35452" s="9"/>
      <c r="G35452" s="9"/>
      <c r="J35452" s="11"/>
      <c r="U35452" s="9"/>
      <c r="X35452" s="9"/>
    </row>
    <row r="35453">
      <c r="D35453" s="9"/>
      <c r="G35453" s="9"/>
      <c r="J35453" s="11"/>
      <c r="U35453" s="9"/>
      <c r="X35453" s="9"/>
    </row>
    <row r="35454">
      <c r="D35454" s="9"/>
      <c r="G35454" s="9"/>
      <c r="J35454" s="11"/>
      <c r="U35454" s="9"/>
      <c r="X35454" s="9"/>
    </row>
    <row r="35455">
      <c r="D35455" s="9"/>
      <c r="G35455" s="9"/>
      <c r="J35455" s="11"/>
      <c r="U35455" s="9"/>
      <c r="X35455" s="9"/>
    </row>
    <row r="35456">
      <c r="D35456" s="9"/>
      <c r="G35456" s="9"/>
      <c r="J35456" s="11"/>
      <c r="U35456" s="9"/>
      <c r="X35456" s="9"/>
    </row>
    <row r="35457">
      <c r="D35457" s="9"/>
      <c r="G35457" s="9"/>
      <c r="J35457" s="11"/>
      <c r="U35457" s="9"/>
      <c r="X35457" s="9"/>
    </row>
    <row r="35458">
      <c r="D35458" s="9"/>
      <c r="G35458" s="9"/>
      <c r="J35458" s="11"/>
      <c r="U35458" s="9"/>
      <c r="X35458" s="9"/>
    </row>
    <row r="35459">
      <c r="D35459" s="9"/>
      <c r="G35459" s="9"/>
      <c r="J35459" s="11"/>
      <c r="U35459" s="9"/>
      <c r="X35459" s="9"/>
    </row>
    <row r="35460">
      <c r="D35460" s="9"/>
      <c r="G35460" s="9"/>
      <c r="J35460" s="11"/>
      <c r="U35460" s="9"/>
      <c r="X35460" s="9"/>
    </row>
    <row r="35461">
      <c r="D35461" s="9"/>
      <c r="G35461" s="9"/>
      <c r="J35461" s="11"/>
      <c r="U35461" s="9"/>
      <c r="X35461" s="9"/>
    </row>
    <row r="35462">
      <c r="D35462" s="9"/>
      <c r="G35462" s="9"/>
      <c r="J35462" s="11"/>
      <c r="U35462" s="9"/>
      <c r="X35462" s="9"/>
    </row>
    <row r="35463">
      <c r="D35463" s="9"/>
      <c r="G35463" s="9"/>
      <c r="J35463" s="11"/>
      <c r="U35463" s="9"/>
      <c r="X35463" s="9"/>
    </row>
    <row r="35464">
      <c r="D35464" s="9"/>
      <c r="G35464" s="9"/>
      <c r="J35464" s="11"/>
      <c r="U35464" s="9"/>
      <c r="X35464" s="9"/>
    </row>
    <row r="35465">
      <c r="D35465" s="9"/>
      <c r="G35465" s="9"/>
      <c r="J35465" s="11"/>
      <c r="U35465" s="9"/>
      <c r="X35465" s="9"/>
    </row>
    <row r="35466">
      <c r="D35466" s="9"/>
      <c r="G35466" s="9"/>
      <c r="J35466" s="11"/>
      <c r="U35466" s="9"/>
      <c r="X35466" s="9"/>
    </row>
    <row r="35467">
      <c r="D35467" s="9"/>
      <c r="G35467" s="9"/>
      <c r="J35467" s="11"/>
      <c r="U35467" s="9"/>
      <c r="X35467" s="9"/>
    </row>
    <row r="35468">
      <c r="D35468" s="9"/>
      <c r="G35468" s="9"/>
      <c r="J35468" s="11"/>
      <c r="U35468" s="9"/>
      <c r="X35468" s="9"/>
    </row>
    <row r="35469">
      <c r="D35469" s="9"/>
      <c r="G35469" s="9"/>
      <c r="J35469" s="11"/>
      <c r="U35469" s="9"/>
      <c r="X35469" s="9"/>
    </row>
    <row r="35470">
      <c r="D35470" s="9"/>
      <c r="G35470" s="9"/>
      <c r="J35470" s="11"/>
      <c r="U35470" s="9"/>
      <c r="X35470" s="9"/>
    </row>
    <row r="35471">
      <c r="D35471" s="9"/>
      <c r="G35471" s="9"/>
      <c r="J35471" s="11"/>
      <c r="U35471" s="9"/>
      <c r="X35471" s="9"/>
    </row>
    <row r="35472">
      <c r="D35472" s="9"/>
      <c r="G35472" s="9"/>
      <c r="J35472" s="11"/>
      <c r="U35472" s="9"/>
      <c r="X35472" s="9"/>
    </row>
    <row r="35473">
      <c r="D35473" s="9"/>
      <c r="G35473" s="9"/>
      <c r="J35473" s="11"/>
      <c r="U35473" s="9"/>
      <c r="X35473" s="9"/>
    </row>
    <row r="35474">
      <c r="D35474" s="9"/>
      <c r="G35474" s="9"/>
      <c r="J35474" s="11"/>
      <c r="U35474" s="9"/>
      <c r="X35474" s="9"/>
    </row>
    <row r="35475">
      <c r="D35475" s="9"/>
      <c r="G35475" s="9"/>
      <c r="J35475" s="11"/>
      <c r="U35475" s="9"/>
      <c r="X35475" s="9"/>
    </row>
    <row r="35476">
      <c r="D35476" s="9"/>
      <c r="G35476" s="9"/>
      <c r="J35476" s="11"/>
      <c r="U35476" s="9"/>
      <c r="X35476" s="9"/>
    </row>
    <row r="35477">
      <c r="D35477" s="9"/>
      <c r="G35477" s="9"/>
      <c r="J35477" s="11"/>
      <c r="U35477" s="9"/>
      <c r="X35477" s="9"/>
    </row>
    <row r="35478">
      <c r="D35478" s="9"/>
      <c r="G35478" s="9"/>
      <c r="J35478" s="11"/>
      <c r="U35478" s="9"/>
      <c r="X35478" s="9"/>
    </row>
    <row r="35479">
      <c r="D35479" s="9"/>
      <c r="G35479" s="9"/>
      <c r="J35479" s="11"/>
      <c r="U35479" s="9"/>
      <c r="X35479" s="9"/>
    </row>
    <row r="35480">
      <c r="D35480" s="9"/>
      <c r="G35480" s="9"/>
      <c r="J35480" s="11"/>
      <c r="U35480" s="9"/>
      <c r="X35480" s="9"/>
    </row>
    <row r="35481">
      <c r="D35481" s="9"/>
      <c r="G35481" s="9"/>
      <c r="J35481" s="11"/>
      <c r="U35481" s="9"/>
      <c r="X35481" s="9"/>
    </row>
    <row r="35482">
      <c r="D35482" s="9"/>
      <c r="G35482" s="9"/>
      <c r="J35482" s="11"/>
      <c r="U35482" s="9"/>
      <c r="X35482" s="9"/>
    </row>
    <row r="35483">
      <c r="D35483" s="9"/>
      <c r="G35483" s="9"/>
      <c r="J35483" s="11"/>
      <c r="U35483" s="9"/>
      <c r="X35483" s="9"/>
    </row>
    <row r="35484">
      <c r="D35484" s="9"/>
      <c r="G35484" s="9"/>
      <c r="J35484" s="11"/>
      <c r="U35484" s="9"/>
      <c r="X35484" s="9"/>
    </row>
    <row r="35485">
      <c r="D35485" s="9"/>
      <c r="G35485" s="9"/>
      <c r="J35485" s="11"/>
      <c r="U35485" s="9"/>
      <c r="X35485" s="9"/>
    </row>
    <row r="35486">
      <c r="D35486" s="9"/>
      <c r="G35486" s="9"/>
      <c r="J35486" s="11"/>
      <c r="U35486" s="9"/>
      <c r="X35486" s="9"/>
    </row>
    <row r="35487">
      <c r="D35487" s="9"/>
      <c r="G35487" s="9"/>
      <c r="J35487" s="11"/>
      <c r="U35487" s="9"/>
      <c r="X35487" s="9"/>
    </row>
    <row r="35488">
      <c r="D35488" s="9"/>
      <c r="G35488" s="9"/>
      <c r="J35488" s="11"/>
      <c r="U35488" s="9"/>
      <c r="X35488" s="9"/>
    </row>
    <row r="35489">
      <c r="D35489" s="9"/>
      <c r="G35489" s="9"/>
      <c r="J35489" s="11"/>
      <c r="U35489" s="9"/>
      <c r="X35489" s="9"/>
    </row>
    <row r="35490">
      <c r="D35490" s="9"/>
      <c r="G35490" s="9"/>
      <c r="J35490" s="11"/>
      <c r="U35490" s="9"/>
      <c r="X35490" s="9"/>
    </row>
    <row r="35491">
      <c r="D35491" s="9"/>
      <c r="G35491" s="9"/>
      <c r="J35491" s="11"/>
      <c r="U35491" s="9"/>
      <c r="X35491" s="9"/>
    </row>
    <row r="35492">
      <c r="D35492" s="9"/>
      <c r="G35492" s="9"/>
      <c r="J35492" s="11"/>
      <c r="U35492" s="9"/>
      <c r="X35492" s="9"/>
    </row>
    <row r="35493">
      <c r="D35493" s="9"/>
      <c r="G35493" s="9"/>
      <c r="J35493" s="11"/>
      <c r="U35493" s="9"/>
      <c r="X35493" s="9"/>
    </row>
    <row r="35494">
      <c r="D35494" s="9"/>
      <c r="G35494" s="9"/>
      <c r="J35494" s="11"/>
      <c r="U35494" s="9"/>
      <c r="X35494" s="9"/>
    </row>
    <row r="35495">
      <c r="D35495" s="9"/>
      <c r="G35495" s="9"/>
      <c r="J35495" s="11"/>
      <c r="U35495" s="9"/>
      <c r="X35495" s="9"/>
    </row>
    <row r="35496">
      <c r="D35496" s="9"/>
      <c r="G35496" s="9"/>
      <c r="J35496" s="11"/>
      <c r="U35496" s="9"/>
      <c r="X35496" s="9"/>
    </row>
    <row r="35497">
      <c r="D35497" s="9"/>
      <c r="G35497" s="9"/>
      <c r="J35497" s="11"/>
      <c r="U35497" s="9"/>
      <c r="X35497" s="9"/>
    </row>
    <row r="35498">
      <c r="D35498" s="9"/>
      <c r="G35498" s="9"/>
      <c r="J35498" s="11"/>
      <c r="U35498" s="9"/>
      <c r="X35498" s="9"/>
    </row>
    <row r="35499">
      <c r="D35499" s="9"/>
      <c r="G35499" s="9"/>
      <c r="J35499" s="11"/>
      <c r="U35499" s="9"/>
      <c r="X35499" s="9"/>
    </row>
    <row r="35500">
      <c r="D35500" s="9"/>
      <c r="G35500" s="9"/>
      <c r="J35500" s="11"/>
      <c r="U35500" s="9"/>
      <c r="X35500" s="9"/>
    </row>
    <row r="35501">
      <c r="D35501" s="9"/>
      <c r="G35501" s="9"/>
      <c r="J35501" s="11"/>
      <c r="U35501" s="9"/>
      <c r="X35501" s="9"/>
    </row>
    <row r="35502">
      <c r="D35502" s="9"/>
      <c r="G35502" s="9"/>
      <c r="J35502" s="11"/>
      <c r="U35502" s="9"/>
      <c r="X35502" s="9"/>
    </row>
    <row r="35503">
      <c r="D35503" s="9"/>
      <c r="G35503" s="9"/>
      <c r="J35503" s="11"/>
      <c r="U35503" s="9"/>
      <c r="X35503" s="9"/>
    </row>
    <row r="35504">
      <c r="D35504" s="9"/>
      <c r="G35504" s="9"/>
      <c r="J35504" s="11"/>
      <c r="U35504" s="9"/>
      <c r="X35504" s="9"/>
    </row>
    <row r="35505">
      <c r="D35505" s="9"/>
      <c r="G35505" s="9"/>
      <c r="J35505" s="11"/>
      <c r="U35505" s="9"/>
      <c r="X35505" s="9"/>
    </row>
    <row r="35506">
      <c r="D35506" s="9"/>
      <c r="G35506" s="9"/>
      <c r="J35506" s="11"/>
      <c r="U35506" s="9"/>
      <c r="X35506" s="9"/>
    </row>
    <row r="35507">
      <c r="D35507" s="9"/>
      <c r="G35507" s="9"/>
      <c r="J35507" s="11"/>
      <c r="U35507" s="9"/>
      <c r="X35507" s="9"/>
    </row>
    <row r="35508">
      <c r="D35508" s="9"/>
      <c r="G35508" s="9"/>
      <c r="J35508" s="11"/>
      <c r="U35508" s="9"/>
      <c r="X35508" s="9"/>
    </row>
    <row r="35509">
      <c r="D35509" s="9"/>
      <c r="G35509" s="9"/>
      <c r="J35509" s="11"/>
      <c r="U35509" s="9"/>
      <c r="X35509" s="9"/>
    </row>
    <row r="35510">
      <c r="D35510" s="9"/>
      <c r="G35510" s="9"/>
      <c r="J35510" s="11"/>
      <c r="U35510" s="9"/>
      <c r="X35510" s="9"/>
    </row>
    <row r="35511">
      <c r="D35511" s="9"/>
      <c r="G35511" s="9"/>
      <c r="J35511" s="11"/>
      <c r="U35511" s="9"/>
      <c r="X35511" s="9"/>
    </row>
    <row r="35512">
      <c r="D35512" s="9"/>
      <c r="G35512" s="9"/>
      <c r="J35512" s="11"/>
      <c r="U35512" s="9"/>
      <c r="X35512" s="9"/>
    </row>
    <row r="35513">
      <c r="D35513" s="9"/>
      <c r="G35513" s="9"/>
      <c r="J35513" s="11"/>
      <c r="U35513" s="9"/>
      <c r="X35513" s="9"/>
    </row>
    <row r="35514">
      <c r="D35514" s="9"/>
      <c r="G35514" s="9"/>
      <c r="J35514" s="11"/>
      <c r="U35514" s="9"/>
      <c r="X35514" s="9"/>
    </row>
    <row r="35515">
      <c r="D35515" s="9"/>
      <c r="G35515" s="9"/>
      <c r="J35515" s="11"/>
      <c r="U35515" s="9"/>
      <c r="X35515" s="9"/>
    </row>
    <row r="35516">
      <c r="D35516" s="9"/>
      <c r="G35516" s="9"/>
      <c r="J35516" s="11"/>
      <c r="U35516" s="9"/>
      <c r="X35516" s="9"/>
    </row>
    <row r="35517">
      <c r="D35517" s="9"/>
      <c r="G35517" s="9"/>
      <c r="J35517" s="11"/>
      <c r="U35517" s="9"/>
      <c r="X35517" s="9"/>
    </row>
    <row r="35518">
      <c r="D35518" s="9"/>
      <c r="G35518" s="9"/>
      <c r="J35518" s="11"/>
      <c r="U35518" s="9"/>
      <c r="X35518" s="9"/>
    </row>
    <row r="35519">
      <c r="D35519" s="9"/>
      <c r="G35519" s="9"/>
      <c r="J35519" s="11"/>
      <c r="U35519" s="9"/>
      <c r="X35519" s="9"/>
    </row>
    <row r="35520">
      <c r="D35520" s="9"/>
      <c r="G35520" s="9"/>
      <c r="J35520" s="11"/>
      <c r="U35520" s="9"/>
      <c r="X35520" s="9"/>
    </row>
    <row r="35521">
      <c r="D35521" s="9"/>
      <c r="G35521" s="9"/>
      <c r="J35521" s="11"/>
      <c r="U35521" s="9"/>
      <c r="X35521" s="9"/>
    </row>
    <row r="35522">
      <c r="D35522" s="9"/>
      <c r="G35522" s="9"/>
      <c r="J35522" s="11"/>
      <c r="U35522" s="9"/>
      <c r="X35522" s="9"/>
    </row>
    <row r="35523">
      <c r="D35523" s="9"/>
      <c r="G35523" s="9"/>
      <c r="J35523" s="11"/>
      <c r="U35523" s="9"/>
      <c r="X35523" s="9"/>
    </row>
    <row r="35524">
      <c r="D35524" s="9"/>
      <c r="G35524" s="9"/>
      <c r="J35524" s="11"/>
      <c r="U35524" s="9"/>
      <c r="X35524" s="9"/>
    </row>
    <row r="35525">
      <c r="D35525" s="9"/>
      <c r="G35525" s="9"/>
      <c r="J35525" s="11"/>
      <c r="U35525" s="9"/>
      <c r="X35525" s="9"/>
    </row>
    <row r="35526">
      <c r="D35526" s="9"/>
      <c r="G35526" s="9"/>
      <c r="J35526" s="11"/>
      <c r="U35526" s="9"/>
      <c r="X35526" s="9"/>
    </row>
    <row r="35527">
      <c r="D35527" s="9"/>
      <c r="G35527" s="9"/>
      <c r="J35527" s="11"/>
      <c r="U35527" s="9"/>
      <c r="X35527" s="9"/>
    </row>
    <row r="35528">
      <c r="D35528" s="9"/>
      <c r="G35528" s="9"/>
      <c r="J35528" s="11"/>
      <c r="U35528" s="9"/>
      <c r="X35528" s="9"/>
    </row>
    <row r="35529">
      <c r="D35529" s="9"/>
      <c r="G35529" s="9"/>
      <c r="J35529" s="11"/>
      <c r="U35529" s="9"/>
      <c r="X35529" s="9"/>
    </row>
    <row r="35530">
      <c r="D35530" s="9"/>
      <c r="G35530" s="9"/>
      <c r="J35530" s="11"/>
      <c r="U35530" s="9"/>
      <c r="X35530" s="9"/>
    </row>
    <row r="35531">
      <c r="D35531" s="9"/>
      <c r="G35531" s="9"/>
      <c r="J35531" s="11"/>
      <c r="U35531" s="9"/>
      <c r="X35531" s="9"/>
    </row>
    <row r="35532">
      <c r="D35532" s="9"/>
      <c r="G35532" s="9"/>
      <c r="J35532" s="11"/>
      <c r="U35532" s="9"/>
      <c r="X35532" s="9"/>
    </row>
    <row r="35533">
      <c r="D35533" s="9"/>
      <c r="G35533" s="9"/>
      <c r="J35533" s="11"/>
      <c r="U35533" s="9"/>
      <c r="X35533" s="9"/>
    </row>
    <row r="35534">
      <c r="D35534" s="9"/>
      <c r="G35534" s="9"/>
      <c r="J35534" s="11"/>
      <c r="U35534" s="9"/>
      <c r="X35534" s="9"/>
    </row>
    <row r="35535">
      <c r="D35535" s="9"/>
      <c r="G35535" s="9"/>
      <c r="J35535" s="11"/>
      <c r="U35535" s="9"/>
      <c r="X35535" s="9"/>
    </row>
    <row r="35536">
      <c r="D35536" s="9"/>
      <c r="G35536" s="9"/>
      <c r="J35536" s="11"/>
      <c r="U35536" s="9"/>
      <c r="X35536" s="9"/>
    </row>
    <row r="35537">
      <c r="D35537" s="9"/>
      <c r="G35537" s="9"/>
      <c r="J35537" s="11"/>
      <c r="U35537" s="9"/>
      <c r="X35537" s="9"/>
    </row>
    <row r="35538">
      <c r="D35538" s="9"/>
      <c r="G35538" s="9"/>
      <c r="J35538" s="11"/>
      <c r="U35538" s="9"/>
      <c r="X35538" s="9"/>
    </row>
    <row r="35539">
      <c r="D35539" s="9"/>
      <c r="G35539" s="9"/>
      <c r="J35539" s="11"/>
      <c r="U35539" s="9"/>
      <c r="X35539" s="9"/>
    </row>
    <row r="35540">
      <c r="D35540" s="9"/>
      <c r="G35540" s="9"/>
      <c r="J35540" s="11"/>
      <c r="U35540" s="9"/>
      <c r="X35540" s="9"/>
    </row>
    <row r="35541">
      <c r="D35541" s="9"/>
      <c r="G35541" s="9"/>
      <c r="J35541" s="11"/>
      <c r="U35541" s="9"/>
      <c r="X35541" s="9"/>
    </row>
    <row r="35542">
      <c r="D35542" s="9"/>
      <c r="G35542" s="9"/>
      <c r="J35542" s="11"/>
      <c r="U35542" s="9"/>
      <c r="X35542" s="9"/>
    </row>
    <row r="35543">
      <c r="D35543" s="9"/>
      <c r="G35543" s="9"/>
      <c r="J35543" s="11"/>
      <c r="U35543" s="9"/>
      <c r="X35543" s="9"/>
    </row>
    <row r="35544">
      <c r="D35544" s="9"/>
      <c r="G35544" s="9"/>
      <c r="J35544" s="11"/>
      <c r="U35544" s="9"/>
      <c r="X35544" s="9"/>
    </row>
    <row r="35545">
      <c r="D35545" s="9"/>
      <c r="G35545" s="9"/>
      <c r="J35545" s="11"/>
      <c r="U35545" s="9"/>
      <c r="X35545" s="9"/>
    </row>
    <row r="35546">
      <c r="D35546" s="9"/>
      <c r="G35546" s="9"/>
      <c r="J35546" s="11"/>
      <c r="U35546" s="9"/>
      <c r="X35546" s="9"/>
    </row>
    <row r="35547">
      <c r="D35547" s="9"/>
      <c r="G35547" s="9"/>
      <c r="J35547" s="11"/>
      <c r="U35547" s="9"/>
      <c r="X35547" s="9"/>
    </row>
    <row r="35548">
      <c r="D35548" s="9"/>
      <c r="G35548" s="9"/>
      <c r="J35548" s="11"/>
      <c r="U35548" s="9"/>
      <c r="X35548" s="9"/>
    </row>
    <row r="35549">
      <c r="D35549" s="9"/>
      <c r="G35549" s="9"/>
      <c r="J35549" s="11"/>
      <c r="U35549" s="9"/>
      <c r="X35549" s="9"/>
    </row>
    <row r="35550">
      <c r="D35550" s="9"/>
      <c r="G35550" s="9"/>
      <c r="J35550" s="11"/>
      <c r="U35550" s="9"/>
      <c r="X35550" s="9"/>
    </row>
    <row r="35551">
      <c r="D35551" s="9"/>
      <c r="G35551" s="9"/>
      <c r="J35551" s="11"/>
      <c r="U35551" s="9"/>
      <c r="X35551" s="9"/>
    </row>
    <row r="35552">
      <c r="D35552" s="9"/>
      <c r="G35552" s="9"/>
      <c r="J35552" s="11"/>
      <c r="U35552" s="9"/>
      <c r="X35552" s="9"/>
    </row>
    <row r="35553">
      <c r="D35553" s="9"/>
      <c r="G35553" s="9"/>
      <c r="J35553" s="11"/>
      <c r="U35553" s="9"/>
      <c r="X35553" s="9"/>
    </row>
    <row r="35554">
      <c r="D35554" s="9"/>
      <c r="G35554" s="9"/>
      <c r="J35554" s="11"/>
      <c r="U35554" s="9"/>
      <c r="X35554" s="9"/>
    </row>
    <row r="35555">
      <c r="D35555" s="9"/>
      <c r="G35555" s="9"/>
      <c r="J35555" s="11"/>
      <c r="U35555" s="9"/>
      <c r="X35555" s="9"/>
    </row>
    <row r="35556">
      <c r="D35556" s="9"/>
      <c r="G35556" s="9"/>
      <c r="J35556" s="11"/>
      <c r="U35556" s="9"/>
      <c r="X35556" s="9"/>
    </row>
    <row r="35557">
      <c r="D35557" s="9"/>
      <c r="G35557" s="9"/>
      <c r="J35557" s="11"/>
      <c r="U35557" s="9"/>
      <c r="X35557" s="9"/>
    </row>
    <row r="35558">
      <c r="D35558" s="9"/>
      <c r="G35558" s="9"/>
      <c r="J35558" s="11"/>
      <c r="U35558" s="9"/>
      <c r="X35558" s="9"/>
    </row>
    <row r="35559">
      <c r="D35559" s="9"/>
      <c r="G35559" s="9"/>
      <c r="J35559" s="11"/>
      <c r="U35559" s="9"/>
      <c r="X35559" s="9"/>
    </row>
    <row r="35560">
      <c r="D35560" s="9"/>
      <c r="G35560" s="9"/>
      <c r="J35560" s="11"/>
      <c r="U35560" s="9"/>
      <c r="X35560" s="9"/>
    </row>
    <row r="35561">
      <c r="D35561" s="9"/>
      <c r="G35561" s="9"/>
      <c r="J35561" s="11"/>
      <c r="U35561" s="9"/>
      <c r="X35561" s="9"/>
    </row>
    <row r="35562">
      <c r="D35562" s="9"/>
      <c r="G35562" s="9"/>
      <c r="J35562" s="11"/>
      <c r="U35562" s="9"/>
      <c r="X35562" s="9"/>
    </row>
    <row r="35563">
      <c r="D35563" s="9"/>
      <c r="G35563" s="9"/>
      <c r="J35563" s="11"/>
      <c r="U35563" s="9"/>
      <c r="X35563" s="9"/>
    </row>
    <row r="35564">
      <c r="D35564" s="9"/>
      <c r="G35564" s="9"/>
      <c r="J35564" s="11"/>
      <c r="U35564" s="9"/>
      <c r="X35564" s="9"/>
    </row>
    <row r="35565">
      <c r="D35565" s="9"/>
      <c r="G35565" s="9"/>
      <c r="J35565" s="11"/>
      <c r="U35565" s="9"/>
      <c r="X35565" s="9"/>
    </row>
    <row r="35566">
      <c r="D35566" s="9"/>
      <c r="G35566" s="9"/>
      <c r="J35566" s="11"/>
      <c r="U35566" s="9"/>
      <c r="X35566" s="9"/>
    </row>
    <row r="35567">
      <c r="D35567" s="9"/>
      <c r="G35567" s="9"/>
      <c r="J35567" s="11"/>
      <c r="U35567" s="9"/>
      <c r="X35567" s="9"/>
    </row>
    <row r="35568">
      <c r="D35568" s="9"/>
      <c r="G35568" s="9"/>
      <c r="J35568" s="11"/>
      <c r="U35568" s="9"/>
      <c r="X35568" s="9"/>
    </row>
    <row r="35569">
      <c r="D35569" s="9"/>
      <c r="G35569" s="9"/>
      <c r="J35569" s="11"/>
      <c r="U35569" s="9"/>
      <c r="X35569" s="9"/>
    </row>
    <row r="35570">
      <c r="D35570" s="9"/>
      <c r="G35570" s="9"/>
      <c r="J35570" s="11"/>
      <c r="U35570" s="9"/>
      <c r="X35570" s="9"/>
    </row>
    <row r="35571">
      <c r="D35571" s="9"/>
      <c r="G35571" s="9"/>
      <c r="J35571" s="11"/>
      <c r="U35571" s="9"/>
      <c r="X35571" s="9"/>
    </row>
    <row r="35572">
      <c r="D35572" s="9"/>
      <c r="G35572" s="9"/>
      <c r="J35572" s="11"/>
      <c r="U35572" s="9"/>
      <c r="X35572" s="9"/>
    </row>
    <row r="35573">
      <c r="D35573" s="9"/>
      <c r="G35573" s="9"/>
      <c r="J35573" s="11"/>
      <c r="U35573" s="9"/>
      <c r="X35573" s="9"/>
    </row>
    <row r="35574">
      <c r="D35574" s="9"/>
      <c r="G35574" s="9"/>
      <c r="J35574" s="11"/>
      <c r="U35574" s="9"/>
      <c r="X35574" s="9"/>
    </row>
    <row r="35575">
      <c r="D35575" s="9"/>
      <c r="G35575" s="9"/>
      <c r="J35575" s="11"/>
      <c r="U35575" s="9"/>
      <c r="X35575" s="9"/>
    </row>
    <row r="35576">
      <c r="D35576" s="9"/>
      <c r="G35576" s="9"/>
      <c r="J35576" s="11"/>
      <c r="U35576" s="9"/>
      <c r="X35576" s="9"/>
    </row>
    <row r="35577">
      <c r="D35577" s="9"/>
      <c r="G35577" s="9"/>
      <c r="J35577" s="11"/>
      <c r="U35577" s="9"/>
      <c r="X35577" s="9"/>
    </row>
    <row r="35578">
      <c r="D35578" s="9"/>
      <c r="G35578" s="9"/>
      <c r="J35578" s="11"/>
      <c r="U35578" s="9"/>
      <c r="X35578" s="9"/>
    </row>
    <row r="35579">
      <c r="D35579" s="9"/>
      <c r="G35579" s="9"/>
      <c r="J35579" s="11"/>
      <c r="U35579" s="9"/>
      <c r="X35579" s="9"/>
    </row>
    <row r="35580">
      <c r="D35580" s="9"/>
      <c r="G35580" s="9"/>
      <c r="J35580" s="11"/>
      <c r="U35580" s="9"/>
      <c r="X35580" s="9"/>
    </row>
    <row r="35581">
      <c r="D35581" s="9"/>
      <c r="G35581" s="9"/>
      <c r="J35581" s="11"/>
      <c r="U35581" s="9"/>
      <c r="X35581" s="9"/>
    </row>
    <row r="35582">
      <c r="D35582" s="9"/>
      <c r="G35582" s="9"/>
      <c r="J35582" s="11"/>
      <c r="U35582" s="9"/>
      <c r="X35582" s="9"/>
    </row>
    <row r="35583">
      <c r="D35583" s="9"/>
      <c r="G35583" s="9"/>
      <c r="J35583" s="11"/>
      <c r="U35583" s="9"/>
      <c r="X35583" s="9"/>
    </row>
    <row r="35584">
      <c r="D35584" s="9"/>
      <c r="G35584" s="9"/>
      <c r="J35584" s="11"/>
      <c r="U35584" s="9"/>
      <c r="X35584" s="9"/>
    </row>
    <row r="35585">
      <c r="D35585" s="9"/>
      <c r="G35585" s="9"/>
      <c r="J35585" s="11"/>
      <c r="U35585" s="9"/>
      <c r="X35585" s="9"/>
    </row>
    <row r="35586">
      <c r="D35586" s="9"/>
      <c r="G35586" s="9"/>
      <c r="J35586" s="11"/>
      <c r="U35586" s="9"/>
      <c r="X35586" s="9"/>
    </row>
    <row r="35587">
      <c r="D35587" s="9"/>
      <c r="G35587" s="9"/>
      <c r="J35587" s="11"/>
      <c r="U35587" s="9"/>
      <c r="X35587" s="9"/>
    </row>
    <row r="35588">
      <c r="D35588" s="9"/>
      <c r="G35588" s="9"/>
      <c r="J35588" s="11"/>
      <c r="U35588" s="9"/>
      <c r="X35588" s="9"/>
    </row>
    <row r="35589">
      <c r="D35589" s="9"/>
      <c r="G35589" s="9"/>
      <c r="J35589" s="11"/>
      <c r="U35589" s="9"/>
      <c r="X35589" s="9"/>
    </row>
    <row r="35590">
      <c r="D35590" s="9"/>
      <c r="G35590" s="9"/>
      <c r="J35590" s="11"/>
      <c r="U35590" s="9"/>
      <c r="X35590" s="9"/>
    </row>
    <row r="35591">
      <c r="D35591" s="9"/>
      <c r="G35591" s="9"/>
      <c r="J35591" s="11"/>
      <c r="U35591" s="9"/>
      <c r="X35591" s="9"/>
    </row>
    <row r="35592">
      <c r="D35592" s="9"/>
      <c r="G35592" s="9"/>
      <c r="J35592" s="11"/>
      <c r="U35592" s="9"/>
      <c r="X35592" s="9"/>
    </row>
    <row r="35593">
      <c r="D35593" s="9"/>
      <c r="G35593" s="9"/>
      <c r="J35593" s="11"/>
      <c r="U35593" s="9"/>
      <c r="X35593" s="9"/>
    </row>
    <row r="35594">
      <c r="D35594" s="9"/>
      <c r="G35594" s="9"/>
      <c r="J35594" s="11"/>
      <c r="U35594" s="9"/>
      <c r="X35594" s="9"/>
    </row>
    <row r="35595">
      <c r="D35595" s="9"/>
      <c r="G35595" s="9"/>
      <c r="J35595" s="11"/>
      <c r="U35595" s="9"/>
      <c r="X35595" s="9"/>
    </row>
    <row r="35596">
      <c r="D35596" s="9"/>
      <c r="G35596" s="9"/>
      <c r="J35596" s="11"/>
      <c r="U35596" s="9"/>
      <c r="X35596" s="9"/>
    </row>
    <row r="35597">
      <c r="D35597" s="9"/>
      <c r="G35597" s="9"/>
      <c r="J35597" s="11"/>
      <c r="U35597" s="9"/>
      <c r="X35597" s="9"/>
    </row>
    <row r="35598">
      <c r="D35598" s="9"/>
      <c r="G35598" s="9"/>
      <c r="J35598" s="11"/>
      <c r="U35598" s="9"/>
      <c r="X35598" s="9"/>
    </row>
    <row r="35599">
      <c r="D35599" s="9"/>
      <c r="G35599" s="9"/>
      <c r="J35599" s="11"/>
      <c r="U35599" s="9"/>
      <c r="X35599" s="9"/>
    </row>
    <row r="35600">
      <c r="D35600" s="9"/>
      <c r="G35600" s="9"/>
      <c r="J35600" s="11"/>
      <c r="U35600" s="9"/>
      <c r="X35600" s="9"/>
    </row>
    <row r="35601">
      <c r="D35601" s="9"/>
      <c r="G35601" s="9"/>
      <c r="J35601" s="11"/>
      <c r="U35601" s="9"/>
      <c r="X35601" s="9"/>
    </row>
    <row r="35602">
      <c r="D35602" s="9"/>
      <c r="G35602" s="9"/>
      <c r="J35602" s="11"/>
      <c r="U35602" s="9"/>
      <c r="X35602" s="9"/>
    </row>
    <row r="35603">
      <c r="D35603" s="9"/>
      <c r="G35603" s="9"/>
      <c r="J35603" s="11"/>
      <c r="U35603" s="9"/>
      <c r="X35603" s="9"/>
    </row>
    <row r="35604">
      <c r="D35604" s="9"/>
      <c r="G35604" s="9"/>
      <c r="J35604" s="11"/>
      <c r="U35604" s="9"/>
      <c r="X35604" s="9"/>
    </row>
    <row r="35605">
      <c r="D35605" s="9"/>
      <c r="G35605" s="9"/>
      <c r="J35605" s="11"/>
      <c r="U35605" s="9"/>
      <c r="X35605" s="9"/>
    </row>
    <row r="35606">
      <c r="D35606" s="9"/>
      <c r="G35606" s="9"/>
      <c r="J35606" s="11"/>
      <c r="U35606" s="9"/>
      <c r="X35606" s="9"/>
    </row>
    <row r="35607">
      <c r="D35607" s="9"/>
      <c r="G35607" s="9"/>
      <c r="J35607" s="11"/>
      <c r="U35607" s="9"/>
      <c r="X35607" s="9"/>
    </row>
    <row r="35608">
      <c r="D35608" s="9"/>
      <c r="G35608" s="9"/>
      <c r="J35608" s="11"/>
      <c r="U35608" s="9"/>
      <c r="X35608" s="9"/>
    </row>
    <row r="35609">
      <c r="D35609" s="9"/>
      <c r="G35609" s="9"/>
      <c r="J35609" s="11"/>
      <c r="U35609" s="9"/>
      <c r="X35609" s="9"/>
    </row>
    <row r="35610">
      <c r="D35610" s="9"/>
      <c r="G35610" s="9"/>
      <c r="J35610" s="11"/>
      <c r="U35610" s="9"/>
      <c r="X35610" s="9"/>
    </row>
    <row r="35611">
      <c r="D35611" s="9"/>
      <c r="G35611" s="9"/>
      <c r="J35611" s="11"/>
      <c r="U35611" s="9"/>
      <c r="X35611" s="9"/>
    </row>
    <row r="35612">
      <c r="D35612" s="9"/>
      <c r="G35612" s="9"/>
      <c r="J35612" s="11"/>
      <c r="U35612" s="9"/>
      <c r="X35612" s="9"/>
    </row>
    <row r="35613">
      <c r="D35613" s="9"/>
      <c r="G35613" s="9"/>
      <c r="J35613" s="11"/>
      <c r="U35613" s="9"/>
      <c r="X35613" s="9"/>
    </row>
    <row r="35614">
      <c r="D35614" s="9"/>
      <c r="G35614" s="9"/>
      <c r="J35614" s="11"/>
      <c r="U35614" s="9"/>
      <c r="X35614" s="9"/>
    </row>
    <row r="35615">
      <c r="D35615" s="9"/>
      <c r="G35615" s="9"/>
      <c r="J35615" s="11"/>
      <c r="U35615" s="9"/>
      <c r="X35615" s="9"/>
    </row>
    <row r="35616">
      <c r="D35616" s="9"/>
      <c r="G35616" s="9"/>
      <c r="J35616" s="11"/>
      <c r="U35616" s="9"/>
      <c r="X35616" s="9"/>
    </row>
    <row r="35617">
      <c r="D35617" s="9"/>
      <c r="G35617" s="9"/>
      <c r="J35617" s="11"/>
      <c r="U35617" s="9"/>
      <c r="X35617" s="9"/>
    </row>
    <row r="35618">
      <c r="D35618" s="9"/>
      <c r="G35618" s="9"/>
      <c r="J35618" s="11"/>
      <c r="U35618" s="9"/>
      <c r="X35618" s="9"/>
    </row>
    <row r="35619">
      <c r="D35619" s="9"/>
      <c r="G35619" s="9"/>
      <c r="J35619" s="11"/>
      <c r="U35619" s="9"/>
      <c r="X35619" s="9"/>
    </row>
    <row r="35620">
      <c r="D35620" s="9"/>
      <c r="G35620" s="9"/>
      <c r="J35620" s="11"/>
      <c r="U35620" s="9"/>
      <c r="X35620" s="9"/>
    </row>
    <row r="35621">
      <c r="D35621" s="9"/>
      <c r="G35621" s="9"/>
      <c r="J35621" s="11"/>
      <c r="U35621" s="9"/>
      <c r="X35621" s="9"/>
    </row>
    <row r="35622">
      <c r="D35622" s="9"/>
      <c r="G35622" s="9"/>
      <c r="J35622" s="11"/>
      <c r="U35622" s="9"/>
      <c r="X35622" s="9"/>
    </row>
    <row r="35623">
      <c r="D35623" s="9"/>
      <c r="G35623" s="9"/>
      <c r="J35623" s="11"/>
      <c r="U35623" s="9"/>
      <c r="X35623" s="9"/>
    </row>
    <row r="35624">
      <c r="D35624" s="9"/>
      <c r="G35624" s="9"/>
      <c r="J35624" s="11"/>
      <c r="U35624" s="9"/>
      <c r="X35624" s="9"/>
    </row>
    <row r="35625">
      <c r="D35625" s="9"/>
      <c r="G35625" s="9"/>
      <c r="J35625" s="11"/>
      <c r="U35625" s="9"/>
      <c r="X35625" s="9"/>
    </row>
    <row r="35626">
      <c r="D35626" s="9"/>
      <c r="G35626" s="9"/>
      <c r="J35626" s="11"/>
      <c r="U35626" s="9"/>
      <c r="X35626" s="9"/>
    </row>
    <row r="35627">
      <c r="D35627" s="9"/>
      <c r="G35627" s="9"/>
      <c r="J35627" s="11"/>
      <c r="U35627" s="9"/>
      <c r="X35627" s="9"/>
    </row>
    <row r="35628">
      <c r="D35628" s="9"/>
      <c r="G35628" s="9"/>
      <c r="J35628" s="11"/>
      <c r="U35628" s="9"/>
      <c r="X35628" s="9"/>
    </row>
    <row r="35629">
      <c r="D35629" s="9"/>
      <c r="G35629" s="9"/>
      <c r="J35629" s="11"/>
      <c r="U35629" s="9"/>
      <c r="X35629" s="9"/>
    </row>
    <row r="35630">
      <c r="D35630" s="9"/>
      <c r="G35630" s="9"/>
      <c r="J35630" s="11"/>
      <c r="U35630" s="9"/>
      <c r="X35630" s="9"/>
    </row>
    <row r="35631">
      <c r="D35631" s="9"/>
      <c r="G35631" s="9"/>
      <c r="J35631" s="11"/>
      <c r="U35631" s="9"/>
      <c r="X35631" s="9"/>
    </row>
    <row r="35632">
      <c r="D35632" s="9"/>
      <c r="G35632" s="9"/>
      <c r="J35632" s="11"/>
      <c r="U35632" s="9"/>
      <c r="X35632" s="9"/>
    </row>
    <row r="35633">
      <c r="D35633" s="9"/>
      <c r="G35633" s="9"/>
      <c r="J35633" s="11"/>
      <c r="U35633" s="9"/>
      <c r="X35633" s="9"/>
    </row>
    <row r="35634">
      <c r="D35634" s="9"/>
      <c r="G35634" s="9"/>
      <c r="J35634" s="11"/>
      <c r="U35634" s="9"/>
      <c r="X35634" s="9"/>
    </row>
    <row r="35635">
      <c r="D35635" s="9"/>
      <c r="G35635" s="9"/>
      <c r="J35635" s="11"/>
      <c r="U35635" s="9"/>
      <c r="X35635" s="9"/>
    </row>
    <row r="35636">
      <c r="D35636" s="9"/>
      <c r="G35636" s="9"/>
      <c r="J35636" s="11"/>
      <c r="U35636" s="9"/>
      <c r="X35636" s="9"/>
    </row>
    <row r="35637">
      <c r="D35637" s="9"/>
      <c r="G35637" s="9"/>
      <c r="J35637" s="11"/>
      <c r="U35637" s="9"/>
      <c r="X35637" s="9"/>
    </row>
    <row r="35638">
      <c r="D35638" s="9"/>
      <c r="G35638" s="9"/>
      <c r="J35638" s="11"/>
      <c r="U35638" s="9"/>
      <c r="X35638" s="9"/>
    </row>
    <row r="35639">
      <c r="D35639" s="9"/>
      <c r="G35639" s="9"/>
      <c r="J35639" s="11"/>
      <c r="U35639" s="9"/>
      <c r="X35639" s="9"/>
    </row>
    <row r="35640">
      <c r="D35640" s="9"/>
      <c r="G35640" s="9"/>
      <c r="J35640" s="11"/>
      <c r="U35640" s="9"/>
      <c r="X35640" s="9"/>
    </row>
    <row r="35641">
      <c r="D35641" s="9"/>
      <c r="G35641" s="9"/>
      <c r="J35641" s="11"/>
      <c r="U35641" s="9"/>
      <c r="X35641" s="9"/>
    </row>
    <row r="35642">
      <c r="D35642" s="9"/>
      <c r="G35642" s="9"/>
      <c r="J35642" s="11"/>
      <c r="U35642" s="9"/>
      <c r="X35642" s="9"/>
    </row>
    <row r="35643">
      <c r="D35643" s="9"/>
      <c r="G35643" s="9"/>
      <c r="J35643" s="11"/>
      <c r="U35643" s="9"/>
      <c r="X35643" s="9"/>
    </row>
    <row r="35644">
      <c r="D35644" s="9"/>
      <c r="G35644" s="9"/>
      <c r="J35644" s="11"/>
      <c r="U35644" s="9"/>
      <c r="X35644" s="9"/>
    </row>
    <row r="35645">
      <c r="D35645" s="9"/>
      <c r="G35645" s="9"/>
      <c r="J35645" s="11"/>
      <c r="U35645" s="9"/>
      <c r="X35645" s="9"/>
    </row>
    <row r="35646">
      <c r="D35646" s="9"/>
      <c r="G35646" s="9"/>
      <c r="J35646" s="11"/>
      <c r="U35646" s="9"/>
      <c r="X35646" s="9"/>
    </row>
    <row r="35647">
      <c r="D35647" s="9"/>
      <c r="G35647" s="9"/>
      <c r="J35647" s="11"/>
      <c r="U35647" s="9"/>
      <c r="X35647" s="9"/>
    </row>
    <row r="35648">
      <c r="D35648" s="9"/>
      <c r="G35648" s="9"/>
      <c r="J35648" s="11"/>
      <c r="U35648" s="9"/>
      <c r="X35648" s="9"/>
    </row>
    <row r="35649">
      <c r="D35649" s="9"/>
      <c r="G35649" s="9"/>
      <c r="J35649" s="11"/>
      <c r="U35649" s="9"/>
      <c r="X35649" s="9"/>
    </row>
    <row r="35650">
      <c r="D35650" s="9"/>
      <c r="G35650" s="9"/>
      <c r="J35650" s="11"/>
      <c r="U35650" s="9"/>
      <c r="X35650" s="9"/>
    </row>
    <row r="35651">
      <c r="D35651" s="9"/>
      <c r="G35651" s="9"/>
      <c r="J35651" s="11"/>
      <c r="U35651" s="9"/>
      <c r="X35651" s="9"/>
    </row>
    <row r="35652">
      <c r="D35652" s="9"/>
      <c r="G35652" s="9"/>
      <c r="J35652" s="11"/>
      <c r="U35652" s="9"/>
      <c r="X35652" s="9"/>
    </row>
    <row r="35653">
      <c r="D35653" s="9"/>
      <c r="G35653" s="9"/>
      <c r="J35653" s="11"/>
      <c r="U35653" s="9"/>
      <c r="X35653" s="9"/>
    </row>
    <row r="35654">
      <c r="D35654" s="9"/>
      <c r="G35654" s="9"/>
      <c r="J35654" s="11"/>
      <c r="U35654" s="9"/>
      <c r="X35654" s="9"/>
    </row>
    <row r="35655">
      <c r="D35655" s="9"/>
      <c r="G35655" s="9"/>
      <c r="J35655" s="11"/>
      <c r="U35655" s="9"/>
      <c r="X35655" s="9"/>
    </row>
    <row r="35656">
      <c r="D35656" s="9"/>
      <c r="G35656" s="9"/>
      <c r="J35656" s="11"/>
      <c r="U35656" s="9"/>
      <c r="X35656" s="9"/>
    </row>
    <row r="35657">
      <c r="D35657" s="9"/>
      <c r="G35657" s="9"/>
      <c r="J35657" s="11"/>
      <c r="U35657" s="9"/>
      <c r="X35657" s="9"/>
    </row>
    <row r="35658">
      <c r="D35658" s="9"/>
      <c r="G35658" s="9"/>
      <c r="J35658" s="11"/>
      <c r="U35658" s="9"/>
      <c r="X35658" s="9"/>
    </row>
    <row r="35659">
      <c r="D35659" s="9"/>
      <c r="G35659" s="9"/>
      <c r="J35659" s="11"/>
      <c r="U35659" s="9"/>
      <c r="X35659" s="9"/>
    </row>
    <row r="35660">
      <c r="D35660" s="9"/>
      <c r="G35660" s="9"/>
      <c r="J35660" s="11"/>
      <c r="U35660" s="9"/>
      <c r="X35660" s="9"/>
    </row>
    <row r="35661">
      <c r="D35661" s="9"/>
      <c r="G35661" s="9"/>
      <c r="J35661" s="11"/>
      <c r="U35661" s="9"/>
      <c r="X35661" s="9"/>
    </row>
    <row r="35662">
      <c r="D35662" s="9"/>
      <c r="G35662" s="9"/>
      <c r="J35662" s="11"/>
      <c r="U35662" s="9"/>
      <c r="X35662" s="9"/>
    </row>
    <row r="35663">
      <c r="D35663" s="9"/>
      <c r="G35663" s="9"/>
      <c r="J35663" s="11"/>
      <c r="U35663" s="9"/>
      <c r="X35663" s="9"/>
    </row>
    <row r="35664">
      <c r="D35664" s="9"/>
      <c r="G35664" s="9"/>
      <c r="J35664" s="11"/>
      <c r="U35664" s="9"/>
      <c r="X35664" s="9"/>
    </row>
    <row r="35665">
      <c r="D35665" s="9"/>
      <c r="G35665" s="9"/>
      <c r="J35665" s="11"/>
      <c r="U35665" s="9"/>
      <c r="X35665" s="9"/>
    </row>
    <row r="35666">
      <c r="D35666" s="9"/>
      <c r="G35666" s="9"/>
      <c r="J35666" s="11"/>
      <c r="U35666" s="9"/>
      <c r="X35666" s="9"/>
    </row>
    <row r="35667">
      <c r="D35667" s="9"/>
      <c r="G35667" s="9"/>
      <c r="J35667" s="11"/>
      <c r="U35667" s="9"/>
      <c r="X35667" s="9"/>
    </row>
    <row r="35668">
      <c r="D35668" s="9"/>
      <c r="G35668" s="9"/>
      <c r="J35668" s="11"/>
      <c r="U35668" s="9"/>
      <c r="X35668" s="9"/>
    </row>
    <row r="35669">
      <c r="D35669" s="9"/>
      <c r="G35669" s="9"/>
      <c r="J35669" s="11"/>
      <c r="U35669" s="9"/>
      <c r="X35669" s="9"/>
    </row>
    <row r="35670">
      <c r="D35670" s="9"/>
      <c r="G35670" s="9"/>
      <c r="J35670" s="11"/>
      <c r="U35670" s="9"/>
      <c r="X35670" s="9"/>
    </row>
    <row r="35671">
      <c r="D35671" s="9"/>
      <c r="G35671" s="9"/>
      <c r="J35671" s="11"/>
      <c r="U35671" s="9"/>
      <c r="X35671" s="9"/>
    </row>
    <row r="35672">
      <c r="D35672" s="9"/>
      <c r="G35672" s="9"/>
      <c r="J35672" s="11"/>
      <c r="U35672" s="9"/>
      <c r="X35672" s="9"/>
    </row>
    <row r="35673">
      <c r="D35673" s="9"/>
      <c r="G35673" s="9"/>
      <c r="J35673" s="11"/>
      <c r="U35673" s="9"/>
      <c r="X35673" s="9"/>
    </row>
    <row r="35674">
      <c r="D35674" s="9"/>
      <c r="G35674" s="9"/>
      <c r="J35674" s="11"/>
      <c r="U35674" s="9"/>
      <c r="X35674" s="9"/>
    </row>
    <row r="35675">
      <c r="D35675" s="9"/>
      <c r="G35675" s="9"/>
      <c r="J35675" s="11"/>
      <c r="U35675" s="9"/>
      <c r="X35675" s="9"/>
    </row>
    <row r="35676">
      <c r="D35676" s="9"/>
      <c r="G35676" s="9"/>
      <c r="J35676" s="11"/>
      <c r="U35676" s="9"/>
      <c r="X35676" s="9"/>
    </row>
    <row r="35677">
      <c r="D35677" s="9"/>
      <c r="G35677" s="9"/>
      <c r="J35677" s="11"/>
      <c r="U35677" s="9"/>
      <c r="X35677" s="9"/>
    </row>
    <row r="35678">
      <c r="D35678" s="9"/>
      <c r="G35678" s="9"/>
      <c r="J35678" s="11"/>
      <c r="U35678" s="9"/>
      <c r="X35678" s="9"/>
    </row>
    <row r="35679">
      <c r="D35679" s="9"/>
      <c r="G35679" s="9"/>
      <c r="J35679" s="11"/>
      <c r="U35679" s="9"/>
      <c r="X35679" s="9"/>
    </row>
    <row r="35680">
      <c r="D35680" s="9"/>
      <c r="G35680" s="9"/>
      <c r="J35680" s="11"/>
      <c r="U35680" s="9"/>
      <c r="X35680" s="9"/>
    </row>
    <row r="35681">
      <c r="D35681" s="9"/>
      <c r="G35681" s="9"/>
      <c r="J35681" s="11"/>
      <c r="U35681" s="9"/>
      <c r="X35681" s="9"/>
    </row>
    <row r="35682">
      <c r="D35682" s="9"/>
      <c r="G35682" s="9"/>
      <c r="J35682" s="11"/>
      <c r="U35682" s="9"/>
      <c r="X35682" s="9"/>
    </row>
    <row r="35683">
      <c r="D35683" s="9"/>
      <c r="G35683" s="9"/>
      <c r="J35683" s="11"/>
      <c r="U35683" s="9"/>
      <c r="X35683" s="9"/>
    </row>
    <row r="35684">
      <c r="D35684" s="9"/>
      <c r="G35684" s="9"/>
      <c r="J35684" s="11"/>
      <c r="U35684" s="9"/>
      <c r="X35684" s="9"/>
    </row>
    <row r="35685">
      <c r="D35685" s="9"/>
      <c r="G35685" s="9"/>
      <c r="J35685" s="11"/>
      <c r="U35685" s="9"/>
      <c r="X35685" s="9"/>
    </row>
    <row r="35686">
      <c r="D35686" s="9"/>
      <c r="G35686" s="9"/>
      <c r="J35686" s="11"/>
      <c r="U35686" s="9"/>
      <c r="X35686" s="9"/>
    </row>
    <row r="35687">
      <c r="D35687" s="9"/>
      <c r="G35687" s="9"/>
      <c r="J35687" s="11"/>
      <c r="U35687" s="9"/>
      <c r="X35687" s="9"/>
    </row>
    <row r="35688">
      <c r="D35688" s="9"/>
      <c r="G35688" s="9"/>
      <c r="J35688" s="11"/>
      <c r="U35688" s="9"/>
      <c r="X35688" s="9"/>
    </row>
    <row r="35689">
      <c r="D35689" s="9"/>
      <c r="G35689" s="9"/>
      <c r="J35689" s="11"/>
      <c r="U35689" s="9"/>
      <c r="X35689" s="9"/>
    </row>
    <row r="35690">
      <c r="D35690" s="9"/>
      <c r="G35690" s="9"/>
      <c r="J35690" s="11"/>
      <c r="U35690" s="9"/>
      <c r="X35690" s="9"/>
    </row>
    <row r="35691">
      <c r="D35691" s="9"/>
      <c r="G35691" s="9"/>
      <c r="J35691" s="11"/>
      <c r="U35691" s="9"/>
      <c r="X35691" s="9"/>
    </row>
    <row r="35692">
      <c r="D35692" s="9"/>
      <c r="G35692" s="9"/>
      <c r="J35692" s="11"/>
      <c r="U35692" s="9"/>
      <c r="X35692" s="9"/>
    </row>
    <row r="35693">
      <c r="D35693" s="9"/>
      <c r="G35693" s="9"/>
      <c r="J35693" s="11"/>
      <c r="U35693" s="9"/>
      <c r="X35693" s="9"/>
    </row>
    <row r="35694">
      <c r="D35694" s="9"/>
      <c r="G35694" s="9"/>
      <c r="J35694" s="11"/>
      <c r="U35694" s="9"/>
      <c r="X35694" s="9"/>
    </row>
    <row r="35695">
      <c r="D35695" s="9"/>
      <c r="G35695" s="9"/>
      <c r="J35695" s="11"/>
      <c r="U35695" s="9"/>
      <c r="X35695" s="9"/>
    </row>
    <row r="35696">
      <c r="D35696" s="9"/>
      <c r="G35696" s="9"/>
      <c r="J35696" s="11"/>
      <c r="U35696" s="9"/>
      <c r="X35696" s="9"/>
    </row>
    <row r="35697">
      <c r="D35697" s="9"/>
      <c r="G35697" s="9"/>
      <c r="J35697" s="11"/>
      <c r="U35697" s="9"/>
      <c r="X35697" s="9"/>
    </row>
    <row r="35698">
      <c r="D35698" s="9"/>
      <c r="G35698" s="9"/>
      <c r="J35698" s="11"/>
      <c r="U35698" s="9"/>
      <c r="X35698" s="9"/>
    </row>
    <row r="35699">
      <c r="D35699" s="9"/>
      <c r="G35699" s="9"/>
      <c r="J35699" s="11"/>
      <c r="U35699" s="9"/>
      <c r="X35699" s="9"/>
    </row>
    <row r="35700">
      <c r="D35700" s="9"/>
      <c r="G35700" s="9"/>
      <c r="J35700" s="11"/>
      <c r="U35700" s="9"/>
      <c r="X35700" s="9"/>
    </row>
    <row r="35701">
      <c r="D35701" s="9"/>
      <c r="G35701" s="9"/>
      <c r="J35701" s="11"/>
      <c r="U35701" s="9"/>
      <c r="X35701" s="9"/>
    </row>
    <row r="35702">
      <c r="D35702" s="9"/>
      <c r="G35702" s="9"/>
      <c r="J35702" s="11"/>
      <c r="U35702" s="9"/>
      <c r="X35702" s="9"/>
    </row>
    <row r="35703">
      <c r="D35703" s="9"/>
      <c r="G35703" s="9"/>
      <c r="J35703" s="11"/>
      <c r="U35703" s="9"/>
      <c r="X35703" s="9"/>
    </row>
    <row r="35704">
      <c r="D35704" s="9"/>
      <c r="G35704" s="9"/>
      <c r="J35704" s="11"/>
      <c r="U35704" s="9"/>
      <c r="X35704" s="9"/>
    </row>
    <row r="35705">
      <c r="D35705" s="9"/>
      <c r="G35705" s="9"/>
      <c r="J35705" s="11"/>
      <c r="U35705" s="9"/>
      <c r="X35705" s="9"/>
    </row>
    <row r="35706">
      <c r="D35706" s="9"/>
      <c r="G35706" s="9"/>
      <c r="J35706" s="11"/>
      <c r="U35706" s="9"/>
      <c r="X35706" s="9"/>
    </row>
    <row r="35707">
      <c r="D35707" s="9"/>
      <c r="G35707" s="9"/>
      <c r="J35707" s="11"/>
      <c r="U35707" s="9"/>
      <c r="X35707" s="9"/>
    </row>
    <row r="35708">
      <c r="D35708" s="9"/>
      <c r="G35708" s="9"/>
      <c r="J35708" s="11"/>
      <c r="U35708" s="9"/>
      <c r="X35708" s="9"/>
    </row>
    <row r="35709">
      <c r="D35709" s="9"/>
      <c r="G35709" s="9"/>
      <c r="J35709" s="11"/>
      <c r="U35709" s="9"/>
      <c r="X35709" s="9"/>
    </row>
    <row r="35710">
      <c r="D35710" s="9"/>
      <c r="G35710" s="9"/>
      <c r="J35710" s="11"/>
      <c r="U35710" s="9"/>
      <c r="X35710" s="9"/>
    </row>
    <row r="35711">
      <c r="D35711" s="9"/>
      <c r="G35711" s="9"/>
      <c r="J35711" s="11"/>
      <c r="U35711" s="9"/>
      <c r="X35711" s="9"/>
    </row>
    <row r="35712">
      <c r="D35712" s="9"/>
      <c r="G35712" s="9"/>
      <c r="J35712" s="11"/>
      <c r="U35712" s="9"/>
      <c r="X35712" s="9"/>
    </row>
    <row r="35713">
      <c r="D35713" s="9"/>
      <c r="G35713" s="9"/>
      <c r="J35713" s="11"/>
      <c r="U35713" s="9"/>
      <c r="X35713" s="9"/>
    </row>
    <row r="35714">
      <c r="D35714" s="9"/>
      <c r="G35714" s="9"/>
      <c r="J35714" s="11"/>
      <c r="U35714" s="9"/>
      <c r="X35714" s="9"/>
    </row>
    <row r="35715">
      <c r="D35715" s="9"/>
      <c r="G35715" s="9"/>
      <c r="J35715" s="11"/>
      <c r="U35715" s="9"/>
      <c r="X35715" s="9"/>
    </row>
    <row r="35716">
      <c r="D35716" s="9"/>
      <c r="G35716" s="9"/>
      <c r="J35716" s="11"/>
      <c r="U35716" s="9"/>
      <c r="X35716" s="9"/>
    </row>
    <row r="35717">
      <c r="D35717" s="9"/>
      <c r="G35717" s="9"/>
      <c r="J35717" s="11"/>
      <c r="U35717" s="9"/>
      <c r="X35717" s="9"/>
    </row>
    <row r="35718">
      <c r="D35718" s="9"/>
      <c r="G35718" s="9"/>
      <c r="J35718" s="11"/>
      <c r="U35718" s="9"/>
      <c r="X35718" s="9"/>
    </row>
    <row r="35719">
      <c r="D35719" s="9"/>
      <c r="G35719" s="9"/>
      <c r="J35719" s="11"/>
      <c r="U35719" s="9"/>
      <c r="X35719" s="9"/>
    </row>
    <row r="35720">
      <c r="D35720" s="9"/>
      <c r="G35720" s="9"/>
      <c r="J35720" s="11"/>
      <c r="U35720" s="9"/>
      <c r="X35720" s="9"/>
    </row>
    <row r="35721">
      <c r="D35721" s="9"/>
      <c r="G35721" s="9"/>
      <c r="J35721" s="11"/>
      <c r="U35721" s="9"/>
      <c r="X35721" s="9"/>
    </row>
    <row r="35722">
      <c r="D35722" s="9"/>
      <c r="G35722" s="9"/>
      <c r="J35722" s="11"/>
      <c r="U35722" s="9"/>
      <c r="X35722" s="9"/>
    </row>
    <row r="35723">
      <c r="D35723" s="9"/>
      <c r="G35723" s="9"/>
      <c r="J35723" s="11"/>
      <c r="U35723" s="9"/>
      <c r="X35723" s="9"/>
    </row>
    <row r="35724">
      <c r="D35724" s="9"/>
      <c r="G35724" s="9"/>
      <c r="J35724" s="11"/>
      <c r="U35724" s="9"/>
      <c r="X35724" s="9"/>
    </row>
    <row r="35725">
      <c r="D35725" s="9"/>
      <c r="G35725" s="9"/>
      <c r="J35725" s="11"/>
      <c r="U35725" s="9"/>
      <c r="X35725" s="9"/>
    </row>
    <row r="35726">
      <c r="D35726" s="9"/>
      <c r="G35726" s="9"/>
      <c r="J35726" s="11"/>
      <c r="U35726" s="9"/>
      <c r="X35726" s="9"/>
    </row>
    <row r="35727">
      <c r="D35727" s="9"/>
      <c r="G35727" s="9"/>
      <c r="J35727" s="11"/>
      <c r="U35727" s="9"/>
      <c r="X35727" s="9"/>
    </row>
    <row r="35728">
      <c r="D35728" s="9"/>
      <c r="G35728" s="9"/>
      <c r="J35728" s="11"/>
      <c r="U35728" s="9"/>
      <c r="X35728" s="9"/>
    </row>
    <row r="35729">
      <c r="D35729" s="9"/>
      <c r="G35729" s="9"/>
      <c r="J35729" s="11"/>
      <c r="U35729" s="9"/>
      <c r="X35729" s="9"/>
    </row>
    <row r="35730">
      <c r="D35730" s="9"/>
      <c r="G35730" s="9"/>
      <c r="J35730" s="11"/>
      <c r="U35730" s="9"/>
      <c r="X35730" s="9"/>
    </row>
    <row r="35731">
      <c r="D35731" s="9"/>
      <c r="G35731" s="9"/>
      <c r="J35731" s="11"/>
      <c r="U35731" s="9"/>
      <c r="X35731" s="9"/>
    </row>
    <row r="35732">
      <c r="D35732" s="9"/>
      <c r="G35732" s="9"/>
      <c r="J35732" s="11"/>
      <c r="U35732" s="9"/>
      <c r="X35732" s="9"/>
    </row>
    <row r="35733">
      <c r="D35733" s="9"/>
      <c r="G35733" s="9"/>
      <c r="J35733" s="11"/>
      <c r="U35733" s="9"/>
      <c r="X35733" s="9"/>
    </row>
    <row r="35734">
      <c r="D35734" s="9"/>
      <c r="G35734" s="9"/>
      <c r="J35734" s="11"/>
      <c r="U35734" s="9"/>
      <c r="X35734" s="9"/>
    </row>
    <row r="35735">
      <c r="D35735" s="9"/>
      <c r="G35735" s="9"/>
      <c r="J35735" s="11"/>
      <c r="U35735" s="9"/>
      <c r="X35735" s="9"/>
    </row>
    <row r="35736">
      <c r="D35736" s="9"/>
      <c r="G35736" s="9"/>
      <c r="J35736" s="11"/>
      <c r="U35736" s="9"/>
      <c r="X35736" s="9"/>
    </row>
    <row r="35737">
      <c r="D35737" s="9"/>
      <c r="G35737" s="9"/>
      <c r="J35737" s="11"/>
      <c r="U35737" s="9"/>
      <c r="X35737" s="9"/>
    </row>
    <row r="35738">
      <c r="D35738" s="9"/>
      <c r="G35738" s="9"/>
      <c r="J35738" s="11"/>
      <c r="U35738" s="9"/>
      <c r="X35738" s="9"/>
    </row>
    <row r="35739">
      <c r="D35739" s="9"/>
      <c r="G35739" s="9"/>
      <c r="J35739" s="11"/>
      <c r="U35739" s="9"/>
      <c r="X35739" s="9"/>
    </row>
    <row r="35740">
      <c r="D35740" s="9"/>
      <c r="G35740" s="9"/>
      <c r="J35740" s="11"/>
      <c r="U35740" s="9"/>
      <c r="X35740" s="9"/>
    </row>
    <row r="35741">
      <c r="D35741" s="9"/>
      <c r="G35741" s="9"/>
      <c r="J35741" s="11"/>
      <c r="U35741" s="9"/>
      <c r="X35741" s="9"/>
    </row>
    <row r="35742">
      <c r="D35742" s="9"/>
      <c r="G35742" s="9"/>
      <c r="J35742" s="11"/>
      <c r="U35742" s="9"/>
      <c r="X35742" s="9"/>
    </row>
    <row r="35743">
      <c r="D35743" s="9"/>
      <c r="G35743" s="9"/>
      <c r="J35743" s="11"/>
      <c r="U35743" s="9"/>
      <c r="X35743" s="9"/>
    </row>
    <row r="35744">
      <c r="D35744" s="9"/>
      <c r="G35744" s="9"/>
      <c r="J35744" s="11"/>
      <c r="U35744" s="9"/>
      <c r="X35744" s="9"/>
    </row>
    <row r="35745">
      <c r="D35745" s="9"/>
      <c r="G35745" s="9"/>
      <c r="J35745" s="11"/>
      <c r="U35745" s="9"/>
      <c r="X35745" s="9"/>
    </row>
    <row r="35746">
      <c r="D35746" s="9"/>
      <c r="G35746" s="9"/>
      <c r="J35746" s="11"/>
      <c r="U35746" s="9"/>
      <c r="X35746" s="9"/>
    </row>
    <row r="35747">
      <c r="D35747" s="9"/>
      <c r="G35747" s="9"/>
      <c r="J35747" s="11"/>
      <c r="U35747" s="9"/>
      <c r="X35747" s="9"/>
    </row>
    <row r="35748">
      <c r="D35748" s="9"/>
      <c r="G35748" s="9"/>
      <c r="J35748" s="11"/>
      <c r="U35748" s="9"/>
      <c r="X35748" s="9"/>
    </row>
    <row r="35749">
      <c r="D35749" s="9"/>
      <c r="G35749" s="9"/>
      <c r="J35749" s="11"/>
      <c r="U35749" s="9"/>
      <c r="X35749" s="9"/>
    </row>
    <row r="35750">
      <c r="D35750" s="9"/>
      <c r="G35750" s="9"/>
      <c r="J35750" s="11"/>
      <c r="U35750" s="9"/>
      <c r="X35750" s="9"/>
    </row>
    <row r="35751">
      <c r="D35751" s="9"/>
      <c r="G35751" s="9"/>
      <c r="J35751" s="11"/>
      <c r="U35751" s="9"/>
      <c r="X35751" s="9"/>
    </row>
    <row r="35752">
      <c r="D35752" s="9"/>
      <c r="G35752" s="9"/>
      <c r="J35752" s="11"/>
      <c r="U35752" s="9"/>
      <c r="X35752" s="9"/>
    </row>
    <row r="35753">
      <c r="D35753" s="9"/>
      <c r="G35753" s="9"/>
      <c r="J35753" s="11"/>
      <c r="U35753" s="9"/>
      <c r="X35753" s="9"/>
    </row>
    <row r="35754">
      <c r="D35754" s="9"/>
      <c r="G35754" s="9"/>
      <c r="J35754" s="11"/>
      <c r="U35754" s="9"/>
      <c r="X35754" s="9"/>
    </row>
    <row r="35755">
      <c r="D35755" s="9"/>
      <c r="G35755" s="9"/>
      <c r="J35755" s="11"/>
      <c r="U35755" s="9"/>
      <c r="X35755" s="9"/>
    </row>
    <row r="35756">
      <c r="D35756" s="9"/>
      <c r="G35756" s="9"/>
      <c r="J35756" s="11"/>
      <c r="U35756" s="9"/>
      <c r="X35756" s="9"/>
    </row>
    <row r="35757">
      <c r="D35757" s="9"/>
      <c r="G35757" s="9"/>
      <c r="J35757" s="11"/>
      <c r="U35757" s="9"/>
      <c r="X35757" s="9"/>
    </row>
    <row r="35758">
      <c r="D35758" s="9"/>
      <c r="G35758" s="9"/>
      <c r="J35758" s="11"/>
      <c r="U35758" s="9"/>
      <c r="X35758" s="9"/>
    </row>
    <row r="35759">
      <c r="D35759" s="9"/>
      <c r="G35759" s="9"/>
      <c r="J35759" s="11"/>
      <c r="U35759" s="9"/>
      <c r="X35759" s="9"/>
    </row>
    <row r="35760">
      <c r="D35760" s="9"/>
      <c r="G35760" s="9"/>
      <c r="J35760" s="11"/>
      <c r="U35760" s="9"/>
      <c r="X35760" s="9"/>
    </row>
    <row r="35761">
      <c r="D35761" s="9"/>
      <c r="G35761" s="9"/>
      <c r="J35761" s="11"/>
      <c r="U35761" s="9"/>
      <c r="X35761" s="9"/>
    </row>
    <row r="35762">
      <c r="D35762" s="9"/>
      <c r="G35762" s="9"/>
      <c r="J35762" s="11"/>
      <c r="U35762" s="9"/>
      <c r="X35762" s="9"/>
    </row>
    <row r="35763">
      <c r="D35763" s="9"/>
      <c r="G35763" s="9"/>
      <c r="J35763" s="11"/>
      <c r="U35763" s="9"/>
      <c r="X35763" s="9"/>
    </row>
    <row r="35764">
      <c r="D35764" s="9"/>
      <c r="G35764" s="9"/>
      <c r="J35764" s="11"/>
      <c r="U35764" s="9"/>
      <c r="X35764" s="9"/>
    </row>
    <row r="35765">
      <c r="D35765" s="9"/>
      <c r="G35765" s="9"/>
      <c r="J35765" s="11"/>
      <c r="U35765" s="9"/>
      <c r="X35765" s="9"/>
    </row>
    <row r="35766">
      <c r="D35766" s="9"/>
      <c r="G35766" s="9"/>
      <c r="J35766" s="11"/>
      <c r="U35766" s="9"/>
      <c r="X35766" s="9"/>
    </row>
    <row r="35767">
      <c r="D35767" s="9"/>
      <c r="G35767" s="9"/>
      <c r="J35767" s="11"/>
      <c r="U35767" s="9"/>
      <c r="X35767" s="9"/>
    </row>
    <row r="35768">
      <c r="D35768" s="9"/>
      <c r="G35768" s="9"/>
      <c r="J35768" s="11"/>
      <c r="U35768" s="9"/>
      <c r="X35768" s="9"/>
    </row>
    <row r="35769">
      <c r="D35769" s="9"/>
      <c r="G35769" s="9"/>
      <c r="J35769" s="11"/>
      <c r="U35769" s="9"/>
      <c r="X35769" s="9"/>
    </row>
    <row r="35770">
      <c r="D35770" s="9"/>
      <c r="G35770" s="9"/>
      <c r="J35770" s="11"/>
      <c r="U35770" s="9"/>
      <c r="X35770" s="9"/>
    </row>
    <row r="35771">
      <c r="D35771" s="9"/>
      <c r="G35771" s="9"/>
      <c r="J35771" s="11"/>
      <c r="U35771" s="9"/>
      <c r="X35771" s="9"/>
    </row>
    <row r="35772">
      <c r="D35772" s="9"/>
      <c r="G35772" s="9"/>
      <c r="J35772" s="11"/>
      <c r="U35772" s="9"/>
      <c r="X35772" s="9"/>
    </row>
    <row r="35773">
      <c r="D35773" s="9"/>
      <c r="G35773" s="9"/>
      <c r="J35773" s="11"/>
      <c r="U35773" s="9"/>
      <c r="X35773" s="9"/>
    </row>
    <row r="35774">
      <c r="D35774" s="9"/>
      <c r="G35774" s="9"/>
      <c r="J35774" s="11"/>
      <c r="U35774" s="9"/>
      <c r="X35774" s="9"/>
    </row>
    <row r="35775">
      <c r="D35775" s="9"/>
      <c r="G35775" s="9"/>
      <c r="J35775" s="11"/>
      <c r="U35775" s="9"/>
      <c r="X35775" s="9"/>
    </row>
    <row r="35776">
      <c r="D35776" s="9"/>
      <c r="G35776" s="9"/>
      <c r="J35776" s="11"/>
      <c r="U35776" s="9"/>
      <c r="X35776" s="9"/>
    </row>
    <row r="35777">
      <c r="D35777" s="9"/>
      <c r="G35777" s="9"/>
      <c r="J35777" s="11"/>
      <c r="U35777" s="9"/>
      <c r="X35777" s="9"/>
    </row>
    <row r="35778">
      <c r="D35778" s="9"/>
      <c r="G35778" s="9"/>
      <c r="J35778" s="11"/>
      <c r="U35778" s="9"/>
      <c r="X35778" s="9"/>
    </row>
    <row r="35779">
      <c r="D35779" s="9"/>
      <c r="G35779" s="9"/>
      <c r="J35779" s="11"/>
      <c r="U35779" s="9"/>
      <c r="X35779" s="9"/>
    </row>
    <row r="35780">
      <c r="D35780" s="9"/>
      <c r="G35780" s="9"/>
      <c r="J35780" s="11"/>
      <c r="U35780" s="9"/>
      <c r="X35780" s="9"/>
    </row>
    <row r="35781">
      <c r="D35781" s="9"/>
      <c r="G35781" s="9"/>
      <c r="J35781" s="11"/>
      <c r="U35781" s="9"/>
      <c r="X35781" s="9"/>
    </row>
    <row r="35782">
      <c r="D35782" s="9"/>
      <c r="G35782" s="9"/>
      <c r="J35782" s="11"/>
      <c r="U35782" s="9"/>
      <c r="X35782" s="9"/>
    </row>
    <row r="35783">
      <c r="D35783" s="9"/>
      <c r="G35783" s="9"/>
      <c r="J35783" s="11"/>
      <c r="U35783" s="9"/>
      <c r="X35783" s="9"/>
    </row>
    <row r="35784">
      <c r="D35784" s="9"/>
      <c r="G35784" s="9"/>
      <c r="J35784" s="11"/>
      <c r="U35784" s="9"/>
      <c r="X35784" s="9"/>
    </row>
    <row r="35785">
      <c r="D35785" s="9"/>
      <c r="G35785" s="9"/>
      <c r="J35785" s="11"/>
      <c r="U35785" s="9"/>
      <c r="X35785" s="9"/>
    </row>
    <row r="35786">
      <c r="D35786" s="9"/>
      <c r="G35786" s="9"/>
      <c r="J35786" s="11"/>
      <c r="U35786" s="9"/>
      <c r="X35786" s="9"/>
    </row>
    <row r="35787">
      <c r="D35787" s="9"/>
      <c r="G35787" s="9"/>
      <c r="J35787" s="11"/>
      <c r="U35787" s="9"/>
      <c r="X35787" s="9"/>
    </row>
    <row r="35788">
      <c r="D35788" s="9"/>
      <c r="G35788" s="9"/>
      <c r="J35788" s="11"/>
      <c r="U35788" s="9"/>
      <c r="X35788" s="9"/>
    </row>
    <row r="35789">
      <c r="D35789" s="9"/>
      <c r="G35789" s="9"/>
      <c r="J35789" s="11"/>
      <c r="U35789" s="9"/>
      <c r="X35789" s="9"/>
    </row>
    <row r="35790">
      <c r="D35790" s="9"/>
      <c r="G35790" s="9"/>
      <c r="J35790" s="11"/>
      <c r="U35790" s="9"/>
      <c r="X35790" s="9"/>
    </row>
    <row r="35791">
      <c r="D35791" s="9"/>
      <c r="G35791" s="9"/>
      <c r="J35791" s="11"/>
      <c r="U35791" s="9"/>
      <c r="X35791" s="9"/>
    </row>
    <row r="35792">
      <c r="D35792" s="9"/>
      <c r="G35792" s="9"/>
      <c r="J35792" s="11"/>
      <c r="U35792" s="9"/>
      <c r="X35792" s="9"/>
    </row>
    <row r="35793">
      <c r="D35793" s="9"/>
      <c r="G35793" s="9"/>
      <c r="J35793" s="11"/>
      <c r="U35793" s="9"/>
      <c r="X35793" s="9"/>
    </row>
    <row r="35794">
      <c r="D35794" s="9"/>
      <c r="G35794" s="9"/>
      <c r="J35794" s="11"/>
      <c r="U35794" s="9"/>
      <c r="X35794" s="9"/>
    </row>
    <row r="35795">
      <c r="D35795" s="9"/>
      <c r="G35795" s="9"/>
      <c r="J35795" s="11"/>
      <c r="U35795" s="9"/>
      <c r="X35795" s="9"/>
    </row>
    <row r="35796">
      <c r="D35796" s="9"/>
      <c r="G35796" s="9"/>
      <c r="J35796" s="11"/>
      <c r="U35796" s="9"/>
      <c r="X35796" s="9"/>
    </row>
    <row r="35797">
      <c r="D35797" s="9"/>
      <c r="G35797" s="9"/>
      <c r="J35797" s="11"/>
      <c r="U35797" s="9"/>
      <c r="X35797" s="9"/>
    </row>
    <row r="35798">
      <c r="D35798" s="9"/>
      <c r="G35798" s="9"/>
      <c r="J35798" s="11"/>
      <c r="U35798" s="9"/>
      <c r="X35798" s="9"/>
    </row>
    <row r="35799">
      <c r="D35799" s="9"/>
      <c r="G35799" s="9"/>
      <c r="J35799" s="11"/>
      <c r="U35799" s="9"/>
      <c r="X35799" s="9"/>
    </row>
    <row r="35800">
      <c r="D35800" s="9"/>
      <c r="G35800" s="9"/>
      <c r="J35800" s="11"/>
      <c r="U35800" s="9"/>
      <c r="X35800" s="9"/>
    </row>
    <row r="35801">
      <c r="D35801" s="9"/>
      <c r="G35801" s="9"/>
      <c r="J35801" s="11"/>
      <c r="U35801" s="9"/>
      <c r="X35801" s="9"/>
    </row>
    <row r="35802">
      <c r="D35802" s="9"/>
      <c r="G35802" s="9"/>
      <c r="J35802" s="11"/>
      <c r="U35802" s="9"/>
      <c r="X35802" s="9"/>
    </row>
    <row r="35803">
      <c r="D35803" s="9"/>
      <c r="G35803" s="9"/>
      <c r="J35803" s="11"/>
      <c r="U35803" s="9"/>
      <c r="X35803" s="9"/>
    </row>
    <row r="35804">
      <c r="D35804" s="9"/>
      <c r="G35804" s="9"/>
      <c r="J35804" s="11"/>
      <c r="U35804" s="9"/>
      <c r="X35804" s="9"/>
    </row>
    <row r="35805">
      <c r="D35805" s="9"/>
      <c r="G35805" s="9"/>
      <c r="J35805" s="11"/>
      <c r="U35805" s="9"/>
      <c r="X35805" s="9"/>
    </row>
    <row r="35806">
      <c r="D35806" s="9"/>
      <c r="G35806" s="9"/>
      <c r="J35806" s="11"/>
      <c r="U35806" s="9"/>
      <c r="X35806" s="9"/>
    </row>
    <row r="35807">
      <c r="D35807" s="9"/>
      <c r="G35807" s="9"/>
      <c r="J35807" s="11"/>
      <c r="U35807" s="9"/>
      <c r="X35807" s="9"/>
    </row>
    <row r="35808">
      <c r="D35808" s="9"/>
      <c r="G35808" s="9"/>
      <c r="J35808" s="11"/>
      <c r="U35808" s="9"/>
      <c r="X35808" s="9"/>
    </row>
    <row r="35809">
      <c r="D35809" s="9"/>
      <c r="G35809" s="9"/>
      <c r="J35809" s="11"/>
      <c r="U35809" s="9"/>
      <c r="X35809" s="9"/>
    </row>
    <row r="35810">
      <c r="D35810" s="9"/>
      <c r="G35810" s="9"/>
      <c r="J35810" s="11"/>
      <c r="U35810" s="9"/>
      <c r="X35810" s="9"/>
    </row>
    <row r="35811">
      <c r="D35811" s="9"/>
      <c r="G35811" s="9"/>
      <c r="J35811" s="11"/>
      <c r="U35811" s="9"/>
      <c r="X35811" s="9"/>
    </row>
    <row r="35812">
      <c r="D35812" s="9"/>
      <c r="G35812" s="9"/>
      <c r="J35812" s="11"/>
      <c r="U35812" s="9"/>
      <c r="X35812" s="9"/>
    </row>
    <row r="35813">
      <c r="D35813" s="9"/>
      <c r="G35813" s="9"/>
      <c r="J35813" s="11"/>
      <c r="U35813" s="9"/>
      <c r="X35813" s="9"/>
    </row>
    <row r="35814">
      <c r="D35814" s="9"/>
      <c r="G35814" s="9"/>
      <c r="J35814" s="11"/>
      <c r="U35814" s="9"/>
      <c r="X35814" s="9"/>
    </row>
    <row r="35815">
      <c r="D35815" s="9"/>
      <c r="G35815" s="9"/>
      <c r="J35815" s="11"/>
      <c r="U35815" s="9"/>
      <c r="X35815" s="9"/>
    </row>
    <row r="35816">
      <c r="D35816" s="9"/>
      <c r="G35816" s="9"/>
      <c r="J35816" s="11"/>
      <c r="U35816" s="9"/>
      <c r="X35816" s="9"/>
    </row>
    <row r="35817">
      <c r="D35817" s="9"/>
      <c r="G35817" s="9"/>
      <c r="J35817" s="11"/>
      <c r="U35817" s="9"/>
      <c r="X35817" s="9"/>
    </row>
    <row r="35818">
      <c r="D35818" s="9"/>
      <c r="G35818" s="9"/>
      <c r="J35818" s="11"/>
      <c r="U35818" s="9"/>
      <c r="X35818" s="9"/>
    </row>
    <row r="35819">
      <c r="D35819" s="9"/>
      <c r="G35819" s="9"/>
      <c r="J35819" s="11"/>
      <c r="U35819" s="9"/>
      <c r="X35819" s="9"/>
    </row>
    <row r="35820">
      <c r="D35820" s="9"/>
      <c r="G35820" s="9"/>
      <c r="J35820" s="11"/>
      <c r="U35820" s="9"/>
      <c r="X35820" s="9"/>
    </row>
    <row r="35821">
      <c r="D35821" s="9"/>
      <c r="G35821" s="9"/>
      <c r="J35821" s="11"/>
      <c r="U35821" s="9"/>
      <c r="X35821" s="9"/>
    </row>
    <row r="35822">
      <c r="D35822" s="9"/>
      <c r="G35822" s="9"/>
      <c r="J35822" s="11"/>
      <c r="U35822" s="9"/>
      <c r="X35822" s="9"/>
    </row>
    <row r="35823">
      <c r="D35823" s="9"/>
      <c r="G35823" s="9"/>
      <c r="J35823" s="11"/>
      <c r="U35823" s="9"/>
      <c r="X35823" s="9"/>
    </row>
    <row r="35824">
      <c r="D35824" s="9"/>
      <c r="G35824" s="9"/>
      <c r="J35824" s="11"/>
      <c r="U35824" s="9"/>
      <c r="X35824" s="9"/>
    </row>
    <row r="35825">
      <c r="D35825" s="9"/>
      <c r="G35825" s="9"/>
      <c r="J35825" s="11"/>
      <c r="U35825" s="9"/>
      <c r="X35825" s="9"/>
    </row>
    <row r="35826">
      <c r="D35826" s="9"/>
      <c r="G35826" s="9"/>
      <c r="J35826" s="11"/>
      <c r="U35826" s="9"/>
      <c r="X35826" s="9"/>
    </row>
    <row r="35827">
      <c r="D35827" s="9"/>
      <c r="G35827" s="9"/>
      <c r="J35827" s="11"/>
      <c r="U35827" s="9"/>
      <c r="X35827" s="9"/>
    </row>
    <row r="35828">
      <c r="D35828" s="9"/>
      <c r="G35828" s="9"/>
      <c r="J35828" s="11"/>
      <c r="U35828" s="9"/>
      <c r="X35828" s="9"/>
    </row>
    <row r="35829">
      <c r="D35829" s="9"/>
      <c r="G35829" s="9"/>
      <c r="J35829" s="11"/>
      <c r="U35829" s="9"/>
      <c r="X35829" s="9"/>
    </row>
    <row r="35830">
      <c r="D35830" s="9"/>
      <c r="G35830" s="9"/>
      <c r="J35830" s="11"/>
      <c r="U35830" s="9"/>
      <c r="X35830" s="9"/>
    </row>
    <row r="35831">
      <c r="D35831" s="9"/>
      <c r="G35831" s="9"/>
      <c r="J35831" s="11"/>
      <c r="U35831" s="9"/>
      <c r="X35831" s="9"/>
    </row>
    <row r="35832">
      <c r="D35832" s="9"/>
      <c r="G35832" s="9"/>
      <c r="J35832" s="11"/>
      <c r="U35832" s="9"/>
      <c r="X35832" s="9"/>
    </row>
    <row r="35833">
      <c r="D35833" s="9"/>
      <c r="G35833" s="9"/>
      <c r="J35833" s="11"/>
      <c r="U35833" s="9"/>
      <c r="X35833" s="9"/>
    </row>
    <row r="35834">
      <c r="D35834" s="9"/>
      <c r="G35834" s="9"/>
      <c r="J35834" s="11"/>
      <c r="U35834" s="9"/>
      <c r="X35834" s="9"/>
    </row>
    <row r="35835">
      <c r="D35835" s="9"/>
      <c r="G35835" s="9"/>
      <c r="J35835" s="11"/>
      <c r="U35835" s="9"/>
      <c r="X35835" s="9"/>
    </row>
    <row r="35836">
      <c r="D35836" s="9"/>
      <c r="G35836" s="9"/>
      <c r="J35836" s="11"/>
      <c r="U35836" s="9"/>
      <c r="X35836" s="9"/>
    </row>
    <row r="35837">
      <c r="D35837" s="9"/>
      <c r="G35837" s="9"/>
      <c r="J35837" s="11"/>
      <c r="U35837" s="9"/>
      <c r="X35837" s="9"/>
    </row>
    <row r="35838">
      <c r="D35838" s="9"/>
      <c r="G35838" s="9"/>
      <c r="J35838" s="11"/>
      <c r="U35838" s="9"/>
      <c r="X35838" s="9"/>
    </row>
    <row r="35839">
      <c r="D35839" s="9"/>
      <c r="G35839" s="9"/>
      <c r="J35839" s="11"/>
      <c r="U35839" s="9"/>
      <c r="X35839" s="9"/>
    </row>
    <row r="35840">
      <c r="D35840" s="9"/>
      <c r="G35840" s="9"/>
      <c r="J35840" s="11"/>
      <c r="U35840" s="9"/>
      <c r="X35840" s="9"/>
    </row>
    <row r="35841">
      <c r="D35841" s="9"/>
      <c r="G35841" s="9"/>
      <c r="J35841" s="11"/>
      <c r="U35841" s="9"/>
      <c r="X35841" s="9"/>
    </row>
    <row r="35842">
      <c r="D35842" s="9"/>
      <c r="G35842" s="9"/>
      <c r="J35842" s="11"/>
      <c r="U35842" s="9"/>
      <c r="X35842" s="9"/>
    </row>
    <row r="35843">
      <c r="D35843" s="9"/>
      <c r="G35843" s="9"/>
      <c r="J35843" s="11"/>
      <c r="U35843" s="9"/>
      <c r="X35843" s="9"/>
    </row>
    <row r="35844">
      <c r="D35844" s="9"/>
      <c r="G35844" s="9"/>
      <c r="J35844" s="11"/>
      <c r="U35844" s="9"/>
      <c r="X35844" s="9"/>
    </row>
    <row r="35845">
      <c r="D35845" s="9"/>
      <c r="G35845" s="9"/>
      <c r="J35845" s="11"/>
      <c r="U35845" s="9"/>
      <c r="X35845" s="9"/>
    </row>
    <row r="35846">
      <c r="D35846" s="9"/>
      <c r="G35846" s="9"/>
      <c r="J35846" s="11"/>
      <c r="U35846" s="9"/>
      <c r="X35846" s="9"/>
    </row>
    <row r="35847">
      <c r="D35847" s="9"/>
      <c r="G35847" s="9"/>
      <c r="J35847" s="11"/>
      <c r="U35847" s="9"/>
      <c r="X35847" s="9"/>
    </row>
    <row r="35848">
      <c r="D35848" s="9"/>
      <c r="G35848" s="9"/>
      <c r="J35848" s="11"/>
      <c r="U35848" s="9"/>
      <c r="X35848" s="9"/>
    </row>
    <row r="35849">
      <c r="D35849" s="9"/>
      <c r="G35849" s="9"/>
      <c r="J35849" s="11"/>
      <c r="U35849" s="9"/>
      <c r="X35849" s="9"/>
    </row>
    <row r="35850">
      <c r="D35850" s="9"/>
      <c r="G35850" s="9"/>
      <c r="J35850" s="11"/>
      <c r="U35850" s="9"/>
      <c r="X35850" s="9"/>
    </row>
    <row r="35851">
      <c r="D35851" s="9"/>
      <c r="G35851" s="9"/>
      <c r="J35851" s="11"/>
      <c r="U35851" s="9"/>
      <c r="X35851" s="9"/>
    </row>
    <row r="35852">
      <c r="D35852" s="9"/>
      <c r="G35852" s="9"/>
      <c r="J35852" s="11"/>
      <c r="U35852" s="9"/>
      <c r="X35852" s="9"/>
    </row>
    <row r="35853">
      <c r="D35853" s="9"/>
      <c r="G35853" s="9"/>
      <c r="J35853" s="11"/>
      <c r="U35853" s="9"/>
      <c r="X35853" s="9"/>
    </row>
    <row r="35854">
      <c r="D35854" s="9"/>
      <c r="G35854" s="9"/>
      <c r="J35854" s="11"/>
      <c r="U35854" s="9"/>
      <c r="X35854" s="9"/>
    </row>
    <row r="35855">
      <c r="D35855" s="9"/>
      <c r="G35855" s="9"/>
      <c r="J35855" s="11"/>
      <c r="U35855" s="9"/>
      <c r="X35855" s="9"/>
    </row>
    <row r="35856">
      <c r="D35856" s="9"/>
      <c r="G35856" s="9"/>
      <c r="J35856" s="11"/>
      <c r="U35856" s="9"/>
      <c r="X35856" s="9"/>
    </row>
    <row r="35857">
      <c r="D35857" s="9"/>
      <c r="G35857" s="9"/>
      <c r="J35857" s="11"/>
      <c r="U35857" s="9"/>
      <c r="X35857" s="9"/>
    </row>
    <row r="35858">
      <c r="D35858" s="9"/>
      <c r="G35858" s="9"/>
      <c r="J35858" s="11"/>
      <c r="U35858" s="9"/>
      <c r="X35858" s="9"/>
    </row>
    <row r="35859">
      <c r="D35859" s="9"/>
      <c r="G35859" s="9"/>
      <c r="J35859" s="11"/>
      <c r="U35859" s="9"/>
      <c r="X35859" s="9"/>
    </row>
    <row r="35860">
      <c r="D35860" s="9"/>
      <c r="G35860" s="9"/>
      <c r="J35860" s="11"/>
      <c r="U35860" s="9"/>
      <c r="X35860" s="9"/>
    </row>
    <row r="35861">
      <c r="D35861" s="9"/>
      <c r="G35861" s="9"/>
      <c r="J35861" s="11"/>
      <c r="U35861" s="9"/>
      <c r="X35861" s="9"/>
    </row>
    <row r="35862">
      <c r="D35862" s="9"/>
      <c r="G35862" s="9"/>
      <c r="J35862" s="11"/>
      <c r="U35862" s="9"/>
      <c r="X35862" s="9"/>
    </row>
    <row r="35863">
      <c r="D35863" s="9"/>
      <c r="G35863" s="9"/>
      <c r="J35863" s="11"/>
      <c r="U35863" s="9"/>
      <c r="X35863" s="9"/>
    </row>
    <row r="35864">
      <c r="D35864" s="9"/>
      <c r="G35864" s="9"/>
      <c r="J35864" s="11"/>
      <c r="U35864" s="9"/>
      <c r="X35864" s="9"/>
    </row>
    <row r="35865">
      <c r="D35865" s="9"/>
      <c r="G35865" s="9"/>
      <c r="J35865" s="11"/>
      <c r="U35865" s="9"/>
      <c r="X35865" s="9"/>
    </row>
    <row r="35866">
      <c r="D35866" s="9"/>
      <c r="G35866" s="9"/>
      <c r="J35866" s="11"/>
      <c r="U35866" s="9"/>
      <c r="X35866" s="9"/>
    </row>
    <row r="35867">
      <c r="D35867" s="9"/>
      <c r="G35867" s="9"/>
      <c r="J35867" s="11"/>
      <c r="U35867" s="9"/>
      <c r="X35867" s="9"/>
    </row>
    <row r="35868">
      <c r="D35868" s="9"/>
      <c r="G35868" s="9"/>
      <c r="J35868" s="11"/>
      <c r="U35868" s="9"/>
      <c r="X35868" s="9"/>
    </row>
    <row r="35869">
      <c r="D35869" s="9"/>
      <c r="G35869" s="9"/>
      <c r="J35869" s="11"/>
      <c r="U35869" s="9"/>
      <c r="X35869" s="9"/>
    </row>
    <row r="35870">
      <c r="D35870" s="9"/>
      <c r="G35870" s="9"/>
      <c r="J35870" s="11"/>
      <c r="U35870" s="9"/>
      <c r="X35870" s="9"/>
    </row>
    <row r="35871">
      <c r="D35871" s="9"/>
      <c r="G35871" s="9"/>
      <c r="J35871" s="11"/>
      <c r="U35871" s="9"/>
      <c r="X35871" s="9"/>
    </row>
    <row r="35872">
      <c r="D35872" s="9"/>
      <c r="G35872" s="9"/>
      <c r="J35872" s="11"/>
      <c r="U35872" s="9"/>
      <c r="X35872" s="9"/>
    </row>
    <row r="35873">
      <c r="D35873" s="9"/>
      <c r="G35873" s="9"/>
      <c r="J35873" s="11"/>
      <c r="U35873" s="9"/>
      <c r="X35873" s="9"/>
    </row>
    <row r="35874">
      <c r="D35874" s="9"/>
      <c r="G35874" s="9"/>
      <c r="J35874" s="11"/>
      <c r="U35874" s="9"/>
      <c r="X35874" s="9"/>
    </row>
    <row r="35875">
      <c r="D35875" s="9"/>
      <c r="G35875" s="9"/>
      <c r="J35875" s="11"/>
      <c r="U35875" s="9"/>
      <c r="X35875" s="9"/>
    </row>
    <row r="35876">
      <c r="D35876" s="9"/>
      <c r="G35876" s="9"/>
      <c r="J35876" s="11"/>
      <c r="U35876" s="9"/>
      <c r="X35876" s="9"/>
    </row>
    <row r="35877">
      <c r="D35877" s="9"/>
      <c r="G35877" s="9"/>
      <c r="J35877" s="11"/>
      <c r="U35877" s="9"/>
      <c r="X35877" s="9"/>
    </row>
    <row r="35878">
      <c r="D35878" s="9"/>
      <c r="G35878" s="9"/>
      <c r="J35878" s="11"/>
      <c r="U35878" s="9"/>
      <c r="X35878" s="9"/>
    </row>
    <row r="35879">
      <c r="D35879" s="9"/>
      <c r="G35879" s="9"/>
      <c r="J35879" s="11"/>
      <c r="U35879" s="9"/>
      <c r="X35879" s="9"/>
    </row>
    <row r="35880">
      <c r="D35880" s="9"/>
      <c r="G35880" s="9"/>
      <c r="J35880" s="11"/>
      <c r="U35880" s="9"/>
      <c r="X35880" s="9"/>
    </row>
    <row r="35881">
      <c r="D35881" s="9"/>
      <c r="G35881" s="9"/>
      <c r="J35881" s="11"/>
      <c r="U35881" s="9"/>
      <c r="X35881" s="9"/>
    </row>
    <row r="35882">
      <c r="D35882" s="9"/>
      <c r="G35882" s="9"/>
      <c r="J35882" s="11"/>
      <c r="U35882" s="9"/>
      <c r="X35882" s="9"/>
    </row>
    <row r="35883">
      <c r="D35883" s="9"/>
      <c r="G35883" s="9"/>
      <c r="J35883" s="11"/>
      <c r="U35883" s="9"/>
      <c r="X35883" s="9"/>
    </row>
    <row r="35884">
      <c r="D35884" s="9"/>
      <c r="G35884" s="9"/>
      <c r="J35884" s="11"/>
      <c r="U35884" s="9"/>
      <c r="X35884" s="9"/>
    </row>
    <row r="35885">
      <c r="D35885" s="9"/>
      <c r="G35885" s="9"/>
      <c r="J35885" s="11"/>
      <c r="U35885" s="9"/>
      <c r="X35885" s="9"/>
    </row>
    <row r="35886">
      <c r="D35886" s="9"/>
      <c r="G35886" s="9"/>
      <c r="J35886" s="11"/>
      <c r="U35886" s="9"/>
      <c r="X35886" s="9"/>
    </row>
    <row r="35887">
      <c r="D35887" s="9"/>
      <c r="G35887" s="9"/>
      <c r="J35887" s="11"/>
      <c r="U35887" s="9"/>
      <c r="X35887" s="9"/>
    </row>
    <row r="35888">
      <c r="D35888" s="9"/>
      <c r="G35888" s="9"/>
      <c r="J35888" s="11"/>
      <c r="U35888" s="9"/>
      <c r="X35888" s="9"/>
    </row>
    <row r="35889">
      <c r="D35889" s="9"/>
      <c r="G35889" s="9"/>
      <c r="J35889" s="11"/>
      <c r="U35889" s="9"/>
      <c r="X35889" s="9"/>
    </row>
    <row r="35890">
      <c r="D35890" s="9"/>
      <c r="G35890" s="9"/>
      <c r="J35890" s="11"/>
      <c r="U35890" s="9"/>
      <c r="X35890" s="9"/>
    </row>
    <row r="35891">
      <c r="D35891" s="9"/>
      <c r="G35891" s="9"/>
      <c r="J35891" s="11"/>
      <c r="U35891" s="9"/>
      <c r="X35891" s="9"/>
    </row>
    <row r="35892">
      <c r="D35892" s="9"/>
      <c r="G35892" s="9"/>
      <c r="J35892" s="11"/>
      <c r="U35892" s="9"/>
      <c r="X35892" s="9"/>
    </row>
    <row r="35893">
      <c r="D35893" s="9"/>
      <c r="G35893" s="9"/>
      <c r="J35893" s="11"/>
      <c r="U35893" s="9"/>
      <c r="X35893" s="9"/>
    </row>
    <row r="35894">
      <c r="D35894" s="9"/>
      <c r="G35894" s="9"/>
      <c r="J35894" s="11"/>
      <c r="U35894" s="9"/>
      <c r="X35894" s="9"/>
    </row>
    <row r="35895">
      <c r="D35895" s="9"/>
      <c r="G35895" s="9"/>
      <c r="J35895" s="11"/>
      <c r="U35895" s="9"/>
      <c r="X35895" s="9"/>
    </row>
    <row r="35896">
      <c r="D35896" s="9"/>
      <c r="G35896" s="9"/>
      <c r="J35896" s="11"/>
      <c r="U35896" s="9"/>
      <c r="X35896" s="9"/>
    </row>
    <row r="35897">
      <c r="D35897" s="9"/>
      <c r="G35897" s="9"/>
      <c r="J35897" s="11"/>
      <c r="U35897" s="9"/>
      <c r="X35897" s="9"/>
    </row>
    <row r="35898">
      <c r="D35898" s="9"/>
      <c r="G35898" s="9"/>
      <c r="J35898" s="11"/>
      <c r="U35898" s="9"/>
      <c r="X35898" s="9"/>
    </row>
    <row r="35899">
      <c r="D35899" s="9"/>
      <c r="G35899" s="9"/>
      <c r="J35899" s="11"/>
      <c r="U35899" s="9"/>
      <c r="X35899" s="9"/>
    </row>
    <row r="35900">
      <c r="D35900" s="9"/>
      <c r="G35900" s="9"/>
      <c r="J35900" s="11"/>
      <c r="U35900" s="9"/>
      <c r="X35900" s="9"/>
    </row>
    <row r="35901">
      <c r="D35901" s="9"/>
      <c r="G35901" s="9"/>
      <c r="J35901" s="11"/>
      <c r="U35901" s="9"/>
      <c r="X35901" s="9"/>
    </row>
    <row r="35902">
      <c r="D35902" s="9"/>
      <c r="G35902" s="9"/>
      <c r="J35902" s="11"/>
      <c r="U35902" s="9"/>
      <c r="X35902" s="9"/>
    </row>
    <row r="35903">
      <c r="D35903" s="9"/>
      <c r="G35903" s="9"/>
      <c r="J35903" s="11"/>
      <c r="U35903" s="9"/>
      <c r="X35903" s="9"/>
    </row>
    <row r="35904">
      <c r="D35904" s="9"/>
      <c r="G35904" s="9"/>
      <c r="J35904" s="11"/>
      <c r="U35904" s="9"/>
      <c r="X35904" s="9"/>
    </row>
    <row r="35905">
      <c r="D35905" s="9"/>
      <c r="G35905" s="9"/>
      <c r="J35905" s="11"/>
      <c r="U35905" s="9"/>
      <c r="X35905" s="9"/>
    </row>
    <row r="35906">
      <c r="D35906" s="9"/>
      <c r="G35906" s="9"/>
      <c r="J35906" s="11"/>
      <c r="U35906" s="9"/>
      <c r="X35906" s="9"/>
    </row>
    <row r="35907">
      <c r="D35907" s="9"/>
      <c r="G35907" s="9"/>
      <c r="J35907" s="11"/>
      <c r="U35907" s="9"/>
      <c r="X35907" s="9"/>
    </row>
    <row r="35908">
      <c r="D35908" s="9"/>
      <c r="G35908" s="9"/>
      <c r="J35908" s="11"/>
      <c r="U35908" s="9"/>
      <c r="X35908" s="9"/>
    </row>
    <row r="35909">
      <c r="D35909" s="9"/>
      <c r="G35909" s="9"/>
      <c r="J35909" s="11"/>
      <c r="U35909" s="9"/>
      <c r="X35909" s="9"/>
    </row>
    <row r="35910">
      <c r="D35910" s="9"/>
      <c r="G35910" s="9"/>
      <c r="J35910" s="11"/>
      <c r="U35910" s="9"/>
      <c r="X35910" s="9"/>
    </row>
    <row r="35911">
      <c r="D35911" s="9"/>
      <c r="G35911" s="9"/>
      <c r="J35911" s="11"/>
      <c r="U35911" s="9"/>
      <c r="X35911" s="9"/>
    </row>
    <row r="35912">
      <c r="D35912" s="9"/>
      <c r="G35912" s="9"/>
      <c r="J35912" s="11"/>
      <c r="U35912" s="9"/>
      <c r="X35912" s="9"/>
    </row>
    <row r="35913">
      <c r="D35913" s="9"/>
      <c r="G35913" s="9"/>
      <c r="J35913" s="11"/>
      <c r="U35913" s="9"/>
      <c r="X35913" s="9"/>
    </row>
    <row r="35914">
      <c r="D35914" s="9"/>
      <c r="G35914" s="9"/>
      <c r="J35914" s="11"/>
      <c r="U35914" s="9"/>
      <c r="X35914" s="9"/>
    </row>
    <row r="35915">
      <c r="D35915" s="9"/>
      <c r="G35915" s="9"/>
      <c r="J35915" s="11"/>
      <c r="U35915" s="9"/>
      <c r="X35915" s="9"/>
    </row>
    <row r="35916">
      <c r="D35916" s="9"/>
      <c r="G35916" s="9"/>
      <c r="J35916" s="11"/>
      <c r="U35916" s="9"/>
      <c r="X35916" s="9"/>
    </row>
    <row r="35917">
      <c r="D35917" s="9"/>
      <c r="G35917" s="9"/>
      <c r="J35917" s="11"/>
      <c r="U35917" s="9"/>
      <c r="X35917" s="9"/>
    </row>
    <row r="35918">
      <c r="D35918" s="9"/>
      <c r="G35918" s="9"/>
      <c r="J35918" s="11"/>
      <c r="U35918" s="9"/>
      <c r="X35918" s="9"/>
    </row>
    <row r="35919">
      <c r="D35919" s="9"/>
      <c r="G35919" s="9"/>
      <c r="J35919" s="11"/>
      <c r="U35919" s="9"/>
      <c r="X35919" s="9"/>
    </row>
    <row r="35920">
      <c r="D35920" s="9"/>
      <c r="G35920" s="9"/>
      <c r="J35920" s="11"/>
      <c r="U35920" s="9"/>
      <c r="X35920" s="9"/>
    </row>
    <row r="35921">
      <c r="D35921" s="9"/>
      <c r="G35921" s="9"/>
      <c r="J35921" s="11"/>
      <c r="U35921" s="9"/>
      <c r="X35921" s="9"/>
    </row>
    <row r="35922">
      <c r="D35922" s="9"/>
      <c r="G35922" s="9"/>
      <c r="J35922" s="11"/>
      <c r="U35922" s="9"/>
      <c r="X35922" s="9"/>
    </row>
    <row r="35923">
      <c r="D35923" s="9"/>
      <c r="G35923" s="9"/>
      <c r="J35923" s="11"/>
      <c r="U35923" s="9"/>
      <c r="X35923" s="9"/>
    </row>
    <row r="35924">
      <c r="D35924" s="9"/>
      <c r="G35924" s="9"/>
      <c r="J35924" s="11"/>
      <c r="U35924" s="9"/>
      <c r="X35924" s="9"/>
    </row>
    <row r="35925">
      <c r="D35925" s="9"/>
      <c r="G35925" s="9"/>
      <c r="J35925" s="11"/>
      <c r="U35925" s="9"/>
      <c r="X35925" s="9"/>
    </row>
    <row r="35926">
      <c r="D35926" s="9"/>
      <c r="G35926" s="9"/>
      <c r="J35926" s="11"/>
      <c r="U35926" s="9"/>
      <c r="X35926" s="9"/>
    </row>
    <row r="35927">
      <c r="D35927" s="9"/>
      <c r="G35927" s="9"/>
      <c r="J35927" s="11"/>
      <c r="U35927" s="9"/>
      <c r="X35927" s="9"/>
    </row>
    <row r="35928">
      <c r="D35928" s="9"/>
      <c r="G35928" s="9"/>
      <c r="J35928" s="11"/>
      <c r="U35928" s="9"/>
      <c r="X35928" s="9"/>
    </row>
    <row r="35929">
      <c r="D35929" s="9"/>
      <c r="G35929" s="9"/>
      <c r="J35929" s="11"/>
      <c r="U35929" s="9"/>
      <c r="X35929" s="9"/>
    </row>
    <row r="35930">
      <c r="D35930" s="9"/>
      <c r="G35930" s="9"/>
      <c r="J35930" s="11"/>
      <c r="U35930" s="9"/>
      <c r="X35930" s="9"/>
    </row>
    <row r="35931">
      <c r="D35931" s="9"/>
      <c r="G35931" s="9"/>
      <c r="J35931" s="11"/>
      <c r="U35931" s="9"/>
      <c r="X35931" s="9"/>
    </row>
    <row r="35932">
      <c r="D35932" s="9"/>
      <c r="G35932" s="9"/>
      <c r="J35932" s="11"/>
      <c r="U35932" s="9"/>
      <c r="X35932" s="9"/>
    </row>
    <row r="35933">
      <c r="D35933" s="9"/>
      <c r="G35933" s="9"/>
      <c r="J35933" s="11"/>
      <c r="U35933" s="9"/>
      <c r="X35933" s="9"/>
    </row>
    <row r="35934">
      <c r="D35934" s="9"/>
      <c r="G35934" s="9"/>
      <c r="J35934" s="11"/>
      <c r="U35934" s="9"/>
      <c r="X35934" s="9"/>
    </row>
    <row r="35935">
      <c r="D35935" s="9"/>
      <c r="G35935" s="9"/>
      <c r="J35935" s="11"/>
      <c r="U35935" s="9"/>
      <c r="X35935" s="9"/>
    </row>
    <row r="35936">
      <c r="D35936" s="9"/>
      <c r="G35936" s="9"/>
      <c r="J35936" s="11"/>
      <c r="U35936" s="9"/>
      <c r="X35936" s="9"/>
    </row>
    <row r="35937">
      <c r="D35937" s="9"/>
      <c r="G35937" s="9"/>
      <c r="J35937" s="11"/>
      <c r="U35937" s="9"/>
      <c r="X35937" s="9"/>
    </row>
    <row r="35938">
      <c r="D35938" s="9"/>
      <c r="G35938" s="9"/>
      <c r="J35938" s="11"/>
      <c r="U35938" s="9"/>
      <c r="X35938" s="9"/>
    </row>
    <row r="35939">
      <c r="D35939" s="9"/>
      <c r="G35939" s="9"/>
      <c r="J35939" s="11"/>
      <c r="U35939" s="9"/>
      <c r="X35939" s="9"/>
    </row>
    <row r="35940">
      <c r="D35940" s="9"/>
      <c r="G35940" s="9"/>
      <c r="J35940" s="11"/>
      <c r="U35940" s="9"/>
      <c r="X35940" s="9"/>
    </row>
    <row r="35941">
      <c r="D35941" s="9"/>
      <c r="G35941" s="9"/>
      <c r="J35941" s="11"/>
      <c r="U35941" s="9"/>
      <c r="X35941" s="9"/>
    </row>
    <row r="35942">
      <c r="D35942" s="9"/>
      <c r="G35942" s="9"/>
      <c r="J35942" s="11"/>
      <c r="U35942" s="9"/>
      <c r="X35942" s="9"/>
    </row>
    <row r="35943">
      <c r="D35943" s="9"/>
      <c r="G35943" s="9"/>
      <c r="J35943" s="11"/>
      <c r="U35943" s="9"/>
      <c r="X35943" s="9"/>
    </row>
    <row r="35944">
      <c r="D35944" s="9"/>
      <c r="G35944" s="9"/>
      <c r="J35944" s="11"/>
      <c r="U35944" s="9"/>
      <c r="X35944" s="9"/>
    </row>
    <row r="35945">
      <c r="D35945" s="9"/>
      <c r="G35945" s="9"/>
      <c r="J35945" s="11"/>
      <c r="U35945" s="9"/>
      <c r="X35945" s="9"/>
    </row>
    <row r="35946">
      <c r="D35946" s="9"/>
      <c r="G35946" s="9"/>
      <c r="J35946" s="11"/>
      <c r="U35946" s="9"/>
      <c r="X35946" s="9"/>
    </row>
    <row r="35947">
      <c r="D35947" s="9"/>
      <c r="G35947" s="9"/>
      <c r="J35947" s="11"/>
      <c r="U35947" s="9"/>
      <c r="X35947" s="9"/>
    </row>
    <row r="35948">
      <c r="D35948" s="9"/>
      <c r="G35948" s="9"/>
      <c r="J35948" s="11"/>
      <c r="U35948" s="9"/>
      <c r="X35948" s="9"/>
    </row>
    <row r="35949">
      <c r="D35949" s="9"/>
      <c r="G35949" s="9"/>
      <c r="J35949" s="11"/>
      <c r="U35949" s="9"/>
      <c r="X35949" s="9"/>
    </row>
    <row r="35950">
      <c r="D35950" s="9"/>
      <c r="G35950" s="9"/>
      <c r="J35950" s="11"/>
      <c r="U35950" s="9"/>
      <c r="X35950" s="9"/>
    </row>
    <row r="35951">
      <c r="D35951" s="9"/>
      <c r="G35951" s="9"/>
      <c r="J35951" s="11"/>
      <c r="U35951" s="9"/>
      <c r="X35951" s="9"/>
    </row>
    <row r="35952">
      <c r="D35952" s="9"/>
      <c r="G35952" s="9"/>
      <c r="J35952" s="11"/>
      <c r="U35952" s="9"/>
      <c r="X35952" s="9"/>
    </row>
    <row r="35953">
      <c r="D35953" s="9"/>
      <c r="G35953" s="9"/>
      <c r="J35953" s="11"/>
      <c r="U35953" s="9"/>
      <c r="X35953" s="9"/>
    </row>
    <row r="35954">
      <c r="D35954" s="9"/>
      <c r="G35954" s="9"/>
      <c r="J35954" s="11"/>
      <c r="U35954" s="9"/>
      <c r="X35954" s="9"/>
    </row>
    <row r="35955">
      <c r="D35955" s="9"/>
      <c r="G35955" s="9"/>
      <c r="J35955" s="11"/>
      <c r="U35955" s="9"/>
      <c r="X35955" s="9"/>
    </row>
    <row r="35956">
      <c r="D35956" s="9"/>
      <c r="G35956" s="9"/>
      <c r="J35956" s="11"/>
      <c r="U35956" s="9"/>
      <c r="X35956" s="9"/>
    </row>
    <row r="35957">
      <c r="D35957" s="9"/>
      <c r="G35957" s="9"/>
      <c r="J35957" s="11"/>
      <c r="U35957" s="9"/>
      <c r="X35957" s="9"/>
    </row>
    <row r="35958">
      <c r="D35958" s="9"/>
      <c r="G35958" s="9"/>
      <c r="J35958" s="11"/>
      <c r="U35958" s="9"/>
      <c r="X35958" s="9"/>
    </row>
    <row r="35959">
      <c r="D35959" s="9"/>
      <c r="G35959" s="9"/>
      <c r="J35959" s="11"/>
      <c r="U35959" s="9"/>
      <c r="X35959" s="9"/>
    </row>
    <row r="35960">
      <c r="D35960" s="9"/>
      <c r="G35960" s="9"/>
      <c r="J35960" s="11"/>
      <c r="U35960" s="9"/>
      <c r="X35960" s="9"/>
    </row>
    <row r="35961">
      <c r="D35961" s="9"/>
      <c r="G35961" s="9"/>
      <c r="J35961" s="11"/>
      <c r="U35961" s="9"/>
      <c r="X35961" s="9"/>
    </row>
    <row r="35962">
      <c r="D35962" s="9"/>
      <c r="G35962" s="9"/>
      <c r="J35962" s="11"/>
      <c r="U35962" s="9"/>
      <c r="X35962" s="9"/>
    </row>
    <row r="35963">
      <c r="D35963" s="9"/>
      <c r="G35963" s="9"/>
      <c r="J35963" s="11"/>
      <c r="U35963" s="9"/>
      <c r="X35963" s="9"/>
    </row>
    <row r="35964">
      <c r="D35964" s="9"/>
      <c r="G35964" s="9"/>
      <c r="J35964" s="11"/>
      <c r="U35964" s="9"/>
      <c r="X35964" s="9"/>
    </row>
    <row r="35965">
      <c r="D35965" s="9"/>
      <c r="G35965" s="9"/>
      <c r="J35965" s="11"/>
      <c r="U35965" s="9"/>
      <c r="X35965" s="9"/>
    </row>
    <row r="35966">
      <c r="D35966" s="9"/>
      <c r="G35966" s="9"/>
      <c r="J35966" s="11"/>
      <c r="U35966" s="9"/>
      <c r="X35966" s="9"/>
    </row>
    <row r="35967">
      <c r="D35967" s="9"/>
      <c r="G35967" s="9"/>
      <c r="J35967" s="11"/>
      <c r="U35967" s="9"/>
      <c r="X35967" s="9"/>
    </row>
    <row r="35968">
      <c r="D35968" s="9"/>
      <c r="G35968" s="9"/>
      <c r="J35968" s="11"/>
      <c r="U35968" s="9"/>
      <c r="X35968" s="9"/>
    </row>
    <row r="35969">
      <c r="D35969" s="9"/>
      <c r="G35969" s="9"/>
      <c r="J35969" s="11"/>
      <c r="U35969" s="9"/>
      <c r="X35969" s="9"/>
    </row>
    <row r="35970">
      <c r="D35970" s="9"/>
      <c r="G35970" s="9"/>
      <c r="J35970" s="11"/>
      <c r="U35970" s="9"/>
      <c r="X35970" s="9"/>
    </row>
    <row r="35971">
      <c r="D35971" s="9"/>
      <c r="G35971" s="9"/>
      <c r="J35971" s="11"/>
      <c r="U35971" s="9"/>
      <c r="X35971" s="9"/>
    </row>
    <row r="35972">
      <c r="D35972" s="9"/>
      <c r="G35972" s="9"/>
      <c r="J35972" s="11"/>
      <c r="U35972" s="9"/>
      <c r="X35972" s="9"/>
    </row>
    <row r="35973">
      <c r="D35973" s="9"/>
      <c r="G35973" s="9"/>
      <c r="J35973" s="11"/>
      <c r="U35973" s="9"/>
      <c r="X35973" s="9"/>
    </row>
    <row r="35974">
      <c r="D35974" s="9"/>
      <c r="G35974" s="9"/>
      <c r="J35974" s="11"/>
      <c r="U35974" s="9"/>
      <c r="X35974" s="9"/>
    </row>
    <row r="35975">
      <c r="D35975" s="9"/>
      <c r="G35975" s="9"/>
      <c r="J35975" s="11"/>
      <c r="U35975" s="9"/>
      <c r="X35975" s="9"/>
    </row>
    <row r="35976">
      <c r="D35976" s="9"/>
      <c r="G35976" s="9"/>
      <c r="J35976" s="11"/>
      <c r="U35976" s="9"/>
      <c r="X35976" s="9"/>
    </row>
    <row r="35977">
      <c r="D35977" s="9"/>
      <c r="G35977" s="9"/>
      <c r="J35977" s="11"/>
      <c r="U35977" s="9"/>
      <c r="X35977" s="9"/>
    </row>
    <row r="35978">
      <c r="D35978" s="9"/>
      <c r="G35978" s="9"/>
      <c r="J35978" s="11"/>
      <c r="U35978" s="9"/>
      <c r="X35978" s="9"/>
    </row>
    <row r="35979">
      <c r="D35979" s="9"/>
      <c r="G35979" s="9"/>
      <c r="J35979" s="11"/>
      <c r="U35979" s="9"/>
      <c r="X35979" s="9"/>
    </row>
    <row r="35980">
      <c r="D35980" s="9"/>
      <c r="G35980" s="9"/>
      <c r="J35980" s="11"/>
      <c r="U35980" s="9"/>
      <c r="X35980" s="9"/>
    </row>
    <row r="35981">
      <c r="D35981" s="9"/>
      <c r="G35981" s="9"/>
      <c r="J35981" s="11"/>
      <c r="U35981" s="9"/>
      <c r="X35981" s="9"/>
    </row>
    <row r="35982">
      <c r="D35982" s="9"/>
      <c r="G35982" s="9"/>
      <c r="J35982" s="11"/>
      <c r="U35982" s="9"/>
      <c r="X35982" s="9"/>
    </row>
    <row r="35983">
      <c r="D35983" s="9"/>
      <c r="G35983" s="9"/>
      <c r="J35983" s="11"/>
      <c r="U35983" s="9"/>
      <c r="X35983" s="9"/>
    </row>
    <row r="35984">
      <c r="D35984" s="9"/>
      <c r="G35984" s="9"/>
      <c r="J35984" s="11"/>
      <c r="U35984" s="9"/>
      <c r="X35984" s="9"/>
    </row>
    <row r="35985">
      <c r="D35985" s="9"/>
      <c r="G35985" s="9"/>
      <c r="J35985" s="11"/>
      <c r="U35985" s="9"/>
      <c r="X35985" s="9"/>
    </row>
    <row r="35986">
      <c r="D35986" s="9"/>
      <c r="G35986" s="9"/>
      <c r="J35986" s="11"/>
      <c r="U35986" s="9"/>
      <c r="X35986" s="9"/>
    </row>
    <row r="35987">
      <c r="D35987" s="9"/>
      <c r="G35987" s="9"/>
      <c r="J35987" s="11"/>
      <c r="U35987" s="9"/>
      <c r="X35987" s="9"/>
    </row>
    <row r="35988">
      <c r="D35988" s="9"/>
      <c r="G35988" s="9"/>
      <c r="J35988" s="11"/>
      <c r="U35988" s="9"/>
      <c r="X35988" s="9"/>
    </row>
    <row r="35989">
      <c r="D35989" s="9"/>
      <c r="G35989" s="9"/>
      <c r="J35989" s="11"/>
      <c r="U35989" s="9"/>
      <c r="X35989" s="9"/>
    </row>
    <row r="35990">
      <c r="D35990" s="9"/>
      <c r="G35990" s="9"/>
      <c r="J35990" s="11"/>
      <c r="U35990" s="9"/>
      <c r="X35990" s="9"/>
    </row>
    <row r="35991">
      <c r="D35991" s="9"/>
      <c r="G35991" s="9"/>
      <c r="J35991" s="11"/>
      <c r="U35991" s="9"/>
      <c r="X35991" s="9"/>
    </row>
    <row r="35992">
      <c r="D35992" s="9"/>
      <c r="G35992" s="9"/>
      <c r="J35992" s="11"/>
      <c r="U35992" s="9"/>
      <c r="X35992" s="9"/>
    </row>
    <row r="35993">
      <c r="D35993" s="9"/>
      <c r="G35993" s="9"/>
      <c r="J35993" s="11"/>
      <c r="U35993" s="9"/>
      <c r="X35993" s="9"/>
    </row>
    <row r="35994">
      <c r="D35994" s="9"/>
      <c r="G35994" s="9"/>
      <c r="J35994" s="11"/>
      <c r="U35994" s="9"/>
      <c r="X35994" s="9"/>
    </row>
    <row r="35995">
      <c r="D35995" s="9"/>
      <c r="G35995" s="9"/>
      <c r="J35995" s="11"/>
      <c r="U35995" s="9"/>
      <c r="X35995" s="9"/>
    </row>
    <row r="35996">
      <c r="D35996" s="9"/>
      <c r="G35996" s="9"/>
      <c r="J35996" s="11"/>
      <c r="U35996" s="9"/>
      <c r="X35996" s="9"/>
    </row>
    <row r="35997">
      <c r="D35997" s="9"/>
      <c r="G35997" s="9"/>
      <c r="J35997" s="11"/>
      <c r="U35997" s="9"/>
      <c r="X35997" s="9"/>
    </row>
    <row r="35998">
      <c r="D35998" s="9"/>
      <c r="G35998" s="9"/>
      <c r="J35998" s="11"/>
      <c r="U35998" s="9"/>
      <c r="X35998" s="9"/>
    </row>
    <row r="35999">
      <c r="D35999" s="9"/>
      <c r="G35999" s="9"/>
      <c r="J35999" s="11"/>
      <c r="U35999" s="9"/>
      <c r="X35999" s="9"/>
    </row>
    <row r="36000">
      <c r="D36000" s="9"/>
      <c r="G36000" s="9"/>
      <c r="J36000" s="11"/>
      <c r="U36000" s="9"/>
      <c r="X36000" s="9"/>
    </row>
    <row r="36001">
      <c r="D36001" s="9"/>
      <c r="G36001" s="9"/>
      <c r="J36001" s="11"/>
      <c r="U36001" s="9"/>
      <c r="X36001" s="9"/>
    </row>
    <row r="36002">
      <c r="D36002" s="9"/>
      <c r="G36002" s="9"/>
      <c r="J36002" s="11"/>
      <c r="U36002" s="9"/>
      <c r="X36002" s="9"/>
    </row>
    <row r="36003">
      <c r="D36003" s="9"/>
      <c r="G36003" s="9"/>
      <c r="J36003" s="11"/>
      <c r="U36003" s="9"/>
      <c r="X36003" s="9"/>
    </row>
    <row r="36004">
      <c r="D36004" s="9"/>
      <c r="G36004" s="9"/>
      <c r="J36004" s="11"/>
      <c r="U36004" s="9"/>
      <c r="X36004" s="9"/>
    </row>
    <row r="36005">
      <c r="D36005" s="9"/>
      <c r="G36005" s="9"/>
      <c r="J36005" s="11"/>
      <c r="U36005" s="9"/>
      <c r="X36005" s="9"/>
    </row>
    <row r="36006">
      <c r="D36006" s="9"/>
      <c r="G36006" s="9"/>
      <c r="J36006" s="11"/>
      <c r="U36006" s="9"/>
      <c r="X36006" s="9"/>
    </row>
    <row r="36007">
      <c r="D36007" s="9"/>
      <c r="G36007" s="9"/>
      <c r="J36007" s="11"/>
      <c r="U36007" s="9"/>
      <c r="X36007" s="9"/>
    </row>
    <row r="36008">
      <c r="D36008" s="9"/>
      <c r="G36008" s="9"/>
      <c r="J36008" s="11"/>
      <c r="U36008" s="9"/>
      <c r="X36008" s="9"/>
    </row>
    <row r="36009">
      <c r="D36009" s="9"/>
      <c r="G36009" s="9"/>
      <c r="J36009" s="11"/>
      <c r="U36009" s="9"/>
      <c r="X36009" s="9"/>
    </row>
    <row r="36010">
      <c r="D36010" s="9"/>
      <c r="G36010" s="9"/>
      <c r="J36010" s="11"/>
      <c r="U36010" s="9"/>
      <c r="X36010" s="9"/>
    </row>
    <row r="36011">
      <c r="D36011" s="9"/>
      <c r="G36011" s="9"/>
      <c r="J36011" s="11"/>
      <c r="U36011" s="9"/>
      <c r="X36011" s="9"/>
    </row>
    <row r="36012">
      <c r="D36012" s="9"/>
      <c r="G36012" s="9"/>
      <c r="J36012" s="11"/>
      <c r="U36012" s="9"/>
      <c r="X36012" s="9"/>
    </row>
    <row r="36013">
      <c r="D36013" s="9"/>
      <c r="G36013" s="9"/>
      <c r="J36013" s="11"/>
      <c r="U36013" s="9"/>
      <c r="X36013" s="9"/>
    </row>
    <row r="36014">
      <c r="D36014" s="9"/>
      <c r="G36014" s="9"/>
      <c r="J36014" s="11"/>
      <c r="U36014" s="9"/>
      <c r="X36014" s="9"/>
    </row>
    <row r="36015">
      <c r="D36015" s="9"/>
      <c r="G36015" s="9"/>
      <c r="J36015" s="11"/>
      <c r="U36015" s="9"/>
      <c r="X36015" s="9"/>
    </row>
    <row r="36016">
      <c r="D36016" s="9"/>
      <c r="G36016" s="9"/>
      <c r="J36016" s="11"/>
      <c r="U36016" s="9"/>
      <c r="X36016" s="9"/>
    </row>
    <row r="36017">
      <c r="D36017" s="9"/>
      <c r="G36017" s="9"/>
      <c r="J36017" s="11"/>
      <c r="U36017" s="9"/>
      <c r="X36017" s="9"/>
    </row>
    <row r="36018">
      <c r="D36018" s="9"/>
      <c r="G36018" s="9"/>
      <c r="J36018" s="11"/>
      <c r="U36018" s="9"/>
      <c r="X36018" s="9"/>
    </row>
    <row r="36019">
      <c r="D36019" s="9"/>
      <c r="G36019" s="9"/>
      <c r="J36019" s="11"/>
      <c r="U36019" s="9"/>
      <c r="X36019" s="9"/>
    </row>
    <row r="36020">
      <c r="D36020" s="9"/>
      <c r="G36020" s="9"/>
      <c r="J36020" s="11"/>
      <c r="U36020" s="9"/>
      <c r="X36020" s="9"/>
    </row>
    <row r="36021">
      <c r="D36021" s="9"/>
      <c r="G36021" s="9"/>
      <c r="J36021" s="11"/>
      <c r="U36021" s="9"/>
      <c r="X36021" s="9"/>
    </row>
    <row r="36022">
      <c r="D36022" s="9"/>
      <c r="G36022" s="9"/>
      <c r="J36022" s="11"/>
      <c r="U36022" s="9"/>
      <c r="X36022" s="9"/>
    </row>
    <row r="36023">
      <c r="D36023" s="9"/>
      <c r="G36023" s="9"/>
      <c r="J36023" s="11"/>
      <c r="U36023" s="9"/>
      <c r="X36023" s="9"/>
    </row>
    <row r="36024">
      <c r="D36024" s="9"/>
      <c r="G36024" s="9"/>
      <c r="J36024" s="11"/>
      <c r="U36024" s="9"/>
      <c r="X36024" s="9"/>
    </row>
    <row r="36025">
      <c r="D36025" s="9"/>
      <c r="G36025" s="9"/>
      <c r="J36025" s="11"/>
      <c r="U36025" s="9"/>
      <c r="X36025" s="9"/>
    </row>
    <row r="36026">
      <c r="D36026" s="9"/>
      <c r="G36026" s="9"/>
      <c r="J36026" s="11"/>
      <c r="U36026" s="9"/>
      <c r="X36026" s="9"/>
    </row>
    <row r="36027">
      <c r="D36027" s="9"/>
      <c r="G36027" s="9"/>
      <c r="J36027" s="11"/>
      <c r="U36027" s="9"/>
      <c r="X36027" s="9"/>
    </row>
    <row r="36028">
      <c r="D36028" s="9"/>
      <c r="G36028" s="9"/>
      <c r="J36028" s="11"/>
      <c r="U36028" s="9"/>
      <c r="X36028" s="9"/>
    </row>
    <row r="36029">
      <c r="D36029" s="9"/>
      <c r="G36029" s="9"/>
      <c r="J36029" s="11"/>
      <c r="U36029" s="9"/>
      <c r="X36029" s="9"/>
    </row>
    <row r="36030">
      <c r="D36030" s="9"/>
      <c r="G36030" s="9"/>
      <c r="J36030" s="11"/>
      <c r="U36030" s="9"/>
      <c r="X36030" s="9"/>
    </row>
    <row r="36031">
      <c r="D36031" s="9"/>
      <c r="G36031" s="9"/>
      <c r="J36031" s="11"/>
      <c r="U36031" s="9"/>
      <c r="X36031" s="9"/>
    </row>
    <row r="36032">
      <c r="D36032" s="9"/>
      <c r="G36032" s="9"/>
      <c r="J36032" s="11"/>
      <c r="U36032" s="9"/>
      <c r="X36032" s="9"/>
    </row>
    <row r="36033">
      <c r="D36033" s="9"/>
      <c r="G36033" s="9"/>
      <c r="J36033" s="11"/>
      <c r="U36033" s="9"/>
      <c r="X36033" s="9"/>
    </row>
    <row r="36034">
      <c r="D36034" s="9"/>
      <c r="G36034" s="9"/>
      <c r="J36034" s="11"/>
      <c r="U36034" s="9"/>
      <c r="X36034" s="9"/>
    </row>
    <row r="36035">
      <c r="D36035" s="9"/>
      <c r="G36035" s="9"/>
      <c r="J36035" s="11"/>
      <c r="U36035" s="9"/>
      <c r="X36035" s="9"/>
    </row>
    <row r="36036">
      <c r="D36036" s="9"/>
      <c r="G36036" s="9"/>
      <c r="J36036" s="11"/>
      <c r="U36036" s="9"/>
      <c r="X36036" s="9"/>
    </row>
    <row r="36037">
      <c r="D36037" s="9"/>
      <c r="G36037" s="9"/>
      <c r="J36037" s="11"/>
      <c r="U36037" s="9"/>
      <c r="X36037" s="9"/>
    </row>
    <row r="36038">
      <c r="D36038" s="9"/>
      <c r="G36038" s="9"/>
      <c r="J36038" s="11"/>
      <c r="U36038" s="9"/>
      <c r="X36038" s="9"/>
    </row>
    <row r="36039">
      <c r="D36039" s="9"/>
      <c r="G36039" s="9"/>
      <c r="J36039" s="11"/>
      <c r="U36039" s="9"/>
      <c r="X36039" s="9"/>
    </row>
    <row r="36040">
      <c r="D36040" s="9"/>
      <c r="G36040" s="9"/>
      <c r="J36040" s="11"/>
      <c r="U36040" s="9"/>
      <c r="X36040" s="9"/>
    </row>
    <row r="36041">
      <c r="D36041" s="9"/>
      <c r="G36041" s="9"/>
      <c r="J36041" s="11"/>
      <c r="U36041" s="9"/>
      <c r="X36041" s="9"/>
    </row>
    <row r="36042">
      <c r="D36042" s="9"/>
      <c r="G36042" s="9"/>
      <c r="J36042" s="11"/>
      <c r="U36042" s="9"/>
      <c r="X36042" s="9"/>
    </row>
    <row r="36043">
      <c r="D36043" s="9"/>
      <c r="G36043" s="9"/>
      <c r="J36043" s="11"/>
      <c r="U36043" s="9"/>
      <c r="X36043" s="9"/>
    </row>
    <row r="36044">
      <c r="D36044" s="9"/>
      <c r="G36044" s="9"/>
      <c r="J36044" s="11"/>
      <c r="U36044" s="9"/>
      <c r="X36044" s="9"/>
    </row>
    <row r="36045">
      <c r="D36045" s="9"/>
      <c r="G36045" s="9"/>
      <c r="J36045" s="11"/>
      <c r="U36045" s="9"/>
      <c r="X36045" s="9"/>
    </row>
    <row r="36046">
      <c r="D36046" s="9"/>
      <c r="G36046" s="9"/>
      <c r="J36046" s="11"/>
      <c r="U36046" s="9"/>
      <c r="X36046" s="9"/>
    </row>
    <row r="36047">
      <c r="D36047" s="9"/>
      <c r="G36047" s="9"/>
      <c r="J36047" s="11"/>
      <c r="U36047" s="9"/>
      <c r="X36047" s="9"/>
    </row>
    <row r="36048">
      <c r="D36048" s="9"/>
      <c r="G36048" s="9"/>
      <c r="J36048" s="11"/>
      <c r="U36048" s="9"/>
      <c r="X36048" s="9"/>
    </row>
    <row r="36049">
      <c r="D36049" s="9"/>
      <c r="G36049" s="9"/>
      <c r="J36049" s="11"/>
      <c r="U36049" s="9"/>
      <c r="X36049" s="9"/>
    </row>
    <row r="36050">
      <c r="D36050" s="9"/>
      <c r="G36050" s="9"/>
      <c r="J36050" s="11"/>
      <c r="U36050" s="9"/>
      <c r="X36050" s="9"/>
    </row>
    <row r="36051">
      <c r="D36051" s="9"/>
      <c r="G36051" s="9"/>
      <c r="J36051" s="11"/>
      <c r="U36051" s="9"/>
      <c r="X36051" s="9"/>
    </row>
    <row r="36052">
      <c r="D36052" s="9"/>
      <c r="G36052" s="9"/>
      <c r="J36052" s="11"/>
      <c r="U36052" s="9"/>
      <c r="X36052" s="9"/>
    </row>
    <row r="36053">
      <c r="D36053" s="9"/>
      <c r="G36053" s="9"/>
      <c r="J36053" s="11"/>
      <c r="U36053" s="9"/>
      <c r="X36053" s="9"/>
    </row>
    <row r="36054">
      <c r="D36054" s="9"/>
      <c r="G36054" s="9"/>
      <c r="J36054" s="11"/>
      <c r="U36054" s="9"/>
      <c r="X36054" s="9"/>
    </row>
    <row r="36055">
      <c r="D36055" s="9"/>
      <c r="G36055" s="9"/>
      <c r="J36055" s="11"/>
      <c r="U36055" s="9"/>
      <c r="X36055" s="9"/>
    </row>
    <row r="36056">
      <c r="D36056" s="9"/>
      <c r="G36056" s="9"/>
      <c r="J36056" s="11"/>
      <c r="U36056" s="9"/>
      <c r="X36056" s="9"/>
    </row>
    <row r="36057">
      <c r="D36057" s="9"/>
      <c r="G36057" s="9"/>
      <c r="J36057" s="11"/>
      <c r="U36057" s="9"/>
      <c r="X36057" s="9"/>
    </row>
    <row r="36058">
      <c r="D36058" s="9"/>
      <c r="G36058" s="9"/>
      <c r="J36058" s="11"/>
      <c r="U36058" s="9"/>
      <c r="X36058" s="9"/>
    </row>
    <row r="36059">
      <c r="D36059" s="9"/>
      <c r="G36059" s="9"/>
      <c r="J36059" s="11"/>
      <c r="U36059" s="9"/>
      <c r="X36059" s="9"/>
    </row>
    <row r="36060">
      <c r="D36060" s="9"/>
      <c r="G36060" s="9"/>
      <c r="J36060" s="11"/>
      <c r="U36060" s="9"/>
      <c r="X36060" s="9"/>
    </row>
    <row r="36061">
      <c r="D36061" s="9"/>
      <c r="G36061" s="9"/>
      <c r="J36061" s="11"/>
      <c r="U36061" s="9"/>
      <c r="X36061" s="9"/>
    </row>
    <row r="36062">
      <c r="D36062" s="9"/>
      <c r="G36062" s="9"/>
      <c r="J36062" s="11"/>
      <c r="U36062" s="9"/>
      <c r="X36062" s="9"/>
    </row>
    <row r="36063">
      <c r="D36063" s="9"/>
      <c r="G36063" s="9"/>
      <c r="J36063" s="11"/>
      <c r="U36063" s="9"/>
      <c r="X36063" s="9"/>
    </row>
    <row r="36064">
      <c r="D36064" s="9"/>
      <c r="G36064" s="9"/>
      <c r="J36064" s="11"/>
      <c r="U36064" s="9"/>
      <c r="X36064" s="9"/>
    </row>
    <row r="36065">
      <c r="D36065" s="9"/>
      <c r="G36065" s="9"/>
      <c r="J36065" s="11"/>
      <c r="U36065" s="9"/>
      <c r="X36065" s="9"/>
    </row>
    <row r="36066">
      <c r="D36066" s="9"/>
      <c r="G36066" s="9"/>
      <c r="J36066" s="11"/>
      <c r="U36066" s="9"/>
      <c r="X36066" s="9"/>
    </row>
    <row r="36067">
      <c r="D36067" s="9"/>
      <c r="G36067" s="9"/>
      <c r="J36067" s="11"/>
      <c r="U36067" s="9"/>
      <c r="X36067" s="9"/>
    </row>
    <row r="36068">
      <c r="D36068" s="9"/>
      <c r="G36068" s="9"/>
      <c r="J36068" s="11"/>
      <c r="U36068" s="9"/>
      <c r="X36068" s="9"/>
    </row>
    <row r="36069">
      <c r="D36069" s="9"/>
      <c r="G36069" s="9"/>
      <c r="J36069" s="11"/>
      <c r="U36069" s="9"/>
      <c r="X36069" s="9"/>
    </row>
    <row r="36070">
      <c r="D36070" s="9"/>
      <c r="G36070" s="9"/>
      <c r="J36070" s="11"/>
      <c r="U36070" s="9"/>
      <c r="X36070" s="9"/>
    </row>
    <row r="36071">
      <c r="D36071" s="9"/>
      <c r="G36071" s="9"/>
      <c r="J36071" s="11"/>
      <c r="U36071" s="9"/>
      <c r="X36071" s="9"/>
    </row>
    <row r="36072">
      <c r="D36072" s="9"/>
      <c r="G36072" s="9"/>
      <c r="J36072" s="11"/>
      <c r="U36072" s="9"/>
      <c r="X36072" s="9"/>
    </row>
    <row r="36073">
      <c r="D36073" s="9"/>
      <c r="G36073" s="9"/>
      <c r="J36073" s="11"/>
      <c r="U36073" s="9"/>
      <c r="X36073" s="9"/>
    </row>
    <row r="36074">
      <c r="D36074" s="9"/>
      <c r="G36074" s="9"/>
      <c r="J36074" s="11"/>
      <c r="U36074" s="9"/>
      <c r="X36074" s="9"/>
    </row>
    <row r="36075">
      <c r="D36075" s="9"/>
      <c r="G36075" s="9"/>
      <c r="J36075" s="11"/>
      <c r="U36075" s="9"/>
      <c r="X36075" s="9"/>
    </row>
    <row r="36076">
      <c r="D36076" s="9"/>
      <c r="G36076" s="9"/>
      <c r="J36076" s="11"/>
      <c r="U36076" s="9"/>
      <c r="X36076" s="9"/>
    </row>
    <row r="36077">
      <c r="D36077" s="9"/>
      <c r="G36077" s="9"/>
      <c r="J36077" s="11"/>
      <c r="U36077" s="9"/>
      <c r="X36077" s="9"/>
    </row>
    <row r="36078">
      <c r="D36078" s="9"/>
      <c r="G36078" s="9"/>
      <c r="J36078" s="11"/>
      <c r="U36078" s="9"/>
      <c r="X36078" s="9"/>
    </row>
    <row r="36079">
      <c r="D36079" s="9"/>
      <c r="G36079" s="9"/>
      <c r="J36079" s="11"/>
      <c r="U36079" s="9"/>
      <c r="X36079" s="9"/>
    </row>
    <row r="36080">
      <c r="D36080" s="9"/>
      <c r="G36080" s="9"/>
      <c r="J36080" s="11"/>
      <c r="U36080" s="9"/>
      <c r="X36080" s="9"/>
    </row>
    <row r="36081">
      <c r="D36081" s="9"/>
      <c r="G36081" s="9"/>
      <c r="J36081" s="11"/>
      <c r="U36081" s="9"/>
      <c r="X36081" s="9"/>
    </row>
    <row r="36082">
      <c r="D36082" s="9"/>
      <c r="G36082" s="9"/>
      <c r="J36082" s="11"/>
      <c r="U36082" s="9"/>
      <c r="X36082" s="9"/>
    </row>
    <row r="36083">
      <c r="D36083" s="9"/>
      <c r="G36083" s="9"/>
      <c r="J36083" s="11"/>
      <c r="U36083" s="9"/>
      <c r="X36083" s="9"/>
    </row>
    <row r="36084">
      <c r="D36084" s="9"/>
      <c r="G36084" s="9"/>
      <c r="J36084" s="11"/>
      <c r="U36084" s="9"/>
      <c r="X36084" s="9"/>
    </row>
    <row r="36085">
      <c r="D36085" s="9"/>
      <c r="G36085" s="9"/>
      <c r="J36085" s="11"/>
      <c r="U36085" s="9"/>
      <c r="X36085" s="9"/>
    </row>
    <row r="36086">
      <c r="D36086" s="9"/>
      <c r="G36086" s="9"/>
      <c r="J36086" s="11"/>
      <c r="U36086" s="9"/>
      <c r="X36086" s="9"/>
    </row>
    <row r="36087">
      <c r="D36087" s="9"/>
      <c r="G36087" s="9"/>
      <c r="J36087" s="11"/>
      <c r="U36087" s="9"/>
      <c r="X36087" s="9"/>
    </row>
    <row r="36088">
      <c r="D36088" s="9"/>
      <c r="G36088" s="9"/>
      <c r="J36088" s="11"/>
      <c r="U36088" s="9"/>
      <c r="X36088" s="9"/>
    </row>
    <row r="36089">
      <c r="D36089" s="9"/>
      <c r="G36089" s="9"/>
      <c r="J36089" s="11"/>
      <c r="U36089" s="9"/>
      <c r="X36089" s="9"/>
    </row>
    <row r="36090">
      <c r="D36090" s="9"/>
      <c r="G36090" s="9"/>
      <c r="J36090" s="11"/>
      <c r="U36090" s="9"/>
      <c r="X36090" s="9"/>
    </row>
    <row r="36091">
      <c r="D36091" s="9"/>
      <c r="G36091" s="9"/>
      <c r="J36091" s="11"/>
      <c r="U36091" s="9"/>
      <c r="X36091" s="9"/>
    </row>
    <row r="36092">
      <c r="D36092" s="9"/>
      <c r="G36092" s="9"/>
      <c r="J36092" s="11"/>
      <c r="U36092" s="9"/>
      <c r="X36092" s="9"/>
    </row>
    <row r="36093">
      <c r="D36093" s="9"/>
      <c r="G36093" s="9"/>
      <c r="J36093" s="11"/>
      <c r="U36093" s="9"/>
      <c r="X36093" s="9"/>
    </row>
    <row r="36094">
      <c r="D36094" s="9"/>
      <c r="G36094" s="9"/>
      <c r="J36094" s="11"/>
      <c r="U36094" s="9"/>
      <c r="X36094" s="9"/>
    </row>
    <row r="36095">
      <c r="D36095" s="9"/>
      <c r="G36095" s="9"/>
      <c r="J36095" s="11"/>
      <c r="U36095" s="9"/>
      <c r="X36095" s="9"/>
    </row>
    <row r="36096">
      <c r="D36096" s="9"/>
      <c r="G36096" s="9"/>
      <c r="J36096" s="11"/>
      <c r="U36096" s="9"/>
      <c r="X36096" s="9"/>
    </row>
    <row r="36097">
      <c r="D36097" s="9"/>
      <c r="G36097" s="9"/>
      <c r="J36097" s="11"/>
      <c r="U36097" s="9"/>
      <c r="X36097" s="9"/>
    </row>
    <row r="36098">
      <c r="D36098" s="9"/>
      <c r="G36098" s="9"/>
      <c r="J36098" s="11"/>
      <c r="U36098" s="9"/>
      <c r="X36098" s="9"/>
    </row>
    <row r="36099">
      <c r="D36099" s="9"/>
      <c r="G36099" s="9"/>
      <c r="J36099" s="11"/>
      <c r="U36099" s="9"/>
      <c r="X36099" s="9"/>
    </row>
    <row r="36100">
      <c r="D36100" s="9"/>
      <c r="G36100" s="9"/>
      <c r="J36100" s="11"/>
      <c r="U36100" s="9"/>
      <c r="X36100" s="9"/>
    </row>
    <row r="36101">
      <c r="D36101" s="9"/>
      <c r="G36101" s="9"/>
      <c r="J36101" s="11"/>
      <c r="U36101" s="9"/>
      <c r="X36101" s="9"/>
    </row>
    <row r="36102">
      <c r="D36102" s="9"/>
      <c r="G36102" s="9"/>
      <c r="J36102" s="11"/>
      <c r="U36102" s="9"/>
      <c r="X36102" s="9"/>
    </row>
    <row r="36103">
      <c r="D36103" s="9"/>
      <c r="G36103" s="9"/>
      <c r="J36103" s="11"/>
      <c r="U36103" s="9"/>
      <c r="X36103" s="9"/>
    </row>
    <row r="36104">
      <c r="D36104" s="9"/>
      <c r="G36104" s="9"/>
      <c r="J36104" s="11"/>
      <c r="U36104" s="9"/>
      <c r="X36104" s="9"/>
    </row>
    <row r="36105">
      <c r="D36105" s="9"/>
      <c r="G36105" s="9"/>
      <c r="J36105" s="11"/>
      <c r="U36105" s="9"/>
      <c r="X36105" s="9"/>
    </row>
    <row r="36106">
      <c r="D36106" s="9"/>
      <c r="G36106" s="9"/>
      <c r="J36106" s="11"/>
      <c r="U36106" s="9"/>
      <c r="X36106" s="9"/>
    </row>
    <row r="36107">
      <c r="D36107" s="9"/>
      <c r="G36107" s="9"/>
      <c r="J36107" s="11"/>
      <c r="U36107" s="9"/>
      <c r="X36107" s="9"/>
    </row>
    <row r="36108">
      <c r="D36108" s="9"/>
      <c r="G36108" s="9"/>
      <c r="J36108" s="11"/>
      <c r="U36108" s="9"/>
      <c r="X36108" s="9"/>
    </row>
    <row r="36109">
      <c r="D36109" s="9"/>
      <c r="G36109" s="9"/>
      <c r="J36109" s="11"/>
      <c r="U36109" s="9"/>
      <c r="X36109" s="9"/>
    </row>
    <row r="36110">
      <c r="D36110" s="9"/>
      <c r="G36110" s="9"/>
      <c r="J36110" s="11"/>
      <c r="U36110" s="9"/>
      <c r="X36110" s="9"/>
    </row>
    <row r="36111">
      <c r="D36111" s="9"/>
      <c r="G36111" s="9"/>
      <c r="J36111" s="11"/>
      <c r="U36111" s="9"/>
      <c r="X36111" s="9"/>
    </row>
    <row r="36112">
      <c r="D36112" s="9"/>
      <c r="G36112" s="9"/>
      <c r="J36112" s="11"/>
      <c r="U36112" s="9"/>
      <c r="X36112" s="9"/>
    </row>
    <row r="36113">
      <c r="D36113" s="9"/>
      <c r="G36113" s="9"/>
      <c r="J36113" s="11"/>
      <c r="U36113" s="9"/>
      <c r="X36113" s="9"/>
    </row>
    <row r="36114">
      <c r="D36114" s="9"/>
      <c r="G36114" s="9"/>
      <c r="J36114" s="11"/>
      <c r="U36114" s="9"/>
      <c r="X36114" s="9"/>
    </row>
    <row r="36115">
      <c r="D36115" s="9"/>
      <c r="G36115" s="9"/>
      <c r="J36115" s="11"/>
      <c r="U36115" s="9"/>
      <c r="X36115" s="9"/>
    </row>
    <row r="36116">
      <c r="D36116" s="9"/>
      <c r="G36116" s="9"/>
      <c r="J36116" s="11"/>
      <c r="U36116" s="9"/>
      <c r="X36116" s="9"/>
    </row>
    <row r="36117">
      <c r="D36117" s="9"/>
      <c r="G36117" s="9"/>
      <c r="J36117" s="11"/>
      <c r="U36117" s="9"/>
      <c r="X36117" s="9"/>
    </row>
    <row r="36118">
      <c r="D36118" s="9"/>
      <c r="G36118" s="9"/>
      <c r="J36118" s="11"/>
      <c r="U36118" s="9"/>
      <c r="X36118" s="9"/>
    </row>
    <row r="36119">
      <c r="D36119" s="9"/>
      <c r="G36119" s="9"/>
      <c r="J36119" s="11"/>
      <c r="U36119" s="9"/>
      <c r="X36119" s="9"/>
    </row>
    <row r="36120">
      <c r="D36120" s="9"/>
      <c r="G36120" s="9"/>
      <c r="J36120" s="11"/>
      <c r="U36120" s="9"/>
      <c r="X36120" s="9"/>
    </row>
    <row r="36121">
      <c r="D36121" s="9"/>
      <c r="G36121" s="9"/>
      <c r="J36121" s="11"/>
      <c r="U36121" s="9"/>
      <c r="X36121" s="9"/>
    </row>
    <row r="36122">
      <c r="D36122" s="9"/>
      <c r="G36122" s="9"/>
      <c r="J36122" s="11"/>
      <c r="U36122" s="9"/>
      <c r="X36122" s="9"/>
    </row>
    <row r="36123">
      <c r="D36123" s="9"/>
      <c r="G36123" s="9"/>
      <c r="J36123" s="11"/>
      <c r="U36123" s="9"/>
      <c r="X36123" s="9"/>
    </row>
    <row r="36124">
      <c r="D36124" s="9"/>
      <c r="G36124" s="9"/>
      <c r="J36124" s="11"/>
      <c r="U36124" s="9"/>
      <c r="X36124" s="9"/>
    </row>
    <row r="36125">
      <c r="D36125" s="9"/>
      <c r="G36125" s="9"/>
      <c r="J36125" s="11"/>
      <c r="U36125" s="9"/>
      <c r="X36125" s="9"/>
    </row>
    <row r="36126">
      <c r="D36126" s="9"/>
      <c r="G36126" s="9"/>
      <c r="J36126" s="11"/>
      <c r="U36126" s="9"/>
      <c r="X36126" s="9"/>
    </row>
    <row r="36127">
      <c r="D36127" s="9"/>
      <c r="G36127" s="9"/>
      <c r="J36127" s="11"/>
      <c r="U36127" s="9"/>
      <c r="X36127" s="9"/>
    </row>
    <row r="36128">
      <c r="D36128" s="9"/>
      <c r="G36128" s="9"/>
      <c r="J36128" s="11"/>
      <c r="U36128" s="9"/>
      <c r="X36128" s="9"/>
    </row>
    <row r="36129">
      <c r="D36129" s="9"/>
      <c r="G36129" s="9"/>
      <c r="J36129" s="11"/>
      <c r="U36129" s="9"/>
      <c r="X36129" s="9"/>
    </row>
    <row r="36130">
      <c r="D36130" s="9"/>
      <c r="G36130" s="9"/>
      <c r="J36130" s="11"/>
      <c r="U36130" s="9"/>
      <c r="X36130" s="9"/>
    </row>
    <row r="36131">
      <c r="D36131" s="9"/>
      <c r="G36131" s="9"/>
      <c r="J36131" s="11"/>
      <c r="U36131" s="9"/>
      <c r="X36131" s="9"/>
    </row>
    <row r="36132">
      <c r="D36132" s="9"/>
      <c r="G36132" s="9"/>
      <c r="J36132" s="11"/>
      <c r="U36132" s="9"/>
      <c r="X36132" s="9"/>
    </row>
    <row r="36133">
      <c r="D36133" s="9"/>
      <c r="G36133" s="9"/>
      <c r="J36133" s="11"/>
      <c r="U36133" s="9"/>
      <c r="X36133" s="9"/>
    </row>
    <row r="36134">
      <c r="D36134" s="9"/>
      <c r="G36134" s="9"/>
      <c r="J36134" s="11"/>
      <c r="U36134" s="9"/>
      <c r="X36134" s="9"/>
    </row>
    <row r="36135">
      <c r="D36135" s="9"/>
      <c r="G36135" s="9"/>
      <c r="J36135" s="11"/>
      <c r="U36135" s="9"/>
      <c r="X36135" s="9"/>
    </row>
    <row r="36136">
      <c r="D36136" s="9"/>
      <c r="G36136" s="9"/>
      <c r="J36136" s="11"/>
      <c r="U36136" s="9"/>
      <c r="X36136" s="9"/>
    </row>
    <row r="36137">
      <c r="D36137" s="9"/>
      <c r="G36137" s="9"/>
      <c r="J36137" s="11"/>
      <c r="U36137" s="9"/>
      <c r="X36137" s="9"/>
    </row>
    <row r="36138">
      <c r="D36138" s="9"/>
      <c r="G36138" s="9"/>
      <c r="J36138" s="11"/>
      <c r="U36138" s="9"/>
      <c r="X36138" s="9"/>
    </row>
    <row r="36139">
      <c r="D36139" s="9"/>
      <c r="G36139" s="9"/>
      <c r="J36139" s="11"/>
      <c r="U36139" s="9"/>
      <c r="X36139" s="9"/>
    </row>
    <row r="36140">
      <c r="D36140" s="9"/>
      <c r="G36140" s="9"/>
      <c r="J36140" s="11"/>
      <c r="U36140" s="9"/>
      <c r="X36140" s="9"/>
    </row>
    <row r="36141">
      <c r="D36141" s="9"/>
      <c r="G36141" s="9"/>
      <c r="J36141" s="11"/>
      <c r="U36141" s="9"/>
      <c r="X36141" s="9"/>
    </row>
    <row r="36142">
      <c r="D36142" s="9"/>
      <c r="G36142" s="9"/>
      <c r="J36142" s="11"/>
      <c r="U36142" s="9"/>
      <c r="X36142" s="9"/>
    </row>
    <row r="36143">
      <c r="D36143" s="9"/>
      <c r="G36143" s="9"/>
      <c r="J36143" s="11"/>
      <c r="U36143" s="9"/>
      <c r="X36143" s="9"/>
    </row>
    <row r="36144">
      <c r="D36144" s="9"/>
      <c r="G36144" s="9"/>
      <c r="J36144" s="11"/>
      <c r="U36144" s="9"/>
      <c r="X36144" s="9"/>
    </row>
    <row r="36145">
      <c r="D36145" s="9"/>
      <c r="G36145" s="9"/>
      <c r="J36145" s="11"/>
      <c r="U36145" s="9"/>
      <c r="X36145" s="9"/>
    </row>
    <row r="36146">
      <c r="D36146" s="9"/>
      <c r="G36146" s="9"/>
      <c r="J36146" s="11"/>
      <c r="U36146" s="9"/>
      <c r="X36146" s="9"/>
    </row>
    <row r="36147">
      <c r="D36147" s="9"/>
      <c r="G36147" s="9"/>
      <c r="J36147" s="11"/>
      <c r="U36147" s="9"/>
      <c r="X36147" s="9"/>
    </row>
    <row r="36148">
      <c r="D36148" s="9"/>
      <c r="G36148" s="9"/>
      <c r="J36148" s="11"/>
      <c r="U36148" s="9"/>
      <c r="X36148" s="9"/>
    </row>
    <row r="36149">
      <c r="D36149" s="9"/>
      <c r="G36149" s="9"/>
      <c r="J36149" s="11"/>
      <c r="U36149" s="9"/>
      <c r="X36149" s="9"/>
    </row>
    <row r="36150">
      <c r="D36150" s="9"/>
      <c r="G36150" s="9"/>
      <c r="J36150" s="11"/>
      <c r="U36150" s="9"/>
      <c r="X36150" s="9"/>
    </row>
    <row r="36151">
      <c r="D36151" s="9"/>
      <c r="G36151" s="9"/>
      <c r="J36151" s="11"/>
      <c r="U36151" s="9"/>
      <c r="X36151" s="9"/>
    </row>
    <row r="36152">
      <c r="D36152" s="9"/>
      <c r="G36152" s="9"/>
      <c r="J36152" s="11"/>
      <c r="U36152" s="9"/>
      <c r="X36152" s="9"/>
    </row>
    <row r="36153">
      <c r="D36153" s="9"/>
      <c r="G36153" s="9"/>
      <c r="J36153" s="11"/>
      <c r="U36153" s="9"/>
      <c r="X36153" s="9"/>
    </row>
    <row r="36154">
      <c r="D36154" s="9"/>
      <c r="G36154" s="9"/>
      <c r="J36154" s="11"/>
      <c r="U36154" s="9"/>
      <c r="X36154" s="9"/>
    </row>
    <row r="36155">
      <c r="D36155" s="9"/>
      <c r="G36155" s="9"/>
      <c r="J36155" s="11"/>
      <c r="U36155" s="9"/>
      <c r="X36155" s="9"/>
    </row>
    <row r="36156">
      <c r="D36156" s="9"/>
      <c r="G36156" s="9"/>
      <c r="J36156" s="11"/>
      <c r="U36156" s="9"/>
      <c r="X36156" s="9"/>
    </row>
    <row r="36157">
      <c r="D36157" s="9"/>
      <c r="G36157" s="9"/>
      <c r="J36157" s="11"/>
      <c r="U36157" s="9"/>
      <c r="X36157" s="9"/>
    </row>
    <row r="36158">
      <c r="D36158" s="9"/>
      <c r="G36158" s="9"/>
      <c r="J36158" s="11"/>
      <c r="U36158" s="9"/>
      <c r="X36158" s="9"/>
    </row>
    <row r="36159">
      <c r="D36159" s="9"/>
      <c r="G36159" s="9"/>
      <c r="J36159" s="11"/>
      <c r="U36159" s="9"/>
      <c r="X36159" s="9"/>
    </row>
    <row r="36160">
      <c r="D36160" s="9"/>
      <c r="G36160" s="9"/>
      <c r="J36160" s="11"/>
      <c r="U36160" s="9"/>
      <c r="X36160" s="9"/>
    </row>
    <row r="36161">
      <c r="D36161" s="9"/>
      <c r="G36161" s="9"/>
      <c r="J36161" s="11"/>
      <c r="U36161" s="9"/>
      <c r="X36161" s="9"/>
    </row>
    <row r="36162">
      <c r="D36162" s="9"/>
      <c r="G36162" s="9"/>
      <c r="J36162" s="11"/>
      <c r="U36162" s="9"/>
      <c r="X36162" s="9"/>
    </row>
    <row r="36163">
      <c r="D36163" s="9"/>
      <c r="G36163" s="9"/>
      <c r="J36163" s="11"/>
      <c r="U36163" s="9"/>
      <c r="X36163" s="9"/>
    </row>
    <row r="36164">
      <c r="D36164" s="9"/>
      <c r="G36164" s="9"/>
      <c r="J36164" s="11"/>
      <c r="U36164" s="9"/>
      <c r="X36164" s="9"/>
    </row>
    <row r="36165">
      <c r="D36165" s="9"/>
      <c r="G36165" s="9"/>
      <c r="J36165" s="11"/>
      <c r="U36165" s="9"/>
      <c r="X36165" s="9"/>
    </row>
    <row r="36166">
      <c r="D36166" s="9"/>
      <c r="G36166" s="9"/>
      <c r="J36166" s="11"/>
      <c r="U36166" s="9"/>
      <c r="X36166" s="9"/>
    </row>
    <row r="36167">
      <c r="D36167" s="9"/>
      <c r="G36167" s="9"/>
      <c r="J36167" s="11"/>
      <c r="U36167" s="9"/>
      <c r="X36167" s="9"/>
    </row>
    <row r="36168">
      <c r="D36168" s="9"/>
      <c r="G36168" s="9"/>
      <c r="J36168" s="11"/>
      <c r="U36168" s="9"/>
      <c r="X36168" s="9"/>
    </row>
    <row r="36169">
      <c r="D36169" s="9"/>
      <c r="G36169" s="9"/>
      <c r="J36169" s="11"/>
      <c r="U36169" s="9"/>
      <c r="X36169" s="9"/>
    </row>
    <row r="36170">
      <c r="D36170" s="9"/>
      <c r="G36170" s="9"/>
      <c r="J36170" s="11"/>
      <c r="U36170" s="9"/>
      <c r="X36170" s="9"/>
    </row>
    <row r="36171">
      <c r="D36171" s="9"/>
      <c r="G36171" s="9"/>
      <c r="J36171" s="11"/>
      <c r="U36171" s="9"/>
      <c r="X36171" s="9"/>
    </row>
    <row r="36172">
      <c r="D36172" s="9"/>
      <c r="G36172" s="9"/>
      <c r="J36172" s="11"/>
      <c r="U36172" s="9"/>
      <c r="X36172" s="9"/>
    </row>
    <row r="36173">
      <c r="D36173" s="9"/>
      <c r="G36173" s="9"/>
      <c r="J36173" s="11"/>
      <c r="U36173" s="9"/>
      <c r="X36173" s="9"/>
    </row>
    <row r="36174">
      <c r="D36174" s="9"/>
      <c r="G36174" s="9"/>
      <c r="J36174" s="11"/>
      <c r="U36174" s="9"/>
      <c r="X36174" s="9"/>
    </row>
    <row r="36175">
      <c r="D36175" s="9"/>
      <c r="G36175" s="9"/>
      <c r="J36175" s="11"/>
      <c r="U36175" s="9"/>
      <c r="X36175" s="9"/>
    </row>
    <row r="36176">
      <c r="D36176" s="9"/>
      <c r="G36176" s="9"/>
      <c r="J36176" s="11"/>
      <c r="U36176" s="9"/>
      <c r="X36176" s="9"/>
    </row>
    <row r="36177">
      <c r="D36177" s="9"/>
      <c r="G36177" s="9"/>
      <c r="J36177" s="11"/>
      <c r="U36177" s="9"/>
      <c r="X36177" s="9"/>
    </row>
    <row r="36178">
      <c r="D36178" s="9"/>
      <c r="G36178" s="9"/>
      <c r="J36178" s="11"/>
      <c r="U36178" s="9"/>
      <c r="X36178" s="9"/>
    </row>
    <row r="36179">
      <c r="D36179" s="9"/>
      <c r="G36179" s="9"/>
      <c r="J36179" s="11"/>
      <c r="U36179" s="9"/>
      <c r="X36179" s="9"/>
    </row>
    <row r="36180">
      <c r="D36180" s="9"/>
      <c r="G36180" s="9"/>
      <c r="J36180" s="11"/>
      <c r="U36180" s="9"/>
      <c r="X36180" s="9"/>
    </row>
    <row r="36181">
      <c r="D36181" s="9"/>
      <c r="G36181" s="9"/>
      <c r="J36181" s="11"/>
      <c r="U36181" s="9"/>
      <c r="X36181" s="9"/>
    </row>
    <row r="36182">
      <c r="D36182" s="9"/>
      <c r="G36182" s="9"/>
      <c r="J36182" s="11"/>
      <c r="U36182" s="9"/>
      <c r="X36182" s="9"/>
    </row>
    <row r="36183">
      <c r="D36183" s="9"/>
      <c r="G36183" s="9"/>
      <c r="J36183" s="11"/>
      <c r="U36183" s="9"/>
      <c r="X36183" s="9"/>
    </row>
    <row r="36184">
      <c r="D36184" s="9"/>
      <c r="G36184" s="9"/>
      <c r="J36184" s="11"/>
      <c r="U36184" s="9"/>
      <c r="X36184" s="9"/>
    </row>
    <row r="36185">
      <c r="D36185" s="9"/>
      <c r="G36185" s="9"/>
      <c r="J36185" s="11"/>
      <c r="U36185" s="9"/>
      <c r="X36185" s="9"/>
    </row>
    <row r="36186">
      <c r="D36186" s="9"/>
      <c r="G36186" s="9"/>
      <c r="J36186" s="11"/>
      <c r="U36186" s="9"/>
      <c r="X36186" s="9"/>
    </row>
    <row r="36187">
      <c r="D36187" s="9"/>
      <c r="G36187" s="9"/>
      <c r="J36187" s="11"/>
      <c r="U36187" s="9"/>
      <c r="X36187" s="9"/>
    </row>
    <row r="36188">
      <c r="D36188" s="9"/>
      <c r="G36188" s="9"/>
      <c r="J36188" s="11"/>
      <c r="U36188" s="9"/>
      <c r="X36188" s="9"/>
    </row>
    <row r="36189">
      <c r="D36189" s="9"/>
      <c r="G36189" s="9"/>
      <c r="J36189" s="11"/>
      <c r="U36189" s="9"/>
      <c r="X36189" s="9"/>
    </row>
    <row r="36190">
      <c r="D36190" s="9"/>
      <c r="G36190" s="9"/>
      <c r="J36190" s="11"/>
      <c r="U36190" s="9"/>
      <c r="X36190" s="9"/>
    </row>
    <row r="36191">
      <c r="D36191" s="9"/>
      <c r="G36191" s="9"/>
      <c r="J36191" s="11"/>
      <c r="U36191" s="9"/>
      <c r="X36191" s="9"/>
    </row>
    <row r="36192">
      <c r="D36192" s="9"/>
      <c r="G36192" s="9"/>
      <c r="J36192" s="11"/>
      <c r="U36192" s="9"/>
      <c r="X36192" s="9"/>
    </row>
    <row r="36193">
      <c r="D36193" s="9"/>
      <c r="G36193" s="9"/>
      <c r="J36193" s="11"/>
      <c r="U36193" s="9"/>
      <c r="X36193" s="9"/>
    </row>
    <row r="36194">
      <c r="D36194" s="9"/>
      <c r="G36194" s="9"/>
      <c r="J36194" s="11"/>
      <c r="U36194" s="9"/>
      <c r="X36194" s="9"/>
    </row>
    <row r="36195">
      <c r="D36195" s="9"/>
      <c r="G36195" s="9"/>
      <c r="J36195" s="11"/>
      <c r="U36195" s="9"/>
      <c r="X36195" s="9"/>
    </row>
    <row r="36196">
      <c r="D36196" s="9"/>
      <c r="G36196" s="9"/>
      <c r="J36196" s="11"/>
      <c r="U36196" s="9"/>
      <c r="X36196" s="9"/>
    </row>
    <row r="36197">
      <c r="D36197" s="9"/>
      <c r="G36197" s="9"/>
      <c r="J36197" s="11"/>
      <c r="U36197" s="9"/>
      <c r="X36197" s="9"/>
    </row>
    <row r="36198">
      <c r="D36198" s="9"/>
      <c r="G36198" s="9"/>
      <c r="J36198" s="11"/>
      <c r="U36198" s="9"/>
      <c r="X36198" s="9"/>
    </row>
    <row r="36199">
      <c r="D36199" s="9"/>
      <c r="G36199" s="9"/>
      <c r="J36199" s="11"/>
      <c r="U36199" s="9"/>
      <c r="X36199" s="9"/>
    </row>
    <row r="36200">
      <c r="D36200" s="9"/>
      <c r="G36200" s="9"/>
      <c r="J36200" s="11"/>
      <c r="U36200" s="9"/>
      <c r="X36200" s="9"/>
    </row>
    <row r="36201">
      <c r="D36201" s="9"/>
      <c r="G36201" s="9"/>
      <c r="J36201" s="11"/>
      <c r="U36201" s="9"/>
      <c r="X36201" s="9"/>
    </row>
    <row r="36202">
      <c r="D36202" s="9"/>
      <c r="G36202" s="9"/>
      <c r="J36202" s="11"/>
      <c r="U36202" s="9"/>
      <c r="X36202" s="9"/>
    </row>
    <row r="36203">
      <c r="D36203" s="9"/>
      <c r="G36203" s="9"/>
      <c r="J36203" s="11"/>
      <c r="U36203" s="9"/>
      <c r="X36203" s="9"/>
    </row>
    <row r="36204">
      <c r="D36204" s="9"/>
      <c r="G36204" s="9"/>
      <c r="J36204" s="11"/>
      <c r="U36204" s="9"/>
      <c r="X36204" s="9"/>
    </row>
    <row r="36205">
      <c r="D36205" s="9"/>
      <c r="G36205" s="9"/>
      <c r="J36205" s="11"/>
      <c r="U36205" s="9"/>
      <c r="X36205" s="9"/>
    </row>
    <row r="36206">
      <c r="D36206" s="9"/>
      <c r="G36206" s="9"/>
      <c r="J36206" s="11"/>
      <c r="U36206" s="9"/>
      <c r="X36206" s="9"/>
    </row>
    <row r="36207">
      <c r="D36207" s="9"/>
      <c r="G36207" s="9"/>
      <c r="J36207" s="11"/>
      <c r="U36207" s="9"/>
      <c r="X36207" s="9"/>
    </row>
    <row r="36208">
      <c r="D36208" s="9"/>
      <c r="G36208" s="9"/>
      <c r="J36208" s="11"/>
      <c r="U36208" s="9"/>
      <c r="X36208" s="9"/>
    </row>
    <row r="36209">
      <c r="D36209" s="9"/>
      <c r="G36209" s="9"/>
      <c r="J36209" s="11"/>
      <c r="U36209" s="9"/>
      <c r="X36209" s="9"/>
    </row>
    <row r="36210">
      <c r="D36210" s="9"/>
      <c r="G36210" s="9"/>
      <c r="J36210" s="11"/>
      <c r="U36210" s="9"/>
      <c r="X36210" s="9"/>
    </row>
    <row r="36211">
      <c r="D36211" s="9"/>
      <c r="G36211" s="9"/>
      <c r="J36211" s="11"/>
      <c r="U36211" s="9"/>
      <c r="X36211" s="9"/>
    </row>
    <row r="36212">
      <c r="D36212" s="9"/>
      <c r="G36212" s="9"/>
      <c r="J36212" s="11"/>
      <c r="U36212" s="9"/>
      <c r="X36212" s="9"/>
    </row>
    <row r="36213">
      <c r="D36213" s="9"/>
      <c r="G36213" s="9"/>
      <c r="J36213" s="11"/>
      <c r="U36213" s="9"/>
      <c r="X36213" s="9"/>
    </row>
    <row r="36214">
      <c r="D36214" s="9"/>
      <c r="G36214" s="9"/>
      <c r="J36214" s="11"/>
      <c r="U36214" s="9"/>
      <c r="X36214" s="9"/>
    </row>
    <row r="36215">
      <c r="D36215" s="9"/>
      <c r="G36215" s="9"/>
      <c r="J36215" s="11"/>
      <c r="U36215" s="9"/>
      <c r="X36215" s="9"/>
    </row>
    <row r="36216">
      <c r="D36216" s="9"/>
      <c r="G36216" s="9"/>
      <c r="J36216" s="11"/>
      <c r="U36216" s="9"/>
      <c r="X36216" s="9"/>
    </row>
    <row r="36217">
      <c r="D36217" s="9"/>
      <c r="G36217" s="9"/>
      <c r="J36217" s="11"/>
      <c r="U36217" s="9"/>
      <c r="X36217" s="9"/>
    </row>
    <row r="36218">
      <c r="D36218" s="9"/>
      <c r="G36218" s="9"/>
      <c r="J36218" s="11"/>
      <c r="U36218" s="9"/>
      <c r="X36218" s="9"/>
    </row>
    <row r="36219">
      <c r="D36219" s="9"/>
      <c r="G36219" s="9"/>
      <c r="J36219" s="11"/>
      <c r="U36219" s="9"/>
      <c r="X36219" s="9"/>
    </row>
    <row r="36220">
      <c r="D36220" s="9"/>
      <c r="G36220" s="9"/>
      <c r="J36220" s="11"/>
      <c r="U36220" s="9"/>
      <c r="X36220" s="9"/>
    </row>
    <row r="36221">
      <c r="D36221" s="9"/>
      <c r="G36221" s="9"/>
      <c r="J36221" s="11"/>
      <c r="U36221" s="9"/>
      <c r="X36221" s="9"/>
    </row>
    <row r="36222">
      <c r="D36222" s="9"/>
      <c r="G36222" s="9"/>
      <c r="J36222" s="11"/>
      <c r="U36222" s="9"/>
      <c r="X36222" s="9"/>
    </row>
    <row r="36223">
      <c r="D36223" s="9"/>
      <c r="G36223" s="9"/>
      <c r="J36223" s="11"/>
      <c r="U36223" s="9"/>
      <c r="X36223" s="9"/>
    </row>
    <row r="36224">
      <c r="D36224" s="9"/>
      <c r="G36224" s="9"/>
      <c r="J36224" s="11"/>
      <c r="U36224" s="9"/>
      <c r="X36224" s="9"/>
    </row>
    <row r="36225">
      <c r="D36225" s="9"/>
      <c r="G36225" s="9"/>
      <c r="J36225" s="11"/>
      <c r="U36225" s="9"/>
      <c r="X36225" s="9"/>
    </row>
    <row r="36226">
      <c r="D36226" s="9"/>
      <c r="G36226" s="9"/>
      <c r="J36226" s="11"/>
      <c r="U36226" s="9"/>
      <c r="X36226" s="9"/>
    </row>
    <row r="36227">
      <c r="D36227" s="9"/>
      <c r="G36227" s="9"/>
      <c r="J36227" s="11"/>
      <c r="U36227" s="9"/>
      <c r="X36227" s="9"/>
    </row>
    <row r="36228">
      <c r="D36228" s="9"/>
      <c r="G36228" s="9"/>
      <c r="J36228" s="11"/>
      <c r="U36228" s="9"/>
      <c r="X36228" s="9"/>
    </row>
    <row r="36229">
      <c r="D36229" s="9"/>
      <c r="G36229" s="9"/>
      <c r="J36229" s="11"/>
      <c r="U36229" s="9"/>
      <c r="X36229" s="9"/>
    </row>
    <row r="36230">
      <c r="D36230" s="9"/>
      <c r="G36230" s="9"/>
      <c r="J36230" s="11"/>
      <c r="U36230" s="9"/>
      <c r="X36230" s="9"/>
    </row>
    <row r="36231">
      <c r="D36231" s="9"/>
      <c r="G36231" s="9"/>
      <c r="J36231" s="11"/>
      <c r="U36231" s="9"/>
      <c r="X36231" s="9"/>
    </row>
    <row r="36232">
      <c r="D36232" s="9"/>
      <c r="G36232" s="9"/>
      <c r="J36232" s="11"/>
      <c r="U36232" s="9"/>
      <c r="X36232" s="9"/>
    </row>
    <row r="36233">
      <c r="D36233" s="9"/>
      <c r="G36233" s="9"/>
      <c r="J36233" s="11"/>
      <c r="U36233" s="9"/>
      <c r="X36233" s="9"/>
    </row>
    <row r="36234">
      <c r="D36234" s="9"/>
      <c r="G36234" s="9"/>
      <c r="J36234" s="11"/>
      <c r="U36234" s="9"/>
      <c r="X36234" s="9"/>
    </row>
    <row r="36235">
      <c r="D36235" s="9"/>
      <c r="G36235" s="9"/>
      <c r="J36235" s="11"/>
      <c r="U36235" s="9"/>
      <c r="X36235" s="9"/>
    </row>
    <row r="36236">
      <c r="D36236" s="9"/>
      <c r="G36236" s="9"/>
      <c r="J36236" s="11"/>
      <c r="U36236" s="9"/>
      <c r="X36236" s="9"/>
    </row>
    <row r="36237">
      <c r="D36237" s="9"/>
      <c r="G36237" s="9"/>
      <c r="J36237" s="11"/>
      <c r="U36237" s="9"/>
      <c r="X36237" s="9"/>
    </row>
    <row r="36238">
      <c r="D36238" s="9"/>
      <c r="G36238" s="9"/>
      <c r="J36238" s="11"/>
      <c r="U36238" s="9"/>
      <c r="X36238" s="9"/>
    </row>
    <row r="36239">
      <c r="D36239" s="9"/>
      <c r="G36239" s="9"/>
      <c r="J36239" s="11"/>
      <c r="U36239" s="9"/>
      <c r="X36239" s="9"/>
    </row>
    <row r="36240">
      <c r="D36240" s="9"/>
      <c r="G36240" s="9"/>
      <c r="J36240" s="11"/>
      <c r="U36240" s="9"/>
      <c r="X36240" s="9"/>
    </row>
    <row r="36241">
      <c r="D36241" s="9"/>
      <c r="G36241" s="9"/>
      <c r="J36241" s="11"/>
      <c r="U36241" s="9"/>
      <c r="X36241" s="9"/>
    </row>
    <row r="36242">
      <c r="D36242" s="9"/>
      <c r="G36242" s="9"/>
      <c r="J36242" s="11"/>
      <c r="U36242" s="9"/>
      <c r="X36242" s="9"/>
    </row>
    <row r="36243">
      <c r="D36243" s="9"/>
      <c r="G36243" s="9"/>
      <c r="J36243" s="11"/>
      <c r="U36243" s="9"/>
      <c r="X36243" s="9"/>
    </row>
    <row r="36244">
      <c r="D36244" s="9"/>
      <c r="G36244" s="9"/>
      <c r="J36244" s="11"/>
      <c r="U36244" s="9"/>
      <c r="X36244" s="9"/>
    </row>
    <row r="36245">
      <c r="D36245" s="9"/>
      <c r="G36245" s="9"/>
      <c r="J36245" s="11"/>
      <c r="U36245" s="9"/>
      <c r="X36245" s="9"/>
    </row>
    <row r="36246">
      <c r="D36246" s="9"/>
      <c r="G36246" s="9"/>
      <c r="J36246" s="11"/>
      <c r="U36246" s="9"/>
      <c r="X36246" s="9"/>
    </row>
    <row r="36247">
      <c r="D36247" s="9"/>
      <c r="G36247" s="9"/>
      <c r="J36247" s="11"/>
      <c r="U36247" s="9"/>
      <c r="X36247" s="9"/>
    </row>
    <row r="36248">
      <c r="D36248" s="9"/>
      <c r="G36248" s="9"/>
      <c r="J36248" s="11"/>
      <c r="U36248" s="9"/>
      <c r="X36248" s="9"/>
    </row>
    <row r="36249">
      <c r="D36249" s="9"/>
      <c r="G36249" s="9"/>
      <c r="J36249" s="11"/>
      <c r="U36249" s="9"/>
      <c r="X36249" s="9"/>
    </row>
    <row r="36250">
      <c r="D36250" s="9"/>
      <c r="G36250" s="9"/>
      <c r="J36250" s="11"/>
      <c r="U36250" s="9"/>
      <c r="X36250" s="9"/>
    </row>
    <row r="36251">
      <c r="D36251" s="9"/>
      <c r="G36251" s="9"/>
      <c r="J36251" s="11"/>
      <c r="U36251" s="9"/>
      <c r="X36251" s="9"/>
    </row>
    <row r="36252">
      <c r="D36252" s="9"/>
      <c r="G36252" s="9"/>
      <c r="J36252" s="11"/>
      <c r="U36252" s="9"/>
      <c r="X36252" s="9"/>
    </row>
    <row r="36253">
      <c r="D36253" s="9"/>
      <c r="G36253" s="9"/>
      <c r="J36253" s="11"/>
      <c r="U36253" s="9"/>
      <c r="X36253" s="9"/>
    </row>
    <row r="36254">
      <c r="D36254" s="9"/>
      <c r="G36254" s="9"/>
      <c r="J36254" s="11"/>
      <c r="U36254" s="9"/>
      <c r="X36254" s="9"/>
    </row>
    <row r="36255">
      <c r="D36255" s="9"/>
      <c r="G36255" s="9"/>
      <c r="J36255" s="11"/>
      <c r="U36255" s="9"/>
      <c r="X36255" s="9"/>
    </row>
    <row r="36256">
      <c r="D36256" s="9"/>
      <c r="G36256" s="9"/>
      <c r="J36256" s="11"/>
      <c r="U36256" s="9"/>
      <c r="X36256" s="9"/>
    </row>
    <row r="36257">
      <c r="D36257" s="9"/>
      <c r="G36257" s="9"/>
      <c r="J36257" s="11"/>
      <c r="U36257" s="9"/>
      <c r="X36257" s="9"/>
    </row>
    <row r="36258">
      <c r="D36258" s="9"/>
      <c r="G36258" s="9"/>
      <c r="J36258" s="11"/>
      <c r="U36258" s="9"/>
      <c r="X36258" s="9"/>
    </row>
    <row r="36259">
      <c r="D36259" s="9"/>
      <c r="G36259" s="9"/>
      <c r="J36259" s="11"/>
      <c r="U36259" s="9"/>
      <c r="X36259" s="9"/>
    </row>
    <row r="36260">
      <c r="D36260" s="9"/>
      <c r="G36260" s="9"/>
      <c r="J36260" s="11"/>
      <c r="U36260" s="9"/>
      <c r="X36260" s="9"/>
    </row>
    <row r="36261">
      <c r="D36261" s="9"/>
      <c r="G36261" s="9"/>
      <c r="J36261" s="11"/>
      <c r="U36261" s="9"/>
      <c r="X36261" s="9"/>
    </row>
    <row r="36262">
      <c r="D36262" s="9"/>
      <c r="G36262" s="9"/>
      <c r="J36262" s="11"/>
      <c r="U36262" s="9"/>
      <c r="X36262" s="9"/>
    </row>
    <row r="36263">
      <c r="D36263" s="9"/>
      <c r="G36263" s="9"/>
      <c r="J36263" s="11"/>
      <c r="U36263" s="9"/>
      <c r="X36263" s="9"/>
    </row>
    <row r="36264">
      <c r="D36264" s="9"/>
      <c r="G36264" s="9"/>
      <c r="J36264" s="11"/>
      <c r="U36264" s="9"/>
      <c r="X36264" s="9"/>
    </row>
    <row r="36265">
      <c r="D36265" s="9"/>
      <c r="G36265" s="9"/>
      <c r="J36265" s="11"/>
      <c r="U36265" s="9"/>
      <c r="X36265" s="9"/>
    </row>
    <row r="36266">
      <c r="D36266" s="9"/>
      <c r="G36266" s="9"/>
      <c r="J36266" s="11"/>
      <c r="U36266" s="9"/>
      <c r="X36266" s="9"/>
    </row>
    <row r="36267">
      <c r="D36267" s="9"/>
      <c r="G36267" s="9"/>
      <c r="J36267" s="11"/>
      <c r="U36267" s="9"/>
      <c r="X36267" s="9"/>
    </row>
    <row r="36268">
      <c r="D36268" s="9"/>
      <c r="G36268" s="9"/>
      <c r="J36268" s="11"/>
      <c r="U36268" s="9"/>
      <c r="X36268" s="9"/>
    </row>
    <row r="36269">
      <c r="D36269" s="9"/>
      <c r="G36269" s="9"/>
      <c r="J36269" s="11"/>
      <c r="U36269" s="9"/>
      <c r="X36269" s="9"/>
    </row>
    <row r="36270">
      <c r="D36270" s="9"/>
      <c r="G36270" s="9"/>
      <c r="J36270" s="11"/>
      <c r="U36270" s="9"/>
      <c r="X36270" s="9"/>
    </row>
    <row r="36271">
      <c r="D36271" s="9"/>
      <c r="G36271" s="9"/>
      <c r="J36271" s="11"/>
      <c r="U36271" s="9"/>
      <c r="X36271" s="9"/>
    </row>
    <row r="36272">
      <c r="D36272" s="9"/>
      <c r="G36272" s="9"/>
      <c r="J36272" s="11"/>
      <c r="U36272" s="9"/>
      <c r="X36272" s="9"/>
    </row>
    <row r="36273">
      <c r="D36273" s="9"/>
      <c r="G36273" s="9"/>
      <c r="J36273" s="11"/>
      <c r="U36273" s="9"/>
      <c r="X36273" s="9"/>
    </row>
    <row r="36274">
      <c r="D36274" s="9"/>
      <c r="G36274" s="9"/>
      <c r="J36274" s="11"/>
      <c r="U36274" s="9"/>
      <c r="X36274" s="9"/>
    </row>
    <row r="36275">
      <c r="D36275" s="9"/>
      <c r="G36275" s="9"/>
      <c r="J36275" s="11"/>
      <c r="U36275" s="9"/>
      <c r="X36275" s="9"/>
    </row>
    <row r="36276">
      <c r="D36276" s="9"/>
      <c r="G36276" s="9"/>
      <c r="J36276" s="11"/>
      <c r="U36276" s="9"/>
      <c r="X36276" s="9"/>
    </row>
    <row r="36277">
      <c r="D36277" s="9"/>
      <c r="G36277" s="9"/>
      <c r="J36277" s="11"/>
      <c r="U36277" s="9"/>
      <c r="X36277" s="9"/>
    </row>
    <row r="36278">
      <c r="D36278" s="9"/>
      <c r="G36278" s="9"/>
      <c r="J36278" s="11"/>
      <c r="U36278" s="9"/>
      <c r="X36278" s="9"/>
    </row>
    <row r="36279">
      <c r="D36279" s="9"/>
      <c r="G36279" s="9"/>
      <c r="J36279" s="11"/>
      <c r="U36279" s="9"/>
      <c r="X36279" s="9"/>
    </row>
    <row r="36280">
      <c r="D36280" s="9"/>
      <c r="G36280" s="9"/>
      <c r="J36280" s="11"/>
      <c r="U36280" s="9"/>
      <c r="X36280" s="9"/>
    </row>
    <row r="36281">
      <c r="D36281" s="9"/>
      <c r="G36281" s="9"/>
      <c r="J36281" s="11"/>
      <c r="U36281" s="9"/>
      <c r="X36281" s="9"/>
    </row>
    <row r="36282">
      <c r="D36282" s="9"/>
      <c r="G36282" s="9"/>
      <c r="J36282" s="11"/>
      <c r="U36282" s="9"/>
      <c r="X36282" s="9"/>
    </row>
    <row r="36283">
      <c r="D36283" s="9"/>
      <c r="G36283" s="9"/>
      <c r="J36283" s="11"/>
      <c r="U36283" s="9"/>
      <c r="X36283" s="9"/>
    </row>
    <row r="36284">
      <c r="D36284" s="9"/>
      <c r="G36284" s="9"/>
      <c r="J36284" s="11"/>
      <c r="U36284" s="9"/>
      <c r="X36284" s="9"/>
    </row>
    <row r="36285">
      <c r="D36285" s="9"/>
      <c r="G36285" s="9"/>
      <c r="J36285" s="11"/>
      <c r="U36285" s="9"/>
      <c r="X36285" s="9"/>
    </row>
    <row r="36286">
      <c r="D36286" s="9"/>
      <c r="G36286" s="9"/>
      <c r="J36286" s="11"/>
      <c r="U36286" s="9"/>
      <c r="X36286" s="9"/>
    </row>
    <row r="36287">
      <c r="D36287" s="9"/>
      <c r="G36287" s="9"/>
      <c r="J36287" s="11"/>
      <c r="U36287" s="9"/>
      <c r="X36287" s="9"/>
    </row>
    <row r="36288">
      <c r="D36288" s="9"/>
      <c r="G36288" s="9"/>
      <c r="J36288" s="11"/>
      <c r="U36288" s="9"/>
      <c r="X36288" s="9"/>
    </row>
    <row r="36289">
      <c r="D36289" s="9"/>
      <c r="G36289" s="9"/>
      <c r="J36289" s="11"/>
      <c r="U36289" s="9"/>
      <c r="X36289" s="9"/>
    </row>
    <row r="36290">
      <c r="D36290" s="9"/>
      <c r="G36290" s="9"/>
      <c r="J36290" s="11"/>
      <c r="U36290" s="9"/>
      <c r="X36290" s="9"/>
    </row>
    <row r="36291">
      <c r="D36291" s="9"/>
      <c r="G36291" s="9"/>
      <c r="J36291" s="11"/>
      <c r="U36291" s="9"/>
      <c r="X36291" s="9"/>
    </row>
    <row r="36292">
      <c r="D36292" s="9"/>
      <c r="G36292" s="9"/>
      <c r="J36292" s="11"/>
      <c r="U36292" s="9"/>
      <c r="X36292" s="9"/>
    </row>
    <row r="36293">
      <c r="D36293" s="9"/>
      <c r="G36293" s="9"/>
      <c r="J36293" s="11"/>
      <c r="U36293" s="9"/>
      <c r="X36293" s="9"/>
    </row>
    <row r="36294">
      <c r="D36294" s="9"/>
      <c r="G36294" s="9"/>
      <c r="J36294" s="11"/>
      <c r="U36294" s="9"/>
      <c r="X36294" s="9"/>
    </row>
    <row r="36295">
      <c r="D36295" s="9"/>
      <c r="G36295" s="9"/>
      <c r="J36295" s="11"/>
      <c r="U36295" s="9"/>
      <c r="X36295" s="9"/>
    </row>
    <row r="36296">
      <c r="D36296" s="9"/>
      <c r="G36296" s="9"/>
      <c r="J36296" s="11"/>
      <c r="U36296" s="9"/>
      <c r="X36296" s="9"/>
    </row>
    <row r="36297">
      <c r="D36297" s="9"/>
      <c r="G36297" s="9"/>
      <c r="J36297" s="11"/>
      <c r="U36297" s="9"/>
      <c r="X36297" s="9"/>
    </row>
    <row r="36298">
      <c r="D36298" s="9"/>
      <c r="G36298" s="9"/>
      <c r="J36298" s="11"/>
      <c r="U36298" s="9"/>
      <c r="X36298" s="9"/>
    </row>
    <row r="36299">
      <c r="D36299" s="9"/>
      <c r="G36299" s="9"/>
      <c r="J36299" s="11"/>
      <c r="U36299" s="9"/>
      <c r="X36299" s="9"/>
    </row>
    <row r="36300">
      <c r="D36300" s="9"/>
      <c r="G36300" s="9"/>
      <c r="J36300" s="11"/>
      <c r="U36300" s="9"/>
      <c r="X36300" s="9"/>
    </row>
    <row r="36301">
      <c r="D36301" s="9"/>
      <c r="G36301" s="9"/>
      <c r="J36301" s="11"/>
      <c r="U36301" s="9"/>
      <c r="X36301" s="9"/>
    </row>
    <row r="36302">
      <c r="D36302" s="9"/>
      <c r="G36302" s="9"/>
      <c r="J36302" s="11"/>
      <c r="U36302" s="9"/>
      <c r="X36302" s="9"/>
    </row>
    <row r="36303">
      <c r="D36303" s="9"/>
      <c r="G36303" s="9"/>
      <c r="J36303" s="11"/>
      <c r="U36303" s="9"/>
      <c r="X36303" s="9"/>
    </row>
    <row r="36304">
      <c r="D36304" s="9"/>
      <c r="G36304" s="9"/>
      <c r="J36304" s="11"/>
      <c r="U36304" s="9"/>
      <c r="X36304" s="9"/>
    </row>
    <row r="36305">
      <c r="D36305" s="9"/>
      <c r="G36305" s="9"/>
      <c r="J36305" s="11"/>
      <c r="U36305" s="9"/>
      <c r="X36305" s="9"/>
    </row>
    <row r="36306">
      <c r="D36306" s="9"/>
      <c r="G36306" s="9"/>
      <c r="J36306" s="11"/>
      <c r="U36306" s="9"/>
      <c r="X36306" s="9"/>
    </row>
    <row r="36307">
      <c r="D36307" s="9"/>
      <c r="G36307" s="9"/>
      <c r="J36307" s="11"/>
      <c r="U36307" s="9"/>
      <c r="X36307" s="9"/>
    </row>
    <row r="36308">
      <c r="D36308" s="9"/>
      <c r="G36308" s="9"/>
      <c r="J36308" s="11"/>
      <c r="U36308" s="9"/>
      <c r="X36308" s="9"/>
    </row>
    <row r="36309">
      <c r="D36309" s="9"/>
      <c r="G36309" s="9"/>
      <c r="J36309" s="11"/>
      <c r="U36309" s="9"/>
      <c r="X36309" s="9"/>
    </row>
    <row r="36310">
      <c r="D36310" s="9"/>
      <c r="G36310" s="9"/>
      <c r="J36310" s="11"/>
      <c r="U36310" s="9"/>
      <c r="X36310" s="9"/>
    </row>
    <row r="36311">
      <c r="D36311" s="9"/>
      <c r="G36311" s="9"/>
      <c r="J36311" s="11"/>
      <c r="U36311" s="9"/>
      <c r="X36311" s="9"/>
    </row>
    <row r="36312">
      <c r="D36312" s="9"/>
      <c r="G36312" s="9"/>
      <c r="J36312" s="11"/>
      <c r="U36312" s="9"/>
      <c r="X36312" s="9"/>
    </row>
    <row r="36313">
      <c r="D36313" s="9"/>
      <c r="G36313" s="9"/>
      <c r="J36313" s="11"/>
      <c r="U36313" s="9"/>
      <c r="X36313" s="9"/>
    </row>
    <row r="36314">
      <c r="D36314" s="9"/>
      <c r="G36314" s="9"/>
      <c r="J36314" s="11"/>
      <c r="U36314" s="9"/>
      <c r="X36314" s="9"/>
    </row>
    <row r="36315">
      <c r="D36315" s="9"/>
      <c r="G36315" s="9"/>
      <c r="J36315" s="11"/>
      <c r="U36315" s="9"/>
      <c r="X36315" s="9"/>
    </row>
    <row r="36316">
      <c r="D36316" s="9"/>
      <c r="G36316" s="9"/>
      <c r="J36316" s="11"/>
      <c r="U36316" s="9"/>
      <c r="X36316" s="9"/>
    </row>
    <row r="36317">
      <c r="D36317" s="9"/>
      <c r="G36317" s="9"/>
      <c r="J36317" s="11"/>
      <c r="U36317" s="9"/>
      <c r="X36317" s="9"/>
    </row>
    <row r="36318">
      <c r="D36318" s="9"/>
      <c r="G36318" s="9"/>
      <c r="J36318" s="11"/>
      <c r="U36318" s="9"/>
      <c r="X36318" s="9"/>
    </row>
    <row r="36319">
      <c r="D36319" s="9"/>
      <c r="G36319" s="9"/>
      <c r="J36319" s="11"/>
      <c r="U36319" s="9"/>
      <c r="X36319" s="9"/>
    </row>
    <row r="36320">
      <c r="D36320" s="9"/>
      <c r="G36320" s="9"/>
      <c r="J36320" s="11"/>
      <c r="U36320" s="9"/>
      <c r="X36320" s="9"/>
    </row>
    <row r="36321">
      <c r="D36321" s="9"/>
      <c r="G36321" s="9"/>
      <c r="J36321" s="11"/>
      <c r="U36321" s="9"/>
      <c r="X36321" s="9"/>
    </row>
    <row r="36322">
      <c r="D36322" s="9"/>
      <c r="G36322" s="9"/>
      <c r="J36322" s="11"/>
      <c r="U36322" s="9"/>
      <c r="X36322" s="9"/>
    </row>
    <row r="36323">
      <c r="D36323" s="9"/>
      <c r="G36323" s="9"/>
      <c r="J36323" s="11"/>
      <c r="U36323" s="9"/>
      <c r="X36323" s="9"/>
    </row>
    <row r="36324">
      <c r="D36324" s="9"/>
      <c r="G36324" s="9"/>
      <c r="J36324" s="11"/>
      <c r="U36324" s="9"/>
      <c r="X36324" s="9"/>
    </row>
    <row r="36325">
      <c r="D36325" s="9"/>
      <c r="G36325" s="9"/>
      <c r="J36325" s="11"/>
      <c r="U36325" s="9"/>
      <c r="X36325" s="9"/>
    </row>
    <row r="36326">
      <c r="D36326" s="9"/>
      <c r="G36326" s="9"/>
      <c r="J36326" s="11"/>
      <c r="U36326" s="9"/>
      <c r="X36326" s="9"/>
    </row>
    <row r="36327">
      <c r="D36327" s="9"/>
      <c r="G36327" s="9"/>
      <c r="J36327" s="11"/>
      <c r="U36327" s="9"/>
      <c r="X36327" s="9"/>
    </row>
    <row r="36328">
      <c r="D36328" s="9"/>
      <c r="G36328" s="9"/>
      <c r="J36328" s="11"/>
      <c r="U36328" s="9"/>
      <c r="X36328" s="9"/>
    </row>
    <row r="36329">
      <c r="D36329" s="9"/>
      <c r="G36329" s="9"/>
      <c r="J36329" s="11"/>
      <c r="U36329" s="9"/>
      <c r="X36329" s="9"/>
    </row>
    <row r="36330">
      <c r="D36330" s="9"/>
      <c r="G36330" s="9"/>
      <c r="J36330" s="11"/>
      <c r="U36330" s="9"/>
      <c r="X36330" s="9"/>
    </row>
    <row r="36331">
      <c r="D36331" s="9"/>
      <c r="G36331" s="9"/>
      <c r="J36331" s="11"/>
      <c r="U36331" s="9"/>
      <c r="X36331" s="9"/>
    </row>
    <row r="36332">
      <c r="D36332" s="9"/>
      <c r="G36332" s="9"/>
      <c r="J36332" s="11"/>
      <c r="U36332" s="9"/>
      <c r="X36332" s="9"/>
    </row>
    <row r="36333">
      <c r="D36333" s="9"/>
      <c r="G36333" s="9"/>
      <c r="J36333" s="11"/>
      <c r="U36333" s="9"/>
      <c r="X36333" s="9"/>
    </row>
    <row r="36334">
      <c r="D36334" s="9"/>
      <c r="G36334" s="9"/>
      <c r="J36334" s="11"/>
      <c r="U36334" s="9"/>
      <c r="X36334" s="9"/>
    </row>
    <row r="36335">
      <c r="D36335" s="9"/>
      <c r="G36335" s="9"/>
      <c r="J36335" s="11"/>
      <c r="U36335" s="9"/>
      <c r="X36335" s="9"/>
    </row>
    <row r="36336">
      <c r="D36336" s="9"/>
      <c r="G36336" s="9"/>
      <c r="J36336" s="11"/>
      <c r="U36336" s="9"/>
      <c r="X36336" s="9"/>
    </row>
    <row r="36337">
      <c r="D36337" s="9"/>
      <c r="G36337" s="9"/>
      <c r="J36337" s="11"/>
      <c r="U36337" s="9"/>
      <c r="X36337" s="9"/>
    </row>
    <row r="36338">
      <c r="D36338" s="9"/>
      <c r="G36338" s="9"/>
      <c r="J36338" s="11"/>
      <c r="U36338" s="9"/>
      <c r="X36338" s="9"/>
    </row>
    <row r="36339">
      <c r="D36339" s="9"/>
      <c r="G36339" s="9"/>
      <c r="J36339" s="11"/>
      <c r="U36339" s="9"/>
      <c r="X36339" s="9"/>
    </row>
    <row r="36340">
      <c r="D36340" s="9"/>
      <c r="G36340" s="9"/>
      <c r="J36340" s="11"/>
      <c r="U36340" s="9"/>
      <c r="X36340" s="9"/>
    </row>
    <row r="36341">
      <c r="D36341" s="9"/>
      <c r="G36341" s="9"/>
      <c r="J36341" s="11"/>
      <c r="U36341" s="9"/>
      <c r="X36341" s="9"/>
    </row>
    <row r="36342">
      <c r="D36342" s="9"/>
      <c r="G36342" s="9"/>
      <c r="J36342" s="11"/>
      <c r="U36342" s="9"/>
      <c r="X36342" s="9"/>
    </row>
    <row r="36343">
      <c r="D36343" s="9"/>
      <c r="G36343" s="9"/>
      <c r="J36343" s="11"/>
      <c r="U36343" s="9"/>
      <c r="X36343" s="9"/>
    </row>
    <row r="36344">
      <c r="D36344" s="9"/>
      <c r="G36344" s="9"/>
      <c r="J36344" s="11"/>
      <c r="U36344" s="9"/>
      <c r="X36344" s="9"/>
    </row>
    <row r="36345">
      <c r="D36345" s="9"/>
      <c r="G36345" s="9"/>
      <c r="J36345" s="11"/>
      <c r="U36345" s="9"/>
      <c r="X36345" s="9"/>
    </row>
    <row r="36346">
      <c r="D36346" s="9"/>
      <c r="G36346" s="9"/>
      <c r="J36346" s="11"/>
      <c r="U36346" s="9"/>
      <c r="X36346" s="9"/>
    </row>
    <row r="36347">
      <c r="D36347" s="9"/>
      <c r="G36347" s="9"/>
      <c r="J36347" s="11"/>
      <c r="U36347" s="9"/>
      <c r="X36347" s="9"/>
    </row>
    <row r="36348">
      <c r="D36348" s="9"/>
      <c r="G36348" s="9"/>
      <c r="J36348" s="11"/>
      <c r="U36348" s="9"/>
      <c r="X36348" s="9"/>
    </row>
    <row r="36349">
      <c r="D36349" s="9"/>
      <c r="G36349" s="9"/>
      <c r="J36349" s="11"/>
      <c r="U36349" s="9"/>
      <c r="X36349" s="9"/>
    </row>
    <row r="36350">
      <c r="D36350" s="9"/>
      <c r="G36350" s="9"/>
      <c r="J36350" s="11"/>
      <c r="U36350" s="9"/>
      <c r="X36350" s="9"/>
    </row>
    <row r="36351">
      <c r="D36351" s="9"/>
      <c r="G36351" s="9"/>
      <c r="J36351" s="11"/>
      <c r="U36351" s="9"/>
      <c r="X36351" s="9"/>
    </row>
    <row r="36352">
      <c r="D36352" s="9"/>
      <c r="G36352" s="9"/>
      <c r="J36352" s="11"/>
      <c r="U36352" s="9"/>
      <c r="X36352" s="9"/>
    </row>
    <row r="36353">
      <c r="D36353" s="9"/>
      <c r="G36353" s="9"/>
      <c r="J36353" s="11"/>
      <c r="U36353" s="9"/>
      <c r="X36353" s="9"/>
    </row>
    <row r="36354">
      <c r="D36354" s="9"/>
      <c r="G36354" s="9"/>
      <c r="J36354" s="11"/>
      <c r="U36354" s="9"/>
      <c r="X36354" s="9"/>
    </row>
    <row r="36355">
      <c r="D36355" s="9"/>
      <c r="G36355" s="9"/>
      <c r="J36355" s="11"/>
      <c r="U36355" s="9"/>
      <c r="X36355" s="9"/>
    </row>
    <row r="36356">
      <c r="D36356" s="9"/>
      <c r="G36356" s="9"/>
      <c r="J36356" s="11"/>
      <c r="U36356" s="9"/>
      <c r="X36356" s="9"/>
    </row>
    <row r="36357">
      <c r="D36357" s="9"/>
      <c r="G36357" s="9"/>
      <c r="J36357" s="11"/>
      <c r="U36357" s="9"/>
      <c r="X36357" s="9"/>
    </row>
    <row r="36358">
      <c r="D36358" s="9"/>
      <c r="G36358" s="9"/>
      <c r="J36358" s="11"/>
      <c r="U36358" s="9"/>
      <c r="X36358" s="9"/>
    </row>
    <row r="36359">
      <c r="D36359" s="9"/>
      <c r="G36359" s="9"/>
      <c r="J36359" s="11"/>
      <c r="U36359" s="9"/>
      <c r="X36359" s="9"/>
    </row>
    <row r="36360">
      <c r="D36360" s="9"/>
      <c r="G36360" s="9"/>
      <c r="J36360" s="11"/>
      <c r="U36360" s="9"/>
      <c r="X36360" s="9"/>
    </row>
    <row r="36361">
      <c r="D36361" s="9"/>
      <c r="G36361" s="9"/>
      <c r="J36361" s="11"/>
      <c r="U36361" s="9"/>
      <c r="X36361" s="9"/>
    </row>
    <row r="36362">
      <c r="D36362" s="9"/>
      <c r="G36362" s="9"/>
      <c r="J36362" s="11"/>
      <c r="U36362" s="9"/>
      <c r="X36362" s="9"/>
    </row>
    <row r="36363">
      <c r="D36363" s="9"/>
      <c r="G36363" s="9"/>
      <c r="J36363" s="11"/>
      <c r="U36363" s="9"/>
      <c r="X36363" s="9"/>
    </row>
    <row r="36364">
      <c r="D36364" s="9"/>
      <c r="G36364" s="9"/>
      <c r="J36364" s="11"/>
      <c r="U36364" s="9"/>
      <c r="X36364" s="9"/>
    </row>
    <row r="36365">
      <c r="D36365" s="9"/>
      <c r="G36365" s="9"/>
      <c r="J36365" s="11"/>
      <c r="U36365" s="9"/>
      <c r="X36365" s="9"/>
    </row>
    <row r="36366">
      <c r="D36366" s="9"/>
      <c r="G36366" s="9"/>
      <c r="J36366" s="11"/>
      <c r="U36366" s="9"/>
      <c r="X36366" s="9"/>
    </row>
    <row r="36367">
      <c r="D36367" s="9"/>
      <c r="G36367" s="9"/>
      <c r="J36367" s="11"/>
      <c r="U36367" s="9"/>
      <c r="X36367" s="9"/>
    </row>
    <row r="36368">
      <c r="D36368" s="9"/>
      <c r="G36368" s="9"/>
      <c r="J36368" s="11"/>
      <c r="U36368" s="9"/>
      <c r="X36368" s="9"/>
    </row>
    <row r="36369">
      <c r="D36369" s="9"/>
      <c r="G36369" s="9"/>
      <c r="J36369" s="11"/>
      <c r="U36369" s="9"/>
      <c r="X36369" s="9"/>
    </row>
    <row r="36370">
      <c r="D36370" s="9"/>
      <c r="G36370" s="9"/>
      <c r="J36370" s="11"/>
      <c r="U36370" s="9"/>
      <c r="X36370" s="9"/>
    </row>
    <row r="36371">
      <c r="D36371" s="9"/>
      <c r="G36371" s="9"/>
      <c r="J36371" s="11"/>
      <c r="U36371" s="9"/>
      <c r="X36371" s="9"/>
    </row>
    <row r="36372">
      <c r="D36372" s="9"/>
      <c r="G36372" s="9"/>
      <c r="J36372" s="11"/>
      <c r="U36372" s="9"/>
      <c r="X36372" s="9"/>
    </row>
    <row r="36373">
      <c r="D36373" s="9"/>
      <c r="G36373" s="9"/>
      <c r="J36373" s="11"/>
      <c r="U36373" s="9"/>
      <c r="X36373" s="9"/>
    </row>
    <row r="36374">
      <c r="D36374" s="9"/>
      <c r="G36374" s="9"/>
      <c r="J36374" s="11"/>
      <c r="U36374" s="9"/>
      <c r="X36374" s="9"/>
    </row>
    <row r="36375">
      <c r="D36375" s="9"/>
      <c r="G36375" s="9"/>
      <c r="J36375" s="11"/>
      <c r="U36375" s="9"/>
      <c r="X36375" s="9"/>
    </row>
    <row r="36376">
      <c r="D36376" s="9"/>
      <c r="G36376" s="9"/>
      <c r="J36376" s="11"/>
      <c r="U36376" s="9"/>
      <c r="X36376" s="9"/>
    </row>
    <row r="36377">
      <c r="D36377" s="9"/>
      <c r="G36377" s="9"/>
      <c r="J36377" s="11"/>
      <c r="U36377" s="9"/>
      <c r="X36377" s="9"/>
    </row>
    <row r="36378">
      <c r="D36378" s="9"/>
      <c r="G36378" s="9"/>
      <c r="J36378" s="11"/>
      <c r="U36378" s="9"/>
      <c r="X36378" s="9"/>
    </row>
    <row r="36379">
      <c r="D36379" s="9"/>
      <c r="G36379" s="9"/>
      <c r="J36379" s="11"/>
      <c r="U36379" s="9"/>
      <c r="X36379" s="9"/>
    </row>
    <row r="36380">
      <c r="D36380" s="9"/>
      <c r="G36380" s="9"/>
      <c r="J36380" s="11"/>
      <c r="U36380" s="9"/>
      <c r="X36380" s="9"/>
    </row>
    <row r="36381">
      <c r="D36381" s="9"/>
      <c r="G36381" s="9"/>
      <c r="J36381" s="11"/>
      <c r="U36381" s="9"/>
      <c r="X36381" s="9"/>
    </row>
    <row r="36382">
      <c r="D36382" s="9"/>
      <c r="G36382" s="9"/>
      <c r="J36382" s="11"/>
      <c r="U36382" s="9"/>
      <c r="X36382" s="9"/>
    </row>
    <row r="36383">
      <c r="D36383" s="9"/>
      <c r="G36383" s="9"/>
      <c r="J36383" s="11"/>
      <c r="U36383" s="9"/>
      <c r="X36383" s="9"/>
    </row>
    <row r="36384">
      <c r="D36384" s="9"/>
      <c r="G36384" s="9"/>
      <c r="J36384" s="11"/>
      <c r="U36384" s="9"/>
      <c r="X36384" s="9"/>
    </row>
    <row r="36385">
      <c r="D36385" s="9"/>
      <c r="G36385" s="9"/>
      <c r="J36385" s="11"/>
      <c r="U36385" s="9"/>
      <c r="X36385" s="9"/>
    </row>
    <row r="36386">
      <c r="D36386" s="9"/>
      <c r="G36386" s="9"/>
      <c r="J36386" s="11"/>
      <c r="U36386" s="9"/>
      <c r="X36386" s="9"/>
    </row>
    <row r="36387">
      <c r="D36387" s="9"/>
      <c r="G36387" s="9"/>
      <c r="J36387" s="11"/>
      <c r="U36387" s="9"/>
      <c r="X36387" s="9"/>
    </row>
    <row r="36388">
      <c r="D36388" s="9"/>
      <c r="G36388" s="9"/>
      <c r="J36388" s="11"/>
      <c r="U36388" s="9"/>
      <c r="X36388" s="9"/>
    </row>
    <row r="36389">
      <c r="D36389" s="9"/>
      <c r="G36389" s="9"/>
      <c r="J36389" s="11"/>
      <c r="U36389" s="9"/>
      <c r="X36389" s="9"/>
    </row>
    <row r="36390">
      <c r="D36390" s="9"/>
      <c r="G36390" s="9"/>
      <c r="J36390" s="11"/>
      <c r="U36390" s="9"/>
      <c r="X36390" s="9"/>
    </row>
    <row r="36391">
      <c r="D36391" s="9"/>
      <c r="G36391" s="9"/>
      <c r="J36391" s="11"/>
      <c r="U36391" s="9"/>
      <c r="X36391" s="9"/>
    </row>
    <row r="36392">
      <c r="D36392" s="9"/>
      <c r="G36392" s="9"/>
      <c r="J36392" s="11"/>
      <c r="U36392" s="9"/>
      <c r="X36392" s="9"/>
    </row>
    <row r="36393">
      <c r="D36393" s="9"/>
      <c r="G36393" s="9"/>
      <c r="J36393" s="11"/>
      <c r="U36393" s="9"/>
      <c r="X36393" s="9"/>
    </row>
    <row r="36394">
      <c r="D36394" s="9"/>
      <c r="G36394" s="9"/>
      <c r="J36394" s="11"/>
      <c r="U36394" s="9"/>
      <c r="X36394" s="9"/>
    </row>
    <row r="36395">
      <c r="D36395" s="9"/>
      <c r="G36395" s="9"/>
      <c r="J36395" s="11"/>
      <c r="U36395" s="9"/>
      <c r="X36395" s="9"/>
    </row>
    <row r="36396">
      <c r="D36396" s="9"/>
      <c r="G36396" s="9"/>
      <c r="J36396" s="11"/>
      <c r="U36396" s="9"/>
      <c r="X36396" s="9"/>
    </row>
    <row r="36397">
      <c r="D36397" s="9"/>
      <c r="G36397" s="9"/>
      <c r="J36397" s="11"/>
      <c r="U36397" s="9"/>
      <c r="X36397" s="9"/>
    </row>
    <row r="36398">
      <c r="D36398" s="9"/>
      <c r="G36398" s="9"/>
      <c r="J36398" s="11"/>
      <c r="U36398" s="9"/>
      <c r="X36398" s="9"/>
    </row>
    <row r="36399">
      <c r="D36399" s="9"/>
      <c r="G36399" s="9"/>
      <c r="J36399" s="11"/>
      <c r="U36399" s="9"/>
      <c r="X36399" s="9"/>
    </row>
    <row r="36400">
      <c r="D36400" s="9"/>
      <c r="G36400" s="9"/>
      <c r="J36400" s="11"/>
      <c r="U36400" s="9"/>
      <c r="X36400" s="9"/>
    </row>
    <row r="36401">
      <c r="D36401" s="9"/>
      <c r="G36401" s="9"/>
      <c r="J36401" s="11"/>
      <c r="U36401" s="9"/>
      <c r="X36401" s="9"/>
    </row>
    <row r="36402">
      <c r="D36402" s="9"/>
      <c r="G36402" s="9"/>
      <c r="J36402" s="11"/>
      <c r="U36402" s="9"/>
      <c r="X36402" s="9"/>
    </row>
    <row r="36403">
      <c r="D36403" s="9"/>
      <c r="G36403" s="9"/>
      <c r="J36403" s="11"/>
      <c r="U36403" s="9"/>
      <c r="X36403" s="9"/>
    </row>
    <row r="36404">
      <c r="D36404" s="9"/>
      <c r="G36404" s="9"/>
      <c r="J36404" s="11"/>
      <c r="U36404" s="9"/>
      <c r="X36404" s="9"/>
    </row>
    <row r="36405">
      <c r="D36405" s="9"/>
      <c r="G36405" s="9"/>
      <c r="J36405" s="11"/>
      <c r="U36405" s="9"/>
      <c r="X36405" s="9"/>
    </row>
    <row r="36406">
      <c r="D36406" s="9"/>
      <c r="G36406" s="9"/>
      <c r="J36406" s="11"/>
      <c r="U36406" s="9"/>
      <c r="X36406" s="9"/>
    </row>
    <row r="36407">
      <c r="D36407" s="9"/>
      <c r="G36407" s="9"/>
      <c r="J36407" s="11"/>
      <c r="U36407" s="9"/>
      <c r="X36407" s="9"/>
    </row>
    <row r="36408">
      <c r="D36408" s="9"/>
      <c r="G36408" s="9"/>
      <c r="J36408" s="11"/>
      <c r="U36408" s="9"/>
      <c r="X36408" s="9"/>
    </row>
    <row r="36409">
      <c r="D36409" s="9"/>
      <c r="G36409" s="9"/>
      <c r="J36409" s="11"/>
      <c r="U36409" s="9"/>
      <c r="X36409" s="9"/>
    </row>
    <row r="36410">
      <c r="D36410" s="9"/>
      <c r="G36410" s="9"/>
      <c r="J36410" s="11"/>
      <c r="U36410" s="9"/>
      <c r="X36410" s="9"/>
    </row>
    <row r="36411">
      <c r="D36411" s="9"/>
      <c r="G36411" s="9"/>
      <c r="J36411" s="11"/>
      <c r="U36411" s="9"/>
      <c r="X36411" s="9"/>
    </row>
    <row r="36412">
      <c r="D36412" s="9"/>
      <c r="G36412" s="9"/>
      <c r="J36412" s="11"/>
      <c r="U36412" s="9"/>
      <c r="X36412" s="9"/>
    </row>
    <row r="36413">
      <c r="D36413" s="9"/>
      <c r="G36413" s="9"/>
      <c r="J36413" s="11"/>
      <c r="U36413" s="9"/>
      <c r="X36413" s="9"/>
    </row>
    <row r="36414">
      <c r="D36414" s="9"/>
      <c r="G36414" s="9"/>
      <c r="J36414" s="11"/>
      <c r="U36414" s="9"/>
      <c r="X36414" s="9"/>
    </row>
    <row r="36415">
      <c r="D36415" s="9"/>
      <c r="G36415" s="9"/>
      <c r="J36415" s="11"/>
      <c r="U36415" s="9"/>
      <c r="X36415" s="9"/>
    </row>
    <row r="36416">
      <c r="D36416" s="9"/>
      <c r="G36416" s="9"/>
      <c r="J36416" s="11"/>
      <c r="U36416" s="9"/>
      <c r="X36416" s="9"/>
    </row>
    <row r="36417">
      <c r="D36417" s="9"/>
      <c r="G36417" s="9"/>
      <c r="J36417" s="11"/>
      <c r="U36417" s="9"/>
      <c r="X36417" s="9"/>
    </row>
    <row r="36418">
      <c r="D36418" s="9"/>
      <c r="G36418" s="9"/>
      <c r="J36418" s="11"/>
      <c r="U36418" s="9"/>
      <c r="X36418" s="9"/>
    </row>
    <row r="36419">
      <c r="D36419" s="9"/>
      <c r="G36419" s="9"/>
      <c r="J36419" s="11"/>
      <c r="U36419" s="9"/>
      <c r="X36419" s="9"/>
    </row>
    <row r="36420">
      <c r="D36420" s="9"/>
      <c r="G36420" s="9"/>
      <c r="J36420" s="11"/>
      <c r="U36420" s="9"/>
      <c r="X36420" s="9"/>
    </row>
    <row r="36421">
      <c r="D36421" s="9"/>
      <c r="G36421" s="9"/>
      <c r="J36421" s="11"/>
      <c r="U36421" s="9"/>
      <c r="X36421" s="9"/>
    </row>
    <row r="36422">
      <c r="D36422" s="9"/>
      <c r="G36422" s="9"/>
      <c r="J36422" s="11"/>
      <c r="U36422" s="9"/>
      <c r="X36422" s="9"/>
    </row>
    <row r="36423">
      <c r="D36423" s="9"/>
      <c r="G36423" s="9"/>
      <c r="J36423" s="11"/>
      <c r="U36423" s="9"/>
      <c r="X36423" s="9"/>
    </row>
    <row r="36424">
      <c r="D36424" s="9"/>
      <c r="G36424" s="9"/>
      <c r="J36424" s="11"/>
      <c r="U36424" s="9"/>
      <c r="X36424" s="9"/>
    </row>
    <row r="36425">
      <c r="D36425" s="9"/>
      <c r="G36425" s="9"/>
      <c r="J36425" s="11"/>
      <c r="U36425" s="9"/>
      <c r="X36425" s="9"/>
    </row>
    <row r="36426">
      <c r="D36426" s="9"/>
      <c r="G36426" s="9"/>
      <c r="J36426" s="11"/>
      <c r="U36426" s="9"/>
      <c r="X36426" s="9"/>
    </row>
    <row r="36427">
      <c r="D36427" s="9"/>
      <c r="G36427" s="9"/>
      <c r="J36427" s="11"/>
      <c r="U36427" s="9"/>
      <c r="X36427" s="9"/>
    </row>
    <row r="36428">
      <c r="D36428" s="9"/>
      <c r="G36428" s="9"/>
      <c r="J36428" s="11"/>
      <c r="U36428" s="9"/>
      <c r="X36428" s="9"/>
    </row>
    <row r="36429">
      <c r="D36429" s="9"/>
      <c r="G36429" s="9"/>
      <c r="J36429" s="11"/>
      <c r="U36429" s="9"/>
      <c r="X36429" s="9"/>
    </row>
    <row r="36430">
      <c r="D36430" s="9"/>
      <c r="G36430" s="9"/>
      <c r="J36430" s="11"/>
      <c r="U36430" s="9"/>
      <c r="X36430" s="9"/>
    </row>
    <row r="36431">
      <c r="D36431" s="9"/>
      <c r="G36431" s="9"/>
      <c r="J36431" s="11"/>
      <c r="U36431" s="9"/>
      <c r="X36431" s="9"/>
    </row>
    <row r="36432">
      <c r="D36432" s="9"/>
      <c r="G36432" s="9"/>
      <c r="J36432" s="11"/>
      <c r="U36432" s="9"/>
      <c r="X36432" s="9"/>
    </row>
    <row r="36433">
      <c r="D36433" s="9"/>
      <c r="G36433" s="9"/>
      <c r="J36433" s="11"/>
      <c r="U36433" s="9"/>
      <c r="X36433" s="9"/>
    </row>
    <row r="36434">
      <c r="D36434" s="9"/>
      <c r="G36434" s="9"/>
      <c r="J36434" s="11"/>
      <c r="U36434" s="9"/>
      <c r="X36434" s="9"/>
    </row>
    <row r="36435">
      <c r="D36435" s="9"/>
      <c r="G36435" s="9"/>
      <c r="J36435" s="11"/>
      <c r="U36435" s="9"/>
      <c r="X36435" s="9"/>
    </row>
    <row r="36436">
      <c r="D36436" s="9"/>
      <c r="G36436" s="9"/>
      <c r="J36436" s="11"/>
      <c r="U36436" s="9"/>
      <c r="X36436" s="9"/>
    </row>
    <row r="36437">
      <c r="D36437" s="9"/>
      <c r="G36437" s="9"/>
      <c r="J36437" s="11"/>
      <c r="U36437" s="9"/>
      <c r="X36437" s="9"/>
    </row>
    <row r="36438">
      <c r="D36438" s="9"/>
      <c r="G36438" s="9"/>
      <c r="J36438" s="11"/>
      <c r="U36438" s="9"/>
      <c r="X36438" s="9"/>
    </row>
    <row r="36439">
      <c r="D36439" s="9"/>
      <c r="G36439" s="9"/>
      <c r="J36439" s="11"/>
      <c r="U36439" s="9"/>
      <c r="X36439" s="9"/>
    </row>
    <row r="36440">
      <c r="D36440" s="9"/>
      <c r="G36440" s="9"/>
      <c r="J36440" s="11"/>
      <c r="U36440" s="9"/>
      <c r="X36440" s="9"/>
    </row>
    <row r="36441">
      <c r="D36441" s="9"/>
      <c r="G36441" s="9"/>
      <c r="J36441" s="11"/>
      <c r="U36441" s="9"/>
      <c r="X36441" s="9"/>
    </row>
    <row r="36442">
      <c r="D36442" s="9"/>
      <c r="G36442" s="9"/>
      <c r="J36442" s="11"/>
      <c r="U36442" s="9"/>
      <c r="X36442" s="9"/>
    </row>
    <row r="36443">
      <c r="D36443" s="9"/>
      <c r="G36443" s="9"/>
      <c r="J36443" s="11"/>
      <c r="U36443" s="9"/>
      <c r="X36443" s="9"/>
    </row>
    <row r="36444">
      <c r="D36444" s="9"/>
      <c r="G36444" s="9"/>
      <c r="J36444" s="11"/>
      <c r="U36444" s="9"/>
      <c r="X36444" s="9"/>
    </row>
    <row r="36445">
      <c r="D36445" s="9"/>
      <c r="G36445" s="9"/>
      <c r="J36445" s="11"/>
      <c r="U36445" s="9"/>
      <c r="X36445" s="9"/>
    </row>
    <row r="36446">
      <c r="D36446" s="9"/>
      <c r="G36446" s="9"/>
      <c r="J36446" s="11"/>
      <c r="U36446" s="9"/>
      <c r="X36446" s="9"/>
    </row>
    <row r="36447">
      <c r="D36447" s="9"/>
      <c r="G36447" s="9"/>
      <c r="J36447" s="11"/>
      <c r="U36447" s="9"/>
      <c r="X36447" s="9"/>
    </row>
    <row r="36448">
      <c r="D36448" s="9"/>
      <c r="G36448" s="9"/>
      <c r="J36448" s="11"/>
      <c r="U36448" s="9"/>
      <c r="X36448" s="9"/>
    </row>
    <row r="36449">
      <c r="D36449" s="9"/>
      <c r="G36449" s="9"/>
      <c r="J36449" s="11"/>
      <c r="U36449" s="9"/>
      <c r="X36449" s="9"/>
    </row>
    <row r="36450">
      <c r="D36450" s="9"/>
      <c r="G36450" s="9"/>
      <c r="J36450" s="11"/>
      <c r="U36450" s="9"/>
      <c r="X36450" s="9"/>
    </row>
    <row r="36451">
      <c r="D36451" s="9"/>
      <c r="G36451" s="9"/>
      <c r="J36451" s="11"/>
      <c r="U36451" s="9"/>
      <c r="X36451" s="9"/>
    </row>
    <row r="36452">
      <c r="D36452" s="9"/>
      <c r="G36452" s="9"/>
      <c r="J36452" s="11"/>
      <c r="U36452" s="9"/>
      <c r="X36452" s="9"/>
    </row>
    <row r="36453">
      <c r="D36453" s="9"/>
      <c r="G36453" s="9"/>
      <c r="J36453" s="11"/>
      <c r="U36453" s="9"/>
      <c r="X36453" s="9"/>
    </row>
    <row r="36454">
      <c r="D36454" s="9"/>
      <c r="G36454" s="9"/>
      <c r="J36454" s="11"/>
      <c r="U36454" s="9"/>
      <c r="X36454" s="9"/>
    </row>
    <row r="36455">
      <c r="D36455" s="9"/>
      <c r="G36455" s="9"/>
      <c r="J36455" s="11"/>
      <c r="U36455" s="9"/>
      <c r="X36455" s="9"/>
    </row>
    <row r="36456">
      <c r="D36456" s="9"/>
      <c r="G36456" s="9"/>
      <c r="J36456" s="11"/>
      <c r="U36456" s="9"/>
      <c r="X36456" s="9"/>
    </row>
    <row r="36457">
      <c r="D36457" s="9"/>
      <c r="G36457" s="9"/>
      <c r="J36457" s="11"/>
      <c r="U36457" s="9"/>
      <c r="X36457" s="9"/>
    </row>
    <row r="36458">
      <c r="D36458" s="9"/>
      <c r="G36458" s="9"/>
      <c r="J36458" s="11"/>
      <c r="U36458" s="9"/>
      <c r="X36458" s="9"/>
    </row>
    <row r="36459">
      <c r="D36459" s="9"/>
      <c r="G36459" s="9"/>
      <c r="J36459" s="11"/>
      <c r="U36459" s="9"/>
      <c r="X36459" s="9"/>
    </row>
    <row r="36460">
      <c r="D36460" s="9"/>
      <c r="G36460" s="9"/>
      <c r="J36460" s="11"/>
      <c r="U36460" s="9"/>
      <c r="X36460" s="9"/>
    </row>
    <row r="36461">
      <c r="D36461" s="9"/>
      <c r="G36461" s="9"/>
      <c r="J36461" s="11"/>
      <c r="U36461" s="9"/>
      <c r="X36461" s="9"/>
    </row>
    <row r="36462">
      <c r="D36462" s="9"/>
      <c r="G36462" s="9"/>
      <c r="J36462" s="11"/>
      <c r="U36462" s="9"/>
      <c r="X36462" s="9"/>
    </row>
    <row r="36463">
      <c r="D36463" s="9"/>
      <c r="G36463" s="9"/>
      <c r="J36463" s="11"/>
      <c r="U36463" s="9"/>
      <c r="X36463" s="9"/>
    </row>
    <row r="36464">
      <c r="D36464" s="9"/>
      <c r="G36464" s="9"/>
      <c r="J36464" s="11"/>
      <c r="U36464" s="9"/>
      <c r="X36464" s="9"/>
    </row>
    <row r="36465">
      <c r="D36465" s="9"/>
      <c r="G36465" s="9"/>
      <c r="J36465" s="11"/>
      <c r="U36465" s="9"/>
      <c r="X36465" s="9"/>
    </row>
    <row r="36466">
      <c r="D36466" s="9"/>
      <c r="G36466" s="9"/>
      <c r="J36466" s="11"/>
      <c r="U36466" s="9"/>
      <c r="X36466" s="9"/>
    </row>
    <row r="36467">
      <c r="D36467" s="9"/>
      <c r="G36467" s="9"/>
      <c r="J36467" s="11"/>
      <c r="U36467" s="9"/>
      <c r="X36467" s="9"/>
    </row>
    <row r="36468">
      <c r="D36468" s="9"/>
      <c r="G36468" s="9"/>
      <c r="J36468" s="11"/>
      <c r="U36468" s="9"/>
      <c r="X36468" s="9"/>
    </row>
    <row r="36469">
      <c r="D36469" s="9"/>
      <c r="G36469" s="9"/>
      <c r="J36469" s="11"/>
      <c r="U36469" s="9"/>
      <c r="X36469" s="9"/>
    </row>
    <row r="36470">
      <c r="D36470" s="9"/>
      <c r="G36470" s="9"/>
      <c r="J36470" s="11"/>
      <c r="U36470" s="9"/>
      <c r="X36470" s="9"/>
    </row>
    <row r="36471">
      <c r="D36471" s="9"/>
      <c r="G36471" s="9"/>
      <c r="J36471" s="11"/>
      <c r="U36471" s="9"/>
      <c r="X36471" s="9"/>
    </row>
    <row r="36472">
      <c r="D36472" s="9"/>
      <c r="G36472" s="9"/>
      <c r="J36472" s="11"/>
      <c r="U36472" s="9"/>
      <c r="X36472" s="9"/>
    </row>
    <row r="36473">
      <c r="D36473" s="9"/>
      <c r="G36473" s="9"/>
      <c r="J36473" s="11"/>
      <c r="U36473" s="9"/>
      <c r="X36473" s="9"/>
    </row>
    <row r="36474">
      <c r="D36474" s="9"/>
      <c r="G36474" s="9"/>
      <c r="J36474" s="11"/>
      <c r="U36474" s="9"/>
      <c r="X36474" s="9"/>
    </row>
    <row r="36475">
      <c r="D36475" s="9"/>
      <c r="G36475" s="9"/>
      <c r="J36475" s="11"/>
      <c r="U36475" s="9"/>
      <c r="X36475" s="9"/>
    </row>
    <row r="36476">
      <c r="D36476" s="9"/>
      <c r="G36476" s="9"/>
      <c r="J36476" s="11"/>
      <c r="U36476" s="9"/>
      <c r="X36476" s="9"/>
    </row>
    <row r="36477">
      <c r="D36477" s="9"/>
      <c r="G36477" s="9"/>
      <c r="J36477" s="11"/>
      <c r="U36477" s="9"/>
      <c r="X36477" s="9"/>
    </row>
    <row r="36478">
      <c r="D36478" s="9"/>
      <c r="G36478" s="9"/>
      <c r="J36478" s="11"/>
      <c r="U36478" s="9"/>
      <c r="X36478" s="9"/>
    </row>
    <row r="36479">
      <c r="D36479" s="9"/>
      <c r="G36479" s="9"/>
      <c r="J36479" s="11"/>
      <c r="U36479" s="9"/>
      <c r="X36479" s="9"/>
    </row>
    <row r="36480">
      <c r="D36480" s="9"/>
      <c r="G36480" s="9"/>
      <c r="J36480" s="11"/>
      <c r="U36480" s="9"/>
      <c r="X36480" s="9"/>
    </row>
    <row r="36481">
      <c r="D36481" s="9"/>
      <c r="G36481" s="9"/>
      <c r="J36481" s="11"/>
      <c r="U36481" s="9"/>
      <c r="X36481" s="9"/>
    </row>
    <row r="36482">
      <c r="D36482" s="9"/>
      <c r="G36482" s="9"/>
      <c r="J36482" s="11"/>
      <c r="U36482" s="9"/>
      <c r="X36482" s="9"/>
    </row>
    <row r="36483">
      <c r="D36483" s="9"/>
      <c r="G36483" s="9"/>
      <c r="J36483" s="11"/>
      <c r="U36483" s="9"/>
      <c r="X36483" s="9"/>
    </row>
    <row r="36484">
      <c r="D36484" s="9"/>
      <c r="G36484" s="9"/>
      <c r="J36484" s="11"/>
      <c r="U36484" s="9"/>
      <c r="X36484" s="9"/>
    </row>
    <row r="36485">
      <c r="D36485" s="9"/>
      <c r="G36485" s="9"/>
      <c r="J36485" s="11"/>
      <c r="U36485" s="9"/>
      <c r="X36485" s="9"/>
    </row>
    <row r="36486">
      <c r="D36486" s="9"/>
      <c r="G36486" s="9"/>
      <c r="J36486" s="11"/>
      <c r="U36486" s="9"/>
      <c r="X36486" s="9"/>
    </row>
    <row r="36487">
      <c r="D36487" s="9"/>
      <c r="G36487" s="9"/>
      <c r="J36487" s="11"/>
      <c r="U36487" s="9"/>
      <c r="X36487" s="9"/>
    </row>
    <row r="36488">
      <c r="D36488" s="9"/>
      <c r="G36488" s="9"/>
      <c r="J36488" s="11"/>
      <c r="U36488" s="9"/>
      <c r="X36488" s="9"/>
    </row>
    <row r="36489">
      <c r="D36489" s="9"/>
      <c r="G36489" s="9"/>
      <c r="J36489" s="11"/>
      <c r="U36489" s="9"/>
      <c r="X36489" s="9"/>
    </row>
    <row r="36490">
      <c r="D36490" s="9"/>
      <c r="G36490" s="9"/>
      <c r="J36490" s="11"/>
      <c r="U36490" s="9"/>
      <c r="X36490" s="9"/>
    </row>
    <row r="36491">
      <c r="D36491" s="9"/>
      <c r="G36491" s="9"/>
      <c r="J36491" s="11"/>
      <c r="U36491" s="9"/>
      <c r="X36491" s="9"/>
    </row>
    <row r="36492">
      <c r="D36492" s="9"/>
      <c r="G36492" s="9"/>
      <c r="J36492" s="11"/>
      <c r="U36492" s="9"/>
      <c r="X36492" s="9"/>
    </row>
    <row r="36493">
      <c r="D36493" s="9"/>
      <c r="G36493" s="9"/>
      <c r="J36493" s="11"/>
      <c r="U36493" s="9"/>
      <c r="X36493" s="9"/>
    </row>
    <row r="36494">
      <c r="D36494" s="9"/>
      <c r="G36494" s="9"/>
      <c r="J36494" s="11"/>
      <c r="U36494" s="9"/>
      <c r="X36494" s="9"/>
    </row>
    <row r="36495">
      <c r="D36495" s="9"/>
      <c r="G36495" s="9"/>
      <c r="J36495" s="11"/>
      <c r="U36495" s="9"/>
      <c r="X36495" s="9"/>
    </row>
    <row r="36496">
      <c r="D36496" s="9"/>
      <c r="G36496" s="9"/>
      <c r="J36496" s="11"/>
      <c r="U36496" s="9"/>
      <c r="X36496" s="9"/>
    </row>
    <row r="36497">
      <c r="D36497" s="9"/>
      <c r="G36497" s="9"/>
      <c r="J36497" s="11"/>
      <c r="U36497" s="9"/>
      <c r="X36497" s="9"/>
    </row>
    <row r="36498">
      <c r="D36498" s="9"/>
      <c r="G36498" s="9"/>
      <c r="J36498" s="11"/>
      <c r="U36498" s="9"/>
      <c r="X36498" s="9"/>
    </row>
    <row r="36499">
      <c r="D36499" s="9"/>
      <c r="G36499" s="9"/>
      <c r="J36499" s="11"/>
      <c r="U36499" s="9"/>
      <c r="X36499" s="9"/>
    </row>
    <row r="36500">
      <c r="D36500" s="9"/>
      <c r="G36500" s="9"/>
      <c r="J36500" s="11"/>
      <c r="U36500" s="9"/>
      <c r="X36500" s="9"/>
    </row>
    <row r="36501">
      <c r="D36501" s="9"/>
      <c r="G36501" s="9"/>
      <c r="J36501" s="11"/>
      <c r="U36501" s="9"/>
      <c r="X36501" s="9"/>
    </row>
    <row r="36502">
      <c r="D36502" s="9"/>
      <c r="G36502" s="9"/>
      <c r="J36502" s="11"/>
      <c r="U36502" s="9"/>
      <c r="X36502" s="9"/>
    </row>
    <row r="36503">
      <c r="D36503" s="9"/>
      <c r="G36503" s="9"/>
      <c r="J36503" s="11"/>
      <c r="U36503" s="9"/>
      <c r="X36503" s="9"/>
    </row>
    <row r="36504">
      <c r="D36504" s="9"/>
      <c r="G36504" s="9"/>
      <c r="J36504" s="11"/>
      <c r="U36504" s="9"/>
      <c r="X36504" s="9"/>
    </row>
    <row r="36505">
      <c r="D36505" s="9"/>
      <c r="G36505" s="9"/>
      <c r="J36505" s="11"/>
      <c r="U36505" s="9"/>
      <c r="X36505" s="9"/>
    </row>
    <row r="36506">
      <c r="D36506" s="9"/>
      <c r="G36506" s="9"/>
      <c r="J36506" s="11"/>
      <c r="U36506" s="9"/>
      <c r="X36506" s="9"/>
    </row>
    <row r="36507">
      <c r="D36507" s="9"/>
      <c r="G36507" s="9"/>
      <c r="J36507" s="11"/>
      <c r="U36507" s="9"/>
      <c r="X36507" s="9"/>
    </row>
    <row r="36508">
      <c r="D36508" s="9"/>
      <c r="G36508" s="9"/>
      <c r="J36508" s="11"/>
      <c r="U36508" s="9"/>
      <c r="X36508" s="9"/>
    </row>
    <row r="36509">
      <c r="D36509" s="9"/>
      <c r="G36509" s="9"/>
      <c r="J36509" s="11"/>
      <c r="U36509" s="9"/>
      <c r="X36509" s="9"/>
    </row>
    <row r="36510">
      <c r="D36510" s="9"/>
      <c r="G36510" s="9"/>
      <c r="J36510" s="11"/>
      <c r="U36510" s="9"/>
      <c r="X36510" s="9"/>
    </row>
    <row r="36511">
      <c r="D36511" s="9"/>
      <c r="G36511" s="9"/>
      <c r="J36511" s="11"/>
      <c r="U36511" s="9"/>
      <c r="X36511" s="9"/>
    </row>
    <row r="36512">
      <c r="D36512" s="9"/>
      <c r="G36512" s="9"/>
      <c r="J36512" s="11"/>
      <c r="U36512" s="9"/>
      <c r="X36512" s="9"/>
    </row>
    <row r="36513">
      <c r="D36513" s="9"/>
      <c r="G36513" s="9"/>
      <c r="J36513" s="11"/>
      <c r="U36513" s="9"/>
      <c r="X36513" s="9"/>
    </row>
    <row r="36514">
      <c r="D36514" s="9"/>
      <c r="G36514" s="9"/>
      <c r="J36514" s="11"/>
      <c r="U36514" s="9"/>
      <c r="X36514" s="9"/>
    </row>
    <row r="36515">
      <c r="D36515" s="9"/>
      <c r="G36515" s="9"/>
      <c r="J36515" s="11"/>
      <c r="U36515" s="9"/>
      <c r="X36515" s="9"/>
    </row>
    <row r="36516">
      <c r="D36516" s="9"/>
      <c r="G36516" s="9"/>
      <c r="J36516" s="11"/>
      <c r="U36516" s="9"/>
      <c r="X36516" s="9"/>
    </row>
    <row r="36517">
      <c r="D36517" s="9"/>
      <c r="G36517" s="9"/>
      <c r="J36517" s="11"/>
      <c r="U36517" s="9"/>
      <c r="X36517" s="9"/>
    </row>
    <row r="36518">
      <c r="D36518" s="9"/>
      <c r="G36518" s="9"/>
      <c r="J36518" s="11"/>
      <c r="U36518" s="9"/>
      <c r="X36518" s="9"/>
    </row>
    <row r="36519">
      <c r="D36519" s="9"/>
      <c r="G36519" s="9"/>
      <c r="J36519" s="11"/>
      <c r="U36519" s="9"/>
      <c r="X36519" s="9"/>
    </row>
    <row r="36520">
      <c r="D36520" s="9"/>
      <c r="G36520" s="9"/>
      <c r="J36520" s="11"/>
      <c r="U36520" s="9"/>
      <c r="X36520" s="9"/>
    </row>
    <row r="36521">
      <c r="D36521" s="9"/>
      <c r="G36521" s="9"/>
      <c r="J36521" s="11"/>
      <c r="U36521" s="9"/>
      <c r="X36521" s="9"/>
    </row>
    <row r="36522">
      <c r="D36522" s="9"/>
      <c r="G36522" s="9"/>
      <c r="J36522" s="11"/>
      <c r="U36522" s="9"/>
      <c r="X36522" s="9"/>
    </row>
    <row r="36523">
      <c r="D36523" s="9"/>
      <c r="G36523" s="9"/>
      <c r="J36523" s="11"/>
      <c r="U36523" s="9"/>
      <c r="X36523" s="9"/>
    </row>
    <row r="36524">
      <c r="D36524" s="9"/>
      <c r="G36524" s="9"/>
      <c r="J36524" s="11"/>
      <c r="U36524" s="9"/>
      <c r="X36524" s="9"/>
    </row>
    <row r="36525">
      <c r="D36525" s="9"/>
      <c r="G36525" s="9"/>
      <c r="J36525" s="11"/>
      <c r="U36525" s="9"/>
      <c r="X36525" s="9"/>
    </row>
    <row r="36526">
      <c r="D36526" s="9"/>
      <c r="G36526" s="9"/>
      <c r="J36526" s="11"/>
      <c r="U36526" s="9"/>
      <c r="X36526" s="9"/>
    </row>
    <row r="36527">
      <c r="D36527" s="9"/>
      <c r="G36527" s="9"/>
      <c r="J36527" s="11"/>
      <c r="U36527" s="9"/>
      <c r="X36527" s="9"/>
    </row>
    <row r="36528">
      <c r="D36528" s="9"/>
      <c r="G36528" s="9"/>
      <c r="J36528" s="11"/>
      <c r="U36528" s="9"/>
      <c r="X36528" s="9"/>
    </row>
    <row r="36529">
      <c r="D36529" s="9"/>
      <c r="G36529" s="9"/>
      <c r="J36529" s="11"/>
      <c r="U36529" s="9"/>
      <c r="X36529" s="9"/>
    </row>
    <row r="36530">
      <c r="D36530" s="9"/>
      <c r="G36530" s="9"/>
      <c r="J36530" s="11"/>
      <c r="U36530" s="9"/>
      <c r="X36530" s="9"/>
    </row>
    <row r="36531">
      <c r="D36531" s="9"/>
      <c r="G36531" s="9"/>
      <c r="J36531" s="11"/>
      <c r="U36531" s="9"/>
      <c r="X36531" s="9"/>
    </row>
    <row r="36532">
      <c r="D36532" s="9"/>
      <c r="G36532" s="9"/>
      <c r="J36532" s="11"/>
      <c r="U36532" s="9"/>
      <c r="X36532" s="9"/>
    </row>
    <row r="36533">
      <c r="D36533" s="9"/>
      <c r="G36533" s="9"/>
      <c r="J36533" s="11"/>
      <c r="U36533" s="9"/>
      <c r="X36533" s="9"/>
    </row>
    <row r="36534">
      <c r="D36534" s="9"/>
      <c r="G36534" s="9"/>
      <c r="J36534" s="11"/>
      <c r="U36534" s="9"/>
      <c r="X36534" s="9"/>
    </row>
    <row r="36535">
      <c r="D36535" s="9"/>
      <c r="G36535" s="9"/>
      <c r="J36535" s="11"/>
      <c r="U36535" s="9"/>
      <c r="X36535" s="9"/>
    </row>
    <row r="36536">
      <c r="D36536" s="9"/>
      <c r="G36536" s="9"/>
      <c r="J36536" s="11"/>
      <c r="U36536" s="9"/>
      <c r="X36536" s="9"/>
    </row>
    <row r="36537">
      <c r="D36537" s="9"/>
      <c r="G36537" s="9"/>
      <c r="J36537" s="11"/>
      <c r="U36537" s="9"/>
      <c r="X36537" s="9"/>
    </row>
    <row r="36538">
      <c r="D36538" s="9"/>
      <c r="G36538" s="9"/>
      <c r="J36538" s="11"/>
      <c r="U36538" s="9"/>
      <c r="X36538" s="9"/>
    </row>
    <row r="36539">
      <c r="D36539" s="9"/>
      <c r="G36539" s="9"/>
      <c r="J36539" s="11"/>
      <c r="U36539" s="9"/>
      <c r="X36539" s="9"/>
    </row>
    <row r="36540">
      <c r="D36540" s="9"/>
      <c r="G36540" s="9"/>
      <c r="J36540" s="11"/>
      <c r="U36540" s="9"/>
      <c r="X36540" s="9"/>
    </row>
    <row r="36541">
      <c r="D36541" s="9"/>
      <c r="G36541" s="9"/>
      <c r="J36541" s="11"/>
      <c r="U36541" s="9"/>
      <c r="X36541" s="9"/>
    </row>
    <row r="36542">
      <c r="D36542" s="9"/>
      <c r="G36542" s="9"/>
      <c r="J36542" s="11"/>
      <c r="U36542" s="9"/>
      <c r="X36542" s="9"/>
    </row>
    <row r="36543">
      <c r="D36543" s="9"/>
      <c r="G36543" s="9"/>
      <c r="J36543" s="11"/>
      <c r="U36543" s="9"/>
      <c r="X36543" s="9"/>
    </row>
    <row r="36544">
      <c r="D36544" s="9"/>
      <c r="G36544" s="9"/>
      <c r="J36544" s="11"/>
      <c r="U36544" s="9"/>
      <c r="X36544" s="9"/>
    </row>
    <row r="36545">
      <c r="D36545" s="9"/>
      <c r="G36545" s="9"/>
      <c r="J36545" s="11"/>
      <c r="U36545" s="9"/>
      <c r="X36545" s="9"/>
    </row>
    <row r="36546">
      <c r="D36546" s="9"/>
      <c r="G36546" s="9"/>
      <c r="J36546" s="11"/>
      <c r="U36546" s="9"/>
      <c r="X36546" s="9"/>
    </row>
    <row r="36547">
      <c r="D36547" s="9"/>
      <c r="G36547" s="9"/>
      <c r="J36547" s="11"/>
      <c r="U36547" s="9"/>
      <c r="X36547" s="9"/>
    </row>
    <row r="36548">
      <c r="D36548" s="9"/>
      <c r="G36548" s="9"/>
      <c r="J36548" s="11"/>
      <c r="U36548" s="9"/>
      <c r="X36548" s="9"/>
    </row>
    <row r="36549">
      <c r="D36549" s="9"/>
      <c r="G36549" s="9"/>
      <c r="J36549" s="11"/>
      <c r="U36549" s="9"/>
      <c r="X36549" s="9"/>
    </row>
    <row r="36550">
      <c r="D36550" s="9"/>
      <c r="G36550" s="9"/>
      <c r="J36550" s="11"/>
      <c r="U36550" s="9"/>
      <c r="X36550" s="9"/>
    </row>
    <row r="36551">
      <c r="D36551" s="9"/>
      <c r="G36551" s="9"/>
      <c r="J36551" s="11"/>
      <c r="U36551" s="9"/>
      <c r="X36551" s="9"/>
    </row>
    <row r="36552">
      <c r="D36552" s="9"/>
      <c r="G36552" s="9"/>
      <c r="J36552" s="11"/>
      <c r="U36552" s="9"/>
      <c r="X36552" s="9"/>
    </row>
    <row r="36553">
      <c r="D36553" s="9"/>
      <c r="G36553" s="9"/>
      <c r="J36553" s="11"/>
      <c r="U36553" s="9"/>
      <c r="X36553" s="9"/>
    </row>
    <row r="36554">
      <c r="D36554" s="9"/>
      <c r="G36554" s="9"/>
      <c r="J36554" s="11"/>
      <c r="U36554" s="9"/>
      <c r="X36554" s="9"/>
    </row>
    <row r="36555">
      <c r="D36555" s="9"/>
      <c r="G36555" s="9"/>
      <c r="J36555" s="11"/>
      <c r="U36555" s="9"/>
      <c r="X36555" s="9"/>
    </row>
    <row r="36556">
      <c r="D36556" s="9"/>
      <c r="G36556" s="9"/>
      <c r="J36556" s="11"/>
      <c r="U36556" s="9"/>
      <c r="X36556" s="9"/>
    </row>
    <row r="36557">
      <c r="D36557" s="9"/>
      <c r="G36557" s="9"/>
      <c r="J36557" s="11"/>
      <c r="U36557" s="9"/>
      <c r="X36557" s="9"/>
    </row>
    <row r="36558">
      <c r="D36558" s="9"/>
      <c r="G36558" s="9"/>
      <c r="J36558" s="11"/>
      <c r="U36558" s="9"/>
      <c r="X36558" s="9"/>
    </row>
    <row r="36559">
      <c r="D36559" s="9"/>
      <c r="G36559" s="9"/>
      <c r="J36559" s="11"/>
      <c r="U36559" s="9"/>
      <c r="X36559" s="9"/>
    </row>
    <row r="36560">
      <c r="D36560" s="9"/>
      <c r="G36560" s="9"/>
      <c r="J36560" s="11"/>
      <c r="U36560" s="9"/>
      <c r="X36560" s="9"/>
    </row>
    <row r="36561">
      <c r="D36561" s="9"/>
      <c r="G36561" s="9"/>
      <c r="J36561" s="11"/>
      <c r="U36561" s="9"/>
      <c r="X36561" s="9"/>
    </row>
    <row r="36562">
      <c r="D36562" s="9"/>
      <c r="G36562" s="9"/>
      <c r="J36562" s="11"/>
      <c r="U36562" s="9"/>
      <c r="X36562" s="9"/>
    </row>
    <row r="36563">
      <c r="D36563" s="9"/>
      <c r="G36563" s="9"/>
      <c r="J36563" s="11"/>
      <c r="U36563" s="9"/>
      <c r="X36563" s="9"/>
    </row>
    <row r="36564">
      <c r="D36564" s="9"/>
      <c r="G36564" s="9"/>
      <c r="J36564" s="11"/>
      <c r="U36564" s="9"/>
      <c r="X36564" s="9"/>
    </row>
    <row r="36565">
      <c r="D36565" s="9"/>
      <c r="G36565" s="9"/>
      <c r="J36565" s="11"/>
      <c r="U36565" s="9"/>
      <c r="X36565" s="9"/>
    </row>
    <row r="36566">
      <c r="D36566" s="9"/>
      <c r="G36566" s="9"/>
      <c r="J36566" s="11"/>
      <c r="U36566" s="9"/>
      <c r="X36566" s="9"/>
    </row>
    <row r="36567">
      <c r="D36567" s="9"/>
      <c r="G36567" s="9"/>
      <c r="J36567" s="11"/>
      <c r="U36567" s="9"/>
      <c r="X36567" s="9"/>
    </row>
    <row r="36568">
      <c r="D36568" s="9"/>
      <c r="G36568" s="9"/>
      <c r="J36568" s="11"/>
      <c r="U36568" s="9"/>
      <c r="X36568" s="9"/>
    </row>
    <row r="36569">
      <c r="D36569" s="9"/>
      <c r="G36569" s="9"/>
      <c r="J36569" s="11"/>
      <c r="U36569" s="9"/>
      <c r="X36569" s="9"/>
    </row>
    <row r="36570">
      <c r="D36570" s="9"/>
      <c r="G36570" s="9"/>
      <c r="J36570" s="11"/>
      <c r="U36570" s="9"/>
      <c r="X36570" s="9"/>
    </row>
    <row r="36571">
      <c r="D36571" s="9"/>
      <c r="G36571" s="9"/>
      <c r="J36571" s="11"/>
      <c r="U36571" s="9"/>
      <c r="X36571" s="9"/>
    </row>
    <row r="36572">
      <c r="D36572" s="9"/>
      <c r="G36572" s="9"/>
      <c r="J36572" s="11"/>
      <c r="U36572" s="9"/>
      <c r="X36572" s="9"/>
    </row>
    <row r="36573">
      <c r="D36573" s="9"/>
      <c r="G36573" s="9"/>
      <c r="J36573" s="11"/>
      <c r="U36573" s="9"/>
      <c r="X36573" s="9"/>
    </row>
    <row r="36574">
      <c r="D36574" s="9"/>
      <c r="G36574" s="9"/>
      <c r="J36574" s="11"/>
      <c r="U36574" s="9"/>
      <c r="X36574" s="9"/>
    </row>
    <row r="36575">
      <c r="D36575" s="9"/>
      <c r="G36575" s="9"/>
      <c r="J36575" s="11"/>
      <c r="U36575" s="9"/>
      <c r="X36575" s="9"/>
    </row>
    <row r="36576">
      <c r="D36576" s="9"/>
      <c r="G36576" s="9"/>
      <c r="J36576" s="11"/>
      <c r="U36576" s="9"/>
      <c r="X36576" s="9"/>
    </row>
    <row r="36577">
      <c r="D36577" s="9"/>
      <c r="G36577" s="9"/>
      <c r="J36577" s="11"/>
      <c r="U36577" s="9"/>
      <c r="X36577" s="9"/>
    </row>
    <row r="36578">
      <c r="D36578" s="9"/>
      <c r="G36578" s="9"/>
      <c r="J36578" s="11"/>
      <c r="U36578" s="9"/>
      <c r="X36578" s="9"/>
    </row>
    <row r="36579">
      <c r="D36579" s="9"/>
      <c r="G36579" s="9"/>
      <c r="J36579" s="11"/>
      <c r="U36579" s="9"/>
      <c r="X36579" s="9"/>
    </row>
    <row r="36580">
      <c r="D36580" s="9"/>
      <c r="G36580" s="9"/>
      <c r="J36580" s="11"/>
      <c r="U36580" s="9"/>
      <c r="X36580" s="9"/>
    </row>
    <row r="36581">
      <c r="D36581" s="9"/>
      <c r="G36581" s="9"/>
      <c r="J36581" s="11"/>
      <c r="U36581" s="9"/>
      <c r="X36581" s="9"/>
    </row>
    <row r="36582">
      <c r="D36582" s="9"/>
      <c r="G36582" s="9"/>
      <c r="J36582" s="11"/>
      <c r="U36582" s="9"/>
      <c r="X36582" s="9"/>
    </row>
    <row r="36583">
      <c r="D36583" s="9"/>
      <c r="G36583" s="9"/>
      <c r="J36583" s="11"/>
      <c r="U36583" s="9"/>
      <c r="X36583" s="9"/>
    </row>
    <row r="36584">
      <c r="D36584" s="9"/>
      <c r="G36584" s="9"/>
      <c r="J36584" s="11"/>
      <c r="U36584" s="9"/>
      <c r="X36584" s="9"/>
    </row>
    <row r="36585">
      <c r="D36585" s="9"/>
      <c r="G36585" s="9"/>
      <c r="J36585" s="11"/>
      <c r="U36585" s="9"/>
      <c r="X36585" s="9"/>
    </row>
    <row r="36586">
      <c r="D36586" s="9"/>
      <c r="G36586" s="9"/>
      <c r="J36586" s="11"/>
      <c r="U36586" s="9"/>
      <c r="X36586" s="9"/>
    </row>
    <row r="36587">
      <c r="D36587" s="9"/>
      <c r="G36587" s="9"/>
      <c r="J36587" s="11"/>
      <c r="U36587" s="9"/>
      <c r="X36587" s="9"/>
    </row>
    <row r="36588">
      <c r="D36588" s="9"/>
      <c r="G36588" s="9"/>
      <c r="J36588" s="11"/>
      <c r="U36588" s="9"/>
      <c r="X36588" s="9"/>
    </row>
    <row r="36589">
      <c r="D36589" s="9"/>
      <c r="G36589" s="9"/>
      <c r="J36589" s="11"/>
      <c r="U36589" s="9"/>
      <c r="X36589" s="9"/>
    </row>
    <row r="36590">
      <c r="D36590" s="9"/>
      <c r="G36590" s="9"/>
      <c r="J36590" s="11"/>
      <c r="U36590" s="9"/>
      <c r="X36590" s="9"/>
    </row>
    <row r="36591">
      <c r="D36591" s="9"/>
      <c r="G36591" s="9"/>
      <c r="J36591" s="11"/>
      <c r="U36591" s="9"/>
      <c r="X36591" s="9"/>
    </row>
    <row r="36592">
      <c r="D36592" s="9"/>
      <c r="G36592" s="9"/>
      <c r="J36592" s="11"/>
      <c r="U36592" s="9"/>
      <c r="X36592" s="9"/>
    </row>
    <row r="36593">
      <c r="D36593" s="9"/>
      <c r="G36593" s="9"/>
      <c r="J36593" s="11"/>
      <c r="U36593" s="9"/>
      <c r="X36593" s="9"/>
    </row>
    <row r="36594">
      <c r="D36594" s="9"/>
      <c r="G36594" s="9"/>
      <c r="J36594" s="11"/>
      <c r="U36594" s="9"/>
      <c r="X36594" s="9"/>
    </row>
    <row r="36595">
      <c r="D36595" s="9"/>
      <c r="G36595" s="9"/>
      <c r="J36595" s="11"/>
      <c r="U36595" s="9"/>
      <c r="X36595" s="9"/>
    </row>
    <row r="36596">
      <c r="D36596" s="9"/>
      <c r="G36596" s="9"/>
      <c r="J36596" s="11"/>
      <c r="U36596" s="9"/>
      <c r="X36596" s="9"/>
    </row>
    <row r="36597">
      <c r="D36597" s="9"/>
      <c r="G36597" s="9"/>
      <c r="J36597" s="11"/>
      <c r="U36597" s="9"/>
      <c r="X36597" s="9"/>
    </row>
    <row r="36598">
      <c r="D36598" s="9"/>
      <c r="G36598" s="9"/>
      <c r="J36598" s="11"/>
      <c r="U36598" s="9"/>
      <c r="X36598" s="9"/>
    </row>
    <row r="36599">
      <c r="D36599" s="9"/>
      <c r="G36599" s="9"/>
      <c r="J36599" s="11"/>
      <c r="U36599" s="9"/>
      <c r="X36599" s="9"/>
    </row>
    <row r="36600">
      <c r="D36600" s="9"/>
      <c r="G36600" s="9"/>
      <c r="J36600" s="11"/>
      <c r="U36600" s="9"/>
      <c r="X36600" s="9"/>
    </row>
    <row r="36601">
      <c r="D36601" s="9"/>
      <c r="G36601" s="9"/>
      <c r="J36601" s="11"/>
      <c r="U36601" s="9"/>
      <c r="X36601" s="9"/>
    </row>
    <row r="36602">
      <c r="D36602" s="9"/>
      <c r="G36602" s="9"/>
      <c r="J36602" s="11"/>
      <c r="U36602" s="9"/>
      <c r="X36602" s="9"/>
    </row>
    <row r="36603">
      <c r="D36603" s="9"/>
      <c r="G36603" s="9"/>
      <c r="J36603" s="11"/>
      <c r="U36603" s="9"/>
      <c r="X36603" s="9"/>
    </row>
    <row r="36604">
      <c r="D36604" s="9"/>
      <c r="G36604" s="9"/>
      <c r="J36604" s="11"/>
      <c r="U36604" s="9"/>
      <c r="X36604" s="9"/>
    </row>
    <row r="36605">
      <c r="D36605" s="9"/>
      <c r="G36605" s="9"/>
      <c r="J36605" s="11"/>
      <c r="U36605" s="9"/>
      <c r="X36605" s="9"/>
    </row>
    <row r="36606">
      <c r="D36606" s="9"/>
      <c r="G36606" s="9"/>
      <c r="J36606" s="11"/>
      <c r="U36606" s="9"/>
      <c r="X36606" s="9"/>
    </row>
    <row r="36607">
      <c r="D36607" s="9"/>
      <c r="G36607" s="9"/>
      <c r="J36607" s="11"/>
      <c r="U36607" s="9"/>
      <c r="X36607" s="9"/>
    </row>
    <row r="36608">
      <c r="D36608" s="9"/>
      <c r="G36608" s="9"/>
      <c r="J36608" s="11"/>
      <c r="U36608" s="9"/>
      <c r="X36608" s="9"/>
    </row>
    <row r="36609">
      <c r="D36609" s="9"/>
      <c r="G36609" s="9"/>
      <c r="J36609" s="11"/>
      <c r="U36609" s="9"/>
      <c r="X36609" s="9"/>
    </row>
    <row r="36610">
      <c r="D36610" s="9"/>
      <c r="G36610" s="9"/>
      <c r="J36610" s="11"/>
      <c r="U36610" s="9"/>
      <c r="X36610" s="9"/>
    </row>
    <row r="36611">
      <c r="D36611" s="9"/>
      <c r="G36611" s="9"/>
      <c r="J36611" s="11"/>
      <c r="U36611" s="9"/>
      <c r="X36611" s="9"/>
    </row>
    <row r="36612">
      <c r="D36612" s="9"/>
      <c r="G36612" s="9"/>
      <c r="J36612" s="11"/>
      <c r="U36612" s="9"/>
      <c r="X36612" s="9"/>
    </row>
    <row r="36613">
      <c r="D36613" s="9"/>
      <c r="G36613" s="9"/>
      <c r="J36613" s="11"/>
      <c r="U36613" s="9"/>
      <c r="X36613" s="9"/>
    </row>
    <row r="36614">
      <c r="D36614" s="9"/>
      <c r="G36614" s="9"/>
      <c r="J36614" s="11"/>
      <c r="U36614" s="9"/>
      <c r="X36614" s="9"/>
    </row>
    <row r="36615">
      <c r="D36615" s="9"/>
      <c r="G36615" s="9"/>
      <c r="J36615" s="11"/>
      <c r="U36615" s="9"/>
      <c r="X36615" s="9"/>
    </row>
    <row r="36616">
      <c r="D36616" s="9"/>
      <c r="G36616" s="9"/>
      <c r="J36616" s="11"/>
      <c r="U36616" s="9"/>
      <c r="X36616" s="9"/>
    </row>
    <row r="36617">
      <c r="D36617" s="9"/>
      <c r="G36617" s="9"/>
      <c r="J36617" s="11"/>
      <c r="U36617" s="9"/>
      <c r="X36617" s="9"/>
    </row>
    <row r="36618">
      <c r="D36618" s="9"/>
      <c r="G36618" s="9"/>
      <c r="J36618" s="11"/>
      <c r="U36618" s="9"/>
      <c r="X36618" s="9"/>
    </row>
    <row r="36619">
      <c r="D36619" s="9"/>
      <c r="G36619" s="9"/>
      <c r="J36619" s="11"/>
      <c r="U36619" s="9"/>
      <c r="X36619" s="9"/>
    </row>
    <row r="36620">
      <c r="D36620" s="9"/>
      <c r="G36620" s="9"/>
      <c r="J36620" s="11"/>
      <c r="U36620" s="9"/>
      <c r="X36620" s="9"/>
    </row>
    <row r="36621">
      <c r="D36621" s="9"/>
      <c r="G36621" s="9"/>
      <c r="J36621" s="11"/>
      <c r="U36621" s="9"/>
      <c r="X36621" s="9"/>
    </row>
    <row r="36622">
      <c r="D36622" s="9"/>
      <c r="G36622" s="9"/>
      <c r="J36622" s="11"/>
      <c r="U36622" s="9"/>
      <c r="X36622" s="9"/>
    </row>
    <row r="36623">
      <c r="D36623" s="9"/>
      <c r="G36623" s="9"/>
      <c r="J36623" s="11"/>
      <c r="U36623" s="9"/>
      <c r="X36623" s="9"/>
    </row>
    <row r="36624">
      <c r="D36624" s="9"/>
      <c r="G36624" s="9"/>
      <c r="J36624" s="11"/>
      <c r="U36624" s="9"/>
      <c r="X36624" s="9"/>
    </row>
    <row r="36625">
      <c r="D36625" s="9"/>
      <c r="G36625" s="9"/>
      <c r="J36625" s="11"/>
      <c r="U36625" s="9"/>
      <c r="X36625" s="9"/>
    </row>
    <row r="36626">
      <c r="D36626" s="9"/>
      <c r="G36626" s="9"/>
      <c r="J36626" s="11"/>
      <c r="U36626" s="9"/>
      <c r="X36626" s="9"/>
    </row>
    <row r="36627">
      <c r="D36627" s="9"/>
      <c r="G36627" s="9"/>
      <c r="J36627" s="11"/>
      <c r="U36627" s="9"/>
      <c r="X36627" s="9"/>
    </row>
    <row r="36628">
      <c r="D36628" s="9"/>
      <c r="G36628" s="9"/>
      <c r="J36628" s="11"/>
      <c r="U36628" s="9"/>
      <c r="X36628" s="9"/>
    </row>
    <row r="36629">
      <c r="D36629" s="9"/>
      <c r="G36629" s="9"/>
      <c r="J36629" s="11"/>
      <c r="U36629" s="9"/>
      <c r="X36629" s="9"/>
    </row>
    <row r="36630">
      <c r="D36630" s="9"/>
      <c r="G36630" s="9"/>
      <c r="J36630" s="11"/>
      <c r="U36630" s="9"/>
      <c r="X36630" s="9"/>
    </row>
    <row r="36631">
      <c r="D36631" s="9"/>
      <c r="G36631" s="9"/>
      <c r="J36631" s="11"/>
      <c r="U36631" s="9"/>
      <c r="X36631" s="9"/>
    </row>
    <row r="36632">
      <c r="D36632" s="9"/>
      <c r="G36632" s="9"/>
      <c r="J36632" s="11"/>
      <c r="U36632" s="9"/>
      <c r="X36632" s="9"/>
    </row>
    <row r="36633">
      <c r="D36633" s="9"/>
      <c r="G36633" s="9"/>
      <c r="J36633" s="11"/>
      <c r="U36633" s="9"/>
      <c r="X36633" s="9"/>
    </row>
    <row r="36634">
      <c r="D36634" s="9"/>
      <c r="G36634" s="9"/>
      <c r="J36634" s="11"/>
      <c r="U36634" s="9"/>
      <c r="X36634" s="9"/>
    </row>
    <row r="36635">
      <c r="D36635" s="9"/>
      <c r="G36635" s="9"/>
      <c r="J36635" s="11"/>
      <c r="U36635" s="9"/>
      <c r="X36635" s="9"/>
    </row>
    <row r="36636">
      <c r="D36636" s="9"/>
      <c r="G36636" s="9"/>
      <c r="J36636" s="11"/>
      <c r="U36636" s="9"/>
      <c r="X36636" s="9"/>
    </row>
    <row r="36637">
      <c r="D36637" s="9"/>
      <c r="G36637" s="9"/>
      <c r="J36637" s="11"/>
      <c r="U36637" s="9"/>
      <c r="X36637" s="9"/>
    </row>
    <row r="36638">
      <c r="D36638" s="9"/>
      <c r="G36638" s="9"/>
      <c r="J36638" s="11"/>
      <c r="U36638" s="9"/>
      <c r="X36638" s="9"/>
    </row>
    <row r="36639">
      <c r="D36639" s="9"/>
      <c r="G36639" s="9"/>
      <c r="J36639" s="11"/>
      <c r="U36639" s="9"/>
      <c r="X36639" s="9"/>
    </row>
    <row r="36640">
      <c r="D36640" s="9"/>
      <c r="G36640" s="9"/>
      <c r="J36640" s="11"/>
      <c r="U36640" s="9"/>
      <c r="X36640" s="9"/>
    </row>
    <row r="36641">
      <c r="D36641" s="9"/>
      <c r="G36641" s="9"/>
      <c r="J36641" s="11"/>
      <c r="U36641" s="9"/>
      <c r="X36641" s="9"/>
    </row>
    <row r="36642">
      <c r="D36642" s="9"/>
      <c r="G36642" s="9"/>
      <c r="J36642" s="11"/>
      <c r="U36642" s="9"/>
      <c r="X36642" s="9"/>
    </row>
    <row r="36643">
      <c r="D36643" s="9"/>
      <c r="G36643" s="9"/>
      <c r="J36643" s="11"/>
      <c r="U36643" s="9"/>
      <c r="X36643" s="9"/>
    </row>
    <row r="36644">
      <c r="D36644" s="9"/>
      <c r="G36644" s="9"/>
      <c r="J36644" s="11"/>
      <c r="U36644" s="9"/>
      <c r="X36644" s="9"/>
    </row>
    <row r="36645">
      <c r="D36645" s="9"/>
      <c r="G36645" s="9"/>
      <c r="J36645" s="11"/>
      <c r="U36645" s="9"/>
      <c r="X36645" s="9"/>
    </row>
    <row r="36646">
      <c r="D36646" s="9"/>
      <c r="G36646" s="9"/>
      <c r="J36646" s="11"/>
      <c r="U36646" s="9"/>
      <c r="X36646" s="9"/>
    </row>
    <row r="36647">
      <c r="D36647" s="9"/>
      <c r="G36647" s="9"/>
      <c r="J36647" s="11"/>
      <c r="U36647" s="9"/>
      <c r="X36647" s="9"/>
    </row>
    <row r="36648">
      <c r="D36648" s="9"/>
      <c r="G36648" s="9"/>
      <c r="J36648" s="11"/>
      <c r="U36648" s="9"/>
      <c r="X36648" s="9"/>
    </row>
    <row r="36649">
      <c r="D36649" s="9"/>
      <c r="G36649" s="9"/>
      <c r="J36649" s="11"/>
      <c r="U36649" s="9"/>
      <c r="X36649" s="9"/>
    </row>
    <row r="36650">
      <c r="D36650" s="9"/>
      <c r="G36650" s="9"/>
      <c r="J36650" s="11"/>
      <c r="U36650" s="9"/>
      <c r="X36650" s="9"/>
    </row>
    <row r="36651">
      <c r="D36651" s="9"/>
      <c r="G36651" s="9"/>
      <c r="J36651" s="11"/>
      <c r="U36651" s="9"/>
      <c r="X36651" s="9"/>
    </row>
    <row r="36652">
      <c r="D36652" s="9"/>
      <c r="G36652" s="9"/>
      <c r="J36652" s="11"/>
      <c r="U36652" s="9"/>
      <c r="X36652" s="9"/>
    </row>
    <row r="36653">
      <c r="D36653" s="9"/>
      <c r="G36653" s="9"/>
      <c r="J36653" s="11"/>
      <c r="U36653" s="9"/>
      <c r="X36653" s="9"/>
    </row>
    <row r="36654">
      <c r="D36654" s="9"/>
      <c r="G36654" s="9"/>
      <c r="J36654" s="11"/>
      <c r="U36654" s="9"/>
      <c r="X36654" s="9"/>
    </row>
    <row r="36655">
      <c r="D36655" s="9"/>
      <c r="G36655" s="9"/>
      <c r="J36655" s="11"/>
      <c r="U36655" s="9"/>
      <c r="X36655" s="9"/>
    </row>
    <row r="36656">
      <c r="D36656" s="9"/>
      <c r="G36656" s="9"/>
      <c r="J36656" s="11"/>
      <c r="U36656" s="9"/>
      <c r="X36656" s="9"/>
    </row>
    <row r="36657">
      <c r="D36657" s="9"/>
      <c r="G36657" s="9"/>
      <c r="J36657" s="11"/>
      <c r="U36657" s="9"/>
      <c r="X36657" s="9"/>
    </row>
    <row r="36658">
      <c r="D36658" s="9"/>
      <c r="G36658" s="9"/>
      <c r="J36658" s="11"/>
      <c r="U36658" s="9"/>
      <c r="X36658" s="9"/>
    </row>
    <row r="36659">
      <c r="D36659" s="9"/>
      <c r="G36659" s="9"/>
      <c r="J36659" s="11"/>
      <c r="U36659" s="9"/>
      <c r="X36659" s="9"/>
    </row>
    <row r="36660">
      <c r="D36660" s="9"/>
      <c r="G36660" s="9"/>
      <c r="J36660" s="11"/>
      <c r="U36660" s="9"/>
      <c r="X36660" s="9"/>
    </row>
    <row r="36661">
      <c r="D36661" s="9"/>
      <c r="G36661" s="9"/>
      <c r="J36661" s="11"/>
      <c r="U36661" s="9"/>
      <c r="X36661" s="9"/>
    </row>
    <row r="36662">
      <c r="D36662" s="9"/>
      <c r="G36662" s="9"/>
      <c r="J36662" s="11"/>
      <c r="U36662" s="9"/>
      <c r="X36662" s="9"/>
    </row>
    <row r="36663">
      <c r="D36663" s="9"/>
      <c r="G36663" s="9"/>
      <c r="J36663" s="11"/>
      <c r="U36663" s="9"/>
      <c r="X36663" s="9"/>
    </row>
    <row r="36664">
      <c r="D36664" s="9"/>
      <c r="G36664" s="9"/>
      <c r="J36664" s="11"/>
      <c r="U36664" s="9"/>
      <c r="X36664" s="9"/>
    </row>
    <row r="36665">
      <c r="D36665" s="9"/>
      <c r="G36665" s="9"/>
      <c r="J36665" s="11"/>
      <c r="U36665" s="9"/>
      <c r="X36665" s="9"/>
    </row>
    <row r="36666">
      <c r="D36666" s="9"/>
      <c r="G36666" s="9"/>
      <c r="J36666" s="11"/>
      <c r="U36666" s="9"/>
      <c r="X36666" s="9"/>
    </row>
    <row r="36667">
      <c r="D36667" s="9"/>
      <c r="G36667" s="9"/>
      <c r="J36667" s="11"/>
      <c r="U36667" s="9"/>
      <c r="X36667" s="9"/>
    </row>
    <row r="36668">
      <c r="D36668" s="9"/>
      <c r="G36668" s="9"/>
      <c r="J36668" s="11"/>
      <c r="U36668" s="9"/>
      <c r="X36668" s="9"/>
    </row>
    <row r="36669">
      <c r="D36669" s="9"/>
      <c r="G36669" s="9"/>
      <c r="J36669" s="11"/>
      <c r="U36669" s="9"/>
      <c r="X36669" s="9"/>
    </row>
    <row r="36670">
      <c r="D36670" s="9"/>
      <c r="G36670" s="9"/>
      <c r="J36670" s="11"/>
      <c r="U36670" s="9"/>
      <c r="X36670" s="9"/>
    </row>
    <row r="36671">
      <c r="D36671" s="9"/>
      <c r="G36671" s="9"/>
      <c r="J36671" s="11"/>
      <c r="U36671" s="9"/>
      <c r="X36671" s="9"/>
    </row>
    <row r="36672">
      <c r="D36672" s="9"/>
      <c r="G36672" s="9"/>
      <c r="J36672" s="11"/>
      <c r="U36672" s="9"/>
      <c r="X36672" s="9"/>
    </row>
    <row r="36673">
      <c r="D36673" s="9"/>
      <c r="G36673" s="9"/>
      <c r="J36673" s="11"/>
      <c r="U36673" s="9"/>
      <c r="X36673" s="9"/>
    </row>
    <row r="36674">
      <c r="D36674" s="9"/>
      <c r="G36674" s="9"/>
      <c r="J36674" s="11"/>
      <c r="U36674" s="9"/>
      <c r="X36674" s="9"/>
    </row>
    <row r="36675">
      <c r="D36675" s="9"/>
      <c r="G36675" s="9"/>
      <c r="J36675" s="11"/>
      <c r="U36675" s="9"/>
      <c r="X36675" s="9"/>
    </row>
    <row r="36676">
      <c r="D36676" s="9"/>
      <c r="G36676" s="9"/>
      <c r="J36676" s="11"/>
      <c r="U36676" s="9"/>
      <c r="X36676" s="9"/>
    </row>
    <row r="36677">
      <c r="D36677" s="9"/>
      <c r="G36677" s="9"/>
      <c r="J36677" s="11"/>
      <c r="U36677" s="9"/>
      <c r="X36677" s="9"/>
    </row>
    <row r="36678">
      <c r="D36678" s="9"/>
      <c r="G36678" s="9"/>
      <c r="J36678" s="11"/>
      <c r="U36678" s="9"/>
      <c r="X36678" s="9"/>
    </row>
    <row r="36679">
      <c r="D36679" s="9"/>
      <c r="G36679" s="9"/>
      <c r="J36679" s="11"/>
      <c r="U36679" s="9"/>
      <c r="X36679" s="9"/>
    </row>
    <row r="36680">
      <c r="D36680" s="9"/>
      <c r="G36680" s="9"/>
      <c r="J36680" s="11"/>
      <c r="U36680" s="9"/>
      <c r="X36680" s="9"/>
    </row>
    <row r="36681">
      <c r="D36681" s="9"/>
      <c r="G36681" s="9"/>
      <c r="J36681" s="11"/>
      <c r="U36681" s="9"/>
      <c r="X36681" s="9"/>
    </row>
    <row r="36682">
      <c r="D36682" s="9"/>
      <c r="G36682" s="9"/>
      <c r="J36682" s="11"/>
      <c r="U36682" s="9"/>
      <c r="X36682" s="9"/>
    </row>
    <row r="36683">
      <c r="D36683" s="9"/>
      <c r="G36683" s="9"/>
      <c r="J36683" s="11"/>
      <c r="U36683" s="9"/>
      <c r="X36683" s="9"/>
    </row>
    <row r="36684">
      <c r="D36684" s="9"/>
      <c r="G36684" s="9"/>
      <c r="J36684" s="11"/>
      <c r="U36684" s="9"/>
      <c r="X36684" s="9"/>
    </row>
    <row r="36685">
      <c r="D36685" s="9"/>
      <c r="G36685" s="9"/>
      <c r="J36685" s="11"/>
      <c r="U36685" s="9"/>
      <c r="X36685" s="9"/>
    </row>
    <row r="36686">
      <c r="D36686" s="9"/>
      <c r="G36686" s="9"/>
      <c r="J36686" s="11"/>
      <c r="U36686" s="9"/>
      <c r="X36686" s="9"/>
    </row>
    <row r="36687">
      <c r="D36687" s="9"/>
      <c r="G36687" s="9"/>
      <c r="J36687" s="11"/>
      <c r="U36687" s="9"/>
      <c r="X36687" s="9"/>
    </row>
    <row r="36688">
      <c r="D36688" s="9"/>
      <c r="G36688" s="9"/>
      <c r="J36688" s="11"/>
      <c r="U36688" s="9"/>
      <c r="X36688" s="9"/>
    </row>
    <row r="36689">
      <c r="D36689" s="9"/>
      <c r="G36689" s="9"/>
      <c r="J36689" s="11"/>
      <c r="U36689" s="9"/>
      <c r="X36689" s="9"/>
    </row>
    <row r="36690">
      <c r="D36690" s="9"/>
      <c r="G36690" s="9"/>
      <c r="J36690" s="11"/>
      <c r="U36690" s="9"/>
      <c r="X36690" s="9"/>
    </row>
    <row r="36691">
      <c r="D36691" s="9"/>
      <c r="G36691" s="9"/>
      <c r="J36691" s="11"/>
      <c r="U36691" s="9"/>
      <c r="X36691" s="9"/>
    </row>
    <row r="36692">
      <c r="D36692" s="9"/>
      <c r="G36692" s="9"/>
      <c r="J36692" s="11"/>
      <c r="U36692" s="9"/>
      <c r="X36692" s="9"/>
    </row>
    <row r="36693">
      <c r="D36693" s="9"/>
      <c r="G36693" s="9"/>
      <c r="J36693" s="11"/>
      <c r="U36693" s="9"/>
      <c r="X36693" s="9"/>
    </row>
    <row r="36694">
      <c r="D36694" s="9"/>
      <c r="G36694" s="9"/>
      <c r="J36694" s="11"/>
      <c r="U36694" s="9"/>
      <c r="X36694" s="9"/>
    </row>
    <row r="36695">
      <c r="D36695" s="9"/>
      <c r="G36695" s="9"/>
      <c r="J36695" s="11"/>
      <c r="U36695" s="9"/>
      <c r="X36695" s="9"/>
    </row>
    <row r="36696">
      <c r="D36696" s="9"/>
      <c r="G36696" s="9"/>
      <c r="J36696" s="11"/>
      <c r="U36696" s="9"/>
      <c r="X36696" s="9"/>
    </row>
    <row r="36697">
      <c r="D36697" s="9"/>
      <c r="G36697" s="9"/>
      <c r="J36697" s="11"/>
      <c r="U36697" s="9"/>
      <c r="X36697" s="9"/>
    </row>
    <row r="36698">
      <c r="D36698" s="9"/>
      <c r="G36698" s="9"/>
      <c r="J36698" s="11"/>
      <c r="U36698" s="9"/>
      <c r="X36698" s="9"/>
    </row>
    <row r="36699">
      <c r="D36699" s="9"/>
      <c r="G36699" s="9"/>
      <c r="J36699" s="11"/>
      <c r="U36699" s="9"/>
      <c r="X36699" s="9"/>
    </row>
    <row r="36700">
      <c r="D36700" s="9"/>
      <c r="G36700" s="9"/>
      <c r="J36700" s="11"/>
      <c r="U36700" s="9"/>
      <c r="X36700" s="9"/>
    </row>
    <row r="36701">
      <c r="D36701" s="9"/>
      <c r="G36701" s="9"/>
      <c r="J36701" s="11"/>
      <c r="U36701" s="9"/>
      <c r="X36701" s="9"/>
    </row>
    <row r="36702">
      <c r="D36702" s="9"/>
      <c r="G36702" s="9"/>
      <c r="J36702" s="11"/>
      <c r="U36702" s="9"/>
      <c r="X36702" s="9"/>
    </row>
    <row r="36703">
      <c r="D36703" s="9"/>
      <c r="G36703" s="9"/>
      <c r="J36703" s="11"/>
      <c r="U36703" s="9"/>
      <c r="X36703" s="9"/>
    </row>
    <row r="36704">
      <c r="D36704" s="9"/>
      <c r="G36704" s="9"/>
      <c r="J36704" s="11"/>
      <c r="U36704" s="9"/>
      <c r="X36704" s="9"/>
    </row>
    <row r="36705">
      <c r="D36705" s="9"/>
      <c r="G36705" s="9"/>
      <c r="J36705" s="11"/>
      <c r="U36705" s="9"/>
      <c r="X36705" s="9"/>
    </row>
    <row r="36706">
      <c r="D36706" s="9"/>
      <c r="G36706" s="9"/>
      <c r="J36706" s="11"/>
      <c r="U36706" s="9"/>
      <c r="X36706" s="9"/>
    </row>
    <row r="36707">
      <c r="D36707" s="9"/>
      <c r="G36707" s="9"/>
      <c r="J36707" s="11"/>
      <c r="U36707" s="9"/>
      <c r="X36707" s="9"/>
    </row>
    <row r="36708">
      <c r="D36708" s="9"/>
      <c r="G36708" s="9"/>
      <c r="J36708" s="11"/>
      <c r="U36708" s="9"/>
      <c r="X36708" s="9"/>
    </row>
    <row r="36709">
      <c r="D36709" s="9"/>
      <c r="G36709" s="9"/>
      <c r="J36709" s="11"/>
      <c r="U36709" s="9"/>
      <c r="X36709" s="9"/>
    </row>
    <row r="36710">
      <c r="D36710" s="9"/>
      <c r="G36710" s="9"/>
      <c r="J36710" s="11"/>
      <c r="U36710" s="9"/>
      <c r="X36710" s="9"/>
    </row>
    <row r="36711">
      <c r="D36711" s="9"/>
      <c r="G36711" s="9"/>
      <c r="J36711" s="11"/>
      <c r="U36711" s="9"/>
      <c r="X36711" s="9"/>
    </row>
    <row r="36712">
      <c r="D36712" s="9"/>
      <c r="G36712" s="9"/>
      <c r="J36712" s="11"/>
      <c r="U36712" s="9"/>
      <c r="X36712" s="9"/>
    </row>
    <row r="36713">
      <c r="D36713" s="9"/>
      <c r="G36713" s="9"/>
      <c r="J36713" s="11"/>
      <c r="U36713" s="9"/>
      <c r="X36713" s="9"/>
    </row>
    <row r="36714">
      <c r="D36714" s="9"/>
      <c r="G36714" s="9"/>
      <c r="J36714" s="11"/>
      <c r="U36714" s="9"/>
      <c r="X36714" s="9"/>
    </row>
    <row r="36715">
      <c r="D36715" s="9"/>
      <c r="G36715" s="9"/>
      <c r="J36715" s="11"/>
      <c r="U36715" s="9"/>
      <c r="X36715" s="9"/>
    </row>
    <row r="36716">
      <c r="D36716" s="9"/>
      <c r="G36716" s="9"/>
      <c r="J36716" s="11"/>
      <c r="U36716" s="9"/>
      <c r="X36716" s="9"/>
    </row>
    <row r="36717">
      <c r="D36717" s="9"/>
      <c r="G36717" s="9"/>
      <c r="J36717" s="11"/>
      <c r="U36717" s="9"/>
      <c r="X36717" s="9"/>
    </row>
    <row r="36718">
      <c r="D36718" s="9"/>
      <c r="G36718" s="9"/>
      <c r="J36718" s="11"/>
      <c r="U36718" s="9"/>
      <c r="X36718" s="9"/>
    </row>
    <row r="36719">
      <c r="D36719" s="9"/>
      <c r="G36719" s="9"/>
      <c r="J36719" s="11"/>
      <c r="U36719" s="9"/>
      <c r="X36719" s="9"/>
    </row>
    <row r="36720">
      <c r="D36720" s="9"/>
      <c r="G36720" s="9"/>
      <c r="J36720" s="11"/>
      <c r="U36720" s="9"/>
      <c r="X36720" s="9"/>
    </row>
    <row r="36721">
      <c r="D36721" s="9"/>
      <c r="G36721" s="9"/>
      <c r="J36721" s="11"/>
      <c r="U36721" s="9"/>
      <c r="X36721" s="9"/>
    </row>
    <row r="36722">
      <c r="D36722" s="9"/>
      <c r="G36722" s="9"/>
      <c r="J36722" s="11"/>
      <c r="U36722" s="9"/>
      <c r="X36722" s="9"/>
    </row>
    <row r="36723">
      <c r="D36723" s="9"/>
      <c r="G36723" s="9"/>
      <c r="J36723" s="11"/>
      <c r="U36723" s="9"/>
      <c r="X36723" s="9"/>
    </row>
    <row r="36724">
      <c r="D36724" s="9"/>
      <c r="G36724" s="9"/>
      <c r="J36724" s="11"/>
      <c r="U36724" s="9"/>
      <c r="X36724" s="9"/>
    </row>
    <row r="36725">
      <c r="D36725" s="9"/>
      <c r="G36725" s="9"/>
      <c r="J36725" s="11"/>
      <c r="U36725" s="9"/>
      <c r="X36725" s="9"/>
    </row>
    <row r="36726">
      <c r="D36726" s="9"/>
      <c r="G36726" s="9"/>
      <c r="J36726" s="11"/>
      <c r="U36726" s="9"/>
      <c r="X36726" s="9"/>
    </row>
    <row r="36727">
      <c r="D36727" s="9"/>
      <c r="G36727" s="9"/>
      <c r="J36727" s="11"/>
      <c r="U36727" s="9"/>
      <c r="X36727" s="9"/>
    </row>
    <row r="36728">
      <c r="D36728" s="9"/>
      <c r="G36728" s="9"/>
      <c r="J36728" s="11"/>
      <c r="U36728" s="9"/>
      <c r="X36728" s="9"/>
    </row>
    <row r="36729">
      <c r="D36729" s="9"/>
      <c r="G36729" s="9"/>
      <c r="J36729" s="11"/>
      <c r="U36729" s="9"/>
      <c r="X36729" s="9"/>
    </row>
    <row r="36730">
      <c r="D36730" s="9"/>
      <c r="G36730" s="9"/>
      <c r="J36730" s="11"/>
      <c r="U36730" s="9"/>
      <c r="X36730" s="9"/>
    </row>
    <row r="36731">
      <c r="D36731" s="9"/>
      <c r="G36731" s="9"/>
      <c r="J36731" s="11"/>
      <c r="U36731" s="9"/>
      <c r="X36731" s="9"/>
    </row>
    <row r="36732">
      <c r="D36732" s="9"/>
      <c r="G36732" s="9"/>
      <c r="J36732" s="11"/>
      <c r="U36732" s="9"/>
      <c r="X36732" s="9"/>
    </row>
    <row r="36733">
      <c r="D36733" s="9"/>
      <c r="G36733" s="9"/>
      <c r="J36733" s="11"/>
      <c r="U36733" s="9"/>
      <c r="X36733" s="9"/>
    </row>
    <row r="36734">
      <c r="D36734" s="9"/>
      <c r="G36734" s="9"/>
      <c r="J36734" s="11"/>
      <c r="U36734" s="9"/>
      <c r="X36734" s="9"/>
    </row>
    <row r="36735">
      <c r="D36735" s="9"/>
      <c r="G36735" s="9"/>
      <c r="J36735" s="11"/>
      <c r="U36735" s="9"/>
      <c r="X36735" s="9"/>
    </row>
    <row r="36736">
      <c r="D36736" s="9"/>
      <c r="G36736" s="9"/>
      <c r="J36736" s="11"/>
      <c r="U36736" s="9"/>
      <c r="X36736" s="9"/>
    </row>
    <row r="36737">
      <c r="D36737" s="9"/>
      <c r="G36737" s="9"/>
      <c r="J36737" s="11"/>
      <c r="U36737" s="9"/>
      <c r="X36737" s="9"/>
    </row>
    <row r="36738">
      <c r="D36738" s="9"/>
      <c r="G36738" s="9"/>
      <c r="J36738" s="11"/>
      <c r="U36738" s="9"/>
      <c r="X36738" s="9"/>
    </row>
    <row r="36739">
      <c r="D36739" s="9"/>
      <c r="G36739" s="9"/>
      <c r="J36739" s="11"/>
      <c r="U36739" s="9"/>
      <c r="X36739" s="9"/>
    </row>
    <row r="36740">
      <c r="D36740" s="9"/>
      <c r="G36740" s="9"/>
      <c r="J36740" s="11"/>
      <c r="U36740" s="9"/>
      <c r="X36740" s="9"/>
    </row>
    <row r="36741">
      <c r="D36741" s="9"/>
      <c r="G36741" s="9"/>
      <c r="J36741" s="11"/>
      <c r="U36741" s="9"/>
      <c r="X36741" s="9"/>
    </row>
    <row r="36742">
      <c r="D36742" s="9"/>
      <c r="G36742" s="9"/>
      <c r="J36742" s="11"/>
      <c r="U36742" s="9"/>
      <c r="X36742" s="9"/>
    </row>
    <row r="36743">
      <c r="D36743" s="9"/>
      <c r="G36743" s="9"/>
      <c r="J36743" s="11"/>
      <c r="U36743" s="9"/>
      <c r="X36743" s="9"/>
    </row>
    <row r="36744">
      <c r="D36744" s="9"/>
      <c r="G36744" s="9"/>
      <c r="J36744" s="11"/>
      <c r="U36744" s="9"/>
      <c r="X36744" s="9"/>
    </row>
    <row r="36745">
      <c r="D36745" s="9"/>
      <c r="G36745" s="9"/>
      <c r="J36745" s="11"/>
      <c r="U36745" s="9"/>
      <c r="X36745" s="9"/>
    </row>
    <row r="36746">
      <c r="D36746" s="9"/>
      <c r="G36746" s="9"/>
      <c r="J36746" s="11"/>
      <c r="U36746" s="9"/>
      <c r="X36746" s="9"/>
    </row>
    <row r="36747">
      <c r="D36747" s="9"/>
      <c r="G36747" s="9"/>
      <c r="J36747" s="11"/>
      <c r="U36747" s="9"/>
      <c r="X36747" s="9"/>
    </row>
    <row r="36748">
      <c r="D36748" s="9"/>
      <c r="G36748" s="9"/>
      <c r="J36748" s="11"/>
      <c r="U36748" s="9"/>
      <c r="X36748" s="9"/>
    </row>
    <row r="36749">
      <c r="D36749" s="9"/>
      <c r="G36749" s="9"/>
      <c r="J36749" s="11"/>
      <c r="U36749" s="9"/>
      <c r="X36749" s="9"/>
    </row>
    <row r="36750">
      <c r="D36750" s="9"/>
      <c r="G36750" s="9"/>
      <c r="J36750" s="11"/>
      <c r="U36750" s="9"/>
      <c r="X36750" s="9"/>
    </row>
    <row r="36751">
      <c r="D36751" s="9"/>
      <c r="G36751" s="9"/>
      <c r="J36751" s="11"/>
      <c r="U36751" s="9"/>
      <c r="X36751" s="9"/>
    </row>
    <row r="36752">
      <c r="D36752" s="9"/>
      <c r="G36752" s="9"/>
      <c r="J36752" s="11"/>
      <c r="U36752" s="9"/>
      <c r="X36752" s="9"/>
    </row>
    <row r="36753">
      <c r="D36753" s="9"/>
      <c r="G36753" s="9"/>
      <c r="J36753" s="11"/>
      <c r="U36753" s="9"/>
      <c r="X36753" s="9"/>
    </row>
    <row r="36754">
      <c r="D36754" s="9"/>
      <c r="G36754" s="9"/>
      <c r="J36754" s="11"/>
      <c r="U36754" s="9"/>
      <c r="X36754" s="9"/>
    </row>
    <row r="36755">
      <c r="D36755" s="9"/>
      <c r="G36755" s="9"/>
      <c r="J36755" s="11"/>
      <c r="U36755" s="9"/>
      <c r="X36755" s="9"/>
    </row>
    <row r="36756">
      <c r="D36756" s="9"/>
      <c r="G36756" s="9"/>
      <c r="J36756" s="11"/>
      <c r="U36756" s="9"/>
      <c r="X36756" s="9"/>
    </row>
    <row r="36757">
      <c r="D36757" s="9"/>
      <c r="G36757" s="9"/>
      <c r="J36757" s="11"/>
      <c r="U36757" s="9"/>
      <c r="X36757" s="9"/>
    </row>
    <row r="36758">
      <c r="D36758" s="9"/>
      <c r="G36758" s="9"/>
      <c r="J36758" s="11"/>
      <c r="U36758" s="9"/>
      <c r="X36758" s="9"/>
    </row>
    <row r="36759">
      <c r="D36759" s="9"/>
      <c r="G36759" s="9"/>
      <c r="J36759" s="11"/>
      <c r="U36759" s="9"/>
      <c r="X36759" s="9"/>
    </row>
    <row r="36760">
      <c r="D36760" s="9"/>
      <c r="G36760" s="9"/>
      <c r="J36760" s="11"/>
      <c r="U36760" s="9"/>
      <c r="X36760" s="9"/>
    </row>
    <row r="36761">
      <c r="D36761" s="9"/>
      <c r="G36761" s="9"/>
      <c r="J36761" s="11"/>
      <c r="U36761" s="9"/>
      <c r="X36761" s="9"/>
    </row>
    <row r="36762">
      <c r="D36762" s="9"/>
      <c r="G36762" s="9"/>
      <c r="J36762" s="11"/>
      <c r="U36762" s="9"/>
      <c r="X36762" s="9"/>
    </row>
    <row r="36763">
      <c r="D36763" s="9"/>
      <c r="G36763" s="9"/>
      <c r="J36763" s="11"/>
      <c r="U36763" s="9"/>
      <c r="X36763" s="9"/>
    </row>
    <row r="36764">
      <c r="D36764" s="9"/>
      <c r="G36764" s="9"/>
      <c r="J36764" s="11"/>
      <c r="U36764" s="9"/>
      <c r="X36764" s="9"/>
    </row>
    <row r="36765">
      <c r="D36765" s="9"/>
      <c r="G36765" s="9"/>
      <c r="J36765" s="11"/>
      <c r="U36765" s="9"/>
      <c r="X36765" s="9"/>
    </row>
    <row r="36766">
      <c r="D36766" s="9"/>
      <c r="G36766" s="9"/>
      <c r="J36766" s="11"/>
      <c r="U36766" s="9"/>
      <c r="X36766" s="9"/>
    </row>
    <row r="36767">
      <c r="D36767" s="9"/>
      <c r="G36767" s="9"/>
      <c r="J36767" s="11"/>
      <c r="U36767" s="9"/>
      <c r="X36767" s="9"/>
    </row>
    <row r="36768">
      <c r="D36768" s="9"/>
      <c r="G36768" s="9"/>
      <c r="J36768" s="11"/>
      <c r="U36768" s="9"/>
      <c r="X36768" s="9"/>
    </row>
    <row r="36769">
      <c r="D36769" s="9"/>
      <c r="G36769" s="9"/>
      <c r="J36769" s="11"/>
      <c r="U36769" s="9"/>
      <c r="X36769" s="9"/>
    </row>
    <row r="36770">
      <c r="D36770" s="9"/>
      <c r="G36770" s="9"/>
      <c r="J36770" s="11"/>
      <c r="U36770" s="9"/>
      <c r="X36770" s="9"/>
    </row>
    <row r="36771">
      <c r="D36771" s="9"/>
      <c r="G36771" s="9"/>
      <c r="J36771" s="11"/>
      <c r="U36771" s="9"/>
      <c r="X36771" s="9"/>
    </row>
    <row r="36772">
      <c r="D36772" s="9"/>
      <c r="G36772" s="9"/>
      <c r="J36772" s="11"/>
      <c r="U36772" s="9"/>
      <c r="X36772" s="9"/>
    </row>
    <row r="36773">
      <c r="D36773" s="9"/>
      <c r="G36773" s="9"/>
      <c r="J36773" s="11"/>
      <c r="U36773" s="9"/>
      <c r="X36773" s="9"/>
    </row>
    <row r="36774">
      <c r="D36774" s="9"/>
      <c r="G36774" s="9"/>
      <c r="J36774" s="11"/>
      <c r="U36774" s="9"/>
      <c r="X36774" s="9"/>
    </row>
    <row r="36775">
      <c r="D36775" s="9"/>
      <c r="G36775" s="9"/>
      <c r="J36775" s="11"/>
      <c r="U36775" s="9"/>
      <c r="X36775" s="9"/>
    </row>
    <row r="36776">
      <c r="D36776" s="9"/>
      <c r="G36776" s="9"/>
      <c r="J36776" s="11"/>
      <c r="U36776" s="9"/>
      <c r="X36776" s="9"/>
    </row>
    <row r="36777">
      <c r="D36777" s="9"/>
      <c r="G36777" s="9"/>
      <c r="J36777" s="11"/>
      <c r="U36777" s="9"/>
      <c r="X36777" s="9"/>
    </row>
    <row r="36778">
      <c r="D36778" s="9"/>
      <c r="G36778" s="9"/>
      <c r="J36778" s="11"/>
      <c r="U36778" s="9"/>
      <c r="X36778" s="9"/>
    </row>
    <row r="36779">
      <c r="D36779" s="9"/>
      <c r="G36779" s="9"/>
      <c r="J36779" s="11"/>
      <c r="U36779" s="9"/>
      <c r="X36779" s="9"/>
    </row>
    <row r="36780">
      <c r="D36780" s="9"/>
      <c r="G36780" s="9"/>
      <c r="J36780" s="11"/>
      <c r="U36780" s="9"/>
      <c r="X36780" s="9"/>
    </row>
    <row r="36781">
      <c r="D36781" s="9"/>
      <c r="G36781" s="9"/>
      <c r="J36781" s="11"/>
      <c r="U36781" s="9"/>
      <c r="X36781" s="9"/>
    </row>
    <row r="36782">
      <c r="D36782" s="9"/>
      <c r="G36782" s="9"/>
      <c r="J36782" s="11"/>
      <c r="U36782" s="9"/>
      <c r="X36782" s="9"/>
    </row>
    <row r="36783">
      <c r="D36783" s="9"/>
      <c r="G36783" s="9"/>
      <c r="J36783" s="11"/>
      <c r="U36783" s="9"/>
      <c r="X36783" s="9"/>
    </row>
    <row r="36784">
      <c r="D36784" s="9"/>
      <c r="G36784" s="9"/>
      <c r="J36784" s="11"/>
      <c r="U36784" s="9"/>
      <c r="X36784" s="9"/>
    </row>
    <row r="36785">
      <c r="D36785" s="9"/>
      <c r="G36785" s="9"/>
      <c r="J36785" s="11"/>
      <c r="U36785" s="9"/>
      <c r="X36785" s="9"/>
    </row>
    <row r="36786">
      <c r="D36786" s="9"/>
      <c r="G36786" s="9"/>
      <c r="J36786" s="11"/>
      <c r="U36786" s="9"/>
      <c r="X36786" s="9"/>
    </row>
    <row r="36787">
      <c r="D36787" s="9"/>
      <c r="G36787" s="9"/>
      <c r="J36787" s="11"/>
      <c r="U36787" s="9"/>
      <c r="X36787" s="9"/>
    </row>
    <row r="36788">
      <c r="D36788" s="9"/>
      <c r="G36788" s="9"/>
      <c r="J36788" s="11"/>
      <c r="U36788" s="9"/>
      <c r="X36788" s="9"/>
    </row>
    <row r="36789">
      <c r="D36789" s="9"/>
      <c r="G36789" s="9"/>
      <c r="J36789" s="11"/>
      <c r="U36789" s="9"/>
      <c r="X36789" s="9"/>
    </row>
    <row r="36790">
      <c r="D36790" s="9"/>
      <c r="G36790" s="9"/>
      <c r="J36790" s="11"/>
      <c r="U36790" s="9"/>
      <c r="X36790" s="9"/>
    </row>
    <row r="36791">
      <c r="D36791" s="9"/>
      <c r="G36791" s="9"/>
      <c r="J36791" s="11"/>
      <c r="U36791" s="9"/>
      <c r="X36791" s="9"/>
    </row>
    <row r="36792">
      <c r="D36792" s="9"/>
      <c r="G36792" s="9"/>
      <c r="J36792" s="11"/>
      <c r="U36792" s="9"/>
      <c r="X36792" s="9"/>
    </row>
    <row r="36793">
      <c r="D36793" s="9"/>
      <c r="G36793" s="9"/>
      <c r="J36793" s="11"/>
      <c r="U36793" s="9"/>
      <c r="X36793" s="9"/>
    </row>
    <row r="36794">
      <c r="D36794" s="9"/>
      <c r="G36794" s="9"/>
      <c r="J36794" s="11"/>
      <c r="U36794" s="9"/>
      <c r="X36794" s="9"/>
    </row>
    <row r="36795">
      <c r="D36795" s="9"/>
      <c r="G36795" s="9"/>
      <c r="J36795" s="11"/>
      <c r="U36795" s="9"/>
      <c r="X36795" s="9"/>
    </row>
    <row r="36796">
      <c r="D36796" s="9"/>
      <c r="G36796" s="9"/>
      <c r="J36796" s="11"/>
      <c r="U36796" s="9"/>
      <c r="X36796" s="9"/>
    </row>
    <row r="36797">
      <c r="D36797" s="9"/>
      <c r="G36797" s="9"/>
      <c r="J36797" s="11"/>
      <c r="U36797" s="9"/>
      <c r="X36797" s="9"/>
    </row>
    <row r="36798">
      <c r="D36798" s="9"/>
      <c r="G36798" s="9"/>
      <c r="J36798" s="11"/>
      <c r="U36798" s="9"/>
      <c r="X36798" s="9"/>
    </row>
    <row r="36799">
      <c r="D36799" s="9"/>
      <c r="G36799" s="9"/>
      <c r="J36799" s="11"/>
      <c r="U36799" s="9"/>
      <c r="X36799" s="9"/>
    </row>
    <row r="36800">
      <c r="D36800" s="9"/>
      <c r="G36800" s="9"/>
      <c r="J36800" s="11"/>
      <c r="U36800" s="9"/>
      <c r="X36800" s="9"/>
    </row>
    <row r="36801">
      <c r="D36801" s="9"/>
      <c r="G36801" s="9"/>
      <c r="J36801" s="11"/>
      <c r="U36801" s="9"/>
      <c r="X36801" s="9"/>
    </row>
    <row r="36802">
      <c r="D36802" s="9"/>
      <c r="G36802" s="9"/>
      <c r="J36802" s="11"/>
      <c r="U36802" s="9"/>
      <c r="X36802" s="9"/>
    </row>
    <row r="36803">
      <c r="D36803" s="9"/>
      <c r="G36803" s="9"/>
      <c r="J36803" s="11"/>
      <c r="U36803" s="9"/>
      <c r="X36803" s="9"/>
    </row>
    <row r="36804">
      <c r="D36804" s="9"/>
      <c r="G36804" s="9"/>
      <c r="J36804" s="11"/>
      <c r="U36804" s="9"/>
      <c r="X36804" s="9"/>
    </row>
    <row r="36805">
      <c r="D36805" s="9"/>
      <c r="G36805" s="9"/>
      <c r="J36805" s="11"/>
      <c r="U36805" s="9"/>
      <c r="X36805" s="9"/>
    </row>
    <row r="36806">
      <c r="D36806" s="9"/>
      <c r="G36806" s="9"/>
      <c r="J36806" s="11"/>
      <c r="U36806" s="9"/>
      <c r="X36806" s="9"/>
    </row>
    <row r="36807">
      <c r="D36807" s="9"/>
      <c r="G36807" s="9"/>
      <c r="J36807" s="11"/>
      <c r="U36807" s="9"/>
      <c r="X36807" s="9"/>
    </row>
    <row r="36808">
      <c r="D36808" s="9"/>
      <c r="G36808" s="9"/>
      <c r="J36808" s="11"/>
      <c r="U36808" s="9"/>
      <c r="X36808" s="9"/>
    </row>
    <row r="36809">
      <c r="D36809" s="9"/>
      <c r="G36809" s="9"/>
      <c r="J36809" s="11"/>
      <c r="U36809" s="9"/>
      <c r="X36809" s="9"/>
    </row>
    <row r="36810">
      <c r="D36810" s="9"/>
      <c r="G36810" s="9"/>
      <c r="J36810" s="11"/>
      <c r="U36810" s="9"/>
      <c r="X36810" s="9"/>
    </row>
    <row r="36811">
      <c r="D36811" s="9"/>
      <c r="G36811" s="9"/>
      <c r="J36811" s="11"/>
      <c r="U36811" s="9"/>
      <c r="X36811" s="9"/>
    </row>
    <row r="36812">
      <c r="D36812" s="9"/>
      <c r="G36812" s="9"/>
      <c r="J36812" s="11"/>
      <c r="U36812" s="9"/>
      <c r="X36812" s="9"/>
    </row>
    <row r="36813">
      <c r="D36813" s="9"/>
      <c r="G36813" s="9"/>
      <c r="J36813" s="11"/>
      <c r="U36813" s="9"/>
      <c r="X36813" s="9"/>
    </row>
    <row r="36814">
      <c r="D36814" s="9"/>
      <c r="G36814" s="9"/>
      <c r="J36814" s="11"/>
      <c r="U36814" s="9"/>
      <c r="X36814" s="9"/>
    </row>
    <row r="36815">
      <c r="D36815" s="9"/>
      <c r="G36815" s="9"/>
      <c r="J36815" s="11"/>
      <c r="U36815" s="9"/>
      <c r="X36815" s="9"/>
    </row>
    <row r="36816">
      <c r="D36816" s="9"/>
      <c r="G36816" s="9"/>
      <c r="J36816" s="11"/>
      <c r="U36816" s="9"/>
      <c r="X36816" s="9"/>
    </row>
    <row r="36817">
      <c r="D36817" s="9"/>
      <c r="G36817" s="9"/>
      <c r="J36817" s="11"/>
      <c r="U36817" s="9"/>
      <c r="X36817" s="9"/>
    </row>
    <row r="36818">
      <c r="D36818" s="9"/>
      <c r="G36818" s="9"/>
      <c r="J36818" s="11"/>
      <c r="U36818" s="9"/>
      <c r="X36818" s="9"/>
    </row>
    <row r="36819">
      <c r="D36819" s="9"/>
      <c r="G36819" s="9"/>
      <c r="J36819" s="11"/>
      <c r="U36819" s="9"/>
      <c r="X36819" s="9"/>
    </row>
    <row r="36820">
      <c r="D36820" s="9"/>
      <c r="G36820" s="9"/>
      <c r="J36820" s="11"/>
      <c r="U36820" s="9"/>
      <c r="X36820" s="9"/>
    </row>
    <row r="36821">
      <c r="D36821" s="9"/>
      <c r="G36821" s="9"/>
      <c r="J36821" s="11"/>
      <c r="U36821" s="9"/>
      <c r="X36821" s="9"/>
    </row>
    <row r="36822">
      <c r="D36822" s="9"/>
      <c r="G36822" s="9"/>
      <c r="J36822" s="11"/>
      <c r="U36822" s="9"/>
      <c r="X36822" s="9"/>
    </row>
    <row r="36823">
      <c r="D36823" s="9"/>
      <c r="G36823" s="9"/>
      <c r="J36823" s="11"/>
      <c r="U36823" s="9"/>
      <c r="X36823" s="9"/>
    </row>
    <row r="36824">
      <c r="D36824" s="9"/>
      <c r="G36824" s="9"/>
      <c r="J36824" s="11"/>
      <c r="U36824" s="9"/>
      <c r="X36824" s="9"/>
    </row>
    <row r="36825">
      <c r="D36825" s="9"/>
      <c r="G36825" s="9"/>
      <c r="J36825" s="11"/>
      <c r="U36825" s="9"/>
      <c r="X36825" s="9"/>
    </row>
    <row r="36826">
      <c r="D36826" s="9"/>
      <c r="G36826" s="9"/>
      <c r="J36826" s="11"/>
      <c r="U36826" s="9"/>
      <c r="X36826" s="9"/>
    </row>
    <row r="36827">
      <c r="D36827" s="9"/>
      <c r="G36827" s="9"/>
      <c r="J36827" s="11"/>
      <c r="U36827" s="9"/>
      <c r="X36827" s="9"/>
    </row>
    <row r="36828">
      <c r="D36828" s="9"/>
      <c r="G36828" s="9"/>
      <c r="J36828" s="11"/>
      <c r="U36828" s="9"/>
      <c r="X36828" s="9"/>
    </row>
    <row r="36829">
      <c r="D36829" s="9"/>
      <c r="G36829" s="9"/>
      <c r="J36829" s="11"/>
      <c r="U36829" s="9"/>
      <c r="X36829" s="9"/>
    </row>
    <row r="36830">
      <c r="D36830" s="9"/>
      <c r="G36830" s="9"/>
      <c r="J36830" s="11"/>
      <c r="U36830" s="9"/>
      <c r="X36830" s="9"/>
    </row>
    <row r="36831">
      <c r="D36831" s="9"/>
      <c r="G36831" s="9"/>
      <c r="J36831" s="11"/>
      <c r="U36831" s="9"/>
      <c r="X36831" s="9"/>
    </row>
    <row r="36832">
      <c r="D36832" s="9"/>
      <c r="G36832" s="9"/>
      <c r="J36832" s="11"/>
      <c r="U36832" s="9"/>
      <c r="X36832" s="9"/>
    </row>
    <row r="36833">
      <c r="D36833" s="9"/>
      <c r="G36833" s="9"/>
      <c r="J36833" s="11"/>
      <c r="U36833" s="9"/>
      <c r="X36833" s="9"/>
    </row>
    <row r="36834">
      <c r="D36834" s="9"/>
      <c r="G36834" s="9"/>
      <c r="J36834" s="11"/>
      <c r="U36834" s="9"/>
      <c r="X36834" s="9"/>
    </row>
    <row r="36835">
      <c r="D36835" s="9"/>
      <c r="G36835" s="9"/>
      <c r="J36835" s="11"/>
      <c r="U36835" s="9"/>
      <c r="X36835" s="9"/>
    </row>
    <row r="36836">
      <c r="D36836" s="9"/>
      <c r="G36836" s="9"/>
      <c r="J36836" s="11"/>
      <c r="U36836" s="9"/>
      <c r="X36836" s="9"/>
    </row>
    <row r="36837">
      <c r="D36837" s="9"/>
      <c r="G36837" s="9"/>
      <c r="J36837" s="11"/>
      <c r="U36837" s="9"/>
      <c r="X36837" s="9"/>
    </row>
    <row r="36838">
      <c r="D36838" s="9"/>
      <c r="G36838" s="9"/>
      <c r="J36838" s="11"/>
      <c r="U36838" s="9"/>
      <c r="X36838" s="9"/>
    </row>
    <row r="36839">
      <c r="D36839" s="9"/>
      <c r="G36839" s="9"/>
      <c r="J36839" s="11"/>
      <c r="U36839" s="9"/>
      <c r="X36839" s="9"/>
    </row>
    <row r="36840">
      <c r="D36840" s="9"/>
      <c r="G36840" s="9"/>
      <c r="J36840" s="11"/>
      <c r="U36840" s="9"/>
      <c r="X36840" s="9"/>
    </row>
    <row r="36841">
      <c r="D36841" s="9"/>
      <c r="G36841" s="9"/>
      <c r="J36841" s="11"/>
      <c r="U36841" s="9"/>
      <c r="X36841" s="9"/>
    </row>
    <row r="36842">
      <c r="D36842" s="9"/>
      <c r="G36842" s="9"/>
      <c r="J36842" s="11"/>
      <c r="U36842" s="9"/>
      <c r="X36842" s="9"/>
    </row>
    <row r="36843">
      <c r="D36843" s="9"/>
      <c r="G36843" s="9"/>
      <c r="J36843" s="11"/>
      <c r="U36843" s="9"/>
      <c r="X36843" s="9"/>
    </row>
    <row r="36844">
      <c r="D36844" s="9"/>
      <c r="G36844" s="9"/>
      <c r="J36844" s="11"/>
      <c r="U36844" s="9"/>
      <c r="X36844" s="9"/>
    </row>
    <row r="36845">
      <c r="D36845" s="9"/>
      <c r="G36845" s="9"/>
      <c r="J36845" s="11"/>
      <c r="U36845" s="9"/>
      <c r="X36845" s="9"/>
    </row>
    <row r="36846">
      <c r="D36846" s="9"/>
      <c r="G36846" s="9"/>
      <c r="J36846" s="11"/>
      <c r="U36846" s="9"/>
      <c r="X36846" s="9"/>
    </row>
    <row r="36847">
      <c r="D36847" s="9"/>
      <c r="G36847" s="9"/>
      <c r="J36847" s="11"/>
      <c r="U36847" s="9"/>
      <c r="X36847" s="9"/>
    </row>
    <row r="36848">
      <c r="D36848" s="9"/>
      <c r="G36848" s="9"/>
      <c r="J36848" s="11"/>
      <c r="U36848" s="9"/>
      <c r="X36848" s="9"/>
    </row>
    <row r="36849">
      <c r="D36849" s="9"/>
      <c r="G36849" s="9"/>
      <c r="J36849" s="11"/>
      <c r="U36849" s="9"/>
      <c r="X36849" s="9"/>
    </row>
    <row r="36850">
      <c r="D36850" s="9"/>
      <c r="G36850" s="9"/>
      <c r="J36850" s="11"/>
      <c r="U36850" s="9"/>
      <c r="X36850" s="9"/>
    </row>
    <row r="36851">
      <c r="D36851" s="9"/>
      <c r="G36851" s="9"/>
      <c r="J36851" s="11"/>
      <c r="U36851" s="9"/>
      <c r="X36851" s="9"/>
    </row>
    <row r="36852">
      <c r="D36852" s="9"/>
      <c r="G36852" s="9"/>
      <c r="J36852" s="11"/>
      <c r="U36852" s="9"/>
      <c r="X36852" s="9"/>
    </row>
    <row r="36853">
      <c r="D36853" s="9"/>
      <c r="G36853" s="9"/>
      <c r="J36853" s="11"/>
      <c r="U36853" s="9"/>
      <c r="X36853" s="9"/>
    </row>
    <row r="36854">
      <c r="D36854" s="9"/>
      <c r="G36854" s="9"/>
      <c r="J36854" s="11"/>
      <c r="U36854" s="9"/>
      <c r="X36854" s="9"/>
    </row>
    <row r="36855">
      <c r="D36855" s="9"/>
      <c r="G36855" s="9"/>
      <c r="J36855" s="11"/>
      <c r="U36855" s="9"/>
      <c r="X36855" s="9"/>
    </row>
    <row r="36856">
      <c r="D36856" s="9"/>
      <c r="G36856" s="9"/>
      <c r="J36856" s="11"/>
      <c r="U36856" s="9"/>
      <c r="X36856" s="9"/>
    </row>
    <row r="36857">
      <c r="D36857" s="9"/>
      <c r="G36857" s="9"/>
      <c r="J36857" s="11"/>
      <c r="U36857" s="9"/>
      <c r="X36857" s="9"/>
    </row>
    <row r="36858">
      <c r="D36858" s="9"/>
      <c r="G36858" s="9"/>
      <c r="J36858" s="11"/>
      <c r="U36858" s="9"/>
      <c r="X36858" s="9"/>
    </row>
    <row r="36859">
      <c r="D36859" s="9"/>
      <c r="G36859" s="9"/>
      <c r="J36859" s="11"/>
      <c r="U36859" s="9"/>
      <c r="X36859" s="9"/>
    </row>
    <row r="36860">
      <c r="D36860" s="9"/>
      <c r="G36860" s="9"/>
      <c r="J36860" s="11"/>
      <c r="U36860" s="9"/>
      <c r="X36860" s="9"/>
    </row>
    <row r="36861">
      <c r="D36861" s="9"/>
      <c r="G36861" s="9"/>
      <c r="J36861" s="11"/>
      <c r="U36861" s="9"/>
      <c r="X36861" s="9"/>
    </row>
    <row r="36862">
      <c r="D36862" s="9"/>
      <c r="G36862" s="9"/>
      <c r="J36862" s="11"/>
      <c r="U36862" s="9"/>
      <c r="X36862" s="9"/>
    </row>
    <row r="36863">
      <c r="D36863" s="9"/>
      <c r="G36863" s="9"/>
      <c r="J36863" s="11"/>
      <c r="U36863" s="9"/>
      <c r="X36863" s="9"/>
    </row>
    <row r="36864">
      <c r="D36864" s="9"/>
      <c r="G36864" s="9"/>
      <c r="J36864" s="11"/>
      <c r="U36864" s="9"/>
      <c r="X36864" s="9"/>
    </row>
    <row r="36865">
      <c r="D36865" s="9"/>
      <c r="G36865" s="9"/>
      <c r="J36865" s="11"/>
      <c r="U36865" s="9"/>
      <c r="X36865" s="9"/>
    </row>
    <row r="36866">
      <c r="D36866" s="9"/>
      <c r="G36866" s="9"/>
      <c r="J36866" s="11"/>
      <c r="U36866" s="9"/>
      <c r="X36866" s="9"/>
    </row>
    <row r="36867">
      <c r="D36867" s="9"/>
      <c r="G36867" s="9"/>
      <c r="J36867" s="11"/>
      <c r="U36867" s="9"/>
      <c r="X36867" s="9"/>
    </row>
    <row r="36868">
      <c r="D36868" s="9"/>
      <c r="G36868" s="9"/>
      <c r="J36868" s="11"/>
      <c r="U36868" s="9"/>
      <c r="X36868" s="9"/>
    </row>
    <row r="36869">
      <c r="D36869" s="9"/>
      <c r="G36869" s="9"/>
      <c r="J36869" s="11"/>
      <c r="U36869" s="9"/>
      <c r="X36869" s="9"/>
    </row>
    <row r="36870">
      <c r="D36870" s="9"/>
      <c r="G36870" s="9"/>
      <c r="J36870" s="11"/>
      <c r="U36870" s="9"/>
      <c r="X36870" s="9"/>
    </row>
    <row r="36871">
      <c r="D36871" s="9"/>
      <c r="G36871" s="9"/>
      <c r="J36871" s="11"/>
      <c r="U36871" s="9"/>
      <c r="X36871" s="9"/>
    </row>
    <row r="36872">
      <c r="D36872" s="9"/>
      <c r="G36872" s="9"/>
      <c r="J36872" s="11"/>
      <c r="U36872" s="9"/>
      <c r="X36872" s="9"/>
    </row>
    <row r="36873">
      <c r="D36873" s="9"/>
      <c r="G36873" s="9"/>
      <c r="J36873" s="11"/>
      <c r="U36873" s="9"/>
      <c r="X36873" s="9"/>
    </row>
    <row r="36874">
      <c r="D36874" s="9"/>
      <c r="G36874" s="9"/>
      <c r="J36874" s="11"/>
      <c r="U36874" s="9"/>
      <c r="X36874" s="9"/>
    </row>
    <row r="36875">
      <c r="D36875" s="9"/>
      <c r="G36875" s="9"/>
      <c r="J36875" s="11"/>
      <c r="U36875" s="9"/>
      <c r="X36875" s="9"/>
    </row>
    <row r="36876">
      <c r="D36876" s="9"/>
      <c r="G36876" s="9"/>
      <c r="J36876" s="11"/>
      <c r="U36876" s="9"/>
      <c r="X36876" s="9"/>
    </row>
    <row r="36877">
      <c r="D36877" s="9"/>
      <c r="G36877" s="9"/>
      <c r="J36877" s="11"/>
      <c r="U36877" s="9"/>
      <c r="X36877" s="9"/>
    </row>
    <row r="36878">
      <c r="D36878" s="9"/>
      <c r="G36878" s="9"/>
      <c r="J36878" s="11"/>
      <c r="U36878" s="9"/>
      <c r="X36878" s="9"/>
    </row>
    <row r="36879">
      <c r="D36879" s="9"/>
      <c r="G36879" s="9"/>
      <c r="J36879" s="11"/>
      <c r="U36879" s="9"/>
      <c r="X36879" s="9"/>
    </row>
    <row r="36880">
      <c r="D36880" s="9"/>
      <c r="G36880" s="9"/>
      <c r="J36880" s="11"/>
      <c r="U36880" s="9"/>
      <c r="X36880" s="9"/>
    </row>
    <row r="36881">
      <c r="D36881" s="9"/>
      <c r="G36881" s="9"/>
      <c r="J36881" s="11"/>
      <c r="U36881" s="9"/>
      <c r="X36881" s="9"/>
    </row>
    <row r="36882">
      <c r="D36882" s="9"/>
      <c r="G36882" s="9"/>
      <c r="J36882" s="11"/>
      <c r="U36882" s="9"/>
      <c r="X36882" s="9"/>
    </row>
    <row r="36883">
      <c r="D36883" s="9"/>
      <c r="G36883" s="9"/>
      <c r="J36883" s="11"/>
      <c r="U36883" s="9"/>
      <c r="X36883" s="9"/>
    </row>
    <row r="36884">
      <c r="D36884" s="9"/>
      <c r="G36884" s="9"/>
      <c r="J36884" s="11"/>
      <c r="U36884" s="9"/>
      <c r="X36884" s="9"/>
    </row>
    <row r="36885">
      <c r="D36885" s="9"/>
      <c r="G36885" s="9"/>
      <c r="J36885" s="11"/>
      <c r="U36885" s="9"/>
      <c r="X36885" s="9"/>
    </row>
    <row r="36886">
      <c r="D36886" s="9"/>
      <c r="G36886" s="9"/>
      <c r="J36886" s="11"/>
      <c r="U36886" s="9"/>
      <c r="X36886" s="9"/>
    </row>
    <row r="36887">
      <c r="D36887" s="9"/>
      <c r="G36887" s="9"/>
      <c r="J36887" s="11"/>
      <c r="U36887" s="9"/>
      <c r="X36887" s="9"/>
    </row>
    <row r="36888">
      <c r="D36888" s="9"/>
      <c r="G36888" s="9"/>
      <c r="J36888" s="11"/>
      <c r="U36888" s="9"/>
      <c r="X36888" s="9"/>
    </row>
    <row r="36889">
      <c r="D36889" s="9"/>
      <c r="G36889" s="9"/>
      <c r="J36889" s="11"/>
      <c r="U36889" s="9"/>
      <c r="X36889" s="9"/>
    </row>
    <row r="36890">
      <c r="D36890" s="9"/>
      <c r="G36890" s="9"/>
      <c r="J36890" s="11"/>
      <c r="U36890" s="9"/>
      <c r="X36890" s="9"/>
    </row>
    <row r="36891">
      <c r="D36891" s="9"/>
      <c r="G36891" s="9"/>
      <c r="J36891" s="11"/>
      <c r="U36891" s="9"/>
      <c r="X36891" s="9"/>
    </row>
    <row r="36892">
      <c r="D36892" s="9"/>
      <c r="G36892" s="9"/>
      <c r="J36892" s="11"/>
      <c r="U36892" s="9"/>
      <c r="X36892" s="9"/>
    </row>
    <row r="36893">
      <c r="D36893" s="9"/>
      <c r="G36893" s="9"/>
      <c r="J36893" s="11"/>
      <c r="U36893" s="9"/>
      <c r="X36893" s="9"/>
    </row>
    <row r="36894">
      <c r="D36894" s="9"/>
      <c r="G36894" s="9"/>
      <c r="J36894" s="11"/>
      <c r="U36894" s="9"/>
      <c r="X36894" s="9"/>
    </row>
    <row r="36895">
      <c r="D36895" s="9"/>
      <c r="G36895" s="9"/>
      <c r="J36895" s="11"/>
      <c r="U36895" s="9"/>
      <c r="X36895" s="9"/>
    </row>
    <row r="36896">
      <c r="D36896" s="9"/>
      <c r="G36896" s="9"/>
      <c r="J36896" s="11"/>
      <c r="U36896" s="9"/>
      <c r="X36896" s="9"/>
    </row>
    <row r="36897">
      <c r="D36897" s="9"/>
      <c r="G36897" s="9"/>
      <c r="J36897" s="11"/>
      <c r="U36897" s="9"/>
      <c r="X36897" s="9"/>
    </row>
    <row r="36898">
      <c r="D36898" s="9"/>
      <c r="G36898" s="9"/>
      <c r="J36898" s="11"/>
      <c r="U36898" s="9"/>
      <c r="X36898" s="9"/>
    </row>
    <row r="36899">
      <c r="D36899" s="9"/>
      <c r="G36899" s="9"/>
      <c r="J36899" s="11"/>
      <c r="U36899" s="9"/>
      <c r="X36899" s="9"/>
    </row>
    <row r="36900">
      <c r="D36900" s="9"/>
      <c r="G36900" s="9"/>
      <c r="J36900" s="11"/>
      <c r="U36900" s="9"/>
      <c r="X36900" s="9"/>
    </row>
    <row r="36901">
      <c r="D36901" s="9"/>
      <c r="G36901" s="9"/>
      <c r="J36901" s="11"/>
      <c r="U36901" s="9"/>
      <c r="X36901" s="9"/>
    </row>
    <row r="36902">
      <c r="D36902" s="9"/>
      <c r="G36902" s="9"/>
      <c r="J36902" s="11"/>
      <c r="U36902" s="9"/>
      <c r="X36902" s="9"/>
    </row>
    <row r="36903">
      <c r="D36903" s="9"/>
      <c r="G36903" s="9"/>
      <c r="J36903" s="11"/>
      <c r="U36903" s="9"/>
      <c r="X36903" s="9"/>
    </row>
    <row r="36904">
      <c r="D36904" s="9"/>
      <c r="G36904" s="9"/>
      <c r="J36904" s="11"/>
      <c r="U36904" s="9"/>
      <c r="X36904" s="9"/>
    </row>
    <row r="36905">
      <c r="D36905" s="9"/>
      <c r="G36905" s="9"/>
      <c r="J36905" s="11"/>
      <c r="U36905" s="9"/>
      <c r="X36905" s="9"/>
    </row>
    <row r="36906">
      <c r="D36906" s="9"/>
      <c r="G36906" s="9"/>
      <c r="J36906" s="11"/>
      <c r="U36906" s="9"/>
      <c r="X36906" s="9"/>
    </row>
    <row r="36907">
      <c r="D36907" s="9"/>
      <c r="G36907" s="9"/>
      <c r="J36907" s="11"/>
      <c r="U36907" s="9"/>
      <c r="X36907" s="9"/>
    </row>
    <row r="36908">
      <c r="D36908" s="9"/>
      <c r="G36908" s="9"/>
      <c r="J36908" s="11"/>
      <c r="U36908" s="9"/>
      <c r="X36908" s="9"/>
    </row>
    <row r="36909">
      <c r="D36909" s="9"/>
      <c r="G36909" s="9"/>
      <c r="J36909" s="11"/>
      <c r="U36909" s="9"/>
      <c r="X36909" s="9"/>
    </row>
    <row r="36910">
      <c r="D36910" s="9"/>
      <c r="G36910" s="9"/>
      <c r="J36910" s="11"/>
      <c r="U36910" s="9"/>
      <c r="X36910" s="9"/>
    </row>
    <row r="36911">
      <c r="D36911" s="9"/>
      <c r="G36911" s="9"/>
      <c r="J36911" s="11"/>
      <c r="U36911" s="9"/>
      <c r="X36911" s="9"/>
    </row>
    <row r="36912">
      <c r="D36912" s="9"/>
      <c r="G36912" s="9"/>
      <c r="J36912" s="11"/>
      <c r="U36912" s="9"/>
      <c r="X36912" s="9"/>
    </row>
    <row r="36913">
      <c r="D36913" s="9"/>
      <c r="G36913" s="9"/>
      <c r="J36913" s="11"/>
      <c r="U36913" s="9"/>
      <c r="X36913" s="9"/>
    </row>
    <row r="36914">
      <c r="D36914" s="9"/>
      <c r="G36914" s="9"/>
      <c r="J36914" s="11"/>
      <c r="U36914" s="9"/>
      <c r="X36914" s="9"/>
    </row>
    <row r="36915">
      <c r="D36915" s="9"/>
      <c r="G36915" s="9"/>
      <c r="J36915" s="11"/>
      <c r="U36915" s="9"/>
      <c r="X36915" s="9"/>
    </row>
    <row r="36916">
      <c r="D36916" s="9"/>
      <c r="G36916" s="9"/>
      <c r="J36916" s="11"/>
      <c r="U36916" s="9"/>
      <c r="X36916" s="9"/>
    </row>
    <row r="36917">
      <c r="D36917" s="9"/>
      <c r="G36917" s="9"/>
      <c r="J36917" s="11"/>
      <c r="U36917" s="9"/>
      <c r="X36917" s="9"/>
    </row>
    <row r="36918">
      <c r="D36918" s="9"/>
      <c r="G36918" s="9"/>
      <c r="J36918" s="11"/>
      <c r="U36918" s="9"/>
      <c r="X36918" s="9"/>
    </row>
    <row r="36919">
      <c r="D36919" s="9"/>
      <c r="G36919" s="9"/>
      <c r="J36919" s="11"/>
      <c r="U36919" s="9"/>
      <c r="X36919" s="9"/>
    </row>
    <row r="36920">
      <c r="D36920" s="9"/>
      <c r="G36920" s="9"/>
      <c r="J36920" s="11"/>
      <c r="U36920" s="9"/>
      <c r="X36920" s="9"/>
    </row>
    <row r="36921">
      <c r="D36921" s="9"/>
      <c r="G36921" s="9"/>
      <c r="J36921" s="11"/>
      <c r="U36921" s="9"/>
      <c r="X36921" s="9"/>
    </row>
    <row r="36922">
      <c r="D36922" s="9"/>
      <c r="G36922" s="9"/>
      <c r="J36922" s="11"/>
      <c r="U36922" s="9"/>
      <c r="X36922" s="9"/>
    </row>
    <row r="36923">
      <c r="D36923" s="9"/>
      <c r="G36923" s="9"/>
      <c r="J36923" s="11"/>
      <c r="U36923" s="9"/>
      <c r="X36923" s="9"/>
    </row>
    <row r="36924">
      <c r="D36924" s="9"/>
      <c r="G36924" s="9"/>
      <c r="J36924" s="11"/>
      <c r="U36924" s="9"/>
      <c r="X36924" s="9"/>
    </row>
    <row r="36925">
      <c r="D36925" s="9"/>
      <c r="G36925" s="9"/>
      <c r="J36925" s="11"/>
      <c r="U36925" s="9"/>
      <c r="X36925" s="9"/>
    </row>
    <row r="36926">
      <c r="D36926" s="9"/>
      <c r="G36926" s="9"/>
      <c r="J36926" s="11"/>
      <c r="U36926" s="9"/>
      <c r="X36926" s="9"/>
    </row>
    <row r="36927">
      <c r="D36927" s="9"/>
      <c r="G36927" s="9"/>
      <c r="J36927" s="11"/>
      <c r="U36927" s="9"/>
      <c r="X36927" s="9"/>
    </row>
    <row r="36928">
      <c r="D36928" s="9"/>
      <c r="G36928" s="9"/>
      <c r="J36928" s="11"/>
      <c r="U36928" s="9"/>
      <c r="X36928" s="9"/>
    </row>
    <row r="36929">
      <c r="D36929" s="9"/>
      <c r="G36929" s="9"/>
      <c r="J36929" s="11"/>
      <c r="U36929" s="9"/>
      <c r="X36929" s="9"/>
    </row>
    <row r="36930">
      <c r="D36930" s="9"/>
      <c r="G36930" s="9"/>
      <c r="J36930" s="11"/>
      <c r="U36930" s="9"/>
      <c r="X36930" s="9"/>
    </row>
    <row r="36931">
      <c r="D36931" s="9"/>
      <c r="G36931" s="9"/>
      <c r="J36931" s="11"/>
      <c r="U36931" s="9"/>
      <c r="X36931" s="9"/>
    </row>
    <row r="36932">
      <c r="D36932" s="9"/>
      <c r="G36932" s="9"/>
      <c r="J36932" s="11"/>
      <c r="U36932" s="9"/>
      <c r="X36932" s="9"/>
    </row>
    <row r="36933">
      <c r="D36933" s="9"/>
      <c r="G36933" s="9"/>
      <c r="J36933" s="11"/>
      <c r="U36933" s="9"/>
      <c r="X36933" s="9"/>
    </row>
    <row r="36934">
      <c r="D36934" s="9"/>
      <c r="G36934" s="9"/>
      <c r="J36934" s="11"/>
      <c r="U36934" s="9"/>
      <c r="X36934" s="9"/>
    </row>
    <row r="36935">
      <c r="D36935" s="9"/>
      <c r="G36935" s="9"/>
      <c r="J36935" s="11"/>
      <c r="U36935" s="9"/>
      <c r="X36935" s="9"/>
    </row>
    <row r="36936">
      <c r="D36936" s="9"/>
      <c r="G36936" s="9"/>
      <c r="J36936" s="11"/>
      <c r="U36936" s="9"/>
      <c r="X36936" s="9"/>
    </row>
    <row r="36937">
      <c r="D36937" s="9"/>
      <c r="G36937" s="9"/>
      <c r="J36937" s="11"/>
      <c r="U36937" s="9"/>
      <c r="X36937" s="9"/>
    </row>
    <row r="36938">
      <c r="D36938" s="9"/>
      <c r="G36938" s="9"/>
      <c r="J36938" s="11"/>
      <c r="U36938" s="9"/>
      <c r="X36938" s="9"/>
    </row>
    <row r="36939">
      <c r="D36939" s="9"/>
      <c r="G36939" s="9"/>
      <c r="J36939" s="11"/>
      <c r="U36939" s="9"/>
      <c r="X36939" s="9"/>
    </row>
    <row r="36940">
      <c r="D36940" s="9"/>
      <c r="G36940" s="9"/>
      <c r="J36940" s="11"/>
      <c r="U36940" s="9"/>
      <c r="X36940" s="9"/>
    </row>
    <row r="36941">
      <c r="D36941" s="9"/>
      <c r="G36941" s="9"/>
      <c r="J36941" s="11"/>
      <c r="U36941" s="9"/>
      <c r="X36941" s="9"/>
    </row>
    <row r="36942">
      <c r="D36942" s="9"/>
      <c r="G36942" s="9"/>
      <c r="J36942" s="11"/>
      <c r="U36942" s="9"/>
      <c r="X36942" s="9"/>
    </row>
    <row r="36943">
      <c r="D36943" s="9"/>
      <c r="G36943" s="9"/>
      <c r="J36943" s="11"/>
      <c r="U36943" s="9"/>
      <c r="X36943" s="9"/>
    </row>
    <row r="36944">
      <c r="D36944" s="9"/>
      <c r="G36944" s="9"/>
      <c r="J36944" s="11"/>
      <c r="U36944" s="9"/>
      <c r="X36944" s="9"/>
    </row>
    <row r="36945">
      <c r="D36945" s="9"/>
      <c r="G36945" s="9"/>
      <c r="J36945" s="11"/>
      <c r="U36945" s="9"/>
      <c r="X36945" s="9"/>
    </row>
    <row r="36946">
      <c r="D36946" s="9"/>
      <c r="G36946" s="9"/>
      <c r="J36946" s="11"/>
      <c r="U36946" s="9"/>
      <c r="X36946" s="9"/>
    </row>
    <row r="36947">
      <c r="D36947" s="9"/>
      <c r="G36947" s="9"/>
      <c r="J36947" s="11"/>
      <c r="U36947" s="9"/>
      <c r="X36947" s="9"/>
    </row>
    <row r="36948">
      <c r="D36948" s="9"/>
      <c r="G36948" s="9"/>
      <c r="J36948" s="11"/>
      <c r="U36948" s="9"/>
      <c r="X36948" s="9"/>
    </row>
    <row r="36949">
      <c r="D36949" s="9"/>
      <c r="G36949" s="9"/>
      <c r="J36949" s="11"/>
      <c r="U36949" s="9"/>
      <c r="X36949" s="9"/>
    </row>
    <row r="36950">
      <c r="D36950" s="9"/>
      <c r="G36950" s="9"/>
      <c r="J36950" s="11"/>
      <c r="U36950" s="9"/>
      <c r="X36950" s="9"/>
    </row>
    <row r="36951">
      <c r="D36951" s="9"/>
      <c r="G36951" s="9"/>
      <c r="J36951" s="11"/>
      <c r="U36951" s="9"/>
      <c r="X36951" s="9"/>
    </row>
    <row r="36952">
      <c r="D36952" s="9"/>
      <c r="G36952" s="9"/>
      <c r="J36952" s="11"/>
      <c r="U36952" s="9"/>
      <c r="X36952" s="9"/>
    </row>
    <row r="36953">
      <c r="D36953" s="9"/>
      <c r="G36953" s="9"/>
      <c r="J36953" s="11"/>
      <c r="U36953" s="9"/>
      <c r="X36953" s="9"/>
    </row>
    <row r="36954">
      <c r="D36954" s="9"/>
      <c r="G36954" s="9"/>
      <c r="J36954" s="11"/>
      <c r="U36954" s="9"/>
      <c r="X36954" s="9"/>
    </row>
    <row r="36955">
      <c r="D36955" s="9"/>
      <c r="G36955" s="9"/>
      <c r="J36955" s="11"/>
      <c r="U36955" s="9"/>
      <c r="X36955" s="9"/>
    </row>
    <row r="36956">
      <c r="D36956" s="9"/>
      <c r="G36956" s="9"/>
      <c r="J36956" s="11"/>
      <c r="U36956" s="9"/>
      <c r="X36956" s="9"/>
    </row>
    <row r="36957">
      <c r="D36957" s="9"/>
      <c r="G36957" s="9"/>
      <c r="J36957" s="11"/>
      <c r="U36957" s="9"/>
      <c r="X36957" s="9"/>
    </row>
    <row r="36958">
      <c r="D36958" s="9"/>
      <c r="G36958" s="9"/>
      <c r="J36958" s="11"/>
      <c r="U36958" s="9"/>
      <c r="X36958" s="9"/>
    </row>
    <row r="36959">
      <c r="D36959" s="9"/>
      <c r="G36959" s="9"/>
      <c r="J36959" s="11"/>
      <c r="U36959" s="9"/>
      <c r="X36959" s="9"/>
    </row>
    <row r="36960">
      <c r="D36960" s="9"/>
      <c r="G36960" s="9"/>
      <c r="J36960" s="11"/>
      <c r="U36960" s="9"/>
      <c r="X36960" s="9"/>
    </row>
    <row r="36961">
      <c r="D36961" s="9"/>
      <c r="G36961" s="9"/>
      <c r="J36961" s="11"/>
      <c r="U36961" s="9"/>
      <c r="X36961" s="9"/>
    </row>
    <row r="36962">
      <c r="D36962" s="9"/>
      <c r="G36962" s="9"/>
      <c r="J36962" s="11"/>
      <c r="U36962" s="9"/>
      <c r="X36962" s="9"/>
    </row>
    <row r="36963">
      <c r="D36963" s="9"/>
      <c r="G36963" s="9"/>
      <c r="J36963" s="11"/>
      <c r="U36963" s="9"/>
      <c r="X36963" s="9"/>
    </row>
    <row r="36964">
      <c r="D36964" s="9"/>
      <c r="G36964" s="9"/>
      <c r="J36964" s="11"/>
      <c r="U36964" s="9"/>
      <c r="X36964" s="9"/>
    </row>
    <row r="36965">
      <c r="D36965" s="9"/>
      <c r="G36965" s="9"/>
      <c r="J36965" s="11"/>
      <c r="U36965" s="9"/>
      <c r="X36965" s="9"/>
    </row>
    <row r="36966">
      <c r="D36966" s="9"/>
      <c r="G36966" s="9"/>
      <c r="J36966" s="11"/>
      <c r="U36966" s="9"/>
      <c r="X36966" s="9"/>
    </row>
    <row r="36967">
      <c r="D36967" s="9"/>
      <c r="G36967" s="9"/>
      <c r="J36967" s="11"/>
      <c r="U36967" s="9"/>
      <c r="X36967" s="9"/>
    </row>
    <row r="36968">
      <c r="D36968" s="9"/>
      <c r="G36968" s="9"/>
      <c r="J36968" s="11"/>
      <c r="U36968" s="9"/>
      <c r="X36968" s="9"/>
    </row>
    <row r="36969">
      <c r="D36969" s="9"/>
      <c r="G36969" s="9"/>
      <c r="J36969" s="11"/>
      <c r="U36969" s="9"/>
      <c r="X36969" s="9"/>
    </row>
    <row r="36970">
      <c r="D36970" s="9"/>
      <c r="G36970" s="9"/>
      <c r="J36970" s="11"/>
      <c r="U36970" s="9"/>
      <c r="X36970" s="9"/>
    </row>
    <row r="36971">
      <c r="D36971" s="9"/>
      <c r="G36971" s="9"/>
      <c r="J36971" s="11"/>
      <c r="U36971" s="9"/>
      <c r="X36971" s="9"/>
    </row>
    <row r="36972">
      <c r="D36972" s="9"/>
      <c r="G36972" s="9"/>
      <c r="J36972" s="11"/>
      <c r="U36972" s="9"/>
      <c r="X36972" s="9"/>
    </row>
    <row r="36973">
      <c r="D36973" s="9"/>
      <c r="G36973" s="9"/>
      <c r="J36973" s="11"/>
      <c r="U36973" s="9"/>
      <c r="X36973" s="9"/>
    </row>
    <row r="36974">
      <c r="D36974" s="9"/>
      <c r="G36974" s="9"/>
      <c r="J36974" s="11"/>
      <c r="U36974" s="9"/>
      <c r="X36974" s="9"/>
    </row>
    <row r="36975">
      <c r="D36975" s="9"/>
      <c r="G36975" s="9"/>
      <c r="J36975" s="11"/>
      <c r="U36975" s="9"/>
      <c r="X36975" s="9"/>
    </row>
    <row r="36976">
      <c r="D36976" s="9"/>
      <c r="G36976" s="9"/>
      <c r="J36976" s="11"/>
      <c r="U36976" s="9"/>
      <c r="X36976" s="9"/>
    </row>
    <row r="36977">
      <c r="D36977" s="9"/>
      <c r="G36977" s="9"/>
      <c r="J36977" s="11"/>
      <c r="U36977" s="9"/>
      <c r="X36977" s="9"/>
    </row>
    <row r="36978">
      <c r="D36978" s="9"/>
      <c r="G36978" s="9"/>
      <c r="J36978" s="11"/>
      <c r="U36978" s="9"/>
      <c r="X36978" s="9"/>
    </row>
    <row r="36979">
      <c r="D36979" s="9"/>
      <c r="G36979" s="9"/>
      <c r="J36979" s="11"/>
      <c r="U36979" s="9"/>
      <c r="X36979" s="9"/>
    </row>
    <row r="36980">
      <c r="D36980" s="9"/>
      <c r="G36980" s="9"/>
      <c r="J36980" s="11"/>
      <c r="U36980" s="9"/>
      <c r="X36980" s="9"/>
    </row>
    <row r="36981">
      <c r="D36981" s="9"/>
      <c r="G36981" s="9"/>
      <c r="J36981" s="11"/>
      <c r="U36981" s="9"/>
      <c r="X36981" s="9"/>
    </row>
    <row r="36982">
      <c r="D36982" s="9"/>
      <c r="G36982" s="9"/>
      <c r="J36982" s="11"/>
      <c r="U36982" s="9"/>
      <c r="X36982" s="9"/>
    </row>
    <row r="36983">
      <c r="D36983" s="9"/>
      <c r="G36983" s="9"/>
      <c r="J36983" s="11"/>
      <c r="U36983" s="9"/>
      <c r="X36983" s="9"/>
    </row>
    <row r="36984">
      <c r="D36984" s="9"/>
      <c r="G36984" s="9"/>
      <c r="J36984" s="11"/>
      <c r="U36984" s="9"/>
      <c r="X36984" s="9"/>
    </row>
    <row r="36985">
      <c r="D36985" s="9"/>
      <c r="G36985" s="9"/>
      <c r="J36985" s="11"/>
      <c r="U36985" s="9"/>
      <c r="X36985" s="9"/>
    </row>
    <row r="36986">
      <c r="D36986" s="9"/>
      <c r="G36986" s="9"/>
      <c r="J36986" s="11"/>
      <c r="U36986" s="9"/>
      <c r="X36986" s="9"/>
    </row>
    <row r="36987">
      <c r="D36987" s="9"/>
      <c r="G36987" s="9"/>
      <c r="J36987" s="11"/>
      <c r="U36987" s="9"/>
      <c r="X36987" s="9"/>
    </row>
    <row r="36988">
      <c r="D36988" s="9"/>
      <c r="G36988" s="9"/>
      <c r="J36988" s="11"/>
      <c r="U36988" s="9"/>
      <c r="X36988" s="9"/>
    </row>
    <row r="36989">
      <c r="D36989" s="9"/>
      <c r="G36989" s="9"/>
      <c r="J36989" s="11"/>
      <c r="U36989" s="9"/>
      <c r="X36989" s="9"/>
    </row>
    <row r="36990">
      <c r="D36990" s="9"/>
      <c r="G36990" s="9"/>
      <c r="J36990" s="11"/>
      <c r="U36990" s="9"/>
      <c r="X36990" s="9"/>
    </row>
    <row r="36991">
      <c r="D36991" s="9"/>
      <c r="G36991" s="9"/>
      <c r="J36991" s="11"/>
      <c r="U36991" s="9"/>
      <c r="X36991" s="9"/>
    </row>
    <row r="36992">
      <c r="D36992" s="9"/>
      <c r="G36992" s="9"/>
      <c r="J36992" s="11"/>
      <c r="U36992" s="9"/>
      <c r="X36992" s="9"/>
    </row>
    <row r="36993">
      <c r="D36993" s="9"/>
      <c r="G36993" s="9"/>
      <c r="J36993" s="11"/>
      <c r="U36993" s="9"/>
      <c r="X36993" s="9"/>
    </row>
    <row r="36994">
      <c r="D36994" s="9"/>
      <c r="G36994" s="9"/>
      <c r="J36994" s="11"/>
      <c r="U36994" s="9"/>
      <c r="X36994" s="9"/>
    </row>
    <row r="36995">
      <c r="D36995" s="9"/>
      <c r="G36995" s="9"/>
      <c r="J36995" s="11"/>
      <c r="U36995" s="9"/>
      <c r="X36995" s="9"/>
    </row>
    <row r="36996">
      <c r="D36996" s="9"/>
      <c r="G36996" s="9"/>
      <c r="J36996" s="11"/>
      <c r="U36996" s="9"/>
      <c r="X36996" s="9"/>
    </row>
    <row r="36997">
      <c r="D36997" s="9"/>
      <c r="G36997" s="9"/>
      <c r="J36997" s="11"/>
      <c r="U36997" s="9"/>
      <c r="X36997" s="9"/>
    </row>
    <row r="36998">
      <c r="D36998" s="9"/>
      <c r="G36998" s="9"/>
      <c r="J36998" s="11"/>
      <c r="U36998" s="9"/>
      <c r="X36998" s="9"/>
    </row>
    <row r="36999">
      <c r="D36999" s="9"/>
      <c r="G36999" s="9"/>
      <c r="J36999" s="11"/>
      <c r="U36999" s="9"/>
      <c r="X36999" s="9"/>
    </row>
    <row r="37000">
      <c r="D37000" s="9"/>
      <c r="G37000" s="9"/>
      <c r="J37000" s="11"/>
      <c r="U37000" s="9"/>
      <c r="X37000" s="9"/>
    </row>
    <row r="37001">
      <c r="D37001" s="9"/>
      <c r="G37001" s="9"/>
      <c r="J37001" s="11"/>
      <c r="U37001" s="9"/>
      <c r="X37001" s="9"/>
    </row>
    <row r="37002">
      <c r="D37002" s="9"/>
      <c r="G37002" s="9"/>
      <c r="J37002" s="11"/>
      <c r="U37002" s="9"/>
      <c r="X37002" s="9"/>
    </row>
    <row r="37003">
      <c r="D37003" s="9"/>
      <c r="G37003" s="9"/>
      <c r="J37003" s="11"/>
      <c r="U37003" s="9"/>
      <c r="X37003" s="9"/>
    </row>
    <row r="37004">
      <c r="D37004" s="9"/>
      <c r="G37004" s="9"/>
      <c r="J37004" s="11"/>
      <c r="U37004" s="9"/>
      <c r="X37004" s="9"/>
    </row>
    <row r="37005">
      <c r="D37005" s="9"/>
      <c r="G37005" s="9"/>
      <c r="J37005" s="11"/>
      <c r="U37005" s="9"/>
      <c r="X37005" s="9"/>
    </row>
    <row r="37006">
      <c r="D37006" s="9"/>
      <c r="G37006" s="9"/>
      <c r="J37006" s="11"/>
      <c r="U37006" s="9"/>
      <c r="X37006" s="9"/>
    </row>
    <row r="37007">
      <c r="D37007" s="9"/>
      <c r="G37007" s="9"/>
      <c r="J37007" s="11"/>
      <c r="U37007" s="9"/>
      <c r="X37007" s="9"/>
    </row>
    <row r="37008">
      <c r="D37008" s="9"/>
      <c r="G37008" s="9"/>
      <c r="J37008" s="11"/>
      <c r="U37008" s="9"/>
      <c r="X37008" s="9"/>
    </row>
    <row r="37009">
      <c r="D37009" s="9"/>
      <c r="G37009" s="9"/>
      <c r="J37009" s="11"/>
      <c r="U37009" s="9"/>
      <c r="X37009" s="9"/>
    </row>
    <row r="37010">
      <c r="D37010" s="9"/>
      <c r="G37010" s="9"/>
      <c r="J37010" s="11"/>
      <c r="U37010" s="9"/>
      <c r="X37010" s="9"/>
    </row>
    <row r="37011">
      <c r="D37011" s="9"/>
      <c r="G37011" s="9"/>
      <c r="J37011" s="11"/>
      <c r="U37011" s="9"/>
      <c r="X37011" s="9"/>
    </row>
    <row r="37012">
      <c r="D37012" s="9"/>
      <c r="G37012" s="9"/>
      <c r="J37012" s="11"/>
      <c r="U37012" s="9"/>
      <c r="X37012" s="9"/>
    </row>
    <row r="37013">
      <c r="D37013" s="9"/>
      <c r="G37013" s="9"/>
      <c r="J37013" s="11"/>
      <c r="U37013" s="9"/>
      <c r="X37013" s="9"/>
    </row>
    <row r="37014">
      <c r="D37014" s="9"/>
      <c r="G37014" s="9"/>
      <c r="J37014" s="11"/>
      <c r="U37014" s="9"/>
      <c r="X37014" s="9"/>
    </row>
    <row r="37015">
      <c r="D37015" s="9"/>
      <c r="G37015" s="9"/>
      <c r="J37015" s="11"/>
      <c r="U37015" s="9"/>
      <c r="X37015" s="9"/>
    </row>
    <row r="37016">
      <c r="D37016" s="9"/>
      <c r="G37016" s="9"/>
      <c r="J37016" s="11"/>
      <c r="U37016" s="9"/>
      <c r="X37016" s="9"/>
    </row>
    <row r="37017">
      <c r="D37017" s="9"/>
      <c r="G37017" s="9"/>
      <c r="J37017" s="11"/>
      <c r="U37017" s="9"/>
      <c r="X37017" s="9"/>
    </row>
    <row r="37018">
      <c r="D37018" s="9"/>
      <c r="G37018" s="9"/>
      <c r="J37018" s="11"/>
      <c r="U37018" s="9"/>
      <c r="X37018" s="9"/>
    </row>
    <row r="37019">
      <c r="D37019" s="9"/>
      <c r="G37019" s="9"/>
      <c r="J37019" s="11"/>
      <c r="U37019" s="9"/>
      <c r="X37019" s="9"/>
    </row>
    <row r="37020">
      <c r="D37020" s="9"/>
      <c r="G37020" s="9"/>
      <c r="J37020" s="11"/>
      <c r="U37020" s="9"/>
      <c r="X37020" s="9"/>
    </row>
    <row r="37021">
      <c r="D37021" s="9"/>
      <c r="G37021" s="9"/>
      <c r="J37021" s="11"/>
      <c r="U37021" s="9"/>
      <c r="X37021" s="9"/>
    </row>
    <row r="37022">
      <c r="D37022" s="9"/>
      <c r="G37022" s="9"/>
      <c r="J37022" s="11"/>
      <c r="U37022" s="9"/>
      <c r="X37022" s="9"/>
    </row>
    <row r="37023">
      <c r="D37023" s="9"/>
      <c r="G37023" s="9"/>
      <c r="J37023" s="11"/>
      <c r="U37023" s="9"/>
      <c r="X37023" s="9"/>
    </row>
    <row r="37024">
      <c r="D37024" s="9"/>
      <c r="G37024" s="9"/>
      <c r="J37024" s="11"/>
      <c r="U37024" s="9"/>
      <c r="X37024" s="9"/>
    </row>
    <row r="37025">
      <c r="D37025" s="9"/>
      <c r="G37025" s="9"/>
      <c r="J37025" s="11"/>
      <c r="U37025" s="9"/>
      <c r="X37025" s="9"/>
    </row>
    <row r="37026">
      <c r="D37026" s="9"/>
      <c r="G37026" s="9"/>
      <c r="J37026" s="11"/>
      <c r="U37026" s="9"/>
      <c r="X37026" s="9"/>
    </row>
    <row r="37027">
      <c r="D37027" s="9"/>
      <c r="G37027" s="9"/>
      <c r="J37027" s="11"/>
      <c r="U37027" s="9"/>
      <c r="X37027" s="9"/>
    </row>
    <row r="37028">
      <c r="D37028" s="9"/>
      <c r="G37028" s="9"/>
      <c r="J37028" s="11"/>
      <c r="U37028" s="9"/>
      <c r="X37028" s="9"/>
    </row>
    <row r="37029">
      <c r="D37029" s="9"/>
      <c r="G37029" s="9"/>
      <c r="J37029" s="11"/>
      <c r="U37029" s="9"/>
      <c r="X37029" s="9"/>
    </row>
    <row r="37030">
      <c r="D37030" s="9"/>
      <c r="G37030" s="9"/>
      <c r="J37030" s="11"/>
      <c r="U37030" s="9"/>
      <c r="X37030" s="9"/>
    </row>
    <row r="37031">
      <c r="D37031" s="9"/>
      <c r="G37031" s="9"/>
      <c r="J37031" s="11"/>
      <c r="U37031" s="9"/>
      <c r="X37031" s="9"/>
    </row>
    <row r="37032">
      <c r="D37032" s="9"/>
      <c r="G37032" s="9"/>
      <c r="J37032" s="11"/>
      <c r="U37032" s="9"/>
      <c r="X37032" s="9"/>
    </row>
    <row r="37033">
      <c r="D37033" s="9"/>
      <c r="G37033" s="9"/>
      <c r="J37033" s="11"/>
      <c r="U37033" s="9"/>
      <c r="X37033" s="9"/>
    </row>
    <row r="37034">
      <c r="D37034" s="9"/>
      <c r="G37034" s="9"/>
      <c r="J37034" s="11"/>
      <c r="U37034" s="9"/>
      <c r="X37034" s="9"/>
    </row>
    <row r="37035">
      <c r="D37035" s="9"/>
      <c r="G37035" s="9"/>
      <c r="J37035" s="11"/>
      <c r="U37035" s="9"/>
      <c r="X37035" s="9"/>
    </row>
    <row r="37036">
      <c r="D37036" s="9"/>
      <c r="G37036" s="9"/>
      <c r="J37036" s="11"/>
      <c r="U37036" s="9"/>
      <c r="X37036" s="9"/>
    </row>
    <row r="37037">
      <c r="D37037" s="9"/>
      <c r="G37037" s="9"/>
      <c r="J37037" s="11"/>
      <c r="U37037" s="9"/>
      <c r="X37037" s="9"/>
    </row>
    <row r="37038">
      <c r="D37038" s="9"/>
      <c r="G37038" s="9"/>
      <c r="J37038" s="11"/>
      <c r="U37038" s="9"/>
      <c r="X37038" s="9"/>
    </row>
    <row r="37039">
      <c r="D37039" s="9"/>
      <c r="G37039" s="9"/>
      <c r="J37039" s="11"/>
      <c r="U37039" s="9"/>
      <c r="X37039" s="9"/>
    </row>
    <row r="37040">
      <c r="D37040" s="9"/>
      <c r="G37040" s="9"/>
      <c r="J37040" s="11"/>
      <c r="U37040" s="9"/>
      <c r="X37040" s="9"/>
    </row>
    <row r="37041">
      <c r="D37041" s="9"/>
      <c r="G37041" s="9"/>
      <c r="J37041" s="11"/>
      <c r="U37041" s="9"/>
      <c r="X37041" s="9"/>
    </row>
    <row r="37042">
      <c r="D37042" s="9"/>
      <c r="G37042" s="9"/>
      <c r="J37042" s="11"/>
      <c r="U37042" s="9"/>
      <c r="X37042" s="9"/>
    </row>
    <row r="37043">
      <c r="D37043" s="9"/>
      <c r="G37043" s="9"/>
      <c r="J37043" s="11"/>
      <c r="U37043" s="9"/>
      <c r="X37043" s="9"/>
    </row>
    <row r="37044">
      <c r="D37044" s="9"/>
      <c r="G37044" s="9"/>
      <c r="J37044" s="11"/>
      <c r="U37044" s="9"/>
      <c r="X37044" s="9"/>
    </row>
    <row r="37045">
      <c r="D37045" s="9"/>
      <c r="G37045" s="9"/>
      <c r="J37045" s="11"/>
      <c r="U37045" s="9"/>
      <c r="X37045" s="9"/>
    </row>
    <row r="37046">
      <c r="D37046" s="9"/>
      <c r="G37046" s="9"/>
      <c r="J37046" s="11"/>
      <c r="U37046" s="9"/>
      <c r="X37046" s="9"/>
    </row>
    <row r="37047">
      <c r="D37047" s="9"/>
      <c r="G37047" s="9"/>
      <c r="J37047" s="11"/>
      <c r="U37047" s="9"/>
      <c r="X37047" s="9"/>
    </row>
    <row r="37048">
      <c r="D37048" s="9"/>
      <c r="G37048" s="9"/>
      <c r="J37048" s="11"/>
      <c r="U37048" s="9"/>
      <c r="X37048" s="9"/>
    </row>
    <row r="37049">
      <c r="D37049" s="9"/>
      <c r="G37049" s="9"/>
      <c r="J37049" s="11"/>
      <c r="U37049" s="9"/>
      <c r="X37049" s="9"/>
    </row>
    <row r="37050">
      <c r="D37050" s="9"/>
      <c r="G37050" s="9"/>
      <c r="J37050" s="11"/>
      <c r="U37050" s="9"/>
      <c r="X37050" s="9"/>
    </row>
    <row r="37051">
      <c r="D37051" s="9"/>
      <c r="G37051" s="9"/>
      <c r="J37051" s="11"/>
      <c r="U37051" s="9"/>
      <c r="X37051" s="9"/>
    </row>
    <row r="37052">
      <c r="D37052" s="9"/>
      <c r="G37052" s="9"/>
      <c r="J37052" s="11"/>
      <c r="U37052" s="9"/>
      <c r="X37052" s="9"/>
    </row>
    <row r="37053">
      <c r="D37053" s="9"/>
      <c r="G37053" s="9"/>
      <c r="J37053" s="11"/>
      <c r="U37053" s="9"/>
      <c r="X37053" s="9"/>
    </row>
    <row r="37054">
      <c r="D37054" s="9"/>
      <c r="G37054" s="9"/>
      <c r="J37054" s="11"/>
      <c r="U37054" s="9"/>
      <c r="X37054" s="9"/>
    </row>
    <row r="37055">
      <c r="D37055" s="9"/>
      <c r="G37055" s="9"/>
      <c r="J37055" s="11"/>
      <c r="U37055" s="9"/>
      <c r="X37055" s="9"/>
    </row>
    <row r="37056">
      <c r="D37056" s="9"/>
      <c r="G37056" s="9"/>
      <c r="J37056" s="11"/>
      <c r="U37056" s="9"/>
      <c r="X37056" s="9"/>
    </row>
    <row r="37057">
      <c r="D37057" s="9"/>
      <c r="G37057" s="9"/>
      <c r="J37057" s="11"/>
      <c r="U37057" s="9"/>
      <c r="X37057" s="9"/>
    </row>
    <row r="37058">
      <c r="D37058" s="9"/>
      <c r="G37058" s="9"/>
      <c r="J37058" s="11"/>
      <c r="U37058" s="9"/>
      <c r="X37058" s="9"/>
    </row>
    <row r="37059">
      <c r="D37059" s="9"/>
      <c r="G37059" s="9"/>
      <c r="J37059" s="11"/>
      <c r="U37059" s="9"/>
      <c r="X37059" s="9"/>
    </row>
    <row r="37060">
      <c r="D37060" s="9"/>
      <c r="G37060" s="9"/>
      <c r="J37060" s="11"/>
      <c r="U37060" s="9"/>
      <c r="X37060" s="9"/>
    </row>
    <row r="37061">
      <c r="D37061" s="9"/>
      <c r="G37061" s="9"/>
      <c r="J37061" s="11"/>
      <c r="U37061" s="9"/>
      <c r="X37061" s="9"/>
    </row>
    <row r="37062">
      <c r="D37062" s="9"/>
      <c r="G37062" s="9"/>
      <c r="J37062" s="11"/>
      <c r="U37062" s="9"/>
      <c r="X37062" s="9"/>
    </row>
    <row r="37063">
      <c r="D37063" s="9"/>
      <c r="G37063" s="9"/>
      <c r="J37063" s="11"/>
      <c r="U37063" s="9"/>
      <c r="X37063" s="9"/>
    </row>
    <row r="37064">
      <c r="D37064" s="9"/>
      <c r="G37064" s="9"/>
      <c r="J37064" s="11"/>
      <c r="U37064" s="9"/>
      <c r="X37064" s="9"/>
    </row>
    <row r="37065">
      <c r="D37065" s="9"/>
      <c r="G37065" s="9"/>
      <c r="J37065" s="11"/>
      <c r="U37065" s="9"/>
      <c r="X37065" s="9"/>
    </row>
    <row r="37066">
      <c r="D37066" s="9"/>
      <c r="G37066" s="9"/>
      <c r="J37066" s="11"/>
      <c r="U37066" s="9"/>
      <c r="X37066" s="9"/>
    </row>
    <row r="37067">
      <c r="D37067" s="9"/>
      <c r="G37067" s="9"/>
      <c r="J37067" s="11"/>
      <c r="U37067" s="9"/>
      <c r="X37067" s="9"/>
    </row>
    <row r="37068">
      <c r="D37068" s="9"/>
      <c r="G37068" s="9"/>
      <c r="J37068" s="11"/>
      <c r="U37068" s="9"/>
      <c r="X37068" s="9"/>
    </row>
    <row r="37069">
      <c r="D37069" s="9"/>
      <c r="G37069" s="9"/>
      <c r="J37069" s="11"/>
      <c r="U37069" s="9"/>
      <c r="X37069" s="9"/>
    </row>
    <row r="37070">
      <c r="D37070" s="9"/>
      <c r="G37070" s="9"/>
      <c r="J37070" s="11"/>
      <c r="U37070" s="9"/>
      <c r="X37070" s="9"/>
    </row>
    <row r="37071">
      <c r="D37071" s="9"/>
      <c r="G37071" s="9"/>
      <c r="J37071" s="11"/>
      <c r="U37071" s="9"/>
      <c r="X37071" s="9"/>
    </row>
    <row r="37072">
      <c r="D37072" s="9"/>
      <c r="G37072" s="9"/>
      <c r="J37072" s="11"/>
      <c r="U37072" s="9"/>
      <c r="X37072" s="9"/>
    </row>
    <row r="37073">
      <c r="D37073" s="9"/>
      <c r="G37073" s="9"/>
      <c r="J37073" s="11"/>
      <c r="U37073" s="9"/>
      <c r="X37073" s="9"/>
    </row>
    <row r="37074">
      <c r="D37074" s="9"/>
      <c r="G37074" s="9"/>
      <c r="J37074" s="11"/>
      <c r="U37074" s="9"/>
      <c r="X37074" s="9"/>
    </row>
    <row r="37075">
      <c r="D37075" s="9"/>
      <c r="G37075" s="9"/>
      <c r="J37075" s="11"/>
      <c r="U37075" s="9"/>
      <c r="X37075" s="9"/>
    </row>
    <row r="37076">
      <c r="D37076" s="9"/>
      <c r="G37076" s="9"/>
      <c r="J37076" s="11"/>
      <c r="U37076" s="9"/>
      <c r="X37076" s="9"/>
    </row>
    <row r="37077">
      <c r="D37077" s="9"/>
      <c r="G37077" s="9"/>
      <c r="J37077" s="11"/>
      <c r="U37077" s="9"/>
      <c r="X37077" s="9"/>
    </row>
    <row r="37078">
      <c r="D37078" s="9"/>
      <c r="G37078" s="9"/>
      <c r="J37078" s="11"/>
      <c r="U37078" s="9"/>
      <c r="X37078" s="9"/>
    </row>
    <row r="37079">
      <c r="D37079" s="9"/>
      <c r="G37079" s="9"/>
      <c r="J37079" s="11"/>
      <c r="U37079" s="9"/>
      <c r="X37079" s="9"/>
    </row>
    <row r="37080">
      <c r="D37080" s="9"/>
      <c r="G37080" s="9"/>
      <c r="J37080" s="11"/>
      <c r="U37080" s="9"/>
      <c r="X37080" s="9"/>
    </row>
    <row r="37081">
      <c r="D37081" s="9"/>
      <c r="G37081" s="9"/>
      <c r="J37081" s="11"/>
      <c r="U37081" s="9"/>
      <c r="X37081" s="9"/>
    </row>
    <row r="37082">
      <c r="D37082" s="9"/>
      <c r="G37082" s="9"/>
      <c r="J37082" s="11"/>
      <c r="U37082" s="9"/>
      <c r="X37082" s="9"/>
    </row>
    <row r="37083">
      <c r="D37083" s="9"/>
      <c r="G37083" s="9"/>
      <c r="J37083" s="11"/>
      <c r="U37083" s="9"/>
      <c r="X37083" s="9"/>
    </row>
    <row r="37084">
      <c r="D37084" s="9"/>
      <c r="G37084" s="9"/>
      <c r="J37084" s="11"/>
      <c r="U37084" s="9"/>
      <c r="X37084" s="9"/>
    </row>
    <row r="37085">
      <c r="D37085" s="9"/>
      <c r="G37085" s="9"/>
      <c r="J37085" s="11"/>
      <c r="U37085" s="9"/>
      <c r="X37085" s="9"/>
    </row>
    <row r="37086">
      <c r="D37086" s="9"/>
      <c r="G37086" s="9"/>
      <c r="J37086" s="11"/>
      <c r="U37086" s="9"/>
      <c r="X37086" s="9"/>
    </row>
    <row r="37087">
      <c r="D37087" s="9"/>
      <c r="G37087" s="9"/>
      <c r="J37087" s="11"/>
      <c r="U37087" s="9"/>
      <c r="X37087" s="9"/>
    </row>
    <row r="37088">
      <c r="D37088" s="9"/>
      <c r="G37088" s="9"/>
      <c r="J37088" s="11"/>
      <c r="U37088" s="9"/>
      <c r="X37088" s="9"/>
    </row>
    <row r="37089">
      <c r="D37089" s="9"/>
      <c r="G37089" s="9"/>
      <c r="J37089" s="11"/>
      <c r="U37089" s="9"/>
      <c r="X37089" s="9"/>
    </row>
    <row r="37090">
      <c r="D37090" s="9"/>
      <c r="G37090" s="9"/>
      <c r="J37090" s="11"/>
      <c r="U37090" s="9"/>
      <c r="X37090" s="9"/>
    </row>
    <row r="37091">
      <c r="D37091" s="9"/>
      <c r="G37091" s="9"/>
      <c r="J37091" s="11"/>
      <c r="U37091" s="9"/>
      <c r="X37091" s="9"/>
    </row>
    <row r="37092">
      <c r="D37092" s="9"/>
      <c r="G37092" s="9"/>
      <c r="J37092" s="11"/>
      <c r="U37092" s="9"/>
      <c r="X37092" s="9"/>
    </row>
    <row r="37093">
      <c r="D37093" s="9"/>
      <c r="G37093" s="9"/>
      <c r="J37093" s="11"/>
      <c r="U37093" s="9"/>
      <c r="X37093" s="9"/>
    </row>
    <row r="37094">
      <c r="D37094" s="9"/>
      <c r="G37094" s="9"/>
      <c r="J37094" s="11"/>
      <c r="U37094" s="9"/>
      <c r="X37094" s="9"/>
    </row>
    <row r="37095">
      <c r="D37095" s="9"/>
      <c r="G37095" s="9"/>
      <c r="J37095" s="11"/>
      <c r="U37095" s="9"/>
      <c r="X37095" s="9"/>
    </row>
    <row r="37096">
      <c r="D37096" s="9"/>
      <c r="G37096" s="9"/>
      <c r="J37096" s="11"/>
      <c r="U37096" s="9"/>
      <c r="X37096" s="9"/>
    </row>
    <row r="37097">
      <c r="D37097" s="9"/>
      <c r="G37097" s="9"/>
      <c r="J37097" s="11"/>
      <c r="U37097" s="9"/>
      <c r="X37097" s="9"/>
    </row>
    <row r="37098">
      <c r="D37098" s="9"/>
      <c r="G37098" s="9"/>
      <c r="J37098" s="11"/>
      <c r="U37098" s="9"/>
      <c r="X37098" s="9"/>
    </row>
    <row r="37099">
      <c r="D37099" s="9"/>
      <c r="G37099" s="9"/>
      <c r="J37099" s="11"/>
      <c r="U37099" s="9"/>
      <c r="X37099" s="9"/>
    </row>
    <row r="37100">
      <c r="D37100" s="9"/>
      <c r="G37100" s="9"/>
      <c r="J37100" s="11"/>
      <c r="U37100" s="9"/>
      <c r="X37100" s="9"/>
    </row>
    <row r="37101">
      <c r="D37101" s="9"/>
      <c r="G37101" s="9"/>
      <c r="J37101" s="11"/>
      <c r="U37101" s="9"/>
      <c r="X37101" s="9"/>
    </row>
    <row r="37102">
      <c r="D37102" s="9"/>
      <c r="G37102" s="9"/>
      <c r="J37102" s="11"/>
      <c r="U37102" s="9"/>
      <c r="X37102" s="9"/>
    </row>
    <row r="37103">
      <c r="D37103" s="9"/>
      <c r="G37103" s="9"/>
      <c r="J37103" s="11"/>
      <c r="U37103" s="9"/>
      <c r="X37103" s="9"/>
    </row>
    <row r="37104">
      <c r="D37104" s="9"/>
      <c r="G37104" s="9"/>
      <c r="J37104" s="11"/>
      <c r="U37104" s="9"/>
      <c r="X37104" s="9"/>
    </row>
    <row r="37105">
      <c r="D37105" s="9"/>
      <c r="G37105" s="9"/>
      <c r="J37105" s="11"/>
      <c r="U37105" s="9"/>
      <c r="X37105" s="9"/>
    </row>
    <row r="37106">
      <c r="D37106" s="9"/>
      <c r="G37106" s="9"/>
      <c r="J37106" s="11"/>
      <c r="U37106" s="9"/>
      <c r="X37106" s="9"/>
    </row>
    <row r="37107">
      <c r="D37107" s="9"/>
      <c r="G37107" s="9"/>
      <c r="J37107" s="11"/>
      <c r="U37107" s="9"/>
      <c r="X37107" s="9"/>
    </row>
    <row r="37108">
      <c r="D37108" s="9"/>
      <c r="G37108" s="9"/>
      <c r="J37108" s="11"/>
      <c r="U37108" s="9"/>
      <c r="X37108" s="9"/>
    </row>
    <row r="37109">
      <c r="D37109" s="9"/>
      <c r="G37109" s="9"/>
      <c r="J37109" s="11"/>
      <c r="U37109" s="9"/>
      <c r="X37109" s="9"/>
    </row>
    <row r="37110">
      <c r="D37110" s="9"/>
      <c r="G37110" s="9"/>
      <c r="J37110" s="11"/>
      <c r="U37110" s="9"/>
      <c r="X37110" s="9"/>
    </row>
    <row r="37111">
      <c r="D37111" s="9"/>
      <c r="G37111" s="9"/>
      <c r="J37111" s="11"/>
      <c r="U37111" s="9"/>
      <c r="X37111" s="9"/>
    </row>
    <row r="37112">
      <c r="D37112" s="9"/>
      <c r="G37112" s="9"/>
      <c r="J37112" s="11"/>
      <c r="U37112" s="9"/>
      <c r="X37112" s="9"/>
    </row>
    <row r="37113">
      <c r="D37113" s="9"/>
      <c r="G37113" s="9"/>
      <c r="J37113" s="11"/>
      <c r="U37113" s="9"/>
      <c r="X37113" s="9"/>
    </row>
    <row r="37114">
      <c r="D37114" s="9"/>
      <c r="G37114" s="9"/>
      <c r="J37114" s="11"/>
      <c r="U37114" s="9"/>
      <c r="X37114" s="9"/>
    </row>
    <row r="37115">
      <c r="D37115" s="9"/>
      <c r="G37115" s="9"/>
      <c r="J37115" s="11"/>
      <c r="U37115" s="9"/>
      <c r="X37115" s="9"/>
    </row>
    <row r="37116">
      <c r="D37116" s="9"/>
      <c r="G37116" s="9"/>
      <c r="J37116" s="11"/>
      <c r="U37116" s="9"/>
      <c r="X37116" s="9"/>
    </row>
    <row r="37117">
      <c r="D37117" s="9"/>
      <c r="G37117" s="9"/>
      <c r="J37117" s="11"/>
      <c r="U37117" s="9"/>
      <c r="X37117" s="9"/>
    </row>
    <row r="37118">
      <c r="D37118" s="9"/>
      <c r="G37118" s="9"/>
      <c r="J37118" s="11"/>
      <c r="U37118" s="9"/>
      <c r="X37118" s="9"/>
    </row>
    <row r="37119">
      <c r="D37119" s="9"/>
      <c r="G37119" s="9"/>
      <c r="J37119" s="11"/>
      <c r="U37119" s="9"/>
      <c r="X37119" s="9"/>
    </row>
    <row r="37120">
      <c r="D37120" s="9"/>
      <c r="G37120" s="9"/>
      <c r="J37120" s="11"/>
      <c r="U37120" s="9"/>
      <c r="X37120" s="9"/>
    </row>
    <row r="37121">
      <c r="D37121" s="9"/>
      <c r="G37121" s="9"/>
      <c r="J37121" s="11"/>
      <c r="U37121" s="9"/>
      <c r="X37121" s="9"/>
    </row>
    <row r="37122">
      <c r="D37122" s="9"/>
      <c r="G37122" s="9"/>
      <c r="J37122" s="11"/>
      <c r="U37122" s="9"/>
      <c r="X37122" s="9"/>
    </row>
    <row r="37123">
      <c r="D37123" s="9"/>
      <c r="G37123" s="9"/>
      <c r="J37123" s="11"/>
      <c r="U37123" s="9"/>
      <c r="X37123" s="9"/>
    </row>
    <row r="37124">
      <c r="D37124" s="9"/>
      <c r="G37124" s="9"/>
      <c r="J37124" s="11"/>
      <c r="U37124" s="9"/>
      <c r="X37124" s="9"/>
    </row>
    <row r="37125">
      <c r="D37125" s="9"/>
      <c r="G37125" s="9"/>
      <c r="J37125" s="11"/>
      <c r="U37125" s="9"/>
      <c r="X37125" s="9"/>
    </row>
    <row r="37126">
      <c r="D37126" s="9"/>
      <c r="G37126" s="9"/>
      <c r="J37126" s="11"/>
      <c r="U37126" s="9"/>
      <c r="X37126" s="9"/>
    </row>
    <row r="37127">
      <c r="D37127" s="9"/>
      <c r="G37127" s="9"/>
      <c r="J37127" s="11"/>
      <c r="U37127" s="9"/>
      <c r="X37127" s="9"/>
    </row>
    <row r="37128">
      <c r="D37128" s="9"/>
      <c r="G37128" s="9"/>
      <c r="J37128" s="11"/>
      <c r="U37128" s="9"/>
      <c r="X37128" s="9"/>
    </row>
    <row r="37129">
      <c r="D37129" s="9"/>
      <c r="G37129" s="9"/>
      <c r="J37129" s="11"/>
      <c r="U37129" s="9"/>
      <c r="X37129" s="9"/>
    </row>
    <row r="37130">
      <c r="D37130" s="9"/>
      <c r="G37130" s="9"/>
      <c r="J37130" s="11"/>
      <c r="U37130" s="9"/>
      <c r="X37130" s="9"/>
    </row>
    <row r="37131">
      <c r="D37131" s="9"/>
      <c r="G37131" s="9"/>
      <c r="J37131" s="11"/>
      <c r="U37131" s="9"/>
      <c r="X37131" s="9"/>
    </row>
    <row r="37132">
      <c r="D37132" s="9"/>
      <c r="G37132" s="9"/>
      <c r="J37132" s="11"/>
      <c r="U37132" s="9"/>
      <c r="X37132" s="9"/>
    </row>
    <row r="37133">
      <c r="D37133" s="9"/>
      <c r="G37133" s="9"/>
      <c r="J37133" s="11"/>
      <c r="U37133" s="9"/>
      <c r="X37133" s="9"/>
    </row>
    <row r="37134">
      <c r="D37134" s="9"/>
      <c r="G37134" s="9"/>
      <c r="J37134" s="11"/>
      <c r="U37134" s="9"/>
      <c r="X37134" s="9"/>
    </row>
    <row r="37135">
      <c r="D37135" s="9"/>
      <c r="G37135" s="9"/>
      <c r="J37135" s="11"/>
      <c r="U37135" s="9"/>
      <c r="X37135" s="9"/>
    </row>
    <row r="37136">
      <c r="D37136" s="9"/>
      <c r="G37136" s="9"/>
      <c r="J37136" s="11"/>
      <c r="U37136" s="9"/>
      <c r="X37136" s="9"/>
    </row>
    <row r="37137">
      <c r="D37137" s="9"/>
      <c r="G37137" s="9"/>
      <c r="J37137" s="11"/>
      <c r="U37137" s="9"/>
      <c r="X37137" s="9"/>
    </row>
    <row r="37138">
      <c r="D37138" s="9"/>
      <c r="G37138" s="9"/>
      <c r="J37138" s="11"/>
      <c r="U37138" s="9"/>
      <c r="X37138" s="9"/>
    </row>
    <row r="37139">
      <c r="D37139" s="9"/>
      <c r="G37139" s="9"/>
      <c r="J37139" s="11"/>
      <c r="U37139" s="9"/>
      <c r="X37139" s="9"/>
    </row>
    <row r="37140">
      <c r="D37140" s="9"/>
      <c r="G37140" s="9"/>
      <c r="J37140" s="11"/>
      <c r="U37140" s="9"/>
      <c r="X37140" s="9"/>
    </row>
    <row r="37141">
      <c r="D37141" s="9"/>
      <c r="G37141" s="9"/>
      <c r="J37141" s="11"/>
      <c r="U37141" s="9"/>
      <c r="X37141" s="9"/>
    </row>
    <row r="37142">
      <c r="D37142" s="9"/>
      <c r="G37142" s="9"/>
      <c r="J37142" s="11"/>
      <c r="U37142" s="9"/>
      <c r="X37142" s="9"/>
    </row>
    <row r="37143">
      <c r="D37143" s="9"/>
      <c r="G37143" s="9"/>
      <c r="J37143" s="11"/>
      <c r="U37143" s="9"/>
      <c r="X37143" s="9"/>
    </row>
    <row r="37144">
      <c r="D37144" s="9"/>
      <c r="G37144" s="9"/>
      <c r="J37144" s="11"/>
      <c r="U37144" s="9"/>
      <c r="X37144" s="9"/>
    </row>
    <row r="37145">
      <c r="D37145" s="9"/>
      <c r="G37145" s="9"/>
      <c r="J37145" s="11"/>
      <c r="U37145" s="9"/>
      <c r="X37145" s="9"/>
    </row>
    <row r="37146">
      <c r="D37146" s="9"/>
      <c r="G37146" s="9"/>
      <c r="J37146" s="11"/>
      <c r="U37146" s="9"/>
      <c r="X37146" s="9"/>
    </row>
    <row r="37147">
      <c r="D37147" s="9"/>
      <c r="G37147" s="9"/>
      <c r="J37147" s="11"/>
      <c r="U37147" s="9"/>
      <c r="X37147" s="9"/>
    </row>
    <row r="37148">
      <c r="D37148" s="9"/>
      <c r="G37148" s="9"/>
      <c r="J37148" s="11"/>
      <c r="U37148" s="9"/>
      <c r="X37148" s="9"/>
    </row>
    <row r="37149">
      <c r="D37149" s="9"/>
      <c r="G37149" s="9"/>
      <c r="J37149" s="11"/>
      <c r="U37149" s="9"/>
      <c r="X37149" s="9"/>
    </row>
    <row r="37150">
      <c r="D37150" s="9"/>
      <c r="G37150" s="9"/>
      <c r="J37150" s="11"/>
      <c r="U37150" s="9"/>
      <c r="X37150" s="9"/>
    </row>
    <row r="37151">
      <c r="D37151" s="9"/>
      <c r="G37151" s="9"/>
      <c r="J37151" s="11"/>
      <c r="U37151" s="9"/>
      <c r="X37151" s="9"/>
    </row>
    <row r="37152">
      <c r="D37152" s="9"/>
      <c r="G37152" s="9"/>
      <c r="J37152" s="11"/>
      <c r="U37152" s="9"/>
      <c r="X37152" s="9"/>
    </row>
    <row r="37153">
      <c r="D37153" s="9"/>
      <c r="G37153" s="9"/>
      <c r="J37153" s="11"/>
      <c r="U37153" s="9"/>
      <c r="X37153" s="9"/>
    </row>
    <row r="37154">
      <c r="D37154" s="9"/>
      <c r="G37154" s="9"/>
      <c r="J37154" s="11"/>
      <c r="U37154" s="9"/>
      <c r="X37154" s="9"/>
    </row>
    <row r="37155">
      <c r="D37155" s="9"/>
      <c r="G37155" s="9"/>
      <c r="J37155" s="11"/>
      <c r="U37155" s="9"/>
      <c r="X37155" s="9"/>
    </row>
    <row r="37156">
      <c r="D37156" s="9"/>
      <c r="G37156" s="9"/>
      <c r="J37156" s="11"/>
      <c r="U37156" s="9"/>
      <c r="X37156" s="9"/>
    </row>
    <row r="37157">
      <c r="D37157" s="9"/>
      <c r="G37157" s="9"/>
      <c r="J37157" s="11"/>
      <c r="U37157" s="9"/>
      <c r="X37157" s="9"/>
    </row>
    <row r="37158">
      <c r="D37158" s="9"/>
      <c r="G37158" s="9"/>
      <c r="J37158" s="11"/>
      <c r="U37158" s="9"/>
      <c r="X37158" s="9"/>
    </row>
    <row r="37159">
      <c r="D37159" s="9"/>
      <c r="G37159" s="9"/>
      <c r="J37159" s="11"/>
      <c r="U37159" s="9"/>
      <c r="X37159" s="9"/>
    </row>
    <row r="37160">
      <c r="D37160" s="9"/>
      <c r="G37160" s="9"/>
      <c r="J37160" s="11"/>
      <c r="U37160" s="9"/>
      <c r="X37160" s="9"/>
    </row>
    <row r="37161">
      <c r="D37161" s="9"/>
      <c r="G37161" s="9"/>
      <c r="J37161" s="11"/>
      <c r="U37161" s="9"/>
      <c r="X37161" s="9"/>
    </row>
    <row r="37162">
      <c r="D37162" s="9"/>
      <c r="G37162" s="9"/>
      <c r="J37162" s="11"/>
      <c r="U37162" s="9"/>
      <c r="X37162" s="9"/>
    </row>
    <row r="37163">
      <c r="D37163" s="9"/>
      <c r="G37163" s="9"/>
      <c r="J37163" s="11"/>
      <c r="U37163" s="9"/>
      <c r="X37163" s="9"/>
    </row>
    <row r="37164">
      <c r="D37164" s="9"/>
      <c r="G37164" s="9"/>
      <c r="J37164" s="11"/>
      <c r="U37164" s="9"/>
      <c r="X37164" s="9"/>
    </row>
    <row r="37165">
      <c r="D37165" s="9"/>
      <c r="G37165" s="9"/>
      <c r="J37165" s="11"/>
      <c r="U37165" s="9"/>
      <c r="X37165" s="9"/>
    </row>
    <row r="37166">
      <c r="D37166" s="9"/>
      <c r="G37166" s="9"/>
      <c r="J37166" s="11"/>
      <c r="U37166" s="9"/>
      <c r="X37166" s="9"/>
    </row>
    <row r="37167">
      <c r="D37167" s="9"/>
      <c r="G37167" s="9"/>
      <c r="J37167" s="11"/>
      <c r="U37167" s="9"/>
      <c r="X37167" s="9"/>
    </row>
    <row r="37168">
      <c r="D37168" s="9"/>
      <c r="G37168" s="9"/>
      <c r="J37168" s="11"/>
      <c r="U37168" s="9"/>
      <c r="X37168" s="9"/>
    </row>
    <row r="37169">
      <c r="D37169" s="9"/>
      <c r="G37169" s="9"/>
      <c r="J37169" s="11"/>
      <c r="U37169" s="9"/>
      <c r="X37169" s="9"/>
    </row>
    <row r="37170">
      <c r="D37170" s="9"/>
      <c r="G37170" s="9"/>
      <c r="J37170" s="11"/>
      <c r="U37170" s="9"/>
      <c r="X37170" s="9"/>
    </row>
    <row r="37171">
      <c r="D37171" s="9"/>
      <c r="G37171" s="9"/>
      <c r="J37171" s="11"/>
      <c r="U37171" s="9"/>
      <c r="X37171" s="9"/>
    </row>
    <row r="37172">
      <c r="D37172" s="9"/>
      <c r="G37172" s="9"/>
      <c r="J37172" s="11"/>
      <c r="U37172" s="9"/>
      <c r="X37172" s="9"/>
    </row>
    <row r="37173">
      <c r="D37173" s="9"/>
      <c r="G37173" s="9"/>
      <c r="J37173" s="11"/>
      <c r="U37173" s="9"/>
      <c r="X37173" s="9"/>
    </row>
    <row r="37174">
      <c r="D37174" s="9"/>
      <c r="G37174" s="9"/>
      <c r="J37174" s="11"/>
      <c r="U37174" s="9"/>
      <c r="X37174" s="9"/>
    </row>
    <row r="37175">
      <c r="D37175" s="9"/>
      <c r="G37175" s="9"/>
      <c r="J37175" s="11"/>
      <c r="U37175" s="9"/>
      <c r="X37175" s="9"/>
    </row>
    <row r="37176">
      <c r="D37176" s="9"/>
      <c r="G37176" s="9"/>
      <c r="J37176" s="11"/>
      <c r="U37176" s="9"/>
      <c r="X37176" s="9"/>
    </row>
    <row r="37177">
      <c r="D37177" s="9"/>
      <c r="G37177" s="9"/>
      <c r="J37177" s="11"/>
      <c r="U37177" s="9"/>
      <c r="X37177" s="9"/>
    </row>
    <row r="37178">
      <c r="D37178" s="9"/>
      <c r="G37178" s="9"/>
      <c r="J37178" s="11"/>
      <c r="U37178" s="9"/>
      <c r="X37178" s="9"/>
    </row>
    <row r="37179">
      <c r="D37179" s="9"/>
      <c r="G37179" s="9"/>
      <c r="J37179" s="11"/>
      <c r="U37179" s="9"/>
      <c r="X37179" s="9"/>
    </row>
    <row r="37180">
      <c r="D37180" s="9"/>
      <c r="G37180" s="9"/>
      <c r="J37180" s="11"/>
      <c r="U37180" s="9"/>
      <c r="X37180" s="9"/>
    </row>
    <row r="37181">
      <c r="D37181" s="9"/>
      <c r="G37181" s="9"/>
      <c r="J37181" s="11"/>
      <c r="U37181" s="9"/>
      <c r="X37181" s="9"/>
    </row>
    <row r="37182">
      <c r="D37182" s="9"/>
      <c r="G37182" s="9"/>
      <c r="J37182" s="11"/>
      <c r="U37182" s="9"/>
      <c r="X37182" s="9"/>
    </row>
    <row r="37183">
      <c r="D37183" s="9"/>
      <c r="G37183" s="9"/>
      <c r="J37183" s="11"/>
      <c r="U37183" s="9"/>
      <c r="X37183" s="9"/>
    </row>
    <row r="37184">
      <c r="D37184" s="9"/>
      <c r="G37184" s="9"/>
      <c r="J37184" s="11"/>
      <c r="U37184" s="9"/>
      <c r="X37184" s="9"/>
    </row>
    <row r="37185">
      <c r="D37185" s="9"/>
      <c r="G37185" s="9"/>
      <c r="J37185" s="11"/>
      <c r="U37185" s="9"/>
      <c r="X37185" s="9"/>
    </row>
    <row r="37186">
      <c r="D37186" s="9"/>
      <c r="G37186" s="9"/>
      <c r="J37186" s="11"/>
      <c r="U37186" s="9"/>
      <c r="X37186" s="9"/>
    </row>
    <row r="37187">
      <c r="D37187" s="9"/>
      <c r="G37187" s="9"/>
      <c r="J37187" s="11"/>
      <c r="U37187" s="9"/>
      <c r="X37187" s="9"/>
    </row>
    <row r="37188">
      <c r="D37188" s="9"/>
      <c r="G37188" s="9"/>
      <c r="J37188" s="11"/>
      <c r="U37188" s="9"/>
      <c r="X37188" s="9"/>
    </row>
    <row r="37189">
      <c r="D37189" s="9"/>
      <c r="G37189" s="9"/>
      <c r="J37189" s="11"/>
      <c r="U37189" s="9"/>
      <c r="X37189" s="9"/>
    </row>
    <row r="37190">
      <c r="D37190" s="9"/>
      <c r="G37190" s="9"/>
      <c r="J37190" s="11"/>
      <c r="U37190" s="9"/>
      <c r="X37190" s="9"/>
    </row>
    <row r="37191">
      <c r="D37191" s="9"/>
      <c r="G37191" s="9"/>
      <c r="J37191" s="11"/>
      <c r="U37191" s="9"/>
      <c r="X37191" s="9"/>
    </row>
    <row r="37192">
      <c r="D37192" s="9"/>
      <c r="G37192" s="9"/>
      <c r="J37192" s="11"/>
      <c r="U37192" s="9"/>
      <c r="X37192" s="9"/>
    </row>
    <row r="37193">
      <c r="D37193" s="9"/>
      <c r="G37193" s="9"/>
      <c r="J37193" s="11"/>
      <c r="U37193" s="9"/>
      <c r="X37193" s="9"/>
    </row>
    <row r="37194">
      <c r="D37194" s="9"/>
      <c r="G37194" s="9"/>
      <c r="J37194" s="11"/>
      <c r="U37194" s="9"/>
      <c r="X37194" s="9"/>
    </row>
    <row r="37195">
      <c r="D37195" s="9"/>
      <c r="G37195" s="9"/>
      <c r="J37195" s="11"/>
      <c r="U37195" s="9"/>
      <c r="X37195" s="9"/>
    </row>
    <row r="37196">
      <c r="D37196" s="9"/>
      <c r="G37196" s="9"/>
      <c r="J37196" s="11"/>
      <c r="U37196" s="9"/>
      <c r="X37196" s="9"/>
    </row>
    <row r="37197">
      <c r="D37197" s="9"/>
      <c r="G37197" s="9"/>
      <c r="J37197" s="11"/>
      <c r="U37197" s="9"/>
      <c r="X37197" s="9"/>
    </row>
    <row r="37198">
      <c r="D37198" s="9"/>
      <c r="G37198" s="9"/>
      <c r="J37198" s="11"/>
      <c r="U37198" s="9"/>
      <c r="X37198" s="9"/>
    </row>
    <row r="37199">
      <c r="D37199" s="9"/>
      <c r="G37199" s="9"/>
      <c r="J37199" s="11"/>
      <c r="U37199" s="9"/>
      <c r="X37199" s="9"/>
    </row>
    <row r="37200">
      <c r="D37200" s="9"/>
      <c r="G37200" s="9"/>
      <c r="J37200" s="11"/>
      <c r="U37200" s="9"/>
      <c r="X37200" s="9"/>
    </row>
    <row r="37201">
      <c r="D37201" s="9"/>
      <c r="G37201" s="9"/>
      <c r="J37201" s="11"/>
      <c r="U37201" s="9"/>
      <c r="X37201" s="9"/>
    </row>
    <row r="37202">
      <c r="D37202" s="9"/>
      <c r="G37202" s="9"/>
      <c r="J37202" s="11"/>
      <c r="U37202" s="9"/>
      <c r="X37202" s="9"/>
    </row>
    <row r="37203">
      <c r="D37203" s="9"/>
      <c r="G37203" s="9"/>
      <c r="J37203" s="11"/>
      <c r="U37203" s="9"/>
      <c r="X37203" s="9"/>
    </row>
    <row r="37204">
      <c r="D37204" s="9"/>
      <c r="G37204" s="9"/>
      <c r="J37204" s="11"/>
      <c r="U37204" s="9"/>
      <c r="X37204" s="9"/>
    </row>
    <row r="37205">
      <c r="D37205" s="9"/>
      <c r="G37205" s="9"/>
      <c r="J37205" s="11"/>
      <c r="U37205" s="9"/>
      <c r="X37205" s="9"/>
    </row>
    <row r="37206">
      <c r="D37206" s="9"/>
      <c r="G37206" s="9"/>
      <c r="J37206" s="11"/>
      <c r="U37206" s="9"/>
      <c r="X37206" s="9"/>
    </row>
    <row r="37207">
      <c r="D37207" s="9"/>
      <c r="G37207" s="9"/>
      <c r="J37207" s="11"/>
      <c r="U37207" s="9"/>
      <c r="X37207" s="9"/>
    </row>
    <row r="37208">
      <c r="D37208" s="9"/>
      <c r="G37208" s="9"/>
      <c r="J37208" s="11"/>
      <c r="U37208" s="9"/>
      <c r="X37208" s="9"/>
    </row>
    <row r="37209">
      <c r="D37209" s="9"/>
      <c r="G37209" s="9"/>
      <c r="J37209" s="11"/>
      <c r="U37209" s="9"/>
      <c r="X37209" s="9"/>
    </row>
    <row r="37210">
      <c r="D37210" s="9"/>
      <c r="G37210" s="9"/>
      <c r="J37210" s="11"/>
      <c r="U37210" s="9"/>
      <c r="X37210" s="9"/>
    </row>
    <row r="37211">
      <c r="D37211" s="9"/>
      <c r="G37211" s="9"/>
      <c r="J37211" s="11"/>
      <c r="U37211" s="9"/>
      <c r="X37211" s="9"/>
    </row>
    <row r="37212">
      <c r="D37212" s="9"/>
      <c r="G37212" s="9"/>
      <c r="J37212" s="11"/>
      <c r="U37212" s="9"/>
      <c r="X37212" s="9"/>
    </row>
    <row r="37213">
      <c r="D37213" s="9"/>
      <c r="G37213" s="9"/>
      <c r="J37213" s="11"/>
      <c r="U37213" s="9"/>
      <c r="X37213" s="9"/>
    </row>
    <row r="37214">
      <c r="D37214" s="9"/>
      <c r="G37214" s="9"/>
      <c r="J37214" s="11"/>
      <c r="U37214" s="9"/>
      <c r="X37214" s="9"/>
    </row>
    <row r="37215">
      <c r="D37215" s="9"/>
      <c r="G37215" s="9"/>
      <c r="J37215" s="11"/>
      <c r="U37215" s="9"/>
      <c r="X37215" s="9"/>
    </row>
    <row r="37216">
      <c r="D37216" s="9"/>
      <c r="G37216" s="9"/>
      <c r="J37216" s="11"/>
      <c r="U37216" s="9"/>
      <c r="X37216" s="9"/>
    </row>
    <row r="37217">
      <c r="D37217" s="9"/>
      <c r="G37217" s="9"/>
      <c r="J37217" s="11"/>
      <c r="U37217" s="9"/>
      <c r="X37217" s="9"/>
    </row>
    <row r="37218">
      <c r="D37218" s="9"/>
      <c r="G37218" s="9"/>
      <c r="J37218" s="11"/>
      <c r="U37218" s="9"/>
      <c r="X37218" s="9"/>
    </row>
    <row r="37219">
      <c r="D37219" s="9"/>
      <c r="G37219" s="9"/>
      <c r="J37219" s="11"/>
      <c r="U37219" s="9"/>
      <c r="X37219" s="9"/>
    </row>
    <row r="37220">
      <c r="D37220" s="9"/>
      <c r="G37220" s="9"/>
      <c r="J37220" s="11"/>
      <c r="U37220" s="9"/>
      <c r="X37220" s="9"/>
    </row>
    <row r="37221">
      <c r="D37221" s="9"/>
      <c r="G37221" s="9"/>
      <c r="J37221" s="11"/>
      <c r="U37221" s="9"/>
      <c r="X37221" s="9"/>
    </row>
    <row r="37222">
      <c r="D37222" s="9"/>
      <c r="G37222" s="9"/>
      <c r="J37222" s="11"/>
      <c r="U37222" s="9"/>
      <c r="X37222" s="9"/>
    </row>
    <row r="37223">
      <c r="D37223" s="9"/>
      <c r="G37223" s="9"/>
      <c r="J37223" s="11"/>
      <c r="U37223" s="9"/>
      <c r="X37223" s="9"/>
    </row>
    <row r="37224">
      <c r="D37224" s="9"/>
      <c r="G37224" s="9"/>
      <c r="J37224" s="11"/>
      <c r="U37224" s="9"/>
      <c r="X37224" s="9"/>
    </row>
    <row r="37225">
      <c r="D37225" s="9"/>
      <c r="G37225" s="9"/>
      <c r="J37225" s="11"/>
      <c r="U37225" s="9"/>
      <c r="X37225" s="9"/>
    </row>
    <row r="37226">
      <c r="D37226" s="9"/>
      <c r="G37226" s="9"/>
      <c r="J37226" s="11"/>
      <c r="U37226" s="9"/>
      <c r="X37226" s="9"/>
    </row>
    <row r="37227">
      <c r="D37227" s="9"/>
      <c r="G37227" s="9"/>
      <c r="J37227" s="11"/>
      <c r="U37227" s="9"/>
      <c r="X37227" s="9"/>
    </row>
    <row r="37228">
      <c r="D37228" s="9"/>
      <c r="G37228" s="9"/>
      <c r="J37228" s="11"/>
      <c r="U37228" s="9"/>
      <c r="X37228" s="9"/>
    </row>
    <row r="37229">
      <c r="D37229" s="9"/>
      <c r="G37229" s="9"/>
      <c r="J37229" s="11"/>
      <c r="U37229" s="9"/>
      <c r="X37229" s="9"/>
    </row>
    <row r="37230">
      <c r="D37230" s="9"/>
      <c r="G37230" s="9"/>
      <c r="J37230" s="11"/>
      <c r="U37230" s="9"/>
      <c r="X37230" s="9"/>
    </row>
    <row r="37231">
      <c r="D37231" s="9"/>
      <c r="G37231" s="9"/>
      <c r="J37231" s="11"/>
      <c r="U37231" s="9"/>
      <c r="X37231" s="9"/>
    </row>
    <row r="37232">
      <c r="D37232" s="9"/>
      <c r="G37232" s="9"/>
      <c r="J37232" s="11"/>
      <c r="U37232" s="9"/>
      <c r="X37232" s="9"/>
    </row>
    <row r="37233">
      <c r="D37233" s="9"/>
      <c r="G37233" s="9"/>
      <c r="J37233" s="11"/>
      <c r="U37233" s="9"/>
      <c r="X37233" s="9"/>
    </row>
    <row r="37234">
      <c r="D37234" s="9"/>
      <c r="G37234" s="9"/>
      <c r="J37234" s="11"/>
      <c r="U37234" s="9"/>
      <c r="X37234" s="9"/>
    </row>
    <row r="37235">
      <c r="D37235" s="9"/>
      <c r="G37235" s="9"/>
      <c r="J37235" s="11"/>
      <c r="U37235" s="9"/>
      <c r="X37235" s="9"/>
    </row>
    <row r="37236">
      <c r="D37236" s="9"/>
      <c r="G37236" s="9"/>
      <c r="J37236" s="11"/>
      <c r="U37236" s="9"/>
      <c r="X37236" s="9"/>
    </row>
    <row r="37237">
      <c r="D37237" s="9"/>
      <c r="G37237" s="9"/>
      <c r="J37237" s="11"/>
      <c r="U37237" s="9"/>
      <c r="X37237" s="9"/>
    </row>
    <row r="37238">
      <c r="D37238" s="9"/>
      <c r="G37238" s="9"/>
      <c r="J37238" s="11"/>
      <c r="U37238" s="9"/>
      <c r="X37238" s="9"/>
    </row>
    <row r="37239">
      <c r="D37239" s="9"/>
      <c r="G37239" s="9"/>
      <c r="J37239" s="11"/>
      <c r="U37239" s="9"/>
      <c r="X37239" s="9"/>
    </row>
    <row r="37240">
      <c r="D37240" s="9"/>
      <c r="G37240" s="9"/>
      <c r="J37240" s="11"/>
      <c r="U37240" s="9"/>
      <c r="X37240" s="9"/>
    </row>
    <row r="37241">
      <c r="D37241" s="9"/>
      <c r="G37241" s="9"/>
      <c r="J37241" s="11"/>
      <c r="U37241" s="9"/>
      <c r="X37241" s="9"/>
    </row>
    <row r="37242">
      <c r="D37242" s="9"/>
      <c r="G37242" s="9"/>
      <c r="J37242" s="11"/>
      <c r="U37242" s="9"/>
      <c r="X37242" s="9"/>
    </row>
    <row r="37243">
      <c r="D37243" s="9"/>
      <c r="G37243" s="9"/>
      <c r="J37243" s="11"/>
      <c r="U37243" s="9"/>
      <c r="X37243" s="9"/>
    </row>
    <row r="37244">
      <c r="D37244" s="9"/>
      <c r="G37244" s="9"/>
      <c r="J37244" s="11"/>
      <c r="U37244" s="9"/>
      <c r="X37244" s="9"/>
    </row>
    <row r="37245">
      <c r="D37245" s="9"/>
      <c r="G37245" s="9"/>
      <c r="J37245" s="11"/>
      <c r="U37245" s="9"/>
      <c r="X37245" s="9"/>
    </row>
    <row r="37246">
      <c r="D37246" s="9"/>
      <c r="G37246" s="9"/>
      <c r="J37246" s="11"/>
      <c r="U37246" s="9"/>
      <c r="X37246" s="9"/>
    </row>
    <row r="37247">
      <c r="D37247" s="9"/>
      <c r="G37247" s="9"/>
      <c r="J37247" s="11"/>
      <c r="U37247" s="9"/>
      <c r="X37247" s="9"/>
    </row>
    <row r="37248">
      <c r="D37248" s="9"/>
      <c r="G37248" s="9"/>
      <c r="J37248" s="11"/>
      <c r="U37248" s="9"/>
      <c r="X37248" s="9"/>
    </row>
    <row r="37249">
      <c r="D37249" s="9"/>
      <c r="G37249" s="9"/>
      <c r="J37249" s="11"/>
      <c r="U37249" s="9"/>
      <c r="X37249" s="9"/>
    </row>
    <row r="37250">
      <c r="D37250" s="9"/>
      <c r="G37250" s="9"/>
      <c r="J37250" s="11"/>
      <c r="U37250" s="9"/>
      <c r="X37250" s="9"/>
    </row>
    <row r="37251">
      <c r="D37251" s="9"/>
      <c r="G37251" s="9"/>
      <c r="J37251" s="11"/>
      <c r="U37251" s="9"/>
      <c r="X37251" s="9"/>
    </row>
    <row r="37252">
      <c r="D37252" s="9"/>
      <c r="G37252" s="9"/>
      <c r="J37252" s="11"/>
      <c r="U37252" s="9"/>
      <c r="X37252" s="9"/>
    </row>
    <row r="37253">
      <c r="D37253" s="9"/>
      <c r="G37253" s="9"/>
      <c r="J37253" s="11"/>
      <c r="U37253" s="9"/>
      <c r="X37253" s="9"/>
    </row>
    <row r="37254">
      <c r="D37254" s="9"/>
      <c r="G37254" s="9"/>
      <c r="J37254" s="11"/>
      <c r="U37254" s="9"/>
      <c r="X37254" s="9"/>
    </row>
    <row r="37255">
      <c r="D37255" s="9"/>
      <c r="G37255" s="9"/>
      <c r="J37255" s="11"/>
      <c r="U37255" s="9"/>
      <c r="X37255" s="9"/>
    </row>
    <row r="37256">
      <c r="D37256" s="9"/>
      <c r="G37256" s="9"/>
      <c r="J37256" s="11"/>
      <c r="U37256" s="9"/>
      <c r="X37256" s="9"/>
    </row>
    <row r="37257">
      <c r="D37257" s="9"/>
      <c r="G37257" s="9"/>
      <c r="J37257" s="11"/>
      <c r="U37257" s="9"/>
      <c r="X37257" s="9"/>
    </row>
    <row r="37258">
      <c r="D37258" s="9"/>
      <c r="G37258" s="9"/>
      <c r="J37258" s="11"/>
      <c r="U37258" s="9"/>
      <c r="X37258" s="9"/>
    </row>
    <row r="37259">
      <c r="D37259" s="9"/>
      <c r="G37259" s="9"/>
      <c r="J37259" s="11"/>
      <c r="U37259" s="9"/>
      <c r="X37259" s="9"/>
    </row>
    <row r="37260">
      <c r="D37260" s="9"/>
      <c r="G37260" s="9"/>
      <c r="J37260" s="11"/>
      <c r="U37260" s="9"/>
      <c r="X37260" s="9"/>
    </row>
    <row r="37261">
      <c r="D37261" s="9"/>
      <c r="G37261" s="9"/>
      <c r="J37261" s="11"/>
      <c r="U37261" s="9"/>
      <c r="X37261" s="9"/>
    </row>
    <row r="37262">
      <c r="D37262" s="9"/>
      <c r="G37262" s="9"/>
      <c r="J37262" s="11"/>
      <c r="U37262" s="9"/>
      <c r="X37262" s="9"/>
    </row>
    <row r="37263">
      <c r="D37263" s="9"/>
      <c r="G37263" s="9"/>
      <c r="J37263" s="11"/>
      <c r="U37263" s="9"/>
      <c r="X37263" s="9"/>
    </row>
    <row r="37264">
      <c r="D37264" s="9"/>
      <c r="G37264" s="9"/>
      <c r="J37264" s="11"/>
      <c r="U37264" s="9"/>
      <c r="X37264" s="9"/>
    </row>
    <row r="37265">
      <c r="D37265" s="9"/>
      <c r="G37265" s="9"/>
      <c r="J37265" s="11"/>
      <c r="U37265" s="9"/>
      <c r="X37265" s="9"/>
    </row>
    <row r="37266">
      <c r="D37266" s="9"/>
      <c r="G37266" s="9"/>
      <c r="J37266" s="11"/>
      <c r="U37266" s="9"/>
      <c r="X37266" s="9"/>
    </row>
    <row r="37267">
      <c r="D37267" s="9"/>
      <c r="G37267" s="9"/>
      <c r="J37267" s="11"/>
      <c r="U37267" s="9"/>
      <c r="X37267" s="9"/>
    </row>
    <row r="37268">
      <c r="D37268" s="9"/>
      <c r="G37268" s="9"/>
      <c r="J37268" s="11"/>
      <c r="U37268" s="9"/>
      <c r="X37268" s="9"/>
    </row>
    <row r="37269">
      <c r="D37269" s="9"/>
      <c r="G37269" s="9"/>
      <c r="J37269" s="11"/>
      <c r="U37269" s="9"/>
      <c r="X37269" s="9"/>
    </row>
    <row r="37270">
      <c r="D37270" s="9"/>
      <c r="G37270" s="9"/>
      <c r="J37270" s="11"/>
      <c r="U37270" s="9"/>
      <c r="X37270" s="9"/>
    </row>
    <row r="37271">
      <c r="D37271" s="9"/>
      <c r="G37271" s="9"/>
      <c r="J37271" s="11"/>
      <c r="U37271" s="9"/>
      <c r="X37271" s="9"/>
    </row>
    <row r="37272">
      <c r="D37272" s="9"/>
      <c r="G37272" s="9"/>
      <c r="J37272" s="11"/>
      <c r="U37272" s="9"/>
      <c r="X37272" s="9"/>
    </row>
    <row r="37273">
      <c r="D37273" s="9"/>
      <c r="G37273" s="9"/>
      <c r="J37273" s="11"/>
      <c r="U37273" s="9"/>
      <c r="X37273" s="9"/>
    </row>
    <row r="37274">
      <c r="D37274" s="9"/>
      <c r="G37274" s="9"/>
      <c r="J37274" s="11"/>
      <c r="U37274" s="9"/>
      <c r="X37274" s="9"/>
    </row>
    <row r="37275">
      <c r="D37275" s="9"/>
      <c r="G37275" s="9"/>
      <c r="J37275" s="11"/>
      <c r="U37275" s="9"/>
      <c r="X37275" s="9"/>
    </row>
    <row r="37276">
      <c r="D37276" s="9"/>
      <c r="G37276" s="9"/>
      <c r="J37276" s="11"/>
      <c r="U37276" s="9"/>
      <c r="X37276" s="9"/>
    </row>
    <row r="37277">
      <c r="D37277" s="9"/>
      <c r="G37277" s="9"/>
      <c r="J37277" s="11"/>
      <c r="U37277" s="9"/>
      <c r="X37277" s="9"/>
    </row>
    <row r="37278">
      <c r="D37278" s="9"/>
      <c r="G37278" s="9"/>
      <c r="J37278" s="11"/>
      <c r="U37278" s="9"/>
      <c r="X37278" s="9"/>
    </row>
    <row r="37279">
      <c r="D37279" s="9"/>
      <c r="G37279" s="9"/>
      <c r="J37279" s="11"/>
      <c r="U37279" s="9"/>
      <c r="X37279" s="9"/>
    </row>
    <row r="37280">
      <c r="D37280" s="9"/>
      <c r="G37280" s="9"/>
      <c r="J37280" s="11"/>
      <c r="U37280" s="9"/>
      <c r="X37280" s="9"/>
    </row>
    <row r="37281">
      <c r="D37281" s="9"/>
      <c r="G37281" s="9"/>
      <c r="J37281" s="11"/>
      <c r="U37281" s="9"/>
      <c r="X37281" s="9"/>
    </row>
    <row r="37282">
      <c r="D37282" s="9"/>
      <c r="G37282" s="9"/>
      <c r="J37282" s="11"/>
      <c r="U37282" s="9"/>
      <c r="X37282" s="9"/>
    </row>
    <row r="37283">
      <c r="D37283" s="9"/>
      <c r="G37283" s="9"/>
      <c r="J37283" s="11"/>
      <c r="U37283" s="9"/>
      <c r="X37283" s="9"/>
    </row>
    <row r="37284">
      <c r="D37284" s="9"/>
      <c r="G37284" s="9"/>
      <c r="J37284" s="11"/>
      <c r="U37284" s="9"/>
      <c r="X37284" s="9"/>
    </row>
    <row r="37285">
      <c r="D37285" s="9"/>
      <c r="G37285" s="9"/>
      <c r="J37285" s="11"/>
      <c r="U37285" s="9"/>
      <c r="X37285" s="9"/>
    </row>
    <row r="37286">
      <c r="D37286" s="9"/>
      <c r="G37286" s="9"/>
      <c r="J37286" s="11"/>
      <c r="U37286" s="9"/>
      <c r="X37286" s="9"/>
    </row>
    <row r="37287">
      <c r="D37287" s="9"/>
      <c r="G37287" s="9"/>
      <c r="J37287" s="11"/>
      <c r="U37287" s="9"/>
      <c r="X37287" s="9"/>
    </row>
    <row r="37288">
      <c r="D37288" s="9"/>
      <c r="G37288" s="9"/>
      <c r="J37288" s="11"/>
      <c r="U37288" s="9"/>
      <c r="X37288" s="9"/>
    </row>
    <row r="37289">
      <c r="D37289" s="9"/>
      <c r="G37289" s="9"/>
      <c r="J37289" s="11"/>
      <c r="U37289" s="9"/>
      <c r="X37289" s="9"/>
    </row>
    <row r="37290">
      <c r="D37290" s="9"/>
      <c r="G37290" s="9"/>
      <c r="J37290" s="11"/>
      <c r="U37290" s="9"/>
      <c r="X37290" s="9"/>
    </row>
    <row r="37291">
      <c r="D37291" s="9"/>
      <c r="G37291" s="9"/>
      <c r="J37291" s="11"/>
      <c r="U37291" s="9"/>
      <c r="X37291" s="9"/>
    </row>
    <row r="37292">
      <c r="D37292" s="9"/>
      <c r="G37292" s="9"/>
      <c r="J37292" s="11"/>
      <c r="U37292" s="9"/>
      <c r="X37292" s="9"/>
    </row>
    <row r="37293">
      <c r="D37293" s="9"/>
      <c r="G37293" s="9"/>
      <c r="J37293" s="11"/>
      <c r="U37293" s="9"/>
      <c r="X37293" s="9"/>
    </row>
    <row r="37294">
      <c r="D37294" s="9"/>
      <c r="G37294" s="9"/>
      <c r="J37294" s="11"/>
      <c r="U37294" s="9"/>
      <c r="X37294" s="9"/>
    </row>
    <row r="37295">
      <c r="D37295" s="9"/>
      <c r="G37295" s="9"/>
      <c r="J37295" s="11"/>
      <c r="U37295" s="9"/>
      <c r="X37295" s="9"/>
    </row>
    <row r="37296">
      <c r="D37296" s="9"/>
      <c r="G37296" s="9"/>
      <c r="J37296" s="11"/>
      <c r="U37296" s="9"/>
      <c r="X37296" s="9"/>
    </row>
    <row r="37297">
      <c r="D37297" s="9"/>
      <c r="G37297" s="9"/>
      <c r="J37297" s="11"/>
      <c r="U37297" s="9"/>
      <c r="X37297" s="9"/>
    </row>
    <row r="37298">
      <c r="D37298" s="9"/>
      <c r="G37298" s="9"/>
      <c r="J37298" s="11"/>
      <c r="U37298" s="9"/>
      <c r="X37298" s="9"/>
    </row>
    <row r="37299">
      <c r="D37299" s="9"/>
      <c r="G37299" s="9"/>
      <c r="J37299" s="11"/>
      <c r="U37299" s="9"/>
      <c r="X37299" s="9"/>
    </row>
    <row r="37300">
      <c r="D37300" s="9"/>
      <c r="G37300" s="9"/>
      <c r="J37300" s="11"/>
      <c r="U37300" s="9"/>
      <c r="X37300" s="9"/>
    </row>
    <row r="37301">
      <c r="D37301" s="9"/>
      <c r="G37301" s="9"/>
      <c r="J37301" s="11"/>
      <c r="U37301" s="9"/>
      <c r="X37301" s="9"/>
    </row>
    <row r="37302">
      <c r="D37302" s="9"/>
      <c r="G37302" s="9"/>
      <c r="J37302" s="11"/>
      <c r="U37302" s="9"/>
      <c r="X37302" s="9"/>
    </row>
    <row r="37303">
      <c r="D37303" s="9"/>
      <c r="G37303" s="9"/>
      <c r="J37303" s="11"/>
      <c r="U37303" s="9"/>
      <c r="X37303" s="9"/>
    </row>
    <row r="37304">
      <c r="D37304" s="9"/>
      <c r="G37304" s="9"/>
      <c r="J37304" s="11"/>
      <c r="U37304" s="9"/>
      <c r="X37304" s="9"/>
    </row>
    <row r="37305">
      <c r="D37305" s="9"/>
      <c r="G37305" s="9"/>
      <c r="J37305" s="11"/>
      <c r="U37305" s="9"/>
      <c r="X37305" s="9"/>
    </row>
    <row r="37306">
      <c r="D37306" s="9"/>
      <c r="G37306" s="9"/>
      <c r="J37306" s="11"/>
      <c r="U37306" s="9"/>
      <c r="X37306" s="9"/>
    </row>
    <row r="37307">
      <c r="D37307" s="9"/>
      <c r="G37307" s="9"/>
      <c r="J37307" s="11"/>
      <c r="U37307" s="9"/>
      <c r="X37307" s="9"/>
    </row>
    <row r="37308">
      <c r="D37308" s="9"/>
      <c r="G37308" s="9"/>
      <c r="J37308" s="11"/>
      <c r="U37308" s="9"/>
      <c r="X37308" s="9"/>
    </row>
    <row r="37309">
      <c r="D37309" s="9"/>
      <c r="G37309" s="9"/>
      <c r="J37309" s="11"/>
      <c r="U37309" s="9"/>
      <c r="X37309" s="9"/>
    </row>
    <row r="37310">
      <c r="D37310" s="9"/>
      <c r="G37310" s="9"/>
      <c r="J37310" s="11"/>
      <c r="U37310" s="9"/>
      <c r="X37310" s="9"/>
    </row>
    <row r="37311">
      <c r="D37311" s="9"/>
      <c r="G37311" s="9"/>
      <c r="J37311" s="11"/>
      <c r="U37311" s="9"/>
      <c r="X37311" s="9"/>
    </row>
    <row r="37312">
      <c r="D37312" s="9"/>
      <c r="G37312" s="9"/>
      <c r="J37312" s="11"/>
      <c r="U37312" s="9"/>
      <c r="X37312" s="9"/>
    </row>
    <row r="37313">
      <c r="D37313" s="9"/>
      <c r="G37313" s="9"/>
      <c r="J37313" s="11"/>
      <c r="U37313" s="9"/>
      <c r="X37313" s="9"/>
    </row>
    <row r="37314">
      <c r="D37314" s="9"/>
      <c r="G37314" s="9"/>
      <c r="J37314" s="11"/>
      <c r="U37314" s="9"/>
      <c r="X37314" s="9"/>
    </row>
    <row r="37315">
      <c r="D37315" s="9"/>
      <c r="G37315" s="9"/>
      <c r="J37315" s="11"/>
      <c r="U37315" s="9"/>
      <c r="X37315" s="9"/>
    </row>
    <row r="37316">
      <c r="D37316" s="9"/>
      <c r="G37316" s="9"/>
      <c r="J37316" s="11"/>
      <c r="U37316" s="9"/>
      <c r="X37316" s="9"/>
    </row>
    <row r="37317">
      <c r="D37317" s="9"/>
      <c r="G37317" s="9"/>
      <c r="J37317" s="11"/>
      <c r="U37317" s="9"/>
      <c r="X37317" s="9"/>
    </row>
    <row r="37318">
      <c r="D37318" s="9"/>
      <c r="G37318" s="9"/>
      <c r="J37318" s="11"/>
      <c r="U37318" s="9"/>
      <c r="X37318" s="9"/>
    </row>
    <row r="37319">
      <c r="D37319" s="9"/>
      <c r="G37319" s="9"/>
      <c r="J37319" s="11"/>
      <c r="U37319" s="9"/>
      <c r="X37319" s="9"/>
    </row>
    <row r="37320">
      <c r="D37320" s="9"/>
      <c r="G37320" s="9"/>
      <c r="J37320" s="11"/>
      <c r="U37320" s="9"/>
      <c r="X37320" s="9"/>
    </row>
    <row r="37321">
      <c r="D37321" s="9"/>
      <c r="G37321" s="9"/>
      <c r="J37321" s="11"/>
      <c r="U37321" s="9"/>
      <c r="X37321" s="9"/>
    </row>
    <row r="37322">
      <c r="D37322" s="9"/>
      <c r="G37322" s="9"/>
      <c r="J37322" s="11"/>
      <c r="U37322" s="9"/>
      <c r="X37322" s="9"/>
    </row>
    <row r="37323">
      <c r="D37323" s="9"/>
      <c r="G37323" s="9"/>
      <c r="J37323" s="11"/>
      <c r="U37323" s="9"/>
      <c r="X37323" s="9"/>
    </row>
    <row r="37324">
      <c r="D37324" s="9"/>
      <c r="G37324" s="9"/>
      <c r="J37324" s="11"/>
      <c r="U37324" s="9"/>
      <c r="X37324" s="9"/>
    </row>
    <row r="37325">
      <c r="D37325" s="9"/>
      <c r="G37325" s="9"/>
      <c r="J37325" s="11"/>
      <c r="U37325" s="9"/>
      <c r="X37325" s="9"/>
    </row>
    <row r="37326">
      <c r="D37326" s="9"/>
      <c r="G37326" s="9"/>
      <c r="J37326" s="11"/>
      <c r="U37326" s="9"/>
      <c r="X37326" s="9"/>
    </row>
    <row r="37327">
      <c r="D37327" s="9"/>
      <c r="G37327" s="9"/>
      <c r="J37327" s="11"/>
      <c r="U37327" s="9"/>
      <c r="X37327" s="9"/>
    </row>
    <row r="37328">
      <c r="D37328" s="9"/>
      <c r="G37328" s="9"/>
      <c r="J37328" s="11"/>
      <c r="U37328" s="9"/>
      <c r="X37328" s="9"/>
    </row>
    <row r="37329">
      <c r="D37329" s="9"/>
      <c r="G37329" s="9"/>
      <c r="J37329" s="11"/>
      <c r="U37329" s="9"/>
      <c r="X37329" s="9"/>
    </row>
    <row r="37330">
      <c r="D37330" s="9"/>
      <c r="G37330" s="9"/>
      <c r="J37330" s="11"/>
      <c r="U37330" s="9"/>
      <c r="X37330" s="9"/>
    </row>
    <row r="37331">
      <c r="D37331" s="9"/>
      <c r="G37331" s="9"/>
      <c r="J37331" s="11"/>
      <c r="U37331" s="9"/>
      <c r="X37331" s="9"/>
    </row>
    <row r="37332">
      <c r="D37332" s="9"/>
      <c r="G37332" s="9"/>
      <c r="J37332" s="11"/>
      <c r="U37332" s="9"/>
      <c r="X37332" s="9"/>
    </row>
    <row r="37333">
      <c r="D37333" s="9"/>
      <c r="G37333" s="9"/>
      <c r="J37333" s="11"/>
      <c r="U37333" s="9"/>
      <c r="X37333" s="9"/>
    </row>
    <row r="37334">
      <c r="D37334" s="9"/>
      <c r="G37334" s="9"/>
      <c r="J37334" s="11"/>
      <c r="U37334" s="9"/>
      <c r="X37334" s="9"/>
    </row>
    <row r="37335">
      <c r="D37335" s="9"/>
      <c r="G37335" s="9"/>
      <c r="J37335" s="11"/>
      <c r="U37335" s="9"/>
      <c r="X37335" s="9"/>
    </row>
    <row r="37336">
      <c r="D37336" s="9"/>
      <c r="G37336" s="9"/>
      <c r="J37336" s="11"/>
      <c r="U37336" s="9"/>
      <c r="X37336" s="9"/>
    </row>
    <row r="37337">
      <c r="D37337" s="9"/>
      <c r="G37337" s="9"/>
      <c r="J37337" s="11"/>
      <c r="U37337" s="9"/>
      <c r="X37337" s="9"/>
    </row>
    <row r="37338">
      <c r="D37338" s="9"/>
      <c r="G37338" s="9"/>
      <c r="J37338" s="11"/>
      <c r="U37338" s="9"/>
      <c r="X37338" s="9"/>
    </row>
    <row r="37339">
      <c r="D37339" s="9"/>
      <c r="G37339" s="9"/>
      <c r="J37339" s="11"/>
      <c r="U37339" s="9"/>
      <c r="X37339" s="9"/>
    </row>
    <row r="37340">
      <c r="D37340" s="9"/>
      <c r="G37340" s="9"/>
      <c r="J37340" s="11"/>
      <c r="U37340" s="9"/>
      <c r="X37340" s="9"/>
    </row>
    <row r="37341">
      <c r="D37341" s="9"/>
      <c r="G37341" s="9"/>
      <c r="J37341" s="11"/>
      <c r="U37341" s="9"/>
      <c r="X37341" s="9"/>
    </row>
    <row r="37342">
      <c r="D37342" s="9"/>
      <c r="G37342" s="9"/>
      <c r="J37342" s="11"/>
      <c r="U37342" s="9"/>
      <c r="X37342" s="9"/>
    </row>
    <row r="37343">
      <c r="D37343" s="9"/>
      <c r="G37343" s="9"/>
      <c r="J37343" s="11"/>
      <c r="U37343" s="9"/>
      <c r="X37343" s="9"/>
    </row>
    <row r="37344">
      <c r="D37344" s="9"/>
      <c r="G37344" s="9"/>
      <c r="J37344" s="11"/>
      <c r="U37344" s="9"/>
      <c r="X37344" s="9"/>
    </row>
    <row r="37345">
      <c r="D37345" s="9"/>
      <c r="G37345" s="9"/>
      <c r="J37345" s="11"/>
      <c r="U37345" s="9"/>
      <c r="X37345" s="9"/>
    </row>
    <row r="37346">
      <c r="D37346" s="9"/>
      <c r="G37346" s="9"/>
      <c r="J37346" s="11"/>
      <c r="U37346" s="9"/>
      <c r="X37346" s="9"/>
    </row>
    <row r="37347">
      <c r="D37347" s="9"/>
      <c r="G37347" s="9"/>
      <c r="J37347" s="11"/>
      <c r="U37347" s="9"/>
      <c r="X37347" s="9"/>
    </row>
    <row r="37348">
      <c r="D37348" s="9"/>
      <c r="G37348" s="9"/>
      <c r="J37348" s="11"/>
      <c r="U37348" s="9"/>
      <c r="X37348" s="9"/>
    </row>
    <row r="37349">
      <c r="D37349" s="9"/>
      <c r="G37349" s="9"/>
      <c r="J37349" s="11"/>
      <c r="U37349" s="9"/>
      <c r="X37349" s="9"/>
    </row>
    <row r="37350">
      <c r="D37350" s="9"/>
      <c r="G37350" s="9"/>
      <c r="J37350" s="11"/>
      <c r="U37350" s="9"/>
      <c r="X37350" s="9"/>
    </row>
    <row r="37351">
      <c r="D37351" s="9"/>
      <c r="G37351" s="9"/>
      <c r="J37351" s="11"/>
      <c r="U37351" s="9"/>
      <c r="X37351" s="9"/>
    </row>
    <row r="37352">
      <c r="D37352" s="9"/>
      <c r="G37352" s="9"/>
      <c r="J37352" s="11"/>
      <c r="U37352" s="9"/>
      <c r="X37352" s="9"/>
    </row>
    <row r="37353">
      <c r="D37353" s="9"/>
      <c r="G37353" s="9"/>
      <c r="J37353" s="11"/>
      <c r="U37353" s="9"/>
      <c r="X37353" s="9"/>
    </row>
    <row r="37354">
      <c r="D37354" s="9"/>
      <c r="G37354" s="9"/>
      <c r="J37354" s="11"/>
      <c r="U37354" s="9"/>
      <c r="X37354" s="9"/>
    </row>
    <row r="37355">
      <c r="D37355" s="9"/>
      <c r="G37355" s="9"/>
      <c r="J37355" s="11"/>
      <c r="U37355" s="9"/>
      <c r="X37355" s="9"/>
    </row>
    <row r="37356">
      <c r="D37356" s="9"/>
      <c r="G37356" s="9"/>
      <c r="J37356" s="11"/>
      <c r="U37356" s="9"/>
      <c r="X37356" s="9"/>
    </row>
    <row r="37357">
      <c r="D37357" s="9"/>
      <c r="G37357" s="9"/>
      <c r="J37357" s="11"/>
      <c r="U37357" s="9"/>
      <c r="X37357" s="9"/>
    </row>
    <row r="37358">
      <c r="D37358" s="9"/>
      <c r="G37358" s="9"/>
      <c r="J37358" s="11"/>
      <c r="U37358" s="9"/>
      <c r="X37358" s="9"/>
    </row>
    <row r="37359">
      <c r="D37359" s="9"/>
      <c r="G37359" s="9"/>
      <c r="J37359" s="11"/>
      <c r="U37359" s="9"/>
      <c r="X37359" s="9"/>
    </row>
    <row r="37360">
      <c r="D37360" s="9"/>
      <c r="G37360" s="9"/>
      <c r="J37360" s="11"/>
      <c r="U37360" s="9"/>
      <c r="X37360" s="9"/>
    </row>
    <row r="37361">
      <c r="D37361" s="9"/>
      <c r="G37361" s="9"/>
      <c r="J37361" s="11"/>
      <c r="U37361" s="9"/>
      <c r="X37361" s="9"/>
    </row>
    <row r="37362">
      <c r="D37362" s="9"/>
      <c r="G37362" s="9"/>
      <c r="J37362" s="11"/>
      <c r="U37362" s="9"/>
      <c r="X37362" s="9"/>
    </row>
    <row r="37363">
      <c r="D37363" s="9"/>
      <c r="G37363" s="9"/>
      <c r="J37363" s="11"/>
      <c r="U37363" s="9"/>
      <c r="X37363" s="9"/>
    </row>
    <row r="37364">
      <c r="D37364" s="9"/>
      <c r="G37364" s="9"/>
      <c r="J37364" s="11"/>
      <c r="U37364" s="9"/>
      <c r="X37364" s="9"/>
    </row>
    <row r="37365">
      <c r="D37365" s="9"/>
      <c r="G37365" s="9"/>
      <c r="J37365" s="11"/>
      <c r="U37365" s="9"/>
      <c r="X37365" s="9"/>
    </row>
    <row r="37366">
      <c r="D37366" s="9"/>
      <c r="G37366" s="9"/>
      <c r="J37366" s="11"/>
      <c r="U37366" s="9"/>
      <c r="X37366" s="9"/>
    </row>
    <row r="37367">
      <c r="D37367" s="9"/>
      <c r="G37367" s="9"/>
      <c r="J37367" s="11"/>
      <c r="U37367" s="9"/>
      <c r="X37367" s="9"/>
    </row>
    <row r="37368">
      <c r="D37368" s="9"/>
      <c r="G37368" s="9"/>
      <c r="J37368" s="11"/>
      <c r="U37368" s="9"/>
      <c r="X37368" s="9"/>
    </row>
    <row r="37369">
      <c r="D37369" s="9"/>
      <c r="G37369" s="9"/>
      <c r="J37369" s="11"/>
      <c r="U37369" s="9"/>
      <c r="X37369" s="9"/>
    </row>
    <row r="37370">
      <c r="D37370" s="9"/>
      <c r="G37370" s="9"/>
      <c r="J37370" s="11"/>
      <c r="U37370" s="9"/>
      <c r="X37370" s="9"/>
    </row>
    <row r="37371">
      <c r="D37371" s="9"/>
      <c r="G37371" s="9"/>
      <c r="J37371" s="11"/>
      <c r="U37371" s="9"/>
      <c r="X37371" s="9"/>
    </row>
    <row r="37372">
      <c r="D37372" s="9"/>
      <c r="G37372" s="9"/>
      <c r="J37372" s="11"/>
      <c r="U37372" s="9"/>
      <c r="X37372" s="9"/>
    </row>
    <row r="37373">
      <c r="D37373" s="9"/>
      <c r="G37373" s="9"/>
      <c r="J37373" s="11"/>
      <c r="U37373" s="9"/>
      <c r="X37373" s="9"/>
    </row>
    <row r="37374">
      <c r="D37374" s="9"/>
      <c r="G37374" s="9"/>
      <c r="J37374" s="11"/>
      <c r="U37374" s="9"/>
      <c r="X37374" s="9"/>
    </row>
    <row r="37375">
      <c r="D37375" s="9"/>
      <c r="G37375" s="9"/>
      <c r="J37375" s="11"/>
      <c r="U37375" s="9"/>
      <c r="X37375" s="9"/>
    </row>
    <row r="37376">
      <c r="D37376" s="9"/>
      <c r="G37376" s="9"/>
      <c r="J37376" s="11"/>
      <c r="U37376" s="9"/>
      <c r="X37376" s="9"/>
    </row>
    <row r="37377">
      <c r="D37377" s="9"/>
      <c r="G37377" s="9"/>
      <c r="J37377" s="11"/>
      <c r="U37377" s="9"/>
      <c r="X37377" s="9"/>
    </row>
    <row r="37378">
      <c r="D37378" s="9"/>
      <c r="G37378" s="9"/>
      <c r="J37378" s="11"/>
      <c r="U37378" s="9"/>
      <c r="X37378" s="9"/>
    </row>
    <row r="37379">
      <c r="D37379" s="9"/>
      <c r="G37379" s="9"/>
      <c r="J37379" s="11"/>
      <c r="U37379" s="9"/>
      <c r="X37379" s="9"/>
    </row>
    <row r="37380">
      <c r="D37380" s="9"/>
      <c r="G37380" s="9"/>
      <c r="J37380" s="11"/>
      <c r="U37380" s="9"/>
      <c r="X37380" s="9"/>
    </row>
    <row r="37381">
      <c r="D37381" s="9"/>
      <c r="G37381" s="9"/>
      <c r="J37381" s="11"/>
      <c r="U37381" s="9"/>
      <c r="X37381" s="9"/>
    </row>
    <row r="37382">
      <c r="D37382" s="9"/>
      <c r="G37382" s="9"/>
      <c r="J37382" s="11"/>
      <c r="U37382" s="9"/>
      <c r="X37382" s="9"/>
    </row>
    <row r="37383">
      <c r="D37383" s="9"/>
      <c r="G37383" s="9"/>
      <c r="J37383" s="11"/>
      <c r="U37383" s="9"/>
      <c r="X37383" s="9"/>
    </row>
    <row r="37384">
      <c r="D37384" s="9"/>
      <c r="G37384" s="9"/>
      <c r="J37384" s="11"/>
      <c r="U37384" s="9"/>
      <c r="X37384" s="9"/>
    </row>
    <row r="37385">
      <c r="D37385" s="9"/>
      <c r="G37385" s="9"/>
      <c r="J37385" s="11"/>
      <c r="U37385" s="9"/>
      <c r="X37385" s="9"/>
    </row>
    <row r="37386">
      <c r="D37386" s="9"/>
      <c r="G37386" s="9"/>
      <c r="J37386" s="11"/>
      <c r="U37386" s="9"/>
      <c r="X37386" s="9"/>
    </row>
    <row r="37387">
      <c r="D37387" s="9"/>
      <c r="G37387" s="9"/>
      <c r="J37387" s="11"/>
      <c r="U37387" s="9"/>
      <c r="X37387" s="9"/>
    </row>
    <row r="37388">
      <c r="D37388" s="9"/>
      <c r="G37388" s="9"/>
      <c r="J37388" s="11"/>
      <c r="U37388" s="9"/>
      <c r="X37388" s="9"/>
    </row>
    <row r="37389">
      <c r="D37389" s="9"/>
      <c r="G37389" s="9"/>
      <c r="J37389" s="11"/>
      <c r="U37389" s="9"/>
      <c r="X37389" s="9"/>
    </row>
    <row r="37390">
      <c r="D37390" s="9"/>
      <c r="G37390" s="9"/>
      <c r="J37390" s="11"/>
      <c r="U37390" s="9"/>
      <c r="X37390" s="9"/>
    </row>
    <row r="37391">
      <c r="D37391" s="9"/>
      <c r="G37391" s="9"/>
      <c r="J37391" s="11"/>
      <c r="U37391" s="9"/>
      <c r="X37391" s="9"/>
    </row>
    <row r="37392">
      <c r="D37392" s="9"/>
      <c r="G37392" s="9"/>
      <c r="J37392" s="11"/>
      <c r="U37392" s="9"/>
      <c r="X37392" s="9"/>
    </row>
    <row r="37393">
      <c r="D37393" s="9"/>
      <c r="G37393" s="9"/>
      <c r="J37393" s="11"/>
      <c r="U37393" s="9"/>
      <c r="X37393" s="9"/>
    </row>
    <row r="37394">
      <c r="D37394" s="9"/>
      <c r="G37394" s="9"/>
      <c r="J37394" s="11"/>
      <c r="U37394" s="9"/>
      <c r="X37394" s="9"/>
    </row>
    <row r="37395">
      <c r="D37395" s="9"/>
      <c r="G37395" s="9"/>
      <c r="J37395" s="11"/>
      <c r="U37395" s="9"/>
      <c r="X37395" s="9"/>
    </row>
    <row r="37396">
      <c r="D37396" s="9"/>
      <c r="G37396" s="9"/>
      <c r="J37396" s="11"/>
      <c r="U37396" s="9"/>
      <c r="X37396" s="9"/>
    </row>
    <row r="37397">
      <c r="D37397" s="9"/>
      <c r="G37397" s="9"/>
      <c r="J37397" s="11"/>
      <c r="U37397" s="9"/>
      <c r="X37397" s="9"/>
    </row>
    <row r="37398">
      <c r="D37398" s="9"/>
      <c r="G37398" s="9"/>
      <c r="J37398" s="11"/>
      <c r="U37398" s="9"/>
      <c r="X37398" s="9"/>
    </row>
    <row r="37399">
      <c r="D37399" s="9"/>
      <c r="G37399" s="9"/>
      <c r="J37399" s="11"/>
      <c r="U37399" s="9"/>
      <c r="X37399" s="9"/>
    </row>
    <row r="37400">
      <c r="D37400" s="9"/>
      <c r="G37400" s="9"/>
      <c r="J37400" s="11"/>
      <c r="U37400" s="9"/>
      <c r="X37400" s="9"/>
    </row>
    <row r="37401">
      <c r="D37401" s="9"/>
      <c r="G37401" s="9"/>
      <c r="J37401" s="11"/>
      <c r="U37401" s="9"/>
      <c r="X37401" s="9"/>
    </row>
    <row r="37402">
      <c r="D37402" s="9"/>
      <c r="G37402" s="9"/>
      <c r="J37402" s="11"/>
      <c r="U37402" s="9"/>
      <c r="X37402" s="9"/>
    </row>
    <row r="37403">
      <c r="D37403" s="9"/>
      <c r="G37403" s="9"/>
      <c r="J37403" s="11"/>
      <c r="U37403" s="9"/>
      <c r="X37403" s="9"/>
    </row>
    <row r="37404">
      <c r="D37404" s="9"/>
      <c r="G37404" s="9"/>
      <c r="J37404" s="11"/>
      <c r="U37404" s="9"/>
      <c r="X37404" s="9"/>
    </row>
    <row r="37405">
      <c r="D37405" s="9"/>
      <c r="G37405" s="9"/>
      <c r="J37405" s="11"/>
      <c r="U37405" s="9"/>
      <c r="X37405" s="9"/>
    </row>
    <row r="37406">
      <c r="D37406" s="9"/>
      <c r="G37406" s="9"/>
      <c r="J37406" s="11"/>
      <c r="U37406" s="9"/>
      <c r="X37406" s="9"/>
    </row>
    <row r="37407">
      <c r="D37407" s="9"/>
      <c r="G37407" s="9"/>
      <c r="J37407" s="11"/>
      <c r="U37407" s="9"/>
      <c r="X37407" s="9"/>
    </row>
    <row r="37408">
      <c r="D37408" s="9"/>
      <c r="G37408" s="9"/>
      <c r="J37408" s="11"/>
      <c r="U37408" s="9"/>
      <c r="X37408" s="9"/>
    </row>
    <row r="37409">
      <c r="D37409" s="9"/>
      <c r="G37409" s="9"/>
      <c r="J37409" s="11"/>
      <c r="U37409" s="9"/>
      <c r="X37409" s="9"/>
    </row>
    <row r="37410">
      <c r="D37410" s="9"/>
      <c r="G37410" s="9"/>
      <c r="J37410" s="11"/>
      <c r="U37410" s="9"/>
      <c r="X37410" s="9"/>
    </row>
    <row r="37411">
      <c r="D37411" s="9"/>
      <c r="G37411" s="9"/>
      <c r="J37411" s="11"/>
      <c r="U37411" s="9"/>
      <c r="X37411" s="9"/>
    </row>
    <row r="37412">
      <c r="D37412" s="9"/>
      <c r="G37412" s="9"/>
      <c r="J37412" s="11"/>
      <c r="U37412" s="9"/>
      <c r="X37412" s="9"/>
    </row>
    <row r="37413">
      <c r="D37413" s="9"/>
      <c r="G37413" s="9"/>
      <c r="J37413" s="11"/>
      <c r="U37413" s="9"/>
      <c r="X37413" s="9"/>
    </row>
    <row r="37414">
      <c r="D37414" s="9"/>
      <c r="G37414" s="9"/>
      <c r="J37414" s="11"/>
      <c r="U37414" s="9"/>
      <c r="X37414" s="9"/>
    </row>
    <row r="37415">
      <c r="D37415" s="9"/>
      <c r="G37415" s="9"/>
      <c r="J37415" s="11"/>
      <c r="U37415" s="9"/>
      <c r="X37415" s="9"/>
    </row>
    <row r="37416">
      <c r="D37416" s="9"/>
      <c r="G37416" s="9"/>
      <c r="J37416" s="11"/>
      <c r="U37416" s="9"/>
      <c r="X37416" s="9"/>
    </row>
    <row r="37417">
      <c r="D37417" s="9"/>
      <c r="G37417" s="9"/>
      <c r="J37417" s="11"/>
      <c r="U37417" s="9"/>
      <c r="X37417" s="9"/>
    </row>
    <row r="37418">
      <c r="D37418" s="9"/>
      <c r="G37418" s="9"/>
      <c r="J37418" s="11"/>
      <c r="U37418" s="9"/>
      <c r="X37418" s="9"/>
    </row>
    <row r="37419">
      <c r="D37419" s="9"/>
      <c r="G37419" s="9"/>
      <c r="J37419" s="11"/>
      <c r="U37419" s="9"/>
      <c r="X37419" s="9"/>
    </row>
    <row r="37420">
      <c r="D37420" s="9"/>
      <c r="G37420" s="9"/>
      <c r="J37420" s="11"/>
      <c r="U37420" s="9"/>
      <c r="X37420" s="9"/>
    </row>
    <row r="37421">
      <c r="D37421" s="9"/>
      <c r="G37421" s="9"/>
      <c r="J37421" s="11"/>
      <c r="U37421" s="9"/>
      <c r="X37421" s="9"/>
    </row>
    <row r="37422">
      <c r="D37422" s="9"/>
      <c r="G37422" s="9"/>
      <c r="J37422" s="11"/>
      <c r="U37422" s="9"/>
      <c r="X37422" s="9"/>
    </row>
    <row r="37423">
      <c r="D37423" s="9"/>
      <c r="G37423" s="9"/>
      <c r="J37423" s="11"/>
      <c r="U37423" s="9"/>
      <c r="X37423" s="9"/>
    </row>
    <row r="37424">
      <c r="D37424" s="9"/>
      <c r="G37424" s="9"/>
      <c r="J37424" s="11"/>
      <c r="U37424" s="9"/>
      <c r="X37424" s="9"/>
    </row>
    <row r="37425">
      <c r="D37425" s="9"/>
      <c r="G37425" s="9"/>
      <c r="J37425" s="11"/>
      <c r="U37425" s="9"/>
      <c r="X37425" s="9"/>
    </row>
    <row r="37426">
      <c r="D37426" s="9"/>
      <c r="G37426" s="9"/>
      <c r="J37426" s="11"/>
      <c r="U37426" s="9"/>
      <c r="X37426" s="9"/>
    </row>
    <row r="37427">
      <c r="D37427" s="9"/>
      <c r="G37427" s="9"/>
      <c r="J37427" s="11"/>
      <c r="U37427" s="9"/>
      <c r="X37427" s="9"/>
    </row>
    <row r="37428">
      <c r="D37428" s="9"/>
      <c r="G37428" s="9"/>
      <c r="J37428" s="11"/>
      <c r="U37428" s="9"/>
      <c r="X37428" s="9"/>
    </row>
    <row r="37429">
      <c r="D37429" s="9"/>
      <c r="G37429" s="9"/>
      <c r="J37429" s="11"/>
      <c r="U37429" s="9"/>
      <c r="X37429" s="9"/>
    </row>
    <row r="37430">
      <c r="D37430" s="9"/>
      <c r="G37430" s="9"/>
      <c r="J37430" s="11"/>
      <c r="U37430" s="9"/>
      <c r="X37430" s="9"/>
    </row>
    <row r="37431">
      <c r="D37431" s="9"/>
      <c r="G37431" s="9"/>
      <c r="J37431" s="11"/>
      <c r="U37431" s="9"/>
      <c r="X37431" s="9"/>
    </row>
    <row r="37432">
      <c r="D37432" s="9"/>
      <c r="G37432" s="9"/>
      <c r="J37432" s="11"/>
      <c r="U37432" s="9"/>
      <c r="X37432" s="9"/>
    </row>
    <row r="37433">
      <c r="D37433" s="9"/>
      <c r="G37433" s="9"/>
      <c r="J37433" s="11"/>
      <c r="U37433" s="9"/>
      <c r="X37433" s="9"/>
    </row>
    <row r="37434">
      <c r="D37434" s="9"/>
      <c r="G37434" s="9"/>
      <c r="J37434" s="11"/>
      <c r="U37434" s="9"/>
      <c r="X37434" s="9"/>
    </row>
    <row r="37435">
      <c r="D37435" s="9"/>
      <c r="G37435" s="9"/>
      <c r="J37435" s="11"/>
      <c r="U37435" s="9"/>
      <c r="X37435" s="9"/>
    </row>
    <row r="37436">
      <c r="D37436" s="9"/>
      <c r="G37436" s="9"/>
      <c r="J37436" s="11"/>
      <c r="U37436" s="9"/>
      <c r="X37436" s="9"/>
    </row>
    <row r="37437">
      <c r="D37437" s="9"/>
      <c r="G37437" s="9"/>
      <c r="J37437" s="11"/>
      <c r="U37437" s="9"/>
      <c r="X37437" s="9"/>
    </row>
    <row r="37438">
      <c r="D37438" s="9"/>
      <c r="G37438" s="9"/>
      <c r="J37438" s="11"/>
      <c r="U37438" s="9"/>
      <c r="X37438" s="9"/>
    </row>
    <row r="37439">
      <c r="D37439" s="9"/>
      <c r="G37439" s="9"/>
      <c r="J37439" s="11"/>
      <c r="U37439" s="9"/>
      <c r="X37439" s="9"/>
    </row>
    <row r="37440">
      <c r="D37440" s="9"/>
      <c r="G37440" s="9"/>
      <c r="J37440" s="11"/>
      <c r="U37440" s="9"/>
      <c r="X37440" s="9"/>
    </row>
    <row r="37441">
      <c r="D37441" s="9"/>
      <c r="G37441" s="9"/>
      <c r="J37441" s="11"/>
      <c r="U37441" s="9"/>
      <c r="X37441" s="9"/>
    </row>
    <row r="37442">
      <c r="D37442" s="9"/>
      <c r="G37442" s="9"/>
      <c r="J37442" s="11"/>
      <c r="U37442" s="9"/>
      <c r="X37442" s="9"/>
    </row>
    <row r="37443">
      <c r="D37443" s="9"/>
      <c r="G37443" s="9"/>
      <c r="J37443" s="11"/>
      <c r="U37443" s="9"/>
      <c r="X37443" s="9"/>
    </row>
    <row r="37444">
      <c r="D37444" s="9"/>
      <c r="G37444" s="9"/>
      <c r="J37444" s="11"/>
      <c r="U37444" s="9"/>
      <c r="X37444" s="9"/>
    </row>
    <row r="37445">
      <c r="D37445" s="9"/>
      <c r="G37445" s="9"/>
      <c r="J37445" s="11"/>
      <c r="U37445" s="9"/>
      <c r="X37445" s="9"/>
    </row>
    <row r="37446">
      <c r="D37446" s="9"/>
      <c r="G37446" s="9"/>
      <c r="J37446" s="11"/>
      <c r="U37446" s="9"/>
      <c r="X37446" s="9"/>
    </row>
    <row r="37447">
      <c r="D37447" s="9"/>
      <c r="G37447" s="9"/>
      <c r="J37447" s="11"/>
      <c r="U37447" s="9"/>
      <c r="X37447" s="9"/>
    </row>
    <row r="37448">
      <c r="D37448" s="9"/>
      <c r="G37448" s="9"/>
      <c r="J37448" s="11"/>
      <c r="U37448" s="9"/>
      <c r="X37448" s="9"/>
    </row>
    <row r="37449">
      <c r="D37449" s="9"/>
      <c r="G37449" s="9"/>
      <c r="J37449" s="11"/>
      <c r="U37449" s="9"/>
      <c r="X37449" s="9"/>
    </row>
    <row r="37450">
      <c r="D37450" s="9"/>
      <c r="G37450" s="9"/>
      <c r="J37450" s="11"/>
      <c r="U37450" s="9"/>
      <c r="X37450" s="9"/>
    </row>
    <row r="37451">
      <c r="D37451" s="9"/>
      <c r="G37451" s="9"/>
      <c r="J37451" s="11"/>
      <c r="U37451" s="9"/>
      <c r="X37451" s="9"/>
    </row>
    <row r="37452">
      <c r="D37452" s="9"/>
      <c r="G37452" s="9"/>
      <c r="J37452" s="11"/>
      <c r="U37452" s="9"/>
      <c r="X37452" s="9"/>
    </row>
    <row r="37453">
      <c r="D37453" s="9"/>
      <c r="G37453" s="9"/>
      <c r="J37453" s="11"/>
      <c r="U37453" s="9"/>
      <c r="X37453" s="9"/>
    </row>
    <row r="37454">
      <c r="D37454" s="9"/>
      <c r="G37454" s="9"/>
      <c r="J37454" s="11"/>
      <c r="U37454" s="9"/>
      <c r="X37454" s="9"/>
    </row>
    <row r="37455">
      <c r="D37455" s="9"/>
      <c r="G37455" s="9"/>
      <c r="J37455" s="11"/>
      <c r="U37455" s="9"/>
      <c r="X37455" s="9"/>
    </row>
    <row r="37456">
      <c r="D37456" s="9"/>
      <c r="G37456" s="9"/>
      <c r="J37456" s="11"/>
      <c r="U37456" s="9"/>
      <c r="X37456" s="9"/>
    </row>
    <row r="37457">
      <c r="D37457" s="9"/>
      <c r="G37457" s="9"/>
      <c r="J37457" s="11"/>
      <c r="U37457" s="9"/>
      <c r="X37457" s="9"/>
    </row>
    <row r="37458">
      <c r="D37458" s="9"/>
      <c r="G37458" s="9"/>
      <c r="J37458" s="11"/>
      <c r="U37458" s="9"/>
      <c r="X37458" s="9"/>
    </row>
    <row r="37459">
      <c r="D37459" s="9"/>
      <c r="G37459" s="9"/>
      <c r="J37459" s="11"/>
      <c r="U37459" s="9"/>
      <c r="X37459" s="9"/>
    </row>
    <row r="37460">
      <c r="D37460" s="9"/>
      <c r="G37460" s="9"/>
      <c r="J37460" s="11"/>
      <c r="U37460" s="9"/>
      <c r="X37460" s="9"/>
    </row>
    <row r="37461">
      <c r="D37461" s="9"/>
      <c r="G37461" s="9"/>
      <c r="J37461" s="11"/>
      <c r="U37461" s="9"/>
      <c r="X37461" s="9"/>
    </row>
    <row r="37462">
      <c r="D37462" s="9"/>
      <c r="G37462" s="9"/>
      <c r="J37462" s="11"/>
      <c r="U37462" s="9"/>
      <c r="X37462" s="9"/>
    </row>
    <row r="37463">
      <c r="D37463" s="9"/>
      <c r="G37463" s="9"/>
      <c r="J37463" s="11"/>
      <c r="U37463" s="9"/>
      <c r="X37463" s="9"/>
    </row>
    <row r="37464">
      <c r="D37464" s="9"/>
      <c r="G37464" s="9"/>
      <c r="J37464" s="11"/>
      <c r="U37464" s="9"/>
      <c r="X37464" s="9"/>
    </row>
    <row r="37465">
      <c r="D37465" s="9"/>
      <c r="G37465" s="9"/>
      <c r="J37465" s="11"/>
      <c r="U37465" s="9"/>
      <c r="X37465" s="9"/>
    </row>
    <row r="37466">
      <c r="D37466" s="9"/>
      <c r="G37466" s="9"/>
      <c r="J37466" s="11"/>
      <c r="U37466" s="9"/>
      <c r="X37466" s="9"/>
    </row>
    <row r="37467">
      <c r="D37467" s="9"/>
      <c r="G37467" s="9"/>
      <c r="J37467" s="11"/>
      <c r="U37467" s="9"/>
      <c r="X37467" s="9"/>
    </row>
    <row r="37468">
      <c r="D37468" s="9"/>
      <c r="G37468" s="9"/>
      <c r="J37468" s="11"/>
      <c r="U37468" s="9"/>
      <c r="X37468" s="9"/>
    </row>
    <row r="37469">
      <c r="D37469" s="9"/>
      <c r="G37469" s="9"/>
      <c r="J37469" s="11"/>
      <c r="U37469" s="9"/>
      <c r="X37469" s="9"/>
    </row>
    <row r="37470">
      <c r="D37470" s="9"/>
      <c r="G37470" s="9"/>
      <c r="J37470" s="11"/>
      <c r="U37470" s="9"/>
      <c r="X37470" s="9"/>
    </row>
    <row r="37471">
      <c r="D37471" s="9"/>
      <c r="G37471" s="9"/>
      <c r="J37471" s="11"/>
      <c r="U37471" s="9"/>
      <c r="X37471" s="9"/>
    </row>
    <row r="37472">
      <c r="D37472" s="9"/>
      <c r="G37472" s="9"/>
      <c r="J37472" s="11"/>
      <c r="U37472" s="9"/>
      <c r="X37472" s="9"/>
    </row>
    <row r="37473">
      <c r="D37473" s="9"/>
      <c r="G37473" s="9"/>
      <c r="J37473" s="11"/>
      <c r="U37473" s="9"/>
      <c r="X37473" s="9"/>
    </row>
    <row r="37474">
      <c r="D37474" s="9"/>
      <c r="G37474" s="9"/>
      <c r="J37474" s="11"/>
      <c r="U37474" s="9"/>
      <c r="X37474" s="9"/>
    </row>
    <row r="37475">
      <c r="D37475" s="9"/>
      <c r="G37475" s="9"/>
      <c r="J37475" s="11"/>
      <c r="U37475" s="9"/>
      <c r="X37475" s="9"/>
    </row>
    <row r="37476">
      <c r="D37476" s="9"/>
      <c r="G37476" s="9"/>
      <c r="J37476" s="11"/>
      <c r="U37476" s="9"/>
      <c r="X37476" s="9"/>
    </row>
    <row r="37477">
      <c r="D37477" s="9"/>
      <c r="G37477" s="9"/>
      <c r="J37477" s="11"/>
      <c r="U37477" s="9"/>
      <c r="X37477" s="9"/>
    </row>
    <row r="37478">
      <c r="D37478" s="9"/>
      <c r="G37478" s="9"/>
      <c r="J37478" s="11"/>
      <c r="U37478" s="9"/>
      <c r="X37478" s="9"/>
    </row>
    <row r="37479">
      <c r="D37479" s="9"/>
      <c r="G37479" s="9"/>
      <c r="J37479" s="11"/>
      <c r="U37479" s="9"/>
      <c r="X37479" s="9"/>
    </row>
    <row r="37480">
      <c r="D37480" s="9"/>
      <c r="G37480" s="9"/>
      <c r="J37480" s="11"/>
      <c r="U37480" s="9"/>
      <c r="X37480" s="9"/>
    </row>
    <row r="37481">
      <c r="D37481" s="9"/>
      <c r="G37481" s="9"/>
      <c r="J37481" s="11"/>
      <c r="U37481" s="9"/>
      <c r="X37481" s="9"/>
    </row>
    <row r="37482">
      <c r="D37482" s="9"/>
      <c r="G37482" s="9"/>
      <c r="J37482" s="11"/>
      <c r="U37482" s="9"/>
      <c r="X37482" s="9"/>
    </row>
    <row r="37483">
      <c r="D37483" s="9"/>
      <c r="G37483" s="9"/>
      <c r="J37483" s="11"/>
      <c r="U37483" s="9"/>
      <c r="X37483" s="9"/>
    </row>
    <row r="37484">
      <c r="D37484" s="9"/>
      <c r="G37484" s="9"/>
      <c r="J37484" s="11"/>
      <c r="U37484" s="9"/>
      <c r="X37484" s="9"/>
    </row>
    <row r="37485">
      <c r="D37485" s="9"/>
      <c r="G37485" s="9"/>
      <c r="J37485" s="11"/>
      <c r="U37485" s="9"/>
      <c r="X37485" s="9"/>
    </row>
    <row r="37486">
      <c r="D37486" s="9"/>
      <c r="G37486" s="9"/>
      <c r="J37486" s="11"/>
      <c r="U37486" s="9"/>
      <c r="X37486" s="9"/>
    </row>
    <row r="37487">
      <c r="D37487" s="9"/>
      <c r="G37487" s="9"/>
      <c r="J37487" s="11"/>
      <c r="U37487" s="9"/>
      <c r="X37487" s="9"/>
    </row>
    <row r="37488">
      <c r="D37488" s="9"/>
      <c r="G37488" s="9"/>
      <c r="J37488" s="11"/>
      <c r="U37488" s="9"/>
      <c r="X37488" s="9"/>
    </row>
    <row r="37489">
      <c r="D37489" s="9"/>
      <c r="G37489" s="9"/>
      <c r="J37489" s="11"/>
      <c r="U37489" s="9"/>
      <c r="X37489" s="9"/>
    </row>
    <row r="37490">
      <c r="D37490" s="9"/>
      <c r="G37490" s="9"/>
      <c r="J37490" s="11"/>
      <c r="U37490" s="9"/>
      <c r="X37490" s="9"/>
    </row>
    <row r="37491">
      <c r="D37491" s="9"/>
      <c r="G37491" s="9"/>
      <c r="J37491" s="11"/>
      <c r="U37491" s="9"/>
      <c r="X37491" s="9"/>
    </row>
    <row r="37492">
      <c r="D37492" s="9"/>
      <c r="G37492" s="9"/>
      <c r="J37492" s="11"/>
      <c r="U37492" s="9"/>
      <c r="X37492" s="9"/>
    </row>
    <row r="37493">
      <c r="D37493" s="9"/>
      <c r="G37493" s="9"/>
      <c r="J37493" s="11"/>
      <c r="U37493" s="9"/>
      <c r="X37493" s="9"/>
    </row>
    <row r="37494">
      <c r="D37494" s="9"/>
      <c r="G37494" s="9"/>
      <c r="J37494" s="11"/>
      <c r="U37494" s="9"/>
      <c r="X37494" s="9"/>
    </row>
    <row r="37495">
      <c r="D37495" s="9"/>
      <c r="G37495" s="9"/>
      <c r="J37495" s="11"/>
      <c r="U37495" s="9"/>
      <c r="X37495" s="9"/>
    </row>
    <row r="37496">
      <c r="D37496" s="9"/>
      <c r="G37496" s="9"/>
      <c r="J37496" s="11"/>
      <c r="U37496" s="9"/>
      <c r="X37496" s="9"/>
    </row>
    <row r="37497">
      <c r="D37497" s="9"/>
      <c r="G37497" s="9"/>
      <c r="J37497" s="11"/>
      <c r="U37497" s="9"/>
      <c r="X37497" s="9"/>
    </row>
    <row r="37498">
      <c r="D37498" s="9"/>
      <c r="G37498" s="9"/>
      <c r="J37498" s="11"/>
      <c r="U37498" s="9"/>
      <c r="X37498" s="9"/>
    </row>
    <row r="37499">
      <c r="D37499" s="9"/>
      <c r="G37499" s="9"/>
      <c r="J37499" s="11"/>
      <c r="U37499" s="9"/>
      <c r="X37499" s="9"/>
    </row>
    <row r="37500">
      <c r="D37500" s="9"/>
      <c r="G37500" s="9"/>
      <c r="J37500" s="11"/>
      <c r="U37500" s="9"/>
      <c r="X37500" s="9"/>
    </row>
    <row r="37501">
      <c r="D37501" s="9"/>
      <c r="G37501" s="9"/>
      <c r="J37501" s="11"/>
      <c r="U37501" s="9"/>
      <c r="X37501" s="9"/>
    </row>
    <row r="37502">
      <c r="D37502" s="9"/>
      <c r="G37502" s="9"/>
      <c r="J37502" s="11"/>
      <c r="U37502" s="9"/>
      <c r="X37502" s="9"/>
    </row>
    <row r="37503">
      <c r="D37503" s="9"/>
      <c r="G37503" s="9"/>
      <c r="J37503" s="11"/>
      <c r="U37503" s="9"/>
      <c r="X37503" s="9"/>
    </row>
    <row r="37504">
      <c r="D37504" s="9"/>
      <c r="G37504" s="9"/>
      <c r="J37504" s="11"/>
      <c r="U37504" s="9"/>
      <c r="X37504" s="9"/>
    </row>
    <row r="37505">
      <c r="D37505" s="9"/>
      <c r="G37505" s="9"/>
      <c r="J37505" s="11"/>
      <c r="U37505" s="9"/>
      <c r="X37505" s="9"/>
    </row>
    <row r="37506">
      <c r="D37506" s="9"/>
      <c r="G37506" s="9"/>
      <c r="J37506" s="11"/>
      <c r="U37506" s="9"/>
      <c r="X37506" s="9"/>
    </row>
    <row r="37507">
      <c r="D37507" s="9"/>
      <c r="G37507" s="9"/>
      <c r="J37507" s="11"/>
      <c r="U37507" s="9"/>
      <c r="X37507" s="9"/>
    </row>
    <row r="37508">
      <c r="D37508" s="9"/>
      <c r="G37508" s="9"/>
      <c r="J37508" s="11"/>
      <c r="U37508" s="9"/>
      <c r="X37508" s="9"/>
    </row>
    <row r="37509">
      <c r="D37509" s="9"/>
      <c r="G37509" s="9"/>
      <c r="J37509" s="11"/>
      <c r="U37509" s="9"/>
      <c r="X37509" s="9"/>
    </row>
    <row r="37510">
      <c r="D37510" s="9"/>
      <c r="G37510" s="9"/>
      <c r="J37510" s="11"/>
      <c r="U37510" s="9"/>
      <c r="X37510" s="9"/>
    </row>
    <row r="37511">
      <c r="D37511" s="9"/>
      <c r="G37511" s="9"/>
      <c r="J37511" s="11"/>
      <c r="U37511" s="9"/>
      <c r="X37511" s="9"/>
    </row>
    <row r="37512">
      <c r="D37512" s="9"/>
      <c r="G37512" s="9"/>
      <c r="J37512" s="11"/>
      <c r="U37512" s="9"/>
      <c r="X37512" s="9"/>
    </row>
    <row r="37513">
      <c r="D37513" s="9"/>
      <c r="G37513" s="9"/>
      <c r="J37513" s="11"/>
      <c r="U37513" s="9"/>
      <c r="X37513" s="9"/>
    </row>
    <row r="37514">
      <c r="D37514" s="9"/>
      <c r="G37514" s="9"/>
      <c r="J37514" s="11"/>
      <c r="U37514" s="9"/>
      <c r="X37514" s="9"/>
    </row>
    <row r="37515">
      <c r="D37515" s="9"/>
      <c r="G37515" s="9"/>
      <c r="J37515" s="11"/>
      <c r="U37515" s="9"/>
      <c r="X37515" s="9"/>
    </row>
    <row r="37516">
      <c r="D37516" s="9"/>
      <c r="G37516" s="9"/>
      <c r="J37516" s="11"/>
      <c r="U37516" s="9"/>
      <c r="X37516" s="9"/>
    </row>
    <row r="37517">
      <c r="D37517" s="9"/>
      <c r="G37517" s="9"/>
      <c r="J37517" s="11"/>
      <c r="U37517" s="9"/>
      <c r="X37517" s="9"/>
    </row>
    <row r="37518">
      <c r="D37518" s="9"/>
      <c r="G37518" s="9"/>
      <c r="J37518" s="11"/>
      <c r="U37518" s="9"/>
      <c r="X37518" s="9"/>
    </row>
    <row r="37519">
      <c r="D37519" s="9"/>
      <c r="G37519" s="9"/>
      <c r="J37519" s="11"/>
      <c r="U37519" s="9"/>
      <c r="X37519" s="9"/>
    </row>
    <row r="37520">
      <c r="D37520" s="9"/>
      <c r="G37520" s="9"/>
      <c r="J37520" s="11"/>
      <c r="U37520" s="9"/>
      <c r="X37520" s="9"/>
    </row>
    <row r="37521">
      <c r="D37521" s="9"/>
      <c r="G37521" s="9"/>
      <c r="J37521" s="11"/>
      <c r="U37521" s="9"/>
      <c r="X37521" s="9"/>
    </row>
    <row r="37522">
      <c r="D37522" s="9"/>
      <c r="G37522" s="9"/>
      <c r="J37522" s="11"/>
      <c r="U37522" s="9"/>
      <c r="X37522" s="9"/>
    </row>
    <row r="37523">
      <c r="D37523" s="9"/>
      <c r="G37523" s="9"/>
      <c r="J37523" s="11"/>
      <c r="U37523" s="9"/>
      <c r="X37523" s="9"/>
    </row>
    <row r="37524">
      <c r="D37524" s="9"/>
      <c r="G37524" s="9"/>
      <c r="J37524" s="11"/>
      <c r="U37524" s="9"/>
      <c r="X37524" s="9"/>
    </row>
    <row r="37525">
      <c r="D37525" s="9"/>
      <c r="G37525" s="9"/>
      <c r="J37525" s="11"/>
      <c r="U37525" s="9"/>
      <c r="X37525" s="9"/>
    </row>
    <row r="37526">
      <c r="D37526" s="9"/>
      <c r="G37526" s="9"/>
      <c r="J37526" s="11"/>
      <c r="U37526" s="9"/>
      <c r="X37526" s="9"/>
    </row>
    <row r="37527">
      <c r="D37527" s="9"/>
      <c r="G37527" s="9"/>
      <c r="J37527" s="11"/>
      <c r="U37527" s="9"/>
      <c r="X37527" s="9"/>
    </row>
    <row r="37528">
      <c r="D37528" s="9"/>
      <c r="G37528" s="9"/>
      <c r="J37528" s="11"/>
      <c r="U37528" s="9"/>
      <c r="X37528" s="9"/>
    </row>
    <row r="37529">
      <c r="D37529" s="9"/>
      <c r="G37529" s="9"/>
      <c r="J37529" s="11"/>
      <c r="U37529" s="9"/>
      <c r="X37529" s="9"/>
    </row>
    <row r="37530">
      <c r="D37530" s="9"/>
      <c r="G37530" s="9"/>
      <c r="J37530" s="11"/>
      <c r="U37530" s="9"/>
      <c r="X37530" s="9"/>
    </row>
    <row r="37531">
      <c r="D37531" s="9"/>
      <c r="G37531" s="9"/>
      <c r="J37531" s="11"/>
      <c r="U37531" s="9"/>
      <c r="X37531" s="9"/>
    </row>
    <row r="37532">
      <c r="D37532" s="9"/>
      <c r="G37532" s="9"/>
      <c r="J37532" s="11"/>
      <c r="U37532" s="9"/>
      <c r="X37532" s="9"/>
    </row>
    <row r="37533">
      <c r="D37533" s="9"/>
      <c r="G37533" s="9"/>
      <c r="J37533" s="11"/>
      <c r="U37533" s="9"/>
      <c r="X37533" s="9"/>
    </row>
    <row r="37534">
      <c r="D37534" s="9"/>
      <c r="G37534" s="9"/>
      <c r="J37534" s="11"/>
      <c r="U37534" s="9"/>
      <c r="X37534" s="9"/>
    </row>
    <row r="37535">
      <c r="D37535" s="9"/>
      <c r="G37535" s="9"/>
      <c r="J37535" s="11"/>
      <c r="U37535" s="9"/>
      <c r="X37535" s="9"/>
    </row>
    <row r="37536">
      <c r="D37536" s="9"/>
      <c r="G37536" s="9"/>
      <c r="J37536" s="11"/>
      <c r="U37536" s="9"/>
      <c r="X37536" s="9"/>
    </row>
    <row r="37537">
      <c r="D37537" s="9"/>
      <c r="G37537" s="9"/>
      <c r="J37537" s="11"/>
      <c r="U37537" s="9"/>
      <c r="X37537" s="9"/>
    </row>
    <row r="37538">
      <c r="D37538" s="9"/>
      <c r="G37538" s="9"/>
      <c r="J37538" s="11"/>
      <c r="U37538" s="9"/>
      <c r="X37538" s="9"/>
    </row>
    <row r="37539">
      <c r="D37539" s="9"/>
      <c r="G37539" s="9"/>
      <c r="J37539" s="11"/>
      <c r="U37539" s="9"/>
      <c r="X37539" s="9"/>
    </row>
    <row r="37540">
      <c r="D37540" s="9"/>
      <c r="G37540" s="9"/>
      <c r="J37540" s="11"/>
      <c r="U37540" s="9"/>
      <c r="X37540" s="9"/>
    </row>
    <row r="37541">
      <c r="D37541" s="9"/>
      <c r="G37541" s="9"/>
      <c r="J37541" s="11"/>
      <c r="U37541" s="9"/>
      <c r="X37541" s="9"/>
    </row>
    <row r="37542">
      <c r="D37542" s="9"/>
      <c r="G37542" s="9"/>
      <c r="J37542" s="11"/>
      <c r="U37542" s="9"/>
      <c r="X37542" s="9"/>
    </row>
    <row r="37543">
      <c r="D37543" s="9"/>
      <c r="G37543" s="9"/>
      <c r="J37543" s="11"/>
      <c r="U37543" s="9"/>
      <c r="X37543" s="9"/>
    </row>
    <row r="37544">
      <c r="D37544" s="9"/>
      <c r="G37544" s="9"/>
      <c r="J37544" s="11"/>
      <c r="U37544" s="9"/>
      <c r="X37544" s="9"/>
    </row>
    <row r="37545">
      <c r="D37545" s="9"/>
      <c r="G37545" s="9"/>
      <c r="J37545" s="11"/>
      <c r="U37545" s="9"/>
      <c r="X37545" s="9"/>
    </row>
    <row r="37546">
      <c r="D37546" s="9"/>
      <c r="G37546" s="9"/>
      <c r="J37546" s="11"/>
      <c r="U37546" s="9"/>
      <c r="X37546" s="9"/>
    </row>
    <row r="37547">
      <c r="D37547" s="9"/>
      <c r="G37547" s="9"/>
      <c r="J37547" s="11"/>
      <c r="U37547" s="9"/>
      <c r="X37547" s="9"/>
    </row>
    <row r="37548">
      <c r="D37548" s="9"/>
      <c r="G37548" s="9"/>
      <c r="J37548" s="11"/>
      <c r="U37548" s="9"/>
      <c r="X37548" s="9"/>
    </row>
    <row r="37549">
      <c r="D37549" s="9"/>
      <c r="G37549" s="9"/>
      <c r="J37549" s="11"/>
      <c r="U37549" s="9"/>
      <c r="X37549" s="9"/>
    </row>
    <row r="37550">
      <c r="D37550" s="9"/>
      <c r="G37550" s="9"/>
      <c r="J37550" s="11"/>
      <c r="U37550" s="9"/>
      <c r="X37550" s="9"/>
    </row>
    <row r="37551">
      <c r="D37551" s="9"/>
      <c r="G37551" s="9"/>
      <c r="J37551" s="11"/>
      <c r="U37551" s="9"/>
      <c r="X37551" s="9"/>
    </row>
    <row r="37552">
      <c r="D37552" s="9"/>
      <c r="G37552" s="9"/>
      <c r="J37552" s="11"/>
      <c r="U37552" s="9"/>
      <c r="X37552" s="9"/>
    </row>
    <row r="37553">
      <c r="D37553" s="9"/>
      <c r="G37553" s="9"/>
      <c r="J37553" s="11"/>
      <c r="U37553" s="9"/>
      <c r="X37553" s="9"/>
    </row>
    <row r="37554">
      <c r="D37554" s="9"/>
      <c r="G37554" s="9"/>
      <c r="J37554" s="11"/>
      <c r="U37554" s="9"/>
      <c r="X37554" s="9"/>
    </row>
    <row r="37555">
      <c r="D37555" s="9"/>
      <c r="G37555" s="9"/>
      <c r="J37555" s="11"/>
      <c r="U37555" s="9"/>
      <c r="X37555" s="9"/>
    </row>
    <row r="37556">
      <c r="D37556" s="9"/>
      <c r="G37556" s="9"/>
      <c r="J37556" s="11"/>
      <c r="U37556" s="9"/>
      <c r="X37556" s="9"/>
    </row>
    <row r="37557">
      <c r="D37557" s="9"/>
      <c r="G37557" s="9"/>
      <c r="J37557" s="11"/>
      <c r="U37557" s="9"/>
      <c r="X37557" s="9"/>
    </row>
    <row r="37558">
      <c r="D37558" s="9"/>
      <c r="G37558" s="9"/>
      <c r="J37558" s="11"/>
      <c r="U37558" s="9"/>
      <c r="X37558" s="9"/>
    </row>
    <row r="37559">
      <c r="D37559" s="9"/>
      <c r="G37559" s="9"/>
      <c r="J37559" s="11"/>
      <c r="U37559" s="9"/>
      <c r="X37559" s="9"/>
    </row>
    <row r="37560">
      <c r="D37560" s="9"/>
      <c r="G37560" s="9"/>
      <c r="J37560" s="11"/>
      <c r="U37560" s="9"/>
      <c r="X37560" s="9"/>
    </row>
    <row r="37561">
      <c r="D37561" s="9"/>
      <c r="G37561" s="9"/>
      <c r="J37561" s="11"/>
      <c r="U37561" s="9"/>
      <c r="X37561" s="9"/>
    </row>
    <row r="37562">
      <c r="D37562" s="9"/>
      <c r="G37562" s="9"/>
      <c r="J37562" s="11"/>
      <c r="U37562" s="9"/>
      <c r="X37562" s="9"/>
    </row>
    <row r="37563">
      <c r="D37563" s="9"/>
      <c r="G37563" s="9"/>
      <c r="J37563" s="11"/>
      <c r="U37563" s="9"/>
      <c r="X37563" s="9"/>
    </row>
    <row r="37564">
      <c r="D37564" s="9"/>
      <c r="G37564" s="9"/>
      <c r="J37564" s="11"/>
      <c r="U37564" s="9"/>
      <c r="X37564" s="9"/>
    </row>
    <row r="37565">
      <c r="D37565" s="9"/>
      <c r="G37565" s="9"/>
      <c r="J37565" s="11"/>
      <c r="U37565" s="9"/>
      <c r="X37565" s="9"/>
    </row>
    <row r="37566">
      <c r="D37566" s="9"/>
      <c r="G37566" s="9"/>
      <c r="J37566" s="11"/>
      <c r="U37566" s="9"/>
      <c r="X37566" s="9"/>
    </row>
    <row r="37567">
      <c r="D37567" s="9"/>
      <c r="G37567" s="9"/>
      <c r="J37567" s="11"/>
      <c r="U37567" s="9"/>
      <c r="X37567" s="9"/>
    </row>
    <row r="37568">
      <c r="D37568" s="9"/>
      <c r="G37568" s="9"/>
      <c r="J37568" s="11"/>
      <c r="U37568" s="9"/>
      <c r="X37568" s="9"/>
    </row>
    <row r="37569">
      <c r="D37569" s="9"/>
      <c r="G37569" s="9"/>
      <c r="J37569" s="11"/>
      <c r="U37569" s="9"/>
      <c r="X37569" s="9"/>
    </row>
    <row r="37570">
      <c r="D37570" s="9"/>
      <c r="G37570" s="9"/>
      <c r="J37570" s="11"/>
      <c r="U37570" s="9"/>
      <c r="X37570" s="9"/>
    </row>
    <row r="37571">
      <c r="D37571" s="9"/>
      <c r="G37571" s="9"/>
      <c r="J37571" s="11"/>
      <c r="U37571" s="9"/>
      <c r="X37571" s="9"/>
    </row>
    <row r="37572">
      <c r="D37572" s="9"/>
      <c r="G37572" s="9"/>
      <c r="J37572" s="11"/>
      <c r="U37572" s="9"/>
      <c r="X37572" s="9"/>
    </row>
    <row r="37573">
      <c r="D37573" s="9"/>
      <c r="G37573" s="9"/>
      <c r="J37573" s="11"/>
      <c r="U37573" s="9"/>
      <c r="X37573" s="9"/>
    </row>
    <row r="37574">
      <c r="D37574" s="9"/>
      <c r="G37574" s="9"/>
      <c r="J37574" s="11"/>
      <c r="U37574" s="9"/>
      <c r="X37574" s="9"/>
    </row>
    <row r="37575">
      <c r="D37575" s="9"/>
      <c r="G37575" s="9"/>
      <c r="J37575" s="11"/>
      <c r="U37575" s="9"/>
      <c r="X37575" s="9"/>
    </row>
    <row r="37576">
      <c r="D37576" s="9"/>
      <c r="G37576" s="9"/>
      <c r="J37576" s="11"/>
      <c r="U37576" s="9"/>
      <c r="X37576" s="9"/>
    </row>
    <row r="37577">
      <c r="D37577" s="9"/>
      <c r="G37577" s="9"/>
      <c r="J37577" s="11"/>
      <c r="U37577" s="9"/>
      <c r="X37577" s="9"/>
    </row>
    <row r="37578">
      <c r="D37578" s="9"/>
      <c r="G37578" s="9"/>
      <c r="J37578" s="11"/>
      <c r="U37578" s="9"/>
      <c r="X37578" s="9"/>
    </row>
    <row r="37579">
      <c r="D37579" s="9"/>
      <c r="G37579" s="9"/>
      <c r="J37579" s="11"/>
      <c r="U37579" s="9"/>
      <c r="X37579" s="9"/>
    </row>
    <row r="37580">
      <c r="D37580" s="9"/>
      <c r="G37580" s="9"/>
      <c r="J37580" s="11"/>
      <c r="U37580" s="9"/>
      <c r="X37580" s="9"/>
    </row>
    <row r="37581">
      <c r="D37581" s="9"/>
      <c r="G37581" s="9"/>
      <c r="J37581" s="11"/>
      <c r="U37581" s="9"/>
      <c r="X37581" s="9"/>
    </row>
    <row r="37582">
      <c r="D37582" s="9"/>
      <c r="G37582" s="9"/>
      <c r="J37582" s="11"/>
      <c r="U37582" s="9"/>
      <c r="X37582" s="9"/>
    </row>
    <row r="37583">
      <c r="D37583" s="9"/>
      <c r="G37583" s="9"/>
      <c r="J37583" s="11"/>
      <c r="U37583" s="9"/>
      <c r="X37583" s="9"/>
    </row>
    <row r="37584">
      <c r="D37584" s="9"/>
      <c r="G37584" s="9"/>
      <c r="J37584" s="11"/>
      <c r="U37584" s="9"/>
      <c r="X37584" s="9"/>
    </row>
    <row r="37585">
      <c r="D37585" s="9"/>
      <c r="G37585" s="9"/>
      <c r="J37585" s="11"/>
      <c r="U37585" s="9"/>
      <c r="X37585" s="9"/>
    </row>
    <row r="37586">
      <c r="D37586" s="9"/>
      <c r="G37586" s="9"/>
      <c r="J37586" s="11"/>
      <c r="U37586" s="9"/>
      <c r="X37586" s="9"/>
    </row>
    <row r="37587">
      <c r="D37587" s="9"/>
      <c r="G37587" s="9"/>
      <c r="J37587" s="11"/>
      <c r="U37587" s="9"/>
      <c r="X37587" s="9"/>
    </row>
    <row r="37588">
      <c r="D37588" s="9"/>
      <c r="G37588" s="9"/>
      <c r="J37588" s="11"/>
      <c r="U37588" s="9"/>
      <c r="X37588" s="9"/>
    </row>
    <row r="37589">
      <c r="D37589" s="9"/>
      <c r="G37589" s="9"/>
      <c r="J37589" s="11"/>
      <c r="U37589" s="9"/>
      <c r="X37589" s="9"/>
    </row>
    <row r="37590">
      <c r="D37590" s="9"/>
      <c r="G37590" s="9"/>
      <c r="J37590" s="11"/>
      <c r="U37590" s="9"/>
      <c r="X37590" s="9"/>
    </row>
    <row r="37591">
      <c r="D37591" s="9"/>
      <c r="G37591" s="9"/>
      <c r="J37591" s="11"/>
      <c r="U37591" s="9"/>
      <c r="X37591" s="9"/>
    </row>
    <row r="37592">
      <c r="D37592" s="9"/>
      <c r="G37592" s="9"/>
      <c r="J37592" s="11"/>
      <c r="U37592" s="9"/>
      <c r="X37592" s="9"/>
    </row>
    <row r="37593">
      <c r="D37593" s="9"/>
      <c r="G37593" s="9"/>
      <c r="J37593" s="11"/>
      <c r="U37593" s="9"/>
      <c r="X37593" s="9"/>
    </row>
    <row r="37594">
      <c r="D37594" s="9"/>
      <c r="G37594" s="9"/>
      <c r="J37594" s="11"/>
      <c r="U37594" s="9"/>
      <c r="X37594" s="9"/>
    </row>
    <row r="37595">
      <c r="D37595" s="9"/>
      <c r="G37595" s="9"/>
      <c r="J37595" s="11"/>
      <c r="U37595" s="9"/>
      <c r="X37595" s="9"/>
    </row>
    <row r="37596">
      <c r="D37596" s="9"/>
      <c r="G37596" s="9"/>
      <c r="J37596" s="11"/>
      <c r="U37596" s="9"/>
      <c r="X37596" s="9"/>
    </row>
    <row r="37597">
      <c r="D37597" s="9"/>
      <c r="G37597" s="9"/>
      <c r="J37597" s="11"/>
      <c r="U37597" s="9"/>
      <c r="X37597" s="9"/>
    </row>
    <row r="37598">
      <c r="D37598" s="9"/>
      <c r="G37598" s="9"/>
      <c r="J37598" s="11"/>
      <c r="U37598" s="9"/>
      <c r="X37598" s="9"/>
    </row>
    <row r="37599">
      <c r="D37599" s="9"/>
      <c r="G37599" s="9"/>
      <c r="J37599" s="11"/>
      <c r="U37599" s="9"/>
      <c r="X37599" s="9"/>
    </row>
    <row r="37600">
      <c r="D37600" s="9"/>
      <c r="G37600" s="9"/>
      <c r="J37600" s="11"/>
      <c r="U37600" s="9"/>
      <c r="X37600" s="9"/>
    </row>
    <row r="37601">
      <c r="D37601" s="9"/>
      <c r="G37601" s="9"/>
      <c r="J37601" s="11"/>
      <c r="U37601" s="9"/>
      <c r="X37601" s="9"/>
    </row>
    <row r="37602">
      <c r="D37602" s="9"/>
      <c r="G37602" s="9"/>
      <c r="J37602" s="11"/>
      <c r="U37602" s="9"/>
      <c r="X37602" s="9"/>
    </row>
    <row r="37603">
      <c r="D37603" s="9"/>
      <c r="G37603" s="9"/>
      <c r="J37603" s="11"/>
      <c r="U37603" s="9"/>
      <c r="X37603" s="9"/>
    </row>
    <row r="37604">
      <c r="D37604" s="9"/>
      <c r="G37604" s="9"/>
      <c r="J37604" s="11"/>
      <c r="U37604" s="9"/>
      <c r="X37604" s="9"/>
    </row>
    <row r="37605">
      <c r="D37605" s="9"/>
      <c r="G37605" s="9"/>
      <c r="J37605" s="11"/>
      <c r="U37605" s="9"/>
      <c r="X37605" s="9"/>
    </row>
    <row r="37606">
      <c r="D37606" s="9"/>
      <c r="G37606" s="9"/>
      <c r="J37606" s="11"/>
      <c r="U37606" s="9"/>
      <c r="X37606" s="9"/>
    </row>
    <row r="37607">
      <c r="D37607" s="9"/>
      <c r="G37607" s="9"/>
      <c r="J37607" s="11"/>
      <c r="U37607" s="9"/>
      <c r="X37607" s="9"/>
    </row>
    <row r="37608">
      <c r="D37608" s="9"/>
      <c r="G37608" s="9"/>
      <c r="J37608" s="11"/>
      <c r="U37608" s="9"/>
      <c r="X37608" s="9"/>
    </row>
    <row r="37609">
      <c r="D37609" s="9"/>
      <c r="G37609" s="9"/>
      <c r="J37609" s="11"/>
      <c r="U37609" s="9"/>
      <c r="X37609" s="9"/>
    </row>
    <row r="37610">
      <c r="D37610" s="9"/>
      <c r="G37610" s="9"/>
      <c r="J37610" s="11"/>
      <c r="U37610" s="9"/>
      <c r="X37610" s="9"/>
    </row>
    <row r="37611">
      <c r="D37611" s="9"/>
      <c r="G37611" s="9"/>
      <c r="J37611" s="11"/>
      <c r="U37611" s="9"/>
      <c r="X37611" s="9"/>
    </row>
    <row r="37612">
      <c r="D37612" s="9"/>
      <c r="G37612" s="9"/>
      <c r="J37612" s="11"/>
      <c r="U37612" s="9"/>
      <c r="X37612" s="9"/>
    </row>
    <row r="37613">
      <c r="D37613" s="9"/>
      <c r="G37613" s="9"/>
      <c r="J37613" s="11"/>
      <c r="U37613" s="9"/>
      <c r="X37613" s="9"/>
    </row>
    <row r="37614">
      <c r="D37614" s="9"/>
      <c r="G37614" s="9"/>
      <c r="J37614" s="11"/>
      <c r="U37614" s="9"/>
      <c r="X37614" s="9"/>
    </row>
    <row r="37615">
      <c r="D37615" s="9"/>
      <c r="G37615" s="9"/>
      <c r="J37615" s="11"/>
      <c r="U37615" s="9"/>
      <c r="X37615" s="9"/>
    </row>
    <row r="37616">
      <c r="D37616" s="9"/>
      <c r="G37616" s="9"/>
      <c r="J37616" s="11"/>
      <c r="U37616" s="9"/>
      <c r="X37616" s="9"/>
    </row>
    <row r="37617">
      <c r="D37617" s="9"/>
      <c r="G37617" s="9"/>
      <c r="J37617" s="11"/>
      <c r="U37617" s="9"/>
      <c r="X37617" s="9"/>
    </row>
    <row r="37618">
      <c r="D37618" s="9"/>
      <c r="G37618" s="9"/>
      <c r="J37618" s="11"/>
      <c r="U37618" s="9"/>
      <c r="X37618" s="9"/>
    </row>
    <row r="37619">
      <c r="D37619" s="9"/>
      <c r="G37619" s="9"/>
      <c r="J37619" s="11"/>
      <c r="U37619" s="9"/>
      <c r="X37619" s="9"/>
    </row>
    <row r="37620">
      <c r="D37620" s="9"/>
      <c r="G37620" s="9"/>
      <c r="J37620" s="11"/>
      <c r="U37620" s="9"/>
      <c r="X37620" s="9"/>
    </row>
    <row r="37621">
      <c r="D37621" s="9"/>
      <c r="G37621" s="9"/>
      <c r="J37621" s="11"/>
      <c r="U37621" s="9"/>
      <c r="X37621" s="9"/>
    </row>
    <row r="37622">
      <c r="D37622" s="9"/>
      <c r="G37622" s="9"/>
      <c r="J37622" s="11"/>
      <c r="U37622" s="9"/>
      <c r="X37622" s="9"/>
    </row>
    <row r="37623">
      <c r="D37623" s="9"/>
      <c r="G37623" s="9"/>
      <c r="J37623" s="11"/>
      <c r="U37623" s="9"/>
      <c r="X37623" s="9"/>
    </row>
    <row r="37624">
      <c r="D37624" s="9"/>
      <c r="G37624" s="9"/>
      <c r="J37624" s="11"/>
      <c r="U37624" s="9"/>
      <c r="X37624" s="9"/>
    </row>
    <row r="37625">
      <c r="D37625" s="9"/>
      <c r="G37625" s="9"/>
      <c r="J37625" s="11"/>
      <c r="U37625" s="9"/>
      <c r="X37625" s="9"/>
    </row>
    <row r="37626">
      <c r="D37626" s="9"/>
      <c r="G37626" s="9"/>
      <c r="J37626" s="11"/>
      <c r="U37626" s="9"/>
      <c r="X37626" s="9"/>
    </row>
    <row r="37627">
      <c r="D37627" s="9"/>
      <c r="G37627" s="9"/>
      <c r="J37627" s="11"/>
      <c r="U37627" s="9"/>
      <c r="X37627" s="9"/>
    </row>
    <row r="37628">
      <c r="D37628" s="9"/>
      <c r="G37628" s="9"/>
      <c r="J37628" s="11"/>
      <c r="U37628" s="9"/>
      <c r="X37628" s="9"/>
    </row>
    <row r="37629">
      <c r="D37629" s="9"/>
      <c r="G37629" s="9"/>
      <c r="J37629" s="11"/>
      <c r="U37629" s="9"/>
      <c r="X37629" s="9"/>
    </row>
    <row r="37630">
      <c r="D37630" s="9"/>
      <c r="G37630" s="9"/>
      <c r="J37630" s="11"/>
      <c r="U37630" s="9"/>
      <c r="X37630" s="9"/>
    </row>
    <row r="37631">
      <c r="D37631" s="9"/>
      <c r="G37631" s="9"/>
      <c r="J37631" s="11"/>
      <c r="U37631" s="9"/>
      <c r="X37631" s="9"/>
    </row>
    <row r="37632">
      <c r="D37632" s="9"/>
      <c r="G37632" s="9"/>
      <c r="J37632" s="11"/>
      <c r="U37632" s="9"/>
      <c r="X37632" s="9"/>
    </row>
    <row r="37633">
      <c r="D37633" s="9"/>
      <c r="G37633" s="9"/>
      <c r="J37633" s="11"/>
      <c r="U37633" s="9"/>
      <c r="X37633" s="9"/>
    </row>
    <row r="37634">
      <c r="D37634" s="9"/>
      <c r="G37634" s="9"/>
      <c r="J37634" s="11"/>
      <c r="U37634" s="9"/>
      <c r="X37634" s="9"/>
    </row>
    <row r="37635">
      <c r="D37635" s="9"/>
      <c r="G37635" s="9"/>
      <c r="J37635" s="11"/>
      <c r="U37635" s="9"/>
      <c r="X37635" s="9"/>
    </row>
    <row r="37636">
      <c r="D37636" s="9"/>
      <c r="G37636" s="9"/>
      <c r="J37636" s="11"/>
      <c r="U37636" s="9"/>
      <c r="X37636" s="9"/>
    </row>
    <row r="37637">
      <c r="D37637" s="9"/>
      <c r="G37637" s="9"/>
      <c r="J37637" s="11"/>
      <c r="U37637" s="9"/>
      <c r="X37637" s="9"/>
    </row>
    <row r="37638">
      <c r="D37638" s="9"/>
      <c r="G37638" s="9"/>
      <c r="J37638" s="11"/>
      <c r="U37638" s="9"/>
      <c r="X37638" s="9"/>
    </row>
    <row r="37639">
      <c r="D37639" s="9"/>
      <c r="G37639" s="9"/>
      <c r="J37639" s="11"/>
      <c r="U37639" s="9"/>
      <c r="X37639" s="9"/>
    </row>
    <row r="37640">
      <c r="D37640" s="9"/>
      <c r="G37640" s="9"/>
      <c r="J37640" s="11"/>
      <c r="U37640" s="9"/>
      <c r="X37640" s="9"/>
    </row>
    <row r="37641">
      <c r="D37641" s="9"/>
      <c r="G37641" s="9"/>
      <c r="J37641" s="11"/>
      <c r="U37641" s="9"/>
      <c r="X37641" s="9"/>
    </row>
    <row r="37642">
      <c r="D37642" s="9"/>
      <c r="G37642" s="9"/>
      <c r="J37642" s="11"/>
      <c r="U37642" s="9"/>
      <c r="X37642" s="9"/>
    </row>
    <row r="37643">
      <c r="D37643" s="9"/>
      <c r="G37643" s="9"/>
      <c r="J37643" s="11"/>
      <c r="U37643" s="9"/>
      <c r="X37643" s="9"/>
    </row>
    <row r="37644">
      <c r="D37644" s="9"/>
      <c r="G37644" s="9"/>
      <c r="J37644" s="11"/>
      <c r="U37644" s="9"/>
      <c r="X37644" s="9"/>
    </row>
    <row r="37645">
      <c r="D37645" s="9"/>
      <c r="G37645" s="9"/>
      <c r="J37645" s="11"/>
      <c r="U37645" s="9"/>
      <c r="X37645" s="9"/>
    </row>
    <row r="37646">
      <c r="D37646" s="9"/>
      <c r="G37646" s="9"/>
      <c r="J37646" s="11"/>
      <c r="U37646" s="9"/>
      <c r="X37646" s="9"/>
    </row>
    <row r="37647">
      <c r="D37647" s="9"/>
      <c r="G37647" s="9"/>
      <c r="J37647" s="11"/>
      <c r="U37647" s="9"/>
      <c r="X37647" s="9"/>
    </row>
    <row r="37648">
      <c r="D37648" s="9"/>
      <c r="G37648" s="9"/>
      <c r="J37648" s="11"/>
      <c r="U37648" s="9"/>
      <c r="X37648" s="9"/>
    </row>
    <row r="37649">
      <c r="D37649" s="9"/>
      <c r="G37649" s="9"/>
      <c r="J37649" s="11"/>
      <c r="U37649" s="9"/>
      <c r="X37649" s="9"/>
    </row>
    <row r="37650">
      <c r="D37650" s="9"/>
      <c r="G37650" s="9"/>
      <c r="J37650" s="11"/>
      <c r="U37650" s="9"/>
      <c r="X37650" s="9"/>
    </row>
    <row r="37651">
      <c r="D37651" s="9"/>
      <c r="G37651" s="9"/>
      <c r="J37651" s="11"/>
      <c r="U37651" s="9"/>
      <c r="X37651" s="9"/>
    </row>
    <row r="37652">
      <c r="D37652" s="9"/>
      <c r="G37652" s="9"/>
      <c r="J37652" s="11"/>
      <c r="U37652" s="9"/>
      <c r="X37652" s="9"/>
    </row>
    <row r="37653">
      <c r="D37653" s="9"/>
      <c r="G37653" s="9"/>
      <c r="J37653" s="11"/>
      <c r="U37653" s="9"/>
      <c r="X37653" s="9"/>
    </row>
    <row r="37654">
      <c r="D37654" s="9"/>
      <c r="G37654" s="9"/>
      <c r="J37654" s="11"/>
      <c r="U37654" s="9"/>
      <c r="X37654" s="9"/>
    </row>
    <row r="37655">
      <c r="D37655" s="9"/>
      <c r="G37655" s="9"/>
      <c r="J37655" s="11"/>
      <c r="U37655" s="9"/>
      <c r="X37655" s="9"/>
    </row>
    <row r="37656">
      <c r="D37656" s="9"/>
      <c r="G37656" s="9"/>
      <c r="J37656" s="11"/>
      <c r="U37656" s="9"/>
      <c r="X37656" s="9"/>
    </row>
    <row r="37657">
      <c r="D37657" s="9"/>
      <c r="G37657" s="9"/>
      <c r="J37657" s="11"/>
      <c r="U37657" s="9"/>
      <c r="X37657" s="9"/>
    </row>
    <row r="37658">
      <c r="D37658" s="9"/>
      <c r="G37658" s="9"/>
      <c r="J37658" s="11"/>
      <c r="U37658" s="9"/>
      <c r="X37658" s="9"/>
    </row>
    <row r="37659">
      <c r="D37659" s="9"/>
      <c r="G37659" s="9"/>
      <c r="J37659" s="11"/>
      <c r="U37659" s="9"/>
      <c r="X37659" s="9"/>
    </row>
    <row r="37660">
      <c r="D37660" s="9"/>
      <c r="G37660" s="9"/>
      <c r="J37660" s="11"/>
      <c r="U37660" s="9"/>
      <c r="X37660" s="9"/>
    </row>
    <row r="37661">
      <c r="D37661" s="9"/>
      <c r="G37661" s="9"/>
      <c r="J37661" s="11"/>
      <c r="U37661" s="9"/>
      <c r="X37661" s="9"/>
    </row>
    <row r="37662">
      <c r="D37662" s="9"/>
      <c r="G37662" s="9"/>
      <c r="J37662" s="11"/>
      <c r="U37662" s="9"/>
      <c r="X37662" s="9"/>
    </row>
    <row r="37663">
      <c r="D37663" s="9"/>
      <c r="G37663" s="9"/>
      <c r="J37663" s="11"/>
      <c r="U37663" s="9"/>
      <c r="X37663" s="9"/>
    </row>
    <row r="37664">
      <c r="D37664" s="9"/>
      <c r="G37664" s="9"/>
      <c r="J37664" s="11"/>
      <c r="U37664" s="9"/>
      <c r="X37664" s="9"/>
    </row>
    <row r="37665">
      <c r="D37665" s="9"/>
      <c r="G37665" s="9"/>
      <c r="J37665" s="11"/>
      <c r="U37665" s="9"/>
      <c r="X37665" s="9"/>
    </row>
    <row r="37666">
      <c r="D37666" s="9"/>
      <c r="G37666" s="9"/>
      <c r="J37666" s="11"/>
      <c r="U37666" s="9"/>
      <c r="X37666" s="9"/>
    </row>
    <row r="37667">
      <c r="D37667" s="9"/>
      <c r="G37667" s="9"/>
      <c r="J37667" s="11"/>
      <c r="U37667" s="9"/>
      <c r="X37667" s="9"/>
    </row>
    <row r="37668">
      <c r="D37668" s="9"/>
      <c r="G37668" s="9"/>
      <c r="J37668" s="11"/>
      <c r="U37668" s="9"/>
      <c r="X37668" s="9"/>
    </row>
    <row r="37669">
      <c r="D37669" s="9"/>
      <c r="G37669" s="9"/>
      <c r="J37669" s="11"/>
      <c r="U37669" s="9"/>
      <c r="X37669" s="9"/>
    </row>
    <row r="37670">
      <c r="D37670" s="9"/>
      <c r="G37670" s="9"/>
      <c r="J37670" s="11"/>
      <c r="U37670" s="9"/>
      <c r="X37670" s="9"/>
    </row>
    <row r="37671">
      <c r="D37671" s="9"/>
      <c r="G37671" s="9"/>
      <c r="J37671" s="11"/>
      <c r="U37671" s="9"/>
      <c r="X37671" s="9"/>
    </row>
    <row r="37672">
      <c r="D37672" s="9"/>
      <c r="G37672" s="9"/>
      <c r="J37672" s="11"/>
      <c r="U37672" s="9"/>
      <c r="X37672" s="9"/>
    </row>
    <row r="37673">
      <c r="D37673" s="9"/>
      <c r="G37673" s="9"/>
      <c r="J37673" s="11"/>
      <c r="U37673" s="9"/>
      <c r="X37673" s="9"/>
    </row>
    <row r="37674">
      <c r="D37674" s="9"/>
      <c r="G37674" s="9"/>
      <c r="J37674" s="11"/>
      <c r="U37674" s="9"/>
      <c r="X37674" s="9"/>
    </row>
    <row r="37675">
      <c r="D37675" s="9"/>
      <c r="G37675" s="9"/>
      <c r="J37675" s="11"/>
      <c r="U37675" s="9"/>
      <c r="X37675" s="9"/>
    </row>
    <row r="37676">
      <c r="D37676" s="9"/>
      <c r="G37676" s="9"/>
      <c r="J37676" s="11"/>
      <c r="U37676" s="9"/>
      <c r="X37676" s="9"/>
    </row>
    <row r="37677">
      <c r="D37677" s="9"/>
      <c r="G37677" s="9"/>
      <c r="J37677" s="11"/>
      <c r="U37677" s="9"/>
      <c r="X37677" s="9"/>
    </row>
    <row r="37678">
      <c r="D37678" s="9"/>
      <c r="G37678" s="9"/>
      <c r="J37678" s="11"/>
      <c r="U37678" s="9"/>
      <c r="X37678" s="9"/>
    </row>
    <row r="37679">
      <c r="D37679" s="9"/>
      <c r="G37679" s="9"/>
      <c r="J37679" s="11"/>
      <c r="U37679" s="9"/>
      <c r="X37679" s="9"/>
    </row>
    <row r="37680">
      <c r="D37680" s="9"/>
      <c r="G37680" s="9"/>
      <c r="J37680" s="11"/>
      <c r="U37680" s="9"/>
      <c r="X37680" s="9"/>
    </row>
    <row r="37681">
      <c r="D37681" s="9"/>
      <c r="G37681" s="9"/>
      <c r="J37681" s="11"/>
      <c r="U37681" s="9"/>
      <c r="X37681" s="9"/>
    </row>
    <row r="37682">
      <c r="D37682" s="9"/>
      <c r="G37682" s="9"/>
      <c r="J37682" s="11"/>
      <c r="U37682" s="9"/>
      <c r="X37682" s="9"/>
    </row>
    <row r="37683">
      <c r="D37683" s="9"/>
      <c r="G37683" s="9"/>
      <c r="J37683" s="11"/>
      <c r="U37683" s="9"/>
      <c r="X37683" s="9"/>
    </row>
    <row r="37684">
      <c r="D37684" s="9"/>
      <c r="G37684" s="9"/>
      <c r="J37684" s="11"/>
      <c r="U37684" s="9"/>
      <c r="X37684" s="9"/>
    </row>
    <row r="37685">
      <c r="D37685" s="9"/>
      <c r="G37685" s="9"/>
      <c r="J37685" s="11"/>
      <c r="U37685" s="9"/>
      <c r="X37685" s="9"/>
    </row>
    <row r="37686">
      <c r="D37686" s="9"/>
      <c r="G37686" s="9"/>
      <c r="J37686" s="11"/>
      <c r="U37686" s="9"/>
      <c r="X37686" s="9"/>
    </row>
    <row r="37687">
      <c r="D37687" s="9"/>
      <c r="G37687" s="9"/>
      <c r="J37687" s="11"/>
      <c r="U37687" s="9"/>
      <c r="X37687" s="9"/>
    </row>
    <row r="37688">
      <c r="D37688" s="9"/>
      <c r="G37688" s="9"/>
      <c r="J37688" s="11"/>
      <c r="U37688" s="9"/>
      <c r="X37688" s="9"/>
    </row>
    <row r="37689">
      <c r="D37689" s="9"/>
      <c r="G37689" s="9"/>
      <c r="J37689" s="11"/>
      <c r="U37689" s="9"/>
      <c r="X37689" s="9"/>
    </row>
    <row r="37690">
      <c r="D37690" s="9"/>
      <c r="G37690" s="9"/>
      <c r="J37690" s="11"/>
      <c r="U37690" s="9"/>
      <c r="X37690" s="9"/>
    </row>
    <row r="37691">
      <c r="D37691" s="9"/>
      <c r="G37691" s="9"/>
      <c r="J37691" s="11"/>
      <c r="U37691" s="9"/>
      <c r="X37691" s="9"/>
    </row>
    <row r="37692">
      <c r="D37692" s="9"/>
      <c r="G37692" s="9"/>
      <c r="J37692" s="11"/>
      <c r="U37692" s="9"/>
      <c r="X37692" s="9"/>
    </row>
    <row r="37693">
      <c r="D37693" s="9"/>
      <c r="G37693" s="9"/>
      <c r="J37693" s="11"/>
      <c r="U37693" s="9"/>
      <c r="X37693" s="9"/>
    </row>
    <row r="37694">
      <c r="D37694" s="9"/>
      <c r="G37694" s="9"/>
      <c r="J37694" s="11"/>
      <c r="U37694" s="9"/>
      <c r="X37694" s="9"/>
    </row>
    <row r="37695">
      <c r="D37695" s="9"/>
      <c r="G37695" s="9"/>
      <c r="J37695" s="11"/>
      <c r="U37695" s="9"/>
      <c r="X37695" s="9"/>
    </row>
    <row r="37696">
      <c r="D37696" s="9"/>
      <c r="G37696" s="9"/>
      <c r="J37696" s="11"/>
      <c r="U37696" s="9"/>
      <c r="X37696" s="9"/>
    </row>
    <row r="37697">
      <c r="D37697" s="9"/>
      <c r="G37697" s="9"/>
      <c r="J37697" s="11"/>
      <c r="U37697" s="9"/>
      <c r="X37697" s="9"/>
    </row>
    <row r="37698">
      <c r="D37698" s="9"/>
      <c r="G37698" s="9"/>
      <c r="J37698" s="11"/>
      <c r="U37698" s="9"/>
      <c r="X37698" s="9"/>
    </row>
    <row r="37699">
      <c r="D37699" s="9"/>
      <c r="G37699" s="9"/>
      <c r="J37699" s="11"/>
      <c r="U37699" s="9"/>
      <c r="X37699" s="9"/>
    </row>
    <row r="37700">
      <c r="D37700" s="9"/>
      <c r="G37700" s="9"/>
      <c r="J37700" s="11"/>
      <c r="U37700" s="9"/>
      <c r="X37700" s="9"/>
    </row>
    <row r="37701">
      <c r="D37701" s="9"/>
      <c r="G37701" s="9"/>
      <c r="J37701" s="11"/>
      <c r="U37701" s="9"/>
      <c r="X37701" s="9"/>
    </row>
    <row r="37702">
      <c r="D37702" s="9"/>
      <c r="G37702" s="9"/>
      <c r="J37702" s="11"/>
      <c r="U37702" s="9"/>
      <c r="X37702" s="9"/>
    </row>
    <row r="37703">
      <c r="D37703" s="9"/>
      <c r="G37703" s="9"/>
      <c r="J37703" s="11"/>
      <c r="U37703" s="9"/>
      <c r="X37703" s="9"/>
    </row>
    <row r="37704">
      <c r="D37704" s="9"/>
      <c r="G37704" s="9"/>
      <c r="J37704" s="11"/>
      <c r="U37704" s="9"/>
      <c r="X37704" s="9"/>
    </row>
    <row r="37705">
      <c r="D37705" s="9"/>
      <c r="G37705" s="9"/>
      <c r="J37705" s="11"/>
      <c r="U37705" s="9"/>
      <c r="X37705" s="9"/>
    </row>
    <row r="37706">
      <c r="D37706" s="9"/>
      <c r="G37706" s="9"/>
      <c r="J37706" s="11"/>
      <c r="U37706" s="9"/>
      <c r="X37706" s="9"/>
    </row>
    <row r="37707">
      <c r="D37707" s="9"/>
      <c r="G37707" s="9"/>
      <c r="J37707" s="11"/>
      <c r="U37707" s="9"/>
      <c r="X37707" s="9"/>
    </row>
    <row r="37708">
      <c r="D37708" s="9"/>
      <c r="G37708" s="9"/>
      <c r="J37708" s="11"/>
      <c r="U37708" s="9"/>
      <c r="X37708" s="9"/>
    </row>
    <row r="37709">
      <c r="D37709" s="9"/>
      <c r="G37709" s="9"/>
      <c r="J37709" s="11"/>
      <c r="U37709" s="9"/>
      <c r="X37709" s="9"/>
    </row>
    <row r="37710">
      <c r="D37710" s="9"/>
      <c r="G37710" s="9"/>
      <c r="J37710" s="11"/>
      <c r="U37710" s="9"/>
      <c r="X37710" s="9"/>
    </row>
    <row r="37711">
      <c r="D37711" s="9"/>
      <c r="G37711" s="9"/>
      <c r="J37711" s="11"/>
      <c r="U37711" s="9"/>
      <c r="X37711" s="9"/>
    </row>
    <row r="37712">
      <c r="D37712" s="9"/>
      <c r="G37712" s="9"/>
      <c r="J37712" s="11"/>
      <c r="U37712" s="9"/>
      <c r="X37712" s="9"/>
    </row>
    <row r="37713">
      <c r="D37713" s="9"/>
      <c r="G37713" s="9"/>
      <c r="J37713" s="11"/>
      <c r="U37713" s="9"/>
      <c r="X37713" s="9"/>
    </row>
    <row r="37714">
      <c r="D37714" s="9"/>
      <c r="G37714" s="9"/>
      <c r="J37714" s="11"/>
      <c r="U37714" s="9"/>
      <c r="X37714" s="9"/>
    </row>
    <row r="37715">
      <c r="D37715" s="9"/>
      <c r="G37715" s="9"/>
      <c r="J37715" s="11"/>
      <c r="U37715" s="9"/>
      <c r="X37715" s="9"/>
    </row>
    <row r="37716">
      <c r="D37716" s="9"/>
      <c r="G37716" s="9"/>
      <c r="J37716" s="11"/>
      <c r="U37716" s="9"/>
      <c r="X37716" s="9"/>
    </row>
    <row r="37717">
      <c r="D37717" s="9"/>
      <c r="G37717" s="9"/>
      <c r="J37717" s="11"/>
      <c r="U37717" s="9"/>
      <c r="X37717" s="9"/>
    </row>
    <row r="37718">
      <c r="D37718" s="9"/>
      <c r="G37718" s="9"/>
      <c r="J37718" s="11"/>
      <c r="U37718" s="9"/>
      <c r="X37718" s="9"/>
    </row>
    <row r="37719">
      <c r="D37719" s="9"/>
      <c r="G37719" s="9"/>
      <c r="J37719" s="11"/>
      <c r="U37719" s="9"/>
      <c r="X37719" s="9"/>
    </row>
    <row r="37720">
      <c r="D37720" s="9"/>
      <c r="G37720" s="9"/>
      <c r="J37720" s="11"/>
      <c r="U37720" s="9"/>
      <c r="X37720" s="9"/>
    </row>
    <row r="37721">
      <c r="D37721" s="9"/>
      <c r="G37721" s="9"/>
      <c r="J37721" s="11"/>
      <c r="U37721" s="9"/>
      <c r="X37721" s="9"/>
    </row>
    <row r="37722">
      <c r="D37722" s="9"/>
      <c r="G37722" s="9"/>
      <c r="J37722" s="11"/>
      <c r="U37722" s="9"/>
      <c r="X37722" s="9"/>
    </row>
    <row r="37723">
      <c r="D37723" s="9"/>
      <c r="G37723" s="9"/>
      <c r="J37723" s="11"/>
      <c r="U37723" s="9"/>
      <c r="X37723" s="9"/>
    </row>
    <row r="37724">
      <c r="D37724" s="9"/>
      <c r="G37724" s="9"/>
      <c r="J37724" s="11"/>
      <c r="U37724" s="9"/>
      <c r="X37724" s="9"/>
    </row>
    <row r="37725">
      <c r="D37725" s="9"/>
      <c r="G37725" s="9"/>
      <c r="J37725" s="11"/>
      <c r="U37725" s="9"/>
      <c r="X37725" s="9"/>
    </row>
    <row r="37726">
      <c r="D37726" s="9"/>
      <c r="G37726" s="9"/>
      <c r="J37726" s="11"/>
      <c r="U37726" s="9"/>
      <c r="X37726" s="9"/>
    </row>
    <row r="37727">
      <c r="D37727" s="9"/>
      <c r="G37727" s="9"/>
      <c r="J37727" s="11"/>
      <c r="U37727" s="9"/>
      <c r="X37727" s="9"/>
    </row>
    <row r="37728">
      <c r="D37728" s="9"/>
      <c r="G37728" s="9"/>
      <c r="J37728" s="11"/>
      <c r="U37728" s="9"/>
      <c r="X37728" s="9"/>
    </row>
    <row r="37729">
      <c r="D37729" s="9"/>
      <c r="G37729" s="9"/>
      <c r="J37729" s="11"/>
      <c r="U37729" s="9"/>
      <c r="X37729" s="9"/>
    </row>
    <row r="37730">
      <c r="D37730" s="9"/>
      <c r="G37730" s="9"/>
      <c r="J37730" s="11"/>
      <c r="U37730" s="9"/>
      <c r="X37730" s="9"/>
    </row>
    <row r="37731">
      <c r="D37731" s="9"/>
      <c r="G37731" s="9"/>
      <c r="J37731" s="11"/>
      <c r="U37731" s="9"/>
      <c r="X37731" s="9"/>
    </row>
    <row r="37732">
      <c r="D37732" s="9"/>
      <c r="G37732" s="9"/>
      <c r="J37732" s="11"/>
      <c r="U37732" s="9"/>
      <c r="X37732" s="9"/>
    </row>
    <row r="37733">
      <c r="D37733" s="9"/>
      <c r="G37733" s="9"/>
      <c r="J37733" s="11"/>
      <c r="U37733" s="9"/>
      <c r="X37733" s="9"/>
    </row>
    <row r="37734">
      <c r="D37734" s="9"/>
      <c r="G37734" s="9"/>
      <c r="J37734" s="11"/>
      <c r="U37734" s="9"/>
      <c r="X37734" s="9"/>
    </row>
    <row r="37735">
      <c r="D37735" s="9"/>
      <c r="G37735" s="9"/>
      <c r="J37735" s="11"/>
      <c r="U37735" s="9"/>
      <c r="X37735" s="9"/>
    </row>
    <row r="37736">
      <c r="D37736" s="9"/>
      <c r="G37736" s="9"/>
      <c r="J37736" s="11"/>
      <c r="U37736" s="9"/>
      <c r="X37736" s="9"/>
    </row>
    <row r="37737">
      <c r="D37737" s="9"/>
      <c r="G37737" s="9"/>
      <c r="J37737" s="11"/>
      <c r="U37737" s="9"/>
      <c r="X37737" s="9"/>
    </row>
    <row r="37738">
      <c r="D37738" s="9"/>
      <c r="G37738" s="9"/>
      <c r="J37738" s="11"/>
      <c r="U37738" s="9"/>
      <c r="X37738" s="9"/>
    </row>
    <row r="37739">
      <c r="D37739" s="9"/>
      <c r="G37739" s="9"/>
      <c r="J37739" s="11"/>
      <c r="U37739" s="9"/>
      <c r="X37739" s="9"/>
    </row>
    <row r="37740">
      <c r="D37740" s="9"/>
      <c r="G37740" s="9"/>
      <c r="J37740" s="11"/>
      <c r="U37740" s="9"/>
      <c r="X37740" s="9"/>
    </row>
    <row r="37741">
      <c r="D37741" s="9"/>
      <c r="G37741" s="9"/>
      <c r="J37741" s="11"/>
      <c r="U37741" s="9"/>
      <c r="X37741" s="9"/>
    </row>
    <row r="37742">
      <c r="D37742" s="9"/>
      <c r="G37742" s="9"/>
      <c r="J37742" s="11"/>
      <c r="U37742" s="9"/>
      <c r="X37742" s="9"/>
    </row>
    <row r="37743">
      <c r="D37743" s="9"/>
      <c r="G37743" s="9"/>
      <c r="J37743" s="11"/>
      <c r="U37743" s="9"/>
      <c r="X37743" s="9"/>
    </row>
    <row r="37744">
      <c r="D37744" s="9"/>
      <c r="G37744" s="9"/>
      <c r="J37744" s="11"/>
      <c r="U37744" s="9"/>
      <c r="X37744" s="9"/>
    </row>
    <row r="37745">
      <c r="D37745" s="9"/>
      <c r="G37745" s="9"/>
      <c r="J37745" s="11"/>
      <c r="U37745" s="9"/>
      <c r="X37745" s="9"/>
    </row>
    <row r="37746">
      <c r="D37746" s="9"/>
      <c r="G37746" s="9"/>
      <c r="J37746" s="11"/>
      <c r="U37746" s="9"/>
      <c r="X37746" s="9"/>
    </row>
    <row r="37747">
      <c r="D37747" s="9"/>
      <c r="G37747" s="9"/>
      <c r="J37747" s="11"/>
      <c r="U37747" s="9"/>
      <c r="X37747" s="9"/>
    </row>
    <row r="37748">
      <c r="D37748" s="9"/>
      <c r="G37748" s="9"/>
      <c r="J37748" s="11"/>
      <c r="U37748" s="9"/>
      <c r="X37748" s="9"/>
    </row>
    <row r="37749">
      <c r="D37749" s="9"/>
      <c r="G37749" s="9"/>
      <c r="J37749" s="11"/>
      <c r="U37749" s="9"/>
      <c r="X37749" s="9"/>
    </row>
    <row r="37750">
      <c r="D37750" s="9"/>
      <c r="G37750" s="9"/>
      <c r="J37750" s="11"/>
      <c r="U37750" s="9"/>
      <c r="X37750" s="9"/>
    </row>
    <row r="37751">
      <c r="D37751" s="9"/>
      <c r="G37751" s="9"/>
      <c r="J37751" s="11"/>
      <c r="U37751" s="9"/>
      <c r="X37751" s="9"/>
    </row>
    <row r="37752">
      <c r="D37752" s="9"/>
      <c r="G37752" s="9"/>
      <c r="J37752" s="11"/>
      <c r="U37752" s="9"/>
      <c r="X37752" s="9"/>
    </row>
    <row r="37753">
      <c r="D37753" s="9"/>
      <c r="G37753" s="9"/>
      <c r="J37753" s="11"/>
      <c r="U37753" s="9"/>
      <c r="X37753" s="9"/>
    </row>
    <row r="37754">
      <c r="D37754" s="9"/>
      <c r="G37754" s="9"/>
      <c r="J37754" s="11"/>
      <c r="U37754" s="9"/>
      <c r="X37754" s="9"/>
    </row>
    <row r="37755">
      <c r="D37755" s="9"/>
      <c r="G37755" s="9"/>
      <c r="J37755" s="11"/>
      <c r="U37755" s="9"/>
      <c r="X37755" s="9"/>
    </row>
    <row r="37756">
      <c r="D37756" s="9"/>
      <c r="G37756" s="9"/>
      <c r="J37756" s="11"/>
      <c r="U37756" s="9"/>
      <c r="X37756" s="9"/>
    </row>
    <row r="37757">
      <c r="D37757" s="9"/>
      <c r="G37757" s="9"/>
      <c r="J37757" s="11"/>
      <c r="U37757" s="9"/>
      <c r="X37757" s="9"/>
    </row>
    <row r="37758">
      <c r="D37758" s="9"/>
      <c r="G37758" s="9"/>
      <c r="J37758" s="11"/>
      <c r="U37758" s="9"/>
      <c r="X37758" s="9"/>
    </row>
    <row r="37759">
      <c r="D37759" s="9"/>
      <c r="G37759" s="9"/>
      <c r="J37759" s="11"/>
      <c r="U37759" s="9"/>
      <c r="X37759" s="9"/>
    </row>
    <row r="37760">
      <c r="D37760" s="9"/>
      <c r="G37760" s="9"/>
      <c r="J37760" s="11"/>
      <c r="U37760" s="9"/>
      <c r="X37760" s="9"/>
    </row>
    <row r="37761">
      <c r="D37761" s="9"/>
      <c r="G37761" s="9"/>
      <c r="J37761" s="11"/>
      <c r="U37761" s="9"/>
      <c r="X37761" s="9"/>
    </row>
    <row r="37762">
      <c r="D37762" s="9"/>
      <c r="G37762" s="9"/>
      <c r="J37762" s="11"/>
      <c r="U37762" s="9"/>
      <c r="X37762" s="9"/>
    </row>
    <row r="37763">
      <c r="D37763" s="9"/>
      <c r="G37763" s="9"/>
      <c r="J37763" s="11"/>
      <c r="U37763" s="9"/>
      <c r="X37763" s="9"/>
    </row>
    <row r="37764">
      <c r="D37764" s="9"/>
      <c r="G37764" s="9"/>
      <c r="J37764" s="11"/>
      <c r="U37764" s="9"/>
      <c r="X37764" s="9"/>
    </row>
    <row r="37765">
      <c r="D37765" s="9"/>
      <c r="G37765" s="9"/>
      <c r="J37765" s="11"/>
      <c r="U37765" s="9"/>
      <c r="X37765" s="9"/>
    </row>
    <row r="37766">
      <c r="D37766" s="9"/>
      <c r="G37766" s="9"/>
      <c r="J37766" s="11"/>
      <c r="U37766" s="9"/>
      <c r="X37766" s="9"/>
    </row>
    <row r="37767">
      <c r="D37767" s="9"/>
      <c r="G37767" s="9"/>
      <c r="J37767" s="11"/>
      <c r="U37767" s="9"/>
      <c r="X37767" s="9"/>
    </row>
    <row r="37768">
      <c r="D37768" s="9"/>
      <c r="G37768" s="9"/>
      <c r="J37768" s="11"/>
      <c r="U37768" s="9"/>
      <c r="X37768" s="9"/>
    </row>
    <row r="37769">
      <c r="D37769" s="9"/>
      <c r="G37769" s="9"/>
      <c r="J37769" s="11"/>
      <c r="U37769" s="9"/>
      <c r="X37769" s="9"/>
    </row>
    <row r="37770">
      <c r="D37770" s="9"/>
      <c r="G37770" s="9"/>
      <c r="J37770" s="11"/>
      <c r="U37770" s="9"/>
      <c r="X37770" s="9"/>
    </row>
    <row r="37771">
      <c r="D37771" s="9"/>
      <c r="G37771" s="9"/>
      <c r="J37771" s="11"/>
      <c r="U37771" s="9"/>
      <c r="X37771" s="9"/>
    </row>
    <row r="37772">
      <c r="D37772" s="9"/>
      <c r="G37772" s="9"/>
      <c r="J37772" s="11"/>
      <c r="U37772" s="9"/>
      <c r="X37772" s="9"/>
    </row>
    <row r="37773">
      <c r="D37773" s="9"/>
      <c r="G37773" s="9"/>
      <c r="J37773" s="11"/>
      <c r="U37773" s="9"/>
      <c r="X37773" s="9"/>
    </row>
    <row r="37774">
      <c r="D37774" s="9"/>
      <c r="G37774" s="9"/>
      <c r="J37774" s="11"/>
      <c r="U37774" s="9"/>
      <c r="X37774" s="9"/>
    </row>
    <row r="37775">
      <c r="D37775" s="9"/>
      <c r="G37775" s="9"/>
      <c r="J37775" s="11"/>
      <c r="U37775" s="9"/>
      <c r="X37775" s="9"/>
    </row>
    <row r="37776">
      <c r="D37776" s="9"/>
      <c r="G37776" s="9"/>
      <c r="J37776" s="11"/>
      <c r="U37776" s="9"/>
      <c r="X37776" s="9"/>
    </row>
    <row r="37777">
      <c r="D37777" s="9"/>
      <c r="G37777" s="9"/>
      <c r="J37777" s="11"/>
      <c r="U37777" s="9"/>
      <c r="X37777" s="9"/>
    </row>
    <row r="37778">
      <c r="D37778" s="9"/>
      <c r="G37778" s="9"/>
      <c r="J37778" s="11"/>
      <c r="U37778" s="9"/>
      <c r="X37778" s="9"/>
    </row>
    <row r="37779">
      <c r="D37779" s="9"/>
      <c r="G37779" s="9"/>
      <c r="J37779" s="11"/>
      <c r="U37779" s="9"/>
      <c r="X37779" s="9"/>
    </row>
    <row r="37780">
      <c r="D37780" s="9"/>
      <c r="G37780" s="9"/>
      <c r="J37780" s="11"/>
      <c r="U37780" s="9"/>
      <c r="X37780" s="9"/>
    </row>
    <row r="37781">
      <c r="D37781" s="9"/>
      <c r="G37781" s="9"/>
      <c r="J37781" s="11"/>
      <c r="U37781" s="9"/>
      <c r="X37781" s="9"/>
    </row>
    <row r="37782">
      <c r="D37782" s="9"/>
      <c r="G37782" s="9"/>
      <c r="J37782" s="11"/>
      <c r="U37782" s="9"/>
      <c r="X37782" s="9"/>
    </row>
    <row r="37783">
      <c r="D37783" s="9"/>
      <c r="G37783" s="9"/>
      <c r="J37783" s="11"/>
      <c r="U37783" s="9"/>
      <c r="X37783" s="9"/>
    </row>
    <row r="37784">
      <c r="D37784" s="9"/>
      <c r="G37784" s="9"/>
      <c r="J37784" s="11"/>
      <c r="U37784" s="9"/>
      <c r="X37784" s="9"/>
    </row>
    <row r="37785">
      <c r="D37785" s="9"/>
      <c r="G37785" s="9"/>
      <c r="J37785" s="11"/>
      <c r="U37785" s="9"/>
      <c r="X37785" s="9"/>
    </row>
    <row r="37786">
      <c r="D37786" s="9"/>
      <c r="G37786" s="9"/>
      <c r="J37786" s="11"/>
      <c r="U37786" s="9"/>
      <c r="X37786" s="9"/>
    </row>
    <row r="37787">
      <c r="D37787" s="9"/>
      <c r="G37787" s="9"/>
      <c r="J37787" s="11"/>
      <c r="U37787" s="9"/>
      <c r="X37787" s="9"/>
    </row>
    <row r="37788">
      <c r="D37788" s="9"/>
      <c r="G37788" s="9"/>
      <c r="J37788" s="11"/>
      <c r="U37788" s="9"/>
      <c r="X37788" s="9"/>
    </row>
    <row r="37789">
      <c r="D37789" s="9"/>
      <c r="G37789" s="9"/>
      <c r="J37789" s="11"/>
      <c r="U37789" s="9"/>
      <c r="X37789" s="9"/>
    </row>
    <row r="37790">
      <c r="D37790" s="9"/>
      <c r="G37790" s="9"/>
      <c r="J37790" s="11"/>
      <c r="U37790" s="9"/>
      <c r="X37790" s="9"/>
    </row>
    <row r="37791">
      <c r="D37791" s="9"/>
      <c r="G37791" s="9"/>
      <c r="J37791" s="11"/>
      <c r="U37791" s="9"/>
      <c r="X37791" s="9"/>
    </row>
    <row r="37792">
      <c r="D37792" s="9"/>
      <c r="G37792" s="9"/>
      <c r="J37792" s="11"/>
      <c r="U37792" s="9"/>
      <c r="X37792" s="9"/>
    </row>
    <row r="37793">
      <c r="D37793" s="9"/>
      <c r="G37793" s="9"/>
      <c r="J37793" s="11"/>
      <c r="U37793" s="9"/>
      <c r="X37793" s="9"/>
    </row>
    <row r="37794">
      <c r="D37794" s="9"/>
      <c r="G37794" s="9"/>
      <c r="J37794" s="11"/>
      <c r="U37794" s="9"/>
      <c r="X37794" s="9"/>
    </row>
    <row r="37795">
      <c r="D37795" s="9"/>
      <c r="G37795" s="9"/>
      <c r="J37795" s="11"/>
      <c r="U37795" s="9"/>
      <c r="X37795" s="9"/>
    </row>
    <row r="37796">
      <c r="D37796" s="9"/>
      <c r="G37796" s="9"/>
      <c r="J37796" s="11"/>
      <c r="U37796" s="9"/>
      <c r="X37796" s="9"/>
    </row>
    <row r="37797">
      <c r="D37797" s="9"/>
      <c r="G37797" s="9"/>
      <c r="J37797" s="11"/>
      <c r="U37797" s="9"/>
      <c r="X37797" s="9"/>
    </row>
    <row r="37798">
      <c r="D37798" s="9"/>
      <c r="G37798" s="9"/>
      <c r="J37798" s="11"/>
      <c r="U37798" s="9"/>
      <c r="X37798" s="9"/>
    </row>
    <row r="37799">
      <c r="D37799" s="9"/>
      <c r="G37799" s="9"/>
      <c r="J37799" s="11"/>
      <c r="U37799" s="9"/>
      <c r="X37799" s="9"/>
    </row>
    <row r="37800">
      <c r="D37800" s="9"/>
      <c r="G37800" s="9"/>
      <c r="J37800" s="11"/>
      <c r="U37800" s="9"/>
      <c r="X37800" s="9"/>
    </row>
    <row r="37801">
      <c r="D37801" s="9"/>
      <c r="G37801" s="9"/>
      <c r="J37801" s="11"/>
      <c r="U37801" s="9"/>
      <c r="X37801" s="9"/>
    </row>
    <row r="37802">
      <c r="D37802" s="9"/>
      <c r="G37802" s="9"/>
      <c r="J37802" s="11"/>
      <c r="U37802" s="9"/>
      <c r="X37802" s="9"/>
    </row>
    <row r="37803">
      <c r="D37803" s="9"/>
      <c r="G37803" s="9"/>
      <c r="J37803" s="11"/>
      <c r="U37803" s="9"/>
      <c r="X37803" s="9"/>
    </row>
    <row r="37804">
      <c r="D37804" s="9"/>
      <c r="G37804" s="9"/>
      <c r="J37804" s="11"/>
      <c r="U37804" s="9"/>
      <c r="X37804" s="9"/>
    </row>
    <row r="37805">
      <c r="D37805" s="9"/>
      <c r="G37805" s="9"/>
      <c r="J37805" s="11"/>
      <c r="U37805" s="9"/>
      <c r="X37805" s="9"/>
    </row>
    <row r="37806">
      <c r="D37806" s="9"/>
      <c r="G37806" s="9"/>
      <c r="J37806" s="11"/>
      <c r="U37806" s="9"/>
      <c r="X37806" s="9"/>
    </row>
    <row r="37807">
      <c r="D37807" s="9"/>
      <c r="G37807" s="9"/>
      <c r="J37807" s="11"/>
      <c r="U37807" s="9"/>
      <c r="X37807" s="9"/>
    </row>
    <row r="37808">
      <c r="D37808" s="9"/>
      <c r="G37808" s="9"/>
      <c r="J37808" s="11"/>
      <c r="U37808" s="9"/>
      <c r="X37808" s="9"/>
    </row>
    <row r="37809">
      <c r="D37809" s="9"/>
      <c r="G37809" s="9"/>
      <c r="J37809" s="11"/>
      <c r="U37809" s="9"/>
      <c r="X37809" s="9"/>
    </row>
    <row r="37810">
      <c r="D37810" s="9"/>
      <c r="G37810" s="9"/>
      <c r="J37810" s="11"/>
      <c r="U37810" s="9"/>
      <c r="X37810" s="9"/>
    </row>
    <row r="37811">
      <c r="D37811" s="9"/>
      <c r="G37811" s="9"/>
      <c r="J37811" s="11"/>
      <c r="U37811" s="9"/>
      <c r="X37811" s="9"/>
    </row>
    <row r="37812">
      <c r="D37812" s="9"/>
      <c r="G37812" s="9"/>
      <c r="J37812" s="11"/>
      <c r="U37812" s="9"/>
      <c r="X37812" s="9"/>
    </row>
    <row r="37813">
      <c r="D37813" s="9"/>
      <c r="G37813" s="9"/>
      <c r="J37813" s="11"/>
      <c r="U37813" s="9"/>
      <c r="X37813" s="9"/>
    </row>
    <row r="37814">
      <c r="D37814" s="9"/>
      <c r="G37814" s="9"/>
      <c r="J37814" s="11"/>
      <c r="U37814" s="9"/>
      <c r="X37814" s="9"/>
    </row>
    <row r="37815">
      <c r="D37815" s="9"/>
      <c r="G37815" s="9"/>
      <c r="J37815" s="11"/>
      <c r="U37815" s="9"/>
      <c r="X37815" s="9"/>
    </row>
    <row r="37816">
      <c r="D37816" s="9"/>
      <c r="G37816" s="9"/>
      <c r="J37816" s="11"/>
      <c r="U37816" s="9"/>
      <c r="X37816" s="9"/>
    </row>
    <row r="37817">
      <c r="D37817" s="9"/>
      <c r="G37817" s="9"/>
      <c r="J37817" s="11"/>
      <c r="U37817" s="9"/>
      <c r="X37817" s="9"/>
    </row>
    <row r="37818">
      <c r="D37818" s="9"/>
      <c r="G37818" s="9"/>
      <c r="J37818" s="11"/>
      <c r="U37818" s="9"/>
      <c r="X37818" s="9"/>
    </row>
    <row r="37819">
      <c r="D37819" s="9"/>
      <c r="G37819" s="9"/>
      <c r="J37819" s="11"/>
      <c r="U37819" s="9"/>
      <c r="X37819" s="9"/>
    </row>
    <row r="37820">
      <c r="D37820" s="9"/>
      <c r="G37820" s="9"/>
      <c r="J37820" s="11"/>
      <c r="U37820" s="9"/>
      <c r="X37820" s="9"/>
    </row>
    <row r="37821">
      <c r="D37821" s="9"/>
      <c r="G37821" s="9"/>
      <c r="J37821" s="11"/>
      <c r="U37821" s="9"/>
      <c r="X37821" s="9"/>
    </row>
    <row r="37822">
      <c r="D37822" s="9"/>
      <c r="G37822" s="9"/>
      <c r="J37822" s="11"/>
      <c r="U37822" s="9"/>
      <c r="X37822" s="9"/>
    </row>
    <row r="37823">
      <c r="D37823" s="9"/>
      <c r="G37823" s="9"/>
      <c r="J37823" s="11"/>
      <c r="U37823" s="9"/>
      <c r="X37823" s="9"/>
    </row>
    <row r="37824">
      <c r="D37824" s="9"/>
      <c r="G37824" s="9"/>
      <c r="J37824" s="11"/>
      <c r="U37824" s="9"/>
      <c r="X37824" s="9"/>
    </row>
    <row r="37825">
      <c r="D37825" s="9"/>
      <c r="G37825" s="9"/>
      <c r="J37825" s="11"/>
      <c r="U37825" s="9"/>
      <c r="X37825" s="9"/>
    </row>
    <row r="37826">
      <c r="D37826" s="9"/>
      <c r="G37826" s="9"/>
      <c r="J37826" s="11"/>
      <c r="U37826" s="9"/>
      <c r="X37826" s="9"/>
    </row>
    <row r="37827">
      <c r="D37827" s="9"/>
      <c r="G37827" s="9"/>
      <c r="J37827" s="11"/>
      <c r="U37827" s="9"/>
      <c r="X37827" s="9"/>
    </row>
    <row r="37828">
      <c r="D37828" s="9"/>
      <c r="G37828" s="9"/>
      <c r="J37828" s="11"/>
      <c r="U37828" s="9"/>
      <c r="X37828" s="9"/>
    </row>
    <row r="37829">
      <c r="D37829" s="9"/>
      <c r="G37829" s="9"/>
      <c r="J37829" s="11"/>
      <c r="U37829" s="9"/>
      <c r="X37829" s="9"/>
    </row>
    <row r="37830">
      <c r="D37830" s="9"/>
      <c r="G37830" s="9"/>
      <c r="J37830" s="11"/>
      <c r="U37830" s="9"/>
      <c r="X37830" s="9"/>
    </row>
    <row r="37831">
      <c r="D37831" s="9"/>
      <c r="G37831" s="9"/>
      <c r="J37831" s="11"/>
      <c r="U37831" s="9"/>
      <c r="X37831" s="9"/>
    </row>
    <row r="37832">
      <c r="D37832" s="9"/>
      <c r="G37832" s="9"/>
      <c r="J37832" s="11"/>
      <c r="U37832" s="9"/>
      <c r="X37832" s="9"/>
    </row>
    <row r="37833">
      <c r="D37833" s="9"/>
      <c r="G37833" s="9"/>
      <c r="J37833" s="11"/>
      <c r="U37833" s="9"/>
      <c r="X37833" s="9"/>
    </row>
    <row r="37834">
      <c r="D37834" s="9"/>
      <c r="G37834" s="9"/>
      <c r="J37834" s="11"/>
      <c r="U37834" s="9"/>
      <c r="X37834" s="9"/>
    </row>
    <row r="37835">
      <c r="D37835" s="9"/>
      <c r="G37835" s="9"/>
      <c r="J37835" s="11"/>
      <c r="U37835" s="9"/>
      <c r="X37835" s="9"/>
    </row>
    <row r="37836">
      <c r="D37836" s="9"/>
      <c r="G37836" s="9"/>
      <c r="J37836" s="11"/>
      <c r="U37836" s="9"/>
      <c r="X37836" s="9"/>
    </row>
    <row r="37837">
      <c r="D37837" s="9"/>
      <c r="G37837" s="9"/>
      <c r="J37837" s="11"/>
      <c r="U37837" s="9"/>
      <c r="X37837" s="9"/>
    </row>
    <row r="37838">
      <c r="D37838" s="9"/>
      <c r="G37838" s="9"/>
      <c r="J37838" s="11"/>
      <c r="U37838" s="9"/>
      <c r="X37838" s="9"/>
    </row>
    <row r="37839">
      <c r="D37839" s="9"/>
      <c r="G37839" s="9"/>
      <c r="J37839" s="11"/>
      <c r="U37839" s="9"/>
      <c r="X37839" s="9"/>
    </row>
    <row r="37840">
      <c r="D37840" s="9"/>
      <c r="G37840" s="9"/>
      <c r="J37840" s="11"/>
      <c r="U37840" s="9"/>
      <c r="X37840" s="9"/>
    </row>
    <row r="37841">
      <c r="D37841" s="9"/>
      <c r="G37841" s="9"/>
      <c r="J37841" s="11"/>
      <c r="U37841" s="9"/>
      <c r="X37841" s="9"/>
    </row>
    <row r="37842">
      <c r="D37842" s="9"/>
      <c r="G37842" s="9"/>
      <c r="J37842" s="11"/>
      <c r="U37842" s="9"/>
      <c r="X37842" s="9"/>
    </row>
    <row r="37843">
      <c r="D37843" s="9"/>
      <c r="G37843" s="9"/>
      <c r="J37843" s="11"/>
      <c r="U37843" s="9"/>
      <c r="X37843" s="9"/>
    </row>
    <row r="37844">
      <c r="D37844" s="9"/>
      <c r="G37844" s="9"/>
      <c r="J37844" s="11"/>
      <c r="U37844" s="9"/>
      <c r="X37844" s="9"/>
    </row>
    <row r="37845">
      <c r="D37845" s="9"/>
      <c r="G37845" s="9"/>
      <c r="J37845" s="11"/>
      <c r="U37845" s="9"/>
      <c r="X37845" s="9"/>
    </row>
    <row r="37846">
      <c r="D37846" s="9"/>
      <c r="G37846" s="9"/>
      <c r="J37846" s="11"/>
      <c r="U37846" s="9"/>
      <c r="X37846" s="9"/>
    </row>
    <row r="37847">
      <c r="D37847" s="9"/>
      <c r="G37847" s="9"/>
      <c r="J37847" s="11"/>
      <c r="U37847" s="9"/>
      <c r="X37847" s="9"/>
    </row>
    <row r="37848">
      <c r="D37848" s="9"/>
      <c r="G37848" s="9"/>
      <c r="J37848" s="11"/>
      <c r="U37848" s="9"/>
      <c r="X37848" s="9"/>
    </row>
    <row r="37849">
      <c r="D37849" s="9"/>
      <c r="G37849" s="9"/>
      <c r="J37849" s="11"/>
      <c r="U37849" s="9"/>
      <c r="X37849" s="9"/>
    </row>
    <row r="37850">
      <c r="D37850" s="9"/>
      <c r="G37850" s="9"/>
      <c r="J37850" s="11"/>
      <c r="U37850" s="9"/>
      <c r="X37850" s="9"/>
    </row>
    <row r="37851">
      <c r="D37851" s="9"/>
      <c r="G37851" s="9"/>
      <c r="J37851" s="11"/>
      <c r="U37851" s="9"/>
      <c r="X37851" s="9"/>
    </row>
    <row r="37852">
      <c r="D37852" s="9"/>
      <c r="G37852" s="9"/>
      <c r="J37852" s="11"/>
      <c r="U37852" s="9"/>
      <c r="X37852" s="9"/>
    </row>
    <row r="37853">
      <c r="D37853" s="9"/>
      <c r="G37853" s="9"/>
      <c r="J37853" s="11"/>
      <c r="U37853" s="9"/>
      <c r="X37853" s="9"/>
    </row>
    <row r="37854">
      <c r="D37854" s="9"/>
      <c r="G37854" s="9"/>
      <c r="J37854" s="11"/>
      <c r="U37854" s="9"/>
      <c r="X37854" s="9"/>
    </row>
    <row r="37855">
      <c r="D37855" s="9"/>
      <c r="G37855" s="9"/>
      <c r="J37855" s="11"/>
      <c r="U37855" s="9"/>
      <c r="X37855" s="9"/>
    </row>
    <row r="37856">
      <c r="D37856" s="9"/>
      <c r="G37856" s="9"/>
      <c r="J37856" s="11"/>
      <c r="U37856" s="9"/>
      <c r="X37856" s="9"/>
    </row>
    <row r="37857">
      <c r="D37857" s="9"/>
      <c r="G37857" s="9"/>
      <c r="J37857" s="11"/>
      <c r="U37857" s="9"/>
      <c r="X37857" s="9"/>
    </row>
    <row r="37858">
      <c r="D37858" s="9"/>
      <c r="G37858" s="9"/>
      <c r="J37858" s="11"/>
      <c r="U37858" s="9"/>
      <c r="X37858" s="9"/>
    </row>
    <row r="37859">
      <c r="D37859" s="9"/>
      <c r="G37859" s="9"/>
      <c r="J37859" s="11"/>
      <c r="U37859" s="9"/>
      <c r="X37859" s="9"/>
    </row>
    <row r="37860">
      <c r="D37860" s="9"/>
      <c r="G37860" s="9"/>
      <c r="J37860" s="11"/>
      <c r="U37860" s="9"/>
      <c r="X37860" s="9"/>
    </row>
    <row r="37861">
      <c r="D37861" s="9"/>
      <c r="G37861" s="9"/>
      <c r="J37861" s="11"/>
      <c r="U37861" s="9"/>
      <c r="X37861" s="9"/>
    </row>
    <row r="37862">
      <c r="D37862" s="9"/>
      <c r="G37862" s="9"/>
      <c r="J37862" s="11"/>
      <c r="U37862" s="9"/>
      <c r="X37862" s="9"/>
    </row>
    <row r="37863">
      <c r="D37863" s="9"/>
      <c r="G37863" s="9"/>
      <c r="J37863" s="11"/>
      <c r="U37863" s="9"/>
      <c r="X37863" s="9"/>
    </row>
    <row r="37864">
      <c r="D37864" s="9"/>
      <c r="G37864" s="9"/>
      <c r="J37864" s="11"/>
      <c r="U37864" s="9"/>
      <c r="X37864" s="9"/>
    </row>
    <row r="37865">
      <c r="D37865" s="9"/>
      <c r="G37865" s="9"/>
      <c r="J37865" s="11"/>
      <c r="U37865" s="9"/>
      <c r="X37865" s="9"/>
    </row>
    <row r="37866">
      <c r="D37866" s="9"/>
      <c r="G37866" s="9"/>
      <c r="J37866" s="11"/>
      <c r="U37866" s="9"/>
      <c r="X37866" s="9"/>
    </row>
    <row r="37867">
      <c r="D37867" s="9"/>
      <c r="G37867" s="9"/>
      <c r="J37867" s="11"/>
      <c r="U37867" s="9"/>
      <c r="X37867" s="9"/>
    </row>
    <row r="37868">
      <c r="D37868" s="9"/>
      <c r="G37868" s="9"/>
      <c r="J37868" s="11"/>
      <c r="U37868" s="9"/>
      <c r="X37868" s="9"/>
    </row>
    <row r="37869">
      <c r="D37869" s="9"/>
      <c r="G37869" s="9"/>
      <c r="J37869" s="11"/>
      <c r="U37869" s="9"/>
      <c r="X37869" s="9"/>
    </row>
    <row r="37870">
      <c r="D37870" s="9"/>
      <c r="G37870" s="9"/>
      <c r="J37870" s="11"/>
      <c r="U37870" s="9"/>
      <c r="X37870" s="9"/>
    </row>
    <row r="37871">
      <c r="D37871" s="9"/>
      <c r="G37871" s="9"/>
      <c r="J37871" s="11"/>
      <c r="U37871" s="9"/>
      <c r="X37871" s="9"/>
    </row>
    <row r="37872">
      <c r="D37872" s="9"/>
      <c r="G37872" s="9"/>
      <c r="J37872" s="11"/>
      <c r="U37872" s="9"/>
      <c r="X37872" s="9"/>
    </row>
    <row r="37873">
      <c r="D37873" s="9"/>
      <c r="G37873" s="9"/>
      <c r="J37873" s="11"/>
      <c r="U37873" s="9"/>
      <c r="X37873" s="9"/>
    </row>
    <row r="37874">
      <c r="D37874" s="9"/>
      <c r="G37874" s="9"/>
      <c r="J37874" s="11"/>
      <c r="U37874" s="9"/>
      <c r="X37874" s="9"/>
    </row>
    <row r="37875">
      <c r="D37875" s="9"/>
      <c r="G37875" s="9"/>
      <c r="J37875" s="11"/>
      <c r="U37875" s="9"/>
      <c r="X37875" s="9"/>
    </row>
    <row r="37876">
      <c r="D37876" s="9"/>
      <c r="G37876" s="9"/>
      <c r="J37876" s="11"/>
      <c r="U37876" s="9"/>
      <c r="X37876" s="9"/>
    </row>
    <row r="37877">
      <c r="D37877" s="9"/>
      <c r="G37877" s="9"/>
      <c r="J37877" s="11"/>
      <c r="U37877" s="9"/>
      <c r="X37877" s="9"/>
    </row>
    <row r="37878">
      <c r="D37878" s="9"/>
      <c r="G37878" s="9"/>
      <c r="J37878" s="11"/>
      <c r="U37878" s="9"/>
      <c r="X37878" s="9"/>
    </row>
    <row r="37879">
      <c r="D37879" s="9"/>
      <c r="G37879" s="9"/>
      <c r="J37879" s="11"/>
      <c r="U37879" s="9"/>
      <c r="X37879" s="9"/>
    </row>
    <row r="37880">
      <c r="D37880" s="9"/>
      <c r="G37880" s="9"/>
      <c r="J37880" s="11"/>
      <c r="U37880" s="9"/>
      <c r="X37880" s="9"/>
    </row>
    <row r="37881">
      <c r="D37881" s="9"/>
      <c r="G37881" s="9"/>
      <c r="J37881" s="11"/>
      <c r="U37881" s="9"/>
      <c r="X37881" s="9"/>
    </row>
    <row r="37882">
      <c r="D37882" s="9"/>
      <c r="G37882" s="9"/>
      <c r="J37882" s="11"/>
      <c r="U37882" s="9"/>
      <c r="X37882" s="9"/>
    </row>
    <row r="37883">
      <c r="D37883" s="9"/>
      <c r="G37883" s="9"/>
      <c r="J37883" s="11"/>
      <c r="U37883" s="9"/>
      <c r="X37883" s="9"/>
    </row>
    <row r="37884">
      <c r="D37884" s="9"/>
      <c r="G37884" s="9"/>
      <c r="J37884" s="11"/>
      <c r="U37884" s="9"/>
      <c r="X37884" s="9"/>
    </row>
    <row r="37885">
      <c r="D37885" s="9"/>
      <c r="G37885" s="9"/>
      <c r="J37885" s="11"/>
      <c r="U37885" s="9"/>
      <c r="X37885" s="9"/>
    </row>
    <row r="37886">
      <c r="D37886" s="9"/>
      <c r="G37886" s="9"/>
      <c r="J37886" s="11"/>
      <c r="U37886" s="9"/>
      <c r="X37886" s="9"/>
    </row>
    <row r="37887">
      <c r="D37887" s="9"/>
      <c r="G37887" s="9"/>
      <c r="J37887" s="11"/>
      <c r="U37887" s="9"/>
      <c r="X37887" s="9"/>
    </row>
    <row r="37888">
      <c r="D37888" s="9"/>
      <c r="G37888" s="9"/>
      <c r="J37888" s="11"/>
      <c r="U37888" s="9"/>
      <c r="X37888" s="9"/>
    </row>
    <row r="37889">
      <c r="D37889" s="9"/>
      <c r="G37889" s="9"/>
      <c r="J37889" s="11"/>
      <c r="U37889" s="9"/>
      <c r="X37889" s="9"/>
    </row>
    <row r="37890">
      <c r="D37890" s="9"/>
      <c r="G37890" s="9"/>
      <c r="J37890" s="11"/>
      <c r="U37890" s="9"/>
      <c r="X37890" s="9"/>
    </row>
    <row r="37891">
      <c r="D37891" s="9"/>
      <c r="G37891" s="9"/>
      <c r="J37891" s="11"/>
      <c r="U37891" s="9"/>
      <c r="X37891" s="9"/>
    </row>
    <row r="37892">
      <c r="D37892" s="9"/>
      <c r="G37892" s="9"/>
      <c r="J37892" s="11"/>
      <c r="U37892" s="9"/>
      <c r="X37892" s="9"/>
    </row>
    <row r="37893">
      <c r="D37893" s="9"/>
      <c r="G37893" s="9"/>
      <c r="J37893" s="11"/>
      <c r="U37893" s="9"/>
      <c r="X37893" s="9"/>
    </row>
    <row r="37894">
      <c r="D37894" s="9"/>
      <c r="G37894" s="9"/>
      <c r="J37894" s="11"/>
      <c r="U37894" s="9"/>
      <c r="X37894" s="9"/>
    </row>
    <row r="37895">
      <c r="D37895" s="9"/>
      <c r="G37895" s="9"/>
      <c r="J37895" s="11"/>
      <c r="U37895" s="9"/>
      <c r="X37895" s="9"/>
    </row>
    <row r="37896">
      <c r="D37896" s="9"/>
      <c r="G37896" s="9"/>
      <c r="J37896" s="11"/>
      <c r="U37896" s="9"/>
      <c r="X37896" s="9"/>
    </row>
    <row r="37897">
      <c r="D37897" s="9"/>
      <c r="G37897" s="9"/>
      <c r="J37897" s="11"/>
      <c r="U37897" s="9"/>
      <c r="X37897" s="9"/>
    </row>
    <row r="37898">
      <c r="D37898" s="9"/>
      <c r="G37898" s="9"/>
      <c r="J37898" s="11"/>
      <c r="U37898" s="9"/>
      <c r="X37898" s="9"/>
    </row>
    <row r="37899">
      <c r="D37899" s="9"/>
      <c r="G37899" s="9"/>
      <c r="J37899" s="11"/>
      <c r="U37899" s="9"/>
      <c r="X37899" s="9"/>
    </row>
    <row r="37900">
      <c r="D37900" s="9"/>
      <c r="G37900" s="9"/>
      <c r="J37900" s="11"/>
      <c r="U37900" s="9"/>
      <c r="X37900" s="9"/>
    </row>
    <row r="37901">
      <c r="D37901" s="9"/>
      <c r="G37901" s="9"/>
      <c r="J37901" s="11"/>
      <c r="U37901" s="9"/>
      <c r="X37901" s="9"/>
    </row>
    <row r="37902">
      <c r="D37902" s="9"/>
      <c r="G37902" s="9"/>
      <c r="J37902" s="11"/>
      <c r="U37902" s="9"/>
      <c r="X37902" s="9"/>
    </row>
    <row r="37903">
      <c r="D37903" s="9"/>
      <c r="G37903" s="9"/>
      <c r="J37903" s="11"/>
      <c r="U37903" s="9"/>
      <c r="X37903" s="9"/>
    </row>
    <row r="37904">
      <c r="D37904" s="9"/>
      <c r="G37904" s="9"/>
      <c r="J37904" s="11"/>
      <c r="U37904" s="9"/>
      <c r="X37904" s="9"/>
    </row>
    <row r="37905">
      <c r="D37905" s="9"/>
      <c r="G37905" s="9"/>
      <c r="J37905" s="11"/>
      <c r="U37905" s="9"/>
      <c r="X37905" s="9"/>
    </row>
    <row r="37906">
      <c r="D37906" s="9"/>
      <c r="G37906" s="9"/>
      <c r="J37906" s="11"/>
      <c r="U37906" s="9"/>
      <c r="X37906" s="9"/>
    </row>
    <row r="37907">
      <c r="D37907" s="9"/>
      <c r="G37907" s="9"/>
      <c r="J37907" s="11"/>
      <c r="U37907" s="9"/>
      <c r="X37907" s="9"/>
    </row>
    <row r="37908">
      <c r="D37908" s="9"/>
      <c r="G37908" s="9"/>
      <c r="J37908" s="11"/>
      <c r="U37908" s="9"/>
      <c r="X37908" s="9"/>
    </row>
    <row r="37909">
      <c r="D37909" s="9"/>
      <c r="G37909" s="9"/>
      <c r="J37909" s="11"/>
      <c r="U37909" s="9"/>
      <c r="X37909" s="9"/>
    </row>
    <row r="37910">
      <c r="D37910" s="9"/>
      <c r="G37910" s="9"/>
      <c r="J37910" s="11"/>
      <c r="U37910" s="9"/>
      <c r="X37910" s="9"/>
    </row>
    <row r="37911">
      <c r="D37911" s="9"/>
      <c r="G37911" s="9"/>
      <c r="J37911" s="11"/>
      <c r="U37911" s="9"/>
      <c r="X37911" s="9"/>
    </row>
    <row r="37912">
      <c r="D37912" s="9"/>
      <c r="G37912" s="9"/>
      <c r="J37912" s="11"/>
      <c r="U37912" s="9"/>
      <c r="X37912" s="9"/>
    </row>
    <row r="37913">
      <c r="D37913" s="9"/>
      <c r="G37913" s="9"/>
      <c r="J37913" s="11"/>
      <c r="U37913" s="9"/>
      <c r="X37913" s="9"/>
    </row>
    <row r="37914">
      <c r="D37914" s="9"/>
      <c r="G37914" s="9"/>
      <c r="J37914" s="11"/>
      <c r="U37914" s="9"/>
      <c r="X37914" s="9"/>
    </row>
    <row r="37915">
      <c r="D37915" s="9"/>
      <c r="G37915" s="9"/>
      <c r="J37915" s="11"/>
      <c r="U37915" s="9"/>
      <c r="X37915" s="9"/>
    </row>
    <row r="37916">
      <c r="D37916" s="9"/>
      <c r="G37916" s="9"/>
      <c r="J37916" s="11"/>
      <c r="U37916" s="9"/>
      <c r="X37916" s="9"/>
    </row>
    <row r="37917">
      <c r="D37917" s="9"/>
      <c r="G37917" s="9"/>
      <c r="J37917" s="11"/>
      <c r="U37917" s="9"/>
      <c r="X37917" s="9"/>
    </row>
    <row r="37918">
      <c r="D37918" s="9"/>
      <c r="G37918" s="9"/>
      <c r="J37918" s="11"/>
      <c r="U37918" s="9"/>
      <c r="X37918" s="9"/>
    </row>
    <row r="37919">
      <c r="D37919" s="9"/>
      <c r="G37919" s="9"/>
      <c r="J37919" s="11"/>
      <c r="U37919" s="9"/>
      <c r="X37919" s="9"/>
    </row>
    <row r="37920">
      <c r="D37920" s="9"/>
      <c r="G37920" s="9"/>
      <c r="J37920" s="11"/>
      <c r="U37920" s="9"/>
      <c r="X37920" s="9"/>
    </row>
    <row r="37921">
      <c r="D37921" s="9"/>
      <c r="G37921" s="9"/>
      <c r="J37921" s="11"/>
      <c r="U37921" s="9"/>
      <c r="X37921" s="9"/>
    </row>
    <row r="37922">
      <c r="D37922" s="9"/>
      <c r="G37922" s="9"/>
      <c r="J37922" s="11"/>
      <c r="U37922" s="9"/>
      <c r="X37922" s="9"/>
    </row>
    <row r="37923">
      <c r="D37923" s="9"/>
      <c r="G37923" s="9"/>
      <c r="J37923" s="11"/>
      <c r="U37923" s="9"/>
      <c r="X37923" s="9"/>
    </row>
    <row r="37924">
      <c r="D37924" s="9"/>
      <c r="G37924" s="9"/>
      <c r="J37924" s="11"/>
      <c r="U37924" s="9"/>
      <c r="X37924" s="9"/>
    </row>
    <row r="37925">
      <c r="D37925" s="9"/>
      <c r="G37925" s="9"/>
      <c r="J37925" s="11"/>
      <c r="U37925" s="9"/>
      <c r="X37925" s="9"/>
    </row>
    <row r="37926">
      <c r="D37926" s="9"/>
      <c r="G37926" s="9"/>
      <c r="J37926" s="11"/>
      <c r="U37926" s="9"/>
      <c r="X37926" s="9"/>
    </row>
    <row r="37927">
      <c r="D37927" s="9"/>
      <c r="G37927" s="9"/>
      <c r="J37927" s="11"/>
      <c r="U37927" s="9"/>
      <c r="X37927" s="9"/>
    </row>
    <row r="37928">
      <c r="D37928" s="9"/>
      <c r="G37928" s="9"/>
      <c r="J37928" s="11"/>
      <c r="U37928" s="9"/>
      <c r="X37928" s="9"/>
    </row>
    <row r="37929">
      <c r="D37929" s="9"/>
      <c r="G37929" s="9"/>
      <c r="J37929" s="11"/>
      <c r="U37929" s="9"/>
      <c r="X37929" s="9"/>
    </row>
    <row r="37930">
      <c r="D37930" s="9"/>
      <c r="G37930" s="9"/>
      <c r="J37930" s="11"/>
      <c r="U37930" s="9"/>
      <c r="X37930" s="9"/>
    </row>
    <row r="37931">
      <c r="D37931" s="9"/>
      <c r="G37931" s="9"/>
      <c r="J37931" s="11"/>
      <c r="U37931" s="9"/>
      <c r="X37931" s="9"/>
    </row>
    <row r="37932">
      <c r="D37932" s="9"/>
      <c r="G37932" s="9"/>
      <c r="J37932" s="11"/>
      <c r="U37932" s="9"/>
      <c r="X37932" s="9"/>
    </row>
    <row r="37933">
      <c r="D37933" s="9"/>
      <c r="G37933" s="9"/>
      <c r="J37933" s="11"/>
      <c r="U37933" s="9"/>
      <c r="X37933" s="9"/>
    </row>
    <row r="37934">
      <c r="D37934" s="9"/>
      <c r="G37934" s="9"/>
      <c r="J37934" s="11"/>
      <c r="U37934" s="9"/>
      <c r="X37934" s="9"/>
    </row>
    <row r="37935">
      <c r="D37935" s="9"/>
      <c r="G37935" s="9"/>
      <c r="J37935" s="11"/>
      <c r="U37935" s="9"/>
      <c r="X37935" s="9"/>
    </row>
    <row r="37936">
      <c r="D37936" s="9"/>
      <c r="G37936" s="9"/>
      <c r="J37936" s="11"/>
      <c r="U37936" s="9"/>
      <c r="X37936" s="9"/>
    </row>
    <row r="37937">
      <c r="D37937" s="9"/>
      <c r="G37937" s="9"/>
      <c r="J37937" s="11"/>
      <c r="U37937" s="9"/>
      <c r="X37937" s="9"/>
    </row>
    <row r="37938">
      <c r="D37938" s="9"/>
      <c r="G37938" s="9"/>
      <c r="J37938" s="11"/>
      <c r="U37938" s="9"/>
      <c r="X37938" s="9"/>
    </row>
    <row r="37939">
      <c r="D37939" s="9"/>
      <c r="G37939" s="9"/>
      <c r="J37939" s="11"/>
      <c r="U37939" s="9"/>
      <c r="X37939" s="9"/>
    </row>
    <row r="37940">
      <c r="D37940" s="9"/>
      <c r="G37940" s="9"/>
      <c r="J37940" s="11"/>
      <c r="U37940" s="9"/>
      <c r="X37940" s="9"/>
    </row>
    <row r="37941">
      <c r="D37941" s="9"/>
      <c r="G37941" s="9"/>
      <c r="J37941" s="11"/>
      <c r="U37941" s="9"/>
      <c r="X37941" s="9"/>
    </row>
    <row r="37942">
      <c r="D37942" s="9"/>
      <c r="G37942" s="9"/>
      <c r="J37942" s="11"/>
      <c r="U37942" s="9"/>
      <c r="X37942" s="9"/>
    </row>
    <row r="37943">
      <c r="D37943" s="9"/>
      <c r="G37943" s="9"/>
      <c r="J37943" s="11"/>
      <c r="U37943" s="9"/>
      <c r="X37943" s="9"/>
    </row>
    <row r="37944">
      <c r="D37944" s="9"/>
      <c r="G37944" s="9"/>
      <c r="J37944" s="11"/>
      <c r="U37944" s="9"/>
      <c r="X37944" s="9"/>
    </row>
    <row r="37945">
      <c r="D37945" s="9"/>
      <c r="G37945" s="9"/>
      <c r="J37945" s="11"/>
      <c r="U37945" s="9"/>
      <c r="X37945" s="9"/>
    </row>
    <row r="37946">
      <c r="D37946" s="9"/>
      <c r="G37946" s="9"/>
      <c r="J37946" s="11"/>
      <c r="U37946" s="9"/>
      <c r="X37946" s="9"/>
    </row>
    <row r="37947">
      <c r="D37947" s="9"/>
      <c r="G37947" s="9"/>
      <c r="J37947" s="11"/>
      <c r="U37947" s="9"/>
      <c r="X37947" s="9"/>
    </row>
    <row r="37948">
      <c r="D37948" s="9"/>
      <c r="G37948" s="9"/>
      <c r="J37948" s="11"/>
      <c r="U37948" s="9"/>
      <c r="X37948" s="9"/>
    </row>
    <row r="37949">
      <c r="D37949" s="9"/>
      <c r="G37949" s="9"/>
      <c r="J37949" s="11"/>
      <c r="U37949" s="9"/>
      <c r="X37949" s="9"/>
    </row>
    <row r="37950">
      <c r="D37950" s="9"/>
      <c r="G37950" s="9"/>
      <c r="J37950" s="11"/>
      <c r="U37950" s="9"/>
      <c r="X37950" s="9"/>
    </row>
    <row r="37951">
      <c r="D37951" s="9"/>
      <c r="G37951" s="9"/>
      <c r="J37951" s="11"/>
      <c r="U37951" s="9"/>
      <c r="X37951" s="9"/>
    </row>
    <row r="37952">
      <c r="D37952" s="9"/>
      <c r="G37952" s="9"/>
      <c r="J37952" s="11"/>
      <c r="U37952" s="9"/>
      <c r="X37952" s="9"/>
    </row>
    <row r="37953">
      <c r="D37953" s="9"/>
      <c r="G37953" s="9"/>
      <c r="J37953" s="11"/>
      <c r="U37953" s="9"/>
      <c r="X37953" s="9"/>
    </row>
    <row r="37954">
      <c r="D37954" s="9"/>
      <c r="G37954" s="9"/>
      <c r="J37954" s="11"/>
      <c r="U37954" s="9"/>
      <c r="X37954" s="9"/>
    </row>
    <row r="37955">
      <c r="D37955" s="9"/>
      <c r="G37955" s="9"/>
      <c r="J37955" s="11"/>
      <c r="U37955" s="9"/>
      <c r="X37955" s="9"/>
    </row>
    <row r="37956">
      <c r="D37956" s="9"/>
      <c r="G37956" s="9"/>
      <c r="J37956" s="11"/>
      <c r="U37956" s="9"/>
      <c r="X37956" s="9"/>
    </row>
    <row r="37957">
      <c r="D37957" s="9"/>
      <c r="G37957" s="9"/>
      <c r="J37957" s="11"/>
      <c r="U37957" s="9"/>
      <c r="X37957" s="9"/>
    </row>
    <row r="37958">
      <c r="D37958" s="9"/>
      <c r="G37958" s="9"/>
      <c r="J37958" s="11"/>
      <c r="U37958" s="9"/>
      <c r="X37958" s="9"/>
    </row>
    <row r="37959">
      <c r="D37959" s="9"/>
      <c r="G37959" s="9"/>
      <c r="J37959" s="11"/>
      <c r="U37959" s="9"/>
      <c r="X37959" s="9"/>
    </row>
    <row r="37960">
      <c r="D37960" s="9"/>
      <c r="G37960" s="9"/>
      <c r="J37960" s="11"/>
      <c r="U37960" s="9"/>
      <c r="X37960" s="9"/>
    </row>
    <row r="37961">
      <c r="D37961" s="9"/>
      <c r="G37961" s="9"/>
      <c r="J37961" s="11"/>
      <c r="U37961" s="9"/>
      <c r="X37961" s="9"/>
    </row>
    <row r="37962">
      <c r="D37962" s="9"/>
      <c r="G37962" s="9"/>
      <c r="J37962" s="11"/>
      <c r="U37962" s="9"/>
      <c r="X37962" s="9"/>
    </row>
    <row r="37963">
      <c r="D37963" s="9"/>
      <c r="G37963" s="9"/>
      <c r="J37963" s="11"/>
      <c r="U37963" s="9"/>
      <c r="X37963" s="9"/>
    </row>
    <row r="37964">
      <c r="D37964" s="9"/>
      <c r="G37964" s="9"/>
      <c r="J37964" s="11"/>
      <c r="U37964" s="9"/>
      <c r="X37964" s="9"/>
    </row>
    <row r="37965">
      <c r="D37965" s="9"/>
      <c r="G37965" s="9"/>
      <c r="J37965" s="11"/>
      <c r="U37965" s="9"/>
      <c r="X37965" s="9"/>
    </row>
    <row r="37966">
      <c r="D37966" s="9"/>
      <c r="G37966" s="9"/>
      <c r="J37966" s="11"/>
      <c r="U37966" s="9"/>
      <c r="X37966" s="9"/>
    </row>
    <row r="37967">
      <c r="D37967" s="9"/>
      <c r="G37967" s="9"/>
      <c r="J37967" s="11"/>
      <c r="U37967" s="9"/>
      <c r="X37967" s="9"/>
    </row>
    <row r="37968">
      <c r="D37968" s="9"/>
      <c r="G37968" s="9"/>
      <c r="J37968" s="11"/>
      <c r="U37968" s="9"/>
      <c r="X37968" s="9"/>
    </row>
    <row r="37969">
      <c r="D37969" s="9"/>
      <c r="G37969" s="9"/>
      <c r="J37969" s="11"/>
      <c r="U37969" s="9"/>
      <c r="X37969" s="9"/>
    </row>
    <row r="37970">
      <c r="D37970" s="9"/>
      <c r="G37970" s="9"/>
      <c r="J37970" s="11"/>
      <c r="U37970" s="9"/>
      <c r="X37970" s="9"/>
    </row>
    <row r="37971">
      <c r="D37971" s="9"/>
      <c r="G37971" s="9"/>
      <c r="J37971" s="11"/>
      <c r="U37971" s="9"/>
      <c r="X37971" s="9"/>
    </row>
    <row r="37972">
      <c r="D37972" s="9"/>
      <c r="G37972" s="9"/>
      <c r="J37972" s="11"/>
      <c r="U37972" s="9"/>
      <c r="X37972" s="9"/>
    </row>
    <row r="37973">
      <c r="D37973" s="9"/>
      <c r="G37973" s="9"/>
      <c r="J37973" s="11"/>
      <c r="U37973" s="9"/>
      <c r="X37973" s="9"/>
    </row>
    <row r="37974">
      <c r="D37974" s="9"/>
      <c r="G37974" s="9"/>
      <c r="J37974" s="11"/>
      <c r="U37974" s="9"/>
      <c r="X37974" s="9"/>
    </row>
    <row r="37975">
      <c r="D37975" s="9"/>
      <c r="G37975" s="9"/>
      <c r="J37975" s="11"/>
      <c r="U37975" s="9"/>
      <c r="X37975" s="9"/>
    </row>
    <row r="37976">
      <c r="D37976" s="9"/>
      <c r="G37976" s="9"/>
      <c r="J37976" s="11"/>
      <c r="U37976" s="9"/>
      <c r="X37976" s="9"/>
    </row>
    <row r="37977">
      <c r="D37977" s="9"/>
      <c r="G37977" s="9"/>
      <c r="J37977" s="11"/>
      <c r="U37977" s="9"/>
      <c r="X37977" s="9"/>
    </row>
    <row r="37978">
      <c r="D37978" s="9"/>
      <c r="G37978" s="9"/>
      <c r="J37978" s="11"/>
      <c r="U37978" s="9"/>
      <c r="X37978" s="9"/>
    </row>
    <row r="37979">
      <c r="D37979" s="9"/>
      <c r="G37979" s="9"/>
      <c r="J37979" s="11"/>
      <c r="U37979" s="9"/>
      <c r="X37979" s="9"/>
    </row>
    <row r="37980">
      <c r="D37980" s="9"/>
      <c r="G37980" s="9"/>
      <c r="J37980" s="11"/>
      <c r="U37980" s="9"/>
      <c r="X37980" s="9"/>
    </row>
    <row r="37981">
      <c r="D37981" s="9"/>
      <c r="G37981" s="9"/>
      <c r="J37981" s="11"/>
      <c r="U37981" s="9"/>
      <c r="X37981" s="9"/>
    </row>
    <row r="37982">
      <c r="D37982" s="9"/>
      <c r="G37982" s="9"/>
      <c r="J37982" s="11"/>
      <c r="U37982" s="9"/>
      <c r="X37982" s="9"/>
    </row>
    <row r="37983">
      <c r="D37983" s="9"/>
      <c r="G37983" s="9"/>
      <c r="J37983" s="11"/>
      <c r="U37983" s="9"/>
      <c r="X37983" s="9"/>
    </row>
    <row r="37984">
      <c r="D37984" s="9"/>
      <c r="G37984" s="9"/>
      <c r="J37984" s="11"/>
      <c r="U37984" s="9"/>
      <c r="X37984" s="9"/>
    </row>
    <row r="37985">
      <c r="D37985" s="9"/>
      <c r="G37985" s="9"/>
      <c r="J37985" s="11"/>
      <c r="U37985" s="9"/>
      <c r="X37985" s="9"/>
    </row>
    <row r="37986">
      <c r="D37986" s="9"/>
      <c r="G37986" s="9"/>
      <c r="J37986" s="11"/>
      <c r="U37986" s="9"/>
      <c r="X37986" s="9"/>
    </row>
    <row r="37987">
      <c r="D37987" s="9"/>
      <c r="G37987" s="9"/>
      <c r="J37987" s="11"/>
      <c r="U37987" s="9"/>
      <c r="X37987" s="9"/>
    </row>
    <row r="37988">
      <c r="D37988" s="9"/>
      <c r="G37988" s="9"/>
      <c r="J37988" s="11"/>
      <c r="U37988" s="9"/>
      <c r="X37988" s="9"/>
    </row>
    <row r="37989">
      <c r="D37989" s="9"/>
      <c r="G37989" s="9"/>
      <c r="J37989" s="11"/>
      <c r="U37989" s="9"/>
      <c r="X37989" s="9"/>
    </row>
    <row r="37990">
      <c r="D37990" s="9"/>
      <c r="G37990" s="9"/>
      <c r="J37990" s="11"/>
      <c r="U37990" s="9"/>
      <c r="X37990" s="9"/>
    </row>
    <row r="37991">
      <c r="D37991" s="9"/>
      <c r="G37991" s="9"/>
      <c r="J37991" s="11"/>
      <c r="U37991" s="9"/>
      <c r="X37991" s="9"/>
    </row>
    <row r="37992">
      <c r="D37992" s="9"/>
      <c r="G37992" s="9"/>
      <c r="J37992" s="11"/>
      <c r="U37992" s="9"/>
      <c r="X37992" s="9"/>
    </row>
    <row r="37993">
      <c r="D37993" s="9"/>
      <c r="G37993" s="9"/>
      <c r="J37993" s="11"/>
      <c r="U37993" s="9"/>
      <c r="X37993" s="9"/>
    </row>
    <row r="37994">
      <c r="D37994" s="9"/>
      <c r="G37994" s="9"/>
      <c r="J37994" s="11"/>
      <c r="U37994" s="9"/>
      <c r="X37994" s="9"/>
    </row>
    <row r="37995">
      <c r="D37995" s="9"/>
      <c r="G37995" s="9"/>
      <c r="J37995" s="11"/>
      <c r="U37995" s="9"/>
      <c r="X37995" s="9"/>
    </row>
    <row r="37996">
      <c r="D37996" s="9"/>
      <c r="G37996" s="9"/>
      <c r="J37996" s="11"/>
      <c r="U37996" s="9"/>
      <c r="X37996" s="9"/>
    </row>
    <row r="37997">
      <c r="D37997" s="9"/>
      <c r="G37997" s="9"/>
      <c r="J37997" s="11"/>
      <c r="U37997" s="9"/>
      <c r="X37997" s="9"/>
    </row>
    <row r="37998">
      <c r="D37998" s="9"/>
      <c r="G37998" s="9"/>
      <c r="J37998" s="11"/>
      <c r="U37998" s="9"/>
      <c r="X37998" s="9"/>
    </row>
    <row r="37999">
      <c r="D37999" s="9"/>
      <c r="G37999" s="9"/>
      <c r="J37999" s="11"/>
      <c r="U37999" s="9"/>
      <c r="X37999" s="9"/>
    </row>
    <row r="38000">
      <c r="D38000" s="9"/>
      <c r="G38000" s="9"/>
      <c r="J38000" s="11"/>
      <c r="U38000" s="9"/>
      <c r="X38000" s="9"/>
    </row>
    <row r="38001">
      <c r="D38001" s="9"/>
      <c r="G38001" s="9"/>
      <c r="J38001" s="11"/>
      <c r="U38001" s="9"/>
      <c r="X38001" s="9"/>
    </row>
    <row r="38002">
      <c r="D38002" s="9"/>
      <c r="G38002" s="9"/>
      <c r="J38002" s="11"/>
      <c r="U38002" s="9"/>
      <c r="X38002" s="9"/>
    </row>
    <row r="38003">
      <c r="D38003" s="9"/>
      <c r="G38003" s="9"/>
      <c r="J38003" s="11"/>
      <c r="U38003" s="9"/>
      <c r="X38003" s="9"/>
    </row>
    <row r="38004">
      <c r="D38004" s="9"/>
      <c r="G38004" s="9"/>
      <c r="J38004" s="11"/>
      <c r="U38004" s="9"/>
      <c r="X38004" s="9"/>
    </row>
    <row r="38005">
      <c r="D38005" s="9"/>
      <c r="G38005" s="9"/>
      <c r="J38005" s="11"/>
      <c r="U38005" s="9"/>
      <c r="X38005" s="9"/>
    </row>
    <row r="38006">
      <c r="D38006" s="9"/>
      <c r="G38006" s="9"/>
      <c r="J38006" s="11"/>
      <c r="U38006" s="9"/>
      <c r="X38006" s="9"/>
    </row>
    <row r="38007">
      <c r="D38007" s="9"/>
      <c r="G38007" s="9"/>
      <c r="J38007" s="11"/>
      <c r="U38007" s="9"/>
      <c r="X38007" s="9"/>
    </row>
    <row r="38008">
      <c r="D38008" s="9"/>
      <c r="G38008" s="9"/>
      <c r="J38008" s="11"/>
      <c r="U38008" s="9"/>
      <c r="X38008" s="9"/>
    </row>
    <row r="38009">
      <c r="D38009" s="9"/>
      <c r="G38009" s="9"/>
      <c r="J38009" s="11"/>
      <c r="U38009" s="9"/>
      <c r="X38009" s="9"/>
    </row>
    <row r="38010">
      <c r="D38010" s="9"/>
      <c r="G38010" s="9"/>
      <c r="J38010" s="11"/>
      <c r="U38010" s="9"/>
      <c r="X38010" s="9"/>
    </row>
    <row r="38011">
      <c r="D38011" s="9"/>
      <c r="G38011" s="9"/>
      <c r="J38011" s="11"/>
      <c r="U38011" s="9"/>
      <c r="X38011" s="9"/>
    </row>
    <row r="38012">
      <c r="D38012" s="9"/>
      <c r="G38012" s="9"/>
      <c r="J38012" s="11"/>
      <c r="U38012" s="9"/>
      <c r="X38012" s="9"/>
    </row>
    <row r="38013">
      <c r="D38013" s="9"/>
      <c r="G38013" s="9"/>
      <c r="J38013" s="11"/>
      <c r="U38013" s="9"/>
      <c r="X38013" s="9"/>
    </row>
    <row r="38014">
      <c r="D38014" s="9"/>
      <c r="G38014" s="9"/>
      <c r="J38014" s="11"/>
      <c r="U38014" s="9"/>
      <c r="X38014" s="9"/>
    </row>
    <row r="38015">
      <c r="D38015" s="9"/>
      <c r="G38015" s="9"/>
      <c r="J38015" s="11"/>
      <c r="U38015" s="9"/>
      <c r="X38015" s="9"/>
    </row>
    <row r="38016">
      <c r="D38016" s="9"/>
      <c r="G38016" s="9"/>
      <c r="J38016" s="11"/>
      <c r="U38016" s="9"/>
      <c r="X38016" s="9"/>
    </row>
    <row r="38017">
      <c r="D38017" s="9"/>
      <c r="G38017" s="9"/>
      <c r="J38017" s="11"/>
      <c r="U38017" s="9"/>
      <c r="X38017" s="9"/>
    </row>
    <row r="38018">
      <c r="D38018" s="9"/>
      <c r="G38018" s="9"/>
      <c r="J38018" s="11"/>
      <c r="U38018" s="9"/>
      <c r="X38018" s="9"/>
    </row>
    <row r="38019">
      <c r="D38019" s="9"/>
      <c r="G38019" s="9"/>
      <c r="J38019" s="11"/>
      <c r="U38019" s="9"/>
      <c r="X38019" s="9"/>
    </row>
    <row r="38020">
      <c r="D38020" s="9"/>
      <c r="G38020" s="9"/>
      <c r="J38020" s="11"/>
      <c r="U38020" s="9"/>
      <c r="X38020" s="9"/>
    </row>
    <row r="38021">
      <c r="D38021" s="9"/>
      <c r="G38021" s="9"/>
      <c r="J38021" s="11"/>
      <c r="U38021" s="9"/>
      <c r="X38021" s="9"/>
    </row>
    <row r="38022">
      <c r="D38022" s="9"/>
      <c r="G38022" s="9"/>
      <c r="J38022" s="11"/>
      <c r="U38022" s="9"/>
      <c r="X38022" s="9"/>
    </row>
    <row r="38023">
      <c r="D38023" s="9"/>
      <c r="G38023" s="9"/>
      <c r="J38023" s="11"/>
      <c r="U38023" s="9"/>
      <c r="X38023" s="9"/>
    </row>
    <row r="38024">
      <c r="D38024" s="9"/>
      <c r="G38024" s="9"/>
      <c r="J38024" s="11"/>
      <c r="U38024" s="9"/>
      <c r="X38024" s="9"/>
    </row>
    <row r="38025">
      <c r="D38025" s="9"/>
      <c r="G38025" s="9"/>
      <c r="J38025" s="11"/>
      <c r="U38025" s="9"/>
      <c r="X38025" s="9"/>
    </row>
    <row r="38026">
      <c r="D38026" s="9"/>
      <c r="G38026" s="9"/>
      <c r="J38026" s="11"/>
      <c r="U38026" s="9"/>
      <c r="X38026" s="9"/>
    </row>
    <row r="38027">
      <c r="D38027" s="9"/>
      <c r="G38027" s="9"/>
      <c r="J38027" s="11"/>
      <c r="U38027" s="9"/>
      <c r="X38027" s="9"/>
    </row>
    <row r="38028">
      <c r="D38028" s="9"/>
      <c r="G38028" s="9"/>
      <c r="J38028" s="11"/>
      <c r="U38028" s="9"/>
      <c r="X38028" s="9"/>
    </row>
    <row r="38029">
      <c r="D38029" s="9"/>
      <c r="G38029" s="9"/>
      <c r="J38029" s="11"/>
      <c r="U38029" s="9"/>
      <c r="X38029" s="9"/>
    </row>
    <row r="38030">
      <c r="D38030" s="9"/>
      <c r="G38030" s="9"/>
      <c r="J38030" s="11"/>
      <c r="U38030" s="9"/>
      <c r="X38030" s="9"/>
    </row>
    <row r="38031">
      <c r="D38031" s="9"/>
      <c r="G38031" s="9"/>
      <c r="J38031" s="11"/>
      <c r="U38031" s="9"/>
      <c r="X38031" s="9"/>
    </row>
    <row r="38032">
      <c r="D38032" s="9"/>
      <c r="G38032" s="9"/>
      <c r="J38032" s="11"/>
      <c r="U38032" s="9"/>
      <c r="X38032" s="9"/>
    </row>
    <row r="38033">
      <c r="D38033" s="9"/>
      <c r="G38033" s="9"/>
      <c r="J38033" s="11"/>
      <c r="U38033" s="9"/>
      <c r="X38033" s="9"/>
    </row>
    <row r="38034">
      <c r="D38034" s="9"/>
      <c r="G38034" s="9"/>
      <c r="J38034" s="11"/>
      <c r="U38034" s="9"/>
      <c r="X38034" s="9"/>
    </row>
    <row r="38035">
      <c r="D38035" s="9"/>
      <c r="G38035" s="9"/>
      <c r="J38035" s="11"/>
      <c r="U38035" s="9"/>
      <c r="X38035" s="9"/>
    </row>
    <row r="38036">
      <c r="D38036" s="9"/>
      <c r="G38036" s="9"/>
      <c r="J38036" s="11"/>
      <c r="U38036" s="9"/>
      <c r="X38036" s="9"/>
    </row>
    <row r="38037">
      <c r="D38037" s="9"/>
      <c r="G38037" s="9"/>
      <c r="J38037" s="11"/>
      <c r="U38037" s="9"/>
      <c r="X38037" s="9"/>
    </row>
    <row r="38038">
      <c r="D38038" s="9"/>
      <c r="G38038" s="9"/>
      <c r="J38038" s="11"/>
      <c r="U38038" s="9"/>
      <c r="X38038" s="9"/>
    </row>
    <row r="38039">
      <c r="D38039" s="9"/>
      <c r="G38039" s="9"/>
      <c r="J38039" s="11"/>
      <c r="U38039" s="9"/>
      <c r="X38039" s="9"/>
    </row>
    <row r="38040">
      <c r="D38040" s="9"/>
      <c r="G38040" s="9"/>
      <c r="J38040" s="11"/>
      <c r="U38040" s="9"/>
      <c r="X38040" s="9"/>
    </row>
    <row r="38041">
      <c r="D38041" s="9"/>
      <c r="G38041" s="9"/>
      <c r="J38041" s="11"/>
      <c r="U38041" s="9"/>
      <c r="X38041" s="9"/>
    </row>
    <row r="38042">
      <c r="D38042" s="9"/>
      <c r="G38042" s="9"/>
      <c r="J38042" s="11"/>
      <c r="U38042" s="9"/>
      <c r="X38042" s="9"/>
    </row>
    <row r="38043">
      <c r="D38043" s="9"/>
      <c r="G38043" s="9"/>
      <c r="J38043" s="11"/>
      <c r="U38043" s="9"/>
      <c r="X38043" s="9"/>
    </row>
    <row r="38044">
      <c r="D38044" s="9"/>
      <c r="G38044" s="9"/>
      <c r="J38044" s="11"/>
      <c r="U38044" s="9"/>
      <c r="X38044" s="9"/>
    </row>
    <row r="38045">
      <c r="D38045" s="9"/>
      <c r="G38045" s="9"/>
      <c r="J38045" s="11"/>
      <c r="U38045" s="9"/>
      <c r="X38045" s="9"/>
    </row>
    <row r="38046">
      <c r="D38046" s="9"/>
      <c r="G38046" s="9"/>
      <c r="J38046" s="11"/>
      <c r="U38046" s="9"/>
      <c r="X38046" s="9"/>
    </row>
    <row r="38047">
      <c r="D38047" s="9"/>
      <c r="G38047" s="9"/>
      <c r="J38047" s="11"/>
      <c r="U38047" s="9"/>
      <c r="X38047" s="9"/>
    </row>
    <row r="38048">
      <c r="D38048" s="9"/>
      <c r="G38048" s="9"/>
      <c r="J38048" s="11"/>
      <c r="U38048" s="9"/>
      <c r="X38048" s="9"/>
    </row>
    <row r="38049">
      <c r="D38049" s="9"/>
      <c r="G38049" s="9"/>
      <c r="J38049" s="11"/>
      <c r="U38049" s="9"/>
      <c r="X38049" s="9"/>
    </row>
    <row r="38050">
      <c r="D38050" s="9"/>
      <c r="G38050" s="9"/>
      <c r="J38050" s="11"/>
      <c r="U38050" s="9"/>
      <c r="X38050" s="9"/>
    </row>
    <row r="38051">
      <c r="D38051" s="9"/>
      <c r="G38051" s="9"/>
      <c r="J38051" s="11"/>
      <c r="U38051" s="9"/>
      <c r="X38051" s="9"/>
    </row>
    <row r="38052">
      <c r="D38052" s="9"/>
      <c r="G38052" s="9"/>
      <c r="J38052" s="11"/>
      <c r="U38052" s="9"/>
      <c r="X38052" s="9"/>
    </row>
    <row r="38053">
      <c r="D38053" s="9"/>
      <c r="G38053" s="9"/>
      <c r="J38053" s="11"/>
      <c r="U38053" s="9"/>
      <c r="X38053" s="9"/>
    </row>
    <row r="38054">
      <c r="D38054" s="9"/>
      <c r="G38054" s="9"/>
      <c r="J38054" s="11"/>
      <c r="U38054" s="9"/>
      <c r="X38054" s="9"/>
    </row>
    <row r="38055">
      <c r="D38055" s="9"/>
      <c r="G38055" s="9"/>
      <c r="J38055" s="11"/>
      <c r="U38055" s="9"/>
      <c r="X38055" s="9"/>
    </row>
    <row r="38056">
      <c r="D38056" s="9"/>
      <c r="G38056" s="9"/>
      <c r="J38056" s="11"/>
      <c r="U38056" s="9"/>
      <c r="X38056" s="9"/>
    </row>
    <row r="38057">
      <c r="D38057" s="9"/>
      <c r="G38057" s="9"/>
      <c r="J38057" s="11"/>
      <c r="U38057" s="9"/>
      <c r="X38057" s="9"/>
    </row>
    <row r="38058">
      <c r="D38058" s="9"/>
      <c r="G38058" s="9"/>
      <c r="J38058" s="11"/>
      <c r="U38058" s="9"/>
      <c r="X38058" s="9"/>
    </row>
    <row r="38059">
      <c r="D38059" s="9"/>
      <c r="G38059" s="9"/>
      <c r="J38059" s="11"/>
      <c r="U38059" s="9"/>
      <c r="X38059" s="9"/>
    </row>
    <row r="38060">
      <c r="D38060" s="9"/>
      <c r="G38060" s="9"/>
      <c r="J38060" s="11"/>
      <c r="U38060" s="9"/>
      <c r="X38060" s="9"/>
    </row>
    <row r="38061">
      <c r="D38061" s="9"/>
      <c r="G38061" s="9"/>
      <c r="J38061" s="11"/>
      <c r="U38061" s="9"/>
      <c r="X38061" s="9"/>
    </row>
    <row r="38062">
      <c r="D38062" s="9"/>
      <c r="G38062" s="9"/>
      <c r="J38062" s="11"/>
      <c r="U38062" s="9"/>
      <c r="X38062" s="9"/>
    </row>
    <row r="38063">
      <c r="D38063" s="9"/>
      <c r="G38063" s="9"/>
      <c r="J38063" s="11"/>
      <c r="U38063" s="9"/>
      <c r="X38063" s="9"/>
    </row>
    <row r="38064">
      <c r="D38064" s="9"/>
      <c r="G38064" s="9"/>
      <c r="J38064" s="11"/>
      <c r="U38064" s="9"/>
      <c r="X38064" s="9"/>
    </row>
    <row r="38065">
      <c r="D38065" s="9"/>
      <c r="G38065" s="9"/>
      <c r="J38065" s="11"/>
      <c r="U38065" s="9"/>
      <c r="X38065" s="9"/>
    </row>
    <row r="38066">
      <c r="D38066" s="9"/>
      <c r="G38066" s="9"/>
      <c r="J38066" s="11"/>
      <c r="U38066" s="9"/>
      <c r="X38066" s="9"/>
    </row>
    <row r="38067">
      <c r="D38067" s="9"/>
      <c r="G38067" s="9"/>
      <c r="J38067" s="11"/>
      <c r="U38067" s="9"/>
      <c r="X38067" s="9"/>
    </row>
    <row r="38068">
      <c r="D38068" s="9"/>
      <c r="G38068" s="9"/>
      <c r="J38068" s="11"/>
      <c r="U38068" s="9"/>
      <c r="X38068" s="9"/>
    </row>
    <row r="38069">
      <c r="D38069" s="9"/>
      <c r="G38069" s="9"/>
      <c r="J38069" s="11"/>
      <c r="U38069" s="9"/>
      <c r="X38069" s="9"/>
    </row>
    <row r="38070">
      <c r="D38070" s="9"/>
      <c r="G38070" s="9"/>
      <c r="J38070" s="11"/>
      <c r="U38070" s="9"/>
      <c r="X38070" s="9"/>
    </row>
    <row r="38071">
      <c r="D38071" s="9"/>
      <c r="G38071" s="9"/>
      <c r="J38071" s="11"/>
      <c r="U38071" s="9"/>
      <c r="X38071" s="9"/>
    </row>
    <row r="38072">
      <c r="D38072" s="9"/>
      <c r="G38072" s="9"/>
      <c r="J38072" s="11"/>
      <c r="U38072" s="9"/>
      <c r="X38072" s="9"/>
    </row>
    <row r="38073">
      <c r="D38073" s="9"/>
      <c r="G38073" s="9"/>
      <c r="J38073" s="11"/>
      <c r="U38073" s="9"/>
      <c r="X38073" s="9"/>
    </row>
    <row r="38074">
      <c r="D38074" s="9"/>
      <c r="G38074" s="9"/>
      <c r="J38074" s="11"/>
      <c r="U38074" s="9"/>
      <c r="X38074" s="9"/>
    </row>
    <row r="38075">
      <c r="D38075" s="9"/>
      <c r="G38075" s="9"/>
      <c r="J38075" s="11"/>
      <c r="U38075" s="9"/>
      <c r="X38075" s="9"/>
    </row>
    <row r="38076">
      <c r="D38076" s="9"/>
      <c r="G38076" s="9"/>
      <c r="J38076" s="11"/>
      <c r="U38076" s="9"/>
      <c r="X38076" s="9"/>
    </row>
    <row r="38077">
      <c r="D38077" s="9"/>
      <c r="G38077" s="9"/>
      <c r="J38077" s="11"/>
      <c r="U38077" s="9"/>
      <c r="X38077" s="9"/>
    </row>
    <row r="38078">
      <c r="D38078" s="9"/>
      <c r="G38078" s="9"/>
      <c r="J38078" s="11"/>
      <c r="U38078" s="9"/>
      <c r="X38078" s="9"/>
    </row>
    <row r="38079">
      <c r="D38079" s="9"/>
      <c r="G38079" s="9"/>
      <c r="J38079" s="11"/>
      <c r="U38079" s="9"/>
      <c r="X38079" s="9"/>
    </row>
    <row r="38080">
      <c r="D38080" s="9"/>
      <c r="G38080" s="9"/>
      <c r="J38080" s="11"/>
      <c r="U38080" s="9"/>
      <c r="X38080" s="9"/>
    </row>
    <row r="38081">
      <c r="D38081" s="9"/>
      <c r="G38081" s="9"/>
      <c r="J38081" s="11"/>
      <c r="U38081" s="9"/>
      <c r="X38081" s="9"/>
    </row>
    <row r="38082">
      <c r="D38082" s="9"/>
      <c r="G38082" s="9"/>
      <c r="J38082" s="11"/>
      <c r="U38082" s="9"/>
      <c r="X38082" s="9"/>
    </row>
    <row r="38083">
      <c r="D38083" s="9"/>
      <c r="G38083" s="9"/>
      <c r="J38083" s="11"/>
      <c r="U38083" s="9"/>
      <c r="X38083" s="9"/>
    </row>
    <row r="38084">
      <c r="D38084" s="9"/>
      <c r="G38084" s="9"/>
      <c r="J38084" s="11"/>
      <c r="U38084" s="9"/>
      <c r="X38084" s="9"/>
    </row>
    <row r="38085">
      <c r="D38085" s="9"/>
      <c r="G38085" s="9"/>
      <c r="J38085" s="11"/>
      <c r="U38085" s="9"/>
      <c r="X38085" s="9"/>
    </row>
    <row r="38086">
      <c r="D38086" s="9"/>
      <c r="G38086" s="9"/>
      <c r="J38086" s="11"/>
      <c r="U38086" s="9"/>
      <c r="X38086" s="9"/>
    </row>
    <row r="38087">
      <c r="D38087" s="9"/>
      <c r="G38087" s="9"/>
      <c r="J38087" s="11"/>
      <c r="U38087" s="9"/>
      <c r="X38087" s="9"/>
    </row>
    <row r="38088">
      <c r="D38088" s="9"/>
      <c r="G38088" s="9"/>
      <c r="J38088" s="11"/>
      <c r="U38088" s="9"/>
      <c r="X38088" s="9"/>
    </row>
    <row r="38089">
      <c r="D38089" s="9"/>
      <c r="G38089" s="9"/>
      <c r="J38089" s="11"/>
      <c r="U38089" s="9"/>
      <c r="X38089" s="9"/>
    </row>
    <row r="38090">
      <c r="D38090" s="9"/>
      <c r="G38090" s="9"/>
      <c r="J38090" s="11"/>
      <c r="U38090" s="9"/>
      <c r="X38090" s="9"/>
    </row>
    <row r="38091">
      <c r="D38091" s="9"/>
      <c r="G38091" s="9"/>
      <c r="J38091" s="11"/>
      <c r="U38091" s="9"/>
      <c r="X38091" s="9"/>
    </row>
    <row r="38092">
      <c r="D38092" s="9"/>
      <c r="G38092" s="9"/>
      <c r="J38092" s="11"/>
      <c r="U38092" s="9"/>
      <c r="X38092" s="9"/>
    </row>
    <row r="38093">
      <c r="D38093" s="9"/>
      <c r="G38093" s="9"/>
      <c r="J38093" s="11"/>
      <c r="U38093" s="9"/>
      <c r="X38093" s="9"/>
    </row>
    <row r="38094">
      <c r="D38094" s="9"/>
      <c r="G38094" s="9"/>
      <c r="J38094" s="11"/>
      <c r="U38094" s="9"/>
      <c r="X38094" s="9"/>
    </row>
    <row r="38095">
      <c r="D38095" s="9"/>
      <c r="G38095" s="9"/>
      <c r="J38095" s="11"/>
      <c r="U38095" s="9"/>
      <c r="X38095" s="9"/>
    </row>
    <row r="38096">
      <c r="D38096" s="9"/>
      <c r="G38096" s="9"/>
      <c r="J38096" s="11"/>
      <c r="U38096" s="9"/>
      <c r="X38096" s="9"/>
    </row>
    <row r="38097">
      <c r="D38097" s="9"/>
      <c r="G38097" s="9"/>
      <c r="J38097" s="11"/>
      <c r="U38097" s="9"/>
      <c r="X38097" s="9"/>
    </row>
    <row r="38098">
      <c r="D38098" s="9"/>
      <c r="G38098" s="9"/>
      <c r="J38098" s="11"/>
      <c r="U38098" s="9"/>
      <c r="X38098" s="9"/>
    </row>
    <row r="38099">
      <c r="D38099" s="9"/>
      <c r="G38099" s="9"/>
      <c r="J38099" s="11"/>
      <c r="U38099" s="9"/>
      <c r="X38099" s="9"/>
    </row>
    <row r="38100">
      <c r="D38100" s="9"/>
      <c r="G38100" s="9"/>
      <c r="J38100" s="11"/>
      <c r="U38100" s="9"/>
      <c r="X38100" s="9"/>
    </row>
    <row r="38101">
      <c r="D38101" s="9"/>
      <c r="G38101" s="9"/>
      <c r="J38101" s="11"/>
      <c r="U38101" s="9"/>
      <c r="X38101" s="9"/>
    </row>
    <row r="38102">
      <c r="D38102" s="9"/>
      <c r="G38102" s="9"/>
      <c r="J38102" s="11"/>
      <c r="U38102" s="9"/>
      <c r="X38102" s="9"/>
    </row>
    <row r="38103">
      <c r="D38103" s="9"/>
      <c r="G38103" s="9"/>
      <c r="J38103" s="11"/>
      <c r="U38103" s="9"/>
      <c r="X38103" s="9"/>
    </row>
    <row r="38104">
      <c r="D38104" s="9"/>
      <c r="G38104" s="9"/>
      <c r="J38104" s="11"/>
      <c r="U38104" s="9"/>
      <c r="X38104" s="9"/>
    </row>
    <row r="38105">
      <c r="D38105" s="9"/>
      <c r="G38105" s="9"/>
      <c r="J38105" s="11"/>
      <c r="U38105" s="9"/>
      <c r="X38105" s="9"/>
    </row>
    <row r="38106">
      <c r="D38106" s="9"/>
      <c r="G38106" s="9"/>
      <c r="J38106" s="11"/>
      <c r="U38106" s="9"/>
      <c r="X38106" s="9"/>
    </row>
    <row r="38107">
      <c r="D38107" s="9"/>
      <c r="G38107" s="9"/>
      <c r="J38107" s="11"/>
      <c r="U38107" s="9"/>
      <c r="X38107" s="9"/>
    </row>
    <row r="38108">
      <c r="D38108" s="9"/>
      <c r="G38108" s="9"/>
      <c r="J38108" s="11"/>
      <c r="U38108" s="9"/>
      <c r="X38108" s="9"/>
    </row>
    <row r="38109">
      <c r="D38109" s="9"/>
      <c r="G38109" s="9"/>
      <c r="J38109" s="11"/>
      <c r="U38109" s="9"/>
      <c r="X38109" s="9"/>
    </row>
    <row r="38110">
      <c r="D38110" s="9"/>
      <c r="G38110" s="9"/>
      <c r="J38110" s="11"/>
      <c r="U38110" s="9"/>
      <c r="X38110" s="9"/>
    </row>
    <row r="38111">
      <c r="D38111" s="9"/>
      <c r="G38111" s="9"/>
      <c r="J38111" s="11"/>
      <c r="U38111" s="9"/>
      <c r="X38111" s="9"/>
    </row>
    <row r="38112">
      <c r="D38112" s="9"/>
      <c r="G38112" s="9"/>
      <c r="J38112" s="11"/>
      <c r="U38112" s="9"/>
      <c r="X38112" s="9"/>
    </row>
    <row r="38113">
      <c r="D38113" s="9"/>
      <c r="G38113" s="9"/>
      <c r="J38113" s="11"/>
      <c r="U38113" s="9"/>
      <c r="X38113" s="9"/>
    </row>
    <row r="38114">
      <c r="D38114" s="9"/>
      <c r="G38114" s="9"/>
      <c r="J38114" s="11"/>
      <c r="U38114" s="9"/>
      <c r="X38114" s="9"/>
    </row>
    <row r="38115">
      <c r="D38115" s="9"/>
      <c r="G38115" s="9"/>
      <c r="J38115" s="11"/>
      <c r="U38115" s="9"/>
      <c r="X38115" s="9"/>
    </row>
    <row r="38116">
      <c r="D38116" s="9"/>
      <c r="G38116" s="9"/>
      <c r="J38116" s="11"/>
      <c r="U38116" s="9"/>
      <c r="X38116" s="9"/>
    </row>
    <row r="38117">
      <c r="D38117" s="9"/>
      <c r="G38117" s="9"/>
      <c r="J38117" s="11"/>
      <c r="U38117" s="9"/>
      <c r="X38117" s="9"/>
    </row>
    <row r="38118">
      <c r="D38118" s="9"/>
      <c r="G38118" s="9"/>
      <c r="J38118" s="11"/>
      <c r="U38118" s="9"/>
      <c r="X38118" s="9"/>
    </row>
    <row r="38119">
      <c r="D38119" s="9"/>
      <c r="G38119" s="9"/>
      <c r="J38119" s="11"/>
      <c r="U38119" s="9"/>
      <c r="X38119" s="9"/>
    </row>
    <row r="38120">
      <c r="D38120" s="9"/>
      <c r="G38120" s="9"/>
      <c r="J38120" s="11"/>
      <c r="U38120" s="9"/>
      <c r="X38120" s="9"/>
    </row>
    <row r="38121">
      <c r="D38121" s="9"/>
      <c r="G38121" s="9"/>
      <c r="J38121" s="11"/>
      <c r="U38121" s="9"/>
      <c r="X38121" s="9"/>
    </row>
    <row r="38122">
      <c r="D38122" s="9"/>
      <c r="G38122" s="9"/>
      <c r="J38122" s="11"/>
      <c r="U38122" s="9"/>
      <c r="X38122" s="9"/>
    </row>
    <row r="38123">
      <c r="D38123" s="9"/>
      <c r="G38123" s="9"/>
      <c r="J38123" s="11"/>
      <c r="U38123" s="9"/>
      <c r="X38123" s="9"/>
    </row>
    <row r="38124">
      <c r="D38124" s="9"/>
      <c r="G38124" s="9"/>
      <c r="J38124" s="11"/>
      <c r="U38124" s="9"/>
      <c r="X38124" s="9"/>
    </row>
    <row r="38125">
      <c r="D38125" s="9"/>
      <c r="G38125" s="9"/>
      <c r="J38125" s="11"/>
      <c r="U38125" s="9"/>
      <c r="X38125" s="9"/>
    </row>
    <row r="38126">
      <c r="D38126" s="9"/>
      <c r="G38126" s="9"/>
      <c r="J38126" s="11"/>
      <c r="U38126" s="9"/>
      <c r="X38126" s="9"/>
    </row>
    <row r="38127">
      <c r="D38127" s="9"/>
      <c r="G38127" s="9"/>
      <c r="J38127" s="11"/>
      <c r="U38127" s="9"/>
      <c r="X38127" s="9"/>
    </row>
    <row r="38128">
      <c r="D38128" s="9"/>
      <c r="G38128" s="9"/>
      <c r="J38128" s="11"/>
      <c r="U38128" s="9"/>
      <c r="X38128" s="9"/>
    </row>
    <row r="38129">
      <c r="D38129" s="9"/>
      <c r="G38129" s="9"/>
      <c r="J38129" s="11"/>
      <c r="U38129" s="9"/>
      <c r="X38129" s="9"/>
    </row>
    <row r="38130">
      <c r="D38130" s="9"/>
      <c r="G38130" s="9"/>
      <c r="J38130" s="11"/>
      <c r="U38130" s="9"/>
      <c r="X38130" s="9"/>
    </row>
    <row r="38131">
      <c r="D38131" s="9"/>
      <c r="G38131" s="9"/>
      <c r="J38131" s="11"/>
      <c r="U38131" s="9"/>
      <c r="X38131" s="9"/>
    </row>
    <row r="38132">
      <c r="D38132" s="9"/>
      <c r="G38132" s="9"/>
      <c r="J38132" s="11"/>
      <c r="U38132" s="9"/>
      <c r="X38132" s="9"/>
    </row>
    <row r="38133">
      <c r="D38133" s="9"/>
      <c r="G38133" s="9"/>
      <c r="J38133" s="11"/>
      <c r="U38133" s="9"/>
      <c r="X38133" s="9"/>
    </row>
    <row r="38134">
      <c r="D38134" s="9"/>
      <c r="G38134" s="9"/>
      <c r="J38134" s="11"/>
      <c r="U38134" s="9"/>
      <c r="X38134" s="9"/>
    </row>
    <row r="38135">
      <c r="D38135" s="9"/>
      <c r="G38135" s="9"/>
      <c r="J38135" s="11"/>
      <c r="U38135" s="9"/>
      <c r="X38135" s="9"/>
    </row>
    <row r="38136">
      <c r="D38136" s="9"/>
      <c r="G38136" s="9"/>
      <c r="J38136" s="11"/>
      <c r="U38136" s="9"/>
      <c r="X38136" s="9"/>
    </row>
    <row r="38137">
      <c r="D38137" s="9"/>
      <c r="G38137" s="9"/>
      <c r="J38137" s="11"/>
      <c r="U38137" s="9"/>
      <c r="X38137" s="9"/>
    </row>
    <row r="38138">
      <c r="D38138" s="9"/>
      <c r="G38138" s="9"/>
      <c r="J38138" s="11"/>
      <c r="U38138" s="9"/>
      <c r="X38138" s="9"/>
    </row>
    <row r="38139">
      <c r="D38139" s="9"/>
      <c r="G38139" s="9"/>
      <c r="J38139" s="11"/>
      <c r="U38139" s="9"/>
      <c r="X38139" s="9"/>
    </row>
    <row r="38140">
      <c r="D38140" s="9"/>
      <c r="G38140" s="9"/>
      <c r="J38140" s="11"/>
      <c r="U38140" s="9"/>
      <c r="X38140" s="9"/>
    </row>
    <row r="38141">
      <c r="D38141" s="9"/>
      <c r="G38141" s="9"/>
      <c r="J38141" s="11"/>
      <c r="U38141" s="9"/>
      <c r="X38141" s="9"/>
    </row>
    <row r="38142">
      <c r="D38142" s="9"/>
      <c r="G38142" s="9"/>
      <c r="J38142" s="11"/>
      <c r="U38142" s="9"/>
      <c r="X38142" s="9"/>
    </row>
    <row r="38143">
      <c r="D38143" s="9"/>
      <c r="G38143" s="9"/>
      <c r="J38143" s="11"/>
      <c r="U38143" s="9"/>
      <c r="X38143" s="9"/>
    </row>
    <row r="38144">
      <c r="D38144" s="9"/>
      <c r="G38144" s="9"/>
      <c r="J38144" s="11"/>
      <c r="U38144" s="9"/>
      <c r="X38144" s="9"/>
    </row>
    <row r="38145">
      <c r="D38145" s="9"/>
      <c r="G38145" s="9"/>
      <c r="J38145" s="11"/>
      <c r="U38145" s="9"/>
      <c r="X38145" s="9"/>
    </row>
    <row r="38146">
      <c r="D38146" s="9"/>
      <c r="G38146" s="9"/>
      <c r="J38146" s="11"/>
      <c r="U38146" s="9"/>
      <c r="X38146" s="9"/>
    </row>
    <row r="38147">
      <c r="D38147" s="9"/>
      <c r="G38147" s="9"/>
      <c r="J38147" s="11"/>
      <c r="U38147" s="9"/>
      <c r="X38147" s="9"/>
    </row>
    <row r="38148">
      <c r="D38148" s="9"/>
      <c r="G38148" s="9"/>
      <c r="J38148" s="11"/>
      <c r="U38148" s="9"/>
      <c r="X38148" s="9"/>
    </row>
    <row r="38149">
      <c r="D38149" s="9"/>
      <c r="G38149" s="9"/>
      <c r="J38149" s="11"/>
      <c r="U38149" s="9"/>
      <c r="X38149" s="9"/>
    </row>
    <row r="38150">
      <c r="D38150" s="9"/>
      <c r="G38150" s="9"/>
      <c r="J38150" s="11"/>
      <c r="U38150" s="9"/>
      <c r="X38150" s="9"/>
    </row>
    <row r="38151">
      <c r="D38151" s="9"/>
      <c r="G38151" s="9"/>
      <c r="J38151" s="11"/>
      <c r="U38151" s="9"/>
      <c r="X38151" s="9"/>
    </row>
    <row r="38152">
      <c r="D38152" s="9"/>
      <c r="G38152" s="9"/>
      <c r="J38152" s="11"/>
      <c r="U38152" s="9"/>
      <c r="X38152" s="9"/>
    </row>
    <row r="38153">
      <c r="D38153" s="9"/>
      <c r="G38153" s="9"/>
      <c r="J38153" s="11"/>
      <c r="U38153" s="9"/>
      <c r="X38153" s="9"/>
    </row>
    <row r="38154">
      <c r="D38154" s="9"/>
      <c r="G38154" s="9"/>
      <c r="J38154" s="11"/>
      <c r="U38154" s="9"/>
      <c r="X38154" s="9"/>
    </row>
    <row r="38155">
      <c r="D38155" s="9"/>
      <c r="G38155" s="9"/>
      <c r="J38155" s="11"/>
      <c r="U38155" s="9"/>
      <c r="X38155" s="9"/>
    </row>
    <row r="38156">
      <c r="D38156" s="9"/>
      <c r="G38156" s="9"/>
      <c r="J38156" s="11"/>
      <c r="U38156" s="9"/>
      <c r="X38156" s="9"/>
    </row>
    <row r="38157">
      <c r="D38157" s="9"/>
      <c r="G38157" s="9"/>
      <c r="J38157" s="11"/>
      <c r="U38157" s="9"/>
      <c r="X38157" s="9"/>
    </row>
    <row r="38158">
      <c r="D38158" s="9"/>
      <c r="G38158" s="9"/>
      <c r="J38158" s="11"/>
      <c r="U38158" s="9"/>
      <c r="X38158" s="9"/>
    </row>
    <row r="38159">
      <c r="D38159" s="9"/>
      <c r="G38159" s="9"/>
      <c r="J38159" s="11"/>
      <c r="U38159" s="9"/>
      <c r="X38159" s="9"/>
    </row>
    <row r="38160">
      <c r="D38160" s="9"/>
      <c r="G38160" s="9"/>
      <c r="J38160" s="11"/>
      <c r="U38160" s="9"/>
      <c r="X38160" s="9"/>
    </row>
    <row r="38161">
      <c r="D38161" s="9"/>
      <c r="G38161" s="9"/>
      <c r="J38161" s="11"/>
      <c r="U38161" s="9"/>
      <c r="X38161" s="9"/>
    </row>
    <row r="38162">
      <c r="D38162" s="9"/>
      <c r="G38162" s="9"/>
      <c r="J38162" s="11"/>
      <c r="U38162" s="9"/>
      <c r="X38162" s="9"/>
    </row>
    <row r="38163">
      <c r="D38163" s="9"/>
      <c r="G38163" s="9"/>
      <c r="J38163" s="11"/>
      <c r="U38163" s="9"/>
      <c r="X38163" s="9"/>
    </row>
    <row r="38164">
      <c r="D38164" s="9"/>
      <c r="G38164" s="9"/>
      <c r="J38164" s="11"/>
      <c r="U38164" s="9"/>
      <c r="X38164" s="9"/>
    </row>
    <row r="38165">
      <c r="D38165" s="9"/>
      <c r="G38165" s="9"/>
      <c r="J38165" s="11"/>
      <c r="U38165" s="9"/>
      <c r="X38165" s="9"/>
    </row>
    <row r="38166">
      <c r="D38166" s="9"/>
      <c r="G38166" s="9"/>
      <c r="J38166" s="11"/>
      <c r="U38166" s="9"/>
      <c r="X38166" s="9"/>
    </row>
    <row r="38167">
      <c r="D38167" s="9"/>
      <c r="G38167" s="9"/>
      <c r="J38167" s="11"/>
      <c r="U38167" s="9"/>
      <c r="X38167" s="9"/>
    </row>
    <row r="38168">
      <c r="D38168" s="9"/>
      <c r="G38168" s="9"/>
      <c r="J38168" s="11"/>
      <c r="U38168" s="9"/>
      <c r="X38168" s="9"/>
    </row>
    <row r="38169">
      <c r="D38169" s="9"/>
      <c r="G38169" s="9"/>
      <c r="J38169" s="11"/>
      <c r="U38169" s="9"/>
      <c r="X38169" s="9"/>
    </row>
    <row r="38170">
      <c r="D38170" s="9"/>
      <c r="G38170" s="9"/>
      <c r="J38170" s="11"/>
      <c r="U38170" s="9"/>
      <c r="X38170" s="9"/>
    </row>
    <row r="38171">
      <c r="D38171" s="9"/>
      <c r="G38171" s="9"/>
      <c r="J38171" s="11"/>
      <c r="U38171" s="9"/>
      <c r="X38171" s="9"/>
    </row>
    <row r="38172">
      <c r="D38172" s="9"/>
      <c r="G38172" s="9"/>
      <c r="J38172" s="11"/>
      <c r="U38172" s="9"/>
      <c r="X38172" s="9"/>
    </row>
    <row r="38173">
      <c r="D38173" s="9"/>
      <c r="G38173" s="9"/>
      <c r="J38173" s="11"/>
      <c r="U38173" s="9"/>
      <c r="X38173" s="9"/>
    </row>
    <row r="38174">
      <c r="D38174" s="9"/>
      <c r="G38174" s="9"/>
      <c r="J38174" s="11"/>
      <c r="U38174" s="9"/>
      <c r="X38174" s="9"/>
    </row>
    <row r="38175">
      <c r="D38175" s="9"/>
      <c r="G38175" s="9"/>
      <c r="J38175" s="11"/>
      <c r="U38175" s="9"/>
      <c r="X38175" s="9"/>
    </row>
    <row r="38176">
      <c r="D38176" s="9"/>
      <c r="G38176" s="9"/>
      <c r="J38176" s="11"/>
      <c r="U38176" s="9"/>
      <c r="X38176" s="9"/>
    </row>
    <row r="38177">
      <c r="D38177" s="9"/>
      <c r="G38177" s="9"/>
      <c r="J38177" s="11"/>
      <c r="U38177" s="9"/>
      <c r="X38177" s="9"/>
    </row>
    <row r="38178">
      <c r="D38178" s="9"/>
      <c r="G38178" s="9"/>
      <c r="J38178" s="11"/>
      <c r="U38178" s="9"/>
      <c r="X38178" s="9"/>
    </row>
    <row r="38179">
      <c r="D38179" s="9"/>
      <c r="G38179" s="9"/>
      <c r="J38179" s="11"/>
      <c r="U38179" s="9"/>
      <c r="X38179" s="9"/>
    </row>
    <row r="38180">
      <c r="D38180" s="9"/>
      <c r="G38180" s="9"/>
      <c r="J38180" s="11"/>
      <c r="U38180" s="9"/>
      <c r="X38180" s="9"/>
    </row>
    <row r="38181">
      <c r="D38181" s="9"/>
      <c r="G38181" s="9"/>
      <c r="J38181" s="11"/>
      <c r="U38181" s="9"/>
      <c r="X38181" s="9"/>
    </row>
    <row r="38182">
      <c r="D38182" s="9"/>
      <c r="G38182" s="9"/>
      <c r="J38182" s="11"/>
      <c r="U38182" s="9"/>
      <c r="X38182" s="9"/>
    </row>
    <row r="38183">
      <c r="D38183" s="9"/>
      <c r="G38183" s="9"/>
      <c r="J38183" s="11"/>
      <c r="U38183" s="9"/>
      <c r="X38183" s="9"/>
    </row>
    <row r="38184">
      <c r="D38184" s="9"/>
      <c r="G38184" s="9"/>
      <c r="J38184" s="11"/>
      <c r="U38184" s="9"/>
      <c r="X38184" s="9"/>
    </row>
    <row r="38185">
      <c r="D38185" s="9"/>
      <c r="G38185" s="9"/>
      <c r="J38185" s="11"/>
      <c r="U38185" s="9"/>
      <c r="X38185" s="9"/>
    </row>
    <row r="38186">
      <c r="D38186" s="9"/>
      <c r="G38186" s="9"/>
      <c r="J38186" s="11"/>
      <c r="U38186" s="9"/>
      <c r="X38186" s="9"/>
    </row>
    <row r="38187">
      <c r="D38187" s="9"/>
      <c r="G38187" s="9"/>
      <c r="J38187" s="11"/>
      <c r="U38187" s="9"/>
      <c r="X38187" s="9"/>
    </row>
    <row r="38188">
      <c r="D38188" s="9"/>
      <c r="G38188" s="9"/>
      <c r="J38188" s="11"/>
      <c r="U38188" s="9"/>
      <c r="X38188" s="9"/>
    </row>
    <row r="38189">
      <c r="D38189" s="9"/>
      <c r="G38189" s="9"/>
      <c r="J38189" s="11"/>
      <c r="U38189" s="9"/>
      <c r="X38189" s="9"/>
    </row>
    <row r="38190">
      <c r="D38190" s="9"/>
      <c r="G38190" s="9"/>
      <c r="J38190" s="11"/>
      <c r="U38190" s="9"/>
      <c r="X38190" s="9"/>
    </row>
    <row r="38191">
      <c r="D38191" s="9"/>
      <c r="G38191" s="9"/>
      <c r="J38191" s="11"/>
      <c r="U38191" s="9"/>
      <c r="X38191" s="9"/>
    </row>
    <row r="38192">
      <c r="D38192" s="9"/>
      <c r="G38192" s="9"/>
      <c r="J38192" s="11"/>
      <c r="U38192" s="9"/>
      <c r="X38192" s="9"/>
    </row>
    <row r="38193">
      <c r="D38193" s="9"/>
      <c r="G38193" s="9"/>
      <c r="J38193" s="11"/>
      <c r="U38193" s="9"/>
      <c r="X38193" s="9"/>
    </row>
    <row r="38194">
      <c r="D38194" s="9"/>
      <c r="G38194" s="9"/>
      <c r="J38194" s="11"/>
      <c r="U38194" s="9"/>
      <c r="X38194" s="9"/>
    </row>
    <row r="38195">
      <c r="D38195" s="9"/>
      <c r="G38195" s="9"/>
      <c r="J38195" s="11"/>
      <c r="U38195" s="9"/>
      <c r="X38195" s="9"/>
    </row>
    <row r="38196">
      <c r="D38196" s="9"/>
      <c r="G38196" s="9"/>
      <c r="J38196" s="11"/>
      <c r="U38196" s="9"/>
      <c r="X38196" s="9"/>
    </row>
    <row r="38197">
      <c r="D38197" s="9"/>
      <c r="G38197" s="9"/>
      <c r="J38197" s="11"/>
      <c r="U38197" s="9"/>
      <c r="X38197" s="9"/>
    </row>
    <row r="38198">
      <c r="D38198" s="9"/>
      <c r="G38198" s="9"/>
      <c r="J38198" s="11"/>
      <c r="U38198" s="9"/>
      <c r="X38198" s="9"/>
    </row>
    <row r="38199">
      <c r="D38199" s="9"/>
      <c r="G38199" s="9"/>
      <c r="J38199" s="11"/>
      <c r="U38199" s="9"/>
      <c r="X38199" s="9"/>
    </row>
    <row r="38200">
      <c r="D38200" s="9"/>
      <c r="G38200" s="9"/>
      <c r="J38200" s="11"/>
      <c r="U38200" s="9"/>
      <c r="X38200" s="9"/>
    </row>
    <row r="38201">
      <c r="D38201" s="9"/>
      <c r="G38201" s="9"/>
      <c r="J38201" s="11"/>
      <c r="U38201" s="9"/>
      <c r="X38201" s="9"/>
    </row>
    <row r="38202">
      <c r="D38202" s="9"/>
      <c r="G38202" s="9"/>
      <c r="J38202" s="11"/>
      <c r="U38202" s="9"/>
      <c r="X38202" s="9"/>
    </row>
    <row r="38203">
      <c r="D38203" s="9"/>
      <c r="G38203" s="9"/>
      <c r="J38203" s="11"/>
      <c r="U38203" s="9"/>
      <c r="X38203" s="9"/>
    </row>
    <row r="38204">
      <c r="D38204" s="9"/>
      <c r="G38204" s="9"/>
      <c r="J38204" s="11"/>
      <c r="U38204" s="9"/>
      <c r="X38204" s="9"/>
    </row>
    <row r="38205">
      <c r="D38205" s="9"/>
      <c r="G38205" s="9"/>
      <c r="J38205" s="11"/>
      <c r="U38205" s="9"/>
      <c r="X38205" s="9"/>
    </row>
    <row r="38206">
      <c r="D38206" s="9"/>
      <c r="G38206" s="9"/>
      <c r="J38206" s="11"/>
      <c r="U38206" s="9"/>
      <c r="X38206" s="9"/>
    </row>
    <row r="38207">
      <c r="D38207" s="9"/>
      <c r="G38207" s="9"/>
      <c r="J38207" s="11"/>
      <c r="U38207" s="9"/>
      <c r="X38207" s="9"/>
    </row>
    <row r="38208">
      <c r="D38208" s="9"/>
      <c r="G38208" s="9"/>
      <c r="J38208" s="11"/>
      <c r="U38208" s="9"/>
      <c r="X38208" s="9"/>
    </row>
    <row r="38209">
      <c r="D38209" s="9"/>
      <c r="G38209" s="9"/>
      <c r="J38209" s="11"/>
      <c r="U38209" s="9"/>
      <c r="X38209" s="9"/>
    </row>
    <row r="38210">
      <c r="D38210" s="9"/>
      <c r="G38210" s="9"/>
      <c r="J38210" s="11"/>
      <c r="U38210" s="9"/>
      <c r="X38210" s="9"/>
    </row>
    <row r="38211">
      <c r="D38211" s="9"/>
      <c r="G38211" s="9"/>
      <c r="J38211" s="11"/>
      <c r="U38211" s="9"/>
      <c r="X38211" s="9"/>
    </row>
    <row r="38212">
      <c r="D38212" s="9"/>
      <c r="G38212" s="9"/>
      <c r="J38212" s="11"/>
      <c r="U38212" s="9"/>
      <c r="X38212" s="9"/>
    </row>
    <row r="38213">
      <c r="D38213" s="9"/>
      <c r="G38213" s="9"/>
      <c r="J38213" s="11"/>
      <c r="U38213" s="9"/>
      <c r="X38213" s="9"/>
    </row>
    <row r="38214">
      <c r="D38214" s="9"/>
      <c r="G38214" s="9"/>
      <c r="J38214" s="11"/>
      <c r="U38214" s="9"/>
      <c r="X38214" s="9"/>
    </row>
    <row r="38215">
      <c r="D38215" s="9"/>
      <c r="G38215" s="9"/>
      <c r="J38215" s="11"/>
      <c r="U38215" s="9"/>
      <c r="X38215" s="9"/>
    </row>
    <row r="38216">
      <c r="D38216" s="9"/>
      <c r="G38216" s="9"/>
      <c r="J38216" s="11"/>
      <c r="U38216" s="9"/>
      <c r="X38216" s="9"/>
    </row>
    <row r="38217">
      <c r="D38217" s="9"/>
      <c r="G38217" s="9"/>
      <c r="J38217" s="11"/>
      <c r="U38217" s="9"/>
      <c r="X38217" s="9"/>
    </row>
    <row r="38218">
      <c r="D38218" s="9"/>
      <c r="G38218" s="9"/>
      <c r="J38218" s="11"/>
      <c r="U38218" s="9"/>
      <c r="X38218" s="9"/>
    </row>
    <row r="38219">
      <c r="D38219" s="9"/>
      <c r="G38219" s="9"/>
      <c r="J38219" s="11"/>
      <c r="U38219" s="9"/>
      <c r="X38219" s="9"/>
    </row>
    <row r="38220">
      <c r="D38220" s="9"/>
      <c r="G38220" s="9"/>
      <c r="J38220" s="11"/>
      <c r="U38220" s="9"/>
      <c r="X38220" s="9"/>
    </row>
    <row r="38221">
      <c r="D38221" s="9"/>
      <c r="G38221" s="9"/>
      <c r="J38221" s="11"/>
      <c r="U38221" s="9"/>
      <c r="X38221" s="9"/>
    </row>
    <row r="38222">
      <c r="D38222" s="9"/>
      <c r="G38222" s="9"/>
      <c r="J38222" s="11"/>
      <c r="U38222" s="9"/>
      <c r="X38222" s="9"/>
    </row>
    <row r="38223">
      <c r="D38223" s="9"/>
      <c r="G38223" s="9"/>
      <c r="J38223" s="11"/>
      <c r="U38223" s="9"/>
      <c r="X38223" s="9"/>
    </row>
    <row r="38224">
      <c r="D38224" s="9"/>
      <c r="G38224" s="9"/>
      <c r="J38224" s="11"/>
      <c r="U38224" s="9"/>
      <c r="X38224" s="9"/>
    </row>
    <row r="38225">
      <c r="D38225" s="9"/>
      <c r="G38225" s="9"/>
      <c r="J38225" s="11"/>
      <c r="U38225" s="9"/>
      <c r="X38225" s="9"/>
    </row>
    <row r="38226">
      <c r="D38226" s="9"/>
      <c r="G38226" s="9"/>
      <c r="J38226" s="11"/>
      <c r="U38226" s="9"/>
      <c r="X38226" s="9"/>
    </row>
    <row r="38227">
      <c r="D38227" s="9"/>
      <c r="G38227" s="9"/>
      <c r="J38227" s="11"/>
      <c r="U38227" s="9"/>
      <c r="X38227" s="9"/>
    </row>
    <row r="38228">
      <c r="D38228" s="9"/>
      <c r="G38228" s="9"/>
      <c r="J38228" s="11"/>
      <c r="U38228" s="9"/>
      <c r="X38228" s="9"/>
    </row>
    <row r="38229">
      <c r="D38229" s="9"/>
      <c r="G38229" s="9"/>
      <c r="J38229" s="11"/>
      <c r="U38229" s="9"/>
      <c r="X38229" s="9"/>
    </row>
    <row r="38230">
      <c r="D38230" s="9"/>
      <c r="G38230" s="9"/>
      <c r="J38230" s="11"/>
      <c r="U38230" s="9"/>
      <c r="X38230" s="9"/>
    </row>
    <row r="38231">
      <c r="D38231" s="9"/>
      <c r="G38231" s="9"/>
      <c r="J38231" s="11"/>
      <c r="U38231" s="9"/>
      <c r="X38231" s="9"/>
    </row>
    <row r="38232">
      <c r="D38232" s="9"/>
      <c r="G38232" s="9"/>
      <c r="J38232" s="11"/>
      <c r="U38232" s="9"/>
      <c r="X38232" s="9"/>
    </row>
    <row r="38233">
      <c r="D38233" s="9"/>
      <c r="G38233" s="9"/>
      <c r="J38233" s="11"/>
      <c r="U38233" s="9"/>
      <c r="X38233" s="9"/>
    </row>
    <row r="38234">
      <c r="D38234" s="9"/>
      <c r="G38234" s="9"/>
      <c r="J38234" s="11"/>
      <c r="U38234" s="9"/>
      <c r="X38234" s="9"/>
    </row>
    <row r="38235">
      <c r="D38235" s="9"/>
      <c r="G38235" s="9"/>
      <c r="J38235" s="11"/>
      <c r="U38235" s="9"/>
      <c r="X38235" s="9"/>
    </row>
    <row r="38236">
      <c r="D38236" s="9"/>
      <c r="G38236" s="9"/>
      <c r="J38236" s="11"/>
      <c r="U38236" s="9"/>
      <c r="X38236" s="9"/>
    </row>
    <row r="38237">
      <c r="D38237" s="9"/>
      <c r="G38237" s="9"/>
      <c r="J38237" s="11"/>
      <c r="U38237" s="9"/>
      <c r="X38237" s="9"/>
    </row>
    <row r="38238">
      <c r="D38238" s="9"/>
      <c r="G38238" s="9"/>
      <c r="J38238" s="11"/>
      <c r="U38238" s="9"/>
      <c r="X38238" s="9"/>
    </row>
    <row r="38239">
      <c r="D38239" s="9"/>
      <c r="G38239" s="9"/>
      <c r="J38239" s="11"/>
      <c r="U38239" s="9"/>
      <c r="X38239" s="9"/>
    </row>
    <row r="38240">
      <c r="D38240" s="9"/>
      <c r="G38240" s="9"/>
      <c r="J38240" s="11"/>
      <c r="U38240" s="9"/>
      <c r="X38240" s="9"/>
    </row>
    <row r="38241">
      <c r="D38241" s="9"/>
      <c r="G38241" s="9"/>
      <c r="J38241" s="11"/>
      <c r="U38241" s="9"/>
      <c r="X38241" s="9"/>
    </row>
    <row r="38242">
      <c r="D38242" s="9"/>
      <c r="G38242" s="9"/>
      <c r="J38242" s="11"/>
      <c r="U38242" s="9"/>
      <c r="X38242" s="9"/>
    </row>
    <row r="38243">
      <c r="D38243" s="9"/>
      <c r="G38243" s="9"/>
      <c r="J38243" s="11"/>
      <c r="U38243" s="9"/>
      <c r="X38243" s="9"/>
    </row>
    <row r="38244">
      <c r="D38244" s="9"/>
      <c r="G38244" s="9"/>
      <c r="J38244" s="11"/>
      <c r="U38244" s="9"/>
      <c r="X38244" s="9"/>
    </row>
    <row r="38245">
      <c r="D38245" s="9"/>
      <c r="G38245" s="9"/>
      <c r="J38245" s="11"/>
      <c r="U38245" s="9"/>
      <c r="X38245" s="9"/>
    </row>
    <row r="38246">
      <c r="D38246" s="9"/>
      <c r="G38246" s="9"/>
      <c r="J38246" s="11"/>
      <c r="U38246" s="9"/>
      <c r="X38246" s="9"/>
    </row>
    <row r="38247">
      <c r="D38247" s="9"/>
      <c r="G38247" s="9"/>
      <c r="J38247" s="11"/>
      <c r="U38247" s="9"/>
      <c r="X38247" s="9"/>
    </row>
    <row r="38248">
      <c r="D38248" s="9"/>
      <c r="G38248" s="9"/>
      <c r="J38248" s="11"/>
      <c r="U38248" s="9"/>
      <c r="X38248" s="9"/>
    </row>
    <row r="38249">
      <c r="D38249" s="9"/>
      <c r="G38249" s="9"/>
      <c r="J38249" s="11"/>
      <c r="U38249" s="9"/>
      <c r="X38249" s="9"/>
    </row>
    <row r="38250">
      <c r="D38250" s="9"/>
      <c r="G38250" s="9"/>
      <c r="J38250" s="11"/>
      <c r="U38250" s="9"/>
      <c r="X38250" s="9"/>
    </row>
    <row r="38251">
      <c r="D38251" s="9"/>
      <c r="G38251" s="9"/>
      <c r="J38251" s="11"/>
      <c r="U38251" s="9"/>
      <c r="X38251" s="9"/>
    </row>
    <row r="38252">
      <c r="D38252" s="9"/>
      <c r="G38252" s="9"/>
      <c r="J38252" s="11"/>
      <c r="U38252" s="9"/>
      <c r="X38252" s="9"/>
    </row>
    <row r="38253">
      <c r="D38253" s="9"/>
      <c r="G38253" s="9"/>
      <c r="J38253" s="11"/>
      <c r="U38253" s="9"/>
      <c r="X38253" s="9"/>
    </row>
    <row r="38254">
      <c r="D38254" s="9"/>
      <c r="G38254" s="9"/>
      <c r="J38254" s="11"/>
      <c r="U38254" s="9"/>
      <c r="X38254" s="9"/>
    </row>
    <row r="38255">
      <c r="D38255" s="9"/>
      <c r="G38255" s="9"/>
      <c r="J38255" s="11"/>
      <c r="U38255" s="9"/>
      <c r="X38255" s="9"/>
    </row>
    <row r="38256">
      <c r="D38256" s="9"/>
      <c r="G38256" s="9"/>
      <c r="J38256" s="11"/>
      <c r="U38256" s="9"/>
      <c r="X38256" s="9"/>
    </row>
    <row r="38257">
      <c r="D38257" s="9"/>
      <c r="G38257" s="9"/>
      <c r="J38257" s="11"/>
      <c r="U38257" s="9"/>
      <c r="X38257" s="9"/>
    </row>
    <row r="38258">
      <c r="D38258" s="9"/>
      <c r="G38258" s="9"/>
      <c r="J38258" s="11"/>
      <c r="U38258" s="9"/>
      <c r="X38258" s="9"/>
    </row>
    <row r="38259">
      <c r="D38259" s="9"/>
      <c r="G38259" s="9"/>
      <c r="J38259" s="11"/>
      <c r="U38259" s="9"/>
      <c r="X38259" s="9"/>
    </row>
    <row r="38260">
      <c r="D38260" s="9"/>
      <c r="G38260" s="9"/>
      <c r="J38260" s="11"/>
      <c r="U38260" s="9"/>
      <c r="X38260" s="9"/>
    </row>
    <row r="38261">
      <c r="D38261" s="9"/>
      <c r="G38261" s="9"/>
      <c r="J38261" s="11"/>
      <c r="U38261" s="9"/>
      <c r="X38261" s="9"/>
    </row>
    <row r="38262">
      <c r="D38262" s="9"/>
      <c r="G38262" s="9"/>
      <c r="J38262" s="11"/>
      <c r="U38262" s="9"/>
      <c r="X38262" s="9"/>
    </row>
    <row r="38263">
      <c r="D38263" s="9"/>
      <c r="G38263" s="9"/>
      <c r="J38263" s="11"/>
      <c r="U38263" s="9"/>
      <c r="X38263" s="9"/>
    </row>
    <row r="38264">
      <c r="D38264" s="9"/>
      <c r="G38264" s="9"/>
      <c r="J38264" s="11"/>
      <c r="U38264" s="9"/>
      <c r="X38264" s="9"/>
    </row>
    <row r="38265">
      <c r="D38265" s="9"/>
      <c r="G38265" s="9"/>
      <c r="J38265" s="11"/>
      <c r="U38265" s="9"/>
      <c r="X38265" s="9"/>
    </row>
    <row r="38266">
      <c r="D38266" s="9"/>
      <c r="G38266" s="9"/>
      <c r="J38266" s="11"/>
      <c r="U38266" s="9"/>
      <c r="X38266" s="9"/>
    </row>
    <row r="38267">
      <c r="D38267" s="9"/>
      <c r="G38267" s="9"/>
      <c r="J38267" s="11"/>
      <c r="U38267" s="9"/>
      <c r="X38267" s="9"/>
    </row>
    <row r="38268">
      <c r="D38268" s="9"/>
      <c r="G38268" s="9"/>
      <c r="J38268" s="11"/>
      <c r="U38268" s="9"/>
      <c r="X38268" s="9"/>
    </row>
    <row r="38269">
      <c r="D38269" s="9"/>
      <c r="G38269" s="9"/>
      <c r="J38269" s="11"/>
      <c r="U38269" s="9"/>
      <c r="X38269" s="9"/>
    </row>
    <row r="38270">
      <c r="D38270" s="9"/>
      <c r="G38270" s="9"/>
      <c r="J38270" s="11"/>
      <c r="U38270" s="9"/>
      <c r="X38270" s="9"/>
    </row>
    <row r="38271">
      <c r="D38271" s="9"/>
      <c r="G38271" s="9"/>
      <c r="J38271" s="11"/>
      <c r="U38271" s="9"/>
      <c r="X38271" s="9"/>
    </row>
    <row r="38272">
      <c r="D38272" s="9"/>
      <c r="G38272" s="9"/>
      <c r="J38272" s="11"/>
      <c r="U38272" s="9"/>
      <c r="X38272" s="9"/>
    </row>
    <row r="38273">
      <c r="D38273" s="9"/>
      <c r="G38273" s="9"/>
      <c r="J38273" s="11"/>
      <c r="U38273" s="9"/>
      <c r="X38273" s="9"/>
    </row>
    <row r="38274">
      <c r="D38274" s="9"/>
      <c r="G38274" s="9"/>
      <c r="J38274" s="11"/>
      <c r="U38274" s="9"/>
      <c r="X38274" s="9"/>
    </row>
    <row r="38275">
      <c r="D38275" s="9"/>
      <c r="G38275" s="9"/>
      <c r="J38275" s="11"/>
      <c r="U38275" s="9"/>
      <c r="X38275" s="9"/>
    </row>
    <row r="38276">
      <c r="D38276" s="9"/>
      <c r="G38276" s="9"/>
      <c r="J38276" s="11"/>
      <c r="U38276" s="9"/>
      <c r="X38276" s="9"/>
    </row>
    <row r="38277">
      <c r="D38277" s="9"/>
      <c r="G38277" s="9"/>
      <c r="J38277" s="11"/>
      <c r="U38277" s="9"/>
      <c r="X38277" s="9"/>
    </row>
    <row r="38278">
      <c r="D38278" s="9"/>
      <c r="G38278" s="9"/>
      <c r="J38278" s="11"/>
      <c r="U38278" s="9"/>
      <c r="X38278" s="9"/>
    </row>
    <row r="38279">
      <c r="D38279" s="9"/>
      <c r="G38279" s="9"/>
      <c r="J38279" s="11"/>
      <c r="U38279" s="9"/>
      <c r="X38279" s="9"/>
    </row>
    <row r="38280">
      <c r="D38280" s="9"/>
      <c r="G38280" s="9"/>
      <c r="J38280" s="11"/>
      <c r="U38280" s="9"/>
      <c r="X38280" s="9"/>
    </row>
    <row r="38281">
      <c r="D38281" s="9"/>
      <c r="G38281" s="9"/>
      <c r="J38281" s="11"/>
      <c r="U38281" s="9"/>
      <c r="X38281" s="9"/>
    </row>
    <row r="38282">
      <c r="D38282" s="9"/>
      <c r="G38282" s="9"/>
      <c r="J38282" s="11"/>
      <c r="U38282" s="9"/>
      <c r="X38282" s="9"/>
    </row>
    <row r="38283">
      <c r="D38283" s="9"/>
      <c r="G38283" s="9"/>
      <c r="J38283" s="11"/>
      <c r="U38283" s="9"/>
      <c r="X38283" s="9"/>
    </row>
    <row r="38284">
      <c r="D38284" s="9"/>
      <c r="G38284" s="9"/>
      <c r="J38284" s="11"/>
      <c r="U38284" s="9"/>
      <c r="X38284" s="9"/>
    </row>
    <row r="38285">
      <c r="D38285" s="9"/>
      <c r="G38285" s="9"/>
      <c r="J38285" s="11"/>
      <c r="U38285" s="9"/>
      <c r="X38285" s="9"/>
    </row>
    <row r="38286">
      <c r="D38286" s="9"/>
      <c r="G38286" s="9"/>
      <c r="J38286" s="11"/>
      <c r="U38286" s="9"/>
      <c r="X38286" s="9"/>
    </row>
    <row r="38287">
      <c r="D38287" s="9"/>
      <c r="G38287" s="9"/>
      <c r="J38287" s="11"/>
      <c r="U38287" s="9"/>
      <c r="X38287" s="9"/>
    </row>
    <row r="38288">
      <c r="D38288" s="9"/>
      <c r="G38288" s="9"/>
      <c r="J38288" s="11"/>
      <c r="U38288" s="9"/>
      <c r="X38288" s="9"/>
    </row>
    <row r="38289">
      <c r="D38289" s="9"/>
      <c r="G38289" s="9"/>
      <c r="J38289" s="11"/>
      <c r="U38289" s="9"/>
      <c r="X38289" s="9"/>
    </row>
    <row r="38290">
      <c r="D38290" s="9"/>
      <c r="G38290" s="9"/>
      <c r="J38290" s="11"/>
      <c r="U38290" s="9"/>
      <c r="X38290" s="9"/>
    </row>
    <row r="38291">
      <c r="D38291" s="9"/>
      <c r="G38291" s="9"/>
      <c r="J38291" s="11"/>
      <c r="U38291" s="9"/>
      <c r="X38291" s="9"/>
    </row>
    <row r="38292">
      <c r="D38292" s="9"/>
      <c r="G38292" s="9"/>
      <c r="J38292" s="11"/>
      <c r="U38292" s="9"/>
      <c r="X38292" s="9"/>
    </row>
    <row r="38293">
      <c r="D38293" s="9"/>
      <c r="G38293" s="9"/>
      <c r="J38293" s="11"/>
      <c r="U38293" s="9"/>
      <c r="X38293" s="9"/>
    </row>
    <row r="38294">
      <c r="D38294" s="9"/>
      <c r="G38294" s="9"/>
      <c r="J38294" s="11"/>
      <c r="U38294" s="9"/>
      <c r="X38294" s="9"/>
    </row>
    <row r="38295">
      <c r="D38295" s="9"/>
      <c r="G38295" s="9"/>
      <c r="J38295" s="11"/>
      <c r="U38295" s="9"/>
      <c r="X38295" s="9"/>
    </row>
    <row r="38296">
      <c r="D38296" s="9"/>
      <c r="G38296" s="9"/>
      <c r="J38296" s="11"/>
      <c r="U38296" s="9"/>
      <c r="X38296" s="9"/>
    </row>
    <row r="38297">
      <c r="D38297" s="9"/>
      <c r="G38297" s="9"/>
      <c r="J38297" s="11"/>
      <c r="U38297" s="9"/>
      <c r="X38297" s="9"/>
    </row>
    <row r="38298">
      <c r="D38298" s="9"/>
      <c r="G38298" s="9"/>
      <c r="J38298" s="11"/>
      <c r="U38298" s="9"/>
      <c r="X38298" s="9"/>
    </row>
    <row r="38299">
      <c r="D38299" s="9"/>
      <c r="G38299" s="9"/>
      <c r="J38299" s="11"/>
      <c r="U38299" s="9"/>
      <c r="X38299" s="9"/>
    </row>
    <row r="38300">
      <c r="D38300" s="9"/>
      <c r="G38300" s="9"/>
      <c r="J38300" s="11"/>
      <c r="U38300" s="9"/>
      <c r="X38300" s="9"/>
    </row>
    <row r="38301">
      <c r="D38301" s="9"/>
      <c r="G38301" s="9"/>
      <c r="J38301" s="11"/>
      <c r="U38301" s="9"/>
      <c r="X38301" s="9"/>
    </row>
    <row r="38302">
      <c r="D38302" s="9"/>
      <c r="G38302" s="9"/>
      <c r="J38302" s="11"/>
      <c r="U38302" s="9"/>
      <c r="X38302" s="9"/>
    </row>
    <row r="38303">
      <c r="D38303" s="9"/>
      <c r="G38303" s="9"/>
      <c r="J38303" s="11"/>
      <c r="U38303" s="9"/>
      <c r="X38303" s="9"/>
    </row>
    <row r="38304">
      <c r="D38304" s="9"/>
      <c r="G38304" s="9"/>
      <c r="J38304" s="11"/>
      <c r="U38304" s="9"/>
      <c r="X38304" s="9"/>
    </row>
    <row r="38305">
      <c r="D38305" s="9"/>
      <c r="G38305" s="9"/>
      <c r="J38305" s="11"/>
      <c r="U38305" s="9"/>
      <c r="X38305" s="9"/>
    </row>
    <row r="38306">
      <c r="D38306" s="9"/>
      <c r="G38306" s="9"/>
      <c r="J38306" s="11"/>
      <c r="U38306" s="9"/>
      <c r="X38306" s="9"/>
    </row>
    <row r="38307">
      <c r="D38307" s="9"/>
      <c r="G38307" s="9"/>
      <c r="J38307" s="11"/>
      <c r="U38307" s="9"/>
      <c r="X38307" s="9"/>
    </row>
    <row r="38308">
      <c r="D38308" s="9"/>
      <c r="G38308" s="9"/>
      <c r="J38308" s="11"/>
      <c r="U38308" s="9"/>
      <c r="X38308" s="9"/>
    </row>
    <row r="38309">
      <c r="D38309" s="9"/>
      <c r="G38309" s="9"/>
      <c r="J38309" s="11"/>
      <c r="U38309" s="9"/>
      <c r="X38309" s="9"/>
    </row>
    <row r="38310">
      <c r="D38310" s="9"/>
      <c r="G38310" s="9"/>
      <c r="J38310" s="11"/>
      <c r="U38310" s="9"/>
      <c r="X38310" s="9"/>
    </row>
    <row r="38311">
      <c r="D38311" s="9"/>
      <c r="G38311" s="9"/>
      <c r="J38311" s="11"/>
      <c r="U38311" s="9"/>
      <c r="X38311" s="9"/>
    </row>
    <row r="38312">
      <c r="D38312" s="9"/>
      <c r="G38312" s="9"/>
      <c r="J38312" s="11"/>
      <c r="U38312" s="9"/>
      <c r="X38312" s="9"/>
    </row>
    <row r="38313">
      <c r="D38313" s="9"/>
      <c r="G38313" s="9"/>
      <c r="J38313" s="11"/>
      <c r="U38313" s="9"/>
      <c r="X38313" s="9"/>
    </row>
    <row r="38314">
      <c r="D38314" s="9"/>
      <c r="G38314" s="9"/>
      <c r="J38314" s="11"/>
      <c r="U38314" s="9"/>
      <c r="X38314" s="9"/>
    </row>
    <row r="38315">
      <c r="D38315" s="9"/>
      <c r="G38315" s="9"/>
      <c r="J38315" s="11"/>
      <c r="U38315" s="9"/>
      <c r="X38315" s="9"/>
    </row>
    <row r="38316">
      <c r="D38316" s="9"/>
      <c r="G38316" s="9"/>
      <c r="J38316" s="11"/>
      <c r="U38316" s="9"/>
      <c r="X38316" s="9"/>
    </row>
    <row r="38317">
      <c r="D38317" s="9"/>
      <c r="G38317" s="9"/>
      <c r="J38317" s="11"/>
      <c r="U38317" s="9"/>
      <c r="X38317" s="9"/>
    </row>
    <row r="38318">
      <c r="D38318" s="9"/>
      <c r="G38318" s="9"/>
      <c r="J38318" s="11"/>
      <c r="U38318" s="9"/>
      <c r="X38318" s="9"/>
    </row>
    <row r="38319">
      <c r="D38319" s="9"/>
      <c r="G38319" s="9"/>
      <c r="J38319" s="11"/>
      <c r="U38319" s="9"/>
      <c r="X38319" s="9"/>
    </row>
    <row r="38320">
      <c r="D38320" s="9"/>
      <c r="G38320" s="9"/>
      <c r="J38320" s="11"/>
      <c r="U38320" s="9"/>
      <c r="X38320" s="9"/>
    </row>
    <row r="38321">
      <c r="D38321" s="9"/>
      <c r="G38321" s="9"/>
      <c r="J38321" s="11"/>
      <c r="U38321" s="9"/>
      <c r="X38321" s="9"/>
    </row>
    <row r="38322">
      <c r="D38322" s="9"/>
      <c r="G38322" s="9"/>
      <c r="J38322" s="11"/>
      <c r="U38322" s="9"/>
      <c r="X38322" s="9"/>
    </row>
    <row r="38323">
      <c r="D38323" s="9"/>
      <c r="G38323" s="9"/>
      <c r="J38323" s="11"/>
      <c r="U38323" s="9"/>
      <c r="X38323" s="9"/>
    </row>
    <row r="38324">
      <c r="D38324" s="9"/>
      <c r="G38324" s="9"/>
      <c r="J38324" s="11"/>
      <c r="U38324" s="9"/>
      <c r="X38324" s="9"/>
    </row>
    <row r="38325">
      <c r="D38325" s="9"/>
      <c r="G38325" s="9"/>
      <c r="J38325" s="11"/>
      <c r="U38325" s="9"/>
      <c r="X38325" s="9"/>
    </row>
    <row r="38326">
      <c r="D38326" s="9"/>
      <c r="G38326" s="9"/>
      <c r="J38326" s="11"/>
      <c r="U38326" s="9"/>
      <c r="X38326" s="9"/>
    </row>
    <row r="38327">
      <c r="D38327" s="9"/>
      <c r="G38327" s="9"/>
      <c r="J38327" s="11"/>
      <c r="U38327" s="9"/>
      <c r="X38327" s="9"/>
    </row>
    <row r="38328">
      <c r="D38328" s="9"/>
      <c r="G38328" s="9"/>
      <c r="J38328" s="11"/>
      <c r="U38328" s="9"/>
      <c r="X38328" s="9"/>
    </row>
    <row r="38329">
      <c r="D38329" s="9"/>
      <c r="G38329" s="9"/>
      <c r="J38329" s="11"/>
      <c r="U38329" s="9"/>
      <c r="X38329" s="9"/>
    </row>
    <row r="38330">
      <c r="D38330" s="9"/>
      <c r="G38330" s="9"/>
      <c r="J38330" s="11"/>
      <c r="U38330" s="9"/>
      <c r="X38330" s="9"/>
    </row>
    <row r="38331">
      <c r="D38331" s="9"/>
      <c r="G38331" s="9"/>
      <c r="J38331" s="11"/>
      <c r="U38331" s="9"/>
      <c r="X38331" s="9"/>
    </row>
    <row r="38332">
      <c r="D38332" s="9"/>
      <c r="G38332" s="9"/>
      <c r="J38332" s="11"/>
      <c r="U38332" s="9"/>
      <c r="X38332" s="9"/>
    </row>
    <row r="38333">
      <c r="D38333" s="9"/>
      <c r="G38333" s="9"/>
      <c r="J38333" s="11"/>
      <c r="U38333" s="9"/>
      <c r="X38333" s="9"/>
    </row>
    <row r="38334">
      <c r="D38334" s="9"/>
      <c r="G38334" s="9"/>
      <c r="J38334" s="11"/>
      <c r="U38334" s="9"/>
      <c r="X38334" s="9"/>
    </row>
    <row r="38335">
      <c r="D38335" s="9"/>
      <c r="G38335" s="9"/>
      <c r="J38335" s="11"/>
      <c r="U38335" s="9"/>
      <c r="X38335" s="9"/>
    </row>
    <row r="38336">
      <c r="D38336" s="9"/>
      <c r="G38336" s="9"/>
      <c r="J38336" s="11"/>
      <c r="U38336" s="9"/>
      <c r="X38336" s="9"/>
    </row>
    <row r="38337">
      <c r="D38337" s="9"/>
      <c r="G38337" s="9"/>
      <c r="J38337" s="11"/>
      <c r="U38337" s="9"/>
      <c r="X38337" s="9"/>
    </row>
    <row r="38338">
      <c r="D38338" s="9"/>
      <c r="G38338" s="9"/>
      <c r="J38338" s="11"/>
      <c r="U38338" s="9"/>
      <c r="X38338" s="9"/>
    </row>
    <row r="38339">
      <c r="D38339" s="9"/>
      <c r="G38339" s="9"/>
      <c r="J38339" s="11"/>
      <c r="U38339" s="9"/>
      <c r="X38339" s="9"/>
    </row>
    <row r="38340">
      <c r="D38340" s="9"/>
      <c r="G38340" s="9"/>
      <c r="J38340" s="11"/>
      <c r="U38340" s="9"/>
      <c r="X38340" s="9"/>
    </row>
    <row r="38341">
      <c r="D38341" s="9"/>
      <c r="G38341" s="9"/>
      <c r="J38341" s="11"/>
      <c r="U38341" s="9"/>
      <c r="X38341" s="9"/>
    </row>
    <row r="38342">
      <c r="D38342" s="9"/>
      <c r="G38342" s="9"/>
      <c r="J38342" s="11"/>
      <c r="U38342" s="9"/>
      <c r="X38342" s="9"/>
    </row>
    <row r="38343">
      <c r="D38343" s="9"/>
      <c r="G38343" s="9"/>
      <c r="J38343" s="11"/>
      <c r="U38343" s="9"/>
      <c r="X38343" s="9"/>
    </row>
    <row r="38344">
      <c r="D38344" s="9"/>
      <c r="G38344" s="9"/>
      <c r="J38344" s="11"/>
      <c r="U38344" s="9"/>
      <c r="X38344" s="9"/>
    </row>
    <row r="38345">
      <c r="D38345" s="9"/>
      <c r="G38345" s="9"/>
      <c r="J38345" s="11"/>
      <c r="U38345" s="9"/>
      <c r="X38345" s="9"/>
    </row>
    <row r="38346">
      <c r="D38346" s="9"/>
      <c r="G38346" s="9"/>
      <c r="J38346" s="11"/>
      <c r="U38346" s="9"/>
      <c r="X38346" s="9"/>
    </row>
    <row r="38347">
      <c r="D38347" s="9"/>
      <c r="G38347" s="9"/>
      <c r="J38347" s="11"/>
      <c r="U38347" s="9"/>
      <c r="X38347" s="9"/>
    </row>
    <row r="38348">
      <c r="D38348" s="9"/>
      <c r="G38348" s="9"/>
      <c r="J38348" s="11"/>
      <c r="U38348" s="9"/>
      <c r="X38348" s="9"/>
    </row>
    <row r="38349">
      <c r="D38349" s="9"/>
      <c r="G38349" s="9"/>
      <c r="J38349" s="11"/>
      <c r="U38349" s="9"/>
      <c r="X38349" s="9"/>
    </row>
    <row r="38350">
      <c r="D38350" s="9"/>
      <c r="G38350" s="9"/>
      <c r="J38350" s="11"/>
      <c r="U38350" s="9"/>
      <c r="X38350" s="9"/>
    </row>
    <row r="38351">
      <c r="D38351" s="9"/>
      <c r="G38351" s="9"/>
      <c r="J38351" s="11"/>
      <c r="U38351" s="9"/>
      <c r="X38351" s="9"/>
    </row>
    <row r="38352">
      <c r="D38352" s="9"/>
      <c r="G38352" s="9"/>
      <c r="J38352" s="11"/>
      <c r="U38352" s="9"/>
      <c r="X38352" s="9"/>
    </row>
    <row r="38353">
      <c r="D38353" s="9"/>
      <c r="G38353" s="9"/>
      <c r="J38353" s="11"/>
      <c r="U38353" s="9"/>
      <c r="X38353" s="9"/>
    </row>
    <row r="38354">
      <c r="D38354" s="9"/>
      <c r="G38354" s="9"/>
      <c r="J38354" s="11"/>
      <c r="U38354" s="9"/>
      <c r="X38354" s="9"/>
    </row>
    <row r="38355">
      <c r="D38355" s="9"/>
      <c r="G38355" s="9"/>
      <c r="J38355" s="11"/>
      <c r="U38355" s="9"/>
      <c r="X38355" s="9"/>
    </row>
    <row r="38356">
      <c r="D38356" s="9"/>
      <c r="G38356" s="9"/>
      <c r="J38356" s="11"/>
      <c r="U38356" s="9"/>
      <c r="X38356" s="9"/>
    </row>
    <row r="38357">
      <c r="D38357" s="9"/>
      <c r="G38357" s="9"/>
      <c r="J38357" s="11"/>
      <c r="U38357" s="9"/>
      <c r="X38357" s="9"/>
    </row>
    <row r="38358">
      <c r="D38358" s="9"/>
      <c r="G38358" s="9"/>
      <c r="J38358" s="11"/>
      <c r="U38358" s="9"/>
      <c r="X38358" s="9"/>
    </row>
    <row r="38359">
      <c r="D38359" s="9"/>
      <c r="G38359" s="9"/>
      <c r="J38359" s="11"/>
      <c r="U38359" s="9"/>
      <c r="X38359" s="9"/>
    </row>
    <row r="38360">
      <c r="D38360" s="9"/>
      <c r="G38360" s="9"/>
      <c r="J38360" s="11"/>
      <c r="U38360" s="9"/>
      <c r="X38360" s="9"/>
    </row>
    <row r="38361">
      <c r="D38361" s="9"/>
      <c r="G38361" s="9"/>
      <c r="J38361" s="11"/>
      <c r="U38361" s="9"/>
      <c r="X38361" s="9"/>
    </row>
    <row r="38362">
      <c r="D38362" s="9"/>
      <c r="G38362" s="9"/>
      <c r="J38362" s="11"/>
      <c r="U38362" s="9"/>
      <c r="X38362" s="9"/>
    </row>
    <row r="38363">
      <c r="D38363" s="9"/>
      <c r="G38363" s="9"/>
      <c r="J38363" s="11"/>
      <c r="U38363" s="9"/>
      <c r="X38363" s="9"/>
    </row>
    <row r="38364">
      <c r="D38364" s="9"/>
      <c r="G38364" s="9"/>
      <c r="J38364" s="11"/>
      <c r="U38364" s="9"/>
      <c r="X38364" s="9"/>
    </row>
    <row r="38365">
      <c r="D38365" s="9"/>
      <c r="G38365" s="9"/>
      <c r="J38365" s="11"/>
      <c r="U38365" s="9"/>
      <c r="X38365" s="9"/>
    </row>
    <row r="38366">
      <c r="D38366" s="9"/>
      <c r="G38366" s="9"/>
      <c r="J38366" s="11"/>
      <c r="U38366" s="9"/>
      <c r="X38366" s="9"/>
    </row>
    <row r="38367">
      <c r="D38367" s="9"/>
      <c r="G38367" s="9"/>
      <c r="J38367" s="11"/>
      <c r="U38367" s="9"/>
      <c r="X38367" s="9"/>
    </row>
    <row r="38368">
      <c r="D38368" s="9"/>
      <c r="G38368" s="9"/>
      <c r="J38368" s="11"/>
      <c r="U38368" s="9"/>
      <c r="X38368" s="9"/>
    </row>
    <row r="38369">
      <c r="D38369" s="9"/>
      <c r="G38369" s="9"/>
      <c r="J38369" s="11"/>
      <c r="U38369" s="9"/>
      <c r="X38369" s="9"/>
    </row>
    <row r="38370">
      <c r="D38370" s="9"/>
      <c r="G38370" s="9"/>
      <c r="J38370" s="11"/>
      <c r="U38370" s="9"/>
      <c r="X38370" s="9"/>
    </row>
    <row r="38371">
      <c r="D38371" s="9"/>
      <c r="G38371" s="9"/>
      <c r="J38371" s="11"/>
      <c r="U38371" s="9"/>
      <c r="X38371" s="9"/>
    </row>
    <row r="38372">
      <c r="D38372" s="9"/>
      <c r="G38372" s="9"/>
      <c r="J38372" s="11"/>
      <c r="U38372" s="9"/>
      <c r="X38372" s="9"/>
    </row>
    <row r="38373">
      <c r="D38373" s="9"/>
      <c r="G38373" s="9"/>
      <c r="J38373" s="11"/>
      <c r="U38373" s="9"/>
      <c r="X38373" s="9"/>
    </row>
    <row r="38374">
      <c r="D38374" s="9"/>
      <c r="G38374" s="9"/>
      <c r="J38374" s="11"/>
      <c r="U38374" s="9"/>
      <c r="X38374" s="9"/>
    </row>
    <row r="38375">
      <c r="D38375" s="9"/>
      <c r="G38375" s="9"/>
      <c r="J38375" s="11"/>
      <c r="U38375" s="9"/>
      <c r="X38375" s="9"/>
    </row>
    <row r="38376">
      <c r="D38376" s="9"/>
      <c r="G38376" s="9"/>
      <c r="J38376" s="11"/>
      <c r="U38376" s="9"/>
      <c r="X38376" s="9"/>
    </row>
    <row r="38377">
      <c r="D38377" s="9"/>
      <c r="G38377" s="9"/>
      <c r="J38377" s="11"/>
      <c r="U38377" s="9"/>
      <c r="X38377" s="9"/>
    </row>
    <row r="38378">
      <c r="D38378" s="9"/>
      <c r="G38378" s="9"/>
      <c r="J38378" s="11"/>
      <c r="U38378" s="9"/>
      <c r="X38378" s="9"/>
    </row>
    <row r="38379">
      <c r="D38379" s="9"/>
      <c r="G38379" s="9"/>
      <c r="J38379" s="11"/>
      <c r="U38379" s="9"/>
      <c r="X38379" s="9"/>
    </row>
    <row r="38380">
      <c r="D38380" s="9"/>
      <c r="G38380" s="9"/>
      <c r="J38380" s="11"/>
      <c r="U38380" s="9"/>
      <c r="X38380" s="9"/>
    </row>
    <row r="38381">
      <c r="D38381" s="9"/>
      <c r="G38381" s="9"/>
      <c r="J38381" s="11"/>
      <c r="U38381" s="9"/>
      <c r="X38381" s="9"/>
    </row>
    <row r="38382">
      <c r="D38382" s="9"/>
      <c r="G38382" s="9"/>
      <c r="J38382" s="11"/>
      <c r="U38382" s="9"/>
      <c r="X38382" s="9"/>
    </row>
    <row r="38383">
      <c r="D38383" s="9"/>
      <c r="G38383" s="9"/>
      <c r="J38383" s="11"/>
      <c r="U38383" s="9"/>
      <c r="X38383" s="9"/>
    </row>
    <row r="38384">
      <c r="D38384" s="9"/>
      <c r="G38384" s="9"/>
      <c r="J38384" s="11"/>
      <c r="U38384" s="9"/>
      <c r="X38384" s="9"/>
    </row>
    <row r="38385">
      <c r="D38385" s="9"/>
      <c r="G38385" s="9"/>
      <c r="J38385" s="11"/>
      <c r="U38385" s="9"/>
      <c r="X38385" s="9"/>
    </row>
    <row r="38386">
      <c r="D38386" s="9"/>
      <c r="G38386" s="9"/>
      <c r="J38386" s="11"/>
      <c r="U38386" s="9"/>
      <c r="X38386" s="9"/>
    </row>
    <row r="38387">
      <c r="D38387" s="9"/>
      <c r="G38387" s="9"/>
      <c r="J38387" s="11"/>
      <c r="U38387" s="9"/>
      <c r="X38387" s="9"/>
    </row>
    <row r="38388">
      <c r="D38388" s="9"/>
      <c r="G38388" s="9"/>
      <c r="J38388" s="11"/>
      <c r="U38388" s="9"/>
      <c r="X38388" s="9"/>
    </row>
    <row r="38389">
      <c r="D38389" s="9"/>
      <c r="G38389" s="9"/>
      <c r="J38389" s="11"/>
      <c r="U38389" s="9"/>
      <c r="X38389" s="9"/>
    </row>
    <row r="38390">
      <c r="D38390" s="9"/>
      <c r="G38390" s="9"/>
      <c r="J38390" s="11"/>
      <c r="U38390" s="9"/>
      <c r="X38390" s="9"/>
    </row>
    <row r="38391">
      <c r="D38391" s="9"/>
      <c r="G38391" s="9"/>
      <c r="J38391" s="11"/>
      <c r="U38391" s="9"/>
      <c r="X38391" s="9"/>
    </row>
    <row r="38392">
      <c r="D38392" s="9"/>
      <c r="G38392" s="9"/>
      <c r="J38392" s="11"/>
      <c r="U38392" s="9"/>
      <c r="X38392" s="9"/>
    </row>
    <row r="38393">
      <c r="D38393" s="9"/>
      <c r="G38393" s="9"/>
      <c r="J38393" s="11"/>
      <c r="U38393" s="9"/>
      <c r="X38393" s="9"/>
    </row>
    <row r="38394">
      <c r="D38394" s="9"/>
      <c r="G38394" s="9"/>
      <c r="J38394" s="11"/>
      <c r="U38394" s="9"/>
      <c r="X38394" s="9"/>
    </row>
    <row r="38395">
      <c r="D38395" s="9"/>
      <c r="G38395" s="9"/>
      <c r="J38395" s="11"/>
      <c r="U38395" s="9"/>
      <c r="X38395" s="9"/>
    </row>
    <row r="38396">
      <c r="D38396" s="9"/>
      <c r="G38396" s="9"/>
      <c r="J38396" s="11"/>
      <c r="U38396" s="9"/>
      <c r="X38396" s="9"/>
    </row>
    <row r="38397">
      <c r="D38397" s="9"/>
      <c r="G38397" s="9"/>
      <c r="J38397" s="11"/>
      <c r="U38397" s="9"/>
      <c r="X38397" s="9"/>
    </row>
    <row r="38398">
      <c r="D38398" s="9"/>
      <c r="G38398" s="9"/>
      <c r="J38398" s="11"/>
      <c r="U38398" s="9"/>
      <c r="X38398" s="9"/>
    </row>
    <row r="38399">
      <c r="D38399" s="9"/>
      <c r="G38399" s="9"/>
      <c r="J38399" s="11"/>
      <c r="U38399" s="9"/>
      <c r="X38399" s="9"/>
    </row>
    <row r="38400">
      <c r="D38400" s="9"/>
      <c r="G38400" s="9"/>
      <c r="J38400" s="11"/>
      <c r="U38400" s="9"/>
      <c r="X38400" s="9"/>
    </row>
    <row r="38401">
      <c r="D38401" s="9"/>
      <c r="G38401" s="9"/>
      <c r="J38401" s="11"/>
      <c r="U38401" s="9"/>
      <c r="X38401" s="9"/>
    </row>
    <row r="38402">
      <c r="D38402" s="9"/>
      <c r="G38402" s="9"/>
      <c r="J38402" s="11"/>
      <c r="U38402" s="9"/>
      <c r="X38402" s="9"/>
    </row>
    <row r="38403">
      <c r="D38403" s="9"/>
      <c r="G38403" s="9"/>
      <c r="J38403" s="11"/>
      <c r="U38403" s="9"/>
      <c r="X38403" s="9"/>
    </row>
    <row r="38404">
      <c r="D38404" s="9"/>
      <c r="G38404" s="9"/>
      <c r="J38404" s="11"/>
      <c r="U38404" s="9"/>
      <c r="X38404" s="9"/>
    </row>
    <row r="38405">
      <c r="D38405" s="9"/>
      <c r="G38405" s="9"/>
      <c r="J38405" s="11"/>
      <c r="U38405" s="9"/>
      <c r="X38405" s="9"/>
    </row>
    <row r="38406">
      <c r="D38406" s="9"/>
      <c r="G38406" s="9"/>
      <c r="J38406" s="11"/>
      <c r="U38406" s="9"/>
      <c r="X38406" s="9"/>
    </row>
    <row r="38407">
      <c r="D38407" s="9"/>
      <c r="G38407" s="9"/>
      <c r="J38407" s="11"/>
      <c r="U38407" s="9"/>
      <c r="X38407" s="9"/>
    </row>
    <row r="38408">
      <c r="D38408" s="9"/>
      <c r="G38408" s="9"/>
      <c r="J38408" s="11"/>
      <c r="U38408" s="9"/>
      <c r="X38408" s="9"/>
    </row>
    <row r="38409">
      <c r="D38409" s="9"/>
      <c r="G38409" s="9"/>
      <c r="J38409" s="11"/>
      <c r="U38409" s="9"/>
      <c r="X38409" s="9"/>
    </row>
    <row r="38410">
      <c r="D38410" s="9"/>
      <c r="G38410" s="9"/>
      <c r="J38410" s="11"/>
      <c r="U38410" s="9"/>
      <c r="X38410" s="9"/>
    </row>
    <row r="38411">
      <c r="D38411" s="9"/>
      <c r="G38411" s="9"/>
      <c r="J38411" s="11"/>
      <c r="U38411" s="9"/>
      <c r="X38411" s="9"/>
    </row>
    <row r="38412">
      <c r="D38412" s="9"/>
      <c r="G38412" s="9"/>
      <c r="J38412" s="11"/>
      <c r="U38412" s="9"/>
      <c r="X38412" s="9"/>
    </row>
    <row r="38413">
      <c r="D38413" s="9"/>
      <c r="G38413" s="9"/>
      <c r="J38413" s="11"/>
      <c r="U38413" s="9"/>
      <c r="X38413" s="9"/>
    </row>
    <row r="38414">
      <c r="D38414" s="9"/>
      <c r="G38414" s="9"/>
      <c r="J38414" s="11"/>
      <c r="U38414" s="9"/>
      <c r="X38414" s="9"/>
    </row>
    <row r="38415">
      <c r="D38415" s="9"/>
      <c r="G38415" s="9"/>
      <c r="J38415" s="11"/>
      <c r="U38415" s="9"/>
      <c r="X38415" s="9"/>
    </row>
    <row r="38416">
      <c r="D38416" s="9"/>
      <c r="G38416" s="9"/>
      <c r="J38416" s="11"/>
      <c r="U38416" s="9"/>
      <c r="X38416" s="9"/>
    </row>
    <row r="38417">
      <c r="D38417" s="9"/>
      <c r="G38417" s="9"/>
      <c r="J38417" s="11"/>
      <c r="U38417" s="9"/>
      <c r="X38417" s="9"/>
    </row>
    <row r="38418">
      <c r="D38418" s="9"/>
      <c r="G38418" s="9"/>
      <c r="J38418" s="11"/>
      <c r="U38418" s="9"/>
      <c r="X38418" s="9"/>
    </row>
    <row r="38419">
      <c r="D38419" s="9"/>
      <c r="G38419" s="9"/>
      <c r="J38419" s="11"/>
      <c r="U38419" s="9"/>
      <c r="X38419" s="9"/>
    </row>
    <row r="38420">
      <c r="D38420" s="9"/>
      <c r="G38420" s="9"/>
      <c r="J38420" s="11"/>
      <c r="U38420" s="9"/>
      <c r="X38420" s="9"/>
    </row>
    <row r="38421">
      <c r="D38421" s="9"/>
      <c r="G38421" s="9"/>
      <c r="J38421" s="11"/>
      <c r="U38421" s="9"/>
      <c r="X38421" s="9"/>
    </row>
    <row r="38422">
      <c r="D38422" s="9"/>
      <c r="G38422" s="9"/>
      <c r="J38422" s="11"/>
      <c r="U38422" s="9"/>
      <c r="X38422" s="9"/>
    </row>
    <row r="38423">
      <c r="D38423" s="9"/>
      <c r="G38423" s="9"/>
      <c r="J38423" s="11"/>
      <c r="U38423" s="9"/>
      <c r="X38423" s="9"/>
    </row>
    <row r="38424">
      <c r="D38424" s="9"/>
      <c r="G38424" s="9"/>
      <c r="J38424" s="11"/>
      <c r="U38424" s="9"/>
      <c r="X38424" s="9"/>
    </row>
    <row r="38425">
      <c r="D38425" s="9"/>
      <c r="G38425" s="9"/>
      <c r="J38425" s="11"/>
      <c r="U38425" s="9"/>
      <c r="X38425" s="9"/>
    </row>
    <row r="38426">
      <c r="D38426" s="9"/>
      <c r="G38426" s="9"/>
      <c r="J38426" s="11"/>
      <c r="U38426" s="9"/>
      <c r="X38426" s="9"/>
    </row>
    <row r="38427">
      <c r="D38427" s="9"/>
      <c r="G38427" s="9"/>
      <c r="J38427" s="11"/>
      <c r="U38427" s="9"/>
      <c r="X38427" s="9"/>
    </row>
    <row r="38428">
      <c r="D38428" s="9"/>
      <c r="G38428" s="9"/>
      <c r="J38428" s="11"/>
      <c r="U38428" s="9"/>
      <c r="X38428" s="9"/>
    </row>
    <row r="38429">
      <c r="D38429" s="9"/>
      <c r="G38429" s="9"/>
      <c r="J38429" s="11"/>
      <c r="U38429" s="9"/>
      <c r="X38429" s="9"/>
    </row>
    <row r="38430">
      <c r="D38430" s="9"/>
      <c r="G38430" s="9"/>
      <c r="J38430" s="11"/>
      <c r="U38430" s="9"/>
      <c r="X38430" s="9"/>
    </row>
    <row r="38431">
      <c r="D38431" s="9"/>
      <c r="G38431" s="9"/>
      <c r="J38431" s="11"/>
      <c r="U38431" s="9"/>
      <c r="X38431" s="9"/>
    </row>
    <row r="38432">
      <c r="D38432" s="9"/>
      <c r="G38432" s="9"/>
      <c r="J38432" s="11"/>
      <c r="U38432" s="9"/>
      <c r="X38432" s="9"/>
    </row>
    <row r="38433">
      <c r="D38433" s="9"/>
      <c r="G38433" s="9"/>
      <c r="J38433" s="11"/>
      <c r="U38433" s="9"/>
      <c r="X38433" s="9"/>
    </row>
    <row r="38434">
      <c r="D38434" s="9"/>
      <c r="G38434" s="9"/>
      <c r="J38434" s="11"/>
      <c r="U38434" s="9"/>
      <c r="X38434" s="9"/>
    </row>
    <row r="38435">
      <c r="D38435" s="9"/>
      <c r="G38435" s="9"/>
      <c r="J38435" s="11"/>
      <c r="U38435" s="9"/>
      <c r="X38435" s="9"/>
    </row>
    <row r="38436">
      <c r="D38436" s="9"/>
      <c r="G38436" s="9"/>
      <c r="J38436" s="11"/>
      <c r="U38436" s="9"/>
      <c r="X38436" s="9"/>
    </row>
    <row r="38437">
      <c r="D38437" s="9"/>
      <c r="G38437" s="9"/>
      <c r="J38437" s="11"/>
      <c r="U38437" s="9"/>
      <c r="X38437" s="9"/>
    </row>
    <row r="38438">
      <c r="D38438" s="9"/>
      <c r="G38438" s="9"/>
      <c r="J38438" s="11"/>
      <c r="U38438" s="9"/>
      <c r="X38438" s="9"/>
    </row>
    <row r="38439">
      <c r="D38439" s="9"/>
      <c r="G38439" s="9"/>
      <c r="J38439" s="11"/>
      <c r="U38439" s="9"/>
      <c r="X38439" s="9"/>
    </row>
    <row r="38440">
      <c r="D38440" s="9"/>
      <c r="G38440" s="9"/>
      <c r="J38440" s="11"/>
      <c r="U38440" s="9"/>
      <c r="X38440" s="9"/>
    </row>
    <row r="38441">
      <c r="D38441" s="9"/>
      <c r="G38441" s="9"/>
      <c r="J38441" s="11"/>
      <c r="U38441" s="9"/>
      <c r="X38441" s="9"/>
    </row>
    <row r="38442">
      <c r="D38442" s="9"/>
      <c r="G38442" s="9"/>
      <c r="J38442" s="11"/>
      <c r="U38442" s="9"/>
      <c r="X38442" s="9"/>
    </row>
    <row r="38443">
      <c r="D38443" s="9"/>
      <c r="G38443" s="9"/>
      <c r="J38443" s="11"/>
      <c r="U38443" s="9"/>
      <c r="X38443" s="9"/>
    </row>
    <row r="38444">
      <c r="D38444" s="9"/>
      <c r="G38444" s="9"/>
      <c r="J38444" s="11"/>
      <c r="U38444" s="9"/>
      <c r="X38444" s="9"/>
    </row>
    <row r="38445">
      <c r="D38445" s="9"/>
      <c r="G38445" s="9"/>
      <c r="J38445" s="11"/>
      <c r="U38445" s="9"/>
      <c r="X38445" s="9"/>
    </row>
    <row r="38446">
      <c r="D38446" s="9"/>
      <c r="G38446" s="9"/>
      <c r="J38446" s="11"/>
      <c r="U38446" s="9"/>
      <c r="X38446" s="9"/>
    </row>
    <row r="38447">
      <c r="D38447" s="9"/>
      <c r="G38447" s="9"/>
      <c r="J38447" s="11"/>
      <c r="U38447" s="9"/>
      <c r="X38447" s="9"/>
    </row>
    <row r="38448">
      <c r="D38448" s="9"/>
      <c r="G38448" s="9"/>
      <c r="J38448" s="11"/>
      <c r="U38448" s="9"/>
      <c r="X38448" s="9"/>
    </row>
    <row r="38449">
      <c r="D38449" s="9"/>
      <c r="G38449" s="9"/>
      <c r="J38449" s="11"/>
      <c r="U38449" s="9"/>
      <c r="X38449" s="9"/>
    </row>
    <row r="38450">
      <c r="D38450" s="9"/>
      <c r="G38450" s="9"/>
      <c r="J38450" s="11"/>
      <c r="U38450" s="9"/>
      <c r="X38450" s="9"/>
    </row>
    <row r="38451">
      <c r="D38451" s="9"/>
      <c r="G38451" s="9"/>
      <c r="J38451" s="11"/>
      <c r="U38451" s="9"/>
      <c r="X38451" s="9"/>
    </row>
    <row r="38452">
      <c r="D38452" s="9"/>
      <c r="G38452" s="9"/>
      <c r="J38452" s="11"/>
      <c r="U38452" s="9"/>
      <c r="X38452" s="9"/>
    </row>
    <row r="38453">
      <c r="D38453" s="9"/>
      <c r="G38453" s="9"/>
      <c r="J38453" s="11"/>
      <c r="U38453" s="9"/>
      <c r="X38453" s="9"/>
    </row>
    <row r="38454">
      <c r="D38454" s="9"/>
      <c r="G38454" s="9"/>
      <c r="J38454" s="11"/>
      <c r="U38454" s="9"/>
      <c r="X38454" s="9"/>
    </row>
    <row r="38455">
      <c r="D38455" s="9"/>
      <c r="G38455" s="9"/>
      <c r="J38455" s="11"/>
      <c r="U38455" s="9"/>
      <c r="X38455" s="9"/>
    </row>
    <row r="38456">
      <c r="D38456" s="9"/>
      <c r="G38456" s="9"/>
      <c r="J38456" s="11"/>
      <c r="U38456" s="9"/>
      <c r="X38456" s="9"/>
    </row>
    <row r="38457">
      <c r="D38457" s="9"/>
      <c r="G38457" s="9"/>
      <c r="J38457" s="11"/>
      <c r="U38457" s="9"/>
      <c r="X38457" s="9"/>
    </row>
    <row r="38458">
      <c r="D38458" s="9"/>
      <c r="G38458" s="9"/>
      <c r="J38458" s="11"/>
      <c r="U38458" s="9"/>
      <c r="X38458" s="9"/>
    </row>
    <row r="38459">
      <c r="D38459" s="9"/>
      <c r="G38459" s="9"/>
      <c r="J38459" s="11"/>
      <c r="U38459" s="9"/>
      <c r="X38459" s="9"/>
    </row>
    <row r="38460">
      <c r="D38460" s="9"/>
      <c r="G38460" s="9"/>
      <c r="J38460" s="11"/>
      <c r="U38460" s="9"/>
      <c r="X38460" s="9"/>
    </row>
    <row r="38461">
      <c r="D38461" s="9"/>
      <c r="G38461" s="9"/>
      <c r="J38461" s="11"/>
      <c r="U38461" s="9"/>
      <c r="X38461" s="9"/>
    </row>
    <row r="38462">
      <c r="D38462" s="9"/>
      <c r="G38462" s="9"/>
      <c r="J38462" s="11"/>
      <c r="U38462" s="9"/>
      <c r="X38462" s="9"/>
    </row>
    <row r="38463">
      <c r="D38463" s="9"/>
      <c r="G38463" s="9"/>
      <c r="J38463" s="11"/>
      <c r="U38463" s="9"/>
      <c r="X38463" s="9"/>
    </row>
    <row r="38464">
      <c r="D38464" s="9"/>
      <c r="G38464" s="9"/>
      <c r="J38464" s="11"/>
      <c r="U38464" s="9"/>
      <c r="X38464" s="9"/>
    </row>
    <row r="38465">
      <c r="D38465" s="9"/>
      <c r="G38465" s="9"/>
      <c r="J38465" s="11"/>
      <c r="U38465" s="9"/>
      <c r="X38465" s="9"/>
    </row>
    <row r="38466">
      <c r="D38466" s="9"/>
      <c r="G38466" s="9"/>
      <c r="J38466" s="11"/>
      <c r="U38466" s="9"/>
      <c r="X38466" s="9"/>
    </row>
    <row r="38467">
      <c r="D38467" s="9"/>
      <c r="G38467" s="9"/>
      <c r="J38467" s="11"/>
      <c r="U38467" s="9"/>
      <c r="X38467" s="9"/>
    </row>
    <row r="38468">
      <c r="D38468" s="9"/>
      <c r="G38468" s="9"/>
      <c r="J38468" s="11"/>
      <c r="U38468" s="9"/>
      <c r="X38468" s="9"/>
    </row>
    <row r="38469">
      <c r="D38469" s="9"/>
      <c r="G38469" s="9"/>
      <c r="J38469" s="11"/>
      <c r="U38469" s="9"/>
      <c r="X38469" s="9"/>
    </row>
    <row r="38470">
      <c r="D38470" s="9"/>
      <c r="G38470" s="9"/>
      <c r="J38470" s="11"/>
      <c r="U38470" s="9"/>
      <c r="X38470" s="9"/>
    </row>
    <row r="38471">
      <c r="D38471" s="9"/>
      <c r="G38471" s="9"/>
      <c r="J38471" s="11"/>
      <c r="U38471" s="9"/>
      <c r="X38471" s="9"/>
    </row>
    <row r="38472">
      <c r="D38472" s="9"/>
      <c r="G38472" s="9"/>
      <c r="J38472" s="11"/>
      <c r="U38472" s="9"/>
      <c r="X38472" s="9"/>
    </row>
    <row r="38473">
      <c r="D38473" s="9"/>
      <c r="G38473" s="9"/>
      <c r="J38473" s="11"/>
      <c r="U38473" s="9"/>
      <c r="X38473" s="9"/>
    </row>
    <row r="38474">
      <c r="D38474" s="9"/>
      <c r="G38474" s="9"/>
      <c r="J38474" s="11"/>
      <c r="U38474" s="9"/>
      <c r="X38474" s="9"/>
    </row>
    <row r="38475">
      <c r="D38475" s="9"/>
      <c r="G38475" s="9"/>
      <c r="J38475" s="11"/>
      <c r="U38475" s="9"/>
      <c r="X38475" s="9"/>
    </row>
    <row r="38476">
      <c r="D38476" s="9"/>
      <c r="G38476" s="9"/>
      <c r="J38476" s="11"/>
      <c r="U38476" s="9"/>
      <c r="X38476" s="9"/>
    </row>
    <row r="38477">
      <c r="D38477" s="9"/>
      <c r="G38477" s="9"/>
      <c r="J38477" s="11"/>
      <c r="U38477" s="9"/>
      <c r="X38477" s="9"/>
    </row>
    <row r="38478">
      <c r="D38478" s="9"/>
      <c r="G38478" s="9"/>
      <c r="J38478" s="11"/>
      <c r="U38478" s="9"/>
      <c r="X38478" s="9"/>
    </row>
    <row r="38479">
      <c r="D38479" s="9"/>
      <c r="G38479" s="9"/>
      <c r="J38479" s="11"/>
      <c r="U38479" s="9"/>
      <c r="X38479" s="9"/>
    </row>
    <row r="38480">
      <c r="D38480" s="9"/>
      <c r="G38480" s="9"/>
      <c r="J38480" s="11"/>
      <c r="U38480" s="9"/>
      <c r="X38480" s="9"/>
    </row>
    <row r="38481">
      <c r="D38481" s="9"/>
      <c r="G38481" s="9"/>
      <c r="J38481" s="11"/>
      <c r="U38481" s="9"/>
      <c r="X38481" s="9"/>
    </row>
    <row r="38482">
      <c r="D38482" s="9"/>
      <c r="G38482" s="9"/>
      <c r="J38482" s="11"/>
      <c r="U38482" s="9"/>
      <c r="X38482" s="9"/>
    </row>
    <row r="38483">
      <c r="D38483" s="9"/>
      <c r="G38483" s="9"/>
      <c r="J38483" s="11"/>
      <c r="U38483" s="9"/>
      <c r="X38483" s="9"/>
    </row>
    <row r="38484">
      <c r="D38484" s="9"/>
      <c r="G38484" s="9"/>
      <c r="J38484" s="11"/>
      <c r="U38484" s="9"/>
      <c r="X38484" s="9"/>
    </row>
    <row r="38485">
      <c r="D38485" s="9"/>
      <c r="G38485" s="9"/>
      <c r="J38485" s="11"/>
      <c r="U38485" s="9"/>
      <c r="X38485" s="9"/>
    </row>
    <row r="38486">
      <c r="D38486" s="9"/>
      <c r="G38486" s="9"/>
      <c r="J38486" s="11"/>
      <c r="U38486" s="9"/>
      <c r="X38486" s="9"/>
    </row>
    <row r="38487">
      <c r="D38487" s="9"/>
      <c r="G38487" s="9"/>
      <c r="J38487" s="11"/>
      <c r="U38487" s="9"/>
      <c r="X38487" s="9"/>
    </row>
    <row r="38488">
      <c r="D38488" s="9"/>
      <c r="G38488" s="9"/>
      <c r="J38488" s="11"/>
      <c r="U38488" s="9"/>
      <c r="X38488" s="9"/>
    </row>
    <row r="38489">
      <c r="D38489" s="9"/>
      <c r="G38489" s="9"/>
      <c r="J38489" s="11"/>
      <c r="U38489" s="9"/>
      <c r="X38489" s="9"/>
    </row>
    <row r="38490">
      <c r="D38490" s="9"/>
      <c r="G38490" s="9"/>
      <c r="J38490" s="11"/>
      <c r="U38490" s="9"/>
      <c r="X38490" s="9"/>
    </row>
    <row r="38491">
      <c r="D38491" s="9"/>
      <c r="G38491" s="9"/>
      <c r="J38491" s="11"/>
      <c r="U38491" s="9"/>
      <c r="X38491" s="9"/>
    </row>
    <row r="38492">
      <c r="D38492" s="9"/>
      <c r="G38492" s="9"/>
      <c r="J38492" s="11"/>
      <c r="U38492" s="9"/>
      <c r="X38492" s="9"/>
    </row>
    <row r="38493">
      <c r="D38493" s="9"/>
      <c r="G38493" s="9"/>
      <c r="J38493" s="11"/>
      <c r="U38493" s="9"/>
      <c r="X38493" s="9"/>
    </row>
    <row r="38494">
      <c r="D38494" s="9"/>
      <c r="G38494" s="9"/>
      <c r="J38494" s="11"/>
      <c r="U38494" s="9"/>
      <c r="X38494" s="9"/>
    </row>
    <row r="38495">
      <c r="D38495" s="9"/>
      <c r="G38495" s="9"/>
      <c r="J38495" s="11"/>
      <c r="U38495" s="9"/>
      <c r="X38495" s="9"/>
    </row>
    <row r="38496">
      <c r="D38496" s="9"/>
      <c r="G38496" s="9"/>
      <c r="J38496" s="11"/>
      <c r="U38496" s="9"/>
      <c r="X38496" s="9"/>
    </row>
    <row r="38497">
      <c r="D38497" s="9"/>
      <c r="G38497" s="9"/>
      <c r="J38497" s="11"/>
      <c r="U38497" s="9"/>
      <c r="X38497" s="9"/>
    </row>
    <row r="38498">
      <c r="D38498" s="9"/>
      <c r="G38498" s="9"/>
      <c r="J38498" s="11"/>
      <c r="U38498" s="9"/>
      <c r="X38498" s="9"/>
    </row>
    <row r="38499">
      <c r="D38499" s="9"/>
      <c r="G38499" s="9"/>
      <c r="J38499" s="11"/>
      <c r="U38499" s="9"/>
      <c r="X38499" s="9"/>
    </row>
    <row r="38500">
      <c r="D38500" s="9"/>
      <c r="G38500" s="9"/>
      <c r="J38500" s="11"/>
      <c r="U38500" s="9"/>
      <c r="X38500" s="9"/>
    </row>
    <row r="38501">
      <c r="D38501" s="9"/>
      <c r="G38501" s="9"/>
      <c r="J38501" s="11"/>
      <c r="U38501" s="9"/>
      <c r="X38501" s="9"/>
    </row>
    <row r="38502">
      <c r="D38502" s="9"/>
      <c r="G38502" s="9"/>
      <c r="J38502" s="11"/>
      <c r="U38502" s="9"/>
      <c r="X38502" s="9"/>
    </row>
    <row r="38503">
      <c r="D38503" s="9"/>
      <c r="G38503" s="9"/>
      <c r="J38503" s="11"/>
      <c r="U38503" s="9"/>
      <c r="X38503" s="9"/>
    </row>
    <row r="38504">
      <c r="D38504" s="9"/>
      <c r="G38504" s="9"/>
      <c r="J38504" s="11"/>
      <c r="U38504" s="9"/>
      <c r="X38504" s="9"/>
    </row>
    <row r="38505">
      <c r="D38505" s="9"/>
      <c r="G38505" s="9"/>
      <c r="J38505" s="11"/>
      <c r="U38505" s="9"/>
      <c r="X38505" s="9"/>
    </row>
    <row r="38506">
      <c r="D38506" s="9"/>
      <c r="G38506" s="9"/>
      <c r="J38506" s="11"/>
      <c r="U38506" s="9"/>
      <c r="X38506" s="9"/>
    </row>
    <row r="38507">
      <c r="D38507" s="9"/>
      <c r="G38507" s="9"/>
      <c r="J38507" s="11"/>
      <c r="U38507" s="9"/>
      <c r="X38507" s="9"/>
    </row>
    <row r="38508">
      <c r="D38508" s="9"/>
      <c r="G38508" s="9"/>
      <c r="J38508" s="11"/>
      <c r="U38508" s="9"/>
      <c r="X38508" s="9"/>
    </row>
    <row r="38509">
      <c r="D38509" s="9"/>
      <c r="G38509" s="9"/>
      <c r="J38509" s="11"/>
      <c r="U38509" s="9"/>
      <c r="X38509" s="9"/>
    </row>
    <row r="38510">
      <c r="D38510" s="9"/>
      <c r="G38510" s="9"/>
      <c r="J38510" s="11"/>
      <c r="U38510" s="9"/>
      <c r="X38510" s="9"/>
    </row>
    <row r="38511">
      <c r="D38511" s="9"/>
      <c r="G38511" s="9"/>
      <c r="J38511" s="11"/>
      <c r="U38511" s="9"/>
      <c r="X38511" s="9"/>
    </row>
    <row r="38512">
      <c r="D38512" s="9"/>
      <c r="G38512" s="9"/>
      <c r="J38512" s="11"/>
      <c r="U38512" s="9"/>
      <c r="X38512" s="9"/>
    </row>
    <row r="38513">
      <c r="D38513" s="9"/>
      <c r="G38513" s="9"/>
      <c r="J38513" s="11"/>
      <c r="U38513" s="9"/>
      <c r="X38513" s="9"/>
    </row>
    <row r="38514">
      <c r="D38514" s="9"/>
      <c r="G38514" s="9"/>
      <c r="J38514" s="11"/>
      <c r="U38514" s="9"/>
      <c r="X38514" s="9"/>
    </row>
    <row r="38515">
      <c r="D38515" s="9"/>
      <c r="G38515" s="9"/>
      <c r="J38515" s="11"/>
      <c r="U38515" s="9"/>
      <c r="X38515" s="9"/>
    </row>
    <row r="38516">
      <c r="D38516" s="9"/>
      <c r="G38516" s="9"/>
      <c r="J38516" s="11"/>
      <c r="U38516" s="9"/>
      <c r="X38516" s="9"/>
    </row>
    <row r="38517">
      <c r="D38517" s="9"/>
      <c r="G38517" s="9"/>
      <c r="J38517" s="11"/>
      <c r="U38517" s="9"/>
      <c r="X38517" s="9"/>
    </row>
    <row r="38518">
      <c r="D38518" s="9"/>
      <c r="G38518" s="9"/>
      <c r="J38518" s="11"/>
      <c r="U38518" s="9"/>
      <c r="X38518" s="9"/>
    </row>
    <row r="38519">
      <c r="D38519" s="9"/>
      <c r="G38519" s="9"/>
      <c r="J38519" s="11"/>
      <c r="U38519" s="9"/>
      <c r="X38519" s="9"/>
    </row>
    <row r="38520">
      <c r="D38520" s="9"/>
      <c r="G38520" s="9"/>
      <c r="J38520" s="11"/>
      <c r="U38520" s="9"/>
      <c r="X38520" s="9"/>
    </row>
    <row r="38521">
      <c r="D38521" s="9"/>
      <c r="G38521" s="9"/>
      <c r="J38521" s="11"/>
      <c r="U38521" s="9"/>
      <c r="X38521" s="9"/>
    </row>
    <row r="38522">
      <c r="D38522" s="9"/>
      <c r="G38522" s="9"/>
      <c r="J38522" s="11"/>
      <c r="U38522" s="9"/>
      <c r="X38522" s="9"/>
    </row>
    <row r="38523">
      <c r="D38523" s="9"/>
      <c r="G38523" s="9"/>
      <c r="J38523" s="11"/>
      <c r="U38523" s="9"/>
      <c r="X38523" s="9"/>
    </row>
    <row r="38524">
      <c r="D38524" s="9"/>
      <c r="G38524" s="9"/>
      <c r="J38524" s="11"/>
      <c r="U38524" s="9"/>
      <c r="X38524" s="9"/>
    </row>
    <row r="38525">
      <c r="D38525" s="9"/>
      <c r="G38525" s="9"/>
      <c r="J38525" s="11"/>
      <c r="U38525" s="9"/>
      <c r="X38525" s="9"/>
    </row>
    <row r="38526">
      <c r="D38526" s="9"/>
      <c r="G38526" s="9"/>
      <c r="J38526" s="11"/>
      <c r="U38526" s="9"/>
      <c r="X38526" s="9"/>
    </row>
    <row r="38527">
      <c r="D38527" s="9"/>
      <c r="G38527" s="9"/>
      <c r="J38527" s="11"/>
      <c r="U38527" s="9"/>
      <c r="X38527" s="9"/>
    </row>
    <row r="38528">
      <c r="D38528" s="9"/>
      <c r="G38528" s="9"/>
      <c r="J38528" s="11"/>
      <c r="U38528" s="9"/>
      <c r="X38528" s="9"/>
    </row>
    <row r="38529">
      <c r="D38529" s="9"/>
      <c r="G38529" s="9"/>
      <c r="J38529" s="11"/>
      <c r="U38529" s="9"/>
      <c r="X38529" s="9"/>
    </row>
    <row r="38530">
      <c r="D38530" s="9"/>
      <c r="G38530" s="9"/>
      <c r="J38530" s="11"/>
      <c r="U38530" s="9"/>
      <c r="X38530" s="9"/>
    </row>
    <row r="38531">
      <c r="D38531" s="9"/>
      <c r="G38531" s="9"/>
      <c r="J38531" s="11"/>
      <c r="U38531" s="9"/>
      <c r="X38531" s="9"/>
    </row>
    <row r="38532">
      <c r="D38532" s="9"/>
      <c r="G38532" s="9"/>
      <c r="J38532" s="11"/>
      <c r="U38532" s="9"/>
      <c r="X38532" s="9"/>
    </row>
    <row r="38533">
      <c r="D38533" s="9"/>
      <c r="G38533" s="9"/>
      <c r="J38533" s="11"/>
      <c r="U38533" s="9"/>
      <c r="X38533" s="9"/>
    </row>
    <row r="38534">
      <c r="D38534" s="9"/>
      <c r="G38534" s="9"/>
      <c r="J38534" s="11"/>
      <c r="U38534" s="9"/>
      <c r="X38534" s="9"/>
    </row>
    <row r="38535">
      <c r="D38535" s="9"/>
      <c r="G38535" s="9"/>
      <c r="J38535" s="11"/>
      <c r="U38535" s="9"/>
      <c r="X38535" s="9"/>
    </row>
    <row r="38536">
      <c r="D38536" s="9"/>
      <c r="G38536" s="9"/>
      <c r="J38536" s="11"/>
      <c r="U38536" s="9"/>
      <c r="X38536" s="9"/>
    </row>
    <row r="38537">
      <c r="D38537" s="9"/>
      <c r="G38537" s="9"/>
      <c r="J38537" s="11"/>
      <c r="U38537" s="9"/>
      <c r="X38537" s="9"/>
    </row>
    <row r="38538">
      <c r="D38538" s="9"/>
      <c r="G38538" s="9"/>
      <c r="J38538" s="11"/>
      <c r="U38538" s="9"/>
      <c r="X38538" s="9"/>
    </row>
    <row r="38539">
      <c r="D38539" s="9"/>
      <c r="G38539" s="9"/>
      <c r="J38539" s="11"/>
      <c r="U38539" s="9"/>
      <c r="X38539" s="9"/>
    </row>
    <row r="38540">
      <c r="D38540" s="9"/>
      <c r="G38540" s="9"/>
      <c r="J38540" s="11"/>
      <c r="U38540" s="9"/>
      <c r="X38540" s="9"/>
    </row>
    <row r="38541">
      <c r="D38541" s="9"/>
      <c r="G38541" s="9"/>
      <c r="J38541" s="11"/>
      <c r="U38541" s="9"/>
      <c r="X38541" s="9"/>
    </row>
    <row r="38542">
      <c r="D38542" s="9"/>
      <c r="G38542" s="9"/>
      <c r="J38542" s="11"/>
      <c r="U38542" s="9"/>
      <c r="X38542" s="9"/>
    </row>
    <row r="38543">
      <c r="D38543" s="9"/>
      <c r="G38543" s="9"/>
      <c r="J38543" s="11"/>
      <c r="U38543" s="9"/>
      <c r="X38543" s="9"/>
    </row>
    <row r="38544">
      <c r="D38544" s="9"/>
      <c r="G38544" s="9"/>
      <c r="J38544" s="11"/>
      <c r="U38544" s="9"/>
      <c r="X38544" s="9"/>
    </row>
    <row r="38545">
      <c r="D38545" s="9"/>
      <c r="G38545" s="9"/>
      <c r="J38545" s="11"/>
      <c r="U38545" s="9"/>
      <c r="X38545" s="9"/>
    </row>
    <row r="38546">
      <c r="D38546" s="9"/>
      <c r="G38546" s="9"/>
      <c r="J38546" s="11"/>
      <c r="U38546" s="9"/>
      <c r="X38546" s="9"/>
    </row>
    <row r="38547">
      <c r="D38547" s="9"/>
      <c r="G38547" s="9"/>
      <c r="J38547" s="11"/>
      <c r="U38547" s="9"/>
      <c r="X38547" s="9"/>
    </row>
    <row r="38548">
      <c r="D38548" s="9"/>
      <c r="G38548" s="9"/>
      <c r="J38548" s="11"/>
      <c r="U38548" s="9"/>
      <c r="X38548" s="9"/>
    </row>
    <row r="38549">
      <c r="D38549" s="9"/>
      <c r="G38549" s="9"/>
      <c r="J38549" s="11"/>
      <c r="U38549" s="9"/>
      <c r="X38549" s="9"/>
    </row>
    <row r="38550">
      <c r="D38550" s="9"/>
      <c r="G38550" s="9"/>
      <c r="J38550" s="11"/>
      <c r="U38550" s="9"/>
      <c r="X38550" s="9"/>
    </row>
    <row r="38551">
      <c r="D38551" s="9"/>
      <c r="G38551" s="9"/>
      <c r="J38551" s="11"/>
      <c r="U38551" s="9"/>
      <c r="X38551" s="9"/>
    </row>
    <row r="38552">
      <c r="D38552" s="9"/>
      <c r="G38552" s="9"/>
      <c r="J38552" s="11"/>
      <c r="U38552" s="9"/>
      <c r="X38552" s="9"/>
    </row>
    <row r="38553">
      <c r="D38553" s="9"/>
      <c r="G38553" s="9"/>
      <c r="J38553" s="11"/>
      <c r="U38553" s="9"/>
      <c r="X38553" s="9"/>
    </row>
    <row r="38554">
      <c r="D38554" s="9"/>
      <c r="G38554" s="9"/>
      <c r="J38554" s="11"/>
      <c r="U38554" s="9"/>
      <c r="X38554" s="9"/>
    </row>
    <row r="38555">
      <c r="D38555" s="9"/>
      <c r="G38555" s="9"/>
      <c r="J38555" s="11"/>
      <c r="U38555" s="9"/>
      <c r="X38555" s="9"/>
    </row>
    <row r="38556">
      <c r="D38556" s="9"/>
      <c r="G38556" s="9"/>
      <c r="J38556" s="11"/>
      <c r="U38556" s="9"/>
      <c r="X38556" s="9"/>
    </row>
    <row r="38557">
      <c r="D38557" s="9"/>
      <c r="G38557" s="9"/>
      <c r="J38557" s="11"/>
      <c r="U38557" s="9"/>
      <c r="X38557" s="9"/>
    </row>
    <row r="38558">
      <c r="D38558" s="9"/>
      <c r="G38558" s="9"/>
      <c r="J38558" s="11"/>
      <c r="U38558" s="9"/>
      <c r="X38558" s="9"/>
    </row>
    <row r="38559">
      <c r="D38559" s="9"/>
      <c r="G38559" s="9"/>
      <c r="J38559" s="11"/>
      <c r="U38559" s="9"/>
      <c r="X38559" s="9"/>
    </row>
    <row r="38560">
      <c r="D38560" s="9"/>
      <c r="G38560" s="9"/>
      <c r="J38560" s="11"/>
      <c r="U38560" s="9"/>
      <c r="X38560" s="9"/>
    </row>
    <row r="38561">
      <c r="D38561" s="9"/>
      <c r="G38561" s="9"/>
      <c r="J38561" s="11"/>
      <c r="U38561" s="9"/>
      <c r="X38561" s="9"/>
    </row>
    <row r="38562">
      <c r="D38562" s="9"/>
      <c r="G38562" s="9"/>
      <c r="J38562" s="11"/>
      <c r="U38562" s="9"/>
      <c r="X38562" s="9"/>
    </row>
    <row r="38563">
      <c r="D38563" s="9"/>
      <c r="G38563" s="9"/>
      <c r="J38563" s="11"/>
      <c r="U38563" s="9"/>
      <c r="X38563" s="9"/>
    </row>
    <row r="38564">
      <c r="D38564" s="9"/>
      <c r="G38564" s="9"/>
      <c r="J38564" s="11"/>
      <c r="U38564" s="9"/>
      <c r="X38564" s="9"/>
    </row>
    <row r="38565">
      <c r="D38565" s="9"/>
      <c r="G38565" s="9"/>
      <c r="J38565" s="11"/>
      <c r="U38565" s="9"/>
      <c r="X38565" s="9"/>
    </row>
    <row r="38566">
      <c r="D38566" s="9"/>
      <c r="G38566" s="9"/>
      <c r="J38566" s="11"/>
      <c r="U38566" s="9"/>
      <c r="X38566" s="9"/>
    </row>
    <row r="38567">
      <c r="D38567" s="9"/>
      <c r="G38567" s="9"/>
      <c r="J38567" s="11"/>
      <c r="U38567" s="9"/>
      <c r="X38567" s="9"/>
    </row>
    <row r="38568">
      <c r="D38568" s="9"/>
      <c r="G38568" s="9"/>
      <c r="J38568" s="11"/>
      <c r="U38568" s="9"/>
      <c r="X38568" s="9"/>
    </row>
    <row r="38569">
      <c r="D38569" s="9"/>
      <c r="G38569" s="9"/>
      <c r="J38569" s="11"/>
      <c r="U38569" s="9"/>
      <c r="X38569" s="9"/>
    </row>
    <row r="38570">
      <c r="D38570" s="9"/>
      <c r="G38570" s="9"/>
      <c r="J38570" s="11"/>
      <c r="U38570" s="9"/>
      <c r="X38570" s="9"/>
    </row>
    <row r="38571">
      <c r="D38571" s="9"/>
      <c r="G38571" s="9"/>
      <c r="J38571" s="11"/>
      <c r="U38571" s="9"/>
      <c r="X38571" s="9"/>
    </row>
    <row r="38572">
      <c r="D38572" s="9"/>
      <c r="G38572" s="9"/>
      <c r="J38572" s="11"/>
      <c r="U38572" s="9"/>
      <c r="X38572" s="9"/>
    </row>
    <row r="38573">
      <c r="D38573" s="9"/>
      <c r="G38573" s="9"/>
      <c r="J38573" s="11"/>
      <c r="U38573" s="9"/>
      <c r="X38573" s="9"/>
    </row>
    <row r="38574">
      <c r="D38574" s="9"/>
      <c r="G38574" s="9"/>
      <c r="J38574" s="11"/>
      <c r="U38574" s="9"/>
      <c r="X38574" s="9"/>
    </row>
    <row r="38575">
      <c r="D38575" s="9"/>
      <c r="G38575" s="9"/>
      <c r="J38575" s="11"/>
      <c r="U38575" s="9"/>
      <c r="X38575" s="9"/>
    </row>
    <row r="38576">
      <c r="D38576" s="9"/>
      <c r="G38576" s="9"/>
      <c r="J38576" s="11"/>
      <c r="U38576" s="9"/>
      <c r="X38576" s="9"/>
    </row>
    <row r="38577">
      <c r="D38577" s="9"/>
      <c r="G38577" s="9"/>
      <c r="J38577" s="11"/>
      <c r="U38577" s="9"/>
      <c r="X38577" s="9"/>
    </row>
    <row r="38578">
      <c r="D38578" s="9"/>
      <c r="G38578" s="9"/>
      <c r="J38578" s="11"/>
      <c r="U38578" s="9"/>
      <c r="X38578" s="9"/>
    </row>
    <row r="38579">
      <c r="D38579" s="9"/>
      <c r="G38579" s="9"/>
      <c r="J38579" s="11"/>
      <c r="U38579" s="9"/>
      <c r="X38579" s="9"/>
    </row>
    <row r="38580">
      <c r="D38580" s="9"/>
      <c r="G38580" s="9"/>
      <c r="J38580" s="11"/>
      <c r="U38580" s="9"/>
      <c r="X38580" s="9"/>
    </row>
    <row r="38581">
      <c r="D38581" s="9"/>
      <c r="G38581" s="9"/>
      <c r="J38581" s="11"/>
      <c r="U38581" s="9"/>
      <c r="X38581" s="9"/>
    </row>
    <row r="38582">
      <c r="D38582" s="9"/>
      <c r="G38582" s="9"/>
      <c r="J38582" s="11"/>
      <c r="U38582" s="9"/>
      <c r="X38582" s="9"/>
    </row>
    <row r="38583">
      <c r="D38583" s="9"/>
      <c r="G38583" s="9"/>
      <c r="J38583" s="11"/>
      <c r="U38583" s="9"/>
      <c r="X38583" s="9"/>
    </row>
    <row r="38584">
      <c r="D38584" s="9"/>
      <c r="G38584" s="9"/>
      <c r="J38584" s="11"/>
      <c r="U38584" s="9"/>
      <c r="X38584" s="9"/>
    </row>
    <row r="38585">
      <c r="D38585" s="9"/>
      <c r="G38585" s="9"/>
      <c r="J38585" s="11"/>
      <c r="U38585" s="9"/>
      <c r="X38585" s="9"/>
    </row>
    <row r="38586">
      <c r="D38586" s="9"/>
      <c r="G38586" s="9"/>
      <c r="J38586" s="11"/>
      <c r="U38586" s="9"/>
      <c r="X38586" s="9"/>
    </row>
    <row r="38587">
      <c r="D38587" s="9"/>
      <c r="G38587" s="9"/>
      <c r="J38587" s="11"/>
      <c r="U38587" s="9"/>
      <c r="X38587" s="9"/>
    </row>
    <row r="38588">
      <c r="D38588" s="9"/>
      <c r="G38588" s="9"/>
      <c r="J38588" s="11"/>
      <c r="U38588" s="9"/>
      <c r="X38588" s="9"/>
    </row>
    <row r="38589">
      <c r="D38589" s="9"/>
      <c r="G38589" s="9"/>
      <c r="J38589" s="11"/>
      <c r="U38589" s="9"/>
      <c r="X38589" s="9"/>
    </row>
    <row r="38590">
      <c r="D38590" s="9"/>
      <c r="G38590" s="9"/>
      <c r="J38590" s="11"/>
      <c r="U38590" s="9"/>
      <c r="X38590" s="9"/>
    </row>
    <row r="38591">
      <c r="D38591" s="9"/>
      <c r="G38591" s="9"/>
      <c r="J38591" s="11"/>
      <c r="U38591" s="9"/>
      <c r="X38591" s="9"/>
    </row>
    <row r="38592">
      <c r="D38592" s="9"/>
      <c r="G38592" s="9"/>
      <c r="J38592" s="11"/>
      <c r="U38592" s="9"/>
      <c r="X38592" s="9"/>
    </row>
    <row r="38593">
      <c r="D38593" s="9"/>
      <c r="G38593" s="9"/>
      <c r="J38593" s="11"/>
      <c r="U38593" s="9"/>
      <c r="X38593" s="9"/>
    </row>
    <row r="38594">
      <c r="D38594" s="9"/>
      <c r="G38594" s="9"/>
      <c r="J38594" s="11"/>
      <c r="U38594" s="9"/>
      <c r="X38594" s="9"/>
    </row>
    <row r="38595">
      <c r="D38595" s="9"/>
      <c r="G38595" s="9"/>
      <c r="J38595" s="11"/>
      <c r="U38595" s="9"/>
      <c r="X38595" s="9"/>
    </row>
    <row r="38596">
      <c r="D38596" s="9"/>
      <c r="G38596" s="9"/>
      <c r="J38596" s="11"/>
      <c r="U38596" s="9"/>
      <c r="X38596" s="9"/>
    </row>
    <row r="38597">
      <c r="D38597" s="9"/>
      <c r="G38597" s="9"/>
      <c r="J38597" s="11"/>
      <c r="U38597" s="9"/>
      <c r="X38597" s="9"/>
    </row>
    <row r="38598">
      <c r="D38598" s="9"/>
      <c r="G38598" s="9"/>
      <c r="J38598" s="11"/>
      <c r="U38598" s="9"/>
      <c r="X38598" s="9"/>
    </row>
    <row r="38599">
      <c r="D38599" s="9"/>
      <c r="G38599" s="9"/>
      <c r="J38599" s="11"/>
      <c r="U38599" s="9"/>
      <c r="X38599" s="9"/>
    </row>
    <row r="38600">
      <c r="D38600" s="9"/>
      <c r="G38600" s="9"/>
      <c r="J38600" s="11"/>
      <c r="U38600" s="9"/>
      <c r="X38600" s="9"/>
    </row>
    <row r="38601">
      <c r="D38601" s="9"/>
      <c r="G38601" s="9"/>
      <c r="J38601" s="11"/>
      <c r="U38601" s="9"/>
      <c r="X38601" s="9"/>
    </row>
    <row r="38602">
      <c r="D38602" s="9"/>
      <c r="G38602" s="9"/>
      <c r="J38602" s="11"/>
      <c r="U38602" s="9"/>
      <c r="X38602" s="9"/>
    </row>
    <row r="38603">
      <c r="D38603" s="9"/>
      <c r="G38603" s="9"/>
      <c r="J38603" s="11"/>
      <c r="U38603" s="9"/>
      <c r="X38603" s="9"/>
    </row>
    <row r="38604">
      <c r="D38604" s="9"/>
      <c r="G38604" s="9"/>
      <c r="J38604" s="11"/>
      <c r="U38604" s="9"/>
      <c r="X38604" s="9"/>
    </row>
    <row r="38605">
      <c r="D38605" s="9"/>
      <c r="G38605" s="9"/>
      <c r="J38605" s="11"/>
      <c r="U38605" s="9"/>
      <c r="X38605" s="9"/>
    </row>
    <row r="38606">
      <c r="D38606" s="9"/>
      <c r="G38606" s="9"/>
      <c r="J38606" s="11"/>
      <c r="U38606" s="9"/>
      <c r="X38606" s="9"/>
    </row>
    <row r="38607">
      <c r="D38607" s="9"/>
      <c r="G38607" s="9"/>
      <c r="J38607" s="11"/>
      <c r="U38607" s="9"/>
      <c r="X38607" s="9"/>
    </row>
    <row r="38608">
      <c r="D38608" s="9"/>
      <c r="G38608" s="9"/>
      <c r="J38608" s="11"/>
      <c r="U38608" s="9"/>
      <c r="X38608" s="9"/>
    </row>
    <row r="38609">
      <c r="D38609" s="9"/>
      <c r="G38609" s="9"/>
      <c r="J38609" s="11"/>
      <c r="U38609" s="9"/>
      <c r="X38609" s="9"/>
    </row>
    <row r="38610">
      <c r="D38610" s="9"/>
      <c r="G38610" s="9"/>
      <c r="J38610" s="11"/>
      <c r="U38610" s="9"/>
      <c r="X38610" s="9"/>
    </row>
    <row r="38611">
      <c r="D38611" s="9"/>
      <c r="G38611" s="9"/>
      <c r="J38611" s="11"/>
      <c r="U38611" s="9"/>
      <c r="X38611" s="9"/>
    </row>
    <row r="38612">
      <c r="D38612" s="9"/>
      <c r="G38612" s="9"/>
      <c r="J38612" s="11"/>
      <c r="U38612" s="9"/>
      <c r="X38612" s="9"/>
    </row>
    <row r="38613">
      <c r="D38613" s="9"/>
      <c r="G38613" s="9"/>
      <c r="J38613" s="11"/>
      <c r="U38613" s="9"/>
      <c r="X38613" s="9"/>
    </row>
    <row r="38614">
      <c r="D38614" s="9"/>
      <c r="G38614" s="9"/>
      <c r="J38614" s="11"/>
      <c r="U38614" s="9"/>
      <c r="X38614" s="9"/>
    </row>
    <row r="38615">
      <c r="D38615" s="9"/>
      <c r="G38615" s="9"/>
      <c r="J38615" s="11"/>
      <c r="U38615" s="9"/>
      <c r="X38615" s="9"/>
    </row>
    <row r="38616">
      <c r="D38616" s="9"/>
      <c r="G38616" s="9"/>
      <c r="J38616" s="11"/>
      <c r="U38616" s="9"/>
      <c r="X38616" s="9"/>
    </row>
    <row r="38617">
      <c r="D38617" s="9"/>
      <c r="G38617" s="9"/>
      <c r="J38617" s="11"/>
      <c r="U38617" s="9"/>
      <c r="X38617" s="9"/>
    </row>
    <row r="38618">
      <c r="D38618" s="9"/>
      <c r="G38618" s="9"/>
      <c r="J38618" s="11"/>
      <c r="U38618" s="9"/>
      <c r="X38618" s="9"/>
    </row>
    <row r="38619">
      <c r="D38619" s="9"/>
      <c r="G38619" s="9"/>
      <c r="J38619" s="11"/>
      <c r="U38619" s="9"/>
      <c r="X38619" s="9"/>
    </row>
    <row r="38620">
      <c r="D38620" s="9"/>
      <c r="G38620" s="9"/>
      <c r="J38620" s="11"/>
      <c r="U38620" s="9"/>
      <c r="X38620" s="9"/>
    </row>
    <row r="38621">
      <c r="D38621" s="9"/>
      <c r="G38621" s="9"/>
      <c r="J38621" s="11"/>
      <c r="U38621" s="9"/>
      <c r="X38621" s="9"/>
    </row>
    <row r="38622">
      <c r="D38622" s="9"/>
      <c r="G38622" s="9"/>
      <c r="J38622" s="11"/>
      <c r="U38622" s="9"/>
      <c r="X38622" s="9"/>
    </row>
    <row r="38623">
      <c r="D38623" s="9"/>
      <c r="G38623" s="9"/>
      <c r="J38623" s="11"/>
      <c r="U38623" s="9"/>
      <c r="X38623" s="9"/>
    </row>
    <row r="38624">
      <c r="D38624" s="9"/>
      <c r="G38624" s="9"/>
      <c r="J38624" s="11"/>
      <c r="U38624" s="9"/>
      <c r="X38624" s="9"/>
    </row>
    <row r="38625">
      <c r="D38625" s="9"/>
      <c r="G38625" s="9"/>
      <c r="J38625" s="11"/>
      <c r="U38625" s="9"/>
      <c r="X38625" s="9"/>
    </row>
    <row r="38626">
      <c r="D38626" s="9"/>
      <c r="G38626" s="9"/>
      <c r="J38626" s="11"/>
      <c r="U38626" s="9"/>
      <c r="X38626" s="9"/>
    </row>
    <row r="38627">
      <c r="D38627" s="9"/>
      <c r="G38627" s="9"/>
      <c r="J38627" s="11"/>
      <c r="U38627" s="9"/>
      <c r="X38627" s="9"/>
    </row>
    <row r="38628">
      <c r="D38628" s="9"/>
      <c r="G38628" s="9"/>
      <c r="J38628" s="11"/>
      <c r="U38628" s="9"/>
      <c r="X38628" s="9"/>
    </row>
    <row r="38629">
      <c r="D38629" s="9"/>
      <c r="G38629" s="9"/>
      <c r="J38629" s="11"/>
      <c r="U38629" s="9"/>
      <c r="X38629" s="9"/>
    </row>
    <row r="38630">
      <c r="D38630" s="9"/>
      <c r="G38630" s="9"/>
      <c r="J38630" s="11"/>
      <c r="U38630" s="9"/>
      <c r="X38630" s="9"/>
    </row>
    <row r="38631">
      <c r="D38631" s="9"/>
      <c r="G38631" s="9"/>
      <c r="J38631" s="11"/>
      <c r="U38631" s="9"/>
      <c r="X38631" s="9"/>
    </row>
    <row r="38632">
      <c r="D38632" s="9"/>
      <c r="G38632" s="9"/>
      <c r="J38632" s="11"/>
      <c r="U38632" s="9"/>
      <c r="X38632" s="9"/>
    </row>
    <row r="38633">
      <c r="D38633" s="9"/>
      <c r="G38633" s="9"/>
      <c r="J38633" s="11"/>
      <c r="U38633" s="9"/>
      <c r="X38633" s="9"/>
    </row>
    <row r="38634">
      <c r="D38634" s="9"/>
      <c r="G38634" s="9"/>
      <c r="J38634" s="11"/>
      <c r="U38634" s="9"/>
      <c r="X38634" s="9"/>
    </row>
    <row r="38635">
      <c r="D38635" s="9"/>
      <c r="G38635" s="9"/>
      <c r="J38635" s="11"/>
      <c r="U38635" s="9"/>
      <c r="X38635" s="9"/>
    </row>
    <row r="38636">
      <c r="D38636" s="9"/>
      <c r="G38636" s="9"/>
      <c r="J38636" s="11"/>
      <c r="U38636" s="9"/>
      <c r="X38636" s="9"/>
    </row>
    <row r="38637">
      <c r="D38637" s="9"/>
      <c r="G38637" s="9"/>
      <c r="J38637" s="11"/>
      <c r="U38637" s="9"/>
      <c r="X38637" s="9"/>
    </row>
    <row r="38638">
      <c r="D38638" s="9"/>
      <c r="G38638" s="9"/>
      <c r="J38638" s="11"/>
      <c r="U38638" s="9"/>
      <c r="X38638" s="9"/>
    </row>
    <row r="38639">
      <c r="D38639" s="9"/>
      <c r="G38639" s="9"/>
      <c r="J38639" s="11"/>
      <c r="U38639" s="9"/>
      <c r="X38639" s="9"/>
    </row>
    <row r="38640">
      <c r="D38640" s="9"/>
      <c r="G38640" s="9"/>
      <c r="J38640" s="11"/>
      <c r="U38640" s="9"/>
      <c r="X38640" s="9"/>
    </row>
    <row r="38641">
      <c r="D38641" s="9"/>
      <c r="G38641" s="9"/>
      <c r="J38641" s="11"/>
      <c r="U38641" s="9"/>
      <c r="X38641" s="9"/>
    </row>
    <row r="38642">
      <c r="D38642" s="9"/>
      <c r="G38642" s="9"/>
      <c r="J38642" s="11"/>
      <c r="U38642" s="9"/>
      <c r="X38642" s="9"/>
    </row>
    <row r="38643">
      <c r="D38643" s="9"/>
      <c r="G38643" s="9"/>
      <c r="J38643" s="11"/>
      <c r="U38643" s="9"/>
      <c r="X38643" s="9"/>
    </row>
    <row r="38644">
      <c r="D38644" s="9"/>
      <c r="G38644" s="9"/>
      <c r="J38644" s="11"/>
      <c r="U38644" s="9"/>
      <c r="X38644" s="9"/>
    </row>
    <row r="38645">
      <c r="D38645" s="9"/>
      <c r="G38645" s="9"/>
      <c r="J38645" s="11"/>
      <c r="U38645" s="9"/>
      <c r="X38645" s="9"/>
    </row>
    <row r="38646">
      <c r="D38646" s="9"/>
      <c r="G38646" s="9"/>
      <c r="J38646" s="11"/>
      <c r="U38646" s="9"/>
      <c r="X38646" s="9"/>
    </row>
    <row r="38647">
      <c r="D38647" s="9"/>
      <c r="G38647" s="9"/>
      <c r="J38647" s="11"/>
      <c r="U38647" s="9"/>
      <c r="X38647" s="9"/>
    </row>
    <row r="38648">
      <c r="D38648" s="9"/>
      <c r="G38648" s="9"/>
      <c r="J38648" s="11"/>
      <c r="U38648" s="9"/>
      <c r="X38648" s="9"/>
    </row>
    <row r="38649">
      <c r="D38649" s="9"/>
      <c r="G38649" s="9"/>
      <c r="J38649" s="11"/>
      <c r="U38649" s="9"/>
      <c r="X38649" s="9"/>
    </row>
    <row r="38650">
      <c r="D38650" s="9"/>
      <c r="G38650" s="9"/>
      <c r="J38650" s="11"/>
      <c r="U38650" s="9"/>
      <c r="X38650" s="9"/>
    </row>
    <row r="38651">
      <c r="D38651" s="9"/>
      <c r="G38651" s="9"/>
      <c r="J38651" s="11"/>
      <c r="U38651" s="9"/>
      <c r="X38651" s="9"/>
    </row>
    <row r="38652">
      <c r="D38652" s="9"/>
      <c r="G38652" s="9"/>
      <c r="J38652" s="11"/>
      <c r="U38652" s="9"/>
      <c r="X38652" s="9"/>
    </row>
    <row r="38653">
      <c r="D38653" s="9"/>
      <c r="G38653" s="9"/>
      <c r="J38653" s="11"/>
      <c r="U38653" s="9"/>
      <c r="X38653" s="9"/>
    </row>
    <row r="38654">
      <c r="D38654" s="9"/>
      <c r="G38654" s="9"/>
      <c r="J38654" s="11"/>
      <c r="U38654" s="9"/>
      <c r="X38654" s="9"/>
    </row>
    <row r="38655">
      <c r="D38655" s="9"/>
      <c r="G38655" s="9"/>
      <c r="J38655" s="11"/>
      <c r="U38655" s="9"/>
      <c r="X38655" s="9"/>
    </row>
    <row r="38656">
      <c r="D38656" s="9"/>
      <c r="G38656" s="9"/>
      <c r="J38656" s="11"/>
      <c r="U38656" s="9"/>
      <c r="X38656" s="9"/>
    </row>
    <row r="38657">
      <c r="D38657" s="9"/>
      <c r="G38657" s="9"/>
      <c r="J38657" s="11"/>
      <c r="U38657" s="9"/>
      <c r="X38657" s="9"/>
    </row>
    <row r="38658">
      <c r="D38658" s="9"/>
      <c r="G38658" s="9"/>
      <c r="J38658" s="11"/>
      <c r="U38658" s="9"/>
      <c r="X38658" s="9"/>
    </row>
    <row r="38659">
      <c r="D38659" s="9"/>
      <c r="G38659" s="9"/>
      <c r="J38659" s="11"/>
      <c r="U38659" s="9"/>
      <c r="X38659" s="9"/>
    </row>
    <row r="38660">
      <c r="D38660" s="9"/>
      <c r="G38660" s="9"/>
      <c r="J38660" s="11"/>
      <c r="U38660" s="9"/>
      <c r="X38660" s="9"/>
    </row>
    <row r="38661">
      <c r="D38661" s="9"/>
      <c r="G38661" s="9"/>
      <c r="J38661" s="11"/>
      <c r="U38661" s="9"/>
      <c r="X38661" s="9"/>
    </row>
    <row r="38662">
      <c r="D38662" s="9"/>
      <c r="G38662" s="9"/>
      <c r="J38662" s="11"/>
      <c r="U38662" s="9"/>
      <c r="X38662" s="9"/>
    </row>
    <row r="38663">
      <c r="D38663" s="9"/>
      <c r="G38663" s="9"/>
      <c r="J38663" s="11"/>
      <c r="U38663" s="9"/>
      <c r="X38663" s="9"/>
    </row>
    <row r="38664">
      <c r="D38664" s="9"/>
      <c r="G38664" s="9"/>
      <c r="J38664" s="11"/>
      <c r="U38664" s="9"/>
      <c r="X38664" s="9"/>
    </row>
    <row r="38665">
      <c r="D38665" s="9"/>
      <c r="G38665" s="9"/>
      <c r="J38665" s="11"/>
      <c r="U38665" s="9"/>
      <c r="X38665" s="9"/>
    </row>
    <row r="38666">
      <c r="D38666" s="9"/>
      <c r="G38666" s="9"/>
      <c r="J38666" s="11"/>
      <c r="U38666" s="9"/>
      <c r="X38666" s="9"/>
    </row>
    <row r="38667">
      <c r="D38667" s="9"/>
      <c r="G38667" s="9"/>
      <c r="J38667" s="11"/>
      <c r="U38667" s="9"/>
      <c r="X38667" s="9"/>
    </row>
    <row r="38668">
      <c r="D38668" s="9"/>
      <c r="G38668" s="9"/>
      <c r="J38668" s="11"/>
      <c r="U38668" s="9"/>
      <c r="X38668" s="9"/>
    </row>
    <row r="38669">
      <c r="D38669" s="9"/>
      <c r="G38669" s="9"/>
      <c r="J38669" s="11"/>
      <c r="U38669" s="9"/>
      <c r="X38669" s="9"/>
    </row>
    <row r="38670">
      <c r="D38670" s="9"/>
      <c r="G38670" s="9"/>
      <c r="J38670" s="11"/>
      <c r="U38670" s="9"/>
      <c r="X38670" s="9"/>
    </row>
    <row r="38671">
      <c r="D38671" s="9"/>
      <c r="G38671" s="9"/>
      <c r="J38671" s="11"/>
      <c r="U38671" s="9"/>
      <c r="X38671" s="9"/>
    </row>
    <row r="38672">
      <c r="D38672" s="9"/>
      <c r="G38672" s="9"/>
      <c r="J38672" s="11"/>
      <c r="U38672" s="9"/>
      <c r="X38672" s="9"/>
    </row>
    <row r="38673">
      <c r="D38673" s="9"/>
      <c r="G38673" s="9"/>
      <c r="J38673" s="11"/>
      <c r="U38673" s="9"/>
      <c r="X38673" s="9"/>
    </row>
    <row r="38674">
      <c r="D38674" s="9"/>
      <c r="G38674" s="9"/>
      <c r="J38674" s="11"/>
      <c r="U38674" s="9"/>
      <c r="X38674" s="9"/>
    </row>
    <row r="38675">
      <c r="D38675" s="9"/>
      <c r="G38675" s="9"/>
      <c r="J38675" s="11"/>
      <c r="U38675" s="9"/>
      <c r="X38675" s="9"/>
    </row>
    <row r="38676">
      <c r="D38676" s="9"/>
      <c r="G38676" s="9"/>
      <c r="J38676" s="11"/>
      <c r="U38676" s="9"/>
      <c r="X38676" s="9"/>
    </row>
    <row r="38677">
      <c r="D38677" s="9"/>
      <c r="G38677" s="9"/>
      <c r="J38677" s="11"/>
      <c r="U38677" s="9"/>
      <c r="X38677" s="9"/>
    </row>
    <row r="38678">
      <c r="D38678" s="9"/>
      <c r="G38678" s="9"/>
      <c r="J38678" s="11"/>
      <c r="U38678" s="9"/>
      <c r="X38678" s="9"/>
    </row>
    <row r="38679">
      <c r="D38679" s="9"/>
      <c r="G38679" s="9"/>
      <c r="J38679" s="11"/>
      <c r="U38679" s="9"/>
      <c r="X38679" s="9"/>
    </row>
    <row r="38680">
      <c r="D38680" s="9"/>
      <c r="G38680" s="9"/>
      <c r="J38680" s="11"/>
      <c r="U38680" s="9"/>
      <c r="X38680" s="9"/>
    </row>
    <row r="38681">
      <c r="D38681" s="9"/>
      <c r="G38681" s="9"/>
      <c r="J38681" s="11"/>
      <c r="U38681" s="9"/>
      <c r="X38681" s="9"/>
    </row>
    <row r="38682">
      <c r="D38682" s="9"/>
      <c r="G38682" s="9"/>
      <c r="J38682" s="11"/>
      <c r="U38682" s="9"/>
      <c r="X38682" s="9"/>
    </row>
    <row r="38683">
      <c r="D38683" s="9"/>
      <c r="G38683" s="9"/>
      <c r="J38683" s="11"/>
      <c r="U38683" s="9"/>
      <c r="X38683" s="9"/>
    </row>
    <row r="38684">
      <c r="D38684" s="9"/>
      <c r="G38684" s="9"/>
      <c r="J38684" s="11"/>
      <c r="U38684" s="9"/>
      <c r="X38684" s="9"/>
    </row>
    <row r="38685">
      <c r="D38685" s="9"/>
      <c r="G38685" s="9"/>
      <c r="J38685" s="11"/>
      <c r="U38685" s="9"/>
      <c r="X38685" s="9"/>
    </row>
    <row r="38686">
      <c r="D38686" s="9"/>
      <c r="G38686" s="9"/>
      <c r="J38686" s="11"/>
      <c r="U38686" s="9"/>
      <c r="X38686" s="9"/>
    </row>
    <row r="38687">
      <c r="D38687" s="9"/>
      <c r="G38687" s="9"/>
      <c r="J38687" s="11"/>
      <c r="U38687" s="9"/>
      <c r="X38687" s="9"/>
    </row>
    <row r="38688">
      <c r="D38688" s="9"/>
      <c r="G38688" s="9"/>
      <c r="J38688" s="11"/>
      <c r="U38688" s="9"/>
      <c r="X38688" s="9"/>
    </row>
    <row r="38689">
      <c r="D38689" s="9"/>
      <c r="G38689" s="9"/>
      <c r="J38689" s="11"/>
      <c r="U38689" s="9"/>
      <c r="X38689" s="9"/>
    </row>
    <row r="38690">
      <c r="D38690" s="9"/>
      <c r="G38690" s="9"/>
      <c r="J38690" s="11"/>
      <c r="U38690" s="9"/>
      <c r="X38690" s="9"/>
    </row>
    <row r="38691">
      <c r="D38691" s="9"/>
      <c r="G38691" s="9"/>
      <c r="J38691" s="11"/>
      <c r="U38691" s="9"/>
      <c r="X38691" s="9"/>
    </row>
    <row r="38692">
      <c r="D38692" s="9"/>
      <c r="G38692" s="9"/>
      <c r="J38692" s="11"/>
      <c r="U38692" s="9"/>
      <c r="X38692" s="9"/>
    </row>
    <row r="38693">
      <c r="D38693" s="9"/>
      <c r="G38693" s="9"/>
      <c r="J38693" s="11"/>
      <c r="U38693" s="9"/>
      <c r="X38693" s="9"/>
    </row>
    <row r="38694">
      <c r="D38694" s="9"/>
      <c r="G38694" s="9"/>
      <c r="J38694" s="11"/>
      <c r="U38694" s="9"/>
      <c r="X38694" s="9"/>
    </row>
    <row r="38695">
      <c r="D38695" s="9"/>
      <c r="G38695" s="9"/>
      <c r="J38695" s="11"/>
      <c r="U38695" s="9"/>
      <c r="X38695" s="9"/>
    </row>
    <row r="38696">
      <c r="D38696" s="9"/>
      <c r="G38696" s="9"/>
      <c r="J38696" s="11"/>
      <c r="U38696" s="9"/>
      <c r="X38696" s="9"/>
    </row>
    <row r="38697">
      <c r="D38697" s="9"/>
      <c r="G38697" s="9"/>
      <c r="J38697" s="11"/>
      <c r="U38697" s="9"/>
      <c r="X38697" s="9"/>
    </row>
    <row r="38698">
      <c r="D38698" s="9"/>
      <c r="G38698" s="9"/>
      <c r="J38698" s="11"/>
      <c r="U38698" s="9"/>
      <c r="X38698" s="9"/>
    </row>
    <row r="38699">
      <c r="D38699" s="9"/>
      <c r="G38699" s="9"/>
      <c r="J38699" s="11"/>
      <c r="U38699" s="9"/>
      <c r="X38699" s="9"/>
    </row>
    <row r="38700">
      <c r="D38700" s="9"/>
      <c r="G38700" s="9"/>
      <c r="J38700" s="11"/>
      <c r="U38700" s="9"/>
      <c r="X38700" s="9"/>
    </row>
    <row r="38701">
      <c r="D38701" s="9"/>
      <c r="G38701" s="9"/>
      <c r="J38701" s="11"/>
      <c r="U38701" s="9"/>
      <c r="X38701" s="9"/>
    </row>
    <row r="38702">
      <c r="D38702" s="9"/>
      <c r="G38702" s="9"/>
      <c r="J38702" s="11"/>
      <c r="U38702" s="9"/>
      <c r="X38702" s="9"/>
    </row>
    <row r="38703">
      <c r="D38703" s="9"/>
      <c r="G38703" s="9"/>
      <c r="J38703" s="11"/>
      <c r="U38703" s="9"/>
      <c r="X38703" s="9"/>
    </row>
    <row r="38704">
      <c r="D38704" s="9"/>
      <c r="G38704" s="9"/>
      <c r="J38704" s="11"/>
      <c r="U38704" s="9"/>
      <c r="X38704" s="9"/>
    </row>
    <row r="38705">
      <c r="D38705" s="9"/>
      <c r="G38705" s="9"/>
      <c r="J38705" s="11"/>
      <c r="U38705" s="9"/>
      <c r="X38705" s="9"/>
    </row>
    <row r="38706">
      <c r="D38706" s="9"/>
      <c r="G38706" s="9"/>
      <c r="J38706" s="11"/>
      <c r="U38706" s="9"/>
      <c r="X38706" s="9"/>
    </row>
    <row r="38707">
      <c r="D38707" s="9"/>
      <c r="G38707" s="9"/>
      <c r="J38707" s="11"/>
      <c r="U38707" s="9"/>
      <c r="X38707" s="9"/>
    </row>
    <row r="38708">
      <c r="D38708" s="9"/>
      <c r="G38708" s="9"/>
      <c r="J38708" s="11"/>
      <c r="U38708" s="9"/>
      <c r="X38708" s="9"/>
    </row>
    <row r="38709">
      <c r="D38709" s="9"/>
      <c r="G38709" s="9"/>
      <c r="J38709" s="11"/>
      <c r="U38709" s="9"/>
      <c r="X38709" s="9"/>
    </row>
    <row r="38710">
      <c r="D38710" s="9"/>
      <c r="G38710" s="9"/>
      <c r="J38710" s="11"/>
      <c r="U38710" s="9"/>
      <c r="X38710" s="9"/>
    </row>
    <row r="38711">
      <c r="D38711" s="9"/>
      <c r="G38711" s="9"/>
      <c r="J38711" s="11"/>
      <c r="U38711" s="9"/>
      <c r="X38711" s="9"/>
    </row>
    <row r="38712">
      <c r="D38712" s="9"/>
      <c r="G38712" s="9"/>
      <c r="J38712" s="11"/>
      <c r="U38712" s="9"/>
      <c r="X38712" s="9"/>
    </row>
    <row r="38713">
      <c r="D38713" s="9"/>
      <c r="G38713" s="9"/>
      <c r="J38713" s="11"/>
      <c r="U38713" s="9"/>
      <c r="X38713" s="9"/>
    </row>
    <row r="38714">
      <c r="D38714" s="9"/>
      <c r="G38714" s="9"/>
      <c r="J38714" s="11"/>
      <c r="U38714" s="9"/>
      <c r="X38714" s="9"/>
    </row>
    <row r="38715">
      <c r="D38715" s="9"/>
      <c r="G38715" s="9"/>
      <c r="J38715" s="11"/>
      <c r="U38715" s="9"/>
      <c r="X38715" s="9"/>
    </row>
    <row r="38716">
      <c r="D38716" s="9"/>
      <c r="G38716" s="9"/>
      <c r="J38716" s="11"/>
      <c r="U38716" s="9"/>
      <c r="X38716" s="9"/>
    </row>
    <row r="38717">
      <c r="D38717" s="9"/>
      <c r="G38717" s="9"/>
      <c r="J38717" s="11"/>
      <c r="U38717" s="9"/>
      <c r="X38717" s="9"/>
    </row>
    <row r="38718">
      <c r="D38718" s="9"/>
      <c r="G38718" s="9"/>
      <c r="J38718" s="11"/>
      <c r="U38718" s="9"/>
      <c r="X38718" s="9"/>
    </row>
    <row r="38719">
      <c r="D38719" s="9"/>
      <c r="G38719" s="9"/>
      <c r="J38719" s="11"/>
      <c r="U38719" s="9"/>
      <c r="X38719" s="9"/>
    </row>
    <row r="38720">
      <c r="D38720" s="9"/>
      <c r="G38720" s="9"/>
      <c r="J38720" s="11"/>
      <c r="U38720" s="9"/>
      <c r="X38720" s="9"/>
    </row>
    <row r="38721">
      <c r="D38721" s="9"/>
      <c r="G38721" s="9"/>
      <c r="J38721" s="11"/>
      <c r="U38721" s="9"/>
      <c r="X38721" s="9"/>
    </row>
    <row r="38722">
      <c r="D38722" s="9"/>
      <c r="G38722" s="9"/>
      <c r="J38722" s="11"/>
      <c r="U38722" s="9"/>
      <c r="X38722" s="9"/>
    </row>
    <row r="38723">
      <c r="D38723" s="9"/>
      <c r="G38723" s="9"/>
      <c r="J38723" s="11"/>
      <c r="U38723" s="9"/>
      <c r="X38723" s="9"/>
    </row>
    <row r="38724">
      <c r="D38724" s="9"/>
      <c r="G38724" s="9"/>
      <c r="J38724" s="11"/>
      <c r="U38724" s="9"/>
      <c r="X38724" s="9"/>
    </row>
    <row r="38725">
      <c r="D38725" s="9"/>
      <c r="G38725" s="9"/>
      <c r="J38725" s="11"/>
      <c r="U38725" s="9"/>
      <c r="X38725" s="9"/>
    </row>
    <row r="38726">
      <c r="D38726" s="9"/>
      <c r="G38726" s="9"/>
      <c r="J38726" s="11"/>
      <c r="U38726" s="9"/>
      <c r="X38726" s="9"/>
    </row>
    <row r="38727">
      <c r="D38727" s="9"/>
      <c r="G38727" s="9"/>
      <c r="J38727" s="11"/>
      <c r="U38727" s="9"/>
      <c r="X38727" s="9"/>
    </row>
    <row r="38728">
      <c r="D38728" s="9"/>
      <c r="G38728" s="9"/>
      <c r="J38728" s="11"/>
      <c r="U38728" s="9"/>
      <c r="X38728" s="9"/>
    </row>
    <row r="38729">
      <c r="D38729" s="9"/>
      <c r="G38729" s="9"/>
      <c r="J38729" s="11"/>
      <c r="U38729" s="9"/>
      <c r="X38729" s="9"/>
    </row>
    <row r="38730">
      <c r="D38730" s="9"/>
      <c r="G38730" s="9"/>
      <c r="J38730" s="11"/>
      <c r="U38730" s="9"/>
      <c r="X38730" s="9"/>
    </row>
    <row r="38731">
      <c r="D38731" s="9"/>
      <c r="G38731" s="9"/>
      <c r="J38731" s="11"/>
      <c r="U38731" s="9"/>
      <c r="X38731" s="9"/>
    </row>
    <row r="38732">
      <c r="D38732" s="9"/>
      <c r="G38732" s="9"/>
      <c r="J38732" s="11"/>
      <c r="U38732" s="9"/>
      <c r="X38732" s="9"/>
    </row>
    <row r="38733">
      <c r="D38733" s="9"/>
      <c r="G38733" s="9"/>
      <c r="J38733" s="11"/>
      <c r="U38733" s="9"/>
      <c r="X38733" s="9"/>
    </row>
    <row r="38734">
      <c r="D38734" s="9"/>
      <c r="G38734" s="9"/>
      <c r="J38734" s="11"/>
      <c r="U38734" s="9"/>
      <c r="X38734" s="9"/>
    </row>
    <row r="38735">
      <c r="D38735" s="9"/>
      <c r="G38735" s="9"/>
      <c r="J38735" s="11"/>
      <c r="U38735" s="9"/>
      <c r="X38735" s="9"/>
    </row>
    <row r="38736">
      <c r="D38736" s="9"/>
      <c r="G38736" s="9"/>
      <c r="J38736" s="11"/>
      <c r="U38736" s="9"/>
      <c r="X38736" s="9"/>
    </row>
    <row r="38737">
      <c r="D38737" s="9"/>
      <c r="G38737" s="9"/>
      <c r="J38737" s="11"/>
      <c r="U38737" s="9"/>
      <c r="X38737" s="9"/>
    </row>
    <row r="38738">
      <c r="D38738" s="9"/>
      <c r="G38738" s="9"/>
      <c r="J38738" s="11"/>
      <c r="U38738" s="9"/>
      <c r="X38738" s="9"/>
    </row>
    <row r="38739">
      <c r="D38739" s="9"/>
      <c r="G38739" s="9"/>
      <c r="J38739" s="11"/>
      <c r="U38739" s="9"/>
      <c r="X38739" s="9"/>
    </row>
    <row r="38740">
      <c r="D38740" s="9"/>
      <c r="G38740" s="9"/>
      <c r="J38740" s="11"/>
      <c r="U38740" s="9"/>
      <c r="X38740" s="9"/>
    </row>
    <row r="38741">
      <c r="D38741" s="9"/>
      <c r="G38741" s="9"/>
      <c r="J38741" s="11"/>
      <c r="U38741" s="9"/>
      <c r="X38741" s="9"/>
    </row>
    <row r="38742">
      <c r="D38742" s="9"/>
      <c r="G38742" s="9"/>
      <c r="J38742" s="11"/>
      <c r="U38742" s="9"/>
      <c r="X38742" s="9"/>
    </row>
    <row r="38743">
      <c r="D38743" s="9"/>
      <c r="G38743" s="9"/>
      <c r="J38743" s="11"/>
      <c r="U38743" s="9"/>
      <c r="X38743" s="9"/>
    </row>
    <row r="38744">
      <c r="D38744" s="9"/>
      <c r="G38744" s="9"/>
      <c r="J38744" s="11"/>
      <c r="U38744" s="9"/>
      <c r="X38744" s="9"/>
    </row>
    <row r="38745">
      <c r="D38745" s="9"/>
      <c r="G38745" s="9"/>
      <c r="J38745" s="11"/>
      <c r="U38745" s="9"/>
      <c r="X38745" s="9"/>
    </row>
    <row r="38746">
      <c r="D38746" s="9"/>
      <c r="G38746" s="9"/>
      <c r="J38746" s="11"/>
      <c r="U38746" s="9"/>
      <c r="X38746" s="9"/>
    </row>
    <row r="38747">
      <c r="D38747" s="9"/>
      <c r="G38747" s="9"/>
      <c r="J38747" s="11"/>
      <c r="U38747" s="9"/>
      <c r="X38747" s="9"/>
    </row>
    <row r="38748">
      <c r="D38748" s="9"/>
      <c r="G38748" s="9"/>
      <c r="J38748" s="11"/>
      <c r="U38748" s="9"/>
      <c r="X38748" s="9"/>
    </row>
    <row r="38749">
      <c r="D38749" s="9"/>
      <c r="G38749" s="9"/>
      <c r="J38749" s="11"/>
      <c r="U38749" s="9"/>
      <c r="X38749" s="9"/>
    </row>
    <row r="38750">
      <c r="D38750" s="9"/>
      <c r="G38750" s="9"/>
      <c r="J38750" s="11"/>
      <c r="U38750" s="9"/>
      <c r="X38750" s="9"/>
    </row>
    <row r="38751">
      <c r="D38751" s="9"/>
      <c r="G38751" s="9"/>
      <c r="J38751" s="11"/>
      <c r="U38751" s="9"/>
      <c r="X38751" s="9"/>
    </row>
    <row r="38752">
      <c r="D38752" s="9"/>
      <c r="G38752" s="9"/>
      <c r="J38752" s="11"/>
      <c r="U38752" s="9"/>
      <c r="X38752" s="9"/>
    </row>
    <row r="38753">
      <c r="D38753" s="9"/>
      <c r="G38753" s="9"/>
      <c r="J38753" s="11"/>
      <c r="U38753" s="9"/>
      <c r="X38753" s="9"/>
    </row>
    <row r="38754">
      <c r="D38754" s="9"/>
      <c r="G38754" s="9"/>
      <c r="J38754" s="11"/>
      <c r="U38754" s="9"/>
      <c r="X38754" s="9"/>
    </row>
    <row r="38755">
      <c r="D38755" s="9"/>
      <c r="G38755" s="9"/>
      <c r="J38755" s="11"/>
      <c r="U38755" s="9"/>
      <c r="X38755" s="9"/>
    </row>
    <row r="38756">
      <c r="D38756" s="9"/>
      <c r="G38756" s="9"/>
      <c r="J38756" s="11"/>
      <c r="U38756" s="9"/>
      <c r="X38756" s="9"/>
    </row>
    <row r="38757">
      <c r="D38757" s="9"/>
      <c r="G38757" s="9"/>
      <c r="J38757" s="11"/>
      <c r="U38757" s="9"/>
      <c r="X38757" s="9"/>
    </row>
    <row r="38758">
      <c r="D38758" s="9"/>
      <c r="G38758" s="9"/>
      <c r="J38758" s="11"/>
      <c r="U38758" s="9"/>
      <c r="X38758" s="9"/>
    </row>
    <row r="38759">
      <c r="D38759" s="9"/>
      <c r="G38759" s="9"/>
      <c r="J38759" s="11"/>
      <c r="U38759" s="9"/>
      <c r="X38759" s="9"/>
    </row>
    <row r="38760">
      <c r="D38760" s="9"/>
      <c r="G38760" s="9"/>
      <c r="J38760" s="11"/>
      <c r="U38760" s="9"/>
      <c r="X38760" s="9"/>
    </row>
    <row r="38761">
      <c r="D38761" s="9"/>
      <c r="G38761" s="9"/>
      <c r="J38761" s="11"/>
      <c r="U38761" s="9"/>
      <c r="X38761" s="9"/>
    </row>
    <row r="38762">
      <c r="D38762" s="9"/>
      <c r="G38762" s="9"/>
      <c r="J38762" s="11"/>
      <c r="U38762" s="9"/>
      <c r="X38762" s="9"/>
    </row>
    <row r="38763">
      <c r="D38763" s="9"/>
      <c r="G38763" s="9"/>
      <c r="J38763" s="11"/>
      <c r="U38763" s="9"/>
      <c r="X38763" s="9"/>
    </row>
    <row r="38764">
      <c r="D38764" s="9"/>
      <c r="G38764" s="9"/>
      <c r="J38764" s="11"/>
      <c r="U38764" s="9"/>
      <c r="X38764" s="9"/>
    </row>
    <row r="38765">
      <c r="D38765" s="9"/>
      <c r="G38765" s="9"/>
      <c r="J38765" s="11"/>
      <c r="U38765" s="9"/>
      <c r="X38765" s="9"/>
    </row>
    <row r="38766">
      <c r="D38766" s="9"/>
      <c r="G38766" s="9"/>
      <c r="J38766" s="11"/>
      <c r="U38766" s="9"/>
      <c r="X38766" s="9"/>
    </row>
    <row r="38767">
      <c r="D38767" s="9"/>
      <c r="G38767" s="9"/>
      <c r="J38767" s="11"/>
      <c r="U38767" s="9"/>
      <c r="X38767" s="9"/>
    </row>
    <row r="38768">
      <c r="D38768" s="9"/>
      <c r="G38768" s="9"/>
      <c r="J38768" s="11"/>
      <c r="U38768" s="9"/>
      <c r="X38768" s="9"/>
    </row>
    <row r="38769">
      <c r="D38769" s="9"/>
      <c r="G38769" s="9"/>
      <c r="J38769" s="11"/>
      <c r="U38769" s="9"/>
      <c r="X38769" s="9"/>
    </row>
    <row r="38770">
      <c r="D38770" s="9"/>
      <c r="G38770" s="9"/>
      <c r="J38770" s="11"/>
      <c r="U38770" s="9"/>
      <c r="X38770" s="9"/>
    </row>
    <row r="38771">
      <c r="D38771" s="9"/>
      <c r="G38771" s="9"/>
      <c r="J38771" s="11"/>
      <c r="U38771" s="9"/>
      <c r="X38771" s="9"/>
    </row>
    <row r="38772">
      <c r="D38772" s="9"/>
      <c r="G38772" s="9"/>
      <c r="J38772" s="11"/>
      <c r="U38772" s="9"/>
      <c r="X38772" s="9"/>
    </row>
    <row r="38773">
      <c r="D38773" s="9"/>
      <c r="G38773" s="9"/>
      <c r="J38773" s="11"/>
      <c r="U38773" s="9"/>
      <c r="X38773" s="9"/>
    </row>
    <row r="38774">
      <c r="D38774" s="9"/>
      <c r="G38774" s="9"/>
      <c r="J38774" s="11"/>
      <c r="U38774" s="9"/>
      <c r="X38774" s="9"/>
    </row>
    <row r="38775">
      <c r="D38775" s="9"/>
      <c r="G38775" s="9"/>
      <c r="J38775" s="11"/>
      <c r="U38775" s="9"/>
      <c r="X38775" s="9"/>
    </row>
    <row r="38776">
      <c r="D38776" s="9"/>
      <c r="G38776" s="9"/>
      <c r="J38776" s="11"/>
      <c r="U38776" s="9"/>
      <c r="X38776" s="9"/>
    </row>
    <row r="38777">
      <c r="D38777" s="9"/>
      <c r="G38777" s="9"/>
      <c r="J38777" s="11"/>
      <c r="U38777" s="9"/>
      <c r="X38777" s="9"/>
    </row>
    <row r="38778">
      <c r="D38778" s="9"/>
      <c r="G38778" s="9"/>
      <c r="J38778" s="11"/>
      <c r="U38778" s="9"/>
      <c r="X38778" s="9"/>
    </row>
    <row r="38779">
      <c r="D38779" s="9"/>
      <c r="G38779" s="9"/>
      <c r="J38779" s="11"/>
      <c r="U38779" s="9"/>
      <c r="X38779" s="9"/>
    </row>
    <row r="38780">
      <c r="D38780" s="9"/>
      <c r="G38780" s="9"/>
      <c r="J38780" s="11"/>
      <c r="U38780" s="9"/>
      <c r="X38780" s="9"/>
    </row>
    <row r="38781">
      <c r="D38781" s="9"/>
      <c r="G38781" s="9"/>
      <c r="J38781" s="11"/>
      <c r="U38781" s="9"/>
      <c r="X38781" s="9"/>
    </row>
    <row r="38782">
      <c r="D38782" s="9"/>
      <c r="G38782" s="9"/>
      <c r="J38782" s="11"/>
      <c r="U38782" s="9"/>
      <c r="X38782" s="9"/>
    </row>
    <row r="38783">
      <c r="D38783" s="9"/>
      <c r="G38783" s="9"/>
      <c r="J38783" s="11"/>
      <c r="U38783" s="9"/>
      <c r="X38783" s="9"/>
    </row>
    <row r="38784">
      <c r="D38784" s="9"/>
      <c r="G38784" s="9"/>
      <c r="J38784" s="11"/>
      <c r="U38784" s="9"/>
      <c r="X38784" s="9"/>
    </row>
    <row r="38785">
      <c r="D38785" s="9"/>
      <c r="G38785" s="9"/>
      <c r="J38785" s="11"/>
      <c r="U38785" s="9"/>
      <c r="X38785" s="9"/>
    </row>
    <row r="38786">
      <c r="D38786" s="9"/>
      <c r="G38786" s="9"/>
      <c r="J38786" s="11"/>
      <c r="U38786" s="9"/>
      <c r="X38786" s="9"/>
    </row>
    <row r="38787">
      <c r="D38787" s="9"/>
      <c r="G38787" s="9"/>
      <c r="J38787" s="11"/>
      <c r="U38787" s="9"/>
      <c r="X38787" s="9"/>
    </row>
    <row r="38788">
      <c r="D38788" s="9"/>
      <c r="G38788" s="9"/>
      <c r="J38788" s="11"/>
      <c r="U38788" s="9"/>
      <c r="X38788" s="9"/>
    </row>
    <row r="38789">
      <c r="D38789" s="9"/>
      <c r="G38789" s="9"/>
      <c r="J38789" s="11"/>
      <c r="U38789" s="9"/>
      <c r="X38789" s="9"/>
    </row>
    <row r="38790">
      <c r="D38790" s="9"/>
      <c r="G38790" s="9"/>
      <c r="J38790" s="11"/>
      <c r="U38790" s="9"/>
      <c r="X38790" s="9"/>
    </row>
    <row r="38791">
      <c r="D38791" s="9"/>
      <c r="G38791" s="9"/>
      <c r="J38791" s="11"/>
      <c r="U38791" s="9"/>
      <c r="X38791" s="9"/>
    </row>
    <row r="38792">
      <c r="D38792" s="9"/>
      <c r="G38792" s="9"/>
      <c r="J38792" s="11"/>
      <c r="U38792" s="9"/>
      <c r="X38792" s="9"/>
    </row>
    <row r="38793">
      <c r="D38793" s="9"/>
      <c r="G38793" s="9"/>
      <c r="J38793" s="11"/>
      <c r="U38793" s="9"/>
      <c r="X38793" s="9"/>
    </row>
    <row r="38794">
      <c r="D38794" s="9"/>
      <c r="G38794" s="9"/>
      <c r="J38794" s="11"/>
      <c r="U38794" s="9"/>
      <c r="X38794" s="9"/>
    </row>
    <row r="38795">
      <c r="D38795" s="9"/>
      <c r="G38795" s="9"/>
      <c r="J38795" s="11"/>
      <c r="U38795" s="9"/>
      <c r="X38795" s="9"/>
    </row>
    <row r="38796">
      <c r="D38796" s="9"/>
      <c r="G38796" s="9"/>
      <c r="J38796" s="11"/>
      <c r="U38796" s="9"/>
      <c r="X38796" s="9"/>
    </row>
    <row r="38797">
      <c r="D38797" s="9"/>
      <c r="G38797" s="9"/>
      <c r="J38797" s="11"/>
      <c r="U38797" s="9"/>
      <c r="X38797" s="9"/>
    </row>
    <row r="38798">
      <c r="D38798" s="9"/>
      <c r="G38798" s="9"/>
      <c r="J38798" s="11"/>
      <c r="U38798" s="9"/>
      <c r="X38798" s="9"/>
    </row>
    <row r="38799">
      <c r="D38799" s="9"/>
      <c r="G38799" s="9"/>
      <c r="J38799" s="11"/>
      <c r="U38799" s="9"/>
      <c r="X38799" s="9"/>
    </row>
    <row r="38800">
      <c r="D38800" s="9"/>
      <c r="G38800" s="9"/>
      <c r="J38800" s="11"/>
      <c r="U38800" s="9"/>
      <c r="X38800" s="9"/>
    </row>
    <row r="38801">
      <c r="D38801" s="9"/>
      <c r="G38801" s="9"/>
      <c r="J38801" s="11"/>
      <c r="U38801" s="9"/>
      <c r="X38801" s="9"/>
    </row>
    <row r="38802">
      <c r="D38802" s="9"/>
      <c r="G38802" s="9"/>
      <c r="J38802" s="11"/>
      <c r="U38802" s="9"/>
      <c r="X38802" s="9"/>
    </row>
    <row r="38803">
      <c r="D38803" s="9"/>
      <c r="G38803" s="9"/>
      <c r="J38803" s="11"/>
      <c r="U38803" s="9"/>
      <c r="X38803" s="9"/>
    </row>
    <row r="38804">
      <c r="D38804" s="9"/>
      <c r="G38804" s="9"/>
      <c r="J38804" s="11"/>
      <c r="U38804" s="9"/>
      <c r="X38804" s="9"/>
    </row>
    <row r="38805">
      <c r="D38805" s="9"/>
      <c r="G38805" s="9"/>
      <c r="J38805" s="11"/>
      <c r="U38805" s="9"/>
      <c r="X38805" s="9"/>
    </row>
    <row r="38806">
      <c r="D38806" s="9"/>
      <c r="G38806" s="9"/>
      <c r="J38806" s="11"/>
      <c r="U38806" s="9"/>
      <c r="X38806" s="9"/>
    </row>
    <row r="38807">
      <c r="D38807" s="9"/>
      <c r="G38807" s="9"/>
      <c r="J38807" s="11"/>
      <c r="U38807" s="9"/>
      <c r="X38807" s="9"/>
    </row>
    <row r="38808">
      <c r="D38808" s="9"/>
      <c r="G38808" s="9"/>
      <c r="J38808" s="11"/>
      <c r="U38808" s="9"/>
      <c r="X38808" s="9"/>
    </row>
    <row r="38809">
      <c r="D38809" s="9"/>
      <c r="G38809" s="9"/>
      <c r="J38809" s="11"/>
      <c r="U38809" s="9"/>
      <c r="X38809" s="9"/>
    </row>
    <row r="38810">
      <c r="D38810" s="9"/>
      <c r="G38810" s="9"/>
      <c r="J38810" s="11"/>
      <c r="U38810" s="9"/>
      <c r="X38810" s="9"/>
    </row>
    <row r="38811">
      <c r="D38811" s="9"/>
      <c r="G38811" s="9"/>
      <c r="J38811" s="11"/>
      <c r="U38811" s="9"/>
      <c r="X38811" s="9"/>
    </row>
    <row r="38812">
      <c r="D38812" s="9"/>
      <c r="G38812" s="9"/>
      <c r="J38812" s="11"/>
      <c r="U38812" s="9"/>
      <c r="X38812" s="9"/>
    </row>
    <row r="38813">
      <c r="D38813" s="9"/>
      <c r="G38813" s="9"/>
      <c r="J38813" s="11"/>
      <c r="U38813" s="9"/>
      <c r="X38813" s="9"/>
    </row>
    <row r="38814">
      <c r="D38814" s="9"/>
      <c r="G38814" s="9"/>
      <c r="J38814" s="11"/>
      <c r="U38814" s="9"/>
      <c r="X38814" s="9"/>
    </row>
    <row r="38815">
      <c r="D38815" s="9"/>
      <c r="G38815" s="9"/>
      <c r="J38815" s="11"/>
      <c r="U38815" s="9"/>
      <c r="X38815" s="9"/>
    </row>
    <row r="38816">
      <c r="D38816" s="9"/>
      <c r="G38816" s="9"/>
      <c r="J38816" s="11"/>
      <c r="U38816" s="9"/>
      <c r="X38816" s="9"/>
    </row>
    <row r="38817">
      <c r="D38817" s="9"/>
      <c r="G38817" s="9"/>
      <c r="J38817" s="11"/>
      <c r="U38817" s="9"/>
      <c r="X38817" s="9"/>
    </row>
    <row r="38818">
      <c r="D38818" s="9"/>
      <c r="G38818" s="9"/>
      <c r="J38818" s="11"/>
      <c r="U38818" s="9"/>
      <c r="X38818" s="9"/>
    </row>
    <row r="38819">
      <c r="D38819" s="9"/>
      <c r="G38819" s="9"/>
      <c r="J38819" s="11"/>
      <c r="U38819" s="9"/>
      <c r="X38819" s="9"/>
    </row>
    <row r="38820">
      <c r="D38820" s="9"/>
      <c r="G38820" s="9"/>
      <c r="J38820" s="11"/>
      <c r="U38820" s="9"/>
      <c r="X38820" s="9"/>
    </row>
    <row r="38821">
      <c r="D38821" s="9"/>
      <c r="G38821" s="9"/>
      <c r="J38821" s="11"/>
      <c r="U38821" s="9"/>
      <c r="X38821" s="9"/>
    </row>
    <row r="38822">
      <c r="D38822" s="9"/>
      <c r="G38822" s="9"/>
      <c r="J38822" s="11"/>
      <c r="U38822" s="9"/>
      <c r="X38822" s="9"/>
    </row>
    <row r="38823">
      <c r="D38823" s="9"/>
      <c r="G38823" s="9"/>
      <c r="J38823" s="11"/>
      <c r="U38823" s="9"/>
      <c r="X38823" s="9"/>
    </row>
    <row r="38824">
      <c r="D38824" s="9"/>
      <c r="G38824" s="9"/>
      <c r="J38824" s="11"/>
      <c r="U38824" s="9"/>
      <c r="X38824" s="9"/>
    </row>
    <row r="38825">
      <c r="D38825" s="9"/>
      <c r="G38825" s="9"/>
      <c r="J38825" s="11"/>
      <c r="U38825" s="9"/>
      <c r="X38825" s="9"/>
    </row>
    <row r="38826">
      <c r="D38826" s="9"/>
      <c r="G38826" s="9"/>
      <c r="J38826" s="11"/>
      <c r="U38826" s="9"/>
      <c r="X38826" s="9"/>
    </row>
    <row r="38827">
      <c r="D38827" s="9"/>
      <c r="G38827" s="9"/>
      <c r="J38827" s="11"/>
      <c r="U38827" s="9"/>
      <c r="X38827" s="9"/>
    </row>
    <row r="38828">
      <c r="D38828" s="9"/>
      <c r="G38828" s="9"/>
      <c r="J38828" s="11"/>
      <c r="U38828" s="9"/>
      <c r="X38828" s="9"/>
    </row>
    <row r="38829">
      <c r="D38829" s="9"/>
      <c r="G38829" s="9"/>
      <c r="J38829" s="11"/>
      <c r="U38829" s="9"/>
      <c r="X38829" s="9"/>
    </row>
    <row r="38830">
      <c r="D38830" s="9"/>
      <c r="G38830" s="9"/>
      <c r="J38830" s="11"/>
      <c r="U38830" s="9"/>
      <c r="X38830" s="9"/>
    </row>
    <row r="38831">
      <c r="D38831" s="9"/>
      <c r="G38831" s="9"/>
      <c r="J38831" s="11"/>
      <c r="U38831" s="9"/>
      <c r="X38831" s="9"/>
    </row>
    <row r="38832">
      <c r="D38832" s="9"/>
      <c r="G38832" s="9"/>
      <c r="J38832" s="11"/>
      <c r="U38832" s="9"/>
      <c r="X38832" s="9"/>
    </row>
    <row r="38833">
      <c r="D38833" s="9"/>
      <c r="G38833" s="9"/>
      <c r="J38833" s="11"/>
      <c r="U38833" s="9"/>
      <c r="X38833" s="9"/>
    </row>
    <row r="38834">
      <c r="D38834" s="9"/>
      <c r="G38834" s="9"/>
      <c r="J38834" s="11"/>
      <c r="U38834" s="9"/>
      <c r="X38834" s="9"/>
    </row>
    <row r="38835">
      <c r="D38835" s="9"/>
      <c r="G38835" s="9"/>
      <c r="J38835" s="11"/>
      <c r="U38835" s="9"/>
      <c r="X38835" s="9"/>
    </row>
    <row r="38836">
      <c r="D38836" s="9"/>
      <c r="G38836" s="9"/>
      <c r="J38836" s="11"/>
      <c r="U38836" s="9"/>
      <c r="X38836" s="9"/>
    </row>
    <row r="38837">
      <c r="D38837" s="9"/>
      <c r="G38837" s="9"/>
      <c r="J38837" s="11"/>
      <c r="U38837" s="9"/>
      <c r="X38837" s="9"/>
    </row>
    <row r="38838">
      <c r="D38838" s="9"/>
      <c r="G38838" s="9"/>
      <c r="J38838" s="11"/>
      <c r="U38838" s="9"/>
      <c r="X38838" s="9"/>
    </row>
    <row r="38839">
      <c r="D38839" s="9"/>
      <c r="G38839" s="9"/>
      <c r="J38839" s="11"/>
      <c r="U38839" s="9"/>
      <c r="X38839" s="9"/>
    </row>
    <row r="38840">
      <c r="D38840" s="9"/>
      <c r="G38840" s="9"/>
      <c r="J38840" s="11"/>
      <c r="U38840" s="9"/>
      <c r="X38840" s="9"/>
    </row>
    <row r="38841">
      <c r="D38841" s="9"/>
      <c r="G38841" s="9"/>
      <c r="J38841" s="11"/>
      <c r="U38841" s="9"/>
      <c r="X38841" s="9"/>
    </row>
    <row r="38842">
      <c r="D38842" s="9"/>
      <c r="G38842" s="9"/>
      <c r="J38842" s="11"/>
      <c r="U38842" s="9"/>
      <c r="X38842" s="9"/>
    </row>
    <row r="38843">
      <c r="D38843" s="9"/>
      <c r="G38843" s="9"/>
      <c r="J38843" s="11"/>
      <c r="U38843" s="9"/>
      <c r="X38843" s="9"/>
    </row>
    <row r="38844">
      <c r="D38844" s="9"/>
      <c r="G38844" s="9"/>
      <c r="J38844" s="11"/>
      <c r="U38844" s="9"/>
      <c r="X38844" s="9"/>
    </row>
    <row r="38845">
      <c r="D38845" s="9"/>
      <c r="G38845" s="9"/>
      <c r="J38845" s="11"/>
      <c r="U38845" s="9"/>
      <c r="X38845" s="9"/>
    </row>
    <row r="38846">
      <c r="D38846" s="9"/>
      <c r="G38846" s="9"/>
      <c r="J38846" s="11"/>
      <c r="U38846" s="9"/>
      <c r="X38846" s="9"/>
    </row>
    <row r="38847">
      <c r="D38847" s="9"/>
      <c r="G38847" s="9"/>
      <c r="J38847" s="11"/>
      <c r="U38847" s="9"/>
      <c r="X38847" s="9"/>
    </row>
    <row r="38848">
      <c r="D38848" s="9"/>
      <c r="G38848" s="9"/>
      <c r="J38848" s="11"/>
      <c r="U38848" s="9"/>
      <c r="X38848" s="9"/>
    </row>
    <row r="38849">
      <c r="D38849" s="9"/>
      <c r="G38849" s="9"/>
      <c r="J38849" s="11"/>
      <c r="U38849" s="9"/>
      <c r="X38849" s="9"/>
    </row>
    <row r="38850">
      <c r="D38850" s="9"/>
      <c r="G38850" s="9"/>
      <c r="J38850" s="11"/>
      <c r="U38850" s="9"/>
      <c r="X38850" s="9"/>
    </row>
    <row r="38851">
      <c r="D38851" s="9"/>
      <c r="G38851" s="9"/>
      <c r="J38851" s="11"/>
      <c r="U38851" s="9"/>
      <c r="X38851" s="9"/>
    </row>
    <row r="38852">
      <c r="D38852" s="9"/>
      <c r="G38852" s="9"/>
      <c r="J38852" s="11"/>
      <c r="U38852" s="9"/>
      <c r="X38852" s="9"/>
    </row>
    <row r="38853">
      <c r="D38853" s="9"/>
      <c r="G38853" s="9"/>
      <c r="J38853" s="11"/>
      <c r="U38853" s="9"/>
      <c r="X38853" s="9"/>
    </row>
    <row r="38854">
      <c r="D38854" s="9"/>
      <c r="G38854" s="9"/>
      <c r="J38854" s="11"/>
      <c r="U38854" s="9"/>
      <c r="X38854" s="9"/>
    </row>
    <row r="38855">
      <c r="D38855" s="9"/>
      <c r="G38855" s="9"/>
      <c r="J38855" s="11"/>
      <c r="U38855" s="9"/>
      <c r="X38855" s="9"/>
    </row>
    <row r="38856">
      <c r="D38856" s="9"/>
      <c r="G38856" s="9"/>
      <c r="J38856" s="11"/>
      <c r="U38856" s="9"/>
      <c r="X38856" s="9"/>
    </row>
    <row r="38857">
      <c r="D38857" s="9"/>
      <c r="G38857" s="9"/>
      <c r="J38857" s="11"/>
      <c r="U38857" s="9"/>
      <c r="X38857" s="9"/>
    </row>
    <row r="38858">
      <c r="D38858" s="9"/>
      <c r="G38858" s="9"/>
      <c r="J38858" s="11"/>
      <c r="U38858" s="9"/>
      <c r="X38858" s="9"/>
    </row>
    <row r="38859">
      <c r="D38859" s="9"/>
      <c r="G38859" s="9"/>
      <c r="J38859" s="11"/>
      <c r="U38859" s="9"/>
      <c r="X38859" s="9"/>
    </row>
    <row r="38860">
      <c r="D38860" s="9"/>
      <c r="G38860" s="9"/>
      <c r="J38860" s="11"/>
      <c r="U38860" s="9"/>
      <c r="X38860" s="9"/>
    </row>
    <row r="38861">
      <c r="D38861" s="9"/>
      <c r="G38861" s="9"/>
      <c r="J38861" s="11"/>
      <c r="U38861" s="9"/>
      <c r="X38861" s="9"/>
    </row>
    <row r="38862">
      <c r="D38862" s="9"/>
      <c r="G38862" s="9"/>
      <c r="J38862" s="11"/>
      <c r="U38862" s="9"/>
      <c r="X38862" s="9"/>
    </row>
    <row r="38863">
      <c r="D38863" s="9"/>
      <c r="G38863" s="9"/>
      <c r="J38863" s="11"/>
      <c r="U38863" s="9"/>
      <c r="X38863" s="9"/>
    </row>
    <row r="38864">
      <c r="D38864" s="9"/>
      <c r="G38864" s="9"/>
      <c r="J38864" s="11"/>
      <c r="U38864" s="9"/>
      <c r="X38864" s="9"/>
    </row>
    <row r="38865">
      <c r="D38865" s="9"/>
      <c r="G38865" s="9"/>
      <c r="J38865" s="11"/>
      <c r="U38865" s="9"/>
      <c r="X38865" s="9"/>
    </row>
    <row r="38866">
      <c r="D38866" s="9"/>
      <c r="G38866" s="9"/>
      <c r="J38866" s="11"/>
      <c r="U38866" s="9"/>
      <c r="X38866" s="9"/>
    </row>
    <row r="38867">
      <c r="D38867" s="9"/>
      <c r="G38867" s="9"/>
      <c r="J38867" s="11"/>
      <c r="U38867" s="9"/>
      <c r="X38867" s="9"/>
    </row>
    <row r="38868">
      <c r="D38868" s="9"/>
      <c r="G38868" s="9"/>
      <c r="J38868" s="11"/>
      <c r="U38868" s="9"/>
      <c r="X38868" s="9"/>
    </row>
    <row r="38869">
      <c r="D38869" s="9"/>
      <c r="G38869" s="9"/>
      <c r="J38869" s="11"/>
      <c r="U38869" s="9"/>
      <c r="X38869" s="9"/>
    </row>
    <row r="38870">
      <c r="D38870" s="9"/>
      <c r="G38870" s="9"/>
      <c r="J38870" s="11"/>
      <c r="U38870" s="9"/>
      <c r="X38870" s="9"/>
    </row>
    <row r="38871">
      <c r="D38871" s="9"/>
      <c r="G38871" s="9"/>
      <c r="J38871" s="11"/>
      <c r="U38871" s="9"/>
      <c r="X38871" s="9"/>
    </row>
    <row r="38872">
      <c r="D38872" s="9"/>
      <c r="G38872" s="9"/>
      <c r="J38872" s="11"/>
      <c r="U38872" s="9"/>
      <c r="X38872" s="9"/>
    </row>
    <row r="38873">
      <c r="D38873" s="9"/>
      <c r="G38873" s="9"/>
      <c r="J38873" s="11"/>
      <c r="U38873" s="9"/>
      <c r="X38873" s="9"/>
    </row>
    <row r="38874">
      <c r="D38874" s="9"/>
      <c r="G38874" s="9"/>
      <c r="J38874" s="11"/>
      <c r="U38874" s="9"/>
      <c r="X38874" s="9"/>
    </row>
    <row r="38875">
      <c r="D38875" s="9"/>
      <c r="G38875" s="9"/>
      <c r="J38875" s="11"/>
      <c r="U38875" s="9"/>
      <c r="X38875" s="9"/>
    </row>
    <row r="38876">
      <c r="D38876" s="9"/>
      <c r="G38876" s="9"/>
      <c r="J38876" s="11"/>
      <c r="U38876" s="9"/>
      <c r="X38876" s="9"/>
    </row>
    <row r="38877">
      <c r="D38877" s="9"/>
      <c r="G38877" s="9"/>
      <c r="J38877" s="11"/>
      <c r="U38877" s="9"/>
      <c r="X38877" s="9"/>
    </row>
    <row r="38878">
      <c r="D38878" s="9"/>
      <c r="G38878" s="9"/>
      <c r="J38878" s="11"/>
      <c r="U38878" s="9"/>
      <c r="X38878" s="9"/>
    </row>
    <row r="38879">
      <c r="D38879" s="9"/>
      <c r="G38879" s="9"/>
      <c r="J38879" s="11"/>
      <c r="U38879" s="9"/>
      <c r="X38879" s="9"/>
    </row>
    <row r="38880">
      <c r="D38880" s="9"/>
      <c r="G38880" s="9"/>
      <c r="J38880" s="11"/>
      <c r="U38880" s="9"/>
      <c r="X38880" s="9"/>
    </row>
    <row r="38881">
      <c r="D38881" s="9"/>
      <c r="G38881" s="9"/>
      <c r="J38881" s="11"/>
      <c r="U38881" s="9"/>
      <c r="X38881" s="9"/>
    </row>
    <row r="38882">
      <c r="D38882" s="9"/>
      <c r="G38882" s="9"/>
      <c r="J38882" s="11"/>
      <c r="U38882" s="9"/>
      <c r="X38882" s="9"/>
    </row>
    <row r="38883">
      <c r="D38883" s="9"/>
      <c r="G38883" s="9"/>
      <c r="J38883" s="11"/>
      <c r="U38883" s="9"/>
      <c r="X38883" s="9"/>
    </row>
    <row r="38884">
      <c r="D38884" s="9"/>
      <c r="G38884" s="9"/>
      <c r="J38884" s="11"/>
      <c r="U38884" s="9"/>
      <c r="X38884" s="9"/>
    </row>
    <row r="38885">
      <c r="D38885" s="9"/>
      <c r="G38885" s="9"/>
      <c r="J38885" s="11"/>
      <c r="U38885" s="9"/>
      <c r="X38885" s="9"/>
    </row>
    <row r="38886">
      <c r="D38886" s="9"/>
      <c r="G38886" s="9"/>
      <c r="J38886" s="11"/>
      <c r="U38886" s="9"/>
      <c r="X38886" s="9"/>
    </row>
    <row r="38887">
      <c r="D38887" s="9"/>
      <c r="G38887" s="9"/>
      <c r="J38887" s="11"/>
      <c r="U38887" s="9"/>
      <c r="X38887" s="9"/>
    </row>
    <row r="38888">
      <c r="D38888" s="9"/>
      <c r="G38888" s="9"/>
      <c r="J38888" s="11"/>
      <c r="U38888" s="9"/>
      <c r="X38888" s="9"/>
    </row>
    <row r="38889">
      <c r="D38889" s="9"/>
      <c r="G38889" s="9"/>
      <c r="J38889" s="11"/>
      <c r="U38889" s="9"/>
      <c r="X38889" s="9"/>
    </row>
    <row r="38890">
      <c r="D38890" s="9"/>
      <c r="G38890" s="9"/>
      <c r="J38890" s="11"/>
      <c r="U38890" s="9"/>
      <c r="X38890" s="9"/>
    </row>
    <row r="38891">
      <c r="D38891" s="9"/>
      <c r="G38891" s="9"/>
      <c r="J38891" s="11"/>
      <c r="U38891" s="9"/>
      <c r="X38891" s="9"/>
    </row>
    <row r="38892">
      <c r="D38892" s="9"/>
      <c r="G38892" s="9"/>
      <c r="J38892" s="11"/>
      <c r="U38892" s="9"/>
      <c r="X38892" s="9"/>
    </row>
    <row r="38893">
      <c r="D38893" s="9"/>
      <c r="G38893" s="9"/>
      <c r="J38893" s="11"/>
      <c r="U38893" s="9"/>
      <c r="X38893" s="9"/>
    </row>
    <row r="38894">
      <c r="D38894" s="9"/>
      <c r="G38894" s="9"/>
      <c r="J38894" s="11"/>
      <c r="U38894" s="9"/>
      <c r="X38894" s="9"/>
    </row>
    <row r="38895">
      <c r="D38895" s="9"/>
      <c r="G38895" s="9"/>
      <c r="J38895" s="11"/>
      <c r="U38895" s="9"/>
      <c r="X38895" s="9"/>
    </row>
    <row r="38896">
      <c r="D38896" s="9"/>
      <c r="G38896" s="9"/>
      <c r="J38896" s="11"/>
      <c r="U38896" s="9"/>
      <c r="X38896" s="9"/>
    </row>
    <row r="38897">
      <c r="D38897" s="9"/>
      <c r="G38897" s="9"/>
      <c r="J38897" s="11"/>
      <c r="U38897" s="9"/>
      <c r="X38897" s="9"/>
    </row>
    <row r="38898">
      <c r="D38898" s="9"/>
      <c r="G38898" s="9"/>
      <c r="J38898" s="11"/>
      <c r="U38898" s="9"/>
      <c r="X38898" s="9"/>
    </row>
    <row r="38899">
      <c r="D38899" s="9"/>
      <c r="G38899" s="9"/>
      <c r="J38899" s="11"/>
      <c r="U38899" s="9"/>
      <c r="X38899" s="9"/>
    </row>
    <row r="38900">
      <c r="D38900" s="9"/>
      <c r="G38900" s="9"/>
      <c r="J38900" s="11"/>
      <c r="U38900" s="9"/>
      <c r="X38900" s="9"/>
    </row>
    <row r="38901">
      <c r="D38901" s="9"/>
      <c r="G38901" s="9"/>
      <c r="J38901" s="11"/>
      <c r="U38901" s="9"/>
      <c r="X38901" s="9"/>
    </row>
    <row r="38902">
      <c r="D38902" s="9"/>
      <c r="G38902" s="9"/>
      <c r="J38902" s="11"/>
      <c r="U38902" s="9"/>
      <c r="X38902" s="9"/>
    </row>
    <row r="38903">
      <c r="D38903" s="9"/>
      <c r="G38903" s="9"/>
      <c r="J38903" s="11"/>
      <c r="U38903" s="9"/>
      <c r="X38903" s="9"/>
    </row>
    <row r="38904">
      <c r="D38904" s="9"/>
      <c r="G38904" s="9"/>
      <c r="J38904" s="11"/>
      <c r="U38904" s="9"/>
      <c r="X38904" s="9"/>
    </row>
    <row r="38905">
      <c r="D38905" s="9"/>
      <c r="G38905" s="9"/>
      <c r="J38905" s="11"/>
      <c r="U38905" s="9"/>
      <c r="X38905" s="9"/>
    </row>
    <row r="38906">
      <c r="D38906" s="9"/>
      <c r="G38906" s="9"/>
      <c r="J38906" s="11"/>
      <c r="U38906" s="9"/>
      <c r="X38906" s="9"/>
    </row>
    <row r="38907">
      <c r="D38907" s="9"/>
      <c r="G38907" s="9"/>
      <c r="J38907" s="11"/>
      <c r="U38907" s="9"/>
      <c r="X38907" s="9"/>
    </row>
    <row r="38908">
      <c r="D38908" s="9"/>
      <c r="G38908" s="9"/>
      <c r="J38908" s="11"/>
      <c r="U38908" s="9"/>
      <c r="X38908" s="9"/>
    </row>
    <row r="38909">
      <c r="D38909" s="9"/>
      <c r="G38909" s="9"/>
      <c r="J38909" s="11"/>
      <c r="U38909" s="9"/>
      <c r="X38909" s="9"/>
    </row>
    <row r="38910">
      <c r="D38910" s="9"/>
      <c r="G38910" s="9"/>
      <c r="J38910" s="11"/>
      <c r="U38910" s="9"/>
      <c r="X38910" s="9"/>
    </row>
    <row r="38911">
      <c r="D38911" s="9"/>
      <c r="G38911" s="9"/>
      <c r="J38911" s="11"/>
      <c r="U38911" s="9"/>
      <c r="X38911" s="9"/>
    </row>
    <row r="38912">
      <c r="D38912" s="9"/>
      <c r="G38912" s="9"/>
      <c r="J38912" s="11"/>
      <c r="U38912" s="9"/>
      <c r="X38912" s="9"/>
    </row>
    <row r="38913">
      <c r="D38913" s="9"/>
      <c r="G38913" s="9"/>
      <c r="J38913" s="11"/>
      <c r="U38913" s="9"/>
      <c r="X38913" s="9"/>
    </row>
    <row r="38914">
      <c r="D38914" s="9"/>
      <c r="G38914" s="9"/>
      <c r="J38914" s="11"/>
      <c r="U38914" s="9"/>
      <c r="X38914" s="9"/>
    </row>
    <row r="38915">
      <c r="D38915" s="9"/>
      <c r="G38915" s="9"/>
      <c r="J38915" s="11"/>
      <c r="U38915" s="9"/>
      <c r="X38915" s="9"/>
    </row>
    <row r="38916">
      <c r="D38916" s="9"/>
      <c r="G38916" s="9"/>
      <c r="J38916" s="11"/>
      <c r="U38916" s="9"/>
      <c r="X38916" s="9"/>
    </row>
    <row r="38917">
      <c r="D38917" s="9"/>
      <c r="G38917" s="9"/>
      <c r="J38917" s="11"/>
      <c r="U38917" s="9"/>
      <c r="X38917" s="9"/>
    </row>
    <row r="38918">
      <c r="D38918" s="9"/>
      <c r="G38918" s="9"/>
      <c r="J38918" s="11"/>
      <c r="U38918" s="9"/>
      <c r="X38918" s="9"/>
    </row>
    <row r="38919">
      <c r="D38919" s="9"/>
      <c r="G38919" s="9"/>
      <c r="J38919" s="11"/>
      <c r="U38919" s="9"/>
      <c r="X38919" s="9"/>
    </row>
    <row r="38920">
      <c r="D38920" s="9"/>
      <c r="G38920" s="9"/>
      <c r="J38920" s="11"/>
      <c r="U38920" s="9"/>
      <c r="X38920" s="9"/>
    </row>
    <row r="38921">
      <c r="D38921" s="9"/>
      <c r="G38921" s="9"/>
      <c r="J38921" s="11"/>
      <c r="U38921" s="9"/>
      <c r="X38921" s="9"/>
    </row>
    <row r="38922">
      <c r="D38922" s="9"/>
      <c r="G38922" s="9"/>
      <c r="J38922" s="11"/>
      <c r="U38922" s="9"/>
      <c r="X38922" s="9"/>
    </row>
    <row r="38923">
      <c r="D38923" s="9"/>
      <c r="G38923" s="9"/>
      <c r="J38923" s="11"/>
      <c r="U38923" s="9"/>
      <c r="X38923" s="9"/>
    </row>
    <row r="38924">
      <c r="D38924" s="9"/>
      <c r="G38924" s="9"/>
      <c r="J38924" s="11"/>
      <c r="U38924" s="9"/>
      <c r="X38924" s="9"/>
    </row>
    <row r="38925">
      <c r="D38925" s="9"/>
      <c r="G38925" s="9"/>
      <c r="J38925" s="11"/>
      <c r="U38925" s="9"/>
      <c r="X38925" s="9"/>
    </row>
    <row r="38926">
      <c r="D38926" s="9"/>
      <c r="G38926" s="9"/>
      <c r="J38926" s="11"/>
      <c r="U38926" s="9"/>
      <c r="X38926" s="9"/>
    </row>
    <row r="38927">
      <c r="D38927" s="9"/>
      <c r="G38927" s="9"/>
      <c r="J38927" s="11"/>
      <c r="U38927" s="9"/>
      <c r="X38927" s="9"/>
    </row>
    <row r="38928">
      <c r="D38928" s="9"/>
      <c r="G38928" s="9"/>
      <c r="J38928" s="11"/>
      <c r="U38928" s="9"/>
      <c r="X38928" s="9"/>
    </row>
    <row r="38929">
      <c r="D38929" s="9"/>
      <c r="G38929" s="9"/>
      <c r="J38929" s="11"/>
      <c r="U38929" s="9"/>
      <c r="X38929" s="9"/>
    </row>
    <row r="38930">
      <c r="D38930" s="9"/>
      <c r="G38930" s="9"/>
      <c r="J38930" s="11"/>
      <c r="U38930" s="9"/>
      <c r="X38930" s="9"/>
    </row>
    <row r="38931">
      <c r="D38931" s="9"/>
      <c r="G38931" s="9"/>
      <c r="J38931" s="11"/>
      <c r="U38931" s="9"/>
      <c r="X38931" s="9"/>
    </row>
    <row r="38932">
      <c r="D38932" s="9"/>
      <c r="G38932" s="9"/>
      <c r="J38932" s="11"/>
      <c r="U38932" s="9"/>
      <c r="X38932" s="9"/>
    </row>
    <row r="38933">
      <c r="D38933" s="9"/>
      <c r="G38933" s="9"/>
      <c r="J38933" s="11"/>
      <c r="U38933" s="9"/>
      <c r="X38933" s="9"/>
    </row>
    <row r="38934">
      <c r="D38934" s="9"/>
      <c r="G38934" s="9"/>
      <c r="J38934" s="11"/>
      <c r="U38934" s="9"/>
      <c r="X38934" s="9"/>
    </row>
    <row r="38935">
      <c r="D38935" s="9"/>
      <c r="G38935" s="9"/>
      <c r="J38935" s="11"/>
      <c r="U38935" s="9"/>
      <c r="X38935" s="9"/>
    </row>
    <row r="38936">
      <c r="D38936" s="9"/>
      <c r="G38936" s="9"/>
      <c r="J38936" s="11"/>
      <c r="U38936" s="9"/>
      <c r="X38936" s="9"/>
    </row>
    <row r="38937">
      <c r="D38937" s="9"/>
      <c r="G38937" s="9"/>
      <c r="J38937" s="11"/>
      <c r="U38937" s="9"/>
      <c r="X38937" s="9"/>
    </row>
    <row r="38938">
      <c r="D38938" s="9"/>
      <c r="G38938" s="9"/>
      <c r="J38938" s="11"/>
      <c r="U38938" s="9"/>
      <c r="X38938" s="9"/>
    </row>
    <row r="38939">
      <c r="D38939" s="9"/>
      <c r="G38939" s="9"/>
      <c r="J38939" s="11"/>
      <c r="U38939" s="9"/>
      <c r="X38939" s="9"/>
    </row>
    <row r="38940">
      <c r="D38940" s="9"/>
      <c r="G38940" s="9"/>
      <c r="J38940" s="11"/>
      <c r="U38940" s="9"/>
      <c r="X38940" s="9"/>
    </row>
    <row r="38941">
      <c r="D38941" s="9"/>
      <c r="G38941" s="9"/>
      <c r="J38941" s="11"/>
      <c r="U38941" s="9"/>
      <c r="X38941" s="9"/>
    </row>
    <row r="38942">
      <c r="D38942" s="9"/>
      <c r="G38942" s="9"/>
      <c r="J38942" s="11"/>
      <c r="U38942" s="9"/>
      <c r="X38942" s="9"/>
    </row>
    <row r="38943">
      <c r="D38943" s="9"/>
      <c r="G38943" s="9"/>
      <c r="J38943" s="11"/>
      <c r="U38943" s="9"/>
      <c r="X38943" s="9"/>
    </row>
    <row r="38944">
      <c r="D38944" s="9"/>
      <c r="G38944" s="9"/>
      <c r="J38944" s="11"/>
      <c r="U38944" s="9"/>
      <c r="X38944" s="9"/>
    </row>
    <row r="38945">
      <c r="D38945" s="9"/>
      <c r="G38945" s="9"/>
      <c r="J38945" s="11"/>
      <c r="U38945" s="9"/>
      <c r="X38945" s="9"/>
    </row>
    <row r="38946">
      <c r="D38946" s="9"/>
      <c r="G38946" s="9"/>
      <c r="J38946" s="11"/>
      <c r="U38946" s="9"/>
      <c r="X38946" s="9"/>
    </row>
    <row r="38947">
      <c r="D38947" s="9"/>
      <c r="G38947" s="9"/>
      <c r="J38947" s="11"/>
      <c r="U38947" s="9"/>
      <c r="X38947" s="9"/>
    </row>
    <row r="38948">
      <c r="D38948" s="9"/>
      <c r="G38948" s="9"/>
      <c r="J38948" s="11"/>
      <c r="U38948" s="9"/>
      <c r="X38948" s="9"/>
    </row>
    <row r="38949">
      <c r="D38949" s="9"/>
      <c r="G38949" s="9"/>
      <c r="J38949" s="11"/>
      <c r="U38949" s="9"/>
      <c r="X38949" s="9"/>
    </row>
    <row r="38950">
      <c r="D38950" s="9"/>
      <c r="G38950" s="9"/>
      <c r="J38950" s="11"/>
      <c r="U38950" s="9"/>
      <c r="X38950" s="9"/>
    </row>
    <row r="38951">
      <c r="D38951" s="9"/>
      <c r="G38951" s="9"/>
      <c r="J38951" s="11"/>
      <c r="U38951" s="9"/>
      <c r="X38951" s="9"/>
    </row>
    <row r="38952">
      <c r="D38952" s="9"/>
      <c r="G38952" s="9"/>
      <c r="J38952" s="11"/>
      <c r="U38952" s="9"/>
      <c r="X38952" s="9"/>
    </row>
    <row r="38953">
      <c r="D38953" s="9"/>
      <c r="G38953" s="9"/>
      <c r="J38953" s="11"/>
      <c r="U38953" s="9"/>
      <c r="X38953" s="9"/>
    </row>
    <row r="38954">
      <c r="D38954" s="9"/>
      <c r="G38954" s="9"/>
      <c r="J38954" s="11"/>
      <c r="U38954" s="9"/>
      <c r="X38954" s="9"/>
    </row>
    <row r="38955">
      <c r="D38955" s="9"/>
      <c r="G38955" s="9"/>
      <c r="J38955" s="11"/>
      <c r="U38955" s="9"/>
      <c r="X38955" s="9"/>
    </row>
    <row r="38956">
      <c r="D38956" s="9"/>
      <c r="G38956" s="9"/>
      <c r="J38956" s="11"/>
      <c r="U38956" s="9"/>
      <c r="X38956" s="9"/>
    </row>
    <row r="38957">
      <c r="D38957" s="9"/>
      <c r="G38957" s="9"/>
      <c r="J38957" s="11"/>
      <c r="U38957" s="9"/>
      <c r="X38957" s="9"/>
    </row>
    <row r="38958">
      <c r="D38958" s="9"/>
      <c r="G38958" s="9"/>
      <c r="J38958" s="11"/>
      <c r="U38958" s="9"/>
      <c r="X38958" s="9"/>
    </row>
    <row r="38959">
      <c r="D38959" s="9"/>
      <c r="G38959" s="9"/>
      <c r="J38959" s="11"/>
      <c r="U38959" s="9"/>
      <c r="X38959" s="9"/>
    </row>
    <row r="38960">
      <c r="D38960" s="9"/>
      <c r="G38960" s="9"/>
      <c r="J38960" s="11"/>
      <c r="U38960" s="9"/>
      <c r="X38960" s="9"/>
    </row>
    <row r="38961">
      <c r="D38961" s="9"/>
      <c r="G38961" s="9"/>
      <c r="J38961" s="11"/>
      <c r="U38961" s="9"/>
      <c r="X38961" s="9"/>
    </row>
    <row r="38962">
      <c r="D38962" s="9"/>
      <c r="G38962" s="9"/>
      <c r="J38962" s="11"/>
      <c r="U38962" s="9"/>
      <c r="X38962" s="9"/>
    </row>
    <row r="38963">
      <c r="D38963" s="9"/>
      <c r="G38963" s="9"/>
      <c r="J38963" s="11"/>
      <c r="U38963" s="9"/>
      <c r="X38963" s="9"/>
    </row>
    <row r="38964">
      <c r="D38964" s="9"/>
      <c r="G38964" s="9"/>
      <c r="J38964" s="11"/>
      <c r="U38964" s="9"/>
      <c r="X38964" s="9"/>
    </row>
    <row r="38965">
      <c r="D38965" s="9"/>
      <c r="G38965" s="9"/>
      <c r="J38965" s="11"/>
      <c r="U38965" s="9"/>
      <c r="X38965" s="9"/>
    </row>
    <row r="38966">
      <c r="D38966" s="9"/>
      <c r="G38966" s="9"/>
      <c r="J38966" s="11"/>
      <c r="U38966" s="9"/>
      <c r="X38966" s="9"/>
    </row>
    <row r="38967">
      <c r="D38967" s="9"/>
      <c r="G38967" s="9"/>
      <c r="J38967" s="11"/>
      <c r="U38967" s="9"/>
      <c r="X38967" s="9"/>
    </row>
    <row r="38968">
      <c r="D38968" s="9"/>
      <c r="G38968" s="9"/>
      <c r="J38968" s="11"/>
      <c r="U38968" s="9"/>
      <c r="X38968" s="9"/>
    </row>
    <row r="38969">
      <c r="D38969" s="9"/>
      <c r="G38969" s="9"/>
      <c r="J38969" s="11"/>
      <c r="U38969" s="9"/>
      <c r="X38969" s="9"/>
    </row>
    <row r="38970">
      <c r="D38970" s="9"/>
      <c r="G38970" s="9"/>
      <c r="J38970" s="11"/>
      <c r="U38970" s="9"/>
      <c r="X38970" s="9"/>
    </row>
    <row r="38971">
      <c r="D38971" s="9"/>
      <c r="G38971" s="9"/>
      <c r="J38971" s="11"/>
      <c r="U38971" s="9"/>
      <c r="X38971" s="9"/>
    </row>
    <row r="38972">
      <c r="D38972" s="9"/>
      <c r="G38972" s="9"/>
      <c r="J38972" s="11"/>
      <c r="U38972" s="9"/>
      <c r="X38972" s="9"/>
    </row>
    <row r="38973">
      <c r="D38973" s="9"/>
      <c r="G38973" s="9"/>
      <c r="J38973" s="11"/>
      <c r="U38973" s="9"/>
      <c r="X38973" s="9"/>
    </row>
    <row r="38974">
      <c r="D38974" s="9"/>
      <c r="G38974" s="9"/>
      <c r="J38974" s="11"/>
      <c r="U38974" s="9"/>
      <c r="X38974" s="9"/>
    </row>
    <row r="38975">
      <c r="D38975" s="9"/>
      <c r="G38975" s="9"/>
      <c r="J38975" s="11"/>
      <c r="U38975" s="9"/>
      <c r="X38975" s="9"/>
    </row>
    <row r="38976">
      <c r="D38976" s="9"/>
      <c r="G38976" s="9"/>
      <c r="J38976" s="11"/>
      <c r="U38976" s="9"/>
      <c r="X38976" s="9"/>
    </row>
    <row r="38977">
      <c r="D38977" s="9"/>
      <c r="G38977" s="9"/>
      <c r="J38977" s="11"/>
      <c r="U38977" s="9"/>
      <c r="X38977" s="9"/>
    </row>
    <row r="38978">
      <c r="D38978" s="9"/>
      <c r="G38978" s="9"/>
      <c r="J38978" s="11"/>
      <c r="U38978" s="9"/>
      <c r="X38978" s="9"/>
    </row>
    <row r="38979">
      <c r="D38979" s="9"/>
      <c r="G38979" s="9"/>
      <c r="J38979" s="11"/>
      <c r="U38979" s="9"/>
      <c r="X38979" s="9"/>
    </row>
    <row r="38980">
      <c r="D38980" s="9"/>
      <c r="G38980" s="9"/>
      <c r="J38980" s="11"/>
      <c r="U38980" s="9"/>
      <c r="X38980" s="9"/>
    </row>
    <row r="38981">
      <c r="D38981" s="9"/>
      <c r="G38981" s="9"/>
      <c r="J38981" s="11"/>
      <c r="U38981" s="9"/>
      <c r="X38981" s="9"/>
    </row>
    <row r="38982">
      <c r="D38982" s="9"/>
      <c r="G38982" s="9"/>
      <c r="J38982" s="11"/>
      <c r="U38982" s="9"/>
      <c r="X38982" s="9"/>
    </row>
    <row r="38983">
      <c r="D38983" s="9"/>
      <c r="G38983" s="9"/>
      <c r="J38983" s="11"/>
      <c r="U38983" s="9"/>
      <c r="X38983" s="9"/>
    </row>
    <row r="38984">
      <c r="D38984" s="9"/>
      <c r="G38984" s="9"/>
      <c r="J38984" s="11"/>
      <c r="U38984" s="9"/>
      <c r="X38984" s="9"/>
    </row>
    <row r="38985">
      <c r="D38985" s="9"/>
      <c r="G38985" s="9"/>
      <c r="J38985" s="11"/>
      <c r="U38985" s="9"/>
      <c r="X38985" s="9"/>
    </row>
    <row r="38986">
      <c r="D38986" s="9"/>
      <c r="G38986" s="9"/>
      <c r="J38986" s="11"/>
      <c r="U38986" s="9"/>
      <c r="X38986" s="9"/>
    </row>
    <row r="38987">
      <c r="D38987" s="9"/>
      <c r="G38987" s="9"/>
      <c r="J38987" s="11"/>
      <c r="U38987" s="9"/>
      <c r="X38987" s="9"/>
    </row>
    <row r="38988">
      <c r="D38988" s="9"/>
      <c r="G38988" s="9"/>
      <c r="J38988" s="11"/>
      <c r="U38988" s="9"/>
      <c r="X38988" s="9"/>
    </row>
    <row r="38989">
      <c r="D38989" s="9"/>
      <c r="G38989" s="9"/>
      <c r="J38989" s="11"/>
      <c r="U38989" s="9"/>
      <c r="X38989" s="9"/>
    </row>
    <row r="38990">
      <c r="D38990" s="9"/>
      <c r="G38990" s="9"/>
      <c r="J38990" s="11"/>
      <c r="U38990" s="9"/>
      <c r="X38990" s="9"/>
    </row>
    <row r="38991">
      <c r="D38991" s="9"/>
      <c r="G38991" s="9"/>
      <c r="J38991" s="11"/>
      <c r="U38991" s="9"/>
      <c r="X38991" s="9"/>
    </row>
    <row r="38992">
      <c r="D38992" s="9"/>
      <c r="G38992" s="9"/>
      <c r="J38992" s="11"/>
      <c r="U38992" s="9"/>
      <c r="X38992" s="9"/>
    </row>
    <row r="38993">
      <c r="D38993" s="9"/>
      <c r="G38993" s="9"/>
      <c r="J38993" s="11"/>
      <c r="U38993" s="9"/>
      <c r="X38993" s="9"/>
    </row>
    <row r="38994">
      <c r="D38994" s="9"/>
      <c r="G38994" s="9"/>
      <c r="J38994" s="11"/>
      <c r="U38994" s="9"/>
      <c r="X38994" s="9"/>
    </row>
    <row r="38995">
      <c r="D38995" s="9"/>
      <c r="G38995" s="9"/>
      <c r="J38995" s="11"/>
      <c r="U38995" s="9"/>
      <c r="X38995" s="9"/>
    </row>
    <row r="38996">
      <c r="D38996" s="9"/>
      <c r="G38996" s="9"/>
      <c r="J38996" s="11"/>
      <c r="U38996" s="9"/>
      <c r="X38996" s="9"/>
    </row>
    <row r="38997">
      <c r="D38997" s="9"/>
      <c r="G38997" s="9"/>
      <c r="J38997" s="11"/>
      <c r="U38997" s="9"/>
      <c r="X38997" s="9"/>
    </row>
    <row r="38998">
      <c r="D38998" s="9"/>
      <c r="G38998" s="9"/>
      <c r="J38998" s="11"/>
      <c r="U38998" s="9"/>
      <c r="X38998" s="9"/>
    </row>
    <row r="38999">
      <c r="D38999" s="9"/>
      <c r="G38999" s="9"/>
      <c r="J38999" s="11"/>
      <c r="U38999" s="9"/>
      <c r="X38999" s="9"/>
    </row>
    <row r="39000">
      <c r="D39000" s="9"/>
      <c r="G39000" s="9"/>
      <c r="J39000" s="11"/>
      <c r="U39000" s="9"/>
      <c r="X39000" s="9"/>
    </row>
    <row r="39001">
      <c r="D39001" s="9"/>
      <c r="G39001" s="9"/>
      <c r="J39001" s="11"/>
      <c r="U39001" s="9"/>
      <c r="X39001" s="9"/>
    </row>
    <row r="39002">
      <c r="D39002" s="9"/>
      <c r="G39002" s="9"/>
      <c r="J39002" s="11"/>
      <c r="U39002" s="9"/>
      <c r="X39002" s="9"/>
    </row>
    <row r="39003">
      <c r="D39003" s="9"/>
      <c r="G39003" s="9"/>
      <c r="J39003" s="11"/>
      <c r="U39003" s="9"/>
      <c r="X39003" s="9"/>
    </row>
    <row r="39004">
      <c r="D39004" s="9"/>
      <c r="G39004" s="9"/>
      <c r="J39004" s="11"/>
      <c r="U39004" s="9"/>
      <c r="X39004" s="9"/>
    </row>
    <row r="39005">
      <c r="D39005" s="9"/>
      <c r="G39005" s="9"/>
      <c r="J39005" s="11"/>
      <c r="U39005" s="9"/>
      <c r="X39005" s="9"/>
    </row>
    <row r="39006">
      <c r="D39006" s="9"/>
      <c r="G39006" s="9"/>
      <c r="J39006" s="11"/>
      <c r="U39006" s="9"/>
      <c r="X39006" s="9"/>
    </row>
    <row r="39007">
      <c r="D39007" s="9"/>
      <c r="G39007" s="9"/>
      <c r="J39007" s="11"/>
      <c r="U39007" s="9"/>
      <c r="X39007" s="9"/>
    </row>
    <row r="39008">
      <c r="D39008" s="9"/>
      <c r="G39008" s="9"/>
      <c r="J39008" s="11"/>
      <c r="U39008" s="9"/>
      <c r="X39008" s="9"/>
    </row>
    <row r="39009">
      <c r="D39009" s="9"/>
      <c r="G39009" s="9"/>
      <c r="J39009" s="11"/>
      <c r="U39009" s="9"/>
      <c r="X39009" s="9"/>
    </row>
    <row r="39010">
      <c r="D39010" s="9"/>
      <c r="G39010" s="9"/>
      <c r="J39010" s="11"/>
      <c r="U39010" s="9"/>
      <c r="X39010" s="9"/>
    </row>
    <row r="39011">
      <c r="D39011" s="9"/>
      <c r="G39011" s="9"/>
      <c r="J39011" s="11"/>
      <c r="U39011" s="9"/>
      <c r="X39011" s="9"/>
    </row>
    <row r="39012">
      <c r="D39012" s="9"/>
      <c r="G39012" s="9"/>
      <c r="J39012" s="11"/>
      <c r="U39012" s="9"/>
      <c r="X39012" s="9"/>
    </row>
    <row r="39013">
      <c r="D39013" s="9"/>
      <c r="G39013" s="9"/>
      <c r="J39013" s="11"/>
      <c r="U39013" s="9"/>
      <c r="X39013" s="9"/>
    </row>
    <row r="39014">
      <c r="D39014" s="9"/>
      <c r="G39014" s="9"/>
      <c r="J39014" s="11"/>
      <c r="U39014" s="9"/>
      <c r="X39014" s="9"/>
    </row>
    <row r="39015">
      <c r="D39015" s="9"/>
      <c r="G39015" s="9"/>
      <c r="J39015" s="11"/>
      <c r="U39015" s="9"/>
      <c r="X39015" s="9"/>
    </row>
    <row r="39016">
      <c r="D39016" s="9"/>
      <c r="G39016" s="9"/>
      <c r="J39016" s="11"/>
      <c r="U39016" s="9"/>
      <c r="X39016" s="9"/>
    </row>
    <row r="39017">
      <c r="D39017" s="9"/>
      <c r="G39017" s="9"/>
      <c r="J39017" s="11"/>
      <c r="U39017" s="9"/>
      <c r="X39017" s="9"/>
    </row>
    <row r="39018">
      <c r="D39018" s="9"/>
      <c r="G39018" s="9"/>
      <c r="J39018" s="11"/>
      <c r="U39018" s="9"/>
      <c r="X39018" s="9"/>
    </row>
    <row r="39019">
      <c r="D39019" s="9"/>
      <c r="G39019" s="9"/>
      <c r="J39019" s="11"/>
      <c r="U39019" s="9"/>
      <c r="X39019" s="9"/>
    </row>
    <row r="39020">
      <c r="D39020" s="9"/>
      <c r="G39020" s="9"/>
      <c r="J39020" s="11"/>
      <c r="U39020" s="9"/>
      <c r="X39020" s="9"/>
    </row>
    <row r="39021">
      <c r="D39021" s="9"/>
      <c r="G39021" s="9"/>
      <c r="J39021" s="11"/>
      <c r="U39021" s="9"/>
      <c r="X39021" s="9"/>
    </row>
    <row r="39022">
      <c r="D39022" s="9"/>
      <c r="G39022" s="9"/>
      <c r="J39022" s="11"/>
      <c r="U39022" s="9"/>
      <c r="X39022" s="9"/>
    </row>
    <row r="39023">
      <c r="D39023" s="9"/>
      <c r="G39023" s="9"/>
      <c r="J39023" s="11"/>
      <c r="U39023" s="9"/>
      <c r="X39023" s="9"/>
    </row>
    <row r="39024">
      <c r="D39024" s="9"/>
      <c r="G39024" s="9"/>
      <c r="J39024" s="11"/>
      <c r="U39024" s="9"/>
      <c r="X39024" s="9"/>
    </row>
    <row r="39025">
      <c r="D39025" s="9"/>
      <c r="G39025" s="9"/>
      <c r="J39025" s="11"/>
      <c r="U39025" s="9"/>
      <c r="X39025" s="9"/>
    </row>
    <row r="39026">
      <c r="D39026" s="9"/>
      <c r="G39026" s="9"/>
      <c r="J39026" s="11"/>
      <c r="U39026" s="9"/>
      <c r="X39026" s="9"/>
    </row>
    <row r="39027">
      <c r="D39027" s="9"/>
      <c r="G39027" s="9"/>
      <c r="J39027" s="11"/>
      <c r="U39027" s="9"/>
      <c r="X39027" s="9"/>
    </row>
    <row r="39028">
      <c r="D39028" s="9"/>
      <c r="G39028" s="9"/>
      <c r="J39028" s="11"/>
      <c r="U39028" s="9"/>
      <c r="X39028" s="9"/>
    </row>
    <row r="39029">
      <c r="D39029" s="9"/>
      <c r="G39029" s="9"/>
      <c r="J39029" s="11"/>
      <c r="U39029" s="9"/>
      <c r="X39029" s="9"/>
    </row>
    <row r="39030">
      <c r="D39030" s="9"/>
      <c r="G39030" s="9"/>
      <c r="J39030" s="11"/>
      <c r="U39030" s="9"/>
      <c r="X39030" s="9"/>
    </row>
    <row r="39031">
      <c r="D39031" s="9"/>
      <c r="G39031" s="9"/>
      <c r="J39031" s="11"/>
      <c r="U39031" s="9"/>
      <c r="X39031" s="9"/>
    </row>
    <row r="39032">
      <c r="D39032" s="9"/>
      <c r="G39032" s="9"/>
      <c r="J39032" s="11"/>
      <c r="U39032" s="9"/>
      <c r="X39032" s="9"/>
    </row>
    <row r="39033">
      <c r="D39033" s="9"/>
      <c r="G39033" s="9"/>
      <c r="J39033" s="11"/>
      <c r="U39033" s="9"/>
      <c r="X39033" s="9"/>
    </row>
    <row r="39034">
      <c r="D39034" s="9"/>
      <c r="G39034" s="9"/>
      <c r="J39034" s="11"/>
      <c r="U39034" s="9"/>
      <c r="X39034" s="9"/>
    </row>
    <row r="39035">
      <c r="D39035" s="9"/>
      <c r="G39035" s="9"/>
      <c r="J39035" s="11"/>
      <c r="U39035" s="9"/>
      <c r="X39035" s="9"/>
    </row>
    <row r="39036">
      <c r="D39036" s="9"/>
      <c r="G39036" s="9"/>
      <c r="J39036" s="11"/>
      <c r="U39036" s="9"/>
      <c r="X39036" s="9"/>
    </row>
    <row r="39037">
      <c r="D39037" s="9"/>
      <c r="G39037" s="9"/>
      <c r="J39037" s="11"/>
      <c r="U39037" s="9"/>
      <c r="X39037" s="9"/>
    </row>
    <row r="39038">
      <c r="D39038" s="9"/>
      <c r="G39038" s="9"/>
      <c r="J39038" s="11"/>
      <c r="U39038" s="9"/>
      <c r="X39038" s="9"/>
    </row>
    <row r="39039">
      <c r="D39039" s="9"/>
      <c r="G39039" s="9"/>
      <c r="J39039" s="11"/>
      <c r="U39039" s="9"/>
      <c r="X39039" s="9"/>
    </row>
    <row r="39040">
      <c r="D39040" s="9"/>
      <c r="G39040" s="9"/>
      <c r="J39040" s="11"/>
      <c r="U39040" s="9"/>
      <c r="X39040" s="9"/>
    </row>
    <row r="39041">
      <c r="D39041" s="9"/>
      <c r="G39041" s="9"/>
      <c r="J39041" s="11"/>
      <c r="U39041" s="9"/>
      <c r="X39041" s="9"/>
    </row>
    <row r="39042">
      <c r="D39042" s="9"/>
      <c r="G39042" s="9"/>
      <c r="J39042" s="11"/>
      <c r="U39042" s="9"/>
      <c r="X39042" s="9"/>
    </row>
    <row r="39043">
      <c r="D39043" s="9"/>
      <c r="G39043" s="9"/>
      <c r="J39043" s="11"/>
      <c r="U39043" s="9"/>
      <c r="X39043" s="9"/>
    </row>
    <row r="39044">
      <c r="D39044" s="9"/>
      <c r="G39044" s="9"/>
      <c r="J39044" s="11"/>
      <c r="U39044" s="9"/>
      <c r="X39044" s="9"/>
    </row>
    <row r="39045">
      <c r="D39045" s="9"/>
      <c r="G39045" s="9"/>
      <c r="J39045" s="11"/>
      <c r="U39045" s="9"/>
      <c r="X39045" s="9"/>
    </row>
    <row r="39046">
      <c r="D39046" s="9"/>
      <c r="G39046" s="9"/>
      <c r="J39046" s="11"/>
      <c r="U39046" s="9"/>
      <c r="X39046" s="9"/>
    </row>
    <row r="39047">
      <c r="D39047" s="9"/>
      <c r="G39047" s="9"/>
      <c r="J39047" s="11"/>
      <c r="U39047" s="9"/>
      <c r="X39047" s="9"/>
    </row>
    <row r="39048">
      <c r="D39048" s="9"/>
      <c r="G39048" s="9"/>
      <c r="J39048" s="11"/>
      <c r="U39048" s="9"/>
      <c r="X39048" s="9"/>
    </row>
    <row r="39049">
      <c r="D39049" s="9"/>
      <c r="G39049" s="9"/>
      <c r="J39049" s="11"/>
      <c r="U39049" s="9"/>
      <c r="X39049" s="9"/>
    </row>
    <row r="39050">
      <c r="D39050" s="9"/>
      <c r="G39050" s="9"/>
      <c r="J39050" s="11"/>
      <c r="U39050" s="9"/>
      <c r="X39050" s="9"/>
    </row>
    <row r="39051">
      <c r="D39051" s="9"/>
      <c r="G39051" s="9"/>
      <c r="J39051" s="11"/>
      <c r="U39051" s="9"/>
      <c r="X39051" s="9"/>
    </row>
    <row r="39052">
      <c r="D39052" s="9"/>
      <c r="G39052" s="9"/>
      <c r="J39052" s="11"/>
      <c r="U39052" s="9"/>
      <c r="X39052" s="9"/>
    </row>
    <row r="39053">
      <c r="D39053" s="9"/>
      <c r="G39053" s="9"/>
      <c r="J39053" s="11"/>
      <c r="U39053" s="9"/>
      <c r="X39053" s="9"/>
    </row>
    <row r="39054">
      <c r="D39054" s="9"/>
      <c r="G39054" s="9"/>
      <c r="J39054" s="11"/>
      <c r="U39054" s="9"/>
      <c r="X39054" s="9"/>
    </row>
    <row r="39055">
      <c r="D39055" s="9"/>
      <c r="G39055" s="9"/>
      <c r="J39055" s="11"/>
      <c r="U39055" s="9"/>
      <c r="X39055" s="9"/>
    </row>
    <row r="39056">
      <c r="D39056" s="9"/>
      <c r="G39056" s="9"/>
      <c r="J39056" s="11"/>
      <c r="U39056" s="9"/>
      <c r="X39056" s="9"/>
    </row>
    <row r="39057">
      <c r="D39057" s="9"/>
      <c r="G39057" s="9"/>
      <c r="J39057" s="11"/>
      <c r="U39057" s="9"/>
      <c r="X39057" s="9"/>
    </row>
    <row r="39058">
      <c r="D39058" s="9"/>
      <c r="G39058" s="9"/>
      <c r="J39058" s="11"/>
      <c r="U39058" s="9"/>
      <c r="X39058" s="9"/>
    </row>
    <row r="39059">
      <c r="D39059" s="9"/>
      <c r="G39059" s="9"/>
      <c r="J39059" s="11"/>
      <c r="U39059" s="9"/>
      <c r="X39059" s="9"/>
    </row>
    <row r="39060">
      <c r="D39060" s="9"/>
      <c r="G39060" s="9"/>
      <c r="J39060" s="11"/>
      <c r="U39060" s="9"/>
      <c r="X39060" s="9"/>
    </row>
    <row r="39061">
      <c r="D39061" s="9"/>
      <c r="G39061" s="9"/>
      <c r="J39061" s="11"/>
      <c r="U39061" s="9"/>
      <c r="X39061" s="9"/>
    </row>
    <row r="39062">
      <c r="D39062" s="9"/>
      <c r="G39062" s="9"/>
      <c r="J39062" s="11"/>
      <c r="U39062" s="9"/>
      <c r="X39062" s="9"/>
    </row>
    <row r="39063">
      <c r="D39063" s="9"/>
      <c r="G39063" s="9"/>
      <c r="J39063" s="11"/>
      <c r="U39063" s="9"/>
      <c r="X39063" s="9"/>
    </row>
    <row r="39064">
      <c r="D39064" s="9"/>
      <c r="G39064" s="9"/>
      <c r="J39064" s="11"/>
      <c r="U39064" s="9"/>
      <c r="X39064" s="9"/>
    </row>
    <row r="39065">
      <c r="D39065" s="9"/>
      <c r="G39065" s="9"/>
      <c r="J39065" s="11"/>
      <c r="U39065" s="9"/>
      <c r="X39065" s="9"/>
    </row>
    <row r="39066">
      <c r="D39066" s="9"/>
      <c r="G39066" s="9"/>
      <c r="J39066" s="11"/>
      <c r="U39066" s="9"/>
      <c r="X39066" s="9"/>
    </row>
    <row r="39067">
      <c r="D39067" s="9"/>
      <c r="G39067" s="9"/>
      <c r="J39067" s="11"/>
      <c r="U39067" s="9"/>
      <c r="X39067" s="9"/>
    </row>
    <row r="39068">
      <c r="D39068" s="9"/>
      <c r="G39068" s="9"/>
      <c r="J39068" s="11"/>
      <c r="U39068" s="9"/>
      <c r="X39068" s="9"/>
    </row>
    <row r="39069">
      <c r="D39069" s="9"/>
      <c r="G39069" s="9"/>
      <c r="J39069" s="11"/>
      <c r="U39069" s="9"/>
      <c r="X39069" s="9"/>
    </row>
    <row r="39070">
      <c r="D39070" s="9"/>
      <c r="G39070" s="9"/>
      <c r="J39070" s="11"/>
      <c r="U39070" s="9"/>
      <c r="X39070" s="9"/>
    </row>
    <row r="39071">
      <c r="D39071" s="9"/>
      <c r="G39071" s="9"/>
      <c r="J39071" s="11"/>
      <c r="U39071" s="9"/>
      <c r="X39071" s="9"/>
    </row>
    <row r="39072">
      <c r="D39072" s="9"/>
      <c r="G39072" s="9"/>
      <c r="J39072" s="11"/>
      <c r="U39072" s="9"/>
      <c r="X39072" s="9"/>
    </row>
    <row r="39073">
      <c r="D39073" s="9"/>
      <c r="G39073" s="9"/>
      <c r="J39073" s="11"/>
      <c r="U39073" s="9"/>
      <c r="X39073" s="9"/>
    </row>
    <row r="39074">
      <c r="D39074" s="9"/>
      <c r="G39074" s="9"/>
      <c r="J39074" s="11"/>
      <c r="U39074" s="9"/>
      <c r="X39074" s="9"/>
    </row>
    <row r="39075">
      <c r="D39075" s="9"/>
      <c r="G39075" s="9"/>
      <c r="J39075" s="11"/>
      <c r="U39075" s="9"/>
      <c r="X39075" s="9"/>
    </row>
    <row r="39076">
      <c r="D39076" s="9"/>
      <c r="G39076" s="9"/>
      <c r="J39076" s="11"/>
      <c r="U39076" s="9"/>
      <c r="X39076" s="9"/>
    </row>
    <row r="39077">
      <c r="D39077" s="9"/>
      <c r="G39077" s="9"/>
      <c r="J39077" s="11"/>
      <c r="U39077" s="9"/>
      <c r="X39077" s="9"/>
    </row>
    <row r="39078">
      <c r="D39078" s="9"/>
      <c r="G39078" s="9"/>
      <c r="J39078" s="11"/>
      <c r="U39078" s="9"/>
      <c r="X39078" s="9"/>
    </row>
    <row r="39079">
      <c r="D39079" s="9"/>
      <c r="G39079" s="9"/>
      <c r="J39079" s="11"/>
      <c r="U39079" s="9"/>
      <c r="X39079" s="9"/>
    </row>
    <row r="39080">
      <c r="D39080" s="9"/>
      <c r="G39080" s="9"/>
      <c r="J39080" s="11"/>
      <c r="U39080" s="9"/>
      <c r="X39080" s="9"/>
    </row>
    <row r="39081">
      <c r="D39081" s="9"/>
      <c r="G39081" s="9"/>
      <c r="J39081" s="11"/>
      <c r="U39081" s="9"/>
      <c r="X39081" s="9"/>
    </row>
    <row r="39082">
      <c r="D39082" s="9"/>
      <c r="G39082" s="9"/>
      <c r="J39082" s="11"/>
      <c r="U39082" s="9"/>
      <c r="X39082" s="9"/>
    </row>
    <row r="39083">
      <c r="D39083" s="9"/>
      <c r="G39083" s="9"/>
      <c r="J39083" s="11"/>
      <c r="U39083" s="9"/>
      <c r="X39083" s="9"/>
    </row>
    <row r="39084">
      <c r="D39084" s="9"/>
      <c r="G39084" s="9"/>
      <c r="J39084" s="11"/>
      <c r="U39084" s="9"/>
      <c r="X39084" s="9"/>
    </row>
    <row r="39085">
      <c r="D39085" s="9"/>
      <c r="G39085" s="9"/>
      <c r="J39085" s="11"/>
      <c r="U39085" s="9"/>
      <c r="X39085" s="9"/>
    </row>
    <row r="39086">
      <c r="D39086" s="9"/>
      <c r="G39086" s="9"/>
      <c r="J39086" s="11"/>
      <c r="U39086" s="9"/>
      <c r="X39086" s="9"/>
    </row>
    <row r="39087">
      <c r="D39087" s="9"/>
      <c r="G39087" s="9"/>
      <c r="J39087" s="11"/>
      <c r="U39087" s="9"/>
      <c r="X39087" s="9"/>
    </row>
    <row r="39088">
      <c r="D39088" s="9"/>
      <c r="G39088" s="9"/>
      <c r="J39088" s="11"/>
      <c r="U39088" s="9"/>
      <c r="X39088" s="9"/>
    </row>
    <row r="39089">
      <c r="D39089" s="9"/>
      <c r="G39089" s="9"/>
      <c r="J39089" s="11"/>
      <c r="U39089" s="9"/>
      <c r="X39089" s="9"/>
    </row>
    <row r="39090">
      <c r="D39090" s="9"/>
      <c r="G39090" s="9"/>
      <c r="J39090" s="11"/>
      <c r="U39090" s="9"/>
      <c r="X39090" s="9"/>
    </row>
    <row r="39091">
      <c r="D39091" s="9"/>
      <c r="G39091" s="9"/>
      <c r="J39091" s="11"/>
      <c r="U39091" s="9"/>
      <c r="X39091" s="9"/>
    </row>
    <row r="39092">
      <c r="D39092" s="9"/>
      <c r="G39092" s="9"/>
      <c r="J39092" s="11"/>
      <c r="U39092" s="9"/>
      <c r="X39092" s="9"/>
    </row>
    <row r="39093">
      <c r="D39093" s="9"/>
      <c r="G39093" s="9"/>
      <c r="J39093" s="11"/>
      <c r="U39093" s="9"/>
      <c r="X39093" s="9"/>
    </row>
    <row r="39094">
      <c r="D39094" s="9"/>
      <c r="G39094" s="9"/>
      <c r="J39094" s="11"/>
      <c r="U39094" s="9"/>
      <c r="X39094" s="9"/>
    </row>
    <row r="39095">
      <c r="D39095" s="9"/>
      <c r="G39095" s="9"/>
      <c r="J39095" s="11"/>
      <c r="U39095" s="9"/>
      <c r="X39095" s="9"/>
    </row>
    <row r="39096">
      <c r="D39096" s="9"/>
      <c r="G39096" s="9"/>
      <c r="J39096" s="11"/>
      <c r="U39096" s="9"/>
      <c r="X39096" s="9"/>
    </row>
    <row r="39097">
      <c r="D39097" s="9"/>
      <c r="G39097" s="9"/>
      <c r="J39097" s="11"/>
      <c r="U39097" s="9"/>
      <c r="X39097" s="9"/>
    </row>
    <row r="39098">
      <c r="D39098" s="9"/>
      <c r="G39098" s="9"/>
      <c r="J39098" s="11"/>
      <c r="U39098" s="9"/>
      <c r="X39098" s="9"/>
    </row>
    <row r="39099">
      <c r="D39099" s="9"/>
      <c r="G39099" s="9"/>
      <c r="J39099" s="11"/>
      <c r="U39099" s="9"/>
      <c r="X39099" s="9"/>
    </row>
    <row r="39100">
      <c r="D39100" s="9"/>
      <c r="G39100" s="9"/>
      <c r="J39100" s="11"/>
      <c r="U39100" s="9"/>
      <c r="X39100" s="9"/>
    </row>
    <row r="39101">
      <c r="D39101" s="9"/>
      <c r="G39101" s="9"/>
      <c r="J39101" s="11"/>
      <c r="U39101" s="9"/>
      <c r="X39101" s="9"/>
    </row>
    <row r="39102">
      <c r="D39102" s="9"/>
      <c r="G39102" s="9"/>
      <c r="J39102" s="11"/>
      <c r="U39102" s="9"/>
      <c r="X39102" s="9"/>
    </row>
    <row r="39103">
      <c r="D39103" s="9"/>
      <c r="G39103" s="9"/>
      <c r="J39103" s="11"/>
      <c r="U39103" s="9"/>
      <c r="X39103" s="9"/>
    </row>
    <row r="39104">
      <c r="D39104" s="9"/>
      <c r="G39104" s="9"/>
      <c r="J39104" s="11"/>
      <c r="U39104" s="9"/>
      <c r="X39104" s="9"/>
    </row>
    <row r="39105">
      <c r="D39105" s="9"/>
      <c r="G39105" s="9"/>
      <c r="J39105" s="11"/>
      <c r="U39105" s="9"/>
      <c r="X39105" s="9"/>
    </row>
    <row r="39106">
      <c r="D39106" s="9"/>
      <c r="G39106" s="9"/>
      <c r="J39106" s="11"/>
      <c r="U39106" s="9"/>
      <c r="X39106" s="9"/>
    </row>
    <row r="39107">
      <c r="D39107" s="9"/>
      <c r="G39107" s="9"/>
      <c r="J39107" s="11"/>
      <c r="U39107" s="9"/>
      <c r="X39107" s="9"/>
    </row>
    <row r="39108">
      <c r="D39108" s="9"/>
      <c r="G39108" s="9"/>
      <c r="J39108" s="11"/>
      <c r="U39108" s="9"/>
      <c r="X39108" s="9"/>
    </row>
    <row r="39109">
      <c r="D39109" s="9"/>
      <c r="G39109" s="9"/>
      <c r="J39109" s="11"/>
      <c r="U39109" s="9"/>
      <c r="X39109" s="9"/>
    </row>
    <row r="39110">
      <c r="D39110" s="9"/>
      <c r="G39110" s="9"/>
      <c r="J39110" s="11"/>
      <c r="U39110" s="9"/>
      <c r="X39110" s="9"/>
    </row>
    <row r="39111">
      <c r="D39111" s="9"/>
      <c r="G39111" s="9"/>
      <c r="J39111" s="11"/>
      <c r="U39111" s="9"/>
      <c r="X39111" s="9"/>
    </row>
    <row r="39112">
      <c r="D39112" s="9"/>
      <c r="G39112" s="9"/>
      <c r="J39112" s="11"/>
      <c r="U39112" s="9"/>
      <c r="X39112" s="9"/>
    </row>
    <row r="39113">
      <c r="D39113" s="9"/>
      <c r="G39113" s="9"/>
      <c r="J39113" s="11"/>
      <c r="U39113" s="9"/>
      <c r="X39113" s="9"/>
    </row>
    <row r="39114">
      <c r="D39114" s="9"/>
      <c r="G39114" s="9"/>
      <c r="J39114" s="11"/>
      <c r="U39114" s="9"/>
      <c r="X39114" s="9"/>
    </row>
    <row r="39115">
      <c r="D39115" s="9"/>
      <c r="G39115" s="9"/>
      <c r="J39115" s="11"/>
      <c r="U39115" s="9"/>
      <c r="X39115" s="9"/>
    </row>
    <row r="39116">
      <c r="D39116" s="9"/>
      <c r="G39116" s="9"/>
      <c r="J39116" s="11"/>
      <c r="U39116" s="9"/>
      <c r="X39116" s="9"/>
    </row>
    <row r="39117">
      <c r="D39117" s="9"/>
      <c r="G39117" s="9"/>
      <c r="J39117" s="11"/>
      <c r="U39117" s="9"/>
      <c r="X39117" s="9"/>
    </row>
    <row r="39118">
      <c r="D39118" s="9"/>
      <c r="G39118" s="9"/>
      <c r="J39118" s="11"/>
      <c r="U39118" s="9"/>
      <c r="X39118" s="9"/>
    </row>
    <row r="39119">
      <c r="D39119" s="9"/>
      <c r="G39119" s="9"/>
      <c r="J39119" s="11"/>
      <c r="U39119" s="9"/>
      <c r="X39119" s="9"/>
    </row>
    <row r="39120">
      <c r="D39120" s="9"/>
      <c r="G39120" s="9"/>
      <c r="J39120" s="11"/>
      <c r="U39120" s="9"/>
      <c r="X39120" s="9"/>
    </row>
    <row r="39121">
      <c r="D39121" s="9"/>
      <c r="G39121" s="9"/>
      <c r="J39121" s="11"/>
      <c r="U39121" s="9"/>
      <c r="X39121" s="9"/>
    </row>
    <row r="39122">
      <c r="D39122" s="9"/>
      <c r="G39122" s="9"/>
      <c r="J39122" s="11"/>
      <c r="U39122" s="9"/>
      <c r="X39122" s="9"/>
    </row>
    <row r="39123">
      <c r="D39123" s="9"/>
      <c r="G39123" s="9"/>
      <c r="J39123" s="11"/>
      <c r="U39123" s="9"/>
      <c r="X39123" s="9"/>
    </row>
    <row r="39124">
      <c r="D39124" s="9"/>
      <c r="G39124" s="9"/>
      <c r="J39124" s="11"/>
      <c r="U39124" s="9"/>
      <c r="X39124" s="9"/>
    </row>
    <row r="39125">
      <c r="D39125" s="9"/>
      <c r="G39125" s="9"/>
      <c r="J39125" s="11"/>
      <c r="U39125" s="9"/>
      <c r="X39125" s="9"/>
    </row>
    <row r="39126">
      <c r="D39126" s="9"/>
      <c r="G39126" s="9"/>
      <c r="J39126" s="11"/>
      <c r="U39126" s="9"/>
      <c r="X39126" s="9"/>
    </row>
    <row r="39127">
      <c r="D39127" s="9"/>
      <c r="G39127" s="9"/>
      <c r="J39127" s="11"/>
      <c r="U39127" s="9"/>
      <c r="X39127" s="9"/>
    </row>
    <row r="39128">
      <c r="D39128" s="9"/>
      <c r="G39128" s="9"/>
      <c r="J39128" s="11"/>
      <c r="U39128" s="9"/>
      <c r="X39128" s="9"/>
    </row>
    <row r="39129">
      <c r="D39129" s="9"/>
      <c r="G39129" s="9"/>
      <c r="J39129" s="11"/>
      <c r="U39129" s="9"/>
      <c r="X39129" s="9"/>
    </row>
    <row r="39130">
      <c r="D39130" s="9"/>
      <c r="G39130" s="9"/>
      <c r="J39130" s="11"/>
      <c r="U39130" s="9"/>
      <c r="X39130" s="9"/>
    </row>
    <row r="39131">
      <c r="D39131" s="9"/>
      <c r="G39131" s="9"/>
      <c r="J39131" s="11"/>
      <c r="U39131" s="9"/>
      <c r="X39131" s="9"/>
    </row>
    <row r="39132">
      <c r="D39132" s="9"/>
      <c r="G39132" s="9"/>
      <c r="J39132" s="11"/>
      <c r="U39132" s="9"/>
      <c r="X39132" s="9"/>
    </row>
    <row r="39133">
      <c r="D39133" s="9"/>
      <c r="G39133" s="9"/>
      <c r="J39133" s="11"/>
      <c r="U39133" s="9"/>
      <c r="X39133" s="9"/>
    </row>
    <row r="39134">
      <c r="D39134" s="9"/>
      <c r="G39134" s="9"/>
      <c r="J39134" s="11"/>
      <c r="U39134" s="9"/>
      <c r="X39134" s="9"/>
    </row>
    <row r="39135">
      <c r="D39135" s="9"/>
      <c r="G39135" s="9"/>
      <c r="J39135" s="11"/>
      <c r="U39135" s="9"/>
      <c r="X39135" s="9"/>
    </row>
    <row r="39136">
      <c r="D39136" s="9"/>
      <c r="G39136" s="9"/>
      <c r="J39136" s="11"/>
      <c r="U39136" s="9"/>
      <c r="X39136" s="9"/>
    </row>
    <row r="39137">
      <c r="D39137" s="9"/>
      <c r="G39137" s="9"/>
      <c r="J39137" s="11"/>
      <c r="U39137" s="9"/>
      <c r="X39137" s="9"/>
    </row>
    <row r="39138">
      <c r="D39138" s="9"/>
      <c r="G39138" s="9"/>
      <c r="J39138" s="11"/>
      <c r="U39138" s="9"/>
      <c r="X39138" s="9"/>
    </row>
    <row r="39139">
      <c r="D39139" s="9"/>
      <c r="G39139" s="9"/>
      <c r="J39139" s="11"/>
      <c r="U39139" s="9"/>
      <c r="X39139" s="9"/>
    </row>
    <row r="39140">
      <c r="D39140" s="9"/>
      <c r="G39140" s="9"/>
      <c r="J39140" s="11"/>
      <c r="U39140" s="9"/>
      <c r="X39140" s="9"/>
    </row>
    <row r="39141">
      <c r="D39141" s="9"/>
      <c r="G39141" s="9"/>
      <c r="J39141" s="11"/>
      <c r="U39141" s="9"/>
      <c r="X39141" s="9"/>
    </row>
    <row r="39142">
      <c r="D39142" s="9"/>
      <c r="G39142" s="9"/>
      <c r="J39142" s="11"/>
      <c r="U39142" s="9"/>
      <c r="X39142" s="9"/>
    </row>
    <row r="39143">
      <c r="D39143" s="9"/>
      <c r="G39143" s="9"/>
      <c r="J39143" s="11"/>
      <c r="U39143" s="9"/>
      <c r="X39143" s="9"/>
    </row>
    <row r="39144">
      <c r="D39144" s="9"/>
      <c r="G39144" s="9"/>
      <c r="J39144" s="11"/>
      <c r="U39144" s="9"/>
      <c r="X39144" s="9"/>
    </row>
    <row r="39145">
      <c r="D39145" s="9"/>
      <c r="G39145" s="9"/>
      <c r="J39145" s="11"/>
      <c r="U39145" s="9"/>
      <c r="X39145" s="9"/>
    </row>
    <row r="39146">
      <c r="D39146" s="9"/>
      <c r="G39146" s="9"/>
      <c r="J39146" s="11"/>
      <c r="U39146" s="9"/>
      <c r="X39146" s="9"/>
    </row>
    <row r="39147">
      <c r="D39147" s="9"/>
      <c r="G39147" s="9"/>
      <c r="J39147" s="11"/>
      <c r="U39147" s="9"/>
      <c r="X39147" s="9"/>
    </row>
    <row r="39148">
      <c r="D39148" s="9"/>
      <c r="G39148" s="9"/>
      <c r="J39148" s="11"/>
      <c r="U39148" s="9"/>
      <c r="X39148" s="9"/>
    </row>
    <row r="39149">
      <c r="D39149" s="9"/>
      <c r="G39149" s="9"/>
      <c r="J39149" s="11"/>
      <c r="U39149" s="9"/>
      <c r="X39149" s="9"/>
    </row>
    <row r="39150">
      <c r="D39150" s="9"/>
      <c r="G39150" s="9"/>
      <c r="J39150" s="11"/>
      <c r="U39150" s="9"/>
      <c r="X39150" s="9"/>
    </row>
    <row r="39151">
      <c r="D39151" s="9"/>
      <c r="G39151" s="9"/>
      <c r="J39151" s="11"/>
      <c r="U39151" s="9"/>
      <c r="X39151" s="9"/>
    </row>
    <row r="39152">
      <c r="D39152" s="9"/>
      <c r="G39152" s="9"/>
      <c r="J39152" s="11"/>
      <c r="U39152" s="9"/>
      <c r="X39152" s="9"/>
    </row>
    <row r="39153">
      <c r="D39153" s="9"/>
      <c r="G39153" s="9"/>
      <c r="J39153" s="11"/>
      <c r="U39153" s="9"/>
      <c r="X39153" s="9"/>
    </row>
    <row r="39154">
      <c r="D39154" s="9"/>
      <c r="G39154" s="9"/>
      <c r="J39154" s="11"/>
      <c r="U39154" s="9"/>
      <c r="X39154" s="9"/>
    </row>
    <row r="39155">
      <c r="D39155" s="9"/>
      <c r="G39155" s="9"/>
      <c r="J39155" s="11"/>
      <c r="U39155" s="9"/>
      <c r="X39155" s="9"/>
    </row>
    <row r="39156">
      <c r="D39156" s="9"/>
      <c r="G39156" s="9"/>
      <c r="J39156" s="11"/>
      <c r="U39156" s="9"/>
      <c r="X39156" s="9"/>
    </row>
    <row r="39157">
      <c r="D39157" s="9"/>
      <c r="G39157" s="9"/>
      <c r="J39157" s="11"/>
      <c r="U39157" s="9"/>
      <c r="X39157" s="9"/>
    </row>
    <row r="39158">
      <c r="D39158" s="9"/>
      <c r="G39158" s="9"/>
      <c r="J39158" s="11"/>
      <c r="U39158" s="9"/>
      <c r="X39158" s="9"/>
    </row>
    <row r="39159">
      <c r="D39159" s="9"/>
      <c r="G39159" s="9"/>
      <c r="J39159" s="11"/>
      <c r="U39159" s="9"/>
      <c r="X39159" s="9"/>
    </row>
    <row r="39160">
      <c r="D39160" s="9"/>
      <c r="G39160" s="9"/>
      <c r="J39160" s="11"/>
      <c r="U39160" s="9"/>
      <c r="X39160" s="9"/>
    </row>
    <row r="39161">
      <c r="D39161" s="9"/>
      <c r="G39161" s="9"/>
      <c r="J39161" s="11"/>
      <c r="U39161" s="9"/>
      <c r="X39161" s="9"/>
    </row>
    <row r="39162">
      <c r="D39162" s="9"/>
      <c r="G39162" s="9"/>
      <c r="J39162" s="11"/>
      <c r="U39162" s="9"/>
      <c r="X39162" s="9"/>
    </row>
    <row r="39163">
      <c r="D39163" s="9"/>
      <c r="G39163" s="9"/>
      <c r="J39163" s="11"/>
      <c r="U39163" s="9"/>
      <c r="X39163" s="9"/>
    </row>
    <row r="39164">
      <c r="D39164" s="9"/>
      <c r="G39164" s="9"/>
      <c r="J39164" s="11"/>
      <c r="U39164" s="9"/>
      <c r="X39164" s="9"/>
    </row>
    <row r="39165">
      <c r="D39165" s="9"/>
      <c r="G39165" s="9"/>
      <c r="J39165" s="11"/>
      <c r="U39165" s="9"/>
      <c r="X39165" s="9"/>
    </row>
    <row r="39166">
      <c r="D39166" s="9"/>
      <c r="G39166" s="9"/>
      <c r="J39166" s="11"/>
      <c r="U39166" s="9"/>
      <c r="X39166" s="9"/>
    </row>
    <row r="39167">
      <c r="D39167" s="9"/>
      <c r="G39167" s="9"/>
      <c r="J39167" s="11"/>
      <c r="U39167" s="9"/>
      <c r="X39167" s="9"/>
    </row>
    <row r="39168">
      <c r="D39168" s="9"/>
      <c r="G39168" s="9"/>
      <c r="J39168" s="11"/>
      <c r="U39168" s="9"/>
      <c r="X39168" s="9"/>
    </row>
    <row r="39169">
      <c r="D39169" s="9"/>
      <c r="G39169" s="9"/>
      <c r="J39169" s="11"/>
      <c r="U39169" s="9"/>
      <c r="X39169" s="9"/>
    </row>
    <row r="39170">
      <c r="D39170" s="9"/>
      <c r="G39170" s="9"/>
      <c r="J39170" s="11"/>
      <c r="U39170" s="9"/>
      <c r="X39170" s="9"/>
    </row>
    <row r="39171">
      <c r="D39171" s="9"/>
      <c r="G39171" s="9"/>
      <c r="J39171" s="11"/>
      <c r="U39171" s="9"/>
      <c r="X39171" s="9"/>
    </row>
    <row r="39172">
      <c r="D39172" s="9"/>
      <c r="G39172" s="9"/>
      <c r="J39172" s="11"/>
      <c r="U39172" s="9"/>
      <c r="X39172" s="9"/>
    </row>
    <row r="39173">
      <c r="D39173" s="9"/>
      <c r="G39173" s="9"/>
      <c r="J39173" s="11"/>
      <c r="U39173" s="9"/>
      <c r="X39173" s="9"/>
    </row>
    <row r="39174">
      <c r="D39174" s="9"/>
      <c r="G39174" s="9"/>
      <c r="J39174" s="11"/>
      <c r="U39174" s="9"/>
      <c r="X39174" s="9"/>
    </row>
    <row r="39175">
      <c r="D39175" s="9"/>
      <c r="G39175" s="9"/>
      <c r="J39175" s="11"/>
      <c r="U39175" s="9"/>
      <c r="X39175" s="9"/>
    </row>
    <row r="39176">
      <c r="D39176" s="9"/>
      <c r="G39176" s="9"/>
      <c r="J39176" s="11"/>
      <c r="U39176" s="9"/>
      <c r="X39176" s="9"/>
    </row>
    <row r="39177">
      <c r="D39177" s="9"/>
      <c r="G39177" s="9"/>
      <c r="J39177" s="11"/>
      <c r="U39177" s="9"/>
      <c r="X39177" s="9"/>
    </row>
    <row r="39178">
      <c r="D39178" s="9"/>
      <c r="G39178" s="9"/>
      <c r="J39178" s="11"/>
      <c r="U39178" s="9"/>
      <c r="X39178" s="9"/>
    </row>
    <row r="39179">
      <c r="D39179" s="9"/>
      <c r="G39179" s="9"/>
      <c r="J39179" s="11"/>
      <c r="U39179" s="9"/>
      <c r="X39179" s="9"/>
    </row>
    <row r="39180">
      <c r="D39180" s="9"/>
      <c r="G39180" s="9"/>
      <c r="J39180" s="11"/>
      <c r="U39180" s="9"/>
      <c r="X39180" s="9"/>
    </row>
    <row r="39181">
      <c r="D39181" s="9"/>
      <c r="G39181" s="9"/>
      <c r="J39181" s="11"/>
      <c r="U39181" s="9"/>
      <c r="X39181" s="9"/>
    </row>
    <row r="39182">
      <c r="D39182" s="9"/>
      <c r="G39182" s="9"/>
      <c r="J39182" s="11"/>
      <c r="U39182" s="9"/>
      <c r="X39182" s="9"/>
    </row>
    <row r="39183">
      <c r="D39183" s="9"/>
      <c r="G39183" s="9"/>
      <c r="J39183" s="11"/>
      <c r="U39183" s="9"/>
      <c r="X39183" s="9"/>
    </row>
    <row r="39184">
      <c r="D39184" s="9"/>
      <c r="G39184" s="9"/>
      <c r="J39184" s="11"/>
      <c r="U39184" s="9"/>
      <c r="X39184" s="9"/>
    </row>
    <row r="39185">
      <c r="D39185" s="9"/>
      <c r="G39185" s="9"/>
      <c r="J39185" s="11"/>
      <c r="U39185" s="9"/>
      <c r="X39185" s="9"/>
    </row>
    <row r="39186">
      <c r="D39186" s="9"/>
      <c r="G39186" s="9"/>
      <c r="J39186" s="11"/>
      <c r="U39186" s="9"/>
      <c r="X39186" s="9"/>
    </row>
    <row r="39187">
      <c r="D39187" s="9"/>
      <c r="G39187" s="9"/>
      <c r="J39187" s="11"/>
      <c r="U39187" s="9"/>
      <c r="X39187" s="9"/>
    </row>
    <row r="39188">
      <c r="D39188" s="9"/>
      <c r="G39188" s="9"/>
      <c r="J39188" s="11"/>
      <c r="U39188" s="9"/>
      <c r="X39188" s="9"/>
    </row>
    <row r="39189">
      <c r="D39189" s="9"/>
      <c r="G39189" s="9"/>
      <c r="J39189" s="11"/>
      <c r="U39189" s="9"/>
      <c r="X39189" s="9"/>
    </row>
    <row r="39190">
      <c r="D39190" s="9"/>
      <c r="G39190" s="9"/>
      <c r="J39190" s="11"/>
      <c r="U39190" s="9"/>
      <c r="X39190" s="9"/>
    </row>
    <row r="39191">
      <c r="D39191" s="9"/>
      <c r="G39191" s="9"/>
      <c r="J39191" s="11"/>
      <c r="U39191" s="9"/>
      <c r="X39191" s="9"/>
    </row>
    <row r="39192">
      <c r="D39192" s="9"/>
      <c r="G39192" s="9"/>
      <c r="J39192" s="11"/>
      <c r="U39192" s="9"/>
      <c r="X39192" s="9"/>
    </row>
    <row r="39193">
      <c r="D39193" s="9"/>
      <c r="G39193" s="9"/>
      <c r="J39193" s="11"/>
      <c r="U39193" s="9"/>
      <c r="X39193" s="9"/>
    </row>
    <row r="39194">
      <c r="D39194" s="9"/>
      <c r="G39194" s="9"/>
      <c r="J39194" s="11"/>
      <c r="U39194" s="9"/>
      <c r="X39194" s="9"/>
    </row>
    <row r="39195">
      <c r="D39195" s="9"/>
      <c r="G39195" s="9"/>
      <c r="J39195" s="11"/>
      <c r="U39195" s="9"/>
      <c r="X39195" s="9"/>
    </row>
    <row r="39196">
      <c r="D39196" s="9"/>
      <c r="G39196" s="9"/>
      <c r="J39196" s="11"/>
      <c r="U39196" s="9"/>
      <c r="X39196" s="9"/>
    </row>
    <row r="39197">
      <c r="D39197" s="9"/>
      <c r="G39197" s="9"/>
      <c r="J39197" s="11"/>
      <c r="U39197" s="9"/>
      <c r="X39197" s="9"/>
    </row>
    <row r="39198">
      <c r="D39198" s="9"/>
      <c r="G39198" s="9"/>
      <c r="J39198" s="11"/>
      <c r="U39198" s="9"/>
      <c r="X39198" s="9"/>
    </row>
    <row r="39199">
      <c r="D39199" s="9"/>
      <c r="G39199" s="9"/>
      <c r="J39199" s="11"/>
      <c r="U39199" s="9"/>
      <c r="X39199" s="9"/>
    </row>
    <row r="39200">
      <c r="D39200" s="9"/>
      <c r="G39200" s="9"/>
      <c r="J39200" s="11"/>
      <c r="U39200" s="9"/>
      <c r="X39200" s="9"/>
    </row>
    <row r="39201">
      <c r="D39201" s="9"/>
      <c r="G39201" s="9"/>
      <c r="J39201" s="11"/>
      <c r="U39201" s="9"/>
      <c r="X39201" s="9"/>
    </row>
    <row r="39202">
      <c r="D39202" s="9"/>
      <c r="G39202" s="9"/>
      <c r="J39202" s="11"/>
      <c r="U39202" s="9"/>
      <c r="X39202" s="9"/>
    </row>
    <row r="39203">
      <c r="D39203" s="9"/>
      <c r="G39203" s="9"/>
      <c r="J39203" s="11"/>
      <c r="U39203" s="9"/>
      <c r="X39203" s="9"/>
    </row>
    <row r="39204">
      <c r="D39204" s="9"/>
      <c r="G39204" s="9"/>
      <c r="J39204" s="11"/>
      <c r="U39204" s="9"/>
      <c r="X39204" s="9"/>
    </row>
    <row r="39205">
      <c r="D39205" s="9"/>
      <c r="G39205" s="9"/>
      <c r="J39205" s="11"/>
      <c r="U39205" s="9"/>
      <c r="X39205" s="9"/>
    </row>
    <row r="39206">
      <c r="D39206" s="9"/>
      <c r="G39206" s="9"/>
      <c r="J39206" s="11"/>
      <c r="U39206" s="9"/>
      <c r="X39206" s="9"/>
    </row>
    <row r="39207">
      <c r="D39207" s="9"/>
      <c r="G39207" s="9"/>
      <c r="J39207" s="11"/>
      <c r="U39207" s="9"/>
      <c r="X39207" s="9"/>
    </row>
    <row r="39208">
      <c r="D39208" s="9"/>
      <c r="G39208" s="9"/>
      <c r="J39208" s="11"/>
      <c r="U39208" s="9"/>
      <c r="X39208" s="9"/>
    </row>
    <row r="39209">
      <c r="D39209" s="9"/>
      <c r="G39209" s="9"/>
      <c r="J39209" s="11"/>
      <c r="U39209" s="9"/>
      <c r="X39209" s="9"/>
    </row>
    <row r="39210">
      <c r="D39210" s="9"/>
      <c r="G39210" s="9"/>
      <c r="J39210" s="11"/>
      <c r="U39210" s="9"/>
      <c r="X39210" s="9"/>
    </row>
    <row r="39211">
      <c r="D39211" s="9"/>
      <c r="G39211" s="9"/>
      <c r="J39211" s="11"/>
      <c r="U39211" s="9"/>
      <c r="X39211" s="9"/>
    </row>
    <row r="39212">
      <c r="D39212" s="9"/>
      <c r="G39212" s="9"/>
      <c r="J39212" s="11"/>
      <c r="U39212" s="9"/>
      <c r="X39212" s="9"/>
    </row>
    <row r="39213">
      <c r="D39213" s="9"/>
      <c r="G39213" s="9"/>
      <c r="J39213" s="11"/>
      <c r="U39213" s="9"/>
      <c r="X39213" s="9"/>
    </row>
    <row r="39214">
      <c r="D39214" s="9"/>
      <c r="G39214" s="9"/>
      <c r="J39214" s="11"/>
      <c r="U39214" s="9"/>
      <c r="X39214" s="9"/>
    </row>
    <row r="39215">
      <c r="D39215" s="9"/>
      <c r="G39215" s="9"/>
      <c r="J39215" s="11"/>
      <c r="U39215" s="9"/>
      <c r="X39215" s="9"/>
    </row>
    <row r="39216">
      <c r="D39216" s="9"/>
      <c r="G39216" s="9"/>
      <c r="J39216" s="11"/>
      <c r="U39216" s="9"/>
      <c r="X39216" s="9"/>
    </row>
    <row r="39217">
      <c r="D39217" s="9"/>
      <c r="G39217" s="9"/>
      <c r="J39217" s="11"/>
      <c r="U39217" s="9"/>
      <c r="X39217" s="9"/>
    </row>
    <row r="39218">
      <c r="D39218" s="9"/>
      <c r="G39218" s="9"/>
      <c r="J39218" s="11"/>
      <c r="U39218" s="9"/>
      <c r="X39218" s="9"/>
    </row>
    <row r="39219">
      <c r="D39219" s="9"/>
      <c r="G39219" s="9"/>
      <c r="J39219" s="11"/>
      <c r="U39219" s="9"/>
      <c r="X39219" s="9"/>
    </row>
    <row r="39220">
      <c r="D39220" s="9"/>
      <c r="G39220" s="9"/>
      <c r="J39220" s="11"/>
      <c r="U39220" s="9"/>
      <c r="X39220" s="9"/>
    </row>
    <row r="39221">
      <c r="D39221" s="9"/>
      <c r="G39221" s="9"/>
      <c r="J39221" s="11"/>
      <c r="U39221" s="9"/>
      <c r="X39221" s="9"/>
    </row>
    <row r="39222">
      <c r="D39222" s="9"/>
      <c r="G39222" s="9"/>
      <c r="J39222" s="11"/>
      <c r="U39222" s="9"/>
      <c r="X39222" s="9"/>
    </row>
    <row r="39223">
      <c r="D39223" s="9"/>
      <c r="G39223" s="9"/>
      <c r="J39223" s="11"/>
      <c r="U39223" s="9"/>
      <c r="X39223" s="9"/>
    </row>
    <row r="39224">
      <c r="D39224" s="9"/>
      <c r="G39224" s="9"/>
      <c r="J39224" s="11"/>
      <c r="U39224" s="9"/>
      <c r="X39224" s="9"/>
    </row>
    <row r="39225">
      <c r="D39225" s="9"/>
      <c r="G39225" s="9"/>
      <c r="J39225" s="11"/>
      <c r="U39225" s="9"/>
      <c r="X39225" s="9"/>
    </row>
    <row r="39226">
      <c r="D39226" s="9"/>
      <c r="G39226" s="9"/>
      <c r="J39226" s="11"/>
      <c r="U39226" s="9"/>
      <c r="X39226" s="9"/>
    </row>
    <row r="39227">
      <c r="D39227" s="9"/>
      <c r="G39227" s="9"/>
      <c r="J39227" s="11"/>
      <c r="U39227" s="9"/>
      <c r="X39227" s="9"/>
    </row>
    <row r="39228">
      <c r="D39228" s="9"/>
      <c r="G39228" s="9"/>
      <c r="J39228" s="11"/>
      <c r="U39228" s="9"/>
      <c r="X39228" s="9"/>
    </row>
    <row r="39229">
      <c r="D39229" s="9"/>
      <c r="G39229" s="9"/>
      <c r="J39229" s="11"/>
      <c r="U39229" s="9"/>
      <c r="X39229" s="9"/>
    </row>
    <row r="39230">
      <c r="D39230" s="9"/>
      <c r="G39230" s="9"/>
      <c r="J39230" s="11"/>
      <c r="U39230" s="9"/>
      <c r="X39230" s="9"/>
    </row>
    <row r="39231">
      <c r="D39231" s="9"/>
      <c r="G39231" s="9"/>
      <c r="J39231" s="11"/>
      <c r="U39231" s="9"/>
      <c r="X39231" s="9"/>
    </row>
    <row r="39232">
      <c r="D39232" s="9"/>
      <c r="G39232" s="9"/>
      <c r="J39232" s="11"/>
      <c r="U39232" s="9"/>
      <c r="X39232" s="9"/>
    </row>
    <row r="39233">
      <c r="D39233" s="9"/>
      <c r="G39233" s="9"/>
      <c r="J39233" s="11"/>
      <c r="U39233" s="9"/>
      <c r="X39233" s="9"/>
    </row>
    <row r="39234">
      <c r="D39234" s="9"/>
      <c r="G39234" s="9"/>
      <c r="J39234" s="11"/>
      <c r="U39234" s="9"/>
      <c r="X39234" s="9"/>
    </row>
    <row r="39235">
      <c r="D39235" s="9"/>
      <c r="G39235" s="9"/>
      <c r="J39235" s="11"/>
      <c r="U39235" s="9"/>
      <c r="X39235" s="9"/>
    </row>
    <row r="39236">
      <c r="D39236" s="9"/>
      <c r="G39236" s="9"/>
      <c r="J39236" s="11"/>
      <c r="U39236" s="9"/>
      <c r="X39236" s="9"/>
    </row>
    <row r="39237">
      <c r="D39237" s="9"/>
      <c r="G39237" s="9"/>
      <c r="J39237" s="11"/>
      <c r="U39237" s="9"/>
      <c r="X39237" s="9"/>
    </row>
    <row r="39238">
      <c r="D39238" s="9"/>
      <c r="G39238" s="9"/>
      <c r="J39238" s="11"/>
      <c r="U39238" s="9"/>
      <c r="X39238" s="9"/>
    </row>
    <row r="39239">
      <c r="D39239" s="9"/>
      <c r="G39239" s="9"/>
      <c r="J39239" s="11"/>
      <c r="U39239" s="9"/>
      <c r="X39239" s="9"/>
    </row>
    <row r="39240">
      <c r="D39240" s="9"/>
      <c r="G39240" s="9"/>
      <c r="J39240" s="11"/>
      <c r="U39240" s="9"/>
      <c r="X39240" s="9"/>
    </row>
    <row r="39241">
      <c r="D39241" s="9"/>
      <c r="G39241" s="9"/>
      <c r="J39241" s="11"/>
      <c r="U39241" s="9"/>
      <c r="X39241" s="9"/>
    </row>
    <row r="39242">
      <c r="D39242" s="9"/>
      <c r="G39242" s="9"/>
      <c r="J39242" s="11"/>
      <c r="U39242" s="9"/>
      <c r="X39242" s="9"/>
    </row>
    <row r="39243">
      <c r="D39243" s="9"/>
      <c r="G39243" s="9"/>
      <c r="J39243" s="11"/>
      <c r="U39243" s="9"/>
      <c r="X39243" s="9"/>
    </row>
    <row r="39244">
      <c r="D39244" s="9"/>
      <c r="G39244" s="9"/>
      <c r="J39244" s="11"/>
      <c r="U39244" s="9"/>
      <c r="X39244" s="9"/>
    </row>
    <row r="39245">
      <c r="D39245" s="9"/>
      <c r="G39245" s="9"/>
      <c r="J39245" s="11"/>
      <c r="U39245" s="9"/>
      <c r="X39245" s="9"/>
    </row>
    <row r="39246">
      <c r="D39246" s="9"/>
      <c r="G39246" s="9"/>
      <c r="J39246" s="11"/>
      <c r="U39246" s="9"/>
      <c r="X39246" s="9"/>
    </row>
    <row r="39247">
      <c r="D39247" s="9"/>
      <c r="G39247" s="9"/>
      <c r="J39247" s="11"/>
      <c r="U39247" s="9"/>
      <c r="X39247" s="9"/>
    </row>
    <row r="39248">
      <c r="D39248" s="9"/>
      <c r="G39248" s="9"/>
      <c r="J39248" s="11"/>
      <c r="U39248" s="9"/>
      <c r="X39248" s="9"/>
    </row>
    <row r="39249">
      <c r="D39249" s="9"/>
      <c r="G39249" s="9"/>
      <c r="J39249" s="11"/>
      <c r="U39249" s="9"/>
      <c r="X39249" s="9"/>
    </row>
    <row r="39250">
      <c r="D39250" s="9"/>
      <c r="G39250" s="9"/>
      <c r="J39250" s="11"/>
      <c r="U39250" s="9"/>
      <c r="X39250" s="9"/>
    </row>
    <row r="39251">
      <c r="D39251" s="9"/>
      <c r="G39251" s="9"/>
      <c r="J39251" s="11"/>
      <c r="U39251" s="9"/>
      <c r="X39251" s="9"/>
    </row>
    <row r="39252">
      <c r="D39252" s="9"/>
      <c r="G39252" s="9"/>
      <c r="J39252" s="11"/>
      <c r="U39252" s="9"/>
      <c r="X39252" s="9"/>
    </row>
    <row r="39253">
      <c r="D39253" s="9"/>
      <c r="G39253" s="9"/>
      <c r="J39253" s="11"/>
      <c r="U39253" s="9"/>
      <c r="X39253" s="9"/>
    </row>
    <row r="39254">
      <c r="D39254" s="9"/>
      <c r="G39254" s="9"/>
      <c r="J39254" s="11"/>
      <c r="U39254" s="9"/>
      <c r="X39254" s="9"/>
    </row>
    <row r="39255">
      <c r="D39255" s="9"/>
      <c r="G39255" s="9"/>
      <c r="J39255" s="11"/>
      <c r="U39255" s="9"/>
      <c r="X39255" s="9"/>
    </row>
    <row r="39256">
      <c r="D39256" s="9"/>
      <c r="G39256" s="9"/>
      <c r="J39256" s="11"/>
      <c r="U39256" s="9"/>
      <c r="X39256" s="9"/>
    </row>
    <row r="39257">
      <c r="D39257" s="9"/>
      <c r="G39257" s="9"/>
      <c r="J39257" s="11"/>
      <c r="U39257" s="9"/>
      <c r="X39257" s="9"/>
    </row>
    <row r="39258">
      <c r="D39258" s="9"/>
      <c r="G39258" s="9"/>
      <c r="J39258" s="11"/>
      <c r="U39258" s="9"/>
      <c r="X39258" s="9"/>
    </row>
    <row r="39259">
      <c r="D39259" s="9"/>
      <c r="G39259" s="9"/>
      <c r="J39259" s="11"/>
      <c r="U39259" s="9"/>
      <c r="X39259" s="9"/>
    </row>
    <row r="39260">
      <c r="D39260" s="9"/>
      <c r="G39260" s="9"/>
      <c r="J39260" s="11"/>
      <c r="U39260" s="9"/>
      <c r="X39260" s="9"/>
    </row>
    <row r="39261">
      <c r="D39261" s="9"/>
      <c r="G39261" s="9"/>
      <c r="J39261" s="11"/>
      <c r="U39261" s="9"/>
      <c r="X39261" s="9"/>
    </row>
    <row r="39262">
      <c r="D39262" s="9"/>
      <c r="G39262" s="9"/>
      <c r="J39262" s="11"/>
      <c r="U39262" s="9"/>
      <c r="X39262" s="9"/>
    </row>
    <row r="39263">
      <c r="D39263" s="9"/>
      <c r="G39263" s="9"/>
      <c r="J39263" s="11"/>
      <c r="U39263" s="9"/>
      <c r="X39263" s="9"/>
    </row>
    <row r="39264">
      <c r="D39264" s="9"/>
      <c r="G39264" s="9"/>
      <c r="J39264" s="11"/>
      <c r="U39264" s="9"/>
      <c r="X39264" s="9"/>
    </row>
    <row r="39265">
      <c r="D39265" s="9"/>
      <c r="G39265" s="9"/>
      <c r="J39265" s="11"/>
      <c r="U39265" s="9"/>
      <c r="X39265" s="9"/>
    </row>
    <row r="39266">
      <c r="D39266" s="9"/>
      <c r="G39266" s="9"/>
      <c r="J39266" s="11"/>
      <c r="U39266" s="9"/>
      <c r="X39266" s="9"/>
    </row>
    <row r="39267">
      <c r="D39267" s="9"/>
      <c r="G39267" s="9"/>
      <c r="J39267" s="11"/>
      <c r="U39267" s="9"/>
      <c r="X39267" s="9"/>
    </row>
    <row r="39268">
      <c r="D39268" s="9"/>
      <c r="G39268" s="9"/>
      <c r="J39268" s="11"/>
      <c r="U39268" s="9"/>
      <c r="X39268" s="9"/>
    </row>
    <row r="39269">
      <c r="D39269" s="9"/>
      <c r="G39269" s="9"/>
      <c r="J39269" s="11"/>
      <c r="U39269" s="9"/>
      <c r="X39269" s="9"/>
    </row>
    <row r="39270">
      <c r="D39270" s="9"/>
      <c r="G39270" s="9"/>
      <c r="J39270" s="11"/>
      <c r="U39270" s="9"/>
      <c r="X39270" s="9"/>
    </row>
    <row r="39271">
      <c r="D39271" s="9"/>
      <c r="G39271" s="9"/>
      <c r="J39271" s="11"/>
      <c r="U39271" s="9"/>
      <c r="X39271" s="9"/>
    </row>
    <row r="39272">
      <c r="D39272" s="9"/>
      <c r="G39272" s="9"/>
      <c r="J39272" s="11"/>
      <c r="U39272" s="9"/>
      <c r="X39272" s="9"/>
    </row>
    <row r="39273">
      <c r="D39273" s="9"/>
      <c r="G39273" s="9"/>
      <c r="J39273" s="11"/>
      <c r="U39273" s="9"/>
      <c r="X39273" s="9"/>
    </row>
    <row r="39274">
      <c r="D39274" s="9"/>
      <c r="G39274" s="9"/>
      <c r="J39274" s="11"/>
      <c r="U39274" s="9"/>
      <c r="X39274" s="9"/>
    </row>
    <row r="39275">
      <c r="D39275" s="9"/>
      <c r="G39275" s="9"/>
      <c r="J39275" s="11"/>
      <c r="U39275" s="9"/>
      <c r="X39275" s="9"/>
    </row>
    <row r="39276">
      <c r="D39276" s="9"/>
      <c r="G39276" s="9"/>
      <c r="J39276" s="11"/>
      <c r="U39276" s="9"/>
      <c r="X39276" s="9"/>
    </row>
    <row r="39277">
      <c r="D39277" s="9"/>
      <c r="G39277" s="9"/>
      <c r="J39277" s="11"/>
      <c r="U39277" s="9"/>
      <c r="X39277" s="9"/>
    </row>
    <row r="39278">
      <c r="D39278" s="9"/>
      <c r="G39278" s="9"/>
      <c r="J39278" s="11"/>
      <c r="U39278" s="9"/>
      <c r="X39278" s="9"/>
    </row>
    <row r="39279">
      <c r="D39279" s="9"/>
      <c r="G39279" s="9"/>
      <c r="J39279" s="11"/>
      <c r="U39279" s="9"/>
      <c r="X39279" s="9"/>
    </row>
    <row r="39280">
      <c r="D39280" s="9"/>
      <c r="G39280" s="9"/>
      <c r="J39280" s="11"/>
      <c r="U39280" s="9"/>
      <c r="X39280" s="9"/>
    </row>
    <row r="39281">
      <c r="D39281" s="9"/>
      <c r="G39281" s="9"/>
      <c r="J39281" s="11"/>
      <c r="U39281" s="9"/>
      <c r="X39281" s="9"/>
    </row>
    <row r="39282">
      <c r="D39282" s="9"/>
      <c r="G39282" s="9"/>
      <c r="J39282" s="11"/>
      <c r="U39282" s="9"/>
      <c r="X39282" s="9"/>
    </row>
    <row r="39283">
      <c r="D39283" s="9"/>
      <c r="G39283" s="9"/>
      <c r="J39283" s="11"/>
      <c r="U39283" s="9"/>
      <c r="X39283" s="9"/>
    </row>
    <row r="39284">
      <c r="D39284" s="9"/>
      <c r="G39284" s="9"/>
      <c r="J39284" s="11"/>
      <c r="U39284" s="9"/>
      <c r="X39284" s="9"/>
    </row>
    <row r="39285">
      <c r="D39285" s="9"/>
      <c r="G39285" s="9"/>
      <c r="J39285" s="11"/>
      <c r="U39285" s="9"/>
      <c r="X39285" s="9"/>
    </row>
    <row r="39286">
      <c r="D39286" s="9"/>
      <c r="G39286" s="9"/>
      <c r="J39286" s="11"/>
      <c r="U39286" s="9"/>
      <c r="X39286" s="9"/>
    </row>
    <row r="39287">
      <c r="D39287" s="9"/>
      <c r="G39287" s="9"/>
      <c r="J39287" s="11"/>
      <c r="U39287" s="9"/>
      <c r="X39287" s="9"/>
    </row>
    <row r="39288">
      <c r="D39288" s="9"/>
      <c r="G39288" s="9"/>
      <c r="J39288" s="11"/>
      <c r="U39288" s="9"/>
      <c r="X39288" s="9"/>
    </row>
    <row r="39289">
      <c r="D39289" s="9"/>
      <c r="G39289" s="9"/>
      <c r="J39289" s="11"/>
      <c r="U39289" s="9"/>
      <c r="X39289" s="9"/>
    </row>
    <row r="39290">
      <c r="D39290" s="9"/>
      <c r="G39290" s="9"/>
      <c r="J39290" s="11"/>
      <c r="U39290" s="9"/>
      <c r="X39290" s="9"/>
    </row>
    <row r="39291">
      <c r="D39291" s="9"/>
      <c r="G39291" s="9"/>
      <c r="J39291" s="11"/>
      <c r="U39291" s="9"/>
      <c r="X39291" s="9"/>
    </row>
    <row r="39292">
      <c r="D39292" s="9"/>
      <c r="G39292" s="9"/>
      <c r="J39292" s="11"/>
      <c r="U39292" s="9"/>
      <c r="X39292" s="9"/>
    </row>
    <row r="39293">
      <c r="D39293" s="9"/>
      <c r="G39293" s="9"/>
      <c r="J39293" s="11"/>
      <c r="U39293" s="9"/>
      <c r="X39293" s="9"/>
    </row>
    <row r="39294">
      <c r="D39294" s="9"/>
      <c r="G39294" s="9"/>
      <c r="J39294" s="11"/>
      <c r="U39294" s="9"/>
      <c r="X39294" s="9"/>
    </row>
    <row r="39295">
      <c r="D39295" s="9"/>
      <c r="G39295" s="9"/>
      <c r="J39295" s="11"/>
      <c r="U39295" s="9"/>
      <c r="X39295" s="9"/>
    </row>
    <row r="39296">
      <c r="D39296" s="9"/>
      <c r="G39296" s="9"/>
      <c r="J39296" s="11"/>
      <c r="U39296" s="9"/>
      <c r="X39296" s="9"/>
    </row>
    <row r="39297">
      <c r="D39297" s="9"/>
      <c r="G39297" s="9"/>
      <c r="J39297" s="11"/>
      <c r="U39297" s="9"/>
      <c r="X39297" s="9"/>
    </row>
    <row r="39298">
      <c r="D39298" s="9"/>
      <c r="G39298" s="9"/>
      <c r="J39298" s="11"/>
      <c r="U39298" s="9"/>
      <c r="X39298" s="9"/>
    </row>
    <row r="39299">
      <c r="D39299" s="9"/>
      <c r="G39299" s="9"/>
      <c r="J39299" s="11"/>
      <c r="U39299" s="9"/>
      <c r="X39299" s="9"/>
    </row>
    <row r="39300">
      <c r="D39300" s="9"/>
      <c r="G39300" s="9"/>
      <c r="J39300" s="11"/>
      <c r="U39300" s="9"/>
      <c r="X39300" s="9"/>
    </row>
    <row r="39301">
      <c r="D39301" s="9"/>
      <c r="G39301" s="9"/>
      <c r="J39301" s="11"/>
      <c r="U39301" s="9"/>
      <c r="X39301" s="9"/>
    </row>
    <row r="39302">
      <c r="D39302" s="9"/>
      <c r="G39302" s="9"/>
      <c r="J39302" s="11"/>
      <c r="U39302" s="9"/>
      <c r="X39302" s="9"/>
    </row>
    <row r="39303">
      <c r="D39303" s="9"/>
      <c r="G39303" s="9"/>
      <c r="J39303" s="11"/>
      <c r="U39303" s="9"/>
      <c r="X39303" s="9"/>
    </row>
    <row r="39304">
      <c r="D39304" s="9"/>
      <c r="G39304" s="9"/>
      <c r="J39304" s="11"/>
      <c r="U39304" s="9"/>
      <c r="X39304" s="9"/>
    </row>
    <row r="39305">
      <c r="D39305" s="9"/>
      <c r="G39305" s="9"/>
      <c r="J39305" s="11"/>
      <c r="U39305" s="9"/>
      <c r="X39305" s="9"/>
    </row>
    <row r="39306">
      <c r="D39306" s="9"/>
      <c r="G39306" s="9"/>
      <c r="J39306" s="11"/>
      <c r="U39306" s="9"/>
      <c r="X39306" s="9"/>
    </row>
    <row r="39307">
      <c r="D39307" s="9"/>
      <c r="G39307" s="9"/>
      <c r="J39307" s="11"/>
      <c r="U39307" s="9"/>
      <c r="X39307" s="9"/>
    </row>
    <row r="39308">
      <c r="D39308" s="9"/>
      <c r="G39308" s="9"/>
      <c r="J39308" s="11"/>
      <c r="U39308" s="9"/>
      <c r="X39308" s="9"/>
    </row>
    <row r="39309">
      <c r="D39309" s="9"/>
      <c r="G39309" s="9"/>
      <c r="J39309" s="11"/>
      <c r="U39309" s="9"/>
      <c r="X39309" s="9"/>
    </row>
    <row r="39310">
      <c r="D39310" s="9"/>
      <c r="G39310" s="9"/>
      <c r="J39310" s="11"/>
      <c r="U39310" s="9"/>
      <c r="X39310" s="9"/>
    </row>
    <row r="39311">
      <c r="D39311" s="9"/>
      <c r="G39311" s="9"/>
      <c r="J39311" s="11"/>
      <c r="U39311" s="9"/>
      <c r="X39311" s="9"/>
    </row>
    <row r="39312">
      <c r="D39312" s="9"/>
      <c r="G39312" s="9"/>
      <c r="J39312" s="11"/>
      <c r="U39312" s="9"/>
      <c r="X39312" s="9"/>
    </row>
    <row r="39313">
      <c r="D39313" s="9"/>
      <c r="G39313" s="9"/>
      <c r="J39313" s="11"/>
      <c r="U39313" s="9"/>
      <c r="X39313" s="9"/>
    </row>
    <row r="39314">
      <c r="D39314" s="9"/>
      <c r="G39314" s="9"/>
      <c r="J39314" s="11"/>
      <c r="U39314" s="9"/>
      <c r="X39314" s="9"/>
    </row>
    <row r="39315">
      <c r="D39315" s="9"/>
      <c r="G39315" s="9"/>
      <c r="J39315" s="11"/>
      <c r="U39315" s="9"/>
      <c r="X39315" s="9"/>
    </row>
    <row r="39316">
      <c r="D39316" s="9"/>
      <c r="G39316" s="9"/>
      <c r="J39316" s="11"/>
      <c r="U39316" s="9"/>
      <c r="X39316" s="9"/>
    </row>
    <row r="39317">
      <c r="D39317" s="9"/>
      <c r="G39317" s="9"/>
      <c r="J39317" s="11"/>
      <c r="U39317" s="9"/>
      <c r="X39317" s="9"/>
    </row>
    <row r="39318">
      <c r="D39318" s="9"/>
      <c r="G39318" s="9"/>
      <c r="J39318" s="11"/>
      <c r="U39318" s="9"/>
      <c r="X39318" s="9"/>
    </row>
    <row r="39319">
      <c r="D39319" s="9"/>
      <c r="G39319" s="9"/>
      <c r="J39319" s="11"/>
      <c r="U39319" s="9"/>
      <c r="X39319" s="9"/>
    </row>
    <row r="39320">
      <c r="D39320" s="9"/>
      <c r="G39320" s="9"/>
      <c r="J39320" s="11"/>
      <c r="U39320" s="9"/>
      <c r="X39320" s="9"/>
    </row>
    <row r="39321">
      <c r="D39321" s="9"/>
      <c r="G39321" s="9"/>
      <c r="J39321" s="11"/>
      <c r="U39321" s="9"/>
      <c r="X39321" s="9"/>
    </row>
    <row r="39322">
      <c r="D39322" s="9"/>
      <c r="G39322" s="9"/>
      <c r="J39322" s="11"/>
      <c r="U39322" s="9"/>
      <c r="X39322" s="9"/>
    </row>
    <row r="39323">
      <c r="D39323" s="9"/>
      <c r="G39323" s="9"/>
      <c r="J39323" s="11"/>
      <c r="U39323" s="9"/>
      <c r="X39323" s="9"/>
    </row>
    <row r="39324">
      <c r="D39324" s="9"/>
      <c r="G39324" s="9"/>
      <c r="J39324" s="11"/>
      <c r="U39324" s="9"/>
      <c r="X39324" s="9"/>
    </row>
    <row r="39325">
      <c r="D39325" s="9"/>
      <c r="G39325" s="9"/>
      <c r="J39325" s="11"/>
      <c r="U39325" s="9"/>
      <c r="X39325" s="9"/>
    </row>
    <row r="39326">
      <c r="D39326" s="9"/>
      <c r="G39326" s="9"/>
      <c r="J39326" s="11"/>
      <c r="U39326" s="9"/>
      <c r="X39326" s="9"/>
    </row>
    <row r="39327">
      <c r="D39327" s="9"/>
      <c r="G39327" s="9"/>
      <c r="J39327" s="11"/>
      <c r="U39327" s="9"/>
      <c r="X39327" s="9"/>
    </row>
    <row r="39328">
      <c r="D39328" s="9"/>
      <c r="G39328" s="9"/>
      <c r="J39328" s="11"/>
      <c r="U39328" s="9"/>
      <c r="X39328" s="9"/>
    </row>
    <row r="39329">
      <c r="D39329" s="9"/>
      <c r="G39329" s="9"/>
      <c r="J39329" s="11"/>
      <c r="U39329" s="9"/>
      <c r="X39329" s="9"/>
    </row>
    <row r="39330">
      <c r="D39330" s="9"/>
      <c r="G39330" s="9"/>
      <c r="J39330" s="11"/>
      <c r="U39330" s="9"/>
      <c r="X39330" s="9"/>
    </row>
    <row r="39331">
      <c r="D39331" s="9"/>
      <c r="G39331" s="9"/>
      <c r="J39331" s="11"/>
      <c r="U39331" s="9"/>
      <c r="X39331" s="9"/>
    </row>
    <row r="39332">
      <c r="D39332" s="9"/>
      <c r="G39332" s="9"/>
      <c r="J39332" s="11"/>
      <c r="U39332" s="9"/>
      <c r="X39332" s="9"/>
    </row>
    <row r="39333">
      <c r="D39333" s="9"/>
      <c r="G39333" s="9"/>
      <c r="J39333" s="11"/>
      <c r="U39333" s="9"/>
      <c r="X39333" s="9"/>
    </row>
    <row r="39334">
      <c r="D39334" s="9"/>
      <c r="G39334" s="9"/>
      <c r="J39334" s="11"/>
      <c r="U39334" s="9"/>
      <c r="X39334" s="9"/>
    </row>
    <row r="39335">
      <c r="D39335" s="9"/>
      <c r="G39335" s="9"/>
      <c r="J39335" s="11"/>
      <c r="U39335" s="9"/>
      <c r="X39335" s="9"/>
    </row>
    <row r="39336">
      <c r="D39336" s="9"/>
      <c r="G39336" s="9"/>
      <c r="J39336" s="11"/>
      <c r="U39336" s="9"/>
      <c r="X39336" s="9"/>
    </row>
    <row r="39337">
      <c r="D39337" s="9"/>
      <c r="G39337" s="9"/>
      <c r="J39337" s="11"/>
      <c r="U39337" s="9"/>
      <c r="X39337" s="9"/>
    </row>
    <row r="39338">
      <c r="D39338" s="9"/>
      <c r="G39338" s="9"/>
      <c r="J39338" s="11"/>
      <c r="U39338" s="9"/>
      <c r="X39338" s="9"/>
    </row>
    <row r="39339">
      <c r="D39339" s="9"/>
      <c r="G39339" s="9"/>
      <c r="J39339" s="11"/>
      <c r="U39339" s="9"/>
      <c r="X39339" s="9"/>
    </row>
    <row r="39340">
      <c r="D39340" s="9"/>
      <c r="G39340" s="9"/>
      <c r="J39340" s="11"/>
      <c r="U39340" s="9"/>
      <c r="X39340" s="9"/>
    </row>
    <row r="39341">
      <c r="D39341" s="9"/>
      <c r="G39341" s="9"/>
      <c r="J39341" s="11"/>
      <c r="U39341" s="9"/>
      <c r="X39341" s="9"/>
    </row>
    <row r="39342">
      <c r="D39342" s="9"/>
      <c r="G39342" s="9"/>
      <c r="J39342" s="11"/>
      <c r="U39342" s="9"/>
      <c r="X39342" s="9"/>
    </row>
    <row r="39343">
      <c r="D39343" s="9"/>
      <c r="G39343" s="9"/>
      <c r="J39343" s="11"/>
      <c r="U39343" s="9"/>
      <c r="X39343" s="9"/>
    </row>
    <row r="39344">
      <c r="D39344" s="9"/>
      <c r="G39344" s="9"/>
      <c r="J39344" s="11"/>
      <c r="U39344" s="9"/>
      <c r="X39344" s="9"/>
    </row>
    <row r="39345">
      <c r="D39345" s="9"/>
      <c r="G39345" s="9"/>
      <c r="J39345" s="11"/>
      <c r="U39345" s="9"/>
      <c r="X39345" s="9"/>
    </row>
    <row r="39346">
      <c r="D39346" s="9"/>
      <c r="G39346" s="9"/>
      <c r="J39346" s="11"/>
      <c r="U39346" s="9"/>
      <c r="X39346" s="9"/>
    </row>
    <row r="39347">
      <c r="D39347" s="9"/>
      <c r="G39347" s="9"/>
      <c r="J39347" s="11"/>
      <c r="U39347" s="9"/>
      <c r="X39347" s="9"/>
    </row>
    <row r="39348">
      <c r="D39348" s="9"/>
      <c r="G39348" s="9"/>
      <c r="J39348" s="11"/>
      <c r="U39348" s="9"/>
      <c r="X39348" s="9"/>
    </row>
    <row r="39349">
      <c r="D39349" s="9"/>
      <c r="G39349" s="9"/>
      <c r="J39349" s="11"/>
      <c r="U39349" s="9"/>
      <c r="X39349" s="9"/>
    </row>
    <row r="39350">
      <c r="D39350" s="9"/>
      <c r="G39350" s="9"/>
      <c r="J39350" s="11"/>
      <c r="U39350" s="9"/>
      <c r="X39350" s="9"/>
    </row>
    <row r="39351">
      <c r="D39351" s="9"/>
      <c r="G39351" s="9"/>
      <c r="J39351" s="11"/>
      <c r="U39351" s="9"/>
      <c r="X39351" s="9"/>
    </row>
    <row r="39352">
      <c r="D39352" s="9"/>
      <c r="G39352" s="9"/>
      <c r="J39352" s="11"/>
      <c r="U39352" s="9"/>
      <c r="X39352" s="9"/>
    </row>
    <row r="39353">
      <c r="D39353" s="9"/>
      <c r="G39353" s="9"/>
      <c r="J39353" s="11"/>
      <c r="U39353" s="9"/>
      <c r="X39353" s="9"/>
    </row>
    <row r="39354">
      <c r="D39354" s="9"/>
      <c r="G39354" s="9"/>
      <c r="J39354" s="11"/>
      <c r="U39354" s="9"/>
      <c r="X39354" s="9"/>
    </row>
    <row r="39355">
      <c r="D39355" s="9"/>
      <c r="G39355" s="9"/>
      <c r="J39355" s="11"/>
      <c r="U39355" s="9"/>
      <c r="X39355" s="9"/>
    </row>
    <row r="39356">
      <c r="D39356" s="9"/>
      <c r="G39356" s="9"/>
      <c r="J39356" s="11"/>
      <c r="U39356" s="9"/>
      <c r="X39356" s="9"/>
    </row>
    <row r="39357">
      <c r="D39357" s="9"/>
      <c r="G39357" s="9"/>
      <c r="J39357" s="11"/>
      <c r="U39357" s="9"/>
      <c r="X39357" s="9"/>
    </row>
    <row r="39358">
      <c r="D39358" s="9"/>
      <c r="G39358" s="9"/>
      <c r="J39358" s="11"/>
      <c r="U39358" s="9"/>
      <c r="X39358" s="9"/>
    </row>
    <row r="39359">
      <c r="D39359" s="9"/>
      <c r="G39359" s="9"/>
      <c r="J39359" s="11"/>
      <c r="U39359" s="9"/>
      <c r="X39359" s="9"/>
    </row>
    <row r="39360">
      <c r="D39360" s="9"/>
      <c r="G39360" s="9"/>
      <c r="J39360" s="11"/>
      <c r="U39360" s="9"/>
      <c r="X39360" s="9"/>
    </row>
    <row r="39361">
      <c r="D39361" s="9"/>
      <c r="G39361" s="9"/>
      <c r="J39361" s="11"/>
      <c r="U39361" s="9"/>
      <c r="X39361" s="9"/>
    </row>
    <row r="39362">
      <c r="D39362" s="9"/>
      <c r="G39362" s="9"/>
      <c r="J39362" s="11"/>
      <c r="U39362" s="9"/>
      <c r="X39362" s="9"/>
    </row>
    <row r="39363">
      <c r="D39363" s="9"/>
      <c r="G39363" s="9"/>
      <c r="J39363" s="11"/>
      <c r="U39363" s="9"/>
      <c r="X39363" s="9"/>
    </row>
    <row r="39364">
      <c r="D39364" s="9"/>
      <c r="G39364" s="9"/>
      <c r="J39364" s="11"/>
      <c r="U39364" s="9"/>
      <c r="X39364" s="9"/>
    </row>
    <row r="39365">
      <c r="D39365" s="9"/>
      <c r="G39365" s="9"/>
      <c r="J39365" s="11"/>
      <c r="U39365" s="9"/>
      <c r="X39365" s="9"/>
    </row>
    <row r="39366">
      <c r="D39366" s="9"/>
      <c r="G39366" s="9"/>
      <c r="J39366" s="11"/>
      <c r="U39366" s="9"/>
      <c r="X39366" s="9"/>
    </row>
    <row r="39367">
      <c r="D39367" s="9"/>
      <c r="G39367" s="9"/>
      <c r="J39367" s="11"/>
      <c r="U39367" s="9"/>
      <c r="X39367" s="9"/>
    </row>
    <row r="39368">
      <c r="D39368" s="9"/>
      <c r="G39368" s="9"/>
      <c r="J39368" s="11"/>
      <c r="U39368" s="9"/>
      <c r="X39368" s="9"/>
    </row>
    <row r="39369">
      <c r="D39369" s="9"/>
      <c r="G39369" s="9"/>
      <c r="J39369" s="11"/>
      <c r="U39369" s="9"/>
      <c r="X39369" s="9"/>
    </row>
    <row r="39370">
      <c r="D39370" s="9"/>
      <c r="G39370" s="9"/>
      <c r="J39370" s="11"/>
      <c r="U39370" s="9"/>
      <c r="X39370" s="9"/>
    </row>
    <row r="39371">
      <c r="D39371" s="9"/>
      <c r="G39371" s="9"/>
      <c r="J39371" s="11"/>
      <c r="U39371" s="9"/>
      <c r="X39371" s="9"/>
    </row>
    <row r="39372">
      <c r="D39372" s="9"/>
      <c r="G39372" s="9"/>
      <c r="J39372" s="11"/>
      <c r="U39372" s="9"/>
      <c r="X39372" s="9"/>
    </row>
    <row r="39373">
      <c r="D39373" s="9"/>
      <c r="G39373" s="9"/>
      <c r="J39373" s="11"/>
      <c r="U39373" s="9"/>
      <c r="X39373" s="9"/>
    </row>
    <row r="39374">
      <c r="D39374" s="9"/>
      <c r="G39374" s="9"/>
      <c r="J39374" s="11"/>
      <c r="U39374" s="9"/>
      <c r="X39374" s="9"/>
    </row>
    <row r="39375">
      <c r="D39375" s="9"/>
      <c r="G39375" s="9"/>
      <c r="J39375" s="11"/>
      <c r="U39375" s="9"/>
      <c r="X39375" s="9"/>
    </row>
    <row r="39376">
      <c r="D39376" s="9"/>
      <c r="G39376" s="9"/>
      <c r="J39376" s="11"/>
      <c r="U39376" s="9"/>
      <c r="X39376" s="9"/>
    </row>
    <row r="39377">
      <c r="D39377" s="9"/>
      <c r="G39377" s="9"/>
      <c r="J39377" s="11"/>
      <c r="U39377" s="9"/>
      <c r="X39377" s="9"/>
    </row>
    <row r="39378">
      <c r="D39378" s="9"/>
      <c r="G39378" s="9"/>
      <c r="J39378" s="11"/>
      <c r="U39378" s="9"/>
      <c r="X39378" s="9"/>
    </row>
    <row r="39379">
      <c r="D39379" s="9"/>
      <c r="G39379" s="9"/>
      <c r="J39379" s="11"/>
      <c r="U39379" s="9"/>
      <c r="X39379" s="9"/>
    </row>
    <row r="39380">
      <c r="D39380" s="9"/>
      <c r="G39380" s="9"/>
      <c r="J39380" s="11"/>
      <c r="U39380" s="9"/>
      <c r="X39380" s="9"/>
    </row>
    <row r="39381">
      <c r="D39381" s="9"/>
      <c r="G39381" s="9"/>
      <c r="J39381" s="11"/>
      <c r="U39381" s="9"/>
      <c r="X39381" s="9"/>
    </row>
    <row r="39382">
      <c r="D39382" s="9"/>
      <c r="G39382" s="9"/>
      <c r="J39382" s="11"/>
      <c r="U39382" s="9"/>
      <c r="X39382" s="9"/>
    </row>
    <row r="39383">
      <c r="D39383" s="9"/>
      <c r="G39383" s="9"/>
      <c r="J39383" s="11"/>
      <c r="U39383" s="9"/>
      <c r="X39383" s="9"/>
    </row>
    <row r="39384">
      <c r="D39384" s="9"/>
      <c r="G39384" s="9"/>
      <c r="J39384" s="11"/>
      <c r="U39384" s="9"/>
      <c r="X39384" s="9"/>
    </row>
    <row r="39385">
      <c r="D39385" s="9"/>
      <c r="G39385" s="9"/>
      <c r="J39385" s="11"/>
      <c r="U39385" s="9"/>
      <c r="X39385" s="9"/>
    </row>
    <row r="39386">
      <c r="D39386" s="9"/>
      <c r="G39386" s="9"/>
      <c r="J39386" s="11"/>
      <c r="U39386" s="9"/>
      <c r="X39386" s="9"/>
    </row>
    <row r="39387">
      <c r="D39387" s="9"/>
      <c r="G39387" s="9"/>
      <c r="J39387" s="11"/>
      <c r="U39387" s="9"/>
      <c r="X39387" s="9"/>
    </row>
    <row r="39388">
      <c r="D39388" s="9"/>
      <c r="G39388" s="9"/>
      <c r="J39388" s="11"/>
      <c r="U39388" s="9"/>
      <c r="X39388" s="9"/>
    </row>
    <row r="39389">
      <c r="D39389" s="9"/>
      <c r="G39389" s="9"/>
      <c r="J39389" s="11"/>
      <c r="U39389" s="9"/>
      <c r="X39389" s="9"/>
    </row>
    <row r="39390">
      <c r="D39390" s="9"/>
      <c r="G39390" s="9"/>
      <c r="J39390" s="11"/>
      <c r="U39390" s="9"/>
      <c r="X39390" s="9"/>
    </row>
    <row r="39391">
      <c r="D39391" s="9"/>
      <c r="G39391" s="9"/>
      <c r="J39391" s="11"/>
      <c r="U39391" s="9"/>
      <c r="X39391" s="9"/>
    </row>
    <row r="39392">
      <c r="D39392" s="9"/>
      <c r="G39392" s="9"/>
      <c r="J39392" s="11"/>
      <c r="U39392" s="9"/>
      <c r="X39392" s="9"/>
    </row>
    <row r="39393">
      <c r="D39393" s="9"/>
      <c r="G39393" s="9"/>
      <c r="J39393" s="11"/>
      <c r="U39393" s="9"/>
      <c r="X39393" s="9"/>
    </row>
    <row r="39394">
      <c r="D39394" s="9"/>
      <c r="G39394" s="9"/>
      <c r="J39394" s="11"/>
      <c r="U39394" s="9"/>
      <c r="X39394" s="9"/>
    </row>
    <row r="39395">
      <c r="D39395" s="9"/>
      <c r="G39395" s="9"/>
      <c r="J39395" s="11"/>
      <c r="U39395" s="9"/>
      <c r="X39395" s="9"/>
    </row>
    <row r="39396">
      <c r="D39396" s="9"/>
      <c r="G39396" s="9"/>
      <c r="J39396" s="11"/>
      <c r="U39396" s="9"/>
      <c r="X39396" s="9"/>
    </row>
    <row r="39397">
      <c r="D39397" s="9"/>
      <c r="G39397" s="9"/>
      <c r="J39397" s="11"/>
      <c r="U39397" s="9"/>
      <c r="X39397" s="9"/>
    </row>
    <row r="39398">
      <c r="D39398" s="9"/>
      <c r="G39398" s="9"/>
      <c r="J39398" s="11"/>
      <c r="U39398" s="9"/>
      <c r="X39398" s="9"/>
    </row>
    <row r="39399">
      <c r="D39399" s="9"/>
      <c r="G39399" s="9"/>
      <c r="J39399" s="11"/>
      <c r="U39399" s="9"/>
      <c r="X39399" s="9"/>
    </row>
    <row r="39400">
      <c r="D39400" s="9"/>
      <c r="G39400" s="9"/>
      <c r="J39400" s="11"/>
      <c r="U39400" s="9"/>
      <c r="X39400" s="9"/>
    </row>
    <row r="39401">
      <c r="D39401" s="9"/>
      <c r="G39401" s="9"/>
      <c r="J39401" s="11"/>
      <c r="U39401" s="9"/>
      <c r="X39401" s="9"/>
    </row>
    <row r="39402">
      <c r="D39402" s="9"/>
      <c r="G39402" s="9"/>
      <c r="J39402" s="11"/>
      <c r="U39402" s="9"/>
      <c r="X39402" s="9"/>
    </row>
    <row r="39403">
      <c r="D39403" s="9"/>
      <c r="G39403" s="9"/>
      <c r="J39403" s="11"/>
      <c r="U39403" s="9"/>
      <c r="X39403" s="9"/>
    </row>
    <row r="39404">
      <c r="D39404" s="9"/>
      <c r="G39404" s="9"/>
      <c r="J39404" s="11"/>
      <c r="U39404" s="9"/>
      <c r="X39404" s="9"/>
    </row>
    <row r="39405">
      <c r="D39405" s="9"/>
      <c r="G39405" s="9"/>
      <c r="J39405" s="11"/>
      <c r="U39405" s="9"/>
      <c r="X39405" s="9"/>
    </row>
    <row r="39406">
      <c r="D39406" s="9"/>
      <c r="G39406" s="9"/>
      <c r="J39406" s="11"/>
      <c r="U39406" s="9"/>
      <c r="X39406" s="9"/>
    </row>
    <row r="39407">
      <c r="D39407" s="9"/>
      <c r="G39407" s="9"/>
      <c r="J39407" s="11"/>
      <c r="U39407" s="9"/>
      <c r="X39407" s="9"/>
    </row>
    <row r="39408">
      <c r="D39408" s="9"/>
      <c r="G39408" s="9"/>
      <c r="J39408" s="11"/>
      <c r="U39408" s="9"/>
      <c r="X39408" s="9"/>
    </row>
    <row r="39409">
      <c r="D39409" s="9"/>
      <c r="G39409" s="9"/>
      <c r="J39409" s="11"/>
      <c r="U39409" s="9"/>
      <c r="X39409" s="9"/>
    </row>
    <row r="39410">
      <c r="D39410" s="9"/>
      <c r="G39410" s="9"/>
      <c r="J39410" s="11"/>
      <c r="U39410" s="9"/>
      <c r="X39410" s="9"/>
    </row>
    <row r="39411">
      <c r="D39411" s="9"/>
      <c r="G39411" s="9"/>
      <c r="J39411" s="11"/>
      <c r="U39411" s="9"/>
      <c r="X39411" s="9"/>
    </row>
    <row r="39412">
      <c r="D39412" s="9"/>
      <c r="G39412" s="9"/>
      <c r="J39412" s="11"/>
      <c r="U39412" s="9"/>
      <c r="X39412" s="9"/>
    </row>
    <row r="39413">
      <c r="D39413" s="9"/>
      <c r="G39413" s="9"/>
      <c r="J39413" s="11"/>
      <c r="U39413" s="9"/>
      <c r="X39413" s="9"/>
    </row>
    <row r="39414">
      <c r="D39414" s="9"/>
      <c r="G39414" s="9"/>
      <c r="J39414" s="11"/>
      <c r="U39414" s="9"/>
      <c r="X39414" s="9"/>
    </row>
    <row r="39415">
      <c r="D39415" s="9"/>
      <c r="G39415" s="9"/>
      <c r="J39415" s="11"/>
      <c r="U39415" s="9"/>
      <c r="X39415" s="9"/>
    </row>
    <row r="39416">
      <c r="D39416" s="9"/>
      <c r="G39416" s="9"/>
      <c r="J39416" s="11"/>
      <c r="U39416" s="9"/>
      <c r="X39416" s="9"/>
    </row>
    <row r="39417">
      <c r="D39417" s="9"/>
      <c r="G39417" s="9"/>
      <c r="J39417" s="11"/>
      <c r="U39417" s="9"/>
      <c r="X39417" s="9"/>
    </row>
    <row r="39418">
      <c r="D39418" s="9"/>
      <c r="G39418" s="9"/>
      <c r="J39418" s="11"/>
      <c r="U39418" s="9"/>
      <c r="X39418" s="9"/>
    </row>
    <row r="39419">
      <c r="D39419" s="9"/>
      <c r="G39419" s="9"/>
      <c r="J39419" s="11"/>
      <c r="U39419" s="9"/>
      <c r="X39419" s="9"/>
    </row>
    <row r="39420">
      <c r="D39420" s="9"/>
      <c r="G39420" s="9"/>
      <c r="J39420" s="11"/>
      <c r="U39420" s="9"/>
      <c r="X39420" s="9"/>
    </row>
    <row r="39421">
      <c r="D39421" s="9"/>
      <c r="G39421" s="9"/>
      <c r="J39421" s="11"/>
      <c r="U39421" s="9"/>
      <c r="X39421" s="9"/>
    </row>
    <row r="39422">
      <c r="D39422" s="9"/>
      <c r="G39422" s="9"/>
      <c r="J39422" s="11"/>
      <c r="U39422" s="9"/>
      <c r="X39422" s="9"/>
    </row>
    <row r="39423">
      <c r="D39423" s="9"/>
      <c r="G39423" s="9"/>
      <c r="J39423" s="11"/>
      <c r="U39423" s="9"/>
      <c r="X39423" s="9"/>
    </row>
    <row r="39424">
      <c r="D39424" s="9"/>
      <c r="G39424" s="9"/>
      <c r="J39424" s="11"/>
      <c r="U39424" s="9"/>
      <c r="X39424" s="9"/>
    </row>
    <row r="39425">
      <c r="D39425" s="9"/>
      <c r="G39425" s="9"/>
      <c r="J39425" s="11"/>
      <c r="U39425" s="9"/>
      <c r="X39425" s="9"/>
    </row>
    <row r="39426">
      <c r="D39426" s="9"/>
      <c r="G39426" s="9"/>
      <c r="J39426" s="11"/>
      <c r="U39426" s="9"/>
      <c r="X39426" s="9"/>
    </row>
    <row r="39427">
      <c r="D39427" s="9"/>
      <c r="G39427" s="9"/>
      <c r="J39427" s="11"/>
      <c r="U39427" s="9"/>
      <c r="X39427" s="9"/>
    </row>
    <row r="39428">
      <c r="D39428" s="9"/>
      <c r="G39428" s="9"/>
      <c r="J39428" s="11"/>
      <c r="U39428" s="9"/>
      <c r="X39428" s="9"/>
    </row>
    <row r="39429">
      <c r="D39429" s="9"/>
      <c r="G39429" s="9"/>
      <c r="J39429" s="11"/>
      <c r="U39429" s="9"/>
      <c r="X39429" s="9"/>
    </row>
    <row r="39430">
      <c r="D39430" s="9"/>
      <c r="G39430" s="9"/>
      <c r="J39430" s="11"/>
      <c r="U39430" s="9"/>
      <c r="X39430" s="9"/>
    </row>
    <row r="39431">
      <c r="D39431" s="9"/>
      <c r="G39431" s="9"/>
      <c r="J39431" s="11"/>
      <c r="U39431" s="9"/>
      <c r="X39431" s="9"/>
    </row>
    <row r="39432">
      <c r="D39432" s="9"/>
      <c r="G39432" s="9"/>
      <c r="J39432" s="11"/>
      <c r="U39432" s="9"/>
      <c r="X39432" s="9"/>
    </row>
    <row r="39433">
      <c r="D39433" s="9"/>
      <c r="G39433" s="9"/>
      <c r="J39433" s="11"/>
      <c r="U39433" s="9"/>
      <c r="X39433" s="9"/>
    </row>
    <row r="39434">
      <c r="D39434" s="9"/>
      <c r="G39434" s="9"/>
      <c r="J39434" s="11"/>
      <c r="U39434" s="9"/>
      <c r="X39434" s="9"/>
    </row>
    <row r="39435">
      <c r="D39435" s="9"/>
      <c r="G39435" s="9"/>
      <c r="J39435" s="11"/>
      <c r="U39435" s="9"/>
      <c r="X39435" s="9"/>
    </row>
    <row r="39436">
      <c r="D39436" s="9"/>
      <c r="G39436" s="9"/>
      <c r="J39436" s="11"/>
      <c r="U39436" s="9"/>
      <c r="X39436" s="9"/>
    </row>
    <row r="39437">
      <c r="D39437" s="9"/>
      <c r="G39437" s="9"/>
      <c r="J39437" s="11"/>
      <c r="U39437" s="9"/>
      <c r="X39437" s="9"/>
    </row>
    <row r="39438">
      <c r="D39438" s="9"/>
      <c r="G39438" s="9"/>
      <c r="J39438" s="11"/>
      <c r="U39438" s="9"/>
      <c r="X39438" s="9"/>
    </row>
    <row r="39439">
      <c r="D39439" s="9"/>
      <c r="G39439" s="9"/>
      <c r="J39439" s="11"/>
      <c r="U39439" s="9"/>
      <c r="X39439" s="9"/>
    </row>
    <row r="39440">
      <c r="D39440" s="9"/>
      <c r="G39440" s="9"/>
      <c r="J39440" s="11"/>
      <c r="U39440" s="9"/>
      <c r="X39440" s="9"/>
    </row>
    <row r="39441">
      <c r="D39441" s="9"/>
      <c r="G39441" s="9"/>
      <c r="J39441" s="11"/>
      <c r="U39441" s="9"/>
      <c r="X39441" s="9"/>
    </row>
    <row r="39442">
      <c r="D39442" s="9"/>
      <c r="G39442" s="9"/>
      <c r="J39442" s="11"/>
      <c r="U39442" s="9"/>
      <c r="X39442" s="9"/>
    </row>
    <row r="39443">
      <c r="D39443" s="9"/>
      <c r="G39443" s="9"/>
      <c r="J39443" s="11"/>
      <c r="U39443" s="9"/>
      <c r="X39443" s="9"/>
    </row>
    <row r="39444">
      <c r="D39444" s="9"/>
      <c r="G39444" s="9"/>
      <c r="J39444" s="11"/>
      <c r="U39444" s="9"/>
      <c r="X39444" s="9"/>
    </row>
    <row r="39445">
      <c r="D39445" s="9"/>
      <c r="G39445" s="9"/>
      <c r="J39445" s="11"/>
      <c r="U39445" s="9"/>
      <c r="X39445" s="9"/>
    </row>
    <row r="39446">
      <c r="D39446" s="9"/>
      <c r="G39446" s="9"/>
      <c r="J39446" s="11"/>
      <c r="U39446" s="9"/>
      <c r="X39446" s="9"/>
    </row>
    <row r="39447">
      <c r="D39447" s="9"/>
      <c r="G39447" s="9"/>
      <c r="J39447" s="11"/>
      <c r="U39447" s="9"/>
      <c r="X39447" s="9"/>
    </row>
    <row r="39448">
      <c r="D39448" s="9"/>
      <c r="G39448" s="9"/>
      <c r="J39448" s="11"/>
      <c r="U39448" s="9"/>
      <c r="X39448" s="9"/>
    </row>
    <row r="39449">
      <c r="D39449" s="9"/>
      <c r="G39449" s="9"/>
      <c r="J39449" s="11"/>
      <c r="U39449" s="9"/>
      <c r="X39449" s="9"/>
    </row>
    <row r="39450">
      <c r="D39450" s="9"/>
      <c r="G39450" s="9"/>
      <c r="J39450" s="11"/>
      <c r="U39450" s="9"/>
      <c r="X39450" s="9"/>
    </row>
    <row r="39451">
      <c r="D39451" s="9"/>
      <c r="G39451" s="9"/>
      <c r="J39451" s="11"/>
      <c r="U39451" s="9"/>
      <c r="X39451" s="9"/>
    </row>
    <row r="39452">
      <c r="D39452" s="9"/>
      <c r="G39452" s="9"/>
      <c r="J39452" s="11"/>
      <c r="U39452" s="9"/>
      <c r="X39452" s="9"/>
    </row>
    <row r="39453">
      <c r="D39453" s="9"/>
      <c r="G39453" s="9"/>
      <c r="J39453" s="11"/>
      <c r="U39453" s="9"/>
      <c r="X39453" s="9"/>
    </row>
    <row r="39454">
      <c r="D39454" s="9"/>
      <c r="G39454" s="9"/>
      <c r="J39454" s="11"/>
      <c r="U39454" s="9"/>
      <c r="X39454" s="9"/>
    </row>
    <row r="39455">
      <c r="D39455" s="9"/>
      <c r="G39455" s="9"/>
      <c r="J39455" s="11"/>
      <c r="U39455" s="9"/>
      <c r="X39455" s="9"/>
    </row>
    <row r="39456">
      <c r="D39456" s="9"/>
      <c r="G39456" s="9"/>
      <c r="J39456" s="11"/>
      <c r="U39456" s="9"/>
      <c r="X39456" s="9"/>
    </row>
    <row r="39457">
      <c r="D39457" s="9"/>
      <c r="G39457" s="9"/>
      <c r="J39457" s="11"/>
      <c r="U39457" s="9"/>
      <c r="X39457" s="9"/>
    </row>
    <row r="39458">
      <c r="D39458" s="9"/>
      <c r="G39458" s="9"/>
      <c r="J39458" s="11"/>
      <c r="U39458" s="9"/>
      <c r="X39458" s="9"/>
    </row>
    <row r="39459">
      <c r="D39459" s="9"/>
      <c r="G39459" s="9"/>
      <c r="J39459" s="11"/>
      <c r="U39459" s="9"/>
      <c r="X39459" s="9"/>
    </row>
    <row r="39460">
      <c r="D39460" s="9"/>
      <c r="G39460" s="9"/>
      <c r="J39460" s="11"/>
      <c r="U39460" s="9"/>
      <c r="X39460" s="9"/>
    </row>
    <row r="39461">
      <c r="D39461" s="9"/>
      <c r="G39461" s="9"/>
      <c r="J39461" s="11"/>
      <c r="U39461" s="9"/>
      <c r="X39461" s="9"/>
    </row>
    <row r="39462">
      <c r="D39462" s="9"/>
      <c r="G39462" s="9"/>
      <c r="J39462" s="11"/>
      <c r="U39462" s="9"/>
      <c r="X39462" s="9"/>
    </row>
    <row r="39463">
      <c r="D39463" s="9"/>
      <c r="G39463" s="9"/>
      <c r="J39463" s="11"/>
      <c r="U39463" s="9"/>
      <c r="X39463" s="9"/>
    </row>
    <row r="39464">
      <c r="D39464" s="9"/>
      <c r="G39464" s="9"/>
      <c r="J39464" s="11"/>
      <c r="U39464" s="9"/>
      <c r="X39464" s="9"/>
    </row>
    <row r="39465">
      <c r="D39465" s="9"/>
      <c r="G39465" s="9"/>
      <c r="J39465" s="11"/>
      <c r="U39465" s="9"/>
      <c r="X39465" s="9"/>
    </row>
    <row r="39466">
      <c r="D39466" s="9"/>
      <c r="G39466" s="9"/>
      <c r="J39466" s="11"/>
      <c r="U39466" s="9"/>
      <c r="X39466" s="9"/>
    </row>
    <row r="39467">
      <c r="D39467" s="9"/>
      <c r="G39467" s="9"/>
      <c r="J39467" s="11"/>
      <c r="U39467" s="9"/>
      <c r="X39467" s="9"/>
    </row>
    <row r="39468">
      <c r="D39468" s="9"/>
      <c r="G39468" s="9"/>
      <c r="J39468" s="11"/>
      <c r="U39468" s="9"/>
      <c r="X39468" s="9"/>
    </row>
    <row r="39469">
      <c r="D39469" s="9"/>
      <c r="G39469" s="9"/>
      <c r="J39469" s="11"/>
      <c r="U39469" s="9"/>
      <c r="X39469" s="9"/>
    </row>
    <row r="39470">
      <c r="D39470" s="9"/>
      <c r="G39470" s="9"/>
      <c r="J39470" s="11"/>
      <c r="U39470" s="9"/>
      <c r="X39470" s="9"/>
    </row>
    <row r="39471">
      <c r="D39471" s="9"/>
      <c r="G39471" s="9"/>
      <c r="J39471" s="11"/>
      <c r="U39471" s="9"/>
      <c r="X39471" s="9"/>
    </row>
    <row r="39472">
      <c r="D39472" s="9"/>
      <c r="G39472" s="9"/>
      <c r="J39472" s="11"/>
      <c r="U39472" s="9"/>
      <c r="X39472" s="9"/>
    </row>
    <row r="39473">
      <c r="D39473" s="9"/>
      <c r="G39473" s="9"/>
      <c r="J39473" s="11"/>
      <c r="U39473" s="9"/>
      <c r="X39473" s="9"/>
    </row>
    <row r="39474">
      <c r="D39474" s="9"/>
      <c r="G39474" s="9"/>
      <c r="J39474" s="11"/>
      <c r="U39474" s="9"/>
      <c r="X39474" s="9"/>
    </row>
    <row r="39475">
      <c r="D39475" s="9"/>
      <c r="G39475" s="9"/>
      <c r="J39475" s="11"/>
      <c r="U39475" s="9"/>
      <c r="X39475" s="9"/>
    </row>
    <row r="39476">
      <c r="D39476" s="9"/>
      <c r="G39476" s="9"/>
      <c r="J39476" s="11"/>
      <c r="U39476" s="9"/>
      <c r="X39476" s="9"/>
    </row>
    <row r="39477">
      <c r="D39477" s="9"/>
      <c r="G39477" s="9"/>
      <c r="J39477" s="11"/>
      <c r="U39477" s="9"/>
      <c r="X39477" s="9"/>
    </row>
    <row r="39478">
      <c r="D39478" s="9"/>
      <c r="G39478" s="9"/>
      <c r="J39478" s="11"/>
      <c r="U39478" s="9"/>
      <c r="X39478" s="9"/>
    </row>
    <row r="39479">
      <c r="D39479" s="9"/>
      <c r="G39479" s="9"/>
      <c r="J39479" s="11"/>
      <c r="U39479" s="9"/>
      <c r="X39479" s="9"/>
    </row>
    <row r="39480">
      <c r="D39480" s="9"/>
      <c r="G39480" s="9"/>
      <c r="J39480" s="11"/>
      <c r="U39480" s="9"/>
      <c r="X39480" s="9"/>
    </row>
    <row r="39481">
      <c r="D39481" s="9"/>
      <c r="G39481" s="9"/>
      <c r="J39481" s="11"/>
      <c r="U39481" s="9"/>
      <c r="X39481" s="9"/>
    </row>
    <row r="39482">
      <c r="D39482" s="9"/>
      <c r="G39482" s="9"/>
      <c r="J39482" s="11"/>
      <c r="U39482" s="9"/>
      <c r="X39482" s="9"/>
    </row>
    <row r="39483">
      <c r="D39483" s="9"/>
      <c r="G39483" s="9"/>
      <c r="J39483" s="11"/>
      <c r="U39483" s="9"/>
      <c r="X39483" s="9"/>
    </row>
    <row r="39484">
      <c r="D39484" s="9"/>
      <c r="G39484" s="9"/>
      <c r="J39484" s="11"/>
      <c r="U39484" s="9"/>
      <c r="X39484" s="9"/>
    </row>
    <row r="39485">
      <c r="D39485" s="9"/>
      <c r="G39485" s="9"/>
      <c r="J39485" s="11"/>
      <c r="U39485" s="9"/>
      <c r="X39485" s="9"/>
    </row>
    <row r="39486">
      <c r="D39486" s="9"/>
      <c r="G39486" s="9"/>
      <c r="J39486" s="11"/>
      <c r="U39486" s="9"/>
      <c r="X39486" s="9"/>
    </row>
    <row r="39487">
      <c r="D39487" s="9"/>
      <c r="G39487" s="9"/>
      <c r="J39487" s="11"/>
      <c r="U39487" s="9"/>
      <c r="X39487" s="9"/>
    </row>
    <row r="39488">
      <c r="D39488" s="9"/>
      <c r="G39488" s="9"/>
      <c r="J39488" s="11"/>
      <c r="U39488" s="9"/>
      <c r="X39488" s="9"/>
    </row>
    <row r="39489">
      <c r="D39489" s="9"/>
      <c r="G39489" s="9"/>
      <c r="J39489" s="11"/>
      <c r="U39489" s="9"/>
      <c r="X39489" s="9"/>
    </row>
    <row r="39490">
      <c r="D39490" s="9"/>
      <c r="G39490" s="9"/>
      <c r="J39490" s="11"/>
      <c r="U39490" s="9"/>
      <c r="X39490" s="9"/>
    </row>
    <row r="39491">
      <c r="D39491" s="9"/>
      <c r="G39491" s="9"/>
      <c r="J39491" s="11"/>
      <c r="U39491" s="9"/>
      <c r="X39491" s="9"/>
    </row>
    <row r="39492">
      <c r="D39492" s="9"/>
      <c r="G39492" s="9"/>
      <c r="J39492" s="11"/>
      <c r="U39492" s="9"/>
      <c r="X39492" s="9"/>
    </row>
    <row r="39493">
      <c r="D39493" s="9"/>
      <c r="G39493" s="9"/>
      <c r="J39493" s="11"/>
      <c r="U39493" s="9"/>
      <c r="X39493" s="9"/>
    </row>
    <row r="39494">
      <c r="D39494" s="9"/>
      <c r="G39494" s="9"/>
      <c r="J39494" s="11"/>
      <c r="U39494" s="9"/>
      <c r="X39494" s="9"/>
    </row>
    <row r="39495">
      <c r="D39495" s="9"/>
      <c r="G39495" s="9"/>
      <c r="J39495" s="11"/>
      <c r="U39495" s="9"/>
      <c r="X39495" s="9"/>
    </row>
    <row r="39496">
      <c r="D39496" s="9"/>
      <c r="G39496" s="9"/>
      <c r="J39496" s="11"/>
      <c r="U39496" s="9"/>
      <c r="X39496" s="9"/>
    </row>
    <row r="39497">
      <c r="D39497" s="9"/>
      <c r="G39497" s="9"/>
      <c r="J39497" s="11"/>
      <c r="U39497" s="9"/>
      <c r="X39497" s="9"/>
    </row>
    <row r="39498">
      <c r="D39498" s="9"/>
      <c r="G39498" s="9"/>
      <c r="J39498" s="11"/>
      <c r="U39498" s="9"/>
      <c r="X39498" s="9"/>
    </row>
    <row r="39499">
      <c r="D39499" s="9"/>
      <c r="G39499" s="9"/>
      <c r="J39499" s="11"/>
      <c r="U39499" s="9"/>
      <c r="X39499" s="9"/>
    </row>
    <row r="39500">
      <c r="D39500" s="9"/>
      <c r="G39500" s="9"/>
      <c r="J39500" s="11"/>
      <c r="U39500" s="9"/>
      <c r="X39500" s="9"/>
    </row>
    <row r="39501">
      <c r="D39501" s="9"/>
      <c r="G39501" s="9"/>
      <c r="J39501" s="11"/>
      <c r="U39501" s="9"/>
      <c r="X39501" s="9"/>
    </row>
    <row r="39502">
      <c r="D39502" s="9"/>
      <c r="G39502" s="9"/>
      <c r="J39502" s="11"/>
      <c r="U39502" s="9"/>
      <c r="X39502" s="9"/>
    </row>
    <row r="39503">
      <c r="D39503" s="9"/>
      <c r="G39503" s="9"/>
      <c r="J39503" s="11"/>
      <c r="U39503" s="9"/>
      <c r="X39503" s="9"/>
    </row>
    <row r="39504">
      <c r="D39504" s="9"/>
      <c r="G39504" s="9"/>
      <c r="J39504" s="11"/>
      <c r="U39504" s="9"/>
      <c r="X39504" s="9"/>
    </row>
    <row r="39505">
      <c r="D39505" s="9"/>
      <c r="G39505" s="9"/>
      <c r="J39505" s="11"/>
      <c r="U39505" s="9"/>
      <c r="X39505" s="9"/>
    </row>
    <row r="39506">
      <c r="D39506" s="9"/>
      <c r="G39506" s="9"/>
      <c r="J39506" s="11"/>
      <c r="U39506" s="9"/>
      <c r="X39506" s="9"/>
    </row>
    <row r="39507">
      <c r="D39507" s="9"/>
      <c r="G39507" s="9"/>
      <c r="J39507" s="11"/>
      <c r="U39507" s="9"/>
      <c r="X39507" s="9"/>
    </row>
    <row r="39508">
      <c r="D39508" s="9"/>
      <c r="G39508" s="9"/>
      <c r="J39508" s="11"/>
      <c r="U39508" s="9"/>
      <c r="X39508" s="9"/>
    </row>
    <row r="39509">
      <c r="D39509" s="9"/>
      <c r="G39509" s="9"/>
      <c r="J39509" s="11"/>
      <c r="U39509" s="9"/>
      <c r="X39509" s="9"/>
    </row>
    <row r="39510">
      <c r="D39510" s="9"/>
      <c r="G39510" s="9"/>
      <c r="J39510" s="11"/>
      <c r="U39510" s="9"/>
      <c r="X39510" s="9"/>
    </row>
    <row r="39511">
      <c r="D39511" s="9"/>
      <c r="G39511" s="9"/>
      <c r="J39511" s="11"/>
      <c r="U39511" s="9"/>
      <c r="X39511" s="9"/>
    </row>
    <row r="39512">
      <c r="D39512" s="9"/>
      <c r="G39512" s="9"/>
      <c r="J39512" s="11"/>
      <c r="U39512" s="9"/>
      <c r="X39512" s="9"/>
    </row>
    <row r="39513">
      <c r="D39513" s="9"/>
      <c r="G39513" s="9"/>
      <c r="J39513" s="11"/>
      <c r="U39513" s="9"/>
      <c r="X39513" s="9"/>
    </row>
    <row r="39514">
      <c r="D39514" s="9"/>
      <c r="G39514" s="9"/>
      <c r="J39514" s="11"/>
      <c r="U39514" s="9"/>
      <c r="X39514" s="9"/>
    </row>
    <row r="39515">
      <c r="D39515" s="9"/>
      <c r="G39515" s="9"/>
      <c r="J39515" s="11"/>
      <c r="U39515" s="9"/>
      <c r="X39515" s="9"/>
    </row>
    <row r="39516">
      <c r="D39516" s="9"/>
      <c r="G39516" s="9"/>
      <c r="J39516" s="11"/>
      <c r="U39516" s="9"/>
      <c r="X39516" s="9"/>
    </row>
    <row r="39517">
      <c r="D39517" s="9"/>
      <c r="G39517" s="9"/>
      <c r="J39517" s="11"/>
      <c r="U39517" s="9"/>
      <c r="X39517" s="9"/>
    </row>
    <row r="39518">
      <c r="D39518" s="9"/>
      <c r="G39518" s="9"/>
      <c r="J39518" s="11"/>
      <c r="U39518" s="9"/>
      <c r="X39518" s="9"/>
    </row>
    <row r="39519">
      <c r="D39519" s="9"/>
      <c r="G39519" s="9"/>
      <c r="J39519" s="11"/>
      <c r="U39519" s="9"/>
      <c r="X39519" s="9"/>
    </row>
    <row r="39520">
      <c r="D39520" s="9"/>
      <c r="G39520" s="9"/>
      <c r="J39520" s="11"/>
      <c r="U39520" s="9"/>
      <c r="X39520" s="9"/>
    </row>
    <row r="39521">
      <c r="D39521" s="9"/>
      <c r="G39521" s="9"/>
      <c r="J39521" s="11"/>
      <c r="U39521" s="9"/>
      <c r="X39521" s="9"/>
    </row>
    <row r="39522">
      <c r="D39522" s="9"/>
      <c r="G39522" s="9"/>
      <c r="J39522" s="11"/>
      <c r="U39522" s="9"/>
      <c r="X39522" s="9"/>
    </row>
    <row r="39523">
      <c r="D39523" s="9"/>
      <c r="G39523" s="9"/>
      <c r="J39523" s="11"/>
      <c r="U39523" s="9"/>
      <c r="X39523" s="9"/>
    </row>
    <row r="39524">
      <c r="D39524" s="9"/>
      <c r="G39524" s="9"/>
      <c r="J39524" s="11"/>
      <c r="U39524" s="9"/>
      <c r="X39524" s="9"/>
    </row>
    <row r="39525">
      <c r="D39525" s="9"/>
      <c r="G39525" s="9"/>
      <c r="J39525" s="11"/>
      <c r="U39525" s="9"/>
      <c r="X39525" s="9"/>
    </row>
    <row r="39526">
      <c r="D39526" s="9"/>
      <c r="G39526" s="9"/>
      <c r="J39526" s="11"/>
      <c r="U39526" s="9"/>
      <c r="X39526" s="9"/>
    </row>
    <row r="39527">
      <c r="D39527" s="9"/>
      <c r="G39527" s="9"/>
      <c r="J39527" s="11"/>
      <c r="U39527" s="9"/>
      <c r="X39527" s="9"/>
    </row>
    <row r="39528">
      <c r="D39528" s="9"/>
      <c r="G39528" s="9"/>
      <c r="J39528" s="11"/>
      <c r="U39528" s="9"/>
      <c r="X39528" s="9"/>
    </row>
    <row r="39529">
      <c r="D39529" s="9"/>
      <c r="G39529" s="9"/>
      <c r="J39529" s="11"/>
      <c r="U39529" s="9"/>
      <c r="X39529" s="9"/>
    </row>
    <row r="39530">
      <c r="D39530" s="9"/>
      <c r="G39530" s="9"/>
      <c r="J39530" s="11"/>
      <c r="U39530" s="9"/>
      <c r="X39530" s="9"/>
    </row>
    <row r="39531">
      <c r="D39531" s="9"/>
      <c r="G39531" s="9"/>
      <c r="J39531" s="11"/>
      <c r="U39531" s="9"/>
      <c r="X39531" s="9"/>
    </row>
    <row r="39532">
      <c r="D39532" s="9"/>
      <c r="G39532" s="9"/>
      <c r="J39532" s="11"/>
      <c r="U39532" s="9"/>
      <c r="X39532" s="9"/>
    </row>
    <row r="39533">
      <c r="D39533" s="9"/>
      <c r="G39533" s="9"/>
      <c r="J39533" s="11"/>
      <c r="U39533" s="9"/>
      <c r="X39533" s="9"/>
    </row>
    <row r="39534">
      <c r="D39534" s="9"/>
      <c r="G39534" s="9"/>
      <c r="J39534" s="11"/>
      <c r="U39534" s="9"/>
      <c r="X39534" s="9"/>
    </row>
    <row r="39535">
      <c r="D39535" s="9"/>
      <c r="G39535" s="9"/>
      <c r="J39535" s="11"/>
      <c r="U39535" s="9"/>
      <c r="X39535" s="9"/>
    </row>
    <row r="39536">
      <c r="D39536" s="9"/>
      <c r="G39536" s="9"/>
      <c r="J39536" s="11"/>
      <c r="U39536" s="9"/>
      <c r="X39536" s="9"/>
    </row>
    <row r="39537">
      <c r="D39537" s="9"/>
      <c r="G39537" s="9"/>
      <c r="J39537" s="11"/>
      <c r="U39537" s="9"/>
      <c r="X39537" s="9"/>
    </row>
    <row r="39538">
      <c r="D39538" s="9"/>
      <c r="G39538" s="9"/>
      <c r="J39538" s="11"/>
      <c r="U39538" s="9"/>
      <c r="X39538" s="9"/>
    </row>
    <row r="39539">
      <c r="D39539" s="9"/>
      <c r="G39539" s="9"/>
      <c r="J39539" s="11"/>
      <c r="U39539" s="9"/>
      <c r="X39539" s="9"/>
    </row>
    <row r="39540">
      <c r="D39540" s="9"/>
      <c r="G39540" s="9"/>
      <c r="J39540" s="11"/>
      <c r="U39540" s="9"/>
      <c r="X39540" s="9"/>
    </row>
    <row r="39541">
      <c r="D39541" s="9"/>
      <c r="G39541" s="9"/>
      <c r="J39541" s="11"/>
      <c r="U39541" s="9"/>
      <c r="X39541" s="9"/>
    </row>
    <row r="39542">
      <c r="D39542" s="9"/>
      <c r="G39542" s="9"/>
      <c r="J39542" s="11"/>
      <c r="U39542" s="9"/>
      <c r="X39542" s="9"/>
    </row>
    <row r="39543">
      <c r="D39543" s="9"/>
      <c r="G39543" s="9"/>
      <c r="J39543" s="11"/>
      <c r="U39543" s="9"/>
      <c r="X39543" s="9"/>
    </row>
    <row r="39544">
      <c r="D39544" s="9"/>
      <c r="G39544" s="9"/>
      <c r="J39544" s="11"/>
      <c r="U39544" s="9"/>
      <c r="X39544" s="9"/>
    </row>
    <row r="39545">
      <c r="D39545" s="9"/>
      <c r="G39545" s="9"/>
      <c r="J39545" s="11"/>
      <c r="U39545" s="9"/>
      <c r="X39545" s="9"/>
    </row>
    <row r="39546">
      <c r="D39546" s="9"/>
      <c r="G39546" s="9"/>
      <c r="J39546" s="11"/>
      <c r="U39546" s="9"/>
      <c r="X39546" s="9"/>
    </row>
    <row r="39547">
      <c r="D39547" s="9"/>
      <c r="G39547" s="9"/>
      <c r="J39547" s="11"/>
      <c r="U39547" s="9"/>
      <c r="X39547" s="9"/>
    </row>
    <row r="39548">
      <c r="D39548" s="9"/>
      <c r="G39548" s="9"/>
      <c r="J39548" s="11"/>
      <c r="U39548" s="9"/>
      <c r="X39548" s="9"/>
    </row>
    <row r="39549">
      <c r="D39549" s="9"/>
      <c r="G39549" s="9"/>
      <c r="J39549" s="11"/>
      <c r="U39549" s="9"/>
      <c r="X39549" s="9"/>
    </row>
    <row r="39550">
      <c r="D39550" s="9"/>
      <c r="G39550" s="9"/>
      <c r="J39550" s="11"/>
      <c r="U39550" s="9"/>
      <c r="X39550" s="9"/>
    </row>
    <row r="39551">
      <c r="D39551" s="9"/>
      <c r="G39551" s="9"/>
      <c r="J39551" s="11"/>
      <c r="U39551" s="9"/>
      <c r="X39551" s="9"/>
    </row>
    <row r="39552">
      <c r="D39552" s="9"/>
      <c r="G39552" s="9"/>
      <c r="J39552" s="11"/>
      <c r="U39552" s="9"/>
      <c r="X39552" s="9"/>
    </row>
    <row r="39553">
      <c r="D39553" s="9"/>
      <c r="G39553" s="9"/>
      <c r="J39553" s="11"/>
      <c r="U39553" s="9"/>
      <c r="X39553" s="9"/>
    </row>
    <row r="39554">
      <c r="D39554" s="9"/>
      <c r="G39554" s="9"/>
      <c r="J39554" s="11"/>
      <c r="U39554" s="9"/>
      <c r="X39554" s="9"/>
    </row>
    <row r="39555">
      <c r="D39555" s="9"/>
      <c r="G39555" s="9"/>
      <c r="J39555" s="11"/>
      <c r="U39555" s="9"/>
      <c r="X39555" s="9"/>
    </row>
    <row r="39556">
      <c r="D39556" s="9"/>
      <c r="G39556" s="9"/>
      <c r="J39556" s="11"/>
      <c r="U39556" s="9"/>
      <c r="X39556" s="9"/>
    </row>
    <row r="39557">
      <c r="D39557" s="9"/>
      <c r="G39557" s="9"/>
      <c r="J39557" s="11"/>
      <c r="U39557" s="9"/>
      <c r="X39557" s="9"/>
    </row>
    <row r="39558">
      <c r="D39558" s="9"/>
      <c r="G39558" s="9"/>
      <c r="J39558" s="11"/>
      <c r="U39558" s="9"/>
      <c r="X39558" s="9"/>
    </row>
    <row r="39559">
      <c r="D39559" s="9"/>
      <c r="G39559" s="9"/>
      <c r="J39559" s="11"/>
      <c r="U39559" s="9"/>
      <c r="X39559" s="9"/>
    </row>
    <row r="39560">
      <c r="D39560" s="9"/>
      <c r="G39560" s="9"/>
      <c r="J39560" s="11"/>
      <c r="U39560" s="9"/>
      <c r="X39560" s="9"/>
    </row>
    <row r="39561">
      <c r="D39561" s="9"/>
      <c r="G39561" s="9"/>
      <c r="J39561" s="11"/>
      <c r="U39561" s="9"/>
      <c r="X39561" s="9"/>
    </row>
    <row r="39562">
      <c r="D39562" s="9"/>
      <c r="G39562" s="9"/>
      <c r="J39562" s="11"/>
      <c r="U39562" s="9"/>
      <c r="X39562" s="9"/>
    </row>
    <row r="39563">
      <c r="D39563" s="9"/>
      <c r="G39563" s="9"/>
      <c r="J39563" s="11"/>
      <c r="U39563" s="9"/>
      <c r="X39563" s="9"/>
    </row>
    <row r="39564">
      <c r="D39564" s="9"/>
      <c r="G39564" s="9"/>
      <c r="J39564" s="11"/>
      <c r="U39564" s="9"/>
      <c r="X39564" s="9"/>
    </row>
    <row r="39565">
      <c r="D39565" s="9"/>
      <c r="G39565" s="9"/>
      <c r="J39565" s="11"/>
      <c r="U39565" s="9"/>
      <c r="X39565" s="9"/>
    </row>
    <row r="39566">
      <c r="D39566" s="9"/>
      <c r="G39566" s="9"/>
      <c r="J39566" s="11"/>
      <c r="U39566" s="9"/>
      <c r="X39566" s="9"/>
    </row>
    <row r="39567">
      <c r="D39567" s="9"/>
      <c r="G39567" s="9"/>
      <c r="J39567" s="11"/>
      <c r="U39567" s="9"/>
      <c r="X39567" s="9"/>
    </row>
    <row r="39568">
      <c r="D39568" s="9"/>
      <c r="G39568" s="9"/>
      <c r="J39568" s="11"/>
      <c r="U39568" s="9"/>
      <c r="X39568" s="9"/>
    </row>
    <row r="39569">
      <c r="D39569" s="9"/>
      <c r="G39569" s="9"/>
      <c r="J39569" s="11"/>
      <c r="U39569" s="9"/>
      <c r="X39569" s="9"/>
    </row>
    <row r="39570">
      <c r="D39570" s="9"/>
      <c r="G39570" s="9"/>
      <c r="J39570" s="11"/>
      <c r="U39570" s="9"/>
      <c r="X39570" s="9"/>
    </row>
    <row r="39571">
      <c r="D39571" s="9"/>
      <c r="G39571" s="9"/>
      <c r="J39571" s="11"/>
      <c r="U39571" s="9"/>
      <c r="X39571" s="9"/>
    </row>
    <row r="39572">
      <c r="D39572" s="9"/>
      <c r="G39572" s="9"/>
      <c r="J39572" s="11"/>
      <c r="U39572" s="9"/>
      <c r="X39572" s="9"/>
    </row>
    <row r="39573">
      <c r="D39573" s="9"/>
      <c r="G39573" s="9"/>
      <c r="J39573" s="11"/>
      <c r="U39573" s="9"/>
      <c r="X39573" s="9"/>
    </row>
    <row r="39574">
      <c r="D39574" s="9"/>
      <c r="G39574" s="9"/>
      <c r="J39574" s="11"/>
      <c r="U39574" s="9"/>
      <c r="X39574" s="9"/>
    </row>
    <row r="39575">
      <c r="D39575" s="9"/>
      <c r="G39575" s="9"/>
      <c r="J39575" s="11"/>
      <c r="U39575" s="9"/>
      <c r="X39575" s="9"/>
    </row>
    <row r="39576">
      <c r="D39576" s="9"/>
      <c r="G39576" s="9"/>
      <c r="J39576" s="11"/>
      <c r="U39576" s="9"/>
      <c r="X39576" s="9"/>
    </row>
    <row r="39577">
      <c r="D39577" s="9"/>
      <c r="G39577" s="9"/>
      <c r="J39577" s="11"/>
      <c r="U39577" s="9"/>
      <c r="X39577" s="9"/>
    </row>
    <row r="39578">
      <c r="D39578" s="9"/>
      <c r="G39578" s="9"/>
      <c r="J39578" s="11"/>
      <c r="U39578" s="9"/>
      <c r="X39578" s="9"/>
    </row>
    <row r="39579">
      <c r="D39579" s="9"/>
      <c r="G39579" s="9"/>
      <c r="J39579" s="11"/>
      <c r="U39579" s="9"/>
      <c r="X39579" s="9"/>
    </row>
    <row r="39580">
      <c r="D39580" s="9"/>
      <c r="G39580" s="9"/>
      <c r="J39580" s="11"/>
      <c r="U39580" s="9"/>
      <c r="X39580" s="9"/>
    </row>
    <row r="39581">
      <c r="D39581" s="9"/>
      <c r="G39581" s="9"/>
      <c r="J39581" s="11"/>
      <c r="U39581" s="9"/>
      <c r="X39581" s="9"/>
    </row>
    <row r="39582">
      <c r="D39582" s="9"/>
      <c r="G39582" s="9"/>
      <c r="J39582" s="11"/>
      <c r="U39582" s="9"/>
      <c r="X39582" s="9"/>
    </row>
    <row r="39583">
      <c r="D39583" s="9"/>
      <c r="G39583" s="9"/>
      <c r="J39583" s="11"/>
      <c r="U39583" s="9"/>
      <c r="X39583" s="9"/>
    </row>
    <row r="39584">
      <c r="D39584" s="9"/>
      <c r="G39584" s="9"/>
      <c r="J39584" s="11"/>
      <c r="U39584" s="9"/>
      <c r="X39584" s="9"/>
    </row>
    <row r="39585">
      <c r="D39585" s="9"/>
      <c r="G39585" s="9"/>
      <c r="J39585" s="11"/>
      <c r="U39585" s="9"/>
      <c r="X39585" s="9"/>
    </row>
    <row r="39586">
      <c r="D39586" s="9"/>
      <c r="G39586" s="9"/>
      <c r="J39586" s="11"/>
      <c r="U39586" s="9"/>
      <c r="X39586" s="9"/>
    </row>
    <row r="39587">
      <c r="D39587" s="9"/>
      <c r="G39587" s="9"/>
      <c r="J39587" s="11"/>
      <c r="U39587" s="9"/>
      <c r="X39587" s="9"/>
    </row>
    <row r="39588">
      <c r="D39588" s="9"/>
      <c r="G39588" s="9"/>
      <c r="J39588" s="11"/>
      <c r="U39588" s="9"/>
      <c r="X39588" s="9"/>
    </row>
    <row r="39589">
      <c r="D39589" s="9"/>
      <c r="G39589" s="9"/>
      <c r="J39589" s="11"/>
      <c r="U39589" s="9"/>
      <c r="X39589" s="9"/>
    </row>
    <row r="39590">
      <c r="D39590" s="9"/>
      <c r="G39590" s="9"/>
      <c r="J39590" s="11"/>
      <c r="U39590" s="9"/>
      <c r="X39590" s="9"/>
    </row>
    <row r="39591">
      <c r="D39591" s="9"/>
      <c r="G39591" s="9"/>
      <c r="J39591" s="11"/>
      <c r="U39591" s="9"/>
      <c r="X39591" s="9"/>
    </row>
    <row r="39592">
      <c r="D39592" s="9"/>
      <c r="G39592" s="9"/>
      <c r="J39592" s="11"/>
      <c r="U39592" s="9"/>
      <c r="X39592" s="9"/>
    </row>
    <row r="39593">
      <c r="D39593" s="9"/>
      <c r="G39593" s="9"/>
      <c r="J39593" s="11"/>
      <c r="U39593" s="9"/>
      <c r="X39593" s="9"/>
    </row>
    <row r="39594">
      <c r="D39594" s="9"/>
      <c r="G39594" s="9"/>
      <c r="J39594" s="11"/>
      <c r="U39594" s="9"/>
      <c r="X39594" s="9"/>
    </row>
    <row r="39595">
      <c r="D39595" s="9"/>
      <c r="G39595" s="9"/>
      <c r="J39595" s="11"/>
      <c r="U39595" s="9"/>
      <c r="X39595" s="9"/>
    </row>
    <row r="39596">
      <c r="D39596" s="9"/>
      <c r="G39596" s="9"/>
      <c r="J39596" s="11"/>
      <c r="U39596" s="9"/>
      <c r="X39596" s="9"/>
    </row>
    <row r="39597">
      <c r="D39597" s="9"/>
      <c r="G39597" s="9"/>
      <c r="J39597" s="11"/>
      <c r="U39597" s="9"/>
      <c r="X39597" s="9"/>
    </row>
    <row r="39598">
      <c r="D39598" s="9"/>
      <c r="G39598" s="9"/>
      <c r="J39598" s="11"/>
      <c r="U39598" s="9"/>
      <c r="X39598" s="9"/>
    </row>
    <row r="39599">
      <c r="D39599" s="9"/>
      <c r="G39599" s="9"/>
      <c r="J39599" s="11"/>
      <c r="U39599" s="9"/>
      <c r="X39599" s="9"/>
    </row>
    <row r="39600">
      <c r="D39600" s="9"/>
      <c r="G39600" s="9"/>
      <c r="J39600" s="11"/>
      <c r="U39600" s="9"/>
      <c r="X39600" s="9"/>
    </row>
    <row r="39601">
      <c r="D39601" s="9"/>
      <c r="G39601" s="9"/>
      <c r="J39601" s="11"/>
      <c r="U39601" s="9"/>
      <c r="X39601" s="9"/>
    </row>
    <row r="39602">
      <c r="D39602" s="9"/>
      <c r="G39602" s="9"/>
      <c r="J39602" s="11"/>
      <c r="U39602" s="9"/>
      <c r="X39602" s="9"/>
    </row>
    <row r="39603">
      <c r="D39603" s="9"/>
      <c r="G39603" s="9"/>
      <c r="J39603" s="11"/>
      <c r="U39603" s="9"/>
      <c r="X39603" s="9"/>
    </row>
    <row r="39604">
      <c r="D39604" s="9"/>
      <c r="G39604" s="9"/>
      <c r="J39604" s="11"/>
      <c r="U39604" s="9"/>
      <c r="X39604" s="9"/>
    </row>
    <row r="39605">
      <c r="D39605" s="9"/>
      <c r="G39605" s="9"/>
      <c r="J39605" s="11"/>
      <c r="U39605" s="9"/>
      <c r="X39605" s="9"/>
    </row>
    <row r="39606">
      <c r="D39606" s="9"/>
      <c r="G39606" s="9"/>
      <c r="J39606" s="11"/>
      <c r="U39606" s="9"/>
      <c r="X39606" s="9"/>
    </row>
    <row r="39607">
      <c r="D39607" s="9"/>
      <c r="G39607" s="9"/>
      <c r="J39607" s="11"/>
      <c r="U39607" s="9"/>
      <c r="X39607" s="9"/>
    </row>
    <row r="39608">
      <c r="D39608" s="9"/>
      <c r="G39608" s="9"/>
      <c r="J39608" s="11"/>
      <c r="U39608" s="9"/>
      <c r="X39608" s="9"/>
    </row>
    <row r="39609">
      <c r="D39609" s="9"/>
      <c r="G39609" s="9"/>
      <c r="J39609" s="11"/>
      <c r="U39609" s="9"/>
      <c r="X39609" s="9"/>
    </row>
    <row r="39610">
      <c r="D39610" s="9"/>
      <c r="G39610" s="9"/>
      <c r="J39610" s="11"/>
      <c r="U39610" s="9"/>
      <c r="X39610" s="9"/>
    </row>
    <row r="39611">
      <c r="D39611" s="9"/>
      <c r="G39611" s="9"/>
      <c r="J39611" s="11"/>
      <c r="U39611" s="9"/>
      <c r="X39611" s="9"/>
    </row>
    <row r="39612">
      <c r="D39612" s="9"/>
      <c r="G39612" s="9"/>
      <c r="J39612" s="11"/>
      <c r="U39612" s="9"/>
      <c r="X39612" s="9"/>
    </row>
    <row r="39613">
      <c r="D39613" s="9"/>
      <c r="G39613" s="9"/>
      <c r="J39613" s="11"/>
      <c r="U39613" s="9"/>
      <c r="X39613" s="9"/>
    </row>
    <row r="39614">
      <c r="D39614" s="9"/>
      <c r="G39614" s="9"/>
      <c r="J39614" s="11"/>
      <c r="U39614" s="9"/>
      <c r="X39614" s="9"/>
    </row>
    <row r="39615">
      <c r="D39615" s="9"/>
      <c r="G39615" s="9"/>
      <c r="J39615" s="11"/>
      <c r="U39615" s="9"/>
      <c r="X39615" s="9"/>
    </row>
    <row r="39616">
      <c r="D39616" s="9"/>
      <c r="G39616" s="9"/>
      <c r="J39616" s="11"/>
      <c r="U39616" s="9"/>
      <c r="X39616" s="9"/>
    </row>
    <row r="39617">
      <c r="D39617" s="9"/>
      <c r="G39617" s="9"/>
      <c r="J39617" s="11"/>
      <c r="U39617" s="9"/>
      <c r="X39617" s="9"/>
    </row>
    <row r="39618">
      <c r="D39618" s="9"/>
      <c r="G39618" s="9"/>
      <c r="J39618" s="11"/>
      <c r="U39618" s="9"/>
      <c r="X39618" s="9"/>
    </row>
    <row r="39619">
      <c r="D39619" s="9"/>
      <c r="G39619" s="9"/>
      <c r="J39619" s="11"/>
      <c r="U39619" s="9"/>
      <c r="X39619" s="9"/>
    </row>
    <row r="39620">
      <c r="D39620" s="9"/>
      <c r="G39620" s="9"/>
      <c r="J39620" s="11"/>
      <c r="U39620" s="9"/>
      <c r="X39620" s="9"/>
    </row>
    <row r="39621">
      <c r="D39621" s="9"/>
      <c r="G39621" s="9"/>
      <c r="J39621" s="11"/>
      <c r="U39621" s="9"/>
      <c r="X39621" s="9"/>
    </row>
    <row r="39622">
      <c r="D39622" s="9"/>
      <c r="G39622" s="9"/>
      <c r="J39622" s="11"/>
      <c r="U39622" s="9"/>
      <c r="X39622" s="9"/>
    </row>
    <row r="39623">
      <c r="D39623" s="9"/>
      <c r="G39623" s="9"/>
      <c r="J39623" s="11"/>
      <c r="U39623" s="9"/>
      <c r="X39623" s="9"/>
    </row>
    <row r="39624">
      <c r="D39624" s="9"/>
      <c r="G39624" s="9"/>
      <c r="J39624" s="11"/>
      <c r="U39624" s="9"/>
      <c r="X39624" s="9"/>
    </row>
    <row r="39625">
      <c r="D39625" s="9"/>
      <c r="G39625" s="9"/>
      <c r="J39625" s="11"/>
      <c r="U39625" s="9"/>
      <c r="X39625" s="9"/>
    </row>
    <row r="39626">
      <c r="D39626" s="9"/>
      <c r="G39626" s="9"/>
      <c r="J39626" s="11"/>
      <c r="U39626" s="9"/>
      <c r="X39626" s="9"/>
    </row>
    <row r="39627">
      <c r="D39627" s="9"/>
      <c r="G39627" s="9"/>
      <c r="J39627" s="11"/>
      <c r="U39627" s="9"/>
      <c r="X39627" s="9"/>
    </row>
    <row r="39628">
      <c r="D39628" s="9"/>
      <c r="G39628" s="9"/>
      <c r="J39628" s="11"/>
      <c r="U39628" s="9"/>
      <c r="X39628" s="9"/>
    </row>
    <row r="39629">
      <c r="D39629" s="9"/>
      <c r="G39629" s="9"/>
      <c r="J39629" s="11"/>
      <c r="U39629" s="9"/>
      <c r="X39629" s="9"/>
    </row>
    <row r="39630">
      <c r="D39630" s="9"/>
      <c r="G39630" s="9"/>
      <c r="J39630" s="11"/>
      <c r="U39630" s="9"/>
      <c r="X39630" s="9"/>
    </row>
    <row r="39631">
      <c r="D39631" s="9"/>
      <c r="G39631" s="9"/>
      <c r="J39631" s="11"/>
      <c r="U39631" s="9"/>
      <c r="X39631" s="9"/>
    </row>
    <row r="39632">
      <c r="D39632" s="9"/>
      <c r="G39632" s="9"/>
      <c r="J39632" s="11"/>
      <c r="U39632" s="9"/>
      <c r="X39632" s="9"/>
    </row>
    <row r="39633">
      <c r="D39633" s="9"/>
      <c r="G39633" s="9"/>
      <c r="J39633" s="11"/>
      <c r="U39633" s="9"/>
      <c r="X39633" s="9"/>
    </row>
    <row r="39634">
      <c r="D39634" s="9"/>
      <c r="G39634" s="9"/>
      <c r="J39634" s="11"/>
      <c r="U39634" s="9"/>
      <c r="X39634" s="9"/>
    </row>
    <row r="39635">
      <c r="D39635" s="9"/>
      <c r="G39635" s="9"/>
      <c r="J39635" s="11"/>
      <c r="U39635" s="9"/>
      <c r="X39635" s="9"/>
    </row>
    <row r="39636">
      <c r="D39636" s="9"/>
      <c r="G39636" s="9"/>
      <c r="J39636" s="11"/>
      <c r="U39636" s="9"/>
      <c r="X39636" s="9"/>
    </row>
    <row r="39637">
      <c r="D39637" s="9"/>
      <c r="G39637" s="9"/>
      <c r="J39637" s="11"/>
      <c r="U39637" s="9"/>
      <c r="X39637" s="9"/>
    </row>
    <row r="39638">
      <c r="D39638" s="9"/>
      <c r="G39638" s="9"/>
      <c r="J39638" s="11"/>
      <c r="U39638" s="9"/>
      <c r="X39638" s="9"/>
    </row>
    <row r="39639">
      <c r="D39639" s="9"/>
      <c r="G39639" s="9"/>
      <c r="J39639" s="11"/>
      <c r="U39639" s="9"/>
      <c r="X39639" s="9"/>
    </row>
    <row r="39640">
      <c r="D39640" s="9"/>
      <c r="G39640" s="9"/>
      <c r="J39640" s="11"/>
      <c r="U39640" s="9"/>
      <c r="X39640" s="9"/>
    </row>
    <row r="39641">
      <c r="D39641" s="9"/>
      <c r="G39641" s="9"/>
      <c r="J39641" s="11"/>
      <c r="U39641" s="9"/>
      <c r="X39641" s="9"/>
    </row>
    <row r="39642">
      <c r="D39642" s="9"/>
      <c r="G39642" s="9"/>
      <c r="J39642" s="11"/>
      <c r="U39642" s="9"/>
      <c r="X39642" s="9"/>
    </row>
    <row r="39643">
      <c r="D39643" s="9"/>
      <c r="G39643" s="9"/>
      <c r="J39643" s="11"/>
      <c r="U39643" s="9"/>
      <c r="X39643" s="9"/>
    </row>
    <row r="39644">
      <c r="D39644" s="9"/>
      <c r="G39644" s="9"/>
      <c r="J39644" s="11"/>
      <c r="U39644" s="9"/>
      <c r="X39644" s="9"/>
    </row>
    <row r="39645">
      <c r="D39645" s="9"/>
      <c r="G39645" s="9"/>
      <c r="J39645" s="11"/>
      <c r="U39645" s="9"/>
      <c r="X39645" s="9"/>
    </row>
    <row r="39646">
      <c r="D39646" s="9"/>
      <c r="G39646" s="9"/>
      <c r="J39646" s="11"/>
      <c r="U39646" s="9"/>
      <c r="X39646" s="9"/>
    </row>
    <row r="39647">
      <c r="D39647" s="9"/>
      <c r="G39647" s="9"/>
      <c r="J39647" s="11"/>
      <c r="U39647" s="9"/>
      <c r="X39647" s="9"/>
    </row>
    <row r="39648">
      <c r="D39648" s="9"/>
      <c r="G39648" s="9"/>
      <c r="J39648" s="11"/>
      <c r="U39648" s="9"/>
      <c r="X39648" s="9"/>
    </row>
    <row r="39649">
      <c r="D39649" s="9"/>
      <c r="G39649" s="9"/>
      <c r="J39649" s="11"/>
      <c r="U39649" s="9"/>
      <c r="X39649" s="9"/>
    </row>
    <row r="39650">
      <c r="D39650" s="9"/>
      <c r="G39650" s="9"/>
      <c r="J39650" s="11"/>
      <c r="U39650" s="9"/>
      <c r="X39650" s="9"/>
    </row>
    <row r="39651">
      <c r="D39651" s="9"/>
      <c r="G39651" s="9"/>
      <c r="J39651" s="11"/>
      <c r="U39651" s="9"/>
      <c r="X39651" s="9"/>
    </row>
    <row r="39652">
      <c r="D39652" s="9"/>
      <c r="G39652" s="9"/>
      <c r="J39652" s="11"/>
      <c r="U39652" s="9"/>
      <c r="X39652" s="9"/>
    </row>
    <row r="39653">
      <c r="D39653" s="9"/>
      <c r="G39653" s="9"/>
      <c r="J39653" s="11"/>
      <c r="U39653" s="9"/>
      <c r="X39653" s="9"/>
    </row>
    <row r="39654">
      <c r="D39654" s="9"/>
      <c r="G39654" s="9"/>
      <c r="J39654" s="11"/>
      <c r="U39654" s="9"/>
      <c r="X39654" s="9"/>
    </row>
    <row r="39655">
      <c r="D39655" s="9"/>
      <c r="G39655" s="9"/>
      <c r="J39655" s="11"/>
      <c r="U39655" s="9"/>
      <c r="X39655" s="9"/>
    </row>
    <row r="39656">
      <c r="D39656" s="9"/>
      <c r="G39656" s="9"/>
      <c r="J39656" s="11"/>
      <c r="U39656" s="9"/>
      <c r="X39656" s="9"/>
    </row>
    <row r="39657">
      <c r="D39657" s="9"/>
      <c r="G39657" s="9"/>
      <c r="J39657" s="11"/>
      <c r="U39657" s="9"/>
      <c r="X39657" s="9"/>
    </row>
    <row r="39658">
      <c r="D39658" s="9"/>
      <c r="G39658" s="9"/>
      <c r="J39658" s="11"/>
      <c r="U39658" s="9"/>
      <c r="X39658" s="9"/>
    </row>
    <row r="39659">
      <c r="D39659" s="9"/>
      <c r="G39659" s="9"/>
      <c r="J39659" s="11"/>
      <c r="U39659" s="9"/>
      <c r="X39659" s="9"/>
    </row>
    <row r="39660">
      <c r="D39660" s="9"/>
      <c r="G39660" s="9"/>
      <c r="J39660" s="11"/>
      <c r="U39660" s="9"/>
      <c r="X39660" s="9"/>
    </row>
    <row r="39661">
      <c r="D39661" s="9"/>
      <c r="G39661" s="9"/>
      <c r="J39661" s="11"/>
      <c r="U39661" s="9"/>
      <c r="X39661" s="9"/>
    </row>
    <row r="39662">
      <c r="D39662" s="9"/>
      <c r="G39662" s="9"/>
      <c r="J39662" s="11"/>
      <c r="U39662" s="9"/>
      <c r="X39662" s="9"/>
    </row>
    <row r="39663">
      <c r="D39663" s="9"/>
      <c r="G39663" s="9"/>
      <c r="J39663" s="11"/>
      <c r="U39663" s="9"/>
      <c r="X39663" s="9"/>
    </row>
    <row r="39664">
      <c r="D39664" s="9"/>
      <c r="G39664" s="9"/>
      <c r="J39664" s="11"/>
      <c r="U39664" s="9"/>
      <c r="X39664" s="9"/>
    </row>
    <row r="39665">
      <c r="D39665" s="9"/>
      <c r="G39665" s="9"/>
      <c r="J39665" s="11"/>
      <c r="U39665" s="9"/>
      <c r="X39665" s="9"/>
    </row>
    <row r="39666">
      <c r="D39666" s="9"/>
      <c r="G39666" s="9"/>
      <c r="J39666" s="11"/>
      <c r="U39666" s="9"/>
      <c r="X39666" s="9"/>
    </row>
    <row r="39667">
      <c r="D39667" s="9"/>
      <c r="G39667" s="9"/>
      <c r="J39667" s="11"/>
      <c r="U39667" s="9"/>
      <c r="X39667" s="9"/>
    </row>
    <row r="39668">
      <c r="D39668" s="9"/>
      <c r="G39668" s="9"/>
      <c r="J39668" s="11"/>
      <c r="U39668" s="9"/>
      <c r="X39668" s="9"/>
    </row>
    <row r="39669">
      <c r="D39669" s="9"/>
      <c r="G39669" s="9"/>
      <c r="J39669" s="11"/>
      <c r="U39669" s="9"/>
      <c r="X39669" s="9"/>
    </row>
    <row r="39670">
      <c r="D39670" s="9"/>
      <c r="G39670" s="9"/>
      <c r="J39670" s="11"/>
      <c r="U39670" s="9"/>
      <c r="X39670" s="9"/>
    </row>
    <row r="39671">
      <c r="D39671" s="9"/>
      <c r="G39671" s="9"/>
      <c r="J39671" s="11"/>
      <c r="U39671" s="9"/>
      <c r="X39671" s="9"/>
    </row>
    <row r="39672">
      <c r="D39672" s="9"/>
      <c r="G39672" s="9"/>
      <c r="J39672" s="11"/>
      <c r="U39672" s="9"/>
      <c r="X39672" s="9"/>
    </row>
    <row r="39673">
      <c r="D39673" s="9"/>
      <c r="G39673" s="9"/>
      <c r="J39673" s="11"/>
      <c r="U39673" s="9"/>
      <c r="X39673" s="9"/>
    </row>
    <row r="39674">
      <c r="D39674" s="9"/>
      <c r="G39674" s="9"/>
      <c r="J39674" s="11"/>
      <c r="U39674" s="9"/>
      <c r="X39674" s="9"/>
    </row>
    <row r="39675">
      <c r="D39675" s="9"/>
      <c r="G39675" s="9"/>
      <c r="J39675" s="11"/>
      <c r="U39675" s="9"/>
      <c r="X39675" s="9"/>
    </row>
    <row r="39676">
      <c r="D39676" s="9"/>
      <c r="G39676" s="9"/>
      <c r="J39676" s="11"/>
      <c r="U39676" s="9"/>
      <c r="X39676" s="9"/>
    </row>
    <row r="39677">
      <c r="D39677" s="9"/>
      <c r="G39677" s="9"/>
      <c r="J39677" s="11"/>
      <c r="U39677" s="9"/>
      <c r="X39677" s="9"/>
    </row>
    <row r="39678">
      <c r="D39678" s="9"/>
      <c r="G39678" s="9"/>
      <c r="J39678" s="11"/>
      <c r="U39678" s="9"/>
      <c r="X39678" s="9"/>
    </row>
    <row r="39679">
      <c r="D39679" s="9"/>
      <c r="G39679" s="9"/>
      <c r="J39679" s="11"/>
      <c r="U39679" s="9"/>
      <c r="X39679" s="9"/>
    </row>
    <row r="39680">
      <c r="D39680" s="9"/>
      <c r="G39680" s="9"/>
      <c r="J39680" s="11"/>
      <c r="U39680" s="9"/>
      <c r="X39680" s="9"/>
    </row>
    <row r="39681">
      <c r="D39681" s="9"/>
      <c r="G39681" s="9"/>
      <c r="J39681" s="11"/>
      <c r="U39681" s="9"/>
      <c r="X39681" s="9"/>
    </row>
    <row r="39682">
      <c r="D39682" s="9"/>
      <c r="G39682" s="9"/>
      <c r="J39682" s="11"/>
      <c r="U39682" s="9"/>
      <c r="X39682" s="9"/>
    </row>
    <row r="39683">
      <c r="D39683" s="9"/>
      <c r="G39683" s="9"/>
      <c r="J39683" s="11"/>
      <c r="U39683" s="9"/>
      <c r="X39683" s="9"/>
    </row>
    <row r="39684">
      <c r="D39684" s="9"/>
      <c r="G39684" s="9"/>
      <c r="J39684" s="11"/>
      <c r="U39684" s="9"/>
      <c r="X39684" s="9"/>
    </row>
    <row r="39685">
      <c r="D39685" s="9"/>
      <c r="G39685" s="9"/>
      <c r="J39685" s="11"/>
      <c r="U39685" s="9"/>
      <c r="X39685" s="9"/>
    </row>
    <row r="39686">
      <c r="D39686" s="9"/>
      <c r="G39686" s="9"/>
      <c r="J39686" s="11"/>
      <c r="U39686" s="9"/>
      <c r="X39686" s="9"/>
    </row>
    <row r="39687">
      <c r="D39687" s="9"/>
      <c r="G39687" s="9"/>
      <c r="J39687" s="11"/>
      <c r="U39687" s="9"/>
      <c r="X39687" s="9"/>
    </row>
    <row r="39688">
      <c r="D39688" s="9"/>
      <c r="G39688" s="9"/>
      <c r="J39688" s="11"/>
      <c r="U39688" s="9"/>
      <c r="X39688" s="9"/>
    </row>
    <row r="39689">
      <c r="D39689" s="9"/>
      <c r="G39689" s="9"/>
      <c r="J39689" s="11"/>
      <c r="U39689" s="9"/>
      <c r="X39689" s="9"/>
    </row>
    <row r="39690">
      <c r="D39690" s="9"/>
      <c r="G39690" s="9"/>
      <c r="J39690" s="11"/>
      <c r="U39690" s="9"/>
      <c r="X39690" s="9"/>
    </row>
    <row r="39691">
      <c r="D39691" s="9"/>
      <c r="G39691" s="9"/>
      <c r="J39691" s="11"/>
      <c r="U39691" s="9"/>
      <c r="X39691" s="9"/>
    </row>
    <row r="39692">
      <c r="D39692" s="9"/>
      <c r="G39692" s="9"/>
      <c r="J39692" s="11"/>
      <c r="U39692" s="9"/>
      <c r="X39692" s="9"/>
    </row>
    <row r="39693">
      <c r="D39693" s="9"/>
      <c r="G39693" s="9"/>
      <c r="J39693" s="11"/>
      <c r="U39693" s="9"/>
      <c r="X39693" s="9"/>
    </row>
    <row r="39694">
      <c r="D39694" s="9"/>
      <c r="G39694" s="9"/>
      <c r="J39694" s="11"/>
      <c r="U39694" s="9"/>
      <c r="X39694" s="9"/>
    </row>
    <row r="39695">
      <c r="D39695" s="9"/>
      <c r="G39695" s="9"/>
      <c r="J39695" s="11"/>
      <c r="U39695" s="9"/>
      <c r="X39695" s="9"/>
    </row>
    <row r="39696">
      <c r="D39696" s="9"/>
      <c r="G39696" s="9"/>
      <c r="J39696" s="11"/>
      <c r="U39696" s="9"/>
      <c r="X39696" s="9"/>
    </row>
    <row r="39697">
      <c r="D39697" s="9"/>
      <c r="G39697" s="9"/>
      <c r="J39697" s="11"/>
      <c r="U39697" s="9"/>
      <c r="X39697" s="9"/>
    </row>
    <row r="39698">
      <c r="D39698" s="9"/>
      <c r="G39698" s="9"/>
      <c r="J39698" s="11"/>
      <c r="U39698" s="9"/>
      <c r="X39698" s="9"/>
    </row>
    <row r="39699">
      <c r="D39699" s="9"/>
      <c r="G39699" s="9"/>
      <c r="J39699" s="11"/>
      <c r="U39699" s="9"/>
      <c r="X39699" s="9"/>
    </row>
    <row r="39700">
      <c r="D39700" s="9"/>
      <c r="G39700" s="9"/>
      <c r="J39700" s="11"/>
      <c r="U39700" s="9"/>
      <c r="X39700" s="9"/>
    </row>
    <row r="39701">
      <c r="D39701" s="9"/>
      <c r="G39701" s="9"/>
      <c r="J39701" s="11"/>
      <c r="U39701" s="9"/>
      <c r="X39701" s="9"/>
    </row>
    <row r="39702">
      <c r="D39702" s="9"/>
      <c r="G39702" s="9"/>
      <c r="J39702" s="11"/>
      <c r="U39702" s="9"/>
      <c r="X39702" s="9"/>
    </row>
    <row r="39703">
      <c r="D39703" s="9"/>
      <c r="G39703" s="9"/>
      <c r="J39703" s="11"/>
      <c r="U39703" s="9"/>
      <c r="X39703" s="9"/>
    </row>
    <row r="39704">
      <c r="D39704" s="9"/>
      <c r="G39704" s="9"/>
      <c r="J39704" s="11"/>
      <c r="U39704" s="9"/>
      <c r="X39704" s="9"/>
    </row>
    <row r="39705">
      <c r="D39705" s="9"/>
      <c r="G39705" s="9"/>
      <c r="J39705" s="11"/>
      <c r="U39705" s="9"/>
      <c r="X39705" s="9"/>
    </row>
    <row r="39706">
      <c r="D39706" s="9"/>
      <c r="G39706" s="9"/>
      <c r="J39706" s="11"/>
      <c r="U39706" s="9"/>
      <c r="X39706" s="9"/>
    </row>
    <row r="39707">
      <c r="D39707" s="9"/>
      <c r="G39707" s="9"/>
      <c r="J39707" s="11"/>
      <c r="U39707" s="9"/>
      <c r="X39707" s="9"/>
    </row>
    <row r="39708">
      <c r="D39708" s="9"/>
      <c r="G39708" s="9"/>
      <c r="J39708" s="11"/>
      <c r="U39708" s="9"/>
      <c r="X39708" s="9"/>
    </row>
    <row r="39709">
      <c r="D39709" s="9"/>
      <c r="G39709" s="9"/>
      <c r="J39709" s="11"/>
      <c r="U39709" s="9"/>
      <c r="X39709" s="9"/>
    </row>
    <row r="39710">
      <c r="D39710" s="9"/>
      <c r="G39710" s="9"/>
      <c r="J39710" s="11"/>
      <c r="U39710" s="9"/>
      <c r="X39710" s="9"/>
    </row>
    <row r="39711">
      <c r="D39711" s="9"/>
      <c r="G39711" s="9"/>
      <c r="J39711" s="11"/>
      <c r="U39711" s="9"/>
      <c r="X39711" s="9"/>
    </row>
    <row r="39712">
      <c r="D39712" s="9"/>
      <c r="G39712" s="9"/>
      <c r="J39712" s="11"/>
      <c r="U39712" s="9"/>
      <c r="X39712" s="9"/>
    </row>
    <row r="39713">
      <c r="D39713" s="9"/>
      <c r="G39713" s="9"/>
      <c r="J39713" s="11"/>
      <c r="U39713" s="9"/>
      <c r="X39713" s="9"/>
    </row>
    <row r="39714">
      <c r="D39714" s="9"/>
      <c r="G39714" s="9"/>
      <c r="J39714" s="11"/>
      <c r="U39714" s="9"/>
      <c r="X39714" s="9"/>
    </row>
    <row r="39715">
      <c r="D39715" s="9"/>
      <c r="G39715" s="9"/>
      <c r="J39715" s="11"/>
      <c r="U39715" s="9"/>
      <c r="X39715" s="9"/>
    </row>
    <row r="39716">
      <c r="D39716" s="9"/>
      <c r="G39716" s="9"/>
      <c r="J39716" s="11"/>
      <c r="U39716" s="9"/>
      <c r="X39716" s="9"/>
    </row>
    <row r="39717">
      <c r="D39717" s="9"/>
      <c r="G39717" s="9"/>
      <c r="J39717" s="11"/>
      <c r="U39717" s="9"/>
      <c r="X39717" s="9"/>
    </row>
    <row r="39718">
      <c r="D39718" s="9"/>
      <c r="G39718" s="9"/>
      <c r="J39718" s="11"/>
      <c r="U39718" s="9"/>
      <c r="X39718" s="9"/>
    </row>
    <row r="39719">
      <c r="D39719" s="9"/>
      <c r="G39719" s="9"/>
      <c r="J39719" s="11"/>
      <c r="U39719" s="9"/>
      <c r="X39719" s="9"/>
    </row>
    <row r="39720">
      <c r="D39720" s="9"/>
      <c r="G39720" s="9"/>
      <c r="J39720" s="11"/>
      <c r="U39720" s="9"/>
      <c r="X39720" s="9"/>
    </row>
    <row r="39721">
      <c r="D39721" s="9"/>
      <c r="G39721" s="9"/>
      <c r="J39721" s="11"/>
      <c r="U39721" s="9"/>
      <c r="X39721" s="9"/>
    </row>
    <row r="39722">
      <c r="D39722" s="9"/>
      <c r="G39722" s="9"/>
      <c r="J39722" s="11"/>
      <c r="U39722" s="9"/>
      <c r="X39722" s="9"/>
    </row>
    <row r="39723">
      <c r="D39723" s="9"/>
      <c r="G39723" s="9"/>
      <c r="J39723" s="11"/>
      <c r="U39723" s="9"/>
      <c r="X39723" s="9"/>
    </row>
    <row r="39724">
      <c r="D39724" s="9"/>
      <c r="G39724" s="9"/>
      <c r="J39724" s="11"/>
      <c r="U39724" s="9"/>
      <c r="X39724" s="9"/>
    </row>
    <row r="39725">
      <c r="D39725" s="9"/>
      <c r="G39725" s="9"/>
      <c r="J39725" s="11"/>
      <c r="U39725" s="9"/>
      <c r="X39725" s="9"/>
    </row>
    <row r="39726">
      <c r="D39726" s="9"/>
      <c r="G39726" s="9"/>
      <c r="J39726" s="11"/>
      <c r="U39726" s="9"/>
      <c r="X39726" s="9"/>
    </row>
    <row r="39727">
      <c r="D39727" s="9"/>
      <c r="G39727" s="9"/>
      <c r="J39727" s="11"/>
      <c r="U39727" s="9"/>
      <c r="X39727" s="9"/>
    </row>
    <row r="39728">
      <c r="D39728" s="9"/>
      <c r="G39728" s="9"/>
      <c r="J39728" s="11"/>
      <c r="U39728" s="9"/>
      <c r="X39728" s="9"/>
    </row>
    <row r="39729">
      <c r="D39729" s="9"/>
      <c r="G39729" s="9"/>
      <c r="J39729" s="11"/>
      <c r="U39729" s="9"/>
      <c r="X39729" s="9"/>
    </row>
    <row r="39730">
      <c r="D39730" s="9"/>
      <c r="G39730" s="9"/>
      <c r="J39730" s="11"/>
      <c r="U39730" s="9"/>
      <c r="X39730" s="9"/>
    </row>
    <row r="39731">
      <c r="D39731" s="9"/>
      <c r="G39731" s="9"/>
      <c r="J39731" s="11"/>
      <c r="U39731" s="9"/>
      <c r="X39731" s="9"/>
    </row>
    <row r="39732">
      <c r="D39732" s="9"/>
      <c r="G39732" s="9"/>
      <c r="J39732" s="11"/>
      <c r="U39732" s="9"/>
      <c r="X39732" s="9"/>
    </row>
    <row r="39733">
      <c r="D39733" s="9"/>
      <c r="G39733" s="9"/>
      <c r="J39733" s="11"/>
      <c r="U39733" s="9"/>
      <c r="X39733" s="9"/>
    </row>
    <row r="39734">
      <c r="D39734" s="9"/>
      <c r="G39734" s="9"/>
      <c r="J39734" s="11"/>
      <c r="U39734" s="9"/>
      <c r="X39734" s="9"/>
    </row>
    <row r="39735">
      <c r="D39735" s="9"/>
      <c r="G39735" s="9"/>
      <c r="J39735" s="11"/>
      <c r="U39735" s="9"/>
      <c r="X39735" s="9"/>
    </row>
    <row r="39736">
      <c r="D39736" s="9"/>
      <c r="G39736" s="9"/>
      <c r="J39736" s="11"/>
      <c r="U39736" s="9"/>
      <c r="X39736" s="9"/>
    </row>
    <row r="39737">
      <c r="D39737" s="9"/>
      <c r="G39737" s="9"/>
      <c r="J39737" s="11"/>
      <c r="U39737" s="9"/>
      <c r="X39737" s="9"/>
    </row>
    <row r="39738">
      <c r="D39738" s="9"/>
      <c r="G39738" s="9"/>
      <c r="J39738" s="11"/>
      <c r="U39738" s="9"/>
      <c r="X39738" s="9"/>
    </row>
    <row r="39739">
      <c r="D39739" s="9"/>
      <c r="G39739" s="9"/>
      <c r="J39739" s="11"/>
      <c r="U39739" s="9"/>
      <c r="X39739" s="9"/>
    </row>
    <row r="39740">
      <c r="D39740" s="9"/>
      <c r="G39740" s="9"/>
      <c r="J39740" s="11"/>
      <c r="U39740" s="9"/>
      <c r="X39740" s="9"/>
    </row>
    <row r="39741">
      <c r="D39741" s="9"/>
      <c r="G39741" s="9"/>
      <c r="J39741" s="11"/>
      <c r="U39741" s="9"/>
      <c r="X39741" s="9"/>
    </row>
    <row r="39742">
      <c r="D39742" s="9"/>
      <c r="G39742" s="9"/>
      <c r="J39742" s="11"/>
      <c r="U39742" s="9"/>
      <c r="X39742" s="9"/>
    </row>
    <row r="39743">
      <c r="D39743" s="9"/>
      <c r="G39743" s="9"/>
      <c r="J39743" s="11"/>
      <c r="U39743" s="9"/>
      <c r="X39743" s="9"/>
    </row>
    <row r="39744">
      <c r="D39744" s="9"/>
      <c r="G39744" s="9"/>
      <c r="J39744" s="11"/>
      <c r="U39744" s="9"/>
      <c r="X39744" s="9"/>
    </row>
    <row r="39745">
      <c r="D39745" s="9"/>
      <c r="G39745" s="9"/>
      <c r="J39745" s="11"/>
      <c r="U39745" s="9"/>
      <c r="X39745" s="9"/>
    </row>
    <row r="39746">
      <c r="D39746" s="9"/>
      <c r="G39746" s="9"/>
      <c r="J39746" s="11"/>
      <c r="U39746" s="9"/>
      <c r="X39746" s="9"/>
    </row>
    <row r="39747">
      <c r="D39747" s="9"/>
      <c r="G39747" s="9"/>
      <c r="J39747" s="11"/>
      <c r="U39747" s="9"/>
      <c r="X39747" s="9"/>
    </row>
    <row r="39748">
      <c r="D39748" s="9"/>
      <c r="G39748" s="9"/>
      <c r="J39748" s="11"/>
      <c r="U39748" s="9"/>
      <c r="X39748" s="9"/>
    </row>
    <row r="39749">
      <c r="D39749" s="9"/>
      <c r="G39749" s="9"/>
      <c r="J39749" s="11"/>
      <c r="U39749" s="9"/>
      <c r="X39749" s="9"/>
    </row>
    <row r="39750">
      <c r="D39750" s="9"/>
      <c r="G39750" s="9"/>
      <c r="J39750" s="11"/>
      <c r="U39750" s="9"/>
      <c r="X39750" s="9"/>
    </row>
    <row r="39751">
      <c r="D39751" s="9"/>
      <c r="G39751" s="9"/>
      <c r="J39751" s="11"/>
      <c r="U39751" s="9"/>
      <c r="X39751" s="9"/>
    </row>
    <row r="39752">
      <c r="D39752" s="9"/>
      <c r="G39752" s="9"/>
      <c r="J39752" s="11"/>
      <c r="U39752" s="9"/>
      <c r="X39752" s="9"/>
    </row>
    <row r="39753">
      <c r="D39753" s="9"/>
      <c r="G39753" s="9"/>
      <c r="J39753" s="11"/>
      <c r="U39753" s="9"/>
      <c r="X39753" s="9"/>
    </row>
    <row r="39754">
      <c r="D39754" s="9"/>
      <c r="G39754" s="9"/>
      <c r="J39754" s="11"/>
      <c r="U39754" s="9"/>
      <c r="X39754" s="9"/>
    </row>
    <row r="39755">
      <c r="D39755" s="9"/>
      <c r="G39755" s="9"/>
      <c r="J39755" s="11"/>
      <c r="U39755" s="9"/>
      <c r="X39755" s="9"/>
    </row>
    <row r="39756">
      <c r="D39756" s="9"/>
      <c r="G39756" s="9"/>
      <c r="J39756" s="11"/>
      <c r="U39756" s="9"/>
      <c r="X39756" s="9"/>
    </row>
    <row r="39757">
      <c r="D39757" s="9"/>
      <c r="G39757" s="9"/>
      <c r="J39757" s="11"/>
      <c r="U39757" s="9"/>
      <c r="X39757" s="9"/>
    </row>
    <row r="39758">
      <c r="D39758" s="9"/>
      <c r="G39758" s="9"/>
      <c r="J39758" s="11"/>
      <c r="U39758" s="9"/>
      <c r="X39758" s="9"/>
    </row>
    <row r="39759">
      <c r="D39759" s="9"/>
      <c r="G39759" s="9"/>
      <c r="J39759" s="11"/>
      <c r="U39759" s="9"/>
      <c r="X39759" s="9"/>
    </row>
    <row r="39760">
      <c r="D39760" s="9"/>
      <c r="G39760" s="9"/>
      <c r="J39760" s="11"/>
      <c r="U39760" s="9"/>
      <c r="X39760" s="9"/>
    </row>
    <row r="39761">
      <c r="D39761" s="9"/>
      <c r="G39761" s="9"/>
      <c r="J39761" s="11"/>
      <c r="U39761" s="9"/>
      <c r="X39761" s="9"/>
    </row>
    <row r="39762">
      <c r="D39762" s="9"/>
      <c r="G39762" s="9"/>
      <c r="J39762" s="11"/>
      <c r="U39762" s="9"/>
      <c r="X39762" s="9"/>
    </row>
    <row r="39763">
      <c r="D39763" s="9"/>
      <c r="G39763" s="9"/>
      <c r="J39763" s="11"/>
      <c r="U39763" s="9"/>
      <c r="X39763" s="9"/>
    </row>
    <row r="39764">
      <c r="D39764" s="9"/>
      <c r="G39764" s="9"/>
      <c r="J39764" s="11"/>
      <c r="U39764" s="9"/>
      <c r="X39764" s="9"/>
    </row>
    <row r="39765">
      <c r="D39765" s="9"/>
      <c r="G39765" s="9"/>
      <c r="J39765" s="11"/>
      <c r="U39765" s="9"/>
      <c r="X39765" s="9"/>
    </row>
    <row r="39766">
      <c r="D39766" s="9"/>
      <c r="G39766" s="9"/>
      <c r="J39766" s="11"/>
      <c r="U39766" s="9"/>
      <c r="X39766" s="9"/>
    </row>
    <row r="39767">
      <c r="D39767" s="9"/>
      <c r="G39767" s="9"/>
      <c r="J39767" s="11"/>
      <c r="U39767" s="9"/>
      <c r="X39767" s="9"/>
    </row>
    <row r="39768">
      <c r="D39768" s="9"/>
      <c r="G39768" s="9"/>
      <c r="J39768" s="11"/>
      <c r="U39768" s="9"/>
      <c r="X39768" s="9"/>
    </row>
    <row r="39769">
      <c r="D39769" s="9"/>
      <c r="G39769" s="9"/>
      <c r="J39769" s="11"/>
      <c r="U39769" s="9"/>
      <c r="X39769" s="9"/>
    </row>
    <row r="39770">
      <c r="D39770" s="9"/>
      <c r="G39770" s="9"/>
      <c r="J39770" s="11"/>
      <c r="U39770" s="9"/>
      <c r="X39770" s="9"/>
    </row>
    <row r="39771">
      <c r="D39771" s="9"/>
      <c r="G39771" s="9"/>
      <c r="J39771" s="11"/>
      <c r="U39771" s="9"/>
      <c r="X39771" s="9"/>
    </row>
    <row r="39772">
      <c r="D39772" s="9"/>
      <c r="G39772" s="9"/>
      <c r="J39772" s="11"/>
      <c r="U39772" s="9"/>
      <c r="X39772" s="9"/>
    </row>
    <row r="39773">
      <c r="D39773" s="9"/>
      <c r="G39773" s="9"/>
      <c r="J39773" s="11"/>
      <c r="U39773" s="9"/>
      <c r="X39773" s="9"/>
    </row>
    <row r="39774">
      <c r="D39774" s="9"/>
      <c r="G39774" s="9"/>
      <c r="J39774" s="11"/>
      <c r="U39774" s="9"/>
      <c r="X39774" s="9"/>
    </row>
    <row r="39775">
      <c r="D39775" s="9"/>
      <c r="G39775" s="9"/>
      <c r="J39775" s="11"/>
      <c r="U39775" s="9"/>
      <c r="X39775" s="9"/>
    </row>
    <row r="39776">
      <c r="D39776" s="9"/>
      <c r="G39776" s="9"/>
      <c r="J39776" s="11"/>
      <c r="U39776" s="9"/>
      <c r="X39776" s="9"/>
    </row>
    <row r="39777">
      <c r="D39777" s="9"/>
      <c r="G39777" s="9"/>
      <c r="J39777" s="11"/>
      <c r="U39777" s="9"/>
      <c r="X39777" s="9"/>
    </row>
    <row r="39778">
      <c r="D39778" s="9"/>
      <c r="G39778" s="9"/>
      <c r="J39778" s="11"/>
      <c r="U39778" s="9"/>
      <c r="X39778" s="9"/>
    </row>
    <row r="39779">
      <c r="D39779" s="9"/>
      <c r="G39779" s="9"/>
      <c r="J39779" s="11"/>
      <c r="U39779" s="9"/>
      <c r="X39779" s="9"/>
    </row>
    <row r="39780">
      <c r="D39780" s="9"/>
      <c r="G39780" s="9"/>
      <c r="J39780" s="11"/>
      <c r="U39780" s="9"/>
      <c r="X39780" s="9"/>
    </row>
    <row r="39781">
      <c r="D39781" s="9"/>
      <c r="G39781" s="9"/>
      <c r="J39781" s="11"/>
      <c r="U39781" s="9"/>
      <c r="X39781" s="9"/>
    </row>
    <row r="39782">
      <c r="D39782" s="9"/>
      <c r="G39782" s="9"/>
      <c r="J39782" s="11"/>
      <c r="U39782" s="9"/>
      <c r="X39782" s="9"/>
    </row>
    <row r="39783">
      <c r="D39783" s="9"/>
      <c r="G39783" s="9"/>
      <c r="J39783" s="11"/>
      <c r="U39783" s="9"/>
      <c r="X39783" s="9"/>
    </row>
    <row r="39784">
      <c r="D39784" s="9"/>
      <c r="G39784" s="9"/>
      <c r="J39784" s="11"/>
      <c r="U39784" s="9"/>
      <c r="X39784" s="9"/>
    </row>
    <row r="39785">
      <c r="D39785" s="9"/>
      <c r="G39785" s="9"/>
      <c r="J39785" s="11"/>
      <c r="U39785" s="9"/>
      <c r="X39785" s="9"/>
    </row>
    <row r="39786">
      <c r="D39786" s="9"/>
      <c r="G39786" s="9"/>
      <c r="J39786" s="11"/>
      <c r="U39786" s="9"/>
      <c r="X39786" s="9"/>
    </row>
    <row r="39787">
      <c r="D39787" s="9"/>
      <c r="G39787" s="9"/>
      <c r="J39787" s="11"/>
      <c r="U39787" s="9"/>
      <c r="X39787" s="9"/>
    </row>
    <row r="39788">
      <c r="D39788" s="9"/>
      <c r="G39788" s="9"/>
      <c r="J39788" s="11"/>
      <c r="U39788" s="9"/>
      <c r="X39788" s="9"/>
    </row>
    <row r="39789">
      <c r="D39789" s="9"/>
      <c r="G39789" s="9"/>
      <c r="J39789" s="11"/>
      <c r="U39789" s="9"/>
      <c r="X39789" s="9"/>
    </row>
    <row r="39790">
      <c r="D39790" s="9"/>
      <c r="G39790" s="9"/>
      <c r="J39790" s="11"/>
      <c r="U39790" s="9"/>
      <c r="X39790" s="9"/>
    </row>
    <row r="39791">
      <c r="D39791" s="9"/>
      <c r="G39791" s="9"/>
      <c r="J39791" s="11"/>
      <c r="U39791" s="9"/>
      <c r="X39791" s="9"/>
    </row>
    <row r="39792">
      <c r="D39792" s="9"/>
      <c r="G39792" s="9"/>
      <c r="J39792" s="11"/>
      <c r="U39792" s="9"/>
      <c r="X39792" s="9"/>
    </row>
    <row r="39793">
      <c r="D39793" s="9"/>
      <c r="G39793" s="9"/>
      <c r="J39793" s="11"/>
      <c r="U39793" s="9"/>
      <c r="X39793" s="9"/>
    </row>
    <row r="39794">
      <c r="D39794" s="9"/>
      <c r="G39794" s="9"/>
      <c r="J39794" s="11"/>
      <c r="U39794" s="9"/>
      <c r="X39794" s="9"/>
    </row>
    <row r="39795">
      <c r="D39795" s="9"/>
      <c r="G39795" s="9"/>
      <c r="J39795" s="11"/>
      <c r="U39795" s="9"/>
      <c r="X39795" s="9"/>
    </row>
    <row r="39796">
      <c r="D39796" s="9"/>
      <c r="G39796" s="9"/>
      <c r="J39796" s="11"/>
      <c r="U39796" s="9"/>
      <c r="X39796" s="9"/>
    </row>
    <row r="39797">
      <c r="D39797" s="9"/>
      <c r="G39797" s="9"/>
      <c r="J39797" s="11"/>
      <c r="U39797" s="9"/>
      <c r="X39797" s="9"/>
    </row>
    <row r="39798">
      <c r="D39798" s="9"/>
      <c r="G39798" s="9"/>
      <c r="J39798" s="11"/>
      <c r="U39798" s="9"/>
      <c r="X39798" s="9"/>
    </row>
    <row r="39799">
      <c r="D39799" s="9"/>
      <c r="G39799" s="9"/>
      <c r="J39799" s="11"/>
      <c r="U39799" s="9"/>
      <c r="X39799" s="9"/>
    </row>
    <row r="39800">
      <c r="D39800" s="9"/>
      <c r="G39800" s="9"/>
      <c r="J39800" s="11"/>
      <c r="U39800" s="9"/>
      <c r="X39800" s="9"/>
    </row>
    <row r="39801">
      <c r="D39801" s="9"/>
      <c r="G39801" s="9"/>
      <c r="J39801" s="11"/>
      <c r="U39801" s="9"/>
      <c r="X39801" s="9"/>
    </row>
    <row r="39802">
      <c r="D39802" s="9"/>
      <c r="G39802" s="9"/>
      <c r="J39802" s="11"/>
      <c r="U39802" s="9"/>
      <c r="X39802" s="9"/>
    </row>
    <row r="39803">
      <c r="D39803" s="9"/>
      <c r="G39803" s="9"/>
      <c r="J39803" s="11"/>
      <c r="U39803" s="9"/>
      <c r="X39803" s="9"/>
    </row>
    <row r="39804">
      <c r="D39804" s="9"/>
      <c r="G39804" s="9"/>
      <c r="J39804" s="11"/>
      <c r="U39804" s="9"/>
      <c r="X39804" s="9"/>
    </row>
    <row r="39805">
      <c r="D39805" s="9"/>
      <c r="G39805" s="9"/>
      <c r="J39805" s="11"/>
      <c r="U39805" s="9"/>
      <c r="X39805" s="9"/>
    </row>
    <row r="39806">
      <c r="D39806" s="9"/>
      <c r="G39806" s="9"/>
      <c r="J39806" s="11"/>
      <c r="U39806" s="9"/>
      <c r="X39806" s="9"/>
    </row>
    <row r="39807">
      <c r="D39807" s="9"/>
      <c r="G39807" s="9"/>
      <c r="J39807" s="11"/>
      <c r="U39807" s="9"/>
      <c r="X39807" s="9"/>
    </row>
    <row r="39808">
      <c r="D39808" s="9"/>
      <c r="G39808" s="9"/>
      <c r="J39808" s="11"/>
      <c r="U39808" s="9"/>
      <c r="X39808" s="9"/>
    </row>
    <row r="39809">
      <c r="D39809" s="9"/>
      <c r="G39809" s="9"/>
      <c r="J39809" s="11"/>
      <c r="U39809" s="9"/>
      <c r="X39809" s="9"/>
    </row>
    <row r="39810">
      <c r="D39810" s="9"/>
      <c r="G39810" s="9"/>
      <c r="J39810" s="11"/>
      <c r="U39810" s="9"/>
      <c r="X39810" s="9"/>
    </row>
    <row r="39811">
      <c r="D39811" s="9"/>
      <c r="G39811" s="9"/>
      <c r="J39811" s="11"/>
      <c r="U39811" s="9"/>
      <c r="X39811" s="9"/>
    </row>
    <row r="39812">
      <c r="D39812" s="9"/>
      <c r="G39812" s="9"/>
      <c r="J39812" s="11"/>
      <c r="U39812" s="9"/>
      <c r="X39812" s="9"/>
    </row>
    <row r="39813">
      <c r="D39813" s="9"/>
      <c r="G39813" s="9"/>
      <c r="J39813" s="11"/>
      <c r="U39813" s="9"/>
      <c r="X39813" s="9"/>
    </row>
    <row r="39814">
      <c r="D39814" s="9"/>
      <c r="G39814" s="9"/>
      <c r="J39814" s="11"/>
      <c r="U39814" s="9"/>
      <c r="X39814" s="9"/>
    </row>
    <row r="39815">
      <c r="D39815" s="9"/>
      <c r="G39815" s="9"/>
      <c r="J39815" s="11"/>
      <c r="U39815" s="9"/>
      <c r="X39815" s="9"/>
    </row>
    <row r="39816">
      <c r="D39816" s="9"/>
      <c r="G39816" s="9"/>
      <c r="J39816" s="11"/>
      <c r="U39816" s="9"/>
      <c r="X39816" s="9"/>
    </row>
    <row r="39817">
      <c r="D39817" s="9"/>
      <c r="G39817" s="9"/>
      <c r="J39817" s="11"/>
      <c r="U39817" s="9"/>
      <c r="X39817" s="9"/>
    </row>
    <row r="39818">
      <c r="D39818" s="9"/>
      <c r="G39818" s="9"/>
      <c r="J39818" s="11"/>
      <c r="U39818" s="9"/>
      <c r="X39818" s="9"/>
    </row>
    <row r="39819">
      <c r="D39819" s="9"/>
      <c r="G39819" s="9"/>
      <c r="J39819" s="11"/>
      <c r="U39819" s="9"/>
      <c r="X39819" s="9"/>
    </row>
    <row r="39820">
      <c r="D39820" s="9"/>
      <c r="G39820" s="9"/>
      <c r="J39820" s="11"/>
      <c r="U39820" s="9"/>
      <c r="X39820" s="9"/>
    </row>
    <row r="39821">
      <c r="D39821" s="9"/>
      <c r="G39821" s="9"/>
      <c r="J39821" s="11"/>
      <c r="U39821" s="9"/>
      <c r="X39821" s="9"/>
    </row>
    <row r="39822">
      <c r="D39822" s="9"/>
      <c r="G39822" s="9"/>
      <c r="J39822" s="11"/>
      <c r="U39822" s="9"/>
      <c r="X39822" s="9"/>
    </row>
    <row r="39823">
      <c r="D39823" s="9"/>
      <c r="G39823" s="9"/>
      <c r="J39823" s="11"/>
      <c r="U39823" s="9"/>
      <c r="X39823" s="9"/>
    </row>
    <row r="39824">
      <c r="D39824" s="9"/>
      <c r="G39824" s="9"/>
      <c r="J39824" s="11"/>
      <c r="U39824" s="9"/>
      <c r="X39824" s="9"/>
    </row>
    <row r="39825">
      <c r="D39825" s="9"/>
      <c r="G39825" s="9"/>
      <c r="J39825" s="11"/>
      <c r="U39825" s="9"/>
      <c r="X39825" s="9"/>
    </row>
    <row r="39826">
      <c r="D39826" s="9"/>
      <c r="G39826" s="9"/>
      <c r="J39826" s="11"/>
      <c r="U39826" s="9"/>
      <c r="X39826" s="9"/>
    </row>
    <row r="39827">
      <c r="D39827" s="9"/>
      <c r="G39827" s="9"/>
      <c r="J39827" s="11"/>
      <c r="U39827" s="9"/>
      <c r="X39827" s="9"/>
    </row>
    <row r="39828">
      <c r="D39828" s="9"/>
      <c r="G39828" s="9"/>
      <c r="J39828" s="11"/>
      <c r="U39828" s="9"/>
      <c r="X39828" s="9"/>
    </row>
    <row r="39829">
      <c r="D39829" s="9"/>
      <c r="G39829" s="9"/>
      <c r="J39829" s="11"/>
      <c r="U39829" s="9"/>
      <c r="X39829" s="9"/>
    </row>
    <row r="39830">
      <c r="D39830" s="9"/>
      <c r="G39830" s="9"/>
      <c r="J39830" s="11"/>
      <c r="U39830" s="9"/>
      <c r="X39830" s="9"/>
    </row>
    <row r="39831">
      <c r="D39831" s="9"/>
      <c r="G39831" s="9"/>
      <c r="J39831" s="11"/>
      <c r="U39831" s="9"/>
      <c r="X39831" s="9"/>
    </row>
    <row r="39832">
      <c r="D39832" s="9"/>
      <c r="G39832" s="9"/>
      <c r="J39832" s="11"/>
      <c r="U39832" s="9"/>
      <c r="X39832" s="9"/>
    </row>
    <row r="39833">
      <c r="D39833" s="9"/>
      <c r="G39833" s="9"/>
      <c r="J39833" s="11"/>
      <c r="U39833" s="9"/>
      <c r="X39833" s="9"/>
    </row>
    <row r="39834">
      <c r="D39834" s="9"/>
      <c r="G39834" s="9"/>
      <c r="J39834" s="11"/>
      <c r="U39834" s="9"/>
      <c r="X39834" s="9"/>
    </row>
    <row r="39835">
      <c r="D39835" s="9"/>
      <c r="G39835" s="9"/>
      <c r="J39835" s="11"/>
      <c r="U39835" s="9"/>
      <c r="X39835" s="9"/>
    </row>
    <row r="39836">
      <c r="D39836" s="9"/>
      <c r="G39836" s="9"/>
      <c r="J39836" s="11"/>
      <c r="U39836" s="9"/>
      <c r="X39836" s="9"/>
    </row>
    <row r="39837">
      <c r="D39837" s="9"/>
      <c r="G39837" s="9"/>
      <c r="J39837" s="11"/>
      <c r="U39837" s="9"/>
      <c r="X39837" s="9"/>
    </row>
    <row r="39838">
      <c r="D39838" s="9"/>
      <c r="G39838" s="9"/>
      <c r="J39838" s="11"/>
      <c r="U39838" s="9"/>
      <c r="X39838" s="9"/>
    </row>
    <row r="39839">
      <c r="D39839" s="9"/>
      <c r="G39839" s="9"/>
      <c r="J39839" s="11"/>
      <c r="U39839" s="9"/>
      <c r="X39839" s="9"/>
    </row>
    <row r="39840">
      <c r="D39840" s="9"/>
      <c r="G39840" s="9"/>
      <c r="J39840" s="11"/>
      <c r="U39840" s="9"/>
      <c r="X39840" s="9"/>
    </row>
    <row r="39841">
      <c r="D39841" s="9"/>
      <c r="G39841" s="9"/>
      <c r="J39841" s="11"/>
      <c r="U39841" s="9"/>
      <c r="X39841" s="9"/>
    </row>
    <row r="39842">
      <c r="D39842" s="9"/>
      <c r="G39842" s="9"/>
      <c r="J39842" s="11"/>
      <c r="U39842" s="9"/>
      <c r="X39842" s="9"/>
    </row>
    <row r="39843">
      <c r="D39843" s="9"/>
      <c r="G39843" s="9"/>
      <c r="J39843" s="11"/>
      <c r="U39843" s="9"/>
      <c r="X39843" s="9"/>
    </row>
    <row r="39844">
      <c r="D39844" s="9"/>
      <c r="G39844" s="9"/>
      <c r="J39844" s="11"/>
      <c r="U39844" s="9"/>
      <c r="X39844" s="9"/>
    </row>
    <row r="39845">
      <c r="D39845" s="9"/>
      <c r="G39845" s="9"/>
      <c r="J39845" s="11"/>
      <c r="U39845" s="9"/>
      <c r="X39845" s="9"/>
    </row>
    <row r="39846">
      <c r="D39846" s="9"/>
      <c r="G39846" s="9"/>
      <c r="J39846" s="11"/>
      <c r="U39846" s="9"/>
      <c r="X39846" s="9"/>
    </row>
    <row r="39847">
      <c r="D39847" s="9"/>
      <c r="G39847" s="9"/>
      <c r="J39847" s="11"/>
      <c r="U39847" s="9"/>
      <c r="X39847" s="9"/>
    </row>
    <row r="39848">
      <c r="D39848" s="9"/>
      <c r="G39848" s="9"/>
      <c r="J39848" s="11"/>
      <c r="U39848" s="9"/>
      <c r="X39848" s="9"/>
    </row>
    <row r="39849">
      <c r="D39849" s="9"/>
      <c r="G39849" s="9"/>
      <c r="J39849" s="11"/>
      <c r="U39849" s="9"/>
      <c r="X39849" s="9"/>
    </row>
    <row r="39850">
      <c r="D39850" s="9"/>
      <c r="G39850" s="9"/>
      <c r="J39850" s="11"/>
      <c r="U39850" s="9"/>
      <c r="X39850" s="9"/>
    </row>
    <row r="39851">
      <c r="D39851" s="9"/>
      <c r="G39851" s="9"/>
      <c r="J39851" s="11"/>
      <c r="U39851" s="9"/>
      <c r="X39851" s="9"/>
    </row>
    <row r="39852">
      <c r="D39852" s="9"/>
      <c r="G39852" s="9"/>
      <c r="J39852" s="11"/>
      <c r="U39852" s="9"/>
      <c r="X39852" s="9"/>
    </row>
    <row r="39853">
      <c r="D39853" s="9"/>
      <c r="G39853" s="9"/>
      <c r="J39853" s="11"/>
      <c r="U39853" s="9"/>
      <c r="X39853" s="9"/>
    </row>
    <row r="39854">
      <c r="D39854" s="9"/>
      <c r="G39854" s="9"/>
      <c r="J39854" s="11"/>
      <c r="U39854" s="9"/>
      <c r="X39854" s="9"/>
    </row>
    <row r="39855">
      <c r="D39855" s="9"/>
      <c r="G39855" s="9"/>
      <c r="J39855" s="11"/>
      <c r="U39855" s="9"/>
      <c r="X39855" s="9"/>
    </row>
    <row r="39856">
      <c r="D39856" s="9"/>
      <c r="G39856" s="9"/>
      <c r="J39856" s="11"/>
      <c r="U39856" s="9"/>
      <c r="X39856" s="9"/>
    </row>
    <row r="39857">
      <c r="D39857" s="9"/>
      <c r="G39857" s="9"/>
      <c r="J39857" s="11"/>
      <c r="U39857" s="9"/>
      <c r="X39857" s="9"/>
    </row>
    <row r="39858">
      <c r="D39858" s="9"/>
      <c r="G39858" s="9"/>
      <c r="J39858" s="11"/>
      <c r="U39858" s="9"/>
      <c r="X39858" s="9"/>
    </row>
    <row r="39859">
      <c r="D39859" s="9"/>
      <c r="G39859" s="9"/>
      <c r="J39859" s="11"/>
      <c r="U39859" s="9"/>
      <c r="X39859" s="9"/>
    </row>
    <row r="39860">
      <c r="D39860" s="9"/>
      <c r="G39860" s="9"/>
      <c r="J39860" s="11"/>
      <c r="U39860" s="9"/>
      <c r="X39860" s="9"/>
    </row>
    <row r="39861">
      <c r="D39861" s="9"/>
      <c r="G39861" s="9"/>
      <c r="J39861" s="11"/>
      <c r="U39861" s="9"/>
      <c r="X39861" s="9"/>
    </row>
    <row r="39862">
      <c r="D39862" s="9"/>
      <c r="G39862" s="9"/>
      <c r="J39862" s="11"/>
      <c r="U39862" s="9"/>
      <c r="X39862" s="9"/>
    </row>
    <row r="39863">
      <c r="D39863" s="9"/>
      <c r="G39863" s="9"/>
      <c r="J39863" s="11"/>
      <c r="U39863" s="9"/>
      <c r="X39863" s="9"/>
    </row>
    <row r="39864">
      <c r="D39864" s="9"/>
      <c r="G39864" s="9"/>
      <c r="J39864" s="11"/>
      <c r="U39864" s="9"/>
      <c r="X39864" s="9"/>
    </row>
    <row r="39865">
      <c r="D39865" s="9"/>
      <c r="G39865" s="9"/>
      <c r="J39865" s="11"/>
      <c r="U39865" s="9"/>
      <c r="X39865" s="9"/>
    </row>
    <row r="39866">
      <c r="D39866" s="9"/>
      <c r="G39866" s="9"/>
      <c r="J39866" s="11"/>
      <c r="U39866" s="9"/>
      <c r="X39866" s="9"/>
    </row>
    <row r="39867">
      <c r="D39867" s="9"/>
      <c r="G39867" s="9"/>
      <c r="J39867" s="11"/>
      <c r="U39867" s="9"/>
      <c r="X39867" s="9"/>
    </row>
    <row r="39868">
      <c r="D39868" s="9"/>
      <c r="G39868" s="9"/>
      <c r="J39868" s="11"/>
      <c r="U39868" s="9"/>
      <c r="X39868" s="9"/>
    </row>
    <row r="39869">
      <c r="D39869" s="9"/>
      <c r="G39869" s="9"/>
      <c r="J39869" s="11"/>
      <c r="U39869" s="9"/>
      <c r="X39869" s="9"/>
    </row>
    <row r="39870">
      <c r="D39870" s="9"/>
      <c r="G39870" s="9"/>
      <c r="J39870" s="11"/>
      <c r="U39870" s="9"/>
      <c r="X39870" s="9"/>
    </row>
    <row r="39871">
      <c r="D39871" s="9"/>
      <c r="G39871" s="9"/>
      <c r="J39871" s="11"/>
      <c r="U39871" s="9"/>
      <c r="X39871" s="9"/>
    </row>
    <row r="39872">
      <c r="D39872" s="9"/>
      <c r="G39872" s="9"/>
      <c r="J39872" s="11"/>
      <c r="U39872" s="9"/>
      <c r="X39872" s="9"/>
    </row>
    <row r="39873">
      <c r="D39873" s="9"/>
      <c r="G39873" s="9"/>
      <c r="J39873" s="11"/>
      <c r="U39873" s="9"/>
      <c r="X39873" s="9"/>
    </row>
    <row r="39874">
      <c r="D39874" s="9"/>
      <c r="G39874" s="9"/>
      <c r="J39874" s="11"/>
      <c r="U39874" s="9"/>
      <c r="X39874" s="9"/>
    </row>
    <row r="39875">
      <c r="D39875" s="9"/>
      <c r="G39875" s="9"/>
      <c r="J39875" s="11"/>
      <c r="U39875" s="9"/>
      <c r="X39875" s="9"/>
    </row>
    <row r="39876">
      <c r="D39876" s="9"/>
      <c r="G39876" s="9"/>
      <c r="J39876" s="11"/>
      <c r="U39876" s="9"/>
      <c r="X39876" s="9"/>
    </row>
    <row r="39877">
      <c r="D39877" s="9"/>
      <c r="G39877" s="9"/>
      <c r="J39877" s="11"/>
      <c r="U39877" s="9"/>
      <c r="X39877" s="9"/>
    </row>
    <row r="39878">
      <c r="D39878" s="9"/>
      <c r="G39878" s="9"/>
      <c r="J39878" s="11"/>
      <c r="U39878" s="9"/>
      <c r="X39878" s="9"/>
    </row>
    <row r="39879">
      <c r="D39879" s="9"/>
      <c r="G39879" s="9"/>
      <c r="J39879" s="11"/>
      <c r="U39879" s="9"/>
      <c r="X39879" s="9"/>
    </row>
    <row r="39880">
      <c r="D39880" s="9"/>
      <c r="G39880" s="9"/>
      <c r="J39880" s="11"/>
      <c r="U39880" s="9"/>
      <c r="X39880" s="9"/>
    </row>
    <row r="39881">
      <c r="D39881" s="9"/>
      <c r="G39881" s="9"/>
      <c r="J39881" s="11"/>
      <c r="U39881" s="9"/>
      <c r="X39881" s="9"/>
    </row>
    <row r="39882">
      <c r="D39882" s="9"/>
      <c r="G39882" s="9"/>
      <c r="J39882" s="11"/>
      <c r="U39882" s="9"/>
      <c r="X39882" s="9"/>
    </row>
    <row r="39883">
      <c r="D39883" s="9"/>
      <c r="G39883" s="9"/>
      <c r="J39883" s="11"/>
      <c r="U39883" s="9"/>
      <c r="X39883" s="9"/>
    </row>
    <row r="39884">
      <c r="D39884" s="9"/>
      <c r="G39884" s="9"/>
      <c r="J39884" s="11"/>
      <c r="U39884" s="9"/>
      <c r="X39884" s="9"/>
    </row>
    <row r="39885">
      <c r="D39885" s="9"/>
      <c r="G39885" s="9"/>
      <c r="J39885" s="11"/>
      <c r="U39885" s="9"/>
      <c r="X39885" s="9"/>
    </row>
    <row r="39886">
      <c r="D39886" s="9"/>
      <c r="G39886" s="9"/>
      <c r="J39886" s="11"/>
      <c r="U39886" s="9"/>
      <c r="X39886" s="9"/>
    </row>
    <row r="39887">
      <c r="D39887" s="9"/>
      <c r="G39887" s="9"/>
      <c r="J39887" s="11"/>
      <c r="U39887" s="9"/>
      <c r="X39887" s="9"/>
    </row>
    <row r="39888">
      <c r="D39888" s="9"/>
      <c r="G39888" s="9"/>
      <c r="J39888" s="11"/>
      <c r="U39888" s="9"/>
      <c r="X39888" s="9"/>
    </row>
    <row r="39889">
      <c r="D39889" s="9"/>
      <c r="G39889" s="9"/>
      <c r="J39889" s="11"/>
      <c r="U39889" s="9"/>
      <c r="X39889" s="9"/>
    </row>
    <row r="39890">
      <c r="D39890" s="9"/>
      <c r="G39890" s="9"/>
      <c r="J39890" s="11"/>
      <c r="U39890" s="9"/>
      <c r="X39890" s="9"/>
    </row>
    <row r="39891">
      <c r="D39891" s="9"/>
      <c r="G39891" s="9"/>
      <c r="J39891" s="11"/>
      <c r="U39891" s="9"/>
      <c r="X39891" s="9"/>
    </row>
    <row r="39892">
      <c r="D39892" s="9"/>
      <c r="G39892" s="9"/>
      <c r="J39892" s="11"/>
      <c r="U39892" s="9"/>
      <c r="X39892" s="9"/>
    </row>
    <row r="39893">
      <c r="D39893" s="9"/>
      <c r="G39893" s="9"/>
      <c r="J39893" s="11"/>
      <c r="U39893" s="9"/>
      <c r="X39893" s="9"/>
    </row>
    <row r="39894">
      <c r="D39894" s="9"/>
      <c r="G39894" s="9"/>
      <c r="J39894" s="11"/>
      <c r="U39894" s="9"/>
      <c r="X39894" s="9"/>
    </row>
    <row r="39895">
      <c r="D39895" s="9"/>
      <c r="G39895" s="9"/>
      <c r="J39895" s="11"/>
      <c r="U39895" s="9"/>
      <c r="X39895" s="9"/>
    </row>
    <row r="39896">
      <c r="D39896" s="9"/>
      <c r="G39896" s="9"/>
      <c r="J39896" s="11"/>
      <c r="U39896" s="9"/>
      <c r="X39896" s="9"/>
    </row>
    <row r="39897">
      <c r="D39897" s="9"/>
      <c r="G39897" s="9"/>
      <c r="J39897" s="11"/>
      <c r="U39897" s="9"/>
      <c r="X39897" s="9"/>
    </row>
    <row r="39898">
      <c r="D39898" s="9"/>
      <c r="G39898" s="9"/>
      <c r="J39898" s="11"/>
      <c r="U39898" s="9"/>
      <c r="X39898" s="9"/>
    </row>
    <row r="39899">
      <c r="D39899" s="9"/>
      <c r="G39899" s="9"/>
      <c r="J39899" s="11"/>
      <c r="U39899" s="9"/>
      <c r="X39899" s="9"/>
    </row>
    <row r="39900">
      <c r="D39900" s="9"/>
      <c r="G39900" s="9"/>
      <c r="J39900" s="11"/>
      <c r="U39900" s="9"/>
      <c r="X39900" s="9"/>
    </row>
    <row r="39901">
      <c r="D39901" s="9"/>
      <c r="G39901" s="9"/>
      <c r="J39901" s="11"/>
      <c r="U39901" s="9"/>
      <c r="X39901" s="9"/>
    </row>
    <row r="39902">
      <c r="D39902" s="9"/>
      <c r="G39902" s="9"/>
      <c r="J39902" s="11"/>
      <c r="U39902" s="9"/>
      <c r="X39902" s="9"/>
    </row>
    <row r="39903">
      <c r="D39903" s="9"/>
      <c r="G39903" s="9"/>
      <c r="J39903" s="11"/>
      <c r="U39903" s="9"/>
      <c r="X39903" s="9"/>
    </row>
    <row r="39904">
      <c r="D39904" s="9"/>
      <c r="G39904" s="9"/>
      <c r="J39904" s="11"/>
      <c r="U39904" s="9"/>
      <c r="X39904" s="9"/>
    </row>
    <row r="39905">
      <c r="D39905" s="9"/>
      <c r="G39905" s="9"/>
      <c r="J39905" s="11"/>
      <c r="U39905" s="9"/>
      <c r="X39905" s="9"/>
    </row>
    <row r="39906">
      <c r="D39906" s="9"/>
      <c r="G39906" s="9"/>
      <c r="J39906" s="11"/>
      <c r="U39906" s="9"/>
      <c r="X39906" s="9"/>
    </row>
    <row r="39907">
      <c r="D39907" s="9"/>
      <c r="G39907" s="9"/>
      <c r="J39907" s="11"/>
      <c r="U39907" s="9"/>
      <c r="X39907" s="9"/>
    </row>
    <row r="39908">
      <c r="D39908" s="9"/>
      <c r="G39908" s="9"/>
      <c r="J39908" s="11"/>
      <c r="U39908" s="9"/>
      <c r="X39908" s="9"/>
    </row>
    <row r="39909">
      <c r="D39909" s="9"/>
      <c r="G39909" s="9"/>
      <c r="J39909" s="11"/>
      <c r="U39909" s="9"/>
      <c r="X39909" s="9"/>
    </row>
    <row r="39910">
      <c r="D39910" s="9"/>
      <c r="G39910" s="9"/>
      <c r="J39910" s="11"/>
      <c r="U39910" s="9"/>
      <c r="X39910" s="9"/>
    </row>
    <row r="39911">
      <c r="D39911" s="9"/>
      <c r="G39911" s="9"/>
      <c r="J39911" s="11"/>
      <c r="U39911" s="9"/>
      <c r="X39911" s="9"/>
    </row>
    <row r="39912">
      <c r="D39912" s="9"/>
      <c r="G39912" s="9"/>
      <c r="J39912" s="11"/>
      <c r="U39912" s="9"/>
      <c r="X39912" s="9"/>
    </row>
    <row r="39913">
      <c r="D39913" s="9"/>
      <c r="G39913" s="9"/>
      <c r="J39913" s="11"/>
      <c r="U39913" s="9"/>
      <c r="X39913" s="9"/>
    </row>
    <row r="39914">
      <c r="D39914" s="9"/>
      <c r="G39914" s="9"/>
      <c r="J39914" s="11"/>
      <c r="U39914" s="9"/>
      <c r="X39914" s="9"/>
    </row>
    <row r="39915">
      <c r="D39915" s="9"/>
      <c r="G39915" s="9"/>
      <c r="J39915" s="11"/>
      <c r="U39915" s="9"/>
      <c r="X39915" s="9"/>
    </row>
    <row r="39916">
      <c r="D39916" s="9"/>
      <c r="G39916" s="9"/>
      <c r="J39916" s="11"/>
      <c r="U39916" s="9"/>
      <c r="X39916" s="9"/>
    </row>
    <row r="39917">
      <c r="D39917" s="9"/>
      <c r="G39917" s="9"/>
      <c r="J39917" s="11"/>
      <c r="U39917" s="9"/>
      <c r="X39917" s="9"/>
    </row>
    <row r="39918">
      <c r="D39918" s="9"/>
      <c r="G39918" s="9"/>
      <c r="J39918" s="11"/>
      <c r="U39918" s="9"/>
      <c r="X39918" s="9"/>
    </row>
    <row r="39919">
      <c r="D39919" s="9"/>
      <c r="G39919" s="9"/>
      <c r="J39919" s="11"/>
      <c r="U39919" s="9"/>
      <c r="X39919" s="9"/>
    </row>
    <row r="39920">
      <c r="D39920" s="9"/>
      <c r="G39920" s="9"/>
      <c r="J39920" s="11"/>
      <c r="U39920" s="9"/>
      <c r="X39920" s="9"/>
    </row>
    <row r="39921">
      <c r="D39921" s="9"/>
      <c r="G39921" s="9"/>
      <c r="J39921" s="11"/>
      <c r="U39921" s="9"/>
      <c r="X39921" s="9"/>
    </row>
    <row r="39922">
      <c r="D39922" s="9"/>
      <c r="G39922" s="9"/>
      <c r="J39922" s="11"/>
      <c r="U39922" s="9"/>
      <c r="X39922" s="9"/>
    </row>
    <row r="39923">
      <c r="D39923" s="9"/>
      <c r="G39923" s="9"/>
      <c r="J39923" s="11"/>
      <c r="U39923" s="9"/>
      <c r="X39923" s="9"/>
    </row>
    <row r="39924">
      <c r="D39924" s="9"/>
      <c r="G39924" s="9"/>
      <c r="J39924" s="11"/>
      <c r="U39924" s="9"/>
      <c r="X39924" s="9"/>
    </row>
    <row r="39925">
      <c r="D39925" s="9"/>
      <c r="G39925" s="9"/>
      <c r="J39925" s="11"/>
      <c r="U39925" s="9"/>
      <c r="X39925" s="9"/>
    </row>
    <row r="39926">
      <c r="D39926" s="9"/>
      <c r="G39926" s="9"/>
      <c r="J39926" s="11"/>
      <c r="U39926" s="9"/>
      <c r="X39926" s="9"/>
    </row>
    <row r="39927">
      <c r="D39927" s="9"/>
      <c r="G39927" s="9"/>
      <c r="J39927" s="11"/>
      <c r="U39927" s="9"/>
      <c r="X39927" s="9"/>
    </row>
    <row r="39928">
      <c r="D39928" s="9"/>
      <c r="G39928" s="9"/>
      <c r="J39928" s="11"/>
      <c r="U39928" s="9"/>
      <c r="X39928" s="9"/>
    </row>
    <row r="39929">
      <c r="D39929" s="9"/>
      <c r="G39929" s="9"/>
      <c r="J39929" s="11"/>
      <c r="U39929" s="9"/>
      <c r="X39929" s="9"/>
    </row>
    <row r="39930">
      <c r="D39930" s="9"/>
      <c r="G39930" s="9"/>
      <c r="J39930" s="11"/>
      <c r="U39930" s="9"/>
      <c r="X39930" s="9"/>
    </row>
    <row r="39931">
      <c r="D39931" s="9"/>
      <c r="G39931" s="9"/>
      <c r="J39931" s="11"/>
      <c r="U39931" s="9"/>
      <c r="X39931" s="9"/>
    </row>
    <row r="39932">
      <c r="D39932" s="9"/>
      <c r="G39932" s="9"/>
      <c r="J39932" s="11"/>
      <c r="U39932" s="9"/>
      <c r="X39932" s="9"/>
    </row>
    <row r="39933">
      <c r="D39933" s="9"/>
      <c r="G39933" s="9"/>
      <c r="J39933" s="11"/>
      <c r="U39933" s="9"/>
      <c r="X39933" s="9"/>
    </row>
    <row r="39934">
      <c r="D39934" s="9"/>
      <c r="G39934" s="9"/>
      <c r="J39934" s="11"/>
      <c r="U39934" s="9"/>
      <c r="X39934" s="9"/>
    </row>
    <row r="39935">
      <c r="D39935" s="9"/>
      <c r="G39935" s="9"/>
      <c r="J39935" s="11"/>
      <c r="U39935" s="9"/>
      <c r="X39935" s="9"/>
    </row>
    <row r="39936">
      <c r="D39936" s="9"/>
      <c r="G39936" s="9"/>
      <c r="J39936" s="11"/>
      <c r="U39936" s="9"/>
      <c r="X39936" s="9"/>
    </row>
    <row r="39937">
      <c r="D39937" s="9"/>
      <c r="G39937" s="9"/>
      <c r="J39937" s="11"/>
      <c r="U39937" s="9"/>
      <c r="X39937" s="9"/>
    </row>
    <row r="39938">
      <c r="D39938" s="9"/>
      <c r="G39938" s="9"/>
      <c r="J39938" s="11"/>
      <c r="U39938" s="9"/>
      <c r="X39938" s="9"/>
    </row>
    <row r="39939">
      <c r="D39939" s="9"/>
      <c r="G39939" s="9"/>
      <c r="J39939" s="11"/>
      <c r="U39939" s="9"/>
      <c r="X39939" s="9"/>
    </row>
    <row r="39940">
      <c r="D39940" s="9"/>
      <c r="G39940" s="9"/>
      <c r="J39940" s="11"/>
      <c r="U39940" s="9"/>
      <c r="X39940" s="9"/>
    </row>
    <row r="39941">
      <c r="D39941" s="9"/>
      <c r="G39941" s="9"/>
      <c r="J39941" s="11"/>
      <c r="U39941" s="9"/>
      <c r="X39941" s="9"/>
    </row>
    <row r="39942">
      <c r="D39942" s="9"/>
      <c r="G39942" s="9"/>
      <c r="J39942" s="11"/>
      <c r="U39942" s="9"/>
      <c r="X39942" s="9"/>
    </row>
    <row r="39943">
      <c r="D39943" s="9"/>
      <c r="G39943" s="9"/>
      <c r="J39943" s="11"/>
      <c r="U39943" s="9"/>
      <c r="X39943" s="9"/>
    </row>
    <row r="39944">
      <c r="D39944" s="9"/>
      <c r="G39944" s="9"/>
      <c r="J39944" s="11"/>
      <c r="U39944" s="9"/>
      <c r="X39944" s="9"/>
    </row>
    <row r="39945">
      <c r="D39945" s="9"/>
      <c r="G39945" s="9"/>
      <c r="J39945" s="11"/>
      <c r="U39945" s="9"/>
      <c r="X39945" s="9"/>
    </row>
    <row r="39946">
      <c r="D39946" s="9"/>
      <c r="G39946" s="9"/>
      <c r="J39946" s="11"/>
      <c r="U39946" s="9"/>
      <c r="X39946" s="9"/>
    </row>
    <row r="39947">
      <c r="D39947" s="9"/>
      <c r="G39947" s="9"/>
      <c r="J39947" s="11"/>
      <c r="U39947" s="9"/>
      <c r="X39947" s="9"/>
    </row>
    <row r="39948">
      <c r="D39948" s="9"/>
      <c r="G39948" s="9"/>
      <c r="J39948" s="11"/>
      <c r="U39948" s="9"/>
      <c r="X39948" s="9"/>
    </row>
    <row r="39949">
      <c r="D39949" s="9"/>
      <c r="G39949" s="9"/>
      <c r="J39949" s="11"/>
      <c r="U39949" s="9"/>
      <c r="X39949" s="9"/>
    </row>
    <row r="39950">
      <c r="D39950" s="9"/>
      <c r="G39950" s="9"/>
      <c r="J39950" s="11"/>
      <c r="U39950" s="9"/>
      <c r="X39950" s="9"/>
    </row>
    <row r="39951">
      <c r="D39951" s="9"/>
      <c r="G39951" s="9"/>
      <c r="J39951" s="11"/>
      <c r="U39951" s="9"/>
      <c r="X39951" s="9"/>
    </row>
    <row r="39952">
      <c r="D39952" s="9"/>
      <c r="G39952" s="9"/>
      <c r="J39952" s="11"/>
      <c r="U39952" s="9"/>
      <c r="X39952" s="9"/>
    </row>
    <row r="39953">
      <c r="D39953" s="9"/>
      <c r="G39953" s="9"/>
      <c r="J39953" s="11"/>
      <c r="U39953" s="9"/>
      <c r="X39953" s="9"/>
    </row>
    <row r="39954">
      <c r="D39954" s="9"/>
      <c r="G39954" s="9"/>
      <c r="J39954" s="11"/>
      <c r="U39954" s="9"/>
      <c r="X39954" s="9"/>
    </row>
    <row r="39955">
      <c r="D39955" s="9"/>
      <c r="G39955" s="9"/>
      <c r="J39955" s="11"/>
      <c r="U39955" s="9"/>
      <c r="X39955" s="9"/>
    </row>
    <row r="39956">
      <c r="D39956" s="9"/>
      <c r="G39956" s="9"/>
      <c r="J39956" s="11"/>
      <c r="U39956" s="9"/>
      <c r="X39956" s="9"/>
    </row>
    <row r="39957">
      <c r="D39957" s="9"/>
      <c r="G39957" s="9"/>
      <c r="J39957" s="11"/>
      <c r="U39957" s="9"/>
      <c r="X39957" s="9"/>
    </row>
    <row r="39958">
      <c r="D39958" s="9"/>
      <c r="G39958" s="9"/>
      <c r="J39958" s="11"/>
      <c r="U39958" s="9"/>
      <c r="X39958" s="9"/>
    </row>
    <row r="39959">
      <c r="D39959" s="9"/>
      <c r="G39959" s="9"/>
      <c r="J39959" s="11"/>
      <c r="U39959" s="9"/>
      <c r="X39959" s="9"/>
    </row>
    <row r="39960">
      <c r="D39960" s="9"/>
      <c r="G39960" s="9"/>
      <c r="J39960" s="11"/>
      <c r="U39960" s="9"/>
      <c r="X39960" s="9"/>
    </row>
    <row r="39961">
      <c r="D39961" s="9"/>
      <c r="G39961" s="9"/>
      <c r="J39961" s="11"/>
      <c r="U39961" s="9"/>
      <c r="X39961" s="9"/>
    </row>
    <row r="39962">
      <c r="D39962" s="9"/>
      <c r="G39962" s="9"/>
      <c r="J39962" s="11"/>
      <c r="U39962" s="9"/>
      <c r="X39962" s="9"/>
    </row>
    <row r="39963">
      <c r="D39963" s="9"/>
      <c r="G39963" s="9"/>
      <c r="J39963" s="11"/>
      <c r="U39963" s="9"/>
      <c r="X39963" s="9"/>
    </row>
    <row r="39964">
      <c r="D39964" s="9"/>
      <c r="G39964" s="9"/>
      <c r="J39964" s="11"/>
      <c r="U39964" s="9"/>
      <c r="X39964" s="9"/>
    </row>
    <row r="39965">
      <c r="D39965" s="9"/>
      <c r="G39965" s="9"/>
      <c r="J39965" s="11"/>
      <c r="U39965" s="9"/>
      <c r="X39965" s="9"/>
    </row>
    <row r="39966">
      <c r="D39966" s="9"/>
      <c r="G39966" s="9"/>
      <c r="J39966" s="11"/>
      <c r="U39966" s="9"/>
      <c r="X39966" s="9"/>
    </row>
    <row r="39967">
      <c r="D39967" s="9"/>
      <c r="G39967" s="9"/>
      <c r="J39967" s="11"/>
      <c r="U39967" s="9"/>
      <c r="X39967" s="9"/>
    </row>
    <row r="39968">
      <c r="D39968" s="9"/>
      <c r="G39968" s="9"/>
      <c r="J39968" s="11"/>
      <c r="U39968" s="9"/>
      <c r="X39968" s="9"/>
    </row>
    <row r="39969">
      <c r="D39969" s="9"/>
      <c r="G39969" s="9"/>
      <c r="J39969" s="11"/>
      <c r="U39969" s="9"/>
      <c r="X39969" s="9"/>
    </row>
    <row r="39970">
      <c r="D39970" s="9"/>
      <c r="G39970" s="9"/>
      <c r="J39970" s="11"/>
      <c r="U39970" s="9"/>
      <c r="X39970" s="9"/>
    </row>
    <row r="39971">
      <c r="D39971" s="9"/>
      <c r="G39971" s="9"/>
      <c r="J39971" s="11"/>
      <c r="U39971" s="9"/>
      <c r="X39971" s="9"/>
    </row>
    <row r="39972">
      <c r="D39972" s="9"/>
      <c r="G39972" s="9"/>
      <c r="J39972" s="11"/>
      <c r="U39972" s="9"/>
      <c r="X39972" s="9"/>
    </row>
    <row r="39973">
      <c r="D39973" s="9"/>
      <c r="G39973" s="9"/>
      <c r="J39973" s="11"/>
      <c r="U39973" s="9"/>
      <c r="X39973" s="9"/>
    </row>
    <row r="39974">
      <c r="D39974" s="9"/>
      <c r="G39974" s="9"/>
      <c r="J39974" s="11"/>
      <c r="U39974" s="9"/>
      <c r="X39974" s="9"/>
    </row>
    <row r="39975">
      <c r="D39975" s="9"/>
      <c r="G39975" s="9"/>
      <c r="J39975" s="11"/>
      <c r="U39975" s="9"/>
      <c r="X39975" s="9"/>
    </row>
    <row r="39976">
      <c r="D39976" s="9"/>
      <c r="G39976" s="9"/>
      <c r="J39976" s="11"/>
      <c r="U39976" s="9"/>
      <c r="X39976" s="9"/>
    </row>
    <row r="39977">
      <c r="D39977" s="9"/>
      <c r="G39977" s="9"/>
      <c r="J39977" s="11"/>
      <c r="U39977" s="9"/>
      <c r="X39977" s="9"/>
    </row>
    <row r="39978">
      <c r="D39978" s="9"/>
      <c r="G39978" s="9"/>
      <c r="J39978" s="11"/>
      <c r="U39978" s="9"/>
      <c r="X39978" s="9"/>
    </row>
    <row r="39979">
      <c r="D39979" s="9"/>
      <c r="G39979" s="9"/>
      <c r="J39979" s="11"/>
      <c r="U39979" s="9"/>
      <c r="X39979" s="9"/>
    </row>
    <row r="39980">
      <c r="D39980" s="9"/>
      <c r="G39980" s="9"/>
      <c r="J39980" s="11"/>
      <c r="U39980" s="9"/>
      <c r="X39980" s="9"/>
    </row>
    <row r="39981">
      <c r="D39981" s="9"/>
      <c r="G39981" s="9"/>
      <c r="J39981" s="11"/>
      <c r="U39981" s="9"/>
      <c r="X39981" s="9"/>
    </row>
    <row r="39982">
      <c r="D39982" s="9"/>
      <c r="G39982" s="9"/>
      <c r="J39982" s="11"/>
      <c r="U39982" s="9"/>
      <c r="X39982" s="9"/>
    </row>
    <row r="39983">
      <c r="D39983" s="9"/>
      <c r="G39983" s="9"/>
      <c r="J39983" s="11"/>
      <c r="U39983" s="9"/>
      <c r="X39983" s="9"/>
    </row>
    <row r="39984">
      <c r="D39984" s="9"/>
      <c r="G39984" s="9"/>
      <c r="J39984" s="11"/>
      <c r="U39984" s="9"/>
      <c r="X39984" s="9"/>
    </row>
    <row r="39985">
      <c r="D39985" s="9"/>
      <c r="G39985" s="9"/>
      <c r="J39985" s="11"/>
      <c r="U39985" s="9"/>
      <c r="X39985" s="9"/>
    </row>
    <row r="39986">
      <c r="D39986" s="9"/>
      <c r="G39986" s="9"/>
      <c r="J39986" s="11"/>
      <c r="U39986" s="9"/>
      <c r="X39986" s="9"/>
    </row>
    <row r="39987">
      <c r="D39987" s="9"/>
      <c r="G39987" s="9"/>
      <c r="J39987" s="11"/>
      <c r="U39987" s="9"/>
      <c r="X39987" s="9"/>
    </row>
    <row r="39988">
      <c r="D39988" s="9"/>
      <c r="G39988" s="9"/>
      <c r="J39988" s="11"/>
      <c r="U39988" s="9"/>
      <c r="X39988" s="9"/>
    </row>
    <row r="39989">
      <c r="D39989" s="9"/>
      <c r="G39989" s="9"/>
      <c r="J39989" s="11"/>
      <c r="U39989" s="9"/>
      <c r="X39989" s="9"/>
    </row>
    <row r="39990">
      <c r="D39990" s="9"/>
      <c r="G39990" s="9"/>
      <c r="J39990" s="11"/>
      <c r="U39990" s="9"/>
      <c r="X39990" s="9"/>
    </row>
    <row r="39991">
      <c r="D39991" s="9"/>
      <c r="G39991" s="9"/>
      <c r="J39991" s="11"/>
      <c r="U39991" s="9"/>
      <c r="X39991" s="9"/>
    </row>
    <row r="39992">
      <c r="D39992" s="9"/>
      <c r="G39992" s="9"/>
      <c r="J39992" s="11"/>
      <c r="U39992" s="9"/>
      <c r="X39992" s="9"/>
    </row>
    <row r="39993">
      <c r="D39993" s="9"/>
      <c r="G39993" s="9"/>
      <c r="J39993" s="11"/>
      <c r="U39993" s="9"/>
      <c r="X39993" s="9"/>
    </row>
    <row r="39994">
      <c r="D39994" s="9"/>
      <c r="G39994" s="9"/>
      <c r="J39994" s="11"/>
      <c r="U39994" s="9"/>
      <c r="X39994" s="9"/>
    </row>
    <row r="39995">
      <c r="D39995" s="9"/>
      <c r="G39995" s="9"/>
      <c r="J39995" s="11"/>
      <c r="U39995" s="9"/>
      <c r="X39995" s="9"/>
    </row>
    <row r="39996">
      <c r="D39996" s="9"/>
      <c r="G39996" s="9"/>
      <c r="J39996" s="11"/>
      <c r="U39996" s="9"/>
      <c r="X39996" s="9"/>
    </row>
    <row r="39997">
      <c r="D39997" s="9"/>
      <c r="G39997" s="9"/>
      <c r="J39997" s="11"/>
      <c r="U39997" s="9"/>
      <c r="X39997" s="9"/>
    </row>
    <row r="39998">
      <c r="D39998" s="9"/>
      <c r="G39998" s="9"/>
      <c r="J39998" s="11"/>
      <c r="U39998" s="9"/>
      <c r="X39998" s="9"/>
    </row>
    <row r="39999">
      <c r="D39999" s="9"/>
      <c r="G39999" s="9"/>
      <c r="J39999" s="11"/>
      <c r="U39999" s="9"/>
      <c r="X39999" s="9"/>
    </row>
    <row r="40000">
      <c r="D40000" s="9"/>
      <c r="G40000" s="9"/>
      <c r="J40000" s="11"/>
      <c r="U40000" s="9"/>
      <c r="X40000" s="9"/>
    </row>
    <row r="40001">
      <c r="D40001" s="9"/>
      <c r="G40001" s="9"/>
      <c r="J40001" s="11"/>
      <c r="U40001" s="9"/>
      <c r="X40001" s="9"/>
    </row>
    <row r="40002">
      <c r="D40002" s="9"/>
      <c r="G40002" s="9"/>
      <c r="J40002" s="11"/>
      <c r="U40002" s="9"/>
      <c r="X40002" s="9"/>
    </row>
    <row r="40003">
      <c r="D40003" s="9"/>
      <c r="G40003" s="9"/>
      <c r="J40003" s="11"/>
      <c r="U40003" s="9"/>
      <c r="X40003" s="9"/>
    </row>
    <row r="40004">
      <c r="D40004" s="9"/>
      <c r="G40004" s="9"/>
      <c r="J40004" s="11"/>
      <c r="U40004" s="9"/>
      <c r="X40004" s="9"/>
    </row>
    <row r="40005">
      <c r="D40005" s="9"/>
      <c r="G40005" s="9"/>
      <c r="J40005" s="11"/>
      <c r="U40005" s="9"/>
      <c r="X40005" s="9"/>
    </row>
    <row r="40006">
      <c r="D40006" s="9"/>
      <c r="G40006" s="9"/>
      <c r="J40006" s="11"/>
      <c r="U40006" s="9"/>
      <c r="X40006" s="9"/>
    </row>
    <row r="40007">
      <c r="D40007" s="9"/>
      <c r="G40007" s="9"/>
      <c r="J40007" s="11"/>
      <c r="U40007" s="9"/>
      <c r="X40007" s="9"/>
    </row>
    <row r="40008">
      <c r="D40008" s="9"/>
      <c r="G40008" s="9"/>
      <c r="J40008" s="11"/>
      <c r="U40008" s="9"/>
      <c r="X40008" s="9"/>
    </row>
    <row r="40009">
      <c r="D40009" s="9"/>
      <c r="G40009" s="9"/>
      <c r="J40009" s="11"/>
      <c r="U40009" s="9"/>
      <c r="X40009" s="9"/>
    </row>
    <row r="40010">
      <c r="D40010" s="9"/>
      <c r="G40010" s="9"/>
      <c r="J40010" s="11"/>
      <c r="U40010" s="9"/>
      <c r="X40010" s="9"/>
    </row>
    <row r="40011">
      <c r="D40011" s="9"/>
      <c r="G40011" s="9"/>
      <c r="J40011" s="11"/>
      <c r="U40011" s="9"/>
      <c r="X40011" s="9"/>
    </row>
    <row r="40012">
      <c r="D40012" s="9"/>
      <c r="G40012" s="9"/>
      <c r="J40012" s="11"/>
      <c r="U40012" s="9"/>
      <c r="X40012" s="9"/>
    </row>
    <row r="40013">
      <c r="D40013" s="9"/>
      <c r="G40013" s="9"/>
      <c r="J40013" s="11"/>
      <c r="U40013" s="9"/>
      <c r="X40013" s="9"/>
    </row>
    <row r="40014">
      <c r="D40014" s="9"/>
      <c r="G40014" s="9"/>
      <c r="J40014" s="11"/>
      <c r="U40014" s="9"/>
      <c r="X40014" s="9"/>
    </row>
    <row r="40015">
      <c r="D40015" s="9"/>
      <c r="G40015" s="9"/>
      <c r="J40015" s="11"/>
      <c r="U40015" s="9"/>
      <c r="X40015" s="9"/>
    </row>
    <row r="40016">
      <c r="D40016" s="9"/>
      <c r="G40016" s="9"/>
      <c r="J40016" s="11"/>
      <c r="U40016" s="9"/>
      <c r="X40016" s="9"/>
    </row>
    <row r="40017">
      <c r="D40017" s="9"/>
      <c r="G40017" s="9"/>
      <c r="J40017" s="11"/>
      <c r="U40017" s="9"/>
      <c r="X40017" s="9"/>
    </row>
    <row r="40018">
      <c r="D40018" s="9"/>
      <c r="G40018" s="9"/>
      <c r="J40018" s="11"/>
      <c r="U40018" s="9"/>
      <c r="X40018" s="9"/>
    </row>
    <row r="40019">
      <c r="D40019" s="9"/>
      <c r="G40019" s="9"/>
      <c r="J40019" s="11"/>
      <c r="U40019" s="9"/>
      <c r="X40019" s="9"/>
    </row>
    <row r="40020">
      <c r="D40020" s="9"/>
      <c r="G40020" s="9"/>
      <c r="J40020" s="11"/>
      <c r="U40020" s="9"/>
      <c r="X40020" s="9"/>
    </row>
    <row r="40021">
      <c r="D40021" s="9"/>
      <c r="G40021" s="9"/>
      <c r="J40021" s="11"/>
      <c r="U40021" s="9"/>
      <c r="X40021" s="9"/>
    </row>
    <row r="40022">
      <c r="D40022" s="9"/>
      <c r="G40022" s="9"/>
      <c r="J40022" s="11"/>
      <c r="U40022" s="9"/>
      <c r="X40022" s="9"/>
    </row>
    <row r="40023">
      <c r="D40023" s="9"/>
      <c r="G40023" s="9"/>
      <c r="J40023" s="11"/>
      <c r="U40023" s="9"/>
      <c r="X40023" s="9"/>
    </row>
    <row r="40024">
      <c r="D40024" s="9"/>
      <c r="G40024" s="9"/>
      <c r="J40024" s="11"/>
      <c r="U40024" s="9"/>
      <c r="X40024" s="9"/>
    </row>
    <row r="40025">
      <c r="D40025" s="9"/>
      <c r="G40025" s="9"/>
      <c r="J40025" s="11"/>
      <c r="U40025" s="9"/>
      <c r="X40025" s="9"/>
    </row>
    <row r="40026">
      <c r="D40026" s="9"/>
      <c r="G40026" s="9"/>
      <c r="J40026" s="11"/>
      <c r="U40026" s="9"/>
      <c r="X40026" s="9"/>
    </row>
    <row r="40027">
      <c r="D40027" s="9"/>
      <c r="G40027" s="9"/>
      <c r="J40027" s="11"/>
      <c r="U40027" s="9"/>
      <c r="X40027" s="9"/>
    </row>
    <row r="40028">
      <c r="D40028" s="9"/>
      <c r="G40028" s="9"/>
      <c r="J40028" s="11"/>
      <c r="U40028" s="9"/>
      <c r="X40028" s="9"/>
    </row>
    <row r="40029">
      <c r="D40029" s="9"/>
      <c r="G40029" s="9"/>
      <c r="J40029" s="11"/>
      <c r="U40029" s="9"/>
      <c r="X40029" s="9"/>
    </row>
    <row r="40030">
      <c r="D40030" s="9"/>
      <c r="G40030" s="9"/>
      <c r="J40030" s="11"/>
      <c r="U40030" s="9"/>
      <c r="X40030" s="9"/>
    </row>
    <row r="40031">
      <c r="D40031" s="9"/>
      <c r="G40031" s="9"/>
      <c r="J40031" s="11"/>
      <c r="U40031" s="9"/>
      <c r="X40031" s="9"/>
    </row>
    <row r="40032">
      <c r="D40032" s="9"/>
      <c r="G40032" s="9"/>
      <c r="J40032" s="11"/>
      <c r="U40032" s="9"/>
      <c r="X40032" s="9"/>
    </row>
    <row r="40033">
      <c r="D40033" s="9"/>
      <c r="G40033" s="9"/>
      <c r="J40033" s="11"/>
      <c r="U40033" s="9"/>
      <c r="X40033" s="9"/>
    </row>
    <row r="40034">
      <c r="D40034" s="9"/>
      <c r="G40034" s="9"/>
      <c r="J40034" s="11"/>
      <c r="U40034" s="9"/>
      <c r="X40034" s="9"/>
    </row>
    <row r="40035">
      <c r="D40035" s="9"/>
      <c r="G40035" s="9"/>
      <c r="J40035" s="11"/>
      <c r="U40035" s="9"/>
      <c r="X40035" s="9"/>
    </row>
    <row r="40036">
      <c r="D40036" s="9"/>
      <c r="G40036" s="9"/>
      <c r="J40036" s="11"/>
      <c r="U40036" s="9"/>
      <c r="X40036" s="9"/>
    </row>
    <row r="40037">
      <c r="D40037" s="9"/>
      <c r="G40037" s="9"/>
      <c r="J40037" s="11"/>
      <c r="U40037" s="9"/>
      <c r="X40037" s="9"/>
    </row>
    <row r="40038">
      <c r="D40038" s="9"/>
      <c r="G40038" s="9"/>
      <c r="J40038" s="11"/>
      <c r="U40038" s="9"/>
      <c r="X40038" s="9"/>
    </row>
    <row r="40039">
      <c r="D40039" s="9"/>
      <c r="G40039" s="9"/>
      <c r="J40039" s="11"/>
      <c r="U40039" s="9"/>
      <c r="X40039" s="9"/>
    </row>
    <row r="40040">
      <c r="D40040" s="9"/>
      <c r="G40040" s="9"/>
      <c r="J40040" s="11"/>
      <c r="U40040" s="9"/>
      <c r="X40040" s="9"/>
    </row>
    <row r="40041">
      <c r="D40041" s="9"/>
      <c r="G40041" s="9"/>
      <c r="J40041" s="11"/>
      <c r="U40041" s="9"/>
      <c r="X40041" s="9"/>
    </row>
    <row r="40042">
      <c r="D40042" s="9"/>
      <c r="G40042" s="9"/>
      <c r="J40042" s="11"/>
      <c r="U40042" s="9"/>
      <c r="X40042" s="9"/>
    </row>
    <row r="40043">
      <c r="D40043" s="9"/>
      <c r="G40043" s="9"/>
      <c r="J40043" s="11"/>
      <c r="U40043" s="9"/>
      <c r="X40043" s="9"/>
    </row>
    <row r="40044">
      <c r="D40044" s="9"/>
      <c r="G40044" s="9"/>
      <c r="J40044" s="11"/>
      <c r="U40044" s="9"/>
      <c r="X40044" s="9"/>
    </row>
    <row r="40045">
      <c r="D40045" s="9"/>
      <c r="G40045" s="9"/>
      <c r="J40045" s="11"/>
      <c r="U40045" s="9"/>
      <c r="X40045" s="9"/>
    </row>
    <row r="40046">
      <c r="D40046" s="9"/>
      <c r="G40046" s="9"/>
      <c r="J40046" s="11"/>
      <c r="U40046" s="9"/>
      <c r="X40046" s="9"/>
    </row>
    <row r="40047">
      <c r="D40047" s="9"/>
      <c r="G40047" s="9"/>
      <c r="J40047" s="11"/>
      <c r="U40047" s="9"/>
      <c r="X40047" s="9"/>
    </row>
    <row r="40048">
      <c r="D40048" s="9"/>
      <c r="G40048" s="9"/>
      <c r="J40048" s="11"/>
      <c r="U40048" s="9"/>
      <c r="X40048" s="9"/>
    </row>
    <row r="40049">
      <c r="D40049" s="9"/>
      <c r="G40049" s="9"/>
      <c r="J40049" s="11"/>
      <c r="U40049" s="9"/>
      <c r="X40049" s="9"/>
    </row>
    <row r="40050">
      <c r="D40050" s="9"/>
      <c r="G40050" s="9"/>
      <c r="J40050" s="11"/>
      <c r="U40050" s="9"/>
      <c r="X40050" s="9"/>
    </row>
    <row r="40051">
      <c r="D40051" s="9"/>
      <c r="G40051" s="9"/>
      <c r="J40051" s="11"/>
      <c r="U40051" s="9"/>
      <c r="X40051" s="9"/>
    </row>
    <row r="40052">
      <c r="D40052" s="9"/>
      <c r="G40052" s="9"/>
      <c r="J40052" s="11"/>
      <c r="U40052" s="9"/>
      <c r="X40052" s="9"/>
    </row>
    <row r="40053">
      <c r="D40053" s="9"/>
      <c r="G40053" s="9"/>
      <c r="J40053" s="11"/>
      <c r="U40053" s="9"/>
      <c r="X40053" s="9"/>
    </row>
    <row r="40054">
      <c r="D40054" s="9"/>
      <c r="G40054" s="9"/>
      <c r="J40054" s="11"/>
      <c r="U40054" s="9"/>
      <c r="X40054" s="9"/>
    </row>
    <row r="40055">
      <c r="D40055" s="9"/>
      <c r="G40055" s="9"/>
      <c r="J40055" s="11"/>
      <c r="U40055" s="9"/>
      <c r="X40055" s="9"/>
    </row>
    <row r="40056">
      <c r="D40056" s="9"/>
      <c r="G40056" s="9"/>
      <c r="J40056" s="11"/>
      <c r="U40056" s="9"/>
      <c r="X40056" s="9"/>
    </row>
    <row r="40057">
      <c r="D40057" s="9"/>
      <c r="G40057" s="9"/>
      <c r="J40057" s="11"/>
      <c r="U40057" s="9"/>
      <c r="X40057" s="9"/>
    </row>
    <row r="40058">
      <c r="D40058" s="9"/>
      <c r="G40058" s="9"/>
      <c r="J40058" s="11"/>
      <c r="U40058" s="9"/>
      <c r="X40058" s="9"/>
    </row>
    <row r="40059">
      <c r="D40059" s="9"/>
      <c r="G40059" s="9"/>
      <c r="J40059" s="11"/>
      <c r="U40059" s="9"/>
      <c r="X40059" s="9"/>
    </row>
    <row r="40060">
      <c r="D40060" s="9"/>
      <c r="G40060" s="9"/>
      <c r="J40060" s="11"/>
      <c r="U40060" s="9"/>
      <c r="X40060" s="9"/>
    </row>
    <row r="40061">
      <c r="D40061" s="9"/>
      <c r="G40061" s="9"/>
      <c r="J40061" s="11"/>
      <c r="U40061" s="9"/>
      <c r="X40061" s="9"/>
    </row>
    <row r="40062">
      <c r="D40062" s="9"/>
      <c r="G40062" s="9"/>
      <c r="J40062" s="11"/>
      <c r="U40062" s="9"/>
      <c r="X40062" s="9"/>
    </row>
    <row r="40063">
      <c r="D40063" s="9"/>
      <c r="G40063" s="9"/>
      <c r="J40063" s="11"/>
      <c r="U40063" s="9"/>
      <c r="X40063" s="9"/>
    </row>
    <row r="40064">
      <c r="D40064" s="9"/>
      <c r="G40064" s="9"/>
      <c r="J40064" s="11"/>
      <c r="U40064" s="9"/>
      <c r="X40064" s="9"/>
    </row>
    <row r="40065">
      <c r="D40065" s="9"/>
      <c r="G40065" s="9"/>
      <c r="J40065" s="11"/>
      <c r="U40065" s="9"/>
      <c r="X40065" s="9"/>
    </row>
    <row r="40066">
      <c r="D40066" s="9"/>
      <c r="G40066" s="9"/>
      <c r="J40066" s="11"/>
      <c r="U40066" s="9"/>
      <c r="X40066" s="9"/>
    </row>
    <row r="40067">
      <c r="D40067" s="9"/>
      <c r="G40067" s="9"/>
      <c r="J40067" s="11"/>
      <c r="U40067" s="9"/>
      <c r="X40067" s="9"/>
    </row>
    <row r="40068">
      <c r="D40068" s="9"/>
      <c r="G40068" s="9"/>
      <c r="J40068" s="11"/>
      <c r="U40068" s="9"/>
      <c r="X40068" s="9"/>
    </row>
    <row r="40069">
      <c r="D40069" s="9"/>
      <c r="G40069" s="9"/>
      <c r="J40069" s="11"/>
      <c r="U40069" s="9"/>
      <c r="X40069" s="9"/>
    </row>
    <row r="40070">
      <c r="D40070" s="9"/>
      <c r="G40070" s="9"/>
      <c r="J40070" s="11"/>
      <c r="U40070" s="9"/>
      <c r="X40070" s="9"/>
    </row>
    <row r="40071">
      <c r="D40071" s="9"/>
      <c r="G40071" s="9"/>
      <c r="J40071" s="11"/>
      <c r="U40071" s="9"/>
      <c r="X40071" s="9"/>
    </row>
    <row r="40072">
      <c r="D40072" s="9"/>
      <c r="G40072" s="9"/>
      <c r="J40072" s="11"/>
      <c r="U40072" s="9"/>
      <c r="X40072" s="9"/>
    </row>
    <row r="40073">
      <c r="D40073" s="9"/>
      <c r="G40073" s="9"/>
      <c r="J40073" s="11"/>
      <c r="U40073" s="9"/>
      <c r="X40073" s="9"/>
    </row>
    <row r="40074">
      <c r="D40074" s="9"/>
      <c r="G40074" s="9"/>
      <c r="J40074" s="11"/>
      <c r="U40074" s="9"/>
      <c r="X40074" s="9"/>
    </row>
    <row r="40075">
      <c r="D40075" s="9"/>
      <c r="G40075" s="9"/>
      <c r="J40075" s="11"/>
      <c r="U40075" s="9"/>
      <c r="X40075" s="9"/>
    </row>
    <row r="40076">
      <c r="D40076" s="9"/>
      <c r="G40076" s="9"/>
      <c r="J40076" s="11"/>
      <c r="U40076" s="9"/>
      <c r="X40076" s="9"/>
    </row>
    <row r="40077">
      <c r="D40077" s="9"/>
      <c r="G40077" s="9"/>
      <c r="J40077" s="11"/>
      <c r="U40077" s="9"/>
      <c r="X40077" s="9"/>
    </row>
    <row r="40078">
      <c r="D40078" s="9"/>
      <c r="G40078" s="9"/>
      <c r="J40078" s="11"/>
      <c r="U40078" s="9"/>
      <c r="X40078" s="9"/>
    </row>
    <row r="40079">
      <c r="D40079" s="9"/>
      <c r="G40079" s="9"/>
      <c r="J40079" s="11"/>
      <c r="U40079" s="9"/>
      <c r="X40079" s="9"/>
    </row>
    <row r="40080">
      <c r="D40080" s="9"/>
      <c r="G40080" s="9"/>
      <c r="J40080" s="11"/>
      <c r="U40080" s="9"/>
      <c r="X40080" s="9"/>
    </row>
    <row r="40081">
      <c r="D40081" s="9"/>
      <c r="G40081" s="9"/>
      <c r="J40081" s="11"/>
      <c r="U40081" s="9"/>
      <c r="X40081" s="9"/>
    </row>
    <row r="40082">
      <c r="D40082" s="9"/>
      <c r="G40082" s="9"/>
      <c r="J40082" s="11"/>
      <c r="U40082" s="9"/>
      <c r="X40082" s="9"/>
    </row>
    <row r="40083">
      <c r="D40083" s="9"/>
      <c r="G40083" s="9"/>
      <c r="J40083" s="11"/>
      <c r="U40083" s="9"/>
      <c r="X40083" s="9"/>
    </row>
    <row r="40084">
      <c r="D40084" s="9"/>
      <c r="G40084" s="9"/>
      <c r="J40084" s="11"/>
      <c r="U40084" s="9"/>
      <c r="X40084" s="9"/>
    </row>
    <row r="40085">
      <c r="D40085" s="9"/>
      <c r="G40085" s="9"/>
      <c r="J40085" s="11"/>
      <c r="U40085" s="9"/>
      <c r="X40085" s="9"/>
    </row>
    <row r="40086">
      <c r="D40086" s="9"/>
      <c r="G40086" s="9"/>
      <c r="J40086" s="11"/>
      <c r="U40086" s="9"/>
      <c r="X40086" s="9"/>
    </row>
    <row r="40087">
      <c r="D40087" s="9"/>
      <c r="G40087" s="9"/>
      <c r="J40087" s="11"/>
      <c r="U40087" s="9"/>
      <c r="X40087" s="9"/>
    </row>
    <row r="40088">
      <c r="D40088" s="9"/>
      <c r="G40088" s="9"/>
      <c r="J40088" s="11"/>
      <c r="U40088" s="9"/>
      <c r="X40088" s="9"/>
    </row>
    <row r="40089">
      <c r="D40089" s="9"/>
      <c r="G40089" s="9"/>
      <c r="J40089" s="11"/>
      <c r="U40089" s="9"/>
      <c r="X40089" s="9"/>
    </row>
    <row r="40090">
      <c r="D40090" s="9"/>
      <c r="G40090" s="9"/>
      <c r="J40090" s="11"/>
      <c r="U40090" s="9"/>
      <c r="X40090" s="9"/>
    </row>
    <row r="40091">
      <c r="D40091" s="9"/>
      <c r="G40091" s="9"/>
      <c r="J40091" s="11"/>
      <c r="U40091" s="9"/>
      <c r="X40091" s="9"/>
    </row>
    <row r="40092">
      <c r="D40092" s="9"/>
      <c r="G40092" s="9"/>
      <c r="J40092" s="11"/>
      <c r="U40092" s="9"/>
      <c r="X40092" s="9"/>
    </row>
    <row r="40093">
      <c r="D40093" s="9"/>
      <c r="G40093" s="9"/>
      <c r="J40093" s="11"/>
      <c r="U40093" s="9"/>
      <c r="X40093" s="9"/>
    </row>
    <row r="40094">
      <c r="D40094" s="9"/>
      <c r="G40094" s="9"/>
      <c r="J40094" s="11"/>
      <c r="U40094" s="9"/>
      <c r="X40094" s="9"/>
    </row>
    <row r="40095">
      <c r="D40095" s="9"/>
      <c r="G40095" s="9"/>
      <c r="J40095" s="11"/>
      <c r="U40095" s="9"/>
      <c r="X40095" s="9"/>
    </row>
    <row r="40096">
      <c r="D40096" s="9"/>
      <c r="G40096" s="9"/>
      <c r="J40096" s="11"/>
      <c r="U40096" s="9"/>
      <c r="X40096" s="9"/>
    </row>
    <row r="40097">
      <c r="D40097" s="9"/>
      <c r="G40097" s="9"/>
      <c r="J40097" s="11"/>
      <c r="U40097" s="9"/>
      <c r="X40097" s="9"/>
    </row>
    <row r="40098">
      <c r="D40098" s="9"/>
      <c r="G40098" s="9"/>
      <c r="J40098" s="11"/>
      <c r="U40098" s="9"/>
      <c r="X40098" s="9"/>
    </row>
    <row r="40099">
      <c r="D40099" s="9"/>
      <c r="G40099" s="9"/>
      <c r="J40099" s="11"/>
      <c r="U40099" s="9"/>
      <c r="X40099" s="9"/>
    </row>
    <row r="40100">
      <c r="D40100" s="9"/>
      <c r="G40100" s="9"/>
      <c r="J40100" s="11"/>
      <c r="U40100" s="9"/>
      <c r="X40100" s="9"/>
    </row>
    <row r="40101">
      <c r="D40101" s="9"/>
      <c r="G40101" s="9"/>
      <c r="J40101" s="11"/>
      <c r="U40101" s="9"/>
      <c r="X40101" s="9"/>
    </row>
    <row r="40102">
      <c r="D40102" s="9"/>
      <c r="G40102" s="9"/>
      <c r="J40102" s="11"/>
      <c r="U40102" s="9"/>
      <c r="X40102" s="9"/>
    </row>
    <row r="40103">
      <c r="D40103" s="9"/>
      <c r="G40103" s="9"/>
      <c r="J40103" s="11"/>
      <c r="U40103" s="9"/>
      <c r="X40103" s="9"/>
    </row>
    <row r="40104">
      <c r="D40104" s="9"/>
      <c r="G40104" s="9"/>
      <c r="J40104" s="11"/>
      <c r="U40104" s="9"/>
      <c r="X40104" s="9"/>
    </row>
    <row r="40105">
      <c r="D40105" s="9"/>
      <c r="G40105" s="9"/>
      <c r="J40105" s="11"/>
      <c r="U40105" s="9"/>
      <c r="X40105" s="9"/>
    </row>
    <row r="40106">
      <c r="D40106" s="9"/>
      <c r="G40106" s="9"/>
      <c r="J40106" s="11"/>
      <c r="U40106" s="9"/>
      <c r="X40106" s="9"/>
    </row>
    <row r="40107">
      <c r="D40107" s="9"/>
      <c r="G40107" s="9"/>
      <c r="J40107" s="11"/>
      <c r="U40107" s="9"/>
      <c r="X40107" s="9"/>
    </row>
    <row r="40108">
      <c r="D40108" s="9"/>
      <c r="G40108" s="9"/>
      <c r="J40108" s="11"/>
      <c r="U40108" s="9"/>
      <c r="X40108" s="9"/>
    </row>
    <row r="40109">
      <c r="D40109" s="9"/>
      <c r="G40109" s="9"/>
      <c r="J40109" s="11"/>
      <c r="U40109" s="9"/>
      <c r="X40109" s="9"/>
    </row>
    <row r="40110">
      <c r="D40110" s="9"/>
      <c r="G40110" s="9"/>
      <c r="J40110" s="11"/>
      <c r="U40110" s="9"/>
      <c r="X40110" s="9"/>
    </row>
    <row r="40111">
      <c r="D40111" s="9"/>
      <c r="G40111" s="9"/>
      <c r="J40111" s="11"/>
      <c r="U40111" s="9"/>
      <c r="X40111" s="9"/>
    </row>
    <row r="40112">
      <c r="D40112" s="9"/>
      <c r="G40112" s="9"/>
      <c r="J40112" s="11"/>
      <c r="U40112" s="9"/>
      <c r="X40112" s="9"/>
    </row>
    <row r="40113">
      <c r="D40113" s="9"/>
      <c r="G40113" s="9"/>
      <c r="J40113" s="11"/>
      <c r="U40113" s="9"/>
      <c r="X40113" s="9"/>
    </row>
    <row r="40114">
      <c r="D40114" s="9"/>
      <c r="G40114" s="9"/>
      <c r="J40114" s="11"/>
      <c r="U40114" s="9"/>
      <c r="X40114" s="9"/>
    </row>
    <row r="40115">
      <c r="D40115" s="9"/>
      <c r="G40115" s="9"/>
      <c r="J40115" s="11"/>
      <c r="U40115" s="9"/>
      <c r="X40115" s="9"/>
    </row>
    <row r="40116">
      <c r="D40116" s="9"/>
      <c r="G40116" s="9"/>
      <c r="J40116" s="11"/>
      <c r="U40116" s="9"/>
      <c r="X40116" s="9"/>
    </row>
    <row r="40117">
      <c r="D40117" s="9"/>
      <c r="G40117" s="9"/>
      <c r="J40117" s="11"/>
      <c r="U40117" s="9"/>
      <c r="X40117" s="9"/>
    </row>
    <row r="40118">
      <c r="D40118" s="9"/>
      <c r="G40118" s="9"/>
      <c r="J40118" s="11"/>
      <c r="U40118" s="9"/>
      <c r="X40118" s="9"/>
    </row>
    <row r="40119">
      <c r="D40119" s="9"/>
      <c r="G40119" s="9"/>
      <c r="J40119" s="11"/>
      <c r="U40119" s="9"/>
      <c r="X40119" s="9"/>
    </row>
    <row r="40120">
      <c r="D40120" s="9"/>
      <c r="G40120" s="9"/>
      <c r="J40120" s="11"/>
      <c r="U40120" s="9"/>
      <c r="X40120" s="9"/>
    </row>
    <row r="40121">
      <c r="D40121" s="9"/>
      <c r="G40121" s="9"/>
      <c r="J40121" s="11"/>
      <c r="U40121" s="9"/>
      <c r="X40121" s="9"/>
    </row>
    <row r="40122">
      <c r="D40122" s="9"/>
      <c r="G40122" s="9"/>
      <c r="J40122" s="11"/>
      <c r="U40122" s="9"/>
      <c r="X40122" s="9"/>
    </row>
    <row r="40123">
      <c r="D40123" s="9"/>
      <c r="G40123" s="9"/>
      <c r="J40123" s="11"/>
      <c r="U40123" s="9"/>
      <c r="X40123" s="9"/>
    </row>
    <row r="40124">
      <c r="D40124" s="9"/>
      <c r="G40124" s="9"/>
      <c r="J40124" s="11"/>
      <c r="U40124" s="9"/>
      <c r="X40124" s="9"/>
    </row>
    <row r="40125">
      <c r="D40125" s="9"/>
      <c r="G40125" s="9"/>
      <c r="J40125" s="11"/>
      <c r="U40125" s="9"/>
      <c r="X40125" s="9"/>
    </row>
    <row r="40126">
      <c r="D40126" s="9"/>
      <c r="G40126" s="9"/>
      <c r="J40126" s="11"/>
      <c r="U40126" s="9"/>
      <c r="X40126" s="9"/>
    </row>
    <row r="40127">
      <c r="D40127" s="9"/>
      <c r="G40127" s="9"/>
      <c r="J40127" s="11"/>
      <c r="U40127" s="9"/>
      <c r="X40127" s="9"/>
    </row>
    <row r="40128">
      <c r="D40128" s="9"/>
      <c r="G40128" s="9"/>
      <c r="J40128" s="11"/>
      <c r="U40128" s="9"/>
      <c r="X40128" s="9"/>
    </row>
    <row r="40129">
      <c r="D40129" s="9"/>
      <c r="G40129" s="9"/>
      <c r="J40129" s="11"/>
      <c r="U40129" s="9"/>
      <c r="X40129" s="9"/>
    </row>
    <row r="40130">
      <c r="D40130" s="9"/>
      <c r="G40130" s="9"/>
      <c r="J40130" s="11"/>
      <c r="U40130" s="9"/>
      <c r="X40130" s="9"/>
    </row>
    <row r="40131">
      <c r="D40131" s="9"/>
      <c r="G40131" s="9"/>
      <c r="J40131" s="11"/>
      <c r="U40131" s="9"/>
      <c r="X40131" s="9"/>
    </row>
    <row r="40132">
      <c r="D40132" s="9"/>
      <c r="G40132" s="9"/>
      <c r="J40132" s="11"/>
      <c r="U40132" s="9"/>
      <c r="X40132" s="9"/>
    </row>
    <row r="40133">
      <c r="D40133" s="9"/>
      <c r="G40133" s="9"/>
      <c r="J40133" s="11"/>
      <c r="U40133" s="9"/>
      <c r="X40133" s="9"/>
    </row>
    <row r="40134">
      <c r="D40134" s="9"/>
      <c r="G40134" s="9"/>
      <c r="J40134" s="11"/>
      <c r="U40134" s="9"/>
      <c r="X40134" s="9"/>
    </row>
    <row r="40135">
      <c r="D40135" s="9"/>
      <c r="G40135" s="9"/>
      <c r="J40135" s="11"/>
      <c r="U40135" s="9"/>
      <c r="X40135" s="9"/>
    </row>
    <row r="40136">
      <c r="D40136" s="9"/>
      <c r="G40136" s="9"/>
      <c r="J40136" s="11"/>
      <c r="U40136" s="9"/>
      <c r="X40136" s="9"/>
    </row>
    <row r="40137">
      <c r="D40137" s="9"/>
      <c r="G40137" s="9"/>
      <c r="J40137" s="11"/>
      <c r="U40137" s="9"/>
      <c r="X40137" s="9"/>
    </row>
    <row r="40138">
      <c r="D40138" s="9"/>
      <c r="G40138" s="9"/>
      <c r="J40138" s="11"/>
      <c r="U40138" s="9"/>
      <c r="X40138" s="9"/>
    </row>
    <row r="40139">
      <c r="D40139" s="9"/>
      <c r="G40139" s="9"/>
      <c r="J40139" s="11"/>
      <c r="U40139" s="9"/>
      <c r="X40139" s="9"/>
    </row>
    <row r="40140">
      <c r="D40140" s="9"/>
      <c r="G40140" s="9"/>
      <c r="J40140" s="11"/>
      <c r="U40140" s="9"/>
      <c r="X40140" s="9"/>
    </row>
    <row r="40141">
      <c r="D40141" s="9"/>
      <c r="G40141" s="9"/>
      <c r="J40141" s="11"/>
      <c r="U40141" s="9"/>
      <c r="X40141" s="9"/>
    </row>
    <row r="40142">
      <c r="D40142" s="9"/>
      <c r="G40142" s="9"/>
      <c r="J40142" s="11"/>
      <c r="U40142" s="9"/>
      <c r="X40142" s="9"/>
    </row>
    <row r="40143">
      <c r="D40143" s="9"/>
      <c r="G40143" s="9"/>
      <c r="J40143" s="11"/>
      <c r="U40143" s="9"/>
      <c r="X40143" s="9"/>
    </row>
    <row r="40144">
      <c r="D40144" s="9"/>
      <c r="G40144" s="9"/>
      <c r="J40144" s="11"/>
      <c r="U40144" s="9"/>
      <c r="X40144" s="9"/>
    </row>
    <row r="40145">
      <c r="D40145" s="9"/>
      <c r="G40145" s="9"/>
      <c r="J40145" s="11"/>
      <c r="U40145" s="9"/>
      <c r="X40145" s="9"/>
    </row>
    <row r="40146">
      <c r="D40146" s="9"/>
      <c r="G40146" s="9"/>
      <c r="J40146" s="11"/>
      <c r="U40146" s="9"/>
      <c r="X40146" s="9"/>
    </row>
    <row r="40147">
      <c r="D40147" s="9"/>
      <c r="G40147" s="9"/>
      <c r="J40147" s="11"/>
      <c r="U40147" s="9"/>
      <c r="X40147" s="9"/>
    </row>
    <row r="40148">
      <c r="D40148" s="9"/>
      <c r="G40148" s="9"/>
      <c r="J40148" s="11"/>
      <c r="U40148" s="9"/>
      <c r="X40148" s="9"/>
    </row>
    <row r="40149">
      <c r="D40149" s="9"/>
      <c r="G40149" s="9"/>
      <c r="J40149" s="11"/>
      <c r="U40149" s="9"/>
      <c r="X40149" s="9"/>
    </row>
    <row r="40150">
      <c r="D40150" s="9"/>
      <c r="G40150" s="9"/>
      <c r="J40150" s="11"/>
      <c r="U40150" s="9"/>
      <c r="X40150" s="9"/>
    </row>
    <row r="40151">
      <c r="D40151" s="9"/>
      <c r="G40151" s="9"/>
      <c r="J40151" s="11"/>
      <c r="U40151" s="9"/>
      <c r="X40151" s="9"/>
    </row>
    <row r="40152">
      <c r="D40152" s="9"/>
      <c r="G40152" s="9"/>
      <c r="J40152" s="11"/>
      <c r="U40152" s="9"/>
      <c r="X40152" s="9"/>
    </row>
    <row r="40153">
      <c r="D40153" s="9"/>
      <c r="G40153" s="9"/>
      <c r="J40153" s="11"/>
      <c r="U40153" s="9"/>
      <c r="X40153" s="9"/>
    </row>
    <row r="40154">
      <c r="D40154" s="9"/>
      <c r="G40154" s="9"/>
      <c r="J40154" s="11"/>
      <c r="U40154" s="9"/>
      <c r="X40154" s="9"/>
    </row>
    <row r="40155">
      <c r="D40155" s="9"/>
      <c r="G40155" s="9"/>
      <c r="J40155" s="11"/>
      <c r="U40155" s="9"/>
      <c r="X40155" s="9"/>
    </row>
    <row r="40156">
      <c r="D40156" s="9"/>
      <c r="G40156" s="9"/>
      <c r="J40156" s="11"/>
      <c r="U40156" s="9"/>
      <c r="X40156" s="9"/>
    </row>
    <row r="40157">
      <c r="D40157" s="9"/>
      <c r="G40157" s="9"/>
      <c r="J40157" s="11"/>
      <c r="U40157" s="9"/>
      <c r="X40157" s="9"/>
    </row>
    <row r="40158">
      <c r="D40158" s="9"/>
      <c r="G40158" s="9"/>
      <c r="J40158" s="11"/>
      <c r="U40158" s="9"/>
      <c r="X40158" s="9"/>
    </row>
    <row r="40159">
      <c r="D40159" s="9"/>
      <c r="G40159" s="9"/>
      <c r="J40159" s="11"/>
      <c r="U40159" s="9"/>
      <c r="X40159" s="9"/>
    </row>
    <row r="40160">
      <c r="D40160" s="9"/>
      <c r="G40160" s="9"/>
      <c r="J40160" s="11"/>
      <c r="U40160" s="9"/>
      <c r="X40160" s="9"/>
    </row>
    <row r="40161">
      <c r="D40161" s="9"/>
      <c r="G40161" s="9"/>
      <c r="J40161" s="11"/>
      <c r="U40161" s="9"/>
      <c r="X40161" s="9"/>
    </row>
    <row r="40162">
      <c r="D40162" s="9"/>
      <c r="G40162" s="9"/>
      <c r="J40162" s="11"/>
      <c r="U40162" s="9"/>
      <c r="X40162" s="9"/>
    </row>
    <row r="40163">
      <c r="D40163" s="9"/>
      <c r="G40163" s="9"/>
      <c r="J40163" s="11"/>
      <c r="U40163" s="9"/>
      <c r="X40163" s="9"/>
    </row>
    <row r="40164">
      <c r="D40164" s="9"/>
      <c r="G40164" s="9"/>
      <c r="J40164" s="11"/>
      <c r="U40164" s="9"/>
      <c r="X40164" s="9"/>
    </row>
    <row r="40165">
      <c r="D40165" s="9"/>
      <c r="G40165" s="9"/>
      <c r="J40165" s="11"/>
      <c r="U40165" s="9"/>
      <c r="X40165" s="9"/>
    </row>
    <row r="40166">
      <c r="D40166" s="9"/>
      <c r="G40166" s="9"/>
      <c r="J40166" s="11"/>
      <c r="U40166" s="9"/>
      <c r="X40166" s="9"/>
    </row>
    <row r="40167">
      <c r="D40167" s="9"/>
      <c r="G40167" s="9"/>
      <c r="J40167" s="11"/>
      <c r="U40167" s="9"/>
      <c r="X40167" s="9"/>
    </row>
    <row r="40168">
      <c r="D40168" s="9"/>
      <c r="G40168" s="9"/>
      <c r="J40168" s="11"/>
      <c r="U40168" s="9"/>
      <c r="X40168" s="9"/>
    </row>
    <row r="40169">
      <c r="D40169" s="9"/>
      <c r="G40169" s="9"/>
      <c r="J40169" s="11"/>
      <c r="U40169" s="9"/>
      <c r="X40169" s="9"/>
    </row>
    <row r="40170">
      <c r="D40170" s="9"/>
      <c r="G40170" s="9"/>
      <c r="J40170" s="11"/>
      <c r="U40170" s="9"/>
      <c r="X40170" s="9"/>
    </row>
    <row r="40171">
      <c r="D40171" s="9"/>
      <c r="G40171" s="9"/>
      <c r="J40171" s="11"/>
      <c r="U40171" s="9"/>
      <c r="X40171" s="9"/>
    </row>
    <row r="40172">
      <c r="D40172" s="9"/>
      <c r="G40172" s="9"/>
      <c r="J40172" s="11"/>
      <c r="U40172" s="9"/>
      <c r="X40172" s="9"/>
    </row>
    <row r="40173">
      <c r="D40173" s="9"/>
      <c r="G40173" s="9"/>
      <c r="J40173" s="11"/>
      <c r="U40173" s="9"/>
      <c r="X40173" s="9"/>
    </row>
    <row r="40174">
      <c r="D40174" s="9"/>
      <c r="G40174" s="9"/>
      <c r="J40174" s="11"/>
      <c r="U40174" s="9"/>
      <c r="X40174" s="9"/>
    </row>
    <row r="40175">
      <c r="D40175" s="9"/>
      <c r="G40175" s="9"/>
      <c r="J40175" s="11"/>
      <c r="U40175" s="9"/>
      <c r="X40175" s="9"/>
    </row>
    <row r="40176">
      <c r="D40176" s="9"/>
      <c r="G40176" s="9"/>
      <c r="J40176" s="11"/>
      <c r="U40176" s="9"/>
      <c r="X40176" s="9"/>
    </row>
    <row r="40177">
      <c r="D40177" s="9"/>
      <c r="G40177" s="9"/>
      <c r="J40177" s="11"/>
      <c r="U40177" s="9"/>
      <c r="X40177" s="9"/>
    </row>
    <row r="40178">
      <c r="D40178" s="9"/>
      <c r="G40178" s="9"/>
      <c r="J40178" s="11"/>
      <c r="U40178" s="9"/>
      <c r="X40178" s="9"/>
    </row>
    <row r="40179">
      <c r="D40179" s="9"/>
      <c r="G40179" s="9"/>
      <c r="J40179" s="11"/>
      <c r="U40179" s="9"/>
      <c r="X40179" s="9"/>
    </row>
    <row r="40180">
      <c r="D40180" s="9"/>
      <c r="G40180" s="9"/>
      <c r="J40180" s="11"/>
      <c r="U40180" s="9"/>
      <c r="X40180" s="9"/>
    </row>
    <row r="40181">
      <c r="D40181" s="9"/>
      <c r="G40181" s="9"/>
      <c r="J40181" s="11"/>
      <c r="U40181" s="9"/>
      <c r="X40181" s="9"/>
    </row>
    <row r="40182">
      <c r="D40182" s="9"/>
      <c r="G40182" s="9"/>
      <c r="J40182" s="11"/>
      <c r="U40182" s="9"/>
      <c r="X40182" s="9"/>
    </row>
    <row r="40183">
      <c r="D40183" s="9"/>
      <c r="G40183" s="9"/>
      <c r="J40183" s="11"/>
      <c r="U40183" s="9"/>
      <c r="X40183" s="9"/>
    </row>
    <row r="40184">
      <c r="D40184" s="9"/>
      <c r="G40184" s="9"/>
      <c r="J40184" s="11"/>
      <c r="U40184" s="9"/>
      <c r="X40184" s="9"/>
    </row>
    <row r="40185">
      <c r="D40185" s="9"/>
      <c r="G40185" s="9"/>
      <c r="J40185" s="11"/>
      <c r="U40185" s="9"/>
      <c r="X40185" s="9"/>
    </row>
    <row r="40186">
      <c r="D40186" s="9"/>
      <c r="G40186" s="9"/>
      <c r="J40186" s="11"/>
      <c r="U40186" s="9"/>
      <c r="X40186" s="9"/>
    </row>
    <row r="40187">
      <c r="D40187" s="9"/>
      <c r="G40187" s="9"/>
      <c r="J40187" s="11"/>
      <c r="U40187" s="9"/>
      <c r="X40187" s="9"/>
    </row>
    <row r="40188">
      <c r="D40188" s="9"/>
      <c r="G40188" s="9"/>
      <c r="J40188" s="11"/>
      <c r="U40188" s="9"/>
      <c r="X40188" s="9"/>
    </row>
    <row r="40189">
      <c r="D40189" s="9"/>
      <c r="G40189" s="9"/>
      <c r="J40189" s="11"/>
      <c r="U40189" s="9"/>
      <c r="X40189" s="9"/>
    </row>
    <row r="40190">
      <c r="D40190" s="9"/>
      <c r="G40190" s="9"/>
      <c r="J40190" s="11"/>
      <c r="U40190" s="9"/>
      <c r="X40190" s="9"/>
    </row>
    <row r="40191">
      <c r="D40191" s="9"/>
      <c r="G40191" s="9"/>
      <c r="J40191" s="11"/>
      <c r="U40191" s="9"/>
      <c r="X40191" s="9"/>
    </row>
    <row r="40192">
      <c r="D40192" s="9"/>
      <c r="G40192" s="9"/>
      <c r="J40192" s="11"/>
      <c r="U40192" s="9"/>
      <c r="X40192" s="9"/>
    </row>
    <row r="40193">
      <c r="D40193" s="9"/>
      <c r="G40193" s="9"/>
      <c r="J40193" s="11"/>
      <c r="U40193" s="9"/>
      <c r="X40193" s="9"/>
    </row>
    <row r="40194">
      <c r="D40194" s="9"/>
      <c r="G40194" s="9"/>
      <c r="J40194" s="11"/>
      <c r="U40194" s="9"/>
      <c r="X40194" s="9"/>
    </row>
    <row r="40195">
      <c r="D40195" s="9"/>
      <c r="G40195" s="9"/>
      <c r="J40195" s="11"/>
      <c r="U40195" s="9"/>
      <c r="X40195" s="9"/>
    </row>
    <row r="40196">
      <c r="D40196" s="9"/>
      <c r="G40196" s="9"/>
      <c r="J40196" s="11"/>
      <c r="U40196" s="9"/>
      <c r="X40196" s="9"/>
    </row>
    <row r="40197">
      <c r="D40197" s="9"/>
      <c r="G40197" s="9"/>
      <c r="J40197" s="11"/>
      <c r="U40197" s="9"/>
      <c r="X40197" s="9"/>
    </row>
    <row r="40198">
      <c r="D40198" s="9"/>
      <c r="G40198" s="9"/>
      <c r="J40198" s="11"/>
      <c r="U40198" s="9"/>
      <c r="X40198" s="9"/>
    </row>
    <row r="40199">
      <c r="D40199" s="9"/>
      <c r="G40199" s="9"/>
      <c r="J40199" s="11"/>
      <c r="U40199" s="9"/>
      <c r="X40199" s="9"/>
    </row>
    <row r="40200">
      <c r="D40200" s="9"/>
      <c r="G40200" s="9"/>
      <c r="J40200" s="11"/>
      <c r="U40200" s="9"/>
      <c r="X40200" s="9"/>
    </row>
    <row r="40201">
      <c r="D40201" s="9"/>
      <c r="G40201" s="9"/>
      <c r="J40201" s="11"/>
      <c r="U40201" s="9"/>
      <c r="X40201" s="9"/>
    </row>
    <row r="40202">
      <c r="D40202" s="9"/>
      <c r="G40202" s="9"/>
      <c r="J40202" s="11"/>
      <c r="U40202" s="9"/>
      <c r="X40202" s="9"/>
    </row>
    <row r="40203">
      <c r="D40203" s="9"/>
      <c r="G40203" s="9"/>
      <c r="J40203" s="11"/>
      <c r="U40203" s="9"/>
      <c r="X40203" s="9"/>
    </row>
    <row r="40204">
      <c r="D40204" s="9"/>
      <c r="G40204" s="9"/>
      <c r="J40204" s="11"/>
      <c r="U40204" s="9"/>
      <c r="X40204" s="9"/>
    </row>
    <row r="40205">
      <c r="D40205" s="9"/>
      <c r="G40205" s="9"/>
      <c r="J40205" s="11"/>
      <c r="U40205" s="9"/>
      <c r="X40205" s="9"/>
    </row>
    <row r="40206">
      <c r="D40206" s="9"/>
      <c r="G40206" s="9"/>
      <c r="J40206" s="11"/>
      <c r="U40206" s="9"/>
      <c r="X40206" s="9"/>
    </row>
    <row r="40207">
      <c r="D40207" s="9"/>
      <c r="G40207" s="9"/>
      <c r="J40207" s="11"/>
      <c r="U40207" s="9"/>
      <c r="X40207" s="9"/>
    </row>
    <row r="40208">
      <c r="D40208" s="9"/>
      <c r="G40208" s="9"/>
      <c r="J40208" s="11"/>
      <c r="U40208" s="9"/>
      <c r="X40208" s="9"/>
    </row>
    <row r="40209">
      <c r="D40209" s="9"/>
      <c r="G40209" s="9"/>
      <c r="J40209" s="11"/>
      <c r="U40209" s="9"/>
      <c r="X40209" s="9"/>
    </row>
    <row r="40210">
      <c r="D40210" s="9"/>
      <c r="G40210" s="9"/>
      <c r="J40210" s="11"/>
      <c r="U40210" s="9"/>
      <c r="X40210" s="9"/>
    </row>
    <row r="40211">
      <c r="D40211" s="9"/>
      <c r="G40211" s="9"/>
      <c r="J40211" s="11"/>
      <c r="U40211" s="9"/>
      <c r="X40211" s="9"/>
    </row>
    <row r="40212">
      <c r="D40212" s="9"/>
      <c r="G40212" s="9"/>
      <c r="J40212" s="11"/>
      <c r="U40212" s="9"/>
      <c r="X40212" s="9"/>
    </row>
    <row r="40213">
      <c r="D40213" s="9"/>
      <c r="G40213" s="9"/>
      <c r="J40213" s="11"/>
      <c r="U40213" s="9"/>
      <c r="X40213" s="9"/>
    </row>
    <row r="40214">
      <c r="D40214" s="9"/>
      <c r="G40214" s="9"/>
      <c r="J40214" s="11"/>
      <c r="U40214" s="9"/>
      <c r="X40214" s="9"/>
    </row>
    <row r="40215">
      <c r="D40215" s="9"/>
      <c r="G40215" s="9"/>
      <c r="J40215" s="11"/>
      <c r="U40215" s="9"/>
      <c r="X40215" s="9"/>
    </row>
    <row r="40216">
      <c r="D40216" s="9"/>
      <c r="G40216" s="9"/>
      <c r="J40216" s="11"/>
      <c r="U40216" s="9"/>
      <c r="X40216" s="9"/>
    </row>
    <row r="40217">
      <c r="D40217" s="9"/>
      <c r="G40217" s="9"/>
      <c r="J40217" s="11"/>
      <c r="U40217" s="9"/>
      <c r="X40217" s="9"/>
    </row>
    <row r="40218">
      <c r="D40218" s="9"/>
      <c r="G40218" s="9"/>
      <c r="J40218" s="11"/>
      <c r="U40218" s="9"/>
      <c r="X40218" s="9"/>
    </row>
    <row r="40219">
      <c r="D40219" s="9"/>
      <c r="G40219" s="9"/>
      <c r="J40219" s="11"/>
      <c r="U40219" s="9"/>
      <c r="X40219" s="9"/>
    </row>
    <row r="40220">
      <c r="D40220" s="9"/>
      <c r="G40220" s="9"/>
      <c r="J40220" s="11"/>
      <c r="U40220" s="9"/>
      <c r="X40220" s="9"/>
    </row>
    <row r="40221">
      <c r="D40221" s="9"/>
      <c r="G40221" s="9"/>
      <c r="J40221" s="11"/>
      <c r="U40221" s="9"/>
      <c r="X40221" s="9"/>
    </row>
    <row r="40222">
      <c r="D40222" s="9"/>
      <c r="G40222" s="9"/>
      <c r="J40222" s="11"/>
      <c r="U40222" s="9"/>
      <c r="X40222" s="9"/>
    </row>
    <row r="40223">
      <c r="D40223" s="9"/>
      <c r="G40223" s="9"/>
      <c r="J40223" s="11"/>
      <c r="U40223" s="9"/>
      <c r="X40223" s="9"/>
    </row>
    <row r="40224">
      <c r="D40224" s="9"/>
      <c r="G40224" s="9"/>
      <c r="J40224" s="11"/>
      <c r="U40224" s="9"/>
      <c r="X40224" s="9"/>
    </row>
    <row r="40225">
      <c r="D40225" s="9"/>
      <c r="G40225" s="9"/>
      <c r="J40225" s="11"/>
      <c r="U40225" s="9"/>
      <c r="X40225" s="9"/>
    </row>
    <row r="40226">
      <c r="D40226" s="9"/>
      <c r="G40226" s="9"/>
      <c r="J40226" s="11"/>
      <c r="U40226" s="9"/>
      <c r="X40226" s="9"/>
    </row>
    <row r="40227">
      <c r="D40227" s="9"/>
      <c r="G40227" s="9"/>
      <c r="J40227" s="11"/>
      <c r="U40227" s="9"/>
      <c r="X40227" s="9"/>
    </row>
    <row r="40228">
      <c r="D40228" s="9"/>
      <c r="G40228" s="9"/>
      <c r="J40228" s="11"/>
      <c r="U40228" s="9"/>
      <c r="X40228" s="9"/>
    </row>
    <row r="40229">
      <c r="D40229" s="9"/>
      <c r="G40229" s="9"/>
      <c r="J40229" s="11"/>
      <c r="U40229" s="9"/>
      <c r="X40229" s="9"/>
    </row>
    <row r="40230">
      <c r="D40230" s="9"/>
      <c r="G40230" s="9"/>
      <c r="J40230" s="11"/>
      <c r="U40230" s="9"/>
      <c r="X40230" s="9"/>
    </row>
    <row r="40231">
      <c r="D40231" s="9"/>
      <c r="G40231" s="9"/>
      <c r="J40231" s="11"/>
      <c r="U40231" s="9"/>
      <c r="X40231" s="9"/>
    </row>
    <row r="40232">
      <c r="D40232" s="9"/>
      <c r="G40232" s="9"/>
      <c r="J40232" s="11"/>
      <c r="U40232" s="9"/>
      <c r="X40232" s="9"/>
    </row>
    <row r="40233">
      <c r="D40233" s="9"/>
      <c r="G40233" s="9"/>
      <c r="J40233" s="11"/>
      <c r="U40233" s="9"/>
      <c r="X40233" s="9"/>
    </row>
    <row r="40234">
      <c r="D40234" s="9"/>
      <c r="G40234" s="9"/>
      <c r="J40234" s="11"/>
      <c r="U40234" s="9"/>
      <c r="X40234" s="9"/>
    </row>
    <row r="40235">
      <c r="D40235" s="9"/>
      <c r="G40235" s="9"/>
      <c r="J40235" s="11"/>
      <c r="U40235" s="9"/>
      <c r="X40235" s="9"/>
    </row>
    <row r="40236">
      <c r="D40236" s="9"/>
      <c r="G40236" s="9"/>
      <c r="J40236" s="11"/>
      <c r="U40236" s="9"/>
      <c r="X40236" s="9"/>
    </row>
    <row r="40237">
      <c r="D40237" s="9"/>
      <c r="G40237" s="9"/>
      <c r="J40237" s="11"/>
      <c r="U40237" s="9"/>
      <c r="X40237" s="9"/>
    </row>
    <row r="40238">
      <c r="D40238" s="9"/>
      <c r="G40238" s="9"/>
      <c r="J40238" s="11"/>
      <c r="U40238" s="9"/>
      <c r="X40238" s="9"/>
    </row>
    <row r="40239">
      <c r="D40239" s="9"/>
      <c r="G40239" s="9"/>
      <c r="J40239" s="11"/>
      <c r="U40239" s="9"/>
      <c r="X40239" s="9"/>
    </row>
    <row r="40240">
      <c r="D40240" s="9"/>
      <c r="G40240" s="9"/>
      <c r="J40240" s="11"/>
      <c r="U40240" s="9"/>
      <c r="X40240" s="9"/>
    </row>
    <row r="40241">
      <c r="D40241" s="9"/>
      <c r="G40241" s="9"/>
      <c r="J40241" s="11"/>
      <c r="U40241" s="9"/>
      <c r="X40241" s="9"/>
    </row>
    <row r="40242">
      <c r="D40242" s="9"/>
      <c r="G40242" s="9"/>
      <c r="J40242" s="11"/>
      <c r="U40242" s="9"/>
      <c r="X40242" s="9"/>
    </row>
    <row r="40243">
      <c r="D40243" s="9"/>
      <c r="G40243" s="9"/>
      <c r="J40243" s="11"/>
      <c r="U40243" s="9"/>
      <c r="X40243" s="9"/>
    </row>
    <row r="40244">
      <c r="D40244" s="9"/>
      <c r="G40244" s="9"/>
      <c r="J40244" s="11"/>
      <c r="U40244" s="9"/>
      <c r="X40244" s="9"/>
    </row>
    <row r="40245">
      <c r="D40245" s="9"/>
      <c r="G40245" s="9"/>
      <c r="J40245" s="11"/>
      <c r="U40245" s="9"/>
      <c r="X40245" s="9"/>
    </row>
    <row r="40246">
      <c r="D40246" s="9"/>
      <c r="G40246" s="9"/>
      <c r="J40246" s="11"/>
      <c r="U40246" s="9"/>
      <c r="X40246" s="9"/>
    </row>
    <row r="40247">
      <c r="D40247" s="9"/>
      <c r="G40247" s="9"/>
      <c r="J40247" s="11"/>
      <c r="U40247" s="9"/>
      <c r="X40247" s="9"/>
    </row>
    <row r="40248">
      <c r="D40248" s="9"/>
      <c r="G40248" s="9"/>
      <c r="J40248" s="11"/>
      <c r="U40248" s="9"/>
      <c r="X40248" s="9"/>
    </row>
    <row r="40249">
      <c r="D40249" s="9"/>
      <c r="G40249" s="9"/>
      <c r="J40249" s="11"/>
      <c r="U40249" s="9"/>
      <c r="X40249" s="9"/>
    </row>
    <row r="40250">
      <c r="D40250" s="9"/>
      <c r="G40250" s="9"/>
      <c r="J40250" s="11"/>
      <c r="U40250" s="9"/>
      <c r="X40250" s="9"/>
    </row>
    <row r="40251">
      <c r="D40251" s="9"/>
      <c r="G40251" s="9"/>
      <c r="J40251" s="11"/>
      <c r="U40251" s="9"/>
      <c r="X40251" s="9"/>
    </row>
    <row r="40252">
      <c r="D40252" s="9"/>
      <c r="G40252" s="9"/>
      <c r="J40252" s="11"/>
      <c r="U40252" s="9"/>
      <c r="X40252" s="9"/>
    </row>
    <row r="40253">
      <c r="D40253" s="9"/>
      <c r="G40253" s="9"/>
      <c r="J40253" s="11"/>
      <c r="U40253" s="9"/>
      <c r="X40253" s="9"/>
    </row>
    <row r="40254">
      <c r="D40254" s="9"/>
      <c r="G40254" s="9"/>
      <c r="J40254" s="11"/>
      <c r="U40254" s="9"/>
      <c r="X40254" s="9"/>
    </row>
    <row r="40255">
      <c r="D40255" s="9"/>
      <c r="G40255" s="9"/>
      <c r="J40255" s="11"/>
      <c r="U40255" s="9"/>
      <c r="X40255" s="9"/>
    </row>
    <row r="40256">
      <c r="D40256" s="9"/>
      <c r="G40256" s="9"/>
      <c r="J40256" s="11"/>
      <c r="U40256" s="9"/>
      <c r="X40256" s="9"/>
    </row>
    <row r="40257">
      <c r="D40257" s="9"/>
      <c r="G40257" s="9"/>
      <c r="J40257" s="11"/>
      <c r="U40257" s="9"/>
      <c r="X40257" s="9"/>
    </row>
    <row r="40258">
      <c r="D40258" s="9"/>
      <c r="G40258" s="9"/>
      <c r="J40258" s="11"/>
      <c r="U40258" s="9"/>
      <c r="X40258" s="9"/>
    </row>
    <row r="40259">
      <c r="D40259" s="9"/>
      <c r="G40259" s="9"/>
      <c r="J40259" s="11"/>
      <c r="U40259" s="9"/>
      <c r="X40259" s="9"/>
    </row>
    <row r="40260">
      <c r="D40260" s="9"/>
      <c r="G40260" s="9"/>
      <c r="J40260" s="11"/>
      <c r="U40260" s="9"/>
      <c r="X40260" s="9"/>
    </row>
    <row r="40261">
      <c r="D40261" s="9"/>
      <c r="G40261" s="9"/>
      <c r="J40261" s="11"/>
      <c r="U40261" s="9"/>
      <c r="X40261" s="9"/>
    </row>
    <row r="40262">
      <c r="D40262" s="9"/>
      <c r="G40262" s="9"/>
      <c r="J40262" s="11"/>
      <c r="U40262" s="9"/>
      <c r="X40262" s="9"/>
    </row>
    <row r="40263">
      <c r="D40263" s="9"/>
      <c r="G40263" s="9"/>
      <c r="J40263" s="11"/>
      <c r="U40263" s="9"/>
      <c r="X40263" s="9"/>
    </row>
    <row r="40264">
      <c r="D40264" s="9"/>
      <c r="G40264" s="9"/>
      <c r="J40264" s="11"/>
      <c r="U40264" s="9"/>
      <c r="X40264" s="9"/>
    </row>
    <row r="40265">
      <c r="D40265" s="9"/>
      <c r="G40265" s="9"/>
      <c r="J40265" s="11"/>
      <c r="U40265" s="9"/>
      <c r="X40265" s="9"/>
    </row>
    <row r="40266">
      <c r="D40266" s="9"/>
      <c r="G40266" s="9"/>
      <c r="J40266" s="11"/>
      <c r="U40266" s="9"/>
      <c r="X40266" s="9"/>
    </row>
    <row r="40267">
      <c r="D40267" s="9"/>
      <c r="G40267" s="9"/>
      <c r="J40267" s="11"/>
      <c r="U40267" s="9"/>
      <c r="X40267" s="9"/>
    </row>
    <row r="40268">
      <c r="D40268" s="9"/>
      <c r="G40268" s="9"/>
      <c r="J40268" s="11"/>
      <c r="U40268" s="9"/>
      <c r="X40268" s="9"/>
    </row>
    <row r="40269">
      <c r="D40269" s="9"/>
      <c r="G40269" s="9"/>
      <c r="J40269" s="11"/>
      <c r="U40269" s="9"/>
      <c r="X40269" s="9"/>
    </row>
    <row r="40270">
      <c r="D40270" s="9"/>
      <c r="G40270" s="9"/>
      <c r="J40270" s="11"/>
      <c r="U40270" s="9"/>
      <c r="X40270" s="9"/>
    </row>
    <row r="40271">
      <c r="D40271" s="9"/>
      <c r="G40271" s="9"/>
      <c r="J40271" s="11"/>
      <c r="U40271" s="9"/>
      <c r="X40271" s="9"/>
    </row>
    <row r="40272">
      <c r="D40272" s="9"/>
      <c r="G40272" s="9"/>
      <c r="J40272" s="11"/>
      <c r="U40272" s="9"/>
      <c r="X40272" s="9"/>
    </row>
    <row r="40273">
      <c r="D40273" s="9"/>
      <c r="G40273" s="9"/>
      <c r="J40273" s="11"/>
      <c r="U40273" s="9"/>
      <c r="X40273" s="9"/>
    </row>
    <row r="40274">
      <c r="D40274" s="9"/>
      <c r="G40274" s="9"/>
      <c r="J40274" s="11"/>
      <c r="U40274" s="9"/>
      <c r="X40274" s="9"/>
    </row>
    <row r="40275">
      <c r="D40275" s="9"/>
      <c r="G40275" s="9"/>
      <c r="J40275" s="11"/>
      <c r="U40275" s="9"/>
      <c r="X40275" s="9"/>
    </row>
    <row r="40276">
      <c r="D40276" s="9"/>
      <c r="G40276" s="9"/>
      <c r="J40276" s="11"/>
      <c r="U40276" s="9"/>
      <c r="X40276" s="9"/>
    </row>
    <row r="40277">
      <c r="D40277" s="9"/>
      <c r="G40277" s="9"/>
      <c r="J40277" s="11"/>
      <c r="U40277" s="9"/>
      <c r="X40277" s="9"/>
    </row>
    <row r="40278">
      <c r="D40278" s="9"/>
      <c r="G40278" s="9"/>
      <c r="J40278" s="11"/>
      <c r="U40278" s="9"/>
      <c r="X40278" s="9"/>
    </row>
    <row r="40279">
      <c r="D40279" s="9"/>
      <c r="G40279" s="9"/>
      <c r="J40279" s="11"/>
      <c r="U40279" s="9"/>
      <c r="X40279" s="9"/>
    </row>
    <row r="40280">
      <c r="D40280" s="9"/>
      <c r="G40280" s="9"/>
      <c r="J40280" s="11"/>
      <c r="U40280" s="9"/>
      <c r="X40280" s="9"/>
    </row>
    <row r="40281">
      <c r="D40281" s="9"/>
      <c r="G40281" s="9"/>
      <c r="J40281" s="11"/>
      <c r="U40281" s="9"/>
      <c r="X40281" s="9"/>
    </row>
    <row r="40282">
      <c r="D40282" s="9"/>
      <c r="G40282" s="9"/>
      <c r="J40282" s="11"/>
      <c r="U40282" s="9"/>
      <c r="X40282" s="9"/>
    </row>
    <row r="40283">
      <c r="D40283" s="9"/>
      <c r="G40283" s="9"/>
      <c r="J40283" s="11"/>
      <c r="U40283" s="9"/>
      <c r="X40283" s="9"/>
    </row>
    <row r="40284">
      <c r="D40284" s="9"/>
      <c r="G40284" s="9"/>
      <c r="J40284" s="11"/>
      <c r="U40284" s="9"/>
      <c r="X40284" s="9"/>
    </row>
    <row r="40285">
      <c r="D40285" s="9"/>
      <c r="G40285" s="9"/>
      <c r="J40285" s="11"/>
      <c r="U40285" s="9"/>
      <c r="X40285" s="9"/>
    </row>
    <row r="40286">
      <c r="D40286" s="9"/>
      <c r="G40286" s="9"/>
      <c r="J40286" s="11"/>
      <c r="U40286" s="9"/>
      <c r="X40286" s="9"/>
    </row>
    <row r="40287">
      <c r="D40287" s="9"/>
      <c r="G40287" s="9"/>
      <c r="J40287" s="11"/>
      <c r="U40287" s="9"/>
      <c r="X40287" s="9"/>
    </row>
    <row r="40288">
      <c r="D40288" s="9"/>
      <c r="G40288" s="9"/>
      <c r="J40288" s="11"/>
      <c r="U40288" s="9"/>
      <c r="X40288" s="9"/>
    </row>
    <row r="40289">
      <c r="D40289" s="9"/>
      <c r="G40289" s="9"/>
      <c r="J40289" s="11"/>
      <c r="U40289" s="9"/>
      <c r="X40289" s="9"/>
    </row>
    <row r="40290">
      <c r="D40290" s="9"/>
      <c r="G40290" s="9"/>
      <c r="J40290" s="11"/>
      <c r="U40290" s="9"/>
      <c r="X40290" s="9"/>
    </row>
    <row r="40291">
      <c r="D40291" s="9"/>
      <c r="G40291" s="9"/>
      <c r="J40291" s="11"/>
      <c r="U40291" s="9"/>
      <c r="X40291" s="9"/>
    </row>
    <row r="40292">
      <c r="D40292" s="9"/>
      <c r="G40292" s="9"/>
      <c r="J40292" s="11"/>
      <c r="U40292" s="9"/>
      <c r="X40292" s="9"/>
    </row>
    <row r="40293">
      <c r="D40293" s="9"/>
      <c r="G40293" s="9"/>
      <c r="J40293" s="11"/>
      <c r="U40293" s="9"/>
      <c r="X40293" s="9"/>
    </row>
    <row r="40294">
      <c r="D40294" s="9"/>
      <c r="G40294" s="9"/>
      <c r="J40294" s="11"/>
      <c r="U40294" s="9"/>
      <c r="X40294" s="9"/>
    </row>
    <row r="40295">
      <c r="D40295" s="9"/>
      <c r="G40295" s="9"/>
      <c r="J40295" s="11"/>
      <c r="U40295" s="9"/>
      <c r="X40295" s="9"/>
    </row>
    <row r="40296">
      <c r="D40296" s="9"/>
      <c r="G40296" s="9"/>
      <c r="J40296" s="11"/>
      <c r="U40296" s="9"/>
      <c r="X40296" s="9"/>
    </row>
    <row r="40297">
      <c r="D40297" s="9"/>
      <c r="G40297" s="9"/>
      <c r="J40297" s="11"/>
      <c r="U40297" s="9"/>
      <c r="X40297" s="9"/>
    </row>
    <row r="40298">
      <c r="D40298" s="9"/>
      <c r="G40298" s="9"/>
      <c r="J40298" s="11"/>
      <c r="U40298" s="9"/>
      <c r="X40298" s="9"/>
    </row>
    <row r="40299">
      <c r="D40299" s="9"/>
      <c r="G40299" s="9"/>
      <c r="J40299" s="11"/>
      <c r="U40299" s="9"/>
      <c r="X40299" s="9"/>
    </row>
    <row r="40300">
      <c r="D40300" s="9"/>
      <c r="G40300" s="9"/>
      <c r="J40300" s="11"/>
      <c r="U40300" s="9"/>
      <c r="X40300" s="9"/>
    </row>
    <row r="40301">
      <c r="D40301" s="9"/>
      <c r="G40301" s="9"/>
      <c r="J40301" s="11"/>
      <c r="U40301" s="9"/>
      <c r="X40301" s="9"/>
    </row>
    <row r="40302">
      <c r="D40302" s="9"/>
      <c r="G40302" s="9"/>
      <c r="J40302" s="11"/>
      <c r="U40302" s="9"/>
      <c r="X40302" s="9"/>
    </row>
    <row r="40303">
      <c r="D40303" s="9"/>
      <c r="G40303" s="9"/>
      <c r="J40303" s="11"/>
      <c r="U40303" s="9"/>
      <c r="X40303" s="9"/>
    </row>
    <row r="40304">
      <c r="D40304" s="9"/>
      <c r="G40304" s="9"/>
      <c r="J40304" s="11"/>
      <c r="U40304" s="9"/>
      <c r="X40304" s="9"/>
    </row>
    <row r="40305">
      <c r="D40305" s="9"/>
      <c r="G40305" s="9"/>
      <c r="J40305" s="11"/>
      <c r="U40305" s="9"/>
      <c r="X40305" s="9"/>
    </row>
    <row r="40306">
      <c r="D40306" s="9"/>
      <c r="G40306" s="9"/>
      <c r="J40306" s="11"/>
      <c r="U40306" s="9"/>
      <c r="X40306" s="9"/>
    </row>
    <row r="40307">
      <c r="D40307" s="9"/>
      <c r="G40307" s="9"/>
      <c r="J40307" s="11"/>
      <c r="U40307" s="9"/>
      <c r="X40307" s="9"/>
    </row>
    <row r="40308">
      <c r="D40308" s="9"/>
      <c r="G40308" s="9"/>
      <c r="J40308" s="11"/>
      <c r="U40308" s="9"/>
      <c r="X40308" s="9"/>
    </row>
    <row r="40309">
      <c r="D40309" s="9"/>
      <c r="G40309" s="9"/>
      <c r="J40309" s="11"/>
      <c r="U40309" s="9"/>
      <c r="X40309" s="9"/>
    </row>
    <row r="40310">
      <c r="D40310" s="9"/>
      <c r="G40310" s="9"/>
      <c r="J40310" s="11"/>
      <c r="U40310" s="9"/>
      <c r="X40310" s="9"/>
    </row>
    <row r="40311">
      <c r="D40311" s="9"/>
      <c r="G40311" s="9"/>
      <c r="J40311" s="11"/>
      <c r="U40311" s="9"/>
      <c r="X40311" s="9"/>
    </row>
    <row r="40312">
      <c r="D40312" s="9"/>
      <c r="G40312" s="9"/>
      <c r="J40312" s="11"/>
      <c r="U40312" s="9"/>
      <c r="X40312" s="9"/>
    </row>
    <row r="40313">
      <c r="D40313" s="9"/>
      <c r="G40313" s="9"/>
      <c r="J40313" s="11"/>
      <c r="U40313" s="9"/>
      <c r="X40313" s="9"/>
    </row>
    <row r="40314">
      <c r="D40314" s="9"/>
      <c r="G40314" s="9"/>
      <c r="J40314" s="11"/>
      <c r="U40314" s="9"/>
      <c r="X40314" s="9"/>
    </row>
    <row r="40315">
      <c r="D40315" s="9"/>
      <c r="G40315" s="9"/>
      <c r="J40315" s="11"/>
      <c r="U40315" s="9"/>
      <c r="X40315" s="9"/>
    </row>
    <row r="40316">
      <c r="D40316" s="9"/>
      <c r="G40316" s="9"/>
      <c r="J40316" s="11"/>
      <c r="U40316" s="9"/>
      <c r="X40316" s="9"/>
    </row>
    <row r="40317">
      <c r="D40317" s="9"/>
      <c r="G40317" s="9"/>
      <c r="J40317" s="11"/>
      <c r="U40317" s="9"/>
      <c r="X40317" s="9"/>
    </row>
    <row r="40318">
      <c r="D40318" s="9"/>
      <c r="G40318" s="9"/>
      <c r="J40318" s="11"/>
      <c r="U40318" s="9"/>
      <c r="X40318" s="9"/>
    </row>
    <row r="40319">
      <c r="D40319" s="9"/>
      <c r="G40319" s="9"/>
      <c r="J40319" s="11"/>
      <c r="U40319" s="9"/>
      <c r="X40319" s="9"/>
    </row>
    <row r="40320">
      <c r="D40320" s="9"/>
      <c r="G40320" s="9"/>
      <c r="J40320" s="11"/>
      <c r="U40320" s="9"/>
      <c r="X40320" s="9"/>
    </row>
    <row r="40321">
      <c r="D40321" s="9"/>
      <c r="G40321" s="9"/>
      <c r="J40321" s="11"/>
      <c r="U40321" s="9"/>
      <c r="X40321" s="9"/>
    </row>
    <row r="40322">
      <c r="D40322" s="9"/>
      <c r="G40322" s="9"/>
      <c r="J40322" s="11"/>
      <c r="U40322" s="9"/>
      <c r="X40322" s="9"/>
    </row>
    <row r="40323">
      <c r="D40323" s="9"/>
      <c r="G40323" s="9"/>
      <c r="J40323" s="11"/>
      <c r="U40323" s="9"/>
      <c r="X40323" s="9"/>
    </row>
    <row r="40324">
      <c r="D40324" s="9"/>
      <c r="G40324" s="9"/>
      <c r="J40324" s="11"/>
      <c r="U40324" s="9"/>
      <c r="X40324" s="9"/>
    </row>
    <row r="40325">
      <c r="D40325" s="9"/>
      <c r="G40325" s="9"/>
      <c r="J40325" s="11"/>
      <c r="U40325" s="9"/>
      <c r="X40325" s="9"/>
    </row>
    <row r="40326">
      <c r="D40326" s="9"/>
      <c r="G40326" s="9"/>
      <c r="J40326" s="11"/>
      <c r="U40326" s="9"/>
      <c r="X40326" s="9"/>
    </row>
    <row r="40327">
      <c r="D40327" s="9"/>
      <c r="G40327" s="9"/>
      <c r="J40327" s="11"/>
      <c r="U40327" s="9"/>
      <c r="X40327" s="9"/>
    </row>
    <row r="40328">
      <c r="D40328" s="9"/>
      <c r="G40328" s="9"/>
      <c r="J40328" s="11"/>
      <c r="U40328" s="9"/>
      <c r="X40328" s="9"/>
    </row>
    <row r="40329">
      <c r="D40329" s="9"/>
      <c r="G40329" s="9"/>
      <c r="J40329" s="11"/>
      <c r="U40329" s="9"/>
      <c r="X40329" s="9"/>
    </row>
    <row r="40330">
      <c r="D40330" s="9"/>
      <c r="G40330" s="9"/>
      <c r="J40330" s="11"/>
      <c r="U40330" s="9"/>
      <c r="X40330" s="9"/>
    </row>
    <row r="40331">
      <c r="D40331" s="9"/>
      <c r="G40331" s="9"/>
      <c r="J40331" s="11"/>
      <c r="U40331" s="9"/>
      <c r="X40331" s="9"/>
    </row>
    <row r="40332">
      <c r="D40332" s="9"/>
      <c r="G40332" s="9"/>
      <c r="J40332" s="11"/>
      <c r="U40332" s="9"/>
      <c r="X40332" s="9"/>
    </row>
    <row r="40333">
      <c r="D40333" s="9"/>
      <c r="G40333" s="9"/>
      <c r="J40333" s="11"/>
      <c r="U40333" s="9"/>
      <c r="X40333" s="9"/>
    </row>
    <row r="40334">
      <c r="D40334" s="9"/>
      <c r="G40334" s="9"/>
      <c r="J40334" s="11"/>
      <c r="U40334" s="9"/>
      <c r="X40334" s="9"/>
    </row>
    <row r="40335">
      <c r="D40335" s="9"/>
      <c r="G40335" s="9"/>
      <c r="J40335" s="11"/>
      <c r="U40335" s="9"/>
      <c r="X40335" s="9"/>
    </row>
    <row r="40336">
      <c r="D40336" s="9"/>
      <c r="G40336" s="9"/>
      <c r="J40336" s="11"/>
      <c r="U40336" s="9"/>
      <c r="X40336" s="9"/>
    </row>
    <row r="40337">
      <c r="D40337" s="9"/>
      <c r="G40337" s="9"/>
      <c r="J40337" s="11"/>
      <c r="U40337" s="9"/>
      <c r="X40337" s="9"/>
    </row>
    <row r="40338">
      <c r="D40338" s="9"/>
      <c r="G40338" s="9"/>
      <c r="J40338" s="11"/>
      <c r="U40338" s="9"/>
      <c r="X40338" s="9"/>
    </row>
    <row r="40339">
      <c r="D40339" s="9"/>
      <c r="G40339" s="9"/>
      <c r="J40339" s="11"/>
      <c r="U40339" s="9"/>
      <c r="X40339" s="9"/>
    </row>
    <row r="40340">
      <c r="D40340" s="9"/>
      <c r="G40340" s="9"/>
      <c r="J40340" s="11"/>
      <c r="U40340" s="9"/>
      <c r="X40340" s="9"/>
    </row>
    <row r="40341">
      <c r="D40341" s="9"/>
      <c r="G40341" s="9"/>
      <c r="J40341" s="11"/>
      <c r="U40341" s="9"/>
      <c r="X40341" s="9"/>
    </row>
    <row r="40342">
      <c r="D40342" s="9"/>
      <c r="G40342" s="9"/>
      <c r="J40342" s="11"/>
      <c r="U40342" s="9"/>
      <c r="X40342" s="9"/>
    </row>
    <row r="40343">
      <c r="D40343" s="9"/>
      <c r="G40343" s="9"/>
      <c r="J40343" s="11"/>
      <c r="U40343" s="9"/>
      <c r="X40343" s="9"/>
    </row>
    <row r="40344">
      <c r="D40344" s="9"/>
      <c r="G40344" s="9"/>
      <c r="J40344" s="11"/>
      <c r="U40344" s="9"/>
      <c r="X40344" s="9"/>
    </row>
    <row r="40345">
      <c r="D40345" s="9"/>
      <c r="G40345" s="9"/>
      <c r="J40345" s="11"/>
      <c r="U40345" s="9"/>
      <c r="X40345" s="9"/>
    </row>
    <row r="40346">
      <c r="D40346" s="9"/>
      <c r="G40346" s="9"/>
      <c r="J40346" s="11"/>
      <c r="U40346" s="9"/>
      <c r="X40346" s="9"/>
    </row>
    <row r="40347">
      <c r="D40347" s="9"/>
      <c r="G40347" s="9"/>
      <c r="J40347" s="11"/>
      <c r="U40347" s="9"/>
      <c r="X40347" s="9"/>
    </row>
    <row r="40348">
      <c r="D40348" s="9"/>
      <c r="G40348" s="9"/>
      <c r="J40348" s="11"/>
      <c r="U40348" s="9"/>
      <c r="X40348" s="9"/>
    </row>
    <row r="40349">
      <c r="D40349" s="9"/>
      <c r="G40349" s="9"/>
      <c r="J40349" s="11"/>
      <c r="U40349" s="9"/>
      <c r="X40349" s="9"/>
    </row>
    <row r="40350">
      <c r="D40350" s="9"/>
      <c r="G40350" s="9"/>
      <c r="J40350" s="11"/>
      <c r="U40350" s="9"/>
      <c r="X40350" s="9"/>
    </row>
    <row r="40351">
      <c r="D40351" s="9"/>
      <c r="G40351" s="9"/>
      <c r="J40351" s="11"/>
      <c r="U40351" s="9"/>
      <c r="X40351" s="9"/>
    </row>
    <row r="40352">
      <c r="D40352" s="9"/>
      <c r="G40352" s="9"/>
      <c r="J40352" s="11"/>
      <c r="U40352" s="9"/>
      <c r="X40352" s="9"/>
    </row>
    <row r="40353">
      <c r="D40353" s="9"/>
      <c r="G40353" s="9"/>
      <c r="J40353" s="11"/>
      <c r="U40353" s="9"/>
      <c r="X40353" s="9"/>
    </row>
    <row r="40354">
      <c r="D40354" s="9"/>
      <c r="G40354" s="9"/>
      <c r="J40354" s="11"/>
      <c r="U40354" s="9"/>
      <c r="X40354" s="9"/>
    </row>
    <row r="40355">
      <c r="D40355" s="9"/>
      <c r="G40355" s="9"/>
      <c r="J40355" s="11"/>
      <c r="U40355" s="9"/>
      <c r="X40355" s="9"/>
    </row>
    <row r="40356">
      <c r="D40356" s="9"/>
      <c r="G40356" s="9"/>
      <c r="J40356" s="11"/>
      <c r="U40356" s="9"/>
      <c r="X40356" s="9"/>
    </row>
    <row r="40357">
      <c r="D40357" s="9"/>
      <c r="G40357" s="9"/>
      <c r="J40357" s="11"/>
      <c r="U40357" s="9"/>
      <c r="X40357" s="9"/>
    </row>
    <row r="40358">
      <c r="D40358" s="9"/>
      <c r="G40358" s="9"/>
      <c r="J40358" s="11"/>
      <c r="U40358" s="9"/>
      <c r="X40358" s="9"/>
    </row>
    <row r="40359">
      <c r="D40359" s="9"/>
      <c r="G40359" s="9"/>
      <c r="J40359" s="11"/>
      <c r="U40359" s="9"/>
      <c r="X40359" s="9"/>
    </row>
    <row r="40360">
      <c r="D40360" s="9"/>
      <c r="G40360" s="9"/>
      <c r="J40360" s="11"/>
      <c r="U40360" s="9"/>
      <c r="X40360" s="9"/>
    </row>
    <row r="40361">
      <c r="D40361" s="9"/>
      <c r="G40361" s="9"/>
      <c r="J40361" s="11"/>
      <c r="U40361" s="9"/>
      <c r="X40361" s="9"/>
    </row>
    <row r="40362">
      <c r="D40362" s="9"/>
      <c r="G40362" s="9"/>
      <c r="J40362" s="11"/>
      <c r="U40362" s="9"/>
      <c r="X40362" s="9"/>
    </row>
    <row r="40363">
      <c r="D40363" s="9"/>
      <c r="G40363" s="9"/>
      <c r="J40363" s="11"/>
      <c r="U40363" s="9"/>
      <c r="X40363" s="9"/>
    </row>
    <row r="40364">
      <c r="D40364" s="9"/>
      <c r="G40364" s="9"/>
      <c r="J40364" s="11"/>
      <c r="U40364" s="9"/>
      <c r="X40364" s="9"/>
    </row>
    <row r="40365">
      <c r="D40365" s="9"/>
      <c r="G40365" s="9"/>
      <c r="J40365" s="11"/>
      <c r="U40365" s="9"/>
      <c r="X40365" s="9"/>
    </row>
    <row r="40366">
      <c r="D40366" s="9"/>
      <c r="G40366" s="9"/>
      <c r="J40366" s="11"/>
      <c r="U40366" s="9"/>
      <c r="X40366" s="9"/>
    </row>
    <row r="40367">
      <c r="D40367" s="9"/>
      <c r="G40367" s="9"/>
      <c r="J40367" s="11"/>
      <c r="U40367" s="9"/>
      <c r="X40367" s="9"/>
    </row>
    <row r="40368">
      <c r="D40368" s="9"/>
      <c r="G40368" s="9"/>
      <c r="J40368" s="11"/>
      <c r="U40368" s="9"/>
      <c r="X40368" s="9"/>
    </row>
    <row r="40369">
      <c r="D40369" s="9"/>
      <c r="G40369" s="9"/>
      <c r="J40369" s="11"/>
      <c r="U40369" s="9"/>
      <c r="X40369" s="9"/>
    </row>
    <row r="40370">
      <c r="D40370" s="9"/>
      <c r="G40370" s="9"/>
      <c r="J40370" s="11"/>
      <c r="U40370" s="9"/>
      <c r="X40370" s="9"/>
    </row>
    <row r="40371">
      <c r="D40371" s="9"/>
      <c r="G40371" s="9"/>
      <c r="J40371" s="11"/>
      <c r="U40371" s="9"/>
      <c r="X40371" s="9"/>
    </row>
    <row r="40372">
      <c r="D40372" s="9"/>
      <c r="G40372" s="9"/>
      <c r="J40372" s="11"/>
      <c r="U40372" s="9"/>
      <c r="X40372" s="9"/>
    </row>
    <row r="40373">
      <c r="D40373" s="9"/>
      <c r="G40373" s="9"/>
      <c r="J40373" s="11"/>
      <c r="U40373" s="9"/>
      <c r="X40373" s="9"/>
    </row>
    <row r="40374">
      <c r="D40374" s="9"/>
      <c r="G40374" s="9"/>
      <c r="J40374" s="11"/>
      <c r="U40374" s="9"/>
      <c r="X40374" s="9"/>
    </row>
    <row r="40375">
      <c r="D40375" s="9"/>
      <c r="G40375" s="9"/>
      <c r="J40375" s="11"/>
      <c r="U40375" s="9"/>
      <c r="X40375" s="9"/>
    </row>
    <row r="40376">
      <c r="D40376" s="9"/>
      <c r="G40376" s="9"/>
      <c r="J40376" s="11"/>
      <c r="U40376" s="9"/>
      <c r="X40376" s="9"/>
    </row>
    <row r="40377">
      <c r="D40377" s="9"/>
      <c r="G40377" s="9"/>
      <c r="J40377" s="11"/>
      <c r="U40377" s="9"/>
      <c r="X40377" s="9"/>
    </row>
    <row r="40378">
      <c r="D40378" s="9"/>
      <c r="G40378" s="9"/>
      <c r="J40378" s="11"/>
      <c r="U40378" s="9"/>
      <c r="X40378" s="9"/>
    </row>
    <row r="40379">
      <c r="D40379" s="9"/>
      <c r="G40379" s="9"/>
      <c r="J40379" s="11"/>
      <c r="U40379" s="9"/>
      <c r="X40379" s="9"/>
    </row>
    <row r="40380">
      <c r="D40380" s="9"/>
      <c r="G40380" s="9"/>
      <c r="J40380" s="11"/>
      <c r="U40380" s="9"/>
      <c r="X40380" s="9"/>
    </row>
    <row r="40381">
      <c r="D40381" s="9"/>
      <c r="G40381" s="9"/>
      <c r="J40381" s="11"/>
      <c r="U40381" s="9"/>
      <c r="X40381" s="9"/>
    </row>
    <row r="40382">
      <c r="D40382" s="9"/>
      <c r="G40382" s="9"/>
      <c r="J40382" s="11"/>
      <c r="U40382" s="9"/>
      <c r="X40382" s="9"/>
    </row>
    <row r="40383">
      <c r="D40383" s="9"/>
      <c r="G40383" s="9"/>
      <c r="J40383" s="11"/>
      <c r="U40383" s="9"/>
      <c r="X40383" s="9"/>
    </row>
    <row r="40384">
      <c r="D40384" s="9"/>
      <c r="G40384" s="9"/>
      <c r="J40384" s="11"/>
      <c r="U40384" s="9"/>
      <c r="X40384" s="9"/>
    </row>
    <row r="40385">
      <c r="D40385" s="9"/>
      <c r="G40385" s="9"/>
      <c r="J40385" s="11"/>
      <c r="U40385" s="9"/>
      <c r="X40385" s="9"/>
    </row>
    <row r="40386">
      <c r="D40386" s="9"/>
      <c r="G40386" s="9"/>
      <c r="J40386" s="11"/>
      <c r="U40386" s="9"/>
      <c r="X40386" s="9"/>
    </row>
    <row r="40387">
      <c r="D40387" s="9"/>
      <c r="G40387" s="9"/>
      <c r="J40387" s="11"/>
      <c r="U40387" s="9"/>
      <c r="X40387" s="9"/>
    </row>
    <row r="40388">
      <c r="D40388" s="9"/>
      <c r="G40388" s="9"/>
      <c r="J40388" s="11"/>
      <c r="U40388" s="9"/>
      <c r="X40388" s="9"/>
    </row>
    <row r="40389">
      <c r="D40389" s="9"/>
      <c r="G40389" s="9"/>
      <c r="J40389" s="11"/>
      <c r="U40389" s="9"/>
      <c r="X40389" s="9"/>
    </row>
    <row r="40390">
      <c r="D40390" s="9"/>
      <c r="G40390" s="9"/>
      <c r="J40390" s="11"/>
      <c r="U40390" s="9"/>
      <c r="X40390" s="9"/>
    </row>
    <row r="40391">
      <c r="D40391" s="9"/>
      <c r="G40391" s="9"/>
      <c r="J40391" s="11"/>
      <c r="U40391" s="9"/>
      <c r="X40391" s="9"/>
    </row>
    <row r="40392">
      <c r="D40392" s="9"/>
      <c r="G40392" s="9"/>
      <c r="J40392" s="11"/>
      <c r="U40392" s="9"/>
      <c r="X40392" s="9"/>
    </row>
    <row r="40393">
      <c r="D40393" s="9"/>
      <c r="G40393" s="9"/>
      <c r="J40393" s="11"/>
      <c r="U40393" s="9"/>
      <c r="X40393" s="9"/>
    </row>
    <row r="40394">
      <c r="D40394" s="9"/>
      <c r="G40394" s="9"/>
      <c r="J40394" s="11"/>
      <c r="U40394" s="9"/>
      <c r="X40394" s="9"/>
    </row>
    <row r="40395">
      <c r="D40395" s="9"/>
      <c r="G40395" s="9"/>
      <c r="J40395" s="11"/>
      <c r="U40395" s="9"/>
      <c r="X40395" s="9"/>
    </row>
    <row r="40396">
      <c r="D40396" s="9"/>
      <c r="G40396" s="9"/>
      <c r="J40396" s="11"/>
      <c r="U40396" s="9"/>
      <c r="X40396" s="9"/>
    </row>
    <row r="40397">
      <c r="D40397" s="9"/>
      <c r="G40397" s="9"/>
      <c r="J40397" s="11"/>
      <c r="U40397" s="9"/>
      <c r="X40397" s="9"/>
    </row>
    <row r="40398">
      <c r="D40398" s="9"/>
      <c r="G40398" s="9"/>
      <c r="J40398" s="11"/>
      <c r="U40398" s="9"/>
      <c r="X40398" s="9"/>
    </row>
    <row r="40399">
      <c r="D40399" s="9"/>
      <c r="G40399" s="9"/>
      <c r="J40399" s="11"/>
      <c r="U40399" s="9"/>
      <c r="X40399" s="9"/>
    </row>
    <row r="40400">
      <c r="D40400" s="9"/>
      <c r="G40400" s="9"/>
      <c r="J40400" s="11"/>
      <c r="U40400" s="9"/>
      <c r="X40400" s="9"/>
    </row>
    <row r="40401">
      <c r="D40401" s="9"/>
      <c r="G40401" s="9"/>
      <c r="J40401" s="11"/>
      <c r="U40401" s="9"/>
      <c r="X40401" s="9"/>
    </row>
    <row r="40402">
      <c r="D40402" s="9"/>
      <c r="G40402" s="9"/>
      <c r="J40402" s="11"/>
      <c r="U40402" s="9"/>
      <c r="X40402" s="9"/>
    </row>
    <row r="40403">
      <c r="D40403" s="9"/>
      <c r="G40403" s="9"/>
      <c r="J40403" s="11"/>
      <c r="U40403" s="9"/>
      <c r="X40403" s="9"/>
    </row>
    <row r="40404">
      <c r="D40404" s="9"/>
      <c r="G40404" s="9"/>
      <c r="J40404" s="11"/>
      <c r="U40404" s="9"/>
      <c r="X40404" s="9"/>
    </row>
    <row r="40405">
      <c r="D40405" s="9"/>
      <c r="G40405" s="9"/>
      <c r="J40405" s="11"/>
      <c r="U40405" s="9"/>
      <c r="X40405" s="9"/>
    </row>
    <row r="40406">
      <c r="D40406" s="9"/>
      <c r="G40406" s="9"/>
      <c r="J40406" s="11"/>
      <c r="U40406" s="9"/>
      <c r="X40406" s="9"/>
    </row>
    <row r="40407">
      <c r="D40407" s="9"/>
      <c r="G40407" s="9"/>
      <c r="J40407" s="11"/>
      <c r="U40407" s="9"/>
      <c r="X40407" s="9"/>
    </row>
    <row r="40408">
      <c r="D40408" s="9"/>
      <c r="G40408" s="9"/>
      <c r="J40408" s="11"/>
      <c r="U40408" s="9"/>
      <c r="X40408" s="9"/>
    </row>
    <row r="40409">
      <c r="D40409" s="9"/>
      <c r="G40409" s="9"/>
      <c r="J40409" s="11"/>
      <c r="U40409" s="9"/>
      <c r="X40409" s="9"/>
    </row>
    <row r="40410">
      <c r="D40410" s="9"/>
      <c r="G40410" s="9"/>
      <c r="J40410" s="11"/>
      <c r="U40410" s="9"/>
      <c r="X40410" s="9"/>
    </row>
    <row r="40411">
      <c r="D40411" s="9"/>
      <c r="G40411" s="9"/>
      <c r="J40411" s="11"/>
      <c r="U40411" s="9"/>
      <c r="X40411" s="9"/>
    </row>
    <row r="40412">
      <c r="D40412" s="9"/>
      <c r="G40412" s="9"/>
      <c r="J40412" s="11"/>
      <c r="U40412" s="9"/>
      <c r="X40412" s="9"/>
    </row>
    <row r="40413">
      <c r="D40413" s="9"/>
      <c r="G40413" s="9"/>
      <c r="J40413" s="11"/>
      <c r="U40413" s="9"/>
      <c r="X40413" s="9"/>
    </row>
    <row r="40414">
      <c r="D40414" s="9"/>
      <c r="G40414" s="9"/>
      <c r="J40414" s="11"/>
      <c r="U40414" s="9"/>
      <c r="X40414" s="9"/>
    </row>
    <row r="40415">
      <c r="D40415" s="9"/>
      <c r="G40415" s="9"/>
      <c r="J40415" s="11"/>
      <c r="U40415" s="9"/>
      <c r="X40415" s="9"/>
    </row>
    <row r="40416">
      <c r="D40416" s="9"/>
      <c r="G40416" s="9"/>
      <c r="J40416" s="11"/>
      <c r="U40416" s="9"/>
      <c r="X40416" s="9"/>
    </row>
    <row r="40417">
      <c r="D40417" s="9"/>
      <c r="G40417" s="9"/>
      <c r="J40417" s="11"/>
      <c r="U40417" s="9"/>
      <c r="X40417" s="9"/>
    </row>
    <row r="40418">
      <c r="D40418" s="9"/>
      <c r="G40418" s="9"/>
      <c r="J40418" s="11"/>
      <c r="U40418" s="9"/>
      <c r="X40418" s="9"/>
    </row>
    <row r="40419">
      <c r="D40419" s="9"/>
      <c r="G40419" s="9"/>
      <c r="J40419" s="11"/>
      <c r="U40419" s="9"/>
      <c r="X40419" s="9"/>
    </row>
    <row r="40420">
      <c r="D40420" s="9"/>
      <c r="G40420" s="9"/>
      <c r="J40420" s="11"/>
      <c r="U40420" s="9"/>
      <c r="X40420" s="9"/>
    </row>
    <row r="40421">
      <c r="D40421" s="9"/>
      <c r="G40421" s="9"/>
      <c r="J40421" s="11"/>
      <c r="U40421" s="9"/>
      <c r="X40421" s="9"/>
    </row>
    <row r="40422">
      <c r="D40422" s="9"/>
      <c r="G40422" s="9"/>
      <c r="J40422" s="11"/>
      <c r="U40422" s="9"/>
      <c r="X40422" s="9"/>
    </row>
    <row r="40423">
      <c r="D40423" s="9"/>
      <c r="G40423" s="9"/>
      <c r="J40423" s="11"/>
      <c r="U40423" s="9"/>
      <c r="X40423" s="9"/>
    </row>
    <row r="40424">
      <c r="D40424" s="9"/>
      <c r="G40424" s="9"/>
      <c r="J40424" s="11"/>
      <c r="U40424" s="9"/>
      <c r="X40424" s="9"/>
    </row>
    <row r="40425">
      <c r="D40425" s="9"/>
      <c r="G40425" s="9"/>
      <c r="J40425" s="11"/>
      <c r="U40425" s="9"/>
      <c r="X40425" s="9"/>
    </row>
    <row r="40426">
      <c r="D40426" s="9"/>
      <c r="G40426" s="9"/>
      <c r="J40426" s="11"/>
      <c r="U40426" s="9"/>
      <c r="X40426" s="9"/>
    </row>
    <row r="40427">
      <c r="D40427" s="9"/>
      <c r="G40427" s="9"/>
      <c r="J40427" s="11"/>
      <c r="U40427" s="9"/>
      <c r="X40427" s="9"/>
    </row>
    <row r="40428">
      <c r="D40428" s="9"/>
      <c r="G40428" s="9"/>
      <c r="J40428" s="11"/>
      <c r="U40428" s="9"/>
      <c r="X40428" s="9"/>
    </row>
    <row r="40429">
      <c r="D40429" s="9"/>
      <c r="G40429" s="9"/>
      <c r="J40429" s="11"/>
      <c r="U40429" s="9"/>
      <c r="X40429" s="9"/>
    </row>
    <row r="40430">
      <c r="D40430" s="9"/>
      <c r="G40430" s="9"/>
      <c r="J40430" s="11"/>
      <c r="U40430" s="9"/>
      <c r="X40430" s="9"/>
    </row>
    <row r="40431">
      <c r="D40431" s="9"/>
      <c r="G40431" s="9"/>
      <c r="J40431" s="11"/>
      <c r="U40431" s="9"/>
      <c r="X40431" s="9"/>
    </row>
    <row r="40432">
      <c r="D40432" s="9"/>
      <c r="G40432" s="9"/>
      <c r="J40432" s="11"/>
      <c r="U40432" s="9"/>
      <c r="X40432" s="9"/>
    </row>
    <row r="40433">
      <c r="D40433" s="9"/>
      <c r="G40433" s="9"/>
      <c r="J40433" s="11"/>
      <c r="U40433" s="9"/>
      <c r="X40433" s="9"/>
    </row>
    <row r="40434">
      <c r="D40434" s="9"/>
      <c r="G40434" s="9"/>
      <c r="J40434" s="11"/>
      <c r="U40434" s="9"/>
      <c r="X40434" s="9"/>
    </row>
    <row r="40435">
      <c r="D40435" s="9"/>
      <c r="G40435" s="9"/>
      <c r="J40435" s="11"/>
      <c r="U40435" s="9"/>
      <c r="X40435" s="9"/>
    </row>
    <row r="40436">
      <c r="D40436" s="9"/>
      <c r="G40436" s="9"/>
      <c r="J40436" s="11"/>
      <c r="U40436" s="9"/>
      <c r="X40436" s="9"/>
    </row>
    <row r="40437">
      <c r="D40437" s="9"/>
      <c r="G40437" s="9"/>
      <c r="J40437" s="11"/>
      <c r="U40437" s="9"/>
      <c r="X40437" s="9"/>
    </row>
    <row r="40438">
      <c r="D40438" s="9"/>
      <c r="G40438" s="9"/>
      <c r="J40438" s="11"/>
      <c r="U40438" s="9"/>
      <c r="X40438" s="9"/>
    </row>
    <row r="40439">
      <c r="D40439" s="9"/>
      <c r="G40439" s="9"/>
      <c r="J40439" s="11"/>
      <c r="U40439" s="9"/>
      <c r="X40439" s="9"/>
    </row>
    <row r="40440">
      <c r="D40440" s="9"/>
      <c r="G40440" s="9"/>
      <c r="J40440" s="11"/>
      <c r="U40440" s="9"/>
      <c r="X40440" s="9"/>
    </row>
    <row r="40441">
      <c r="D40441" s="9"/>
      <c r="G40441" s="9"/>
      <c r="J40441" s="11"/>
      <c r="U40441" s="9"/>
      <c r="X40441" s="9"/>
    </row>
    <row r="40442">
      <c r="D40442" s="9"/>
      <c r="G40442" s="9"/>
      <c r="J40442" s="11"/>
      <c r="U40442" s="9"/>
      <c r="X40442" s="9"/>
    </row>
    <row r="40443">
      <c r="D40443" s="9"/>
      <c r="G40443" s="9"/>
      <c r="J40443" s="11"/>
      <c r="U40443" s="9"/>
      <c r="X40443" s="9"/>
    </row>
    <row r="40444">
      <c r="D40444" s="9"/>
      <c r="G40444" s="9"/>
      <c r="J40444" s="11"/>
      <c r="U40444" s="9"/>
      <c r="X40444" s="9"/>
    </row>
    <row r="40445">
      <c r="D40445" s="9"/>
      <c r="G40445" s="9"/>
      <c r="J40445" s="11"/>
      <c r="U40445" s="9"/>
      <c r="X40445" s="9"/>
    </row>
    <row r="40446">
      <c r="D40446" s="9"/>
      <c r="G40446" s="9"/>
      <c r="J40446" s="11"/>
      <c r="U40446" s="9"/>
      <c r="X40446" s="9"/>
    </row>
    <row r="40447">
      <c r="D40447" s="9"/>
      <c r="G40447" s="9"/>
      <c r="J40447" s="11"/>
      <c r="U40447" s="9"/>
      <c r="X40447" s="9"/>
    </row>
    <row r="40448">
      <c r="D40448" s="9"/>
      <c r="G40448" s="9"/>
      <c r="J40448" s="11"/>
      <c r="U40448" s="9"/>
      <c r="X40448" s="9"/>
    </row>
    <row r="40449">
      <c r="D40449" s="9"/>
      <c r="G40449" s="9"/>
      <c r="J40449" s="11"/>
      <c r="U40449" s="9"/>
      <c r="X40449" s="9"/>
    </row>
    <row r="40450">
      <c r="D40450" s="9"/>
      <c r="G40450" s="9"/>
      <c r="J40450" s="11"/>
      <c r="U40450" s="9"/>
      <c r="X40450" s="9"/>
    </row>
    <row r="40451">
      <c r="D40451" s="9"/>
      <c r="G40451" s="9"/>
      <c r="J40451" s="11"/>
      <c r="U40451" s="9"/>
      <c r="X40451" s="9"/>
    </row>
    <row r="40452">
      <c r="D40452" s="9"/>
      <c r="G40452" s="9"/>
      <c r="J40452" s="11"/>
      <c r="U40452" s="9"/>
      <c r="X40452" s="9"/>
    </row>
    <row r="40453">
      <c r="D40453" s="9"/>
      <c r="G40453" s="9"/>
      <c r="J40453" s="11"/>
      <c r="U40453" s="9"/>
      <c r="X40453" s="9"/>
    </row>
    <row r="40454">
      <c r="D40454" s="9"/>
      <c r="G40454" s="9"/>
      <c r="J40454" s="11"/>
      <c r="U40454" s="9"/>
      <c r="X40454" s="9"/>
    </row>
    <row r="40455">
      <c r="D40455" s="9"/>
      <c r="G40455" s="9"/>
      <c r="J40455" s="11"/>
      <c r="U40455" s="9"/>
      <c r="X40455" s="9"/>
    </row>
    <row r="40456">
      <c r="D40456" s="9"/>
      <c r="G40456" s="9"/>
      <c r="J40456" s="11"/>
      <c r="U40456" s="9"/>
      <c r="X40456" s="9"/>
    </row>
    <row r="40457">
      <c r="D40457" s="9"/>
      <c r="G40457" s="9"/>
      <c r="J40457" s="11"/>
      <c r="U40457" s="9"/>
      <c r="X40457" s="9"/>
    </row>
    <row r="40458">
      <c r="D40458" s="9"/>
      <c r="G40458" s="9"/>
      <c r="J40458" s="11"/>
      <c r="U40458" s="9"/>
      <c r="X40458" s="9"/>
    </row>
    <row r="40459">
      <c r="D40459" s="9"/>
      <c r="G40459" s="9"/>
      <c r="J40459" s="11"/>
      <c r="U40459" s="9"/>
      <c r="X40459" s="9"/>
    </row>
    <row r="40460">
      <c r="D40460" s="9"/>
      <c r="G40460" s="9"/>
      <c r="J40460" s="11"/>
      <c r="U40460" s="9"/>
      <c r="X40460" s="9"/>
    </row>
    <row r="40461">
      <c r="D40461" s="9"/>
      <c r="G40461" s="9"/>
      <c r="J40461" s="11"/>
      <c r="U40461" s="9"/>
      <c r="X40461" s="9"/>
    </row>
    <row r="40462">
      <c r="D40462" s="9"/>
      <c r="G40462" s="9"/>
      <c r="J40462" s="11"/>
      <c r="U40462" s="9"/>
      <c r="X40462" s="9"/>
    </row>
    <row r="40463">
      <c r="D40463" s="9"/>
      <c r="G40463" s="9"/>
      <c r="J40463" s="11"/>
      <c r="U40463" s="9"/>
      <c r="X40463" s="9"/>
    </row>
    <row r="40464">
      <c r="D40464" s="9"/>
      <c r="G40464" s="9"/>
      <c r="J40464" s="11"/>
      <c r="U40464" s="9"/>
      <c r="X40464" s="9"/>
    </row>
    <row r="40465">
      <c r="D40465" s="9"/>
      <c r="G40465" s="9"/>
      <c r="J40465" s="11"/>
      <c r="U40465" s="9"/>
      <c r="X40465" s="9"/>
    </row>
    <row r="40466">
      <c r="D40466" s="9"/>
      <c r="G40466" s="9"/>
      <c r="J40466" s="11"/>
      <c r="U40466" s="9"/>
      <c r="X40466" s="9"/>
    </row>
    <row r="40467">
      <c r="D40467" s="9"/>
      <c r="G40467" s="9"/>
      <c r="J40467" s="11"/>
      <c r="U40467" s="9"/>
      <c r="X40467" s="9"/>
    </row>
    <row r="40468">
      <c r="D40468" s="9"/>
      <c r="G40468" s="9"/>
      <c r="J40468" s="11"/>
      <c r="U40468" s="9"/>
      <c r="X40468" s="9"/>
    </row>
    <row r="40469">
      <c r="D40469" s="9"/>
      <c r="G40469" s="9"/>
      <c r="J40469" s="11"/>
      <c r="U40469" s="9"/>
      <c r="X40469" s="9"/>
    </row>
    <row r="40470">
      <c r="D40470" s="9"/>
      <c r="G40470" s="9"/>
      <c r="J40470" s="11"/>
      <c r="U40470" s="9"/>
      <c r="X40470" s="9"/>
    </row>
    <row r="40471">
      <c r="D40471" s="9"/>
      <c r="G40471" s="9"/>
      <c r="J40471" s="11"/>
      <c r="U40471" s="9"/>
      <c r="X40471" s="9"/>
    </row>
    <row r="40472">
      <c r="D40472" s="9"/>
      <c r="G40472" s="9"/>
      <c r="J40472" s="11"/>
      <c r="U40472" s="9"/>
      <c r="X40472" s="9"/>
    </row>
    <row r="40473">
      <c r="D40473" s="9"/>
      <c r="G40473" s="9"/>
      <c r="J40473" s="11"/>
      <c r="U40473" s="9"/>
      <c r="X40473" s="9"/>
    </row>
    <row r="40474">
      <c r="D40474" s="9"/>
      <c r="G40474" s="9"/>
      <c r="J40474" s="11"/>
      <c r="U40474" s="9"/>
      <c r="X40474" s="9"/>
    </row>
    <row r="40475">
      <c r="D40475" s="9"/>
      <c r="G40475" s="9"/>
      <c r="J40475" s="11"/>
      <c r="U40475" s="9"/>
      <c r="X40475" s="9"/>
    </row>
    <row r="40476">
      <c r="D40476" s="9"/>
      <c r="G40476" s="9"/>
      <c r="J40476" s="11"/>
      <c r="U40476" s="9"/>
      <c r="X40476" s="9"/>
    </row>
    <row r="40477">
      <c r="D40477" s="9"/>
      <c r="G40477" s="9"/>
      <c r="J40477" s="11"/>
      <c r="U40477" s="9"/>
      <c r="X40477" s="9"/>
    </row>
    <row r="40478">
      <c r="D40478" s="9"/>
      <c r="G40478" s="9"/>
      <c r="J40478" s="11"/>
      <c r="U40478" s="9"/>
      <c r="X40478" s="9"/>
    </row>
    <row r="40479">
      <c r="D40479" s="9"/>
      <c r="G40479" s="9"/>
      <c r="J40479" s="11"/>
      <c r="U40479" s="9"/>
      <c r="X40479" s="9"/>
    </row>
    <row r="40480">
      <c r="D40480" s="9"/>
      <c r="G40480" s="9"/>
      <c r="J40480" s="11"/>
      <c r="U40480" s="9"/>
      <c r="X40480" s="9"/>
    </row>
    <row r="40481">
      <c r="D40481" s="9"/>
      <c r="G40481" s="9"/>
      <c r="J40481" s="11"/>
      <c r="U40481" s="9"/>
      <c r="X40481" s="9"/>
    </row>
    <row r="40482">
      <c r="D40482" s="9"/>
      <c r="G40482" s="9"/>
      <c r="J40482" s="11"/>
      <c r="U40482" s="9"/>
      <c r="X40482" s="9"/>
    </row>
    <row r="40483">
      <c r="D40483" s="9"/>
      <c r="G40483" s="9"/>
      <c r="J40483" s="11"/>
      <c r="U40483" s="9"/>
      <c r="X40483" s="9"/>
    </row>
    <row r="40484">
      <c r="D40484" s="9"/>
      <c r="G40484" s="9"/>
      <c r="J40484" s="11"/>
      <c r="U40484" s="9"/>
      <c r="X40484" s="9"/>
    </row>
    <row r="40485">
      <c r="D40485" s="9"/>
      <c r="G40485" s="9"/>
      <c r="J40485" s="11"/>
      <c r="U40485" s="9"/>
      <c r="X40485" s="9"/>
    </row>
    <row r="40486">
      <c r="D40486" s="9"/>
      <c r="G40486" s="9"/>
      <c r="J40486" s="11"/>
      <c r="U40486" s="9"/>
      <c r="X40486" s="9"/>
    </row>
    <row r="40487">
      <c r="D40487" s="9"/>
      <c r="G40487" s="9"/>
      <c r="J40487" s="11"/>
      <c r="U40487" s="9"/>
      <c r="X40487" s="9"/>
    </row>
    <row r="40488">
      <c r="D40488" s="9"/>
      <c r="G40488" s="9"/>
      <c r="J40488" s="11"/>
      <c r="U40488" s="9"/>
      <c r="X40488" s="9"/>
    </row>
    <row r="40489">
      <c r="D40489" s="9"/>
      <c r="G40489" s="9"/>
      <c r="J40489" s="11"/>
      <c r="U40489" s="9"/>
      <c r="X40489" s="9"/>
    </row>
    <row r="40490">
      <c r="D40490" s="9"/>
      <c r="G40490" s="9"/>
      <c r="J40490" s="11"/>
      <c r="U40490" s="9"/>
      <c r="X40490" s="9"/>
    </row>
    <row r="40491">
      <c r="D40491" s="9"/>
      <c r="G40491" s="9"/>
      <c r="J40491" s="11"/>
      <c r="U40491" s="9"/>
      <c r="X40491" s="9"/>
    </row>
    <row r="40492">
      <c r="D40492" s="9"/>
      <c r="G40492" s="9"/>
      <c r="J40492" s="11"/>
      <c r="U40492" s="9"/>
      <c r="X40492" s="9"/>
    </row>
    <row r="40493">
      <c r="D40493" s="9"/>
      <c r="G40493" s="9"/>
      <c r="J40493" s="11"/>
      <c r="U40493" s="9"/>
      <c r="X40493" s="9"/>
    </row>
    <row r="40494">
      <c r="D40494" s="9"/>
      <c r="G40494" s="9"/>
      <c r="J40494" s="11"/>
      <c r="U40494" s="9"/>
      <c r="X40494" s="9"/>
    </row>
    <row r="40495">
      <c r="D40495" s="9"/>
      <c r="G40495" s="9"/>
      <c r="J40495" s="11"/>
      <c r="U40495" s="9"/>
      <c r="X40495" s="9"/>
    </row>
    <row r="40496">
      <c r="D40496" s="9"/>
      <c r="G40496" s="9"/>
      <c r="J40496" s="11"/>
      <c r="U40496" s="9"/>
      <c r="X40496" s="9"/>
    </row>
    <row r="40497">
      <c r="D40497" s="9"/>
      <c r="G40497" s="9"/>
      <c r="J40497" s="11"/>
      <c r="U40497" s="9"/>
      <c r="X40497" s="9"/>
    </row>
    <row r="40498">
      <c r="D40498" s="9"/>
      <c r="G40498" s="9"/>
      <c r="J40498" s="11"/>
      <c r="U40498" s="9"/>
      <c r="X40498" s="9"/>
    </row>
    <row r="40499">
      <c r="D40499" s="9"/>
      <c r="G40499" s="9"/>
      <c r="J40499" s="11"/>
      <c r="U40499" s="9"/>
      <c r="X40499" s="9"/>
    </row>
    <row r="40500">
      <c r="D40500" s="9"/>
      <c r="G40500" s="9"/>
      <c r="J40500" s="11"/>
      <c r="U40500" s="9"/>
      <c r="X40500" s="9"/>
    </row>
    <row r="40501">
      <c r="D40501" s="9"/>
      <c r="G40501" s="9"/>
      <c r="J40501" s="11"/>
      <c r="U40501" s="9"/>
      <c r="X40501" s="9"/>
    </row>
    <row r="40502">
      <c r="D40502" s="9"/>
      <c r="G40502" s="9"/>
      <c r="J40502" s="11"/>
      <c r="U40502" s="9"/>
      <c r="X40502" s="9"/>
    </row>
    <row r="40503">
      <c r="D40503" s="9"/>
      <c r="G40503" s="9"/>
      <c r="J40503" s="11"/>
      <c r="U40503" s="9"/>
      <c r="X40503" s="9"/>
    </row>
    <row r="40504">
      <c r="D40504" s="9"/>
      <c r="G40504" s="9"/>
      <c r="J40504" s="11"/>
      <c r="U40504" s="9"/>
      <c r="X40504" s="9"/>
    </row>
    <row r="40505">
      <c r="D40505" s="9"/>
      <c r="G40505" s="9"/>
      <c r="J40505" s="11"/>
      <c r="U40505" s="9"/>
      <c r="X40505" s="9"/>
    </row>
    <row r="40506">
      <c r="D40506" s="9"/>
      <c r="G40506" s="9"/>
      <c r="J40506" s="11"/>
      <c r="U40506" s="9"/>
      <c r="X40506" s="9"/>
    </row>
    <row r="40507">
      <c r="D40507" s="9"/>
      <c r="G40507" s="9"/>
      <c r="J40507" s="11"/>
      <c r="U40507" s="9"/>
      <c r="X40507" s="9"/>
    </row>
    <row r="40508">
      <c r="D40508" s="9"/>
      <c r="G40508" s="9"/>
      <c r="J40508" s="11"/>
      <c r="U40508" s="9"/>
      <c r="X40508" s="9"/>
    </row>
    <row r="40509">
      <c r="D40509" s="9"/>
      <c r="G40509" s="9"/>
      <c r="J40509" s="11"/>
      <c r="U40509" s="9"/>
      <c r="X40509" s="9"/>
    </row>
    <row r="40510">
      <c r="D40510" s="9"/>
      <c r="G40510" s="9"/>
      <c r="J40510" s="11"/>
      <c r="U40510" s="9"/>
      <c r="X40510" s="9"/>
    </row>
    <row r="40511">
      <c r="D40511" s="9"/>
      <c r="G40511" s="9"/>
      <c r="J40511" s="11"/>
      <c r="U40511" s="9"/>
      <c r="X40511" s="9"/>
    </row>
    <row r="40512">
      <c r="D40512" s="9"/>
      <c r="G40512" s="9"/>
      <c r="J40512" s="11"/>
      <c r="U40512" s="9"/>
      <c r="X40512" s="9"/>
    </row>
    <row r="40513">
      <c r="D40513" s="9"/>
      <c r="G40513" s="9"/>
      <c r="J40513" s="11"/>
      <c r="U40513" s="9"/>
      <c r="X40513" s="9"/>
    </row>
    <row r="40514">
      <c r="D40514" s="9"/>
      <c r="G40514" s="9"/>
      <c r="J40514" s="11"/>
      <c r="U40514" s="9"/>
      <c r="X40514" s="9"/>
    </row>
    <row r="40515">
      <c r="D40515" s="9"/>
      <c r="G40515" s="9"/>
      <c r="J40515" s="11"/>
      <c r="U40515" s="9"/>
      <c r="X40515" s="9"/>
    </row>
    <row r="40516">
      <c r="D40516" s="9"/>
      <c r="G40516" s="9"/>
      <c r="J40516" s="11"/>
      <c r="U40516" s="9"/>
      <c r="X40516" s="9"/>
    </row>
    <row r="40517">
      <c r="D40517" s="9"/>
      <c r="G40517" s="9"/>
      <c r="J40517" s="11"/>
      <c r="U40517" s="9"/>
      <c r="X40517" s="9"/>
    </row>
    <row r="40518">
      <c r="D40518" s="9"/>
      <c r="G40518" s="9"/>
      <c r="J40518" s="11"/>
      <c r="U40518" s="9"/>
      <c r="X40518" s="9"/>
    </row>
    <row r="40519">
      <c r="D40519" s="9"/>
      <c r="G40519" s="9"/>
      <c r="J40519" s="11"/>
      <c r="U40519" s="9"/>
      <c r="X40519" s="9"/>
    </row>
    <row r="40520">
      <c r="D40520" s="9"/>
      <c r="G40520" s="9"/>
      <c r="J40520" s="11"/>
      <c r="U40520" s="9"/>
      <c r="X40520" s="9"/>
    </row>
    <row r="40521">
      <c r="D40521" s="9"/>
      <c r="G40521" s="9"/>
      <c r="J40521" s="11"/>
      <c r="U40521" s="9"/>
      <c r="X40521" s="9"/>
    </row>
    <row r="40522">
      <c r="D40522" s="9"/>
      <c r="G40522" s="9"/>
      <c r="J40522" s="11"/>
      <c r="U40522" s="9"/>
      <c r="X40522" s="9"/>
    </row>
    <row r="40523">
      <c r="D40523" s="9"/>
      <c r="G40523" s="9"/>
      <c r="J40523" s="11"/>
      <c r="U40523" s="9"/>
      <c r="X40523" s="9"/>
    </row>
    <row r="40524">
      <c r="D40524" s="9"/>
      <c r="G40524" s="9"/>
      <c r="J40524" s="11"/>
      <c r="U40524" s="9"/>
      <c r="X40524" s="9"/>
    </row>
    <row r="40525">
      <c r="D40525" s="9"/>
      <c r="G40525" s="9"/>
      <c r="J40525" s="11"/>
      <c r="U40525" s="9"/>
      <c r="X40525" s="9"/>
    </row>
    <row r="40526">
      <c r="D40526" s="9"/>
      <c r="G40526" s="9"/>
      <c r="J40526" s="11"/>
      <c r="U40526" s="9"/>
      <c r="X40526" s="9"/>
    </row>
    <row r="40527">
      <c r="D40527" s="9"/>
      <c r="G40527" s="9"/>
      <c r="J40527" s="11"/>
      <c r="U40527" s="9"/>
      <c r="X40527" s="9"/>
    </row>
    <row r="40528">
      <c r="D40528" s="9"/>
      <c r="G40528" s="9"/>
      <c r="J40528" s="11"/>
      <c r="U40528" s="9"/>
      <c r="X40528" s="9"/>
    </row>
    <row r="40529">
      <c r="D40529" s="9"/>
      <c r="G40529" s="9"/>
      <c r="J40529" s="11"/>
      <c r="U40529" s="9"/>
      <c r="X40529" s="9"/>
    </row>
    <row r="40530">
      <c r="D40530" s="9"/>
      <c r="G40530" s="9"/>
      <c r="J40530" s="11"/>
      <c r="U40530" s="9"/>
      <c r="X40530" s="9"/>
    </row>
    <row r="40531">
      <c r="D40531" s="9"/>
      <c r="G40531" s="9"/>
      <c r="J40531" s="11"/>
      <c r="U40531" s="9"/>
      <c r="X40531" s="9"/>
    </row>
    <row r="40532">
      <c r="D40532" s="9"/>
      <c r="G40532" s="9"/>
      <c r="J40532" s="11"/>
      <c r="U40532" s="9"/>
      <c r="X40532" s="9"/>
    </row>
    <row r="40533">
      <c r="D40533" s="9"/>
      <c r="G40533" s="9"/>
      <c r="J40533" s="11"/>
      <c r="U40533" s="9"/>
      <c r="X40533" s="9"/>
    </row>
    <row r="40534">
      <c r="D40534" s="9"/>
      <c r="G40534" s="9"/>
      <c r="J40534" s="11"/>
      <c r="U40534" s="9"/>
      <c r="X40534" s="9"/>
    </row>
    <row r="40535">
      <c r="D40535" s="9"/>
      <c r="G40535" s="9"/>
      <c r="J40535" s="11"/>
      <c r="U40535" s="9"/>
      <c r="X40535" s="9"/>
    </row>
    <row r="40536">
      <c r="D40536" s="9"/>
      <c r="G40536" s="9"/>
      <c r="J40536" s="11"/>
      <c r="U40536" s="9"/>
      <c r="X40536" s="9"/>
    </row>
    <row r="40537">
      <c r="D40537" s="9"/>
      <c r="G40537" s="9"/>
      <c r="J40537" s="11"/>
      <c r="U40537" s="9"/>
      <c r="X40537" s="9"/>
    </row>
    <row r="40538">
      <c r="D40538" s="9"/>
      <c r="G40538" s="9"/>
      <c r="J40538" s="11"/>
      <c r="U40538" s="9"/>
      <c r="X40538" s="9"/>
    </row>
    <row r="40539">
      <c r="D40539" s="9"/>
      <c r="G40539" s="9"/>
      <c r="J40539" s="11"/>
      <c r="U40539" s="9"/>
      <c r="X40539" s="9"/>
    </row>
    <row r="40540">
      <c r="D40540" s="9"/>
      <c r="G40540" s="9"/>
      <c r="J40540" s="11"/>
      <c r="U40540" s="9"/>
      <c r="X40540" s="9"/>
    </row>
    <row r="40541">
      <c r="D40541" s="9"/>
      <c r="G40541" s="9"/>
      <c r="J40541" s="11"/>
      <c r="U40541" s="9"/>
      <c r="X40541" s="9"/>
    </row>
    <row r="40542">
      <c r="D40542" s="9"/>
      <c r="G40542" s="9"/>
      <c r="J40542" s="11"/>
      <c r="U40542" s="9"/>
      <c r="X40542" s="9"/>
    </row>
    <row r="40543">
      <c r="D40543" s="9"/>
      <c r="G40543" s="9"/>
      <c r="J40543" s="11"/>
      <c r="U40543" s="9"/>
      <c r="X40543" s="9"/>
    </row>
    <row r="40544">
      <c r="D40544" s="9"/>
      <c r="G40544" s="9"/>
      <c r="J40544" s="11"/>
      <c r="U40544" s="9"/>
      <c r="X40544" s="9"/>
    </row>
    <row r="40545">
      <c r="D40545" s="9"/>
      <c r="G40545" s="9"/>
      <c r="J40545" s="11"/>
      <c r="U40545" s="9"/>
      <c r="X40545" s="9"/>
    </row>
    <row r="40546">
      <c r="D40546" s="9"/>
      <c r="G40546" s="9"/>
      <c r="J40546" s="11"/>
      <c r="U40546" s="9"/>
      <c r="X40546" s="9"/>
    </row>
    <row r="40547">
      <c r="D40547" s="9"/>
      <c r="G40547" s="9"/>
      <c r="J40547" s="11"/>
      <c r="U40547" s="9"/>
      <c r="X40547" s="9"/>
    </row>
    <row r="40548">
      <c r="D40548" s="9"/>
      <c r="G40548" s="9"/>
      <c r="J40548" s="11"/>
      <c r="U40548" s="9"/>
      <c r="X40548" s="9"/>
    </row>
    <row r="40549">
      <c r="D40549" s="9"/>
      <c r="G40549" s="9"/>
      <c r="J40549" s="11"/>
      <c r="U40549" s="9"/>
      <c r="X40549" s="9"/>
    </row>
    <row r="40550">
      <c r="D40550" s="9"/>
      <c r="G40550" s="9"/>
      <c r="J40550" s="11"/>
      <c r="U40550" s="9"/>
      <c r="X40550" s="9"/>
    </row>
    <row r="40551">
      <c r="D40551" s="9"/>
      <c r="G40551" s="9"/>
      <c r="J40551" s="11"/>
      <c r="U40551" s="9"/>
      <c r="X40551" s="9"/>
    </row>
    <row r="40552">
      <c r="D40552" s="9"/>
      <c r="G40552" s="9"/>
      <c r="J40552" s="11"/>
      <c r="U40552" s="9"/>
      <c r="X40552" s="9"/>
    </row>
    <row r="40553">
      <c r="D40553" s="9"/>
      <c r="G40553" s="9"/>
      <c r="J40553" s="11"/>
      <c r="U40553" s="9"/>
      <c r="X40553" s="9"/>
    </row>
    <row r="40554">
      <c r="D40554" s="9"/>
      <c r="G40554" s="9"/>
      <c r="J40554" s="11"/>
      <c r="U40554" s="9"/>
      <c r="X40554" s="9"/>
    </row>
    <row r="40555">
      <c r="D40555" s="9"/>
      <c r="G40555" s="9"/>
      <c r="J40555" s="11"/>
      <c r="U40555" s="9"/>
      <c r="X40555" s="9"/>
    </row>
    <row r="40556">
      <c r="D40556" s="9"/>
      <c r="G40556" s="9"/>
      <c r="J40556" s="11"/>
      <c r="U40556" s="9"/>
      <c r="X40556" s="9"/>
    </row>
    <row r="40557">
      <c r="D40557" s="9"/>
      <c r="G40557" s="9"/>
      <c r="J40557" s="11"/>
      <c r="U40557" s="9"/>
      <c r="X40557" s="9"/>
    </row>
    <row r="40558">
      <c r="D40558" s="9"/>
      <c r="G40558" s="9"/>
      <c r="J40558" s="11"/>
      <c r="U40558" s="9"/>
      <c r="X40558" s="9"/>
    </row>
    <row r="40559">
      <c r="D40559" s="9"/>
      <c r="G40559" s="9"/>
      <c r="J40559" s="11"/>
      <c r="U40559" s="9"/>
      <c r="X40559" s="9"/>
    </row>
    <row r="40560">
      <c r="D40560" s="9"/>
      <c r="G40560" s="9"/>
      <c r="J40560" s="11"/>
      <c r="U40560" s="9"/>
      <c r="X40560" s="9"/>
    </row>
    <row r="40561">
      <c r="D40561" s="9"/>
      <c r="G40561" s="9"/>
      <c r="J40561" s="11"/>
      <c r="U40561" s="9"/>
      <c r="X40561" s="9"/>
    </row>
    <row r="40562">
      <c r="D40562" s="9"/>
      <c r="G40562" s="9"/>
      <c r="J40562" s="11"/>
      <c r="U40562" s="9"/>
      <c r="X40562" s="9"/>
    </row>
    <row r="40563">
      <c r="D40563" s="9"/>
      <c r="G40563" s="9"/>
      <c r="J40563" s="11"/>
      <c r="U40563" s="9"/>
      <c r="X40563" s="9"/>
    </row>
    <row r="40564">
      <c r="D40564" s="9"/>
      <c r="G40564" s="9"/>
      <c r="J40564" s="11"/>
      <c r="U40564" s="9"/>
      <c r="X40564" s="9"/>
    </row>
    <row r="40565">
      <c r="D40565" s="9"/>
      <c r="G40565" s="9"/>
      <c r="J40565" s="11"/>
      <c r="U40565" s="9"/>
      <c r="X40565" s="9"/>
    </row>
    <row r="40566">
      <c r="D40566" s="9"/>
      <c r="G40566" s="9"/>
      <c r="J40566" s="11"/>
      <c r="U40566" s="9"/>
      <c r="X40566" s="9"/>
    </row>
    <row r="40567">
      <c r="D40567" s="9"/>
      <c r="G40567" s="9"/>
      <c r="J40567" s="11"/>
      <c r="U40567" s="9"/>
      <c r="X40567" s="9"/>
    </row>
    <row r="40568">
      <c r="D40568" s="9"/>
      <c r="G40568" s="9"/>
      <c r="J40568" s="11"/>
      <c r="U40568" s="9"/>
      <c r="X40568" s="9"/>
    </row>
    <row r="40569">
      <c r="D40569" s="9"/>
      <c r="G40569" s="9"/>
      <c r="J40569" s="11"/>
      <c r="U40569" s="9"/>
      <c r="X40569" s="9"/>
    </row>
    <row r="40570">
      <c r="D40570" s="9"/>
      <c r="G40570" s="9"/>
      <c r="J40570" s="11"/>
      <c r="U40570" s="9"/>
      <c r="X40570" s="9"/>
    </row>
    <row r="40571">
      <c r="D40571" s="9"/>
      <c r="G40571" s="9"/>
      <c r="J40571" s="11"/>
      <c r="U40571" s="9"/>
      <c r="X40571" s="9"/>
    </row>
    <row r="40572">
      <c r="D40572" s="9"/>
      <c r="G40572" s="9"/>
      <c r="J40572" s="11"/>
      <c r="U40572" s="9"/>
      <c r="X40572" s="9"/>
    </row>
    <row r="40573">
      <c r="D40573" s="9"/>
      <c r="G40573" s="9"/>
      <c r="J40573" s="11"/>
      <c r="U40573" s="9"/>
      <c r="X40573" s="9"/>
    </row>
    <row r="40574">
      <c r="D40574" s="9"/>
      <c r="G40574" s="9"/>
      <c r="J40574" s="11"/>
      <c r="U40574" s="9"/>
      <c r="X40574" s="9"/>
    </row>
    <row r="40575">
      <c r="D40575" s="9"/>
      <c r="G40575" s="9"/>
      <c r="J40575" s="11"/>
      <c r="U40575" s="9"/>
      <c r="X40575" s="9"/>
    </row>
    <row r="40576">
      <c r="D40576" s="9"/>
      <c r="G40576" s="9"/>
      <c r="J40576" s="11"/>
      <c r="U40576" s="9"/>
      <c r="X40576" s="9"/>
    </row>
    <row r="40577">
      <c r="D40577" s="9"/>
      <c r="G40577" s="9"/>
      <c r="J40577" s="11"/>
      <c r="U40577" s="9"/>
      <c r="X40577" s="9"/>
    </row>
    <row r="40578">
      <c r="D40578" s="9"/>
      <c r="G40578" s="9"/>
      <c r="J40578" s="11"/>
      <c r="U40578" s="9"/>
      <c r="X40578" s="9"/>
    </row>
    <row r="40579">
      <c r="D40579" s="9"/>
      <c r="G40579" s="9"/>
      <c r="J40579" s="11"/>
      <c r="U40579" s="9"/>
      <c r="X40579" s="9"/>
    </row>
    <row r="40580">
      <c r="D40580" s="9"/>
      <c r="G40580" s="9"/>
      <c r="J40580" s="11"/>
      <c r="U40580" s="9"/>
      <c r="X40580" s="9"/>
    </row>
    <row r="40581">
      <c r="D40581" s="9"/>
      <c r="G40581" s="9"/>
      <c r="J40581" s="11"/>
      <c r="U40581" s="9"/>
      <c r="X40581" s="9"/>
    </row>
    <row r="40582">
      <c r="D40582" s="9"/>
      <c r="G40582" s="9"/>
      <c r="J40582" s="11"/>
      <c r="U40582" s="9"/>
      <c r="X40582" s="9"/>
    </row>
    <row r="40583">
      <c r="D40583" s="9"/>
      <c r="G40583" s="9"/>
      <c r="J40583" s="11"/>
      <c r="U40583" s="9"/>
      <c r="X40583" s="9"/>
    </row>
    <row r="40584">
      <c r="D40584" s="9"/>
      <c r="G40584" s="9"/>
      <c r="J40584" s="11"/>
      <c r="U40584" s="9"/>
      <c r="X40584" s="9"/>
    </row>
    <row r="40585">
      <c r="D40585" s="9"/>
      <c r="G40585" s="9"/>
      <c r="J40585" s="11"/>
      <c r="U40585" s="9"/>
      <c r="X40585" s="9"/>
    </row>
    <row r="40586">
      <c r="D40586" s="9"/>
      <c r="G40586" s="9"/>
      <c r="J40586" s="11"/>
      <c r="U40586" s="9"/>
      <c r="X40586" s="9"/>
    </row>
    <row r="40587">
      <c r="D40587" s="9"/>
      <c r="G40587" s="9"/>
      <c r="J40587" s="11"/>
      <c r="U40587" s="9"/>
      <c r="X40587" s="9"/>
    </row>
    <row r="40588">
      <c r="D40588" s="9"/>
      <c r="G40588" s="9"/>
      <c r="J40588" s="11"/>
      <c r="U40588" s="9"/>
      <c r="X40588" s="9"/>
    </row>
    <row r="40589">
      <c r="D40589" s="9"/>
      <c r="G40589" s="9"/>
      <c r="J40589" s="11"/>
      <c r="U40589" s="9"/>
      <c r="X40589" s="9"/>
    </row>
    <row r="40590">
      <c r="D40590" s="9"/>
      <c r="G40590" s="9"/>
      <c r="J40590" s="11"/>
      <c r="U40590" s="9"/>
      <c r="X40590" s="9"/>
    </row>
    <row r="40591">
      <c r="D40591" s="9"/>
      <c r="G40591" s="9"/>
      <c r="J40591" s="11"/>
      <c r="U40591" s="9"/>
      <c r="X40591" s="9"/>
    </row>
    <row r="40592">
      <c r="D40592" s="9"/>
      <c r="G40592" s="9"/>
      <c r="J40592" s="11"/>
      <c r="U40592" s="9"/>
      <c r="X40592" s="9"/>
    </row>
    <row r="40593">
      <c r="D40593" s="9"/>
      <c r="G40593" s="9"/>
      <c r="J40593" s="11"/>
      <c r="U40593" s="9"/>
      <c r="X40593" s="9"/>
    </row>
    <row r="40594">
      <c r="D40594" s="9"/>
      <c r="G40594" s="9"/>
      <c r="J40594" s="11"/>
      <c r="U40594" s="9"/>
      <c r="X40594" s="9"/>
    </row>
    <row r="40595">
      <c r="D40595" s="9"/>
      <c r="G40595" s="9"/>
      <c r="J40595" s="11"/>
      <c r="U40595" s="9"/>
      <c r="X40595" s="9"/>
    </row>
    <row r="40596">
      <c r="D40596" s="9"/>
      <c r="G40596" s="9"/>
      <c r="J40596" s="11"/>
      <c r="U40596" s="9"/>
      <c r="X40596" s="9"/>
    </row>
    <row r="40597">
      <c r="D40597" s="9"/>
      <c r="G40597" s="9"/>
      <c r="J40597" s="11"/>
      <c r="U40597" s="9"/>
      <c r="X40597" s="9"/>
    </row>
    <row r="40598">
      <c r="D40598" s="9"/>
      <c r="G40598" s="9"/>
      <c r="J40598" s="11"/>
      <c r="U40598" s="9"/>
      <c r="X40598" s="9"/>
    </row>
    <row r="40599">
      <c r="D40599" s="9"/>
      <c r="G40599" s="9"/>
      <c r="J40599" s="11"/>
      <c r="U40599" s="9"/>
      <c r="X40599" s="9"/>
    </row>
    <row r="40600">
      <c r="D40600" s="9"/>
      <c r="G40600" s="9"/>
      <c r="J40600" s="11"/>
      <c r="U40600" s="9"/>
      <c r="X40600" s="9"/>
    </row>
    <row r="40601">
      <c r="D40601" s="9"/>
      <c r="G40601" s="9"/>
      <c r="J40601" s="11"/>
      <c r="U40601" s="9"/>
      <c r="X40601" s="9"/>
    </row>
    <row r="40602">
      <c r="D40602" s="9"/>
      <c r="G40602" s="9"/>
      <c r="J40602" s="11"/>
      <c r="U40602" s="9"/>
      <c r="X40602" s="9"/>
    </row>
    <row r="40603">
      <c r="D40603" s="9"/>
      <c r="G40603" s="9"/>
      <c r="J40603" s="11"/>
      <c r="U40603" s="9"/>
      <c r="X40603" s="9"/>
    </row>
    <row r="40604">
      <c r="D40604" s="9"/>
      <c r="G40604" s="9"/>
      <c r="J40604" s="11"/>
      <c r="U40604" s="9"/>
      <c r="X40604" s="9"/>
    </row>
    <row r="40605">
      <c r="D40605" s="9"/>
      <c r="G40605" s="9"/>
      <c r="J40605" s="11"/>
      <c r="U40605" s="9"/>
      <c r="X40605" s="9"/>
    </row>
    <row r="40606">
      <c r="D40606" s="9"/>
      <c r="G40606" s="9"/>
      <c r="J40606" s="11"/>
      <c r="U40606" s="9"/>
      <c r="X40606" s="9"/>
    </row>
    <row r="40607">
      <c r="D40607" s="9"/>
      <c r="G40607" s="9"/>
      <c r="J40607" s="11"/>
      <c r="U40607" s="9"/>
      <c r="X40607" s="9"/>
    </row>
    <row r="40608">
      <c r="D40608" s="9"/>
      <c r="G40608" s="9"/>
      <c r="J40608" s="11"/>
      <c r="U40608" s="9"/>
      <c r="X40608" s="9"/>
    </row>
    <row r="40609">
      <c r="D40609" s="9"/>
      <c r="G40609" s="9"/>
      <c r="J40609" s="11"/>
      <c r="U40609" s="9"/>
      <c r="X40609" s="9"/>
    </row>
    <row r="40610">
      <c r="D40610" s="9"/>
      <c r="G40610" s="9"/>
      <c r="J40610" s="11"/>
      <c r="U40610" s="9"/>
      <c r="X40610" s="9"/>
    </row>
    <row r="40611">
      <c r="D40611" s="9"/>
      <c r="G40611" s="9"/>
      <c r="J40611" s="11"/>
      <c r="U40611" s="9"/>
      <c r="X40611" s="9"/>
    </row>
    <row r="40612">
      <c r="D40612" s="9"/>
      <c r="G40612" s="9"/>
      <c r="J40612" s="11"/>
      <c r="U40612" s="9"/>
      <c r="X40612" s="9"/>
    </row>
    <row r="40613">
      <c r="D40613" s="9"/>
      <c r="G40613" s="9"/>
      <c r="J40613" s="11"/>
      <c r="U40613" s="9"/>
      <c r="X40613" s="9"/>
    </row>
    <row r="40614">
      <c r="D40614" s="9"/>
      <c r="G40614" s="9"/>
      <c r="J40614" s="11"/>
      <c r="U40614" s="9"/>
      <c r="X40614" s="9"/>
    </row>
    <row r="40615">
      <c r="D40615" s="9"/>
      <c r="G40615" s="9"/>
      <c r="J40615" s="11"/>
      <c r="U40615" s="9"/>
      <c r="X40615" s="9"/>
    </row>
    <row r="40616">
      <c r="D40616" s="9"/>
      <c r="G40616" s="9"/>
      <c r="J40616" s="11"/>
      <c r="U40616" s="9"/>
      <c r="X40616" s="9"/>
    </row>
    <row r="40617">
      <c r="D40617" s="9"/>
      <c r="G40617" s="9"/>
      <c r="J40617" s="11"/>
      <c r="U40617" s="9"/>
      <c r="X40617" s="9"/>
    </row>
    <row r="40618">
      <c r="D40618" s="9"/>
      <c r="G40618" s="9"/>
      <c r="J40618" s="11"/>
      <c r="U40618" s="9"/>
      <c r="X40618" s="9"/>
    </row>
    <row r="40619">
      <c r="D40619" s="9"/>
      <c r="G40619" s="9"/>
      <c r="J40619" s="11"/>
      <c r="U40619" s="9"/>
      <c r="X40619" s="9"/>
    </row>
    <row r="40620">
      <c r="D40620" s="9"/>
      <c r="G40620" s="9"/>
      <c r="J40620" s="11"/>
      <c r="U40620" s="9"/>
      <c r="X40620" s="9"/>
    </row>
    <row r="40621">
      <c r="D40621" s="9"/>
      <c r="G40621" s="9"/>
      <c r="J40621" s="11"/>
      <c r="U40621" s="9"/>
      <c r="X40621" s="9"/>
    </row>
    <row r="40622">
      <c r="D40622" s="9"/>
      <c r="G40622" s="9"/>
      <c r="J40622" s="11"/>
      <c r="U40622" s="9"/>
      <c r="X40622" s="9"/>
    </row>
    <row r="40623">
      <c r="D40623" s="9"/>
      <c r="G40623" s="9"/>
      <c r="J40623" s="11"/>
      <c r="U40623" s="9"/>
      <c r="X40623" s="9"/>
    </row>
    <row r="40624">
      <c r="D40624" s="9"/>
      <c r="G40624" s="9"/>
      <c r="J40624" s="11"/>
      <c r="U40624" s="9"/>
      <c r="X40624" s="9"/>
    </row>
    <row r="40625">
      <c r="D40625" s="9"/>
      <c r="G40625" s="9"/>
      <c r="J40625" s="11"/>
      <c r="U40625" s="9"/>
      <c r="X40625" s="9"/>
    </row>
    <row r="40626">
      <c r="D40626" s="9"/>
      <c r="G40626" s="9"/>
      <c r="J40626" s="11"/>
      <c r="U40626" s="9"/>
      <c r="X40626" s="9"/>
    </row>
    <row r="40627">
      <c r="D40627" s="9"/>
      <c r="G40627" s="9"/>
      <c r="J40627" s="11"/>
      <c r="U40627" s="9"/>
      <c r="X40627" s="9"/>
    </row>
    <row r="40628">
      <c r="D40628" s="9"/>
      <c r="G40628" s="9"/>
      <c r="J40628" s="11"/>
      <c r="U40628" s="9"/>
      <c r="X40628" s="9"/>
    </row>
    <row r="40629">
      <c r="D40629" s="9"/>
      <c r="G40629" s="9"/>
      <c r="J40629" s="11"/>
      <c r="U40629" s="9"/>
      <c r="X40629" s="9"/>
    </row>
    <row r="40630">
      <c r="D40630" s="9"/>
      <c r="G40630" s="9"/>
      <c r="J40630" s="11"/>
      <c r="U40630" s="9"/>
      <c r="X40630" s="9"/>
    </row>
    <row r="40631">
      <c r="D40631" s="9"/>
      <c r="G40631" s="9"/>
      <c r="J40631" s="11"/>
      <c r="U40631" s="9"/>
      <c r="X40631" s="9"/>
    </row>
    <row r="40632">
      <c r="D40632" s="9"/>
      <c r="G40632" s="9"/>
      <c r="J40632" s="11"/>
      <c r="U40632" s="9"/>
      <c r="X40632" s="9"/>
    </row>
    <row r="40633">
      <c r="D40633" s="9"/>
      <c r="G40633" s="9"/>
      <c r="J40633" s="11"/>
      <c r="U40633" s="9"/>
      <c r="X40633" s="9"/>
    </row>
    <row r="40634">
      <c r="D40634" s="9"/>
      <c r="G40634" s="9"/>
      <c r="J40634" s="11"/>
      <c r="U40634" s="9"/>
      <c r="X40634" s="9"/>
    </row>
    <row r="40635">
      <c r="D40635" s="9"/>
      <c r="G40635" s="9"/>
      <c r="J40635" s="11"/>
      <c r="U40635" s="9"/>
      <c r="X40635" s="9"/>
    </row>
    <row r="40636">
      <c r="D40636" s="9"/>
      <c r="G40636" s="9"/>
      <c r="J40636" s="11"/>
      <c r="U40636" s="9"/>
      <c r="X40636" s="9"/>
    </row>
    <row r="40637">
      <c r="D40637" s="9"/>
      <c r="G40637" s="9"/>
      <c r="J40637" s="11"/>
      <c r="U40637" s="9"/>
      <c r="X40637" s="9"/>
    </row>
    <row r="40638">
      <c r="D40638" s="9"/>
      <c r="G40638" s="9"/>
      <c r="J40638" s="11"/>
      <c r="U40638" s="9"/>
      <c r="X40638" s="9"/>
    </row>
    <row r="40639">
      <c r="D40639" s="9"/>
      <c r="G40639" s="9"/>
      <c r="J40639" s="11"/>
      <c r="U40639" s="9"/>
      <c r="X40639" s="9"/>
    </row>
    <row r="40640">
      <c r="D40640" s="9"/>
      <c r="G40640" s="9"/>
      <c r="J40640" s="11"/>
      <c r="U40640" s="9"/>
      <c r="X40640" s="9"/>
    </row>
    <row r="40641">
      <c r="D40641" s="9"/>
      <c r="G40641" s="9"/>
      <c r="J40641" s="11"/>
      <c r="U40641" s="9"/>
      <c r="X40641" s="9"/>
    </row>
    <row r="40642">
      <c r="D40642" s="9"/>
      <c r="G40642" s="9"/>
      <c r="J40642" s="11"/>
      <c r="U40642" s="9"/>
      <c r="X40642" s="9"/>
    </row>
    <row r="40643">
      <c r="D40643" s="9"/>
      <c r="G40643" s="9"/>
      <c r="J40643" s="11"/>
      <c r="U40643" s="9"/>
      <c r="X40643" s="9"/>
    </row>
    <row r="40644">
      <c r="D40644" s="9"/>
      <c r="G40644" s="9"/>
      <c r="J40644" s="11"/>
      <c r="U40644" s="9"/>
      <c r="X40644" s="9"/>
    </row>
    <row r="40645">
      <c r="D40645" s="9"/>
      <c r="G40645" s="9"/>
      <c r="J40645" s="11"/>
      <c r="U40645" s="9"/>
      <c r="X40645" s="9"/>
    </row>
    <row r="40646">
      <c r="D40646" s="9"/>
      <c r="G40646" s="9"/>
      <c r="J40646" s="11"/>
      <c r="U40646" s="9"/>
      <c r="X40646" s="9"/>
    </row>
    <row r="40647">
      <c r="D40647" s="9"/>
      <c r="G40647" s="9"/>
      <c r="J40647" s="11"/>
      <c r="U40647" s="9"/>
      <c r="X40647" s="9"/>
    </row>
    <row r="40648">
      <c r="D40648" s="9"/>
      <c r="G40648" s="9"/>
      <c r="J40648" s="11"/>
      <c r="U40648" s="9"/>
      <c r="X40648" s="9"/>
    </row>
    <row r="40649">
      <c r="D40649" s="9"/>
      <c r="G40649" s="9"/>
      <c r="J40649" s="11"/>
      <c r="U40649" s="9"/>
      <c r="X40649" s="9"/>
    </row>
    <row r="40650">
      <c r="D40650" s="9"/>
      <c r="G40650" s="9"/>
      <c r="J40650" s="11"/>
      <c r="U40650" s="9"/>
      <c r="X40650" s="9"/>
    </row>
    <row r="40651">
      <c r="D40651" s="9"/>
      <c r="G40651" s="9"/>
      <c r="J40651" s="11"/>
      <c r="U40651" s="9"/>
      <c r="X40651" s="9"/>
    </row>
    <row r="40652">
      <c r="D40652" s="9"/>
      <c r="G40652" s="9"/>
      <c r="J40652" s="11"/>
      <c r="U40652" s="9"/>
      <c r="X40652" s="9"/>
    </row>
    <row r="40653">
      <c r="D40653" s="9"/>
      <c r="G40653" s="9"/>
      <c r="J40653" s="11"/>
      <c r="U40653" s="9"/>
      <c r="X40653" s="9"/>
    </row>
    <row r="40654">
      <c r="D40654" s="9"/>
      <c r="G40654" s="9"/>
      <c r="J40654" s="11"/>
      <c r="U40654" s="9"/>
      <c r="X40654" s="9"/>
    </row>
    <row r="40655">
      <c r="D40655" s="9"/>
      <c r="G40655" s="9"/>
      <c r="J40655" s="11"/>
      <c r="U40655" s="9"/>
      <c r="X40655" s="9"/>
    </row>
    <row r="40656">
      <c r="D40656" s="9"/>
      <c r="G40656" s="9"/>
      <c r="J40656" s="11"/>
      <c r="U40656" s="9"/>
      <c r="X40656" s="9"/>
    </row>
    <row r="40657">
      <c r="D40657" s="9"/>
      <c r="G40657" s="9"/>
      <c r="J40657" s="11"/>
      <c r="U40657" s="9"/>
      <c r="X40657" s="9"/>
    </row>
    <row r="40658">
      <c r="D40658" s="9"/>
      <c r="G40658" s="9"/>
      <c r="J40658" s="11"/>
      <c r="U40658" s="9"/>
      <c r="X40658" s="9"/>
    </row>
    <row r="40659">
      <c r="D40659" s="9"/>
      <c r="G40659" s="9"/>
      <c r="J40659" s="11"/>
      <c r="U40659" s="9"/>
      <c r="X40659" s="9"/>
    </row>
    <row r="40660">
      <c r="D40660" s="9"/>
      <c r="G40660" s="9"/>
      <c r="J40660" s="11"/>
      <c r="U40660" s="9"/>
      <c r="X40660" s="9"/>
    </row>
    <row r="40661">
      <c r="D40661" s="9"/>
      <c r="G40661" s="9"/>
      <c r="J40661" s="11"/>
      <c r="U40661" s="9"/>
      <c r="X40661" s="9"/>
    </row>
    <row r="40662">
      <c r="D40662" s="9"/>
      <c r="G40662" s="9"/>
      <c r="J40662" s="11"/>
      <c r="U40662" s="9"/>
      <c r="X40662" s="9"/>
    </row>
    <row r="40663">
      <c r="D40663" s="9"/>
      <c r="G40663" s="9"/>
      <c r="J40663" s="11"/>
      <c r="U40663" s="9"/>
      <c r="X40663" s="9"/>
    </row>
    <row r="40664">
      <c r="D40664" s="9"/>
      <c r="G40664" s="9"/>
      <c r="J40664" s="11"/>
      <c r="U40664" s="9"/>
      <c r="X40664" s="9"/>
    </row>
    <row r="40665">
      <c r="D40665" s="9"/>
      <c r="G40665" s="9"/>
      <c r="J40665" s="11"/>
      <c r="U40665" s="9"/>
      <c r="X40665" s="9"/>
    </row>
    <row r="40666">
      <c r="D40666" s="9"/>
      <c r="G40666" s="9"/>
      <c r="J40666" s="11"/>
      <c r="U40666" s="9"/>
      <c r="X40666" s="9"/>
    </row>
    <row r="40667">
      <c r="D40667" s="9"/>
      <c r="G40667" s="9"/>
      <c r="J40667" s="11"/>
      <c r="U40667" s="9"/>
      <c r="X40667" s="9"/>
    </row>
    <row r="40668">
      <c r="D40668" s="9"/>
      <c r="G40668" s="9"/>
      <c r="J40668" s="11"/>
      <c r="U40668" s="9"/>
      <c r="X40668" s="9"/>
    </row>
    <row r="40669">
      <c r="D40669" s="9"/>
      <c r="G40669" s="9"/>
      <c r="J40669" s="11"/>
      <c r="U40669" s="9"/>
      <c r="X40669" s="9"/>
    </row>
    <row r="40670">
      <c r="D40670" s="9"/>
      <c r="G40670" s="9"/>
      <c r="J40670" s="11"/>
      <c r="U40670" s="9"/>
      <c r="X40670" s="9"/>
    </row>
    <row r="40671">
      <c r="D40671" s="9"/>
      <c r="G40671" s="9"/>
      <c r="J40671" s="11"/>
      <c r="U40671" s="9"/>
      <c r="X40671" s="9"/>
    </row>
    <row r="40672">
      <c r="D40672" s="9"/>
      <c r="G40672" s="9"/>
      <c r="J40672" s="11"/>
      <c r="U40672" s="9"/>
      <c r="X40672" s="9"/>
    </row>
    <row r="40673">
      <c r="D40673" s="9"/>
      <c r="G40673" s="9"/>
      <c r="J40673" s="11"/>
      <c r="U40673" s="9"/>
      <c r="X40673" s="9"/>
    </row>
    <row r="40674">
      <c r="D40674" s="9"/>
      <c r="G40674" s="9"/>
      <c r="J40674" s="11"/>
      <c r="U40674" s="9"/>
      <c r="X40674" s="9"/>
    </row>
    <row r="40675">
      <c r="D40675" s="9"/>
      <c r="G40675" s="9"/>
      <c r="J40675" s="11"/>
      <c r="U40675" s="9"/>
      <c r="X40675" s="9"/>
    </row>
    <row r="40676">
      <c r="D40676" s="9"/>
      <c r="G40676" s="9"/>
      <c r="J40676" s="11"/>
      <c r="U40676" s="9"/>
      <c r="X40676" s="9"/>
    </row>
    <row r="40677">
      <c r="D40677" s="9"/>
      <c r="G40677" s="9"/>
      <c r="J40677" s="11"/>
      <c r="U40677" s="9"/>
      <c r="X40677" s="9"/>
    </row>
    <row r="40678">
      <c r="D40678" s="9"/>
      <c r="G40678" s="9"/>
      <c r="J40678" s="11"/>
      <c r="U40678" s="9"/>
      <c r="X40678" s="9"/>
    </row>
    <row r="40679">
      <c r="D40679" s="9"/>
      <c r="G40679" s="9"/>
      <c r="J40679" s="11"/>
      <c r="U40679" s="9"/>
      <c r="X40679" s="9"/>
    </row>
    <row r="40680">
      <c r="D40680" s="9"/>
      <c r="G40680" s="9"/>
      <c r="J40680" s="11"/>
      <c r="U40680" s="9"/>
      <c r="X40680" s="9"/>
    </row>
    <row r="40681">
      <c r="D40681" s="9"/>
      <c r="G40681" s="9"/>
      <c r="J40681" s="11"/>
      <c r="U40681" s="9"/>
      <c r="X40681" s="9"/>
    </row>
    <row r="40682">
      <c r="D40682" s="9"/>
      <c r="G40682" s="9"/>
      <c r="J40682" s="11"/>
      <c r="U40682" s="9"/>
      <c r="X40682" s="9"/>
    </row>
    <row r="40683">
      <c r="D40683" s="9"/>
      <c r="G40683" s="9"/>
      <c r="J40683" s="11"/>
      <c r="U40683" s="9"/>
      <c r="X40683" s="9"/>
    </row>
    <row r="40684">
      <c r="D40684" s="9"/>
      <c r="G40684" s="9"/>
      <c r="J40684" s="11"/>
      <c r="U40684" s="9"/>
      <c r="X40684" s="9"/>
    </row>
    <row r="40685">
      <c r="D40685" s="9"/>
      <c r="G40685" s="9"/>
      <c r="J40685" s="11"/>
      <c r="U40685" s="9"/>
      <c r="X40685" s="9"/>
    </row>
    <row r="40686">
      <c r="D40686" s="9"/>
      <c r="G40686" s="9"/>
      <c r="J40686" s="11"/>
      <c r="U40686" s="9"/>
      <c r="X40686" s="9"/>
    </row>
    <row r="40687">
      <c r="D40687" s="9"/>
      <c r="G40687" s="9"/>
      <c r="J40687" s="11"/>
      <c r="U40687" s="9"/>
      <c r="X40687" s="9"/>
    </row>
    <row r="40688">
      <c r="D40688" s="9"/>
      <c r="G40688" s="9"/>
      <c r="J40688" s="11"/>
      <c r="U40688" s="9"/>
      <c r="X40688" s="9"/>
    </row>
    <row r="40689">
      <c r="D40689" s="9"/>
      <c r="G40689" s="9"/>
      <c r="J40689" s="11"/>
      <c r="U40689" s="9"/>
      <c r="X40689" s="9"/>
    </row>
    <row r="40690">
      <c r="D40690" s="9"/>
      <c r="G40690" s="9"/>
      <c r="J40690" s="11"/>
      <c r="U40690" s="9"/>
      <c r="X40690" s="9"/>
    </row>
    <row r="40691">
      <c r="D40691" s="9"/>
      <c r="G40691" s="9"/>
      <c r="J40691" s="11"/>
      <c r="U40691" s="9"/>
      <c r="X40691" s="9"/>
    </row>
    <row r="40692">
      <c r="D40692" s="9"/>
      <c r="G40692" s="9"/>
      <c r="J40692" s="11"/>
      <c r="U40692" s="9"/>
      <c r="X40692" s="9"/>
    </row>
    <row r="40693">
      <c r="D40693" s="9"/>
      <c r="G40693" s="9"/>
      <c r="J40693" s="11"/>
      <c r="U40693" s="9"/>
      <c r="X40693" s="9"/>
    </row>
    <row r="40694">
      <c r="D40694" s="9"/>
      <c r="G40694" s="9"/>
      <c r="J40694" s="11"/>
      <c r="U40694" s="9"/>
      <c r="X40694" s="9"/>
    </row>
    <row r="40695">
      <c r="D40695" s="9"/>
      <c r="G40695" s="9"/>
      <c r="J40695" s="11"/>
      <c r="U40695" s="9"/>
      <c r="X40695" s="9"/>
    </row>
    <row r="40696">
      <c r="D40696" s="9"/>
      <c r="G40696" s="9"/>
      <c r="J40696" s="11"/>
      <c r="U40696" s="9"/>
      <c r="X40696" s="9"/>
    </row>
    <row r="40697">
      <c r="D40697" s="9"/>
      <c r="G40697" s="9"/>
      <c r="J40697" s="11"/>
      <c r="U40697" s="9"/>
      <c r="X40697" s="9"/>
    </row>
    <row r="40698">
      <c r="D40698" s="9"/>
      <c r="G40698" s="9"/>
      <c r="J40698" s="11"/>
      <c r="U40698" s="9"/>
      <c r="X40698" s="9"/>
    </row>
    <row r="40699">
      <c r="D40699" s="9"/>
      <c r="G40699" s="9"/>
      <c r="J40699" s="11"/>
      <c r="U40699" s="9"/>
      <c r="X40699" s="9"/>
    </row>
    <row r="40700">
      <c r="D40700" s="9"/>
      <c r="G40700" s="9"/>
      <c r="J40700" s="11"/>
      <c r="U40700" s="9"/>
      <c r="X40700" s="9"/>
    </row>
    <row r="40701">
      <c r="D40701" s="9"/>
      <c r="G40701" s="9"/>
      <c r="J40701" s="11"/>
      <c r="U40701" s="9"/>
      <c r="X40701" s="9"/>
    </row>
    <row r="40702">
      <c r="D40702" s="9"/>
      <c r="G40702" s="9"/>
      <c r="J40702" s="11"/>
      <c r="U40702" s="9"/>
      <c r="X40702" s="9"/>
    </row>
    <row r="40703">
      <c r="D40703" s="9"/>
      <c r="G40703" s="9"/>
      <c r="J40703" s="11"/>
      <c r="U40703" s="9"/>
      <c r="X40703" s="9"/>
    </row>
    <row r="40704">
      <c r="D40704" s="9"/>
      <c r="G40704" s="9"/>
      <c r="J40704" s="11"/>
      <c r="U40704" s="9"/>
      <c r="X40704" s="9"/>
    </row>
    <row r="40705">
      <c r="D40705" s="9"/>
      <c r="G40705" s="9"/>
      <c r="J40705" s="11"/>
      <c r="U40705" s="9"/>
      <c r="X40705" s="9"/>
    </row>
    <row r="40706">
      <c r="D40706" s="9"/>
      <c r="G40706" s="9"/>
      <c r="J40706" s="11"/>
      <c r="U40706" s="9"/>
      <c r="X40706" s="9"/>
    </row>
    <row r="40707">
      <c r="D40707" s="9"/>
      <c r="G40707" s="9"/>
      <c r="J40707" s="11"/>
      <c r="U40707" s="9"/>
      <c r="X40707" s="9"/>
    </row>
    <row r="40708">
      <c r="D40708" s="9"/>
      <c r="G40708" s="9"/>
      <c r="J40708" s="11"/>
      <c r="U40708" s="9"/>
      <c r="X40708" s="9"/>
    </row>
    <row r="40709">
      <c r="D40709" s="9"/>
      <c r="G40709" s="9"/>
      <c r="J40709" s="11"/>
      <c r="U40709" s="9"/>
      <c r="X40709" s="9"/>
    </row>
    <row r="40710">
      <c r="D40710" s="9"/>
      <c r="G40710" s="9"/>
      <c r="J40710" s="11"/>
      <c r="U40710" s="9"/>
      <c r="X40710" s="9"/>
    </row>
    <row r="40711">
      <c r="D40711" s="9"/>
      <c r="G40711" s="9"/>
      <c r="J40711" s="11"/>
      <c r="U40711" s="9"/>
      <c r="X40711" s="9"/>
    </row>
    <row r="40712">
      <c r="D40712" s="9"/>
      <c r="G40712" s="9"/>
      <c r="J40712" s="11"/>
      <c r="U40712" s="9"/>
      <c r="X40712" s="9"/>
    </row>
    <row r="40713">
      <c r="D40713" s="9"/>
      <c r="G40713" s="9"/>
      <c r="J40713" s="11"/>
      <c r="U40713" s="9"/>
      <c r="X40713" s="9"/>
    </row>
    <row r="40714">
      <c r="D40714" s="9"/>
      <c r="G40714" s="9"/>
      <c r="J40714" s="11"/>
      <c r="U40714" s="9"/>
      <c r="X40714" s="9"/>
    </row>
    <row r="40715">
      <c r="D40715" s="9"/>
      <c r="G40715" s="9"/>
      <c r="J40715" s="11"/>
      <c r="U40715" s="9"/>
      <c r="X40715" s="9"/>
    </row>
    <row r="40716">
      <c r="D40716" s="9"/>
      <c r="G40716" s="9"/>
      <c r="J40716" s="11"/>
      <c r="U40716" s="9"/>
      <c r="X40716" s="9"/>
    </row>
    <row r="40717">
      <c r="D40717" s="9"/>
      <c r="G40717" s="9"/>
      <c r="J40717" s="11"/>
      <c r="U40717" s="9"/>
      <c r="X40717" s="9"/>
    </row>
    <row r="40718">
      <c r="D40718" s="9"/>
      <c r="G40718" s="9"/>
      <c r="J40718" s="11"/>
      <c r="U40718" s="9"/>
      <c r="X40718" s="9"/>
    </row>
    <row r="40719">
      <c r="D40719" s="9"/>
      <c r="G40719" s="9"/>
      <c r="J40719" s="11"/>
      <c r="U40719" s="9"/>
      <c r="X40719" s="9"/>
    </row>
    <row r="40720">
      <c r="D40720" s="9"/>
      <c r="G40720" s="9"/>
      <c r="J40720" s="11"/>
      <c r="U40720" s="9"/>
      <c r="X40720" s="9"/>
    </row>
    <row r="40721">
      <c r="D40721" s="9"/>
      <c r="G40721" s="9"/>
      <c r="J40721" s="11"/>
      <c r="U40721" s="9"/>
      <c r="X40721" s="9"/>
    </row>
    <row r="40722">
      <c r="D40722" s="9"/>
      <c r="G40722" s="9"/>
      <c r="J40722" s="11"/>
      <c r="U40722" s="9"/>
      <c r="X40722" s="9"/>
    </row>
    <row r="40723">
      <c r="D40723" s="9"/>
      <c r="G40723" s="9"/>
      <c r="J40723" s="11"/>
      <c r="U40723" s="9"/>
      <c r="X40723" s="9"/>
    </row>
    <row r="40724">
      <c r="D40724" s="9"/>
      <c r="G40724" s="9"/>
      <c r="J40724" s="11"/>
      <c r="U40724" s="9"/>
      <c r="X40724" s="9"/>
    </row>
    <row r="40725">
      <c r="D40725" s="9"/>
      <c r="G40725" s="9"/>
      <c r="J40725" s="11"/>
      <c r="U40725" s="9"/>
      <c r="X40725" s="9"/>
    </row>
    <row r="40726">
      <c r="D40726" s="9"/>
      <c r="G40726" s="9"/>
      <c r="J40726" s="11"/>
      <c r="U40726" s="9"/>
      <c r="X40726" s="9"/>
    </row>
    <row r="40727">
      <c r="D40727" s="9"/>
      <c r="G40727" s="9"/>
      <c r="J40727" s="11"/>
      <c r="U40727" s="9"/>
      <c r="X40727" s="9"/>
    </row>
    <row r="40728">
      <c r="D40728" s="9"/>
      <c r="G40728" s="9"/>
      <c r="J40728" s="11"/>
      <c r="U40728" s="9"/>
      <c r="X40728" s="9"/>
    </row>
    <row r="40729">
      <c r="D40729" s="9"/>
      <c r="G40729" s="9"/>
      <c r="J40729" s="11"/>
      <c r="U40729" s="9"/>
      <c r="X40729" s="9"/>
    </row>
    <row r="40730">
      <c r="D40730" s="9"/>
      <c r="G40730" s="9"/>
      <c r="J40730" s="11"/>
      <c r="U40730" s="9"/>
      <c r="X40730" s="9"/>
    </row>
    <row r="40731">
      <c r="D40731" s="9"/>
      <c r="G40731" s="9"/>
      <c r="J40731" s="11"/>
      <c r="U40731" s="9"/>
      <c r="X40731" s="9"/>
    </row>
    <row r="40732">
      <c r="D40732" s="9"/>
      <c r="G40732" s="9"/>
      <c r="J40732" s="11"/>
      <c r="U40732" s="9"/>
      <c r="X40732" s="9"/>
    </row>
    <row r="40733">
      <c r="D40733" s="9"/>
      <c r="G40733" s="9"/>
      <c r="J40733" s="11"/>
      <c r="U40733" s="9"/>
      <c r="X40733" s="9"/>
    </row>
    <row r="40734">
      <c r="D40734" s="9"/>
      <c r="G40734" s="9"/>
      <c r="J40734" s="11"/>
      <c r="U40734" s="9"/>
      <c r="X40734" s="9"/>
    </row>
    <row r="40735">
      <c r="D40735" s="9"/>
      <c r="G40735" s="9"/>
      <c r="J40735" s="11"/>
      <c r="U40735" s="9"/>
      <c r="X40735" s="9"/>
    </row>
    <row r="40736">
      <c r="D40736" s="9"/>
      <c r="G40736" s="9"/>
      <c r="J40736" s="11"/>
      <c r="U40736" s="9"/>
      <c r="X40736" s="9"/>
    </row>
    <row r="40737">
      <c r="D40737" s="9"/>
      <c r="G40737" s="9"/>
      <c r="J40737" s="11"/>
      <c r="U40737" s="9"/>
      <c r="X40737" s="9"/>
    </row>
    <row r="40738">
      <c r="D40738" s="9"/>
      <c r="G40738" s="9"/>
      <c r="J40738" s="11"/>
      <c r="U40738" s="9"/>
      <c r="X40738" s="9"/>
    </row>
    <row r="40739">
      <c r="D40739" s="9"/>
      <c r="G40739" s="9"/>
      <c r="J40739" s="11"/>
      <c r="U40739" s="9"/>
      <c r="X40739" s="9"/>
    </row>
    <row r="40740">
      <c r="D40740" s="9"/>
      <c r="G40740" s="9"/>
      <c r="J40740" s="11"/>
      <c r="U40740" s="9"/>
      <c r="X40740" s="9"/>
    </row>
    <row r="40741">
      <c r="D40741" s="9"/>
      <c r="G40741" s="9"/>
      <c r="J40741" s="11"/>
      <c r="U40741" s="9"/>
      <c r="X40741" s="9"/>
    </row>
    <row r="40742">
      <c r="D40742" s="9"/>
      <c r="G40742" s="9"/>
      <c r="J40742" s="11"/>
      <c r="U40742" s="9"/>
      <c r="X40742" s="9"/>
    </row>
    <row r="40743">
      <c r="D40743" s="9"/>
      <c r="G40743" s="9"/>
      <c r="J40743" s="11"/>
      <c r="U40743" s="9"/>
      <c r="X40743" s="9"/>
    </row>
    <row r="40744">
      <c r="D40744" s="9"/>
      <c r="G40744" s="9"/>
      <c r="J40744" s="11"/>
      <c r="U40744" s="9"/>
      <c r="X40744" s="9"/>
    </row>
    <row r="40745">
      <c r="D40745" s="9"/>
      <c r="G40745" s="9"/>
      <c r="J40745" s="11"/>
      <c r="U40745" s="9"/>
      <c r="X40745" s="9"/>
    </row>
    <row r="40746">
      <c r="D40746" s="9"/>
      <c r="G40746" s="9"/>
      <c r="J40746" s="11"/>
      <c r="U40746" s="9"/>
      <c r="X40746" s="9"/>
    </row>
    <row r="40747">
      <c r="D40747" s="9"/>
      <c r="G40747" s="9"/>
      <c r="J40747" s="11"/>
      <c r="U40747" s="9"/>
      <c r="X40747" s="9"/>
    </row>
    <row r="40748">
      <c r="D40748" s="9"/>
      <c r="G40748" s="9"/>
      <c r="J40748" s="11"/>
      <c r="U40748" s="9"/>
      <c r="X40748" s="9"/>
    </row>
    <row r="40749">
      <c r="D40749" s="9"/>
      <c r="G40749" s="9"/>
      <c r="J40749" s="11"/>
      <c r="U40749" s="9"/>
      <c r="X40749" s="9"/>
    </row>
    <row r="40750">
      <c r="D40750" s="9"/>
      <c r="G40750" s="9"/>
      <c r="J40750" s="11"/>
      <c r="U40750" s="9"/>
      <c r="X40750" s="9"/>
    </row>
    <row r="40751">
      <c r="D40751" s="9"/>
      <c r="G40751" s="9"/>
      <c r="J40751" s="11"/>
      <c r="U40751" s="9"/>
      <c r="X40751" s="9"/>
    </row>
    <row r="40752">
      <c r="D40752" s="9"/>
      <c r="G40752" s="9"/>
      <c r="J40752" s="11"/>
      <c r="U40752" s="9"/>
      <c r="X40752" s="9"/>
    </row>
    <row r="40753">
      <c r="D40753" s="9"/>
      <c r="G40753" s="9"/>
      <c r="J40753" s="11"/>
      <c r="U40753" s="9"/>
      <c r="X40753" s="9"/>
    </row>
    <row r="40754">
      <c r="D40754" s="9"/>
      <c r="G40754" s="9"/>
      <c r="J40754" s="11"/>
      <c r="U40754" s="9"/>
      <c r="X40754" s="9"/>
    </row>
    <row r="40755">
      <c r="D40755" s="9"/>
      <c r="G40755" s="9"/>
      <c r="J40755" s="11"/>
      <c r="U40755" s="9"/>
      <c r="X40755" s="9"/>
    </row>
    <row r="40756">
      <c r="D40756" s="9"/>
      <c r="G40756" s="9"/>
      <c r="J40756" s="11"/>
      <c r="U40756" s="9"/>
      <c r="X40756" s="9"/>
    </row>
    <row r="40757">
      <c r="D40757" s="9"/>
      <c r="G40757" s="9"/>
      <c r="J40757" s="11"/>
      <c r="U40757" s="9"/>
      <c r="X40757" s="9"/>
    </row>
    <row r="40758">
      <c r="D40758" s="9"/>
      <c r="G40758" s="9"/>
      <c r="J40758" s="11"/>
      <c r="U40758" s="9"/>
      <c r="X40758" s="9"/>
    </row>
    <row r="40759">
      <c r="D40759" s="9"/>
      <c r="G40759" s="9"/>
      <c r="J40759" s="11"/>
      <c r="U40759" s="9"/>
      <c r="X40759" s="9"/>
    </row>
    <row r="40760">
      <c r="D40760" s="9"/>
      <c r="G40760" s="9"/>
      <c r="J40760" s="11"/>
      <c r="U40760" s="9"/>
      <c r="X40760" s="9"/>
    </row>
    <row r="40761">
      <c r="D40761" s="9"/>
      <c r="G40761" s="9"/>
      <c r="J40761" s="11"/>
      <c r="U40761" s="9"/>
      <c r="X40761" s="9"/>
    </row>
    <row r="40762">
      <c r="D40762" s="9"/>
      <c r="G40762" s="9"/>
      <c r="J40762" s="11"/>
      <c r="U40762" s="9"/>
      <c r="X40762" s="9"/>
    </row>
    <row r="40763">
      <c r="D40763" s="9"/>
      <c r="G40763" s="9"/>
      <c r="J40763" s="11"/>
      <c r="U40763" s="9"/>
      <c r="X40763" s="9"/>
    </row>
    <row r="40764">
      <c r="D40764" s="9"/>
      <c r="G40764" s="9"/>
      <c r="J40764" s="11"/>
      <c r="U40764" s="9"/>
      <c r="X40764" s="9"/>
    </row>
    <row r="40765">
      <c r="D40765" s="9"/>
      <c r="G40765" s="9"/>
      <c r="J40765" s="11"/>
      <c r="U40765" s="9"/>
      <c r="X40765" s="9"/>
    </row>
    <row r="40766">
      <c r="D40766" s="9"/>
      <c r="G40766" s="9"/>
      <c r="J40766" s="11"/>
      <c r="U40766" s="9"/>
      <c r="X40766" s="9"/>
    </row>
    <row r="40767">
      <c r="D40767" s="9"/>
      <c r="G40767" s="9"/>
      <c r="J40767" s="11"/>
      <c r="U40767" s="9"/>
      <c r="X40767" s="9"/>
    </row>
    <row r="40768">
      <c r="D40768" s="9"/>
      <c r="G40768" s="9"/>
      <c r="J40768" s="11"/>
      <c r="U40768" s="9"/>
      <c r="X40768" s="9"/>
    </row>
    <row r="40769">
      <c r="D40769" s="9"/>
      <c r="G40769" s="9"/>
      <c r="J40769" s="11"/>
      <c r="U40769" s="9"/>
      <c r="X40769" s="9"/>
    </row>
    <row r="40770">
      <c r="D40770" s="9"/>
      <c r="G40770" s="9"/>
      <c r="J40770" s="11"/>
      <c r="U40770" s="9"/>
      <c r="X40770" s="9"/>
    </row>
    <row r="40771">
      <c r="D40771" s="9"/>
      <c r="G40771" s="9"/>
      <c r="J40771" s="11"/>
      <c r="U40771" s="9"/>
      <c r="X40771" s="9"/>
    </row>
    <row r="40772">
      <c r="D40772" s="9"/>
      <c r="G40772" s="9"/>
      <c r="J40772" s="11"/>
      <c r="U40772" s="9"/>
      <c r="X40772" s="9"/>
    </row>
    <row r="40773">
      <c r="D40773" s="9"/>
      <c r="G40773" s="9"/>
      <c r="J40773" s="11"/>
      <c r="U40773" s="9"/>
      <c r="X40773" s="9"/>
    </row>
    <row r="40774">
      <c r="D40774" s="9"/>
      <c r="G40774" s="9"/>
      <c r="J40774" s="11"/>
      <c r="U40774" s="9"/>
      <c r="X40774" s="9"/>
    </row>
    <row r="40775">
      <c r="D40775" s="9"/>
      <c r="G40775" s="9"/>
      <c r="J40775" s="11"/>
      <c r="U40775" s="9"/>
      <c r="X40775" s="9"/>
    </row>
    <row r="40776">
      <c r="D40776" s="9"/>
      <c r="G40776" s="9"/>
      <c r="J40776" s="11"/>
      <c r="U40776" s="9"/>
      <c r="X40776" s="9"/>
    </row>
    <row r="40777">
      <c r="D40777" s="9"/>
      <c r="G40777" s="9"/>
      <c r="J40777" s="11"/>
      <c r="U40777" s="9"/>
      <c r="X40777" s="9"/>
    </row>
    <row r="40778">
      <c r="D40778" s="9"/>
      <c r="G40778" s="9"/>
      <c r="J40778" s="11"/>
      <c r="U40778" s="9"/>
      <c r="X40778" s="9"/>
    </row>
    <row r="40779">
      <c r="D40779" s="9"/>
      <c r="G40779" s="9"/>
      <c r="J40779" s="11"/>
      <c r="U40779" s="9"/>
      <c r="X40779" s="9"/>
    </row>
    <row r="40780">
      <c r="D40780" s="9"/>
      <c r="G40780" s="9"/>
      <c r="J40780" s="11"/>
      <c r="U40780" s="9"/>
      <c r="X40780" s="9"/>
    </row>
    <row r="40781">
      <c r="D40781" s="9"/>
      <c r="G40781" s="9"/>
      <c r="J40781" s="11"/>
      <c r="U40781" s="9"/>
      <c r="X40781" s="9"/>
    </row>
    <row r="40782">
      <c r="D40782" s="9"/>
      <c r="G40782" s="9"/>
      <c r="J40782" s="11"/>
      <c r="U40782" s="9"/>
      <c r="X40782" s="9"/>
    </row>
    <row r="40783">
      <c r="D40783" s="9"/>
      <c r="G40783" s="9"/>
      <c r="J40783" s="11"/>
      <c r="U40783" s="9"/>
      <c r="X40783" s="9"/>
    </row>
    <row r="40784">
      <c r="D40784" s="9"/>
      <c r="G40784" s="9"/>
      <c r="J40784" s="11"/>
      <c r="U40784" s="9"/>
      <c r="X40784" s="9"/>
    </row>
    <row r="40785">
      <c r="D40785" s="9"/>
      <c r="G40785" s="9"/>
      <c r="J40785" s="11"/>
      <c r="U40785" s="9"/>
      <c r="X40785" s="9"/>
    </row>
    <row r="40786">
      <c r="D40786" s="9"/>
      <c r="G40786" s="9"/>
      <c r="J40786" s="11"/>
      <c r="U40786" s="9"/>
      <c r="X40786" s="9"/>
    </row>
    <row r="40787">
      <c r="D40787" s="9"/>
      <c r="G40787" s="9"/>
      <c r="J40787" s="11"/>
      <c r="U40787" s="9"/>
      <c r="X40787" s="9"/>
    </row>
    <row r="40788">
      <c r="D40788" s="9"/>
      <c r="G40788" s="9"/>
      <c r="J40788" s="11"/>
      <c r="U40788" s="9"/>
      <c r="X40788" s="9"/>
    </row>
    <row r="40789">
      <c r="D40789" s="9"/>
      <c r="G40789" s="9"/>
      <c r="J40789" s="11"/>
      <c r="U40789" s="9"/>
      <c r="X40789" s="9"/>
    </row>
    <row r="40790">
      <c r="D40790" s="9"/>
      <c r="G40790" s="9"/>
      <c r="J40790" s="11"/>
      <c r="U40790" s="9"/>
      <c r="X40790" s="9"/>
    </row>
    <row r="40791">
      <c r="D40791" s="9"/>
      <c r="G40791" s="9"/>
      <c r="J40791" s="11"/>
      <c r="U40791" s="9"/>
      <c r="X40791" s="9"/>
    </row>
    <row r="40792">
      <c r="D40792" s="9"/>
      <c r="G40792" s="9"/>
      <c r="J40792" s="11"/>
      <c r="U40792" s="9"/>
      <c r="X40792" s="9"/>
    </row>
    <row r="40793">
      <c r="D40793" s="9"/>
      <c r="G40793" s="9"/>
      <c r="J40793" s="11"/>
      <c r="U40793" s="9"/>
      <c r="X40793" s="9"/>
    </row>
    <row r="40794">
      <c r="D40794" s="9"/>
      <c r="G40794" s="9"/>
      <c r="J40794" s="11"/>
      <c r="U40794" s="9"/>
      <c r="X40794" s="9"/>
    </row>
    <row r="40795">
      <c r="D40795" s="9"/>
      <c r="G40795" s="9"/>
      <c r="J40795" s="11"/>
      <c r="U40795" s="9"/>
      <c r="X40795" s="9"/>
    </row>
    <row r="40796">
      <c r="D40796" s="9"/>
      <c r="G40796" s="9"/>
      <c r="J40796" s="11"/>
      <c r="U40796" s="9"/>
      <c r="X40796" s="9"/>
    </row>
    <row r="40797">
      <c r="D40797" s="9"/>
      <c r="G40797" s="9"/>
      <c r="J40797" s="11"/>
      <c r="U40797" s="9"/>
      <c r="X40797" s="9"/>
    </row>
    <row r="40798">
      <c r="D40798" s="9"/>
      <c r="G40798" s="9"/>
      <c r="J40798" s="11"/>
      <c r="U40798" s="9"/>
      <c r="X40798" s="9"/>
    </row>
    <row r="40799">
      <c r="D40799" s="9"/>
      <c r="G40799" s="9"/>
      <c r="J40799" s="11"/>
      <c r="U40799" s="9"/>
      <c r="X40799" s="9"/>
    </row>
    <row r="40800">
      <c r="D40800" s="9"/>
      <c r="G40800" s="9"/>
      <c r="J40800" s="11"/>
      <c r="U40800" s="9"/>
      <c r="X40800" s="9"/>
    </row>
    <row r="40801">
      <c r="D40801" s="9"/>
      <c r="G40801" s="9"/>
      <c r="J40801" s="11"/>
      <c r="U40801" s="9"/>
      <c r="X40801" s="9"/>
    </row>
    <row r="40802">
      <c r="D40802" s="9"/>
      <c r="G40802" s="9"/>
      <c r="J40802" s="11"/>
      <c r="U40802" s="9"/>
      <c r="X40802" s="9"/>
    </row>
    <row r="40803">
      <c r="D40803" s="9"/>
      <c r="G40803" s="9"/>
      <c r="J40803" s="11"/>
      <c r="U40803" s="9"/>
      <c r="X40803" s="9"/>
    </row>
    <row r="40804">
      <c r="D40804" s="9"/>
      <c r="G40804" s="9"/>
      <c r="J40804" s="11"/>
      <c r="U40804" s="9"/>
      <c r="X40804" s="9"/>
    </row>
    <row r="40805">
      <c r="D40805" s="9"/>
      <c r="G40805" s="9"/>
      <c r="J40805" s="11"/>
      <c r="U40805" s="9"/>
      <c r="X40805" s="9"/>
    </row>
    <row r="40806">
      <c r="D40806" s="9"/>
      <c r="G40806" s="9"/>
      <c r="J40806" s="11"/>
      <c r="U40806" s="9"/>
      <c r="X40806" s="9"/>
    </row>
    <row r="40807">
      <c r="D40807" s="9"/>
      <c r="G40807" s="9"/>
      <c r="J40807" s="11"/>
      <c r="U40807" s="9"/>
      <c r="X40807" s="9"/>
    </row>
    <row r="40808">
      <c r="D40808" s="9"/>
      <c r="G40808" s="9"/>
      <c r="J40808" s="11"/>
      <c r="U40808" s="9"/>
      <c r="X40808" s="9"/>
    </row>
    <row r="40809">
      <c r="D40809" s="9"/>
      <c r="G40809" s="9"/>
      <c r="J40809" s="11"/>
      <c r="U40809" s="9"/>
      <c r="X40809" s="9"/>
    </row>
    <row r="40810">
      <c r="D40810" s="9"/>
      <c r="G40810" s="9"/>
      <c r="J40810" s="11"/>
      <c r="U40810" s="9"/>
      <c r="X40810" s="9"/>
    </row>
    <row r="40811">
      <c r="D40811" s="9"/>
      <c r="G40811" s="9"/>
      <c r="J40811" s="11"/>
      <c r="U40811" s="9"/>
      <c r="X40811" s="9"/>
    </row>
    <row r="40812">
      <c r="D40812" s="9"/>
      <c r="G40812" s="9"/>
      <c r="J40812" s="11"/>
      <c r="U40812" s="9"/>
      <c r="X40812" s="9"/>
    </row>
    <row r="40813">
      <c r="D40813" s="9"/>
      <c r="G40813" s="9"/>
      <c r="J40813" s="11"/>
      <c r="U40813" s="9"/>
      <c r="X40813" s="9"/>
    </row>
    <row r="40814">
      <c r="D40814" s="9"/>
      <c r="G40814" s="9"/>
      <c r="J40814" s="11"/>
      <c r="U40814" s="9"/>
      <c r="X40814" s="9"/>
    </row>
    <row r="40815">
      <c r="D40815" s="9"/>
      <c r="G40815" s="9"/>
      <c r="J40815" s="11"/>
      <c r="U40815" s="9"/>
      <c r="X40815" s="9"/>
    </row>
    <row r="40816">
      <c r="D40816" s="9"/>
      <c r="G40816" s="9"/>
      <c r="J40816" s="11"/>
      <c r="U40816" s="9"/>
      <c r="X40816" s="9"/>
    </row>
    <row r="40817">
      <c r="D40817" s="9"/>
      <c r="G40817" s="9"/>
      <c r="J40817" s="11"/>
      <c r="U40817" s="9"/>
      <c r="X40817" s="9"/>
    </row>
    <row r="40818">
      <c r="D40818" s="9"/>
      <c r="G40818" s="9"/>
      <c r="J40818" s="11"/>
      <c r="U40818" s="9"/>
      <c r="X40818" s="9"/>
    </row>
    <row r="40819">
      <c r="D40819" s="9"/>
      <c r="G40819" s="9"/>
      <c r="J40819" s="11"/>
      <c r="U40819" s="9"/>
      <c r="X40819" s="9"/>
    </row>
    <row r="40820">
      <c r="D40820" s="9"/>
      <c r="G40820" s="9"/>
      <c r="J40820" s="11"/>
      <c r="U40820" s="9"/>
      <c r="X40820" s="9"/>
    </row>
    <row r="40821">
      <c r="D40821" s="9"/>
      <c r="G40821" s="9"/>
      <c r="J40821" s="11"/>
      <c r="U40821" s="9"/>
      <c r="X40821" s="9"/>
    </row>
    <row r="40822">
      <c r="D40822" s="9"/>
      <c r="G40822" s="9"/>
      <c r="J40822" s="11"/>
      <c r="U40822" s="9"/>
      <c r="X40822" s="9"/>
    </row>
    <row r="40823">
      <c r="D40823" s="9"/>
      <c r="G40823" s="9"/>
      <c r="J40823" s="11"/>
      <c r="U40823" s="9"/>
      <c r="X40823" s="9"/>
    </row>
    <row r="40824">
      <c r="D40824" s="9"/>
      <c r="G40824" s="9"/>
      <c r="J40824" s="11"/>
      <c r="U40824" s="9"/>
      <c r="X40824" s="9"/>
    </row>
    <row r="40825">
      <c r="D40825" s="9"/>
      <c r="G40825" s="9"/>
      <c r="J40825" s="11"/>
      <c r="U40825" s="9"/>
      <c r="X40825" s="9"/>
    </row>
    <row r="40826">
      <c r="D40826" s="9"/>
      <c r="G40826" s="9"/>
      <c r="J40826" s="11"/>
      <c r="U40826" s="9"/>
      <c r="X40826" s="9"/>
    </row>
    <row r="40827">
      <c r="D40827" s="9"/>
      <c r="G40827" s="9"/>
      <c r="J40827" s="11"/>
      <c r="U40827" s="9"/>
      <c r="X40827" s="9"/>
    </row>
    <row r="40828">
      <c r="D40828" s="9"/>
      <c r="G40828" s="9"/>
      <c r="J40828" s="11"/>
      <c r="U40828" s="9"/>
      <c r="X40828" s="9"/>
    </row>
    <row r="40829">
      <c r="D40829" s="9"/>
      <c r="G40829" s="9"/>
      <c r="J40829" s="11"/>
      <c r="U40829" s="9"/>
      <c r="X40829" s="9"/>
    </row>
    <row r="40830">
      <c r="D40830" s="9"/>
      <c r="G40830" s="9"/>
      <c r="J40830" s="11"/>
      <c r="U40830" s="9"/>
      <c r="X40830" s="9"/>
    </row>
    <row r="40831">
      <c r="D40831" s="9"/>
      <c r="G40831" s="9"/>
      <c r="J40831" s="11"/>
      <c r="U40831" s="9"/>
      <c r="X40831" s="9"/>
    </row>
    <row r="40832">
      <c r="D40832" s="9"/>
      <c r="G40832" s="9"/>
      <c r="J40832" s="11"/>
      <c r="U40832" s="9"/>
      <c r="X40832" s="9"/>
    </row>
    <row r="40833">
      <c r="D40833" s="9"/>
      <c r="G40833" s="9"/>
      <c r="J40833" s="11"/>
      <c r="U40833" s="9"/>
      <c r="X40833" s="9"/>
    </row>
    <row r="40834">
      <c r="D40834" s="9"/>
      <c r="G40834" s="9"/>
      <c r="J40834" s="11"/>
      <c r="U40834" s="9"/>
      <c r="X40834" s="9"/>
    </row>
    <row r="40835">
      <c r="D40835" s="9"/>
      <c r="G40835" s="9"/>
      <c r="J40835" s="11"/>
      <c r="U40835" s="9"/>
      <c r="X40835" s="9"/>
    </row>
    <row r="40836">
      <c r="D40836" s="9"/>
      <c r="G40836" s="9"/>
      <c r="J40836" s="11"/>
      <c r="U40836" s="9"/>
      <c r="X40836" s="9"/>
    </row>
    <row r="40837">
      <c r="D40837" s="9"/>
      <c r="G40837" s="9"/>
      <c r="J40837" s="11"/>
      <c r="U40837" s="9"/>
      <c r="X40837" s="9"/>
    </row>
    <row r="40838">
      <c r="D40838" s="9"/>
      <c r="G40838" s="9"/>
      <c r="J40838" s="11"/>
      <c r="U40838" s="9"/>
      <c r="X40838" s="9"/>
    </row>
    <row r="40839">
      <c r="D40839" s="9"/>
      <c r="G40839" s="9"/>
      <c r="J40839" s="11"/>
      <c r="U40839" s="9"/>
      <c r="X40839" s="9"/>
    </row>
    <row r="40840">
      <c r="D40840" s="9"/>
      <c r="G40840" s="9"/>
      <c r="J40840" s="11"/>
      <c r="U40840" s="9"/>
      <c r="X40840" s="9"/>
    </row>
    <row r="40841">
      <c r="D40841" s="9"/>
      <c r="G40841" s="9"/>
      <c r="J40841" s="11"/>
      <c r="U40841" s="9"/>
      <c r="X40841" s="9"/>
    </row>
    <row r="40842">
      <c r="D40842" s="9"/>
      <c r="G40842" s="9"/>
      <c r="J40842" s="11"/>
      <c r="U40842" s="9"/>
      <c r="X40842" s="9"/>
    </row>
    <row r="40843">
      <c r="D40843" s="9"/>
      <c r="G40843" s="9"/>
      <c r="J40843" s="11"/>
      <c r="U40843" s="9"/>
      <c r="X40843" s="9"/>
    </row>
    <row r="40844">
      <c r="D40844" s="9"/>
      <c r="G40844" s="9"/>
      <c r="J40844" s="11"/>
      <c r="U40844" s="9"/>
      <c r="X40844" s="9"/>
    </row>
    <row r="40845">
      <c r="D40845" s="9"/>
      <c r="G40845" s="9"/>
      <c r="J40845" s="11"/>
      <c r="U40845" s="9"/>
      <c r="X40845" s="9"/>
    </row>
    <row r="40846">
      <c r="D40846" s="9"/>
      <c r="G40846" s="9"/>
      <c r="J40846" s="11"/>
      <c r="U40846" s="9"/>
      <c r="X40846" s="9"/>
    </row>
    <row r="40847">
      <c r="D40847" s="9"/>
      <c r="G40847" s="9"/>
      <c r="J40847" s="11"/>
      <c r="U40847" s="9"/>
      <c r="X40847" s="9"/>
    </row>
    <row r="40848">
      <c r="D40848" s="9"/>
      <c r="G40848" s="9"/>
      <c r="J40848" s="11"/>
      <c r="U40848" s="9"/>
      <c r="X40848" s="9"/>
    </row>
    <row r="40849">
      <c r="D40849" s="9"/>
      <c r="G40849" s="9"/>
      <c r="J40849" s="11"/>
      <c r="U40849" s="9"/>
      <c r="X40849" s="9"/>
    </row>
    <row r="40850">
      <c r="D40850" s="9"/>
      <c r="G40850" s="9"/>
      <c r="J40850" s="11"/>
      <c r="U40850" s="9"/>
      <c r="X40850" s="9"/>
    </row>
    <row r="40851">
      <c r="D40851" s="9"/>
      <c r="G40851" s="9"/>
      <c r="J40851" s="11"/>
      <c r="U40851" s="9"/>
      <c r="X40851" s="9"/>
    </row>
    <row r="40852">
      <c r="D40852" s="9"/>
      <c r="G40852" s="9"/>
      <c r="J40852" s="11"/>
      <c r="U40852" s="9"/>
      <c r="X40852" s="9"/>
    </row>
    <row r="40853">
      <c r="D40853" s="9"/>
      <c r="G40853" s="9"/>
      <c r="J40853" s="11"/>
      <c r="U40853" s="9"/>
      <c r="X40853" s="9"/>
    </row>
    <row r="40854">
      <c r="D40854" s="9"/>
      <c r="G40854" s="9"/>
      <c r="J40854" s="11"/>
      <c r="U40854" s="9"/>
      <c r="X40854" s="9"/>
    </row>
    <row r="40855">
      <c r="D40855" s="9"/>
      <c r="G40855" s="9"/>
      <c r="J40855" s="11"/>
      <c r="U40855" s="9"/>
      <c r="X40855" s="9"/>
    </row>
    <row r="40856">
      <c r="D40856" s="9"/>
      <c r="G40856" s="9"/>
      <c r="J40856" s="11"/>
      <c r="U40856" s="9"/>
      <c r="X40856" s="9"/>
    </row>
    <row r="40857">
      <c r="D40857" s="9"/>
      <c r="G40857" s="9"/>
      <c r="J40857" s="11"/>
      <c r="U40857" s="9"/>
      <c r="X40857" s="9"/>
    </row>
    <row r="40858">
      <c r="D40858" s="9"/>
      <c r="G40858" s="9"/>
      <c r="J40858" s="11"/>
      <c r="U40858" s="9"/>
      <c r="X40858" s="9"/>
    </row>
    <row r="40859">
      <c r="D40859" s="9"/>
      <c r="G40859" s="9"/>
      <c r="J40859" s="11"/>
      <c r="U40859" s="9"/>
      <c r="X40859" s="9"/>
    </row>
    <row r="40860">
      <c r="D40860" s="9"/>
      <c r="G40860" s="9"/>
      <c r="J40860" s="11"/>
      <c r="U40860" s="9"/>
      <c r="X40860" s="9"/>
    </row>
    <row r="40861">
      <c r="D40861" s="9"/>
      <c r="G40861" s="9"/>
      <c r="J40861" s="11"/>
      <c r="U40861" s="9"/>
      <c r="X40861" s="9"/>
    </row>
    <row r="40862">
      <c r="D40862" s="9"/>
      <c r="G40862" s="9"/>
      <c r="J40862" s="11"/>
      <c r="U40862" s="9"/>
      <c r="X40862" s="9"/>
    </row>
    <row r="40863">
      <c r="D40863" s="9"/>
      <c r="G40863" s="9"/>
      <c r="J40863" s="11"/>
      <c r="U40863" s="9"/>
      <c r="X40863" s="9"/>
    </row>
    <row r="40864">
      <c r="D40864" s="9"/>
      <c r="G40864" s="9"/>
      <c r="J40864" s="11"/>
      <c r="U40864" s="9"/>
      <c r="X40864" s="9"/>
    </row>
    <row r="40865">
      <c r="D40865" s="9"/>
      <c r="G40865" s="9"/>
      <c r="J40865" s="11"/>
      <c r="U40865" s="9"/>
      <c r="X40865" s="9"/>
    </row>
    <row r="40866">
      <c r="D40866" s="9"/>
      <c r="G40866" s="9"/>
      <c r="J40866" s="11"/>
      <c r="U40866" s="9"/>
      <c r="X40866" s="9"/>
    </row>
    <row r="40867">
      <c r="D40867" s="9"/>
      <c r="G40867" s="9"/>
      <c r="J40867" s="11"/>
      <c r="U40867" s="9"/>
      <c r="X40867" s="9"/>
    </row>
    <row r="40868">
      <c r="D40868" s="9"/>
      <c r="G40868" s="9"/>
      <c r="J40868" s="11"/>
      <c r="U40868" s="9"/>
      <c r="X40868" s="9"/>
    </row>
    <row r="40869">
      <c r="D40869" s="9"/>
      <c r="G40869" s="9"/>
      <c r="J40869" s="11"/>
      <c r="U40869" s="9"/>
      <c r="X40869" s="9"/>
    </row>
    <row r="40870">
      <c r="D40870" s="9"/>
      <c r="G40870" s="9"/>
      <c r="J40870" s="11"/>
      <c r="U40870" s="9"/>
      <c r="X40870" s="9"/>
    </row>
    <row r="40871">
      <c r="D40871" s="9"/>
      <c r="G40871" s="9"/>
      <c r="J40871" s="11"/>
      <c r="U40871" s="9"/>
      <c r="X40871" s="9"/>
    </row>
    <row r="40872">
      <c r="D40872" s="9"/>
      <c r="G40872" s="9"/>
      <c r="J40872" s="11"/>
      <c r="U40872" s="9"/>
      <c r="X40872" s="9"/>
    </row>
    <row r="40873">
      <c r="D40873" s="9"/>
      <c r="G40873" s="9"/>
      <c r="J40873" s="11"/>
      <c r="U40873" s="9"/>
      <c r="X40873" s="9"/>
    </row>
    <row r="40874">
      <c r="D40874" s="9"/>
      <c r="G40874" s="9"/>
      <c r="J40874" s="11"/>
      <c r="U40874" s="9"/>
      <c r="X40874" s="9"/>
    </row>
    <row r="40875">
      <c r="D40875" s="9"/>
      <c r="G40875" s="9"/>
      <c r="J40875" s="11"/>
      <c r="U40875" s="9"/>
      <c r="X40875" s="9"/>
    </row>
    <row r="40876">
      <c r="D40876" s="9"/>
      <c r="G40876" s="9"/>
      <c r="J40876" s="11"/>
      <c r="U40876" s="9"/>
      <c r="X40876" s="9"/>
    </row>
    <row r="40877">
      <c r="D40877" s="9"/>
      <c r="G40877" s="9"/>
      <c r="J40877" s="11"/>
      <c r="U40877" s="9"/>
      <c r="X40877" s="9"/>
    </row>
    <row r="40878">
      <c r="D40878" s="9"/>
      <c r="G40878" s="9"/>
      <c r="J40878" s="11"/>
      <c r="U40878" s="9"/>
      <c r="X40878" s="9"/>
    </row>
    <row r="40879">
      <c r="D40879" s="9"/>
      <c r="G40879" s="9"/>
      <c r="J40879" s="11"/>
      <c r="U40879" s="9"/>
      <c r="X40879" s="9"/>
    </row>
    <row r="40880">
      <c r="D40880" s="9"/>
      <c r="G40880" s="9"/>
      <c r="J40880" s="11"/>
      <c r="U40880" s="9"/>
      <c r="X40880" s="9"/>
    </row>
    <row r="40881">
      <c r="D40881" s="9"/>
      <c r="G40881" s="9"/>
      <c r="J40881" s="11"/>
      <c r="U40881" s="9"/>
      <c r="X40881" s="9"/>
    </row>
    <row r="40882">
      <c r="D40882" s="9"/>
      <c r="G40882" s="9"/>
      <c r="J40882" s="11"/>
      <c r="U40882" s="9"/>
      <c r="X40882" s="9"/>
    </row>
    <row r="40883">
      <c r="D40883" s="9"/>
      <c r="G40883" s="9"/>
      <c r="J40883" s="11"/>
      <c r="U40883" s="9"/>
      <c r="X40883" s="9"/>
    </row>
    <row r="40884">
      <c r="D40884" s="9"/>
      <c r="G40884" s="9"/>
      <c r="J40884" s="11"/>
      <c r="U40884" s="9"/>
      <c r="X40884" s="9"/>
    </row>
    <row r="40885">
      <c r="D40885" s="9"/>
      <c r="G40885" s="9"/>
      <c r="J40885" s="11"/>
      <c r="U40885" s="9"/>
      <c r="X40885" s="9"/>
    </row>
    <row r="40886">
      <c r="D40886" s="9"/>
      <c r="G40886" s="9"/>
      <c r="J40886" s="11"/>
      <c r="U40886" s="9"/>
      <c r="X40886" s="9"/>
    </row>
    <row r="40887">
      <c r="D40887" s="9"/>
      <c r="G40887" s="9"/>
      <c r="J40887" s="11"/>
      <c r="U40887" s="9"/>
      <c r="X40887" s="9"/>
    </row>
    <row r="40888">
      <c r="D40888" s="9"/>
      <c r="G40888" s="9"/>
      <c r="J40888" s="11"/>
      <c r="U40888" s="9"/>
      <c r="X40888" s="9"/>
    </row>
    <row r="40889">
      <c r="D40889" s="9"/>
      <c r="G40889" s="9"/>
      <c r="J40889" s="11"/>
      <c r="U40889" s="9"/>
      <c r="X40889" s="9"/>
    </row>
    <row r="40890">
      <c r="D40890" s="9"/>
      <c r="G40890" s="9"/>
      <c r="J40890" s="11"/>
      <c r="U40890" s="9"/>
      <c r="X40890" s="9"/>
    </row>
    <row r="40891">
      <c r="D40891" s="9"/>
      <c r="G40891" s="9"/>
      <c r="J40891" s="11"/>
      <c r="U40891" s="9"/>
      <c r="X40891" s="9"/>
    </row>
    <row r="40892">
      <c r="D40892" s="9"/>
      <c r="G40892" s="9"/>
      <c r="J40892" s="11"/>
      <c r="U40892" s="9"/>
      <c r="X40892" s="9"/>
    </row>
    <row r="40893">
      <c r="D40893" s="9"/>
      <c r="G40893" s="9"/>
      <c r="J40893" s="11"/>
      <c r="U40893" s="9"/>
      <c r="X40893" s="9"/>
    </row>
    <row r="40894">
      <c r="D40894" s="9"/>
      <c r="G40894" s="9"/>
      <c r="J40894" s="11"/>
      <c r="U40894" s="9"/>
      <c r="X40894" s="9"/>
    </row>
    <row r="40895">
      <c r="D40895" s="9"/>
      <c r="G40895" s="9"/>
      <c r="J40895" s="11"/>
      <c r="U40895" s="9"/>
      <c r="X40895" s="9"/>
    </row>
    <row r="40896">
      <c r="D40896" s="9"/>
      <c r="G40896" s="9"/>
      <c r="J40896" s="11"/>
      <c r="U40896" s="9"/>
      <c r="X40896" s="9"/>
    </row>
    <row r="40897">
      <c r="D40897" s="9"/>
      <c r="G40897" s="9"/>
      <c r="J40897" s="11"/>
      <c r="U40897" s="9"/>
      <c r="X40897" s="9"/>
    </row>
    <row r="40898">
      <c r="D40898" s="9"/>
      <c r="G40898" s="9"/>
      <c r="J40898" s="11"/>
      <c r="U40898" s="9"/>
      <c r="X40898" s="9"/>
    </row>
    <row r="40899">
      <c r="D40899" s="9"/>
      <c r="G40899" s="9"/>
      <c r="J40899" s="11"/>
      <c r="U40899" s="9"/>
      <c r="X40899" s="9"/>
    </row>
    <row r="40900">
      <c r="D40900" s="9"/>
      <c r="G40900" s="9"/>
      <c r="J40900" s="11"/>
      <c r="U40900" s="9"/>
      <c r="X40900" s="9"/>
    </row>
    <row r="40901">
      <c r="D40901" s="9"/>
      <c r="G40901" s="9"/>
      <c r="J40901" s="11"/>
      <c r="U40901" s="9"/>
      <c r="X40901" s="9"/>
    </row>
    <row r="40902">
      <c r="D40902" s="9"/>
      <c r="G40902" s="9"/>
      <c r="J40902" s="11"/>
      <c r="U40902" s="9"/>
      <c r="X40902" s="9"/>
    </row>
    <row r="40903">
      <c r="D40903" s="9"/>
      <c r="G40903" s="9"/>
      <c r="J40903" s="11"/>
      <c r="U40903" s="9"/>
      <c r="X40903" s="9"/>
    </row>
    <row r="40904">
      <c r="D40904" s="9"/>
      <c r="G40904" s="9"/>
      <c r="J40904" s="11"/>
      <c r="U40904" s="9"/>
      <c r="X40904" s="9"/>
    </row>
    <row r="40905">
      <c r="D40905" s="9"/>
      <c r="G40905" s="9"/>
      <c r="J40905" s="11"/>
      <c r="U40905" s="9"/>
      <c r="X40905" s="9"/>
    </row>
    <row r="40906">
      <c r="D40906" s="9"/>
      <c r="G40906" s="9"/>
      <c r="J40906" s="11"/>
      <c r="U40906" s="9"/>
      <c r="X40906" s="9"/>
    </row>
    <row r="40907">
      <c r="D40907" s="9"/>
      <c r="G40907" s="9"/>
      <c r="J40907" s="11"/>
      <c r="U40907" s="9"/>
      <c r="X40907" s="9"/>
    </row>
    <row r="40908">
      <c r="D40908" s="9"/>
      <c r="G40908" s="9"/>
      <c r="J40908" s="11"/>
      <c r="U40908" s="9"/>
      <c r="X40908" s="9"/>
    </row>
    <row r="40909">
      <c r="D40909" s="9"/>
      <c r="G40909" s="9"/>
      <c r="J40909" s="11"/>
      <c r="U40909" s="9"/>
      <c r="X40909" s="9"/>
    </row>
    <row r="40910">
      <c r="D40910" s="9"/>
      <c r="G40910" s="9"/>
      <c r="J40910" s="11"/>
      <c r="U40910" s="9"/>
      <c r="X40910" s="9"/>
    </row>
    <row r="40911">
      <c r="D40911" s="9"/>
      <c r="G40911" s="9"/>
      <c r="J40911" s="11"/>
      <c r="U40911" s="9"/>
      <c r="X40911" s="9"/>
    </row>
    <row r="40912">
      <c r="D40912" s="9"/>
      <c r="G40912" s="9"/>
      <c r="J40912" s="11"/>
      <c r="U40912" s="9"/>
      <c r="X40912" s="9"/>
    </row>
    <row r="40913">
      <c r="D40913" s="9"/>
      <c r="G40913" s="9"/>
      <c r="J40913" s="11"/>
      <c r="U40913" s="9"/>
      <c r="X40913" s="9"/>
    </row>
    <row r="40914">
      <c r="D40914" s="9"/>
      <c r="G40914" s="9"/>
      <c r="J40914" s="11"/>
      <c r="U40914" s="9"/>
      <c r="X40914" s="9"/>
    </row>
    <row r="40915">
      <c r="D40915" s="9"/>
      <c r="G40915" s="9"/>
      <c r="J40915" s="11"/>
      <c r="U40915" s="9"/>
      <c r="X40915" s="9"/>
    </row>
    <row r="40916">
      <c r="D40916" s="9"/>
      <c r="G40916" s="9"/>
      <c r="J40916" s="11"/>
      <c r="U40916" s="9"/>
      <c r="X40916" s="9"/>
    </row>
    <row r="40917">
      <c r="D40917" s="9"/>
      <c r="G40917" s="9"/>
      <c r="J40917" s="11"/>
      <c r="U40917" s="9"/>
      <c r="X40917" s="9"/>
    </row>
    <row r="40918">
      <c r="D40918" s="9"/>
      <c r="G40918" s="9"/>
      <c r="J40918" s="11"/>
      <c r="U40918" s="9"/>
      <c r="X40918" s="9"/>
    </row>
    <row r="40919">
      <c r="D40919" s="9"/>
      <c r="G40919" s="9"/>
      <c r="J40919" s="11"/>
      <c r="U40919" s="9"/>
      <c r="X40919" s="9"/>
    </row>
    <row r="40920">
      <c r="D40920" s="9"/>
      <c r="G40920" s="9"/>
      <c r="J40920" s="11"/>
      <c r="U40920" s="9"/>
      <c r="X40920" s="9"/>
    </row>
    <row r="40921">
      <c r="D40921" s="9"/>
      <c r="G40921" s="9"/>
      <c r="J40921" s="11"/>
      <c r="U40921" s="9"/>
      <c r="X40921" s="9"/>
    </row>
    <row r="40922">
      <c r="D40922" s="9"/>
      <c r="G40922" s="9"/>
      <c r="J40922" s="11"/>
      <c r="U40922" s="9"/>
      <c r="X40922" s="9"/>
    </row>
    <row r="40923">
      <c r="D40923" s="9"/>
      <c r="G40923" s="9"/>
      <c r="J40923" s="11"/>
      <c r="U40923" s="9"/>
      <c r="X40923" s="9"/>
    </row>
    <row r="40924">
      <c r="D40924" s="9"/>
      <c r="G40924" s="9"/>
      <c r="J40924" s="11"/>
      <c r="U40924" s="9"/>
      <c r="X40924" s="9"/>
    </row>
    <row r="40925">
      <c r="D40925" s="9"/>
      <c r="G40925" s="9"/>
      <c r="J40925" s="11"/>
      <c r="U40925" s="9"/>
      <c r="X40925" s="9"/>
    </row>
    <row r="40926">
      <c r="D40926" s="9"/>
      <c r="G40926" s="9"/>
      <c r="J40926" s="11"/>
      <c r="U40926" s="9"/>
      <c r="X40926" s="9"/>
    </row>
    <row r="40927">
      <c r="D40927" s="9"/>
      <c r="G40927" s="9"/>
      <c r="J40927" s="11"/>
      <c r="U40927" s="9"/>
      <c r="X40927" s="9"/>
    </row>
    <row r="40928">
      <c r="D40928" s="9"/>
      <c r="G40928" s="9"/>
      <c r="J40928" s="11"/>
      <c r="U40928" s="9"/>
      <c r="X40928" s="9"/>
    </row>
    <row r="40929">
      <c r="D40929" s="9"/>
      <c r="G40929" s="9"/>
      <c r="J40929" s="11"/>
      <c r="U40929" s="9"/>
      <c r="X40929" s="9"/>
    </row>
    <row r="40930">
      <c r="D40930" s="9"/>
      <c r="G40930" s="9"/>
      <c r="J40930" s="11"/>
      <c r="U40930" s="9"/>
      <c r="X40930" s="9"/>
    </row>
    <row r="40931">
      <c r="D40931" s="9"/>
      <c r="G40931" s="9"/>
      <c r="J40931" s="11"/>
      <c r="U40931" s="9"/>
      <c r="X40931" s="9"/>
    </row>
    <row r="40932">
      <c r="D40932" s="9"/>
      <c r="G40932" s="9"/>
      <c r="J40932" s="11"/>
      <c r="U40932" s="9"/>
      <c r="X40932" s="9"/>
    </row>
    <row r="40933">
      <c r="D40933" s="9"/>
      <c r="G40933" s="9"/>
      <c r="J40933" s="11"/>
      <c r="U40933" s="9"/>
      <c r="X40933" s="9"/>
    </row>
    <row r="40934">
      <c r="D40934" s="9"/>
      <c r="G40934" s="9"/>
      <c r="J40934" s="11"/>
      <c r="U40934" s="9"/>
      <c r="X40934" s="9"/>
    </row>
    <row r="40935">
      <c r="D40935" s="9"/>
      <c r="G40935" s="9"/>
      <c r="J40935" s="11"/>
      <c r="U40935" s="9"/>
      <c r="X40935" s="9"/>
    </row>
    <row r="40936">
      <c r="D40936" s="9"/>
      <c r="G40936" s="9"/>
      <c r="J40936" s="11"/>
      <c r="U40936" s="9"/>
      <c r="X40936" s="9"/>
    </row>
    <row r="40937">
      <c r="D40937" s="9"/>
      <c r="G40937" s="9"/>
      <c r="J40937" s="11"/>
      <c r="U40937" s="9"/>
      <c r="X40937" s="9"/>
    </row>
    <row r="40938">
      <c r="D40938" s="9"/>
      <c r="G40938" s="9"/>
      <c r="J40938" s="11"/>
      <c r="U40938" s="9"/>
      <c r="X40938" s="9"/>
    </row>
    <row r="40939">
      <c r="D40939" s="9"/>
      <c r="G40939" s="9"/>
      <c r="J40939" s="11"/>
      <c r="U40939" s="9"/>
      <c r="X40939" s="9"/>
    </row>
    <row r="40940">
      <c r="D40940" s="9"/>
      <c r="G40940" s="9"/>
      <c r="J40940" s="11"/>
      <c r="U40940" s="9"/>
      <c r="X40940" s="9"/>
    </row>
    <row r="40941">
      <c r="D40941" s="9"/>
      <c r="G40941" s="9"/>
      <c r="J40941" s="11"/>
      <c r="U40941" s="9"/>
      <c r="X40941" s="9"/>
    </row>
    <row r="40942">
      <c r="D40942" s="9"/>
      <c r="G40942" s="9"/>
      <c r="J40942" s="11"/>
      <c r="U40942" s="9"/>
      <c r="X40942" s="9"/>
    </row>
    <row r="40943">
      <c r="D40943" s="9"/>
      <c r="G40943" s="9"/>
      <c r="J40943" s="11"/>
      <c r="U40943" s="9"/>
      <c r="X40943" s="9"/>
    </row>
    <row r="40944">
      <c r="D40944" s="9"/>
      <c r="G40944" s="9"/>
      <c r="J40944" s="11"/>
      <c r="U40944" s="9"/>
      <c r="X40944" s="9"/>
    </row>
    <row r="40945">
      <c r="D40945" s="9"/>
      <c r="G40945" s="9"/>
      <c r="J40945" s="11"/>
      <c r="U40945" s="9"/>
      <c r="X40945" s="9"/>
    </row>
    <row r="40946">
      <c r="D40946" s="9"/>
      <c r="G40946" s="9"/>
      <c r="J40946" s="11"/>
      <c r="U40946" s="9"/>
      <c r="X40946" s="9"/>
    </row>
    <row r="40947">
      <c r="D40947" s="9"/>
      <c r="G40947" s="9"/>
      <c r="J40947" s="11"/>
      <c r="U40947" s="9"/>
      <c r="X40947" s="9"/>
    </row>
    <row r="40948">
      <c r="D40948" s="9"/>
      <c r="G40948" s="9"/>
      <c r="J40948" s="11"/>
      <c r="U40948" s="9"/>
      <c r="X40948" s="9"/>
    </row>
    <row r="40949">
      <c r="D40949" s="9"/>
      <c r="G40949" s="9"/>
      <c r="J40949" s="11"/>
      <c r="U40949" s="9"/>
      <c r="X40949" s="9"/>
    </row>
    <row r="40950">
      <c r="D40950" s="9"/>
      <c r="G40950" s="9"/>
      <c r="J40950" s="11"/>
      <c r="U40950" s="9"/>
      <c r="X40950" s="9"/>
    </row>
    <row r="40951">
      <c r="D40951" s="9"/>
      <c r="G40951" s="9"/>
      <c r="J40951" s="11"/>
      <c r="U40951" s="9"/>
      <c r="X40951" s="9"/>
    </row>
    <row r="40952">
      <c r="D40952" s="9"/>
      <c r="G40952" s="9"/>
      <c r="J40952" s="11"/>
      <c r="U40952" s="9"/>
      <c r="X40952" s="9"/>
    </row>
    <row r="40953">
      <c r="D40953" s="9"/>
      <c r="G40953" s="9"/>
      <c r="J40953" s="11"/>
      <c r="U40953" s="9"/>
      <c r="X40953" s="9"/>
    </row>
    <row r="40954">
      <c r="D40954" s="9"/>
      <c r="G40954" s="9"/>
      <c r="J40954" s="11"/>
      <c r="U40954" s="9"/>
      <c r="X40954" s="9"/>
    </row>
    <row r="40955">
      <c r="D40955" s="9"/>
      <c r="G40955" s="9"/>
      <c r="J40955" s="11"/>
      <c r="U40955" s="9"/>
      <c r="X40955" s="9"/>
    </row>
    <row r="40956">
      <c r="D40956" s="9"/>
      <c r="G40956" s="9"/>
      <c r="J40956" s="11"/>
      <c r="U40956" s="9"/>
      <c r="X40956" s="9"/>
    </row>
    <row r="40957">
      <c r="D40957" s="9"/>
      <c r="G40957" s="9"/>
      <c r="J40957" s="11"/>
      <c r="U40957" s="9"/>
      <c r="X40957" s="9"/>
    </row>
    <row r="40958">
      <c r="D40958" s="9"/>
      <c r="G40958" s="9"/>
      <c r="J40958" s="11"/>
      <c r="U40958" s="9"/>
      <c r="X40958" s="9"/>
    </row>
    <row r="40959">
      <c r="D40959" s="9"/>
      <c r="G40959" s="9"/>
      <c r="J40959" s="11"/>
      <c r="U40959" s="9"/>
      <c r="X40959" s="9"/>
    </row>
    <row r="40960">
      <c r="D40960" s="9"/>
      <c r="G40960" s="9"/>
      <c r="J40960" s="11"/>
      <c r="U40960" s="9"/>
      <c r="X40960" s="9"/>
    </row>
    <row r="40961">
      <c r="D40961" s="9"/>
      <c r="G40961" s="9"/>
      <c r="J40961" s="11"/>
      <c r="U40961" s="9"/>
      <c r="X40961" s="9"/>
    </row>
    <row r="40962">
      <c r="D40962" s="9"/>
      <c r="G40962" s="9"/>
      <c r="J40962" s="11"/>
      <c r="U40962" s="9"/>
      <c r="X40962" s="9"/>
    </row>
    <row r="40963">
      <c r="D40963" s="9"/>
      <c r="G40963" s="9"/>
      <c r="J40963" s="11"/>
      <c r="U40963" s="9"/>
      <c r="X40963" s="9"/>
    </row>
    <row r="40964">
      <c r="D40964" s="9"/>
      <c r="G40964" s="9"/>
      <c r="J40964" s="11"/>
      <c r="U40964" s="9"/>
      <c r="X40964" s="9"/>
    </row>
    <row r="40965">
      <c r="D40965" s="9"/>
      <c r="G40965" s="9"/>
      <c r="J40965" s="11"/>
      <c r="U40965" s="9"/>
      <c r="X40965" s="9"/>
    </row>
    <row r="40966">
      <c r="D40966" s="9"/>
      <c r="G40966" s="9"/>
      <c r="J40966" s="11"/>
      <c r="U40966" s="9"/>
      <c r="X40966" s="9"/>
    </row>
    <row r="40967">
      <c r="D40967" s="9"/>
      <c r="G40967" s="9"/>
      <c r="J40967" s="11"/>
      <c r="U40967" s="9"/>
      <c r="X40967" s="9"/>
    </row>
    <row r="40968">
      <c r="D40968" s="9"/>
      <c r="G40968" s="9"/>
      <c r="J40968" s="11"/>
      <c r="U40968" s="9"/>
      <c r="X40968" s="9"/>
    </row>
    <row r="40969">
      <c r="D40969" s="9"/>
      <c r="G40969" s="9"/>
      <c r="J40969" s="11"/>
      <c r="U40969" s="9"/>
      <c r="X40969" s="9"/>
    </row>
    <row r="40970">
      <c r="D40970" s="9"/>
      <c r="G40970" s="9"/>
      <c r="J40970" s="11"/>
      <c r="U40970" s="9"/>
      <c r="X40970" s="9"/>
    </row>
    <row r="40971">
      <c r="D40971" s="9"/>
      <c r="G40971" s="9"/>
      <c r="J40971" s="11"/>
      <c r="U40971" s="9"/>
      <c r="X40971" s="9"/>
    </row>
    <row r="40972">
      <c r="D40972" s="9"/>
      <c r="G40972" s="9"/>
      <c r="J40972" s="11"/>
      <c r="U40972" s="9"/>
      <c r="X40972" s="9"/>
    </row>
    <row r="40973">
      <c r="D40973" s="9"/>
      <c r="G40973" s="9"/>
      <c r="J40973" s="11"/>
      <c r="U40973" s="9"/>
      <c r="X40973" s="9"/>
    </row>
    <row r="40974">
      <c r="D40974" s="9"/>
      <c r="G40974" s="9"/>
      <c r="J40974" s="11"/>
      <c r="U40974" s="9"/>
      <c r="X40974" s="9"/>
    </row>
    <row r="40975">
      <c r="D40975" s="9"/>
      <c r="G40975" s="9"/>
      <c r="J40975" s="11"/>
      <c r="U40975" s="9"/>
      <c r="X40975" s="9"/>
    </row>
    <row r="40976">
      <c r="D40976" s="9"/>
      <c r="G40976" s="9"/>
      <c r="J40976" s="11"/>
      <c r="U40976" s="9"/>
      <c r="X40976" s="9"/>
    </row>
    <row r="40977">
      <c r="D40977" s="9"/>
      <c r="G40977" s="9"/>
      <c r="J40977" s="11"/>
      <c r="U40977" s="9"/>
      <c r="X40977" s="9"/>
    </row>
    <row r="40978">
      <c r="D40978" s="9"/>
      <c r="G40978" s="9"/>
      <c r="J40978" s="11"/>
      <c r="U40978" s="9"/>
      <c r="X40978" s="9"/>
    </row>
    <row r="40979">
      <c r="D40979" s="9"/>
      <c r="G40979" s="9"/>
      <c r="J40979" s="11"/>
      <c r="U40979" s="9"/>
      <c r="X40979" s="9"/>
    </row>
    <row r="40980">
      <c r="D40980" s="9"/>
      <c r="G40980" s="9"/>
      <c r="J40980" s="11"/>
      <c r="U40980" s="9"/>
      <c r="X40980" s="9"/>
    </row>
    <row r="40981">
      <c r="D40981" s="9"/>
      <c r="G40981" s="9"/>
      <c r="J40981" s="11"/>
      <c r="U40981" s="9"/>
      <c r="X40981" s="9"/>
    </row>
    <row r="40982">
      <c r="D40982" s="9"/>
      <c r="G40982" s="9"/>
      <c r="J40982" s="11"/>
      <c r="U40982" s="9"/>
      <c r="X40982" s="9"/>
    </row>
    <row r="40983">
      <c r="D40983" s="9"/>
      <c r="G40983" s="9"/>
      <c r="J40983" s="11"/>
      <c r="U40983" s="9"/>
      <c r="X40983" s="9"/>
    </row>
    <row r="40984">
      <c r="D40984" s="9"/>
      <c r="G40984" s="9"/>
      <c r="J40984" s="11"/>
      <c r="U40984" s="9"/>
      <c r="X40984" s="9"/>
    </row>
    <row r="40985">
      <c r="D40985" s="9"/>
      <c r="G40985" s="9"/>
      <c r="J40985" s="11"/>
      <c r="U40985" s="9"/>
      <c r="X40985" s="9"/>
    </row>
    <row r="40986">
      <c r="D40986" s="9"/>
      <c r="G40986" s="9"/>
      <c r="J40986" s="11"/>
      <c r="U40986" s="9"/>
      <c r="X40986" s="9"/>
    </row>
    <row r="40987">
      <c r="D40987" s="9"/>
      <c r="G40987" s="9"/>
      <c r="J40987" s="11"/>
      <c r="U40987" s="9"/>
      <c r="X40987" s="9"/>
    </row>
    <row r="40988">
      <c r="D40988" s="9"/>
      <c r="G40988" s="9"/>
      <c r="J40988" s="11"/>
      <c r="U40988" s="9"/>
      <c r="X40988" s="9"/>
    </row>
    <row r="40989">
      <c r="D40989" s="9"/>
      <c r="G40989" s="9"/>
      <c r="J40989" s="11"/>
      <c r="U40989" s="9"/>
      <c r="X40989" s="9"/>
    </row>
    <row r="40990">
      <c r="D40990" s="9"/>
      <c r="G40990" s="9"/>
      <c r="J40990" s="11"/>
      <c r="U40990" s="9"/>
      <c r="X40990" s="9"/>
    </row>
    <row r="40991">
      <c r="D40991" s="9"/>
      <c r="G40991" s="9"/>
      <c r="J40991" s="11"/>
      <c r="U40991" s="9"/>
      <c r="X40991" s="9"/>
    </row>
    <row r="40992">
      <c r="D40992" s="9"/>
      <c r="G40992" s="9"/>
      <c r="J40992" s="11"/>
      <c r="U40992" s="9"/>
      <c r="X40992" s="9"/>
    </row>
    <row r="40993">
      <c r="D40993" s="9"/>
      <c r="G40993" s="9"/>
      <c r="J40993" s="11"/>
      <c r="U40993" s="9"/>
      <c r="X40993" s="9"/>
    </row>
    <row r="40994">
      <c r="D40994" s="9"/>
      <c r="G40994" s="9"/>
      <c r="J40994" s="11"/>
      <c r="U40994" s="9"/>
      <c r="X40994" s="9"/>
    </row>
    <row r="40995">
      <c r="D40995" s="9"/>
      <c r="G40995" s="9"/>
      <c r="J40995" s="11"/>
      <c r="U40995" s="9"/>
      <c r="X40995" s="9"/>
    </row>
    <row r="40996">
      <c r="D40996" s="9"/>
      <c r="G40996" s="9"/>
      <c r="J40996" s="11"/>
      <c r="U40996" s="9"/>
      <c r="X40996" s="9"/>
    </row>
    <row r="40997">
      <c r="D40997" s="9"/>
      <c r="G40997" s="9"/>
      <c r="J40997" s="11"/>
      <c r="U40997" s="9"/>
      <c r="X40997" s="9"/>
    </row>
    <row r="40998">
      <c r="D40998" s="9"/>
      <c r="G40998" s="9"/>
      <c r="J40998" s="11"/>
      <c r="U40998" s="9"/>
      <c r="X40998" s="9"/>
    </row>
    <row r="40999">
      <c r="D40999" s="9"/>
      <c r="G40999" s="9"/>
      <c r="J40999" s="11"/>
      <c r="U40999" s="9"/>
      <c r="X40999" s="9"/>
    </row>
    <row r="41000">
      <c r="D41000" s="9"/>
      <c r="G41000" s="9"/>
      <c r="J41000" s="11"/>
      <c r="U41000" s="9"/>
      <c r="X41000" s="9"/>
    </row>
    <row r="41001">
      <c r="D41001" s="9"/>
      <c r="G41001" s="9"/>
      <c r="J41001" s="11"/>
      <c r="U41001" s="9"/>
      <c r="X41001" s="9"/>
    </row>
    <row r="41002">
      <c r="D41002" s="9"/>
      <c r="G41002" s="9"/>
      <c r="J41002" s="11"/>
      <c r="U41002" s="9"/>
      <c r="X41002" s="9"/>
    </row>
    <row r="41003">
      <c r="D41003" s="9"/>
      <c r="G41003" s="9"/>
      <c r="J41003" s="11"/>
      <c r="U41003" s="9"/>
      <c r="X41003" s="9"/>
    </row>
    <row r="41004">
      <c r="D41004" s="9"/>
      <c r="G41004" s="9"/>
      <c r="J41004" s="11"/>
      <c r="U41004" s="9"/>
      <c r="X41004" s="9"/>
    </row>
    <row r="41005">
      <c r="D41005" s="9"/>
      <c r="G41005" s="9"/>
      <c r="J41005" s="11"/>
      <c r="U41005" s="9"/>
      <c r="X41005" s="9"/>
    </row>
    <row r="41006">
      <c r="D41006" s="9"/>
      <c r="G41006" s="9"/>
      <c r="J41006" s="11"/>
      <c r="U41006" s="9"/>
      <c r="X41006" s="9"/>
    </row>
    <row r="41007">
      <c r="D41007" s="9"/>
      <c r="G41007" s="9"/>
      <c r="J41007" s="11"/>
      <c r="U41007" s="9"/>
      <c r="X41007" s="9"/>
    </row>
    <row r="41008">
      <c r="D41008" s="9"/>
      <c r="G41008" s="9"/>
      <c r="J41008" s="11"/>
      <c r="U41008" s="9"/>
      <c r="X41008" s="9"/>
    </row>
    <row r="41009">
      <c r="D41009" s="9"/>
      <c r="G41009" s="9"/>
      <c r="J41009" s="11"/>
      <c r="U41009" s="9"/>
      <c r="X41009" s="9"/>
    </row>
    <row r="41010">
      <c r="D41010" s="9"/>
      <c r="G41010" s="9"/>
      <c r="J41010" s="11"/>
      <c r="U41010" s="9"/>
      <c r="X41010" s="9"/>
    </row>
    <row r="41011">
      <c r="D41011" s="9"/>
      <c r="G41011" s="9"/>
      <c r="J41011" s="11"/>
      <c r="U41011" s="9"/>
      <c r="X41011" s="9"/>
    </row>
    <row r="41012">
      <c r="D41012" s="9"/>
      <c r="G41012" s="9"/>
      <c r="J41012" s="11"/>
      <c r="U41012" s="9"/>
      <c r="X41012" s="9"/>
    </row>
    <row r="41013">
      <c r="D41013" s="9"/>
      <c r="G41013" s="9"/>
      <c r="J41013" s="11"/>
      <c r="U41013" s="9"/>
      <c r="X41013" s="9"/>
    </row>
    <row r="41014">
      <c r="D41014" s="9"/>
      <c r="G41014" s="9"/>
      <c r="J41014" s="11"/>
      <c r="U41014" s="9"/>
      <c r="X41014" s="9"/>
    </row>
    <row r="41015">
      <c r="D41015" s="9"/>
      <c r="G41015" s="9"/>
      <c r="J41015" s="11"/>
      <c r="U41015" s="9"/>
      <c r="X41015" s="9"/>
    </row>
    <row r="41016">
      <c r="D41016" s="9"/>
      <c r="G41016" s="9"/>
      <c r="J41016" s="11"/>
      <c r="U41016" s="9"/>
      <c r="X41016" s="9"/>
    </row>
    <row r="41017">
      <c r="D41017" s="9"/>
      <c r="G41017" s="9"/>
      <c r="J41017" s="11"/>
      <c r="U41017" s="9"/>
      <c r="X41017" s="9"/>
    </row>
    <row r="41018">
      <c r="D41018" s="9"/>
      <c r="G41018" s="9"/>
      <c r="J41018" s="11"/>
      <c r="U41018" s="9"/>
      <c r="X41018" s="9"/>
    </row>
    <row r="41019">
      <c r="D41019" s="9"/>
      <c r="G41019" s="9"/>
      <c r="J41019" s="11"/>
      <c r="U41019" s="9"/>
      <c r="X41019" s="9"/>
    </row>
    <row r="41020">
      <c r="D41020" s="9"/>
      <c r="G41020" s="9"/>
      <c r="J41020" s="11"/>
      <c r="U41020" s="9"/>
      <c r="X41020" s="9"/>
    </row>
    <row r="41021">
      <c r="D41021" s="9"/>
      <c r="G41021" s="9"/>
      <c r="J41021" s="11"/>
      <c r="U41021" s="9"/>
      <c r="X41021" s="9"/>
    </row>
    <row r="41022">
      <c r="D41022" s="9"/>
      <c r="G41022" s="9"/>
      <c r="J41022" s="11"/>
      <c r="U41022" s="9"/>
      <c r="X41022" s="9"/>
    </row>
    <row r="41023">
      <c r="D41023" s="9"/>
      <c r="G41023" s="9"/>
      <c r="J41023" s="11"/>
      <c r="U41023" s="9"/>
      <c r="X41023" s="9"/>
    </row>
    <row r="41024">
      <c r="D41024" s="9"/>
      <c r="G41024" s="9"/>
      <c r="J41024" s="11"/>
      <c r="U41024" s="9"/>
      <c r="X41024" s="9"/>
    </row>
    <row r="41025">
      <c r="D41025" s="9"/>
      <c r="G41025" s="9"/>
      <c r="J41025" s="11"/>
      <c r="U41025" s="9"/>
      <c r="X41025" s="9"/>
    </row>
    <row r="41026">
      <c r="D41026" s="9"/>
      <c r="G41026" s="9"/>
      <c r="J41026" s="11"/>
      <c r="U41026" s="9"/>
      <c r="X41026" s="9"/>
    </row>
    <row r="41027">
      <c r="D41027" s="9"/>
      <c r="G41027" s="9"/>
      <c r="J41027" s="11"/>
      <c r="U41027" s="9"/>
      <c r="X41027" s="9"/>
    </row>
    <row r="41028">
      <c r="D41028" s="9"/>
      <c r="G41028" s="9"/>
      <c r="J41028" s="11"/>
      <c r="U41028" s="9"/>
      <c r="X41028" s="9"/>
    </row>
    <row r="41029">
      <c r="D41029" s="9"/>
      <c r="G41029" s="9"/>
      <c r="J41029" s="11"/>
      <c r="U41029" s="9"/>
      <c r="X41029" s="9"/>
    </row>
    <row r="41030">
      <c r="D41030" s="9"/>
      <c r="G41030" s="9"/>
      <c r="J41030" s="11"/>
      <c r="U41030" s="9"/>
      <c r="X41030" s="9"/>
    </row>
    <row r="41031">
      <c r="D41031" s="9"/>
      <c r="G41031" s="9"/>
      <c r="J41031" s="11"/>
      <c r="U41031" s="9"/>
      <c r="X41031" s="9"/>
    </row>
    <row r="41032">
      <c r="D41032" s="9"/>
      <c r="G41032" s="9"/>
      <c r="J41032" s="11"/>
      <c r="U41032" s="9"/>
      <c r="X41032" s="9"/>
    </row>
    <row r="41033">
      <c r="D41033" s="9"/>
      <c r="G41033" s="9"/>
      <c r="J41033" s="11"/>
      <c r="U41033" s="9"/>
      <c r="X41033" s="9"/>
    </row>
    <row r="41034">
      <c r="D41034" s="9"/>
      <c r="G41034" s="9"/>
      <c r="J41034" s="11"/>
      <c r="U41034" s="9"/>
      <c r="X41034" s="9"/>
    </row>
    <row r="41035">
      <c r="D41035" s="9"/>
      <c r="G41035" s="9"/>
      <c r="J41035" s="11"/>
      <c r="U41035" s="9"/>
      <c r="X41035" s="9"/>
    </row>
    <row r="41036">
      <c r="D41036" s="9"/>
      <c r="G41036" s="9"/>
      <c r="J41036" s="11"/>
      <c r="U41036" s="9"/>
      <c r="X41036" s="9"/>
    </row>
    <row r="41037">
      <c r="D41037" s="9"/>
      <c r="G41037" s="9"/>
      <c r="J41037" s="11"/>
      <c r="U41037" s="9"/>
      <c r="X41037" s="9"/>
    </row>
    <row r="41038">
      <c r="D41038" s="9"/>
      <c r="G41038" s="9"/>
      <c r="J41038" s="11"/>
      <c r="U41038" s="9"/>
      <c r="X41038" s="9"/>
    </row>
    <row r="41039">
      <c r="D41039" s="9"/>
      <c r="G41039" s="9"/>
      <c r="J41039" s="11"/>
      <c r="U41039" s="9"/>
      <c r="X41039" s="9"/>
    </row>
    <row r="41040">
      <c r="D41040" s="9"/>
      <c r="G41040" s="9"/>
      <c r="J41040" s="11"/>
      <c r="U41040" s="9"/>
      <c r="X41040" s="9"/>
    </row>
    <row r="41041">
      <c r="D41041" s="9"/>
      <c r="G41041" s="9"/>
      <c r="J41041" s="11"/>
      <c r="U41041" s="9"/>
      <c r="X41041" s="9"/>
    </row>
    <row r="41042">
      <c r="D41042" s="9"/>
      <c r="G41042" s="9"/>
      <c r="J41042" s="11"/>
      <c r="U41042" s="9"/>
      <c r="X41042" s="9"/>
    </row>
    <row r="41043">
      <c r="D41043" s="9"/>
      <c r="G41043" s="9"/>
      <c r="J41043" s="11"/>
      <c r="U41043" s="9"/>
      <c r="X41043" s="9"/>
    </row>
    <row r="41044">
      <c r="D41044" s="9"/>
      <c r="G41044" s="9"/>
      <c r="J41044" s="11"/>
      <c r="U41044" s="9"/>
      <c r="X41044" s="9"/>
    </row>
    <row r="41045">
      <c r="D41045" s="9"/>
      <c r="G41045" s="9"/>
      <c r="J41045" s="11"/>
      <c r="U41045" s="9"/>
      <c r="X41045" s="9"/>
    </row>
    <row r="41046">
      <c r="D41046" s="9"/>
      <c r="G41046" s="9"/>
      <c r="J41046" s="11"/>
      <c r="U41046" s="9"/>
      <c r="X41046" s="9"/>
    </row>
    <row r="41047">
      <c r="D41047" s="9"/>
      <c r="G41047" s="9"/>
      <c r="J41047" s="11"/>
      <c r="U41047" s="9"/>
      <c r="X41047" s="9"/>
    </row>
    <row r="41048">
      <c r="D41048" s="9"/>
      <c r="G41048" s="9"/>
      <c r="J41048" s="11"/>
      <c r="U41048" s="9"/>
      <c r="X41048" s="9"/>
    </row>
    <row r="41049">
      <c r="D41049" s="9"/>
      <c r="G41049" s="9"/>
      <c r="J41049" s="11"/>
      <c r="U41049" s="9"/>
      <c r="X41049" s="9"/>
    </row>
    <row r="41050">
      <c r="D41050" s="9"/>
      <c r="G41050" s="9"/>
      <c r="J41050" s="11"/>
      <c r="U41050" s="9"/>
      <c r="X41050" s="9"/>
    </row>
    <row r="41051">
      <c r="D41051" s="9"/>
      <c r="G41051" s="9"/>
      <c r="J41051" s="11"/>
      <c r="U41051" s="9"/>
      <c r="X41051" s="9"/>
    </row>
    <row r="41052">
      <c r="D41052" s="9"/>
      <c r="G41052" s="9"/>
      <c r="J41052" s="11"/>
      <c r="U41052" s="9"/>
      <c r="X41052" s="9"/>
    </row>
    <row r="41053">
      <c r="D41053" s="9"/>
      <c r="G41053" s="9"/>
      <c r="J41053" s="11"/>
      <c r="U41053" s="9"/>
      <c r="X41053" s="9"/>
    </row>
    <row r="41054">
      <c r="D41054" s="9"/>
      <c r="G41054" s="9"/>
      <c r="J41054" s="11"/>
      <c r="U41054" s="9"/>
      <c r="X41054" s="9"/>
    </row>
    <row r="41055">
      <c r="D41055" s="9"/>
      <c r="G41055" s="9"/>
      <c r="J41055" s="11"/>
      <c r="U41055" s="9"/>
      <c r="X41055" s="9"/>
    </row>
    <row r="41056">
      <c r="D41056" s="9"/>
      <c r="G41056" s="9"/>
      <c r="J41056" s="11"/>
      <c r="U41056" s="9"/>
      <c r="X41056" s="9"/>
    </row>
    <row r="41057">
      <c r="D41057" s="9"/>
      <c r="G41057" s="9"/>
      <c r="J41057" s="11"/>
      <c r="U41057" s="9"/>
      <c r="X41057" s="9"/>
    </row>
    <row r="41058">
      <c r="D41058" s="9"/>
      <c r="G41058" s="9"/>
      <c r="J41058" s="11"/>
      <c r="U41058" s="9"/>
      <c r="X41058" s="9"/>
    </row>
    <row r="41059">
      <c r="D41059" s="9"/>
      <c r="G41059" s="9"/>
      <c r="J41059" s="11"/>
      <c r="U41059" s="9"/>
      <c r="X41059" s="9"/>
    </row>
    <row r="41060">
      <c r="D41060" s="9"/>
      <c r="G41060" s="9"/>
      <c r="J41060" s="11"/>
      <c r="U41060" s="9"/>
      <c r="X41060" s="9"/>
    </row>
    <row r="41061">
      <c r="D41061" s="9"/>
      <c r="G41061" s="9"/>
      <c r="J41061" s="11"/>
      <c r="U41061" s="9"/>
      <c r="X41061" s="9"/>
    </row>
    <row r="41062">
      <c r="D41062" s="9"/>
      <c r="G41062" s="9"/>
      <c r="J41062" s="11"/>
      <c r="U41062" s="9"/>
      <c r="X41062" s="9"/>
    </row>
    <row r="41063">
      <c r="D41063" s="9"/>
      <c r="G41063" s="9"/>
      <c r="J41063" s="11"/>
      <c r="U41063" s="9"/>
      <c r="X41063" s="9"/>
    </row>
    <row r="41064">
      <c r="D41064" s="9"/>
      <c r="G41064" s="9"/>
      <c r="J41064" s="11"/>
      <c r="U41064" s="9"/>
      <c r="X41064" s="9"/>
    </row>
    <row r="41065">
      <c r="D41065" s="9"/>
      <c r="G41065" s="9"/>
      <c r="J41065" s="11"/>
      <c r="U41065" s="9"/>
      <c r="X41065" s="9"/>
    </row>
    <row r="41066">
      <c r="D41066" s="9"/>
      <c r="G41066" s="9"/>
      <c r="J41066" s="11"/>
      <c r="U41066" s="9"/>
      <c r="X41066" s="9"/>
    </row>
    <row r="41067">
      <c r="D41067" s="9"/>
      <c r="G41067" s="9"/>
      <c r="J41067" s="11"/>
      <c r="U41067" s="9"/>
      <c r="X41067" s="9"/>
    </row>
    <row r="41068">
      <c r="D41068" s="9"/>
      <c r="G41068" s="9"/>
      <c r="J41068" s="11"/>
      <c r="U41068" s="9"/>
      <c r="X41068" s="9"/>
    </row>
    <row r="41069">
      <c r="D41069" s="9"/>
      <c r="G41069" s="9"/>
      <c r="J41069" s="11"/>
      <c r="U41069" s="9"/>
      <c r="X41069" s="9"/>
    </row>
    <row r="41070">
      <c r="D41070" s="9"/>
      <c r="G41070" s="9"/>
      <c r="J41070" s="11"/>
      <c r="U41070" s="9"/>
      <c r="X41070" s="9"/>
    </row>
    <row r="41071">
      <c r="D41071" s="9"/>
      <c r="G41071" s="9"/>
      <c r="J41071" s="11"/>
      <c r="U41071" s="9"/>
      <c r="X41071" s="9"/>
    </row>
    <row r="41072">
      <c r="D41072" s="9"/>
      <c r="G41072" s="9"/>
      <c r="J41072" s="11"/>
      <c r="U41072" s="9"/>
      <c r="X41072" s="9"/>
    </row>
    <row r="41073">
      <c r="D41073" s="9"/>
      <c r="G41073" s="9"/>
      <c r="J41073" s="11"/>
      <c r="U41073" s="9"/>
      <c r="X41073" s="9"/>
    </row>
    <row r="41074">
      <c r="D41074" s="9"/>
      <c r="G41074" s="9"/>
      <c r="J41074" s="11"/>
      <c r="U41074" s="9"/>
      <c r="X41074" s="9"/>
    </row>
    <row r="41075">
      <c r="D41075" s="9"/>
      <c r="G41075" s="9"/>
      <c r="J41075" s="11"/>
      <c r="U41075" s="9"/>
      <c r="X41075" s="9"/>
    </row>
    <row r="41076">
      <c r="D41076" s="9"/>
      <c r="G41076" s="9"/>
      <c r="J41076" s="11"/>
      <c r="U41076" s="9"/>
      <c r="X41076" s="9"/>
    </row>
    <row r="41077">
      <c r="D41077" s="9"/>
      <c r="G41077" s="9"/>
      <c r="J41077" s="11"/>
      <c r="U41077" s="9"/>
      <c r="X41077" s="9"/>
    </row>
    <row r="41078">
      <c r="D41078" s="9"/>
      <c r="G41078" s="9"/>
      <c r="J41078" s="11"/>
      <c r="U41078" s="9"/>
      <c r="X41078" s="9"/>
    </row>
    <row r="41079">
      <c r="D41079" s="9"/>
      <c r="G41079" s="9"/>
      <c r="J41079" s="11"/>
      <c r="U41079" s="9"/>
      <c r="X41079" s="9"/>
    </row>
    <row r="41080">
      <c r="D41080" s="9"/>
      <c r="G41080" s="9"/>
      <c r="J41080" s="11"/>
      <c r="U41080" s="9"/>
      <c r="X41080" s="9"/>
    </row>
    <row r="41081">
      <c r="D41081" s="9"/>
      <c r="G41081" s="9"/>
      <c r="J41081" s="11"/>
      <c r="U41081" s="9"/>
      <c r="X41081" s="9"/>
    </row>
    <row r="41082">
      <c r="D41082" s="9"/>
      <c r="G41082" s="9"/>
      <c r="J41082" s="11"/>
      <c r="U41082" s="9"/>
      <c r="X41082" s="9"/>
    </row>
    <row r="41083">
      <c r="D41083" s="9"/>
      <c r="G41083" s="9"/>
      <c r="J41083" s="11"/>
      <c r="U41083" s="9"/>
      <c r="X41083" s="9"/>
    </row>
    <row r="41084">
      <c r="D41084" s="9"/>
      <c r="G41084" s="9"/>
      <c r="J41084" s="11"/>
      <c r="U41084" s="9"/>
      <c r="X41084" s="9"/>
    </row>
    <row r="41085">
      <c r="D41085" s="9"/>
      <c r="G41085" s="9"/>
      <c r="J41085" s="11"/>
      <c r="U41085" s="9"/>
      <c r="X41085" s="9"/>
    </row>
    <row r="41086">
      <c r="D41086" s="9"/>
      <c r="G41086" s="9"/>
      <c r="J41086" s="11"/>
      <c r="U41086" s="9"/>
      <c r="X41086" s="9"/>
    </row>
    <row r="41087">
      <c r="D41087" s="9"/>
      <c r="G41087" s="9"/>
      <c r="J41087" s="11"/>
      <c r="U41087" s="9"/>
      <c r="X41087" s="9"/>
    </row>
    <row r="41088">
      <c r="D41088" s="9"/>
      <c r="G41088" s="9"/>
      <c r="J41088" s="11"/>
      <c r="U41088" s="9"/>
      <c r="X41088" s="9"/>
    </row>
    <row r="41089">
      <c r="D41089" s="9"/>
      <c r="G41089" s="9"/>
      <c r="J41089" s="11"/>
      <c r="U41089" s="9"/>
      <c r="X41089" s="9"/>
    </row>
    <row r="41090">
      <c r="D41090" s="9"/>
      <c r="G41090" s="9"/>
      <c r="J41090" s="11"/>
      <c r="U41090" s="9"/>
      <c r="X41090" s="9"/>
    </row>
    <row r="41091">
      <c r="D41091" s="9"/>
      <c r="G41091" s="9"/>
      <c r="J41091" s="11"/>
      <c r="U41091" s="9"/>
      <c r="X41091" s="9"/>
    </row>
    <row r="41092">
      <c r="D41092" s="9"/>
      <c r="G41092" s="9"/>
      <c r="J41092" s="11"/>
      <c r="U41092" s="9"/>
      <c r="X41092" s="9"/>
    </row>
    <row r="41093">
      <c r="D41093" s="9"/>
      <c r="G41093" s="9"/>
      <c r="J41093" s="11"/>
      <c r="U41093" s="9"/>
      <c r="X41093" s="9"/>
    </row>
    <row r="41094">
      <c r="D41094" s="9"/>
      <c r="G41094" s="9"/>
      <c r="J41094" s="11"/>
      <c r="U41094" s="9"/>
      <c r="X41094" s="9"/>
    </row>
    <row r="41095">
      <c r="D41095" s="9"/>
      <c r="G41095" s="9"/>
      <c r="J41095" s="11"/>
      <c r="U41095" s="9"/>
      <c r="X41095" s="9"/>
    </row>
    <row r="41096">
      <c r="D41096" s="9"/>
      <c r="G41096" s="9"/>
      <c r="J41096" s="11"/>
      <c r="U41096" s="9"/>
      <c r="X41096" s="9"/>
    </row>
    <row r="41097">
      <c r="D41097" s="9"/>
      <c r="G41097" s="9"/>
      <c r="J41097" s="11"/>
      <c r="U41097" s="9"/>
      <c r="X41097" s="9"/>
    </row>
    <row r="41098">
      <c r="D41098" s="9"/>
      <c r="G41098" s="9"/>
      <c r="J41098" s="11"/>
      <c r="U41098" s="9"/>
      <c r="X41098" s="9"/>
    </row>
    <row r="41099">
      <c r="D41099" s="9"/>
      <c r="G41099" s="9"/>
      <c r="J41099" s="11"/>
      <c r="U41099" s="9"/>
      <c r="X41099" s="9"/>
    </row>
    <row r="41100">
      <c r="D41100" s="9"/>
      <c r="G41100" s="9"/>
      <c r="J41100" s="11"/>
      <c r="U41100" s="9"/>
      <c r="X41100" s="9"/>
    </row>
    <row r="41101">
      <c r="D41101" s="9"/>
      <c r="G41101" s="9"/>
      <c r="J41101" s="11"/>
      <c r="U41101" s="9"/>
      <c r="X41101" s="9"/>
    </row>
    <row r="41102">
      <c r="D41102" s="9"/>
      <c r="G41102" s="9"/>
      <c r="J41102" s="11"/>
      <c r="U41102" s="9"/>
      <c r="X41102" s="9"/>
    </row>
    <row r="41103">
      <c r="D41103" s="9"/>
      <c r="G41103" s="9"/>
      <c r="J41103" s="11"/>
      <c r="U41103" s="9"/>
      <c r="X41103" s="9"/>
    </row>
    <row r="41104">
      <c r="D41104" s="9"/>
      <c r="G41104" s="9"/>
      <c r="J41104" s="11"/>
      <c r="U41104" s="9"/>
      <c r="X41104" s="9"/>
    </row>
    <row r="41105">
      <c r="D41105" s="9"/>
      <c r="G41105" s="9"/>
      <c r="J41105" s="11"/>
      <c r="U41105" s="9"/>
      <c r="X41105" s="9"/>
    </row>
    <row r="41106">
      <c r="D41106" s="9"/>
      <c r="G41106" s="9"/>
      <c r="J41106" s="11"/>
      <c r="U41106" s="9"/>
      <c r="X41106" s="9"/>
    </row>
    <row r="41107">
      <c r="D41107" s="9"/>
      <c r="G41107" s="9"/>
      <c r="J41107" s="11"/>
      <c r="U41107" s="9"/>
      <c r="X41107" s="9"/>
    </row>
    <row r="41108">
      <c r="D41108" s="9"/>
      <c r="G41108" s="9"/>
      <c r="J41108" s="11"/>
      <c r="U41108" s="9"/>
      <c r="X41108" s="9"/>
    </row>
    <row r="41109">
      <c r="D41109" s="9"/>
      <c r="G41109" s="9"/>
      <c r="J41109" s="11"/>
      <c r="U41109" s="9"/>
      <c r="X41109" s="9"/>
    </row>
    <row r="41110">
      <c r="D41110" s="9"/>
      <c r="G41110" s="9"/>
      <c r="J41110" s="11"/>
      <c r="U41110" s="9"/>
      <c r="X41110" s="9"/>
    </row>
    <row r="41111">
      <c r="D41111" s="9"/>
      <c r="G41111" s="9"/>
      <c r="J41111" s="11"/>
      <c r="U41111" s="9"/>
      <c r="X41111" s="9"/>
    </row>
    <row r="41112">
      <c r="D41112" s="9"/>
      <c r="G41112" s="9"/>
      <c r="J41112" s="11"/>
      <c r="U41112" s="9"/>
      <c r="X41112" s="9"/>
    </row>
    <row r="41113">
      <c r="D41113" s="9"/>
      <c r="G41113" s="9"/>
      <c r="J41113" s="11"/>
      <c r="U41113" s="9"/>
      <c r="X41113" s="9"/>
    </row>
    <row r="41114">
      <c r="D41114" s="9"/>
      <c r="G41114" s="9"/>
      <c r="J41114" s="11"/>
      <c r="U41114" s="9"/>
      <c r="X41114" s="9"/>
    </row>
    <row r="41115">
      <c r="D41115" s="9"/>
      <c r="G41115" s="9"/>
      <c r="J41115" s="11"/>
      <c r="U41115" s="9"/>
      <c r="X41115" s="9"/>
    </row>
    <row r="41116">
      <c r="D41116" s="9"/>
      <c r="G41116" s="9"/>
      <c r="J41116" s="11"/>
      <c r="U41116" s="9"/>
      <c r="X41116" s="9"/>
    </row>
    <row r="41117">
      <c r="D41117" s="9"/>
      <c r="G41117" s="9"/>
      <c r="J41117" s="11"/>
      <c r="U41117" s="9"/>
      <c r="X41117" s="9"/>
    </row>
    <row r="41118">
      <c r="D41118" s="9"/>
      <c r="G41118" s="9"/>
      <c r="J41118" s="11"/>
      <c r="U41118" s="9"/>
      <c r="X41118" s="9"/>
    </row>
    <row r="41119">
      <c r="D41119" s="9"/>
      <c r="G41119" s="9"/>
      <c r="J41119" s="11"/>
      <c r="U41119" s="9"/>
      <c r="X41119" s="9"/>
    </row>
    <row r="41120">
      <c r="D41120" s="9"/>
      <c r="G41120" s="9"/>
      <c r="J41120" s="11"/>
      <c r="U41120" s="9"/>
      <c r="X41120" s="9"/>
    </row>
    <row r="41121">
      <c r="D41121" s="9"/>
      <c r="G41121" s="9"/>
      <c r="J41121" s="11"/>
      <c r="U41121" s="9"/>
      <c r="X41121" s="9"/>
    </row>
    <row r="41122">
      <c r="D41122" s="9"/>
      <c r="G41122" s="9"/>
      <c r="J41122" s="11"/>
      <c r="U41122" s="9"/>
      <c r="X41122" s="9"/>
    </row>
    <row r="41123">
      <c r="D41123" s="9"/>
      <c r="G41123" s="9"/>
      <c r="J41123" s="11"/>
      <c r="U41123" s="9"/>
      <c r="X41123" s="9"/>
    </row>
    <row r="41124">
      <c r="D41124" s="9"/>
      <c r="G41124" s="9"/>
      <c r="J41124" s="11"/>
      <c r="U41124" s="9"/>
      <c r="X41124" s="9"/>
    </row>
    <row r="41125">
      <c r="D41125" s="9"/>
      <c r="G41125" s="9"/>
      <c r="J41125" s="11"/>
      <c r="U41125" s="9"/>
      <c r="X41125" s="9"/>
    </row>
    <row r="41126">
      <c r="D41126" s="9"/>
      <c r="G41126" s="9"/>
      <c r="J41126" s="11"/>
      <c r="U41126" s="9"/>
      <c r="X41126" s="9"/>
    </row>
    <row r="41127">
      <c r="D41127" s="9"/>
      <c r="G41127" s="9"/>
      <c r="J41127" s="11"/>
      <c r="U41127" s="9"/>
      <c r="X41127" s="9"/>
    </row>
    <row r="41128">
      <c r="D41128" s="9"/>
      <c r="G41128" s="9"/>
      <c r="J41128" s="11"/>
      <c r="U41128" s="9"/>
      <c r="X41128" s="9"/>
    </row>
    <row r="41129">
      <c r="D41129" s="9"/>
      <c r="G41129" s="9"/>
      <c r="J41129" s="11"/>
      <c r="U41129" s="9"/>
      <c r="X41129" s="9"/>
    </row>
    <row r="41130">
      <c r="D41130" s="9"/>
      <c r="G41130" s="9"/>
      <c r="J41130" s="11"/>
      <c r="U41130" s="9"/>
      <c r="X41130" s="9"/>
    </row>
    <row r="41131">
      <c r="D41131" s="9"/>
      <c r="G41131" s="9"/>
      <c r="J41131" s="11"/>
      <c r="U41131" s="9"/>
      <c r="X41131" s="9"/>
    </row>
    <row r="41132">
      <c r="D41132" s="9"/>
      <c r="G41132" s="9"/>
      <c r="J41132" s="11"/>
      <c r="U41132" s="9"/>
      <c r="X41132" s="9"/>
    </row>
    <row r="41133">
      <c r="D41133" s="9"/>
      <c r="G41133" s="9"/>
      <c r="J41133" s="11"/>
      <c r="U41133" s="9"/>
      <c r="X41133" s="9"/>
    </row>
    <row r="41134">
      <c r="D41134" s="9"/>
      <c r="G41134" s="9"/>
      <c r="J41134" s="11"/>
      <c r="U41134" s="9"/>
      <c r="X41134" s="9"/>
    </row>
    <row r="41135">
      <c r="D41135" s="9"/>
      <c r="G41135" s="9"/>
      <c r="J41135" s="11"/>
      <c r="U41135" s="9"/>
      <c r="X41135" s="9"/>
    </row>
    <row r="41136">
      <c r="D41136" s="9"/>
      <c r="G41136" s="9"/>
      <c r="J41136" s="11"/>
      <c r="U41136" s="9"/>
      <c r="X41136" s="9"/>
    </row>
    <row r="41137">
      <c r="D41137" s="9"/>
      <c r="G41137" s="9"/>
      <c r="J41137" s="11"/>
      <c r="U41137" s="9"/>
      <c r="X41137" s="9"/>
    </row>
    <row r="41138">
      <c r="D41138" s="9"/>
      <c r="G41138" s="9"/>
      <c r="J41138" s="11"/>
      <c r="U41138" s="9"/>
      <c r="X41138" s="9"/>
    </row>
    <row r="41139">
      <c r="D41139" s="9"/>
      <c r="G41139" s="9"/>
      <c r="J41139" s="11"/>
      <c r="U41139" s="9"/>
      <c r="X41139" s="9"/>
    </row>
    <row r="41140">
      <c r="D41140" s="9"/>
      <c r="G41140" s="9"/>
      <c r="J41140" s="11"/>
      <c r="U41140" s="9"/>
      <c r="X41140" s="9"/>
    </row>
    <row r="41141">
      <c r="D41141" s="9"/>
      <c r="G41141" s="9"/>
      <c r="J41141" s="11"/>
      <c r="U41141" s="9"/>
      <c r="X41141" s="9"/>
    </row>
    <row r="41142">
      <c r="D41142" s="9"/>
      <c r="G41142" s="9"/>
      <c r="J41142" s="11"/>
      <c r="U41142" s="9"/>
      <c r="X41142" s="9"/>
    </row>
    <row r="41143">
      <c r="D41143" s="9"/>
      <c r="G41143" s="9"/>
      <c r="J41143" s="11"/>
      <c r="U41143" s="9"/>
      <c r="X41143" s="9"/>
    </row>
    <row r="41144">
      <c r="D41144" s="9"/>
      <c r="G41144" s="9"/>
      <c r="J41144" s="11"/>
      <c r="U41144" s="9"/>
      <c r="X41144" s="9"/>
    </row>
    <row r="41145">
      <c r="D41145" s="9"/>
      <c r="G41145" s="9"/>
      <c r="J41145" s="11"/>
      <c r="U41145" s="9"/>
      <c r="X41145" s="9"/>
    </row>
    <row r="41146">
      <c r="D41146" s="9"/>
      <c r="G41146" s="9"/>
      <c r="J41146" s="11"/>
      <c r="U41146" s="9"/>
      <c r="X41146" s="9"/>
    </row>
    <row r="41147">
      <c r="D41147" s="9"/>
      <c r="G41147" s="9"/>
      <c r="J41147" s="11"/>
      <c r="U41147" s="9"/>
      <c r="X41147" s="9"/>
    </row>
    <row r="41148">
      <c r="D41148" s="9"/>
      <c r="G41148" s="9"/>
      <c r="J41148" s="11"/>
      <c r="U41148" s="9"/>
      <c r="X41148" s="9"/>
    </row>
    <row r="41149">
      <c r="D41149" s="9"/>
      <c r="G41149" s="9"/>
      <c r="J41149" s="11"/>
      <c r="U41149" s="9"/>
      <c r="X41149" s="9"/>
    </row>
    <row r="41150">
      <c r="D41150" s="9"/>
      <c r="G41150" s="9"/>
      <c r="J41150" s="11"/>
      <c r="U41150" s="9"/>
      <c r="X41150" s="9"/>
    </row>
    <row r="41151">
      <c r="D41151" s="9"/>
      <c r="G41151" s="9"/>
      <c r="J41151" s="11"/>
      <c r="U41151" s="9"/>
      <c r="X41151" s="9"/>
    </row>
    <row r="41152">
      <c r="D41152" s="9"/>
      <c r="G41152" s="9"/>
      <c r="J41152" s="11"/>
      <c r="U41152" s="9"/>
      <c r="X41152" s="9"/>
    </row>
    <row r="41153">
      <c r="D41153" s="9"/>
      <c r="G41153" s="9"/>
      <c r="J41153" s="11"/>
      <c r="U41153" s="9"/>
      <c r="X41153" s="9"/>
    </row>
    <row r="41154">
      <c r="D41154" s="9"/>
      <c r="G41154" s="9"/>
      <c r="J41154" s="11"/>
      <c r="U41154" s="9"/>
      <c r="X41154" s="9"/>
    </row>
    <row r="41155">
      <c r="D41155" s="9"/>
      <c r="G41155" s="9"/>
      <c r="J41155" s="11"/>
      <c r="U41155" s="9"/>
      <c r="X41155" s="9"/>
    </row>
    <row r="41156">
      <c r="D41156" s="9"/>
      <c r="G41156" s="9"/>
      <c r="J41156" s="11"/>
      <c r="U41156" s="9"/>
      <c r="X41156" s="9"/>
    </row>
    <row r="41157">
      <c r="D41157" s="9"/>
      <c r="G41157" s="9"/>
      <c r="J41157" s="11"/>
      <c r="U41157" s="9"/>
      <c r="X41157" s="9"/>
    </row>
    <row r="41158">
      <c r="D41158" s="9"/>
      <c r="G41158" s="9"/>
      <c r="J41158" s="11"/>
      <c r="U41158" s="9"/>
      <c r="X41158" s="9"/>
    </row>
    <row r="41159">
      <c r="D41159" s="9"/>
      <c r="G41159" s="9"/>
      <c r="J41159" s="11"/>
      <c r="U41159" s="9"/>
      <c r="X41159" s="9"/>
    </row>
    <row r="41160">
      <c r="D41160" s="9"/>
      <c r="G41160" s="9"/>
      <c r="J41160" s="11"/>
      <c r="U41160" s="9"/>
      <c r="X41160" s="9"/>
    </row>
    <row r="41161">
      <c r="D41161" s="9"/>
      <c r="G41161" s="9"/>
      <c r="J41161" s="11"/>
      <c r="U41161" s="9"/>
      <c r="X41161" s="9"/>
    </row>
    <row r="41162">
      <c r="D41162" s="9"/>
      <c r="G41162" s="9"/>
      <c r="J41162" s="11"/>
      <c r="U41162" s="9"/>
      <c r="X41162" s="9"/>
    </row>
    <row r="41163">
      <c r="D41163" s="9"/>
      <c r="G41163" s="9"/>
      <c r="J41163" s="11"/>
      <c r="U41163" s="9"/>
      <c r="X41163" s="9"/>
    </row>
    <row r="41164">
      <c r="D41164" s="9"/>
      <c r="G41164" s="9"/>
      <c r="J41164" s="11"/>
      <c r="U41164" s="9"/>
      <c r="X41164" s="9"/>
    </row>
    <row r="41165">
      <c r="D41165" s="9"/>
      <c r="G41165" s="9"/>
      <c r="J41165" s="11"/>
      <c r="U41165" s="9"/>
      <c r="X41165" s="9"/>
    </row>
    <row r="41166">
      <c r="D41166" s="9"/>
      <c r="G41166" s="9"/>
      <c r="J41166" s="11"/>
      <c r="U41166" s="9"/>
      <c r="X41166" s="9"/>
    </row>
    <row r="41167">
      <c r="D41167" s="9"/>
      <c r="G41167" s="9"/>
      <c r="J41167" s="11"/>
      <c r="U41167" s="9"/>
      <c r="X41167" s="9"/>
    </row>
    <row r="41168">
      <c r="D41168" s="9"/>
      <c r="G41168" s="9"/>
      <c r="J41168" s="11"/>
      <c r="U41168" s="9"/>
      <c r="X41168" s="9"/>
    </row>
    <row r="41169">
      <c r="D41169" s="9"/>
      <c r="G41169" s="9"/>
      <c r="J41169" s="11"/>
      <c r="U41169" s="9"/>
      <c r="X41169" s="9"/>
    </row>
    <row r="41170">
      <c r="D41170" s="9"/>
      <c r="G41170" s="9"/>
      <c r="J41170" s="11"/>
      <c r="U41170" s="9"/>
      <c r="X41170" s="9"/>
    </row>
    <row r="41171">
      <c r="D41171" s="9"/>
      <c r="G41171" s="9"/>
      <c r="J41171" s="11"/>
      <c r="U41171" s="9"/>
      <c r="X41171" s="9"/>
    </row>
    <row r="41172">
      <c r="D41172" s="9"/>
      <c r="G41172" s="9"/>
      <c r="J41172" s="11"/>
      <c r="U41172" s="9"/>
      <c r="X41172" s="9"/>
    </row>
    <row r="41173">
      <c r="D41173" s="9"/>
      <c r="G41173" s="9"/>
      <c r="J41173" s="11"/>
      <c r="U41173" s="9"/>
      <c r="X41173" s="9"/>
    </row>
    <row r="41174">
      <c r="D41174" s="9"/>
      <c r="G41174" s="9"/>
      <c r="J41174" s="11"/>
      <c r="U41174" s="9"/>
      <c r="X41174" s="9"/>
    </row>
    <row r="41175">
      <c r="D41175" s="9"/>
      <c r="G41175" s="9"/>
      <c r="J41175" s="11"/>
      <c r="U41175" s="9"/>
      <c r="X41175" s="9"/>
    </row>
    <row r="41176">
      <c r="D41176" s="9"/>
      <c r="G41176" s="9"/>
      <c r="J41176" s="11"/>
      <c r="U41176" s="9"/>
      <c r="X41176" s="9"/>
    </row>
    <row r="41177">
      <c r="D41177" s="9"/>
      <c r="G41177" s="9"/>
      <c r="J41177" s="11"/>
      <c r="U41177" s="9"/>
      <c r="X41177" s="9"/>
    </row>
    <row r="41178">
      <c r="D41178" s="9"/>
      <c r="G41178" s="9"/>
      <c r="J41178" s="11"/>
      <c r="U41178" s="9"/>
      <c r="X41178" s="9"/>
    </row>
    <row r="41179">
      <c r="D41179" s="9"/>
      <c r="G41179" s="9"/>
      <c r="J41179" s="11"/>
      <c r="U41179" s="9"/>
      <c r="X41179" s="9"/>
    </row>
    <row r="41180">
      <c r="D41180" s="9"/>
      <c r="G41180" s="9"/>
      <c r="J41180" s="11"/>
      <c r="U41180" s="9"/>
      <c r="X41180" s="9"/>
    </row>
    <row r="41181">
      <c r="D41181" s="9"/>
      <c r="G41181" s="9"/>
      <c r="J41181" s="11"/>
      <c r="U41181" s="9"/>
      <c r="X41181" s="9"/>
    </row>
    <row r="41182">
      <c r="D41182" s="9"/>
      <c r="G41182" s="9"/>
      <c r="J41182" s="11"/>
      <c r="U41182" s="9"/>
      <c r="X41182" s="9"/>
    </row>
    <row r="41183">
      <c r="D41183" s="9"/>
      <c r="G41183" s="9"/>
      <c r="J41183" s="11"/>
      <c r="U41183" s="9"/>
      <c r="X41183" s="9"/>
    </row>
    <row r="41184">
      <c r="D41184" s="9"/>
      <c r="G41184" s="9"/>
      <c r="J41184" s="11"/>
      <c r="U41184" s="9"/>
      <c r="X41184" s="9"/>
    </row>
    <row r="41185">
      <c r="D41185" s="9"/>
      <c r="G41185" s="9"/>
      <c r="J41185" s="11"/>
      <c r="U41185" s="9"/>
      <c r="X41185" s="9"/>
    </row>
    <row r="41186">
      <c r="D41186" s="9"/>
      <c r="G41186" s="9"/>
      <c r="J41186" s="11"/>
      <c r="U41186" s="9"/>
      <c r="X41186" s="9"/>
    </row>
    <row r="41187">
      <c r="D41187" s="9"/>
      <c r="G41187" s="9"/>
      <c r="J41187" s="11"/>
      <c r="U41187" s="9"/>
      <c r="X41187" s="9"/>
    </row>
    <row r="41188">
      <c r="D41188" s="9"/>
      <c r="G41188" s="9"/>
      <c r="J41188" s="11"/>
      <c r="U41188" s="9"/>
      <c r="X41188" s="9"/>
    </row>
    <row r="41189">
      <c r="D41189" s="9"/>
      <c r="G41189" s="9"/>
      <c r="J41189" s="11"/>
      <c r="U41189" s="9"/>
      <c r="X41189" s="9"/>
    </row>
    <row r="41190">
      <c r="D41190" s="9"/>
      <c r="G41190" s="9"/>
      <c r="J41190" s="11"/>
      <c r="U41190" s="9"/>
      <c r="X41190" s="9"/>
    </row>
    <row r="41191">
      <c r="D41191" s="9"/>
      <c r="G41191" s="9"/>
      <c r="J41191" s="11"/>
      <c r="U41191" s="9"/>
      <c r="X41191" s="9"/>
    </row>
    <row r="41192">
      <c r="D41192" s="9"/>
      <c r="G41192" s="9"/>
      <c r="J41192" s="11"/>
      <c r="U41192" s="9"/>
      <c r="X41192" s="9"/>
    </row>
    <row r="41193">
      <c r="D41193" s="9"/>
      <c r="G41193" s="9"/>
      <c r="J41193" s="11"/>
      <c r="U41193" s="9"/>
      <c r="X41193" s="9"/>
    </row>
    <row r="41194">
      <c r="D41194" s="9"/>
      <c r="G41194" s="9"/>
      <c r="J41194" s="11"/>
      <c r="U41194" s="9"/>
      <c r="X41194" s="9"/>
    </row>
    <row r="41195">
      <c r="D41195" s="9"/>
      <c r="G41195" s="9"/>
      <c r="J41195" s="11"/>
      <c r="U41195" s="9"/>
      <c r="X41195" s="9"/>
    </row>
    <row r="41196">
      <c r="D41196" s="9"/>
      <c r="G41196" s="9"/>
      <c r="J41196" s="11"/>
      <c r="U41196" s="9"/>
      <c r="X41196" s="9"/>
    </row>
    <row r="41197">
      <c r="D41197" s="9"/>
      <c r="G41197" s="9"/>
      <c r="J41197" s="11"/>
      <c r="U41197" s="9"/>
      <c r="X41197" s="9"/>
    </row>
    <row r="41198">
      <c r="D41198" s="9"/>
      <c r="G41198" s="9"/>
      <c r="J41198" s="11"/>
      <c r="U41198" s="9"/>
      <c r="X41198" s="9"/>
    </row>
    <row r="41199">
      <c r="D41199" s="9"/>
      <c r="G41199" s="9"/>
      <c r="J41199" s="11"/>
      <c r="U41199" s="9"/>
      <c r="X41199" s="9"/>
    </row>
    <row r="41200">
      <c r="D41200" s="9"/>
      <c r="G41200" s="9"/>
      <c r="J41200" s="11"/>
      <c r="U41200" s="9"/>
      <c r="X41200" s="9"/>
    </row>
    <row r="41201">
      <c r="D41201" s="9"/>
      <c r="G41201" s="9"/>
      <c r="J41201" s="11"/>
      <c r="U41201" s="9"/>
      <c r="X41201" s="9"/>
    </row>
    <row r="41202">
      <c r="D41202" s="9"/>
      <c r="G41202" s="9"/>
      <c r="J41202" s="11"/>
      <c r="U41202" s="9"/>
      <c r="X41202" s="9"/>
    </row>
    <row r="41203">
      <c r="D41203" s="9"/>
      <c r="G41203" s="9"/>
      <c r="J41203" s="11"/>
      <c r="U41203" s="9"/>
      <c r="X41203" s="9"/>
    </row>
    <row r="41204">
      <c r="D41204" s="9"/>
      <c r="G41204" s="9"/>
      <c r="J41204" s="11"/>
      <c r="U41204" s="9"/>
      <c r="X41204" s="9"/>
    </row>
    <row r="41205">
      <c r="D41205" s="9"/>
      <c r="G41205" s="9"/>
      <c r="J41205" s="11"/>
      <c r="U41205" s="9"/>
      <c r="X41205" s="9"/>
    </row>
    <row r="41206">
      <c r="D41206" s="9"/>
      <c r="G41206" s="9"/>
      <c r="J41206" s="11"/>
      <c r="U41206" s="9"/>
      <c r="X41206" s="9"/>
    </row>
    <row r="41207">
      <c r="D41207" s="9"/>
      <c r="G41207" s="9"/>
      <c r="J41207" s="11"/>
      <c r="U41207" s="9"/>
      <c r="X41207" s="9"/>
    </row>
    <row r="41208">
      <c r="D41208" s="9"/>
      <c r="G41208" s="9"/>
      <c r="J41208" s="11"/>
      <c r="U41208" s="9"/>
      <c r="X41208" s="9"/>
    </row>
    <row r="41209">
      <c r="D41209" s="9"/>
      <c r="G41209" s="9"/>
      <c r="J41209" s="11"/>
      <c r="U41209" s="9"/>
      <c r="X41209" s="9"/>
    </row>
    <row r="41210">
      <c r="D41210" s="9"/>
      <c r="G41210" s="9"/>
      <c r="J41210" s="11"/>
      <c r="U41210" s="9"/>
      <c r="X41210" s="9"/>
    </row>
    <row r="41211">
      <c r="D41211" s="9"/>
      <c r="G41211" s="9"/>
      <c r="J41211" s="11"/>
      <c r="U41211" s="9"/>
      <c r="X41211" s="9"/>
    </row>
    <row r="41212">
      <c r="D41212" s="9"/>
      <c r="G41212" s="9"/>
      <c r="J41212" s="11"/>
      <c r="U41212" s="9"/>
      <c r="X41212" s="9"/>
    </row>
    <row r="41213">
      <c r="D41213" s="9"/>
      <c r="G41213" s="9"/>
      <c r="J41213" s="11"/>
      <c r="U41213" s="9"/>
      <c r="X41213" s="9"/>
    </row>
    <row r="41214">
      <c r="D41214" s="9"/>
      <c r="G41214" s="9"/>
      <c r="J41214" s="11"/>
      <c r="U41214" s="9"/>
      <c r="X41214" s="9"/>
    </row>
    <row r="41215">
      <c r="D41215" s="9"/>
      <c r="G41215" s="9"/>
      <c r="J41215" s="11"/>
      <c r="U41215" s="9"/>
      <c r="X41215" s="9"/>
    </row>
    <row r="41216">
      <c r="D41216" s="9"/>
      <c r="G41216" s="9"/>
      <c r="J41216" s="11"/>
      <c r="U41216" s="9"/>
      <c r="X41216" s="9"/>
    </row>
    <row r="41217">
      <c r="D41217" s="9"/>
      <c r="G41217" s="9"/>
      <c r="J41217" s="11"/>
      <c r="U41217" s="9"/>
      <c r="X41217" s="9"/>
    </row>
    <row r="41218">
      <c r="D41218" s="9"/>
      <c r="G41218" s="9"/>
      <c r="J41218" s="11"/>
      <c r="U41218" s="9"/>
      <c r="X41218" s="9"/>
    </row>
    <row r="41219">
      <c r="D41219" s="9"/>
      <c r="G41219" s="9"/>
      <c r="J41219" s="11"/>
      <c r="U41219" s="9"/>
      <c r="X41219" s="9"/>
    </row>
    <row r="41220">
      <c r="D41220" s="9"/>
      <c r="G41220" s="9"/>
      <c r="J41220" s="11"/>
      <c r="U41220" s="9"/>
      <c r="X41220" s="9"/>
    </row>
    <row r="41221">
      <c r="D41221" s="9"/>
      <c r="G41221" s="9"/>
      <c r="J41221" s="11"/>
      <c r="U41221" s="9"/>
      <c r="X41221" s="9"/>
    </row>
    <row r="41222">
      <c r="D41222" s="9"/>
      <c r="G41222" s="9"/>
      <c r="J41222" s="11"/>
      <c r="U41222" s="9"/>
      <c r="X41222" s="9"/>
    </row>
    <row r="41223">
      <c r="D41223" s="9"/>
      <c r="G41223" s="9"/>
      <c r="J41223" s="11"/>
      <c r="U41223" s="9"/>
      <c r="X41223" s="9"/>
    </row>
    <row r="41224">
      <c r="D41224" s="9"/>
      <c r="G41224" s="9"/>
      <c r="J41224" s="11"/>
      <c r="U41224" s="9"/>
      <c r="X41224" s="9"/>
    </row>
    <row r="41225">
      <c r="D41225" s="9"/>
      <c r="G41225" s="9"/>
      <c r="J41225" s="11"/>
      <c r="U41225" s="9"/>
      <c r="X41225" s="9"/>
    </row>
    <row r="41226">
      <c r="D41226" s="9"/>
      <c r="G41226" s="9"/>
      <c r="J41226" s="11"/>
      <c r="U41226" s="9"/>
      <c r="X41226" s="9"/>
    </row>
    <row r="41227">
      <c r="D41227" s="9"/>
      <c r="G41227" s="9"/>
      <c r="J41227" s="11"/>
      <c r="U41227" s="9"/>
      <c r="X41227" s="9"/>
    </row>
    <row r="41228">
      <c r="D41228" s="9"/>
      <c r="G41228" s="9"/>
      <c r="J41228" s="11"/>
      <c r="U41228" s="9"/>
      <c r="X41228" s="9"/>
    </row>
    <row r="41229">
      <c r="D41229" s="9"/>
      <c r="G41229" s="9"/>
      <c r="J41229" s="11"/>
      <c r="U41229" s="9"/>
      <c r="X41229" s="9"/>
    </row>
    <row r="41230">
      <c r="D41230" s="9"/>
      <c r="G41230" s="9"/>
      <c r="J41230" s="11"/>
      <c r="U41230" s="9"/>
      <c r="X41230" s="9"/>
    </row>
    <row r="41231">
      <c r="D41231" s="9"/>
      <c r="G41231" s="9"/>
      <c r="J41231" s="11"/>
      <c r="U41231" s="9"/>
      <c r="X41231" s="9"/>
    </row>
    <row r="41232">
      <c r="D41232" s="9"/>
      <c r="G41232" s="9"/>
      <c r="J41232" s="11"/>
      <c r="U41232" s="9"/>
      <c r="X41232" s="9"/>
    </row>
    <row r="41233">
      <c r="D41233" s="9"/>
      <c r="G41233" s="9"/>
      <c r="J41233" s="11"/>
      <c r="U41233" s="9"/>
      <c r="X41233" s="9"/>
    </row>
    <row r="41234">
      <c r="D41234" s="9"/>
      <c r="G41234" s="9"/>
      <c r="J41234" s="11"/>
      <c r="U41234" s="9"/>
      <c r="X41234" s="9"/>
    </row>
    <row r="41235">
      <c r="D41235" s="9"/>
      <c r="G41235" s="9"/>
      <c r="J41235" s="11"/>
      <c r="U41235" s="9"/>
      <c r="X41235" s="9"/>
    </row>
    <row r="41236">
      <c r="D41236" s="9"/>
      <c r="G41236" s="9"/>
      <c r="J41236" s="11"/>
      <c r="U41236" s="9"/>
      <c r="X41236" s="9"/>
    </row>
    <row r="41237">
      <c r="D41237" s="9"/>
      <c r="G41237" s="9"/>
      <c r="J41237" s="11"/>
      <c r="U41237" s="9"/>
      <c r="X41237" s="9"/>
    </row>
    <row r="41238">
      <c r="D41238" s="9"/>
      <c r="G41238" s="9"/>
      <c r="J41238" s="11"/>
      <c r="U41238" s="9"/>
      <c r="X41238" s="9"/>
    </row>
    <row r="41239">
      <c r="D41239" s="9"/>
      <c r="G41239" s="9"/>
      <c r="J41239" s="11"/>
      <c r="U41239" s="9"/>
      <c r="X41239" s="9"/>
    </row>
    <row r="41240">
      <c r="D41240" s="9"/>
      <c r="G41240" s="9"/>
      <c r="J41240" s="11"/>
      <c r="U41240" s="9"/>
      <c r="X41240" s="9"/>
    </row>
    <row r="41241">
      <c r="D41241" s="9"/>
      <c r="G41241" s="9"/>
      <c r="J41241" s="11"/>
      <c r="U41241" s="9"/>
      <c r="X41241" s="9"/>
    </row>
    <row r="41242">
      <c r="D41242" s="9"/>
      <c r="G41242" s="9"/>
      <c r="J41242" s="11"/>
      <c r="U41242" s="9"/>
      <c r="X41242" s="9"/>
    </row>
    <row r="41243">
      <c r="D41243" s="9"/>
      <c r="G41243" s="9"/>
      <c r="J41243" s="11"/>
      <c r="U41243" s="9"/>
      <c r="X41243" s="9"/>
    </row>
    <row r="41244">
      <c r="D41244" s="9"/>
      <c r="G41244" s="9"/>
      <c r="J41244" s="11"/>
      <c r="U41244" s="9"/>
      <c r="X41244" s="9"/>
    </row>
    <row r="41245">
      <c r="D41245" s="9"/>
      <c r="G41245" s="9"/>
      <c r="J41245" s="11"/>
      <c r="U41245" s="9"/>
      <c r="X41245" s="9"/>
    </row>
    <row r="41246">
      <c r="D41246" s="9"/>
      <c r="G41246" s="9"/>
      <c r="J41246" s="11"/>
      <c r="U41246" s="9"/>
      <c r="X41246" s="9"/>
    </row>
    <row r="41247">
      <c r="D41247" s="9"/>
      <c r="G41247" s="9"/>
      <c r="J41247" s="11"/>
      <c r="U41247" s="9"/>
      <c r="X41247" s="9"/>
    </row>
    <row r="41248">
      <c r="D41248" s="9"/>
      <c r="G41248" s="9"/>
      <c r="J41248" s="11"/>
      <c r="U41248" s="9"/>
      <c r="X41248" s="9"/>
    </row>
    <row r="41249">
      <c r="D41249" s="9"/>
      <c r="G41249" s="9"/>
      <c r="J41249" s="11"/>
      <c r="U41249" s="9"/>
      <c r="X41249" s="9"/>
    </row>
    <row r="41250">
      <c r="D41250" s="9"/>
      <c r="G41250" s="9"/>
      <c r="J41250" s="11"/>
      <c r="U41250" s="9"/>
      <c r="X41250" s="9"/>
    </row>
    <row r="41251">
      <c r="D41251" s="9"/>
      <c r="G41251" s="9"/>
      <c r="J41251" s="11"/>
      <c r="U41251" s="9"/>
      <c r="X41251" s="9"/>
    </row>
    <row r="41252">
      <c r="D41252" s="9"/>
      <c r="G41252" s="9"/>
      <c r="J41252" s="11"/>
      <c r="U41252" s="9"/>
      <c r="X41252" s="9"/>
    </row>
    <row r="41253">
      <c r="D41253" s="9"/>
      <c r="G41253" s="9"/>
      <c r="J41253" s="11"/>
      <c r="U41253" s="9"/>
      <c r="X41253" s="9"/>
    </row>
    <row r="41254">
      <c r="D41254" s="9"/>
      <c r="G41254" s="9"/>
      <c r="J41254" s="11"/>
      <c r="U41254" s="9"/>
      <c r="X41254" s="9"/>
    </row>
    <row r="41255">
      <c r="D41255" s="9"/>
      <c r="G41255" s="9"/>
      <c r="J41255" s="11"/>
      <c r="U41255" s="9"/>
      <c r="X41255" s="9"/>
    </row>
    <row r="41256">
      <c r="D41256" s="9"/>
      <c r="G41256" s="9"/>
      <c r="J41256" s="11"/>
      <c r="U41256" s="9"/>
      <c r="X41256" s="9"/>
    </row>
    <row r="41257">
      <c r="D41257" s="9"/>
      <c r="G41257" s="9"/>
      <c r="J41257" s="11"/>
      <c r="U41257" s="9"/>
      <c r="X41257" s="9"/>
    </row>
    <row r="41258">
      <c r="D41258" s="9"/>
      <c r="G41258" s="9"/>
      <c r="J41258" s="11"/>
      <c r="U41258" s="9"/>
      <c r="X41258" s="9"/>
    </row>
    <row r="41259">
      <c r="D41259" s="9"/>
      <c r="G41259" s="9"/>
      <c r="J41259" s="11"/>
      <c r="U41259" s="9"/>
      <c r="X41259" s="9"/>
    </row>
    <row r="41260">
      <c r="D41260" s="9"/>
      <c r="G41260" s="9"/>
      <c r="J41260" s="11"/>
      <c r="U41260" s="9"/>
      <c r="X41260" s="9"/>
    </row>
    <row r="41261">
      <c r="D41261" s="9"/>
      <c r="G41261" s="9"/>
      <c r="J41261" s="11"/>
      <c r="U41261" s="9"/>
      <c r="X41261" s="9"/>
    </row>
    <row r="41262">
      <c r="D41262" s="9"/>
      <c r="G41262" s="9"/>
      <c r="J41262" s="11"/>
      <c r="U41262" s="9"/>
      <c r="X41262" s="9"/>
    </row>
    <row r="41263">
      <c r="D41263" s="9"/>
      <c r="G41263" s="9"/>
      <c r="J41263" s="11"/>
      <c r="U41263" s="9"/>
      <c r="X41263" s="9"/>
    </row>
    <row r="41264">
      <c r="D41264" s="9"/>
      <c r="G41264" s="9"/>
      <c r="J41264" s="11"/>
      <c r="U41264" s="9"/>
      <c r="X41264" s="9"/>
    </row>
    <row r="41265">
      <c r="D41265" s="9"/>
      <c r="G41265" s="9"/>
      <c r="J41265" s="11"/>
      <c r="U41265" s="9"/>
      <c r="X41265" s="9"/>
    </row>
    <row r="41266">
      <c r="D41266" s="9"/>
      <c r="G41266" s="9"/>
      <c r="J41266" s="11"/>
      <c r="U41266" s="9"/>
      <c r="X41266" s="9"/>
    </row>
    <row r="41267">
      <c r="D41267" s="9"/>
      <c r="G41267" s="9"/>
      <c r="J41267" s="11"/>
      <c r="U41267" s="9"/>
      <c r="X41267" s="9"/>
    </row>
    <row r="41268">
      <c r="D41268" s="9"/>
      <c r="G41268" s="9"/>
      <c r="J41268" s="11"/>
      <c r="U41268" s="9"/>
      <c r="X41268" s="9"/>
    </row>
    <row r="41269">
      <c r="D41269" s="9"/>
      <c r="G41269" s="9"/>
      <c r="J41269" s="11"/>
      <c r="U41269" s="9"/>
      <c r="X41269" s="9"/>
    </row>
    <row r="41270">
      <c r="D41270" s="9"/>
      <c r="G41270" s="9"/>
      <c r="J41270" s="11"/>
      <c r="U41270" s="9"/>
      <c r="X41270" s="9"/>
    </row>
    <row r="41271">
      <c r="D41271" s="9"/>
      <c r="G41271" s="9"/>
      <c r="J41271" s="11"/>
      <c r="U41271" s="9"/>
      <c r="X41271" s="9"/>
    </row>
    <row r="41272">
      <c r="D41272" s="9"/>
      <c r="G41272" s="9"/>
      <c r="J41272" s="11"/>
      <c r="U41272" s="9"/>
      <c r="X41272" s="9"/>
    </row>
    <row r="41273">
      <c r="D41273" s="9"/>
      <c r="G41273" s="9"/>
      <c r="J41273" s="11"/>
      <c r="U41273" s="9"/>
      <c r="X41273" s="9"/>
    </row>
    <row r="41274">
      <c r="D41274" s="9"/>
      <c r="G41274" s="9"/>
      <c r="J41274" s="11"/>
      <c r="U41274" s="9"/>
      <c r="X41274" s="9"/>
    </row>
    <row r="41275">
      <c r="D41275" s="9"/>
      <c r="G41275" s="9"/>
      <c r="J41275" s="11"/>
      <c r="U41275" s="9"/>
      <c r="X41275" s="9"/>
    </row>
    <row r="41276">
      <c r="D41276" s="9"/>
      <c r="G41276" s="9"/>
      <c r="J41276" s="11"/>
      <c r="U41276" s="9"/>
      <c r="X41276" s="9"/>
    </row>
    <row r="41277">
      <c r="D41277" s="9"/>
      <c r="G41277" s="9"/>
      <c r="J41277" s="11"/>
      <c r="U41277" s="9"/>
      <c r="X41277" s="9"/>
    </row>
    <row r="41278">
      <c r="D41278" s="9"/>
      <c r="G41278" s="9"/>
      <c r="J41278" s="11"/>
      <c r="U41278" s="9"/>
      <c r="X41278" s="9"/>
    </row>
    <row r="41279">
      <c r="D41279" s="9"/>
      <c r="G41279" s="9"/>
      <c r="J41279" s="11"/>
      <c r="U41279" s="9"/>
      <c r="X41279" s="9"/>
    </row>
    <row r="41280">
      <c r="D41280" s="9"/>
      <c r="G41280" s="9"/>
      <c r="J41280" s="11"/>
      <c r="U41280" s="9"/>
      <c r="X41280" s="9"/>
    </row>
    <row r="41281">
      <c r="D41281" s="9"/>
      <c r="G41281" s="9"/>
      <c r="J41281" s="11"/>
      <c r="U41281" s="9"/>
      <c r="X41281" s="9"/>
    </row>
    <row r="41282">
      <c r="D41282" s="9"/>
      <c r="G41282" s="9"/>
      <c r="J41282" s="11"/>
      <c r="U41282" s="9"/>
      <c r="X41282" s="9"/>
    </row>
    <row r="41283">
      <c r="D41283" s="9"/>
      <c r="G41283" s="9"/>
      <c r="J41283" s="11"/>
      <c r="U41283" s="9"/>
      <c r="X41283" s="9"/>
    </row>
    <row r="41284">
      <c r="D41284" s="9"/>
      <c r="G41284" s="9"/>
      <c r="J41284" s="11"/>
      <c r="U41284" s="9"/>
      <c r="X41284" s="9"/>
    </row>
    <row r="41285">
      <c r="D41285" s="9"/>
      <c r="G41285" s="9"/>
      <c r="J41285" s="11"/>
      <c r="U41285" s="9"/>
      <c r="X41285" s="9"/>
    </row>
    <row r="41286">
      <c r="D41286" s="9"/>
      <c r="G41286" s="9"/>
      <c r="J41286" s="11"/>
      <c r="U41286" s="9"/>
      <c r="X41286" s="9"/>
    </row>
    <row r="41287">
      <c r="D41287" s="9"/>
      <c r="G41287" s="9"/>
      <c r="J41287" s="11"/>
      <c r="U41287" s="9"/>
      <c r="X41287" s="9"/>
    </row>
    <row r="41288">
      <c r="D41288" s="9"/>
      <c r="G41288" s="9"/>
      <c r="J41288" s="11"/>
      <c r="U41288" s="9"/>
      <c r="X41288" s="9"/>
    </row>
    <row r="41289">
      <c r="D41289" s="9"/>
      <c r="G41289" s="9"/>
      <c r="J41289" s="11"/>
      <c r="U41289" s="9"/>
      <c r="X41289" s="9"/>
    </row>
    <row r="41290">
      <c r="D41290" s="9"/>
      <c r="G41290" s="9"/>
      <c r="J41290" s="11"/>
      <c r="U41290" s="9"/>
      <c r="X41290" s="9"/>
    </row>
    <row r="41291">
      <c r="D41291" s="9"/>
      <c r="G41291" s="9"/>
      <c r="J41291" s="11"/>
      <c r="U41291" s="9"/>
      <c r="X41291" s="9"/>
    </row>
    <row r="41292">
      <c r="D41292" s="9"/>
      <c r="G41292" s="9"/>
      <c r="J41292" s="11"/>
      <c r="U41292" s="9"/>
      <c r="X41292" s="9"/>
    </row>
    <row r="41293">
      <c r="D41293" s="9"/>
      <c r="G41293" s="9"/>
      <c r="J41293" s="11"/>
      <c r="U41293" s="9"/>
      <c r="X41293" s="9"/>
    </row>
    <row r="41294">
      <c r="D41294" s="9"/>
      <c r="G41294" s="9"/>
      <c r="J41294" s="11"/>
      <c r="U41294" s="9"/>
      <c r="X41294" s="9"/>
    </row>
    <row r="41295">
      <c r="D41295" s="9"/>
      <c r="G41295" s="9"/>
      <c r="J41295" s="11"/>
      <c r="U41295" s="9"/>
      <c r="X41295" s="9"/>
    </row>
    <row r="41296">
      <c r="D41296" s="9"/>
      <c r="G41296" s="9"/>
      <c r="J41296" s="11"/>
      <c r="U41296" s="9"/>
      <c r="X41296" s="9"/>
    </row>
    <row r="41297">
      <c r="D41297" s="9"/>
      <c r="G41297" s="9"/>
      <c r="J41297" s="11"/>
      <c r="U41297" s="9"/>
      <c r="X41297" s="9"/>
    </row>
    <row r="41298">
      <c r="D41298" s="9"/>
      <c r="G41298" s="9"/>
      <c r="J41298" s="11"/>
      <c r="U41298" s="9"/>
      <c r="X41298" s="9"/>
    </row>
    <row r="41299">
      <c r="D41299" s="9"/>
      <c r="G41299" s="9"/>
      <c r="J41299" s="11"/>
      <c r="U41299" s="9"/>
      <c r="X41299" s="9"/>
    </row>
    <row r="41300">
      <c r="D41300" s="9"/>
      <c r="G41300" s="9"/>
      <c r="J41300" s="11"/>
      <c r="U41300" s="9"/>
      <c r="X41300" s="9"/>
    </row>
    <row r="41301">
      <c r="D41301" s="9"/>
      <c r="G41301" s="9"/>
      <c r="J41301" s="11"/>
      <c r="U41301" s="9"/>
      <c r="X41301" s="9"/>
    </row>
    <row r="41302">
      <c r="D41302" s="9"/>
      <c r="G41302" s="9"/>
      <c r="J41302" s="11"/>
      <c r="U41302" s="9"/>
      <c r="X41302" s="9"/>
    </row>
    <row r="41303">
      <c r="D41303" s="9"/>
      <c r="G41303" s="9"/>
      <c r="J41303" s="11"/>
      <c r="U41303" s="9"/>
      <c r="X41303" s="9"/>
    </row>
    <row r="41304">
      <c r="D41304" s="9"/>
      <c r="G41304" s="9"/>
      <c r="J41304" s="11"/>
      <c r="U41304" s="9"/>
      <c r="X41304" s="9"/>
    </row>
    <row r="41305">
      <c r="D41305" s="9"/>
      <c r="G41305" s="9"/>
      <c r="J41305" s="11"/>
      <c r="U41305" s="9"/>
      <c r="X41305" s="9"/>
    </row>
    <row r="41306">
      <c r="D41306" s="9"/>
      <c r="G41306" s="9"/>
      <c r="J41306" s="11"/>
      <c r="U41306" s="9"/>
      <c r="X41306" s="9"/>
    </row>
    <row r="41307">
      <c r="D41307" s="9"/>
      <c r="G41307" s="9"/>
      <c r="J41307" s="11"/>
      <c r="U41307" s="9"/>
      <c r="X41307" s="9"/>
    </row>
    <row r="41308">
      <c r="D41308" s="9"/>
      <c r="G41308" s="9"/>
      <c r="J41308" s="11"/>
      <c r="U41308" s="9"/>
      <c r="X41308" s="9"/>
    </row>
    <row r="41309">
      <c r="D41309" s="9"/>
      <c r="G41309" s="9"/>
      <c r="J41309" s="11"/>
      <c r="U41309" s="9"/>
      <c r="X41309" s="9"/>
    </row>
    <row r="41310">
      <c r="D41310" s="9"/>
      <c r="G41310" s="9"/>
      <c r="J41310" s="11"/>
      <c r="U41310" s="9"/>
      <c r="X41310" s="9"/>
    </row>
    <row r="41311">
      <c r="D41311" s="9"/>
      <c r="G41311" s="9"/>
      <c r="J41311" s="11"/>
      <c r="U41311" s="9"/>
      <c r="X41311" s="9"/>
    </row>
    <row r="41312">
      <c r="D41312" s="9"/>
      <c r="G41312" s="9"/>
      <c r="J41312" s="11"/>
      <c r="U41312" s="9"/>
      <c r="X41312" s="9"/>
    </row>
    <row r="41313">
      <c r="D41313" s="9"/>
      <c r="G41313" s="9"/>
      <c r="J41313" s="11"/>
      <c r="U41313" s="9"/>
      <c r="X41313" s="9"/>
    </row>
    <row r="41314">
      <c r="D41314" s="9"/>
      <c r="G41314" s="9"/>
      <c r="J41314" s="11"/>
      <c r="U41314" s="9"/>
      <c r="X41314" s="9"/>
    </row>
    <row r="41315">
      <c r="D41315" s="9"/>
      <c r="G41315" s="9"/>
      <c r="J41315" s="11"/>
      <c r="U41315" s="9"/>
      <c r="X41315" s="9"/>
    </row>
    <row r="41316">
      <c r="D41316" s="9"/>
      <c r="G41316" s="9"/>
      <c r="J41316" s="11"/>
      <c r="U41316" s="9"/>
      <c r="X41316" s="9"/>
    </row>
    <row r="41317">
      <c r="D41317" s="9"/>
      <c r="G41317" s="9"/>
      <c r="J41317" s="11"/>
      <c r="U41317" s="9"/>
      <c r="X41317" s="9"/>
    </row>
    <row r="41318">
      <c r="D41318" s="9"/>
      <c r="G41318" s="9"/>
      <c r="J41318" s="11"/>
      <c r="U41318" s="9"/>
      <c r="X41318" s="9"/>
    </row>
    <row r="41319">
      <c r="D41319" s="9"/>
      <c r="G41319" s="9"/>
      <c r="J41319" s="11"/>
      <c r="U41319" s="9"/>
      <c r="X41319" s="9"/>
    </row>
    <row r="41320">
      <c r="D41320" s="9"/>
      <c r="G41320" s="9"/>
      <c r="J41320" s="11"/>
      <c r="U41320" s="9"/>
      <c r="X41320" s="9"/>
    </row>
    <row r="41321">
      <c r="D41321" s="9"/>
      <c r="G41321" s="9"/>
      <c r="J41321" s="11"/>
      <c r="U41321" s="9"/>
      <c r="X41321" s="9"/>
    </row>
    <row r="41322">
      <c r="D41322" s="9"/>
      <c r="G41322" s="9"/>
      <c r="J41322" s="11"/>
      <c r="U41322" s="9"/>
      <c r="X41322" s="9"/>
    </row>
    <row r="41323">
      <c r="D41323" s="9"/>
      <c r="G41323" s="9"/>
      <c r="J41323" s="11"/>
      <c r="U41323" s="9"/>
      <c r="X41323" s="9"/>
    </row>
    <row r="41324">
      <c r="D41324" s="9"/>
      <c r="G41324" s="9"/>
      <c r="J41324" s="11"/>
      <c r="U41324" s="9"/>
      <c r="X41324" s="9"/>
    </row>
    <row r="41325">
      <c r="D41325" s="9"/>
      <c r="G41325" s="9"/>
      <c r="J41325" s="11"/>
      <c r="U41325" s="9"/>
      <c r="X41325" s="9"/>
    </row>
    <row r="41326">
      <c r="D41326" s="9"/>
      <c r="G41326" s="9"/>
      <c r="J41326" s="11"/>
      <c r="U41326" s="9"/>
      <c r="X41326" s="9"/>
    </row>
    <row r="41327">
      <c r="D41327" s="9"/>
      <c r="G41327" s="9"/>
      <c r="J41327" s="11"/>
      <c r="U41327" s="9"/>
      <c r="X41327" s="9"/>
    </row>
    <row r="41328">
      <c r="D41328" s="9"/>
      <c r="G41328" s="9"/>
      <c r="J41328" s="11"/>
      <c r="U41328" s="9"/>
      <c r="X41328" s="9"/>
    </row>
    <row r="41329">
      <c r="D41329" s="9"/>
      <c r="G41329" s="9"/>
      <c r="J41329" s="11"/>
      <c r="U41329" s="9"/>
      <c r="X41329" s="9"/>
    </row>
    <row r="41330">
      <c r="D41330" s="9"/>
      <c r="G41330" s="9"/>
      <c r="J41330" s="11"/>
      <c r="U41330" s="9"/>
      <c r="X41330" s="9"/>
    </row>
    <row r="41331">
      <c r="D41331" s="9"/>
      <c r="G41331" s="9"/>
      <c r="J41331" s="11"/>
      <c r="U41331" s="9"/>
      <c r="X41331" s="9"/>
    </row>
    <row r="41332">
      <c r="D41332" s="9"/>
      <c r="G41332" s="9"/>
      <c r="J41332" s="11"/>
      <c r="U41332" s="9"/>
      <c r="X41332" s="9"/>
    </row>
    <row r="41333">
      <c r="D41333" s="9"/>
      <c r="G41333" s="9"/>
      <c r="J41333" s="11"/>
      <c r="U41333" s="9"/>
      <c r="X41333" s="9"/>
    </row>
    <row r="41334">
      <c r="D41334" s="9"/>
      <c r="G41334" s="9"/>
      <c r="J41334" s="11"/>
      <c r="U41334" s="9"/>
      <c r="X41334" s="9"/>
    </row>
    <row r="41335">
      <c r="D41335" s="9"/>
      <c r="G41335" s="9"/>
      <c r="J41335" s="11"/>
      <c r="U41335" s="9"/>
      <c r="X41335" s="9"/>
    </row>
    <row r="41336">
      <c r="D41336" s="9"/>
      <c r="G41336" s="9"/>
      <c r="J41336" s="11"/>
      <c r="U41336" s="9"/>
      <c r="X41336" s="9"/>
    </row>
    <row r="41337">
      <c r="D41337" s="9"/>
      <c r="G41337" s="9"/>
      <c r="J41337" s="11"/>
      <c r="U41337" s="9"/>
      <c r="X41337" s="9"/>
    </row>
    <row r="41338">
      <c r="D41338" s="9"/>
      <c r="G41338" s="9"/>
      <c r="J41338" s="11"/>
      <c r="U41338" s="9"/>
      <c r="X41338" s="9"/>
    </row>
    <row r="41339">
      <c r="D41339" s="9"/>
      <c r="G41339" s="9"/>
      <c r="J41339" s="11"/>
      <c r="U41339" s="9"/>
      <c r="X41339" s="9"/>
    </row>
    <row r="41340">
      <c r="D41340" s="9"/>
      <c r="G41340" s="9"/>
      <c r="J41340" s="11"/>
      <c r="U41340" s="9"/>
      <c r="X41340" s="9"/>
    </row>
    <row r="41341">
      <c r="D41341" s="9"/>
      <c r="G41341" s="9"/>
      <c r="J41341" s="11"/>
      <c r="U41341" s="9"/>
      <c r="X41341" s="9"/>
    </row>
    <row r="41342">
      <c r="D41342" s="9"/>
      <c r="G41342" s="9"/>
      <c r="J41342" s="11"/>
      <c r="U41342" s="9"/>
      <c r="X41342" s="9"/>
    </row>
    <row r="41343">
      <c r="D41343" s="9"/>
      <c r="G41343" s="9"/>
      <c r="J41343" s="11"/>
      <c r="U41343" s="9"/>
      <c r="X41343" s="9"/>
    </row>
    <row r="41344">
      <c r="D41344" s="9"/>
      <c r="G41344" s="9"/>
      <c r="J41344" s="11"/>
      <c r="U41344" s="9"/>
      <c r="X41344" s="9"/>
    </row>
    <row r="41345">
      <c r="D41345" s="9"/>
      <c r="G41345" s="9"/>
      <c r="J41345" s="11"/>
      <c r="U41345" s="9"/>
      <c r="X41345" s="9"/>
    </row>
    <row r="41346">
      <c r="D41346" s="9"/>
      <c r="G41346" s="9"/>
      <c r="J41346" s="11"/>
      <c r="U41346" s="9"/>
      <c r="X41346" s="9"/>
    </row>
    <row r="41347">
      <c r="D41347" s="9"/>
      <c r="G41347" s="9"/>
      <c r="J41347" s="11"/>
      <c r="U41347" s="9"/>
      <c r="X41347" s="9"/>
    </row>
    <row r="41348">
      <c r="D41348" s="9"/>
      <c r="G41348" s="9"/>
      <c r="J41348" s="11"/>
      <c r="U41348" s="9"/>
      <c r="X41348" s="9"/>
    </row>
    <row r="41349">
      <c r="D41349" s="9"/>
      <c r="G41349" s="9"/>
      <c r="J41349" s="11"/>
      <c r="U41349" s="9"/>
      <c r="X41349" s="9"/>
    </row>
    <row r="41350">
      <c r="D41350" s="9"/>
      <c r="G41350" s="9"/>
      <c r="J41350" s="11"/>
      <c r="U41350" s="9"/>
      <c r="X41350" s="9"/>
    </row>
    <row r="41351">
      <c r="D41351" s="9"/>
      <c r="G41351" s="9"/>
      <c r="J41351" s="11"/>
      <c r="U41351" s="9"/>
      <c r="X41351" s="9"/>
    </row>
    <row r="41352">
      <c r="D41352" s="9"/>
      <c r="G41352" s="9"/>
      <c r="J41352" s="11"/>
      <c r="U41352" s="9"/>
      <c r="X41352" s="9"/>
    </row>
    <row r="41353">
      <c r="D41353" s="9"/>
      <c r="G41353" s="9"/>
      <c r="J41353" s="11"/>
      <c r="U41353" s="9"/>
      <c r="X41353" s="9"/>
    </row>
    <row r="41354">
      <c r="D41354" s="9"/>
      <c r="G41354" s="9"/>
      <c r="J41354" s="11"/>
      <c r="U41354" s="9"/>
      <c r="X41354" s="9"/>
    </row>
    <row r="41355">
      <c r="D41355" s="9"/>
      <c r="G41355" s="9"/>
      <c r="J41355" s="11"/>
      <c r="U41355" s="9"/>
      <c r="X41355" s="9"/>
    </row>
    <row r="41356">
      <c r="D41356" s="9"/>
      <c r="G41356" s="9"/>
      <c r="J41356" s="11"/>
      <c r="U41356" s="9"/>
      <c r="X41356" s="9"/>
    </row>
    <row r="41357">
      <c r="D41357" s="9"/>
      <c r="G41357" s="9"/>
      <c r="J41357" s="11"/>
      <c r="U41357" s="9"/>
      <c r="X41357" s="9"/>
    </row>
    <row r="41358">
      <c r="D41358" s="9"/>
      <c r="G41358" s="9"/>
      <c r="J41358" s="11"/>
      <c r="U41358" s="9"/>
      <c r="X41358" s="9"/>
    </row>
    <row r="41359">
      <c r="D41359" s="9"/>
      <c r="G41359" s="9"/>
      <c r="J41359" s="11"/>
      <c r="U41359" s="9"/>
      <c r="X41359" s="9"/>
    </row>
    <row r="41360">
      <c r="D41360" s="9"/>
      <c r="G41360" s="9"/>
      <c r="J41360" s="11"/>
      <c r="U41360" s="9"/>
      <c r="X41360" s="9"/>
    </row>
    <row r="41361">
      <c r="D41361" s="9"/>
      <c r="G41361" s="9"/>
      <c r="J41361" s="11"/>
      <c r="U41361" s="9"/>
      <c r="X41361" s="9"/>
    </row>
    <row r="41362">
      <c r="D41362" s="9"/>
      <c r="G41362" s="9"/>
      <c r="J41362" s="11"/>
      <c r="U41362" s="9"/>
      <c r="X41362" s="9"/>
    </row>
    <row r="41363">
      <c r="D41363" s="9"/>
      <c r="G41363" s="9"/>
      <c r="J41363" s="11"/>
      <c r="U41363" s="9"/>
      <c r="X41363" s="9"/>
    </row>
    <row r="41364">
      <c r="D41364" s="9"/>
      <c r="G41364" s="9"/>
      <c r="J41364" s="11"/>
      <c r="U41364" s="9"/>
      <c r="X41364" s="9"/>
    </row>
    <row r="41365">
      <c r="D41365" s="9"/>
      <c r="G41365" s="9"/>
      <c r="J41365" s="11"/>
      <c r="U41365" s="9"/>
      <c r="X41365" s="9"/>
    </row>
    <row r="41366">
      <c r="D41366" s="9"/>
      <c r="G41366" s="9"/>
      <c r="J41366" s="11"/>
      <c r="U41366" s="9"/>
      <c r="X41366" s="9"/>
    </row>
    <row r="41367">
      <c r="D41367" s="9"/>
      <c r="G41367" s="9"/>
      <c r="J41367" s="11"/>
      <c r="U41367" s="9"/>
      <c r="X41367" s="9"/>
    </row>
    <row r="41368">
      <c r="D41368" s="9"/>
      <c r="G41368" s="9"/>
      <c r="J41368" s="11"/>
      <c r="U41368" s="9"/>
      <c r="X41368" s="9"/>
    </row>
    <row r="41369">
      <c r="D41369" s="9"/>
      <c r="G41369" s="9"/>
      <c r="J41369" s="11"/>
      <c r="U41369" s="9"/>
      <c r="X41369" s="9"/>
    </row>
    <row r="41370">
      <c r="D41370" s="9"/>
      <c r="G41370" s="9"/>
      <c r="J41370" s="11"/>
      <c r="U41370" s="9"/>
      <c r="X41370" s="9"/>
    </row>
    <row r="41371">
      <c r="D41371" s="9"/>
      <c r="G41371" s="9"/>
      <c r="J41371" s="11"/>
      <c r="U41371" s="9"/>
      <c r="X41371" s="9"/>
    </row>
    <row r="41372">
      <c r="D41372" s="9"/>
      <c r="G41372" s="9"/>
      <c r="J41372" s="11"/>
      <c r="U41372" s="9"/>
      <c r="X41372" s="9"/>
    </row>
    <row r="41373">
      <c r="D41373" s="9"/>
      <c r="G41373" s="9"/>
      <c r="J41373" s="11"/>
      <c r="U41373" s="9"/>
      <c r="X41373" s="9"/>
    </row>
    <row r="41374">
      <c r="D41374" s="9"/>
      <c r="G41374" s="9"/>
      <c r="J41374" s="11"/>
      <c r="U41374" s="9"/>
      <c r="X41374" s="9"/>
    </row>
    <row r="41375">
      <c r="D41375" s="9"/>
      <c r="G41375" s="9"/>
      <c r="J41375" s="11"/>
      <c r="U41375" s="9"/>
      <c r="X41375" s="9"/>
    </row>
    <row r="41376">
      <c r="D41376" s="9"/>
      <c r="G41376" s="9"/>
      <c r="J41376" s="11"/>
      <c r="U41376" s="9"/>
      <c r="X41376" s="9"/>
    </row>
    <row r="41377">
      <c r="D41377" s="9"/>
      <c r="G41377" s="9"/>
      <c r="J41377" s="11"/>
      <c r="U41377" s="9"/>
      <c r="X41377" s="9"/>
    </row>
    <row r="41378">
      <c r="D41378" s="9"/>
      <c r="G41378" s="9"/>
      <c r="J41378" s="11"/>
      <c r="U41378" s="9"/>
      <c r="X41378" s="9"/>
    </row>
    <row r="41379">
      <c r="D41379" s="9"/>
      <c r="G41379" s="9"/>
      <c r="J41379" s="11"/>
      <c r="U41379" s="9"/>
      <c r="X41379" s="9"/>
    </row>
    <row r="41380">
      <c r="D41380" s="9"/>
      <c r="G41380" s="9"/>
      <c r="J41380" s="11"/>
      <c r="U41380" s="9"/>
      <c r="X41380" s="9"/>
    </row>
    <row r="41381">
      <c r="D41381" s="9"/>
      <c r="G41381" s="9"/>
      <c r="J41381" s="11"/>
      <c r="U41381" s="9"/>
      <c r="X41381" s="9"/>
    </row>
    <row r="41382">
      <c r="D41382" s="9"/>
      <c r="G41382" s="9"/>
      <c r="J41382" s="11"/>
      <c r="U41382" s="9"/>
      <c r="X41382" s="9"/>
    </row>
    <row r="41383">
      <c r="D41383" s="9"/>
      <c r="G41383" s="9"/>
      <c r="J41383" s="11"/>
      <c r="U41383" s="9"/>
      <c r="X41383" s="9"/>
    </row>
    <row r="41384">
      <c r="D41384" s="9"/>
      <c r="G41384" s="9"/>
      <c r="J41384" s="11"/>
      <c r="U41384" s="9"/>
      <c r="X41384" s="9"/>
    </row>
    <row r="41385">
      <c r="D41385" s="9"/>
      <c r="G41385" s="9"/>
      <c r="J41385" s="11"/>
      <c r="U41385" s="9"/>
      <c r="X41385" s="9"/>
    </row>
    <row r="41386">
      <c r="D41386" s="9"/>
      <c r="G41386" s="9"/>
      <c r="J41386" s="11"/>
      <c r="U41386" s="9"/>
      <c r="X41386" s="9"/>
    </row>
    <row r="41387">
      <c r="D41387" s="9"/>
      <c r="G41387" s="9"/>
      <c r="J41387" s="11"/>
      <c r="U41387" s="9"/>
      <c r="X41387" s="9"/>
    </row>
    <row r="41388">
      <c r="D41388" s="9"/>
      <c r="G41388" s="9"/>
      <c r="J41388" s="11"/>
      <c r="U41388" s="9"/>
      <c r="X41388" s="9"/>
    </row>
    <row r="41389">
      <c r="D41389" s="9"/>
      <c r="G41389" s="9"/>
      <c r="J41389" s="11"/>
      <c r="U41389" s="9"/>
      <c r="X41389" s="9"/>
    </row>
    <row r="41390">
      <c r="D41390" s="9"/>
      <c r="G41390" s="9"/>
      <c r="J41390" s="11"/>
      <c r="U41390" s="9"/>
      <c r="X41390" s="9"/>
    </row>
    <row r="41391">
      <c r="D41391" s="9"/>
      <c r="G41391" s="9"/>
      <c r="J41391" s="11"/>
      <c r="U41391" s="9"/>
      <c r="X41391" s="9"/>
    </row>
    <row r="41392">
      <c r="D41392" s="9"/>
      <c r="G41392" s="9"/>
      <c r="J41392" s="11"/>
      <c r="U41392" s="9"/>
      <c r="X41392" s="9"/>
    </row>
    <row r="41393">
      <c r="D41393" s="9"/>
      <c r="G41393" s="9"/>
      <c r="J41393" s="11"/>
      <c r="U41393" s="9"/>
      <c r="X41393" s="9"/>
    </row>
    <row r="41394">
      <c r="D41394" s="9"/>
      <c r="G41394" s="9"/>
      <c r="J41394" s="11"/>
      <c r="U41394" s="9"/>
      <c r="X41394" s="9"/>
    </row>
    <row r="41395">
      <c r="D41395" s="9"/>
      <c r="G41395" s="9"/>
      <c r="J41395" s="11"/>
      <c r="U41395" s="9"/>
      <c r="X41395" s="9"/>
    </row>
    <row r="41396">
      <c r="D41396" s="9"/>
      <c r="G41396" s="9"/>
      <c r="J41396" s="11"/>
      <c r="U41396" s="9"/>
      <c r="X41396" s="9"/>
    </row>
    <row r="41397">
      <c r="D41397" s="9"/>
      <c r="G41397" s="9"/>
      <c r="J41397" s="11"/>
      <c r="U41397" s="9"/>
      <c r="X41397" s="9"/>
    </row>
    <row r="41398">
      <c r="D41398" s="9"/>
      <c r="G41398" s="9"/>
      <c r="J41398" s="11"/>
      <c r="U41398" s="9"/>
      <c r="X41398" s="9"/>
    </row>
    <row r="41399">
      <c r="D41399" s="9"/>
      <c r="G41399" s="9"/>
      <c r="J41399" s="11"/>
      <c r="U41399" s="9"/>
      <c r="X41399" s="9"/>
    </row>
    <row r="41400">
      <c r="D41400" s="9"/>
      <c r="G41400" s="9"/>
      <c r="J41400" s="11"/>
      <c r="U41400" s="9"/>
      <c r="X41400" s="9"/>
    </row>
    <row r="41401">
      <c r="D41401" s="9"/>
      <c r="G41401" s="9"/>
      <c r="J41401" s="11"/>
      <c r="U41401" s="9"/>
      <c r="X41401" s="9"/>
    </row>
    <row r="41402">
      <c r="D41402" s="9"/>
      <c r="G41402" s="9"/>
      <c r="J41402" s="11"/>
      <c r="U41402" s="9"/>
      <c r="X41402" s="9"/>
    </row>
    <row r="41403">
      <c r="D41403" s="9"/>
      <c r="G41403" s="9"/>
      <c r="J41403" s="11"/>
      <c r="U41403" s="9"/>
      <c r="X41403" s="9"/>
    </row>
    <row r="41404">
      <c r="D41404" s="9"/>
      <c r="G41404" s="9"/>
      <c r="J41404" s="11"/>
      <c r="U41404" s="9"/>
      <c r="X41404" s="9"/>
    </row>
    <row r="41405">
      <c r="D41405" s="9"/>
      <c r="G41405" s="9"/>
      <c r="J41405" s="11"/>
      <c r="U41405" s="9"/>
      <c r="X41405" s="9"/>
    </row>
    <row r="41406">
      <c r="D41406" s="9"/>
      <c r="G41406" s="9"/>
      <c r="J41406" s="11"/>
      <c r="U41406" s="9"/>
      <c r="X41406" s="9"/>
    </row>
    <row r="41407">
      <c r="D41407" s="9"/>
      <c r="G41407" s="9"/>
      <c r="J41407" s="11"/>
      <c r="U41407" s="9"/>
      <c r="X41407" s="9"/>
    </row>
    <row r="41408">
      <c r="D41408" s="9"/>
      <c r="G41408" s="9"/>
      <c r="J41408" s="11"/>
      <c r="U41408" s="9"/>
      <c r="X41408" s="9"/>
    </row>
    <row r="41409">
      <c r="D41409" s="9"/>
      <c r="G41409" s="9"/>
      <c r="J41409" s="11"/>
      <c r="U41409" s="9"/>
      <c r="X41409" s="9"/>
    </row>
    <row r="41410">
      <c r="D41410" s="9"/>
      <c r="G41410" s="9"/>
      <c r="J41410" s="11"/>
      <c r="U41410" s="9"/>
      <c r="X41410" s="9"/>
    </row>
    <row r="41411">
      <c r="D41411" s="9"/>
      <c r="G41411" s="9"/>
      <c r="J41411" s="11"/>
      <c r="U41411" s="9"/>
      <c r="X41411" s="9"/>
    </row>
    <row r="41412">
      <c r="D41412" s="9"/>
      <c r="G41412" s="9"/>
      <c r="J41412" s="11"/>
      <c r="U41412" s="9"/>
      <c r="X41412" s="9"/>
    </row>
    <row r="41413">
      <c r="D41413" s="9"/>
      <c r="G41413" s="9"/>
      <c r="J41413" s="11"/>
      <c r="U41413" s="9"/>
      <c r="X41413" s="9"/>
    </row>
    <row r="41414">
      <c r="D41414" s="9"/>
      <c r="G41414" s="9"/>
      <c r="J41414" s="11"/>
      <c r="U41414" s="9"/>
      <c r="X41414" s="9"/>
    </row>
    <row r="41415">
      <c r="D41415" s="9"/>
      <c r="G41415" s="9"/>
      <c r="J41415" s="11"/>
      <c r="U41415" s="9"/>
      <c r="X41415" s="9"/>
    </row>
    <row r="41416">
      <c r="D41416" s="9"/>
      <c r="G41416" s="9"/>
      <c r="J41416" s="11"/>
      <c r="U41416" s="9"/>
      <c r="X41416" s="9"/>
    </row>
    <row r="41417">
      <c r="D41417" s="9"/>
      <c r="G41417" s="9"/>
      <c r="J41417" s="11"/>
      <c r="U41417" s="9"/>
      <c r="X41417" s="9"/>
    </row>
    <row r="41418">
      <c r="D41418" s="9"/>
      <c r="G41418" s="9"/>
      <c r="J41418" s="11"/>
      <c r="U41418" s="9"/>
      <c r="X41418" s="9"/>
    </row>
    <row r="41419">
      <c r="D41419" s="9"/>
      <c r="G41419" s="9"/>
      <c r="J41419" s="11"/>
      <c r="U41419" s="9"/>
      <c r="X41419" s="9"/>
    </row>
    <row r="41420">
      <c r="D41420" s="9"/>
      <c r="G41420" s="9"/>
      <c r="J41420" s="11"/>
      <c r="U41420" s="9"/>
      <c r="X41420" s="9"/>
    </row>
    <row r="41421">
      <c r="D41421" s="9"/>
      <c r="G41421" s="9"/>
      <c r="J41421" s="11"/>
      <c r="U41421" s="9"/>
      <c r="X41421" s="9"/>
    </row>
    <row r="41422">
      <c r="D41422" s="9"/>
      <c r="G41422" s="9"/>
      <c r="J41422" s="11"/>
      <c r="U41422" s="9"/>
      <c r="X41422" s="9"/>
    </row>
    <row r="41423">
      <c r="D41423" s="9"/>
      <c r="G41423" s="9"/>
      <c r="J41423" s="11"/>
      <c r="U41423" s="9"/>
      <c r="X41423" s="9"/>
    </row>
    <row r="41424">
      <c r="D41424" s="9"/>
      <c r="G41424" s="9"/>
      <c r="J41424" s="11"/>
      <c r="U41424" s="9"/>
      <c r="X41424" s="9"/>
    </row>
    <row r="41425">
      <c r="D41425" s="9"/>
      <c r="G41425" s="9"/>
      <c r="J41425" s="11"/>
      <c r="U41425" s="9"/>
      <c r="X41425" s="9"/>
    </row>
    <row r="41426">
      <c r="D41426" s="9"/>
      <c r="G41426" s="9"/>
      <c r="J41426" s="11"/>
      <c r="U41426" s="9"/>
      <c r="X41426" s="9"/>
    </row>
    <row r="41427">
      <c r="D41427" s="9"/>
      <c r="G41427" s="9"/>
      <c r="J41427" s="11"/>
      <c r="U41427" s="9"/>
      <c r="X41427" s="9"/>
    </row>
    <row r="41428">
      <c r="D41428" s="9"/>
      <c r="G41428" s="9"/>
      <c r="J41428" s="11"/>
      <c r="U41428" s="9"/>
      <c r="X41428" s="9"/>
    </row>
    <row r="41429">
      <c r="D41429" s="9"/>
      <c r="G41429" s="9"/>
      <c r="J41429" s="11"/>
      <c r="U41429" s="9"/>
      <c r="X41429" s="9"/>
    </row>
    <row r="41430">
      <c r="D41430" s="9"/>
      <c r="G41430" s="9"/>
      <c r="J41430" s="11"/>
      <c r="U41430" s="9"/>
      <c r="X41430" s="9"/>
    </row>
    <row r="41431">
      <c r="D41431" s="9"/>
      <c r="G41431" s="9"/>
      <c r="J41431" s="11"/>
      <c r="U41431" s="9"/>
      <c r="X41431" s="9"/>
    </row>
    <row r="41432">
      <c r="D41432" s="9"/>
      <c r="G41432" s="9"/>
      <c r="J41432" s="11"/>
      <c r="U41432" s="9"/>
      <c r="X41432" s="9"/>
    </row>
    <row r="41433">
      <c r="D41433" s="9"/>
      <c r="G41433" s="9"/>
      <c r="J41433" s="11"/>
      <c r="U41433" s="9"/>
      <c r="X41433" s="9"/>
    </row>
    <row r="41434">
      <c r="D41434" s="9"/>
      <c r="G41434" s="9"/>
      <c r="J41434" s="11"/>
      <c r="U41434" s="9"/>
      <c r="X41434" s="9"/>
    </row>
    <row r="41435">
      <c r="D41435" s="9"/>
      <c r="G41435" s="9"/>
      <c r="J41435" s="11"/>
      <c r="U41435" s="9"/>
      <c r="X41435" s="9"/>
    </row>
    <row r="41436">
      <c r="D41436" s="9"/>
      <c r="G41436" s="9"/>
      <c r="J41436" s="11"/>
      <c r="U41436" s="9"/>
      <c r="X41436" s="9"/>
    </row>
    <row r="41437">
      <c r="D41437" s="9"/>
      <c r="G41437" s="9"/>
      <c r="J41437" s="11"/>
      <c r="U41437" s="9"/>
      <c r="X41437" s="9"/>
    </row>
    <row r="41438">
      <c r="D41438" s="9"/>
      <c r="G41438" s="9"/>
      <c r="J41438" s="11"/>
      <c r="U41438" s="9"/>
      <c r="X41438" s="9"/>
    </row>
    <row r="41439">
      <c r="D41439" s="9"/>
      <c r="G41439" s="9"/>
      <c r="J41439" s="11"/>
      <c r="U41439" s="9"/>
      <c r="X41439" s="9"/>
    </row>
    <row r="41440">
      <c r="D41440" s="9"/>
      <c r="G41440" s="9"/>
      <c r="J41440" s="11"/>
      <c r="U41440" s="9"/>
      <c r="X41440" s="9"/>
    </row>
    <row r="41441">
      <c r="D41441" s="9"/>
      <c r="G41441" s="9"/>
      <c r="J41441" s="11"/>
      <c r="U41441" s="9"/>
      <c r="X41441" s="9"/>
    </row>
    <row r="41442">
      <c r="D41442" s="9"/>
      <c r="G41442" s="9"/>
      <c r="J41442" s="11"/>
      <c r="U41442" s="9"/>
      <c r="X41442" s="9"/>
    </row>
    <row r="41443">
      <c r="D41443" s="9"/>
      <c r="G41443" s="9"/>
      <c r="J41443" s="11"/>
      <c r="U41443" s="9"/>
      <c r="X41443" s="9"/>
    </row>
    <row r="41444">
      <c r="D41444" s="9"/>
      <c r="G41444" s="9"/>
      <c r="J41444" s="11"/>
      <c r="U41444" s="9"/>
      <c r="X41444" s="9"/>
    </row>
    <row r="41445">
      <c r="D41445" s="9"/>
      <c r="G41445" s="9"/>
      <c r="J41445" s="11"/>
      <c r="U41445" s="9"/>
      <c r="X41445" s="9"/>
    </row>
    <row r="41446">
      <c r="D41446" s="9"/>
      <c r="G41446" s="9"/>
      <c r="J41446" s="11"/>
      <c r="U41446" s="9"/>
      <c r="X41446" s="9"/>
    </row>
    <row r="41447">
      <c r="D41447" s="9"/>
      <c r="G41447" s="9"/>
      <c r="J41447" s="11"/>
      <c r="U41447" s="9"/>
      <c r="X41447" s="9"/>
    </row>
    <row r="41448">
      <c r="D41448" s="9"/>
      <c r="G41448" s="9"/>
      <c r="J41448" s="11"/>
      <c r="U41448" s="9"/>
      <c r="X41448" s="9"/>
    </row>
    <row r="41449">
      <c r="D41449" s="9"/>
      <c r="G41449" s="9"/>
      <c r="J41449" s="11"/>
      <c r="U41449" s="9"/>
      <c r="X41449" s="9"/>
    </row>
    <row r="41450">
      <c r="D41450" s="9"/>
      <c r="G41450" s="9"/>
      <c r="J41450" s="11"/>
      <c r="U41450" s="9"/>
      <c r="X41450" s="9"/>
    </row>
    <row r="41451">
      <c r="D41451" s="9"/>
      <c r="G41451" s="9"/>
      <c r="J41451" s="11"/>
      <c r="U41451" s="9"/>
      <c r="X41451" s="9"/>
    </row>
    <row r="41452">
      <c r="D41452" s="9"/>
      <c r="G41452" s="9"/>
      <c r="J41452" s="11"/>
      <c r="U41452" s="9"/>
      <c r="X41452" s="9"/>
    </row>
    <row r="41453">
      <c r="D41453" s="9"/>
      <c r="G41453" s="9"/>
      <c r="J41453" s="11"/>
      <c r="U41453" s="9"/>
      <c r="X41453" s="9"/>
    </row>
    <row r="41454">
      <c r="D41454" s="9"/>
      <c r="G41454" s="9"/>
      <c r="J41454" s="11"/>
      <c r="U41454" s="9"/>
      <c r="X41454" s="9"/>
    </row>
    <row r="41455">
      <c r="D41455" s="9"/>
      <c r="G41455" s="9"/>
      <c r="J41455" s="11"/>
      <c r="U41455" s="9"/>
      <c r="X41455" s="9"/>
    </row>
    <row r="41456">
      <c r="D41456" s="9"/>
      <c r="G41456" s="9"/>
      <c r="J41456" s="11"/>
      <c r="U41456" s="9"/>
      <c r="X41456" s="9"/>
    </row>
    <row r="41457">
      <c r="D41457" s="9"/>
      <c r="G41457" s="9"/>
      <c r="J41457" s="11"/>
      <c r="U41457" s="9"/>
      <c r="X41457" s="9"/>
    </row>
    <row r="41458">
      <c r="D41458" s="9"/>
      <c r="G41458" s="9"/>
      <c r="J41458" s="11"/>
      <c r="U41458" s="9"/>
      <c r="X41458" s="9"/>
    </row>
    <row r="41459">
      <c r="D41459" s="9"/>
      <c r="G41459" s="9"/>
      <c r="J41459" s="11"/>
      <c r="U41459" s="9"/>
      <c r="X41459" s="9"/>
    </row>
    <row r="41460">
      <c r="D41460" s="9"/>
      <c r="G41460" s="9"/>
      <c r="J41460" s="11"/>
      <c r="U41460" s="9"/>
      <c r="X41460" s="9"/>
    </row>
    <row r="41461">
      <c r="D41461" s="9"/>
      <c r="G41461" s="9"/>
      <c r="J41461" s="11"/>
      <c r="U41461" s="9"/>
      <c r="X41461" s="9"/>
    </row>
    <row r="41462">
      <c r="D41462" s="9"/>
      <c r="G41462" s="9"/>
      <c r="J41462" s="11"/>
      <c r="U41462" s="9"/>
      <c r="X41462" s="9"/>
    </row>
    <row r="41463">
      <c r="D41463" s="9"/>
      <c r="G41463" s="9"/>
      <c r="J41463" s="11"/>
      <c r="U41463" s="9"/>
      <c r="X41463" s="9"/>
    </row>
    <row r="41464">
      <c r="D41464" s="9"/>
      <c r="G41464" s="9"/>
      <c r="J41464" s="11"/>
      <c r="U41464" s="9"/>
      <c r="X41464" s="9"/>
    </row>
    <row r="41465">
      <c r="D41465" s="9"/>
      <c r="G41465" s="9"/>
      <c r="J41465" s="11"/>
      <c r="U41465" s="9"/>
      <c r="X41465" s="9"/>
    </row>
    <row r="41466">
      <c r="D41466" s="9"/>
      <c r="G41466" s="9"/>
      <c r="J41466" s="11"/>
      <c r="U41466" s="9"/>
      <c r="X41466" s="9"/>
    </row>
    <row r="41467">
      <c r="D41467" s="9"/>
      <c r="G41467" s="9"/>
      <c r="J41467" s="11"/>
      <c r="U41467" s="9"/>
      <c r="X41467" s="9"/>
    </row>
    <row r="41468">
      <c r="D41468" s="9"/>
      <c r="G41468" s="9"/>
      <c r="J41468" s="11"/>
      <c r="U41468" s="9"/>
      <c r="X41468" s="9"/>
    </row>
    <row r="41469">
      <c r="D41469" s="9"/>
      <c r="G41469" s="9"/>
      <c r="J41469" s="11"/>
      <c r="U41469" s="9"/>
      <c r="X41469" s="9"/>
    </row>
    <row r="41470">
      <c r="D41470" s="9"/>
      <c r="G41470" s="9"/>
      <c r="J41470" s="11"/>
      <c r="U41470" s="9"/>
      <c r="X41470" s="9"/>
    </row>
    <row r="41471">
      <c r="D41471" s="9"/>
      <c r="G41471" s="9"/>
      <c r="J41471" s="11"/>
      <c r="U41471" s="9"/>
      <c r="X41471" s="9"/>
    </row>
    <row r="41472">
      <c r="D41472" s="9"/>
      <c r="G41472" s="9"/>
      <c r="J41472" s="11"/>
      <c r="U41472" s="9"/>
      <c r="X41472" s="9"/>
    </row>
    <row r="41473">
      <c r="D41473" s="9"/>
      <c r="G41473" s="9"/>
      <c r="J41473" s="11"/>
      <c r="U41473" s="9"/>
      <c r="X41473" s="9"/>
    </row>
    <row r="41474">
      <c r="D41474" s="9"/>
      <c r="G41474" s="9"/>
      <c r="J41474" s="11"/>
      <c r="U41474" s="9"/>
      <c r="X41474" s="9"/>
    </row>
    <row r="41475">
      <c r="D41475" s="9"/>
      <c r="G41475" s="9"/>
      <c r="J41475" s="11"/>
      <c r="U41475" s="9"/>
      <c r="X41475" s="9"/>
    </row>
    <row r="41476">
      <c r="D41476" s="9"/>
      <c r="G41476" s="9"/>
      <c r="J41476" s="11"/>
      <c r="U41476" s="9"/>
      <c r="X41476" s="9"/>
    </row>
    <row r="41477">
      <c r="D41477" s="9"/>
      <c r="G41477" s="9"/>
      <c r="J41477" s="11"/>
      <c r="U41477" s="9"/>
      <c r="X41477" s="9"/>
    </row>
    <row r="41478">
      <c r="D41478" s="9"/>
      <c r="G41478" s="9"/>
      <c r="J41478" s="11"/>
      <c r="U41478" s="9"/>
      <c r="X41478" s="9"/>
    </row>
    <row r="41479">
      <c r="D41479" s="9"/>
      <c r="G41479" s="9"/>
      <c r="J41479" s="11"/>
      <c r="U41479" s="9"/>
      <c r="X41479" s="9"/>
    </row>
    <row r="41480">
      <c r="D41480" s="9"/>
      <c r="G41480" s="9"/>
      <c r="J41480" s="11"/>
      <c r="U41480" s="9"/>
      <c r="X41480" s="9"/>
    </row>
    <row r="41481">
      <c r="D41481" s="9"/>
      <c r="G41481" s="9"/>
      <c r="J41481" s="11"/>
      <c r="U41481" s="9"/>
      <c r="X41481" s="9"/>
    </row>
    <row r="41482">
      <c r="D41482" s="9"/>
      <c r="G41482" s="9"/>
      <c r="J41482" s="11"/>
      <c r="U41482" s="9"/>
      <c r="X41482" s="9"/>
    </row>
    <row r="41483">
      <c r="D41483" s="9"/>
      <c r="G41483" s="9"/>
      <c r="J41483" s="11"/>
      <c r="U41483" s="9"/>
      <c r="X41483" s="9"/>
    </row>
    <row r="41484">
      <c r="D41484" s="9"/>
      <c r="G41484" s="9"/>
      <c r="J41484" s="11"/>
      <c r="U41484" s="9"/>
      <c r="X41484" s="9"/>
    </row>
    <row r="41485">
      <c r="D41485" s="9"/>
      <c r="G41485" s="9"/>
      <c r="J41485" s="11"/>
      <c r="U41485" s="9"/>
      <c r="X41485" s="9"/>
    </row>
    <row r="41486">
      <c r="D41486" s="9"/>
      <c r="G41486" s="9"/>
      <c r="J41486" s="11"/>
      <c r="U41486" s="9"/>
      <c r="X41486" s="9"/>
    </row>
    <row r="41487">
      <c r="D41487" s="9"/>
      <c r="G41487" s="9"/>
      <c r="J41487" s="11"/>
      <c r="U41487" s="9"/>
      <c r="X41487" s="9"/>
    </row>
    <row r="41488">
      <c r="D41488" s="9"/>
      <c r="G41488" s="9"/>
      <c r="J41488" s="11"/>
      <c r="U41488" s="9"/>
      <c r="X41488" s="9"/>
    </row>
    <row r="41489">
      <c r="D41489" s="9"/>
      <c r="G41489" s="9"/>
      <c r="J41489" s="11"/>
      <c r="U41489" s="9"/>
      <c r="X41489" s="9"/>
    </row>
    <row r="41490">
      <c r="D41490" s="9"/>
      <c r="G41490" s="9"/>
      <c r="J41490" s="11"/>
      <c r="U41490" s="9"/>
      <c r="X41490" s="9"/>
    </row>
    <row r="41491">
      <c r="D41491" s="9"/>
      <c r="G41491" s="9"/>
      <c r="J41491" s="11"/>
      <c r="U41491" s="9"/>
      <c r="X41491" s="9"/>
    </row>
    <row r="41492">
      <c r="D41492" s="9"/>
      <c r="G41492" s="9"/>
      <c r="J41492" s="11"/>
      <c r="U41492" s="9"/>
      <c r="X41492" s="9"/>
    </row>
    <row r="41493">
      <c r="D41493" s="9"/>
      <c r="G41493" s="9"/>
      <c r="J41493" s="11"/>
      <c r="U41493" s="9"/>
      <c r="X41493" s="9"/>
    </row>
    <row r="41494">
      <c r="D41494" s="9"/>
      <c r="G41494" s="9"/>
      <c r="J41494" s="11"/>
      <c r="U41494" s="9"/>
      <c r="X41494" s="9"/>
    </row>
    <row r="41495">
      <c r="D41495" s="9"/>
      <c r="G41495" s="9"/>
      <c r="J41495" s="11"/>
      <c r="U41495" s="9"/>
      <c r="X41495" s="9"/>
    </row>
    <row r="41496">
      <c r="D41496" s="9"/>
      <c r="G41496" s="9"/>
      <c r="J41496" s="11"/>
      <c r="U41496" s="9"/>
      <c r="X41496" s="9"/>
    </row>
    <row r="41497">
      <c r="D41497" s="9"/>
      <c r="G41497" s="9"/>
      <c r="J41497" s="11"/>
      <c r="U41497" s="9"/>
      <c r="X41497" s="9"/>
    </row>
    <row r="41498">
      <c r="D41498" s="9"/>
      <c r="G41498" s="9"/>
      <c r="J41498" s="11"/>
      <c r="U41498" s="9"/>
      <c r="X41498" s="9"/>
    </row>
    <row r="41499">
      <c r="D41499" s="9"/>
      <c r="G41499" s="9"/>
      <c r="J41499" s="11"/>
      <c r="U41499" s="9"/>
      <c r="X41499" s="9"/>
    </row>
    <row r="41500">
      <c r="D41500" s="9"/>
      <c r="G41500" s="9"/>
      <c r="J41500" s="11"/>
      <c r="U41500" s="9"/>
      <c r="X41500" s="9"/>
    </row>
    <row r="41501">
      <c r="D41501" s="9"/>
      <c r="G41501" s="9"/>
      <c r="J41501" s="11"/>
      <c r="U41501" s="9"/>
      <c r="X41501" s="9"/>
    </row>
    <row r="41502">
      <c r="D41502" s="9"/>
      <c r="G41502" s="9"/>
      <c r="J41502" s="11"/>
      <c r="U41502" s="9"/>
      <c r="X41502" s="9"/>
    </row>
    <row r="41503">
      <c r="D41503" s="9"/>
      <c r="G41503" s="9"/>
      <c r="J41503" s="11"/>
      <c r="U41503" s="9"/>
      <c r="X41503" s="9"/>
    </row>
    <row r="41504">
      <c r="D41504" s="9"/>
      <c r="G41504" s="9"/>
      <c r="J41504" s="11"/>
      <c r="U41504" s="9"/>
      <c r="X41504" s="9"/>
    </row>
    <row r="41505">
      <c r="D41505" s="9"/>
      <c r="G41505" s="9"/>
      <c r="J41505" s="11"/>
      <c r="U41505" s="9"/>
      <c r="X41505" s="9"/>
    </row>
    <row r="41506">
      <c r="D41506" s="9"/>
      <c r="G41506" s="9"/>
      <c r="J41506" s="11"/>
      <c r="U41506" s="9"/>
      <c r="X41506" s="9"/>
    </row>
    <row r="41507">
      <c r="D41507" s="9"/>
      <c r="G41507" s="9"/>
      <c r="J41507" s="11"/>
      <c r="U41507" s="9"/>
      <c r="X41507" s="9"/>
    </row>
    <row r="41508">
      <c r="D41508" s="9"/>
      <c r="G41508" s="9"/>
      <c r="J41508" s="11"/>
      <c r="U41508" s="9"/>
      <c r="X41508" s="9"/>
    </row>
    <row r="41509">
      <c r="D41509" s="9"/>
      <c r="G41509" s="9"/>
      <c r="J41509" s="11"/>
      <c r="U41509" s="9"/>
      <c r="X41509" s="9"/>
    </row>
    <row r="41510">
      <c r="D41510" s="9"/>
      <c r="G41510" s="9"/>
      <c r="J41510" s="11"/>
      <c r="U41510" s="9"/>
      <c r="X41510" s="9"/>
    </row>
    <row r="41511">
      <c r="D41511" s="9"/>
      <c r="G41511" s="9"/>
      <c r="J41511" s="11"/>
      <c r="U41511" s="9"/>
      <c r="X41511" s="9"/>
    </row>
    <row r="41512">
      <c r="D41512" s="9"/>
      <c r="G41512" s="9"/>
      <c r="J41512" s="11"/>
      <c r="U41512" s="9"/>
      <c r="X41512" s="9"/>
    </row>
    <row r="41513">
      <c r="D41513" s="9"/>
      <c r="G41513" s="9"/>
      <c r="J41513" s="11"/>
      <c r="U41513" s="9"/>
      <c r="X41513" s="9"/>
    </row>
    <row r="41514">
      <c r="D41514" s="9"/>
      <c r="G41514" s="9"/>
      <c r="J41514" s="11"/>
      <c r="U41514" s="9"/>
      <c r="X41514" s="9"/>
    </row>
    <row r="41515">
      <c r="D41515" s="9"/>
      <c r="G41515" s="9"/>
      <c r="J41515" s="11"/>
      <c r="U41515" s="9"/>
      <c r="X41515" s="9"/>
    </row>
    <row r="41516">
      <c r="D41516" s="9"/>
      <c r="G41516" s="9"/>
      <c r="J41516" s="11"/>
      <c r="U41516" s="9"/>
      <c r="X41516" s="9"/>
    </row>
    <row r="41517">
      <c r="D41517" s="9"/>
      <c r="G41517" s="9"/>
      <c r="J41517" s="11"/>
      <c r="U41517" s="9"/>
      <c r="X41517" s="9"/>
    </row>
    <row r="41518">
      <c r="D41518" s="9"/>
      <c r="G41518" s="9"/>
      <c r="J41518" s="11"/>
      <c r="U41518" s="9"/>
      <c r="X41518" s="9"/>
    </row>
    <row r="41519">
      <c r="D41519" s="9"/>
      <c r="G41519" s="9"/>
      <c r="J41519" s="11"/>
      <c r="U41519" s="9"/>
      <c r="X41519" s="9"/>
    </row>
    <row r="41520">
      <c r="D41520" s="9"/>
      <c r="G41520" s="9"/>
      <c r="J41520" s="11"/>
      <c r="U41520" s="9"/>
      <c r="X41520" s="9"/>
    </row>
    <row r="41521">
      <c r="D41521" s="9"/>
      <c r="G41521" s="9"/>
      <c r="J41521" s="11"/>
      <c r="U41521" s="9"/>
      <c r="X41521" s="9"/>
    </row>
    <row r="41522">
      <c r="D41522" s="9"/>
      <c r="G41522" s="9"/>
      <c r="J41522" s="11"/>
      <c r="U41522" s="9"/>
      <c r="X41522" s="9"/>
    </row>
    <row r="41523">
      <c r="D41523" s="9"/>
      <c r="G41523" s="9"/>
      <c r="J41523" s="11"/>
      <c r="U41523" s="9"/>
      <c r="X41523" s="9"/>
    </row>
    <row r="41524">
      <c r="D41524" s="9"/>
      <c r="G41524" s="9"/>
      <c r="J41524" s="11"/>
      <c r="U41524" s="9"/>
      <c r="X41524" s="9"/>
    </row>
    <row r="41525">
      <c r="D41525" s="9"/>
      <c r="G41525" s="9"/>
      <c r="J41525" s="11"/>
      <c r="U41525" s="9"/>
      <c r="X41525" s="9"/>
    </row>
    <row r="41526">
      <c r="D41526" s="9"/>
      <c r="G41526" s="9"/>
      <c r="J41526" s="11"/>
      <c r="U41526" s="9"/>
      <c r="X41526" s="9"/>
    </row>
    <row r="41527">
      <c r="D41527" s="9"/>
      <c r="G41527" s="9"/>
      <c r="J41527" s="11"/>
      <c r="U41527" s="9"/>
      <c r="X41527" s="9"/>
    </row>
    <row r="41528">
      <c r="D41528" s="9"/>
      <c r="G41528" s="9"/>
      <c r="J41528" s="11"/>
      <c r="U41528" s="9"/>
      <c r="X41528" s="9"/>
    </row>
    <row r="41529">
      <c r="D41529" s="9"/>
      <c r="G41529" s="9"/>
      <c r="J41529" s="11"/>
      <c r="U41529" s="9"/>
      <c r="X41529" s="9"/>
    </row>
    <row r="41530">
      <c r="D41530" s="9"/>
      <c r="G41530" s="9"/>
      <c r="J41530" s="11"/>
      <c r="U41530" s="9"/>
      <c r="X41530" s="9"/>
    </row>
    <row r="41531">
      <c r="D41531" s="9"/>
      <c r="G41531" s="9"/>
      <c r="J41531" s="11"/>
      <c r="U41531" s="9"/>
      <c r="X41531" s="9"/>
    </row>
    <row r="41532">
      <c r="D41532" s="9"/>
      <c r="G41532" s="9"/>
      <c r="J41532" s="11"/>
      <c r="U41532" s="9"/>
      <c r="X41532" s="9"/>
    </row>
    <row r="41533">
      <c r="D41533" s="9"/>
      <c r="G41533" s="9"/>
      <c r="J41533" s="11"/>
      <c r="U41533" s="9"/>
      <c r="X41533" s="9"/>
    </row>
    <row r="41534">
      <c r="D41534" s="9"/>
      <c r="G41534" s="9"/>
      <c r="J41534" s="11"/>
      <c r="U41534" s="9"/>
      <c r="X41534" s="9"/>
    </row>
    <row r="41535">
      <c r="D41535" s="9"/>
      <c r="G41535" s="9"/>
      <c r="J41535" s="11"/>
      <c r="U41535" s="9"/>
      <c r="X41535" s="9"/>
    </row>
    <row r="41536">
      <c r="D41536" s="9"/>
      <c r="G41536" s="9"/>
      <c r="J41536" s="11"/>
      <c r="U41536" s="9"/>
      <c r="X41536" s="9"/>
    </row>
    <row r="41537">
      <c r="D41537" s="9"/>
      <c r="G41537" s="9"/>
      <c r="J41537" s="11"/>
      <c r="U41537" s="9"/>
      <c r="X41537" s="9"/>
    </row>
    <row r="41538">
      <c r="D41538" s="9"/>
      <c r="G41538" s="9"/>
      <c r="J41538" s="11"/>
      <c r="U41538" s="9"/>
      <c r="X41538" s="9"/>
    </row>
    <row r="41539">
      <c r="D41539" s="9"/>
      <c r="G41539" s="9"/>
      <c r="J41539" s="11"/>
      <c r="U41539" s="9"/>
      <c r="X41539" s="9"/>
    </row>
    <row r="41540">
      <c r="D41540" s="9"/>
      <c r="G41540" s="9"/>
      <c r="J41540" s="11"/>
      <c r="U41540" s="9"/>
      <c r="X41540" s="9"/>
    </row>
    <row r="41541">
      <c r="D41541" s="9"/>
      <c r="G41541" s="9"/>
      <c r="J41541" s="11"/>
      <c r="U41541" s="9"/>
      <c r="X41541" s="9"/>
    </row>
    <row r="41542">
      <c r="D41542" s="9"/>
      <c r="G41542" s="9"/>
      <c r="J41542" s="11"/>
      <c r="U41542" s="9"/>
      <c r="X41542" s="9"/>
    </row>
    <row r="41543">
      <c r="D41543" s="9"/>
      <c r="G41543" s="9"/>
      <c r="J41543" s="11"/>
      <c r="U41543" s="9"/>
      <c r="X41543" s="9"/>
    </row>
    <row r="41544">
      <c r="D41544" s="9"/>
      <c r="G41544" s="9"/>
      <c r="J41544" s="11"/>
      <c r="U41544" s="9"/>
      <c r="X41544" s="9"/>
    </row>
    <row r="41545">
      <c r="D41545" s="9"/>
      <c r="G41545" s="9"/>
      <c r="J41545" s="11"/>
      <c r="U41545" s="9"/>
      <c r="X41545" s="9"/>
    </row>
    <row r="41546">
      <c r="D41546" s="9"/>
      <c r="G41546" s="9"/>
      <c r="J41546" s="11"/>
      <c r="U41546" s="9"/>
      <c r="X41546" s="9"/>
    </row>
    <row r="41547">
      <c r="D41547" s="9"/>
      <c r="G41547" s="9"/>
      <c r="J41547" s="11"/>
      <c r="U41547" s="9"/>
      <c r="X41547" s="9"/>
    </row>
    <row r="41548">
      <c r="D41548" s="9"/>
      <c r="G41548" s="9"/>
      <c r="J41548" s="11"/>
      <c r="U41548" s="9"/>
      <c r="X41548" s="9"/>
    </row>
    <row r="41549">
      <c r="D41549" s="9"/>
      <c r="G41549" s="9"/>
      <c r="J41549" s="11"/>
      <c r="U41549" s="9"/>
      <c r="X41549" s="9"/>
    </row>
    <row r="41550">
      <c r="D41550" s="9"/>
      <c r="G41550" s="9"/>
      <c r="J41550" s="11"/>
      <c r="U41550" s="9"/>
      <c r="X41550" s="9"/>
    </row>
    <row r="41551">
      <c r="D41551" s="9"/>
      <c r="G41551" s="9"/>
      <c r="J41551" s="11"/>
      <c r="U41551" s="9"/>
      <c r="X41551" s="9"/>
    </row>
    <row r="41552">
      <c r="D41552" s="9"/>
      <c r="G41552" s="9"/>
      <c r="J41552" s="11"/>
      <c r="U41552" s="9"/>
      <c r="X41552" s="9"/>
    </row>
    <row r="41553">
      <c r="D41553" s="9"/>
      <c r="G41553" s="9"/>
      <c r="J41553" s="11"/>
      <c r="U41553" s="9"/>
      <c r="X41553" s="9"/>
    </row>
    <row r="41554">
      <c r="D41554" s="9"/>
      <c r="G41554" s="9"/>
      <c r="J41554" s="11"/>
      <c r="U41554" s="9"/>
      <c r="X41554" s="9"/>
    </row>
    <row r="41555">
      <c r="D41555" s="9"/>
      <c r="G41555" s="9"/>
      <c r="J41555" s="11"/>
      <c r="U41555" s="9"/>
      <c r="X41555" s="9"/>
    </row>
    <row r="41556">
      <c r="D41556" s="9"/>
      <c r="G41556" s="9"/>
      <c r="J41556" s="11"/>
      <c r="U41556" s="9"/>
      <c r="X41556" s="9"/>
    </row>
    <row r="41557">
      <c r="D41557" s="9"/>
      <c r="G41557" s="9"/>
      <c r="J41557" s="11"/>
      <c r="U41557" s="9"/>
      <c r="X41557" s="9"/>
    </row>
    <row r="41558">
      <c r="D41558" s="9"/>
      <c r="G41558" s="9"/>
      <c r="J41558" s="11"/>
      <c r="U41558" s="9"/>
      <c r="X41558" s="9"/>
    </row>
    <row r="41559">
      <c r="D41559" s="9"/>
      <c r="G41559" s="9"/>
      <c r="J41559" s="11"/>
      <c r="U41559" s="9"/>
      <c r="X41559" s="9"/>
    </row>
    <row r="41560">
      <c r="D41560" s="9"/>
      <c r="G41560" s="9"/>
      <c r="J41560" s="11"/>
      <c r="U41560" s="9"/>
      <c r="X41560" s="9"/>
    </row>
    <row r="41561">
      <c r="D41561" s="9"/>
      <c r="G41561" s="9"/>
      <c r="J41561" s="11"/>
      <c r="U41561" s="9"/>
      <c r="X41561" s="9"/>
    </row>
    <row r="41562">
      <c r="D41562" s="9"/>
      <c r="G41562" s="9"/>
      <c r="J41562" s="11"/>
      <c r="U41562" s="9"/>
      <c r="X41562" s="9"/>
    </row>
    <row r="41563">
      <c r="D41563" s="9"/>
      <c r="G41563" s="9"/>
      <c r="J41563" s="11"/>
      <c r="U41563" s="9"/>
      <c r="X41563" s="9"/>
    </row>
    <row r="41564">
      <c r="D41564" s="9"/>
      <c r="G41564" s="9"/>
      <c r="J41564" s="11"/>
      <c r="U41564" s="9"/>
      <c r="X41564" s="9"/>
    </row>
    <row r="41565">
      <c r="D41565" s="9"/>
      <c r="G41565" s="9"/>
      <c r="J41565" s="11"/>
      <c r="U41565" s="9"/>
      <c r="X41565" s="9"/>
    </row>
    <row r="41566">
      <c r="D41566" s="9"/>
      <c r="G41566" s="9"/>
      <c r="J41566" s="11"/>
      <c r="U41566" s="9"/>
      <c r="X41566" s="9"/>
    </row>
    <row r="41567">
      <c r="D41567" s="9"/>
      <c r="G41567" s="9"/>
      <c r="J41567" s="11"/>
      <c r="U41567" s="9"/>
      <c r="X41567" s="9"/>
    </row>
    <row r="41568">
      <c r="D41568" s="9"/>
      <c r="G41568" s="9"/>
      <c r="J41568" s="11"/>
      <c r="U41568" s="9"/>
      <c r="X41568" s="9"/>
    </row>
    <row r="41569">
      <c r="D41569" s="9"/>
      <c r="G41569" s="9"/>
      <c r="J41569" s="11"/>
      <c r="U41569" s="9"/>
      <c r="X41569" s="9"/>
    </row>
    <row r="41570">
      <c r="D41570" s="9"/>
      <c r="G41570" s="9"/>
      <c r="J41570" s="11"/>
      <c r="U41570" s="9"/>
      <c r="X41570" s="9"/>
    </row>
    <row r="41571">
      <c r="D41571" s="9"/>
      <c r="G41571" s="9"/>
      <c r="J41571" s="11"/>
      <c r="U41571" s="9"/>
      <c r="X41571" s="9"/>
    </row>
    <row r="41572">
      <c r="D41572" s="9"/>
      <c r="G41572" s="9"/>
      <c r="J41572" s="11"/>
      <c r="U41572" s="9"/>
      <c r="X41572" s="9"/>
    </row>
    <row r="41573">
      <c r="D41573" s="9"/>
      <c r="G41573" s="9"/>
      <c r="J41573" s="11"/>
      <c r="U41573" s="9"/>
      <c r="X41573" s="9"/>
    </row>
    <row r="41574">
      <c r="D41574" s="9"/>
      <c r="G41574" s="9"/>
      <c r="J41574" s="11"/>
      <c r="U41574" s="9"/>
      <c r="X41574" s="9"/>
    </row>
    <row r="41575">
      <c r="D41575" s="9"/>
      <c r="G41575" s="9"/>
      <c r="J41575" s="11"/>
      <c r="U41575" s="9"/>
      <c r="X41575" s="9"/>
    </row>
    <row r="41576">
      <c r="D41576" s="9"/>
      <c r="G41576" s="9"/>
      <c r="J41576" s="11"/>
      <c r="U41576" s="9"/>
      <c r="X41576" s="9"/>
    </row>
    <row r="41577">
      <c r="D41577" s="9"/>
      <c r="G41577" s="9"/>
      <c r="J41577" s="11"/>
      <c r="U41577" s="9"/>
      <c r="X41577" s="9"/>
    </row>
    <row r="41578">
      <c r="D41578" s="9"/>
      <c r="G41578" s="9"/>
      <c r="J41578" s="11"/>
      <c r="U41578" s="9"/>
      <c r="X41578" s="9"/>
    </row>
    <row r="41579">
      <c r="D41579" s="9"/>
      <c r="G41579" s="9"/>
      <c r="J41579" s="11"/>
      <c r="U41579" s="9"/>
      <c r="X41579" s="9"/>
    </row>
    <row r="41580">
      <c r="D41580" s="9"/>
      <c r="G41580" s="9"/>
      <c r="J41580" s="11"/>
      <c r="U41580" s="9"/>
      <c r="X41580" s="9"/>
    </row>
    <row r="41581">
      <c r="D41581" s="9"/>
      <c r="G41581" s="9"/>
      <c r="J41581" s="11"/>
      <c r="U41581" s="9"/>
      <c r="X41581" s="9"/>
    </row>
    <row r="41582">
      <c r="D41582" s="9"/>
      <c r="G41582" s="9"/>
      <c r="J41582" s="11"/>
      <c r="U41582" s="9"/>
      <c r="X41582" s="9"/>
    </row>
    <row r="41583">
      <c r="D41583" s="9"/>
      <c r="G41583" s="9"/>
      <c r="J41583" s="11"/>
      <c r="U41583" s="9"/>
      <c r="X41583" s="9"/>
    </row>
    <row r="41584">
      <c r="D41584" s="9"/>
      <c r="G41584" s="9"/>
      <c r="J41584" s="11"/>
      <c r="U41584" s="9"/>
      <c r="X41584" s="9"/>
    </row>
    <row r="41585">
      <c r="D41585" s="9"/>
      <c r="G41585" s="9"/>
      <c r="J41585" s="11"/>
      <c r="U41585" s="9"/>
      <c r="X41585" s="9"/>
    </row>
    <row r="41586">
      <c r="D41586" s="9"/>
      <c r="G41586" s="9"/>
      <c r="J41586" s="11"/>
      <c r="U41586" s="9"/>
      <c r="X41586" s="9"/>
    </row>
    <row r="41587">
      <c r="D41587" s="9"/>
      <c r="G41587" s="9"/>
      <c r="J41587" s="11"/>
      <c r="U41587" s="9"/>
      <c r="X41587" s="9"/>
    </row>
    <row r="41588">
      <c r="D41588" s="9"/>
      <c r="G41588" s="9"/>
      <c r="J41588" s="11"/>
      <c r="U41588" s="9"/>
      <c r="X41588" s="9"/>
    </row>
    <row r="41589">
      <c r="D41589" s="9"/>
      <c r="G41589" s="9"/>
      <c r="J41589" s="11"/>
      <c r="U41589" s="9"/>
      <c r="X41589" s="9"/>
    </row>
    <row r="41590">
      <c r="D41590" s="9"/>
      <c r="G41590" s="9"/>
      <c r="J41590" s="11"/>
      <c r="U41590" s="9"/>
      <c r="X41590" s="9"/>
    </row>
    <row r="41591">
      <c r="D41591" s="9"/>
      <c r="G41591" s="9"/>
      <c r="J41591" s="11"/>
      <c r="U41591" s="9"/>
      <c r="X41591" s="9"/>
    </row>
    <row r="41592">
      <c r="D41592" s="9"/>
      <c r="G41592" s="9"/>
      <c r="J41592" s="11"/>
      <c r="U41592" s="9"/>
      <c r="X41592" s="9"/>
    </row>
    <row r="41593">
      <c r="D41593" s="9"/>
      <c r="G41593" s="9"/>
      <c r="J41593" s="11"/>
      <c r="U41593" s="9"/>
      <c r="X41593" s="9"/>
    </row>
    <row r="41594">
      <c r="D41594" s="9"/>
      <c r="G41594" s="9"/>
      <c r="J41594" s="11"/>
      <c r="U41594" s="9"/>
      <c r="X41594" s="9"/>
    </row>
    <row r="41595">
      <c r="D41595" s="9"/>
      <c r="G41595" s="9"/>
      <c r="J41595" s="11"/>
      <c r="U41595" s="9"/>
      <c r="X41595" s="9"/>
    </row>
    <row r="41596">
      <c r="D41596" s="9"/>
      <c r="G41596" s="9"/>
      <c r="J41596" s="11"/>
      <c r="U41596" s="9"/>
      <c r="X41596" s="9"/>
    </row>
    <row r="41597">
      <c r="D41597" s="9"/>
      <c r="G41597" s="9"/>
      <c r="J41597" s="11"/>
      <c r="U41597" s="9"/>
      <c r="X41597" s="9"/>
    </row>
    <row r="41598">
      <c r="D41598" s="9"/>
      <c r="G41598" s="9"/>
      <c r="J41598" s="11"/>
      <c r="U41598" s="9"/>
      <c r="X41598" s="9"/>
    </row>
    <row r="41599">
      <c r="D41599" s="9"/>
      <c r="G41599" s="9"/>
      <c r="J41599" s="11"/>
      <c r="U41599" s="9"/>
      <c r="X41599" s="9"/>
    </row>
    <row r="41600">
      <c r="D41600" s="9"/>
      <c r="G41600" s="9"/>
      <c r="J41600" s="11"/>
      <c r="U41600" s="9"/>
      <c r="X41600" s="9"/>
    </row>
    <row r="41601">
      <c r="D41601" s="9"/>
      <c r="G41601" s="9"/>
      <c r="J41601" s="11"/>
      <c r="U41601" s="9"/>
      <c r="X41601" s="9"/>
    </row>
    <row r="41602">
      <c r="D41602" s="9"/>
      <c r="G41602" s="9"/>
      <c r="J41602" s="11"/>
      <c r="U41602" s="9"/>
      <c r="X41602" s="9"/>
    </row>
    <row r="41603">
      <c r="D41603" s="9"/>
      <c r="G41603" s="9"/>
      <c r="J41603" s="11"/>
      <c r="U41603" s="9"/>
      <c r="X41603" s="9"/>
    </row>
    <row r="41604">
      <c r="D41604" s="9"/>
      <c r="G41604" s="9"/>
      <c r="J41604" s="11"/>
      <c r="U41604" s="9"/>
      <c r="X41604" s="9"/>
    </row>
    <row r="41605">
      <c r="D41605" s="9"/>
      <c r="G41605" s="9"/>
      <c r="J41605" s="11"/>
      <c r="U41605" s="9"/>
      <c r="X41605" s="9"/>
    </row>
    <row r="41606">
      <c r="D41606" s="9"/>
      <c r="G41606" s="9"/>
      <c r="J41606" s="11"/>
      <c r="U41606" s="9"/>
      <c r="X41606" s="9"/>
    </row>
    <row r="41607">
      <c r="D41607" s="9"/>
      <c r="G41607" s="9"/>
      <c r="J41607" s="11"/>
      <c r="U41607" s="9"/>
      <c r="X41607" s="9"/>
    </row>
    <row r="41608">
      <c r="D41608" s="9"/>
      <c r="G41608" s="9"/>
      <c r="J41608" s="11"/>
      <c r="U41608" s="9"/>
      <c r="X41608" s="9"/>
    </row>
    <row r="41609">
      <c r="D41609" s="9"/>
      <c r="G41609" s="9"/>
      <c r="J41609" s="11"/>
      <c r="U41609" s="9"/>
      <c r="X41609" s="9"/>
    </row>
    <row r="41610">
      <c r="D41610" s="9"/>
      <c r="G41610" s="9"/>
      <c r="J41610" s="11"/>
      <c r="U41610" s="9"/>
      <c r="X41610" s="9"/>
    </row>
    <row r="41611">
      <c r="D41611" s="9"/>
      <c r="G41611" s="9"/>
      <c r="J41611" s="11"/>
      <c r="U41611" s="9"/>
      <c r="X41611" s="9"/>
    </row>
    <row r="41612">
      <c r="D41612" s="9"/>
      <c r="G41612" s="9"/>
      <c r="J41612" s="11"/>
      <c r="U41612" s="9"/>
      <c r="X41612" s="9"/>
    </row>
    <row r="41613">
      <c r="D41613" s="9"/>
      <c r="G41613" s="9"/>
      <c r="J41613" s="11"/>
      <c r="U41613" s="9"/>
      <c r="X41613" s="9"/>
    </row>
    <row r="41614">
      <c r="D41614" s="9"/>
      <c r="G41614" s="9"/>
      <c r="J41614" s="11"/>
      <c r="U41614" s="9"/>
      <c r="X41614" s="9"/>
    </row>
    <row r="41615">
      <c r="D41615" s="9"/>
      <c r="G41615" s="9"/>
      <c r="J41615" s="11"/>
      <c r="U41615" s="9"/>
      <c r="X41615" s="9"/>
    </row>
    <row r="41616">
      <c r="D41616" s="9"/>
      <c r="G41616" s="9"/>
      <c r="J41616" s="11"/>
      <c r="U41616" s="9"/>
      <c r="X41616" s="9"/>
    </row>
    <row r="41617">
      <c r="D41617" s="9"/>
      <c r="G41617" s="9"/>
      <c r="J41617" s="11"/>
      <c r="U41617" s="9"/>
      <c r="X41617" s="9"/>
    </row>
    <row r="41618">
      <c r="D41618" s="9"/>
      <c r="G41618" s="9"/>
      <c r="J41618" s="11"/>
      <c r="U41618" s="9"/>
      <c r="X41618" s="9"/>
    </row>
    <row r="41619">
      <c r="D41619" s="9"/>
      <c r="G41619" s="9"/>
      <c r="J41619" s="11"/>
      <c r="U41619" s="9"/>
      <c r="X41619" s="9"/>
    </row>
    <row r="41620">
      <c r="D41620" s="9"/>
      <c r="G41620" s="9"/>
      <c r="J41620" s="11"/>
      <c r="U41620" s="9"/>
      <c r="X41620" s="9"/>
    </row>
    <row r="41621">
      <c r="D41621" s="9"/>
      <c r="G41621" s="9"/>
      <c r="J41621" s="11"/>
      <c r="U41621" s="9"/>
      <c r="X41621" s="9"/>
    </row>
    <row r="41622">
      <c r="D41622" s="9"/>
      <c r="G41622" s="9"/>
      <c r="J41622" s="11"/>
      <c r="U41622" s="9"/>
      <c r="X41622" s="9"/>
    </row>
    <row r="41623">
      <c r="D41623" s="9"/>
      <c r="G41623" s="9"/>
      <c r="J41623" s="11"/>
      <c r="U41623" s="9"/>
      <c r="X41623" s="9"/>
    </row>
    <row r="41624">
      <c r="D41624" s="9"/>
      <c r="G41624" s="9"/>
      <c r="J41624" s="11"/>
      <c r="U41624" s="9"/>
      <c r="X41624" s="9"/>
    </row>
    <row r="41625">
      <c r="D41625" s="9"/>
      <c r="G41625" s="9"/>
      <c r="J41625" s="11"/>
      <c r="U41625" s="9"/>
      <c r="X41625" s="9"/>
    </row>
    <row r="41626">
      <c r="D41626" s="9"/>
      <c r="G41626" s="9"/>
      <c r="J41626" s="11"/>
      <c r="U41626" s="9"/>
      <c r="X41626" s="9"/>
    </row>
    <row r="41627">
      <c r="D41627" s="9"/>
      <c r="G41627" s="9"/>
      <c r="J41627" s="11"/>
      <c r="U41627" s="9"/>
      <c r="X41627" s="9"/>
    </row>
    <row r="41628">
      <c r="D41628" s="9"/>
      <c r="G41628" s="9"/>
      <c r="J41628" s="11"/>
      <c r="U41628" s="9"/>
      <c r="X41628" s="9"/>
    </row>
    <row r="41629">
      <c r="D41629" s="9"/>
      <c r="G41629" s="9"/>
      <c r="J41629" s="11"/>
      <c r="U41629" s="9"/>
      <c r="X41629" s="9"/>
    </row>
    <row r="41630">
      <c r="D41630" s="9"/>
      <c r="G41630" s="9"/>
      <c r="J41630" s="11"/>
      <c r="U41630" s="9"/>
      <c r="X41630" s="9"/>
    </row>
    <row r="41631">
      <c r="D41631" s="9"/>
      <c r="G41631" s="9"/>
      <c r="J41631" s="11"/>
      <c r="U41631" s="9"/>
      <c r="X41631" s="9"/>
    </row>
    <row r="41632">
      <c r="D41632" s="9"/>
      <c r="G41632" s="9"/>
      <c r="J41632" s="11"/>
      <c r="U41632" s="9"/>
      <c r="X41632" s="9"/>
    </row>
    <row r="41633">
      <c r="D41633" s="9"/>
      <c r="G41633" s="9"/>
      <c r="J41633" s="11"/>
      <c r="U41633" s="9"/>
      <c r="X41633" s="9"/>
    </row>
    <row r="41634">
      <c r="D41634" s="9"/>
      <c r="G41634" s="9"/>
      <c r="J41634" s="11"/>
      <c r="U41634" s="9"/>
      <c r="X41634" s="9"/>
    </row>
    <row r="41635">
      <c r="D41635" s="9"/>
      <c r="G41635" s="9"/>
      <c r="J41635" s="11"/>
      <c r="U41635" s="9"/>
      <c r="X41635" s="9"/>
    </row>
    <row r="41636">
      <c r="D41636" s="9"/>
      <c r="G41636" s="9"/>
      <c r="J41636" s="11"/>
      <c r="U41636" s="9"/>
      <c r="X41636" s="9"/>
    </row>
    <row r="41637">
      <c r="D41637" s="9"/>
      <c r="G41637" s="9"/>
      <c r="J41637" s="11"/>
      <c r="U41637" s="9"/>
      <c r="X41637" s="9"/>
    </row>
    <row r="41638">
      <c r="D41638" s="9"/>
      <c r="G41638" s="9"/>
      <c r="J41638" s="11"/>
      <c r="U41638" s="9"/>
      <c r="X41638" s="9"/>
    </row>
    <row r="41639">
      <c r="D41639" s="9"/>
      <c r="G41639" s="9"/>
      <c r="J41639" s="11"/>
      <c r="U41639" s="9"/>
      <c r="X41639" s="9"/>
    </row>
    <row r="41640">
      <c r="D41640" s="9"/>
      <c r="G41640" s="9"/>
      <c r="J41640" s="11"/>
      <c r="U41640" s="9"/>
      <c r="X41640" s="9"/>
    </row>
    <row r="41641">
      <c r="D41641" s="9"/>
      <c r="G41641" s="9"/>
      <c r="J41641" s="11"/>
      <c r="U41641" s="9"/>
      <c r="X41641" s="9"/>
    </row>
    <row r="41642">
      <c r="D41642" s="9"/>
      <c r="G41642" s="9"/>
      <c r="J41642" s="11"/>
      <c r="U41642" s="9"/>
      <c r="X41642" s="9"/>
    </row>
    <row r="41643">
      <c r="D41643" s="9"/>
      <c r="G41643" s="9"/>
      <c r="J41643" s="11"/>
      <c r="U41643" s="9"/>
      <c r="X41643" s="9"/>
    </row>
    <row r="41644">
      <c r="D41644" s="9"/>
      <c r="G41644" s="9"/>
      <c r="J41644" s="11"/>
      <c r="U41644" s="9"/>
      <c r="X41644" s="9"/>
    </row>
    <row r="41645">
      <c r="D41645" s="9"/>
      <c r="G41645" s="9"/>
      <c r="J41645" s="11"/>
      <c r="U41645" s="9"/>
      <c r="X41645" s="9"/>
    </row>
    <row r="41646">
      <c r="D41646" s="9"/>
      <c r="G41646" s="9"/>
      <c r="J41646" s="11"/>
      <c r="U41646" s="9"/>
      <c r="X41646" s="9"/>
    </row>
    <row r="41647">
      <c r="D41647" s="9"/>
      <c r="G41647" s="9"/>
      <c r="J41647" s="11"/>
      <c r="U41647" s="9"/>
      <c r="X41647" s="9"/>
    </row>
    <row r="41648">
      <c r="D41648" s="9"/>
      <c r="G41648" s="9"/>
      <c r="J41648" s="11"/>
      <c r="U41648" s="9"/>
      <c r="X41648" s="9"/>
    </row>
    <row r="41649">
      <c r="D41649" s="9"/>
      <c r="G41649" s="9"/>
      <c r="J41649" s="11"/>
      <c r="U41649" s="9"/>
      <c r="X41649" s="9"/>
    </row>
    <row r="41650">
      <c r="D41650" s="9"/>
      <c r="G41650" s="9"/>
      <c r="J41650" s="11"/>
      <c r="U41650" s="9"/>
      <c r="X41650" s="9"/>
    </row>
    <row r="41651">
      <c r="D41651" s="9"/>
      <c r="G41651" s="9"/>
      <c r="J41651" s="11"/>
      <c r="U41651" s="9"/>
      <c r="X41651" s="9"/>
    </row>
    <row r="41652">
      <c r="D41652" s="9"/>
      <c r="G41652" s="9"/>
      <c r="J41652" s="11"/>
      <c r="U41652" s="9"/>
      <c r="X41652" s="9"/>
    </row>
    <row r="41653">
      <c r="D41653" s="9"/>
      <c r="G41653" s="9"/>
      <c r="J41653" s="11"/>
      <c r="U41653" s="9"/>
      <c r="X41653" s="9"/>
    </row>
    <row r="41654">
      <c r="D41654" s="9"/>
      <c r="G41654" s="9"/>
      <c r="J41654" s="11"/>
      <c r="U41654" s="9"/>
      <c r="X41654" s="9"/>
    </row>
    <row r="41655">
      <c r="D41655" s="9"/>
      <c r="G41655" s="9"/>
      <c r="J41655" s="11"/>
      <c r="U41655" s="9"/>
      <c r="X41655" s="9"/>
    </row>
    <row r="41656">
      <c r="D41656" s="9"/>
      <c r="G41656" s="9"/>
      <c r="J41656" s="11"/>
      <c r="U41656" s="9"/>
      <c r="X41656" s="9"/>
    </row>
    <row r="41657">
      <c r="D41657" s="9"/>
      <c r="G41657" s="9"/>
      <c r="J41657" s="11"/>
      <c r="U41657" s="9"/>
      <c r="X41657" s="9"/>
    </row>
    <row r="41658">
      <c r="D41658" s="9"/>
      <c r="G41658" s="9"/>
      <c r="J41658" s="11"/>
      <c r="U41658" s="9"/>
      <c r="X41658" s="9"/>
    </row>
    <row r="41659">
      <c r="D41659" s="9"/>
      <c r="G41659" s="9"/>
      <c r="J41659" s="11"/>
      <c r="U41659" s="9"/>
      <c r="X41659" s="9"/>
    </row>
    <row r="41660">
      <c r="D41660" s="9"/>
      <c r="G41660" s="9"/>
      <c r="J41660" s="11"/>
      <c r="U41660" s="9"/>
      <c r="X41660" s="9"/>
    </row>
    <row r="41661">
      <c r="D41661" s="9"/>
      <c r="G41661" s="9"/>
      <c r="J41661" s="11"/>
      <c r="U41661" s="9"/>
      <c r="X41661" s="9"/>
    </row>
    <row r="41662">
      <c r="D41662" s="9"/>
      <c r="G41662" s="9"/>
      <c r="J41662" s="11"/>
      <c r="U41662" s="9"/>
      <c r="X41662" s="9"/>
    </row>
    <row r="41663">
      <c r="D41663" s="9"/>
      <c r="G41663" s="9"/>
      <c r="J41663" s="11"/>
      <c r="U41663" s="9"/>
      <c r="X41663" s="9"/>
    </row>
    <row r="41664">
      <c r="D41664" s="9"/>
      <c r="G41664" s="9"/>
      <c r="J41664" s="11"/>
      <c r="U41664" s="9"/>
      <c r="X41664" s="9"/>
    </row>
    <row r="41665">
      <c r="D41665" s="9"/>
      <c r="G41665" s="9"/>
      <c r="J41665" s="11"/>
      <c r="U41665" s="9"/>
      <c r="X41665" s="9"/>
    </row>
    <row r="41666">
      <c r="D41666" s="9"/>
      <c r="G41666" s="9"/>
      <c r="J41666" s="11"/>
      <c r="U41666" s="9"/>
      <c r="X41666" s="9"/>
    </row>
    <row r="41667">
      <c r="D41667" s="9"/>
      <c r="G41667" s="9"/>
      <c r="J41667" s="11"/>
      <c r="U41667" s="9"/>
      <c r="X41667" s="9"/>
    </row>
    <row r="41668">
      <c r="D41668" s="9"/>
      <c r="G41668" s="9"/>
      <c r="J41668" s="11"/>
      <c r="U41668" s="9"/>
      <c r="X41668" s="9"/>
    </row>
    <row r="41669">
      <c r="D41669" s="9"/>
      <c r="G41669" s="9"/>
      <c r="J41669" s="11"/>
      <c r="U41669" s="9"/>
      <c r="X41669" s="9"/>
    </row>
    <row r="41670">
      <c r="D41670" s="9"/>
      <c r="G41670" s="9"/>
      <c r="J41670" s="11"/>
      <c r="U41670" s="9"/>
      <c r="X41670" s="9"/>
    </row>
    <row r="41671">
      <c r="D41671" s="9"/>
      <c r="G41671" s="9"/>
      <c r="J41671" s="11"/>
      <c r="U41671" s="9"/>
      <c r="X41671" s="9"/>
    </row>
    <row r="41672">
      <c r="D41672" s="9"/>
      <c r="G41672" s="9"/>
      <c r="J41672" s="11"/>
      <c r="U41672" s="9"/>
      <c r="X41672" s="9"/>
    </row>
    <row r="41673">
      <c r="D41673" s="9"/>
      <c r="G41673" s="9"/>
      <c r="J41673" s="11"/>
      <c r="U41673" s="9"/>
      <c r="X41673" s="9"/>
    </row>
    <row r="41674">
      <c r="D41674" s="9"/>
      <c r="G41674" s="9"/>
      <c r="J41674" s="11"/>
      <c r="U41674" s="9"/>
      <c r="X41674" s="9"/>
    </row>
    <row r="41675">
      <c r="D41675" s="9"/>
      <c r="G41675" s="9"/>
      <c r="J41675" s="11"/>
      <c r="U41675" s="9"/>
      <c r="X41675" s="9"/>
    </row>
    <row r="41676">
      <c r="D41676" s="9"/>
      <c r="G41676" s="9"/>
      <c r="J41676" s="11"/>
      <c r="U41676" s="9"/>
      <c r="X41676" s="9"/>
    </row>
    <row r="41677">
      <c r="D41677" s="9"/>
      <c r="G41677" s="9"/>
      <c r="J41677" s="11"/>
      <c r="U41677" s="9"/>
      <c r="X41677" s="9"/>
    </row>
    <row r="41678">
      <c r="D41678" s="9"/>
      <c r="G41678" s="9"/>
      <c r="J41678" s="11"/>
      <c r="U41678" s="9"/>
      <c r="X41678" s="9"/>
    </row>
    <row r="41679">
      <c r="D41679" s="9"/>
      <c r="G41679" s="9"/>
      <c r="J41679" s="11"/>
      <c r="U41679" s="9"/>
      <c r="X41679" s="9"/>
    </row>
    <row r="41680">
      <c r="D41680" s="9"/>
      <c r="G41680" s="9"/>
      <c r="J41680" s="11"/>
      <c r="U41680" s="9"/>
      <c r="X41680" s="9"/>
    </row>
    <row r="41681">
      <c r="D41681" s="9"/>
      <c r="G41681" s="9"/>
      <c r="J41681" s="11"/>
      <c r="U41681" s="9"/>
      <c r="X41681" s="9"/>
    </row>
    <row r="41682">
      <c r="D41682" s="9"/>
      <c r="G41682" s="9"/>
      <c r="J41682" s="11"/>
      <c r="U41682" s="9"/>
      <c r="X41682" s="9"/>
    </row>
    <row r="41683">
      <c r="D41683" s="9"/>
      <c r="G41683" s="9"/>
      <c r="J41683" s="11"/>
      <c r="U41683" s="9"/>
      <c r="X41683" s="9"/>
    </row>
    <row r="41684">
      <c r="D41684" s="9"/>
      <c r="G41684" s="9"/>
      <c r="J41684" s="11"/>
      <c r="U41684" s="9"/>
      <c r="X41684" s="9"/>
    </row>
    <row r="41685">
      <c r="D41685" s="9"/>
      <c r="G41685" s="9"/>
      <c r="J41685" s="11"/>
      <c r="U41685" s="9"/>
      <c r="X41685" s="9"/>
    </row>
    <row r="41686">
      <c r="D41686" s="9"/>
      <c r="G41686" s="9"/>
      <c r="J41686" s="11"/>
      <c r="U41686" s="9"/>
      <c r="X41686" s="9"/>
    </row>
    <row r="41687">
      <c r="D41687" s="9"/>
      <c r="G41687" s="9"/>
      <c r="J41687" s="11"/>
      <c r="U41687" s="9"/>
      <c r="X41687" s="9"/>
    </row>
    <row r="41688">
      <c r="D41688" s="9"/>
      <c r="G41688" s="9"/>
      <c r="J41688" s="11"/>
      <c r="U41688" s="9"/>
      <c r="X41688" s="9"/>
    </row>
    <row r="41689">
      <c r="D41689" s="9"/>
      <c r="G41689" s="9"/>
      <c r="J41689" s="11"/>
      <c r="U41689" s="9"/>
      <c r="X41689" s="9"/>
    </row>
    <row r="41690">
      <c r="D41690" s="9"/>
      <c r="G41690" s="9"/>
      <c r="J41690" s="11"/>
      <c r="U41690" s="9"/>
      <c r="X41690" s="9"/>
    </row>
    <row r="41691">
      <c r="D41691" s="9"/>
      <c r="G41691" s="9"/>
      <c r="J41691" s="11"/>
      <c r="U41691" s="9"/>
      <c r="X41691" s="9"/>
    </row>
    <row r="41692">
      <c r="D41692" s="9"/>
      <c r="G41692" s="9"/>
      <c r="J41692" s="11"/>
      <c r="U41692" s="9"/>
      <c r="X41692" s="9"/>
    </row>
    <row r="41693">
      <c r="D41693" s="9"/>
      <c r="G41693" s="9"/>
      <c r="J41693" s="11"/>
      <c r="U41693" s="9"/>
      <c r="X41693" s="9"/>
    </row>
    <row r="41694">
      <c r="D41694" s="9"/>
      <c r="G41694" s="9"/>
      <c r="J41694" s="11"/>
      <c r="U41694" s="9"/>
      <c r="X41694" s="9"/>
    </row>
    <row r="41695">
      <c r="D41695" s="9"/>
      <c r="G41695" s="9"/>
      <c r="J41695" s="11"/>
      <c r="U41695" s="9"/>
      <c r="X41695" s="9"/>
    </row>
    <row r="41696">
      <c r="D41696" s="9"/>
      <c r="G41696" s="9"/>
      <c r="J41696" s="11"/>
      <c r="U41696" s="9"/>
      <c r="X41696" s="9"/>
    </row>
    <row r="41697">
      <c r="D41697" s="9"/>
      <c r="G41697" s="9"/>
      <c r="J41697" s="11"/>
      <c r="U41697" s="9"/>
      <c r="X41697" s="9"/>
    </row>
    <row r="41698">
      <c r="D41698" s="9"/>
      <c r="G41698" s="9"/>
      <c r="J41698" s="11"/>
      <c r="U41698" s="9"/>
      <c r="X41698" s="9"/>
    </row>
    <row r="41699">
      <c r="D41699" s="9"/>
      <c r="G41699" s="9"/>
      <c r="J41699" s="11"/>
      <c r="U41699" s="9"/>
      <c r="X41699" s="9"/>
    </row>
    <row r="41700">
      <c r="D41700" s="9"/>
      <c r="G41700" s="9"/>
      <c r="J41700" s="11"/>
      <c r="U41700" s="9"/>
      <c r="X41700" s="9"/>
    </row>
    <row r="41701">
      <c r="D41701" s="9"/>
      <c r="G41701" s="9"/>
      <c r="J41701" s="11"/>
      <c r="U41701" s="9"/>
      <c r="X41701" s="9"/>
    </row>
    <row r="41702">
      <c r="D41702" s="9"/>
      <c r="G41702" s="9"/>
      <c r="J41702" s="11"/>
      <c r="U41702" s="9"/>
      <c r="X41702" s="9"/>
    </row>
    <row r="41703">
      <c r="D41703" s="9"/>
      <c r="G41703" s="9"/>
      <c r="J41703" s="11"/>
      <c r="U41703" s="9"/>
      <c r="X41703" s="9"/>
    </row>
    <row r="41704">
      <c r="D41704" s="9"/>
      <c r="G41704" s="9"/>
      <c r="J41704" s="11"/>
      <c r="U41704" s="9"/>
      <c r="X41704" s="9"/>
    </row>
    <row r="41705">
      <c r="D41705" s="9"/>
      <c r="G41705" s="9"/>
      <c r="J41705" s="11"/>
      <c r="U41705" s="9"/>
      <c r="X41705" s="9"/>
    </row>
    <row r="41706">
      <c r="D41706" s="9"/>
      <c r="G41706" s="9"/>
      <c r="J41706" s="11"/>
      <c r="U41706" s="9"/>
      <c r="X41706" s="9"/>
    </row>
    <row r="41707">
      <c r="D41707" s="9"/>
      <c r="G41707" s="9"/>
      <c r="J41707" s="11"/>
      <c r="U41707" s="9"/>
      <c r="X41707" s="9"/>
    </row>
    <row r="41708">
      <c r="D41708" s="9"/>
      <c r="G41708" s="9"/>
      <c r="J41708" s="11"/>
      <c r="U41708" s="9"/>
      <c r="X41708" s="9"/>
    </row>
    <row r="41709">
      <c r="D41709" s="9"/>
      <c r="G41709" s="9"/>
      <c r="J41709" s="11"/>
      <c r="U41709" s="9"/>
      <c r="X41709" s="9"/>
    </row>
    <row r="41710">
      <c r="D41710" s="9"/>
      <c r="G41710" s="9"/>
      <c r="J41710" s="11"/>
      <c r="U41710" s="9"/>
      <c r="X41710" s="9"/>
    </row>
    <row r="41711">
      <c r="D41711" s="9"/>
      <c r="G41711" s="9"/>
      <c r="J41711" s="11"/>
      <c r="U41711" s="9"/>
      <c r="X41711" s="9"/>
    </row>
    <row r="41712">
      <c r="D41712" s="9"/>
      <c r="G41712" s="9"/>
      <c r="J41712" s="11"/>
      <c r="U41712" s="9"/>
      <c r="X41712" s="9"/>
    </row>
    <row r="41713">
      <c r="D41713" s="9"/>
      <c r="G41713" s="9"/>
      <c r="J41713" s="11"/>
      <c r="U41713" s="9"/>
      <c r="X41713" s="9"/>
    </row>
    <row r="41714">
      <c r="D41714" s="9"/>
      <c r="G41714" s="9"/>
      <c r="J41714" s="11"/>
      <c r="U41714" s="9"/>
      <c r="X41714" s="9"/>
    </row>
    <row r="41715">
      <c r="D41715" s="9"/>
      <c r="G41715" s="9"/>
      <c r="J41715" s="11"/>
      <c r="U41715" s="9"/>
      <c r="X41715" s="9"/>
    </row>
    <row r="41716">
      <c r="D41716" s="9"/>
      <c r="G41716" s="9"/>
      <c r="J41716" s="11"/>
      <c r="U41716" s="9"/>
      <c r="X41716" s="9"/>
    </row>
    <row r="41717">
      <c r="D41717" s="9"/>
      <c r="G41717" s="9"/>
      <c r="J41717" s="11"/>
      <c r="U41717" s="9"/>
      <c r="X41717" s="9"/>
    </row>
    <row r="41718">
      <c r="D41718" s="9"/>
      <c r="G41718" s="9"/>
      <c r="J41718" s="11"/>
      <c r="U41718" s="9"/>
      <c r="X41718" s="9"/>
    </row>
    <row r="41719">
      <c r="D41719" s="9"/>
      <c r="G41719" s="9"/>
      <c r="J41719" s="11"/>
      <c r="U41719" s="9"/>
      <c r="X41719" s="9"/>
    </row>
    <row r="41720">
      <c r="D41720" s="9"/>
      <c r="G41720" s="9"/>
      <c r="J41720" s="11"/>
      <c r="U41720" s="9"/>
      <c r="X41720" s="9"/>
    </row>
    <row r="41721">
      <c r="D41721" s="9"/>
      <c r="G41721" s="9"/>
      <c r="J41721" s="11"/>
      <c r="U41721" s="9"/>
      <c r="X41721" s="9"/>
    </row>
    <row r="41722">
      <c r="D41722" s="9"/>
      <c r="G41722" s="9"/>
      <c r="J41722" s="11"/>
      <c r="U41722" s="9"/>
      <c r="X41722" s="9"/>
    </row>
    <row r="41723">
      <c r="D41723" s="9"/>
      <c r="G41723" s="9"/>
      <c r="J41723" s="11"/>
      <c r="U41723" s="9"/>
      <c r="X41723" s="9"/>
    </row>
    <row r="41724">
      <c r="D41724" s="9"/>
      <c r="G41724" s="9"/>
      <c r="J41724" s="11"/>
      <c r="U41724" s="9"/>
      <c r="X41724" s="9"/>
    </row>
    <row r="41725">
      <c r="D41725" s="9"/>
      <c r="G41725" s="9"/>
      <c r="J41725" s="11"/>
      <c r="U41725" s="9"/>
      <c r="X41725" s="9"/>
    </row>
    <row r="41726">
      <c r="D41726" s="9"/>
      <c r="G41726" s="9"/>
      <c r="J41726" s="11"/>
      <c r="U41726" s="9"/>
      <c r="X41726" s="9"/>
    </row>
    <row r="41727">
      <c r="D41727" s="9"/>
      <c r="G41727" s="9"/>
      <c r="J41727" s="11"/>
      <c r="U41727" s="9"/>
      <c r="X41727" s="9"/>
    </row>
    <row r="41728">
      <c r="D41728" s="9"/>
      <c r="G41728" s="9"/>
      <c r="J41728" s="11"/>
      <c r="U41728" s="9"/>
      <c r="X41728" s="9"/>
    </row>
    <row r="41729">
      <c r="D41729" s="9"/>
      <c r="G41729" s="9"/>
      <c r="J41729" s="11"/>
      <c r="U41729" s="9"/>
      <c r="X41729" s="9"/>
    </row>
    <row r="41730">
      <c r="D41730" s="9"/>
      <c r="G41730" s="9"/>
      <c r="J41730" s="11"/>
      <c r="U41730" s="9"/>
      <c r="X41730" s="9"/>
    </row>
    <row r="41731">
      <c r="D41731" s="9"/>
      <c r="G41731" s="9"/>
      <c r="J41731" s="11"/>
      <c r="U41731" s="9"/>
      <c r="X41731" s="9"/>
    </row>
    <row r="41732">
      <c r="D41732" s="9"/>
      <c r="G41732" s="9"/>
      <c r="J41732" s="11"/>
      <c r="U41732" s="9"/>
      <c r="X41732" s="9"/>
    </row>
    <row r="41733">
      <c r="D41733" s="9"/>
      <c r="G41733" s="9"/>
      <c r="J41733" s="11"/>
      <c r="U41733" s="9"/>
      <c r="X41733" s="9"/>
    </row>
    <row r="41734">
      <c r="D41734" s="9"/>
      <c r="G41734" s="9"/>
      <c r="J41734" s="11"/>
      <c r="U41734" s="9"/>
      <c r="X41734" s="9"/>
    </row>
    <row r="41735">
      <c r="D41735" s="9"/>
      <c r="G41735" s="9"/>
      <c r="J41735" s="11"/>
      <c r="U41735" s="9"/>
      <c r="X41735" s="9"/>
    </row>
    <row r="41736">
      <c r="D41736" s="9"/>
      <c r="G41736" s="9"/>
      <c r="J41736" s="11"/>
      <c r="U41736" s="9"/>
      <c r="X41736" s="9"/>
    </row>
    <row r="41737">
      <c r="D41737" s="9"/>
      <c r="G41737" s="9"/>
      <c r="J41737" s="11"/>
      <c r="U41737" s="9"/>
      <c r="X41737" s="9"/>
    </row>
    <row r="41738">
      <c r="D41738" s="9"/>
      <c r="G41738" s="9"/>
      <c r="J41738" s="11"/>
      <c r="U41738" s="9"/>
      <c r="X41738" s="9"/>
    </row>
    <row r="41739">
      <c r="D41739" s="9"/>
      <c r="G41739" s="9"/>
      <c r="J41739" s="11"/>
      <c r="U41739" s="9"/>
      <c r="X41739" s="9"/>
    </row>
    <row r="41740">
      <c r="D41740" s="9"/>
      <c r="G41740" s="9"/>
      <c r="J41740" s="11"/>
      <c r="U41740" s="9"/>
      <c r="X41740" s="9"/>
    </row>
    <row r="41741">
      <c r="D41741" s="9"/>
      <c r="G41741" s="9"/>
      <c r="J41741" s="11"/>
      <c r="U41741" s="9"/>
      <c r="X41741" s="9"/>
    </row>
    <row r="41742">
      <c r="D41742" s="9"/>
      <c r="G41742" s="9"/>
      <c r="J41742" s="11"/>
      <c r="U41742" s="9"/>
      <c r="X41742" s="9"/>
    </row>
    <row r="41743">
      <c r="D41743" s="9"/>
      <c r="G41743" s="9"/>
      <c r="J41743" s="11"/>
      <c r="U41743" s="9"/>
      <c r="X41743" s="9"/>
    </row>
    <row r="41744">
      <c r="D41744" s="9"/>
      <c r="G41744" s="9"/>
      <c r="J41744" s="11"/>
      <c r="U41744" s="9"/>
      <c r="X41744" s="9"/>
    </row>
    <row r="41745">
      <c r="D41745" s="9"/>
      <c r="G41745" s="9"/>
      <c r="J41745" s="11"/>
      <c r="U41745" s="9"/>
      <c r="X41745" s="9"/>
    </row>
    <row r="41746">
      <c r="D41746" s="9"/>
      <c r="G41746" s="9"/>
      <c r="J41746" s="11"/>
      <c r="U41746" s="9"/>
      <c r="X41746" s="9"/>
    </row>
    <row r="41747">
      <c r="D41747" s="9"/>
      <c r="G41747" s="9"/>
      <c r="J41747" s="11"/>
      <c r="U41747" s="9"/>
      <c r="X41747" s="9"/>
    </row>
    <row r="41748">
      <c r="D41748" s="9"/>
      <c r="G41748" s="9"/>
      <c r="J41748" s="11"/>
      <c r="U41748" s="9"/>
      <c r="X41748" s="9"/>
    </row>
    <row r="41749">
      <c r="D41749" s="9"/>
      <c r="G41749" s="9"/>
      <c r="J41749" s="11"/>
      <c r="U41749" s="9"/>
      <c r="X41749" s="9"/>
    </row>
    <row r="41750">
      <c r="D41750" s="9"/>
      <c r="G41750" s="9"/>
      <c r="J41750" s="11"/>
      <c r="U41750" s="9"/>
      <c r="X41750" s="9"/>
    </row>
    <row r="41751">
      <c r="D41751" s="9"/>
      <c r="G41751" s="9"/>
      <c r="J41751" s="11"/>
      <c r="U41751" s="9"/>
      <c r="X41751" s="9"/>
    </row>
    <row r="41752">
      <c r="D41752" s="9"/>
      <c r="G41752" s="9"/>
      <c r="J41752" s="11"/>
      <c r="U41752" s="9"/>
      <c r="X41752" s="9"/>
    </row>
    <row r="41753">
      <c r="D41753" s="9"/>
      <c r="G41753" s="9"/>
      <c r="J41753" s="11"/>
      <c r="U41753" s="9"/>
      <c r="X41753" s="9"/>
    </row>
    <row r="41754">
      <c r="D41754" s="9"/>
      <c r="G41754" s="9"/>
      <c r="J41754" s="11"/>
      <c r="U41754" s="9"/>
      <c r="X41754" s="9"/>
    </row>
    <row r="41755">
      <c r="D41755" s="9"/>
      <c r="G41755" s="9"/>
      <c r="J41755" s="11"/>
      <c r="U41755" s="9"/>
      <c r="X41755" s="9"/>
    </row>
    <row r="41756">
      <c r="D41756" s="9"/>
      <c r="G41756" s="9"/>
      <c r="J41756" s="11"/>
      <c r="U41756" s="9"/>
      <c r="X41756" s="9"/>
    </row>
    <row r="41757">
      <c r="D41757" s="9"/>
      <c r="G41757" s="9"/>
      <c r="J41757" s="11"/>
      <c r="U41757" s="9"/>
      <c r="X41757" s="9"/>
    </row>
    <row r="41758">
      <c r="D41758" s="9"/>
      <c r="G41758" s="9"/>
      <c r="J41758" s="11"/>
      <c r="U41758" s="9"/>
      <c r="X41758" s="9"/>
    </row>
    <row r="41759">
      <c r="D41759" s="9"/>
      <c r="G41759" s="9"/>
      <c r="J41759" s="11"/>
      <c r="U41759" s="9"/>
      <c r="X41759" s="9"/>
    </row>
    <row r="41760">
      <c r="D41760" s="9"/>
      <c r="G41760" s="9"/>
      <c r="J41760" s="11"/>
      <c r="U41760" s="9"/>
      <c r="X41760" s="9"/>
    </row>
    <row r="41761">
      <c r="D41761" s="9"/>
      <c r="G41761" s="9"/>
      <c r="J41761" s="11"/>
      <c r="U41761" s="9"/>
      <c r="X41761" s="9"/>
    </row>
    <row r="41762">
      <c r="D41762" s="9"/>
      <c r="G41762" s="9"/>
      <c r="J41762" s="11"/>
      <c r="U41762" s="9"/>
      <c r="X41762" s="9"/>
    </row>
    <row r="41763">
      <c r="D41763" s="9"/>
      <c r="G41763" s="9"/>
      <c r="J41763" s="11"/>
      <c r="U41763" s="9"/>
      <c r="X41763" s="9"/>
    </row>
    <row r="41764">
      <c r="D41764" s="9"/>
      <c r="G41764" s="9"/>
      <c r="J41764" s="11"/>
      <c r="U41764" s="9"/>
      <c r="X41764" s="9"/>
    </row>
    <row r="41765">
      <c r="D41765" s="9"/>
      <c r="G41765" s="9"/>
      <c r="J41765" s="11"/>
      <c r="U41765" s="9"/>
      <c r="X41765" s="9"/>
    </row>
    <row r="41766">
      <c r="D41766" s="9"/>
      <c r="G41766" s="9"/>
      <c r="J41766" s="11"/>
      <c r="U41766" s="9"/>
      <c r="X41766" s="9"/>
    </row>
    <row r="41767">
      <c r="D41767" s="9"/>
      <c r="G41767" s="9"/>
      <c r="J41767" s="11"/>
      <c r="U41767" s="9"/>
      <c r="X41767" s="9"/>
    </row>
    <row r="41768">
      <c r="D41768" s="9"/>
      <c r="G41768" s="9"/>
      <c r="J41768" s="11"/>
      <c r="U41768" s="9"/>
      <c r="X41768" s="9"/>
    </row>
    <row r="41769">
      <c r="D41769" s="9"/>
      <c r="G41769" s="9"/>
      <c r="J41769" s="11"/>
      <c r="U41769" s="9"/>
      <c r="X41769" s="9"/>
    </row>
    <row r="41770">
      <c r="D41770" s="9"/>
      <c r="G41770" s="9"/>
      <c r="J41770" s="11"/>
      <c r="U41770" s="9"/>
      <c r="X41770" s="9"/>
    </row>
    <row r="41771">
      <c r="D41771" s="9"/>
      <c r="G41771" s="9"/>
      <c r="J41771" s="11"/>
      <c r="U41771" s="9"/>
      <c r="X41771" s="9"/>
    </row>
    <row r="41772">
      <c r="D41772" s="9"/>
      <c r="G41772" s="9"/>
      <c r="J41772" s="11"/>
      <c r="U41772" s="9"/>
      <c r="X41772" s="9"/>
    </row>
    <row r="41773">
      <c r="D41773" s="9"/>
      <c r="G41773" s="9"/>
      <c r="J41773" s="11"/>
      <c r="U41773" s="9"/>
      <c r="X41773" s="9"/>
    </row>
    <row r="41774">
      <c r="D41774" s="9"/>
      <c r="G41774" s="9"/>
      <c r="J41774" s="11"/>
      <c r="U41774" s="9"/>
      <c r="X41774" s="9"/>
    </row>
    <row r="41775">
      <c r="D41775" s="9"/>
      <c r="G41775" s="9"/>
      <c r="J41775" s="11"/>
      <c r="U41775" s="9"/>
      <c r="X41775" s="9"/>
    </row>
    <row r="41776">
      <c r="D41776" s="9"/>
      <c r="G41776" s="9"/>
      <c r="J41776" s="11"/>
      <c r="U41776" s="9"/>
      <c r="X41776" s="9"/>
    </row>
    <row r="41777">
      <c r="D41777" s="9"/>
      <c r="G41777" s="9"/>
      <c r="J41777" s="11"/>
      <c r="U41777" s="9"/>
      <c r="X41777" s="9"/>
    </row>
    <row r="41778">
      <c r="D41778" s="9"/>
      <c r="G41778" s="9"/>
      <c r="J41778" s="11"/>
      <c r="U41778" s="9"/>
      <c r="X41778" s="9"/>
    </row>
    <row r="41779">
      <c r="D41779" s="9"/>
      <c r="G41779" s="9"/>
      <c r="J41779" s="11"/>
      <c r="U41779" s="9"/>
      <c r="X41779" s="9"/>
    </row>
    <row r="41780">
      <c r="D41780" s="9"/>
      <c r="G41780" s="9"/>
      <c r="J41780" s="11"/>
      <c r="U41780" s="9"/>
      <c r="X41780" s="9"/>
    </row>
    <row r="41781">
      <c r="D41781" s="9"/>
      <c r="G41781" s="9"/>
      <c r="J41781" s="11"/>
      <c r="U41781" s="9"/>
      <c r="X41781" s="9"/>
    </row>
    <row r="41782">
      <c r="D41782" s="9"/>
      <c r="G41782" s="9"/>
      <c r="J41782" s="11"/>
      <c r="U41782" s="9"/>
      <c r="X41782" s="9"/>
    </row>
    <row r="41783">
      <c r="D41783" s="9"/>
      <c r="G41783" s="9"/>
      <c r="J41783" s="11"/>
      <c r="U41783" s="9"/>
      <c r="X41783" s="9"/>
    </row>
    <row r="41784">
      <c r="D41784" s="9"/>
      <c r="G41784" s="9"/>
      <c r="J41784" s="11"/>
      <c r="U41784" s="9"/>
      <c r="X41784" s="9"/>
    </row>
    <row r="41785">
      <c r="D41785" s="9"/>
      <c r="G41785" s="9"/>
      <c r="J41785" s="11"/>
      <c r="U41785" s="9"/>
      <c r="X41785" s="9"/>
    </row>
    <row r="41786">
      <c r="D41786" s="9"/>
      <c r="G41786" s="9"/>
      <c r="J41786" s="11"/>
      <c r="U41786" s="9"/>
      <c r="X41786" s="9"/>
    </row>
    <row r="41787">
      <c r="D41787" s="9"/>
      <c r="G41787" s="9"/>
      <c r="J41787" s="11"/>
      <c r="U41787" s="9"/>
      <c r="X41787" s="9"/>
    </row>
    <row r="41788">
      <c r="D41788" s="9"/>
      <c r="G41788" s="9"/>
      <c r="J41788" s="11"/>
      <c r="U41788" s="9"/>
      <c r="X41788" s="9"/>
    </row>
    <row r="41789">
      <c r="D41789" s="9"/>
      <c r="G41789" s="9"/>
      <c r="J41789" s="11"/>
      <c r="U41789" s="9"/>
      <c r="X41789" s="9"/>
    </row>
    <row r="41790">
      <c r="D41790" s="9"/>
      <c r="G41790" s="9"/>
      <c r="J41790" s="11"/>
      <c r="U41790" s="9"/>
      <c r="X41790" s="9"/>
    </row>
    <row r="41791">
      <c r="D41791" s="9"/>
      <c r="G41791" s="9"/>
      <c r="J41791" s="11"/>
      <c r="U41791" s="9"/>
      <c r="X41791" s="9"/>
    </row>
    <row r="41792">
      <c r="D41792" s="9"/>
      <c r="G41792" s="9"/>
      <c r="J41792" s="11"/>
      <c r="U41792" s="9"/>
      <c r="X41792" s="9"/>
    </row>
    <row r="41793">
      <c r="D41793" s="9"/>
      <c r="G41793" s="9"/>
      <c r="J41793" s="11"/>
      <c r="U41793" s="9"/>
      <c r="X41793" s="9"/>
    </row>
    <row r="41794">
      <c r="D41794" s="9"/>
      <c r="G41794" s="9"/>
      <c r="J41794" s="11"/>
      <c r="U41794" s="9"/>
      <c r="X41794" s="9"/>
    </row>
    <row r="41795">
      <c r="D41795" s="9"/>
      <c r="G41795" s="9"/>
      <c r="J41795" s="11"/>
      <c r="U41795" s="9"/>
      <c r="X41795" s="9"/>
    </row>
    <row r="41796">
      <c r="D41796" s="9"/>
      <c r="G41796" s="9"/>
      <c r="J41796" s="11"/>
      <c r="U41796" s="9"/>
      <c r="X41796" s="9"/>
    </row>
    <row r="41797">
      <c r="D41797" s="9"/>
      <c r="G41797" s="9"/>
      <c r="J41797" s="11"/>
      <c r="U41797" s="9"/>
      <c r="X41797" s="9"/>
    </row>
    <row r="41798">
      <c r="D41798" s="9"/>
      <c r="G41798" s="9"/>
      <c r="J41798" s="11"/>
      <c r="U41798" s="9"/>
      <c r="X41798" s="9"/>
    </row>
    <row r="41799">
      <c r="D41799" s="9"/>
      <c r="G41799" s="9"/>
      <c r="J41799" s="11"/>
      <c r="U41799" s="9"/>
      <c r="X41799" s="9"/>
    </row>
    <row r="41800">
      <c r="D41800" s="9"/>
      <c r="G41800" s="9"/>
      <c r="J41800" s="11"/>
      <c r="U41800" s="9"/>
      <c r="X41800" s="9"/>
    </row>
    <row r="41801">
      <c r="D41801" s="9"/>
      <c r="G41801" s="9"/>
      <c r="J41801" s="11"/>
      <c r="U41801" s="9"/>
      <c r="X41801" s="9"/>
    </row>
    <row r="41802">
      <c r="D41802" s="9"/>
      <c r="G41802" s="9"/>
      <c r="J41802" s="11"/>
      <c r="U41802" s="9"/>
      <c r="X41802" s="9"/>
    </row>
    <row r="41803">
      <c r="D41803" s="9"/>
      <c r="G41803" s="9"/>
      <c r="J41803" s="11"/>
      <c r="U41803" s="9"/>
      <c r="X41803" s="9"/>
    </row>
    <row r="41804">
      <c r="D41804" s="9"/>
      <c r="G41804" s="9"/>
      <c r="J41804" s="11"/>
      <c r="U41804" s="9"/>
      <c r="X41804" s="9"/>
    </row>
    <row r="41805">
      <c r="D41805" s="9"/>
      <c r="G41805" s="9"/>
      <c r="J41805" s="11"/>
      <c r="U41805" s="9"/>
      <c r="X41805" s="9"/>
    </row>
    <row r="41806">
      <c r="D41806" s="9"/>
      <c r="G41806" s="9"/>
      <c r="J41806" s="11"/>
      <c r="U41806" s="9"/>
      <c r="X41806" s="9"/>
    </row>
    <row r="41807">
      <c r="D41807" s="9"/>
      <c r="G41807" s="9"/>
      <c r="J41807" s="11"/>
      <c r="U41807" s="9"/>
      <c r="X41807" s="9"/>
    </row>
    <row r="41808">
      <c r="D41808" s="9"/>
      <c r="G41808" s="9"/>
      <c r="J41808" s="11"/>
      <c r="U41808" s="9"/>
      <c r="X41808" s="9"/>
    </row>
    <row r="41809">
      <c r="D41809" s="9"/>
      <c r="G41809" s="9"/>
      <c r="J41809" s="11"/>
      <c r="U41809" s="9"/>
      <c r="X41809" s="9"/>
    </row>
    <row r="41810">
      <c r="D41810" s="9"/>
      <c r="G41810" s="9"/>
      <c r="J41810" s="11"/>
      <c r="U41810" s="9"/>
      <c r="X41810" s="9"/>
    </row>
    <row r="41811">
      <c r="D41811" s="9"/>
      <c r="G41811" s="9"/>
      <c r="J41811" s="11"/>
      <c r="U41811" s="9"/>
      <c r="X41811" s="9"/>
    </row>
    <row r="41812">
      <c r="D41812" s="9"/>
      <c r="G41812" s="9"/>
      <c r="J41812" s="11"/>
      <c r="U41812" s="9"/>
      <c r="X41812" s="9"/>
    </row>
    <row r="41813">
      <c r="D41813" s="9"/>
      <c r="G41813" s="9"/>
      <c r="J41813" s="11"/>
      <c r="U41813" s="9"/>
      <c r="X41813" s="9"/>
    </row>
    <row r="41814">
      <c r="D41814" s="9"/>
      <c r="G41814" s="9"/>
      <c r="J41814" s="11"/>
      <c r="U41814" s="9"/>
      <c r="X41814" s="9"/>
    </row>
    <row r="41815">
      <c r="D41815" s="9"/>
      <c r="G41815" s="9"/>
      <c r="J41815" s="11"/>
      <c r="U41815" s="9"/>
      <c r="X41815" s="9"/>
    </row>
    <row r="41816">
      <c r="D41816" s="9"/>
      <c r="G41816" s="9"/>
      <c r="J41816" s="11"/>
      <c r="U41816" s="9"/>
      <c r="X41816" s="9"/>
    </row>
    <row r="41817">
      <c r="D41817" s="9"/>
      <c r="G41817" s="9"/>
      <c r="J41817" s="11"/>
      <c r="U41817" s="9"/>
      <c r="X41817" s="9"/>
    </row>
    <row r="41818">
      <c r="D41818" s="9"/>
      <c r="G41818" s="9"/>
      <c r="J41818" s="11"/>
      <c r="U41818" s="9"/>
      <c r="X41818" s="9"/>
    </row>
    <row r="41819">
      <c r="D41819" s="9"/>
      <c r="G41819" s="9"/>
      <c r="J41819" s="11"/>
      <c r="U41819" s="9"/>
      <c r="X41819" s="9"/>
    </row>
    <row r="41820">
      <c r="D41820" s="9"/>
      <c r="G41820" s="9"/>
      <c r="J41820" s="11"/>
      <c r="U41820" s="9"/>
      <c r="X41820" s="9"/>
    </row>
    <row r="41821">
      <c r="D41821" s="9"/>
      <c r="G41821" s="9"/>
      <c r="J41821" s="11"/>
      <c r="U41821" s="9"/>
      <c r="X41821" s="9"/>
    </row>
    <row r="41822">
      <c r="D41822" s="9"/>
      <c r="G41822" s="9"/>
      <c r="J41822" s="11"/>
      <c r="U41822" s="9"/>
      <c r="X41822" s="9"/>
    </row>
    <row r="41823">
      <c r="D41823" s="9"/>
      <c r="G41823" s="9"/>
      <c r="J41823" s="11"/>
      <c r="U41823" s="9"/>
      <c r="X41823" s="9"/>
    </row>
    <row r="41824">
      <c r="D41824" s="9"/>
      <c r="G41824" s="9"/>
      <c r="J41824" s="11"/>
      <c r="U41824" s="9"/>
      <c r="X41824" s="9"/>
    </row>
    <row r="41825">
      <c r="D41825" s="9"/>
      <c r="G41825" s="9"/>
      <c r="J41825" s="11"/>
      <c r="U41825" s="9"/>
      <c r="X41825" s="9"/>
    </row>
    <row r="41826">
      <c r="D41826" s="9"/>
      <c r="G41826" s="9"/>
      <c r="J41826" s="11"/>
      <c r="U41826" s="9"/>
      <c r="X41826" s="9"/>
    </row>
    <row r="41827">
      <c r="D41827" s="9"/>
      <c r="G41827" s="9"/>
      <c r="J41827" s="11"/>
      <c r="U41827" s="9"/>
      <c r="X41827" s="9"/>
    </row>
    <row r="41828">
      <c r="D41828" s="9"/>
      <c r="G41828" s="9"/>
      <c r="J41828" s="11"/>
      <c r="U41828" s="9"/>
      <c r="X41828" s="9"/>
    </row>
    <row r="41829">
      <c r="D41829" s="9"/>
      <c r="G41829" s="9"/>
      <c r="J41829" s="11"/>
      <c r="U41829" s="9"/>
      <c r="X41829" s="9"/>
    </row>
    <row r="41830">
      <c r="D41830" s="9"/>
      <c r="G41830" s="9"/>
      <c r="J41830" s="11"/>
      <c r="U41830" s="9"/>
      <c r="X41830" s="9"/>
    </row>
    <row r="41831">
      <c r="D41831" s="9"/>
      <c r="G41831" s="9"/>
      <c r="J41831" s="11"/>
      <c r="U41831" s="9"/>
      <c r="X41831" s="9"/>
    </row>
    <row r="41832">
      <c r="D41832" s="9"/>
      <c r="G41832" s="9"/>
      <c r="J41832" s="11"/>
      <c r="U41832" s="9"/>
      <c r="X41832" s="9"/>
    </row>
    <row r="41833">
      <c r="D41833" s="9"/>
      <c r="G41833" s="9"/>
      <c r="J41833" s="11"/>
      <c r="U41833" s="9"/>
      <c r="X41833" s="9"/>
    </row>
    <row r="41834">
      <c r="D41834" s="9"/>
      <c r="G41834" s="9"/>
      <c r="J41834" s="11"/>
      <c r="U41834" s="9"/>
      <c r="X41834" s="9"/>
    </row>
    <row r="41835">
      <c r="D41835" s="9"/>
      <c r="G41835" s="9"/>
      <c r="J41835" s="11"/>
      <c r="U41835" s="9"/>
      <c r="X41835" s="9"/>
    </row>
    <row r="41836">
      <c r="D41836" s="9"/>
      <c r="G41836" s="9"/>
      <c r="J41836" s="11"/>
      <c r="U41836" s="9"/>
      <c r="X41836" s="9"/>
    </row>
    <row r="41837">
      <c r="D41837" s="9"/>
      <c r="G41837" s="9"/>
      <c r="J41837" s="11"/>
      <c r="U41837" s="9"/>
      <c r="X41837" s="9"/>
    </row>
    <row r="41838">
      <c r="D41838" s="9"/>
      <c r="G41838" s="9"/>
      <c r="J41838" s="11"/>
      <c r="U41838" s="9"/>
      <c r="X41838" s="9"/>
    </row>
    <row r="41839">
      <c r="D41839" s="9"/>
      <c r="G41839" s="9"/>
      <c r="J41839" s="11"/>
      <c r="U41839" s="9"/>
      <c r="X41839" s="9"/>
    </row>
    <row r="41840">
      <c r="D41840" s="9"/>
      <c r="G41840" s="9"/>
      <c r="J41840" s="11"/>
      <c r="U41840" s="9"/>
      <c r="X41840" s="9"/>
    </row>
    <row r="41841">
      <c r="D41841" s="9"/>
      <c r="G41841" s="9"/>
      <c r="J41841" s="11"/>
      <c r="U41841" s="9"/>
      <c r="X41841" s="9"/>
    </row>
    <row r="41842">
      <c r="D41842" s="9"/>
      <c r="G41842" s="9"/>
      <c r="J41842" s="11"/>
      <c r="U41842" s="9"/>
      <c r="X41842" s="9"/>
    </row>
    <row r="41843">
      <c r="D41843" s="9"/>
      <c r="G41843" s="9"/>
      <c r="J41843" s="11"/>
      <c r="U41843" s="9"/>
      <c r="X41843" s="9"/>
    </row>
    <row r="41844">
      <c r="D41844" s="9"/>
      <c r="G41844" s="9"/>
      <c r="J41844" s="11"/>
      <c r="U41844" s="9"/>
      <c r="X41844" s="9"/>
    </row>
    <row r="41845">
      <c r="D41845" s="9"/>
      <c r="G41845" s="9"/>
      <c r="J41845" s="11"/>
      <c r="U41845" s="9"/>
      <c r="X41845" s="9"/>
    </row>
    <row r="41846">
      <c r="D41846" s="9"/>
      <c r="G41846" s="9"/>
      <c r="J41846" s="11"/>
      <c r="U41846" s="9"/>
      <c r="X41846" s="9"/>
    </row>
    <row r="41847">
      <c r="D41847" s="9"/>
      <c r="G41847" s="9"/>
      <c r="J41847" s="11"/>
      <c r="U41847" s="9"/>
      <c r="X41847" s="9"/>
    </row>
    <row r="41848">
      <c r="D41848" s="9"/>
      <c r="G41848" s="9"/>
      <c r="J41848" s="11"/>
      <c r="U41848" s="9"/>
      <c r="X41848" s="9"/>
    </row>
    <row r="41849">
      <c r="D41849" s="9"/>
      <c r="G41849" s="9"/>
      <c r="J41849" s="11"/>
      <c r="U41849" s="9"/>
      <c r="X41849" s="9"/>
    </row>
    <row r="41850">
      <c r="D41850" s="9"/>
      <c r="G41850" s="9"/>
      <c r="J41850" s="11"/>
      <c r="U41850" s="9"/>
      <c r="X41850" s="9"/>
    </row>
    <row r="41851">
      <c r="D41851" s="9"/>
      <c r="G41851" s="9"/>
      <c r="J41851" s="11"/>
      <c r="U41851" s="9"/>
      <c r="X41851" s="9"/>
    </row>
    <row r="41852">
      <c r="D41852" s="9"/>
      <c r="G41852" s="9"/>
      <c r="J41852" s="11"/>
      <c r="U41852" s="9"/>
      <c r="X41852" s="9"/>
    </row>
    <row r="41853">
      <c r="D41853" s="9"/>
      <c r="G41853" s="9"/>
      <c r="J41853" s="11"/>
      <c r="U41853" s="9"/>
      <c r="X41853" s="9"/>
    </row>
    <row r="41854">
      <c r="D41854" s="9"/>
      <c r="G41854" s="9"/>
      <c r="J41854" s="11"/>
      <c r="U41854" s="9"/>
      <c r="X41854" s="9"/>
    </row>
    <row r="41855">
      <c r="D41855" s="9"/>
      <c r="G41855" s="9"/>
      <c r="J41855" s="11"/>
      <c r="U41855" s="9"/>
      <c r="X41855" s="9"/>
    </row>
    <row r="41856">
      <c r="D41856" s="9"/>
      <c r="G41856" s="9"/>
      <c r="J41856" s="11"/>
      <c r="U41856" s="9"/>
      <c r="X41856" s="9"/>
    </row>
    <row r="41857">
      <c r="D41857" s="9"/>
      <c r="G41857" s="9"/>
      <c r="J41857" s="11"/>
      <c r="U41857" s="9"/>
      <c r="X41857" s="9"/>
    </row>
    <row r="41858">
      <c r="D41858" s="9"/>
      <c r="G41858" s="9"/>
      <c r="J41858" s="11"/>
      <c r="U41858" s="9"/>
      <c r="X41858" s="9"/>
    </row>
    <row r="41859">
      <c r="D41859" s="9"/>
      <c r="G41859" s="9"/>
      <c r="J41859" s="11"/>
      <c r="U41859" s="9"/>
      <c r="X41859" s="9"/>
    </row>
    <row r="41860">
      <c r="D41860" s="9"/>
      <c r="G41860" s="9"/>
      <c r="J41860" s="11"/>
      <c r="U41860" s="9"/>
      <c r="X41860" s="9"/>
    </row>
    <row r="41861">
      <c r="D41861" s="9"/>
      <c r="G41861" s="9"/>
      <c r="J41861" s="11"/>
      <c r="U41861" s="9"/>
      <c r="X41861" s="9"/>
    </row>
    <row r="41862">
      <c r="D41862" s="9"/>
      <c r="G41862" s="9"/>
      <c r="J41862" s="11"/>
      <c r="U41862" s="9"/>
      <c r="X41862" s="9"/>
    </row>
    <row r="41863">
      <c r="D41863" s="9"/>
      <c r="G41863" s="9"/>
      <c r="J41863" s="11"/>
      <c r="U41863" s="9"/>
      <c r="X41863" s="9"/>
    </row>
    <row r="41864">
      <c r="D41864" s="9"/>
      <c r="G41864" s="9"/>
      <c r="J41864" s="11"/>
      <c r="U41864" s="9"/>
      <c r="X41864" s="9"/>
    </row>
    <row r="41865">
      <c r="D41865" s="9"/>
      <c r="G41865" s="9"/>
      <c r="J41865" s="11"/>
      <c r="U41865" s="9"/>
      <c r="X41865" s="9"/>
    </row>
    <row r="41866">
      <c r="D41866" s="9"/>
      <c r="G41866" s="9"/>
      <c r="J41866" s="11"/>
      <c r="U41866" s="9"/>
      <c r="X41866" s="9"/>
    </row>
    <row r="41867">
      <c r="D41867" s="9"/>
      <c r="G41867" s="9"/>
      <c r="J41867" s="11"/>
      <c r="U41867" s="9"/>
      <c r="X41867" s="9"/>
    </row>
    <row r="41868">
      <c r="D41868" s="9"/>
      <c r="G41868" s="9"/>
      <c r="J41868" s="11"/>
      <c r="U41868" s="9"/>
      <c r="X41868" s="9"/>
    </row>
    <row r="41869">
      <c r="D41869" s="9"/>
      <c r="G41869" s="9"/>
      <c r="J41869" s="11"/>
      <c r="U41869" s="9"/>
      <c r="X41869" s="9"/>
    </row>
    <row r="41870">
      <c r="D41870" s="9"/>
      <c r="G41870" s="9"/>
      <c r="J41870" s="11"/>
      <c r="U41870" s="9"/>
      <c r="X41870" s="9"/>
    </row>
    <row r="41871">
      <c r="D41871" s="9"/>
      <c r="G41871" s="9"/>
      <c r="J41871" s="11"/>
      <c r="U41871" s="9"/>
      <c r="X41871" s="9"/>
    </row>
    <row r="41872">
      <c r="D41872" s="9"/>
      <c r="G41872" s="9"/>
      <c r="J41872" s="11"/>
      <c r="U41872" s="9"/>
      <c r="X41872" s="9"/>
    </row>
    <row r="41873">
      <c r="D41873" s="9"/>
      <c r="G41873" s="9"/>
      <c r="J41873" s="11"/>
      <c r="U41873" s="9"/>
      <c r="X41873" s="9"/>
    </row>
    <row r="41874">
      <c r="D41874" s="9"/>
      <c r="G41874" s="9"/>
      <c r="J41874" s="11"/>
      <c r="U41874" s="9"/>
      <c r="X41874" s="9"/>
    </row>
    <row r="41875">
      <c r="D41875" s="9"/>
      <c r="G41875" s="9"/>
      <c r="J41875" s="11"/>
      <c r="U41875" s="9"/>
      <c r="X41875" s="9"/>
    </row>
    <row r="41876">
      <c r="D41876" s="9"/>
      <c r="G41876" s="9"/>
      <c r="J41876" s="11"/>
      <c r="U41876" s="9"/>
      <c r="X41876" s="9"/>
    </row>
    <row r="41877">
      <c r="D41877" s="9"/>
      <c r="G41877" s="9"/>
      <c r="J41877" s="11"/>
      <c r="U41877" s="9"/>
      <c r="X41877" s="9"/>
    </row>
    <row r="41878">
      <c r="D41878" s="9"/>
      <c r="G41878" s="9"/>
      <c r="J41878" s="11"/>
      <c r="U41878" s="9"/>
      <c r="X41878" s="9"/>
    </row>
    <row r="41879">
      <c r="D41879" s="9"/>
      <c r="G41879" s="9"/>
      <c r="J41879" s="11"/>
      <c r="U41879" s="9"/>
      <c r="X41879" s="9"/>
    </row>
    <row r="41880">
      <c r="D41880" s="9"/>
      <c r="G41880" s="9"/>
      <c r="J41880" s="11"/>
      <c r="U41880" s="9"/>
      <c r="X41880" s="9"/>
    </row>
    <row r="41881">
      <c r="D41881" s="9"/>
      <c r="G41881" s="9"/>
      <c r="J41881" s="11"/>
      <c r="U41881" s="9"/>
      <c r="X41881" s="9"/>
    </row>
    <row r="41882">
      <c r="D41882" s="9"/>
      <c r="G41882" s="9"/>
      <c r="J41882" s="11"/>
      <c r="U41882" s="9"/>
      <c r="X41882" s="9"/>
    </row>
    <row r="41883">
      <c r="D41883" s="9"/>
      <c r="G41883" s="9"/>
      <c r="J41883" s="11"/>
      <c r="U41883" s="9"/>
      <c r="X41883" s="9"/>
    </row>
    <row r="41884">
      <c r="D41884" s="9"/>
      <c r="G41884" s="9"/>
      <c r="J41884" s="11"/>
      <c r="U41884" s="9"/>
      <c r="X41884" s="9"/>
    </row>
    <row r="41885">
      <c r="D41885" s="9"/>
      <c r="G41885" s="9"/>
      <c r="J41885" s="11"/>
      <c r="U41885" s="9"/>
      <c r="X41885" s="9"/>
    </row>
    <row r="41886">
      <c r="D41886" s="9"/>
      <c r="G41886" s="9"/>
      <c r="J41886" s="11"/>
      <c r="U41886" s="9"/>
      <c r="X41886" s="9"/>
    </row>
    <row r="41887">
      <c r="D41887" s="9"/>
      <c r="G41887" s="9"/>
      <c r="J41887" s="11"/>
      <c r="U41887" s="9"/>
      <c r="X41887" s="9"/>
    </row>
    <row r="41888">
      <c r="D41888" s="9"/>
      <c r="G41888" s="9"/>
      <c r="J41888" s="11"/>
      <c r="U41888" s="9"/>
      <c r="X41888" s="9"/>
    </row>
    <row r="41889">
      <c r="D41889" s="9"/>
      <c r="G41889" s="9"/>
      <c r="J41889" s="11"/>
      <c r="U41889" s="9"/>
      <c r="X41889" s="9"/>
    </row>
    <row r="41890">
      <c r="D41890" s="9"/>
      <c r="G41890" s="9"/>
      <c r="J41890" s="11"/>
      <c r="U41890" s="9"/>
      <c r="X41890" s="9"/>
    </row>
    <row r="41891">
      <c r="D41891" s="9"/>
      <c r="G41891" s="9"/>
      <c r="J41891" s="11"/>
      <c r="U41891" s="9"/>
      <c r="X41891" s="9"/>
    </row>
    <row r="41892">
      <c r="D41892" s="9"/>
      <c r="G41892" s="9"/>
      <c r="J41892" s="11"/>
      <c r="U41892" s="9"/>
      <c r="X41892" s="9"/>
    </row>
    <row r="41893">
      <c r="D41893" s="9"/>
      <c r="G41893" s="9"/>
      <c r="J41893" s="11"/>
      <c r="U41893" s="9"/>
      <c r="X41893" s="9"/>
    </row>
    <row r="41894">
      <c r="D41894" s="9"/>
      <c r="G41894" s="9"/>
      <c r="J41894" s="11"/>
      <c r="U41894" s="9"/>
      <c r="X41894" s="9"/>
    </row>
    <row r="41895">
      <c r="D41895" s="9"/>
      <c r="G41895" s="9"/>
      <c r="J41895" s="11"/>
      <c r="U41895" s="9"/>
      <c r="X41895" s="9"/>
    </row>
    <row r="41896">
      <c r="D41896" s="9"/>
      <c r="G41896" s="9"/>
      <c r="J41896" s="11"/>
      <c r="U41896" s="9"/>
      <c r="X41896" s="9"/>
    </row>
    <row r="41897">
      <c r="D41897" s="9"/>
      <c r="G41897" s="9"/>
      <c r="J41897" s="11"/>
      <c r="U41897" s="9"/>
      <c r="X41897" s="9"/>
    </row>
    <row r="41898">
      <c r="D41898" s="9"/>
      <c r="G41898" s="9"/>
      <c r="J41898" s="11"/>
      <c r="U41898" s="9"/>
      <c r="X41898" s="9"/>
    </row>
    <row r="41899">
      <c r="D41899" s="9"/>
      <c r="G41899" s="9"/>
      <c r="J41899" s="11"/>
      <c r="U41899" s="9"/>
      <c r="X41899" s="9"/>
    </row>
    <row r="41900">
      <c r="D41900" s="9"/>
      <c r="G41900" s="9"/>
      <c r="J41900" s="11"/>
      <c r="U41900" s="9"/>
      <c r="X41900" s="9"/>
    </row>
    <row r="41901">
      <c r="D41901" s="9"/>
      <c r="G41901" s="9"/>
      <c r="J41901" s="11"/>
      <c r="U41901" s="9"/>
      <c r="X41901" s="9"/>
    </row>
    <row r="41902">
      <c r="D41902" s="9"/>
      <c r="G41902" s="9"/>
      <c r="J41902" s="11"/>
      <c r="U41902" s="9"/>
      <c r="X41902" s="9"/>
    </row>
    <row r="41903">
      <c r="D41903" s="9"/>
      <c r="G41903" s="9"/>
      <c r="J41903" s="11"/>
      <c r="U41903" s="9"/>
      <c r="X41903" s="9"/>
    </row>
    <row r="41904">
      <c r="D41904" s="9"/>
      <c r="G41904" s="9"/>
      <c r="J41904" s="11"/>
      <c r="U41904" s="9"/>
      <c r="X41904" s="9"/>
    </row>
    <row r="41905">
      <c r="D41905" s="9"/>
      <c r="G41905" s="9"/>
      <c r="J41905" s="11"/>
      <c r="U41905" s="9"/>
      <c r="X41905" s="9"/>
    </row>
    <row r="41906">
      <c r="D41906" s="9"/>
      <c r="G41906" s="9"/>
      <c r="J41906" s="11"/>
      <c r="U41906" s="9"/>
      <c r="X41906" s="9"/>
    </row>
    <row r="41907">
      <c r="D41907" s="9"/>
      <c r="G41907" s="9"/>
      <c r="J41907" s="11"/>
      <c r="U41907" s="9"/>
      <c r="X41907" s="9"/>
    </row>
    <row r="41908">
      <c r="D41908" s="9"/>
      <c r="G41908" s="9"/>
      <c r="J41908" s="11"/>
      <c r="U41908" s="9"/>
      <c r="X41908" s="9"/>
    </row>
    <row r="41909">
      <c r="D41909" s="9"/>
      <c r="G41909" s="9"/>
      <c r="J41909" s="11"/>
      <c r="U41909" s="9"/>
      <c r="X41909" s="9"/>
    </row>
    <row r="41910">
      <c r="D41910" s="9"/>
      <c r="G41910" s="9"/>
      <c r="J41910" s="11"/>
      <c r="U41910" s="9"/>
      <c r="X41910" s="9"/>
    </row>
    <row r="41911">
      <c r="D41911" s="9"/>
      <c r="G41911" s="9"/>
      <c r="J41911" s="11"/>
      <c r="U41911" s="9"/>
      <c r="X41911" s="9"/>
    </row>
    <row r="41912">
      <c r="D41912" s="9"/>
      <c r="G41912" s="9"/>
      <c r="J41912" s="11"/>
      <c r="U41912" s="9"/>
      <c r="X41912" s="9"/>
    </row>
    <row r="41913">
      <c r="D41913" s="9"/>
      <c r="G41913" s="9"/>
      <c r="J41913" s="11"/>
      <c r="U41913" s="9"/>
      <c r="X41913" s="9"/>
    </row>
    <row r="41914">
      <c r="D41914" s="9"/>
      <c r="G41914" s="9"/>
      <c r="J41914" s="11"/>
      <c r="U41914" s="9"/>
      <c r="X41914" s="9"/>
    </row>
    <row r="41915">
      <c r="D41915" s="9"/>
      <c r="G41915" s="9"/>
      <c r="J41915" s="11"/>
      <c r="U41915" s="9"/>
      <c r="X41915" s="9"/>
    </row>
    <row r="41916">
      <c r="D41916" s="9"/>
      <c r="G41916" s="9"/>
      <c r="J41916" s="11"/>
      <c r="U41916" s="9"/>
      <c r="X41916" s="9"/>
    </row>
    <row r="41917">
      <c r="D41917" s="9"/>
      <c r="G41917" s="9"/>
      <c r="J41917" s="11"/>
      <c r="U41917" s="9"/>
      <c r="X41917" s="9"/>
    </row>
    <row r="41918">
      <c r="D41918" s="9"/>
      <c r="G41918" s="9"/>
      <c r="J41918" s="11"/>
      <c r="U41918" s="9"/>
      <c r="X41918" s="9"/>
    </row>
    <row r="41919">
      <c r="D41919" s="9"/>
      <c r="G41919" s="9"/>
      <c r="J41919" s="11"/>
      <c r="U41919" s="9"/>
      <c r="X41919" s="9"/>
    </row>
    <row r="41920">
      <c r="D41920" s="9"/>
      <c r="G41920" s="9"/>
      <c r="J41920" s="11"/>
      <c r="U41920" s="9"/>
      <c r="X41920" s="9"/>
    </row>
    <row r="41921">
      <c r="D41921" s="9"/>
      <c r="G41921" s="9"/>
      <c r="J41921" s="11"/>
      <c r="U41921" s="9"/>
      <c r="X41921" s="9"/>
    </row>
    <row r="41922">
      <c r="D41922" s="9"/>
      <c r="G41922" s="9"/>
      <c r="J41922" s="11"/>
      <c r="U41922" s="9"/>
      <c r="X41922" s="9"/>
    </row>
    <row r="41923">
      <c r="D41923" s="9"/>
      <c r="G41923" s="9"/>
      <c r="J41923" s="11"/>
      <c r="U41923" s="9"/>
      <c r="X41923" s="9"/>
    </row>
    <row r="41924">
      <c r="D41924" s="9"/>
      <c r="G41924" s="9"/>
      <c r="J41924" s="11"/>
      <c r="U41924" s="9"/>
      <c r="X41924" s="9"/>
    </row>
    <row r="41925">
      <c r="D41925" s="9"/>
      <c r="G41925" s="9"/>
      <c r="J41925" s="11"/>
      <c r="U41925" s="9"/>
      <c r="X41925" s="9"/>
    </row>
    <row r="41926">
      <c r="D41926" s="9"/>
      <c r="G41926" s="9"/>
      <c r="J41926" s="11"/>
      <c r="U41926" s="9"/>
      <c r="X41926" s="9"/>
    </row>
    <row r="41927">
      <c r="D41927" s="9"/>
      <c r="G41927" s="9"/>
      <c r="J41927" s="11"/>
      <c r="U41927" s="9"/>
      <c r="X41927" s="9"/>
    </row>
    <row r="41928">
      <c r="D41928" s="9"/>
      <c r="G41928" s="9"/>
      <c r="J41928" s="11"/>
      <c r="U41928" s="9"/>
      <c r="X41928" s="9"/>
    </row>
    <row r="41929">
      <c r="D41929" s="9"/>
      <c r="G41929" s="9"/>
      <c r="J41929" s="11"/>
      <c r="U41929" s="9"/>
      <c r="X41929" s="9"/>
    </row>
    <row r="41930">
      <c r="D41930" s="9"/>
      <c r="G41930" s="9"/>
      <c r="J41930" s="11"/>
      <c r="U41930" s="9"/>
      <c r="X41930" s="9"/>
    </row>
    <row r="41931">
      <c r="D41931" s="9"/>
      <c r="G41931" s="9"/>
      <c r="J41931" s="11"/>
      <c r="U41931" s="9"/>
      <c r="X41931" s="9"/>
    </row>
    <row r="41932">
      <c r="D41932" s="9"/>
      <c r="G41932" s="9"/>
      <c r="J41932" s="11"/>
      <c r="U41932" s="9"/>
      <c r="X41932" s="9"/>
    </row>
    <row r="41933">
      <c r="D41933" s="9"/>
      <c r="G41933" s="9"/>
      <c r="J41933" s="11"/>
      <c r="U41933" s="9"/>
      <c r="X41933" s="9"/>
    </row>
    <row r="41934">
      <c r="D41934" s="9"/>
      <c r="G41934" s="9"/>
      <c r="J41934" s="11"/>
      <c r="U41934" s="9"/>
      <c r="X41934" s="9"/>
    </row>
    <row r="41935">
      <c r="D41935" s="9"/>
      <c r="G41935" s="9"/>
      <c r="J41935" s="11"/>
      <c r="U41935" s="9"/>
      <c r="X41935" s="9"/>
    </row>
    <row r="41936">
      <c r="D41936" s="9"/>
      <c r="G41936" s="9"/>
      <c r="J41936" s="11"/>
      <c r="U41936" s="9"/>
      <c r="X41936" s="9"/>
    </row>
    <row r="41937">
      <c r="D41937" s="9"/>
      <c r="G41937" s="9"/>
      <c r="J41937" s="11"/>
      <c r="U41937" s="9"/>
      <c r="X41937" s="9"/>
    </row>
    <row r="41938">
      <c r="D41938" s="9"/>
      <c r="G41938" s="9"/>
      <c r="J41938" s="11"/>
      <c r="U41938" s="9"/>
      <c r="X41938" s="9"/>
    </row>
    <row r="41939">
      <c r="D41939" s="9"/>
      <c r="G41939" s="9"/>
      <c r="J41939" s="11"/>
      <c r="U41939" s="9"/>
      <c r="X41939" s="9"/>
    </row>
    <row r="41940">
      <c r="D41940" s="9"/>
      <c r="G41940" s="9"/>
      <c r="J41940" s="11"/>
      <c r="U41940" s="9"/>
      <c r="X41940" s="9"/>
    </row>
    <row r="41941">
      <c r="D41941" s="9"/>
      <c r="G41941" s="9"/>
      <c r="J41941" s="11"/>
      <c r="U41941" s="9"/>
      <c r="X41941" s="9"/>
    </row>
    <row r="41942">
      <c r="D41942" s="9"/>
      <c r="G41942" s="9"/>
      <c r="J41942" s="11"/>
      <c r="U41942" s="9"/>
      <c r="X41942" s="9"/>
    </row>
    <row r="41943">
      <c r="D41943" s="9"/>
      <c r="G41943" s="9"/>
      <c r="J41943" s="11"/>
      <c r="U41943" s="9"/>
      <c r="X41943" s="9"/>
    </row>
    <row r="41944">
      <c r="D41944" s="9"/>
      <c r="G41944" s="9"/>
      <c r="J41944" s="11"/>
      <c r="U41944" s="9"/>
      <c r="X41944" s="9"/>
    </row>
    <row r="41945">
      <c r="D41945" s="9"/>
      <c r="G41945" s="9"/>
      <c r="J41945" s="11"/>
      <c r="U41945" s="9"/>
      <c r="X41945" s="9"/>
    </row>
    <row r="41946">
      <c r="D41946" s="9"/>
      <c r="G41946" s="9"/>
      <c r="J41946" s="11"/>
      <c r="U41946" s="9"/>
      <c r="X41946" s="9"/>
    </row>
    <row r="41947">
      <c r="D41947" s="9"/>
      <c r="G41947" s="9"/>
      <c r="J41947" s="11"/>
      <c r="U41947" s="9"/>
      <c r="X41947" s="9"/>
    </row>
    <row r="41948">
      <c r="D41948" s="9"/>
      <c r="G41948" s="9"/>
      <c r="J41948" s="11"/>
      <c r="U41948" s="9"/>
      <c r="X41948" s="9"/>
    </row>
    <row r="41949">
      <c r="D41949" s="9"/>
      <c r="G41949" s="9"/>
      <c r="J41949" s="11"/>
      <c r="U41949" s="9"/>
      <c r="X41949" s="9"/>
    </row>
    <row r="41950">
      <c r="D41950" s="9"/>
      <c r="G41950" s="9"/>
      <c r="J41950" s="11"/>
      <c r="U41950" s="9"/>
      <c r="X41950" s="9"/>
    </row>
    <row r="41951">
      <c r="D41951" s="9"/>
      <c r="G41951" s="9"/>
      <c r="J41951" s="11"/>
      <c r="U41951" s="9"/>
      <c r="X41951" s="9"/>
    </row>
    <row r="41952">
      <c r="D41952" s="9"/>
      <c r="G41952" s="9"/>
      <c r="J41952" s="11"/>
      <c r="U41952" s="9"/>
      <c r="X41952" s="9"/>
    </row>
    <row r="41953">
      <c r="D41953" s="9"/>
      <c r="G41953" s="9"/>
      <c r="J41953" s="11"/>
      <c r="U41953" s="9"/>
      <c r="X41953" s="9"/>
    </row>
    <row r="41954">
      <c r="D41954" s="9"/>
      <c r="G41954" s="9"/>
      <c r="J41954" s="11"/>
      <c r="U41954" s="9"/>
      <c r="X41954" s="9"/>
    </row>
    <row r="41955">
      <c r="D41955" s="9"/>
      <c r="G41955" s="9"/>
      <c r="J41955" s="11"/>
      <c r="U41955" s="9"/>
      <c r="X41955" s="9"/>
    </row>
    <row r="41956">
      <c r="D41956" s="9"/>
      <c r="G41956" s="9"/>
      <c r="J41956" s="11"/>
      <c r="U41956" s="9"/>
      <c r="X41956" s="9"/>
    </row>
    <row r="41957">
      <c r="D41957" s="9"/>
      <c r="G41957" s="9"/>
      <c r="J41957" s="11"/>
      <c r="U41957" s="9"/>
      <c r="X41957" s="9"/>
    </row>
    <row r="41958">
      <c r="D41958" s="9"/>
      <c r="G41958" s="9"/>
      <c r="J41958" s="11"/>
      <c r="U41958" s="9"/>
      <c r="X41958" s="9"/>
    </row>
    <row r="41959">
      <c r="D41959" s="9"/>
      <c r="G41959" s="9"/>
      <c r="J41959" s="11"/>
      <c r="U41959" s="9"/>
      <c r="X41959" s="9"/>
    </row>
    <row r="41960">
      <c r="D41960" s="9"/>
      <c r="G41960" s="9"/>
      <c r="J41960" s="11"/>
      <c r="U41960" s="9"/>
      <c r="X41960" s="9"/>
    </row>
    <row r="41961">
      <c r="D41961" s="9"/>
      <c r="G41961" s="9"/>
      <c r="J41961" s="11"/>
      <c r="U41961" s="9"/>
      <c r="X41961" s="9"/>
    </row>
    <row r="41962">
      <c r="D41962" s="9"/>
      <c r="G41962" s="9"/>
      <c r="J41962" s="11"/>
      <c r="U41962" s="9"/>
      <c r="X41962" s="9"/>
    </row>
    <row r="41963">
      <c r="D41963" s="9"/>
      <c r="G41963" s="9"/>
      <c r="J41963" s="11"/>
      <c r="U41963" s="9"/>
      <c r="X41963" s="9"/>
    </row>
    <row r="41964">
      <c r="D41964" s="9"/>
      <c r="G41964" s="9"/>
      <c r="J41964" s="11"/>
      <c r="U41964" s="9"/>
      <c r="X41964" s="9"/>
    </row>
    <row r="41965">
      <c r="D41965" s="9"/>
      <c r="G41965" s="9"/>
      <c r="J41965" s="11"/>
      <c r="U41965" s="9"/>
      <c r="X41965" s="9"/>
    </row>
    <row r="41966">
      <c r="D41966" s="9"/>
      <c r="G41966" s="9"/>
      <c r="J41966" s="11"/>
      <c r="U41966" s="9"/>
      <c r="X41966" s="9"/>
    </row>
    <row r="41967">
      <c r="D41967" s="9"/>
      <c r="G41967" s="9"/>
      <c r="J41967" s="11"/>
      <c r="U41967" s="9"/>
      <c r="X41967" s="9"/>
    </row>
    <row r="41968">
      <c r="D41968" s="9"/>
      <c r="G41968" s="9"/>
      <c r="J41968" s="11"/>
      <c r="U41968" s="9"/>
      <c r="X41968" s="9"/>
    </row>
    <row r="41969">
      <c r="D41969" s="9"/>
      <c r="G41969" s="9"/>
      <c r="J41969" s="11"/>
      <c r="U41969" s="9"/>
      <c r="X41969" s="9"/>
    </row>
    <row r="41970">
      <c r="D41970" s="9"/>
      <c r="G41970" s="9"/>
      <c r="J41970" s="11"/>
      <c r="U41970" s="9"/>
      <c r="X41970" s="9"/>
    </row>
    <row r="41971">
      <c r="D41971" s="9"/>
      <c r="G41971" s="9"/>
      <c r="J41971" s="11"/>
      <c r="U41971" s="9"/>
      <c r="X41971" s="9"/>
    </row>
    <row r="41972">
      <c r="D41972" s="9"/>
      <c r="G41972" s="9"/>
      <c r="J41972" s="11"/>
      <c r="U41972" s="9"/>
      <c r="X41972" s="9"/>
    </row>
    <row r="41973">
      <c r="D41973" s="9"/>
      <c r="G41973" s="9"/>
      <c r="J41973" s="11"/>
      <c r="U41973" s="9"/>
      <c r="X41973" s="9"/>
    </row>
    <row r="41974">
      <c r="D41974" s="9"/>
      <c r="G41974" s="9"/>
      <c r="J41974" s="11"/>
      <c r="U41974" s="9"/>
      <c r="X41974" s="9"/>
    </row>
    <row r="41975">
      <c r="D41975" s="9"/>
      <c r="G41975" s="9"/>
      <c r="J41975" s="11"/>
      <c r="U41975" s="9"/>
      <c r="X41975" s="9"/>
    </row>
    <row r="41976">
      <c r="D41976" s="9"/>
      <c r="G41976" s="9"/>
      <c r="J41976" s="11"/>
      <c r="U41976" s="9"/>
      <c r="X41976" s="9"/>
    </row>
    <row r="41977">
      <c r="D41977" s="9"/>
      <c r="G41977" s="9"/>
      <c r="J41977" s="11"/>
      <c r="U41977" s="9"/>
      <c r="X41977" s="9"/>
    </row>
    <row r="41978">
      <c r="D41978" s="9"/>
      <c r="G41978" s="9"/>
      <c r="J41978" s="11"/>
      <c r="U41978" s="9"/>
      <c r="X41978" s="9"/>
    </row>
    <row r="41979">
      <c r="D41979" s="9"/>
      <c r="G41979" s="9"/>
      <c r="J41979" s="11"/>
      <c r="U41979" s="9"/>
      <c r="X41979" s="9"/>
    </row>
    <row r="41980">
      <c r="D41980" s="9"/>
      <c r="G41980" s="9"/>
      <c r="J41980" s="11"/>
      <c r="U41980" s="9"/>
      <c r="X41980" s="9"/>
    </row>
    <row r="41981">
      <c r="D41981" s="9"/>
      <c r="G41981" s="9"/>
      <c r="J41981" s="11"/>
      <c r="U41981" s="9"/>
      <c r="X41981" s="9"/>
    </row>
    <row r="41982">
      <c r="D41982" s="9"/>
      <c r="G41982" s="9"/>
      <c r="J41982" s="11"/>
      <c r="U41982" s="9"/>
      <c r="X41982" s="9"/>
    </row>
    <row r="41983">
      <c r="D41983" s="9"/>
      <c r="G41983" s="9"/>
      <c r="J41983" s="11"/>
      <c r="U41983" s="9"/>
      <c r="X41983" s="9"/>
    </row>
    <row r="41984">
      <c r="D41984" s="9"/>
      <c r="G41984" s="9"/>
      <c r="J41984" s="11"/>
      <c r="U41984" s="9"/>
      <c r="X41984" s="9"/>
    </row>
    <row r="41985">
      <c r="D41985" s="9"/>
      <c r="G41985" s="9"/>
      <c r="J41985" s="11"/>
      <c r="U41985" s="9"/>
      <c r="X41985" s="9"/>
    </row>
    <row r="41986">
      <c r="D41986" s="9"/>
      <c r="G41986" s="9"/>
      <c r="J41986" s="11"/>
      <c r="U41986" s="9"/>
      <c r="X41986" s="9"/>
    </row>
    <row r="41987">
      <c r="D41987" s="9"/>
      <c r="G41987" s="9"/>
      <c r="J41987" s="11"/>
      <c r="U41987" s="9"/>
      <c r="X41987" s="9"/>
    </row>
    <row r="41988">
      <c r="D41988" s="9"/>
      <c r="G41988" s="9"/>
      <c r="J41988" s="11"/>
      <c r="U41988" s="9"/>
      <c r="X41988" s="9"/>
    </row>
    <row r="41989">
      <c r="D41989" s="9"/>
      <c r="G41989" s="9"/>
      <c r="J41989" s="11"/>
      <c r="U41989" s="9"/>
      <c r="X41989" s="9"/>
    </row>
    <row r="41990">
      <c r="D41990" s="9"/>
      <c r="G41990" s="9"/>
      <c r="J41990" s="11"/>
      <c r="U41990" s="9"/>
      <c r="X41990" s="9"/>
    </row>
    <row r="41991">
      <c r="D41991" s="9"/>
      <c r="G41991" s="9"/>
      <c r="J41991" s="11"/>
      <c r="U41991" s="9"/>
      <c r="X41991" s="9"/>
    </row>
    <row r="41992">
      <c r="D41992" s="9"/>
      <c r="G41992" s="9"/>
      <c r="J41992" s="11"/>
      <c r="U41992" s="9"/>
      <c r="X41992" s="9"/>
    </row>
    <row r="41993">
      <c r="D41993" s="9"/>
      <c r="G41993" s="9"/>
      <c r="J41993" s="11"/>
      <c r="U41993" s="9"/>
      <c r="X41993" s="9"/>
    </row>
    <row r="41994">
      <c r="D41994" s="9"/>
      <c r="G41994" s="9"/>
      <c r="J41994" s="11"/>
      <c r="U41994" s="9"/>
      <c r="X41994" s="9"/>
    </row>
    <row r="41995">
      <c r="D41995" s="9"/>
      <c r="G41995" s="9"/>
      <c r="J41995" s="11"/>
      <c r="U41995" s="9"/>
      <c r="X41995" s="9"/>
    </row>
    <row r="41996">
      <c r="D41996" s="9"/>
      <c r="G41996" s="9"/>
      <c r="J41996" s="11"/>
      <c r="U41996" s="9"/>
      <c r="X41996" s="9"/>
    </row>
    <row r="41997">
      <c r="D41997" s="9"/>
      <c r="G41997" s="9"/>
      <c r="J41997" s="11"/>
      <c r="U41997" s="9"/>
      <c r="X41997" s="9"/>
    </row>
    <row r="41998">
      <c r="D41998" s="9"/>
      <c r="G41998" s="9"/>
      <c r="J41998" s="11"/>
      <c r="U41998" s="9"/>
      <c r="X41998" s="9"/>
    </row>
    <row r="41999">
      <c r="D41999" s="9"/>
      <c r="G41999" s="9"/>
      <c r="J41999" s="11"/>
      <c r="U41999" s="9"/>
      <c r="X41999" s="9"/>
    </row>
    <row r="42000">
      <c r="D42000" s="9"/>
      <c r="G42000" s="9"/>
      <c r="J42000" s="11"/>
      <c r="U42000" s="9"/>
      <c r="X42000" s="9"/>
    </row>
    <row r="42001">
      <c r="D42001" s="9"/>
      <c r="G42001" s="9"/>
      <c r="J42001" s="11"/>
      <c r="U42001" s="9"/>
      <c r="X42001" s="9"/>
    </row>
    <row r="42002">
      <c r="D42002" s="9"/>
      <c r="G42002" s="9"/>
      <c r="J42002" s="11"/>
      <c r="U42002" s="9"/>
      <c r="X42002" s="9"/>
    </row>
    <row r="42003">
      <c r="D42003" s="9"/>
      <c r="G42003" s="9"/>
      <c r="J42003" s="11"/>
      <c r="U42003" s="9"/>
      <c r="X42003" s="9"/>
    </row>
    <row r="42004">
      <c r="D42004" s="9"/>
      <c r="G42004" s="9"/>
      <c r="J42004" s="11"/>
      <c r="U42004" s="9"/>
      <c r="X42004" s="9"/>
    </row>
    <row r="42005">
      <c r="D42005" s="9"/>
      <c r="G42005" s="9"/>
      <c r="J42005" s="11"/>
      <c r="U42005" s="9"/>
      <c r="X42005" s="9"/>
    </row>
    <row r="42006">
      <c r="D42006" s="9"/>
      <c r="G42006" s="9"/>
      <c r="J42006" s="11"/>
      <c r="U42006" s="9"/>
      <c r="X42006" s="9"/>
    </row>
    <row r="42007">
      <c r="D42007" s="9"/>
      <c r="G42007" s="9"/>
      <c r="J42007" s="11"/>
      <c r="U42007" s="9"/>
      <c r="X42007" s="9"/>
    </row>
    <row r="42008">
      <c r="D42008" s="9"/>
      <c r="G42008" s="9"/>
      <c r="J42008" s="11"/>
      <c r="U42008" s="9"/>
      <c r="X42008" s="9"/>
    </row>
    <row r="42009">
      <c r="D42009" s="9"/>
      <c r="G42009" s="9"/>
      <c r="J42009" s="11"/>
      <c r="U42009" s="9"/>
      <c r="X42009" s="9"/>
    </row>
    <row r="42010">
      <c r="D42010" s="9"/>
      <c r="G42010" s="9"/>
      <c r="J42010" s="11"/>
      <c r="U42010" s="9"/>
      <c r="X42010" s="9"/>
    </row>
    <row r="42011">
      <c r="D42011" s="9"/>
      <c r="G42011" s="9"/>
      <c r="J42011" s="11"/>
      <c r="U42011" s="9"/>
      <c r="X42011" s="9"/>
    </row>
    <row r="42012">
      <c r="D42012" s="9"/>
      <c r="G42012" s="9"/>
      <c r="J42012" s="11"/>
      <c r="U42012" s="9"/>
      <c r="X42012" s="9"/>
    </row>
    <row r="42013">
      <c r="D42013" s="9"/>
      <c r="G42013" s="9"/>
      <c r="J42013" s="11"/>
      <c r="U42013" s="9"/>
      <c r="X42013" s="9"/>
    </row>
    <row r="42014">
      <c r="D42014" s="9"/>
      <c r="G42014" s="9"/>
      <c r="J42014" s="11"/>
      <c r="U42014" s="9"/>
      <c r="X42014" s="9"/>
    </row>
    <row r="42015">
      <c r="D42015" s="9"/>
      <c r="G42015" s="9"/>
      <c r="J42015" s="11"/>
      <c r="U42015" s="9"/>
      <c r="X42015" s="9"/>
    </row>
    <row r="42016">
      <c r="D42016" s="9"/>
      <c r="G42016" s="9"/>
      <c r="J42016" s="11"/>
      <c r="U42016" s="9"/>
      <c r="X42016" s="9"/>
    </row>
    <row r="42017">
      <c r="D42017" s="9"/>
      <c r="G42017" s="9"/>
      <c r="J42017" s="11"/>
      <c r="U42017" s="9"/>
      <c r="X42017" s="9"/>
    </row>
    <row r="42018">
      <c r="D42018" s="9"/>
      <c r="G42018" s="9"/>
      <c r="J42018" s="11"/>
      <c r="U42018" s="9"/>
      <c r="X42018" s="9"/>
    </row>
    <row r="42019">
      <c r="D42019" s="9"/>
      <c r="G42019" s="9"/>
      <c r="J42019" s="11"/>
      <c r="U42019" s="9"/>
      <c r="X42019" s="9"/>
    </row>
    <row r="42020">
      <c r="D42020" s="9"/>
      <c r="G42020" s="9"/>
      <c r="J42020" s="11"/>
      <c r="U42020" s="9"/>
      <c r="X42020" s="9"/>
    </row>
    <row r="42021">
      <c r="D42021" s="9"/>
      <c r="G42021" s="9"/>
      <c r="J42021" s="11"/>
      <c r="U42021" s="9"/>
      <c r="X42021" s="9"/>
    </row>
    <row r="42022">
      <c r="D42022" s="9"/>
      <c r="G42022" s="9"/>
      <c r="J42022" s="11"/>
      <c r="U42022" s="9"/>
      <c r="X42022" s="9"/>
    </row>
    <row r="42023">
      <c r="D42023" s="9"/>
      <c r="G42023" s="9"/>
      <c r="J42023" s="11"/>
      <c r="U42023" s="9"/>
      <c r="X42023" s="9"/>
    </row>
    <row r="42024">
      <c r="D42024" s="9"/>
      <c r="G42024" s="9"/>
      <c r="J42024" s="11"/>
      <c r="U42024" s="9"/>
      <c r="X42024" s="9"/>
    </row>
    <row r="42025">
      <c r="D42025" s="9"/>
      <c r="G42025" s="9"/>
      <c r="J42025" s="11"/>
      <c r="U42025" s="9"/>
      <c r="X42025" s="9"/>
    </row>
    <row r="42026">
      <c r="D42026" s="9"/>
      <c r="G42026" s="9"/>
      <c r="J42026" s="11"/>
      <c r="U42026" s="9"/>
      <c r="X42026" s="9"/>
    </row>
    <row r="42027">
      <c r="D42027" s="9"/>
      <c r="G42027" s="9"/>
      <c r="J42027" s="11"/>
      <c r="U42027" s="9"/>
      <c r="X42027" s="9"/>
    </row>
    <row r="42028">
      <c r="D42028" s="9"/>
      <c r="G42028" s="9"/>
      <c r="J42028" s="11"/>
      <c r="U42028" s="9"/>
      <c r="X42028" s="9"/>
    </row>
    <row r="42029">
      <c r="D42029" s="9"/>
      <c r="G42029" s="9"/>
      <c r="J42029" s="11"/>
      <c r="U42029" s="9"/>
      <c r="X42029" s="9"/>
    </row>
    <row r="42030">
      <c r="D42030" s="9"/>
      <c r="G42030" s="9"/>
      <c r="J42030" s="11"/>
      <c r="U42030" s="9"/>
      <c r="X42030" s="9"/>
    </row>
    <row r="42031">
      <c r="D42031" s="9"/>
      <c r="G42031" s="9"/>
      <c r="J42031" s="11"/>
      <c r="U42031" s="9"/>
      <c r="X42031" s="9"/>
    </row>
    <row r="42032">
      <c r="D42032" s="9"/>
      <c r="G42032" s="9"/>
      <c r="J42032" s="11"/>
      <c r="U42032" s="9"/>
      <c r="X42032" s="9"/>
    </row>
    <row r="42033">
      <c r="D42033" s="9"/>
      <c r="G42033" s="9"/>
      <c r="J42033" s="11"/>
      <c r="U42033" s="9"/>
      <c r="X42033" s="9"/>
    </row>
    <row r="42034">
      <c r="D42034" s="9"/>
      <c r="G42034" s="9"/>
      <c r="J42034" s="11"/>
      <c r="U42034" s="9"/>
      <c r="X42034" s="9"/>
    </row>
    <row r="42035">
      <c r="D42035" s="9"/>
      <c r="G42035" s="9"/>
      <c r="J42035" s="11"/>
      <c r="U42035" s="9"/>
      <c r="X42035" s="9"/>
    </row>
    <row r="42036">
      <c r="D42036" s="9"/>
      <c r="G42036" s="9"/>
      <c r="J42036" s="11"/>
      <c r="U42036" s="9"/>
      <c r="X42036" s="9"/>
    </row>
    <row r="42037">
      <c r="D42037" s="9"/>
      <c r="G42037" s="9"/>
      <c r="J42037" s="11"/>
      <c r="U42037" s="9"/>
      <c r="X42037" s="9"/>
    </row>
    <row r="42038">
      <c r="D42038" s="9"/>
      <c r="G42038" s="9"/>
      <c r="J42038" s="11"/>
      <c r="U42038" s="9"/>
      <c r="X42038" s="9"/>
    </row>
    <row r="42039">
      <c r="D42039" s="9"/>
      <c r="G42039" s="9"/>
      <c r="J42039" s="11"/>
      <c r="U42039" s="9"/>
      <c r="X42039" s="9"/>
    </row>
    <row r="42040">
      <c r="D42040" s="9"/>
      <c r="G42040" s="9"/>
      <c r="J42040" s="11"/>
      <c r="U42040" s="9"/>
      <c r="X42040" s="9"/>
    </row>
    <row r="42041">
      <c r="D42041" s="9"/>
      <c r="G42041" s="9"/>
      <c r="J42041" s="11"/>
      <c r="U42041" s="9"/>
      <c r="X42041" s="9"/>
    </row>
    <row r="42042">
      <c r="D42042" s="9"/>
      <c r="G42042" s="9"/>
      <c r="J42042" s="11"/>
      <c r="U42042" s="9"/>
      <c r="X42042" s="9"/>
    </row>
    <row r="42043">
      <c r="D42043" s="9"/>
      <c r="G42043" s="9"/>
      <c r="J42043" s="11"/>
      <c r="U42043" s="9"/>
      <c r="X42043" s="9"/>
    </row>
    <row r="42044">
      <c r="D42044" s="9"/>
      <c r="G42044" s="9"/>
      <c r="J42044" s="11"/>
      <c r="U42044" s="9"/>
      <c r="X42044" s="9"/>
    </row>
    <row r="42045">
      <c r="D42045" s="9"/>
      <c r="G42045" s="9"/>
      <c r="J42045" s="11"/>
      <c r="U42045" s="9"/>
      <c r="X42045" s="9"/>
    </row>
    <row r="42046">
      <c r="D42046" s="9"/>
      <c r="G42046" s="9"/>
      <c r="J42046" s="11"/>
      <c r="U42046" s="9"/>
      <c r="X42046" s="9"/>
    </row>
    <row r="42047">
      <c r="D42047" s="9"/>
      <c r="G42047" s="9"/>
      <c r="J42047" s="11"/>
      <c r="U42047" s="9"/>
      <c r="X42047" s="9"/>
    </row>
    <row r="42048">
      <c r="D42048" s="9"/>
      <c r="G42048" s="9"/>
      <c r="J42048" s="11"/>
      <c r="U42048" s="9"/>
      <c r="X42048" s="9"/>
    </row>
    <row r="42049">
      <c r="D42049" s="9"/>
      <c r="G42049" s="9"/>
      <c r="J42049" s="11"/>
      <c r="U42049" s="9"/>
      <c r="X42049" s="9"/>
    </row>
    <row r="42050">
      <c r="D42050" s="9"/>
      <c r="G42050" s="9"/>
      <c r="J42050" s="11"/>
      <c r="U42050" s="9"/>
      <c r="X42050" s="9"/>
    </row>
    <row r="42051">
      <c r="D42051" s="9"/>
      <c r="G42051" s="9"/>
      <c r="J42051" s="11"/>
      <c r="U42051" s="9"/>
      <c r="X42051" s="9"/>
    </row>
    <row r="42052">
      <c r="D42052" s="9"/>
      <c r="G42052" s="9"/>
      <c r="J42052" s="11"/>
      <c r="U42052" s="9"/>
      <c r="X42052" s="9"/>
    </row>
    <row r="42053">
      <c r="D42053" s="9"/>
      <c r="G42053" s="9"/>
      <c r="J42053" s="11"/>
      <c r="U42053" s="9"/>
      <c r="X42053" s="9"/>
    </row>
    <row r="42054">
      <c r="D42054" s="9"/>
      <c r="G42054" s="9"/>
      <c r="J42054" s="11"/>
      <c r="U42054" s="9"/>
      <c r="X42054" s="9"/>
    </row>
    <row r="42055">
      <c r="D42055" s="9"/>
      <c r="G42055" s="9"/>
      <c r="J42055" s="11"/>
      <c r="U42055" s="9"/>
      <c r="X42055" s="9"/>
    </row>
    <row r="42056">
      <c r="D42056" s="9"/>
      <c r="G42056" s="9"/>
      <c r="J42056" s="11"/>
      <c r="U42056" s="9"/>
      <c r="X42056" s="9"/>
    </row>
    <row r="42057">
      <c r="D42057" s="9"/>
      <c r="G42057" s="9"/>
      <c r="J42057" s="11"/>
      <c r="U42057" s="9"/>
      <c r="X42057" s="9"/>
    </row>
    <row r="42058">
      <c r="D42058" s="9"/>
      <c r="G42058" s="9"/>
      <c r="J42058" s="11"/>
      <c r="U42058" s="9"/>
      <c r="X42058" s="9"/>
    </row>
    <row r="42059">
      <c r="D42059" s="9"/>
      <c r="G42059" s="9"/>
      <c r="J42059" s="11"/>
      <c r="U42059" s="9"/>
      <c r="X42059" s="9"/>
    </row>
    <row r="42060">
      <c r="D42060" s="9"/>
      <c r="G42060" s="9"/>
      <c r="J42060" s="11"/>
      <c r="U42060" s="9"/>
      <c r="X42060" s="9"/>
    </row>
    <row r="42061">
      <c r="D42061" s="9"/>
      <c r="G42061" s="9"/>
      <c r="J42061" s="11"/>
      <c r="U42061" s="9"/>
      <c r="X42061" s="9"/>
    </row>
    <row r="42062">
      <c r="D42062" s="9"/>
      <c r="G42062" s="9"/>
      <c r="J42062" s="11"/>
      <c r="U42062" s="9"/>
      <c r="X42062" s="9"/>
    </row>
    <row r="42063">
      <c r="D42063" s="9"/>
      <c r="G42063" s="9"/>
      <c r="J42063" s="11"/>
      <c r="U42063" s="9"/>
      <c r="X42063" s="9"/>
    </row>
    <row r="42064">
      <c r="D42064" s="9"/>
      <c r="G42064" s="9"/>
      <c r="J42064" s="11"/>
      <c r="U42064" s="9"/>
      <c r="X42064" s="9"/>
    </row>
    <row r="42065">
      <c r="D42065" s="9"/>
      <c r="G42065" s="9"/>
      <c r="J42065" s="11"/>
      <c r="U42065" s="9"/>
      <c r="X42065" s="9"/>
    </row>
    <row r="42066">
      <c r="D42066" s="9"/>
      <c r="G42066" s="9"/>
      <c r="J42066" s="11"/>
      <c r="U42066" s="9"/>
      <c r="X42066" s="9"/>
    </row>
    <row r="42067">
      <c r="D42067" s="9"/>
      <c r="G42067" s="9"/>
      <c r="J42067" s="11"/>
      <c r="U42067" s="9"/>
      <c r="X42067" s="9"/>
    </row>
    <row r="42068">
      <c r="D42068" s="9"/>
      <c r="G42068" s="9"/>
      <c r="J42068" s="11"/>
      <c r="U42068" s="9"/>
      <c r="X42068" s="9"/>
    </row>
    <row r="42069">
      <c r="D42069" s="9"/>
      <c r="G42069" s="9"/>
      <c r="J42069" s="11"/>
      <c r="U42069" s="9"/>
      <c r="X42069" s="9"/>
    </row>
    <row r="42070">
      <c r="D42070" s="9"/>
      <c r="G42070" s="9"/>
      <c r="J42070" s="11"/>
      <c r="U42070" s="9"/>
      <c r="X42070" s="9"/>
    </row>
    <row r="42071">
      <c r="D42071" s="9"/>
      <c r="G42071" s="9"/>
      <c r="J42071" s="11"/>
      <c r="U42071" s="9"/>
      <c r="X42071" s="9"/>
    </row>
    <row r="42072">
      <c r="D42072" s="9"/>
      <c r="G42072" s="9"/>
      <c r="J42072" s="11"/>
      <c r="U42072" s="9"/>
      <c r="X42072" s="9"/>
    </row>
    <row r="42073">
      <c r="D42073" s="9"/>
      <c r="G42073" s="9"/>
      <c r="J42073" s="11"/>
      <c r="U42073" s="9"/>
      <c r="X42073" s="9"/>
    </row>
    <row r="42074">
      <c r="D42074" s="9"/>
      <c r="G42074" s="9"/>
      <c r="J42074" s="11"/>
      <c r="U42074" s="9"/>
      <c r="X42074" s="9"/>
    </row>
    <row r="42075">
      <c r="D42075" s="9"/>
      <c r="G42075" s="9"/>
      <c r="J42075" s="11"/>
      <c r="U42075" s="9"/>
      <c r="X42075" s="9"/>
    </row>
    <row r="42076">
      <c r="D42076" s="9"/>
      <c r="G42076" s="9"/>
      <c r="J42076" s="11"/>
      <c r="U42076" s="9"/>
      <c r="X42076" s="9"/>
    </row>
    <row r="42077">
      <c r="D42077" s="9"/>
      <c r="G42077" s="9"/>
      <c r="J42077" s="11"/>
      <c r="U42077" s="9"/>
      <c r="X42077" s="9"/>
    </row>
    <row r="42078">
      <c r="D42078" s="9"/>
      <c r="G42078" s="9"/>
      <c r="J42078" s="11"/>
      <c r="U42078" s="9"/>
      <c r="X42078" s="9"/>
    </row>
    <row r="42079">
      <c r="D42079" s="9"/>
      <c r="G42079" s="9"/>
      <c r="J42079" s="11"/>
      <c r="U42079" s="9"/>
      <c r="X42079" s="9"/>
    </row>
    <row r="42080">
      <c r="D42080" s="9"/>
      <c r="G42080" s="9"/>
      <c r="J42080" s="11"/>
      <c r="U42080" s="9"/>
      <c r="X42080" s="9"/>
    </row>
    <row r="42081">
      <c r="D42081" s="9"/>
      <c r="G42081" s="9"/>
      <c r="J42081" s="11"/>
      <c r="U42081" s="9"/>
      <c r="X42081" s="9"/>
    </row>
    <row r="42082">
      <c r="D42082" s="9"/>
      <c r="G42082" s="9"/>
      <c r="J42082" s="11"/>
      <c r="U42082" s="9"/>
      <c r="X42082" s="9"/>
    </row>
    <row r="42083">
      <c r="D42083" s="9"/>
      <c r="G42083" s="9"/>
      <c r="J42083" s="11"/>
      <c r="U42083" s="9"/>
      <c r="X42083" s="9"/>
    </row>
    <row r="42084">
      <c r="D42084" s="9"/>
      <c r="G42084" s="9"/>
      <c r="J42084" s="11"/>
      <c r="U42084" s="9"/>
      <c r="X42084" s="9"/>
    </row>
    <row r="42085">
      <c r="D42085" s="9"/>
      <c r="G42085" s="9"/>
      <c r="J42085" s="11"/>
      <c r="U42085" s="9"/>
      <c r="X42085" s="9"/>
    </row>
    <row r="42086">
      <c r="D42086" s="9"/>
      <c r="G42086" s="9"/>
      <c r="J42086" s="11"/>
      <c r="U42086" s="9"/>
      <c r="X42086" s="9"/>
    </row>
    <row r="42087">
      <c r="D42087" s="9"/>
      <c r="G42087" s="9"/>
      <c r="J42087" s="11"/>
      <c r="U42087" s="9"/>
      <c r="X42087" s="9"/>
    </row>
    <row r="42088">
      <c r="D42088" s="9"/>
      <c r="G42088" s="9"/>
      <c r="J42088" s="11"/>
      <c r="U42088" s="9"/>
      <c r="X42088" s="9"/>
    </row>
    <row r="42089">
      <c r="D42089" s="9"/>
      <c r="G42089" s="9"/>
      <c r="J42089" s="11"/>
      <c r="U42089" s="9"/>
      <c r="X42089" s="9"/>
    </row>
    <row r="42090">
      <c r="D42090" s="9"/>
      <c r="G42090" s="9"/>
      <c r="J42090" s="11"/>
      <c r="U42090" s="9"/>
      <c r="X42090" s="9"/>
    </row>
    <row r="42091">
      <c r="D42091" s="9"/>
      <c r="G42091" s="9"/>
      <c r="J42091" s="11"/>
      <c r="U42091" s="9"/>
      <c r="X42091" s="9"/>
    </row>
    <row r="42092">
      <c r="D42092" s="9"/>
      <c r="G42092" s="9"/>
      <c r="J42092" s="11"/>
      <c r="U42092" s="9"/>
      <c r="X42092" s="9"/>
    </row>
    <row r="42093">
      <c r="D42093" s="9"/>
      <c r="G42093" s="9"/>
      <c r="J42093" s="11"/>
      <c r="U42093" s="9"/>
      <c r="X42093" s="9"/>
    </row>
    <row r="42094">
      <c r="D42094" s="9"/>
      <c r="G42094" s="9"/>
      <c r="J42094" s="11"/>
      <c r="U42094" s="9"/>
      <c r="X42094" s="9"/>
    </row>
    <row r="42095">
      <c r="D42095" s="9"/>
      <c r="G42095" s="9"/>
      <c r="J42095" s="11"/>
      <c r="U42095" s="9"/>
      <c r="X42095" s="9"/>
    </row>
    <row r="42096">
      <c r="D42096" s="9"/>
      <c r="G42096" s="9"/>
      <c r="J42096" s="11"/>
      <c r="U42096" s="9"/>
      <c r="X42096" s="9"/>
    </row>
    <row r="42097">
      <c r="D42097" s="9"/>
      <c r="G42097" s="9"/>
      <c r="J42097" s="11"/>
      <c r="U42097" s="9"/>
      <c r="X42097" s="9"/>
    </row>
    <row r="42098">
      <c r="D42098" s="9"/>
      <c r="G42098" s="9"/>
      <c r="J42098" s="11"/>
      <c r="U42098" s="9"/>
      <c r="X42098" s="9"/>
    </row>
    <row r="42099">
      <c r="D42099" s="9"/>
      <c r="G42099" s="9"/>
      <c r="J42099" s="11"/>
      <c r="U42099" s="9"/>
      <c r="X42099" s="9"/>
    </row>
    <row r="42100">
      <c r="D42100" s="9"/>
      <c r="G42100" s="9"/>
      <c r="J42100" s="11"/>
      <c r="U42100" s="9"/>
      <c r="X42100" s="9"/>
    </row>
    <row r="42101">
      <c r="D42101" s="9"/>
      <c r="G42101" s="9"/>
      <c r="J42101" s="11"/>
      <c r="U42101" s="9"/>
      <c r="X42101" s="9"/>
    </row>
    <row r="42102">
      <c r="D42102" s="9"/>
      <c r="G42102" s="9"/>
      <c r="J42102" s="11"/>
      <c r="U42102" s="9"/>
      <c r="X42102" s="9"/>
    </row>
    <row r="42103">
      <c r="D42103" s="9"/>
      <c r="G42103" s="9"/>
      <c r="J42103" s="11"/>
      <c r="U42103" s="9"/>
      <c r="X42103" s="9"/>
    </row>
    <row r="42104">
      <c r="D42104" s="9"/>
      <c r="G42104" s="9"/>
      <c r="J42104" s="11"/>
      <c r="U42104" s="9"/>
      <c r="X42104" s="9"/>
    </row>
    <row r="42105">
      <c r="D42105" s="9"/>
      <c r="G42105" s="9"/>
      <c r="J42105" s="11"/>
      <c r="U42105" s="9"/>
      <c r="X42105" s="9"/>
    </row>
    <row r="42106">
      <c r="D42106" s="9"/>
      <c r="G42106" s="9"/>
      <c r="J42106" s="11"/>
      <c r="U42106" s="9"/>
      <c r="X42106" s="9"/>
    </row>
    <row r="42107">
      <c r="D42107" s="9"/>
      <c r="G42107" s="9"/>
      <c r="J42107" s="11"/>
      <c r="U42107" s="9"/>
      <c r="X42107" s="9"/>
    </row>
    <row r="42108">
      <c r="D42108" s="9"/>
      <c r="G42108" s="9"/>
      <c r="J42108" s="11"/>
      <c r="U42108" s="9"/>
      <c r="X42108" s="9"/>
    </row>
    <row r="42109">
      <c r="D42109" s="9"/>
      <c r="G42109" s="9"/>
      <c r="J42109" s="11"/>
      <c r="U42109" s="9"/>
      <c r="X42109" s="9"/>
    </row>
    <row r="42110">
      <c r="D42110" s="9"/>
      <c r="G42110" s="9"/>
      <c r="J42110" s="11"/>
      <c r="U42110" s="9"/>
      <c r="X42110" s="9"/>
    </row>
    <row r="42111">
      <c r="D42111" s="9"/>
      <c r="G42111" s="9"/>
      <c r="J42111" s="11"/>
      <c r="U42111" s="9"/>
      <c r="X42111" s="9"/>
    </row>
    <row r="42112">
      <c r="D42112" s="9"/>
      <c r="G42112" s="9"/>
      <c r="J42112" s="11"/>
      <c r="U42112" s="9"/>
      <c r="X42112" s="9"/>
    </row>
    <row r="42113">
      <c r="D42113" s="9"/>
      <c r="G42113" s="9"/>
      <c r="J42113" s="11"/>
      <c r="U42113" s="9"/>
      <c r="X42113" s="9"/>
    </row>
    <row r="42114">
      <c r="D42114" s="9"/>
      <c r="G42114" s="9"/>
      <c r="J42114" s="11"/>
      <c r="U42114" s="9"/>
      <c r="X42114" s="9"/>
    </row>
    <row r="42115">
      <c r="D42115" s="9"/>
      <c r="G42115" s="9"/>
      <c r="J42115" s="11"/>
      <c r="U42115" s="9"/>
      <c r="X42115" s="9"/>
    </row>
    <row r="42116">
      <c r="D42116" s="9"/>
      <c r="G42116" s="9"/>
      <c r="J42116" s="11"/>
      <c r="U42116" s="9"/>
      <c r="X42116" s="9"/>
    </row>
    <row r="42117">
      <c r="D42117" s="9"/>
      <c r="G42117" s="9"/>
      <c r="J42117" s="11"/>
      <c r="U42117" s="9"/>
      <c r="X42117" s="9"/>
    </row>
    <row r="42118">
      <c r="D42118" s="9"/>
      <c r="G42118" s="9"/>
      <c r="J42118" s="11"/>
      <c r="U42118" s="9"/>
      <c r="X42118" s="9"/>
    </row>
    <row r="42119">
      <c r="D42119" s="9"/>
      <c r="G42119" s="9"/>
      <c r="J42119" s="11"/>
      <c r="U42119" s="9"/>
      <c r="X42119" s="9"/>
    </row>
    <row r="42120">
      <c r="D42120" s="9"/>
      <c r="G42120" s="9"/>
      <c r="J42120" s="11"/>
      <c r="U42120" s="9"/>
      <c r="X42120" s="9"/>
    </row>
    <row r="42121">
      <c r="D42121" s="9"/>
      <c r="G42121" s="9"/>
      <c r="J42121" s="11"/>
      <c r="U42121" s="9"/>
      <c r="X42121" s="9"/>
    </row>
    <row r="42122">
      <c r="D42122" s="9"/>
      <c r="G42122" s="9"/>
      <c r="J42122" s="11"/>
      <c r="U42122" s="9"/>
      <c r="X42122" s="9"/>
    </row>
    <row r="42123">
      <c r="D42123" s="9"/>
      <c r="G42123" s="9"/>
      <c r="J42123" s="11"/>
      <c r="U42123" s="9"/>
      <c r="X42123" s="9"/>
    </row>
    <row r="42124">
      <c r="D42124" s="9"/>
      <c r="G42124" s="9"/>
      <c r="J42124" s="11"/>
      <c r="U42124" s="9"/>
      <c r="X42124" s="9"/>
    </row>
    <row r="42125">
      <c r="D42125" s="9"/>
      <c r="G42125" s="9"/>
      <c r="J42125" s="11"/>
      <c r="U42125" s="9"/>
      <c r="X42125" s="9"/>
    </row>
    <row r="42126">
      <c r="D42126" s="9"/>
      <c r="G42126" s="9"/>
      <c r="J42126" s="11"/>
      <c r="U42126" s="9"/>
      <c r="X42126" s="9"/>
    </row>
    <row r="42127">
      <c r="D42127" s="9"/>
      <c r="G42127" s="9"/>
      <c r="J42127" s="11"/>
      <c r="U42127" s="9"/>
      <c r="X42127" s="9"/>
    </row>
    <row r="42128">
      <c r="D42128" s="9"/>
      <c r="G42128" s="9"/>
      <c r="J42128" s="11"/>
      <c r="U42128" s="9"/>
      <c r="X42128" s="9"/>
    </row>
    <row r="42129">
      <c r="D42129" s="9"/>
      <c r="G42129" s="9"/>
      <c r="J42129" s="11"/>
      <c r="U42129" s="9"/>
      <c r="X42129" s="9"/>
    </row>
    <row r="42130">
      <c r="D42130" s="9"/>
      <c r="G42130" s="9"/>
      <c r="J42130" s="11"/>
      <c r="U42130" s="9"/>
      <c r="X42130" s="9"/>
    </row>
    <row r="42131">
      <c r="D42131" s="9"/>
      <c r="G42131" s="9"/>
      <c r="J42131" s="11"/>
      <c r="U42131" s="9"/>
      <c r="X42131" s="9"/>
    </row>
    <row r="42132">
      <c r="D42132" s="9"/>
      <c r="G42132" s="9"/>
      <c r="J42132" s="11"/>
      <c r="U42132" s="9"/>
      <c r="X42132" s="9"/>
    </row>
    <row r="42133">
      <c r="D42133" s="9"/>
      <c r="G42133" s="9"/>
      <c r="J42133" s="11"/>
      <c r="U42133" s="9"/>
      <c r="X42133" s="9"/>
    </row>
    <row r="42134">
      <c r="D42134" s="9"/>
      <c r="G42134" s="9"/>
      <c r="J42134" s="11"/>
      <c r="U42134" s="9"/>
      <c r="X42134" s="9"/>
    </row>
    <row r="42135">
      <c r="D42135" s="9"/>
      <c r="G42135" s="9"/>
      <c r="J42135" s="11"/>
      <c r="U42135" s="9"/>
      <c r="X42135" s="9"/>
    </row>
    <row r="42136">
      <c r="D42136" s="9"/>
      <c r="G42136" s="9"/>
      <c r="J42136" s="11"/>
      <c r="U42136" s="9"/>
      <c r="X42136" s="9"/>
    </row>
    <row r="42137">
      <c r="D42137" s="9"/>
      <c r="G42137" s="9"/>
      <c r="J42137" s="11"/>
      <c r="U42137" s="9"/>
      <c r="X42137" s="9"/>
    </row>
    <row r="42138">
      <c r="D42138" s="9"/>
      <c r="G42138" s="9"/>
      <c r="J42138" s="11"/>
      <c r="U42138" s="9"/>
      <c r="X42138" s="9"/>
    </row>
    <row r="42139">
      <c r="D42139" s="9"/>
      <c r="G42139" s="9"/>
      <c r="J42139" s="11"/>
      <c r="U42139" s="9"/>
      <c r="X42139" s="9"/>
    </row>
    <row r="42140">
      <c r="D42140" s="9"/>
      <c r="G42140" s="9"/>
      <c r="J42140" s="11"/>
      <c r="U42140" s="9"/>
      <c r="X42140" s="9"/>
    </row>
    <row r="42141">
      <c r="D42141" s="9"/>
      <c r="G42141" s="9"/>
      <c r="J42141" s="11"/>
      <c r="U42141" s="9"/>
      <c r="X42141" s="9"/>
    </row>
    <row r="42142">
      <c r="D42142" s="9"/>
      <c r="G42142" s="9"/>
      <c r="J42142" s="11"/>
      <c r="U42142" s="9"/>
      <c r="X42142" s="9"/>
    </row>
    <row r="42143">
      <c r="D42143" s="9"/>
      <c r="G42143" s="9"/>
      <c r="J42143" s="11"/>
      <c r="U42143" s="9"/>
      <c r="X42143" s="9"/>
    </row>
    <row r="42144">
      <c r="D42144" s="9"/>
      <c r="G42144" s="9"/>
      <c r="J42144" s="11"/>
      <c r="U42144" s="9"/>
      <c r="X42144" s="9"/>
    </row>
    <row r="42145">
      <c r="D42145" s="9"/>
      <c r="G42145" s="9"/>
      <c r="J42145" s="11"/>
      <c r="U42145" s="9"/>
      <c r="X42145" s="9"/>
    </row>
    <row r="42146">
      <c r="D42146" s="9"/>
      <c r="G42146" s="9"/>
      <c r="J42146" s="11"/>
      <c r="U42146" s="9"/>
      <c r="X42146" s="9"/>
    </row>
    <row r="42147">
      <c r="D42147" s="9"/>
      <c r="G42147" s="9"/>
      <c r="J42147" s="11"/>
      <c r="U42147" s="9"/>
      <c r="X42147" s="9"/>
    </row>
    <row r="42148">
      <c r="D42148" s="9"/>
      <c r="G42148" s="9"/>
      <c r="J42148" s="11"/>
      <c r="U42148" s="9"/>
      <c r="X42148" s="9"/>
    </row>
    <row r="42149">
      <c r="D42149" s="9"/>
      <c r="G42149" s="9"/>
      <c r="J42149" s="11"/>
      <c r="U42149" s="9"/>
      <c r="X42149" s="9"/>
    </row>
    <row r="42150">
      <c r="D42150" s="9"/>
      <c r="G42150" s="9"/>
      <c r="J42150" s="11"/>
      <c r="U42150" s="9"/>
      <c r="X42150" s="9"/>
    </row>
    <row r="42151">
      <c r="D42151" s="9"/>
      <c r="G42151" s="9"/>
      <c r="J42151" s="11"/>
      <c r="U42151" s="9"/>
      <c r="X42151" s="9"/>
    </row>
    <row r="42152">
      <c r="D42152" s="9"/>
      <c r="G42152" s="9"/>
      <c r="J42152" s="11"/>
      <c r="U42152" s="9"/>
      <c r="X42152" s="9"/>
    </row>
    <row r="42153">
      <c r="D42153" s="9"/>
      <c r="G42153" s="9"/>
      <c r="J42153" s="11"/>
      <c r="U42153" s="9"/>
      <c r="X42153" s="9"/>
    </row>
    <row r="42154">
      <c r="D42154" s="9"/>
      <c r="G42154" s="9"/>
      <c r="J42154" s="11"/>
      <c r="U42154" s="9"/>
      <c r="X42154" s="9"/>
    </row>
    <row r="42155">
      <c r="D42155" s="9"/>
      <c r="G42155" s="9"/>
      <c r="J42155" s="11"/>
      <c r="U42155" s="9"/>
      <c r="X42155" s="9"/>
    </row>
    <row r="42156">
      <c r="D42156" s="9"/>
      <c r="G42156" s="9"/>
      <c r="J42156" s="11"/>
      <c r="U42156" s="9"/>
      <c r="X42156" s="9"/>
    </row>
    <row r="42157">
      <c r="D42157" s="9"/>
      <c r="G42157" s="9"/>
      <c r="J42157" s="11"/>
      <c r="U42157" s="9"/>
      <c r="X42157" s="9"/>
    </row>
    <row r="42158">
      <c r="D42158" s="9"/>
      <c r="G42158" s="9"/>
      <c r="J42158" s="11"/>
      <c r="U42158" s="9"/>
      <c r="X42158" s="9"/>
    </row>
    <row r="42159">
      <c r="D42159" s="9"/>
      <c r="G42159" s="9"/>
      <c r="J42159" s="11"/>
      <c r="U42159" s="9"/>
      <c r="X42159" s="9"/>
    </row>
    <row r="42160">
      <c r="D42160" s="9"/>
      <c r="G42160" s="9"/>
      <c r="J42160" s="11"/>
      <c r="U42160" s="9"/>
      <c r="X42160" s="9"/>
    </row>
    <row r="42161">
      <c r="D42161" s="9"/>
      <c r="G42161" s="9"/>
      <c r="J42161" s="11"/>
      <c r="U42161" s="9"/>
      <c r="X42161" s="9"/>
    </row>
    <row r="42162">
      <c r="D42162" s="9"/>
      <c r="G42162" s="9"/>
      <c r="J42162" s="11"/>
      <c r="U42162" s="9"/>
      <c r="X42162" s="9"/>
    </row>
    <row r="42163">
      <c r="D42163" s="9"/>
      <c r="G42163" s="9"/>
      <c r="J42163" s="11"/>
      <c r="U42163" s="9"/>
      <c r="X42163" s="9"/>
    </row>
    <row r="42164">
      <c r="D42164" s="9"/>
      <c r="G42164" s="9"/>
      <c r="J42164" s="11"/>
      <c r="U42164" s="9"/>
      <c r="X42164" s="9"/>
    </row>
    <row r="42165">
      <c r="D42165" s="9"/>
      <c r="G42165" s="9"/>
      <c r="J42165" s="11"/>
      <c r="U42165" s="9"/>
      <c r="X42165" s="9"/>
    </row>
    <row r="42166">
      <c r="D42166" s="9"/>
      <c r="G42166" s="9"/>
      <c r="J42166" s="11"/>
      <c r="U42166" s="9"/>
      <c r="X42166" s="9"/>
    </row>
    <row r="42167">
      <c r="D42167" s="9"/>
      <c r="G42167" s="9"/>
      <c r="J42167" s="11"/>
      <c r="U42167" s="9"/>
      <c r="X42167" s="9"/>
    </row>
    <row r="42168">
      <c r="D42168" s="9"/>
      <c r="G42168" s="9"/>
      <c r="J42168" s="11"/>
      <c r="U42168" s="9"/>
      <c r="X42168" s="9"/>
    </row>
    <row r="42169">
      <c r="D42169" s="9"/>
      <c r="G42169" s="9"/>
      <c r="J42169" s="11"/>
      <c r="U42169" s="9"/>
      <c r="X42169" s="9"/>
    </row>
    <row r="42170">
      <c r="D42170" s="9"/>
      <c r="G42170" s="9"/>
      <c r="J42170" s="11"/>
      <c r="U42170" s="9"/>
      <c r="X42170" s="9"/>
    </row>
    <row r="42171">
      <c r="D42171" s="9"/>
      <c r="G42171" s="9"/>
      <c r="J42171" s="11"/>
      <c r="U42171" s="9"/>
      <c r="X42171" s="9"/>
    </row>
    <row r="42172">
      <c r="D42172" s="9"/>
      <c r="G42172" s="9"/>
      <c r="J42172" s="11"/>
      <c r="U42172" s="9"/>
      <c r="X42172" s="9"/>
    </row>
    <row r="42173">
      <c r="D42173" s="9"/>
      <c r="G42173" s="9"/>
      <c r="J42173" s="11"/>
      <c r="U42173" s="9"/>
      <c r="X42173" s="9"/>
    </row>
    <row r="42174">
      <c r="D42174" s="9"/>
      <c r="G42174" s="9"/>
      <c r="J42174" s="11"/>
      <c r="U42174" s="9"/>
      <c r="X42174" s="9"/>
    </row>
    <row r="42175">
      <c r="D42175" s="9"/>
      <c r="G42175" s="9"/>
      <c r="J42175" s="11"/>
      <c r="U42175" s="9"/>
      <c r="X42175" s="9"/>
    </row>
    <row r="42176">
      <c r="D42176" s="9"/>
      <c r="G42176" s="9"/>
      <c r="J42176" s="11"/>
      <c r="U42176" s="9"/>
      <c r="X42176" s="9"/>
    </row>
    <row r="42177">
      <c r="D42177" s="9"/>
      <c r="G42177" s="9"/>
      <c r="J42177" s="11"/>
      <c r="U42177" s="9"/>
      <c r="X42177" s="9"/>
    </row>
    <row r="42178">
      <c r="D42178" s="9"/>
      <c r="G42178" s="9"/>
      <c r="J42178" s="11"/>
      <c r="U42178" s="9"/>
      <c r="X42178" s="9"/>
    </row>
    <row r="42179">
      <c r="D42179" s="9"/>
      <c r="G42179" s="9"/>
      <c r="J42179" s="11"/>
      <c r="U42179" s="9"/>
      <c r="X42179" s="9"/>
    </row>
    <row r="42180">
      <c r="D42180" s="9"/>
      <c r="G42180" s="9"/>
      <c r="J42180" s="11"/>
      <c r="U42180" s="9"/>
      <c r="X42180" s="9"/>
    </row>
    <row r="42181">
      <c r="D42181" s="9"/>
      <c r="G42181" s="9"/>
      <c r="J42181" s="11"/>
      <c r="U42181" s="9"/>
      <c r="X42181" s="9"/>
    </row>
    <row r="42182">
      <c r="D42182" s="9"/>
      <c r="G42182" s="9"/>
      <c r="J42182" s="11"/>
      <c r="U42182" s="9"/>
      <c r="X42182" s="9"/>
    </row>
    <row r="42183">
      <c r="D42183" s="9"/>
      <c r="G42183" s="9"/>
      <c r="J42183" s="11"/>
      <c r="U42183" s="9"/>
      <c r="X42183" s="9"/>
    </row>
    <row r="42184">
      <c r="D42184" s="9"/>
      <c r="G42184" s="9"/>
      <c r="J42184" s="11"/>
      <c r="U42184" s="9"/>
      <c r="X42184" s="9"/>
    </row>
    <row r="42185">
      <c r="D42185" s="9"/>
      <c r="G42185" s="9"/>
      <c r="J42185" s="11"/>
      <c r="U42185" s="9"/>
      <c r="X42185" s="9"/>
    </row>
    <row r="42186">
      <c r="D42186" s="9"/>
      <c r="G42186" s="9"/>
      <c r="J42186" s="11"/>
      <c r="U42186" s="9"/>
      <c r="X42186" s="9"/>
    </row>
    <row r="42187">
      <c r="D42187" s="9"/>
      <c r="G42187" s="9"/>
      <c r="J42187" s="11"/>
      <c r="U42187" s="9"/>
      <c r="X42187" s="9"/>
    </row>
    <row r="42188">
      <c r="D42188" s="9"/>
      <c r="G42188" s="9"/>
      <c r="J42188" s="11"/>
      <c r="U42188" s="9"/>
      <c r="X42188" s="9"/>
    </row>
    <row r="42189">
      <c r="D42189" s="9"/>
      <c r="G42189" s="9"/>
      <c r="J42189" s="11"/>
      <c r="U42189" s="9"/>
      <c r="X42189" s="9"/>
    </row>
    <row r="42190">
      <c r="D42190" s="9"/>
      <c r="G42190" s="9"/>
      <c r="J42190" s="11"/>
      <c r="U42190" s="9"/>
      <c r="X42190" s="9"/>
    </row>
    <row r="42191">
      <c r="D42191" s="9"/>
      <c r="G42191" s="9"/>
      <c r="J42191" s="11"/>
      <c r="U42191" s="9"/>
      <c r="X42191" s="9"/>
    </row>
    <row r="42192">
      <c r="D42192" s="9"/>
      <c r="G42192" s="9"/>
      <c r="J42192" s="11"/>
      <c r="U42192" s="9"/>
      <c r="X42192" s="9"/>
    </row>
    <row r="42193">
      <c r="D42193" s="9"/>
      <c r="G42193" s="9"/>
      <c r="J42193" s="11"/>
      <c r="U42193" s="9"/>
      <c r="X42193" s="9"/>
    </row>
    <row r="42194">
      <c r="D42194" s="9"/>
      <c r="G42194" s="9"/>
      <c r="J42194" s="11"/>
      <c r="U42194" s="9"/>
      <c r="X42194" s="9"/>
    </row>
    <row r="42195">
      <c r="D42195" s="9"/>
      <c r="G42195" s="9"/>
      <c r="J42195" s="11"/>
      <c r="U42195" s="9"/>
      <c r="X42195" s="9"/>
    </row>
    <row r="42196">
      <c r="D42196" s="9"/>
      <c r="G42196" s="9"/>
      <c r="J42196" s="11"/>
      <c r="U42196" s="9"/>
      <c r="X42196" s="9"/>
    </row>
    <row r="42197">
      <c r="D42197" s="9"/>
      <c r="G42197" s="9"/>
      <c r="J42197" s="11"/>
      <c r="U42197" s="9"/>
      <c r="X42197" s="9"/>
    </row>
    <row r="42198">
      <c r="D42198" s="9"/>
      <c r="G42198" s="9"/>
      <c r="J42198" s="11"/>
      <c r="U42198" s="9"/>
      <c r="X42198" s="9"/>
    </row>
    <row r="42199">
      <c r="D42199" s="9"/>
      <c r="G42199" s="9"/>
      <c r="J42199" s="11"/>
      <c r="U42199" s="9"/>
      <c r="X42199" s="9"/>
    </row>
    <row r="42200">
      <c r="D42200" s="9"/>
      <c r="G42200" s="9"/>
      <c r="J42200" s="11"/>
      <c r="U42200" s="9"/>
      <c r="X42200" s="9"/>
    </row>
    <row r="42201">
      <c r="D42201" s="9"/>
      <c r="G42201" s="9"/>
      <c r="J42201" s="11"/>
      <c r="U42201" s="9"/>
      <c r="X42201" s="9"/>
    </row>
    <row r="42202">
      <c r="D42202" s="9"/>
      <c r="G42202" s="9"/>
      <c r="J42202" s="11"/>
      <c r="U42202" s="9"/>
      <c r="X42202" s="9"/>
    </row>
    <row r="42203">
      <c r="D42203" s="9"/>
      <c r="G42203" s="9"/>
      <c r="J42203" s="11"/>
      <c r="U42203" s="9"/>
      <c r="X42203" s="9"/>
    </row>
    <row r="42204">
      <c r="D42204" s="9"/>
      <c r="G42204" s="9"/>
      <c r="J42204" s="11"/>
      <c r="U42204" s="9"/>
      <c r="X42204" s="9"/>
    </row>
    <row r="42205">
      <c r="D42205" s="9"/>
      <c r="G42205" s="9"/>
      <c r="J42205" s="11"/>
      <c r="U42205" s="9"/>
      <c r="X42205" s="9"/>
    </row>
    <row r="42206">
      <c r="D42206" s="9"/>
      <c r="G42206" s="9"/>
      <c r="J42206" s="11"/>
      <c r="U42206" s="9"/>
      <c r="X42206" s="9"/>
    </row>
    <row r="42207">
      <c r="D42207" s="9"/>
      <c r="G42207" s="9"/>
      <c r="J42207" s="11"/>
      <c r="U42207" s="9"/>
      <c r="X42207" s="9"/>
    </row>
    <row r="42208">
      <c r="D42208" s="9"/>
      <c r="G42208" s="9"/>
      <c r="J42208" s="11"/>
      <c r="U42208" s="9"/>
      <c r="X42208" s="9"/>
    </row>
    <row r="42209">
      <c r="D42209" s="9"/>
      <c r="G42209" s="9"/>
      <c r="J42209" s="11"/>
      <c r="U42209" s="9"/>
      <c r="X42209" s="9"/>
    </row>
    <row r="42210">
      <c r="D42210" s="9"/>
      <c r="G42210" s="9"/>
      <c r="J42210" s="11"/>
      <c r="U42210" s="9"/>
      <c r="X42210" s="9"/>
    </row>
    <row r="42211">
      <c r="D42211" s="9"/>
      <c r="G42211" s="9"/>
      <c r="J42211" s="11"/>
      <c r="U42211" s="9"/>
      <c r="X42211" s="9"/>
    </row>
    <row r="42212">
      <c r="D42212" s="9"/>
      <c r="G42212" s="9"/>
      <c r="J42212" s="11"/>
      <c r="U42212" s="9"/>
      <c r="X42212" s="9"/>
    </row>
    <row r="42213">
      <c r="D42213" s="9"/>
      <c r="G42213" s="9"/>
      <c r="J42213" s="11"/>
      <c r="U42213" s="9"/>
      <c r="X42213" s="9"/>
    </row>
    <row r="42214">
      <c r="D42214" s="9"/>
      <c r="G42214" s="9"/>
      <c r="J42214" s="11"/>
      <c r="U42214" s="9"/>
      <c r="X42214" s="9"/>
    </row>
    <row r="42215">
      <c r="D42215" s="9"/>
      <c r="G42215" s="9"/>
      <c r="J42215" s="11"/>
      <c r="U42215" s="9"/>
      <c r="X42215" s="9"/>
    </row>
    <row r="42216">
      <c r="D42216" s="9"/>
      <c r="G42216" s="9"/>
      <c r="J42216" s="11"/>
      <c r="U42216" s="9"/>
      <c r="X42216" s="9"/>
    </row>
    <row r="42217">
      <c r="D42217" s="9"/>
      <c r="G42217" s="9"/>
      <c r="J42217" s="11"/>
      <c r="U42217" s="9"/>
      <c r="X42217" s="9"/>
    </row>
    <row r="42218">
      <c r="D42218" s="9"/>
      <c r="G42218" s="9"/>
      <c r="J42218" s="11"/>
      <c r="U42218" s="9"/>
      <c r="X42218" s="9"/>
    </row>
    <row r="42219">
      <c r="D42219" s="9"/>
      <c r="G42219" s="9"/>
      <c r="J42219" s="11"/>
      <c r="U42219" s="9"/>
      <c r="X42219" s="9"/>
    </row>
    <row r="42220">
      <c r="D42220" s="9"/>
      <c r="G42220" s="9"/>
      <c r="J42220" s="11"/>
      <c r="U42220" s="9"/>
      <c r="X42220" s="9"/>
    </row>
    <row r="42221">
      <c r="D42221" s="9"/>
      <c r="G42221" s="9"/>
      <c r="J42221" s="11"/>
      <c r="U42221" s="9"/>
      <c r="X42221" s="9"/>
    </row>
    <row r="42222">
      <c r="D42222" s="9"/>
      <c r="G42222" s="9"/>
      <c r="J42222" s="11"/>
      <c r="U42222" s="9"/>
      <c r="X42222" s="9"/>
    </row>
    <row r="42223">
      <c r="D42223" s="9"/>
      <c r="G42223" s="9"/>
      <c r="J42223" s="11"/>
      <c r="U42223" s="9"/>
      <c r="X42223" s="9"/>
    </row>
    <row r="42224">
      <c r="D42224" s="9"/>
      <c r="G42224" s="9"/>
      <c r="J42224" s="11"/>
      <c r="U42224" s="9"/>
      <c r="X42224" s="9"/>
    </row>
    <row r="42225">
      <c r="D42225" s="9"/>
      <c r="G42225" s="9"/>
      <c r="J42225" s="11"/>
      <c r="U42225" s="9"/>
      <c r="X42225" s="9"/>
    </row>
    <row r="42226">
      <c r="D42226" s="9"/>
      <c r="G42226" s="9"/>
      <c r="J42226" s="11"/>
      <c r="U42226" s="9"/>
      <c r="X42226" s="9"/>
    </row>
    <row r="42227">
      <c r="D42227" s="9"/>
      <c r="G42227" s="9"/>
      <c r="J42227" s="11"/>
      <c r="U42227" s="9"/>
      <c r="X42227" s="9"/>
    </row>
    <row r="42228">
      <c r="D42228" s="9"/>
      <c r="G42228" s="9"/>
      <c r="J42228" s="11"/>
      <c r="U42228" s="9"/>
      <c r="X42228" s="9"/>
    </row>
    <row r="42229">
      <c r="D42229" s="9"/>
      <c r="G42229" s="9"/>
      <c r="J42229" s="11"/>
      <c r="U42229" s="9"/>
      <c r="X42229" s="9"/>
    </row>
    <row r="42230">
      <c r="D42230" s="9"/>
      <c r="G42230" s="9"/>
      <c r="J42230" s="11"/>
      <c r="U42230" s="9"/>
      <c r="X42230" s="9"/>
    </row>
    <row r="42231">
      <c r="D42231" s="9"/>
      <c r="G42231" s="9"/>
      <c r="J42231" s="11"/>
      <c r="U42231" s="9"/>
      <c r="X42231" s="9"/>
    </row>
    <row r="42232">
      <c r="D42232" s="9"/>
      <c r="G42232" s="9"/>
      <c r="J42232" s="11"/>
      <c r="U42232" s="9"/>
      <c r="X42232" s="9"/>
    </row>
    <row r="42233">
      <c r="D42233" s="9"/>
      <c r="G42233" s="9"/>
      <c r="J42233" s="11"/>
      <c r="U42233" s="9"/>
      <c r="X42233" s="9"/>
    </row>
    <row r="42234">
      <c r="D42234" s="9"/>
      <c r="G42234" s="9"/>
      <c r="J42234" s="11"/>
      <c r="U42234" s="9"/>
      <c r="X42234" s="9"/>
    </row>
    <row r="42235">
      <c r="D42235" s="9"/>
      <c r="G42235" s="9"/>
      <c r="J42235" s="11"/>
      <c r="U42235" s="9"/>
      <c r="X42235" s="9"/>
    </row>
    <row r="42236">
      <c r="D42236" s="9"/>
      <c r="G42236" s="9"/>
      <c r="J42236" s="11"/>
      <c r="U42236" s="9"/>
      <c r="X42236" s="9"/>
    </row>
    <row r="42237">
      <c r="D42237" s="9"/>
      <c r="G42237" s="9"/>
      <c r="J42237" s="11"/>
      <c r="U42237" s="9"/>
      <c r="X42237" s="9"/>
    </row>
    <row r="42238">
      <c r="D42238" s="9"/>
      <c r="G42238" s="9"/>
      <c r="J42238" s="11"/>
      <c r="U42238" s="9"/>
      <c r="X42238" s="9"/>
    </row>
    <row r="42239">
      <c r="D42239" s="9"/>
      <c r="G42239" s="9"/>
      <c r="J42239" s="11"/>
      <c r="U42239" s="9"/>
      <c r="X42239" s="9"/>
    </row>
    <row r="42240">
      <c r="D42240" s="9"/>
      <c r="G42240" s="9"/>
      <c r="J42240" s="11"/>
      <c r="U42240" s="9"/>
      <c r="X42240" s="9"/>
    </row>
    <row r="42241">
      <c r="D42241" s="9"/>
      <c r="G42241" s="9"/>
      <c r="J42241" s="11"/>
      <c r="U42241" s="9"/>
      <c r="X42241" s="9"/>
    </row>
    <row r="42242">
      <c r="D42242" s="9"/>
      <c r="G42242" s="9"/>
      <c r="J42242" s="11"/>
      <c r="U42242" s="9"/>
      <c r="X42242" s="9"/>
    </row>
    <row r="42243">
      <c r="D42243" s="9"/>
      <c r="G42243" s="9"/>
      <c r="J42243" s="11"/>
      <c r="U42243" s="9"/>
      <c r="X42243" s="9"/>
    </row>
    <row r="42244">
      <c r="D42244" s="9"/>
      <c r="G42244" s="9"/>
      <c r="J42244" s="11"/>
      <c r="U42244" s="9"/>
      <c r="X42244" s="9"/>
    </row>
    <row r="42245">
      <c r="D42245" s="9"/>
      <c r="G42245" s="9"/>
      <c r="J42245" s="11"/>
      <c r="U42245" s="9"/>
      <c r="X42245" s="9"/>
    </row>
    <row r="42246">
      <c r="D42246" s="9"/>
      <c r="G42246" s="9"/>
      <c r="J42246" s="11"/>
      <c r="U42246" s="9"/>
      <c r="X42246" s="9"/>
    </row>
    <row r="42247">
      <c r="D42247" s="9"/>
      <c r="G42247" s="9"/>
      <c r="J42247" s="11"/>
      <c r="U42247" s="9"/>
      <c r="X42247" s="9"/>
    </row>
    <row r="42248">
      <c r="D42248" s="9"/>
      <c r="G42248" s="9"/>
      <c r="J42248" s="11"/>
      <c r="U42248" s="9"/>
      <c r="X42248" s="9"/>
    </row>
    <row r="42249">
      <c r="D42249" s="9"/>
      <c r="G42249" s="9"/>
      <c r="J42249" s="11"/>
      <c r="U42249" s="9"/>
      <c r="X42249" s="9"/>
    </row>
    <row r="42250">
      <c r="D42250" s="9"/>
      <c r="G42250" s="9"/>
      <c r="J42250" s="11"/>
      <c r="U42250" s="9"/>
      <c r="X42250" s="9"/>
    </row>
    <row r="42251">
      <c r="D42251" s="9"/>
      <c r="G42251" s="9"/>
      <c r="J42251" s="11"/>
      <c r="U42251" s="9"/>
      <c r="X42251" s="9"/>
    </row>
    <row r="42252">
      <c r="D42252" s="9"/>
      <c r="G42252" s="9"/>
      <c r="J42252" s="11"/>
      <c r="U42252" s="9"/>
      <c r="X42252" s="9"/>
    </row>
    <row r="42253">
      <c r="D42253" s="9"/>
      <c r="G42253" s="9"/>
      <c r="J42253" s="11"/>
      <c r="U42253" s="9"/>
      <c r="X42253" s="9"/>
    </row>
    <row r="42254">
      <c r="D42254" s="9"/>
      <c r="G42254" s="9"/>
      <c r="J42254" s="11"/>
      <c r="U42254" s="9"/>
      <c r="X42254" s="9"/>
    </row>
    <row r="42255">
      <c r="D42255" s="9"/>
      <c r="G42255" s="9"/>
      <c r="J42255" s="11"/>
      <c r="U42255" s="9"/>
      <c r="X42255" s="9"/>
    </row>
    <row r="42256">
      <c r="D42256" s="9"/>
      <c r="G42256" s="9"/>
      <c r="J42256" s="11"/>
      <c r="U42256" s="9"/>
      <c r="X42256" s="9"/>
    </row>
    <row r="42257">
      <c r="D42257" s="9"/>
      <c r="G42257" s="9"/>
      <c r="J42257" s="11"/>
      <c r="U42257" s="9"/>
      <c r="X42257" s="9"/>
    </row>
    <row r="42258">
      <c r="D42258" s="9"/>
      <c r="G42258" s="9"/>
      <c r="J42258" s="11"/>
      <c r="U42258" s="9"/>
      <c r="X42258" s="9"/>
    </row>
    <row r="42259">
      <c r="D42259" s="9"/>
      <c r="G42259" s="9"/>
      <c r="J42259" s="11"/>
      <c r="U42259" s="9"/>
      <c r="X42259" s="9"/>
    </row>
    <row r="42260">
      <c r="D42260" s="9"/>
      <c r="G42260" s="9"/>
      <c r="J42260" s="11"/>
      <c r="U42260" s="9"/>
      <c r="X42260" s="9"/>
    </row>
    <row r="42261">
      <c r="D42261" s="9"/>
      <c r="G42261" s="9"/>
      <c r="J42261" s="11"/>
      <c r="U42261" s="9"/>
      <c r="X42261" s="9"/>
    </row>
    <row r="42262">
      <c r="D42262" s="9"/>
      <c r="G42262" s="9"/>
      <c r="J42262" s="11"/>
      <c r="U42262" s="9"/>
      <c r="X42262" s="9"/>
    </row>
    <row r="42263">
      <c r="D42263" s="9"/>
      <c r="G42263" s="9"/>
      <c r="J42263" s="11"/>
      <c r="U42263" s="9"/>
      <c r="X42263" s="9"/>
    </row>
    <row r="42264">
      <c r="D42264" s="9"/>
      <c r="G42264" s="9"/>
      <c r="J42264" s="11"/>
      <c r="U42264" s="9"/>
      <c r="X42264" s="9"/>
    </row>
    <row r="42265">
      <c r="D42265" s="9"/>
      <c r="G42265" s="9"/>
      <c r="J42265" s="11"/>
      <c r="U42265" s="9"/>
      <c r="X42265" s="9"/>
    </row>
    <row r="42266">
      <c r="D42266" s="9"/>
      <c r="G42266" s="9"/>
      <c r="J42266" s="11"/>
      <c r="U42266" s="9"/>
      <c r="X42266" s="9"/>
    </row>
    <row r="42267">
      <c r="D42267" s="9"/>
      <c r="G42267" s="9"/>
      <c r="J42267" s="11"/>
      <c r="U42267" s="9"/>
      <c r="X42267" s="9"/>
    </row>
    <row r="42268">
      <c r="D42268" s="9"/>
      <c r="G42268" s="9"/>
      <c r="J42268" s="11"/>
      <c r="U42268" s="9"/>
      <c r="X42268" s="9"/>
    </row>
    <row r="42269">
      <c r="D42269" s="9"/>
      <c r="G42269" s="9"/>
      <c r="J42269" s="11"/>
      <c r="U42269" s="9"/>
      <c r="X42269" s="9"/>
    </row>
    <row r="42270">
      <c r="D42270" s="9"/>
      <c r="G42270" s="9"/>
      <c r="J42270" s="11"/>
      <c r="U42270" s="9"/>
      <c r="X42270" s="9"/>
    </row>
    <row r="42271">
      <c r="D42271" s="9"/>
      <c r="G42271" s="9"/>
      <c r="J42271" s="11"/>
      <c r="U42271" s="9"/>
      <c r="X42271" s="9"/>
    </row>
    <row r="42272">
      <c r="D42272" s="9"/>
      <c r="G42272" s="9"/>
      <c r="J42272" s="11"/>
      <c r="U42272" s="9"/>
      <c r="X42272" s="9"/>
    </row>
    <row r="42273">
      <c r="D42273" s="9"/>
      <c r="G42273" s="9"/>
      <c r="J42273" s="11"/>
      <c r="U42273" s="9"/>
      <c r="X42273" s="9"/>
    </row>
    <row r="42274">
      <c r="D42274" s="9"/>
      <c r="G42274" s="9"/>
      <c r="J42274" s="11"/>
      <c r="U42274" s="9"/>
      <c r="X42274" s="9"/>
    </row>
    <row r="42275">
      <c r="D42275" s="9"/>
      <c r="G42275" s="9"/>
      <c r="J42275" s="11"/>
      <c r="U42275" s="9"/>
      <c r="X42275" s="9"/>
    </row>
    <row r="42276">
      <c r="D42276" s="9"/>
      <c r="G42276" s="9"/>
      <c r="J42276" s="11"/>
      <c r="U42276" s="9"/>
      <c r="X42276" s="9"/>
    </row>
    <row r="42277">
      <c r="D42277" s="9"/>
      <c r="G42277" s="9"/>
      <c r="J42277" s="11"/>
      <c r="U42277" s="9"/>
      <c r="X42277" s="9"/>
    </row>
    <row r="42278">
      <c r="D42278" s="9"/>
      <c r="G42278" s="9"/>
      <c r="J42278" s="11"/>
      <c r="U42278" s="9"/>
      <c r="X42278" s="9"/>
    </row>
    <row r="42279">
      <c r="D42279" s="9"/>
      <c r="G42279" s="9"/>
      <c r="J42279" s="11"/>
      <c r="U42279" s="9"/>
      <c r="X42279" s="9"/>
    </row>
    <row r="42280">
      <c r="D42280" s="9"/>
      <c r="G42280" s="9"/>
      <c r="J42280" s="11"/>
      <c r="U42280" s="9"/>
      <c r="X42280" s="9"/>
    </row>
    <row r="42281">
      <c r="D42281" s="9"/>
      <c r="G42281" s="9"/>
      <c r="J42281" s="11"/>
      <c r="U42281" s="9"/>
      <c r="X42281" s="9"/>
    </row>
    <row r="42282">
      <c r="D42282" s="9"/>
      <c r="G42282" s="9"/>
      <c r="J42282" s="11"/>
      <c r="U42282" s="9"/>
      <c r="X42282" s="9"/>
    </row>
    <row r="42283">
      <c r="D42283" s="9"/>
      <c r="G42283" s="9"/>
      <c r="J42283" s="11"/>
      <c r="U42283" s="9"/>
      <c r="X42283" s="9"/>
    </row>
    <row r="42284">
      <c r="D42284" s="9"/>
      <c r="G42284" s="9"/>
      <c r="J42284" s="11"/>
      <c r="U42284" s="9"/>
      <c r="X42284" s="9"/>
    </row>
    <row r="42285">
      <c r="D42285" s="9"/>
      <c r="G42285" s="9"/>
      <c r="J42285" s="11"/>
      <c r="U42285" s="9"/>
      <c r="X42285" s="9"/>
    </row>
    <row r="42286">
      <c r="D42286" s="9"/>
      <c r="G42286" s="9"/>
      <c r="J42286" s="11"/>
      <c r="U42286" s="9"/>
      <c r="X42286" s="9"/>
    </row>
    <row r="42287">
      <c r="D42287" s="9"/>
      <c r="G42287" s="9"/>
      <c r="J42287" s="11"/>
      <c r="U42287" s="9"/>
      <c r="X42287" s="9"/>
    </row>
    <row r="42288">
      <c r="D42288" s="9"/>
      <c r="G42288" s="9"/>
      <c r="J42288" s="11"/>
      <c r="U42288" s="9"/>
      <c r="X42288" s="9"/>
    </row>
    <row r="42289">
      <c r="D42289" s="9"/>
      <c r="G42289" s="9"/>
      <c r="J42289" s="11"/>
      <c r="U42289" s="9"/>
      <c r="X42289" s="9"/>
    </row>
    <row r="42290">
      <c r="D42290" s="9"/>
      <c r="G42290" s="9"/>
      <c r="J42290" s="11"/>
      <c r="U42290" s="9"/>
      <c r="X42290" s="9"/>
    </row>
    <row r="42291">
      <c r="D42291" s="9"/>
      <c r="G42291" s="9"/>
      <c r="J42291" s="11"/>
      <c r="U42291" s="9"/>
      <c r="X42291" s="9"/>
    </row>
    <row r="42292">
      <c r="D42292" s="9"/>
      <c r="G42292" s="9"/>
      <c r="J42292" s="11"/>
      <c r="U42292" s="9"/>
      <c r="X42292" s="9"/>
    </row>
    <row r="42293">
      <c r="D42293" s="9"/>
      <c r="G42293" s="9"/>
      <c r="J42293" s="11"/>
      <c r="U42293" s="9"/>
      <c r="X42293" s="9"/>
    </row>
    <row r="42294">
      <c r="D42294" s="9"/>
      <c r="G42294" s="9"/>
      <c r="J42294" s="11"/>
      <c r="U42294" s="9"/>
      <c r="X42294" s="9"/>
    </row>
    <row r="42295">
      <c r="D42295" s="9"/>
      <c r="G42295" s="9"/>
      <c r="J42295" s="11"/>
      <c r="U42295" s="9"/>
      <c r="X42295" s="9"/>
    </row>
    <row r="42296">
      <c r="D42296" s="9"/>
      <c r="G42296" s="9"/>
      <c r="J42296" s="11"/>
      <c r="U42296" s="9"/>
      <c r="X42296" s="9"/>
    </row>
    <row r="42297">
      <c r="D42297" s="9"/>
      <c r="G42297" s="9"/>
      <c r="J42297" s="11"/>
      <c r="U42297" s="9"/>
      <c r="X42297" s="9"/>
    </row>
    <row r="42298">
      <c r="D42298" s="9"/>
      <c r="G42298" s="9"/>
      <c r="J42298" s="11"/>
      <c r="U42298" s="9"/>
      <c r="X42298" s="9"/>
    </row>
    <row r="42299">
      <c r="D42299" s="9"/>
      <c r="G42299" s="9"/>
      <c r="J42299" s="11"/>
      <c r="U42299" s="9"/>
      <c r="X42299" s="9"/>
    </row>
    <row r="42300">
      <c r="D42300" s="9"/>
      <c r="G42300" s="9"/>
      <c r="J42300" s="11"/>
      <c r="U42300" s="9"/>
      <c r="X42300" s="9"/>
    </row>
    <row r="42301">
      <c r="D42301" s="9"/>
      <c r="G42301" s="9"/>
      <c r="J42301" s="11"/>
      <c r="U42301" s="9"/>
      <c r="X42301" s="9"/>
    </row>
    <row r="42302">
      <c r="D42302" s="9"/>
      <c r="G42302" s="9"/>
      <c r="J42302" s="11"/>
      <c r="U42302" s="9"/>
      <c r="X42302" s="9"/>
    </row>
    <row r="42303">
      <c r="D42303" s="9"/>
      <c r="G42303" s="9"/>
      <c r="J42303" s="11"/>
      <c r="U42303" s="9"/>
      <c r="X42303" s="9"/>
    </row>
    <row r="42304">
      <c r="D42304" s="9"/>
      <c r="G42304" s="9"/>
      <c r="J42304" s="11"/>
      <c r="U42304" s="9"/>
      <c r="X42304" s="9"/>
    </row>
    <row r="42305">
      <c r="D42305" s="9"/>
      <c r="G42305" s="9"/>
      <c r="J42305" s="11"/>
      <c r="U42305" s="9"/>
      <c r="X42305" s="9"/>
    </row>
    <row r="42306">
      <c r="D42306" s="9"/>
      <c r="G42306" s="9"/>
      <c r="J42306" s="11"/>
      <c r="U42306" s="9"/>
      <c r="X42306" s="9"/>
    </row>
    <row r="42307">
      <c r="D42307" s="9"/>
      <c r="G42307" s="9"/>
      <c r="J42307" s="11"/>
      <c r="U42307" s="9"/>
      <c r="X42307" s="9"/>
    </row>
    <row r="42308">
      <c r="D42308" s="9"/>
      <c r="G42308" s="9"/>
      <c r="J42308" s="11"/>
      <c r="U42308" s="9"/>
      <c r="X42308" s="9"/>
    </row>
    <row r="42309">
      <c r="D42309" s="9"/>
      <c r="G42309" s="9"/>
      <c r="J42309" s="11"/>
      <c r="U42309" s="9"/>
      <c r="X42309" s="9"/>
    </row>
    <row r="42310">
      <c r="D42310" s="9"/>
      <c r="G42310" s="9"/>
      <c r="J42310" s="11"/>
      <c r="U42310" s="9"/>
      <c r="X42310" s="9"/>
    </row>
    <row r="42311">
      <c r="D42311" s="9"/>
      <c r="G42311" s="9"/>
      <c r="J42311" s="11"/>
      <c r="U42311" s="9"/>
      <c r="X42311" s="9"/>
    </row>
    <row r="42312">
      <c r="D42312" s="9"/>
      <c r="G42312" s="9"/>
      <c r="J42312" s="11"/>
      <c r="U42312" s="9"/>
      <c r="X42312" s="9"/>
    </row>
    <row r="42313">
      <c r="D42313" s="9"/>
      <c r="G42313" s="9"/>
      <c r="J42313" s="11"/>
      <c r="U42313" s="9"/>
      <c r="X42313" s="9"/>
    </row>
    <row r="42314">
      <c r="D42314" s="9"/>
      <c r="G42314" s="9"/>
      <c r="J42314" s="11"/>
      <c r="U42314" s="9"/>
      <c r="X42314" s="9"/>
    </row>
    <row r="42315">
      <c r="D42315" s="9"/>
      <c r="G42315" s="9"/>
      <c r="J42315" s="11"/>
      <c r="U42315" s="9"/>
      <c r="X42315" s="9"/>
    </row>
    <row r="42316">
      <c r="D42316" s="9"/>
      <c r="G42316" s="9"/>
      <c r="J42316" s="11"/>
      <c r="U42316" s="9"/>
      <c r="X42316" s="9"/>
    </row>
    <row r="42317">
      <c r="D42317" s="9"/>
      <c r="G42317" s="9"/>
      <c r="J42317" s="11"/>
      <c r="U42317" s="9"/>
      <c r="X42317" s="9"/>
    </row>
    <row r="42318">
      <c r="D42318" s="9"/>
      <c r="G42318" s="9"/>
      <c r="J42318" s="11"/>
      <c r="U42318" s="9"/>
      <c r="X42318" s="9"/>
    </row>
    <row r="42319">
      <c r="D42319" s="9"/>
      <c r="G42319" s="9"/>
      <c r="J42319" s="11"/>
      <c r="U42319" s="9"/>
      <c r="X42319" s="9"/>
    </row>
    <row r="42320">
      <c r="D42320" s="9"/>
      <c r="G42320" s="9"/>
      <c r="J42320" s="11"/>
      <c r="U42320" s="9"/>
      <c r="X42320" s="9"/>
    </row>
    <row r="42321">
      <c r="D42321" s="9"/>
      <c r="G42321" s="9"/>
      <c r="J42321" s="11"/>
      <c r="U42321" s="9"/>
      <c r="X42321" s="9"/>
    </row>
    <row r="42322">
      <c r="D42322" s="9"/>
      <c r="G42322" s="9"/>
      <c r="J42322" s="11"/>
      <c r="U42322" s="9"/>
      <c r="X42322" s="9"/>
    </row>
    <row r="42323">
      <c r="D42323" s="9"/>
      <c r="G42323" s="9"/>
      <c r="J42323" s="11"/>
      <c r="U42323" s="9"/>
      <c r="X42323" s="9"/>
    </row>
    <row r="42324">
      <c r="D42324" s="9"/>
      <c r="G42324" s="9"/>
      <c r="J42324" s="11"/>
      <c r="U42324" s="9"/>
      <c r="X42324" s="9"/>
    </row>
    <row r="42325">
      <c r="D42325" s="9"/>
      <c r="G42325" s="9"/>
      <c r="J42325" s="11"/>
      <c r="U42325" s="9"/>
      <c r="X42325" s="9"/>
    </row>
    <row r="42326">
      <c r="D42326" s="9"/>
      <c r="G42326" s="9"/>
      <c r="J42326" s="11"/>
      <c r="U42326" s="9"/>
      <c r="X42326" s="9"/>
    </row>
    <row r="42327">
      <c r="D42327" s="9"/>
      <c r="G42327" s="9"/>
      <c r="J42327" s="11"/>
      <c r="U42327" s="9"/>
      <c r="X42327" s="9"/>
    </row>
    <row r="42328">
      <c r="D42328" s="9"/>
      <c r="G42328" s="9"/>
      <c r="J42328" s="11"/>
      <c r="U42328" s="9"/>
      <c r="X42328" s="9"/>
    </row>
    <row r="42329">
      <c r="D42329" s="9"/>
      <c r="G42329" s="9"/>
      <c r="J42329" s="11"/>
      <c r="U42329" s="9"/>
      <c r="X42329" s="9"/>
    </row>
    <row r="42330">
      <c r="D42330" s="9"/>
      <c r="G42330" s="9"/>
      <c r="J42330" s="11"/>
      <c r="U42330" s="9"/>
      <c r="X42330" s="9"/>
    </row>
    <row r="42331">
      <c r="D42331" s="9"/>
      <c r="G42331" s="9"/>
      <c r="J42331" s="11"/>
      <c r="U42331" s="9"/>
      <c r="X42331" s="9"/>
    </row>
    <row r="42332">
      <c r="D42332" s="9"/>
      <c r="G42332" s="9"/>
      <c r="J42332" s="11"/>
      <c r="U42332" s="9"/>
      <c r="X42332" s="9"/>
    </row>
    <row r="42333">
      <c r="D42333" s="9"/>
      <c r="G42333" s="9"/>
      <c r="J42333" s="11"/>
      <c r="U42333" s="9"/>
      <c r="X42333" s="9"/>
    </row>
    <row r="42334">
      <c r="D42334" s="9"/>
      <c r="G42334" s="9"/>
      <c r="J42334" s="11"/>
      <c r="U42334" s="9"/>
      <c r="X42334" s="9"/>
    </row>
    <row r="42335">
      <c r="D42335" s="9"/>
      <c r="G42335" s="9"/>
      <c r="J42335" s="11"/>
      <c r="U42335" s="9"/>
      <c r="X42335" s="9"/>
    </row>
    <row r="42336">
      <c r="D42336" s="9"/>
      <c r="G42336" s="9"/>
      <c r="J42336" s="11"/>
      <c r="U42336" s="9"/>
      <c r="X42336" s="9"/>
    </row>
    <row r="42337">
      <c r="D42337" s="9"/>
      <c r="G42337" s="9"/>
      <c r="J42337" s="11"/>
      <c r="U42337" s="9"/>
      <c r="X42337" s="9"/>
    </row>
    <row r="42338">
      <c r="D42338" s="9"/>
      <c r="G42338" s="9"/>
      <c r="J42338" s="11"/>
      <c r="U42338" s="9"/>
      <c r="X42338" s="9"/>
    </row>
    <row r="42339">
      <c r="D42339" s="9"/>
      <c r="G42339" s="9"/>
      <c r="J42339" s="11"/>
      <c r="U42339" s="9"/>
      <c r="X42339" s="9"/>
    </row>
    <row r="42340">
      <c r="D42340" s="9"/>
      <c r="G42340" s="9"/>
      <c r="J42340" s="11"/>
      <c r="U42340" s="9"/>
      <c r="X42340" s="9"/>
    </row>
    <row r="42341">
      <c r="D42341" s="9"/>
      <c r="G42341" s="9"/>
      <c r="J42341" s="11"/>
      <c r="U42341" s="9"/>
      <c r="X42341" s="9"/>
    </row>
    <row r="42342">
      <c r="D42342" s="9"/>
      <c r="G42342" s="9"/>
      <c r="J42342" s="11"/>
      <c r="U42342" s="9"/>
      <c r="X42342" s="9"/>
    </row>
    <row r="42343">
      <c r="D42343" s="9"/>
      <c r="G42343" s="9"/>
      <c r="J42343" s="11"/>
      <c r="U42343" s="9"/>
      <c r="X42343" s="9"/>
    </row>
    <row r="42344">
      <c r="D42344" s="9"/>
      <c r="G42344" s="9"/>
      <c r="J42344" s="11"/>
      <c r="U42344" s="9"/>
      <c r="X42344" s="9"/>
    </row>
    <row r="42345">
      <c r="D42345" s="9"/>
      <c r="G42345" s="9"/>
      <c r="J42345" s="11"/>
      <c r="U42345" s="9"/>
      <c r="X42345" s="9"/>
    </row>
    <row r="42346">
      <c r="D42346" s="9"/>
      <c r="G42346" s="9"/>
      <c r="J42346" s="11"/>
      <c r="U42346" s="9"/>
      <c r="X42346" s="9"/>
    </row>
    <row r="42347">
      <c r="D42347" s="9"/>
      <c r="G42347" s="9"/>
      <c r="J42347" s="11"/>
      <c r="U42347" s="9"/>
      <c r="X42347" s="9"/>
    </row>
    <row r="42348">
      <c r="D42348" s="9"/>
      <c r="G42348" s="9"/>
      <c r="J42348" s="11"/>
      <c r="U42348" s="9"/>
      <c r="X42348" s="9"/>
    </row>
    <row r="42349">
      <c r="D42349" s="9"/>
      <c r="G42349" s="9"/>
      <c r="J42349" s="11"/>
      <c r="U42349" s="9"/>
      <c r="X42349" s="9"/>
    </row>
    <row r="42350">
      <c r="D42350" s="9"/>
      <c r="G42350" s="9"/>
      <c r="J42350" s="11"/>
      <c r="U42350" s="9"/>
      <c r="X42350" s="9"/>
    </row>
    <row r="42351">
      <c r="D42351" s="9"/>
      <c r="G42351" s="9"/>
      <c r="J42351" s="11"/>
      <c r="U42351" s="9"/>
      <c r="X42351" s="9"/>
    </row>
    <row r="42352">
      <c r="D42352" s="9"/>
      <c r="G42352" s="9"/>
      <c r="J42352" s="11"/>
      <c r="U42352" s="9"/>
      <c r="X42352" s="9"/>
    </row>
    <row r="42353">
      <c r="D42353" s="9"/>
      <c r="G42353" s="9"/>
      <c r="J42353" s="11"/>
      <c r="U42353" s="9"/>
      <c r="X42353" s="9"/>
    </row>
    <row r="42354">
      <c r="D42354" s="9"/>
      <c r="G42354" s="9"/>
      <c r="J42354" s="11"/>
      <c r="U42354" s="9"/>
      <c r="X42354" s="9"/>
    </row>
    <row r="42355">
      <c r="D42355" s="9"/>
      <c r="G42355" s="9"/>
      <c r="J42355" s="11"/>
      <c r="U42355" s="9"/>
      <c r="X42355" s="9"/>
    </row>
    <row r="42356">
      <c r="D42356" s="9"/>
      <c r="G42356" s="9"/>
      <c r="J42356" s="11"/>
      <c r="U42356" s="9"/>
      <c r="X42356" s="9"/>
    </row>
    <row r="42357">
      <c r="D42357" s="9"/>
      <c r="G42357" s="9"/>
      <c r="J42357" s="11"/>
      <c r="U42357" s="9"/>
      <c r="X42357" s="9"/>
    </row>
    <row r="42358">
      <c r="D42358" s="9"/>
      <c r="G42358" s="9"/>
      <c r="J42358" s="11"/>
      <c r="U42358" s="9"/>
      <c r="X42358" s="9"/>
    </row>
    <row r="42359">
      <c r="D42359" s="9"/>
      <c r="G42359" s="9"/>
      <c r="J42359" s="11"/>
      <c r="U42359" s="9"/>
      <c r="X42359" s="9"/>
    </row>
    <row r="42360">
      <c r="D42360" s="9"/>
      <c r="G42360" s="9"/>
      <c r="J42360" s="11"/>
      <c r="U42360" s="9"/>
      <c r="X42360" s="9"/>
    </row>
    <row r="42361">
      <c r="D42361" s="9"/>
      <c r="G42361" s="9"/>
      <c r="J42361" s="11"/>
      <c r="U42361" s="9"/>
      <c r="X42361" s="9"/>
    </row>
    <row r="42362">
      <c r="D42362" s="9"/>
      <c r="G42362" s="9"/>
      <c r="J42362" s="11"/>
      <c r="U42362" s="9"/>
      <c r="X42362" s="9"/>
    </row>
    <row r="42363">
      <c r="D42363" s="9"/>
      <c r="G42363" s="9"/>
      <c r="J42363" s="11"/>
      <c r="U42363" s="9"/>
      <c r="X42363" s="9"/>
    </row>
    <row r="42364">
      <c r="D42364" s="9"/>
      <c r="G42364" s="9"/>
      <c r="J42364" s="11"/>
      <c r="U42364" s="9"/>
      <c r="X42364" s="9"/>
    </row>
    <row r="42365">
      <c r="D42365" s="9"/>
      <c r="G42365" s="9"/>
      <c r="J42365" s="11"/>
      <c r="U42365" s="9"/>
      <c r="X42365" s="9"/>
    </row>
    <row r="42366">
      <c r="D42366" s="9"/>
      <c r="G42366" s="9"/>
      <c r="J42366" s="11"/>
      <c r="U42366" s="9"/>
      <c r="X42366" s="9"/>
    </row>
    <row r="42367">
      <c r="D42367" s="9"/>
      <c r="G42367" s="9"/>
      <c r="J42367" s="11"/>
      <c r="U42367" s="9"/>
      <c r="X42367" s="9"/>
    </row>
    <row r="42368">
      <c r="D42368" s="9"/>
      <c r="G42368" s="9"/>
      <c r="J42368" s="11"/>
      <c r="U42368" s="9"/>
      <c r="X42368" s="9"/>
    </row>
    <row r="42369">
      <c r="D42369" s="9"/>
      <c r="G42369" s="9"/>
      <c r="J42369" s="11"/>
      <c r="U42369" s="9"/>
      <c r="X42369" s="9"/>
    </row>
    <row r="42370">
      <c r="D42370" s="9"/>
      <c r="G42370" s="9"/>
      <c r="J42370" s="11"/>
      <c r="U42370" s="9"/>
      <c r="X42370" s="9"/>
    </row>
    <row r="42371">
      <c r="D42371" s="9"/>
      <c r="G42371" s="9"/>
      <c r="J42371" s="11"/>
      <c r="U42371" s="9"/>
      <c r="X42371" s="9"/>
    </row>
    <row r="42372">
      <c r="D42372" s="9"/>
      <c r="G42372" s="9"/>
      <c r="J42372" s="11"/>
      <c r="U42372" s="9"/>
      <c r="X42372" s="9"/>
    </row>
    <row r="42373">
      <c r="D42373" s="9"/>
      <c r="G42373" s="9"/>
      <c r="J42373" s="11"/>
      <c r="U42373" s="9"/>
      <c r="X42373" s="9"/>
    </row>
    <row r="42374">
      <c r="D42374" s="9"/>
      <c r="G42374" s="9"/>
      <c r="J42374" s="11"/>
      <c r="U42374" s="9"/>
      <c r="X42374" s="9"/>
    </row>
    <row r="42375">
      <c r="D42375" s="9"/>
      <c r="G42375" s="9"/>
      <c r="J42375" s="11"/>
      <c r="U42375" s="9"/>
      <c r="X42375" s="9"/>
    </row>
    <row r="42376">
      <c r="D42376" s="9"/>
      <c r="G42376" s="9"/>
      <c r="J42376" s="11"/>
      <c r="U42376" s="9"/>
      <c r="X42376" s="9"/>
    </row>
    <row r="42377">
      <c r="D42377" s="9"/>
      <c r="G42377" s="9"/>
      <c r="J42377" s="11"/>
      <c r="U42377" s="9"/>
      <c r="X42377" s="9"/>
    </row>
    <row r="42378">
      <c r="D42378" s="9"/>
      <c r="G42378" s="9"/>
      <c r="J42378" s="11"/>
      <c r="U42378" s="9"/>
      <c r="X42378" s="9"/>
    </row>
    <row r="42379">
      <c r="D42379" s="9"/>
      <c r="G42379" s="9"/>
      <c r="J42379" s="11"/>
      <c r="U42379" s="9"/>
      <c r="X42379" s="9"/>
    </row>
    <row r="42380">
      <c r="D42380" s="9"/>
      <c r="G42380" s="9"/>
      <c r="J42380" s="11"/>
      <c r="U42380" s="9"/>
      <c r="X42380" s="9"/>
    </row>
    <row r="42381">
      <c r="D42381" s="9"/>
      <c r="G42381" s="9"/>
      <c r="J42381" s="11"/>
      <c r="U42381" s="9"/>
      <c r="X42381" s="9"/>
    </row>
    <row r="42382">
      <c r="D42382" s="9"/>
      <c r="G42382" s="9"/>
      <c r="J42382" s="11"/>
      <c r="U42382" s="9"/>
      <c r="X42382" s="9"/>
    </row>
    <row r="42383">
      <c r="D42383" s="9"/>
      <c r="G42383" s="9"/>
      <c r="J42383" s="11"/>
      <c r="U42383" s="9"/>
      <c r="X42383" s="9"/>
    </row>
    <row r="42384">
      <c r="D42384" s="9"/>
      <c r="G42384" s="9"/>
      <c r="J42384" s="11"/>
      <c r="U42384" s="9"/>
      <c r="X42384" s="9"/>
    </row>
    <row r="42385">
      <c r="D42385" s="9"/>
      <c r="G42385" s="9"/>
      <c r="J42385" s="11"/>
      <c r="U42385" s="9"/>
      <c r="X42385" s="9"/>
    </row>
    <row r="42386">
      <c r="D42386" s="9"/>
      <c r="G42386" s="9"/>
      <c r="J42386" s="11"/>
      <c r="U42386" s="9"/>
      <c r="X42386" s="9"/>
    </row>
    <row r="42387">
      <c r="D42387" s="9"/>
      <c r="G42387" s="9"/>
      <c r="J42387" s="11"/>
      <c r="U42387" s="9"/>
      <c r="X42387" s="9"/>
    </row>
    <row r="42388">
      <c r="D42388" s="9"/>
      <c r="G42388" s="9"/>
      <c r="J42388" s="11"/>
      <c r="U42388" s="9"/>
      <c r="X42388" s="9"/>
    </row>
    <row r="42389">
      <c r="D42389" s="9"/>
      <c r="G42389" s="9"/>
      <c r="J42389" s="11"/>
      <c r="U42389" s="9"/>
      <c r="X42389" s="9"/>
    </row>
    <row r="42390">
      <c r="D42390" s="9"/>
      <c r="G42390" s="9"/>
      <c r="J42390" s="11"/>
      <c r="U42390" s="9"/>
      <c r="X42390" s="9"/>
    </row>
    <row r="42391">
      <c r="D42391" s="9"/>
      <c r="G42391" s="9"/>
      <c r="J42391" s="11"/>
      <c r="U42391" s="9"/>
      <c r="X42391" s="9"/>
    </row>
    <row r="42392">
      <c r="D42392" s="9"/>
      <c r="G42392" s="9"/>
      <c r="J42392" s="11"/>
      <c r="U42392" s="9"/>
      <c r="X42392" s="9"/>
    </row>
    <row r="42393">
      <c r="D42393" s="9"/>
      <c r="G42393" s="9"/>
      <c r="J42393" s="11"/>
      <c r="U42393" s="9"/>
      <c r="X42393" s="9"/>
    </row>
    <row r="42394">
      <c r="D42394" s="9"/>
      <c r="G42394" s="9"/>
      <c r="J42394" s="11"/>
      <c r="U42394" s="9"/>
      <c r="X42394" s="9"/>
    </row>
    <row r="42395">
      <c r="D42395" s="9"/>
      <c r="G42395" s="9"/>
      <c r="J42395" s="11"/>
      <c r="U42395" s="9"/>
      <c r="X42395" s="9"/>
    </row>
    <row r="42396">
      <c r="D42396" s="9"/>
      <c r="G42396" s="9"/>
      <c r="J42396" s="11"/>
      <c r="U42396" s="9"/>
      <c r="X42396" s="9"/>
    </row>
    <row r="42397">
      <c r="D42397" s="9"/>
      <c r="G42397" s="9"/>
      <c r="J42397" s="11"/>
      <c r="U42397" s="9"/>
      <c r="X42397" s="9"/>
    </row>
    <row r="42398">
      <c r="D42398" s="9"/>
      <c r="G42398" s="9"/>
      <c r="J42398" s="11"/>
      <c r="U42398" s="9"/>
      <c r="X42398" s="9"/>
    </row>
    <row r="42399">
      <c r="D42399" s="9"/>
      <c r="G42399" s="9"/>
      <c r="J42399" s="11"/>
      <c r="U42399" s="9"/>
      <c r="X42399" s="9"/>
    </row>
    <row r="42400">
      <c r="D42400" s="9"/>
      <c r="G42400" s="9"/>
      <c r="J42400" s="11"/>
      <c r="U42400" s="9"/>
      <c r="X42400" s="9"/>
    </row>
    <row r="42401">
      <c r="D42401" s="9"/>
      <c r="G42401" s="9"/>
      <c r="J42401" s="11"/>
      <c r="U42401" s="9"/>
      <c r="X42401" s="9"/>
    </row>
    <row r="42402">
      <c r="D42402" s="9"/>
      <c r="G42402" s="9"/>
      <c r="J42402" s="11"/>
      <c r="U42402" s="9"/>
      <c r="X42402" s="9"/>
    </row>
    <row r="42403">
      <c r="D42403" s="9"/>
      <c r="G42403" s="9"/>
      <c r="J42403" s="11"/>
      <c r="U42403" s="9"/>
      <c r="X42403" s="9"/>
    </row>
    <row r="42404">
      <c r="D42404" s="9"/>
      <c r="G42404" s="9"/>
      <c r="J42404" s="11"/>
      <c r="U42404" s="9"/>
      <c r="X42404" s="9"/>
    </row>
    <row r="42405">
      <c r="D42405" s="9"/>
      <c r="G42405" s="9"/>
      <c r="J42405" s="11"/>
      <c r="U42405" s="9"/>
      <c r="X42405" s="9"/>
    </row>
    <row r="42406">
      <c r="D42406" s="9"/>
      <c r="G42406" s="9"/>
      <c r="J42406" s="11"/>
      <c r="U42406" s="9"/>
      <c r="X42406" s="9"/>
    </row>
    <row r="42407">
      <c r="D42407" s="9"/>
      <c r="G42407" s="9"/>
      <c r="J42407" s="11"/>
      <c r="U42407" s="9"/>
      <c r="X42407" s="9"/>
    </row>
    <row r="42408">
      <c r="D42408" s="9"/>
      <c r="G42408" s="9"/>
      <c r="J42408" s="11"/>
      <c r="U42408" s="9"/>
      <c r="X42408" s="9"/>
    </row>
    <row r="42409">
      <c r="D42409" s="9"/>
      <c r="G42409" s="9"/>
      <c r="J42409" s="11"/>
      <c r="U42409" s="9"/>
      <c r="X42409" s="9"/>
    </row>
    <row r="42410">
      <c r="D42410" s="9"/>
      <c r="G42410" s="9"/>
      <c r="J42410" s="11"/>
      <c r="U42410" s="9"/>
      <c r="X42410" s="9"/>
    </row>
    <row r="42411">
      <c r="D42411" s="9"/>
      <c r="G42411" s="9"/>
      <c r="J42411" s="11"/>
      <c r="U42411" s="9"/>
      <c r="X42411" s="9"/>
    </row>
    <row r="42412">
      <c r="D42412" s="9"/>
      <c r="G42412" s="9"/>
      <c r="J42412" s="11"/>
      <c r="U42412" s="9"/>
      <c r="X42412" s="9"/>
    </row>
    <row r="42413">
      <c r="D42413" s="9"/>
      <c r="G42413" s="9"/>
      <c r="J42413" s="11"/>
      <c r="U42413" s="9"/>
      <c r="X42413" s="9"/>
    </row>
    <row r="42414">
      <c r="D42414" s="9"/>
      <c r="G42414" s="9"/>
      <c r="J42414" s="11"/>
      <c r="U42414" s="9"/>
      <c r="X42414" s="9"/>
    </row>
    <row r="42415">
      <c r="D42415" s="9"/>
      <c r="G42415" s="9"/>
      <c r="J42415" s="11"/>
      <c r="U42415" s="9"/>
      <c r="X42415" s="9"/>
    </row>
    <row r="42416">
      <c r="D42416" s="9"/>
      <c r="G42416" s="9"/>
      <c r="J42416" s="11"/>
      <c r="U42416" s="9"/>
      <c r="X42416" s="9"/>
    </row>
    <row r="42417">
      <c r="D42417" s="9"/>
      <c r="G42417" s="9"/>
      <c r="J42417" s="11"/>
      <c r="U42417" s="9"/>
      <c r="X42417" s="9"/>
    </row>
    <row r="42418">
      <c r="D42418" s="9"/>
      <c r="G42418" s="9"/>
      <c r="J42418" s="11"/>
      <c r="U42418" s="9"/>
      <c r="X42418" s="9"/>
    </row>
    <row r="42419">
      <c r="D42419" s="9"/>
      <c r="G42419" s="9"/>
      <c r="J42419" s="11"/>
      <c r="U42419" s="9"/>
      <c r="X42419" s="9"/>
    </row>
    <row r="42420">
      <c r="D42420" s="9"/>
      <c r="G42420" s="9"/>
      <c r="J42420" s="11"/>
      <c r="U42420" s="9"/>
      <c r="X42420" s="9"/>
    </row>
    <row r="42421">
      <c r="D42421" s="9"/>
      <c r="G42421" s="9"/>
      <c r="J42421" s="11"/>
      <c r="U42421" s="9"/>
      <c r="X42421" s="9"/>
    </row>
    <row r="42422">
      <c r="D42422" s="9"/>
      <c r="G42422" s="9"/>
      <c r="J42422" s="11"/>
      <c r="U42422" s="9"/>
      <c r="X42422" s="9"/>
    </row>
    <row r="42423">
      <c r="D42423" s="9"/>
      <c r="G42423" s="9"/>
      <c r="J42423" s="11"/>
      <c r="U42423" s="9"/>
      <c r="X42423" s="9"/>
    </row>
    <row r="42424">
      <c r="D42424" s="9"/>
      <c r="G42424" s="9"/>
      <c r="J42424" s="11"/>
      <c r="U42424" s="9"/>
      <c r="X42424" s="9"/>
    </row>
    <row r="42425">
      <c r="D42425" s="9"/>
      <c r="G42425" s="9"/>
      <c r="J42425" s="11"/>
      <c r="U42425" s="9"/>
      <c r="X42425" s="9"/>
    </row>
    <row r="42426">
      <c r="D42426" s="9"/>
      <c r="G42426" s="9"/>
      <c r="J42426" s="11"/>
      <c r="U42426" s="9"/>
      <c r="X42426" s="9"/>
    </row>
    <row r="42427">
      <c r="D42427" s="9"/>
      <c r="G42427" s="9"/>
      <c r="J42427" s="11"/>
      <c r="U42427" s="9"/>
      <c r="X42427" s="9"/>
    </row>
    <row r="42428">
      <c r="D42428" s="9"/>
      <c r="G42428" s="9"/>
      <c r="J42428" s="11"/>
      <c r="U42428" s="9"/>
      <c r="X42428" s="9"/>
    </row>
    <row r="42429">
      <c r="D42429" s="9"/>
      <c r="G42429" s="9"/>
      <c r="J42429" s="11"/>
      <c r="U42429" s="9"/>
      <c r="X42429" s="9"/>
    </row>
    <row r="42430">
      <c r="D42430" s="9"/>
      <c r="G42430" s="9"/>
      <c r="J42430" s="11"/>
      <c r="U42430" s="9"/>
      <c r="X42430" s="9"/>
    </row>
    <row r="42431">
      <c r="D42431" s="9"/>
      <c r="G42431" s="9"/>
      <c r="J42431" s="11"/>
      <c r="U42431" s="9"/>
      <c r="X42431" s="9"/>
    </row>
    <row r="42432">
      <c r="D42432" s="9"/>
      <c r="G42432" s="9"/>
      <c r="J42432" s="11"/>
      <c r="U42432" s="9"/>
      <c r="X42432" s="9"/>
    </row>
    <row r="42433">
      <c r="D42433" s="9"/>
      <c r="G42433" s="9"/>
      <c r="J42433" s="11"/>
      <c r="U42433" s="9"/>
      <c r="X42433" s="9"/>
    </row>
    <row r="42434">
      <c r="D42434" s="9"/>
      <c r="G42434" s="9"/>
      <c r="J42434" s="11"/>
      <c r="U42434" s="9"/>
      <c r="X42434" s="9"/>
    </row>
    <row r="42435">
      <c r="D42435" s="9"/>
      <c r="G42435" s="9"/>
      <c r="J42435" s="11"/>
      <c r="U42435" s="9"/>
      <c r="X42435" s="9"/>
    </row>
    <row r="42436">
      <c r="D42436" s="9"/>
      <c r="G42436" s="9"/>
      <c r="J42436" s="11"/>
      <c r="U42436" s="9"/>
      <c r="X42436" s="9"/>
    </row>
    <row r="42437">
      <c r="D42437" s="9"/>
      <c r="G42437" s="9"/>
      <c r="J42437" s="11"/>
      <c r="U42437" s="9"/>
      <c r="X42437" s="9"/>
    </row>
    <row r="42438">
      <c r="D42438" s="9"/>
      <c r="G42438" s="9"/>
      <c r="J42438" s="11"/>
      <c r="U42438" s="9"/>
      <c r="X42438" s="9"/>
    </row>
    <row r="42439">
      <c r="D42439" s="9"/>
      <c r="G42439" s="9"/>
      <c r="J42439" s="11"/>
      <c r="U42439" s="9"/>
      <c r="X42439" s="9"/>
    </row>
    <row r="42440">
      <c r="D42440" s="9"/>
      <c r="G42440" s="9"/>
      <c r="J42440" s="11"/>
      <c r="U42440" s="9"/>
      <c r="X42440" s="9"/>
    </row>
    <row r="42441">
      <c r="D42441" s="9"/>
      <c r="G42441" s="9"/>
      <c r="J42441" s="11"/>
      <c r="U42441" s="9"/>
      <c r="X42441" s="9"/>
    </row>
    <row r="42442">
      <c r="D42442" s="9"/>
      <c r="G42442" s="9"/>
      <c r="J42442" s="11"/>
      <c r="U42442" s="9"/>
      <c r="X42442" s="9"/>
    </row>
    <row r="42443">
      <c r="D42443" s="9"/>
      <c r="G42443" s="9"/>
      <c r="J42443" s="11"/>
      <c r="U42443" s="9"/>
      <c r="X42443" s="9"/>
    </row>
    <row r="42444">
      <c r="D42444" s="9"/>
      <c r="G42444" s="9"/>
      <c r="J42444" s="11"/>
      <c r="U42444" s="9"/>
      <c r="X42444" s="9"/>
    </row>
    <row r="42445">
      <c r="D42445" s="9"/>
      <c r="G42445" s="9"/>
      <c r="J42445" s="11"/>
      <c r="U42445" s="9"/>
      <c r="X42445" s="9"/>
    </row>
    <row r="42446">
      <c r="D42446" s="9"/>
      <c r="G42446" s="9"/>
      <c r="J42446" s="11"/>
      <c r="U42446" s="9"/>
      <c r="X42446" s="9"/>
    </row>
    <row r="42447">
      <c r="D42447" s="9"/>
      <c r="G42447" s="9"/>
      <c r="J42447" s="11"/>
      <c r="U42447" s="9"/>
      <c r="X42447" s="9"/>
    </row>
    <row r="42448">
      <c r="D42448" s="9"/>
      <c r="G42448" s="9"/>
      <c r="J42448" s="11"/>
      <c r="U42448" s="9"/>
      <c r="X42448" s="9"/>
    </row>
    <row r="42449">
      <c r="D42449" s="9"/>
      <c r="G42449" s="9"/>
      <c r="J42449" s="11"/>
      <c r="U42449" s="9"/>
      <c r="X42449" s="9"/>
    </row>
    <row r="42450">
      <c r="D42450" s="9"/>
      <c r="G42450" s="9"/>
      <c r="J42450" s="11"/>
      <c r="U42450" s="9"/>
      <c r="X42450" s="9"/>
    </row>
    <row r="42451">
      <c r="D42451" s="9"/>
      <c r="G42451" s="9"/>
      <c r="J42451" s="11"/>
      <c r="U42451" s="9"/>
      <c r="X42451" s="9"/>
    </row>
    <row r="42452">
      <c r="D42452" s="9"/>
      <c r="G42452" s="9"/>
      <c r="J42452" s="11"/>
      <c r="U42452" s="9"/>
      <c r="X42452" s="9"/>
    </row>
    <row r="42453">
      <c r="D42453" s="9"/>
      <c r="G42453" s="9"/>
      <c r="J42453" s="11"/>
      <c r="U42453" s="9"/>
      <c r="X42453" s="9"/>
    </row>
    <row r="42454">
      <c r="D42454" s="9"/>
      <c r="G42454" s="9"/>
      <c r="J42454" s="11"/>
      <c r="U42454" s="9"/>
      <c r="X42454" s="9"/>
    </row>
    <row r="42455">
      <c r="D42455" s="9"/>
      <c r="G42455" s="9"/>
      <c r="J42455" s="11"/>
      <c r="U42455" s="9"/>
      <c r="X42455" s="9"/>
    </row>
    <row r="42456">
      <c r="D42456" s="9"/>
      <c r="G42456" s="9"/>
      <c r="J42456" s="11"/>
      <c r="U42456" s="9"/>
      <c r="X42456" s="9"/>
    </row>
    <row r="42457">
      <c r="D42457" s="9"/>
      <c r="G42457" s="9"/>
      <c r="J42457" s="11"/>
      <c r="U42457" s="9"/>
      <c r="X42457" s="9"/>
    </row>
    <row r="42458">
      <c r="D42458" s="9"/>
      <c r="G42458" s="9"/>
      <c r="J42458" s="11"/>
      <c r="U42458" s="9"/>
      <c r="X42458" s="9"/>
    </row>
    <row r="42459">
      <c r="D42459" s="9"/>
      <c r="G42459" s="9"/>
      <c r="J42459" s="11"/>
      <c r="U42459" s="9"/>
      <c r="X42459" s="9"/>
    </row>
    <row r="42460">
      <c r="D42460" s="9"/>
      <c r="G42460" s="9"/>
      <c r="J42460" s="11"/>
      <c r="U42460" s="9"/>
      <c r="X42460" s="9"/>
    </row>
    <row r="42461">
      <c r="D42461" s="9"/>
      <c r="G42461" s="9"/>
      <c r="J42461" s="11"/>
      <c r="U42461" s="9"/>
      <c r="X42461" s="9"/>
    </row>
    <row r="42462">
      <c r="D42462" s="9"/>
      <c r="G42462" s="9"/>
      <c r="J42462" s="11"/>
      <c r="U42462" s="9"/>
      <c r="X42462" s="9"/>
    </row>
    <row r="42463">
      <c r="D42463" s="9"/>
      <c r="G42463" s="9"/>
      <c r="J42463" s="11"/>
      <c r="U42463" s="9"/>
      <c r="X42463" s="9"/>
    </row>
    <row r="42464">
      <c r="D42464" s="9"/>
      <c r="G42464" s="9"/>
      <c r="J42464" s="11"/>
      <c r="U42464" s="9"/>
      <c r="X42464" s="9"/>
    </row>
    <row r="42465">
      <c r="D42465" s="9"/>
      <c r="G42465" s="9"/>
      <c r="J42465" s="11"/>
      <c r="U42465" s="9"/>
      <c r="X42465" s="9"/>
    </row>
    <row r="42466">
      <c r="D42466" s="9"/>
      <c r="G42466" s="9"/>
      <c r="J42466" s="11"/>
      <c r="U42466" s="9"/>
      <c r="X42466" s="9"/>
    </row>
    <row r="42467">
      <c r="D42467" s="9"/>
      <c r="G42467" s="9"/>
      <c r="J42467" s="11"/>
      <c r="U42467" s="9"/>
      <c r="X42467" s="9"/>
    </row>
    <row r="42468">
      <c r="D42468" s="9"/>
      <c r="G42468" s="9"/>
      <c r="J42468" s="11"/>
      <c r="U42468" s="9"/>
      <c r="X42468" s="9"/>
    </row>
    <row r="42469">
      <c r="D42469" s="9"/>
      <c r="G42469" s="9"/>
      <c r="J42469" s="11"/>
      <c r="U42469" s="9"/>
      <c r="X42469" s="9"/>
    </row>
    <row r="42470">
      <c r="D42470" s="9"/>
      <c r="G42470" s="9"/>
      <c r="J42470" s="11"/>
      <c r="U42470" s="9"/>
      <c r="X42470" s="9"/>
    </row>
    <row r="42471">
      <c r="D42471" s="9"/>
      <c r="G42471" s="9"/>
      <c r="J42471" s="11"/>
      <c r="U42471" s="9"/>
      <c r="X42471" s="9"/>
    </row>
    <row r="42472">
      <c r="D42472" s="9"/>
      <c r="G42472" s="9"/>
      <c r="J42472" s="11"/>
      <c r="U42472" s="9"/>
      <c r="X42472" s="9"/>
    </row>
    <row r="42473">
      <c r="D42473" s="9"/>
      <c r="G42473" s="9"/>
      <c r="J42473" s="11"/>
      <c r="U42473" s="9"/>
      <c r="X42473" s="9"/>
    </row>
    <row r="42474">
      <c r="D42474" s="9"/>
      <c r="G42474" s="9"/>
      <c r="J42474" s="11"/>
      <c r="U42474" s="9"/>
      <c r="X42474" s="9"/>
    </row>
    <row r="42475">
      <c r="D42475" s="9"/>
      <c r="G42475" s="9"/>
      <c r="J42475" s="11"/>
      <c r="U42475" s="9"/>
      <c r="X42475" s="9"/>
    </row>
    <row r="42476">
      <c r="D42476" s="9"/>
      <c r="G42476" s="9"/>
      <c r="J42476" s="11"/>
      <c r="U42476" s="9"/>
      <c r="X42476" s="9"/>
    </row>
    <row r="42477">
      <c r="D42477" s="9"/>
      <c r="G42477" s="9"/>
      <c r="J42477" s="11"/>
      <c r="U42477" s="9"/>
      <c r="X42477" s="9"/>
    </row>
    <row r="42478">
      <c r="D42478" s="9"/>
      <c r="G42478" s="9"/>
      <c r="J42478" s="11"/>
      <c r="U42478" s="9"/>
      <c r="X42478" s="9"/>
    </row>
    <row r="42479">
      <c r="D42479" s="9"/>
      <c r="G42479" s="9"/>
      <c r="J42479" s="11"/>
      <c r="U42479" s="9"/>
      <c r="X42479" s="9"/>
    </row>
    <row r="42480">
      <c r="D42480" s="9"/>
      <c r="G42480" s="9"/>
      <c r="J42480" s="11"/>
      <c r="U42480" s="9"/>
      <c r="X42480" s="9"/>
    </row>
    <row r="42481">
      <c r="D42481" s="9"/>
      <c r="G42481" s="9"/>
      <c r="J42481" s="11"/>
      <c r="U42481" s="9"/>
      <c r="X42481" s="9"/>
    </row>
    <row r="42482">
      <c r="D42482" s="9"/>
      <c r="G42482" s="9"/>
      <c r="J42482" s="11"/>
      <c r="U42482" s="9"/>
      <c r="X42482" s="9"/>
    </row>
    <row r="42483">
      <c r="D42483" s="9"/>
      <c r="G42483" s="9"/>
      <c r="J42483" s="11"/>
      <c r="U42483" s="9"/>
      <c r="X42483" s="9"/>
    </row>
    <row r="42484">
      <c r="D42484" s="9"/>
      <c r="G42484" s="9"/>
      <c r="J42484" s="11"/>
      <c r="U42484" s="9"/>
      <c r="X42484" s="9"/>
    </row>
    <row r="42485">
      <c r="D42485" s="9"/>
      <c r="G42485" s="9"/>
      <c r="J42485" s="11"/>
      <c r="U42485" s="9"/>
      <c r="X42485" s="9"/>
    </row>
    <row r="42486">
      <c r="D42486" s="9"/>
      <c r="G42486" s="9"/>
      <c r="J42486" s="11"/>
      <c r="U42486" s="9"/>
      <c r="X42486" s="9"/>
    </row>
    <row r="42487">
      <c r="D42487" s="9"/>
      <c r="G42487" s="9"/>
      <c r="J42487" s="11"/>
      <c r="U42487" s="9"/>
      <c r="X42487" s="9"/>
    </row>
    <row r="42488">
      <c r="D42488" s="9"/>
      <c r="G42488" s="9"/>
      <c r="J42488" s="11"/>
      <c r="U42488" s="9"/>
      <c r="X42488" s="9"/>
    </row>
    <row r="42489">
      <c r="D42489" s="9"/>
      <c r="G42489" s="9"/>
      <c r="J42489" s="11"/>
      <c r="U42489" s="9"/>
      <c r="X42489" s="9"/>
    </row>
    <row r="42490">
      <c r="D42490" s="9"/>
      <c r="G42490" s="9"/>
      <c r="J42490" s="11"/>
      <c r="U42490" s="9"/>
      <c r="X42490" s="9"/>
    </row>
    <row r="42491">
      <c r="D42491" s="9"/>
      <c r="G42491" s="9"/>
      <c r="J42491" s="11"/>
      <c r="U42491" s="9"/>
      <c r="X42491" s="9"/>
    </row>
    <row r="42492">
      <c r="D42492" s="9"/>
      <c r="G42492" s="9"/>
      <c r="J42492" s="11"/>
      <c r="U42492" s="9"/>
      <c r="X42492" s="9"/>
    </row>
    <row r="42493">
      <c r="D42493" s="9"/>
      <c r="G42493" s="9"/>
      <c r="J42493" s="11"/>
      <c r="U42493" s="9"/>
      <c r="X42493" s="9"/>
    </row>
    <row r="42494">
      <c r="D42494" s="9"/>
      <c r="G42494" s="9"/>
      <c r="J42494" s="11"/>
      <c r="U42494" s="9"/>
      <c r="X42494" s="9"/>
    </row>
    <row r="42495">
      <c r="D42495" s="9"/>
      <c r="G42495" s="9"/>
      <c r="J42495" s="11"/>
      <c r="U42495" s="9"/>
      <c r="X42495" s="9"/>
    </row>
    <row r="42496">
      <c r="D42496" s="9"/>
      <c r="G42496" s="9"/>
      <c r="J42496" s="11"/>
      <c r="U42496" s="9"/>
      <c r="X42496" s="9"/>
    </row>
    <row r="42497">
      <c r="D42497" s="9"/>
      <c r="G42497" s="9"/>
      <c r="J42497" s="11"/>
      <c r="U42497" s="9"/>
      <c r="X42497" s="9"/>
    </row>
    <row r="42498">
      <c r="D42498" s="9"/>
      <c r="G42498" s="9"/>
      <c r="J42498" s="11"/>
      <c r="U42498" s="9"/>
      <c r="X42498" s="9"/>
    </row>
    <row r="42499">
      <c r="D42499" s="9"/>
      <c r="G42499" s="9"/>
      <c r="J42499" s="11"/>
      <c r="U42499" s="9"/>
      <c r="X42499" s="9"/>
    </row>
    <row r="42500">
      <c r="D42500" s="9"/>
      <c r="G42500" s="9"/>
      <c r="J42500" s="11"/>
      <c r="U42500" s="9"/>
      <c r="X42500" s="9"/>
    </row>
    <row r="42501">
      <c r="D42501" s="9"/>
      <c r="G42501" s="9"/>
      <c r="J42501" s="11"/>
      <c r="U42501" s="9"/>
      <c r="X42501" s="9"/>
    </row>
    <row r="42502">
      <c r="D42502" s="9"/>
      <c r="G42502" s="9"/>
      <c r="J42502" s="11"/>
      <c r="U42502" s="9"/>
      <c r="X42502" s="9"/>
    </row>
    <row r="42503">
      <c r="D42503" s="9"/>
      <c r="G42503" s="9"/>
      <c r="J42503" s="11"/>
      <c r="U42503" s="9"/>
      <c r="X42503" s="9"/>
    </row>
    <row r="42504">
      <c r="D42504" s="9"/>
      <c r="G42504" s="9"/>
      <c r="J42504" s="11"/>
      <c r="U42504" s="9"/>
      <c r="X42504" s="9"/>
    </row>
    <row r="42505">
      <c r="D42505" s="9"/>
      <c r="G42505" s="9"/>
      <c r="J42505" s="11"/>
      <c r="U42505" s="9"/>
      <c r="X42505" s="9"/>
    </row>
    <row r="42506">
      <c r="D42506" s="9"/>
      <c r="G42506" s="9"/>
      <c r="J42506" s="11"/>
      <c r="U42506" s="9"/>
      <c r="X42506" s="9"/>
    </row>
    <row r="42507">
      <c r="D42507" s="9"/>
      <c r="G42507" s="9"/>
      <c r="J42507" s="11"/>
      <c r="U42507" s="9"/>
      <c r="X42507" s="9"/>
    </row>
    <row r="42508">
      <c r="D42508" s="9"/>
      <c r="G42508" s="9"/>
      <c r="J42508" s="11"/>
      <c r="U42508" s="9"/>
      <c r="X42508" s="9"/>
    </row>
    <row r="42509">
      <c r="D42509" s="9"/>
      <c r="G42509" s="9"/>
      <c r="J42509" s="11"/>
      <c r="U42509" s="9"/>
      <c r="X42509" s="9"/>
    </row>
    <row r="42510">
      <c r="D42510" s="9"/>
      <c r="G42510" s="9"/>
      <c r="J42510" s="11"/>
      <c r="U42510" s="9"/>
      <c r="X42510" s="9"/>
    </row>
    <row r="42511">
      <c r="D42511" s="9"/>
      <c r="G42511" s="9"/>
      <c r="J42511" s="11"/>
      <c r="U42511" s="9"/>
      <c r="X42511" s="9"/>
    </row>
    <row r="42512">
      <c r="D42512" s="9"/>
      <c r="G42512" s="9"/>
      <c r="J42512" s="11"/>
      <c r="U42512" s="9"/>
      <c r="X42512" s="9"/>
    </row>
    <row r="42513">
      <c r="D42513" s="9"/>
      <c r="G42513" s="9"/>
      <c r="J42513" s="11"/>
      <c r="U42513" s="9"/>
      <c r="X42513" s="9"/>
    </row>
    <row r="42514">
      <c r="D42514" s="9"/>
      <c r="G42514" s="9"/>
      <c r="J42514" s="11"/>
      <c r="U42514" s="9"/>
      <c r="X42514" s="9"/>
    </row>
    <row r="42515">
      <c r="D42515" s="9"/>
      <c r="G42515" s="9"/>
      <c r="J42515" s="11"/>
      <c r="U42515" s="9"/>
      <c r="X42515" s="9"/>
    </row>
    <row r="42516">
      <c r="D42516" s="9"/>
      <c r="G42516" s="9"/>
      <c r="J42516" s="11"/>
      <c r="U42516" s="9"/>
      <c r="X42516" s="9"/>
    </row>
    <row r="42517">
      <c r="D42517" s="9"/>
      <c r="G42517" s="9"/>
      <c r="J42517" s="11"/>
      <c r="U42517" s="9"/>
      <c r="X42517" s="9"/>
    </row>
    <row r="42518">
      <c r="D42518" s="9"/>
      <c r="G42518" s="9"/>
      <c r="J42518" s="11"/>
      <c r="U42518" s="9"/>
      <c r="X42518" s="9"/>
    </row>
    <row r="42519">
      <c r="D42519" s="9"/>
      <c r="G42519" s="9"/>
      <c r="J42519" s="11"/>
      <c r="U42519" s="9"/>
      <c r="X42519" s="9"/>
    </row>
    <row r="42520">
      <c r="D42520" s="9"/>
      <c r="G42520" s="9"/>
      <c r="J42520" s="11"/>
      <c r="U42520" s="9"/>
      <c r="X42520" s="9"/>
    </row>
    <row r="42521">
      <c r="D42521" s="9"/>
      <c r="G42521" s="9"/>
      <c r="J42521" s="11"/>
      <c r="U42521" s="9"/>
      <c r="X42521" s="9"/>
    </row>
    <row r="42522">
      <c r="D42522" s="9"/>
      <c r="G42522" s="9"/>
      <c r="J42522" s="11"/>
      <c r="U42522" s="9"/>
      <c r="X42522" s="9"/>
    </row>
    <row r="42523">
      <c r="D42523" s="9"/>
      <c r="G42523" s="9"/>
      <c r="J42523" s="11"/>
      <c r="U42523" s="9"/>
      <c r="X42523" s="9"/>
    </row>
    <row r="42524">
      <c r="D42524" s="9"/>
      <c r="G42524" s="9"/>
      <c r="J42524" s="11"/>
      <c r="U42524" s="9"/>
      <c r="X42524" s="9"/>
    </row>
    <row r="42525">
      <c r="D42525" s="9"/>
      <c r="G42525" s="9"/>
      <c r="J42525" s="11"/>
      <c r="U42525" s="9"/>
      <c r="X42525" s="9"/>
    </row>
    <row r="42526">
      <c r="D42526" s="9"/>
      <c r="G42526" s="9"/>
      <c r="J42526" s="11"/>
      <c r="U42526" s="9"/>
      <c r="X42526" s="9"/>
    </row>
    <row r="42527">
      <c r="D42527" s="9"/>
      <c r="G42527" s="9"/>
      <c r="J42527" s="11"/>
      <c r="U42527" s="9"/>
      <c r="X42527" s="9"/>
    </row>
    <row r="42528">
      <c r="D42528" s="9"/>
      <c r="G42528" s="9"/>
      <c r="J42528" s="11"/>
      <c r="U42528" s="9"/>
      <c r="X42528" s="9"/>
    </row>
    <row r="42529">
      <c r="D42529" s="9"/>
      <c r="G42529" s="9"/>
      <c r="J42529" s="11"/>
      <c r="U42529" s="9"/>
      <c r="X42529" s="9"/>
    </row>
    <row r="42530">
      <c r="D42530" s="9"/>
      <c r="G42530" s="9"/>
      <c r="J42530" s="11"/>
      <c r="U42530" s="9"/>
      <c r="X42530" s="9"/>
    </row>
    <row r="42531">
      <c r="D42531" s="9"/>
      <c r="G42531" s="9"/>
      <c r="J42531" s="11"/>
      <c r="U42531" s="9"/>
      <c r="X42531" s="9"/>
    </row>
    <row r="42532">
      <c r="D42532" s="9"/>
      <c r="G42532" s="9"/>
      <c r="J42532" s="11"/>
      <c r="U42532" s="9"/>
      <c r="X42532" s="9"/>
    </row>
    <row r="42533">
      <c r="D42533" s="9"/>
      <c r="G42533" s="9"/>
      <c r="J42533" s="11"/>
      <c r="U42533" s="9"/>
      <c r="X42533" s="9"/>
    </row>
    <row r="42534">
      <c r="D42534" s="9"/>
      <c r="G42534" s="9"/>
      <c r="J42534" s="11"/>
      <c r="U42534" s="9"/>
      <c r="X42534" s="9"/>
    </row>
    <row r="42535">
      <c r="D42535" s="9"/>
      <c r="G42535" s="9"/>
      <c r="J42535" s="11"/>
      <c r="U42535" s="9"/>
      <c r="X42535" s="9"/>
    </row>
    <row r="42536">
      <c r="D42536" s="9"/>
      <c r="G42536" s="9"/>
      <c r="J42536" s="11"/>
      <c r="U42536" s="9"/>
      <c r="X42536" s="9"/>
    </row>
    <row r="42537">
      <c r="D42537" s="9"/>
      <c r="G42537" s="9"/>
      <c r="J42537" s="11"/>
      <c r="U42537" s="9"/>
      <c r="X42537" s="9"/>
    </row>
    <row r="42538">
      <c r="D42538" s="9"/>
      <c r="G42538" s="9"/>
      <c r="J42538" s="11"/>
      <c r="U42538" s="9"/>
      <c r="X42538" s="9"/>
    </row>
    <row r="42539">
      <c r="D42539" s="9"/>
      <c r="G42539" s="9"/>
      <c r="J42539" s="11"/>
      <c r="U42539" s="9"/>
      <c r="X42539" s="9"/>
    </row>
    <row r="42540">
      <c r="D42540" s="9"/>
      <c r="G42540" s="9"/>
      <c r="J42540" s="11"/>
      <c r="U42540" s="9"/>
      <c r="X42540" s="9"/>
    </row>
    <row r="42541">
      <c r="D42541" s="9"/>
      <c r="G42541" s="9"/>
      <c r="J42541" s="11"/>
      <c r="U42541" s="9"/>
      <c r="X42541" s="9"/>
    </row>
    <row r="42542">
      <c r="D42542" s="9"/>
      <c r="G42542" s="9"/>
      <c r="J42542" s="11"/>
      <c r="U42542" s="9"/>
      <c r="X42542" s="9"/>
    </row>
    <row r="42543">
      <c r="D42543" s="9"/>
      <c r="G42543" s="9"/>
      <c r="J42543" s="11"/>
      <c r="U42543" s="9"/>
      <c r="X42543" s="9"/>
    </row>
    <row r="42544">
      <c r="D42544" s="9"/>
      <c r="G42544" s="9"/>
      <c r="J42544" s="11"/>
      <c r="U42544" s="9"/>
      <c r="X42544" s="9"/>
    </row>
    <row r="42545">
      <c r="D42545" s="9"/>
      <c r="G42545" s="9"/>
      <c r="J42545" s="11"/>
      <c r="U42545" s="9"/>
      <c r="X42545" s="9"/>
    </row>
    <row r="42546">
      <c r="D42546" s="9"/>
      <c r="G42546" s="9"/>
      <c r="J42546" s="11"/>
      <c r="U42546" s="9"/>
      <c r="X42546" s="9"/>
    </row>
    <row r="42547">
      <c r="D42547" s="9"/>
      <c r="G42547" s="9"/>
      <c r="J42547" s="11"/>
      <c r="U42547" s="9"/>
      <c r="X42547" s="9"/>
    </row>
    <row r="42548">
      <c r="D42548" s="9"/>
      <c r="G42548" s="9"/>
      <c r="J42548" s="11"/>
      <c r="U42548" s="9"/>
      <c r="X42548" s="9"/>
    </row>
    <row r="42549">
      <c r="D42549" s="9"/>
      <c r="G42549" s="9"/>
      <c r="J42549" s="11"/>
      <c r="U42549" s="9"/>
      <c r="X42549" s="9"/>
    </row>
    <row r="42550">
      <c r="D42550" s="9"/>
      <c r="G42550" s="9"/>
      <c r="J42550" s="11"/>
      <c r="U42550" s="9"/>
      <c r="X42550" s="9"/>
    </row>
    <row r="42551">
      <c r="D42551" s="9"/>
      <c r="G42551" s="9"/>
      <c r="J42551" s="11"/>
      <c r="U42551" s="9"/>
      <c r="X42551" s="9"/>
    </row>
    <row r="42552">
      <c r="D42552" s="9"/>
      <c r="G42552" s="9"/>
      <c r="J42552" s="11"/>
      <c r="U42552" s="9"/>
      <c r="X42552" s="9"/>
    </row>
    <row r="42553">
      <c r="D42553" s="9"/>
      <c r="G42553" s="9"/>
      <c r="J42553" s="11"/>
      <c r="U42553" s="9"/>
      <c r="X42553" s="9"/>
    </row>
    <row r="42554">
      <c r="D42554" s="9"/>
      <c r="G42554" s="9"/>
      <c r="J42554" s="11"/>
      <c r="U42554" s="9"/>
      <c r="X42554" s="9"/>
    </row>
    <row r="42555">
      <c r="D42555" s="9"/>
      <c r="G42555" s="9"/>
      <c r="J42555" s="11"/>
      <c r="U42555" s="9"/>
      <c r="X42555" s="9"/>
    </row>
    <row r="42556">
      <c r="D42556" s="9"/>
      <c r="G42556" s="9"/>
      <c r="J42556" s="11"/>
      <c r="U42556" s="9"/>
      <c r="X42556" s="9"/>
    </row>
    <row r="42557">
      <c r="D42557" s="9"/>
      <c r="G42557" s="9"/>
      <c r="J42557" s="11"/>
      <c r="U42557" s="9"/>
      <c r="X42557" s="9"/>
    </row>
    <row r="42558">
      <c r="D42558" s="9"/>
      <c r="G42558" s="9"/>
      <c r="J42558" s="11"/>
      <c r="U42558" s="9"/>
      <c r="X42558" s="9"/>
    </row>
    <row r="42559">
      <c r="D42559" s="9"/>
      <c r="G42559" s="9"/>
      <c r="J42559" s="11"/>
      <c r="U42559" s="9"/>
      <c r="X42559" s="9"/>
    </row>
    <row r="42560">
      <c r="D42560" s="9"/>
      <c r="G42560" s="9"/>
      <c r="J42560" s="11"/>
      <c r="U42560" s="9"/>
      <c r="X42560" s="9"/>
    </row>
    <row r="42561">
      <c r="D42561" s="9"/>
      <c r="G42561" s="9"/>
      <c r="J42561" s="11"/>
      <c r="U42561" s="9"/>
      <c r="X42561" s="9"/>
    </row>
    <row r="42562">
      <c r="D42562" s="9"/>
      <c r="G42562" s="9"/>
      <c r="J42562" s="11"/>
      <c r="U42562" s="9"/>
      <c r="X42562" s="9"/>
    </row>
    <row r="42563">
      <c r="D42563" s="9"/>
      <c r="G42563" s="9"/>
      <c r="J42563" s="11"/>
      <c r="U42563" s="9"/>
      <c r="X42563" s="9"/>
    </row>
    <row r="42564">
      <c r="D42564" s="9"/>
      <c r="G42564" s="9"/>
      <c r="J42564" s="11"/>
      <c r="U42564" s="9"/>
      <c r="X42564" s="9"/>
    </row>
    <row r="42565">
      <c r="D42565" s="9"/>
      <c r="G42565" s="9"/>
      <c r="J42565" s="11"/>
      <c r="U42565" s="9"/>
      <c r="X42565" s="9"/>
    </row>
    <row r="42566">
      <c r="D42566" s="9"/>
      <c r="G42566" s="9"/>
      <c r="J42566" s="11"/>
      <c r="U42566" s="9"/>
      <c r="X42566" s="9"/>
    </row>
    <row r="42567">
      <c r="D42567" s="9"/>
      <c r="G42567" s="9"/>
      <c r="J42567" s="11"/>
      <c r="U42567" s="9"/>
      <c r="X42567" s="9"/>
    </row>
    <row r="42568">
      <c r="D42568" s="9"/>
      <c r="G42568" s="9"/>
      <c r="J42568" s="11"/>
      <c r="U42568" s="9"/>
      <c r="X42568" s="9"/>
    </row>
    <row r="42569">
      <c r="D42569" s="9"/>
      <c r="G42569" s="9"/>
      <c r="J42569" s="11"/>
      <c r="U42569" s="9"/>
      <c r="X42569" s="9"/>
    </row>
    <row r="42570">
      <c r="D42570" s="9"/>
      <c r="G42570" s="9"/>
      <c r="J42570" s="11"/>
      <c r="U42570" s="9"/>
      <c r="X42570" s="9"/>
    </row>
    <row r="42571">
      <c r="D42571" s="9"/>
      <c r="G42571" s="9"/>
      <c r="J42571" s="11"/>
      <c r="U42571" s="9"/>
      <c r="X42571" s="9"/>
    </row>
    <row r="42572">
      <c r="D42572" s="9"/>
      <c r="G42572" s="9"/>
      <c r="J42572" s="11"/>
      <c r="U42572" s="9"/>
      <c r="X42572" s="9"/>
    </row>
    <row r="42573">
      <c r="D42573" s="9"/>
      <c r="G42573" s="9"/>
      <c r="J42573" s="11"/>
      <c r="U42573" s="9"/>
      <c r="X42573" s="9"/>
    </row>
    <row r="42574">
      <c r="D42574" s="9"/>
      <c r="G42574" s="9"/>
      <c r="J42574" s="11"/>
      <c r="U42574" s="9"/>
      <c r="X42574" s="9"/>
    </row>
    <row r="42575">
      <c r="D42575" s="9"/>
      <c r="G42575" s="9"/>
      <c r="J42575" s="11"/>
      <c r="U42575" s="9"/>
      <c r="X42575" s="9"/>
    </row>
    <row r="42576">
      <c r="D42576" s="9"/>
      <c r="G42576" s="9"/>
      <c r="J42576" s="11"/>
      <c r="U42576" s="9"/>
      <c r="X42576" s="9"/>
    </row>
    <row r="42577">
      <c r="D42577" s="9"/>
      <c r="G42577" s="9"/>
      <c r="J42577" s="11"/>
      <c r="U42577" s="9"/>
      <c r="X42577" s="9"/>
    </row>
    <row r="42578">
      <c r="D42578" s="9"/>
      <c r="G42578" s="9"/>
      <c r="J42578" s="11"/>
      <c r="U42578" s="9"/>
      <c r="X42578" s="9"/>
    </row>
    <row r="42579">
      <c r="D42579" s="9"/>
      <c r="G42579" s="9"/>
      <c r="J42579" s="11"/>
      <c r="U42579" s="9"/>
      <c r="X42579" s="9"/>
    </row>
    <row r="42580">
      <c r="D42580" s="9"/>
      <c r="G42580" s="9"/>
      <c r="J42580" s="11"/>
      <c r="U42580" s="9"/>
      <c r="X42580" s="9"/>
    </row>
    <row r="42581">
      <c r="D42581" s="9"/>
      <c r="G42581" s="9"/>
      <c r="J42581" s="11"/>
      <c r="U42581" s="9"/>
      <c r="X42581" s="9"/>
    </row>
    <row r="42582">
      <c r="D42582" s="9"/>
      <c r="G42582" s="9"/>
      <c r="J42582" s="11"/>
      <c r="U42582" s="9"/>
      <c r="X42582" s="9"/>
    </row>
    <row r="42583">
      <c r="D42583" s="9"/>
      <c r="G42583" s="9"/>
      <c r="J42583" s="11"/>
      <c r="U42583" s="9"/>
      <c r="X42583" s="9"/>
    </row>
    <row r="42584">
      <c r="D42584" s="9"/>
      <c r="G42584" s="9"/>
      <c r="J42584" s="11"/>
      <c r="U42584" s="9"/>
      <c r="X42584" s="9"/>
    </row>
    <row r="42585">
      <c r="D42585" s="9"/>
      <c r="G42585" s="9"/>
      <c r="J42585" s="11"/>
      <c r="U42585" s="9"/>
      <c r="X42585" s="9"/>
    </row>
    <row r="42586">
      <c r="D42586" s="9"/>
      <c r="G42586" s="9"/>
      <c r="J42586" s="11"/>
      <c r="U42586" s="9"/>
      <c r="X42586" s="9"/>
    </row>
    <row r="42587">
      <c r="D42587" s="9"/>
      <c r="G42587" s="9"/>
      <c r="J42587" s="11"/>
      <c r="U42587" s="9"/>
      <c r="X42587" s="9"/>
    </row>
    <row r="42588">
      <c r="D42588" s="9"/>
      <c r="G42588" s="9"/>
      <c r="J42588" s="11"/>
      <c r="U42588" s="9"/>
      <c r="X42588" s="9"/>
    </row>
    <row r="42589">
      <c r="D42589" s="9"/>
      <c r="G42589" s="9"/>
      <c r="J42589" s="11"/>
      <c r="U42589" s="9"/>
      <c r="X42589" s="9"/>
    </row>
    <row r="42590">
      <c r="D42590" s="9"/>
      <c r="G42590" s="9"/>
      <c r="J42590" s="11"/>
      <c r="U42590" s="9"/>
      <c r="X42590" s="9"/>
    </row>
    <row r="42591">
      <c r="D42591" s="9"/>
      <c r="G42591" s="9"/>
      <c r="J42591" s="11"/>
      <c r="U42591" s="9"/>
      <c r="X42591" s="9"/>
    </row>
    <row r="42592">
      <c r="D42592" s="9"/>
      <c r="G42592" s="9"/>
      <c r="J42592" s="11"/>
      <c r="U42592" s="9"/>
      <c r="X42592" s="9"/>
    </row>
    <row r="42593">
      <c r="D42593" s="9"/>
      <c r="G42593" s="9"/>
      <c r="J42593" s="11"/>
      <c r="U42593" s="9"/>
      <c r="X42593" s="9"/>
    </row>
    <row r="42594">
      <c r="D42594" s="9"/>
      <c r="G42594" s="9"/>
      <c r="J42594" s="11"/>
      <c r="U42594" s="9"/>
      <c r="X42594" s="9"/>
    </row>
    <row r="42595">
      <c r="D42595" s="9"/>
      <c r="G42595" s="9"/>
      <c r="J42595" s="11"/>
      <c r="U42595" s="9"/>
      <c r="X42595" s="9"/>
    </row>
    <row r="42596">
      <c r="D42596" s="9"/>
      <c r="G42596" s="9"/>
      <c r="J42596" s="11"/>
      <c r="U42596" s="9"/>
      <c r="X42596" s="9"/>
    </row>
    <row r="42597">
      <c r="D42597" s="9"/>
      <c r="G42597" s="9"/>
      <c r="J42597" s="11"/>
      <c r="U42597" s="9"/>
      <c r="X42597" s="9"/>
    </row>
    <row r="42598">
      <c r="D42598" s="9"/>
      <c r="G42598" s="9"/>
      <c r="J42598" s="11"/>
      <c r="U42598" s="9"/>
      <c r="X42598" s="9"/>
    </row>
    <row r="42599">
      <c r="D42599" s="9"/>
      <c r="G42599" s="9"/>
      <c r="J42599" s="11"/>
      <c r="U42599" s="9"/>
      <c r="X42599" s="9"/>
    </row>
    <row r="42600">
      <c r="D42600" s="9"/>
      <c r="G42600" s="9"/>
      <c r="J42600" s="11"/>
      <c r="U42600" s="9"/>
      <c r="X42600" s="9"/>
    </row>
    <row r="42601">
      <c r="D42601" s="9"/>
      <c r="G42601" s="9"/>
      <c r="J42601" s="11"/>
      <c r="U42601" s="9"/>
      <c r="X42601" s="9"/>
    </row>
    <row r="42602">
      <c r="D42602" s="9"/>
      <c r="G42602" s="9"/>
      <c r="J42602" s="11"/>
      <c r="U42602" s="9"/>
      <c r="X42602" s="9"/>
    </row>
    <row r="42603">
      <c r="D42603" s="9"/>
      <c r="G42603" s="9"/>
      <c r="J42603" s="11"/>
      <c r="U42603" s="9"/>
      <c r="X42603" s="9"/>
    </row>
    <row r="42604">
      <c r="D42604" s="9"/>
      <c r="G42604" s="9"/>
      <c r="J42604" s="11"/>
      <c r="U42604" s="9"/>
      <c r="X42604" s="9"/>
    </row>
    <row r="42605">
      <c r="D42605" s="9"/>
      <c r="G42605" s="9"/>
      <c r="J42605" s="11"/>
      <c r="U42605" s="9"/>
      <c r="X42605" s="9"/>
    </row>
    <row r="42606">
      <c r="D42606" s="9"/>
      <c r="G42606" s="9"/>
      <c r="J42606" s="11"/>
      <c r="U42606" s="9"/>
      <c r="X42606" s="9"/>
    </row>
    <row r="42607">
      <c r="D42607" s="9"/>
      <c r="G42607" s="9"/>
      <c r="J42607" s="11"/>
      <c r="U42607" s="9"/>
      <c r="X42607" s="9"/>
    </row>
    <row r="42608">
      <c r="D42608" s="9"/>
      <c r="G42608" s="9"/>
      <c r="J42608" s="11"/>
      <c r="U42608" s="9"/>
      <c r="X42608" s="9"/>
    </row>
    <row r="42609">
      <c r="D42609" s="9"/>
      <c r="G42609" s="9"/>
      <c r="J42609" s="11"/>
      <c r="U42609" s="9"/>
      <c r="X42609" s="9"/>
    </row>
    <row r="42610">
      <c r="D42610" s="9"/>
      <c r="G42610" s="9"/>
      <c r="J42610" s="11"/>
      <c r="U42610" s="9"/>
      <c r="X42610" s="9"/>
    </row>
    <row r="42611">
      <c r="D42611" s="9"/>
      <c r="G42611" s="9"/>
      <c r="J42611" s="11"/>
      <c r="U42611" s="9"/>
      <c r="X42611" s="9"/>
    </row>
    <row r="42612">
      <c r="D42612" s="9"/>
      <c r="G42612" s="9"/>
      <c r="J42612" s="11"/>
      <c r="U42612" s="9"/>
      <c r="X42612" s="9"/>
    </row>
    <row r="42613">
      <c r="D42613" s="9"/>
      <c r="G42613" s="9"/>
      <c r="J42613" s="11"/>
      <c r="U42613" s="9"/>
      <c r="X42613" s="9"/>
    </row>
    <row r="42614">
      <c r="D42614" s="9"/>
      <c r="G42614" s="9"/>
      <c r="J42614" s="11"/>
      <c r="U42614" s="9"/>
      <c r="X42614" s="9"/>
    </row>
    <row r="42615">
      <c r="D42615" s="9"/>
      <c r="G42615" s="9"/>
      <c r="J42615" s="11"/>
      <c r="U42615" s="9"/>
      <c r="X42615" s="9"/>
    </row>
    <row r="42616">
      <c r="D42616" s="9"/>
      <c r="G42616" s="9"/>
      <c r="J42616" s="11"/>
      <c r="U42616" s="9"/>
      <c r="X42616" s="9"/>
    </row>
    <row r="42617">
      <c r="D42617" s="9"/>
      <c r="G42617" s="9"/>
      <c r="J42617" s="11"/>
      <c r="U42617" s="9"/>
      <c r="X42617" s="9"/>
    </row>
    <row r="42618">
      <c r="D42618" s="9"/>
      <c r="G42618" s="9"/>
      <c r="J42618" s="11"/>
      <c r="U42618" s="9"/>
      <c r="X42618" s="9"/>
    </row>
    <row r="42619">
      <c r="D42619" s="9"/>
      <c r="G42619" s="9"/>
      <c r="J42619" s="11"/>
      <c r="U42619" s="9"/>
      <c r="X42619" s="9"/>
    </row>
    <row r="42620">
      <c r="D42620" s="9"/>
      <c r="G42620" s="9"/>
      <c r="J42620" s="11"/>
      <c r="U42620" s="9"/>
      <c r="X42620" s="9"/>
    </row>
    <row r="42621">
      <c r="D42621" s="9"/>
      <c r="G42621" s="9"/>
      <c r="J42621" s="11"/>
      <c r="U42621" s="9"/>
      <c r="X42621" s="9"/>
    </row>
    <row r="42622">
      <c r="D42622" s="9"/>
      <c r="G42622" s="9"/>
      <c r="J42622" s="11"/>
      <c r="U42622" s="9"/>
      <c r="X42622" s="9"/>
    </row>
    <row r="42623">
      <c r="D42623" s="9"/>
      <c r="G42623" s="9"/>
      <c r="J42623" s="11"/>
      <c r="U42623" s="9"/>
      <c r="X42623" s="9"/>
    </row>
    <row r="42624">
      <c r="D42624" s="9"/>
      <c r="G42624" s="9"/>
      <c r="J42624" s="11"/>
      <c r="U42624" s="9"/>
      <c r="X42624" s="9"/>
    </row>
    <row r="42625">
      <c r="D42625" s="9"/>
      <c r="G42625" s="9"/>
      <c r="J42625" s="11"/>
      <c r="U42625" s="9"/>
      <c r="X42625" s="9"/>
    </row>
    <row r="42626">
      <c r="D42626" s="9"/>
      <c r="G42626" s="9"/>
      <c r="J42626" s="11"/>
      <c r="U42626" s="9"/>
      <c r="X42626" s="9"/>
    </row>
    <row r="42627">
      <c r="D42627" s="9"/>
      <c r="G42627" s="9"/>
      <c r="J42627" s="11"/>
      <c r="U42627" s="9"/>
      <c r="X42627" s="9"/>
    </row>
    <row r="42628">
      <c r="D42628" s="9"/>
      <c r="G42628" s="9"/>
      <c r="J42628" s="11"/>
      <c r="U42628" s="9"/>
      <c r="X42628" s="9"/>
    </row>
    <row r="42629">
      <c r="D42629" s="9"/>
      <c r="G42629" s="9"/>
      <c r="J42629" s="11"/>
      <c r="U42629" s="9"/>
      <c r="X42629" s="9"/>
    </row>
    <row r="42630">
      <c r="D42630" s="9"/>
      <c r="G42630" s="9"/>
      <c r="J42630" s="11"/>
      <c r="U42630" s="9"/>
      <c r="X42630" s="9"/>
    </row>
    <row r="42631">
      <c r="D42631" s="9"/>
      <c r="G42631" s="9"/>
      <c r="J42631" s="11"/>
      <c r="U42631" s="9"/>
      <c r="X42631" s="9"/>
    </row>
    <row r="42632">
      <c r="D42632" s="9"/>
      <c r="G42632" s="9"/>
      <c r="J42632" s="11"/>
      <c r="U42632" s="9"/>
      <c r="X42632" s="9"/>
    </row>
    <row r="42633">
      <c r="D42633" s="9"/>
      <c r="G42633" s="9"/>
      <c r="J42633" s="11"/>
      <c r="U42633" s="9"/>
      <c r="X42633" s="9"/>
    </row>
    <row r="42634">
      <c r="D42634" s="9"/>
      <c r="G42634" s="9"/>
      <c r="J42634" s="11"/>
      <c r="U42634" s="9"/>
      <c r="X42634" s="9"/>
    </row>
    <row r="42635">
      <c r="D42635" s="9"/>
      <c r="G42635" s="9"/>
      <c r="J42635" s="11"/>
      <c r="U42635" s="9"/>
      <c r="X42635" s="9"/>
    </row>
    <row r="42636">
      <c r="D42636" s="9"/>
      <c r="G42636" s="9"/>
      <c r="J42636" s="11"/>
      <c r="U42636" s="9"/>
      <c r="X42636" s="9"/>
    </row>
    <row r="42637">
      <c r="D42637" s="9"/>
      <c r="G42637" s="9"/>
      <c r="J42637" s="11"/>
      <c r="U42637" s="9"/>
      <c r="X42637" s="9"/>
    </row>
    <row r="42638">
      <c r="D42638" s="9"/>
      <c r="G42638" s="9"/>
      <c r="J42638" s="11"/>
      <c r="U42638" s="9"/>
      <c r="X42638" s="9"/>
    </row>
    <row r="42639">
      <c r="D42639" s="9"/>
      <c r="G42639" s="9"/>
      <c r="J42639" s="11"/>
      <c r="U42639" s="9"/>
      <c r="X42639" s="9"/>
    </row>
    <row r="42640">
      <c r="D42640" s="9"/>
      <c r="G42640" s="9"/>
      <c r="J42640" s="11"/>
      <c r="U42640" s="9"/>
      <c r="X42640" s="9"/>
    </row>
    <row r="42641">
      <c r="D42641" s="9"/>
      <c r="G42641" s="9"/>
      <c r="J42641" s="11"/>
      <c r="U42641" s="9"/>
      <c r="X42641" s="9"/>
    </row>
    <row r="42642">
      <c r="D42642" s="9"/>
      <c r="G42642" s="9"/>
      <c r="J42642" s="11"/>
      <c r="U42642" s="9"/>
      <c r="X42642" s="9"/>
    </row>
    <row r="42643">
      <c r="D42643" s="9"/>
      <c r="G42643" s="9"/>
      <c r="J42643" s="11"/>
      <c r="U42643" s="9"/>
      <c r="X42643" s="9"/>
    </row>
    <row r="42644">
      <c r="D42644" s="9"/>
      <c r="G42644" s="9"/>
      <c r="J42644" s="11"/>
      <c r="U42644" s="9"/>
      <c r="X42644" s="9"/>
    </row>
    <row r="42645">
      <c r="D42645" s="9"/>
      <c r="G42645" s="9"/>
      <c r="J42645" s="11"/>
      <c r="U42645" s="9"/>
      <c r="X42645" s="9"/>
    </row>
    <row r="42646">
      <c r="D42646" s="9"/>
      <c r="G42646" s="9"/>
      <c r="J42646" s="11"/>
      <c r="U42646" s="9"/>
      <c r="X42646" s="9"/>
    </row>
    <row r="42647">
      <c r="D42647" s="9"/>
      <c r="G42647" s="9"/>
      <c r="J42647" s="11"/>
      <c r="U42647" s="9"/>
      <c r="X42647" s="9"/>
    </row>
    <row r="42648">
      <c r="D42648" s="9"/>
      <c r="G42648" s="9"/>
      <c r="J42648" s="11"/>
      <c r="U42648" s="9"/>
      <c r="X42648" s="9"/>
    </row>
    <row r="42649">
      <c r="D42649" s="9"/>
      <c r="G42649" s="9"/>
      <c r="J42649" s="11"/>
      <c r="U42649" s="9"/>
      <c r="X42649" s="9"/>
    </row>
    <row r="42650">
      <c r="D42650" s="9"/>
      <c r="G42650" s="9"/>
      <c r="J42650" s="11"/>
      <c r="U42650" s="9"/>
      <c r="X42650" s="9"/>
    </row>
    <row r="42651">
      <c r="D42651" s="9"/>
      <c r="G42651" s="9"/>
      <c r="J42651" s="11"/>
      <c r="U42651" s="9"/>
      <c r="X42651" s="9"/>
    </row>
    <row r="42652">
      <c r="D42652" s="9"/>
      <c r="G42652" s="9"/>
      <c r="J42652" s="11"/>
      <c r="U42652" s="9"/>
      <c r="X42652" s="9"/>
    </row>
    <row r="42653">
      <c r="D42653" s="9"/>
      <c r="G42653" s="9"/>
      <c r="J42653" s="11"/>
      <c r="U42653" s="9"/>
      <c r="X42653" s="9"/>
    </row>
    <row r="42654">
      <c r="D42654" s="9"/>
      <c r="G42654" s="9"/>
      <c r="J42654" s="11"/>
      <c r="U42654" s="9"/>
      <c r="X42654" s="9"/>
    </row>
    <row r="42655">
      <c r="D42655" s="9"/>
      <c r="G42655" s="9"/>
      <c r="J42655" s="11"/>
      <c r="U42655" s="9"/>
      <c r="X42655" s="9"/>
    </row>
    <row r="42656">
      <c r="D42656" s="9"/>
      <c r="G42656" s="9"/>
      <c r="J42656" s="11"/>
      <c r="U42656" s="9"/>
      <c r="X42656" s="9"/>
    </row>
    <row r="42657">
      <c r="D42657" s="9"/>
      <c r="G42657" s="9"/>
      <c r="J42657" s="11"/>
      <c r="U42657" s="9"/>
      <c r="X42657" s="9"/>
    </row>
    <row r="42658">
      <c r="D42658" s="9"/>
      <c r="G42658" s="9"/>
      <c r="J42658" s="11"/>
      <c r="U42658" s="9"/>
      <c r="X42658" s="9"/>
    </row>
    <row r="42659">
      <c r="D42659" s="9"/>
      <c r="G42659" s="9"/>
      <c r="J42659" s="11"/>
      <c r="U42659" s="9"/>
      <c r="X42659" s="9"/>
    </row>
    <row r="42660">
      <c r="D42660" s="9"/>
      <c r="G42660" s="9"/>
      <c r="J42660" s="11"/>
      <c r="U42660" s="9"/>
      <c r="X42660" s="9"/>
    </row>
    <row r="42661">
      <c r="D42661" s="9"/>
      <c r="G42661" s="9"/>
      <c r="J42661" s="11"/>
      <c r="U42661" s="9"/>
      <c r="X42661" s="9"/>
    </row>
    <row r="42662">
      <c r="D42662" s="9"/>
      <c r="G42662" s="9"/>
      <c r="J42662" s="11"/>
      <c r="U42662" s="9"/>
      <c r="X42662" s="9"/>
    </row>
    <row r="42663">
      <c r="D42663" s="9"/>
      <c r="G42663" s="9"/>
      <c r="J42663" s="11"/>
      <c r="U42663" s="9"/>
      <c r="X42663" s="9"/>
    </row>
    <row r="42664">
      <c r="D42664" s="9"/>
      <c r="G42664" s="9"/>
      <c r="J42664" s="11"/>
      <c r="U42664" s="9"/>
      <c r="X42664" s="9"/>
    </row>
    <row r="42665">
      <c r="D42665" s="9"/>
      <c r="G42665" s="9"/>
      <c r="J42665" s="11"/>
      <c r="U42665" s="9"/>
      <c r="X42665" s="9"/>
    </row>
    <row r="42666">
      <c r="D42666" s="9"/>
      <c r="G42666" s="9"/>
      <c r="J42666" s="11"/>
      <c r="U42666" s="9"/>
      <c r="X42666" s="9"/>
    </row>
    <row r="42667">
      <c r="D42667" s="9"/>
      <c r="G42667" s="9"/>
      <c r="J42667" s="11"/>
      <c r="U42667" s="9"/>
      <c r="X42667" s="9"/>
    </row>
    <row r="42668">
      <c r="D42668" s="9"/>
      <c r="G42668" s="9"/>
      <c r="J42668" s="11"/>
      <c r="U42668" s="9"/>
      <c r="X42668" s="9"/>
    </row>
    <row r="42669">
      <c r="D42669" s="9"/>
      <c r="G42669" s="9"/>
      <c r="J42669" s="11"/>
      <c r="U42669" s="9"/>
      <c r="X42669" s="9"/>
    </row>
    <row r="42670">
      <c r="D42670" s="9"/>
      <c r="G42670" s="9"/>
      <c r="J42670" s="11"/>
      <c r="U42670" s="9"/>
      <c r="X42670" s="9"/>
    </row>
    <row r="42671">
      <c r="D42671" s="9"/>
      <c r="G42671" s="9"/>
      <c r="J42671" s="11"/>
      <c r="U42671" s="9"/>
      <c r="X42671" s="9"/>
    </row>
    <row r="42672">
      <c r="D42672" s="9"/>
      <c r="G42672" s="9"/>
      <c r="J42672" s="11"/>
      <c r="U42672" s="9"/>
      <c r="X42672" s="9"/>
    </row>
    <row r="42673">
      <c r="D42673" s="9"/>
      <c r="G42673" s="9"/>
      <c r="J42673" s="11"/>
      <c r="U42673" s="9"/>
      <c r="X42673" s="9"/>
    </row>
    <row r="42674">
      <c r="D42674" s="9"/>
      <c r="G42674" s="9"/>
      <c r="J42674" s="11"/>
      <c r="U42674" s="9"/>
      <c r="X42674" s="9"/>
    </row>
    <row r="42675">
      <c r="D42675" s="9"/>
      <c r="G42675" s="9"/>
      <c r="J42675" s="11"/>
      <c r="U42675" s="9"/>
      <c r="X42675" s="9"/>
    </row>
    <row r="42676">
      <c r="D42676" s="9"/>
      <c r="G42676" s="9"/>
      <c r="J42676" s="11"/>
      <c r="U42676" s="9"/>
      <c r="X42676" s="9"/>
    </row>
    <row r="42677">
      <c r="D42677" s="9"/>
      <c r="G42677" s="9"/>
      <c r="J42677" s="11"/>
      <c r="U42677" s="9"/>
      <c r="X42677" s="9"/>
    </row>
    <row r="42678">
      <c r="D42678" s="9"/>
      <c r="G42678" s="9"/>
      <c r="J42678" s="11"/>
      <c r="U42678" s="9"/>
      <c r="X42678" s="9"/>
    </row>
    <row r="42679">
      <c r="D42679" s="9"/>
      <c r="G42679" s="9"/>
      <c r="J42679" s="11"/>
      <c r="U42679" s="9"/>
      <c r="X42679" s="9"/>
    </row>
    <row r="42680">
      <c r="D42680" s="9"/>
      <c r="G42680" s="9"/>
      <c r="J42680" s="11"/>
      <c r="U42680" s="9"/>
      <c r="X42680" s="9"/>
    </row>
    <row r="42681">
      <c r="D42681" s="9"/>
      <c r="G42681" s="9"/>
      <c r="J42681" s="11"/>
      <c r="U42681" s="9"/>
      <c r="X42681" s="9"/>
    </row>
    <row r="42682">
      <c r="D42682" s="9"/>
      <c r="G42682" s="9"/>
      <c r="J42682" s="11"/>
      <c r="U42682" s="9"/>
      <c r="X42682" s="9"/>
    </row>
    <row r="42683">
      <c r="D42683" s="9"/>
      <c r="G42683" s="9"/>
      <c r="J42683" s="11"/>
      <c r="U42683" s="9"/>
      <c r="X42683" s="9"/>
    </row>
    <row r="42684">
      <c r="D42684" s="9"/>
      <c r="G42684" s="9"/>
      <c r="J42684" s="11"/>
      <c r="U42684" s="9"/>
      <c r="X42684" s="9"/>
    </row>
    <row r="42685">
      <c r="D42685" s="9"/>
      <c r="G42685" s="9"/>
      <c r="J42685" s="11"/>
      <c r="U42685" s="9"/>
      <c r="X42685" s="9"/>
    </row>
    <row r="42686">
      <c r="D42686" s="9"/>
      <c r="G42686" s="9"/>
      <c r="J42686" s="11"/>
      <c r="U42686" s="9"/>
      <c r="X42686" s="9"/>
    </row>
    <row r="42687">
      <c r="D42687" s="9"/>
      <c r="G42687" s="9"/>
      <c r="J42687" s="11"/>
      <c r="U42687" s="9"/>
      <c r="X42687" s="9"/>
    </row>
    <row r="42688">
      <c r="D42688" s="9"/>
      <c r="G42688" s="9"/>
      <c r="J42688" s="11"/>
      <c r="U42688" s="9"/>
      <c r="X42688" s="9"/>
    </row>
    <row r="42689">
      <c r="D42689" s="9"/>
      <c r="G42689" s="9"/>
      <c r="J42689" s="11"/>
      <c r="U42689" s="9"/>
      <c r="X42689" s="9"/>
    </row>
    <row r="42690">
      <c r="D42690" s="9"/>
      <c r="G42690" s="9"/>
      <c r="J42690" s="11"/>
      <c r="U42690" s="9"/>
      <c r="X42690" s="9"/>
    </row>
    <row r="42691">
      <c r="D42691" s="9"/>
      <c r="G42691" s="9"/>
      <c r="J42691" s="11"/>
      <c r="U42691" s="9"/>
      <c r="X42691" s="9"/>
    </row>
    <row r="42692">
      <c r="D42692" s="9"/>
      <c r="G42692" s="9"/>
      <c r="J42692" s="11"/>
      <c r="U42692" s="9"/>
      <c r="X42692" s="9"/>
    </row>
    <row r="42693">
      <c r="D42693" s="9"/>
      <c r="G42693" s="9"/>
      <c r="J42693" s="11"/>
      <c r="U42693" s="9"/>
      <c r="X42693" s="9"/>
    </row>
    <row r="42694">
      <c r="D42694" s="9"/>
      <c r="G42694" s="9"/>
      <c r="J42694" s="11"/>
      <c r="U42694" s="9"/>
      <c r="X42694" s="9"/>
    </row>
    <row r="42695">
      <c r="D42695" s="9"/>
      <c r="G42695" s="9"/>
      <c r="J42695" s="11"/>
      <c r="U42695" s="9"/>
      <c r="X42695" s="9"/>
    </row>
    <row r="42696">
      <c r="D42696" s="9"/>
      <c r="G42696" s="9"/>
      <c r="J42696" s="11"/>
      <c r="U42696" s="9"/>
      <c r="X42696" s="9"/>
    </row>
    <row r="42697">
      <c r="D42697" s="9"/>
      <c r="G42697" s="9"/>
      <c r="J42697" s="11"/>
      <c r="U42697" s="9"/>
      <c r="X42697" s="9"/>
    </row>
    <row r="42698">
      <c r="D42698" s="9"/>
      <c r="G42698" s="9"/>
      <c r="J42698" s="11"/>
      <c r="U42698" s="9"/>
      <c r="X42698" s="9"/>
    </row>
    <row r="42699">
      <c r="D42699" s="9"/>
      <c r="G42699" s="9"/>
      <c r="J42699" s="11"/>
      <c r="U42699" s="9"/>
      <c r="X42699" s="9"/>
    </row>
    <row r="42700">
      <c r="D42700" s="9"/>
      <c r="G42700" s="9"/>
      <c r="J42700" s="11"/>
      <c r="U42700" s="9"/>
      <c r="X42700" s="9"/>
    </row>
    <row r="42701">
      <c r="D42701" s="9"/>
      <c r="G42701" s="9"/>
      <c r="J42701" s="11"/>
      <c r="U42701" s="9"/>
      <c r="X42701" s="9"/>
    </row>
    <row r="42702">
      <c r="D42702" s="9"/>
      <c r="G42702" s="9"/>
      <c r="J42702" s="11"/>
      <c r="U42702" s="9"/>
      <c r="X42702" s="9"/>
    </row>
    <row r="42703">
      <c r="D42703" s="9"/>
      <c r="G42703" s="9"/>
      <c r="J42703" s="11"/>
      <c r="U42703" s="9"/>
      <c r="X42703" s="9"/>
    </row>
    <row r="42704">
      <c r="D42704" s="9"/>
      <c r="G42704" s="9"/>
      <c r="J42704" s="11"/>
      <c r="U42704" s="9"/>
      <c r="X42704" s="9"/>
    </row>
    <row r="42705">
      <c r="D42705" s="9"/>
      <c r="G42705" s="9"/>
      <c r="J42705" s="11"/>
      <c r="U42705" s="9"/>
      <c r="X42705" s="9"/>
    </row>
    <row r="42706">
      <c r="D42706" s="9"/>
      <c r="G42706" s="9"/>
      <c r="J42706" s="11"/>
      <c r="U42706" s="9"/>
      <c r="X42706" s="9"/>
    </row>
    <row r="42707">
      <c r="D42707" s="9"/>
      <c r="G42707" s="9"/>
      <c r="J42707" s="11"/>
      <c r="U42707" s="9"/>
      <c r="X42707" s="9"/>
    </row>
    <row r="42708">
      <c r="D42708" s="9"/>
      <c r="G42708" s="9"/>
      <c r="J42708" s="11"/>
      <c r="U42708" s="9"/>
      <c r="X42708" s="9"/>
    </row>
    <row r="42709">
      <c r="D42709" s="9"/>
      <c r="G42709" s="9"/>
      <c r="J42709" s="11"/>
      <c r="U42709" s="9"/>
      <c r="X42709" s="9"/>
    </row>
    <row r="42710">
      <c r="D42710" s="9"/>
      <c r="G42710" s="9"/>
      <c r="J42710" s="11"/>
      <c r="U42710" s="9"/>
      <c r="X42710" s="9"/>
    </row>
    <row r="42711">
      <c r="D42711" s="9"/>
      <c r="G42711" s="9"/>
      <c r="J42711" s="11"/>
      <c r="U42711" s="9"/>
      <c r="X42711" s="9"/>
    </row>
    <row r="42712">
      <c r="D42712" s="9"/>
      <c r="G42712" s="9"/>
      <c r="J42712" s="11"/>
      <c r="U42712" s="9"/>
      <c r="X42712" s="9"/>
    </row>
    <row r="42713">
      <c r="D42713" s="9"/>
      <c r="G42713" s="9"/>
      <c r="J42713" s="11"/>
      <c r="U42713" s="9"/>
      <c r="X42713" s="9"/>
    </row>
    <row r="42714">
      <c r="D42714" s="9"/>
      <c r="G42714" s="9"/>
      <c r="J42714" s="11"/>
      <c r="U42714" s="9"/>
      <c r="X42714" s="9"/>
    </row>
    <row r="42715">
      <c r="D42715" s="9"/>
      <c r="G42715" s="9"/>
      <c r="J42715" s="11"/>
      <c r="U42715" s="9"/>
      <c r="X42715" s="9"/>
    </row>
    <row r="42716">
      <c r="D42716" s="9"/>
      <c r="G42716" s="9"/>
      <c r="J42716" s="11"/>
      <c r="U42716" s="9"/>
      <c r="X42716" s="9"/>
    </row>
    <row r="42717">
      <c r="D42717" s="9"/>
      <c r="G42717" s="9"/>
      <c r="J42717" s="11"/>
      <c r="U42717" s="9"/>
      <c r="X42717" s="9"/>
    </row>
    <row r="42718">
      <c r="D42718" s="9"/>
      <c r="G42718" s="9"/>
      <c r="J42718" s="11"/>
      <c r="U42718" s="9"/>
      <c r="X42718" s="9"/>
    </row>
    <row r="42719">
      <c r="D42719" s="9"/>
      <c r="G42719" s="9"/>
      <c r="J42719" s="11"/>
      <c r="U42719" s="9"/>
      <c r="X42719" s="9"/>
    </row>
    <row r="42720">
      <c r="D42720" s="9"/>
      <c r="G42720" s="9"/>
      <c r="J42720" s="11"/>
      <c r="U42720" s="9"/>
      <c r="X42720" s="9"/>
    </row>
    <row r="42721">
      <c r="D42721" s="9"/>
      <c r="G42721" s="9"/>
      <c r="J42721" s="11"/>
      <c r="U42721" s="9"/>
      <c r="X42721" s="9"/>
    </row>
    <row r="42722">
      <c r="D42722" s="9"/>
      <c r="G42722" s="9"/>
      <c r="J42722" s="11"/>
      <c r="U42722" s="9"/>
      <c r="X42722" s="9"/>
    </row>
    <row r="42723">
      <c r="D42723" s="9"/>
      <c r="G42723" s="9"/>
      <c r="J42723" s="11"/>
      <c r="U42723" s="9"/>
      <c r="X42723" s="9"/>
    </row>
    <row r="42724">
      <c r="D42724" s="9"/>
      <c r="G42724" s="9"/>
      <c r="J42724" s="11"/>
      <c r="U42724" s="9"/>
      <c r="X42724" s="9"/>
    </row>
    <row r="42725">
      <c r="D42725" s="9"/>
      <c r="G42725" s="9"/>
      <c r="J42725" s="11"/>
      <c r="U42725" s="9"/>
      <c r="X42725" s="9"/>
    </row>
    <row r="42726">
      <c r="D42726" s="9"/>
      <c r="G42726" s="9"/>
      <c r="J42726" s="11"/>
      <c r="U42726" s="9"/>
      <c r="X42726" s="9"/>
    </row>
    <row r="42727">
      <c r="D42727" s="9"/>
      <c r="G42727" s="9"/>
      <c r="J42727" s="11"/>
      <c r="U42727" s="9"/>
      <c r="X42727" s="9"/>
    </row>
    <row r="42728">
      <c r="D42728" s="9"/>
      <c r="G42728" s="9"/>
      <c r="J42728" s="11"/>
      <c r="U42728" s="9"/>
      <c r="X42728" s="9"/>
    </row>
    <row r="42729">
      <c r="D42729" s="9"/>
      <c r="G42729" s="9"/>
      <c r="J42729" s="11"/>
      <c r="U42729" s="9"/>
      <c r="X42729" s="9"/>
    </row>
    <row r="42730">
      <c r="D42730" s="9"/>
      <c r="G42730" s="9"/>
      <c r="J42730" s="11"/>
      <c r="U42730" s="9"/>
      <c r="X42730" s="9"/>
    </row>
    <row r="42731">
      <c r="D42731" s="9"/>
      <c r="G42731" s="9"/>
      <c r="J42731" s="11"/>
      <c r="U42731" s="9"/>
      <c r="X42731" s="9"/>
    </row>
    <row r="42732">
      <c r="D42732" s="9"/>
      <c r="G42732" s="9"/>
      <c r="J42732" s="11"/>
      <c r="U42732" s="9"/>
      <c r="X42732" s="9"/>
    </row>
    <row r="42733">
      <c r="D42733" s="9"/>
      <c r="G42733" s="9"/>
      <c r="J42733" s="11"/>
      <c r="U42733" s="9"/>
      <c r="X42733" s="9"/>
    </row>
    <row r="42734">
      <c r="D42734" s="9"/>
      <c r="G42734" s="9"/>
      <c r="J42734" s="11"/>
      <c r="U42734" s="9"/>
      <c r="X42734" s="9"/>
    </row>
    <row r="42735">
      <c r="D42735" s="9"/>
      <c r="G42735" s="9"/>
      <c r="J42735" s="11"/>
      <c r="U42735" s="9"/>
      <c r="X42735" s="9"/>
    </row>
    <row r="42736">
      <c r="D42736" s="9"/>
      <c r="G42736" s="9"/>
      <c r="J42736" s="11"/>
      <c r="U42736" s="9"/>
      <c r="X42736" s="9"/>
    </row>
    <row r="42737">
      <c r="D42737" s="9"/>
      <c r="G42737" s="9"/>
      <c r="J42737" s="11"/>
      <c r="U42737" s="9"/>
      <c r="X42737" s="9"/>
    </row>
    <row r="42738">
      <c r="D42738" s="9"/>
      <c r="G42738" s="9"/>
      <c r="J42738" s="11"/>
      <c r="U42738" s="9"/>
      <c r="X42738" s="9"/>
    </row>
    <row r="42739">
      <c r="D42739" s="9"/>
      <c r="G42739" s="9"/>
      <c r="J42739" s="11"/>
      <c r="U42739" s="9"/>
      <c r="X42739" s="9"/>
    </row>
    <row r="42740">
      <c r="D42740" s="9"/>
      <c r="G42740" s="9"/>
      <c r="J42740" s="11"/>
      <c r="U42740" s="9"/>
      <c r="X42740" s="9"/>
    </row>
    <row r="42741">
      <c r="D42741" s="9"/>
      <c r="G42741" s="9"/>
      <c r="J42741" s="11"/>
      <c r="U42741" s="9"/>
      <c r="X42741" s="9"/>
    </row>
    <row r="42742">
      <c r="D42742" s="9"/>
      <c r="G42742" s="9"/>
      <c r="J42742" s="11"/>
      <c r="U42742" s="9"/>
      <c r="X42742" s="9"/>
    </row>
    <row r="42743">
      <c r="D42743" s="9"/>
      <c r="G42743" s="9"/>
      <c r="J42743" s="11"/>
      <c r="U42743" s="9"/>
      <c r="X42743" s="9"/>
    </row>
    <row r="42744">
      <c r="D42744" s="9"/>
      <c r="G42744" s="9"/>
      <c r="J42744" s="11"/>
      <c r="U42744" s="9"/>
      <c r="X42744" s="9"/>
    </row>
    <row r="42745">
      <c r="D42745" s="9"/>
      <c r="G42745" s="9"/>
      <c r="J42745" s="11"/>
      <c r="U42745" s="9"/>
      <c r="X42745" s="9"/>
    </row>
    <row r="42746">
      <c r="D42746" s="9"/>
      <c r="G42746" s="9"/>
      <c r="J42746" s="11"/>
      <c r="U42746" s="9"/>
      <c r="X42746" s="9"/>
    </row>
    <row r="42747">
      <c r="D42747" s="9"/>
      <c r="G42747" s="9"/>
      <c r="J42747" s="11"/>
      <c r="U42747" s="9"/>
      <c r="X42747" s="9"/>
    </row>
    <row r="42748">
      <c r="D42748" s="9"/>
      <c r="G42748" s="9"/>
      <c r="J42748" s="11"/>
      <c r="U42748" s="9"/>
      <c r="X42748" s="9"/>
    </row>
    <row r="42749">
      <c r="D42749" s="9"/>
      <c r="G42749" s="9"/>
      <c r="J42749" s="11"/>
      <c r="U42749" s="9"/>
      <c r="X42749" s="9"/>
    </row>
    <row r="42750">
      <c r="D42750" s="9"/>
      <c r="G42750" s="9"/>
      <c r="J42750" s="11"/>
      <c r="U42750" s="9"/>
      <c r="X42750" s="9"/>
    </row>
    <row r="42751">
      <c r="D42751" s="9"/>
      <c r="G42751" s="9"/>
      <c r="J42751" s="11"/>
      <c r="U42751" s="9"/>
      <c r="X42751" s="9"/>
    </row>
    <row r="42752">
      <c r="D42752" s="9"/>
      <c r="G42752" s="9"/>
      <c r="J42752" s="11"/>
      <c r="U42752" s="9"/>
      <c r="X42752" s="9"/>
    </row>
    <row r="42753">
      <c r="D42753" s="9"/>
      <c r="G42753" s="9"/>
      <c r="J42753" s="11"/>
      <c r="U42753" s="9"/>
      <c r="X42753" s="9"/>
    </row>
    <row r="42754">
      <c r="D42754" s="9"/>
      <c r="G42754" s="9"/>
      <c r="J42754" s="11"/>
      <c r="U42754" s="9"/>
      <c r="X42754" s="9"/>
    </row>
    <row r="42755">
      <c r="D42755" s="9"/>
      <c r="G42755" s="9"/>
      <c r="J42755" s="11"/>
      <c r="U42755" s="9"/>
      <c r="X42755" s="9"/>
    </row>
    <row r="42756">
      <c r="D42756" s="9"/>
      <c r="G42756" s="9"/>
      <c r="J42756" s="11"/>
      <c r="U42756" s="9"/>
      <c r="X42756" s="9"/>
    </row>
    <row r="42757">
      <c r="D42757" s="9"/>
      <c r="G42757" s="9"/>
      <c r="J42757" s="11"/>
      <c r="U42757" s="9"/>
      <c r="X42757" s="9"/>
    </row>
    <row r="42758">
      <c r="D42758" s="9"/>
      <c r="G42758" s="9"/>
      <c r="J42758" s="11"/>
      <c r="U42758" s="9"/>
      <c r="X42758" s="9"/>
    </row>
    <row r="42759">
      <c r="D42759" s="9"/>
      <c r="G42759" s="9"/>
      <c r="J42759" s="11"/>
      <c r="U42759" s="9"/>
      <c r="X42759" s="9"/>
    </row>
    <row r="42760">
      <c r="D42760" s="9"/>
      <c r="G42760" s="9"/>
      <c r="J42760" s="11"/>
      <c r="U42760" s="9"/>
      <c r="X42760" s="9"/>
    </row>
    <row r="42761">
      <c r="D42761" s="9"/>
      <c r="G42761" s="9"/>
      <c r="J42761" s="11"/>
      <c r="U42761" s="9"/>
      <c r="X42761" s="9"/>
    </row>
    <row r="42762">
      <c r="D42762" s="9"/>
      <c r="G42762" s="9"/>
      <c r="J42762" s="11"/>
      <c r="U42762" s="9"/>
      <c r="X42762" s="9"/>
    </row>
    <row r="42763">
      <c r="D42763" s="9"/>
      <c r="G42763" s="9"/>
      <c r="J42763" s="11"/>
      <c r="U42763" s="9"/>
      <c r="X42763" s="9"/>
    </row>
    <row r="42764">
      <c r="D42764" s="9"/>
      <c r="G42764" s="9"/>
      <c r="J42764" s="11"/>
      <c r="U42764" s="9"/>
      <c r="X42764" s="9"/>
    </row>
    <row r="42765">
      <c r="D42765" s="9"/>
      <c r="G42765" s="9"/>
      <c r="J42765" s="11"/>
      <c r="U42765" s="9"/>
      <c r="X42765" s="9"/>
    </row>
    <row r="42766">
      <c r="D42766" s="9"/>
      <c r="G42766" s="9"/>
      <c r="J42766" s="11"/>
      <c r="U42766" s="9"/>
      <c r="X42766" s="9"/>
    </row>
    <row r="42767">
      <c r="D42767" s="9"/>
      <c r="G42767" s="9"/>
      <c r="J42767" s="11"/>
      <c r="U42767" s="9"/>
      <c r="X42767" s="9"/>
    </row>
    <row r="42768">
      <c r="D42768" s="9"/>
      <c r="G42768" s="9"/>
      <c r="J42768" s="11"/>
      <c r="U42768" s="9"/>
      <c r="X42768" s="9"/>
    </row>
    <row r="42769">
      <c r="D42769" s="9"/>
      <c r="G42769" s="9"/>
      <c r="J42769" s="11"/>
      <c r="U42769" s="9"/>
      <c r="X42769" s="9"/>
    </row>
    <row r="42770">
      <c r="D42770" s="9"/>
      <c r="G42770" s="9"/>
      <c r="J42770" s="11"/>
      <c r="U42770" s="9"/>
      <c r="X42770" s="9"/>
    </row>
    <row r="42771">
      <c r="D42771" s="9"/>
      <c r="G42771" s="9"/>
      <c r="J42771" s="11"/>
      <c r="U42771" s="9"/>
      <c r="X42771" s="9"/>
    </row>
    <row r="42772">
      <c r="D42772" s="9"/>
      <c r="G42772" s="9"/>
      <c r="J42772" s="11"/>
      <c r="U42772" s="9"/>
      <c r="X42772" s="9"/>
    </row>
    <row r="42773">
      <c r="D42773" s="9"/>
      <c r="G42773" s="9"/>
      <c r="J42773" s="11"/>
      <c r="U42773" s="9"/>
      <c r="X42773" s="9"/>
    </row>
    <row r="42774">
      <c r="D42774" s="9"/>
      <c r="G42774" s="9"/>
      <c r="J42774" s="11"/>
      <c r="U42774" s="9"/>
      <c r="X42774" s="9"/>
    </row>
    <row r="42775">
      <c r="D42775" s="9"/>
      <c r="G42775" s="9"/>
      <c r="J42775" s="11"/>
      <c r="U42775" s="9"/>
      <c r="X42775" s="9"/>
    </row>
    <row r="42776">
      <c r="D42776" s="9"/>
      <c r="G42776" s="9"/>
      <c r="J42776" s="11"/>
      <c r="U42776" s="9"/>
      <c r="X42776" s="9"/>
    </row>
    <row r="42777">
      <c r="D42777" s="9"/>
      <c r="G42777" s="9"/>
      <c r="J42777" s="11"/>
      <c r="U42777" s="9"/>
      <c r="X42777" s="9"/>
    </row>
    <row r="42778">
      <c r="D42778" s="9"/>
      <c r="G42778" s="9"/>
      <c r="J42778" s="11"/>
      <c r="U42778" s="9"/>
      <c r="X42778" s="9"/>
    </row>
    <row r="42779">
      <c r="D42779" s="9"/>
      <c r="G42779" s="9"/>
      <c r="J42779" s="11"/>
      <c r="U42779" s="9"/>
      <c r="X42779" s="9"/>
    </row>
    <row r="42780">
      <c r="D42780" s="9"/>
      <c r="G42780" s="9"/>
      <c r="J42780" s="11"/>
      <c r="U42780" s="9"/>
      <c r="X42780" s="9"/>
    </row>
    <row r="42781">
      <c r="D42781" s="9"/>
      <c r="G42781" s="9"/>
      <c r="J42781" s="11"/>
      <c r="U42781" s="9"/>
      <c r="X42781" s="9"/>
    </row>
    <row r="42782">
      <c r="D42782" s="9"/>
      <c r="G42782" s="9"/>
      <c r="J42782" s="11"/>
      <c r="U42782" s="9"/>
      <c r="X42782" s="9"/>
    </row>
    <row r="42783">
      <c r="D42783" s="9"/>
      <c r="G42783" s="9"/>
      <c r="J42783" s="11"/>
      <c r="U42783" s="9"/>
      <c r="X42783" s="9"/>
    </row>
    <row r="42784">
      <c r="D42784" s="9"/>
      <c r="G42784" s="9"/>
      <c r="J42784" s="11"/>
      <c r="U42784" s="9"/>
      <c r="X42784" s="9"/>
    </row>
    <row r="42785">
      <c r="D42785" s="9"/>
      <c r="G42785" s="9"/>
      <c r="J42785" s="11"/>
      <c r="U42785" s="9"/>
      <c r="X42785" s="9"/>
    </row>
    <row r="42786">
      <c r="D42786" s="9"/>
      <c r="G42786" s="9"/>
      <c r="J42786" s="11"/>
      <c r="U42786" s="9"/>
      <c r="X42786" s="9"/>
    </row>
    <row r="42787">
      <c r="D42787" s="9"/>
      <c r="G42787" s="9"/>
      <c r="J42787" s="11"/>
      <c r="U42787" s="9"/>
      <c r="X42787" s="9"/>
    </row>
    <row r="42788">
      <c r="D42788" s="9"/>
      <c r="G42788" s="9"/>
      <c r="J42788" s="11"/>
      <c r="U42788" s="9"/>
      <c r="X42788" s="9"/>
    </row>
    <row r="42789">
      <c r="D42789" s="9"/>
      <c r="G42789" s="9"/>
      <c r="J42789" s="11"/>
      <c r="U42789" s="9"/>
      <c r="X42789" s="9"/>
    </row>
    <row r="42790">
      <c r="D42790" s="9"/>
      <c r="G42790" s="9"/>
      <c r="J42790" s="11"/>
      <c r="U42790" s="9"/>
      <c r="X42790" s="9"/>
    </row>
    <row r="42791">
      <c r="D42791" s="9"/>
      <c r="G42791" s="9"/>
      <c r="J42791" s="11"/>
      <c r="U42791" s="9"/>
      <c r="X42791" s="9"/>
    </row>
    <row r="42792">
      <c r="D42792" s="9"/>
      <c r="G42792" s="9"/>
      <c r="J42792" s="11"/>
      <c r="U42792" s="9"/>
      <c r="X42792" s="9"/>
    </row>
    <row r="42793">
      <c r="D42793" s="9"/>
      <c r="G42793" s="9"/>
      <c r="J42793" s="11"/>
      <c r="U42793" s="9"/>
      <c r="X42793" s="9"/>
    </row>
    <row r="42794">
      <c r="D42794" s="9"/>
      <c r="G42794" s="9"/>
      <c r="J42794" s="11"/>
      <c r="U42794" s="9"/>
      <c r="X42794" s="9"/>
    </row>
    <row r="42795">
      <c r="D42795" s="9"/>
      <c r="G42795" s="9"/>
      <c r="J42795" s="11"/>
      <c r="U42795" s="9"/>
      <c r="X42795" s="9"/>
    </row>
    <row r="42796">
      <c r="D42796" s="9"/>
      <c r="G42796" s="9"/>
      <c r="J42796" s="11"/>
      <c r="U42796" s="9"/>
      <c r="X42796" s="9"/>
    </row>
    <row r="42797">
      <c r="D42797" s="9"/>
      <c r="G42797" s="9"/>
      <c r="J42797" s="11"/>
      <c r="U42797" s="9"/>
      <c r="X42797" s="9"/>
    </row>
    <row r="42798">
      <c r="D42798" s="9"/>
      <c r="G42798" s="9"/>
      <c r="J42798" s="11"/>
      <c r="U42798" s="9"/>
      <c r="X42798" s="9"/>
    </row>
    <row r="42799">
      <c r="D42799" s="9"/>
      <c r="G42799" s="9"/>
      <c r="J42799" s="11"/>
      <c r="U42799" s="9"/>
      <c r="X42799" s="9"/>
    </row>
    <row r="42800">
      <c r="D42800" s="9"/>
      <c r="G42800" s="9"/>
      <c r="J42800" s="11"/>
      <c r="U42800" s="9"/>
      <c r="X42800" s="9"/>
    </row>
    <row r="42801">
      <c r="D42801" s="9"/>
      <c r="G42801" s="9"/>
      <c r="J42801" s="11"/>
      <c r="U42801" s="9"/>
      <c r="X42801" s="9"/>
    </row>
    <row r="42802">
      <c r="D42802" s="9"/>
      <c r="G42802" s="9"/>
      <c r="J42802" s="11"/>
      <c r="U42802" s="9"/>
      <c r="X42802" s="9"/>
    </row>
    <row r="42803">
      <c r="D42803" s="9"/>
      <c r="G42803" s="9"/>
      <c r="J42803" s="11"/>
      <c r="U42803" s="9"/>
      <c r="X42803" s="9"/>
    </row>
    <row r="42804">
      <c r="D42804" s="9"/>
      <c r="G42804" s="9"/>
      <c r="J42804" s="11"/>
      <c r="U42804" s="9"/>
      <c r="X42804" s="9"/>
    </row>
    <row r="42805">
      <c r="D42805" s="9"/>
      <c r="G42805" s="9"/>
      <c r="J42805" s="11"/>
      <c r="U42805" s="9"/>
      <c r="X42805" s="9"/>
    </row>
    <row r="42806">
      <c r="D42806" s="9"/>
      <c r="G42806" s="9"/>
      <c r="J42806" s="11"/>
      <c r="U42806" s="9"/>
      <c r="X42806" s="9"/>
    </row>
    <row r="42807">
      <c r="D42807" s="9"/>
      <c r="G42807" s="9"/>
      <c r="J42807" s="11"/>
      <c r="U42807" s="9"/>
      <c r="X42807" s="9"/>
    </row>
    <row r="42808">
      <c r="D42808" s="9"/>
      <c r="G42808" s="9"/>
      <c r="J42808" s="11"/>
      <c r="U42808" s="9"/>
      <c r="X42808" s="9"/>
    </row>
    <row r="42809">
      <c r="D42809" s="9"/>
      <c r="G42809" s="9"/>
      <c r="J42809" s="11"/>
      <c r="U42809" s="9"/>
      <c r="X42809" s="9"/>
    </row>
    <row r="42810">
      <c r="D42810" s="9"/>
      <c r="G42810" s="9"/>
      <c r="J42810" s="11"/>
      <c r="U42810" s="9"/>
      <c r="X42810" s="9"/>
    </row>
    <row r="42811">
      <c r="D42811" s="9"/>
      <c r="G42811" s="9"/>
      <c r="J42811" s="11"/>
      <c r="U42811" s="9"/>
      <c r="X42811" s="9"/>
    </row>
    <row r="42812">
      <c r="D42812" s="9"/>
      <c r="G42812" s="9"/>
      <c r="J42812" s="11"/>
      <c r="U42812" s="9"/>
      <c r="X42812" s="9"/>
    </row>
    <row r="42813">
      <c r="D42813" s="9"/>
      <c r="G42813" s="9"/>
      <c r="J42813" s="11"/>
      <c r="U42813" s="9"/>
      <c r="X42813" s="9"/>
    </row>
    <row r="42814">
      <c r="D42814" s="9"/>
      <c r="G42814" s="9"/>
      <c r="J42814" s="11"/>
      <c r="U42814" s="9"/>
      <c r="X42814" s="9"/>
    </row>
    <row r="42815">
      <c r="D42815" s="9"/>
      <c r="G42815" s="9"/>
      <c r="J42815" s="11"/>
      <c r="U42815" s="9"/>
      <c r="X42815" s="9"/>
    </row>
    <row r="42816">
      <c r="D42816" s="9"/>
      <c r="G42816" s="9"/>
      <c r="J42816" s="11"/>
      <c r="U42816" s="9"/>
      <c r="X42816" s="9"/>
    </row>
    <row r="42817">
      <c r="D42817" s="9"/>
      <c r="G42817" s="9"/>
      <c r="J42817" s="11"/>
      <c r="U42817" s="9"/>
      <c r="X42817" s="9"/>
    </row>
    <row r="42818">
      <c r="D42818" s="9"/>
      <c r="G42818" s="9"/>
      <c r="J42818" s="11"/>
      <c r="U42818" s="9"/>
      <c r="X42818" s="9"/>
    </row>
    <row r="42819">
      <c r="D42819" s="9"/>
      <c r="G42819" s="9"/>
      <c r="J42819" s="11"/>
      <c r="U42819" s="9"/>
      <c r="X42819" s="9"/>
    </row>
    <row r="42820">
      <c r="D42820" s="9"/>
      <c r="G42820" s="9"/>
      <c r="J42820" s="11"/>
      <c r="U42820" s="9"/>
      <c r="X42820" s="9"/>
    </row>
    <row r="42821">
      <c r="D42821" s="9"/>
      <c r="G42821" s="9"/>
      <c r="J42821" s="11"/>
      <c r="U42821" s="9"/>
      <c r="X42821" s="9"/>
    </row>
    <row r="42822">
      <c r="D42822" s="9"/>
      <c r="G42822" s="9"/>
      <c r="J42822" s="11"/>
      <c r="U42822" s="9"/>
      <c r="X42822" s="9"/>
    </row>
    <row r="42823">
      <c r="D42823" s="9"/>
      <c r="G42823" s="9"/>
      <c r="J42823" s="11"/>
      <c r="U42823" s="9"/>
      <c r="X42823" s="9"/>
    </row>
    <row r="42824">
      <c r="D42824" s="9"/>
      <c r="G42824" s="9"/>
      <c r="J42824" s="11"/>
      <c r="U42824" s="9"/>
      <c r="X42824" s="9"/>
    </row>
    <row r="42825">
      <c r="D42825" s="9"/>
      <c r="G42825" s="9"/>
      <c r="J42825" s="11"/>
      <c r="U42825" s="9"/>
      <c r="X42825" s="9"/>
    </row>
    <row r="42826">
      <c r="D42826" s="9"/>
      <c r="G42826" s="9"/>
      <c r="J42826" s="11"/>
      <c r="U42826" s="9"/>
      <c r="X42826" s="9"/>
    </row>
    <row r="42827">
      <c r="D42827" s="9"/>
      <c r="G42827" s="9"/>
      <c r="J42827" s="11"/>
      <c r="U42827" s="9"/>
      <c r="X42827" s="9"/>
    </row>
    <row r="42828">
      <c r="D42828" s="9"/>
      <c r="G42828" s="9"/>
      <c r="J42828" s="11"/>
      <c r="U42828" s="9"/>
      <c r="X42828" s="9"/>
    </row>
    <row r="42829">
      <c r="D42829" s="9"/>
      <c r="G42829" s="9"/>
      <c r="J42829" s="11"/>
      <c r="U42829" s="9"/>
      <c r="X42829" s="9"/>
    </row>
    <row r="42830">
      <c r="D42830" s="9"/>
      <c r="G42830" s="9"/>
      <c r="J42830" s="11"/>
      <c r="U42830" s="9"/>
      <c r="X42830" s="9"/>
    </row>
    <row r="42831">
      <c r="D42831" s="9"/>
      <c r="G42831" s="9"/>
      <c r="J42831" s="11"/>
      <c r="U42831" s="9"/>
      <c r="X42831" s="9"/>
    </row>
    <row r="42832">
      <c r="D42832" s="9"/>
      <c r="G42832" s="9"/>
      <c r="J42832" s="11"/>
      <c r="U42832" s="9"/>
      <c r="X42832" s="9"/>
    </row>
    <row r="42833">
      <c r="D42833" s="9"/>
      <c r="G42833" s="9"/>
      <c r="J42833" s="11"/>
      <c r="U42833" s="9"/>
      <c r="X42833" s="9"/>
    </row>
    <row r="42834">
      <c r="D42834" s="9"/>
      <c r="G42834" s="9"/>
      <c r="J42834" s="11"/>
      <c r="U42834" s="9"/>
      <c r="X42834" s="9"/>
    </row>
    <row r="42835">
      <c r="D42835" s="9"/>
      <c r="G42835" s="9"/>
      <c r="J42835" s="11"/>
      <c r="U42835" s="9"/>
      <c r="X42835" s="9"/>
    </row>
    <row r="42836">
      <c r="D42836" s="9"/>
      <c r="G42836" s="9"/>
      <c r="J42836" s="11"/>
      <c r="U42836" s="9"/>
      <c r="X42836" s="9"/>
    </row>
    <row r="42837">
      <c r="D42837" s="9"/>
      <c r="G42837" s="9"/>
      <c r="J42837" s="11"/>
      <c r="U42837" s="9"/>
      <c r="X42837" s="9"/>
    </row>
    <row r="42838">
      <c r="D42838" s="9"/>
      <c r="G42838" s="9"/>
      <c r="J42838" s="11"/>
      <c r="U42838" s="9"/>
      <c r="X42838" s="9"/>
    </row>
    <row r="42839">
      <c r="D42839" s="9"/>
      <c r="G42839" s="9"/>
      <c r="J42839" s="11"/>
      <c r="U42839" s="9"/>
      <c r="X42839" s="9"/>
    </row>
    <row r="42840">
      <c r="D42840" s="9"/>
      <c r="G42840" s="9"/>
      <c r="J42840" s="11"/>
      <c r="U42840" s="9"/>
      <c r="X42840" s="9"/>
    </row>
    <row r="42841">
      <c r="D42841" s="9"/>
      <c r="G42841" s="9"/>
      <c r="J42841" s="11"/>
      <c r="U42841" s="9"/>
      <c r="X42841" s="9"/>
    </row>
    <row r="42842">
      <c r="D42842" s="9"/>
      <c r="G42842" s="9"/>
      <c r="J42842" s="11"/>
      <c r="U42842" s="9"/>
      <c r="X42842" s="9"/>
    </row>
    <row r="42843">
      <c r="D42843" s="9"/>
      <c r="G42843" s="9"/>
      <c r="J42843" s="11"/>
      <c r="U42843" s="9"/>
      <c r="X42843" s="9"/>
    </row>
    <row r="42844">
      <c r="D42844" s="9"/>
      <c r="G42844" s="9"/>
      <c r="J42844" s="11"/>
      <c r="U42844" s="9"/>
      <c r="X42844" s="9"/>
    </row>
    <row r="42845">
      <c r="D42845" s="9"/>
      <c r="G42845" s="9"/>
      <c r="J42845" s="11"/>
      <c r="U42845" s="9"/>
      <c r="X42845" s="9"/>
    </row>
    <row r="42846">
      <c r="D42846" s="9"/>
      <c r="G42846" s="9"/>
      <c r="J42846" s="11"/>
      <c r="U42846" s="9"/>
      <c r="X42846" s="9"/>
    </row>
    <row r="42847">
      <c r="D42847" s="9"/>
      <c r="G42847" s="9"/>
      <c r="J42847" s="11"/>
      <c r="U42847" s="9"/>
      <c r="X42847" s="9"/>
    </row>
    <row r="42848">
      <c r="D42848" s="9"/>
      <c r="G42848" s="9"/>
      <c r="J42848" s="11"/>
      <c r="U42848" s="9"/>
      <c r="X42848" s="9"/>
    </row>
    <row r="42849">
      <c r="D42849" s="9"/>
      <c r="G42849" s="9"/>
      <c r="J42849" s="11"/>
      <c r="U42849" s="9"/>
      <c r="X42849" s="9"/>
    </row>
    <row r="42850">
      <c r="D42850" s="9"/>
      <c r="G42850" s="9"/>
      <c r="J42850" s="11"/>
      <c r="U42850" s="9"/>
      <c r="X42850" s="9"/>
    </row>
    <row r="42851">
      <c r="D42851" s="9"/>
      <c r="G42851" s="9"/>
      <c r="J42851" s="11"/>
      <c r="U42851" s="9"/>
      <c r="X42851" s="9"/>
    </row>
    <row r="42852">
      <c r="D42852" s="9"/>
      <c r="G42852" s="9"/>
      <c r="J42852" s="11"/>
      <c r="U42852" s="9"/>
      <c r="X42852" s="9"/>
    </row>
    <row r="42853">
      <c r="D42853" s="9"/>
      <c r="G42853" s="9"/>
      <c r="J42853" s="11"/>
      <c r="U42853" s="9"/>
      <c r="X42853" s="9"/>
    </row>
    <row r="42854">
      <c r="D42854" s="9"/>
      <c r="G42854" s="9"/>
      <c r="J42854" s="11"/>
      <c r="U42854" s="9"/>
      <c r="X42854" s="9"/>
    </row>
    <row r="42855">
      <c r="D42855" s="9"/>
      <c r="G42855" s="9"/>
      <c r="J42855" s="11"/>
      <c r="U42855" s="9"/>
      <c r="X42855" s="9"/>
    </row>
    <row r="42856">
      <c r="D42856" s="9"/>
      <c r="G42856" s="9"/>
      <c r="J42856" s="11"/>
      <c r="U42856" s="9"/>
      <c r="X42856" s="9"/>
    </row>
    <row r="42857">
      <c r="D42857" s="9"/>
      <c r="G42857" s="9"/>
      <c r="J42857" s="11"/>
      <c r="U42857" s="9"/>
      <c r="X42857" s="9"/>
    </row>
    <row r="42858">
      <c r="D42858" s="9"/>
      <c r="G42858" s="9"/>
      <c r="J42858" s="11"/>
      <c r="U42858" s="9"/>
      <c r="X42858" s="9"/>
    </row>
    <row r="42859">
      <c r="D42859" s="9"/>
      <c r="G42859" s="9"/>
      <c r="J42859" s="11"/>
      <c r="U42859" s="9"/>
      <c r="X42859" s="9"/>
    </row>
    <row r="42860">
      <c r="D42860" s="9"/>
      <c r="G42860" s="9"/>
      <c r="J42860" s="11"/>
      <c r="U42860" s="9"/>
      <c r="X42860" s="9"/>
    </row>
    <row r="42861">
      <c r="D42861" s="9"/>
      <c r="G42861" s="9"/>
      <c r="J42861" s="11"/>
      <c r="U42861" s="9"/>
      <c r="X42861" s="9"/>
    </row>
    <row r="42862">
      <c r="D42862" s="9"/>
      <c r="G42862" s="9"/>
      <c r="J42862" s="11"/>
      <c r="U42862" s="9"/>
      <c r="X42862" s="9"/>
    </row>
    <row r="42863">
      <c r="D42863" s="9"/>
      <c r="G42863" s="9"/>
      <c r="J42863" s="11"/>
      <c r="U42863" s="9"/>
      <c r="X42863" s="9"/>
    </row>
    <row r="42864">
      <c r="D42864" s="9"/>
      <c r="G42864" s="9"/>
      <c r="J42864" s="11"/>
      <c r="U42864" s="9"/>
      <c r="X42864" s="9"/>
    </row>
    <row r="42865">
      <c r="D42865" s="9"/>
      <c r="G42865" s="9"/>
      <c r="J42865" s="11"/>
      <c r="U42865" s="9"/>
      <c r="X42865" s="9"/>
    </row>
    <row r="42866">
      <c r="D42866" s="9"/>
      <c r="G42866" s="9"/>
      <c r="J42866" s="11"/>
      <c r="U42866" s="9"/>
      <c r="X42866" s="9"/>
    </row>
    <row r="42867">
      <c r="D42867" s="9"/>
      <c r="G42867" s="9"/>
      <c r="J42867" s="11"/>
      <c r="U42867" s="9"/>
      <c r="X42867" s="9"/>
    </row>
    <row r="42868">
      <c r="D42868" s="9"/>
      <c r="G42868" s="9"/>
      <c r="J42868" s="11"/>
      <c r="U42868" s="9"/>
      <c r="X42868" s="9"/>
    </row>
    <row r="42869">
      <c r="D42869" s="9"/>
      <c r="G42869" s="9"/>
      <c r="J42869" s="11"/>
      <c r="U42869" s="9"/>
      <c r="X42869" s="9"/>
    </row>
    <row r="42870">
      <c r="D42870" s="9"/>
      <c r="G42870" s="9"/>
      <c r="J42870" s="11"/>
      <c r="U42870" s="9"/>
      <c r="X42870" s="9"/>
    </row>
    <row r="42871">
      <c r="D42871" s="9"/>
      <c r="G42871" s="9"/>
      <c r="J42871" s="11"/>
      <c r="U42871" s="9"/>
      <c r="X42871" s="9"/>
    </row>
    <row r="42872">
      <c r="D42872" s="9"/>
      <c r="G42872" s="9"/>
      <c r="J42872" s="11"/>
      <c r="U42872" s="9"/>
      <c r="X42872" s="9"/>
    </row>
    <row r="42873">
      <c r="D42873" s="9"/>
      <c r="G42873" s="9"/>
      <c r="J42873" s="11"/>
      <c r="U42873" s="9"/>
      <c r="X42873" s="9"/>
    </row>
    <row r="42874">
      <c r="D42874" s="9"/>
      <c r="G42874" s="9"/>
      <c r="J42874" s="11"/>
      <c r="U42874" s="9"/>
      <c r="X42874" s="9"/>
    </row>
    <row r="42875">
      <c r="D42875" s="9"/>
      <c r="G42875" s="9"/>
      <c r="J42875" s="11"/>
      <c r="U42875" s="9"/>
      <c r="X42875" s="9"/>
    </row>
    <row r="42876">
      <c r="D42876" s="9"/>
      <c r="G42876" s="9"/>
      <c r="J42876" s="11"/>
      <c r="U42876" s="9"/>
      <c r="X42876" s="9"/>
    </row>
    <row r="42877">
      <c r="D42877" s="9"/>
      <c r="G42877" s="9"/>
      <c r="J42877" s="11"/>
      <c r="U42877" s="9"/>
      <c r="X42877" s="9"/>
    </row>
    <row r="42878">
      <c r="D42878" s="9"/>
      <c r="G42878" s="9"/>
      <c r="J42878" s="11"/>
      <c r="U42878" s="9"/>
      <c r="X42878" s="9"/>
    </row>
    <row r="42879">
      <c r="D42879" s="9"/>
      <c r="G42879" s="9"/>
      <c r="J42879" s="11"/>
      <c r="U42879" s="9"/>
      <c r="X42879" s="9"/>
    </row>
    <row r="42880">
      <c r="D42880" s="9"/>
      <c r="G42880" s="9"/>
      <c r="J42880" s="11"/>
      <c r="U42880" s="9"/>
      <c r="X42880" s="9"/>
    </row>
    <row r="42881">
      <c r="D42881" s="9"/>
      <c r="G42881" s="9"/>
      <c r="J42881" s="11"/>
      <c r="U42881" s="9"/>
      <c r="X42881" s="9"/>
    </row>
    <row r="42882">
      <c r="D42882" s="9"/>
      <c r="G42882" s="9"/>
      <c r="J42882" s="11"/>
      <c r="U42882" s="9"/>
      <c r="X42882" s="9"/>
    </row>
    <row r="42883">
      <c r="D42883" s="9"/>
      <c r="G42883" s="9"/>
      <c r="J42883" s="11"/>
      <c r="U42883" s="9"/>
      <c r="X42883" s="9"/>
    </row>
    <row r="42884">
      <c r="D42884" s="9"/>
      <c r="G42884" s="9"/>
      <c r="J42884" s="11"/>
      <c r="U42884" s="9"/>
      <c r="X42884" s="9"/>
    </row>
    <row r="42885">
      <c r="D42885" s="9"/>
      <c r="G42885" s="9"/>
      <c r="J42885" s="11"/>
      <c r="U42885" s="9"/>
      <c r="X42885" s="9"/>
    </row>
    <row r="42886">
      <c r="D42886" s="9"/>
      <c r="G42886" s="9"/>
      <c r="J42886" s="11"/>
      <c r="U42886" s="9"/>
      <c r="X42886" s="9"/>
    </row>
    <row r="42887">
      <c r="D42887" s="9"/>
      <c r="G42887" s="9"/>
      <c r="J42887" s="11"/>
      <c r="U42887" s="9"/>
      <c r="X42887" s="9"/>
    </row>
    <row r="42888">
      <c r="D42888" s="9"/>
      <c r="G42888" s="9"/>
      <c r="J42888" s="11"/>
      <c r="U42888" s="9"/>
      <c r="X42888" s="9"/>
    </row>
    <row r="42889">
      <c r="D42889" s="9"/>
      <c r="G42889" s="9"/>
      <c r="J42889" s="11"/>
      <c r="U42889" s="9"/>
      <c r="X42889" s="9"/>
    </row>
    <row r="42890">
      <c r="D42890" s="9"/>
      <c r="G42890" s="9"/>
      <c r="J42890" s="11"/>
      <c r="U42890" s="9"/>
      <c r="X42890" s="9"/>
    </row>
    <row r="42891">
      <c r="D42891" s="9"/>
      <c r="G42891" s="9"/>
      <c r="J42891" s="11"/>
      <c r="U42891" s="9"/>
      <c r="X42891" s="9"/>
    </row>
    <row r="42892">
      <c r="D42892" s="9"/>
      <c r="G42892" s="9"/>
      <c r="J42892" s="11"/>
      <c r="U42892" s="9"/>
      <c r="X42892" s="9"/>
    </row>
    <row r="42893">
      <c r="D42893" s="9"/>
      <c r="G42893" s="9"/>
      <c r="J42893" s="11"/>
      <c r="U42893" s="9"/>
      <c r="X42893" s="9"/>
    </row>
    <row r="42894">
      <c r="D42894" s="9"/>
      <c r="G42894" s="9"/>
      <c r="J42894" s="11"/>
      <c r="U42894" s="9"/>
      <c r="X42894" s="9"/>
    </row>
    <row r="42895">
      <c r="D42895" s="9"/>
      <c r="G42895" s="9"/>
      <c r="J42895" s="11"/>
      <c r="U42895" s="9"/>
      <c r="X42895" s="9"/>
    </row>
    <row r="42896">
      <c r="D42896" s="9"/>
      <c r="G42896" s="9"/>
      <c r="J42896" s="11"/>
      <c r="U42896" s="9"/>
      <c r="X42896" s="9"/>
    </row>
    <row r="42897">
      <c r="D42897" s="9"/>
      <c r="G42897" s="9"/>
      <c r="J42897" s="11"/>
      <c r="U42897" s="9"/>
      <c r="X42897" s="9"/>
    </row>
    <row r="42898">
      <c r="D42898" s="9"/>
      <c r="G42898" s="9"/>
      <c r="J42898" s="11"/>
      <c r="U42898" s="9"/>
      <c r="X42898" s="9"/>
    </row>
    <row r="42899">
      <c r="D42899" s="9"/>
      <c r="G42899" s="9"/>
      <c r="J42899" s="11"/>
      <c r="U42899" s="9"/>
      <c r="X42899" s="9"/>
    </row>
    <row r="42900">
      <c r="D42900" s="9"/>
      <c r="G42900" s="9"/>
      <c r="J42900" s="11"/>
      <c r="U42900" s="9"/>
      <c r="X42900" s="9"/>
    </row>
    <row r="42901">
      <c r="D42901" s="9"/>
      <c r="G42901" s="9"/>
      <c r="J42901" s="11"/>
      <c r="U42901" s="9"/>
      <c r="X42901" s="9"/>
    </row>
    <row r="42902">
      <c r="D42902" s="9"/>
      <c r="G42902" s="9"/>
      <c r="J42902" s="11"/>
      <c r="U42902" s="9"/>
      <c r="X42902" s="9"/>
    </row>
    <row r="42903">
      <c r="D42903" s="9"/>
      <c r="G42903" s="9"/>
      <c r="J42903" s="11"/>
      <c r="U42903" s="9"/>
      <c r="X42903" s="9"/>
    </row>
    <row r="42904">
      <c r="D42904" s="9"/>
      <c r="G42904" s="9"/>
      <c r="J42904" s="11"/>
      <c r="U42904" s="9"/>
      <c r="X42904" s="9"/>
    </row>
    <row r="42905">
      <c r="D42905" s="9"/>
      <c r="G42905" s="9"/>
      <c r="J42905" s="11"/>
      <c r="U42905" s="9"/>
      <c r="X42905" s="9"/>
    </row>
    <row r="42906">
      <c r="D42906" s="9"/>
      <c r="G42906" s="9"/>
      <c r="J42906" s="11"/>
      <c r="U42906" s="9"/>
      <c r="X42906" s="9"/>
    </row>
    <row r="42907">
      <c r="D42907" s="9"/>
      <c r="G42907" s="9"/>
      <c r="J42907" s="11"/>
      <c r="U42907" s="9"/>
      <c r="X42907" s="9"/>
    </row>
    <row r="42908">
      <c r="D42908" s="9"/>
      <c r="G42908" s="9"/>
      <c r="J42908" s="11"/>
      <c r="U42908" s="9"/>
      <c r="X42908" s="9"/>
    </row>
    <row r="42909">
      <c r="D42909" s="9"/>
      <c r="G42909" s="9"/>
      <c r="J42909" s="11"/>
      <c r="U42909" s="9"/>
      <c r="X42909" s="9"/>
    </row>
    <row r="42910">
      <c r="D42910" s="9"/>
      <c r="G42910" s="9"/>
      <c r="J42910" s="11"/>
      <c r="U42910" s="9"/>
      <c r="X42910" s="9"/>
    </row>
    <row r="42911">
      <c r="D42911" s="9"/>
      <c r="G42911" s="9"/>
      <c r="J42911" s="11"/>
      <c r="U42911" s="9"/>
      <c r="X42911" s="9"/>
    </row>
    <row r="42912">
      <c r="D42912" s="9"/>
      <c r="G42912" s="9"/>
      <c r="J42912" s="11"/>
      <c r="U42912" s="9"/>
      <c r="X42912" s="9"/>
    </row>
    <row r="42913">
      <c r="D42913" s="9"/>
      <c r="G42913" s="9"/>
      <c r="J42913" s="11"/>
      <c r="U42913" s="9"/>
      <c r="X42913" s="9"/>
    </row>
    <row r="42914">
      <c r="D42914" s="9"/>
      <c r="G42914" s="9"/>
      <c r="J42914" s="11"/>
      <c r="U42914" s="9"/>
      <c r="X42914" s="9"/>
    </row>
    <row r="42915">
      <c r="D42915" s="9"/>
      <c r="G42915" s="9"/>
      <c r="J42915" s="11"/>
      <c r="U42915" s="9"/>
      <c r="X42915" s="9"/>
    </row>
    <row r="42916">
      <c r="D42916" s="9"/>
      <c r="G42916" s="9"/>
      <c r="J42916" s="11"/>
      <c r="U42916" s="9"/>
      <c r="X42916" s="9"/>
    </row>
    <row r="42917">
      <c r="D42917" s="9"/>
      <c r="G42917" s="9"/>
      <c r="J42917" s="11"/>
      <c r="U42917" s="9"/>
      <c r="X42917" s="9"/>
    </row>
    <row r="42918">
      <c r="D42918" s="9"/>
      <c r="G42918" s="9"/>
      <c r="J42918" s="11"/>
      <c r="U42918" s="9"/>
      <c r="X42918" s="9"/>
    </row>
    <row r="42919">
      <c r="D42919" s="9"/>
      <c r="G42919" s="9"/>
      <c r="J42919" s="11"/>
      <c r="U42919" s="9"/>
      <c r="X42919" s="9"/>
    </row>
    <row r="42920">
      <c r="D42920" s="9"/>
      <c r="G42920" s="9"/>
      <c r="J42920" s="11"/>
      <c r="U42920" s="9"/>
      <c r="X42920" s="9"/>
    </row>
    <row r="42921">
      <c r="D42921" s="9"/>
      <c r="G42921" s="9"/>
      <c r="J42921" s="11"/>
      <c r="U42921" s="9"/>
      <c r="X42921" s="9"/>
    </row>
    <row r="42922">
      <c r="D42922" s="9"/>
      <c r="G42922" s="9"/>
      <c r="J42922" s="11"/>
      <c r="U42922" s="9"/>
      <c r="X42922" s="9"/>
    </row>
    <row r="42923">
      <c r="D42923" s="9"/>
      <c r="G42923" s="9"/>
      <c r="J42923" s="11"/>
      <c r="U42923" s="9"/>
      <c r="X42923" s="9"/>
    </row>
    <row r="42924">
      <c r="D42924" s="9"/>
      <c r="G42924" s="9"/>
      <c r="J42924" s="11"/>
      <c r="U42924" s="9"/>
      <c r="X42924" s="9"/>
    </row>
    <row r="42925">
      <c r="D42925" s="9"/>
      <c r="G42925" s="9"/>
      <c r="J42925" s="11"/>
      <c r="U42925" s="9"/>
      <c r="X42925" s="9"/>
    </row>
    <row r="42926">
      <c r="D42926" s="9"/>
      <c r="G42926" s="9"/>
      <c r="J42926" s="11"/>
      <c r="U42926" s="9"/>
      <c r="X42926" s="9"/>
    </row>
    <row r="42927">
      <c r="D42927" s="9"/>
      <c r="G42927" s="9"/>
      <c r="J42927" s="11"/>
      <c r="U42927" s="9"/>
      <c r="X42927" s="9"/>
    </row>
    <row r="42928">
      <c r="D42928" s="9"/>
      <c r="G42928" s="9"/>
      <c r="J42928" s="11"/>
      <c r="U42928" s="9"/>
      <c r="X42928" s="9"/>
    </row>
    <row r="42929">
      <c r="D42929" s="9"/>
      <c r="G42929" s="9"/>
      <c r="J42929" s="11"/>
      <c r="U42929" s="9"/>
      <c r="X42929" s="9"/>
    </row>
    <row r="42930">
      <c r="D42930" s="9"/>
      <c r="G42930" s="9"/>
      <c r="J42930" s="11"/>
      <c r="U42930" s="9"/>
      <c r="X42930" s="9"/>
    </row>
    <row r="42931">
      <c r="D42931" s="9"/>
      <c r="G42931" s="9"/>
      <c r="J42931" s="11"/>
      <c r="U42931" s="9"/>
      <c r="X42931" s="9"/>
    </row>
    <row r="42932">
      <c r="D42932" s="9"/>
      <c r="G42932" s="9"/>
      <c r="J42932" s="11"/>
      <c r="U42932" s="9"/>
      <c r="X42932" s="9"/>
    </row>
    <row r="42933">
      <c r="D42933" s="9"/>
      <c r="G42933" s="9"/>
      <c r="J42933" s="11"/>
      <c r="U42933" s="9"/>
      <c r="X42933" s="9"/>
    </row>
    <row r="42934">
      <c r="D42934" s="9"/>
      <c r="G42934" s="9"/>
      <c r="J42934" s="11"/>
      <c r="U42934" s="9"/>
      <c r="X42934" s="9"/>
    </row>
    <row r="42935">
      <c r="D42935" s="9"/>
      <c r="G42935" s="9"/>
      <c r="J42935" s="11"/>
      <c r="U42935" s="9"/>
      <c r="X42935" s="9"/>
    </row>
    <row r="42936">
      <c r="D42936" s="9"/>
      <c r="G42936" s="9"/>
      <c r="J42936" s="11"/>
      <c r="U42936" s="9"/>
      <c r="X42936" s="9"/>
    </row>
    <row r="42937">
      <c r="D42937" s="9"/>
      <c r="G42937" s="9"/>
      <c r="J42937" s="11"/>
      <c r="U42937" s="9"/>
      <c r="X42937" s="9"/>
    </row>
    <row r="42938">
      <c r="D42938" s="9"/>
      <c r="G42938" s="9"/>
      <c r="J42938" s="11"/>
      <c r="U42938" s="9"/>
      <c r="X42938" s="9"/>
    </row>
    <row r="42939">
      <c r="D42939" s="9"/>
      <c r="G42939" s="9"/>
      <c r="J42939" s="11"/>
      <c r="U42939" s="9"/>
      <c r="X42939" s="9"/>
    </row>
    <row r="42940">
      <c r="D42940" s="9"/>
      <c r="G42940" s="9"/>
      <c r="J42940" s="11"/>
      <c r="U42940" s="9"/>
      <c r="X42940" s="9"/>
    </row>
    <row r="42941">
      <c r="D42941" s="9"/>
      <c r="G42941" s="9"/>
      <c r="J42941" s="11"/>
      <c r="U42941" s="9"/>
      <c r="X42941" s="9"/>
    </row>
    <row r="42942">
      <c r="D42942" s="9"/>
      <c r="G42942" s="9"/>
      <c r="J42942" s="11"/>
      <c r="U42942" s="9"/>
      <c r="X42942" s="9"/>
    </row>
    <row r="42943">
      <c r="D42943" s="9"/>
      <c r="G42943" s="9"/>
      <c r="J42943" s="11"/>
      <c r="U42943" s="9"/>
      <c r="X42943" s="9"/>
    </row>
    <row r="42944">
      <c r="D42944" s="9"/>
      <c r="G42944" s="9"/>
      <c r="J42944" s="11"/>
      <c r="U42944" s="9"/>
      <c r="X42944" s="9"/>
    </row>
    <row r="42945">
      <c r="D42945" s="9"/>
      <c r="G42945" s="9"/>
      <c r="J42945" s="11"/>
      <c r="U42945" s="9"/>
      <c r="X42945" s="9"/>
    </row>
    <row r="42946">
      <c r="D42946" s="9"/>
      <c r="G42946" s="9"/>
      <c r="J42946" s="11"/>
      <c r="U42946" s="9"/>
      <c r="X42946" s="9"/>
    </row>
    <row r="42947">
      <c r="D42947" s="9"/>
      <c r="G42947" s="9"/>
      <c r="J42947" s="11"/>
      <c r="U42947" s="9"/>
      <c r="X42947" s="9"/>
    </row>
    <row r="42948">
      <c r="D42948" s="9"/>
      <c r="G42948" s="9"/>
      <c r="J42948" s="11"/>
      <c r="U42948" s="9"/>
      <c r="X42948" s="9"/>
    </row>
    <row r="42949">
      <c r="D42949" s="9"/>
      <c r="G42949" s="9"/>
      <c r="J42949" s="11"/>
      <c r="U42949" s="9"/>
      <c r="X42949" s="9"/>
    </row>
    <row r="42950">
      <c r="D42950" s="9"/>
      <c r="G42950" s="9"/>
      <c r="J42950" s="11"/>
      <c r="U42950" s="9"/>
      <c r="X42950" s="9"/>
    </row>
    <row r="42951">
      <c r="D42951" s="9"/>
      <c r="G42951" s="9"/>
      <c r="J42951" s="11"/>
      <c r="U42951" s="9"/>
      <c r="X42951" s="9"/>
    </row>
    <row r="42952">
      <c r="D42952" s="9"/>
      <c r="G42952" s="9"/>
      <c r="J42952" s="11"/>
      <c r="U42952" s="9"/>
      <c r="X42952" s="9"/>
    </row>
    <row r="42953">
      <c r="D42953" s="9"/>
      <c r="G42953" s="9"/>
      <c r="J42953" s="11"/>
      <c r="U42953" s="9"/>
      <c r="X42953" s="9"/>
    </row>
    <row r="42954">
      <c r="D42954" s="9"/>
      <c r="G42954" s="9"/>
      <c r="J42954" s="11"/>
      <c r="U42954" s="9"/>
      <c r="X42954" s="9"/>
    </row>
    <row r="42955">
      <c r="D42955" s="9"/>
      <c r="G42955" s="9"/>
      <c r="J42955" s="11"/>
      <c r="U42955" s="9"/>
      <c r="X42955" s="9"/>
    </row>
    <row r="42956">
      <c r="D42956" s="9"/>
      <c r="G42956" s="9"/>
      <c r="J42956" s="11"/>
      <c r="U42956" s="9"/>
      <c r="X42956" s="9"/>
    </row>
    <row r="42957">
      <c r="D42957" s="9"/>
      <c r="G42957" s="9"/>
      <c r="J42957" s="11"/>
      <c r="U42957" s="9"/>
      <c r="X42957" s="9"/>
    </row>
    <row r="42958">
      <c r="D42958" s="9"/>
      <c r="G42958" s="9"/>
      <c r="J42958" s="11"/>
      <c r="U42958" s="9"/>
      <c r="X42958" s="9"/>
    </row>
    <row r="42959">
      <c r="D42959" s="9"/>
      <c r="G42959" s="9"/>
      <c r="J42959" s="11"/>
      <c r="U42959" s="9"/>
      <c r="X42959" s="9"/>
    </row>
    <row r="42960">
      <c r="D42960" s="9"/>
      <c r="G42960" s="9"/>
      <c r="J42960" s="11"/>
      <c r="U42960" s="9"/>
      <c r="X42960" s="9"/>
    </row>
    <row r="42961">
      <c r="D42961" s="9"/>
      <c r="G42961" s="9"/>
      <c r="J42961" s="11"/>
      <c r="U42961" s="9"/>
      <c r="X42961" s="9"/>
    </row>
    <row r="42962">
      <c r="D42962" s="9"/>
      <c r="G42962" s="9"/>
      <c r="J42962" s="11"/>
      <c r="U42962" s="9"/>
      <c r="X42962" s="9"/>
    </row>
    <row r="42963">
      <c r="D42963" s="9"/>
      <c r="G42963" s="9"/>
      <c r="J42963" s="11"/>
      <c r="U42963" s="9"/>
      <c r="X42963" s="9"/>
    </row>
    <row r="42964">
      <c r="D42964" s="9"/>
      <c r="G42964" s="9"/>
      <c r="J42964" s="11"/>
      <c r="U42964" s="9"/>
      <c r="X42964" s="9"/>
    </row>
    <row r="42965">
      <c r="D42965" s="9"/>
      <c r="G42965" s="9"/>
      <c r="J42965" s="11"/>
      <c r="U42965" s="9"/>
      <c r="X42965" s="9"/>
    </row>
    <row r="42966">
      <c r="D42966" s="9"/>
      <c r="G42966" s="9"/>
      <c r="J42966" s="11"/>
      <c r="U42966" s="9"/>
      <c r="X42966" s="9"/>
    </row>
    <row r="42967">
      <c r="D42967" s="9"/>
      <c r="G42967" s="9"/>
      <c r="J42967" s="11"/>
      <c r="U42967" s="9"/>
      <c r="X42967" s="9"/>
    </row>
    <row r="42968">
      <c r="D42968" s="9"/>
      <c r="G42968" s="9"/>
      <c r="J42968" s="11"/>
      <c r="U42968" s="9"/>
      <c r="X42968" s="9"/>
    </row>
    <row r="42969">
      <c r="D42969" s="9"/>
      <c r="G42969" s="9"/>
      <c r="J42969" s="11"/>
      <c r="U42969" s="9"/>
      <c r="X42969" s="9"/>
    </row>
    <row r="42970">
      <c r="D42970" s="9"/>
      <c r="G42970" s="9"/>
      <c r="J42970" s="11"/>
      <c r="U42970" s="9"/>
      <c r="X42970" s="9"/>
    </row>
    <row r="42971">
      <c r="D42971" s="9"/>
      <c r="G42971" s="9"/>
      <c r="J42971" s="11"/>
      <c r="U42971" s="9"/>
      <c r="X42971" s="9"/>
    </row>
    <row r="42972">
      <c r="D42972" s="9"/>
      <c r="G42972" s="9"/>
      <c r="J42972" s="11"/>
      <c r="U42972" s="9"/>
      <c r="X42972" s="9"/>
    </row>
    <row r="42973">
      <c r="D42973" s="9"/>
      <c r="G42973" s="9"/>
      <c r="J42973" s="11"/>
      <c r="U42973" s="9"/>
      <c r="X42973" s="9"/>
    </row>
    <row r="42974">
      <c r="D42974" s="9"/>
      <c r="G42974" s="9"/>
      <c r="J42974" s="11"/>
      <c r="U42974" s="9"/>
      <c r="X42974" s="9"/>
    </row>
    <row r="42975">
      <c r="D42975" s="9"/>
      <c r="G42975" s="9"/>
      <c r="J42975" s="11"/>
      <c r="U42975" s="9"/>
      <c r="X42975" s="9"/>
    </row>
    <row r="42976">
      <c r="D42976" s="9"/>
      <c r="G42976" s="9"/>
      <c r="J42976" s="11"/>
      <c r="U42976" s="9"/>
      <c r="X42976" s="9"/>
    </row>
    <row r="42977">
      <c r="D42977" s="9"/>
      <c r="G42977" s="9"/>
      <c r="J42977" s="11"/>
      <c r="U42977" s="9"/>
      <c r="X42977" s="9"/>
    </row>
    <row r="42978">
      <c r="D42978" s="9"/>
      <c r="G42978" s="9"/>
      <c r="J42978" s="11"/>
      <c r="U42978" s="9"/>
      <c r="X42978" s="9"/>
    </row>
    <row r="42979">
      <c r="D42979" s="9"/>
      <c r="G42979" s="9"/>
      <c r="J42979" s="11"/>
      <c r="U42979" s="9"/>
      <c r="X42979" s="9"/>
    </row>
    <row r="42980">
      <c r="D42980" s="9"/>
      <c r="G42980" s="9"/>
      <c r="J42980" s="11"/>
      <c r="U42980" s="9"/>
      <c r="X42980" s="9"/>
    </row>
    <row r="42981">
      <c r="D42981" s="9"/>
      <c r="G42981" s="9"/>
      <c r="J42981" s="11"/>
      <c r="U42981" s="9"/>
      <c r="X42981" s="9"/>
    </row>
    <row r="42982">
      <c r="D42982" s="9"/>
      <c r="G42982" s="9"/>
      <c r="J42982" s="11"/>
      <c r="U42982" s="9"/>
      <c r="X42982" s="9"/>
    </row>
    <row r="42983">
      <c r="D42983" s="9"/>
      <c r="G42983" s="9"/>
      <c r="J42983" s="11"/>
      <c r="U42983" s="9"/>
      <c r="X42983" s="9"/>
    </row>
    <row r="42984">
      <c r="D42984" s="9"/>
      <c r="G42984" s="9"/>
      <c r="J42984" s="11"/>
      <c r="U42984" s="9"/>
      <c r="X42984" s="9"/>
    </row>
    <row r="42985">
      <c r="D42985" s="9"/>
      <c r="G42985" s="9"/>
      <c r="J42985" s="11"/>
      <c r="U42985" s="9"/>
      <c r="X42985" s="9"/>
    </row>
    <row r="42986">
      <c r="D42986" s="9"/>
      <c r="G42986" s="9"/>
      <c r="J42986" s="11"/>
      <c r="U42986" s="9"/>
      <c r="X42986" s="9"/>
    </row>
    <row r="42987">
      <c r="D42987" s="9"/>
      <c r="G42987" s="9"/>
      <c r="J42987" s="11"/>
      <c r="U42987" s="9"/>
      <c r="X42987" s="9"/>
    </row>
    <row r="42988">
      <c r="D42988" s="9"/>
      <c r="G42988" s="9"/>
      <c r="J42988" s="11"/>
      <c r="U42988" s="9"/>
      <c r="X42988" s="9"/>
    </row>
    <row r="42989">
      <c r="D42989" s="9"/>
      <c r="G42989" s="9"/>
      <c r="J42989" s="11"/>
      <c r="U42989" s="9"/>
      <c r="X42989" s="9"/>
    </row>
    <row r="42990">
      <c r="D42990" s="9"/>
      <c r="G42990" s="9"/>
      <c r="J42990" s="11"/>
      <c r="U42990" s="9"/>
      <c r="X42990" s="9"/>
    </row>
    <row r="42991">
      <c r="D42991" s="9"/>
      <c r="G42991" s="9"/>
      <c r="J42991" s="11"/>
      <c r="U42991" s="9"/>
      <c r="X42991" s="9"/>
    </row>
    <row r="42992">
      <c r="D42992" s="9"/>
      <c r="G42992" s="9"/>
      <c r="J42992" s="11"/>
      <c r="U42992" s="9"/>
      <c r="X42992" s="9"/>
    </row>
    <row r="42993">
      <c r="D42993" s="9"/>
      <c r="G42993" s="9"/>
      <c r="J42993" s="11"/>
      <c r="U42993" s="9"/>
      <c r="X42993" s="9"/>
    </row>
    <row r="42994">
      <c r="D42994" s="9"/>
      <c r="G42994" s="9"/>
      <c r="J42994" s="11"/>
      <c r="U42994" s="9"/>
      <c r="X42994" s="9"/>
    </row>
    <row r="42995">
      <c r="D42995" s="9"/>
      <c r="G42995" s="9"/>
      <c r="J42995" s="11"/>
      <c r="U42995" s="9"/>
      <c r="X42995" s="9"/>
    </row>
    <row r="42996">
      <c r="D42996" s="9"/>
      <c r="G42996" s="9"/>
      <c r="J42996" s="11"/>
      <c r="U42996" s="9"/>
      <c r="X42996" s="9"/>
    </row>
    <row r="42997">
      <c r="D42997" s="9"/>
      <c r="G42997" s="9"/>
      <c r="J42997" s="11"/>
      <c r="U42997" s="9"/>
      <c r="X42997" s="9"/>
    </row>
    <row r="42998">
      <c r="D42998" s="9"/>
      <c r="G42998" s="9"/>
      <c r="J42998" s="11"/>
      <c r="U42998" s="9"/>
      <c r="X42998" s="9"/>
    </row>
    <row r="42999">
      <c r="D42999" s="9"/>
      <c r="G42999" s="9"/>
      <c r="J42999" s="11"/>
      <c r="U42999" s="9"/>
      <c r="X42999" s="9"/>
    </row>
    <row r="43000">
      <c r="D43000" s="9"/>
      <c r="G43000" s="9"/>
      <c r="J43000" s="11"/>
      <c r="U43000" s="9"/>
      <c r="X43000" s="9"/>
    </row>
    <row r="43001">
      <c r="D43001" s="9"/>
      <c r="G43001" s="9"/>
      <c r="J43001" s="11"/>
      <c r="U43001" s="9"/>
      <c r="X43001" s="9"/>
    </row>
    <row r="43002">
      <c r="D43002" s="9"/>
      <c r="G43002" s="9"/>
      <c r="J43002" s="11"/>
      <c r="U43002" s="9"/>
      <c r="X43002" s="9"/>
    </row>
    <row r="43003">
      <c r="D43003" s="9"/>
      <c r="G43003" s="9"/>
      <c r="J43003" s="11"/>
      <c r="U43003" s="9"/>
      <c r="X43003" s="9"/>
    </row>
    <row r="43004">
      <c r="D43004" s="9"/>
      <c r="G43004" s="9"/>
      <c r="J43004" s="11"/>
      <c r="U43004" s="9"/>
      <c r="X43004" s="9"/>
    </row>
    <row r="43005">
      <c r="D43005" s="9"/>
      <c r="G43005" s="9"/>
      <c r="J43005" s="11"/>
      <c r="U43005" s="9"/>
      <c r="X43005" s="9"/>
    </row>
    <row r="43006">
      <c r="D43006" s="9"/>
      <c r="G43006" s="9"/>
      <c r="J43006" s="11"/>
      <c r="U43006" s="9"/>
      <c r="X43006" s="9"/>
    </row>
    <row r="43007">
      <c r="D43007" s="9"/>
      <c r="G43007" s="9"/>
      <c r="J43007" s="11"/>
      <c r="U43007" s="9"/>
      <c r="X43007" s="9"/>
    </row>
    <row r="43008">
      <c r="D43008" s="9"/>
      <c r="G43008" s="9"/>
      <c r="J43008" s="11"/>
      <c r="U43008" s="9"/>
      <c r="X43008" s="9"/>
    </row>
    <row r="43009">
      <c r="D43009" s="9"/>
      <c r="G43009" s="9"/>
      <c r="J43009" s="11"/>
      <c r="U43009" s="9"/>
      <c r="X43009" s="9"/>
    </row>
    <row r="43010">
      <c r="D43010" s="9"/>
      <c r="G43010" s="9"/>
      <c r="J43010" s="11"/>
      <c r="U43010" s="9"/>
      <c r="X43010" s="9"/>
    </row>
    <row r="43011">
      <c r="D43011" s="9"/>
      <c r="G43011" s="9"/>
      <c r="J43011" s="11"/>
      <c r="U43011" s="9"/>
      <c r="X43011" s="9"/>
    </row>
    <row r="43012">
      <c r="D43012" s="9"/>
      <c r="G43012" s="9"/>
      <c r="J43012" s="11"/>
      <c r="U43012" s="9"/>
      <c r="X43012" s="9"/>
    </row>
    <row r="43013">
      <c r="D43013" s="9"/>
      <c r="G43013" s="9"/>
      <c r="J43013" s="11"/>
      <c r="U43013" s="9"/>
      <c r="X43013" s="9"/>
    </row>
    <row r="43014">
      <c r="D43014" s="9"/>
      <c r="G43014" s="9"/>
      <c r="J43014" s="11"/>
      <c r="U43014" s="9"/>
      <c r="X43014" s="9"/>
    </row>
    <row r="43015">
      <c r="D43015" s="9"/>
      <c r="G43015" s="9"/>
      <c r="J43015" s="11"/>
      <c r="U43015" s="9"/>
      <c r="X43015" s="9"/>
    </row>
    <row r="43016">
      <c r="D43016" s="9"/>
      <c r="G43016" s="9"/>
      <c r="J43016" s="11"/>
      <c r="U43016" s="9"/>
      <c r="X43016" s="9"/>
    </row>
    <row r="43017">
      <c r="D43017" s="9"/>
      <c r="G43017" s="9"/>
      <c r="J43017" s="11"/>
      <c r="U43017" s="9"/>
      <c r="X43017" s="9"/>
    </row>
    <row r="43018">
      <c r="D43018" s="9"/>
      <c r="G43018" s="9"/>
      <c r="J43018" s="11"/>
      <c r="U43018" s="9"/>
      <c r="X43018" s="9"/>
    </row>
    <row r="43019">
      <c r="D43019" s="9"/>
      <c r="G43019" s="9"/>
      <c r="J43019" s="11"/>
      <c r="U43019" s="9"/>
      <c r="X43019" s="9"/>
    </row>
    <row r="43020">
      <c r="D43020" s="9"/>
      <c r="G43020" s="9"/>
      <c r="J43020" s="11"/>
      <c r="U43020" s="9"/>
      <c r="X43020" s="9"/>
    </row>
    <row r="43021">
      <c r="D43021" s="9"/>
      <c r="G43021" s="9"/>
      <c r="J43021" s="11"/>
      <c r="U43021" s="9"/>
      <c r="X43021" s="9"/>
    </row>
    <row r="43022">
      <c r="D43022" s="9"/>
      <c r="G43022" s="9"/>
      <c r="J43022" s="11"/>
      <c r="U43022" s="9"/>
      <c r="X43022" s="9"/>
    </row>
    <row r="43023">
      <c r="D43023" s="9"/>
      <c r="G43023" s="9"/>
      <c r="J43023" s="11"/>
      <c r="U43023" s="9"/>
      <c r="X43023" s="9"/>
    </row>
    <row r="43024">
      <c r="D43024" s="9"/>
      <c r="G43024" s="9"/>
      <c r="J43024" s="11"/>
      <c r="U43024" s="9"/>
      <c r="X43024" s="9"/>
    </row>
    <row r="43025">
      <c r="D43025" s="9"/>
      <c r="G43025" s="9"/>
      <c r="J43025" s="11"/>
      <c r="U43025" s="9"/>
      <c r="X43025" s="9"/>
    </row>
    <row r="43026">
      <c r="D43026" s="9"/>
      <c r="G43026" s="9"/>
      <c r="J43026" s="11"/>
      <c r="U43026" s="9"/>
      <c r="X43026" s="9"/>
    </row>
    <row r="43027">
      <c r="D43027" s="9"/>
      <c r="G43027" s="9"/>
      <c r="J43027" s="11"/>
      <c r="U43027" s="9"/>
      <c r="X43027" s="9"/>
    </row>
    <row r="43028">
      <c r="D43028" s="9"/>
      <c r="G43028" s="9"/>
      <c r="J43028" s="11"/>
      <c r="U43028" s="9"/>
      <c r="X43028" s="9"/>
    </row>
    <row r="43029">
      <c r="D43029" s="9"/>
      <c r="G43029" s="9"/>
      <c r="J43029" s="11"/>
      <c r="U43029" s="9"/>
      <c r="X43029" s="9"/>
    </row>
    <row r="43030">
      <c r="D43030" s="9"/>
      <c r="G43030" s="9"/>
      <c r="J43030" s="11"/>
      <c r="U43030" s="9"/>
      <c r="X43030" s="9"/>
    </row>
    <row r="43031">
      <c r="D43031" s="9"/>
      <c r="G43031" s="9"/>
      <c r="J43031" s="11"/>
      <c r="U43031" s="9"/>
      <c r="X43031" s="9"/>
    </row>
    <row r="43032">
      <c r="D43032" s="9"/>
      <c r="G43032" s="9"/>
      <c r="J43032" s="11"/>
      <c r="U43032" s="9"/>
      <c r="X43032" s="9"/>
    </row>
    <row r="43033">
      <c r="D43033" s="9"/>
      <c r="G43033" s="9"/>
      <c r="J43033" s="11"/>
      <c r="U43033" s="9"/>
      <c r="X43033" s="9"/>
    </row>
    <row r="43034">
      <c r="D43034" s="9"/>
      <c r="G43034" s="9"/>
      <c r="J43034" s="11"/>
      <c r="U43034" s="9"/>
      <c r="X43034" s="9"/>
    </row>
    <row r="43035">
      <c r="D43035" s="9"/>
      <c r="G43035" s="9"/>
      <c r="J43035" s="11"/>
      <c r="U43035" s="9"/>
      <c r="X43035" s="9"/>
    </row>
    <row r="43036">
      <c r="D43036" s="9"/>
      <c r="G43036" s="9"/>
      <c r="J43036" s="11"/>
      <c r="U43036" s="9"/>
      <c r="X43036" s="9"/>
    </row>
    <row r="43037">
      <c r="D43037" s="9"/>
      <c r="G43037" s="9"/>
      <c r="J43037" s="11"/>
      <c r="U43037" s="9"/>
      <c r="X43037" s="9"/>
    </row>
    <row r="43038">
      <c r="D43038" s="9"/>
      <c r="G43038" s="9"/>
      <c r="J43038" s="11"/>
      <c r="U43038" s="9"/>
      <c r="X43038" s="9"/>
    </row>
    <row r="43039">
      <c r="D43039" s="9"/>
      <c r="G43039" s="9"/>
      <c r="J43039" s="11"/>
      <c r="U43039" s="9"/>
      <c r="X43039" s="9"/>
    </row>
    <row r="43040">
      <c r="D43040" s="9"/>
      <c r="G43040" s="9"/>
      <c r="J43040" s="11"/>
      <c r="U43040" s="9"/>
      <c r="X43040" s="9"/>
    </row>
    <row r="43041">
      <c r="D43041" s="9"/>
      <c r="G43041" s="9"/>
      <c r="J43041" s="11"/>
      <c r="U43041" s="9"/>
      <c r="X43041" s="9"/>
    </row>
    <row r="43042">
      <c r="D43042" s="9"/>
      <c r="G43042" s="9"/>
      <c r="J43042" s="11"/>
      <c r="U43042" s="9"/>
      <c r="X43042" s="9"/>
    </row>
    <row r="43043">
      <c r="D43043" s="9"/>
      <c r="G43043" s="9"/>
      <c r="J43043" s="11"/>
      <c r="U43043" s="9"/>
      <c r="X43043" s="9"/>
    </row>
    <row r="43044">
      <c r="D43044" s="9"/>
      <c r="G43044" s="9"/>
      <c r="J43044" s="11"/>
      <c r="U43044" s="9"/>
      <c r="X43044" s="9"/>
    </row>
    <row r="43045">
      <c r="D43045" s="9"/>
      <c r="G43045" s="9"/>
      <c r="J43045" s="11"/>
      <c r="U43045" s="9"/>
      <c r="X43045" s="9"/>
    </row>
    <row r="43046">
      <c r="D43046" s="9"/>
      <c r="G43046" s="9"/>
      <c r="J43046" s="11"/>
      <c r="U43046" s="9"/>
      <c r="X43046" s="9"/>
    </row>
    <row r="43047">
      <c r="D43047" s="9"/>
      <c r="G43047" s="9"/>
      <c r="J43047" s="11"/>
      <c r="U43047" s="9"/>
      <c r="X43047" s="9"/>
    </row>
    <row r="43048">
      <c r="D43048" s="9"/>
      <c r="G43048" s="9"/>
      <c r="J43048" s="11"/>
      <c r="U43048" s="9"/>
      <c r="X43048" s="9"/>
    </row>
    <row r="43049">
      <c r="D43049" s="9"/>
      <c r="G43049" s="9"/>
      <c r="J43049" s="11"/>
      <c r="U43049" s="9"/>
      <c r="X43049" s="9"/>
    </row>
    <row r="43050">
      <c r="D43050" s="9"/>
      <c r="G43050" s="9"/>
      <c r="J43050" s="11"/>
      <c r="U43050" s="9"/>
      <c r="X43050" s="9"/>
    </row>
    <row r="43051">
      <c r="D43051" s="9"/>
      <c r="G43051" s="9"/>
      <c r="J43051" s="11"/>
      <c r="U43051" s="9"/>
      <c r="X43051" s="9"/>
    </row>
    <row r="43052">
      <c r="D43052" s="9"/>
      <c r="G43052" s="9"/>
      <c r="J43052" s="11"/>
      <c r="U43052" s="9"/>
      <c r="X43052" s="9"/>
    </row>
    <row r="43053">
      <c r="D43053" s="9"/>
      <c r="G43053" s="9"/>
      <c r="J43053" s="11"/>
      <c r="U43053" s="9"/>
      <c r="X43053" s="9"/>
    </row>
    <row r="43054">
      <c r="D43054" s="9"/>
      <c r="G43054" s="9"/>
      <c r="J43054" s="11"/>
      <c r="U43054" s="9"/>
      <c r="X43054" s="9"/>
    </row>
    <row r="43055">
      <c r="D43055" s="9"/>
      <c r="G43055" s="9"/>
      <c r="J43055" s="11"/>
      <c r="U43055" s="9"/>
      <c r="X43055" s="9"/>
    </row>
    <row r="43056">
      <c r="D43056" s="9"/>
      <c r="G43056" s="9"/>
      <c r="J43056" s="11"/>
      <c r="U43056" s="9"/>
      <c r="X43056" s="9"/>
    </row>
    <row r="43057">
      <c r="D43057" s="9"/>
      <c r="G43057" s="9"/>
      <c r="J43057" s="11"/>
      <c r="U43057" s="9"/>
      <c r="X43057" s="9"/>
    </row>
    <row r="43058">
      <c r="D43058" s="9"/>
      <c r="G43058" s="9"/>
      <c r="J43058" s="11"/>
      <c r="U43058" s="9"/>
      <c r="X43058" s="9"/>
    </row>
    <row r="43059">
      <c r="D43059" s="9"/>
      <c r="G43059" s="9"/>
      <c r="J43059" s="11"/>
      <c r="U43059" s="9"/>
      <c r="X43059" s="9"/>
    </row>
    <row r="43060">
      <c r="D43060" s="9"/>
      <c r="G43060" s="9"/>
      <c r="J43060" s="11"/>
      <c r="U43060" s="9"/>
      <c r="X43060" s="9"/>
    </row>
    <row r="43061">
      <c r="D43061" s="9"/>
      <c r="G43061" s="9"/>
      <c r="J43061" s="11"/>
      <c r="U43061" s="9"/>
      <c r="X43061" s="9"/>
    </row>
    <row r="43062">
      <c r="D43062" s="9"/>
      <c r="G43062" s="9"/>
      <c r="J43062" s="11"/>
      <c r="U43062" s="9"/>
      <c r="X43062" s="9"/>
    </row>
    <row r="43063">
      <c r="D43063" s="9"/>
      <c r="G43063" s="9"/>
      <c r="J43063" s="11"/>
      <c r="U43063" s="9"/>
      <c r="X43063" s="9"/>
    </row>
    <row r="43064">
      <c r="D43064" s="9"/>
      <c r="G43064" s="9"/>
      <c r="J43064" s="11"/>
      <c r="U43064" s="9"/>
      <c r="X43064" s="9"/>
    </row>
    <row r="43065">
      <c r="D43065" s="9"/>
      <c r="G43065" s="9"/>
      <c r="J43065" s="11"/>
      <c r="U43065" s="9"/>
      <c r="X43065" s="9"/>
    </row>
    <row r="43066">
      <c r="D43066" s="9"/>
      <c r="G43066" s="9"/>
      <c r="J43066" s="11"/>
      <c r="U43066" s="9"/>
      <c r="X43066" s="9"/>
    </row>
    <row r="43067">
      <c r="D43067" s="9"/>
      <c r="G43067" s="9"/>
      <c r="J43067" s="11"/>
      <c r="U43067" s="9"/>
      <c r="X43067" s="9"/>
    </row>
    <row r="43068">
      <c r="D43068" s="9"/>
      <c r="G43068" s="9"/>
      <c r="J43068" s="11"/>
      <c r="U43068" s="9"/>
      <c r="X43068" s="9"/>
    </row>
    <row r="43069">
      <c r="D43069" s="9"/>
      <c r="G43069" s="9"/>
      <c r="J43069" s="11"/>
      <c r="U43069" s="9"/>
      <c r="X43069" s="9"/>
    </row>
    <row r="43070">
      <c r="D43070" s="9"/>
      <c r="G43070" s="9"/>
      <c r="J43070" s="11"/>
      <c r="U43070" s="9"/>
      <c r="X43070" s="9"/>
    </row>
    <row r="43071">
      <c r="D43071" s="9"/>
      <c r="G43071" s="9"/>
      <c r="J43071" s="11"/>
      <c r="U43071" s="9"/>
      <c r="X43071" s="9"/>
    </row>
    <row r="43072">
      <c r="D43072" s="9"/>
      <c r="G43072" s="9"/>
      <c r="J43072" s="11"/>
      <c r="U43072" s="9"/>
      <c r="X43072" s="9"/>
    </row>
    <row r="43073">
      <c r="D43073" s="9"/>
      <c r="G43073" s="9"/>
      <c r="J43073" s="11"/>
      <c r="U43073" s="9"/>
      <c r="X43073" s="9"/>
    </row>
    <row r="43074">
      <c r="D43074" s="9"/>
      <c r="G43074" s="9"/>
      <c r="J43074" s="11"/>
      <c r="U43074" s="9"/>
      <c r="X43074" s="9"/>
    </row>
    <row r="43075">
      <c r="D43075" s="9"/>
      <c r="G43075" s="9"/>
      <c r="J43075" s="11"/>
      <c r="U43075" s="9"/>
      <c r="X43075" s="9"/>
    </row>
    <row r="43076">
      <c r="D43076" s="9"/>
      <c r="G43076" s="9"/>
      <c r="J43076" s="11"/>
      <c r="U43076" s="9"/>
      <c r="X43076" s="9"/>
    </row>
    <row r="43077">
      <c r="D43077" s="9"/>
      <c r="G43077" s="9"/>
      <c r="J43077" s="11"/>
      <c r="U43077" s="9"/>
      <c r="X43077" s="9"/>
    </row>
    <row r="43078">
      <c r="D43078" s="9"/>
      <c r="G43078" s="9"/>
      <c r="J43078" s="11"/>
      <c r="U43078" s="9"/>
      <c r="X43078" s="9"/>
    </row>
    <row r="43079">
      <c r="D43079" s="9"/>
      <c r="G43079" s="9"/>
      <c r="J43079" s="11"/>
      <c r="U43079" s="9"/>
      <c r="X43079" s="9"/>
    </row>
    <row r="43080">
      <c r="D43080" s="9"/>
      <c r="G43080" s="9"/>
      <c r="J43080" s="11"/>
      <c r="U43080" s="9"/>
      <c r="X43080" s="9"/>
    </row>
    <row r="43081">
      <c r="D43081" s="9"/>
      <c r="G43081" s="9"/>
      <c r="J43081" s="11"/>
      <c r="U43081" s="9"/>
      <c r="X43081" s="9"/>
    </row>
    <row r="43082">
      <c r="D43082" s="9"/>
      <c r="G43082" s="9"/>
      <c r="J43082" s="11"/>
      <c r="U43082" s="9"/>
      <c r="X43082" s="9"/>
    </row>
    <row r="43083">
      <c r="D43083" s="9"/>
      <c r="G43083" s="9"/>
      <c r="J43083" s="11"/>
      <c r="U43083" s="9"/>
      <c r="X43083" s="9"/>
    </row>
    <row r="43084">
      <c r="D43084" s="9"/>
      <c r="G43084" s="9"/>
      <c r="J43084" s="11"/>
      <c r="U43084" s="9"/>
      <c r="X43084" s="9"/>
    </row>
    <row r="43085">
      <c r="D43085" s="9"/>
      <c r="G43085" s="9"/>
      <c r="J43085" s="11"/>
      <c r="U43085" s="9"/>
      <c r="X43085" s="9"/>
    </row>
    <row r="43086">
      <c r="D43086" s="9"/>
      <c r="G43086" s="9"/>
      <c r="J43086" s="11"/>
      <c r="U43086" s="9"/>
      <c r="X43086" s="9"/>
    </row>
    <row r="43087">
      <c r="D43087" s="9"/>
      <c r="G43087" s="9"/>
      <c r="J43087" s="11"/>
      <c r="U43087" s="9"/>
      <c r="X43087" s="9"/>
    </row>
    <row r="43088">
      <c r="D43088" s="9"/>
      <c r="G43088" s="9"/>
      <c r="J43088" s="11"/>
      <c r="U43088" s="9"/>
      <c r="X43088" s="9"/>
    </row>
    <row r="43089">
      <c r="D43089" s="9"/>
      <c r="G43089" s="9"/>
      <c r="J43089" s="11"/>
      <c r="U43089" s="9"/>
      <c r="X43089" s="9"/>
    </row>
    <row r="43090">
      <c r="D43090" s="9"/>
      <c r="G43090" s="9"/>
      <c r="J43090" s="11"/>
      <c r="U43090" s="9"/>
      <c r="X43090" s="9"/>
    </row>
    <row r="43091">
      <c r="D43091" s="9"/>
      <c r="G43091" s="9"/>
      <c r="J43091" s="11"/>
      <c r="U43091" s="9"/>
      <c r="X43091" s="9"/>
    </row>
    <row r="43092">
      <c r="D43092" s="9"/>
      <c r="G43092" s="9"/>
      <c r="J43092" s="11"/>
      <c r="U43092" s="9"/>
      <c r="X43092" s="9"/>
    </row>
    <row r="43093">
      <c r="D43093" s="9"/>
      <c r="G43093" s="9"/>
      <c r="J43093" s="11"/>
      <c r="U43093" s="9"/>
      <c r="X43093" s="9"/>
    </row>
    <row r="43094">
      <c r="D43094" s="9"/>
      <c r="G43094" s="9"/>
      <c r="J43094" s="11"/>
      <c r="U43094" s="9"/>
      <c r="X43094" s="9"/>
    </row>
    <row r="43095">
      <c r="D43095" s="9"/>
      <c r="G43095" s="9"/>
      <c r="J43095" s="11"/>
      <c r="U43095" s="9"/>
      <c r="X43095" s="9"/>
    </row>
    <row r="43096">
      <c r="D43096" s="9"/>
      <c r="G43096" s="9"/>
      <c r="J43096" s="11"/>
      <c r="U43096" s="9"/>
      <c r="X43096" s="9"/>
    </row>
    <row r="43097">
      <c r="D43097" s="9"/>
      <c r="G43097" s="9"/>
      <c r="J43097" s="11"/>
      <c r="U43097" s="9"/>
      <c r="X43097" s="9"/>
    </row>
    <row r="43098">
      <c r="D43098" s="9"/>
      <c r="G43098" s="9"/>
      <c r="J43098" s="11"/>
      <c r="U43098" s="9"/>
      <c r="X43098" s="9"/>
    </row>
    <row r="43099">
      <c r="D43099" s="9"/>
      <c r="G43099" s="9"/>
      <c r="J43099" s="11"/>
      <c r="U43099" s="9"/>
      <c r="X43099" s="9"/>
    </row>
    <row r="43100">
      <c r="D43100" s="9"/>
      <c r="G43100" s="9"/>
      <c r="J43100" s="11"/>
      <c r="U43100" s="9"/>
      <c r="X43100" s="9"/>
    </row>
    <row r="43101">
      <c r="D43101" s="9"/>
      <c r="G43101" s="9"/>
      <c r="J43101" s="11"/>
      <c r="U43101" s="9"/>
      <c r="X43101" s="9"/>
    </row>
    <row r="43102">
      <c r="D43102" s="9"/>
      <c r="G43102" s="9"/>
      <c r="J43102" s="11"/>
      <c r="U43102" s="9"/>
      <c r="X43102" s="9"/>
    </row>
    <row r="43103">
      <c r="D43103" s="9"/>
      <c r="G43103" s="9"/>
      <c r="J43103" s="11"/>
      <c r="U43103" s="9"/>
      <c r="X43103" s="9"/>
    </row>
    <row r="43104">
      <c r="D43104" s="9"/>
      <c r="G43104" s="9"/>
      <c r="J43104" s="11"/>
      <c r="U43104" s="9"/>
      <c r="X43104" s="9"/>
    </row>
    <row r="43105">
      <c r="D43105" s="9"/>
      <c r="G43105" s="9"/>
      <c r="J43105" s="11"/>
      <c r="U43105" s="9"/>
      <c r="X43105" s="9"/>
    </row>
    <row r="43106">
      <c r="D43106" s="9"/>
      <c r="G43106" s="9"/>
      <c r="J43106" s="11"/>
      <c r="U43106" s="9"/>
      <c r="X43106" s="9"/>
    </row>
    <row r="43107">
      <c r="D43107" s="9"/>
      <c r="G43107" s="9"/>
      <c r="J43107" s="11"/>
      <c r="U43107" s="9"/>
      <c r="X43107" s="9"/>
    </row>
    <row r="43108">
      <c r="D43108" s="9"/>
      <c r="G43108" s="9"/>
      <c r="J43108" s="11"/>
      <c r="U43108" s="9"/>
      <c r="X43108" s="9"/>
    </row>
    <row r="43109">
      <c r="D43109" s="9"/>
      <c r="G43109" s="9"/>
      <c r="J43109" s="11"/>
      <c r="U43109" s="9"/>
      <c r="X43109" s="9"/>
    </row>
    <row r="43110">
      <c r="D43110" s="9"/>
      <c r="G43110" s="9"/>
      <c r="J43110" s="11"/>
      <c r="U43110" s="9"/>
      <c r="X43110" s="9"/>
    </row>
    <row r="43111">
      <c r="D43111" s="9"/>
      <c r="G43111" s="9"/>
      <c r="J43111" s="11"/>
      <c r="U43111" s="9"/>
      <c r="X43111" s="9"/>
    </row>
    <row r="43112">
      <c r="D43112" s="9"/>
      <c r="G43112" s="9"/>
      <c r="J43112" s="11"/>
      <c r="U43112" s="9"/>
      <c r="X43112" s="9"/>
    </row>
    <row r="43113">
      <c r="D43113" s="9"/>
      <c r="G43113" s="9"/>
      <c r="J43113" s="11"/>
      <c r="U43113" s="9"/>
      <c r="X43113" s="9"/>
    </row>
    <row r="43114">
      <c r="D43114" s="9"/>
      <c r="G43114" s="9"/>
      <c r="J43114" s="11"/>
      <c r="U43114" s="9"/>
      <c r="X43114" s="9"/>
    </row>
    <row r="43115">
      <c r="D43115" s="9"/>
      <c r="G43115" s="9"/>
      <c r="J43115" s="11"/>
      <c r="U43115" s="9"/>
      <c r="X43115" s="9"/>
    </row>
    <row r="43116">
      <c r="D43116" s="9"/>
      <c r="G43116" s="9"/>
      <c r="J43116" s="11"/>
      <c r="U43116" s="9"/>
      <c r="X43116" s="9"/>
    </row>
    <row r="43117">
      <c r="D43117" s="9"/>
      <c r="G43117" s="9"/>
      <c r="J43117" s="11"/>
      <c r="U43117" s="9"/>
      <c r="X43117" s="9"/>
    </row>
    <row r="43118">
      <c r="D43118" s="9"/>
      <c r="G43118" s="9"/>
      <c r="J43118" s="11"/>
      <c r="U43118" s="9"/>
      <c r="X43118" s="9"/>
    </row>
    <row r="43119">
      <c r="D43119" s="9"/>
      <c r="G43119" s="9"/>
      <c r="J43119" s="11"/>
      <c r="U43119" s="9"/>
      <c r="X43119" s="9"/>
    </row>
    <row r="43120">
      <c r="D43120" s="9"/>
      <c r="G43120" s="9"/>
      <c r="J43120" s="11"/>
      <c r="U43120" s="9"/>
      <c r="X43120" s="9"/>
    </row>
    <row r="43121">
      <c r="D43121" s="9"/>
      <c r="G43121" s="9"/>
      <c r="J43121" s="11"/>
      <c r="U43121" s="9"/>
      <c r="X43121" s="9"/>
    </row>
    <row r="43122">
      <c r="D43122" s="9"/>
      <c r="G43122" s="9"/>
      <c r="J43122" s="11"/>
      <c r="U43122" s="9"/>
      <c r="X43122" s="9"/>
    </row>
    <row r="43123">
      <c r="D43123" s="9"/>
      <c r="G43123" s="9"/>
      <c r="J43123" s="11"/>
      <c r="U43123" s="9"/>
      <c r="X43123" s="9"/>
    </row>
    <row r="43124">
      <c r="D43124" s="9"/>
      <c r="G43124" s="9"/>
      <c r="J43124" s="11"/>
      <c r="U43124" s="9"/>
      <c r="X43124" s="9"/>
    </row>
    <row r="43125">
      <c r="D43125" s="9"/>
      <c r="G43125" s="9"/>
      <c r="J43125" s="11"/>
      <c r="U43125" s="9"/>
      <c r="X43125" s="9"/>
    </row>
    <row r="43126">
      <c r="D43126" s="9"/>
      <c r="G43126" s="9"/>
      <c r="J43126" s="11"/>
      <c r="U43126" s="9"/>
      <c r="X43126" s="9"/>
    </row>
    <row r="43127">
      <c r="D43127" s="9"/>
      <c r="G43127" s="9"/>
      <c r="J43127" s="11"/>
      <c r="U43127" s="9"/>
      <c r="X43127" s="9"/>
    </row>
    <row r="43128">
      <c r="D43128" s="9"/>
      <c r="G43128" s="9"/>
      <c r="J43128" s="11"/>
      <c r="U43128" s="9"/>
      <c r="X43128" s="9"/>
    </row>
    <row r="43129">
      <c r="D43129" s="9"/>
      <c r="G43129" s="9"/>
      <c r="J43129" s="11"/>
      <c r="U43129" s="9"/>
      <c r="X43129" s="9"/>
    </row>
    <row r="43130">
      <c r="D43130" s="9"/>
      <c r="G43130" s="9"/>
      <c r="J43130" s="11"/>
      <c r="U43130" s="9"/>
      <c r="X43130" s="9"/>
    </row>
    <row r="43131">
      <c r="D43131" s="9"/>
      <c r="G43131" s="9"/>
      <c r="J43131" s="11"/>
      <c r="U43131" s="9"/>
      <c r="X43131" s="9"/>
    </row>
    <row r="43132">
      <c r="D43132" s="9"/>
      <c r="G43132" s="9"/>
      <c r="J43132" s="11"/>
      <c r="U43132" s="9"/>
      <c r="X43132" s="9"/>
    </row>
    <row r="43133">
      <c r="D43133" s="9"/>
      <c r="G43133" s="9"/>
      <c r="J43133" s="11"/>
      <c r="U43133" s="9"/>
      <c r="X43133" s="9"/>
    </row>
    <row r="43134">
      <c r="D43134" s="9"/>
      <c r="G43134" s="9"/>
      <c r="J43134" s="11"/>
      <c r="U43134" s="9"/>
      <c r="X43134" s="9"/>
    </row>
    <row r="43135">
      <c r="D43135" s="9"/>
      <c r="G43135" s="9"/>
      <c r="J43135" s="11"/>
      <c r="U43135" s="9"/>
      <c r="X43135" s="9"/>
    </row>
    <row r="43136">
      <c r="D43136" s="9"/>
      <c r="G43136" s="9"/>
      <c r="J43136" s="11"/>
      <c r="U43136" s="9"/>
      <c r="X43136" s="9"/>
    </row>
    <row r="43137">
      <c r="D43137" s="9"/>
      <c r="G43137" s="9"/>
      <c r="J43137" s="11"/>
      <c r="U43137" s="9"/>
      <c r="X43137" s="9"/>
    </row>
    <row r="43138">
      <c r="D43138" s="9"/>
      <c r="G43138" s="9"/>
      <c r="J43138" s="11"/>
      <c r="U43138" s="9"/>
      <c r="X43138" s="9"/>
    </row>
    <row r="43139">
      <c r="D43139" s="9"/>
      <c r="G43139" s="9"/>
      <c r="J43139" s="11"/>
      <c r="U43139" s="9"/>
      <c r="X43139" s="9"/>
    </row>
    <row r="43140">
      <c r="D43140" s="9"/>
      <c r="G43140" s="9"/>
      <c r="J43140" s="11"/>
      <c r="U43140" s="9"/>
      <c r="X43140" s="9"/>
    </row>
    <row r="43141">
      <c r="D43141" s="9"/>
      <c r="G43141" s="9"/>
      <c r="J43141" s="11"/>
      <c r="U43141" s="9"/>
      <c r="X43141" s="9"/>
    </row>
    <row r="43142">
      <c r="D43142" s="9"/>
      <c r="G43142" s="9"/>
      <c r="J43142" s="11"/>
      <c r="U43142" s="9"/>
      <c r="X43142" s="9"/>
    </row>
    <row r="43143">
      <c r="D43143" s="9"/>
      <c r="G43143" s="9"/>
      <c r="J43143" s="11"/>
      <c r="U43143" s="9"/>
      <c r="X43143" s="9"/>
    </row>
    <row r="43144">
      <c r="D43144" s="9"/>
      <c r="G43144" s="9"/>
      <c r="J43144" s="11"/>
      <c r="U43144" s="9"/>
      <c r="X43144" s="9"/>
    </row>
    <row r="43145">
      <c r="D43145" s="9"/>
      <c r="G43145" s="9"/>
      <c r="J43145" s="11"/>
      <c r="U43145" s="9"/>
      <c r="X43145" s="9"/>
    </row>
    <row r="43146">
      <c r="D43146" s="9"/>
      <c r="G43146" s="9"/>
      <c r="J43146" s="11"/>
      <c r="U43146" s="9"/>
      <c r="X43146" s="9"/>
    </row>
    <row r="43147">
      <c r="D43147" s="9"/>
      <c r="G43147" s="9"/>
      <c r="J43147" s="11"/>
      <c r="U43147" s="9"/>
      <c r="X43147" s="9"/>
    </row>
    <row r="43148">
      <c r="D43148" s="9"/>
      <c r="G43148" s="9"/>
      <c r="J43148" s="11"/>
      <c r="U43148" s="9"/>
      <c r="X43148" s="9"/>
    </row>
    <row r="43149">
      <c r="D43149" s="9"/>
      <c r="G43149" s="9"/>
      <c r="J43149" s="11"/>
      <c r="U43149" s="9"/>
      <c r="X43149" s="9"/>
    </row>
    <row r="43150">
      <c r="D43150" s="9"/>
      <c r="G43150" s="9"/>
      <c r="J43150" s="11"/>
      <c r="U43150" s="9"/>
      <c r="X43150" s="9"/>
    </row>
    <row r="43151">
      <c r="D43151" s="9"/>
      <c r="G43151" s="9"/>
      <c r="J43151" s="11"/>
      <c r="U43151" s="9"/>
      <c r="X43151" s="9"/>
    </row>
    <row r="43152">
      <c r="D43152" s="9"/>
      <c r="G43152" s="9"/>
      <c r="J43152" s="11"/>
      <c r="U43152" s="9"/>
      <c r="X43152" s="9"/>
    </row>
    <row r="43153">
      <c r="D43153" s="9"/>
      <c r="G43153" s="9"/>
      <c r="J43153" s="11"/>
      <c r="U43153" s="9"/>
      <c r="X43153" s="9"/>
    </row>
    <row r="43154">
      <c r="D43154" s="9"/>
      <c r="G43154" s="9"/>
      <c r="J43154" s="11"/>
      <c r="U43154" s="9"/>
      <c r="X43154" s="9"/>
    </row>
    <row r="43155">
      <c r="D43155" s="9"/>
      <c r="G43155" s="9"/>
      <c r="J43155" s="11"/>
      <c r="U43155" s="9"/>
      <c r="X43155" s="9"/>
    </row>
    <row r="43156">
      <c r="D43156" s="9"/>
      <c r="G43156" s="9"/>
      <c r="J43156" s="11"/>
      <c r="U43156" s="9"/>
      <c r="X43156" s="9"/>
    </row>
    <row r="43157">
      <c r="D43157" s="9"/>
      <c r="G43157" s="9"/>
      <c r="J43157" s="11"/>
      <c r="U43157" s="9"/>
      <c r="X43157" s="9"/>
    </row>
    <row r="43158">
      <c r="D43158" s="9"/>
      <c r="G43158" s="9"/>
      <c r="J43158" s="11"/>
      <c r="U43158" s="9"/>
      <c r="X43158" s="9"/>
    </row>
    <row r="43159">
      <c r="D43159" s="9"/>
      <c r="G43159" s="9"/>
      <c r="J43159" s="11"/>
      <c r="U43159" s="9"/>
      <c r="X43159" s="9"/>
    </row>
    <row r="43160">
      <c r="D43160" s="9"/>
      <c r="G43160" s="9"/>
      <c r="J43160" s="11"/>
      <c r="U43160" s="9"/>
      <c r="X43160" s="9"/>
    </row>
    <row r="43161">
      <c r="D43161" s="9"/>
      <c r="G43161" s="9"/>
      <c r="J43161" s="11"/>
      <c r="U43161" s="9"/>
      <c r="X43161" s="9"/>
    </row>
    <row r="43162">
      <c r="D43162" s="9"/>
      <c r="G43162" s="9"/>
      <c r="J43162" s="11"/>
      <c r="U43162" s="9"/>
      <c r="X43162" s="9"/>
    </row>
    <row r="43163">
      <c r="D43163" s="9"/>
      <c r="G43163" s="9"/>
      <c r="J43163" s="11"/>
      <c r="U43163" s="9"/>
      <c r="X43163" s="9"/>
    </row>
    <row r="43164">
      <c r="D43164" s="9"/>
      <c r="G43164" s="9"/>
      <c r="J43164" s="11"/>
      <c r="U43164" s="9"/>
      <c r="X43164" s="9"/>
    </row>
    <row r="43165">
      <c r="D43165" s="9"/>
      <c r="G43165" s="9"/>
      <c r="J43165" s="11"/>
      <c r="U43165" s="9"/>
      <c r="X43165" s="9"/>
    </row>
    <row r="43166">
      <c r="D43166" s="9"/>
      <c r="G43166" s="9"/>
      <c r="J43166" s="11"/>
      <c r="U43166" s="9"/>
      <c r="X43166" s="9"/>
    </row>
    <row r="43167">
      <c r="D43167" s="9"/>
      <c r="G43167" s="9"/>
      <c r="J43167" s="11"/>
      <c r="U43167" s="9"/>
      <c r="X43167" s="9"/>
    </row>
    <row r="43168">
      <c r="D43168" s="9"/>
      <c r="G43168" s="9"/>
      <c r="J43168" s="11"/>
      <c r="U43168" s="9"/>
      <c r="X43168" s="9"/>
    </row>
    <row r="43169">
      <c r="D43169" s="9"/>
      <c r="G43169" s="9"/>
      <c r="J43169" s="11"/>
      <c r="U43169" s="9"/>
      <c r="X43169" s="9"/>
    </row>
    <row r="43170">
      <c r="D43170" s="9"/>
      <c r="G43170" s="9"/>
      <c r="J43170" s="11"/>
      <c r="U43170" s="9"/>
      <c r="X43170" s="9"/>
    </row>
    <row r="43171">
      <c r="D43171" s="9"/>
      <c r="G43171" s="9"/>
      <c r="J43171" s="11"/>
      <c r="U43171" s="9"/>
      <c r="X43171" s="9"/>
    </row>
    <row r="43172">
      <c r="D43172" s="9"/>
      <c r="G43172" s="9"/>
      <c r="J43172" s="11"/>
      <c r="U43172" s="9"/>
      <c r="X43172" s="9"/>
    </row>
    <row r="43173">
      <c r="D43173" s="9"/>
      <c r="G43173" s="9"/>
      <c r="J43173" s="11"/>
      <c r="U43173" s="9"/>
      <c r="X43173" s="9"/>
    </row>
    <row r="43174">
      <c r="D43174" s="9"/>
      <c r="G43174" s="9"/>
      <c r="J43174" s="11"/>
      <c r="U43174" s="9"/>
      <c r="X43174" s="9"/>
    </row>
    <row r="43175">
      <c r="D43175" s="9"/>
      <c r="G43175" s="9"/>
      <c r="J43175" s="11"/>
      <c r="U43175" s="9"/>
      <c r="X43175" s="9"/>
    </row>
    <row r="43176">
      <c r="D43176" s="9"/>
      <c r="G43176" s="9"/>
      <c r="J43176" s="11"/>
      <c r="U43176" s="9"/>
      <c r="X43176" s="9"/>
    </row>
    <row r="43177">
      <c r="D43177" s="9"/>
      <c r="G43177" s="9"/>
      <c r="J43177" s="11"/>
      <c r="U43177" s="9"/>
      <c r="X43177" s="9"/>
    </row>
    <row r="43178">
      <c r="D43178" s="9"/>
      <c r="G43178" s="9"/>
      <c r="J43178" s="11"/>
      <c r="U43178" s="9"/>
      <c r="X43178" s="9"/>
    </row>
    <row r="43179">
      <c r="D43179" s="9"/>
      <c r="G43179" s="9"/>
      <c r="J43179" s="11"/>
      <c r="U43179" s="9"/>
      <c r="X43179" s="9"/>
    </row>
    <row r="43180">
      <c r="D43180" s="9"/>
      <c r="G43180" s="9"/>
      <c r="J43180" s="11"/>
      <c r="U43180" s="9"/>
      <c r="X43180" s="9"/>
    </row>
    <row r="43181">
      <c r="D43181" s="9"/>
      <c r="G43181" s="9"/>
      <c r="J43181" s="11"/>
      <c r="U43181" s="9"/>
      <c r="X43181" s="9"/>
    </row>
    <row r="43182">
      <c r="D43182" s="9"/>
      <c r="G43182" s="9"/>
      <c r="J43182" s="11"/>
      <c r="U43182" s="9"/>
      <c r="X43182" s="9"/>
    </row>
    <row r="43183">
      <c r="D43183" s="9"/>
      <c r="G43183" s="9"/>
      <c r="J43183" s="11"/>
      <c r="U43183" s="9"/>
      <c r="X43183" s="9"/>
    </row>
    <row r="43184">
      <c r="D43184" s="9"/>
      <c r="G43184" s="9"/>
      <c r="J43184" s="11"/>
      <c r="U43184" s="9"/>
      <c r="X43184" s="9"/>
    </row>
    <row r="43185">
      <c r="D43185" s="9"/>
      <c r="G43185" s="9"/>
      <c r="J43185" s="11"/>
      <c r="U43185" s="9"/>
      <c r="X43185" s="9"/>
    </row>
    <row r="43186">
      <c r="D43186" s="9"/>
      <c r="G43186" s="9"/>
      <c r="J43186" s="11"/>
      <c r="U43186" s="9"/>
      <c r="X43186" s="9"/>
    </row>
    <row r="43187">
      <c r="D43187" s="9"/>
      <c r="G43187" s="9"/>
      <c r="J43187" s="11"/>
      <c r="U43187" s="9"/>
      <c r="X43187" s="9"/>
    </row>
    <row r="43188">
      <c r="D43188" s="9"/>
      <c r="G43188" s="9"/>
      <c r="J43188" s="11"/>
      <c r="U43188" s="9"/>
      <c r="X43188" s="9"/>
    </row>
    <row r="43189">
      <c r="D43189" s="9"/>
      <c r="G43189" s="9"/>
      <c r="J43189" s="11"/>
      <c r="U43189" s="9"/>
      <c r="X43189" s="9"/>
    </row>
    <row r="43190">
      <c r="D43190" s="9"/>
      <c r="G43190" s="9"/>
      <c r="J43190" s="11"/>
      <c r="U43190" s="9"/>
      <c r="X43190" s="9"/>
    </row>
    <row r="43191">
      <c r="D43191" s="9"/>
      <c r="G43191" s="9"/>
      <c r="J43191" s="11"/>
      <c r="U43191" s="9"/>
      <c r="X43191" s="9"/>
    </row>
    <row r="43192">
      <c r="D43192" s="9"/>
      <c r="G43192" s="9"/>
      <c r="J43192" s="11"/>
      <c r="U43192" s="9"/>
      <c r="X43192" s="9"/>
    </row>
    <row r="43193">
      <c r="D43193" s="9"/>
      <c r="G43193" s="9"/>
      <c r="J43193" s="11"/>
      <c r="U43193" s="9"/>
      <c r="X43193" s="9"/>
    </row>
    <row r="43194">
      <c r="D43194" s="9"/>
      <c r="G43194" s="9"/>
      <c r="J43194" s="11"/>
      <c r="U43194" s="9"/>
      <c r="X43194" s="9"/>
    </row>
    <row r="43195">
      <c r="D43195" s="9"/>
      <c r="G43195" s="9"/>
      <c r="J43195" s="11"/>
      <c r="U43195" s="9"/>
      <c r="X43195" s="9"/>
    </row>
    <row r="43196">
      <c r="D43196" s="9"/>
      <c r="G43196" s="9"/>
      <c r="J43196" s="11"/>
      <c r="U43196" s="9"/>
      <c r="X43196" s="9"/>
    </row>
    <row r="43197">
      <c r="D43197" s="9"/>
      <c r="G43197" s="9"/>
      <c r="J43197" s="11"/>
      <c r="U43197" s="9"/>
      <c r="X43197" s="9"/>
    </row>
    <row r="43198">
      <c r="D43198" s="9"/>
      <c r="G43198" s="9"/>
      <c r="J43198" s="11"/>
      <c r="U43198" s="9"/>
      <c r="X43198" s="9"/>
    </row>
    <row r="43199">
      <c r="D43199" s="9"/>
      <c r="G43199" s="9"/>
      <c r="J43199" s="11"/>
      <c r="U43199" s="9"/>
      <c r="X43199" s="9"/>
    </row>
    <row r="43200">
      <c r="D43200" s="9"/>
      <c r="G43200" s="9"/>
      <c r="J43200" s="11"/>
      <c r="U43200" s="9"/>
      <c r="X43200" s="9"/>
    </row>
    <row r="43201">
      <c r="D43201" s="9"/>
      <c r="G43201" s="9"/>
      <c r="J43201" s="11"/>
      <c r="U43201" s="9"/>
      <c r="X43201" s="9"/>
    </row>
    <row r="43202">
      <c r="D43202" s="9"/>
      <c r="G43202" s="9"/>
      <c r="J43202" s="11"/>
      <c r="U43202" s="9"/>
      <c r="X43202" s="9"/>
    </row>
    <row r="43203">
      <c r="D43203" s="9"/>
      <c r="G43203" s="9"/>
      <c r="J43203" s="11"/>
      <c r="U43203" s="9"/>
      <c r="X43203" s="9"/>
    </row>
    <row r="43204">
      <c r="D43204" s="9"/>
      <c r="G43204" s="9"/>
      <c r="J43204" s="11"/>
      <c r="U43204" s="9"/>
      <c r="X43204" s="9"/>
    </row>
    <row r="43205">
      <c r="D43205" s="9"/>
      <c r="G43205" s="9"/>
      <c r="J43205" s="11"/>
      <c r="U43205" s="9"/>
      <c r="X43205" s="9"/>
    </row>
    <row r="43206">
      <c r="D43206" s="9"/>
      <c r="G43206" s="9"/>
      <c r="J43206" s="11"/>
      <c r="U43206" s="9"/>
      <c r="X43206" s="9"/>
    </row>
    <row r="43207">
      <c r="D43207" s="9"/>
      <c r="G43207" s="9"/>
      <c r="J43207" s="11"/>
      <c r="U43207" s="9"/>
      <c r="X43207" s="9"/>
    </row>
    <row r="43208">
      <c r="D43208" s="9"/>
      <c r="G43208" s="9"/>
      <c r="J43208" s="11"/>
      <c r="U43208" s="9"/>
      <c r="X43208" s="9"/>
    </row>
    <row r="43209">
      <c r="D43209" s="9"/>
      <c r="G43209" s="9"/>
      <c r="J43209" s="11"/>
      <c r="U43209" s="9"/>
      <c r="X43209" s="9"/>
    </row>
    <row r="43210">
      <c r="D43210" s="9"/>
      <c r="G43210" s="9"/>
      <c r="J43210" s="11"/>
      <c r="U43210" s="9"/>
      <c r="X43210" s="9"/>
    </row>
    <row r="43211">
      <c r="D43211" s="9"/>
      <c r="G43211" s="9"/>
      <c r="J43211" s="11"/>
      <c r="U43211" s="9"/>
      <c r="X43211" s="9"/>
    </row>
    <row r="43212">
      <c r="D43212" s="9"/>
      <c r="G43212" s="9"/>
      <c r="J43212" s="11"/>
      <c r="U43212" s="9"/>
      <c r="X43212" s="9"/>
    </row>
    <row r="43213">
      <c r="D43213" s="9"/>
      <c r="G43213" s="9"/>
      <c r="J43213" s="11"/>
      <c r="U43213" s="9"/>
      <c r="X43213" s="9"/>
    </row>
    <row r="43214">
      <c r="D43214" s="9"/>
      <c r="G43214" s="9"/>
      <c r="J43214" s="11"/>
      <c r="U43214" s="9"/>
      <c r="X43214" s="9"/>
    </row>
    <row r="43215">
      <c r="D43215" s="9"/>
      <c r="G43215" s="9"/>
      <c r="J43215" s="11"/>
      <c r="U43215" s="9"/>
      <c r="X43215" s="9"/>
    </row>
    <row r="43216">
      <c r="D43216" s="9"/>
      <c r="G43216" s="9"/>
      <c r="J43216" s="11"/>
      <c r="U43216" s="9"/>
      <c r="X43216" s="9"/>
    </row>
    <row r="43217">
      <c r="D43217" s="9"/>
      <c r="G43217" s="9"/>
      <c r="J43217" s="11"/>
      <c r="U43217" s="9"/>
      <c r="X43217" s="9"/>
    </row>
    <row r="43218">
      <c r="D43218" s="9"/>
      <c r="G43218" s="9"/>
      <c r="J43218" s="11"/>
      <c r="U43218" s="9"/>
      <c r="X43218" s="9"/>
    </row>
    <row r="43219">
      <c r="D43219" s="9"/>
      <c r="G43219" s="9"/>
      <c r="J43219" s="11"/>
      <c r="U43219" s="9"/>
      <c r="X43219" s="9"/>
    </row>
    <row r="43220">
      <c r="D43220" s="9"/>
      <c r="G43220" s="9"/>
      <c r="J43220" s="11"/>
      <c r="U43220" s="9"/>
      <c r="X43220" s="9"/>
    </row>
    <row r="43221">
      <c r="D43221" s="9"/>
      <c r="G43221" s="9"/>
      <c r="J43221" s="11"/>
      <c r="U43221" s="9"/>
      <c r="X43221" s="9"/>
    </row>
    <row r="43222">
      <c r="D43222" s="9"/>
      <c r="G43222" s="9"/>
      <c r="J43222" s="11"/>
      <c r="U43222" s="9"/>
      <c r="X43222" s="9"/>
    </row>
    <row r="43223">
      <c r="D43223" s="9"/>
      <c r="G43223" s="9"/>
      <c r="J43223" s="11"/>
      <c r="U43223" s="9"/>
      <c r="X43223" s="9"/>
    </row>
    <row r="43224">
      <c r="D43224" s="9"/>
      <c r="G43224" s="9"/>
      <c r="J43224" s="11"/>
      <c r="U43224" s="9"/>
      <c r="X43224" s="9"/>
    </row>
    <row r="43225">
      <c r="D43225" s="9"/>
      <c r="G43225" s="9"/>
      <c r="J43225" s="11"/>
      <c r="U43225" s="9"/>
      <c r="X43225" s="9"/>
    </row>
    <row r="43226">
      <c r="D43226" s="9"/>
      <c r="G43226" s="9"/>
      <c r="J43226" s="11"/>
      <c r="U43226" s="9"/>
      <c r="X43226" s="9"/>
    </row>
    <row r="43227">
      <c r="D43227" s="9"/>
      <c r="G43227" s="9"/>
      <c r="J43227" s="11"/>
      <c r="U43227" s="9"/>
      <c r="X43227" s="9"/>
    </row>
    <row r="43228">
      <c r="D43228" s="9"/>
      <c r="G43228" s="9"/>
      <c r="J43228" s="11"/>
      <c r="U43228" s="9"/>
      <c r="X43228" s="9"/>
    </row>
    <row r="43229">
      <c r="D43229" s="9"/>
      <c r="G43229" s="9"/>
      <c r="J43229" s="11"/>
      <c r="U43229" s="9"/>
      <c r="X43229" s="9"/>
    </row>
    <row r="43230">
      <c r="D43230" s="9"/>
      <c r="G43230" s="9"/>
      <c r="J43230" s="11"/>
      <c r="U43230" s="9"/>
      <c r="X43230" s="9"/>
    </row>
    <row r="43231">
      <c r="D43231" s="9"/>
      <c r="G43231" s="9"/>
      <c r="J43231" s="11"/>
      <c r="U43231" s="9"/>
      <c r="X43231" s="9"/>
    </row>
    <row r="43232">
      <c r="D43232" s="9"/>
      <c r="G43232" s="9"/>
      <c r="J43232" s="11"/>
      <c r="U43232" s="9"/>
      <c r="X43232" s="9"/>
    </row>
    <row r="43233">
      <c r="D43233" s="9"/>
      <c r="G43233" s="9"/>
      <c r="J43233" s="11"/>
      <c r="U43233" s="9"/>
      <c r="X43233" s="9"/>
    </row>
    <row r="43234">
      <c r="D43234" s="9"/>
      <c r="G43234" s="9"/>
      <c r="J43234" s="11"/>
      <c r="U43234" s="9"/>
      <c r="X43234" s="9"/>
    </row>
    <row r="43235">
      <c r="D43235" s="9"/>
      <c r="G43235" s="9"/>
      <c r="J43235" s="11"/>
      <c r="U43235" s="9"/>
      <c r="X43235" s="9"/>
    </row>
    <row r="43236">
      <c r="D43236" s="9"/>
      <c r="G43236" s="9"/>
      <c r="J43236" s="11"/>
      <c r="U43236" s="9"/>
      <c r="X43236" s="9"/>
    </row>
    <row r="43237">
      <c r="D43237" s="9"/>
      <c r="G43237" s="9"/>
      <c r="J43237" s="11"/>
      <c r="U43237" s="9"/>
      <c r="X43237" s="9"/>
    </row>
    <row r="43238">
      <c r="D43238" s="9"/>
      <c r="G43238" s="9"/>
      <c r="J43238" s="11"/>
      <c r="U43238" s="9"/>
      <c r="X43238" s="9"/>
    </row>
    <row r="43239">
      <c r="D43239" s="9"/>
      <c r="G43239" s="9"/>
      <c r="J43239" s="11"/>
      <c r="U43239" s="9"/>
      <c r="X43239" s="9"/>
    </row>
    <row r="43240">
      <c r="D43240" s="9"/>
      <c r="G43240" s="9"/>
      <c r="J43240" s="11"/>
      <c r="U43240" s="9"/>
      <c r="X43240" s="9"/>
    </row>
    <row r="43241">
      <c r="D43241" s="9"/>
      <c r="G43241" s="9"/>
      <c r="J43241" s="11"/>
      <c r="U43241" s="9"/>
      <c r="X43241" s="9"/>
    </row>
    <row r="43242">
      <c r="D43242" s="9"/>
      <c r="G43242" s="9"/>
      <c r="J43242" s="11"/>
      <c r="U43242" s="9"/>
      <c r="X43242" s="9"/>
    </row>
    <row r="43243">
      <c r="D43243" s="9"/>
      <c r="G43243" s="9"/>
      <c r="J43243" s="11"/>
      <c r="U43243" s="9"/>
      <c r="X43243" s="9"/>
    </row>
    <row r="43244">
      <c r="D43244" s="9"/>
      <c r="G43244" s="9"/>
      <c r="J43244" s="11"/>
      <c r="U43244" s="9"/>
      <c r="X43244" s="9"/>
    </row>
    <row r="43245">
      <c r="D43245" s="9"/>
      <c r="G43245" s="9"/>
      <c r="J43245" s="11"/>
      <c r="U43245" s="9"/>
      <c r="X43245" s="9"/>
    </row>
    <row r="43246">
      <c r="D43246" s="9"/>
      <c r="G43246" s="9"/>
      <c r="J43246" s="11"/>
      <c r="U43246" s="9"/>
      <c r="X43246" s="9"/>
    </row>
    <row r="43247">
      <c r="D43247" s="9"/>
      <c r="G43247" s="9"/>
      <c r="J43247" s="11"/>
      <c r="U43247" s="9"/>
      <c r="X43247" s="9"/>
    </row>
    <row r="43248">
      <c r="D43248" s="9"/>
      <c r="G43248" s="9"/>
      <c r="J43248" s="11"/>
      <c r="U43248" s="9"/>
      <c r="X43248" s="9"/>
    </row>
    <row r="43249">
      <c r="D43249" s="9"/>
      <c r="G43249" s="9"/>
      <c r="J43249" s="11"/>
      <c r="U43249" s="9"/>
      <c r="X43249" s="9"/>
    </row>
    <row r="43250">
      <c r="D43250" s="9"/>
      <c r="G43250" s="9"/>
      <c r="J43250" s="11"/>
      <c r="U43250" s="9"/>
      <c r="X43250" s="9"/>
    </row>
    <row r="43251">
      <c r="D43251" s="9"/>
      <c r="G43251" s="9"/>
      <c r="J43251" s="11"/>
      <c r="U43251" s="9"/>
      <c r="X43251" s="9"/>
    </row>
    <row r="43252">
      <c r="D43252" s="9"/>
      <c r="G43252" s="9"/>
      <c r="J43252" s="11"/>
      <c r="U43252" s="9"/>
      <c r="X43252" s="9"/>
    </row>
    <row r="43253">
      <c r="D43253" s="9"/>
      <c r="G43253" s="9"/>
      <c r="J43253" s="11"/>
      <c r="U43253" s="9"/>
      <c r="X43253" s="9"/>
    </row>
    <row r="43254">
      <c r="D43254" s="9"/>
      <c r="G43254" s="9"/>
      <c r="J43254" s="11"/>
      <c r="U43254" s="9"/>
      <c r="X43254" s="9"/>
    </row>
    <row r="43255">
      <c r="D43255" s="9"/>
      <c r="G43255" s="9"/>
      <c r="J43255" s="11"/>
      <c r="U43255" s="9"/>
      <c r="X43255" s="9"/>
    </row>
    <row r="43256">
      <c r="D43256" s="9"/>
      <c r="G43256" s="9"/>
      <c r="J43256" s="11"/>
      <c r="U43256" s="9"/>
      <c r="X43256" s="9"/>
    </row>
    <row r="43257">
      <c r="D43257" s="9"/>
      <c r="G43257" s="9"/>
      <c r="J43257" s="11"/>
      <c r="U43257" s="9"/>
      <c r="X43257" s="9"/>
    </row>
    <row r="43258">
      <c r="D43258" s="9"/>
      <c r="G43258" s="9"/>
      <c r="J43258" s="11"/>
      <c r="U43258" s="9"/>
      <c r="X43258" s="9"/>
    </row>
    <row r="43259">
      <c r="D43259" s="9"/>
      <c r="G43259" s="9"/>
      <c r="J43259" s="11"/>
      <c r="U43259" s="9"/>
      <c r="X43259" s="9"/>
    </row>
    <row r="43260">
      <c r="D43260" s="9"/>
      <c r="G43260" s="9"/>
      <c r="J43260" s="11"/>
      <c r="U43260" s="9"/>
      <c r="X43260" s="9"/>
    </row>
    <row r="43261">
      <c r="D43261" s="9"/>
      <c r="G43261" s="9"/>
      <c r="J43261" s="11"/>
      <c r="U43261" s="9"/>
      <c r="X43261" s="9"/>
    </row>
    <row r="43262">
      <c r="D43262" s="9"/>
      <c r="G43262" s="9"/>
      <c r="J43262" s="11"/>
      <c r="U43262" s="9"/>
      <c r="X43262" s="9"/>
    </row>
    <row r="43263">
      <c r="D43263" s="9"/>
      <c r="G43263" s="9"/>
      <c r="J43263" s="11"/>
      <c r="U43263" s="9"/>
      <c r="X43263" s="9"/>
    </row>
    <row r="43264">
      <c r="D43264" s="9"/>
      <c r="G43264" s="9"/>
      <c r="J43264" s="11"/>
      <c r="U43264" s="9"/>
      <c r="X43264" s="9"/>
    </row>
    <row r="43265">
      <c r="D43265" s="9"/>
      <c r="G43265" s="9"/>
      <c r="J43265" s="11"/>
      <c r="U43265" s="9"/>
      <c r="X43265" s="9"/>
    </row>
    <row r="43266">
      <c r="D43266" s="9"/>
      <c r="G43266" s="9"/>
      <c r="J43266" s="11"/>
      <c r="U43266" s="9"/>
      <c r="X43266" s="9"/>
    </row>
    <row r="43267">
      <c r="D43267" s="9"/>
      <c r="G43267" s="9"/>
      <c r="J43267" s="11"/>
      <c r="U43267" s="9"/>
      <c r="X43267" s="9"/>
    </row>
    <row r="43268">
      <c r="D43268" s="9"/>
      <c r="G43268" s="9"/>
      <c r="J43268" s="11"/>
      <c r="U43268" s="9"/>
      <c r="X43268" s="9"/>
    </row>
    <row r="43269">
      <c r="D43269" s="9"/>
      <c r="G43269" s="9"/>
      <c r="J43269" s="11"/>
      <c r="U43269" s="9"/>
      <c r="X43269" s="9"/>
    </row>
    <row r="43270">
      <c r="D43270" s="9"/>
      <c r="G43270" s="9"/>
      <c r="J43270" s="11"/>
      <c r="U43270" s="9"/>
      <c r="X43270" s="9"/>
    </row>
    <row r="43271">
      <c r="D43271" s="9"/>
      <c r="G43271" s="9"/>
      <c r="J43271" s="11"/>
      <c r="U43271" s="9"/>
      <c r="X43271" s="9"/>
    </row>
    <row r="43272">
      <c r="D43272" s="9"/>
      <c r="G43272" s="9"/>
      <c r="J43272" s="11"/>
      <c r="U43272" s="9"/>
      <c r="X43272" s="9"/>
    </row>
    <row r="43273">
      <c r="D43273" s="9"/>
      <c r="G43273" s="9"/>
      <c r="J43273" s="11"/>
      <c r="U43273" s="9"/>
      <c r="X43273" s="9"/>
    </row>
    <row r="43274">
      <c r="D43274" s="9"/>
      <c r="G43274" s="9"/>
      <c r="J43274" s="11"/>
      <c r="U43274" s="9"/>
      <c r="X43274" s="9"/>
    </row>
    <row r="43275">
      <c r="D43275" s="9"/>
      <c r="G43275" s="9"/>
      <c r="J43275" s="11"/>
      <c r="U43275" s="9"/>
      <c r="X43275" s="9"/>
    </row>
    <row r="43276">
      <c r="D43276" s="9"/>
      <c r="G43276" s="9"/>
      <c r="J43276" s="11"/>
      <c r="U43276" s="9"/>
      <c r="X43276" s="9"/>
    </row>
    <row r="43277">
      <c r="D43277" s="9"/>
      <c r="G43277" s="9"/>
      <c r="J43277" s="11"/>
      <c r="U43277" s="9"/>
      <c r="X43277" s="9"/>
    </row>
    <row r="43278">
      <c r="D43278" s="9"/>
      <c r="G43278" s="9"/>
      <c r="J43278" s="11"/>
      <c r="U43278" s="9"/>
      <c r="X43278" s="9"/>
    </row>
    <row r="43279">
      <c r="D43279" s="9"/>
      <c r="G43279" s="9"/>
      <c r="J43279" s="11"/>
      <c r="U43279" s="9"/>
      <c r="X43279" s="9"/>
    </row>
    <row r="43280">
      <c r="D43280" s="9"/>
      <c r="G43280" s="9"/>
      <c r="J43280" s="11"/>
      <c r="U43280" s="9"/>
      <c r="X43280" s="9"/>
    </row>
    <row r="43281">
      <c r="D43281" s="9"/>
      <c r="G43281" s="9"/>
      <c r="J43281" s="11"/>
      <c r="U43281" s="9"/>
      <c r="X43281" s="9"/>
    </row>
    <row r="43282">
      <c r="D43282" s="9"/>
      <c r="G43282" s="9"/>
      <c r="J43282" s="11"/>
      <c r="U43282" s="9"/>
      <c r="X43282" s="9"/>
    </row>
    <row r="43283">
      <c r="D43283" s="9"/>
      <c r="G43283" s="9"/>
      <c r="J43283" s="11"/>
      <c r="U43283" s="9"/>
      <c r="X43283" s="9"/>
    </row>
    <row r="43284">
      <c r="D43284" s="9"/>
      <c r="G43284" s="9"/>
      <c r="J43284" s="11"/>
      <c r="U43284" s="9"/>
      <c r="X43284" s="9"/>
    </row>
    <row r="43285">
      <c r="D43285" s="9"/>
      <c r="G43285" s="9"/>
      <c r="J43285" s="11"/>
      <c r="U43285" s="9"/>
      <c r="X43285" s="9"/>
    </row>
    <row r="43286">
      <c r="D43286" s="9"/>
      <c r="G43286" s="9"/>
      <c r="J43286" s="11"/>
      <c r="U43286" s="9"/>
      <c r="X43286" s="9"/>
    </row>
    <row r="43287">
      <c r="D43287" s="9"/>
      <c r="G43287" s="9"/>
      <c r="J43287" s="11"/>
      <c r="U43287" s="9"/>
      <c r="X43287" s="9"/>
    </row>
    <row r="43288">
      <c r="D43288" s="9"/>
      <c r="G43288" s="9"/>
      <c r="J43288" s="11"/>
      <c r="U43288" s="9"/>
      <c r="X43288" s="9"/>
    </row>
    <row r="43289">
      <c r="D43289" s="9"/>
      <c r="G43289" s="9"/>
      <c r="J43289" s="11"/>
      <c r="U43289" s="9"/>
      <c r="X43289" s="9"/>
    </row>
    <row r="43290">
      <c r="D43290" s="9"/>
      <c r="G43290" s="9"/>
      <c r="J43290" s="11"/>
      <c r="U43290" s="9"/>
      <c r="X43290" s="9"/>
    </row>
    <row r="43291">
      <c r="D43291" s="9"/>
      <c r="G43291" s="9"/>
      <c r="J43291" s="11"/>
      <c r="U43291" s="9"/>
      <c r="X43291" s="9"/>
    </row>
    <row r="43292">
      <c r="D43292" s="9"/>
      <c r="G43292" s="9"/>
      <c r="J43292" s="11"/>
      <c r="U43292" s="9"/>
      <c r="X43292" s="9"/>
    </row>
    <row r="43293">
      <c r="D43293" s="9"/>
      <c r="G43293" s="9"/>
      <c r="J43293" s="11"/>
      <c r="U43293" s="9"/>
      <c r="X43293" s="9"/>
    </row>
    <row r="43294">
      <c r="D43294" s="9"/>
      <c r="G43294" s="9"/>
      <c r="J43294" s="11"/>
      <c r="U43294" s="9"/>
      <c r="X43294" s="9"/>
    </row>
    <row r="43295">
      <c r="D43295" s="9"/>
      <c r="G43295" s="9"/>
      <c r="J43295" s="11"/>
      <c r="U43295" s="9"/>
      <c r="X43295" s="9"/>
    </row>
    <row r="43296">
      <c r="D43296" s="9"/>
      <c r="G43296" s="9"/>
      <c r="J43296" s="11"/>
      <c r="U43296" s="9"/>
      <c r="X43296" s="9"/>
    </row>
    <row r="43297">
      <c r="D43297" s="9"/>
      <c r="G43297" s="9"/>
      <c r="J43297" s="11"/>
      <c r="U43297" s="9"/>
      <c r="X43297" s="9"/>
    </row>
    <row r="43298">
      <c r="D43298" s="9"/>
      <c r="G43298" s="9"/>
      <c r="J43298" s="11"/>
      <c r="U43298" s="9"/>
      <c r="X43298" s="9"/>
    </row>
    <row r="43299">
      <c r="D43299" s="9"/>
      <c r="G43299" s="9"/>
      <c r="J43299" s="11"/>
      <c r="U43299" s="9"/>
      <c r="X43299" s="9"/>
    </row>
    <row r="43300">
      <c r="D43300" s="9"/>
      <c r="G43300" s="9"/>
      <c r="J43300" s="11"/>
      <c r="U43300" s="9"/>
      <c r="X43300" s="9"/>
    </row>
    <row r="43301">
      <c r="D43301" s="9"/>
      <c r="G43301" s="9"/>
      <c r="J43301" s="11"/>
      <c r="U43301" s="9"/>
      <c r="X43301" s="9"/>
    </row>
    <row r="43302">
      <c r="D43302" s="9"/>
      <c r="G43302" s="9"/>
      <c r="J43302" s="11"/>
      <c r="U43302" s="9"/>
      <c r="X43302" s="9"/>
    </row>
    <row r="43303">
      <c r="D43303" s="9"/>
      <c r="G43303" s="9"/>
      <c r="J43303" s="11"/>
      <c r="U43303" s="9"/>
      <c r="X43303" s="9"/>
    </row>
    <row r="43304">
      <c r="D43304" s="9"/>
      <c r="G43304" s="9"/>
      <c r="J43304" s="11"/>
      <c r="U43304" s="9"/>
      <c r="X43304" s="9"/>
    </row>
    <row r="43305">
      <c r="D43305" s="9"/>
      <c r="G43305" s="9"/>
      <c r="J43305" s="11"/>
      <c r="U43305" s="9"/>
      <c r="X43305" s="9"/>
    </row>
    <row r="43306">
      <c r="D43306" s="9"/>
      <c r="G43306" s="9"/>
      <c r="J43306" s="11"/>
      <c r="U43306" s="9"/>
      <c r="X43306" s="9"/>
    </row>
    <row r="43307">
      <c r="D43307" s="9"/>
      <c r="G43307" s="9"/>
      <c r="J43307" s="11"/>
      <c r="U43307" s="9"/>
      <c r="X43307" s="9"/>
    </row>
    <row r="43308">
      <c r="D43308" s="9"/>
      <c r="G43308" s="9"/>
      <c r="J43308" s="11"/>
      <c r="U43308" s="9"/>
      <c r="X43308" s="9"/>
    </row>
    <row r="43309">
      <c r="D43309" s="9"/>
      <c r="G43309" s="9"/>
      <c r="J43309" s="11"/>
      <c r="U43309" s="9"/>
      <c r="X43309" s="9"/>
    </row>
    <row r="43310">
      <c r="D43310" s="9"/>
      <c r="G43310" s="9"/>
      <c r="J43310" s="11"/>
      <c r="U43310" s="9"/>
      <c r="X43310" s="9"/>
    </row>
    <row r="43311">
      <c r="D43311" s="9"/>
      <c r="G43311" s="9"/>
      <c r="J43311" s="11"/>
      <c r="U43311" s="9"/>
      <c r="X43311" s="9"/>
    </row>
    <row r="43312">
      <c r="D43312" s="9"/>
      <c r="G43312" s="9"/>
      <c r="J43312" s="11"/>
      <c r="U43312" s="9"/>
      <c r="X43312" s="9"/>
    </row>
    <row r="43313">
      <c r="D43313" s="9"/>
      <c r="G43313" s="9"/>
      <c r="J43313" s="11"/>
      <c r="U43313" s="9"/>
      <c r="X43313" s="9"/>
    </row>
    <row r="43314">
      <c r="D43314" s="9"/>
      <c r="G43314" s="9"/>
      <c r="J43314" s="11"/>
      <c r="U43314" s="9"/>
      <c r="X43314" s="9"/>
    </row>
    <row r="43315">
      <c r="D43315" s="9"/>
      <c r="G43315" s="9"/>
      <c r="J43315" s="11"/>
      <c r="U43315" s="9"/>
      <c r="X43315" s="9"/>
    </row>
    <row r="43316">
      <c r="D43316" s="9"/>
      <c r="G43316" s="9"/>
      <c r="J43316" s="11"/>
      <c r="U43316" s="9"/>
      <c r="X43316" s="9"/>
    </row>
    <row r="43317">
      <c r="D43317" s="9"/>
      <c r="G43317" s="9"/>
      <c r="J43317" s="11"/>
      <c r="U43317" s="9"/>
      <c r="X43317" s="9"/>
    </row>
    <row r="43318">
      <c r="D43318" s="9"/>
      <c r="G43318" s="9"/>
      <c r="J43318" s="11"/>
      <c r="U43318" s="9"/>
      <c r="X43318" s="9"/>
    </row>
    <row r="43319">
      <c r="D43319" s="9"/>
      <c r="G43319" s="9"/>
      <c r="J43319" s="11"/>
      <c r="U43319" s="9"/>
      <c r="X43319" s="9"/>
    </row>
    <row r="43320">
      <c r="D43320" s="9"/>
      <c r="G43320" s="9"/>
      <c r="J43320" s="11"/>
      <c r="U43320" s="9"/>
      <c r="X43320" s="9"/>
    </row>
    <row r="43321">
      <c r="D43321" s="9"/>
      <c r="G43321" s="9"/>
      <c r="J43321" s="11"/>
      <c r="U43321" s="9"/>
      <c r="X43321" s="9"/>
    </row>
    <row r="43322">
      <c r="D43322" s="9"/>
      <c r="G43322" s="9"/>
      <c r="J43322" s="11"/>
      <c r="U43322" s="9"/>
      <c r="X43322" s="9"/>
    </row>
    <row r="43323">
      <c r="D43323" s="9"/>
      <c r="G43323" s="9"/>
      <c r="J43323" s="11"/>
      <c r="U43323" s="9"/>
      <c r="X43323" s="9"/>
    </row>
    <row r="43324">
      <c r="D43324" s="9"/>
      <c r="G43324" s="9"/>
      <c r="J43324" s="11"/>
      <c r="U43324" s="9"/>
      <c r="X43324" s="9"/>
    </row>
    <row r="43325">
      <c r="D43325" s="9"/>
      <c r="G43325" s="9"/>
      <c r="J43325" s="11"/>
      <c r="U43325" s="9"/>
      <c r="X43325" s="9"/>
    </row>
    <row r="43326">
      <c r="D43326" s="9"/>
      <c r="G43326" s="9"/>
      <c r="J43326" s="11"/>
      <c r="U43326" s="9"/>
      <c r="X43326" s="9"/>
    </row>
    <row r="43327">
      <c r="D43327" s="9"/>
      <c r="G43327" s="9"/>
      <c r="J43327" s="11"/>
      <c r="U43327" s="9"/>
      <c r="X43327" s="9"/>
    </row>
    <row r="43328">
      <c r="D43328" s="9"/>
      <c r="G43328" s="9"/>
      <c r="J43328" s="11"/>
      <c r="U43328" s="9"/>
      <c r="X43328" s="9"/>
    </row>
    <row r="43329">
      <c r="D43329" s="9"/>
      <c r="G43329" s="9"/>
      <c r="J43329" s="11"/>
      <c r="U43329" s="9"/>
      <c r="X43329" s="9"/>
    </row>
    <row r="43330">
      <c r="D43330" s="9"/>
      <c r="G43330" s="9"/>
      <c r="J43330" s="11"/>
      <c r="U43330" s="9"/>
      <c r="X43330" s="9"/>
    </row>
    <row r="43331">
      <c r="D43331" s="9"/>
      <c r="G43331" s="9"/>
      <c r="J43331" s="11"/>
      <c r="U43331" s="9"/>
      <c r="X43331" s="9"/>
    </row>
    <row r="43332">
      <c r="D43332" s="9"/>
      <c r="G43332" s="9"/>
      <c r="J43332" s="11"/>
      <c r="U43332" s="9"/>
      <c r="X43332" s="9"/>
    </row>
    <row r="43333">
      <c r="D43333" s="9"/>
      <c r="G43333" s="9"/>
      <c r="J43333" s="11"/>
      <c r="U43333" s="9"/>
      <c r="X43333" s="9"/>
    </row>
    <row r="43334">
      <c r="D43334" s="9"/>
      <c r="G43334" s="9"/>
      <c r="J43334" s="11"/>
      <c r="U43334" s="9"/>
      <c r="X43334" s="9"/>
    </row>
    <row r="43335">
      <c r="D43335" s="9"/>
      <c r="G43335" s="9"/>
      <c r="J43335" s="11"/>
      <c r="U43335" s="9"/>
      <c r="X43335" s="9"/>
    </row>
    <row r="43336">
      <c r="D43336" s="9"/>
      <c r="G43336" s="9"/>
      <c r="J43336" s="11"/>
      <c r="U43336" s="9"/>
      <c r="X43336" s="9"/>
    </row>
    <row r="43337">
      <c r="D43337" s="9"/>
      <c r="G43337" s="9"/>
      <c r="J43337" s="11"/>
      <c r="U43337" s="9"/>
      <c r="X43337" s="9"/>
    </row>
    <row r="43338">
      <c r="D43338" s="9"/>
      <c r="G43338" s="9"/>
      <c r="J43338" s="11"/>
      <c r="U43338" s="9"/>
      <c r="X43338" s="9"/>
    </row>
    <row r="43339">
      <c r="D43339" s="9"/>
      <c r="G43339" s="9"/>
      <c r="J43339" s="11"/>
      <c r="U43339" s="9"/>
      <c r="X43339" s="9"/>
    </row>
    <row r="43340">
      <c r="D43340" s="9"/>
      <c r="G43340" s="9"/>
      <c r="J43340" s="11"/>
      <c r="U43340" s="9"/>
      <c r="X43340" s="9"/>
    </row>
    <row r="43341">
      <c r="D43341" s="9"/>
      <c r="G43341" s="9"/>
      <c r="J43341" s="11"/>
      <c r="U43341" s="9"/>
      <c r="X43341" s="9"/>
    </row>
    <row r="43342">
      <c r="D43342" s="9"/>
      <c r="G43342" s="9"/>
      <c r="J43342" s="11"/>
      <c r="U43342" s="9"/>
      <c r="X43342" s="9"/>
    </row>
    <row r="43343">
      <c r="D43343" s="9"/>
      <c r="G43343" s="9"/>
      <c r="J43343" s="11"/>
      <c r="U43343" s="9"/>
      <c r="X43343" s="9"/>
    </row>
    <row r="43344">
      <c r="D43344" s="9"/>
      <c r="G43344" s="9"/>
      <c r="J43344" s="11"/>
      <c r="U43344" s="9"/>
      <c r="X43344" s="9"/>
    </row>
    <row r="43345">
      <c r="D43345" s="9"/>
      <c r="G43345" s="9"/>
      <c r="J43345" s="11"/>
      <c r="U43345" s="9"/>
      <c r="X43345" s="9"/>
    </row>
    <row r="43346">
      <c r="D43346" s="9"/>
      <c r="G43346" s="9"/>
      <c r="J43346" s="11"/>
      <c r="U43346" s="9"/>
      <c r="X43346" s="9"/>
    </row>
    <row r="43347">
      <c r="D43347" s="9"/>
      <c r="G43347" s="9"/>
      <c r="J43347" s="11"/>
      <c r="U43347" s="9"/>
      <c r="X43347" s="9"/>
    </row>
    <row r="43348">
      <c r="D43348" s="9"/>
      <c r="G43348" s="9"/>
      <c r="J43348" s="11"/>
      <c r="U43348" s="9"/>
      <c r="X43348" s="9"/>
    </row>
    <row r="43349">
      <c r="D43349" s="9"/>
      <c r="G43349" s="9"/>
      <c r="J43349" s="11"/>
      <c r="U43349" s="9"/>
      <c r="X43349" s="9"/>
    </row>
    <row r="43350">
      <c r="D43350" s="9"/>
      <c r="G43350" s="9"/>
      <c r="J43350" s="11"/>
      <c r="U43350" s="9"/>
      <c r="X43350" s="9"/>
    </row>
    <row r="43351">
      <c r="D43351" s="9"/>
      <c r="G43351" s="9"/>
      <c r="J43351" s="11"/>
      <c r="U43351" s="9"/>
      <c r="X43351" s="9"/>
    </row>
    <row r="43352">
      <c r="D43352" s="9"/>
      <c r="G43352" s="9"/>
      <c r="J43352" s="11"/>
      <c r="U43352" s="9"/>
      <c r="X43352" s="9"/>
    </row>
    <row r="43353">
      <c r="D43353" s="9"/>
      <c r="G43353" s="9"/>
      <c r="J43353" s="11"/>
      <c r="U43353" s="9"/>
      <c r="X43353" s="9"/>
    </row>
    <row r="43354">
      <c r="D43354" s="9"/>
      <c r="G43354" s="9"/>
      <c r="J43354" s="11"/>
      <c r="U43354" s="9"/>
      <c r="X43354" s="9"/>
    </row>
    <row r="43355">
      <c r="D43355" s="9"/>
      <c r="G43355" s="9"/>
      <c r="J43355" s="11"/>
      <c r="U43355" s="9"/>
      <c r="X43355" s="9"/>
    </row>
    <row r="43356">
      <c r="D43356" s="9"/>
      <c r="G43356" s="9"/>
      <c r="J43356" s="11"/>
      <c r="U43356" s="9"/>
      <c r="X43356" s="9"/>
    </row>
    <row r="43357">
      <c r="D43357" s="9"/>
      <c r="G43357" s="9"/>
      <c r="J43357" s="11"/>
      <c r="U43357" s="9"/>
      <c r="X43357" s="9"/>
    </row>
    <row r="43358">
      <c r="D43358" s="9"/>
      <c r="G43358" s="9"/>
      <c r="J43358" s="11"/>
      <c r="U43358" s="9"/>
      <c r="X43358" s="9"/>
    </row>
    <row r="43359">
      <c r="D43359" s="9"/>
      <c r="G43359" s="9"/>
      <c r="J43359" s="11"/>
      <c r="U43359" s="9"/>
      <c r="X43359" s="9"/>
    </row>
    <row r="43360">
      <c r="D43360" s="9"/>
      <c r="G43360" s="9"/>
      <c r="J43360" s="11"/>
      <c r="U43360" s="9"/>
      <c r="X43360" s="9"/>
    </row>
    <row r="43361">
      <c r="D43361" s="9"/>
      <c r="G43361" s="9"/>
      <c r="J43361" s="11"/>
      <c r="U43361" s="9"/>
      <c r="X43361" s="9"/>
    </row>
    <row r="43362">
      <c r="D43362" s="9"/>
      <c r="G43362" s="9"/>
      <c r="J43362" s="11"/>
      <c r="U43362" s="9"/>
      <c r="X43362" s="9"/>
    </row>
    <row r="43363">
      <c r="D43363" s="9"/>
      <c r="G43363" s="9"/>
      <c r="J43363" s="11"/>
      <c r="U43363" s="9"/>
      <c r="X43363" s="9"/>
    </row>
    <row r="43364">
      <c r="D43364" s="9"/>
      <c r="G43364" s="9"/>
      <c r="J43364" s="11"/>
      <c r="U43364" s="9"/>
      <c r="X43364" s="9"/>
    </row>
    <row r="43365">
      <c r="D43365" s="9"/>
      <c r="G43365" s="9"/>
      <c r="J43365" s="11"/>
      <c r="U43365" s="9"/>
      <c r="X43365" s="9"/>
    </row>
    <row r="43366">
      <c r="D43366" s="9"/>
      <c r="G43366" s="9"/>
      <c r="J43366" s="11"/>
      <c r="U43366" s="9"/>
      <c r="X43366" s="9"/>
    </row>
    <row r="43367">
      <c r="D43367" s="9"/>
      <c r="G43367" s="9"/>
      <c r="J43367" s="11"/>
      <c r="U43367" s="9"/>
      <c r="X43367" s="9"/>
    </row>
    <row r="43368">
      <c r="D43368" s="9"/>
      <c r="G43368" s="9"/>
      <c r="J43368" s="11"/>
      <c r="U43368" s="9"/>
      <c r="X43368" s="9"/>
    </row>
    <row r="43369">
      <c r="D43369" s="9"/>
      <c r="G43369" s="9"/>
      <c r="J43369" s="11"/>
      <c r="U43369" s="9"/>
      <c r="X43369" s="9"/>
    </row>
    <row r="43370">
      <c r="D43370" s="9"/>
      <c r="G43370" s="9"/>
      <c r="J43370" s="11"/>
      <c r="U43370" s="9"/>
      <c r="X43370" s="9"/>
    </row>
    <row r="43371">
      <c r="D43371" s="9"/>
      <c r="G43371" s="9"/>
      <c r="J43371" s="11"/>
      <c r="U43371" s="9"/>
      <c r="X43371" s="9"/>
    </row>
    <row r="43372">
      <c r="D43372" s="9"/>
      <c r="G43372" s="9"/>
      <c r="J43372" s="11"/>
      <c r="U43372" s="9"/>
      <c r="X43372" s="9"/>
    </row>
    <row r="43373">
      <c r="D43373" s="9"/>
      <c r="G43373" s="9"/>
      <c r="J43373" s="11"/>
      <c r="U43373" s="9"/>
      <c r="X43373" s="9"/>
    </row>
    <row r="43374">
      <c r="D43374" s="9"/>
      <c r="G43374" s="9"/>
      <c r="J43374" s="11"/>
      <c r="U43374" s="9"/>
      <c r="X43374" s="9"/>
    </row>
    <row r="43375">
      <c r="D43375" s="9"/>
      <c r="G43375" s="9"/>
      <c r="J43375" s="11"/>
      <c r="U43375" s="9"/>
      <c r="X43375" s="9"/>
    </row>
    <row r="43376">
      <c r="D43376" s="9"/>
      <c r="G43376" s="9"/>
      <c r="J43376" s="11"/>
      <c r="U43376" s="9"/>
      <c r="X43376" s="9"/>
    </row>
    <row r="43377">
      <c r="D43377" s="9"/>
      <c r="G43377" s="9"/>
      <c r="J43377" s="11"/>
      <c r="U43377" s="9"/>
      <c r="X43377" s="9"/>
    </row>
    <row r="43378">
      <c r="D43378" s="9"/>
      <c r="G43378" s="9"/>
      <c r="J43378" s="11"/>
      <c r="U43378" s="9"/>
      <c r="X43378" s="9"/>
    </row>
    <row r="43379">
      <c r="D43379" s="9"/>
      <c r="G43379" s="9"/>
      <c r="J43379" s="11"/>
      <c r="U43379" s="9"/>
      <c r="X43379" s="9"/>
    </row>
    <row r="43380">
      <c r="D43380" s="9"/>
      <c r="G43380" s="9"/>
      <c r="J43380" s="11"/>
      <c r="U43380" s="9"/>
      <c r="X43380" s="9"/>
    </row>
    <row r="43381">
      <c r="D43381" s="9"/>
      <c r="G43381" s="9"/>
      <c r="J43381" s="11"/>
      <c r="U43381" s="9"/>
      <c r="X43381" s="9"/>
    </row>
    <row r="43382">
      <c r="D43382" s="9"/>
      <c r="G43382" s="9"/>
      <c r="J43382" s="11"/>
      <c r="U43382" s="9"/>
      <c r="X43382" s="9"/>
    </row>
    <row r="43383">
      <c r="D43383" s="9"/>
      <c r="G43383" s="9"/>
      <c r="J43383" s="11"/>
      <c r="U43383" s="9"/>
      <c r="X43383" s="9"/>
    </row>
    <row r="43384">
      <c r="D43384" s="9"/>
      <c r="G43384" s="9"/>
      <c r="J43384" s="11"/>
      <c r="U43384" s="9"/>
      <c r="X43384" s="9"/>
    </row>
    <row r="43385">
      <c r="D43385" s="9"/>
      <c r="G43385" s="9"/>
      <c r="J43385" s="11"/>
      <c r="U43385" s="9"/>
      <c r="X43385" s="9"/>
    </row>
    <row r="43386">
      <c r="D43386" s="9"/>
      <c r="G43386" s="9"/>
      <c r="J43386" s="11"/>
      <c r="U43386" s="9"/>
      <c r="X43386" s="9"/>
    </row>
    <row r="43387">
      <c r="D43387" s="9"/>
      <c r="G43387" s="9"/>
      <c r="J43387" s="11"/>
      <c r="U43387" s="9"/>
      <c r="X43387" s="9"/>
    </row>
    <row r="43388">
      <c r="D43388" s="9"/>
      <c r="G43388" s="9"/>
      <c r="J43388" s="11"/>
      <c r="U43388" s="9"/>
      <c r="X43388" s="9"/>
    </row>
    <row r="43389">
      <c r="D43389" s="9"/>
      <c r="G43389" s="9"/>
      <c r="J43389" s="11"/>
      <c r="U43389" s="9"/>
      <c r="X43389" s="9"/>
    </row>
    <row r="43390">
      <c r="D43390" s="9"/>
      <c r="G43390" s="9"/>
      <c r="J43390" s="11"/>
      <c r="U43390" s="9"/>
      <c r="X43390" s="9"/>
    </row>
    <row r="43391">
      <c r="D43391" s="9"/>
      <c r="G43391" s="9"/>
      <c r="J43391" s="11"/>
      <c r="U43391" s="9"/>
      <c r="X43391" s="9"/>
    </row>
    <row r="43392">
      <c r="D43392" s="9"/>
      <c r="G43392" s="9"/>
      <c r="J43392" s="11"/>
      <c r="U43392" s="9"/>
      <c r="X43392" s="9"/>
    </row>
    <row r="43393">
      <c r="D43393" s="9"/>
      <c r="G43393" s="9"/>
      <c r="J43393" s="11"/>
      <c r="U43393" s="9"/>
      <c r="X43393" s="9"/>
    </row>
    <row r="43394">
      <c r="D43394" s="9"/>
      <c r="G43394" s="9"/>
      <c r="J43394" s="11"/>
      <c r="U43394" s="9"/>
      <c r="X43394" s="9"/>
    </row>
    <row r="43395">
      <c r="D43395" s="9"/>
      <c r="G43395" s="9"/>
      <c r="J43395" s="11"/>
      <c r="U43395" s="9"/>
      <c r="X43395" s="9"/>
    </row>
    <row r="43396">
      <c r="D43396" s="9"/>
      <c r="G43396" s="9"/>
      <c r="J43396" s="11"/>
      <c r="U43396" s="9"/>
      <c r="X43396" s="9"/>
    </row>
    <row r="43397">
      <c r="D43397" s="9"/>
      <c r="G43397" s="9"/>
      <c r="J43397" s="11"/>
      <c r="U43397" s="9"/>
      <c r="X43397" s="9"/>
    </row>
    <row r="43398">
      <c r="D43398" s="9"/>
      <c r="G43398" s="9"/>
      <c r="J43398" s="11"/>
      <c r="U43398" s="9"/>
      <c r="X43398" s="9"/>
    </row>
    <row r="43399">
      <c r="D43399" s="9"/>
      <c r="G43399" s="9"/>
      <c r="J43399" s="11"/>
      <c r="U43399" s="9"/>
      <c r="X43399" s="9"/>
    </row>
    <row r="43400">
      <c r="D43400" s="9"/>
      <c r="G43400" s="9"/>
      <c r="J43400" s="11"/>
      <c r="U43400" s="9"/>
      <c r="X43400" s="9"/>
    </row>
    <row r="43401">
      <c r="D43401" s="9"/>
      <c r="G43401" s="9"/>
      <c r="J43401" s="11"/>
      <c r="U43401" s="9"/>
      <c r="X43401" s="9"/>
    </row>
    <row r="43402">
      <c r="D43402" s="9"/>
      <c r="G43402" s="9"/>
      <c r="J43402" s="11"/>
      <c r="U43402" s="9"/>
      <c r="X43402" s="9"/>
    </row>
    <row r="43403">
      <c r="D43403" s="9"/>
      <c r="G43403" s="9"/>
      <c r="J43403" s="11"/>
      <c r="U43403" s="9"/>
      <c r="X43403" s="9"/>
    </row>
    <row r="43404">
      <c r="D43404" s="9"/>
      <c r="G43404" s="9"/>
      <c r="J43404" s="11"/>
      <c r="U43404" s="9"/>
      <c r="X43404" s="9"/>
    </row>
    <row r="43405">
      <c r="D43405" s="9"/>
      <c r="G43405" s="9"/>
      <c r="J43405" s="11"/>
      <c r="U43405" s="9"/>
      <c r="X43405" s="9"/>
    </row>
    <row r="43406">
      <c r="D43406" s="9"/>
      <c r="G43406" s="9"/>
      <c r="J43406" s="11"/>
      <c r="U43406" s="9"/>
      <c r="X43406" s="9"/>
    </row>
    <row r="43407">
      <c r="D43407" s="9"/>
      <c r="G43407" s="9"/>
      <c r="J43407" s="11"/>
      <c r="U43407" s="9"/>
      <c r="X43407" s="9"/>
    </row>
    <row r="43408">
      <c r="D43408" s="9"/>
      <c r="G43408" s="9"/>
      <c r="J43408" s="11"/>
      <c r="U43408" s="9"/>
      <c r="X43408" s="9"/>
    </row>
    <row r="43409">
      <c r="D43409" s="9"/>
      <c r="G43409" s="9"/>
      <c r="J43409" s="11"/>
      <c r="U43409" s="9"/>
      <c r="X43409" s="9"/>
    </row>
    <row r="43410">
      <c r="D43410" s="9"/>
      <c r="G43410" s="9"/>
      <c r="J43410" s="11"/>
      <c r="U43410" s="9"/>
      <c r="X43410" s="9"/>
    </row>
    <row r="43411">
      <c r="D43411" s="9"/>
      <c r="G43411" s="9"/>
      <c r="J43411" s="11"/>
      <c r="U43411" s="9"/>
      <c r="X43411" s="9"/>
    </row>
    <row r="43412">
      <c r="D43412" s="9"/>
      <c r="G43412" s="9"/>
      <c r="J43412" s="11"/>
      <c r="U43412" s="9"/>
      <c r="X43412" s="9"/>
    </row>
    <row r="43413">
      <c r="D43413" s="9"/>
      <c r="G43413" s="9"/>
      <c r="J43413" s="11"/>
      <c r="U43413" s="9"/>
      <c r="X43413" s="9"/>
    </row>
    <row r="43414">
      <c r="D43414" s="9"/>
      <c r="G43414" s="9"/>
      <c r="J43414" s="11"/>
      <c r="U43414" s="9"/>
      <c r="X43414" s="9"/>
    </row>
    <row r="43415">
      <c r="D43415" s="9"/>
      <c r="G43415" s="9"/>
      <c r="J43415" s="11"/>
      <c r="U43415" s="9"/>
      <c r="X43415" s="9"/>
    </row>
    <row r="43416">
      <c r="D43416" s="9"/>
      <c r="G43416" s="9"/>
      <c r="J43416" s="11"/>
      <c r="U43416" s="9"/>
      <c r="X43416" s="9"/>
    </row>
    <row r="43417">
      <c r="D43417" s="9"/>
      <c r="G43417" s="9"/>
      <c r="J43417" s="11"/>
      <c r="U43417" s="9"/>
      <c r="X43417" s="9"/>
    </row>
    <row r="43418">
      <c r="D43418" s="9"/>
      <c r="G43418" s="9"/>
      <c r="J43418" s="11"/>
      <c r="U43418" s="9"/>
      <c r="X43418" s="9"/>
    </row>
    <row r="43419">
      <c r="D43419" s="9"/>
      <c r="G43419" s="9"/>
      <c r="J43419" s="11"/>
      <c r="U43419" s="9"/>
      <c r="X43419" s="9"/>
    </row>
    <row r="43420">
      <c r="D43420" s="9"/>
      <c r="G43420" s="9"/>
      <c r="J43420" s="11"/>
      <c r="U43420" s="9"/>
      <c r="X43420" s="9"/>
    </row>
    <row r="43421">
      <c r="D43421" s="9"/>
      <c r="G43421" s="9"/>
      <c r="J43421" s="11"/>
      <c r="U43421" s="9"/>
      <c r="X43421" s="9"/>
    </row>
    <row r="43422">
      <c r="D43422" s="9"/>
      <c r="G43422" s="9"/>
      <c r="J43422" s="11"/>
      <c r="U43422" s="9"/>
      <c r="X43422" s="9"/>
    </row>
    <row r="43423">
      <c r="D43423" s="9"/>
      <c r="G43423" s="9"/>
      <c r="J43423" s="11"/>
      <c r="U43423" s="9"/>
      <c r="X43423" s="9"/>
    </row>
    <row r="43424">
      <c r="D43424" s="9"/>
      <c r="G43424" s="9"/>
      <c r="J43424" s="11"/>
      <c r="U43424" s="9"/>
      <c r="X43424" s="9"/>
    </row>
    <row r="43425">
      <c r="D43425" s="9"/>
      <c r="G43425" s="9"/>
      <c r="J43425" s="11"/>
      <c r="U43425" s="9"/>
      <c r="X43425" s="9"/>
    </row>
    <row r="43426">
      <c r="D43426" s="9"/>
      <c r="G43426" s="9"/>
      <c r="J43426" s="11"/>
      <c r="U43426" s="9"/>
      <c r="X43426" s="9"/>
    </row>
    <row r="43427">
      <c r="D43427" s="9"/>
      <c r="G43427" s="9"/>
      <c r="J43427" s="11"/>
      <c r="U43427" s="9"/>
      <c r="X43427" s="9"/>
    </row>
    <row r="43428">
      <c r="D43428" s="9"/>
      <c r="G43428" s="9"/>
      <c r="J43428" s="11"/>
      <c r="U43428" s="9"/>
      <c r="X43428" s="9"/>
    </row>
    <row r="43429">
      <c r="D43429" s="9"/>
      <c r="G43429" s="9"/>
      <c r="J43429" s="11"/>
      <c r="U43429" s="9"/>
      <c r="X43429" s="9"/>
    </row>
    <row r="43430">
      <c r="D43430" s="9"/>
      <c r="G43430" s="9"/>
      <c r="J43430" s="11"/>
      <c r="U43430" s="9"/>
      <c r="X43430" s="9"/>
    </row>
    <row r="43431">
      <c r="D43431" s="9"/>
      <c r="G43431" s="9"/>
      <c r="J43431" s="11"/>
      <c r="U43431" s="9"/>
      <c r="X43431" s="9"/>
    </row>
    <row r="43432">
      <c r="D43432" s="9"/>
      <c r="G43432" s="9"/>
      <c r="J43432" s="11"/>
      <c r="U43432" s="9"/>
      <c r="X43432" s="9"/>
    </row>
    <row r="43433">
      <c r="D43433" s="9"/>
      <c r="G43433" s="9"/>
      <c r="J43433" s="11"/>
      <c r="U43433" s="9"/>
      <c r="X43433" s="9"/>
    </row>
    <row r="43434">
      <c r="D43434" s="9"/>
      <c r="G43434" s="9"/>
      <c r="J43434" s="11"/>
      <c r="U43434" s="9"/>
      <c r="X43434" s="9"/>
    </row>
    <row r="43435">
      <c r="D43435" s="9"/>
      <c r="G43435" s="9"/>
      <c r="J43435" s="11"/>
      <c r="U43435" s="9"/>
      <c r="X43435" s="9"/>
    </row>
    <row r="43436">
      <c r="D43436" s="9"/>
      <c r="G43436" s="9"/>
      <c r="J43436" s="11"/>
      <c r="U43436" s="9"/>
      <c r="X43436" s="9"/>
    </row>
    <row r="43437">
      <c r="D43437" s="9"/>
      <c r="G43437" s="9"/>
      <c r="J43437" s="11"/>
      <c r="U43437" s="9"/>
      <c r="X43437" s="9"/>
    </row>
    <row r="43438">
      <c r="D43438" s="9"/>
      <c r="G43438" s="9"/>
      <c r="J43438" s="11"/>
      <c r="U43438" s="9"/>
      <c r="X43438" s="9"/>
    </row>
    <row r="43439">
      <c r="D43439" s="9"/>
      <c r="G43439" s="9"/>
      <c r="J43439" s="11"/>
      <c r="U43439" s="9"/>
      <c r="X43439" s="9"/>
    </row>
    <row r="43440">
      <c r="D43440" s="9"/>
      <c r="G43440" s="9"/>
      <c r="J43440" s="11"/>
      <c r="U43440" s="9"/>
      <c r="X43440" s="9"/>
    </row>
    <row r="43441">
      <c r="D43441" s="9"/>
      <c r="G43441" s="9"/>
      <c r="J43441" s="11"/>
      <c r="U43441" s="9"/>
      <c r="X43441" s="9"/>
    </row>
    <row r="43442">
      <c r="D43442" s="9"/>
      <c r="G43442" s="9"/>
      <c r="J43442" s="11"/>
      <c r="U43442" s="9"/>
      <c r="X43442" s="9"/>
    </row>
    <row r="43443">
      <c r="D43443" s="9"/>
      <c r="G43443" s="9"/>
      <c r="J43443" s="11"/>
      <c r="U43443" s="9"/>
      <c r="X43443" s="9"/>
    </row>
    <row r="43444">
      <c r="D43444" s="9"/>
      <c r="G43444" s="9"/>
      <c r="J43444" s="11"/>
      <c r="U43444" s="9"/>
      <c r="X43444" s="9"/>
    </row>
    <row r="43445">
      <c r="D43445" s="9"/>
      <c r="G43445" s="9"/>
      <c r="J43445" s="11"/>
      <c r="U43445" s="9"/>
      <c r="X43445" s="9"/>
    </row>
    <row r="43446">
      <c r="D43446" s="9"/>
      <c r="G43446" s="9"/>
      <c r="J43446" s="11"/>
      <c r="U43446" s="9"/>
      <c r="X43446" s="9"/>
    </row>
    <row r="43447">
      <c r="D43447" s="9"/>
      <c r="G43447" s="9"/>
      <c r="J43447" s="11"/>
      <c r="U43447" s="9"/>
      <c r="X43447" s="9"/>
    </row>
    <row r="43448">
      <c r="D43448" s="9"/>
      <c r="G43448" s="9"/>
      <c r="J43448" s="11"/>
      <c r="U43448" s="9"/>
      <c r="X43448" s="9"/>
    </row>
    <row r="43449">
      <c r="D43449" s="9"/>
      <c r="G43449" s="9"/>
      <c r="J43449" s="11"/>
      <c r="U43449" s="9"/>
      <c r="X43449" s="9"/>
    </row>
    <row r="43450">
      <c r="D43450" s="9"/>
      <c r="G43450" s="9"/>
      <c r="J43450" s="11"/>
      <c r="U43450" s="9"/>
      <c r="X43450" s="9"/>
    </row>
    <row r="43451">
      <c r="D43451" s="9"/>
      <c r="G43451" s="9"/>
      <c r="J43451" s="11"/>
      <c r="U43451" s="9"/>
      <c r="X43451" s="9"/>
    </row>
    <row r="43452">
      <c r="D43452" s="9"/>
      <c r="G43452" s="9"/>
      <c r="J43452" s="11"/>
      <c r="U43452" s="9"/>
      <c r="X43452" s="9"/>
    </row>
    <row r="43453">
      <c r="D43453" s="9"/>
      <c r="G43453" s="9"/>
      <c r="J43453" s="11"/>
      <c r="U43453" s="9"/>
      <c r="X43453" s="9"/>
    </row>
    <row r="43454">
      <c r="D43454" s="9"/>
      <c r="G43454" s="9"/>
      <c r="J43454" s="11"/>
      <c r="U43454" s="9"/>
      <c r="X43454" s="9"/>
    </row>
    <row r="43455">
      <c r="D43455" s="9"/>
      <c r="G43455" s="9"/>
      <c r="J43455" s="11"/>
      <c r="U43455" s="9"/>
      <c r="X43455" s="9"/>
    </row>
    <row r="43456">
      <c r="D43456" s="9"/>
      <c r="G43456" s="9"/>
      <c r="J43456" s="11"/>
      <c r="U43456" s="9"/>
      <c r="X43456" s="9"/>
    </row>
    <row r="43457">
      <c r="D43457" s="9"/>
      <c r="G43457" s="9"/>
      <c r="J43457" s="11"/>
      <c r="U43457" s="9"/>
      <c r="X43457" s="9"/>
    </row>
    <row r="43458">
      <c r="D43458" s="9"/>
      <c r="G43458" s="9"/>
      <c r="J43458" s="11"/>
      <c r="U43458" s="9"/>
      <c r="X43458" s="9"/>
    </row>
    <row r="43459">
      <c r="D43459" s="9"/>
      <c r="G43459" s="9"/>
      <c r="J43459" s="11"/>
      <c r="U43459" s="9"/>
      <c r="X43459" s="9"/>
    </row>
    <row r="43460">
      <c r="D43460" s="9"/>
      <c r="G43460" s="9"/>
      <c r="J43460" s="11"/>
      <c r="U43460" s="9"/>
      <c r="X43460" s="9"/>
    </row>
    <row r="43461">
      <c r="D43461" s="9"/>
      <c r="G43461" s="9"/>
      <c r="J43461" s="11"/>
      <c r="U43461" s="9"/>
      <c r="X43461" s="9"/>
    </row>
    <row r="43462">
      <c r="D43462" s="9"/>
      <c r="G43462" s="9"/>
      <c r="J43462" s="11"/>
      <c r="U43462" s="9"/>
      <c r="X43462" s="9"/>
    </row>
    <row r="43463">
      <c r="D43463" s="9"/>
      <c r="G43463" s="9"/>
      <c r="J43463" s="11"/>
      <c r="U43463" s="9"/>
      <c r="X43463" s="9"/>
    </row>
    <row r="43464">
      <c r="D43464" s="9"/>
      <c r="G43464" s="9"/>
      <c r="J43464" s="11"/>
      <c r="U43464" s="9"/>
      <c r="X43464" s="9"/>
    </row>
    <row r="43465">
      <c r="D43465" s="9"/>
      <c r="G43465" s="9"/>
      <c r="J43465" s="11"/>
      <c r="U43465" s="9"/>
      <c r="X43465" s="9"/>
    </row>
    <row r="43466">
      <c r="D43466" s="9"/>
      <c r="G43466" s="9"/>
      <c r="J43466" s="11"/>
      <c r="U43466" s="9"/>
      <c r="X43466" s="9"/>
    </row>
    <row r="43467">
      <c r="D43467" s="9"/>
      <c r="G43467" s="9"/>
      <c r="J43467" s="11"/>
      <c r="U43467" s="9"/>
      <c r="X43467" s="9"/>
    </row>
    <row r="43468">
      <c r="D43468" s="9"/>
      <c r="G43468" s="9"/>
      <c r="J43468" s="11"/>
      <c r="U43468" s="9"/>
      <c r="X43468" s="9"/>
    </row>
    <row r="43469">
      <c r="D43469" s="9"/>
      <c r="G43469" s="9"/>
      <c r="J43469" s="11"/>
      <c r="U43469" s="9"/>
      <c r="X43469" s="9"/>
    </row>
    <row r="43470">
      <c r="D43470" s="9"/>
      <c r="G43470" s="9"/>
      <c r="J43470" s="11"/>
      <c r="U43470" s="9"/>
      <c r="X43470" s="9"/>
    </row>
    <row r="43471">
      <c r="D43471" s="9"/>
      <c r="G43471" s="9"/>
      <c r="J43471" s="11"/>
      <c r="U43471" s="9"/>
      <c r="X43471" s="9"/>
    </row>
    <row r="43472">
      <c r="D43472" s="9"/>
      <c r="G43472" s="9"/>
      <c r="J43472" s="11"/>
      <c r="U43472" s="9"/>
      <c r="X43472" s="9"/>
    </row>
    <row r="43473">
      <c r="D43473" s="9"/>
      <c r="G43473" s="9"/>
      <c r="J43473" s="11"/>
      <c r="U43473" s="9"/>
      <c r="X43473" s="9"/>
    </row>
    <row r="43474">
      <c r="D43474" s="9"/>
      <c r="G43474" s="9"/>
      <c r="J43474" s="11"/>
      <c r="U43474" s="9"/>
      <c r="X43474" s="9"/>
    </row>
    <row r="43475">
      <c r="D43475" s="9"/>
      <c r="G43475" s="9"/>
      <c r="J43475" s="11"/>
      <c r="U43475" s="9"/>
      <c r="X43475" s="9"/>
    </row>
    <row r="43476">
      <c r="D43476" s="9"/>
      <c r="G43476" s="9"/>
      <c r="J43476" s="11"/>
      <c r="U43476" s="9"/>
      <c r="X43476" s="9"/>
    </row>
    <row r="43477">
      <c r="D43477" s="9"/>
      <c r="G43477" s="9"/>
      <c r="J43477" s="11"/>
      <c r="U43477" s="9"/>
      <c r="X43477" s="9"/>
    </row>
    <row r="43478">
      <c r="D43478" s="9"/>
      <c r="G43478" s="9"/>
      <c r="J43478" s="11"/>
      <c r="U43478" s="9"/>
      <c r="X43478" s="9"/>
    </row>
    <row r="43479">
      <c r="D43479" s="9"/>
      <c r="G43479" s="9"/>
      <c r="J43479" s="11"/>
      <c r="U43479" s="9"/>
      <c r="X43479" s="9"/>
    </row>
    <row r="43480">
      <c r="D43480" s="9"/>
      <c r="G43480" s="9"/>
      <c r="J43480" s="11"/>
      <c r="U43480" s="9"/>
      <c r="X43480" s="9"/>
    </row>
    <row r="43481">
      <c r="D43481" s="9"/>
      <c r="G43481" s="9"/>
      <c r="J43481" s="11"/>
      <c r="U43481" s="9"/>
      <c r="X43481" s="9"/>
    </row>
    <row r="43482">
      <c r="D43482" s="9"/>
      <c r="G43482" s="9"/>
      <c r="J43482" s="11"/>
      <c r="U43482" s="9"/>
      <c r="X43482" s="9"/>
    </row>
    <row r="43483">
      <c r="D43483" s="9"/>
      <c r="G43483" s="9"/>
      <c r="J43483" s="11"/>
      <c r="U43483" s="9"/>
      <c r="X43483" s="9"/>
    </row>
    <row r="43484">
      <c r="D43484" s="9"/>
      <c r="G43484" s="9"/>
      <c r="J43484" s="11"/>
      <c r="U43484" s="9"/>
      <c r="X43484" s="9"/>
    </row>
    <row r="43485">
      <c r="D43485" s="9"/>
      <c r="G43485" s="9"/>
      <c r="J43485" s="11"/>
      <c r="U43485" s="9"/>
      <c r="X43485" s="9"/>
    </row>
    <row r="43486">
      <c r="D43486" s="9"/>
      <c r="G43486" s="9"/>
      <c r="J43486" s="11"/>
      <c r="U43486" s="9"/>
      <c r="X43486" s="9"/>
    </row>
    <row r="43487">
      <c r="D43487" s="9"/>
      <c r="G43487" s="9"/>
      <c r="J43487" s="11"/>
      <c r="U43487" s="9"/>
      <c r="X43487" s="9"/>
    </row>
    <row r="43488">
      <c r="D43488" s="9"/>
      <c r="G43488" s="9"/>
      <c r="J43488" s="11"/>
      <c r="U43488" s="9"/>
      <c r="X43488" s="9"/>
    </row>
    <row r="43489">
      <c r="D43489" s="9"/>
      <c r="G43489" s="9"/>
      <c r="J43489" s="11"/>
      <c r="U43489" s="9"/>
      <c r="X43489" s="9"/>
    </row>
    <row r="43490">
      <c r="D43490" s="9"/>
      <c r="G43490" s="9"/>
      <c r="J43490" s="11"/>
      <c r="U43490" s="9"/>
      <c r="X43490" s="9"/>
    </row>
    <row r="43491">
      <c r="D43491" s="9"/>
      <c r="G43491" s="9"/>
      <c r="J43491" s="11"/>
      <c r="U43491" s="9"/>
      <c r="X43491" s="9"/>
    </row>
    <row r="43492">
      <c r="D43492" s="9"/>
      <c r="G43492" s="9"/>
      <c r="J43492" s="11"/>
      <c r="U43492" s="9"/>
      <c r="X43492" s="9"/>
    </row>
    <row r="43493">
      <c r="D43493" s="9"/>
      <c r="G43493" s="9"/>
      <c r="J43493" s="11"/>
      <c r="U43493" s="9"/>
      <c r="X43493" s="9"/>
    </row>
    <row r="43494">
      <c r="D43494" s="9"/>
      <c r="G43494" s="9"/>
      <c r="J43494" s="11"/>
      <c r="U43494" s="9"/>
      <c r="X43494" s="9"/>
    </row>
    <row r="43495">
      <c r="D43495" s="9"/>
      <c r="G43495" s="9"/>
      <c r="J43495" s="11"/>
      <c r="U43495" s="9"/>
      <c r="X43495" s="9"/>
    </row>
    <row r="43496">
      <c r="D43496" s="9"/>
      <c r="G43496" s="9"/>
      <c r="J43496" s="11"/>
      <c r="U43496" s="9"/>
      <c r="X43496" s="9"/>
    </row>
    <row r="43497">
      <c r="D43497" s="9"/>
      <c r="G43497" s="9"/>
      <c r="J43497" s="11"/>
      <c r="U43497" s="9"/>
      <c r="X43497" s="9"/>
    </row>
    <row r="43498">
      <c r="D43498" s="9"/>
      <c r="G43498" s="9"/>
      <c r="J43498" s="11"/>
      <c r="U43498" s="9"/>
      <c r="X43498" s="9"/>
    </row>
    <row r="43499">
      <c r="D43499" s="9"/>
      <c r="G43499" s="9"/>
      <c r="J43499" s="11"/>
      <c r="U43499" s="9"/>
      <c r="X43499" s="9"/>
    </row>
    <row r="43500">
      <c r="D43500" s="9"/>
      <c r="G43500" s="9"/>
      <c r="J43500" s="11"/>
      <c r="U43500" s="9"/>
      <c r="X43500" s="9"/>
    </row>
    <row r="43501">
      <c r="D43501" s="9"/>
      <c r="G43501" s="9"/>
      <c r="J43501" s="11"/>
      <c r="U43501" s="9"/>
      <c r="X43501" s="9"/>
    </row>
    <row r="43502">
      <c r="D43502" s="9"/>
      <c r="G43502" s="9"/>
      <c r="J43502" s="11"/>
      <c r="U43502" s="9"/>
      <c r="X43502" s="9"/>
    </row>
    <row r="43503">
      <c r="D43503" s="9"/>
      <c r="G43503" s="9"/>
      <c r="J43503" s="11"/>
      <c r="U43503" s="9"/>
      <c r="X43503" s="9"/>
    </row>
    <row r="43504">
      <c r="D43504" s="9"/>
      <c r="G43504" s="9"/>
      <c r="J43504" s="11"/>
      <c r="U43504" s="9"/>
      <c r="X43504" s="9"/>
    </row>
    <row r="43505">
      <c r="D43505" s="9"/>
      <c r="G43505" s="9"/>
      <c r="J43505" s="11"/>
      <c r="U43505" s="9"/>
      <c r="X43505" s="9"/>
    </row>
    <row r="43506">
      <c r="D43506" s="9"/>
      <c r="G43506" s="9"/>
      <c r="J43506" s="11"/>
      <c r="U43506" s="9"/>
      <c r="X43506" s="9"/>
    </row>
    <row r="43507">
      <c r="D43507" s="9"/>
      <c r="G43507" s="9"/>
      <c r="J43507" s="11"/>
      <c r="U43507" s="9"/>
      <c r="X43507" s="9"/>
    </row>
    <row r="43508">
      <c r="D43508" s="9"/>
      <c r="G43508" s="9"/>
      <c r="J43508" s="11"/>
      <c r="U43508" s="9"/>
      <c r="X43508" s="9"/>
    </row>
    <row r="43509">
      <c r="D43509" s="9"/>
      <c r="G43509" s="9"/>
      <c r="J43509" s="11"/>
      <c r="U43509" s="9"/>
      <c r="X43509" s="9"/>
    </row>
    <row r="43510">
      <c r="D43510" s="9"/>
      <c r="G43510" s="9"/>
      <c r="J43510" s="11"/>
      <c r="U43510" s="9"/>
      <c r="X43510" s="9"/>
    </row>
    <row r="43511">
      <c r="D43511" s="9"/>
      <c r="G43511" s="9"/>
      <c r="J43511" s="11"/>
      <c r="U43511" s="9"/>
      <c r="X43511" s="9"/>
    </row>
    <row r="43512">
      <c r="D43512" s="9"/>
      <c r="G43512" s="9"/>
      <c r="J43512" s="11"/>
      <c r="U43512" s="9"/>
      <c r="X43512" s="9"/>
    </row>
    <row r="43513">
      <c r="D43513" s="9"/>
      <c r="G43513" s="9"/>
      <c r="J43513" s="11"/>
      <c r="U43513" s="9"/>
      <c r="X43513" s="9"/>
    </row>
    <row r="43514">
      <c r="D43514" s="9"/>
      <c r="G43514" s="9"/>
      <c r="J43514" s="11"/>
      <c r="U43514" s="9"/>
      <c r="X43514" s="9"/>
    </row>
    <row r="43515">
      <c r="D43515" s="9"/>
      <c r="G43515" s="9"/>
      <c r="J43515" s="11"/>
      <c r="U43515" s="9"/>
      <c r="X43515" s="9"/>
    </row>
    <row r="43516">
      <c r="D43516" s="9"/>
      <c r="G43516" s="9"/>
      <c r="J43516" s="11"/>
      <c r="U43516" s="9"/>
      <c r="X43516" s="9"/>
    </row>
    <row r="43517">
      <c r="D43517" s="9"/>
      <c r="G43517" s="9"/>
      <c r="J43517" s="11"/>
      <c r="U43517" s="9"/>
      <c r="X43517" s="9"/>
    </row>
    <row r="43518">
      <c r="D43518" s="9"/>
      <c r="G43518" s="9"/>
      <c r="J43518" s="11"/>
      <c r="U43518" s="9"/>
      <c r="X43518" s="9"/>
    </row>
    <row r="43519">
      <c r="D43519" s="9"/>
      <c r="G43519" s="9"/>
      <c r="J43519" s="11"/>
      <c r="U43519" s="9"/>
      <c r="X43519" s="9"/>
    </row>
    <row r="43520">
      <c r="D43520" s="9"/>
      <c r="G43520" s="9"/>
      <c r="J43520" s="11"/>
      <c r="U43520" s="9"/>
      <c r="X43520" s="9"/>
    </row>
    <row r="43521">
      <c r="D43521" s="9"/>
      <c r="G43521" s="9"/>
      <c r="J43521" s="11"/>
      <c r="U43521" s="9"/>
      <c r="X43521" s="9"/>
    </row>
    <row r="43522">
      <c r="D43522" s="9"/>
      <c r="G43522" s="9"/>
      <c r="J43522" s="11"/>
      <c r="U43522" s="9"/>
      <c r="X43522" s="9"/>
    </row>
    <row r="43523">
      <c r="D43523" s="9"/>
      <c r="G43523" s="9"/>
      <c r="J43523" s="11"/>
      <c r="U43523" s="9"/>
      <c r="X43523" s="9"/>
    </row>
    <row r="43524">
      <c r="D43524" s="9"/>
      <c r="G43524" s="9"/>
      <c r="J43524" s="11"/>
      <c r="U43524" s="9"/>
      <c r="X43524" s="9"/>
    </row>
    <row r="43525">
      <c r="D43525" s="9"/>
      <c r="G43525" s="9"/>
      <c r="J43525" s="11"/>
      <c r="U43525" s="9"/>
      <c r="X43525" s="9"/>
    </row>
    <row r="43526">
      <c r="D43526" s="9"/>
      <c r="G43526" s="9"/>
      <c r="J43526" s="11"/>
      <c r="U43526" s="9"/>
      <c r="X43526" s="9"/>
    </row>
    <row r="43527">
      <c r="D43527" s="9"/>
      <c r="G43527" s="9"/>
      <c r="J43527" s="11"/>
      <c r="U43527" s="9"/>
      <c r="X43527" s="9"/>
    </row>
    <row r="43528">
      <c r="D43528" s="9"/>
      <c r="G43528" s="9"/>
      <c r="J43528" s="11"/>
      <c r="U43528" s="9"/>
      <c r="X43528" s="9"/>
    </row>
    <row r="43529">
      <c r="D43529" s="9"/>
      <c r="G43529" s="9"/>
      <c r="J43529" s="11"/>
      <c r="U43529" s="9"/>
      <c r="X43529" s="9"/>
    </row>
    <row r="43530">
      <c r="D43530" s="9"/>
      <c r="G43530" s="9"/>
      <c r="J43530" s="11"/>
      <c r="U43530" s="9"/>
      <c r="X43530" s="9"/>
    </row>
    <row r="43531">
      <c r="D43531" s="9"/>
      <c r="G43531" s="9"/>
      <c r="J43531" s="11"/>
      <c r="U43531" s="9"/>
      <c r="X43531" s="9"/>
    </row>
    <row r="43532">
      <c r="D43532" s="9"/>
      <c r="G43532" s="9"/>
      <c r="J43532" s="11"/>
      <c r="U43532" s="9"/>
      <c r="X43532" s="9"/>
    </row>
    <row r="43533">
      <c r="D43533" s="9"/>
      <c r="G43533" s="9"/>
      <c r="J43533" s="11"/>
      <c r="U43533" s="9"/>
      <c r="X43533" s="9"/>
    </row>
    <row r="43534">
      <c r="D43534" s="9"/>
      <c r="G43534" s="9"/>
      <c r="J43534" s="11"/>
      <c r="U43534" s="9"/>
      <c r="X43534" s="9"/>
    </row>
    <row r="43535">
      <c r="D43535" s="9"/>
      <c r="G43535" s="9"/>
      <c r="J43535" s="11"/>
      <c r="U43535" s="9"/>
      <c r="X43535" s="9"/>
    </row>
    <row r="43536">
      <c r="D43536" s="9"/>
      <c r="G43536" s="9"/>
      <c r="J43536" s="11"/>
      <c r="U43536" s="9"/>
      <c r="X43536" s="9"/>
    </row>
    <row r="43537">
      <c r="D43537" s="9"/>
      <c r="G43537" s="9"/>
      <c r="J43537" s="11"/>
      <c r="U43537" s="9"/>
      <c r="X43537" s="9"/>
    </row>
    <row r="43538">
      <c r="D43538" s="9"/>
      <c r="G43538" s="9"/>
      <c r="J43538" s="11"/>
      <c r="U43538" s="9"/>
      <c r="X43538" s="9"/>
    </row>
    <row r="43539">
      <c r="D43539" s="9"/>
      <c r="G43539" s="9"/>
      <c r="J43539" s="11"/>
      <c r="U43539" s="9"/>
      <c r="X43539" s="9"/>
    </row>
    <row r="43540">
      <c r="D43540" s="9"/>
      <c r="G43540" s="9"/>
      <c r="J43540" s="11"/>
      <c r="U43540" s="9"/>
      <c r="X43540" s="9"/>
    </row>
    <row r="43541">
      <c r="D43541" s="9"/>
      <c r="G43541" s="9"/>
      <c r="J43541" s="11"/>
      <c r="U43541" s="9"/>
      <c r="X43541" s="9"/>
    </row>
    <row r="43542">
      <c r="D43542" s="9"/>
      <c r="G43542" s="9"/>
      <c r="J43542" s="11"/>
      <c r="U43542" s="9"/>
      <c r="X43542" s="9"/>
    </row>
    <row r="43543">
      <c r="D43543" s="9"/>
      <c r="G43543" s="9"/>
      <c r="J43543" s="11"/>
      <c r="U43543" s="9"/>
      <c r="X43543" s="9"/>
    </row>
    <row r="43544">
      <c r="D43544" s="9"/>
      <c r="G43544" s="9"/>
      <c r="J43544" s="11"/>
      <c r="U43544" s="9"/>
      <c r="X43544" s="9"/>
    </row>
    <row r="43545">
      <c r="D43545" s="9"/>
      <c r="G43545" s="9"/>
      <c r="J43545" s="11"/>
      <c r="U43545" s="9"/>
      <c r="X43545" s="9"/>
    </row>
    <row r="43546">
      <c r="D43546" s="9"/>
      <c r="G43546" s="9"/>
      <c r="J43546" s="11"/>
      <c r="U43546" s="9"/>
      <c r="X43546" s="9"/>
    </row>
    <row r="43547">
      <c r="D43547" s="9"/>
      <c r="G43547" s="9"/>
      <c r="J43547" s="11"/>
      <c r="U43547" s="9"/>
      <c r="X43547" s="9"/>
    </row>
    <row r="43548">
      <c r="D43548" s="9"/>
      <c r="G43548" s="9"/>
      <c r="J43548" s="11"/>
      <c r="U43548" s="9"/>
      <c r="X43548" s="9"/>
    </row>
    <row r="43549">
      <c r="D43549" s="9"/>
      <c r="G43549" s="9"/>
      <c r="J43549" s="11"/>
      <c r="U43549" s="9"/>
      <c r="X43549" s="9"/>
    </row>
    <row r="43550">
      <c r="D43550" s="9"/>
      <c r="G43550" s="9"/>
      <c r="J43550" s="11"/>
      <c r="U43550" s="9"/>
      <c r="X43550" s="9"/>
    </row>
    <row r="43551">
      <c r="D43551" s="9"/>
      <c r="G43551" s="9"/>
      <c r="J43551" s="11"/>
      <c r="U43551" s="9"/>
      <c r="X43551" s="9"/>
    </row>
    <row r="43552">
      <c r="D43552" s="9"/>
      <c r="G43552" s="9"/>
      <c r="J43552" s="11"/>
      <c r="U43552" s="9"/>
      <c r="X43552" s="9"/>
    </row>
    <row r="43553">
      <c r="D43553" s="9"/>
      <c r="G43553" s="9"/>
      <c r="J43553" s="11"/>
      <c r="U43553" s="9"/>
      <c r="X43553" s="9"/>
    </row>
    <row r="43554">
      <c r="D43554" s="9"/>
      <c r="G43554" s="9"/>
      <c r="J43554" s="11"/>
      <c r="U43554" s="9"/>
      <c r="X43554" s="9"/>
    </row>
    <row r="43555">
      <c r="D43555" s="9"/>
      <c r="G43555" s="9"/>
      <c r="J43555" s="11"/>
      <c r="U43555" s="9"/>
      <c r="X43555" s="9"/>
    </row>
    <row r="43556">
      <c r="D43556" s="9"/>
      <c r="G43556" s="9"/>
      <c r="J43556" s="11"/>
      <c r="U43556" s="9"/>
      <c r="X43556" s="9"/>
    </row>
    <row r="43557">
      <c r="D43557" s="9"/>
      <c r="G43557" s="9"/>
      <c r="J43557" s="11"/>
      <c r="U43557" s="9"/>
      <c r="X43557" s="9"/>
    </row>
    <row r="43558">
      <c r="D43558" s="9"/>
      <c r="G43558" s="9"/>
      <c r="J43558" s="11"/>
      <c r="U43558" s="9"/>
      <c r="X43558" s="9"/>
    </row>
    <row r="43559">
      <c r="D43559" s="9"/>
      <c r="G43559" s="9"/>
      <c r="J43559" s="11"/>
      <c r="U43559" s="9"/>
      <c r="X43559" s="9"/>
    </row>
    <row r="43560">
      <c r="D43560" s="9"/>
      <c r="G43560" s="9"/>
      <c r="J43560" s="11"/>
      <c r="U43560" s="9"/>
      <c r="X43560" s="9"/>
    </row>
    <row r="43561">
      <c r="D43561" s="9"/>
      <c r="G43561" s="9"/>
      <c r="J43561" s="11"/>
      <c r="U43561" s="9"/>
      <c r="X43561" s="9"/>
    </row>
    <row r="43562">
      <c r="D43562" s="9"/>
      <c r="G43562" s="9"/>
      <c r="J43562" s="11"/>
      <c r="U43562" s="9"/>
      <c r="X43562" s="9"/>
    </row>
    <row r="43563">
      <c r="D43563" s="9"/>
      <c r="G43563" s="9"/>
      <c r="J43563" s="11"/>
      <c r="U43563" s="9"/>
      <c r="X43563" s="9"/>
    </row>
    <row r="43564">
      <c r="D43564" s="9"/>
      <c r="G43564" s="9"/>
      <c r="J43564" s="11"/>
      <c r="U43564" s="9"/>
      <c r="X43564" s="9"/>
    </row>
    <row r="43565">
      <c r="D43565" s="9"/>
      <c r="G43565" s="9"/>
      <c r="J43565" s="11"/>
      <c r="U43565" s="9"/>
      <c r="X43565" s="9"/>
    </row>
    <row r="43566">
      <c r="D43566" s="9"/>
      <c r="G43566" s="9"/>
      <c r="J43566" s="11"/>
      <c r="U43566" s="9"/>
      <c r="X43566" s="9"/>
    </row>
    <row r="43567">
      <c r="D43567" s="9"/>
      <c r="G43567" s="9"/>
      <c r="J43567" s="11"/>
      <c r="U43567" s="9"/>
      <c r="X43567" s="9"/>
    </row>
    <row r="43568">
      <c r="D43568" s="9"/>
      <c r="G43568" s="9"/>
      <c r="J43568" s="11"/>
      <c r="U43568" s="9"/>
      <c r="X43568" s="9"/>
    </row>
    <row r="43569">
      <c r="D43569" s="9"/>
      <c r="G43569" s="9"/>
      <c r="J43569" s="11"/>
      <c r="U43569" s="9"/>
      <c r="X43569" s="9"/>
    </row>
    <row r="43570">
      <c r="D43570" s="9"/>
      <c r="G43570" s="9"/>
      <c r="J43570" s="11"/>
      <c r="U43570" s="9"/>
      <c r="X43570" s="9"/>
    </row>
    <row r="43571">
      <c r="D43571" s="9"/>
      <c r="G43571" s="9"/>
      <c r="J43571" s="11"/>
      <c r="U43571" s="9"/>
      <c r="X43571" s="9"/>
    </row>
    <row r="43572">
      <c r="D43572" s="9"/>
      <c r="G43572" s="9"/>
      <c r="J43572" s="11"/>
      <c r="U43572" s="9"/>
      <c r="X43572" s="9"/>
    </row>
    <row r="43573">
      <c r="D43573" s="9"/>
      <c r="G43573" s="9"/>
      <c r="J43573" s="11"/>
      <c r="U43573" s="9"/>
      <c r="X43573" s="9"/>
    </row>
    <row r="43574">
      <c r="D43574" s="9"/>
      <c r="G43574" s="9"/>
      <c r="J43574" s="11"/>
      <c r="U43574" s="9"/>
      <c r="X43574" s="9"/>
    </row>
    <row r="43575">
      <c r="D43575" s="9"/>
      <c r="G43575" s="9"/>
      <c r="J43575" s="11"/>
      <c r="U43575" s="9"/>
      <c r="X43575" s="9"/>
    </row>
    <row r="43576">
      <c r="D43576" s="9"/>
      <c r="G43576" s="9"/>
      <c r="J43576" s="11"/>
      <c r="U43576" s="9"/>
      <c r="X43576" s="9"/>
    </row>
    <row r="43577">
      <c r="D43577" s="9"/>
      <c r="G43577" s="9"/>
      <c r="J43577" s="11"/>
      <c r="U43577" s="9"/>
      <c r="X43577" s="9"/>
    </row>
    <row r="43578">
      <c r="D43578" s="9"/>
      <c r="G43578" s="9"/>
      <c r="J43578" s="11"/>
      <c r="U43578" s="9"/>
      <c r="X43578" s="9"/>
    </row>
    <row r="43579">
      <c r="D43579" s="9"/>
      <c r="G43579" s="9"/>
      <c r="J43579" s="11"/>
      <c r="U43579" s="9"/>
      <c r="X43579" s="9"/>
    </row>
    <row r="43580">
      <c r="D43580" s="9"/>
      <c r="G43580" s="9"/>
      <c r="J43580" s="11"/>
      <c r="U43580" s="9"/>
      <c r="X43580" s="9"/>
    </row>
    <row r="43581">
      <c r="D43581" s="9"/>
      <c r="G43581" s="9"/>
      <c r="J43581" s="11"/>
      <c r="U43581" s="9"/>
      <c r="X43581" s="9"/>
    </row>
    <row r="43582">
      <c r="D43582" s="9"/>
      <c r="G43582" s="9"/>
      <c r="J43582" s="11"/>
      <c r="U43582" s="9"/>
      <c r="X43582" s="9"/>
    </row>
    <row r="43583">
      <c r="D43583" s="9"/>
      <c r="G43583" s="9"/>
      <c r="J43583" s="11"/>
      <c r="U43583" s="9"/>
      <c r="X43583" s="9"/>
    </row>
    <row r="43584">
      <c r="D43584" s="9"/>
      <c r="G43584" s="9"/>
      <c r="J43584" s="11"/>
      <c r="U43584" s="9"/>
      <c r="X43584" s="9"/>
    </row>
    <row r="43585">
      <c r="D43585" s="9"/>
      <c r="G43585" s="9"/>
      <c r="J43585" s="11"/>
      <c r="U43585" s="9"/>
      <c r="X43585" s="9"/>
    </row>
    <row r="43586">
      <c r="D43586" s="9"/>
      <c r="G43586" s="9"/>
      <c r="J43586" s="11"/>
      <c r="U43586" s="9"/>
      <c r="X43586" s="9"/>
    </row>
    <row r="43587">
      <c r="D43587" s="9"/>
      <c r="G43587" s="9"/>
      <c r="J43587" s="11"/>
      <c r="U43587" s="9"/>
      <c r="X43587" s="9"/>
    </row>
    <row r="43588">
      <c r="D43588" s="9"/>
      <c r="G43588" s="9"/>
      <c r="J43588" s="11"/>
      <c r="U43588" s="9"/>
      <c r="X43588" s="9"/>
    </row>
    <row r="43589">
      <c r="D43589" s="9"/>
      <c r="G43589" s="9"/>
      <c r="J43589" s="11"/>
      <c r="U43589" s="9"/>
      <c r="X43589" s="9"/>
    </row>
    <row r="43590">
      <c r="D43590" s="9"/>
      <c r="G43590" s="9"/>
      <c r="J43590" s="11"/>
      <c r="U43590" s="9"/>
      <c r="X43590" s="9"/>
    </row>
    <row r="43591">
      <c r="D43591" s="9"/>
      <c r="G43591" s="9"/>
      <c r="J43591" s="11"/>
      <c r="U43591" s="9"/>
      <c r="X43591" s="9"/>
    </row>
    <row r="43592">
      <c r="D43592" s="9"/>
      <c r="G43592" s="9"/>
      <c r="J43592" s="11"/>
      <c r="U43592" s="9"/>
      <c r="X43592" s="9"/>
    </row>
    <row r="43593">
      <c r="D43593" s="9"/>
      <c r="G43593" s="9"/>
      <c r="J43593" s="11"/>
      <c r="U43593" s="9"/>
      <c r="X43593" s="9"/>
    </row>
    <row r="43594">
      <c r="D43594" s="9"/>
      <c r="G43594" s="9"/>
      <c r="J43594" s="11"/>
      <c r="U43594" s="9"/>
      <c r="X43594" s="9"/>
    </row>
    <row r="43595">
      <c r="D43595" s="9"/>
      <c r="G43595" s="9"/>
      <c r="J43595" s="11"/>
      <c r="U43595" s="9"/>
      <c r="X43595" s="9"/>
    </row>
    <row r="43596">
      <c r="D43596" s="9"/>
      <c r="G43596" s="9"/>
      <c r="J43596" s="11"/>
      <c r="U43596" s="9"/>
      <c r="X43596" s="9"/>
    </row>
    <row r="43597">
      <c r="D43597" s="9"/>
      <c r="G43597" s="9"/>
      <c r="J43597" s="11"/>
      <c r="U43597" s="9"/>
      <c r="X43597" s="9"/>
    </row>
    <row r="43598">
      <c r="D43598" s="9"/>
      <c r="G43598" s="9"/>
      <c r="J43598" s="11"/>
      <c r="U43598" s="9"/>
      <c r="X43598" s="9"/>
    </row>
    <row r="43599">
      <c r="D43599" s="9"/>
      <c r="G43599" s="9"/>
      <c r="J43599" s="11"/>
      <c r="U43599" s="9"/>
      <c r="X43599" s="9"/>
    </row>
    <row r="43600">
      <c r="D43600" s="9"/>
      <c r="G43600" s="9"/>
      <c r="J43600" s="11"/>
      <c r="U43600" s="9"/>
      <c r="X43600" s="9"/>
    </row>
    <row r="43601">
      <c r="D43601" s="9"/>
      <c r="G43601" s="9"/>
      <c r="J43601" s="11"/>
      <c r="U43601" s="9"/>
      <c r="X43601" s="9"/>
    </row>
    <row r="43602">
      <c r="D43602" s="9"/>
      <c r="G43602" s="9"/>
      <c r="J43602" s="11"/>
      <c r="U43602" s="9"/>
      <c r="X43602" s="9"/>
    </row>
    <row r="43603">
      <c r="D43603" s="9"/>
      <c r="G43603" s="9"/>
      <c r="J43603" s="11"/>
      <c r="U43603" s="9"/>
      <c r="X43603" s="9"/>
    </row>
    <row r="43604">
      <c r="D43604" s="9"/>
      <c r="G43604" s="9"/>
      <c r="J43604" s="11"/>
      <c r="U43604" s="9"/>
      <c r="X43604" s="9"/>
    </row>
    <row r="43605">
      <c r="D43605" s="9"/>
      <c r="G43605" s="9"/>
      <c r="J43605" s="11"/>
      <c r="U43605" s="9"/>
      <c r="X43605" s="9"/>
    </row>
    <row r="43606">
      <c r="D43606" s="9"/>
      <c r="G43606" s="9"/>
      <c r="J43606" s="11"/>
      <c r="U43606" s="9"/>
      <c r="X43606" s="9"/>
    </row>
    <row r="43607">
      <c r="D43607" s="9"/>
      <c r="G43607" s="9"/>
      <c r="J43607" s="11"/>
      <c r="U43607" s="9"/>
      <c r="X43607" s="9"/>
    </row>
    <row r="43608">
      <c r="D43608" s="9"/>
      <c r="G43608" s="9"/>
      <c r="J43608" s="11"/>
      <c r="U43608" s="9"/>
      <c r="X43608" s="9"/>
    </row>
    <row r="43609">
      <c r="D43609" s="9"/>
      <c r="G43609" s="9"/>
      <c r="J43609" s="11"/>
      <c r="U43609" s="9"/>
      <c r="X43609" s="9"/>
    </row>
    <row r="43610">
      <c r="D43610" s="9"/>
      <c r="G43610" s="9"/>
      <c r="J43610" s="11"/>
      <c r="U43610" s="9"/>
      <c r="X43610" s="9"/>
    </row>
    <row r="43611">
      <c r="D43611" s="9"/>
      <c r="G43611" s="9"/>
      <c r="J43611" s="11"/>
      <c r="U43611" s="9"/>
      <c r="X43611" s="9"/>
    </row>
    <row r="43612">
      <c r="D43612" s="9"/>
      <c r="G43612" s="9"/>
      <c r="J43612" s="11"/>
      <c r="U43612" s="9"/>
      <c r="X43612" s="9"/>
    </row>
    <row r="43613">
      <c r="D43613" s="9"/>
      <c r="G43613" s="9"/>
      <c r="J43613" s="11"/>
      <c r="U43613" s="9"/>
      <c r="X43613" s="9"/>
    </row>
    <row r="43614">
      <c r="D43614" s="9"/>
      <c r="G43614" s="9"/>
      <c r="J43614" s="11"/>
      <c r="U43614" s="9"/>
      <c r="X43614" s="9"/>
    </row>
    <row r="43615">
      <c r="D43615" s="9"/>
      <c r="G43615" s="9"/>
      <c r="J43615" s="11"/>
      <c r="U43615" s="9"/>
      <c r="X43615" s="9"/>
    </row>
    <row r="43616">
      <c r="D43616" s="9"/>
      <c r="G43616" s="9"/>
      <c r="J43616" s="11"/>
      <c r="U43616" s="9"/>
      <c r="X43616" s="9"/>
    </row>
    <row r="43617">
      <c r="D43617" s="9"/>
      <c r="G43617" s="9"/>
      <c r="J43617" s="11"/>
      <c r="U43617" s="9"/>
      <c r="X43617" s="9"/>
    </row>
    <row r="43618">
      <c r="D43618" s="9"/>
      <c r="G43618" s="9"/>
      <c r="J43618" s="11"/>
      <c r="U43618" s="9"/>
      <c r="X43618" s="9"/>
    </row>
    <row r="43619">
      <c r="D43619" s="9"/>
      <c r="G43619" s="9"/>
      <c r="J43619" s="11"/>
      <c r="U43619" s="9"/>
      <c r="X43619" s="9"/>
    </row>
    <row r="43620">
      <c r="D43620" s="9"/>
      <c r="G43620" s="9"/>
      <c r="J43620" s="11"/>
      <c r="U43620" s="9"/>
      <c r="X43620" s="9"/>
    </row>
    <row r="43621">
      <c r="D43621" s="9"/>
      <c r="G43621" s="9"/>
      <c r="J43621" s="11"/>
      <c r="U43621" s="9"/>
      <c r="X43621" s="9"/>
    </row>
    <row r="43622">
      <c r="D43622" s="9"/>
      <c r="G43622" s="9"/>
      <c r="J43622" s="11"/>
      <c r="U43622" s="9"/>
      <c r="X43622" s="9"/>
    </row>
    <row r="43623">
      <c r="D43623" s="9"/>
      <c r="G43623" s="9"/>
      <c r="J43623" s="11"/>
      <c r="U43623" s="9"/>
      <c r="X43623" s="9"/>
    </row>
    <row r="43624">
      <c r="D43624" s="9"/>
      <c r="G43624" s="9"/>
      <c r="J43624" s="11"/>
      <c r="U43624" s="9"/>
      <c r="X43624" s="9"/>
    </row>
    <row r="43625">
      <c r="D43625" s="9"/>
      <c r="G43625" s="9"/>
      <c r="J43625" s="11"/>
      <c r="U43625" s="9"/>
      <c r="X43625" s="9"/>
    </row>
    <row r="43626">
      <c r="D43626" s="9"/>
      <c r="G43626" s="9"/>
      <c r="J43626" s="11"/>
      <c r="U43626" s="9"/>
      <c r="X43626" s="9"/>
    </row>
    <row r="43627">
      <c r="D43627" s="9"/>
      <c r="G43627" s="9"/>
      <c r="J43627" s="11"/>
      <c r="U43627" s="9"/>
      <c r="X43627" s="9"/>
    </row>
    <row r="43628">
      <c r="D43628" s="9"/>
      <c r="G43628" s="9"/>
      <c r="J43628" s="11"/>
      <c r="U43628" s="9"/>
      <c r="X43628" s="9"/>
    </row>
    <row r="43629">
      <c r="D43629" s="9"/>
      <c r="G43629" s="9"/>
      <c r="J43629" s="11"/>
      <c r="U43629" s="9"/>
      <c r="X43629" s="9"/>
    </row>
    <row r="43630">
      <c r="D43630" s="9"/>
      <c r="G43630" s="9"/>
      <c r="J43630" s="11"/>
      <c r="U43630" s="9"/>
      <c r="X43630" s="9"/>
    </row>
    <row r="43631">
      <c r="D43631" s="9"/>
      <c r="G43631" s="9"/>
      <c r="J43631" s="11"/>
      <c r="U43631" s="9"/>
      <c r="X43631" s="9"/>
    </row>
    <row r="43632">
      <c r="D43632" s="9"/>
      <c r="G43632" s="9"/>
      <c r="J43632" s="11"/>
      <c r="U43632" s="9"/>
      <c r="X43632" s="9"/>
    </row>
    <row r="43633">
      <c r="D43633" s="9"/>
      <c r="G43633" s="9"/>
      <c r="J43633" s="11"/>
      <c r="U43633" s="9"/>
      <c r="X43633" s="9"/>
    </row>
    <row r="43634">
      <c r="D43634" s="9"/>
      <c r="G43634" s="9"/>
      <c r="J43634" s="11"/>
      <c r="U43634" s="9"/>
      <c r="X43634" s="9"/>
    </row>
    <row r="43635">
      <c r="D43635" s="9"/>
      <c r="G43635" s="9"/>
      <c r="J43635" s="11"/>
      <c r="U43635" s="9"/>
      <c r="X43635" s="9"/>
    </row>
    <row r="43636">
      <c r="D43636" s="9"/>
      <c r="G43636" s="9"/>
      <c r="J43636" s="11"/>
      <c r="U43636" s="9"/>
      <c r="X43636" s="9"/>
    </row>
    <row r="43637">
      <c r="D43637" s="9"/>
      <c r="G43637" s="9"/>
      <c r="J43637" s="11"/>
      <c r="U43637" s="9"/>
      <c r="X43637" s="9"/>
    </row>
    <row r="43638">
      <c r="D43638" s="9"/>
      <c r="G43638" s="9"/>
      <c r="J43638" s="11"/>
      <c r="U43638" s="9"/>
      <c r="X43638" s="9"/>
    </row>
    <row r="43639">
      <c r="D43639" s="9"/>
      <c r="G43639" s="9"/>
      <c r="J43639" s="11"/>
      <c r="U43639" s="9"/>
      <c r="X43639" s="9"/>
    </row>
    <row r="43640">
      <c r="D43640" s="9"/>
      <c r="G43640" s="9"/>
      <c r="J43640" s="11"/>
      <c r="U43640" s="9"/>
      <c r="X43640" s="9"/>
    </row>
    <row r="43641">
      <c r="D43641" s="9"/>
      <c r="G43641" s="9"/>
      <c r="J43641" s="11"/>
      <c r="U43641" s="9"/>
      <c r="X43641" s="9"/>
    </row>
    <row r="43642">
      <c r="D43642" s="9"/>
      <c r="G43642" s="9"/>
      <c r="J43642" s="11"/>
      <c r="U43642" s="9"/>
      <c r="X43642" s="9"/>
    </row>
    <row r="43643">
      <c r="D43643" s="9"/>
      <c r="G43643" s="9"/>
      <c r="J43643" s="11"/>
      <c r="U43643" s="9"/>
      <c r="X43643" s="9"/>
    </row>
    <row r="43644">
      <c r="D43644" s="9"/>
      <c r="G43644" s="9"/>
      <c r="J43644" s="11"/>
      <c r="U43644" s="9"/>
      <c r="X43644" s="9"/>
    </row>
    <row r="43645">
      <c r="D43645" s="9"/>
      <c r="G43645" s="9"/>
      <c r="J43645" s="11"/>
      <c r="U43645" s="9"/>
      <c r="X43645" s="9"/>
    </row>
    <row r="43646">
      <c r="D43646" s="9"/>
      <c r="G43646" s="9"/>
      <c r="J43646" s="11"/>
      <c r="U43646" s="9"/>
      <c r="X43646" s="9"/>
    </row>
    <row r="43647">
      <c r="D43647" s="9"/>
      <c r="G43647" s="9"/>
      <c r="J43647" s="11"/>
      <c r="U43647" s="9"/>
      <c r="X43647" s="9"/>
    </row>
    <row r="43648">
      <c r="D43648" s="9"/>
      <c r="G43648" s="9"/>
      <c r="J43648" s="11"/>
      <c r="U43648" s="9"/>
      <c r="X43648" s="9"/>
    </row>
    <row r="43649">
      <c r="D43649" s="9"/>
      <c r="G43649" s="9"/>
      <c r="J43649" s="11"/>
      <c r="U43649" s="9"/>
      <c r="X43649" s="9"/>
    </row>
    <row r="43650">
      <c r="D43650" s="9"/>
      <c r="G43650" s="9"/>
      <c r="J43650" s="11"/>
      <c r="U43650" s="9"/>
      <c r="X43650" s="9"/>
    </row>
    <row r="43651">
      <c r="D43651" s="9"/>
      <c r="G43651" s="9"/>
      <c r="J43651" s="11"/>
      <c r="U43651" s="9"/>
      <c r="X43651" s="9"/>
    </row>
    <row r="43652">
      <c r="D43652" s="9"/>
      <c r="G43652" s="9"/>
      <c r="J43652" s="11"/>
      <c r="U43652" s="9"/>
      <c r="X43652" s="9"/>
    </row>
    <row r="43653">
      <c r="D43653" s="9"/>
      <c r="G43653" s="9"/>
      <c r="J43653" s="11"/>
      <c r="U43653" s="9"/>
      <c r="X43653" s="9"/>
    </row>
    <row r="43654">
      <c r="D43654" s="9"/>
      <c r="G43654" s="9"/>
      <c r="J43654" s="11"/>
      <c r="U43654" s="9"/>
      <c r="X43654" s="9"/>
    </row>
    <row r="43655">
      <c r="D43655" s="9"/>
      <c r="G43655" s="9"/>
      <c r="J43655" s="11"/>
      <c r="U43655" s="9"/>
      <c r="X43655" s="9"/>
    </row>
    <row r="43656">
      <c r="D43656" s="9"/>
      <c r="G43656" s="9"/>
      <c r="J43656" s="11"/>
      <c r="U43656" s="9"/>
      <c r="X43656" s="9"/>
    </row>
    <row r="43657">
      <c r="D43657" s="9"/>
      <c r="G43657" s="9"/>
      <c r="J43657" s="11"/>
      <c r="U43657" s="9"/>
      <c r="X43657" s="9"/>
    </row>
    <row r="43658">
      <c r="D43658" s="9"/>
      <c r="G43658" s="9"/>
      <c r="J43658" s="11"/>
      <c r="U43658" s="9"/>
      <c r="X43658" s="9"/>
    </row>
    <row r="43659">
      <c r="D43659" s="9"/>
      <c r="G43659" s="9"/>
      <c r="J43659" s="11"/>
      <c r="U43659" s="9"/>
      <c r="X43659" s="9"/>
    </row>
    <row r="43660">
      <c r="D43660" s="9"/>
      <c r="G43660" s="9"/>
      <c r="J43660" s="11"/>
      <c r="U43660" s="9"/>
      <c r="X43660" s="9"/>
    </row>
    <row r="43661">
      <c r="D43661" s="9"/>
      <c r="G43661" s="9"/>
      <c r="J43661" s="11"/>
      <c r="U43661" s="9"/>
      <c r="X43661" s="9"/>
    </row>
    <row r="43662">
      <c r="D43662" s="9"/>
      <c r="G43662" s="9"/>
      <c r="J43662" s="11"/>
      <c r="U43662" s="9"/>
      <c r="X43662" s="9"/>
    </row>
    <row r="43663">
      <c r="D43663" s="9"/>
      <c r="G43663" s="9"/>
      <c r="J43663" s="11"/>
      <c r="U43663" s="9"/>
      <c r="X43663" s="9"/>
    </row>
    <row r="43664">
      <c r="D43664" s="9"/>
      <c r="G43664" s="9"/>
      <c r="J43664" s="11"/>
      <c r="U43664" s="9"/>
      <c r="X43664" s="9"/>
    </row>
    <row r="43665">
      <c r="D43665" s="9"/>
      <c r="G43665" s="9"/>
      <c r="J43665" s="11"/>
      <c r="U43665" s="9"/>
      <c r="X43665" s="9"/>
    </row>
    <row r="43666">
      <c r="D43666" s="9"/>
      <c r="G43666" s="9"/>
      <c r="J43666" s="11"/>
      <c r="U43666" s="9"/>
      <c r="X43666" s="9"/>
    </row>
    <row r="43667">
      <c r="D43667" s="9"/>
      <c r="G43667" s="9"/>
      <c r="J43667" s="11"/>
      <c r="U43667" s="9"/>
      <c r="X43667" s="9"/>
    </row>
    <row r="43668">
      <c r="D43668" s="9"/>
      <c r="G43668" s="9"/>
      <c r="J43668" s="11"/>
      <c r="U43668" s="9"/>
      <c r="X43668" s="9"/>
    </row>
    <row r="43669">
      <c r="D43669" s="9"/>
      <c r="G43669" s="9"/>
      <c r="J43669" s="11"/>
      <c r="U43669" s="9"/>
      <c r="X43669" s="9"/>
    </row>
    <row r="43670">
      <c r="D43670" s="9"/>
      <c r="G43670" s="9"/>
      <c r="J43670" s="11"/>
      <c r="U43670" s="9"/>
      <c r="X43670" s="9"/>
    </row>
    <row r="43671">
      <c r="D43671" s="9"/>
      <c r="G43671" s="9"/>
      <c r="J43671" s="11"/>
      <c r="U43671" s="9"/>
      <c r="X43671" s="9"/>
    </row>
    <row r="43672">
      <c r="D43672" s="9"/>
      <c r="G43672" s="9"/>
      <c r="J43672" s="11"/>
      <c r="U43672" s="9"/>
      <c r="X43672" s="9"/>
    </row>
    <row r="43673">
      <c r="D43673" s="9"/>
      <c r="G43673" s="9"/>
      <c r="J43673" s="11"/>
      <c r="U43673" s="9"/>
      <c r="X43673" s="9"/>
    </row>
    <row r="43674">
      <c r="D43674" s="9"/>
      <c r="G43674" s="9"/>
      <c r="J43674" s="11"/>
      <c r="U43674" s="9"/>
      <c r="X43674" s="9"/>
    </row>
    <row r="43675">
      <c r="D43675" s="9"/>
      <c r="G43675" s="9"/>
      <c r="J43675" s="11"/>
      <c r="U43675" s="9"/>
      <c r="X43675" s="9"/>
    </row>
    <row r="43676">
      <c r="D43676" s="9"/>
      <c r="G43676" s="9"/>
      <c r="J43676" s="11"/>
      <c r="U43676" s="9"/>
      <c r="X43676" s="9"/>
    </row>
    <row r="43677">
      <c r="D43677" s="9"/>
      <c r="G43677" s="9"/>
      <c r="J43677" s="11"/>
      <c r="U43677" s="9"/>
      <c r="X43677" s="9"/>
    </row>
    <row r="43678">
      <c r="D43678" s="9"/>
      <c r="G43678" s="9"/>
      <c r="J43678" s="11"/>
      <c r="U43678" s="9"/>
      <c r="X43678" s="9"/>
    </row>
    <row r="43679">
      <c r="D43679" s="9"/>
      <c r="G43679" s="9"/>
      <c r="J43679" s="11"/>
      <c r="U43679" s="9"/>
      <c r="X43679" s="9"/>
    </row>
    <row r="43680">
      <c r="D43680" s="9"/>
      <c r="G43680" s="9"/>
      <c r="J43680" s="11"/>
      <c r="U43680" s="9"/>
      <c r="X43680" s="9"/>
    </row>
    <row r="43681">
      <c r="D43681" s="9"/>
      <c r="G43681" s="9"/>
      <c r="J43681" s="11"/>
      <c r="U43681" s="9"/>
      <c r="X43681" s="9"/>
    </row>
    <row r="43682">
      <c r="D43682" s="9"/>
      <c r="G43682" s="9"/>
      <c r="J43682" s="11"/>
      <c r="U43682" s="9"/>
      <c r="X43682" s="9"/>
    </row>
    <row r="43683">
      <c r="D43683" s="9"/>
      <c r="G43683" s="9"/>
      <c r="J43683" s="11"/>
      <c r="U43683" s="9"/>
      <c r="X43683" s="9"/>
    </row>
    <row r="43684">
      <c r="D43684" s="9"/>
      <c r="G43684" s="9"/>
      <c r="J43684" s="11"/>
      <c r="U43684" s="9"/>
      <c r="X43684" s="9"/>
    </row>
    <row r="43685">
      <c r="D43685" s="9"/>
      <c r="G43685" s="9"/>
      <c r="J43685" s="11"/>
      <c r="U43685" s="9"/>
      <c r="X43685" s="9"/>
    </row>
    <row r="43686">
      <c r="D43686" s="9"/>
      <c r="G43686" s="9"/>
      <c r="J43686" s="11"/>
      <c r="U43686" s="9"/>
      <c r="X43686" s="9"/>
    </row>
    <row r="43687">
      <c r="D43687" s="9"/>
      <c r="G43687" s="9"/>
      <c r="J43687" s="11"/>
      <c r="U43687" s="9"/>
      <c r="X43687" s="9"/>
    </row>
    <row r="43688">
      <c r="D43688" s="9"/>
      <c r="G43688" s="9"/>
      <c r="J43688" s="11"/>
      <c r="U43688" s="9"/>
      <c r="X43688" s="9"/>
    </row>
    <row r="43689">
      <c r="D43689" s="9"/>
      <c r="G43689" s="9"/>
      <c r="J43689" s="11"/>
      <c r="U43689" s="9"/>
      <c r="X43689" s="9"/>
    </row>
    <row r="43690">
      <c r="D43690" s="9"/>
      <c r="G43690" s="9"/>
      <c r="J43690" s="11"/>
      <c r="U43690" s="9"/>
      <c r="X43690" s="9"/>
    </row>
    <row r="43691">
      <c r="D43691" s="9"/>
      <c r="G43691" s="9"/>
      <c r="J43691" s="11"/>
      <c r="U43691" s="9"/>
      <c r="X43691" s="9"/>
    </row>
    <row r="43692">
      <c r="D43692" s="9"/>
      <c r="G43692" s="9"/>
      <c r="J43692" s="11"/>
      <c r="U43692" s="9"/>
      <c r="X43692" s="9"/>
    </row>
    <row r="43693">
      <c r="D43693" s="9"/>
      <c r="G43693" s="9"/>
      <c r="J43693" s="11"/>
      <c r="U43693" s="9"/>
      <c r="X43693" s="9"/>
    </row>
    <row r="43694">
      <c r="D43694" s="9"/>
      <c r="G43694" s="9"/>
      <c r="J43694" s="11"/>
      <c r="U43694" s="9"/>
      <c r="X43694" s="9"/>
    </row>
    <row r="43695">
      <c r="D43695" s="9"/>
      <c r="G43695" s="9"/>
      <c r="J43695" s="11"/>
      <c r="U43695" s="9"/>
      <c r="X43695" s="9"/>
    </row>
    <row r="43696">
      <c r="D43696" s="9"/>
      <c r="G43696" s="9"/>
      <c r="J43696" s="11"/>
      <c r="U43696" s="9"/>
      <c r="X43696" s="9"/>
    </row>
    <row r="43697">
      <c r="D43697" s="9"/>
      <c r="G43697" s="9"/>
      <c r="J43697" s="11"/>
      <c r="U43697" s="9"/>
      <c r="X43697" s="9"/>
    </row>
    <row r="43698">
      <c r="D43698" s="9"/>
      <c r="G43698" s="9"/>
      <c r="J43698" s="11"/>
      <c r="U43698" s="9"/>
      <c r="X43698" s="9"/>
    </row>
    <row r="43699">
      <c r="D43699" s="9"/>
      <c r="G43699" s="9"/>
      <c r="J43699" s="11"/>
      <c r="U43699" s="9"/>
      <c r="X43699" s="9"/>
    </row>
    <row r="43700">
      <c r="D43700" s="9"/>
      <c r="G43700" s="9"/>
      <c r="J43700" s="11"/>
      <c r="U43700" s="9"/>
      <c r="X43700" s="9"/>
    </row>
    <row r="43701">
      <c r="D43701" s="9"/>
      <c r="G43701" s="9"/>
      <c r="J43701" s="11"/>
      <c r="U43701" s="9"/>
      <c r="X43701" s="9"/>
    </row>
    <row r="43702">
      <c r="D43702" s="9"/>
      <c r="G43702" s="9"/>
      <c r="J43702" s="11"/>
      <c r="U43702" s="9"/>
      <c r="X43702" s="9"/>
    </row>
    <row r="43703">
      <c r="D43703" s="9"/>
      <c r="G43703" s="9"/>
      <c r="J43703" s="11"/>
      <c r="U43703" s="9"/>
      <c r="X43703" s="9"/>
    </row>
    <row r="43704">
      <c r="D43704" s="9"/>
      <c r="G43704" s="9"/>
      <c r="J43704" s="11"/>
      <c r="U43704" s="9"/>
      <c r="X43704" s="9"/>
    </row>
    <row r="43705">
      <c r="D43705" s="9"/>
      <c r="G43705" s="9"/>
      <c r="J43705" s="11"/>
      <c r="U43705" s="9"/>
      <c r="X43705" s="9"/>
    </row>
    <row r="43706">
      <c r="D43706" s="9"/>
      <c r="G43706" s="9"/>
      <c r="J43706" s="11"/>
      <c r="U43706" s="9"/>
      <c r="X43706" s="9"/>
    </row>
    <row r="43707">
      <c r="D43707" s="9"/>
      <c r="G43707" s="9"/>
      <c r="J43707" s="11"/>
      <c r="U43707" s="9"/>
      <c r="X43707" s="9"/>
    </row>
    <row r="43708">
      <c r="D43708" s="9"/>
      <c r="G43708" s="9"/>
      <c r="J43708" s="11"/>
      <c r="U43708" s="9"/>
      <c r="X43708" s="9"/>
    </row>
    <row r="43709">
      <c r="D43709" s="9"/>
      <c r="G43709" s="9"/>
      <c r="J43709" s="11"/>
      <c r="U43709" s="9"/>
      <c r="X43709" s="9"/>
    </row>
    <row r="43710">
      <c r="D43710" s="9"/>
      <c r="G43710" s="9"/>
      <c r="J43710" s="11"/>
      <c r="U43710" s="9"/>
      <c r="X43710" s="9"/>
    </row>
    <row r="43711">
      <c r="D43711" s="9"/>
      <c r="G43711" s="9"/>
      <c r="J43711" s="11"/>
      <c r="U43711" s="9"/>
      <c r="X43711" s="9"/>
    </row>
    <row r="43712">
      <c r="D43712" s="9"/>
      <c r="G43712" s="9"/>
      <c r="J43712" s="11"/>
      <c r="U43712" s="9"/>
      <c r="X43712" s="9"/>
    </row>
    <row r="43713">
      <c r="D43713" s="9"/>
      <c r="G43713" s="9"/>
      <c r="J43713" s="11"/>
      <c r="U43713" s="9"/>
      <c r="X43713" s="9"/>
    </row>
    <row r="43714">
      <c r="D43714" s="9"/>
      <c r="G43714" s="9"/>
      <c r="J43714" s="11"/>
      <c r="U43714" s="9"/>
      <c r="X43714" s="9"/>
    </row>
    <row r="43715">
      <c r="D43715" s="9"/>
      <c r="G43715" s="9"/>
      <c r="J43715" s="11"/>
      <c r="U43715" s="9"/>
      <c r="X43715" s="9"/>
    </row>
    <row r="43716">
      <c r="D43716" s="9"/>
      <c r="G43716" s="9"/>
      <c r="J43716" s="11"/>
      <c r="U43716" s="9"/>
      <c r="X43716" s="9"/>
    </row>
    <row r="43717">
      <c r="D43717" s="9"/>
      <c r="G43717" s="9"/>
      <c r="J43717" s="11"/>
      <c r="U43717" s="9"/>
      <c r="X43717" s="9"/>
    </row>
    <row r="43718">
      <c r="D43718" s="9"/>
      <c r="G43718" s="9"/>
      <c r="J43718" s="11"/>
      <c r="U43718" s="9"/>
      <c r="X43718" s="9"/>
    </row>
    <row r="43719">
      <c r="D43719" s="9"/>
      <c r="G43719" s="9"/>
      <c r="J43719" s="11"/>
      <c r="U43719" s="9"/>
      <c r="X43719" s="9"/>
    </row>
    <row r="43720">
      <c r="D43720" s="9"/>
      <c r="G43720" s="9"/>
      <c r="J43720" s="11"/>
      <c r="U43720" s="9"/>
      <c r="X43720" s="9"/>
    </row>
    <row r="43721">
      <c r="D43721" s="9"/>
      <c r="G43721" s="9"/>
      <c r="J43721" s="11"/>
      <c r="U43721" s="9"/>
      <c r="X43721" s="9"/>
    </row>
    <row r="43722">
      <c r="D43722" s="9"/>
      <c r="G43722" s="9"/>
      <c r="J43722" s="11"/>
      <c r="U43722" s="9"/>
      <c r="X43722" s="9"/>
    </row>
    <row r="43723">
      <c r="D43723" s="9"/>
      <c r="G43723" s="9"/>
      <c r="J43723" s="11"/>
      <c r="U43723" s="9"/>
      <c r="X43723" s="9"/>
    </row>
    <row r="43724">
      <c r="D43724" s="9"/>
      <c r="G43724" s="9"/>
      <c r="J43724" s="11"/>
      <c r="U43724" s="9"/>
      <c r="X43724" s="9"/>
    </row>
    <row r="43725">
      <c r="D43725" s="9"/>
      <c r="G43725" s="9"/>
      <c r="J43725" s="11"/>
      <c r="U43725" s="9"/>
      <c r="X43725" s="9"/>
    </row>
    <row r="43726">
      <c r="D43726" s="9"/>
      <c r="G43726" s="9"/>
      <c r="J43726" s="11"/>
      <c r="U43726" s="9"/>
      <c r="X43726" s="9"/>
    </row>
    <row r="43727">
      <c r="D43727" s="9"/>
      <c r="G43727" s="9"/>
      <c r="J43727" s="11"/>
      <c r="U43727" s="9"/>
      <c r="X43727" s="9"/>
    </row>
    <row r="43728">
      <c r="D43728" s="9"/>
      <c r="G43728" s="9"/>
      <c r="J43728" s="11"/>
      <c r="U43728" s="9"/>
      <c r="X43728" s="9"/>
    </row>
    <row r="43729">
      <c r="D43729" s="9"/>
      <c r="G43729" s="9"/>
      <c r="J43729" s="11"/>
      <c r="U43729" s="9"/>
      <c r="X43729" s="9"/>
    </row>
    <row r="43730">
      <c r="D43730" s="9"/>
      <c r="G43730" s="9"/>
      <c r="J43730" s="11"/>
      <c r="U43730" s="9"/>
      <c r="X43730" s="9"/>
    </row>
    <row r="43731">
      <c r="D43731" s="9"/>
      <c r="G43731" s="9"/>
      <c r="J43731" s="11"/>
      <c r="U43731" s="9"/>
      <c r="X43731" s="9"/>
    </row>
    <row r="43732">
      <c r="D43732" s="9"/>
      <c r="G43732" s="9"/>
      <c r="J43732" s="11"/>
      <c r="U43732" s="9"/>
      <c r="X43732" s="9"/>
    </row>
    <row r="43733">
      <c r="D43733" s="9"/>
      <c r="G43733" s="9"/>
      <c r="J43733" s="11"/>
      <c r="U43733" s="9"/>
      <c r="X43733" s="9"/>
    </row>
    <row r="43734">
      <c r="D43734" s="9"/>
      <c r="G43734" s="9"/>
      <c r="J43734" s="11"/>
      <c r="U43734" s="9"/>
      <c r="X43734" s="9"/>
    </row>
    <row r="43735">
      <c r="D43735" s="9"/>
      <c r="G43735" s="9"/>
      <c r="J43735" s="11"/>
      <c r="U43735" s="9"/>
      <c r="X43735" s="9"/>
    </row>
    <row r="43736">
      <c r="D43736" s="9"/>
      <c r="G43736" s="9"/>
      <c r="J43736" s="11"/>
      <c r="U43736" s="9"/>
      <c r="X43736" s="9"/>
    </row>
    <row r="43737">
      <c r="D43737" s="9"/>
      <c r="G43737" s="9"/>
      <c r="J43737" s="11"/>
      <c r="U43737" s="9"/>
      <c r="X43737" s="9"/>
    </row>
    <row r="43738">
      <c r="D43738" s="9"/>
      <c r="G43738" s="9"/>
      <c r="J43738" s="11"/>
      <c r="U43738" s="9"/>
      <c r="X43738" s="9"/>
    </row>
    <row r="43739">
      <c r="D43739" s="9"/>
      <c r="G43739" s="9"/>
      <c r="J43739" s="11"/>
      <c r="U43739" s="9"/>
      <c r="X43739" s="9"/>
    </row>
    <row r="43740">
      <c r="D43740" s="9"/>
      <c r="G43740" s="9"/>
      <c r="J43740" s="11"/>
      <c r="U43740" s="9"/>
      <c r="X43740" s="9"/>
    </row>
    <row r="43741">
      <c r="D43741" s="9"/>
      <c r="G43741" s="9"/>
      <c r="J43741" s="11"/>
      <c r="U43741" s="9"/>
      <c r="X43741" s="9"/>
    </row>
    <row r="43742">
      <c r="D43742" s="9"/>
      <c r="G43742" s="9"/>
      <c r="J43742" s="11"/>
      <c r="U43742" s="9"/>
      <c r="X43742" s="9"/>
    </row>
    <row r="43743">
      <c r="D43743" s="9"/>
      <c r="G43743" s="9"/>
      <c r="J43743" s="11"/>
      <c r="U43743" s="9"/>
      <c r="X43743" s="9"/>
    </row>
    <row r="43744">
      <c r="D43744" s="9"/>
      <c r="G43744" s="9"/>
      <c r="J43744" s="11"/>
      <c r="U43744" s="9"/>
      <c r="X43744" s="9"/>
    </row>
    <row r="43745">
      <c r="D43745" s="9"/>
      <c r="G43745" s="9"/>
      <c r="J43745" s="11"/>
      <c r="U43745" s="9"/>
      <c r="X43745" s="9"/>
    </row>
    <row r="43746">
      <c r="D43746" s="9"/>
      <c r="G43746" s="9"/>
      <c r="J43746" s="11"/>
      <c r="U43746" s="9"/>
      <c r="X43746" s="9"/>
    </row>
    <row r="43747">
      <c r="D43747" s="9"/>
      <c r="G43747" s="9"/>
      <c r="J43747" s="11"/>
      <c r="U43747" s="9"/>
      <c r="X43747" s="9"/>
    </row>
    <row r="43748">
      <c r="D43748" s="9"/>
      <c r="G43748" s="9"/>
      <c r="J43748" s="11"/>
      <c r="U43748" s="9"/>
      <c r="X43748" s="9"/>
    </row>
    <row r="43749">
      <c r="D43749" s="9"/>
      <c r="G43749" s="9"/>
      <c r="J43749" s="11"/>
      <c r="U43749" s="9"/>
      <c r="X43749" s="9"/>
    </row>
    <row r="43750">
      <c r="D43750" s="9"/>
      <c r="G43750" s="9"/>
      <c r="J43750" s="11"/>
      <c r="U43750" s="9"/>
      <c r="X43750" s="9"/>
    </row>
    <row r="43751">
      <c r="D43751" s="9"/>
      <c r="G43751" s="9"/>
      <c r="J43751" s="11"/>
      <c r="U43751" s="9"/>
      <c r="X43751" s="9"/>
    </row>
    <row r="43752">
      <c r="D43752" s="9"/>
      <c r="G43752" s="9"/>
      <c r="J43752" s="11"/>
      <c r="U43752" s="9"/>
      <c r="X43752" s="9"/>
    </row>
    <row r="43753">
      <c r="D43753" s="9"/>
      <c r="G43753" s="9"/>
      <c r="J43753" s="11"/>
      <c r="U43753" s="9"/>
      <c r="X43753" s="9"/>
    </row>
    <row r="43754">
      <c r="D43754" s="9"/>
      <c r="G43754" s="9"/>
      <c r="J43754" s="11"/>
      <c r="U43754" s="9"/>
      <c r="X43754" s="9"/>
    </row>
    <row r="43755">
      <c r="D43755" s="9"/>
      <c r="G43755" s="9"/>
      <c r="J43755" s="11"/>
      <c r="U43755" s="9"/>
      <c r="X43755" s="9"/>
    </row>
    <row r="43756">
      <c r="D43756" s="9"/>
      <c r="G43756" s="9"/>
      <c r="J43756" s="11"/>
      <c r="U43756" s="9"/>
      <c r="X43756" s="9"/>
    </row>
    <row r="43757">
      <c r="D43757" s="9"/>
      <c r="G43757" s="9"/>
      <c r="J43757" s="11"/>
      <c r="U43757" s="9"/>
      <c r="X43757" s="9"/>
    </row>
    <row r="43758">
      <c r="D43758" s="9"/>
      <c r="G43758" s="9"/>
      <c r="J43758" s="11"/>
      <c r="U43758" s="9"/>
      <c r="X43758" s="9"/>
    </row>
    <row r="43759">
      <c r="D43759" s="9"/>
      <c r="G43759" s="9"/>
      <c r="J43759" s="11"/>
      <c r="U43759" s="9"/>
      <c r="X43759" s="9"/>
    </row>
    <row r="43760">
      <c r="D43760" s="9"/>
      <c r="G43760" s="9"/>
      <c r="J43760" s="11"/>
      <c r="U43760" s="9"/>
      <c r="X43760" s="9"/>
    </row>
    <row r="43761">
      <c r="D43761" s="9"/>
      <c r="G43761" s="9"/>
      <c r="J43761" s="11"/>
      <c r="U43761" s="9"/>
      <c r="X43761" s="9"/>
    </row>
    <row r="43762">
      <c r="D43762" s="9"/>
      <c r="G43762" s="9"/>
      <c r="J43762" s="11"/>
      <c r="U43762" s="9"/>
      <c r="X43762" s="9"/>
    </row>
    <row r="43763">
      <c r="D43763" s="9"/>
      <c r="G43763" s="9"/>
      <c r="J43763" s="11"/>
      <c r="U43763" s="9"/>
      <c r="X43763" s="9"/>
    </row>
    <row r="43764">
      <c r="D43764" s="9"/>
      <c r="G43764" s="9"/>
      <c r="J43764" s="11"/>
      <c r="U43764" s="9"/>
      <c r="X43764" s="9"/>
    </row>
    <row r="43765">
      <c r="D43765" s="9"/>
      <c r="G43765" s="9"/>
      <c r="J43765" s="11"/>
      <c r="U43765" s="9"/>
      <c r="X43765" s="9"/>
    </row>
    <row r="43766">
      <c r="D43766" s="9"/>
      <c r="G43766" s="9"/>
      <c r="J43766" s="11"/>
      <c r="U43766" s="9"/>
      <c r="X43766" s="9"/>
    </row>
    <row r="43767">
      <c r="D43767" s="9"/>
      <c r="G43767" s="9"/>
      <c r="J43767" s="11"/>
      <c r="U43767" s="9"/>
      <c r="X43767" s="9"/>
    </row>
    <row r="43768">
      <c r="D43768" s="9"/>
      <c r="G43768" s="9"/>
      <c r="J43768" s="11"/>
      <c r="U43768" s="9"/>
      <c r="X43768" s="9"/>
    </row>
    <row r="43769">
      <c r="D43769" s="9"/>
      <c r="G43769" s="9"/>
      <c r="J43769" s="11"/>
      <c r="U43769" s="9"/>
      <c r="X43769" s="9"/>
    </row>
    <row r="43770">
      <c r="D43770" s="9"/>
      <c r="G43770" s="9"/>
      <c r="J43770" s="11"/>
      <c r="U43770" s="9"/>
      <c r="X43770" s="9"/>
    </row>
    <row r="43771">
      <c r="D43771" s="9"/>
      <c r="G43771" s="9"/>
      <c r="J43771" s="11"/>
      <c r="U43771" s="9"/>
      <c r="X43771" s="9"/>
    </row>
    <row r="43772">
      <c r="D43772" s="9"/>
      <c r="G43772" s="9"/>
      <c r="J43772" s="11"/>
      <c r="U43772" s="9"/>
      <c r="X43772" s="9"/>
    </row>
    <row r="43773">
      <c r="D43773" s="9"/>
      <c r="G43773" s="9"/>
      <c r="J43773" s="11"/>
      <c r="U43773" s="9"/>
      <c r="X43773" s="9"/>
    </row>
    <row r="43774">
      <c r="D43774" s="9"/>
      <c r="G43774" s="9"/>
      <c r="J43774" s="11"/>
      <c r="U43774" s="9"/>
      <c r="X43774" s="9"/>
    </row>
    <row r="43775">
      <c r="D43775" s="9"/>
      <c r="G43775" s="9"/>
      <c r="J43775" s="11"/>
      <c r="U43775" s="9"/>
      <c r="X43775" s="9"/>
    </row>
    <row r="43776">
      <c r="D43776" s="9"/>
      <c r="G43776" s="9"/>
      <c r="J43776" s="11"/>
      <c r="U43776" s="9"/>
      <c r="X43776" s="9"/>
    </row>
    <row r="43777">
      <c r="D43777" s="9"/>
      <c r="G43777" s="9"/>
      <c r="J43777" s="11"/>
      <c r="U43777" s="9"/>
      <c r="X43777" s="9"/>
    </row>
    <row r="43778">
      <c r="D43778" s="9"/>
      <c r="G43778" s="9"/>
      <c r="J43778" s="11"/>
      <c r="U43778" s="9"/>
      <c r="X43778" s="9"/>
    </row>
    <row r="43779">
      <c r="D43779" s="9"/>
      <c r="G43779" s="9"/>
      <c r="J43779" s="11"/>
      <c r="U43779" s="9"/>
      <c r="X43779" s="9"/>
    </row>
    <row r="43780">
      <c r="D43780" s="9"/>
      <c r="G43780" s="9"/>
      <c r="J43780" s="11"/>
      <c r="U43780" s="9"/>
      <c r="X43780" s="9"/>
    </row>
    <row r="43781">
      <c r="D43781" s="9"/>
      <c r="G43781" s="9"/>
      <c r="J43781" s="11"/>
      <c r="U43781" s="9"/>
      <c r="X43781" s="9"/>
    </row>
    <row r="43782">
      <c r="D43782" s="9"/>
      <c r="G43782" s="9"/>
      <c r="J43782" s="11"/>
      <c r="U43782" s="9"/>
      <c r="X43782" s="9"/>
    </row>
    <row r="43783">
      <c r="D43783" s="9"/>
      <c r="G43783" s="9"/>
      <c r="J43783" s="11"/>
      <c r="U43783" s="9"/>
      <c r="X43783" s="9"/>
    </row>
    <row r="43784">
      <c r="D43784" s="9"/>
      <c r="G43784" s="9"/>
      <c r="J43784" s="11"/>
      <c r="U43784" s="9"/>
      <c r="X43784" s="9"/>
    </row>
    <row r="43785">
      <c r="D43785" s="9"/>
      <c r="G43785" s="9"/>
      <c r="J43785" s="11"/>
      <c r="U43785" s="9"/>
      <c r="X43785" s="9"/>
    </row>
    <row r="43786">
      <c r="D43786" s="9"/>
      <c r="G43786" s="9"/>
      <c r="J43786" s="11"/>
      <c r="U43786" s="9"/>
      <c r="X43786" s="9"/>
    </row>
    <row r="43787">
      <c r="D43787" s="9"/>
      <c r="G43787" s="9"/>
      <c r="J43787" s="11"/>
      <c r="U43787" s="9"/>
      <c r="X43787" s="9"/>
    </row>
    <row r="43788">
      <c r="D43788" s="9"/>
      <c r="G43788" s="9"/>
      <c r="J43788" s="11"/>
      <c r="U43788" s="9"/>
      <c r="X43788" s="9"/>
    </row>
    <row r="43789">
      <c r="D43789" s="9"/>
      <c r="G43789" s="9"/>
      <c r="J43789" s="11"/>
      <c r="U43789" s="9"/>
      <c r="X43789" s="9"/>
    </row>
    <row r="43790">
      <c r="D43790" s="9"/>
      <c r="G43790" s="9"/>
      <c r="J43790" s="11"/>
      <c r="U43790" s="9"/>
      <c r="X43790" s="9"/>
    </row>
    <row r="43791">
      <c r="D43791" s="9"/>
      <c r="G43791" s="9"/>
      <c r="J43791" s="11"/>
      <c r="U43791" s="9"/>
      <c r="X43791" s="9"/>
    </row>
    <row r="43792">
      <c r="D43792" s="9"/>
      <c r="G43792" s="9"/>
      <c r="J43792" s="11"/>
      <c r="U43792" s="9"/>
      <c r="X43792" s="9"/>
    </row>
    <row r="43793">
      <c r="D43793" s="9"/>
      <c r="G43793" s="9"/>
      <c r="J43793" s="11"/>
      <c r="U43793" s="9"/>
      <c r="X43793" s="9"/>
    </row>
    <row r="43794">
      <c r="D43794" s="9"/>
      <c r="G43794" s="9"/>
      <c r="J43794" s="11"/>
      <c r="U43794" s="9"/>
      <c r="X43794" s="9"/>
    </row>
    <row r="43795">
      <c r="D43795" s="9"/>
      <c r="G43795" s="9"/>
      <c r="J43795" s="11"/>
      <c r="U43795" s="9"/>
      <c r="X43795" s="9"/>
    </row>
    <row r="43796">
      <c r="D43796" s="9"/>
      <c r="G43796" s="9"/>
      <c r="J43796" s="11"/>
      <c r="U43796" s="9"/>
      <c r="X43796" s="9"/>
    </row>
    <row r="43797">
      <c r="D43797" s="9"/>
      <c r="G43797" s="9"/>
      <c r="J43797" s="11"/>
      <c r="U43797" s="9"/>
      <c r="X43797" s="9"/>
    </row>
    <row r="43798">
      <c r="D43798" s="9"/>
      <c r="G43798" s="9"/>
      <c r="J43798" s="11"/>
      <c r="U43798" s="9"/>
      <c r="X43798" s="9"/>
    </row>
    <row r="43799">
      <c r="D43799" s="9"/>
      <c r="G43799" s="9"/>
      <c r="J43799" s="11"/>
      <c r="U43799" s="9"/>
      <c r="X43799" s="9"/>
    </row>
    <row r="43800">
      <c r="D43800" s="9"/>
      <c r="G43800" s="9"/>
      <c r="J43800" s="11"/>
      <c r="U43800" s="9"/>
      <c r="X43800" s="9"/>
    </row>
    <row r="43801">
      <c r="D43801" s="9"/>
      <c r="G43801" s="9"/>
      <c r="J43801" s="11"/>
      <c r="U43801" s="9"/>
      <c r="X43801" s="9"/>
    </row>
    <row r="43802">
      <c r="D43802" s="9"/>
      <c r="G43802" s="9"/>
      <c r="J43802" s="11"/>
      <c r="U43802" s="9"/>
      <c r="X43802" s="9"/>
    </row>
    <row r="43803">
      <c r="D43803" s="9"/>
      <c r="G43803" s="9"/>
      <c r="J43803" s="11"/>
      <c r="U43803" s="9"/>
      <c r="X43803" s="9"/>
    </row>
    <row r="43804">
      <c r="D43804" s="9"/>
      <c r="G43804" s="9"/>
      <c r="J43804" s="11"/>
      <c r="U43804" s="9"/>
      <c r="X43804" s="9"/>
    </row>
    <row r="43805">
      <c r="D43805" s="9"/>
      <c r="G43805" s="9"/>
      <c r="J43805" s="11"/>
      <c r="U43805" s="9"/>
      <c r="X43805" s="9"/>
    </row>
    <row r="43806">
      <c r="D43806" s="9"/>
      <c r="G43806" s="9"/>
      <c r="J43806" s="11"/>
      <c r="U43806" s="9"/>
      <c r="X43806" s="9"/>
    </row>
    <row r="43807">
      <c r="D43807" s="9"/>
      <c r="G43807" s="9"/>
      <c r="J43807" s="11"/>
      <c r="U43807" s="9"/>
      <c r="X43807" s="9"/>
    </row>
    <row r="43808">
      <c r="D43808" s="9"/>
      <c r="G43808" s="9"/>
      <c r="J43808" s="11"/>
      <c r="U43808" s="9"/>
      <c r="X43808" s="9"/>
    </row>
    <row r="43809">
      <c r="D43809" s="9"/>
      <c r="G43809" s="9"/>
      <c r="J43809" s="11"/>
      <c r="U43809" s="9"/>
      <c r="X43809" s="9"/>
    </row>
    <row r="43810">
      <c r="D43810" s="9"/>
      <c r="G43810" s="9"/>
      <c r="J43810" s="11"/>
      <c r="U43810" s="9"/>
      <c r="X43810" s="9"/>
    </row>
    <row r="43811">
      <c r="D43811" s="9"/>
      <c r="G43811" s="9"/>
      <c r="J43811" s="11"/>
      <c r="U43811" s="9"/>
      <c r="X43811" s="9"/>
    </row>
    <row r="43812">
      <c r="D43812" s="9"/>
      <c r="G43812" s="9"/>
      <c r="J43812" s="11"/>
      <c r="U43812" s="9"/>
      <c r="X43812" s="9"/>
    </row>
    <row r="43813">
      <c r="D43813" s="9"/>
      <c r="G43813" s="9"/>
      <c r="J43813" s="11"/>
      <c r="U43813" s="9"/>
      <c r="X43813" s="9"/>
    </row>
    <row r="43814">
      <c r="D43814" s="9"/>
      <c r="G43814" s="9"/>
      <c r="J43814" s="11"/>
      <c r="U43814" s="9"/>
      <c r="X43814" s="9"/>
    </row>
    <row r="43815">
      <c r="D43815" s="9"/>
      <c r="G43815" s="9"/>
      <c r="J43815" s="11"/>
      <c r="U43815" s="9"/>
      <c r="X43815" s="9"/>
    </row>
    <row r="43816">
      <c r="D43816" s="9"/>
      <c r="G43816" s="9"/>
      <c r="J43816" s="11"/>
      <c r="U43816" s="9"/>
      <c r="X43816" s="9"/>
    </row>
    <row r="43817">
      <c r="D43817" s="9"/>
      <c r="G43817" s="9"/>
      <c r="J43817" s="11"/>
      <c r="U43817" s="9"/>
      <c r="X43817" s="9"/>
    </row>
    <row r="43818">
      <c r="D43818" s="9"/>
      <c r="G43818" s="9"/>
      <c r="J43818" s="11"/>
      <c r="U43818" s="9"/>
      <c r="X43818" s="9"/>
    </row>
    <row r="43819">
      <c r="D43819" s="9"/>
      <c r="G43819" s="9"/>
      <c r="J43819" s="11"/>
      <c r="U43819" s="9"/>
      <c r="X43819" s="9"/>
    </row>
    <row r="43820">
      <c r="D43820" s="9"/>
      <c r="G43820" s="9"/>
      <c r="J43820" s="11"/>
      <c r="U43820" s="9"/>
      <c r="X43820" s="9"/>
    </row>
    <row r="43821">
      <c r="D43821" s="9"/>
      <c r="G43821" s="9"/>
      <c r="J43821" s="11"/>
      <c r="U43821" s="9"/>
      <c r="X43821" s="9"/>
    </row>
    <row r="43822">
      <c r="D43822" s="9"/>
      <c r="G43822" s="9"/>
      <c r="J43822" s="11"/>
      <c r="U43822" s="9"/>
      <c r="X43822" s="9"/>
    </row>
    <row r="43823">
      <c r="D43823" s="9"/>
      <c r="G43823" s="9"/>
      <c r="J43823" s="11"/>
      <c r="U43823" s="9"/>
      <c r="X43823" s="9"/>
    </row>
    <row r="43824">
      <c r="D43824" s="9"/>
      <c r="G43824" s="9"/>
      <c r="J43824" s="11"/>
      <c r="U43824" s="9"/>
      <c r="X43824" s="9"/>
    </row>
    <row r="43825">
      <c r="D43825" s="9"/>
      <c r="G43825" s="9"/>
      <c r="J43825" s="11"/>
      <c r="U43825" s="9"/>
      <c r="X43825" s="9"/>
    </row>
    <row r="43826">
      <c r="D43826" s="9"/>
      <c r="G43826" s="9"/>
      <c r="J43826" s="11"/>
      <c r="U43826" s="9"/>
      <c r="X43826" s="9"/>
    </row>
    <row r="43827">
      <c r="D43827" s="9"/>
      <c r="G43827" s="9"/>
      <c r="J43827" s="11"/>
      <c r="U43827" s="9"/>
      <c r="X43827" s="9"/>
    </row>
    <row r="43828">
      <c r="D43828" s="9"/>
      <c r="G43828" s="9"/>
      <c r="J43828" s="11"/>
      <c r="U43828" s="9"/>
      <c r="X43828" s="9"/>
    </row>
    <row r="43829">
      <c r="D43829" s="9"/>
      <c r="G43829" s="9"/>
      <c r="J43829" s="11"/>
      <c r="U43829" s="9"/>
      <c r="X43829" s="9"/>
    </row>
    <row r="43830">
      <c r="D43830" s="9"/>
      <c r="G43830" s="9"/>
      <c r="J43830" s="11"/>
      <c r="U43830" s="9"/>
      <c r="X43830" s="9"/>
    </row>
    <row r="43831">
      <c r="D43831" s="9"/>
      <c r="G43831" s="9"/>
      <c r="J43831" s="11"/>
      <c r="U43831" s="9"/>
      <c r="X43831" s="9"/>
    </row>
    <row r="43832">
      <c r="D43832" s="9"/>
      <c r="G43832" s="9"/>
      <c r="J43832" s="11"/>
      <c r="U43832" s="9"/>
      <c r="X43832" s="9"/>
    </row>
    <row r="43833">
      <c r="D43833" s="9"/>
      <c r="G43833" s="9"/>
      <c r="J43833" s="11"/>
      <c r="U43833" s="9"/>
      <c r="X43833" s="9"/>
    </row>
    <row r="43834">
      <c r="D43834" s="9"/>
      <c r="G43834" s="9"/>
      <c r="J43834" s="11"/>
      <c r="U43834" s="9"/>
      <c r="X43834" s="9"/>
    </row>
    <row r="43835">
      <c r="D43835" s="9"/>
      <c r="G43835" s="9"/>
      <c r="J43835" s="11"/>
      <c r="U43835" s="9"/>
      <c r="X43835" s="9"/>
    </row>
    <row r="43836">
      <c r="D43836" s="9"/>
      <c r="G43836" s="9"/>
      <c r="J43836" s="11"/>
      <c r="U43836" s="9"/>
      <c r="X43836" s="9"/>
    </row>
    <row r="43837">
      <c r="D43837" s="9"/>
      <c r="G43837" s="9"/>
      <c r="J43837" s="11"/>
      <c r="U43837" s="9"/>
      <c r="X43837" s="9"/>
    </row>
    <row r="43838">
      <c r="D43838" s="9"/>
      <c r="G43838" s="9"/>
      <c r="J43838" s="11"/>
      <c r="U43838" s="9"/>
      <c r="X43838" s="9"/>
    </row>
    <row r="43839">
      <c r="D43839" s="9"/>
      <c r="G43839" s="9"/>
      <c r="J43839" s="11"/>
      <c r="U43839" s="9"/>
      <c r="X43839" s="9"/>
    </row>
    <row r="43840">
      <c r="D43840" s="9"/>
      <c r="G43840" s="9"/>
      <c r="J43840" s="11"/>
      <c r="U43840" s="9"/>
      <c r="X43840" s="9"/>
    </row>
    <row r="43841">
      <c r="D43841" s="9"/>
      <c r="G43841" s="9"/>
      <c r="J43841" s="11"/>
      <c r="U43841" s="9"/>
      <c r="X43841" s="9"/>
    </row>
    <row r="43842">
      <c r="D43842" s="9"/>
      <c r="G43842" s="9"/>
      <c r="J43842" s="11"/>
      <c r="U43842" s="9"/>
      <c r="X43842" s="9"/>
    </row>
    <row r="43843">
      <c r="D43843" s="9"/>
      <c r="G43843" s="9"/>
      <c r="J43843" s="11"/>
      <c r="U43843" s="9"/>
      <c r="X43843" s="9"/>
    </row>
    <row r="43844">
      <c r="D43844" s="9"/>
      <c r="G43844" s="9"/>
      <c r="J43844" s="11"/>
      <c r="U43844" s="9"/>
      <c r="X43844" s="9"/>
    </row>
    <row r="43845">
      <c r="D43845" s="9"/>
      <c r="G43845" s="9"/>
      <c r="J43845" s="11"/>
      <c r="U43845" s="9"/>
      <c r="X43845" s="9"/>
    </row>
    <row r="43846">
      <c r="D43846" s="9"/>
      <c r="G43846" s="9"/>
      <c r="J43846" s="11"/>
      <c r="U43846" s="9"/>
      <c r="X43846" s="9"/>
    </row>
    <row r="43847">
      <c r="D43847" s="9"/>
      <c r="G43847" s="9"/>
      <c r="J43847" s="11"/>
      <c r="U43847" s="9"/>
      <c r="X43847" s="9"/>
    </row>
    <row r="43848">
      <c r="D43848" s="9"/>
      <c r="G43848" s="9"/>
      <c r="J43848" s="11"/>
      <c r="U43848" s="9"/>
      <c r="X43848" s="9"/>
    </row>
    <row r="43849">
      <c r="D43849" s="9"/>
      <c r="G43849" s="9"/>
      <c r="J43849" s="11"/>
      <c r="U43849" s="9"/>
      <c r="X43849" s="9"/>
    </row>
    <row r="43850">
      <c r="D43850" s="9"/>
      <c r="G43850" s="9"/>
      <c r="J43850" s="11"/>
      <c r="U43850" s="9"/>
      <c r="X43850" s="9"/>
    </row>
    <row r="43851">
      <c r="D43851" s="9"/>
      <c r="G43851" s="9"/>
      <c r="J43851" s="11"/>
      <c r="U43851" s="9"/>
      <c r="X43851" s="9"/>
    </row>
    <row r="43852">
      <c r="D43852" s="9"/>
      <c r="G43852" s="9"/>
      <c r="J43852" s="11"/>
      <c r="U43852" s="9"/>
      <c r="X43852" s="9"/>
    </row>
    <row r="43853">
      <c r="D43853" s="9"/>
      <c r="G43853" s="9"/>
      <c r="J43853" s="11"/>
      <c r="U43853" s="9"/>
      <c r="X43853" s="9"/>
    </row>
    <row r="43854">
      <c r="D43854" s="9"/>
      <c r="G43854" s="9"/>
      <c r="J43854" s="11"/>
      <c r="U43854" s="9"/>
      <c r="X43854" s="9"/>
    </row>
    <row r="43855">
      <c r="D43855" s="9"/>
      <c r="G43855" s="9"/>
      <c r="J43855" s="11"/>
      <c r="U43855" s="9"/>
      <c r="X43855" s="9"/>
    </row>
    <row r="43856">
      <c r="D43856" s="9"/>
      <c r="G43856" s="9"/>
      <c r="J43856" s="11"/>
      <c r="U43856" s="9"/>
      <c r="X43856" s="9"/>
    </row>
    <row r="43857">
      <c r="D43857" s="9"/>
      <c r="G43857" s="9"/>
      <c r="J43857" s="11"/>
      <c r="U43857" s="9"/>
      <c r="X43857" s="9"/>
    </row>
    <row r="43858">
      <c r="D43858" s="9"/>
      <c r="G43858" s="9"/>
      <c r="J43858" s="11"/>
      <c r="U43858" s="9"/>
      <c r="X43858" s="9"/>
    </row>
    <row r="43859">
      <c r="D43859" s="9"/>
      <c r="G43859" s="9"/>
      <c r="J43859" s="11"/>
      <c r="U43859" s="9"/>
      <c r="X43859" s="9"/>
    </row>
    <row r="43860">
      <c r="D43860" s="9"/>
      <c r="G43860" s="9"/>
      <c r="J43860" s="11"/>
      <c r="U43860" s="9"/>
      <c r="X43860" s="9"/>
    </row>
    <row r="43861">
      <c r="D43861" s="9"/>
      <c r="G43861" s="9"/>
      <c r="J43861" s="11"/>
      <c r="U43861" s="9"/>
      <c r="X43861" s="9"/>
    </row>
    <row r="43862">
      <c r="D43862" s="9"/>
      <c r="G43862" s="9"/>
      <c r="J43862" s="11"/>
      <c r="U43862" s="9"/>
      <c r="X43862" s="9"/>
    </row>
    <row r="43863">
      <c r="D43863" s="9"/>
      <c r="G43863" s="9"/>
      <c r="J43863" s="11"/>
      <c r="U43863" s="9"/>
      <c r="X43863" s="9"/>
    </row>
    <row r="43864">
      <c r="D43864" s="9"/>
      <c r="G43864" s="9"/>
      <c r="J43864" s="11"/>
      <c r="U43864" s="9"/>
      <c r="X43864" s="9"/>
    </row>
    <row r="43865">
      <c r="D43865" s="9"/>
      <c r="G43865" s="9"/>
      <c r="J43865" s="11"/>
      <c r="U43865" s="9"/>
      <c r="X43865" s="9"/>
    </row>
    <row r="43866">
      <c r="D43866" s="9"/>
      <c r="G43866" s="9"/>
      <c r="J43866" s="11"/>
      <c r="U43866" s="9"/>
      <c r="X43866" s="9"/>
    </row>
    <row r="43867">
      <c r="D43867" s="9"/>
      <c r="G43867" s="9"/>
      <c r="J43867" s="11"/>
      <c r="U43867" s="9"/>
      <c r="X43867" s="9"/>
    </row>
    <row r="43868">
      <c r="D43868" s="9"/>
      <c r="G43868" s="9"/>
      <c r="J43868" s="11"/>
      <c r="U43868" s="9"/>
      <c r="X43868" s="9"/>
    </row>
    <row r="43869">
      <c r="D43869" s="9"/>
      <c r="G43869" s="9"/>
      <c r="J43869" s="11"/>
      <c r="U43869" s="9"/>
      <c r="X43869" s="9"/>
    </row>
    <row r="43870">
      <c r="D43870" s="9"/>
      <c r="G43870" s="9"/>
      <c r="J43870" s="11"/>
      <c r="U43870" s="9"/>
      <c r="X43870" s="9"/>
    </row>
    <row r="43871">
      <c r="D43871" s="9"/>
      <c r="G43871" s="9"/>
      <c r="J43871" s="11"/>
      <c r="U43871" s="9"/>
      <c r="X43871" s="9"/>
    </row>
    <row r="43872">
      <c r="D43872" s="9"/>
      <c r="G43872" s="9"/>
      <c r="J43872" s="11"/>
      <c r="U43872" s="9"/>
      <c r="X43872" s="9"/>
    </row>
    <row r="43873">
      <c r="D43873" s="9"/>
      <c r="G43873" s="9"/>
      <c r="J43873" s="11"/>
      <c r="U43873" s="9"/>
      <c r="X43873" s="9"/>
    </row>
    <row r="43874">
      <c r="D43874" s="9"/>
      <c r="G43874" s="9"/>
      <c r="J43874" s="11"/>
      <c r="U43874" s="9"/>
      <c r="X43874" s="9"/>
    </row>
    <row r="43875">
      <c r="D43875" s="9"/>
      <c r="G43875" s="9"/>
      <c r="J43875" s="11"/>
      <c r="U43875" s="9"/>
      <c r="X43875" s="9"/>
    </row>
    <row r="43876">
      <c r="D43876" s="9"/>
      <c r="G43876" s="9"/>
      <c r="J43876" s="11"/>
      <c r="U43876" s="9"/>
      <c r="X43876" s="9"/>
    </row>
    <row r="43877">
      <c r="D43877" s="9"/>
      <c r="G43877" s="9"/>
      <c r="J43877" s="11"/>
      <c r="U43877" s="9"/>
      <c r="X43877" s="9"/>
    </row>
    <row r="43878">
      <c r="D43878" s="9"/>
      <c r="G43878" s="9"/>
      <c r="J43878" s="11"/>
      <c r="U43878" s="9"/>
      <c r="X43878" s="9"/>
    </row>
    <row r="43879">
      <c r="D43879" s="9"/>
      <c r="G43879" s="9"/>
      <c r="J43879" s="11"/>
      <c r="U43879" s="9"/>
      <c r="X43879" s="9"/>
    </row>
    <row r="43880">
      <c r="D43880" s="9"/>
      <c r="G43880" s="9"/>
      <c r="J43880" s="11"/>
      <c r="U43880" s="9"/>
      <c r="X43880" s="9"/>
    </row>
    <row r="43881">
      <c r="D43881" s="9"/>
      <c r="G43881" s="9"/>
      <c r="J43881" s="11"/>
      <c r="U43881" s="9"/>
      <c r="X43881" s="9"/>
    </row>
    <row r="43882">
      <c r="D43882" s="9"/>
      <c r="G43882" s="9"/>
      <c r="J43882" s="11"/>
      <c r="U43882" s="9"/>
      <c r="X43882" s="9"/>
    </row>
    <row r="43883">
      <c r="D43883" s="9"/>
      <c r="G43883" s="9"/>
      <c r="J43883" s="11"/>
      <c r="U43883" s="9"/>
      <c r="X43883" s="9"/>
    </row>
    <row r="43884">
      <c r="D43884" s="9"/>
      <c r="G43884" s="9"/>
      <c r="J43884" s="11"/>
      <c r="U43884" s="9"/>
      <c r="X43884" s="9"/>
    </row>
    <row r="43885">
      <c r="D43885" s="9"/>
      <c r="G43885" s="9"/>
      <c r="J43885" s="11"/>
      <c r="U43885" s="9"/>
      <c r="X43885" s="9"/>
    </row>
    <row r="43886">
      <c r="D43886" s="9"/>
      <c r="G43886" s="9"/>
      <c r="J43886" s="11"/>
      <c r="U43886" s="9"/>
      <c r="X43886" s="9"/>
    </row>
    <row r="43887">
      <c r="D43887" s="9"/>
      <c r="G43887" s="9"/>
      <c r="J43887" s="11"/>
      <c r="U43887" s="9"/>
      <c r="X43887" s="9"/>
    </row>
    <row r="43888">
      <c r="D43888" s="9"/>
      <c r="G43888" s="9"/>
      <c r="J43888" s="11"/>
      <c r="U43888" s="9"/>
      <c r="X43888" s="9"/>
    </row>
    <row r="43889">
      <c r="D43889" s="9"/>
      <c r="G43889" s="9"/>
      <c r="J43889" s="11"/>
      <c r="U43889" s="9"/>
      <c r="X43889" s="9"/>
    </row>
    <row r="43890">
      <c r="D43890" s="9"/>
      <c r="G43890" s="9"/>
      <c r="J43890" s="11"/>
      <c r="U43890" s="9"/>
      <c r="X43890" s="9"/>
    </row>
    <row r="43891">
      <c r="D43891" s="9"/>
      <c r="G43891" s="9"/>
      <c r="J43891" s="11"/>
      <c r="U43891" s="9"/>
      <c r="X43891" s="9"/>
    </row>
    <row r="43892">
      <c r="D43892" s="9"/>
      <c r="G43892" s="9"/>
      <c r="J43892" s="11"/>
      <c r="U43892" s="9"/>
      <c r="X43892" s="9"/>
    </row>
    <row r="43893">
      <c r="D43893" s="9"/>
      <c r="G43893" s="9"/>
      <c r="J43893" s="11"/>
      <c r="U43893" s="9"/>
      <c r="X43893" s="9"/>
    </row>
    <row r="43894">
      <c r="D43894" s="9"/>
      <c r="G43894" s="9"/>
      <c r="J43894" s="11"/>
      <c r="U43894" s="9"/>
      <c r="X43894" s="9"/>
    </row>
    <row r="43895">
      <c r="D43895" s="9"/>
      <c r="G43895" s="9"/>
      <c r="J43895" s="11"/>
      <c r="U43895" s="9"/>
      <c r="X43895" s="9"/>
    </row>
    <row r="43896">
      <c r="D43896" s="9"/>
      <c r="G43896" s="9"/>
      <c r="J43896" s="11"/>
      <c r="U43896" s="9"/>
      <c r="X43896" s="9"/>
    </row>
    <row r="43897">
      <c r="D43897" s="9"/>
      <c r="G43897" s="9"/>
      <c r="J43897" s="11"/>
      <c r="U43897" s="9"/>
      <c r="X43897" s="9"/>
    </row>
    <row r="43898">
      <c r="D43898" s="9"/>
      <c r="G43898" s="9"/>
      <c r="J43898" s="11"/>
      <c r="U43898" s="9"/>
      <c r="X43898" s="9"/>
    </row>
    <row r="43899">
      <c r="D43899" s="9"/>
      <c r="G43899" s="9"/>
      <c r="J43899" s="11"/>
      <c r="U43899" s="9"/>
      <c r="X43899" s="9"/>
    </row>
    <row r="43900">
      <c r="D43900" s="9"/>
      <c r="G43900" s="9"/>
      <c r="J43900" s="11"/>
      <c r="U43900" s="9"/>
      <c r="X43900" s="9"/>
    </row>
    <row r="43901">
      <c r="D43901" s="9"/>
      <c r="G43901" s="9"/>
      <c r="J43901" s="11"/>
      <c r="U43901" s="9"/>
      <c r="X43901" s="9"/>
    </row>
    <row r="43902">
      <c r="D43902" s="9"/>
      <c r="G43902" s="9"/>
      <c r="J43902" s="11"/>
      <c r="U43902" s="9"/>
      <c r="X43902" s="9"/>
    </row>
    <row r="43903">
      <c r="D43903" s="9"/>
      <c r="G43903" s="9"/>
      <c r="J43903" s="11"/>
      <c r="U43903" s="9"/>
      <c r="X43903" s="9"/>
    </row>
    <row r="43904">
      <c r="D43904" s="9"/>
      <c r="G43904" s="9"/>
      <c r="J43904" s="11"/>
      <c r="U43904" s="9"/>
      <c r="X43904" s="9"/>
    </row>
    <row r="43905">
      <c r="D43905" s="9"/>
      <c r="G43905" s="9"/>
      <c r="J43905" s="11"/>
      <c r="U43905" s="9"/>
      <c r="X43905" s="9"/>
    </row>
    <row r="43906">
      <c r="D43906" s="9"/>
      <c r="G43906" s="9"/>
      <c r="J43906" s="11"/>
      <c r="U43906" s="9"/>
      <c r="X43906" s="9"/>
    </row>
    <row r="43907">
      <c r="D43907" s="9"/>
      <c r="G43907" s="9"/>
      <c r="J43907" s="11"/>
      <c r="U43907" s="9"/>
      <c r="X43907" s="9"/>
    </row>
    <row r="43908">
      <c r="D43908" s="9"/>
      <c r="G43908" s="9"/>
      <c r="J43908" s="11"/>
      <c r="U43908" s="9"/>
      <c r="X43908" s="9"/>
    </row>
    <row r="43909">
      <c r="D43909" s="9"/>
      <c r="G43909" s="9"/>
      <c r="J43909" s="11"/>
      <c r="U43909" s="9"/>
      <c r="X43909" s="9"/>
    </row>
    <row r="43910">
      <c r="D43910" s="9"/>
      <c r="G43910" s="9"/>
      <c r="J43910" s="11"/>
      <c r="U43910" s="9"/>
      <c r="X43910" s="9"/>
    </row>
    <row r="43911">
      <c r="D43911" s="9"/>
      <c r="G43911" s="9"/>
      <c r="J43911" s="11"/>
      <c r="U43911" s="9"/>
      <c r="X43911" s="9"/>
    </row>
    <row r="43912">
      <c r="D43912" s="9"/>
      <c r="G43912" s="9"/>
      <c r="J43912" s="11"/>
      <c r="U43912" s="9"/>
      <c r="X43912" s="9"/>
    </row>
    <row r="43913">
      <c r="D43913" s="9"/>
      <c r="G43913" s="9"/>
      <c r="J43913" s="11"/>
      <c r="U43913" s="9"/>
      <c r="X43913" s="9"/>
    </row>
    <row r="43914">
      <c r="D43914" s="9"/>
      <c r="G43914" s="9"/>
      <c r="J43914" s="11"/>
      <c r="U43914" s="9"/>
      <c r="X43914" s="9"/>
    </row>
    <row r="43915">
      <c r="D43915" s="9"/>
      <c r="G43915" s="9"/>
      <c r="J43915" s="11"/>
      <c r="U43915" s="9"/>
      <c r="X43915" s="9"/>
    </row>
    <row r="43916">
      <c r="D43916" s="9"/>
      <c r="G43916" s="9"/>
      <c r="J43916" s="11"/>
      <c r="U43916" s="9"/>
      <c r="X43916" s="9"/>
    </row>
    <row r="43917">
      <c r="D43917" s="9"/>
      <c r="G43917" s="9"/>
      <c r="J43917" s="11"/>
      <c r="U43917" s="9"/>
      <c r="X43917" s="9"/>
    </row>
    <row r="43918">
      <c r="D43918" s="9"/>
      <c r="G43918" s="9"/>
      <c r="J43918" s="11"/>
      <c r="U43918" s="9"/>
      <c r="X43918" s="9"/>
    </row>
    <row r="43919">
      <c r="D43919" s="9"/>
      <c r="G43919" s="9"/>
      <c r="J43919" s="11"/>
      <c r="U43919" s="9"/>
      <c r="X43919" s="9"/>
    </row>
    <row r="43920">
      <c r="D43920" s="9"/>
      <c r="G43920" s="9"/>
      <c r="J43920" s="11"/>
      <c r="U43920" s="9"/>
      <c r="X43920" s="9"/>
    </row>
    <row r="43921">
      <c r="D43921" s="9"/>
      <c r="G43921" s="9"/>
      <c r="J43921" s="11"/>
      <c r="U43921" s="9"/>
      <c r="X43921" s="9"/>
    </row>
    <row r="43922">
      <c r="D43922" s="9"/>
      <c r="G43922" s="9"/>
      <c r="J43922" s="11"/>
      <c r="U43922" s="9"/>
      <c r="X43922" s="9"/>
    </row>
    <row r="43923">
      <c r="D43923" s="9"/>
      <c r="G43923" s="9"/>
      <c r="J43923" s="11"/>
      <c r="U43923" s="9"/>
      <c r="X43923" s="9"/>
    </row>
    <row r="43924">
      <c r="D43924" s="9"/>
      <c r="G43924" s="9"/>
      <c r="J43924" s="11"/>
      <c r="U43924" s="9"/>
      <c r="X43924" s="9"/>
    </row>
    <row r="43925">
      <c r="D43925" s="9"/>
      <c r="G43925" s="9"/>
      <c r="J43925" s="11"/>
      <c r="U43925" s="9"/>
      <c r="X43925" s="9"/>
    </row>
    <row r="43926">
      <c r="D43926" s="9"/>
      <c r="G43926" s="9"/>
      <c r="J43926" s="11"/>
      <c r="U43926" s="9"/>
      <c r="X43926" s="9"/>
    </row>
    <row r="43927">
      <c r="D43927" s="9"/>
      <c r="G43927" s="9"/>
      <c r="J43927" s="11"/>
      <c r="U43927" s="9"/>
      <c r="X43927" s="9"/>
    </row>
    <row r="43928">
      <c r="D43928" s="9"/>
      <c r="G43928" s="9"/>
      <c r="J43928" s="11"/>
      <c r="U43928" s="9"/>
      <c r="X43928" s="9"/>
    </row>
    <row r="43929">
      <c r="D43929" s="9"/>
      <c r="G43929" s="9"/>
      <c r="J43929" s="11"/>
      <c r="U43929" s="9"/>
      <c r="X43929" s="9"/>
    </row>
    <row r="43930">
      <c r="D43930" s="9"/>
      <c r="G43930" s="9"/>
      <c r="J43930" s="11"/>
      <c r="U43930" s="9"/>
      <c r="X43930" s="9"/>
    </row>
    <row r="43931">
      <c r="D43931" s="9"/>
      <c r="G43931" s="9"/>
      <c r="J43931" s="11"/>
      <c r="U43931" s="9"/>
      <c r="X43931" s="9"/>
    </row>
    <row r="43932">
      <c r="D43932" s="9"/>
      <c r="G43932" s="9"/>
      <c r="J43932" s="11"/>
      <c r="U43932" s="9"/>
      <c r="X43932" s="9"/>
    </row>
    <row r="43933">
      <c r="D43933" s="9"/>
      <c r="G43933" s="9"/>
      <c r="J43933" s="11"/>
      <c r="U43933" s="9"/>
      <c r="X43933" s="9"/>
    </row>
    <row r="43934">
      <c r="D43934" s="9"/>
      <c r="G43934" s="9"/>
      <c r="J43934" s="11"/>
      <c r="U43934" s="9"/>
      <c r="X43934" s="9"/>
    </row>
    <row r="43935">
      <c r="D43935" s="9"/>
      <c r="G43935" s="9"/>
      <c r="J43935" s="11"/>
      <c r="U43935" s="9"/>
      <c r="X43935" s="9"/>
    </row>
    <row r="43936">
      <c r="D43936" s="9"/>
      <c r="G43936" s="9"/>
      <c r="J43936" s="11"/>
      <c r="U43936" s="9"/>
      <c r="X43936" s="9"/>
    </row>
    <row r="43937">
      <c r="D43937" s="9"/>
      <c r="G43937" s="9"/>
      <c r="J43937" s="11"/>
      <c r="U43937" s="9"/>
      <c r="X43937" s="9"/>
    </row>
    <row r="43938">
      <c r="D43938" s="9"/>
      <c r="G43938" s="9"/>
      <c r="J43938" s="11"/>
      <c r="U43938" s="9"/>
      <c r="X43938" s="9"/>
    </row>
    <row r="43939">
      <c r="D43939" s="9"/>
      <c r="G43939" s="9"/>
      <c r="J43939" s="11"/>
      <c r="U43939" s="9"/>
      <c r="X43939" s="9"/>
    </row>
    <row r="43940">
      <c r="D43940" s="9"/>
      <c r="G43940" s="9"/>
      <c r="J43940" s="11"/>
      <c r="U43940" s="9"/>
      <c r="X43940" s="9"/>
    </row>
    <row r="43941">
      <c r="D43941" s="9"/>
      <c r="G43941" s="9"/>
      <c r="J43941" s="11"/>
      <c r="U43941" s="9"/>
      <c r="X43941" s="9"/>
    </row>
    <row r="43942">
      <c r="D43942" s="9"/>
      <c r="G43942" s="9"/>
      <c r="J43942" s="11"/>
      <c r="U43942" s="9"/>
      <c r="X43942" s="9"/>
    </row>
    <row r="43943">
      <c r="D43943" s="9"/>
      <c r="G43943" s="9"/>
      <c r="J43943" s="11"/>
      <c r="U43943" s="9"/>
      <c r="X43943" s="9"/>
    </row>
    <row r="43944">
      <c r="D43944" s="9"/>
      <c r="G43944" s="9"/>
      <c r="J43944" s="11"/>
      <c r="U43944" s="9"/>
      <c r="X43944" s="9"/>
    </row>
    <row r="43945">
      <c r="D43945" s="9"/>
      <c r="G43945" s="9"/>
      <c r="J43945" s="11"/>
      <c r="U43945" s="9"/>
      <c r="X43945" s="9"/>
    </row>
    <row r="43946">
      <c r="D43946" s="9"/>
      <c r="G43946" s="9"/>
      <c r="J43946" s="11"/>
      <c r="U43946" s="9"/>
      <c r="X43946" s="9"/>
    </row>
    <row r="43947">
      <c r="D43947" s="9"/>
      <c r="G43947" s="9"/>
      <c r="J43947" s="11"/>
      <c r="U43947" s="9"/>
      <c r="X43947" s="9"/>
    </row>
    <row r="43948">
      <c r="D43948" s="9"/>
      <c r="G43948" s="9"/>
      <c r="J43948" s="11"/>
      <c r="U43948" s="9"/>
      <c r="X43948" s="9"/>
    </row>
    <row r="43949">
      <c r="D43949" s="9"/>
      <c r="G43949" s="9"/>
      <c r="J43949" s="11"/>
      <c r="U43949" s="9"/>
      <c r="X43949" s="9"/>
    </row>
    <row r="43950">
      <c r="D43950" s="9"/>
      <c r="G43950" s="9"/>
      <c r="J43950" s="11"/>
      <c r="U43950" s="9"/>
      <c r="X43950" s="9"/>
    </row>
    <row r="43951">
      <c r="D43951" s="9"/>
      <c r="G43951" s="9"/>
      <c r="J43951" s="11"/>
      <c r="U43951" s="9"/>
      <c r="X43951" s="9"/>
    </row>
    <row r="43952">
      <c r="D43952" s="9"/>
      <c r="G43952" s="9"/>
      <c r="J43952" s="11"/>
      <c r="U43952" s="9"/>
      <c r="X43952" s="9"/>
    </row>
    <row r="43953">
      <c r="D43953" s="9"/>
      <c r="G43953" s="9"/>
      <c r="J43953" s="11"/>
      <c r="U43953" s="9"/>
      <c r="X43953" s="9"/>
    </row>
    <row r="43954">
      <c r="D43954" s="9"/>
      <c r="G43954" s="9"/>
      <c r="J43954" s="11"/>
      <c r="U43954" s="9"/>
      <c r="X43954" s="9"/>
    </row>
    <row r="43955">
      <c r="D43955" s="9"/>
      <c r="G43955" s="9"/>
      <c r="J43955" s="11"/>
      <c r="U43955" s="9"/>
      <c r="X43955" s="9"/>
    </row>
    <row r="43956">
      <c r="D43956" s="9"/>
      <c r="G43956" s="9"/>
      <c r="J43956" s="11"/>
      <c r="U43956" s="9"/>
      <c r="X43956" s="9"/>
    </row>
    <row r="43957">
      <c r="D43957" s="9"/>
      <c r="G43957" s="9"/>
      <c r="J43957" s="11"/>
      <c r="U43957" s="9"/>
      <c r="X43957" s="9"/>
    </row>
    <row r="43958">
      <c r="D43958" s="9"/>
      <c r="G43958" s="9"/>
      <c r="J43958" s="11"/>
      <c r="U43958" s="9"/>
      <c r="X43958" s="9"/>
    </row>
    <row r="43959">
      <c r="D43959" s="9"/>
      <c r="G43959" s="9"/>
      <c r="J43959" s="11"/>
      <c r="U43959" s="9"/>
      <c r="X43959" s="9"/>
    </row>
    <row r="43960">
      <c r="D43960" s="9"/>
      <c r="G43960" s="9"/>
      <c r="J43960" s="11"/>
      <c r="U43960" s="9"/>
      <c r="X43960" s="9"/>
    </row>
    <row r="43961">
      <c r="D43961" s="9"/>
      <c r="G43961" s="9"/>
      <c r="J43961" s="11"/>
      <c r="U43961" s="9"/>
      <c r="X43961" s="9"/>
    </row>
    <row r="43962">
      <c r="D43962" s="9"/>
      <c r="G43962" s="9"/>
      <c r="J43962" s="11"/>
      <c r="U43962" s="9"/>
      <c r="X43962" s="9"/>
    </row>
    <row r="43963">
      <c r="D43963" s="9"/>
      <c r="G43963" s="9"/>
      <c r="J43963" s="11"/>
      <c r="U43963" s="9"/>
      <c r="X43963" s="9"/>
    </row>
    <row r="43964">
      <c r="D43964" s="9"/>
      <c r="G43964" s="9"/>
      <c r="J43964" s="11"/>
      <c r="U43964" s="9"/>
      <c r="X43964" s="9"/>
    </row>
    <row r="43965">
      <c r="D43965" s="9"/>
      <c r="G43965" s="9"/>
      <c r="J43965" s="11"/>
      <c r="U43965" s="9"/>
      <c r="X43965" s="9"/>
    </row>
    <row r="43966">
      <c r="D43966" s="9"/>
      <c r="G43966" s="9"/>
      <c r="J43966" s="11"/>
      <c r="U43966" s="9"/>
      <c r="X43966" s="9"/>
    </row>
    <row r="43967">
      <c r="D43967" s="9"/>
      <c r="G43967" s="9"/>
      <c r="J43967" s="11"/>
      <c r="U43967" s="9"/>
      <c r="X43967" s="9"/>
    </row>
    <row r="43968">
      <c r="D43968" s="9"/>
      <c r="G43968" s="9"/>
      <c r="J43968" s="11"/>
      <c r="U43968" s="9"/>
      <c r="X43968" s="9"/>
    </row>
    <row r="43969">
      <c r="D43969" s="9"/>
      <c r="G43969" s="9"/>
      <c r="J43969" s="11"/>
      <c r="U43969" s="9"/>
      <c r="X43969" s="9"/>
    </row>
    <row r="43970">
      <c r="D43970" s="9"/>
      <c r="G43970" s="9"/>
      <c r="J43970" s="11"/>
      <c r="U43970" s="9"/>
      <c r="X43970" s="9"/>
    </row>
    <row r="43971">
      <c r="D43971" s="9"/>
      <c r="G43971" s="9"/>
      <c r="J43971" s="11"/>
      <c r="U43971" s="9"/>
      <c r="X43971" s="9"/>
    </row>
    <row r="43972">
      <c r="D43972" s="9"/>
      <c r="G43972" s="9"/>
      <c r="J43972" s="11"/>
      <c r="U43972" s="9"/>
      <c r="X43972" s="9"/>
    </row>
    <row r="43973">
      <c r="D43973" s="9"/>
      <c r="G43973" s="9"/>
      <c r="J43973" s="11"/>
      <c r="U43973" s="9"/>
      <c r="X43973" s="9"/>
    </row>
    <row r="43974">
      <c r="D43974" s="9"/>
      <c r="G43974" s="9"/>
      <c r="J43974" s="11"/>
      <c r="U43974" s="9"/>
      <c r="X43974" s="9"/>
    </row>
    <row r="43975">
      <c r="D43975" s="9"/>
      <c r="G43975" s="9"/>
      <c r="J43975" s="11"/>
      <c r="U43975" s="9"/>
      <c r="X43975" s="9"/>
    </row>
    <row r="43976">
      <c r="D43976" s="9"/>
      <c r="G43976" s="9"/>
      <c r="J43976" s="11"/>
      <c r="U43976" s="9"/>
      <c r="X43976" s="9"/>
    </row>
    <row r="43977">
      <c r="D43977" s="9"/>
      <c r="G43977" s="9"/>
      <c r="J43977" s="11"/>
      <c r="U43977" s="9"/>
      <c r="X43977" s="9"/>
    </row>
    <row r="43978">
      <c r="D43978" s="9"/>
      <c r="G43978" s="9"/>
      <c r="J43978" s="11"/>
      <c r="U43978" s="9"/>
      <c r="X43978" s="9"/>
    </row>
    <row r="43979">
      <c r="D43979" s="9"/>
      <c r="G43979" s="9"/>
      <c r="J43979" s="11"/>
      <c r="U43979" s="9"/>
      <c r="X43979" s="9"/>
    </row>
    <row r="43980">
      <c r="D43980" s="9"/>
      <c r="G43980" s="9"/>
      <c r="J43980" s="11"/>
      <c r="U43980" s="9"/>
      <c r="X43980" s="9"/>
    </row>
    <row r="43981">
      <c r="D43981" s="9"/>
      <c r="G43981" s="9"/>
      <c r="J43981" s="11"/>
      <c r="U43981" s="9"/>
      <c r="X43981" s="9"/>
    </row>
    <row r="43982">
      <c r="D43982" s="9"/>
      <c r="G43982" s="9"/>
      <c r="J43982" s="11"/>
      <c r="U43982" s="9"/>
      <c r="X43982" s="9"/>
    </row>
    <row r="43983">
      <c r="D43983" s="9"/>
      <c r="G43983" s="9"/>
      <c r="J43983" s="11"/>
      <c r="U43983" s="9"/>
      <c r="X43983" s="9"/>
    </row>
    <row r="43984">
      <c r="D43984" s="9"/>
      <c r="G43984" s="9"/>
      <c r="J43984" s="11"/>
      <c r="U43984" s="9"/>
      <c r="X43984" s="9"/>
    </row>
    <row r="43985">
      <c r="D43985" s="9"/>
      <c r="G43985" s="9"/>
      <c r="J43985" s="11"/>
      <c r="U43985" s="9"/>
      <c r="X43985" s="9"/>
    </row>
    <row r="43986">
      <c r="D43986" s="9"/>
      <c r="G43986" s="9"/>
      <c r="J43986" s="11"/>
      <c r="U43986" s="9"/>
      <c r="X43986" s="9"/>
    </row>
    <row r="43987">
      <c r="D43987" s="9"/>
      <c r="G43987" s="9"/>
      <c r="J43987" s="11"/>
      <c r="U43987" s="9"/>
      <c r="X43987" s="9"/>
    </row>
    <row r="43988">
      <c r="D43988" s="9"/>
      <c r="G43988" s="9"/>
      <c r="J43988" s="11"/>
      <c r="U43988" s="9"/>
      <c r="X43988" s="9"/>
    </row>
    <row r="43989">
      <c r="D43989" s="9"/>
      <c r="G43989" s="9"/>
      <c r="J43989" s="11"/>
      <c r="U43989" s="9"/>
      <c r="X43989" s="9"/>
    </row>
    <row r="43990">
      <c r="D43990" s="9"/>
      <c r="G43990" s="9"/>
      <c r="J43990" s="11"/>
      <c r="U43990" s="9"/>
      <c r="X43990" s="9"/>
    </row>
    <row r="43991">
      <c r="D43991" s="9"/>
      <c r="G43991" s="9"/>
      <c r="J43991" s="11"/>
      <c r="U43991" s="9"/>
      <c r="X43991" s="9"/>
    </row>
    <row r="43992">
      <c r="D43992" s="9"/>
      <c r="G43992" s="9"/>
      <c r="J43992" s="11"/>
      <c r="U43992" s="9"/>
      <c r="X43992" s="9"/>
    </row>
    <row r="43993">
      <c r="D43993" s="9"/>
      <c r="G43993" s="9"/>
      <c r="J43993" s="11"/>
      <c r="U43993" s="9"/>
      <c r="X43993" s="9"/>
    </row>
    <row r="43994">
      <c r="D43994" s="9"/>
      <c r="G43994" s="9"/>
      <c r="J43994" s="11"/>
      <c r="U43994" s="9"/>
      <c r="X43994" s="9"/>
    </row>
    <row r="43995">
      <c r="D43995" s="9"/>
      <c r="G43995" s="9"/>
      <c r="J43995" s="11"/>
      <c r="U43995" s="9"/>
      <c r="X43995" s="9"/>
    </row>
    <row r="43996">
      <c r="D43996" s="9"/>
      <c r="G43996" s="9"/>
      <c r="J43996" s="11"/>
      <c r="U43996" s="9"/>
      <c r="X43996" s="9"/>
    </row>
    <row r="43997">
      <c r="D43997" s="9"/>
      <c r="G43997" s="9"/>
      <c r="J43997" s="11"/>
      <c r="U43997" s="9"/>
      <c r="X43997" s="9"/>
    </row>
    <row r="43998">
      <c r="D43998" s="9"/>
      <c r="G43998" s="9"/>
      <c r="J43998" s="11"/>
      <c r="U43998" s="9"/>
      <c r="X43998" s="9"/>
    </row>
    <row r="43999">
      <c r="D43999" s="9"/>
      <c r="G43999" s="9"/>
      <c r="J43999" s="11"/>
      <c r="U43999" s="9"/>
      <c r="X43999" s="9"/>
    </row>
    <row r="44000">
      <c r="D44000" s="9"/>
      <c r="G44000" s="9"/>
      <c r="J44000" s="11"/>
      <c r="U44000" s="9"/>
      <c r="X44000" s="9"/>
    </row>
    <row r="44001">
      <c r="D44001" s="9"/>
      <c r="G44001" s="9"/>
      <c r="J44001" s="11"/>
      <c r="U44001" s="9"/>
      <c r="X44001" s="9"/>
    </row>
    <row r="44002">
      <c r="D44002" s="9"/>
      <c r="G44002" s="9"/>
      <c r="J44002" s="11"/>
      <c r="U44002" s="9"/>
      <c r="X44002" s="9"/>
    </row>
    <row r="44003">
      <c r="D44003" s="9"/>
      <c r="G44003" s="9"/>
      <c r="J44003" s="11"/>
      <c r="U44003" s="9"/>
      <c r="X44003" s="9"/>
    </row>
    <row r="44004">
      <c r="D44004" s="9"/>
      <c r="G44004" s="9"/>
      <c r="J44004" s="11"/>
      <c r="U44004" s="9"/>
      <c r="X44004" s="9"/>
    </row>
    <row r="44005">
      <c r="D44005" s="9"/>
      <c r="G44005" s="9"/>
      <c r="J44005" s="11"/>
      <c r="U44005" s="9"/>
      <c r="X44005" s="9"/>
    </row>
    <row r="44006">
      <c r="D44006" s="9"/>
      <c r="G44006" s="9"/>
      <c r="J44006" s="11"/>
      <c r="U44006" s="9"/>
      <c r="X44006" s="9"/>
    </row>
    <row r="44007">
      <c r="D44007" s="9"/>
      <c r="G44007" s="9"/>
      <c r="J44007" s="11"/>
      <c r="U44007" s="9"/>
      <c r="X44007" s="9"/>
    </row>
    <row r="44008">
      <c r="D44008" s="9"/>
      <c r="G44008" s="9"/>
      <c r="J44008" s="11"/>
      <c r="U44008" s="9"/>
      <c r="X44008" s="9"/>
    </row>
    <row r="44009">
      <c r="D44009" s="9"/>
      <c r="G44009" s="9"/>
      <c r="J44009" s="11"/>
      <c r="U44009" s="9"/>
      <c r="X44009" s="9"/>
    </row>
    <row r="44010">
      <c r="D44010" s="9"/>
      <c r="G44010" s="9"/>
      <c r="J44010" s="11"/>
      <c r="U44010" s="9"/>
      <c r="X44010" s="9"/>
    </row>
    <row r="44011">
      <c r="D44011" s="9"/>
      <c r="G44011" s="9"/>
      <c r="J44011" s="11"/>
      <c r="U44011" s="9"/>
      <c r="X44011" s="9"/>
    </row>
    <row r="44012">
      <c r="D44012" s="9"/>
      <c r="G44012" s="9"/>
      <c r="J44012" s="11"/>
      <c r="U44012" s="9"/>
      <c r="X44012" s="9"/>
    </row>
    <row r="44013">
      <c r="D44013" s="9"/>
      <c r="G44013" s="9"/>
      <c r="J44013" s="11"/>
      <c r="U44013" s="9"/>
      <c r="X44013" s="9"/>
    </row>
    <row r="44014">
      <c r="D44014" s="9"/>
      <c r="G44014" s="9"/>
      <c r="J44014" s="11"/>
      <c r="U44014" s="9"/>
      <c r="X44014" s="9"/>
    </row>
    <row r="44015">
      <c r="D44015" s="9"/>
      <c r="G44015" s="9"/>
      <c r="J44015" s="11"/>
      <c r="U44015" s="9"/>
      <c r="X44015" s="9"/>
    </row>
    <row r="44016">
      <c r="D44016" s="9"/>
      <c r="G44016" s="9"/>
      <c r="J44016" s="11"/>
      <c r="U44016" s="9"/>
      <c r="X44016" s="9"/>
    </row>
    <row r="44017">
      <c r="D44017" s="9"/>
      <c r="G44017" s="9"/>
      <c r="J44017" s="11"/>
      <c r="U44017" s="9"/>
      <c r="X44017" s="9"/>
    </row>
    <row r="44018">
      <c r="D44018" s="9"/>
      <c r="G44018" s="9"/>
      <c r="J44018" s="11"/>
      <c r="U44018" s="9"/>
      <c r="X44018" s="9"/>
    </row>
    <row r="44019">
      <c r="D44019" s="9"/>
      <c r="G44019" s="9"/>
      <c r="J44019" s="11"/>
      <c r="U44019" s="9"/>
      <c r="X44019" s="9"/>
    </row>
    <row r="44020">
      <c r="D44020" s="9"/>
      <c r="G44020" s="9"/>
      <c r="J44020" s="11"/>
      <c r="U44020" s="9"/>
      <c r="X44020" s="9"/>
    </row>
    <row r="44021">
      <c r="D44021" s="9"/>
      <c r="G44021" s="9"/>
      <c r="J44021" s="11"/>
      <c r="U44021" s="9"/>
      <c r="X44021" s="9"/>
    </row>
    <row r="44022">
      <c r="D44022" s="9"/>
      <c r="G44022" s="9"/>
      <c r="J44022" s="11"/>
      <c r="U44022" s="9"/>
      <c r="X44022" s="9"/>
    </row>
    <row r="44023">
      <c r="D44023" s="9"/>
      <c r="G44023" s="9"/>
      <c r="J44023" s="11"/>
      <c r="U44023" s="9"/>
      <c r="X44023" s="9"/>
    </row>
    <row r="44024">
      <c r="D44024" s="9"/>
      <c r="G44024" s="9"/>
      <c r="J44024" s="11"/>
      <c r="U44024" s="9"/>
      <c r="X44024" s="9"/>
    </row>
    <row r="44025">
      <c r="D44025" s="9"/>
      <c r="G44025" s="9"/>
      <c r="J44025" s="11"/>
      <c r="U44025" s="9"/>
      <c r="X44025" s="9"/>
    </row>
    <row r="44026">
      <c r="D44026" s="9"/>
      <c r="G44026" s="9"/>
      <c r="J44026" s="11"/>
      <c r="U44026" s="9"/>
      <c r="X44026" s="9"/>
    </row>
    <row r="44027">
      <c r="D44027" s="9"/>
      <c r="G44027" s="9"/>
      <c r="J44027" s="11"/>
      <c r="U44027" s="9"/>
      <c r="X44027" s="9"/>
    </row>
    <row r="44028">
      <c r="D44028" s="9"/>
      <c r="G44028" s="9"/>
      <c r="J44028" s="11"/>
      <c r="U44028" s="9"/>
      <c r="X44028" s="9"/>
    </row>
    <row r="44029">
      <c r="D44029" s="9"/>
      <c r="G44029" s="9"/>
      <c r="J44029" s="11"/>
      <c r="U44029" s="9"/>
      <c r="X44029" s="9"/>
    </row>
    <row r="44030">
      <c r="D44030" s="9"/>
      <c r="G44030" s="9"/>
      <c r="J44030" s="11"/>
      <c r="U44030" s="9"/>
      <c r="X44030" s="9"/>
    </row>
    <row r="44031">
      <c r="D44031" s="9"/>
      <c r="G44031" s="9"/>
      <c r="J44031" s="11"/>
      <c r="U44031" s="9"/>
      <c r="X44031" s="9"/>
    </row>
    <row r="44032">
      <c r="D44032" s="9"/>
      <c r="G44032" s="9"/>
      <c r="J44032" s="11"/>
      <c r="U44032" s="9"/>
      <c r="X44032" s="9"/>
    </row>
    <row r="44033">
      <c r="D44033" s="9"/>
      <c r="G44033" s="9"/>
      <c r="J44033" s="11"/>
      <c r="U44033" s="9"/>
      <c r="X44033" s="9"/>
    </row>
    <row r="44034">
      <c r="D44034" s="9"/>
      <c r="G44034" s="9"/>
      <c r="J44034" s="11"/>
      <c r="U44034" s="9"/>
      <c r="X44034" s="9"/>
    </row>
    <row r="44035">
      <c r="D44035" s="9"/>
      <c r="G44035" s="9"/>
      <c r="J44035" s="11"/>
      <c r="U44035" s="9"/>
      <c r="X44035" s="9"/>
    </row>
    <row r="44036">
      <c r="D44036" s="9"/>
      <c r="G44036" s="9"/>
      <c r="J44036" s="11"/>
      <c r="U44036" s="9"/>
      <c r="X44036" s="9"/>
    </row>
    <row r="44037">
      <c r="D44037" s="9"/>
      <c r="G44037" s="9"/>
      <c r="J44037" s="11"/>
      <c r="U44037" s="9"/>
      <c r="X44037" s="9"/>
    </row>
    <row r="44038">
      <c r="D44038" s="9"/>
      <c r="G44038" s="9"/>
      <c r="J44038" s="11"/>
      <c r="U44038" s="9"/>
      <c r="X44038" s="9"/>
    </row>
    <row r="44039">
      <c r="D44039" s="9"/>
      <c r="G44039" s="9"/>
      <c r="J44039" s="11"/>
      <c r="U44039" s="9"/>
      <c r="X44039" s="9"/>
    </row>
    <row r="44040">
      <c r="D44040" s="9"/>
      <c r="G44040" s="9"/>
      <c r="J44040" s="11"/>
      <c r="U44040" s="9"/>
      <c r="X44040" s="9"/>
    </row>
    <row r="44041">
      <c r="D44041" s="9"/>
      <c r="G44041" s="9"/>
      <c r="J44041" s="11"/>
      <c r="U44041" s="9"/>
      <c r="X44041" s="9"/>
    </row>
    <row r="44042">
      <c r="D44042" s="9"/>
      <c r="G44042" s="9"/>
      <c r="J44042" s="11"/>
      <c r="U44042" s="9"/>
      <c r="X44042" s="9"/>
    </row>
    <row r="44043">
      <c r="D44043" s="9"/>
      <c r="G44043" s="9"/>
      <c r="J44043" s="11"/>
      <c r="U44043" s="9"/>
      <c r="X44043" s="9"/>
    </row>
    <row r="44044">
      <c r="D44044" s="9"/>
      <c r="G44044" s="9"/>
      <c r="J44044" s="11"/>
      <c r="U44044" s="9"/>
      <c r="X44044" s="9"/>
    </row>
    <row r="44045">
      <c r="D44045" s="9"/>
      <c r="G44045" s="9"/>
      <c r="J44045" s="11"/>
      <c r="U44045" s="9"/>
      <c r="X44045" s="9"/>
    </row>
    <row r="44046">
      <c r="D44046" s="9"/>
      <c r="G44046" s="9"/>
      <c r="J44046" s="11"/>
      <c r="U44046" s="9"/>
      <c r="X44046" s="9"/>
    </row>
    <row r="44047">
      <c r="D44047" s="9"/>
      <c r="G44047" s="9"/>
      <c r="J44047" s="11"/>
      <c r="U44047" s="9"/>
      <c r="X44047" s="9"/>
    </row>
    <row r="44048">
      <c r="D44048" s="9"/>
      <c r="G44048" s="9"/>
      <c r="J44048" s="11"/>
      <c r="U44048" s="9"/>
      <c r="X44048" s="9"/>
    </row>
    <row r="44049">
      <c r="D44049" s="9"/>
      <c r="G44049" s="9"/>
      <c r="J44049" s="11"/>
      <c r="U44049" s="9"/>
      <c r="X44049" s="9"/>
    </row>
    <row r="44050">
      <c r="D44050" s="9"/>
      <c r="G44050" s="9"/>
      <c r="J44050" s="11"/>
      <c r="U44050" s="9"/>
      <c r="X44050" s="9"/>
    </row>
    <row r="44051">
      <c r="D44051" s="9"/>
      <c r="G44051" s="9"/>
      <c r="J44051" s="11"/>
      <c r="U44051" s="9"/>
      <c r="X44051" s="9"/>
    </row>
    <row r="44052">
      <c r="D44052" s="9"/>
      <c r="G44052" s="9"/>
      <c r="J44052" s="11"/>
      <c r="U44052" s="9"/>
      <c r="X44052" s="9"/>
    </row>
    <row r="44053">
      <c r="D44053" s="9"/>
      <c r="G44053" s="9"/>
      <c r="J44053" s="11"/>
      <c r="U44053" s="9"/>
      <c r="X44053" s="9"/>
    </row>
    <row r="44054">
      <c r="D44054" s="9"/>
      <c r="G44054" s="9"/>
      <c r="J44054" s="11"/>
      <c r="U44054" s="9"/>
      <c r="X44054" s="9"/>
    </row>
    <row r="44055">
      <c r="D44055" s="9"/>
      <c r="G44055" s="9"/>
      <c r="J44055" s="11"/>
      <c r="U44055" s="9"/>
      <c r="X44055" s="9"/>
    </row>
    <row r="44056">
      <c r="D44056" s="9"/>
      <c r="G44056" s="9"/>
      <c r="J44056" s="11"/>
      <c r="U44056" s="9"/>
      <c r="X44056" s="9"/>
    </row>
    <row r="44057">
      <c r="D44057" s="9"/>
      <c r="G44057" s="9"/>
      <c r="J44057" s="11"/>
      <c r="U44057" s="9"/>
      <c r="X44057" s="9"/>
    </row>
    <row r="44058">
      <c r="D44058" s="9"/>
      <c r="G44058" s="9"/>
      <c r="J44058" s="11"/>
      <c r="U44058" s="9"/>
      <c r="X44058" s="9"/>
    </row>
    <row r="44059">
      <c r="D44059" s="9"/>
      <c r="G44059" s="9"/>
      <c r="J44059" s="11"/>
      <c r="U44059" s="9"/>
      <c r="X44059" s="9"/>
    </row>
    <row r="44060">
      <c r="D44060" s="9"/>
      <c r="G44060" s="9"/>
      <c r="J44060" s="11"/>
      <c r="U44060" s="9"/>
      <c r="X44060" s="9"/>
    </row>
    <row r="44061">
      <c r="D44061" s="9"/>
      <c r="G44061" s="9"/>
      <c r="J44061" s="11"/>
      <c r="U44061" s="9"/>
      <c r="X44061" s="9"/>
    </row>
    <row r="44062">
      <c r="D44062" s="9"/>
      <c r="G44062" s="9"/>
      <c r="J44062" s="11"/>
      <c r="U44062" s="9"/>
      <c r="X44062" s="9"/>
    </row>
    <row r="44063">
      <c r="D44063" s="9"/>
      <c r="G44063" s="9"/>
      <c r="J44063" s="11"/>
      <c r="U44063" s="9"/>
      <c r="X44063" s="9"/>
    </row>
    <row r="44064">
      <c r="D44064" s="9"/>
      <c r="G44064" s="9"/>
      <c r="J44064" s="11"/>
      <c r="U44064" s="9"/>
      <c r="X44064" s="9"/>
    </row>
    <row r="44065">
      <c r="D44065" s="9"/>
      <c r="G44065" s="9"/>
      <c r="J44065" s="11"/>
      <c r="U44065" s="9"/>
      <c r="X44065" s="9"/>
    </row>
    <row r="44066">
      <c r="D44066" s="9"/>
      <c r="G44066" s="9"/>
      <c r="J44066" s="11"/>
      <c r="U44066" s="9"/>
      <c r="X44066" s="9"/>
    </row>
    <row r="44067">
      <c r="D44067" s="9"/>
      <c r="G44067" s="9"/>
      <c r="J44067" s="11"/>
      <c r="U44067" s="9"/>
      <c r="X44067" s="9"/>
    </row>
    <row r="44068">
      <c r="D44068" s="9"/>
      <c r="G44068" s="9"/>
      <c r="J44068" s="11"/>
      <c r="U44068" s="9"/>
      <c r="X44068" s="9"/>
    </row>
    <row r="44069">
      <c r="D44069" s="9"/>
      <c r="G44069" s="9"/>
      <c r="J44069" s="11"/>
      <c r="U44069" s="9"/>
      <c r="X44069" s="9"/>
    </row>
    <row r="44070">
      <c r="D44070" s="9"/>
      <c r="G44070" s="9"/>
      <c r="J44070" s="11"/>
      <c r="U44070" s="9"/>
      <c r="X44070" s="9"/>
    </row>
    <row r="44071">
      <c r="D44071" s="9"/>
      <c r="G44071" s="9"/>
      <c r="J44071" s="11"/>
      <c r="U44071" s="9"/>
      <c r="X44071" s="9"/>
    </row>
    <row r="44072">
      <c r="D44072" s="9"/>
      <c r="G44072" s="9"/>
      <c r="J44072" s="11"/>
      <c r="U44072" s="9"/>
      <c r="X44072" s="9"/>
    </row>
    <row r="44073">
      <c r="D44073" s="9"/>
      <c r="G44073" s="9"/>
      <c r="J44073" s="11"/>
      <c r="U44073" s="9"/>
      <c r="X44073" s="9"/>
    </row>
    <row r="44074">
      <c r="D44074" s="9"/>
      <c r="G44074" s="9"/>
      <c r="J44074" s="11"/>
      <c r="U44074" s="9"/>
      <c r="X44074" s="9"/>
    </row>
    <row r="44075">
      <c r="D44075" s="9"/>
      <c r="G44075" s="9"/>
      <c r="J44075" s="11"/>
      <c r="U44075" s="9"/>
      <c r="X44075" s="9"/>
    </row>
    <row r="44076">
      <c r="D44076" s="9"/>
      <c r="G44076" s="9"/>
      <c r="J44076" s="11"/>
      <c r="U44076" s="9"/>
      <c r="X44076" s="9"/>
    </row>
    <row r="44077">
      <c r="D44077" s="9"/>
      <c r="G44077" s="9"/>
      <c r="J44077" s="11"/>
      <c r="U44077" s="9"/>
      <c r="X44077" s="9"/>
    </row>
    <row r="44078">
      <c r="D44078" s="9"/>
      <c r="G44078" s="9"/>
      <c r="J44078" s="11"/>
      <c r="U44078" s="9"/>
      <c r="X44078" s="9"/>
    </row>
    <row r="44079">
      <c r="D44079" s="9"/>
      <c r="G44079" s="9"/>
      <c r="J44079" s="11"/>
      <c r="U44079" s="9"/>
      <c r="X44079" s="9"/>
    </row>
    <row r="44080">
      <c r="D44080" s="9"/>
      <c r="G44080" s="9"/>
      <c r="J44080" s="11"/>
      <c r="U44080" s="9"/>
      <c r="X44080" s="9"/>
    </row>
    <row r="44081">
      <c r="D44081" s="9"/>
      <c r="G44081" s="9"/>
      <c r="J44081" s="11"/>
      <c r="U44081" s="9"/>
      <c r="X44081" s="9"/>
    </row>
    <row r="44082">
      <c r="D44082" s="9"/>
      <c r="G44082" s="9"/>
      <c r="J44082" s="11"/>
      <c r="U44082" s="9"/>
      <c r="X44082" s="9"/>
    </row>
    <row r="44083">
      <c r="D44083" s="9"/>
      <c r="G44083" s="9"/>
      <c r="J44083" s="11"/>
      <c r="U44083" s="9"/>
      <c r="X44083" s="9"/>
    </row>
    <row r="44084">
      <c r="D44084" s="9"/>
      <c r="G44084" s="9"/>
      <c r="J44084" s="11"/>
      <c r="U44084" s="9"/>
      <c r="X44084" s="9"/>
    </row>
    <row r="44085">
      <c r="D44085" s="9"/>
      <c r="G44085" s="9"/>
      <c r="J44085" s="11"/>
      <c r="U44085" s="9"/>
      <c r="X44085" s="9"/>
    </row>
    <row r="44086">
      <c r="D44086" s="9"/>
      <c r="G44086" s="9"/>
      <c r="J44086" s="11"/>
      <c r="U44086" s="9"/>
      <c r="X44086" s="9"/>
    </row>
    <row r="44087">
      <c r="D44087" s="9"/>
      <c r="G44087" s="9"/>
      <c r="J44087" s="11"/>
      <c r="U44087" s="9"/>
      <c r="X44087" s="9"/>
    </row>
    <row r="44088">
      <c r="D44088" s="9"/>
      <c r="G44088" s="9"/>
      <c r="J44088" s="11"/>
      <c r="U44088" s="9"/>
      <c r="X44088" s="9"/>
    </row>
    <row r="44089">
      <c r="D44089" s="9"/>
      <c r="G44089" s="9"/>
      <c r="J44089" s="11"/>
      <c r="U44089" s="9"/>
      <c r="X44089" s="9"/>
    </row>
    <row r="44090">
      <c r="D44090" s="9"/>
      <c r="G44090" s="9"/>
      <c r="J44090" s="11"/>
      <c r="U44090" s="9"/>
      <c r="X44090" s="9"/>
    </row>
    <row r="44091">
      <c r="D44091" s="9"/>
      <c r="G44091" s="9"/>
      <c r="J44091" s="11"/>
      <c r="U44091" s="9"/>
      <c r="X44091" s="9"/>
    </row>
    <row r="44092">
      <c r="D44092" s="9"/>
      <c r="G44092" s="9"/>
      <c r="J44092" s="11"/>
      <c r="U44092" s="9"/>
      <c r="X44092" s="9"/>
    </row>
    <row r="44093">
      <c r="D44093" s="9"/>
      <c r="G44093" s="9"/>
      <c r="J44093" s="11"/>
      <c r="U44093" s="9"/>
      <c r="X44093" s="9"/>
    </row>
    <row r="44094">
      <c r="D44094" s="9"/>
      <c r="G44094" s="9"/>
      <c r="J44094" s="11"/>
      <c r="U44094" s="9"/>
      <c r="X44094" s="9"/>
    </row>
    <row r="44095">
      <c r="D44095" s="9"/>
      <c r="G44095" s="9"/>
      <c r="J44095" s="11"/>
      <c r="U44095" s="9"/>
      <c r="X44095" s="9"/>
    </row>
    <row r="44096">
      <c r="D44096" s="9"/>
      <c r="G44096" s="9"/>
      <c r="J44096" s="11"/>
      <c r="U44096" s="9"/>
      <c r="X44096" s="9"/>
    </row>
    <row r="44097">
      <c r="D44097" s="9"/>
      <c r="G44097" s="9"/>
      <c r="J44097" s="11"/>
      <c r="U44097" s="9"/>
      <c r="X44097" s="9"/>
    </row>
    <row r="44098">
      <c r="D44098" s="9"/>
      <c r="G44098" s="9"/>
      <c r="J44098" s="11"/>
      <c r="U44098" s="9"/>
      <c r="X44098" s="9"/>
    </row>
    <row r="44099">
      <c r="D44099" s="9"/>
      <c r="G44099" s="9"/>
      <c r="J44099" s="11"/>
      <c r="U44099" s="9"/>
      <c r="X44099" s="9"/>
    </row>
    <row r="44100">
      <c r="D44100" s="9"/>
      <c r="G44100" s="9"/>
      <c r="J44100" s="11"/>
      <c r="U44100" s="9"/>
      <c r="X44100" s="9"/>
    </row>
    <row r="44101">
      <c r="D44101" s="9"/>
      <c r="G44101" s="9"/>
      <c r="J44101" s="11"/>
      <c r="U44101" s="9"/>
      <c r="X44101" s="9"/>
    </row>
    <row r="44102">
      <c r="D44102" s="9"/>
      <c r="G44102" s="9"/>
      <c r="J44102" s="11"/>
      <c r="U44102" s="9"/>
      <c r="X44102" s="9"/>
    </row>
    <row r="44103">
      <c r="D44103" s="9"/>
      <c r="G44103" s="9"/>
      <c r="J44103" s="11"/>
      <c r="U44103" s="9"/>
      <c r="X44103" s="9"/>
    </row>
    <row r="44104">
      <c r="D44104" s="9"/>
      <c r="G44104" s="9"/>
      <c r="J44104" s="11"/>
      <c r="U44104" s="9"/>
      <c r="X44104" s="9"/>
    </row>
    <row r="44105">
      <c r="D44105" s="9"/>
      <c r="G44105" s="9"/>
      <c r="J44105" s="11"/>
      <c r="U44105" s="9"/>
      <c r="X44105" s="9"/>
    </row>
    <row r="44106">
      <c r="D44106" s="9"/>
      <c r="G44106" s="9"/>
      <c r="J44106" s="11"/>
      <c r="U44106" s="9"/>
      <c r="X44106" s="9"/>
    </row>
    <row r="44107">
      <c r="D44107" s="9"/>
      <c r="G44107" s="9"/>
      <c r="J44107" s="11"/>
      <c r="U44107" s="9"/>
      <c r="X44107" s="9"/>
    </row>
    <row r="44108">
      <c r="D44108" s="9"/>
      <c r="G44108" s="9"/>
      <c r="J44108" s="11"/>
      <c r="U44108" s="9"/>
      <c r="X44108" s="9"/>
    </row>
    <row r="44109">
      <c r="D44109" s="9"/>
      <c r="G44109" s="9"/>
      <c r="J44109" s="11"/>
      <c r="U44109" s="9"/>
      <c r="X44109" s="9"/>
    </row>
    <row r="44110">
      <c r="D44110" s="9"/>
      <c r="G44110" s="9"/>
      <c r="J44110" s="11"/>
      <c r="U44110" s="9"/>
      <c r="X44110" s="9"/>
    </row>
    <row r="44111">
      <c r="D44111" s="9"/>
      <c r="G44111" s="9"/>
      <c r="J44111" s="11"/>
      <c r="U44111" s="9"/>
      <c r="X44111" s="9"/>
    </row>
    <row r="44112">
      <c r="D44112" s="9"/>
      <c r="G44112" s="9"/>
      <c r="J44112" s="11"/>
      <c r="U44112" s="9"/>
      <c r="X44112" s="9"/>
    </row>
    <row r="44113">
      <c r="D44113" s="9"/>
      <c r="G44113" s="9"/>
      <c r="J44113" s="11"/>
      <c r="U44113" s="9"/>
      <c r="X44113" s="9"/>
    </row>
    <row r="44114">
      <c r="D44114" s="9"/>
      <c r="G44114" s="9"/>
      <c r="J44114" s="11"/>
      <c r="U44114" s="9"/>
      <c r="X44114" s="9"/>
    </row>
    <row r="44115">
      <c r="D44115" s="9"/>
      <c r="G44115" s="9"/>
      <c r="J44115" s="11"/>
      <c r="U44115" s="9"/>
      <c r="X44115" s="9"/>
    </row>
    <row r="44116">
      <c r="D44116" s="9"/>
      <c r="G44116" s="9"/>
      <c r="J44116" s="11"/>
      <c r="U44116" s="9"/>
      <c r="X44116" s="9"/>
    </row>
    <row r="44117">
      <c r="D44117" s="9"/>
      <c r="G44117" s="9"/>
      <c r="J44117" s="11"/>
      <c r="U44117" s="9"/>
      <c r="X44117" s="9"/>
    </row>
    <row r="44118">
      <c r="D44118" s="9"/>
      <c r="G44118" s="9"/>
      <c r="J44118" s="11"/>
      <c r="U44118" s="9"/>
      <c r="X44118" s="9"/>
    </row>
    <row r="44119">
      <c r="D44119" s="9"/>
      <c r="G44119" s="9"/>
      <c r="J44119" s="11"/>
      <c r="U44119" s="9"/>
      <c r="X44119" s="9"/>
    </row>
    <row r="44120">
      <c r="D44120" s="9"/>
      <c r="G44120" s="9"/>
      <c r="J44120" s="11"/>
      <c r="U44120" s="9"/>
      <c r="X44120" s="9"/>
    </row>
    <row r="44121">
      <c r="D44121" s="9"/>
      <c r="G44121" s="9"/>
      <c r="J44121" s="11"/>
      <c r="U44121" s="9"/>
      <c r="X44121" s="9"/>
    </row>
    <row r="44122">
      <c r="D44122" s="9"/>
      <c r="G44122" s="9"/>
      <c r="J44122" s="11"/>
      <c r="U44122" s="9"/>
      <c r="X44122" s="9"/>
    </row>
    <row r="44123">
      <c r="D44123" s="9"/>
      <c r="G44123" s="9"/>
      <c r="J44123" s="11"/>
      <c r="U44123" s="9"/>
      <c r="X44123" s="9"/>
    </row>
    <row r="44124">
      <c r="D44124" s="9"/>
      <c r="G44124" s="9"/>
      <c r="J44124" s="11"/>
      <c r="U44124" s="9"/>
      <c r="X44124" s="9"/>
    </row>
    <row r="44125">
      <c r="D44125" s="9"/>
      <c r="G44125" s="9"/>
      <c r="J44125" s="11"/>
      <c r="U44125" s="9"/>
      <c r="X44125" s="9"/>
    </row>
    <row r="44126">
      <c r="D44126" s="9"/>
      <c r="G44126" s="9"/>
      <c r="J44126" s="11"/>
      <c r="U44126" s="9"/>
      <c r="X44126" s="9"/>
    </row>
    <row r="44127">
      <c r="D44127" s="9"/>
      <c r="G44127" s="9"/>
      <c r="J44127" s="11"/>
      <c r="U44127" s="9"/>
      <c r="X44127" s="9"/>
    </row>
    <row r="44128">
      <c r="D44128" s="9"/>
      <c r="G44128" s="9"/>
      <c r="J44128" s="11"/>
      <c r="U44128" s="9"/>
      <c r="X44128" s="9"/>
    </row>
    <row r="44129">
      <c r="D44129" s="9"/>
      <c r="G44129" s="9"/>
      <c r="J44129" s="11"/>
      <c r="U44129" s="9"/>
      <c r="X44129" s="9"/>
    </row>
    <row r="44130">
      <c r="D44130" s="9"/>
      <c r="G44130" s="9"/>
      <c r="J44130" s="11"/>
      <c r="U44130" s="9"/>
      <c r="X44130" s="9"/>
    </row>
    <row r="44131">
      <c r="D44131" s="9"/>
      <c r="G44131" s="9"/>
      <c r="J44131" s="11"/>
      <c r="U44131" s="9"/>
      <c r="X44131" s="9"/>
    </row>
    <row r="44132">
      <c r="D44132" s="9"/>
      <c r="G44132" s="9"/>
      <c r="J44132" s="11"/>
      <c r="U44132" s="9"/>
      <c r="X44132" s="9"/>
    </row>
    <row r="44133">
      <c r="D44133" s="9"/>
      <c r="G44133" s="9"/>
      <c r="J44133" s="11"/>
      <c r="U44133" s="9"/>
      <c r="X44133" s="9"/>
    </row>
    <row r="44134">
      <c r="D44134" s="9"/>
      <c r="G44134" s="9"/>
      <c r="J44134" s="11"/>
      <c r="U44134" s="9"/>
      <c r="X44134" s="9"/>
    </row>
    <row r="44135">
      <c r="D44135" s="9"/>
      <c r="G44135" s="9"/>
      <c r="J44135" s="11"/>
      <c r="U44135" s="9"/>
      <c r="X44135" s="9"/>
    </row>
    <row r="44136">
      <c r="D44136" s="9"/>
      <c r="G44136" s="9"/>
      <c r="J44136" s="11"/>
      <c r="U44136" s="9"/>
      <c r="X44136" s="9"/>
    </row>
    <row r="44137">
      <c r="D44137" s="9"/>
      <c r="G44137" s="9"/>
      <c r="J44137" s="11"/>
      <c r="U44137" s="9"/>
      <c r="X44137" s="9"/>
    </row>
    <row r="44138">
      <c r="D44138" s="9"/>
      <c r="G44138" s="9"/>
      <c r="J44138" s="11"/>
      <c r="U44138" s="9"/>
      <c r="X44138" s="9"/>
    </row>
    <row r="44139">
      <c r="D44139" s="9"/>
      <c r="G44139" s="9"/>
      <c r="J44139" s="11"/>
      <c r="U44139" s="9"/>
      <c r="X44139" s="9"/>
    </row>
    <row r="44140">
      <c r="D44140" s="9"/>
      <c r="G44140" s="9"/>
      <c r="J44140" s="11"/>
      <c r="U44140" s="9"/>
      <c r="X44140" s="9"/>
    </row>
    <row r="44141">
      <c r="D44141" s="9"/>
      <c r="G44141" s="9"/>
      <c r="J44141" s="11"/>
      <c r="U44141" s="9"/>
      <c r="X44141" s="9"/>
    </row>
    <row r="44142">
      <c r="D44142" s="9"/>
      <c r="G44142" s="9"/>
      <c r="J44142" s="11"/>
      <c r="U44142" s="9"/>
      <c r="X44142" s="9"/>
    </row>
    <row r="44143">
      <c r="D44143" s="9"/>
      <c r="G44143" s="9"/>
      <c r="J44143" s="11"/>
      <c r="U44143" s="9"/>
      <c r="X44143" s="9"/>
    </row>
    <row r="44144">
      <c r="D44144" s="9"/>
      <c r="G44144" s="9"/>
      <c r="J44144" s="11"/>
      <c r="U44144" s="9"/>
      <c r="X44144" s="9"/>
    </row>
    <row r="44145">
      <c r="D44145" s="9"/>
      <c r="G44145" s="9"/>
      <c r="J44145" s="11"/>
      <c r="U44145" s="9"/>
      <c r="X44145" s="9"/>
    </row>
    <row r="44146">
      <c r="D44146" s="9"/>
      <c r="G44146" s="9"/>
      <c r="J44146" s="11"/>
      <c r="U44146" s="9"/>
      <c r="X44146" s="9"/>
    </row>
    <row r="44147">
      <c r="D44147" s="9"/>
      <c r="G44147" s="9"/>
      <c r="J44147" s="11"/>
      <c r="U44147" s="9"/>
      <c r="X44147" s="9"/>
    </row>
    <row r="44148">
      <c r="D44148" s="9"/>
      <c r="G44148" s="9"/>
      <c r="J44148" s="11"/>
      <c r="U44148" s="9"/>
      <c r="X44148" s="9"/>
    </row>
    <row r="44149">
      <c r="D44149" s="9"/>
      <c r="G44149" s="9"/>
      <c r="J44149" s="11"/>
      <c r="U44149" s="9"/>
      <c r="X44149" s="9"/>
    </row>
    <row r="44150">
      <c r="D44150" s="9"/>
      <c r="G44150" s="9"/>
      <c r="J44150" s="11"/>
      <c r="U44150" s="9"/>
      <c r="X44150" s="9"/>
    </row>
    <row r="44151">
      <c r="D44151" s="9"/>
      <c r="G44151" s="9"/>
      <c r="J44151" s="11"/>
      <c r="U44151" s="9"/>
      <c r="X44151" s="9"/>
    </row>
    <row r="44152">
      <c r="D44152" s="9"/>
      <c r="G44152" s="9"/>
      <c r="J44152" s="11"/>
      <c r="U44152" s="9"/>
      <c r="X44152" s="9"/>
    </row>
    <row r="44153">
      <c r="D44153" s="9"/>
      <c r="G44153" s="9"/>
      <c r="J44153" s="11"/>
      <c r="U44153" s="9"/>
      <c r="X44153" s="9"/>
    </row>
    <row r="44154">
      <c r="D44154" s="9"/>
      <c r="G44154" s="9"/>
      <c r="J44154" s="11"/>
      <c r="U44154" s="9"/>
      <c r="X44154" s="9"/>
    </row>
    <row r="44155">
      <c r="D44155" s="9"/>
      <c r="G44155" s="9"/>
      <c r="J44155" s="11"/>
      <c r="U44155" s="9"/>
      <c r="X44155" s="9"/>
    </row>
    <row r="44156">
      <c r="D44156" s="9"/>
      <c r="G44156" s="9"/>
      <c r="J44156" s="11"/>
      <c r="U44156" s="9"/>
      <c r="X44156" s="9"/>
    </row>
    <row r="44157">
      <c r="D44157" s="9"/>
      <c r="G44157" s="9"/>
      <c r="J44157" s="11"/>
      <c r="U44157" s="9"/>
      <c r="X44157" s="9"/>
    </row>
    <row r="44158">
      <c r="D44158" s="9"/>
      <c r="G44158" s="9"/>
      <c r="J44158" s="11"/>
      <c r="U44158" s="9"/>
      <c r="X44158" s="9"/>
    </row>
    <row r="44159">
      <c r="D44159" s="9"/>
      <c r="G44159" s="9"/>
      <c r="J44159" s="11"/>
      <c r="U44159" s="9"/>
      <c r="X44159" s="9"/>
    </row>
    <row r="44160">
      <c r="D44160" s="9"/>
      <c r="G44160" s="9"/>
      <c r="J44160" s="11"/>
      <c r="U44160" s="9"/>
      <c r="X44160" s="9"/>
    </row>
    <row r="44161">
      <c r="D44161" s="9"/>
      <c r="G44161" s="9"/>
      <c r="J44161" s="11"/>
      <c r="U44161" s="9"/>
      <c r="X44161" s="9"/>
    </row>
    <row r="44162">
      <c r="D44162" s="9"/>
      <c r="G44162" s="9"/>
      <c r="J44162" s="11"/>
      <c r="U44162" s="9"/>
      <c r="X44162" s="9"/>
    </row>
    <row r="44163">
      <c r="D44163" s="9"/>
      <c r="G44163" s="9"/>
      <c r="J44163" s="11"/>
      <c r="U44163" s="9"/>
      <c r="X44163" s="9"/>
    </row>
    <row r="44164">
      <c r="D44164" s="9"/>
      <c r="G44164" s="9"/>
      <c r="J44164" s="11"/>
      <c r="U44164" s="9"/>
      <c r="X44164" s="9"/>
    </row>
    <row r="44165">
      <c r="D44165" s="9"/>
      <c r="G44165" s="9"/>
      <c r="J44165" s="11"/>
      <c r="U44165" s="9"/>
      <c r="X44165" s="9"/>
    </row>
    <row r="44166">
      <c r="D44166" s="9"/>
      <c r="G44166" s="9"/>
      <c r="J44166" s="11"/>
      <c r="U44166" s="9"/>
      <c r="X44166" s="9"/>
    </row>
    <row r="44167">
      <c r="D44167" s="9"/>
      <c r="G44167" s="9"/>
      <c r="J44167" s="11"/>
      <c r="U44167" s="9"/>
      <c r="X44167" s="9"/>
    </row>
    <row r="44168">
      <c r="D44168" s="9"/>
      <c r="G44168" s="9"/>
      <c r="J44168" s="11"/>
      <c r="U44168" s="9"/>
      <c r="X44168" s="9"/>
    </row>
    <row r="44169">
      <c r="D44169" s="9"/>
      <c r="G44169" s="9"/>
      <c r="J44169" s="11"/>
      <c r="U44169" s="9"/>
      <c r="X44169" s="9"/>
    </row>
    <row r="44170">
      <c r="D44170" s="9"/>
      <c r="G44170" s="9"/>
      <c r="J44170" s="11"/>
      <c r="U44170" s="9"/>
      <c r="X44170" s="9"/>
    </row>
    <row r="44171">
      <c r="D44171" s="9"/>
      <c r="G44171" s="9"/>
      <c r="J44171" s="11"/>
      <c r="U44171" s="9"/>
      <c r="X44171" s="9"/>
    </row>
    <row r="44172">
      <c r="D44172" s="9"/>
      <c r="G44172" s="9"/>
      <c r="J44172" s="11"/>
      <c r="U44172" s="9"/>
      <c r="X44172" s="9"/>
    </row>
    <row r="44173">
      <c r="D44173" s="9"/>
      <c r="G44173" s="9"/>
      <c r="J44173" s="11"/>
      <c r="U44173" s="9"/>
      <c r="X44173" s="9"/>
    </row>
    <row r="44174">
      <c r="D44174" s="9"/>
      <c r="G44174" s="9"/>
      <c r="J44174" s="11"/>
      <c r="U44174" s="9"/>
      <c r="X44174" s="9"/>
    </row>
    <row r="44175">
      <c r="D44175" s="9"/>
      <c r="G44175" s="9"/>
      <c r="J44175" s="11"/>
      <c r="U44175" s="9"/>
      <c r="X44175" s="9"/>
    </row>
    <row r="44176">
      <c r="D44176" s="9"/>
      <c r="G44176" s="9"/>
      <c r="J44176" s="11"/>
      <c r="U44176" s="9"/>
      <c r="X44176" s="9"/>
    </row>
    <row r="44177">
      <c r="D44177" s="9"/>
      <c r="G44177" s="9"/>
      <c r="J44177" s="11"/>
      <c r="U44177" s="9"/>
      <c r="X44177" s="9"/>
    </row>
    <row r="44178">
      <c r="D44178" s="9"/>
      <c r="G44178" s="9"/>
      <c r="J44178" s="11"/>
      <c r="U44178" s="9"/>
      <c r="X44178" s="9"/>
    </row>
    <row r="44179">
      <c r="D44179" s="9"/>
      <c r="G44179" s="9"/>
      <c r="J44179" s="11"/>
      <c r="U44179" s="9"/>
      <c r="X44179" s="9"/>
    </row>
    <row r="44180">
      <c r="D44180" s="9"/>
      <c r="G44180" s="9"/>
      <c r="J44180" s="11"/>
      <c r="U44180" s="9"/>
      <c r="X44180" s="9"/>
    </row>
    <row r="44181">
      <c r="D44181" s="9"/>
      <c r="G44181" s="9"/>
      <c r="J44181" s="11"/>
      <c r="U44181" s="9"/>
      <c r="X44181" s="9"/>
    </row>
    <row r="44182">
      <c r="D44182" s="9"/>
      <c r="G44182" s="9"/>
      <c r="J44182" s="11"/>
      <c r="U44182" s="9"/>
      <c r="X44182" s="9"/>
    </row>
    <row r="44183">
      <c r="D44183" s="9"/>
      <c r="G44183" s="9"/>
      <c r="J44183" s="11"/>
      <c r="U44183" s="9"/>
      <c r="X44183" s="9"/>
    </row>
    <row r="44184">
      <c r="D44184" s="9"/>
      <c r="G44184" s="9"/>
      <c r="J44184" s="11"/>
      <c r="U44184" s="9"/>
      <c r="X44184" s="9"/>
    </row>
    <row r="44185">
      <c r="D44185" s="9"/>
      <c r="G44185" s="9"/>
      <c r="J44185" s="11"/>
      <c r="U44185" s="9"/>
      <c r="X44185" s="9"/>
    </row>
    <row r="44186">
      <c r="D44186" s="9"/>
      <c r="G44186" s="9"/>
      <c r="J44186" s="11"/>
      <c r="U44186" s="9"/>
      <c r="X44186" s="9"/>
    </row>
    <row r="44187">
      <c r="D44187" s="9"/>
      <c r="G44187" s="9"/>
      <c r="J44187" s="11"/>
      <c r="U44187" s="9"/>
      <c r="X44187" s="9"/>
    </row>
    <row r="44188">
      <c r="D44188" s="9"/>
      <c r="G44188" s="9"/>
      <c r="J44188" s="11"/>
      <c r="U44188" s="9"/>
      <c r="X44188" s="9"/>
    </row>
    <row r="44189">
      <c r="D44189" s="9"/>
      <c r="G44189" s="9"/>
      <c r="J44189" s="11"/>
      <c r="U44189" s="9"/>
      <c r="X44189" s="9"/>
    </row>
    <row r="44190">
      <c r="D44190" s="9"/>
      <c r="G44190" s="9"/>
      <c r="J44190" s="11"/>
      <c r="U44190" s="9"/>
      <c r="X44190" s="9"/>
    </row>
    <row r="44191">
      <c r="D44191" s="9"/>
      <c r="G44191" s="9"/>
      <c r="J44191" s="11"/>
      <c r="U44191" s="9"/>
      <c r="X44191" s="9"/>
    </row>
    <row r="44192">
      <c r="D44192" s="9"/>
      <c r="G44192" s="9"/>
      <c r="J44192" s="11"/>
      <c r="U44192" s="9"/>
      <c r="X44192" s="9"/>
    </row>
    <row r="44193">
      <c r="D44193" s="9"/>
      <c r="G44193" s="9"/>
      <c r="J44193" s="11"/>
      <c r="U44193" s="9"/>
      <c r="X44193" s="9"/>
    </row>
    <row r="44194">
      <c r="D44194" s="9"/>
      <c r="G44194" s="9"/>
      <c r="J44194" s="11"/>
      <c r="U44194" s="9"/>
      <c r="X44194" s="9"/>
    </row>
    <row r="44195">
      <c r="D44195" s="9"/>
      <c r="G44195" s="9"/>
      <c r="J44195" s="11"/>
      <c r="U44195" s="9"/>
      <c r="X44195" s="9"/>
    </row>
    <row r="44196">
      <c r="D44196" s="9"/>
      <c r="G44196" s="9"/>
      <c r="J44196" s="11"/>
      <c r="U44196" s="9"/>
      <c r="X44196" s="9"/>
    </row>
    <row r="44197">
      <c r="D44197" s="9"/>
      <c r="G44197" s="9"/>
      <c r="J44197" s="11"/>
      <c r="U44197" s="9"/>
      <c r="X44197" s="9"/>
    </row>
    <row r="44198">
      <c r="D44198" s="9"/>
      <c r="G44198" s="9"/>
      <c r="J44198" s="11"/>
      <c r="U44198" s="9"/>
      <c r="X44198" s="9"/>
    </row>
    <row r="44199">
      <c r="D44199" s="9"/>
      <c r="G44199" s="9"/>
      <c r="J44199" s="11"/>
      <c r="U44199" s="9"/>
      <c r="X44199" s="9"/>
    </row>
    <row r="44200">
      <c r="D44200" s="9"/>
      <c r="G44200" s="9"/>
      <c r="J44200" s="11"/>
      <c r="U44200" s="9"/>
      <c r="X44200" s="9"/>
    </row>
    <row r="44201">
      <c r="D44201" s="9"/>
      <c r="G44201" s="9"/>
      <c r="J44201" s="11"/>
      <c r="U44201" s="9"/>
      <c r="X44201" s="9"/>
    </row>
    <row r="44202">
      <c r="D44202" s="9"/>
      <c r="G44202" s="9"/>
      <c r="J44202" s="11"/>
      <c r="U44202" s="9"/>
      <c r="X44202" s="9"/>
    </row>
    <row r="44203">
      <c r="D44203" s="9"/>
      <c r="G44203" s="9"/>
      <c r="J44203" s="11"/>
      <c r="U44203" s="9"/>
      <c r="X44203" s="9"/>
    </row>
    <row r="44204">
      <c r="D44204" s="9"/>
      <c r="G44204" s="9"/>
      <c r="J44204" s="11"/>
      <c r="U44204" s="9"/>
      <c r="X44204" s="9"/>
    </row>
    <row r="44205">
      <c r="D44205" s="9"/>
      <c r="G44205" s="9"/>
      <c r="J44205" s="11"/>
      <c r="U44205" s="9"/>
      <c r="X44205" s="9"/>
    </row>
    <row r="44206">
      <c r="D44206" s="9"/>
      <c r="G44206" s="9"/>
      <c r="J44206" s="11"/>
      <c r="U44206" s="9"/>
      <c r="X44206" s="9"/>
    </row>
    <row r="44207">
      <c r="D44207" s="9"/>
      <c r="G44207" s="9"/>
      <c r="J44207" s="11"/>
      <c r="U44207" s="9"/>
      <c r="X44207" s="9"/>
    </row>
    <row r="44208">
      <c r="D44208" s="9"/>
      <c r="G44208" s="9"/>
      <c r="J44208" s="11"/>
      <c r="U44208" s="9"/>
      <c r="X44208" s="9"/>
    </row>
    <row r="44209">
      <c r="D44209" s="9"/>
      <c r="G44209" s="9"/>
      <c r="J44209" s="11"/>
      <c r="U44209" s="9"/>
      <c r="X44209" s="9"/>
    </row>
    <row r="44210">
      <c r="D44210" s="9"/>
      <c r="G44210" s="9"/>
      <c r="J44210" s="11"/>
      <c r="U44210" s="9"/>
      <c r="X44210" s="9"/>
    </row>
    <row r="44211">
      <c r="D44211" s="9"/>
      <c r="G44211" s="9"/>
      <c r="J44211" s="11"/>
      <c r="U44211" s="9"/>
      <c r="X44211" s="9"/>
    </row>
    <row r="44212">
      <c r="D44212" s="9"/>
      <c r="G44212" s="9"/>
      <c r="J44212" s="11"/>
      <c r="U44212" s="9"/>
      <c r="X44212" s="9"/>
    </row>
    <row r="44213">
      <c r="D44213" s="9"/>
      <c r="G44213" s="9"/>
      <c r="J44213" s="11"/>
      <c r="U44213" s="9"/>
      <c r="X44213" s="9"/>
    </row>
    <row r="44214">
      <c r="D44214" s="9"/>
      <c r="G44214" s="9"/>
      <c r="J44214" s="11"/>
      <c r="U44214" s="9"/>
      <c r="X44214" s="9"/>
    </row>
    <row r="44215">
      <c r="D44215" s="9"/>
      <c r="G44215" s="9"/>
      <c r="J44215" s="11"/>
      <c r="U44215" s="9"/>
      <c r="X44215" s="9"/>
    </row>
    <row r="44216">
      <c r="D44216" s="9"/>
      <c r="G44216" s="9"/>
      <c r="J44216" s="11"/>
      <c r="U44216" s="9"/>
      <c r="X44216" s="9"/>
    </row>
    <row r="44217">
      <c r="D44217" s="9"/>
      <c r="G44217" s="9"/>
      <c r="J44217" s="11"/>
      <c r="U44217" s="9"/>
      <c r="X44217" s="9"/>
    </row>
    <row r="44218">
      <c r="D44218" s="9"/>
      <c r="G44218" s="9"/>
      <c r="J44218" s="11"/>
      <c r="U44218" s="9"/>
      <c r="X44218" s="9"/>
    </row>
    <row r="44219">
      <c r="D44219" s="9"/>
      <c r="G44219" s="9"/>
      <c r="J44219" s="11"/>
      <c r="U44219" s="9"/>
      <c r="X44219" s="9"/>
    </row>
    <row r="44220">
      <c r="D44220" s="9"/>
      <c r="G44220" s="9"/>
      <c r="J44220" s="11"/>
      <c r="U44220" s="9"/>
      <c r="X44220" s="9"/>
    </row>
    <row r="44221">
      <c r="D44221" s="9"/>
      <c r="G44221" s="9"/>
      <c r="J44221" s="11"/>
      <c r="U44221" s="9"/>
      <c r="X44221" s="9"/>
    </row>
    <row r="44222">
      <c r="D44222" s="9"/>
      <c r="G44222" s="9"/>
      <c r="J44222" s="11"/>
      <c r="U44222" s="9"/>
      <c r="X44222" s="9"/>
    </row>
    <row r="44223">
      <c r="D44223" s="9"/>
      <c r="G44223" s="9"/>
      <c r="J44223" s="11"/>
      <c r="U44223" s="9"/>
      <c r="X44223" s="9"/>
    </row>
    <row r="44224">
      <c r="D44224" s="9"/>
      <c r="G44224" s="9"/>
      <c r="J44224" s="11"/>
      <c r="U44224" s="9"/>
      <c r="X44224" s="9"/>
    </row>
    <row r="44225">
      <c r="D44225" s="9"/>
      <c r="G44225" s="9"/>
      <c r="J44225" s="11"/>
      <c r="U44225" s="9"/>
      <c r="X44225" s="9"/>
    </row>
    <row r="44226">
      <c r="D44226" s="9"/>
      <c r="G44226" s="9"/>
      <c r="J44226" s="11"/>
      <c r="U44226" s="9"/>
      <c r="X44226" s="9"/>
    </row>
    <row r="44227">
      <c r="D44227" s="9"/>
      <c r="G44227" s="9"/>
      <c r="J44227" s="11"/>
      <c r="U44227" s="9"/>
      <c r="X44227" s="9"/>
    </row>
    <row r="44228">
      <c r="D44228" s="9"/>
      <c r="G44228" s="9"/>
      <c r="J44228" s="11"/>
      <c r="U44228" s="9"/>
      <c r="X44228" s="9"/>
    </row>
    <row r="44229">
      <c r="D44229" s="9"/>
      <c r="G44229" s="9"/>
      <c r="J44229" s="11"/>
      <c r="U44229" s="9"/>
      <c r="X44229" s="9"/>
    </row>
    <row r="44230">
      <c r="D44230" s="9"/>
      <c r="G44230" s="9"/>
      <c r="J44230" s="11"/>
      <c r="U44230" s="9"/>
      <c r="X44230" s="9"/>
    </row>
    <row r="44231">
      <c r="D44231" s="9"/>
      <c r="G44231" s="9"/>
      <c r="J44231" s="11"/>
      <c r="U44231" s="9"/>
      <c r="X44231" s="9"/>
    </row>
    <row r="44232">
      <c r="D44232" s="9"/>
      <c r="G44232" s="9"/>
      <c r="J44232" s="11"/>
      <c r="U44232" s="9"/>
      <c r="X44232" s="9"/>
    </row>
    <row r="44233">
      <c r="D44233" s="9"/>
      <c r="G44233" s="9"/>
      <c r="J44233" s="11"/>
      <c r="U44233" s="9"/>
      <c r="X44233" s="9"/>
    </row>
    <row r="44234">
      <c r="D44234" s="9"/>
      <c r="G44234" s="9"/>
      <c r="J44234" s="11"/>
      <c r="U44234" s="9"/>
      <c r="X44234" s="9"/>
    </row>
    <row r="44235">
      <c r="D44235" s="9"/>
      <c r="G44235" s="9"/>
      <c r="J44235" s="11"/>
      <c r="U44235" s="9"/>
      <c r="X44235" s="9"/>
    </row>
    <row r="44236">
      <c r="D44236" s="9"/>
      <c r="G44236" s="9"/>
      <c r="J44236" s="11"/>
      <c r="U44236" s="9"/>
      <c r="X44236" s="9"/>
    </row>
    <row r="44237">
      <c r="D44237" s="9"/>
      <c r="G44237" s="9"/>
      <c r="J44237" s="11"/>
      <c r="U44237" s="9"/>
      <c r="X44237" s="9"/>
    </row>
    <row r="44238">
      <c r="D44238" s="9"/>
      <c r="G44238" s="9"/>
      <c r="J44238" s="11"/>
      <c r="U44238" s="9"/>
      <c r="X44238" s="9"/>
    </row>
    <row r="44239">
      <c r="D44239" s="9"/>
      <c r="G44239" s="9"/>
      <c r="J44239" s="11"/>
      <c r="U44239" s="9"/>
      <c r="X44239" s="9"/>
    </row>
    <row r="44240">
      <c r="D44240" s="9"/>
      <c r="G44240" s="9"/>
      <c r="J44240" s="11"/>
      <c r="U44240" s="9"/>
      <c r="X44240" s="9"/>
    </row>
    <row r="44241">
      <c r="D44241" s="9"/>
      <c r="G44241" s="9"/>
      <c r="J44241" s="11"/>
      <c r="U44241" s="9"/>
      <c r="X44241" s="9"/>
    </row>
    <row r="44242">
      <c r="D44242" s="9"/>
      <c r="G44242" s="9"/>
      <c r="J44242" s="11"/>
      <c r="U44242" s="9"/>
      <c r="X44242" s="9"/>
    </row>
    <row r="44243">
      <c r="D44243" s="9"/>
      <c r="G44243" s="9"/>
      <c r="J44243" s="11"/>
      <c r="U44243" s="9"/>
      <c r="X44243" s="9"/>
    </row>
    <row r="44244">
      <c r="D44244" s="9"/>
      <c r="G44244" s="9"/>
      <c r="J44244" s="11"/>
      <c r="U44244" s="9"/>
      <c r="X44244" s="9"/>
    </row>
    <row r="44245">
      <c r="D44245" s="9"/>
      <c r="G44245" s="9"/>
      <c r="J44245" s="11"/>
      <c r="U44245" s="9"/>
      <c r="X44245" s="9"/>
    </row>
    <row r="44246">
      <c r="D44246" s="9"/>
      <c r="G44246" s="9"/>
      <c r="J44246" s="11"/>
      <c r="U44246" s="9"/>
      <c r="X44246" s="9"/>
    </row>
    <row r="44247">
      <c r="D44247" s="9"/>
      <c r="G44247" s="9"/>
      <c r="J44247" s="11"/>
      <c r="U44247" s="9"/>
      <c r="X44247" s="9"/>
    </row>
    <row r="44248">
      <c r="D44248" s="9"/>
      <c r="G44248" s="9"/>
      <c r="J44248" s="11"/>
      <c r="U44248" s="9"/>
      <c r="X44248" s="9"/>
    </row>
    <row r="44249">
      <c r="D44249" s="9"/>
      <c r="G44249" s="9"/>
      <c r="J44249" s="11"/>
      <c r="U44249" s="9"/>
      <c r="X44249" s="9"/>
    </row>
    <row r="44250">
      <c r="D44250" s="9"/>
      <c r="G44250" s="9"/>
      <c r="J44250" s="11"/>
      <c r="U44250" s="9"/>
      <c r="X44250" s="9"/>
    </row>
    <row r="44251">
      <c r="D44251" s="9"/>
      <c r="G44251" s="9"/>
      <c r="J44251" s="11"/>
      <c r="U44251" s="9"/>
      <c r="X44251" s="9"/>
    </row>
    <row r="44252">
      <c r="D44252" s="9"/>
      <c r="G44252" s="9"/>
      <c r="J44252" s="11"/>
      <c r="U44252" s="9"/>
      <c r="X44252" s="9"/>
    </row>
    <row r="44253">
      <c r="D44253" s="9"/>
      <c r="G44253" s="9"/>
      <c r="J44253" s="11"/>
      <c r="U44253" s="9"/>
      <c r="X44253" s="9"/>
    </row>
    <row r="44254">
      <c r="D44254" s="9"/>
      <c r="G44254" s="9"/>
      <c r="J44254" s="11"/>
      <c r="U44254" s="9"/>
      <c r="X44254" s="9"/>
    </row>
    <row r="44255">
      <c r="D44255" s="9"/>
      <c r="G44255" s="9"/>
      <c r="J44255" s="11"/>
      <c r="U44255" s="9"/>
      <c r="X44255" s="9"/>
    </row>
    <row r="44256">
      <c r="D44256" s="9"/>
      <c r="G44256" s="9"/>
      <c r="J44256" s="11"/>
      <c r="U44256" s="9"/>
      <c r="X44256" s="9"/>
    </row>
    <row r="44257">
      <c r="D44257" s="9"/>
      <c r="G44257" s="9"/>
      <c r="J44257" s="11"/>
      <c r="U44257" s="9"/>
      <c r="X44257" s="9"/>
    </row>
    <row r="44258">
      <c r="D44258" s="9"/>
      <c r="G44258" s="9"/>
      <c r="J44258" s="11"/>
      <c r="U44258" s="9"/>
      <c r="X44258" s="9"/>
    </row>
    <row r="44259">
      <c r="D44259" s="9"/>
      <c r="G44259" s="9"/>
      <c r="J44259" s="11"/>
      <c r="U44259" s="9"/>
      <c r="X44259" s="9"/>
    </row>
    <row r="44260">
      <c r="D44260" s="9"/>
      <c r="G44260" s="9"/>
      <c r="J44260" s="11"/>
      <c r="U44260" s="9"/>
      <c r="X44260" s="9"/>
    </row>
    <row r="44261">
      <c r="D44261" s="9"/>
      <c r="G44261" s="9"/>
      <c r="J44261" s="11"/>
      <c r="U44261" s="9"/>
      <c r="X44261" s="9"/>
    </row>
    <row r="44262">
      <c r="D44262" s="9"/>
      <c r="G44262" s="9"/>
      <c r="J44262" s="11"/>
      <c r="U44262" s="9"/>
      <c r="X44262" s="9"/>
    </row>
    <row r="44263">
      <c r="D44263" s="9"/>
      <c r="G44263" s="9"/>
      <c r="J44263" s="11"/>
      <c r="U44263" s="9"/>
      <c r="X44263" s="9"/>
    </row>
    <row r="44264">
      <c r="D44264" s="9"/>
      <c r="G44264" s="9"/>
      <c r="J44264" s="11"/>
      <c r="U44264" s="9"/>
      <c r="X44264" s="9"/>
    </row>
    <row r="44265">
      <c r="D44265" s="9"/>
      <c r="G44265" s="9"/>
      <c r="J44265" s="11"/>
      <c r="U44265" s="9"/>
      <c r="X44265" s="9"/>
    </row>
    <row r="44266">
      <c r="D44266" s="9"/>
      <c r="G44266" s="9"/>
      <c r="J44266" s="11"/>
      <c r="U44266" s="9"/>
      <c r="X44266" s="9"/>
    </row>
    <row r="44267">
      <c r="D44267" s="9"/>
      <c r="G44267" s="9"/>
      <c r="J44267" s="11"/>
      <c r="U44267" s="9"/>
      <c r="X44267" s="9"/>
    </row>
    <row r="44268">
      <c r="D44268" s="9"/>
      <c r="G44268" s="9"/>
      <c r="J44268" s="11"/>
      <c r="U44268" s="9"/>
      <c r="X44268" s="9"/>
    </row>
    <row r="44269">
      <c r="D44269" s="9"/>
      <c r="G44269" s="9"/>
      <c r="J44269" s="11"/>
      <c r="U44269" s="9"/>
      <c r="X44269" s="9"/>
    </row>
    <row r="44270">
      <c r="D44270" s="9"/>
      <c r="G44270" s="9"/>
      <c r="J44270" s="11"/>
      <c r="U44270" s="9"/>
      <c r="X44270" s="9"/>
    </row>
    <row r="44271">
      <c r="D44271" s="9"/>
      <c r="G44271" s="9"/>
      <c r="J44271" s="11"/>
      <c r="U44271" s="9"/>
      <c r="X44271" s="9"/>
    </row>
    <row r="44272">
      <c r="D44272" s="9"/>
      <c r="G44272" s="9"/>
      <c r="J44272" s="11"/>
      <c r="U44272" s="9"/>
      <c r="X44272" s="9"/>
    </row>
    <row r="44273">
      <c r="D44273" s="9"/>
      <c r="G44273" s="9"/>
      <c r="J44273" s="11"/>
      <c r="U44273" s="9"/>
      <c r="X44273" s="9"/>
    </row>
    <row r="44274">
      <c r="D44274" s="9"/>
      <c r="G44274" s="9"/>
      <c r="J44274" s="11"/>
      <c r="U44274" s="9"/>
      <c r="X44274" s="9"/>
    </row>
    <row r="44275">
      <c r="D44275" s="9"/>
      <c r="G44275" s="9"/>
      <c r="J44275" s="11"/>
      <c r="U44275" s="9"/>
      <c r="X44275" s="9"/>
    </row>
    <row r="44276">
      <c r="D44276" s="9"/>
      <c r="G44276" s="9"/>
      <c r="J44276" s="11"/>
      <c r="U44276" s="9"/>
      <c r="X44276" s="9"/>
    </row>
    <row r="44277">
      <c r="D44277" s="9"/>
      <c r="G44277" s="9"/>
      <c r="J44277" s="11"/>
      <c r="U44277" s="9"/>
      <c r="X44277" s="9"/>
    </row>
    <row r="44278">
      <c r="D44278" s="9"/>
      <c r="G44278" s="9"/>
      <c r="J44278" s="11"/>
      <c r="U44278" s="9"/>
      <c r="X44278" s="9"/>
    </row>
    <row r="44279">
      <c r="D44279" s="9"/>
      <c r="G44279" s="9"/>
      <c r="J44279" s="11"/>
      <c r="U44279" s="9"/>
      <c r="X44279" s="9"/>
    </row>
    <row r="44280">
      <c r="D44280" s="9"/>
      <c r="G44280" s="9"/>
      <c r="J44280" s="11"/>
      <c r="U44280" s="9"/>
      <c r="X44280" s="9"/>
    </row>
    <row r="44281">
      <c r="D44281" s="9"/>
      <c r="G44281" s="9"/>
      <c r="J44281" s="11"/>
      <c r="U44281" s="9"/>
      <c r="X44281" s="9"/>
    </row>
    <row r="44282">
      <c r="D44282" s="9"/>
      <c r="G44282" s="9"/>
      <c r="J44282" s="11"/>
      <c r="U44282" s="9"/>
      <c r="X44282" s="9"/>
    </row>
    <row r="44283">
      <c r="D44283" s="9"/>
      <c r="G44283" s="9"/>
      <c r="J44283" s="11"/>
      <c r="U44283" s="9"/>
      <c r="X44283" s="9"/>
    </row>
    <row r="44284">
      <c r="D44284" s="9"/>
      <c r="G44284" s="9"/>
      <c r="J44284" s="11"/>
      <c r="U44284" s="9"/>
      <c r="X44284" s="9"/>
    </row>
    <row r="44285">
      <c r="D44285" s="9"/>
      <c r="G44285" s="9"/>
      <c r="J44285" s="11"/>
      <c r="U44285" s="9"/>
      <c r="X44285" s="9"/>
    </row>
    <row r="44286">
      <c r="D44286" s="9"/>
      <c r="G44286" s="9"/>
      <c r="J44286" s="11"/>
      <c r="U44286" s="9"/>
      <c r="X44286" s="9"/>
    </row>
    <row r="44287">
      <c r="D44287" s="9"/>
      <c r="G44287" s="9"/>
      <c r="J44287" s="11"/>
      <c r="U44287" s="9"/>
      <c r="X44287" s="9"/>
    </row>
    <row r="44288">
      <c r="D44288" s="9"/>
      <c r="G44288" s="9"/>
      <c r="J44288" s="11"/>
      <c r="U44288" s="9"/>
      <c r="X44288" s="9"/>
    </row>
    <row r="44289">
      <c r="D44289" s="9"/>
      <c r="G44289" s="9"/>
      <c r="J44289" s="11"/>
      <c r="U44289" s="9"/>
      <c r="X44289" s="9"/>
    </row>
    <row r="44290">
      <c r="D44290" s="9"/>
      <c r="G44290" s="9"/>
      <c r="J44290" s="11"/>
      <c r="U44290" s="9"/>
      <c r="X44290" s="9"/>
    </row>
    <row r="44291">
      <c r="D44291" s="9"/>
      <c r="G44291" s="9"/>
      <c r="J44291" s="11"/>
      <c r="U44291" s="9"/>
      <c r="X44291" s="9"/>
    </row>
    <row r="44292">
      <c r="D44292" s="9"/>
      <c r="G44292" s="9"/>
      <c r="J44292" s="11"/>
      <c r="U44292" s="9"/>
      <c r="X44292" s="9"/>
    </row>
    <row r="44293">
      <c r="D44293" s="9"/>
      <c r="G44293" s="9"/>
      <c r="J44293" s="11"/>
      <c r="U44293" s="9"/>
      <c r="X44293" s="9"/>
    </row>
    <row r="44294">
      <c r="D44294" s="9"/>
      <c r="G44294" s="9"/>
      <c r="J44294" s="11"/>
      <c r="U44294" s="9"/>
      <c r="X44294" s="9"/>
    </row>
    <row r="44295">
      <c r="D44295" s="9"/>
      <c r="G44295" s="9"/>
      <c r="J44295" s="11"/>
      <c r="U44295" s="9"/>
      <c r="X44295" s="9"/>
    </row>
    <row r="44296">
      <c r="D44296" s="9"/>
      <c r="G44296" s="9"/>
      <c r="J44296" s="11"/>
      <c r="U44296" s="9"/>
      <c r="X44296" s="9"/>
    </row>
    <row r="44297">
      <c r="D44297" s="9"/>
      <c r="G44297" s="9"/>
      <c r="J44297" s="11"/>
      <c r="U44297" s="9"/>
      <c r="X44297" s="9"/>
    </row>
    <row r="44298">
      <c r="D44298" s="9"/>
      <c r="G44298" s="9"/>
      <c r="J44298" s="11"/>
      <c r="U44298" s="9"/>
      <c r="X44298" s="9"/>
    </row>
    <row r="44299">
      <c r="D44299" s="9"/>
      <c r="G44299" s="9"/>
      <c r="J44299" s="11"/>
      <c r="U44299" s="9"/>
      <c r="X44299" s="9"/>
    </row>
    <row r="44300">
      <c r="D44300" s="9"/>
      <c r="G44300" s="9"/>
      <c r="J44300" s="11"/>
      <c r="U44300" s="9"/>
      <c r="X44300" s="9"/>
    </row>
    <row r="44301">
      <c r="D44301" s="9"/>
      <c r="G44301" s="9"/>
      <c r="J44301" s="11"/>
      <c r="U44301" s="9"/>
      <c r="X44301" s="9"/>
    </row>
    <row r="44302">
      <c r="D44302" s="9"/>
      <c r="G44302" s="9"/>
      <c r="J44302" s="11"/>
      <c r="U44302" s="9"/>
      <c r="X44302" s="9"/>
    </row>
    <row r="44303">
      <c r="D44303" s="9"/>
      <c r="G44303" s="9"/>
      <c r="J44303" s="11"/>
      <c r="U44303" s="9"/>
      <c r="X44303" s="9"/>
    </row>
    <row r="44304">
      <c r="D44304" s="9"/>
      <c r="G44304" s="9"/>
      <c r="J44304" s="11"/>
      <c r="U44304" s="9"/>
      <c r="X44304" s="9"/>
    </row>
    <row r="44305">
      <c r="D44305" s="9"/>
      <c r="G44305" s="9"/>
      <c r="J44305" s="11"/>
      <c r="U44305" s="9"/>
      <c r="X44305" s="9"/>
    </row>
    <row r="44306">
      <c r="D44306" s="9"/>
      <c r="G44306" s="9"/>
      <c r="J44306" s="11"/>
      <c r="U44306" s="9"/>
      <c r="X44306" s="9"/>
    </row>
    <row r="44307">
      <c r="D44307" s="9"/>
      <c r="G44307" s="9"/>
      <c r="J44307" s="11"/>
      <c r="U44307" s="9"/>
      <c r="X44307" s="9"/>
    </row>
    <row r="44308">
      <c r="D44308" s="9"/>
      <c r="G44308" s="9"/>
      <c r="J44308" s="11"/>
      <c r="U44308" s="9"/>
      <c r="X44308" s="9"/>
    </row>
    <row r="44309">
      <c r="D44309" s="9"/>
      <c r="G44309" s="9"/>
      <c r="J44309" s="11"/>
      <c r="U44309" s="9"/>
      <c r="X44309" s="9"/>
    </row>
    <row r="44310">
      <c r="D44310" s="9"/>
      <c r="G44310" s="9"/>
      <c r="J44310" s="11"/>
      <c r="U44310" s="9"/>
      <c r="X44310" s="9"/>
    </row>
    <row r="44311">
      <c r="D44311" s="9"/>
      <c r="G44311" s="9"/>
      <c r="J44311" s="11"/>
      <c r="U44311" s="9"/>
      <c r="X44311" s="9"/>
    </row>
    <row r="44312">
      <c r="D44312" s="9"/>
      <c r="G44312" s="9"/>
      <c r="J44312" s="11"/>
      <c r="U44312" s="9"/>
      <c r="X44312" s="9"/>
    </row>
    <row r="44313">
      <c r="D44313" s="9"/>
      <c r="G44313" s="9"/>
      <c r="J44313" s="11"/>
      <c r="U44313" s="9"/>
      <c r="X44313" s="9"/>
    </row>
    <row r="44314">
      <c r="D44314" s="9"/>
      <c r="G44314" s="9"/>
      <c r="J44314" s="11"/>
      <c r="U44314" s="9"/>
      <c r="X44314" s="9"/>
    </row>
    <row r="44315">
      <c r="D44315" s="9"/>
      <c r="G44315" s="9"/>
      <c r="J44315" s="11"/>
      <c r="U44315" s="9"/>
      <c r="X44315" s="9"/>
    </row>
    <row r="44316">
      <c r="D44316" s="9"/>
      <c r="G44316" s="9"/>
      <c r="J44316" s="11"/>
      <c r="U44316" s="9"/>
      <c r="X44316" s="9"/>
    </row>
    <row r="44317">
      <c r="D44317" s="9"/>
      <c r="G44317" s="9"/>
      <c r="J44317" s="11"/>
      <c r="U44317" s="9"/>
      <c r="X44317" s="9"/>
    </row>
    <row r="44318">
      <c r="D44318" s="9"/>
      <c r="G44318" s="9"/>
      <c r="J44318" s="11"/>
      <c r="U44318" s="9"/>
      <c r="X44318" s="9"/>
    </row>
    <row r="44319">
      <c r="D44319" s="9"/>
      <c r="G44319" s="9"/>
      <c r="J44319" s="11"/>
      <c r="U44319" s="9"/>
      <c r="X44319" s="9"/>
    </row>
    <row r="44320">
      <c r="D44320" s="9"/>
      <c r="G44320" s="9"/>
      <c r="J44320" s="11"/>
      <c r="U44320" s="9"/>
      <c r="X44320" s="9"/>
    </row>
    <row r="44321">
      <c r="D44321" s="9"/>
      <c r="G44321" s="9"/>
      <c r="J44321" s="11"/>
      <c r="U44321" s="9"/>
      <c r="X44321" s="9"/>
    </row>
    <row r="44322">
      <c r="D44322" s="9"/>
      <c r="G44322" s="9"/>
      <c r="J44322" s="11"/>
      <c r="U44322" s="9"/>
      <c r="X44322" s="9"/>
    </row>
    <row r="44323">
      <c r="D44323" s="9"/>
      <c r="G44323" s="9"/>
      <c r="J44323" s="11"/>
      <c r="U44323" s="9"/>
      <c r="X44323" s="9"/>
    </row>
    <row r="44324">
      <c r="D44324" s="9"/>
      <c r="G44324" s="9"/>
      <c r="J44324" s="11"/>
      <c r="U44324" s="9"/>
      <c r="X44324" s="9"/>
    </row>
    <row r="44325">
      <c r="D44325" s="9"/>
      <c r="G44325" s="9"/>
      <c r="J44325" s="11"/>
      <c r="U44325" s="9"/>
      <c r="X44325" s="9"/>
    </row>
    <row r="44326">
      <c r="D44326" s="9"/>
      <c r="G44326" s="9"/>
      <c r="J44326" s="11"/>
      <c r="U44326" s="9"/>
      <c r="X44326" s="9"/>
    </row>
    <row r="44327">
      <c r="D44327" s="9"/>
      <c r="G44327" s="9"/>
      <c r="J44327" s="11"/>
      <c r="U44327" s="9"/>
      <c r="X44327" s="9"/>
    </row>
    <row r="44328">
      <c r="D44328" s="9"/>
      <c r="G44328" s="9"/>
      <c r="J44328" s="11"/>
      <c r="U44328" s="9"/>
      <c r="X44328" s="9"/>
    </row>
    <row r="44329">
      <c r="D44329" s="9"/>
      <c r="G44329" s="9"/>
      <c r="J44329" s="11"/>
      <c r="U44329" s="9"/>
      <c r="X44329" s="9"/>
    </row>
    <row r="44330">
      <c r="D44330" s="9"/>
      <c r="G44330" s="9"/>
      <c r="J44330" s="11"/>
      <c r="U44330" s="9"/>
      <c r="X44330" s="9"/>
    </row>
    <row r="44331">
      <c r="D44331" s="9"/>
      <c r="G44331" s="9"/>
      <c r="J44331" s="11"/>
      <c r="U44331" s="9"/>
      <c r="X44331" s="9"/>
    </row>
    <row r="44332">
      <c r="D44332" s="9"/>
      <c r="G44332" s="9"/>
      <c r="J44332" s="11"/>
      <c r="U44332" s="9"/>
      <c r="X44332" s="9"/>
    </row>
    <row r="44333">
      <c r="D44333" s="9"/>
      <c r="G44333" s="9"/>
      <c r="J44333" s="11"/>
      <c r="U44333" s="9"/>
      <c r="X44333" s="9"/>
    </row>
    <row r="44334">
      <c r="D44334" s="9"/>
      <c r="G44334" s="9"/>
      <c r="J44334" s="11"/>
      <c r="U44334" s="9"/>
      <c r="X44334" s="9"/>
    </row>
    <row r="44335">
      <c r="D44335" s="9"/>
      <c r="G44335" s="9"/>
      <c r="J44335" s="11"/>
      <c r="U44335" s="9"/>
      <c r="X44335" s="9"/>
    </row>
    <row r="44336">
      <c r="D44336" s="9"/>
      <c r="G44336" s="9"/>
      <c r="J44336" s="11"/>
      <c r="U44336" s="9"/>
      <c r="X44336" s="9"/>
    </row>
    <row r="44337">
      <c r="D44337" s="9"/>
      <c r="G44337" s="9"/>
      <c r="J44337" s="11"/>
      <c r="U44337" s="9"/>
      <c r="X44337" s="9"/>
    </row>
    <row r="44338">
      <c r="D44338" s="9"/>
      <c r="G44338" s="9"/>
      <c r="J44338" s="11"/>
      <c r="U44338" s="9"/>
      <c r="X44338" s="9"/>
    </row>
    <row r="44339">
      <c r="D44339" s="9"/>
      <c r="G44339" s="9"/>
      <c r="J44339" s="11"/>
      <c r="U44339" s="9"/>
      <c r="X44339" s="9"/>
    </row>
    <row r="44340">
      <c r="D44340" s="9"/>
      <c r="G44340" s="9"/>
      <c r="J44340" s="11"/>
      <c r="U44340" s="9"/>
      <c r="X44340" s="9"/>
    </row>
    <row r="44341">
      <c r="D44341" s="9"/>
      <c r="G44341" s="9"/>
      <c r="J44341" s="11"/>
      <c r="U44341" s="9"/>
      <c r="X44341" s="9"/>
    </row>
    <row r="44342">
      <c r="D44342" s="9"/>
      <c r="G44342" s="9"/>
      <c r="J44342" s="11"/>
      <c r="U44342" s="9"/>
      <c r="X44342" s="9"/>
    </row>
    <row r="44343">
      <c r="D44343" s="9"/>
      <c r="G44343" s="9"/>
      <c r="J44343" s="11"/>
      <c r="U44343" s="9"/>
      <c r="X44343" s="9"/>
    </row>
    <row r="44344">
      <c r="D44344" s="9"/>
      <c r="G44344" s="9"/>
      <c r="J44344" s="11"/>
      <c r="U44344" s="9"/>
      <c r="X44344" s="9"/>
    </row>
    <row r="44345">
      <c r="D44345" s="9"/>
      <c r="G44345" s="9"/>
      <c r="J44345" s="11"/>
      <c r="U44345" s="9"/>
      <c r="X44345" s="9"/>
    </row>
    <row r="44346">
      <c r="D44346" s="9"/>
      <c r="G44346" s="9"/>
      <c r="J44346" s="11"/>
      <c r="U44346" s="9"/>
      <c r="X44346" s="9"/>
    </row>
    <row r="44347">
      <c r="D44347" s="9"/>
      <c r="G44347" s="9"/>
      <c r="J44347" s="11"/>
      <c r="U44347" s="9"/>
      <c r="X44347" s="9"/>
    </row>
    <row r="44348">
      <c r="D44348" s="9"/>
      <c r="G44348" s="9"/>
      <c r="J44348" s="11"/>
      <c r="U44348" s="9"/>
      <c r="X44348" s="9"/>
    </row>
    <row r="44349">
      <c r="D44349" s="9"/>
      <c r="G44349" s="9"/>
      <c r="J44349" s="11"/>
      <c r="U44349" s="9"/>
      <c r="X44349" s="9"/>
    </row>
    <row r="44350">
      <c r="D44350" s="9"/>
      <c r="G44350" s="9"/>
      <c r="J44350" s="11"/>
      <c r="U44350" s="9"/>
      <c r="X44350" s="9"/>
    </row>
    <row r="44351">
      <c r="D44351" s="9"/>
      <c r="G44351" s="9"/>
      <c r="J44351" s="11"/>
      <c r="U44351" s="9"/>
      <c r="X44351" s="9"/>
    </row>
    <row r="44352">
      <c r="D44352" s="9"/>
      <c r="G44352" s="9"/>
      <c r="J44352" s="11"/>
      <c r="U44352" s="9"/>
      <c r="X44352" s="9"/>
    </row>
    <row r="44353">
      <c r="D44353" s="9"/>
      <c r="G44353" s="9"/>
      <c r="J44353" s="11"/>
      <c r="U44353" s="9"/>
      <c r="X44353" s="9"/>
    </row>
    <row r="44354">
      <c r="D44354" s="9"/>
      <c r="G44354" s="9"/>
      <c r="J44354" s="11"/>
      <c r="U44354" s="9"/>
      <c r="X44354" s="9"/>
    </row>
    <row r="44355">
      <c r="D44355" s="9"/>
      <c r="G44355" s="9"/>
      <c r="J44355" s="11"/>
      <c r="U44355" s="9"/>
      <c r="X44355" s="9"/>
    </row>
    <row r="44356">
      <c r="D44356" s="9"/>
      <c r="G44356" s="9"/>
      <c r="J44356" s="11"/>
      <c r="U44356" s="9"/>
      <c r="X44356" s="9"/>
    </row>
    <row r="44357">
      <c r="D44357" s="9"/>
      <c r="G44357" s="9"/>
      <c r="J44357" s="11"/>
      <c r="U44357" s="9"/>
      <c r="X44357" s="9"/>
    </row>
    <row r="44358">
      <c r="D44358" s="9"/>
      <c r="G44358" s="9"/>
      <c r="J44358" s="11"/>
      <c r="U44358" s="9"/>
      <c r="X44358" s="9"/>
    </row>
    <row r="44359">
      <c r="D44359" s="9"/>
      <c r="G44359" s="9"/>
      <c r="J44359" s="11"/>
      <c r="U44359" s="9"/>
      <c r="X44359" s="9"/>
    </row>
    <row r="44360">
      <c r="D44360" s="9"/>
      <c r="G44360" s="9"/>
      <c r="J44360" s="11"/>
      <c r="U44360" s="9"/>
      <c r="X44360" s="9"/>
    </row>
    <row r="44361">
      <c r="D44361" s="9"/>
      <c r="G44361" s="9"/>
      <c r="J44361" s="11"/>
      <c r="U44361" s="9"/>
      <c r="X44361" s="9"/>
    </row>
    <row r="44362">
      <c r="D44362" s="9"/>
      <c r="G44362" s="9"/>
      <c r="J44362" s="11"/>
      <c r="U44362" s="9"/>
      <c r="X44362" s="9"/>
    </row>
    <row r="44363">
      <c r="D44363" s="9"/>
      <c r="G44363" s="9"/>
      <c r="J44363" s="11"/>
      <c r="U44363" s="9"/>
      <c r="X44363" s="9"/>
    </row>
    <row r="44364">
      <c r="D44364" s="9"/>
      <c r="G44364" s="9"/>
      <c r="J44364" s="11"/>
      <c r="U44364" s="9"/>
      <c r="X44364" s="9"/>
    </row>
    <row r="44365">
      <c r="D44365" s="9"/>
      <c r="G44365" s="9"/>
      <c r="J44365" s="11"/>
      <c r="U44365" s="9"/>
      <c r="X44365" s="9"/>
    </row>
    <row r="44366">
      <c r="D44366" s="9"/>
      <c r="G44366" s="9"/>
      <c r="J44366" s="11"/>
      <c r="U44366" s="9"/>
      <c r="X44366" s="9"/>
    </row>
    <row r="44367">
      <c r="D44367" s="9"/>
      <c r="G44367" s="9"/>
      <c r="J44367" s="11"/>
      <c r="U44367" s="9"/>
      <c r="X44367" s="9"/>
    </row>
    <row r="44368">
      <c r="D44368" s="9"/>
      <c r="G44368" s="9"/>
      <c r="J44368" s="11"/>
      <c r="U44368" s="9"/>
      <c r="X44368" s="9"/>
    </row>
    <row r="44369">
      <c r="D44369" s="9"/>
      <c r="G44369" s="9"/>
      <c r="J44369" s="11"/>
      <c r="U44369" s="9"/>
      <c r="X44369" s="9"/>
    </row>
    <row r="44370">
      <c r="D44370" s="9"/>
      <c r="G44370" s="9"/>
      <c r="J44370" s="11"/>
      <c r="U44370" s="9"/>
      <c r="X44370" s="9"/>
    </row>
    <row r="44371">
      <c r="D44371" s="9"/>
      <c r="G44371" s="9"/>
      <c r="J44371" s="11"/>
      <c r="U44371" s="9"/>
      <c r="X44371" s="9"/>
    </row>
    <row r="44372">
      <c r="D44372" s="9"/>
      <c r="G44372" s="9"/>
      <c r="J44372" s="11"/>
      <c r="U44372" s="9"/>
      <c r="X44372" s="9"/>
    </row>
    <row r="44373">
      <c r="D44373" s="9"/>
      <c r="G44373" s="9"/>
      <c r="J44373" s="11"/>
      <c r="U44373" s="9"/>
      <c r="X44373" s="9"/>
    </row>
    <row r="44374">
      <c r="D44374" s="9"/>
      <c r="G44374" s="9"/>
      <c r="J44374" s="11"/>
      <c r="U44374" s="9"/>
      <c r="X44374" s="9"/>
    </row>
    <row r="44375">
      <c r="D44375" s="9"/>
      <c r="G44375" s="9"/>
      <c r="J44375" s="11"/>
      <c r="U44375" s="9"/>
      <c r="X44375" s="9"/>
    </row>
    <row r="44376">
      <c r="D44376" s="9"/>
      <c r="G44376" s="9"/>
      <c r="J44376" s="11"/>
      <c r="U44376" s="9"/>
      <c r="X44376" s="9"/>
    </row>
    <row r="44377">
      <c r="D44377" s="9"/>
      <c r="G44377" s="9"/>
      <c r="J44377" s="11"/>
      <c r="U44377" s="9"/>
      <c r="X44377" s="9"/>
    </row>
    <row r="44378">
      <c r="D44378" s="9"/>
      <c r="G44378" s="9"/>
      <c r="J44378" s="11"/>
      <c r="U44378" s="9"/>
      <c r="X44378" s="9"/>
    </row>
    <row r="44379">
      <c r="D44379" s="9"/>
      <c r="G44379" s="9"/>
      <c r="J44379" s="11"/>
      <c r="U44379" s="9"/>
      <c r="X44379" s="9"/>
    </row>
    <row r="44380">
      <c r="D44380" s="9"/>
      <c r="G44380" s="9"/>
      <c r="J44380" s="11"/>
      <c r="U44380" s="9"/>
      <c r="X44380" s="9"/>
    </row>
    <row r="44381">
      <c r="D44381" s="9"/>
      <c r="G44381" s="9"/>
      <c r="J44381" s="11"/>
      <c r="U44381" s="9"/>
      <c r="X44381" s="9"/>
    </row>
    <row r="44382">
      <c r="D44382" s="9"/>
      <c r="G44382" s="9"/>
      <c r="J44382" s="11"/>
      <c r="U44382" s="9"/>
      <c r="X44382" s="9"/>
    </row>
    <row r="44383">
      <c r="D44383" s="9"/>
      <c r="G44383" s="9"/>
      <c r="J44383" s="11"/>
      <c r="U44383" s="9"/>
      <c r="X44383" s="9"/>
    </row>
    <row r="44384">
      <c r="D44384" s="9"/>
      <c r="G44384" s="9"/>
      <c r="J44384" s="11"/>
      <c r="U44384" s="9"/>
      <c r="X44384" s="9"/>
    </row>
    <row r="44385">
      <c r="D44385" s="9"/>
      <c r="G44385" s="9"/>
      <c r="J44385" s="11"/>
      <c r="U44385" s="9"/>
      <c r="X44385" s="9"/>
    </row>
    <row r="44386">
      <c r="D44386" s="9"/>
      <c r="G44386" s="9"/>
      <c r="J44386" s="11"/>
      <c r="U44386" s="9"/>
      <c r="X44386" s="9"/>
    </row>
    <row r="44387">
      <c r="D44387" s="9"/>
      <c r="G44387" s="9"/>
      <c r="J44387" s="11"/>
      <c r="U44387" s="9"/>
      <c r="X44387" s="9"/>
    </row>
    <row r="44388">
      <c r="D44388" s="9"/>
      <c r="G44388" s="9"/>
      <c r="J44388" s="11"/>
      <c r="U44388" s="9"/>
      <c r="X44388" s="9"/>
    </row>
    <row r="44389">
      <c r="D44389" s="9"/>
      <c r="G44389" s="9"/>
      <c r="J44389" s="11"/>
      <c r="U44389" s="9"/>
      <c r="X44389" s="9"/>
    </row>
    <row r="44390">
      <c r="D44390" s="9"/>
      <c r="G44390" s="9"/>
      <c r="J44390" s="11"/>
      <c r="U44390" s="9"/>
      <c r="X44390" s="9"/>
    </row>
    <row r="44391">
      <c r="D44391" s="9"/>
      <c r="G44391" s="9"/>
      <c r="J44391" s="11"/>
      <c r="U44391" s="9"/>
      <c r="X44391" s="9"/>
    </row>
    <row r="44392">
      <c r="D44392" s="9"/>
      <c r="G44392" s="9"/>
      <c r="J44392" s="11"/>
      <c r="U44392" s="9"/>
      <c r="X44392" s="9"/>
    </row>
    <row r="44393">
      <c r="D44393" s="9"/>
      <c r="G44393" s="9"/>
      <c r="J44393" s="11"/>
      <c r="U44393" s="9"/>
      <c r="X44393" s="9"/>
    </row>
    <row r="44394">
      <c r="D44394" s="9"/>
      <c r="G44394" s="9"/>
      <c r="J44394" s="11"/>
      <c r="U44394" s="9"/>
      <c r="X44394" s="9"/>
    </row>
    <row r="44395">
      <c r="D44395" s="9"/>
      <c r="G44395" s="9"/>
      <c r="J44395" s="11"/>
      <c r="U44395" s="9"/>
      <c r="X44395" s="9"/>
    </row>
    <row r="44396">
      <c r="D44396" s="9"/>
      <c r="G44396" s="9"/>
      <c r="J44396" s="11"/>
      <c r="U44396" s="9"/>
      <c r="X44396" s="9"/>
    </row>
    <row r="44397">
      <c r="D44397" s="9"/>
      <c r="G44397" s="9"/>
      <c r="J44397" s="11"/>
      <c r="U44397" s="9"/>
      <c r="X44397" s="9"/>
    </row>
    <row r="44398">
      <c r="D44398" s="9"/>
      <c r="G44398" s="9"/>
      <c r="J44398" s="11"/>
      <c r="U44398" s="9"/>
      <c r="X44398" s="9"/>
    </row>
    <row r="44399">
      <c r="D44399" s="9"/>
      <c r="G44399" s="9"/>
      <c r="J44399" s="11"/>
      <c r="U44399" s="9"/>
      <c r="X44399" s="9"/>
    </row>
    <row r="44400">
      <c r="D44400" s="9"/>
      <c r="G44400" s="9"/>
      <c r="J44400" s="11"/>
      <c r="U44400" s="9"/>
      <c r="X44400" s="9"/>
    </row>
    <row r="44401">
      <c r="D44401" s="9"/>
      <c r="G44401" s="9"/>
      <c r="J44401" s="11"/>
      <c r="U44401" s="9"/>
      <c r="X44401" s="9"/>
    </row>
    <row r="44402">
      <c r="D44402" s="9"/>
      <c r="G44402" s="9"/>
      <c r="J44402" s="11"/>
      <c r="U44402" s="9"/>
      <c r="X44402" s="9"/>
    </row>
    <row r="44403">
      <c r="D44403" s="9"/>
      <c r="G44403" s="9"/>
      <c r="J44403" s="11"/>
      <c r="U44403" s="9"/>
      <c r="X44403" s="9"/>
    </row>
    <row r="44404">
      <c r="D44404" s="9"/>
      <c r="G44404" s="9"/>
      <c r="J44404" s="11"/>
      <c r="U44404" s="9"/>
      <c r="X44404" s="9"/>
    </row>
    <row r="44405">
      <c r="D44405" s="9"/>
      <c r="G44405" s="9"/>
      <c r="J44405" s="11"/>
      <c r="U44405" s="9"/>
      <c r="X44405" s="9"/>
    </row>
    <row r="44406">
      <c r="D44406" s="9"/>
      <c r="G44406" s="9"/>
      <c r="J44406" s="11"/>
      <c r="U44406" s="9"/>
      <c r="X44406" s="9"/>
    </row>
    <row r="44407">
      <c r="D44407" s="9"/>
      <c r="G44407" s="9"/>
      <c r="J44407" s="11"/>
      <c r="U44407" s="9"/>
      <c r="X44407" s="9"/>
    </row>
    <row r="44408">
      <c r="D44408" s="9"/>
      <c r="G44408" s="9"/>
      <c r="J44408" s="11"/>
      <c r="U44408" s="9"/>
      <c r="X44408" s="9"/>
    </row>
    <row r="44409">
      <c r="D44409" s="9"/>
      <c r="G44409" s="9"/>
      <c r="J44409" s="11"/>
      <c r="U44409" s="9"/>
      <c r="X44409" s="9"/>
    </row>
    <row r="44410">
      <c r="D44410" s="9"/>
      <c r="G44410" s="9"/>
      <c r="J44410" s="11"/>
      <c r="U44410" s="9"/>
      <c r="X44410" s="9"/>
    </row>
    <row r="44411">
      <c r="D44411" s="9"/>
      <c r="G44411" s="9"/>
      <c r="J44411" s="11"/>
      <c r="U44411" s="9"/>
      <c r="X44411" s="9"/>
    </row>
    <row r="44412">
      <c r="D44412" s="9"/>
      <c r="G44412" s="9"/>
      <c r="J44412" s="11"/>
      <c r="U44412" s="9"/>
      <c r="X44412" s="9"/>
    </row>
    <row r="44413">
      <c r="D44413" s="9"/>
      <c r="G44413" s="9"/>
      <c r="J44413" s="11"/>
      <c r="U44413" s="9"/>
      <c r="X44413" s="9"/>
    </row>
    <row r="44414">
      <c r="D44414" s="9"/>
      <c r="G44414" s="9"/>
      <c r="J44414" s="11"/>
      <c r="U44414" s="9"/>
      <c r="X44414" s="9"/>
    </row>
    <row r="44415">
      <c r="D44415" s="9"/>
      <c r="G44415" s="9"/>
      <c r="J44415" s="11"/>
      <c r="U44415" s="9"/>
      <c r="X44415" s="9"/>
    </row>
    <row r="44416">
      <c r="D44416" s="9"/>
      <c r="G44416" s="9"/>
      <c r="J44416" s="11"/>
      <c r="U44416" s="9"/>
      <c r="X44416" s="9"/>
    </row>
    <row r="44417">
      <c r="D44417" s="9"/>
      <c r="G44417" s="9"/>
      <c r="J44417" s="11"/>
      <c r="U44417" s="9"/>
      <c r="X44417" s="9"/>
    </row>
    <row r="44418">
      <c r="D44418" s="9"/>
      <c r="G44418" s="9"/>
      <c r="J44418" s="11"/>
      <c r="U44418" s="9"/>
      <c r="X44418" s="9"/>
    </row>
    <row r="44419">
      <c r="D44419" s="9"/>
      <c r="G44419" s="9"/>
      <c r="J44419" s="11"/>
      <c r="U44419" s="9"/>
      <c r="X44419" s="9"/>
    </row>
    <row r="44420">
      <c r="D44420" s="9"/>
      <c r="G44420" s="9"/>
      <c r="J44420" s="11"/>
      <c r="U44420" s="9"/>
      <c r="X44420" s="9"/>
    </row>
    <row r="44421">
      <c r="D44421" s="9"/>
      <c r="G44421" s="9"/>
      <c r="J44421" s="11"/>
      <c r="U44421" s="9"/>
      <c r="X44421" s="9"/>
    </row>
    <row r="44422">
      <c r="D44422" s="9"/>
      <c r="G44422" s="9"/>
      <c r="J44422" s="11"/>
      <c r="U44422" s="9"/>
      <c r="X44422" s="9"/>
    </row>
    <row r="44423">
      <c r="D44423" s="9"/>
      <c r="G44423" s="9"/>
      <c r="J44423" s="11"/>
      <c r="U44423" s="9"/>
      <c r="X44423" s="9"/>
    </row>
    <row r="44424">
      <c r="D44424" s="9"/>
      <c r="G44424" s="9"/>
      <c r="J44424" s="11"/>
      <c r="U44424" s="9"/>
      <c r="X44424" s="9"/>
    </row>
    <row r="44425">
      <c r="D44425" s="9"/>
      <c r="G44425" s="9"/>
      <c r="J44425" s="11"/>
      <c r="U44425" s="9"/>
      <c r="X44425" s="9"/>
    </row>
    <row r="44426">
      <c r="D44426" s="9"/>
      <c r="G44426" s="9"/>
      <c r="J44426" s="11"/>
      <c r="U44426" s="9"/>
      <c r="X44426" s="9"/>
    </row>
    <row r="44427">
      <c r="D44427" s="9"/>
      <c r="G44427" s="9"/>
      <c r="J44427" s="11"/>
      <c r="U44427" s="9"/>
      <c r="X44427" s="9"/>
    </row>
    <row r="44428">
      <c r="D44428" s="9"/>
      <c r="G44428" s="9"/>
      <c r="J44428" s="11"/>
      <c r="U44428" s="9"/>
      <c r="X44428" s="9"/>
    </row>
    <row r="44429">
      <c r="D44429" s="9"/>
      <c r="G44429" s="9"/>
      <c r="J44429" s="11"/>
      <c r="U44429" s="9"/>
      <c r="X44429" s="9"/>
    </row>
    <row r="44430">
      <c r="D44430" s="9"/>
      <c r="G44430" s="9"/>
      <c r="J44430" s="11"/>
      <c r="U44430" s="9"/>
      <c r="X44430" s="9"/>
    </row>
    <row r="44431">
      <c r="D44431" s="9"/>
      <c r="G44431" s="9"/>
      <c r="J44431" s="11"/>
      <c r="U44431" s="9"/>
      <c r="X44431" s="9"/>
    </row>
    <row r="44432">
      <c r="D44432" s="9"/>
      <c r="G44432" s="9"/>
      <c r="J44432" s="11"/>
      <c r="U44432" s="9"/>
      <c r="X44432" s="9"/>
    </row>
    <row r="44433">
      <c r="D44433" s="9"/>
      <c r="G44433" s="9"/>
      <c r="J44433" s="11"/>
      <c r="U44433" s="9"/>
      <c r="X44433" s="9"/>
    </row>
    <row r="44434">
      <c r="D44434" s="9"/>
      <c r="G44434" s="9"/>
      <c r="J44434" s="11"/>
      <c r="U44434" s="9"/>
      <c r="X44434" s="9"/>
    </row>
    <row r="44435">
      <c r="D44435" s="9"/>
      <c r="G44435" s="9"/>
      <c r="J44435" s="11"/>
      <c r="U44435" s="9"/>
      <c r="X44435" s="9"/>
    </row>
    <row r="44436">
      <c r="D44436" s="9"/>
      <c r="G44436" s="9"/>
      <c r="J44436" s="11"/>
      <c r="U44436" s="9"/>
      <c r="X44436" s="9"/>
    </row>
    <row r="44437">
      <c r="D44437" s="9"/>
      <c r="G44437" s="9"/>
      <c r="J44437" s="11"/>
      <c r="U44437" s="9"/>
      <c r="X44437" s="9"/>
    </row>
    <row r="44438">
      <c r="D44438" s="9"/>
      <c r="G44438" s="9"/>
      <c r="J44438" s="11"/>
      <c r="U44438" s="9"/>
      <c r="X44438" s="9"/>
    </row>
    <row r="44439">
      <c r="D44439" s="9"/>
      <c r="G44439" s="9"/>
      <c r="J44439" s="11"/>
      <c r="U44439" s="9"/>
      <c r="X44439" s="9"/>
    </row>
    <row r="44440">
      <c r="D44440" s="9"/>
      <c r="G44440" s="9"/>
      <c r="J44440" s="11"/>
      <c r="U44440" s="9"/>
      <c r="X44440" s="9"/>
    </row>
    <row r="44441">
      <c r="D44441" s="9"/>
      <c r="G44441" s="9"/>
      <c r="J44441" s="11"/>
      <c r="U44441" s="9"/>
      <c r="X44441" s="9"/>
    </row>
    <row r="44442">
      <c r="D44442" s="9"/>
      <c r="G44442" s="9"/>
      <c r="J44442" s="11"/>
      <c r="U44442" s="9"/>
      <c r="X44442" s="9"/>
    </row>
    <row r="44443">
      <c r="D44443" s="9"/>
      <c r="G44443" s="9"/>
      <c r="J44443" s="11"/>
      <c r="U44443" s="9"/>
      <c r="X44443" s="9"/>
    </row>
    <row r="44444">
      <c r="D44444" s="9"/>
      <c r="G44444" s="9"/>
      <c r="J44444" s="11"/>
      <c r="U44444" s="9"/>
      <c r="X44444" s="9"/>
    </row>
    <row r="44445">
      <c r="D44445" s="9"/>
      <c r="G44445" s="9"/>
      <c r="J44445" s="11"/>
      <c r="U44445" s="9"/>
      <c r="X44445" s="9"/>
    </row>
    <row r="44446">
      <c r="D44446" s="9"/>
      <c r="G44446" s="9"/>
      <c r="J44446" s="11"/>
      <c r="U44446" s="9"/>
      <c r="X44446" s="9"/>
    </row>
    <row r="44447">
      <c r="D44447" s="9"/>
      <c r="G44447" s="9"/>
      <c r="J44447" s="11"/>
      <c r="U44447" s="9"/>
      <c r="X44447" s="9"/>
    </row>
    <row r="44448">
      <c r="D44448" s="9"/>
      <c r="G44448" s="9"/>
      <c r="J44448" s="11"/>
      <c r="U44448" s="9"/>
      <c r="X44448" s="9"/>
    </row>
    <row r="44449">
      <c r="D44449" s="9"/>
      <c r="G44449" s="9"/>
      <c r="J44449" s="11"/>
      <c r="U44449" s="9"/>
      <c r="X44449" s="9"/>
    </row>
    <row r="44450">
      <c r="D44450" s="9"/>
      <c r="G44450" s="9"/>
      <c r="J44450" s="11"/>
      <c r="U44450" s="9"/>
      <c r="X44450" s="9"/>
    </row>
    <row r="44451">
      <c r="D44451" s="9"/>
      <c r="G44451" s="9"/>
      <c r="J44451" s="11"/>
      <c r="U44451" s="9"/>
      <c r="X44451" s="9"/>
    </row>
    <row r="44452">
      <c r="D44452" s="9"/>
      <c r="G44452" s="9"/>
      <c r="J44452" s="11"/>
      <c r="U44452" s="9"/>
      <c r="X44452" s="9"/>
    </row>
    <row r="44453">
      <c r="D44453" s="9"/>
      <c r="G44453" s="9"/>
      <c r="J44453" s="11"/>
      <c r="U44453" s="9"/>
      <c r="X44453" s="9"/>
    </row>
    <row r="44454">
      <c r="D44454" s="9"/>
      <c r="G44454" s="9"/>
      <c r="J44454" s="11"/>
      <c r="U44454" s="9"/>
      <c r="X44454" s="9"/>
    </row>
    <row r="44455">
      <c r="D44455" s="9"/>
      <c r="G44455" s="9"/>
      <c r="J44455" s="11"/>
      <c r="U44455" s="9"/>
      <c r="X44455" s="9"/>
    </row>
    <row r="44456">
      <c r="D44456" s="9"/>
      <c r="G44456" s="9"/>
      <c r="J44456" s="11"/>
      <c r="U44456" s="9"/>
      <c r="X44456" s="9"/>
    </row>
    <row r="44457">
      <c r="D44457" s="9"/>
      <c r="G44457" s="9"/>
      <c r="J44457" s="11"/>
      <c r="U44457" s="9"/>
      <c r="X44457" s="9"/>
    </row>
    <row r="44458">
      <c r="D44458" s="9"/>
      <c r="G44458" s="9"/>
      <c r="J44458" s="11"/>
      <c r="U44458" s="9"/>
      <c r="X44458" s="9"/>
    </row>
    <row r="44459">
      <c r="D44459" s="9"/>
      <c r="G44459" s="9"/>
      <c r="J44459" s="11"/>
      <c r="U44459" s="9"/>
      <c r="X44459" s="9"/>
    </row>
    <row r="44460">
      <c r="D44460" s="9"/>
      <c r="G44460" s="9"/>
      <c r="J44460" s="11"/>
      <c r="U44460" s="9"/>
      <c r="X44460" s="9"/>
    </row>
    <row r="44461">
      <c r="D44461" s="9"/>
      <c r="G44461" s="9"/>
      <c r="J44461" s="11"/>
      <c r="U44461" s="9"/>
      <c r="X44461" s="9"/>
    </row>
    <row r="44462">
      <c r="D44462" s="9"/>
      <c r="G44462" s="9"/>
      <c r="J44462" s="11"/>
      <c r="U44462" s="9"/>
      <c r="X44462" s="9"/>
    </row>
    <row r="44463">
      <c r="D44463" s="9"/>
      <c r="G44463" s="9"/>
      <c r="J44463" s="11"/>
      <c r="U44463" s="9"/>
      <c r="X44463" s="9"/>
    </row>
    <row r="44464">
      <c r="D44464" s="9"/>
      <c r="G44464" s="9"/>
      <c r="J44464" s="11"/>
      <c r="U44464" s="9"/>
      <c r="X44464" s="9"/>
    </row>
    <row r="44465">
      <c r="D44465" s="9"/>
      <c r="G44465" s="9"/>
      <c r="J44465" s="11"/>
      <c r="U44465" s="9"/>
      <c r="X44465" s="9"/>
    </row>
    <row r="44466">
      <c r="D44466" s="9"/>
      <c r="G44466" s="9"/>
      <c r="J44466" s="11"/>
      <c r="U44466" s="9"/>
      <c r="X44466" s="9"/>
    </row>
    <row r="44467">
      <c r="D44467" s="9"/>
      <c r="G44467" s="9"/>
      <c r="J44467" s="11"/>
      <c r="U44467" s="9"/>
      <c r="X44467" s="9"/>
    </row>
    <row r="44468">
      <c r="D44468" s="9"/>
      <c r="G44468" s="9"/>
      <c r="J44468" s="11"/>
      <c r="U44468" s="9"/>
      <c r="X44468" s="9"/>
    </row>
    <row r="44469">
      <c r="D44469" s="9"/>
      <c r="G44469" s="9"/>
      <c r="J44469" s="11"/>
      <c r="U44469" s="9"/>
      <c r="X44469" s="9"/>
    </row>
    <row r="44470">
      <c r="D44470" s="9"/>
      <c r="G44470" s="9"/>
      <c r="J44470" s="11"/>
      <c r="U44470" s="9"/>
      <c r="X44470" s="9"/>
    </row>
    <row r="44471">
      <c r="D44471" s="9"/>
      <c r="G44471" s="9"/>
      <c r="J44471" s="11"/>
      <c r="U44471" s="9"/>
      <c r="X44471" s="9"/>
    </row>
    <row r="44472">
      <c r="D44472" s="9"/>
      <c r="G44472" s="9"/>
      <c r="J44472" s="11"/>
      <c r="U44472" s="9"/>
      <c r="X44472" s="9"/>
    </row>
    <row r="44473">
      <c r="D44473" s="9"/>
      <c r="G44473" s="9"/>
      <c r="J44473" s="11"/>
      <c r="U44473" s="9"/>
      <c r="X44473" s="9"/>
    </row>
    <row r="44474">
      <c r="D44474" s="9"/>
      <c r="G44474" s="9"/>
      <c r="J44474" s="11"/>
      <c r="U44474" s="9"/>
      <c r="X44474" s="9"/>
    </row>
    <row r="44475">
      <c r="D44475" s="9"/>
      <c r="G44475" s="9"/>
      <c r="J44475" s="11"/>
      <c r="U44475" s="9"/>
      <c r="X44475" s="9"/>
    </row>
    <row r="44476">
      <c r="D44476" s="9"/>
      <c r="G44476" s="9"/>
      <c r="J44476" s="11"/>
      <c r="U44476" s="9"/>
      <c r="X44476" s="9"/>
    </row>
    <row r="44477">
      <c r="D44477" s="9"/>
      <c r="G44477" s="9"/>
      <c r="J44477" s="11"/>
      <c r="U44477" s="9"/>
      <c r="X44477" s="9"/>
    </row>
    <row r="44478">
      <c r="D44478" s="9"/>
      <c r="G44478" s="9"/>
      <c r="J44478" s="11"/>
      <c r="U44478" s="9"/>
      <c r="X44478" s="9"/>
    </row>
    <row r="44479">
      <c r="D44479" s="9"/>
      <c r="G44479" s="9"/>
      <c r="J44479" s="11"/>
      <c r="U44479" s="9"/>
      <c r="X44479" s="9"/>
    </row>
    <row r="44480">
      <c r="D44480" s="9"/>
      <c r="G44480" s="9"/>
      <c r="J44480" s="11"/>
      <c r="U44480" s="9"/>
      <c r="X44480" s="9"/>
    </row>
    <row r="44481">
      <c r="D44481" s="9"/>
      <c r="G44481" s="9"/>
      <c r="J44481" s="11"/>
      <c r="U44481" s="9"/>
      <c r="X44481" s="9"/>
    </row>
    <row r="44482">
      <c r="D44482" s="9"/>
      <c r="G44482" s="9"/>
      <c r="J44482" s="11"/>
      <c r="U44482" s="9"/>
      <c r="X44482" s="9"/>
    </row>
    <row r="44483">
      <c r="D44483" s="9"/>
      <c r="G44483" s="9"/>
      <c r="J44483" s="11"/>
      <c r="U44483" s="9"/>
      <c r="X44483" s="9"/>
    </row>
    <row r="44484">
      <c r="D44484" s="9"/>
      <c r="G44484" s="9"/>
      <c r="J44484" s="11"/>
      <c r="U44484" s="9"/>
      <c r="X44484" s="9"/>
    </row>
    <row r="44485">
      <c r="D44485" s="9"/>
      <c r="G44485" s="9"/>
      <c r="J44485" s="11"/>
      <c r="U44485" s="9"/>
      <c r="X44485" s="9"/>
    </row>
    <row r="44486">
      <c r="D44486" s="9"/>
      <c r="G44486" s="9"/>
      <c r="J44486" s="11"/>
      <c r="U44486" s="9"/>
      <c r="X44486" s="9"/>
    </row>
    <row r="44487">
      <c r="D44487" s="9"/>
      <c r="G44487" s="9"/>
      <c r="J44487" s="11"/>
      <c r="U44487" s="9"/>
      <c r="X44487" s="9"/>
    </row>
    <row r="44488">
      <c r="D44488" s="9"/>
      <c r="G44488" s="9"/>
      <c r="J44488" s="11"/>
      <c r="U44488" s="9"/>
      <c r="X44488" s="9"/>
    </row>
    <row r="44489">
      <c r="D44489" s="9"/>
      <c r="G44489" s="9"/>
      <c r="J44489" s="11"/>
      <c r="U44489" s="9"/>
      <c r="X44489" s="9"/>
    </row>
    <row r="44490">
      <c r="D44490" s="9"/>
      <c r="G44490" s="9"/>
      <c r="J44490" s="11"/>
      <c r="U44490" s="9"/>
      <c r="X44490" s="9"/>
    </row>
    <row r="44491">
      <c r="D44491" s="9"/>
      <c r="G44491" s="9"/>
      <c r="J44491" s="11"/>
      <c r="U44491" s="9"/>
      <c r="X44491" s="9"/>
    </row>
    <row r="44492">
      <c r="D44492" s="9"/>
      <c r="G44492" s="9"/>
      <c r="J44492" s="11"/>
      <c r="U44492" s="9"/>
      <c r="X44492" s="9"/>
    </row>
    <row r="44493">
      <c r="D44493" s="9"/>
      <c r="G44493" s="9"/>
      <c r="J44493" s="11"/>
      <c r="U44493" s="9"/>
      <c r="X44493" s="9"/>
    </row>
    <row r="44494">
      <c r="D44494" s="9"/>
      <c r="G44494" s="9"/>
      <c r="J44494" s="11"/>
      <c r="U44494" s="9"/>
      <c r="X44494" s="9"/>
    </row>
    <row r="44495">
      <c r="D44495" s="9"/>
      <c r="G44495" s="9"/>
      <c r="J44495" s="11"/>
      <c r="U44495" s="9"/>
      <c r="X44495" s="9"/>
    </row>
    <row r="44496">
      <c r="D44496" s="9"/>
      <c r="G44496" s="9"/>
      <c r="J44496" s="11"/>
      <c r="U44496" s="9"/>
      <c r="X44496" s="9"/>
    </row>
    <row r="44497">
      <c r="D44497" s="9"/>
      <c r="G44497" s="9"/>
      <c r="J44497" s="11"/>
      <c r="U44497" s="9"/>
      <c r="X44497" s="9"/>
    </row>
    <row r="44498">
      <c r="D44498" s="9"/>
      <c r="G44498" s="9"/>
      <c r="J44498" s="11"/>
      <c r="U44498" s="9"/>
      <c r="X44498" s="9"/>
    </row>
    <row r="44499">
      <c r="D44499" s="9"/>
      <c r="G44499" s="9"/>
      <c r="J44499" s="11"/>
      <c r="U44499" s="9"/>
      <c r="X44499" s="9"/>
    </row>
    <row r="44500">
      <c r="D44500" s="9"/>
      <c r="G44500" s="9"/>
      <c r="J44500" s="11"/>
      <c r="U44500" s="9"/>
      <c r="X44500" s="9"/>
    </row>
    <row r="44501">
      <c r="D44501" s="9"/>
      <c r="G44501" s="9"/>
      <c r="J44501" s="11"/>
      <c r="U44501" s="9"/>
      <c r="X44501" s="9"/>
    </row>
    <row r="44502">
      <c r="D44502" s="9"/>
      <c r="G44502" s="9"/>
      <c r="J44502" s="11"/>
      <c r="U44502" s="9"/>
      <c r="X44502" s="9"/>
    </row>
    <row r="44503">
      <c r="D44503" s="9"/>
      <c r="G44503" s="9"/>
      <c r="J44503" s="11"/>
      <c r="U44503" s="9"/>
      <c r="X44503" s="9"/>
    </row>
    <row r="44504">
      <c r="D44504" s="9"/>
      <c r="G44504" s="9"/>
      <c r="J44504" s="11"/>
      <c r="U44504" s="9"/>
      <c r="X44504" s="9"/>
    </row>
    <row r="44505">
      <c r="D44505" s="9"/>
      <c r="G44505" s="9"/>
      <c r="J44505" s="11"/>
      <c r="U44505" s="9"/>
      <c r="X44505" s="9"/>
    </row>
    <row r="44506">
      <c r="D44506" s="9"/>
      <c r="G44506" s="9"/>
      <c r="J44506" s="11"/>
      <c r="U44506" s="9"/>
      <c r="X44506" s="9"/>
    </row>
    <row r="44507">
      <c r="D44507" s="9"/>
      <c r="G44507" s="9"/>
      <c r="J44507" s="11"/>
      <c r="U44507" s="9"/>
      <c r="X44507" s="9"/>
    </row>
    <row r="44508">
      <c r="D44508" s="9"/>
      <c r="G44508" s="9"/>
      <c r="J44508" s="11"/>
      <c r="U44508" s="9"/>
      <c r="X44508" s="9"/>
    </row>
    <row r="44509">
      <c r="D44509" s="9"/>
      <c r="G44509" s="9"/>
      <c r="J44509" s="11"/>
      <c r="U44509" s="9"/>
      <c r="X44509" s="9"/>
    </row>
    <row r="44510">
      <c r="D44510" s="9"/>
      <c r="G44510" s="9"/>
      <c r="J44510" s="11"/>
      <c r="U44510" s="9"/>
      <c r="X44510" s="9"/>
    </row>
    <row r="44511">
      <c r="D44511" s="9"/>
      <c r="G44511" s="9"/>
      <c r="J44511" s="11"/>
      <c r="U44511" s="9"/>
      <c r="X44511" s="9"/>
    </row>
    <row r="44512">
      <c r="D44512" s="9"/>
      <c r="G44512" s="9"/>
      <c r="J44512" s="11"/>
      <c r="U44512" s="9"/>
      <c r="X44512" s="9"/>
    </row>
    <row r="44513">
      <c r="D44513" s="9"/>
      <c r="G44513" s="9"/>
      <c r="J44513" s="11"/>
      <c r="U44513" s="9"/>
      <c r="X44513" s="9"/>
    </row>
    <row r="44514">
      <c r="D44514" s="9"/>
      <c r="G44514" s="9"/>
      <c r="J44514" s="11"/>
      <c r="U44514" s="9"/>
      <c r="X44514" s="9"/>
    </row>
    <row r="44515">
      <c r="D44515" s="9"/>
      <c r="G44515" s="9"/>
      <c r="J44515" s="11"/>
      <c r="U44515" s="9"/>
      <c r="X44515" s="9"/>
    </row>
    <row r="44516">
      <c r="D44516" s="9"/>
      <c r="G44516" s="9"/>
      <c r="J44516" s="11"/>
      <c r="U44516" s="9"/>
      <c r="X44516" s="9"/>
    </row>
    <row r="44517">
      <c r="D44517" s="9"/>
      <c r="G44517" s="9"/>
      <c r="J44517" s="11"/>
      <c r="U44517" s="9"/>
      <c r="X44517" s="9"/>
    </row>
    <row r="44518">
      <c r="D44518" s="9"/>
      <c r="G44518" s="9"/>
      <c r="J44518" s="11"/>
      <c r="U44518" s="9"/>
      <c r="X44518" s="9"/>
    </row>
    <row r="44519">
      <c r="D44519" s="9"/>
      <c r="G44519" s="9"/>
      <c r="J44519" s="11"/>
      <c r="U44519" s="9"/>
      <c r="X44519" s="9"/>
    </row>
    <row r="44520">
      <c r="D44520" s="9"/>
      <c r="G44520" s="9"/>
      <c r="J44520" s="11"/>
      <c r="U44520" s="9"/>
      <c r="X44520" s="9"/>
    </row>
    <row r="44521">
      <c r="D44521" s="9"/>
      <c r="G44521" s="9"/>
      <c r="J44521" s="11"/>
      <c r="U44521" s="9"/>
      <c r="X44521" s="9"/>
    </row>
    <row r="44522">
      <c r="D44522" s="9"/>
      <c r="G44522" s="9"/>
      <c r="J44522" s="11"/>
      <c r="U44522" s="9"/>
      <c r="X44522" s="9"/>
    </row>
    <row r="44523">
      <c r="D44523" s="9"/>
      <c r="G44523" s="9"/>
      <c r="J44523" s="11"/>
      <c r="U44523" s="9"/>
      <c r="X44523" s="9"/>
    </row>
    <row r="44524">
      <c r="D44524" s="9"/>
      <c r="G44524" s="9"/>
      <c r="J44524" s="11"/>
      <c r="U44524" s="9"/>
      <c r="X44524" s="9"/>
    </row>
    <row r="44525">
      <c r="D44525" s="9"/>
      <c r="G44525" s="9"/>
      <c r="J44525" s="11"/>
      <c r="U44525" s="9"/>
      <c r="X44525" s="9"/>
    </row>
    <row r="44526">
      <c r="D44526" s="9"/>
      <c r="G44526" s="9"/>
      <c r="J44526" s="11"/>
      <c r="U44526" s="9"/>
      <c r="X44526" s="9"/>
    </row>
    <row r="44527">
      <c r="D44527" s="9"/>
      <c r="G44527" s="9"/>
      <c r="J44527" s="11"/>
      <c r="U44527" s="9"/>
      <c r="X44527" s="9"/>
    </row>
    <row r="44528">
      <c r="D44528" s="9"/>
      <c r="G44528" s="9"/>
      <c r="J44528" s="11"/>
      <c r="U44528" s="9"/>
      <c r="X44528" s="9"/>
    </row>
    <row r="44529">
      <c r="D44529" s="9"/>
      <c r="G44529" s="9"/>
      <c r="J44529" s="11"/>
      <c r="U44529" s="9"/>
      <c r="X44529" s="9"/>
    </row>
    <row r="44530">
      <c r="D44530" s="9"/>
      <c r="G44530" s="9"/>
      <c r="J44530" s="11"/>
      <c r="U44530" s="9"/>
      <c r="X44530" s="9"/>
    </row>
    <row r="44531">
      <c r="D44531" s="9"/>
      <c r="G44531" s="9"/>
      <c r="J44531" s="11"/>
      <c r="U44531" s="9"/>
      <c r="X44531" s="9"/>
    </row>
    <row r="44532">
      <c r="D44532" s="9"/>
      <c r="G44532" s="9"/>
      <c r="J44532" s="11"/>
      <c r="U44532" s="9"/>
      <c r="X44532" s="9"/>
    </row>
    <row r="44533">
      <c r="D44533" s="9"/>
      <c r="G44533" s="9"/>
      <c r="J44533" s="11"/>
      <c r="U44533" s="9"/>
      <c r="X44533" s="9"/>
    </row>
    <row r="44534">
      <c r="D44534" s="9"/>
      <c r="G44534" s="9"/>
      <c r="J44534" s="11"/>
      <c r="U44534" s="9"/>
      <c r="X44534" s="9"/>
    </row>
    <row r="44535">
      <c r="D44535" s="9"/>
      <c r="G44535" s="9"/>
      <c r="J44535" s="11"/>
      <c r="U44535" s="9"/>
      <c r="X44535" s="9"/>
    </row>
    <row r="44536">
      <c r="D44536" s="9"/>
      <c r="G44536" s="9"/>
      <c r="J44536" s="11"/>
      <c r="U44536" s="9"/>
      <c r="X44536" s="9"/>
    </row>
    <row r="44537">
      <c r="D44537" s="9"/>
      <c r="G44537" s="9"/>
      <c r="J44537" s="11"/>
      <c r="U44537" s="9"/>
      <c r="X44537" s="9"/>
    </row>
    <row r="44538">
      <c r="D44538" s="9"/>
      <c r="G44538" s="9"/>
      <c r="J44538" s="11"/>
      <c r="U44538" s="9"/>
      <c r="X44538" s="9"/>
    </row>
    <row r="44539">
      <c r="D44539" s="9"/>
      <c r="G44539" s="9"/>
      <c r="J44539" s="11"/>
      <c r="U44539" s="9"/>
      <c r="X44539" s="9"/>
    </row>
    <row r="44540">
      <c r="D44540" s="9"/>
      <c r="G44540" s="9"/>
      <c r="J44540" s="11"/>
      <c r="U44540" s="9"/>
      <c r="X44540" s="9"/>
    </row>
    <row r="44541">
      <c r="D44541" s="9"/>
      <c r="G44541" s="9"/>
      <c r="J44541" s="11"/>
      <c r="U44541" s="9"/>
      <c r="X44541" s="9"/>
    </row>
    <row r="44542">
      <c r="D44542" s="9"/>
      <c r="G44542" s="9"/>
      <c r="J44542" s="11"/>
      <c r="U44542" s="9"/>
      <c r="X44542" s="9"/>
    </row>
    <row r="44543">
      <c r="D44543" s="9"/>
      <c r="G44543" s="9"/>
      <c r="J44543" s="11"/>
      <c r="U44543" s="9"/>
      <c r="X44543" s="9"/>
    </row>
    <row r="44544">
      <c r="D44544" s="9"/>
      <c r="G44544" s="9"/>
      <c r="J44544" s="11"/>
      <c r="U44544" s="9"/>
      <c r="X44544" s="9"/>
    </row>
    <row r="44545">
      <c r="D44545" s="9"/>
      <c r="G44545" s="9"/>
      <c r="J44545" s="11"/>
      <c r="U44545" s="9"/>
      <c r="X44545" s="9"/>
    </row>
    <row r="44546">
      <c r="D44546" s="9"/>
      <c r="G44546" s="9"/>
      <c r="J44546" s="11"/>
      <c r="U44546" s="9"/>
      <c r="X44546" s="9"/>
    </row>
    <row r="44547">
      <c r="D44547" s="9"/>
      <c r="G44547" s="9"/>
      <c r="J44547" s="11"/>
      <c r="U44547" s="9"/>
      <c r="X44547" s="9"/>
    </row>
    <row r="44548">
      <c r="D44548" s="9"/>
      <c r="G44548" s="9"/>
      <c r="J44548" s="11"/>
      <c r="U44548" s="9"/>
      <c r="X44548" s="9"/>
    </row>
    <row r="44549">
      <c r="D44549" s="9"/>
      <c r="G44549" s="9"/>
      <c r="J44549" s="11"/>
      <c r="U44549" s="9"/>
      <c r="X44549" s="9"/>
    </row>
    <row r="44550">
      <c r="D44550" s="9"/>
      <c r="G44550" s="9"/>
      <c r="J44550" s="11"/>
      <c r="U44550" s="9"/>
      <c r="X44550" s="9"/>
    </row>
    <row r="44551">
      <c r="D44551" s="9"/>
      <c r="G44551" s="9"/>
      <c r="J44551" s="11"/>
      <c r="U44551" s="9"/>
      <c r="X44551" s="9"/>
    </row>
    <row r="44552">
      <c r="D44552" s="9"/>
      <c r="G44552" s="9"/>
      <c r="J44552" s="11"/>
      <c r="U44552" s="9"/>
      <c r="X44552" s="9"/>
    </row>
    <row r="44553">
      <c r="D44553" s="9"/>
      <c r="G44553" s="9"/>
      <c r="J44553" s="11"/>
      <c r="U44553" s="9"/>
      <c r="X44553" s="9"/>
    </row>
    <row r="44554">
      <c r="D44554" s="9"/>
      <c r="G44554" s="9"/>
      <c r="J44554" s="11"/>
      <c r="U44554" s="9"/>
      <c r="X44554" s="9"/>
    </row>
    <row r="44555">
      <c r="D44555" s="9"/>
      <c r="G44555" s="9"/>
      <c r="J44555" s="11"/>
      <c r="U44555" s="9"/>
      <c r="X44555" s="9"/>
    </row>
    <row r="44556">
      <c r="D44556" s="9"/>
      <c r="G44556" s="9"/>
      <c r="J44556" s="11"/>
      <c r="U44556" s="9"/>
      <c r="X44556" s="9"/>
    </row>
    <row r="44557">
      <c r="D44557" s="9"/>
      <c r="G44557" s="9"/>
      <c r="J44557" s="11"/>
      <c r="U44557" s="9"/>
      <c r="X44557" s="9"/>
    </row>
    <row r="44558">
      <c r="D44558" s="9"/>
      <c r="G44558" s="9"/>
      <c r="J44558" s="11"/>
      <c r="U44558" s="9"/>
      <c r="X44558" s="9"/>
    </row>
    <row r="44559">
      <c r="D44559" s="9"/>
      <c r="G44559" s="9"/>
      <c r="J44559" s="11"/>
      <c r="U44559" s="9"/>
      <c r="X44559" s="9"/>
    </row>
    <row r="44560">
      <c r="D44560" s="9"/>
      <c r="G44560" s="9"/>
      <c r="J44560" s="11"/>
      <c r="U44560" s="9"/>
      <c r="X44560" s="9"/>
    </row>
    <row r="44561">
      <c r="D44561" s="9"/>
      <c r="G44561" s="9"/>
      <c r="J44561" s="11"/>
      <c r="U44561" s="9"/>
      <c r="X44561" s="9"/>
    </row>
    <row r="44562">
      <c r="D44562" s="9"/>
      <c r="G44562" s="9"/>
      <c r="J44562" s="11"/>
      <c r="U44562" s="9"/>
      <c r="X44562" s="9"/>
    </row>
    <row r="44563">
      <c r="D44563" s="9"/>
      <c r="G44563" s="9"/>
      <c r="J44563" s="11"/>
      <c r="U44563" s="9"/>
      <c r="X44563" s="9"/>
    </row>
    <row r="44564">
      <c r="D44564" s="9"/>
      <c r="G44564" s="9"/>
      <c r="J44564" s="11"/>
      <c r="U44564" s="9"/>
      <c r="X44564" s="9"/>
    </row>
    <row r="44565">
      <c r="D44565" s="9"/>
      <c r="G44565" s="9"/>
      <c r="J44565" s="11"/>
      <c r="U44565" s="9"/>
      <c r="X44565" s="9"/>
    </row>
    <row r="44566">
      <c r="D44566" s="9"/>
      <c r="G44566" s="9"/>
      <c r="J44566" s="11"/>
      <c r="U44566" s="9"/>
      <c r="X44566" s="9"/>
    </row>
    <row r="44567">
      <c r="D44567" s="9"/>
      <c r="G44567" s="9"/>
      <c r="J44567" s="11"/>
      <c r="U44567" s="9"/>
      <c r="X44567" s="9"/>
    </row>
    <row r="44568">
      <c r="D44568" s="9"/>
      <c r="G44568" s="9"/>
      <c r="J44568" s="11"/>
      <c r="U44568" s="9"/>
      <c r="X44568" s="9"/>
    </row>
    <row r="44569">
      <c r="D44569" s="9"/>
      <c r="G44569" s="9"/>
      <c r="J44569" s="11"/>
      <c r="U44569" s="9"/>
      <c r="X44569" s="9"/>
    </row>
    <row r="44570">
      <c r="D44570" s="9"/>
      <c r="G44570" s="9"/>
      <c r="J44570" s="11"/>
      <c r="U44570" s="9"/>
      <c r="X44570" s="9"/>
    </row>
    <row r="44571">
      <c r="D44571" s="9"/>
      <c r="G44571" s="9"/>
      <c r="J44571" s="11"/>
      <c r="U44571" s="9"/>
      <c r="X44571" s="9"/>
    </row>
    <row r="44572">
      <c r="D44572" s="9"/>
      <c r="G44572" s="9"/>
      <c r="J44572" s="11"/>
      <c r="U44572" s="9"/>
      <c r="X44572" s="9"/>
    </row>
    <row r="44573">
      <c r="D44573" s="9"/>
      <c r="G44573" s="9"/>
      <c r="J44573" s="11"/>
      <c r="U44573" s="9"/>
      <c r="X44573" s="9"/>
    </row>
    <row r="44574">
      <c r="D44574" s="9"/>
      <c r="G44574" s="9"/>
      <c r="J44574" s="11"/>
      <c r="U44574" s="9"/>
      <c r="X44574" s="9"/>
    </row>
    <row r="44575">
      <c r="D44575" s="9"/>
      <c r="G44575" s="9"/>
      <c r="J44575" s="11"/>
      <c r="U44575" s="9"/>
      <c r="X44575" s="9"/>
    </row>
    <row r="44576">
      <c r="D44576" s="9"/>
      <c r="G44576" s="9"/>
      <c r="J44576" s="11"/>
      <c r="U44576" s="9"/>
      <c r="X44576" s="9"/>
    </row>
    <row r="44577">
      <c r="D44577" s="9"/>
      <c r="G44577" s="9"/>
      <c r="J44577" s="11"/>
      <c r="U44577" s="9"/>
      <c r="X44577" s="9"/>
    </row>
    <row r="44578">
      <c r="D44578" s="9"/>
      <c r="G44578" s="9"/>
      <c r="J44578" s="11"/>
      <c r="U44578" s="9"/>
      <c r="X44578" s="9"/>
    </row>
    <row r="44579">
      <c r="D44579" s="9"/>
      <c r="G44579" s="9"/>
      <c r="J44579" s="11"/>
      <c r="U44579" s="9"/>
      <c r="X44579" s="9"/>
    </row>
    <row r="44580">
      <c r="D44580" s="9"/>
      <c r="G44580" s="9"/>
      <c r="J44580" s="11"/>
      <c r="U44580" s="9"/>
      <c r="X44580" s="9"/>
    </row>
    <row r="44581">
      <c r="D44581" s="9"/>
      <c r="G44581" s="9"/>
      <c r="J44581" s="11"/>
      <c r="U44581" s="9"/>
      <c r="X44581" s="9"/>
    </row>
    <row r="44582">
      <c r="D44582" s="9"/>
      <c r="G44582" s="9"/>
      <c r="J44582" s="11"/>
      <c r="U44582" s="9"/>
      <c r="X44582" s="9"/>
    </row>
    <row r="44583">
      <c r="D44583" s="9"/>
      <c r="G44583" s="9"/>
      <c r="J44583" s="11"/>
      <c r="U44583" s="9"/>
      <c r="X44583" s="9"/>
    </row>
    <row r="44584">
      <c r="D44584" s="9"/>
      <c r="G44584" s="9"/>
      <c r="J44584" s="11"/>
      <c r="U44584" s="9"/>
      <c r="X44584" s="9"/>
    </row>
    <row r="44585">
      <c r="D44585" s="9"/>
      <c r="G44585" s="9"/>
      <c r="J44585" s="11"/>
      <c r="U44585" s="9"/>
      <c r="X44585" s="9"/>
    </row>
    <row r="44586">
      <c r="D44586" s="9"/>
      <c r="G44586" s="9"/>
      <c r="J44586" s="11"/>
      <c r="U44586" s="9"/>
      <c r="X44586" s="9"/>
    </row>
    <row r="44587">
      <c r="D44587" s="9"/>
      <c r="G44587" s="9"/>
      <c r="J44587" s="11"/>
      <c r="U44587" s="9"/>
      <c r="X44587" s="9"/>
    </row>
    <row r="44588">
      <c r="D44588" s="9"/>
      <c r="G44588" s="9"/>
      <c r="J44588" s="11"/>
      <c r="U44588" s="9"/>
      <c r="X44588" s="9"/>
    </row>
    <row r="44589">
      <c r="D44589" s="9"/>
      <c r="G44589" s="9"/>
      <c r="J44589" s="11"/>
      <c r="U44589" s="9"/>
      <c r="X44589" s="9"/>
    </row>
    <row r="44590">
      <c r="D44590" s="9"/>
      <c r="G44590" s="9"/>
      <c r="J44590" s="11"/>
      <c r="U44590" s="9"/>
      <c r="X44590" s="9"/>
    </row>
    <row r="44591">
      <c r="D44591" s="9"/>
      <c r="G44591" s="9"/>
      <c r="J44591" s="11"/>
      <c r="U44591" s="9"/>
      <c r="X44591" s="9"/>
    </row>
    <row r="44592">
      <c r="D44592" s="9"/>
      <c r="G44592" s="9"/>
      <c r="J44592" s="11"/>
      <c r="U44592" s="9"/>
      <c r="X44592" s="9"/>
    </row>
    <row r="44593">
      <c r="D44593" s="9"/>
      <c r="G44593" s="9"/>
      <c r="J44593" s="11"/>
      <c r="U44593" s="9"/>
      <c r="X44593" s="9"/>
    </row>
    <row r="44594">
      <c r="D44594" s="9"/>
      <c r="G44594" s="9"/>
      <c r="J44594" s="11"/>
      <c r="U44594" s="9"/>
      <c r="X44594" s="9"/>
    </row>
    <row r="44595">
      <c r="D44595" s="9"/>
      <c r="G44595" s="9"/>
      <c r="J44595" s="11"/>
      <c r="U44595" s="9"/>
      <c r="X44595" s="9"/>
    </row>
    <row r="44596">
      <c r="D44596" s="9"/>
      <c r="G44596" s="9"/>
      <c r="J44596" s="11"/>
      <c r="U44596" s="9"/>
      <c r="X44596" s="9"/>
    </row>
    <row r="44597">
      <c r="D44597" s="9"/>
      <c r="G44597" s="9"/>
      <c r="J44597" s="11"/>
      <c r="U44597" s="9"/>
      <c r="X44597" s="9"/>
    </row>
    <row r="44598">
      <c r="D44598" s="9"/>
      <c r="G44598" s="9"/>
      <c r="J44598" s="11"/>
      <c r="U44598" s="9"/>
      <c r="X44598" s="9"/>
    </row>
    <row r="44599">
      <c r="D44599" s="9"/>
      <c r="G44599" s="9"/>
      <c r="J44599" s="11"/>
      <c r="U44599" s="9"/>
      <c r="X44599" s="9"/>
    </row>
    <row r="44600">
      <c r="D44600" s="9"/>
      <c r="G44600" s="9"/>
      <c r="J44600" s="11"/>
      <c r="U44600" s="9"/>
      <c r="X44600" s="9"/>
    </row>
    <row r="44601">
      <c r="D44601" s="9"/>
      <c r="G44601" s="9"/>
      <c r="J44601" s="11"/>
      <c r="U44601" s="9"/>
      <c r="X44601" s="9"/>
    </row>
    <row r="44602">
      <c r="D44602" s="9"/>
      <c r="G44602" s="9"/>
      <c r="J44602" s="11"/>
      <c r="U44602" s="9"/>
      <c r="X44602" s="9"/>
    </row>
    <row r="44603">
      <c r="D44603" s="9"/>
      <c r="G44603" s="9"/>
      <c r="J44603" s="11"/>
      <c r="U44603" s="9"/>
      <c r="X44603" s="9"/>
    </row>
    <row r="44604">
      <c r="D44604" s="9"/>
      <c r="G44604" s="9"/>
      <c r="J44604" s="11"/>
      <c r="U44604" s="9"/>
      <c r="X44604" s="9"/>
    </row>
    <row r="44605">
      <c r="D44605" s="9"/>
      <c r="G44605" s="9"/>
      <c r="J44605" s="11"/>
      <c r="U44605" s="9"/>
      <c r="X44605" s="9"/>
    </row>
    <row r="44606">
      <c r="D44606" s="9"/>
      <c r="G44606" s="9"/>
      <c r="J44606" s="11"/>
      <c r="U44606" s="9"/>
      <c r="X44606" s="9"/>
    </row>
    <row r="44607">
      <c r="D44607" s="9"/>
      <c r="G44607" s="9"/>
      <c r="J44607" s="11"/>
      <c r="U44607" s="9"/>
      <c r="X44607" s="9"/>
    </row>
    <row r="44608">
      <c r="D44608" s="9"/>
      <c r="G44608" s="9"/>
      <c r="J44608" s="11"/>
      <c r="U44608" s="9"/>
      <c r="X44608" s="9"/>
    </row>
    <row r="44609">
      <c r="D44609" s="9"/>
      <c r="G44609" s="9"/>
      <c r="J44609" s="11"/>
      <c r="U44609" s="9"/>
      <c r="X44609" s="9"/>
    </row>
    <row r="44610">
      <c r="D44610" s="9"/>
      <c r="G44610" s="9"/>
      <c r="J44610" s="11"/>
      <c r="U44610" s="9"/>
      <c r="X44610" s="9"/>
    </row>
    <row r="44611">
      <c r="D44611" s="9"/>
      <c r="G44611" s="9"/>
      <c r="J44611" s="11"/>
      <c r="U44611" s="9"/>
      <c r="X44611" s="9"/>
    </row>
    <row r="44612">
      <c r="D44612" s="9"/>
      <c r="G44612" s="9"/>
      <c r="J44612" s="11"/>
      <c r="U44612" s="9"/>
      <c r="X44612" s="9"/>
    </row>
    <row r="44613">
      <c r="D44613" s="9"/>
      <c r="G44613" s="9"/>
      <c r="J44613" s="11"/>
      <c r="U44613" s="9"/>
      <c r="X44613" s="9"/>
    </row>
    <row r="44614">
      <c r="D44614" s="9"/>
      <c r="G44614" s="9"/>
      <c r="J44614" s="11"/>
      <c r="U44614" s="9"/>
      <c r="X44614" s="9"/>
    </row>
    <row r="44615">
      <c r="D44615" s="9"/>
      <c r="G44615" s="9"/>
      <c r="J44615" s="11"/>
      <c r="U44615" s="9"/>
      <c r="X44615" s="9"/>
    </row>
    <row r="44616">
      <c r="D44616" s="9"/>
      <c r="G44616" s="9"/>
      <c r="J44616" s="11"/>
      <c r="U44616" s="9"/>
      <c r="X44616" s="9"/>
    </row>
    <row r="44617">
      <c r="D44617" s="9"/>
      <c r="G44617" s="9"/>
      <c r="J44617" s="11"/>
      <c r="U44617" s="9"/>
      <c r="X44617" s="9"/>
    </row>
    <row r="44618">
      <c r="D44618" s="9"/>
      <c r="G44618" s="9"/>
      <c r="J44618" s="11"/>
      <c r="U44618" s="9"/>
      <c r="X44618" s="9"/>
    </row>
    <row r="44619">
      <c r="D44619" s="9"/>
      <c r="G44619" s="9"/>
      <c r="J44619" s="11"/>
      <c r="U44619" s="9"/>
      <c r="X44619" s="9"/>
    </row>
    <row r="44620">
      <c r="D44620" s="9"/>
      <c r="G44620" s="9"/>
      <c r="J44620" s="11"/>
      <c r="U44620" s="9"/>
      <c r="X44620" s="9"/>
    </row>
    <row r="44621">
      <c r="D44621" s="9"/>
      <c r="G44621" s="9"/>
      <c r="J44621" s="11"/>
      <c r="U44621" s="9"/>
      <c r="X44621" s="9"/>
    </row>
    <row r="44622">
      <c r="D44622" s="9"/>
      <c r="G44622" s="9"/>
      <c r="J44622" s="11"/>
      <c r="U44622" s="9"/>
      <c r="X44622" s="9"/>
    </row>
    <row r="44623">
      <c r="D44623" s="9"/>
      <c r="G44623" s="9"/>
      <c r="J44623" s="11"/>
      <c r="U44623" s="9"/>
      <c r="X44623" s="9"/>
    </row>
    <row r="44624">
      <c r="D44624" s="9"/>
      <c r="G44624" s="9"/>
      <c r="J44624" s="11"/>
      <c r="U44624" s="9"/>
      <c r="X44624" s="9"/>
    </row>
    <row r="44625">
      <c r="D44625" s="9"/>
      <c r="G44625" s="9"/>
      <c r="J44625" s="11"/>
      <c r="U44625" s="9"/>
      <c r="X44625" s="9"/>
    </row>
    <row r="44626">
      <c r="D44626" s="9"/>
      <c r="G44626" s="9"/>
      <c r="J44626" s="11"/>
      <c r="U44626" s="9"/>
      <c r="X44626" s="9"/>
    </row>
    <row r="44627">
      <c r="D44627" s="9"/>
      <c r="G44627" s="9"/>
      <c r="J44627" s="11"/>
      <c r="U44627" s="9"/>
      <c r="X44627" s="9"/>
    </row>
    <row r="44628">
      <c r="D44628" s="9"/>
      <c r="G44628" s="9"/>
      <c r="J44628" s="11"/>
      <c r="U44628" s="9"/>
      <c r="X44628" s="9"/>
    </row>
    <row r="44629">
      <c r="D44629" s="9"/>
      <c r="G44629" s="9"/>
      <c r="J44629" s="11"/>
      <c r="U44629" s="9"/>
      <c r="X44629" s="9"/>
    </row>
    <row r="44630">
      <c r="D44630" s="9"/>
      <c r="G44630" s="9"/>
      <c r="J44630" s="11"/>
      <c r="U44630" s="9"/>
      <c r="X44630" s="9"/>
    </row>
    <row r="44631">
      <c r="D44631" s="9"/>
      <c r="G44631" s="9"/>
      <c r="J44631" s="11"/>
      <c r="U44631" s="9"/>
      <c r="X44631" s="9"/>
    </row>
    <row r="44632">
      <c r="D44632" s="9"/>
      <c r="G44632" s="9"/>
      <c r="J44632" s="11"/>
      <c r="U44632" s="9"/>
      <c r="X44632" s="9"/>
    </row>
    <row r="44633">
      <c r="D44633" s="9"/>
      <c r="G44633" s="9"/>
      <c r="J44633" s="11"/>
      <c r="U44633" s="9"/>
      <c r="X44633" s="9"/>
    </row>
    <row r="44634">
      <c r="D44634" s="9"/>
      <c r="G44634" s="9"/>
      <c r="J44634" s="11"/>
      <c r="U44634" s="9"/>
      <c r="X44634" s="9"/>
    </row>
    <row r="44635">
      <c r="D44635" s="9"/>
      <c r="G44635" s="9"/>
      <c r="J44635" s="11"/>
      <c r="U44635" s="9"/>
      <c r="X44635" s="9"/>
    </row>
    <row r="44636">
      <c r="D44636" s="9"/>
      <c r="G44636" s="9"/>
      <c r="J44636" s="11"/>
      <c r="U44636" s="9"/>
      <c r="X44636" s="9"/>
    </row>
    <row r="44637">
      <c r="D44637" s="9"/>
      <c r="G44637" s="9"/>
      <c r="J44637" s="11"/>
      <c r="U44637" s="9"/>
      <c r="X44637" s="9"/>
    </row>
    <row r="44638">
      <c r="D44638" s="9"/>
      <c r="G44638" s="9"/>
      <c r="J44638" s="11"/>
      <c r="U44638" s="9"/>
      <c r="X44638" s="9"/>
    </row>
    <row r="44639">
      <c r="D44639" s="9"/>
      <c r="G44639" s="9"/>
      <c r="J44639" s="11"/>
      <c r="U44639" s="9"/>
      <c r="X44639" s="9"/>
    </row>
    <row r="44640">
      <c r="D44640" s="9"/>
      <c r="G44640" s="9"/>
      <c r="J44640" s="11"/>
      <c r="U44640" s="9"/>
      <c r="X44640" s="9"/>
    </row>
    <row r="44641">
      <c r="D44641" s="9"/>
      <c r="G44641" s="9"/>
      <c r="J44641" s="11"/>
      <c r="U44641" s="9"/>
      <c r="X44641" s="9"/>
    </row>
    <row r="44642">
      <c r="D44642" s="9"/>
      <c r="G44642" s="9"/>
      <c r="J44642" s="11"/>
      <c r="U44642" s="9"/>
      <c r="X44642" s="9"/>
    </row>
    <row r="44643">
      <c r="D44643" s="9"/>
      <c r="G44643" s="9"/>
      <c r="J44643" s="11"/>
      <c r="U44643" s="9"/>
      <c r="X44643" s="9"/>
    </row>
    <row r="44644">
      <c r="D44644" s="9"/>
      <c r="G44644" s="9"/>
      <c r="J44644" s="11"/>
      <c r="U44644" s="9"/>
      <c r="X44644" s="9"/>
    </row>
    <row r="44645">
      <c r="D44645" s="9"/>
      <c r="G44645" s="9"/>
      <c r="J44645" s="11"/>
      <c r="U44645" s="9"/>
      <c r="X44645" s="9"/>
    </row>
    <row r="44646">
      <c r="D44646" s="9"/>
      <c r="G44646" s="9"/>
      <c r="J44646" s="11"/>
      <c r="U44646" s="9"/>
      <c r="X44646" s="9"/>
    </row>
    <row r="44647">
      <c r="D44647" s="9"/>
      <c r="G44647" s="9"/>
      <c r="J44647" s="11"/>
      <c r="U44647" s="9"/>
      <c r="X44647" s="9"/>
    </row>
    <row r="44648">
      <c r="D44648" s="9"/>
      <c r="G44648" s="9"/>
      <c r="J44648" s="11"/>
      <c r="U44648" s="9"/>
      <c r="X44648" s="9"/>
    </row>
    <row r="44649">
      <c r="D44649" s="9"/>
      <c r="G44649" s="9"/>
      <c r="J44649" s="11"/>
      <c r="U44649" s="9"/>
      <c r="X44649" s="9"/>
    </row>
    <row r="44650">
      <c r="D44650" s="9"/>
      <c r="G44650" s="9"/>
      <c r="J44650" s="11"/>
      <c r="U44650" s="9"/>
      <c r="X44650" s="9"/>
    </row>
    <row r="44651">
      <c r="D44651" s="9"/>
      <c r="G44651" s="9"/>
      <c r="J44651" s="11"/>
      <c r="U44651" s="9"/>
      <c r="X44651" s="9"/>
    </row>
    <row r="44652">
      <c r="D44652" s="9"/>
      <c r="G44652" s="9"/>
      <c r="J44652" s="11"/>
      <c r="U44652" s="9"/>
      <c r="X44652" s="9"/>
    </row>
    <row r="44653">
      <c r="D44653" s="9"/>
      <c r="G44653" s="9"/>
      <c r="J44653" s="11"/>
      <c r="U44653" s="9"/>
      <c r="X44653" s="9"/>
    </row>
    <row r="44654">
      <c r="D44654" s="9"/>
      <c r="G44654" s="9"/>
      <c r="J44654" s="11"/>
      <c r="U44654" s="9"/>
      <c r="X44654" s="9"/>
    </row>
    <row r="44655">
      <c r="D44655" s="9"/>
      <c r="G44655" s="9"/>
      <c r="J44655" s="11"/>
      <c r="U44655" s="9"/>
      <c r="X44655" s="9"/>
    </row>
    <row r="44656">
      <c r="D44656" s="9"/>
      <c r="G44656" s="9"/>
      <c r="J44656" s="11"/>
      <c r="U44656" s="9"/>
      <c r="X44656" s="9"/>
    </row>
    <row r="44657">
      <c r="D44657" s="9"/>
      <c r="G44657" s="9"/>
      <c r="J44657" s="11"/>
      <c r="U44657" s="9"/>
      <c r="X44657" s="9"/>
    </row>
    <row r="44658">
      <c r="D44658" s="9"/>
      <c r="G44658" s="9"/>
      <c r="J44658" s="11"/>
      <c r="U44658" s="9"/>
      <c r="X44658" s="9"/>
    </row>
    <row r="44659">
      <c r="D44659" s="9"/>
      <c r="G44659" s="9"/>
      <c r="J44659" s="11"/>
      <c r="U44659" s="9"/>
      <c r="X44659" s="9"/>
    </row>
    <row r="44660">
      <c r="D44660" s="9"/>
      <c r="G44660" s="9"/>
      <c r="J44660" s="11"/>
      <c r="U44660" s="9"/>
      <c r="X44660" s="9"/>
    </row>
    <row r="44661">
      <c r="D44661" s="9"/>
      <c r="G44661" s="9"/>
      <c r="J44661" s="11"/>
      <c r="U44661" s="9"/>
      <c r="X44661" s="9"/>
    </row>
    <row r="44662">
      <c r="D44662" s="9"/>
      <c r="G44662" s="9"/>
      <c r="J44662" s="11"/>
      <c r="U44662" s="9"/>
      <c r="X44662" s="9"/>
    </row>
    <row r="44663">
      <c r="D44663" s="9"/>
      <c r="G44663" s="9"/>
      <c r="J44663" s="11"/>
      <c r="U44663" s="9"/>
      <c r="X44663" s="9"/>
    </row>
    <row r="44664">
      <c r="D44664" s="9"/>
      <c r="G44664" s="9"/>
      <c r="J44664" s="11"/>
      <c r="U44664" s="9"/>
      <c r="X44664" s="9"/>
    </row>
    <row r="44665">
      <c r="D44665" s="9"/>
      <c r="G44665" s="9"/>
      <c r="J44665" s="11"/>
      <c r="U44665" s="9"/>
      <c r="X44665" s="9"/>
    </row>
    <row r="44666">
      <c r="D44666" s="9"/>
      <c r="G44666" s="9"/>
      <c r="J44666" s="11"/>
      <c r="U44666" s="9"/>
      <c r="X44666" s="9"/>
    </row>
    <row r="44667">
      <c r="D44667" s="9"/>
      <c r="G44667" s="9"/>
      <c r="J44667" s="11"/>
      <c r="U44667" s="9"/>
      <c r="X44667" s="9"/>
    </row>
    <row r="44668">
      <c r="D44668" s="9"/>
      <c r="G44668" s="9"/>
      <c r="J44668" s="11"/>
      <c r="U44668" s="9"/>
      <c r="X44668" s="9"/>
    </row>
    <row r="44669">
      <c r="D44669" s="9"/>
      <c r="G44669" s="9"/>
      <c r="J44669" s="11"/>
      <c r="U44669" s="9"/>
      <c r="X44669" s="9"/>
    </row>
    <row r="44670">
      <c r="D44670" s="9"/>
      <c r="G44670" s="9"/>
      <c r="J44670" s="11"/>
      <c r="U44670" s="9"/>
      <c r="X44670" s="9"/>
    </row>
    <row r="44671">
      <c r="D44671" s="9"/>
      <c r="G44671" s="9"/>
      <c r="J44671" s="11"/>
      <c r="U44671" s="9"/>
      <c r="X44671" s="9"/>
    </row>
    <row r="44672">
      <c r="D44672" s="9"/>
      <c r="G44672" s="9"/>
      <c r="J44672" s="11"/>
      <c r="U44672" s="9"/>
      <c r="X44672" s="9"/>
    </row>
    <row r="44673">
      <c r="D44673" s="9"/>
      <c r="G44673" s="9"/>
      <c r="J44673" s="11"/>
      <c r="U44673" s="9"/>
      <c r="X44673" s="9"/>
    </row>
    <row r="44674">
      <c r="D44674" s="9"/>
      <c r="G44674" s="9"/>
      <c r="J44674" s="11"/>
      <c r="U44674" s="9"/>
      <c r="X44674" s="9"/>
    </row>
    <row r="44675">
      <c r="D44675" s="9"/>
      <c r="G44675" s="9"/>
      <c r="J44675" s="11"/>
      <c r="U44675" s="9"/>
      <c r="X44675" s="9"/>
    </row>
    <row r="44676">
      <c r="D44676" s="9"/>
      <c r="G44676" s="9"/>
      <c r="J44676" s="11"/>
      <c r="U44676" s="9"/>
      <c r="X44676" s="9"/>
    </row>
    <row r="44677">
      <c r="D44677" s="9"/>
      <c r="G44677" s="9"/>
      <c r="J44677" s="11"/>
      <c r="U44677" s="9"/>
      <c r="X44677" s="9"/>
    </row>
    <row r="44678">
      <c r="D44678" s="9"/>
      <c r="G44678" s="9"/>
      <c r="J44678" s="11"/>
      <c r="U44678" s="9"/>
      <c r="X44678" s="9"/>
    </row>
    <row r="44679">
      <c r="D44679" s="9"/>
      <c r="G44679" s="9"/>
      <c r="J44679" s="11"/>
      <c r="U44679" s="9"/>
      <c r="X44679" s="9"/>
    </row>
    <row r="44680">
      <c r="D44680" s="9"/>
      <c r="G44680" s="9"/>
      <c r="J44680" s="11"/>
      <c r="U44680" s="9"/>
      <c r="X44680" s="9"/>
    </row>
    <row r="44681">
      <c r="D44681" s="9"/>
      <c r="G44681" s="9"/>
      <c r="J44681" s="11"/>
      <c r="U44681" s="9"/>
      <c r="X44681" s="9"/>
    </row>
    <row r="44682">
      <c r="D44682" s="9"/>
      <c r="G44682" s="9"/>
      <c r="J44682" s="11"/>
      <c r="U44682" s="9"/>
      <c r="X44682" s="9"/>
    </row>
    <row r="44683">
      <c r="D44683" s="9"/>
      <c r="G44683" s="9"/>
      <c r="J44683" s="11"/>
      <c r="U44683" s="9"/>
      <c r="X44683" s="9"/>
    </row>
    <row r="44684">
      <c r="D44684" s="9"/>
      <c r="G44684" s="9"/>
      <c r="J44684" s="11"/>
      <c r="U44684" s="9"/>
      <c r="X44684" s="9"/>
    </row>
    <row r="44685">
      <c r="D44685" s="9"/>
      <c r="G44685" s="9"/>
      <c r="J44685" s="11"/>
      <c r="U44685" s="9"/>
      <c r="X44685" s="9"/>
    </row>
    <row r="44686">
      <c r="D44686" s="9"/>
      <c r="G44686" s="9"/>
      <c r="J44686" s="11"/>
      <c r="U44686" s="9"/>
      <c r="X44686" s="9"/>
    </row>
    <row r="44687">
      <c r="D44687" s="9"/>
      <c r="G44687" s="9"/>
      <c r="J44687" s="11"/>
      <c r="U44687" s="9"/>
      <c r="X44687" s="9"/>
    </row>
    <row r="44688">
      <c r="D44688" s="9"/>
      <c r="G44688" s="9"/>
      <c r="J44688" s="11"/>
      <c r="U44688" s="9"/>
      <c r="X44688" s="9"/>
    </row>
    <row r="44689">
      <c r="D44689" s="9"/>
      <c r="G44689" s="9"/>
      <c r="J44689" s="11"/>
      <c r="U44689" s="9"/>
      <c r="X44689" s="9"/>
    </row>
    <row r="44690">
      <c r="D44690" s="9"/>
      <c r="G44690" s="9"/>
      <c r="J44690" s="11"/>
      <c r="U44690" s="9"/>
      <c r="X44690" s="9"/>
    </row>
    <row r="44691">
      <c r="D44691" s="9"/>
      <c r="G44691" s="9"/>
      <c r="J44691" s="11"/>
      <c r="U44691" s="9"/>
      <c r="X44691" s="9"/>
    </row>
    <row r="44692">
      <c r="D44692" s="9"/>
      <c r="G44692" s="9"/>
      <c r="J44692" s="11"/>
      <c r="U44692" s="9"/>
      <c r="X44692" s="9"/>
    </row>
    <row r="44693">
      <c r="D44693" s="9"/>
      <c r="G44693" s="9"/>
      <c r="J44693" s="11"/>
      <c r="U44693" s="9"/>
      <c r="X44693" s="9"/>
    </row>
    <row r="44694">
      <c r="D44694" s="9"/>
      <c r="G44694" s="9"/>
      <c r="J44694" s="11"/>
      <c r="U44694" s="9"/>
      <c r="X44694" s="9"/>
    </row>
    <row r="44695">
      <c r="D44695" s="9"/>
      <c r="G44695" s="9"/>
      <c r="J44695" s="11"/>
      <c r="U44695" s="9"/>
      <c r="X44695" s="9"/>
    </row>
    <row r="44696">
      <c r="D44696" s="9"/>
      <c r="G44696" s="9"/>
      <c r="J44696" s="11"/>
      <c r="U44696" s="9"/>
      <c r="X44696" s="9"/>
    </row>
    <row r="44697">
      <c r="D44697" s="9"/>
      <c r="G44697" s="9"/>
      <c r="J44697" s="11"/>
      <c r="U44697" s="9"/>
      <c r="X44697" s="9"/>
    </row>
    <row r="44698">
      <c r="D44698" s="9"/>
      <c r="G44698" s="9"/>
      <c r="J44698" s="11"/>
      <c r="U44698" s="9"/>
      <c r="X44698" s="9"/>
    </row>
    <row r="44699">
      <c r="D44699" s="9"/>
      <c r="G44699" s="9"/>
      <c r="J44699" s="11"/>
      <c r="U44699" s="9"/>
      <c r="X44699" s="9"/>
    </row>
    <row r="44700">
      <c r="D44700" s="9"/>
      <c r="G44700" s="9"/>
      <c r="J44700" s="11"/>
      <c r="U44700" s="9"/>
      <c r="X44700" s="9"/>
    </row>
    <row r="44701">
      <c r="D44701" s="9"/>
      <c r="G44701" s="9"/>
      <c r="J44701" s="11"/>
      <c r="U44701" s="9"/>
      <c r="X44701" s="9"/>
    </row>
    <row r="44702">
      <c r="D44702" s="9"/>
      <c r="G44702" s="9"/>
      <c r="J44702" s="11"/>
      <c r="U44702" s="9"/>
      <c r="X44702" s="9"/>
    </row>
    <row r="44703">
      <c r="D44703" s="9"/>
      <c r="G44703" s="9"/>
      <c r="J44703" s="11"/>
      <c r="U44703" s="9"/>
      <c r="X44703" s="9"/>
    </row>
    <row r="44704">
      <c r="D44704" s="9"/>
      <c r="G44704" s="9"/>
      <c r="J44704" s="11"/>
      <c r="U44704" s="9"/>
      <c r="X44704" s="9"/>
    </row>
    <row r="44705">
      <c r="D44705" s="9"/>
      <c r="G44705" s="9"/>
      <c r="J44705" s="11"/>
      <c r="U44705" s="9"/>
      <c r="X44705" s="9"/>
    </row>
    <row r="44706">
      <c r="D44706" s="9"/>
      <c r="G44706" s="9"/>
      <c r="J44706" s="11"/>
      <c r="U44706" s="9"/>
      <c r="X44706" s="9"/>
    </row>
    <row r="44707">
      <c r="D44707" s="9"/>
      <c r="G44707" s="9"/>
      <c r="J44707" s="11"/>
      <c r="U44707" s="9"/>
      <c r="X44707" s="9"/>
    </row>
    <row r="44708">
      <c r="D44708" s="9"/>
      <c r="G44708" s="9"/>
      <c r="J44708" s="11"/>
      <c r="U44708" s="9"/>
      <c r="X44708" s="9"/>
    </row>
    <row r="44709">
      <c r="D44709" s="9"/>
      <c r="G44709" s="9"/>
      <c r="J44709" s="11"/>
      <c r="U44709" s="9"/>
      <c r="X44709" s="9"/>
    </row>
    <row r="44710">
      <c r="D44710" s="9"/>
      <c r="G44710" s="9"/>
      <c r="J44710" s="11"/>
      <c r="U44710" s="9"/>
      <c r="X44710" s="9"/>
    </row>
    <row r="44711">
      <c r="D44711" s="9"/>
      <c r="G44711" s="9"/>
      <c r="J44711" s="11"/>
      <c r="U44711" s="9"/>
      <c r="X44711" s="9"/>
    </row>
    <row r="44712">
      <c r="D44712" s="9"/>
      <c r="G44712" s="9"/>
      <c r="J44712" s="11"/>
      <c r="U44712" s="9"/>
      <c r="X44712" s="9"/>
    </row>
    <row r="44713">
      <c r="D44713" s="9"/>
      <c r="G44713" s="9"/>
      <c r="J44713" s="11"/>
      <c r="U44713" s="9"/>
      <c r="X44713" s="9"/>
    </row>
    <row r="44714">
      <c r="D44714" s="9"/>
      <c r="G44714" s="9"/>
      <c r="J44714" s="11"/>
      <c r="U44714" s="9"/>
      <c r="X44714" s="9"/>
    </row>
    <row r="44715">
      <c r="D44715" s="9"/>
      <c r="G44715" s="9"/>
      <c r="J44715" s="11"/>
      <c r="U44715" s="9"/>
      <c r="X44715" s="9"/>
    </row>
    <row r="44716">
      <c r="D44716" s="9"/>
      <c r="G44716" s="9"/>
      <c r="J44716" s="11"/>
      <c r="U44716" s="9"/>
      <c r="X44716" s="9"/>
    </row>
    <row r="44717">
      <c r="D44717" s="9"/>
      <c r="G44717" s="9"/>
      <c r="J44717" s="11"/>
      <c r="U44717" s="9"/>
      <c r="X44717" s="9"/>
    </row>
    <row r="44718">
      <c r="D44718" s="9"/>
      <c r="G44718" s="9"/>
      <c r="J44718" s="11"/>
      <c r="U44718" s="9"/>
      <c r="X44718" s="9"/>
    </row>
    <row r="44719">
      <c r="D44719" s="9"/>
      <c r="G44719" s="9"/>
      <c r="J44719" s="11"/>
      <c r="U44719" s="9"/>
      <c r="X44719" s="9"/>
    </row>
    <row r="44720">
      <c r="D44720" s="9"/>
      <c r="G44720" s="9"/>
      <c r="J44720" s="11"/>
      <c r="U44720" s="9"/>
      <c r="X44720" s="9"/>
    </row>
    <row r="44721">
      <c r="D44721" s="9"/>
      <c r="G44721" s="9"/>
      <c r="J44721" s="11"/>
      <c r="U44721" s="9"/>
      <c r="X44721" s="9"/>
    </row>
    <row r="44722">
      <c r="D44722" s="9"/>
      <c r="G44722" s="9"/>
      <c r="J44722" s="11"/>
      <c r="U44722" s="9"/>
      <c r="X44722" s="9"/>
    </row>
    <row r="44723">
      <c r="D44723" s="9"/>
      <c r="G44723" s="9"/>
      <c r="J44723" s="11"/>
      <c r="U44723" s="9"/>
      <c r="X44723" s="9"/>
    </row>
    <row r="44724">
      <c r="D44724" s="9"/>
      <c r="G44724" s="9"/>
      <c r="J44724" s="11"/>
      <c r="U44724" s="9"/>
      <c r="X44724" s="9"/>
    </row>
    <row r="44725">
      <c r="D44725" s="9"/>
      <c r="G44725" s="9"/>
      <c r="J44725" s="11"/>
      <c r="U44725" s="9"/>
      <c r="X44725" s="9"/>
    </row>
    <row r="44726">
      <c r="D44726" s="9"/>
      <c r="G44726" s="9"/>
      <c r="J44726" s="11"/>
      <c r="U44726" s="9"/>
      <c r="X44726" s="9"/>
    </row>
    <row r="44727">
      <c r="D44727" s="9"/>
      <c r="G44727" s="9"/>
      <c r="J44727" s="11"/>
      <c r="U44727" s="9"/>
      <c r="X44727" s="9"/>
    </row>
    <row r="44728">
      <c r="D44728" s="9"/>
      <c r="G44728" s="9"/>
      <c r="J44728" s="11"/>
      <c r="U44728" s="9"/>
      <c r="X44728" s="9"/>
    </row>
    <row r="44729">
      <c r="D44729" s="9"/>
      <c r="G44729" s="9"/>
      <c r="J44729" s="11"/>
      <c r="U44729" s="9"/>
      <c r="X44729" s="9"/>
    </row>
    <row r="44730">
      <c r="D44730" s="9"/>
      <c r="G44730" s="9"/>
      <c r="J44730" s="11"/>
      <c r="U44730" s="9"/>
      <c r="X44730" s="9"/>
    </row>
    <row r="44731">
      <c r="D44731" s="9"/>
      <c r="G44731" s="9"/>
      <c r="J44731" s="11"/>
      <c r="U44731" s="9"/>
      <c r="X44731" s="9"/>
    </row>
    <row r="44732">
      <c r="D44732" s="9"/>
      <c r="G44732" s="9"/>
      <c r="J44732" s="11"/>
      <c r="U44732" s="9"/>
      <c r="X44732" s="9"/>
    </row>
    <row r="44733">
      <c r="D44733" s="9"/>
      <c r="G44733" s="9"/>
      <c r="J44733" s="11"/>
      <c r="U44733" s="9"/>
      <c r="X44733" s="9"/>
    </row>
    <row r="44734">
      <c r="D44734" s="9"/>
      <c r="G44734" s="9"/>
      <c r="J44734" s="11"/>
      <c r="U44734" s="9"/>
      <c r="X44734" s="9"/>
    </row>
    <row r="44735">
      <c r="D44735" s="9"/>
      <c r="G44735" s="9"/>
      <c r="J44735" s="11"/>
      <c r="U44735" s="9"/>
      <c r="X44735" s="9"/>
    </row>
    <row r="44736">
      <c r="D44736" s="9"/>
      <c r="G44736" s="9"/>
      <c r="J44736" s="11"/>
      <c r="U44736" s="9"/>
      <c r="X44736" s="9"/>
    </row>
    <row r="44737">
      <c r="D44737" s="9"/>
      <c r="G44737" s="9"/>
      <c r="J44737" s="11"/>
      <c r="U44737" s="9"/>
      <c r="X44737" s="9"/>
    </row>
    <row r="44738">
      <c r="D44738" s="9"/>
      <c r="G44738" s="9"/>
      <c r="J44738" s="11"/>
      <c r="U44738" s="9"/>
      <c r="X44738" s="9"/>
    </row>
    <row r="44739">
      <c r="D44739" s="9"/>
      <c r="G44739" s="9"/>
      <c r="J44739" s="11"/>
      <c r="U44739" s="9"/>
      <c r="X44739" s="9"/>
    </row>
    <row r="44740">
      <c r="D44740" s="9"/>
      <c r="G44740" s="9"/>
      <c r="J44740" s="11"/>
      <c r="U44740" s="9"/>
      <c r="X44740" s="9"/>
    </row>
    <row r="44741">
      <c r="D44741" s="9"/>
      <c r="G44741" s="9"/>
      <c r="J44741" s="11"/>
      <c r="U44741" s="9"/>
      <c r="X44741" s="9"/>
    </row>
    <row r="44742">
      <c r="D44742" s="9"/>
      <c r="G44742" s="9"/>
      <c r="J44742" s="11"/>
      <c r="U44742" s="9"/>
      <c r="X44742" s="9"/>
    </row>
    <row r="44743">
      <c r="D44743" s="9"/>
      <c r="G44743" s="9"/>
      <c r="J44743" s="11"/>
      <c r="U44743" s="9"/>
      <c r="X44743" s="9"/>
    </row>
    <row r="44744">
      <c r="D44744" s="9"/>
      <c r="G44744" s="9"/>
      <c r="J44744" s="11"/>
      <c r="U44744" s="9"/>
      <c r="X44744" s="9"/>
    </row>
    <row r="44745">
      <c r="D44745" s="9"/>
      <c r="G44745" s="9"/>
      <c r="J44745" s="11"/>
      <c r="U44745" s="9"/>
      <c r="X44745" s="9"/>
    </row>
    <row r="44746">
      <c r="D44746" s="9"/>
      <c r="G44746" s="9"/>
      <c r="J44746" s="11"/>
      <c r="U44746" s="9"/>
      <c r="X44746" s="9"/>
    </row>
    <row r="44747">
      <c r="D44747" s="9"/>
      <c r="G44747" s="9"/>
      <c r="J44747" s="11"/>
      <c r="U44747" s="9"/>
      <c r="X44747" s="9"/>
    </row>
    <row r="44748">
      <c r="D44748" s="9"/>
      <c r="G44748" s="9"/>
      <c r="J44748" s="11"/>
      <c r="U44748" s="9"/>
      <c r="X44748" s="9"/>
    </row>
    <row r="44749">
      <c r="D44749" s="9"/>
      <c r="G44749" s="9"/>
      <c r="J44749" s="11"/>
      <c r="U44749" s="9"/>
      <c r="X44749" s="9"/>
    </row>
    <row r="44750">
      <c r="D44750" s="9"/>
      <c r="G44750" s="9"/>
      <c r="J44750" s="11"/>
      <c r="U44750" s="9"/>
      <c r="X44750" s="9"/>
    </row>
    <row r="44751">
      <c r="D44751" s="9"/>
      <c r="G44751" s="9"/>
      <c r="J44751" s="11"/>
      <c r="U44751" s="9"/>
      <c r="X44751" s="9"/>
    </row>
    <row r="44752">
      <c r="D44752" s="9"/>
      <c r="G44752" s="9"/>
      <c r="J44752" s="11"/>
      <c r="U44752" s="9"/>
      <c r="X44752" s="9"/>
    </row>
    <row r="44753">
      <c r="D44753" s="9"/>
      <c r="G44753" s="9"/>
      <c r="J44753" s="11"/>
      <c r="U44753" s="9"/>
      <c r="X44753" s="9"/>
    </row>
    <row r="44754">
      <c r="D44754" s="9"/>
      <c r="G44754" s="9"/>
      <c r="J44754" s="11"/>
      <c r="U44754" s="9"/>
      <c r="X44754" s="9"/>
    </row>
    <row r="44755">
      <c r="D44755" s="9"/>
      <c r="G44755" s="9"/>
      <c r="J44755" s="11"/>
      <c r="U44755" s="9"/>
      <c r="X44755" s="9"/>
    </row>
    <row r="44756">
      <c r="D44756" s="9"/>
      <c r="G44756" s="9"/>
      <c r="J44756" s="11"/>
      <c r="U44756" s="9"/>
      <c r="X44756" s="9"/>
    </row>
    <row r="44757">
      <c r="D44757" s="9"/>
      <c r="G44757" s="9"/>
      <c r="J44757" s="11"/>
      <c r="U44757" s="9"/>
      <c r="X44757" s="9"/>
    </row>
    <row r="44758">
      <c r="D44758" s="9"/>
      <c r="G44758" s="9"/>
      <c r="J44758" s="11"/>
      <c r="U44758" s="9"/>
      <c r="X44758" s="9"/>
    </row>
    <row r="44759">
      <c r="D44759" s="9"/>
      <c r="G44759" s="9"/>
      <c r="J44759" s="11"/>
      <c r="U44759" s="9"/>
      <c r="X44759" s="9"/>
    </row>
    <row r="44760">
      <c r="D44760" s="9"/>
      <c r="G44760" s="9"/>
      <c r="J44760" s="11"/>
      <c r="U44760" s="9"/>
      <c r="X44760" s="9"/>
    </row>
    <row r="44761">
      <c r="D44761" s="9"/>
      <c r="G44761" s="9"/>
      <c r="J44761" s="11"/>
      <c r="U44761" s="9"/>
      <c r="X44761" s="9"/>
    </row>
    <row r="44762">
      <c r="D44762" s="9"/>
      <c r="G44762" s="9"/>
      <c r="J44762" s="11"/>
      <c r="U44762" s="9"/>
      <c r="X44762" s="9"/>
    </row>
    <row r="44763">
      <c r="D44763" s="9"/>
      <c r="G44763" s="9"/>
      <c r="J44763" s="11"/>
      <c r="U44763" s="9"/>
      <c r="X44763" s="9"/>
    </row>
    <row r="44764">
      <c r="D44764" s="9"/>
      <c r="G44764" s="9"/>
      <c r="J44764" s="11"/>
      <c r="U44764" s="9"/>
      <c r="X44764" s="9"/>
    </row>
    <row r="44765">
      <c r="D44765" s="9"/>
      <c r="G44765" s="9"/>
      <c r="J44765" s="11"/>
      <c r="U44765" s="9"/>
      <c r="X44765" s="9"/>
    </row>
    <row r="44766">
      <c r="D44766" s="9"/>
      <c r="G44766" s="9"/>
      <c r="J44766" s="11"/>
      <c r="U44766" s="9"/>
      <c r="X44766" s="9"/>
    </row>
    <row r="44767">
      <c r="D44767" s="9"/>
      <c r="G44767" s="9"/>
      <c r="J44767" s="11"/>
      <c r="U44767" s="9"/>
      <c r="X44767" s="9"/>
    </row>
    <row r="44768">
      <c r="D44768" s="9"/>
      <c r="G44768" s="9"/>
      <c r="J44768" s="11"/>
      <c r="U44768" s="9"/>
      <c r="X44768" s="9"/>
    </row>
    <row r="44769">
      <c r="D44769" s="9"/>
      <c r="G44769" s="9"/>
      <c r="J44769" s="11"/>
      <c r="U44769" s="9"/>
      <c r="X44769" s="9"/>
    </row>
    <row r="44770">
      <c r="D44770" s="9"/>
      <c r="G44770" s="9"/>
      <c r="J44770" s="11"/>
      <c r="U44770" s="9"/>
      <c r="X44770" s="9"/>
    </row>
    <row r="44771">
      <c r="D44771" s="9"/>
      <c r="G44771" s="9"/>
      <c r="J44771" s="11"/>
      <c r="U44771" s="9"/>
      <c r="X44771" s="9"/>
    </row>
    <row r="44772">
      <c r="D44772" s="9"/>
      <c r="G44772" s="9"/>
      <c r="J44772" s="11"/>
      <c r="U44772" s="9"/>
      <c r="X44772" s="9"/>
    </row>
    <row r="44773">
      <c r="D44773" s="9"/>
      <c r="G44773" s="9"/>
      <c r="J44773" s="11"/>
      <c r="U44773" s="9"/>
      <c r="X44773" s="9"/>
    </row>
    <row r="44774">
      <c r="D44774" s="9"/>
      <c r="G44774" s="9"/>
      <c r="J44774" s="11"/>
      <c r="U44774" s="9"/>
      <c r="X44774" s="9"/>
    </row>
    <row r="44775">
      <c r="D44775" s="9"/>
      <c r="G44775" s="9"/>
      <c r="J44775" s="11"/>
      <c r="U44775" s="9"/>
      <c r="X44775" s="9"/>
    </row>
    <row r="44776">
      <c r="D44776" s="9"/>
      <c r="G44776" s="9"/>
      <c r="J44776" s="11"/>
      <c r="U44776" s="9"/>
      <c r="X44776" s="9"/>
    </row>
    <row r="44777">
      <c r="D44777" s="9"/>
      <c r="G44777" s="9"/>
      <c r="J44777" s="11"/>
      <c r="U44777" s="9"/>
      <c r="X44777" s="9"/>
    </row>
    <row r="44778">
      <c r="D44778" s="9"/>
      <c r="G44778" s="9"/>
      <c r="J44778" s="11"/>
      <c r="U44778" s="9"/>
      <c r="X44778" s="9"/>
    </row>
    <row r="44779">
      <c r="D44779" s="9"/>
      <c r="G44779" s="9"/>
      <c r="J44779" s="11"/>
      <c r="U44779" s="9"/>
      <c r="X44779" s="9"/>
    </row>
    <row r="44780">
      <c r="D44780" s="9"/>
      <c r="G44780" s="9"/>
      <c r="J44780" s="11"/>
      <c r="U44780" s="9"/>
      <c r="X44780" s="9"/>
    </row>
    <row r="44781">
      <c r="D44781" s="9"/>
      <c r="G44781" s="9"/>
      <c r="J44781" s="11"/>
      <c r="U44781" s="9"/>
      <c r="X44781" s="9"/>
    </row>
    <row r="44782">
      <c r="D44782" s="9"/>
      <c r="G44782" s="9"/>
      <c r="J44782" s="11"/>
      <c r="U44782" s="9"/>
      <c r="X44782" s="9"/>
    </row>
    <row r="44783">
      <c r="D44783" s="9"/>
      <c r="G44783" s="9"/>
      <c r="J44783" s="11"/>
      <c r="U44783" s="9"/>
      <c r="X44783" s="9"/>
    </row>
    <row r="44784">
      <c r="D44784" s="9"/>
      <c r="G44784" s="9"/>
      <c r="J44784" s="11"/>
      <c r="U44784" s="9"/>
      <c r="X44784" s="9"/>
    </row>
    <row r="44785">
      <c r="D44785" s="9"/>
      <c r="G44785" s="9"/>
      <c r="J44785" s="11"/>
      <c r="U44785" s="9"/>
      <c r="X44785" s="9"/>
    </row>
    <row r="44786">
      <c r="D44786" s="9"/>
      <c r="G44786" s="9"/>
      <c r="J44786" s="11"/>
      <c r="U44786" s="9"/>
      <c r="X44786" s="9"/>
    </row>
    <row r="44787">
      <c r="D44787" s="9"/>
      <c r="G44787" s="9"/>
      <c r="J44787" s="11"/>
      <c r="U44787" s="9"/>
      <c r="X44787" s="9"/>
    </row>
    <row r="44788">
      <c r="D44788" s="9"/>
      <c r="G44788" s="9"/>
      <c r="J44788" s="11"/>
      <c r="U44788" s="9"/>
      <c r="X44788" s="9"/>
    </row>
    <row r="44789">
      <c r="D44789" s="9"/>
      <c r="G44789" s="9"/>
      <c r="J44789" s="11"/>
      <c r="U44789" s="9"/>
      <c r="X44789" s="9"/>
    </row>
    <row r="44790">
      <c r="D44790" s="9"/>
      <c r="G44790" s="9"/>
      <c r="J44790" s="11"/>
      <c r="U44790" s="9"/>
      <c r="X44790" s="9"/>
    </row>
    <row r="44791">
      <c r="D44791" s="9"/>
      <c r="G44791" s="9"/>
      <c r="J44791" s="11"/>
      <c r="U44791" s="9"/>
      <c r="X44791" s="9"/>
    </row>
    <row r="44792">
      <c r="D44792" s="9"/>
      <c r="G44792" s="9"/>
      <c r="J44792" s="11"/>
      <c r="U44792" s="9"/>
      <c r="X44792" s="9"/>
    </row>
    <row r="44793">
      <c r="D44793" s="9"/>
      <c r="G44793" s="9"/>
      <c r="J44793" s="11"/>
      <c r="U44793" s="9"/>
      <c r="X44793" s="9"/>
    </row>
    <row r="44794">
      <c r="D44794" s="9"/>
      <c r="G44794" s="9"/>
      <c r="J44794" s="11"/>
      <c r="U44794" s="9"/>
      <c r="X44794" s="9"/>
    </row>
    <row r="44795">
      <c r="D44795" s="9"/>
      <c r="G44795" s="9"/>
      <c r="J44795" s="11"/>
      <c r="U44795" s="9"/>
      <c r="X44795" s="9"/>
    </row>
    <row r="44796">
      <c r="D44796" s="9"/>
      <c r="G44796" s="9"/>
      <c r="J44796" s="11"/>
      <c r="U44796" s="9"/>
      <c r="X44796" s="9"/>
    </row>
    <row r="44797">
      <c r="D44797" s="9"/>
      <c r="G44797" s="9"/>
      <c r="J44797" s="11"/>
      <c r="U44797" s="9"/>
      <c r="X44797" s="9"/>
    </row>
    <row r="44798">
      <c r="D44798" s="9"/>
      <c r="G44798" s="9"/>
      <c r="J44798" s="11"/>
      <c r="U44798" s="9"/>
      <c r="X44798" s="9"/>
    </row>
    <row r="44799">
      <c r="D44799" s="9"/>
      <c r="G44799" s="9"/>
      <c r="J44799" s="11"/>
      <c r="U44799" s="9"/>
      <c r="X44799" s="9"/>
    </row>
    <row r="44800">
      <c r="D44800" s="9"/>
      <c r="G44800" s="9"/>
      <c r="J44800" s="11"/>
      <c r="U44800" s="9"/>
      <c r="X44800" s="9"/>
    </row>
    <row r="44801">
      <c r="D44801" s="9"/>
      <c r="G44801" s="9"/>
      <c r="J44801" s="11"/>
      <c r="U44801" s="9"/>
      <c r="X44801" s="9"/>
    </row>
    <row r="44802">
      <c r="D44802" s="9"/>
      <c r="G44802" s="9"/>
      <c r="J44802" s="11"/>
      <c r="U44802" s="9"/>
      <c r="X44802" s="9"/>
    </row>
    <row r="44803">
      <c r="D44803" s="9"/>
      <c r="G44803" s="9"/>
      <c r="J44803" s="11"/>
      <c r="U44803" s="9"/>
      <c r="X44803" s="9"/>
    </row>
    <row r="44804">
      <c r="D44804" s="9"/>
      <c r="G44804" s="9"/>
      <c r="J44804" s="11"/>
      <c r="U44804" s="9"/>
      <c r="X44804" s="9"/>
    </row>
    <row r="44805">
      <c r="D44805" s="9"/>
      <c r="G44805" s="9"/>
      <c r="J44805" s="11"/>
      <c r="U44805" s="9"/>
      <c r="X44805" s="9"/>
    </row>
    <row r="44806">
      <c r="D44806" s="9"/>
      <c r="G44806" s="9"/>
      <c r="J44806" s="11"/>
      <c r="U44806" s="9"/>
      <c r="X44806" s="9"/>
    </row>
    <row r="44807">
      <c r="D44807" s="9"/>
      <c r="G44807" s="9"/>
      <c r="J44807" s="11"/>
      <c r="U44807" s="9"/>
      <c r="X44807" s="9"/>
    </row>
    <row r="44808">
      <c r="D44808" s="9"/>
      <c r="G44808" s="9"/>
      <c r="J44808" s="11"/>
      <c r="U44808" s="9"/>
      <c r="X44808" s="9"/>
    </row>
    <row r="44809">
      <c r="D44809" s="9"/>
      <c r="G44809" s="9"/>
      <c r="J44809" s="11"/>
      <c r="U44809" s="9"/>
      <c r="X44809" s="9"/>
    </row>
    <row r="44810">
      <c r="D44810" s="9"/>
      <c r="G44810" s="9"/>
      <c r="J44810" s="11"/>
      <c r="U44810" s="9"/>
      <c r="X44810" s="9"/>
    </row>
    <row r="44811">
      <c r="D44811" s="9"/>
      <c r="G44811" s="9"/>
      <c r="J44811" s="11"/>
      <c r="U44811" s="9"/>
      <c r="X44811" s="9"/>
    </row>
    <row r="44812">
      <c r="D44812" s="9"/>
      <c r="G44812" s="9"/>
      <c r="J44812" s="11"/>
      <c r="U44812" s="9"/>
      <c r="X44812" s="9"/>
    </row>
    <row r="44813">
      <c r="D44813" s="9"/>
      <c r="G44813" s="9"/>
      <c r="J44813" s="11"/>
      <c r="U44813" s="9"/>
      <c r="X44813" s="9"/>
    </row>
    <row r="44814">
      <c r="D44814" s="9"/>
      <c r="G44814" s="9"/>
      <c r="J44814" s="11"/>
      <c r="U44814" s="9"/>
      <c r="X44814" s="9"/>
    </row>
    <row r="44815">
      <c r="D44815" s="9"/>
      <c r="G44815" s="9"/>
      <c r="J44815" s="11"/>
      <c r="U44815" s="9"/>
      <c r="X44815" s="9"/>
    </row>
    <row r="44816">
      <c r="D44816" s="9"/>
      <c r="G44816" s="9"/>
      <c r="J44816" s="11"/>
      <c r="U44816" s="9"/>
      <c r="X44816" s="9"/>
    </row>
    <row r="44817">
      <c r="D44817" s="9"/>
      <c r="G44817" s="9"/>
      <c r="J44817" s="11"/>
      <c r="U44817" s="9"/>
      <c r="X44817" s="9"/>
    </row>
    <row r="44818">
      <c r="D44818" s="9"/>
      <c r="G44818" s="9"/>
      <c r="J44818" s="11"/>
      <c r="U44818" s="9"/>
      <c r="X44818" s="9"/>
    </row>
    <row r="44819">
      <c r="D44819" s="9"/>
      <c r="G44819" s="9"/>
      <c r="J44819" s="11"/>
      <c r="U44819" s="9"/>
      <c r="X44819" s="9"/>
    </row>
    <row r="44820">
      <c r="D44820" s="9"/>
      <c r="G44820" s="9"/>
      <c r="J44820" s="11"/>
      <c r="U44820" s="9"/>
      <c r="X44820" s="9"/>
    </row>
    <row r="44821">
      <c r="D44821" s="9"/>
      <c r="G44821" s="9"/>
      <c r="J44821" s="11"/>
      <c r="U44821" s="9"/>
      <c r="X44821" s="9"/>
    </row>
    <row r="44822">
      <c r="D44822" s="9"/>
      <c r="G44822" s="9"/>
      <c r="J44822" s="11"/>
      <c r="U44822" s="9"/>
      <c r="X44822" s="9"/>
    </row>
    <row r="44823">
      <c r="D44823" s="9"/>
      <c r="G44823" s="9"/>
      <c r="J44823" s="11"/>
      <c r="U44823" s="9"/>
      <c r="X44823" s="9"/>
    </row>
    <row r="44824">
      <c r="D44824" s="9"/>
      <c r="G44824" s="9"/>
      <c r="J44824" s="11"/>
      <c r="U44824" s="9"/>
      <c r="X44824" s="9"/>
    </row>
    <row r="44825">
      <c r="D44825" s="9"/>
      <c r="G44825" s="9"/>
      <c r="J44825" s="11"/>
      <c r="U44825" s="9"/>
      <c r="X44825" s="9"/>
    </row>
    <row r="44826">
      <c r="D44826" s="9"/>
      <c r="G44826" s="9"/>
      <c r="J44826" s="11"/>
      <c r="U44826" s="9"/>
      <c r="X44826" s="9"/>
    </row>
    <row r="44827">
      <c r="D44827" s="9"/>
      <c r="G44827" s="9"/>
      <c r="J44827" s="11"/>
      <c r="U44827" s="9"/>
      <c r="X44827" s="9"/>
    </row>
    <row r="44828">
      <c r="D44828" s="9"/>
      <c r="G44828" s="9"/>
      <c r="J44828" s="11"/>
      <c r="U44828" s="9"/>
      <c r="X44828" s="9"/>
    </row>
    <row r="44829">
      <c r="D44829" s="9"/>
      <c r="G44829" s="9"/>
      <c r="J44829" s="11"/>
      <c r="U44829" s="9"/>
      <c r="X44829" s="9"/>
    </row>
    <row r="44830">
      <c r="D44830" s="9"/>
      <c r="G44830" s="9"/>
      <c r="J44830" s="11"/>
      <c r="U44830" s="9"/>
      <c r="X44830" s="9"/>
    </row>
    <row r="44831">
      <c r="D44831" s="9"/>
      <c r="G44831" s="9"/>
      <c r="J44831" s="11"/>
      <c r="U44831" s="9"/>
      <c r="X44831" s="9"/>
    </row>
    <row r="44832">
      <c r="D44832" s="9"/>
      <c r="G44832" s="9"/>
      <c r="J44832" s="11"/>
      <c r="U44832" s="9"/>
      <c r="X44832" s="9"/>
    </row>
    <row r="44833">
      <c r="D44833" s="9"/>
      <c r="G44833" s="9"/>
      <c r="J44833" s="11"/>
      <c r="U44833" s="9"/>
      <c r="X44833" s="9"/>
    </row>
    <row r="44834">
      <c r="D44834" s="9"/>
      <c r="G44834" s="9"/>
      <c r="J44834" s="11"/>
      <c r="U44834" s="9"/>
      <c r="X44834" s="9"/>
    </row>
    <row r="44835">
      <c r="D44835" s="9"/>
      <c r="G44835" s="9"/>
      <c r="J44835" s="11"/>
      <c r="U44835" s="9"/>
      <c r="X44835" s="9"/>
    </row>
    <row r="44836">
      <c r="D44836" s="9"/>
      <c r="G44836" s="9"/>
      <c r="J44836" s="11"/>
      <c r="U44836" s="9"/>
      <c r="X44836" s="9"/>
    </row>
    <row r="44837">
      <c r="D44837" s="9"/>
      <c r="G44837" s="9"/>
      <c r="J44837" s="11"/>
      <c r="U44837" s="9"/>
      <c r="X44837" s="9"/>
    </row>
    <row r="44838">
      <c r="D44838" s="9"/>
      <c r="G44838" s="9"/>
      <c r="J44838" s="11"/>
      <c r="U44838" s="9"/>
      <c r="X44838" s="9"/>
    </row>
    <row r="44839">
      <c r="D44839" s="9"/>
      <c r="G44839" s="9"/>
      <c r="J44839" s="11"/>
      <c r="U44839" s="9"/>
      <c r="X44839" s="9"/>
    </row>
    <row r="44840">
      <c r="D44840" s="9"/>
      <c r="G44840" s="9"/>
      <c r="J44840" s="11"/>
      <c r="U44840" s="9"/>
      <c r="X44840" s="9"/>
    </row>
    <row r="44841">
      <c r="D44841" s="9"/>
      <c r="G44841" s="9"/>
      <c r="J44841" s="11"/>
      <c r="U44841" s="9"/>
      <c r="X44841" s="9"/>
    </row>
    <row r="44842">
      <c r="D44842" s="9"/>
      <c r="G44842" s="9"/>
      <c r="J44842" s="11"/>
      <c r="U44842" s="9"/>
      <c r="X44842" s="9"/>
    </row>
    <row r="44843">
      <c r="D44843" s="9"/>
      <c r="G44843" s="9"/>
      <c r="J44843" s="11"/>
      <c r="U44843" s="9"/>
      <c r="X44843" s="9"/>
    </row>
    <row r="44844">
      <c r="D44844" s="9"/>
      <c r="G44844" s="9"/>
      <c r="J44844" s="11"/>
      <c r="U44844" s="9"/>
      <c r="X44844" s="9"/>
    </row>
    <row r="44845">
      <c r="D44845" s="9"/>
      <c r="G44845" s="9"/>
      <c r="J44845" s="11"/>
      <c r="U44845" s="9"/>
      <c r="X44845" s="9"/>
    </row>
    <row r="44846">
      <c r="D44846" s="9"/>
      <c r="G44846" s="9"/>
      <c r="J44846" s="11"/>
      <c r="U44846" s="9"/>
      <c r="X44846" s="9"/>
    </row>
    <row r="44847">
      <c r="D44847" s="9"/>
      <c r="G44847" s="9"/>
      <c r="J44847" s="11"/>
      <c r="U44847" s="9"/>
      <c r="X44847" s="9"/>
    </row>
    <row r="44848">
      <c r="D44848" s="9"/>
      <c r="G44848" s="9"/>
      <c r="J44848" s="11"/>
      <c r="U44848" s="9"/>
      <c r="X44848" s="9"/>
    </row>
    <row r="44849">
      <c r="D44849" s="9"/>
      <c r="G44849" s="9"/>
      <c r="J44849" s="11"/>
      <c r="U44849" s="9"/>
      <c r="X44849" s="9"/>
    </row>
    <row r="44850">
      <c r="D44850" s="9"/>
      <c r="G44850" s="9"/>
      <c r="J44850" s="11"/>
      <c r="U44850" s="9"/>
      <c r="X44850" s="9"/>
    </row>
    <row r="44851">
      <c r="D44851" s="9"/>
      <c r="G44851" s="9"/>
      <c r="J44851" s="11"/>
      <c r="U44851" s="9"/>
      <c r="X44851" s="9"/>
    </row>
    <row r="44852">
      <c r="D44852" s="9"/>
      <c r="G44852" s="9"/>
      <c r="J44852" s="11"/>
      <c r="U44852" s="9"/>
      <c r="X44852" s="9"/>
    </row>
    <row r="44853">
      <c r="D44853" s="9"/>
      <c r="G44853" s="9"/>
      <c r="J44853" s="11"/>
      <c r="U44853" s="9"/>
      <c r="X44853" s="9"/>
    </row>
    <row r="44854">
      <c r="D44854" s="9"/>
      <c r="G44854" s="9"/>
      <c r="J44854" s="11"/>
      <c r="U44854" s="9"/>
      <c r="X44854" s="9"/>
    </row>
    <row r="44855">
      <c r="D44855" s="9"/>
      <c r="G44855" s="9"/>
      <c r="J44855" s="11"/>
      <c r="U44855" s="9"/>
      <c r="X44855" s="9"/>
    </row>
    <row r="44856">
      <c r="D44856" s="9"/>
      <c r="G44856" s="9"/>
      <c r="J44856" s="11"/>
      <c r="U44856" s="9"/>
      <c r="X44856" s="9"/>
    </row>
    <row r="44857">
      <c r="D44857" s="9"/>
      <c r="G44857" s="9"/>
      <c r="J44857" s="11"/>
      <c r="U44857" s="9"/>
      <c r="X44857" s="9"/>
    </row>
    <row r="44858">
      <c r="D44858" s="9"/>
      <c r="G44858" s="9"/>
      <c r="J44858" s="11"/>
      <c r="U44858" s="9"/>
      <c r="X44858" s="9"/>
    </row>
    <row r="44859">
      <c r="D44859" s="9"/>
      <c r="G44859" s="9"/>
      <c r="J44859" s="11"/>
      <c r="U44859" s="9"/>
      <c r="X44859" s="9"/>
    </row>
    <row r="44860">
      <c r="D44860" s="9"/>
      <c r="G44860" s="9"/>
      <c r="J44860" s="11"/>
      <c r="U44860" s="9"/>
      <c r="X44860" s="9"/>
    </row>
    <row r="44861">
      <c r="D44861" s="9"/>
      <c r="G44861" s="9"/>
      <c r="J44861" s="11"/>
      <c r="U44861" s="9"/>
      <c r="X44861" s="9"/>
    </row>
    <row r="44862">
      <c r="D44862" s="9"/>
      <c r="G44862" s="9"/>
      <c r="J44862" s="11"/>
      <c r="U44862" s="9"/>
      <c r="X44862" s="9"/>
    </row>
    <row r="44863">
      <c r="D44863" s="9"/>
      <c r="G44863" s="9"/>
      <c r="J44863" s="11"/>
      <c r="U44863" s="9"/>
      <c r="X44863" s="9"/>
    </row>
    <row r="44864">
      <c r="D44864" s="9"/>
      <c r="G44864" s="9"/>
      <c r="J44864" s="11"/>
      <c r="U44864" s="9"/>
      <c r="X44864" s="9"/>
    </row>
    <row r="44865">
      <c r="D44865" s="9"/>
      <c r="G44865" s="9"/>
      <c r="J44865" s="11"/>
      <c r="U44865" s="9"/>
      <c r="X44865" s="9"/>
    </row>
    <row r="44866">
      <c r="D44866" s="9"/>
      <c r="G44866" s="9"/>
      <c r="J44866" s="11"/>
      <c r="U44866" s="9"/>
      <c r="X44866" s="9"/>
    </row>
    <row r="44867">
      <c r="D44867" s="9"/>
      <c r="G44867" s="9"/>
      <c r="J44867" s="11"/>
      <c r="U44867" s="9"/>
      <c r="X44867" s="9"/>
    </row>
    <row r="44868">
      <c r="D44868" s="9"/>
      <c r="G44868" s="9"/>
      <c r="J44868" s="11"/>
      <c r="U44868" s="9"/>
      <c r="X44868" s="9"/>
    </row>
    <row r="44869">
      <c r="D44869" s="9"/>
      <c r="G44869" s="9"/>
      <c r="J44869" s="11"/>
      <c r="U44869" s="9"/>
      <c r="X44869" s="9"/>
    </row>
    <row r="44870">
      <c r="D44870" s="9"/>
      <c r="G44870" s="9"/>
      <c r="J44870" s="11"/>
      <c r="U44870" s="9"/>
      <c r="X44870" s="9"/>
    </row>
    <row r="44871">
      <c r="D44871" s="9"/>
      <c r="G44871" s="9"/>
      <c r="J44871" s="11"/>
      <c r="U44871" s="9"/>
      <c r="X44871" s="9"/>
    </row>
    <row r="44872">
      <c r="D44872" s="9"/>
      <c r="G44872" s="9"/>
      <c r="J44872" s="11"/>
      <c r="U44872" s="9"/>
      <c r="X44872" s="9"/>
    </row>
    <row r="44873">
      <c r="D44873" s="9"/>
      <c r="G44873" s="9"/>
      <c r="J44873" s="11"/>
      <c r="U44873" s="9"/>
      <c r="X44873" s="9"/>
    </row>
    <row r="44874">
      <c r="D44874" s="9"/>
      <c r="G44874" s="9"/>
      <c r="J44874" s="11"/>
      <c r="U44874" s="9"/>
      <c r="X44874" s="9"/>
    </row>
    <row r="44875">
      <c r="D44875" s="9"/>
      <c r="G44875" s="9"/>
      <c r="J44875" s="11"/>
      <c r="U44875" s="9"/>
      <c r="X44875" s="9"/>
    </row>
    <row r="44876">
      <c r="D44876" s="9"/>
      <c r="G44876" s="9"/>
      <c r="J44876" s="11"/>
      <c r="U44876" s="9"/>
      <c r="X44876" s="9"/>
    </row>
    <row r="44877">
      <c r="D44877" s="9"/>
      <c r="G44877" s="9"/>
      <c r="J44877" s="11"/>
      <c r="U44877" s="9"/>
      <c r="X44877" s="9"/>
    </row>
    <row r="44878">
      <c r="D44878" s="9"/>
      <c r="G44878" s="9"/>
      <c r="J44878" s="11"/>
      <c r="U44878" s="9"/>
      <c r="X44878" s="9"/>
    </row>
    <row r="44879">
      <c r="D44879" s="9"/>
      <c r="G44879" s="9"/>
      <c r="J44879" s="11"/>
      <c r="U44879" s="9"/>
      <c r="X44879" s="9"/>
    </row>
    <row r="44880">
      <c r="D44880" s="9"/>
      <c r="G44880" s="9"/>
      <c r="J44880" s="11"/>
      <c r="U44880" s="9"/>
      <c r="X44880" s="9"/>
    </row>
    <row r="44881">
      <c r="D44881" s="9"/>
      <c r="G44881" s="9"/>
      <c r="J44881" s="11"/>
      <c r="U44881" s="9"/>
      <c r="X44881" s="9"/>
    </row>
    <row r="44882">
      <c r="D44882" s="9"/>
      <c r="G44882" s="9"/>
      <c r="J44882" s="11"/>
      <c r="U44882" s="9"/>
      <c r="X44882" s="9"/>
    </row>
    <row r="44883">
      <c r="D44883" s="9"/>
      <c r="G44883" s="9"/>
      <c r="J44883" s="11"/>
      <c r="U44883" s="9"/>
      <c r="X44883" s="9"/>
    </row>
    <row r="44884">
      <c r="D44884" s="9"/>
      <c r="G44884" s="9"/>
      <c r="J44884" s="11"/>
      <c r="U44884" s="9"/>
      <c r="X44884" s="9"/>
    </row>
    <row r="44885">
      <c r="D44885" s="9"/>
      <c r="G44885" s="9"/>
      <c r="J44885" s="11"/>
      <c r="U44885" s="9"/>
      <c r="X44885" s="9"/>
    </row>
    <row r="44886">
      <c r="D44886" s="9"/>
      <c r="G44886" s="9"/>
      <c r="J44886" s="11"/>
      <c r="U44886" s="9"/>
      <c r="X44886" s="9"/>
    </row>
    <row r="44887">
      <c r="D44887" s="9"/>
      <c r="G44887" s="9"/>
      <c r="J44887" s="11"/>
      <c r="U44887" s="9"/>
      <c r="X44887" s="9"/>
    </row>
    <row r="44888">
      <c r="D44888" s="9"/>
      <c r="G44888" s="9"/>
      <c r="J44888" s="11"/>
      <c r="U44888" s="9"/>
      <c r="X44888" s="9"/>
    </row>
    <row r="44889">
      <c r="D44889" s="9"/>
      <c r="G44889" s="9"/>
      <c r="J44889" s="11"/>
      <c r="U44889" s="9"/>
      <c r="X44889" s="9"/>
    </row>
    <row r="44890">
      <c r="D44890" s="9"/>
      <c r="G44890" s="9"/>
      <c r="J44890" s="11"/>
      <c r="U44890" s="9"/>
      <c r="X44890" s="9"/>
    </row>
    <row r="44891">
      <c r="D44891" s="9"/>
      <c r="G44891" s="9"/>
      <c r="J44891" s="11"/>
      <c r="U44891" s="9"/>
      <c r="X44891" s="9"/>
    </row>
    <row r="44892">
      <c r="D44892" s="9"/>
      <c r="G44892" s="9"/>
      <c r="J44892" s="11"/>
      <c r="U44892" s="9"/>
      <c r="X44892" s="9"/>
    </row>
    <row r="44893">
      <c r="D44893" s="9"/>
      <c r="G44893" s="9"/>
      <c r="J44893" s="11"/>
      <c r="U44893" s="9"/>
      <c r="X44893" s="9"/>
    </row>
    <row r="44894">
      <c r="D44894" s="9"/>
      <c r="G44894" s="9"/>
      <c r="J44894" s="11"/>
      <c r="U44894" s="9"/>
      <c r="X44894" s="9"/>
    </row>
    <row r="44895">
      <c r="D44895" s="9"/>
      <c r="G44895" s="9"/>
      <c r="J44895" s="11"/>
      <c r="U44895" s="9"/>
      <c r="X44895" s="9"/>
    </row>
    <row r="44896">
      <c r="D44896" s="9"/>
      <c r="G44896" s="9"/>
      <c r="J44896" s="11"/>
      <c r="U44896" s="9"/>
      <c r="X44896" s="9"/>
    </row>
    <row r="44897">
      <c r="D44897" s="9"/>
      <c r="G44897" s="9"/>
      <c r="J44897" s="11"/>
      <c r="U44897" s="9"/>
      <c r="X44897" s="9"/>
    </row>
    <row r="44898">
      <c r="D44898" s="9"/>
      <c r="G44898" s="9"/>
      <c r="J44898" s="11"/>
      <c r="U44898" s="9"/>
      <c r="X44898" s="9"/>
    </row>
    <row r="44899">
      <c r="D44899" s="9"/>
      <c r="G44899" s="9"/>
      <c r="J44899" s="11"/>
      <c r="U44899" s="9"/>
      <c r="X44899" s="9"/>
    </row>
    <row r="44900">
      <c r="D44900" s="9"/>
      <c r="G44900" s="9"/>
      <c r="J44900" s="11"/>
      <c r="U44900" s="9"/>
      <c r="X44900" s="9"/>
    </row>
    <row r="44901">
      <c r="D44901" s="9"/>
      <c r="G44901" s="9"/>
      <c r="J44901" s="11"/>
      <c r="U44901" s="9"/>
      <c r="X44901" s="9"/>
    </row>
    <row r="44902">
      <c r="D44902" s="9"/>
      <c r="G44902" s="9"/>
      <c r="J44902" s="11"/>
      <c r="U44902" s="9"/>
      <c r="X44902" s="9"/>
    </row>
    <row r="44903">
      <c r="D44903" s="9"/>
      <c r="G44903" s="9"/>
      <c r="J44903" s="11"/>
      <c r="U44903" s="9"/>
      <c r="X44903" s="9"/>
    </row>
    <row r="44904">
      <c r="D44904" s="9"/>
      <c r="G44904" s="9"/>
      <c r="J44904" s="11"/>
      <c r="U44904" s="9"/>
      <c r="X44904" s="9"/>
    </row>
    <row r="44905">
      <c r="D44905" s="9"/>
      <c r="G44905" s="9"/>
      <c r="J44905" s="11"/>
      <c r="U44905" s="9"/>
      <c r="X44905" s="9"/>
    </row>
    <row r="44906">
      <c r="D44906" s="9"/>
      <c r="G44906" s="9"/>
      <c r="J44906" s="11"/>
      <c r="U44906" s="9"/>
      <c r="X44906" s="9"/>
    </row>
    <row r="44907">
      <c r="D44907" s="9"/>
      <c r="G44907" s="9"/>
      <c r="J44907" s="11"/>
      <c r="U44907" s="9"/>
      <c r="X44907" s="9"/>
    </row>
    <row r="44908">
      <c r="D44908" s="9"/>
      <c r="G44908" s="9"/>
      <c r="J44908" s="11"/>
      <c r="U44908" s="9"/>
      <c r="X44908" s="9"/>
    </row>
    <row r="44909">
      <c r="D44909" s="9"/>
      <c r="G44909" s="9"/>
      <c r="J44909" s="11"/>
      <c r="U44909" s="9"/>
      <c r="X44909" s="9"/>
    </row>
    <row r="44910">
      <c r="D44910" s="9"/>
      <c r="G44910" s="9"/>
      <c r="J44910" s="11"/>
      <c r="U44910" s="9"/>
      <c r="X44910" s="9"/>
    </row>
    <row r="44911">
      <c r="D44911" s="9"/>
      <c r="G44911" s="9"/>
      <c r="J44911" s="11"/>
      <c r="U44911" s="9"/>
      <c r="X44911" s="9"/>
    </row>
    <row r="44912">
      <c r="D44912" s="9"/>
      <c r="G44912" s="9"/>
      <c r="J44912" s="11"/>
      <c r="U44912" s="9"/>
      <c r="X44912" s="9"/>
    </row>
    <row r="44913">
      <c r="D44913" s="9"/>
      <c r="G44913" s="9"/>
      <c r="J44913" s="11"/>
      <c r="U44913" s="9"/>
      <c r="X44913" s="9"/>
    </row>
    <row r="44914">
      <c r="D44914" s="9"/>
      <c r="G44914" s="9"/>
      <c r="J44914" s="11"/>
      <c r="U44914" s="9"/>
      <c r="X44914" s="9"/>
    </row>
    <row r="44915">
      <c r="D44915" s="9"/>
      <c r="G44915" s="9"/>
      <c r="J44915" s="11"/>
      <c r="U44915" s="9"/>
      <c r="X44915" s="9"/>
    </row>
    <row r="44916">
      <c r="D44916" s="9"/>
      <c r="G44916" s="9"/>
      <c r="J44916" s="11"/>
      <c r="U44916" s="9"/>
      <c r="X44916" s="9"/>
    </row>
    <row r="44917">
      <c r="D44917" s="9"/>
      <c r="G44917" s="9"/>
      <c r="J44917" s="11"/>
      <c r="U44917" s="9"/>
      <c r="X44917" s="9"/>
    </row>
    <row r="44918">
      <c r="D44918" s="9"/>
      <c r="G44918" s="9"/>
      <c r="J44918" s="11"/>
      <c r="U44918" s="9"/>
      <c r="X44918" s="9"/>
    </row>
    <row r="44919">
      <c r="D44919" s="9"/>
      <c r="G44919" s="9"/>
      <c r="J44919" s="11"/>
      <c r="U44919" s="9"/>
      <c r="X44919" s="9"/>
    </row>
    <row r="44920">
      <c r="D44920" s="9"/>
      <c r="G44920" s="9"/>
      <c r="J44920" s="11"/>
      <c r="U44920" s="9"/>
      <c r="X44920" s="9"/>
    </row>
    <row r="44921">
      <c r="D44921" s="9"/>
      <c r="G44921" s="9"/>
      <c r="J44921" s="11"/>
      <c r="U44921" s="9"/>
      <c r="X44921" s="9"/>
    </row>
    <row r="44922">
      <c r="D44922" s="9"/>
      <c r="G44922" s="9"/>
      <c r="J44922" s="11"/>
      <c r="U44922" s="9"/>
      <c r="X44922" s="9"/>
    </row>
    <row r="44923">
      <c r="D44923" s="9"/>
      <c r="G44923" s="9"/>
      <c r="J44923" s="11"/>
      <c r="U44923" s="9"/>
      <c r="X44923" s="9"/>
    </row>
    <row r="44924">
      <c r="D44924" s="9"/>
      <c r="G44924" s="9"/>
      <c r="J44924" s="11"/>
      <c r="U44924" s="9"/>
      <c r="X44924" s="9"/>
    </row>
    <row r="44925">
      <c r="D44925" s="9"/>
      <c r="G44925" s="9"/>
      <c r="J44925" s="11"/>
      <c r="U44925" s="9"/>
      <c r="X44925" s="9"/>
    </row>
    <row r="44926">
      <c r="D44926" s="9"/>
      <c r="G44926" s="9"/>
      <c r="J44926" s="11"/>
      <c r="U44926" s="9"/>
      <c r="X44926" s="9"/>
    </row>
    <row r="44927">
      <c r="D44927" s="9"/>
      <c r="G44927" s="9"/>
      <c r="J44927" s="11"/>
      <c r="U44927" s="9"/>
      <c r="X44927" s="9"/>
    </row>
    <row r="44928">
      <c r="D44928" s="9"/>
      <c r="G44928" s="9"/>
      <c r="J44928" s="11"/>
      <c r="U44928" s="9"/>
      <c r="X44928" s="9"/>
    </row>
    <row r="44929">
      <c r="D44929" s="9"/>
      <c r="G44929" s="9"/>
      <c r="J44929" s="11"/>
      <c r="U44929" s="9"/>
      <c r="X44929" s="9"/>
    </row>
    <row r="44930">
      <c r="D44930" s="9"/>
      <c r="G44930" s="9"/>
      <c r="J44930" s="11"/>
      <c r="U44930" s="9"/>
      <c r="X44930" s="9"/>
    </row>
    <row r="44931">
      <c r="D44931" s="9"/>
      <c r="G44931" s="9"/>
      <c r="J44931" s="11"/>
      <c r="U44931" s="9"/>
      <c r="X44931" s="9"/>
    </row>
    <row r="44932">
      <c r="D44932" s="9"/>
      <c r="G44932" s="9"/>
      <c r="J44932" s="11"/>
      <c r="U44932" s="9"/>
      <c r="X44932" s="9"/>
    </row>
    <row r="44933">
      <c r="D44933" s="9"/>
      <c r="G44933" s="9"/>
      <c r="J44933" s="11"/>
      <c r="U44933" s="9"/>
      <c r="X44933" s="9"/>
    </row>
    <row r="44934">
      <c r="D44934" s="9"/>
      <c r="G44934" s="9"/>
      <c r="J44934" s="11"/>
      <c r="U44934" s="9"/>
      <c r="X44934" s="9"/>
    </row>
    <row r="44935">
      <c r="D44935" s="9"/>
      <c r="G44935" s="9"/>
      <c r="J44935" s="11"/>
      <c r="U44935" s="9"/>
      <c r="X44935" s="9"/>
    </row>
    <row r="44936">
      <c r="D44936" s="9"/>
      <c r="G44936" s="9"/>
      <c r="J44936" s="11"/>
      <c r="U44936" s="9"/>
      <c r="X44936" s="9"/>
    </row>
    <row r="44937">
      <c r="D44937" s="9"/>
      <c r="G44937" s="9"/>
      <c r="J44937" s="11"/>
      <c r="U44937" s="9"/>
      <c r="X44937" s="9"/>
    </row>
    <row r="44938">
      <c r="D44938" s="9"/>
      <c r="G44938" s="9"/>
      <c r="J44938" s="11"/>
      <c r="U44938" s="9"/>
      <c r="X44938" s="9"/>
    </row>
    <row r="44939">
      <c r="D44939" s="9"/>
      <c r="G44939" s="9"/>
      <c r="J44939" s="11"/>
      <c r="U44939" s="9"/>
      <c r="X44939" s="9"/>
    </row>
    <row r="44940">
      <c r="D44940" s="9"/>
      <c r="G44940" s="9"/>
      <c r="J44940" s="11"/>
      <c r="U44940" s="9"/>
      <c r="X44940" s="9"/>
    </row>
    <row r="44941">
      <c r="D44941" s="9"/>
      <c r="G44941" s="9"/>
      <c r="J44941" s="11"/>
      <c r="U44941" s="9"/>
      <c r="X44941" s="9"/>
    </row>
    <row r="44942">
      <c r="D44942" s="9"/>
      <c r="G44942" s="9"/>
      <c r="J44942" s="11"/>
      <c r="U44942" s="9"/>
      <c r="X44942" s="9"/>
    </row>
    <row r="44943">
      <c r="D44943" s="9"/>
      <c r="G44943" s="9"/>
      <c r="J44943" s="11"/>
      <c r="U44943" s="9"/>
      <c r="X44943" s="9"/>
    </row>
    <row r="44944">
      <c r="D44944" s="9"/>
      <c r="G44944" s="9"/>
      <c r="J44944" s="11"/>
      <c r="U44944" s="9"/>
      <c r="X44944" s="9"/>
    </row>
    <row r="44945">
      <c r="D44945" s="9"/>
      <c r="G44945" s="9"/>
      <c r="J44945" s="11"/>
      <c r="U44945" s="9"/>
      <c r="X44945" s="9"/>
    </row>
    <row r="44946">
      <c r="D44946" s="9"/>
      <c r="G44946" s="9"/>
      <c r="J44946" s="11"/>
      <c r="U44946" s="9"/>
      <c r="X44946" s="9"/>
    </row>
    <row r="44947">
      <c r="D44947" s="9"/>
      <c r="G44947" s="9"/>
      <c r="J44947" s="11"/>
      <c r="U44947" s="9"/>
      <c r="X44947" s="9"/>
    </row>
    <row r="44948">
      <c r="D44948" s="9"/>
      <c r="G44948" s="9"/>
      <c r="J44948" s="11"/>
      <c r="U44948" s="9"/>
      <c r="X44948" s="9"/>
    </row>
    <row r="44949">
      <c r="D44949" s="9"/>
      <c r="G44949" s="9"/>
      <c r="J44949" s="11"/>
      <c r="U44949" s="9"/>
      <c r="X44949" s="9"/>
    </row>
    <row r="44950">
      <c r="D44950" s="9"/>
      <c r="G44950" s="9"/>
      <c r="J44950" s="11"/>
      <c r="U44950" s="9"/>
      <c r="X44950" s="9"/>
    </row>
    <row r="44951">
      <c r="D44951" s="9"/>
      <c r="G44951" s="9"/>
      <c r="J44951" s="11"/>
      <c r="U44951" s="9"/>
      <c r="X44951" s="9"/>
    </row>
    <row r="44952">
      <c r="D44952" s="9"/>
      <c r="G44952" s="9"/>
      <c r="J44952" s="11"/>
      <c r="U44952" s="9"/>
      <c r="X44952" s="9"/>
    </row>
    <row r="44953">
      <c r="D44953" s="9"/>
      <c r="G44953" s="9"/>
      <c r="J44953" s="11"/>
      <c r="U44953" s="9"/>
      <c r="X44953" s="9"/>
    </row>
    <row r="44954">
      <c r="D44954" s="9"/>
      <c r="G44954" s="9"/>
      <c r="J44954" s="11"/>
      <c r="U44954" s="9"/>
      <c r="X44954" s="9"/>
    </row>
    <row r="44955">
      <c r="D44955" s="9"/>
      <c r="G44955" s="9"/>
      <c r="J44955" s="11"/>
      <c r="U44955" s="9"/>
      <c r="X44955" s="9"/>
    </row>
    <row r="44956">
      <c r="D44956" s="9"/>
      <c r="G44956" s="9"/>
      <c r="J44956" s="11"/>
      <c r="U44956" s="9"/>
      <c r="X44956" s="9"/>
    </row>
    <row r="44957">
      <c r="D44957" s="9"/>
      <c r="G44957" s="9"/>
      <c r="J44957" s="11"/>
      <c r="U44957" s="9"/>
      <c r="X44957" s="9"/>
    </row>
    <row r="44958">
      <c r="D44958" s="9"/>
      <c r="G44958" s="9"/>
      <c r="J44958" s="11"/>
      <c r="U44958" s="9"/>
      <c r="X44958" s="9"/>
    </row>
    <row r="44959">
      <c r="D44959" s="9"/>
      <c r="G44959" s="9"/>
      <c r="J44959" s="11"/>
      <c r="U44959" s="9"/>
      <c r="X44959" s="9"/>
    </row>
    <row r="44960">
      <c r="D44960" s="9"/>
      <c r="G44960" s="9"/>
      <c r="J44960" s="11"/>
      <c r="U44960" s="9"/>
      <c r="X44960" s="9"/>
    </row>
    <row r="44961">
      <c r="D44961" s="9"/>
      <c r="G44961" s="9"/>
      <c r="J44961" s="11"/>
      <c r="U44961" s="9"/>
      <c r="X44961" s="9"/>
    </row>
    <row r="44962">
      <c r="D44962" s="9"/>
      <c r="G44962" s="9"/>
      <c r="J44962" s="11"/>
      <c r="U44962" s="9"/>
      <c r="X44962" s="9"/>
    </row>
    <row r="44963">
      <c r="D44963" s="9"/>
      <c r="G44963" s="9"/>
      <c r="J44963" s="11"/>
      <c r="U44963" s="9"/>
      <c r="X44963" s="9"/>
    </row>
    <row r="44964">
      <c r="D44964" s="9"/>
      <c r="G44964" s="9"/>
      <c r="J44964" s="11"/>
      <c r="U44964" s="9"/>
      <c r="X44964" s="9"/>
    </row>
    <row r="44965">
      <c r="D44965" s="9"/>
      <c r="G44965" s="9"/>
      <c r="J44965" s="11"/>
      <c r="U44965" s="9"/>
      <c r="X44965" s="9"/>
    </row>
    <row r="44966">
      <c r="D44966" s="9"/>
      <c r="G44966" s="9"/>
      <c r="J44966" s="11"/>
      <c r="U44966" s="9"/>
      <c r="X44966" s="9"/>
    </row>
    <row r="44967">
      <c r="D44967" s="9"/>
      <c r="G44967" s="9"/>
      <c r="J44967" s="11"/>
      <c r="U44967" s="9"/>
      <c r="X44967" s="9"/>
    </row>
    <row r="44968">
      <c r="D44968" s="9"/>
      <c r="G44968" s="9"/>
      <c r="J44968" s="11"/>
      <c r="U44968" s="9"/>
      <c r="X44968" s="9"/>
    </row>
    <row r="44969">
      <c r="D44969" s="9"/>
      <c r="G44969" s="9"/>
      <c r="J44969" s="11"/>
      <c r="U44969" s="9"/>
      <c r="X44969" s="9"/>
    </row>
    <row r="44970">
      <c r="D44970" s="9"/>
      <c r="G44970" s="9"/>
      <c r="J44970" s="11"/>
      <c r="U44970" s="9"/>
      <c r="X44970" s="9"/>
    </row>
    <row r="44971">
      <c r="D44971" s="9"/>
      <c r="G44971" s="9"/>
      <c r="J44971" s="11"/>
      <c r="U44971" s="9"/>
      <c r="X44971" s="9"/>
    </row>
    <row r="44972">
      <c r="D44972" s="9"/>
      <c r="G44972" s="9"/>
      <c r="J44972" s="11"/>
      <c r="U44972" s="9"/>
      <c r="X44972" s="9"/>
    </row>
    <row r="44973">
      <c r="D44973" s="9"/>
      <c r="G44973" s="9"/>
      <c r="J44973" s="11"/>
      <c r="U44973" s="9"/>
      <c r="X44973" s="9"/>
    </row>
    <row r="44974">
      <c r="D44974" s="9"/>
      <c r="G44974" s="9"/>
      <c r="J44974" s="11"/>
      <c r="U44974" s="9"/>
      <c r="X44974" s="9"/>
    </row>
    <row r="44975">
      <c r="D44975" s="9"/>
      <c r="G44975" s="9"/>
      <c r="J44975" s="11"/>
      <c r="U44975" s="9"/>
      <c r="X44975" s="9"/>
    </row>
    <row r="44976">
      <c r="D44976" s="9"/>
      <c r="G44976" s="9"/>
      <c r="J44976" s="11"/>
      <c r="U44976" s="9"/>
      <c r="X44976" s="9"/>
    </row>
    <row r="44977">
      <c r="D44977" s="9"/>
      <c r="G44977" s="9"/>
      <c r="J44977" s="11"/>
      <c r="U44977" s="9"/>
      <c r="X44977" s="9"/>
    </row>
    <row r="44978">
      <c r="D44978" s="9"/>
      <c r="G44978" s="9"/>
      <c r="J44978" s="11"/>
      <c r="U44978" s="9"/>
      <c r="X44978" s="9"/>
    </row>
    <row r="44979">
      <c r="D44979" s="9"/>
      <c r="G44979" s="9"/>
      <c r="J44979" s="11"/>
      <c r="U44979" s="9"/>
      <c r="X44979" s="9"/>
    </row>
    <row r="44980">
      <c r="D44980" s="9"/>
      <c r="G44980" s="9"/>
      <c r="J44980" s="11"/>
      <c r="U44980" s="9"/>
      <c r="X44980" s="9"/>
    </row>
    <row r="44981">
      <c r="D44981" s="9"/>
      <c r="G44981" s="9"/>
      <c r="J44981" s="11"/>
      <c r="U44981" s="9"/>
      <c r="X44981" s="9"/>
    </row>
    <row r="44982">
      <c r="D44982" s="9"/>
      <c r="G44982" s="9"/>
      <c r="J44982" s="11"/>
      <c r="U44982" s="9"/>
      <c r="X44982" s="9"/>
    </row>
    <row r="44983">
      <c r="D44983" s="9"/>
      <c r="G44983" s="9"/>
      <c r="J44983" s="11"/>
      <c r="U44983" s="9"/>
      <c r="X44983" s="9"/>
    </row>
    <row r="44984">
      <c r="D44984" s="9"/>
      <c r="G44984" s="9"/>
      <c r="J44984" s="11"/>
      <c r="U44984" s="9"/>
      <c r="X44984" s="9"/>
    </row>
    <row r="44985">
      <c r="D44985" s="9"/>
      <c r="G44985" s="9"/>
      <c r="J44985" s="11"/>
      <c r="U44985" s="9"/>
      <c r="X44985" s="9"/>
    </row>
    <row r="44986">
      <c r="D44986" s="9"/>
      <c r="G44986" s="9"/>
      <c r="J44986" s="11"/>
      <c r="U44986" s="9"/>
      <c r="X44986" s="9"/>
    </row>
    <row r="44987">
      <c r="D44987" s="9"/>
      <c r="G44987" s="9"/>
      <c r="J44987" s="11"/>
      <c r="U44987" s="9"/>
      <c r="X44987" s="9"/>
    </row>
    <row r="44988">
      <c r="D44988" s="9"/>
      <c r="G44988" s="9"/>
      <c r="J44988" s="11"/>
      <c r="U44988" s="9"/>
      <c r="X44988" s="9"/>
    </row>
    <row r="44989">
      <c r="D44989" s="9"/>
      <c r="G44989" s="9"/>
      <c r="J44989" s="11"/>
      <c r="U44989" s="9"/>
      <c r="X44989" s="9"/>
    </row>
    <row r="44990">
      <c r="D44990" s="9"/>
      <c r="G44990" s="9"/>
      <c r="J44990" s="11"/>
      <c r="U44990" s="9"/>
      <c r="X44990" s="9"/>
    </row>
    <row r="44991">
      <c r="D44991" s="9"/>
      <c r="G44991" s="9"/>
      <c r="J44991" s="11"/>
      <c r="U44991" s="9"/>
      <c r="X44991" s="9"/>
    </row>
    <row r="44992">
      <c r="D44992" s="9"/>
      <c r="G44992" s="9"/>
      <c r="J44992" s="11"/>
      <c r="U44992" s="9"/>
      <c r="X44992" s="9"/>
    </row>
    <row r="44993">
      <c r="D44993" s="9"/>
      <c r="G44993" s="9"/>
      <c r="J44993" s="11"/>
      <c r="U44993" s="9"/>
      <c r="X44993" s="9"/>
    </row>
    <row r="44994">
      <c r="D44994" s="9"/>
      <c r="G44994" s="9"/>
      <c r="J44994" s="11"/>
      <c r="U44994" s="9"/>
      <c r="X44994" s="9"/>
    </row>
    <row r="44995">
      <c r="D44995" s="9"/>
      <c r="G44995" s="9"/>
      <c r="J44995" s="11"/>
      <c r="U44995" s="9"/>
      <c r="X44995" s="9"/>
    </row>
    <row r="44996">
      <c r="D44996" s="9"/>
      <c r="G44996" s="9"/>
      <c r="J44996" s="11"/>
      <c r="U44996" s="9"/>
      <c r="X44996" s="9"/>
    </row>
    <row r="44997">
      <c r="D44997" s="9"/>
      <c r="G44997" s="9"/>
      <c r="J44997" s="11"/>
      <c r="U44997" s="9"/>
      <c r="X44997" s="9"/>
    </row>
    <row r="44998">
      <c r="D44998" s="9"/>
      <c r="G44998" s="9"/>
      <c r="J44998" s="11"/>
      <c r="U44998" s="9"/>
      <c r="X44998" s="9"/>
    </row>
    <row r="44999">
      <c r="D44999" s="9"/>
      <c r="G44999" s="9"/>
      <c r="J44999" s="11"/>
      <c r="U44999" s="9"/>
      <c r="X44999" s="9"/>
    </row>
    <row r="45000">
      <c r="D45000" s="9"/>
      <c r="G45000" s="9"/>
      <c r="J45000" s="11"/>
      <c r="U45000" s="9"/>
      <c r="X45000" s="9"/>
    </row>
    <row r="45001">
      <c r="D45001" s="9"/>
      <c r="G45001" s="9"/>
      <c r="J45001" s="11"/>
      <c r="U45001" s="9"/>
      <c r="X45001" s="9"/>
    </row>
    <row r="45002">
      <c r="D45002" s="9"/>
      <c r="G45002" s="9"/>
      <c r="J45002" s="11"/>
      <c r="U45002" s="9"/>
      <c r="X45002" s="9"/>
    </row>
    <row r="45003">
      <c r="D45003" s="9"/>
      <c r="G45003" s="9"/>
      <c r="J45003" s="11"/>
      <c r="U45003" s="9"/>
      <c r="X45003" s="9"/>
    </row>
    <row r="45004">
      <c r="D45004" s="9"/>
      <c r="G45004" s="9"/>
      <c r="J45004" s="11"/>
      <c r="U45004" s="9"/>
      <c r="X45004" s="9"/>
    </row>
    <row r="45005">
      <c r="D45005" s="9"/>
      <c r="G45005" s="9"/>
      <c r="J45005" s="11"/>
      <c r="U45005" s="9"/>
      <c r="X45005" s="9"/>
    </row>
    <row r="45006">
      <c r="D45006" s="9"/>
      <c r="G45006" s="9"/>
      <c r="J45006" s="11"/>
      <c r="U45006" s="9"/>
      <c r="X45006" s="9"/>
    </row>
    <row r="45007">
      <c r="D45007" s="9"/>
      <c r="G45007" s="9"/>
      <c r="J45007" s="11"/>
      <c r="U45007" s="9"/>
      <c r="X45007" s="9"/>
    </row>
    <row r="45008">
      <c r="D45008" s="9"/>
      <c r="G45008" s="9"/>
      <c r="J45008" s="11"/>
      <c r="U45008" s="9"/>
      <c r="X45008" s="9"/>
    </row>
    <row r="45009">
      <c r="D45009" s="9"/>
      <c r="G45009" s="9"/>
      <c r="J45009" s="11"/>
      <c r="U45009" s="9"/>
      <c r="X45009" s="9"/>
    </row>
    <row r="45010">
      <c r="D45010" s="9"/>
      <c r="G45010" s="9"/>
      <c r="J45010" s="11"/>
      <c r="U45010" s="9"/>
      <c r="X45010" s="9"/>
    </row>
    <row r="45011">
      <c r="D45011" s="9"/>
      <c r="G45011" s="9"/>
      <c r="J45011" s="11"/>
      <c r="U45011" s="9"/>
      <c r="X45011" s="9"/>
    </row>
    <row r="45012">
      <c r="D45012" s="9"/>
      <c r="G45012" s="9"/>
      <c r="J45012" s="11"/>
      <c r="U45012" s="9"/>
      <c r="X45012" s="9"/>
    </row>
    <row r="45013">
      <c r="D45013" s="9"/>
      <c r="G45013" s="9"/>
      <c r="J45013" s="11"/>
      <c r="U45013" s="9"/>
      <c r="X45013" s="9"/>
    </row>
    <row r="45014">
      <c r="D45014" s="9"/>
      <c r="G45014" s="9"/>
      <c r="J45014" s="11"/>
      <c r="U45014" s="9"/>
      <c r="X45014" s="9"/>
    </row>
    <row r="45015">
      <c r="D45015" s="9"/>
      <c r="G45015" s="9"/>
      <c r="J45015" s="11"/>
      <c r="U45015" s="9"/>
      <c r="X45015" s="9"/>
    </row>
    <row r="45016">
      <c r="D45016" s="9"/>
      <c r="G45016" s="9"/>
      <c r="J45016" s="11"/>
      <c r="U45016" s="9"/>
      <c r="X45016" s="9"/>
    </row>
    <row r="45017">
      <c r="D45017" s="9"/>
      <c r="G45017" s="9"/>
      <c r="J45017" s="11"/>
      <c r="U45017" s="9"/>
      <c r="X45017" s="9"/>
    </row>
    <row r="45018">
      <c r="D45018" s="9"/>
      <c r="G45018" s="9"/>
      <c r="J45018" s="11"/>
      <c r="U45018" s="9"/>
      <c r="X45018" s="9"/>
    </row>
    <row r="45019">
      <c r="D45019" s="9"/>
      <c r="G45019" s="9"/>
      <c r="J45019" s="11"/>
      <c r="U45019" s="9"/>
      <c r="X45019" s="9"/>
    </row>
    <row r="45020">
      <c r="D45020" s="9"/>
      <c r="G45020" s="9"/>
      <c r="J45020" s="11"/>
      <c r="U45020" s="9"/>
      <c r="X45020" s="9"/>
    </row>
    <row r="45021">
      <c r="D45021" s="9"/>
      <c r="G45021" s="9"/>
      <c r="J45021" s="11"/>
      <c r="U45021" s="9"/>
      <c r="X45021" s="9"/>
    </row>
    <row r="45022">
      <c r="D45022" s="9"/>
      <c r="G45022" s="9"/>
      <c r="J45022" s="11"/>
      <c r="U45022" s="9"/>
      <c r="X45022" s="9"/>
    </row>
    <row r="45023">
      <c r="D45023" s="9"/>
      <c r="G45023" s="9"/>
      <c r="J45023" s="11"/>
      <c r="U45023" s="9"/>
      <c r="X45023" s="9"/>
    </row>
    <row r="45024">
      <c r="D45024" s="9"/>
      <c r="G45024" s="9"/>
      <c r="J45024" s="11"/>
      <c r="U45024" s="9"/>
      <c r="X45024" s="9"/>
    </row>
    <row r="45025">
      <c r="D45025" s="9"/>
      <c r="G45025" s="9"/>
      <c r="J45025" s="11"/>
      <c r="U45025" s="9"/>
      <c r="X45025" s="9"/>
    </row>
    <row r="45026">
      <c r="D45026" s="9"/>
      <c r="G45026" s="9"/>
      <c r="J45026" s="11"/>
      <c r="U45026" s="9"/>
      <c r="X45026" s="9"/>
    </row>
    <row r="45027">
      <c r="D45027" s="9"/>
      <c r="G45027" s="9"/>
      <c r="J45027" s="11"/>
      <c r="U45027" s="9"/>
      <c r="X45027" s="9"/>
    </row>
    <row r="45028">
      <c r="D45028" s="9"/>
      <c r="G45028" s="9"/>
      <c r="J45028" s="11"/>
      <c r="U45028" s="9"/>
      <c r="X45028" s="9"/>
    </row>
    <row r="45029">
      <c r="D45029" s="9"/>
      <c r="G45029" s="9"/>
      <c r="J45029" s="11"/>
      <c r="U45029" s="9"/>
      <c r="X45029" s="9"/>
    </row>
    <row r="45030">
      <c r="D45030" s="9"/>
      <c r="G45030" s="9"/>
      <c r="J45030" s="11"/>
      <c r="U45030" s="9"/>
      <c r="X45030" s="9"/>
    </row>
    <row r="45031">
      <c r="D45031" s="9"/>
      <c r="G45031" s="9"/>
      <c r="J45031" s="11"/>
      <c r="U45031" s="9"/>
      <c r="X45031" s="9"/>
    </row>
    <row r="45032">
      <c r="D45032" s="9"/>
      <c r="G45032" s="9"/>
      <c r="J45032" s="11"/>
      <c r="U45032" s="9"/>
      <c r="X45032" s="9"/>
    </row>
    <row r="45033">
      <c r="D45033" s="9"/>
      <c r="G45033" s="9"/>
      <c r="J45033" s="11"/>
      <c r="U45033" s="9"/>
      <c r="X45033" s="9"/>
    </row>
    <row r="45034">
      <c r="D45034" s="9"/>
      <c r="G45034" s="9"/>
      <c r="J45034" s="11"/>
      <c r="U45034" s="9"/>
      <c r="X45034" s="9"/>
    </row>
    <row r="45035">
      <c r="D45035" s="9"/>
      <c r="G45035" s="9"/>
      <c r="J45035" s="11"/>
      <c r="U45035" s="9"/>
      <c r="X45035" s="9"/>
    </row>
    <row r="45036">
      <c r="D45036" s="9"/>
      <c r="G45036" s="9"/>
      <c r="J45036" s="11"/>
      <c r="U45036" s="9"/>
      <c r="X45036" s="9"/>
    </row>
    <row r="45037">
      <c r="D45037" s="9"/>
      <c r="G45037" s="9"/>
      <c r="J45037" s="11"/>
      <c r="U45037" s="9"/>
      <c r="X45037" s="9"/>
    </row>
    <row r="45038">
      <c r="D45038" s="9"/>
      <c r="G45038" s="9"/>
      <c r="J45038" s="11"/>
      <c r="U45038" s="9"/>
      <c r="X45038" s="9"/>
    </row>
    <row r="45039">
      <c r="D45039" s="9"/>
      <c r="G45039" s="9"/>
      <c r="J45039" s="11"/>
      <c r="U45039" s="9"/>
      <c r="X45039" s="9"/>
    </row>
    <row r="45040">
      <c r="D45040" s="9"/>
      <c r="G45040" s="9"/>
      <c r="J45040" s="11"/>
      <c r="U45040" s="9"/>
      <c r="X45040" s="9"/>
    </row>
    <row r="45041">
      <c r="D45041" s="9"/>
      <c r="G45041" s="9"/>
      <c r="J45041" s="11"/>
      <c r="U45041" s="9"/>
      <c r="X45041" s="9"/>
    </row>
    <row r="45042">
      <c r="D45042" s="9"/>
      <c r="G45042" s="9"/>
      <c r="J45042" s="11"/>
      <c r="U45042" s="9"/>
      <c r="X45042" s="9"/>
    </row>
    <row r="45043">
      <c r="D45043" s="9"/>
      <c r="G45043" s="9"/>
      <c r="J45043" s="11"/>
      <c r="U45043" s="9"/>
      <c r="X45043" s="9"/>
    </row>
    <row r="45044">
      <c r="D45044" s="9"/>
      <c r="G45044" s="9"/>
      <c r="J45044" s="11"/>
      <c r="U45044" s="9"/>
      <c r="X45044" s="9"/>
    </row>
    <row r="45045">
      <c r="D45045" s="9"/>
      <c r="G45045" s="9"/>
      <c r="J45045" s="11"/>
      <c r="U45045" s="9"/>
      <c r="X45045" s="9"/>
    </row>
    <row r="45046">
      <c r="D45046" s="9"/>
      <c r="G45046" s="9"/>
      <c r="J45046" s="11"/>
      <c r="U45046" s="9"/>
      <c r="X45046" s="9"/>
    </row>
    <row r="45047">
      <c r="D45047" s="9"/>
      <c r="G45047" s="9"/>
      <c r="J45047" s="11"/>
      <c r="U45047" s="9"/>
      <c r="X45047" s="9"/>
    </row>
    <row r="45048">
      <c r="D45048" s="9"/>
      <c r="G45048" s="9"/>
      <c r="J45048" s="11"/>
      <c r="U45048" s="9"/>
      <c r="X45048" s="9"/>
    </row>
    <row r="45049">
      <c r="D45049" s="9"/>
      <c r="G45049" s="9"/>
      <c r="J45049" s="11"/>
      <c r="U45049" s="9"/>
      <c r="X45049" s="9"/>
    </row>
    <row r="45050">
      <c r="D45050" s="9"/>
      <c r="G45050" s="9"/>
      <c r="J45050" s="11"/>
      <c r="U45050" s="9"/>
      <c r="X45050" s="9"/>
    </row>
    <row r="45051">
      <c r="D45051" s="9"/>
      <c r="G45051" s="9"/>
      <c r="J45051" s="11"/>
      <c r="U45051" s="9"/>
      <c r="X45051" s="9"/>
    </row>
    <row r="45052">
      <c r="D45052" s="9"/>
      <c r="G45052" s="9"/>
      <c r="J45052" s="11"/>
      <c r="U45052" s="9"/>
      <c r="X45052" s="9"/>
    </row>
    <row r="45053">
      <c r="D45053" s="9"/>
      <c r="G45053" s="9"/>
      <c r="J45053" s="11"/>
      <c r="U45053" s="9"/>
      <c r="X45053" s="9"/>
    </row>
    <row r="45054">
      <c r="D45054" s="9"/>
      <c r="G45054" s="9"/>
      <c r="J45054" s="11"/>
      <c r="U45054" s="9"/>
      <c r="X45054" s="9"/>
    </row>
    <row r="45055">
      <c r="D45055" s="9"/>
      <c r="G45055" s="9"/>
      <c r="J45055" s="11"/>
      <c r="U45055" s="9"/>
      <c r="X45055" s="9"/>
    </row>
    <row r="45056">
      <c r="D45056" s="9"/>
      <c r="G45056" s="9"/>
      <c r="J45056" s="11"/>
      <c r="U45056" s="9"/>
      <c r="X45056" s="9"/>
    </row>
    <row r="45057">
      <c r="D45057" s="9"/>
      <c r="G45057" s="9"/>
      <c r="J45057" s="11"/>
      <c r="U45057" s="9"/>
      <c r="X45057" s="9"/>
    </row>
    <row r="45058">
      <c r="D45058" s="9"/>
      <c r="G45058" s="9"/>
      <c r="J45058" s="11"/>
      <c r="U45058" s="9"/>
      <c r="X45058" s="9"/>
    </row>
    <row r="45059">
      <c r="D45059" s="9"/>
      <c r="G45059" s="9"/>
      <c r="J45059" s="11"/>
      <c r="U45059" s="9"/>
      <c r="X45059" s="9"/>
    </row>
    <row r="45060">
      <c r="D45060" s="9"/>
      <c r="G45060" s="9"/>
      <c r="J45060" s="11"/>
      <c r="U45060" s="9"/>
      <c r="X45060" s="9"/>
    </row>
    <row r="45061">
      <c r="D45061" s="9"/>
      <c r="G45061" s="9"/>
      <c r="J45061" s="11"/>
      <c r="U45061" s="9"/>
      <c r="X45061" s="9"/>
    </row>
    <row r="45062">
      <c r="D45062" s="9"/>
      <c r="G45062" s="9"/>
      <c r="J45062" s="11"/>
      <c r="U45062" s="9"/>
      <c r="X45062" s="9"/>
    </row>
    <row r="45063">
      <c r="D45063" s="9"/>
      <c r="G45063" s="9"/>
      <c r="J45063" s="11"/>
      <c r="U45063" s="9"/>
      <c r="X45063" s="9"/>
    </row>
    <row r="45064">
      <c r="D45064" s="9"/>
      <c r="G45064" s="9"/>
      <c r="J45064" s="11"/>
      <c r="U45064" s="9"/>
      <c r="X45064" s="9"/>
    </row>
    <row r="45065">
      <c r="D45065" s="9"/>
      <c r="G45065" s="9"/>
      <c r="J45065" s="11"/>
      <c r="U45065" s="9"/>
      <c r="X45065" s="9"/>
    </row>
    <row r="45066">
      <c r="D45066" s="9"/>
      <c r="G45066" s="9"/>
      <c r="J45066" s="11"/>
      <c r="U45066" s="9"/>
      <c r="X45066" s="9"/>
    </row>
    <row r="45067">
      <c r="D45067" s="9"/>
      <c r="G45067" s="9"/>
      <c r="J45067" s="11"/>
      <c r="U45067" s="9"/>
      <c r="X45067" s="9"/>
    </row>
    <row r="45068">
      <c r="D45068" s="9"/>
      <c r="G45068" s="9"/>
      <c r="J45068" s="11"/>
      <c r="U45068" s="9"/>
      <c r="X45068" s="9"/>
    </row>
    <row r="45069">
      <c r="D45069" s="9"/>
      <c r="G45069" s="9"/>
      <c r="J45069" s="11"/>
      <c r="U45069" s="9"/>
      <c r="X45069" s="9"/>
    </row>
    <row r="45070">
      <c r="D45070" s="9"/>
      <c r="G45070" s="9"/>
      <c r="J45070" s="11"/>
      <c r="U45070" s="9"/>
      <c r="X45070" s="9"/>
    </row>
    <row r="45071">
      <c r="D45071" s="9"/>
      <c r="G45071" s="9"/>
      <c r="J45071" s="11"/>
      <c r="U45071" s="9"/>
      <c r="X45071" s="9"/>
    </row>
    <row r="45072">
      <c r="D45072" s="9"/>
      <c r="G45072" s="9"/>
      <c r="J45072" s="11"/>
      <c r="U45072" s="9"/>
      <c r="X45072" s="9"/>
    </row>
    <row r="45073">
      <c r="D45073" s="9"/>
      <c r="G45073" s="9"/>
      <c r="J45073" s="11"/>
      <c r="U45073" s="9"/>
      <c r="X45073" s="9"/>
    </row>
    <row r="45074">
      <c r="D45074" s="9"/>
      <c r="G45074" s="9"/>
      <c r="J45074" s="11"/>
      <c r="U45074" s="9"/>
      <c r="X45074" s="9"/>
    </row>
    <row r="45075">
      <c r="D45075" s="9"/>
      <c r="G45075" s="9"/>
      <c r="J45075" s="11"/>
      <c r="U45075" s="9"/>
      <c r="X45075" s="9"/>
    </row>
    <row r="45076">
      <c r="D45076" s="9"/>
      <c r="G45076" s="9"/>
      <c r="J45076" s="11"/>
      <c r="U45076" s="9"/>
      <c r="X45076" s="9"/>
    </row>
    <row r="45077">
      <c r="D45077" s="9"/>
      <c r="G45077" s="9"/>
      <c r="J45077" s="11"/>
      <c r="U45077" s="9"/>
      <c r="X45077" s="9"/>
    </row>
    <row r="45078">
      <c r="D45078" s="9"/>
      <c r="G45078" s="9"/>
      <c r="J45078" s="11"/>
      <c r="U45078" s="9"/>
      <c r="X45078" s="9"/>
    </row>
    <row r="45079">
      <c r="D45079" s="9"/>
      <c r="G45079" s="9"/>
      <c r="J45079" s="11"/>
      <c r="U45079" s="9"/>
      <c r="X45079" s="9"/>
    </row>
    <row r="45080">
      <c r="D45080" s="9"/>
      <c r="G45080" s="9"/>
      <c r="J45080" s="11"/>
      <c r="U45080" s="9"/>
      <c r="X45080" s="9"/>
    </row>
    <row r="45081">
      <c r="D45081" s="9"/>
      <c r="G45081" s="9"/>
      <c r="J45081" s="11"/>
      <c r="U45081" s="9"/>
      <c r="X45081" s="9"/>
    </row>
    <row r="45082">
      <c r="D45082" s="9"/>
      <c r="G45082" s="9"/>
      <c r="J45082" s="11"/>
      <c r="U45082" s="9"/>
      <c r="X45082" s="9"/>
    </row>
    <row r="45083">
      <c r="D45083" s="9"/>
      <c r="G45083" s="9"/>
      <c r="J45083" s="11"/>
      <c r="U45083" s="9"/>
      <c r="X45083" s="9"/>
    </row>
    <row r="45084">
      <c r="D45084" s="9"/>
      <c r="G45084" s="9"/>
      <c r="J45084" s="11"/>
      <c r="U45084" s="9"/>
      <c r="X45084" s="9"/>
    </row>
    <row r="45085">
      <c r="D45085" s="9"/>
      <c r="G45085" s="9"/>
      <c r="J45085" s="11"/>
      <c r="U45085" s="9"/>
      <c r="X45085" s="9"/>
    </row>
    <row r="45086">
      <c r="D45086" s="9"/>
      <c r="G45086" s="9"/>
      <c r="J45086" s="11"/>
      <c r="U45086" s="9"/>
      <c r="X45086" s="9"/>
    </row>
    <row r="45087">
      <c r="D45087" s="9"/>
      <c r="G45087" s="9"/>
      <c r="J45087" s="11"/>
      <c r="U45087" s="9"/>
      <c r="X45087" s="9"/>
    </row>
    <row r="45088">
      <c r="D45088" s="9"/>
      <c r="G45088" s="9"/>
      <c r="J45088" s="11"/>
      <c r="U45088" s="9"/>
      <c r="X45088" s="9"/>
    </row>
    <row r="45089">
      <c r="D45089" s="9"/>
      <c r="G45089" s="9"/>
      <c r="J45089" s="11"/>
      <c r="U45089" s="9"/>
      <c r="X45089" s="9"/>
    </row>
    <row r="45090">
      <c r="D45090" s="9"/>
      <c r="G45090" s="9"/>
      <c r="J45090" s="11"/>
      <c r="U45090" s="9"/>
      <c r="X45090" s="9"/>
    </row>
    <row r="45091">
      <c r="D45091" s="9"/>
      <c r="G45091" s="9"/>
      <c r="J45091" s="11"/>
      <c r="U45091" s="9"/>
      <c r="X45091" s="9"/>
    </row>
    <row r="45092">
      <c r="D45092" s="9"/>
      <c r="G45092" s="9"/>
      <c r="J45092" s="11"/>
      <c r="U45092" s="9"/>
      <c r="X45092" s="9"/>
    </row>
    <row r="45093">
      <c r="D45093" s="9"/>
      <c r="G45093" s="9"/>
      <c r="J45093" s="11"/>
      <c r="U45093" s="9"/>
      <c r="X45093" s="9"/>
    </row>
    <row r="45094">
      <c r="D45094" s="9"/>
      <c r="G45094" s="9"/>
      <c r="J45094" s="11"/>
      <c r="U45094" s="9"/>
      <c r="X45094" s="9"/>
    </row>
    <row r="45095">
      <c r="D45095" s="9"/>
      <c r="G45095" s="9"/>
      <c r="J45095" s="11"/>
      <c r="U45095" s="9"/>
      <c r="X45095" s="9"/>
    </row>
    <row r="45096">
      <c r="D45096" s="9"/>
      <c r="G45096" s="9"/>
      <c r="J45096" s="11"/>
      <c r="U45096" s="9"/>
      <c r="X45096" s="9"/>
    </row>
    <row r="45097">
      <c r="D45097" s="9"/>
      <c r="G45097" s="9"/>
      <c r="J45097" s="11"/>
      <c r="U45097" s="9"/>
      <c r="X45097" s="9"/>
    </row>
    <row r="45098">
      <c r="D45098" s="9"/>
      <c r="G45098" s="9"/>
      <c r="J45098" s="11"/>
      <c r="U45098" s="9"/>
      <c r="X45098" s="9"/>
    </row>
    <row r="45099">
      <c r="D45099" s="9"/>
      <c r="G45099" s="9"/>
      <c r="J45099" s="11"/>
      <c r="U45099" s="9"/>
      <c r="X45099" s="9"/>
    </row>
    <row r="45100">
      <c r="D45100" s="9"/>
      <c r="G45100" s="9"/>
      <c r="J45100" s="11"/>
      <c r="U45100" s="9"/>
      <c r="X45100" s="9"/>
    </row>
    <row r="45101">
      <c r="D45101" s="9"/>
      <c r="G45101" s="9"/>
      <c r="J45101" s="11"/>
      <c r="U45101" s="9"/>
      <c r="X45101" s="9"/>
    </row>
    <row r="45102">
      <c r="D45102" s="9"/>
      <c r="G45102" s="9"/>
      <c r="J45102" s="11"/>
      <c r="U45102" s="9"/>
      <c r="X45102" s="9"/>
    </row>
    <row r="45103">
      <c r="D45103" s="9"/>
      <c r="G45103" s="9"/>
      <c r="J45103" s="11"/>
      <c r="U45103" s="9"/>
      <c r="X45103" s="9"/>
    </row>
    <row r="45104">
      <c r="D45104" s="9"/>
      <c r="G45104" s="9"/>
      <c r="J45104" s="11"/>
      <c r="U45104" s="9"/>
      <c r="X45104" s="9"/>
    </row>
    <row r="45105">
      <c r="D45105" s="9"/>
      <c r="G45105" s="9"/>
      <c r="J45105" s="11"/>
      <c r="U45105" s="9"/>
      <c r="X45105" s="9"/>
    </row>
    <row r="45106">
      <c r="D45106" s="9"/>
      <c r="G45106" s="9"/>
      <c r="J45106" s="11"/>
      <c r="U45106" s="9"/>
      <c r="X45106" s="9"/>
    </row>
    <row r="45107">
      <c r="D45107" s="9"/>
      <c r="G45107" s="9"/>
      <c r="J45107" s="11"/>
      <c r="U45107" s="9"/>
      <c r="X45107" s="9"/>
    </row>
    <row r="45108">
      <c r="D45108" s="9"/>
      <c r="G45108" s="9"/>
      <c r="J45108" s="11"/>
      <c r="U45108" s="9"/>
      <c r="X45108" s="9"/>
    </row>
    <row r="45109">
      <c r="D45109" s="9"/>
      <c r="G45109" s="9"/>
      <c r="J45109" s="11"/>
      <c r="U45109" s="9"/>
      <c r="X45109" s="9"/>
    </row>
    <row r="45110">
      <c r="D45110" s="9"/>
      <c r="G45110" s="9"/>
      <c r="J45110" s="11"/>
      <c r="U45110" s="9"/>
      <c r="X45110" s="9"/>
    </row>
    <row r="45111">
      <c r="D45111" s="9"/>
      <c r="G45111" s="9"/>
      <c r="J45111" s="11"/>
      <c r="U45111" s="9"/>
      <c r="X45111" s="9"/>
    </row>
    <row r="45112">
      <c r="D45112" s="9"/>
      <c r="G45112" s="9"/>
      <c r="J45112" s="11"/>
      <c r="U45112" s="9"/>
      <c r="X45112" s="9"/>
    </row>
    <row r="45113">
      <c r="D45113" s="9"/>
      <c r="G45113" s="9"/>
      <c r="J45113" s="11"/>
      <c r="U45113" s="9"/>
      <c r="X45113" s="9"/>
    </row>
    <row r="45114">
      <c r="D45114" s="9"/>
      <c r="G45114" s="9"/>
      <c r="J45114" s="11"/>
      <c r="U45114" s="9"/>
      <c r="X45114" s="9"/>
    </row>
    <row r="45115">
      <c r="D45115" s="9"/>
      <c r="G45115" s="9"/>
      <c r="J45115" s="11"/>
      <c r="U45115" s="9"/>
      <c r="X45115" s="9"/>
    </row>
    <row r="45116">
      <c r="D45116" s="9"/>
      <c r="G45116" s="9"/>
      <c r="J45116" s="11"/>
      <c r="U45116" s="9"/>
      <c r="X45116" s="9"/>
    </row>
    <row r="45117">
      <c r="D45117" s="9"/>
      <c r="G45117" s="9"/>
      <c r="J45117" s="11"/>
      <c r="U45117" s="9"/>
      <c r="X45117" s="9"/>
    </row>
    <row r="45118">
      <c r="D45118" s="9"/>
      <c r="G45118" s="9"/>
      <c r="J45118" s="11"/>
      <c r="U45118" s="9"/>
      <c r="X45118" s="9"/>
    </row>
    <row r="45119">
      <c r="D45119" s="9"/>
      <c r="G45119" s="9"/>
      <c r="J45119" s="11"/>
      <c r="U45119" s="9"/>
      <c r="X45119" s="9"/>
    </row>
    <row r="45120">
      <c r="D45120" s="9"/>
      <c r="G45120" s="9"/>
      <c r="J45120" s="11"/>
      <c r="U45120" s="9"/>
      <c r="X45120" s="9"/>
    </row>
    <row r="45121">
      <c r="D45121" s="9"/>
      <c r="G45121" s="9"/>
      <c r="J45121" s="11"/>
      <c r="U45121" s="9"/>
      <c r="X45121" s="9"/>
    </row>
    <row r="45122">
      <c r="D45122" s="9"/>
      <c r="G45122" s="9"/>
      <c r="J45122" s="11"/>
      <c r="U45122" s="9"/>
      <c r="X45122" s="9"/>
    </row>
    <row r="45123">
      <c r="D45123" s="9"/>
      <c r="G45123" s="9"/>
      <c r="J45123" s="11"/>
      <c r="U45123" s="9"/>
      <c r="X45123" s="9"/>
    </row>
    <row r="45124">
      <c r="D45124" s="9"/>
      <c r="G45124" s="9"/>
      <c r="J45124" s="11"/>
      <c r="U45124" s="9"/>
      <c r="X45124" s="9"/>
    </row>
    <row r="45125">
      <c r="D45125" s="9"/>
      <c r="G45125" s="9"/>
      <c r="J45125" s="11"/>
      <c r="U45125" s="9"/>
      <c r="X45125" s="9"/>
    </row>
    <row r="45126">
      <c r="D45126" s="9"/>
      <c r="G45126" s="9"/>
      <c r="J45126" s="11"/>
      <c r="U45126" s="9"/>
      <c r="X45126" s="9"/>
    </row>
    <row r="45127">
      <c r="D45127" s="9"/>
      <c r="G45127" s="9"/>
      <c r="J45127" s="11"/>
      <c r="U45127" s="9"/>
      <c r="X45127" s="9"/>
    </row>
    <row r="45128">
      <c r="D45128" s="9"/>
      <c r="G45128" s="9"/>
      <c r="J45128" s="11"/>
      <c r="U45128" s="9"/>
      <c r="X45128" s="9"/>
    </row>
    <row r="45129">
      <c r="D45129" s="9"/>
      <c r="G45129" s="9"/>
      <c r="J45129" s="11"/>
      <c r="U45129" s="9"/>
      <c r="X45129" s="9"/>
    </row>
    <row r="45130">
      <c r="D45130" s="9"/>
      <c r="G45130" s="9"/>
      <c r="J45130" s="11"/>
      <c r="U45130" s="9"/>
      <c r="X45130" s="9"/>
    </row>
    <row r="45131">
      <c r="D45131" s="9"/>
      <c r="G45131" s="9"/>
      <c r="J45131" s="11"/>
      <c r="U45131" s="9"/>
      <c r="X45131" s="9"/>
    </row>
    <row r="45132">
      <c r="D45132" s="9"/>
      <c r="G45132" s="9"/>
      <c r="J45132" s="11"/>
      <c r="U45132" s="9"/>
      <c r="X45132" s="9"/>
    </row>
    <row r="45133">
      <c r="D45133" s="9"/>
      <c r="G45133" s="9"/>
      <c r="J45133" s="11"/>
      <c r="U45133" s="9"/>
      <c r="X45133" s="9"/>
    </row>
    <row r="45134">
      <c r="D45134" s="9"/>
      <c r="G45134" s="9"/>
      <c r="J45134" s="11"/>
      <c r="U45134" s="9"/>
      <c r="X45134" s="9"/>
    </row>
    <row r="45135">
      <c r="D45135" s="9"/>
      <c r="G45135" s="9"/>
      <c r="J45135" s="11"/>
      <c r="U45135" s="9"/>
      <c r="X45135" s="9"/>
    </row>
    <row r="45136">
      <c r="D45136" s="9"/>
      <c r="G45136" s="9"/>
      <c r="J45136" s="11"/>
      <c r="U45136" s="9"/>
      <c r="X45136" s="9"/>
    </row>
    <row r="45137">
      <c r="D45137" s="9"/>
      <c r="G45137" s="9"/>
      <c r="J45137" s="11"/>
      <c r="U45137" s="9"/>
      <c r="X45137" s="9"/>
    </row>
    <row r="45138">
      <c r="D45138" s="9"/>
      <c r="G45138" s="9"/>
      <c r="J45138" s="11"/>
      <c r="U45138" s="9"/>
      <c r="X45138" s="9"/>
    </row>
    <row r="45139">
      <c r="D45139" s="9"/>
      <c r="G45139" s="9"/>
      <c r="J45139" s="11"/>
      <c r="U45139" s="9"/>
      <c r="X45139" s="9"/>
    </row>
    <row r="45140">
      <c r="D45140" s="9"/>
      <c r="G45140" s="9"/>
      <c r="J45140" s="11"/>
      <c r="U45140" s="9"/>
      <c r="X45140" s="9"/>
    </row>
    <row r="45141">
      <c r="D45141" s="9"/>
      <c r="G45141" s="9"/>
      <c r="J45141" s="11"/>
      <c r="U45141" s="9"/>
      <c r="X45141" s="9"/>
    </row>
    <row r="45142">
      <c r="D45142" s="9"/>
      <c r="G45142" s="9"/>
      <c r="J45142" s="11"/>
      <c r="U45142" s="9"/>
      <c r="X45142" s="9"/>
    </row>
    <row r="45143">
      <c r="D45143" s="9"/>
      <c r="G45143" s="9"/>
      <c r="J45143" s="11"/>
      <c r="U45143" s="9"/>
      <c r="X45143" s="9"/>
    </row>
    <row r="45144">
      <c r="D45144" s="9"/>
      <c r="G45144" s="9"/>
      <c r="J45144" s="11"/>
      <c r="U45144" s="9"/>
      <c r="X45144" s="9"/>
    </row>
    <row r="45145">
      <c r="D45145" s="9"/>
      <c r="G45145" s="9"/>
      <c r="J45145" s="11"/>
      <c r="U45145" s="9"/>
      <c r="X45145" s="9"/>
    </row>
    <row r="45146">
      <c r="D45146" s="9"/>
      <c r="G45146" s="9"/>
      <c r="J45146" s="11"/>
      <c r="U45146" s="9"/>
      <c r="X45146" s="9"/>
    </row>
    <row r="45147">
      <c r="D45147" s="9"/>
      <c r="G45147" s="9"/>
      <c r="J45147" s="11"/>
      <c r="U45147" s="9"/>
      <c r="X45147" s="9"/>
    </row>
    <row r="45148">
      <c r="D45148" s="9"/>
      <c r="G45148" s="9"/>
      <c r="J45148" s="11"/>
      <c r="U45148" s="9"/>
      <c r="X45148" s="9"/>
    </row>
    <row r="45149">
      <c r="D45149" s="9"/>
      <c r="G45149" s="9"/>
      <c r="J45149" s="11"/>
      <c r="U45149" s="9"/>
      <c r="X45149" s="9"/>
    </row>
    <row r="45150">
      <c r="D45150" s="9"/>
      <c r="G45150" s="9"/>
      <c r="J45150" s="11"/>
      <c r="U45150" s="9"/>
      <c r="X45150" s="9"/>
    </row>
    <row r="45151">
      <c r="D45151" s="9"/>
      <c r="G45151" s="9"/>
      <c r="J45151" s="11"/>
      <c r="U45151" s="9"/>
      <c r="X45151" s="9"/>
    </row>
    <row r="45152">
      <c r="D45152" s="9"/>
      <c r="G45152" s="9"/>
      <c r="J45152" s="11"/>
      <c r="U45152" s="9"/>
      <c r="X45152" s="9"/>
    </row>
    <row r="45153">
      <c r="D45153" s="9"/>
      <c r="G45153" s="9"/>
      <c r="J45153" s="11"/>
      <c r="U45153" s="9"/>
      <c r="X45153" s="9"/>
    </row>
    <row r="45154">
      <c r="D45154" s="9"/>
      <c r="G45154" s="9"/>
      <c r="J45154" s="11"/>
      <c r="U45154" s="9"/>
      <c r="X45154" s="9"/>
    </row>
    <row r="45155">
      <c r="D45155" s="9"/>
      <c r="G45155" s="9"/>
      <c r="J45155" s="11"/>
      <c r="U45155" s="9"/>
      <c r="X45155" s="9"/>
    </row>
    <row r="45156">
      <c r="D45156" s="9"/>
      <c r="G45156" s="9"/>
      <c r="J45156" s="11"/>
      <c r="U45156" s="9"/>
      <c r="X45156" s="9"/>
    </row>
    <row r="45157">
      <c r="D45157" s="9"/>
      <c r="G45157" s="9"/>
      <c r="J45157" s="11"/>
      <c r="U45157" s="9"/>
      <c r="X45157" s="9"/>
    </row>
    <row r="45158">
      <c r="D45158" s="9"/>
      <c r="G45158" s="9"/>
      <c r="J45158" s="11"/>
      <c r="U45158" s="9"/>
      <c r="X45158" s="9"/>
    </row>
    <row r="45159">
      <c r="D45159" s="9"/>
      <c r="G45159" s="9"/>
      <c r="J45159" s="11"/>
      <c r="U45159" s="9"/>
      <c r="X45159" s="9"/>
    </row>
    <row r="45160">
      <c r="D45160" s="9"/>
      <c r="G45160" s="9"/>
      <c r="J45160" s="11"/>
      <c r="U45160" s="9"/>
      <c r="X45160" s="9"/>
    </row>
    <row r="45161">
      <c r="D45161" s="9"/>
      <c r="G45161" s="9"/>
      <c r="J45161" s="11"/>
      <c r="U45161" s="9"/>
      <c r="X45161" s="9"/>
    </row>
    <row r="45162">
      <c r="D45162" s="9"/>
      <c r="G45162" s="9"/>
      <c r="J45162" s="11"/>
      <c r="U45162" s="9"/>
      <c r="X45162" s="9"/>
    </row>
    <row r="45163">
      <c r="D45163" s="9"/>
      <c r="G45163" s="9"/>
      <c r="J45163" s="11"/>
      <c r="U45163" s="9"/>
      <c r="X45163" s="9"/>
    </row>
    <row r="45164">
      <c r="D45164" s="9"/>
      <c r="G45164" s="9"/>
      <c r="J45164" s="11"/>
      <c r="U45164" s="9"/>
      <c r="X45164" s="9"/>
    </row>
    <row r="45165">
      <c r="D45165" s="9"/>
      <c r="G45165" s="9"/>
      <c r="J45165" s="11"/>
      <c r="U45165" s="9"/>
      <c r="X45165" s="9"/>
    </row>
    <row r="45166">
      <c r="D45166" s="9"/>
      <c r="G45166" s="9"/>
      <c r="J45166" s="11"/>
      <c r="U45166" s="9"/>
      <c r="X45166" s="9"/>
    </row>
    <row r="45167">
      <c r="D45167" s="9"/>
      <c r="G45167" s="9"/>
      <c r="J45167" s="11"/>
      <c r="U45167" s="9"/>
      <c r="X45167" s="9"/>
    </row>
    <row r="45168">
      <c r="D45168" s="9"/>
      <c r="G45168" s="9"/>
      <c r="J45168" s="11"/>
      <c r="U45168" s="9"/>
      <c r="X45168" s="9"/>
    </row>
    <row r="45169">
      <c r="D45169" s="9"/>
      <c r="G45169" s="9"/>
      <c r="J45169" s="11"/>
      <c r="U45169" s="9"/>
      <c r="X45169" s="9"/>
    </row>
    <row r="45170">
      <c r="D45170" s="9"/>
      <c r="G45170" s="9"/>
      <c r="J45170" s="11"/>
      <c r="U45170" s="9"/>
      <c r="X45170" s="9"/>
    </row>
    <row r="45171">
      <c r="D45171" s="9"/>
      <c r="G45171" s="9"/>
      <c r="J45171" s="11"/>
      <c r="U45171" s="9"/>
      <c r="X45171" s="9"/>
    </row>
    <row r="45172">
      <c r="D45172" s="9"/>
      <c r="G45172" s="9"/>
      <c r="J45172" s="11"/>
      <c r="U45172" s="9"/>
      <c r="X45172" s="9"/>
    </row>
    <row r="45173">
      <c r="D45173" s="9"/>
      <c r="G45173" s="9"/>
      <c r="J45173" s="11"/>
      <c r="U45173" s="9"/>
      <c r="X45173" s="9"/>
    </row>
    <row r="45174">
      <c r="D45174" s="9"/>
      <c r="G45174" s="9"/>
      <c r="J45174" s="11"/>
      <c r="U45174" s="9"/>
      <c r="X45174" s="9"/>
    </row>
    <row r="45175">
      <c r="D45175" s="9"/>
      <c r="G45175" s="9"/>
      <c r="J45175" s="11"/>
      <c r="U45175" s="9"/>
      <c r="X45175" s="9"/>
    </row>
    <row r="45176">
      <c r="D45176" s="9"/>
      <c r="G45176" s="9"/>
      <c r="J45176" s="11"/>
      <c r="U45176" s="9"/>
      <c r="X45176" s="9"/>
    </row>
    <row r="45177">
      <c r="D45177" s="9"/>
      <c r="G45177" s="9"/>
      <c r="J45177" s="11"/>
      <c r="U45177" s="9"/>
      <c r="X45177" s="9"/>
    </row>
    <row r="45178">
      <c r="D45178" s="9"/>
      <c r="G45178" s="9"/>
      <c r="J45178" s="11"/>
      <c r="U45178" s="9"/>
      <c r="X45178" s="9"/>
    </row>
    <row r="45179">
      <c r="D45179" s="9"/>
      <c r="G45179" s="9"/>
      <c r="J45179" s="11"/>
      <c r="U45179" s="9"/>
      <c r="X45179" s="9"/>
    </row>
    <row r="45180">
      <c r="D45180" s="9"/>
      <c r="G45180" s="9"/>
      <c r="J45180" s="11"/>
      <c r="U45180" s="9"/>
      <c r="X45180" s="9"/>
    </row>
    <row r="45181">
      <c r="D45181" s="9"/>
      <c r="G45181" s="9"/>
      <c r="J45181" s="11"/>
      <c r="U45181" s="9"/>
      <c r="X45181" s="9"/>
    </row>
    <row r="45182">
      <c r="D45182" s="9"/>
      <c r="G45182" s="9"/>
      <c r="J45182" s="11"/>
      <c r="U45182" s="9"/>
      <c r="X45182" s="9"/>
    </row>
    <row r="45183">
      <c r="D45183" s="9"/>
      <c r="G45183" s="9"/>
      <c r="J45183" s="11"/>
      <c r="U45183" s="9"/>
      <c r="X45183" s="9"/>
    </row>
    <row r="45184">
      <c r="D45184" s="9"/>
      <c r="G45184" s="9"/>
      <c r="J45184" s="11"/>
      <c r="U45184" s="9"/>
      <c r="X45184" s="9"/>
    </row>
    <row r="45185">
      <c r="D45185" s="9"/>
      <c r="G45185" s="9"/>
      <c r="J45185" s="11"/>
      <c r="U45185" s="9"/>
      <c r="X45185" s="9"/>
    </row>
    <row r="45186">
      <c r="D45186" s="9"/>
      <c r="G45186" s="9"/>
      <c r="J45186" s="11"/>
      <c r="U45186" s="9"/>
      <c r="X45186" s="9"/>
    </row>
    <row r="45187">
      <c r="D45187" s="9"/>
      <c r="G45187" s="9"/>
      <c r="J45187" s="11"/>
      <c r="U45187" s="9"/>
      <c r="X45187" s="9"/>
    </row>
    <row r="45188">
      <c r="D45188" s="9"/>
      <c r="G45188" s="9"/>
      <c r="J45188" s="11"/>
      <c r="U45188" s="9"/>
      <c r="X45188" s="9"/>
    </row>
    <row r="45189">
      <c r="D45189" s="9"/>
      <c r="G45189" s="9"/>
      <c r="J45189" s="11"/>
      <c r="U45189" s="9"/>
      <c r="X45189" s="9"/>
    </row>
    <row r="45190">
      <c r="D45190" s="9"/>
      <c r="G45190" s="9"/>
      <c r="J45190" s="11"/>
      <c r="U45190" s="9"/>
      <c r="X45190" s="9"/>
    </row>
    <row r="45191">
      <c r="D45191" s="9"/>
      <c r="G45191" s="9"/>
      <c r="J45191" s="11"/>
      <c r="U45191" s="9"/>
      <c r="X45191" s="9"/>
    </row>
    <row r="45192">
      <c r="D45192" s="9"/>
      <c r="G45192" s="9"/>
      <c r="J45192" s="11"/>
      <c r="U45192" s="9"/>
      <c r="X45192" s="9"/>
    </row>
    <row r="45193">
      <c r="D45193" s="9"/>
      <c r="G45193" s="9"/>
      <c r="J45193" s="11"/>
      <c r="U45193" s="9"/>
      <c r="X45193" s="9"/>
    </row>
    <row r="45194">
      <c r="D45194" s="9"/>
      <c r="G45194" s="9"/>
      <c r="J45194" s="11"/>
      <c r="U45194" s="9"/>
      <c r="X45194" s="9"/>
    </row>
    <row r="45195">
      <c r="D45195" s="9"/>
      <c r="G45195" s="9"/>
      <c r="J45195" s="11"/>
      <c r="U45195" s="9"/>
      <c r="X45195" s="9"/>
    </row>
    <row r="45196">
      <c r="D45196" s="9"/>
      <c r="G45196" s="9"/>
      <c r="J45196" s="11"/>
      <c r="U45196" s="9"/>
      <c r="X45196" s="9"/>
    </row>
    <row r="45197">
      <c r="D45197" s="9"/>
      <c r="G45197" s="9"/>
      <c r="J45197" s="11"/>
      <c r="U45197" s="9"/>
      <c r="X45197" s="9"/>
    </row>
    <row r="45198">
      <c r="D45198" s="9"/>
      <c r="G45198" s="9"/>
      <c r="J45198" s="11"/>
      <c r="U45198" s="9"/>
      <c r="X45198" s="9"/>
    </row>
    <row r="45199">
      <c r="D45199" s="9"/>
      <c r="G45199" s="9"/>
      <c r="J45199" s="11"/>
      <c r="U45199" s="9"/>
      <c r="X45199" s="9"/>
    </row>
    <row r="45200">
      <c r="D45200" s="9"/>
      <c r="G45200" s="9"/>
      <c r="J45200" s="11"/>
      <c r="U45200" s="9"/>
      <c r="X45200" s="9"/>
    </row>
    <row r="45201">
      <c r="D45201" s="9"/>
      <c r="G45201" s="9"/>
      <c r="J45201" s="11"/>
      <c r="U45201" s="9"/>
      <c r="X45201" s="9"/>
    </row>
    <row r="45202">
      <c r="D45202" s="9"/>
      <c r="G45202" s="9"/>
      <c r="J45202" s="11"/>
      <c r="U45202" s="9"/>
      <c r="X45202" s="9"/>
    </row>
    <row r="45203">
      <c r="D45203" s="9"/>
      <c r="G45203" s="9"/>
      <c r="J45203" s="11"/>
      <c r="U45203" s="9"/>
      <c r="X45203" s="9"/>
    </row>
    <row r="45204">
      <c r="D45204" s="9"/>
      <c r="G45204" s="9"/>
      <c r="J45204" s="11"/>
      <c r="U45204" s="9"/>
      <c r="X45204" s="9"/>
    </row>
    <row r="45205">
      <c r="D45205" s="9"/>
      <c r="G45205" s="9"/>
      <c r="J45205" s="11"/>
      <c r="U45205" s="9"/>
      <c r="X45205" s="9"/>
    </row>
    <row r="45206">
      <c r="D45206" s="9"/>
      <c r="G45206" s="9"/>
      <c r="J45206" s="11"/>
      <c r="U45206" s="9"/>
      <c r="X45206" s="9"/>
    </row>
    <row r="45207">
      <c r="D45207" s="9"/>
      <c r="G45207" s="9"/>
      <c r="J45207" s="11"/>
      <c r="U45207" s="9"/>
      <c r="X45207" s="9"/>
    </row>
    <row r="45208">
      <c r="D45208" s="9"/>
      <c r="G45208" s="9"/>
      <c r="J45208" s="11"/>
      <c r="U45208" s="9"/>
      <c r="X45208" s="9"/>
    </row>
    <row r="45209">
      <c r="D45209" s="9"/>
      <c r="G45209" s="9"/>
      <c r="J45209" s="11"/>
      <c r="U45209" s="9"/>
      <c r="X45209" s="9"/>
    </row>
    <row r="45210">
      <c r="D45210" s="9"/>
      <c r="G45210" s="9"/>
      <c r="J45210" s="11"/>
      <c r="U45210" s="9"/>
      <c r="X45210" s="9"/>
    </row>
    <row r="45211">
      <c r="D45211" s="9"/>
      <c r="G45211" s="9"/>
      <c r="J45211" s="11"/>
      <c r="U45211" s="9"/>
      <c r="X45211" s="9"/>
    </row>
    <row r="45212">
      <c r="D45212" s="9"/>
      <c r="G45212" s="9"/>
      <c r="J45212" s="11"/>
      <c r="U45212" s="9"/>
      <c r="X45212" s="9"/>
    </row>
    <row r="45213">
      <c r="D45213" s="9"/>
      <c r="G45213" s="9"/>
      <c r="J45213" s="11"/>
      <c r="U45213" s="9"/>
      <c r="X45213" s="9"/>
    </row>
    <row r="45214">
      <c r="D45214" s="9"/>
      <c r="G45214" s="9"/>
      <c r="J45214" s="11"/>
      <c r="U45214" s="9"/>
      <c r="X45214" s="9"/>
    </row>
    <row r="45215">
      <c r="D45215" s="9"/>
      <c r="G45215" s="9"/>
      <c r="J45215" s="11"/>
      <c r="U45215" s="9"/>
      <c r="X45215" s="9"/>
    </row>
    <row r="45216">
      <c r="D45216" s="9"/>
      <c r="G45216" s="9"/>
      <c r="J45216" s="11"/>
      <c r="U45216" s="9"/>
      <c r="X45216" s="9"/>
    </row>
    <row r="45217">
      <c r="D45217" s="9"/>
      <c r="G45217" s="9"/>
      <c r="J45217" s="11"/>
      <c r="U45217" s="9"/>
      <c r="X45217" s="9"/>
    </row>
    <row r="45218">
      <c r="D45218" s="9"/>
      <c r="G45218" s="9"/>
      <c r="J45218" s="11"/>
      <c r="U45218" s="9"/>
      <c r="X45218" s="9"/>
    </row>
    <row r="45219">
      <c r="D45219" s="9"/>
      <c r="G45219" s="9"/>
      <c r="J45219" s="11"/>
      <c r="U45219" s="9"/>
      <c r="X45219" s="9"/>
    </row>
    <row r="45220">
      <c r="D45220" s="9"/>
      <c r="G45220" s="9"/>
      <c r="J45220" s="11"/>
      <c r="U45220" s="9"/>
      <c r="X45220" s="9"/>
    </row>
    <row r="45221">
      <c r="D45221" s="9"/>
      <c r="G45221" s="9"/>
      <c r="J45221" s="11"/>
      <c r="U45221" s="9"/>
      <c r="X45221" s="9"/>
    </row>
    <row r="45222">
      <c r="D45222" s="9"/>
      <c r="G45222" s="9"/>
      <c r="J45222" s="11"/>
      <c r="U45222" s="9"/>
      <c r="X45222" s="9"/>
    </row>
    <row r="45223">
      <c r="D45223" s="9"/>
      <c r="G45223" s="9"/>
      <c r="J45223" s="11"/>
      <c r="U45223" s="9"/>
      <c r="X45223" s="9"/>
    </row>
    <row r="45224">
      <c r="D45224" s="9"/>
      <c r="G45224" s="9"/>
      <c r="J45224" s="11"/>
      <c r="U45224" s="9"/>
      <c r="X45224" s="9"/>
    </row>
    <row r="45225">
      <c r="D45225" s="9"/>
      <c r="G45225" s="9"/>
      <c r="J45225" s="11"/>
      <c r="U45225" s="9"/>
      <c r="X45225" s="9"/>
    </row>
    <row r="45226">
      <c r="D45226" s="9"/>
      <c r="G45226" s="9"/>
      <c r="J45226" s="11"/>
      <c r="U45226" s="9"/>
      <c r="X45226" s="9"/>
    </row>
    <row r="45227">
      <c r="D45227" s="9"/>
      <c r="G45227" s="9"/>
      <c r="J45227" s="11"/>
      <c r="U45227" s="9"/>
      <c r="X45227" s="9"/>
    </row>
    <row r="45228">
      <c r="D45228" s="9"/>
      <c r="G45228" s="9"/>
      <c r="J45228" s="11"/>
      <c r="U45228" s="9"/>
      <c r="X45228" s="9"/>
    </row>
    <row r="45229">
      <c r="D45229" s="9"/>
      <c r="G45229" s="9"/>
      <c r="J45229" s="11"/>
      <c r="U45229" s="9"/>
      <c r="X45229" s="9"/>
    </row>
    <row r="45230">
      <c r="D45230" s="9"/>
      <c r="G45230" s="9"/>
      <c r="J45230" s="11"/>
      <c r="U45230" s="9"/>
      <c r="X45230" s="9"/>
    </row>
    <row r="45231">
      <c r="D45231" s="9"/>
      <c r="G45231" s="9"/>
      <c r="J45231" s="11"/>
      <c r="U45231" s="9"/>
      <c r="X45231" s="9"/>
    </row>
    <row r="45232">
      <c r="D45232" s="9"/>
      <c r="G45232" s="9"/>
      <c r="J45232" s="11"/>
      <c r="U45232" s="9"/>
      <c r="X45232" s="9"/>
    </row>
    <row r="45233">
      <c r="D45233" s="9"/>
      <c r="G45233" s="9"/>
      <c r="J45233" s="11"/>
      <c r="U45233" s="9"/>
      <c r="X45233" s="9"/>
    </row>
    <row r="45234">
      <c r="D45234" s="9"/>
      <c r="G45234" s="9"/>
      <c r="J45234" s="11"/>
      <c r="U45234" s="9"/>
      <c r="X45234" s="9"/>
    </row>
    <row r="45235">
      <c r="D45235" s="9"/>
      <c r="G45235" s="9"/>
      <c r="J45235" s="11"/>
      <c r="U45235" s="9"/>
      <c r="X45235" s="9"/>
    </row>
    <row r="45236">
      <c r="D45236" s="9"/>
      <c r="G45236" s="9"/>
      <c r="J45236" s="11"/>
      <c r="U45236" s="9"/>
      <c r="X45236" s="9"/>
    </row>
    <row r="45237">
      <c r="D45237" s="9"/>
      <c r="G45237" s="9"/>
      <c r="J45237" s="11"/>
      <c r="U45237" s="9"/>
      <c r="X45237" s="9"/>
    </row>
    <row r="45238">
      <c r="D45238" s="9"/>
      <c r="G45238" s="9"/>
      <c r="J45238" s="11"/>
      <c r="U45238" s="9"/>
      <c r="X45238" s="9"/>
    </row>
    <row r="45239">
      <c r="D45239" s="9"/>
      <c r="G45239" s="9"/>
      <c r="J45239" s="11"/>
      <c r="U45239" s="9"/>
      <c r="X45239" s="9"/>
    </row>
    <row r="45240">
      <c r="D45240" s="9"/>
      <c r="G45240" s="9"/>
      <c r="J45240" s="11"/>
      <c r="U45240" s="9"/>
      <c r="X45240" s="9"/>
    </row>
    <row r="45241">
      <c r="D45241" s="9"/>
      <c r="G45241" s="9"/>
      <c r="J45241" s="11"/>
      <c r="U45241" s="9"/>
      <c r="X45241" s="9"/>
    </row>
    <row r="45242">
      <c r="D45242" s="9"/>
      <c r="G45242" s="9"/>
      <c r="J45242" s="11"/>
      <c r="U45242" s="9"/>
      <c r="X45242" s="9"/>
    </row>
    <row r="45243">
      <c r="D45243" s="9"/>
      <c r="G45243" s="9"/>
      <c r="J45243" s="11"/>
      <c r="U45243" s="9"/>
      <c r="X45243" s="9"/>
    </row>
    <row r="45244">
      <c r="D45244" s="9"/>
      <c r="G45244" s="9"/>
      <c r="J45244" s="11"/>
      <c r="U45244" s="9"/>
      <c r="X45244" s="9"/>
    </row>
    <row r="45245">
      <c r="D45245" s="9"/>
      <c r="G45245" s="9"/>
      <c r="J45245" s="11"/>
      <c r="U45245" s="9"/>
      <c r="X45245" s="9"/>
    </row>
    <row r="45246">
      <c r="D45246" s="9"/>
      <c r="G45246" s="9"/>
      <c r="J45246" s="11"/>
      <c r="U45246" s="9"/>
      <c r="X45246" s="9"/>
    </row>
    <row r="45247">
      <c r="D45247" s="9"/>
      <c r="G45247" s="9"/>
      <c r="J45247" s="11"/>
      <c r="U45247" s="9"/>
      <c r="X45247" s="9"/>
    </row>
    <row r="45248">
      <c r="D45248" s="9"/>
      <c r="G45248" s="9"/>
      <c r="J45248" s="11"/>
      <c r="U45248" s="9"/>
      <c r="X45248" s="9"/>
    </row>
    <row r="45249">
      <c r="D45249" s="9"/>
      <c r="G45249" s="9"/>
      <c r="J45249" s="11"/>
      <c r="U45249" s="9"/>
      <c r="X45249" s="9"/>
    </row>
    <row r="45250">
      <c r="D45250" s="9"/>
      <c r="G45250" s="9"/>
      <c r="J45250" s="11"/>
      <c r="U45250" s="9"/>
      <c r="X45250" s="9"/>
    </row>
    <row r="45251">
      <c r="D45251" s="9"/>
      <c r="G45251" s="9"/>
      <c r="J45251" s="11"/>
      <c r="U45251" s="9"/>
      <c r="X45251" s="9"/>
    </row>
    <row r="45252">
      <c r="D45252" s="9"/>
      <c r="G45252" s="9"/>
      <c r="J45252" s="11"/>
      <c r="U45252" s="9"/>
      <c r="X45252" s="9"/>
    </row>
    <row r="45253">
      <c r="D45253" s="9"/>
      <c r="G45253" s="9"/>
      <c r="J45253" s="11"/>
      <c r="U45253" s="9"/>
      <c r="X45253" s="9"/>
    </row>
    <row r="45254">
      <c r="D45254" s="9"/>
      <c r="G45254" s="9"/>
      <c r="J45254" s="11"/>
      <c r="U45254" s="9"/>
      <c r="X45254" s="9"/>
    </row>
    <row r="45255">
      <c r="D45255" s="9"/>
      <c r="G45255" s="9"/>
      <c r="J45255" s="11"/>
      <c r="U45255" s="9"/>
      <c r="X45255" s="9"/>
    </row>
    <row r="45256">
      <c r="D45256" s="9"/>
      <c r="G45256" s="9"/>
      <c r="J45256" s="11"/>
      <c r="U45256" s="9"/>
      <c r="X45256" s="9"/>
    </row>
    <row r="45257">
      <c r="D45257" s="9"/>
      <c r="G45257" s="9"/>
      <c r="J45257" s="11"/>
      <c r="U45257" s="9"/>
      <c r="X45257" s="9"/>
    </row>
    <row r="45258">
      <c r="D45258" s="9"/>
      <c r="G45258" s="9"/>
      <c r="J45258" s="11"/>
      <c r="U45258" s="9"/>
      <c r="X45258" s="9"/>
    </row>
    <row r="45259">
      <c r="D45259" s="9"/>
      <c r="G45259" s="9"/>
      <c r="J45259" s="11"/>
      <c r="U45259" s="9"/>
      <c r="X45259" s="9"/>
    </row>
    <row r="45260">
      <c r="D45260" s="9"/>
      <c r="G45260" s="9"/>
      <c r="J45260" s="11"/>
      <c r="U45260" s="9"/>
      <c r="X45260" s="9"/>
    </row>
    <row r="45261">
      <c r="D45261" s="9"/>
      <c r="G45261" s="9"/>
      <c r="J45261" s="11"/>
      <c r="U45261" s="9"/>
      <c r="X45261" s="9"/>
    </row>
    <row r="45262">
      <c r="D45262" s="9"/>
      <c r="G45262" s="9"/>
      <c r="J45262" s="11"/>
      <c r="U45262" s="9"/>
      <c r="X45262" s="9"/>
    </row>
    <row r="45263">
      <c r="D45263" s="9"/>
      <c r="G45263" s="9"/>
      <c r="J45263" s="11"/>
      <c r="U45263" s="9"/>
      <c r="X45263" s="9"/>
    </row>
    <row r="45264">
      <c r="D45264" s="9"/>
      <c r="G45264" s="9"/>
      <c r="J45264" s="11"/>
      <c r="U45264" s="9"/>
      <c r="X45264" s="9"/>
    </row>
    <row r="45265">
      <c r="D45265" s="9"/>
      <c r="G45265" s="9"/>
      <c r="J45265" s="11"/>
      <c r="U45265" s="9"/>
      <c r="X45265" s="9"/>
    </row>
    <row r="45266">
      <c r="D45266" s="9"/>
      <c r="G45266" s="9"/>
      <c r="J45266" s="11"/>
      <c r="U45266" s="9"/>
      <c r="X45266" s="9"/>
    </row>
    <row r="45267">
      <c r="D45267" s="9"/>
      <c r="G45267" s="9"/>
      <c r="J45267" s="11"/>
      <c r="U45267" s="9"/>
      <c r="X45267" s="9"/>
    </row>
    <row r="45268">
      <c r="D45268" s="9"/>
      <c r="G45268" s="9"/>
      <c r="J45268" s="11"/>
      <c r="U45268" s="9"/>
      <c r="X45268" s="9"/>
    </row>
    <row r="45269">
      <c r="D45269" s="9"/>
      <c r="G45269" s="9"/>
      <c r="J45269" s="11"/>
      <c r="U45269" s="9"/>
      <c r="X45269" s="9"/>
    </row>
    <row r="45270">
      <c r="D45270" s="9"/>
      <c r="G45270" s="9"/>
      <c r="J45270" s="11"/>
      <c r="U45270" s="9"/>
      <c r="X45270" s="9"/>
    </row>
    <row r="45271">
      <c r="D45271" s="9"/>
      <c r="G45271" s="9"/>
      <c r="J45271" s="11"/>
      <c r="U45271" s="9"/>
      <c r="X45271" s="9"/>
    </row>
    <row r="45272">
      <c r="D45272" s="9"/>
      <c r="G45272" s="9"/>
      <c r="J45272" s="11"/>
      <c r="U45272" s="9"/>
      <c r="X45272" s="9"/>
    </row>
    <row r="45273">
      <c r="D45273" s="9"/>
      <c r="G45273" s="9"/>
      <c r="J45273" s="11"/>
      <c r="U45273" s="9"/>
      <c r="X45273" s="9"/>
    </row>
    <row r="45274">
      <c r="D45274" s="9"/>
      <c r="G45274" s="9"/>
      <c r="J45274" s="11"/>
      <c r="U45274" s="9"/>
      <c r="X45274" s="9"/>
    </row>
    <row r="45275">
      <c r="D45275" s="9"/>
      <c r="G45275" s="9"/>
      <c r="J45275" s="11"/>
      <c r="U45275" s="9"/>
      <c r="X45275" s="9"/>
    </row>
    <row r="45276">
      <c r="D45276" s="9"/>
      <c r="G45276" s="9"/>
      <c r="J45276" s="11"/>
      <c r="U45276" s="9"/>
      <c r="X45276" s="9"/>
    </row>
    <row r="45277">
      <c r="D45277" s="9"/>
      <c r="G45277" s="9"/>
      <c r="J45277" s="11"/>
      <c r="U45277" s="9"/>
      <c r="X45277" s="9"/>
    </row>
    <row r="45278">
      <c r="D45278" s="9"/>
      <c r="G45278" s="9"/>
      <c r="J45278" s="11"/>
      <c r="U45278" s="9"/>
      <c r="X45278" s="9"/>
    </row>
    <row r="45279">
      <c r="D45279" s="9"/>
      <c r="G45279" s="9"/>
      <c r="J45279" s="11"/>
      <c r="U45279" s="9"/>
      <c r="X45279" s="9"/>
    </row>
    <row r="45280">
      <c r="D45280" s="9"/>
      <c r="G45280" s="9"/>
      <c r="J45280" s="11"/>
      <c r="U45280" s="9"/>
      <c r="X45280" s="9"/>
    </row>
    <row r="45281">
      <c r="D45281" s="9"/>
      <c r="G45281" s="9"/>
      <c r="J45281" s="11"/>
      <c r="U45281" s="9"/>
      <c r="X45281" s="9"/>
    </row>
    <row r="45282">
      <c r="D45282" s="9"/>
      <c r="G45282" s="9"/>
      <c r="J45282" s="11"/>
      <c r="U45282" s="9"/>
      <c r="X45282" s="9"/>
    </row>
    <row r="45283">
      <c r="D45283" s="9"/>
      <c r="G45283" s="9"/>
      <c r="J45283" s="11"/>
      <c r="U45283" s="9"/>
      <c r="X45283" s="9"/>
    </row>
    <row r="45284">
      <c r="D45284" s="9"/>
      <c r="G45284" s="9"/>
      <c r="J45284" s="11"/>
      <c r="U45284" s="9"/>
      <c r="X45284" s="9"/>
    </row>
    <row r="45285">
      <c r="D45285" s="9"/>
      <c r="G45285" s="9"/>
      <c r="J45285" s="11"/>
      <c r="U45285" s="9"/>
      <c r="X45285" s="9"/>
    </row>
    <row r="45286">
      <c r="D45286" s="9"/>
      <c r="G45286" s="9"/>
      <c r="J45286" s="11"/>
      <c r="U45286" s="9"/>
      <c r="X45286" s="9"/>
    </row>
    <row r="45287">
      <c r="D45287" s="9"/>
      <c r="G45287" s="9"/>
      <c r="J45287" s="11"/>
      <c r="U45287" s="9"/>
      <c r="X45287" s="9"/>
    </row>
    <row r="45288">
      <c r="D45288" s="9"/>
      <c r="G45288" s="9"/>
      <c r="J45288" s="11"/>
      <c r="U45288" s="9"/>
      <c r="X45288" s="9"/>
    </row>
    <row r="45289">
      <c r="D45289" s="9"/>
      <c r="G45289" s="9"/>
      <c r="J45289" s="11"/>
      <c r="U45289" s="9"/>
      <c r="X45289" s="9"/>
    </row>
    <row r="45290">
      <c r="D45290" s="9"/>
      <c r="G45290" s="9"/>
      <c r="J45290" s="11"/>
      <c r="U45290" s="9"/>
      <c r="X45290" s="9"/>
    </row>
    <row r="45291">
      <c r="D45291" s="9"/>
      <c r="G45291" s="9"/>
      <c r="J45291" s="11"/>
      <c r="U45291" s="9"/>
      <c r="X45291" s="9"/>
    </row>
    <row r="45292">
      <c r="D45292" s="9"/>
      <c r="G45292" s="9"/>
      <c r="J45292" s="11"/>
      <c r="U45292" s="9"/>
      <c r="X45292" s="9"/>
    </row>
    <row r="45293">
      <c r="D45293" s="9"/>
      <c r="G45293" s="9"/>
      <c r="J45293" s="11"/>
      <c r="U45293" s="9"/>
      <c r="X45293" s="9"/>
    </row>
    <row r="45294">
      <c r="D45294" s="9"/>
      <c r="G45294" s="9"/>
      <c r="J45294" s="11"/>
      <c r="U45294" s="9"/>
      <c r="X45294" s="9"/>
    </row>
    <row r="45295">
      <c r="D45295" s="9"/>
      <c r="G45295" s="9"/>
      <c r="J45295" s="11"/>
      <c r="U45295" s="9"/>
      <c r="X45295" s="9"/>
    </row>
    <row r="45296">
      <c r="D45296" s="9"/>
      <c r="G45296" s="9"/>
      <c r="J45296" s="11"/>
      <c r="U45296" s="9"/>
      <c r="X45296" s="9"/>
    </row>
    <row r="45297">
      <c r="D45297" s="9"/>
      <c r="G45297" s="9"/>
      <c r="J45297" s="11"/>
      <c r="U45297" s="9"/>
      <c r="X45297" s="9"/>
    </row>
    <row r="45298">
      <c r="D45298" s="9"/>
      <c r="G45298" s="9"/>
      <c r="J45298" s="11"/>
      <c r="U45298" s="9"/>
      <c r="X45298" s="9"/>
    </row>
    <row r="45299">
      <c r="D45299" s="9"/>
      <c r="G45299" s="9"/>
      <c r="J45299" s="11"/>
      <c r="U45299" s="9"/>
      <c r="X45299" s="9"/>
    </row>
    <row r="45300">
      <c r="D45300" s="9"/>
      <c r="G45300" s="9"/>
      <c r="J45300" s="11"/>
      <c r="U45300" s="9"/>
      <c r="X45300" s="9"/>
    </row>
    <row r="45301">
      <c r="D45301" s="9"/>
      <c r="G45301" s="9"/>
      <c r="J45301" s="11"/>
      <c r="U45301" s="9"/>
      <c r="X45301" s="9"/>
    </row>
    <row r="45302">
      <c r="D45302" s="9"/>
      <c r="G45302" s="9"/>
      <c r="J45302" s="11"/>
      <c r="U45302" s="9"/>
      <c r="X45302" s="9"/>
    </row>
    <row r="45303">
      <c r="D45303" s="9"/>
      <c r="G45303" s="9"/>
      <c r="J45303" s="11"/>
      <c r="U45303" s="9"/>
      <c r="X45303" s="9"/>
    </row>
    <row r="45304">
      <c r="D45304" s="9"/>
      <c r="G45304" s="9"/>
      <c r="J45304" s="11"/>
      <c r="U45304" s="9"/>
      <c r="X45304" s="9"/>
    </row>
    <row r="45305">
      <c r="D45305" s="9"/>
      <c r="G45305" s="9"/>
      <c r="J45305" s="11"/>
      <c r="U45305" s="9"/>
      <c r="X45305" s="9"/>
    </row>
    <row r="45306">
      <c r="D45306" s="9"/>
      <c r="G45306" s="9"/>
      <c r="J45306" s="11"/>
      <c r="U45306" s="9"/>
      <c r="X45306" s="9"/>
    </row>
    <row r="45307">
      <c r="D45307" s="9"/>
      <c r="G45307" s="9"/>
      <c r="J45307" s="11"/>
      <c r="U45307" s="9"/>
      <c r="X45307" s="9"/>
    </row>
    <row r="45308">
      <c r="D45308" s="9"/>
      <c r="G45308" s="9"/>
      <c r="J45308" s="11"/>
      <c r="U45308" s="9"/>
      <c r="X45308" s="9"/>
    </row>
    <row r="45309">
      <c r="D45309" s="9"/>
      <c r="G45309" s="9"/>
      <c r="J45309" s="11"/>
      <c r="U45309" s="9"/>
      <c r="X45309" s="9"/>
    </row>
    <row r="45310">
      <c r="D45310" s="9"/>
      <c r="G45310" s="9"/>
      <c r="J45310" s="11"/>
      <c r="U45310" s="9"/>
      <c r="X45310" s="9"/>
    </row>
    <row r="45311">
      <c r="D45311" s="9"/>
      <c r="G45311" s="9"/>
      <c r="J45311" s="11"/>
      <c r="U45311" s="9"/>
      <c r="X45311" s="9"/>
    </row>
    <row r="45312">
      <c r="D45312" s="9"/>
      <c r="G45312" s="9"/>
      <c r="J45312" s="11"/>
      <c r="U45312" s="9"/>
      <c r="X45312" s="9"/>
    </row>
    <row r="45313">
      <c r="D45313" s="9"/>
      <c r="G45313" s="9"/>
      <c r="J45313" s="11"/>
      <c r="U45313" s="9"/>
      <c r="X45313" s="9"/>
    </row>
    <row r="45314">
      <c r="D45314" s="9"/>
      <c r="G45314" s="9"/>
      <c r="J45314" s="11"/>
      <c r="U45314" s="9"/>
      <c r="X45314" s="9"/>
    </row>
    <row r="45315">
      <c r="D45315" s="9"/>
      <c r="G45315" s="9"/>
      <c r="J45315" s="11"/>
      <c r="U45315" s="9"/>
      <c r="X45315" s="9"/>
    </row>
    <row r="45316">
      <c r="D45316" s="9"/>
      <c r="G45316" s="9"/>
      <c r="J45316" s="11"/>
      <c r="U45316" s="9"/>
      <c r="X45316" s="9"/>
    </row>
    <row r="45317">
      <c r="D45317" s="9"/>
      <c r="G45317" s="9"/>
      <c r="J45317" s="11"/>
      <c r="U45317" s="9"/>
      <c r="X45317" s="9"/>
    </row>
    <row r="45318">
      <c r="D45318" s="9"/>
      <c r="G45318" s="9"/>
      <c r="J45318" s="11"/>
      <c r="U45318" s="9"/>
      <c r="X45318" s="9"/>
    </row>
    <row r="45319">
      <c r="D45319" s="9"/>
      <c r="G45319" s="9"/>
      <c r="J45319" s="11"/>
      <c r="U45319" s="9"/>
      <c r="X45319" s="9"/>
    </row>
    <row r="45320">
      <c r="D45320" s="9"/>
      <c r="G45320" s="9"/>
      <c r="J45320" s="11"/>
      <c r="U45320" s="9"/>
      <c r="X45320" s="9"/>
    </row>
    <row r="45321">
      <c r="D45321" s="9"/>
      <c r="G45321" s="9"/>
      <c r="J45321" s="11"/>
      <c r="U45321" s="9"/>
      <c r="X45321" s="9"/>
    </row>
    <row r="45322">
      <c r="D45322" s="9"/>
      <c r="G45322" s="9"/>
      <c r="J45322" s="11"/>
      <c r="U45322" s="9"/>
      <c r="X45322" s="9"/>
    </row>
    <row r="45323">
      <c r="D45323" s="9"/>
      <c r="G45323" s="9"/>
      <c r="J45323" s="11"/>
      <c r="U45323" s="9"/>
      <c r="X45323" s="9"/>
    </row>
    <row r="45324">
      <c r="D45324" s="9"/>
      <c r="G45324" s="9"/>
      <c r="J45324" s="11"/>
      <c r="U45324" s="9"/>
      <c r="X45324" s="9"/>
    </row>
    <row r="45325">
      <c r="D45325" s="9"/>
      <c r="G45325" s="9"/>
      <c r="J45325" s="11"/>
      <c r="U45325" s="9"/>
      <c r="X45325" s="9"/>
    </row>
    <row r="45326">
      <c r="D45326" s="9"/>
      <c r="G45326" s="9"/>
      <c r="J45326" s="11"/>
      <c r="U45326" s="9"/>
      <c r="X45326" s="9"/>
    </row>
    <row r="45327">
      <c r="D45327" s="9"/>
      <c r="G45327" s="9"/>
      <c r="J45327" s="11"/>
      <c r="U45327" s="9"/>
      <c r="X45327" s="9"/>
    </row>
    <row r="45328">
      <c r="D45328" s="9"/>
      <c r="G45328" s="9"/>
      <c r="J45328" s="11"/>
      <c r="U45328" s="9"/>
      <c r="X45328" s="9"/>
    </row>
    <row r="45329">
      <c r="D45329" s="9"/>
      <c r="G45329" s="9"/>
      <c r="J45329" s="11"/>
      <c r="U45329" s="9"/>
      <c r="X45329" s="9"/>
    </row>
    <row r="45330">
      <c r="D45330" s="9"/>
      <c r="G45330" s="9"/>
      <c r="J45330" s="11"/>
      <c r="U45330" s="9"/>
      <c r="X45330" s="9"/>
    </row>
    <row r="45331">
      <c r="D45331" s="9"/>
      <c r="G45331" s="9"/>
      <c r="J45331" s="11"/>
      <c r="U45331" s="9"/>
      <c r="X45331" s="9"/>
    </row>
    <row r="45332">
      <c r="D45332" s="9"/>
      <c r="G45332" s="9"/>
      <c r="J45332" s="11"/>
      <c r="U45332" s="9"/>
      <c r="X45332" s="9"/>
    </row>
    <row r="45333">
      <c r="D45333" s="9"/>
      <c r="G45333" s="9"/>
      <c r="J45333" s="11"/>
      <c r="U45333" s="9"/>
      <c r="X45333" s="9"/>
    </row>
    <row r="45334">
      <c r="D45334" s="9"/>
      <c r="G45334" s="9"/>
      <c r="J45334" s="11"/>
      <c r="U45334" s="9"/>
      <c r="X45334" s="9"/>
    </row>
    <row r="45335">
      <c r="D45335" s="9"/>
      <c r="G45335" s="9"/>
      <c r="J45335" s="11"/>
      <c r="U45335" s="9"/>
      <c r="X45335" s="9"/>
    </row>
    <row r="45336">
      <c r="D45336" s="9"/>
      <c r="G45336" s="9"/>
      <c r="J45336" s="11"/>
      <c r="U45336" s="9"/>
      <c r="X45336" s="9"/>
    </row>
    <row r="45337">
      <c r="D45337" s="9"/>
      <c r="G45337" s="9"/>
      <c r="J45337" s="11"/>
      <c r="U45337" s="9"/>
      <c r="X45337" s="9"/>
    </row>
    <row r="45338">
      <c r="D45338" s="9"/>
      <c r="G45338" s="9"/>
      <c r="J45338" s="11"/>
      <c r="U45338" s="9"/>
      <c r="X45338" s="9"/>
    </row>
    <row r="45339">
      <c r="D45339" s="9"/>
      <c r="G45339" s="9"/>
      <c r="J45339" s="11"/>
      <c r="U45339" s="9"/>
      <c r="X45339" s="9"/>
    </row>
    <row r="45340">
      <c r="D45340" s="9"/>
      <c r="G45340" s="9"/>
      <c r="J45340" s="11"/>
      <c r="U45340" s="9"/>
      <c r="X45340" s="9"/>
    </row>
    <row r="45341">
      <c r="D45341" s="9"/>
      <c r="G45341" s="9"/>
      <c r="J45341" s="11"/>
      <c r="U45341" s="9"/>
      <c r="X45341" s="9"/>
    </row>
    <row r="45342">
      <c r="D45342" s="9"/>
      <c r="G45342" s="9"/>
      <c r="J45342" s="11"/>
      <c r="U45342" s="9"/>
      <c r="X45342" s="9"/>
    </row>
    <row r="45343">
      <c r="D45343" s="9"/>
      <c r="G45343" s="9"/>
      <c r="J45343" s="11"/>
      <c r="U45343" s="9"/>
      <c r="X45343" s="9"/>
    </row>
    <row r="45344">
      <c r="D45344" s="9"/>
      <c r="G45344" s="9"/>
      <c r="J45344" s="11"/>
      <c r="U45344" s="9"/>
      <c r="X45344" s="9"/>
    </row>
    <row r="45345">
      <c r="D45345" s="9"/>
      <c r="G45345" s="9"/>
      <c r="J45345" s="11"/>
      <c r="U45345" s="9"/>
      <c r="X45345" s="9"/>
    </row>
    <row r="45346">
      <c r="D45346" s="9"/>
      <c r="G45346" s="9"/>
      <c r="J45346" s="11"/>
      <c r="U45346" s="9"/>
      <c r="X45346" s="9"/>
    </row>
    <row r="45347">
      <c r="D45347" s="9"/>
      <c r="G45347" s="9"/>
      <c r="J45347" s="11"/>
      <c r="U45347" s="9"/>
      <c r="X45347" s="9"/>
    </row>
    <row r="45348">
      <c r="D45348" s="9"/>
      <c r="G45348" s="9"/>
      <c r="J45348" s="11"/>
      <c r="U45348" s="9"/>
      <c r="X45348" s="9"/>
    </row>
    <row r="45349">
      <c r="D45349" s="9"/>
      <c r="G45349" s="9"/>
      <c r="J45349" s="11"/>
      <c r="U45349" s="9"/>
      <c r="X45349" s="9"/>
    </row>
    <row r="45350">
      <c r="D45350" s="9"/>
      <c r="G45350" s="9"/>
      <c r="J45350" s="11"/>
      <c r="U45350" s="9"/>
      <c r="X45350" s="9"/>
    </row>
    <row r="45351">
      <c r="D45351" s="9"/>
      <c r="G45351" s="9"/>
      <c r="J45351" s="11"/>
      <c r="U45351" s="9"/>
      <c r="X45351" s="9"/>
    </row>
    <row r="45352">
      <c r="D45352" s="9"/>
      <c r="G45352" s="9"/>
      <c r="J45352" s="11"/>
      <c r="U45352" s="9"/>
      <c r="X45352" s="9"/>
    </row>
    <row r="45353">
      <c r="D45353" s="9"/>
      <c r="G45353" s="9"/>
      <c r="J45353" s="11"/>
      <c r="U45353" s="9"/>
      <c r="X45353" s="9"/>
    </row>
    <row r="45354">
      <c r="D45354" s="9"/>
      <c r="G45354" s="9"/>
      <c r="J45354" s="11"/>
      <c r="U45354" s="9"/>
      <c r="X45354" s="9"/>
    </row>
    <row r="45355">
      <c r="D45355" s="9"/>
      <c r="G45355" s="9"/>
      <c r="J45355" s="11"/>
      <c r="U45355" s="9"/>
      <c r="X45355" s="9"/>
    </row>
    <row r="45356">
      <c r="D45356" s="9"/>
      <c r="G45356" s="9"/>
      <c r="J45356" s="11"/>
      <c r="U45356" s="9"/>
      <c r="X45356" s="9"/>
    </row>
    <row r="45357">
      <c r="D45357" s="9"/>
      <c r="G45357" s="9"/>
      <c r="J45357" s="11"/>
      <c r="U45357" s="9"/>
      <c r="X45357" s="9"/>
    </row>
    <row r="45358">
      <c r="D45358" s="9"/>
      <c r="G45358" s="9"/>
      <c r="J45358" s="11"/>
      <c r="U45358" s="9"/>
      <c r="X45358" s="9"/>
    </row>
    <row r="45359">
      <c r="D45359" s="9"/>
      <c r="G45359" s="9"/>
      <c r="J45359" s="11"/>
      <c r="U45359" s="9"/>
      <c r="X45359" s="9"/>
    </row>
    <row r="45360">
      <c r="D45360" s="9"/>
      <c r="G45360" s="9"/>
      <c r="J45360" s="11"/>
      <c r="U45360" s="9"/>
      <c r="X45360" s="9"/>
    </row>
    <row r="45361">
      <c r="D45361" s="9"/>
      <c r="G45361" s="9"/>
      <c r="J45361" s="11"/>
      <c r="U45361" s="9"/>
      <c r="X45361" s="9"/>
    </row>
    <row r="45362">
      <c r="D45362" s="9"/>
      <c r="G45362" s="9"/>
      <c r="J45362" s="11"/>
      <c r="U45362" s="9"/>
      <c r="X45362" s="9"/>
    </row>
    <row r="45363">
      <c r="D45363" s="9"/>
      <c r="G45363" s="9"/>
      <c r="J45363" s="11"/>
      <c r="U45363" s="9"/>
      <c r="X45363" s="9"/>
    </row>
    <row r="45364">
      <c r="D45364" s="9"/>
      <c r="G45364" s="9"/>
      <c r="J45364" s="11"/>
      <c r="U45364" s="9"/>
      <c r="X45364" s="9"/>
    </row>
    <row r="45365">
      <c r="D45365" s="9"/>
      <c r="G45365" s="9"/>
      <c r="J45365" s="11"/>
      <c r="U45365" s="9"/>
      <c r="X45365" s="9"/>
    </row>
    <row r="45366">
      <c r="D45366" s="9"/>
      <c r="G45366" s="9"/>
      <c r="J45366" s="11"/>
      <c r="U45366" s="9"/>
      <c r="X45366" s="9"/>
    </row>
    <row r="45367">
      <c r="D45367" s="9"/>
      <c r="G45367" s="9"/>
      <c r="J45367" s="11"/>
      <c r="U45367" s="9"/>
      <c r="X45367" s="9"/>
    </row>
    <row r="45368">
      <c r="D45368" s="9"/>
      <c r="G45368" s="9"/>
      <c r="J45368" s="11"/>
      <c r="U45368" s="9"/>
      <c r="X45368" s="9"/>
    </row>
    <row r="45369">
      <c r="D45369" s="9"/>
      <c r="G45369" s="9"/>
      <c r="J45369" s="11"/>
      <c r="U45369" s="9"/>
      <c r="X45369" s="9"/>
    </row>
    <row r="45370">
      <c r="D45370" s="9"/>
      <c r="G45370" s="9"/>
      <c r="J45370" s="11"/>
      <c r="U45370" s="9"/>
      <c r="X45370" s="9"/>
    </row>
    <row r="45371">
      <c r="D45371" s="9"/>
      <c r="G45371" s="9"/>
      <c r="J45371" s="11"/>
      <c r="U45371" s="9"/>
      <c r="X45371" s="9"/>
    </row>
    <row r="45372">
      <c r="D45372" s="9"/>
      <c r="G45372" s="9"/>
      <c r="J45372" s="11"/>
      <c r="U45372" s="9"/>
      <c r="X45372" s="9"/>
    </row>
    <row r="45373">
      <c r="D45373" s="9"/>
      <c r="G45373" s="9"/>
      <c r="J45373" s="11"/>
      <c r="U45373" s="9"/>
      <c r="X45373" s="9"/>
    </row>
    <row r="45374">
      <c r="D45374" s="9"/>
      <c r="G45374" s="9"/>
      <c r="J45374" s="11"/>
      <c r="U45374" s="9"/>
      <c r="X45374" s="9"/>
    </row>
    <row r="45375">
      <c r="D45375" s="9"/>
      <c r="G45375" s="9"/>
      <c r="J45375" s="11"/>
      <c r="U45375" s="9"/>
      <c r="X45375" s="9"/>
    </row>
    <row r="45376">
      <c r="D45376" s="9"/>
      <c r="G45376" s="9"/>
      <c r="J45376" s="11"/>
      <c r="U45376" s="9"/>
      <c r="X45376" s="9"/>
    </row>
    <row r="45377">
      <c r="D45377" s="9"/>
      <c r="G45377" s="9"/>
      <c r="J45377" s="11"/>
      <c r="U45377" s="9"/>
      <c r="X45377" s="9"/>
    </row>
    <row r="45378">
      <c r="D45378" s="9"/>
      <c r="G45378" s="9"/>
      <c r="J45378" s="11"/>
      <c r="U45378" s="9"/>
      <c r="X45378" s="9"/>
    </row>
    <row r="45379">
      <c r="D45379" s="9"/>
      <c r="G45379" s="9"/>
      <c r="J45379" s="11"/>
      <c r="U45379" s="9"/>
      <c r="X45379" s="9"/>
    </row>
    <row r="45380">
      <c r="D45380" s="9"/>
      <c r="G45380" s="9"/>
      <c r="J45380" s="11"/>
      <c r="U45380" s="9"/>
      <c r="X45380" s="9"/>
    </row>
    <row r="45381">
      <c r="D45381" s="9"/>
      <c r="G45381" s="9"/>
      <c r="J45381" s="11"/>
      <c r="U45381" s="9"/>
      <c r="X45381" s="9"/>
    </row>
    <row r="45382">
      <c r="D45382" s="9"/>
      <c r="G45382" s="9"/>
      <c r="J45382" s="11"/>
      <c r="U45382" s="9"/>
      <c r="X45382" s="9"/>
    </row>
    <row r="45383">
      <c r="D45383" s="9"/>
      <c r="G45383" s="9"/>
      <c r="J45383" s="11"/>
      <c r="U45383" s="9"/>
      <c r="X45383" s="9"/>
    </row>
    <row r="45384">
      <c r="D45384" s="9"/>
      <c r="G45384" s="9"/>
      <c r="J45384" s="11"/>
      <c r="U45384" s="9"/>
      <c r="X45384" s="9"/>
    </row>
    <row r="45385">
      <c r="D45385" s="9"/>
      <c r="G45385" s="9"/>
      <c r="J45385" s="11"/>
      <c r="U45385" s="9"/>
      <c r="X45385" s="9"/>
    </row>
    <row r="45386">
      <c r="D45386" s="9"/>
      <c r="G45386" s="9"/>
      <c r="J45386" s="11"/>
      <c r="U45386" s="9"/>
      <c r="X45386" s="9"/>
    </row>
    <row r="45387">
      <c r="D45387" s="9"/>
      <c r="G45387" s="9"/>
      <c r="J45387" s="11"/>
      <c r="U45387" s="9"/>
      <c r="X45387" s="9"/>
    </row>
    <row r="45388">
      <c r="D45388" s="9"/>
      <c r="G45388" s="9"/>
      <c r="J45388" s="11"/>
      <c r="U45388" s="9"/>
      <c r="X45388" s="9"/>
    </row>
    <row r="45389">
      <c r="D45389" s="9"/>
      <c r="G45389" s="9"/>
      <c r="J45389" s="11"/>
      <c r="U45389" s="9"/>
      <c r="X45389" s="9"/>
    </row>
    <row r="45390">
      <c r="D45390" s="9"/>
      <c r="G45390" s="9"/>
      <c r="J45390" s="11"/>
      <c r="U45390" s="9"/>
      <c r="X45390" s="9"/>
    </row>
    <row r="45391">
      <c r="D45391" s="9"/>
      <c r="G45391" s="9"/>
      <c r="J45391" s="11"/>
      <c r="U45391" s="9"/>
      <c r="X45391" s="9"/>
    </row>
    <row r="45392">
      <c r="D45392" s="9"/>
      <c r="G45392" s="9"/>
      <c r="J45392" s="11"/>
      <c r="U45392" s="9"/>
      <c r="X45392" s="9"/>
    </row>
    <row r="45393">
      <c r="D45393" s="9"/>
      <c r="G45393" s="9"/>
      <c r="J45393" s="11"/>
      <c r="U45393" s="9"/>
      <c r="X45393" s="9"/>
    </row>
    <row r="45394">
      <c r="D45394" s="9"/>
      <c r="G45394" s="9"/>
      <c r="J45394" s="11"/>
      <c r="U45394" s="9"/>
      <c r="X45394" s="9"/>
    </row>
    <row r="45395">
      <c r="D45395" s="9"/>
      <c r="G45395" s="9"/>
      <c r="J45395" s="11"/>
      <c r="U45395" s="9"/>
      <c r="X45395" s="9"/>
    </row>
    <row r="45396">
      <c r="D45396" s="9"/>
      <c r="G45396" s="9"/>
      <c r="J45396" s="11"/>
      <c r="U45396" s="9"/>
      <c r="X45396" s="9"/>
    </row>
    <row r="45397">
      <c r="D45397" s="9"/>
      <c r="G45397" s="9"/>
      <c r="J45397" s="11"/>
      <c r="U45397" s="9"/>
      <c r="X45397" s="9"/>
    </row>
    <row r="45398">
      <c r="D45398" s="9"/>
      <c r="G45398" s="9"/>
      <c r="J45398" s="11"/>
      <c r="U45398" s="9"/>
      <c r="X45398" s="9"/>
    </row>
    <row r="45399">
      <c r="D45399" s="9"/>
      <c r="G45399" s="9"/>
      <c r="J45399" s="11"/>
      <c r="U45399" s="9"/>
      <c r="X45399" s="9"/>
    </row>
    <row r="45400">
      <c r="D45400" s="9"/>
      <c r="G45400" s="9"/>
      <c r="J45400" s="11"/>
      <c r="U45400" s="9"/>
      <c r="X45400" s="9"/>
    </row>
    <row r="45401">
      <c r="D45401" s="9"/>
      <c r="G45401" s="9"/>
      <c r="J45401" s="11"/>
      <c r="U45401" s="9"/>
      <c r="X45401" s="9"/>
    </row>
    <row r="45402">
      <c r="D45402" s="9"/>
      <c r="G45402" s="9"/>
      <c r="J45402" s="11"/>
      <c r="U45402" s="9"/>
      <c r="X45402" s="9"/>
    </row>
    <row r="45403">
      <c r="D45403" s="9"/>
      <c r="G45403" s="9"/>
      <c r="J45403" s="11"/>
      <c r="U45403" s="9"/>
      <c r="X45403" s="9"/>
    </row>
    <row r="45404">
      <c r="D45404" s="9"/>
      <c r="G45404" s="9"/>
      <c r="J45404" s="11"/>
      <c r="U45404" s="9"/>
      <c r="X45404" s="9"/>
    </row>
    <row r="45405">
      <c r="D45405" s="9"/>
      <c r="G45405" s="9"/>
      <c r="J45405" s="11"/>
      <c r="U45405" s="9"/>
      <c r="X45405" s="9"/>
    </row>
    <row r="45406">
      <c r="D45406" s="9"/>
      <c r="G45406" s="9"/>
      <c r="J45406" s="11"/>
      <c r="U45406" s="9"/>
      <c r="X45406" s="9"/>
    </row>
    <row r="45407">
      <c r="D45407" s="9"/>
      <c r="G45407" s="9"/>
      <c r="J45407" s="11"/>
      <c r="U45407" s="9"/>
      <c r="X45407" s="9"/>
    </row>
    <row r="45408">
      <c r="D45408" s="9"/>
      <c r="G45408" s="9"/>
      <c r="J45408" s="11"/>
      <c r="U45408" s="9"/>
      <c r="X45408" s="9"/>
    </row>
    <row r="45409">
      <c r="D45409" s="9"/>
      <c r="G45409" s="9"/>
      <c r="J45409" s="11"/>
      <c r="U45409" s="9"/>
      <c r="X45409" s="9"/>
    </row>
    <row r="45410">
      <c r="D45410" s="9"/>
      <c r="G45410" s="9"/>
      <c r="J45410" s="11"/>
      <c r="U45410" s="9"/>
      <c r="X45410" s="9"/>
    </row>
    <row r="45411">
      <c r="D45411" s="9"/>
      <c r="G45411" s="9"/>
      <c r="J45411" s="11"/>
      <c r="U45411" s="9"/>
      <c r="X45411" s="9"/>
    </row>
    <row r="45412">
      <c r="D45412" s="9"/>
      <c r="G45412" s="9"/>
      <c r="J45412" s="11"/>
      <c r="U45412" s="9"/>
      <c r="X45412" s="9"/>
    </row>
    <row r="45413">
      <c r="D45413" s="9"/>
      <c r="G45413" s="9"/>
      <c r="J45413" s="11"/>
      <c r="U45413" s="9"/>
      <c r="X45413" s="9"/>
    </row>
    <row r="45414">
      <c r="D45414" s="9"/>
      <c r="G45414" s="9"/>
      <c r="J45414" s="11"/>
      <c r="U45414" s="9"/>
      <c r="X45414" s="9"/>
    </row>
    <row r="45415">
      <c r="D45415" s="9"/>
      <c r="G45415" s="9"/>
      <c r="J45415" s="11"/>
      <c r="U45415" s="9"/>
      <c r="X45415" s="9"/>
    </row>
    <row r="45416">
      <c r="D45416" s="9"/>
      <c r="G45416" s="9"/>
      <c r="J45416" s="11"/>
      <c r="U45416" s="9"/>
      <c r="X45416" s="9"/>
    </row>
    <row r="45417">
      <c r="D45417" s="9"/>
      <c r="G45417" s="9"/>
      <c r="J45417" s="11"/>
      <c r="U45417" s="9"/>
      <c r="X45417" s="9"/>
    </row>
    <row r="45418">
      <c r="D45418" s="9"/>
      <c r="G45418" s="9"/>
      <c r="J45418" s="11"/>
      <c r="U45418" s="9"/>
      <c r="X45418" s="9"/>
    </row>
    <row r="45419">
      <c r="D45419" s="9"/>
      <c r="G45419" s="9"/>
      <c r="J45419" s="11"/>
      <c r="U45419" s="9"/>
      <c r="X45419" s="9"/>
    </row>
    <row r="45420">
      <c r="D45420" s="9"/>
      <c r="G45420" s="9"/>
      <c r="J45420" s="11"/>
      <c r="U45420" s="9"/>
      <c r="X45420" s="9"/>
    </row>
    <row r="45421">
      <c r="D45421" s="9"/>
      <c r="G45421" s="9"/>
      <c r="J45421" s="11"/>
      <c r="U45421" s="9"/>
      <c r="X45421" s="9"/>
    </row>
    <row r="45422">
      <c r="D45422" s="9"/>
      <c r="G45422" s="9"/>
      <c r="J45422" s="11"/>
      <c r="U45422" s="9"/>
      <c r="X45422" s="9"/>
    </row>
    <row r="45423">
      <c r="D45423" s="9"/>
      <c r="G45423" s="9"/>
      <c r="J45423" s="11"/>
      <c r="U45423" s="9"/>
      <c r="X45423" s="9"/>
    </row>
    <row r="45424">
      <c r="D45424" s="9"/>
      <c r="G45424" s="9"/>
      <c r="J45424" s="11"/>
      <c r="U45424" s="9"/>
      <c r="X45424" s="9"/>
    </row>
    <row r="45425">
      <c r="D45425" s="9"/>
      <c r="G45425" s="9"/>
      <c r="J45425" s="11"/>
      <c r="U45425" s="9"/>
      <c r="X45425" s="9"/>
    </row>
    <row r="45426">
      <c r="D45426" s="9"/>
      <c r="G45426" s="9"/>
      <c r="J45426" s="11"/>
      <c r="U45426" s="9"/>
      <c r="X45426" s="9"/>
    </row>
    <row r="45427">
      <c r="D45427" s="9"/>
      <c r="G45427" s="9"/>
      <c r="J45427" s="11"/>
      <c r="U45427" s="9"/>
      <c r="X45427" s="9"/>
    </row>
    <row r="45428">
      <c r="D45428" s="9"/>
      <c r="G45428" s="9"/>
      <c r="J45428" s="11"/>
      <c r="U45428" s="9"/>
      <c r="X45428" s="9"/>
    </row>
    <row r="45429">
      <c r="D45429" s="9"/>
      <c r="G45429" s="9"/>
      <c r="J45429" s="11"/>
      <c r="U45429" s="9"/>
      <c r="X45429" s="9"/>
    </row>
    <row r="45430">
      <c r="D45430" s="9"/>
      <c r="G45430" s="9"/>
      <c r="J45430" s="11"/>
      <c r="U45430" s="9"/>
      <c r="X45430" s="9"/>
    </row>
    <row r="45431">
      <c r="D45431" s="9"/>
      <c r="G45431" s="9"/>
      <c r="J45431" s="11"/>
      <c r="U45431" s="9"/>
      <c r="X45431" s="9"/>
    </row>
    <row r="45432">
      <c r="D45432" s="9"/>
      <c r="G45432" s="9"/>
      <c r="J45432" s="11"/>
      <c r="U45432" s="9"/>
      <c r="X45432" s="9"/>
    </row>
    <row r="45433">
      <c r="D45433" s="9"/>
      <c r="G45433" s="9"/>
      <c r="J45433" s="11"/>
      <c r="U45433" s="9"/>
      <c r="X45433" s="9"/>
    </row>
    <row r="45434">
      <c r="D45434" s="9"/>
      <c r="G45434" s="9"/>
      <c r="J45434" s="11"/>
      <c r="U45434" s="9"/>
      <c r="X45434" s="9"/>
    </row>
    <row r="45435">
      <c r="D45435" s="9"/>
      <c r="G45435" s="9"/>
      <c r="J45435" s="11"/>
      <c r="U45435" s="9"/>
      <c r="X45435" s="9"/>
    </row>
    <row r="45436">
      <c r="D45436" s="9"/>
      <c r="G45436" s="9"/>
      <c r="J45436" s="11"/>
      <c r="U45436" s="9"/>
      <c r="X45436" s="9"/>
    </row>
    <row r="45437">
      <c r="D45437" s="9"/>
      <c r="G45437" s="9"/>
      <c r="J45437" s="11"/>
      <c r="U45437" s="9"/>
      <c r="X45437" s="9"/>
    </row>
    <row r="45438">
      <c r="D45438" s="9"/>
      <c r="G45438" s="9"/>
      <c r="J45438" s="11"/>
      <c r="U45438" s="9"/>
      <c r="X45438" s="9"/>
    </row>
    <row r="45439">
      <c r="D45439" s="9"/>
      <c r="G45439" s="9"/>
      <c r="J45439" s="11"/>
      <c r="U45439" s="9"/>
      <c r="X45439" s="9"/>
    </row>
    <row r="45440">
      <c r="D45440" s="9"/>
      <c r="G45440" s="9"/>
      <c r="J45440" s="11"/>
      <c r="U45440" s="9"/>
      <c r="X45440" s="9"/>
    </row>
    <row r="45441">
      <c r="D45441" s="9"/>
      <c r="G45441" s="9"/>
      <c r="J45441" s="11"/>
      <c r="U45441" s="9"/>
      <c r="X45441" s="9"/>
    </row>
    <row r="45442">
      <c r="D45442" s="9"/>
      <c r="G45442" s="9"/>
      <c r="J45442" s="11"/>
      <c r="U45442" s="9"/>
      <c r="X45442" s="9"/>
    </row>
    <row r="45443">
      <c r="D45443" s="9"/>
      <c r="G45443" s="9"/>
      <c r="J45443" s="11"/>
      <c r="U45443" s="9"/>
      <c r="X45443" s="9"/>
    </row>
    <row r="45444">
      <c r="D45444" s="9"/>
      <c r="G45444" s="9"/>
      <c r="J45444" s="11"/>
      <c r="U45444" s="9"/>
      <c r="X45444" s="9"/>
    </row>
    <row r="45445">
      <c r="D45445" s="9"/>
      <c r="G45445" s="9"/>
      <c r="J45445" s="11"/>
      <c r="U45445" s="9"/>
      <c r="X45445" s="9"/>
    </row>
    <row r="45446">
      <c r="D45446" s="9"/>
      <c r="G45446" s="9"/>
      <c r="J45446" s="11"/>
      <c r="U45446" s="9"/>
      <c r="X45446" s="9"/>
    </row>
    <row r="45447">
      <c r="D45447" s="9"/>
      <c r="G45447" s="9"/>
      <c r="J45447" s="11"/>
      <c r="U45447" s="9"/>
      <c r="X45447" s="9"/>
    </row>
    <row r="45448">
      <c r="D45448" s="9"/>
      <c r="G45448" s="9"/>
      <c r="J45448" s="11"/>
      <c r="U45448" s="9"/>
      <c r="X45448" s="9"/>
    </row>
    <row r="45449">
      <c r="D45449" s="9"/>
      <c r="G45449" s="9"/>
      <c r="J45449" s="11"/>
      <c r="U45449" s="9"/>
      <c r="X45449" s="9"/>
    </row>
    <row r="45450">
      <c r="D45450" s="9"/>
      <c r="G45450" s="9"/>
      <c r="J45450" s="11"/>
      <c r="U45450" s="9"/>
      <c r="X45450" s="9"/>
    </row>
    <row r="45451">
      <c r="D45451" s="9"/>
      <c r="G45451" s="9"/>
      <c r="J45451" s="11"/>
      <c r="U45451" s="9"/>
      <c r="X45451" s="9"/>
    </row>
    <row r="45452">
      <c r="D45452" s="9"/>
      <c r="G45452" s="9"/>
      <c r="J45452" s="11"/>
      <c r="U45452" s="9"/>
      <c r="X45452" s="9"/>
    </row>
    <row r="45453">
      <c r="D45453" s="9"/>
      <c r="G45453" s="9"/>
      <c r="J45453" s="11"/>
      <c r="U45453" s="9"/>
      <c r="X45453" s="9"/>
    </row>
    <row r="45454">
      <c r="D45454" s="9"/>
      <c r="G45454" s="9"/>
      <c r="J45454" s="11"/>
      <c r="U45454" s="9"/>
      <c r="X45454" s="9"/>
    </row>
    <row r="45455">
      <c r="D45455" s="9"/>
      <c r="G45455" s="9"/>
      <c r="J45455" s="11"/>
      <c r="U45455" s="9"/>
      <c r="X45455" s="9"/>
    </row>
    <row r="45456">
      <c r="D45456" s="9"/>
      <c r="G45456" s="9"/>
      <c r="J45456" s="11"/>
      <c r="U45456" s="9"/>
      <c r="X45456" s="9"/>
    </row>
    <row r="45457">
      <c r="D45457" s="9"/>
      <c r="G45457" s="9"/>
      <c r="J45457" s="11"/>
      <c r="U45457" s="9"/>
      <c r="X45457" s="9"/>
    </row>
    <row r="45458">
      <c r="D45458" s="9"/>
      <c r="G45458" s="9"/>
      <c r="J45458" s="11"/>
      <c r="U45458" s="9"/>
      <c r="X45458" s="9"/>
    </row>
    <row r="45459">
      <c r="D45459" s="9"/>
      <c r="G45459" s="9"/>
      <c r="J45459" s="11"/>
      <c r="U45459" s="9"/>
      <c r="X45459" s="9"/>
    </row>
    <row r="45460">
      <c r="D45460" s="9"/>
      <c r="G45460" s="9"/>
      <c r="J45460" s="11"/>
      <c r="U45460" s="9"/>
      <c r="X45460" s="9"/>
    </row>
    <row r="45461">
      <c r="D45461" s="9"/>
      <c r="G45461" s="9"/>
      <c r="J45461" s="11"/>
      <c r="U45461" s="9"/>
      <c r="X45461" s="9"/>
    </row>
    <row r="45462">
      <c r="D45462" s="9"/>
      <c r="G45462" s="9"/>
      <c r="J45462" s="11"/>
      <c r="U45462" s="9"/>
      <c r="X45462" s="9"/>
    </row>
    <row r="45463">
      <c r="D45463" s="9"/>
      <c r="G45463" s="9"/>
      <c r="J45463" s="11"/>
      <c r="U45463" s="9"/>
      <c r="X45463" s="9"/>
    </row>
    <row r="45464">
      <c r="D45464" s="9"/>
      <c r="G45464" s="9"/>
      <c r="J45464" s="11"/>
      <c r="U45464" s="9"/>
      <c r="X45464" s="9"/>
    </row>
    <row r="45465">
      <c r="D45465" s="9"/>
      <c r="G45465" s="9"/>
      <c r="J45465" s="11"/>
      <c r="U45465" s="9"/>
      <c r="X45465" s="9"/>
    </row>
    <row r="45466">
      <c r="D45466" s="9"/>
      <c r="G45466" s="9"/>
      <c r="J45466" s="11"/>
      <c r="U45466" s="9"/>
      <c r="X45466" s="9"/>
    </row>
    <row r="45467">
      <c r="D45467" s="9"/>
      <c r="G45467" s="9"/>
      <c r="J45467" s="11"/>
      <c r="U45467" s="9"/>
      <c r="X45467" s="9"/>
    </row>
    <row r="45468">
      <c r="D45468" s="9"/>
      <c r="G45468" s="9"/>
      <c r="J45468" s="11"/>
      <c r="U45468" s="9"/>
      <c r="X45468" s="9"/>
    </row>
    <row r="45469">
      <c r="D45469" s="9"/>
      <c r="G45469" s="9"/>
      <c r="J45469" s="11"/>
      <c r="U45469" s="9"/>
      <c r="X45469" s="9"/>
    </row>
    <row r="45470">
      <c r="D45470" s="9"/>
      <c r="G45470" s="9"/>
      <c r="J45470" s="11"/>
      <c r="U45470" s="9"/>
      <c r="X45470" s="9"/>
    </row>
    <row r="45471">
      <c r="D45471" s="9"/>
      <c r="G45471" s="9"/>
      <c r="J45471" s="11"/>
      <c r="U45471" s="9"/>
      <c r="X45471" s="9"/>
    </row>
    <row r="45472">
      <c r="D45472" s="9"/>
      <c r="G45472" s="9"/>
      <c r="J45472" s="11"/>
      <c r="U45472" s="9"/>
      <c r="X45472" s="9"/>
    </row>
    <row r="45473">
      <c r="D45473" s="9"/>
      <c r="G45473" s="9"/>
      <c r="J45473" s="11"/>
      <c r="U45473" s="9"/>
      <c r="X45473" s="9"/>
    </row>
    <row r="45474">
      <c r="D45474" s="9"/>
      <c r="G45474" s="9"/>
      <c r="J45474" s="11"/>
      <c r="U45474" s="9"/>
      <c r="X45474" s="9"/>
    </row>
    <row r="45475">
      <c r="D45475" s="9"/>
      <c r="G45475" s="9"/>
      <c r="J45475" s="11"/>
      <c r="U45475" s="9"/>
      <c r="X45475" s="9"/>
    </row>
    <row r="45476">
      <c r="D45476" s="9"/>
      <c r="G45476" s="9"/>
      <c r="J45476" s="11"/>
      <c r="U45476" s="9"/>
      <c r="X45476" s="9"/>
    </row>
    <row r="45477">
      <c r="D45477" s="9"/>
      <c r="G45477" s="9"/>
      <c r="J45477" s="11"/>
      <c r="U45477" s="9"/>
      <c r="X45477" s="9"/>
    </row>
    <row r="45478">
      <c r="D45478" s="9"/>
      <c r="G45478" s="9"/>
      <c r="J45478" s="11"/>
      <c r="U45478" s="9"/>
      <c r="X45478" s="9"/>
    </row>
    <row r="45479">
      <c r="D45479" s="9"/>
      <c r="G45479" s="9"/>
      <c r="J45479" s="11"/>
      <c r="U45479" s="9"/>
      <c r="X45479" s="9"/>
    </row>
    <row r="45480">
      <c r="D45480" s="9"/>
      <c r="G45480" s="9"/>
      <c r="J45480" s="11"/>
      <c r="U45480" s="9"/>
      <c r="X45480" s="9"/>
    </row>
    <row r="45481">
      <c r="D45481" s="9"/>
      <c r="G45481" s="9"/>
      <c r="J45481" s="11"/>
      <c r="U45481" s="9"/>
      <c r="X45481" s="9"/>
    </row>
    <row r="45482">
      <c r="D45482" s="9"/>
      <c r="G45482" s="9"/>
      <c r="J45482" s="11"/>
      <c r="U45482" s="9"/>
      <c r="X45482" s="9"/>
    </row>
    <row r="45483">
      <c r="D45483" s="9"/>
      <c r="G45483" s="9"/>
      <c r="J45483" s="11"/>
      <c r="U45483" s="9"/>
      <c r="X45483" s="9"/>
    </row>
    <row r="45484">
      <c r="D45484" s="9"/>
      <c r="G45484" s="9"/>
      <c r="J45484" s="11"/>
      <c r="U45484" s="9"/>
      <c r="X45484" s="9"/>
    </row>
    <row r="45485">
      <c r="D45485" s="9"/>
      <c r="G45485" s="9"/>
      <c r="J45485" s="11"/>
      <c r="U45485" s="9"/>
      <c r="X45485" s="9"/>
    </row>
    <row r="45486">
      <c r="D45486" s="9"/>
      <c r="G45486" s="9"/>
      <c r="J45486" s="11"/>
      <c r="U45486" s="9"/>
      <c r="X45486" s="9"/>
    </row>
    <row r="45487">
      <c r="D45487" s="9"/>
      <c r="G45487" s="9"/>
      <c r="J45487" s="11"/>
      <c r="U45487" s="9"/>
      <c r="X45487" s="9"/>
    </row>
    <row r="45488">
      <c r="D45488" s="9"/>
      <c r="G45488" s="9"/>
      <c r="J45488" s="11"/>
      <c r="U45488" s="9"/>
      <c r="X45488" s="9"/>
    </row>
    <row r="45489">
      <c r="D45489" s="9"/>
      <c r="G45489" s="9"/>
      <c r="J45489" s="11"/>
      <c r="U45489" s="9"/>
      <c r="X45489" s="9"/>
    </row>
    <row r="45490">
      <c r="D45490" s="9"/>
      <c r="G45490" s="9"/>
      <c r="J45490" s="11"/>
      <c r="U45490" s="9"/>
      <c r="X45490" s="9"/>
    </row>
    <row r="45491">
      <c r="D45491" s="9"/>
      <c r="G45491" s="9"/>
      <c r="J45491" s="11"/>
      <c r="U45491" s="9"/>
      <c r="X45491" s="9"/>
    </row>
    <row r="45492">
      <c r="D45492" s="9"/>
      <c r="G45492" s="9"/>
      <c r="J45492" s="11"/>
      <c r="U45492" s="9"/>
      <c r="X45492" s="9"/>
    </row>
    <row r="45493">
      <c r="D45493" s="9"/>
      <c r="G45493" s="9"/>
      <c r="J45493" s="11"/>
      <c r="U45493" s="9"/>
      <c r="X45493" s="9"/>
    </row>
    <row r="45494">
      <c r="D45494" s="9"/>
      <c r="G45494" s="9"/>
      <c r="J45494" s="11"/>
      <c r="U45494" s="9"/>
      <c r="X45494" s="9"/>
    </row>
    <row r="45495">
      <c r="D45495" s="9"/>
      <c r="G45495" s="9"/>
      <c r="J45495" s="11"/>
      <c r="U45495" s="9"/>
      <c r="X45495" s="9"/>
    </row>
    <row r="45496">
      <c r="D45496" s="9"/>
      <c r="G45496" s="9"/>
      <c r="J45496" s="11"/>
      <c r="U45496" s="9"/>
      <c r="X45496" s="9"/>
    </row>
    <row r="45497">
      <c r="D45497" s="9"/>
      <c r="G45497" s="9"/>
      <c r="J45497" s="11"/>
      <c r="U45497" s="9"/>
      <c r="X45497" s="9"/>
    </row>
    <row r="45498">
      <c r="D45498" s="9"/>
      <c r="G45498" s="9"/>
      <c r="J45498" s="11"/>
      <c r="U45498" s="9"/>
      <c r="X45498" s="9"/>
    </row>
    <row r="45499">
      <c r="D45499" s="9"/>
      <c r="G45499" s="9"/>
      <c r="J45499" s="11"/>
      <c r="U45499" s="9"/>
      <c r="X45499" s="9"/>
    </row>
    <row r="45500">
      <c r="D45500" s="9"/>
      <c r="G45500" s="9"/>
      <c r="J45500" s="11"/>
      <c r="U45500" s="9"/>
      <c r="X45500" s="9"/>
    </row>
    <row r="45501">
      <c r="D45501" s="9"/>
      <c r="G45501" s="9"/>
      <c r="J45501" s="11"/>
      <c r="U45501" s="9"/>
      <c r="X45501" s="9"/>
    </row>
    <row r="45502">
      <c r="D45502" s="9"/>
      <c r="G45502" s="9"/>
      <c r="J45502" s="11"/>
      <c r="U45502" s="9"/>
      <c r="X45502" s="9"/>
    </row>
    <row r="45503">
      <c r="D45503" s="9"/>
      <c r="G45503" s="9"/>
      <c r="J45503" s="11"/>
      <c r="U45503" s="9"/>
      <c r="X45503" s="9"/>
    </row>
    <row r="45504">
      <c r="D45504" s="9"/>
      <c r="G45504" s="9"/>
      <c r="J45504" s="11"/>
      <c r="U45504" s="9"/>
      <c r="X45504" s="9"/>
    </row>
    <row r="45505">
      <c r="D45505" s="9"/>
      <c r="G45505" s="9"/>
      <c r="J45505" s="11"/>
      <c r="U45505" s="9"/>
      <c r="X45505" s="9"/>
    </row>
    <row r="45506">
      <c r="D45506" s="9"/>
      <c r="G45506" s="9"/>
      <c r="J45506" s="11"/>
      <c r="U45506" s="9"/>
      <c r="X45506" s="9"/>
    </row>
    <row r="45507">
      <c r="D45507" s="9"/>
      <c r="G45507" s="9"/>
      <c r="J45507" s="11"/>
      <c r="U45507" s="9"/>
      <c r="X45507" s="9"/>
    </row>
    <row r="45508">
      <c r="D45508" s="9"/>
      <c r="G45508" s="9"/>
      <c r="J45508" s="11"/>
      <c r="U45508" s="9"/>
      <c r="X45508" s="9"/>
    </row>
    <row r="45509">
      <c r="D45509" s="9"/>
      <c r="G45509" s="9"/>
      <c r="J45509" s="11"/>
      <c r="U45509" s="9"/>
      <c r="X45509" s="9"/>
    </row>
    <row r="45510">
      <c r="D45510" s="9"/>
      <c r="G45510" s="9"/>
      <c r="J45510" s="11"/>
      <c r="U45510" s="9"/>
      <c r="X45510" s="9"/>
    </row>
    <row r="45511">
      <c r="D45511" s="9"/>
      <c r="G45511" s="9"/>
      <c r="J45511" s="11"/>
      <c r="U45511" s="9"/>
      <c r="X45511" s="9"/>
    </row>
    <row r="45512">
      <c r="D45512" s="9"/>
      <c r="G45512" s="9"/>
      <c r="J45512" s="11"/>
      <c r="U45512" s="9"/>
      <c r="X45512" s="9"/>
    </row>
    <row r="45513">
      <c r="D45513" s="9"/>
      <c r="G45513" s="9"/>
      <c r="J45513" s="11"/>
      <c r="U45513" s="9"/>
      <c r="X45513" s="9"/>
    </row>
    <row r="45514">
      <c r="D45514" s="9"/>
      <c r="G45514" s="9"/>
      <c r="J45514" s="11"/>
      <c r="U45514" s="9"/>
      <c r="X45514" s="9"/>
    </row>
    <row r="45515">
      <c r="D45515" s="9"/>
      <c r="G45515" s="9"/>
      <c r="J45515" s="11"/>
      <c r="U45515" s="9"/>
      <c r="X45515" s="9"/>
    </row>
    <row r="45516">
      <c r="D45516" s="9"/>
      <c r="G45516" s="9"/>
      <c r="J45516" s="11"/>
      <c r="U45516" s="9"/>
      <c r="X45516" s="9"/>
    </row>
    <row r="45517">
      <c r="D45517" s="9"/>
      <c r="G45517" s="9"/>
      <c r="J45517" s="11"/>
      <c r="U45517" s="9"/>
      <c r="X45517" s="9"/>
    </row>
    <row r="45518">
      <c r="D45518" s="9"/>
      <c r="G45518" s="9"/>
      <c r="J45518" s="11"/>
      <c r="U45518" s="9"/>
      <c r="X45518" s="9"/>
    </row>
    <row r="45519">
      <c r="D45519" s="9"/>
      <c r="G45519" s="9"/>
      <c r="J45519" s="11"/>
      <c r="U45519" s="9"/>
      <c r="X45519" s="9"/>
    </row>
    <row r="45520">
      <c r="D45520" s="9"/>
      <c r="G45520" s="9"/>
      <c r="J45520" s="11"/>
      <c r="U45520" s="9"/>
      <c r="X45520" s="9"/>
    </row>
    <row r="45521">
      <c r="D45521" s="9"/>
      <c r="G45521" s="9"/>
      <c r="J45521" s="11"/>
      <c r="U45521" s="9"/>
      <c r="X45521" s="9"/>
    </row>
    <row r="45522">
      <c r="D45522" s="9"/>
      <c r="G45522" s="9"/>
      <c r="J45522" s="11"/>
      <c r="U45522" s="9"/>
      <c r="X45522" s="9"/>
    </row>
    <row r="45523">
      <c r="D45523" s="9"/>
      <c r="G45523" s="9"/>
      <c r="J45523" s="11"/>
      <c r="U45523" s="9"/>
      <c r="X45523" s="9"/>
    </row>
    <row r="45524">
      <c r="D45524" s="9"/>
      <c r="G45524" s="9"/>
      <c r="J45524" s="11"/>
      <c r="U45524" s="9"/>
      <c r="X45524" s="9"/>
    </row>
    <row r="45525">
      <c r="D45525" s="9"/>
      <c r="G45525" s="9"/>
      <c r="J45525" s="11"/>
      <c r="U45525" s="9"/>
      <c r="X45525" s="9"/>
    </row>
    <row r="45526">
      <c r="D45526" s="9"/>
      <c r="G45526" s="9"/>
      <c r="J45526" s="11"/>
      <c r="U45526" s="9"/>
      <c r="X45526" s="9"/>
    </row>
    <row r="45527">
      <c r="D45527" s="9"/>
      <c r="G45527" s="9"/>
      <c r="J45527" s="11"/>
      <c r="U45527" s="9"/>
      <c r="X45527" s="9"/>
    </row>
    <row r="45528">
      <c r="D45528" s="9"/>
      <c r="G45528" s="9"/>
      <c r="J45528" s="11"/>
      <c r="U45528" s="9"/>
      <c r="X45528" s="9"/>
    </row>
    <row r="45529">
      <c r="D45529" s="9"/>
      <c r="G45529" s="9"/>
      <c r="J45529" s="11"/>
      <c r="U45529" s="9"/>
      <c r="X45529" s="9"/>
    </row>
    <row r="45530">
      <c r="D45530" s="9"/>
      <c r="G45530" s="9"/>
      <c r="J45530" s="11"/>
      <c r="U45530" s="9"/>
      <c r="X45530" s="9"/>
    </row>
    <row r="45531">
      <c r="D45531" s="9"/>
      <c r="G45531" s="9"/>
      <c r="J45531" s="11"/>
      <c r="U45531" s="9"/>
      <c r="X45531" s="9"/>
    </row>
    <row r="45532">
      <c r="D45532" s="9"/>
      <c r="G45532" s="9"/>
      <c r="J45532" s="11"/>
      <c r="U45532" s="9"/>
      <c r="X45532" s="9"/>
    </row>
    <row r="45533">
      <c r="D45533" s="9"/>
      <c r="G45533" s="9"/>
      <c r="J45533" s="11"/>
      <c r="U45533" s="9"/>
      <c r="X45533" s="9"/>
    </row>
    <row r="45534">
      <c r="D45534" s="9"/>
      <c r="G45534" s="9"/>
      <c r="J45534" s="11"/>
      <c r="U45534" s="9"/>
      <c r="X45534" s="9"/>
    </row>
    <row r="45535">
      <c r="D45535" s="9"/>
      <c r="G45535" s="9"/>
      <c r="J45535" s="11"/>
      <c r="U45535" s="9"/>
      <c r="X45535" s="9"/>
    </row>
    <row r="45536">
      <c r="D45536" s="9"/>
      <c r="G45536" s="9"/>
      <c r="J45536" s="11"/>
      <c r="U45536" s="9"/>
      <c r="X45536" s="9"/>
    </row>
    <row r="45537">
      <c r="D45537" s="9"/>
      <c r="G45537" s="9"/>
      <c r="J45537" s="11"/>
      <c r="U45537" s="9"/>
      <c r="X45537" s="9"/>
    </row>
    <row r="45538">
      <c r="D45538" s="9"/>
      <c r="G45538" s="9"/>
      <c r="J45538" s="11"/>
      <c r="U45538" s="9"/>
      <c r="X45538" s="9"/>
    </row>
    <row r="45539">
      <c r="D45539" s="9"/>
      <c r="G45539" s="9"/>
      <c r="J45539" s="11"/>
      <c r="U45539" s="9"/>
      <c r="X45539" s="9"/>
    </row>
    <row r="45540">
      <c r="D45540" s="9"/>
      <c r="G45540" s="9"/>
      <c r="J45540" s="11"/>
      <c r="U45540" s="9"/>
      <c r="X45540" s="9"/>
    </row>
    <row r="45541">
      <c r="D45541" s="9"/>
      <c r="G45541" s="9"/>
      <c r="J45541" s="11"/>
      <c r="U45541" s="9"/>
      <c r="X45541" s="9"/>
    </row>
    <row r="45542">
      <c r="D45542" s="9"/>
      <c r="G45542" s="9"/>
      <c r="J45542" s="11"/>
      <c r="U45542" s="9"/>
      <c r="X45542" s="9"/>
    </row>
    <row r="45543">
      <c r="D45543" s="9"/>
      <c r="G45543" s="9"/>
      <c r="J45543" s="11"/>
      <c r="U45543" s="9"/>
      <c r="X45543" s="9"/>
    </row>
    <row r="45544">
      <c r="D45544" s="9"/>
      <c r="G45544" s="9"/>
      <c r="J45544" s="11"/>
      <c r="U45544" s="9"/>
      <c r="X45544" s="9"/>
    </row>
    <row r="45545">
      <c r="D45545" s="9"/>
      <c r="G45545" s="9"/>
      <c r="J45545" s="11"/>
      <c r="U45545" s="9"/>
      <c r="X45545" s="9"/>
    </row>
    <row r="45546">
      <c r="D45546" s="9"/>
      <c r="G45546" s="9"/>
      <c r="J45546" s="11"/>
      <c r="U45546" s="9"/>
      <c r="X45546" s="9"/>
    </row>
    <row r="45547">
      <c r="D45547" s="9"/>
      <c r="G45547" s="9"/>
      <c r="J45547" s="11"/>
      <c r="U45547" s="9"/>
      <c r="X45547" s="9"/>
    </row>
    <row r="45548">
      <c r="D45548" s="9"/>
      <c r="G45548" s="9"/>
      <c r="J45548" s="11"/>
      <c r="U45548" s="9"/>
      <c r="X45548" s="9"/>
    </row>
    <row r="45549">
      <c r="D45549" s="9"/>
      <c r="G45549" s="9"/>
      <c r="J45549" s="11"/>
      <c r="U45549" s="9"/>
      <c r="X45549" s="9"/>
    </row>
    <row r="45550">
      <c r="D45550" s="9"/>
      <c r="G45550" s="9"/>
      <c r="J45550" s="11"/>
      <c r="U45550" s="9"/>
      <c r="X45550" s="9"/>
    </row>
    <row r="45551">
      <c r="D45551" s="9"/>
      <c r="G45551" s="9"/>
      <c r="J45551" s="11"/>
      <c r="U45551" s="9"/>
      <c r="X45551" s="9"/>
    </row>
    <row r="45552">
      <c r="D45552" s="9"/>
      <c r="G45552" s="9"/>
      <c r="J45552" s="11"/>
      <c r="U45552" s="9"/>
      <c r="X45552" s="9"/>
    </row>
    <row r="45553">
      <c r="D45553" s="9"/>
      <c r="G45553" s="9"/>
      <c r="J45553" s="11"/>
      <c r="U45553" s="9"/>
      <c r="X45553" s="9"/>
    </row>
    <row r="45554">
      <c r="D45554" s="9"/>
      <c r="G45554" s="9"/>
      <c r="J45554" s="11"/>
      <c r="U45554" s="9"/>
      <c r="X45554" s="9"/>
    </row>
    <row r="45555">
      <c r="D45555" s="9"/>
      <c r="G45555" s="9"/>
      <c r="J45555" s="11"/>
      <c r="U45555" s="9"/>
      <c r="X45555" s="9"/>
    </row>
    <row r="45556">
      <c r="D45556" s="9"/>
      <c r="G45556" s="9"/>
      <c r="J45556" s="11"/>
      <c r="U45556" s="9"/>
      <c r="X45556" s="9"/>
    </row>
    <row r="45557">
      <c r="D45557" s="9"/>
      <c r="G45557" s="9"/>
      <c r="J45557" s="11"/>
      <c r="U45557" s="9"/>
      <c r="X45557" s="9"/>
    </row>
    <row r="45558">
      <c r="D45558" s="9"/>
      <c r="G45558" s="9"/>
      <c r="J45558" s="11"/>
      <c r="U45558" s="9"/>
      <c r="X45558" s="9"/>
    </row>
    <row r="45559">
      <c r="D45559" s="9"/>
      <c r="G45559" s="9"/>
      <c r="J45559" s="11"/>
      <c r="U45559" s="9"/>
      <c r="X45559" s="9"/>
    </row>
    <row r="45560">
      <c r="D45560" s="9"/>
      <c r="G45560" s="9"/>
      <c r="J45560" s="11"/>
      <c r="U45560" s="9"/>
      <c r="X45560" s="9"/>
    </row>
    <row r="45561">
      <c r="D45561" s="9"/>
      <c r="G45561" s="9"/>
      <c r="J45561" s="11"/>
      <c r="U45561" s="9"/>
      <c r="X45561" s="9"/>
    </row>
    <row r="45562">
      <c r="D45562" s="9"/>
      <c r="G45562" s="9"/>
      <c r="J45562" s="11"/>
      <c r="U45562" s="9"/>
      <c r="X45562" s="9"/>
    </row>
    <row r="45563">
      <c r="D45563" s="9"/>
      <c r="G45563" s="9"/>
      <c r="J45563" s="11"/>
      <c r="U45563" s="9"/>
      <c r="X45563" s="9"/>
    </row>
    <row r="45564">
      <c r="D45564" s="9"/>
      <c r="G45564" s="9"/>
      <c r="J45564" s="11"/>
      <c r="U45564" s="9"/>
      <c r="X45564" s="9"/>
    </row>
    <row r="45565">
      <c r="D45565" s="9"/>
      <c r="G45565" s="9"/>
      <c r="J45565" s="11"/>
      <c r="U45565" s="9"/>
      <c r="X45565" s="9"/>
    </row>
    <row r="45566">
      <c r="D45566" s="9"/>
      <c r="G45566" s="9"/>
      <c r="J45566" s="11"/>
      <c r="U45566" s="9"/>
      <c r="X45566" s="9"/>
    </row>
    <row r="45567">
      <c r="D45567" s="9"/>
      <c r="G45567" s="9"/>
      <c r="J45567" s="11"/>
      <c r="U45567" s="9"/>
      <c r="X45567" s="9"/>
    </row>
    <row r="45568">
      <c r="D45568" s="9"/>
      <c r="G45568" s="9"/>
      <c r="J45568" s="11"/>
      <c r="U45568" s="9"/>
      <c r="X45568" s="9"/>
    </row>
    <row r="45569">
      <c r="D45569" s="9"/>
      <c r="G45569" s="9"/>
      <c r="J45569" s="11"/>
      <c r="U45569" s="9"/>
      <c r="X45569" s="9"/>
    </row>
    <row r="45570">
      <c r="D45570" s="9"/>
      <c r="G45570" s="9"/>
      <c r="J45570" s="11"/>
      <c r="U45570" s="9"/>
      <c r="X45570" s="9"/>
    </row>
    <row r="45571">
      <c r="D45571" s="9"/>
      <c r="G45571" s="9"/>
      <c r="J45571" s="11"/>
      <c r="U45571" s="9"/>
      <c r="X45571" s="9"/>
    </row>
    <row r="45572">
      <c r="D45572" s="9"/>
      <c r="G45572" s="9"/>
      <c r="J45572" s="11"/>
      <c r="U45572" s="9"/>
      <c r="X45572" s="9"/>
    </row>
    <row r="45573">
      <c r="D45573" s="9"/>
      <c r="G45573" s="9"/>
      <c r="J45573" s="11"/>
      <c r="U45573" s="9"/>
      <c r="X45573" s="9"/>
    </row>
    <row r="45574">
      <c r="D45574" s="9"/>
      <c r="G45574" s="9"/>
      <c r="J45574" s="11"/>
      <c r="U45574" s="9"/>
      <c r="X45574" s="9"/>
    </row>
    <row r="45575">
      <c r="D45575" s="9"/>
      <c r="G45575" s="9"/>
      <c r="J45575" s="11"/>
      <c r="U45575" s="9"/>
      <c r="X45575" s="9"/>
    </row>
    <row r="45576">
      <c r="D45576" s="9"/>
      <c r="G45576" s="9"/>
      <c r="J45576" s="11"/>
      <c r="U45576" s="9"/>
      <c r="X45576" s="9"/>
    </row>
    <row r="45577">
      <c r="D45577" s="9"/>
      <c r="G45577" s="9"/>
      <c r="J45577" s="11"/>
      <c r="U45577" s="9"/>
      <c r="X45577" s="9"/>
    </row>
    <row r="45578">
      <c r="D45578" s="9"/>
      <c r="G45578" s="9"/>
      <c r="J45578" s="11"/>
      <c r="U45578" s="9"/>
      <c r="X45578" s="9"/>
    </row>
    <row r="45579">
      <c r="D45579" s="9"/>
      <c r="G45579" s="9"/>
      <c r="J45579" s="11"/>
      <c r="U45579" s="9"/>
      <c r="X45579" s="9"/>
    </row>
    <row r="45580">
      <c r="D45580" s="9"/>
      <c r="G45580" s="9"/>
      <c r="J45580" s="11"/>
      <c r="U45580" s="9"/>
      <c r="X45580" s="9"/>
    </row>
    <row r="45581">
      <c r="D45581" s="9"/>
      <c r="G45581" s="9"/>
      <c r="J45581" s="11"/>
      <c r="U45581" s="9"/>
      <c r="X45581" s="9"/>
    </row>
    <row r="45582">
      <c r="D45582" s="9"/>
      <c r="G45582" s="9"/>
      <c r="J45582" s="11"/>
      <c r="U45582" s="9"/>
      <c r="X45582" s="9"/>
    </row>
    <row r="45583">
      <c r="D45583" s="9"/>
      <c r="G45583" s="9"/>
      <c r="J45583" s="11"/>
      <c r="U45583" s="9"/>
      <c r="X45583" s="9"/>
    </row>
    <row r="45584">
      <c r="D45584" s="9"/>
      <c r="G45584" s="9"/>
      <c r="J45584" s="11"/>
      <c r="U45584" s="9"/>
      <c r="X45584" s="9"/>
    </row>
    <row r="45585">
      <c r="D45585" s="9"/>
      <c r="G45585" s="9"/>
      <c r="J45585" s="11"/>
      <c r="U45585" s="9"/>
      <c r="X45585" s="9"/>
    </row>
    <row r="45586">
      <c r="D45586" s="9"/>
      <c r="G45586" s="9"/>
      <c r="J45586" s="11"/>
      <c r="U45586" s="9"/>
      <c r="X45586" s="9"/>
    </row>
    <row r="45587">
      <c r="D45587" s="9"/>
      <c r="G45587" s="9"/>
      <c r="J45587" s="11"/>
      <c r="U45587" s="9"/>
      <c r="X45587" s="9"/>
    </row>
    <row r="45588">
      <c r="D45588" s="9"/>
      <c r="G45588" s="9"/>
      <c r="J45588" s="11"/>
      <c r="U45588" s="9"/>
      <c r="X45588" s="9"/>
    </row>
    <row r="45589">
      <c r="D45589" s="9"/>
      <c r="G45589" s="9"/>
      <c r="J45589" s="11"/>
      <c r="U45589" s="9"/>
      <c r="X45589" s="9"/>
    </row>
    <row r="45590">
      <c r="D45590" s="9"/>
      <c r="G45590" s="9"/>
      <c r="J45590" s="11"/>
      <c r="U45590" s="9"/>
      <c r="X45590" s="9"/>
    </row>
    <row r="45591">
      <c r="D45591" s="9"/>
      <c r="G45591" s="9"/>
      <c r="J45591" s="11"/>
      <c r="U45591" s="9"/>
      <c r="X45591" s="9"/>
    </row>
    <row r="45592">
      <c r="D45592" s="9"/>
      <c r="G45592" s="9"/>
      <c r="J45592" s="11"/>
      <c r="U45592" s="9"/>
      <c r="X45592" s="9"/>
    </row>
    <row r="45593">
      <c r="D45593" s="9"/>
      <c r="G45593" s="9"/>
      <c r="J45593" s="11"/>
      <c r="U45593" s="9"/>
      <c r="X45593" s="9"/>
    </row>
    <row r="45594">
      <c r="D45594" s="9"/>
      <c r="G45594" s="9"/>
      <c r="J45594" s="11"/>
      <c r="U45594" s="9"/>
      <c r="X45594" s="9"/>
    </row>
    <row r="45595">
      <c r="D45595" s="9"/>
      <c r="G45595" s="9"/>
      <c r="J45595" s="11"/>
      <c r="U45595" s="9"/>
      <c r="X45595" s="9"/>
    </row>
    <row r="45596">
      <c r="D45596" s="9"/>
      <c r="G45596" s="9"/>
      <c r="J45596" s="11"/>
      <c r="U45596" s="9"/>
      <c r="X45596" s="9"/>
    </row>
    <row r="45597">
      <c r="D45597" s="9"/>
      <c r="G45597" s="9"/>
      <c r="J45597" s="11"/>
      <c r="U45597" s="9"/>
      <c r="X45597" s="9"/>
    </row>
    <row r="45598">
      <c r="D45598" s="9"/>
      <c r="G45598" s="9"/>
      <c r="J45598" s="11"/>
      <c r="U45598" s="9"/>
      <c r="X45598" s="9"/>
    </row>
    <row r="45599">
      <c r="D45599" s="9"/>
      <c r="G45599" s="9"/>
      <c r="J45599" s="11"/>
      <c r="U45599" s="9"/>
      <c r="X45599" s="9"/>
    </row>
    <row r="45600">
      <c r="D45600" s="9"/>
      <c r="G45600" s="9"/>
      <c r="J45600" s="11"/>
      <c r="U45600" s="9"/>
      <c r="X45600" s="9"/>
    </row>
    <row r="45601">
      <c r="D45601" s="9"/>
      <c r="G45601" s="9"/>
      <c r="J45601" s="11"/>
      <c r="U45601" s="9"/>
      <c r="X45601" s="9"/>
    </row>
    <row r="45602">
      <c r="D45602" s="9"/>
      <c r="G45602" s="9"/>
      <c r="J45602" s="11"/>
      <c r="U45602" s="9"/>
      <c r="X45602" s="9"/>
    </row>
    <row r="45603">
      <c r="D45603" s="9"/>
      <c r="G45603" s="9"/>
      <c r="J45603" s="11"/>
      <c r="U45603" s="9"/>
      <c r="X45603" s="9"/>
    </row>
    <row r="45604">
      <c r="D45604" s="9"/>
      <c r="G45604" s="9"/>
      <c r="J45604" s="11"/>
      <c r="U45604" s="9"/>
      <c r="X45604" s="9"/>
    </row>
    <row r="45605">
      <c r="D45605" s="9"/>
      <c r="G45605" s="9"/>
      <c r="J45605" s="11"/>
      <c r="U45605" s="9"/>
      <c r="X45605" s="9"/>
    </row>
    <row r="45606">
      <c r="D45606" s="9"/>
      <c r="G45606" s="9"/>
      <c r="J45606" s="11"/>
      <c r="U45606" s="9"/>
      <c r="X45606" s="9"/>
    </row>
    <row r="45607">
      <c r="D45607" s="9"/>
      <c r="G45607" s="9"/>
      <c r="J45607" s="11"/>
      <c r="U45607" s="9"/>
      <c r="X45607" s="9"/>
    </row>
    <row r="45608">
      <c r="D45608" s="9"/>
      <c r="G45608" s="9"/>
      <c r="J45608" s="11"/>
      <c r="U45608" s="9"/>
      <c r="X45608" s="9"/>
    </row>
    <row r="45609">
      <c r="D45609" s="9"/>
      <c r="G45609" s="9"/>
      <c r="J45609" s="11"/>
      <c r="U45609" s="9"/>
      <c r="X45609" s="9"/>
    </row>
    <row r="45610">
      <c r="D45610" s="9"/>
      <c r="G45610" s="9"/>
      <c r="J45610" s="11"/>
      <c r="U45610" s="9"/>
      <c r="X45610" s="9"/>
    </row>
    <row r="45611">
      <c r="D45611" s="9"/>
      <c r="G45611" s="9"/>
      <c r="J45611" s="11"/>
      <c r="U45611" s="9"/>
      <c r="X45611" s="9"/>
    </row>
    <row r="45612">
      <c r="D45612" s="9"/>
      <c r="G45612" s="9"/>
      <c r="J45612" s="11"/>
      <c r="U45612" s="9"/>
      <c r="X45612" s="9"/>
    </row>
    <row r="45613">
      <c r="D45613" s="9"/>
      <c r="G45613" s="9"/>
      <c r="J45613" s="11"/>
      <c r="U45613" s="9"/>
      <c r="X45613" s="9"/>
    </row>
    <row r="45614">
      <c r="D45614" s="9"/>
      <c r="G45614" s="9"/>
      <c r="J45614" s="11"/>
      <c r="U45614" s="9"/>
      <c r="X45614" s="9"/>
    </row>
    <row r="45615">
      <c r="D45615" s="9"/>
      <c r="G45615" s="9"/>
      <c r="J45615" s="11"/>
      <c r="U45615" s="9"/>
      <c r="X45615" s="9"/>
    </row>
    <row r="45616">
      <c r="D45616" s="9"/>
      <c r="G45616" s="9"/>
      <c r="J45616" s="11"/>
      <c r="U45616" s="9"/>
      <c r="X45616" s="9"/>
    </row>
    <row r="45617">
      <c r="D45617" s="9"/>
      <c r="G45617" s="9"/>
      <c r="J45617" s="11"/>
      <c r="U45617" s="9"/>
      <c r="X45617" s="9"/>
    </row>
    <row r="45618">
      <c r="D45618" s="9"/>
      <c r="G45618" s="9"/>
      <c r="J45618" s="11"/>
      <c r="U45618" s="9"/>
      <c r="X45618" s="9"/>
    </row>
    <row r="45619">
      <c r="D45619" s="9"/>
      <c r="G45619" s="9"/>
      <c r="J45619" s="11"/>
      <c r="U45619" s="9"/>
      <c r="X45619" s="9"/>
    </row>
    <row r="45620">
      <c r="D45620" s="9"/>
      <c r="G45620" s="9"/>
      <c r="J45620" s="11"/>
      <c r="U45620" s="9"/>
      <c r="X45620" s="9"/>
    </row>
    <row r="45621">
      <c r="D45621" s="9"/>
      <c r="G45621" s="9"/>
      <c r="J45621" s="11"/>
      <c r="U45621" s="9"/>
      <c r="X45621" s="9"/>
    </row>
    <row r="45622">
      <c r="D45622" s="9"/>
      <c r="G45622" s="9"/>
      <c r="J45622" s="11"/>
      <c r="U45622" s="9"/>
      <c r="X45622" s="9"/>
    </row>
    <row r="45623">
      <c r="D45623" s="9"/>
      <c r="G45623" s="9"/>
      <c r="J45623" s="11"/>
      <c r="U45623" s="9"/>
      <c r="X45623" s="9"/>
    </row>
    <row r="45624">
      <c r="D45624" s="9"/>
      <c r="G45624" s="9"/>
      <c r="J45624" s="11"/>
      <c r="U45624" s="9"/>
      <c r="X45624" s="9"/>
    </row>
    <row r="45625">
      <c r="D45625" s="9"/>
      <c r="G45625" s="9"/>
      <c r="J45625" s="11"/>
      <c r="U45625" s="9"/>
      <c r="X45625" s="9"/>
    </row>
    <row r="45626">
      <c r="D45626" s="9"/>
      <c r="G45626" s="9"/>
      <c r="J45626" s="11"/>
      <c r="U45626" s="9"/>
      <c r="X45626" s="9"/>
    </row>
    <row r="45627">
      <c r="D45627" s="9"/>
      <c r="G45627" s="9"/>
      <c r="J45627" s="11"/>
      <c r="U45627" s="9"/>
      <c r="X45627" s="9"/>
    </row>
    <row r="45628">
      <c r="D45628" s="9"/>
      <c r="G45628" s="9"/>
      <c r="J45628" s="11"/>
      <c r="U45628" s="9"/>
      <c r="X45628" s="9"/>
    </row>
    <row r="45629">
      <c r="D45629" s="9"/>
      <c r="G45629" s="9"/>
      <c r="J45629" s="11"/>
      <c r="U45629" s="9"/>
      <c r="X45629" s="9"/>
    </row>
    <row r="45630">
      <c r="D45630" s="9"/>
      <c r="G45630" s="9"/>
      <c r="J45630" s="11"/>
      <c r="U45630" s="9"/>
      <c r="X45630" s="9"/>
    </row>
    <row r="45631">
      <c r="D45631" s="9"/>
      <c r="G45631" s="9"/>
      <c r="J45631" s="11"/>
      <c r="U45631" s="9"/>
      <c r="X45631" s="9"/>
    </row>
    <row r="45632">
      <c r="D45632" s="9"/>
      <c r="G45632" s="9"/>
      <c r="J45632" s="11"/>
      <c r="U45632" s="9"/>
      <c r="X45632" s="9"/>
    </row>
    <row r="45633">
      <c r="D45633" s="9"/>
      <c r="G45633" s="9"/>
      <c r="J45633" s="11"/>
      <c r="U45633" s="9"/>
      <c r="X45633" s="9"/>
    </row>
    <row r="45634">
      <c r="D45634" s="9"/>
      <c r="G45634" s="9"/>
      <c r="J45634" s="11"/>
      <c r="U45634" s="9"/>
      <c r="X45634" s="9"/>
    </row>
    <row r="45635">
      <c r="D45635" s="9"/>
      <c r="G45635" s="9"/>
      <c r="J45635" s="11"/>
      <c r="U45635" s="9"/>
      <c r="X45635" s="9"/>
    </row>
    <row r="45636">
      <c r="D45636" s="9"/>
      <c r="G45636" s="9"/>
      <c r="J45636" s="11"/>
      <c r="U45636" s="9"/>
      <c r="X45636" s="9"/>
    </row>
    <row r="45637">
      <c r="D45637" s="9"/>
      <c r="G45637" s="9"/>
      <c r="J45637" s="11"/>
      <c r="U45637" s="9"/>
      <c r="X45637" s="9"/>
    </row>
    <row r="45638">
      <c r="D45638" s="9"/>
      <c r="G45638" s="9"/>
      <c r="J45638" s="11"/>
      <c r="U45638" s="9"/>
      <c r="X45638" s="9"/>
    </row>
    <row r="45639">
      <c r="D45639" s="9"/>
      <c r="G45639" s="9"/>
      <c r="J45639" s="11"/>
      <c r="U45639" s="9"/>
      <c r="X45639" s="9"/>
    </row>
    <row r="45640">
      <c r="D45640" s="9"/>
      <c r="G45640" s="9"/>
      <c r="J45640" s="11"/>
      <c r="U45640" s="9"/>
      <c r="X45640" s="9"/>
    </row>
    <row r="45641">
      <c r="D45641" s="9"/>
      <c r="G45641" s="9"/>
      <c r="J45641" s="11"/>
      <c r="U45641" s="9"/>
      <c r="X45641" s="9"/>
    </row>
    <row r="45642">
      <c r="D45642" s="9"/>
      <c r="G45642" s="9"/>
      <c r="J45642" s="11"/>
      <c r="U45642" s="9"/>
      <c r="X45642" s="9"/>
    </row>
    <row r="45643">
      <c r="D45643" s="9"/>
      <c r="G45643" s="9"/>
      <c r="J45643" s="11"/>
      <c r="U45643" s="9"/>
      <c r="X45643" s="9"/>
    </row>
    <row r="45644">
      <c r="D45644" s="9"/>
      <c r="G45644" s="9"/>
      <c r="J45644" s="11"/>
      <c r="U45644" s="9"/>
      <c r="X45644" s="9"/>
    </row>
    <row r="45645">
      <c r="D45645" s="9"/>
      <c r="G45645" s="9"/>
      <c r="J45645" s="11"/>
      <c r="U45645" s="9"/>
      <c r="X45645" s="9"/>
    </row>
    <row r="45646">
      <c r="D45646" s="9"/>
      <c r="G45646" s="9"/>
      <c r="J45646" s="11"/>
      <c r="U45646" s="9"/>
      <c r="X45646" s="9"/>
    </row>
    <row r="45647">
      <c r="D45647" s="9"/>
      <c r="G45647" s="9"/>
      <c r="J45647" s="11"/>
      <c r="U45647" s="9"/>
      <c r="X45647" s="9"/>
    </row>
    <row r="45648">
      <c r="D45648" s="9"/>
      <c r="G45648" s="9"/>
      <c r="J45648" s="11"/>
      <c r="U45648" s="9"/>
      <c r="X45648" s="9"/>
    </row>
    <row r="45649">
      <c r="D45649" s="9"/>
      <c r="G45649" s="9"/>
      <c r="J45649" s="11"/>
      <c r="U45649" s="9"/>
      <c r="X45649" s="9"/>
    </row>
    <row r="45650">
      <c r="D45650" s="9"/>
      <c r="G45650" s="9"/>
      <c r="J45650" s="11"/>
      <c r="U45650" s="9"/>
      <c r="X45650" s="9"/>
    </row>
    <row r="45651">
      <c r="D45651" s="9"/>
      <c r="G45651" s="9"/>
      <c r="J45651" s="11"/>
      <c r="U45651" s="9"/>
      <c r="X45651" s="9"/>
    </row>
    <row r="45652">
      <c r="D45652" s="9"/>
      <c r="G45652" s="9"/>
      <c r="J45652" s="11"/>
      <c r="U45652" s="9"/>
      <c r="X45652" s="9"/>
    </row>
    <row r="45653">
      <c r="D45653" s="9"/>
      <c r="G45653" s="9"/>
      <c r="J45653" s="11"/>
      <c r="U45653" s="9"/>
      <c r="X45653" s="9"/>
    </row>
    <row r="45654">
      <c r="D45654" s="9"/>
      <c r="G45654" s="9"/>
      <c r="J45654" s="11"/>
      <c r="U45654" s="9"/>
      <c r="X45654" s="9"/>
    </row>
    <row r="45655">
      <c r="D45655" s="9"/>
      <c r="G45655" s="9"/>
      <c r="J45655" s="11"/>
      <c r="U45655" s="9"/>
      <c r="X45655" s="9"/>
    </row>
    <row r="45656">
      <c r="D45656" s="9"/>
      <c r="G45656" s="9"/>
      <c r="J45656" s="11"/>
      <c r="U45656" s="9"/>
      <c r="X45656" s="9"/>
    </row>
    <row r="45657">
      <c r="D45657" s="9"/>
      <c r="G45657" s="9"/>
      <c r="J45657" s="11"/>
      <c r="U45657" s="9"/>
      <c r="X45657" s="9"/>
    </row>
    <row r="45658">
      <c r="D45658" s="9"/>
      <c r="G45658" s="9"/>
      <c r="J45658" s="11"/>
      <c r="U45658" s="9"/>
      <c r="X45658" s="9"/>
    </row>
    <row r="45659">
      <c r="D45659" s="9"/>
      <c r="G45659" s="9"/>
      <c r="J45659" s="11"/>
      <c r="U45659" s="9"/>
      <c r="X45659" s="9"/>
    </row>
    <row r="45660">
      <c r="D45660" s="9"/>
      <c r="G45660" s="9"/>
      <c r="J45660" s="11"/>
      <c r="U45660" s="9"/>
      <c r="X45660" s="9"/>
    </row>
    <row r="45661">
      <c r="D45661" s="9"/>
      <c r="G45661" s="9"/>
      <c r="J45661" s="11"/>
      <c r="U45661" s="9"/>
      <c r="X45661" s="9"/>
    </row>
    <row r="45662">
      <c r="D45662" s="9"/>
      <c r="G45662" s="9"/>
      <c r="J45662" s="11"/>
      <c r="U45662" s="9"/>
      <c r="X45662" s="9"/>
    </row>
    <row r="45663">
      <c r="D45663" s="9"/>
      <c r="G45663" s="9"/>
      <c r="J45663" s="11"/>
      <c r="U45663" s="9"/>
      <c r="X45663" s="9"/>
    </row>
    <row r="45664">
      <c r="D45664" s="9"/>
      <c r="G45664" s="9"/>
      <c r="J45664" s="11"/>
      <c r="U45664" s="9"/>
      <c r="X45664" s="9"/>
    </row>
    <row r="45665">
      <c r="D45665" s="9"/>
      <c r="G45665" s="9"/>
      <c r="J45665" s="11"/>
      <c r="U45665" s="9"/>
      <c r="X45665" s="9"/>
    </row>
    <row r="45666">
      <c r="D45666" s="9"/>
      <c r="G45666" s="9"/>
      <c r="J45666" s="11"/>
      <c r="U45666" s="9"/>
      <c r="X45666" s="9"/>
    </row>
    <row r="45667">
      <c r="D45667" s="9"/>
      <c r="G45667" s="9"/>
      <c r="J45667" s="11"/>
      <c r="U45667" s="9"/>
      <c r="X45667" s="9"/>
    </row>
    <row r="45668">
      <c r="D45668" s="9"/>
      <c r="G45668" s="9"/>
      <c r="J45668" s="11"/>
      <c r="U45668" s="9"/>
      <c r="X45668" s="9"/>
    </row>
    <row r="45669">
      <c r="D45669" s="9"/>
      <c r="G45669" s="9"/>
      <c r="J45669" s="11"/>
      <c r="U45669" s="9"/>
      <c r="X45669" s="9"/>
    </row>
    <row r="45670">
      <c r="D45670" s="9"/>
      <c r="G45670" s="9"/>
      <c r="J45670" s="11"/>
      <c r="U45670" s="9"/>
      <c r="X45670" s="9"/>
    </row>
    <row r="45671">
      <c r="D45671" s="9"/>
      <c r="G45671" s="9"/>
      <c r="J45671" s="11"/>
      <c r="U45671" s="9"/>
      <c r="X45671" s="9"/>
    </row>
    <row r="45672">
      <c r="D45672" s="9"/>
      <c r="G45672" s="9"/>
      <c r="J45672" s="11"/>
      <c r="U45672" s="9"/>
      <c r="X45672" s="9"/>
    </row>
    <row r="45673">
      <c r="D45673" s="9"/>
      <c r="G45673" s="9"/>
      <c r="J45673" s="11"/>
      <c r="U45673" s="9"/>
      <c r="X45673" s="9"/>
    </row>
    <row r="45674">
      <c r="D45674" s="9"/>
      <c r="G45674" s="9"/>
      <c r="J45674" s="11"/>
      <c r="U45674" s="9"/>
      <c r="X45674" s="9"/>
    </row>
    <row r="45675">
      <c r="D45675" s="9"/>
      <c r="G45675" s="9"/>
      <c r="J45675" s="11"/>
      <c r="U45675" s="9"/>
      <c r="X45675" s="9"/>
    </row>
    <row r="45676">
      <c r="D45676" s="9"/>
      <c r="G45676" s="9"/>
      <c r="J45676" s="11"/>
      <c r="U45676" s="9"/>
      <c r="X45676" s="9"/>
    </row>
    <row r="45677">
      <c r="D45677" s="9"/>
      <c r="G45677" s="9"/>
      <c r="J45677" s="11"/>
      <c r="U45677" s="9"/>
      <c r="X45677" s="9"/>
    </row>
    <row r="45678">
      <c r="D45678" s="9"/>
      <c r="G45678" s="9"/>
      <c r="J45678" s="11"/>
      <c r="U45678" s="9"/>
      <c r="X45678" s="9"/>
    </row>
    <row r="45679">
      <c r="D45679" s="9"/>
      <c r="G45679" s="9"/>
      <c r="J45679" s="11"/>
      <c r="U45679" s="9"/>
      <c r="X45679" s="9"/>
    </row>
    <row r="45680">
      <c r="D45680" s="9"/>
      <c r="G45680" s="9"/>
      <c r="J45680" s="11"/>
      <c r="U45680" s="9"/>
      <c r="X45680" s="9"/>
    </row>
    <row r="45681">
      <c r="D45681" s="9"/>
      <c r="G45681" s="9"/>
      <c r="J45681" s="11"/>
      <c r="U45681" s="9"/>
      <c r="X45681" s="9"/>
    </row>
    <row r="45682">
      <c r="D45682" s="9"/>
      <c r="G45682" s="9"/>
      <c r="J45682" s="11"/>
      <c r="U45682" s="9"/>
      <c r="X45682" s="9"/>
    </row>
    <row r="45683">
      <c r="D45683" s="9"/>
      <c r="G45683" s="9"/>
      <c r="J45683" s="11"/>
      <c r="U45683" s="9"/>
      <c r="X45683" s="9"/>
    </row>
    <row r="45684">
      <c r="D45684" s="9"/>
      <c r="G45684" s="9"/>
      <c r="J45684" s="11"/>
      <c r="U45684" s="9"/>
      <c r="X45684" s="9"/>
    </row>
    <row r="45685">
      <c r="D45685" s="9"/>
      <c r="G45685" s="9"/>
      <c r="J45685" s="11"/>
      <c r="U45685" s="9"/>
      <c r="X45685" s="9"/>
    </row>
    <row r="45686">
      <c r="D45686" s="9"/>
      <c r="G45686" s="9"/>
      <c r="J45686" s="11"/>
      <c r="U45686" s="9"/>
      <c r="X45686" s="9"/>
    </row>
    <row r="45687">
      <c r="D45687" s="9"/>
      <c r="G45687" s="9"/>
      <c r="J45687" s="11"/>
      <c r="U45687" s="9"/>
      <c r="X45687" s="9"/>
    </row>
    <row r="45688">
      <c r="D45688" s="9"/>
      <c r="G45688" s="9"/>
      <c r="J45688" s="11"/>
      <c r="U45688" s="9"/>
      <c r="X45688" s="9"/>
    </row>
    <row r="45689">
      <c r="D45689" s="9"/>
      <c r="G45689" s="9"/>
      <c r="J45689" s="11"/>
      <c r="U45689" s="9"/>
      <c r="X45689" s="9"/>
    </row>
    <row r="45690">
      <c r="D45690" s="9"/>
      <c r="G45690" s="9"/>
      <c r="J45690" s="11"/>
      <c r="U45690" s="9"/>
      <c r="X45690" s="9"/>
    </row>
    <row r="45691">
      <c r="D45691" s="9"/>
      <c r="G45691" s="9"/>
      <c r="J45691" s="11"/>
      <c r="U45691" s="9"/>
      <c r="X45691" s="9"/>
    </row>
    <row r="45692">
      <c r="D45692" s="9"/>
      <c r="G45692" s="9"/>
      <c r="J45692" s="11"/>
      <c r="U45692" s="9"/>
      <c r="X45692" s="9"/>
    </row>
    <row r="45693">
      <c r="D45693" s="9"/>
      <c r="G45693" s="9"/>
      <c r="J45693" s="11"/>
      <c r="U45693" s="9"/>
      <c r="X45693" s="9"/>
    </row>
    <row r="45694">
      <c r="D45694" s="9"/>
      <c r="G45694" s="9"/>
      <c r="J45694" s="11"/>
      <c r="U45694" s="9"/>
      <c r="X45694" s="9"/>
    </row>
    <row r="45695">
      <c r="D45695" s="9"/>
      <c r="G45695" s="9"/>
      <c r="J45695" s="11"/>
      <c r="U45695" s="9"/>
      <c r="X45695" s="9"/>
    </row>
    <row r="45696">
      <c r="D45696" s="9"/>
      <c r="G45696" s="9"/>
      <c r="J45696" s="11"/>
      <c r="U45696" s="9"/>
      <c r="X45696" s="9"/>
    </row>
    <row r="45697">
      <c r="D45697" s="9"/>
      <c r="G45697" s="9"/>
      <c r="J45697" s="11"/>
      <c r="U45697" s="9"/>
      <c r="X45697" s="9"/>
    </row>
    <row r="45698">
      <c r="D45698" s="9"/>
      <c r="G45698" s="9"/>
      <c r="J45698" s="11"/>
      <c r="U45698" s="9"/>
      <c r="X45698" s="9"/>
    </row>
    <row r="45699">
      <c r="D45699" s="9"/>
      <c r="G45699" s="9"/>
      <c r="J45699" s="11"/>
      <c r="U45699" s="9"/>
      <c r="X45699" s="9"/>
    </row>
    <row r="45700">
      <c r="D45700" s="9"/>
      <c r="G45700" s="9"/>
      <c r="J45700" s="11"/>
      <c r="U45700" s="9"/>
      <c r="X45700" s="9"/>
    </row>
    <row r="45701">
      <c r="D45701" s="9"/>
      <c r="G45701" s="9"/>
      <c r="J45701" s="11"/>
      <c r="U45701" s="9"/>
      <c r="X45701" s="9"/>
    </row>
    <row r="45702">
      <c r="D45702" s="9"/>
      <c r="G45702" s="9"/>
      <c r="J45702" s="11"/>
      <c r="U45702" s="9"/>
      <c r="X45702" s="9"/>
    </row>
    <row r="45703">
      <c r="D45703" s="9"/>
      <c r="G45703" s="9"/>
      <c r="J45703" s="11"/>
      <c r="U45703" s="9"/>
      <c r="X45703" s="9"/>
    </row>
    <row r="45704">
      <c r="D45704" s="9"/>
      <c r="G45704" s="9"/>
      <c r="J45704" s="11"/>
      <c r="U45704" s="9"/>
      <c r="X45704" s="9"/>
    </row>
    <row r="45705">
      <c r="D45705" s="9"/>
      <c r="G45705" s="9"/>
      <c r="J45705" s="11"/>
      <c r="U45705" s="9"/>
      <c r="X45705" s="9"/>
    </row>
    <row r="45706">
      <c r="D45706" s="9"/>
      <c r="G45706" s="9"/>
      <c r="J45706" s="11"/>
      <c r="U45706" s="9"/>
      <c r="X45706" s="9"/>
    </row>
    <row r="45707">
      <c r="D45707" s="9"/>
      <c r="G45707" s="9"/>
      <c r="J45707" s="11"/>
      <c r="U45707" s="9"/>
      <c r="X45707" s="9"/>
    </row>
    <row r="45708">
      <c r="D45708" s="9"/>
      <c r="G45708" s="9"/>
      <c r="J45708" s="11"/>
      <c r="U45708" s="9"/>
      <c r="X45708" s="9"/>
    </row>
    <row r="45709">
      <c r="D45709" s="9"/>
      <c r="G45709" s="9"/>
      <c r="J45709" s="11"/>
      <c r="U45709" s="9"/>
      <c r="X45709" s="9"/>
    </row>
    <row r="45710">
      <c r="D45710" s="9"/>
      <c r="G45710" s="9"/>
      <c r="J45710" s="11"/>
      <c r="U45710" s="9"/>
      <c r="X45710" s="9"/>
    </row>
    <row r="45711">
      <c r="D45711" s="9"/>
      <c r="G45711" s="9"/>
      <c r="J45711" s="11"/>
      <c r="U45711" s="9"/>
      <c r="X45711" s="9"/>
    </row>
    <row r="45712">
      <c r="D45712" s="9"/>
      <c r="G45712" s="9"/>
      <c r="J45712" s="11"/>
      <c r="U45712" s="9"/>
      <c r="X45712" s="9"/>
    </row>
    <row r="45713">
      <c r="D45713" s="9"/>
      <c r="G45713" s="9"/>
      <c r="J45713" s="11"/>
      <c r="U45713" s="9"/>
      <c r="X45713" s="9"/>
    </row>
    <row r="45714">
      <c r="D45714" s="9"/>
      <c r="G45714" s="9"/>
      <c r="J45714" s="11"/>
      <c r="U45714" s="9"/>
      <c r="X45714" s="9"/>
    </row>
    <row r="45715">
      <c r="D45715" s="9"/>
      <c r="G45715" s="9"/>
      <c r="J45715" s="11"/>
      <c r="U45715" s="9"/>
      <c r="X45715" s="9"/>
    </row>
    <row r="45716">
      <c r="D45716" s="9"/>
      <c r="G45716" s="9"/>
      <c r="J45716" s="11"/>
      <c r="U45716" s="9"/>
      <c r="X45716" s="9"/>
    </row>
    <row r="45717">
      <c r="D45717" s="9"/>
      <c r="G45717" s="9"/>
      <c r="J45717" s="11"/>
      <c r="U45717" s="9"/>
      <c r="X45717" s="9"/>
    </row>
    <row r="45718">
      <c r="D45718" s="9"/>
      <c r="G45718" s="9"/>
      <c r="J45718" s="11"/>
      <c r="U45718" s="9"/>
      <c r="X45718" s="9"/>
    </row>
    <row r="45719">
      <c r="D45719" s="9"/>
      <c r="G45719" s="9"/>
      <c r="J45719" s="11"/>
      <c r="U45719" s="9"/>
      <c r="X45719" s="9"/>
    </row>
    <row r="45720">
      <c r="D45720" s="9"/>
      <c r="G45720" s="9"/>
      <c r="J45720" s="11"/>
      <c r="U45720" s="9"/>
      <c r="X45720" s="9"/>
    </row>
    <row r="45721">
      <c r="D45721" s="9"/>
      <c r="G45721" s="9"/>
      <c r="J45721" s="11"/>
      <c r="U45721" s="9"/>
      <c r="X45721" s="9"/>
    </row>
    <row r="45722">
      <c r="D45722" s="9"/>
      <c r="G45722" s="9"/>
      <c r="J45722" s="11"/>
      <c r="U45722" s="9"/>
      <c r="X45722" s="9"/>
    </row>
    <row r="45723">
      <c r="D45723" s="9"/>
      <c r="G45723" s="9"/>
      <c r="J45723" s="11"/>
      <c r="U45723" s="9"/>
      <c r="X45723" s="9"/>
    </row>
    <row r="45724">
      <c r="D45724" s="9"/>
      <c r="G45724" s="9"/>
      <c r="J45724" s="11"/>
      <c r="U45724" s="9"/>
      <c r="X45724" s="9"/>
    </row>
    <row r="45725">
      <c r="D45725" s="9"/>
      <c r="G45725" s="9"/>
      <c r="J45725" s="11"/>
      <c r="U45725" s="9"/>
      <c r="X45725" s="9"/>
    </row>
    <row r="45726">
      <c r="D45726" s="9"/>
      <c r="G45726" s="9"/>
      <c r="J45726" s="11"/>
      <c r="U45726" s="9"/>
      <c r="X45726" s="9"/>
    </row>
    <row r="45727">
      <c r="D45727" s="9"/>
      <c r="G45727" s="9"/>
      <c r="J45727" s="11"/>
      <c r="U45727" s="9"/>
      <c r="X45727" s="9"/>
    </row>
    <row r="45728">
      <c r="D45728" s="9"/>
      <c r="G45728" s="9"/>
      <c r="J45728" s="11"/>
      <c r="U45728" s="9"/>
      <c r="X45728" s="9"/>
    </row>
    <row r="45729">
      <c r="D45729" s="9"/>
      <c r="G45729" s="9"/>
      <c r="J45729" s="11"/>
      <c r="U45729" s="9"/>
      <c r="X45729" s="9"/>
    </row>
    <row r="45730">
      <c r="D45730" s="9"/>
      <c r="G45730" s="9"/>
      <c r="J45730" s="11"/>
      <c r="U45730" s="9"/>
      <c r="X45730" s="9"/>
    </row>
    <row r="45731">
      <c r="D45731" s="9"/>
      <c r="G45731" s="9"/>
      <c r="J45731" s="11"/>
      <c r="U45731" s="9"/>
      <c r="X45731" s="9"/>
    </row>
    <row r="45732">
      <c r="D45732" s="9"/>
      <c r="G45732" s="9"/>
      <c r="J45732" s="11"/>
      <c r="U45732" s="9"/>
      <c r="X45732" s="9"/>
    </row>
    <row r="45733">
      <c r="D45733" s="9"/>
      <c r="G45733" s="9"/>
      <c r="J45733" s="11"/>
      <c r="U45733" s="9"/>
      <c r="X45733" s="9"/>
    </row>
    <row r="45734">
      <c r="D45734" s="9"/>
      <c r="G45734" s="9"/>
      <c r="J45734" s="11"/>
      <c r="U45734" s="9"/>
      <c r="X45734" s="9"/>
    </row>
    <row r="45735">
      <c r="D45735" s="9"/>
      <c r="G45735" s="9"/>
      <c r="J45735" s="11"/>
      <c r="U45735" s="9"/>
      <c r="X45735" s="9"/>
    </row>
    <row r="45736">
      <c r="D45736" s="9"/>
      <c r="G45736" s="9"/>
      <c r="J45736" s="11"/>
      <c r="U45736" s="9"/>
      <c r="X45736" s="9"/>
    </row>
    <row r="45737">
      <c r="D45737" s="9"/>
      <c r="G45737" s="9"/>
      <c r="J45737" s="11"/>
      <c r="U45737" s="9"/>
      <c r="X45737" s="9"/>
    </row>
    <row r="45738">
      <c r="D45738" s="9"/>
      <c r="G45738" s="9"/>
      <c r="J45738" s="11"/>
      <c r="U45738" s="9"/>
      <c r="X45738" s="9"/>
    </row>
    <row r="45739">
      <c r="D45739" s="9"/>
      <c r="G45739" s="9"/>
      <c r="J45739" s="11"/>
      <c r="U45739" s="9"/>
      <c r="X45739" s="9"/>
    </row>
    <row r="45740">
      <c r="D45740" s="9"/>
      <c r="G45740" s="9"/>
      <c r="J45740" s="11"/>
      <c r="U45740" s="9"/>
      <c r="X45740" s="9"/>
    </row>
    <row r="45741">
      <c r="D45741" s="9"/>
      <c r="G45741" s="9"/>
      <c r="J45741" s="11"/>
      <c r="U45741" s="9"/>
      <c r="X45741" s="9"/>
    </row>
    <row r="45742">
      <c r="D45742" s="9"/>
      <c r="G45742" s="9"/>
      <c r="J45742" s="11"/>
      <c r="U45742" s="9"/>
      <c r="X45742" s="9"/>
    </row>
    <row r="45743">
      <c r="D45743" s="9"/>
      <c r="G45743" s="9"/>
      <c r="J45743" s="11"/>
      <c r="U45743" s="9"/>
      <c r="X45743" s="9"/>
    </row>
    <row r="45744">
      <c r="D45744" s="9"/>
      <c r="G45744" s="9"/>
      <c r="J45744" s="11"/>
      <c r="U45744" s="9"/>
      <c r="X45744" s="9"/>
    </row>
    <row r="45745">
      <c r="D45745" s="9"/>
      <c r="G45745" s="9"/>
      <c r="J45745" s="11"/>
      <c r="U45745" s="9"/>
      <c r="X45745" s="9"/>
    </row>
    <row r="45746">
      <c r="D45746" s="9"/>
      <c r="G45746" s="9"/>
      <c r="J45746" s="11"/>
      <c r="U45746" s="9"/>
      <c r="X45746" s="9"/>
    </row>
    <row r="45747">
      <c r="D45747" s="9"/>
      <c r="G45747" s="9"/>
      <c r="J45747" s="11"/>
      <c r="U45747" s="9"/>
      <c r="X45747" s="9"/>
    </row>
    <row r="45748">
      <c r="D45748" s="9"/>
      <c r="G45748" s="9"/>
      <c r="J45748" s="11"/>
      <c r="U45748" s="9"/>
      <c r="X45748" s="9"/>
    </row>
    <row r="45749">
      <c r="D45749" s="9"/>
      <c r="G45749" s="9"/>
      <c r="J45749" s="11"/>
      <c r="U45749" s="9"/>
      <c r="X45749" s="9"/>
    </row>
    <row r="45750">
      <c r="D45750" s="9"/>
      <c r="G45750" s="9"/>
      <c r="J45750" s="11"/>
      <c r="U45750" s="9"/>
      <c r="X45750" s="9"/>
    </row>
    <row r="45751">
      <c r="D45751" s="9"/>
      <c r="G45751" s="9"/>
      <c r="J45751" s="11"/>
      <c r="U45751" s="9"/>
      <c r="X45751" s="9"/>
    </row>
    <row r="45752">
      <c r="D45752" s="9"/>
      <c r="G45752" s="9"/>
      <c r="J45752" s="11"/>
      <c r="U45752" s="9"/>
      <c r="X45752" s="9"/>
    </row>
    <row r="45753">
      <c r="D45753" s="9"/>
      <c r="G45753" s="9"/>
      <c r="J45753" s="11"/>
      <c r="U45753" s="9"/>
      <c r="X45753" s="9"/>
    </row>
    <row r="45754">
      <c r="D45754" s="9"/>
      <c r="G45754" s="9"/>
      <c r="J45754" s="11"/>
      <c r="U45754" s="9"/>
      <c r="X45754" s="9"/>
    </row>
    <row r="45755">
      <c r="D45755" s="9"/>
      <c r="G45755" s="9"/>
      <c r="J45755" s="11"/>
      <c r="U45755" s="9"/>
      <c r="X45755" s="9"/>
    </row>
    <row r="45756">
      <c r="D45756" s="9"/>
      <c r="G45756" s="9"/>
      <c r="J45756" s="11"/>
      <c r="U45756" s="9"/>
      <c r="X45756" s="9"/>
    </row>
    <row r="45757">
      <c r="D45757" s="9"/>
      <c r="G45757" s="9"/>
      <c r="J45757" s="11"/>
      <c r="U45757" s="9"/>
      <c r="X45757" s="9"/>
    </row>
    <row r="45758">
      <c r="D45758" s="9"/>
      <c r="G45758" s="9"/>
      <c r="J45758" s="11"/>
      <c r="U45758" s="9"/>
      <c r="X45758" s="9"/>
    </row>
    <row r="45759">
      <c r="D45759" s="9"/>
      <c r="G45759" s="9"/>
      <c r="J45759" s="11"/>
      <c r="U45759" s="9"/>
      <c r="X45759" s="9"/>
    </row>
    <row r="45760">
      <c r="D45760" s="9"/>
      <c r="G45760" s="9"/>
      <c r="J45760" s="11"/>
      <c r="U45760" s="9"/>
      <c r="X45760" s="9"/>
    </row>
    <row r="45761">
      <c r="D45761" s="9"/>
      <c r="G45761" s="9"/>
      <c r="J45761" s="11"/>
      <c r="U45761" s="9"/>
      <c r="X45761" s="9"/>
    </row>
    <row r="45762">
      <c r="D45762" s="9"/>
      <c r="G45762" s="9"/>
      <c r="J45762" s="11"/>
      <c r="U45762" s="9"/>
      <c r="X45762" s="9"/>
    </row>
    <row r="45763">
      <c r="D45763" s="9"/>
      <c r="G45763" s="9"/>
      <c r="J45763" s="11"/>
      <c r="U45763" s="9"/>
      <c r="X45763" s="9"/>
    </row>
    <row r="45764">
      <c r="D45764" s="9"/>
      <c r="G45764" s="9"/>
      <c r="J45764" s="11"/>
      <c r="U45764" s="9"/>
      <c r="X45764" s="9"/>
    </row>
    <row r="45765">
      <c r="D45765" s="9"/>
      <c r="G45765" s="9"/>
      <c r="J45765" s="11"/>
      <c r="U45765" s="9"/>
      <c r="X45765" s="9"/>
    </row>
    <row r="45766">
      <c r="D45766" s="9"/>
      <c r="G45766" s="9"/>
      <c r="J45766" s="11"/>
      <c r="U45766" s="9"/>
      <c r="X45766" s="9"/>
    </row>
    <row r="45767">
      <c r="D45767" s="9"/>
      <c r="G45767" s="9"/>
      <c r="J45767" s="11"/>
      <c r="U45767" s="9"/>
      <c r="X45767" s="9"/>
    </row>
    <row r="45768">
      <c r="D45768" s="9"/>
      <c r="G45768" s="9"/>
      <c r="J45768" s="11"/>
      <c r="U45768" s="9"/>
      <c r="X45768" s="9"/>
    </row>
    <row r="45769">
      <c r="D45769" s="9"/>
      <c r="G45769" s="9"/>
      <c r="J45769" s="11"/>
      <c r="U45769" s="9"/>
      <c r="X45769" s="9"/>
    </row>
    <row r="45770">
      <c r="D45770" s="9"/>
      <c r="G45770" s="9"/>
      <c r="J45770" s="11"/>
      <c r="U45770" s="9"/>
      <c r="X45770" s="9"/>
    </row>
    <row r="45771">
      <c r="D45771" s="9"/>
      <c r="G45771" s="9"/>
      <c r="J45771" s="11"/>
      <c r="U45771" s="9"/>
      <c r="X45771" s="9"/>
    </row>
    <row r="45772">
      <c r="D45772" s="9"/>
      <c r="G45772" s="9"/>
      <c r="J45772" s="11"/>
      <c r="U45772" s="9"/>
      <c r="X45772" s="9"/>
    </row>
    <row r="45773">
      <c r="D45773" s="9"/>
      <c r="G45773" s="9"/>
      <c r="J45773" s="11"/>
      <c r="U45773" s="9"/>
      <c r="X45773" s="9"/>
    </row>
    <row r="45774">
      <c r="D45774" s="9"/>
      <c r="G45774" s="9"/>
      <c r="J45774" s="11"/>
      <c r="U45774" s="9"/>
      <c r="X45774" s="9"/>
    </row>
    <row r="45775">
      <c r="D45775" s="9"/>
      <c r="G45775" s="9"/>
      <c r="J45775" s="11"/>
      <c r="U45775" s="9"/>
      <c r="X45775" s="9"/>
    </row>
    <row r="45776">
      <c r="D45776" s="9"/>
      <c r="G45776" s="9"/>
      <c r="J45776" s="11"/>
      <c r="U45776" s="9"/>
      <c r="X45776" s="9"/>
    </row>
    <row r="45777">
      <c r="D45777" s="9"/>
      <c r="G45777" s="9"/>
      <c r="J45777" s="11"/>
      <c r="U45777" s="9"/>
      <c r="X45777" s="9"/>
    </row>
    <row r="45778">
      <c r="D45778" s="9"/>
      <c r="G45778" s="9"/>
      <c r="J45778" s="11"/>
      <c r="U45778" s="9"/>
      <c r="X45778" s="9"/>
    </row>
    <row r="45779">
      <c r="D45779" s="9"/>
      <c r="G45779" s="9"/>
      <c r="J45779" s="11"/>
      <c r="U45779" s="9"/>
      <c r="X45779" s="9"/>
    </row>
    <row r="45780">
      <c r="D45780" s="9"/>
      <c r="G45780" s="9"/>
      <c r="J45780" s="11"/>
      <c r="U45780" s="9"/>
      <c r="X45780" s="9"/>
    </row>
    <row r="45781">
      <c r="D45781" s="9"/>
      <c r="G45781" s="9"/>
      <c r="J45781" s="11"/>
      <c r="U45781" s="9"/>
      <c r="X45781" s="9"/>
    </row>
    <row r="45782">
      <c r="D45782" s="9"/>
      <c r="G45782" s="9"/>
      <c r="J45782" s="11"/>
      <c r="U45782" s="9"/>
      <c r="X45782" s="9"/>
    </row>
    <row r="45783">
      <c r="D45783" s="9"/>
      <c r="G45783" s="9"/>
      <c r="J45783" s="11"/>
      <c r="U45783" s="9"/>
      <c r="X45783" s="9"/>
    </row>
    <row r="45784">
      <c r="D45784" s="9"/>
      <c r="G45784" s="9"/>
      <c r="J45784" s="11"/>
      <c r="U45784" s="9"/>
      <c r="X45784" s="9"/>
    </row>
    <row r="45785">
      <c r="D45785" s="9"/>
      <c r="G45785" s="9"/>
      <c r="J45785" s="11"/>
      <c r="U45785" s="9"/>
      <c r="X45785" s="9"/>
    </row>
    <row r="45786">
      <c r="D45786" s="9"/>
      <c r="G45786" s="9"/>
      <c r="J45786" s="11"/>
      <c r="U45786" s="9"/>
      <c r="X45786" s="9"/>
    </row>
    <row r="45787">
      <c r="D45787" s="9"/>
      <c r="G45787" s="9"/>
      <c r="J45787" s="11"/>
      <c r="U45787" s="9"/>
      <c r="X45787" s="9"/>
    </row>
    <row r="45788">
      <c r="D45788" s="9"/>
      <c r="G45788" s="9"/>
      <c r="J45788" s="11"/>
      <c r="U45788" s="9"/>
      <c r="X45788" s="9"/>
    </row>
    <row r="45789">
      <c r="D45789" s="9"/>
      <c r="G45789" s="9"/>
      <c r="J45789" s="11"/>
      <c r="U45789" s="9"/>
      <c r="X45789" s="9"/>
    </row>
    <row r="45790">
      <c r="D45790" s="9"/>
      <c r="G45790" s="9"/>
      <c r="J45790" s="11"/>
      <c r="U45790" s="9"/>
      <c r="X45790" s="9"/>
    </row>
    <row r="45791">
      <c r="D45791" s="9"/>
      <c r="G45791" s="9"/>
      <c r="J45791" s="11"/>
      <c r="U45791" s="9"/>
      <c r="X45791" s="9"/>
    </row>
    <row r="45792">
      <c r="D45792" s="9"/>
      <c r="G45792" s="9"/>
      <c r="J45792" s="11"/>
      <c r="U45792" s="9"/>
      <c r="X45792" s="9"/>
    </row>
    <row r="45793">
      <c r="D45793" s="9"/>
      <c r="G45793" s="9"/>
      <c r="J45793" s="11"/>
      <c r="U45793" s="9"/>
      <c r="X45793" s="9"/>
    </row>
    <row r="45794">
      <c r="D45794" s="9"/>
      <c r="G45794" s="9"/>
      <c r="J45794" s="11"/>
      <c r="U45794" s="9"/>
      <c r="X45794" s="9"/>
    </row>
    <row r="45795">
      <c r="D45795" s="9"/>
      <c r="G45795" s="9"/>
      <c r="J45795" s="11"/>
      <c r="U45795" s="9"/>
      <c r="X45795" s="9"/>
    </row>
    <row r="45796">
      <c r="D45796" s="9"/>
      <c r="G45796" s="9"/>
      <c r="J45796" s="11"/>
      <c r="U45796" s="9"/>
      <c r="X45796" s="9"/>
    </row>
    <row r="45797">
      <c r="D45797" s="9"/>
      <c r="G45797" s="9"/>
      <c r="J45797" s="11"/>
      <c r="U45797" s="9"/>
      <c r="X45797" s="9"/>
    </row>
    <row r="45798">
      <c r="D45798" s="9"/>
      <c r="G45798" s="9"/>
      <c r="J45798" s="11"/>
      <c r="U45798" s="9"/>
      <c r="X45798" s="9"/>
    </row>
    <row r="45799">
      <c r="D45799" s="9"/>
      <c r="G45799" s="9"/>
      <c r="J45799" s="11"/>
      <c r="U45799" s="9"/>
      <c r="X45799" s="9"/>
    </row>
    <row r="45800">
      <c r="D45800" s="9"/>
      <c r="G45800" s="9"/>
      <c r="J45800" s="11"/>
      <c r="U45800" s="9"/>
      <c r="X45800" s="9"/>
    </row>
    <row r="45801">
      <c r="D45801" s="9"/>
      <c r="G45801" s="9"/>
      <c r="J45801" s="11"/>
      <c r="U45801" s="9"/>
      <c r="X45801" s="9"/>
    </row>
    <row r="45802">
      <c r="D45802" s="9"/>
      <c r="G45802" s="9"/>
      <c r="J45802" s="11"/>
      <c r="U45802" s="9"/>
      <c r="X45802" s="9"/>
    </row>
    <row r="45803">
      <c r="D45803" s="9"/>
      <c r="G45803" s="9"/>
      <c r="J45803" s="11"/>
      <c r="U45803" s="9"/>
      <c r="X45803" s="9"/>
    </row>
    <row r="45804">
      <c r="D45804" s="9"/>
      <c r="G45804" s="9"/>
      <c r="J45804" s="11"/>
      <c r="U45804" s="9"/>
      <c r="X45804" s="9"/>
    </row>
    <row r="45805">
      <c r="D45805" s="9"/>
      <c r="G45805" s="9"/>
      <c r="J45805" s="11"/>
      <c r="U45805" s="9"/>
      <c r="X45805" s="9"/>
    </row>
    <row r="45806">
      <c r="D45806" s="9"/>
      <c r="G45806" s="9"/>
      <c r="J45806" s="11"/>
      <c r="U45806" s="9"/>
      <c r="X45806" s="9"/>
    </row>
    <row r="45807">
      <c r="D45807" s="9"/>
      <c r="G45807" s="9"/>
      <c r="J45807" s="11"/>
      <c r="U45807" s="9"/>
      <c r="X45807" s="9"/>
    </row>
    <row r="45808">
      <c r="D45808" s="9"/>
      <c r="G45808" s="9"/>
      <c r="J45808" s="11"/>
      <c r="U45808" s="9"/>
      <c r="X45808" s="9"/>
    </row>
    <row r="45809">
      <c r="D45809" s="9"/>
      <c r="G45809" s="9"/>
      <c r="J45809" s="11"/>
      <c r="U45809" s="9"/>
      <c r="X45809" s="9"/>
    </row>
    <row r="45810">
      <c r="D45810" s="9"/>
      <c r="G45810" s="9"/>
      <c r="J45810" s="11"/>
      <c r="U45810" s="9"/>
      <c r="X45810" s="9"/>
    </row>
    <row r="45811">
      <c r="D45811" s="9"/>
      <c r="G45811" s="9"/>
      <c r="J45811" s="11"/>
      <c r="U45811" s="9"/>
      <c r="X45811" s="9"/>
    </row>
    <row r="45812">
      <c r="D45812" s="9"/>
      <c r="G45812" s="9"/>
      <c r="J45812" s="11"/>
      <c r="U45812" s="9"/>
      <c r="X45812" s="9"/>
    </row>
    <row r="45813">
      <c r="D45813" s="9"/>
      <c r="G45813" s="9"/>
      <c r="J45813" s="11"/>
      <c r="U45813" s="9"/>
      <c r="X45813" s="9"/>
    </row>
    <row r="45814">
      <c r="D45814" s="9"/>
      <c r="G45814" s="9"/>
      <c r="J45814" s="11"/>
      <c r="U45814" s="9"/>
      <c r="X45814" s="9"/>
    </row>
    <row r="45815">
      <c r="D45815" s="9"/>
      <c r="G45815" s="9"/>
      <c r="J45815" s="11"/>
      <c r="U45815" s="9"/>
      <c r="X45815" s="9"/>
    </row>
    <row r="45816">
      <c r="D45816" s="9"/>
      <c r="G45816" s="9"/>
      <c r="J45816" s="11"/>
      <c r="U45816" s="9"/>
      <c r="X45816" s="9"/>
    </row>
    <row r="45817">
      <c r="D45817" s="9"/>
      <c r="G45817" s="9"/>
      <c r="J45817" s="11"/>
      <c r="U45817" s="9"/>
      <c r="X45817" s="9"/>
    </row>
    <row r="45818">
      <c r="D45818" s="9"/>
      <c r="G45818" s="9"/>
      <c r="J45818" s="11"/>
      <c r="U45818" s="9"/>
      <c r="X45818" s="9"/>
    </row>
    <row r="45819">
      <c r="D45819" s="9"/>
      <c r="G45819" s="9"/>
      <c r="J45819" s="11"/>
      <c r="U45819" s="9"/>
      <c r="X45819" s="9"/>
    </row>
    <row r="45820">
      <c r="D45820" s="9"/>
      <c r="G45820" s="9"/>
      <c r="J45820" s="11"/>
      <c r="U45820" s="9"/>
      <c r="X45820" s="9"/>
    </row>
    <row r="45821">
      <c r="D45821" s="9"/>
      <c r="G45821" s="9"/>
      <c r="J45821" s="11"/>
      <c r="U45821" s="9"/>
      <c r="X45821" s="9"/>
    </row>
    <row r="45822">
      <c r="D45822" s="9"/>
      <c r="G45822" s="9"/>
      <c r="J45822" s="11"/>
      <c r="U45822" s="9"/>
      <c r="X45822" s="9"/>
    </row>
    <row r="45823">
      <c r="D45823" s="9"/>
      <c r="G45823" s="9"/>
      <c r="J45823" s="11"/>
      <c r="U45823" s="9"/>
      <c r="X45823" s="9"/>
    </row>
    <row r="45824">
      <c r="D45824" s="9"/>
      <c r="G45824" s="9"/>
      <c r="J45824" s="11"/>
      <c r="U45824" s="9"/>
      <c r="X45824" s="9"/>
    </row>
    <row r="45825">
      <c r="D45825" s="9"/>
      <c r="G45825" s="9"/>
      <c r="J45825" s="11"/>
      <c r="U45825" s="9"/>
      <c r="X45825" s="9"/>
    </row>
    <row r="45826">
      <c r="D45826" s="9"/>
      <c r="G45826" s="9"/>
      <c r="J45826" s="11"/>
      <c r="U45826" s="9"/>
      <c r="X45826" s="9"/>
    </row>
    <row r="45827">
      <c r="D45827" s="9"/>
      <c r="G45827" s="9"/>
      <c r="J45827" s="11"/>
      <c r="U45827" s="9"/>
      <c r="X45827" s="9"/>
    </row>
    <row r="45828">
      <c r="D45828" s="9"/>
      <c r="G45828" s="9"/>
      <c r="J45828" s="11"/>
      <c r="U45828" s="9"/>
      <c r="X45828" s="9"/>
    </row>
    <row r="45829">
      <c r="D45829" s="9"/>
      <c r="G45829" s="9"/>
      <c r="J45829" s="11"/>
      <c r="U45829" s="9"/>
      <c r="X45829" s="9"/>
    </row>
    <row r="45830">
      <c r="D45830" s="9"/>
      <c r="G45830" s="9"/>
      <c r="J45830" s="11"/>
      <c r="U45830" s="9"/>
      <c r="X45830" s="9"/>
    </row>
    <row r="45831">
      <c r="D45831" s="9"/>
      <c r="G45831" s="9"/>
      <c r="J45831" s="11"/>
      <c r="U45831" s="9"/>
      <c r="X45831" s="9"/>
    </row>
    <row r="45832">
      <c r="D45832" s="9"/>
      <c r="G45832" s="9"/>
      <c r="J45832" s="11"/>
      <c r="U45832" s="9"/>
      <c r="X45832" s="9"/>
    </row>
    <row r="45833">
      <c r="D45833" s="9"/>
      <c r="G45833" s="9"/>
      <c r="J45833" s="11"/>
      <c r="U45833" s="9"/>
      <c r="X45833" s="9"/>
    </row>
    <row r="45834">
      <c r="D45834" s="9"/>
      <c r="G45834" s="9"/>
      <c r="J45834" s="11"/>
      <c r="U45834" s="9"/>
      <c r="X45834" s="9"/>
    </row>
    <row r="45835">
      <c r="D45835" s="9"/>
      <c r="G45835" s="9"/>
      <c r="J45835" s="11"/>
      <c r="U45835" s="9"/>
      <c r="X45835" s="9"/>
    </row>
    <row r="45836">
      <c r="D45836" s="9"/>
      <c r="G45836" s="9"/>
      <c r="J45836" s="11"/>
      <c r="U45836" s="9"/>
      <c r="X45836" s="9"/>
    </row>
    <row r="45837">
      <c r="D45837" s="9"/>
      <c r="G45837" s="9"/>
      <c r="J45837" s="11"/>
      <c r="U45837" s="9"/>
      <c r="X45837" s="9"/>
    </row>
    <row r="45838">
      <c r="D45838" s="9"/>
      <c r="G45838" s="9"/>
      <c r="J45838" s="11"/>
      <c r="U45838" s="9"/>
      <c r="X45838" s="9"/>
    </row>
    <row r="45839">
      <c r="D45839" s="9"/>
      <c r="G45839" s="9"/>
      <c r="J45839" s="11"/>
      <c r="U45839" s="9"/>
      <c r="X45839" s="9"/>
    </row>
    <row r="45840">
      <c r="D45840" s="9"/>
      <c r="G45840" s="9"/>
      <c r="J45840" s="11"/>
      <c r="U45840" s="9"/>
      <c r="X45840" s="9"/>
    </row>
    <row r="45841">
      <c r="D45841" s="9"/>
      <c r="G45841" s="9"/>
      <c r="J45841" s="11"/>
      <c r="U45841" s="9"/>
      <c r="X45841" s="9"/>
    </row>
    <row r="45842">
      <c r="D45842" s="9"/>
      <c r="G45842" s="9"/>
      <c r="J45842" s="11"/>
      <c r="U45842" s="9"/>
      <c r="X45842" s="9"/>
    </row>
    <row r="45843">
      <c r="D45843" s="9"/>
      <c r="G45843" s="9"/>
      <c r="J45843" s="11"/>
      <c r="U45843" s="9"/>
      <c r="X45843" s="9"/>
    </row>
    <row r="45844">
      <c r="D45844" s="9"/>
      <c r="G45844" s="9"/>
      <c r="J45844" s="11"/>
      <c r="U45844" s="9"/>
      <c r="X45844" s="9"/>
    </row>
    <row r="45845">
      <c r="D45845" s="9"/>
      <c r="G45845" s="9"/>
      <c r="J45845" s="11"/>
      <c r="U45845" s="9"/>
      <c r="X45845" s="9"/>
    </row>
    <row r="45846">
      <c r="D45846" s="9"/>
      <c r="G45846" s="9"/>
      <c r="J45846" s="11"/>
      <c r="U45846" s="9"/>
      <c r="X45846" s="9"/>
    </row>
    <row r="45847">
      <c r="D45847" s="9"/>
      <c r="G45847" s="9"/>
      <c r="J45847" s="11"/>
      <c r="U45847" s="9"/>
      <c r="X45847" s="9"/>
    </row>
    <row r="45848">
      <c r="D45848" s="9"/>
      <c r="G45848" s="9"/>
      <c r="J45848" s="11"/>
      <c r="U45848" s="9"/>
      <c r="X45848" s="9"/>
    </row>
    <row r="45849">
      <c r="D45849" s="9"/>
      <c r="G45849" s="9"/>
      <c r="J45849" s="11"/>
      <c r="U45849" s="9"/>
      <c r="X45849" s="9"/>
    </row>
    <row r="45850">
      <c r="D45850" s="9"/>
      <c r="G45850" s="9"/>
      <c r="J45850" s="11"/>
      <c r="U45850" s="9"/>
      <c r="X45850" s="9"/>
    </row>
    <row r="45851">
      <c r="D45851" s="9"/>
      <c r="G45851" s="9"/>
      <c r="J45851" s="11"/>
      <c r="U45851" s="9"/>
      <c r="X45851" s="9"/>
    </row>
    <row r="45852">
      <c r="D45852" s="9"/>
      <c r="G45852" s="9"/>
      <c r="J45852" s="11"/>
      <c r="U45852" s="9"/>
      <c r="X45852" s="9"/>
    </row>
    <row r="45853">
      <c r="D45853" s="9"/>
      <c r="G45853" s="9"/>
      <c r="J45853" s="11"/>
      <c r="U45853" s="9"/>
      <c r="X45853" s="9"/>
    </row>
    <row r="45854">
      <c r="D45854" s="9"/>
      <c r="G45854" s="9"/>
      <c r="J45854" s="11"/>
      <c r="U45854" s="9"/>
      <c r="X45854" s="9"/>
    </row>
    <row r="45855">
      <c r="D45855" s="9"/>
      <c r="G45855" s="9"/>
      <c r="J45855" s="11"/>
      <c r="U45855" s="9"/>
      <c r="X45855" s="9"/>
    </row>
    <row r="45856">
      <c r="D45856" s="9"/>
      <c r="G45856" s="9"/>
      <c r="J45856" s="11"/>
      <c r="U45856" s="9"/>
      <c r="X45856" s="9"/>
    </row>
    <row r="45857">
      <c r="D45857" s="9"/>
      <c r="G45857" s="9"/>
      <c r="J45857" s="11"/>
      <c r="U45857" s="9"/>
      <c r="X45857" s="9"/>
    </row>
    <row r="45858">
      <c r="D45858" s="9"/>
      <c r="G45858" s="9"/>
      <c r="J45858" s="11"/>
      <c r="U45858" s="9"/>
      <c r="X45858" s="9"/>
    </row>
    <row r="45859">
      <c r="D45859" s="9"/>
      <c r="G45859" s="9"/>
      <c r="J45859" s="11"/>
      <c r="U45859" s="9"/>
      <c r="X45859" s="9"/>
    </row>
    <row r="45860">
      <c r="D45860" s="9"/>
      <c r="G45860" s="9"/>
      <c r="J45860" s="11"/>
      <c r="U45860" s="9"/>
      <c r="X45860" s="9"/>
    </row>
    <row r="45861">
      <c r="D45861" s="9"/>
      <c r="G45861" s="9"/>
      <c r="J45861" s="11"/>
      <c r="U45861" s="9"/>
      <c r="X45861" s="9"/>
    </row>
    <row r="45862">
      <c r="D45862" s="9"/>
      <c r="G45862" s="9"/>
      <c r="J45862" s="11"/>
      <c r="U45862" s="9"/>
      <c r="X45862" s="9"/>
    </row>
    <row r="45863">
      <c r="D45863" s="9"/>
      <c r="G45863" s="9"/>
      <c r="J45863" s="11"/>
      <c r="U45863" s="9"/>
      <c r="X45863" s="9"/>
    </row>
    <row r="45864">
      <c r="D45864" s="9"/>
      <c r="G45864" s="9"/>
      <c r="J45864" s="11"/>
      <c r="U45864" s="9"/>
      <c r="X45864" s="9"/>
    </row>
    <row r="45865">
      <c r="D45865" s="9"/>
      <c r="G45865" s="9"/>
      <c r="J45865" s="11"/>
      <c r="U45865" s="9"/>
      <c r="X45865" s="9"/>
    </row>
    <row r="45866">
      <c r="D45866" s="9"/>
      <c r="G45866" s="9"/>
      <c r="J45866" s="11"/>
      <c r="U45866" s="9"/>
      <c r="X45866" s="9"/>
    </row>
    <row r="45867">
      <c r="D45867" s="9"/>
      <c r="G45867" s="9"/>
      <c r="J45867" s="11"/>
      <c r="U45867" s="9"/>
      <c r="X45867" s="9"/>
    </row>
    <row r="45868">
      <c r="D45868" s="9"/>
      <c r="G45868" s="9"/>
      <c r="J45868" s="11"/>
      <c r="U45868" s="9"/>
      <c r="X45868" s="9"/>
    </row>
    <row r="45869">
      <c r="D45869" s="9"/>
      <c r="G45869" s="9"/>
      <c r="J45869" s="11"/>
      <c r="U45869" s="9"/>
      <c r="X45869" s="9"/>
    </row>
    <row r="45870">
      <c r="D45870" s="9"/>
      <c r="G45870" s="9"/>
      <c r="J45870" s="11"/>
      <c r="U45870" s="9"/>
      <c r="X45870" s="9"/>
    </row>
    <row r="45871">
      <c r="D45871" s="9"/>
      <c r="G45871" s="9"/>
      <c r="J45871" s="11"/>
      <c r="U45871" s="9"/>
      <c r="X45871" s="9"/>
    </row>
    <row r="45872">
      <c r="D45872" s="9"/>
      <c r="G45872" s="9"/>
      <c r="J45872" s="11"/>
      <c r="U45872" s="9"/>
      <c r="X45872" s="9"/>
    </row>
    <row r="45873">
      <c r="D45873" s="9"/>
      <c r="G45873" s="9"/>
      <c r="J45873" s="11"/>
      <c r="U45873" s="9"/>
      <c r="X45873" s="9"/>
    </row>
    <row r="45874">
      <c r="D45874" s="9"/>
      <c r="G45874" s="9"/>
      <c r="J45874" s="11"/>
      <c r="U45874" s="9"/>
      <c r="X45874" s="9"/>
    </row>
    <row r="45875">
      <c r="D45875" s="9"/>
      <c r="G45875" s="9"/>
      <c r="J45875" s="11"/>
      <c r="U45875" s="9"/>
      <c r="X45875" s="9"/>
    </row>
    <row r="45876">
      <c r="D45876" s="9"/>
      <c r="G45876" s="9"/>
      <c r="J45876" s="11"/>
      <c r="U45876" s="9"/>
      <c r="X45876" s="9"/>
    </row>
    <row r="45877">
      <c r="D45877" s="9"/>
      <c r="G45877" s="9"/>
      <c r="J45877" s="11"/>
      <c r="U45877" s="9"/>
      <c r="X45877" s="9"/>
    </row>
    <row r="45878">
      <c r="D45878" s="9"/>
      <c r="G45878" s="9"/>
      <c r="J45878" s="11"/>
      <c r="U45878" s="9"/>
      <c r="X45878" s="9"/>
    </row>
    <row r="45879">
      <c r="D45879" s="9"/>
      <c r="G45879" s="9"/>
      <c r="J45879" s="11"/>
      <c r="U45879" s="9"/>
      <c r="X45879" s="9"/>
    </row>
    <row r="45880">
      <c r="D45880" s="9"/>
      <c r="G45880" s="9"/>
      <c r="J45880" s="11"/>
      <c r="U45880" s="9"/>
      <c r="X45880" s="9"/>
    </row>
    <row r="45881">
      <c r="D45881" s="9"/>
      <c r="G45881" s="9"/>
      <c r="J45881" s="11"/>
      <c r="U45881" s="9"/>
      <c r="X45881" s="9"/>
    </row>
    <row r="45882">
      <c r="D45882" s="9"/>
      <c r="G45882" s="9"/>
      <c r="J45882" s="11"/>
      <c r="U45882" s="9"/>
      <c r="X45882" s="9"/>
    </row>
    <row r="45883">
      <c r="D45883" s="9"/>
      <c r="G45883" s="9"/>
      <c r="J45883" s="11"/>
      <c r="U45883" s="9"/>
      <c r="X45883" s="9"/>
    </row>
    <row r="45884">
      <c r="D45884" s="9"/>
      <c r="G45884" s="9"/>
      <c r="J45884" s="11"/>
      <c r="U45884" s="9"/>
      <c r="X45884" s="9"/>
    </row>
    <row r="45885">
      <c r="D45885" s="9"/>
      <c r="G45885" s="9"/>
      <c r="J45885" s="11"/>
      <c r="U45885" s="9"/>
      <c r="X45885" s="9"/>
    </row>
    <row r="45886">
      <c r="D45886" s="9"/>
      <c r="G45886" s="9"/>
      <c r="J45886" s="11"/>
      <c r="U45886" s="9"/>
      <c r="X45886" s="9"/>
    </row>
    <row r="45887">
      <c r="D45887" s="9"/>
      <c r="G45887" s="9"/>
      <c r="J45887" s="11"/>
      <c r="U45887" s="9"/>
      <c r="X45887" s="9"/>
    </row>
    <row r="45888">
      <c r="D45888" s="9"/>
      <c r="G45888" s="9"/>
      <c r="J45888" s="11"/>
      <c r="U45888" s="9"/>
      <c r="X45888" s="9"/>
    </row>
    <row r="45889">
      <c r="D45889" s="9"/>
      <c r="G45889" s="9"/>
      <c r="J45889" s="11"/>
      <c r="U45889" s="9"/>
      <c r="X45889" s="9"/>
    </row>
    <row r="45890">
      <c r="D45890" s="9"/>
      <c r="G45890" s="9"/>
      <c r="J45890" s="11"/>
      <c r="U45890" s="9"/>
      <c r="X45890" s="9"/>
    </row>
    <row r="45891">
      <c r="D45891" s="9"/>
      <c r="G45891" s="9"/>
      <c r="J45891" s="11"/>
      <c r="U45891" s="9"/>
      <c r="X45891" s="9"/>
    </row>
    <row r="45892">
      <c r="D45892" s="9"/>
      <c r="G45892" s="9"/>
      <c r="J45892" s="11"/>
      <c r="U45892" s="9"/>
      <c r="X45892" s="9"/>
    </row>
    <row r="45893">
      <c r="D45893" s="9"/>
      <c r="G45893" s="9"/>
      <c r="J45893" s="11"/>
      <c r="U45893" s="9"/>
      <c r="X45893" s="9"/>
    </row>
    <row r="45894">
      <c r="D45894" s="9"/>
      <c r="G45894" s="9"/>
      <c r="J45894" s="11"/>
      <c r="U45894" s="9"/>
      <c r="X45894" s="9"/>
    </row>
    <row r="45895">
      <c r="D45895" s="9"/>
      <c r="G45895" s="9"/>
      <c r="J45895" s="11"/>
      <c r="U45895" s="9"/>
      <c r="X45895" s="9"/>
    </row>
    <row r="45896">
      <c r="D45896" s="9"/>
      <c r="G45896" s="9"/>
      <c r="J45896" s="11"/>
      <c r="U45896" s="9"/>
      <c r="X45896" s="9"/>
    </row>
    <row r="45897">
      <c r="D45897" s="9"/>
      <c r="G45897" s="9"/>
      <c r="J45897" s="11"/>
      <c r="U45897" s="9"/>
      <c r="X45897" s="9"/>
    </row>
    <row r="45898">
      <c r="D45898" s="9"/>
      <c r="G45898" s="9"/>
      <c r="J45898" s="11"/>
      <c r="U45898" s="9"/>
      <c r="X45898" s="9"/>
    </row>
    <row r="45899">
      <c r="D45899" s="9"/>
      <c r="G45899" s="9"/>
      <c r="J45899" s="11"/>
      <c r="U45899" s="9"/>
      <c r="X45899" s="9"/>
    </row>
    <row r="45900">
      <c r="D45900" s="9"/>
      <c r="G45900" s="9"/>
      <c r="J45900" s="11"/>
      <c r="U45900" s="9"/>
      <c r="X45900" s="9"/>
    </row>
    <row r="45901">
      <c r="D45901" s="9"/>
      <c r="G45901" s="9"/>
      <c r="J45901" s="11"/>
      <c r="U45901" s="9"/>
      <c r="X45901" s="9"/>
    </row>
    <row r="45902">
      <c r="D45902" s="9"/>
      <c r="G45902" s="9"/>
      <c r="J45902" s="11"/>
      <c r="U45902" s="9"/>
      <c r="X45902" s="9"/>
    </row>
    <row r="45903">
      <c r="D45903" s="9"/>
      <c r="G45903" s="9"/>
      <c r="J45903" s="11"/>
      <c r="U45903" s="9"/>
      <c r="X45903" s="9"/>
    </row>
    <row r="45904">
      <c r="D45904" s="9"/>
      <c r="G45904" s="9"/>
      <c r="J45904" s="11"/>
      <c r="U45904" s="9"/>
      <c r="X45904" s="9"/>
    </row>
    <row r="45905">
      <c r="D45905" s="9"/>
      <c r="G45905" s="9"/>
      <c r="J45905" s="11"/>
      <c r="U45905" s="9"/>
      <c r="X45905" s="9"/>
    </row>
    <row r="45906">
      <c r="D45906" s="9"/>
      <c r="G45906" s="9"/>
      <c r="J45906" s="11"/>
      <c r="U45906" s="9"/>
      <c r="X45906" s="9"/>
    </row>
    <row r="45907">
      <c r="D45907" s="9"/>
      <c r="G45907" s="9"/>
      <c r="J45907" s="11"/>
      <c r="U45907" s="9"/>
      <c r="X45907" s="9"/>
    </row>
    <row r="45908">
      <c r="D45908" s="9"/>
      <c r="G45908" s="9"/>
      <c r="J45908" s="11"/>
      <c r="U45908" s="9"/>
      <c r="X45908" s="9"/>
    </row>
    <row r="45909">
      <c r="D45909" s="9"/>
      <c r="G45909" s="9"/>
      <c r="J45909" s="11"/>
      <c r="U45909" s="9"/>
      <c r="X45909" s="9"/>
    </row>
    <row r="45910">
      <c r="D45910" s="9"/>
      <c r="G45910" s="9"/>
      <c r="J45910" s="11"/>
      <c r="U45910" s="9"/>
      <c r="X45910" s="9"/>
    </row>
    <row r="45911">
      <c r="D45911" s="9"/>
      <c r="G45911" s="9"/>
      <c r="J45911" s="11"/>
      <c r="U45911" s="9"/>
      <c r="X45911" s="9"/>
    </row>
    <row r="45912">
      <c r="D45912" s="9"/>
      <c r="G45912" s="9"/>
      <c r="J45912" s="11"/>
      <c r="U45912" s="9"/>
      <c r="X45912" s="9"/>
    </row>
    <row r="45913">
      <c r="D45913" s="9"/>
      <c r="G45913" s="9"/>
      <c r="J45913" s="11"/>
      <c r="U45913" s="9"/>
      <c r="X45913" s="9"/>
    </row>
    <row r="45914">
      <c r="D45914" s="9"/>
      <c r="G45914" s="9"/>
      <c r="J45914" s="11"/>
      <c r="U45914" s="9"/>
      <c r="X45914" s="9"/>
    </row>
    <row r="45915">
      <c r="D45915" s="9"/>
      <c r="G45915" s="9"/>
      <c r="J45915" s="11"/>
      <c r="U45915" s="9"/>
      <c r="X45915" s="9"/>
    </row>
    <row r="45916">
      <c r="D45916" s="9"/>
      <c r="G45916" s="9"/>
      <c r="J45916" s="11"/>
      <c r="U45916" s="9"/>
      <c r="X45916" s="9"/>
    </row>
    <row r="45917">
      <c r="D45917" s="9"/>
      <c r="G45917" s="9"/>
      <c r="J45917" s="11"/>
      <c r="U45917" s="9"/>
      <c r="X45917" s="9"/>
    </row>
    <row r="45918">
      <c r="D45918" s="9"/>
      <c r="G45918" s="9"/>
      <c r="J45918" s="11"/>
      <c r="U45918" s="9"/>
      <c r="X45918" s="9"/>
    </row>
    <row r="45919">
      <c r="D45919" s="9"/>
      <c r="G45919" s="9"/>
      <c r="J45919" s="11"/>
      <c r="U45919" s="9"/>
      <c r="X45919" s="9"/>
    </row>
    <row r="45920">
      <c r="D45920" s="9"/>
      <c r="G45920" s="9"/>
      <c r="J45920" s="11"/>
      <c r="U45920" s="9"/>
      <c r="X45920" s="9"/>
    </row>
    <row r="45921">
      <c r="D45921" s="9"/>
      <c r="G45921" s="9"/>
      <c r="J45921" s="11"/>
      <c r="U45921" s="9"/>
      <c r="X45921" s="9"/>
    </row>
    <row r="45922">
      <c r="D45922" s="9"/>
      <c r="G45922" s="9"/>
      <c r="J45922" s="11"/>
      <c r="U45922" s="9"/>
      <c r="X45922" s="9"/>
    </row>
    <row r="45923">
      <c r="D45923" s="9"/>
      <c r="G45923" s="9"/>
      <c r="J45923" s="11"/>
      <c r="U45923" s="9"/>
      <c r="X45923" s="9"/>
    </row>
    <row r="45924">
      <c r="D45924" s="9"/>
      <c r="G45924" s="9"/>
      <c r="J45924" s="11"/>
      <c r="U45924" s="9"/>
      <c r="X45924" s="9"/>
    </row>
    <row r="45925">
      <c r="D45925" s="9"/>
      <c r="G45925" s="9"/>
      <c r="J45925" s="11"/>
      <c r="U45925" s="9"/>
      <c r="X45925" s="9"/>
    </row>
    <row r="45926">
      <c r="D45926" s="9"/>
      <c r="G45926" s="9"/>
      <c r="J45926" s="11"/>
      <c r="U45926" s="9"/>
      <c r="X45926" s="9"/>
    </row>
    <row r="45927">
      <c r="D45927" s="9"/>
      <c r="G45927" s="9"/>
      <c r="J45927" s="11"/>
      <c r="U45927" s="9"/>
      <c r="X45927" s="9"/>
    </row>
    <row r="45928">
      <c r="D45928" s="9"/>
      <c r="G45928" s="9"/>
      <c r="J45928" s="11"/>
      <c r="U45928" s="9"/>
      <c r="X45928" s="9"/>
    </row>
    <row r="45929">
      <c r="D45929" s="9"/>
      <c r="G45929" s="9"/>
      <c r="J45929" s="11"/>
      <c r="U45929" s="9"/>
      <c r="X45929" s="9"/>
    </row>
    <row r="45930">
      <c r="D45930" s="9"/>
      <c r="G45930" s="9"/>
      <c r="J45930" s="11"/>
      <c r="U45930" s="9"/>
      <c r="X45930" s="9"/>
    </row>
    <row r="45931">
      <c r="D45931" s="9"/>
      <c r="G45931" s="9"/>
      <c r="J45931" s="11"/>
      <c r="U45931" s="9"/>
      <c r="X45931" s="9"/>
    </row>
    <row r="45932">
      <c r="D45932" s="9"/>
      <c r="G45932" s="9"/>
      <c r="J45932" s="11"/>
      <c r="U45932" s="9"/>
      <c r="X45932" s="9"/>
    </row>
    <row r="45933">
      <c r="D45933" s="9"/>
      <c r="G45933" s="9"/>
      <c r="J45933" s="11"/>
      <c r="U45933" s="9"/>
      <c r="X45933" s="9"/>
    </row>
    <row r="45934">
      <c r="D45934" s="9"/>
      <c r="G45934" s="9"/>
      <c r="J45934" s="11"/>
      <c r="U45934" s="9"/>
      <c r="X45934" s="9"/>
    </row>
    <row r="45935">
      <c r="D45935" s="9"/>
      <c r="G45935" s="9"/>
      <c r="J45935" s="11"/>
      <c r="U45935" s="9"/>
      <c r="X45935" s="9"/>
    </row>
    <row r="45936">
      <c r="D45936" s="9"/>
      <c r="G45936" s="9"/>
      <c r="J45936" s="11"/>
      <c r="U45936" s="9"/>
      <c r="X45936" s="9"/>
    </row>
    <row r="45937">
      <c r="D45937" s="9"/>
      <c r="G45937" s="9"/>
      <c r="J45937" s="11"/>
      <c r="U45937" s="9"/>
      <c r="X45937" s="9"/>
    </row>
    <row r="45938">
      <c r="D45938" s="9"/>
      <c r="G45938" s="9"/>
      <c r="J45938" s="11"/>
      <c r="U45938" s="9"/>
      <c r="X45938" s="9"/>
    </row>
    <row r="45939">
      <c r="D45939" s="9"/>
      <c r="G45939" s="9"/>
      <c r="J45939" s="11"/>
      <c r="U45939" s="9"/>
      <c r="X45939" s="9"/>
    </row>
    <row r="45940">
      <c r="D45940" s="9"/>
      <c r="G45940" s="9"/>
      <c r="J45940" s="11"/>
      <c r="U45940" s="9"/>
      <c r="X45940" s="9"/>
    </row>
    <row r="45941">
      <c r="D45941" s="9"/>
      <c r="G45941" s="9"/>
      <c r="J45941" s="11"/>
      <c r="U45941" s="9"/>
      <c r="X45941" s="9"/>
    </row>
    <row r="45942">
      <c r="D45942" s="9"/>
      <c r="G45942" s="9"/>
      <c r="J45942" s="11"/>
      <c r="U45942" s="9"/>
      <c r="X45942" s="9"/>
    </row>
    <row r="45943">
      <c r="D45943" s="9"/>
      <c r="G45943" s="9"/>
      <c r="J45943" s="11"/>
      <c r="U45943" s="9"/>
      <c r="X45943" s="9"/>
    </row>
    <row r="45944">
      <c r="D45944" s="9"/>
      <c r="G45944" s="9"/>
      <c r="J45944" s="11"/>
      <c r="U45944" s="9"/>
      <c r="X45944" s="9"/>
    </row>
    <row r="45945">
      <c r="D45945" s="9"/>
      <c r="G45945" s="9"/>
      <c r="J45945" s="11"/>
      <c r="U45945" s="9"/>
      <c r="X45945" s="9"/>
    </row>
    <row r="45946">
      <c r="D45946" s="9"/>
      <c r="G45946" s="9"/>
      <c r="J45946" s="11"/>
      <c r="U45946" s="9"/>
      <c r="X45946" s="9"/>
    </row>
    <row r="45947">
      <c r="D45947" s="9"/>
      <c r="G45947" s="9"/>
      <c r="J45947" s="11"/>
      <c r="U45947" s="9"/>
      <c r="X45947" s="9"/>
    </row>
    <row r="45948">
      <c r="D45948" s="9"/>
      <c r="G45948" s="9"/>
      <c r="J45948" s="11"/>
      <c r="U45948" s="9"/>
      <c r="X45948" s="9"/>
    </row>
    <row r="45949">
      <c r="D45949" s="9"/>
      <c r="G45949" s="9"/>
      <c r="J45949" s="11"/>
      <c r="U45949" s="9"/>
      <c r="X45949" s="9"/>
    </row>
    <row r="45950">
      <c r="D45950" s="9"/>
      <c r="G45950" s="9"/>
      <c r="J45950" s="11"/>
      <c r="U45950" s="9"/>
      <c r="X45950" s="9"/>
    </row>
    <row r="45951">
      <c r="D45951" s="9"/>
      <c r="G45951" s="9"/>
      <c r="J45951" s="11"/>
      <c r="U45951" s="9"/>
      <c r="X45951" s="9"/>
    </row>
    <row r="45952">
      <c r="D45952" s="9"/>
      <c r="G45952" s="9"/>
      <c r="J45952" s="11"/>
      <c r="U45952" s="9"/>
      <c r="X45952" s="9"/>
    </row>
    <row r="45953">
      <c r="D45953" s="9"/>
      <c r="G45953" s="9"/>
      <c r="J45953" s="11"/>
      <c r="U45953" s="9"/>
      <c r="X45953" s="9"/>
    </row>
    <row r="45954">
      <c r="D45954" s="9"/>
      <c r="G45954" s="9"/>
      <c r="J45954" s="11"/>
      <c r="U45954" s="9"/>
      <c r="X45954" s="9"/>
    </row>
    <row r="45955">
      <c r="D45955" s="9"/>
      <c r="G45955" s="9"/>
      <c r="J45955" s="11"/>
      <c r="U45955" s="9"/>
      <c r="X45955" s="9"/>
    </row>
    <row r="45956">
      <c r="D45956" s="9"/>
      <c r="G45956" s="9"/>
      <c r="J45956" s="11"/>
      <c r="U45956" s="9"/>
      <c r="X45956" s="9"/>
    </row>
    <row r="45957">
      <c r="D45957" s="9"/>
      <c r="G45957" s="9"/>
      <c r="J45957" s="11"/>
      <c r="U45957" s="9"/>
      <c r="X45957" s="9"/>
    </row>
    <row r="45958">
      <c r="D45958" s="9"/>
      <c r="G45958" s="9"/>
      <c r="J45958" s="11"/>
      <c r="U45958" s="9"/>
      <c r="X45958" s="9"/>
    </row>
    <row r="45959">
      <c r="D45959" s="9"/>
      <c r="G45959" s="9"/>
      <c r="J45959" s="11"/>
      <c r="U45959" s="9"/>
      <c r="X45959" s="9"/>
    </row>
    <row r="45960">
      <c r="D45960" s="9"/>
      <c r="G45960" s="9"/>
      <c r="J45960" s="11"/>
      <c r="U45960" s="9"/>
      <c r="X45960" s="9"/>
    </row>
    <row r="45961">
      <c r="D45961" s="9"/>
      <c r="G45961" s="9"/>
      <c r="J45961" s="11"/>
      <c r="U45961" s="9"/>
      <c r="X45961" s="9"/>
    </row>
    <row r="45962">
      <c r="D45962" s="9"/>
      <c r="G45962" s="9"/>
      <c r="J45962" s="11"/>
      <c r="U45962" s="9"/>
      <c r="X45962" s="9"/>
    </row>
    <row r="45963">
      <c r="D45963" s="9"/>
      <c r="G45963" s="9"/>
      <c r="J45963" s="11"/>
      <c r="U45963" s="9"/>
      <c r="X45963" s="9"/>
    </row>
    <row r="45964">
      <c r="D45964" s="9"/>
      <c r="G45964" s="9"/>
      <c r="J45964" s="11"/>
      <c r="U45964" s="9"/>
      <c r="X45964" s="9"/>
    </row>
    <row r="45965">
      <c r="D45965" s="9"/>
      <c r="G45965" s="9"/>
      <c r="J45965" s="11"/>
      <c r="U45965" s="9"/>
      <c r="X45965" s="9"/>
    </row>
    <row r="45966">
      <c r="D45966" s="9"/>
      <c r="G45966" s="9"/>
      <c r="J45966" s="11"/>
      <c r="U45966" s="9"/>
      <c r="X45966" s="9"/>
    </row>
    <row r="45967">
      <c r="D45967" s="9"/>
      <c r="G45967" s="9"/>
      <c r="J45967" s="11"/>
      <c r="U45967" s="9"/>
      <c r="X45967" s="9"/>
    </row>
    <row r="45968">
      <c r="D45968" s="9"/>
      <c r="G45968" s="9"/>
      <c r="J45968" s="11"/>
      <c r="U45968" s="9"/>
      <c r="X45968" s="9"/>
    </row>
    <row r="45969">
      <c r="D45969" s="9"/>
      <c r="G45969" s="9"/>
      <c r="J45969" s="11"/>
      <c r="U45969" s="9"/>
      <c r="X45969" s="9"/>
    </row>
    <row r="45970">
      <c r="D45970" s="9"/>
      <c r="G45970" s="9"/>
      <c r="J45970" s="11"/>
      <c r="U45970" s="9"/>
      <c r="X45970" s="9"/>
    </row>
    <row r="45971">
      <c r="D45971" s="9"/>
      <c r="G45971" s="9"/>
      <c r="J45971" s="11"/>
      <c r="U45971" s="9"/>
      <c r="X45971" s="9"/>
    </row>
    <row r="45972">
      <c r="D45972" s="9"/>
      <c r="G45972" s="9"/>
      <c r="J45972" s="11"/>
      <c r="U45972" s="9"/>
      <c r="X45972" s="9"/>
    </row>
    <row r="45973">
      <c r="D45973" s="9"/>
      <c r="G45973" s="9"/>
      <c r="J45973" s="11"/>
      <c r="U45973" s="9"/>
      <c r="X45973" s="9"/>
    </row>
    <row r="45974">
      <c r="D45974" s="9"/>
      <c r="G45974" s="9"/>
      <c r="J45974" s="11"/>
      <c r="U45974" s="9"/>
      <c r="X45974" s="9"/>
    </row>
    <row r="45975">
      <c r="D45975" s="9"/>
      <c r="G45975" s="9"/>
      <c r="J45975" s="11"/>
      <c r="U45975" s="9"/>
      <c r="X45975" s="9"/>
    </row>
    <row r="45976">
      <c r="D45976" s="9"/>
      <c r="G45976" s="9"/>
      <c r="J45976" s="11"/>
      <c r="U45976" s="9"/>
      <c r="X45976" s="9"/>
    </row>
    <row r="45977">
      <c r="D45977" s="9"/>
      <c r="G45977" s="9"/>
      <c r="J45977" s="11"/>
      <c r="U45977" s="9"/>
      <c r="X45977" s="9"/>
    </row>
    <row r="45978">
      <c r="D45978" s="9"/>
      <c r="G45978" s="9"/>
      <c r="J45978" s="11"/>
      <c r="U45978" s="9"/>
      <c r="X45978" s="9"/>
    </row>
    <row r="45979">
      <c r="D45979" s="9"/>
      <c r="G45979" s="9"/>
      <c r="J45979" s="11"/>
      <c r="U45979" s="9"/>
      <c r="X45979" s="9"/>
    </row>
    <row r="45980">
      <c r="D45980" s="9"/>
      <c r="G45980" s="9"/>
      <c r="J45980" s="11"/>
      <c r="U45980" s="9"/>
      <c r="X45980" s="9"/>
    </row>
    <row r="45981">
      <c r="D45981" s="9"/>
      <c r="G45981" s="9"/>
      <c r="J45981" s="11"/>
      <c r="U45981" s="9"/>
      <c r="X45981" s="9"/>
    </row>
    <row r="45982">
      <c r="D45982" s="9"/>
      <c r="G45982" s="9"/>
      <c r="J45982" s="11"/>
      <c r="U45982" s="9"/>
      <c r="X45982" s="9"/>
    </row>
    <row r="45983">
      <c r="D45983" s="9"/>
      <c r="G45983" s="9"/>
      <c r="J45983" s="11"/>
      <c r="U45983" s="9"/>
      <c r="X45983" s="9"/>
    </row>
    <row r="45984">
      <c r="D45984" s="9"/>
      <c r="G45984" s="9"/>
      <c r="J45984" s="11"/>
      <c r="U45984" s="9"/>
      <c r="X45984" s="9"/>
    </row>
    <row r="45985">
      <c r="D45985" s="9"/>
      <c r="G45985" s="9"/>
      <c r="J45985" s="11"/>
      <c r="U45985" s="9"/>
      <c r="X45985" s="9"/>
    </row>
    <row r="45986">
      <c r="D45986" s="9"/>
      <c r="G45986" s="9"/>
      <c r="J45986" s="11"/>
      <c r="U45986" s="9"/>
      <c r="X45986" s="9"/>
    </row>
    <row r="45987">
      <c r="D45987" s="9"/>
      <c r="G45987" s="9"/>
      <c r="J45987" s="11"/>
      <c r="U45987" s="9"/>
      <c r="X45987" s="9"/>
    </row>
    <row r="45988">
      <c r="D45988" s="9"/>
      <c r="G45988" s="9"/>
      <c r="J45988" s="11"/>
      <c r="U45988" s="9"/>
      <c r="X45988" s="9"/>
    </row>
    <row r="45989">
      <c r="D45989" s="9"/>
      <c r="G45989" s="9"/>
      <c r="J45989" s="11"/>
      <c r="U45989" s="9"/>
      <c r="X45989" s="9"/>
    </row>
    <row r="45990">
      <c r="D45990" s="9"/>
      <c r="G45990" s="9"/>
      <c r="J45990" s="11"/>
      <c r="U45990" s="9"/>
      <c r="X45990" s="9"/>
    </row>
    <row r="45991">
      <c r="D45991" s="9"/>
      <c r="G45991" s="9"/>
      <c r="J45991" s="11"/>
      <c r="U45991" s="9"/>
      <c r="X45991" s="9"/>
    </row>
    <row r="45992">
      <c r="D45992" s="9"/>
      <c r="G45992" s="9"/>
      <c r="J45992" s="11"/>
      <c r="U45992" s="9"/>
      <c r="X45992" s="9"/>
    </row>
    <row r="45993">
      <c r="D45993" s="9"/>
      <c r="G45993" s="9"/>
      <c r="J45993" s="11"/>
      <c r="U45993" s="9"/>
      <c r="X45993" s="9"/>
    </row>
    <row r="45994">
      <c r="D45994" s="9"/>
      <c r="G45994" s="9"/>
      <c r="J45994" s="11"/>
      <c r="U45994" s="9"/>
      <c r="X45994" s="9"/>
    </row>
    <row r="45995">
      <c r="D45995" s="9"/>
      <c r="G45995" s="9"/>
      <c r="J45995" s="11"/>
      <c r="U45995" s="9"/>
      <c r="X45995" s="9"/>
    </row>
    <row r="45996">
      <c r="D45996" s="9"/>
      <c r="G45996" s="9"/>
      <c r="J45996" s="11"/>
      <c r="U45996" s="9"/>
      <c r="X45996" s="9"/>
    </row>
    <row r="45997">
      <c r="D45997" s="9"/>
      <c r="G45997" s="9"/>
      <c r="J45997" s="11"/>
      <c r="U45997" s="9"/>
      <c r="X45997" s="9"/>
    </row>
    <row r="45998">
      <c r="D45998" s="9"/>
      <c r="G45998" s="9"/>
      <c r="J45998" s="11"/>
      <c r="U45998" s="9"/>
      <c r="X45998" s="9"/>
    </row>
    <row r="45999">
      <c r="D45999" s="9"/>
      <c r="G45999" s="9"/>
      <c r="J45999" s="11"/>
      <c r="U45999" s="9"/>
      <c r="X45999" s="9"/>
    </row>
    <row r="46000">
      <c r="D46000" s="9"/>
      <c r="G46000" s="9"/>
      <c r="J46000" s="11"/>
      <c r="U46000" s="9"/>
      <c r="X46000" s="9"/>
    </row>
    <row r="46001">
      <c r="D46001" s="9"/>
      <c r="G46001" s="9"/>
      <c r="J46001" s="11"/>
      <c r="U46001" s="9"/>
      <c r="X46001" s="9"/>
    </row>
    <row r="46002">
      <c r="D46002" s="9"/>
      <c r="G46002" s="9"/>
      <c r="J46002" s="11"/>
      <c r="U46002" s="9"/>
      <c r="X46002" s="9"/>
    </row>
    <row r="46003">
      <c r="D46003" s="9"/>
      <c r="G46003" s="9"/>
      <c r="J46003" s="11"/>
      <c r="U46003" s="9"/>
      <c r="X46003" s="9"/>
    </row>
    <row r="46004">
      <c r="D46004" s="9"/>
      <c r="G46004" s="9"/>
      <c r="J46004" s="11"/>
      <c r="U46004" s="9"/>
      <c r="X46004" s="9"/>
    </row>
    <row r="46005">
      <c r="D46005" s="9"/>
      <c r="G46005" s="9"/>
      <c r="J46005" s="11"/>
      <c r="U46005" s="9"/>
      <c r="X46005" s="9"/>
    </row>
    <row r="46006">
      <c r="D46006" s="9"/>
      <c r="G46006" s="9"/>
      <c r="J46006" s="11"/>
      <c r="U46006" s="9"/>
      <c r="X46006" s="9"/>
    </row>
    <row r="46007">
      <c r="D46007" s="9"/>
      <c r="G46007" s="9"/>
      <c r="J46007" s="11"/>
      <c r="U46007" s="9"/>
      <c r="X46007" s="9"/>
    </row>
    <row r="46008">
      <c r="D46008" s="9"/>
      <c r="G46008" s="9"/>
      <c r="J46008" s="11"/>
      <c r="U46008" s="9"/>
      <c r="X46008" s="9"/>
    </row>
    <row r="46009">
      <c r="D46009" s="9"/>
      <c r="G46009" s="9"/>
      <c r="J46009" s="11"/>
      <c r="U46009" s="9"/>
      <c r="X46009" s="9"/>
    </row>
    <row r="46010">
      <c r="D46010" s="9"/>
      <c r="G46010" s="9"/>
      <c r="J46010" s="11"/>
      <c r="U46010" s="9"/>
      <c r="X46010" s="9"/>
    </row>
    <row r="46011">
      <c r="D46011" s="9"/>
      <c r="G46011" s="9"/>
      <c r="J46011" s="11"/>
      <c r="U46011" s="9"/>
      <c r="X46011" s="9"/>
    </row>
    <row r="46012">
      <c r="D46012" s="9"/>
      <c r="G46012" s="9"/>
      <c r="J46012" s="11"/>
      <c r="U46012" s="9"/>
      <c r="X46012" s="9"/>
    </row>
    <row r="46013">
      <c r="D46013" s="9"/>
      <c r="G46013" s="9"/>
      <c r="J46013" s="11"/>
      <c r="U46013" s="9"/>
      <c r="X46013" s="9"/>
    </row>
    <row r="46014">
      <c r="D46014" s="9"/>
      <c r="G46014" s="9"/>
      <c r="J46014" s="11"/>
      <c r="U46014" s="9"/>
      <c r="X46014" s="9"/>
    </row>
    <row r="46015">
      <c r="D46015" s="9"/>
      <c r="G46015" s="9"/>
      <c r="J46015" s="11"/>
      <c r="U46015" s="9"/>
      <c r="X46015" s="9"/>
    </row>
    <row r="46016">
      <c r="D46016" s="9"/>
      <c r="G46016" s="9"/>
      <c r="J46016" s="11"/>
      <c r="U46016" s="9"/>
      <c r="X46016" s="9"/>
    </row>
    <row r="46017">
      <c r="D46017" s="9"/>
      <c r="G46017" s="9"/>
      <c r="J46017" s="11"/>
      <c r="U46017" s="9"/>
      <c r="X46017" s="9"/>
    </row>
    <row r="46018">
      <c r="D46018" s="9"/>
      <c r="G46018" s="9"/>
      <c r="J46018" s="11"/>
      <c r="U46018" s="9"/>
      <c r="X46018" s="9"/>
    </row>
    <row r="46019">
      <c r="D46019" s="9"/>
      <c r="G46019" s="9"/>
      <c r="J46019" s="11"/>
      <c r="U46019" s="9"/>
      <c r="X46019" s="9"/>
    </row>
    <row r="46020">
      <c r="D46020" s="9"/>
      <c r="G46020" s="9"/>
      <c r="J46020" s="11"/>
      <c r="U46020" s="9"/>
      <c r="X46020" s="9"/>
    </row>
    <row r="46021">
      <c r="D46021" s="9"/>
      <c r="G46021" s="9"/>
      <c r="J46021" s="11"/>
      <c r="U46021" s="9"/>
      <c r="X46021" s="9"/>
    </row>
    <row r="46022">
      <c r="D46022" s="9"/>
      <c r="G46022" s="9"/>
      <c r="J46022" s="11"/>
      <c r="U46022" s="9"/>
      <c r="X46022" s="9"/>
    </row>
    <row r="46023">
      <c r="D46023" s="9"/>
      <c r="G46023" s="9"/>
      <c r="J46023" s="11"/>
      <c r="U46023" s="9"/>
      <c r="X46023" s="9"/>
    </row>
    <row r="46024">
      <c r="D46024" s="9"/>
      <c r="G46024" s="9"/>
      <c r="J46024" s="11"/>
      <c r="U46024" s="9"/>
      <c r="X46024" s="9"/>
    </row>
    <row r="46025">
      <c r="D46025" s="9"/>
      <c r="G46025" s="9"/>
      <c r="J46025" s="11"/>
      <c r="U46025" s="9"/>
      <c r="X46025" s="9"/>
    </row>
    <row r="46026">
      <c r="D46026" s="9"/>
      <c r="G46026" s="9"/>
      <c r="J46026" s="11"/>
      <c r="U46026" s="9"/>
      <c r="X46026" s="9"/>
    </row>
    <row r="46027">
      <c r="D46027" s="9"/>
      <c r="G46027" s="9"/>
      <c r="J46027" s="11"/>
      <c r="U46027" s="9"/>
      <c r="X46027" s="9"/>
    </row>
    <row r="46028">
      <c r="D46028" s="9"/>
      <c r="G46028" s="9"/>
      <c r="J46028" s="11"/>
      <c r="U46028" s="9"/>
      <c r="X46028" s="9"/>
    </row>
    <row r="46029">
      <c r="D46029" s="9"/>
      <c r="G46029" s="9"/>
      <c r="J46029" s="11"/>
      <c r="U46029" s="9"/>
      <c r="X46029" s="9"/>
    </row>
    <row r="46030">
      <c r="D46030" s="9"/>
      <c r="G46030" s="9"/>
      <c r="J46030" s="11"/>
      <c r="U46030" s="9"/>
      <c r="X46030" s="9"/>
    </row>
    <row r="46031">
      <c r="D46031" s="9"/>
      <c r="G46031" s="9"/>
      <c r="J46031" s="11"/>
      <c r="U46031" s="9"/>
      <c r="X46031" s="9"/>
    </row>
    <row r="46032">
      <c r="D46032" s="9"/>
      <c r="G46032" s="9"/>
      <c r="J46032" s="11"/>
      <c r="U46032" s="9"/>
      <c r="X46032" s="9"/>
    </row>
    <row r="46033">
      <c r="D46033" s="9"/>
      <c r="G46033" s="9"/>
      <c r="J46033" s="11"/>
      <c r="U46033" s="9"/>
      <c r="X46033" s="9"/>
    </row>
    <row r="46034">
      <c r="D46034" s="9"/>
      <c r="G46034" s="9"/>
      <c r="J46034" s="11"/>
      <c r="U46034" s="9"/>
      <c r="X46034" s="9"/>
    </row>
    <row r="46035">
      <c r="D46035" s="9"/>
      <c r="G46035" s="9"/>
      <c r="J46035" s="11"/>
      <c r="U46035" s="9"/>
      <c r="X46035" s="9"/>
    </row>
    <row r="46036">
      <c r="D46036" s="9"/>
      <c r="G46036" s="9"/>
      <c r="J46036" s="11"/>
      <c r="U46036" s="9"/>
      <c r="X46036" s="9"/>
    </row>
    <row r="46037">
      <c r="D46037" s="9"/>
      <c r="G46037" s="9"/>
      <c r="J46037" s="11"/>
      <c r="U46037" s="9"/>
      <c r="X46037" s="9"/>
    </row>
    <row r="46038">
      <c r="D46038" s="9"/>
      <c r="G46038" s="9"/>
      <c r="J46038" s="11"/>
      <c r="U46038" s="9"/>
      <c r="X46038" s="9"/>
    </row>
    <row r="46039">
      <c r="D46039" s="9"/>
      <c r="G46039" s="9"/>
      <c r="J46039" s="11"/>
      <c r="U46039" s="9"/>
      <c r="X46039" s="9"/>
    </row>
    <row r="46040">
      <c r="D46040" s="9"/>
      <c r="G46040" s="9"/>
      <c r="J46040" s="11"/>
      <c r="U46040" s="9"/>
      <c r="X46040" s="9"/>
    </row>
    <row r="46041">
      <c r="D46041" s="9"/>
      <c r="G46041" s="9"/>
      <c r="J46041" s="11"/>
      <c r="U46041" s="9"/>
      <c r="X46041" s="9"/>
    </row>
    <row r="46042">
      <c r="D46042" s="9"/>
      <c r="G46042" s="9"/>
      <c r="J46042" s="11"/>
      <c r="U46042" s="9"/>
      <c r="X46042" s="9"/>
    </row>
    <row r="46043">
      <c r="D46043" s="9"/>
      <c r="G46043" s="9"/>
      <c r="J46043" s="11"/>
      <c r="U46043" s="9"/>
      <c r="X46043" s="9"/>
    </row>
    <row r="46044">
      <c r="D46044" s="9"/>
      <c r="G46044" s="9"/>
      <c r="J46044" s="11"/>
      <c r="U46044" s="9"/>
      <c r="X46044" s="9"/>
    </row>
    <row r="46045">
      <c r="D46045" s="9"/>
      <c r="G46045" s="9"/>
      <c r="J46045" s="11"/>
      <c r="U46045" s="9"/>
      <c r="X46045" s="9"/>
    </row>
    <row r="46046">
      <c r="D46046" s="9"/>
      <c r="G46046" s="9"/>
      <c r="J46046" s="11"/>
      <c r="U46046" s="9"/>
      <c r="X46046" s="9"/>
    </row>
    <row r="46047">
      <c r="D46047" s="9"/>
      <c r="G46047" s="9"/>
      <c r="J46047" s="11"/>
      <c r="U46047" s="9"/>
      <c r="X46047" s="9"/>
    </row>
    <row r="46048">
      <c r="D46048" s="9"/>
      <c r="G46048" s="9"/>
      <c r="J46048" s="11"/>
      <c r="U46048" s="9"/>
      <c r="X46048" s="9"/>
    </row>
    <row r="46049">
      <c r="D46049" s="9"/>
      <c r="G46049" s="9"/>
      <c r="J46049" s="11"/>
      <c r="U46049" s="9"/>
      <c r="X46049" s="9"/>
    </row>
    <row r="46050">
      <c r="D46050" s="9"/>
      <c r="G46050" s="9"/>
      <c r="J46050" s="11"/>
      <c r="U46050" s="9"/>
      <c r="X46050" s="9"/>
    </row>
    <row r="46051">
      <c r="D46051" s="9"/>
      <c r="G46051" s="9"/>
      <c r="J46051" s="11"/>
      <c r="U46051" s="9"/>
      <c r="X46051" s="9"/>
    </row>
    <row r="46052">
      <c r="D46052" s="9"/>
      <c r="G46052" s="9"/>
      <c r="J46052" s="11"/>
      <c r="U46052" s="9"/>
      <c r="X46052" s="9"/>
    </row>
    <row r="46053">
      <c r="D46053" s="9"/>
      <c r="G46053" s="9"/>
      <c r="J46053" s="11"/>
      <c r="U46053" s="9"/>
      <c r="X46053" s="9"/>
    </row>
    <row r="46054">
      <c r="D46054" s="9"/>
      <c r="G46054" s="9"/>
      <c r="J46054" s="11"/>
      <c r="U46054" s="9"/>
      <c r="X46054" s="9"/>
    </row>
    <row r="46055">
      <c r="D46055" s="9"/>
      <c r="G46055" s="9"/>
      <c r="J46055" s="11"/>
      <c r="U46055" s="9"/>
      <c r="X46055" s="9"/>
    </row>
    <row r="46056">
      <c r="D46056" s="9"/>
      <c r="G46056" s="9"/>
      <c r="J46056" s="11"/>
      <c r="U46056" s="9"/>
      <c r="X46056" s="9"/>
    </row>
    <row r="46057">
      <c r="D46057" s="9"/>
      <c r="G46057" s="9"/>
      <c r="J46057" s="11"/>
      <c r="U46057" s="9"/>
      <c r="X46057" s="9"/>
    </row>
    <row r="46058">
      <c r="D46058" s="9"/>
      <c r="G46058" s="9"/>
      <c r="J46058" s="11"/>
      <c r="U46058" s="9"/>
      <c r="X46058" s="9"/>
    </row>
    <row r="46059">
      <c r="D46059" s="9"/>
      <c r="G46059" s="9"/>
      <c r="J46059" s="11"/>
      <c r="U46059" s="9"/>
      <c r="X46059" s="9"/>
    </row>
    <row r="46060">
      <c r="D46060" s="9"/>
      <c r="G46060" s="9"/>
      <c r="J46060" s="11"/>
      <c r="U46060" s="9"/>
      <c r="X46060" s="9"/>
    </row>
    <row r="46061">
      <c r="D46061" s="9"/>
      <c r="G46061" s="9"/>
      <c r="J46061" s="11"/>
      <c r="U46061" s="9"/>
      <c r="X46061" s="9"/>
    </row>
    <row r="46062">
      <c r="D46062" s="9"/>
      <c r="G46062" s="9"/>
      <c r="J46062" s="11"/>
      <c r="U46062" s="9"/>
      <c r="X46062" s="9"/>
    </row>
    <row r="46063">
      <c r="D46063" s="9"/>
      <c r="G46063" s="9"/>
      <c r="J46063" s="11"/>
      <c r="U46063" s="9"/>
      <c r="X46063" s="9"/>
    </row>
    <row r="46064">
      <c r="D46064" s="9"/>
      <c r="G46064" s="9"/>
      <c r="J46064" s="11"/>
      <c r="U46064" s="9"/>
      <c r="X46064" s="9"/>
    </row>
    <row r="46065">
      <c r="D46065" s="9"/>
      <c r="G46065" s="9"/>
      <c r="J46065" s="11"/>
      <c r="U46065" s="9"/>
      <c r="X46065" s="9"/>
    </row>
    <row r="46066">
      <c r="D46066" s="9"/>
      <c r="G46066" s="9"/>
      <c r="J46066" s="11"/>
      <c r="U46066" s="9"/>
      <c r="X46066" s="9"/>
    </row>
    <row r="46067">
      <c r="D46067" s="9"/>
      <c r="G46067" s="9"/>
      <c r="J46067" s="11"/>
      <c r="U46067" s="9"/>
      <c r="X46067" s="9"/>
    </row>
    <row r="46068">
      <c r="D46068" s="9"/>
      <c r="G46068" s="9"/>
      <c r="J46068" s="11"/>
      <c r="U46068" s="9"/>
      <c r="X46068" s="9"/>
    </row>
    <row r="46069">
      <c r="D46069" s="9"/>
      <c r="G46069" s="9"/>
      <c r="J46069" s="11"/>
      <c r="U46069" s="9"/>
      <c r="X46069" s="9"/>
    </row>
    <row r="46070">
      <c r="D46070" s="9"/>
      <c r="G46070" s="9"/>
      <c r="J46070" s="11"/>
      <c r="U46070" s="9"/>
      <c r="X46070" s="9"/>
    </row>
    <row r="46071">
      <c r="D46071" s="9"/>
      <c r="G46071" s="9"/>
      <c r="J46071" s="11"/>
      <c r="U46071" s="9"/>
      <c r="X46071" s="9"/>
    </row>
    <row r="46072">
      <c r="D46072" s="9"/>
      <c r="G46072" s="9"/>
      <c r="J46072" s="11"/>
      <c r="U46072" s="9"/>
      <c r="X46072" s="9"/>
    </row>
    <row r="46073">
      <c r="D46073" s="9"/>
      <c r="G46073" s="9"/>
      <c r="J46073" s="11"/>
      <c r="U46073" s="9"/>
      <c r="X46073" s="9"/>
    </row>
    <row r="46074">
      <c r="D46074" s="9"/>
      <c r="G46074" s="9"/>
      <c r="J46074" s="11"/>
      <c r="U46074" s="9"/>
      <c r="X46074" s="9"/>
    </row>
    <row r="46075">
      <c r="D46075" s="9"/>
      <c r="G46075" s="9"/>
      <c r="J46075" s="11"/>
      <c r="U46075" s="9"/>
      <c r="X46075" s="9"/>
    </row>
    <row r="46076">
      <c r="D46076" s="9"/>
      <c r="G46076" s="9"/>
      <c r="J46076" s="11"/>
      <c r="U46076" s="9"/>
      <c r="X46076" s="9"/>
    </row>
    <row r="46077">
      <c r="D46077" s="9"/>
      <c r="G46077" s="9"/>
      <c r="J46077" s="11"/>
      <c r="U46077" s="9"/>
      <c r="X46077" s="9"/>
    </row>
    <row r="46078">
      <c r="D46078" s="9"/>
      <c r="G46078" s="9"/>
      <c r="J46078" s="11"/>
      <c r="U46078" s="9"/>
      <c r="X46078" s="9"/>
    </row>
    <row r="46079">
      <c r="D46079" s="9"/>
      <c r="G46079" s="9"/>
      <c r="J46079" s="11"/>
      <c r="U46079" s="9"/>
      <c r="X46079" s="9"/>
    </row>
    <row r="46080">
      <c r="D46080" s="9"/>
      <c r="G46080" s="9"/>
      <c r="J46080" s="11"/>
      <c r="U46080" s="9"/>
      <c r="X46080" s="9"/>
    </row>
    <row r="46081">
      <c r="D46081" s="9"/>
      <c r="G46081" s="9"/>
      <c r="J46081" s="11"/>
      <c r="U46081" s="9"/>
      <c r="X46081" s="9"/>
    </row>
    <row r="46082">
      <c r="D46082" s="9"/>
      <c r="G46082" s="9"/>
      <c r="J46082" s="11"/>
      <c r="U46082" s="9"/>
      <c r="X46082" s="9"/>
    </row>
    <row r="46083">
      <c r="D46083" s="9"/>
      <c r="G46083" s="9"/>
      <c r="J46083" s="11"/>
      <c r="U46083" s="9"/>
      <c r="X46083" s="9"/>
    </row>
    <row r="46084">
      <c r="D46084" s="9"/>
      <c r="G46084" s="9"/>
      <c r="J46084" s="11"/>
      <c r="U46084" s="9"/>
      <c r="X46084" s="9"/>
    </row>
    <row r="46085">
      <c r="D46085" s="9"/>
      <c r="G46085" s="9"/>
      <c r="J46085" s="11"/>
      <c r="U46085" s="9"/>
      <c r="X46085" s="9"/>
    </row>
    <row r="46086">
      <c r="D46086" s="9"/>
      <c r="G46086" s="9"/>
      <c r="J46086" s="11"/>
      <c r="U46086" s="9"/>
      <c r="X46086" s="9"/>
    </row>
    <row r="46087">
      <c r="D46087" s="9"/>
      <c r="G46087" s="9"/>
      <c r="J46087" s="11"/>
      <c r="U46087" s="9"/>
      <c r="X46087" s="9"/>
    </row>
    <row r="46088">
      <c r="D46088" s="9"/>
      <c r="G46088" s="9"/>
      <c r="J46088" s="11"/>
      <c r="U46088" s="9"/>
      <c r="X46088" s="9"/>
    </row>
    <row r="46089">
      <c r="D46089" s="9"/>
      <c r="G46089" s="9"/>
      <c r="J46089" s="11"/>
      <c r="U46089" s="9"/>
      <c r="X46089" s="9"/>
    </row>
    <row r="46090">
      <c r="D46090" s="9"/>
      <c r="G46090" s="9"/>
      <c r="J46090" s="11"/>
      <c r="U46090" s="9"/>
      <c r="X46090" s="9"/>
    </row>
    <row r="46091">
      <c r="D46091" s="9"/>
      <c r="G46091" s="9"/>
      <c r="J46091" s="11"/>
      <c r="U46091" s="9"/>
      <c r="X46091" s="9"/>
    </row>
    <row r="46092">
      <c r="D46092" s="9"/>
      <c r="G46092" s="9"/>
      <c r="J46092" s="11"/>
      <c r="U46092" s="9"/>
      <c r="X46092" s="9"/>
    </row>
    <row r="46093">
      <c r="D46093" s="9"/>
      <c r="G46093" s="9"/>
      <c r="J46093" s="11"/>
      <c r="U46093" s="9"/>
      <c r="X46093" s="9"/>
    </row>
    <row r="46094">
      <c r="D46094" s="9"/>
      <c r="G46094" s="9"/>
      <c r="J46094" s="11"/>
      <c r="U46094" s="9"/>
      <c r="X46094" s="9"/>
    </row>
    <row r="46095">
      <c r="D46095" s="9"/>
      <c r="G46095" s="9"/>
      <c r="J46095" s="11"/>
      <c r="U46095" s="9"/>
      <c r="X46095" s="9"/>
    </row>
    <row r="46096">
      <c r="D46096" s="9"/>
      <c r="G46096" s="9"/>
      <c r="J46096" s="11"/>
      <c r="U46096" s="9"/>
      <c r="X46096" s="9"/>
    </row>
    <row r="46097">
      <c r="D46097" s="9"/>
      <c r="G46097" s="9"/>
      <c r="J46097" s="11"/>
      <c r="U46097" s="9"/>
      <c r="X46097" s="9"/>
    </row>
    <row r="46098">
      <c r="D46098" s="9"/>
      <c r="G46098" s="9"/>
      <c r="J46098" s="11"/>
      <c r="U46098" s="9"/>
      <c r="X46098" s="9"/>
    </row>
    <row r="46099">
      <c r="D46099" s="9"/>
      <c r="G46099" s="9"/>
      <c r="J46099" s="11"/>
      <c r="U46099" s="9"/>
      <c r="X46099" s="9"/>
    </row>
    <row r="46100">
      <c r="D46100" s="9"/>
      <c r="G46100" s="9"/>
      <c r="J46100" s="11"/>
      <c r="U46100" s="9"/>
      <c r="X46100" s="9"/>
    </row>
    <row r="46101">
      <c r="D46101" s="9"/>
      <c r="G46101" s="9"/>
      <c r="J46101" s="11"/>
      <c r="U46101" s="9"/>
      <c r="X46101" s="9"/>
    </row>
    <row r="46102">
      <c r="D46102" s="9"/>
      <c r="G46102" s="9"/>
      <c r="J46102" s="11"/>
      <c r="U46102" s="9"/>
      <c r="X46102" s="9"/>
    </row>
    <row r="46103">
      <c r="D46103" s="9"/>
      <c r="G46103" s="9"/>
      <c r="J46103" s="11"/>
      <c r="U46103" s="9"/>
      <c r="X46103" s="9"/>
    </row>
    <row r="46104">
      <c r="D46104" s="9"/>
      <c r="G46104" s="9"/>
      <c r="J46104" s="11"/>
      <c r="U46104" s="9"/>
      <c r="X46104" s="9"/>
    </row>
    <row r="46105">
      <c r="D46105" s="9"/>
      <c r="G46105" s="9"/>
      <c r="J46105" s="11"/>
      <c r="U46105" s="9"/>
      <c r="X46105" s="9"/>
    </row>
    <row r="46106">
      <c r="D46106" s="9"/>
      <c r="G46106" s="9"/>
      <c r="J46106" s="11"/>
      <c r="U46106" s="9"/>
      <c r="X46106" s="9"/>
    </row>
    <row r="46107">
      <c r="D46107" s="9"/>
      <c r="G46107" s="9"/>
      <c r="J46107" s="11"/>
      <c r="U46107" s="9"/>
      <c r="X46107" s="9"/>
    </row>
    <row r="46108">
      <c r="D46108" s="9"/>
      <c r="G46108" s="9"/>
      <c r="J46108" s="11"/>
      <c r="U46108" s="9"/>
      <c r="X46108" s="9"/>
    </row>
    <row r="46109">
      <c r="D46109" s="9"/>
      <c r="G46109" s="9"/>
      <c r="J46109" s="11"/>
      <c r="U46109" s="9"/>
      <c r="X46109" s="9"/>
    </row>
    <row r="46110">
      <c r="D46110" s="9"/>
      <c r="G46110" s="9"/>
      <c r="J46110" s="11"/>
      <c r="U46110" s="9"/>
      <c r="X46110" s="9"/>
    </row>
    <row r="46111">
      <c r="D46111" s="9"/>
      <c r="G46111" s="9"/>
      <c r="J46111" s="11"/>
      <c r="U46111" s="9"/>
      <c r="X46111" s="9"/>
    </row>
    <row r="46112">
      <c r="D46112" s="9"/>
      <c r="G46112" s="9"/>
      <c r="J46112" s="11"/>
      <c r="U46112" s="9"/>
      <c r="X46112" s="9"/>
    </row>
    <row r="46113">
      <c r="D46113" s="9"/>
      <c r="G46113" s="9"/>
      <c r="J46113" s="11"/>
      <c r="U46113" s="9"/>
      <c r="X46113" s="9"/>
    </row>
    <row r="46114">
      <c r="D46114" s="9"/>
      <c r="G46114" s="9"/>
      <c r="J46114" s="11"/>
      <c r="U46114" s="9"/>
      <c r="X46114" s="9"/>
    </row>
    <row r="46115">
      <c r="D46115" s="9"/>
      <c r="G46115" s="9"/>
      <c r="J46115" s="11"/>
      <c r="U46115" s="9"/>
      <c r="X46115" s="9"/>
    </row>
    <row r="46116">
      <c r="D46116" s="9"/>
      <c r="G46116" s="9"/>
      <c r="J46116" s="11"/>
      <c r="U46116" s="9"/>
      <c r="X46116" s="9"/>
    </row>
    <row r="46117">
      <c r="D46117" s="9"/>
      <c r="G46117" s="9"/>
      <c r="J46117" s="11"/>
      <c r="U46117" s="9"/>
      <c r="X46117" s="9"/>
    </row>
    <row r="46118">
      <c r="D46118" s="9"/>
      <c r="G46118" s="9"/>
      <c r="J46118" s="11"/>
      <c r="U46118" s="9"/>
      <c r="X46118" s="9"/>
    </row>
    <row r="46119">
      <c r="D46119" s="9"/>
      <c r="G46119" s="9"/>
      <c r="J46119" s="11"/>
      <c r="U46119" s="9"/>
      <c r="X46119" s="9"/>
    </row>
    <row r="46120">
      <c r="D46120" s="9"/>
      <c r="G46120" s="9"/>
      <c r="J46120" s="11"/>
      <c r="U46120" s="9"/>
      <c r="X46120" s="9"/>
    </row>
    <row r="46121">
      <c r="D46121" s="9"/>
      <c r="G46121" s="9"/>
      <c r="J46121" s="11"/>
      <c r="U46121" s="9"/>
      <c r="X46121" s="9"/>
    </row>
    <row r="46122">
      <c r="D46122" s="9"/>
      <c r="G46122" s="9"/>
      <c r="J46122" s="11"/>
      <c r="U46122" s="9"/>
      <c r="X46122" s="9"/>
    </row>
    <row r="46123">
      <c r="D46123" s="9"/>
      <c r="G46123" s="9"/>
      <c r="J46123" s="11"/>
      <c r="U46123" s="9"/>
      <c r="X46123" s="9"/>
    </row>
    <row r="46124">
      <c r="D46124" s="9"/>
      <c r="G46124" s="9"/>
      <c r="J46124" s="11"/>
      <c r="U46124" s="9"/>
      <c r="X46124" s="9"/>
    </row>
    <row r="46125">
      <c r="D46125" s="9"/>
      <c r="G46125" s="9"/>
      <c r="J46125" s="11"/>
      <c r="U46125" s="9"/>
      <c r="X46125" s="9"/>
    </row>
    <row r="46126">
      <c r="D46126" s="9"/>
      <c r="G46126" s="9"/>
      <c r="J46126" s="11"/>
      <c r="U46126" s="9"/>
      <c r="X46126" s="9"/>
    </row>
    <row r="46127">
      <c r="D46127" s="9"/>
      <c r="G46127" s="9"/>
      <c r="J46127" s="11"/>
      <c r="U46127" s="9"/>
      <c r="X46127" s="9"/>
    </row>
    <row r="46128">
      <c r="D46128" s="9"/>
      <c r="G46128" s="9"/>
      <c r="J46128" s="11"/>
      <c r="U46128" s="9"/>
      <c r="X46128" s="9"/>
    </row>
    <row r="46129">
      <c r="D46129" s="9"/>
      <c r="G46129" s="9"/>
      <c r="J46129" s="11"/>
      <c r="U46129" s="9"/>
      <c r="X46129" s="9"/>
    </row>
    <row r="46130">
      <c r="D46130" s="9"/>
      <c r="G46130" s="9"/>
      <c r="J46130" s="11"/>
      <c r="U46130" s="9"/>
      <c r="X46130" s="9"/>
    </row>
    <row r="46131">
      <c r="D46131" s="9"/>
      <c r="G46131" s="9"/>
      <c r="J46131" s="11"/>
      <c r="U46131" s="9"/>
      <c r="X46131" s="9"/>
    </row>
    <row r="46132">
      <c r="D46132" s="9"/>
      <c r="G46132" s="9"/>
      <c r="J46132" s="11"/>
      <c r="U46132" s="9"/>
      <c r="X46132" s="9"/>
    </row>
    <row r="46133">
      <c r="D46133" s="9"/>
      <c r="G46133" s="9"/>
      <c r="J46133" s="11"/>
      <c r="U46133" s="9"/>
      <c r="X46133" s="9"/>
    </row>
    <row r="46134">
      <c r="D46134" s="9"/>
      <c r="G46134" s="9"/>
      <c r="J46134" s="11"/>
      <c r="U46134" s="9"/>
      <c r="X46134" s="9"/>
    </row>
    <row r="46135">
      <c r="D46135" s="9"/>
      <c r="G46135" s="9"/>
      <c r="J46135" s="11"/>
      <c r="U46135" s="9"/>
      <c r="X46135" s="9"/>
    </row>
    <row r="46136">
      <c r="D46136" s="9"/>
      <c r="G46136" s="9"/>
      <c r="J46136" s="11"/>
      <c r="U46136" s="9"/>
      <c r="X46136" s="9"/>
    </row>
    <row r="46137">
      <c r="D46137" s="9"/>
      <c r="G46137" s="9"/>
      <c r="J46137" s="11"/>
      <c r="U46137" s="9"/>
      <c r="X46137" s="9"/>
    </row>
    <row r="46138">
      <c r="D46138" s="9"/>
      <c r="G46138" s="9"/>
      <c r="J46138" s="11"/>
      <c r="U46138" s="9"/>
      <c r="X46138" s="9"/>
    </row>
    <row r="46139">
      <c r="D46139" s="9"/>
      <c r="G46139" s="9"/>
      <c r="J46139" s="11"/>
      <c r="U46139" s="9"/>
      <c r="X46139" s="9"/>
    </row>
    <row r="46140">
      <c r="D46140" s="9"/>
      <c r="G46140" s="9"/>
      <c r="J46140" s="11"/>
      <c r="U46140" s="9"/>
      <c r="X46140" s="9"/>
    </row>
    <row r="46141">
      <c r="D46141" s="9"/>
      <c r="G46141" s="9"/>
      <c r="J46141" s="11"/>
      <c r="U46141" s="9"/>
      <c r="X46141" s="9"/>
    </row>
    <row r="46142">
      <c r="D46142" s="9"/>
      <c r="G46142" s="9"/>
      <c r="J46142" s="11"/>
      <c r="U46142" s="9"/>
      <c r="X46142" s="9"/>
    </row>
    <row r="46143">
      <c r="D46143" s="9"/>
      <c r="G46143" s="9"/>
      <c r="J46143" s="11"/>
      <c r="U46143" s="9"/>
      <c r="X46143" s="9"/>
    </row>
    <row r="46144">
      <c r="D46144" s="9"/>
      <c r="G46144" s="9"/>
      <c r="J46144" s="11"/>
      <c r="U46144" s="9"/>
      <c r="X46144" s="9"/>
    </row>
    <row r="46145">
      <c r="D46145" s="9"/>
      <c r="G46145" s="9"/>
      <c r="J46145" s="11"/>
      <c r="U46145" s="9"/>
      <c r="X46145" s="9"/>
    </row>
    <row r="46146">
      <c r="D46146" s="9"/>
      <c r="G46146" s="9"/>
      <c r="J46146" s="11"/>
      <c r="U46146" s="9"/>
      <c r="X46146" s="9"/>
    </row>
    <row r="46147">
      <c r="D46147" s="9"/>
      <c r="G46147" s="9"/>
      <c r="J46147" s="11"/>
      <c r="U46147" s="9"/>
      <c r="X46147" s="9"/>
    </row>
    <row r="46148">
      <c r="D46148" s="9"/>
      <c r="G46148" s="9"/>
      <c r="J46148" s="11"/>
      <c r="U46148" s="9"/>
      <c r="X46148" s="9"/>
    </row>
    <row r="46149">
      <c r="D46149" s="9"/>
      <c r="G46149" s="9"/>
      <c r="J46149" s="11"/>
      <c r="U46149" s="9"/>
      <c r="X46149" s="9"/>
    </row>
    <row r="46150">
      <c r="D46150" s="9"/>
      <c r="G46150" s="9"/>
      <c r="J46150" s="11"/>
      <c r="U46150" s="9"/>
      <c r="X46150" s="9"/>
    </row>
    <row r="46151">
      <c r="D46151" s="9"/>
      <c r="G46151" s="9"/>
      <c r="J46151" s="11"/>
      <c r="U46151" s="9"/>
      <c r="X46151" s="9"/>
    </row>
    <row r="46152">
      <c r="D46152" s="9"/>
      <c r="G46152" s="9"/>
      <c r="J46152" s="11"/>
      <c r="U46152" s="9"/>
      <c r="X46152" s="9"/>
    </row>
    <row r="46153">
      <c r="D46153" s="9"/>
      <c r="G46153" s="9"/>
      <c r="J46153" s="11"/>
      <c r="U46153" s="9"/>
      <c r="X46153" s="9"/>
    </row>
    <row r="46154">
      <c r="D46154" s="9"/>
      <c r="G46154" s="9"/>
      <c r="J46154" s="11"/>
      <c r="U46154" s="9"/>
      <c r="X46154" s="9"/>
    </row>
    <row r="46155">
      <c r="D46155" s="9"/>
      <c r="G46155" s="9"/>
      <c r="J46155" s="11"/>
      <c r="U46155" s="9"/>
      <c r="X46155" s="9"/>
    </row>
    <row r="46156">
      <c r="D46156" s="9"/>
      <c r="G46156" s="9"/>
      <c r="J46156" s="11"/>
      <c r="U46156" s="9"/>
      <c r="X46156" s="9"/>
    </row>
    <row r="46157">
      <c r="D46157" s="9"/>
      <c r="G46157" s="9"/>
      <c r="J46157" s="11"/>
      <c r="U46157" s="9"/>
      <c r="X46157" s="9"/>
    </row>
    <row r="46158">
      <c r="D46158" s="9"/>
      <c r="G46158" s="9"/>
      <c r="J46158" s="11"/>
      <c r="U46158" s="9"/>
      <c r="X46158" s="9"/>
    </row>
    <row r="46159">
      <c r="D46159" s="9"/>
      <c r="G46159" s="9"/>
      <c r="J46159" s="11"/>
      <c r="U46159" s="9"/>
      <c r="X46159" s="9"/>
    </row>
    <row r="46160">
      <c r="D46160" s="9"/>
      <c r="G46160" s="9"/>
      <c r="J46160" s="11"/>
      <c r="U46160" s="9"/>
      <c r="X46160" s="9"/>
    </row>
    <row r="46161">
      <c r="D46161" s="9"/>
      <c r="G46161" s="9"/>
      <c r="J46161" s="11"/>
      <c r="U46161" s="9"/>
      <c r="X46161" s="9"/>
    </row>
    <row r="46162">
      <c r="D46162" s="9"/>
      <c r="G46162" s="9"/>
      <c r="J46162" s="11"/>
      <c r="U46162" s="9"/>
      <c r="X46162" s="9"/>
    </row>
    <row r="46163">
      <c r="D46163" s="9"/>
      <c r="G46163" s="9"/>
      <c r="J46163" s="11"/>
      <c r="U46163" s="9"/>
      <c r="X46163" s="9"/>
    </row>
    <row r="46164">
      <c r="D46164" s="9"/>
      <c r="G46164" s="9"/>
      <c r="J46164" s="11"/>
      <c r="U46164" s="9"/>
      <c r="X46164" s="9"/>
    </row>
    <row r="46165">
      <c r="D46165" s="9"/>
      <c r="G46165" s="9"/>
      <c r="J46165" s="11"/>
      <c r="U46165" s="9"/>
      <c r="X46165" s="9"/>
    </row>
    <row r="46166">
      <c r="D46166" s="9"/>
      <c r="G46166" s="9"/>
      <c r="J46166" s="11"/>
      <c r="U46166" s="9"/>
      <c r="X46166" s="9"/>
    </row>
    <row r="46167">
      <c r="D46167" s="9"/>
      <c r="G46167" s="9"/>
      <c r="J46167" s="11"/>
      <c r="U46167" s="9"/>
      <c r="X46167" s="9"/>
    </row>
    <row r="46168">
      <c r="D46168" s="9"/>
      <c r="G46168" s="9"/>
      <c r="J46168" s="11"/>
      <c r="U46168" s="9"/>
      <c r="X46168" s="9"/>
    </row>
    <row r="46169">
      <c r="D46169" s="9"/>
      <c r="G46169" s="9"/>
      <c r="J46169" s="11"/>
      <c r="U46169" s="9"/>
      <c r="X46169" s="9"/>
    </row>
    <row r="46170">
      <c r="D46170" s="9"/>
      <c r="G46170" s="9"/>
      <c r="J46170" s="11"/>
      <c r="U46170" s="9"/>
      <c r="X46170" s="9"/>
    </row>
    <row r="46171">
      <c r="D46171" s="9"/>
      <c r="G46171" s="9"/>
      <c r="J46171" s="11"/>
      <c r="U46171" s="9"/>
      <c r="X46171" s="9"/>
    </row>
    <row r="46172">
      <c r="D46172" s="9"/>
      <c r="G46172" s="9"/>
      <c r="J46172" s="11"/>
      <c r="U46172" s="9"/>
      <c r="X46172" s="9"/>
    </row>
    <row r="46173">
      <c r="D46173" s="9"/>
      <c r="G46173" s="9"/>
      <c r="J46173" s="11"/>
      <c r="U46173" s="9"/>
      <c r="X46173" s="9"/>
    </row>
    <row r="46174">
      <c r="D46174" s="9"/>
      <c r="G46174" s="9"/>
      <c r="J46174" s="11"/>
      <c r="U46174" s="9"/>
      <c r="X46174" s="9"/>
    </row>
    <row r="46175">
      <c r="D46175" s="9"/>
      <c r="G46175" s="9"/>
      <c r="J46175" s="11"/>
      <c r="U46175" s="9"/>
      <c r="X46175" s="9"/>
    </row>
    <row r="46176">
      <c r="D46176" s="9"/>
      <c r="G46176" s="9"/>
      <c r="J46176" s="11"/>
      <c r="U46176" s="9"/>
      <c r="X46176" s="9"/>
    </row>
    <row r="46177">
      <c r="D46177" s="9"/>
      <c r="G46177" s="9"/>
      <c r="J46177" s="11"/>
      <c r="U46177" s="9"/>
      <c r="X46177" s="9"/>
    </row>
    <row r="46178">
      <c r="D46178" s="9"/>
      <c r="G46178" s="9"/>
      <c r="J46178" s="11"/>
      <c r="U46178" s="9"/>
      <c r="X46178" s="9"/>
    </row>
    <row r="46179">
      <c r="D46179" s="9"/>
      <c r="G46179" s="9"/>
      <c r="J46179" s="11"/>
      <c r="U46179" s="9"/>
      <c r="X46179" s="9"/>
    </row>
    <row r="46180">
      <c r="D46180" s="9"/>
      <c r="G46180" s="9"/>
      <c r="J46180" s="11"/>
      <c r="U46180" s="9"/>
      <c r="X46180" s="9"/>
    </row>
    <row r="46181">
      <c r="D46181" s="9"/>
      <c r="G46181" s="9"/>
      <c r="J46181" s="11"/>
      <c r="U46181" s="9"/>
      <c r="X46181" s="9"/>
    </row>
    <row r="46182">
      <c r="D46182" s="9"/>
      <c r="G46182" s="9"/>
      <c r="J46182" s="11"/>
      <c r="U46182" s="9"/>
      <c r="X46182" s="9"/>
    </row>
    <row r="46183">
      <c r="D46183" s="9"/>
      <c r="G46183" s="9"/>
      <c r="J46183" s="11"/>
      <c r="U46183" s="9"/>
      <c r="X46183" s="9"/>
    </row>
    <row r="46184">
      <c r="D46184" s="9"/>
      <c r="G46184" s="9"/>
      <c r="J46184" s="11"/>
      <c r="U46184" s="9"/>
      <c r="X46184" s="9"/>
    </row>
    <row r="46185">
      <c r="D46185" s="9"/>
      <c r="G46185" s="9"/>
      <c r="J46185" s="11"/>
      <c r="U46185" s="9"/>
      <c r="X46185" s="9"/>
    </row>
    <row r="46186">
      <c r="D46186" s="9"/>
      <c r="G46186" s="9"/>
      <c r="J46186" s="11"/>
      <c r="U46186" s="9"/>
      <c r="X46186" s="9"/>
    </row>
    <row r="46187">
      <c r="D46187" s="9"/>
      <c r="G46187" s="9"/>
      <c r="J46187" s="11"/>
      <c r="U46187" s="9"/>
      <c r="X46187" s="9"/>
    </row>
    <row r="46188">
      <c r="D46188" s="9"/>
      <c r="G46188" s="9"/>
      <c r="J46188" s="11"/>
      <c r="U46188" s="9"/>
      <c r="X46188" s="9"/>
    </row>
    <row r="46189">
      <c r="D46189" s="9"/>
      <c r="G46189" s="9"/>
      <c r="J46189" s="11"/>
      <c r="U46189" s="9"/>
      <c r="X46189" s="9"/>
    </row>
    <row r="46190">
      <c r="D46190" s="9"/>
      <c r="G46190" s="9"/>
      <c r="J46190" s="11"/>
      <c r="U46190" s="9"/>
      <c r="X46190" s="9"/>
    </row>
    <row r="46191">
      <c r="D46191" s="9"/>
      <c r="G46191" s="9"/>
      <c r="J46191" s="11"/>
      <c r="U46191" s="9"/>
      <c r="X46191" s="9"/>
    </row>
    <row r="46192">
      <c r="D46192" s="9"/>
      <c r="G46192" s="9"/>
      <c r="J46192" s="11"/>
      <c r="U46192" s="9"/>
      <c r="X46192" s="9"/>
    </row>
    <row r="46193">
      <c r="D46193" s="9"/>
      <c r="G46193" s="9"/>
      <c r="J46193" s="11"/>
      <c r="U46193" s="9"/>
      <c r="X46193" s="9"/>
    </row>
    <row r="46194">
      <c r="D46194" s="9"/>
      <c r="G46194" s="9"/>
      <c r="J46194" s="11"/>
      <c r="U46194" s="9"/>
      <c r="X46194" s="9"/>
    </row>
    <row r="46195">
      <c r="D46195" s="9"/>
      <c r="G46195" s="9"/>
      <c r="J46195" s="11"/>
      <c r="U46195" s="9"/>
      <c r="X46195" s="9"/>
    </row>
    <row r="46196">
      <c r="D46196" s="9"/>
      <c r="G46196" s="9"/>
      <c r="J46196" s="11"/>
      <c r="U46196" s="9"/>
      <c r="X46196" s="9"/>
    </row>
    <row r="46197">
      <c r="D46197" s="9"/>
      <c r="G46197" s="9"/>
      <c r="J46197" s="11"/>
      <c r="U46197" s="9"/>
      <c r="X46197" s="9"/>
    </row>
    <row r="46198">
      <c r="D46198" s="9"/>
      <c r="G46198" s="9"/>
      <c r="J46198" s="11"/>
      <c r="U46198" s="9"/>
      <c r="X46198" s="9"/>
    </row>
    <row r="46199">
      <c r="D46199" s="9"/>
      <c r="G46199" s="9"/>
      <c r="J46199" s="11"/>
      <c r="U46199" s="9"/>
      <c r="X46199" s="9"/>
    </row>
    <row r="46200">
      <c r="D46200" s="9"/>
      <c r="G46200" s="9"/>
      <c r="J46200" s="11"/>
      <c r="U46200" s="9"/>
      <c r="X46200" s="9"/>
    </row>
    <row r="46201">
      <c r="D46201" s="9"/>
      <c r="G46201" s="9"/>
      <c r="J46201" s="11"/>
      <c r="U46201" s="9"/>
      <c r="X46201" s="9"/>
    </row>
    <row r="46202">
      <c r="D46202" s="9"/>
      <c r="G46202" s="9"/>
      <c r="J46202" s="11"/>
      <c r="U46202" s="9"/>
      <c r="X46202" s="9"/>
    </row>
    <row r="46203">
      <c r="D46203" s="9"/>
      <c r="G46203" s="9"/>
      <c r="J46203" s="11"/>
      <c r="U46203" s="9"/>
      <c r="X46203" s="9"/>
    </row>
    <row r="46204">
      <c r="D46204" s="9"/>
      <c r="G46204" s="9"/>
      <c r="J46204" s="11"/>
      <c r="U46204" s="9"/>
      <c r="X46204" s="9"/>
    </row>
    <row r="46205">
      <c r="D46205" s="9"/>
      <c r="G46205" s="9"/>
      <c r="J46205" s="11"/>
      <c r="U46205" s="9"/>
      <c r="X46205" s="9"/>
    </row>
    <row r="46206">
      <c r="D46206" s="9"/>
      <c r="G46206" s="9"/>
      <c r="J46206" s="11"/>
      <c r="U46206" s="9"/>
      <c r="X46206" s="9"/>
    </row>
    <row r="46207">
      <c r="D46207" s="9"/>
      <c r="G46207" s="9"/>
      <c r="J46207" s="11"/>
      <c r="U46207" s="9"/>
      <c r="X46207" s="9"/>
    </row>
    <row r="46208">
      <c r="D46208" s="9"/>
      <c r="G46208" s="9"/>
      <c r="J46208" s="11"/>
      <c r="U46208" s="9"/>
      <c r="X46208" s="9"/>
    </row>
    <row r="46209">
      <c r="D46209" s="9"/>
      <c r="G46209" s="9"/>
      <c r="J46209" s="11"/>
      <c r="U46209" s="9"/>
      <c r="X46209" s="9"/>
    </row>
    <row r="46210">
      <c r="D46210" s="9"/>
      <c r="G46210" s="9"/>
      <c r="J46210" s="11"/>
      <c r="U46210" s="9"/>
      <c r="X46210" s="9"/>
    </row>
    <row r="46211">
      <c r="D46211" s="9"/>
      <c r="G46211" s="9"/>
      <c r="J46211" s="11"/>
      <c r="U46211" s="9"/>
      <c r="X46211" s="9"/>
    </row>
    <row r="46212">
      <c r="D46212" s="9"/>
      <c r="G46212" s="9"/>
      <c r="J46212" s="11"/>
      <c r="U46212" s="9"/>
      <c r="X46212" s="9"/>
    </row>
    <row r="46213">
      <c r="D46213" s="9"/>
      <c r="G46213" s="9"/>
      <c r="J46213" s="11"/>
      <c r="U46213" s="9"/>
      <c r="X46213" s="9"/>
    </row>
    <row r="46214">
      <c r="D46214" s="9"/>
      <c r="G46214" s="9"/>
      <c r="J46214" s="11"/>
      <c r="U46214" s="9"/>
      <c r="X46214" s="9"/>
    </row>
    <row r="46215">
      <c r="D46215" s="9"/>
      <c r="G46215" s="9"/>
      <c r="J46215" s="11"/>
      <c r="U46215" s="9"/>
      <c r="X46215" s="9"/>
    </row>
    <row r="46216">
      <c r="D46216" s="9"/>
      <c r="G46216" s="9"/>
      <c r="J46216" s="11"/>
      <c r="U46216" s="9"/>
      <c r="X46216" s="9"/>
    </row>
    <row r="46217">
      <c r="D46217" s="9"/>
      <c r="G46217" s="9"/>
      <c r="J46217" s="11"/>
      <c r="U46217" s="9"/>
      <c r="X46217" s="9"/>
    </row>
    <row r="46218">
      <c r="D46218" s="9"/>
      <c r="G46218" s="9"/>
      <c r="J46218" s="11"/>
      <c r="U46218" s="9"/>
      <c r="X46218" s="9"/>
    </row>
    <row r="46219">
      <c r="D46219" s="9"/>
      <c r="G46219" s="9"/>
      <c r="J46219" s="11"/>
      <c r="U46219" s="9"/>
      <c r="X46219" s="9"/>
    </row>
    <row r="46220">
      <c r="D46220" s="9"/>
      <c r="G46220" s="9"/>
      <c r="J46220" s="11"/>
      <c r="U46220" s="9"/>
      <c r="X46220" s="9"/>
    </row>
    <row r="46221">
      <c r="D46221" s="9"/>
      <c r="G46221" s="9"/>
      <c r="J46221" s="11"/>
      <c r="U46221" s="9"/>
      <c r="X46221" s="9"/>
    </row>
    <row r="46222">
      <c r="D46222" s="9"/>
      <c r="G46222" s="9"/>
      <c r="J46222" s="11"/>
      <c r="U46222" s="9"/>
      <c r="X46222" s="9"/>
    </row>
    <row r="46223">
      <c r="D46223" s="9"/>
      <c r="G46223" s="9"/>
      <c r="J46223" s="11"/>
      <c r="U46223" s="9"/>
      <c r="X46223" s="9"/>
    </row>
    <row r="46224">
      <c r="D46224" s="9"/>
      <c r="G46224" s="9"/>
      <c r="J46224" s="11"/>
      <c r="U46224" s="9"/>
      <c r="X46224" s="9"/>
    </row>
    <row r="46225">
      <c r="D46225" s="9"/>
      <c r="G46225" s="9"/>
      <c r="J46225" s="11"/>
      <c r="U46225" s="9"/>
      <c r="X46225" s="9"/>
    </row>
    <row r="46226">
      <c r="D46226" s="9"/>
      <c r="G46226" s="9"/>
      <c r="J46226" s="11"/>
      <c r="U46226" s="9"/>
      <c r="X46226" s="9"/>
    </row>
    <row r="46227">
      <c r="D46227" s="9"/>
      <c r="G46227" s="9"/>
      <c r="J46227" s="11"/>
      <c r="U46227" s="9"/>
      <c r="X46227" s="9"/>
    </row>
    <row r="46228">
      <c r="D46228" s="9"/>
      <c r="G46228" s="9"/>
      <c r="J46228" s="11"/>
      <c r="U46228" s="9"/>
      <c r="X46228" s="9"/>
    </row>
    <row r="46229">
      <c r="D46229" s="9"/>
      <c r="G46229" s="9"/>
      <c r="J46229" s="11"/>
      <c r="U46229" s="9"/>
      <c r="X46229" s="9"/>
    </row>
    <row r="46230">
      <c r="D46230" s="9"/>
      <c r="G46230" s="9"/>
      <c r="J46230" s="11"/>
      <c r="U46230" s="9"/>
      <c r="X46230" s="9"/>
    </row>
    <row r="46231">
      <c r="D46231" s="9"/>
      <c r="G46231" s="9"/>
      <c r="J46231" s="11"/>
      <c r="U46231" s="9"/>
      <c r="X46231" s="9"/>
    </row>
    <row r="46232">
      <c r="D46232" s="9"/>
      <c r="G46232" s="9"/>
      <c r="J46232" s="11"/>
      <c r="U46232" s="9"/>
      <c r="X46232" s="9"/>
    </row>
    <row r="46233">
      <c r="D46233" s="9"/>
      <c r="G46233" s="9"/>
      <c r="J46233" s="11"/>
      <c r="U46233" s="9"/>
      <c r="X46233" s="9"/>
    </row>
    <row r="46234">
      <c r="D46234" s="9"/>
      <c r="G46234" s="9"/>
      <c r="J46234" s="11"/>
      <c r="U46234" s="9"/>
      <c r="X46234" s="9"/>
    </row>
    <row r="46235">
      <c r="D46235" s="9"/>
      <c r="G46235" s="9"/>
      <c r="J46235" s="11"/>
      <c r="U46235" s="9"/>
      <c r="X46235" s="9"/>
    </row>
    <row r="46236">
      <c r="D46236" s="9"/>
      <c r="G46236" s="9"/>
      <c r="J46236" s="11"/>
      <c r="U46236" s="9"/>
      <c r="X46236" s="9"/>
    </row>
    <row r="46237">
      <c r="D46237" s="9"/>
      <c r="G46237" s="9"/>
      <c r="J46237" s="11"/>
      <c r="U46237" s="9"/>
      <c r="X46237" s="9"/>
    </row>
    <row r="46238">
      <c r="D46238" s="9"/>
      <c r="G46238" s="9"/>
      <c r="J46238" s="11"/>
      <c r="U46238" s="9"/>
      <c r="X46238" s="9"/>
    </row>
    <row r="46239">
      <c r="D46239" s="9"/>
      <c r="G46239" s="9"/>
      <c r="J46239" s="11"/>
      <c r="U46239" s="9"/>
      <c r="X46239" s="9"/>
    </row>
    <row r="46240">
      <c r="D46240" s="9"/>
      <c r="G46240" s="9"/>
      <c r="J46240" s="11"/>
      <c r="U46240" s="9"/>
      <c r="X46240" s="9"/>
    </row>
    <row r="46241">
      <c r="D46241" s="9"/>
      <c r="G46241" s="9"/>
      <c r="J46241" s="11"/>
      <c r="U46241" s="9"/>
      <c r="X46241" s="9"/>
    </row>
    <row r="46242">
      <c r="D46242" s="9"/>
      <c r="G46242" s="9"/>
      <c r="J46242" s="11"/>
      <c r="U46242" s="9"/>
      <c r="X46242" s="9"/>
    </row>
    <row r="46243">
      <c r="D46243" s="9"/>
      <c r="G46243" s="9"/>
      <c r="J46243" s="11"/>
      <c r="U46243" s="9"/>
      <c r="X46243" s="9"/>
    </row>
    <row r="46244">
      <c r="D46244" s="9"/>
      <c r="G46244" s="9"/>
      <c r="J46244" s="11"/>
      <c r="U46244" s="9"/>
      <c r="X46244" s="9"/>
    </row>
    <row r="46245">
      <c r="D46245" s="9"/>
      <c r="G46245" s="9"/>
      <c r="J46245" s="11"/>
      <c r="U46245" s="9"/>
      <c r="X46245" s="9"/>
    </row>
    <row r="46246">
      <c r="D46246" s="9"/>
      <c r="G46246" s="9"/>
      <c r="J46246" s="11"/>
      <c r="U46246" s="9"/>
      <c r="X46246" s="9"/>
    </row>
    <row r="46247">
      <c r="D46247" s="9"/>
      <c r="G46247" s="9"/>
      <c r="J46247" s="11"/>
      <c r="U46247" s="9"/>
      <c r="X46247" s="9"/>
    </row>
    <row r="46248">
      <c r="D46248" s="9"/>
      <c r="G46248" s="9"/>
      <c r="J46248" s="11"/>
      <c r="U46248" s="9"/>
      <c r="X46248" s="9"/>
    </row>
    <row r="46249">
      <c r="D46249" s="9"/>
      <c r="G46249" s="9"/>
      <c r="J46249" s="11"/>
      <c r="U46249" s="9"/>
      <c r="X46249" s="9"/>
    </row>
    <row r="46250">
      <c r="D46250" s="9"/>
      <c r="G46250" s="9"/>
      <c r="J46250" s="11"/>
      <c r="U46250" s="9"/>
      <c r="X46250" s="9"/>
    </row>
    <row r="46251">
      <c r="D46251" s="9"/>
      <c r="G46251" s="9"/>
      <c r="J46251" s="11"/>
      <c r="U46251" s="9"/>
      <c r="X46251" s="9"/>
    </row>
    <row r="46252">
      <c r="D46252" s="9"/>
      <c r="G46252" s="9"/>
      <c r="J46252" s="11"/>
      <c r="U46252" s="9"/>
      <c r="X46252" s="9"/>
    </row>
    <row r="46253">
      <c r="D46253" s="9"/>
      <c r="G46253" s="9"/>
      <c r="J46253" s="11"/>
      <c r="U46253" s="9"/>
      <c r="X46253" s="9"/>
    </row>
    <row r="46254">
      <c r="D46254" s="9"/>
      <c r="G46254" s="9"/>
      <c r="J46254" s="11"/>
      <c r="U46254" s="9"/>
      <c r="X46254" s="9"/>
    </row>
    <row r="46255">
      <c r="D46255" s="9"/>
      <c r="G46255" s="9"/>
      <c r="J46255" s="11"/>
      <c r="U46255" s="9"/>
      <c r="X46255" s="9"/>
    </row>
    <row r="46256">
      <c r="D46256" s="9"/>
      <c r="G46256" s="9"/>
      <c r="J46256" s="11"/>
      <c r="U46256" s="9"/>
      <c r="X46256" s="9"/>
    </row>
    <row r="46257">
      <c r="D46257" s="9"/>
      <c r="G46257" s="9"/>
      <c r="J46257" s="11"/>
      <c r="U46257" s="9"/>
      <c r="X46257" s="9"/>
    </row>
    <row r="46258">
      <c r="D46258" s="9"/>
      <c r="G46258" s="9"/>
      <c r="J46258" s="11"/>
      <c r="U46258" s="9"/>
      <c r="X46258" s="9"/>
    </row>
    <row r="46259">
      <c r="D46259" s="9"/>
      <c r="G46259" s="9"/>
      <c r="J46259" s="11"/>
      <c r="U46259" s="9"/>
      <c r="X46259" s="9"/>
    </row>
    <row r="46260">
      <c r="D46260" s="9"/>
      <c r="G46260" s="9"/>
      <c r="J46260" s="11"/>
      <c r="U46260" s="9"/>
      <c r="X46260" s="9"/>
    </row>
    <row r="46261">
      <c r="D46261" s="9"/>
      <c r="G46261" s="9"/>
      <c r="J46261" s="11"/>
      <c r="U46261" s="9"/>
      <c r="X46261" s="9"/>
    </row>
    <row r="46262">
      <c r="D46262" s="9"/>
      <c r="G46262" s="9"/>
      <c r="J46262" s="11"/>
      <c r="U46262" s="9"/>
      <c r="X46262" s="9"/>
    </row>
    <row r="46263">
      <c r="D46263" s="9"/>
      <c r="G46263" s="9"/>
      <c r="J46263" s="11"/>
      <c r="U46263" s="9"/>
      <c r="X46263" s="9"/>
    </row>
    <row r="46264">
      <c r="D46264" s="9"/>
      <c r="G46264" s="9"/>
      <c r="J46264" s="11"/>
      <c r="U46264" s="9"/>
      <c r="X46264" s="9"/>
    </row>
    <row r="46265">
      <c r="D46265" s="9"/>
      <c r="G46265" s="9"/>
      <c r="J46265" s="11"/>
      <c r="U46265" s="9"/>
      <c r="X46265" s="9"/>
    </row>
    <row r="46266">
      <c r="D46266" s="9"/>
      <c r="G46266" s="9"/>
      <c r="J46266" s="11"/>
      <c r="U46266" s="9"/>
      <c r="X46266" s="9"/>
    </row>
    <row r="46267">
      <c r="D46267" s="9"/>
      <c r="G46267" s="9"/>
      <c r="J46267" s="11"/>
      <c r="U46267" s="9"/>
      <c r="X46267" s="9"/>
    </row>
    <row r="46268">
      <c r="D46268" s="9"/>
      <c r="G46268" s="9"/>
      <c r="J46268" s="11"/>
      <c r="U46268" s="9"/>
      <c r="X46268" s="9"/>
    </row>
    <row r="46269">
      <c r="D46269" s="9"/>
      <c r="G46269" s="9"/>
      <c r="J46269" s="11"/>
      <c r="U46269" s="9"/>
      <c r="X46269" s="9"/>
    </row>
    <row r="46270">
      <c r="D46270" s="9"/>
      <c r="G46270" s="9"/>
      <c r="J46270" s="11"/>
      <c r="U46270" s="9"/>
      <c r="X46270" s="9"/>
    </row>
    <row r="46271">
      <c r="D46271" s="9"/>
      <c r="G46271" s="9"/>
      <c r="J46271" s="11"/>
      <c r="U46271" s="9"/>
      <c r="X46271" s="9"/>
    </row>
    <row r="46272">
      <c r="D46272" s="9"/>
      <c r="G46272" s="9"/>
      <c r="J46272" s="11"/>
      <c r="U46272" s="9"/>
      <c r="X46272" s="9"/>
    </row>
    <row r="46273">
      <c r="D46273" s="9"/>
      <c r="G46273" s="9"/>
      <c r="J46273" s="11"/>
      <c r="U46273" s="9"/>
      <c r="X46273" s="9"/>
    </row>
    <row r="46274">
      <c r="D46274" s="9"/>
      <c r="G46274" s="9"/>
      <c r="J46274" s="11"/>
      <c r="U46274" s="9"/>
      <c r="X46274" s="9"/>
    </row>
    <row r="46275">
      <c r="D46275" s="9"/>
      <c r="G46275" s="9"/>
      <c r="J46275" s="11"/>
      <c r="U46275" s="9"/>
      <c r="X46275" s="9"/>
    </row>
    <row r="46276">
      <c r="D46276" s="9"/>
      <c r="G46276" s="9"/>
      <c r="J46276" s="11"/>
      <c r="U46276" s="9"/>
      <c r="X46276" s="9"/>
    </row>
    <row r="46277">
      <c r="D46277" s="9"/>
      <c r="G46277" s="9"/>
      <c r="J46277" s="11"/>
      <c r="U46277" s="9"/>
      <c r="X46277" s="9"/>
    </row>
    <row r="46278">
      <c r="D46278" s="9"/>
      <c r="G46278" s="9"/>
      <c r="J46278" s="11"/>
      <c r="U46278" s="9"/>
      <c r="X46278" s="9"/>
    </row>
    <row r="46279">
      <c r="D46279" s="9"/>
      <c r="G46279" s="9"/>
      <c r="J46279" s="11"/>
      <c r="U46279" s="9"/>
      <c r="X46279" s="9"/>
    </row>
    <row r="46280">
      <c r="D46280" s="9"/>
      <c r="G46280" s="9"/>
      <c r="J46280" s="11"/>
      <c r="U46280" s="9"/>
      <c r="X46280" s="9"/>
    </row>
    <row r="46281">
      <c r="D46281" s="9"/>
      <c r="G46281" s="9"/>
      <c r="J46281" s="11"/>
      <c r="U46281" s="9"/>
      <c r="X46281" s="9"/>
    </row>
    <row r="46282">
      <c r="D46282" s="9"/>
      <c r="G46282" s="9"/>
      <c r="J46282" s="11"/>
      <c r="U46282" s="9"/>
      <c r="X46282" s="9"/>
    </row>
    <row r="46283">
      <c r="D46283" s="9"/>
      <c r="G46283" s="9"/>
      <c r="J46283" s="11"/>
      <c r="U46283" s="9"/>
      <c r="X46283" s="9"/>
    </row>
    <row r="46284">
      <c r="D46284" s="9"/>
      <c r="G46284" s="9"/>
      <c r="J46284" s="11"/>
      <c r="U46284" s="9"/>
      <c r="X46284" s="9"/>
    </row>
    <row r="46285">
      <c r="D46285" s="9"/>
      <c r="G46285" s="9"/>
      <c r="J46285" s="11"/>
      <c r="U46285" s="9"/>
      <c r="X46285" s="9"/>
    </row>
    <row r="46286">
      <c r="D46286" s="9"/>
      <c r="G46286" s="9"/>
      <c r="J46286" s="11"/>
      <c r="U46286" s="9"/>
      <c r="X46286" s="9"/>
    </row>
    <row r="46287">
      <c r="D46287" s="9"/>
      <c r="G46287" s="9"/>
      <c r="J46287" s="11"/>
      <c r="U46287" s="9"/>
      <c r="X46287" s="9"/>
    </row>
    <row r="46288">
      <c r="D46288" s="9"/>
      <c r="G46288" s="9"/>
      <c r="J46288" s="11"/>
      <c r="U46288" s="9"/>
      <c r="X46288" s="9"/>
    </row>
    <row r="46289">
      <c r="D46289" s="9"/>
      <c r="G46289" s="9"/>
      <c r="J46289" s="11"/>
      <c r="U46289" s="9"/>
      <c r="X46289" s="9"/>
    </row>
    <row r="46290">
      <c r="D46290" s="9"/>
      <c r="G46290" s="9"/>
      <c r="J46290" s="11"/>
      <c r="U46290" s="9"/>
      <c r="X46290" s="9"/>
    </row>
    <row r="46291">
      <c r="D46291" s="9"/>
      <c r="G46291" s="9"/>
      <c r="J46291" s="11"/>
      <c r="U46291" s="9"/>
      <c r="X46291" s="9"/>
    </row>
    <row r="46292">
      <c r="D46292" s="9"/>
      <c r="G46292" s="9"/>
      <c r="J46292" s="11"/>
      <c r="U46292" s="9"/>
      <c r="X46292" s="9"/>
    </row>
    <row r="46293">
      <c r="D46293" s="9"/>
      <c r="G46293" s="9"/>
      <c r="J46293" s="11"/>
      <c r="U46293" s="9"/>
      <c r="X46293" s="9"/>
    </row>
    <row r="46294">
      <c r="D46294" s="9"/>
      <c r="G46294" s="9"/>
      <c r="J46294" s="11"/>
      <c r="U46294" s="9"/>
      <c r="X46294" s="9"/>
    </row>
    <row r="46295">
      <c r="D46295" s="9"/>
      <c r="G46295" s="9"/>
      <c r="J46295" s="11"/>
      <c r="U46295" s="9"/>
      <c r="X46295" s="9"/>
    </row>
    <row r="46296">
      <c r="D46296" s="9"/>
      <c r="G46296" s="9"/>
      <c r="J46296" s="11"/>
      <c r="U46296" s="9"/>
      <c r="X46296" s="9"/>
    </row>
    <row r="46297">
      <c r="D46297" s="9"/>
      <c r="G46297" s="9"/>
      <c r="J46297" s="11"/>
      <c r="U46297" s="9"/>
      <c r="X46297" s="9"/>
    </row>
    <row r="46298">
      <c r="D46298" s="9"/>
      <c r="G46298" s="9"/>
      <c r="J46298" s="11"/>
      <c r="U46298" s="9"/>
      <c r="X46298" s="9"/>
    </row>
    <row r="46299">
      <c r="D46299" s="9"/>
      <c r="G46299" s="9"/>
      <c r="J46299" s="11"/>
      <c r="U46299" s="9"/>
      <c r="X46299" s="9"/>
    </row>
    <row r="46300">
      <c r="D46300" s="9"/>
      <c r="G46300" s="9"/>
      <c r="J46300" s="11"/>
      <c r="U46300" s="9"/>
      <c r="X46300" s="9"/>
    </row>
    <row r="46301">
      <c r="D46301" s="9"/>
      <c r="G46301" s="9"/>
      <c r="J46301" s="11"/>
      <c r="U46301" s="9"/>
      <c r="X46301" s="9"/>
    </row>
    <row r="46302">
      <c r="D46302" s="9"/>
      <c r="G46302" s="9"/>
      <c r="J46302" s="11"/>
      <c r="U46302" s="9"/>
      <c r="X46302" s="9"/>
    </row>
    <row r="46303">
      <c r="D46303" s="9"/>
      <c r="G46303" s="9"/>
      <c r="J46303" s="11"/>
      <c r="U46303" s="9"/>
      <c r="X46303" s="9"/>
    </row>
    <row r="46304">
      <c r="D46304" s="9"/>
      <c r="G46304" s="9"/>
      <c r="J46304" s="11"/>
      <c r="U46304" s="9"/>
      <c r="X46304" s="9"/>
    </row>
    <row r="46305">
      <c r="D46305" s="9"/>
      <c r="G46305" s="9"/>
      <c r="J46305" s="11"/>
      <c r="U46305" s="9"/>
      <c r="X46305" s="9"/>
    </row>
    <row r="46306">
      <c r="D46306" s="9"/>
      <c r="G46306" s="9"/>
      <c r="J46306" s="11"/>
      <c r="U46306" s="9"/>
      <c r="X46306" s="9"/>
    </row>
    <row r="46307">
      <c r="D46307" s="9"/>
      <c r="G46307" s="9"/>
      <c r="J46307" s="11"/>
      <c r="U46307" s="9"/>
      <c r="X46307" s="9"/>
    </row>
    <row r="46308">
      <c r="D46308" s="9"/>
      <c r="G46308" s="9"/>
      <c r="J46308" s="11"/>
      <c r="U46308" s="9"/>
      <c r="X46308" s="9"/>
    </row>
    <row r="46309">
      <c r="D46309" s="9"/>
      <c r="G46309" s="9"/>
      <c r="J46309" s="11"/>
      <c r="U46309" s="9"/>
      <c r="X46309" s="9"/>
    </row>
    <row r="46310">
      <c r="D46310" s="9"/>
      <c r="G46310" s="9"/>
      <c r="J46310" s="11"/>
      <c r="U46310" s="9"/>
      <c r="X46310" s="9"/>
    </row>
    <row r="46311">
      <c r="D46311" s="9"/>
      <c r="G46311" s="9"/>
      <c r="J46311" s="11"/>
      <c r="U46311" s="9"/>
      <c r="X46311" s="9"/>
    </row>
    <row r="46312">
      <c r="D46312" s="9"/>
      <c r="G46312" s="9"/>
      <c r="J46312" s="11"/>
      <c r="U46312" s="9"/>
      <c r="X46312" s="9"/>
    </row>
    <row r="46313">
      <c r="D46313" s="9"/>
      <c r="G46313" s="9"/>
      <c r="J46313" s="11"/>
      <c r="U46313" s="9"/>
      <c r="X46313" s="9"/>
    </row>
    <row r="46314">
      <c r="D46314" s="9"/>
      <c r="G46314" s="9"/>
      <c r="J46314" s="11"/>
      <c r="U46314" s="9"/>
      <c r="X46314" s="9"/>
    </row>
    <row r="46315">
      <c r="D46315" s="9"/>
      <c r="G46315" s="9"/>
      <c r="J46315" s="11"/>
      <c r="U46315" s="9"/>
      <c r="X46315" s="9"/>
    </row>
    <row r="46316">
      <c r="D46316" s="9"/>
      <c r="G46316" s="9"/>
      <c r="J46316" s="11"/>
      <c r="U46316" s="9"/>
      <c r="X46316" s="9"/>
    </row>
    <row r="46317">
      <c r="D46317" s="9"/>
      <c r="G46317" s="9"/>
      <c r="J46317" s="11"/>
      <c r="U46317" s="9"/>
      <c r="X46317" s="9"/>
    </row>
    <row r="46318">
      <c r="D46318" s="9"/>
      <c r="G46318" s="9"/>
      <c r="J46318" s="11"/>
      <c r="U46318" s="9"/>
      <c r="X46318" s="9"/>
    </row>
    <row r="46319">
      <c r="D46319" s="9"/>
      <c r="G46319" s="9"/>
      <c r="J46319" s="11"/>
      <c r="U46319" s="9"/>
      <c r="X46319" s="9"/>
    </row>
    <row r="46320">
      <c r="D46320" s="9"/>
      <c r="G46320" s="9"/>
      <c r="J46320" s="11"/>
      <c r="U46320" s="9"/>
      <c r="X46320" s="9"/>
    </row>
    <row r="46321">
      <c r="D46321" s="9"/>
      <c r="G46321" s="9"/>
      <c r="J46321" s="11"/>
      <c r="U46321" s="9"/>
      <c r="X46321" s="9"/>
    </row>
    <row r="46322">
      <c r="D46322" s="9"/>
      <c r="G46322" s="9"/>
      <c r="J46322" s="11"/>
      <c r="U46322" s="9"/>
      <c r="X46322" s="9"/>
    </row>
    <row r="46323">
      <c r="D46323" s="9"/>
      <c r="G46323" s="9"/>
      <c r="J46323" s="11"/>
      <c r="U46323" s="9"/>
      <c r="X46323" s="9"/>
    </row>
    <row r="46324">
      <c r="D46324" s="9"/>
      <c r="G46324" s="9"/>
      <c r="J46324" s="11"/>
      <c r="U46324" s="9"/>
      <c r="X46324" s="9"/>
    </row>
    <row r="46325">
      <c r="D46325" s="9"/>
      <c r="G46325" s="9"/>
      <c r="J46325" s="11"/>
      <c r="U46325" s="9"/>
      <c r="X46325" s="9"/>
    </row>
    <row r="46326">
      <c r="D46326" s="9"/>
      <c r="G46326" s="9"/>
      <c r="J46326" s="11"/>
      <c r="U46326" s="9"/>
      <c r="X46326" s="9"/>
    </row>
    <row r="46327">
      <c r="D46327" s="9"/>
      <c r="G46327" s="9"/>
      <c r="J46327" s="11"/>
      <c r="U46327" s="9"/>
      <c r="X46327" s="9"/>
    </row>
    <row r="46328">
      <c r="D46328" s="9"/>
      <c r="G46328" s="9"/>
      <c r="J46328" s="11"/>
      <c r="U46328" s="9"/>
      <c r="X46328" s="9"/>
    </row>
    <row r="46329">
      <c r="D46329" s="9"/>
      <c r="G46329" s="9"/>
      <c r="J46329" s="11"/>
      <c r="U46329" s="9"/>
      <c r="X46329" s="9"/>
    </row>
    <row r="46330">
      <c r="D46330" s="9"/>
      <c r="G46330" s="9"/>
      <c r="J46330" s="11"/>
      <c r="U46330" s="9"/>
      <c r="X46330" s="9"/>
    </row>
    <row r="46331">
      <c r="D46331" s="9"/>
      <c r="G46331" s="9"/>
      <c r="J46331" s="11"/>
      <c r="U46331" s="9"/>
      <c r="X46331" s="9"/>
    </row>
    <row r="46332">
      <c r="D46332" s="9"/>
      <c r="G46332" s="9"/>
      <c r="J46332" s="11"/>
      <c r="U46332" s="9"/>
      <c r="X46332" s="9"/>
    </row>
    <row r="46333">
      <c r="D46333" s="9"/>
      <c r="G46333" s="9"/>
      <c r="J46333" s="11"/>
      <c r="U46333" s="9"/>
      <c r="X46333" s="9"/>
    </row>
    <row r="46334">
      <c r="D46334" s="9"/>
      <c r="G46334" s="9"/>
      <c r="J46334" s="11"/>
      <c r="U46334" s="9"/>
      <c r="X46334" s="9"/>
    </row>
    <row r="46335">
      <c r="D46335" s="9"/>
      <c r="G46335" s="9"/>
      <c r="J46335" s="11"/>
      <c r="U46335" s="9"/>
      <c r="X46335" s="9"/>
    </row>
    <row r="46336">
      <c r="D46336" s="9"/>
      <c r="G46336" s="9"/>
      <c r="J46336" s="11"/>
      <c r="U46336" s="9"/>
      <c r="X46336" s="9"/>
    </row>
    <row r="46337">
      <c r="D46337" s="9"/>
      <c r="G46337" s="9"/>
      <c r="J46337" s="11"/>
      <c r="U46337" s="9"/>
      <c r="X46337" s="9"/>
    </row>
    <row r="46338">
      <c r="D46338" s="9"/>
      <c r="G46338" s="9"/>
      <c r="J46338" s="11"/>
      <c r="U46338" s="9"/>
      <c r="X46338" s="9"/>
    </row>
    <row r="46339">
      <c r="D46339" s="9"/>
      <c r="G46339" s="9"/>
      <c r="J46339" s="11"/>
      <c r="U46339" s="9"/>
      <c r="X46339" s="9"/>
    </row>
    <row r="46340">
      <c r="D46340" s="9"/>
      <c r="G46340" s="9"/>
      <c r="J46340" s="11"/>
      <c r="U46340" s="9"/>
      <c r="X46340" s="9"/>
    </row>
    <row r="46341">
      <c r="D46341" s="9"/>
      <c r="G46341" s="9"/>
      <c r="J46341" s="11"/>
      <c r="U46341" s="9"/>
      <c r="X46341" s="9"/>
    </row>
    <row r="46342">
      <c r="D46342" s="9"/>
      <c r="G46342" s="9"/>
      <c r="J46342" s="11"/>
      <c r="U46342" s="9"/>
      <c r="X46342" s="9"/>
    </row>
    <row r="46343">
      <c r="D46343" s="9"/>
      <c r="G46343" s="9"/>
      <c r="J46343" s="11"/>
      <c r="U46343" s="9"/>
      <c r="X46343" s="9"/>
    </row>
    <row r="46344">
      <c r="D46344" s="9"/>
      <c r="G46344" s="9"/>
      <c r="J46344" s="11"/>
      <c r="U46344" s="9"/>
      <c r="X46344" s="9"/>
    </row>
    <row r="46345">
      <c r="D46345" s="9"/>
      <c r="G46345" s="9"/>
      <c r="J46345" s="11"/>
      <c r="U46345" s="9"/>
      <c r="X46345" s="9"/>
    </row>
    <row r="46346">
      <c r="D46346" s="9"/>
      <c r="G46346" s="9"/>
      <c r="J46346" s="11"/>
      <c r="U46346" s="9"/>
      <c r="X46346" s="9"/>
    </row>
    <row r="46347">
      <c r="D46347" s="9"/>
      <c r="G46347" s="9"/>
      <c r="J46347" s="11"/>
      <c r="U46347" s="9"/>
      <c r="X46347" s="9"/>
    </row>
    <row r="46348">
      <c r="D46348" s="9"/>
      <c r="G46348" s="9"/>
      <c r="J46348" s="11"/>
      <c r="U46348" s="9"/>
      <c r="X46348" s="9"/>
    </row>
    <row r="46349">
      <c r="D46349" s="9"/>
      <c r="G46349" s="9"/>
      <c r="J46349" s="11"/>
      <c r="U46349" s="9"/>
      <c r="X46349" s="9"/>
    </row>
    <row r="46350">
      <c r="D46350" s="9"/>
      <c r="G46350" s="9"/>
      <c r="J46350" s="11"/>
      <c r="U46350" s="9"/>
      <c r="X46350" s="9"/>
    </row>
    <row r="46351">
      <c r="D46351" s="9"/>
      <c r="G46351" s="9"/>
      <c r="J46351" s="11"/>
      <c r="U46351" s="9"/>
      <c r="X46351" s="9"/>
    </row>
    <row r="46352">
      <c r="D46352" s="9"/>
      <c r="G46352" s="9"/>
      <c r="J46352" s="11"/>
      <c r="U46352" s="9"/>
      <c r="X46352" s="9"/>
    </row>
    <row r="46353">
      <c r="D46353" s="9"/>
      <c r="G46353" s="9"/>
      <c r="J46353" s="11"/>
      <c r="U46353" s="9"/>
      <c r="X46353" s="9"/>
    </row>
    <row r="46354">
      <c r="D46354" s="9"/>
      <c r="G46354" s="9"/>
      <c r="J46354" s="11"/>
      <c r="U46354" s="9"/>
      <c r="X46354" s="9"/>
    </row>
    <row r="46355">
      <c r="D46355" s="9"/>
      <c r="G46355" s="9"/>
      <c r="J46355" s="11"/>
      <c r="U46355" s="9"/>
      <c r="X46355" s="9"/>
    </row>
    <row r="46356">
      <c r="D46356" s="9"/>
      <c r="G46356" s="9"/>
      <c r="J46356" s="11"/>
      <c r="U46356" s="9"/>
      <c r="X46356" s="9"/>
    </row>
    <row r="46357">
      <c r="D46357" s="9"/>
      <c r="G46357" s="9"/>
      <c r="J46357" s="11"/>
      <c r="U46357" s="9"/>
      <c r="X46357" s="9"/>
    </row>
    <row r="46358">
      <c r="D46358" s="9"/>
      <c r="G46358" s="9"/>
      <c r="J46358" s="11"/>
      <c r="U46358" s="9"/>
      <c r="X46358" s="9"/>
    </row>
    <row r="46359">
      <c r="D46359" s="9"/>
      <c r="G46359" s="9"/>
      <c r="J46359" s="11"/>
      <c r="U46359" s="9"/>
      <c r="X46359" s="9"/>
    </row>
    <row r="46360">
      <c r="D46360" s="9"/>
      <c r="G46360" s="9"/>
      <c r="J46360" s="11"/>
      <c r="U46360" s="9"/>
      <c r="X46360" s="9"/>
    </row>
    <row r="46361">
      <c r="D46361" s="9"/>
      <c r="G46361" s="9"/>
      <c r="J46361" s="11"/>
      <c r="U46361" s="9"/>
      <c r="X46361" s="9"/>
    </row>
    <row r="46362">
      <c r="D46362" s="9"/>
      <c r="G46362" s="9"/>
      <c r="J46362" s="11"/>
      <c r="U46362" s="9"/>
      <c r="X46362" s="9"/>
    </row>
    <row r="46363">
      <c r="D46363" s="9"/>
      <c r="G46363" s="9"/>
      <c r="J46363" s="11"/>
      <c r="U46363" s="9"/>
      <c r="X46363" s="9"/>
    </row>
    <row r="46364">
      <c r="D46364" s="9"/>
      <c r="G46364" s="9"/>
      <c r="J46364" s="11"/>
      <c r="U46364" s="9"/>
      <c r="X46364" s="9"/>
    </row>
    <row r="46365">
      <c r="D46365" s="9"/>
      <c r="G46365" s="9"/>
      <c r="J46365" s="11"/>
      <c r="U46365" s="9"/>
      <c r="X46365" s="9"/>
    </row>
    <row r="46366">
      <c r="D46366" s="9"/>
      <c r="G46366" s="9"/>
      <c r="J46366" s="11"/>
      <c r="U46366" s="9"/>
      <c r="X46366" s="9"/>
    </row>
    <row r="46367">
      <c r="D46367" s="9"/>
      <c r="G46367" s="9"/>
      <c r="J46367" s="11"/>
      <c r="U46367" s="9"/>
      <c r="X46367" s="9"/>
    </row>
    <row r="46368">
      <c r="D46368" s="9"/>
      <c r="G46368" s="9"/>
      <c r="J46368" s="11"/>
      <c r="U46368" s="9"/>
      <c r="X46368" s="9"/>
    </row>
    <row r="46369">
      <c r="D46369" s="9"/>
      <c r="G46369" s="9"/>
      <c r="J46369" s="11"/>
      <c r="U46369" s="9"/>
      <c r="X46369" s="9"/>
    </row>
    <row r="46370">
      <c r="D46370" s="9"/>
      <c r="G46370" s="9"/>
      <c r="J46370" s="11"/>
      <c r="U46370" s="9"/>
      <c r="X46370" s="9"/>
    </row>
    <row r="46371">
      <c r="D46371" s="9"/>
      <c r="G46371" s="9"/>
      <c r="J46371" s="11"/>
      <c r="U46371" s="9"/>
      <c r="X46371" s="9"/>
    </row>
    <row r="46372">
      <c r="D46372" s="9"/>
      <c r="G46372" s="9"/>
      <c r="J46372" s="11"/>
      <c r="U46372" s="9"/>
      <c r="X46372" s="9"/>
    </row>
    <row r="46373">
      <c r="D46373" s="9"/>
      <c r="G46373" s="9"/>
      <c r="J46373" s="11"/>
      <c r="U46373" s="9"/>
      <c r="X46373" s="9"/>
    </row>
    <row r="46374">
      <c r="D46374" s="9"/>
      <c r="G46374" s="9"/>
      <c r="J46374" s="11"/>
      <c r="U46374" s="9"/>
      <c r="X46374" s="9"/>
    </row>
    <row r="46375">
      <c r="D46375" s="9"/>
      <c r="G46375" s="9"/>
      <c r="J46375" s="11"/>
      <c r="U46375" s="9"/>
      <c r="X46375" s="9"/>
    </row>
    <row r="46376">
      <c r="D46376" s="9"/>
      <c r="G46376" s="9"/>
      <c r="J46376" s="11"/>
      <c r="U46376" s="9"/>
      <c r="X46376" s="9"/>
    </row>
    <row r="46377">
      <c r="D46377" s="9"/>
      <c r="G46377" s="9"/>
      <c r="J46377" s="11"/>
      <c r="U46377" s="9"/>
      <c r="X46377" s="9"/>
    </row>
    <row r="46378">
      <c r="D46378" s="9"/>
      <c r="G46378" s="9"/>
      <c r="J46378" s="11"/>
      <c r="U46378" s="9"/>
      <c r="X46378" s="9"/>
    </row>
    <row r="46379">
      <c r="D46379" s="9"/>
      <c r="G46379" s="9"/>
      <c r="J46379" s="11"/>
      <c r="U46379" s="9"/>
      <c r="X46379" s="9"/>
    </row>
    <row r="46380">
      <c r="D46380" s="9"/>
      <c r="G46380" s="9"/>
      <c r="J46380" s="11"/>
      <c r="U46380" s="9"/>
      <c r="X46380" s="9"/>
    </row>
    <row r="46381">
      <c r="D46381" s="9"/>
      <c r="G46381" s="9"/>
      <c r="J46381" s="11"/>
      <c r="U46381" s="9"/>
      <c r="X46381" s="9"/>
    </row>
    <row r="46382">
      <c r="D46382" s="9"/>
      <c r="G46382" s="9"/>
      <c r="J46382" s="11"/>
      <c r="U46382" s="9"/>
      <c r="X46382" s="9"/>
    </row>
    <row r="46383">
      <c r="D46383" s="9"/>
      <c r="G46383" s="9"/>
      <c r="J46383" s="11"/>
      <c r="U46383" s="9"/>
      <c r="X46383" s="9"/>
    </row>
    <row r="46384">
      <c r="D46384" s="9"/>
      <c r="G46384" s="9"/>
      <c r="J46384" s="11"/>
      <c r="U46384" s="9"/>
      <c r="X46384" s="9"/>
    </row>
    <row r="46385">
      <c r="D46385" s="9"/>
      <c r="G46385" s="9"/>
      <c r="J46385" s="11"/>
      <c r="U46385" s="9"/>
      <c r="X46385" s="9"/>
    </row>
    <row r="46386">
      <c r="D46386" s="9"/>
      <c r="G46386" s="9"/>
      <c r="J46386" s="11"/>
      <c r="U46386" s="9"/>
      <c r="X46386" s="9"/>
    </row>
    <row r="46387">
      <c r="D46387" s="9"/>
      <c r="G46387" s="9"/>
      <c r="J46387" s="11"/>
      <c r="U46387" s="9"/>
      <c r="X46387" s="9"/>
    </row>
    <row r="46388">
      <c r="D46388" s="9"/>
      <c r="G46388" s="9"/>
      <c r="J46388" s="11"/>
      <c r="U46388" s="9"/>
      <c r="X46388" s="9"/>
    </row>
    <row r="46389">
      <c r="D46389" s="9"/>
      <c r="G46389" s="9"/>
      <c r="J46389" s="11"/>
      <c r="U46389" s="9"/>
      <c r="X46389" s="9"/>
    </row>
    <row r="46390">
      <c r="D46390" s="9"/>
      <c r="G46390" s="9"/>
      <c r="J46390" s="11"/>
      <c r="U46390" s="9"/>
      <c r="X46390" s="9"/>
    </row>
    <row r="46391">
      <c r="D46391" s="9"/>
      <c r="G46391" s="9"/>
      <c r="J46391" s="11"/>
      <c r="U46391" s="9"/>
      <c r="X46391" s="9"/>
    </row>
    <row r="46392">
      <c r="D46392" s="9"/>
      <c r="G46392" s="9"/>
      <c r="J46392" s="11"/>
      <c r="U46392" s="9"/>
      <c r="X46392" s="9"/>
    </row>
    <row r="46393">
      <c r="D46393" s="9"/>
      <c r="G46393" s="9"/>
      <c r="J46393" s="11"/>
      <c r="U46393" s="9"/>
      <c r="X46393" s="9"/>
    </row>
    <row r="46394">
      <c r="D46394" s="9"/>
      <c r="G46394" s="9"/>
      <c r="J46394" s="11"/>
      <c r="U46394" s="9"/>
      <c r="X46394" s="9"/>
    </row>
    <row r="46395">
      <c r="D46395" s="9"/>
      <c r="G46395" s="9"/>
      <c r="J46395" s="11"/>
      <c r="U46395" s="9"/>
      <c r="X46395" s="9"/>
    </row>
    <row r="46396">
      <c r="D46396" s="9"/>
      <c r="G46396" s="9"/>
      <c r="J46396" s="11"/>
      <c r="U46396" s="9"/>
      <c r="X46396" s="9"/>
    </row>
    <row r="46397">
      <c r="D46397" s="9"/>
      <c r="G46397" s="9"/>
      <c r="J46397" s="11"/>
      <c r="U46397" s="9"/>
      <c r="X46397" s="9"/>
    </row>
    <row r="46398">
      <c r="D46398" s="9"/>
      <c r="G46398" s="9"/>
      <c r="J46398" s="11"/>
      <c r="U46398" s="9"/>
      <c r="X46398" s="9"/>
    </row>
    <row r="46399">
      <c r="D46399" s="9"/>
      <c r="G46399" s="9"/>
      <c r="J46399" s="11"/>
      <c r="U46399" s="9"/>
      <c r="X46399" s="9"/>
    </row>
    <row r="46400">
      <c r="D46400" s="9"/>
      <c r="G46400" s="9"/>
      <c r="J46400" s="11"/>
      <c r="U46400" s="9"/>
      <c r="X46400" s="9"/>
    </row>
    <row r="46401">
      <c r="D46401" s="9"/>
      <c r="G46401" s="9"/>
      <c r="J46401" s="11"/>
      <c r="U46401" s="9"/>
      <c r="X46401" s="9"/>
    </row>
    <row r="46402">
      <c r="D46402" s="9"/>
      <c r="G46402" s="9"/>
      <c r="J46402" s="11"/>
      <c r="U46402" s="9"/>
      <c r="X46402" s="9"/>
    </row>
    <row r="46403">
      <c r="D46403" s="9"/>
      <c r="G46403" s="9"/>
      <c r="J46403" s="11"/>
      <c r="U46403" s="9"/>
      <c r="X46403" s="9"/>
    </row>
    <row r="46404">
      <c r="D46404" s="9"/>
      <c r="G46404" s="9"/>
      <c r="J46404" s="11"/>
      <c r="U46404" s="9"/>
      <c r="X46404" s="9"/>
    </row>
    <row r="46405">
      <c r="D46405" s="9"/>
      <c r="G46405" s="9"/>
      <c r="J46405" s="11"/>
      <c r="U46405" s="9"/>
      <c r="X46405" s="9"/>
    </row>
    <row r="46406">
      <c r="D46406" s="9"/>
      <c r="G46406" s="9"/>
      <c r="J46406" s="11"/>
      <c r="U46406" s="9"/>
      <c r="X46406" s="9"/>
    </row>
    <row r="46407">
      <c r="D46407" s="9"/>
      <c r="G46407" s="9"/>
      <c r="J46407" s="11"/>
      <c r="U46407" s="9"/>
      <c r="X46407" s="9"/>
    </row>
    <row r="46408">
      <c r="D46408" s="9"/>
      <c r="G46408" s="9"/>
      <c r="J46408" s="11"/>
      <c r="U46408" s="9"/>
      <c r="X46408" s="9"/>
    </row>
    <row r="46409">
      <c r="D46409" s="9"/>
      <c r="G46409" s="9"/>
      <c r="J46409" s="11"/>
      <c r="U46409" s="9"/>
      <c r="X46409" s="9"/>
    </row>
    <row r="46410">
      <c r="D46410" s="9"/>
      <c r="G46410" s="9"/>
      <c r="J46410" s="11"/>
      <c r="U46410" s="9"/>
      <c r="X46410" s="9"/>
    </row>
    <row r="46411">
      <c r="D46411" s="9"/>
      <c r="G46411" s="9"/>
      <c r="J46411" s="11"/>
      <c r="U46411" s="9"/>
      <c r="X46411" s="9"/>
    </row>
    <row r="46412">
      <c r="D46412" s="9"/>
      <c r="G46412" s="9"/>
      <c r="J46412" s="11"/>
      <c r="U46412" s="9"/>
      <c r="X46412" s="9"/>
    </row>
    <row r="46413">
      <c r="D46413" s="9"/>
      <c r="G46413" s="9"/>
      <c r="J46413" s="11"/>
      <c r="U46413" s="9"/>
      <c r="X46413" s="9"/>
    </row>
    <row r="46414">
      <c r="D46414" s="9"/>
      <c r="G46414" s="9"/>
      <c r="J46414" s="11"/>
      <c r="U46414" s="9"/>
      <c r="X46414" s="9"/>
    </row>
    <row r="46415">
      <c r="D46415" s="9"/>
      <c r="G46415" s="9"/>
      <c r="J46415" s="11"/>
      <c r="U46415" s="9"/>
      <c r="X46415" s="9"/>
    </row>
    <row r="46416">
      <c r="D46416" s="9"/>
      <c r="G46416" s="9"/>
      <c r="J46416" s="11"/>
      <c r="U46416" s="9"/>
      <c r="X46416" s="9"/>
    </row>
    <row r="46417">
      <c r="D46417" s="9"/>
      <c r="G46417" s="9"/>
      <c r="J46417" s="11"/>
      <c r="U46417" s="9"/>
      <c r="X46417" s="9"/>
    </row>
    <row r="46418">
      <c r="D46418" s="9"/>
      <c r="G46418" s="9"/>
      <c r="J46418" s="11"/>
      <c r="U46418" s="9"/>
      <c r="X46418" s="9"/>
    </row>
    <row r="46419">
      <c r="D46419" s="9"/>
      <c r="G46419" s="9"/>
      <c r="J46419" s="11"/>
      <c r="U46419" s="9"/>
      <c r="X46419" s="9"/>
    </row>
    <row r="46420">
      <c r="D46420" s="9"/>
      <c r="G46420" s="9"/>
      <c r="J46420" s="11"/>
      <c r="U46420" s="9"/>
      <c r="X46420" s="9"/>
    </row>
    <row r="46421">
      <c r="D46421" s="9"/>
      <c r="G46421" s="9"/>
      <c r="J46421" s="11"/>
      <c r="U46421" s="9"/>
      <c r="X46421" s="9"/>
    </row>
    <row r="46422">
      <c r="D46422" s="9"/>
      <c r="G46422" s="9"/>
      <c r="J46422" s="11"/>
      <c r="U46422" s="9"/>
      <c r="X46422" s="9"/>
    </row>
    <row r="46423">
      <c r="D46423" s="9"/>
      <c r="G46423" s="9"/>
      <c r="J46423" s="11"/>
      <c r="U46423" s="9"/>
      <c r="X46423" s="9"/>
    </row>
    <row r="46424">
      <c r="D46424" s="9"/>
      <c r="G46424" s="9"/>
      <c r="J46424" s="11"/>
      <c r="U46424" s="9"/>
      <c r="X46424" s="9"/>
    </row>
    <row r="46425">
      <c r="D46425" s="9"/>
      <c r="G46425" s="9"/>
      <c r="J46425" s="11"/>
      <c r="U46425" s="9"/>
      <c r="X46425" s="9"/>
    </row>
    <row r="46426">
      <c r="D46426" s="9"/>
      <c r="G46426" s="9"/>
      <c r="J46426" s="11"/>
      <c r="U46426" s="9"/>
      <c r="X46426" s="9"/>
    </row>
    <row r="46427">
      <c r="D46427" s="9"/>
      <c r="G46427" s="9"/>
      <c r="J46427" s="11"/>
      <c r="U46427" s="9"/>
      <c r="X46427" s="9"/>
    </row>
    <row r="46428">
      <c r="D46428" s="9"/>
      <c r="G46428" s="9"/>
      <c r="J46428" s="11"/>
      <c r="U46428" s="9"/>
      <c r="X46428" s="9"/>
    </row>
    <row r="46429">
      <c r="D46429" s="9"/>
      <c r="G46429" s="9"/>
      <c r="J46429" s="11"/>
      <c r="U46429" s="9"/>
      <c r="X46429" s="9"/>
    </row>
    <row r="46430">
      <c r="D46430" s="9"/>
      <c r="G46430" s="9"/>
      <c r="J46430" s="11"/>
      <c r="U46430" s="9"/>
      <c r="X46430" s="9"/>
    </row>
    <row r="46431">
      <c r="D46431" s="9"/>
      <c r="G46431" s="9"/>
      <c r="J46431" s="11"/>
      <c r="U46431" s="9"/>
      <c r="X46431" s="9"/>
    </row>
    <row r="46432">
      <c r="D46432" s="9"/>
      <c r="G46432" s="9"/>
      <c r="J46432" s="11"/>
      <c r="U46432" s="9"/>
      <c r="X46432" s="9"/>
    </row>
    <row r="46433">
      <c r="D46433" s="9"/>
      <c r="G46433" s="9"/>
      <c r="J46433" s="11"/>
      <c r="U46433" s="9"/>
      <c r="X46433" s="9"/>
    </row>
    <row r="46434">
      <c r="D46434" s="9"/>
      <c r="G46434" s="9"/>
      <c r="J46434" s="11"/>
      <c r="U46434" s="9"/>
      <c r="X46434" s="9"/>
    </row>
    <row r="46435">
      <c r="D46435" s="9"/>
      <c r="G46435" s="9"/>
      <c r="J46435" s="11"/>
      <c r="U46435" s="9"/>
      <c r="X46435" s="9"/>
    </row>
    <row r="46436">
      <c r="D46436" s="9"/>
      <c r="G46436" s="9"/>
      <c r="J46436" s="11"/>
      <c r="U46436" s="9"/>
      <c r="X46436" s="9"/>
    </row>
    <row r="46437">
      <c r="D46437" s="9"/>
      <c r="G46437" s="9"/>
      <c r="J46437" s="11"/>
      <c r="U46437" s="9"/>
      <c r="X46437" s="9"/>
    </row>
    <row r="46438">
      <c r="D46438" s="9"/>
      <c r="G46438" s="9"/>
      <c r="J46438" s="11"/>
      <c r="U46438" s="9"/>
      <c r="X46438" s="9"/>
    </row>
    <row r="46439">
      <c r="D46439" s="9"/>
      <c r="G46439" s="9"/>
      <c r="J46439" s="11"/>
      <c r="U46439" s="9"/>
      <c r="X46439" s="9"/>
    </row>
    <row r="46440">
      <c r="D46440" s="9"/>
      <c r="G46440" s="9"/>
      <c r="J46440" s="11"/>
      <c r="U46440" s="9"/>
      <c r="X46440" s="9"/>
    </row>
    <row r="46441">
      <c r="D46441" s="9"/>
      <c r="G46441" s="9"/>
      <c r="J46441" s="11"/>
      <c r="U46441" s="9"/>
      <c r="X46441" s="9"/>
    </row>
    <row r="46442">
      <c r="D46442" s="9"/>
      <c r="G46442" s="9"/>
      <c r="J46442" s="11"/>
      <c r="U46442" s="9"/>
      <c r="X46442" s="9"/>
    </row>
    <row r="46443">
      <c r="D46443" s="9"/>
      <c r="G46443" s="9"/>
      <c r="J46443" s="11"/>
      <c r="U46443" s="9"/>
      <c r="X46443" s="9"/>
    </row>
    <row r="46444">
      <c r="D46444" s="9"/>
      <c r="G46444" s="9"/>
      <c r="J46444" s="11"/>
      <c r="U46444" s="9"/>
      <c r="X46444" s="9"/>
    </row>
    <row r="46445">
      <c r="D46445" s="9"/>
      <c r="G46445" s="9"/>
      <c r="J46445" s="11"/>
      <c r="U46445" s="9"/>
      <c r="X46445" s="9"/>
    </row>
    <row r="46446">
      <c r="D46446" s="9"/>
      <c r="G46446" s="9"/>
      <c r="J46446" s="11"/>
      <c r="U46446" s="9"/>
      <c r="X46446" s="9"/>
    </row>
    <row r="46447">
      <c r="D46447" s="9"/>
      <c r="G46447" s="9"/>
      <c r="J46447" s="11"/>
      <c r="U46447" s="9"/>
      <c r="X46447" s="9"/>
    </row>
    <row r="46448">
      <c r="D46448" s="9"/>
      <c r="G46448" s="9"/>
      <c r="J46448" s="11"/>
      <c r="U46448" s="9"/>
      <c r="X46448" s="9"/>
    </row>
    <row r="46449">
      <c r="D46449" s="9"/>
      <c r="G46449" s="9"/>
      <c r="J46449" s="11"/>
      <c r="U46449" s="9"/>
      <c r="X46449" s="9"/>
    </row>
    <row r="46450">
      <c r="D46450" s="9"/>
      <c r="G46450" s="9"/>
      <c r="J46450" s="11"/>
      <c r="U46450" s="9"/>
      <c r="X46450" s="9"/>
    </row>
    <row r="46451">
      <c r="D46451" s="9"/>
      <c r="G46451" s="9"/>
      <c r="J46451" s="11"/>
      <c r="U46451" s="9"/>
      <c r="X46451" s="9"/>
    </row>
    <row r="46452">
      <c r="D46452" s="9"/>
      <c r="G46452" s="9"/>
      <c r="J46452" s="11"/>
      <c r="U46452" s="9"/>
      <c r="X46452" s="9"/>
    </row>
    <row r="46453">
      <c r="D46453" s="9"/>
      <c r="G46453" s="9"/>
      <c r="J46453" s="11"/>
      <c r="U46453" s="9"/>
      <c r="X46453" s="9"/>
    </row>
    <row r="46454">
      <c r="D46454" s="9"/>
      <c r="G46454" s="9"/>
      <c r="J46454" s="11"/>
      <c r="U46454" s="9"/>
      <c r="X46454" s="9"/>
    </row>
    <row r="46455">
      <c r="D46455" s="9"/>
      <c r="G46455" s="9"/>
      <c r="J46455" s="11"/>
      <c r="U46455" s="9"/>
      <c r="X46455" s="9"/>
    </row>
    <row r="46456">
      <c r="D46456" s="9"/>
      <c r="G46456" s="9"/>
      <c r="J46456" s="11"/>
      <c r="U46456" s="9"/>
      <c r="X46456" s="9"/>
    </row>
    <row r="46457">
      <c r="D46457" s="9"/>
      <c r="G46457" s="9"/>
      <c r="J46457" s="11"/>
      <c r="U46457" s="9"/>
      <c r="X46457" s="9"/>
    </row>
    <row r="46458">
      <c r="D46458" s="9"/>
      <c r="G46458" s="9"/>
      <c r="J46458" s="11"/>
      <c r="U46458" s="9"/>
      <c r="X46458" s="9"/>
    </row>
    <row r="46459">
      <c r="D46459" s="9"/>
      <c r="G46459" s="9"/>
      <c r="J46459" s="11"/>
      <c r="U46459" s="9"/>
      <c r="X46459" s="9"/>
    </row>
    <row r="46460">
      <c r="D46460" s="9"/>
      <c r="G46460" s="9"/>
      <c r="J46460" s="11"/>
      <c r="U46460" s="9"/>
      <c r="X46460" s="9"/>
    </row>
    <row r="46461">
      <c r="D46461" s="9"/>
      <c r="G46461" s="9"/>
      <c r="J46461" s="11"/>
      <c r="U46461" s="9"/>
      <c r="X46461" s="9"/>
    </row>
    <row r="46462">
      <c r="D46462" s="9"/>
      <c r="G46462" s="9"/>
      <c r="J46462" s="11"/>
      <c r="U46462" s="9"/>
      <c r="X46462" s="9"/>
    </row>
    <row r="46463">
      <c r="D46463" s="9"/>
      <c r="G46463" s="9"/>
      <c r="J46463" s="11"/>
      <c r="U46463" s="9"/>
      <c r="X46463" s="9"/>
    </row>
    <row r="46464">
      <c r="D46464" s="9"/>
      <c r="G46464" s="9"/>
      <c r="J46464" s="11"/>
      <c r="U46464" s="9"/>
      <c r="X46464" s="9"/>
    </row>
    <row r="46465">
      <c r="D46465" s="9"/>
      <c r="G46465" s="9"/>
      <c r="J46465" s="11"/>
      <c r="U46465" s="9"/>
      <c r="X46465" s="9"/>
    </row>
    <row r="46466">
      <c r="D46466" s="9"/>
      <c r="G46466" s="9"/>
      <c r="J46466" s="11"/>
      <c r="U46466" s="9"/>
      <c r="X46466" s="9"/>
    </row>
    <row r="46467">
      <c r="D46467" s="9"/>
      <c r="G46467" s="9"/>
      <c r="J46467" s="11"/>
      <c r="U46467" s="9"/>
      <c r="X46467" s="9"/>
    </row>
    <row r="46468">
      <c r="D46468" s="9"/>
      <c r="G46468" s="9"/>
      <c r="J46468" s="11"/>
      <c r="U46468" s="9"/>
      <c r="X46468" s="9"/>
    </row>
    <row r="46469">
      <c r="D46469" s="9"/>
      <c r="G46469" s="9"/>
      <c r="J46469" s="11"/>
      <c r="U46469" s="9"/>
      <c r="X46469" s="9"/>
    </row>
    <row r="46470">
      <c r="D46470" s="9"/>
      <c r="G46470" s="9"/>
      <c r="J46470" s="11"/>
      <c r="U46470" s="9"/>
      <c r="X46470" s="9"/>
    </row>
    <row r="46471">
      <c r="D46471" s="9"/>
      <c r="G46471" s="9"/>
      <c r="J46471" s="11"/>
      <c r="U46471" s="9"/>
      <c r="X46471" s="9"/>
    </row>
    <row r="46472">
      <c r="D46472" s="9"/>
      <c r="G46472" s="9"/>
      <c r="J46472" s="11"/>
      <c r="U46472" s="9"/>
      <c r="X46472" s="9"/>
    </row>
    <row r="46473">
      <c r="D46473" s="9"/>
      <c r="G46473" s="9"/>
      <c r="J46473" s="11"/>
      <c r="U46473" s="9"/>
      <c r="X46473" s="9"/>
    </row>
    <row r="46474">
      <c r="D46474" s="9"/>
      <c r="G46474" s="9"/>
      <c r="J46474" s="11"/>
      <c r="U46474" s="9"/>
      <c r="X46474" s="9"/>
    </row>
    <row r="46475">
      <c r="D46475" s="9"/>
      <c r="G46475" s="9"/>
      <c r="J46475" s="11"/>
      <c r="U46475" s="9"/>
      <c r="X46475" s="9"/>
    </row>
    <row r="46476">
      <c r="D46476" s="9"/>
      <c r="G46476" s="9"/>
      <c r="J46476" s="11"/>
      <c r="U46476" s="9"/>
      <c r="X46476" s="9"/>
    </row>
    <row r="46477">
      <c r="D46477" s="9"/>
      <c r="G46477" s="9"/>
      <c r="J46477" s="11"/>
      <c r="U46477" s="9"/>
      <c r="X46477" s="9"/>
    </row>
    <row r="46478">
      <c r="D46478" s="9"/>
      <c r="G46478" s="9"/>
      <c r="J46478" s="11"/>
      <c r="U46478" s="9"/>
      <c r="X46478" s="9"/>
    </row>
    <row r="46479">
      <c r="D46479" s="9"/>
      <c r="G46479" s="9"/>
      <c r="J46479" s="11"/>
      <c r="U46479" s="9"/>
      <c r="X46479" s="9"/>
    </row>
    <row r="46480">
      <c r="D46480" s="9"/>
      <c r="G46480" s="9"/>
      <c r="J46480" s="11"/>
      <c r="U46480" s="9"/>
      <c r="X46480" s="9"/>
    </row>
    <row r="46481">
      <c r="D46481" s="9"/>
      <c r="G46481" s="9"/>
      <c r="J46481" s="11"/>
      <c r="U46481" s="9"/>
      <c r="X46481" s="9"/>
    </row>
    <row r="46482">
      <c r="D46482" s="9"/>
      <c r="G46482" s="9"/>
      <c r="J46482" s="11"/>
      <c r="U46482" s="9"/>
      <c r="X46482" s="9"/>
    </row>
    <row r="46483">
      <c r="D46483" s="9"/>
      <c r="G46483" s="9"/>
      <c r="J46483" s="11"/>
      <c r="U46483" s="9"/>
      <c r="X46483" s="9"/>
    </row>
    <row r="46484">
      <c r="D46484" s="9"/>
      <c r="G46484" s="9"/>
      <c r="J46484" s="11"/>
      <c r="U46484" s="9"/>
      <c r="X46484" s="9"/>
    </row>
    <row r="46485">
      <c r="D46485" s="9"/>
      <c r="G46485" s="9"/>
      <c r="J46485" s="11"/>
      <c r="U46485" s="9"/>
      <c r="X46485" s="9"/>
    </row>
    <row r="46486">
      <c r="D46486" s="9"/>
      <c r="G46486" s="9"/>
      <c r="J46486" s="11"/>
      <c r="U46486" s="9"/>
      <c r="X46486" s="9"/>
    </row>
    <row r="46487">
      <c r="D46487" s="9"/>
      <c r="G46487" s="9"/>
      <c r="J46487" s="11"/>
      <c r="U46487" s="9"/>
      <c r="X46487" s="9"/>
    </row>
    <row r="46488">
      <c r="D46488" s="9"/>
      <c r="G46488" s="9"/>
      <c r="J46488" s="11"/>
      <c r="U46488" s="9"/>
      <c r="X46488" s="9"/>
    </row>
    <row r="46489">
      <c r="D46489" s="9"/>
      <c r="G46489" s="9"/>
      <c r="J46489" s="11"/>
      <c r="U46489" s="9"/>
      <c r="X46489" s="9"/>
    </row>
    <row r="46490">
      <c r="D46490" s="9"/>
      <c r="G46490" s="9"/>
      <c r="J46490" s="11"/>
      <c r="U46490" s="9"/>
      <c r="X46490" s="9"/>
    </row>
    <row r="46491">
      <c r="D46491" s="9"/>
      <c r="G46491" s="9"/>
      <c r="J46491" s="11"/>
      <c r="U46491" s="9"/>
      <c r="X46491" s="9"/>
    </row>
    <row r="46492">
      <c r="D46492" s="9"/>
      <c r="G46492" s="9"/>
      <c r="J46492" s="11"/>
      <c r="U46492" s="9"/>
      <c r="X46492" s="9"/>
    </row>
    <row r="46493">
      <c r="D46493" s="9"/>
      <c r="G46493" s="9"/>
      <c r="J46493" s="11"/>
      <c r="U46493" s="9"/>
      <c r="X46493" s="9"/>
    </row>
    <row r="46494">
      <c r="D46494" s="9"/>
      <c r="G46494" s="9"/>
      <c r="J46494" s="11"/>
      <c r="U46494" s="9"/>
      <c r="X46494" s="9"/>
    </row>
    <row r="46495">
      <c r="D46495" s="9"/>
      <c r="G46495" s="9"/>
      <c r="J46495" s="11"/>
      <c r="U46495" s="9"/>
      <c r="X46495" s="9"/>
    </row>
    <row r="46496">
      <c r="D46496" s="9"/>
      <c r="G46496" s="9"/>
      <c r="J46496" s="11"/>
      <c r="U46496" s="9"/>
      <c r="X46496" s="9"/>
    </row>
    <row r="46497">
      <c r="D46497" s="9"/>
      <c r="G46497" s="9"/>
      <c r="J46497" s="11"/>
      <c r="U46497" s="9"/>
      <c r="X46497" s="9"/>
    </row>
    <row r="46498">
      <c r="D46498" s="9"/>
      <c r="G46498" s="9"/>
      <c r="J46498" s="11"/>
      <c r="U46498" s="9"/>
      <c r="X46498" s="9"/>
    </row>
    <row r="46499">
      <c r="D46499" s="9"/>
      <c r="G46499" s="9"/>
      <c r="J46499" s="11"/>
      <c r="U46499" s="9"/>
      <c r="X46499" s="9"/>
    </row>
    <row r="46500">
      <c r="D46500" s="9"/>
      <c r="G46500" s="9"/>
      <c r="J46500" s="11"/>
      <c r="U46500" s="9"/>
      <c r="X46500" s="9"/>
    </row>
    <row r="46501">
      <c r="D46501" s="9"/>
      <c r="G46501" s="9"/>
      <c r="J46501" s="11"/>
      <c r="U46501" s="9"/>
      <c r="X46501" s="9"/>
    </row>
    <row r="46502">
      <c r="D46502" s="9"/>
      <c r="G46502" s="9"/>
      <c r="J46502" s="11"/>
      <c r="U46502" s="9"/>
      <c r="X46502" s="9"/>
    </row>
    <row r="46503">
      <c r="D46503" s="9"/>
      <c r="G46503" s="9"/>
      <c r="J46503" s="11"/>
      <c r="U46503" s="9"/>
      <c r="X46503" s="9"/>
    </row>
    <row r="46504">
      <c r="D46504" s="9"/>
      <c r="G46504" s="9"/>
      <c r="J46504" s="11"/>
      <c r="U46504" s="9"/>
      <c r="X46504" s="9"/>
    </row>
    <row r="46505">
      <c r="D46505" s="9"/>
      <c r="G46505" s="9"/>
      <c r="J46505" s="11"/>
      <c r="U46505" s="9"/>
      <c r="X46505" s="9"/>
    </row>
    <row r="46506">
      <c r="D46506" s="9"/>
      <c r="G46506" s="9"/>
      <c r="J46506" s="11"/>
      <c r="U46506" s="9"/>
      <c r="X46506" s="9"/>
    </row>
    <row r="46507">
      <c r="D46507" s="9"/>
      <c r="G46507" s="9"/>
      <c r="J46507" s="11"/>
      <c r="U46507" s="9"/>
      <c r="X46507" s="9"/>
    </row>
    <row r="46508">
      <c r="D46508" s="9"/>
      <c r="G46508" s="9"/>
      <c r="J46508" s="11"/>
      <c r="U46508" s="9"/>
      <c r="X46508" s="9"/>
    </row>
    <row r="46509">
      <c r="D46509" s="9"/>
      <c r="G46509" s="9"/>
      <c r="J46509" s="11"/>
      <c r="U46509" s="9"/>
      <c r="X46509" s="9"/>
    </row>
    <row r="46510">
      <c r="D46510" s="9"/>
      <c r="G46510" s="9"/>
      <c r="J46510" s="11"/>
      <c r="U46510" s="9"/>
      <c r="X46510" s="9"/>
    </row>
    <row r="46511">
      <c r="D46511" s="9"/>
      <c r="G46511" s="9"/>
      <c r="J46511" s="11"/>
      <c r="U46511" s="9"/>
      <c r="X46511" s="9"/>
    </row>
    <row r="46512">
      <c r="D46512" s="9"/>
      <c r="G46512" s="9"/>
      <c r="J46512" s="11"/>
      <c r="U46512" s="9"/>
      <c r="X46512" s="9"/>
    </row>
    <row r="46513">
      <c r="D46513" s="9"/>
      <c r="G46513" s="9"/>
      <c r="J46513" s="11"/>
      <c r="U46513" s="9"/>
      <c r="X46513" s="9"/>
    </row>
    <row r="46514">
      <c r="D46514" s="9"/>
      <c r="G46514" s="9"/>
      <c r="J46514" s="11"/>
      <c r="U46514" s="9"/>
      <c r="X46514" s="9"/>
    </row>
    <row r="46515">
      <c r="D46515" s="9"/>
      <c r="G46515" s="9"/>
      <c r="J46515" s="11"/>
      <c r="U46515" s="9"/>
      <c r="X46515" s="9"/>
    </row>
    <row r="46516">
      <c r="D46516" s="9"/>
      <c r="G46516" s="9"/>
      <c r="J46516" s="11"/>
      <c r="U46516" s="9"/>
      <c r="X46516" s="9"/>
    </row>
    <row r="46517">
      <c r="D46517" s="9"/>
      <c r="G46517" s="9"/>
      <c r="J46517" s="11"/>
      <c r="U46517" s="9"/>
      <c r="X46517" s="9"/>
    </row>
    <row r="46518">
      <c r="D46518" s="9"/>
      <c r="G46518" s="9"/>
      <c r="J46518" s="11"/>
      <c r="U46518" s="9"/>
      <c r="X46518" s="9"/>
    </row>
    <row r="46519">
      <c r="D46519" s="9"/>
      <c r="G46519" s="9"/>
      <c r="J46519" s="11"/>
      <c r="U46519" s="9"/>
      <c r="X46519" s="9"/>
    </row>
    <row r="46520">
      <c r="D46520" s="9"/>
      <c r="G46520" s="9"/>
      <c r="J46520" s="11"/>
      <c r="U46520" s="9"/>
      <c r="X46520" s="9"/>
    </row>
    <row r="46521">
      <c r="D46521" s="9"/>
      <c r="G46521" s="9"/>
      <c r="J46521" s="11"/>
      <c r="U46521" s="9"/>
      <c r="X46521" s="9"/>
    </row>
    <row r="46522">
      <c r="D46522" s="9"/>
      <c r="G46522" s="9"/>
      <c r="J46522" s="11"/>
      <c r="U46522" s="9"/>
      <c r="X46522" s="9"/>
    </row>
    <row r="46523">
      <c r="D46523" s="9"/>
      <c r="G46523" s="9"/>
      <c r="J46523" s="11"/>
      <c r="U46523" s="9"/>
      <c r="X46523" s="9"/>
    </row>
    <row r="46524">
      <c r="D46524" s="9"/>
      <c r="G46524" s="9"/>
      <c r="J46524" s="11"/>
      <c r="U46524" s="9"/>
      <c r="X46524" s="9"/>
    </row>
    <row r="46525">
      <c r="D46525" s="9"/>
      <c r="G46525" s="9"/>
      <c r="J46525" s="11"/>
      <c r="U46525" s="9"/>
      <c r="X46525" s="9"/>
    </row>
    <row r="46526">
      <c r="D46526" s="9"/>
      <c r="G46526" s="9"/>
      <c r="J46526" s="11"/>
      <c r="U46526" s="9"/>
      <c r="X46526" s="9"/>
    </row>
    <row r="46527">
      <c r="D46527" s="9"/>
      <c r="G46527" s="9"/>
      <c r="J46527" s="11"/>
      <c r="U46527" s="9"/>
      <c r="X46527" s="9"/>
    </row>
    <row r="46528">
      <c r="D46528" s="9"/>
      <c r="G46528" s="9"/>
      <c r="J46528" s="11"/>
      <c r="U46528" s="9"/>
      <c r="X46528" s="9"/>
    </row>
    <row r="46529">
      <c r="D46529" s="9"/>
      <c r="G46529" s="9"/>
      <c r="J46529" s="11"/>
      <c r="U46529" s="9"/>
      <c r="X46529" s="9"/>
    </row>
    <row r="46530">
      <c r="D46530" s="9"/>
      <c r="G46530" s="9"/>
      <c r="J46530" s="11"/>
      <c r="U46530" s="9"/>
      <c r="X46530" s="9"/>
    </row>
    <row r="46531">
      <c r="D46531" s="9"/>
      <c r="G46531" s="9"/>
      <c r="J46531" s="11"/>
      <c r="U46531" s="9"/>
      <c r="X46531" s="9"/>
    </row>
    <row r="46532">
      <c r="D46532" s="9"/>
      <c r="G46532" s="9"/>
      <c r="J46532" s="11"/>
      <c r="U46532" s="9"/>
      <c r="X46532" s="9"/>
    </row>
    <row r="46533">
      <c r="D46533" s="9"/>
      <c r="G46533" s="9"/>
      <c r="J46533" s="11"/>
      <c r="U46533" s="9"/>
      <c r="X46533" s="9"/>
    </row>
    <row r="46534">
      <c r="D46534" s="9"/>
      <c r="G46534" s="9"/>
      <c r="J46534" s="11"/>
      <c r="U46534" s="9"/>
      <c r="X46534" s="9"/>
    </row>
    <row r="46535">
      <c r="D46535" s="9"/>
      <c r="G46535" s="9"/>
      <c r="J46535" s="11"/>
      <c r="U46535" s="9"/>
      <c r="X46535" s="9"/>
    </row>
    <row r="46536">
      <c r="D46536" s="9"/>
      <c r="G46536" s="9"/>
      <c r="J46536" s="11"/>
      <c r="U46536" s="9"/>
      <c r="X46536" s="9"/>
    </row>
    <row r="46537">
      <c r="D46537" s="9"/>
      <c r="G46537" s="9"/>
      <c r="J46537" s="11"/>
      <c r="U46537" s="9"/>
      <c r="X46537" s="9"/>
    </row>
    <row r="46538">
      <c r="D46538" s="9"/>
      <c r="G46538" s="9"/>
      <c r="J46538" s="11"/>
      <c r="U46538" s="9"/>
      <c r="X46538" s="9"/>
    </row>
    <row r="46539">
      <c r="D46539" s="9"/>
      <c r="G46539" s="9"/>
      <c r="J46539" s="11"/>
      <c r="U46539" s="9"/>
      <c r="X46539" s="9"/>
    </row>
    <row r="46540">
      <c r="D46540" s="9"/>
      <c r="G46540" s="9"/>
      <c r="J46540" s="11"/>
      <c r="U46540" s="9"/>
      <c r="X46540" s="9"/>
    </row>
    <row r="46541">
      <c r="D46541" s="9"/>
      <c r="G46541" s="9"/>
      <c r="J46541" s="11"/>
      <c r="U46541" s="9"/>
      <c r="X46541" s="9"/>
    </row>
    <row r="46542">
      <c r="D46542" s="9"/>
      <c r="G46542" s="9"/>
      <c r="J46542" s="11"/>
      <c r="U46542" s="9"/>
      <c r="X46542" s="9"/>
    </row>
    <row r="46543">
      <c r="D46543" s="9"/>
      <c r="G46543" s="9"/>
      <c r="J46543" s="11"/>
      <c r="U46543" s="9"/>
      <c r="X46543" s="9"/>
    </row>
    <row r="46544">
      <c r="D46544" s="9"/>
      <c r="G46544" s="9"/>
      <c r="J46544" s="11"/>
      <c r="U46544" s="9"/>
      <c r="X46544" s="9"/>
    </row>
    <row r="46545">
      <c r="D46545" s="9"/>
      <c r="G46545" s="9"/>
      <c r="J46545" s="11"/>
      <c r="U46545" s="9"/>
      <c r="X46545" s="9"/>
    </row>
    <row r="46546">
      <c r="D46546" s="9"/>
      <c r="G46546" s="9"/>
      <c r="J46546" s="11"/>
      <c r="U46546" s="9"/>
      <c r="X46546" s="9"/>
    </row>
    <row r="46547">
      <c r="D46547" s="9"/>
      <c r="G46547" s="9"/>
      <c r="J46547" s="11"/>
      <c r="U46547" s="9"/>
      <c r="X46547" s="9"/>
    </row>
    <row r="46548">
      <c r="D46548" s="9"/>
      <c r="G46548" s="9"/>
      <c r="J46548" s="11"/>
      <c r="U46548" s="9"/>
      <c r="X46548" s="9"/>
    </row>
    <row r="46549">
      <c r="D46549" s="9"/>
      <c r="G46549" s="9"/>
      <c r="J46549" s="11"/>
      <c r="U46549" s="9"/>
      <c r="X46549" s="9"/>
    </row>
    <row r="46550">
      <c r="D46550" s="9"/>
      <c r="G46550" s="9"/>
      <c r="J46550" s="11"/>
      <c r="U46550" s="9"/>
      <c r="X46550" s="9"/>
    </row>
    <row r="46551">
      <c r="D46551" s="9"/>
      <c r="G46551" s="9"/>
      <c r="J46551" s="11"/>
      <c r="U46551" s="9"/>
      <c r="X46551" s="9"/>
    </row>
    <row r="46552">
      <c r="D46552" s="9"/>
      <c r="G46552" s="9"/>
      <c r="J46552" s="11"/>
      <c r="U46552" s="9"/>
      <c r="X46552" s="9"/>
    </row>
    <row r="46553">
      <c r="D46553" s="9"/>
      <c r="G46553" s="9"/>
      <c r="J46553" s="11"/>
      <c r="U46553" s="9"/>
      <c r="X46553" s="9"/>
    </row>
    <row r="46554">
      <c r="D46554" s="9"/>
      <c r="G46554" s="9"/>
      <c r="J46554" s="11"/>
      <c r="U46554" s="9"/>
      <c r="X46554" s="9"/>
    </row>
    <row r="46555">
      <c r="D46555" s="9"/>
      <c r="G46555" s="9"/>
      <c r="J46555" s="11"/>
      <c r="U46555" s="9"/>
      <c r="X46555" s="9"/>
    </row>
    <row r="46556">
      <c r="D46556" s="9"/>
      <c r="G46556" s="9"/>
      <c r="J46556" s="11"/>
      <c r="U46556" s="9"/>
      <c r="X46556" s="9"/>
    </row>
    <row r="46557">
      <c r="D46557" s="9"/>
      <c r="G46557" s="9"/>
      <c r="J46557" s="11"/>
      <c r="U46557" s="9"/>
      <c r="X46557" s="9"/>
    </row>
    <row r="46558">
      <c r="D46558" s="9"/>
      <c r="G46558" s="9"/>
      <c r="J46558" s="11"/>
      <c r="U46558" s="9"/>
      <c r="X46558" s="9"/>
    </row>
    <row r="46559">
      <c r="D46559" s="9"/>
      <c r="G46559" s="9"/>
      <c r="J46559" s="11"/>
      <c r="U46559" s="9"/>
      <c r="X46559" s="9"/>
    </row>
    <row r="46560">
      <c r="D46560" s="9"/>
      <c r="G46560" s="9"/>
      <c r="J46560" s="11"/>
      <c r="U46560" s="9"/>
      <c r="X46560" s="9"/>
    </row>
    <row r="46561">
      <c r="D46561" s="9"/>
      <c r="G46561" s="9"/>
      <c r="J46561" s="11"/>
      <c r="U46561" s="9"/>
      <c r="X46561" s="9"/>
    </row>
    <row r="46562">
      <c r="D46562" s="9"/>
      <c r="G46562" s="9"/>
      <c r="J46562" s="11"/>
      <c r="U46562" s="9"/>
      <c r="X46562" s="9"/>
    </row>
    <row r="46563">
      <c r="D46563" s="9"/>
      <c r="G46563" s="9"/>
      <c r="J46563" s="11"/>
      <c r="U46563" s="9"/>
      <c r="X46563" s="9"/>
    </row>
    <row r="46564">
      <c r="D46564" s="9"/>
      <c r="G46564" s="9"/>
      <c r="J46564" s="11"/>
      <c r="U46564" s="9"/>
      <c r="X46564" s="9"/>
    </row>
    <row r="46565">
      <c r="D46565" s="9"/>
      <c r="G46565" s="9"/>
      <c r="J46565" s="11"/>
      <c r="U46565" s="9"/>
      <c r="X46565" s="9"/>
    </row>
    <row r="46566">
      <c r="D46566" s="9"/>
      <c r="G46566" s="9"/>
      <c r="J46566" s="11"/>
      <c r="U46566" s="9"/>
      <c r="X46566" s="9"/>
    </row>
    <row r="46567">
      <c r="D46567" s="9"/>
      <c r="G46567" s="9"/>
      <c r="J46567" s="11"/>
      <c r="U46567" s="9"/>
      <c r="X46567" s="9"/>
    </row>
    <row r="46568">
      <c r="D46568" s="9"/>
      <c r="G46568" s="9"/>
      <c r="J46568" s="11"/>
      <c r="U46568" s="9"/>
      <c r="X46568" s="9"/>
    </row>
    <row r="46569">
      <c r="D46569" s="9"/>
      <c r="G46569" s="9"/>
      <c r="J46569" s="11"/>
      <c r="U46569" s="9"/>
      <c r="X46569" s="9"/>
    </row>
    <row r="46570">
      <c r="D46570" s="9"/>
      <c r="G46570" s="9"/>
      <c r="J46570" s="11"/>
      <c r="U46570" s="9"/>
      <c r="X46570" s="9"/>
    </row>
    <row r="46571">
      <c r="D46571" s="9"/>
      <c r="G46571" s="9"/>
      <c r="J46571" s="11"/>
      <c r="U46571" s="9"/>
      <c r="X46571" s="9"/>
    </row>
    <row r="46572">
      <c r="D46572" s="9"/>
      <c r="G46572" s="9"/>
      <c r="J46572" s="11"/>
      <c r="U46572" s="9"/>
      <c r="X46572" s="9"/>
    </row>
    <row r="46573">
      <c r="D46573" s="9"/>
      <c r="G46573" s="9"/>
      <c r="J46573" s="11"/>
      <c r="U46573" s="9"/>
      <c r="X46573" s="9"/>
    </row>
    <row r="46574">
      <c r="D46574" s="9"/>
      <c r="G46574" s="9"/>
      <c r="J46574" s="11"/>
      <c r="U46574" s="9"/>
      <c r="X46574" s="9"/>
    </row>
    <row r="46575">
      <c r="D46575" s="9"/>
      <c r="G46575" s="9"/>
      <c r="J46575" s="11"/>
      <c r="U46575" s="9"/>
      <c r="X46575" s="9"/>
    </row>
    <row r="46576">
      <c r="D46576" s="9"/>
      <c r="G46576" s="9"/>
      <c r="J46576" s="11"/>
      <c r="U46576" s="9"/>
      <c r="X46576" s="9"/>
    </row>
    <row r="46577">
      <c r="D46577" s="9"/>
      <c r="G46577" s="9"/>
      <c r="J46577" s="11"/>
      <c r="U46577" s="9"/>
      <c r="X46577" s="9"/>
    </row>
    <row r="46578">
      <c r="D46578" s="9"/>
      <c r="G46578" s="9"/>
      <c r="J46578" s="11"/>
      <c r="U46578" s="9"/>
      <c r="X46578" s="9"/>
    </row>
    <row r="46579">
      <c r="D46579" s="9"/>
      <c r="G46579" s="9"/>
      <c r="J46579" s="11"/>
      <c r="U46579" s="9"/>
      <c r="X46579" s="9"/>
    </row>
    <row r="46580">
      <c r="D46580" s="9"/>
      <c r="G46580" s="9"/>
      <c r="J46580" s="11"/>
      <c r="U46580" s="9"/>
      <c r="X46580" s="9"/>
    </row>
    <row r="46581">
      <c r="D46581" s="9"/>
      <c r="G46581" s="9"/>
      <c r="J46581" s="11"/>
      <c r="U46581" s="9"/>
      <c r="X46581" s="9"/>
    </row>
    <row r="46582">
      <c r="D46582" s="9"/>
      <c r="G46582" s="9"/>
      <c r="J46582" s="11"/>
      <c r="U46582" s="9"/>
      <c r="X46582" s="9"/>
    </row>
    <row r="46583">
      <c r="D46583" s="9"/>
      <c r="G46583" s="9"/>
      <c r="J46583" s="11"/>
      <c r="U46583" s="9"/>
      <c r="X46583" s="9"/>
    </row>
    <row r="46584">
      <c r="D46584" s="9"/>
      <c r="G46584" s="9"/>
      <c r="J46584" s="11"/>
      <c r="U46584" s="9"/>
      <c r="X46584" s="9"/>
    </row>
    <row r="46585">
      <c r="D46585" s="9"/>
      <c r="G46585" s="9"/>
      <c r="J46585" s="11"/>
      <c r="U46585" s="9"/>
      <c r="X46585" s="9"/>
    </row>
    <row r="46586">
      <c r="D46586" s="9"/>
      <c r="G46586" s="9"/>
      <c r="J46586" s="11"/>
      <c r="U46586" s="9"/>
      <c r="X46586" s="9"/>
    </row>
    <row r="46587">
      <c r="D46587" s="9"/>
      <c r="G46587" s="9"/>
      <c r="J46587" s="11"/>
      <c r="U46587" s="9"/>
      <c r="X46587" s="9"/>
    </row>
    <row r="46588">
      <c r="D46588" s="9"/>
      <c r="G46588" s="9"/>
      <c r="J46588" s="11"/>
      <c r="U46588" s="9"/>
      <c r="X46588" s="9"/>
    </row>
    <row r="46589">
      <c r="D46589" s="9"/>
      <c r="G46589" s="9"/>
      <c r="J46589" s="11"/>
      <c r="U46589" s="9"/>
      <c r="X46589" s="9"/>
    </row>
    <row r="46590">
      <c r="D46590" s="9"/>
      <c r="G46590" s="9"/>
      <c r="J46590" s="11"/>
      <c r="U46590" s="9"/>
      <c r="X46590" s="9"/>
    </row>
    <row r="46591">
      <c r="D46591" s="9"/>
      <c r="G46591" s="9"/>
      <c r="J46591" s="11"/>
      <c r="U46591" s="9"/>
      <c r="X46591" s="9"/>
    </row>
    <row r="46592">
      <c r="D46592" s="9"/>
      <c r="G46592" s="9"/>
      <c r="J46592" s="11"/>
      <c r="U46592" s="9"/>
      <c r="X46592" s="9"/>
    </row>
    <row r="46593">
      <c r="D46593" s="9"/>
      <c r="G46593" s="9"/>
      <c r="J46593" s="11"/>
      <c r="U46593" s="9"/>
      <c r="X46593" s="9"/>
    </row>
    <row r="46594">
      <c r="D46594" s="9"/>
      <c r="G46594" s="9"/>
      <c r="J46594" s="11"/>
      <c r="U46594" s="9"/>
      <c r="X46594" s="9"/>
    </row>
    <row r="46595">
      <c r="D46595" s="9"/>
      <c r="G46595" s="9"/>
      <c r="J46595" s="11"/>
      <c r="U46595" s="9"/>
      <c r="X46595" s="9"/>
    </row>
    <row r="46596">
      <c r="D46596" s="9"/>
      <c r="G46596" s="9"/>
      <c r="J46596" s="11"/>
      <c r="U46596" s="9"/>
      <c r="X46596" s="9"/>
    </row>
    <row r="46597">
      <c r="D46597" s="9"/>
      <c r="G46597" s="9"/>
      <c r="J46597" s="11"/>
      <c r="U46597" s="9"/>
      <c r="X46597" s="9"/>
    </row>
    <row r="46598">
      <c r="D46598" s="9"/>
      <c r="G46598" s="9"/>
      <c r="J46598" s="11"/>
      <c r="U46598" s="9"/>
      <c r="X46598" s="9"/>
    </row>
    <row r="46599">
      <c r="D46599" s="9"/>
      <c r="G46599" s="9"/>
      <c r="J46599" s="11"/>
      <c r="U46599" s="9"/>
      <c r="X46599" s="9"/>
    </row>
    <row r="46600">
      <c r="D46600" s="9"/>
      <c r="G46600" s="9"/>
      <c r="J46600" s="11"/>
      <c r="U46600" s="9"/>
      <c r="X46600" s="9"/>
    </row>
    <row r="46601">
      <c r="D46601" s="9"/>
      <c r="G46601" s="9"/>
      <c r="J46601" s="11"/>
      <c r="U46601" s="9"/>
      <c r="X46601" s="9"/>
    </row>
    <row r="46602">
      <c r="D46602" s="9"/>
      <c r="G46602" s="9"/>
      <c r="J46602" s="11"/>
      <c r="U46602" s="9"/>
      <c r="X46602" s="9"/>
    </row>
    <row r="46603">
      <c r="D46603" s="9"/>
      <c r="G46603" s="9"/>
      <c r="J46603" s="11"/>
      <c r="U46603" s="9"/>
      <c r="X46603" s="9"/>
    </row>
    <row r="46604">
      <c r="D46604" s="9"/>
      <c r="G46604" s="9"/>
      <c r="J46604" s="11"/>
      <c r="U46604" s="9"/>
      <c r="X46604" s="9"/>
    </row>
    <row r="46605">
      <c r="D46605" s="9"/>
      <c r="G46605" s="9"/>
      <c r="J46605" s="11"/>
      <c r="U46605" s="9"/>
      <c r="X46605" s="9"/>
    </row>
    <row r="46606">
      <c r="D46606" s="9"/>
      <c r="G46606" s="9"/>
      <c r="J46606" s="11"/>
      <c r="U46606" s="9"/>
      <c r="X46606" s="9"/>
    </row>
    <row r="46607">
      <c r="D46607" s="9"/>
      <c r="G46607" s="9"/>
      <c r="J46607" s="11"/>
      <c r="U46607" s="9"/>
      <c r="X46607" s="9"/>
    </row>
    <row r="46608">
      <c r="D46608" s="9"/>
      <c r="G46608" s="9"/>
      <c r="J46608" s="11"/>
      <c r="U46608" s="9"/>
      <c r="X46608" s="9"/>
    </row>
    <row r="46609">
      <c r="D46609" s="9"/>
      <c r="G46609" s="9"/>
      <c r="J46609" s="11"/>
      <c r="U46609" s="9"/>
      <c r="X46609" s="9"/>
    </row>
    <row r="46610">
      <c r="D46610" s="9"/>
      <c r="G46610" s="9"/>
      <c r="J46610" s="11"/>
      <c r="U46610" s="9"/>
      <c r="X46610" s="9"/>
    </row>
    <row r="46611">
      <c r="D46611" s="9"/>
      <c r="G46611" s="9"/>
      <c r="J46611" s="11"/>
      <c r="U46611" s="9"/>
      <c r="X46611" s="9"/>
    </row>
    <row r="46612">
      <c r="D46612" s="9"/>
      <c r="G46612" s="9"/>
      <c r="J46612" s="11"/>
      <c r="U46612" s="9"/>
      <c r="X46612" s="9"/>
    </row>
    <row r="46613">
      <c r="D46613" s="9"/>
      <c r="G46613" s="9"/>
      <c r="J46613" s="11"/>
      <c r="U46613" s="9"/>
      <c r="X46613" s="9"/>
    </row>
    <row r="46614">
      <c r="D46614" s="9"/>
      <c r="G46614" s="9"/>
      <c r="J46614" s="11"/>
      <c r="U46614" s="9"/>
      <c r="X46614" s="9"/>
    </row>
    <row r="46615">
      <c r="D46615" s="9"/>
      <c r="G46615" s="9"/>
      <c r="J46615" s="11"/>
      <c r="U46615" s="9"/>
      <c r="X46615" s="9"/>
    </row>
    <row r="46616">
      <c r="D46616" s="9"/>
      <c r="G46616" s="9"/>
      <c r="J46616" s="11"/>
      <c r="U46616" s="9"/>
      <c r="X46616" s="9"/>
    </row>
    <row r="46617">
      <c r="D46617" s="9"/>
      <c r="G46617" s="9"/>
      <c r="J46617" s="11"/>
      <c r="U46617" s="9"/>
      <c r="X46617" s="9"/>
    </row>
    <row r="46618">
      <c r="D46618" s="9"/>
      <c r="G46618" s="9"/>
      <c r="J46618" s="11"/>
      <c r="U46618" s="9"/>
      <c r="X46618" s="9"/>
    </row>
    <row r="46619">
      <c r="D46619" s="9"/>
      <c r="G46619" s="9"/>
      <c r="J46619" s="11"/>
      <c r="U46619" s="9"/>
      <c r="X46619" s="9"/>
    </row>
    <row r="46620">
      <c r="D46620" s="9"/>
      <c r="G46620" s="9"/>
      <c r="J46620" s="11"/>
      <c r="U46620" s="9"/>
      <c r="X46620" s="9"/>
    </row>
    <row r="46621">
      <c r="D46621" s="9"/>
      <c r="G46621" s="9"/>
      <c r="J46621" s="11"/>
      <c r="U46621" s="9"/>
      <c r="X46621" s="9"/>
    </row>
    <row r="46622">
      <c r="D46622" s="9"/>
      <c r="G46622" s="9"/>
      <c r="J46622" s="11"/>
      <c r="U46622" s="9"/>
      <c r="X46622" s="9"/>
    </row>
    <row r="46623">
      <c r="D46623" s="9"/>
      <c r="G46623" s="9"/>
      <c r="J46623" s="11"/>
      <c r="U46623" s="9"/>
      <c r="X46623" s="9"/>
    </row>
    <row r="46624">
      <c r="D46624" s="9"/>
      <c r="G46624" s="9"/>
      <c r="J46624" s="11"/>
      <c r="U46624" s="9"/>
      <c r="X46624" s="9"/>
    </row>
    <row r="46625">
      <c r="D46625" s="9"/>
      <c r="G46625" s="9"/>
      <c r="J46625" s="11"/>
      <c r="U46625" s="9"/>
      <c r="X46625" s="9"/>
    </row>
    <row r="46626">
      <c r="D46626" s="9"/>
      <c r="G46626" s="9"/>
      <c r="J46626" s="11"/>
      <c r="U46626" s="9"/>
      <c r="X46626" s="9"/>
    </row>
    <row r="46627">
      <c r="D46627" s="9"/>
      <c r="G46627" s="9"/>
      <c r="J46627" s="11"/>
      <c r="U46627" s="9"/>
      <c r="X46627" s="9"/>
    </row>
    <row r="46628">
      <c r="D46628" s="9"/>
      <c r="G46628" s="9"/>
      <c r="J46628" s="11"/>
      <c r="U46628" s="9"/>
      <c r="X46628" s="9"/>
    </row>
    <row r="46629">
      <c r="D46629" s="9"/>
      <c r="G46629" s="9"/>
      <c r="J46629" s="11"/>
      <c r="U46629" s="9"/>
      <c r="X46629" s="9"/>
    </row>
    <row r="46630">
      <c r="D46630" s="9"/>
      <c r="G46630" s="9"/>
      <c r="J46630" s="11"/>
      <c r="U46630" s="9"/>
      <c r="X46630" s="9"/>
    </row>
    <row r="46631">
      <c r="D46631" s="9"/>
      <c r="G46631" s="9"/>
      <c r="J46631" s="11"/>
      <c r="U46631" s="9"/>
      <c r="X46631" s="9"/>
    </row>
    <row r="46632">
      <c r="D46632" s="9"/>
      <c r="G46632" s="9"/>
      <c r="J46632" s="11"/>
      <c r="U46632" s="9"/>
      <c r="X46632" s="9"/>
    </row>
    <row r="46633">
      <c r="D46633" s="9"/>
      <c r="G46633" s="9"/>
      <c r="J46633" s="11"/>
      <c r="U46633" s="9"/>
      <c r="X46633" s="9"/>
    </row>
    <row r="46634">
      <c r="D46634" s="9"/>
      <c r="G46634" s="9"/>
      <c r="J46634" s="11"/>
      <c r="U46634" s="9"/>
      <c r="X46634" s="9"/>
    </row>
    <row r="46635">
      <c r="D46635" s="9"/>
      <c r="G46635" s="9"/>
      <c r="J46635" s="11"/>
      <c r="U46635" s="9"/>
      <c r="X46635" s="9"/>
    </row>
    <row r="46636">
      <c r="D46636" s="9"/>
      <c r="G46636" s="9"/>
      <c r="J46636" s="11"/>
      <c r="U46636" s="9"/>
      <c r="X46636" s="9"/>
    </row>
    <row r="46637">
      <c r="D46637" s="9"/>
      <c r="G46637" s="9"/>
      <c r="J46637" s="11"/>
      <c r="U46637" s="9"/>
      <c r="X46637" s="9"/>
    </row>
    <row r="46638">
      <c r="D46638" s="9"/>
      <c r="G46638" s="9"/>
      <c r="J46638" s="11"/>
      <c r="U46638" s="9"/>
      <c r="X46638" s="9"/>
    </row>
    <row r="46639">
      <c r="D46639" s="9"/>
      <c r="G46639" s="9"/>
      <c r="J46639" s="11"/>
      <c r="U46639" s="9"/>
      <c r="X46639" s="9"/>
    </row>
    <row r="46640">
      <c r="D46640" s="9"/>
      <c r="G46640" s="9"/>
      <c r="J46640" s="11"/>
      <c r="U46640" s="9"/>
      <c r="X46640" s="9"/>
    </row>
    <row r="46641">
      <c r="D46641" s="9"/>
      <c r="G46641" s="9"/>
      <c r="J46641" s="11"/>
      <c r="U46641" s="9"/>
      <c r="X46641" s="9"/>
    </row>
    <row r="46642">
      <c r="D46642" s="9"/>
      <c r="G46642" s="9"/>
      <c r="J46642" s="11"/>
      <c r="U46642" s="9"/>
      <c r="X46642" s="9"/>
    </row>
    <row r="46643">
      <c r="D46643" s="9"/>
      <c r="G46643" s="9"/>
      <c r="J46643" s="11"/>
      <c r="U46643" s="9"/>
      <c r="X46643" s="9"/>
    </row>
    <row r="46644">
      <c r="D46644" s="9"/>
      <c r="G46644" s="9"/>
      <c r="J46644" s="11"/>
      <c r="U46644" s="9"/>
      <c r="X46644" s="9"/>
    </row>
    <row r="46645">
      <c r="D46645" s="9"/>
      <c r="G46645" s="9"/>
      <c r="J46645" s="11"/>
      <c r="U46645" s="9"/>
      <c r="X46645" s="9"/>
    </row>
    <row r="46646">
      <c r="D46646" s="9"/>
      <c r="G46646" s="9"/>
      <c r="J46646" s="11"/>
      <c r="U46646" s="9"/>
      <c r="X46646" s="9"/>
    </row>
    <row r="46647">
      <c r="D46647" s="9"/>
      <c r="G46647" s="9"/>
      <c r="J46647" s="11"/>
      <c r="U46647" s="9"/>
      <c r="X46647" s="9"/>
    </row>
    <row r="46648">
      <c r="D46648" s="9"/>
      <c r="G46648" s="9"/>
      <c r="J46648" s="11"/>
      <c r="U46648" s="9"/>
      <c r="X46648" s="9"/>
    </row>
    <row r="46649">
      <c r="D46649" s="9"/>
      <c r="G46649" s="9"/>
      <c r="J46649" s="11"/>
      <c r="U46649" s="9"/>
      <c r="X46649" s="9"/>
    </row>
    <row r="46650">
      <c r="D46650" s="9"/>
      <c r="G46650" s="9"/>
      <c r="J46650" s="11"/>
      <c r="U46650" s="9"/>
      <c r="X46650" s="9"/>
    </row>
    <row r="46651">
      <c r="D46651" s="9"/>
      <c r="G46651" s="9"/>
      <c r="J46651" s="11"/>
      <c r="U46651" s="9"/>
      <c r="X46651" s="9"/>
    </row>
    <row r="46652">
      <c r="D46652" s="9"/>
      <c r="G46652" s="9"/>
      <c r="J46652" s="11"/>
      <c r="U46652" s="9"/>
      <c r="X46652" s="9"/>
    </row>
    <row r="46653">
      <c r="D46653" s="9"/>
      <c r="G46653" s="9"/>
      <c r="J46653" s="11"/>
      <c r="U46653" s="9"/>
      <c r="X46653" s="9"/>
    </row>
    <row r="46654">
      <c r="D46654" s="9"/>
      <c r="G46654" s="9"/>
      <c r="J46654" s="11"/>
      <c r="U46654" s="9"/>
      <c r="X46654" s="9"/>
    </row>
    <row r="46655">
      <c r="D46655" s="9"/>
      <c r="G46655" s="9"/>
      <c r="J46655" s="11"/>
      <c r="U46655" s="9"/>
      <c r="X46655" s="9"/>
    </row>
    <row r="46656">
      <c r="D46656" s="9"/>
      <c r="G46656" s="9"/>
      <c r="J46656" s="11"/>
      <c r="U46656" s="9"/>
      <c r="X46656" s="9"/>
    </row>
    <row r="46657">
      <c r="D46657" s="9"/>
      <c r="G46657" s="9"/>
      <c r="J46657" s="11"/>
      <c r="U46657" s="9"/>
      <c r="X46657" s="9"/>
    </row>
    <row r="46658">
      <c r="D46658" s="9"/>
      <c r="G46658" s="9"/>
      <c r="J46658" s="11"/>
      <c r="U46658" s="9"/>
      <c r="X46658" s="9"/>
    </row>
    <row r="46659">
      <c r="D46659" s="9"/>
      <c r="G46659" s="9"/>
      <c r="J46659" s="11"/>
      <c r="U46659" s="9"/>
      <c r="X46659" s="9"/>
    </row>
    <row r="46660">
      <c r="D46660" s="9"/>
      <c r="G46660" s="9"/>
      <c r="J46660" s="11"/>
      <c r="U46660" s="9"/>
      <c r="X46660" s="9"/>
    </row>
    <row r="46661">
      <c r="D46661" s="9"/>
      <c r="G46661" s="9"/>
      <c r="J46661" s="11"/>
      <c r="U46661" s="9"/>
      <c r="X46661" s="9"/>
    </row>
    <row r="46662">
      <c r="D46662" s="9"/>
      <c r="G46662" s="9"/>
      <c r="J46662" s="11"/>
      <c r="U46662" s="9"/>
      <c r="X46662" s="9"/>
    </row>
    <row r="46663">
      <c r="D46663" s="9"/>
      <c r="G46663" s="9"/>
      <c r="J46663" s="11"/>
      <c r="U46663" s="9"/>
      <c r="X46663" s="9"/>
    </row>
    <row r="46664">
      <c r="D46664" s="9"/>
      <c r="G46664" s="9"/>
      <c r="J46664" s="11"/>
      <c r="U46664" s="9"/>
      <c r="X46664" s="9"/>
    </row>
    <row r="46665">
      <c r="D46665" s="9"/>
      <c r="G46665" s="9"/>
      <c r="J46665" s="11"/>
      <c r="U46665" s="9"/>
      <c r="X46665" s="9"/>
    </row>
    <row r="46666">
      <c r="D46666" s="9"/>
      <c r="G46666" s="9"/>
      <c r="J46666" s="11"/>
      <c r="U46666" s="9"/>
      <c r="X46666" s="9"/>
    </row>
    <row r="46667">
      <c r="D46667" s="9"/>
      <c r="G46667" s="9"/>
      <c r="J46667" s="11"/>
      <c r="U46667" s="9"/>
      <c r="X46667" s="9"/>
    </row>
    <row r="46668">
      <c r="D46668" s="9"/>
      <c r="G46668" s="9"/>
      <c r="J46668" s="11"/>
      <c r="U46668" s="9"/>
      <c r="X46668" s="9"/>
    </row>
    <row r="46669">
      <c r="D46669" s="9"/>
      <c r="G46669" s="9"/>
      <c r="J46669" s="11"/>
      <c r="U46669" s="9"/>
      <c r="X46669" s="9"/>
    </row>
    <row r="46670">
      <c r="D46670" s="9"/>
      <c r="G46670" s="9"/>
      <c r="J46670" s="11"/>
      <c r="U46670" s="9"/>
      <c r="X46670" s="9"/>
    </row>
    <row r="46671">
      <c r="D46671" s="9"/>
      <c r="G46671" s="9"/>
      <c r="J46671" s="11"/>
      <c r="U46671" s="9"/>
      <c r="X46671" s="9"/>
    </row>
    <row r="46672">
      <c r="D46672" s="9"/>
      <c r="G46672" s="9"/>
      <c r="J46672" s="11"/>
      <c r="U46672" s="9"/>
      <c r="X46672" s="9"/>
    </row>
    <row r="46673">
      <c r="D46673" s="9"/>
      <c r="G46673" s="9"/>
      <c r="J46673" s="11"/>
      <c r="U46673" s="9"/>
      <c r="X46673" s="9"/>
    </row>
    <row r="46674">
      <c r="D46674" s="9"/>
      <c r="G46674" s="9"/>
      <c r="J46674" s="11"/>
      <c r="U46674" s="9"/>
      <c r="X46674" s="9"/>
    </row>
    <row r="46675">
      <c r="D46675" s="9"/>
      <c r="G46675" s="9"/>
      <c r="J46675" s="11"/>
      <c r="U46675" s="9"/>
      <c r="X46675" s="9"/>
    </row>
    <row r="46676">
      <c r="D46676" s="9"/>
      <c r="G46676" s="9"/>
      <c r="J46676" s="11"/>
      <c r="U46676" s="9"/>
      <c r="X46676" s="9"/>
    </row>
    <row r="46677">
      <c r="D46677" s="9"/>
      <c r="G46677" s="9"/>
      <c r="J46677" s="11"/>
      <c r="U46677" s="9"/>
      <c r="X46677" s="9"/>
    </row>
    <row r="46678">
      <c r="D46678" s="9"/>
      <c r="G46678" s="9"/>
      <c r="J46678" s="11"/>
      <c r="U46678" s="9"/>
      <c r="X46678" s="9"/>
    </row>
    <row r="46679">
      <c r="D46679" s="9"/>
      <c r="G46679" s="9"/>
      <c r="J46679" s="11"/>
      <c r="U46679" s="9"/>
      <c r="X46679" s="9"/>
    </row>
    <row r="46680">
      <c r="D46680" s="9"/>
      <c r="G46680" s="9"/>
      <c r="J46680" s="11"/>
      <c r="U46680" s="9"/>
      <c r="X46680" s="9"/>
    </row>
    <row r="46681">
      <c r="D46681" s="9"/>
      <c r="G46681" s="9"/>
      <c r="J46681" s="11"/>
      <c r="U46681" s="9"/>
      <c r="X46681" s="9"/>
    </row>
    <row r="46682">
      <c r="D46682" s="9"/>
      <c r="G46682" s="9"/>
      <c r="J46682" s="11"/>
      <c r="U46682" s="9"/>
      <c r="X46682" s="9"/>
    </row>
    <row r="46683">
      <c r="D46683" s="9"/>
      <c r="G46683" s="9"/>
      <c r="J46683" s="11"/>
      <c r="U46683" s="9"/>
      <c r="X46683" s="9"/>
    </row>
    <row r="46684">
      <c r="D46684" s="9"/>
      <c r="G46684" s="9"/>
      <c r="J46684" s="11"/>
      <c r="U46684" s="9"/>
      <c r="X46684" s="9"/>
    </row>
    <row r="46685">
      <c r="D46685" s="9"/>
      <c r="G46685" s="9"/>
      <c r="J46685" s="11"/>
      <c r="U46685" s="9"/>
      <c r="X46685" s="9"/>
    </row>
    <row r="46686">
      <c r="D46686" s="9"/>
      <c r="G46686" s="9"/>
      <c r="J46686" s="11"/>
      <c r="U46686" s="9"/>
      <c r="X46686" s="9"/>
    </row>
    <row r="46687">
      <c r="D46687" s="9"/>
      <c r="G46687" s="9"/>
      <c r="J46687" s="11"/>
      <c r="U46687" s="9"/>
      <c r="X46687" s="9"/>
    </row>
    <row r="46688">
      <c r="D46688" s="9"/>
      <c r="G46688" s="9"/>
      <c r="J46688" s="11"/>
      <c r="U46688" s="9"/>
      <c r="X46688" s="9"/>
    </row>
    <row r="46689">
      <c r="D46689" s="9"/>
      <c r="G46689" s="9"/>
      <c r="J46689" s="11"/>
      <c r="U46689" s="9"/>
      <c r="X46689" s="9"/>
    </row>
    <row r="46690">
      <c r="D46690" s="9"/>
      <c r="G46690" s="9"/>
      <c r="J46690" s="11"/>
      <c r="U46690" s="9"/>
      <c r="X46690" s="9"/>
    </row>
    <row r="46691">
      <c r="D46691" s="9"/>
      <c r="G46691" s="9"/>
      <c r="J46691" s="11"/>
      <c r="U46691" s="9"/>
      <c r="X46691" s="9"/>
    </row>
    <row r="46692">
      <c r="D46692" s="9"/>
      <c r="G46692" s="9"/>
      <c r="J46692" s="11"/>
      <c r="U46692" s="9"/>
      <c r="X46692" s="9"/>
    </row>
    <row r="46693">
      <c r="D46693" s="9"/>
      <c r="G46693" s="9"/>
      <c r="J46693" s="11"/>
      <c r="U46693" s="9"/>
      <c r="X46693" s="9"/>
    </row>
    <row r="46694">
      <c r="D46694" s="9"/>
      <c r="G46694" s="9"/>
      <c r="J46694" s="11"/>
      <c r="U46694" s="9"/>
      <c r="X46694" s="9"/>
    </row>
    <row r="46695">
      <c r="D46695" s="9"/>
      <c r="G46695" s="9"/>
      <c r="J46695" s="11"/>
      <c r="U46695" s="9"/>
      <c r="X46695" s="9"/>
    </row>
    <row r="46696">
      <c r="D46696" s="9"/>
      <c r="G46696" s="9"/>
      <c r="J46696" s="11"/>
      <c r="U46696" s="9"/>
      <c r="X46696" s="9"/>
    </row>
    <row r="46697">
      <c r="D46697" s="9"/>
      <c r="G46697" s="9"/>
      <c r="J46697" s="11"/>
      <c r="U46697" s="9"/>
      <c r="X46697" s="9"/>
    </row>
    <row r="46698">
      <c r="D46698" s="9"/>
      <c r="G46698" s="9"/>
      <c r="J46698" s="11"/>
      <c r="U46698" s="9"/>
      <c r="X46698" s="9"/>
    </row>
    <row r="46699">
      <c r="D46699" s="9"/>
      <c r="G46699" s="9"/>
      <c r="J46699" s="11"/>
      <c r="U46699" s="9"/>
      <c r="X46699" s="9"/>
    </row>
    <row r="46700">
      <c r="D46700" s="9"/>
      <c r="G46700" s="9"/>
      <c r="J46700" s="11"/>
      <c r="U46700" s="9"/>
      <c r="X46700" s="9"/>
    </row>
    <row r="46701">
      <c r="D46701" s="9"/>
      <c r="G46701" s="9"/>
      <c r="J46701" s="11"/>
      <c r="U46701" s="9"/>
      <c r="X46701" s="9"/>
    </row>
    <row r="46702">
      <c r="D46702" s="9"/>
      <c r="G46702" s="9"/>
      <c r="J46702" s="11"/>
      <c r="U46702" s="9"/>
      <c r="X46702" s="9"/>
    </row>
    <row r="46703">
      <c r="D46703" s="9"/>
      <c r="G46703" s="9"/>
      <c r="J46703" s="11"/>
      <c r="U46703" s="9"/>
      <c r="X46703" s="9"/>
    </row>
    <row r="46704">
      <c r="D46704" s="9"/>
      <c r="G46704" s="9"/>
      <c r="J46704" s="11"/>
      <c r="U46704" s="9"/>
      <c r="X46704" s="9"/>
    </row>
    <row r="46705">
      <c r="D46705" s="9"/>
      <c r="G46705" s="9"/>
      <c r="J46705" s="11"/>
      <c r="U46705" s="9"/>
      <c r="X46705" s="9"/>
    </row>
    <row r="46706">
      <c r="D46706" s="9"/>
      <c r="G46706" s="9"/>
      <c r="J46706" s="11"/>
      <c r="U46706" s="9"/>
      <c r="X46706" s="9"/>
    </row>
    <row r="46707">
      <c r="D46707" s="9"/>
      <c r="G46707" s="9"/>
      <c r="J46707" s="11"/>
      <c r="U46707" s="9"/>
      <c r="X46707" s="9"/>
    </row>
    <row r="46708">
      <c r="D46708" s="9"/>
      <c r="G46708" s="9"/>
      <c r="J46708" s="11"/>
      <c r="U46708" s="9"/>
      <c r="X46708" s="9"/>
    </row>
    <row r="46709">
      <c r="D46709" s="9"/>
      <c r="G46709" s="9"/>
      <c r="J46709" s="11"/>
      <c r="U46709" s="9"/>
      <c r="X46709" s="9"/>
    </row>
    <row r="46710">
      <c r="D46710" s="9"/>
      <c r="G46710" s="9"/>
      <c r="J46710" s="11"/>
      <c r="U46710" s="9"/>
      <c r="X46710" s="9"/>
    </row>
    <row r="46711">
      <c r="D46711" s="9"/>
      <c r="G46711" s="9"/>
      <c r="J46711" s="11"/>
      <c r="U46711" s="9"/>
      <c r="X46711" s="9"/>
    </row>
    <row r="46712">
      <c r="D46712" s="9"/>
      <c r="G46712" s="9"/>
      <c r="J46712" s="11"/>
      <c r="U46712" s="9"/>
      <c r="X46712" s="9"/>
    </row>
    <row r="46713">
      <c r="D46713" s="9"/>
      <c r="G46713" s="9"/>
      <c r="J46713" s="11"/>
      <c r="U46713" s="9"/>
      <c r="X46713" s="9"/>
    </row>
    <row r="46714">
      <c r="D46714" s="9"/>
      <c r="G46714" s="9"/>
      <c r="J46714" s="11"/>
      <c r="U46714" s="9"/>
      <c r="X46714" s="9"/>
    </row>
    <row r="46715">
      <c r="D46715" s="9"/>
      <c r="G46715" s="9"/>
      <c r="J46715" s="11"/>
      <c r="U46715" s="9"/>
      <c r="X46715" s="9"/>
    </row>
    <row r="46716">
      <c r="D46716" s="9"/>
      <c r="G46716" s="9"/>
      <c r="J46716" s="11"/>
      <c r="U46716" s="9"/>
      <c r="X46716" s="9"/>
    </row>
    <row r="46717">
      <c r="D46717" s="9"/>
      <c r="G46717" s="9"/>
      <c r="J46717" s="11"/>
      <c r="U46717" s="9"/>
      <c r="X46717" s="9"/>
    </row>
    <row r="46718">
      <c r="D46718" s="9"/>
      <c r="G46718" s="9"/>
      <c r="J46718" s="11"/>
      <c r="U46718" s="9"/>
      <c r="X46718" s="9"/>
    </row>
    <row r="46719">
      <c r="D46719" s="9"/>
      <c r="G46719" s="9"/>
      <c r="J46719" s="11"/>
      <c r="U46719" s="9"/>
      <c r="X46719" s="9"/>
    </row>
    <row r="46720">
      <c r="D46720" s="9"/>
      <c r="G46720" s="9"/>
      <c r="J46720" s="11"/>
      <c r="U46720" s="9"/>
      <c r="X46720" s="9"/>
    </row>
    <row r="46721">
      <c r="D46721" s="9"/>
      <c r="G46721" s="9"/>
      <c r="J46721" s="11"/>
      <c r="U46721" s="9"/>
      <c r="X46721" s="9"/>
    </row>
    <row r="46722">
      <c r="D46722" s="9"/>
      <c r="G46722" s="9"/>
      <c r="J46722" s="11"/>
      <c r="U46722" s="9"/>
      <c r="X46722" s="9"/>
    </row>
    <row r="46723">
      <c r="D46723" s="9"/>
      <c r="G46723" s="9"/>
      <c r="J46723" s="11"/>
      <c r="U46723" s="9"/>
      <c r="X46723" s="9"/>
    </row>
    <row r="46724">
      <c r="D46724" s="9"/>
      <c r="G46724" s="9"/>
      <c r="J46724" s="11"/>
      <c r="U46724" s="9"/>
      <c r="X46724" s="9"/>
    </row>
    <row r="46725">
      <c r="D46725" s="9"/>
      <c r="G46725" s="9"/>
      <c r="J46725" s="11"/>
      <c r="U46725" s="9"/>
      <c r="X46725" s="9"/>
    </row>
    <row r="46726">
      <c r="D46726" s="9"/>
      <c r="G46726" s="9"/>
      <c r="J46726" s="11"/>
      <c r="U46726" s="9"/>
      <c r="X46726" s="9"/>
    </row>
    <row r="46727">
      <c r="D46727" s="9"/>
      <c r="G46727" s="9"/>
      <c r="J46727" s="11"/>
      <c r="U46727" s="9"/>
      <c r="X46727" s="9"/>
    </row>
    <row r="46728">
      <c r="D46728" s="9"/>
      <c r="G46728" s="9"/>
      <c r="J46728" s="11"/>
      <c r="U46728" s="9"/>
      <c r="X46728" s="9"/>
    </row>
    <row r="46729">
      <c r="D46729" s="9"/>
      <c r="G46729" s="9"/>
      <c r="J46729" s="11"/>
      <c r="U46729" s="9"/>
      <c r="X46729" s="9"/>
    </row>
    <row r="46730">
      <c r="D46730" s="9"/>
      <c r="G46730" s="9"/>
      <c r="J46730" s="11"/>
      <c r="U46730" s="9"/>
      <c r="X46730" s="9"/>
    </row>
    <row r="46731">
      <c r="D46731" s="9"/>
      <c r="G46731" s="9"/>
      <c r="J46731" s="11"/>
      <c r="U46731" s="9"/>
      <c r="X46731" s="9"/>
    </row>
    <row r="46732">
      <c r="D46732" s="9"/>
      <c r="G46732" s="9"/>
      <c r="J46732" s="11"/>
      <c r="U46732" s="9"/>
      <c r="X46732" s="9"/>
    </row>
    <row r="46733">
      <c r="D46733" s="9"/>
      <c r="G46733" s="9"/>
      <c r="J46733" s="11"/>
      <c r="U46733" s="9"/>
      <c r="X46733" s="9"/>
    </row>
    <row r="46734">
      <c r="D46734" s="9"/>
      <c r="G46734" s="9"/>
      <c r="J46734" s="11"/>
      <c r="U46734" s="9"/>
      <c r="X46734" s="9"/>
    </row>
    <row r="46735">
      <c r="D46735" s="9"/>
      <c r="G46735" s="9"/>
      <c r="J46735" s="11"/>
      <c r="U46735" s="9"/>
      <c r="X46735" s="9"/>
    </row>
    <row r="46736">
      <c r="D46736" s="9"/>
      <c r="G46736" s="9"/>
      <c r="J46736" s="11"/>
      <c r="U46736" s="9"/>
      <c r="X46736" s="9"/>
    </row>
    <row r="46737">
      <c r="D46737" s="9"/>
      <c r="G46737" s="9"/>
      <c r="J46737" s="11"/>
      <c r="U46737" s="9"/>
      <c r="X46737" s="9"/>
    </row>
    <row r="46738">
      <c r="D46738" s="9"/>
      <c r="G46738" s="9"/>
      <c r="J46738" s="11"/>
      <c r="U46738" s="9"/>
      <c r="X46738" s="9"/>
    </row>
    <row r="46739">
      <c r="D46739" s="9"/>
      <c r="G46739" s="9"/>
      <c r="J46739" s="11"/>
      <c r="U46739" s="9"/>
      <c r="X46739" s="9"/>
    </row>
    <row r="46740">
      <c r="D46740" s="9"/>
      <c r="G46740" s="9"/>
      <c r="J46740" s="11"/>
      <c r="U46740" s="9"/>
      <c r="X46740" s="9"/>
    </row>
    <row r="46741">
      <c r="D46741" s="9"/>
      <c r="G46741" s="9"/>
      <c r="J46741" s="11"/>
      <c r="U46741" s="9"/>
      <c r="X46741" s="9"/>
    </row>
    <row r="46742">
      <c r="D46742" s="9"/>
      <c r="G46742" s="9"/>
      <c r="J46742" s="11"/>
      <c r="U46742" s="9"/>
      <c r="X46742" s="9"/>
    </row>
    <row r="46743">
      <c r="D46743" s="9"/>
      <c r="G46743" s="9"/>
      <c r="J46743" s="11"/>
      <c r="U46743" s="9"/>
      <c r="X46743" s="9"/>
    </row>
    <row r="46744">
      <c r="D46744" s="9"/>
      <c r="G46744" s="9"/>
      <c r="J46744" s="11"/>
      <c r="U46744" s="9"/>
      <c r="X46744" s="9"/>
    </row>
    <row r="46745">
      <c r="D46745" s="9"/>
      <c r="G46745" s="9"/>
      <c r="J46745" s="11"/>
      <c r="U46745" s="9"/>
      <c r="X46745" s="9"/>
    </row>
    <row r="46746">
      <c r="D46746" s="9"/>
      <c r="G46746" s="9"/>
      <c r="J46746" s="11"/>
      <c r="U46746" s="9"/>
      <c r="X46746" s="9"/>
    </row>
    <row r="46747">
      <c r="D46747" s="9"/>
      <c r="G46747" s="9"/>
      <c r="J46747" s="11"/>
      <c r="U46747" s="9"/>
      <c r="X46747" s="9"/>
    </row>
    <row r="46748">
      <c r="D46748" s="9"/>
      <c r="G46748" s="9"/>
      <c r="J46748" s="11"/>
      <c r="U46748" s="9"/>
      <c r="X46748" s="9"/>
    </row>
    <row r="46749">
      <c r="D46749" s="9"/>
      <c r="G46749" s="9"/>
      <c r="J46749" s="11"/>
      <c r="U46749" s="9"/>
      <c r="X46749" s="9"/>
    </row>
    <row r="46750">
      <c r="D46750" s="9"/>
      <c r="G46750" s="9"/>
      <c r="J46750" s="11"/>
      <c r="U46750" s="9"/>
      <c r="X46750" s="9"/>
    </row>
    <row r="46751">
      <c r="D46751" s="9"/>
      <c r="G46751" s="9"/>
      <c r="J46751" s="11"/>
      <c r="U46751" s="9"/>
      <c r="X46751" s="9"/>
    </row>
    <row r="46752">
      <c r="D46752" s="9"/>
      <c r="G46752" s="9"/>
      <c r="J46752" s="11"/>
      <c r="U46752" s="9"/>
      <c r="X46752" s="9"/>
    </row>
    <row r="46753">
      <c r="D46753" s="9"/>
      <c r="G46753" s="9"/>
      <c r="J46753" s="11"/>
      <c r="U46753" s="9"/>
      <c r="X46753" s="9"/>
    </row>
    <row r="46754">
      <c r="D46754" s="9"/>
      <c r="G46754" s="9"/>
      <c r="J46754" s="11"/>
      <c r="U46754" s="9"/>
      <c r="X46754" s="9"/>
    </row>
    <row r="46755">
      <c r="D46755" s="9"/>
      <c r="G46755" s="9"/>
      <c r="J46755" s="11"/>
      <c r="U46755" s="9"/>
      <c r="X46755" s="9"/>
    </row>
    <row r="46756">
      <c r="D46756" s="9"/>
      <c r="G46756" s="9"/>
      <c r="J46756" s="11"/>
      <c r="U46756" s="9"/>
      <c r="X46756" s="9"/>
    </row>
    <row r="46757">
      <c r="D46757" s="9"/>
      <c r="G46757" s="9"/>
      <c r="J46757" s="11"/>
      <c r="U46757" s="9"/>
      <c r="X46757" s="9"/>
    </row>
    <row r="46758">
      <c r="D46758" s="9"/>
      <c r="G46758" s="9"/>
      <c r="J46758" s="11"/>
      <c r="U46758" s="9"/>
      <c r="X46758" s="9"/>
    </row>
    <row r="46759">
      <c r="D46759" s="9"/>
      <c r="G46759" s="9"/>
      <c r="J46759" s="11"/>
      <c r="U46759" s="9"/>
      <c r="X46759" s="9"/>
    </row>
    <row r="46760">
      <c r="D46760" s="9"/>
      <c r="G46760" s="9"/>
      <c r="J46760" s="11"/>
      <c r="U46760" s="9"/>
      <c r="X46760" s="9"/>
    </row>
    <row r="46761">
      <c r="D46761" s="9"/>
      <c r="G46761" s="9"/>
      <c r="J46761" s="11"/>
      <c r="U46761" s="9"/>
      <c r="X46761" s="9"/>
    </row>
    <row r="46762">
      <c r="D46762" s="9"/>
      <c r="G46762" s="9"/>
      <c r="J46762" s="11"/>
      <c r="U46762" s="9"/>
      <c r="X46762" s="9"/>
    </row>
    <row r="46763">
      <c r="D46763" s="9"/>
      <c r="G46763" s="9"/>
      <c r="J46763" s="11"/>
      <c r="U46763" s="9"/>
      <c r="X46763" s="9"/>
    </row>
    <row r="46764">
      <c r="D46764" s="9"/>
      <c r="G46764" s="9"/>
      <c r="J46764" s="11"/>
      <c r="U46764" s="9"/>
      <c r="X46764" s="9"/>
    </row>
    <row r="46765">
      <c r="D46765" s="9"/>
      <c r="G46765" s="9"/>
      <c r="J46765" s="11"/>
      <c r="U46765" s="9"/>
      <c r="X46765" s="9"/>
    </row>
    <row r="46766">
      <c r="D46766" s="9"/>
      <c r="G46766" s="9"/>
      <c r="J46766" s="11"/>
      <c r="U46766" s="9"/>
      <c r="X46766" s="9"/>
    </row>
    <row r="46767">
      <c r="D46767" s="9"/>
      <c r="G46767" s="9"/>
      <c r="J46767" s="11"/>
      <c r="U46767" s="9"/>
      <c r="X46767" s="9"/>
    </row>
    <row r="46768">
      <c r="D46768" s="9"/>
      <c r="G46768" s="9"/>
      <c r="J46768" s="11"/>
      <c r="U46768" s="9"/>
      <c r="X46768" s="9"/>
    </row>
    <row r="46769">
      <c r="D46769" s="9"/>
      <c r="G46769" s="9"/>
      <c r="J46769" s="11"/>
      <c r="U46769" s="9"/>
      <c r="X46769" s="9"/>
    </row>
    <row r="46770">
      <c r="D46770" s="9"/>
      <c r="G46770" s="9"/>
      <c r="J46770" s="11"/>
      <c r="U46770" s="9"/>
      <c r="X46770" s="9"/>
    </row>
    <row r="46771">
      <c r="D46771" s="9"/>
      <c r="G46771" s="9"/>
      <c r="J46771" s="11"/>
      <c r="U46771" s="9"/>
      <c r="X46771" s="9"/>
    </row>
    <row r="46772">
      <c r="D46772" s="9"/>
      <c r="G46772" s="9"/>
      <c r="J46772" s="11"/>
      <c r="U46772" s="9"/>
      <c r="X46772" s="9"/>
    </row>
    <row r="46773">
      <c r="D46773" s="9"/>
      <c r="G46773" s="9"/>
      <c r="J46773" s="11"/>
      <c r="U46773" s="9"/>
      <c r="X46773" s="9"/>
    </row>
    <row r="46774">
      <c r="D46774" s="9"/>
      <c r="G46774" s="9"/>
      <c r="J46774" s="11"/>
      <c r="U46774" s="9"/>
      <c r="X46774" s="9"/>
    </row>
    <row r="46775">
      <c r="D46775" s="9"/>
      <c r="G46775" s="9"/>
      <c r="J46775" s="11"/>
      <c r="U46775" s="9"/>
      <c r="X46775" s="9"/>
    </row>
    <row r="46776">
      <c r="D46776" s="9"/>
      <c r="G46776" s="9"/>
      <c r="J46776" s="11"/>
      <c r="U46776" s="9"/>
      <c r="X46776" s="9"/>
    </row>
    <row r="46777">
      <c r="D46777" s="9"/>
      <c r="G46777" s="9"/>
      <c r="J46777" s="11"/>
      <c r="U46777" s="9"/>
      <c r="X46777" s="9"/>
    </row>
    <row r="46778">
      <c r="D46778" s="9"/>
      <c r="G46778" s="9"/>
      <c r="J46778" s="11"/>
      <c r="U46778" s="9"/>
      <c r="X46778" s="9"/>
    </row>
    <row r="46779">
      <c r="D46779" s="9"/>
      <c r="G46779" s="9"/>
      <c r="J46779" s="11"/>
      <c r="U46779" s="9"/>
      <c r="X46779" s="9"/>
    </row>
    <row r="46780">
      <c r="D46780" s="9"/>
      <c r="G46780" s="9"/>
      <c r="J46780" s="11"/>
      <c r="U46780" s="9"/>
      <c r="X46780" s="9"/>
    </row>
    <row r="46781">
      <c r="D46781" s="9"/>
      <c r="G46781" s="9"/>
      <c r="J46781" s="11"/>
      <c r="U46781" s="9"/>
      <c r="X46781" s="9"/>
    </row>
    <row r="46782">
      <c r="D46782" s="9"/>
      <c r="G46782" s="9"/>
      <c r="J46782" s="11"/>
      <c r="U46782" s="9"/>
      <c r="X46782" s="9"/>
    </row>
    <row r="46783">
      <c r="D46783" s="9"/>
      <c r="G46783" s="9"/>
      <c r="J46783" s="11"/>
      <c r="U46783" s="9"/>
      <c r="X46783" s="9"/>
    </row>
    <row r="46784">
      <c r="D46784" s="9"/>
      <c r="G46784" s="9"/>
      <c r="J46784" s="11"/>
      <c r="U46784" s="9"/>
      <c r="X46784" s="9"/>
    </row>
    <row r="46785">
      <c r="D46785" s="9"/>
      <c r="G46785" s="9"/>
      <c r="J46785" s="11"/>
      <c r="U46785" s="9"/>
      <c r="X46785" s="9"/>
    </row>
    <row r="46786">
      <c r="D46786" s="9"/>
      <c r="G46786" s="9"/>
      <c r="J46786" s="11"/>
      <c r="U46786" s="9"/>
      <c r="X46786" s="9"/>
    </row>
    <row r="46787">
      <c r="D46787" s="9"/>
      <c r="G46787" s="9"/>
      <c r="J46787" s="11"/>
      <c r="U46787" s="9"/>
      <c r="X46787" s="9"/>
    </row>
    <row r="46788">
      <c r="D46788" s="9"/>
      <c r="G46788" s="9"/>
      <c r="J46788" s="11"/>
      <c r="U46788" s="9"/>
      <c r="X46788" s="9"/>
    </row>
    <row r="46789">
      <c r="D46789" s="9"/>
      <c r="G46789" s="9"/>
      <c r="J46789" s="11"/>
      <c r="U46789" s="9"/>
      <c r="X46789" s="9"/>
    </row>
    <row r="46790">
      <c r="D46790" s="9"/>
      <c r="G46790" s="9"/>
      <c r="J46790" s="11"/>
      <c r="U46790" s="9"/>
      <c r="X46790" s="9"/>
    </row>
    <row r="46791">
      <c r="D46791" s="9"/>
      <c r="G46791" s="9"/>
      <c r="J46791" s="11"/>
      <c r="U46791" s="9"/>
      <c r="X46791" s="9"/>
    </row>
    <row r="46792">
      <c r="D46792" s="9"/>
      <c r="G46792" s="9"/>
      <c r="J46792" s="11"/>
      <c r="U46792" s="9"/>
      <c r="X46792" s="9"/>
    </row>
    <row r="46793">
      <c r="D46793" s="9"/>
      <c r="G46793" s="9"/>
      <c r="J46793" s="11"/>
      <c r="U46793" s="9"/>
      <c r="X46793" s="9"/>
    </row>
    <row r="46794">
      <c r="D46794" s="9"/>
      <c r="G46794" s="9"/>
      <c r="J46794" s="11"/>
      <c r="U46794" s="9"/>
      <c r="X46794" s="9"/>
    </row>
    <row r="46795">
      <c r="D46795" s="9"/>
      <c r="G46795" s="9"/>
      <c r="J46795" s="11"/>
      <c r="U46795" s="9"/>
      <c r="X46795" s="9"/>
    </row>
    <row r="46796">
      <c r="D46796" s="9"/>
      <c r="G46796" s="9"/>
      <c r="J46796" s="11"/>
      <c r="U46796" s="9"/>
      <c r="X46796" s="9"/>
    </row>
    <row r="46797">
      <c r="D46797" s="9"/>
      <c r="G46797" s="9"/>
      <c r="J46797" s="11"/>
      <c r="U46797" s="9"/>
      <c r="X46797" s="9"/>
    </row>
    <row r="46798">
      <c r="D46798" s="9"/>
      <c r="G46798" s="9"/>
      <c r="J46798" s="11"/>
      <c r="U46798" s="9"/>
      <c r="X46798" s="9"/>
    </row>
    <row r="46799">
      <c r="D46799" s="9"/>
      <c r="G46799" s="9"/>
      <c r="J46799" s="11"/>
      <c r="U46799" s="9"/>
      <c r="X46799" s="9"/>
    </row>
    <row r="46800">
      <c r="D46800" s="9"/>
      <c r="G46800" s="9"/>
      <c r="J46800" s="11"/>
      <c r="U46800" s="9"/>
      <c r="X46800" s="9"/>
    </row>
    <row r="46801">
      <c r="D46801" s="9"/>
      <c r="G46801" s="9"/>
      <c r="J46801" s="11"/>
      <c r="U46801" s="9"/>
      <c r="X46801" s="9"/>
    </row>
    <row r="46802">
      <c r="D46802" s="9"/>
      <c r="G46802" s="9"/>
      <c r="J46802" s="11"/>
      <c r="U46802" s="9"/>
      <c r="X46802" s="9"/>
    </row>
    <row r="46803">
      <c r="D46803" s="9"/>
      <c r="G46803" s="9"/>
      <c r="J46803" s="11"/>
      <c r="U46803" s="9"/>
      <c r="X46803" s="9"/>
    </row>
    <row r="46804">
      <c r="D46804" s="9"/>
      <c r="G46804" s="9"/>
      <c r="J46804" s="11"/>
      <c r="U46804" s="9"/>
      <c r="X46804" s="9"/>
    </row>
    <row r="46805">
      <c r="D46805" s="9"/>
      <c r="G46805" s="9"/>
      <c r="J46805" s="11"/>
      <c r="U46805" s="9"/>
      <c r="X46805" s="9"/>
    </row>
    <row r="46806">
      <c r="D46806" s="9"/>
      <c r="G46806" s="9"/>
      <c r="J46806" s="11"/>
      <c r="U46806" s="9"/>
      <c r="X46806" s="9"/>
    </row>
    <row r="46807">
      <c r="D46807" s="9"/>
      <c r="G46807" s="9"/>
      <c r="J46807" s="11"/>
      <c r="U46807" s="9"/>
      <c r="X46807" s="9"/>
    </row>
    <row r="46808">
      <c r="D46808" s="9"/>
      <c r="G46808" s="9"/>
      <c r="J46808" s="11"/>
      <c r="U46808" s="9"/>
      <c r="X46808" s="9"/>
    </row>
    <row r="46809">
      <c r="D46809" s="9"/>
      <c r="G46809" s="9"/>
      <c r="J46809" s="11"/>
      <c r="U46809" s="9"/>
      <c r="X46809" s="9"/>
    </row>
    <row r="46810">
      <c r="D46810" s="9"/>
      <c r="G46810" s="9"/>
      <c r="J46810" s="11"/>
      <c r="U46810" s="9"/>
      <c r="X46810" s="9"/>
    </row>
    <row r="46811">
      <c r="D46811" s="9"/>
      <c r="G46811" s="9"/>
      <c r="J46811" s="11"/>
      <c r="U46811" s="9"/>
      <c r="X46811" s="9"/>
    </row>
    <row r="46812">
      <c r="D46812" s="9"/>
      <c r="G46812" s="9"/>
      <c r="J46812" s="11"/>
      <c r="U46812" s="9"/>
      <c r="X46812" s="9"/>
    </row>
    <row r="46813">
      <c r="D46813" s="9"/>
      <c r="G46813" s="9"/>
      <c r="J46813" s="11"/>
      <c r="U46813" s="9"/>
      <c r="X46813" s="9"/>
    </row>
    <row r="46814">
      <c r="D46814" s="9"/>
      <c r="G46814" s="9"/>
      <c r="J46814" s="11"/>
      <c r="U46814" s="9"/>
      <c r="X46814" s="9"/>
    </row>
    <row r="46815">
      <c r="D46815" s="9"/>
      <c r="G46815" s="9"/>
      <c r="J46815" s="11"/>
      <c r="U46815" s="9"/>
      <c r="X46815" s="9"/>
    </row>
    <row r="46816">
      <c r="D46816" s="9"/>
      <c r="G46816" s="9"/>
      <c r="J46816" s="11"/>
      <c r="U46816" s="9"/>
      <c r="X46816" s="9"/>
    </row>
    <row r="46817">
      <c r="D46817" s="9"/>
      <c r="G46817" s="9"/>
      <c r="J46817" s="11"/>
      <c r="U46817" s="9"/>
      <c r="X46817" s="9"/>
    </row>
    <row r="46818">
      <c r="D46818" s="9"/>
      <c r="G46818" s="9"/>
      <c r="J46818" s="11"/>
      <c r="U46818" s="9"/>
      <c r="X46818" s="9"/>
    </row>
    <row r="46819">
      <c r="D46819" s="9"/>
      <c r="G46819" s="9"/>
      <c r="J46819" s="11"/>
      <c r="U46819" s="9"/>
      <c r="X46819" s="9"/>
    </row>
    <row r="46820">
      <c r="D46820" s="9"/>
      <c r="G46820" s="9"/>
      <c r="J46820" s="11"/>
      <c r="U46820" s="9"/>
      <c r="X46820" s="9"/>
    </row>
    <row r="46821">
      <c r="D46821" s="9"/>
      <c r="G46821" s="9"/>
      <c r="J46821" s="11"/>
      <c r="U46821" s="9"/>
      <c r="X46821" s="9"/>
    </row>
    <row r="46822">
      <c r="D46822" s="9"/>
      <c r="G46822" s="9"/>
      <c r="J46822" s="11"/>
      <c r="U46822" s="9"/>
      <c r="X46822" s="9"/>
    </row>
    <row r="46823">
      <c r="D46823" s="9"/>
      <c r="G46823" s="9"/>
      <c r="J46823" s="11"/>
      <c r="U46823" s="9"/>
      <c r="X46823" s="9"/>
    </row>
    <row r="46824">
      <c r="D46824" s="9"/>
      <c r="G46824" s="9"/>
      <c r="J46824" s="11"/>
      <c r="U46824" s="9"/>
      <c r="X46824" s="9"/>
    </row>
    <row r="46825">
      <c r="D46825" s="9"/>
      <c r="G46825" s="9"/>
      <c r="J46825" s="11"/>
      <c r="U46825" s="9"/>
      <c r="X46825" s="9"/>
    </row>
    <row r="46826">
      <c r="D46826" s="9"/>
      <c r="G46826" s="9"/>
      <c r="J46826" s="11"/>
      <c r="U46826" s="9"/>
      <c r="X46826" s="9"/>
    </row>
    <row r="46827">
      <c r="D46827" s="9"/>
      <c r="G46827" s="9"/>
      <c r="J46827" s="11"/>
      <c r="U46827" s="9"/>
      <c r="X46827" s="9"/>
    </row>
    <row r="46828">
      <c r="D46828" s="9"/>
      <c r="G46828" s="9"/>
      <c r="J46828" s="11"/>
      <c r="U46828" s="9"/>
      <c r="X46828" s="9"/>
    </row>
    <row r="46829">
      <c r="D46829" s="9"/>
      <c r="G46829" s="9"/>
      <c r="J46829" s="11"/>
      <c r="U46829" s="9"/>
      <c r="X46829" s="9"/>
    </row>
    <row r="46830">
      <c r="D46830" s="9"/>
      <c r="G46830" s="9"/>
      <c r="J46830" s="11"/>
      <c r="U46830" s="9"/>
      <c r="X46830" s="9"/>
    </row>
    <row r="46831">
      <c r="D46831" s="9"/>
      <c r="G46831" s="9"/>
      <c r="J46831" s="11"/>
      <c r="U46831" s="9"/>
      <c r="X46831" s="9"/>
    </row>
    <row r="46832">
      <c r="D46832" s="9"/>
      <c r="G46832" s="9"/>
      <c r="J46832" s="11"/>
      <c r="U46832" s="9"/>
      <c r="X46832" s="9"/>
    </row>
    <row r="46833">
      <c r="D46833" s="9"/>
      <c r="G46833" s="9"/>
      <c r="J46833" s="11"/>
      <c r="U46833" s="9"/>
      <c r="X46833" s="9"/>
    </row>
    <row r="46834">
      <c r="D46834" s="9"/>
      <c r="G46834" s="9"/>
      <c r="J46834" s="11"/>
      <c r="U46834" s="9"/>
      <c r="X46834" s="9"/>
    </row>
    <row r="46835">
      <c r="D46835" s="9"/>
      <c r="G46835" s="9"/>
      <c r="J46835" s="11"/>
      <c r="U46835" s="9"/>
      <c r="X46835" s="9"/>
    </row>
    <row r="46836">
      <c r="D46836" s="9"/>
      <c r="G46836" s="9"/>
      <c r="J46836" s="11"/>
      <c r="U46836" s="9"/>
      <c r="X46836" s="9"/>
    </row>
    <row r="46837">
      <c r="D46837" s="9"/>
      <c r="G46837" s="9"/>
      <c r="J46837" s="11"/>
      <c r="U46837" s="9"/>
      <c r="X46837" s="9"/>
    </row>
    <row r="46838">
      <c r="D46838" s="9"/>
      <c r="G46838" s="9"/>
      <c r="J46838" s="11"/>
      <c r="U46838" s="9"/>
      <c r="X46838" s="9"/>
    </row>
    <row r="46839">
      <c r="D46839" s="9"/>
      <c r="G46839" s="9"/>
      <c r="J46839" s="11"/>
      <c r="U46839" s="9"/>
      <c r="X46839" s="9"/>
    </row>
    <row r="46840">
      <c r="D46840" s="9"/>
      <c r="G46840" s="9"/>
      <c r="J46840" s="11"/>
      <c r="U46840" s="9"/>
      <c r="X46840" s="9"/>
    </row>
    <row r="46841">
      <c r="D46841" s="9"/>
      <c r="G46841" s="9"/>
      <c r="J46841" s="11"/>
      <c r="U46841" s="9"/>
      <c r="X46841" s="9"/>
    </row>
    <row r="46842">
      <c r="D46842" s="9"/>
      <c r="G46842" s="9"/>
      <c r="J46842" s="11"/>
      <c r="U46842" s="9"/>
      <c r="X46842" s="9"/>
    </row>
    <row r="46843">
      <c r="D46843" s="9"/>
      <c r="G46843" s="9"/>
      <c r="J46843" s="11"/>
      <c r="U46843" s="9"/>
      <c r="X46843" s="9"/>
    </row>
    <row r="46844">
      <c r="D46844" s="9"/>
      <c r="G46844" s="9"/>
      <c r="J46844" s="11"/>
      <c r="U46844" s="9"/>
      <c r="X46844" s="9"/>
    </row>
    <row r="46845">
      <c r="D46845" s="9"/>
      <c r="G46845" s="9"/>
      <c r="J46845" s="11"/>
      <c r="U46845" s="9"/>
      <c r="X46845" s="9"/>
    </row>
    <row r="46846">
      <c r="D46846" s="9"/>
      <c r="G46846" s="9"/>
      <c r="J46846" s="11"/>
      <c r="U46846" s="9"/>
      <c r="X46846" s="9"/>
    </row>
    <row r="46847">
      <c r="D46847" s="9"/>
      <c r="G46847" s="9"/>
      <c r="J46847" s="11"/>
      <c r="U46847" s="9"/>
      <c r="X46847" s="9"/>
    </row>
    <row r="46848">
      <c r="D46848" s="9"/>
      <c r="G46848" s="9"/>
      <c r="J46848" s="11"/>
      <c r="U46848" s="9"/>
      <c r="X46848" s="9"/>
    </row>
    <row r="46849">
      <c r="D46849" s="9"/>
      <c r="G46849" s="9"/>
      <c r="J46849" s="11"/>
      <c r="U46849" s="9"/>
      <c r="X46849" s="9"/>
    </row>
    <row r="46850">
      <c r="D46850" s="9"/>
      <c r="G46850" s="9"/>
      <c r="J46850" s="11"/>
      <c r="U46850" s="9"/>
      <c r="X46850" s="9"/>
    </row>
    <row r="46851">
      <c r="D46851" s="9"/>
      <c r="G46851" s="9"/>
      <c r="J46851" s="11"/>
      <c r="U46851" s="9"/>
      <c r="X46851" s="9"/>
    </row>
    <row r="46852">
      <c r="D46852" s="9"/>
      <c r="G46852" s="9"/>
      <c r="J46852" s="11"/>
      <c r="U46852" s="9"/>
      <c r="X46852" s="9"/>
    </row>
    <row r="46853">
      <c r="D46853" s="9"/>
      <c r="G46853" s="9"/>
      <c r="J46853" s="11"/>
      <c r="U46853" s="9"/>
      <c r="X46853" s="9"/>
    </row>
    <row r="46854">
      <c r="D46854" s="9"/>
      <c r="G46854" s="9"/>
      <c r="J46854" s="11"/>
      <c r="U46854" s="9"/>
      <c r="X46854" s="9"/>
    </row>
    <row r="46855">
      <c r="D46855" s="9"/>
      <c r="G46855" s="9"/>
      <c r="J46855" s="11"/>
      <c r="U46855" s="9"/>
      <c r="X46855" s="9"/>
    </row>
    <row r="46856">
      <c r="D46856" s="9"/>
      <c r="G46856" s="9"/>
      <c r="J46856" s="11"/>
      <c r="U46856" s="9"/>
      <c r="X46856" s="9"/>
    </row>
    <row r="46857">
      <c r="D46857" s="9"/>
      <c r="G46857" s="9"/>
      <c r="J46857" s="11"/>
      <c r="U46857" s="9"/>
      <c r="X46857" s="9"/>
    </row>
    <row r="46858">
      <c r="D46858" s="9"/>
      <c r="G46858" s="9"/>
      <c r="J46858" s="11"/>
      <c r="U46858" s="9"/>
      <c r="X46858" s="9"/>
    </row>
    <row r="46859">
      <c r="D46859" s="9"/>
      <c r="G46859" s="9"/>
      <c r="J46859" s="11"/>
      <c r="U46859" s="9"/>
      <c r="X46859" s="9"/>
    </row>
    <row r="46860">
      <c r="D46860" s="9"/>
      <c r="G46860" s="9"/>
      <c r="J46860" s="11"/>
      <c r="U46860" s="9"/>
      <c r="X46860" s="9"/>
    </row>
    <row r="46861">
      <c r="D46861" s="9"/>
      <c r="G46861" s="9"/>
      <c r="J46861" s="11"/>
      <c r="U46861" s="9"/>
      <c r="X46861" s="9"/>
    </row>
    <row r="46862">
      <c r="D46862" s="9"/>
      <c r="G46862" s="9"/>
      <c r="J46862" s="11"/>
      <c r="U46862" s="9"/>
      <c r="X46862" s="9"/>
    </row>
    <row r="46863">
      <c r="D46863" s="9"/>
      <c r="G46863" s="9"/>
      <c r="J46863" s="11"/>
      <c r="U46863" s="9"/>
      <c r="X46863" s="9"/>
    </row>
    <row r="46864">
      <c r="D46864" s="9"/>
      <c r="G46864" s="9"/>
      <c r="J46864" s="11"/>
      <c r="U46864" s="9"/>
      <c r="X46864" s="9"/>
    </row>
    <row r="46865">
      <c r="D46865" s="9"/>
      <c r="G46865" s="9"/>
      <c r="J46865" s="11"/>
      <c r="U46865" s="9"/>
      <c r="X46865" s="9"/>
    </row>
    <row r="46866">
      <c r="D46866" s="9"/>
      <c r="G46866" s="9"/>
      <c r="J46866" s="11"/>
      <c r="U46866" s="9"/>
      <c r="X46866" s="9"/>
    </row>
    <row r="46867">
      <c r="D46867" s="9"/>
      <c r="G46867" s="9"/>
      <c r="J46867" s="11"/>
      <c r="U46867" s="9"/>
      <c r="X46867" s="9"/>
    </row>
    <row r="46868">
      <c r="D46868" s="9"/>
      <c r="G46868" s="9"/>
      <c r="J46868" s="11"/>
      <c r="U46868" s="9"/>
      <c r="X46868" s="9"/>
    </row>
    <row r="46869">
      <c r="D46869" s="9"/>
      <c r="G46869" s="9"/>
      <c r="J46869" s="11"/>
      <c r="U46869" s="9"/>
      <c r="X46869" s="9"/>
    </row>
    <row r="46870">
      <c r="D46870" s="9"/>
      <c r="G46870" s="9"/>
      <c r="J46870" s="11"/>
      <c r="U46870" s="9"/>
      <c r="X46870" s="9"/>
    </row>
    <row r="46871">
      <c r="D46871" s="9"/>
      <c r="G46871" s="9"/>
      <c r="J46871" s="11"/>
      <c r="U46871" s="9"/>
      <c r="X46871" s="9"/>
    </row>
    <row r="46872">
      <c r="D46872" s="9"/>
      <c r="G46872" s="9"/>
      <c r="J46872" s="11"/>
      <c r="U46872" s="9"/>
      <c r="X46872" s="9"/>
    </row>
    <row r="46873">
      <c r="D46873" s="9"/>
      <c r="G46873" s="9"/>
      <c r="J46873" s="11"/>
      <c r="U46873" s="9"/>
      <c r="X46873" s="9"/>
    </row>
    <row r="46874">
      <c r="D46874" s="9"/>
      <c r="G46874" s="9"/>
      <c r="J46874" s="11"/>
      <c r="U46874" s="9"/>
      <c r="X46874" s="9"/>
    </row>
    <row r="46875">
      <c r="D46875" s="9"/>
      <c r="G46875" s="9"/>
      <c r="J46875" s="11"/>
      <c r="U46875" s="9"/>
      <c r="X46875" s="9"/>
    </row>
    <row r="46876">
      <c r="D46876" s="9"/>
      <c r="G46876" s="9"/>
      <c r="J46876" s="11"/>
      <c r="U46876" s="9"/>
      <c r="X46876" s="9"/>
    </row>
    <row r="46877">
      <c r="D46877" s="9"/>
      <c r="G46877" s="9"/>
      <c r="J46877" s="11"/>
      <c r="U46877" s="9"/>
      <c r="X46877" s="9"/>
    </row>
    <row r="46878">
      <c r="D46878" s="9"/>
      <c r="G46878" s="9"/>
      <c r="J46878" s="11"/>
      <c r="U46878" s="9"/>
      <c r="X46878" s="9"/>
    </row>
    <row r="46879">
      <c r="D46879" s="9"/>
      <c r="G46879" s="9"/>
      <c r="J46879" s="11"/>
      <c r="U46879" s="9"/>
      <c r="X46879" s="9"/>
    </row>
    <row r="46880">
      <c r="D46880" s="9"/>
      <c r="G46880" s="9"/>
      <c r="J46880" s="11"/>
      <c r="U46880" s="9"/>
      <c r="X46880" s="9"/>
    </row>
    <row r="46881">
      <c r="D46881" s="9"/>
      <c r="G46881" s="9"/>
      <c r="J46881" s="11"/>
      <c r="U46881" s="9"/>
      <c r="X46881" s="9"/>
    </row>
    <row r="46882">
      <c r="D46882" s="9"/>
      <c r="G46882" s="9"/>
      <c r="J46882" s="11"/>
      <c r="U46882" s="9"/>
      <c r="X46882" s="9"/>
    </row>
    <row r="46883">
      <c r="D46883" s="9"/>
      <c r="G46883" s="9"/>
      <c r="J46883" s="11"/>
      <c r="U46883" s="9"/>
      <c r="X46883" s="9"/>
    </row>
    <row r="46884">
      <c r="D46884" s="9"/>
      <c r="G46884" s="9"/>
      <c r="J46884" s="11"/>
      <c r="U46884" s="9"/>
      <c r="X46884" s="9"/>
    </row>
    <row r="46885">
      <c r="D46885" s="9"/>
      <c r="G46885" s="9"/>
      <c r="J46885" s="11"/>
      <c r="U46885" s="9"/>
      <c r="X46885" s="9"/>
    </row>
    <row r="46886">
      <c r="D46886" s="9"/>
      <c r="G46886" s="9"/>
      <c r="J46886" s="11"/>
      <c r="U46886" s="9"/>
      <c r="X46886" s="9"/>
    </row>
    <row r="46887">
      <c r="D46887" s="9"/>
      <c r="G46887" s="9"/>
      <c r="J46887" s="11"/>
      <c r="U46887" s="9"/>
      <c r="X46887" s="9"/>
    </row>
    <row r="46888">
      <c r="D46888" s="9"/>
      <c r="G46888" s="9"/>
      <c r="J46888" s="11"/>
      <c r="U46888" s="9"/>
      <c r="X46888" s="9"/>
    </row>
    <row r="46889">
      <c r="D46889" s="9"/>
      <c r="G46889" s="9"/>
      <c r="J46889" s="11"/>
      <c r="U46889" s="9"/>
      <c r="X46889" s="9"/>
    </row>
    <row r="46890">
      <c r="D46890" s="9"/>
      <c r="G46890" s="9"/>
      <c r="J46890" s="11"/>
      <c r="U46890" s="9"/>
      <c r="X46890" s="9"/>
    </row>
    <row r="46891">
      <c r="D46891" s="9"/>
      <c r="G46891" s="9"/>
      <c r="J46891" s="11"/>
      <c r="U46891" s="9"/>
      <c r="X46891" s="9"/>
    </row>
    <row r="46892">
      <c r="D46892" s="9"/>
      <c r="G46892" s="9"/>
      <c r="J46892" s="11"/>
      <c r="U46892" s="9"/>
      <c r="X46892" s="9"/>
    </row>
    <row r="46893">
      <c r="D46893" s="9"/>
      <c r="G46893" s="9"/>
      <c r="J46893" s="11"/>
      <c r="U46893" s="9"/>
      <c r="X46893" s="9"/>
    </row>
    <row r="46894">
      <c r="D46894" s="9"/>
      <c r="G46894" s="9"/>
      <c r="J46894" s="11"/>
      <c r="U46894" s="9"/>
      <c r="X46894" s="9"/>
    </row>
    <row r="46895">
      <c r="D46895" s="9"/>
      <c r="G46895" s="9"/>
      <c r="J46895" s="11"/>
      <c r="U46895" s="9"/>
      <c r="X46895" s="9"/>
    </row>
    <row r="46896">
      <c r="D46896" s="9"/>
      <c r="G46896" s="9"/>
      <c r="J46896" s="11"/>
      <c r="U46896" s="9"/>
      <c r="X46896" s="9"/>
    </row>
    <row r="46897">
      <c r="D46897" s="9"/>
      <c r="G46897" s="9"/>
      <c r="J46897" s="11"/>
      <c r="U46897" s="9"/>
      <c r="X46897" s="9"/>
    </row>
    <row r="46898">
      <c r="D46898" s="9"/>
      <c r="G46898" s="9"/>
      <c r="J46898" s="11"/>
      <c r="U46898" s="9"/>
      <c r="X46898" s="9"/>
    </row>
    <row r="46899">
      <c r="D46899" s="9"/>
      <c r="G46899" s="9"/>
      <c r="J46899" s="11"/>
      <c r="U46899" s="9"/>
      <c r="X46899" s="9"/>
    </row>
    <row r="46900">
      <c r="D46900" s="9"/>
      <c r="G46900" s="9"/>
      <c r="J46900" s="11"/>
      <c r="U46900" s="9"/>
      <c r="X46900" s="9"/>
    </row>
    <row r="46901">
      <c r="D46901" s="9"/>
      <c r="G46901" s="9"/>
      <c r="J46901" s="11"/>
      <c r="U46901" s="9"/>
      <c r="X46901" s="9"/>
    </row>
    <row r="46902">
      <c r="D46902" s="9"/>
      <c r="G46902" s="9"/>
      <c r="J46902" s="11"/>
      <c r="U46902" s="9"/>
      <c r="X46902" s="9"/>
    </row>
    <row r="46903">
      <c r="D46903" s="9"/>
      <c r="G46903" s="9"/>
      <c r="J46903" s="11"/>
      <c r="U46903" s="9"/>
      <c r="X46903" s="9"/>
    </row>
    <row r="46904">
      <c r="D46904" s="9"/>
      <c r="G46904" s="9"/>
      <c r="J46904" s="11"/>
      <c r="U46904" s="9"/>
      <c r="X46904" s="9"/>
    </row>
    <row r="46905">
      <c r="D46905" s="9"/>
      <c r="G46905" s="9"/>
      <c r="J46905" s="11"/>
      <c r="U46905" s="9"/>
      <c r="X46905" s="9"/>
    </row>
    <row r="46906">
      <c r="D46906" s="9"/>
      <c r="G46906" s="9"/>
      <c r="J46906" s="11"/>
      <c r="U46906" s="9"/>
      <c r="X46906" s="9"/>
    </row>
    <row r="46907">
      <c r="D46907" s="9"/>
      <c r="G46907" s="9"/>
      <c r="J46907" s="11"/>
      <c r="U46907" s="9"/>
      <c r="X46907" s="9"/>
    </row>
    <row r="46908">
      <c r="D46908" s="9"/>
      <c r="G46908" s="9"/>
      <c r="J46908" s="11"/>
      <c r="U46908" s="9"/>
      <c r="X46908" s="9"/>
    </row>
    <row r="46909">
      <c r="D46909" s="9"/>
      <c r="G46909" s="9"/>
      <c r="J46909" s="11"/>
      <c r="U46909" s="9"/>
      <c r="X46909" s="9"/>
    </row>
    <row r="46910">
      <c r="D46910" s="9"/>
      <c r="G46910" s="9"/>
      <c r="J46910" s="11"/>
      <c r="U46910" s="9"/>
      <c r="X46910" s="9"/>
    </row>
    <row r="46911">
      <c r="D46911" s="9"/>
      <c r="G46911" s="9"/>
      <c r="J46911" s="11"/>
      <c r="U46911" s="9"/>
      <c r="X46911" s="9"/>
    </row>
    <row r="46912">
      <c r="D46912" s="9"/>
      <c r="G46912" s="9"/>
      <c r="J46912" s="11"/>
      <c r="U46912" s="9"/>
      <c r="X46912" s="9"/>
    </row>
    <row r="46913">
      <c r="D46913" s="9"/>
      <c r="G46913" s="9"/>
      <c r="J46913" s="11"/>
      <c r="U46913" s="9"/>
      <c r="X46913" s="9"/>
    </row>
    <row r="46914">
      <c r="D46914" s="9"/>
      <c r="G46914" s="9"/>
      <c r="J46914" s="11"/>
      <c r="U46914" s="9"/>
      <c r="X46914" s="9"/>
    </row>
    <row r="46915">
      <c r="D46915" s="9"/>
      <c r="G46915" s="9"/>
      <c r="J46915" s="11"/>
      <c r="U46915" s="9"/>
      <c r="X46915" s="9"/>
    </row>
    <row r="46916">
      <c r="D46916" s="9"/>
      <c r="G46916" s="9"/>
      <c r="J46916" s="11"/>
      <c r="U46916" s="9"/>
      <c r="X46916" s="9"/>
    </row>
    <row r="46917">
      <c r="D46917" s="9"/>
      <c r="G46917" s="9"/>
      <c r="J46917" s="11"/>
      <c r="U46917" s="9"/>
      <c r="X46917" s="9"/>
    </row>
    <row r="46918">
      <c r="D46918" s="9"/>
      <c r="G46918" s="9"/>
      <c r="J46918" s="11"/>
      <c r="U46918" s="9"/>
      <c r="X46918" s="9"/>
    </row>
    <row r="46919">
      <c r="D46919" s="9"/>
      <c r="G46919" s="9"/>
      <c r="J46919" s="11"/>
      <c r="U46919" s="9"/>
      <c r="X46919" s="9"/>
    </row>
    <row r="46920">
      <c r="D46920" s="9"/>
      <c r="G46920" s="9"/>
      <c r="J46920" s="11"/>
      <c r="U46920" s="9"/>
      <c r="X46920" s="9"/>
    </row>
    <row r="46921">
      <c r="D46921" s="9"/>
      <c r="G46921" s="9"/>
      <c r="J46921" s="11"/>
      <c r="U46921" s="9"/>
      <c r="X46921" s="9"/>
    </row>
    <row r="46922">
      <c r="D46922" s="9"/>
      <c r="G46922" s="9"/>
      <c r="J46922" s="11"/>
      <c r="U46922" s="9"/>
      <c r="X46922" s="9"/>
    </row>
    <row r="46923">
      <c r="D46923" s="9"/>
      <c r="G46923" s="9"/>
      <c r="J46923" s="11"/>
      <c r="U46923" s="9"/>
      <c r="X46923" s="9"/>
    </row>
    <row r="46924">
      <c r="D46924" s="9"/>
      <c r="G46924" s="9"/>
      <c r="J46924" s="11"/>
      <c r="U46924" s="9"/>
      <c r="X46924" s="9"/>
    </row>
    <row r="46925">
      <c r="D46925" s="9"/>
      <c r="G46925" s="9"/>
      <c r="J46925" s="11"/>
      <c r="U46925" s="9"/>
      <c r="X46925" s="9"/>
    </row>
    <row r="46926">
      <c r="D46926" s="9"/>
      <c r="G46926" s="9"/>
      <c r="J46926" s="11"/>
      <c r="U46926" s="9"/>
      <c r="X46926" s="9"/>
    </row>
    <row r="46927">
      <c r="D46927" s="9"/>
      <c r="G46927" s="9"/>
      <c r="J46927" s="11"/>
      <c r="U46927" s="9"/>
      <c r="X46927" s="9"/>
    </row>
    <row r="46928">
      <c r="D46928" s="9"/>
      <c r="G46928" s="9"/>
      <c r="J46928" s="11"/>
      <c r="U46928" s="9"/>
      <c r="X46928" s="9"/>
    </row>
    <row r="46929">
      <c r="D46929" s="9"/>
      <c r="G46929" s="9"/>
      <c r="J46929" s="11"/>
      <c r="U46929" s="9"/>
      <c r="X46929" s="9"/>
    </row>
    <row r="46930">
      <c r="D46930" s="9"/>
      <c r="G46930" s="9"/>
      <c r="J46930" s="11"/>
      <c r="U46930" s="9"/>
      <c r="X46930" s="9"/>
    </row>
    <row r="46931">
      <c r="D46931" s="9"/>
      <c r="G46931" s="9"/>
      <c r="J46931" s="11"/>
      <c r="U46931" s="9"/>
      <c r="X46931" s="9"/>
    </row>
    <row r="46932">
      <c r="D46932" s="9"/>
      <c r="G46932" s="9"/>
      <c r="J46932" s="11"/>
      <c r="U46932" s="9"/>
      <c r="X46932" s="9"/>
    </row>
    <row r="46933">
      <c r="D46933" s="9"/>
      <c r="G46933" s="9"/>
      <c r="J46933" s="11"/>
      <c r="U46933" s="9"/>
      <c r="X46933" s="9"/>
    </row>
    <row r="46934">
      <c r="D46934" s="9"/>
      <c r="G46934" s="9"/>
      <c r="J46934" s="11"/>
      <c r="U46934" s="9"/>
      <c r="X46934" s="9"/>
    </row>
    <row r="46935">
      <c r="D46935" s="9"/>
      <c r="G46935" s="9"/>
      <c r="J46935" s="11"/>
      <c r="U46935" s="9"/>
      <c r="X46935" s="9"/>
    </row>
    <row r="46936">
      <c r="D46936" s="9"/>
      <c r="G46936" s="9"/>
      <c r="J46936" s="11"/>
      <c r="U46936" s="9"/>
      <c r="X46936" s="9"/>
    </row>
    <row r="46937">
      <c r="D46937" s="9"/>
      <c r="G46937" s="9"/>
      <c r="J46937" s="11"/>
      <c r="U46937" s="9"/>
      <c r="X46937" s="9"/>
    </row>
    <row r="46938">
      <c r="D46938" s="9"/>
      <c r="G46938" s="9"/>
      <c r="J46938" s="11"/>
      <c r="U46938" s="9"/>
      <c r="X46938" s="9"/>
    </row>
    <row r="46939">
      <c r="D46939" s="9"/>
      <c r="G46939" s="9"/>
      <c r="J46939" s="11"/>
      <c r="U46939" s="9"/>
      <c r="X46939" s="9"/>
    </row>
    <row r="46940">
      <c r="D46940" s="9"/>
      <c r="G46940" s="9"/>
      <c r="J46940" s="11"/>
      <c r="U46940" s="9"/>
      <c r="X46940" s="9"/>
    </row>
    <row r="46941">
      <c r="D46941" s="9"/>
      <c r="G46941" s="9"/>
      <c r="J46941" s="11"/>
      <c r="U46941" s="9"/>
      <c r="X46941" s="9"/>
    </row>
    <row r="46942">
      <c r="D46942" s="9"/>
      <c r="G46942" s="9"/>
      <c r="J46942" s="11"/>
      <c r="U46942" s="9"/>
      <c r="X46942" s="9"/>
    </row>
    <row r="46943">
      <c r="D46943" s="9"/>
      <c r="G46943" s="9"/>
      <c r="J46943" s="11"/>
      <c r="U46943" s="9"/>
      <c r="X46943" s="9"/>
    </row>
    <row r="46944">
      <c r="D46944" s="9"/>
      <c r="G46944" s="9"/>
      <c r="J46944" s="11"/>
      <c r="U46944" s="9"/>
      <c r="X46944" s="9"/>
    </row>
    <row r="46945">
      <c r="D46945" s="9"/>
      <c r="G46945" s="9"/>
      <c r="J46945" s="11"/>
      <c r="U46945" s="9"/>
      <c r="X46945" s="9"/>
    </row>
    <row r="46946">
      <c r="D46946" s="9"/>
      <c r="G46946" s="9"/>
      <c r="J46946" s="11"/>
      <c r="U46946" s="9"/>
      <c r="X46946" s="9"/>
    </row>
    <row r="46947">
      <c r="D46947" s="9"/>
      <c r="G46947" s="9"/>
      <c r="J46947" s="11"/>
      <c r="U46947" s="9"/>
      <c r="X46947" s="9"/>
    </row>
    <row r="46948">
      <c r="D46948" s="9"/>
      <c r="G46948" s="9"/>
      <c r="J46948" s="11"/>
      <c r="U46948" s="9"/>
      <c r="X46948" s="9"/>
    </row>
    <row r="46949">
      <c r="D46949" s="9"/>
      <c r="G46949" s="9"/>
      <c r="J46949" s="11"/>
      <c r="U46949" s="9"/>
      <c r="X46949" s="9"/>
    </row>
    <row r="46950">
      <c r="D46950" s="9"/>
      <c r="G46950" s="9"/>
      <c r="J46950" s="11"/>
      <c r="U46950" s="9"/>
      <c r="X46950" s="9"/>
    </row>
    <row r="46951">
      <c r="D46951" s="9"/>
      <c r="G46951" s="9"/>
      <c r="J46951" s="11"/>
      <c r="U46951" s="9"/>
      <c r="X46951" s="9"/>
    </row>
    <row r="46952">
      <c r="D46952" s="9"/>
      <c r="G46952" s="9"/>
      <c r="J46952" s="11"/>
      <c r="U46952" s="9"/>
      <c r="X46952" s="9"/>
    </row>
    <row r="46953">
      <c r="D46953" s="9"/>
      <c r="G46953" s="9"/>
      <c r="J46953" s="11"/>
      <c r="U46953" s="9"/>
      <c r="X46953" s="9"/>
    </row>
    <row r="46954">
      <c r="D46954" s="9"/>
      <c r="G46954" s="9"/>
      <c r="J46954" s="11"/>
      <c r="U46954" s="9"/>
      <c r="X46954" s="9"/>
    </row>
    <row r="46955">
      <c r="D46955" s="9"/>
      <c r="G46955" s="9"/>
      <c r="J46955" s="11"/>
      <c r="U46955" s="9"/>
      <c r="X46955" s="9"/>
    </row>
    <row r="46956">
      <c r="D46956" s="9"/>
      <c r="G46956" s="9"/>
      <c r="J46956" s="11"/>
      <c r="U46956" s="9"/>
      <c r="X46956" s="9"/>
    </row>
    <row r="46957">
      <c r="D46957" s="9"/>
      <c r="G46957" s="9"/>
      <c r="J46957" s="11"/>
      <c r="U46957" s="9"/>
      <c r="X46957" s="9"/>
    </row>
    <row r="46958">
      <c r="D46958" s="9"/>
      <c r="G46958" s="9"/>
      <c r="J46958" s="11"/>
      <c r="U46958" s="9"/>
      <c r="X46958" s="9"/>
    </row>
    <row r="46959">
      <c r="D46959" s="9"/>
      <c r="G46959" s="9"/>
      <c r="J46959" s="11"/>
      <c r="U46959" s="9"/>
      <c r="X46959" s="9"/>
    </row>
    <row r="46960">
      <c r="D46960" s="9"/>
      <c r="G46960" s="9"/>
      <c r="J46960" s="11"/>
      <c r="U46960" s="9"/>
      <c r="X46960" s="9"/>
    </row>
    <row r="46961">
      <c r="D46961" s="9"/>
      <c r="G46961" s="9"/>
      <c r="J46961" s="11"/>
      <c r="U46961" s="9"/>
      <c r="X46961" s="9"/>
    </row>
    <row r="46962">
      <c r="D46962" s="9"/>
      <c r="G46962" s="9"/>
      <c r="J46962" s="11"/>
      <c r="U46962" s="9"/>
      <c r="X46962" s="9"/>
    </row>
    <row r="46963">
      <c r="D46963" s="9"/>
      <c r="G46963" s="9"/>
      <c r="J46963" s="11"/>
      <c r="U46963" s="9"/>
      <c r="X46963" s="9"/>
    </row>
    <row r="46964">
      <c r="D46964" s="9"/>
      <c r="G46964" s="9"/>
      <c r="J46964" s="11"/>
      <c r="U46964" s="9"/>
      <c r="X46964" s="9"/>
    </row>
    <row r="46965">
      <c r="D46965" s="9"/>
      <c r="G46965" s="9"/>
      <c r="J46965" s="11"/>
      <c r="U46965" s="9"/>
      <c r="X46965" s="9"/>
    </row>
    <row r="46966">
      <c r="D46966" s="9"/>
      <c r="G46966" s="9"/>
      <c r="J46966" s="11"/>
      <c r="U46966" s="9"/>
      <c r="X46966" s="9"/>
    </row>
    <row r="46967">
      <c r="D46967" s="9"/>
      <c r="G46967" s="9"/>
      <c r="J46967" s="11"/>
      <c r="U46967" s="9"/>
      <c r="X46967" s="9"/>
    </row>
    <row r="46968">
      <c r="D46968" s="9"/>
      <c r="G46968" s="9"/>
      <c r="J46968" s="11"/>
      <c r="U46968" s="9"/>
      <c r="X46968" s="9"/>
    </row>
    <row r="46969">
      <c r="D46969" s="9"/>
      <c r="G46969" s="9"/>
      <c r="J46969" s="11"/>
      <c r="U46969" s="9"/>
      <c r="X46969" s="9"/>
    </row>
    <row r="46970">
      <c r="D46970" s="9"/>
      <c r="G46970" s="9"/>
      <c r="J46970" s="11"/>
      <c r="U46970" s="9"/>
      <c r="X46970" s="9"/>
    </row>
    <row r="46971">
      <c r="D46971" s="9"/>
      <c r="G46971" s="9"/>
      <c r="J46971" s="11"/>
      <c r="U46971" s="9"/>
      <c r="X46971" s="9"/>
    </row>
    <row r="46972">
      <c r="D46972" s="9"/>
      <c r="G46972" s="9"/>
      <c r="J46972" s="11"/>
      <c r="U46972" s="9"/>
      <c r="X46972" s="9"/>
    </row>
    <row r="46973">
      <c r="D46973" s="9"/>
      <c r="G46973" s="9"/>
      <c r="J46973" s="11"/>
      <c r="U46973" s="9"/>
      <c r="X46973" s="9"/>
    </row>
    <row r="46974">
      <c r="D46974" s="9"/>
      <c r="G46974" s="9"/>
      <c r="J46974" s="11"/>
      <c r="U46974" s="9"/>
      <c r="X46974" s="9"/>
    </row>
    <row r="46975">
      <c r="D46975" s="9"/>
      <c r="G46975" s="9"/>
      <c r="J46975" s="11"/>
      <c r="U46975" s="9"/>
      <c r="X46975" s="9"/>
    </row>
    <row r="46976">
      <c r="D46976" s="9"/>
      <c r="G46976" s="9"/>
      <c r="J46976" s="11"/>
      <c r="U46976" s="9"/>
      <c r="X46976" s="9"/>
    </row>
    <row r="46977">
      <c r="D46977" s="9"/>
      <c r="G46977" s="9"/>
      <c r="J46977" s="11"/>
      <c r="U46977" s="9"/>
      <c r="X46977" s="9"/>
    </row>
    <row r="46978">
      <c r="D46978" s="9"/>
      <c r="G46978" s="9"/>
      <c r="J46978" s="11"/>
      <c r="U46978" s="9"/>
      <c r="X46978" s="9"/>
    </row>
    <row r="46979">
      <c r="D46979" s="9"/>
      <c r="G46979" s="9"/>
      <c r="J46979" s="11"/>
      <c r="U46979" s="9"/>
      <c r="X46979" s="9"/>
    </row>
    <row r="46980">
      <c r="D46980" s="9"/>
      <c r="G46980" s="9"/>
      <c r="J46980" s="11"/>
      <c r="U46980" s="9"/>
      <c r="X46980" s="9"/>
    </row>
    <row r="46981">
      <c r="D46981" s="9"/>
      <c r="G46981" s="9"/>
      <c r="J46981" s="11"/>
      <c r="U46981" s="9"/>
      <c r="X46981" s="9"/>
    </row>
    <row r="46982">
      <c r="D46982" s="9"/>
      <c r="G46982" s="9"/>
      <c r="J46982" s="11"/>
      <c r="U46982" s="9"/>
      <c r="X46982" s="9"/>
    </row>
    <row r="46983">
      <c r="D46983" s="9"/>
      <c r="G46983" s="9"/>
      <c r="J46983" s="11"/>
      <c r="U46983" s="9"/>
      <c r="X46983" s="9"/>
    </row>
    <row r="46984">
      <c r="D46984" s="9"/>
      <c r="G46984" s="9"/>
      <c r="J46984" s="11"/>
      <c r="U46984" s="9"/>
      <c r="X46984" s="9"/>
    </row>
    <row r="46985">
      <c r="D46985" s="9"/>
      <c r="G46985" s="9"/>
      <c r="J46985" s="11"/>
      <c r="U46985" s="9"/>
      <c r="X46985" s="9"/>
    </row>
    <row r="46986">
      <c r="D46986" s="9"/>
      <c r="G46986" s="9"/>
      <c r="J46986" s="11"/>
      <c r="U46986" s="9"/>
      <c r="X46986" s="9"/>
    </row>
    <row r="46987">
      <c r="D46987" s="9"/>
      <c r="G46987" s="9"/>
      <c r="J46987" s="11"/>
      <c r="U46987" s="9"/>
      <c r="X46987" s="9"/>
    </row>
    <row r="46988">
      <c r="D46988" s="9"/>
      <c r="G46988" s="9"/>
      <c r="J46988" s="11"/>
      <c r="U46988" s="9"/>
      <c r="X46988" s="9"/>
    </row>
    <row r="46989">
      <c r="D46989" s="9"/>
      <c r="G46989" s="9"/>
      <c r="J46989" s="11"/>
      <c r="U46989" s="9"/>
      <c r="X46989" s="9"/>
    </row>
    <row r="46990">
      <c r="D46990" s="9"/>
      <c r="G46990" s="9"/>
      <c r="J46990" s="11"/>
      <c r="U46990" s="9"/>
      <c r="X46990" s="9"/>
    </row>
    <row r="46991">
      <c r="D46991" s="9"/>
      <c r="G46991" s="9"/>
      <c r="J46991" s="11"/>
      <c r="U46991" s="9"/>
      <c r="X46991" s="9"/>
    </row>
    <row r="46992">
      <c r="D46992" s="9"/>
      <c r="G46992" s="9"/>
      <c r="J46992" s="11"/>
      <c r="U46992" s="9"/>
      <c r="X46992" s="9"/>
    </row>
    <row r="46993">
      <c r="D46993" s="9"/>
      <c r="G46993" s="9"/>
      <c r="J46993" s="11"/>
      <c r="U46993" s="9"/>
      <c r="X46993" s="9"/>
    </row>
    <row r="46994">
      <c r="D46994" s="9"/>
      <c r="G46994" s="9"/>
      <c r="J46994" s="11"/>
      <c r="U46994" s="9"/>
      <c r="X46994" s="9"/>
    </row>
    <row r="46995">
      <c r="D46995" s="9"/>
      <c r="G46995" s="9"/>
      <c r="J46995" s="11"/>
      <c r="U46995" s="9"/>
      <c r="X46995" s="9"/>
    </row>
    <row r="46996">
      <c r="D46996" s="9"/>
      <c r="G46996" s="9"/>
      <c r="J46996" s="11"/>
      <c r="U46996" s="9"/>
      <c r="X46996" s="9"/>
    </row>
    <row r="46997">
      <c r="D46997" s="9"/>
      <c r="G46997" s="9"/>
      <c r="J46997" s="11"/>
      <c r="U46997" s="9"/>
      <c r="X46997" s="9"/>
    </row>
    <row r="46998">
      <c r="D46998" s="9"/>
      <c r="G46998" s="9"/>
      <c r="J46998" s="11"/>
      <c r="U46998" s="9"/>
      <c r="X46998" s="9"/>
    </row>
    <row r="46999">
      <c r="D46999" s="9"/>
      <c r="G46999" s="9"/>
      <c r="J46999" s="11"/>
      <c r="U46999" s="9"/>
      <c r="X46999" s="9"/>
    </row>
    <row r="47000">
      <c r="D47000" s="9"/>
      <c r="G47000" s="9"/>
      <c r="J47000" s="11"/>
      <c r="U47000" s="9"/>
      <c r="X47000" s="9"/>
    </row>
    <row r="47001">
      <c r="D47001" s="9"/>
      <c r="G47001" s="9"/>
      <c r="J47001" s="11"/>
      <c r="U47001" s="9"/>
      <c r="X47001" s="9"/>
    </row>
    <row r="47002">
      <c r="D47002" s="9"/>
      <c r="G47002" s="9"/>
      <c r="J47002" s="11"/>
      <c r="U47002" s="9"/>
      <c r="X47002" s="9"/>
    </row>
    <row r="47003">
      <c r="D47003" s="9"/>
      <c r="G47003" s="9"/>
      <c r="J47003" s="11"/>
      <c r="U47003" s="9"/>
      <c r="X47003" s="9"/>
    </row>
    <row r="47004">
      <c r="D47004" s="9"/>
      <c r="G47004" s="9"/>
      <c r="J47004" s="11"/>
      <c r="U47004" s="9"/>
      <c r="X47004" s="9"/>
    </row>
    <row r="47005">
      <c r="D47005" s="9"/>
      <c r="G47005" s="9"/>
      <c r="J47005" s="11"/>
      <c r="U47005" s="9"/>
      <c r="X47005" s="9"/>
    </row>
    <row r="47006">
      <c r="D47006" s="9"/>
      <c r="G47006" s="9"/>
      <c r="J47006" s="11"/>
      <c r="U47006" s="9"/>
      <c r="X47006" s="9"/>
    </row>
    <row r="47007">
      <c r="D47007" s="9"/>
      <c r="G47007" s="9"/>
      <c r="J47007" s="11"/>
      <c r="U47007" s="9"/>
      <c r="X47007" s="9"/>
    </row>
    <row r="47008">
      <c r="D47008" s="9"/>
      <c r="G47008" s="9"/>
      <c r="J47008" s="11"/>
      <c r="U47008" s="9"/>
      <c r="X47008" s="9"/>
    </row>
    <row r="47009">
      <c r="D47009" s="9"/>
      <c r="G47009" s="9"/>
      <c r="J47009" s="11"/>
      <c r="U47009" s="9"/>
      <c r="X47009" s="9"/>
    </row>
    <row r="47010">
      <c r="D47010" s="9"/>
      <c r="G47010" s="9"/>
      <c r="J47010" s="11"/>
      <c r="U47010" s="9"/>
      <c r="X47010" s="9"/>
    </row>
    <row r="47011">
      <c r="D47011" s="9"/>
      <c r="G47011" s="9"/>
      <c r="J47011" s="11"/>
      <c r="U47011" s="9"/>
      <c r="X47011" s="9"/>
    </row>
    <row r="47012">
      <c r="D47012" s="9"/>
      <c r="G47012" s="9"/>
      <c r="J47012" s="11"/>
      <c r="U47012" s="9"/>
      <c r="X47012" s="9"/>
    </row>
    <row r="47013">
      <c r="D47013" s="9"/>
      <c r="G47013" s="9"/>
      <c r="J47013" s="11"/>
      <c r="U47013" s="9"/>
      <c r="X47013" s="9"/>
    </row>
    <row r="47014">
      <c r="D47014" s="9"/>
      <c r="G47014" s="9"/>
      <c r="J47014" s="11"/>
      <c r="U47014" s="9"/>
      <c r="X47014" s="9"/>
    </row>
    <row r="47015">
      <c r="D47015" s="9"/>
      <c r="G47015" s="9"/>
      <c r="J47015" s="11"/>
      <c r="U47015" s="9"/>
      <c r="X47015" s="9"/>
    </row>
    <row r="47016">
      <c r="D47016" s="9"/>
      <c r="G47016" s="9"/>
      <c r="J47016" s="11"/>
      <c r="U47016" s="9"/>
      <c r="X47016" s="9"/>
    </row>
    <row r="47017">
      <c r="D47017" s="9"/>
      <c r="G47017" s="9"/>
      <c r="J47017" s="11"/>
      <c r="U47017" s="9"/>
      <c r="X47017" s="9"/>
    </row>
    <row r="47018">
      <c r="D47018" s="9"/>
      <c r="G47018" s="9"/>
      <c r="J47018" s="11"/>
      <c r="U47018" s="9"/>
      <c r="X47018" s="9"/>
    </row>
    <row r="47019">
      <c r="D47019" s="9"/>
      <c r="G47019" s="9"/>
      <c r="J47019" s="11"/>
      <c r="U47019" s="9"/>
      <c r="X47019" s="9"/>
    </row>
    <row r="47020">
      <c r="D47020" s="9"/>
      <c r="G47020" s="9"/>
      <c r="J47020" s="11"/>
      <c r="U47020" s="9"/>
      <c r="X47020" s="9"/>
    </row>
    <row r="47021">
      <c r="D47021" s="9"/>
      <c r="G47021" s="9"/>
      <c r="J47021" s="11"/>
      <c r="U47021" s="9"/>
      <c r="X47021" s="9"/>
    </row>
    <row r="47022">
      <c r="D47022" s="9"/>
      <c r="G47022" s="9"/>
      <c r="J47022" s="11"/>
      <c r="U47022" s="9"/>
      <c r="X47022" s="9"/>
    </row>
    <row r="47023">
      <c r="D47023" s="9"/>
      <c r="G47023" s="9"/>
      <c r="J47023" s="11"/>
      <c r="U47023" s="9"/>
      <c r="X47023" s="9"/>
    </row>
    <row r="47024">
      <c r="D47024" s="9"/>
      <c r="G47024" s="9"/>
      <c r="J47024" s="11"/>
      <c r="U47024" s="9"/>
      <c r="X47024" s="9"/>
    </row>
    <row r="47025">
      <c r="D47025" s="9"/>
      <c r="G47025" s="9"/>
      <c r="J47025" s="11"/>
      <c r="U47025" s="9"/>
      <c r="X47025" s="9"/>
    </row>
    <row r="47026">
      <c r="D47026" s="9"/>
      <c r="G47026" s="9"/>
      <c r="J47026" s="11"/>
      <c r="U47026" s="9"/>
      <c r="X47026" s="9"/>
    </row>
    <row r="47027">
      <c r="D47027" s="9"/>
      <c r="G47027" s="9"/>
      <c r="J47027" s="11"/>
      <c r="U47027" s="9"/>
      <c r="X47027" s="9"/>
    </row>
    <row r="47028">
      <c r="D47028" s="9"/>
      <c r="G47028" s="9"/>
      <c r="J47028" s="11"/>
      <c r="U47028" s="9"/>
      <c r="X47028" s="9"/>
    </row>
    <row r="47029">
      <c r="D47029" s="9"/>
      <c r="G47029" s="9"/>
      <c r="J47029" s="11"/>
      <c r="U47029" s="9"/>
      <c r="X47029" s="9"/>
    </row>
    <row r="47030">
      <c r="D47030" s="9"/>
      <c r="G47030" s="9"/>
      <c r="J47030" s="11"/>
      <c r="U47030" s="9"/>
      <c r="X47030" s="9"/>
    </row>
    <row r="47031">
      <c r="D47031" s="9"/>
      <c r="G47031" s="9"/>
      <c r="J47031" s="11"/>
      <c r="U47031" s="9"/>
      <c r="X47031" s="9"/>
    </row>
    <row r="47032">
      <c r="D47032" s="9"/>
      <c r="G47032" s="9"/>
      <c r="J47032" s="11"/>
      <c r="U47032" s="9"/>
      <c r="X47032" s="9"/>
    </row>
    <row r="47033">
      <c r="D47033" s="9"/>
      <c r="G47033" s="9"/>
      <c r="J47033" s="11"/>
      <c r="U47033" s="9"/>
      <c r="X47033" s="9"/>
    </row>
    <row r="47034">
      <c r="D47034" s="9"/>
      <c r="G47034" s="9"/>
      <c r="J47034" s="11"/>
      <c r="U47034" s="9"/>
      <c r="X47034" s="9"/>
    </row>
    <row r="47035">
      <c r="D47035" s="9"/>
      <c r="G47035" s="9"/>
      <c r="J47035" s="11"/>
      <c r="U47035" s="9"/>
      <c r="X47035" s="9"/>
    </row>
    <row r="47036">
      <c r="D47036" s="9"/>
      <c r="G47036" s="9"/>
      <c r="J47036" s="11"/>
      <c r="U47036" s="9"/>
      <c r="X47036" s="9"/>
    </row>
    <row r="47037">
      <c r="D47037" s="9"/>
      <c r="G47037" s="9"/>
      <c r="J47037" s="11"/>
      <c r="U47037" s="9"/>
      <c r="X47037" s="9"/>
    </row>
    <row r="47038">
      <c r="D47038" s="9"/>
      <c r="G47038" s="9"/>
      <c r="J47038" s="11"/>
      <c r="U47038" s="9"/>
      <c r="X47038" s="9"/>
    </row>
    <row r="47039">
      <c r="D47039" s="9"/>
      <c r="G47039" s="9"/>
      <c r="J47039" s="11"/>
      <c r="U47039" s="9"/>
      <c r="X47039" s="9"/>
    </row>
    <row r="47040">
      <c r="D47040" s="9"/>
      <c r="G47040" s="9"/>
      <c r="J47040" s="11"/>
      <c r="U47040" s="9"/>
      <c r="X47040" s="9"/>
    </row>
    <row r="47041">
      <c r="D47041" s="9"/>
      <c r="G47041" s="9"/>
      <c r="J47041" s="11"/>
      <c r="U47041" s="9"/>
      <c r="X47041" s="9"/>
    </row>
    <row r="47042">
      <c r="D47042" s="9"/>
      <c r="G47042" s="9"/>
      <c r="J47042" s="11"/>
      <c r="U47042" s="9"/>
      <c r="X47042" s="9"/>
    </row>
    <row r="47043">
      <c r="D47043" s="9"/>
      <c r="G47043" s="9"/>
      <c r="J47043" s="11"/>
      <c r="U47043" s="9"/>
      <c r="X47043" s="9"/>
    </row>
    <row r="47044">
      <c r="D47044" s="9"/>
      <c r="G47044" s="9"/>
      <c r="J47044" s="11"/>
      <c r="U47044" s="9"/>
      <c r="X47044" s="9"/>
    </row>
    <row r="47045">
      <c r="D47045" s="9"/>
      <c r="G47045" s="9"/>
      <c r="J47045" s="11"/>
      <c r="U47045" s="9"/>
      <c r="X47045" s="9"/>
    </row>
    <row r="47046">
      <c r="D47046" s="9"/>
      <c r="G47046" s="9"/>
      <c r="J47046" s="11"/>
      <c r="U47046" s="9"/>
      <c r="X47046" s="9"/>
    </row>
    <row r="47047">
      <c r="D47047" s="9"/>
      <c r="G47047" s="9"/>
      <c r="J47047" s="11"/>
      <c r="U47047" s="9"/>
      <c r="X47047" s="9"/>
    </row>
    <row r="47048">
      <c r="D47048" s="9"/>
      <c r="G47048" s="9"/>
      <c r="J47048" s="11"/>
      <c r="U47048" s="9"/>
      <c r="X47048" s="9"/>
    </row>
    <row r="47049">
      <c r="D47049" s="9"/>
      <c r="G47049" s="9"/>
      <c r="J47049" s="11"/>
      <c r="U47049" s="9"/>
      <c r="X47049" s="9"/>
    </row>
    <row r="47050">
      <c r="D47050" s="9"/>
      <c r="G47050" s="9"/>
      <c r="J47050" s="11"/>
      <c r="U47050" s="9"/>
      <c r="X47050" s="9"/>
    </row>
    <row r="47051">
      <c r="D47051" s="9"/>
      <c r="G47051" s="9"/>
      <c r="J47051" s="11"/>
      <c r="U47051" s="9"/>
      <c r="X47051" s="9"/>
    </row>
    <row r="47052">
      <c r="D47052" s="9"/>
      <c r="G47052" s="9"/>
      <c r="J47052" s="11"/>
      <c r="U47052" s="9"/>
      <c r="X47052" s="9"/>
    </row>
    <row r="47053">
      <c r="D47053" s="9"/>
      <c r="G47053" s="9"/>
      <c r="J47053" s="11"/>
      <c r="U47053" s="9"/>
      <c r="X47053" s="9"/>
    </row>
    <row r="47054">
      <c r="D47054" s="9"/>
      <c r="G47054" s="9"/>
      <c r="J47054" s="11"/>
      <c r="U47054" s="9"/>
      <c r="X47054" s="9"/>
    </row>
    <row r="47055">
      <c r="D47055" s="9"/>
      <c r="G47055" s="9"/>
      <c r="J47055" s="11"/>
      <c r="U47055" s="9"/>
      <c r="X47055" s="9"/>
    </row>
    <row r="47056">
      <c r="D47056" s="9"/>
      <c r="G47056" s="9"/>
      <c r="J47056" s="11"/>
      <c r="U47056" s="9"/>
      <c r="X47056" s="9"/>
    </row>
    <row r="47057">
      <c r="D47057" s="9"/>
      <c r="G47057" s="9"/>
      <c r="J47057" s="11"/>
      <c r="U47057" s="9"/>
      <c r="X47057" s="9"/>
    </row>
    <row r="47058">
      <c r="D47058" s="9"/>
      <c r="G47058" s="9"/>
      <c r="J47058" s="11"/>
      <c r="U47058" s="9"/>
      <c r="X47058" s="9"/>
    </row>
    <row r="47059">
      <c r="D47059" s="9"/>
      <c r="G47059" s="9"/>
      <c r="J47059" s="11"/>
      <c r="U47059" s="9"/>
      <c r="X47059" s="9"/>
    </row>
    <row r="47060">
      <c r="D47060" s="9"/>
      <c r="G47060" s="9"/>
      <c r="J47060" s="11"/>
      <c r="U47060" s="9"/>
      <c r="X47060" s="9"/>
    </row>
    <row r="47061">
      <c r="D47061" s="9"/>
      <c r="G47061" s="9"/>
      <c r="J47061" s="11"/>
      <c r="U47061" s="9"/>
      <c r="X47061" s="9"/>
    </row>
    <row r="47062">
      <c r="D47062" s="9"/>
      <c r="G47062" s="9"/>
      <c r="J47062" s="11"/>
      <c r="U47062" s="9"/>
      <c r="X47062" s="9"/>
    </row>
    <row r="47063">
      <c r="D47063" s="9"/>
      <c r="G47063" s="9"/>
      <c r="J47063" s="11"/>
      <c r="U47063" s="9"/>
      <c r="X47063" s="9"/>
    </row>
    <row r="47064">
      <c r="D47064" s="9"/>
      <c r="G47064" s="9"/>
      <c r="J47064" s="11"/>
      <c r="U47064" s="9"/>
      <c r="X47064" s="9"/>
    </row>
    <row r="47065">
      <c r="D47065" s="9"/>
      <c r="G47065" s="9"/>
      <c r="J47065" s="11"/>
      <c r="U47065" s="9"/>
      <c r="X47065" s="9"/>
    </row>
    <row r="47066">
      <c r="D47066" s="9"/>
      <c r="G47066" s="9"/>
      <c r="J47066" s="11"/>
      <c r="U47066" s="9"/>
      <c r="X47066" s="9"/>
    </row>
    <row r="47067">
      <c r="D47067" s="9"/>
      <c r="G47067" s="9"/>
      <c r="J47067" s="11"/>
      <c r="U47067" s="9"/>
      <c r="X47067" s="9"/>
    </row>
    <row r="47068">
      <c r="D47068" s="9"/>
      <c r="G47068" s="9"/>
      <c r="J47068" s="11"/>
      <c r="U47068" s="9"/>
      <c r="X47068" s="9"/>
    </row>
    <row r="47069">
      <c r="D47069" s="9"/>
      <c r="G47069" s="9"/>
      <c r="J47069" s="11"/>
      <c r="U47069" s="9"/>
      <c r="X47069" s="9"/>
    </row>
    <row r="47070">
      <c r="D47070" s="9"/>
      <c r="G47070" s="9"/>
      <c r="J47070" s="11"/>
      <c r="U47070" s="9"/>
      <c r="X47070" s="9"/>
    </row>
    <row r="47071">
      <c r="D47071" s="9"/>
      <c r="G47071" s="9"/>
      <c r="J47071" s="11"/>
      <c r="U47071" s="9"/>
      <c r="X47071" s="9"/>
    </row>
    <row r="47072">
      <c r="D47072" s="9"/>
      <c r="G47072" s="9"/>
      <c r="J47072" s="11"/>
      <c r="U47072" s="9"/>
      <c r="X47072" s="9"/>
    </row>
    <row r="47073">
      <c r="D47073" s="9"/>
      <c r="G47073" s="9"/>
      <c r="J47073" s="11"/>
      <c r="U47073" s="9"/>
      <c r="X47073" s="9"/>
    </row>
    <row r="47074">
      <c r="D47074" s="9"/>
      <c r="G47074" s="9"/>
      <c r="J47074" s="11"/>
      <c r="U47074" s="9"/>
      <c r="X47074" s="9"/>
    </row>
    <row r="47075">
      <c r="D47075" s="9"/>
      <c r="G47075" s="9"/>
      <c r="J47075" s="11"/>
      <c r="U47075" s="9"/>
      <c r="X47075" s="9"/>
    </row>
    <row r="47076">
      <c r="D47076" s="9"/>
      <c r="G47076" s="9"/>
      <c r="J47076" s="11"/>
      <c r="U47076" s="9"/>
      <c r="X47076" s="9"/>
    </row>
    <row r="47077">
      <c r="D47077" s="9"/>
      <c r="G47077" s="9"/>
      <c r="J47077" s="11"/>
      <c r="U47077" s="9"/>
      <c r="X47077" s="9"/>
    </row>
    <row r="47078">
      <c r="D47078" s="9"/>
      <c r="G47078" s="9"/>
      <c r="J47078" s="11"/>
      <c r="U47078" s="9"/>
      <c r="X47078" s="9"/>
    </row>
    <row r="47079">
      <c r="D47079" s="9"/>
      <c r="G47079" s="9"/>
      <c r="J47079" s="11"/>
      <c r="U47079" s="9"/>
      <c r="X47079" s="9"/>
    </row>
    <row r="47080">
      <c r="D47080" s="9"/>
      <c r="G47080" s="9"/>
      <c r="J47080" s="11"/>
      <c r="U47080" s="9"/>
      <c r="X47080" s="9"/>
    </row>
    <row r="47081">
      <c r="D47081" s="9"/>
      <c r="G47081" s="9"/>
      <c r="J47081" s="11"/>
      <c r="U47081" s="9"/>
      <c r="X47081" s="9"/>
    </row>
    <row r="47082">
      <c r="D47082" s="9"/>
      <c r="G47082" s="9"/>
      <c r="J47082" s="11"/>
      <c r="U47082" s="9"/>
      <c r="X47082" s="9"/>
    </row>
    <row r="47083">
      <c r="D47083" s="9"/>
      <c r="G47083" s="9"/>
      <c r="J47083" s="11"/>
      <c r="U47083" s="9"/>
      <c r="X47083" s="9"/>
    </row>
    <row r="47084">
      <c r="D47084" s="9"/>
      <c r="G47084" s="9"/>
      <c r="J47084" s="11"/>
      <c r="U47084" s="9"/>
      <c r="X47084" s="9"/>
    </row>
    <row r="47085">
      <c r="D47085" s="9"/>
      <c r="G47085" s="9"/>
      <c r="J47085" s="11"/>
      <c r="U47085" s="9"/>
      <c r="X47085" s="9"/>
    </row>
    <row r="47086">
      <c r="D47086" s="9"/>
      <c r="G47086" s="9"/>
      <c r="J47086" s="11"/>
      <c r="U47086" s="9"/>
      <c r="X47086" s="9"/>
    </row>
    <row r="47087">
      <c r="D47087" s="9"/>
      <c r="G47087" s="9"/>
      <c r="J47087" s="11"/>
      <c r="U47087" s="9"/>
      <c r="X47087" s="9"/>
    </row>
    <row r="47088">
      <c r="D47088" s="9"/>
      <c r="G47088" s="9"/>
      <c r="J47088" s="11"/>
      <c r="U47088" s="9"/>
      <c r="X47088" s="9"/>
    </row>
    <row r="47089">
      <c r="D47089" s="9"/>
      <c r="G47089" s="9"/>
      <c r="J47089" s="11"/>
      <c r="U47089" s="9"/>
      <c r="X47089" s="9"/>
    </row>
    <row r="47090">
      <c r="D47090" s="9"/>
      <c r="G47090" s="9"/>
      <c r="J47090" s="11"/>
      <c r="U47090" s="9"/>
      <c r="X47090" s="9"/>
    </row>
    <row r="47091">
      <c r="D47091" s="9"/>
      <c r="G47091" s="9"/>
      <c r="J47091" s="11"/>
      <c r="U47091" s="9"/>
      <c r="X47091" s="9"/>
    </row>
    <row r="47092">
      <c r="D47092" s="9"/>
      <c r="G47092" s="9"/>
      <c r="J47092" s="11"/>
      <c r="U47092" s="9"/>
      <c r="X47092" s="9"/>
    </row>
    <row r="47093">
      <c r="D47093" s="9"/>
      <c r="G47093" s="9"/>
      <c r="J47093" s="11"/>
      <c r="U47093" s="9"/>
      <c r="X47093" s="9"/>
    </row>
    <row r="47094">
      <c r="D47094" s="9"/>
      <c r="G47094" s="9"/>
      <c r="J47094" s="11"/>
      <c r="U47094" s="9"/>
      <c r="X47094" s="9"/>
    </row>
    <row r="47095">
      <c r="D47095" s="9"/>
      <c r="G47095" s="9"/>
      <c r="J47095" s="11"/>
      <c r="U47095" s="9"/>
      <c r="X47095" s="9"/>
    </row>
    <row r="47096">
      <c r="D47096" s="9"/>
      <c r="G47096" s="9"/>
      <c r="J47096" s="11"/>
      <c r="U47096" s="9"/>
      <c r="X47096" s="9"/>
    </row>
    <row r="47097">
      <c r="D47097" s="9"/>
      <c r="G47097" s="9"/>
      <c r="J47097" s="11"/>
      <c r="U47097" s="9"/>
      <c r="X47097" s="9"/>
    </row>
    <row r="47098">
      <c r="D47098" s="9"/>
      <c r="G47098" s="9"/>
      <c r="J47098" s="11"/>
      <c r="U47098" s="9"/>
      <c r="X47098" s="9"/>
    </row>
    <row r="47099">
      <c r="D47099" s="9"/>
      <c r="G47099" s="9"/>
      <c r="J47099" s="11"/>
      <c r="U47099" s="9"/>
      <c r="X47099" s="9"/>
    </row>
    <row r="47100">
      <c r="D47100" s="9"/>
      <c r="G47100" s="9"/>
      <c r="J47100" s="11"/>
      <c r="U47100" s="9"/>
      <c r="X47100" s="9"/>
    </row>
    <row r="47101">
      <c r="D47101" s="9"/>
      <c r="G47101" s="9"/>
      <c r="J47101" s="11"/>
      <c r="U47101" s="9"/>
      <c r="X47101" s="9"/>
    </row>
    <row r="47102">
      <c r="D47102" s="9"/>
      <c r="G47102" s="9"/>
      <c r="J47102" s="11"/>
      <c r="U47102" s="9"/>
      <c r="X47102" s="9"/>
    </row>
    <row r="47103">
      <c r="D47103" s="9"/>
      <c r="G47103" s="9"/>
      <c r="J47103" s="11"/>
      <c r="U47103" s="9"/>
      <c r="X47103" s="9"/>
    </row>
    <row r="47104">
      <c r="D47104" s="9"/>
      <c r="G47104" s="9"/>
      <c r="J47104" s="11"/>
      <c r="U47104" s="9"/>
      <c r="X47104" s="9"/>
    </row>
    <row r="47105">
      <c r="D47105" s="9"/>
      <c r="G47105" s="9"/>
      <c r="J47105" s="11"/>
      <c r="U47105" s="9"/>
      <c r="X47105" s="9"/>
    </row>
    <row r="47106">
      <c r="D47106" s="9"/>
      <c r="G47106" s="9"/>
      <c r="J47106" s="11"/>
      <c r="U47106" s="9"/>
      <c r="X47106" s="9"/>
    </row>
    <row r="47107">
      <c r="D47107" s="9"/>
      <c r="G47107" s="9"/>
      <c r="J47107" s="11"/>
      <c r="U47107" s="9"/>
      <c r="X47107" s="9"/>
    </row>
    <row r="47108">
      <c r="D47108" s="9"/>
      <c r="G47108" s="9"/>
      <c r="J47108" s="11"/>
      <c r="U47108" s="9"/>
      <c r="X47108" s="9"/>
    </row>
    <row r="47109">
      <c r="D47109" s="9"/>
      <c r="G47109" s="9"/>
      <c r="J47109" s="11"/>
      <c r="U47109" s="9"/>
      <c r="X47109" s="9"/>
    </row>
    <row r="47110">
      <c r="D47110" s="9"/>
      <c r="G47110" s="9"/>
      <c r="J47110" s="11"/>
      <c r="U47110" s="9"/>
      <c r="X47110" s="9"/>
    </row>
    <row r="47111">
      <c r="D47111" s="9"/>
      <c r="G47111" s="9"/>
      <c r="J47111" s="11"/>
      <c r="U47111" s="9"/>
      <c r="X47111" s="9"/>
    </row>
    <row r="47112">
      <c r="D47112" s="9"/>
      <c r="G47112" s="9"/>
      <c r="J47112" s="11"/>
      <c r="U47112" s="9"/>
      <c r="X47112" s="9"/>
    </row>
    <row r="47113">
      <c r="D47113" s="9"/>
      <c r="G47113" s="9"/>
      <c r="J47113" s="11"/>
      <c r="U47113" s="9"/>
      <c r="X47113" s="9"/>
    </row>
    <row r="47114">
      <c r="D47114" s="9"/>
      <c r="G47114" s="9"/>
      <c r="J47114" s="11"/>
      <c r="U47114" s="9"/>
      <c r="X47114" s="9"/>
    </row>
    <row r="47115">
      <c r="D47115" s="9"/>
      <c r="G47115" s="9"/>
      <c r="J47115" s="11"/>
      <c r="U47115" s="9"/>
      <c r="X47115" s="9"/>
    </row>
    <row r="47116">
      <c r="D47116" s="9"/>
      <c r="G47116" s="9"/>
      <c r="J47116" s="11"/>
      <c r="U47116" s="9"/>
      <c r="X47116" s="9"/>
    </row>
    <row r="47117">
      <c r="D47117" s="9"/>
      <c r="G47117" s="9"/>
      <c r="J47117" s="11"/>
      <c r="U47117" s="9"/>
      <c r="X47117" s="9"/>
    </row>
    <row r="47118">
      <c r="D47118" s="9"/>
      <c r="G47118" s="9"/>
      <c r="J47118" s="11"/>
      <c r="U47118" s="9"/>
      <c r="X47118" s="9"/>
    </row>
    <row r="47119">
      <c r="D47119" s="9"/>
      <c r="G47119" s="9"/>
      <c r="J47119" s="11"/>
      <c r="U47119" s="9"/>
      <c r="X47119" s="9"/>
    </row>
    <row r="47120">
      <c r="D47120" s="9"/>
      <c r="G47120" s="9"/>
      <c r="J47120" s="11"/>
      <c r="U47120" s="9"/>
      <c r="X47120" s="9"/>
    </row>
    <row r="47121">
      <c r="D47121" s="9"/>
      <c r="G47121" s="9"/>
      <c r="J47121" s="11"/>
      <c r="U47121" s="9"/>
      <c r="X47121" s="9"/>
    </row>
    <row r="47122">
      <c r="D47122" s="9"/>
      <c r="G47122" s="9"/>
      <c r="J47122" s="11"/>
      <c r="U47122" s="9"/>
      <c r="X47122" s="9"/>
    </row>
    <row r="47123">
      <c r="D47123" s="9"/>
      <c r="G47123" s="9"/>
      <c r="J47123" s="11"/>
      <c r="U47123" s="9"/>
      <c r="X47123" s="9"/>
    </row>
    <row r="47124">
      <c r="D47124" s="9"/>
      <c r="G47124" s="9"/>
      <c r="J47124" s="11"/>
      <c r="U47124" s="9"/>
      <c r="X47124" s="9"/>
    </row>
    <row r="47125">
      <c r="D47125" s="9"/>
      <c r="G47125" s="9"/>
      <c r="J47125" s="11"/>
      <c r="U47125" s="9"/>
      <c r="X47125" s="9"/>
    </row>
    <row r="47126">
      <c r="D47126" s="9"/>
      <c r="G47126" s="9"/>
      <c r="J47126" s="11"/>
      <c r="U47126" s="9"/>
      <c r="X47126" s="9"/>
    </row>
    <row r="47127">
      <c r="D47127" s="9"/>
      <c r="G47127" s="9"/>
      <c r="J47127" s="11"/>
      <c r="U47127" s="9"/>
      <c r="X47127" s="9"/>
    </row>
    <row r="47128">
      <c r="D47128" s="9"/>
      <c r="G47128" s="9"/>
      <c r="J47128" s="11"/>
      <c r="U47128" s="9"/>
      <c r="X47128" s="9"/>
    </row>
    <row r="47129">
      <c r="D47129" s="9"/>
      <c r="G47129" s="9"/>
      <c r="J47129" s="11"/>
      <c r="U47129" s="9"/>
      <c r="X47129" s="9"/>
    </row>
    <row r="47130">
      <c r="D47130" s="9"/>
      <c r="G47130" s="9"/>
      <c r="J47130" s="11"/>
      <c r="U47130" s="9"/>
      <c r="X47130" s="9"/>
    </row>
    <row r="47131">
      <c r="D47131" s="9"/>
      <c r="G47131" s="9"/>
      <c r="J47131" s="11"/>
      <c r="U47131" s="9"/>
      <c r="X47131" s="9"/>
    </row>
    <row r="47132">
      <c r="D47132" s="9"/>
      <c r="G47132" s="9"/>
      <c r="J47132" s="11"/>
      <c r="U47132" s="9"/>
      <c r="X47132" s="9"/>
    </row>
    <row r="47133">
      <c r="D47133" s="9"/>
      <c r="G47133" s="9"/>
      <c r="J47133" s="11"/>
      <c r="U47133" s="9"/>
      <c r="X47133" s="9"/>
    </row>
    <row r="47134">
      <c r="D47134" s="9"/>
      <c r="G47134" s="9"/>
      <c r="J47134" s="11"/>
      <c r="U47134" s="9"/>
      <c r="X47134" s="9"/>
    </row>
    <row r="47135">
      <c r="D47135" s="9"/>
      <c r="G47135" s="9"/>
      <c r="J47135" s="11"/>
      <c r="U47135" s="9"/>
      <c r="X47135" s="9"/>
    </row>
    <row r="47136">
      <c r="D47136" s="9"/>
      <c r="G47136" s="9"/>
      <c r="J47136" s="11"/>
      <c r="U47136" s="9"/>
      <c r="X47136" s="9"/>
    </row>
    <row r="47137">
      <c r="D47137" s="9"/>
      <c r="G47137" s="9"/>
      <c r="J47137" s="11"/>
      <c r="U47137" s="9"/>
      <c r="X47137" s="9"/>
    </row>
    <row r="47138">
      <c r="D47138" s="9"/>
      <c r="G47138" s="9"/>
      <c r="J47138" s="11"/>
      <c r="U47138" s="9"/>
      <c r="X47138" s="9"/>
    </row>
    <row r="47139">
      <c r="D47139" s="9"/>
      <c r="G47139" s="9"/>
      <c r="J47139" s="11"/>
      <c r="U47139" s="9"/>
      <c r="X47139" s="9"/>
    </row>
    <row r="47140">
      <c r="D47140" s="9"/>
      <c r="G47140" s="9"/>
      <c r="J47140" s="11"/>
      <c r="U47140" s="9"/>
      <c r="X47140" s="9"/>
    </row>
    <row r="47141">
      <c r="D47141" s="9"/>
      <c r="G47141" s="9"/>
      <c r="J47141" s="11"/>
      <c r="U47141" s="9"/>
      <c r="X47141" s="9"/>
    </row>
    <row r="47142">
      <c r="D47142" s="9"/>
      <c r="G47142" s="9"/>
      <c r="J47142" s="11"/>
      <c r="U47142" s="9"/>
      <c r="X47142" s="9"/>
    </row>
    <row r="47143">
      <c r="D47143" s="9"/>
      <c r="G47143" s="9"/>
      <c r="J47143" s="11"/>
      <c r="U47143" s="9"/>
      <c r="X47143" s="9"/>
    </row>
    <row r="47144">
      <c r="D47144" s="9"/>
      <c r="G47144" s="9"/>
      <c r="J47144" s="11"/>
      <c r="U47144" s="9"/>
      <c r="X47144" s="9"/>
    </row>
    <row r="47145">
      <c r="D47145" s="9"/>
      <c r="G47145" s="9"/>
      <c r="J47145" s="11"/>
      <c r="U47145" s="9"/>
      <c r="X47145" s="9"/>
    </row>
    <row r="47146">
      <c r="D47146" s="9"/>
      <c r="G47146" s="9"/>
      <c r="J47146" s="11"/>
      <c r="U47146" s="9"/>
      <c r="X47146" s="9"/>
    </row>
    <row r="47147">
      <c r="D47147" s="9"/>
      <c r="G47147" s="9"/>
      <c r="J47147" s="11"/>
      <c r="U47147" s="9"/>
      <c r="X47147" s="9"/>
    </row>
    <row r="47148">
      <c r="D47148" s="9"/>
      <c r="G47148" s="9"/>
      <c r="J47148" s="11"/>
      <c r="U47148" s="9"/>
      <c r="X47148" s="9"/>
    </row>
    <row r="47149">
      <c r="D47149" s="9"/>
      <c r="G47149" s="9"/>
      <c r="J47149" s="11"/>
      <c r="U47149" s="9"/>
      <c r="X47149" s="9"/>
    </row>
    <row r="47150">
      <c r="D47150" s="9"/>
      <c r="G47150" s="9"/>
      <c r="J47150" s="11"/>
      <c r="U47150" s="9"/>
      <c r="X47150" s="9"/>
    </row>
    <row r="47151">
      <c r="D47151" s="9"/>
      <c r="G47151" s="9"/>
      <c r="J47151" s="11"/>
      <c r="U47151" s="9"/>
      <c r="X47151" s="9"/>
    </row>
    <row r="47152">
      <c r="D47152" s="9"/>
      <c r="G47152" s="9"/>
      <c r="J47152" s="11"/>
      <c r="U47152" s="9"/>
      <c r="X47152" s="9"/>
    </row>
    <row r="47153">
      <c r="D47153" s="9"/>
      <c r="G47153" s="9"/>
      <c r="J47153" s="11"/>
      <c r="U47153" s="9"/>
      <c r="X47153" s="9"/>
    </row>
    <row r="47154">
      <c r="D47154" s="9"/>
      <c r="G47154" s="9"/>
      <c r="J47154" s="11"/>
      <c r="U47154" s="9"/>
      <c r="X47154" s="9"/>
    </row>
    <row r="47155">
      <c r="D47155" s="9"/>
      <c r="G47155" s="9"/>
      <c r="J47155" s="11"/>
      <c r="U47155" s="9"/>
      <c r="X47155" s="9"/>
    </row>
    <row r="47156">
      <c r="D47156" s="9"/>
      <c r="G47156" s="9"/>
      <c r="J47156" s="11"/>
      <c r="U47156" s="9"/>
      <c r="X47156" s="9"/>
    </row>
    <row r="47157">
      <c r="D47157" s="9"/>
      <c r="G47157" s="9"/>
      <c r="J47157" s="11"/>
      <c r="U47157" s="9"/>
      <c r="X47157" s="9"/>
    </row>
    <row r="47158">
      <c r="D47158" s="9"/>
      <c r="G47158" s="9"/>
      <c r="J47158" s="11"/>
      <c r="U47158" s="9"/>
      <c r="X47158" s="9"/>
    </row>
    <row r="47159">
      <c r="D47159" s="9"/>
      <c r="G47159" s="9"/>
      <c r="J47159" s="11"/>
      <c r="U47159" s="9"/>
      <c r="X47159" s="9"/>
    </row>
    <row r="47160">
      <c r="D47160" s="9"/>
      <c r="G47160" s="9"/>
      <c r="J47160" s="11"/>
      <c r="U47160" s="9"/>
      <c r="X47160" s="9"/>
    </row>
    <row r="47161">
      <c r="D47161" s="9"/>
      <c r="G47161" s="9"/>
      <c r="J47161" s="11"/>
      <c r="U47161" s="9"/>
      <c r="X47161" s="9"/>
    </row>
    <row r="47162">
      <c r="D47162" s="9"/>
      <c r="G47162" s="9"/>
      <c r="J47162" s="11"/>
      <c r="U47162" s="9"/>
      <c r="X47162" s="9"/>
    </row>
    <row r="47163">
      <c r="D47163" s="9"/>
      <c r="G47163" s="9"/>
      <c r="J47163" s="11"/>
      <c r="U47163" s="9"/>
      <c r="X47163" s="9"/>
    </row>
    <row r="47164">
      <c r="D47164" s="9"/>
      <c r="G47164" s="9"/>
      <c r="J47164" s="11"/>
      <c r="U47164" s="9"/>
      <c r="X47164" s="9"/>
    </row>
    <row r="47165">
      <c r="D47165" s="9"/>
      <c r="G47165" s="9"/>
      <c r="J47165" s="11"/>
      <c r="U47165" s="9"/>
      <c r="X47165" s="9"/>
    </row>
    <row r="47166">
      <c r="D47166" s="9"/>
      <c r="G47166" s="9"/>
      <c r="J47166" s="11"/>
      <c r="U47166" s="9"/>
      <c r="X47166" s="9"/>
    </row>
    <row r="47167">
      <c r="D47167" s="9"/>
      <c r="G47167" s="9"/>
      <c r="J47167" s="11"/>
      <c r="U47167" s="9"/>
      <c r="X47167" s="9"/>
    </row>
    <row r="47168">
      <c r="D47168" s="9"/>
      <c r="G47168" s="9"/>
      <c r="J47168" s="11"/>
      <c r="U47168" s="9"/>
      <c r="X47168" s="9"/>
    </row>
    <row r="47169">
      <c r="D47169" s="9"/>
      <c r="G47169" s="9"/>
      <c r="J47169" s="11"/>
      <c r="U47169" s="9"/>
      <c r="X47169" s="9"/>
    </row>
    <row r="47170">
      <c r="D47170" s="9"/>
      <c r="G47170" s="9"/>
      <c r="J47170" s="11"/>
      <c r="U47170" s="9"/>
      <c r="X47170" s="9"/>
    </row>
    <row r="47171">
      <c r="D47171" s="9"/>
      <c r="G47171" s="9"/>
      <c r="J47171" s="11"/>
      <c r="U47171" s="9"/>
      <c r="X47171" s="9"/>
    </row>
    <row r="47172">
      <c r="D47172" s="9"/>
      <c r="G47172" s="9"/>
      <c r="J47172" s="11"/>
      <c r="U47172" s="9"/>
      <c r="X47172" s="9"/>
    </row>
    <row r="47173">
      <c r="D47173" s="9"/>
      <c r="G47173" s="9"/>
      <c r="J47173" s="11"/>
      <c r="U47173" s="9"/>
      <c r="X47173" s="9"/>
    </row>
    <row r="47174">
      <c r="D47174" s="9"/>
      <c r="G47174" s="9"/>
      <c r="J47174" s="11"/>
      <c r="U47174" s="9"/>
      <c r="X47174" s="9"/>
    </row>
    <row r="47175">
      <c r="D47175" s="9"/>
      <c r="G47175" s="9"/>
      <c r="J47175" s="11"/>
      <c r="U47175" s="9"/>
      <c r="X47175" s="9"/>
    </row>
    <row r="47176">
      <c r="D47176" s="9"/>
      <c r="G47176" s="9"/>
      <c r="J47176" s="11"/>
      <c r="U47176" s="9"/>
      <c r="X47176" s="9"/>
    </row>
    <row r="47177">
      <c r="D47177" s="9"/>
      <c r="G47177" s="9"/>
      <c r="J47177" s="11"/>
      <c r="U47177" s="9"/>
      <c r="X47177" s="9"/>
    </row>
    <row r="47178">
      <c r="D47178" s="9"/>
      <c r="G47178" s="9"/>
      <c r="J47178" s="11"/>
      <c r="U47178" s="9"/>
      <c r="X47178" s="9"/>
    </row>
    <row r="47179">
      <c r="D47179" s="9"/>
      <c r="G47179" s="9"/>
      <c r="J47179" s="11"/>
      <c r="U47179" s="9"/>
      <c r="X47179" s="9"/>
    </row>
    <row r="47180">
      <c r="D47180" s="9"/>
      <c r="G47180" s="9"/>
      <c r="J47180" s="11"/>
      <c r="U47180" s="9"/>
      <c r="X47180" s="9"/>
    </row>
    <row r="47181">
      <c r="D47181" s="9"/>
      <c r="G47181" s="9"/>
      <c r="J47181" s="11"/>
      <c r="U47181" s="9"/>
      <c r="X47181" s="9"/>
    </row>
    <row r="47182">
      <c r="D47182" s="9"/>
      <c r="G47182" s="9"/>
      <c r="J47182" s="11"/>
      <c r="U47182" s="9"/>
      <c r="X47182" s="9"/>
    </row>
    <row r="47183">
      <c r="D47183" s="9"/>
      <c r="G47183" s="9"/>
      <c r="J47183" s="11"/>
      <c r="U47183" s="9"/>
      <c r="X47183" s="9"/>
    </row>
    <row r="47184">
      <c r="D47184" s="9"/>
      <c r="G47184" s="9"/>
      <c r="J47184" s="11"/>
      <c r="U47184" s="9"/>
      <c r="X47184" s="9"/>
    </row>
    <row r="47185">
      <c r="D47185" s="9"/>
      <c r="G47185" s="9"/>
      <c r="J47185" s="11"/>
      <c r="U47185" s="9"/>
      <c r="X47185" s="9"/>
    </row>
    <row r="47186">
      <c r="D47186" s="9"/>
      <c r="G47186" s="9"/>
      <c r="J47186" s="11"/>
      <c r="U47186" s="9"/>
      <c r="X47186" s="9"/>
    </row>
    <row r="47187">
      <c r="D47187" s="9"/>
      <c r="G47187" s="9"/>
      <c r="J47187" s="11"/>
      <c r="U47187" s="9"/>
      <c r="X47187" s="9"/>
    </row>
    <row r="47188">
      <c r="D47188" s="9"/>
      <c r="G47188" s="9"/>
      <c r="J47188" s="11"/>
      <c r="U47188" s="9"/>
      <c r="X47188" s="9"/>
    </row>
    <row r="47189">
      <c r="D47189" s="9"/>
      <c r="G47189" s="9"/>
      <c r="J47189" s="11"/>
      <c r="U47189" s="9"/>
      <c r="X47189" s="9"/>
    </row>
    <row r="47190">
      <c r="D47190" s="9"/>
      <c r="G47190" s="9"/>
      <c r="J47190" s="11"/>
      <c r="U47190" s="9"/>
      <c r="X47190" s="9"/>
    </row>
    <row r="47191">
      <c r="D47191" s="9"/>
      <c r="G47191" s="9"/>
      <c r="J47191" s="11"/>
      <c r="U47191" s="9"/>
      <c r="X47191" s="9"/>
    </row>
    <row r="47192">
      <c r="D47192" s="9"/>
      <c r="G47192" s="9"/>
      <c r="J47192" s="11"/>
      <c r="U47192" s="9"/>
      <c r="X47192" s="9"/>
    </row>
    <row r="47193">
      <c r="D47193" s="9"/>
      <c r="G47193" s="9"/>
      <c r="J47193" s="11"/>
      <c r="U47193" s="9"/>
      <c r="X47193" s="9"/>
    </row>
    <row r="47194">
      <c r="D47194" s="9"/>
      <c r="G47194" s="9"/>
      <c r="J47194" s="11"/>
      <c r="U47194" s="9"/>
      <c r="X47194" s="9"/>
    </row>
    <row r="47195">
      <c r="D47195" s="9"/>
      <c r="G47195" s="9"/>
      <c r="J47195" s="11"/>
      <c r="U47195" s="9"/>
      <c r="X47195" s="9"/>
    </row>
    <row r="47196">
      <c r="D47196" s="9"/>
      <c r="G47196" s="9"/>
      <c r="J47196" s="11"/>
      <c r="U47196" s="9"/>
      <c r="X47196" s="9"/>
    </row>
    <row r="47197">
      <c r="D47197" s="9"/>
      <c r="G47197" s="9"/>
      <c r="J47197" s="11"/>
      <c r="U47197" s="9"/>
      <c r="X47197" s="9"/>
    </row>
    <row r="47198">
      <c r="D47198" s="9"/>
      <c r="G47198" s="9"/>
      <c r="J47198" s="11"/>
      <c r="U47198" s="9"/>
      <c r="X47198" s="9"/>
    </row>
    <row r="47199">
      <c r="D47199" s="9"/>
      <c r="G47199" s="9"/>
      <c r="J47199" s="11"/>
      <c r="U47199" s="9"/>
      <c r="X47199" s="9"/>
    </row>
    <row r="47200">
      <c r="D47200" s="9"/>
      <c r="G47200" s="9"/>
      <c r="J47200" s="11"/>
      <c r="U47200" s="9"/>
      <c r="X47200" s="9"/>
    </row>
    <row r="47201">
      <c r="D47201" s="9"/>
      <c r="G47201" s="9"/>
      <c r="J47201" s="11"/>
      <c r="U47201" s="9"/>
      <c r="X47201" s="9"/>
    </row>
    <row r="47202">
      <c r="D47202" s="9"/>
      <c r="G47202" s="9"/>
      <c r="J47202" s="11"/>
      <c r="U47202" s="9"/>
      <c r="X47202" s="9"/>
    </row>
    <row r="47203">
      <c r="D47203" s="9"/>
      <c r="G47203" s="9"/>
      <c r="J47203" s="11"/>
      <c r="U47203" s="9"/>
      <c r="X47203" s="9"/>
    </row>
    <row r="47204">
      <c r="D47204" s="9"/>
      <c r="G47204" s="9"/>
      <c r="J47204" s="11"/>
      <c r="U47204" s="9"/>
      <c r="X47204" s="9"/>
    </row>
    <row r="47205">
      <c r="D47205" s="9"/>
      <c r="G47205" s="9"/>
      <c r="J47205" s="11"/>
      <c r="U47205" s="9"/>
      <c r="X47205" s="9"/>
    </row>
    <row r="47206">
      <c r="D47206" s="9"/>
      <c r="G47206" s="9"/>
      <c r="J47206" s="11"/>
      <c r="U47206" s="9"/>
      <c r="X47206" s="9"/>
    </row>
    <row r="47207">
      <c r="D47207" s="9"/>
      <c r="G47207" s="9"/>
      <c r="J47207" s="11"/>
      <c r="U47207" s="9"/>
      <c r="X47207" s="9"/>
    </row>
    <row r="47208">
      <c r="D47208" s="9"/>
      <c r="G47208" s="9"/>
      <c r="J47208" s="11"/>
      <c r="U47208" s="9"/>
      <c r="X47208" s="9"/>
    </row>
    <row r="47209">
      <c r="D47209" s="9"/>
      <c r="G47209" s="9"/>
      <c r="J47209" s="11"/>
      <c r="U47209" s="9"/>
      <c r="X47209" s="9"/>
    </row>
    <row r="47210">
      <c r="D47210" s="9"/>
      <c r="G47210" s="9"/>
      <c r="J47210" s="11"/>
      <c r="U47210" s="9"/>
      <c r="X47210" s="9"/>
    </row>
    <row r="47211">
      <c r="D47211" s="9"/>
      <c r="G47211" s="9"/>
      <c r="J47211" s="11"/>
      <c r="U47211" s="9"/>
      <c r="X47211" s="9"/>
    </row>
    <row r="47212">
      <c r="D47212" s="9"/>
      <c r="G47212" s="9"/>
      <c r="J47212" s="11"/>
      <c r="U47212" s="9"/>
      <c r="X47212" s="9"/>
    </row>
    <row r="47213">
      <c r="D47213" s="9"/>
      <c r="G47213" s="9"/>
      <c r="J47213" s="11"/>
      <c r="U47213" s="9"/>
      <c r="X47213" s="9"/>
    </row>
    <row r="47214">
      <c r="D47214" s="9"/>
      <c r="G47214" s="9"/>
      <c r="J47214" s="11"/>
      <c r="U47214" s="9"/>
      <c r="X47214" s="9"/>
    </row>
    <row r="47215">
      <c r="D47215" s="9"/>
      <c r="G47215" s="9"/>
      <c r="J47215" s="11"/>
      <c r="U47215" s="9"/>
      <c r="X47215" s="9"/>
    </row>
    <row r="47216">
      <c r="D47216" s="9"/>
      <c r="G47216" s="9"/>
      <c r="J47216" s="11"/>
      <c r="U47216" s="9"/>
      <c r="X47216" s="9"/>
    </row>
    <row r="47217">
      <c r="D47217" s="9"/>
      <c r="G47217" s="9"/>
      <c r="J47217" s="11"/>
      <c r="U47217" s="9"/>
      <c r="X47217" s="9"/>
    </row>
    <row r="47218">
      <c r="D47218" s="9"/>
      <c r="G47218" s="9"/>
      <c r="J47218" s="11"/>
      <c r="U47218" s="9"/>
      <c r="X47218" s="9"/>
    </row>
    <row r="47219">
      <c r="D47219" s="9"/>
      <c r="G47219" s="9"/>
      <c r="J47219" s="11"/>
      <c r="U47219" s="9"/>
      <c r="X47219" s="9"/>
    </row>
    <row r="47220">
      <c r="D47220" s="9"/>
      <c r="G47220" s="9"/>
      <c r="J47220" s="11"/>
      <c r="U47220" s="9"/>
      <c r="X47220" s="9"/>
    </row>
    <row r="47221">
      <c r="D47221" s="9"/>
      <c r="G47221" s="9"/>
      <c r="J47221" s="11"/>
      <c r="U47221" s="9"/>
      <c r="X47221" s="9"/>
    </row>
    <row r="47222">
      <c r="D47222" s="9"/>
      <c r="G47222" s="9"/>
      <c r="J47222" s="11"/>
      <c r="U47222" s="9"/>
      <c r="X47222" s="9"/>
    </row>
    <row r="47223">
      <c r="D47223" s="9"/>
      <c r="G47223" s="9"/>
      <c r="J47223" s="11"/>
      <c r="U47223" s="9"/>
      <c r="X47223" s="9"/>
    </row>
    <row r="47224">
      <c r="D47224" s="9"/>
      <c r="G47224" s="9"/>
      <c r="J47224" s="11"/>
      <c r="U47224" s="9"/>
      <c r="X47224" s="9"/>
    </row>
    <row r="47225">
      <c r="D47225" s="9"/>
      <c r="G47225" s="9"/>
      <c r="J47225" s="11"/>
      <c r="U47225" s="9"/>
      <c r="X47225" s="9"/>
    </row>
    <row r="47226">
      <c r="D47226" s="9"/>
      <c r="G47226" s="9"/>
      <c r="J47226" s="11"/>
      <c r="U47226" s="9"/>
      <c r="X47226" s="9"/>
    </row>
    <row r="47227">
      <c r="D47227" s="9"/>
      <c r="G47227" s="9"/>
      <c r="J47227" s="11"/>
      <c r="U47227" s="9"/>
      <c r="X47227" s="9"/>
    </row>
    <row r="47228">
      <c r="D47228" s="9"/>
      <c r="G47228" s="9"/>
      <c r="J47228" s="11"/>
      <c r="U47228" s="9"/>
      <c r="X47228" s="9"/>
    </row>
    <row r="47229">
      <c r="D47229" s="9"/>
      <c r="G47229" s="9"/>
      <c r="J47229" s="11"/>
      <c r="U47229" s="9"/>
      <c r="X47229" s="9"/>
    </row>
    <row r="47230">
      <c r="D47230" s="9"/>
      <c r="G47230" s="9"/>
      <c r="J47230" s="11"/>
      <c r="U47230" s="9"/>
      <c r="X47230" s="9"/>
    </row>
    <row r="47231">
      <c r="D47231" s="9"/>
      <c r="G47231" s="9"/>
      <c r="J47231" s="11"/>
      <c r="U47231" s="9"/>
      <c r="X47231" s="9"/>
    </row>
    <row r="47232">
      <c r="D47232" s="9"/>
      <c r="G47232" s="9"/>
      <c r="J47232" s="11"/>
      <c r="U47232" s="9"/>
      <c r="X47232" s="9"/>
    </row>
    <row r="47233">
      <c r="D47233" s="9"/>
      <c r="G47233" s="9"/>
      <c r="J47233" s="11"/>
      <c r="U47233" s="9"/>
      <c r="X47233" s="9"/>
    </row>
    <row r="47234">
      <c r="D47234" s="9"/>
      <c r="G47234" s="9"/>
      <c r="J47234" s="11"/>
      <c r="U47234" s="9"/>
      <c r="X47234" s="9"/>
    </row>
    <row r="47235">
      <c r="D47235" s="9"/>
      <c r="G47235" s="9"/>
      <c r="J47235" s="11"/>
      <c r="U47235" s="9"/>
      <c r="X47235" s="9"/>
    </row>
    <row r="47236">
      <c r="D47236" s="9"/>
      <c r="G47236" s="9"/>
      <c r="J47236" s="11"/>
      <c r="U47236" s="9"/>
      <c r="X47236" s="9"/>
    </row>
    <row r="47237">
      <c r="D47237" s="9"/>
      <c r="G47237" s="9"/>
      <c r="J47237" s="11"/>
      <c r="U47237" s="9"/>
      <c r="X47237" s="9"/>
    </row>
    <row r="47238">
      <c r="D47238" s="9"/>
      <c r="G47238" s="9"/>
      <c r="J47238" s="11"/>
      <c r="U47238" s="9"/>
      <c r="X47238" s="9"/>
    </row>
    <row r="47239">
      <c r="D47239" s="9"/>
      <c r="G47239" s="9"/>
      <c r="J47239" s="11"/>
      <c r="U47239" s="9"/>
      <c r="X47239" s="9"/>
    </row>
    <row r="47240">
      <c r="D47240" s="9"/>
      <c r="G47240" s="9"/>
      <c r="J47240" s="11"/>
      <c r="U47240" s="9"/>
      <c r="X47240" s="9"/>
    </row>
    <row r="47241">
      <c r="D47241" s="9"/>
      <c r="G47241" s="9"/>
      <c r="J47241" s="11"/>
      <c r="U47241" s="9"/>
      <c r="X47241" s="9"/>
    </row>
    <row r="47242">
      <c r="D47242" s="9"/>
      <c r="G47242" s="9"/>
      <c r="J47242" s="11"/>
      <c r="U47242" s="9"/>
      <c r="X47242" s="9"/>
    </row>
    <row r="47243">
      <c r="D47243" s="9"/>
      <c r="G47243" s="9"/>
      <c r="J47243" s="11"/>
      <c r="U47243" s="9"/>
      <c r="X47243" s="9"/>
    </row>
    <row r="47244">
      <c r="D47244" s="9"/>
      <c r="G47244" s="9"/>
      <c r="J47244" s="11"/>
      <c r="U47244" s="9"/>
      <c r="X47244" s="9"/>
    </row>
    <row r="47245">
      <c r="D47245" s="9"/>
      <c r="G47245" s="9"/>
      <c r="J47245" s="11"/>
      <c r="U47245" s="9"/>
      <c r="X47245" s="9"/>
    </row>
    <row r="47246">
      <c r="D47246" s="9"/>
      <c r="G47246" s="9"/>
      <c r="J47246" s="11"/>
      <c r="U47246" s="9"/>
      <c r="X47246" s="9"/>
    </row>
    <row r="47247">
      <c r="D47247" s="9"/>
      <c r="G47247" s="9"/>
      <c r="J47247" s="11"/>
      <c r="U47247" s="9"/>
      <c r="X47247" s="9"/>
    </row>
    <row r="47248">
      <c r="D47248" s="9"/>
      <c r="G47248" s="9"/>
      <c r="J47248" s="11"/>
      <c r="U47248" s="9"/>
      <c r="X47248" s="9"/>
    </row>
    <row r="47249">
      <c r="D47249" s="9"/>
      <c r="G47249" s="9"/>
      <c r="J47249" s="11"/>
      <c r="U47249" s="9"/>
      <c r="X47249" s="9"/>
    </row>
    <row r="47250">
      <c r="D47250" s="9"/>
      <c r="G47250" s="9"/>
      <c r="J47250" s="11"/>
      <c r="U47250" s="9"/>
      <c r="X47250" s="9"/>
    </row>
    <row r="47251">
      <c r="D47251" s="9"/>
      <c r="G47251" s="9"/>
      <c r="J47251" s="11"/>
      <c r="U47251" s="9"/>
      <c r="X47251" s="9"/>
    </row>
    <row r="47252">
      <c r="D47252" s="9"/>
      <c r="G47252" s="9"/>
      <c r="J47252" s="11"/>
      <c r="U47252" s="9"/>
      <c r="X47252" s="9"/>
    </row>
    <row r="47253">
      <c r="D47253" s="9"/>
      <c r="G47253" s="9"/>
      <c r="J47253" s="11"/>
      <c r="U47253" s="9"/>
      <c r="X47253" s="9"/>
    </row>
    <row r="47254">
      <c r="D47254" s="9"/>
      <c r="G47254" s="9"/>
      <c r="J47254" s="11"/>
      <c r="U47254" s="9"/>
      <c r="X47254" s="9"/>
    </row>
    <row r="47255">
      <c r="D47255" s="9"/>
      <c r="G47255" s="9"/>
      <c r="J47255" s="11"/>
      <c r="U47255" s="9"/>
      <c r="X47255" s="9"/>
    </row>
    <row r="47256">
      <c r="D47256" s="9"/>
      <c r="G47256" s="9"/>
      <c r="J47256" s="11"/>
      <c r="U47256" s="9"/>
      <c r="X47256" s="9"/>
    </row>
    <row r="47257">
      <c r="D47257" s="9"/>
      <c r="G47257" s="9"/>
      <c r="J47257" s="11"/>
      <c r="U47257" s="9"/>
      <c r="X47257" s="9"/>
    </row>
    <row r="47258">
      <c r="D47258" s="9"/>
      <c r="G47258" s="9"/>
      <c r="J47258" s="11"/>
      <c r="U47258" s="9"/>
      <c r="X47258" s="9"/>
    </row>
    <row r="47259">
      <c r="D47259" s="9"/>
      <c r="G47259" s="9"/>
      <c r="J47259" s="11"/>
      <c r="U47259" s="9"/>
      <c r="X47259" s="9"/>
    </row>
    <row r="47260">
      <c r="D47260" s="9"/>
      <c r="G47260" s="9"/>
      <c r="J47260" s="11"/>
      <c r="U47260" s="9"/>
      <c r="X47260" s="9"/>
    </row>
    <row r="47261">
      <c r="D47261" s="9"/>
      <c r="G47261" s="9"/>
      <c r="J47261" s="11"/>
      <c r="U47261" s="9"/>
      <c r="X47261" s="9"/>
    </row>
    <row r="47262">
      <c r="D47262" s="9"/>
      <c r="G47262" s="9"/>
      <c r="J47262" s="11"/>
      <c r="U47262" s="9"/>
      <c r="X47262" s="9"/>
    </row>
    <row r="47263">
      <c r="D47263" s="9"/>
      <c r="G47263" s="9"/>
      <c r="J47263" s="11"/>
      <c r="U47263" s="9"/>
      <c r="X47263" s="9"/>
    </row>
    <row r="47264">
      <c r="D47264" s="9"/>
      <c r="G47264" s="9"/>
      <c r="J47264" s="11"/>
      <c r="U47264" s="9"/>
      <c r="X47264" s="9"/>
    </row>
    <row r="47265">
      <c r="D47265" s="9"/>
      <c r="G47265" s="9"/>
      <c r="J47265" s="11"/>
      <c r="U47265" s="9"/>
      <c r="X47265" s="9"/>
    </row>
    <row r="47266">
      <c r="D47266" s="9"/>
      <c r="G47266" s="9"/>
      <c r="J47266" s="11"/>
      <c r="U47266" s="9"/>
      <c r="X47266" s="9"/>
    </row>
    <row r="47267">
      <c r="D47267" s="9"/>
      <c r="G47267" s="9"/>
      <c r="J47267" s="11"/>
      <c r="U47267" s="9"/>
      <c r="X47267" s="9"/>
    </row>
    <row r="47268">
      <c r="D47268" s="9"/>
      <c r="G47268" s="9"/>
      <c r="J47268" s="11"/>
      <c r="U47268" s="9"/>
      <c r="X47268" s="9"/>
    </row>
    <row r="47269">
      <c r="D47269" s="9"/>
      <c r="G47269" s="9"/>
      <c r="J47269" s="11"/>
      <c r="U47269" s="9"/>
      <c r="X47269" s="9"/>
    </row>
    <row r="47270">
      <c r="D47270" s="9"/>
      <c r="G47270" s="9"/>
      <c r="J47270" s="11"/>
      <c r="U47270" s="9"/>
      <c r="X47270" s="9"/>
    </row>
    <row r="47271">
      <c r="D47271" s="9"/>
      <c r="G47271" s="9"/>
      <c r="J47271" s="11"/>
      <c r="U47271" s="9"/>
      <c r="X47271" s="9"/>
    </row>
    <row r="47272">
      <c r="D47272" s="9"/>
      <c r="G47272" s="9"/>
      <c r="J47272" s="11"/>
      <c r="U47272" s="9"/>
      <c r="X47272" s="9"/>
    </row>
    <row r="47273">
      <c r="D47273" s="9"/>
      <c r="G47273" s="9"/>
      <c r="J47273" s="11"/>
      <c r="U47273" s="9"/>
      <c r="X47273" s="9"/>
    </row>
    <row r="47274">
      <c r="D47274" s="9"/>
      <c r="G47274" s="9"/>
      <c r="J47274" s="11"/>
      <c r="U47274" s="9"/>
      <c r="X47274" s="9"/>
    </row>
    <row r="47275">
      <c r="D47275" s="9"/>
      <c r="G47275" s="9"/>
      <c r="J47275" s="11"/>
      <c r="U47275" s="9"/>
      <c r="X47275" s="9"/>
    </row>
    <row r="47276">
      <c r="D47276" s="9"/>
      <c r="G47276" s="9"/>
      <c r="J47276" s="11"/>
      <c r="U47276" s="9"/>
      <c r="X47276" s="9"/>
    </row>
    <row r="47277">
      <c r="D47277" s="9"/>
      <c r="G47277" s="9"/>
      <c r="J47277" s="11"/>
      <c r="U47277" s="9"/>
      <c r="X47277" s="9"/>
    </row>
    <row r="47278">
      <c r="D47278" s="9"/>
      <c r="G47278" s="9"/>
      <c r="J47278" s="11"/>
      <c r="U47278" s="9"/>
      <c r="X47278" s="9"/>
    </row>
    <row r="47279">
      <c r="D47279" s="9"/>
      <c r="G47279" s="9"/>
      <c r="J47279" s="11"/>
      <c r="U47279" s="9"/>
      <c r="X47279" s="9"/>
    </row>
    <row r="47280">
      <c r="D47280" s="9"/>
      <c r="G47280" s="9"/>
      <c r="J47280" s="11"/>
      <c r="U47280" s="9"/>
      <c r="X47280" s="9"/>
    </row>
    <row r="47281">
      <c r="D47281" s="9"/>
      <c r="G47281" s="9"/>
      <c r="J47281" s="11"/>
      <c r="U47281" s="9"/>
      <c r="X47281" s="9"/>
    </row>
    <row r="47282">
      <c r="D47282" s="9"/>
      <c r="G47282" s="9"/>
      <c r="J47282" s="11"/>
      <c r="U47282" s="9"/>
      <c r="X47282" s="9"/>
    </row>
    <row r="47283">
      <c r="D47283" s="9"/>
      <c r="G47283" s="9"/>
      <c r="J47283" s="11"/>
      <c r="U47283" s="9"/>
      <c r="X47283" s="9"/>
    </row>
    <row r="47284">
      <c r="D47284" s="9"/>
      <c r="G47284" s="9"/>
      <c r="J47284" s="11"/>
      <c r="U47284" s="9"/>
      <c r="X47284" s="9"/>
    </row>
    <row r="47285">
      <c r="D47285" s="9"/>
      <c r="G47285" s="9"/>
      <c r="J47285" s="11"/>
      <c r="U47285" s="9"/>
      <c r="X47285" s="9"/>
    </row>
    <row r="47286">
      <c r="D47286" s="9"/>
      <c r="G47286" s="9"/>
      <c r="J47286" s="11"/>
      <c r="U47286" s="9"/>
      <c r="X47286" s="9"/>
    </row>
    <row r="47287">
      <c r="D47287" s="9"/>
      <c r="G47287" s="9"/>
      <c r="J47287" s="11"/>
      <c r="U47287" s="9"/>
      <c r="X47287" s="9"/>
    </row>
    <row r="47288">
      <c r="D47288" s="9"/>
      <c r="G47288" s="9"/>
      <c r="J47288" s="11"/>
      <c r="U47288" s="9"/>
      <c r="X47288" s="9"/>
    </row>
    <row r="47289">
      <c r="D47289" s="9"/>
      <c r="G47289" s="9"/>
      <c r="J47289" s="11"/>
      <c r="U47289" s="9"/>
      <c r="X47289" s="9"/>
    </row>
    <row r="47290">
      <c r="D47290" s="9"/>
      <c r="G47290" s="9"/>
      <c r="J47290" s="11"/>
      <c r="U47290" s="9"/>
      <c r="X47290" s="9"/>
    </row>
    <row r="47291">
      <c r="D47291" s="9"/>
      <c r="G47291" s="9"/>
      <c r="J47291" s="11"/>
      <c r="U47291" s="9"/>
      <c r="X47291" s="9"/>
    </row>
    <row r="47292">
      <c r="D47292" s="9"/>
      <c r="G47292" s="9"/>
      <c r="J47292" s="11"/>
      <c r="U47292" s="9"/>
      <c r="X47292" s="9"/>
    </row>
    <row r="47293">
      <c r="D47293" s="9"/>
      <c r="G47293" s="9"/>
      <c r="J47293" s="11"/>
      <c r="U47293" s="9"/>
      <c r="X47293" s="9"/>
    </row>
    <row r="47294">
      <c r="D47294" s="9"/>
      <c r="G47294" s="9"/>
      <c r="J47294" s="11"/>
      <c r="U47294" s="9"/>
      <c r="X47294" s="9"/>
    </row>
    <row r="47295">
      <c r="D47295" s="9"/>
      <c r="G47295" s="9"/>
      <c r="J47295" s="11"/>
      <c r="U47295" s="9"/>
      <c r="X47295" s="9"/>
    </row>
    <row r="47296">
      <c r="D47296" s="9"/>
      <c r="G47296" s="9"/>
      <c r="J47296" s="11"/>
      <c r="U47296" s="9"/>
      <c r="X47296" s="9"/>
    </row>
    <row r="47297">
      <c r="D47297" s="9"/>
      <c r="G47297" s="9"/>
      <c r="J47297" s="11"/>
      <c r="U47297" s="9"/>
      <c r="X47297" s="9"/>
    </row>
    <row r="47298">
      <c r="D47298" s="9"/>
      <c r="G47298" s="9"/>
      <c r="J47298" s="11"/>
      <c r="U47298" s="9"/>
      <c r="X47298" s="9"/>
    </row>
    <row r="47299">
      <c r="D47299" s="9"/>
      <c r="G47299" s="9"/>
      <c r="J47299" s="11"/>
      <c r="U47299" s="9"/>
      <c r="X47299" s="9"/>
    </row>
    <row r="47300">
      <c r="D47300" s="9"/>
      <c r="G47300" s="9"/>
      <c r="J47300" s="11"/>
      <c r="U47300" s="9"/>
      <c r="X47300" s="9"/>
    </row>
    <row r="47301">
      <c r="D47301" s="9"/>
      <c r="G47301" s="9"/>
      <c r="J47301" s="11"/>
      <c r="U47301" s="9"/>
      <c r="X47301" s="9"/>
    </row>
    <row r="47302">
      <c r="D47302" s="9"/>
      <c r="G47302" s="9"/>
      <c r="J47302" s="11"/>
      <c r="U47302" s="9"/>
      <c r="X47302" s="9"/>
    </row>
    <row r="47303">
      <c r="D47303" s="9"/>
      <c r="G47303" s="9"/>
      <c r="J47303" s="11"/>
      <c r="U47303" s="9"/>
      <c r="X47303" s="9"/>
    </row>
    <row r="47304">
      <c r="D47304" s="9"/>
      <c r="G47304" s="9"/>
      <c r="J47304" s="11"/>
      <c r="U47304" s="9"/>
      <c r="X47304" s="9"/>
    </row>
    <row r="47305">
      <c r="D47305" s="9"/>
      <c r="G47305" s="9"/>
      <c r="J47305" s="11"/>
      <c r="U47305" s="9"/>
      <c r="X47305" s="9"/>
    </row>
    <row r="47306">
      <c r="D47306" s="9"/>
      <c r="G47306" s="9"/>
      <c r="J47306" s="11"/>
      <c r="U47306" s="9"/>
      <c r="X47306" s="9"/>
    </row>
    <row r="47307">
      <c r="D47307" s="9"/>
      <c r="G47307" s="9"/>
      <c r="J47307" s="11"/>
      <c r="U47307" s="9"/>
      <c r="X47307" s="9"/>
    </row>
    <row r="47308">
      <c r="D47308" s="9"/>
      <c r="G47308" s="9"/>
      <c r="J47308" s="11"/>
      <c r="U47308" s="9"/>
      <c r="X47308" s="9"/>
    </row>
    <row r="47309">
      <c r="D47309" s="9"/>
      <c r="G47309" s="9"/>
      <c r="J47309" s="11"/>
      <c r="U47309" s="9"/>
      <c r="X47309" s="9"/>
    </row>
    <row r="47310">
      <c r="D47310" s="9"/>
      <c r="G47310" s="9"/>
      <c r="J47310" s="11"/>
      <c r="U47310" s="9"/>
      <c r="X47310" s="9"/>
    </row>
    <row r="47311">
      <c r="D47311" s="9"/>
      <c r="G47311" s="9"/>
      <c r="J47311" s="11"/>
      <c r="U47311" s="9"/>
      <c r="X47311" s="9"/>
    </row>
    <row r="47312">
      <c r="D47312" s="9"/>
      <c r="G47312" s="9"/>
      <c r="J47312" s="11"/>
      <c r="U47312" s="9"/>
      <c r="X47312" s="9"/>
    </row>
    <row r="47313">
      <c r="D47313" s="9"/>
      <c r="G47313" s="9"/>
      <c r="J47313" s="11"/>
      <c r="U47313" s="9"/>
      <c r="X47313" s="9"/>
    </row>
    <row r="47314">
      <c r="D47314" s="9"/>
      <c r="G47314" s="9"/>
      <c r="J47314" s="11"/>
      <c r="U47314" s="9"/>
      <c r="X47314" s="9"/>
    </row>
    <row r="47315">
      <c r="D47315" s="9"/>
      <c r="G47315" s="9"/>
      <c r="J47315" s="11"/>
      <c r="U47315" s="9"/>
      <c r="X47315" s="9"/>
    </row>
    <row r="47316">
      <c r="D47316" s="9"/>
      <c r="G47316" s="9"/>
      <c r="J47316" s="11"/>
      <c r="U47316" s="9"/>
      <c r="X47316" s="9"/>
    </row>
    <row r="47317">
      <c r="D47317" s="9"/>
      <c r="G47317" s="9"/>
      <c r="J47317" s="11"/>
      <c r="U47317" s="9"/>
      <c r="X47317" s="9"/>
    </row>
    <row r="47318">
      <c r="D47318" s="9"/>
      <c r="G47318" s="9"/>
      <c r="J47318" s="11"/>
      <c r="U47318" s="9"/>
      <c r="X47318" s="9"/>
    </row>
    <row r="47319">
      <c r="D47319" s="9"/>
      <c r="G47319" s="9"/>
      <c r="J47319" s="11"/>
      <c r="U47319" s="9"/>
      <c r="X47319" s="9"/>
    </row>
    <row r="47320">
      <c r="D47320" s="9"/>
      <c r="G47320" s="9"/>
      <c r="J47320" s="11"/>
      <c r="U47320" s="9"/>
      <c r="X47320" s="9"/>
    </row>
    <row r="47321">
      <c r="D47321" s="9"/>
      <c r="G47321" s="9"/>
      <c r="J47321" s="11"/>
      <c r="U47321" s="9"/>
      <c r="X47321" s="9"/>
    </row>
    <row r="47322">
      <c r="D47322" s="9"/>
      <c r="G47322" s="9"/>
      <c r="J47322" s="11"/>
      <c r="U47322" s="9"/>
      <c r="X47322" s="9"/>
    </row>
    <row r="47323">
      <c r="D47323" s="9"/>
      <c r="G47323" s="9"/>
      <c r="J47323" s="11"/>
      <c r="U47323" s="9"/>
      <c r="X47323" s="9"/>
    </row>
    <row r="47324">
      <c r="D47324" s="9"/>
      <c r="G47324" s="9"/>
      <c r="J47324" s="11"/>
      <c r="U47324" s="9"/>
      <c r="X47324" s="9"/>
    </row>
    <row r="47325">
      <c r="D47325" s="9"/>
      <c r="G47325" s="9"/>
      <c r="J47325" s="11"/>
      <c r="U47325" s="9"/>
      <c r="X47325" s="9"/>
    </row>
    <row r="47326">
      <c r="D47326" s="9"/>
      <c r="G47326" s="9"/>
      <c r="J47326" s="11"/>
      <c r="U47326" s="9"/>
      <c r="X47326" s="9"/>
    </row>
    <row r="47327">
      <c r="D47327" s="9"/>
      <c r="G47327" s="9"/>
      <c r="J47327" s="11"/>
      <c r="U47327" s="9"/>
      <c r="X47327" s="9"/>
    </row>
    <row r="47328">
      <c r="D47328" s="9"/>
      <c r="G47328" s="9"/>
      <c r="J47328" s="11"/>
      <c r="U47328" s="9"/>
      <c r="X47328" s="9"/>
    </row>
    <row r="47329">
      <c r="D47329" s="9"/>
      <c r="G47329" s="9"/>
      <c r="J47329" s="11"/>
      <c r="U47329" s="9"/>
      <c r="X47329" s="9"/>
    </row>
    <row r="47330">
      <c r="D47330" s="9"/>
      <c r="G47330" s="9"/>
      <c r="J47330" s="11"/>
      <c r="U47330" s="9"/>
      <c r="X47330" s="9"/>
    </row>
    <row r="47331">
      <c r="D47331" s="9"/>
      <c r="G47331" s="9"/>
      <c r="J47331" s="11"/>
      <c r="U47331" s="9"/>
      <c r="X47331" s="9"/>
    </row>
    <row r="47332">
      <c r="D47332" s="9"/>
      <c r="G47332" s="9"/>
      <c r="J47332" s="11"/>
      <c r="U47332" s="9"/>
      <c r="X47332" s="9"/>
    </row>
    <row r="47333">
      <c r="D47333" s="9"/>
      <c r="G47333" s="9"/>
      <c r="J47333" s="11"/>
      <c r="U47333" s="9"/>
      <c r="X47333" s="9"/>
    </row>
    <row r="47334">
      <c r="D47334" s="9"/>
      <c r="G47334" s="9"/>
      <c r="J47334" s="11"/>
      <c r="U47334" s="9"/>
      <c r="X47334" s="9"/>
    </row>
    <row r="47335">
      <c r="D47335" s="9"/>
      <c r="G47335" s="9"/>
      <c r="J47335" s="11"/>
      <c r="U47335" s="9"/>
      <c r="X47335" s="9"/>
    </row>
    <row r="47336">
      <c r="D47336" s="9"/>
      <c r="G47336" s="9"/>
      <c r="J47336" s="11"/>
      <c r="U47336" s="9"/>
      <c r="X47336" s="9"/>
    </row>
    <row r="47337">
      <c r="D47337" s="9"/>
      <c r="G47337" s="9"/>
      <c r="J47337" s="11"/>
      <c r="U47337" s="9"/>
      <c r="X47337" s="9"/>
    </row>
    <row r="47338">
      <c r="D47338" s="9"/>
      <c r="G47338" s="9"/>
      <c r="J47338" s="11"/>
      <c r="U47338" s="9"/>
      <c r="X47338" s="9"/>
    </row>
    <row r="47339">
      <c r="D47339" s="9"/>
      <c r="G47339" s="9"/>
      <c r="J47339" s="11"/>
      <c r="U47339" s="9"/>
      <c r="X47339" s="9"/>
    </row>
    <row r="47340">
      <c r="D47340" s="9"/>
      <c r="G47340" s="9"/>
      <c r="J47340" s="11"/>
      <c r="U47340" s="9"/>
      <c r="X47340" s="9"/>
    </row>
    <row r="47341">
      <c r="D47341" s="9"/>
      <c r="G47341" s="9"/>
      <c r="J47341" s="11"/>
      <c r="U47341" s="9"/>
      <c r="X47341" s="9"/>
    </row>
    <row r="47342">
      <c r="D47342" s="9"/>
      <c r="G47342" s="9"/>
      <c r="J47342" s="11"/>
      <c r="U47342" s="9"/>
      <c r="X47342" s="9"/>
    </row>
    <row r="47343">
      <c r="D47343" s="9"/>
      <c r="G47343" s="9"/>
      <c r="J47343" s="11"/>
      <c r="U47343" s="9"/>
      <c r="X47343" s="9"/>
    </row>
    <row r="47344">
      <c r="D47344" s="9"/>
      <c r="G47344" s="9"/>
      <c r="J47344" s="11"/>
      <c r="U47344" s="9"/>
      <c r="X47344" s="9"/>
    </row>
    <row r="47345">
      <c r="D47345" s="9"/>
      <c r="G47345" s="9"/>
      <c r="J47345" s="11"/>
      <c r="U47345" s="9"/>
      <c r="X47345" s="9"/>
    </row>
    <row r="47346">
      <c r="D47346" s="9"/>
      <c r="G47346" s="9"/>
      <c r="J47346" s="11"/>
      <c r="U47346" s="9"/>
      <c r="X47346" s="9"/>
    </row>
    <row r="47347">
      <c r="D47347" s="9"/>
      <c r="G47347" s="9"/>
      <c r="J47347" s="11"/>
      <c r="U47347" s="9"/>
      <c r="X47347" s="9"/>
    </row>
    <row r="47348">
      <c r="D47348" s="9"/>
      <c r="G47348" s="9"/>
      <c r="J47348" s="11"/>
      <c r="U47348" s="9"/>
      <c r="X47348" s="9"/>
    </row>
    <row r="47349">
      <c r="D47349" s="9"/>
      <c r="G47349" s="9"/>
      <c r="J47349" s="11"/>
      <c r="U47349" s="9"/>
      <c r="X47349" s="9"/>
    </row>
    <row r="47350">
      <c r="D47350" s="9"/>
      <c r="G47350" s="9"/>
      <c r="J47350" s="11"/>
      <c r="U47350" s="9"/>
      <c r="X47350" s="9"/>
    </row>
    <row r="47351">
      <c r="D47351" s="9"/>
      <c r="G47351" s="9"/>
      <c r="J47351" s="11"/>
      <c r="U47351" s="9"/>
      <c r="X47351" s="9"/>
    </row>
    <row r="47352">
      <c r="D47352" s="9"/>
      <c r="G47352" s="9"/>
      <c r="J47352" s="11"/>
      <c r="U47352" s="9"/>
      <c r="X47352" s="9"/>
    </row>
    <row r="47353">
      <c r="D47353" s="9"/>
      <c r="G47353" s="9"/>
      <c r="J47353" s="11"/>
      <c r="U47353" s="9"/>
      <c r="X47353" s="9"/>
    </row>
    <row r="47354">
      <c r="D47354" s="9"/>
      <c r="G47354" s="9"/>
      <c r="J47354" s="11"/>
      <c r="U47354" s="9"/>
      <c r="X47354" s="9"/>
    </row>
    <row r="47355">
      <c r="D47355" s="9"/>
      <c r="G47355" s="9"/>
      <c r="J47355" s="11"/>
      <c r="U47355" s="9"/>
      <c r="X47355" s="9"/>
    </row>
    <row r="47356">
      <c r="D47356" s="9"/>
      <c r="G47356" s="9"/>
      <c r="J47356" s="11"/>
      <c r="U47356" s="9"/>
      <c r="X47356" s="9"/>
    </row>
    <row r="47357">
      <c r="D47357" s="9"/>
      <c r="G47357" s="9"/>
      <c r="J47357" s="11"/>
      <c r="U47357" s="9"/>
      <c r="X47357" s="9"/>
    </row>
    <row r="47358">
      <c r="D47358" s="9"/>
      <c r="G47358" s="9"/>
      <c r="J47358" s="11"/>
      <c r="U47358" s="9"/>
      <c r="X47358" s="9"/>
    </row>
    <row r="47359">
      <c r="D47359" s="9"/>
      <c r="G47359" s="9"/>
      <c r="J47359" s="11"/>
      <c r="U47359" s="9"/>
      <c r="X47359" s="9"/>
    </row>
    <row r="47360">
      <c r="D47360" s="9"/>
      <c r="G47360" s="9"/>
      <c r="J47360" s="11"/>
      <c r="U47360" s="9"/>
      <c r="X47360" s="9"/>
    </row>
    <row r="47361">
      <c r="D47361" s="9"/>
      <c r="G47361" s="9"/>
      <c r="J47361" s="11"/>
      <c r="U47361" s="9"/>
      <c r="X47361" s="9"/>
    </row>
    <row r="47362">
      <c r="D47362" s="9"/>
      <c r="G47362" s="9"/>
      <c r="J47362" s="11"/>
      <c r="U47362" s="9"/>
      <c r="X47362" s="9"/>
    </row>
    <row r="47363">
      <c r="D47363" s="9"/>
      <c r="G47363" s="9"/>
      <c r="J47363" s="11"/>
      <c r="U47363" s="9"/>
      <c r="X47363" s="9"/>
    </row>
    <row r="47364">
      <c r="D47364" s="9"/>
      <c r="G47364" s="9"/>
      <c r="J47364" s="11"/>
      <c r="U47364" s="9"/>
      <c r="X47364" s="9"/>
    </row>
    <row r="47365">
      <c r="D47365" s="9"/>
      <c r="G47365" s="9"/>
      <c r="J47365" s="11"/>
      <c r="U47365" s="9"/>
      <c r="X47365" s="9"/>
    </row>
    <row r="47366">
      <c r="D47366" s="9"/>
      <c r="G47366" s="9"/>
      <c r="J47366" s="11"/>
      <c r="U47366" s="9"/>
      <c r="X47366" s="9"/>
    </row>
    <row r="47367">
      <c r="D47367" s="9"/>
      <c r="G47367" s="9"/>
      <c r="J47367" s="11"/>
      <c r="U47367" s="9"/>
      <c r="X47367" s="9"/>
    </row>
    <row r="47368">
      <c r="D47368" s="9"/>
      <c r="G47368" s="9"/>
      <c r="J47368" s="11"/>
      <c r="U47368" s="9"/>
      <c r="X47368" s="9"/>
    </row>
    <row r="47369">
      <c r="D47369" s="9"/>
      <c r="G47369" s="9"/>
      <c r="J47369" s="11"/>
      <c r="U47369" s="9"/>
      <c r="X47369" s="9"/>
    </row>
    <row r="47370">
      <c r="D47370" s="9"/>
      <c r="G47370" s="9"/>
      <c r="J47370" s="11"/>
      <c r="U47370" s="9"/>
      <c r="X47370" s="9"/>
    </row>
    <row r="47371">
      <c r="D47371" s="9"/>
      <c r="G47371" s="9"/>
      <c r="J47371" s="11"/>
      <c r="U47371" s="9"/>
      <c r="X47371" s="9"/>
    </row>
    <row r="47372">
      <c r="D47372" s="9"/>
      <c r="G47372" s="9"/>
      <c r="J47372" s="11"/>
      <c r="U47372" s="9"/>
      <c r="X47372" s="9"/>
    </row>
    <row r="47373">
      <c r="D47373" s="9"/>
      <c r="G47373" s="9"/>
      <c r="J47373" s="11"/>
      <c r="U47373" s="9"/>
      <c r="X47373" s="9"/>
    </row>
    <row r="47374">
      <c r="D47374" s="9"/>
      <c r="G47374" s="9"/>
      <c r="J47374" s="11"/>
      <c r="U47374" s="9"/>
      <c r="X47374" s="9"/>
    </row>
    <row r="47375">
      <c r="D47375" s="9"/>
      <c r="G47375" s="9"/>
      <c r="J47375" s="11"/>
      <c r="U47375" s="9"/>
      <c r="X47375" s="9"/>
    </row>
    <row r="47376">
      <c r="D47376" s="9"/>
      <c r="G47376" s="9"/>
      <c r="J47376" s="11"/>
      <c r="U47376" s="9"/>
      <c r="X47376" s="9"/>
    </row>
    <row r="47377">
      <c r="D47377" s="9"/>
      <c r="G47377" s="9"/>
      <c r="J47377" s="11"/>
      <c r="U47377" s="9"/>
      <c r="X47377" s="9"/>
    </row>
    <row r="47378">
      <c r="D47378" s="9"/>
      <c r="G47378" s="9"/>
      <c r="J47378" s="11"/>
      <c r="U47378" s="9"/>
      <c r="X47378" s="9"/>
    </row>
    <row r="47379">
      <c r="D47379" s="9"/>
      <c r="G47379" s="9"/>
      <c r="J47379" s="11"/>
      <c r="U47379" s="9"/>
      <c r="X47379" s="9"/>
    </row>
    <row r="47380">
      <c r="D47380" s="9"/>
      <c r="G47380" s="9"/>
      <c r="J47380" s="11"/>
      <c r="U47380" s="9"/>
      <c r="X47380" s="9"/>
    </row>
    <row r="47381">
      <c r="D47381" s="9"/>
      <c r="G47381" s="9"/>
      <c r="J47381" s="11"/>
      <c r="U47381" s="9"/>
      <c r="X47381" s="9"/>
    </row>
    <row r="47382">
      <c r="D47382" s="9"/>
      <c r="G47382" s="9"/>
      <c r="J47382" s="11"/>
      <c r="U47382" s="9"/>
      <c r="X47382" s="9"/>
    </row>
    <row r="47383">
      <c r="D47383" s="9"/>
      <c r="G47383" s="9"/>
      <c r="J47383" s="11"/>
      <c r="U47383" s="9"/>
      <c r="X47383" s="9"/>
    </row>
    <row r="47384">
      <c r="D47384" s="9"/>
      <c r="G47384" s="9"/>
      <c r="J47384" s="11"/>
      <c r="U47384" s="9"/>
      <c r="X47384" s="9"/>
    </row>
    <row r="47385">
      <c r="D47385" s="9"/>
      <c r="G47385" s="9"/>
      <c r="J47385" s="11"/>
      <c r="U47385" s="9"/>
      <c r="X47385" s="9"/>
    </row>
    <row r="47386">
      <c r="D47386" s="9"/>
      <c r="G47386" s="9"/>
      <c r="J47386" s="11"/>
      <c r="U47386" s="9"/>
      <c r="X47386" s="9"/>
    </row>
    <row r="47387">
      <c r="D47387" s="9"/>
      <c r="G47387" s="9"/>
      <c r="J47387" s="11"/>
      <c r="U47387" s="9"/>
      <c r="X47387" s="9"/>
    </row>
    <row r="47388">
      <c r="D47388" s="9"/>
      <c r="G47388" s="9"/>
      <c r="J47388" s="11"/>
      <c r="U47388" s="9"/>
      <c r="X47388" s="9"/>
    </row>
    <row r="47389">
      <c r="D47389" s="9"/>
      <c r="G47389" s="9"/>
      <c r="J47389" s="11"/>
      <c r="U47389" s="9"/>
      <c r="X47389" s="9"/>
    </row>
    <row r="47390">
      <c r="D47390" s="9"/>
      <c r="G47390" s="9"/>
      <c r="J47390" s="11"/>
      <c r="U47390" s="9"/>
      <c r="X47390" s="9"/>
    </row>
    <row r="47391">
      <c r="D47391" s="9"/>
      <c r="G47391" s="9"/>
      <c r="J47391" s="11"/>
      <c r="U47391" s="9"/>
      <c r="X47391" s="9"/>
    </row>
    <row r="47392">
      <c r="D47392" s="9"/>
      <c r="G47392" s="9"/>
      <c r="J47392" s="11"/>
      <c r="U47392" s="9"/>
      <c r="X47392" s="9"/>
    </row>
    <row r="47393">
      <c r="D47393" s="9"/>
      <c r="G47393" s="9"/>
      <c r="J47393" s="11"/>
      <c r="U47393" s="9"/>
      <c r="X47393" s="9"/>
    </row>
    <row r="47394">
      <c r="D47394" s="9"/>
      <c r="G47394" s="9"/>
      <c r="J47394" s="11"/>
      <c r="U47394" s="9"/>
      <c r="X47394" s="9"/>
    </row>
    <row r="47395">
      <c r="D47395" s="9"/>
      <c r="G47395" s="9"/>
      <c r="J47395" s="11"/>
      <c r="U47395" s="9"/>
      <c r="X47395" s="9"/>
    </row>
    <row r="47396">
      <c r="D47396" s="9"/>
      <c r="G47396" s="9"/>
      <c r="J47396" s="11"/>
      <c r="U47396" s="9"/>
      <c r="X47396" s="9"/>
    </row>
    <row r="47397">
      <c r="D47397" s="9"/>
      <c r="G47397" s="9"/>
      <c r="J47397" s="11"/>
      <c r="U47397" s="9"/>
      <c r="X47397" s="9"/>
    </row>
    <row r="47398">
      <c r="D47398" s="9"/>
      <c r="G47398" s="9"/>
      <c r="J47398" s="11"/>
      <c r="U47398" s="9"/>
      <c r="X47398" s="9"/>
    </row>
    <row r="47399">
      <c r="D47399" s="9"/>
      <c r="G47399" s="9"/>
      <c r="J47399" s="11"/>
      <c r="U47399" s="9"/>
      <c r="X47399" s="9"/>
    </row>
    <row r="47400">
      <c r="D47400" s="9"/>
      <c r="G47400" s="9"/>
      <c r="J47400" s="11"/>
      <c r="U47400" s="9"/>
      <c r="X47400" s="9"/>
    </row>
    <row r="47401">
      <c r="D47401" s="9"/>
      <c r="G47401" s="9"/>
      <c r="J47401" s="11"/>
      <c r="U47401" s="9"/>
      <c r="X47401" s="9"/>
    </row>
    <row r="47402">
      <c r="D47402" s="9"/>
      <c r="G47402" s="9"/>
      <c r="J47402" s="11"/>
      <c r="U47402" s="9"/>
      <c r="X47402" s="9"/>
    </row>
    <row r="47403">
      <c r="D47403" s="9"/>
      <c r="G47403" s="9"/>
      <c r="J47403" s="11"/>
      <c r="U47403" s="9"/>
      <c r="X47403" s="9"/>
    </row>
    <row r="47404">
      <c r="D47404" s="9"/>
      <c r="G47404" s="9"/>
      <c r="J47404" s="11"/>
      <c r="U47404" s="9"/>
      <c r="X47404" s="9"/>
    </row>
    <row r="47405">
      <c r="D47405" s="9"/>
      <c r="G47405" s="9"/>
      <c r="J47405" s="11"/>
      <c r="U47405" s="9"/>
      <c r="X47405" s="9"/>
    </row>
    <row r="47406">
      <c r="D47406" s="9"/>
      <c r="G47406" s="9"/>
      <c r="J47406" s="11"/>
      <c r="U47406" s="9"/>
      <c r="X47406" s="9"/>
    </row>
    <row r="47407">
      <c r="D47407" s="9"/>
      <c r="G47407" s="9"/>
      <c r="J47407" s="11"/>
      <c r="U47407" s="9"/>
      <c r="X47407" s="9"/>
    </row>
    <row r="47408">
      <c r="D47408" s="9"/>
      <c r="G47408" s="9"/>
      <c r="J47408" s="11"/>
      <c r="U47408" s="9"/>
      <c r="X47408" s="9"/>
    </row>
    <row r="47409">
      <c r="D47409" s="9"/>
      <c r="G47409" s="9"/>
      <c r="J47409" s="11"/>
      <c r="U47409" s="9"/>
      <c r="X47409" s="9"/>
    </row>
    <row r="47410">
      <c r="D47410" s="9"/>
      <c r="G47410" s="9"/>
      <c r="J47410" s="11"/>
      <c r="U47410" s="9"/>
      <c r="X47410" s="9"/>
    </row>
    <row r="47411">
      <c r="D47411" s="9"/>
      <c r="G47411" s="9"/>
      <c r="J47411" s="11"/>
      <c r="U47411" s="9"/>
      <c r="X47411" s="9"/>
    </row>
    <row r="47412">
      <c r="D47412" s="9"/>
      <c r="G47412" s="9"/>
      <c r="J47412" s="11"/>
      <c r="U47412" s="9"/>
      <c r="X47412" s="9"/>
    </row>
    <row r="47413">
      <c r="D47413" s="9"/>
      <c r="G47413" s="9"/>
      <c r="J47413" s="11"/>
      <c r="U47413" s="9"/>
      <c r="X47413" s="9"/>
    </row>
    <row r="47414">
      <c r="D47414" s="9"/>
      <c r="G47414" s="9"/>
      <c r="J47414" s="11"/>
      <c r="U47414" s="9"/>
      <c r="X47414" s="9"/>
    </row>
    <row r="47415">
      <c r="D47415" s="9"/>
      <c r="G47415" s="9"/>
      <c r="J47415" s="11"/>
      <c r="U47415" s="9"/>
      <c r="X47415" s="9"/>
    </row>
    <row r="47416">
      <c r="D47416" s="9"/>
      <c r="G47416" s="9"/>
      <c r="J47416" s="11"/>
      <c r="U47416" s="9"/>
      <c r="X47416" s="9"/>
    </row>
    <row r="47417">
      <c r="D47417" s="9"/>
      <c r="G47417" s="9"/>
      <c r="J47417" s="11"/>
      <c r="U47417" s="9"/>
      <c r="X47417" s="9"/>
    </row>
    <row r="47418">
      <c r="D47418" s="9"/>
      <c r="G47418" s="9"/>
      <c r="J47418" s="11"/>
      <c r="U47418" s="9"/>
      <c r="X47418" s="9"/>
    </row>
    <row r="47419">
      <c r="D47419" s="9"/>
      <c r="G47419" s="9"/>
      <c r="J47419" s="11"/>
      <c r="U47419" s="9"/>
      <c r="X47419" s="9"/>
    </row>
    <row r="47420">
      <c r="D47420" s="9"/>
      <c r="G47420" s="9"/>
      <c r="J47420" s="11"/>
      <c r="U47420" s="9"/>
      <c r="X47420" s="9"/>
    </row>
    <row r="47421">
      <c r="D47421" s="9"/>
      <c r="G47421" s="9"/>
      <c r="J47421" s="11"/>
      <c r="U47421" s="9"/>
      <c r="X47421" s="9"/>
    </row>
    <row r="47422">
      <c r="D47422" s="9"/>
      <c r="G47422" s="9"/>
      <c r="J47422" s="11"/>
      <c r="U47422" s="9"/>
      <c r="X47422" s="9"/>
    </row>
    <row r="47423">
      <c r="D47423" s="9"/>
      <c r="G47423" s="9"/>
      <c r="J47423" s="11"/>
      <c r="U47423" s="9"/>
      <c r="X47423" s="9"/>
    </row>
    <row r="47424">
      <c r="D47424" s="9"/>
      <c r="G47424" s="9"/>
      <c r="J47424" s="11"/>
      <c r="U47424" s="9"/>
      <c r="X47424" s="9"/>
    </row>
    <row r="47425">
      <c r="D47425" s="9"/>
      <c r="G47425" s="9"/>
      <c r="J47425" s="11"/>
      <c r="U47425" s="9"/>
      <c r="X47425" s="9"/>
    </row>
    <row r="47426">
      <c r="D47426" s="9"/>
      <c r="G47426" s="9"/>
      <c r="J47426" s="11"/>
      <c r="U47426" s="9"/>
      <c r="X47426" s="9"/>
    </row>
    <row r="47427">
      <c r="D47427" s="9"/>
      <c r="G47427" s="9"/>
      <c r="J47427" s="11"/>
      <c r="U47427" s="9"/>
      <c r="X47427" s="9"/>
    </row>
    <row r="47428">
      <c r="D47428" s="9"/>
      <c r="G47428" s="9"/>
      <c r="J47428" s="11"/>
      <c r="U47428" s="9"/>
      <c r="X47428" s="9"/>
    </row>
    <row r="47429">
      <c r="D47429" s="9"/>
      <c r="G47429" s="9"/>
      <c r="J47429" s="11"/>
      <c r="U47429" s="9"/>
      <c r="X47429" s="9"/>
    </row>
    <row r="47430">
      <c r="D47430" s="9"/>
      <c r="G47430" s="9"/>
      <c r="J47430" s="11"/>
      <c r="U47430" s="9"/>
      <c r="X47430" s="9"/>
    </row>
    <row r="47431">
      <c r="D47431" s="9"/>
      <c r="G47431" s="9"/>
      <c r="J47431" s="11"/>
      <c r="U47431" s="9"/>
      <c r="X47431" s="9"/>
    </row>
    <row r="47432">
      <c r="D47432" s="9"/>
      <c r="G47432" s="9"/>
      <c r="J47432" s="11"/>
      <c r="U47432" s="9"/>
      <c r="X47432" s="9"/>
    </row>
    <row r="47433">
      <c r="D47433" s="9"/>
      <c r="G47433" s="9"/>
      <c r="J47433" s="11"/>
      <c r="U47433" s="9"/>
      <c r="X47433" s="9"/>
    </row>
    <row r="47434">
      <c r="D47434" s="9"/>
      <c r="G47434" s="9"/>
      <c r="J47434" s="11"/>
      <c r="U47434" s="9"/>
      <c r="X47434" s="9"/>
    </row>
    <row r="47435">
      <c r="D47435" s="9"/>
      <c r="G47435" s="9"/>
      <c r="J47435" s="11"/>
      <c r="U47435" s="9"/>
      <c r="X47435" s="9"/>
    </row>
    <row r="47436">
      <c r="D47436" s="9"/>
      <c r="G47436" s="9"/>
      <c r="J47436" s="11"/>
      <c r="U47436" s="9"/>
      <c r="X47436" s="9"/>
    </row>
    <row r="47437">
      <c r="D47437" s="9"/>
      <c r="G47437" s="9"/>
      <c r="J47437" s="11"/>
      <c r="U47437" s="9"/>
      <c r="X47437" s="9"/>
    </row>
    <row r="47438">
      <c r="D47438" s="9"/>
      <c r="G47438" s="9"/>
      <c r="J47438" s="11"/>
      <c r="U47438" s="9"/>
      <c r="X47438" s="9"/>
    </row>
    <row r="47439">
      <c r="D47439" s="9"/>
      <c r="G47439" s="9"/>
      <c r="J47439" s="11"/>
      <c r="U47439" s="9"/>
      <c r="X47439" s="9"/>
    </row>
    <row r="47440">
      <c r="D47440" s="9"/>
      <c r="G47440" s="9"/>
      <c r="J47440" s="11"/>
      <c r="U47440" s="9"/>
      <c r="X47440" s="9"/>
    </row>
    <row r="47441">
      <c r="D47441" s="9"/>
      <c r="G47441" s="9"/>
      <c r="J47441" s="11"/>
      <c r="U47441" s="9"/>
      <c r="X47441" s="9"/>
    </row>
    <row r="47442">
      <c r="D47442" s="9"/>
      <c r="G47442" s="9"/>
      <c r="J47442" s="11"/>
      <c r="U47442" s="9"/>
      <c r="X47442" s="9"/>
    </row>
    <row r="47443">
      <c r="D47443" s="9"/>
      <c r="G47443" s="9"/>
      <c r="J47443" s="11"/>
      <c r="U47443" s="9"/>
      <c r="X47443" s="9"/>
    </row>
    <row r="47444">
      <c r="D47444" s="9"/>
      <c r="G47444" s="9"/>
      <c r="J47444" s="11"/>
      <c r="U47444" s="9"/>
      <c r="X47444" s="9"/>
    </row>
    <row r="47445">
      <c r="D47445" s="9"/>
      <c r="G47445" s="9"/>
      <c r="J47445" s="11"/>
      <c r="U47445" s="9"/>
      <c r="X47445" s="9"/>
    </row>
    <row r="47446">
      <c r="D47446" s="9"/>
      <c r="G47446" s="9"/>
      <c r="J47446" s="11"/>
      <c r="U47446" s="9"/>
      <c r="X47446" s="9"/>
    </row>
    <row r="47447">
      <c r="D47447" s="9"/>
      <c r="G47447" s="9"/>
      <c r="J47447" s="11"/>
      <c r="U47447" s="9"/>
      <c r="X47447" s="9"/>
    </row>
    <row r="47448">
      <c r="D47448" s="9"/>
      <c r="G47448" s="9"/>
      <c r="J47448" s="11"/>
      <c r="U47448" s="9"/>
      <c r="X47448" s="9"/>
    </row>
    <row r="47449">
      <c r="D47449" s="9"/>
      <c r="G47449" s="9"/>
      <c r="J47449" s="11"/>
      <c r="U47449" s="9"/>
      <c r="X47449" s="9"/>
    </row>
    <row r="47450">
      <c r="D47450" s="9"/>
      <c r="G47450" s="9"/>
      <c r="J47450" s="11"/>
      <c r="U47450" s="9"/>
      <c r="X47450" s="9"/>
    </row>
    <row r="47451">
      <c r="D47451" s="9"/>
      <c r="G47451" s="9"/>
      <c r="J47451" s="11"/>
      <c r="U47451" s="9"/>
      <c r="X47451" s="9"/>
    </row>
    <row r="47452">
      <c r="D47452" s="9"/>
      <c r="G47452" s="9"/>
      <c r="J47452" s="11"/>
      <c r="U47452" s="9"/>
      <c r="X47452" s="9"/>
    </row>
    <row r="47453">
      <c r="D47453" s="9"/>
      <c r="G47453" s="9"/>
      <c r="J47453" s="11"/>
      <c r="U47453" s="9"/>
      <c r="X47453" s="9"/>
    </row>
    <row r="47454">
      <c r="D47454" s="9"/>
      <c r="G47454" s="9"/>
      <c r="J47454" s="11"/>
      <c r="U47454" s="9"/>
      <c r="X47454" s="9"/>
    </row>
    <row r="47455">
      <c r="D47455" s="9"/>
      <c r="G47455" s="9"/>
      <c r="J47455" s="11"/>
      <c r="U47455" s="9"/>
      <c r="X47455" s="9"/>
    </row>
    <row r="47456">
      <c r="D47456" s="9"/>
      <c r="G47456" s="9"/>
      <c r="J47456" s="11"/>
      <c r="U47456" s="9"/>
      <c r="X47456" s="9"/>
    </row>
    <row r="47457">
      <c r="D47457" s="9"/>
      <c r="G47457" s="9"/>
      <c r="J47457" s="11"/>
      <c r="U47457" s="9"/>
      <c r="X47457" s="9"/>
    </row>
    <row r="47458">
      <c r="D47458" s="9"/>
      <c r="G47458" s="9"/>
      <c r="J47458" s="11"/>
      <c r="U47458" s="9"/>
      <c r="X47458" s="9"/>
    </row>
    <row r="47459">
      <c r="D47459" s="9"/>
      <c r="G47459" s="9"/>
      <c r="J47459" s="11"/>
      <c r="U47459" s="9"/>
      <c r="X47459" s="9"/>
    </row>
    <row r="47460">
      <c r="D47460" s="9"/>
      <c r="G47460" s="9"/>
      <c r="J47460" s="11"/>
      <c r="U47460" s="9"/>
      <c r="X47460" s="9"/>
    </row>
    <row r="47461">
      <c r="D47461" s="9"/>
      <c r="G47461" s="9"/>
      <c r="J47461" s="11"/>
      <c r="U47461" s="9"/>
      <c r="X47461" s="9"/>
    </row>
    <row r="47462">
      <c r="D47462" s="9"/>
      <c r="G47462" s="9"/>
      <c r="J47462" s="11"/>
      <c r="U47462" s="9"/>
      <c r="X47462" s="9"/>
    </row>
    <row r="47463">
      <c r="D47463" s="9"/>
      <c r="G47463" s="9"/>
      <c r="J47463" s="11"/>
      <c r="U47463" s="9"/>
      <c r="X47463" s="9"/>
    </row>
    <row r="47464">
      <c r="D47464" s="9"/>
      <c r="G47464" s="9"/>
      <c r="J47464" s="11"/>
      <c r="U47464" s="9"/>
      <c r="X47464" s="9"/>
    </row>
    <row r="47465">
      <c r="D47465" s="9"/>
      <c r="G47465" s="9"/>
      <c r="J47465" s="11"/>
      <c r="U47465" s="9"/>
      <c r="X47465" s="9"/>
    </row>
    <row r="47466">
      <c r="D47466" s="9"/>
      <c r="G47466" s="9"/>
      <c r="J47466" s="11"/>
      <c r="U47466" s="9"/>
      <c r="X47466" s="9"/>
    </row>
    <row r="47467">
      <c r="D47467" s="9"/>
      <c r="G47467" s="9"/>
      <c r="J47467" s="11"/>
      <c r="U47467" s="9"/>
      <c r="X47467" s="9"/>
    </row>
    <row r="47468">
      <c r="D47468" s="9"/>
      <c r="G47468" s="9"/>
      <c r="J47468" s="11"/>
      <c r="U47468" s="9"/>
      <c r="X47468" s="9"/>
    </row>
    <row r="47469">
      <c r="D47469" s="9"/>
      <c r="G47469" s="9"/>
      <c r="J47469" s="11"/>
      <c r="U47469" s="9"/>
      <c r="X47469" s="9"/>
    </row>
    <row r="47470">
      <c r="D47470" s="9"/>
      <c r="G47470" s="9"/>
      <c r="J47470" s="11"/>
      <c r="U47470" s="9"/>
      <c r="X47470" s="9"/>
    </row>
    <row r="47471">
      <c r="D47471" s="9"/>
      <c r="G47471" s="9"/>
      <c r="J47471" s="11"/>
      <c r="U47471" s="9"/>
      <c r="X47471" s="9"/>
    </row>
    <row r="47472">
      <c r="D47472" s="9"/>
      <c r="G47472" s="9"/>
      <c r="J47472" s="11"/>
      <c r="U47472" s="9"/>
      <c r="X47472" s="9"/>
    </row>
    <row r="47473">
      <c r="D47473" s="9"/>
      <c r="G47473" s="9"/>
      <c r="J47473" s="11"/>
      <c r="U47473" s="9"/>
      <c r="X47473" s="9"/>
    </row>
    <row r="47474">
      <c r="D47474" s="9"/>
      <c r="G47474" s="9"/>
      <c r="J47474" s="11"/>
      <c r="U47474" s="9"/>
      <c r="X47474" s="9"/>
    </row>
    <row r="47475">
      <c r="D47475" s="9"/>
      <c r="G47475" s="9"/>
      <c r="J47475" s="11"/>
      <c r="U47475" s="9"/>
      <c r="X47475" s="9"/>
    </row>
    <row r="47476">
      <c r="D47476" s="9"/>
      <c r="G47476" s="9"/>
      <c r="J47476" s="11"/>
      <c r="U47476" s="9"/>
      <c r="X47476" s="9"/>
    </row>
    <row r="47477">
      <c r="D47477" s="9"/>
      <c r="G47477" s="9"/>
      <c r="J47477" s="11"/>
      <c r="U47477" s="9"/>
      <c r="X47477" s="9"/>
    </row>
    <row r="47478">
      <c r="D47478" s="9"/>
      <c r="G47478" s="9"/>
      <c r="J47478" s="11"/>
      <c r="U47478" s="9"/>
      <c r="X47478" s="9"/>
    </row>
    <row r="47479">
      <c r="D47479" s="9"/>
      <c r="G47479" s="9"/>
      <c r="J47479" s="11"/>
      <c r="U47479" s="9"/>
      <c r="X47479" s="9"/>
    </row>
    <row r="47480">
      <c r="D47480" s="9"/>
      <c r="G47480" s="9"/>
      <c r="J47480" s="11"/>
      <c r="U47480" s="9"/>
      <c r="X47480" s="9"/>
    </row>
    <row r="47481">
      <c r="D47481" s="9"/>
      <c r="G47481" s="9"/>
      <c r="J47481" s="11"/>
      <c r="U47481" s="9"/>
      <c r="X47481" s="9"/>
    </row>
    <row r="47482">
      <c r="D47482" s="9"/>
      <c r="G47482" s="9"/>
      <c r="J47482" s="11"/>
      <c r="U47482" s="9"/>
      <c r="X47482" s="9"/>
    </row>
    <row r="47483">
      <c r="D47483" s="9"/>
      <c r="G47483" s="9"/>
      <c r="J47483" s="11"/>
      <c r="U47483" s="9"/>
      <c r="X47483" s="9"/>
    </row>
    <row r="47484">
      <c r="D47484" s="9"/>
      <c r="G47484" s="9"/>
      <c r="J47484" s="11"/>
      <c r="U47484" s="9"/>
      <c r="X47484" s="9"/>
    </row>
    <row r="47485">
      <c r="D47485" s="9"/>
      <c r="G47485" s="9"/>
      <c r="J47485" s="11"/>
      <c r="U47485" s="9"/>
      <c r="X47485" s="9"/>
    </row>
    <row r="47486">
      <c r="D47486" s="9"/>
      <c r="G47486" s="9"/>
      <c r="J47486" s="11"/>
      <c r="U47486" s="9"/>
      <c r="X47486" s="9"/>
    </row>
    <row r="47487">
      <c r="D47487" s="9"/>
      <c r="G47487" s="9"/>
      <c r="J47487" s="11"/>
      <c r="U47487" s="9"/>
      <c r="X47487" s="9"/>
    </row>
    <row r="47488">
      <c r="D47488" s="9"/>
      <c r="G47488" s="9"/>
      <c r="J47488" s="11"/>
      <c r="U47488" s="9"/>
      <c r="X47488" s="9"/>
    </row>
    <row r="47489">
      <c r="D47489" s="9"/>
      <c r="G47489" s="9"/>
      <c r="J47489" s="11"/>
      <c r="U47489" s="9"/>
      <c r="X47489" s="9"/>
    </row>
    <row r="47490">
      <c r="D47490" s="9"/>
      <c r="G47490" s="9"/>
      <c r="J47490" s="11"/>
      <c r="U47490" s="9"/>
      <c r="X47490" s="9"/>
    </row>
    <row r="47491">
      <c r="D47491" s="9"/>
      <c r="G47491" s="9"/>
      <c r="J47491" s="11"/>
      <c r="U47491" s="9"/>
      <c r="X47491" s="9"/>
    </row>
    <row r="47492">
      <c r="D47492" s="9"/>
      <c r="G47492" s="9"/>
      <c r="J47492" s="11"/>
      <c r="U47492" s="9"/>
      <c r="X47492" s="9"/>
    </row>
    <row r="47493">
      <c r="D47493" s="9"/>
      <c r="G47493" s="9"/>
      <c r="J47493" s="11"/>
      <c r="U47493" s="9"/>
      <c r="X47493" s="9"/>
    </row>
    <row r="47494">
      <c r="D47494" s="9"/>
      <c r="G47494" s="9"/>
      <c r="J47494" s="11"/>
      <c r="U47494" s="9"/>
      <c r="X47494" s="9"/>
    </row>
    <row r="47495">
      <c r="D47495" s="9"/>
      <c r="G47495" s="9"/>
      <c r="J47495" s="11"/>
      <c r="U47495" s="9"/>
      <c r="X47495" s="9"/>
    </row>
    <row r="47496">
      <c r="D47496" s="9"/>
      <c r="G47496" s="9"/>
      <c r="J47496" s="11"/>
      <c r="U47496" s="9"/>
      <c r="X47496" s="9"/>
    </row>
    <row r="47497">
      <c r="D47497" s="9"/>
      <c r="G47497" s="9"/>
      <c r="J47497" s="11"/>
      <c r="U47497" s="9"/>
      <c r="X47497" s="9"/>
    </row>
    <row r="47498">
      <c r="D47498" s="9"/>
      <c r="G47498" s="9"/>
      <c r="J47498" s="11"/>
      <c r="U47498" s="9"/>
      <c r="X47498" s="9"/>
    </row>
    <row r="47499">
      <c r="D47499" s="9"/>
      <c r="G47499" s="9"/>
      <c r="J47499" s="11"/>
      <c r="U47499" s="9"/>
      <c r="X47499" s="9"/>
    </row>
    <row r="47500">
      <c r="D47500" s="9"/>
      <c r="G47500" s="9"/>
      <c r="J47500" s="11"/>
      <c r="U47500" s="9"/>
      <c r="X47500" s="9"/>
    </row>
    <row r="47501">
      <c r="D47501" s="9"/>
      <c r="G47501" s="9"/>
      <c r="J47501" s="11"/>
      <c r="U47501" s="9"/>
      <c r="X47501" s="9"/>
    </row>
    <row r="47502">
      <c r="D47502" s="9"/>
      <c r="G47502" s="9"/>
      <c r="J47502" s="11"/>
      <c r="U47502" s="9"/>
      <c r="X47502" s="9"/>
    </row>
    <row r="47503">
      <c r="D47503" s="9"/>
      <c r="G47503" s="9"/>
      <c r="J47503" s="11"/>
      <c r="U47503" s="9"/>
      <c r="X47503" s="9"/>
    </row>
    <row r="47504">
      <c r="D47504" s="9"/>
      <c r="G47504" s="9"/>
      <c r="J47504" s="11"/>
      <c r="U47504" s="9"/>
      <c r="X47504" s="9"/>
    </row>
    <row r="47505">
      <c r="D47505" s="9"/>
      <c r="G47505" s="9"/>
      <c r="J47505" s="11"/>
      <c r="U47505" s="9"/>
      <c r="X47505" s="9"/>
    </row>
    <row r="47506">
      <c r="D47506" s="9"/>
      <c r="G47506" s="9"/>
      <c r="J47506" s="11"/>
      <c r="U47506" s="9"/>
      <c r="X47506" s="9"/>
    </row>
    <row r="47507">
      <c r="D47507" s="9"/>
      <c r="G47507" s="9"/>
      <c r="J47507" s="11"/>
      <c r="U47507" s="9"/>
      <c r="X47507" s="9"/>
    </row>
    <row r="47508">
      <c r="D47508" s="9"/>
      <c r="G47508" s="9"/>
      <c r="J47508" s="11"/>
      <c r="U47508" s="9"/>
      <c r="X47508" s="9"/>
    </row>
    <row r="47509">
      <c r="D47509" s="9"/>
      <c r="G47509" s="9"/>
      <c r="J47509" s="11"/>
      <c r="U47509" s="9"/>
      <c r="X47509" s="9"/>
    </row>
    <row r="47510">
      <c r="D47510" s="9"/>
      <c r="G47510" s="9"/>
      <c r="J47510" s="11"/>
      <c r="U47510" s="9"/>
      <c r="X47510" s="9"/>
    </row>
    <row r="47511">
      <c r="D47511" s="9"/>
      <c r="G47511" s="9"/>
      <c r="J47511" s="11"/>
      <c r="U47511" s="9"/>
      <c r="X47511" s="9"/>
    </row>
    <row r="47512">
      <c r="D47512" s="9"/>
      <c r="G47512" s="9"/>
      <c r="J47512" s="11"/>
      <c r="U47512" s="9"/>
      <c r="X47512" s="9"/>
    </row>
    <row r="47513">
      <c r="D47513" s="9"/>
      <c r="G47513" s="9"/>
      <c r="J47513" s="11"/>
      <c r="U47513" s="9"/>
      <c r="X47513" s="9"/>
    </row>
    <row r="47514">
      <c r="D47514" s="9"/>
      <c r="G47514" s="9"/>
      <c r="J47514" s="11"/>
      <c r="U47514" s="9"/>
      <c r="X47514" s="9"/>
    </row>
    <row r="47515">
      <c r="D47515" s="9"/>
      <c r="G47515" s="9"/>
      <c r="J47515" s="11"/>
      <c r="U47515" s="9"/>
      <c r="X47515" s="9"/>
    </row>
    <row r="47516">
      <c r="D47516" s="9"/>
      <c r="G47516" s="9"/>
      <c r="J47516" s="11"/>
      <c r="U47516" s="9"/>
      <c r="X47516" s="9"/>
    </row>
    <row r="47517">
      <c r="D47517" s="9"/>
      <c r="G47517" s="9"/>
      <c r="J47517" s="11"/>
      <c r="U47517" s="9"/>
      <c r="X47517" s="9"/>
    </row>
    <row r="47518">
      <c r="D47518" s="9"/>
      <c r="G47518" s="9"/>
      <c r="J47518" s="11"/>
      <c r="U47518" s="9"/>
      <c r="X47518" s="9"/>
    </row>
    <row r="47519">
      <c r="D47519" s="9"/>
      <c r="G47519" s="9"/>
      <c r="J47519" s="11"/>
      <c r="U47519" s="9"/>
      <c r="X47519" s="9"/>
    </row>
    <row r="47520">
      <c r="D47520" s="9"/>
      <c r="G47520" s="9"/>
      <c r="J47520" s="11"/>
      <c r="U47520" s="9"/>
      <c r="X47520" s="9"/>
    </row>
    <row r="47521">
      <c r="D47521" s="9"/>
      <c r="G47521" s="9"/>
      <c r="J47521" s="11"/>
      <c r="U47521" s="9"/>
      <c r="X47521" s="9"/>
    </row>
    <row r="47522">
      <c r="D47522" s="9"/>
      <c r="G47522" s="9"/>
      <c r="J47522" s="11"/>
      <c r="U47522" s="9"/>
      <c r="X47522" s="9"/>
    </row>
    <row r="47523">
      <c r="D47523" s="9"/>
      <c r="G47523" s="9"/>
      <c r="J47523" s="11"/>
      <c r="U47523" s="9"/>
      <c r="X47523" s="9"/>
    </row>
    <row r="47524">
      <c r="D47524" s="9"/>
      <c r="G47524" s="9"/>
      <c r="J47524" s="11"/>
      <c r="U47524" s="9"/>
      <c r="X47524" s="9"/>
    </row>
    <row r="47525">
      <c r="D47525" s="9"/>
      <c r="G47525" s="9"/>
      <c r="J47525" s="11"/>
      <c r="U47525" s="9"/>
      <c r="X47525" s="9"/>
    </row>
    <row r="47526">
      <c r="D47526" s="9"/>
      <c r="G47526" s="9"/>
      <c r="J47526" s="11"/>
      <c r="U47526" s="9"/>
      <c r="X47526" s="9"/>
    </row>
    <row r="47527">
      <c r="D47527" s="9"/>
      <c r="G47527" s="9"/>
      <c r="J47527" s="11"/>
      <c r="U47527" s="9"/>
      <c r="X47527" s="9"/>
    </row>
    <row r="47528">
      <c r="D47528" s="9"/>
      <c r="G47528" s="9"/>
      <c r="J47528" s="11"/>
      <c r="U47528" s="9"/>
      <c r="X47528" s="9"/>
    </row>
    <row r="47529">
      <c r="D47529" s="9"/>
      <c r="G47529" s="9"/>
      <c r="J47529" s="11"/>
      <c r="U47529" s="9"/>
      <c r="X47529" s="9"/>
    </row>
    <row r="47530">
      <c r="D47530" s="9"/>
      <c r="G47530" s="9"/>
      <c r="J47530" s="11"/>
      <c r="U47530" s="9"/>
      <c r="X47530" s="9"/>
    </row>
    <row r="47531">
      <c r="D47531" s="9"/>
      <c r="G47531" s="9"/>
      <c r="J47531" s="11"/>
      <c r="U47531" s="9"/>
      <c r="X47531" s="9"/>
    </row>
    <row r="47532">
      <c r="D47532" s="9"/>
      <c r="G47532" s="9"/>
      <c r="J47532" s="11"/>
      <c r="U47532" s="9"/>
      <c r="X47532" s="9"/>
    </row>
    <row r="47533">
      <c r="D47533" s="9"/>
      <c r="G47533" s="9"/>
      <c r="J47533" s="11"/>
      <c r="U47533" s="9"/>
      <c r="X47533" s="9"/>
    </row>
    <row r="47534">
      <c r="D47534" s="9"/>
      <c r="G47534" s="9"/>
      <c r="J47534" s="11"/>
      <c r="U47534" s="9"/>
      <c r="X47534" s="9"/>
    </row>
    <row r="47535">
      <c r="D47535" s="9"/>
      <c r="G47535" s="9"/>
      <c r="J47535" s="11"/>
      <c r="U47535" s="9"/>
      <c r="X47535" s="9"/>
    </row>
    <row r="47536">
      <c r="D47536" s="9"/>
      <c r="G47536" s="9"/>
      <c r="J47536" s="11"/>
      <c r="U47536" s="9"/>
      <c r="X47536" s="9"/>
    </row>
    <row r="47537">
      <c r="D47537" s="9"/>
      <c r="G47537" s="9"/>
      <c r="J47537" s="11"/>
      <c r="U47537" s="9"/>
      <c r="X47537" s="9"/>
    </row>
    <row r="47538">
      <c r="D47538" s="9"/>
      <c r="G47538" s="9"/>
      <c r="J47538" s="11"/>
      <c r="U47538" s="9"/>
      <c r="X47538" s="9"/>
    </row>
    <row r="47539">
      <c r="D47539" s="9"/>
      <c r="G47539" s="9"/>
      <c r="J47539" s="11"/>
      <c r="U47539" s="9"/>
      <c r="X47539" s="9"/>
    </row>
    <row r="47540">
      <c r="D47540" s="9"/>
      <c r="G47540" s="9"/>
      <c r="J47540" s="11"/>
      <c r="U47540" s="9"/>
      <c r="X47540" s="9"/>
    </row>
    <row r="47541">
      <c r="D47541" s="9"/>
      <c r="G47541" s="9"/>
      <c r="J47541" s="11"/>
      <c r="U47541" s="9"/>
      <c r="X47541" s="9"/>
    </row>
    <row r="47542">
      <c r="D47542" s="9"/>
      <c r="G47542" s="9"/>
      <c r="J47542" s="11"/>
      <c r="U47542" s="9"/>
      <c r="X47542" s="9"/>
    </row>
    <row r="47543">
      <c r="D47543" s="9"/>
      <c r="G47543" s="9"/>
      <c r="J47543" s="11"/>
      <c r="U47543" s="9"/>
      <c r="X47543" s="9"/>
    </row>
    <row r="47544">
      <c r="D47544" s="9"/>
      <c r="G47544" s="9"/>
      <c r="J47544" s="11"/>
      <c r="U47544" s="9"/>
      <c r="X47544" s="9"/>
    </row>
    <row r="47545">
      <c r="D47545" s="9"/>
      <c r="G47545" s="9"/>
      <c r="J47545" s="11"/>
      <c r="U47545" s="9"/>
      <c r="X47545" s="9"/>
    </row>
    <row r="47546">
      <c r="D47546" s="9"/>
      <c r="G47546" s="9"/>
      <c r="J47546" s="11"/>
      <c r="U47546" s="9"/>
      <c r="X47546" s="9"/>
    </row>
    <row r="47547">
      <c r="D47547" s="9"/>
      <c r="G47547" s="9"/>
      <c r="J47547" s="11"/>
      <c r="U47547" s="9"/>
      <c r="X47547" s="9"/>
    </row>
    <row r="47548">
      <c r="D47548" s="9"/>
      <c r="G47548" s="9"/>
      <c r="J47548" s="11"/>
      <c r="U47548" s="9"/>
      <c r="X47548" s="9"/>
    </row>
    <row r="47549">
      <c r="D47549" s="9"/>
      <c r="G47549" s="9"/>
      <c r="J47549" s="11"/>
      <c r="U47549" s="9"/>
      <c r="X47549" s="9"/>
    </row>
    <row r="47550">
      <c r="D47550" s="9"/>
      <c r="G47550" s="9"/>
      <c r="J47550" s="11"/>
      <c r="U47550" s="9"/>
      <c r="X47550" s="9"/>
    </row>
    <row r="47551">
      <c r="D47551" s="9"/>
      <c r="G47551" s="9"/>
      <c r="J47551" s="11"/>
      <c r="U47551" s="9"/>
      <c r="X47551" s="9"/>
    </row>
    <row r="47552">
      <c r="D47552" s="9"/>
      <c r="G47552" s="9"/>
      <c r="J47552" s="11"/>
      <c r="U47552" s="9"/>
      <c r="X47552" s="9"/>
    </row>
    <row r="47553">
      <c r="D47553" s="9"/>
      <c r="G47553" s="9"/>
      <c r="J47553" s="11"/>
      <c r="U47553" s="9"/>
      <c r="X47553" s="9"/>
    </row>
    <row r="47554">
      <c r="D47554" s="9"/>
      <c r="G47554" s="9"/>
      <c r="J47554" s="11"/>
      <c r="U47554" s="9"/>
      <c r="X47554" s="9"/>
    </row>
    <row r="47555">
      <c r="D47555" s="9"/>
      <c r="G47555" s="9"/>
      <c r="J47555" s="11"/>
      <c r="U47555" s="9"/>
      <c r="X47555" s="9"/>
    </row>
    <row r="47556">
      <c r="D47556" s="9"/>
      <c r="G47556" s="9"/>
      <c r="J47556" s="11"/>
      <c r="U47556" s="9"/>
      <c r="X47556" s="9"/>
    </row>
    <row r="47557">
      <c r="D47557" s="9"/>
      <c r="G47557" s="9"/>
      <c r="J47557" s="11"/>
      <c r="U47557" s="9"/>
      <c r="X47557" s="9"/>
    </row>
    <row r="47558">
      <c r="D47558" s="9"/>
      <c r="G47558" s="9"/>
      <c r="J47558" s="11"/>
      <c r="U47558" s="9"/>
      <c r="X47558" s="9"/>
    </row>
    <row r="47559">
      <c r="D47559" s="9"/>
      <c r="G47559" s="9"/>
      <c r="J47559" s="11"/>
      <c r="U47559" s="9"/>
      <c r="X47559" s="9"/>
    </row>
    <row r="47560">
      <c r="D47560" s="9"/>
      <c r="G47560" s="9"/>
      <c r="J47560" s="11"/>
      <c r="U47560" s="9"/>
      <c r="X47560" s="9"/>
    </row>
    <row r="47561">
      <c r="D47561" s="9"/>
      <c r="G47561" s="9"/>
      <c r="J47561" s="11"/>
      <c r="U47561" s="9"/>
      <c r="X47561" s="9"/>
    </row>
    <row r="47562">
      <c r="D47562" s="9"/>
      <c r="G47562" s="9"/>
      <c r="J47562" s="11"/>
      <c r="U47562" s="9"/>
      <c r="X47562" s="9"/>
    </row>
    <row r="47563">
      <c r="D47563" s="9"/>
      <c r="G47563" s="9"/>
      <c r="J47563" s="11"/>
      <c r="U47563" s="9"/>
      <c r="X47563" s="9"/>
    </row>
    <row r="47564">
      <c r="D47564" s="9"/>
      <c r="G47564" s="9"/>
      <c r="J47564" s="11"/>
      <c r="U47564" s="9"/>
      <c r="X47564" s="9"/>
    </row>
    <row r="47565">
      <c r="D47565" s="9"/>
      <c r="G47565" s="9"/>
      <c r="J47565" s="11"/>
      <c r="U47565" s="9"/>
      <c r="X47565" s="9"/>
    </row>
    <row r="47566">
      <c r="D47566" s="9"/>
      <c r="G47566" s="9"/>
      <c r="J47566" s="11"/>
      <c r="U47566" s="9"/>
      <c r="X47566" s="9"/>
    </row>
    <row r="47567">
      <c r="D47567" s="9"/>
      <c r="G47567" s="9"/>
      <c r="J47567" s="11"/>
      <c r="U47567" s="9"/>
      <c r="X47567" s="9"/>
    </row>
    <row r="47568">
      <c r="D47568" s="9"/>
      <c r="G47568" s="9"/>
      <c r="J47568" s="11"/>
      <c r="U47568" s="9"/>
      <c r="X47568" s="9"/>
    </row>
    <row r="47569">
      <c r="D47569" s="9"/>
      <c r="G47569" s="9"/>
      <c r="J47569" s="11"/>
      <c r="U47569" s="9"/>
      <c r="X47569" s="9"/>
    </row>
    <row r="47570">
      <c r="D47570" s="9"/>
      <c r="G47570" s="9"/>
      <c r="J47570" s="11"/>
      <c r="U47570" s="9"/>
      <c r="X47570" s="9"/>
    </row>
    <row r="47571">
      <c r="D47571" s="9"/>
      <c r="G47571" s="9"/>
      <c r="J47571" s="11"/>
      <c r="U47571" s="9"/>
      <c r="X47571" s="9"/>
    </row>
    <row r="47572">
      <c r="D47572" s="9"/>
      <c r="G47572" s="9"/>
      <c r="J47572" s="11"/>
      <c r="U47572" s="9"/>
      <c r="X47572" s="9"/>
    </row>
    <row r="47573">
      <c r="D47573" s="9"/>
      <c r="G47573" s="9"/>
      <c r="J47573" s="11"/>
      <c r="U47573" s="9"/>
      <c r="X47573" s="9"/>
    </row>
    <row r="47574">
      <c r="D47574" s="9"/>
      <c r="G47574" s="9"/>
      <c r="J47574" s="11"/>
      <c r="U47574" s="9"/>
      <c r="X47574" s="9"/>
    </row>
    <row r="47575">
      <c r="D47575" s="9"/>
      <c r="G47575" s="9"/>
      <c r="J47575" s="11"/>
      <c r="U47575" s="9"/>
      <c r="X47575" s="9"/>
    </row>
    <row r="47576">
      <c r="D47576" s="9"/>
      <c r="G47576" s="9"/>
      <c r="J47576" s="11"/>
      <c r="U47576" s="9"/>
      <c r="X47576" s="9"/>
    </row>
    <row r="47577">
      <c r="D47577" s="9"/>
      <c r="G47577" s="9"/>
      <c r="J47577" s="11"/>
      <c r="U47577" s="9"/>
      <c r="X47577" s="9"/>
    </row>
    <row r="47578">
      <c r="D47578" s="9"/>
      <c r="G47578" s="9"/>
      <c r="J47578" s="11"/>
      <c r="U47578" s="9"/>
      <c r="X47578" s="9"/>
    </row>
    <row r="47579">
      <c r="D47579" s="9"/>
      <c r="G47579" s="9"/>
      <c r="J47579" s="11"/>
      <c r="U47579" s="9"/>
      <c r="X47579" s="9"/>
    </row>
    <row r="47580">
      <c r="D47580" s="9"/>
      <c r="G47580" s="9"/>
      <c r="J47580" s="11"/>
      <c r="U47580" s="9"/>
      <c r="X47580" s="9"/>
    </row>
    <row r="47581">
      <c r="D47581" s="9"/>
      <c r="G47581" s="9"/>
      <c r="J47581" s="11"/>
      <c r="U47581" s="9"/>
      <c r="X47581" s="9"/>
    </row>
    <row r="47582">
      <c r="D47582" s="9"/>
      <c r="G47582" s="9"/>
      <c r="J47582" s="11"/>
      <c r="U47582" s="9"/>
      <c r="X47582" s="9"/>
    </row>
    <row r="47583">
      <c r="D47583" s="9"/>
      <c r="G47583" s="9"/>
      <c r="J47583" s="11"/>
      <c r="U47583" s="9"/>
      <c r="X47583" s="9"/>
    </row>
    <row r="47584">
      <c r="D47584" s="9"/>
      <c r="G47584" s="9"/>
      <c r="J47584" s="11"/>
      <c r="U47584" s="9"/>
      <c r="X47584" s="9"/>
    </row>
    <row r="47585">
      <c r="D47585" s="9"/>
      <c r="G47585" s="9"/>
      <c r="J47585" s="11"/>
      <c r="U47585" s="9"/>
      <c r="X47585" s="9"/>
    </row>
    <row r="47586">
      <c r="D47586" s="9"/>
      <c r="G47586" s="9"/>
      <c r="J47586" s="11"/>
      <c r="U47586" s="9"/>
      <c r="X47586" s="9"/>
    </row>
    <row r="47587">
      <c r="D47587" s="9"/>
      <c r="G47587" s="9"/>
      <c r="J47587" s="11"/>
      <c r="U47587" s="9"/>
      <c r="X47587" s="9"/>
    </row>
    <row r="47588">
      <c r="D47588" s="9"/>
      <c r="G47588" s="9"/>
      <c r="J47588" s="11"/>
      <c r="U47588" s="9"/>
      <c r="X47588" s="9"/>
    </row>
    <row r="47589">
      <c r="D47589" s="9"/>
      <c r="G47589" s="9"/>
      <c r="J47589" s="11"/>
      <c r="U47589" s="9"/>
      <c r="X47589" s="9"/>
    </row>
    <row r="47590">
      <c r="D47590" s="9"/>
      <c r="G47590" s="9"/>
      <c r="J47590" s="11"/>
      <c r="U47590" s="9"/>
      <c r="X47590" s="9"/>
    </row>
    <row r="47591">
      <c r="D47591" s="9"/>
      <c r="G47591" s="9"/>
      <c r="J47591" s="11"/>
      <c r="U47591" s="9"/>
      <c r="X47591" s="9"/>
    </row>
    <row r="47592">
      <c r="D47592" s="9"/>
      <c r="G47592" s="9"/>
      <c r="J47592" s="11"/>
      <c r="U47592" s="9"/>
      <c r="X47592" s="9"/>
    </row>
    <row r="47593">
      <c r="D47593" s="9"/>
      <c r="G47593" s="9"/>
      <c r="J47593" s="11"/>
      <c r="U47593" s="9"/>
      <c r="X47593" s="9"/>
    </row>
    <row r="47594">
      <c r="D47594" s="9"/>
      <c r="G47594" s="9"/>
      <c r="J47594" s="11"/>
      <c r="U47594" s="9"/>
      <c r="X47594" s="9"/>
    </row>
    <row r="47595">
      <c r="D47595" s="9"/>
      <c r="G47595" s="9"/>
      <c r="J47595" s="11"/>
      <c r="U47595" s="9"/>
      <c r="X47595" s="9"/>
    </row>
    <row r="47596">
      <c r="D47596" s="9"/>
      <c r="G47596" s="9"/>
      <c r="J47596" s="11"/>
      <c r="U47596" s="9"/>
      <c r="X47596" s="9"/>
    </row>
    <row r="47597">
      <c r="D47597" s="9"/>
      <c r="G47597" s="9"/>
      <c r="J47597" s="11"/>
      <c r="U47597" s="9"/>
      <c r="X47597" s="9"/>
    </row>
    <row r="47598">
      <c r="D47598" s="9"/>
      <c r="G47598" s="9"/>
      <c r="J47598" s="11"/>
      <c r="U47598" s="9"/>
      <c r="X47598" s="9"/>
    </row>
    <row r="47599">
      <c r="D47599" s="9"/>
      <c r="G47599" s="9"/>
      <c r="J47599" s="11"/>
      <c r="U47599" s="9"/>
      <c r="X47599" s="9"/>
    </row>
    <row r="47600">
      <c r="D47600" s="9"/>
      <c r="G47600" s="9"/>
      <c r="J47600" s="11"/>
      <c r="U47600" s="9"/>
      <c r="X47600" s="9"/>
    </row>
    <row r="47601">
      <c r="D47601" s="9"/>
      <c r="G47601" s="9"/>
      <c r="J47601" s="11"/>
      <c r="U47601" s="9"/>
      <c r="X47601" s="9"/>
    </row>
    <row r="47602">
      <c r="D47602" s="9"/>
      <c r="G47602" s="9"/>
      <c r="J47602" s="11"/>
      <c r="U47602" s="9"/>
      <c r="X47602" s="9"/>
    </row>
    <row r="47603">
      <c r="D47603" s="9"/>
      <c r="G47603" s="9"/>
      <c r="J47603" s="11"/>
      <c r="U47603" s="9"/>
      <c r="X47603" s="9"/>
    </row>
    <row r="47604">
      <c r="D47604" s="9"/>
      <c r="G47604" s="9"/>
      <c r="J47604" s="11"/>
      <c r="U47604" s="9"/>
      <c r="X47604" s="9"/>
    </row>
    <row r="47605">
      <c r="D47605" s="9"/>
      <c r="G47605" s="9"/>
      <c r="J47605" s="11"/>
      <c r="U47605" s="9"/>
      <c r="X47605" s="9"/>
    </row>
    <row r="47606">
      <c r="D47606" s="9"/>
      <c r="G47606" s="9"/>
      <c r="J47606" s="11"/>
      <c r="U47606" s="9"/>
      <c r="X47606" s="9"/>
    </row>
    <row r="47607">
      <c r="D47607" s="9"/>
      <c r="G47607" s="9"/>
      <c r="J47607" s="11"/>
      <c r="U47607" s="9"/>
      <c r="X47607" s="9"/>
    </row>
    <row r="47608">
      <c r="D47608" s="9"/>
      <c r="G47608" s="9"/>
      <c r="J47608" s="11"/>
      <c r="U47608" s="9"/>
      <c r="X47608" s="9"/>
    </row>
    <row r="47609">
      <c r="D47609" s="9"/>
      <c r="G47609" s="9"/>
      <c r="J47609" s="11"/>
      <c r="U47609" s="9"/>
      <c r="X47609" s="9"/>
    </row>
    <row r="47610">
      <c r="D47610" s="9"/>
      <c r="G47610" s="9"/>
      <c r="J47610" s="11"/>
      <c r="U47610" s="9"/>
      <c r="X47610" s="9"/>
    </row>
    <row r="47611">
      <c r="D47611" s="9"/>
      <c r="G47611" s="9"/>
      <c r="J47611" s="11"/>
      <c r="U47611" s="9"/>
      <c r="X47611" s="9"/>
    </row>
    <row r="47612">
      <c r="D47612" s="9"/>
      <c r="G47612" s="9"/>
      <c r="J47612" s="11"/>
      <c r="U47612" s="9"/>
      <c r="X47612" s="9"/>
    </row>
    <row r="47613">
      <c r="D47613" s="9"/>
      <c r="G47613" s="9"/>
      <c r="J47613" s="11"/>
      <c r="U47613" s="9"/>
      <c r="X47613" s="9"/>
    </row>
    <row r="47614">
      <c r="D47614" s="9"/>
      <c r="G47614" s="9"/>
      <c r="J47614" s="11"/>
      <c r="U47614" s="9"/>
      <c r="X47614" s="9"/>
    </row>
    <row r="47615">
      <c r="D47615" s="9"/>
      <c r="G47615" s="9"/>
      <c r="J47615" s="11"/>
      <c r="U47615" s="9"/>
      <c r="X47615" s="9"/>
    </row>
    <row r="47616">
      <c r="D47616" s="9"/>
      <c r="G47616" s="9"/>
      <c r="J47616" s="11"/>
      <c r="U47616" s="9"/>
      <c r="X47616" s="9"/>
    </row>
    <row r="47617">
      <c r="D47617" s="9"/>
      <c r="G47617" s="9"/>
      <c r="J47617" s="11"/>
      <c r="U47617" s="9"/>
      <c r="X47617" s="9"/>
    </row>
    <row r="47618">
      <c r="D47618" s="9"/>
      <c r="G47618" s="9"/>
      <c r="J47618" s="11"/>
      <c r="U47618" s="9"/>
      <c r="X47618" s="9"/>
    </row>
    <row r="47619">
      <c r="D47619" s="9"/>
      <c r="G47619" s="9"/>
      <c r="J47619" s="11"/>
      <c r="U47619" s="9"/>
      <c r="X47619" s="9"/>
    </row>
    <row r="47620">
      <c r="D47620" s="9"/>
      <c r="G47620" s="9"/>
      <c r="J47620" s="11"/>
      <c r="U47620" s="9"/>
      <c r="X47620" s="9"/>
    </row>
    <row r="47621">
      <c r="D47621" s="9"/>
      <c r="G47621" s="9"/>
      <c r="J47621" s="11"/>
      <c r="U47621" s="9"/>
      <c r="X47621" s="9"/>
    </row>
    <row r="47622">
      <c r="D47622" s="9"/>
      <c r="G47622" s="9"/>
      <c r="J47622" s="11"/>
      <c r="U47622" s="9"/>
      <c r="X47622" s="9"/>
    </row>
    <row r="47623">
      <c r="D47623" s="9"/>
      <c r="G47623" s="9"/>
      <c r="J47623" s="11"/>
      <c r="U47623" s="9"/>
      <c r="X47623" s="9"/>
    </row>
    <row r="47624">
      <c r="D47624" s="9"/>
      <c r="G47624" s="9"/>
      <c r="J47624" s="11"/>
      <c r="U47624" s="9"/>
      <c r="X47624" s="9"/>
    </row>
    <row r="47625">
      <c r="D47625" s="9"/>
      <c r="G47625" s="9"/>
      <c r="J47625" s="11"/>
      <c r="U47625" s="9"/>
      <c r="X47625" s="9"/>
    </row>
    <row r="47626">
      <c r="D47626" s="9"/>
      <c r="G47626" s="9"/>
      <c r="J47626" s="11"/>
      <c r="U47626" s="9"/>
      <c r="X47626" s="9"/>
    </row>
    <row r="47627">
      <c r="D47627" s="9"/>
      <c r="G47627" s="9"/>
      <c r="J47627" s="11"/>
      <c r="U47627" s="9"/>
      <c r="X47627" s="9"/>
    </row>
    <row r="47628">
      <c r="D47628" s="9"/>
      <c r="G47628" s="9"/>
      <c r="J47628" s="11"/>
      <c r="U47628" s="9"/>
      <c r="X47628" s="9"/>
    </row>
    <row r="47629">
      <c r="D47629" s="9"/>
      <c r="G47629" s="9"/>
      <c r="J47629" s="11"/>
      <c r="U47629" s="9"/>
      <c r="X47629" s="9"/>
    </row>
    <row r="47630">
      <c r="D47630" s="9"/>
      <c r="G47630" s="9"/>
      <c r="J47630" s="11"/>
      <c r="U47630" s="9"/>
      <c r="X47630" s="9"/>
    </row>
    <row r="47631">
      <c r="D47631" s="9"/>
      <c r="G47631" s="9"/>
      <c r="J47631" s="11"/>
      <c r="U47631" s="9"/>
      <c r="X47631" s="9"/>
    </row>
    <row r="47632">
      <c r="D47632" s="9"/>
      <c r="G47632" s="9"/>
      <c r="J47632" s="11"/>
      <c r="U47632" s="9"/>
      <c r="X47632" s="9"/>
    </row>
    <row r="47633">
      <c r="D47633" s="9"/>
      <c r="G47633" s="9"/>
      <c r="J47633" s="11"/>
      <c r="U47633" s="9"/>
      <c r="X47633" s="9"/>
    </row>
    <row r="47634">
      <c r="D47634" s="9"/>
      <c r="G47634" s="9"/>
      <c r="J47634" s="11"/>
      <c r="U47634" s="9"/>
      <c r="X47634" s="9"/>
    </row>
    <row r="47635">
      <c r="D47635" s="9"/>
      <c r="G47635" s="9"/>
      <c r="J47635" s="11"/>
      <c r="U47635" s="9"/>
      <c r="X47635" s="9"/>
    </row>
    <row r="47636">
      <c r="D47636" s="9"/>
      <c r="G47636" s="9"/>
      <c r="J47636" s="11"/>
      <c r="U47636" s="9"/>
      <c r="X47636" s="9"/>
    </row>
    <row r="47637">
      <c r="D47637" s="9"/>
      <c r="G47637" s="9"/>
      <c r="J47637" s="11"/>
      <c r="U47637" s="9"/>
      <c r="X47637" s="9"/>
    </row>
    <row r="47638">
      <c r="D47638" s="9"/>
      <c r="G47638" s="9"/>
      <c r="J47638" s="11"/>
      <c r="U47638" s="9"/>
      <c r="X47638" s="9"/>
    </row>
    <row r="47639">
      <c r="D47639" s="9"/>
      <c r="G47639" s="9"/>
      <c r="J47639" s="11"/>
      <c r="U47639" s="9"/>
      <c r="X47639" s="9"/>
    </row>
    <row r="47640">
      <c r="D47640" s="9"/>
      <c r="G47640" s="9"/>
      <c r="J47640" s="11"/>
      <c r="U47640" s="9"/>
      <c r="X47640" s="9"/>
    </row>
    <row r="47641">
      <c r="D47641" s="9"/>
      <c r="G47641" s="9"/>
      <c r="J47641" s="11"/>
      <c r="U47641" s="9"/>
      <c r="X47641" s="9"/>
    </row>
    <row r="47642">
      <c r="D47642" s="9"/>
      <c r="G47642" s="9"/>
      <c r="J47642" s="11"/>
      <c r="U47642" s="9"/>
      <c r="X47642" s="9"/>
    </row>
    <row r="47643">
      <c r="D47643" s="9"/>
      <c r="G47643" s="9"/>
      <c r="J47643" s="11"/>
      <c r="U47643" s="9"/>
      <c r="X47643" s="9"/>
    </row>
    <row r="47644">
      <c r="D47644" s="9"/>
      <c r="G47644" s="9"/>
      <c r="J47644" s="11"/>
      <c r="U47644" s="9"/>
      <c r="X47644" s="9"/>
    </row>
    <row r="47645">
      <c r="D47645" s="9"/>
      <c r="G47645" s="9"/>
      <c r="J47645" s="11"/>
      <c r="U47645" s="9"/>
      <c r="X47645" s="9"/>
    </row>
    <row r="47646">
      <c r="D47646" s="9"/>
      <c r="G47646" s="9"/>
      <c r="J47646" s="11"/>
      <c r="U47646" s="9"/>
      <c r="X47646" s="9"/>
    </row>
    <row r="47647">
      <c r="D47647" s="9"/>
      <c r="G47647" s="9"/>
      <c r="J47647" s="11"/>
      <c r="U47647" s="9"/>
      <c r="X47647" s="9"/>
    </row>
    <row r="47648">
      <c r="D47648" s="9"/>
      <c r="G47648" s="9"/>
      <c r="J47648" s="11"/>
      <c r="U47648" s="9"/>
      <c r="X47648" s="9"/>
    </row>
    <row r="47649">
      <c r="D47649" s="9"/>
      <c r="G47649" s="9"/>
      <c r="J47649" s="11"/>
      <c r="U47649" s="9"/>
      <c r="X47649" s="9"/>
    </row>
    <row r="47650">
      <c r="D47650" s="9"/>
      <c r="G47650" s="9"/>
      <c r="J47650" s="11"/>
      <c r="U47650" s="9"/>
      <c r="X47650" s="9"/>
    </row>
    <row r="47651">
      <c r="D47651" s="9"/>
      <c r="G47651" s="9"/>
      <c r="J47651" s="11"/>
      <c r="U47651" s="9"/>
      <c r="X47651" s="9"/>
    </row>
    <row r="47652">
      <c r="D47652" s="9"/>
      <c r="G47652" s="9"/>
      <c r="J47652" s="11"/>
      <c r="U47652" s="9"/>
      <c r="X47652" s="9"/>
    </row>
    <row r="47653">
      <c r="D47653" s="9"/>
      <c r="G47653" s="9"/>
      <c r="J47653" s="11"/>
      <c r="U47653" s="9"/>
      <c r="X47653" s="9"/>
    </row>
    <row r="47654">
      <c r="D47654" s="9"/>
      <c r="G47654" s="9"/>
      <c r="J47654" s="11"/>
      <c r="U47654" s="9"/>
      <c r="X47654" s="9"/>
    </row>
    <row r="47655">
      <c r="D47655" s="9"/>
      <c r="G47655" s="9"/>
      <c r="J47655" s="11"/>
      <c r="U47655" s="9"/>
      <c r="X47655" s="9"/>
    </row>
    <row r="47656">
      <c r="D47656" s="9"/>
      <c r="G47656" s="9"/>
      <c r="J47656" s="11"/>
      <c r="U47656" s="9"/>
      <c r="X47656" s="9"/>
    </row>
    <row r="47657">
      <c r="D47657" s="9"/>
      <c r="G47657" s="9"/>
      <c r="J47657" s="11"/>
      <c r="U47657" s="9"/>
      <c r="X47657" s="9"/>
    </row>
    <row r="47658">
      <c r="D47658" s="9"/>
      <c r="G47658" s="9"/>
      <c r="J47658" s="11"/>
      <c r="U47658" s="9"/>
      <c r="X47658" s="9"/>
    </row>
    <row r="47659">
      <c r="D47659" s="9"/>
      <c r="G47659" s="9"/>
      <c r="J47659" s="11"/>
      <c r="U47659" s="9"/>
      <c r="X47659" s="9"/>
    </row>
    <row r="47660">
      <c r="D47660" s="9"/>
      <c r="G47660" s="9"/>
      <c r="J47660" s="11"/>
      <c r="U47660" s="9"/>
      <c r="X47660" s="9"/>
    </row>
    <row r="47661">
      <c r="D47661" s="9"/>
      <c r="G47661" s="9"/>
      <c r="J47661" s="11"/>
      <c r="U47661" s="9"/>
      <c r="X47661" s="9"/>
    </row>
    <row r="47662">
      <c r="D47662" s="9"/>
      <c r="G47662" s="9"/>
      <c r="J47662" s="11"/>
      <c r="U47662" s="9"/>
      <c r="X47662" s="9"/>
    </row>
    <row r="47663">
      <c r="D47663" s="9"/>
      <c r="G47663" s="9"/>
      <c r="J47663" s="11"/>
      <c r="U47663" s="9"/>
      <c r="X47663" s="9"/>
    </row>
    <row r="47664">
      <c r="D47664" s="9"/>
      <c r="G47664" s="9"/>
      <c r="J47664" s="11"/>
      <c r="U47664" s="9"/>
      <c r="X47664" s="9"/>
    </row>
    <row r="47665">
      <c r="D47665" s="9"/>
      <c r="G47665" s="9"/>
      <c r="J47665" s="11"/>
      <c r="U47665" s="9"/>
      <c r="X47665" s="9"/>
    </row>
    <row r="47666">
      <c r="D47666" s="9"/>
      <c r="G47666" s="9"/>
      <c r="J47666" s="11"/>
      <c r="U47666" s="9"/>
      <c r="X47666" s="9"/>
    </row>
    <row r="47667">
      <c r="D47667" s="9"/>
      <c r="G47667" s="9"/>
      <c r="J47667" s="11"/>
      <c r="U47667" s="9"/>
      <c r="X47667" s="9"/>
    </row>
    <row r="47668">
      <c r="D47668" s="9"/>
      <c r="G47668" s="9"/>
      <c r="J47668" s="11"/>
      <c r="U47668" s="9"/>
      <c r="X47668" s="9"/>
    </row>
    <row r="47669">
      <c r="D47669" s="9"/>
      <c r="G47669" s="9"/>
      <c r="J47669" s="11"/>
      <c r="U47669" s="9"/>
      <c r="X47669" s="9"/>
    </row>
    <row r="47670">
      <c r="D47670" s="9"/>
      <c r="G47670" s="9"/>
      <c r="J47670" s="11"/>
      <c r="U47670" s="9"/>
      <c r="X47670" s="9"/>
    </row>
    <row r="47671">
      <c r="D47671" s="9"/>
      <c r="G47671" s="9"/>
      <c r="J47671" s="11"/>
      <c r="U47671" s="9"/>
      <c r="X47671" s="9"/>
    </row>
    <row r="47672">
      <c r="D47672" s="9"/>
      <c r="G47672" s="9"/>
      <c r="J47672" s="11"/>
      <c r="U47672" s="9"/>
      <c r="X47672" s="9"/>
    </row>
    <row r="47673">
      <c r="D47673" s="9"/>
      <c r="G47673" s="9"/>
      <c r="J47673" s="11"/>
      <c r="U47673" s="9"/>
      <c r="X47673" s="9"/>
    </row>
    <row r="47674">
      <c r="D47674" s="9"/>
      <c r="G47674" s="9"/>
      <c r="J47674" s="11"/>
      <c r="U47674" s="9"/>
      <c r="X47674" s="9"/>
    </row>
    <row r="47675">
      <c r="D47675" s="9"/>
      <c r="G47675" s="9"/>
      <c r="J47675" s="11"/>
      <c r="U47675" s="9"/>
      <c r="X47675" s="9"/>
    </row>
    <row r="47676">
      <c r="D47676" s="9"/>
      <c r="G47676" s="9"/>
      <c r="J47676" s="11"/>
      <c r="U47676" s="9"/>
      <c r="X47676" s="9"/>
    </row>
    <row r="47677">
      <c r="D47677" s="9"/>
      <c r="G47677" s="9"/>
      <c r="J47677" s="11"/>
      <c r="U47677" s="9"/>
      <c r="X47677" s="9"/>
    </row>
    <row r="47678">
      <c r="D47678" s="9"/>
      <c r="G47678" s="9"/>
      <c r="J47678" s="11"/>
      <c r="U47678" s="9"/>
      <c r="X47678" s="9"/>
    </row>
    <row r="47679">
      <c r="D47679" s="9"/>
      <c r="G47679" s="9"/>
      <c r="J47679" s="11"/>
      <c r="U47679" s="9"/>
      <c r="X47679" s="9"/>
    </row>
    <row r="47680">
      <c r="D47680" s="9"/>
      <c r="G47680" s="9"/>
      <c r="J47680" s="11"/>
      <c r="U47680" s="9"/>
      <c r="X47680" s="9"/>
    </row>
    <row r="47681">
      <c r="D47681" s="9"/>
      <c r="G47681" s="9"/>
      <c r="J47681" s="11"/>
      <c r="U47681" s="9"/>
      <c r="X47681" s="9"/>
    </row>
    <row r="47682">
      <c r="D47682" s="9"/>
      <c r="G47682" s="9"/>
      <c r="J47682" s="11"/>
      <c r="U47682" s="9"/>
      <c r="X47682" s="9"/>
    </row>
    <row r="47683">
      <c r="D47683" s="9"/>
      <c r="G47683" s="9"/>
      <c r="J47683" s="11"/>
      <c r="U47683" s="9"/>
      <c r="X47683" s="9"/>
    </row>
    <row r="47684">
      <c r="D47684" s="9"/>
      <c r="G47684" s="9"/>
      <c r="J47684" s="11"/>
      <c r="U47684" s="9"/>
      <c r="X47684" s="9"/>
    </row>
    <row r="47685">
      <c r="D47685" s="9"/>
      <c r="G47685" s="9"/>
      <c r="J47685" s="11"/>
      <c r="U47685" s="9"/>
      <c r="X47685" s="9"/>
    </row>
    <row r="47686">
      <c r="D47686" s="9"/>
      <c r="G47686" s="9"/>
      <c r="J47686" s="11"/>
      <c r="U47686" s="9"/>
      <c r="X47686" s="9"/>
    </row>
    <row r="47687">
      <c r="D47687" s="9"/>
      <c r="G47687" s="9"/>
      <c r="J47687" s="11"/>
      <c r="U47687" s="9"/>
      <c r="X47687" s="9"/>
    </row>
    <row r="47688">
      <c r="D47688" s="9"/>
      <c r="G47688" s="9"/>
      <c r="J47688" s="11"/>
      <c r="U47688" s="9"/>
      <c r="X47688" s="9"/>
    </row>
    <row r="47689">
      <c r="D47689" s="9"/>
      <c r="G47689" s="9"/>
      <c r="J47689" s="11"/>
      <c r="U47689" s="9"/>
      <c r="X47689" s="9"/>
    </row>
    <row r="47690">
      <c r="D47690" s="9"/>
      <c r="G47690" s="9"/>
      <c r="J47690" s="11"/>
      <c r="U47690" s="9"/>
      <c r="X47690" s="9"/>
    </row>
    <row r="47691">
      <c r="D47691" s="9"/>
      <c r="G47691" s="9"/>
      <c r="J47691" s="11"/>
      <c r="U47691" s="9"/>
      <c r="X47691" s="9"/>
    </row>
    <row r="47692">
      <c r="D47692" s="9"/>
      <c r="G47692" s="9"/>
      <c r="J47692" s="11"/>
      <c r="U47692" s="9"/>
      <c r="X47692" s="9"/>
    </row>
    <row r="47693">
      <c r="D47693" s="9"/>
      <c r="G47693" s="9"/>
      <c r="J47693" s="11"/>
      <c r="U47693" s="9"/>
      <c r="X47693" s="9"/>
    </row>
    <row r="47694">
      <c r="D47694" s="9"/>
      <c r="G47694" s="9"/>
      <c r="J47694" s="11"/>
      <c r="U47694" s="9"/>
      <c r="X47694" s="9"/>
    </row>
    <row r="47695">
      <c r="D47695" s="9"/>
      <c r="G47695" s="9"/>
      <c r="J47695" s="11"/>
      <c r="U47695" s="9"/>
      <c r="X47695" s="9"/>
    </row>
    <row r="47696">
      <c r="D47696" s="9"/>
      <c r="G47696" s="9"/>
      <c r="J47696" s="11"/>
      <c r="U47696" s="9"/>
      <c r="X47696" s="9"/>
    </row>
    <row r="47697">
      <c r="D47697" s="9"/>
      <c r="G47697" s="9"/>
      <c r="J47697" s="11"/>
      <c r="U47697" s="9"/>
      <c r="X47697" s="9"/>
    </row>
    <row r="47698">
      <c r="D47698" s="9"/>
      <c r="G47698" s="9"/>
      <c r="J47698" s="11"/>
      <c r="U47698" s="9"/>
      <c r="X47698" s="9"/>
    </row>
    <row r="47699">
      <c r="D47699" s="9"/>
      <c r="G47699" s="9"/>
      <c r="J47699" s="11"/>
      <c r="U47699" s="9"/>
      <c r="X47699" s="9"/>
    </row>
    <row r="47700">
      <c r="D47700" s="9"/>
      <c r="G47700" s="9"/>
      <c r="J47700" s="11"/>
      <c r="U47700" s="9"/>
      <c r="X47700" s="9"/>
    </row>
    <row r="47701">
      <c r="D47701" s="9"/>
      <c r="G47701" s="9"/>
      <c r="J47701" s="11"/>
      <c r="U47701" s="9"/>
      <c r="X47701" s="9"/>
    </row>
    <row r="47702">
      <c r="D47702" s="9"/>
      <c r="G47702" s="9"/>
      <c r="J47702" s="11"/>
      <c r="U47702" s="9"/>
      <c r="X47702" s="9"/>
    </row>
    <row r="47703">
      <c r="D47703" s="9"/>
      <c r="G47703" s="9"/>
      <c r="J47703" s="11"/>
      <c r="U47703" s="9"/>
      <c r="X47703" s="9"/>
    </row>
    <row r="47704">
      <c r="D47704" s="9"/>
      <c r="G47704" s="9"/>
      <c r="J47704" s="11"/>
      <c r="U47704" s="9"/>
      <c r="X47704" s="9"/>
    </row>
    <row r="47705">
      <c r="D47705" s="9"/>
      <c r="G47705" s="9"/>
      <c r="J47705" s="11"/>
      <c r="U47705" s="9"/>
      <c r="X47705" s="9"/>
    </row>
    <row r="47706">
      <c r="D47706" s="9"/>
      <c r="G47706" s="9"/>
      <c r="J47706" s="11"/>
      <c r="U47706" s="9"/>
      <c r="X47706" s="9"/>
    </row>
    <row r="47707">
      <c r="D47707" s="9"/>
      <c r="G47707" s="9"/>
      <c r="J47707" s="11"/>
      <c r="U47707" s="9"/>
      <c r="X47707" s="9"/>
    </row>
    <row r="47708">
      <c r="D47708" s="9"/>
      <c r="G47708" s="9"/>
      <c r="J47708" s="11"/>
      <c r="U47708" s="9"/>
      <c r="X47708" s="9"/>
    </row>
    <row r="47709">
      <c r="D47709" s="9"/>
      <c r="G47709" s="9"/>
      <c r="J47709" s="11"/>
      <c r="U47709" s="9"/>
      <c r="X47709" s="9"/>
    </row>
    <row r="47710">
      <c r="D47710" s="9"/>
      <c r="G47710" s="9"/>
      <c r="J47710" s="11"/>
      <c r="U47710" s="9"/>
      <c r="X47710" s="9"/>
    </row>
    <row r="47711">
      <c r="D47711" s="9"/>
      <c r="G47711" s="9"/>
      <c r="J47711" s="11"/>
      <c r="U47711" s="9"/>
      <c r="X47711" s="9"/>
    </row>
    <row r="47712">
      <c r="D47712" s="9"/>
      <c r="G47712" s="9"/>
      <c r="J47712" s="11"/>
      <c r="U47712" s="9"/>
      <c r="X47712" s="9"/>
    </row>
    <row r="47713">
      <c r="D47713" s="9"/>
      <c r="G47713" s="9"/>
      <c r="J47713" s="11"/>
      <c r="U47713" s="9"/>
      <c r="X47713" s="9"/>
    </row>
    <row r="47714">
      <c r="D47714" s="9"/>
      <c r="G47714" s="9"/>
      <c r="J47714" s="11"/>
      <c r="U47714" s="9"/>
      <c r="X47714" s="9"/>
    </row>
    <row r="47715">
      <c r="D47715" s="9"/>
      <c r="G47715" s="9"/>
      <c r="J47715" s="11"/>
      <c r="U47715" s="9"/>
      <c r="X47715" s="9"/>
    </row>
    <row r="47716">
      <c r="D47716" s="9"/>
      <c r="G47716" s="9"/>
      <c r="J47716" s="11"/>
      <c r="U47716" s="9"/>
      <c r="X47716" s="9"/>
    </row>
    <row r="47717">
      <c r="D47717" s="9"/>
      <c r="G47717" s="9"/>
      <c r="J47717" s="11"/>
      <c r="U47717" s="9"/>
      <c r="X47717" s="9"/>
    </row>
    <row r="47718">
      <c r="D47718" s="9"/>
      <c r="G47718" s="9"/>
      <c r="J47718" s="11"/>
      <c r="U47718" s="9"/>
      <c r="X47718" s="9"/>
    </row>
    <row r="47719">
      <c r="D47719" s="9"/>
      <c r="G47719" s="9"/>
      <c r="J47719" s="11"/>
      <c r="U47719" s="9"/>
      <c r="X47719" s="9"/>
    </row>
    <row r="47720">
      <c r="D47720" s="9"/>
      <c r="G47720" s="9"/>
      <c r="J47720" s="11"/>
      <c r="U47720" s="9"/>
      <c r="X47720" s="9"/>
    </row>
    <row r="47721">
      <c r="D47721" s="9"/>
      <c r="G47721" s="9"/>
      <c r="J47721" s="11"/>
      <c r="U47721" s="9"/>
      <c r="X47721" s="9"/>
    </row>
    <row r="47722">
      <c r="D47722" s="9"/>
      <c r="G47722" s="9"/>
      <c r="J47722" s="11"/>
      <c r="U47722" s="9"/>
      <c r="X47722" s="9"/>
    </row>
    <row r="47723">
      <c r="D47723" s="9"/>
      <c r="G47723" s="9"/>
      <c r="J47723" s="11"/>
      <c r="U47723" s="9"/>
      <c r="X47723" s="9"/>
    </row>
    <row r="47724">
      <c r="D47724" s="9"/>
      <c r="G47724" s="9"/>
      <c r="J47724" s="11"/>
      <c r="U47724" s="9"/>
      <c r="X47724" s="9"/>
    </row>
    <row r="47725">
      <c r="D47725" s="9"/>
      <c r="G47725" s="9"/>
      <c r="J47725" s="11"/>
      <c r="U47725" s="9"/>
      <c r="X47725" s="9"/>
    </row>
    <row r="47726">
      <c r="D47726" s="9"/>
      <c r="G47726" s="9"/>
      <c r="J47726" s="11"/>
      <c r="U47726" s="9"/>
      <c r="X47726" s="9"/>
    </row>
    <row r="47727">
      <c r="D47727" s="9"/>
      <c r="G47727" s="9"/>
      <c r="J47727" s="11"/>
      <c r="U47727" s="9"/>
      <c r="X47727" s="9"/>
    </row>
    <row r="47728">
      <c r="D47728" s="9"/>
      <c r="G47728" s="9"/>
      <c r="J47728" s="11"/>
      <c r="U47728" s="9"/>
      <c r="X47728" s="9"/>
    </row>
    <row r="47729">
      <c r="D47729" s="9"/>
      <c r="G47729" s="9"/>
      <c r="J47729" s="11"/>
      <c r="U47729" s="9"/>
      <c r="X47729" s="9"/>
    </row>
    <row r="47730">
      <c r="D47730" s="9"/>
      <c r="G47730" s="9"/>
      <c r="J47730" s="11"/>
      <c r="U47730" s="9"/>
      <c r="X47730" s="9"/>
    </row>
    <row r="47731">
      <c r="D47731" s="9"/>
      <c r="G47731" s="9"/>
      <c r="J47731" s="11"/>
      <c r="U47731" s="9"/>
      <c r="X47731" s="9"/>
    </row>
    <row r="47732">
      <c r="D47732" s="9"/>
      <c r="G47732" s="9"/>
      <c r="J47732" s="11"/>
      <c r="U47732" s="9"/>
      <c r="X47732" s="9"/>
    </row>
    <row r="47733">
      <c r="D47733" s="9"/>
      <c r="G47733" s="9"/>
      <c r="J47733" s="11"/>
      <c r="U47733" s="9"/>
      <c r="X47733" s="9"/>
    </row>
    <row r="47734">
      <c r="D47734" s="9"/>
      <c r="G47734" s="9"/>
      <c r="J47734" s="11"/>
      <c r="U47734" s="9"/>
      <c r="X47734" s="9"/>
    </row>
    <row r="47735">
      <c r="D47735" s="9"/>
      <c r="G47735" s="9"/>
      <c r="J47735" s="11"/>
      <c r="U47735" s="9"/>
      <c r="X47735" s="9"/>
    </row>
    <row r="47736">
      <c r="D47736" s="9"/>
      <c r="G47736" s="9"/>
      <c r="J47736" s="11"/>
      <c r="U47736" s="9"/>
      <c r="X47736" s="9"/>
    </row>
    <row r="47737">
      <c r="D47737" s="9"/>
      <c r="G47737" s="9"/>
      <c r="J47737" s="11"/>
      <c r="U47737" s="9"/>
      <c r="X47737" s="9"/>
    </row>
    <row r="47738">
      <c r="D47738" s="9"/>
      <c r="G47738" s="9"/>
      <c r="J47738" s="11"/>
      <c r="U47738" s="9"/>
      <c r="X47738" s="9"/>
    </row>
    <row r="47739">
      <c r="D47739" s="9"/>
      <c r="G47739" s="9"/>
      <c r="J47739" s="11"/>
      <c r="U47739" s="9"/>
      <c r="X47739" s="9"/>
    </row>
    <row r="47740">
      <c r="D47740" s="9"/>
      <c r="G47740" s="9"/>
      <c r="J47740" s="11"/>
      <c r="U47740" s="9"/>
      <c r="X47740" s="9"/>
    </row>
    <row r="47741">
      <c r="D47741" s="9"/>
      <c r="G47741" s="9"/>
      <c r="J47741" s="11"/>
      <c r="U47741" s="9"/>
      <c r="X47741" s="9"/>
    </row>
    <row r="47742">
      <c r="D47742" s="9"/>
      <c r="G47742" s="9"/>
      <c r="J47742" s="11"/>
      <c r="U47742" s="9"/>
      <c r="X47742" s="9"/>
    </row>
    <row r="47743">
      <c r="D47743" s="9"/>
      <c r="G47743" s="9"/>
      <c r="J47743" s="11"/>
      <c r="U47743" s="9"/>
      <c r="X47743" s="9"/>
    </row>
    <row r="47744">
      <c r="D47744" s="9"/>
      <c r="G47744" s="9"/>
      <c r="J47744" s="11"/>
      <c r="U47744" s="9"/>
      <c r="X47744" s="9"/>
    </row>
    <row r="47745">
      <c r="D47745" s="9"/>
      <c r="G47745" s="9"/>
      <c r="J47745" s="11"/>
      <c r="U47745" s="9"/>
      <c r="X47745" s="9"/>
    </row>
    <row r="47746">
      <c r="D47746" s="9"/>
      <c r="G47746" s="9"/>
      <c r="J47746" s="11"/>
      <c r="U47746" s="9"/>
      <c r="X47746" s="9"/>
    </row>
    <row r="47747">
      <c r="D47747" s="9"/>
      <c r="G47747" s="9"/>
      <c r="J47747" s="11"/>
      <c r="U47747" s="9"/>
      <c r="X47747" s="9"/>
    </row>
    <row r="47748">
      <c r="D47748" s="9"/>
      <c r="G47748" s="9"/>
      <c r="J47748" s="11"/>
      <c r="U47748" s="9"/>
      <c r="X47748" s="9"/>
    </row>
    <row r="47749">
      <c r="D47749" s="9"/>
      <c r="G47749" s="9"/>
      <c r="J47749" s="11"/>
      <c r="U47749" s="9"/>
      <c r="X47749" s="9"/>
    </row>
    <row r="47750">
      <c r="D47750" s="9"/>
      <c r="G47750" s="9"/>
      <c r="J47750" s="11"/>
      <c r="U47750" s="9"/>
      <c r="X47750" s="9"/>
    </row>
    <row r="47751">
      <c r="D47751" s="9"/>
      <c r="G47751" s="9"/>
      <c r="J47751" s="11"/>
      <c r="U47751" s="9"/>
      <c r="X47751" s="9"/>
    </row>
    <row r="47752">
      <c r="D47752" s="9"/>
      <c r="G47752" s="9"/>
      <c r="J47752" s="11"/>
      <c r="U47752" s="9"/>
      <c r="X47752" s="9"/>
    </row>
    <row r="47753">
      <c r="D47753" s="9"/>
      <c r="G47753" s="9"/>
      <c r="J47753" s="11"/>
      <c r="U47753" s="9"/>
      <c r="X47753" s="9"/>
    </row>
    <row r="47754">
      <c r="D47754" s="9"/>
      <c r="G47754" s="9"/>
      <c r="J47754" s="11"/>
      <c r="U47754" s="9"/>
      <c r="X47754" s="9"/>
    </row>
    <row r="47755">
      <c r="D47755" s="9"/>
      <c r="G47755" s="9"/>
      <c r="J47755" s="11"/>
      <c r="U47755" s="9"/>
      <c r="X47755" s="9"/>
    </row>
    <row r="47756">
      <c r="D47756" s="9"/>
      <c r="G47756" s="9"/>
      <c r="J47756" s="11"/>
      <c r="U47756" s="9"/>
      <c r="X47756" s="9"/>
    </row>
    <row r="47757">
      <c r="D47757" s="9"/>
      <c r="G47757" s="9"/>
      <c r="J47757" s="11"/>
      <c r="U47757" s="9"/>
      <c r="X47757" s="9"/>
    </row>
    <row r="47758">
      <c r="D47758" s="9"/>
      <c r="G47758" s="9"/>
      <c r="J47758" s="11"/>
      <c r="U47758" s="9"/>
      <c r="X47758" s="9"/>
    </row>
    <row r="47759">
      <c r="D47759" s="9"/>
      <c r="G47759" s="9"/>
      <c r="J47759" s="11"/>
      <c r="U47759" s="9"/>
      <c r="X47759" s="9"/>
    </row>
    <row r="47760">
      <c r="D47760" s="9"/>
      <c r="G47760" s="9"/>
      <c r="J47760" s="11"/>
      <c r="U47760" s="9"/>
      <c r="X47760" s="9"/>
    </row>
    <row r="47761">
      <c r="D47761" s="9"/>
      <c r="G47761" s="9"/>
      <c r="J47761" s="11"/>
      <c r="U47761" s="9"/>
      <c r="X47761" s="9"/>
    </row>
    <row r="47762">
      <c r="D47762" s="9"/>
      <c r="G47762" s="9"/>
      <c r="J47762" s="11"/>
      <c r="U47762" s="9"/>
      <c r="X47762" s="9"/>
    </row>
    <row r="47763">
      <c r="D47763" s="9"/>
      <c r="G47763" s="9"/>
      <c r="J47763" s="11"/>
      <c r="U47763" s="9"/>
      <c r="X47763" s="9"/>
    </row>
    <row r="47764">
      <c r="D47764" s="9"/>
      <c r="G47764" s="9"/>
      <c r="J47764" s="11"/>
      <c r="U47764" s="9"/>
      <c r="X47764" s="9"/>
    </row>
    <row r="47765">
      <c r="D47765" s="9"/>
      <c r="G47765" s="9"/>
      <c r="J47765" s="11"/>
      <c r="U47765" s="9"/>
      <c r="X47765" s="9"/>
    </row>
    <row r="47766">
      <c r="D47766" s="9"/>
      <c r="G47766" s="9"/>
      <c r="J47766" s="11"/>
      <c r="U47766" s="9"/>
      <c r="X47766" s="9"/>
    </row>
    <row r="47767">
      <c r="D47767" s="9"/>
      <c r="G47767" s="9"/>
      <c r="J47767" s="11"/>
      <c r="U47767" s="9"/>
      <c r="X47767" s="9"/>
    </row>
    <row r="47768">
      <c r="D47768" s="9"/>
      <c r="G47768" s="9"/>
      <c r="J47768" s="11"/>
      <c r="U47768" s="9"/>
      <c r="X47768" s="9"/>
    </row>
    <row r="47769">
      <c r="D47769" s="9"/>
      <c r="G47769" s="9"/>
      <c r="J47769" s="11"/>
      <c r="U47769" s="9"/>
      <c r="X47769" s="9"/>
    </row>
    <row r="47770">
      <c r="D47770" s="9"/>
      <c r="G47770" s="9"/>
      <c r="J47770" s="11"/>
      <c r="U47770" s="9"/>
      <c r="X47770" s="9"/>
    </row>
    <row r="47771">
      <c r="D47771" s="9"/>
      <c r="G47771" s="9"/>
      <c r="J47771" s="11"/>
      <c r="U47771" s="9"/>
      <c r="X47771" s="9"/>
    </row>
    <row r="47772">
      <c r="D47772" s="9"/>
      <c r="G47772" s="9"/>
      <c r="J47772" s="11"/>
      <c r="U47772" s="9"/>
      <c r="X47772" s="9"/>
    </row>
    <row r="47773">
      <c r="D47773" s="9"/>
      <c r="G47773" s="9"/>
      <c r="J47773" s="11"/>
      <c r="U47773" s="9"/>
      <c r="X47773" s="9"/>
    </row>
    <row r="47774">
      <c r="D47774" s="9"/>
      <c r="G47774" s="9"/>
      <c r="J47774" s="11"/>
      <c r="U47774" s="9"/>
      <c r="X47774" s="9"/>
    </row>
    <row r="47775">
      <c r="D47775" s="9"/>
      <c r="G47775" s="9"/>
      <c r="J47775" s="11"/>
      <c r="U47775" s="9"/>
      <c r="X47775" s="9"/>
    </row>
    <row r="47776">
      <c r="D47776" s="9"/>
      <c r="G47776" s="9"/>
      <c r="J47776" s="11"/>
      <c r="U47776" s="9"/>
      <c r="X47776" s="9"/>
    </row>
    <row r="47777">
      <c r="D47777" s="9"/>
      <c r="G47777" s="9"/>
      <c r="J47777" s="11"/>
      <c r="U47777" s="9"/>
      <c r="X47777" s="9"/>
    </row>
    <row r="47778">
      <c r="D47778" s="9"/>
      <c r="G47778" s="9"/>
      <c r="J47778" s="11"/>
      <c r="U47778" s="9"/>
      <c r="X47778" s="9"/>
    </row>
    <row r="47779">
      <c r="D47779" s="9"/>
      <c r="G47779" s="9"/>
      <c r="J47779" s="11"/>
      <c r="U47779" s="9"/>
      <c r="X47779" s="9"/>
    </row>
    <row r="47780">
      <c r="D47780" s="9"/>
      <c r="G47780" s="9"/>
      <c r="J47780" s="11"/>
      <c r="U47780" s="9"/>
      <c r="X47780" s="9"/>
    </row>
    <row r="47781">
      <c r="D47781" s="9"/>
      <c r="G47781" s="9"/>
      <c r="J47781" s="11"/>
      <c r="U47781" s="9"/>
      <c r="X47781" s="9"/>
    </row>
    <row r="47782">
      <c r="D47782" s="9"/>
      <c r="G47782" s="9"/>
      <c r="J47782" s="11"/>
      <c r="U47782" s="9"/>
      <c r="X47782" s="9"/>
    </row>
    <row r="47783">
      <c r="D47783" s="9"/>
      <c r="G47783" s="9"/>
      <c r="J47783" s="11"/>
      <c r="U47783" s="9"/>
      <c r="X47783" s="9"/>
    </row>
    <row r="47784">
      <c r="D47784" s="9"/>
      <c r="G47784" s="9"/>
      <c r="J47784" s="11"/>
      <c r="U47784" s="9"/>
      <c r="X47784" s="9"/>
    </row>
    <row r="47785">
      <c r="D47785" s="9"/>
      <c r="G47785" s="9"/>
      <c r="J47785" s="11"/>
      <c r="U47785" s="9"/>
      <c r="X47785" s="9"/>
    </row>
    <row r="47786">
      <c r="D47786" s="9"/>
      <c r="G47786" s="9"/>
      <c r="J47786" s="11"/>
      <c r="U47786" s="9"/>
      <c r="X47786" s="9"/>
    </row>
    <row r="47787">
      <c r="D47787" s="9"/>
      <c r="G47787" s="9"/>
      <c r="J47787" s="11"/>
      <c r="U47787" s="9"/>
      <c r="X47787" s="9"/>
    </row>
    <row r="47788">
      <c r="D47788" s="9"/>
      <c r="G47788" s="9"/>
      <c r="J47788" s="11"/>
      <c r="U47788" s="9"/>
      <c r="X47788" s="9"/>
    </row>
    <row r="47789">
      <c r="D47789" s="9"/>
      <c r="G47789" s="9"/>
      <c r="J47789" s="11"/>
      <c r="U47789" s="9"/>
      <c r="X47789" s="9"/>
    </row>
    <row r="47790">
      <c r="D47790" s="9"/>
      <c r="G47790" s="9"/>
      <c r="J47790" s="11"/>
      <c r="U47790" s="9"/>
      <c r="X47790" s="9"/>
    </row>
    <row r="47791">
      <c r="D47791" s="9"/>
      <c r="G47791" s="9"/>
      <c r="J47791" s="11"/>
      <c r="U47791" s="9"/>
      <c r="X47791" s="9"/>
    </row>
    <row r="47792">
      <c r="D47792" s="9"/>
      <c r="G47792" s="9"/>
      <c r="J47792" s="11"/>
      <c r="U47792" s="9"/>
      <c r="X47792" s="9"/>
    </row>
    <row r="47793">
      <c r="D47793" s="9"/>
      <c r="G47793" s="9"/>
      <c r="J47793" s="11"/>
      <c r="U47793" s="9"/>
      <c r="X47793" s="9"/>
    </row>
    <row r="47794">
      <c r="D47794" s="9"/>
      <c r="G47794" s="9"/>
      <c r="J47794" s="11"/>
      <c r="U47794" s="9"/>
      <c r="X47794" s="9"/>
    </row>
    <row r="47795">
      <c r="D47795" s="9"/>
      <c r="G47795" s="9"/>
      <c r="J47795" s="11"/>
      <c r="U47795" s="9"/>
      <c r="X47795" s="9"/>
    </row>
    <row r="47796">
      <c r="D47796" s="9"/>
      <c r="G47796" s="9"/>
      <c r="J47796" s="11"/>
      <c r="U47796" s="9"/>
      <c r="X47796" s="9"/>
    </row>
    <row r="47797">
      <c r="D47797" s="9"/>
      <c r="G47797" s="9"/>
      <c r="J47797" s="11"/>
      <c r="U47797" s="9"/>
      <c r="X47797" s="9"/>
    </row>
    <row r="47798">
      <c r="D47798" s="9"/>
      <c r="G47798" s="9"/>
      <c r="J47798" s="11"/>
      <c r="U47798" s="9"/>
      <c r="X47798" s="9"/>
    </row>
    <row r="47799">
      <c r="D47799" s="9"/>
      <c r="G47799" s="9"/>
      <c r="J47799" s="11"/>
      <c r="U47799" s="9"/>
      <c r="X47799" s="9"/>
    </row>
    <row r="47800">
      <c r="D47800" s="9"/>
      <c r="G47800" s="9"/>
      <c r="J47800" s="11"/>
      <c r="U47800" s="9"/>
      <c r="X47800" s="9"/>
    </row>
    <row r="47801">
      <c r="D47801" s="9"/>
      <c r="G47801" s="9"/>
      <c r="J47801" s="11"/>
      <c r="U47801" s="9"/>
      <c r="X47801" s="9"/>
    </row>
    <row r="47802">
      <c r="D47802" s="9"/>
      <c r="G47802" s="9"/>
      <c r="J47802" s="11"/>
      <c r="U47802" s="9"/>
      <c r="X47802" s="9"/>
    </row>
    <row r="47803">
      <c r="D47803" s="9"/>
      <c r="G47803" s="9"/>
      <c r="J47803" s="11"/>
      <c r="U47803" s="9"/>
      <c r="X47803" s="9"/>
    </row>
    <row r="47804">
      <c r="D47804" s="9"/>
      <c r="G47804" s="9"/>
      <c r="J47804" s="11"/>
      <c r="U47804" s="9"/>
      <c r="X47804" s="9"/>
    </row>
    <row r="47805">
      <c r="D47805" s="9"/>
      <c r="G47805" s="9"/>
      <c r="J47805" s="11"/>
      <c r="U47805" s="9"/>
      <c r="X47805" s="9"/>
    </row>
    <row r="47806">
      <c r="D47806" s="9"/>
      <c r="G47806" s="9"/>
      <c r="J47806" s="11"/>
      <c r="U47806" s="9"/>
      <c r="X47806" s="9"/>
    </row>
    <row r="47807">
      <c r="D47807" s="9"/>
      <c r="G47807" s="9"/>
      <c r="J47807" s="11"/>
      <c r="U47807" s="9"/>
      <c r="X47807" s="9"/>
    </row>
    <row r="47808">
      <c r="D47808" s="9"/>
      <c r="G47808" s="9"/>
      <c r="J47808" s="11"/>
      <c r="U47808" s="9"/>
      <c r="X47808" s="9"/>
    </row>
    <row r="47809">
      <c r="D47809" s="9"/>
      <c r="G47809" s="9"/>
      <c r="J47809" s="11"/>
      <c r="U47809" s="9"/>
      <c r="X47809" s="9"/>
    </row>
    <row r="47810">
      <c r="D47810" s="9"/>
      <c r="G47810" s="9"/>
      <c r="J47810" s="11"/>
      <c r="U47810" s="9"/>
      <c r="X47810" s="9"/>
    </row>
    <row r="47811">
      <c r="D47811" s="9"/>
      <c r="G47811" s="9"/>
      <c r="J47811" s="11"/>
      <c r="U47811" s="9"/>
      <c r="X47811" s="9"/>
    </row>
    <row r="47812">
      <c r="D47812" s="9"/>
      <c r="G47812" s="9"/>
      <c r="J47812" s="11"/>
      <c r="U47812" s="9"/>
      <c r="X47812" s="9"/>
    </row>
    <row r="47813">
      <c r="D47813" s="9"/>
      <c r="G47813" s="9"/>
      <c r="J47813" s="11"/>
      <c r="U47813" s="9"/>
      <c r="X47813" s="9"/>
    </row>
    <row r="47814">
      <c r="D47814" s="9"/>
      <c r="G47814" s="9"/>
      <c r="J47814" s="11"/>
      <c r="U47814" s="9"/>
      <c r="X47814" s="9"/>
    </row>
    <row r="47815">
      <c r="D47815" s="9"/>
      <c r="G47815" s="9"/>
      <c r="J47815" s="11"/>
      <c r="U47815" s="9"/>
      <c r="X47815" s="9"/>
    </row>
    <row r="47816">
      <c r="D47816" s="9"/>
      <c r="G47816" s="9"/>
      <c r="J47816" s="11"/>
      <c r="U47816" s="9"/>
      <c r="X47816" s="9"/>
    </row>
    <row r="47817">
      <c r="D47817" s="9"/>
      <c r="G47817" s="9"/>
      <c r="J47817" s="11"/>
      <c r="U47817" s="9"/>
      <c r="X47817" s="9"/>
    </row>
    <row r="47818">
      <c r="D47818" s="9"/>
      <c r="G47818" s="9"/>
      <c r="J47818" s="11"/>
      <c r="U47818" s="9"/>
      <c r="X47818" s="9"/>
    </row>
    <row r="47819">
      <c r="D47819" s="9"/>
      <c r="G47819" s="9"/>
      <c r="J47819" s="11"/>
      <c r="U47819" s="9"/>
      <c r="X47819" s="9"/>
    </row>
    <row r="47820">
      <c r="D47820" s="9"/>
      <c r="G47820" s="9"/>
      <c r="J47820" s="11"/>
      <c r="U47820" s="9"/>
      <c r="X47820" s="9"/>
    </row>
    <row r="47821">
      <c r="D47821" s="9"/>
      <c r="G47821" s="9"/>
      <c r="J47821" s="11"/>
      <c r="U47821" s="9"/>
      <c r="X47821" s="9"/>
    </row>
    <row r="47822">
      <c r="D47822" s="9"/>
      <c r="G47822" s="9"/>
      <c r="J47822" s="11"/>
      <c r="U47822" s="9"/>
      <c r="X47822" s="9"/>
    </row>
    <row r="47823">
      <c r="D47823" s="9"/>
      <c r="G47823" s="9"/>
      <c r="J47823" s="11"/>
      <c r="U47823" s="9"/>
      <c r="X47823" s="9"/>
    </row>
    <row r="47824">
      <c r="D47824" s="9"/>
      <c r="G47824" s="9"/>
      <c r="J47824" s="11"/>
      <c r="U47824" s="9"/>
      <c r="X47824" s="9"/>
    </row>
    <row r="47825">
      <c r="D47825" s="9"/>
      <c r="G47825" s="9"/>
      <c r="J47825" s="11"/>
      <c r="U47825" s="9"/>
      <c r="X47825" s="9"/>
    </row>
    <row r="47826">
      <c r="D47826" s="9"/>
      <c r="G47826" s="9"/>
      <c r="J47826" s="11"/>
      <c r="U47826" s="9"/>
      <c r="X47826" s="9"/>
    </row>
    <row r="47827">
      <c r="D47827" s="9"/>
      <c r="G47827" s="9"/>
      <c r="J47827" s="11"/>
      <c r="U47827" s="9"/>
      <c r="X47827" s="9"/>
    </row>
    <row r="47828">
      <c r="D47828" s="9"/>
      <c r="G47828" s="9"/>
      <c r="J47828" s="11"/>
      <c r="U47828" s="9"/>
      <c r="X47828" s="9"/>
    </row>
    <row r="47829">
      <c r="D47829" s="9"/>
      <c r="G47829" s="9"/>
      <c r="J47829" s="11"/>
      <c r="U47829" s="9"/>
      <c r="X47829" s="9"/>
    </row>
    <row r="47830">
      <c r="D47830" s="9"/>
      <c r="G47830" s="9"/>
      <c r="J47830" s="11"/>
      <c r="U47830" s="9"/>
      <c r="X47830" s="9"/>
    </row>
    <row r="47831">
      <c r="D47831" s="9"/>
      <c r="G47831" s="9"/>
      <c r="J47831" s="11"/>
      <c r="U47831" s="9"/>
      <c r="X47831" s="9"/>
    </row>
    <row r="47832">
      <c r="D47832" s="9"/>
      <c r="G47832" s="9"/>
      <c r="J47832" s="11"/>
      <c r="U47832" s="9"/>
      <c r="X47832" s="9"/>
    </row>
    <row r="47833">
      <c r="D47833" s="9"/>
      <c r="G47833" s="9"/>
      <c r="J47833" s="11"/>
      <c r="U47833" s="9"/>
      <c r="X47833" s="9"/>
    </row>
    <row r="47834">
      <c r="D47834" s="9"/>
      <c r="G47834" s="9"/>
      <c r="J47834" s="11"/>
      <c r="U47834" s="9"/>
      <c r="X47834" s="9"/>
    </row>
    <row r="47835">
      <c r="D47835" s="9"/>
      <c r="G47835" s="9"/>
      <c r="J47835" s="11"/>
      <c r="U47835" s="9"/>
      <c r="X47835" s="9"/>
    </row>
    <row r="47836">
      <c r="D47836" s="9"/>
      <c r="G47836" s="9"/>
      <c r="J47836" s="11"/>
      <c r="U47836" s="9"/>
      <c r="X47836" s="9"/>
    </row>
    <row r="47837">
      <c r="D47837" s="9"/>
      <c r="G47837" s="9"/>
      <c r="J47837" s="11"/>
      <c r="U47837" s="9"/>
      <c r="X47837" s="9"/>
    </row>
    <row r="47838">
      <c r="D47838" s="9"/>
      <c r="G47838" s="9"/>
      <c r="J47838" s="11"/>
      <c r="U47838" s="9"/>
      <c r="X47838" s="9"/>
    </row>
    <row r="47839">
      <c r="D47839" s="9"/>
      <c r="G47839" s="9"/>
      <c r="J47839" s="11"/>
      <c r="U47839" s="9"/>
      <c r="X47839" s="9"/>
    </row>
    <row r="47840">
      <c r="D47840" s="9"/>
      <c r="G47840" s="9"/>
      <c r="J47840" s="11"/>
      <c r="U47840" s="9"/>
      <c r="X47840" s="9"/>
    </row>
    <row r="47841">
      <c r="D47841" s="9"/>
      <c r="G47841" s="9"/>
      <c r="J47841" s="11"/>
      <c r="U47841" s="9"/>
      <c r="X47841" s="9"/>
    </row>
    <row r="47842">
      <c r="D47842" s="9"/>
      <c r="G47842" s="9"/>
      <c r="J47842" s="11"/>
      <c r="U47842" s="9"/>
      <c r="X47842" s="9"/>
    </row>
    <row r="47843">
      <c r="D47843" s="9"/>
      <c r="G47843" s="9"/>
      <c r="J47843" s="11"/>
      <c r="U47843" s="9"/>
      <c r="X47843" s="9"/>
    </row>
    <row r="47844">
      <c r="D47844" s="9"/>
      <c r="G47844" s="9"/>
      <c r="J47844" s="11"/>
      <c r="U47844" s="9"/>
      <c r="X47844" s="9"/>
    </row>
    <row r="47845">
      <c r="D47845" s="9"/>
      <c r="G47845" s="9"/>
      <c r="J47845" s="11"/>
      <c r="U47845" s="9"/>
      <c r="X47845" s="9"/>
    </row>
    <row r="47846">
      <c r="D47846" s="9"/>
      <c r="G47846" s="9"/>
      <c r="J47846" s="11"/>
      <c r="U47846" s="9"/>
      <c r="X47846" s="9"/>
    </row>
    <row r="47847">
      <c r="D47847" s="9"/>
      <c r="G47847" s="9"/>
      <c r="J47847" s="11"/>
      <c r="U47847" s="9"/>
      <c r="X47847" s="9"/>
    </row>
    <row r="47848">
      <c r="D47848" s="9"/>
      <c r="G47848" s="9"/>
      <c r="J47848" s="11"/>
      <c r="U47848" s="9"/>
      <c r="X47848" s="9"/>
    </row>
    <row r="47849">
      <c r="D47849" s="9"/>
      <c r="G47849" s="9"/>
      <c r="J47849" s="11"/>
      <c r="U47849" s="9"/>
      <c r="X47849" s="9"/>
    </row>
    <row r="47850">
      <c r="D47850" s="9"/>
      <c r="G47850" s="9"/>
      <c r="J47850" s="11"/>
      <c r="U47850" s="9"/>
      <c r="X47850" s="9"/>
    </row>
    <row r="47851">
      <c r="D47851" s="9"/>
      <c r="G47851" s="9"/>
      <c r="J47851" s="11"/>
      <c r="U47851" s="9"/>
      <c r="X47851" s="9"/>
    </row>
    <row r="47852">
      <c r="D47852" s="9"/>
      <c r="G47852" s="9"/>
      <c r="J47852" s="11"/>
      <c r="U47852" s="9"/>
      <c r="X47852" s="9"/>
    </row>
    <row r="47853">
      <c r="D47853" s="9"/>
      <c r="G47853" s="9"/>
      <c r="J47853" s="11"/>
      <c r="U47853" s="9"/>
      <c r="X47853" s="9"/>
    </row>
    <row r="47854">
      <c r="D47854" s="9"/>
      <c r="G47854" s="9"/>
      <c r="J47854" s="11"/>
      <c r="U47854" s="9"/>
      <c r="X47854" s="9"/>
    </row>
    <row r="47855">
      <c r="D47855" s="9"/>
      <c r="G47855" s="9"/>
      <c r="J47855" s="11"/>
      <c r="U47855" s="9"/>
      <c r="X47855" s="9"/>
    </row>
    <row r="47856">
      <c r="D47856" s="9"/>
      <c r="G47856" s="9"/>
      <c r="J47856" s="11"/>
      <c r="U47856" s="9"/>
      <c r="X47856" s="9"/>
    </row>
    <row r="47857">
      <c r="D47857" s="9"/>
      <c r="G47857" s="9"/>
      <c r="J47857" s="11"/>
      <c r="U47857" s="9"/>
      <c r="X47857" s="9"/>
    </row>
    <row r="47858">
      <c r="D47858" s="9"/>
      <c r="G47858" s="9"/>
      <c r="J47858" s="11"/>
      <c r="U47858" s="9"/>
      <c r="X47858" s="9"/>
    </row>
    <row r="47859">
      <c r="D47859" s="9"/>
      <c r="G47859" s="9"/>
      <c r="J47859" s="11"/>
      <c r="U47859" s="9"/>
      <c r="X47859" s="9"/>
    </row>
    <row r="47860">
      <c r="D47860" s="9"/>
      <c r="G47860" s="9"/>
      <c r="J47860" s="11"/>
      <c r="U47860" s="9"/>
      <c r="X47860" s="9"/>
    </row>
    <row r="47861">
      <c r="D47861" s="9"/>
      <c r="G47861" s="9"/>
      <c r="J47861" s="11"/>
      <c r="U47861" s="9"/>
      <c r="X47861" s="9"/>
    </row>
    <row r="47862">
      <c r="D47862" s="9"/>
      <c r="G47862" s="9"/>
      <c r="J47862" s="11"/>
      <c r="U47862" s="9"/>
      <c r="X47862" s="9"/>
    </row>
    <row r="47863">
      <c r="D47863" s="9"/>
      <c r="G47863" s="9"/>
      <c r="J47863" s="11"/>
      <c r="U47863" s="9"/>
      <c r="X47863" s="9"/>
    </row>
    <row r="47864">
      <c r="D47864" s="9"/>
      <c r="G47864" s="9"/>
      <c r="J47864" s="11"/>
      <c r="U47864" s="9"/>
      <c r="X47864" s="9"/>
    </row>
    <row r="47865">
      <c r="D47865" s="9"/>
      <c r="G47865" s="9"/>
      <c r="J47865" s="11"/>
      <c r="U47865" s="9"/>
      <c r="X47865" s="9"/>
    </row>
    <row r="47866">
      <c r="D47866" s="9"/>
      <c r="G47866" s="9"/>
      <c r="J47866" s="11"/>
      <c r="U47866" s="9"/>
      <c r="X47866" s="9"/>
    </row>
    <row r="47867">
      <c r="D47867" s="9"/>
      <c r="G47867" s="9"/>
      <c r="J47867" s="11"/>
      <c r="U47867" s="9"/>
      <c r="X47867" s="9"/>
    </row>
    <row r="47868">
      <c r="D47868" s="9"/>
      <c r="G47868" s="9"/>
      <c r="J47868" s="11"/>
      <c r="U47868" s="9"/>
      <c r="X47868" s="9"/>
    </row>
    <row r="47869">
      <c r="D47869" s="9"/>
      <c r="G47869" s="9"/>
      <c r="J47869" s="11"/>
      <c r="U47869" s="9"/>
      <c r="X47869" s="9"/>
    </row>
    <row r="47870">
      <c r="D47870" s="9"/>
      <c r="G47870" s="9"/>
      <c r="J47870" s="11"/>
      <c r="U47870" s="9"/>
      <c r="X47870" s="9"/>
    </row>
    <row r="47871">
      <c r="D47871" s="9"/>
      <c r="G47871" s="9"/>
      <c r="J47871" s="11"/>
      <c r="U47871" s="9"/>
      <c r="X47871" s="9"/>
    </row>
    <row r="47872">
      <c r="D47872" s="9"/>
      <c r="G47872" s="9"/>
      <c r="J47872" s="11"/>
      <c r="U47872" s="9"/>
      <c r="X47872" s="9"/>
    </row>
    <row r="47873">
      <c r="D47873" s="9"/>
      <c r="G47873" s="9"/>
      <c r="J47873" s="11"/>
      <c r="U47873" s="9"/>
      <c r="X47873" s="9"/>
    </row>
    <row r="47874">
      <c r="D47874" s="9"/>
      <c r="G47874" s="9"/>
      <c r="J47874" s="11"/>
      <c r="U47874" s="9"/>
      <c r="X47874" s="9"/>
    </row>
    <row r="47875">
      <c r="D47875" s="9"/>
      <c r="G47875" s="9"/>
      <c r="J47875" s="11"/>
      <c r="U47875" s="9"/>
      <c r="X47875" s="9"/>
    </row>
    <row r="47876">
      <c r="D47876" s="9"/>
      <c r="G47876" s="9"/>
      <c r="J47876" s="11"/>
      <c r="U47876" s="9"/>
      <c r="X47876" s="9"/>
    </row>
    <row r="47877">
      <c r="D47877" s="9"/>
      <c r="G47877" s="9"/>
      <c r="J47877" s="11"/>
      <c r="U47877" s="9"/>
      <c r="X47877" s="9"/>
    </row>
    <row r="47878">
      <c r="D47878" s="9"/>
      <c r="G47878" s="9"/>
      <c r="J47878" s="11"/>
      <c r="U47878" s="9"/>
      <c r="X47878" s="9"/>
    </row>
    <row r="47879">
      <c r="D47879" s="9"/>
      <c r="G47879" s="9"/>
      <c r="J47879" s="11"/>
      <c r="U47879" s="9"/>
      <c r="X47879" s="9"/>
    </row>
    <row r="47880">
      <c r="D47880" s="9"/>
      <c r="G47880" s="9"/>
      <c r="J47880" s="11"/>
      <c r="U47880" s="9"/>
      <c r="X47880" s="9"/>
    </row>
    <row r="47881">
      <c r="D47881" s="9"/>
      <c r="G47881" s="9"/>
      <c r="J47881" s="11"/>
      <c r="U47881" s="9"/>
      <c r="X47881" s="9"/>
    </row>
    <row r="47882">
      <c r="D47882" s="9"/>
      <c r="G47882" s="9"/>
      <c r="J47882" s="11"/>
      <c r="U47882" s="9"/>
      <c r="X47882" s="9"/>
    </row>
    <row r="47883">
      <c r="D47883" s="9"/>
      <c r="G47883" s="9"/>
      <c r="J47883" s="11"/>
      <c r="U47883" s="9"/>
      <c r="X47883" s="9"/>
    </row>
    <row r="47884">
      <c r="D47884" s="9"/>
      <c r="G47884" s="9"/>
      <c r="J47884" s="11"/>
      <c r="U47884" s="9"/>
      <c r="X47884" s="9"/>
    </row>
    <row r="47885">
      <c r="D47885" s="9"/>
      <c r="G47885" s="9"/>
      <c r="J47885" s="11"/>
      <c r="U47885" s="9"/>
      <c r="X47885" s="9"/>
    </row>
    <row r="47886">
      <c r="D47886" s="9"/>
      <c r="G47886" s="9"/>
      <c r="J47886" s="11"/>
      <c r="U47886" s="9"/>
      <c r="X47886" s="9"/>
    </row>
    <row r="47887">
      <c r="D47887" s="9"/>
      <c r="G47887" s="9"/>
      <c r="J47887" s="11"/>
      <c r="U47887" s="9"/>
      <c r="X47887" s="9"/>
    </row>
    <row r="47888">
      <c r="D47888" s="9"/>
      <c r="G47888" s="9"/>
      <c r="J47888" s="11"/>
      <c r="U47888" s="9"/>
      <c r="X47888" s="9"/>
    </row>
    <row r="47889">
      <c r="D47889" s="9"/>
      <c r="G47889" s="9"/>
      <c r="J47889" s="11"/>
      <c r="U47889" s="9"/>
      <c r="X47889" s="9"/>
    </row>
    <row r="47890">
      <c r="D47890" s="9"/>
      <c r="G47890" s="9"/>
      <c r="J47890" s="11"/>
      <c r="U47890" s="9"/>
      <c r="X47890" s="9"/>
    </row>
    <row r="47891">
      <c r="D47891" s="9"/>
      <c r="G47891" s="9"/>
      <c r="J47891" s="11"/>
      <c r="U47891" s="9"/>
      <c r="X47891" s="9"/>
    </row>
    <row r="47892">
      <c r="D47892" s="9"/>
      <c r="G47892" s="9"/>
      <c r="J47892" s="11"/>
      <c r="U47892" s="9"/>
      <c r="X47892" s="9"/>
    </row>
    <row r="47893">
      <c r="D47893" s="9"/>
      <c r="G47893" s="9"/>
      <c r="J47893" s="11"/>
      <c r="U47893" s="9"/>
      <c r="X47893" s="9"/>
    </row>
    <row r="47894">
      <c r="D47894" s="9"/>
      <c r="G47894" s="9"/>
      <c r="J47894" s="11"/>
      <c r="U47894" s="9"/>
      <c r="X47894" s="9"/>
    </row>
    <row r="47895">
      <c r="D47895" s="9"/>
      <c r="G47895" s="9"/>
      <c r="J47895" s="11"/>
      <c r="U47895" s="9"/>
      <c r="X47895" s="9"/>
    </row>
    <row r="47896">
      <c r="D47896" s="9"/>
      <c r="G47896" s="9"/>
      <c r="J47896" s="11"/>
      <c r="U47896" s="9"/>
      <c r="X47896" s="9"/>
    </row>
    <row r="47897">
      <c r="D47897" s="9"/>
      <c r="G47897" s="9"/>
      <c r="J47897" s="11"/>
      <c r="U47897" s="9"/>
      <c r="X47897" s="9"/>
    </row>
    <row r="47898">
      <c r="D47898" s="9"/>
      <c r="G47898" s="9"/>
      <c r="J47898" s="11"/>
      <c r="U47898" s="9"/>
      <c r="X47898" s="9"/>
    </row>
    <row r="47899">
      <c r="D47899" s="9"/>
      <c r="G47899" s="9"/>
      <c r="J47899" s="11"/>
      <c r="U47899" s="9"/>
      <c r="X47899" s="9"/>
    </row>
    <row r="47900">
      <c r="D47900" s="9"/>
      <c r="G47900" s="9"/>
      <c r="J47900" s="11"/>
      <c r="U47900" s="9"/>
      <c r="X47900" s="9"/>
    </row>
    <row r="47901">
      <c r="D47901" s="9"/>
      <c r="G47901" s="9"/>
      <c r="J47901" s="11"/>
      <c r="U47901" s="9"/>
      <c r="X47901" s="9"/>
    </row>
    <row r="47902">
      <c r="D47902" s="9"/>
      <c r="G47902" s="9"/>
      <c r="J47902" s="11"/>
      <c r="U47902" s="9"/>
      <c r="X47902" s="9"/>
    </row>
    <row r="47903">
      <c r="D47903" s="9"/>
      <c r="G47903" s="9"/>
      <c r="J47903" s="11"/>
      <c r="U47903" s="9"/>
      <c r="X47903" s="9"/>
    </row>
    <row r="47904">
      <c r="D47904" s="9"/>
      <c r="G47904" s="9"/>
      <c r="J47904" s="11"/>
      <c r="U47904" s="9"/>
      <c r="X47904" s="9"/>
    </row>
    <row r="47905">
      <c r="D47905" s="9"/>
      <c r="G47905" s="9"/>
      <c r="J47905" s="11"/>
      <c r="U47905" s="9"/>
      <c r="X47905" s="9"/>
    </row>
    <row r="47906">
      <c r="D47906" s="9"/>
      <c r="G47906" s="9"/>
      <c r="J47906" s="11"/>
      <c r="U47906" s="9"/>
      <c r="X47906" s="9"/>
    </row>
    <row r="47907">
      <c r="D47907" s="9"/>
      <c r="G47907" s="9"/>
      <c r="J47907" s="11"/>
      <c r="U47907" s="9"/>
      <c r="X47907" s="9"/>
    </row>
    <row r="47908">
      <c r="D47908" s="9"/>
      <c r="G47908" s="9"/>
      <c r="J47908" s="11"/>
      <c r="U47908" s="9"/>
      <c r="X47908" s="9"/>
    </row>
    <row r="47909">
      <c r="D47909" s="9"/>
      <c r="G47909" s="9"/>
      <c r="J47909" s="11"/>
      <c r="U47909" s="9"/>
      <c r="X47909" s="9"/>
    </row>
    <row r="47910">
      <c r="D47910" s="9"/>
      <c r="G47910" s="9"/>
      <c r="J47910" s="11"/>
      <c r="U47910" s="9"/>
      <c r="X47910" s="9"/>
    </row>
    <row r="47911">
      <c r="D47911" s="9"/>
      <c r="G47911" s="9"/>
      <c r="J47911" s="11"/>
      <c r="U47911" s="9"/>
      <c r="X47911" s="9"/>
    </row>
    <row r="47912">
      <c r="D47912" s="9"/>
      <c r="G47912" s="9"/>
      <c r="J47912" s="11"/>
      <c r="U47912" s="9"/>
      <c r="X47912" s="9"/>
    </row>
    <row r="47913">
      <c r="D47913" s="9"/>
      <c r="G47913" s="9"/>
      <c r="J47913" s="11"/>
      <c r="U47913" s="9"/>
      <c r="X47913" s="9"/>
    </row>
    <row r="47914">
      <c r="D47914" s="9"/>
      <c r="G47914" s="9"/>
      <c r="J47914" s="11"/>
      <c r="U47914" s="9"/>
      <c r="X47914" s="9"/>
    </row>
    <row r="47915">
      <c r="D47915" s="9"/>
      <c r="G47915" s="9"/>
      <c r="J47915" s="11"/>
      <c r="U47915" s="9"/>
      <c r="X47915" s="9"/>
    </row>
    <row r="47916">
      <c r="D47916" s="9"/>
      <c r="G47916" s="9"/>
      <c r="J47916" s="11"/>
      <c r="U47916" s="9"/>
      <c r="X47916" s="9"/>
    </row>
    <row r="47917">
      <c r="D47917" s="9"/>
      <c r="G47917" s="9"/>
      <c r="J47917" s="11"/>
      <c r="U47917" s="9"/>
      <c r="X47917" s="9"/>
    </row>
    <row r="47918">
      <c r="D47918" s="9"/>
      <c r="G47918" s="9"/>
      <c r="J47918" s="11"/>
      <c r="U47918" s="9"/>
      <c r="X47918" s="9"/>
    </row>
    <row r="47919">
      <c r="D47919" s="9"/>
      <c r="G47919" s="9"/>
      <c r="J47919" s="11"/>
      <c r="U47919" s="9"/>
      <c r="X47919" s="9"/>
    </row>
    <row r="47920">
      <c r="D47920" s="9"/>
      <c r="G47920" s="9"/>
      <c r="J47920" s="11"/>
      <c r="U47920" s="9"/>
      <c r="X47920" s="9"/>
    </row>
    <row r="47921">
      <c r="D47921" s="9"/>
      <c r="G47921" s="9"/>
      <c r="J47921" s="11"/>
      <c r="U47921" s="9"/>
      <c r="X47921" s="9"/>
    </row>
    <row r="47922">
      <c r="D47922" s="9"/>
      <c r="G47922" s="9"/>
      <c r="J47922" s="11"/>
      <c r="U47922" s="9"/>
      <c r="X47922" s="9"/>
    </row>
    <row r="47923">
      <c r="D47923" s="9"/>
      <c r="G47923" s="9"/>
      <c r="J47923" s="11"/>
      <c r="U47923" s="9"/>
      <c r="X47923" s="9"/>
    </row>
    <row r="47924">
      <c r="D47924" s="9"/>
      <c r="G47924" s="9"/>
      <c r="J47924" s="11"/>
      <c r="U47924" s="9"/>
      <c r="X47924" s="9"/>
    </row>
    <row r="47925">
      <c r="D47925" s="9"/>
      <c r="G47925" s="9"/>
      <c r="J47925" s="11"/>
      <c r="U47925" s="9"/>
      <c r="X47925" s="9"/>
    </row>
    <row r="47926">
      <c r="D47926" s="9"/>
      <c r="G47926" s="9"/>
      <c r="J47926" s="11"/>
      <c r="U47926" s="9"/>
      <c r="X47926" s="9"/>
    </row>
    <row r="47927">
      <c r="D47927" s="9"/>
      <c r="G47927" s="9"/>
      <c r="J47927" s="11"/>
      <c r="U47927" s="9"/>
      <c r="X47927" s="9"/>
    </row>
    <row r="47928">
      <c r="D47928" s="9"/>
      <c r="G47928" s="9"/>
      <c r="J47928" s="11"/>
      <c r="U47928" s="9"/>
      <c r="X47928" s="9"/>
    </row>
    <row r="47929">
      <c r="D47929" s="9"/>
      <c r="G47929" s="9"/>
      <c r="J47929" s="11"/>
      <c r="U47929" s="9"/>
      <c r="X47929" s="9"/>
    </row>
    <row r="47930">
      <c r="D47930" s="9"/>
      <c r="G47930" s="9"/>
      <c r="J47930" s="11"/>
      <c r="U47930" s="9"/>
      <c r="X47930" s="9"/>
    </row>
    <row r="47931">
      <c r="D47931" s="9"/>
      <c r="G47931" s="9"/>
      <c r="J47931" s="11"/>
      <c r="U47931" s="9"/>
      <c r="X47931" s="9"/>
    </row>
    <row r="47932">
      <c r="D47932" s="9"/>
      <c r="G47932" s="9"/>
      <c r="J47932" s="11"/>
      <c r="U47932" s="9"/>
      <c r="X47932" s="9"/>
    </row>
    <row r="47933">
      <c r="D47933" s="9"/>
      <c r="G47933" s="9"/>
      <c r="J47933" s="11"/>
      <c r="U47933" s="9"/>
      <c r="X47933" s="9"/>
    </row>
    <row r="47934">
      <c r="D47934" s="9"/>
      <c r="G47934" s="9"/>
      <c r="J47934" s="11"/>
      <c r="U47934" s="9"/>
      <c r="X47934" s="9"/>
    </row>
    <row r="47935">
      <c r="D47935" s="9"/>
      <c r="G47935" s="9"/>
      <c r="J47935" s="11"/>
      <c r="U47935" s="9"/>
      <c r="X47935" s="9"/>
    </row>
    <row r="47936">
      <c r="D47936" s="9"/>
      <c r="G47936" s="9"/>
      <c r="J47936" s="11"/>
      <c r="U47936" s="9"/>
      <c r="X47936" s="9"/>
    </row>
    <row r="47937">
      <c r="D47937" s="9"/>
      <c r="G47937" s="9"/>
      <c r="J47937" s="11"/>
      <c r="U47937" s="9"/>
      <c r="X47937" s="9"/>
    </row>
    <row r="47938">
      <c r="D47938" s="9"/>
      <c r="G47938" s="9"/>
      <c r="J47938" s="11"/>
      <c r="U47938" s="9"/>
      <c r="X47938" s="9"/>
    </row>
    <row r="47939">
      <c r="D47939" s="9"/>
      <c r="G47939" s="9"/>
      <c r="J47939" s="11"/>
      <c r="U47939" s="9"/>
      <c r="X47939" s="9"/>
    </row>
    <row r="47940">
      <c r="D47940" s="9"/>
      <c r="G47940" s="9"/>
      <c r="J47940" s="11"/>
      <c r="U47940" s="9"/>
      <c r="X47940" s="9"/>
    </row>
    <row r="47941">
      <c r="D47941" s="9"/>
      <c r="G47941" s="9"/>
      <c r="J47941" s="11"/>
      <c r="U47941" s="9"/>
      <c r="X47941" s="9"/>
    </row>
    <row r="47942">
      <c r="D47942" s="9"/>
      <c r="G47942" s="9"/>
      <c r="J47942" s="11"/>
      <c r="U47942" s="9"/>
      <c r="X47942" s="9"/>
    </row>
    <row r="47943">
      <c r="D47943" s="9"/>
      <c r="G47943" s="9"/>
      <c r="J47943" s="11"/>
      <c r="U47943" s="9"/>
      <c r="X47943" s="9"/>
    </row>
    <row r="47944">
      <c r="D47944" s="9"/>
      <c r="G47944" s="9"/>
      <c r="J47944" s="11"/>
      <c r="U47944" s="9"/>
      <c r="X47944" s="9"/>
    </row>
    <row r="47945">
      <c r="D47945" s="9"/>
      <c r="G47945" s="9"/>
      <c r="J47945" s="11"/>
      <c r="U47945" s="9"/>
      <c r="X47945" s="9"/>
    </row>
    <row r="47946">
      <c r="D47946" s="9"/>
      <c r="G47946" s="9"/>
      <c r="J47946" s="11"/>
      <c r="U47946" s="9"/>
      <c r="X47946" s="9"/>
    </row>
    <row r="47947">
      <c r="D47947" s="9"/>
      <c r="G47947" s="9"/>
      <c r="J47947" s="11"/>
      <c r="U47947" s="9"/>
      <c r="X47947" s="9"/>
    </row>
    <row r="47948">
      <c r="D47948" s="9"/>
      <c r="G47948" s="9"/>
      <c r="J47948" s="11"/>
      <c r="U47948" s="9"/>
      <c r="X47948" s="9"/>
    </row>
    <row r="47949">
      <c r="D47949" s="9"/>
      <c r="G47949" s="9"/>
      <c r="J47949" s="11"/>
      <c r="U47949" s="9"/>
      <c r="X47949" s="9"/>
    </row>
    <row r="47950">
      <c r="D47950" s="9"/>
      <c r="G47950" s="9"/>
      <c r="J47950" s="11"/>
      <c r="U47950" s="9"/>
      <c r="X47950" s="9"/>
    </row>
    <row r="47951">
      <c r="D47951" s="9"/>
      <c r="G47951" s="9"/>
      <c r="J47951" s="11"/>
      <c r="U47951" s="9"/>
      <c r="X47951" s="9"/>
    </row>
    <row r="47952">
      <c r="D47952" s="9"/>
      <c r="G47952" s="9"/>
      <c r="J47952" s="11"/>
      <c r="U47952" s="9"/>
      <c r="X47952" s="9"/>
    </row>
    <row r="47953">
      <c r="D47953" s="9"/>
      <c r="G47953" s="9"/>
      <c r="J47953" s="11"/>
      <c r="U47953" s="9"/>
      <c r="X47953" s="9"/>
    </row>
    <row r="47954">
      <c r="D47954" s="9"/>
      <c r="G47954" s="9"/>
      <c r="J47954" s="11"/>
      <c r="U47954" s="9"/>
      <c r="X47954" s="9"/>
    </row>
    <row r="47955">
      <c r="D47955" s="9"/>
      <c r="G47955" s="9"/>
      <c r="J47955" s="11"/>
      <c r="U47955" s="9"/>
      <c r="X47955" s="9"/>
    </row>
    <row r="47956">
      <c r="D47956" s="9"/>
      <c r="G47956" s="9"/>
      <c r="J47956" s="11"/>
      <c r="U47956" s="9"/>
      <c r="X47956" s="9"/>
    </row>
    <row r="47957">
      <c r="D47957" s="9"/>
      <c r="G47957" s="9"/>
      <c r="J47957" s="11"/>
      <c r="U47957" s="9"/>
      <c r="X47957" s="9"/>
    </row>
    <row r="47958">
      <c r="D47958" s="9"/>
      <c r="G47958" s="9"/>
      <c r="J47958" s="11"/>
      <c r="U47958" s="9"/>
      <c r="X47958" s="9"/>
    </row>
    <row r="47959">
      <c r="D47959" s="9"/>
      <c r="G47959" s="9"/>
      <c r="J47959" s="11"/>
      <c r="U47959" s="9"/>
      <c r="X47959" s="9"/>
    </row>
    <row r="47960">
      <c r="D47960" s="9"/>
      <c r="G47960" s="9"/>
      <c r="J47960" s="11"/>
      <c r="U47960" s="9"/>
      <c r="X47960" s="9"/>
    </row>
    <row r="47961">
      <c r="D47961" s="9"/>
      <c r="G47961" s="9"/>
      <c r="J47961" s="11"/>
      <c r="U47961" s="9"/>
      <c r="X47961" s="9"/>
    </row>
    <row r="47962">
      <c r="D47962" s="9"/>
      <c r="G47962" s="9"/>
      <c r="J47962" s="11"/>
      <c r="U47962" s="9"/>
      <c r="X47962" s="9"/>
    </row>
    <row r="47963">
      <c r="D47963" s="9"/>
      <c r="G47963" s="9"/>
      <c r="J47963" s="11"/>
      <c r="U47963" s="9"/>
      <c r="X47963" s="9"/>
    </row>
    <row r="47964">
      <c r="D47964" s="9"/>
      <c r="G47964" s="9"/>
      <c r="J47964" s="11"/>
      <c r="U47964" s="9"/>
      <c r="X47964" s="9"/>
    </row>
    <row r="47965">
      <c r="D47965" s="9"/>
      <c r="G47965" s="9"/>
      <c r="J47965" s="11"/>
      <c r="U47965" s="9"/>
      <c r="X47965" s="9"/>
    </row>
    <row r="47966">
      <c r="D47966" s="9"/>
      <c r="G47966" s="9"/>
      <c r="J47966" s="11"/>
      <c r="U47966" s="9"/>
      <c r="X47966" s="9"/>
    </row>
    <row r="47967">
      <c r="D47967" s="9"/>
      <c r="G47967" s="9"/>
      <c r="J47967" s="11"/>
      <c r="U47967" s="9"/>
      <c r="X47967" s="9"/>
    </row>
    <row r="47968">
      <c r="D47968" s="9"/>
      <c r="G47968" s="9"/>
      <c r="J47968" s="11"/>
      <c r="U47968" s="9"/>
      <c r="X47968" s="9"/>
    </row>
    <row r="47969">
      <c r="D47969" s="9"/>
      <c r="G47969" s="9"/>
      <c r="J47969" s="11"/>
      <c r="U47969" s="9"/>
      <c r="X47969" s="9"/>
    </row>
    <row r="47970">
      <c r="D47970" s="9"/>
      <c r="G47970" s="9"/>
      <c r="J47970" s="11"/>
      <c r="U47970" s="9"/>
      <c r="X47970" s="9"/>
    </row>
    <row r="47971">
      <c r="D47971" s="9"/>
      <c r="G47971" s="9"/>
      <c r="J47971" s="11"/>
      <c r="U47971" s="9"/>
      <c r="X47971" s="9"/>
    </row>
    <row r="47972">
      <c r="D47972" s="9"/>
      <c r="G47972" s="9"/>
      <c r="J47972" s="11"/>
      <c r="U47972" s="9"/>
      <c r="X47972" s="9"/>
    </row>
    <row r="47973">
      <c r="D47973" s="9"/>
      <c r="G47973" s="9"/>
      <c r="J47973" s="11"/>
      <c r="U47973" s="9"/>
      <c r="X47973" s="9"/>
    </row>
    <row r="47974">
      <c r="D47974" s="9"/>
      <c r="G47974" s="9"/>
      <c r="J47974" s="11"/>
      <c r="U47974" s="9"/>
      <c r="X47974" s="9"/>
    </row>
    <row r="47975">
      <c r="D47975" s="9"/>
      <c r="G47975" s="9"/>
      <c r="J47975" s="11"/>
      <c r="U47975" s="9"/>
      <c r="X47975" s="9"/>
    </row>
    <row r="47976">
      <c r="D47976" s="9"/>
      <c r="G47976" s="9"/>
      <c r="J47976" s="11"/>
      <c r="U47976" s="9"/>
      <c r="X47976" s="9"/>
    </row>
    <row r="47977">
      <c r="D47977" s="9"/>
      <c r="G47977" s="9"/>
      <c r="J47977" s="11"/>
      <c r="U47977" s="9"/>
      <c r="X47977" s="9"/>
    </row>
    <row r="47978">
      <c r="D47978" s="9"/>
      <c r="G47978" s="9"/>
      <c r="J47978" s="11"/>
      <c r="U47978" s="9"/>
      <c r="X47978" s="9"/>
    </row>
    <row r="47979">
      <c r="D47979" s="9"/>
      <c r="G47979" s="9"/>
      <c r="J47979" s="11"/>
      <c r="U47979" s="9"/>
      <c r="X47979" s="9"/>
    </row>
    <row r="47980">
      <c r="D47980" s="9"/>
      <c r="G47980" s="9"/>
      <c r="J47980" s="11"/>
      <c r="U47980" s="9"/>
      <c r="X47980" s="9"/>
    </row>
    <row r="47981">
      <c r="D47981" s="9"/>
      <c r="G47981" s="9"/>
      <c r="J47981" s="11"/>
      <c r="U47981" s="9"/>
      <c r="X47981" s="9"/>
    </row>
    <row r="47982">
      <c r="D47982" s="9"/>
      <c r="G47982" s="9"/>
      <c r="J47982" s="11"/>
      <c r="U47982" s="9"/>
      <c r="X47982" s="9"/>
    </row>
    <row r="47983">
      <c r="D47983" s="9"/>
      <c r="G47983" s="9"/>
      <c r="J47983" s="11"/>
      <c r="U47983" s="9"/>
      <c r="X47983" s="9"/>
    </row>
    <row r="47984">
      <c r="D47984" s="9"/>
      <c r="G47984" s="9"/>
      <c r="J47984" s="11"/>
      <c r="U47984" s="9"/>
      <c r="X47984" s="9"/>
    </row>
    <row r="47985">
      <c r="D47985" s="9"/>
      <c r="G47985" s="9"/>
      <c r="J47985" s="11"/>
      <c r="U47985" s="9"/>
      <c r="X47985" s="9"/>
    </row>
    <row r="47986">
      <c r="D47986" s="9"/>
      <c r="G47986" s="9"/>
      <c r="J47986" s="11"/>
      <c r="U47986" s="9"/>
      <c r="X47986" s="9"/>
    </row>
    <row r="47987">
      <c r="D47987" s="9"/>
      <c r="G47987" s="9"/>
      <c r="J47987" s="11"/>
      <c r="U47987" s="9"/>
      <c r="X47987" s="9"/>
    </row>
    <row r="47988">
      <c r="D47988" s="9"/>
      <c r="G47988" s="9"/>
      <c r="J47988" s="11"/>
      <c r="U47988" s="9"/>
      <c r="X47988" s="9"/>
    </row>
    <row r="47989">
      <c r="D47989" s="9"/>
      <c r="G47989" s="9"/>
      <c r="J47989" s="11"/>
      <c r="U47989" s="9"/>
      <c r="X47989" s="9"/>
    </row>
    <row r="47990">
      <c r="D47990" s="9"/>
      <c r="G47990" s="9"/>
      <c r="J47990" s="11"/>
      <c r="U47990" s="9"/>
      <c r="X47990" s="9"/>
    </row>
    <row r="47991">
      <c r="D47991" s="9"/>
      <c r="G47991" s="9"/>
      <c r="J47991" s="11"/>
      <c r="U47991" s="9"/>
      <c r="X47991" s="9"/>
    </row>
    <row r="47992">
      <c r="D47992" s="9"/>
      <c r="G47992" s="9"/>
      <c r="J47992" s="11"/>
      <c r="U47992" s="9"/>
      <c r="X47992" s="9"/>
    </row>
    <row r="47993">
      <c r="D47993" s="9"/>
      <c r="G47993" s="9"/>
      <c r="J47993" s="11"/>
      <c r="U47993" s="9"/>
      <c r="X47993" s="9"/>
    </row>
    <row r="47994">
      <c r="D47994" s="9"/>
      <c r="G47994" s="9"/>
      <c r="J47994" s="11"/>
      <c r="U47994" s="9"/>
      <c r="X47994" s="9"/>
    </row>
    <row r="47995">
      <c r="D47995" s="9"/>
      <c r="G47995" s="9"/>
      <c r="J47995" s="11"/>
      <c r="U47995" s="9"/>
      <c r="X47995" s="9"/>
    </row>
    <row r="47996">
      <c r="D47996" s="9"/>
      <c r="G47996" s="9"/>
      <c r="J47996" s="11"/>
      <c r="U47996" s="9"/>
      <c r="X47996" s="9"/>
    </row>
    <row r="47997">
      <c r="D47997" s="9"/>
      <c r="G47997" s="9"/>
      <c r="J47997" s="11"/>
      <c r="U47997" s="9"/>
      <c r="X47997" s="9"/>
    </row>
    <row r="47998">
      <c r="D47998" s="9"/>
      <c r="G47998" s="9"/>
      <c r="J47998" s="11"/>
      <c r="U47998" s="9"/>
      <c r="X47998" s="9"/>
    </row>
    <row r="47999">
      <c r="D47999" s="9"/>
      <c r="G47999" s="9"/>
      <c r="J47999" s="11"/>
      <c r="U47999" s="9"/>
      <c r="X47999" s="9"/>
    </row>
    <row r="48000">
      <c r="D48000" s="9"/>
      <c r="G48000" s="9"/>
      <c r="J48000" s="11"/>
      <c r="U48000" s="9"/>
      <c r="X48000" s="9"/>
    </row>
    <row r="48001">
      <c r="D48001" s="9"/>
      <c r="G48001" s="9"/>
      <c r="J48001" s="11"/>
      <c r="U48001" s="9"/>
      <c r="X48001" s="9"/>
    </row>
    <row r="48002">
      <c r="D48002" s="9"/>
      <c r="G48002" s="9"/>
      <c r="J48002" s="11"/>
      <c r="U48002" s="9"/>
      <c r="X48002" s="9"/>
    </row>
    <row r="48003">
      <c r="D48003" s="9"/>
      <c r="G48003" s="9"/>
      <c r="J48003" s="11"/>
      <c r="U48003" s="9"/>
      <c r="X48003" s="9"/>
    </row>
    <row r="48004">
      <c r="D48004" s="9"/>
      <c r="G48004" s="9"/>
      <c r="J48004" s="11"/>
      <c r="U48004" s="9"/>
      <c r="X48004" s="9"/>
    </row>
    <row r="48005">
      <c r="D48005" s="9"/>
      <c r="G48005" s="9"/>
      <c r="J48005" s="11"/>
      <c r="U48005" s="9"/>
      <c r="X48005" s="9"/>
    </row>
    <row r="48006">
      <c r="D48006" s="9"/>
      <c r="G48006" s="9"/>
      <c r="J48006" s="11"/>
      <c r="U48006" s="9"/>
      <c r="X48006" s="9"/>
    </row>
    <row r="48007">
      <c r="D48007" s="9"/>
      <c r="G48007" s="9"/>
      <c r="J48007" s="11"/>
      <c r="U48007" s="9"/>
      <c r="X48007" s="9"/>
    </row>
    <row r="48008">
      <c r="D48008" s="9"/>
      <c r="G48008" s="9"/>
      <c r="J48008" s="11"/>
      <c r="U48008" s="9"/>
      <c r="X48008" s="9"/>
    </row>
    <row r="48009">
      <c r="D48009" s="9"/>
      <c r="G48009" s="9"/>
      <c r="J48009" s="11"/>
      <c r="U48009" s="9"/>
      <c r="X48009" s="9"/>
    </row>
    <row r="48010">
      <c r="D48010" s="9"/>
      <c r="G48010" s="9"/>
      <c r="J48010" s="11"/>
      <c r="U48010" s="9"/>
      <c r="X48010" s="9"/>
    </row>
    <row r="48011">
      <c r="D48011" s="9"/>
      <c r="G48011" s="9"/>
      <c r="J48011" s="11"/>
      <c r="U48011" s="9"/>
      <c r="X48011" s="9"/>
    </row>
    <row r="48012">
      <c r="D48012" s="9"/>
      <c r="G48012" s="9"/>
      <c r="J48012" s="11"/>
      <c r="U48012" s="9"/>
      <c r="X48012" s="9"/>
    </row>
    <row r="48013">
      <c r="D48013" s="9"/>
      <c r="G48013" s="9"/>
      <c r="J48013" s="11"/>
      <c r="U48013" s="9"/>
      <c r="X48013" s="9"/>
    </row>
    <row r="48014">
      <c r="D48014" s="9"/>
      <c r="G48014" s="9"/>
      <c r="J48014" s="11"/>
      <c r="U48014" s="9"/>
      <c r="X48014" s="9"/>
    </row>
    <row r="48015">
      <c r="D48015" s="9"/>
      <c r="G48015" s="9"/>
      <c r="J48015" s="11"/>
      <c r="U48015" s="9"/>
      <c r="X48015" s="9"/>
    </row>
    <row r="48016">
      <c r="D48016" s="9"/>
      <c r="G48016" s="9"/>
      <c r="J48016" s="11"/>
      <c r="U48016" s="9"/>
      <c r="X48016" s="9"/>
    </row>
    <row r="48017">
      <c r="D48017" s="9"/>
      <c r="G48017" s="9"/>
      <c r="J48017" s="11"/>
      <c r="U48017" s="9"/>
      <c r="X48017" s="9"/>
    </row>
    <row r="48018">
      <c r="D48018" s="9"/>
      <c r="G48018" s="9"/>
      <c r="J48018" s="11"/>
      <c r="U48018" s="9"/>
      <c r="X48018" s="9"/>
    </row>
    <row r="48019">
      <c r="D48019" s="9"/>
      <c r="G48019" s="9"/>
      <c r="J48019" s="11"/>
      <c r="U48019" s="9"/>
      <c r="X48019" s="9"/>
    </row>
    <row r="48020">
      <c r="D48020" s="9"/>
      <c r="G48020" s="9"/>
      <c r="J48020" s="11"/>
      <c r="U48020" s="9"/>
      <c r="X48020" s="9"/>
    </row>
    <row r="48021">
      <c r="D48021" s="9"/>
      <c r="G48021" s="9"/>
      <c r="J48021" s="11"/>
      <c r="U48021" s="9"/>
      <c r="X48021" s="9"/>
    </row>
    <row r="48022">
      <c r="D48022" s="9"/>
      <c r="G48022" s="9"/>
      <c r="J48022" s="11"/>
      <c r="U48022" s="9"/>
      <c r="X48022" s="9"/>
    </row>
    <row r="48023">
      <c r="D48023" s="9"/>
      <c r="G48023" s="9"/>
      <c r="J48023" s="11"/>
      <c r="U48023" s="9"/>
      <c r="X48023" s="9"/>
    </row>
    <row r="48024">
      <c r="D48024" s="9"/>
      <c r="G48024" s="9"/>
      <c r="J48024" s="11"/>
      <c r="U48024" s="9"/>
      <c r="X48024" s="9"/>
    </row>
    <row r="48025">
      <c r="D48025" s="9"/>
      <c r="G48025" s="9"/>
      <c r="J48025" s="11"/>
      <c r="U48025" s="9"/>
      <c r="X48025" s="9"/>
    </row>
    <row r="48026">
      <c r="D48026" s="9"/>
      <c r="G48026" s="9"/>
      <c r="J48026" s="11"/>
      <c r="U48026" s="9"/>
      <c r="X48026" s="9"/>
    </row>
    <row r="48027">
      <c r="D48027" s="9"/>
      <c r="G48027" s="9"/>
      <c r="J48027" s="11"/>
      <c r="U48027" s="9"/>
      <c r="X48027" s="9"/>
    </row>
    <row r="48028">
      <c r="D48028" s="9"/>
      <c r="G48028" s="9"/>
      <c r="J48028" s="11"/>
      <c r="U48028" s="9"/>
      <c r="X48028" s="9"/>
    </row>
    <row r="48029">
      <c r="D48029" s="9"/>
      <c r="G48029" s="9"/>
      <c r="J48029" s="11"/>
      <c r="U48029" s="9"/>
      <c r="X48029" s="9"/>
    </row>
    <row r="48030">
      <c r="D48030" s="9"/>
      <c r="G48030" s="9"/>
      <c r="J48030" s="11"/>
      <c r="U48030" s="9"/>
      <c r="X48030" s="9"/>
    </row>
    <row r="48031">
      <c r="D48031" s="9"/>
      <c r="G48031" s="9"/>
      <c r="J48031" s="11"/>
      <c r="U48031" s="9"/>
      <c r="X48031" s="9"/>
    </row>
    <row r="48032">
      <c r="D48032" s="9"/>
      <c r="G48032" s="9"/>
      <c r="J48032" s="11"/>
      <c r="U48032" s="9"/>
      <c r="X48032" s="9"/>
    </row>
    <row r="48033">
      <c r="D48033" s="9"/>
      <c r="G48033" s="9"/>
      <c r="J48033" s="11"/>
      <c r="U48033" s="9"/>
      <c r="X48033" s="9"/>
    </row>
    <row r="48034">
      <c r="D48034" s="9"/>
      <c r="G48034" s="9"/>
      <c r="J48034" s="11"/>
      <c r="U48034" s="9"/>
      <c r="X48034" s="9"/>
    </row>
    <row r="48035">
      <c r="D48035" s="9"/>
      <c r="G48035" s="9"/>
      <c r="J48035" s="11"/>
      <c r="U48035" s="9"/>
      <c r="X48035" s="9"/>
    </row>
    <row r="48036">
      <c r="D48036" s="9"/>
      <c r="G48036" s="9"/>
      <c r="J48036" s="11"/>
      <c r="U48036" s="9"/>
      <c r="X48036" s="9"/>
    </row>
    <row r="48037">
      <c r="D48037" s="9"/>
      <c r="G48037" s="9"/>
      <c r="J48037" s="11"/>
      <c r="U48037" s="9"/>
      <c r="X48037" s="9"/>
    </row>
    <row r="48038">
      <c r="D48038" s="9"/>
      <c r="G48038" s="9"/>
      <c r="J48038" s="11"/>
      <c r="U48038" s="9"/>
      <c r="X48038" s="9"/>
    </row>
    <row r="48039">
      <c r="D48039" s="9"/>
      <c r="G48039" s="9"/>
      <c r="J48039" s="11"/>
      <c r="U48039" s="9"/>
      <c r="X48039" s="9"/>
    </row>
    <row r="48040">
      <c r="D48040" s="9"/>
      <c r="G48040" s="9"/>
      <c r="J48040" s="11"/>
      <c r="U48040" s="9"/>
      <c r="X48040" s="9"/>
    </row>
    <row r="48041">
      <c r="D48041" s="9"/>
      <c r="G48041" s="9"/>
      <c r="J48041" s="11"/>
      <c r="U48041" s="9"/>
      <c r="X48041" s="9"/>
    </row>
    <row r="48042">
      <c r="D48042" s="9"/>
      <c r="G48042" s="9"/>
      <c r="J48042" s="11"/>
      <c r="U48042" s="9"/>
      <c r="X48042" s="9"/>
    </row>
    <row r="48043">
      <c r="D48043" s="9"/>
      <c r="G48043" s="9"/>
      <c r="J48043" s="11"/>
      <c r="U48043" s="9"/>
      <c r="X48043" s="9"/>
    </row>
    <row r="48044">
      <c r="D48044" s="9"/>
      <c r="G48044" s="9"/>
      <c r="J48044" s="11"/>
      <c r="U48044" s="9"/>
      <c r="X48044" s="9"/>
    </row>
    <row r="48045">
      <c r="D48045" s="9"/>
      <c r="G48045" s="9"/>
      <c r="J48045" s="11"/>
      <c r="U48045" s="9"/>
      <c r="X48045" s="9"/>
    </row>
    <row r="48046">
      <c r="D48046" s="9"/>
      <c r="G48046" s="9"/>
      <c r="J48046" s="11"/>
      <c r="U48046" s="9"/>
      <c r="X48046" s="9"/>
    </row>
    <row r="48047">
      <c r="D48047" s="9"/>
      <c r="G48047" s="9"/>
      <c r="J48047" s="11"/>
      <c r="U48047" s="9"/>
      <c r="X48047" s="9"/>
    </row>
    <row r="48048">
      <c r="D48048" s="9"/>
      <c r="G48048" s="9"/>
      <c r="J48048" s="11"/>
      <c r="U48048" s="9"/>
      <c r="X48048" s="9"/>
    </row>
    <row r="48049">
      <c r="D48049" s="9"/>
      <c r="G48049" s="9"/>
      <c r="J48049" s="11"/>
      <c r="U48049" s="9"/>
      <c r="X48049" s="9"/>
    </row>
    <row r="48050">
      <c r="D48050" s="9"/>
      <c r="G48050" s="9"/>
      <c r="J48050" s="11"/>
      <c r="U48050" s="9"/>
      <c r="X48050" s="9"/>
    </row>
    <row r="48051">
      <c r="D48051" s="9"/>
      <c r="G48051" s="9"/>
      <c r="J48051" s="11"/>
      <c r="U48051" s="9"/>
      <c r="X48051" s="9"/>
    </row>
    <row r="48052">
      <c r="D48052" s="9"/>
      <c r="G48052" s="9"/>
      <c r="J48052" s="11"/>
      <c r="U48052" s="9"/>
      <c r="X48052" s="9"/>
    </row>
    <row r="48053">
      <c r="D48053" s="9"/>
      <c r="G48053" s="9"/>
      <c r="J48053" s="11"/>
      <c r="U48053" s="9"/>
      <c r="X48053" s="9"/>
    </row>
    <row r="48054">
      <c r="D48054" s="9"/>
      <c r="G48054" s="9"/>
      <c r="J48054" s="11"/>
      <c r="U48054" s="9"/>
      <c r="X48054" s="9"/>
    </row>
    <row r="48055">
      <c r="D48055" s="9"/>
      <c r="G48055" s="9"/>
      <c r="J48055" s="11"/>
      <c r="U48055" s="9"/>
      <c r="X48055" s="9"/>
    </row>
    <row r="48056">
      <c r="D48056" s="9"/>
      <c r="G48056" s="9"/>
      <c r="J48056" s="11"/>
      <c r="U48056" s="9"/>
      <c r="X48056" s="9"/>
    </row>
    <row r="48057">
      <c r="D48057" s="9"/>
      <c r="G48057" s="9"/>
      <c r="J48057" s="11"/>
      <c r="U48057" s="9"/>
      <c r="X48057" s="9"/>
    </row>
    <row r="48058">
      <c r="D48058" s="9"/>
      <c r="G48058" s="9"/>
      <c r="J48058" s="11"/>
      <c r="U48058" s="9"/>
      <c r="X48058" s="9"/>
    </row>
    <row r="48059">
      <c r="D48059" s="9"/>
      <c r="G48059" s="9"/>
      <c r="J48059" s="11"/>
      <c r="U48059" s="9"/>
      <c r="X48059" s="9"/>
    </row>
    <row r="48060">
      <c r="D48060" s="9"/>
      <c r="G48060" s="9"/>
      <c r="J48060" s="11"/>
      <c r="U48060" s="9"/>
      <c r="X48060" s="9"/>
    </row>
    <row r="48061">
      <c r="D48061" s="9"/>
      <c r="G48061" s="9"/>
      <c r="J48061" s="11"/>
      <c r="U48061" s="9"/>
      <c r="X48061" s="9"/>
    </row>
    <row r="48062">
      <c r="D48062" s="9"/>
      <c r="G48062" s="9"/>
      <c r="J48062" s="11"/>
      <c r="U48062" s="9"/>
      <c r="X48062" s="9"/>
    </row>
    <row r="48063">
      <c r="D48063" s="9"/>
      <c r="G48063" s="9"/>
      <c r="J48063" s="11"/>
      <c r="U48063" s="9"/>
      <c r="X48063" s="9"/>
    </row>
    <row r="48064">
      <c r="D48064" s="9"/>
      <c r="G48064" s="9"/>
      <c r="J48064" s="11"/>
      <c r="U48064" s="9"/>
      <c r="X48064" s="9"/>
    </row>
    <row r="48065">
      <c r="D48065" s="9"/>
      <c r="G48065" s="9"/>
      <c r="J48065" s="11"/>
      <c r="U48065" s="9"/>
      <c r="X48065" s="9"/>
    </row>
    <row r="48066">
      <c r="D48066" s="9"/>
      <c r="G48066" s="9"/>
      <c r="J48066" s="11"/>
      <c r="U48066" s="9"/>
      <c r="X48066" s="9"/>
    </row>
    <row r="48067">
      <c r="D48067" s="9"/>
      <c r="G48067" s="9"/>
      <c r="J48067" s="11"/>
      <c r="U48067" s="9"/>
      <c r="X48067" s="9"/>
    </row>
    <row r="48068">
      <c r="D48068" s="9"/>
      <c r="G48068" s="9"/>
      <c r="J48068" s="11"/>
      <c r="U48068" s="9"/>
      <c r="X48068" s="9"/>
    </row>
    <row r="48069">
      <c r="D48069" s="9"/>
      <c r="G48069" s="9"/>
      <c r="J48069" s="11"/>
      <c r="U48069" s="9"/>
      <c r="X48069" s="9"/>
    </row>
    <row r="48070">
      <c r="D48070" s="9"/>
      <c r="G48070" s="9"/>
      <c r="J48070" s="11"/>
      <c r="U48070" s="9"/>
      <c r="X48070" s="9"/>
    </row>
    <row r="48071">
      <c r="D48071" s="9"/>
      <c r="G48071" s="9"/>
      <c r="J48071" s="11"/>
      <c r="U48071" s="9"/>
      <c r="X48071" s="9"/>
    </row>
    <row r="48072">
      <c r="D48072" s="9"/>
      <c r="G48072" s="9"/>
      <c r="J48072" s="11"/>
      <c r="U48072" s="9"/>
      <c r="X48072" s="9"/>
    </row>
    <row r="48073">
      <c r="D48073" s="9"/>
      <c r="G48073" s="9"/>
      <c r="J48073" s="11"/>
      <c r="U48073" s="9"/>
      <c r="X48073" s="9"/>
    </row>
    <row r="48074">
      <c r="D48074" s="9"/>
      <c r="G48074" s="9"/>
      <c r="J48074" s="11"/>
      <c r="U48074" s="9"/>
      <c r="X48074" s="9"/>
    </row>
    <row r="48075">
      <c r="D48075" s="9"/>
      <c r="G48075" s="9"/>
      <c r="J48075" s="11"/>
      <c r="U48075" s="9"/>
      <c r="X48075" s="9"/>
    </row>
    <row r="48076">
      <c r="D48076" s="9"/>
      <c r="G48076" s="9"/>
      <c r="J48076" s="11"/>
      <c r="U48076" s="9"/>
      <c r="X48076" s="9"/>
    </row>
    <row r="48077">
      <c r="D48077" s="9"/>
      <c r="G48077" s="9"/>
      <c r="J48077" s="11"/>
      <c r="U48077" s="9"/>
      <c r="X48077" s="9"/>
    </row>
    <row r="48078">
      <c r="D48078" s="9"/>
      <c r="G48078" s="9"/>
      <c r="J48078" s="11"/>
      <c r="U48078" s="9"/>
      <c r="X48078" s="9"/>
    </row>
    <row r="48079">
      <c r="D48079" s="9"/>
      <c r="G48079" s="9"/>
      <c r="J48079" s="11"/>
      <c r="U48079" s="9"/>
      <c r="X48079" s="9"/>
    </row>
    <row r="48080">
      <c r="D48080" s="9"/>
      <c r="G48080" s="9"/>
      <c r="J48080" s="11"/>
      <c r="U48080" s="9"/>
      <c r="X48080" s="9"/>
    </row>
    <row r="48081">
      <c r="D48081" s="9"/>
      <c r="G48081" s="9"/>
      <c r="J48081" s="11"/>
      <c r="U48081" s="9"/>
      <c r="X48081" s="9"/>
    </row>
    <row r="48082">
      <c r="D48082" s="9"/>
      <c r="G48082" s="9"/>
      <c r="J48082" s="11"/>
      <c r="U48082" s="9"/>
      <c r="X48082" s="9"/>
    </row>
    <row r="48083">
      <c r="D48083" s="9"/>
      <c r="G48083" s="9"/>
      <c r="J48083" s="11"/>
      <c r="U48083" s="9"/>
      <c r="X48083" s="9"/>
    </row>
    <row r="48084">
      <c r="D48084" s="9"/>
      <c r="G48084" s="9"/>
      <c r="J48084" s="11"/>
      <c r="U48084" s="9"/>
      <c r="X48084" s="9"/>
    </row>
    <row r="48085">
      <c r="D48085" s="9"/>
      <c r="G48085" s="9"/>
      <c r="J48085" s="11"/>
      <c r="U48085" s="9"/>
      <c r="X48085" s="9"/>
    </row>
    <row r="48086">
      <c r="D48086" s="9"/>
      <c r="G48086" s="9"/>
      <c r="J48086" s="11"/>
      <c r="U48086" s="9"/>
      <c r="X48086" s="9"/>
    </row>
    <row r="48087">
      <c r="D48087" s="9"/>
      <c r="G48087" s="9"/>
      <c r="J48087" s="11"/>
      <c r="U48087" s="9"/>
      <c r="X48087" s="9"/>
    </row>
    <row r="48088">
      <c r="D48088" s="9"/>
      <c r="G48088" s="9"/>
      <c r="J48088" s="11"/>
      <c r="U48088" s="9"/>
      <c r="X48088" s="9"/>
    </row>
    <row r="48089">
      <c r="D48089" s="9"/>
      <c r="G48089" s="9"/>
      <c r="J48089" s="11"/>
      <c r="U48089" s="9"/>
      <c r="X48089" s="9"/>
    </row>
    <row r="48090">
      <c r="D48090" s="9"/>
      <c r="G48090" s="9"/>
      <c r="J48090" s="11"/>
      <c r="U48090" s="9"/>
      <c r="X48090" s="9"/>
    </row>
    <row r="48091">
      <c r="D48091" s="9"/>
      <c r="G48091" s="9"/>
      <c r="J48091" s="11"/>
      <c r="U48091" s="9"/>
      <c r="X48091" s="9"/>
    </row>
    <row r="48092">
      <c r="D48092" s="9"/>
      <c r="G48092" s="9"/>
      <c r="J48092" s="11"/>
      <c r="U48092" s="9"/>
      <c r="X48092" s="9"/>
    </row>
    <row r="48093">
      <c r="D48093" s="9"/>
      <c r="G48093" s="9"/>
      <c r="J48093" s="11"/>
      <c r="U48093" s="9"/>
      <c r="X48093" s="9"/>
    </row>
    <row r="48094">
      <c r="D48094" s="9"/>
      <c r="G48094" s="9"/>
      <c r="J48094" s="11"/>
      <c r="U48094" s="9"/>
      <c r="X48094" s="9"/>
    </row>
    <row r="48095">
      <c r="D48095" s="9"/>
      <c r="G48095" s="9"/>
      <c r="J48095" s="11"/>
      <c r="U48095" s="9"/>
      <c r="X48095" s="9"/>
    </row>
    <row r="48096">
      <c r="D48096" s="9"/>
      <c r="G48096" s="9"/>
      <c r="J48096" s="11"/>
      <c r="U48096" s="9"/>
      <c r="X48096" s="9"/>
    </row>
    <row r="48097">
      <c r="D48097" s="9"/>
      <c r="G48097" s="9"/>
      <c r="J48097" s="11"/>
      <c r="U48097" s="9"/>
      <c r="X48097" s="9"/>
    </row>
    <row r="48098">
      <c r="D48098" s="9"/>
      <c r="G48098" s="9"/>
      <c r="J48098" s="11"/>
      <c r="U48098" s="9"/>
      <c r="X48098" s="9"/>
    </row>
    <row r="48099">
      <c r="D48099" s="9"/>
      <c r="G48099" s="9"/>
      <c r="J48099" s="11"/>
      <c r="U48099" s="9"/>
      <c r="X48099" s="9"/>
    </row>
    <row r="48100">
      <c r="D48100" s="9"/>
      <c r="G48100" s="9"/>
      <c r="J48100" s="11"/>
      <c r="U48100" s="9"/>
      <c r="X48100" s="9"/>
    </row>
    <row r="48101">
      <c r="D48101" s="9"/>
      <c r="G48101" s="9"/>
      <c r="J48101" s="11"/>
      <c r="U48101" s="9"/>
      <c r="X48101" s="9"/>
    </row>
    <row r="48102">
      <c r="D48102" s="9"/>
      <c r="G48102" s="9"/>
      <c r="J48102" s="11"/>
      <c r="U48102" s="9"/>
      <c r="X48102" s="9"/>
    </row>
    <row r="48103">
      <c r="D48103" s="9"/>
      <c r="G48103" s="9"/>
      <c r="J48103" s="11"/>
      <c r="U48103" s="9"/>
      <c r="X48103" s="9"/>
    </row>
    <row r="48104">
      <c r="D48104" s="9"/>
      <c r="G48104" s="9"/>
      <c r="J48104" s="11"/>
      <c r="U48104" s="9"/>
      <c r="X48104" s="9"/>
    </row>
    <row r="48105">
      <c r="D48105" s="9"/>
      <c r="G48105" s="9"/>
      <c r="J48105" s="11"/>
      <c r="U48105" s="9"/>
      <c r="X48105" s="9"/>
    </row>
    <row r="48106">
      <c r="D48106" s="9"/>
      <c r="G48106" s="9"/>
      <c r="J48106" s="11"/>
      <c r="U48106" s="9"/>
      <c r="X48106" s="9"/>
    </row>
    <row r="48107">
      <c r="D48107" s="9"/>
      <c r="G48107" s="9"/>
      <c r="J48107" s="11"/>
      <c r="U48107" s="9"/>
      <c r="X48107" s="9"/>
    </row>
    <row r="48108">
      <c r="D48108" s="9"/>
      <c r="G48108" s="9"/>
      <c r="J48108" s="11"/>
      <c r="U48108" s="9"/>
      <c r="X48108" s="9"/>
    </row>
    <row r="48109">
      <c r="D48109" s="9"/>
      <c r="G48109" s="9"/>
      <c r="J48109" s="11"/>
      <c r="U48109" s="9"/>
      <c r="X48109" s="9"/>
    </row>
    <row r="48110">
      <c r="D48110" s="9"/>
      <c r="G48110" s="9"/>
      <c r="J48110" s="11"/>
      <c r="U48110" s="9"/>
      <c r="X48110" s="9"/>
    </row>
    <row r="48111">
      <c r="D48111" s="9"/>
      <c r="G48111" s="9"/>
      <c r="J48111" s="11"/>
      <c r="U48111" s="9"/>
      <c r="X48111" s="9"/>
    </row>
    <row r="48112">
      <c r="D48112" s="9"/>
      <c r="G48112" s="9"/>
      <c r="J48112" s="11"/>
      <c r="U48112" s="9"/>
      <c r="X48112" s="9"/>
    </row>
    <row r="48113">
      <c r="D48113" s="9"/>
      <c r="G48113" s="9"/>
      <c r="J48113" s="11"/>
      <c r="U48113" s="9"/>
      <c r="X48113" s="9"/>
    </row>
    <row r="48114">
      <c r="D48114" s="9"/>
      <c r="G48114" s="9"/>
      <c r="J48114" s="11"/>
      <c r="U48114" s="9"/>
      <c r="X48114" s="9"/>
    </row>
    <row r="48115">
      <c r="D48115" s="9"/>
      <c r="G48115" s="9"/>
      <c r="J48115" s="11"/>
      <c r="U48115" s="9"/>
      <c r="X48115" s="9"/>
    </row>
    <row r="48116">
      <c r="D48116" s="9"/>
      <c r="G48116" s="9"/>
      <c r="J48116" s="11"/>
      <c r="U48116" s="9"/>
      <c r="X48116" s="9"/>
    </row>
    <row r="48117">
      <c r="D48117" s="9"/>
      <c r="G48117" s="9"/>
      <c r="J48117" s="11"/>
      <c r="U48117" s="9"/>
      <c r="X48117" s="9"/>
    </row>
    <row r="48118">
      <c r="D48118" s="9"/>
      <c r="G48118" s="9"/>
      <c r="J48118" s="11"/>
      <c r="U48118" s="9"/>
      <c r="X48118" s="9"/>
    </row>
    <row r="48119">
      <c r="D48119" s="9"/>
      <c r="G48119" s="9"/>
      <c r="J48119" s="11"/>
      <c r="U48119" s="9"/>
      <c r="X48119" s="9"/>
    </row>
    <row r="48120">
      <c r="D48120" s="9"/>
      <c r="G48120" s="9"/>
      <c r="J48120" s="11"/>
      <c r="U48120" s="9"/>
      <c r="X48120" s="9"/>
    </row>
    <row r="48121">
      <c r="D48121" s="9"/>
      <c r="G48121" s="9"/>
      <c r="J48121" s="11"/>
      <c r="U48121" s="9"/>
      <c r="X48121" s="9"/>
    </row>
    <row r="48122">
      <c r="D48122" s="9"/>
      <c r="G48122" s="9"/>
      <c r="J48122" s="11"/>
      <c r="U48122" s="9"/>
      <c r="X48122" s="9"/>
    </row>
    <row r="48123">
      <c r="D48123" s="9"/>
      <c r="G48123" s="9"/>
      <c r="J48123" s="11"/>
      <c r="U48123" s="9"/>
      <c r="X48123" s="9"/>
    </row>
    <row r="48124">
      <c r="D48124" s="9"/>
      <c r="G48124" s="9"/>
      <c r="J48124" s="11"/>
      <c r="U48124" s="9"/>
      <c r="X48124" s="9"/>
    </row>
    <row r="48125">
      <c r="D48125" s="9"/>
      <c r="G48125" s="9"/>
      <c r="J48125" s="11"/>
      <c r="U48125" s="9"/>
      <c r="X48125" s="9"/>
    </row>
    <row r="48126">
      <c r="D48126" s="9"/>
      <c r="G48126" s="9"/>
      <c r="J48126" s="11"/>
      <c r="U48126" s="9"/>
      <c r="X48126" s="9"/>
    </row>
    <row r="48127">
      <c r="D48127" s="9"/>
      <c r="G48127" s="9"/>
      <c r="J48127" s="11"/>
      <c r="U48127" s="9"/>
      <c r="X48127" s="9"/>
    </row>
    <row r="48128">
      <c r="D48128" s="9"/>
      <c r="G48128" s="9"/>
      <c r="J48128" s="11"/>
      <c r="U48128" s="9"/>
      <c r="X48128" s="9"/>
    </row>
    <row r="48129">
      <c r="D48129" s="9"/>
      <c r="G48129" s="9"/>
      <c r="J48129" s="11"/>
      <c r="U48129" s="9"/>
      <c r="X48129" s="9"/>
    </row>
    <row r="48130">
      <c r="D48130" s="9"/>
      <c r="G48130" s="9"/>
      <c r="J48130" s="11"/>
      <c r="U48130" s="9"/>
      <c r="X48130" s="9"/>
    </row>
    <row r="48131">
      <c r="D48131" s="9"/>
      <c r="G48131" s="9"/>
      <c r="J48131" s="11"/>
      <c r="U48131" s="9"/>
      <c r="X48131" s="9"/>
    </row>
    <row r="48132">
      <c r="D48132" s="9"/>
      <c r="G48132" s="9"/>
      <c r="J48132" s="11"/>
      <c r="U48132" s="9"/>
      <c r="X48132" s="9"/>
    </row>
    <row r="48133">
      <c r="D48133" s="9"/>
      <c r="G48133" s="9"/>
      <c r="J48133" s="11"/>
      <c r="U48133" s="9"/>
      <c r="X48133" s="9"/>
    </row>
    <row r="48134">
      <c r="D48134" s="9"/>
      <c r="G48134" s="9"/>
      <c r="J48134" s="11"/>
      <c r="U48134" s="9"/>
      <c r="X48134" s="9"/>
    </row>
    <row r="48135">
      <c r="D48135" s="9"/>
      <c r="G48135" s="9"/>
      <c r="J48135" s="11"/>
      <c r="U48135" s="9"/>
      <c r="X48135" s="9"/>
    </row>
    <row r="48136">
      <c r="D48136" s="9"/>
      <c r="G48136" s="9"/>
      <c r="J48136" s="11"/>
      <c r="U48136" s="9"/>
      <c r="X48136" s="9"/>
    </row>
    <row r="48137">
      <c r="D48137" s="9"/>
      <c r="G48137" s="9"/>
      <c r="J48137" s="11"/>
      <c r="U48137" s="9"/>
      <c r="X48137" s="9"/>
    </row>
    <row r="48138">
      <c r="D48138" s="9"/>
      <c r="G48138" s="9"/>
      <c r="J48138" s="11"/>
      <c r="U48138" s="9"/>
      <c r="X48138" s="9"/>
    </row>
    <row r="48139">
      <c r="D48139" s="9"/>
      <c r="G48139" s="9"/>
      <c r="J48139" s="11"/>
      <c r="U48139" s="9"/>
      <c r="X48139" s="9"/>
    </row>
    <row r="48140">
      <c r="D48140" s="9"/>
      <c r="G48140" s="9"/>
      <c r="J48140" s="11"/>
      <c r="U48140" s="9"/>
      <c r="X48140" s="9"/>
    </row>
    <row r="48141">
      <c r="D48141" s="9"/>
      <c r="G48141" s="9"/>
      <c r="J48141" s="11"/>
      <c r="U48141" s="9"/>
      <c r="X48141" s="9"/>
    </row>
    <row r="48142">
      <c r="D48142" s="9"/>
      <c r="G48142" s="9"/>
      <c r="J48142" s="11"/>
      <c r="U48142" s="9"/>
      <c r="X48142" s="9"/>
    </row>
    <row r="48143">
      <c r="D48143" s="9"/>
      <c r="G48143" s="9"/>
      <c r="J48143" s="11"/>
      <c r="U48143" s="9"/>
      <c r="X48143" s="9"/>
    </row>
    <row r="48144">
      <c r="D48144" s="9"/>
      <c r="G48144" s="9"/>
      <c r="J48144" s="11"/>
      <c r="U48144" s="9"/>
      <c r="X48144" s="9"/>
    </row>
    <row r="48145">
      <c r="D48145" s="9"/>
      <c r="G48145" s="9"/>
      <c r="J48145" s="11"/>
      <c r="U48145" s="9"/>
      <c r="X48145" s="9"/>
    </row>
    <row r="48146">
      <c r="D48146" s="9"/>
      <c r="G48146" s="9"/>
      <c r="J48146" s="11"/>
      <c r="U48146" s="9"/>
      <c r="X48146" s="9"/>
    </row>
    <row r="48147">
      <c r="D48147" s="9"/>
      <c r="G48147" s="9"/>
      <c r="J48147" s="11"/>
      <c r="U48147" s="9"/>
      <c r="X48147" s="9"/>
    </row>
    <row r="48148">
      <c r="D48148" s="9"/>
      <c r="G48148" s="9"/>
      <c r="J48148" s="11"/>
      <c r="U48148" s="9"/>
      <c r="X48148" s="9"/>
    </row>
    <row r="48149">
      <c r="D48149" s="9"/>
      <c r="G48149" s="9"/>
      <c r="J48149" s="11"/>
      <c r="U48149" s="9"/>
      <c r="X48149" s="9"/>
    </row>
    <row r="48150">
      <c r="D48150" s="9"/>
      <c r="G48150" s="9"/>
      <c r="J48150" s="11"/>
      <c r="U48150" s="9"/>
      <c r="X48150" s="9"/>
    </row>
    <row r="48151">
      <c r="D48151" s="9"/>
      <c r="G48151" s="9"/>
      <c r="J48151" s="11"/>
      <c r="U48151" s="9"/>
      <c r="X48151" s="9"/>
    </row>
    <row r="48152">
      <c r="D48152" s="9"/>
      <c r="G48152" s="9"/>
      <c r="J48152" s="11"/>
      <c r="U48152" s="9"/>
      <c r="X48152" s="9"/>
    </row>
    <row r="48153">
      <c r="D48153" s="9"/>
      <c r="G48153" s="9"/>
      <c r="J48153" s="11"/>
      <c r="U48153" s="9"/>
      <c r="X48153" s="9"/>
    </row>
    <row r="48154">
      <c r="D48154" s="9"/>
      <c r="G48154" s="9"/>
      <c r="J48154" s="11"/>
      <c r="U48154" s="9"/>
      <c r="X48154" s="9"/>
    </row>
    <row r="48155">
      <c r="D48155" s="9"/>
      <c r="G48155" s="9"/>
      <c r="J48155" s="11"/>
      <c r="U48155" s="9"/>
      <c r="X48155" s="9"/>
    </row>
    <row r="48156">
      <c r="D48156" s="9"/>
      <c r="G48156" s="9"/>
      <c r="J48156" s="11"/>
      <c r="U48156" s="9"/>
      <c r="X48156" s="9"/>
    </row>
    <row r="48157">
      <c r="D48157" s="9"/>
      <c r="G48157" s="9"/>
      <c r="J48157" s="11"/>
      <c r="U48157" s="9"/>
      <c r="X48157" s="9"/>
    </row>
    <row r="48158">
      <c r="D48158" s="9"/>
      <c r="G48158" s="9"/>
      <c r="J48158" s="11"/>
      <c r="U48158" s="9"/>
      <c r="X48158" s="9"/>
    </row>
    <row r="48159">
      <c r="D48159" s="9"/>
      <c r="G48159" s="9"/>
      <c r="J48159" s="11"/>
      <c r="U48159" s="9"/>
      <c r="X48159" s="9"/>
    </row>
    <row r="48160">
      <c r="D48160" s="9"/>
      <c r="G48160" s="9"/>
      <c r="J48160" s="11"/>
      <c r="U48160" s="9"/>
      <c r="X48160" s="9"/>
    </row>
    <row r="48161">
      <c r="D48161" s="9"/>
      <c r="G48161" s="9"/>
      <c r="J48161" s="11"/>
      <c r="U48161" s="9"/>
      <c r="X48161" s="9"/>
    </row>
    <row r="48162">
      <c r="D48162" s="9"/>
      <c r="G48162" s="9"/>
      <c r="J48162" s="11"/>
      <c r="U48162" s="9"/>
      <c r="X48162" s="9"/>
    </row>
    <row r="48163">
      <c r="D48163" s="9"/>
      <c r="G48163" s="9"/>
      <c r="J48163" s="11"/>
      <c r="U48163" s="9"/>
      <c r="X48163" s="9"/>
    </row>
    <row r="48164">
      <c r="D48164" s="9"/>
      <c r="G48164" s="9"/>
      <c r="J48164" s="11"/>
      <c r="U48164" s="9"/>
      <c r="X48164" s="9"/>
    </row>
    <row r="48165">
      <c r="D48165" s="9"/>
      <c r="G48165" s="9"/>
      <c r="J48165" s="11"/>
      <c r="U48165" s="9"/>
      <c r="X48165" s="9"/>
    </row>
    <row r="48166">
      <c r="D48166" s="9"/>
      <c r="G48166" s="9"/>
      <c r="J48166" s="11"/>
      <c r="U48166" s="9"/>
      <c r="X48166" s="9"/>
    </row>
    <row r="48167">
      <c r="D48167" s="9"/>
      <c r="G48167" s="9"/>
      <c r="J48167" s="11"/>
      <c r="U48167" s="9"/>
      <c r="X48167" s="9"/>
    </row>
    <row r="48168">
      <c r="D48168" s="9"/>
      <c r="G48168" s="9"/>
      <c r="J48168" s="11"/>
      <c r="U48168" s="9"/>
      <c r="X48168" s="9"/>
    </row>
    <row r="48169">
      <c r="D48169" s="9"/>
      <c r="G48169" s="9"/>
      <c r="J48169" s="11"/>
      <c r="U48169" s="9"/>
      <c r="X48169" s="9"/>
    </row>
    <row r="48170">
      <c r="D48170" s="9"/>
      <c r="G48170" s="9"/>
      <c r="J48170" s="11"/>
      <c r="U48170" s="9"/>
      <c r="X48170" s="9"/>
    </row>
    <row r="48171">
      <c r="D48171" s="9"/>
      <c r="G48171" s="9"/>
      <c r="J48171" s="11"/>
      <c r="U48171" s="9"/>
      <c r="X48171" s="9"/>
    </row>
    <row r="48172">
      <c r="D48172" s="9"/>
      <c r="G48172" s="9"/>
      <c r="J48172" s="11"/>
      <c r="U48172" s="9"/>
      <c r="X48172" s="9"/>
    </row>
    <row r="48173">
      <c r="D48173" s="9"/>
      <c r="G48173" s="9"/>
      <c r="J48173" s="11"/>
      <c r="U48173" s="9"/>
      <c r="X48173" s="9"/>
    </row>
    <row r="48174">
      <c r="D48174" s="9"/>
      <c r="G48174" s="9"/>
      <c r="J48174" s="11"/>
      <c r="U48174" s="9"/>
      <c r="X48174" s="9"/>
    </row>
    <row r="48175">
      <c r="D48175" s="9"/>
      <c r="G48175" s="9"/>
      <c r="J48175" s="11"/>
      <c r="U48175" s="9"/>
      <c r="X48175" s="9"/>
    </row>
    <row r="48176">
      <c r="D48176" s="9"/>
      <c r="G48176" s="9"/>
      <c r="J48176" s="11"/>
      <c r="U48176" s="9"/>
      <c r="X48176" s="9"/>
    </row>
    <row r="48177">
      <c r="D48177" s="9"/>
      <c r="G48177" s="9"/>
      <c r="J48177" s="11"/>
      <c r="U48177" s="9"/>
      <c r="X48177" s="9"/>
    </row>
    <row r="48178">
      <c r="D48178" s="9"/>
      <c r="G48178" s="9"/>
      <c r="J48178" s="11"/>
      <c r="U48178" s="9"/>
      <c r="X48178" s="9"/>
    </row>
    <row r="48179">
      <c r="D48179" s="9"/>
      <c r="G48179" s="9"/>
      <c r="J48179" s="11"/>
      <c r="U48179" s="9"/>
      <c r="X48179" s="9"/>
    </row>
    <row r="48180">
      <c r="D48180" s="9"/>
      <c r="G48180" s="9"/>
      <c r="J48180" s="11"/>
      <c r="U48180" s="9"/>
      <c r="X48180" s="9"/>
    </row>
    <row r="48181">
      <c r="D48181" s="9"/>
      <c r="G48181" s="9"/>
      <c r="J48181" s="11"/>
      <c r="U48181" s="9"/>
      <c r="X48181" s="9"/>
    </row>
    <row r="48182">
      <c r="D48182" s="9"/>
      <c r="G48182" s="9"/>
      <c r="J48182" s="11"/>
      <c r="U48182" s="9"/>
      <c r="X48182" s="9"/>
    </row>
    <row r="48183">
      <c r="D48183" s="9"/>
      <c r="G48183" s="9"/>
      <c r="J48183" s="11"/>
      <c r="U48183" s="9"/>
      <c r="X48183" s="9"/>
    </row>
    <row r="48184">
      <c r="D48184" s="9"/>
      <c r="G48184" s="9"/>
      <c r="J48184" s="11"/>
      <c r="U48184" s="9"/>
      <c r="X48184" s="9"/>
    </row>
    <row r="48185">
      <c r="D48185" s="9"/>
      <c r="G48185" s="9"/>
      <c r="J48185" s="11"/>
      <c r="U48185" s="9"/>
      <c r="X48185" s="9"/>
    </row>
    <row r="48186">
      <c r="D48186" s="9"/>
      <c r="G48186" s="9"/>
      <c r="J48186" s="11"/>
      <c r="U48186" s="9"/>
      <c r="X48186" s="9"/>
    </row>
    <row r="48187">
      <c r="D48187" s="9"/>
      <c r="G48187" s="9"/>
      <c r="J48187" s="11"/>
      <c r="U48187" s="9"/>
      <c r="X48187" s="9"/>
    </row>
    <row r="48188">
      <c r="D48188" s="9"/>
      <c r="G48188" s="9"/>
      <c r="J48188" s="11"/>
      <c r="U48188" s="9"/>
      <c r="X48188" s="9"/>
    </row>
    <row r="48189">
      <c r="D48189" s="9"/>
      <c r="G48189" s="9"/>
      <c r="J48189" s="11"/>
      <c r="U48189" s="9"/>
      <c r="X48189" s="9"/>
    </row>
    <row r="48190">
      <c r="D48190" s="9"/>
      <c r="G48190" s="9"/>
      <c r="J48190" s="11"/>
      <c r="U48190" s="9"/>
      <c r="X48190" s="9"/>
    </row>
    <row r="48191">
      <c r="D48191" s="9"/>
      <c r="G48191" s="9"/>
      <c r="J48191" s="11"/>
      <c r="U48191" s="9"/>
      <c r="X48191" s="9"/>
    </row>
    <row r="48192">
      <c r="D48192" s="9"/>
      <c r="G48192" s="9"/>
      <c r="J48192" s="11"/>
      <c r="U48192" s="9"/>
      <c r="X48192" s="9"/>
    </row>
    <row r="48193">
      <c r="D48193" s="9"/>
      <c r="G48193" s="9"/>
      <c r="J48193" s="11"/>
      <c r="U48193" s="9"/>
      <c r="X48193" s="9"/>
    </row>
    <row r="48194">
      <c r="D48194" s="9"/>
      <c r="G48194" s="9"/>
      <c r="J48194" s="11"/>
      <c r="U48194" s="9"/>
      <c r="X48194" s="9"/>
    </row>
    <row r="48195">
      <c r="D48195" s="9"/>
      <c r="G48195" s="9"/>
      <c r="J48195" s="11"/>
      <c r="U48195" s="9"/>
      <c r="X48195" s="9"/>
    </row>
    <row r="48196">
      <c r="D48196" s="9"/>
      <c r="G48196" s="9"/>
      <c r="J48196" s="11"/>
      <c r="U48196" s="9"/>
      <c r="X48196" s="9"/>
    </row>
    <row r="48197">
      <c r="D48197" s="9"/>
      <c r="G48197" s="9"/>
      <c r="J48197" s="11"/>
      <c r="U48197" s="9"/>
      <c r="X48197" s="9"/>
    </row>
    <row r="48198">
      <c r="D48198" s="9"/>
      <c r="G48198" s="9"/>
      <c r="J48198" s="11"/>
      <c r="U48198" s="9"/>
      <c r="X48198" s="9"/>
    </row>
    <row r="48199">
      <c r="D48199" s="9"/>
      <c r="G48199" s="9"/>
      <c r="J48199" s="11"/>
      <c r="U48199" s="9"/>
      <c r="X48199" s="9"/>
    </row>
    <row r="48200">
      <c r="D48200" s="9"/>
      <c r="G48200" s="9"/>
      <c r="J48200" s="11"/>
      <c r="U48200" s="9"/>
      <c r="X48200" s="9"/>
    </row>
    <row r="48201">
      <c r="D48201" s="9"/>
      <c r="G48201" s="9"/>
      <c r="J48201" s="11"/>
      <c r="U48201" s="9"/>
      <c r="X48201" s="9"/>
    </row>
    <row r="48202">
      <c r="D48202" s="9"/>
      <c r="G48202" s="9"/>
      <c r="J48202" s="11"/>
      <c r="U48202" s="9"/>
      <c r="X48202" s="9"/>
    </row>
    <row r="48203">
      <c r="D48203" s="9"/>
      <c r="G48203" s="9"/>
      <c r="J48203" s="11"/>
      <c r="U48203" s="9"/>
      <c r="X48203" s="9"/>
    </row>
    <row r="48204">
      <c r="D48204" s="9"/>
      <c r="G48204" s="9"/>
      <c r="J48204" s="11"/>
      <c r="U48204" s="9"/>
      <c r="X48204" s="9"/>
    </row>
    <row r="48205">
      <c r="D48205" s="9"/>
      <c r="G48205" s="9"/>
      <c r="J48205" s="11"/>
      <c r="U48205" s="9"/>
      <c r="X48205" s="9"/>
    </row>
    <row r="48206">
      <c r="D48206" s="9"/>
      <c r="G48206" s="9"/>
      <c r="J48206" s="11"/>
      <c r="U48206" s="9"/>
      <c r="X48206" s="9"/>
    </row>
    <row r="48207">
      <c r="D48207" s="9"/>
      <c r="G48207" s="9"/>
      <c r="J48207" s="11"/>
      <c r="U48207" s="9"/>
      <c r="X48207" s="9"/>
    </row>
    <row r="48208">
      <c r="D48208" s="9"/>
      <c r="G48208" s="9"/>
      <c r="J48208" s="11"/>
      <c r="U48208" s="9"/>
      <c r="X48208" s="9"/>
    </row>
    <row r="48209">
      <c r="D48209" s="9"/>
      <c r="G48209" s="9"/>
      <c r="J48209" s="11"/>
      <c r="U48209" s="9"/>
      <c r="X48209" s="9"/>
    </row>
    <row r="48210">
      <c r="D48210" s="9"/>
      <c r="G48210" s="9"/>
      <c r="J48210" s="11"/>
      <c r="U48210" s="9"/>
      <c r="X48210" s="9"/>
    </row>
    <row r="48211">
      <c r="D48211" s="9"/>
      <c r="G48211" s="9"/>
      <c r="J48211" s="11"/>
      <c r="U48211" s="9"/>
      <c r="X48211" s="9"/>
    </row>
    <row r="48212">
      <c r="D48212" s="9"/>
      <c r="G48212" s="9"/>
      <c r="J48212" s="11"/>
      <c r="U48212" s="9"/>
      <c r="X48212" s="9"/>
    </row>
    <row r="48213">
      <c r="D48213" s="9"/>
      <c r="G48213" s="9"/>
      <c r="J48213" s="11"/>
      <c r="U48213" s="9"/>
      <c r="X48213" s="9"/>
    </row>
    <row r="48214">
      <c r="D48214" s="9"/>
      <c r="G48214" s="9"/>
      <c r="J48214" s="11"/>
      <c r="U48214" s="9"/>
      <c r="X48214" s="9"/>
    </row>
    <row r="48215">
      <c r="D48215" s="9"/>
      <c r="G48215" s="9"/>
      <c r="J48215" s="11"/>
      <c r="U48215" s="9"/>
      <c r="X48215" s="9"/>
    </row>
    <row r="48216">
      <c r="D48216" s="9"/>
      <c r="G48216" s="9"/>
      <c r="J48216" s="11"/>
      <c r="U48216" s="9"/>
      <c r="X48216" s="9"/>
    </row>
    <row r="48217">
      <c r="D48217" s="9"/>
      <c r="G48217" s="9"/>
      <c r="J48217" s="11"/>
      <c r="U48217" s="9"/>
      <c r="X48217" s="9"/>
    </row>
    <row r="48218">
      <c r="D48218" s="9"/>
      <c r="G48218" s="9"/>
      <c r="J48218" s="11"/>
      <c r="U48218" s="9"/>
      <c r="X48218" s="9"/>
    </row>
    <row r="48219">
      <c r="D48219" s="9"/>
      <c r="G48219" s="9"/>
      <c r="J48219" s="11"/>
      <c r="U48219" s="9"/>
      <c r="X48219" s="9"/>
    </row>
    <row r="48220">
      <c r="D48220" s="9"/>
      <c r="G48220" s="9"/>
      <c r="J48220" s="11"/>
      <c r="U48220" s="9"/>
      <c r="X48220" s="9"/>
    </row>
    <row r="48221">
      <c r="D48221" s="9"/>
      <c r="G48221" s="9"/>
      <c r="J48221" s="11"/>
      <c r="U48221" s="9"/>
      <c r="X48221" s="9"/>
    </row>
    <row r="48222">
      <c r="D48222" s="9"/>
      <c r="G48222" s="9"/>
      <c r="J48222" s="11"/>
      <c r="U48222" s="9"/>
      <c r="X48222" s="9"/>
    </row>
    <row r="48223">
      <c r="D48223" s="9"/>
      <c r="G48223" s="9"/>
      <c r="J48223" s="11"/>
      <c r="U48223" s="9"/>
      <c r="X48223" s="9"/>
    </row>
    <row r="48224">
      <c r="D48224" s="9"/>
      <c r="G48224" s="9"/>
      <c r="J48224" s="11"/>
      <c r="U48224" s="9"/>
      <c r="X48224" s="9"/>
    </row>
    <row r="48225">
      <c r="D48225" s="9"/>
      <c r="G48225" s="9"/>
      <c r="J48225" s="11"/>
      <c r="U48225" s="9"/>
      <c r="X48225" s="9"/>
    </row>
    <row r="48226">
      <c r="D48226" s="9"/>
      <c r="G48226" s="9"/>
      <c r="J48226" s="11"/>
      <c r="U48226" s="9"/>
      <c r="X48226" s="9"/>
    </row>
    <row r="48227">
      <c r="D48227" s="9"/>
      <c r="G48227" s="9"/>
      <c r="J48227" s="11"/>
      <c r="U48227" s="9"/>
      <c r="X48227" s="9"/>
    </row>
    <row r="48228">
      <c r="D48228" s="9"/>
      <c r="G48228" s="9"/>
      <c r="J48228" s="11"/>
      <c r="U48228" s="9"/>
      <c r="X48228" s="9"/>
    </row>
    <row r="48229">
      <c r="D48229" s="9"/>
      <c r="G48229" s="9"/>
      <c r="J48229" s="11"/>
      <c r="U48229" s="9"/>
      <c r="X48229" s="9"/>
    </row>
    <row r="48230">
      <c r="D48230" s="9"/>
      <c r="G48230" s="9"/>
      <c r="J48230" s="11"/>
      <c r="U48230" s="9"/>
      <c r="X48230" s="9"/>
    </row>
    <row r="48231">
      <c r="D48231" s="9"/>
      <c r="G48231" s="9"/>
      <c r="J48231" s="11"/>
      <c r="U48231" s="9"/>
      <c r="X48231" s="9"/>
    </row>
    <row r="48232">
      <c r="D48232" s="9"/>
      <c r="G48232" s="9"/>
      <c r="J48232" s="11"/>
      <c r="U48232" s="9"/>
      <c r="X48232" s="9"/>
    </row>
    <row r="48233">
      <c r="D48233" s="9"/>
      <c r="G48233" s="9"/>
      <c r="J48233" s="11"/>
      <c r="U48233" s="9"/>
      <c r="X48233" s="9"/>
    </row>
    <row r="48234">
      <c r="D48234" s="9"/>
      <c r="G48234" s="9"/>
      <c r="J48234" s="11"/>
      <c r="U48234" s="9"/>
      <c r="X48234" s="9"/>
    </row>
    <row r="48235">
      <c r="D48235" s="9"/>
      <c r="G48235" s="9"/>
      <c r="J48235" s="11"/>
      <c r="U48235" s="9"/>
      <c r="X48235" s="9"/>
    </row>
    <row r="48236">
      <c r="D48236" s="9"/>
      <c r="G48236" s="9"/>
      <c r="J48236" s="11"/>
      <c r="U48236" s="9"/>
      <c r="X48236" s="9"/>
    </row>
    <row r="48237">
      <c r="D48237" s="9"/>
      <c r="G48237" s="9"/>
      <c r="J48237" s="11"/>
      <c r="U48237" s="9"/>
      <c r="X48237" s="9"/>
    </row>
    <row r="48238">
      <c r="D48238" s="9"/>
      <c r="G48238" s="9"/>
      <c r="J48238" s="11"/>
      <c r="U48238" s="9"/>
      <c r="X48238" s="9"/>
    </row>
    <row r="48239">
      <c r="D48239" s="9"/>
      <c r="G48239" s="9"/>
      <c r="J48239" s="11"/>
      <c r="U48239" s="9"/>
      <c r="X48239" s="9"/>
    </row>
    <row r="48240">
      <c r="D48240" s="9"/>
      <c r="G48240" s="9"/>
      <c r="J48240" s="11"/>
      <c r="U48240" s="9"/>
      <c r="X48240" s="9"/>
    </row>
    <row r="48241">
      <c r="D48241" s="9"/>
      <c r="G48241" s="9"/>
      <c r="J48241" s="11"/>
      <c r="U48241" s="9"/>
      <c r="X48241" s="9"/>
    </row>
    <row r="48242">
      <c r="D48242" s="9"/>
      <c r="G48242" s="9"/>
      <c r="J48242" s="11"/>
      <c r="U48242" s="9"/>
      <c r="X48242" s="9"/>
    </row>
    <row r="48243">
      <c r="D48243" s="9"/>
      <c r="G48243" s="9"/>
      <c r="J48243" s="11"/>
      <c r="U48243" s="9"/>
      <c r="X48243" s="9"/>
    </row>
    <row r="48244">
      <c r="D48244" s="9"/>
      <c r="G48244" s="9"/>
      <c r="J48244" s="11"/>
      <c r="U48244" s="9"/>
      <c r="X48244" s="9"/>
    </row>
    <row r="48245">
      <c r="D48245" s="9"/>
      <c r="G48245" s="9"/>
      <c r="J48245" s="11"/>
      <c r="U48245" s="9"/>
      <c r="X48245" s="9"/>
    </row>
    <row r="48246">
      <c r="D48246" s="9"/>
      <c r="G48246" s="9"/>
      <c r="J48246" s="11"/>
      <c r="U48246" s="9"/>
      <c r="X48246" s="9"/>
    </row>
    <row r="48247">
      <c r="D48247" s="9"/>
      <c r="G48247" s="9"/>
      <c r="J48247" s="11"/>
      <c r="U48247" s="9"/>
      <c r="X48247" s="9"/>
    </row>
    <row r="48248">
      <c r="D48248" s="9"/>
      <c r="G48248" s="9"/>
      <c r="J48248" s="11"/>
      <c r="U48248" s="9"/>
      <c r="X48248" s="9"/>
    </row>
    <row r="48249">
      <c r="D48249" s="9"/>
      <c r="G48249" s="9"/>
      <c r="J48249" s="11"/>
      <c r="U48249" s="9"/>
      <c r="X48249" s="9"/>
    </row>
    <row r="48250">
      <c r="D48250" s="9"/>
      <c r="G48250" s="9"/>
      <c r="J48250" s="11"/>
      <c r="U48250" s="9"/>
      <c r="X48250" s="9"/>
    </row>
    <row r="48251">
      <c r="D48251" s="9"/>
      <c r="G48251" s="9"/>
      <c r="J48251" s="11"/>
      <c r="U48251" s="9"/>
      <c r="X48251" s="9"/>
    </row>
    <row r="48252">
      <c r="D48252" s="9"/>
      <c r="G48252" s="9"/>
      <c r="J48252" s="11"/>
      <c r="U48252" s="9"/>
      <c r="X48252" s="9"/>
    </row>
    <row r="48253">
      <c r="D48253" s="9"/>
      <c r="G48253" s="9"/>
      <c r="J48253" s="11"/>
      <c r="U48253" s="9"/>
      <c r="X48253" s="9"/>
    </row>
    <row r="48254">
      <c r="D48254" s="9"/>
      <c r="G48254" s="9"/>
      <c r="J48254" s="11"/>
      <c r="U48254" s="9"/>
      <c r="X48254" s="9"/>
    </row>
    <row r="48255">
      <c r="D48255" s="9"/>
      <c r="G48255" s="9"/>
      <c r="J48255" s="11"/>
      <c r="U48255" s="9"/>
      <c r="X48255" s="9"/>
    </row>
    <row r="48256">
      <c r="D48256" s="9"/>
      <c r="G48256" s="9"/>
      <c r="J48256" s="11"/>
      <c r="U48256" s="9"/>
      <c r="X48256" s="9"/>
    </row>
    <row r="48257">
      <c r="D48257" s="9"/>
      <c r="G48257" s="9"/>
      <c r="J48257" s="11"/>
      <c r="U48257" s="9"/>
      <c r="X48257" s="9"/>
    </row>
    <row r="48258">
      <c r="D48258" s="9"/>
      <c r="G48258" s="9"/>
      <c r="J48258" s="11"/>
      <c r="U48258" s="9"/>
      <c r="X48258" s="9"/>
    </row>
    <row r="48259">
      <c r="D48259" s="9"/>
      <c r="G48259" s="9"/>
      <c r="J48259" s="11"/>
      <c r="U48259" s="9"/>
      <c r="X48259" s="9"/>
    </row>
    <row r="48260">
      <c r="D48260" s="9"/>
      <c r="G48260" s="9"/>
      <c r="J48260" s="11"/>
      <c r="U48260" s="9"/>
      <c r="X48260" s="9"/>
    </row>
    <row r="48261">
      <c r="D48261" s="9"/>
      <c r="G48261" s="9"/>
      <c r="J48261" s="11"/>
      <c r="U48261" s="9"/>
      <c r="X48261" s="9"/>
    </row>
    <row r="48262">
      <c r="D48262" s="9"/>
      <c r="G48262" s="9"/>
      <c r="J48262" s="11"/>
      <c r="U48262" s="9"/>
      <c r="X48262" s="9"/>
    </row>
    <row r="48263">
      <c r="D48263" s="9"/>
      <c r="G48263" s="9"/>
      <c r="J48263" s="11"/>
      <c r="U48263" s="9"/>
      <c r="X48263" s="9"/>
    </row>
    <row r="48264">
      <c r="D48264" s="9"/>
      <c r="G48264" s="9"/>
      <c r="J48264" s="11"/>
      <c r="U48264" s="9"/>
      <c r="X48264" s="9"/>
    </row>
    <row r="48265">
      <c r="D48265" s="9"/>
      <c r="G48265" s="9"/>
      <c r="J48265" s="11"/>
      <c r="U48265" s="9"/>
      <c r="X48265" s="9"/>
    </row>
    <row r="48266">
      <c r="D48266" s="9"/>
      <c r="G48266" s="9"/>
      <c r="J48266" s="11"/>
      <c r="U48266" s="9"/>
      <c r="X48266" s="9"/>
    </row>
    <row r="48267">
      <c r="D48267" s="9"/>
      <c r="G48267" s="9"/>
      <c r="J48267" s="11"/>
      <c r="U48267" s="9"/>
      <c r="X48267" s="9"/>
    </row>
    <row r="48268">
      <c r="D48268" s="9"/>
      <c r="G48268" s="9"/>
      <c r="J48268" s="11"/>
      <c r="U48268" s="9"/>
      <c r="X48268" s="9"/>
    </row>
    <row r="48269">
      <c r="D48269" s="9"/>
      <c r="G48269" s="9"/>
      <c r="J48269" s="11"/>
      <c r="U48269" s="9"/>
      <c r="X48269" s="9"/>
    </row>
    <row r="48270">
      <c r="D48270" s="9"/>
      <c r="G48270" s="9"/>
      <c r="J48270" s="11"/>
      <c r="U48270" s="9"/>
      <c r="X48270" s="9"/>
    </row>
    <row r="48271">
      <c r="D48271" s="9"/>
      <c r="G48271" s="9"/>
      <c r="J48271" s="11"/>
      <c r="U48271" s="9"/>
      <c r="X48271" s="9"/>
    </row>
    <row r="48272">
      <c r="D48272" s="9"/>
      <c r="G48272" s="9"/>
      <c r="J48272" s="11"/>
      <c r="U48272" s="9"/>
      <c r="X48272" s="9"/>
    </row>
    <row r="48273">
      <c r="D48273" s="9"/>
      <c r="G48273" s="9"/>
      <c r="J48273" s="11"/>
      <c r="U48273" s="9"/>
      <c r="X48273" s="9"/>
    </row>
    <row r="48274">
      <c r="D48274" s="9"/>
      <c r="G48274" s="9"/>
      <c r="J48274" s="11"/>
      <c r="U48274" s="9"/>
      <c r="X48274" s="9"/>
    </row>
    <row r="48275">
      <c r="D48275" s="9"/>
      <c r="G48275" s="9"/>
      <c r="J48275" s="11"/>
      <c r="U48275" s="9"/>
      <c r="X48275" s="9"/>
    </row>
    <row r="48276">
      <c r="D48276" s="9"/>
      <c r="G48276" s="9"/>
      <c r="J48276" s="11"/>
      <c r="U48276" s="9"/>
      <c r="X48276" s="9"/>
    </row>
    <row r="48277">
      <c r="D48277" s="9"/>
      <c r="G48277" s="9"/>
      <c r="J48277" s="11"/>
      <c r="U48277" s="9"/>
      <c r="X48277" s="9"/>
    </row>
    <row r="48278">
      <c r="D48278" s="9"/>
      <c r="G48278" s="9"/>
      <c r="J48278" s="11"/>
      <c r="U48278" s="9"/>
      <c r="X48278" s="9"/>
    </row>
    <row r="48279">
      <c r="D48279" s="9"/>
      <c r="G48279" s="9"/>
      <c r="J48279" s="11"/>
      <c r="U48279" s="9"/>
      <c r="X48279" s="9"/>
    </row>
    <row r="48280">
      <c r="D48280" s="9"/>
      <c r="G48280" s="9"/>
      <c r="J48280" s="11"/>
      <c r="U48280" s="9"/>
      <c r="X48280" s="9"/>
    </row>
    <row r="48281">
      <c r="D48281" s="9"/>
      <c r="G48281" s="9"/>
      <c r="J48281" s="11"/>
      <c r="U48281" s="9"/>
      <c r="X48281" s="9"/>
    </row>
    <row r="48282">
      <c r="D48282" s="9"/>
      <c r="G48282" s="9"/>
      <c r="J48282" s="11"/>
      <c r="U48282" s="9"/>
      <c r="X48282" s="9"/>
    </row>
    <row r="48283">
      <c r="D48283" s="9"/>
      <c r="G48283" s="9"/>
      <c r="J48283" s="11"/>
      <c r="U48283" s="9"/>
      <c r="X48283" s="9"/>
    </row>
    <row r="48284">
      <c r="D48284" s="9"/>
      <c r="G48284" s="9"/>
      <c r="J48284" s="11"/>
      <c r="U48284" s="9"/>
      <c r="X48284" s="9"/>
    </row>
    <row r="48285">
      <c r="D48285" s="9"/>
      <c r="G48285" s="9"/>
      <c r="J48285" s="11"/>
      <c r="U48285" s="9"/>
      <c r="X48285" s="9"/>
    </row>
    <row r="48286">
      <c r="D48286" s="9"/>
      <c r="G48286" s="9"/>
      <c r="J48286" s="11"/>
      <c r="U48286" s="9"/>
      <c r="X48286" s="9"/>
    </row>
    <row r="48287">
      <c r="D48287" s="9"/>
      <c r="G48287" s="9"/>
      <c r="J48287" s="11"/>
      <c r="U48287" s="9"/>
      <c r="X48287" s="9"/>
    </row>
    <row r="48288">
      <c r="D48288" s="9"/>
      <c r="G48288" s="9"/>
      <c r="J48288" s="11"/>
      <c r="U48288" s="9"/>
      <c r="X48288" s="9"/>
    </row>
    <row r="48289">
      <c r="D48289" s="9"/>
      <c r="G48289" s="9"/>
      <c r="J48289" s="11"/>
      <c r="U48289" s="9"/>
      <c r="X48289" s="9"/>
    </row>
    <row r="48290">
      <c r="D48290" s="9"/>
      <c r="G48290" s="9"/>
      <c r="J48290" s="11"/>
      <c r="U48290" s="9"/>
      <c r="X48290" s="9"/>
    </row>
    <row r="48291">
      <c r="D48291" s="9"/>
      <c r="G48291" s="9"/>
      <c r="J48291" s="11"/>
      <c r="U48291" s="9"/>
      <c r="X48291" s="9"/>
    </row>
    <row r="48292">
      <c r="D48292" s="9"/>
      <c r="G48292" s="9"/>
      <c r="J48292" s="11"/>
      <c r="U48292" s="9"/>
      <c r="X48292" s="9"/>
    </row>
    <row r="48293">
      <c r="D48293" s="9"/>
      <c r="G48293" s="9"/>
      <c r="J48293" s="11"/>
      <c r="U48293" s="9"/>
      <c r="X48293" s="9"/>
    </row>
    <row r="48294">
      <c r="D48294" s="9"/>
      <c r="G48294" s="9"/>
      <c r="J48294" s="11"/>
      <c r="U48294" s="9"/>
      <c r="X48294" s="9"/>
    </row>
    <row r="48295">
      <c r="D48295" s="9"/>
      <c r="G48295" s="9"/>
      <c r="J48295" s="11"/>
      <c r="U48295" s="9"/>
      <c r="X48295" s="9"/>
    </row>
    <row r="48296">
      <c r="D48296" s="9"/>
      <c r="G48296" s="9"/>
      <c r="J48296" s="11"/>
      <c r="U48296" s="9"/>
      <c r="X48296" s="9"/>
    </row>
    <row r="48297">
      <c r="D48297" s="9"/>
      <c r="G48297" s="9"/>
      <c r="J48297" s="11"/>
      <c r="U48297" s="9"/>
      <c r="X48297" s="9"/>
    </row>
    <row r="48298">
      <c r="D48298" s="9"/>
      <c r="G48298" s="9"/>
      <c r="J48298" s="11"/>
      <c r="U48298" s="9"/>
      <c r="X48298" s="9"/>
    </row>
    <row r="48299">
      <c r="D48299" s="9"/>
      <c r="G48299" s="9"/>
      <c r="J48299" s="11"/>
      <c r="U48299" s="9"/>
      <c r="X48299" s="9"/>
    </row>
    <row r="48300">
      <c r="D48300" s="9"/>
      <c r="G48300" s="9"/>
      <c r="J48300" s="11"/>
      <c r="U48300" s="9"/>
      <c r="X48300" s="9"/>
    </row>
    <row r="48301">
      <c r="D48301" s="9"/>
      <c r="G48301" s="9"/>
      <c r="J48301" s="11"/>
      <c r="U48301" s="9"/>
      <c r="X48301" s="9"/>
    </row>
    <row r="48302">
      <c r="D48302" s="9"/>
      <c r="G48302" s="9"/>
      <c r="J48302" s="11"/>
      <c r="U48302" s="9"/>
      <c r="X48302" s="9"/>
    </row>
    <row r="48303">
      <c r="D48303" s="9"/>
      <c r="G48303" s="9"/>
      <c r="J48303" s="11"/>
      <c r="U48303" s="9"/>
      <c r="X48303" s="9"/>
    </row>
    <row r="48304">
      <c r="D48304" s="9"/>
      <c r="G48304" s="9"/>
      <c r="J48304" s="11"/>
      <c r="U48304" s="9"/>
      <c r="X48304" s="9"/>
    </row>
    <row r="48305">
      <c r="D48305" s="9"/>
      <c r="G48305" s="9"/>
      <c r="J48305" s="11"/>
      <c r="U48305" s="9"/>
      <c r="X48305" s="9"/>
    </row>
    <row r="48306">
      <c r="D48306" s="9"/>
      <c r="G48306" s="9"/>
      <c r="J48306" s="11"/>
      <c r="U48306" s="9"/>
      <c r="X48306" s="9"/>
    </row>
    <row r="48307">
      <c r="D48307" s="9"/>
      <c r="G48307" s="9"/>
      <c r="J48307" s="11"/>
      <c r="U48307" s="9"/>
      <c r="X48307" s="9"/>
    </row>
    <row r="48308">
      <c r="D48308" s="9"/>
      <c r="G48308" s="9"/>
      <c r="J48308" s="11"/>
      <c r="U48308" s="9"/>
      <c r="X48308" s="9"/>
    </row>
    <row r="48309">
      <c r="D48309" s="9"/>
      <c r="G48309" s="9"/>
      <c r="J48309" s="11"/>
      <c r="U48309" s="9"/>
      <c r="X48309" s="9"/>
    </row>
    <row r="48310">
      <c r="D48310" s="9"/>
      <c r="G48310" s="9"/>
      <c r="J48310" s="11"/>
      <c r="U48310" s="9"/>
      <c r="X48310" s="9"/>
    </row>
    <row r="48311">
      <c r="D48311" s="9"/>
      <c r="G48311" s="9"/>
      <c r="J48311" s="11"/>
      <c r="U48311" s="9"/>
      <c r="X48311" s="9"/>
    </row>
    <row r="48312">
      <c r="D48312" s="9"/>
      <c r="G48312" s="9"/>
      <c r="J48312" s="11"/>
      <c r="U48312" s="9"/>
      <c r="X48312" s="9"/>
    </row>
    <row r="48313">
      <c r="D48313" s="9"/>
      <c r="G48313" s="9"/>
      <c r="J48313" s="11"/>
      <c r="U48313" s="9"/>
      <c r="X48313" s="9"/>
    </row>
    <row r="48314">
      <c r="D48314" s="9"/>
      <c r="G48314" s="9"/>
      <c r="J48314" s="11"/>
      <c r="U48314" s="9"/>
      <c r="X48314" s="9"/>
    </row>
    <row r="48315">
      <c r="D48315" s="9"/>
      <c r="G48315" s="9"/>
      <c r="J48315" s="11"/>
      <c r="U48315" s="9"/>
      <c r="X48315" s="9"/>
    </row>
    <row r="48316">
      <c r="D48316" s="9"/>
      <c r="G48316" s="9"/>
      <c r="J48316" s="11"/>
      <c r="U48316" s="9"/>
      <c r="X48316" s="9"/>
    </row>
    <row r="48317">
      <c r="D48317" s="9"/>
      <c r="G48317" s="9"/>
      <c r="J48317" s="11"/>
      <c r="U48317" s="9"/>
      <c r="X48317" s="9"/>
    </row>
    <row r="48318">
      <c r="D48318" s="9"/>
      <c r="G48318" s="9"/>
      <c r="J48318" s="11"/>
      <c r="U48318" s="9"/>
      <c r="X48318" s="9"/>
    </row>
    <row r="48319">
      <c r="D48319" s="9"/>
      <c r="G48319" s="9"/>
      <c r="J48319" s="11"/>
      <c r="U48319" s="9"/>
      <c r="X48319" s="9"/>
    </row>
    <row r="48320">
      <c r="D48320" s="9"/>
      <c r="G48320" s="9"/>
      <c r="J48320" s="11"/>
      <c r="U48320" s="9"/>
      <c r="X48320" s="9"/>
    </row>
    <row r="48321">
      <c r="D48321" s="9"/>
      <c r="G48321" s="9"/>
      <c r="J48321" s="11"/>
      <c r="U48321" s="9"/>
      <c r="X48321" s="9"/>
    </row>
    <row r="48322">
      <c r="D48322" s="9"/>
      <c r="G48322" s="9"/>
      <c r="J48322" s="11"/>
      <c r="U48322" s="9"/>
      <c r="X48322" s="9"/>
    </row>
    <row r="48323">
      <c r="D48323" s="9"/>
      <c r="G48323" s="9"/>
      <c r="J48323" s="11"/>
      <c r="U48323" s="9"/>
      <c r="X48323" s="9"/>
    </row>
    <row r="48324">
      <c r="D48324" s="9"/>
      <c r="G48324" s="9"/>
      <c r="J48324" s="11"/>
      <c r="U48324" s="9"/>
      <c r="X48324" s="9"/>
    </row>
    <row r="48325">
      <c r="D48325" s="9"/>
      <c r="G48325" s="9"/>
      <c r="J48325" s="11"/>
      <c r="U48325" s="9"/>
      <c r="X48325" s="9"/>
    </row>
    <row r="48326">
      <c r="D48326" s="9"/>
      <c r="G48326" s="9"/>
      <c r="J48326" s="11"/>
      <c r="U48326" s="9"/>
      <c r="X48326" s="9"/>
    </row>
    <row r="48327">
      <c r="D48327" s="9"/>
      <c r="G48327" s="9"/>
      <c r="J48327" s="11"/>
      <c r="U48327" s="9"/>
      <c r="X48327" s="9"/>
    </row>
    <row r="48328">
      <c r="D48328" s="9"/>
      <c r="G48328" s="9"/>
      <c r="J48328" s="11"/>
      <c r="U48328" s="9"/>
      <c r="X48328" s="9"/>
    </row>
    <row r="48329">
      <c r="D48329" s="9"/>
      <c r="G48329" s="9"/>
      <c r="J48329" s="11"/>
      <c r="U48329" s="9"/>
      <c r="X48329" s="9"/>
    </row>
    <row r="48330">
      <c r="D48330" s="9"/>
      <c r="G48330" s="9"/>
      <c r="J48330" s="11"/>
      <c r="U48330" s="9"/>
      <c r="X48330" s="9"/>
    </row>
    <row r="48331">
      <c r="D48331" s="9"/>
      <c r="G48331" s="9"/>
      <c r="J48331" s="11"/>
      <c r="U48331" s="9"/>
      <c r="X48331" s="9"/>
    </row>
    <row r="48332">
      <c r="D48332" s="9"/>
      <c r="G48332" s="9"/>
      <c r="J48332" s="11"/>
      <c r="U48332" s="9"/>
      <c r="X48332" s="9"/>
    </row>
    <row r="48333">
      <c r="D48333" s="9"/>
      <c r="G48333" s="9"/>
      <c r="J48333" s="11"/>
      <c r="U48333" s="9"/>
      <c r="X48333" s="9"/>
    </row>
    <row r="48334">
      <c r="D48334" s="9"/>
      <c r="G48334" s="9"/>
      <c r="J48334" s="11"/>
      <c r="U48334" s="9"/>
      <c r="X48334" s="9"/>
    </row>
    <row r="48335">
      <c r="D48335" s="9"/>
      <c r="G48335" s="9"/>
      <c r="J48335" s="11"/>
      <c r="U48335" s="9"/>
      <c r="X48335" s="9"/>
    </row>
    <row r="48336">
      <c r="D48336" s="9"/>
      <c r="G48336" s="9"/>
      <c r="J48336" s="11"/>
      <c r="U48336" s="9"/>
      <c r="X48336" s="9"/>
    </row>
    <row r="48337">
      <c r="D48337" s="9"/>
      <c r="G48337" s="9"/>
      <c r="J48337" s="11"/>
      <c r="U48337" s="9"/>
      <c r="X48337" s="9"/>
    </row>
    <row r="48338">
      <c r="D48338" s="9"/>
      <c r="G48338" s="9"/>
      <c r="J48338" s="11"/>
      <c r="U48338" s="9"/>
      <c r="X48338" s="9"/>
    </row>
    <row r="48339">
      <c r="D48339" s="9"/>
      <c r="G48339" s="9"/>
      <c r="J48339" s="11"/>
      <c r="U48339" s="9"/>
      <c r="X48339" s="9"/>
    </row>
    <row r="48340">
      <c r="D48340" s="9"/>
      <c r="G48340" s="9"/>
      <c r="J48340" s="11"/>
      <c r="U48340" s="9"/>
      <c r="X48340" s="9"/>
    </row>
    <row r="48341">
      <c r="D48341" s="9"/>
      <c r="G48341" s="9"/>
      <c r="J48341" s="11"/>
      <c r="U48341" s="9"/>
      <c r="X48341" s="9"/>
    </row>
    <row r="48342">
      <c r="D48342" s="9"/>
      <c r="G48342" s="9"/>
      <c r="J48342" s="11"/>
      <c r="U48342" s="9"/>
      <c r="X48342" s="9"/>
    </row>
    <row r="48343">
      <c r="D48343" s="9"/>
      <c r="G48343" s="9"/>
      <c r="J48343" s="11"/>
      <c r="U48343" s="9"/>
      <c r="X48343" s="9"/>
    </row>
    <row r="48344">
      <c r="D48344" s="9"/>
      <c r="G48344" s="9"/>
      <c r="J48344" s="11"/>
      <c r="U48344" s="9"/>
      <c r="X48344" s="9"/>
    </row>
    <row r="48345">
      <c r="D48345" s="9"/>
      <c r="G48345" s="9"/>
      <c r="J48345" s="11"/>
      <c r="U48345" s="9"/>
      <c r="X48345" s="9"/>
    </row>
    <row r="48346">
      <c r="D48346" s="9"/>
      <c r="G48346" s="9"/>
      <c r="J48346" s="11"/>
      <c r="U48346" s="9"/>
      <c r="X48346" s="9"/>
    </row>
    <row r="48347">
      <c r="D48347" s="9"/>
      <c r="G48347" s="9"/>
      <c r="J48347" s="11"/>
      <c r="U48347" s="9"/>
      <c r="X48347" s="9"/>
    </row>
    <row r="48348">
      <c r="D48348" s="9"/>
      <c r="G48348" s="9"/>
      <c r="J48348" s="11"/>
      <c r="U48348" s="9"/>
      <c r="X48348" s="9"/>
    </row>
    <row r="48349">
      <c r="D48349" s="9"/>
      <c r="G48349" s="9"/>
      <c r="J48349" s="11"/>
      <c r="U48349" s="9"/>
      <c r="X48349" s="9"/>
    </row>
    <row r="48350">
      <c r="D48350" s="9"/>
      <c r="G48350" s="9"/>
      <c r="J48350" s="11"/>
      <c r="U48350" s="9"/>
      <c r="X48350" s="9"/>
    </row>
    <row r="48351">
      <c r="D48351" s="9"/>
      <c r="G48351" s="9"/>
      <c r="J48351" s="11"/>
      <c r="U48351" s="9"/>
      <c r="X48351" s="9"/>
    </row>
    <row r="48352">
      <c r="D48352" s="9"/>
      <c r="G48352" s="9"/>
      <c r="J48352" s="11"/>
      <c r="U48352" s="9"/>
      <c r="X48352" s="9"/>
    </row>
    <row r="48353">
      <c r="D48353" s="9"/>
      <c r="G48353" s="9"/>
      <c r="J48353" s="11"/>
      <c r="U48353" s="9"/>
      <c r="X48353" s="9"/>
    </row>
    <row r="48354">
      <c r="D48354" s="9"/>
      <c r="G48354" s="9"/>
      <c r="J48354" s="11"/>
      <c r="U48354" s="9"/>
      <c r="X48354" s="9"/>
    </row>
    <row r="48355">
      <c r="D48355" s="9"/>
      <c r="G48355" s="9"/>
      <c r="J48355" s="11"/>
      <c r="U48355" s="9"/>
      <c r="X48355" s="9"/>
    </row>
    <row r="48356">
      <c r="D48356" s="9"/>
      <c r="G48356" s="9"/>
      <c r="J48356" s="11"/>
      <c r="U48356" s="9"/>
      <c r="X48356" s="9"/>
    </row>
    <row r="48357">
      <c r="D48357" s="9"/>
      <c r="G48357" s="9"/>
      <c r="J48357" s="11"/>
      <c r="U48357" s="9"/>
      <c r="X48357" s="9"/>
    </row>
    <row r="48358">
      <c r="D48358" s="9"/>
      <c r="G48358" s="9"/>
      <c r="J48358" s="11"/>
      <c r="U48358" s="9"/>
      <c r="X48358" s="9"/>
    </row>
    <row r="48359">
      <c r="D48359" s="9"/>
      <c r="G48359" s="9"/>
      <c r="J48359" s="11"/>
      <c r="U48359" s="9"/>
      <c r="X48359" s="9"/>
    </row>
    <row r="48360">
      <c r="D48360" s="9"/>
      <c r="G48360" s="9"/>
      <c r="J48360" s="11"/>
      <c r="U48360" s="9"/>
      <c r="X48360" s="9"/>
    </row>
    <row r="48361">
      <c r="D48361" s="9"/>
      <c r="G48361" s="9"/>
      <c r="J48361" s="11"/>
      <c r="U48361" s="9"/>
      <c r="X48361" s="9"/>
    </row>
    <row r="48362">
      <c r="D48362" s="9"/>
      <c r="G48362" s="9"/>
      <c r="J48362" s="11"/>
      <c r="U48362" s="9"/>
      <c r="X48362" s="9"/>
    </row>
    <row r="48363">
      <c r="D48363" s="9"/>
      <c r="G48363" s="9"/>
      <c r="J48363" s="11"/>
      <c r="U48363" s="9"/>
      <c r="X48363" s="9"/>
    </row>
    <row r="48364">
      <c r="D48364" s="9"/>
      <c r="G48364" s="9"/>
      <c r="J48364" s="11"/>
      <c r="U48364" s="9"/>
      <c r="X48364" s="9"/>
    </row>
    <row r="48365">
      <c r="D48365" s="9"/>
      <c r="G48365" s="9"/>
      <c r="J48365" s="11"/>
      <c r="U48365" s="9"/>
      <c r="X48365" s="9"/>
    </row>
    <row r="48366">
      <c r="D48366" s="9"/>
      <c r="G48366" s="9"/>
      <c r="J48366" s="11"/>
      <c r="U48366" s="9"/>
      <c r="X48366" s="9"/>
    </row>
    <row r="48367">
      <c r="D48367" s="9"/>
      <c r="G48367" s="9"/>
      <c r="J48367" s="11"/>
      <c r="U48367" s="9"/>
      <c r="X48367" s="9"/>
    </row>
    <row r="48368">
      <c r="D48368" s="9"/>
      <c r="G48368" s="9"/>
      <c r="J48368" s="11"/>
      <c r="U48368" s="9"/>
      <c r="X48368" s="9"/>
    </row>
    <row r="48369">
      <c r="D48369" s="9"/>
      <c r="G48369" s="9"/>
      <c r="J48369" s="11"/>
      <c r="U48369" s="9"/>
      <c r="X48369" s="9"/>
    </row>
    <row r="48370">
      <c r="D48370" s="9"/>
      <c r="G48370" s="9"/>
      <c r="J48370" s="11"/>
      <c r="U48370" s="9"/>
      <c r="X48370" s="9"/>
    </row>
    <row r="48371">
      <c r="D48371" s="9"/>
      <c r="G48371" s="9"/>
      <c r="J48371" s="11"/>
      <c r="U48371" s="9"/>
      <c r="X48371" s="9"/>
    </row>
    <row r="48372">
      <c r="D48372" s="9"/>
      <c r="G48372" s="9"/>
      <c r="J48372" s="11"/>
      <c r="U48372" s="9"/>
      <c r="X48372" s="9"/>
    </row>
    <row r="48373">
      <c r="D48373" s="9"/>
      <c r="G48373" s="9"/>
      <c r="J48373" s="11"/>
      <c r="U48373" s="9"/>
      <c r="X48373" s="9"/>
    </row>
    <row r="48374">
      <c r="D48374" s="9"/>
      <c r="G48374" s="9"/>
      <c r="J48374" s="11"/>
      <c r="U48374" s="9"/>
      <c r="X48374" s="9"/>
    </row>
    <row r="48375">
      <c r="D48375" s="9"/>
      <c r="G48375" s="9"/>
      <c r="J48375" s="11"/>
      <c r="U48375" s="9"/>
      <c r="X48375" s="9"/>
    </row>
    <row r="48376">
      <c r="D48376" s="9"/>
      <c r="G48376" s="9"/>
      <c r="J48376" s="11"/>
      <c r="U48376" s="9"/>
      <c r="X48376" s="9"/>
    </row>
    <row r="48377">
      <c r="D48377" s="9"/>
      <c r="G48377" s="9"/>
      <c r="J48377" s="11"/>
      <c r="U48377" s="9"/>
      <c r="X48377" s="9"/>
    </row>
    <row r="48378">
      <c r="D48378" s="9"/>
      <c r="G48378" s="9"/>
      <c r="J48378" s="11"/>
      <c r="U48378" s="9"/>
      <c r="X48378" s="9"/>
    </row>
    <row r="48379">
      <c r="D48379" s="9"/>
      <c r="G48379" s="9"/>
      <c r="J48379" s="11"/>
      <c r="U48379" s="9"/>
      <c r="X48379" s="9"/>
    </row>
    <row r="48380">
      <c r="D48380" s="9"/>
      <c r="G48380" s="9"/>
      <c r="J48380" s="11"/>
      <c r="U48380" s="9"/>
      <c r="X48380" s="9"/>
    </row>
    <row r="48381">
      <c r="D48381" s="9"/>
      <c r="G48381" s="9"/>
      <c r="J48381" s="11"/>
      <c r="U48381" s="9"/>
      <c r="X48381" s="9"/>
    </row>
    <row r="48382">
      <c r="D48382" s="9"/>
      <c r="G48382" s="9"/>
      <c r="J48382" s="11"/>
      <c r="U48382" s="9"/>
      <c r="X48382" s="9"/>
    </row>
    <row r="48383">
      <c r="D48383" s="9"/>
      <c r="G48383" s="9"/>
      <c r="J48383" s="11"/>
      <c r="U48383" s="9"/>
      <c r="X48383" s="9"/>
    </row>
    <row r="48384">
      <c r="D48384" s="9"/>
      <c r="G48384" s="9"/>
      <c r="J48384" s="11"/>
      <c r="U48384" s="9"/>
      <c r="X48384" s="9"/>
    </row>
    <row r="48385">
      <c r="D48385" s="9"/>
      <c r="G48385" s="9"/>
      <c r="J48385" s="11"/>
      <c r="U48385" s="9"/>
      <c r="X48385" s="9"/>
    </row>
    <row r="48386">
      <c r="D48386" s="9"/>
      <c r="G48386" s="9"/>
      <c r="J48386" s="11"/>
      <c r="U48386" s="9"/>
      <c r="X48386" s="9"/>
    </row>
    <row r="48387">
      <c r="D48387" s="9"/>
      <c r="G48387" s="9"/>
      <c r="J48387" s="11"/>
      <c r="U48387" s="9"/>
      <c r="X48387" s="9"/>
    </row>
    <row r="48388">
      <c r="D48388" s="9"/>
      <c r="G48388" s="9"/>
      <c r="J48388" s="11"/>
      <c r="U48388" s="9"/>
      <c r="X48388" s="9"/>
    </row>
    <row r="48389">
      <c r="D48389" s="9"/>
      <c r="G48389" s="9"/>
      <c r="J48389" s="11"/>
      <c r="U48389" s="9"/>
      <c r="X48389" s="9"/>
    </row>
    <row r="48390">
      <c r="D48390" s="9"/>
      <c r="G48390" s="9"/>
      <c r="J48390" s="11"/>
      <c r="U48390" s="9"/>
      <c r="X48390" s="9"/>
    </row>
    <row r="48391">
      <c r="D48391" s="9"/>
      <c r="G48391" s="9"/>
      <c r="J48391" s="11"/>
      <c r="U48391" s="9"/>
      <c r="X48391" s="9"/>
    </row>
    <row r="48392">
      <c r="D48392" s="9"/>
      <c r="G48392" s="9"/>
      <c r="J48392" s="11"/>
      <c r="U48392" s="9"/>
      <c r="X48392" s="9"/>
    </row>
    <row r="48393">
      <c r="D48393" s="9"/>
      <c r="G48393" s="9"/>
      <c r="J48393" s="11"/>
      <c r="U48393" s="9"/>
      <c r="X48393" s="9"/>
    </row>
    <row r="48394">
      <c r="D48394" s="9"/>
      <c r="G48394" s="9"/>
      <c r="J48394" s="11"/>
      <c r="U48394" s="9"/>
      <c r="X48394" s="9"/>
    </row>
    <row r="48395">
      <c r="D48395" s="9"/>
      <c r="G48395" s="9"/>
      <c r="J48395" s="11"/>
      <c r="U48395" s="9"/>
      <c r="X48395" s="9"/>
    </row>
    <row r="48396">
      <c r="D48396" s="9"/>
      <c r="G48396" s="9"/>
      <c r="J48396" s="11"/>
      <c r="U48396" s="9"/>
      <c r="X48396" s="9"/>
    </row>
    <row r="48397">
      <c r="D48397" s="9"/>
      <c r="G48397" s="9"/>
      <c r="J48397" s="11"/>
      <c r="U48397" s="9"/>
      <c r="X48397" s="9"/>
    </row>
    <row r="48398">
      <c r="D48398" s="9"/>
      <c r="G48398" s="9"/>
      <c r="J48398" s="11"/>
      <c r="U48398" s="9"/>
      <c r="X48398" s="9"/>
    </row>
    <row r="48399">
      <c r="D48399" s="9"/>
      <c r="G48399" s="9"/>
      <c r="J48399" s="11"/>
      <c r="U48399" s="9"/>
      <c r="X48399" s="9"/>
    </row>
    <row r="48400">
      <c r="D48400" s="9"/>
      <c r="G48400" s="9"/>
      <c r="J48400" s="11"/>
      <c r="U48400" s="9"/>
      <c r="X48400" s="9"/>
    </row>
    <row r="48401">
      <c r="D48401" s="9"/>
      <c r="G48401" s="9"/>
      <c r="J48401" s="11"/>
      <c r="U48401" s="9"/>
      <c r="X48401" s="9"/>
    </row>
    <row r="48402">
      <c r="D48402" s="9"/>
      <c r="G48402" s="9"/>
      <c r="J48402" s="11"/>
      <c r="U48402" s="9"/>
      <c r="X48402" s="9"/>
    </row>
    <row r="48403">
      <c r="D48403" s="9"/>
      <c r="G48403" s="9"/>
      <c r="J48403" s="11"/>
      <c r="U48403" s="9"/>
      <c r="X48403" s="9"/>
    </row>
    <row r="48404">
      <c r="D48404" s="9"/>
      <c r="G48404" s="9"/>
      <c r="J48404" s="11"/>
      <c r="U48404" s="9"/>
      <c r="X48404" s="9"/>
    </row>
    <row r="48405">
      <c r="D48405" s="9"/>
      <c r="G48405" s="9"/>
      <c r="J48405" s="11"/>
      <c r="U48405" s="9"/>
      <c r="X48405" s="9"/>
    </row>
    <row r="48406">
      <c r="D48406" s="9"/>
      <c r="G48406" s="9"/>
      <c r="J48406" s="11"/>
      <c r="U48406" s="9"/>
      <c r="X48406" s="9"/>
    </row>
    <row r="48407">
      <c r="D48407" s="9"/>
      <c r="G48407" s="9"/>
      <c r="J48407" s="11"/>
      <c r="U48407" s="9"/>
      <c r="X48407" s="9"/>
    </row>
    <row r="48408">
      <c r="D48408" s="9"/>
      <c r="G48408" s="9"/>
      <c r="J48408" s="11"/>
      <c r="U48408" s="9"/>
      <c r="X48408" s="9"/>
    </row>
    <row r="48409">
      <c r="D48409" s="9"/>
      <c r="G48409" s="9"/>
      <c r="J48409" s="11"/>
      <c r="U48409" s="9"/>
      <c r="X48409" s="9"/>
    </row>
    <row r="48410">
      <c r="D48410" s="9"/>
      <c r="G48410" s="9"/>
      <c r="J48410" s="11"/>
      <c r="U48410" s="9"/>
      <c r="X48410" s="9"/>
    </row>
    <row r="48411">
      <c r="D48411" s="9"/>
      <c r="G48411" s="9"/>
      <c r="J48411" s="11"/>
      <c r="U48411" s="9"/>
      <c r="X48411" s="9"/>
    </row>
    <row r="48412">
      <c r="D48412" s="9"/>
      <c r="G48412" s="9"/>
      <c r="J48412" s="11"/>
      <c r="U48412" s="9"/>
      <c r="X48412" s="9"/>
    </row>
    <row r="48413">
      <c r="D48413" s="9"/>
      <c r="G48413" s="9"/>
      <c r="J48413" s="11"/>
      <c r="U48413" s="9"/>
      <c r="X48413" s="9"/>
    </row>
    <row r="48414">
      <c r="D48414" s="9"/>
      <c r="G48414" s="9"/>
      <c r="J48414" s="11"/>
      <c r="U48414" s="9"/>
      <c r="X48414" s="9"/>
    </row>
    <row r="48415">
      <c r="D48415" s="9"/>
      <c r="G48415" s="9"/>
      <c r="J48415" s="11"/>
      <c r="U48415" s="9"/>
      <c r="X48415" s="9"/>
    </row>
    <row r="48416">
      <c r="D48416" s="9"/>
      <c r="G48416" s="9"/>
      <c r="J48416" s="11"/>
      <c r="U48416" s="9"/>
      <c r="X48416" s="9"/>
    </row>
    <row r="48417">
      <c r="D48417" s="9"/>
      <c r="G48417" s="9"/>
      <c r="J48417" s="11"/>
      <c r="U48417" s="9"/>
      <c r="X48417" s="9"/>
    </row>
    <row r="48418">
      <c r="D48418" s="9"/>
      <c r="G48418" s="9"/>
      <c r="J48418" s="11"/>
      <c r="U48418" s="9"/>
      <c r="X48418" s="9"/>
    </row>
    <row r="48419">
      <c r="D48419" s="9"/>
      <c r="G48419" s="9"/>
      <c r="J48419" s="11"/>
      <c r="U48419" s="9"/>
      <c r="X48419" s="9"/>
    </row>
    <row r="48420">
      <c r="D48420" s="9"/>
      <c r="G48420" s="9"/>
      <c r="J48420" s="11"/>
      <c r="U48420" s="9"/>
      <c r="X48420" s="9"/>
    </row>
    <row r="48421">
      <c r="D48421" s="9"/>
      <c r="G48421" s="9"/>
      <c r="J48421" s="11"/>
      <c r="U48421" s="9"/>
      <c r="X48421" s="9"/>
    </row>
    <row r="48422">
      <c r="D48422" s="9"/>
      <c r="G48422" s="9"/>
      <c r="J48422" s="11"/>
      <c r="U48422" s="9"/>
      <c r="X48422" s="9"/>
    </row>
    <row r="48423">
      <c r="D48423" s="9"/>
      <c r="G48423" s="9"/>
      <c r="J48423" s="11"/>
      <c r="U48423" s="9"/>
      <c r="X48423" s="9"/>
    </row>
    <row r="48424">
      <c r="D48424" s="9"/>
      <c r="G48424" s="9"/>
      <c r="J48424" s="11"/>
      <c r="U48424" s="9"/>
      <c r="X48424" s="9"/>
    </row>
    <row r="48425">
      <c r="D48425" s="9"/>
      <c r="G48425" s="9"/>
      <c r="J48425" s="11"/>
      <c r="U48425" s="9"/>
      <c r="X48425" s="9"/>
    </row>
    <row r="48426">
      <c r="D48426" s="9"/>
      <c r="G48426" s="9"/>
      <c r="J48426" s="11"/>
      <c r="U48426" s="9"/>
      <c r="X48426" s="9"/>
    </row>
    <row r="48427">
      <c r="D48427" s="9"/>
      <c r="G48427" s="9"/>
      <c r="J48427" s="11"/>
      <c r="U48427" s="9"/>
      <c r="X48427" s="9"/>
    </row>
    <row r="48428">
      <c r="D48428" s="9"/>
      <c r="G48428" s="9"/>
      <c r="J48428" s="11"/>
      <c r="U48428" s="9"/>
      <c r="X48428" s="9"/>
    </row>
    <row r="48429">
      <c r="D48429" s="9"/>
      <c r="G48429" s="9"/>
      <c r="J48429" s="11"/>
      <c r="U48429" s="9"/>
      <c r="X48429" s="9"/>
    </row>
    <row r="48430">
      <c r="D48430" s="9"/>
      <c r="G48430" s="9"/>
      <c r="J48430" s="11"/>
      <c r="U48430" s="9"/>
      <c r="X48430" s="9"/>
    </row>
    <row r="48431">
      <c r="D48431" s="9"/>
      <c r="G48431" s="9"/>
      <c r="J48431" s="11"/>
      <c r="U48431" s="9"/>
      <c r="X48431" s="9"/>
    </row>
    <row r="48432">
      <c r="D48432" s="9"/>
      <c r="G48432" s="9"/>
      <c r="J48432" s="11"/>
      <c r="U48432" s="9"/>
      <c r="X48432" s="9"/>
    </row>
    <row r="48433">
      <c r="D48433" s="9"/>
      <c r="G48433" s="9"/>
      <c r="J48433" s="11"/>
      <c r="U48433" s="9"/>
      <c r="X48433" s="9"/>
    </row>
    <row r="48434">
      <c r="D48434" s="9"/>
      <c r="G48434" s="9"/>
      <c r="J48434" s="11"/>
      <c r="U48434" s="9"/>
      <c r="X48434" s="9"/>
    </row>
    <row r="48435">
      <c r="D48435" s="9"/>
      <c r="G48435" s="9"/>
      <c r="J48435" s="11"/>
      <c r="U48435" s="9"/>
      <c r="X48435" s="9"/>
    </row>
    <row r="48436">
      <c r="D48436" s="9"/>
      <c r="G48436" s="9"/>
      <c r="J48436" s="11"/>
      <c r="U48436" s="9"/>
      <c r="X48436" s="9"/>
    </row>
    <row r="48437">
      <c r="D48437" s="9"/>
      <c r="G48437" s="9"/>
      <c r="J48437" s="11"/>
      <c r="U48437" s="9"/>
      <c r="X48437" s="9"/>
    </row>
    <row r="48438">
      <c r="D48438" s="9"/>
      <c r="G48438" s="9"/>
      <c r="J48438" s="11"/>
      <c r="U48438" s="9"/>
      <c r="X48438" s="9"/>
    </row>
    <row r="48439">
      <c r="D48439" s="9"/>
      <c r="G48439" s="9"/>
      <c r="J48439" s="11"/>
      <c r="U48439" s="9"/>
      <c r="X48439" s="9"/>
    </row>
    <row r="48440">
      <c r="D48440" s="9"/>
      <c r="G48440" s="9"/>
      <c r="J48440" s="11"/>
      <c r="U48440" s="9"/>
      <c r="X48440" s="9"/>
    </row>
    <row r="48441">
      <c r="D48441" s="9"/>
      <c r="G48441" s="9"/>
      <c r="J48441" s="11"/>
      <c r="U48441" s="9"/>
      <c r="X48441" s="9"/>
    </row>
    <row r="48442">
      <c r="D48442" s="9"/>
      <c r="G48442" s="9"/>
      <c r="J48442" s="11"/>
      <c r="U48442" s="9"/>
      <c r="X48442" s="9"/>
    </row>
    <row r="48443">
      <c r="D48443" s="9"/>
      <c r="G48443" s="9"/>
      <c r="J48443" s="11"/>
      <c r="U48443" s="9"/>
      <c r="X48443" s="9"/>
    </row>
    <row r="48444">
      <c r="D48444" s="9"/>
      <c r="G48444" s="9"/>
      <c r="J48444" s="11"/>
      <c r="U48444" s="9"/>
      <c r="X48444" s="9"/>
    </row>
    <row r="48445">
      <c r="D48445" s="9"/>
      <c r="G48445" s="9"/>
      <c r="J48445" s="11"/>
      <c r="U48445" s="9"/>
      <c r="X48445" s="9"/>
    </row>
    <row r="48446">
      <c r="D48446" s="9"/>
      <c r="G48446" s="9"/>
      <c r="J48446" s="11"/>
      <c r="U48446" s="9"/>
      <c r="X48446" s="9"/>
    </row>
    <row r="48447">
      <c r="D48447" s="9"/>
      <c r="G48447" s="9"/>
      <c r="J48447" s="11"/>
      <c r="U48447" s="9"/>
      <c r="X48447" s="9"/>
    </row>
    <row r="48448">
      <c r="D48448" s="9"/>
      <c r="G48448" s="9"/>
      <c r="J48448" s="11"/>
      <c r="U48448" s="9"/>
      <c r="X48448" s="9"/>
    </row>
    <row r="48449">
      <c r="D48449" s="9"/>
      <c r="G48449" s="9"/>
      <c r="J48449" s="11"/>
      <c r="U48449" s="9"/>
      <c r="X48449" s="9"/>
    </row>
    <row r="48450">
      <c r="D48450" s="9"/>
      <c r="G48450" s="9"/>
      <c r="J48450" s="11"/>
      <c r="U48450" s="9"/>
      <c r="X48450" s="9"/>
    </row>
    <row r="48451">
      <c r="D48451" s="9"/>
      <c r="G48451" s="9"/>
      <c r="J48451" s="11"/>
      <c r="U48451" s="9"/>
      <c r="X48451" s="9"/>
    </row>
    <row r="48452">
      <c r="D48452" s="9"/>
      <c r="G48452" s="9"/>
      <c r="J48452" s="11"/>
      <c r="U48452" s="9"/>
      <c r="X48452" s="9"/>
    </row>
    <row r="48453">
      <c r="D48453" s="9"/>
      <c r="G48453" s="9"/>
      <c r="J48453" s="11"/>
      <c r="U48453" s="9"/>
      <c r="X48453" s="9"/>
    </row>
    <row r="48454">
      <c r="D48454" s="9"/>
      <c r="G48454" s="9"/>
      <c r="J48454" s="11"/>
      <c r="U48454" s="9"/>
      <c r="X48454" s="9"/>
    </row>
    <row r="48455">
      <c r="D48455" s="9"/>
      <c r="G48455" s="9"/>
      <c r="J48455" s="11"/>
      <c r="U48455" s="9"/>
      <c r="X48455" s="9"/>
    </row>
    <row r="48456">
      <c r="D48456" s="9"/>
      <c r="G48456" s="9"/>
      <c r="J48456" s="11"/>
      <c r="U48456" s="9"/>
      <c r="X48456" s="9"/>
    </row>
    <row r="48457">
      <c r="D48457" s="9"/>
      <c r="G48457" s="9"/>
      <c r="J48457" s="11"/>
      <c r="U48457" s="9"/>
      <c r="X48457" s="9"/>
    </row>
    <row r="48458">
      <c r="D48458" s="9"/>
      <c r="G48458" s="9"/>
      <c r="J48458" s="11"/>
      <c r="U48458" s="9"/>
      <c r="X48458" s="9"/>
    </row>
    <row r="48459">
      <c r="D48459" s="9"/>
      <c r="G48459" s="9"/>
      <c r="J48459" s="11"/>
      <c r="U48459" s="9"/>
      <c r="X48459" s="9"/>
    </row>
    <row r="48460">
      <c r="D48460" s="9"/>
      <c r="G48460" s="9"/>
      <c r="J48460" s="11"/>
      <c r="U48460" s="9"/>
      <c r="X48460" s="9"/>
    </row>
    <row r="48461">
      <c r="D48461" s="9"/>
      <c r="G48461" s="9"/>
      <c r="J48461" s="11"/>
      <c r="U48461" s="9"/>
      <c r="X48461" s="9"/>
    </row>
    <row r="48462">
      <c r="D48462" s="9"/>
      <c r="G48462" s="9"/>
      <c r="J48462" s="11"/>
      <c r="U48462" s="9"/>
      <c r="X48462" s="9"/>
    </row>
    <row r="48463">
      <c r="D48463" s="9"/>
      <c r="G48463" s="9"/>
      <c r="J48463" s="11"/>
      <c r="U48463" s="9"/>
      <c r="X48463" s="9"/>
    </row>
    <row r="48464">
      <c r="D48464" s="9"/>
      <c r="G48464" s="9"/>
      <c r="J48464" s="11"/>
      <c r="U48464" s="9"/>
      <c r="X48464" s="9"/>
    </row>
    <row r="48465">
      <c r="D48465" s="9"/>
      <c r="G48465" s="9"/>
      <c r="J48465" s="11"/>
      <c r="U48465" s="9"/>
      <c r="X48465" s="9"/>
    </row>
    <row r="48466">
      <c r="D48466" s="9"/>
      <c r="G48466" s="9"/>
      <c r="J48466" s="11"/>
      <c r="U48466" s="9"/>
      <c r="X48466" s="9"/>
    </row>
    <row r="48467">
      <c r="D48467" s="9"/>
      <c r="G48467" s="9"/>
      <c r="J48467" s="11"/>
      <c r="U48467" s="9"/>
      <c r="X48467" s="9"/>
    </row>
    <row r="48468">
      <c r="D48468" s="9"/>
      <c r="G48468" s="9"/>
      <c r="J48468" s="11"/>
      <c r="U48468" s="9"/>
      <c r="X48468" s="9"/>
    </row>
    <row r="48469">
      <c r="D48469" s="9"/>
      <c r="G48469" s="9"/>
      <c r="J48469" s="11"/>
      <c r="U48469" s="9"/>
      <c r="X48469" s="9"/>
    </row>
    <row r="48470">
      <c r="D48470" s="9"/>
      <c r="G48470" s="9"/>
      <c r="J48470" s="11"/>
      <c r="U48470" s="9"/>
      <c r="X48470" s="9"/>
    </row>
    <row r="48471">
      <c r="D48471" s="9"/>
      <c r="G48471" s="9"/>
      <c r="J48471" s="11"/>
      <c r="U48471" s="9"/>
      <c r="X48471" s="9"/>
    </row>
    <row r="48472">
      <c r="D48472" s="9"/>
      <c r="G48472" s="9"/>
      <c r="J48472" s="11"/>
      <c r="U48472" s="9"/>
      <c r="X48472" s="9"/>
    </row>
    <row r="48473">
      <c r="D48473" s="9"/>
      <c r="G48473" s="9"/>
      <c r="J48473" s="11"/>
      <c r="U48473" s="9"/>
      <c r="X48473" s="9"/>
    </row>
    <row r="48474">
      <c r="D48474" s="9"/>
      <c r="G48474" s="9"/>
      <c r="J48474" s="11"/>
      <c r="U48474" s="9"/>
      <c r="X48474" s="9"/>
    </row>
    <row r="48475">
      <c r="D48475" s="9"/>
      <c r="G48475" s="9"/>
      <c r="J48475" s="11"/>
      <c r="U48475" s="9"/>
      <c r="X48475" s="9"/>
    </row>
    <row r="48476">
      <c r="D48476" s="9"/>
      <c r="G48476" s="9"/>
      <c r="J48476" s="11"/>
      <c r="U48476" s="9"/>
      <c r="X48476" s="9"/>
    </row>
    <row r="48477">
      <c r="D48477" s="9"/>
      <c r="G48477" s="9"/>
      <c r="J48477" s="11"/>
      <c r="U48477" s="9"/>
      <c r="X48477" s="9"/>
    </row>
    <row r="48478">
      <c r="D48478" s="9"/>
      <c r="G48478" s="9"/>
      <c r="J48478" s="11"/>
      <c r="U48478" s="9"/>
      <c r="X48478" s="9"/>
    </row>
    <row r="48479">
      <c r="D48479" s="9"/>
      <c r="G48479" s="9"/>
      <c r="J48479" s="11"/>
      <c r="U48479" s="9"/>
      <c r="X48479" s="9"/>
    </row>
    <row r="48480">
      <c r="D48480" s="9"/>
      <c r="G48480" s="9"/>
      <c r="J48480" s="11"/>
      <c r="U48480" s="9"/>
      <c r="X48480" s="9"/>
    </row>
    <row r="48481">
      <c r="D48481" s="9"/>
      <c r="G48481" s="9"/>
      <c r="J48481" s="11"/>
      <c r="U48481" s="9"/>
      <c r="X48481" s="9"/>
    </row>
    <row r="48482">
      <c r="D48482" s="9"/>
      <c r="G48482" s="9"/>
      <c r="J48482" s="11"/>
      <c r="U48482" s="9"/>
      <c r="X48482" s="9"/>
    </row>
    <row r="48483">
      <c r="D48483" s="9"/>
      <c r="G48483" s="9"/>
      <c r="J48483" s="11"/>
      <c r="U48483" s="9"/>
      <c r="X48483" s="9"/>
    </row>
    <row r="48484">
      <c r="D48484" s="9"/>
      <c r="G48484" s="9"/>
      <c r="J48484" s="11"/>
      <c r="U48484" s="9"/>
      <c r="X48484" s="9"/>
    </row>
    <row r="48485">
      <c r="D48485" s="9"/>
      <c r="G48485" s="9"/>
      <c r="J48485" s="11"/>
      <c r="U48485" s="9"/>
      <c r="X48485" s="9"/>
    </row>
    <row r="48486">
      <c r="D48486" s="9"/>
      <c r="G48486" s="9"/>
      <c r="J48486" s="11"/>
      <c r="U48486" s="9"/>
      <c r="X48486" s="9"/>
    </row>
    <row r="48487">
      <c r="D48487" s="9"/>
      <c r="G48487" s="9"/>
      <c r="J48487" s="11"/>
      <c r="U48487" s="9"/>
      <c r="X48487" s="9"/>
    </row>
    <row r="48488">
      <c r="D48488" s="9"/>
      <c r="G48488" s="9"/>
      <c r="J48488" s="11"/>
      <c r="U48488" s="9"/>
      <c r="X48488" s="9"/>
    </row>
    <row r="48489">
      <c r="D48489" s="9"/>
      <c r="G48489" s="9"/>
      <c r="J48489" s="11"/>
      <c r="U48489" s="9"/>
      <c r="X48489" s="9"/>
    </row>
    <row r="48490">
      <c r="D48490" s="9"/>
      <c r="G48490" s="9"/>
      <c r="J48490" s="11"/>
      <c r="U48490" s="9"/>
      <c r="X48490" s="9"/>
    </row>
    <row r="48491">
      <c r="D48491" s="9"/>
      <c r="G48491" s="9"/>
      <c r="J48491" s="11"/>
      <c r="U48491" s="9"/>
      <c r="X48491" s="9"/>
    </row>
    <row r="48492">
      <c r="D48492" s="9"/>
      <c r="G48492" s="9"/>
      <c r="J48492" s="11"/>
      <c r="U48492" s="9"/>
      <c r="X48492" s="9"/>
    </row>
    <row r="48493">
      <c r="D48493" s="9"/>
      <c r="G48493" s="9"/>
      <c r="J48493" s="11"/>
      <c r="U48493" s="9"/>
      <c r="X48493" s="9"/>
    </row>
    <row r="48494">
      <c r="D48494" s="9"/>
      <c r="G48494" s="9"/>
      <c r="J48494" s="11"/>
      <c r="U48494" s="9"/>
      <c r="X48494" s="9"/>
    </row>
    <row r="48495">
      <c r="D48495" s="9"/>
      <c r="G48495" s="9"/>
      <c r="J48495" s="11"/>
      <c r="U48495" s="9"/>
      <c r="X48495" s="9"/>
    </row>
    <row r="48496">
      <c r="D48496" s="9"/>
      <c r="G48496" s="9"/>
      <c r="J48496" s="11"/>
      <c r="U48496" s="9"/>
      <c r="X48496" s="9"/>
    </row>
    <row r="48497">
      <c r="D48497" s="9"/>
      <c r="G48497" s="9"/>
      <c r="J48497" s="11"/>
      <c r="U48497" s="9"/>
      <c r="X48497" s="9"/>
    </row>
    <row r="48498">
      <c r="D48498" s="9"/>
      <c r="G48498" s="9"/>
      <c r="J48498" s="11"/>
      <c r="U48498" s="9"/>
      <c r="X48498" s="9"/>
    </row>
    <row r="48499">
      <c r="D48499" s="9"/>
      <c r="G48499" s="9"/>
      <c r="J48499" s="11"/>
      <c r="U48499" s="9"/>
      <c r="X48499" s="9"/>
    </row>
    <row r="48500">
      <c r="D48500" s="9"/>
      <c r="G48500" s="9"/>
      <c r="J48500" s="11"/>
      <c r="U48500" s="9"/>
      <c r="X48500" s="9"/>
    </row>
    <row r="48501">
      <c r="D48501" s="9"/>
      <c r="G48501" s="9"/>
      <c r="J48501" s="11"/>
      <c r="U48501" s="9"/>
      <c r="X48501" s="9"/>
    </row>
    <row r="48502">
      <c r="D48502" s="9"/>
      <c r="G48502" s="9"/>
      <c r="J48502" s="11"/>
      <c r="U48502" s="9"/>
      <c r="X48502" s="9"/>
    </row>
    <row r="48503">
      <c r="D48503" s="9"/>
      <c r="G48503" s="9"/>
      <c r="J48503" s="11"/>
      <c r="U48503" s="9"/>
      <c r="X48503" s="9"/>
    </row>
    <row r="48504">
      <c r="D48504" s="9"/>
      <c r="G48504" s="9"/>
      <c r="J48504" s="11"/>
      <c r="U48504" s="9"/>
      <c r="X48504" s="9"/>
    </row>
    <row r="48505">
      <c r="D48505" s="9"/>
      <c r="G48505" s="9"/>
      <c r="J48505" s="11"/>
      <c r="U48505" s="9"/>
      <c r="X48505" s="9"/>
    </row>
    <row r="48506">
      <c r="D48506" s="9"/>
      <c r="G48506" s="9"/>
      <c r="J48506" s="11"/>
      <c r="U48506" s="9"/>
      <c r="X48506" s="9"/>
    </row>
    <row r="48507">
      <c r="D48507" s="9"/>
      <c r="G48507" s="9"/>
      <c r="J48507" s="11"/>
      <c r="U48507" s="9"/>
      <c r="X48507" s="9"/>
    </row>
    <row r="48508">
      <c r="D48508" s="9"/>
      <c r="G48508" s="9"/>
      <c r="J48508" s="11"/>
      <c r="U48508" s="9"/>
      <c r="X48508" s="9"/>
    </row>
    <row r="48509">
      <c r="D48509" s="9"/>
      <c r="G48509" s="9"/>
      <c r="J48509" s="11"/>
      <c r="U48509" s="9"/>
      <c r="X48509" s="9"/>
    </row>
    <row r="48510">
      <c r="D48510" s="9"/>
      <c r="G48510" s="9"/>
      <c r="J48510" s="11"/>
      <c r="U48510" s="9"/>
      <c r="X48510" s="9"/>
    </row>
    <row r="48511">
      <c r="D48511" s="9"/>
      <c r="G48511" s="9"/>
      <c r="J48511" s="11"/>
      <c r="U48511" s="9"/>
      <c r="X48511" s="9"/>
    </row>
    <row r="48512">
      <c r="D48512" s="9"/>
      <c r="G48512" s="9"/>
      <c r="J48512" s="11"/>
      <c r="U48512" s="9"/>
      <c r="X48512" s="9"/>
    </row>
    <row r="48513">
      <c r="D48513" s="9"/>
      <c r="G48513" s="9"/>
      <c r="J48513" s="11"/>
      <c r="U48513" s="9"/>
      <c r="X48513" s="9"/>
    </row>
    <row r="48514">
      <c r="D48514" s="9"/>
      <c r="G48514" s="9"/>
      <c r="J48514" s="11"/>
      <c r="U48514" s="9"/>
      <c r="X48514" s="9"/>
    </row>
    <row r="48515">
      <c r="D48515" s="9"/>
      <c r="G48515" s="9"/>
      <c r="J48515" s="11"/>
      <c r="U48515" s="9"/>
      <c r="X48515" s="9"/>
    </row>
    <row r="48516">
      <c r="D48516" s="9"/>
      <c r="G48516" s="9"/>
      <c r="J48516" s="11"/>
      <c r="U48516" s="9"/>
      <c r="X48516" s="9"/>
    </row>
    <row r="48517">
      <c r="D48517" s="9"/>
      <c r="G48517" s="9"/>
      <c r="J48517" s="11"/>
      <c r="U48517" s="9"/>
      <c r="X48517" s="9"/>
    </row>
    <row r="48518">
      <c r="D48518" s="9"/>
      <c r="G48518" s="9"/>
      <c r="J48518" s="11"/>
      <c r="U48518" s="9"/>
      <c r="X48518" s="9"/>
    </row>
    <row r="48519">
      <c r="D48519" s="9"/>
      <c r="G48519" s="9"/>
      <c r="J48519" s="11"/>
      <c r="U48519" s="9"/>
      <c r="X48519" s="9"/>
    </row>
    <row r="48520">
      <c r="D48520" s="9"/>
      <c r="G48520" s="9"/>
      <c r="J48520" s="11"/>
      <c r="U48520" s="9"/>
      <c r="X48520" s="9"/>
    </row>
    <row r="48521">
      <c r="D48521" s="9"/>
      <c r="G48521" s="9"/>
      <c r="J48521" s="11"/>
      <c r="U48521" s="9"/>
      <c r="X48521" s="9"/>
    </row>
    <row r="48522">
      <c r="D48522" s="9"/>
      <c r="G48522" s="9"/>
      <c r="J48522" s="11"/>
      <c r="U48522" s="9"/>
      <c r="X48522" s="9"/>
    </row>
    <row r="48523">
      <c r="D48523" s="9"/>
      <c r="G48523" s="9"/>
      <c r="J48523" s="11"/>
      <c r="U48523" s="9"/>
      <c r="X48523" s="9"/>
    </row>
    <row r="48524">
      <c r="D48524" s="9"/>
      <c r="G48524" s="9"/>
      <c r="J48524" s="11"/>
      <c r="U48524" s="9"/>
      <c r="X48524" s="9"/>
    </row>
    <row r="48525">
      <c r="D48525" s="9"/>
      <c r="G48525" s="9"/>
      <c r="J48525" s="11"/>
      <c r="U48525" s="9"/>
      <c r="X48525" s="9"/>
    </row>
    <row r="48526">
      <c r="D48526" s="9"/>
      <c r="G48526" s="9"/>
      <c r="J48526" s="11"/>
      <c r="U48526" s="9"/>
      <c r="X48526" s="9"/>
    </row>
    <row r="48527">
      <c r="D48527" s="9"/>
      <c r="G48527" s="9"/>
      <c r="J48527" s="11"/>
      <c r="U48527" s="9"/>
      <c r="X48527" s="9"/>
    </row>
    <row r="48528">
      <c r="D48528" s="9"/>
      <c r="G48528" s="9"/>
      <c r="J48528" s="11"/>
      <c r="U48528" s="9"/>
      <c r="X48528" s="9"/>
    </row>
    <row r="48529">
      <c r="D48529" s="9"/>
      <c r="G48529" s="9"/>
      <c r="J48529" s="11"/>
      <c r="U48529" s="9"/>
      <c r="X48529" s="9"/>
    </row>
    <row r="48530">
      <c r="D48530" s="9"/>
      <c r="G48530" s="9"/>
      <c r="J48530" s="11"/>
      <c r="U48530" s="9"/>
      <c r="X48530" s="9"/>
    </row>
    <row r="48531">
      <c r="D48531" s="9"/>
      <c r="G48531" s="9"/>
      <c r="J48531" s="11"/>
      <c r="U48531" s="9"/>
      <c r="X48531" s="9"/>
    </row>
    <row r="48532">
      <c r="D48532" s="9"/>
      <c r="G48532" s="9"/>
      <c r="J48532" s="11"/>
      <c r="U48532" s="9"/>
      <c r="X48532" s="9"/>
    </row>
    <row r="48533">
      <c r="D48533" s="9"/>
      <c r="G48533" s="9"/>
      <c r="J48533" s="11"/>
      <c r="U48533" s="9"/>
      <c r="X48533" s="9"/>
    </row>
    <row r="48534">
      <c r="D48534" s="9"/>
      <c r="G48534" s="9"/>
      <c r="J48534" s="11"/>
      <c r="U48534" s="9"/>
      <c r="X48534" s="9"/>
    </row>
    <row r="48535">
      <c r="D48535" s="9"/>
      <c r="G48535" s="9"/>
      <c r="J48535" s="11"/>
      <c r="U48535" s="9"/>
      <c r="X48535" s="9"/>
    </row>
    <row r="48536">
      <c r="D48536" s="9"/>
      <c r="G48536" s="9"/>
      <c r="J48536" s="11"/>
      <c r="U48536" s="9"/>
      <c r="X48536" s="9"/>
    </row>
    <row r="48537">
      <c r="D48537" s="9"/>
      <c r="G48537" s="9"/>
      <c r="J48537" s="11"/>
      <c r="U48537" s="9"/>
      <c r="X48537" s="9"/>
    </row>
    <row r="48538">
      <c r="D48538" s="9"/>
      <c r="G48538" s="9"/>
      <c r="J48538" s="11"/>
      <c r="U48538" s="9"/>
      <c r="X48538" s="9"/>
    </row>
    <row r="48539">
      <c r="D48539" s="9"/>
      <c r="G48539" s="9"/>
      <c r="J48539" s="11"/>
      <c r="U48539" s="9"/>
      <c r="X48539" s="9"/>
    </row>
    <row r="48540">
      <c r="D48540" s="9"/>
      <c r="G48540" s="9"/>
      <c r="J48540" s="11"/>
      <c r="U48540" s="9"/>
      <c r="X48540" s="9"/>
    </row>
    <row r="48541">
      <c r="D48541" s="9"/>
      <c r="G48541" s="9"/>
      <c r="J48541" s="11"/>
      <c r="U48541" s="9"/>
      <c r="X48541" s="9"/>
    </row>
    <row r="48542">
      <c r="D48542" s="9"/>
      <c r="G48542" s="9"/>
      <c r="J48542" s="11"/>
      <c r="U48542" s="9"/>
      <c r="X48542" s="9"/>
    </row>
    <row r="48543">
      <c r="D48543" s="9"/>
      <c r="G48543" s="9"/>
      <c r="J48543" s="11"/>
      <c r="U48543" s="9"/>
      <c r="X48543" s="9"/>
    </row>
    <row r="48544">
      <c r="D48544" s="9"/>
      <c r="G48544" s="9"/>
      <c r="J48544" s="11"/>
      <c r="U48544" s="9"/>
      <c r="X48544" s="9"/>
    </row>
    <row r="48545">
      <c r="D48545" s="9"/>
      <c r="G48545" s="9"/>
      <c r="J48545" s="11"/>
      <c r="U48545" s="9"/>
      <c r="X48545" s="9"/>
    </row>
    <row r="48546">
      <c r="D48546" s="9"/>
      <c r="G48546" s="9"/>
      <c r="J48546" s="11"/>
      <c r="U48546" s="9"/>
      <c r="X48546" s="9"/>
    </row>
    <row r="48547">
      <c r="D48547" s="9"/>
      <c r="G48547" s="9"/>
      <c r="J48547" s="11"/>
      <c r="U48547" s="9"/>
      <c r="X48547" s="9"/>
    </row>
    <row r="48548">
      <c r="D48548" s="9"/>
      <c r="G48548" s="9"/>
      <c r="J48548" s="11"/>
      <c r="U48548" s="9"/>
      <c r="X48548" s="9"/>
    </row>
    <row r="48549">
      <c r="D48549" s="9"/>
      <c r="G48549" s="9"/>
      <c r="J48549" s="11"/>
      <c r="U48549" s="9"/>
      <c r="X48549" s="9"/>
    </row>
    <row r="48550">
      <c r="D48550" s="9"/>
      <c r="G48550" s="9"/>
      <c r="J48550" s="11"/>
      <c r="U48550" s="9"/>
      <c r="X48550" s="9"/>
    </row>
    <row r="48551">
      <c r="D48551" s="9"/>
      <c r="G48551" s="9"/>
      <c r="J48551" s="11"/>
      <c r="U48551" s="9"/>
      <c r="X48551" s="9"/>
    </row>
    <row r="48552">
      <c r="D48552" s="9"/>
      <c r="G48552" s="9"/>
      <c r="J48552" s="11"/>
      <c r="U48552" s="9"/>
      <c r="X48552" s="9"/>
    </row>
    <row r="48553">
      <c r="D48553" s="9"/>
      <c r="G48553" s="9"/>
      <c r="J48553" s="11"/>
      <c r="U48553" s="9"/>
      <c r="X48553" s="9"/>
    </row>
    <row r="48554">
      <c r="D48554" s="9"/>
      <c r="G48554" s="9"/>
      <c r="J48554" s="11"/>
      <c r="U48554" s="9"/>
      <c r="X48554" s="9"/>
    </row>
    <row r="48555">
      <c r="D48555" s="9"/>
      <c r="G48555" s="9"/>
      <c r="J48555" s="11"/>
      <c r="U48555" s="9"/>
      <c r="X48555" s="9"/>
    </row>
    <row r="48556">
      <c r="D48556" s="9"/>
      <c r="G48556" s="9"/>
      <c r="J48556" s="11"/>
      <c r="U48556" s="9"/>
      <c r="X48556" s="9"/>
    </row>
    <row r="48557">
      <c r="D48557" s="9"/>
      <c r="G48557" s="9"/>
      <c r="J48557" s="11"/>
      <c r="U48557" s="9"/>
      <c r="X48557" s="9"/>
    </row>
    <row r="48558">
      <c r="D48558" s="9"/>
      <c r="G48558" s="9"/>
      <c r="J48558" s="11"/>
      <c r="U48558" s="9"/>
      <c r="X48558" s="9"/>
    </row>
    <row r="48559">
      <c r="D48559" s="9"/>
      <c r="G48559" s="9"/>
      <c r="J48559" s="11"/>
      <c r="U48559" s="9"/>
      <c r="X48559" s="9"/>
    </row>
    <row r="48560">
      <c r="D48560" s="9"/>
      <c r="G48560" s="9"/>
      <c r="J48560" s="11"/>
      <c r="U48560" s="9"/>
      <c r="X48560" s="9"/>
    </row>
    <row r="48561">
      <c r="D48561" s="9"/>
      <c r="G48561" s="9"/>
      <c r="J48561" s="11"/>
      <c r="U48561" s="9"/>
      <c r="X48561" s="9"/>
    </row>
    <row r="48562">
      <c r="D48562" s="9"/>
      <c r="G48562" s="9"/>
      <c r="J48562" s="11"/>
      <c r="U48562" s="9"/>
      <c r="X48562" s="9"/>
    </row>
    <row r="48563">
      <c r="D48563" s="9"/>
      <c r="G48563" s="9"/>
      <c r="J48563" s="11"/>
      <c r="U48563" s="9"/>
      <c r="X48563" s="9"/>
    </row>
    <row r="48564">
      <c r="D48564" s="9"/>
      <c r="G48564" s="9"/>
      <c r="J48564" s="11"/>
      <c r="U48564" s="9"/>
      <c r="X48564" s="9"/>
    </row>
    <row r="48565">
      <c r="D48565" s="9"/>
      <c r="G48565" s="9"/>
      <c r="J48565" s="11"/>
      <c r="U48565" s="9"/>
      <c r="X48565" s="9"/>
    </row>
    <row r="48566">
      <c r="D48566" s="9"/>
      <c r="G48566" s="9"/>
      <c r="J48566" s="11"/>
      <c r="U48566" s="9"/>
      <c r="X48566" s="9"/>
    </row>
    <row r="48567">
      <c r="D48567" s="9"/>
      <c r="G48567" s="9"/>
      <c r="J48567" s="11"/>
      <c r="U48567" s="9"/>
      <c r="X48567" s="9"/>
    </row>
    <row r="48568">
      <c r="D48568" s="9"/>
      <c r="G48568" s="9"/>
      <c r="J48568" s="11"/>
      <c r="U48568" s="9"/>
      <c r="X48568" s="9"/>
    </row>
    <row r="48569">
      <c r="D48569" s="9"/>
      <c r="G48569" s="9"/>
      <c r="J48569" s="11"/>
      <c r="U48569" s="9"/>
      <c r="X48569" s="9"/>
    </row>
    <row r="48570">
      <c r="D48570" s="9"/>
      <c r="G48570" s="9"/>
      <c r="J48570" s="11"/>
      <c r="U48570" s="9"/>
      <c r="X48570" s="9"/>
    </row>
    <row r="48571">
      <c r="D48571" s="9"/>
      <c r="G48571" s="9"/>
      <c r="J48571" s="11"/>
      <c r="U48571" s="9"/>
      <c r="X48571" s="9"/>
    </row>
    <row r="48572">
      <c r="D48572" s="9"/>
      <c r="G48572" s="9"/>
      <c r="J48572" s="11"/>
      <c r="U48572" s="9"/>
      <c r="X48572" s="9"/>
    </row>
    <row r="48573">
      <c r="D48573" s="9"/>
      <c r="G48573" s="9"/>
      <c r="J48573" s="11"/>
      <c r="U48573" s="9"/>
      <c r="X48573" s="9"/>
    </row>
    <row r="48574">
      <c r="D48574" s="9"/>
      <c r="G48574" s="9"/>
      <c r="J48574" s="11"/>
      <c r="U48574" s="9"/>
      <c r="X48574" s="9"/>
    </row>
    <row r="48575">
      <c r="D48575" s="9"/>
      <c r="G48575" s="9"/>
      <c r="J48575" s="11"/>
      <c r="U48575" s="9"/>
      <c r="X48575" s="9"/>
    </row>
    <row r="48576">
      <c r="D48576" s="9"/>
      <c r="G48576" s="9"/>
      <c r="J48576" s="11"/>
      <c r="U48576" s="9"/>
      <c r="X48576" s="9"/>
    </row>
    <row r="48577">
      <c r="D48577" s="9"/>
      <c r="G48577" s="9"/>
      <c r="J48577" s="11"/>
      <c r="U48577" s="9"/>
      <c r="X48577" s="9"/>
    </row>
    <row r="48578">
      <c r="D48578" s="9"/>
      <c r="G48578" s="9"/>
      <c r="J48578" s="11"/>
      <c r="U48578" s="9"/>
      <c r="X48578" s="9"/>
    </row>
    <row r="48579">
      <c r="D48579" s="9"/>
      <c r="G48579" s="9"/>
      <c r="J48579" s="11"/>
      <c r="U48579" s="9"/>
      <c r="X48579" s="9"/>
    </row>
    <row r="48580">
      <c r="D48580" s="9"/>
      <c r="G48580" s="9"/>
      <c r="J48580" s="11"/>
      <c r="U48580" s="9"/>
      <c r="X48580" s="9"/>
    </row>
    <row r="48581">
      <c r="D48581" s="9"/>
      <c r="G48581" s="9"/>
      <c r="J48581" s="11"/>
      <c r="U48581" s="9"/>
      <c r="X48581" s="9"/>
    </row>
    <row r="48582">
      <c r="D48582" s="9"/>
      <c r="G48582" s="9"/>
      <c r="J48582" s="11"/>
      <c r="U48582" s="9"/>
      <c r="X48582" s="9"/>
    </row>
    <row r="48583">
      <c r="D48583" s="9"/>
      <c r="G48583" s="9"/>
      <c r="J48583" s="11"/>
      <c r="U48583" s="9"/>
      <c r="X48583" s="9"/>
    </row>
    <row r="48584">
      <c r="D48584" s="9"/>
      <c r="G48584" s="9"/>
      <c r="J48584" s="11"/>
      <c r="U48584" s="9"/>
      <c r="X48584" s="9"/>
    </row>
    <row r="48585">
      <c r="D48585" s="9"/>
      <c r="G48585" s="9"/>
      <c r="J48585" s="11"/>
      <c r="U48585" s="9"/>
      <c r="X48585" s="9"/>
    </row>
    <row r="48586">
      <c r="D48586" s="9"/>
      <c r="G48586" s="9"/>
      <c r="J48586" s="11"/>
      <c r="U48586" s="9"/>
      <c r="X48586" s="9"/>
    </row>
    <row r="48587">
      <c r="D48587" s="9"/>
      <c r="G48587" s="9"/>
      <c r="J48587" s="11"/>
      <c r="U48587" s="9"/>
      <c r="X48587" s="9"/>
    </row>
    <row r="48588">
      <c r="D48588" s="9"/>
      <c r="G48588" s="9"/>
      <c r="J48588" s="11"/>
      <c r="U48588" s="9"/>
      <c r="X48588" s="9"/>
    </row>
    <row r="48589">
      <c r="D48589" s="9"/>
      <c r="G48589" s="9"/>
      <c r="J48589" s="11"/>
      <c r="U48589" s="9"/>
      <c r="X48589" s="9"/>
    </row>
    <row r="48590">
      <c r="D48590" s="9"/>
      <c r="G48590" s="9"/>
      <c r="J48590" s="11"/>
      <c r="U48590" s="9"/>
      <c r="X48590" s="9"/>
    </row>
    <row r="48591">
      <c r="D48591" s="9"/>
      <c r="G48591" s="9"/>
      <c r="J48591" s="11"/>
      <c r="U48591" s="9"/>
      <c r="X48591" s="9"/>
    </row>
    <row r="48592">
      <c r="D48592" s="9"/>
      <c r="G48592" s="9"/>
      <c r="J48592" s="11"/>
      <c r="U48592" s="9"/>
      <c r="X48592" s="9"/>
    </row>
    <row r="48593">
      <c r="D48593" s="9"/>
      <c r="G48593" s="9"/>
      <c r="J48593" s="11"/>
      <c r="U48593" s="9"/>
      <c r="X48593" s="9"/>
    </row>
    <row r="48594">
      <c r="D48594" s="9"/>
      <c r="G48594" s="9"/>
      <c r="J48594" s="11"/>
      <c r="U48594" s="9"/>
      <c r="X48594" s="9"/>
    </row>
    <row r="48595">
      <c r="D48595" s="9"/>
      <c r="G48595" s="9"/>
      <c r="J48595" s="11"/>
      <c r="U48595" s="9"/>
      <c r="X48595" s="9"/>
    </row>
    <row r="48596">
      <c r="D48596" s="9"/>
      <c r="G48596" s="9"/>
      <c r="J48596" s="11"/>
      <c r="U48596" s="9"/>
      <c r="X48596" s="9"/>
    </row>
    <row r="48597">
      <c r="D48597" s="9"/>
      <c r="G48597" s="9"/>
      <c r="J48597" s="11"/>
      <c r="U48597" s="9"/>
      <c r="X48597" s="9"/>
    </row>
    <row r="48598">
      <c r="D48598" s="9"/>
      <c r="G48598" s="9"/>
      <c r="J48598" s="11"/>
      <c r="U48598" s="9"/>
      <c r="X48598" s="9"/>
    </row>
    <row r="48599">
      <c r="D48599" s="9"/>
      <c r="G48599" s="9"/>
      <c r="J48599" s="11"/>
      <c r="U48599" s="9"/>
      <c r="X48599" s="9"/>
    </row>
    <row r="48600">
      <c r="D48600" s="9"/>
      <c r="G48600" s="9"/>
      <c r="J48600" s="11"/>
      <c r="U48600" s="9"/>
      <c r="X48600" s="9"/>
    </row>
    <row r="48601">
      <c r="D48601" s="9"/>
      <c r="G48601" s="9"/>
      <c r="J48601" s="11"/>
      <c r="U48601" s="9"/>
      <c r="X48601" s="9"/>
    </row>
    <row r="48602">
      <c r="D48602" s="9"/>
      <c r="G48602" s="9"/>
      <c r="J48602" s="11"/>
      <c r="U48602" s="9"/>
      <c r="X48602" s="9"/>
    </row>
    <row r="48603">
      <c r="D48603" s="9"/>
      <c r="G48603" s="9"/>
      <c r="J48603" s="11"/>
      <c r="U48603" s="9"/>
      <c r="X48603" s="9"/>
    </row>
    <row r="48604">
      <c r="D48604" s="9"/>
      <c r="G48604" s="9"/>
      <c r="J48604" s="11"/>
      <c r="U48604" s="9"/>
      <c r="X48604" s="9"/>
    </row>
    <row r="48605">
      <c r="D48605" s="9"/>
      <c r="G48605" s="9"/>
      <c r="J48605" s="11"/>
      <c r="U48605" s="9"/>
      <c r="X48605" s="9"/>
    </row>
    <row r="48606">
      <c r="D48606" s="9"/>
      <c r="G48606" s="9"/>
      <c r="J48606" s="11"/>
      <c r="U48606" s="9"/>
      <c r="X48606" s="9"/>
    </row>
    <row r="48607">
      <c r="D48607" s="9"/>
      <c r="G48607" s="9"/>
      <c r="J48607" s="11"/>
      <c r="U48607" s="9"/>
      <c r="X48607" s="9"/>
    </row>
    <row r="48608">
      <c r="D48608" s="9"/>
      <c r="G48608" s="9"/>
      <c r="J48608" s="11"/>
      <c r="U48608" s="9"/>
      <c r="X48608" s="9"/>
    </row>
    <row r="48609">
      <c r="D48609" s="9"/>
      <c r="G48609" s="9"/>
      <c r="J48609" s="11"/>
      <c r="U48609" s="9"/>
      <c r="X48609" s="9"/>
    </row>
    <row r="48610">
      <c r="D48610" s="9"/>
      <c r="G48610" s="9"/>
      <c r="J48610" s="11"/>
      <c r="U48610" s="9"/>
      <c r="X48610" s="9"/>
    </row>
    <row r="48611">
      <c r="D48611" s="9"/>
      <c r="G48611" s="9"/>
      <c r="J48611" s="11"/>
      <c r="U48611" s="9"/>
      <c r="X48611" s="9"/>
    </row>
    <row r="48612">
      <c r="D48612" s="9"/>
      <c r="G48612" s="9"/>
      <c r="J48612" s="11"/>
      <c r="U48612" s="9"/>
      <c r="X48612" s="9"/>
    </row>
    <row r="48613">
      <c r="D48613" s="9"/>
      <c r="G48613" s="9"/>
      <c r="J48613" s="11"/>
      <c r="U48613" s="9"/>
      <c r="X48613" s="9"/>
    </row>
    <row r="48614">
      <c r="D48614" s="9"/>
      <c r="G48614" s="9"/>
      <c r="J48614" s="11"/>
      <c r="U48614" s="9"/>
      <c r="X48614" s="9"/>
    </row>
    <row r="48615">
      <c r="D48615" s="9"/>
      <c r="G48615" s="9"/>
      <c r="J48615" s="11"/>
      <c r="U48615" s="9"/>
      <c r="X48615" s="9"/>
    </row>
    <row r="48616">
      <c r="D48616" s="9"/>
      <c r="G48616" s="9"/>
      <c r="J48616" s="11"/>
      <c r="U48616" s="9"/>
      <c r="X48616" s="9"/>
    </row>
    <row r="48617">
      <c r="D48617" s="9"/>
      <c r="G48617" s="9"/>
      <c r="J48617" s="11"/>
      <c r="U48617" s="9"/>
      <c r="X48617" s="9"/>
    </row>
    <row r="48618">
      <c r="D48618" s="9"/>
      <c r="G48618" s="9"/>
      <c r="J48618" s="11"/>
      <c r="U48618" s="9"/>
      <c r="X48618" s="9"/>
    </row>
    <row r="48619">
      <c r="D48619" s="9"/>
      <c r="G48619" s="9"/>
      <c r="J48619" s="11"/>
      <c r="U48619" s="9"/>
      <c r="X48619" s="9"/>
    </row>
    <row r="48620">
      <c r="D48620" s="9"/>
      <c r="G48620" s="9"/>
      <c r="J48620" s="11"/>
      <c r="U48620" s="9"/>
      <c r="X48620" s="9"/>
    </row>
    <row r="48621">
      <c r="D48621" s="9"/>
      <c r="G48621" s="9"/>
      <c r="J48621" s="11"/>
      <c r="U48621" s="9"/>
      <c r="X48621" s="9"/>
    </row>
    <row r="48622">
      <c r="D48622" s="9"/>
      <c r="G48622" s="9"/>
      <c r="J48622" s="11"/>
      <c r="U48622" s="9"/>
      <c r="X48622" s="9"/>
    </row>
    <row r="48623">
      <c r="D48623" s="9"/>
      <c r="G48623" s="9"/>
      <c r="J48623" s="11"/>
      <c r="U48623" s="9"/>
      <c r="X48623" s="9"/>
    </row>
    <row r="48624">
      <c r="D48624" s="9"/>
      <c r="G48624" s="9"/>
      <c r="J48624" s="11"/>
      <c r="U48624" s="9"/>
      <c r="X48624" s="9"/>
    </row>
    <row r="48625">
      <c r="D48625" s="9"/>
      <c r="G48625" s="9"/>
      <c r="J48625" s="11"/>
      <c r="U48625" s="9"/>
      <c r="X48625" s="9"/>
    </row>
    <row r="48626">
      <c r="D48626" s="9"/>
      <c r="G48626" s="9"/>
      <c r="J48626" s="11"/>
      <c r="U48626" s="9"/>
      <c r="X48626" s="9"/>
    </row>
    <row r="48627">
      <c r="D48627" s="9"/>
      <c r="G48627" s="9"/>
      <c r="J48627" s="11"/>
      <c r="U48627" s="9"/>
      <c r="X48627" s="9"/>
    </row>
    <row r="48628">
      <c r="D48628" s="9"/>
      <c r="G48628" s="9"/>
      <c r="J48628" s="11"/>
      <c r="U48628" s="9"/>
      <c r="X48628" s="9"/>
    </row>
    <row r="48629">
      <c r="D48629" s="9"/>
      <c r="G48629" s="9"/>
      <c r="J48629" s="11"/>
      <c r="U48629" s="9"/>
      <c r="X48629" s="9"/>
    </row>
    <row r="48630">
      <c r="D48630" s="9"/>
      <c r="G48630" s="9"/>
      <c r="J48630" s="11"/>
      <c r="U48630" s="9"/>
      <c r="X48630" s="9"/>
    </row>
    <row r="48631">
      <c r="D48631" s="9"/>
      <c r="G48631" s="9"/>
      <c r="J48631" s="11"/>
      <c r="U48631" s="9"/>
      <c r="X48631" s="9"/>
    </row>
    <row r="48632">
      <c r="D48632" s="9"/>
      <c r="G48632" s="9"/>
      <c r="J48632" s="11"/>
      <c r="U48632" s="9"/>
      <c r="X48632" s="9"/>
    </row>
    <row r="48633">
      <c r="D48633" s="9"/>
      <c r="G48633" s="9"/>
      <c r="J48633" s="11"/>
      <c r="U48633" s="9"/>
      <c r="X48633" s="9"/>
    </row>
    <row r="48634">
      <c r="D48634" s="9"/>
      <c r="G48634" s="9"/>
      <c r="J48634" s="11"/>
      <c r="U48634" s="9"/>
      <c r="X48634" s="9"/>
    </row>
    <row r="48635">
      <c r="D48635" s="9"/>
      <c r="G48635" s="9"/>
      <c r="J48635" s="11"/>
      <c r="U48635" s="9"/>
      <c r="X48635" s="9"/>
    </row>
    <row r="48636">
      <c r="D48636" s="9"/>
      <c r="G48636" s="9"/>
      <c r="J48636" s="11"/>
      <c r="U48636" s="9"/>
      <c r="X48636" s="9"/>
    </row>
    <row r="48637">
      <c r="D48637" s="9"/>
      <c r="G48637" s="9"/>
      <c r="J48637" s="11"/>
      <c r="U48637" s="9"/>
      <c r="X48637" s="9"/>
    </row>
    <row r="48638">
      <c r="D48638" s="9"/>
      <c r="G48638" s="9"/>
      <c r="J48638" s="11"/>
      <c r="U48638" s="9"/>
      <c r="X48638" s="9"/>
    </row>
    <row r="48639">
      <c r="D48639" s="9"/>
      <c r="G48639" s="9"/>
      <c r="J48639" s="11"/>
      <c r="U48639" s="9"/>
      <c r="X48639" s="9"/>
    </row>
    <row r="48640">
      <c r="D48640" s="9"/>
      <c r="G48640" s="9"/>
      <c r="J48640" s="11"/>
      <c r="U48640" s="9"/>
      <c r="X48640" s="9"/>
    </row>
    <row r="48641">
      <c r="D48641" s="9"/>
      <c r="G48641" s="9"/>
      <c r="J48641" s="11"/>
      <c r="U48641" s="9"/>
      <c r="X48641" s="9"/>
    </row>
    <row r="48642">
      <c r="D48642" s="9"/>
      <c r="G48642" s="9"/>
      <c r="J48642" s="11"/>
      <c r="U48642" s="9"/>
      <c r="X48642" s="9"/>
    </row>
    <row r="48643">
      <c r="D48643" s="9"/>
      <c r="G48643" s="9"/>
      <c r="J48643" s="11"/>
      <c r="U48643" s="9"/>
      <c r="X48643" s="9"/>
    </row>
    <row r="48644">
      <c r="D48644" s="9"/>
      <c r="G48644" s="9"/>
      <c r="J48644" s="11"/>
      <c r="U48644" s="9"/>
      <c r="X48644" s="9"/>
    </row>
    <row r="48645">
      <c r="D48645" s="9"/>
      <c r="G48645" s="9"/>
      <c r="J48645" s="11"/>
      <c r="U48645" s="9"/>
      <c r="X48645" s="9"/>
    </row>
    <row r="48646">
      <c r="D48646" s="9"/>
      <c r="G48646" s="9"/>
      <c r="J48646" s="11"/>
      <c r="U48646" s="9"/>
      <c r="X48646" s="9"/>
    </row>
    <row r="48647">
      <c r="D48647" s="9"/>
      <c r="G48647" s="9"/>
      <c r="J48647" s="11"/>
      <c r="U48647" s="9"/>
      <c r="X48647" s="9"/>
    </row>
    <row r="48648">
      <c r="D48648" s="9"/>
      <c r="G48648" s="9"/>
      <c r="J48648" s="11"/>
      <c r="U48648" s="9"/>
      <c r="X48648" s="9"/>
    </row>
    <row r="48649">
      <c r="D48649" s="9"/>
      <c r="G48649" s="9"/>
      <c r="J48649" s="11"/>
      <c r="U48649" s="9"/>
      <c r="X48649" s="9"/>
    </row>
    <row r="48650">
      <c r="D48650" s="9"/>
      <c r="G48650" s="9"/>
      <c r="J48650" s="11"/>
      <c r="U48650" s="9"/>
      <c r="X48650" s="9"/>
    </row>
    <row r="48651">
      <c r="D48651" s="9"/>
      <c r="G48651" s="9"/>
      <c r="J48651" s="11"/>
      <c r="U48651" s="9"/>
      <c r="X48651" s="9"/>
    </row>
    <row r="48652">
      <c r="D48652" s="9"/>
      <c r="G48652" s="9"/>
      <c r="J48652" s="11"/>
      <c r="U48652" s="9"/>
      <c r="X48652" s="9"/>
    </row>
    <row r="48653">
      <c r="D48653" s="9"/>
      <c r="G48653" s="9"/>
      <c r="J48653" s="11"/>
      <c r="U48653" s="9"/>
      <c r="X48653" s="9"/>
    </row>
    <row r="48654">
      <c r="D48654" s="9"/>
      <c r="G48654" s="9"/>
      <c r="J48654" s="11"/>
      <c r="U48654" s="9"/>
      <c r="X48654" s="9"/>
    </row>
    <row r="48655">
      <c r="D48655" s="9"/>
      <c r="G48655" s="9"/>
      <c r="J48655" s="11"/>
      <c r="U48655" s="9"/>
      <c r="X48655" s="9"/>
    </row>
    <row r="48656">
      <c r="D48656" s="9"/>
      <c r="G48656" s="9"/>
      <c r="J48656" s="11"/>
      <c r="U48656" s="9"/>
      <c r="X48656" s="9"/>
    </row>
    <row r="48657">
      <c r="D48657" s="9"/>
      <c r="G48657" s="9"/>
      <c r="J48657" s="11"/>
      <c r="U48657" s="9"/>
      <c r="X48657" s="9"/>
    </row>
    <row r="48658">
      <c r="D48658" s="9"/>
      <c r="G48658" s="9"/>
      <c r="J48658" s="11"/>
      <c r="U48658" s="9"/>
      <c r="X48658" s="9"/>
    </row>
    <row r="48659">
      <c r="D48659" s="9"/>
      <c r="G48659" s="9"/>
      <c r="J48659" s="11"/>
      <c r="U48659" s="9"/>
      <c r="X48659" s="9"/>
    </row>
    <row r="48660">
      <c r="D48660" s="9"/>
      <c r="G48660" s="9"/>
      <c r="J48660" s="11"/>
      <c r="U48660" s="9"/>
      <c r="X48660" s="9"/>
    </row>
    <row r="48661">
      <c r="D48661" s="9"/>
      <c r="G48661" s="9"/>
      <c r="J48661" s="11"/>
      <c r="U48661" s="9"/>
      <c r="X48661" s="9"/>
    </row>
    <row r="48662">
      <c r="D48662" s="9"/>
      <c r="G48662" s="9"/>
      <c r="J48662" s="11"/>
      <c r="U48662" s="9"/>
      <c r="X48662" s="9"/>
    </row>
    <row r="48663">
      <c r="D48663" s="9"/>
      <c r="G48663" s="9"/>
      <c r="J48663" s="11"/>
      <c r="U48663" s="9"/>
      <c r="X48663" s="9"/>
    </row>
    <row r="48664">
      <c r="D48664" s="9"/>
      <c r="G48664" s="9"/>
      <c r="J48664" s="11"/>
      <c r="U48664" s="9"/>
      <c r="X48664" s="9"/>
    </row>
    <row r="48665">
      <c r="D48665" s="9"/>
      <c r="G48665" s="9"/>
      <c r="J48665" s="11"/>
      <c r="U48665" s="9"/>
      <c r="X48665" s="9"/>
    </row>
    <row r="48666">
      <c r="D48666" s="9"/>
      <c r="G48666" s="9"/>
      <c r="J48666" s="11"/>
      <c r="U48666" s="9"/>
      <c r="X48666" s="9"/>
    </row>
    <row r="48667">
      <c r="D48667" s="9"/>
      <c r="G48667" s="9"/>
      <c r="J48667" s="11"/>
      <c r="U48667" s="9"/>
      <c r="X48667" s="9"/>
    </row>
    <row r="48668">
      <c r="D48668" s="9"/>
      <c r="G48668" s="9"/>
      <c r="J48668" s="11"/>
      <c r="U48668" s="9"/>
      <c r="X48668" s="9"/>
    </row>
    <row r="48669">
      <c r="D48669" s="9"/>
      <c r="G48669" s="9"/>
      <c r="J48669" s="11"/>
      <c r="U48669" s="9"/>
      <c r="X48669" s="9"/>
    </row>
    <row r="48670">
      <c r="D48670" s="9"/>
      <c r="G48670" s="9"/>
      <c r="J48670" s="11"/>
      <c r="U48670" s="9"/>
      <c r="X48670" s="9"/>
    </row>
    <row r="48671">
      <c r="D48671" s="9"/>
      <c r="G48671" s="9"/>
      <c r="J48671" s="11"/>
      <c r="U48671" s="9"/>
      <c r="X48671" s="9"/>
    </row>
    <row r="48672">
      <c r="D48672" s="9"/>
      <c r="G48672" s="9"/>
      <c r="J48672" s="11"/>
      <c r="U48672" s="9"/>
      <c r="X48672" s="9"/>
    </row>
    <row r="48673">
      <c r="D48673" s="9"/>
      <c r="G48673" s="9"/>
      <c r="J48673" s="11"/>
      <c r="U48673" s="9"/>
      <c r="X48673" s="9"/>
    </row>
    <row r="48674">
      <c r="D48674" s="9"/>
      <c r="G48674" s="9"/>
      <c r="J48674" s="11"/>
      <c r="U48674" s="9"/>
      <c r="X48674" s="9"/>
    </row>
    <row r="48675">
      <c r="D48675" s="9"/>
      <c r="G48675" s="9"/>
      <c r="J48675" s="11"/>
      <c r="U48675" s="9"/>
      <c r="X48675" s="9"/>
    </row>
    <row r="48676">
      <c r="D48676" s="9"/>
      <c r="G48676" s="9"/>
      <c r="J48676" s="11"/>
      <c r="U48676" s="9"/>
      <c r="X48676" s="9"/>
    </row>
    <row r="48677">
      <c r="D48677" s="9"/>
      <c r="G48677" s="9"/>
      <c r="J48677" s="11"/>
      <c r="U48677" s="9"/>
      <c r="X48677" s="9"/>
    </row>
    <row r="48678">
      <c r="D48678" s="9"/>
      <c r="G48678" s="9"/>
      <c r="J48678" s="11"/>
      <c r="U48678" s="9"/>
      <c r="X48678" s="9"/>
    </row>
    <row r="48679">
      <c r="D48679" s="9"/>
      <c r="G48679" s="9"/>
      <c r="J48679" s="11"/>
      <c r="U48679" s="9"/>
      <c r="X48679" s="9"/>
    </row>
    <row r="48680">
      <c r="D48680" s="9"/>
      <c r="G48680" s="9"/>
      <c r="J48680" s="11"/>
      <c r="U48680" s="9"/>
      <c r="X48680" s="9"/>
    </row>
    <row r="48681">
      <c r="D48681" s="9"/>
      <c r="G48681" s="9"/>
      <c r="J48681" s="11"/>
      <c r="U48681" s="9"/>
      <c r="X48681" s="9"/>
    </row>
    <row r="48682">
      <c r="D48682" s="9"/>
      <c r="G48682" s="9"/>
      <c r="J48682" s="11"/>
      <c r="U48682" s="9"/>
      <c r="X48682" s="9"/>
    </row>
    <row r="48683">
      <c r="D48683" s="9"/>
      <c r="G48683" s="9"/>
      <c r="J48683" s="11"/>
      <c r="U48683" s="9"/>
      <c r="X48683" s="9"/>
    </row>
    <row r="48684">
      <c r="D48684" s="9"/>
      <c r="G48684" s="9"/>
      <c r="J48684" s="11"/>
      <c r="U48684" s="9"/>
      <c r="X48684" s="9"/>
    </row>
    <row r="48685">
      <c r="D48685" s="9"/>
      <c r="G48685" s="9"/>
      <c r="J48685" s="11"/>
      <c r="U48685" s="9"/>
      <c r="X48685" s="9"/>
    </row>
    <row r="48686">
      <c r="D48686" s="9"/>
      <c r="G48686" s="9"/>
      <c r="J48686" s="11"/>
      <c r="U48686" s="9"/>
      <c r="X48686" s="9"/>
    </row>
    <row r="48687">
      <c r="D48687" s="9"/>
      <c r="G48687" s="9"/>
      <c r="J48687" s="11"/>
      <c r="U48687" s="9"/>
      <c r="X48687" s="9"/>
    </row>
    <row r="48688">
      <c r="D48688" s="9"/>
      <c r="G48688" s="9"/>
      <c r="J48688" s="11"/>
      <c r="U48688" s="9"/>
      <c r="X48688" s="9"/>
    </row>
    <row r="48689">
      <c r="D48689" s="9"/>
      <c r="G48689" s="9"/>
      <c r="J48689" s="11"/>
      <c r="U48689" s="9"/>
      <c r="X48689" s="9"/>
    </row>
    <row r="48690">
      <c r="D48690" s="9"/>
      <c r="G48690" s="9"/>
      <c r="J48690" s="11"/>
      <c r="U48690" s="9"/>
      <c r="X48690" s="9"/>
    </row>
    <row r="48691">
      <c r="D48691" s="9"/>
      <c r="G48691" s="9"/>
      <c r="J48691" s="11"/>
      <c r="U48691" s="9"/>
      <c r="X48691" s="9"/>
    </row>
    <row r="48692">
      <c r="D48692" s="9"/>
      <c r="G48692" s="9"/>
      <c r="J48692" s="11"/>
      <c r="U48692" s="9"/>
      <c r="X48692" s="9"/>
    </row>
    <row r="48693">
      <c r="D48693" s="9"/>
      <c r="G48693" s="9"/>
      <c r="J48693" s="11"/>
      <c r="U48693" s="9"/>
      <c r="X48693" s="9"/>
    </row>
    <row r="48694">
      <c r="D48694" s="9"/>
      <c r="G48694" s="9"/>
      <c r="J48694" s="11"/>
      <c r="U48694" s="9"/>
      <c r="X48694" s="9"/>
    </row>
    <row r="48695">
      <c r="D48695" s="9"/>
      <c r="G48695" s="9"/>
      <c r="J48695" s="11"/>
      <c r="U48695" s="9"/>
      <c r="X48695" s="9"/>
    </row>
    <row r="48696">
      <c r="D48696" s="9"/>
      <c r="G48696" s="9"/>
      <c r="J48696" s="11"/>
      <c r="U48696" s="9"/>
      <c r="X48696" s="9"/>
    </row>
    <row r="48697">
      <c r="D48697" s="9"/>
      <c r="G48697" s="9"/>
      <c r="J48697" s="11"/>
      <c r="U48697" s="9"/>
      <c r="X48697" s="9"/>
    </row>
    <row r="48698">
      <c r="D48698" s="9"/>
      <c r="G48698" s="9"/>
      <c r="J48698" s="11"/>
      <c r="U48698" s="9"/>
      <c r="X48698" s="9"/>
    </row>
    <row r="48699">
      <c r="D48699" s="9"/>
      <c r="G48699" s="9"/>
      <c r="J48699" s="11"/>
      <c r="U48699" s="9"/>
      <c r="X48699" s="9"/>
    </row>
    <row r="48700">
      <c r="D48700" s="9"/>
      <c r="G48700" s="9"/>
      <c r="J48700" s="11"/>
      <c r="U48700" s="9"/>
      <c r="X48700" s="9"/>
    </row>
    <row r="48701">
      <c r="D48701" s="9"/>
      <c r="G48701" s="9"/>
      <c r="J48701" s="11"/>
      <c r="U48701" s="9"/>
      <c r="X48701" s="9"/>
    </row>
    <row r="48702">
      <c r="D48702" s="9"/>
      <c r="G48702" s="9"/>
      <c r="J48702" s="11"/>
      <c r="U48702" s="9"/>
      <c r="X48702" s="9"/>
    </row>
    <row r="48703">
      <c r="D48703" s="9"/>
      <c r="G48703" s="9"/>
      <c r="J48703" s="11"/>
      <c r="U48703" s="9"/>
      <c r="X48703" s="9"/>
    </row>
    <row r="48704">
      <c r="D48704" s="9"/>
      <c r="G48704" s="9"/>
      <c r="J48704" s="11"/>
      <c r="U48704" s="9"/>
      <c r="X48704" s="9"/>
    </row>
    <row r="48705">
      <c r="D48705" s="9"/>
      <c r="G48705" s="9"/>
      <c r="J48705" s="11"/>
      <c r="U48705" s="9"/>
      <c r="X48705" s="9"/>
    </row>
    <row r="48706">
      <c r="D48706" s="9"/>
      <c r="G48706" s="9"/>
      <c r="J48706" s="11"/>
      <c r="U48706" s="9"/>
      <c r="X48706" s="9"/>
    </row>
    <row r="48707">
      <c r="D48707" s="9"/>
      <c r="G48707" s="9"/>
      <c r="J48707" s="11"/>
      <c r="U48707" s="9"/>
      <c r="X48707" s="9"/>
    </row>
    <row r="48708">
      <c r="D48708" s="9"/>
      <c r="G48708" s="9"/>
      <c r="J48708" s="11"/>
      <c r="U48708" s="9"/>
      <c r="X48708" s="9"/>
    </row>
    <row r="48709">
      <c r="D48709" s="9"/>
      <c r="G48709" s="9"/>
      <c r="J48709" s="11"/>
      <c r="U48709" s="9"/>
      <c r="X48709" s="9"/>
    </row>
    <row r="48710">
      <c r="D48710" s="9"/>
      <c r="G48710" s="9"/>
      <c r="J48710" s="11"/>
      <c r="U48710" s="9"/>
      <c r="X48710" s="9"/>
    </row>
    <row r="48711">
      <c r="D48711" s="9"/>
      <c r="G48711" s="9"/>
      <c r="J48711" s="11"/>
      <c r="U48711" s="9"/>
      <c r="X48711" s="9"/>
    </row>
    <row r="48712">
      <c r="D48712" s="9"/>
      <c r="G48712" s="9"/>
      <c r="J48712" s="11"/>
      <c r="U48712" s="9"/>
      <c r="X48712" s="9"/>
    </row>
    <row r="48713">
      <c r="D48713" s="9"/>
      <c r="G48713" s="9"/>
      <c r="J48713" s="11"/>
      <c r="U48713" s="9"/>
      <c r="X48713" s="9"/>
    </row>
    <row r="48714">
      <c r="D48714" s="9"/>
      <c r="G48714" s="9"/>
      <c r="J48714" s="11"/>
      <c r="U48714" s="9"/>
      <c r="X48714" s="9"/>
    </row>
    <row r="48715">
      <c r="D48715" s="9"/>
      <c r="G48715" s="9"/>
      <c r="J48715" s="11"/>
      <c r="U48715" s="9"/>
      <c r="X48715" s="9"/>
    </row>
    <row r="48716">
      <c r="D48716" s="9"/>
      <c r="G48716" s="9"/>
      <c r="J48716" s="11"/>
      <c r="U48716" s="9"/>
      <c r="X48716" s="9"/>
    </row>
    <row r="48717">
      <c r="D48717" s="9"/>
      <c r="G48717" s="9"/>
      <c r="J48717" s="11"/>
      <c r="U48717" s="9"/>
      <c r="X48717" s="9"/>
    </row>
    <row r="48718">
      <c r="D48718" s="9"/>
      <c r="G48718" s="9"/>
      <c r="J48718" s="11"/>
      <c r="U48718" s="9"/>
      <c r="X48718" s="9"/>
    </row>
    <row r="48719">
      <c r="D48719" s="9"/>
      <c r="G48719" s="9"/>
      <c r="J48719" s="11"/>
      <c r="U48719" s="9"/>
      <c r="X48719" s="9"/>
    </row>
    <row r="48720">
      <c r="D48720" s="9"/>
      <c r="G48720" s="9"/>
      <c r="J48720" s="11"/>
      <c r="U48720" s="9"/>
      <c r="X48720" s="9"/>
    </row>
    <row r="48721">
      <c r="D48721" s="9"/>
      <c r="G48721" s="9"/>
      <c r="J48721" s="11"/>
      <c r="U48721" s="9"/>
      <c r="X48721" s="9"/>
    </row>
    <row r="48722">
      <c r="D48722" s="9"/>
      <c r="G48722" s="9"/>
      <c r="J48722" s="11"/>
      <c r="U48722" s="9"/>
      <c r="X48722" s="9"/>
    </row>
    <row r="48723">
      <c r="D48723" s="9"/>
      <c r="G48723" s="9"/>
      <c r="J48723" s="11"/>
      <c r="U48723" s="9"/>
      <c r="X48723" s="9"/>
    </row>
    <row r="48724">
      <c r="D48724" s="9"/>
      <c r="G48724" s="9"/>
      <c r="J48724" s="11"/>
      <c r="U48724" s="9"/>
      <c r="X48724" s="9"/>
    </row>
    <row r="48725">
      <c r="D48725" s="9"/>
      <c r="G48725" s="9"/>
      <c r="J48725" s="11"/>
      <c r="U48725" s="9"/>
      <c r="X48725" s="9"/>
    </row>
    <row r="48726">
      <c r="D48726" s="9"/>
      <c r="G48726" s="9"/>
      <c r="J48726" s="11"/>
      <c r="U48726" s="9"/>
      <c r="X48726" s="9"/>
    </row>
    <row r="48727">
      <c r="D48727" s="9"/>
      <c r="G48727" s="9"/>
      <c r="J48727" s="11"/>
      <c r="U48727" s="9"/>
      <c r="X48727" s="9"/>
    </row>
    <row r="48728">
      <c r="D48728" s="9"/>
      <c r="G48728" s="9"/>
      <c r="J48728" s="11"/>
      <c r="U48728" s="9"/>
      <c r="X48728" s="9"/>
    </row>
    <row r="48729">
      <c r="D48729" s="9"/>
      <c r="G48729" s="9"/>
      <c r="J48729" s="11"/>
      <c r="U48729" s="9"/>
      <c r="X48729" s="9"/>
    </row>
    <row r="48730">
      <c r="D48730" s="9"/>
      <c r="G48730" s="9"/>
      <c r="J48730" s="11"/>
      <c r="U48730" s="9"/>
      <c r="X48730" s="9"/>
    </row>
    <row r="48731">
      <c r="D48731" s="9"/>
      <c r="G48731" s="9"/>
      <c r="J48731" s="11"/>
      <c r="U48731" s="9"/>
      <c r="X48731" s="9"/>
    </row>
    <row r="48732">
      <c r="D48732" s="9"/>
      <c r="G48732" s="9"/>
      <c r="J48732" s="11"/>
      <c r="U48732" s="9"/>
      <c r="X48732" s="9"/>
    </row>
    <row r="48733">
      <c r="D48733" s="9"/>
      <c r="G48733" s="9"/>
      <c r="J48733" s="11"/>
      <c r="U48733" s="9"/>
      <c r="X48733" s="9"/>
    </row>
    <row r="48734">
      <c r="D48734" s="9"/>
      <c r="G48734" s="9"/>
      <c r="J48734" s="11"/>
      <c r="U48734" s="9"/>
      <c r="X48734" s="9"/>
    </row>
    <row r="48735">
      <c r="D48735" s="9"/>
      <c r="G48735" s="9"/>
      <c r="J48735" s="11"/>
      <c r="U48735" s="9"/>
      <c r="X48735" s="9"/>
    </row>
    <row r="48736">
      <c r="D48736" s="9"/>
      <c r="G48736" s="9"/>
      <c r="J48736" s="11"/>
      <c r="U48736" s="9"/>
      <c r="X48736" s="9"/>
    </row>
    <row r="48737">
      <c r="D48737" s="9"/>
      <c r="G48737" s="9"/>
      <c r="J48737" s="11"/>
      <c r="U48737" s="9"/>
      <c r="X48737" s="9"/>
    </row>
    <row r="48738">
      <c r="D48738" s="9"/>
      <c r="G48738" s="9"/>
      <c r="J48738" s="11"/>
      <c r="U48738" s="9"/>
      <c r="X48738" s="9"/>
    </row>
    <row r="48739">
      <c r="D48739" s="9"/>
      <c r="G48739" s="9"/>
      <c r="J48739" s="11"/>
      <c r="U48739" s="9"/>
      <c r="X48739" s="9"/>
    </row>
    <row r="48740">
      <c r="D48740" s="9"/>
      <c r="G48740" s="9"/>
      <c r="J48740" s="11"/>
      <c r="U48740" s="9"/>
      <c r="X48740" s="9"/>
    </row>
    <row r="48741">
      <c r="D48741" s="9"/>
      <c r="G48741" s="9"/>
      <c r="J48741" s="11"/>
      <c r="U48741" s="9"/>
      <c r="X48741" s="9"/>
    </row>
    <row r="48742">
      <c r="D48742" s="9"/>
      <c r="G48742" s="9"/>
      <c r="J48742" s="11"/>
      <c r="U48742" s="9"/>
      <c r="X48742" s="9"/>
    </row>
    <row r="48743">
      <c r="D48743" s="9"/>
      <c r="G48743" s="9"/>
      <c r="J48743" s="11"/>
      <c r="U48743" s="9"/>
      <c r="X48743" s="9"/>
    </row>
    <row r="48744">
      <c r="D48744" s="9"/>
      <c r="G48744" s="9"/>
      <c r="J48744" s="11"/>
      <c r="U48744" s="9"/>
      <c r="X48744" s="9"/>
    </row>
    <row r="48745">
      <c r="D48745" s="9"/>
      <c r="G48745" s="9"/>
      <c r="J48745" s="11"/>
      <c r="U48745" s="9"/>
      <c r="X48745" s="9"/>
    </row>
    <row r="48746">
      <c r="D48746" s="9"/>
      <c r="G48746" s="9"/>
      <c r="J48746" s="11"/>
      <c r="U48746" s="9"/>
      <c r="X48746" s="9"/>
    </row>
    <row r="48747">
      <c r="D48747" s="9"/>
      <c r="G48747" s="9"/>
      <c r="J48747" s="11"/>
      <c r="U48747" s="9"/>
      <c r="X48747" s="9"/>
    </row>
    <row r="48748">
      <c r="D48748" s="9"/>
      <c r="G48748" s="9"/>
      <c r="J48748" s="11"/>
      <c r="U48748" s="9"/>
      <c r="X48748" s="9"/>
    </row>
    <row r="48749">
      <c r="D48749" s="9"/>
      <c r="G48749" s="9"/>
      <c r="J48749" s="11"/>
      <c r="U48749" s="9"/>
      <c r="X48749" s="9"/>
    </row>
    <row r="48750">
      <c r="D48750" s="9"/>
      <c r="G48750" s="9"/>
      <c r="J48750" s="11"/>
      <c r="U48750" s="9"/>
      <c r="X48750" s="9"/>
    </row>
    <row r="48751">
      <c r="D48751" s="9"/>
      <c r="G48751" s="9"/>
      <c r="J48751" s="11"/>
      <c r="U48751" s="9"/>
      <c r="X48751" s="9"/>
    </row>
    <row r="48752">
      <c r="D48752" s="9"/>
      <c r="G48752" s="9"/>
      <c r="J48752" s="11"/>
      <c r="U48752" s="9"/>
      <c r="X48752" s="9"/>
    </row>
    <row r="48753">
      <c r="D48753" s="9"/>
      <c r="G48753" s="9"/>
      <c r="J48753" s="11"/>
      <c r="U48753" s="9"/>
      <c r="X48753" s="9"/>
    </row>
    <row r="48754">
      <c r="D48754" s="9"/>
      <c r="G48754" s="9"/>
      <c r="J48754" s="11"/>
      <c r="U48754" s="9"/>
      <c r="X48754" s="9"/>
    </row>
    <row r="48755">
      <c r="D48755" s="9"/>
      <c r="G48755" s="9"/>
      <c r="J48755" s="11"/>
      <c r="U48755" s="9"/>
      <c r="X48755" s="9"/>
    </row>
    <row r="48756">
      <c r="D48756" s="9"/>
      <c r="G48756" s="9"/>
      <c r="J48756" s="11"/>
      <c r="U48756" s="9"/>
      <c r="X48756" s="9"/>
    </row>
    <row r="48757">
      <c r="D48757" s="9"/>
      <c r="G48757" s="9"/>
      <c r="J48757" s="11"/>
      <c r="U48757" s="9"/>
      <c r="X48757" s="9"/>
    </row>
    <row r="48758">
      <c r="D48758" s="9"/>
      <c r="G48758" s="9"/>
      <c r="J48758" s="11"/>
      <c r="U48758" s="9"/>
      <c r="X48758" s="9"/>
    </row>
    <row r="48759">
      <c r="D48759" s="9"/>
      <c r="G48759" s="9"/>
      <c r="J48759" s="11"/>
      <c r="U48759" s="9"/>
      <c r="X48759" s="9"/>
    </row>
    <row r="48760">
      <c r="D48760" s="9"/>
      <c r="G48760" s="9"/>
      <c r="J48760" s="11"/>
      <c r="U48760" s="9"/>
      <c r="X48760" s="9"/>
    </row>
    <row r="48761">
      <c r="D48761" s="9"/>
      <c r="G48761" s="9"/>
      <c r="J48761" s="11"/>
      <c r="U48761" s="9"/>
      <c r="X48761" s="9"/>
    </row>
    <row r="48762">
      <c r="D48762" s="9"/>
      <c r="G48762" s="9"/>
      <c r="J48762" s="11"/>
      <c r="U48762" s="9"/>
      <c r="X48762" s="9"/>
    </row>
    <row r="48763">
      <c r="D48763" s="9"/>
      <c r="G48763" s="9"/>
      <c r="J48763" s="11"/>
      <c r="U48763" s="9"/>
      <c r="X48763" s="9"/>
    </row>
    <row r="48764">
      <c r="D48764" s="9"/>
      <c r="G48764" s="9"/>
      <c r="J48764" s="11"/>
      <c r="U48764" s="9"/>
      <c r="X48764" s="9"/>
    </row>
    <row r="48765">
      <c r="D48765" s="9"/>
      <c r="G48765" s="9"/>
      <c r="J48765" s="11"/>
      <c r="U48765" s="9"/>
      <c r="X48765" s="9"/>
    </row>
    <row r="48766">
      <c r="D48766" s="9"/>
      <c r="G48766" s="9"/>
      <c r="J48766" s="11"/>
      <c r="U48766" s="9"/>
      <c r="X48766" s="9"/>
    </row>
    <row r="48767">
      <c r="D48767" s="9"/>
      <c r="G48767" s="9"/>
      <c r="J48767" s="11"/>
      <c r="U48767" s="9"/>
      <c r="X48767" s="9"/>
    </row>
    <row r="48768">
      <c r="D48768" s="9"/>
      <c r="G48768" s="9"/>
      <c r="J48768" s="11"/>
      <c r="U48768" s="9"/>
      <c r="X48768" s="9"/>
    </row>
    <row r="48769">
      <c r="D48769" s="9"/>
      <c r="G48769" s="9"/>
      <c r="J48769" s="11"/>
      <c r="U48769" s="9"/>
      <c r="X48769" s="9"/>
    </row>
    <row r="48770">
      <c r="D48770" s="9"/>
      <c r="G48770" s="9"/>
      <c r="J48770" s="11"/>
      <c r="U48770" s="9"/>
      <c r="X48770" s="9"/>
    </row>
    <row r="48771">
      <c r="D48771" s="9"/>
      <c r="G48771" s="9"/>
      <c r="J48771" s="11"/>
      <c r="U48771" s="9"/>
      <c r="X48771" s="9"/>
    </row>
    <row r="48772">
      <c r="D48772" s="9"/>
      <c r="G48772" s="9"/>
      <c r="J48772" s="11"/>
      <c r="U48772" s="9"/>
      <c r="X48772" s="9"/>
    </row>
    <row r="48773">
      <c r="D48773" s="9"/>
      <c r="G48773" s="9"/>
      <c r="J48773" s="11"/>
      <c r="U48773" s="9"/>
      <c r="X48773" s="9"/>
    </row>
    <row r="48774">
      <c r="D48774" s="9"/>
      <c r="G48774" s="9"/>
      <c r="J48774" s="11"/>
      <c r="U48774" s="9"/>
      <c r="X48774" s="9"/>
    </row>
    <row r="48775">
      <c r="D48775" s="9"/>
      <c r="G48775" s="9"/>
      <c r="J48775" s="11"/>
      <c r="U48775" s="9"/>
      <c r="X48775" s="9"/>
    </row>
    <row r="48776">
      <c r="D48776" s="9"/>
      <c r="G48776" s="9"/>
      <c r="J48776" s="11"/>
      <c r="U48776" s="9"/>
      <c r="X48776" s="9"/>
    </row>
    <row r="48777">
      <c r="D48777" s="9"/>
      <c r="G48777" s="9"/>
      <c r="J48777" s="11"/>
      <c r="U48777" s="9"/>
      <c r="X48777" s="9"/>
    </row>
    <row r="48778">
      <c r="D48778" s="9"/>
      <c r="G48778" s="9"/>
      <c r="J48778" s="11"/>
      <c r="U48778" s="9"/>
      <c r="X48778" s="9"/>
    </row>
    <row r="48779">
      <c r="D48779" s="9"/>
      <c r="G48779" s="9"/>
      <c r="J48779" s="11"/>
      <c r="U48779" s="9"/>
      <c r="X48779" s="9"/>
    </row>
    <row r="48780">
      <c r="D48780" s="9"/>
      <c r="G48780" s="9"/>
      <c r="J48780" s="11"/>
      <c r="U48780" s="9"/>
      <c r="X48780" s="9"/>
    </row>
    <row r="48781">
      <c r="D48781" s="9"/>
      <c r="G48781" s="9"/>
      <c r="J48781" s="11"/>
      <c r="U48781" s="9"/>
      <c r="X48781" s="9"/>
    </row>
    <row r="48782">
      <c r="D48782" s="9"/>
      <c r="G48782" s="9"/>
      <c r="J48782" s="11"/>
      <c r="U48782" s="9"/>
      <c r="X48782" s="9"/>
    </row>
    <row r="48783">
      <c r="D48783" s="9"/>
      <c r="G48783" s="9"/>
      <c r="J48783" s="11"/>
      <c r="U48783" s="9"/>
      <c r="X48783" s="9"/>
    </row>
    <row r="48784">
      <c r="D48784" s="9"/>
      <c r="G48784" s="9"/>
      <c r="J48784" s="11"/>
      <c r="U48784" s="9"/>
      <c r="X48784" s="9"/>
    </row>
    <row r="48785">
      <c r="D48785" s="9"/>
      <c r="G48785" s="9"/>
      <c r="J48785" s="11"/>
      <c r="U48785" s="9"/>
      <c r="X48785" s="9"/>
    </row>
    <row r="48786">
      <c r="D48786" s="9"/>
      <c r="G48786" s="9"/>
      <c r="J48786" s="11"/>
      <c r="U48786" s="9"/>
      <c r="X48786" s="9"/>
    </row>
    <row r="48787">
      <c r="D48787" s="9"/>
      <c r="G48787" s="9"/>
      <c r="J48787" s="11"/>
      <c r="U48787" s="9"/>
      <c r="X48787" s="9"/>
    </row>
    <row r="48788">
      <c r="D48788" s="9"/>
      <c r="G48788" s="9"/>
      <c r="J48788" s="11"/>
      <c r="U48788" s="9"/>
      <c r="X48788" s="9"/>
    </row>
    <row r="48789">
      <c r="D48789" s="9"/>
      <c r="G48789" s="9"/>
      <c r="J48789" s="11"/>
      <c r="U48789" s="9"/>
      <c r="X48789" s="9"/>
    </row>
    <row r="48790">
      <c r="D48790" s="9"/>
      <c r="G48790" s="9"/>
      <c r="J48790" s="11"/>
      <c r="U48790" s="9"/>
      <c r="X48790" s="9"/>
    </row>
    <row r="48791">
      <c r="D48791" s="9"/>
      <c r="G48791" s="9"/>
      <c r="J48791" s="11"/>
      <c r="U48791" s="9"/>
      <c r="X48791" s="9"/>
    </row>
    <row r="48792">
      <c r="D48792" s="9"/>
      <c r="G48792" s="9"/>
      <c r="J48792" s="11"/>
      <c r="U48792" s="9"/>
      <c r="X48792" s="9"/>
    </row>
    <row r="48793">
      <c r="D48793" s="9"/>
      <c r="G48793" s="9"/>
      <c r="J48793" s="11"/>
      <c r="U48793" s="9"/>
      <c r="X48793" s="9"/>
    </row>
    <row r="48794">
      <c r="D48794" s="9"/>
      <c r="G48794" s="9"/>
      <c r="J48794" s="11"/>
      <c r="U48794" s="9"/>
      <c r="X48794" s="9"/>
    </row>
    <row r="48795">
      <c r="D48795" s="9"/>
      <c r="G48795" s="9"/>
      <c r="J48795" s="11"/>
      <c r="U48795" s="9"/>
      <c r="X48795" s="9"/>
    </row>
    <row r="48796">
      <c r="D48796" s="9"/>
      <c r="G48796" s="9"/>
      <c r="J48796" s="11"/>
      <c r="U48796" s="9"/>
      <c r="X48796" s="9"/>
    </row>
    <row r="48797">
      <c r="D48797" s="9"/>
      <c r="G48797" s="9"/>
      <c r="J48797" s="11"/>
      <c r="U48797" s="9"/>
      <c r="X48797" s="9"/>
    </row>
    <row r="48798">
      <c r="D48798" s="9"/>
      <c r="G48798" s="9"/>
      <c r="J48798" s="11"/>
      <c r="U48798" s="9"/>
      <c r="X48798" s="9"/>
    </row>
    <row r="48799">
      <c r="D48799" s="9"/>
      <c r="G48799" s="9"/>
      <c r="J48799" s="11"/>
      <c r="U48799" s="9"/>
      <c r="X48799" s="9"/>
    </row>
    <row r="48800">
      <c r="D48800" s="9"/>
      <c r="G48800" s="9"/>
      <c r="J48800" s="11"/>
      <c r="U48800" s="9"/>
      <c r="X48800" s="9"/>
    </row>
    <row r="48801">
      <c r="D48801" s="9"/>
      <c r="G48801" s="9"/>
      <c r="J48801" s="11"/>
      <c r="U48801" s="9"/>
      <c r="X48801" s="9"/>
    </row>
    <row r="48802">
      <c r="D48802" s="9"/>
      <c r="G48802" s="9"/>
      <c r="J48802" s="11"/>
      <c r="U48802" s="9"/>
      <c r="X48802" s="9"/>
    </row>
    <row r="48803">
      <c r="D48803" s="9"/>
      <c r="G48803" s="9"/>
      <c r="J48803" s="11"/>
      <c r="U48803" s="9"/>
      <c r="X48803" s="9"/>
    </row>
    <row r="48804">
      <c r="D48804" s="9"/>
      <c r="G48804" s="9"/>
      <c r="J48804" s="11"/>
      <c r="U48804" s="9"/>
      <c r="X48804" s="9"/>
    </row>
    <row r="48805">
      <c r="D48805" s="9"/>
      <c r="G48805" s="9"/>
      <c r="J48805" s="11"/>
      <c r="U48805" s="9"/>
      <c r="X48805" s="9"/>
    </row>
    <row r="48806">
      <c r="D48806" s="9"/>
      <c r="G48806" s="9"/>
      <c r="J48806" s="11"/>
      <c r="U48806" s="9"/>
      <c r="X48806" s="9"/>
    </row>
    <row r="48807">
      <c r="D48807" s="9"/>
      <c r="G48807" s="9"/>
      <c r="J48807" s="11"/>
      <c r="U48807" s="9"/>
      <c r="X48807" s="9"/>
    </row>
    <row r="48808">
      <c r="D48808" s="9"/>
      <c r="G48808" s="9"/>
      <c r="J48808" s="11"/>
      <c r="U48808" s="9"/>
      <c r="X48808" s="9"/>
    </row>
    <row r="48809">
      <c r="D48809" s="9"/>
      <c r="G48809" s="9"/>
      <c r="J48809" s="11"/>
      <c r="U48809" s="9"/>
      <c r="X48809" s="9"/>
    </row>
    <row r="48810">
      <c r="D48810" s="9"/>
      <c r="G48810" s="9"/>
      <c r="J48810" s="11"/>
      <c r="U48810" s="9"/>
      <c r="X48810" s="9"/>
    </row>
    <row r="48811">
      <c r="D48811" s="9"/>
      <c r="G48811" s="9"/>
      <c r="J48811" s="11"/>
      <c r="U48811" s="9"/>
      <c r="X48811" s="9"/>
    </row>
    <row r="48812">
      <c r="D48812" s="9"/>
      <c r="G48812" s="9"/>
      <c r="J48812" s="11"/>
      <c r="U48812" s="9"/>
      <c r="X48812" s="9"/>
    </row>
    <row r="48813">
      <c r="D48813" s="9"/>
      <c r="G48813" s="9"/>
      <c r="J48813" s="11"/>
      <c r="U48813" s="9"/>
      <c r="X48813" s="9"/>
    </row>
    <row r="48814">
      <c r="D48814" s="9"/>
      <c r="G48814" s="9"/>
      <c r="J48814" s="11"/>
      <c r="U48814" s="9"/>
      <c r="X48814" s="9"/>
    </row>
    <row r="48815">
      <c r="D48815" s="9"/>
      <c r="G48815" s="9"/>
      <c r="J48815" s="11"/>
      <c r="U48815" s="9"/>
      <c r="X48815" s="9"/>
    </row>
    <row r="48816">
      <c r="D48816" s="9"/>
      <c r="G48816" s="9"/>
      <c r="J48816" s="11"/>
      <c r="U48816" s="9"/>
      <c r="X48816" s="9"/>
    </row>
    <row r="48817">
      <c r="D48817" s="9"/>
      <c r="G48817" s="9"/>
      <c r="J48817" s="11"/>
      <c r="U48817" s="9"/>
      <c r="X48817" s="9"/>
    </row>
    <row r="48818">
      <c r="D48818" s="9"/>
      <c r="G48818" s="9"/>
      <c r="J48818" s="11"/>
      <c r="U48818" s="9"/>
      <c r="X48818" s="9"/>
    </row>
    <row r="48819">
      <c r="D48819" s="9"/>
      <c r="G48819" s="9"/>
      <c r="J48819" s="11"/>
      <c r="U48819" s="9"/>
      <c r="X48819" s="9"/>
    </row>
    <row r="48820">
      <c r="D48820" s="9"/>
      <c r="G48820" s="9"/>
      <c r="J48820" s="11"/>
      <c r="U48820" s="9"/>
      <c r="X48820" s="9"/>
    </row>
    <row r="48821">
      <c r="D48821" s="9"/>
      <c r="G48821" s="9"/>
      <c r="J48821" s="11"/>
      <c r="U48821" s="9"/>
      <c r="X48821" s="9"/>
    </row>
    <row r="48822">
      <c r="D48822" s="9"/>
      <c r="G48822" s="9"/>
      <c r="J48822" s="11"/>
      <c r="U48822" s="9"/>
      <c r="X48822" s="9"/>
    </row>
    <row r="48823">
      <c r="D48823" s="9"/>
      <c r="G48823" s="9"/>
      <c r="J48823" s="11"/>
      <c r="U48823" s="9"/>
      <c r="X48823" s="9"/>
    </row>
    <row r="48824">
      <c r="D48824" s="9"/>
      <c r="G48824" s="9"/>
      <c r="J48824" s="11"/>
      <c r="U48824" s="9"/>
      <c r="X48824" s="9"/>
    </row>
    <row r="48825">
      <c r="D48825" s="9"/>
      <c r="G48825" s="9"/>
      <c r="J48825" s="11"/>
      <c r="U48825" s="9"/>
      <c r="X48825" s="9"/>
    </row>
    <row r="48826">
      <c r="D48826" s="9"/>
      <c r="G48826" s="9"/>
      <c r="J48826" s="11"/>
      <c r="U48826" s="9"/>
      <c r="X48826" s="9"/>
    </row>
    <row r="48827">
      <c r="D48827" s="9"/>
      <c r="G48827" s="9"/>
      <c r="J48827" s="11"/>
      <c r="U48827" s="9"/>
      <c r="X48827" s="9"/>
    </row>
    <row r="48828">
      <c r="D48828" s="9"/>
      <c r="G48828" s="9"/>
      <c r="J48828" s="11"/>
      <c r="U48828" s="9"/>
      <c r="X48828" s="9"/>
    </row>
    <row r="48829">
      <c r="D48829" s="9"/>
      <c r="G48829" s="9"/>
      <c r="J48829" s="11"/>
      <c r="U48829" s="9"/>
      <c r="X48829" s="9"/>
    </row>
    <row r="48830">
      <c r="D48830" s="9"/>
      <c r="G48830" s="9"/>
      <c r="J48830" s="11"/>
      <c r="U48830" s="9"/>
      <c r="X48830" s="9"/>
    </row>
    <row r="48831">
      <c r="D48831" s="9"/>
      <c r="G48831" s="9"/>
      <c r="J48831" s="11"/>
      <c r="U48831" s="9"/>
      <c r="X48831" s="9"/>
    </row>
    <row r="48832">
      <c r="D48832" s="9"/>
      <c r="G48832" s="9"/>
      <c r="J48832" s="11"/>
      <c r="U48832" s="9"/>
      <c r="X48832" s="9"/>
    </row>
    <row r="48833">
      <c r="D48833" s="9"/>
      <c r="G48833" s="9"/>
      <c r="J48833" s="11"/>
      <c r="U48833" s="9"/>
      <c r="X48833" s="9"/>
    </row>
    <row r="48834">
      <c r="D48834" s="9"/>
      <c r="G48834" s="9"/>
      <c r="J48834" s="11"/>
      <c r="U48834" s="9"/>
      <c r="X48834" s="9"/>
    </row>
    <row r="48835">
      <c r="D48835" s="9"/>
      <c r="G48835" s="9"/>
      <c r="J48835" s="11"/>
      <c r="U48835" s="9"/>
      <c r="X48835" s="9"/>
    </row>
    <row r="48836">
      <c r="D48836" s="9"/>
      <c r="G48836" s="9"/>
      <c r="J48836" s="11"/>
      <c r="U48836" s="9"/>
      <c r="X48836" s="9"/>
    </row>
    <row r="48837">
      <c r="D48837" s="9"/>
      <c r="G48837" s="9"/>
      <c r="J48837" s="11"/>
      <c r="U48837" s="9"/>
      <c r="X48837" s="9"/>
    </row>
    <row r="48838">
      <c r="D48838" s="9"/>
      <c r="G48838" s="9"/>
      <c r="J48838" s="11"/>
      <c r="U48838" s="9"/>
      <c r="X48838" s="9"/>
    </row>
    <row r="48839">
      <c r="D48839" s="9"/>
      <c r="G48839" s="9"/>
      <c r="J48839" s="11"/>
      <c r="U48839" s="9"/>
      <c r="X48839" s="9"/>
    </row>
    <row r="48840">
      <c r="D48840" s="9"/>
      <c r="G48840" s="9"/>
      <c r="J48840" s="11"/>
      <c r="U48840" s="9"/>
      <c r="X48840" s="9"/>
    </row>
    <row r="48841">
      <c r="D48841" s="9"/>
      <c r="G48841" s="9"/>
      <c r="J48841" s="11"/>
      <c r="U48841" s="9"/>
      <c r="X48841" s="9"/>
    </row>
    <row r="48842">
      <c r="D48842" s="9"/>
      <c r="G48842" s="9"/>
      <c r="J48842" s="11"/>
      <c r="U48842" s="9"/>
      <c r="X48842" s="9"/>
    </row>
    <row r="48843">
      <c r="D48843" s="9"/>
      <c r="G48843" s="9"/>
      <c r="J48843" s="11"/>
      <c r="U48843" s="9"/>
      <c r="X48843" s="9"/>
    </row>
    <row r="48844">
      <c r="D48844" s="9"/>
      <c r="G48844" s="9"/>
      <c r="J48844" s="11"/>
      <c r="U48844" s="9"/>
      <c r="X48844" s="9"/>
    </row>
    <row r="48845">
      <c r="D48845" s="9"/>
      <c r="G48845" s="9"/>
      <c r="J48845" s="11"/>
      <c r="U48845" s="9"/>
      <c r="X48845" s="9"/>
    </row>
    <row r="48846">
      <c r="D48846" s="9"/>
      <c r="G48846" s="9"/>
      <c r="J48846" s="11"/>
      <c r="U48846" s="9"/>
      <c r="X48846" s="9"/>
    </row>
    <row r="48847">
      <c r="D48847" s="9"/>
      <c r="G48847" s="9"/>
      <c r="J48847" s="11"/>
      <c r="U48847" s="9"/>
      <c r="X48847" s="9"/>
    </row>
    <row r="48848">
      <c r="D48848" s="9"/>
      <c r="G48848" s="9"/>
      <c r="J48848" s="11"/>
      <c r="U48848" s="9"/>
      <c r="X48848" s="9"/>
    </row>
    <row r="48849">
      <c r="D48849" s="9"/>
      <c r="G48849" s="9"/>
      <c r="J48849" s="11"/>
      <c r="U48849" s="9"/>
      <c r="X48849" s="9"/>
    </row>
    <row r="48850">
      <c r="D48850" s="9"/>
      <c r="G48850" s="9"/>
      <c r="J48850" s="11"/>
      <c r="U48850" s="9"/>
      <c r="X48850" s="9"/>
    </row>
    <row r="48851">
      <c r="D48851" s="9"/>
      <c r="G48851" s="9"/>
      <c r="J48851" s="11"/>
      <c r="U48851" s="9"/>
      <c r="X48851" s="9"/>
    </row>
    <row r="48852">
      <c r="D48852" s="9"/>
      <c r="G48852" s="9"/>
      <c r="J48852" s="11"/>
      <c r="U48852" s="9"/>
      <c r="X48852" s="9"/>
    </row>
    <row r="48853">
      <c r="D48853" s="9"/>
      <c r="G48853" s="9"/>
      <c r="J48853" s="11"/>
      <c r="U48853" s="9"/>
      <c r="X48853" s="9"/>
    </row>
    <row r="48854">
      <c r="D48854" s="9"/>
      <c r="G48854" s="9"/>
      <c r="J48854" s="11"/>
      <c r="U48854" s="9"/>
      <c r="X48854" s="9"/>
    </row>
    <row r="48855">
      <c r="D48855" s="9"/>
      <c r="G48855" s="9"/>
      <c r="J48855" s="11"/>
      <c r="U48855" s="9"/>
      <c r="X48855" s="9"/>
    </row>
    <row r="48856">
      <c r="D48856" s="9"/>
      <c r="G48856" s="9"/>
      <c r="J48856" s="11"/>
      <c r="U48856" s="9"/>
      <c r="X48856" s="9"/>
    </row>
    <row r="48857">
      <c r="D48857" s="9"/>
      <c r="G48857" s="9"/>
      <c r="J48857" s="11"/>
      <c r="U48857" s="9"/>
      <c r="X48857" s="9"/>
    </row>
    <row r="48858">
      <c r="D48858" s="9"/>
      <c r="G48858" s="9"/>
      <c r="J48858" s="11"/>
      <c r="U48858" s="9"/>
      <c r="X48858" s="9"/>
    </row>
    <row r="48859">
      <c r="D48859" s="9"/>
      <c r="G48859" s="9"/>
      <c r="J48859" s="11"/>
      <c r="U48859" s="9"/>
      <c r="X48859" s="9"/>
    </row>
    <row r="48860">
      <c r="D48860" s="9"/>
      <c r="G48860" s="9"/>
      <c r="J48860" s="11"/>
      <c r="U48860" s="9"/>
      <c r="X48860" s="9"/>
    </row>
    <row r="48861">
      <c r="D48861" s="9"/>
      <c r="G48861" s="9"/>
      <c r="J48861" s="11"/>
      <c r="U48861" s="9"/>
      <c r="X48861" s="9"/>
    </row>
    <row r="48862">
      <c r="D48862" s="9"/>
      <c r="G48862" s="9"/>
      <c r="J48862" s="11"/>
      <c r="U48862" s="9"/>
      <c r="X48862" s="9"/>
    </row>
    <row r="48863">
      <c r="D48863" s="9"/>
      <c r="G48863" s="9"/>
      <c r="J48863" s="11"/>
      <c r="U48863" s="9"/>
      <c r="X48863" s="9"/>
    </row>
    <row r="48864">
      <c r="D48864" s="9"/>
      <c r="G48864" s="9"/>
      <c r="J48864" s="11"/>
      <c r="U48864" s="9"/>
      <c r="X48864" s="9"/>
    </row>
    <row r="48865">
      <c r="D48865" s="9"/>
      <c r="G48865" s="9"/>
      <c r="J48865" s="11"/>
      <c r="U48865" s="9"/>
      <c r="X48865" s="9"/>
    </row>
    <row r="48866">
      <c r="D48866" s="9"/>
      <c r="G48866" s="9"/>
      <c r="J48866" s="11"/>
      <c r="U48866" s="9"/>
      <c r="X48866" s="9"/>
    </row>
    <row r="48867">
      <c r="D48867" s="9"/>
      <c r="G48867" s="9"/>
      <c r="J48867" s="11"/>
      <c r="U48867" s="9"/>
      <c r="X48867" s="9"/>
    </row>
    <row r="48868">
      <c r="D48868" s="9"/>
      <c r="G48868" s="9"/>
      <c r="J48868" s="11"/>
      <c r="U48868" s="9"/>
      <c r="X48868" s="9"/>
    </row>
    <row r="48869">
      <c r="D48869" s="9"/>
      <c r="G48869" s="9"/>
      <c r="J48869" s="11"/>
      <c r="U48869" s="9"/>
      <c r="X48869" s="9"/>
    </row>
    <row r="48870">
      <c r="D48870" s="9"/>
      <c r="G48870" s="9"/>
      <c r="J48870" s="11"/>
      <c r="U48870" s="9"/>
      <c r="X48870" s="9"/>
    </row>
    <row r="48871">
      <c r="D48871" s="9"/>
      <c r="G48871" s="9"/>
      <c r="J48871" s="11"/>
      <c r="U48871" s="9"/>
      <c r="X48871" s="9"/>
    </row>
    <row r="48872">
      <c r="D48872" s="9"/>
      <c r="G48872" s="9"/>
      <c r="J48872" s="11"/>
      <c r="U48872" s="9"/>
      <c r="X48872" s="9"/>
    </row>
    <row r="48873">
      <c r="D48873" s="9"/>
      <c r="G48873" s="9"/>
      <c r="J48873" s="11"/>
      <c r="U48873" s="9"/>
      <c r="X48873" s="9"/>
    </row>
    <row r="48874">
      <c r="D48874" s="9"/>
      <c r="G48874" s="9"/>
      <c r="J48874" s="11"/>
      <c r="U48874" s="9"/>
      <c r="X48874" s="9"/>
    </row>
    <row r="48875">
      <c r="D48875" s="9"/>
      <c r="G48875" s="9"/>
      <c r="J48875" s="11"/>
      <c r="U48875" s="9"/>
      <c r="X48875" s="9"/>
    </row>
    <row r="48876">
      <c r="D48876" s="9"/>
      <c r="G48876" s="9"/>
      <c r="J48876" s="11"/>
      <c r="U48876" s="9"/>
      <c r="X48876" s="9"/>
    </row>
    <row r="48877">
      <c r="D48877" s="9"/>
      <c r="G48877" s="9"/>
      <c r="J48877" s="11"/>
      <c r="U48877" s="9"/>
      <c r="X48877" s="9"/>
    </row>
    <row r="48878">
      <c r="D48878" s="9"/>
      <c r="G48878" s="9"/>
      <c r="J48878" s="11"/>
      <c r="U48878" s="9"/>
      <c r="X48878" s="9"/>
    </row>
    <row r="48879">
      <c r="D48879" s="9"/>
      <c r="G48879" s="9"/>
      <c r="J48879" s="11"/>
      <c r="U48879" s="9"/>
      <c r="X48879" s="9"/>
    </row>
    <row r="48880">
      <c r="D48880" s="9"/>
      <c r="G48880" s="9"/>
      <c r="J48880" s="11"/>
      <c r="U48880" s="9"/>
      <c r="X48880" s="9"/>
    </row>
    <row r="48881">
      <c r="D48881" s="9"/>
      <c r="G48881" s="9"/>
      <c r="J48881" s="11"/>
      <c r="U48881" s="9"/>
      <c r="X48881" s="9"/>
    </row>
    <row r="48882">
      <c r="D48882" s="9"/>
      <c r="G48882" s="9"/>
      <c r="J48882" s="11"/>
      <c r="U48882" s="9"/>
      <c r="X48882" s="9"/>
    </row>
    <row r="48883">
      <c r="D48883" s="9"/>
      <c r="G48883" s="9"/>
      <c r="J48883" s="11"/>
      <c r="U48883" s="9"/>
      <c r="X48883" s="9"/>
    </row>
    <row r="48884">
      <c r="D48884" s="9"/>
      <c r="G48884" s="9"/>
      <c r="J48884" s="11"/>
      <c r="U48884" s="9"/>
      <c r="X48884" s="9"/>
    </row>
    <row r="48885">
      <c r="D48885" s="9"/>
      <c r="G48885" s="9"/>
      <c r="J48885" s="11"/>
      <c r="U48885" s="9"/>
      <c r="X48885" s="9"/>
    </row>
    <row r="48886">
      <c r="D48886" s="9"/>
      <c r="G48886" s="9"/>
      <c r="J48886" s="11"/>
      <c r="U48886" s="9"/>
      <c r="X48886" s="9"/>
    </row>
    <row r="48887">
      <c r="D48887" s="9"/>
      <c r="G48887" s="9"/>
      <c r="J48887" s="11"/>
      <c r="U48887" s="9"/>
      <c r="X48887" s="9"/>
    </row>
    <row r="48888">
      <c r="D48888" s="9"/>
      <c r="G48888" s="9"/>
      <c r="J48888" s="11"/>
      <c r="U48888" s="9"/>
      <c r="X48888" s="9"/>
    </row>
    <row r="48889">
      <c r="D48889" s="9"/>
      <c r="G48889" s="9"/>
      <c r="J48889" s="11"/>
      <c r="U48889" s="9"/>
      <c r="X48889" s="9"/>
    </row>
    <row r="48890">
      <c r="D48890" s="9"/>
      <c r="G48890" s="9"/>
      <c r="J48890" s="11"/>
      <c r="U48890" s="9"/>
      <c r="X48890" s="9"/>
    </row>
    <row r="48891">
      <c r="D48891" s="9"/>
      <c r="G48891" s="9"/>
      <c r="J48891" s="11"/>
      <c r="U48891" s="9"/>
      <c r="X48891" s="9"/>
    </row>
    <row r="48892">
      <c r="D48892" s="9"/>
      <c r="G48892" s="9"/>
      <c r="J48892" s="11"/>
      <c r="U48892" s="9"/>
      <c r="X48892" s="9"/>
    </row>
    <row r="48893">
      <c r="D48893" s="9"/>
      <c r="G48893" s="9"/>
      <c r="J48893" s="11"/>
      <c r="U48893" s="9"/>
      <c r="X48893" s="9"/>
    </row>
    <row r="48894">
      <c r="D48894" s="9"/>
      <c r="G48894" s="9"/>
      <c r="J48894" s="11"/>
      <c r="U48894" s="9"/>
      <c r="X48894" s="9"/>
    </row>
    <row r="48895">
      <c r="D48895" s="9"/>
      <c r="G48895" s="9"/>
      <c r="J48895" s="11"/>
      <c r="U48895" s="9"/>
      <c r="X48895" s="9"/>
    </row>
    <row r="48896">
      <c r="D48896" s="9"/>
      <c r="G48896" s="9"/>
      <c r="J48896" s="11"/>
      <c r="U48896" s="9"/>
      <c r="X48896" s="9"/>
    </row>
    <row r="48897">
      <c r="D48897" s="9"/>
      <c r="G48897" s="9"/>
      <c r="J48897" s="11"/>
      <c r="U48897" s="9"/>
      <c r="X48897" s="9"/>
    </row>
    <row r="48898">
      <c r="D48898" s="9"/>
      <c r="G48898" s="9"/>
      <c r="J48898" s="11"/>
      <c r="U48898" s="9"/>
      <c r="X48898" s="9"/>
    </row>
    <row r="48899">
      <c r="D48899" s="9"/>
      <c r="G48899" s="9"/>
      <c r="J48899" s="11"/>
      <c r="U48899" s="9"/>
      <c r="X48899" s="9"/>
    </row>
    <row r="48900">
      <c r="D48900" s="9"/>
      <c r="G48900" s="9"/>
      <c r="J48900" s="11"/>
      <c r="U48900" s="9"/>
      <c r="X48900" s="9"/>
    </row>
    <row r="48901">
      <c r="D48901" s="9"/>
      <c r="G48901" s="9"/>
      <c r="J48901" s="11"/>
      <c r="U48901" s="9"/>
      <c r="X48901" s="9"/>
    </row>
    <row r="48902">
      <c r="D48902" s="9"/>
      <c r="G48902" s="9"/>
      <c r="J48902" s="11"/>
      <c r="U48902" s="9"/>
      <c r="X48902" s="9"/>
    </row>
    <row r="48903">
      <c r="D48903" s="9"/>
      <c r="G48903" s="9"/>
      <c r="J48903" s="11"/>
      <c r="U48903" s="9"/>
      <c r="X48903" s="9"/>
    </row>
    <row r="48904">
      <c r="D48904" s="9"/>
      <c r="G48904" s="9"/>
      <c r="J48904" s="11"/>
      <c r="U48904" s="9"/>
      <c r="X48904" s="9"/>
    </row>
    <row r="48905">
      <c r="D48905" s="9"/>
      <c r="G48905" s="9"/>
      <c r="J48905" s="11"/>
      <c r="U48905" s="9"/>
      <c r="X48905" s="9"/>
    </row>
    <row r="48906">
      <c r="D48906" s="9"/>
      <c r="G48906" s="9"/>
      <c r="J48906" s="11"/>
      <c r="U48906" s="9"/>
      <c r="X48906" s="9"/>
    </row>
    <row r="48907">
      <c r="D48907" s="9"/>
      <c r="G48907" s="9"/>
      <c r="J48907" s="11"/>
      <c r="U48907" s="9"/>
      <c r="X48907" s="9"/>
    </row>
    <row r="48908">
      <c r="D48908" s="9"/>
      <c r="G48908" s="9"/>
      <c r="J48908" s="11"/>
      <c r="U48908" s="9"/>
      <c r="X48908" s="9"/>
    </row>
    <row r="48909">
      <c r="D48909" s="9"/>
      <c r="G48909" s="9"/>
      <c r="J48909" s="11"/>
      <c r="U48909" s="9"/>
      <c r="X48909" s="9"/>
    </row>
    <row r="48910">
      <c r="D48910" s="9"/>
      <c r="G48910" s="9"/>
      <c r="J48910" s="11"/>
      <c r="U48910" s="9"/>
      <c r="X48910" s="9"/>
    </row>
    <row r="48911">
      <c r="D48911" s="9"/>
      <c r="G48911" s="9"/>
      <c r="J48911" s="11"/>
      <c r="U48911" s="9"/>
      <c r="X48911" s="9"/>
    </row>
    <row r="48912">
      <c r="D48912" s="9"/>
      <c r="G48912" s="9"/>
      <c r="J48912" s="11"/>
      <c r="U48912" s="9"/>
      <c r="X48912" s="9"/>
    </row>
    <row r="48913">
      <c r="D48913" s="9"/>
      <c r="G48913" s="9"/>
      <c r="J48913" s="11"/>
      <c r="U48913" s="9"/>
      <c r="X48913" s="9"/>
    </row>
    <row r="48914">
      <c r="D48914" s="9"/>
      <c r="G48914" s="9"/>
      <c r="J48914" s="11"/>
      <c r="U48914" s="9"/>
      <c r="X48914" s="9"/>
    </row>
    <row r="48915">
      <c r="D48915" s="9"/>
      <c r="G48915" s="9"/>
      <c r="J48915" s="11"/>
      <c r="U48915" s="9"/>
      <c r="X48915" s="9"/>
    </row>
    <row r="48916">
      <c r="D48916" s="9"/>
      <c r="G48916" s="9"/>
      <c r="J48916" s="11"/>
      <c r="U48916" s="9"/>
      <c r="X48916" s="9"/>
    </row>
    <row r="48917">
      <c r="D48917" s="9"/>
      <c r="G48917" s="9"/>
      <c r="J48917" s="11"/>
      <c r="U48917" s="9"/>
      <c r="X48917" s="9"/>
    </row>
    <row r="48918">
      <c r="D48918" s="9"/>
      <c r="G48918" s="9"/>
      <c r="J48918" s="11"/>
      <c r="U48918" s="9"/>
      <c r="X48918" s="9"/>
    </row>
    <row r="48919">
      <c r="D48919" s="9"/>
      <c r="G48919" s="9"/>
      <c r="J48919" s="11"/>
      <c r="U48919" s="9"/>
      <c r="X48919" s="9"/>
    </row>
    <row r="48920">
      <c r="D48920" s="9"/>
      <c r="G48920" s="9"/>
      <c r="J48920" s="11"/>
      <c r="U48920" s="9"/>
      <c r="X48920" s="9"/>
    </row>
    <row r="48921">
      <c r="D48921" s="9"/>
      <c r="G48921" s="9"/>
      <c r="J48921" s="11"/>
      <c r="U48921" s="9"/>
      <c r="X48921" s="9"/>
    </row>
    <row r="48922">
      <c r="D48922" s="9"/>
      <c r="G48922" s="9"/>
      <c r="J48922" s="11"/>
      <c r="U48922" s="9"/>
      <c r="X48922" s="9"/>
    </row>
    <row r="48923">
      <c r="D48923" s="9"/>
      <c r="G48923" s="9"/>
      <c r="J48923" s="11"/>
      <c r="U48923" s="9"/>
      <c r="X48923" s="9"/>
    </row>
    <row r="48924">
      <c r="D48924" s="9"/>
      <c r="G48924" s="9"/>
      <c r="J48924" s="11"/>
      <c r="U48924" s="9"/>
      <c r="X48924" s="9"/>
    </row>
    <row r="48925">
      <c r="D48925" s="9"/>
      <c r="G48925" s="9"/>
      <c r="J48925" s="11"/>
      <c r="U48925" s="9"/>
      <c r="X48925" s="9"/>
    </row>
    <row r="48926">
      <c r="D48926" s="9"/>
      <c r="G48926" s="9"/>
      <c r="J48926" s="11"/>
      <c r="U48926" s="9"/>
      <c r="X48926" s="9"/>
    </row>
    <row r="48927">
      <c r="D48927" s="9"/>
      <c r="G48927" s="9"/>
      <c r="J48927" s="11"/>
      <c r="U48927" s="9"/>
      <c r="X48927" s="9"/>
    </row>
    <row r="48928">
      <c r="D48928" s="9"/>
      <c r="G48928" s="9"/>
      <c r="J48928" s="11"/>
      <c r="U48928" s="9"/>
      <c r="X48928" s="9"/>
    </row>
    <row r="48929">
      <c r="D48929" s="9"/>
      <c r="G48929" s="9"/>
      <c r="J48929" s="11"/>
      <c r="U48929" s="9"/>
      <c r="X48929" s="9"/>
    </row>
    <row r="48930">
      <c r="D48930" s="9"/>
      <c r="G48930" s="9"/>
      <c r="J48930" s="11"/>
      <c r="U48930" s="9"/>
      <c r="X48930" s="9"/>
    </row>
    <row r="48931">
      <c r="D48931" s="9"/>
      <c r="G48931" s="9"/>
      <c r="J48931" s="11"/>
      <c r="U48931" s="9"/>
      <c r="X48931" s="9"/>
    </row>
    <row r="48932">
      <c r="D48932" s="9"/>
      <c r="G48932" s="9"/>
      <c r="J48932" s="11"/>
      <c r="U48932" s="9"/>
      <c r="X48932" s="9"/>
    </row>
    <row r="48933">
      <c r="D48933" s="9"/>
      <c r="G48933" s="9"/>
      <c r="J48933" s="11"/>
      <c r="U48933" s="9"/>
      <c r="X48933" s="9"/>
    </row>
    <row r="48934">
      <c r="D48934" s="9"/>
      <c r="G48934" s="9"/>
      <c r="J48934" s="11"/>
      <c r="U48934" s="9"/>
      <c r="X48934" s="9"/>
    </row>
    <row r="48935">
      <c r="D48935" s="9"/>
      <c r="G48935" s="9"/>
      <c r="J48935" s="11"/>
      <c r="U48935" s="9"/>
      <c r="X48935" s="9"/>
    </row>
    <row r="48936">
      <c r="D48936" s="9"/>
      <c r="G48936" s="9"/>
      <c r="J48936" s="11"/>
      <c r="U48936" s="9"/>
      <c r="X48936" s="9"/>
    </row>
    <row r="48937">
      <c r="D48937" s="9"/>
      <c r="G48937" s="9"/>
      <c r="J48937" s="11"/>
      <c r="U48937" s="9"/>
      <c r="X48937" s="9"/>
    </row>
    <row r="48938">
      <c r="D48938" s="9"/>
      <c r="G48938" s="9"/>
      <c r="J48938" s="11"/>
      <c r="U48938" s="9"/>
      <c r="X48938" s="9"/>
    </row>
    <row r="48939">
      <c r="D48939" s="9"/>
      <c r="G48939" s="9"/>
      <c r="J48939" s="11"/>
      <c r="U48939" s="9"/>
      <c r="X48939" s="9"/>
    </row>
    <row r="48940">
      <c r="D48940" s="9"/>
      <c r="G48940" s="9"/>
      <c r="J48940" s="11"/>
      <c r="U48940" s="9"/>
      <c r="X48940" s="9"/>
    </row>
    <row r="48941">
      <c r="D48941" s="9"/>
      <c r="G48941" s="9"/>
      <c r="J48941" s="11"/>
      <c r="U48941" s="9"/>
      <c r="X48941" s="9"/>
    </row>
    <row r="48942">
      <c r="D48942" s="9"/>
      <c r="G48942" s="9"/>
      <c r="J48942" s="11"/>
      <c r="U48942" s="9"/>
      <c r="X48942" s="9"/>
    </row>
    <row r="48943">
      <c r="D48943" s="9"/>
      <c r="G48943" s="9"/>
      <c r="J48943" s="11"/>
      <c r="U48943" s="9"/>
      <c r="X48943" s="9"/>
    </row>
    <row r="48944">
      <c r="D48944" s="9"/>
      <c r="G48944" s="9"/>
      <c r="J48944" s="11"/>
      <c r="U48944" s="9"/>
      <c r="X48944" s="9"/>
    </row>
    <row r="48945">
      <c r="D48945" s="9"/>
      <c r="G48945" s="9"/>
      <c r="J48945" s="11"/>
      <c r="U48945" s="9"/>
      <c r="X48945" s="9"/>
    </row>
    <row r="48946">
      <c r="D48946" s="9"/>
      <c r="G48946" s="9"/>
      <c r="J48946" s="11"/>
      <c r="U48946" s="9"/>
      <c r="X48946" s="9"/>
    </row>
    <row r="48947">
      <c r="D48947" s="9"/>
      <c r="G48947" s="9"/>
      <c r="J48947" s="11"/>
      <c r="U48947" s="9"/>
      <c r="X48947" s="9"/>
    </row>
    <row r="48948">
      <c r="D48948" s="9"/>
      <c r="G48948" s="9"/>
      <c r="J48948" s="11"/>
      <c r="U48948" s="9"/>
      <c r="X48948" s="9"/>
    </row>
    <row r="48949">
      <c r="D48949" s="9"/>
      <c r="G48949" s="9"/>
      <c r="J48949" s="11"/>
      <c r="U48949" s="9"/>
      <c r="X48949" s="9"/>
    </row>
    <row r="48950">
      <c r="D48950" s="9"/>
      <c r="G48950" s="9"/>
      <c r="J48950" s="11"/>
      <c r="U48950" s="9"/>
      <c r="X48950" s="9"/>
    </row>
    <row r="48951">
      <c r="D48951" s="9"/>
      <c r="G48951" s="9"/>
      <c r="J48951" s="11"/>
      <c r="U48951" s="9"/>
      <c r="X48951" s="9"/>
    </row>
    <row r="48952">
      <c r="D48952" s="9"/>
      <c r="G48952" s="9"/>
      <c r="J48952" s="11"/>
      <c r="U48952" s="9"/>
      <c r="X48952" s="9"/>
    </row>
    <row r="48953">
      <c r="D48953" s="9"/>
      <c r="G48953" s="9"/>
      <c r="J48953" s="11"/>
      <c r="U48953" s="9"/>
      <c r="X48953" s="9"/>
    </row>
    <row r="48954">
      <c r="D48954" s="9"/>
      <c r="G48954" s="9"/>
      <c r="J48954" s="11"/>
      <c r="U48954" s="9"/>
      <c r="X48954" s="9"/>
    </row>
    <row r="48955">
      <c r="D48955" s="9"/>
      <c r="G48955" s="9"/>
      <c r="J48955" s="11"/>
      <c r="U48955" s="9"/>
      <c r="X48955" s="9"/>
    </row>
    <row r="48956">
      <c r="D48956" s="9"/>
      <c r="G48956" s="9"/>
      <c r="J48956" s="11"/>
      <c r="U48956" s="9"/>
      <c r="X48956" s="9"/>
    </row>
    <row r="48957">
      <c r="D48957" s="9"/>
      <c r="G48957" s="9"/>
      <c r="J48957" s="11"/>
      <c r="U48957" s="9"/>
      <c r="X48957" s="9"/>
    </row>
    <row r="48958">
      <c r="D48958" s="9"/>
      <c r="G48958" s="9"/>
      <c r="J48958" s="11"/>
      <c r="U48958" s="9"/>
      <c r="X48958" s="9"/>
    </row>
    <row r="48959">
      <c r="D48959" s="9"/>
      <c r="G48959" s="9"/>
      <c r="J48959" s="11"/>
      <c r="U48959" s="9"/>
      <c r="X48959" s="9"/>
    </row>
    <row r="48960">
      <c r="D48960" s="9"/>
      <c r="G48960" s="9"/>
      <c r="J48960" s="11"/>
      <c r="U48960" s="9"/>
      <c r="X48960" s="9"/>
    </row>
    <row r="48961">
      <c r="D48961" s="9"/>
      <c r="G48961" s="9"/>
      <c r="J48961" s="11"/>
      <c r="U48961" s="9"/>
      <c r="X48961" s="9"/>
    </row>
    <row r="48962">
      <c r="D48962" s="9"/>
      <c r="G48962" s="9"/>
      <c r="J48962" s="11"/>
      <c r="U48962" s="9"/>
      <c r="X48962" s="9"/>
    </row>
    <row r="48963">
      <c r="D48963" s="9"/>
      <c r="G48963" s="9"/>
      <c r="J48963" s="11"/>
      <c r="U48963" s="9"/>
      <c r="X48963" s="9"/>
    </row>
    <row r="48964">
      <c r="D48964" s="9"/>
      <c r="G48964" s="9"/>
      <c r="J48964" s="11"/>
      <c r="U48964" s="9"/>
      <c r="X48964" s="9"/>
    </row>
    <row r="48965">
      <c r="D48965" s="9"/>
      <c r="G48965" s="9"/>
      <c r="J48965" s="11"/>
      <c r="U48965" s="9"/>
      <c r="X48965" s="9"/>
    </row>
    <row r="48966">
      <c r="D48966" s="9"/>
      <c r="G48966" s="9"/>
      <c r="J48966" s="11"/>
      <c r="U48966" s="9"/>
      <c r="X48966" s="9"/>
    </row>
    <row r="48967">
      <c r="D48967" s="9"/>
      <c r="G48967" s="9"/>
      <c r="J48967" s="11"/>
      <c r="U48967" s="9"/>
      <c r="X48967" s="9"/>
    </row>
    <row r="48968">
      <c r="D48968" s="9"/>
      <c r="G48968" s="9"/>
      <c r="J48968" s="11"/>
      <c r="U48968" s="9"/>
      <c r="X48968" s="9"/>
    </row>
    <row r="48969">
      <c r="D48969" s="9"/>
      <c r="G48969" s="9"/>
      <c r="J48969" s="11"/>
      <c r="U48969" s="9"/>
      <c r="X48969" s="9"/>
    </row>
    <row r="48970">
      <c r="D48970" s="9"/>
      <c r="G48970" s="9"/>
      <c r="J48970" s="11"/>
      <c r="U48970" s="9"/>
      <c r="X48970" s="9"/>
    </row>
    <row r="48971">
      <c r="D48971" s="9"/>
      <c r="G48971" s="9"/>
      <c r="J48971" s="11"/>
      <c r="U48971" s="9"/>
      <c r="X48971" s="9"/>
    </row>
    <row r="48972">
      <c r="D48972" s="9"/>
      <c r="G48972" s="9"/>
      <c r="J48972" s="11"/>
      <c r="U48972" s="9"/>
      <c r="X48972" s="9"/>
    </row>
    <row r="48973">
      <c r="D48973" s="9"/>
      <c r="G48973" s="9"/>
      <c r="J48973" s="11"/>
      <c r="U48973" s="9"/>
      <c r="X48973" s="9"/>
    </row>
    <row r="48974">
      <c r="D48974" s="9"/>
      <c r="G48974" s="9"/>
      <c r="J48974" s="11"/>
      <c r="U48974" s="9"/>
      <c r="X48974" s="9"/>
    </row>
    <row r="48975">
      <c r="D48975" s="9"/>
      <c r="G48975" s="9"/>
      <c r="J48975" s="11"/>
      <c r="U48975" s="9"/>
      <c r="X48975" s="9"/>
    </row>
    <row r="48976">
      <c r="D48976" s="9"/>
      <c r="G48976" s="9"/>
      <c r="J48976" s="11"/>
      <c r="U48976" s="9"/>
      <c r="X48976" s="9"/>
    </row>
    <row r="48977">
      <c r="D48977" s="9"/>
      <c r="G48977" s="9"/>
      <c r="J48977" s="11"/>
      <c r="U48977" s="9"/>
      <c r="X48977" s="9"/>
    </row>
    <row r="48978">
      <c r="D48978" s="9"/>
      <c r="G48978" s="9"/>
      <c r="J48978" s="11"/>
      <c r="U48978" s="9"/>
      <c r="X48978" s="9"/>
    </row>
    <row r="48979">
      <c r="D48979" s="9"/>
      <c r="G48979" s="9"/>
      <c r="J48979" s="11"/>
      <c r="U48979" s="9"/>
      <c r="X48979" s="9"/>
    </row>
    <row r="48980">
      <c r="D48980" s="9"/>
      <c r="G48980" s="9"/>
      <c r="J48980" s="11"/>
      <c r="U48980" s="9"/>
      <c r="X48980" s="9"/>
    </row>
    <row r="48981">
      <c r="D48981" s="9"/>
      <c r="G48981" s="9"/>
      <c r="J48981" s="11"/>
      <c r="U48981" s="9"/>
      <c r="X48981" s="9"/>
    </row>
    <row r="48982">
      <c r="D48982" s="9"/>
      <c r="G48982" s="9"/>
      <c r="J48982" s="11"/>
      <c r="U48982" s="9"/>
      <c r="X48982" s="9"/>
    </row>
    <row r="48983">
      <c r="D48983" s="9"/>
      <c r="G48983" s="9"/>
      <c r="J48983" s="11"/>
      <c r="U48983" s="9"/>
      <c r="X48983" s="9"/>
    </row>
    <row r="48984">
      <c r="D48984" s="9"/>
      <c r="G48984" s="9"/>
      <c r="J48984" s="11"/>
      <c r="U48984" s="9"/>
      <c r="X48984" s="9"/>
    </row>
    <row r="48985">
      <c r="D48985" s="9"/>
      <c r="G48985" s="9"/>
      <c r="J48985" s="11"/>
      <c r="U48985" s="9"/>
      <c r="X48985" s="9"/>
    </row>
    <row r="48986">
      <c r="D48986" s="9"/>
      <c r="G48986" s="9"/>
      <c r="J48986" s="11"/>
      <c r="U48986" s="9"/>
      <c r="X48986" s="9"/>
    </row>
    <row r="48987">
      <c r="D48987" s="9"/>
      <c r="G48987" s="9"/>
      <c r="J48987" s="11"/>
      <c r="U48987" s="9"/>
      <c r="X48987" s="9"/>
    </row>
    <row r="48988">
      <c r="D48988" s="9"/>
      <c r="G48988" s="9"/>
      <c r="J48988" s="11"/>
      <c r="U48988" s="9"/>
      <c r="X48988" s="9"/>
    </row>
    <row r="48989">
      <c r="D48989" s="9"/>
      <c r="G48989" s="9"/>
      <c r="J48989" s="11"/>
      <c r="U48989" s="9"/>
      <c r="X48989" s="9"/>
    </row>
    <row r="48990">
      <c r="D48990" s="9"/>
      <c r="G48990" s="9"/>
      <c r="J48990" s="11"/>
      <c r="U48990" s="9"/>
      <c r="X48990" s="9"/>
    </row>
    <row r="48991">
      <c r="D48991" s="9"/>
      <c r="G48991" s="9"/>
      <c r="J48991" s="11"/>
      <c r="U48991" s="9"/>
      <c r="X48991" s="9"/>
    </row>
    <row r="48992">
      <c r="D48992" s="9"/>
      <c r="G48992" s="9"/>
      <c r="J48992" s="11"/>
      <c r="U48992" s="9"/>
      <c r="X48992" s="9"/>
    </row>
    <row r="48993">
      <c r="D48993" s="9"/>
      <c r="G48993" s="9"/>
      <c r="J48993" s="11"/>
      <c r="U48993" s="9"/>
      <c r="X48993" s="9"/>
    </row>
    <row r="48994">
      <c r="D48994" s="9"/>
      <c r="G48994" s="9"/>
      <c r="J48994" s="11"/>
      <c r="U48994" s="9"/>
      <c r="X48994" s="9"/>
    </row>
    <row r="48995">
      <c r="D48995" s="9"/>
      <c r="G48995" s="9"/>
      <c r="J48995" s="11"/>
      <c r="U48995" s="9"/>
      <c r="X48995" s="9"/>
    </row>
    <row r="48996">
      <c r="D48996" s="9"/>
      <c r="G48996" s="9"/>
      <c r="J48996" s="11"/>
      <c r="U48996" s="9"/>
      <c r="X48996" s="9"/>
    </row>
    <row r="48997">
      <c r="D48997" s="9"/>
      <c r="G48997" s="9"/>
      <c r="J48997" s="11"/>
      <c r="U48997" s="9"/>
      <c r="X48997" s="9"/>
    </row>
    <row r="48998">
      <c r="D48998" s="9"/>
      <c r="G48998" s="9"/>
      <c r="J48998" s="11"/>
      <c r="U48998" s="9"/>
      <c r="X48998" s="9"/>
    </row>
    <row r="48999">
      <c r="D48999" s="9"/>
      <c r="G48999" s="9"/>
      <c r="J48999" s="11"/>
      <c r="U48999" s="9"/>
      <c r="X48999" s="9"/>
    </row>
    <row r="49000">
      <c r="D49000" s="9"/>
      <c r="G49000" s="9"/>
      <c r="J49000" s="11"/>
      <c r="U49000" s="9"/>
      <c r="X49000" s="9"/>
    </row>
    <row r="49001">
      <c r="D49001" s="9"/>
      <c r="G49001" s="9"/>
      <c r="J49001" s="11"/>
      <c r="U49001" s="9"/>
      <c r="X49001" s="9"/>
    </row>
    <row r="49002">
      <c r="D49002" s="9"/>
      <c r="G49002" s="9"/>
      <c r="J49002" s="11"/>
      <c r="U49002" s="9"/>
      <c r="X49002" s="9"/>
    </row>
    <row r="49003">
      <c r="D49003" s="9"/>
      <c r="G49003" s="9"/>
      <c r="J49003" s="11"/>
      <c r="U49003" s="9"/>
      <c r="X49003" s="9"/>
    </row>
    <row r="49004">
      <c r="D49004" s="9"/>
      <c r="G49004" s="9"/>
      <c r="J49004" s="11"/>
      <c r="U49004" s="9"/>
      <c r="X49004" s="9"/>
    </row>
    <row r="49005">
      <c r="D49005" s="9"/>
      <c r="G49005" s="9"/>
      <c r="J49005" s="11"/>
      <c r="U49005" s="9"/>
      <c r="X49005" s="9"/>
    </row>
    <row r="49006">
      <c r="D49006" s="9"/>
      <c r="G49006" s="9"/>
      <c r="J49006" s="11"/>
      <c r="U49006" s="9"/>
      <c r="X49006" s="9"/>
    </row>
    <row r="49007">
      <c r="D49007" s="9"/>
      <c r="G49007" s="9"/>
      <c r="J49007" s="11"/>
      <c r="U49007" s="9"/>
      <c r="X49007" s="9"/>
    </row>
    <row r="49008">
      <c r="D49008" s="9"/>
      <c r="G49008" s="9"/>
      <c r="J49008" s="11"/>
      <c r="U49008" s="9"/>
      <c r="X49008" s="9"/>
    </row>
    <row r="49009">
      <c r="D49009" s="9"/>
      <c r="G49009" s="9"/>
      <c r="J49009" s="11"/>
      <c r="U49009" s="9"/>
      <c r="X49009" s="9"/>
    </row>
    <row r="49010">
      <c r="D49010" s="9"/>
      <c r="G49010" s="9"/>
      <c r="J49010" s="11"/>
      <c r="U49010" s="9"/>
      <c r="X49010" s="9"/>
    </row>
    <row r="49011">
      <c r="D49011" s="9"/>
      <c r="G49011" s="9"/>
      <c r="J49011" s="11"/>
      <c r="U49011" s="9"/>
      <c r="X49011" s="9"/>
    </row>
    <row r="49012">
      <c r="D49012" s="9"/>
      <c r="G49012" s="9"/>
      <c r="J49012" s="11"/>
      <c r="U49012" s="9"/>
      <c r="X49012" s="9"/>
    </row>
    <row r="49013">
      <c r="D49013" s="9"/>
      <c r="G49013" s="9"/>
      <c r="J49013" s="11"/>
      <c r="U49013" s="9"/>
      <c r="X49013" s="9"/>
    </row>
    <row r="49014">
      <c r="D49014" s="9"/>
      <c r="G49014" s="9"/>
      <c r="J49014" s="11"/>
      <c r="U49014" s="9"/>
      <c r="X49014" s="9"/>
    </row>
    <row r="49015">
      <c r="D49015" s="9"/>
      <c r="G49015" s="9"/>
      <c r="J49015" s="11"/>
      <c r="U49015" s="9"/>
      <c r="X49015" s="9"/>
    </row>
    <row r="49016">
      <c r="D49016" s="9"/>
      <c r="G49016" s="9"/>
      <c r="J49016" s="11"/>
      <c r="U49016" s="9"/>
      <c r="X49016" s="9"/>
    </row>
    <row r="49017">
      <c r="D49017" s="9"/>
      <c r="G49017" s="9"/>
      <c r="J49017" s="11"/>
      <c r="U49017" s="9"/>
      <c r="X49017" s="9"/>
    </row>
    <row r="49018">
      <c r="D49018" s="9"/>
      <c r="G49018" s="9"/>
      <c r="J49018" s="11"/>
      <c r="U49018" s="9"/>
      <c r="X49018" s="9"/>
    </row>
    <row r="49019">
      <c r="D49019" s="9"/>
      <c r="G49019" s="9"/>
      <c r="J49019" s="11"/>
      <c r="U49019" s="9"/>
      <c r="X49019" s="9"/>
    </row>
    <row r="49020">
      <c r="D49020" s="9"/>
      <c r="G49020" s="9"/>
      <c r="J49020" s="11"/>
      <c r="U49020" s="9"/>
      <c r="X49020" s="9"/>
    </row>
    <row r="49021">
      <c r="D49021" s="9"/>
      <c r="G49021" s="9"/>
      <c r="J49021" s="11"/>
      <c r="U49021" s="9"/>
      <c r="X49021" s="9"/>
    </row>
    <row r="49022">
      <c r="D49022" s="9"/>
      <c r="G49022" s="9"/>
      <c r="J49022" s="11"/>
      <c r="U49022" s="9"/>
      <c r="X49022" s="9"/>
    </row>
    <row r="49023">
      <c r="D49023" s="9"/>
      <c r="G49023" s="9"/>
      <c r="J49023" s="11"/>
      <c r="U49023" s="9"/>
      <c r="X49023" s="9"/>
    </row>
    <row r="49024">
      <c r="D49024" s="9"/>
      <c r="G49024" s="9"/>
      <c r="J49024" s="11"/>
      <c r="U49024" s="9"/>
      <c r="X49024" s="9"/>
    </row>
    <row r="49025">
      <c r="D49025" s="9"/>
      <c r="G49025" s="9"/>
      <c r="J49025" s="11"/>
      <c r="U49025" s="9"/>
      <c r="X49025" s="9"/>
    </row>
    <row r="49026">
      <c r="D49026" s="9"/>
      <c r="G49026" s="9"/>
      <c r="J49026" s="11"/>
      <c r="U49026" s="9"/>
      <c r="X49026" s="9"/>
    </row>
    <row r="49027">
      <c r="D49027" s="9"/>
      <c r="G49027" s="9"/>
      <c r="J49027" s="11"/>
      <c r="U49027" s="9"/>
      <c r="X49027" s="9"/>
    </row>
    <row r="49028">
      <c r="D49028" s="9"/>
      <c r="G49028" s="9"/>
      <c r="J49028" s="11"/>
      <c r="U49028" s="9"/>
      <c r="X49028" s="9"/>
    </row>
    <row r="49029">
      <c r="D49029" s="9"/>
      <c r="G49029" s="9"/>
      <c r="J49029" s="11"/>
      <c r="U49029" s="9"/>
      <c r="X49029" s="9"/>
    </row>
    <row r="49030">
      <c r="D49030" s="9"/>
      <c r="G49030" s="9"/>
      <c r="J49030" s="11"/>
      <c r="U49030" s="9"/>
      <c r="X49030" s="9"/>
    </row>
    <row r="49031">
      <c r="D49031" s="9"/>
      <c r="G49031" s="9"/>
      <c r="J49031" s="11"/>
      <c r="U49031" s="9"/>
      <c r="X49031" s="9"/>
    </row>
    <row r="49032">
      <c r="D49032" s="9"/>
      <c r="G49032" s="9"/>
      <c r="J49032" s="11"/>
      <c r="U49032" s="9"/>
      <c r="X49032" s="9"/>
    </row>
    <row r="49033">
      <c r="D49033" s="9"/>
      <c r="G49033" s="9"/>
      <c r="J49033" s="11"/>
      <c r="U49033" s="9"/>
      <c r="X49033" s="9"/>
    </row>
    <row r="49034">
      <c r="D49034" s="9"/>
      <c r="G49034" s="9"/>
      <c r="J49034" s="11"/>
      <c r="U49034" s="9"/>
      <c r="X49034" s="9"/>
    </row>
    <row r="49035">
      <c r="D49035" s="9"/>
      <c r="G49035" s="9"/>
      <c r="J49035" s="11"/>
      <c r="U49035" s="9"/>
      <c r="X49035" s="9"/>
    </row>
    <row r="49036">
      <c r="D49036" s="9"/>
      <c r="G49036" s="9"/>
      <c r="J49036" s="11"/>
      <c r="U49036" s="9"/>
      <c r="X49036" s="9"/>
    </row>
    <row r="49037">
      <c r="D49037" s="9"/>
      <c r="G49037" s="9"/>
      <c r="J49037" s="11"/>
      <c r="U49037" s="9"/>
      <c r="X49037" s="9"/>
    </row>
    <row r="49038">
      <c r="D49038" s="9"/>
      <c r="G49038" s="9"/>
      <c r="J49038" s="11"/>
      <c r="U49038" s="9"/>
      <c r="X49038" s="9"/>
    </row>
    <row r="49039">
      <c r="D49039" s="9"/>
      <c r="G49039" s="9"/>
      <c r="J49039" s="11"/>
      <c r="U49039" s="9"/>
      <c r="X49039" s="9"/>
    </row>
    <row r="49040">
      <c r="D49040" s="9"/>
      <c r="G49040" s="9"/>
      <c r="J49040" s="11"/>
      <c r="U49040" s="9"/>
      <c r="X49040" s="9"/>
    </row>
    <row r="49041">
      <c r="D49041" s="9"/>
      <c r="G49041" s="9"/>
      <c r="J49041" s="11"/>
      <c r="U49041" s="9"/>
      <c r="X49041" s="9"/>
    </row>
    <row r="49042">
      <c r="D49042" s="9"/>
      <c r="G49042" s="9"/>
      <c r="J49042" s="11"/>
      <c r="U49042" s="9"/>
      <c r="X49042" s="9"/>
    </row>
    <row r="49043">
      <c r="D49043" s="9"/>
      <c r="G49043" s="9"/>
      <c r="J49043" s="11"/>
      <c r="U49043" s="9"/>
      <c r="X49043" s="9"/>
    </row>
    <row r="49044">
      <c r="D49044" s="9"/>
      <c r="G49044" s="9"/>
      <c r="J49044" s="11"/>
      <c r="U49044" s="9"/>
      <c r="X49044" s="9"/>
    </row>
    <row r="49045">
      <c r="D49045" s="9"/>
      <c r="G49045" s="9"/>
      <c r="J49045" s="11"/>
      <c r="U49045" s="9"/>
      <c r="X49045" s="9"/>
    </row>
    <row r="49046">
      <c r="D49046" s="9"/>
      <c r="G49046" s="9"/>
      <c r="J49046" s="11"/>
      <c r="U49046" s="9"/>
      <c r="X49046" s="9"/>
    </row>
    <row r="49047">
      <c r="D49047" s="9"/>
      <c r="G49047" s="9"/>
      <c r="J49047" s="11"/>
      <c r="U49047" s="9"/>
      <c r="X49047" s="9"/>
    </row>
    <row r="49048">
      <c r="D49048" s="9"/>
      <c r="G49048" s="9"/>
      <c r="J49048" s="11"/>
      <c r="U49048" s="9"/>
      <c r="X49048" s="9"/>
    </row>
    <row r="49049">
      <c r="D49049" s="9"/>
      <c r="G49049" s="9"/>
      <c r="J49049" s="11"/>
      <c r="U49049" s="9"/>
      <c r="X49049" s="9"/>
    </row>
    <row r="49050">
      <c r="D49050" s="9"/>
      <c r="G49050" s="9"/>
      <c r="J49050" s="11"/>
      <c r="U49050" s="9"/>
      <c r="X49050" s="9"/>
    </row>
    <row r="49051">
      <c r="D49051" s="9"/>
      <c r="G49051" s="9"/>
      <c r="J49051" s="11"/>
      <c r="U49051" s="9"/>
      <c r="X49051" s="9"/>
    </row>
    <row r="49052">
      <c r="D49052" s="9"/>
      <c r="G49052" s="9"/>
      <c r="J49052" s="11"/>
      <c r="U49052" s="9"/>
      <c r="X49052" s="9"/>
    </row>
    <row r="49053">
      <c r="D49053" s="9"/>
      <c r="G49053" s="9"/>
      <c r="J49053" s="11"/>
      <c r="U49053" s="9"/>
      <c r="X49053" s="9"/>
    </row>
    <row r="49054">
      <c r="D49054" s="9"/>
      <c r="G49054" s="9"/>
      <c r="J49054" s="11"/>
      <c r="U49054" s="9"/>
      <c r="X49054" s="9"/>
    </row>
    <row r="49055">
      <c r="D49055" s="9"/>
      <c r="G49055" s="9"/>
      <c r="J49055" s="11"/>
      <c r="U49055" s="9"/>
      <c r="X49055" s="9"/>
    </row>
    <row r="49056">
      <c r="D49056" s="9"/>
      <c r="G49056" s="9"/>
      <c r="J49056" s="11"/>
      <c r="U49056" s="9"/>
      <c r="X49056" s="9"/>
    </row>
    <row r="49057">
      <c r="D49057" s="9"/>
      <c r="G49057" s="9"/>
      <c r="J49057" s="11"/>
      <c r="U49057" s="9"/>
      <c r="X49057" s="9"/>
    </row>
    <row r="49058">
      <c r="D49058" s="9"/>
      <c r="G49058" s="9"/>
      <c r="J49058" s="11"/>
      <c r="U49058" s="9"/>
      <c r="X49058" s="9"/>
    </row>
    <row r="49059">
      <c r="D49059" s="9"/>
      <c r="G49059" s="9"/>
      <c r="J49059" s="11"/>
      <c r="U49059" s="9"/>
      <c r="X49059" s="9"/>
    </row>
    <row r="49060">
      <c r="D49060" s="9"/>
      <c r="G49060" s="9"/>
      <c r="J49060" s="11"/>
      <c r="U49060" s="9"/>
      <c r="X49060" s="9"/>
    </row>
    <row r="49061">
      <c r="D49061" s="9"/>
      <c r="G49061" s="9"/>
      <c r="J49061" s="11"/>
      <c r="U49061" s="9"/>
      <c r="X49061" s="9"/>
    </row>
    <row r="49062">
      <c r="D49062" s="9"/>
      <c r="G49062" s="9"/>
      <c r="J49062" s="11"/>
      <c r="U49062" s="9"/>
      <c r="X49062" s="9"/>
    </row>
    <row r="49063">
      <c r="D49063" s="9"/>
      <c r="G49063" s="9"/>
      <c r="J49063" s="11"/>
      <c r="U49063" s="9"/>
      <c r="X49063" s="9"/>
    </row>
    <row r="49064">
      <c r="D49064" s="9"/>
      <c r="G49064" s="9"/>
      <c r="J49064" s="11"/>
      <c r="U49064" s="9"/>
      <c r="X49064" s="9"/>
    </row>
    <row r="49065">
      <c r="D49065" s="9"/>
      <c r="G49065" s="9"/>
      <c r="J49065" s="11"/>
      <c r="U49065" s="9"/>
      <c r="X49065" s="9"/>
    </row>
    <row r="49066">
      <c r="D49066" s="9"/>
      <c r="G49066" s="9"/>
      <c r="J49066" s="11"/>
      <c r="U49066" s="9"/>
      <c r="X49066" s="9"/>
    </row>
    <row r="49067">
      <c r="D49067" s="9"/>
      <c r="G49067" s="9"/>
      <c r="J49067" s="11"/>
      <c r="U49067" s="9"/>
      <c r="X49067" s="9"/>
    </row>
    <row r="49068">
      <c r="D49068" s="9"/>
      <c r="G49068" s="9"/>
      <c r="J49068" s="11"/>
      <c r="U49068" s="9"/>
      <c r="X49068" s="9"/>
    </row>
    <row r="49069">
      <c r="D49069" s="9"/>
      <c r="G49069" s="9"/>
      <c r="J49069" s="11"/>
      <c r="U49069" s="9"/>
      <c r="X49069" s="9"/>
    </row>
    <row r="49070">
      <c r="D49070" s="9"/>
      <c r="G49070" s="9"/>
      <c r="J49070" s="11"/>
      <c r="U49070" s="9"/>
      <c r="X49070" s="9"/>
    </row>
    <row r="49071">
      <c r="D49071" s="9"/>
      <c r="G49071" s="9"/>
      <c r="J49071" s="11"/>
      <c r="U49071" s="9"/>
      <c r="X49071" s="9"/>
    </row>
    <row r="49072">
      <c r="D49072" s="9"/>
      <c r="G49072" s="9"/>
      <c r="J49072" s="11"/>
      <c r="U49072" s="9"/>
      <c r="X49072" s="9"/>
    </row>
    <row r="49073">
      <c r="D49073" s="9"/>
      <c r="G49073" s="9"/>
      <c r="J49073" s="11"/>
      <c r="U49073" s="9"/>
      <c r="X49073" s="9"/>
    </row>
    <row r="49074">
      <c r="D49074" s="9"/>
      <c r="G49074" s="9"/>
      <c r="J49074" s="11"/>
      <c r="U49074" s="9"/>
      <c r="X49074" s="9"/>
    </row>
    <row r="49075">
      <c r="D49075" s="9"/>
      <c r="G49075" s="9"/>
      <c r="J49075" s="11"/>
      <c r="U49075" s="9"/>
      <c r="X49075" s="9"/>
    </row>
    <row r="49076">
      <c r="D49076" s="9"/>
      <c r="G49076" s="9"/>
      <c r="J49076" s="11"/>
      <c r="U49076" s="9"/>
      <c r="X49076" s="9"/>
    </row>
    <row r="49077">
      <c r="D49077" s="9"/>
      <c r="G49077" s="9"/>
      <c r="J49077" s="11"/>
      <c r="U49077" s="9"/>
      <c r="X49077" s="9"/>
    </row>
    <row r="49078">
      <c r="D49078" s="9"/>
      <c r="G49078" s="9"/>
      <c r="J49078" s="11"/>
      <c r="U49078" s="9"/>
      <c r="X49078" s="9"/>
    </row>
    <row r="49079">
      <c r="D49079" s="9"/>
      <c r="G49079" s="9"/>
      <c r="J49079" s="11"/>
      <c r="U49079" s="9"/>
      <c r="X49079" s="9"/>
    </row>
    <row r="49080">
      <c r="D49080" s="9"/>
      <c r="G49080" s="9"/>
      <c r="J49080" s="11"/>
      <c r="U49080" s="9"/>
      <c r="X49080" s="9"/>
    </row>
    <row r="49081">
      <c r="D49081" s="9"/>
      <c r="G49081" s="9"/>
      <c r="J49081" s="11"/>
      <c r="U49081" s="9"/>
      <c r="X49081" s="9"/>
    </row>
    <row r="49082">
      <c r="D49082" s="9"/>
      <c r="G49082" s="9"/>
      <c r="J49082" s="11"/>
      <c r="U49082" s="9"/>
      <c r="X49082" s="9"/>
    </row>
    <row r="49083">
      <c r="D49083" s="9"/>
      <c r="G49083" s="9"/>
      <c r="J49083" s="11"/>
      <c r="U49083" s="9"/>
      <c r="X49083" s="9"/>
    </row>
    <row r="49084">
      <c r="D49084" s="9"/>
      <c r="G49084" s="9"/>
      <c r="J49084" s="11"/>
      <c r="U49084" s="9"/>
      <c r="X49084" s="9"/>
    </row>
    <row r="49085">
      <c r="D49085" s="9"/>
      <c r="G49085" s="9"/>
      <c r="J49085" s="11"/>
      <c r="U49085" s="9"/>
      <c r="X49085" s="9"/>
    </row>
    <row r="49086">
      <c r="D49086" s="9"/>
      <c r="G49086" s="9"/>
      <c r="J49086" s="11"/>
      <c r="U49086" s="9"/>
      <c r="X49086" s="9"/>
    </row>
    <row r="49087">
      <c r="D49087" s="9"/>
      <c r="G49087" s="9"/>
      <c r="J49087" s="11"/>
      <c r="U49087" s="9"/>
      <c r="X49087" s="9"/>
    </row>
    <row r="49088">
      <c r="D49088" s="9"/>
      <c r="G49088" s="9"/>
      <c r="J49088" s="11"/>
      <c r="U49088" s="9"/>
      <c r="X49088" s="9"/>
    </row>
    <row r="49089">
      <c r="D49089" s="9"/>
      <c r="G49089" s="9"/>
      <c r="J49089" s="11"/>
      <c r="U49089" s="9"/>
      <c r="X49089" s="9"/>
    </row>
    <row r="49090">
      <c r="D49090" s="9"/>
      <c r="G49090" s="9"/>
      <c r="J49090" s="11"/>
      <c r="U49090" s="9"/>
      <c r="X49090" s="9"/>
    </row>
    <row r="49091">
      <c r="D49091" s="9"/>
      <c r="G49091" s="9"/>
      <c r="J49091" s="11"/>
      <c r="U49091" s="9"/>
      <c r="X49091" s="9"/>
    </row>
    <row r="49092">
      <c r="D49092" s="9"/>
      <c r="G49092" s="9"/>
      <c r="J49092" s="11"/>
      <c r="U49092" s="9"/>
      <c r="X49092" s="9"/>
    </row>
    <row r="49093">
      <c r="D49093" s="9"/>
      <c r="G49093" s="9"/>
      <c r="J49093" s="11"/>
      <c r="U49093" s="9"/>
      <c r="X49093" s="9"/>
    </row>
    <row r="49094">
      <c r="D49094" s="9"/>
      <c r="G49094" s="9"/>
      <c r="J49094" s="11"/>
      <c r="U49094" s="9"/>
      <c r="X49094" s="9"/>
    </row>
    <row r="49095">
      <c r="D49095" s="9"/>
      <c r="G49095" s="9"/>
      <c r="J49095" s="11"/>
      <c r="U49095" s="9"/>
      <c r="X49095" s="9"/>
    </row>
    <row r="49096">
      <c r="D49096" s="9"/>
      <c r="G49096" s="9"/>
      <c r="J49096" s="11"/>
      <c r="U49096" s="9"/>
      <c r="X49096" s="9"/>
    </row>
    <row r="49097">
      <c r="D49097" s="9"/>
      <c r="G49097" s="9"/>
      <c r="J49097" s="11"/>
      <c r="U49097" s="9"/>
      <c r="X49097" s="9"/>
    </row>
    <row r="49098">
      <c r="D49098" s="9"/>
      <c r="G49098" s="9"/>
      <c r="J49098" s="11"/>
      <c r="U49098" s="9"/>
      <c r="X49098" s="9"/>
    </row>
    <row r="49099">
      <c r="D49099" s="9"/>
      <c r="G49099" s="9"/>
      <c r="J49099" s="11"/>
      <c r="U49099" s="9"/>
      <c r="X49099" s="9"/>
    </row>
    <row r="49100">
      <c r="D49100" s="9"/>
      <c r="G49100" s="9"/>
      <c r="J49100" s="11"/>
      <c r="U49100" s="9"/>
      <c r="X49100" s="9"/>
    </row>
    <row r="49101">
      <c r="D49101" s="9"/>
      <c r="G49101" s="9"/>
      <c r="J49101" s="11"/>
      <c r="U49101" s="9"/>
      <c r="X49101" s="9"/>
    </row>
    <row r="49102">
      <c r="D49102" s="9"/>
      <c r="G49102" s="9"/>
      <c r="J49102" s="11"/>
      <c r="U49102" s="9"/>
      <c r="X49102" s="9"/>
    </row>
    <row r="49103">
      <c r="D49103" s="9"/>
      <c r="G49103" s="9"/>
      <c r="J49103" s="11"/>
      <c r="U49103" s="9"/>
      <c r="X49103" s="9"/>
    </row>
    <row r="49104">
      <c r="D49104" s="9"/>
      <c r="G49104" s="9"/>
      <c r="J49104" s="11"/>
      <c r="U49104" s="9"/>
      <c r="X49104" s="9"/>
    </row>
    <row r="49105">
      <c r="D49105" s="9"/>
      <c r="G49105" s="9"/>
      <c r="J49105" s="11"/>
      <c r="U49105" s="9"/>
      <c r="X49105" s="9"/>
    </row>
    <row r="49106">
      <c r="D49106" s="9"/>
      <c r="G49106" s="9"/>
      <c r="J49106" s="11"/>
      <c r="U49106" s="9"/>
      <c r="X49106" s="9"/>
    </row>
    <row r="49107">
      <c r="D49107" s="9"/>
      <c r="G49107" s="9"/>
      <c r="J49107" s="11"/>
      <c r="U49107" s="9"/>
      <c r="X49107" s="9"/>
    </row>
    <row r="49108">
      <c r="D49108" s="9"/>
      <c r="G49108" s="9"/>
      <c r="J49108" s="11"/>
      <c r="U49108" s="9"/>
      <c r="X49108" s="9"/>
    </row>
    <row r="49109">
      <c r="D49109" s="9"/>
      <c r="G49109" s="9"/>
      <c r="J49109" s="11"/>
      <c r="U49109" s="9"/>
      <c r="X49109" s="9"/>
    </row>
    <row r="49110">
      <c r="D49110" s="9"/>
      <c r="G49110" s="9"/>
      <c r="J49110" s="11"/>
      <c r="U49110" s="9"/>
      <c r="X49110" s="9"/>
    </row>
    <row r="49111">
      <c r="D49111" s="9"/>
      <c r="G49111" s="9"/>
      <c r="J49111" s="11"/>
      <c r="U49111" s="9"/>
      <c r="X49111" s="9"/>
    </row>
    <row r="49112">
      <c r="D49112" s="9"/>
      <c r="G49112" s="9"/>
      <c r="J49112" s="11"/>
      <c r="U49112" s="9"/>
      <c r="X49112" s="9"/>
    </row>
    <row r="49113">
      <c r="D49113" s="9"/>
      <c r="G49113" s="9"/>
      <c r="J49113" s="11"/>
      <c r="U49113" s="9"/>
      <c r="X49113" s="9"/>
    </row>
    <row r="49114">
      <c r="D49114" s="9"/>
      <c r="G49114" s="9"/>
      <c r="J49114" s="11"/>
      <c r="U49114" s="9"/>
      <c r="X49114" s="9"/>
    </row>
    <row r="49115">
      <c r="D49115" s="9"/>
      <c r="G49115" s="9"/>
      <c r="J49115" s="11"/>
      <c r="U49115" s="9"/>
      <c r="X49115" s="9"/>
    </row>
    <row r="49116">
      <c r="D49116" s="9"/>
      <c r="G49116" s="9"/>
      <c r="J49116" s="11"/>
      <c r="U49116" s="9"/>
      <c r="X49116" s="9"/>
    </row>
    <row r="49117">
      <c r="D49117" s="9"/>
      <c r="G49117" s="9"/>
      <c r="J49117" s="11"/>
      <c r="U49117" s="9"/>
      <c r="X49117" s="9"/>
    </row>
    <row r="49118">
      <c r="D49118" s="9"/>
      <c r="G49118" s="9"/>
      <c r="J49118" s="11"/>
      <c r="U49118" s="9"/>
      <c r="X49118" s="9"/>
    </row>
    <row r="49119">
      <c r="D49119" s="9"/>
      <c r="G49119" s="9"/>
      <c r="J49119" s="11"/>
      <c r="U49119" s="9"/>
      <c r="X49119" s="9"/>
    </row>
    <row r="49120">
      <c r="D49120" s="9"/>
      <c r="G49120" s="9"/>
      <c r="J49120" s="11"/>
      <c r="U49120" s="9"/>
      <c r="X49120" s="9"/>
    </row>
    <row r="49121">
      <c r="D49121" s="9"/>
      <c r="G49121" s="9"/>
      <c r="J49121" s="11"/>
      <c r="U49121" s="9"/>
      <c r="X49121" s="9"/>
    </row>
    <row r="49122">
      <c r="D49122" s="9"/>
      <c r="G49122" s="9"/>
      <c r="J49122" s="11"/>
      <c r="U49122" s="9"/>
      <c r="X49122" s="9"/>
    </row>
    <row r="49123">
      <c r="D49123" s="9"/>
      <c r="G49123" s="9"/>
      <c r="J49123" s="11"/>
      <c r="U49123" s="9"/>
      <c r="X49123" s="9"/>
    </row>
    <row r="49124">
      <c r="D49124" s="9"/>
      <c r="G49124" s="9"/>
      <c r="J49124" s="11"/>
      <c r="U49124" s="9"/>
      <c r="X49124" s="9"/>
    </row>
    <row r="49125">
      <c r="D49125" s="9"/>
      <c r="G49125" s="9"/>
      <c r="J49125" s="11"/>
      <c r="U49125" s="9"/>
      <c r="X49125" s="9"/>
    </row>
    <row r="49126">
      <c r="D49126" s="9"/>
      <c r="G49126" s="9"/>
      <c r="J49126" s="11"/>
      <c r="U49126" s="9"/>
      <c r="X49126" s="9"/>
    </row>
    <row r="49127">
      <c r="D49127" s="9"/>
      <c r="G49127" s="9"/>
      <c r="J49127" s="11"/>
      <c r="U49127" s="9"/>
      <c r="X49127" s="9"/>
    </row>
    <row r="49128">
      <c r="D49128" s="9"/>
      <c r="G49128" s="9"/>
      <c r="J49128" s="11"/>
      <c r="U49128" s="9"/>
      <c r="X49128" s="9"/>
    </row>
    <row r="49129">
      <c r="D49129" s="9"/>
      <c r="G49129" s="9"/>
      <c r="J49129" s="11"/>
      <c r="U49129" s="9"/>
      <c r="X49129" s="9"/>
    </row>
    <row r="49130">
      <c r="D49130" s="9"/>
      <c r="G49130" s="9"/>
      <c r="J49130" s="11"/>
      <c r="U49130" s="9"/>
      <c r="X49130" s="9"/>
    </row>
    <row r="49131">
      <c r="D49131" s="9"/>
      <c r="G49131" s="9"/>
      <c r="J49131" s="11"/>
      <c r="U49131" s="9"/>
      <c r="X49131" s="9"/>
    </row>
    <row r="49132">
      <c r="D49132" s="9"/>
      <c r="G49132" s="9"/>
      <c r="J49132" s="11"/>
      <c r="U49132" s="9"/>
      <c r="X49132" s="9"/>
    </row>
    <row r="49133">
      <c r="D49133" s="9"/>
      <c r="G49133" s="9"/>
      <c r="J49133" s="11"/>
      <c r="U49133" s="9"/>
      <c r="X49133" s="9"/>
    </row>
    <row r="49134">
      <c r="D49134" s="9"/>
      <c r="G49134" s="9"/>
      <c r="J49134" s="11"/>
      <c r="U49134" s="9"/>
      <c r="X49134" s="9"/>
    </row>
    <row r="49135">
      <c r="D49135" s="9"/>
      <c r="G49135" s="9"/>
      <c r="J49135" s="11"/>
      <c r="U49135" s="9"/>
      <c r="X49135" s="9"/>
    </row>
    <row r="49136">
      <c r="D49136" s="9"/>
      <c r="G49136" s="9"/>
      <c r="J49136" s="11"/>
      <c r="U49136" s="9"/>
      <c r="X49136" s="9"/>
    </row>
    <row r="49137">
      <c r="D49137" s="9"/>
      <c r="G49137" s="9"/>
      <c r="J49137" s="11"/>
      <c r="U49137" s="9"/>
      <c r="X49137" s="9"/>
    </row>
    <row r="49138">
      <c r="D49138" s="9"/>
      <c r="G49138" s="9"/>
      <c r="J49138" s="11"/>
      <c r="U49138" s="9"/>
      <c r="X49138" s="9"/>
    </row>
    <row r="49139">
      <c r="D49139" s="9"/>
      <c r="G49139" s="9"/>
      <c r="J49139" s="11"/>
      <c r="U49139" s="9"/>
      <c r="X49139" s="9"/>
    </row>
    <row r="49140">
      <c r="D49140" s="9"/>
      <c r="G49140" s="9"/>
      <c r="J49140" s="11"/>
      <c r="U49140" s="9"/>
      <c r="X49140" s="9"/>
    </row>
    <row r="49141">
      <c r="D49141" s="9"/>
      <c r="G49141" s="9"/>
      <c r="J49141" s="11"/>
      <c r="U49141" s="9"/>
      <c r="X49141" s="9"/>
    </row>
    <row r="49142">
      <c r="D49142" s="9"/>
      <c r="G49142" s="9"/>
      <c r="J49142" s="11"/>
      <c r="U49142" s="9"/>
      <c r="X49142" s="9"/>
    </row>
    <row r="49143">
      <c r="D49143" s="9"/>
      <c r="G49143" s="9"/>
      <c r="J49143" s="11"/>
      <c r="U49143" s="9"/>
      <c r="X49143" s="9"/>
    </row>
    <row r="49144">
      <c r="D49144" s="9"/>
      <c r="G49144" s="9"/>
      <c r="J49144" s="11"/>
      <c r="U49144" s="9"/>
      <c r="X49144" s="9"/>
    </row>
    <row r="49145">
      <c r="D49145" s="9"/>
      <c r="G49145" s="9"/>
      <c r="J49145" s="11"/>
      <c r="U49145" s="9"/>
      <c r="X49145" s="9"/>
    </row>
    <row r="49146">
      <c r="D49146" s="9"/>
      <c r="G49146" s="9"/>
      <c r="J49146" s="11"/>
      <c r="U49146" s="9"/>
      <c r="X49146" s="9"/>
    </row>
    <row r="49147">
      <c r="D49147" s="9"/>
      <c r="G49147" s="9"/>
      <c r="J49147" s="11"/>
      <c r="U49147" s="9"/>
      <c r="X49147" s="9"/>
    </row>
    <row r="49148">
      <c r="D49148" s="9"/>
      <c r="G49148" s="9"/>
      <c r="J49148" s="11"/>
      <c r="U49148" s="9"/>
      <c r="X49148" s="9"/>
    </row>
    <row r="49149">
      <c r="D49149" s="9"/>
      <c r="G49149" s="9"/>
      <c r="J49149" s="11"/>
      <c r="U49149" s="9"/>
      <c r="X49149" s="9"/>
    </row>
    <row r="49150">
      <c r="D49150" s="9"/>
      <c r="G49150" s="9"/>
      <c r="J49150" s="11"/>
      <c r="U49150" s="9"/>
      <c r="X49150" s="9"/>
    </row>
    <row r="49151">
      <c r="D49151" s="9"/>
      <c r="G49151" s="9"/>
      <c r="J49151" s="11"/>
      <c r="U49151" s="9"/>
      <c r="X49151" s="9"/>
    </row>
    <row r="49152">
      <c r="D49152" s="9"/>
      <c r="G49152" s="9"/>
      <c r="J49152" s="11"/>
      <c r="U49152" s="9"/>
      <c r="X49152" s="9"/>
    </row>
    <row r="49153">
      <c r="D49153" s="9"/>
      <c r="G49153" s="9"/>
      <c r="J49153" s="11"/>
      <c r="U49153" s="9"/>
      <c r="X49153" s="9"/>
    </row>
    <row r="49154">
      <c r="D49154" s="9"/>
      <c r="G49154" s="9"/>
      <c r="J49154" s="11"/>
      <c r="U49154" s="9"/>
      <c r="X49154" s="9"/>
    </row>
    <row r="49155">
      <c r="D49155" s="9"/>
      <c r="G49155" s="9"/>
      <c r="J49155" s="11"/>
      <c r="U49155" s="9"/>
      <c r="X49155" s="9"/>
    </row>
    <row r="49156">
      <c r="D49156" s="9"/>
      <c r="G49156" s="9"/>
      <c r="J49156" s="11"/>
      <c r="U49156" s="9"/>
      <c r="X49156" s="9"/>
    </row>
    <row r="49157">
      <c r="D49157" s="9"/>
      <c r="G49157" s="9"/>
      <c r="J49157" s="11"/>
      <c r="U49157" s="9"/>
      <c r="X49157" s="9"/>
    </row>
    <row r="49158">
      <c r="D49158" s="9"/>
      <c r="G49158" s="9"/>
      <c r="J49158" s="11"/>
      <c r="U49158" s="9"/>
      <c r="X49158" s="9"/>
    </row>
    <row r="49159">
      <c r="D49159" s="9"/>
      <c r="G49159" s="9"/>
      <c r="J49159" s="11"/>
      <c r="U49159" s="9"/>
      <c r="X49159" s="9"/>
    </row>
    <row r="49160">
      <c r="D49160" s="9"/>
      <c r="G49160" s="9"/>
      <c r="J49160" s="11"/>
      <c r="U49160" s="9"/>
      <c r="X49160" s="9"/>
    </row>
    <row r="49161">
      <c r="D49161" s="9"/>
      <c r="G49161" s="9"/>
      <c r="J49161" s="11"/>
      <c r="U49161" s="9"/>
      <c r="X49161" s="9"/>
    </row>
    <row r="49162">
      <c r="D49162" s="9"/>
      <c r="G49162" s="9"/>
      <c r="J49162" s="11"/>
      <c r="U49162" s="9"/>
      <c r="X49162" s="9"/>
    </row>
    <row r="49163">
      <c r="D49163" s="9"/>
      <c r="G49163" s="9"/>
      <c r="J49163" s="11"/>
      <c r="U49163" s="9"/>
      <c r="X49163" s="9"/>
    </row>
    <row r="49164">
      <c r="D49164" s="9"/>
      <c r="G49164" s="9"/>
      <c r="J49164" s="11"/>
      <c r="U49164" s="9"/>
      <c r="X49164" s="9"/>
    </row>
    <row r="49165">
      <c r="D49165" s="9"/>
      <c r="G49165" s="9"/>
      <c r="J49165" s="11"/>
      <c r="U49165" s="9"/>
      <c r="X49165" s="9"/>
    </row>
    <row r="49166">
      <c r="D49166" s="9"/>
      <c r="G49166" s="9"/>
      <c r="J49166" s="11"/>
      <c r="U49166" s="9"/>
      <c r="X49166" s="9"/>
    </row>
    <row r="49167">
      <c r="D49167" s="9"/>
      <c r="G49167" s="9"/>
      <c r="J49167" s="11"/>
      <c r="U49167" s="9"/>
      <c r="X49167" s="9"/>
    </row>
    <row r="49168">
      <c r="D49168" s="9"/>
      <c r="G49168" s="9"/>
      <c r="J49168" s="11"/>
      <c r="U49168" s="9"/>
      <c r="X49168" s="9"/>
    </row>
    <row r="49169">
      <c r="D49169" s="9"/>
      <c r="G49169" s="9"/>
      <c r="J49169" s="11"/>
      <c r="U49169" s="9"/>
      <c r="X49169" s="9"/>
    </row>
    <row r="49170">
      <c r="D49170" s="9"/>
      <c r="G49170" s="9"/>
      <c r="J49170" s="11"/>
      <c r="U49170" s="9"/>
      <c r="X49170" s="9"/>
    </row>
    <row r="49171">
      <c r="D49171" s="9"/>
      <c r="G49171" s="9"/>
      <c r="J49171" s="11"/>
      <c r="U49171" s="9"/>
      <c r="X49171" s="9"/>
    </row>
    <row r="49172">
      <c r="D49172" s="9"/>
      <c r="G49172" s="9"/>
      <c r="J49172" s="11"/>
      <c r="U49172" s="9"/>
      <c r="X49172" s="9"/>
    </row>
    <row r="49173">
      <c r="D49173" s="9"/>
      <c r="G49173" s="9"/>
      <c r="J49173" s="11"/>
      <c r="U49173" s="9"/>
      <c r="X49173" s="9"/>
    </row>
    <row r="49174">
      <c r="D49174" s="9"/>
      <c r="G49174" s="9"/>
      <c r="J49174" s="11"/>
      <c r="U49174" s="9"/>
      <c r="X49174" s="9"/>
    </row>
    <row r="49175">
      <c r="D49175" s="9"/>
      <c r="G49175" s="9"/>
      <c r="J49175" s="11"/>
      <c r="U49175" s="9"/>
      <c r="X49175" s="9"/>
    </row>
    <row r="49176">
      <c r="D49176" s="9"/>
      <c r="G49176" s="9"/>
      <c r="J49176" s="11"/>
      <c r="U49176" s="9"/>
      <c r="X49176" s="9"/>
    </row>
    <row r="49177">
      <c r="D49177" s="9"/>
      <c r="G49177" s="9"/>
      <c r="J49177" s="11"/>
      <c r="U49177" s="9"/>
      <c r="X49177" s="9"/>
    </row>
    <row r="49178">
      <c r="D49178" s="9"/>
      <c r="G49178" s="9"/>
      <c r="J49178" s="11"/>
      <c r="U49178" s="9"/>
      <c r="X49178" s="9"/>
    </row>
    <row r="49179">
      <c r="D49179" s="9"/>
      <c r="G49179" s="9"/>
      <c r="J49179" s="11"/>
      <c r="U49179" s="9"/>
      <c r="X49179" s="9"/>
    </row>
    <row r="49180">
      <c r="D49180" s="9"/>
      <c r="G49180" s="9"/>
      <c r="J49180" s="11"/>
      <c r="U49180" s="9"/>
      <c r="X49180" s="9"/>
    </row>
    <row r="49181">
      <c r="D49181" s="9"/>
      <c r="G49181" s="9"/>
      <c r="J49181" s="11"/>
      <c r="U49181" s="9"/>
      <c r="X49181" s="9"/>
    </row>
    <row r="49182">
      <c r="D49182" s="9"/>
      <c r="G49182" s="9"/>
      <c r="J49182" s="11"/>
      <c r="U49182" s="9"/>
      <c r="X49182" s="9"/>
    </row>
    <row r="49183">
      <c r="D49183" s="9"/>
      <c r="G49183" s="9"/>
      <c r="J49183" s="11"/>
      <c r="U49183" s="9"/>
      <c r="X49183" s="9"/>
    </row>
    <row r="49184">
      <c r="D49184" s="9"/>
      <c r="G49184" s="9"/>
      <c r="J49184" s="11"/>
      <c r="U49184" s="9"/>
      <c r="X49184" s="9"/>
    </row>
    <row r="49185">
      <c r="D49185" s="9"/>
      <c r="G49185" s="9"/>
      <c r="J49185" s="11"/>
      <c r="U49185" s="9"/>
      <c r="X49185" s="9"/>
    </row>
    <row r="49186">
      <c r="D49186" s="9"/>
      <c r="G49186" s="9"/>
      <c r="J49186" s="11"/>
      <c r="U49186" s="9"/>
      <c r="X49186" s="9"/>
    </row>
    <row r="49187">
      <c r="D49187" s="9"/>
      <c r="G49187" s="9"/>
      <c r="J49187" s="11"/>
      <c r="U49187" s="9"/>
      <c r="X49187" s="9"/>
    </row>
    <row r="49188">
      <c r="D49188" s="9"/>
      <c r="G49188" s="9"/>
      <c r="J49188" s="11"/>
      <c r="U49188" s="9"/>
      <c r="X49188" s="9"/>
    </row>
    <row r="49189">
      <c r="D49189" s="9"/>
      <c r="G49189" s="9"/>
      <c r="J49189" s="11"/>
      <c r="U49189" s="9"/>
      <c r="X49189" s="9"/>
    </row>
    <row r="49190">
      <c r="D49190" s="9"/>
      <c r="G49190" s="9"/>
      <c r="J49190" s="11"/>
      <c r="U49190" s="9"/>
      <c r="X49190" s="9"/>
    </row>
    <row r="49191">
      <c r="D49191" s="9"/>
      <c r="G49191" s="9"/>
      <c r="J49191" s="11"/>
      <c r="U49191" s="9"/>
      <c r="X49191" s="9"/>
    </row>
    <row r="49192">
      <c r="D49192" s="9"/>
      <c r="G49192" s="9"/>
      <c r="J49192" s="11"/>
      <c r="U49192" s="9"/>
      <c r="X49192" s="9"/>
    </row>
    <row r="49193">
      <c r="D49193" s="9"/>
      <c r="G49193" s="9"/>
      <c r="J49193" s="11"/>
      <c r="U49193" s="9"/>
      <c r="X49193" s="9"/>
    </row>
    <row r="49194">
      <c r="D49194" s="9"/>
      <c r="G49194" s="9"/>
      <c r="J49194" s="11"/>
      <c r="U49194" s="9"/>
      <c r="X49194" s="9"/>
    </row>
    <row r="49195">
      <c r="D49195" s="9"/>
      <c r="G49195" s="9"/>
      <c r="J49195" s="11"/>
      <c r="U49195" s="9"/>
      <c r="X49195" s="9"/>
    </row>
    <row r="49196">
      <c r="D49196" s="9"/>
      <c r="G49196" s="9"/>
      <c r="J49196" s="11"/>
      <c r="U49196" s="9"/>
      <c r="X49196" s="9"/>
    </row>
    <row r="49197">
      <c r="D49197" s="9"/>
      <c r="G49197" s="9"/>
      <c r="J49197" s="11"/>
      <c r="U49197" s="9"/>
      <c r="X49197" s="9"/>
    </row>
    <row r="49198">
      <c r="D49198" s="9"/>
      <c r="G49198" s="9"/>
      <c r="J49198" s="11"/>
      <c r="U49198" s="9"/>
      <c r="X49198" s="9"/>
    </row>
    <row r="49199">
      <c r="D49199" s="9"/>
      <c r="G49199" s="9"/>
      <c r="J49199" s="11"/>
      <c r="U49199" s="9"/>
      <c r="X49199" s="9"/>
    </row>
    <row r="49200">
      <c r="D49200" s="9"/>
      <c r="G49200" s="9"/>
      <c r="J49200" s="11"/>
      <c r="U49200" s="9"/>
      <c r="X49200" s="9"/>
    </row>
    <row r="49201">
      <c r="D49201" s="9"/>
      <c r="G49201" s="9"/>
      <c r="J49201" s="11"/>
      <c r="U49201" s="9"/>
      <c r="X49201" s="9"/>
    </row>
    <row r="49202">
      <c r="D49202" s="9"/>
      <c r="G49202" s="9"/>
      <c r="J49202" s="11"/>
      <c r="U49202" s="9"/>
      <c r="X49202" s="9"/>
    </row>
    <row r="49203">
      <c r="D49203" s="9"/>
      <c r="G49203" s="9"/>
      <c r="J49203" s="11"/>
      <c r="U49203" s="9"/>
      <c r="X49203" s="9"/>
    </row>
    <row r="49204">
      <c r="D49204" s="9"/>
      <c r="G49204" s="9"/>
      <c r="J49204" s="11"/>
      <c r="U49204" s="9"/>
      <c r="X49204" s="9"/>
    </row>
    <row r="49205">
      <c r="D49205" s="9"/>
      <c r="G49205" s="9"/>
      <c r="J49205" s="11"/>
      <c r="U49205" s="9"/>
      <c r="X49205" s="9"/>
    </row>
    <row r="49206">
      <c r="D49206" s="9"/>
      <c r="G49206" s="9"/>
      <c r="J49206" s="11"/>
      <c r="U49206" s="9"/>
      <c r="X49206" s="9"/>
    </row>
    <row r="49207">
      <c r="D49207" s="9"/>
      <c r="G49207" s="9"/>
      <c r="J49207" s="11"/>
      <c r="U49207" s="9"/>
      <c r="X49207" s="9"/>
    </row>
    <row r="49208">
      <c r="D49208" s="9"/>
      <c r="G49208" s="9"/>
      <c r="J49208" s="11"/>
      <c r="U49208" s="9"/>
      <c r="X49208" s="9"/>
    </row>
    <row r="49209">
      <c r="D49209" s="9"/>
      <c r="G49209" s="9"/>
      <c r="J49209" s="11"/>
      <c r="U49209" s="9"/>
      <c r="X49209" s="9"/>
    </row>
    <row r="49210">
      <c r="D49210" s="9"/>
      <c r="G49210" s="9"/>
      <c r="J49210" s="11"/>
      <c r="U49210" s="9"/>
      <c r="X49210" s="9"/>
    </row>
    <row r="49211">
      <c r="D49211" s="9"/>
      <c r="G49211" s="9"/>
      <c r="J49211" s="11"/>
      <c r="U49211" s="9"/>
      <c r="X49211" s="9"/>
    </row>
    <row r="49212">
      <c r="D49212" s="9"/>
      <c r="G49212" s="9"/>
      <c r="J49212" s="11"/>
      <c r="U49212" s="9"/>
      <c r="X49212" s="9"/>
    </row>
    <row r="49213">
      <c r="D49213" s="9"/>
      <c r="G49213" s="9"/>
      <c r="J49213" s="11"/>
      <c r="U49213" s="9"/>
      <c r="X49213" s="9"/>
    </row>
    <row r="49214">
      <c r="D49214" s="9"/>
      <c r="G49214" s="9"/>
      <c r="J49214" s="11"/>
      <c r="U49214" s="9"/>
      <c r="X49214" s="9"/>
    </row>
    <row r="49215">
      <c r="D49215" s="9"/>
      <c r="G49215" s="9"/>
      <c r="J49215" s="11"/>
      <c r="U49215" s="9"/>
      <c r="X49215" s="9"/>
    </row>
    <row r="49216">
      <c r="D49216" s="9"/>
      <c r="G49216" s="9"/>
      <c r="J49216" s="11"/>
      <c r="U49216" s="9"/>
      <c r="X49216" s="9"/>
    </row>
    <row r="49217">
      <c r="D49217" s="9"/>
      <c r="G49217" s="9"/>
      <c r="J49217" s="11"/>
      <c r="U49217" s="9"/>
      <c r="X49217" s="9"/>
    </row>
    <row r="49218">
      <c r="D49218" s="9"/>
      <c r="G49218" s="9"/>
      <c r="J49218" s="11"/>
      <c r="U49218" s="9"/>
      <c r="X49218" s="9"/>
    </row>
    <row r="49219">
      <c r="D49219" s="9"/>
      <c r="G49219" s="9"/>
      <c r="J49219" s="11"/>
      <c r="U49219" s="9"/>
      <c r="X49219" s="9"/>
    </row>
    <row r="49220">
      <c r="D49220" s="9"/>
      <c r="G49220" s="9"/>
      <c r="J49220" s="11"/>
      <c r="U49220" s="9"/>
      <c r="X49220" s="9"/>
    </row>
    <row r="49221">
      <c r="D49221" s="9"/>
      <c r="G49221" s="9"/>
      <c r="J49221" s="11"/>
      <c r="U49221" s="9"/>
      <c r="X49221" s="9"/>
    </row>
    <row r="49222">
      <c r="D49222" s="9"/>
      <c r="G49222" s="9"/>
      <c r="J49222" s="11"/>
      <c r="U49222" s="9"/>
      <c r="X49222" s="9"/>
    </row>
    <row r="49223">
      <c r="D49223" s="9"/>
      <c r="G49223" s="9"/>
      <c r="J49223" s="11"/>
      <c r="U49223" s="9"/>
      <c r="X49223" s="9"/>
    </row>
    <row r="49224">
      <c r="D49224" s="9"/>
      <c r="G49224" s="9"/>
      <c r="J49224" s="11"/>
      <c r="U49224" s="9"/>
      <c r="X49224" s="9"/>
    </row>
    <row r="49225">
      <c r="D49225" s="9"/>
      <c r="G49225" s="9"/>
      <c r="J49225" s="11"/>
      <c r="U49225" s="9"/>
      <c r="X49225" s="9"/>
    </row>
    <row r="49226">
      <c r="D49226" s="9"/>
      <c r="G49226" s="9"/>
      <c r="J49226" s="11"/>
      <c r="U49226" s="9"/>
      <c r="X49226" s="9"/>
    </row>
    <row r="49227">
      <c r="D49227" s="9"/>
      <c r="G49227" s="9"/>
      <c r="J49227" s="11"/>
      <c r="U49227" s="9"/>
      <c r="X49227" s="9"/>
    </row>
    <row r="49228">
      <c r="D49228" s="9"/>
      <c r="G49228" s="9"/>
      <c r="J49228" s="11"/>
      <c r="U49228" s="9"/>
      <c r="X49228" s="9"/>
    </row>
    <row r="49229">
      <c r="D49229" s="9"/>
      <c r="G49229" s="9"/>
      <c r="J49229" s="11"/>
      <c r="U49229" s="9"/>
      <c r="X49229" s="9"/>
    </row>
    <row r="49230">
      <c r="D49230" s="9"/>
      <c r="G49230" s="9"/>
      <c r="J49230" s="11"/>
      <c r="U49230" s="9"/>
      <c r="X49230" s="9"/>
    </row>
    <row r="49231">
      <c r="D49231" s="9"/>
      <c r="G49231" s="9"/>
      <c r="J49231" s="11"/>
      <c r="U49231" s="9"/>
      <c r="X49231" s="9"/>
    </row>
    <row r="49232">
      <c r="D49232" s="9"/>
      <c r="G49232" s="9"/>
      <c r="J49232" s="11"/>
      <c r="U49232" s="9"/>
      <c r="X49232" s="9"/>
    </row>
    <row r="49233">
      <c r="D49233" s="9"/>
      <c r="G49233" s="9"/>
      <c r="J49233" s="11"/>
      <c r="U49233" s="9"/>
      <c r="X49233" s="9"/>
    </row>
    <row r="49234">
      <c r="D49234" s="9"/>
      <c r="G49234" s="9"/>
      <c r="J49234" s="11"/>
      <c r="U49234" s="9"/>
      <c r="X49234" s="9"/>
    </row>
    <row r="49235">
      <c r="D49235" s="9"/>
      <c r="G49235" s="9"/>
      <c r="J49235" s="11"/>
      <c r="U49235" s="9"/>
      <c r="X49235" s="9"/>
    </row>
    <row r="49236">
      <c r="D49236" s="9"/>
      <c r="G49236" s="9"/>
      <c r="J49236" s="11"/>
      <c r="U49236" s="9"/>
      <c r="X49236" s="9"/>
    </row>
    <row r="49237">
      <c r="D49237" s="9"/>
      <c r="G49237" s="9"/>
      <c r="J49237" s="11"/>
      <c r="U49237" s="9"/>
      <c r="X49237" s="9"/>
    </row>
    <row r="49238">
      <c r="D49238" s="9"/>
      <c r="G49238" s="9"/>
      <c r="J49238" s="11"/>
      <c r="U49238" s="9"/>
      <c r="X49238" s="9"/>
    </row>
    <row r="49239">
      <c r="D49239" s="9"/>
      <c r="G49239" s="9"/>
      <c r="J49239" s="11"/>
      <c r="U49239" s="9"/>
      <c r="X49239" s="9"/>
    </row>
    <row r="49240">
      <c r="D49240" s="9"/>
      <c r="G49240" s="9"/>
      <c r="J49240" s="11"/>
      <c r="U49240" s="9"/>
      <c r="X49240" s="9"/>
    </row>
    <row r="49241">
      <c r="D49241" s="9"/>
      <c r="G49241" s="9"/>
      <c r="J49241" s="11"/>
      <c r="U49241" s="9"/>
      <c r="X49241" s="9"/>
    </row>
    <row r="49242">
      <c r="D49242" s="9"/>
      <c r="G49242" s="9"/>
      <c r="J49242" s="11"/>
      <c r="U49242" s="9"/>
      <c r="X49242" s="9"/>
    </row>
    <row r="49243">
      <c r="D49243" s="9"/>
      <c r="G49243" s="9"/>
      <c r="J49243" s="11"/>
      <c r="U49243" s="9"/>
      <c r="X49243" s="9"/>
    </row>
    <row r="49244">
      <c r="D49244" s="9"/>
      <c r="G49244" s="9"/>
      <c r="J49244" s="11"/>
      <c r="U49244" s="9"/>
      <c r="X49244" s="9"/>
    </row>
    <row r="49245">
      <c r="D49245" s="9"/>
      <c r="G49245" s="9"/>
      <c r="J49245" s="11"/>
      <c r="U49245" s="9"/>
      <c r="X49245" s="9"/>
    </row>
    <row r="49246">
      <c r="D49246" s="9"/>
      <c r="G49246" s="9"/>
      <c r="J49246" s="11"/>
      <c r="U49246" s="9"/>
      <c r="X49246" s="9"/>
    </row>
    <row r="49247">
      <c r="D49247" s="9"/>
      <c r="G49247" s="9"/>
      <c r="J49247" s="11"/>
      <c r="U49247" s="9"/>
      <c r="X49247" s="9"/>
    </row>
    <row r="49248">
      <c r="D49248" s="9"/>
      <c r="G49248" s="9"/>
      <c r="J49248" s="11"/>
      <c r="U49248" s="9"/>
      <c r="X49248" s="9"/>
    </row>
    <row r="49249">
      <c r="D49249" s="9"/>
      <c r="G49249" s="9"/>
      <c r="J49249" s="11"/>
      <c r="U49249" s="9"/>
      <c r="X49249" s="9"/>
    </row>
    <row r="49250">
      <c r="D49250" s="9"/>
      <c r="G49250" s="9"/>
      <c r="J49250" s="11"/>
      <c r="U49250" s="9"/>
      <c r="X49250" s="9"/>
    </row>
    <row r="49251">
      <c r="D49251" s="9"/>
      <c r="G49251" s="9"/>
      <c r="J49251" s="11"/>
      <c r="U49251" s="9"/>
      <c r="X49251" s="9"/>
    </row>
    <row r="49252">
      <c r="D49252" s="9"/>
      <c r="G49252" s="9"/>
      <c r="J49252" s="11"/>
      <c r="U49252" s="9"/>
      <c r="X49252" s="9"/>
    </row>
    <row r="49253">
      <c r="D49253" s="9"/>
      <c r="G49253" s="9"/>
      <c r="J49253" s="11"/>
      <c r="U49253" s="9"/>
      <c r="X49253" s="9"/>
    </row>
    <row r="49254">
      <c r="D49254" s="9"/>
      <c r="G49254" s="9"/>
      <c r="J49254" s="11"/>
      <c r="U49254" s="9"/>
      <c r="X49254" s="9"/>
    </row>
    <row r="49255">
      <c r="D49255" s="9"/>
      <c r="G49255" s="9"/>
      <c r="J49255" s="11"/>
      <c r="U49255" s="9"/>
      <c r="X49255" s="9"/>
    </row>
    <row r="49256">
      <c r="D49256" s="9"/>
      <c r="G49256" s="9"/>
      <c r="J49256" s="11"/>
      <c r="U49256" s="9"/>
      <c r="X49256" s="9"/>
    </row>
    <row r="49257">
      <c r="D49257" s="9"/>
      <c r="G49257" s="9"/>
      <c r="J49257" s="11"/>
      <c r="U49257" s="9"/>
      <c r="X49257" s="9"/>
    </row>
    <row r="49258">
      <c r="D49258" s="9"/>
      <c r="G49258" s="9"/>
      <c r="J49258" s="11"/>
      <c r="U49258" s="9"/>
      <c r="X49258" s="9"/>
    </row>
    <row r="49259">
      <c r="D49259" s="9"/>
      <c r="G49259" s="9"/>
      <c r="J49259" s="11"/>
      <c r="U49259" s="9"/>
      <c r="X49259" s="9"/>
    </row>
    <row r="49260">
      <c r="D49260" s="9"/>
      <c r="G49260" s="9"/>
      <c r="J49260" s="11"/>
      <c r="U49260" s="9"/>
      <c r="X49260" s="9"/>
    </row>
    <row r="49261">
      <c r="D49261" s="9"/>
      <c r="G49261" s="9"/>
      <c r="J49261" s="11"/>
      <c r="U49261" s="9"/>
      <c r="X49261" s="9"/>
    </row>
    <row r="49262">
      <c r="D49262" s="9"/>
      <c r="G49262" s="9"/>
      <c r="J49262" s="11"/>
      <c r="U49262" s="9"/>
      <c r="X49262" s="9"/>
    </row>
    <row r="49263">
      <c r="D49263" s="9"/>
      <c r="G49263" s="9"/>
      <c r="J49263" s="11"/>
      <c r="U49263" s="9"/>
      <c r="X49263" s="9"/>
    </row>
    <row r="49264">
      <c r="D49264" s="9"/>
      <c r="G49264" s="9"/>
      <c r="J49264" s="11"/>
      <c r="U49264" s="9"/>
      <c r="X49264" s="9"/>
    </row>
    <row r="49265">
      <c r="D49265" s="9"/>
      <c r="G49265" s="9"/>
      <c r="J49265" s="11"/>
      <c r="U49265" s="9"/>
      <c r="X49265" s="9"/>
    </row>
    <row r="49266">
      <c r="D49266" s="9"/>
      <c r="G49266" s="9"/>
      <c r="J49266" s="11"/>
      <c r="U49266" s="9"/>
      <c r="X49266" s="9"/>
    </row>
    <row r="49267">
      <c r="D49267" s="9"/>
      <c r="G49267" s="9"/>
      <c r="J49267" s="11"/>
      <c r="U49267" s="9"/>
      <c r="X49267" s="9"/>
    </row>
    <row r="49268">
      <c r="D49268" s="9"/>
      <c r="G49268" s="9"/>
      <c r="J49268" s="11"/>
      <c r="U49268" s="9"/>
      <c r="X49268" s="9"/>
    </row>
    <row r="49269">
      <c r="D49269" s="9"/>
      <c r="G49269" s="9"/>
      <c r="J49269" s="11"/>
      <c r="U49269" s="9"/>
      <c r="X49269" s="9"/>
    </row>
    <row r="49270">
      <c r="D49270" s="9"/>
      <c r="G49270" s="9"/>
      <c r="J49270" s="11"/>
      <c r="U49270" s="9"/>
      <c r="X49270" s="9"/>
    </row>
    <row r="49271">
      <c r="D49271" s="9"/>
      <c r="G49271" s="9"/>
      <c r="J49271" s="11"/>
      <c r="U49271" s="9"/>
      <c r="X49271" s="9"/>
    </row>
    <row r="49272">
      <c r="D49272" s="9"/>
      <c r="G49272" s="9"/>
      <c r="J49272" s="11"/>
      <c r="U49272" s="9"/>
      <c r="X49272" s="9"/>
    </row>
    <row r="49273">
      <c r="D49273" s="9"/>
      <c r="G49273" s="9"/>
      <c r="J49273" s="11"/>
      <c r="U49273" s="9"/>
      <c r="X49273" s="9"/>
    </row>
    <row r="49274">
      <c r="D49274" s="9"/>
      <c r="G49274" s="9"/>
      <c r="J49274" s="11"/>
      <c r="U49274" s="9"/>
      <c r="X49274" s="9"/>
    </row>
    <row r="49275">
      <c r="D49275" s="9"/>
      <c r="G49275" s="9"/>
      <c r="J49275" s="11"/>
      <c r="U49275" s="9"/>
      <c r="X49275" s="9"/>
    </row>
    <row r="49276">
      <c r="D49276" s="9"/>
      <c r="G49276" s="9"/>
      <c r="J49276" s="11"/>
      <c r="U49276" s="9"/>
      <c r="X49276" s="9"/>
    </row>
    <row r="49277">
      <c r="D49277" s="9"/>
      <c r="G49277" s="9"/>
      <c r="J49277" s="11"/>
      <c r="U49277" s="9"/>
      <c r="X49277" s="9"/>
    </row>
    <row r="49278">
      <c r="D49278" s="9"/>
      <c r="G49278" s="9"/>
      <c r="J49278" s="11"/>
      <c r="U49278" s="9"/>
      <c r="X49278" s="9"/>
    </row>
    <row r="49279">
      <c r="D49279" s="9"/>
      <c r="G49279" s="9"/>
      <c r="J49279" s="11"/>
      <c r="U49279" s="9"/>
      <c r="X49279" s="9"/>
    </row>
    <row r="49280">
      <c r="D49280" s="9"/>
      <c r="G49280" s="9"/>
      <c r="J49280" s="11"/>
      <c r="U49280" s="9"/>
      <c r="X49280" s="9"/>
    </row>
    <row r="49281">
      <c r="D49281" s="9"/>
      <c r="G49281" s="9"/>
      <c r="J49281" s="11"/>
      <c r="U49281" s="9"/>
      <c r="X49281" s="9"/>
    </row>
    <row r="49282">
      <c r="D49282" s="9"/>
      <c r="G49282" s="9"/>
      <c r="J49282" s="11"/>
      <c r="U49282" s="9"/>
      <c r="X49282" s="9"/>
    </row>
    <row r="49283">
      <c r="D49283" s="9"/>
      <c r="G49283" s="9"/>
      <c r="J49283" s="11"/>
      <c r="U49283" s="9"/>
      <c r="X49283" s="9"/>
    </row>
    <row r="49284">
      <c r="D49284" s="9"/>
      <c r="G49284" s="9"/>
      <c r="J49284" s="11"/>
      <c r="U49284" s="9"/>
      <c r="X49284" s="9"/>
    </row>
    <row r="49285">
      <c r="D49285" s="9"/>
      <c r="G49285" s="9"/>
      <c r="J49285" s="11"/>
      <c r="U49285" s="9"/>
      <c r="X49285" s="9"/>
    </row>
    <row r="49286">
      <c r="D49286" s="9"/>
      <c r="G49286" s="9"/>
      <c r="J49286" s="11"/>
      <c r="U49286" s="9"/>
      <c r="X49286" s="9"/>
    </row>
    <row r="49287">
      <c r="D49287" s="9"/>
      <c r="G49287" s="9"/>
      <c r="J49287" s="11"/>
      <c r="U49287" s="9"/>
      <c r="X49287" s="9"/>
    </row>
    <row r="49288">
      <c r="D49288" s="9"/>
      <c r="G49288" s="9"/>
      <c r="J49288" s="11"/>
      <c r="U49288" s="9"/>
      <c r="X49288" s="9"/>
    </row>
    <row r="49289">
      <c r="D49289" s="9"/>
      <c r="G49289" s="9"/>
      <c r="J49289" s="11"/>
      <c r="U49289" s="9"/>
      <c r="X49289" s="9"/>
    </row>
    <row r="49290">
      <c r="D49290" s="9"/>
      <c r="G49290" s="9"/>
      <c r="J49290" s="11"/>
      <c r="U49290" s="9"/>
      <c r="X49290" s="9"/>
    </row>
    <row r="49291">
      <c r="D49291" s="9"/>
      <c r="G49291" s="9"/>
      <c r="J49291" s="11"/>
      <c r="U49291" s="9"/>
      <c r="X49291" s="9"/>
    </row>
    <row r="49292">
      <c r="D49292" s="9"/>
      <c r="G49292" s="9"/>
      <c r="J49292" s="11"/>
      <c r="U49292" s="9"/>
      <c r="X49292" s="9"/>
    </row>
    <row r="49293">
      <c r="D49293" s="9"/>
      <c r="G49293" s="9"/>
      <c r="J49293" s="11"/>
      <c r="U49293" s="9"/>
      <c r="X49293" s="9"/>
    </row>
    <row r="49294">
      <c r="D49294" s="9"/>
      <c r="G49294" s="9"/>
      <c r="J49294" s="11"/>
      <c r="U49294" s="9"/>
      <c r="X49294" s="9"/>
    </row>
    <row r="49295">
      <c r="D49295" s="9"/>
      <c r="G49295" s="9"/>
      <c r="J49295" s="11"/>
      <c r="U49295" s="9"/>
      <c r="X49295" s="9"/>
    </row>
    <row r="49296">
      <c r="D49296" s="9"/>
      <c r="G49296" s="9"/>
      <c r="J49296" s="11"/>
      <c r="U49296" s="9"/>
      <c r="X49296" s="9"/>
    </row>
    <row r="49297">
      <c r="D49297" s="9"/>
      <c r="G49297" s="9"/>
      <c r="J49297" s="11"/>
      <c r="U49297" s="9"/>
      <c r="X49297" s="9"/>
    </row>
    <row r="49298">
      <c r="D49298" s="9"/>
      <c r="G49298" s="9"/>
      <c r="J49298" s="11"/>
      <c r="U49298" s="9"/>
      <c r="X49298" s="9"/>
    </row>
    <row r="49299">
      <c r="D49299" s="9"/>
      <c r="G49299" s="9"/>
      <c r="J49299" s="11"/>
      <c r="U49299" s="9"/>
      <c r="X49299" s="9"/>
    </row>
    <row r="49300">
      <c r="D49300" s="9"/>
      <c r="G49300" s="9"/>
      <c r="J49300" s="11"/>
      <c r="U49300" s="9"/>
      <c r="X49300" s="9"/>
    </row>
    <row r="49301">
      <c r="D49301" s="9"/>
      <c r="G49301" s="9"/>
      <c r="J49301" s="11"/>
      <c r="U49301" s="9"/>
      <c r="X49301" s="9"/>
    </row>
    <row r="49302">
      <c r="D49302" s="9"/>
      <c r="G49302" s="9"/>
      <c r="J49302" s="11"/>
      <c r="U49302" s="9"/>
      <c r="X49302" s="9"/>
    </row>
    <row r="49303">
      <c r="D49303" s="9"/>
      <c r="G49303" s="9"/>
      <c r="J49303" s="11"/>
      <c r="U49303" s="9"/>
      <c r="X49303" s="9"/>
    </row>
    <row r="49304">
      <c r="D49304" s="9"/>
      <c r="G49304" s="9"/>
      <c r="J49304" s="11"/>
      <c r="U49304" s="9"/>
      <c r="X49304" s="9"/>
    </row>
    <row r="49305">
      <c r="D49305" s="9"/>
      <c r="G49305" s="9"/>
      <c r="J49305" s="11"/>
      <c r="U49305" s="9"/>
      <c r="X49305" s="9"/>
    </row>
    <row r="49306">
      <c r="D49306" s="9"/>
      <c r="G49306" s="9"/>
      <c r="J49306" s="11"/>
      <c r="U49306" s="9"/>
      <c r="X49306" s="9"/>
    </row>
    <row r="49307">
      <c r="D49307" s="9"/>
      <c r="G49307" s="9"/>
      <c r="J49307" s="11"/>
      <c r="U49307" s="9"/>
      <c r="X49307" s="9"/>
    </row>
    <row r="49308">
      <c r="D49308" s="9"/>
      <c r="G49308" s="9"/>
      <c r="J49308" s="11"/>
      <c r="U49308" s="9"/>
      <c r="X49308" s="9"/>
    </row>
    <row r="49309">
      <c r="D49309" s="9"/>
      <c r="G49309" s="9"/>
      <c r="J49309" s="11"/>
      <c r="U49309" s="9"/>
      <c r="X49309" s="9"/>
    </row>
    <row r="49310">
      <c r="D49310" s="9"/>
      <c r="G49310" s="9"/>
      <c r="J49310" s="11"/>
      <c r="U49310" s="9"/>
      <c r="X49310" s="9"/>
    </row>
    <row r="49311">
      <c r="D49311" s="9"/>
      <c r="G49311" s="9"/>
      <c r="J49311" s="11"/>
      <c r="U49311" s="9"/>
      <c r="X49311" s="9"/>
    </row>
    <row r="49312">
      <c r="D49312" s="9"/>
      <c r="G49312" s="9"/>
      <c r="J49312" s="11"/>
      <c r="U49312" s="9"/>
      <c r="X49312" s="9"/>
    </row>
    <row r="49313">
      <c r="D49313" s="9"/>
      <c r="G49313" s="9"/>
      <c r="J49313" s="11"/>
      <c r="U49313" s="9"/>
      <c r="X49313" s="9"/>
    </row>
    <row r="49314">
      <c r="D49314" s="9"/>
      <c r="G49314" s="9"/>
      <c r="J49314" s="11"/>
      <c r="U49314" s="9"/>
      <c r="X49314" s="9"/>
    </row>
    <row r="49315">
      <c r="D49315" s="9"/>
      <c r="G49315" s="9"/>
      <c r="J49315" s="11"/>
      <c r="U49315" s="9"/>
      <c r="X49315" s="9"/>
    </row>
    <row r="49316">
      <c r="D49316" s="9"/>
      <c r="G49316" s="9"/>
      <c r="J49316" s="11"/>
      <c r="U49316" s="9"/>
      <c r="X49316" s="9"/>
    </row>
    <row r="49317">
      <c r="D49317" s="9"/>
      <c r="G49317" s="9"/>
      <c r="J49317" s="11"/>
      <c r="U49317" s="9"/>
      <c r="X49317" s="9"/>
    </row>
    <row r="49318">
      <c r="D49318" s="9"/>
      <c r="G49318" s="9"/>
      <c r="J49318" s="11"/>
      <c r="U49318" s="9"/>
      <c r="X49318" s="9"/>
    </row>
    <row r="49319">
      <c r="D49319" s="9"/>
      <c r="G49319" s="9"/>
      <c r="J49319" s="11"/>
      <c r="U49319" s="9"/>
      <c r="X49319" s="9"/>
    </row>
    <row r="49320">
      <c r="D49320" s="9"/>
      <c r="G49320" s="9"/>
      <c r="J49320" s="11"/>
      <c r="U49320" s="9"/>
      <c r="X49320" s="9"/>
    </row>
    <row r="49321">
      <c r="D49321" s="9"/>
      <c r="G49321" s="9"/>
      <c r="J49321" s="11"/>
      <c r="U49321" s="9"/>
      <c r="X49321" s="9"/>
    </row>
    <row r="49322">
      <c r="D49322" s="9"/>
      <c r="G49322" s="9"/>
      <c r="J49322" s="11"/>
      <c r="U49322" s="9"/>
      <c r="X49322" s="9"/>
    </row>
    <row r="49323">
      <c r="D49323" s="9"/>
      <c r="G49323" s="9"/>
      <c r="J49323" s="11"/>
      <c r="U49323" s="9"/>
      <c r="X49323" s="9"/>
    </row>
    <row r="49324">
      <c r="D49324" s="9"/>
      <c r="G49324" s="9"/>
      <c r="J49324" s="11"/>
      <c r="U49324" s="9"/>
      <c r="X49324" s="9"/>
    </row>
    <row r="49325">
      <c r="D49325" s="9"/>
      <c r="G49325" s="9"/>
      <c r="J49325" s="11"/>
      <c r="U49325" s="9"/>
      <c r="X49325" s="9"/>
    </row>
    <row r="49326">
      <c r="D49326" s="9"/>
      <c r="G49326" s="9"/>
      <c r="J49326" s="11"/>
      <c r="U49326" s="9"/>
      <c r="X49326" s="9"/>
    </row>
    <row r="49327">
      <c r="D49327" s="9"/>
      <c r="G49327" s="9"/>
      <c r="J49327" s="11"/>
      <c r="U49327" s="9"/>
      <c r="X49327" s="9"/>
    </row>
    <row r="49328">
      <c r="D49328" s="9"/>
      <c r="G49328" s="9"/>
      <c r="J49328" s="11"/>
      <c r="U49328" s="9"/>
      <c r="X49328" s="9"/>
    </row>
    <row r="49329">
      <c r="D49329" s="9"/>
      <c r="G49329" s="9"/>
      <c r="J49329" s="11"/>
      <c r="U49329" s="9"/>
      <c r="X49329" s="9"/>
    </row>
    <row r="49330">
      <c r="D49330" s="9"/>
      <c r="G49330" s="9"/>
      <c r="J49330" s="11"/>
      <c r="U49330" s="9"/>
      <c r="X49330" s="9"/>
    </row>
    <row r="49331">
      <c r="D49331" s="9"/>
      <c r="G49331" s="9"/>
      <c r="J49331" s="11"/>
      <c r="U49331" s="9"/>
      <c r="X49331" s="9"/>
    </row>
    <row r="49332">
      <c r="D49332" s="9"/>
      <c r="G49332" s="9"/>
      <c r="J49332" s="11"/>
      <c r="U49332" s="9"/>
      <c r="X49332" s="9"/>
    </row>
    <row r="49333">
      <c r="D49333" s="9"/>
      <c r="G49333" s="9"/>
      <c r="J49333" s="11"/>
      <c r="U49333" s="9"/>
      <c r="X49333" s="9"/>
    </row>
    <row r="49334">
      <c r="D49334" s="9"/>
      <c r="G49334" s="9"/>
      <c r="J49334" s="11"/>
      <c r="U49334" s="9"/>
      <c r="X49334" s="9"/>
    </row>
    <row r="49335">
      <c r="D49335" s="9"/>
      <c r="G49335" s="9"/>
      <c r="J49335" s="11"/>
      <c r="U49335" s="9"/>
      <c r="X49335" s="9"/>
    </row>
    <row r="49336">
      <c r="D49336" s="9"/>
      <c r="G49336" s="9"/>
      <c r="J49336" s="11"/>
      <c r="U49336" s="9"/>
      <c r="X49336" s="9"/>
    </row>
    <row r="49337">
      <c r="D49337" s="9"/>
      <c r="G49337" s="9"/>
      <c r="J49337" s="11"/>
      <c r="U49337" s="9"/>
      <c r="X49337" s="9"/>
    </row>
    <row r="49338">
      <c r="D49338" s="9"/>
      <c r="G49338" s="9"/>
      <c r="J49338" s="11"/>
      <c r="U49338" s="9"/>
      <c r="X49338" s="9"/>
    </row>
    <row r="49339">
      <c r="D49339" s="9"/>
      <c r="G49339" s="9"/>
      <c r="J49339" s="11"/>
      <c r="U49339" s="9"/>
      <c r="X49339" s="9"/>
    </row>
    <row r="49340">
      <c r="D49340" s="9"/>
      <c r="G49340" s="9"/>
      <c r="J49340" s="11"/>
      <c r="U49340" s="9"/>
      <c r="X49340" s="9"/>
    </row>
    <row r="49341">
      <c r="D49341" s="9"/>
      <c r="G49341" s="9"/>
      <c r="J49341" s="11"/>
      <c r="U49341" s="9"/>
      <c r="X49341" s="9"/>
    </row>
    <row r="49342">
      <c r="D49342" s="9"/>
      <c r="G49342" s="9"/>
      <c r="J49342" s="11"/>
      <c r="U49342" s="9"/>
      <c r="X49342" s="9"/>
    </row>
    <row r="49343">
      <c r="D49343" s="9"/>
      <c r="G49343" s="9"/>
      <c r="J49343" s="11"/>
      <c r="U49343" s="9"/>
      <c r="X49343" s="9"/>
    </row>
    <row r="49344">
      <c r="D49344" s="9"/>
      <c r="G49344" s="9"/>
      <c r="J49344" s="11"/>
      <c r="U49344" s="9"/>
      <c r="X49344" s="9"/>
    </row>
    <row r="49345">
      <c r="D49345" s="9"/>
      <c r="G49345" s="9"/>
      <c r="J49345" s="11"/>
      <c r="U49345" s="9"/>
      <c r="X49345" s="9"/>
    </row>
    <row r="49346">
      <c r="D49346" s="9"/>
      <c r="G49346" s="9"/>
      <c r="J49346" s="11"/>
      <c r="U49346" s="9"/>
      <c r="X49346" s="9"/>
    </row>
    <row r="49347">
      <c r="D49347" s="9"/>
      <c r="G49347" s="9"/>
      <c r="J49347" s="11"/>
      <c r="U49347" s="9"/>
      <c r="X49347" s="9"/>
    </row>
    <row r="49348">
      <c r="D49348" s="9"/>
      <c r="G49348" s="9"/>
      <c r="J49348" s="11"/>
      <c r="U49348" s="9"/>
      <c r="X49348" s="9"/>
    </row>
    <row r="49349">
      <c r="D49349" s="9"/>
      <c r="G49349" s="9"/>
      <c r="J49349" s="11"/>
      <c r="U49349" s="9"/>
      <c r="X49349" s="9"/>
    </row>
    <row r="49350">
      <c r="D49350" s="9"/>
      <c r="G49350" s="9"/>
      <c r="J49350" s="11"/>
      <c r="U49350" s="9"/>
      <c r="X49350" s="9"/>
    </row>
    <row r="49351">
      <c r="D49351" s="9"/>
      <c r="G49351" s="9"/>
      <c r="J49351" s="11"/>
      <c r="U49351" s="9"/>
      <c r="X49351" s="9"/>
    </row>
    <row r="49352">
      <c r="D49352" s="9"/>
      <c r="G49352" s="9"/>
      <c r="J49352" s="11"/>
      <c r="U49352" s="9"/>
      <c r="X49352" s="9"/>
    </row>
    <row r="49353">
      <c r="D49353" s="9"/>
      <c r="G49353" s="9"/>
      <c r="J49353" s="11"/>
      <c r="U49353" s="9"/>
      <c r="X49353" s="9"/>
    </row>
    <row r="49354">
      <c r="D49354" s="9"/>
      <c r="G49354" s="9"/>
      <c r="J49354" s="11"/>
      <c r="U49354" s="9"/>
      <c r="X49354" s="9"/>
    </row>
    <row r="49355">
      <c r="D49355" s="9"/>
      <c r="G49355" s="9"/>
      <c r="J49355" s="11"/>
      <c r="U49355" s="9"/>
      <c r="X49355" s="9"/>
    </row>
    <row r="49356">
      <c r="D49356" s="9"/>
      <c r="G49356" s="9"/>
      <c r="J49356" s="11"/>
      <c r="U49356" s="9"/>
      <c r="X49356" s="9"/>
    </row>
    <row r="49357">
      <c r="D49357" s="9"/>
      <c r="G49357" s="9"/>
      <c r="J49357" s="11"/>
      <c r="U49357" s="9"/>
      <c r="X49357" s="9"/>
    </row>
    <row r="49358">
      <c r="D49358" s="9"/>
      <c r="G49358" s="9"/>
      <c r="J49358" s="11"/>
      <c r="U49358" s="9"/>
      <c r="X49358" s="9"/>
    </row>
    <row r="49359">
      <c r="D49359" s="9"/>
      <c r="G49359" s="9"/>
      <c r="J49359" s="11"/>
      <c r="U49359" s="9"/>
      <c r="X49359" s="9"/>
    </row>
    <row r="49360">
      <c r="D49360" s="9"/>
      <c r="G49360" s="9"/>
      <c r="J49360" s="11"/>
      <c r="U49360" s="9"/>
      <c r="X49360" s="9"/>
    </row>
    <row r="49361">
      <c r="D49361" s="9"/>
      <c r="G49361" s="9"/>
      <c r="J49361" s="11"/>
      <c r="U49361" s="9"/>
      <c r="X49361" s="9"/>
    </row>
    <row r="49362">
      <c r="D49362" s="9"/>
      <c r="G49362" s="9"/>
      <c r="J49362" s="11"/>
      <c r="U49362" s="9"/>
      <c r="X49362" s="9"/>
    </row>
    <row r="49363">
      <c r="D49363" s="9"/>
      <c r="G49363" s="9"/>
      <c r="J49363" s="11"/>
      <c r="U49363" s="9"/>
      <c r="X49363" s="9"/>
    </row>
    <row r="49364">
      <c r="D49364" s="9"/>
      <c r="G49364" s="9"/>
      <c r="J49364" s="11"/>
      <c r="U49364" s="9"/>
      <c r="X49364" s="9"/>
    </row>
    <row r="49365">
      <c r="D49365" s="9"/>
      <c r="G49365" s="9"/>
      <c r="J49365" s="11"/>
      <c r="U49365" s="9"/>
      <c r="X49365" s="9"/>
    </row>
    <row r="49366">
      <c r="D49366" s="9"/>
      <c r="G49366" s="9"/>
      <c r="J49366" s="11"/>
      <c r="U49366" s="9"/>
      <c r="X49366" s="9"/>
    </row>
    <row r="49367">
      <c r="D49367" s="9"/>
      <c r="G49367" s="9"/>
      <c r="J49367" s="11"/>
      <c r="U49367" s="9"/>
      <c r="X49367" s="9"/>
    </row>
    <row r="49368">
      <c r="D49368" s="9"/>
      <c r="G49368" s="9"/>
      <c r="J49368" s="11"/>
      <c r="U49368" s="9"/>
      <c r="X49368" s="9"/>
    </row>
    <row r="49369">
      <c r="D49369" s="9"/>
      <c r="G49369" s="9"/>
      <c r="J49369" s="11"/>
      <c r="U49369" s="9"/>
      <c r="X49369" s="9"/>
    </row>
    <row r="49370">
      <c r="D49370" s="9"/>
      <c r="G49370" s="9"/>
      <c r="J49370" s="11"/>
      <c r="U49370" s="9"/>
      <c r="X49370" s="9"/>
    </row>
    <row r="49371">
      <c r="D49371" s="9"/>
      <c r="G49371" s="9"/>
      <c r="J49371" s="11"/>
      <c r="U49371" s="9"/>
      <c r="X49371" s="9"/>
    </row>
    <row r="49372">
      <c r="D49372" s="9"/>
      <c r="G49372" s="9"/>
      <c r="J49372" s="11"/>
      <c r="U49372" s="9"/>
      <c r="X49372" s="9"/>
    </row>
    <row r="49373">
      <c r="D49373" s="9"/>
      <c r="G49373" s="9"/>
      <c r="J49373" s="11"/>
      <c r="U49373" s="9"/>
      <c r="X49373" s="9"/>
    </row>
    <row r="49374">
      <c r="D49374" s="9"/>
      <c r="G49374" s="9"/>
      <c r="J49374" s="11"/>
      <c r="U49374" s="9"/>
      <c r="X49374" s="9"/>
    </row>
    <row r="49375">
      <c r="D49375" s="9"/>
      <c r="G49375" s="9"/>
      <c r="J49375" s="11"/>
      <c r="U49375" s="9"/>
      <c r="X49375" s="9"/>
    </row>
    <row r="49376">
      <c r="D49376" s="9"/>
      <c r="G49376" s="9"/>
      <c r="J49376" s="11"/>
      <c r="U49376" s="9"/>
      <c r="X49376" s="9"/>
    </row>
    <row r="49377">
      <c r="D49377" s="9"/>
      <c r="G49377" s="9"/>
      <c r="J49377" s="11"/>
      <c r="U49377" s="9"/>
      <c r="X49377" s="9"/>
    </row>
    <row r="49378">
      <c r="D49378" s="9"/>
      <c r="G49378" s="9"/>
      <c r="J49378" s="11"/>
      <c r="U49378" s="9"/>
      <c r="X49378" s="9"/>
    </row>
    <row r="49379">
      <c r="D49379" s="9"/>
      <c r="G49379" s="9"/>
      <c r="J49379" s="11"/>
      <c r="U49379" s="9"/>
      <c r="X49379" s="9"/>
    </row>
    <row r="49380">
      <c r="D49380" s="9"/>
      <c r="G49380" s="9"/>
      <c r="J49380" s="11"/>
      <c r="U49380" s="9"/>
      <c r="X49380" s="9"/>
    </row>
    <row r="49381">
      <c r="D49381" s="9"/>
      <c r="G49381" s="9"/>
      <c r="J49381" s="11"/>
      <c r="U49381" s="9"/>
      <c r="X49381" s="9"/>
    </row>
    <row r="49382">
      <c r="D49382" s="9"/>
      <c r="G49382" s="9"/>
      <c r="J49382" s="11"/>
      <c r="U49382" s="9"/>
      <c r="X49382" s="9"/>
    </row>
    <row r="49383">
      <c r="D49383" s="9"/>
      <c r="G49383" s="9"/>
      <c r="J49383" s="11"/>
      <c r="U49383" s="9"/>
      <c r="X49383" s="9"/>
    </row>
    <row r="49384">
      <c r="D49384" s="9"/>
      <c r="G49384" s="9"/>
      <c r="J49384" s="11"/>
      <c r="U49384" s="9"/>
      <c r="X49384" s="9"/>
    </row>
    <row r="49385">
      <c r="D49385" s="9"/>
      <c r="G49385" s="9"/>
      <c r="J49385" s="11"/>
      <c r="U49385" s="9"/>
      <c r="X49385" s="9"/>
    </row>
    <row r="49386">
      <c r="D49386" s="9"/>
      <c r="G49386" s="9"/>
      <c r="J49386" s="11"/>
      <c r="U49386" s="9"/>
      <c r="X49386" s="9"/>
    </row>
    <row r="49387">
      <c r="D49387" s="9"/>
      <c r="G49387" s="9"/>
      <c r="J49387" s="11"/>
      <c r="U49387" s="9"/>
      <c r="X49387" s="9"/>
    </row>
    <row r="49388">
      <c r="D49388" s="9"/>
      <c r="G49388" s="9"/>
      <c r="J49388" s="11"/>
      <c r="U49388" s="9"/>
      <c r="X49388" s="9"/>
    </row>
    <row r="49389">
      <c r="D49389" s="9"/>
      <c r="G49389" s="9"/>
      <c r="J49389" s="11"/>
      <c r="U49389" s="9"/>
      <c r="X49389" s="9"/>
    </row>
    <row r="49390">
      <c r="D49390" s="9"/>
      <c r="G49390" s="9"/>
      <c r="J49390" s="11"/>
      <c r="U49390" s="9"/>
      <c r="X49390" s="9"/>
    </row>
    <row r="49391">
      <c r="D49391" s="9"/>
      <c r="G49391" s="9"/>
      <c r="J49391" s="11"/>
      <c r="U49391" s="9"/>
      <c r="X49391" s="9"/>
    </row>
    <row r="49392">
      <c r="D49392" s="9"/>
      <c r="G49392" s="9"/>
      <c r="J49392" s="11"/>
      <c r="U49392" s="9"/>
      <c r="X49392" s="9"/>
    </row>
    <row r="49393">
      <c r="D49393" s="9"/>
      <c r="G49393" s="9"/>
      <c r="J49393" s="11"/>
      <c r="U49393" s="9"/>
      <c r="X49393" s="9"/>
    </row>
    <row r="49394">
      <c r="D49394" s="9"/>
      <c r="G49394" s="9"/>
      <c r="J49394" s="11"/>
      <c r="U49394" s="9"/>
      <c r="X49394" s="9"/>
    </row>
    <row r="49395">
      <c r="D49395" s="9"/>
      <c r="G49395" s="9"/>
      <c r="J49395" s="11"/>
      <c r="U49395" s="9"/>
      <c r="X49395" s="9"/>
    </row>
    <row r="49396">
      <c r="D49396" s="9"/>
      <c r="G49396" s="9"/>
      <c r="J49396" s="11"/>
      <c r="U49396" s="9"/>
      <c r="X49396" s="9"/>
    </row>
    <row r="49397">
      <c r="D49397" s="9"/>
      <c r="G49397" s="9"/>
      <c r="J49397" s="11"/>
      <c r="U49397" s="9"/>
      <c r="X49397" s="9"/>
    </row>
    <row r="49398">
      <c r="D49398" s="9"/>
      <c r="G49398" s="9"/>
      <c r="J49398" s="11"/>
      <c r="U49398" s="9"/>
      <c r="X49398" s="9"/>
    </row>
    <row r="49399">
      <c r="D49399" s="9"/>
      <c r="G49399" s="9"/>
      <c r="J49399" s="11"/>
      <c r="U49399" s="9"/>
      <c r="X49399" s="9"/>
    </row>
    <row r="49400">
      <c r="D49400" s="9"/>
      <c r="G49400" s="9"/>
      <c r="J49400" s="11"/>
      <c r="U49400" s="9"/>
      <c r="X49400" s="9"/>
    </row>
    <row r="49401">
      <c r="D49401" s="9"/>
      <c r="G49401" s="9"/>
      <c r="J49401" s="11"/>
      <c r="U49401" s="9"/>
      <c r="X49401" s="9"/>
    </row>
    <row r="49402">
      <c r="D49402" s="9"/>
      <c r="G49402" s="9"/>
      <c r="J49402" s="11"/>
      <c r="U49402" s="9"/>
      <c r="X49402" s="9"/>
    </row>
    <row r="49403">
      <c r="D49403" s="9"/>
      <c r="G49403" s="9"/>
      <c r="J49403" s="11"/>
      <c r="U49403" s="9"/>
      <c r="X49403" s="9"/>
    </row>
    <row r="49404">
      <c r="D49404" s="9"/>
      <c r="G49404" s="9"/>
      <c r="J49404" s="11"/>
      <c r="U49404" s="9"/>
      <c r="X49404" s="9"/>
    </row>
    <row r="49405">
      <c r="D49405" s="9"/>
      <c r="G49405" s="9"/>
      <c r="J49405" s="11"/>
      <c r="U49405" s="9"/>
      <c r="X49405" s="9"/>
    </row>
    <row r="49406">
      <c r="D49406" s="9"/>
      <c r="G49406" s="9"/>
      <c r="J49406" s="11"/>
      <c r="U49406" s="9"/>
      <c r="X49406" s="9"/>
    </row>
    <row r="49407">
      <c r="D49407" s="9"/>
      <c r="G49407" s="9"/>
      <c r="J49407" s="11"/>
      <c r="U49407" s="9"/>
      <c r="X49407" s="9"/>
    </row>
    <row r="49408">
      <c r="D49408" s="9"/>
      <c r="G49408" s="9"/>
      <c r="J49408" s="11"/>
      <c r="U49408" s="9"/>
      <c r="X49408" s="9"/>
    </row>
    <row r="49409">
      <c r="D49409" s="9"/>
      <c r="G49409" s="9"/>
      <c r="J49409" s="11"/>
      <c r="U49409" s="9"/>
      <c r="X49409" s="9"/>
    </row>
    <row r="49410">
      <c r="D49410" s="9"/>
      <c r="G49410" s="9"/>
      <c r="J49410" s="11"/>
      <c r="U49410" s="9"/>
      <c r="X49410" s="9"/>
    </row>
    <row r="49411">
      <c r="D49411" s="9"/>
      <c r="G49411" s="9"/>
      <c r="J49411" s="11"/>
      <c r="U49411" s="9"/>
      <c r="X49411" s="9"/>
    </row>
    <row r="49412">
      <c r="D49412" s="9"/>
      <c r="G49412" s="9"/>
      <c r="J49412" s="11"/>
      <c r="U49412" s="9"/>
      <c r="X49412" s="9"/>
    </row>
    <row r="49413">
      <c r="D49413" s="9"/>
      <c r="G49413" s="9"/>
      <c r="J49413" s="11"/>
      <c r="U49413" s="9"/>
      <c r="X49413" s="9"/>
    </row>
    <row r="49414">
      <c r="D49414" s="9"/>
      <c r="G49414" s="9"/>
      <c r="J49414" s="11"/>
      <c r="U49414" s="9"/>
      <c r="X49414" s="9"/>
    </row>
    <row r="49415">
      <c r="D49415" s="9"/>
      <c r="G49415" s="9"/>
      <c r="J49415" s="11"/>
      <c r="U49415" s="9"/>
      <c r="X49415" s="9"/>
    </row>
    <row r="49416">
      <c r="D49416" s="9"/>
      <c r="G49416" s="9"/>
      <c r="J49416" s="11"/>
      <c r="U49416" s="9"/>
      <c r="X49416" s="9"/>
    </row>
    <row r="49417">
      <c r="D49417" s="9"/>
      <c r="G49417" s="9"/>
      <c r="J49417" s="11"/>
      <c r="U49417" s="9"/>
      <c r="X49417" s="9"/>
    </row>
    <row r="49418">
      <c r="D49418" s="9"/>
      <c r="G49418" s="9"/>
      <c r="J49418" s="11"/>
      <c r="U49418" s="9"/>
      <c r="X49418" s="9"/>
    </row>
    <row r="49419">
      <c r="D49419" s="9"/>
      <c r="G49419" s="9"/>
      <c r="J49419" s="11"/>
      <c r="U49419" s="9"/>
      <c r="X49419" s="9"/>
    </row>
    <row r="49420">
      <c r="D49420" s="9"/>
      <c r="G49420" s="9"/>
      <c r="J49420" s="11"/>
      <c r="U49420" s="9"/>
      <c r="X49420" s="9"/>
    </row>
    <row r="49421">
      <c r="D49421" s="9"/>
      <c r="G49421" s="9"/>
      <c r="J49421" s="11"/>
      <c r="U49421" s="9"/>
      <c r="X49421" s="9"/>
    </row>
    <row r="49422">
      <c r="D49422" s="9"/>
      <c r="G49422" s="9"/>
      <c r="J49422" s="11"/>
      <c r="U49422" s="9"/>
      <c r="X49422" s="9"/>
    </row>
    <row r="49423">
      <c r="D49423" s="9"/>
      <c r="G49423" s="9"/>
      <c r="J49423" s="11"/>
      <c r="U49423" s="9"/>
      <c r="X49423" s="9"/>
    </row>
    <row r="49424">
      <c r="D49424" s="9"/>
      <c r="G49424" s="9"/>
      <c r="J49424" s="11"/>
      <c r="U49424" s="9"/>
      <c r="X49424" s="9"/>
    </row>
    <row r="49425">
      <c r="D49425" s="9"/>
      <c r="G49425" s="9"/>
      <c r="J49425" s="11"/>
      <c r="U49425" s="9"/>
      <c r="X49425" s="9"/>
    </row>
    <row r="49426">
      <c r="D49426" s="9"/>
      <c r="G49426" s="9"/>
      <c r="J49426" s="11"/>
      <c r="U49426" s="9"/>
      <c r="X49426" s="9"/>
    </row>
    <row r="49427">
      <c r="D49427" s="9"/>
      <c r="G49427" s="9"/>
      <c r="J49427" s="11"/>
      <c r="U49427" s="9"/>
      <c r="X49427" s="9"/>
    </row>
    <row r="49428">
      <c r="D49428" s="9"/>
      <c r="G49428" s="9"/>
      <c r="J49428" s="11"/>
      <c r="U49428" s="9"/>
      <c r="X49428" s="9"/>
    </row>
    <row r="49429">
      <c r="D49429" s="9"/>
      <c r="G49429" s="9"/>
      <c r="J49429" s="11"/>
      <c r="U49429" s="9"/>
      <c r="X49429" s="9"/>
    </row>
    <row r="49430">
      <c r="D49430" s="9"/>
      <c r="G49430" s="9"/>
      <c r="J49430" s="11"/>
      <c r="U49430" s="9"/>
      <c r="X49430" s="9"/>
    </row>
    <row r="49431">
      <c r="D49431" s="9"/>
      <c r="G49431" s="9"/>
      <c r="J49431" s="11"/>
      <c r="U49431" s="9"/>
      <c r="X49431" s="9"/>
    </row>
    <row r="49432">
      <c r="D49432" s="9"/>
      <c r="G49432" s="9"/>
      <c r="J49432" s="11"/>
      <c r="U49432" s="9"/>
      <c r="X49432" s="9"/>
    </row>
    <row r="49433">
      <c r="D49433" s="9"/>
      <c r="G49433" s="9"/>
      <c r="J49433" s="11"/>
      <c r="U49433" s="9"/>
      <c r="X49433" s="9"/>
    </row>
    <row r="49434">
      <c r="D49434" s="9"/>
      <c r="G49434" s="9"/>
      <c r="J49434" s="11"/>
      <c r="U49434" s="9"/>
      <c r="X49434" s="9"/>
    </row>
    <row r="49435">
      <c r="D49435" s="9"/>
      <c r="G49435" s="9"/>
      <c r="J49435" s="11"/>
      <c r="U49435" s="9"/>
      <c r="X49435" s="9"/>
    </row>
    <row r="49436">
      <c r="D49436" s="9"/>
      <c r="G49436" s="9"/>
      <c r="J49436" s="11"/>
      <c r="U49436" s="9"/>
      <c r="X49436" s="9"/>
    </row>
    <row r="49437">
      <c r="D49437" s="9"/>
      <c r="G49437" s="9"/>
      <c r="J49437" s="11"/>
      <c r="U49437" s="9"/>
      <c r="X49437" s="9"/>
    </row>
    <row r="49438">
      <c r="D49438" s="9"/>
      <c r="G49438" s="9"/>
      <c r="J49438" s="11"/>
      <c r="U49438" s="9"/>
      <c r="X49438" s="9"/>
    </row>
    <row r="49439">
      <c r="D49439" s="9"/>
      <c r="G49439" s="9"/>
      <c r="J49439" s="11"/>
      <c r="U49439" s="9"/>
      <c r="X49439" s="9"/>
    </row>
    <row r="49440">
      <c r="D49440" s="9"/>
      <c r="G49440" s="9"/>
      <c r="J49440" s="11"/>
      <c r="U49440" s="9"/>
      <c r="X49440" s="9"/>
    </row>
    <row r="49441">
      <c r="D49441" s="9"/>
      <c r="G49441" s="9"/>
      <c r="J49441" s="11"/>
      <c r="U49441" s="9"/>
      <c r="X49441" s="9"/>
    </row>
    <row r="49442">
      <c r="D49442" s="9"/>
      <c r="G49442" s="9"/>
      <c r="J49442" s="11"/>
      <c r="U49442" s="9"/>
      <c r="X49442" s="9"/>
    </row>
    <row r="49443">
      <c r="D49443" s="9"/>
      <c r="G49443" s="9"/>
      <c r="J49443" s="11"/>
      <c r="U49443" s="9"/>
      <c r="X49443" s="9"/>
    </row>
    <row r="49444">
      <c r="D49444" s="9"/>
      <c r="G49444" s="9"/>
      <c r="J49444" s="11"/>
      <c r="U49444" s="9"/>
      <c r="X49444" s="9"/>
    </row>
    <row r="49445">
      <c r="D49445" s="9"/>
      <c r="G49445" s="9"/>
      <c r="J49445" s="11"/>
      <c r="U49445" s="9"/>
      <c r="X49445" s="9"/>
    </row>
    <row r="49446">
      <c r="D49446" s="9"/>
      <c r="G49446" s="9"/>
      <c r="J49446" s="11"/>
      <c r="U49446" s="9"/>
      <c r="X49446" s="9"/>
    </row>
    <row r="49447">
      <c r="D49447" s="9"/>
      <c r="G49447" s="9"/>
      <c r="J49447" s="11"/>
      <c r="U49447" s="9"/>
      <c r="X49447" s="9"/>
    </row>
    <row r="49448">
      <c r="D49448" s="9"/>
      <c r="G49448" s="9"/>
      <c r="J49448" s="11"/>
      <c r="U49448" s="9"/>
      <c r="X49448" s="9"/>
    </row>
    <row r="49449">
      <c r="D49449" s="9"/>
      <c r="G49449" s="9"/>
      <c r="J49449" s="11"/>
      <c r="U49449" s="9"/>
      <c r="X49449" s="9"/>
    </row>
    <row r="49450">
      <c r="D49450" s="9"/>
      <c r="G49450" s="9"/>
      <c r="J49450" s="11"/>
      <c r="U49450" s="9"/>
      <c r="X49450" s="9"/>
    </row>
    <row r="49451">
      <c r="D49451" s="9"/>
      <c r="G49451" s="9"/>
      <c r="J49451" s="11"/>
      <c r="U49451" s="9"/>
      <c r="X49451" s="9"/>
    </row>
    <row r="49452">
      <c r="D49452" s="9"/>
      <c r="G49452" s="9"/>
      <c r="J49452" s="11"/>
      <c r="U49452" s="9"/>
      <c r="X49452" s="9"/>
    </row>
    <row r="49453">
      <c r="D49453" s="9"/>
      <c r="G49453" s="9"/>
      <c r="J49453" s="11"/>
      <c r="U49453" s="9"/>
      <c r="X49453" s="9"/>
    </row>
    <row r="49454">
      <c r="D49454" s="9"/>
      <c r="G49454" s="9"/>
      <c r="J49454" s="11"/>
      <c r="U49454" s="9"/>
      <c r="X49454" s="9"/>
    </row>
    <row r="49455">
      <c r="D49455" s="9"/>
      <c r="G49455" s="9"/>
      <c r="J49455" s="11"/>
      <c r="U49455" s="9"/>
      <c r="X49455" s="9"/>
    </row>
    <row r="49456">
      <c r="D49456" s="9"/>
      <c r="G49456" s="9"/>
      <c r="J49456" s="11"/>
      <c r="U49456" s="9"/>
      <c r="X49456" s="9"/>
    </row>
    <row r="49457">
      <c r="D49457" s="9"/>
      <c r="G49457" s="9"/>
      <c r="J49457" s="11"/>
      <c r="U49457" s="9"/>
      <c r="X49457" s="9"/>
    </row>
    <row r="49458">
      <c r="D49458" s="9"/>
      <c r="G49458" s="9"/>
      <c r="J49458" s="11"/>
      <c r="U49458" s="9"/>
      <c r="X49458" s="9"/>
    </row>
    <row r="49459">
      <c r="D49459" s="9"/>
      <c r="G49459" s="9"/>
      <c r="J49459" s="11"/>
      <c r="U49459" s="9"/>
      <c r="X49459" s="9"/>
    </row>
    <row r="49460">
      <c r="D49460" s="9"/>
      <c r="G49460" s="9"/>
      <c r="J49460" s="11"/>
      <c r="U49460" s="9"/>
      <c r="X49460" s="9"/>
    </row>
    <row r="49461">
      <c r="D49461" s="9"/>
      <c r="G49461" s="9"/>
      <c r="J49461" s="11"/>
      <c r="U49461" s="9"/>
      <c r="X49461" s="9"/>
    </row>
    <row r="49462">
      <c r="D49462" s="9"/>
      <c r="G49462" s="9"/>
      <c r="J49462" s="11"/>
      <c r="U49462" s="9"/>
      <c r="X49462" s="9"/>
    </row>
    <row r="49463">
      <c r="D49463" s="9"/>
      <c r="G49463" s="9"/>
      <c r="J49463" s="11"/>
      <c r="U49463" s="9"/>
      <c r="X49463" s="9"/>
    </row>
    <row r="49464">
      <c r="D49464" s="9"/>
      <c r="G49464" s="9"/>
      <c r="J49464" s="11"/>
      <c r="U49464" s="9"/>
      <c r="X49464" s="9"/>
    </row>
    <row r="49465">
      <c r="D49465" s="9"/>
      <c r="G49465" s="9"/>
      <c r="J49465" s="11"/>
      <c r="U49465" s="9"/>
      <c r="X49465" s="9"/>
    </row>
    <row r="49466">
      <c r="D49466" s="9"/>
      <c r="G49466" s="9"/>
      <c r="J49466" s="11"/>
      <c r="U49466" s="9"/>
      <c r="X49466" s="9"/>
    </row>
    <row r="49467">
      <c r="D49467" s="9"/>
      <c r="G49467" s="9"/>
      <c r="J49467" s="11"/>
      <c r="U49467" s="9"/>
      <c r="X49467" s="9"/>
    </row>
    <row r="49468">
      <c r="D49468" s="9"/>
      <c r="G49468" s="9"/>
      <c r="J49468" s="11"/>
      <c r="U49468" s="9"/>
      <c r="X49468" s="9"/>
    </row>
    <row r="49469">
      <c r="D49469" s="9"/>
      <c r="G49469" s="9"/>
      <c r="J49469" s="11"/>
      <c r="U49469" s="9"/>
      <c r="X49469" s="9"/>
    </row>
    <row r="49470">
      <c r="D49470" s="9"/>
      <c r="G49470" s="9"/>
      <c r="J49470" s="11"/>
      <c r="U49470" s="9"/>
      <c r="X49470" s="9"/>
    </row>
    <row r="49471">
      <c r="D49471" s="9"/>
      <c r="G49471" s="9"/>
      <c r="J49471" s="11"/>
      <c r="U49471" s="9"/>
      <c r="X49471" s="9"/>
    </row>
    <row r="49472">
      <c r="D49472" s="9"/>
      <c r="G49472" s="9"/>
      <c r="J49472" s="11"/>
      <c r="U49472" s="9"/>
      <c r="X49472" s="9"/>
    </row>
    <row r="49473">
      <c r="D49473" s="9"/>
      <c r="G49473" s="9"/>
      <c r="J49473" s="11"/>
      <c r="U49473" s="9"/>
      <c r="X49473" s="9"/>
    </row>
    <row r="49474">
      <c r="D49474" s="9"/>
      <c r="G49474" s="9"/>
      <c r="J49474" s="11"/>
      <c r="U49474" s="9"/>
      <c r="X49474" s="9"/>
    </row>
    <row r="49475">
      <c r="D49475" s="9"/>
      <c r="G49475" s="9"/>
      <c r="J49475" s="11"/>
      <c r="U49475" s="9"/>
      <c r="X49475" s="9"/>
    </row>
    <row r="49476">
      <c r="D49476" s="9"/>
      <c r="G49476" s="9"/>
      <c r="J49476" s="11"/>
      <c r="U49476" s="9"/>
      <c r="X49476" s="9"/>
    </row>
    <row r="49477">
      <c r="D49477" s="9"/>
      <c r="G49477" s="9"/>
      <c r="J49477" s="11"/>
      <c r="U49477" s="9"/>
      <c r="X49477" s="9"/>
    </row>
    <row r="49478">
      <c r="D49478" s="9"/>
      <c r="G49478" s="9"/>
      <c r="J49478" s="11"/>
      <c r="U49478" s="9"/>
      <c r="X49478" s="9"/>
    </row>
    <row r="49479">
      <c r="D49479" s="9"/>
      <c r="G49479" s="9"/>
      <c r="J49479" s="11"/>
      <c r="U49479" s="9"/>
      <c r="X49479" s="9"/>
    </row>
    <row r="49480">
      <c r="D49480" s="9"/>
      <c r="G49480" s="9"/>
      <c r="J49480" s="11"/>
      <c r="U49480" s="9"/>
      <c r="X49480" s="9"/>
    </row>
    <row r="49481">
      <c r="D49481" s="9"/>
      <c r="G49481" s="9"/>
      <c r="J49481" s="11"/>
      <c r="U49481" s="9"/>
      <c r="X49481" s="9"/>
    </row>
    <row r="49482">
      <c r="D49482" s="9"/>
      <c r="G49482" s="9"/>
      <c r="J49482" s="11"/>
      <c r="U49482" s="9"/>
      <c r="X49482" s="9"/>
    </row>
    <row r="49483">
      <c r="D49483" s="9"/>
      <c r="G49483" s="9"/>
      <c r="J49483" s="11"/>
      <c r="U49483" s="9"/>
      <c r="X49483" s="9"/>
    </row>
    <row r="49484">
      <c r="D49484" s="9"/>
      <c r="G49484" s="9"/>
      <c r="J49484" s="11"/>
      <c r="U49484" s="9"/>
      <c r="X49484" s="9"/>
    </row>
    <row r="49485">
      <c r="D49485" s="9"/>
      <c r="G49485" s="9"/>
      <c r="J49485" s="11"/>
      <c r="U49485" s="9"/>
      <c r="X49485" s="9"/>
    </row>
    <row r="49486">
      <c r="D49486" s="9"/>
      <c r="G49486" s="9"/>
      <c r="J49486" s="11"/>
      <c r="U49486" s="9"/>
      <c r="X49486" s="9"/>
    </row>
    <row r="49487">
      <c r="D49487" s="9"/>
      <c r="G49487" s="9"/>
      <c r="J49487" s="11"/>
      <c r="U49487" s="9"/>
      <c r="X49487" s="9"/>
    </row>
    <row r="49488">
      <c r="D49488" s="9"/>
      <c r="G49488" s="9"/>
      <c r="J49488" s="11"/>
      <c r="U49488" s="9"/>
      <c r="X49488" s="9"/>
    </row>
    <row r="49489">
      <c r="D49489" s="9"/>
      <c r="G49489" s="9"/>
      <c r="J49489" s="11"/>
      <c r="U49489" s="9"/>
      <c r="X49489" s="9"/>
    </row>
    <row r="49490">
      <c r="D49490" s="9"/>
      <c r="G49490" s="9"/>
      <c r="J49490" s="11"/>
      <c r="U49490" s="9"/>
      <c r="X49490" s="9"/>
    </row>
    <row r="49491">
      <c r="D49491" s="9"/>
      <c r="G49491" s="9"/>
      <c r="J49491" s="11"/>
      <c r="U49491" s="9"/>
      <c r="X49491" s="9"/>
    </row>
    <row r="49492">
      <c r="D49492" s="9"/>
      <c r="G49492" s="9"/>
      <c r="J49492" s="11"/>
      <c r="U49492" s="9"/>
      <c r="X49492" s="9"/>
    </row>
    <row r="49493">
      <c r="D49493" s="9"/>
      <c r="G49493" s="9"/>
      <c r="J49493" s="11"/>
      <c r="U49493" s="9"/>
      <c r="X49493" s="9"/>
    </row>
    <row r="49494">
      <c r="D49494" s="9"/>
      <c r="G49494" s="9"/>
      <c r="J49494" s="11"/>
      <c r="U49494" s="9"/>
      <c r="X49494" s="9"/>
    </row>
    <row r="49495">
      <c r="D49495" s="9"/>
      <c r="G49495" s="9"/>
      <c r="J49495" s="11"/>
      <c r="U49495" s="9"/>
      <c r="X49495" s="9"/>
    </row>
    <row r="49496">
      <c r="D49496" s="9"/>
      <c r="G49496" s="9"/>
      <c r="J49496" s="11"/>
      <c r="U49496" s="9"/>
      <c r="X49496" s="9"/>
    </row>
    <row r="49497">
      <c r="D49497" s="9"/>
      <c r="G49497" s="9"/>
      <c r="J49497" s="11"/>
      <c r="U49497" s="9"/>
      <c r="X49497" s="9"/>
    </row>
    <row r="49498">
      <c r="D49498" s="9"/>
      <c r="G49498" s="9"/>
      <c r="J49498" s="11"/>
      <c r="U49498" s="9"/>
      <c r="X49498" s="9"/>
    </row>
    <row r="49499">
      <c r="D49499" s="9"/>
      <c r="G49499" s="9"/>
      <c r="J49499" s="11"/>
      <c r="U49499" s="9"/>
      <c r="X49499" s="9"/>
    </row>
    <row r="49500">
      <c r="D49500" s="9"/>
      <c r="G49500" s="9"/>
      <c r="J49500" s="11"/>
      <c r="U49500" s="9"/>
      <c r="X49500" s="9"/>
    </row>
    <row r="49501">
      <c r="D49501" s="9"/>
      <c r="G49501" s="9"/>
      <c r="J49501" s="11"/>
      <c r="U49501" s="9"/>
      <c r="X49501" s="9"/>
    </row>
    <row r="49502">
      <c r="D49502" s="9"/>
      <c r="G49502" s="9"/>
      <c r="J49502" s="11"/>
      <c r="U49502" s="9"/>
      <c r="X49502" s="9"/>
    </row>
    <row r="49503">
      <c r="D49503" s="9"/>
      <c r="G49503" s="9"/>
      <c r="J49503" s="11"/>
      <c r="U49503" s="9"/>
      <c r="X49503" s="9"/>
    </row>
    <row r="49504">
      <c r="D49504" s="9"/>
      <c r="G49504" s="9"/>
      <c r="J49504" s="11"/>
      <c r="U49504" s="9"/>
      <c r="X49504" s="9"/>
    </row>
    <row r="49505">
      <c r="D49505" s="9"/>
      <c r="G49505" s="9"/>
      <c r="J49505" s="11"/>
      <c r="U49505" s="9"/>
      <c r="X49505" s="9"/>
    </row>
    <row r="49506">
      <c r="D49506" s="9"/>
      <c r="G49506" s="9"/>
      <c r="J49506" s="11"/>
      <c r="U49506" s="9"/>
      <c r="X49506" s="9"/>
    </row>
    <row r="49507">
      <c r="D49507" s="9"/>
      <c r="G49507" s="9"/>
      <c r="J49507" s="11"/>
      <c r="U49507" s="9"/>
      <c r="X49507" s="9"/>
    </row>
    <row r="49508">
      <c r="D49508" s="9"/>
      <c r="G49508" s="9"/>
      <c r="J49508" s="11"/>
      <c r="U49508" s="9"/>
      <c r="X49508" s="9"/>
    </row>
    <row r="49509">
      <c r="D49509" s="9"/>
      <c r="G49509" s="9"/>
      <c r="J49509" s="11"/>
      <c r="U49509" s="9"/>
      <c r="X49509" s="9"/>
    </row>
    <row r="49510">
      <c r="D49510" s="9"/>
      <c r="G49510" s="9"/>
      <c r="J49510" s="11"/>
      <c r="U49510" s="9"/>
      <c r="X49510" s="9"/>
    </row>
    <row r="49511">
      <c r="D49511" s="9"/>
      <c r="G49511" s="9"/>
      <c r="J49511" s="11"/>
      <c r="U49511" s="9"/>
      <c r="X49511" s="9"/>
    </row>
    <row r="49512">
      <c r="D49512" s="9"/>
      <c r="G49512" s="9"/>
      <c r="J49512" s="11"/>
      <c r="U49512" s="9"/>
      <c r="X49512" s="9"/>
    </row>
    <row r="49513">
      <c r="D49513" s="9"/>
      <c r="G49513" s="9"/>
      <c r="J49513" s="11"/>
      <c r="U49513" s="9"/>
      <c r="X49513" s="9"/>
    </row>
    <row r="49514">
      <c r="D49514" s="9"/>
      <c r="G49514" s="9"/>
      <c r="J49514" s="11"/>
      <c r="U49514" s="9"/>
      <c r="X49514" s="9"/>
    </row>
    <row r="49515">
      <c r="D49515" s="9"/>
      <c r="G49515" s="9"/>
      <c r="J49515" s="11"/>
      <c r="U49515" s="9"/>
      <c r="X49515" s="9"/>
    </row>
    <row r="49516">
      <c r="D49516" s="9"/>
      <c r="G49516" s="9"/>
      <c r="J49516" s="11"/>
      <c r="U49516" s="9"/>
      <c r="X49516" s="9"/>
    </row>
    <row r="49517">
      <c r="D49517" s="9"/>
      <c r="G49517" s="9"/>
      <c r="J49517" s="11"/>
      <c r="U49517" s="9"/>
      <c r="X49517" s="9"/>
    </row>
    <row r="49518">
      <c r="D49518" s="9"/>
      <c r="G49518" s="9"/>
      <c r="J49518" s="11"/>
      <c r="U49518" s="9"/>
      <c r="X49518" s="9"/>
    </row>
    <row r="49519">
      <c r="D49519" s="9"/>
      <c r="G49519" s="9"/>
      <c r="J49519" s="11"/>
      <c r="U49519" s="9"/>
      <c r="X49519" s="9"/>
    </row>
    <row r="49520">
      <c r="D49520" s="9"/>
      <c r="G49520" s="9"/>
      <c r="J49520" s="11"/>
      <c r="U49520" s="9"/>
      <c r="X49520" s="9"/>
    </row>
    <row r="49521">
      <c r="D49521" s="9"/>
      <c r="G49521" s="9"/>
      <c r="J49521" s="11"/>
      <c r="U49521" s="9"/>
      <c r="X49521" s="9"/>
    </row>
    <row r="49522">
      <c r="D49522" s="9"/>
      <c r="G49522" s="9"/>
      <c r="J49522" s="11"/>
      <c r="U49522" s="9"/>
      <c r="X49522" s="9"/>
    </row>
    <row r="49523">
      <c r="D49523" s="9"/>
      <c r="G49523" s="9"/>
      <c r="J49523" s="11"/>
      <c r="U49523" s="9"/>
      <c r="X49523" s="9"/>
    </row>
    <row r="49524">
      <c r="D49524" s="9"/>
      <c r="G49524" s="9"/>
      <c r="J49524" s="11"/>
      <c r="U49524" s="9"/>
      <c r="X49524" s="9"/>
    </row>
    <row r="49525">
      <c r="D49525" s="9"/>
      <c r="G49525" s="9"/>
      <c r="J49525" s="11"/>
      <c r="U49525" s="9"/>
      <c r="X49525" s="9"/>
    </row>
    <row r="49526">
      <c r="D49526" s="9"/>
      <c r="G49526" s="9"/>
      <c r="J49526" s="11"/>
      <c r="U49526" s="9"/>
      <c r="X49526" s="9"/>
    </row>
    <row r="49527">
      <c r="D49527" s="9"/>
      <c r="G49527" s="9"/>
      <c r="J49527" s="11"/>
      <c r="U49527" s="9"/>
      <c r="X49527" s="9"/>
    </row>
    <row r="49528">
      <c r="D49528" s="9"/>
      <c r="G49528" s="9"/>
      <c r="J49528" s="11"/>
      <c r="U49528" s="9"/>
      <c r="X49528" s="9"/>
    </row>
    <row r="49529">
      <c r="D49529" s="9"/>
      <c r="G49529" s="9"/>
      <c r="J49529" s="11"/>
      <c r="U49529" s="9"/>
      <c r="X49529" s="9"/>
    </row>
    <row r="49530">
      <c r="D49530" s="9"/>
      <c r="G49530" s="9"/>
      <c r="J49530" s="11"/>
      <c r="U49530" s="9"/>
      <c r="X49530" s="9"/>
    </row>
    <row r="49531">
      <c r="D49531" s="9"/>
      <c r="G49531" s="9"/>
      <c r="J49531" s="11"/>
      <c r="U49531" s="9"/>
      <c r="X49531" s="9"/>
    </row>
    <row r="49532">
      <c r="D49532" s="9"/>
      <c r="G49532" s="9"/>
      <c r="J49532" s="11"/>
      <c r="U49532" s="9"/>
      <c r="X49532" s="9"/>
    </row>
    <row r="49533">
      <c r="D49533" s="9"/>
      <c r="G49533" s="9"/>
      <c r="J49533" s="11"/>
      <c r="U49533" s="9"/>
      <c r="X49533" s="9"/>
    </row>
    <row r="49534">
      <c r="D49534" s="9"/>
      <c r="G49534" s="9"/>
      <c r="J49534" s="11"/>
      <c r="U49534" s="9"/>
      <c r="X49534" s="9"/>
    </row>
    <row r="49535">
      <c r="D49535" s="9"/>
      <c r="G49535" s="9"/>
      <c r="J49535" s="11"/>
      <c r="U49535" s="9"/>
      <c r="X49535" s="9"/>
    </row>
    <row r="49536">
      <c r="D49536" s="9"/>
      <c r="G49536" s="9"/>
      <c r="J49536" s="11"/>
      <c r="U49536" s="9"/>
      <c r="X49536" s="9"/>
    </row>
    <row r="49537">
      <c r="D49537" s="9"/>
      <c r="G49537" s="9"/>
      <c r="J49537" s="11"/>
      <c r="U49537" s="9"/>
      <c r="X49537" s="9"/>
    </row>
    <row r="49538">
      <c r="D49538" s="9"/>
      <c r="G49538" s="9"/>
      <c r="J49538" s="11"/>
      <c r="U49538" s="9"/>
      <c r="X49538" s="9"/>
    </row>
    <row r="49539">
      <c r="D49539" s="9"/>
      <c r="G49539" s="9"/>
      <c r="J49539" s="11"/>
      <c r="U49539" s="9"/>
      <c r="X49539" s="9"/>
    </row>
    <row r="49540">
      <c r="D49540" s="9"/>
      <c r="G49540" s="9"/>
      <c r="J49540" s="11"/>
      <c r="U49540" s="9"/>
      <c r="X49540" s="9"/>
    </row>
    <row r="49541">
      <c r="D49541" s="9"/>
      <c r="G49541" s="9"/>
      <c r="J49541" s="11"/>
      <c r="U49541" s="9"/>
      <c r="X49541" s="9"/>
    </row>
    <row r="49542">
      <c r="D49542" s="9"/>
      <c r="G49542" s="9"/>
      <c r="J49542" s="11"/>
      <c r="U49542" s="9"/>
      <c r="X49542" s="9"/>
    </row>
    <row r="49543">
      <c r="D49543" s="9"/>
      <c r="G49543" s="9"/>
      <c r="J49543" s="11"/>
      <c r="U49543" s="9"/>
      <c r="X49543" s="9"/>
    </row>
    <row r="49544">
      <c r="D49544" s="9"/>
      <c r="G49544" s="9"/>
      <c r="J49544" s="11"/>
      <c r="U49544" s="9"/>
      <c r="X49544" s="9"/>
    </row>
    <row r="49545">
      <c r="D49545" s="9"/>
      <c r="G49545" s="9"/>
      <c r="J49545" s="11"/>
      <c r="U49545" s="9"/>
      <c r="X49545" s="9"/>
    </row>
    <row r="49546">
      <c r="D49546" s="9"/>
      <c r="G49546" s="9"/>
      <c r="J49546" s="11"/>
      <c r="U49546" s="9"/>
      <c r="X49546" s="9"/>
    </row>
    <row r="49547">
      <c r="D49547" s="9"/>
      <c r="G49547" s="9"/>
      <c r="J49547" s="11"/>
      <c r="U49547" s="9"/>
      <c r="X49547" s="9"/>
    </row>
    <row r="49548">
      <c r="D49548" s="9"/>
      <c r="G49548" s="9"/>
      <c r="J49548" s="11"/>
      <c r="U49548" s="9"/>
      <c r="X49548" s="9"/>
    </row>
    <row r="49549">
      <c r="D49549" s="9"/>
      <c r="G49549" s="9"/>
      <c r="J49549" s="11"/>
      <c r="U49549" s="9"/>
      <c r="X49549" s="9"/>
    </row>
    <row r="49550">
      <c r="D49550" s="9"/>
      <c r="G49550" s="9"/>
      <c r="J49550" s="11"/>
      <c r="U49550" s="9"/>
      <c r="X49550" s="9"/>
    </row>
    <row r="49551">
      <c r="D49551" s="9"/>
      <c r="G49551" s="9"/>
      <c r="J49551" s="11"/>
      <c r="U49551" s="9"/>
      <c r="X49551" s="9"/>
    </row>
    <row r="49552">
      <c r="D49552" s="9"/>
      <c r="G49552" s="9"/>
      <c r="J49552" s="11"/>
      <c r="U49552" s="9"/>
      <c r="X49552" s="9"/>
    </row>
    <row r="49553">
      <c r="D49553" s="9"/>
      <c r="G49553" s="9"/>
      <c r="J49553" s="11"/>
      <c r="U49553" s="9"/>
      <c r="X49553" s="9"/>
    </row>
    <row r="49554">
      <c r="D49554" s="9"/>
      <c r="G49554" s="9"/>
      <c r="J49554" s="11"/>
      <c r="U49554" s="9"/>
      <c r="X49554" s="9"/>
    </row>
    <row r="49555">
      <c r="D49555" s="9"/>
      <c r="G49555" s="9"/>
      <c r="J49555" s="11"/>
      <c r="U49555" s="9"/>
      <c r="X49555" s="9"/>
    </row>
    <row r="49556">
      <c r="D49556" s="9"/>
      <c r="G49556" s="9"/>
      <c r="J49556" s="11"/>
      <c r="U49556" s="9"/>
      <c r="X49556" s="9"/>
    </row>
    <row r="49557">
      <c r="D49557" s="9"/>
      <c r="G49557" s="9"/>
      <c r="J49557" s="11"/>
      <c r="U49557" s="9"/>
      <c r="X49557" s="9"/>
    </row>
    <row r="49558">
      <c r="D49558" s="9"/>
      <c r="G49558" s="9"/>
      <c r="J49558" s="11"/>
      <c r="U49558" s="9"/>
      <c r="X49558" s="9"/>
    </row>
    <row r="49559">
      <c r="D49559" s="9"/>
      <c r="G49559" s="9"/>
      <c r="J49559" s="11"/>
      <c r="U49559" s="9"/>
      <c r="X49559" s="9"/>
    </row>
    <row r="49560">
      <c r="D49560" s="9"/>
      <c r="G49560" s="9"/>
      <c r="J49560" s="11"/>
      <c r="U49560" s="9"/>
      <c r="X49560" s="9"/>
    </row>
    <row r="49561">
      <c r="D49561" s="9"/>
      <c r="G49561" s="9"/>
      <c r="J49561" s="11"/>
      <c r="U49561" s="9"/>
      <c r="X49561" s="9"/>
    </row>
    <row r="49562">
      <c r="D49562" s="9"/>
      <c r="G49562" s="9"/>
      <c r="J49562" s="11"/>
      <c r="U49562" s="9"/>
      <c r="X49562" s="9"/>
    </row>
    <row r="49563">
      <c r="D49563" s="9"/>
      <c r="G49563" s="9"/>
      <c r="J49563" s="11"/>
      <c r="U49563" s="9"/>
      <c r="X49563" s="9"/>
    </row>
    <row r="49564">
      <c r="D49564" s="9"/>
      <c r="G49564" s="9"/>
      <c r="J49564" s="11"/>
      <c r="U49564" s="9"/>
      <c r="X49564" s="9"/>
    </row>
    <row r="49565">
      <c r="D49565" s="9"/>
      <c r="G49565" s="9"/>
      <c r="J49565" s="11"/>
      <c r="U49565" s="9"/>
      <c r="X49565" s="9"/>
    </row>
    <row r="49566">
      <c r="D49566" s="9"/>
      <c r="G49566" s="9"/>
      <c r="J49566" s="11"/>
      <c r="U49566" s="9"/>
      <c r="X49566" s="9"/>
    </row>
    <row r="49567">
      <c r="D49567" s="9"/>
      <c r="G49567" s="9"/>
      <c r="J49567" s="11"/>
      <c r="U49567" s="9"/>
      <c r="X49567" s="9"/>
    </row>
    <row r="49568">
      <c r="D49568" s="9"/>
      <c r="G49568" s="9"/>
      <c r="J49568" s="11"/>
      <c r="U49568" s="9"/>
      <c r="X49568" s="9"/>
    </row>
    <row r="49569">
      <c r="D49569" s="9"/>
      <c r="G49569" s="9"/>
      <c r="J49569" s="11"/>
      <c r="U49569" s="9"/>
      <c r="X49569" s="9"/>
    </row>
    <row r="49570">
      <c r="D49570" s="9"/>
      <c r="G49570" s="9"/>
      <c r="J49570" s="11"/>
      <c r="U49570" s="9"/>
      <c r="X49570" s="9"/>
    </row>
    <row r="49571">
      <c r="D49571" s="9"/>
      <c r="G49571" s="9"/>
      <c r="J49571" s="11"/>
      <c r="U49571" s="9"/>
      <c r="X49571" s="9"/>
    </row>
    <row r="49572">
      <c r="D49572" s="9"/>
      <c r="G49572" s="9"/>
      <c r="J49572" s="11"/>
      <c r="U49572" s="9"/>
      <c r="X49572" s="9"/>
    </row>
    <row r="49573">
      <c r="D49573" s="9"/>
      <c r="G49573" s="9"/>
      <c r="J49573" s="11"/>
      <c r="U49573" s="9"/>
      <c r="X49573" s="9"/>
    </row>
    <row r="49574">
      <c r="D49574" s="9"/>
      <c r="G49574" s="9"/>
      <c r="J49574" s="11"/>
      <c r="U49574" s="9"/>
      <c r="X49574" s="9"/>
    </row>
    <row r="49575">
      <c r="D49575" s="9"/>
      <c r="G49575" s="9"/>
      <c r="J49575" s="11"/>
      <c r="U49575" s="9"/>
      <c r="X49575" s="9"/>
    </row>
    <row r="49576">
      <c r="D49576" s="9"/>
      <c r="G49576" s="9"/>
      <c r="J49576" s="11"/>
      <c r="U49576" s="9"/>
      <c r="X49576" s="9"/>
    </row>
    <row r="49577">
      <c r="D49577" s="9"/>
      <c r="G49577" s="9"/>
      <c r="J49577" s="11"/>
      <c r="U49577" s="9"/>
      <c r="X49577" s="9"/>
    </row>
    <row r="49578">
      <c r="D49578" s="9"/>
      <c r="G49578" s="9"/>
      <c r="J49578" s="11"/>
      <c r="U49578" s="9"/>
      <c r="X49578" s="9"/>
    </row>
    <row r="49579">
      <c r="D49579" s="9"/>
      <c r="G49579" s="9"/>
      <c r="J49579" s="11"/>
      <c r="U49579" s="9"/>
      <c r="X49579" s="9"/>
    </row>
    <row r="49580">
      <c r="D49580" s="9"/>
      <c r="G49580" s="9"/>
      <c r="J49580" s="11"/>
      <c r="U49580" s="9"/>
      <c r="X49580" s="9"/>
    </row>
    <row r="49581">
      <c r="D49581" s="9"/>
      <c r="G49581" s="9"/>
      <c r="J49581" s="11"/>
      <c r="U49581" s="9"/>
      <c r="X49581" s="9"/>
    </row>
    <row r="49582">
      <c r="D49582" s="9"/>
      <c r="G49582" s="9"/>
      <c r="J49582" s="11"/>
      <c r="U49582" s="9"/>
      <c r="X49582" s="9"/>
    </row>
    <row r="49583">
      <c r="D49583" s="9"/>
      <c r="G49583" s="9"/>
      <c r="J49583" s="11"/>
      <c r="U49583" s="9"/>
      <c r="X49583" s="9"/>
    </row>
    <row r="49584">
      <c r="D49584" s="9"/>
      <c r="G49584" s="9"/>
      <c r="J49584" s="11"/>
      <c r="U49584" s="9"/>
      <c r="X49584" s="9"/>
    </row>
    <row r="49585">
      <c r="D49585" s="9"/>
      <c r="G49585" s="9"/>
      <c r="J49585" s="11"/>
      <c r="U49585" s="9"/>
      <c r="X49585" s="9"/>
    </row>
    <row r="49586">
      <c r="D49586" s="9"/>
      <c r="G49586" s="9"/>
      <c r="J49586" s="11"/>
      <c r="U49586" s="9"/>
      <c r="X49586" s="9"/>
    </row>
    <row r="49587">
      <c r="D49587" s="9"/>
      <c r="G49587" s="9"/>
      <c r="J49587" s="11"/>
      <c r="U49587" s="9"/>
      <c r="X49587" s="9"/>
    </row>
    <row r="49588">
      <c r="D49588" s="9"/>
      <c r="G49588" s="9"/>
      <c r="J49588" s="11"/>
      <c r="U49588" s="9"/>
      <c r="X49588" s="9"/>
    </row>
    <row r="49589">
      <c r="D49589" s="9"/>
      <c r="G49589" s="9"/>
      <c r="J49589" s="11"/>
      <c r="U49589" s="9"/>
      <c r="X49589" s="9"/>
    </row>
    <row r="49590">
      <c r="D49590" s="9"/>
      <c r="G49590" s="9"/>
      <c r="J49590" s="11"/>
      <c r="U49590" s="9"/>
      <c r="X49590" s="9"/>
    </row>
    <row r="49591">
      <c r="D49591" s="9"/>
      <c r="G49591" s="9"/>
      <c r="J49591" s="11"/>
      <c r="U49591" s="9"/>
      <c r="X49591" s="9"/>
    </row>
    <row r="49592">
      <c r="D49592" s="9"/>
      <c r="G49592" s="9"/>
      <c r="J49592" s="11"/>
      <c r="U49592" s="9"/>
      <c r="X49592" s="9"/>
    </row>
    <row r="49593">
      <c r="D49593" s="9"/>
      <c r="G49593" s="9"/>
      <c r="J49593" s="11"/>
      <c r="U49593" s="9"/>
      <c r="X49593" s="9"/>
    </row>
    <row r="49594">
      <c r="D49594" s="9"/>
      <c r="G49594" s="9"/>
      <c r="J49594" s="11"/>
      <c r="U49594" s="9"/>
      <c r="X49594" s="9"/>
    </row>
    <row r="49595">
      <c r="D49595" s="9"/>
      <c r="G49595" s="9"/>
      <c r="J49595" s="11"/>
      <c r="U49595" s="9"/>
      <c r="X49595" s="9"/>
    </row>
    <row r="49596">
      <c r="D49596" s="9"/>
      <c r="G49596" s="9"/>
      <c r="J49596" s="11"/>
      <c r="U49596" s="9"/>
      <c r="X49596" s="9"/>
    </row>
    <row r="49597">
      <c r="D49597" s="9"/>
      <c r="G49597" s="9"/>
      <c r="J49597" s="11"/>
      <c r="U49597" s="9"/>
      <c r="X49597" s="9"/>
    </row>
    <row r="49598">
      <c r="D49598" s="9"/>
      <c r="G49598" s="9"/>
      <c r="J49598" s="11"/>
      <c r="U49598" s="9"/>
      <c r="X49598" s="9"/>
    </row>
    <row r="49599">
      <c r="D49599" s="9"/>
      <c r="G49599" s="9"/>
      <c r="J49599" s="11"/>
      <c r="U49599" s="9"/>
      <c r="X49599" s="9"/>
    </row>
    <row r="49600">
      <c r="D49600" s="9"/>
      <c r="G49600" s="9"/>
      <c r="J49600" s="11"/>
      <c r="U49600" s="9"/>
      <c r="X49600" s="9"/>
    </row>
    <row r="49601">
      <c r="D49601" s="9"/>
      <c r="G49601" s="9"/>
      <c r="J49601" s="11"/>
      <c r="U49601" s="9"/>
      <c r="X49601" s="9"/>
    </row>
    <row r="49602">
      <c r="D49602" s="9"/>
      <c r="G49602" s="9"/>
      <c r="J49602" s="11"/>
      <c r="U49602" s="9"/>
      <c r="X49602" s="9"/>
    </row>
    <row r="49603">
      <c r="D49603" s="9"/>
      <c r="G49603" s="9"/>
      <c r="J49603" s="11"/>
      <c r="U49603" s="9"/>
      <c r="X49603" s="9"/>
    </row>
    <row r="49604">
      <c r="D49604" s="9"/>
      <c r="G49604" s="9"/>
      <c r="J49604" s="11"/>
      <c r="U49604" s="9"/>
      <c r="X49604" s="9"/>
    </row>
    <row r="49605">
      <c r="D49605" s="9"/>
      <c r="G49605" s="9"/>
      <c r="J49605" s="11"/>
      <c r="U49605" s="9"/>
      <c r="X49605" s="9"/>
    </row>
    <row r="49606">
      <c r="D49606" s="9"/>
      <c r="G49606" s="9"/>
      <c r="J49606" s="11"/>
      <c r="U49606" s="9"/>
      <c r="X49606" s="9"/>
    </row>
    <row r="49607">
      <c r="D49607" s="9"/>
      <c r="G49607" s="9"/>
      <c r="J49607" s="11"/>
      <c r="U49607" s="9"/>
      <c r="X49607" s="9"/>
    </row>
    <row r="49608">
      <c r="D49608" s="9"/>
      <c r="G49608" s="9"/>
      <c r="J49608" s="11"/>
      <c r="U49608" s="9"/>
      <c r="X49608" s="9"/>
    </row>
    <row r="49609">
      <c r="D49609" s="9"/>
      <c r="G49609" s="9"/>
      <c r="J49609" s="11"/>
      <c r="U49609" s="9"/>
      <c r="X49609" s="9"/>
    </row>
    <row r="49610">
      <c r="D49610" s="9"/>
      <c r="G49610" s="9"/>
      <c r="J49610" s="11"/>
      <c r="U49610" s="9"/>
      <c r="X49610" s="9"/>
    </row>
    <row r="49611">
      <c r="D49611" s="9"/>
      <c r="G49611" s="9"/>
      <c r="J49611" s="11"/>
      <c r="U49611" s="9"/>
      <c r="X49611" s="9"/>
    </row>
    <row r="49612">
      <c r="D49612" s="9"/>
      <c r="G49612" s="9"/>
      <c r="J49612" s="11"/>
      <c r="U49612" s="9"/>
      <c r="X49612" s="9"/>
    </row>
    <row r="49613">
      <c r="D49613" s="9"/>
      <c r="G49613" s="9"/>
      <c r="J49613" s="11"/>
      <c r="U49613" s="9"/>
      <c r="X49613" s="9"/>
    </row>
    <row r="49614">
      <c r="D49614" s="9"/>
      <c r="G49614" s="9"/>
      <c r="J49614" s="11"/>
      <c r="U49614" s="9"/>
      <c r="X49614" s="9"/>
    </row>
    <row r="49615">
      <c r="D49615" s="9"/>
      <c r="G49615" s="9"/>
      <c r="J49615" s="11"/>
      <c r="U49615" s="9"/>
      <c r="X49615" s="9"/>
    </row>
    <row r="49616">
      <c r="D49616" s="9"/>
      <c r="G49616" s="9"/>
      <c r="J49616" s="11"/>
      <c r="U49616" s="9"/>
      <c r="X49616" s="9"/>
    </row>
    <row r="49617">
      <c r="D49617" s="9"/>
      <c r="G49617" s="9"/>
      <c r="J49617" s="11"/>
      <c r="U49617" s="9"/>
      <c r="X49617" s="9"/>
    </row>
    <row r="49618">
      <c r="D49618" s="9"/>
      <c r="G49618" s="9"/>
      <c r="J49618" s="11"/>
      <c r="U49618" s="9"/>
      <c r="X49618" s="9"/>
    </row>
    <row r="49619">
      <c r="D49619" s="9"/>
      <c r="G49619" s="9"/>
      <c r="J49619" s="11"/>
      <c r="U49619" s="9"/>
      <c r="X49619" s="9"/>
    </row>
    <row r="49620">
      <c r="D49620" s="9"/>
      <c r="G49620" s="9"/>
      <c r="J49620" s="11"/>
      <c r="U49620" s="9"/>
      <c r="X49620" s="9"/>
    </row>
    <row r="49621">
      <c r="D49621" s="9"/>
      <c r="G49621" s="9"/>
      <c r="J49621" s="11"/>
      <c r="U49621" s="9"/>
      <c r="X49621" s="9"/>
    </row>
    <row r="49622">
      <c r="D49622" s="9"/>
      <c r="G49622" s="9"/>
      <c r="J49622" s="11"/>
      <c r="U49622" s="9"/>
      <c r="X49622" s="9"/>
    </row>
    <row r="49623">
      <c r="D49623" s="9"/>
      <c r="G49623" s="9"/>
      <c r="J49623" s="11"/>
      <c r="U49623" s="9"/>
      <c r="X49623" s="9"/>
    </row>
    <row r="49624">
      <c r="D49624" s="9"/>
      <c r="G49624" s="9"/>
      <c r="J49624" s="11"/>
      <c r="U49624" s="9"/>
      <c r="X49624" s="9"/>
    </row>
    <row r="49625">
      <c r="D49625" s="9"/>
      <c r="G49625" s="9"/>
      <c r="J49625" s="11"/>
      <c r="U49625" s="9"/>
      <c r="X49625" s="9"/>
    </row>
    <row r="49626">
      <c r="D49626" s="9"/>
      <c r="G49626" s="9"/>
      <c r="J49626" s="11"/>
      <c r="U49626" s="9"/>
      <c r="X49626" s="9"/>
    </row>
    <row r="49627">
      <c r="D49627" s="9"/>
      <c r="G49627" s="9"/>
      <c r="J49627" s="11"/>
      <c r="U49627" s="9"/>
      <c r="X49627" s="9"/>
    </row>
    <row r="49628">
      <c r="D49628" s="9"/>
      <c r="G49628" s="9"/>
      <c r="J49628" s="11"/>
      <c r="U49628" s="9"/>
      <c r="X49628" s="9"/>
    </row>
    <row r="49629">
      <c r="D49629" s="9"/>
      <c r="G49629" s="9"/>
      <c r="J49629" s="11"/>
      <c r="U49629" s="9"/>
      <c r="X49629" s="9"/>
    </row>
    <row r="49630">
      <c r="D49630" s="9"/>
      <c r="G49630" s="9"/>
      <c r="J49630" s="11"/>
      <c r="U49630" s="9"/>
      <c r="X49630" s="9"/>
    </row>
    <row r="49631">
      <c r="D49631" s="9"/>
      <c r="G49631" s="9"/>
      <c r="J49631" s="11"/>
      <c r="U49631" s="9"/>
      <c r="X49631" s="9"/>
    </row>
    <row r="49632">
      <c r="D49632" s="9"/>
      <c r="G49632" s="9"/>
      <c r="J49632" s="11"/>
      <c r="U49632" s="9"/>
      <c r="X49632" s="9"/>
    </row>
    <row r="49633">
      <c r="D49633" s="9"/>
      <c r="G49633" s="9"/>
      <c r="J49633" s="11"/>
      <c r="U49633" s="9"/>
      <c r="X49633" s="9"/>
    </row>
    <row r="49634">
      <c r="D49634" s="9"/>
      <c r="G49634" s="9"/>
      <c r="J49634" s="11"/>
      <c r="U49634" s="9"/>
      <c r="X49634" s="9"/>
    </row>
    <row r="49635">
      <c r="D49635" s="9"/>
      <c r="G49635" s="9"/>
      <c r="J49635" s="11"/>
      <c r="U49635" s="9"/>
      <c r="X49635" s="9"/>
    </row>
    <row r="49636">
      <c r="D49636" s="9"/>
      <c r="G49636" s="9"/>
      <c r="J49636" s="11"/>
      <c r="U49636" s="9"/>
      <c r="X49636" s="9"/>
    </row>
    <row r="49637">
      <c r="D49637" s="9"/>
      <c r="G49637" s="9"/>
      <c r="J49637" s="11"/>
      <c r="U49637" s="9"/>
      <c r="X49637" s="9"/>
    </row>
    <row r="49638">
      <c r="D49638" s="9"/>
      <c r="G49638" s="9"/>
      <c r="J49638" s="11"/>
      <c r="U49638" s="9"/>
      <c r="X49638" s="9"/>
    </row>
    <row r="49639">
      <c r="D49639" s="9"/>
      <c r="G49639" s="9"/>
      <c r="J49639" s="11"/>
      <c r="U49639" s="9"/>
      <c r="X49639" s="9"/>
    </row>
    <row r="49640">
      <c r="D49640" s="9"/>
      <c r="G49640" s="9"/>
      <c r="J49640" s="11"/>
      <c r="U49640" s="9"/>
      <c r="X49640" s="9"/>
    </row>
    <row r="49641">
      <c r="D49641" s="9"/>
      <c r="G49641" s="9"/>
      <c r="J49641" s="11"/>
      <c r="U49641" s="9"/>
      <c r="X49641" s="9"/>
    </row>
    <row r="49642">
      <c r="D49642" s="9"/>
      <c r="G49642" s="9"/>
      <c r="J49642" s="11"/>
      <c r="U49642" s="9"/>
      <c r="X49642" s="9"/>
    </row>
    <row r="49643">
      <c r="D49643" s="9"/>
      <c r="G49643" s="9"/>
      <c r="J49643" s="11"/>
      <c r="U49643" s="9"/>
      <c r="X49643" s="9"/>
    </row>
    <row r="49644">
      <c r="D49644" s="9"/>
      <c r="G49644" s="9"/>
      <c r="J49644" s="11"/>
      <c r="U49644" s="9"/>
      <c r="X49644" s="9"/>
    </row>
    <row r="49645">
      <c r="D49645" s="9"/>
      <c r="G49645" s="9"/>
      <c r="J49645" s="11"/>
      <c r="U49645" s="9"/>
      <c r="X49645" s="9"/>
    </row>
    <row r="49646">
      <c r="D49646" s="9"/>
      <c r="G49646" s="9"/>
      <c r="J49646" s="11"/>
      <c r="U49646" s="9"/>
      <c r="X49646" s="9"/>
    </row>
    <row r="49647">
      <c r="D49647" s="9"/>
      <c r="G49647" s="9"/>
      <c r="J49647" s="11"/>
      <c r="U49647" s="9"/>
      <c r="X49647" s="9"/>
    </row>
    <row r="49648">
      <c r="D49648" s="9"/>
      <c r="G49648" s="9"/>
      <c r="J49648" s="11"/>
      <c r="U49648" s="9"/>
      <c r="X49648" s="9"/>
    </row>
    <row r="49649">
      <c r="D49649" s="9"/>
      <c r="G49649" s="9"/>
      <c r="J49649" s="11"/>
      <c r="U49649" s="9"/>
      <c r="X49649" s="9"/>
    </row>
    <row r="49650">
      <c r="D49650" s="9"/>
      <c r="G49650" s="9"/>
      <c r="J49650" s="11"/>
      <c r="U49650" s="9"/>
      <c r="X49650" s="9"/>
    </row>
    <row r="49651">
      <c r="D49651" s="9"/>
      <c r="G49651" s="9"/>
      <c r="J49651" s="11"/>
      <c r="U49651" s="9"/>
      <c r="X49651" s="9"/>
    </row>
    <row r="49652">
      <c r="D49652" s="9"/>
      <c r="G49652" s="9"/>
      <c r="J49652" s="11"/>
      <c r="U49652" s="9"/>
      <c r="X49652" s="9"/>
    </row>
    <row r="49653">
      <c r="D49653" s="9"/>
      <c r="G49653" s="9"/>
      <c r="J49653" s="11"/>
      <c r="U49653" s="9"/>
      <c r="X49653" s="9"/>
    </row>
    <row r="49654">
      <c r="D49654" s="9"/>
      <c r="G49654" s="9"/>
      <c r="J49654" s="11"/>
      <c r="U49654" s="9"/>
      <c r="X49654" s="9"/>
    </row>
    <row r="49655">
      <c r="D49655" s="9"/>
      <c r="G49655" s="9"/>
      <c r="J49655" s="11"/>
      <c r="U49655" s="9"/>
      <c r="X49655" s="9"/>
    </row>
    <row r="49656">
      <c r="D49656" s="9"/>
      <c r="G49656" s="9"/>
      <c r="J49656" s="11"/>
      <c r="U49656" s="9"/>
      <c r="X49656" s="9"/>
    </row>
    <row r="49657">
      <c r="D49657" s="9"/>
      <c r="G49657" s="9"/>
      <c r="J49657" s="11"/>
      <c r="U49657" s="9"/>
      <c r="X49657" s="9"/>
    </row>
    <row r="49658">
      <c r="D49658" s="9"/>
      <c r="G49658" s="9"/>
      <c r="J49658" s="11"/>
      <c r="U49658" s="9"/>
      <c r="X49658" s="9"/>
    </row>
    <row r="49659">
      <c r="D49659" s="9"/>
      <c r="G49659" s="9"/>
      <c r="J49659" s="11"/>
      <c r="U49659" s="9"/>
      <c r="X49659" s="9"/>
    </row>
    <row r="49660">
      <c r="D49660" s="9"/>
      <c r="G49660" s="9"/>
      <c r="J49660" s="11"/>
      <c r="U49660" s="9"/>
      <c r="X49660" s="9"/>
    </row>
    <row r="49661">
      <c r="D49661" s="9"/>
      <c r="G49661" s="9"/>
      <c r="J49661" s="11"/>
      <c r="U49661" s="9"/>
      <c r="X49661" s="9"/>
    </row>
    <row r="49662">
      <c r="D49662" s="9"/>
      <c r="G49662" s="9"/>
      <c r="J49662" s="11"/>
      <c r="U49662" s="9"/>
      <c r="X49662" s="9"/>
    </row>
    <row r="49663">
      <c r="D49663" s="9"/>
      <c r="G49663" s="9"/>
      <c r="J49663" s="11"/>
      <c r="U49663" s="9"/>
      <c r="X49663" s="9"/>
    </row>
    <row r="49664">
      <c r="D49664" s="9"/>
      <c r="G49664" s="9"/>
      <c r="J49664" s="11"/>
      <c r="U49664" s="9"/>
      <c r="X49664" s="9"/>
    </row>
    <row r="49665">
      <c r="D49665" s="9"/>
      <c r="G49665" s="9"/>
      <c r="J49665" s="11"/>
      <c r="U49665" s="9"/>
      <c r="X49665" s="9"/>
    </row>
    <row r="49666">
      <c r="D49666" s="9"/>
      <c r="G49666" s="9"/>
      <c r="J49666" s="11"/>
      <c r="U49666" s="9"/>
      <c r="X49666" s="9"/>
    </row>
    <row r="49667">
      <c r="D49667" s="9"/>
      <c r="G49667" s="9"/>
      <c r="J49667" s="11"/>
      <c r="U49667" s="9"/>
      <c r="X49667" s="9"/>
    </row>
    <row r="49668">
      <c r="D49668" s="9"/>
      <c r="G49668" s="9"/>
      <c r="J49668" s="11"/>
      <c r="U49668" s="9"/>
      <c r="X49668" s="9"/>
    </row>
    <row r="49669">
      <c r="D49669" s="9"/>
      <c r="G49669" s="9"/>
      <c r="J49669" s="11"/>
      <c r="U49669" s="9"/>
      <c r="X49669" s="9"/>
    </row>
    <row r="49670">
      <c r="D49670" s="9"/>
      <c r="G49670" s="9"/>
      <c r="J49670" s="11"/>
      <c r="U49670" s="9"/>
      <c r="X49670" s="9"/>
    </row>
    <row r="49671">
      <c r="D49671" s="9"/>
      <c r="G49671" s="9"/>
      <c r="J49671" s="11"/>
      <c r="U49671" s="9"/>
      <c r="X49671" s="9"/>
    </row>
    <row r="49672">
      <c r="D49672" s="9"/>
      <c r="G49672" s="9"/>
      <c r="J49672" s="11"/>
      <c r="U49672" s="9"/>
      <c r="X49672" s="9"/>
    </row>
    <row r="49673">
      <c r="D49673" s="9"/>
      <c r="G49673" s="9"/>
      <c r="J49673" s="11"/>
      <c r="U49673" s="9"/>
      <c r="X49673" s="9"/>
    </row>
    <row r="49674">
      <c r="D49674" s="9"/>
      <c r="G49674" s="9"/>
      <c r="J49674" s="11"/>
      <c r="U49674" s="9"/>
      <c r="X49674" s="9"/>
    </row>
    <row r="49675">
      <c r="D49675" s="9"/>
      <c r="G49675" s="9"/>
      <c r="J49675" s="11"/>
      <c r="U49675" s="9"/>
      <c r="X49675" s="9"/>
    </row>
    <row r="49676">
      <c r="D49676" s="9"/>
      <c r="G49676" s="9"/>
      <c r="J49676" s="11"/>
      <c r="U49676" s="9"/>
      <c r="X49676" s="9"/>
    </row>
    <row r="49677">
      <c r="D49677" s="9"/>
      <c r="G49677" s="9"/>
      <c r="J49677" s="11"/>
      <c r="U49677" s="9"/>
      <c r="X49677" s="9"/>
    </row>
    <row r="49678">
      <c r="D49678" s="9"/>
      <c r="G49678" s="9"/>
      <c r="J49678" s="11"/>
      <c r="U49678" s="9"/>
      <c r="X49678" s="9"/>
    </row>
    <row r="49679">
      <c r="D49679" s="9"/>
      <c r="G49679" s="9"/>
      <c r="J49679" s="11"/>
      <c r="U49679" s="9"/>
      <c r="X49679" s="9"/>
    </row>
    <row r="49680">
      <c r="D49680" s="9"/>
      <c r="G49680" s="9"/>
      <c r="J49680" s="11"/>
      <c r="U49680" s="9"/>
      <c r="X49680" s="9"/>
    </row>
    <row r="49681">
      <c r="D49681" s="9"/>
      <c r="G49681" s="9"/>
      <c r="J49681" s="11"/>
      <c r="U49681" s="9"/>
      <c r="X49681" s="9"/>
    </row>
    <row r="49682">
      <c r="D49682" s="9"/>
      <c r="G49682" s="9"/>
      <c r="J49682" s="11"/>
      <c r="U49682" s="9"/>
      <c r="X49682" s="9"/>
    </row>
    <row r="49683">
      <c r="D49683" s="9"/>
      <c r="G49683" s="9"/>
      <c r="J49683" s="11"/>
      <c r="U49683" s="9"/>
      <c r="X49683" s="9"/>
    </row>
    <row r="49684">
      <c r="D49684" s="9"/>
      <c r="G49684" s="9"/>
      <c r="J49684" s="11"/>
      <c r="U49684" s="9"/>
      <c r="X49684" s="9"/>
    </row>
    <row r="49685">
      <c r="D49685" s="9"/>
      <c r="G49685" s="9"/>
      <c r="J49685" s="11"/>
      <c r="U49685" s="9"/>
      <c r="X49685" s="9"/>
    </row>
    <row r="49686">
      <c r="D49686" s="9"/>
      <c r="G49686" s="9"/>
      <c r="J49686" s="11"/>
      <c r="U49686" s="9"/>
      <c r="X49686" s="9"/>
    </row>
    <row r="49687">
      <c r="D49687" s="9"/>
      <c r="G49687" s="9"/>
      <c r="J49687" s="11"/>
      <c r="U49687" s="9"/>
      <c r="X49687" s="9"/>
    </row>
    <row r="49688">
      <c r="D49688" s="9"/>
      <c r="G49688" s="9"/>
      <c r="J49688" s="11"/>
      <c r="U49688" s="9"/>
      <c r="X49688" s="9"/>
    </row>
    <row r="49689">
      <c r="D49689" s="9"/>
      <c r="G49689" s="9"/>
      <c r="J49689" s="11"/>
      <c r="U49689" s="9"/>
      <c r="X49689" s="9"/>
    </row>
    <row r="49690">
      <c r="D49690" s="9"/>
      <c r="G49690" s="9"/>
      <c r="J49690" s="11"/>
      <c r="U49690" s="9"/>
      <c r="X49690" s="9"/>
    </row>
    <row r="49691">
      <c r="D49691" s="9"/>
      <c r="G49691" s="9"/>
      <c r="J49691" s="11"/>
      <c r="U49691" s="9"/>
      <c r="X49691" s="9"/>
    </row>
    <row r="49692">
      <c r="D49692" s="9"/>
      <c r="G49692" s="9"/>
      <c r="J49692" s="11"/>
      <c r="U49692" s="9"/>
      <c r="X49692" s="9"/>
    </row>
    <row r="49693">
      <c r="D49693" s="9"/>
      <c r="G49693" s="9"/>
      <c r="J49693" s="11"/>
      <c r="U49693" s="9"/>
      <c r="X49693" s="9"/>
    </row>
    <row r="49694">
      <c r="D49694" s="9"/>
      <c r="G49694" s="9"/>
      <c r="J49694" s="11"/>
      <c r="U49694" s="9"/>
      <c r="X49694" s="9"/>
    </row>
    <row r="49695">
      <c r="D49695" s="9"/>
      <c r="G49695" s="9"/>
      <c r="J49695" s="11"/>
      <c r="U49695" s="9"/>
      <c r="X49695" s="9"/>
    </row>
    <row r="49696">
      <c r="D49696" s="9"/>
      <c r="G49696" s="9"/>
      <c r="J49696" s="11"/>
      <c r="U49696" s="9"/>
      <c r="X49696" s="9"/>
    </row>
    <row r="49697">
      <c r="D49697" s="9"/>
      <c r="G49697" s="9"/>
      <c r="J49697" s="11"/>
      <c r="U49697" s="9"/>
      <c r="X49697" s="9"/>
    </row>
    <row r="49698">
      <c r="D49698" s="9"/>
      <c r="G49698" s="9"/>
      <c r="J49698" s="11"/>
      <c r="U49698" s="9"/>
      <c r="X49698" s="9"/>
    </row>
    <row r="49699">
      <c r="D49699" s="9"/>
      <c r="G49699" s="9"/>
      <c r="J49699" s="11"/>
      <c r="U49699" s="9"/>
      <c r="X49699" s="9"/>
    </row>
    <row r="49700">
      <c r="D49700" s="9"/>
      <c r="G49700" s="9"/>
      <c r="J49700" s="11"/>
      <c r="U49700" s="9"/>
      <c r="X49700" s="9"/>
    </row>
    <row r="49701">
      <c r="D49701" s="9"/>
      <c r="G49701" s="9"/>
      <c r="J49701" s="11"/>
      <c r="U49701" s="9"/>
      <c r="X49701" s="9"/>
    </row>
    <row r="49702">
      <c r="D49702" s="9"/>
      <c r="G49702" s="9"/>
      <c r="J49702" s="11"/>
      <c r="U49702" s="9"/>
      <c r="X49702" s="9"/>
    </row>
    <row r="49703">
      <c r="D49703" s="9"/>
      <c r="G49703" s="9"/>
      <c r="J49703" s="11"/>
      <c r="U49703" s="9"/>
      <c r="X49703" s="9"/>
    </row>
    <row r="49704">
      <c r="D49704" s="9"/>
      <c r="G49704" s="9"/>
      <c r="J49704" s="11"/>
      <c r="U49704" s="9"/>
      <c r="X49704" s="9"/>
    </row>
    <row r="49705">
      <c r="D49705" s="9"/>
      <c r="G49705" s="9"/>
      <c r="J49705" s="11"/>
      <c r="U49705" s="9"/>
      <c r="X49705" s="9"/>
    </row>
    <row r="49706">
      <c r="D49706" s="9"/>
      <c r="G49706" s="9"/>
      <c r="J49706" s="11"/>
      <c r="U49706" s="9"/>
      <c r="X49706" s="9"/>
    </row>
    <row r="49707">
      <c r="D49707" s="9"/>
      <c r="G49707" s="9"/>
      <c r="J49707" s="11"/>
      <c r="U49707" s="9"/>
      <c r="X49707" s="9"/>
    </row>
    <row r="49708">
      <c r="D49708" s="9"/>
      <c r="G49708" s="9"/>
      <c r="J49708" s="11"/>
      <c r="U49708" s="9"/>
      <c r="X49708" s="9"/>
    </row>
    <row r="49709">
      <c r="D49709" s="9"/>
      <c r="G49709" s="9"/>
      <c r="J49709" s="11"/>
      <c r="U49709" s="9"/>
      <c r="X49709" s="9"/>
    </row>
    <row r="49710">
      <c r="D49710" s="9"/>
      <c r="G49710" s="9"/>
      <c r="J49710" s="11"/>
      <c r="U49710" s="9"/>
      <c r="X49710" s="9"/>
    </row>
    <row r="49711">
      <c r="D49711" s="9"/>
      <c r="G49711" s="9"/>
      <c r="J49711" s="11"/>
      <c r="U49711" s="9"/>
      <c r="X49711" s="9"/>
    </row>
    <row r="49712">
      <c r="D49712" s="9"/>
      <c r="G49712" s="9"/>
      <c r="J49712" s="11"/>
      <c r="U49712" s="9"/>
      <c r="X49712" s="9"/>
    </row>
    <row r="49713">
      <c r="D49713" s="9"/>
      <c r="G49713" s="9"/>
      <c r="J49713" s="11"/>
      <c r="U49713" s="9"/>
      <c r="X49713" s="9"/>
    </row>
    <row r="49714">
      <c r="D49714" s="9"/>
      <c r="G49714" s="9"/>
      <c r="J49714" s="11"/>
      <c r="U49714" s="9"/>
      <c r="X49714" s="9"/>
    </row>
    <row r="49715">
      <c r="D49715" s="9"/>
      <c r="G49715" s="9"/>
      <c r="J49715" s="11"/>
      <c r="U49715" s="9"/>
      <c r="X49715" s="9"/>
    </row>
    <row r="49716">
      <c r="D49716" s="9"/>
      <c r="G49716" s="9"/>
      <c r="J49716" s="11"/>
      <c r="U49716" s="9"/>
      <c r="X49716" s="9"/>
    </row>
    <row r="49717">
      <c r="D49717" s="9"/>
      <c r="G49717" s="9"/>
      <c r="J49717" s="11"/>
      <c r="U49717" s="9"/>
      <c r="X49717" s="9"/>
    </row>
    <row r="49718">
      <c r="D49718" s="9"/>
      <c r="G49718" s="9"/>
      <c r="J49718" s="11"/>
      <c r="U49718" s="9"/>
      <c r="X49718" s="9"/>
    </row>
    <row r="49719">
      <c r="D49719" s="9"/>
      <c r="G49719" s="9"/>
      <c r="J49719" s="11"/>
      <c r="U49719" s="9"/>
      <c r="X49719" s="9"/>
    </row>
    <row r="49720">
      <c r="D49720" s="9"/>
      <c r="G49720" s="9"/>
      <c r="J49720" s="11"/>
      <c r="U49720" s="9"/>
      <c r="X49720" s="9"/>
    </row>
    <row r="49721">
      <c r="D49721" s="9"/>
      <c r="G49721" s="9"/>
      <c r="J49721" s="11"/>
      <c r="U49721" s="9"/>
      <c r="X49721" s="9"/>
    </row>
    <row r="49722">
      <c r="D49722" s="9"/>
      <c r="G49722" s="9"/>
      <c r="J49722" s="11"/>
      <c r="U49722" s="9"/>
      <c r="X49722" s="9"/>
    </row>
    <row r="49723">
      <c r="D49723" s="9"/>
      <c r="G49723" s="9"/>
      <c r="J49723" s="11"/>
      <c r="U49723" s="9"/>
      <c r="X49723" s="9"/>
    </row>
    <row r="49724">
      <c r="D49724" s="9"/>
      <c r="G49724" s="9"/>
      <c r="J49724" s="11"/>
      <c r="U49724" s="9"/>
      <c r="X49724" s="9"/>
    </row>
    <row r="49725">
      <c r="D49725" s="9"/>
      <c r="G49725" s="9"/>
      <c r="J49725" s="11"/>
      <c r="U49725" s="9"/>
      <c r="X49725" s="9"/>
    </row>
    <row r="49726">
      <c r="D49726" s="9"/>
      <c r="G49726" s="9"/>
      <c r="J49726" s="11"/>
      <c r="U49726" s="9"/>
      <c r="X49726" s="9"/>
    </row>
    <row r="49727">
      <c r="D49727" s="9"/>
      <c r="G49727" s="9"/>
      <c r="J49727" s="11"/>
      <c r="U49727" s="9"/>
      <c r="X49727" s="9"/>
    </row>
    <row r="49728">
      <c r="D49728" s="9"/>
      <c r="G49728" s="9"/>
      <c r="J49728" s="11"/>
      <c r="U49728" s="9"/>
      <c r="X49728" s="9"/>
    </row>
    <row r="49729">
      <c r="D49729" s="9"/>
      <c r="G49729" s="9"/>
      <c r="J49729" s="11"/>
      <c r="U49729" s="9"/>
      <c r="X49729" s="9"/>
    </row>
    <row r="49730">
      <c r="D49730" s="9"/>
      <c r="G49730" s="9"/>
      <c r="J49730" s="11"/>
      <c r="U49730" s="9"/>
      <c r="X49730" s="9"/>
    </row>
    <row r="49731">
      <c r="D49731" s="9"/>
      <c r="G49731" s="9"/>
      <c r="J49731" s="11"/>
      <c r="U49731" s="9"/>
      <c r="X49731" s="9"/>
    </row>
    <row r="49732">
      <c r="D49732" s="9"/>
      <c r="G49732" s="9"/>
      <c r="J49732" s="11"/>
      <c r="U49732" s="9"/>
      <c r="X49732" s="9"/>
    </row>
    <row r="49733">
      <c r="D49733" s="9"/>
      <c r="G49733" s="9"/>
      <c r="J49733" s="11"/>
      <c r="U49733" s="9"/>
      <c r="X49733" s="9"/>
    </row>
    <row r="49734">
      <c r="D49734" s="9"/>
      <c r="G49734" s="9"/>
      <c r="J49734" s="11"/>
      <c r="U49734" s="9"/>
      <c r="X49734" s="9"/>
    </row>
    <row r="49735">
      <c r="D49735" s="9"/>
      <c r="G49735" s="9"/>
      <c r="J49735" s="11"/>
      <c r="U49735" s="9"/>
      <c r="X49735" s="9"/>
    </row>
    <row r="49736">
      <c r="D49736" s="9"/>
      <c r="G49736" s="9"/>
      <c r="J49736" s="11"/>
      <c r="U49736" s="9"/>
      <c r="X49736" s="9"/>
    </row>
    <row r="49737">
      <c r="D49737" s="9"/>
      <c r="G49737" s="9"/>
      <c r="J49737" s="11"/>
      <c r="U49737" s="9"/>
      <c r="X49737" s="9"/>
    </row>
    <row r="49738">
      <c r="D49738" s="9"/>
      <c r="G49738" s="9"/>
      <c r="J49738" s="11"/>
      <c r="U49738" s="9"/>
      <c r="X49738" s="9"/>
    </row>
    <row r="49739">
      <c r="D49739" s="9"/>
      <c r="G49739" s="9"/>
      <c r="J49739" s="11"/>
      <c r="U49739" s="9"/>
      <c r="X49739" s="9"/>
    </row>
    <row r="49740">
      <c r="D49740" s="9"/>
      <c r="G49740" s="9"/>
      <c r="J49740" s="11"/>
      <c r="U49740" s="9"/>
      <c r="X49740" s="9"/>
    </row>
    <row r="49741">
      <c r="D49741" s="9"/>
      <c r="G49741" s="9"/>
      <c r="J49741" s="11"/>
      <c r="U49741" s="9"/>
      <c r="X49741" s="9"/>
    </row>
    <row r="49742">
      <c r="D49742" s="9"/>
      <c r="G49742" s="9"/>
      <c r="J49742" s="11"/>
      <c r="U49742" s="9"/>
      <c r="X49742" s="9"/>
    </row>
    <row r="49743">
      <c r="D49743" s="9"/>
      <c r="G49743" s="9"/>
      <c r="J49743" s="11"/>
      <c r="U49743" s="9"/>
      <c r="X49743" s="9"/>
    </row>
    <row r="49744">
      <c r="D49744" s="9"/>
      <c r="G49744" s="9"/>
      <c r="J49744" s="11"/>
      <c r="U49744" s="9"/>
      <c r="X49744" s="9"/>
    </row>
    <row r="49745">
      <c r="D49745" s="9"/>
      <c r="G49745" s="9"/>
      <c r="J49745" s="11"/>
      <c r="U49745" s="9"/>
      <c r="X49745" s="9"/>
    </row>
    <row r="49746">
      <c r="D49746" s="9"/>
      <c r="G49746" s="9"/>
      <c r="J49746" s="11"/>
      <c r="U49746" s="9"/>
      <c r="X49746" s="9"/>
    </row>
    <row r="49747">
      <c r="D49747" s="9"/>
      <c r="G49747" s="9"/>
      <c r="J49747" s="11"/>
      <c r="U49747" s="9"/>
      <c r="X49747" s="9"/>
    </row>
    <row r="49748">
      <c r="D49748" s="9"/>
      <c r="G49748" s="9"/>
      <c r="J49748" s="11"/>
      <c r="U49748" s="9"/>
      <c r="X49748" s="9"/>
    </row>
    <row r="49749">
      <c r="D49749" s="9"/>
      <c r="G49749" s="9"/>
      <c r="J49749" s="11"/>
      <c r="U49749" s="9"/>
      <c r="X49749" s="9"/>
    </row>
    <row r="49750">
      <c r="D49750" s="9"/>
      <c r="G49750" s="9"/>
      <c r="J49750" s="11"/>
      <c r="U49750" s="9"/>
      <c r="X49750" s="9"/>
    </row>
    <row r="49751">
      <c r="D49751" s="9"/>
      <c r="G49751" s="9"/>
      <c r="J49751" s="11"/>
      <c r="U49751" s="9"/>
      <c r="X49751" s="9"/>
    </row>
    <row r="49752">
      <c r="D49752" s="9"/>
      <c r="G49752" s="9"/>
      <c r="J49752" s="11"/>
      <c r="U49752" s="9"/>
      <c r="X49752" s="9"/>
    </row>
    <row r="49753">
      <c r="D49753" s="9"/>
      <c r="G49753" s="9"/>
      <c r="J49753" s="11"/>
      <c r="U49753" s="9"/>
      <c r="X49753" s="9"/>
    </row>
    <row r="49754">
      <c r="D49754" s="9"/>
      <c r="G49754" s="9"/>
      <c r="J49754" s="11"/>
      <c r="U49754" s="9"/>
      <c r="X49754" s="9"/>
    </row>
    <row r="49755">
      <c r="D49755" s="9"/>
      <c r="G49755" s="9"/>
      <c r="J49755" s="11"/>
      <c r="U49755" s="9"/>
      <c r="X49755" s="9"/>
    </row>
    <row r="49756">
      <c r="D49756" s="9"/>
      <c r="G49756" s="9"/>
      <c r="J49756" s="11"/>
      <c r="U49756" s="9"/>
      <c r="X49756" s="9"/>
    </row>
    <row r="49757">
      <c r="D49757" s="9"/>
      <c r="G49757" s="9"/>
      <c r="J49757" s="11"/>
      <c r="U49757" s="9"/>
      <c r="X49757" s="9"/>
    </row>
    <row r="49758">
      <c r="D49758" s="9"/>
      <c r="G49758" s="9"/>
      <c r="J49758" s="11"/>
      <c r="U49758" s="9"/>
      <c r="X49758" s="9"/>
    </row>
    <row r="49759">
      <c r="D49759" s="9"/>
      <c r="G49759" s="9"/>
      <c r="J49759" s="11"/>
      <c r="U49759" s="9"/>
      <c r="X49759" s="9"/>
    </row>
    <row r="49760">
      <c r="D49760" s="9"/>
      <c r="G49760" s="9"/>
      <c r="J49760" s="11"/>
      <c r="U49760" s="9"/>
      <c r="X49760" s="9"/>
    </row>
    <row r="49761">
      <c r="D49761" s="9"/>
      <c r="G49761" s="9"/>
      <c r="J49761" s="11"/>
      <c r="U49761" s="9"/>
      <c r="X49761" s="9"/>
    </row>
    <row r="49762">
      <c r="D49762" s="9"/>
      <c r="G49762" s="9"/>
      <c r="J49762" s="11"/>
      <c r="U49762" s="9"/>
      <c r="X49762" s="9"/>
    </row>
    <row r="49763">
      <c r="D49763" s="9"/>
      <c r="G49763" s="9"/>
      <c r="J49763" s="11"/>
      <c r="U49763" s="9"/>
      <c r="X49763" s="9"/>
    </row>
    <row r="49764">
      <c r="D49764" s="9"/>
      <c r="G49764" s="9"/>
      <c r="J49764" s="11"/>
      <c r="U49764" s="9"/>
      <c r="X49764" s="9"/>
    </row>
    <row r="49765">
      <c r="D49765" s="9"/>
      <c r="G49765" s="9"/>
      <c r="J49765" s="11"/>
      <c r="U49765" s="9"/>
      <c r="X49765" s="9"/>
    </row>
    <row r="49766">
      <c r="D49766" s="9"/>
      <c r="G49766" s="9"/>
      <c r="J49766" s="11"/>
      <c r="U49766" s="9"/>
      <c r="X49766" s="9"/>
    </row>
    <row r="49767">
      <c r="D49767" s="9"/>
      <c r="G49767" s="9"/>
      <c r="J49767" s="11"/>
      <c r="U49767" s="9"/>
      <c r="X49767" s="9"/>
    </row>
    <row r="49768">
      <c r="D49768" s="9"/>
      <c r="G49768" s="9"/>
      <c r="J49768" s="11"/>
      <c r="U49768" s="9"/>
      <c r="X49768" s="9"/>
    </row>
    <row r="49769">
      <c r="D49769" s="9"/>
      <c r="G49769" s="9"/>
      <c r="J49769" s="11"/>
      <c r="U49769" s="9"/>
      <c r="X49769" s="9"/>
    </row>
    <row r="49770">
      <c r="D49770" s="9"/>
      <c r="G49770" s="9"/>
      <c r="J49770" s="11"/>
      <c r="U49770" s="9"/>
      <c r="X49770" s="9"/>
    </row>
    <row r="49771">
      <c r="D49771" s="9"/>
      <c r="G49771" s="9"/>
      <c r="J49771" s="11"/>
      <c r="U49771" s="9"/>
      <c r="X49771" s="9"/>
    </row>
    <row r="49772">
      <c r="D49772" s="9"/>
      <c r="G49772" s="9"/>
      <c r="J49772" s="11"/>
      <c r="U49772" s="9"/>
      <c r="X49772" s="9"/>
    </row>
    <row r="49773">
      <c r="D49773" s="9"/>
      <c r="G49773" s="9"/>
      <c r="J49773" s="11"/>
      <c r="U49773" s="9"/>
      <c r="X49773" s="9"/>
    </row>
    <row r="49774">
      <c r="D49774" s="9"/>
      <c r="G49774" s="9"/>
      <c r="J49774" s="11"/>
      <c r="U49774" s="9"/>
      <c r="X49774" s="9"/>
    </row>
    <row r="49775">
      <c r="D49775" s="9"/>
      <c r="G49775" s="9"/>
      <c r="J49775" s="11"/>
      <c r="U49775" s="9"/>
      <c r="X49775" s="9"/>
    </row>
    <row r="49776">
      <c r="D49776" s="9"/>
      <c r="G49776" s="9"/>
      <c r="J49776" s="11"/>
      <c r="U49776" s="9"/>
      <c r="X49776" s="9"/>
    </row>
    <row r="49777">
      <c r="D49777" s="9"/>
      <c r="G49777" s="9"/>
      <c r="J49777" s="11"/>
      <c r="U49777" s="9"/>
      <c r="X49777" s="9"/>
    </row>
    <row r="49778">
      <c r="D49778" s="9"/>
      <c r="G49778" s="9"/>
      <c r="J49778" s="11"/>
      <c r="U49778" s="9"/>
      <c r="X49778" s="9"/>
    </row>
    <row r="49779">
      <c r="D49779" s="9"/>
      <c r="G49779" s="9"/>
      <c r="J49779" s="11"/>
      <c r="U49779" s="9"/>
      <c r="X49779" s="9"/>
    </row>
    <row r="49780">
      <c r="D49780" s="9"/>
      <c r="G49780" s="9"/>
      <c r="J49780" s="11"/>
      <c r="U49780" s="9"/>
      <c r="X49780" s="9"/>
    </row>
    <row r="49781">
      <c r="D49781" s="9"/>
      <c r="G49781" s="9"/>
      <c r="J49781" s="11"/>
      <c r="U49781" s="9"/>
      <c r="X49781" s="9"/>
    </row>
    <row r="49782">
      <c r="D49782" s="9"/>
      <c r="G49782" s="9"/>
      <c r="J49782" s="11"/>
      <c r="U49782" s="9"/>
      <c r="X49782" s="9"/>
    </row>
    <row r="49783">
      <c r="D49783" s="9"/>
      <c r="G49783" s="9"/>
      <c r="J49783" s="11"/>
      <c r="U49783" s="9"/>
      <c r="X49783" s="9"/>
    </row>
    <row r="49784">
      <c r="D49784" s="9"/>
      <c r="G49784" s="9"/>
      <c r="J49784" s="11"/>
      <c r="U49784" s="9"/>
      <c r="X49784" s="9"/>
    </row>
    <row r="49785">
      <c r="D49785" s="9"/>
      <c r="G49785" s="9"/>
      <c r="J49785" s="11"/>
      <c r="U49785" s="9"/>
      <c r="X49785" s="9"/>
    </row>
    <row r="49786">
      <c r="D49786" s="9"/>
      <c r="G49786" s="9"/>
      <c r="J49786" s="11"/>
      <c r="U49786" s="9"/>
      <c r="X49786" s="9"/>
    </row>
    <row r="49787">
      <c r="D49787" s="9"/>
      <c r="G49787" s="9"/>
      <c r="J49787" s="11"/>
      <c r="U49787" s="9"/>
      <c r="X49787" s="9"/>
    </row>
    <row r="49788">
      <c r="D49788" s="9"/>
      <c r="G49788" s="9"/>
      <c r="J49788" s="11"/>
      <c r="U49788" s="9"/>
      <c r="X49788" s="9"/>
    </row>
    <row r="49789">
      <c r="D49789" s="9"/>
      <c r="G49789" s="9"/>
      <c r="J49789" s="11"/>
      <c r="U49789" s="9"/>
      <c r="X49789" s="9"/>
    </row>
    <row r="49790">
      <c r="D49790" s="9"/>
      <c r="G49790" s="9"/>
      <c r="J49790" s="11"/>
      <c r="U49790" s="9"/>
      <c r="X49790" s="9"/>
    </row>
    <row r="49791">
      <c r="D49791" s="9"/>
      <c r="G49791" s="9"/>
      <c r="J49791" s="11"/>
      <c r="U49791" s="9"/>
      <c r="X49791" s="9"/>
    </row>
    <row r="49792">
      <c r="D49792" s="9"/>
      <c r="G49792" s="9"/>
      <c r="J49792" s="11"/>
      <c r="U49792" s="9"/>
      <c r="X49792" s="9"/>
    </row>
    <row r="49793">
      <c r="D49793" s="9"/>
      <c r="G49793" s="9"/>
      <c r="J49793" s="11"/>
      <c r="U49793" s="9"/>
      <c r="X49793" s="9"/>
    </row>
    <row r="49794">
      <c r="D49794" s="9"/>
      <c r="G49794" s="9"/>
      <c r="J49794" s="11"/>
      <c r="U49794" s="9"/>
      <c r="X49794" s="9"/>
    </row>
    <row r="49795">
      <c r="D49795" s="9"/>
      <c r="G49795" s="9"/>
      <c r="J49795" s="11"/>
      <c r="U49795" s="9"/>
      <c r="X49795" s="9"/>
    </row>
    <row r="49796">
      <c r="D49796" s="9"/>
      <c r="G49796" s="9"/>
      <c r="J49796" s="11"/>
      <c r="U49796" s="9"/>
      <c r="X49796" s="9"/>
    </row>
    <row r="49797">
      <c r="D49797" s="9"/>
      <c r="G49797" s="9"/>
      <c r="J49797" s="11"/>
      <c r="U49797" s="9"/>
      <c r="X49797" s="9"/>
    </row>
    <row r="49798">
      <c r="D49798" s="9"/>
      <c r="G49798" s="9"/>
      <c r="J49798" s="11"/>
      <c r="U49798" s="9"/>
      <c r="X49798" s="9"/>
    </row>
    <row r="49799">
      <c r="D49799" s="9"/>
      <c r="G49799" s="9"/>
      <c r="J49799" s="11"/>
      <c r="U49799" s="9"/>
      <c r="X49799" s="9"/>
    </row>
    <row r="49800">
      <c r="D49800" s="9"/>
      <c r="G49800" s="9"/>
      <c r="J49800" s="11"/>
      <c r="U49800" s="9"/>
      <c r="X49800" s="9"/>
    </row>
    <row r="49801">
      <c r="D49801" s="9"/>
      <c r="G49801" s="9"/>
      <c r="J49801" s="11"/>
      <c r="U49801" s="9"/>
      <c r="X49801" s="9"/>
    </row>
    <row r="49802">
      <c r="D49802" s="9"/>
      <c r="G49802" s="9"/>
      <c r="J49802" s="11"/>
      <c r="U49802" s="9"/>
      <c r="X49802" s="9"/>
    </row>
    <row r="49803">
      <c r="D49803" s="9"/>
      <c r="G49803" s="9"/>
      <c r="J49803" s="11"/>
      <c r="U49803" s="9"/>
      <c r="X49803" s="9"/>
    </row>
    <row r="49804">
      <c r="D49804" s="9"/>
      <c r="G49804" s="9"/>
      <c r="J49804" s="11"/>
      <c r="U49804" s="9"/>
      <c r="X49804" s="9"/>
    </row>
    <row r="49805">
      <c r="D49805" s="9"/>
      <c r="G49805" s="9"/>
      <c r="J49805" s="11"/>
      <c r="U49805" s="9"/>
      <c r="X49805" s="9"/>
    </row>
    <row r="49806">
      <c r="D49806" s="9"/>
      <c r="G49806" s="9"/>
      <c r="J49806" s="11"/>
      <c r="U49806" s="9"/>
      <c r="X49806" s="9"/>
    </row>
    <row r="49807">
      <c r="D49807" s="9"/>
      <c r="G49807" s="9"/>
      <c r="J49807" s="11"/>
      <c r="U49807" s="9"/>
      <c r="X49807" s="9"/>
    </row>
    <row r="49808">
      <c r="D49808" s="9"/>
      <c r="G49808" s="9"/>
      <c r="J49808" s="11"/>
      <c r="U49808" s="9"/>
      <c r="X49808" s="9"/>
    </row>
    <row r="49809">
      <c r="D49809" s="9"/>
      <c r="G49809" s="9"/>
      <c r="J49809" s="11"/>
      <c r="U49809" s="9"/>
      <c r="X49809" s="9"/>
    </row>
    <row r="49810">
      <c r="D49810" s="9"/>
      <c r="G49810" s="9"/>
      <c r="J49810" s="11"/>
      <c r="U49810" s="9"/>
      <c r="X49810" s="9"/>
    </row>
    <row r="49811">
      <c r="D49811" s="9"/>
      <c r="G49811" s="9"/>
      <c r="J49811" s="11"/>
      <c r="U49811" s="9"/>
      <c r="X49811" s="9"/>
    </row>
    <row r="49812">
      <c r="D49812" s="9"/>
      <c r="G49812" s="9"/>
      <c r="J49812" s="11"/>
      <c r="U49812" s="9"/>
      <c r="X49812" s="9"/>
    </row>
    <row r="49813">
      <c r="D49813" s="9"/>
      <c r="G49813" s="9"/>
      <c r="J49813" s="11"/>
      <c r="U49813" s="9"/>
      <c r="X49813" s="9"/>
    </row>
    <row r="49814">
      <c r="D49814" s="9"/>
      <c r="G49814" s="9"/>
      <c r="J49814" s="11"/>
      <c r="U49814" s="9"/>
      <c r="X49814" s="9"/>
    </row>
    <row r="49815">
      <c r="D49815" s="9"/>
      <c r="G49815" s="9"/>
      <c r="J49815" s="11"/>
      <c r="U49815" s="9"/>
      <c r="X49815" s="9"/>
    </row>
    <row r="49816">
      <c r="D49816" s="9"/>
      <c r="G49816" s="9"/>
      <c r="J49816" s="11"/>
      <c r="U49816" s="9"/>
      <c r="X49816" s="9"/>
    </row>
    <row r="49817">
      <c r="D49817" s="9"/>
      <c r="G49817" s="9"/>
      <c r="J49817" s="11"/>
      <c r="U49817" s="9"/>
      <c r="X49817" s="9"/>
    </row>
    <row r="49818">
      <c r="D49818" s="9"/>
      <c r="G49818" s="9"/>
      <c r="J49818" s="11"/>
      <c r="U49818" s="9"/>
      <c r="X49818" s="9"/>
    </row>
    <row r="49819">
      <c r="D49819" s="9"/>
      <c r="G49819" s="9"/>
      <c r="J49819" s="11"/>
      <c r="U49819" s="9"/>
      <c r="X49819" s="9"/>
    </row>
    <row r="49820">
      <c r="D49820" s="9"/>
      <c r="G49820" s="9"/>
      <c r="J49820" s="11"/>
      <c r="U49820" s="9"/>
      <c r="X49820" s="9"/>
    </row>
    <row r="49821">
      <c r="D49821" s="9"/>
      <c r="G49821" s="9"/>
      <c r="J49821" s="11"/>
      <c r="U49821" s="9"/>
      <c r="X49821" s="9"/>
    </row>
    <row r="49822">
      <c r="D49822" s="9"/>
      <c r="G49822" s="9"/>
      <c r="J49822" s="11"/>
      <c r="U49822" s="9"/>
      <c r="X49822" s="9"/>
    </row>
    <row r="49823">
      <c r="D49823" s="9"/>
      <c r="G49823" s="9"/>
      <c r="J49823" s="11"/>
      <c r="U49823" s="9"/>
      <c r="X49823" s="9"/>
    </row>
    <row r="49824">
      <c r="D49824" s="9"/>
      <c r="G49824" s="9"/>
      <c r="J49824" s="11"/>
      <c r="U49824" s="9"/>
      <c r="X49824" s="9"/>
    </row>
    <row r="49825">
      <c r="D49825" s="9"/>
      <c r="G49825" s="9"/>
      <c r="J49825" s="11"/>
      <c r="U49825" s="9"/>
      <c r="X49825" s="9"/>
    </row>
    <row r="49826">
      <c r="D49826" s="9"/>
      <c r="G49826" s="9"/>
      <c r="J49826" s="11"/>
      <c r="U49826" s="9"/>
      <c r="X49826" s="9"/>
    </row>
    <row r="49827">
      <c r="D49827" s="9"/>
      <c r="G49827" s="9"/>
      <c r="J49827" s="11"/>
      <c r="U49827" s="9"/>
      <c r="X49827" s="9"/>
    </row>
    <row r="49828">
      <c r="D49828" s="9"/>
      <c r="G49828" s="9"/>
      <c r="J49828" s="11"/>
      <c r="U49828" s="9"/>
      <c r="X49828" s="9"/>
    </row>
    <row r="49829">
      <c r="D49829" s="9"/>
      <c r="G49829" s="9"/>
      <c r="J49829" s="11"/>
      <c r="U49829" s="9"/>
      <c r="X49829" s="9"/>
    </row>
    <row r="49830">
      <c r="D49830" s="9"/>
      <c r="G49830" s="9"/>
      <c r="J49830" s="11"/>
      <c r="U49830" s="9"/>
      <c r="X49830" s="9"/>
    </row>
    <row r="49831">
      <c r="D49831" s="9"/>
      <c r="G49831" s="9"/>
      <c r="J49831" s="11"/>
      <c r="U49831" s="9"/>
      <c r="X49831" s="9"/>
    </row>
    <row r="49832">
      <c r="D49832" s="9"/>
      <c r="G49832" s="9"/>
      <c r="J49832" s="11"/>
      <c r="U49832" s="9"/>
      <c r="X49832" s="9"/>
    </row>
    <row r="49833">
      <c r="D49833" s="9"/>
      <c r="G49833" s="9"/>
      <c r="J49833" s="11"/>
      <c r="U49833" s="9"/>
      <c r="X49833" s="9"/>
    </row>
    <row r="49834">
      <c r="D49834" s="9"/>
      <c r="G49834" s="9"/>
      <c r="J49834" s="11"/>
      <c r="U49834" s="9"/>
      <c r="X49834" s="9"/>
    </row>
    <row r="49835">
      <c r="D49835" s="9"/>
      <c r="G49835" s="9"/>
      <c r="J49835" s="11"/>
      <c r="U49835" s="9"/>
      <c r="X49835" s="9"/>
    </row>
    <row r="49836">
      <c r="D49836" s="9"/>
      <c r="G49836" s="9"/>
      <c r="J49836" s="11"/>
      <c r="U49836" s="9"/>
      <c r="X49836" s="9"/>
    </row>
    <row r="49837">
      <c r="D49837" s="9"/>
      <c r="G49837" s="9"/>
      <c r="J49837" s="11"/>
      <c r="U49837" s="9"/>
      <c r="X49837" s="9"/>
    </row>
    <row r="49838">
      <c r="D49838" s="9"/>
      <c r="G49838" s="9"/>
      <c r="J49838" s="11"/>
      <c r="U49838" s="9"/>
      <c r="X49838" s="9"/>
    </row>
    <row r="49839">
      <c r="D49839" s="9"/>
      <c r="G49839" s="9"/>
      <c r="J49839" s="11"/>
      <c r="U49839" s="9"/>
      <c r="X49839" s="9"/>
    </row>
    <row r="49840">
      <c r="D49840" s="9"/>
      <c r="G49840" s="9"/>
      <c r="J49840" s="11"/>
      <c r="U49840" s="9"/>
      <c r="X49840" s="9"/>
    </row>
    <row r="49841">
      <c r="D49841" s="9"/>
      <c r="G49841" s="9"/>
      <c r="J49841" s="11"/>
      <c r="U49841" s="9"/>
      <c r="X49841" s="9"/>
    </row>
    <row r="49842">
      <c r="D49842" s="9"/>
      <c r="G49842" s="9"/>
      <c r="J49842" s="11"/>
      <c r="U49842" s="9"/>
      <c r="X49842" s="9"/>
    </row>
    <row r="49843">
      <c r="D49843" s="9"/>
      <c r="G49843" s="9"/>
      <c r="J49843" s="11"/>
      <c r="U49843" s="9"/>
      <c r="X49843" s="9"/>
    </row>
    <row r="49844">
      <c r="D49844" s="9"/>
      <c r="G49844" s="9"/>
      <c r="J49844" s="11"/>
      <c r="U49844" s="9"/>
      <c r="X49844" s="9"/>
    </row>
    <row r="49845">
      <c r="D49845" s="9"/>
      <c r="G49845" s="9"/>
      <c r="J49845" s="11"/>
      <c r="U49845" s="9"/>
      <c r="X49845" s="9"/>
    </row>
    <row r="49846">
      <c r="D49846" s="9"/>
      <c r="G49846" s="9"/>
      <c r="J49846" s="11"/>
      <c r="U49846" s="9"/>
      <c r="X49846" s="9"/>
    </row>
    <row r="49847">
      <c r="D49847" s="9"/>
      <c r="G49847" s="9"/>
      <c r="J49847" s="11"/>
      <c r="U49847" s="9"/>
      <c r="X49847" s="9"/>
    </row>
    <row r="49848">
      <c r="D49848" s="9"/>
      <c r="G49848" s="9"/>
      <c r="J49848" s="11"/>
      <c r="U49848" s="9"/>
      <c r="X49848" s="9"/>
    </row>
    <row r="49849">
      <c r="D49849" s="9"/>
      <c r="G49849" s="9"/>
      <c r="J49849" s="11"/>
      <c r="U49849" s="9"/>
      <c r="X49849" s="9"/>
    </row>
    <row r="49850">
      <c r="D49850" s="9"/>
      <c r="G49850" s="9"/>
      <c r="J49850" s="11"/>
      <c r="U49850" s="9"/>
      <c r="X49850" s="9"/>
    </row>
    <row r="49851">
      <c r="D49851" s="9"/>
      <c r="G49851" s="9"/>
      <c r="J49851" s="11"/>
      <c r="U49851" s="9"/>
      <c r="X49851" s="9"/>
    </row>
    <row r="49852">
      <c r="D49852" s="9"/>
      <c r="G49852" s="9"/>
      <c r="J49852" s="11"/>
      <c r="U49852" s="9"/>
      <c r="X49852" s="9"/>
    </row>
    <row r="49853">
      <c r="D49853" s="9"/>
      <c r="G49853" s="9"/>
      <c r="J49853" s="11"/>
      <c r="U49853" s="9"/>
      <c r="X49853" s="9"/>
    </row>
    <row r="49854">
      <c r="D49854" s="9"/>
      <c r="G49854" s="9"/>
      <c r="J49854" s="11"/>
      <c r="U49854" s="9"/>
      <c r="X49854" s="9"/>
    </row>
    <row r="49855">
      <c r="D49855" s="9"/>
      <c r="G49855" s="9"/>
      <c r="J49855" s="11"/>
      <c r="U49855" s="9"/>
      <c r="X49855" s="9"/>
    </row>
    <row r="49856">
      <c r="D49856" s="9"/>
      <c r="G49856" s="9"/>
      <c r="J49856" s="11"/>
      <c r="U49856" s="9"/>
      <c r="X49856" s="9"/>
    </row>
    <row r="49857">
      <c r="D49857" s="9"/>
      <c r="G49857" s="9"/>
      <c r="J49857" s="11"/>
      <c r="U49857" s="9"/>
      <c r="X49857" s="9"/>
    </row>
    <row r="49858">
      <c r="D49858" s="9"/>
      <c r="G49858" s="9"/>
      <c r="J49858" s="11"/>
      <c r="U49858" s="9"/>
      <c r="X49858" s="9"/>
    </row>
    <row r="49859">
      <c r="D49859" s="9"/>
      <c r="G49859" s="9"/>
      <c r="J49859" s="11"/>
      <c r="U49859" s="9"/>
      <c r="X49859" s="9"/>
    </row>
    <row r="49860">
      <c r="D49860" s="9"/>
      <c r="G49860" s="9"/>
      <c r="J49860" s="11"/>
      <c r="U49860" s="9"/>
      <c r="X49860" s="9"/>
    </row>
    <row r="49861">
      <c r="D49861" s="9"/>
      <c r="G49861" s="9"/>
      <c r="J49861" s="11"/>
      <c r="U49861" s="9"/>
      <c r="X49861" s="9"/>
    </row>
    <row r="49862">
      <c r="D49862" s="9"/>
      <c r="G49862" s="9"/>
      <c r="J49862" s="11"/>
      <c r="U49862" s="9"/>
      <c r="X49862" s="9"/>
    </row>
    <row r="49863">
      <c r="D49863" s="9"/>
      <c r="G49863" s="9"/>
      <c r="J49863" s="11"/>
      <c r="U49863" s="9"/>
      <c r="X49863" s="9"/>
    </row>
    <row r="49864">
      <c r="D49864" s="9"/>
      <c r="G49864" s="9"/>
      <c r="J49864" s="11"/>
      <c r="U49864" s="9"/>
      <c r="X49864" s="9"/>
    </row>
    <row r="49865">
      <c r="D49865" s="9"/>
      <c r="G49865" s="9"/>
      <c r="J49865" s="11"/>
      <c r="U49865" s="9"/>
      <c r="X49865" s="9"/>
    </row>
    <row r="49866">
      <c r="D49866" s="9"/>
      <c r="G49866" s="9"/>
      <c r="J49866" s="11"/>
      <c r="U49866" s="9"/>
      <c r="X49866" s="9"/>
    </row>
    <row r="49867">
      <c r="D49867" s="9"/>
      <c r="G49867" s="9"/>
      <c r="J49867" s="11"/>
      <c r="U49867" s="9"/>
      <c r="X49867" s="9"/>
    </row>
    <row r="49868">
      <c r="D49868" s="9"/>
      <c r="G49868" s="9"/>
      <c r="J49868" s="11"/>
      <c r="U49868" s="9"/>
      <c r="X49868" s="9"/>
    </row>
    <row r="49869">
      <c r="D49869" s="9"/>
      <c r="G49869" s="9"/>
      <c r="J49869" s="11"/>
      <c r="U49869" s="9"/>
      <c r="X49869" s="9"/>
    </row>
    <row r="49870">
      <c r="D49870" s="9"/>
      <c r="G49870" s="9"/>
      <c r="J49870" s="11"/>
      <c r="U49870" s="9"/>
      <c r="X49870" s="9"/>
    </row>
    <row r="49871">
      <c r="D49871" s="9"/>
      <c r="G49871" s="9"/>
      <c r="J49871" s="11"/>
      <c r="U49871" s="9"/>
      <c r="X49871" s="9"/>
    </row>
    <row r="49872">
      <c r="D49872" s="9"/>
      <c r="G49872" s="9"/>
      <c r="J49872" s="11"/>
      <c r="U49872" s="9"/>
      <c r="X49872" s="9"/>
    </row>
    <row r="49873">
      <c r="D49873" s="9"/>
      <c r="G49873" s="9"/>
      <c r="J49873" s="11"/>
      <c r="U49873" s="9"/>
      <c r="X49873" s="9"/>
    </row>
    <row r="49874">
      <c r="D49874" s="9"/>
      <c r="G49874" s="9"/>
      <c r="J49874" s="11"/>
      <c r="U49874" s="9"/>
      <c r="X49874" s="9"/>
    </row>
    <row r="49875">
      <c r="D49875" s="9"/>
      <c r="G49875" s="9"/>
      <c r="J49875" s="11"/>
      <c r="U49875" s="9"/>
      <c r="X49875" s="9"/>
    </row>
    <row r="49876">
      <c r="D49876" s="9"/>
      <c r="G49876" s="9"/>
      <c r="J49876" s="11"/>
      <c r="U49876" s="9"/>
      <c r="X49876" s="9"/>
    </row>
    <row r="49877">
      <c r="D49877" s="9"/>
      <c r="G49877" s="9"/>
      <c r="J49877" s="11"/>
      <c r="U49877" s="9"/>
      <c r="X49877" s="9"/>
    </row>
    <row r="49878">
      <c r="D49878" s="9"/>
      <c r="G49878" s="9"/>
      <c r="J49878" s="11"/>
      <c r="U49878" s="9"/>
      <c r="X49878" s="9"/>
    </row>
    <row r="49879">
      <c r="D49879" s="9"/>
      <c r="G49879" s="9"/>
      <c r="J49879" s="11"/>
      <c r="U49879" s="9"/>
      <c r="X49879" s="9"/>
    </row>
    <row r="49880">
      <c r="D49880" s="9"/>
      <c r="G49880" s="9"/>
      <c r="J49880" s="11"/>
      <c r="U49880" s="9"/>
      <c r="X49880" s="9"/>
    </row>
    <row r="49881">
      <c r="D49881" s="9"/>
      <c r="G49881" s="9"/>
      <c r="J49881" s="11"/>
      <c r="U49881" s="9"/>
      <c r="X49881" s="9"/>
    </row>
    <row r="49882">
      <c r="D49882" s="9"/>
      <c r="G49882" s="9"/>
      <c r="J49882" s="11"/>
      <c r="U49882" s="9"/>
      <c r="X49882" s="9"/>
    </row>
    <row r="49883">
      <c r="D49883" s="9"/>
      <c r="G49883" s="9"/>
      <c r="J49883" s="11"/>
      <c r="U49883" s="9"/>
      <c r="X49883" s="9"/>
    </row>
    <row r="49884">
      <c r="D49884" s="9"/>
      <c r="G49884" s="9"/>
      <c r="J49884" s="11"/>
      <c r="U49884" s="9"/>
      <c r="X49884" s="9"/>
    </row>
    <row r="49885">
      <c r="D49885" s="9"/>
      <c r="G49885" s="9"/>
      <c r="J49885" s="11"/>
      <c r="U49885" s="9"/>
      <c r="X49885" s="9"/>
    </row>
    <row r="49886">
      <c r="D49886" s="9"/>
      <c r="G49886" s="9"/>
      <c r="J49886" s="11"/>
      <c r="U49886" s="9"/>
      <c r="X49886" s="9"/>
    </row>
    <row r="49887">
      <c r="D49887" s="9"/>
      <c r="G49887" s="9"/>
      <c r="J49887" s="11"/>
      <c r="U49887" s="9"/>
      <c r="X49887" s="9"/>
    </row>
    <row r="49888">
      <c r="D49888" s="9"/>
      <c r="G49888" s="9"/>
      <c r="J49888" s="11"/>
      <c r="U49888" s="9"/>
      <c r="X49888" s="9"/>
    </row>
    <row r="49889">
      <c r="D49889" s="9"/>
      <c r="G49889" s="9"/>
      <c r="J49889" s="11"/>
      <c r="U49889" s="9"/>
      <c r="X49889" s="9"/>
    </row>
    <row r="49890">
      <c r="D49890" s="9"/>
      <c r="G49890" s="9"/>
      <c r="J49890" s="11"/>
      <c r="U49890" s="9"/>
      <c r="X49890" s="9"/>
    </row>
    <row r="49891">
      <c r="D49891" s="9"/>
      <c r="G49891" s="9"/>
      <c r="J49891" s="11"/>
      <c r="U49891" s="9"/>
      <c r="X49891" s="9"/>
    </row>
    <row r="49892">
      <c r="D49892" s="9"/>
      <c r="G49892" s="9"/>
      <c r="J49892" s="11"/>
      <c r="U49892" s="9"/>
      <c r="X49892" s="9"/>
    </row>
    <row r="49893">
      <c r="D49893" s="9"/>
      <c r="G49893" s="9"/>
      <c r="J49893" s="11"/>
      <c r="U49893" s="9"/>
      <c r="X49893" s="9"/>
    </row>
    <row r="49894">
      <c r="D49894" s="9"/>
      <c r="G49894" s="9"/>
      <c r="J49894" s="11"/>
      <c r="U49894" s="9"/>
      <c r="X49894" s="9"/>
    </row>
    <row r="49895">
      <c r="D49895" s="9"/>
      <c r="G49895" s="9"/>
      <c r="J49895" s="11"/>
      <c r="U49895" s="9"/>
      <c r="X49895" s="9"/>
    </row>
    <row r="49896">
      <c r="D49896" s="9"/>
      <c r="G49896" s="9"/>
      <c r="J49896" s="11"/>
      <c r="U49896" s="9"/>
      <c r="X49896" s="9"/>
    </row>
    <row r="49897">
      <c r="D49897" s="9"/>
      <c r="G49897" s="9"/>
      <c r="J49897" s="11"/>
      <c r="U49897" s="9"/>
      <c r="X49897" s="9"/>
    </row>
    <row r="49898">
      <c r="D49898" s="9"/>
      <c r="G49898" s="9"/>
      <c r="J49898" s="11"/>
      <c r="U49898" s="9"/>
      <c r="X49898" s="9"/>
    </row>
    <row r="49899">
      <c r="D49899" s="9"/>
      <c r="G49899" s="9"/>
      <c r="J49899" s="11"/>
      <c r="U49899" s="9"/>
      <c r="X49899" s="9"/>
    </row>
    <row r="49900">
      <c r="D49900" s="9"/>
      <c r="G49900" s="9"/>
      <c r="J49900" s="11"/>
      <c r="U49900" s="9"/>
      <c r="X49900" s="9"/>
    </row>
    <row r="49901">
      <c r="D49901" s="9"/>
      <c r="G49901" s="9"/>
      <c r="J49901" s="11"/>
      <c r="U49901" s="9"/>
      <c r="X49901" s="9"/>
    </row>
    <row r="49902">
      <c r="D49902" s="9"/>
      <c r="G49902" s="9"/>
      <c r="J49902" s="11"/>
      <c r="U49902" s="9"/>
      <c r="X49902" s="9"/>
    </row>
    <row r="49903">
      <c r="D49903" s="9"/>
      <c r="G49903" s="9"/>
      <c r="J49903" s="11"/>
      <c r="U49903" s="9"/>
      <c r="X49903" s="9"/>
    </row>
    <row r="49904">
      <c r="D49904" s="9"/>
      <c r="G49904" s="9"/>
      <c r="J49904" s="11"/>
      <c r="U49904" s="9"/>
      <c r="X49904" s="9"/>
    </row>
    <row r="49905">
      <c r="D49905" s="9"/>
      <c r="G49905" s="9"/>
      <c r="J49905" s="11"/>
      <c r="U49905" s="9"/>
      <c r="X49905" s="9"/>
    </row>
    <row r="49906">
      <c r="D49906" s="9"/>
      <c r="G49906" s="9"/>
      <c r="J49906" s="11"/>
      <c r="U49906" s="9"/>
      <c r="X49906" s="9"/>
    </row>
    <row r="49907">
      <c r="D49907" s="9"/>
      <c r="G49907" s="9"/>
      <c r="J49907" s="11"/>
      <c r="U49907" s="9"/>
      <c r="X49907" s="9"/>
    </row>
    <row r="49908">
      <c r="D49908" s="9"/>
      <c r="G49908" s="9"/>
      <c r="J49908" s="11"/>
      <c r="U49908" s="9"/>
      <c r="X49908" s="9"/>
    </row>
    <row r="49909">
      <c r="D49909" s="9"/>
      <c r="G49909" s="9"/>
      <c r="J49909" s="11"/>
      <c r="U49909" s="9"/>
      <c r="X49909" s="9"/>
    </row>
    <row r="49910">
      <c r="D49910" s="9"/>
      <c r="G49910" s="9"/>
      <c r="J49910" s="11"/>
      <c r="U49910" s="9"/>
      <c r="X49910" s="9"/>
    </row>
    <row r="49911">
      <c r="D49911" s="9"/>
      <c r="G49911" s="9"/>
      <c r="J49911" s="11"/>
      <c r="U49911" s="9"/>
      <c r="X49911" s="9"/>
    </row>
    <row r="49912">
      <c r="D49912" s="9"/>
      <c r="G49912" s="9"/>
      <c r="J49912" s="11"/>
      <c r="U49912" s="9"/>
      <c r="X49912" s="9"/>
    </row>
    <row r="49913">
      <c r="D49913" s="9"/>
      <c r="G49913" s="9"/>
      <c r="J49913" s="11"/>
      <c r="U49913" s="9"/>
      <c r="X49913" s="9"/>
    </row>
    <row r="49914">
      <c r="D49914" s="9"/>
      <c r="G49914" s="9"/>
      <c r="J49914" s="11"/>
      <c r="U49914" s="9"/>
      <c r="X49914" s="9"/>
    </row>
    <row r="49915">
      <c r="D49915" s="9"/>
      <c r="G49915" s="9"/>
      <c r="J49915" s="11"/>
      <c r="U49915" s="9"/>
      <c r="X49915" s="9"/>
    </row>
    <row r="49916">
      <c r="D49916" s="9"/>
      <c r="G49916" s="9"/>
      <c r="J49916" s="11"/>
      <c r="U49916" s="9"/>
      <c r="X49916" s="9"/>
    </row>
    <row r="49917">
      <c r="D49917" s="9"/>
      <c r="G49917" s="9"/>
      <c r="J49917" s="11"/>
      <c r="U49917" s="9"/>
      <c r="X49917" s="9"/>
    </row>
    <row r="49918">
      <c r="D49918" s="9"/>
      <c r="G49918" s="9"/>
      <c r="J49918" s="11"/>
      <c r="U49918" s="9"/>
      <c r="X49918" s="9"/>
    </row>
    <row r="49919">
      <c r="D49919" s="9"/>
      <c r="G49919" s="9"/>
      <c r="J49919" s="11"/>
      <c r="U49919" s="9"/>
      <c r="X49919" s="9"/>
    </row>
    <row r="49920">
      <c r="D49920" s="9"/>
      <c r="G49920" s="9"/>
      <c r="J49920" s="11"/>
      <c r="U49920" s="9"/>
      <c r="X49920" s="9"/>
    </row>
    <row r="49921">
      <c r="D49921" s="9"/>
      <c r="G49921" s="9"/>
      <c r="J49921" s="11"/>
      <c r="U49921" s="9"/>
      <c r="X49921" s="9"/>
    </row>
    <row r="49922">
      <c r="D49922" s="9"/>
      <c r="G49922" s="9"/>
      <c r="J49922" s="11"/>
      <c r="U49922" s="9"/>
      <c r="X49922" s="9"/>
    </row>
    <row r="49923">
      <c r="D49923" s="9"/>
      <c r="G49923" s="9"/>
      <c r="J49923" s="11"/>
      <c r="U49923" s="9"/>
      <c r="X49923" s="9"/>
    </row>
    <row r="49924">
      <c r="D49924" s="9"/>
      <c r="G49924" s="9"/>
      <c r="J49924" s="11"/>
      <c r="U49924" s="9"/>
      <c r="X49924" s="9"/>
    </row>
    <row r="49925">
      <c r="D49925" s="9"/>
      <c r="G49925" s="9"/>
      <c r="J49925" s="11"/>
      <c r="U49925" s="9"/>
      <c r="X49925" s="9"/>
    </row>
    <row r="49926">
      <c r="D49926" s="9"/>
      <c r="G49926" s="9"/>
      <c r="J49926" s="11"/>
      <c r="U49926" s="9"/>
      <c r="X49926" s="9"/>
    </row>
    <row r="49927">
      <c r="D49927" s="9"/>
      <c r="G49927" s="9"/>
      <c r="J49927" s="11"/>
      <c r="U49927" s="9"/>
      <c r="X49927" s="9"/>
    </row>
    <row r="49928">
      <c r="D49928" s="9"/>
      <c r="G49928" s="9"/>
      <c r="J49928" s="11"/>
      <c r="U49928" s="9"/>
      <c r="X49928" s="9"/>
    </row>
    <row r="49929">
      <c r="D49929" s="9"/>
      <c r="G49929" s="9"/>
      <c r="J49929" s="11"/>
      <c r="U49929" s="9"/>
      <c r="X49929" s="9"/>
    </row>
    <row r="49930">
      <c r="D49930" s="9"/>
      <c r="G49930" s="9"/>
      <c r="J49930" s="11"/>
      <c r="U49930" s="9"/>
      <c r="X49930" s="9"/>
    </row>
    <row r="49931">
      <c r="D49931" s="9"/>
      <c r="G49931" s="9"/>
      <c r="J49931" s="11"/>
      <c r="U49931" s="9"/>
      <c r="X49931" s="9"/>
    </row>
    <row r="49932">
      <c r="D49932" s="9"/>
      <c r="G49932" s="9"/>
      <c r="J49932" s="11"/>
      <c r="U49932" s="9"/>
      <c r="X49932" s="9"/>
    </row>
    <row r="49933">
      <c r="D49933" s="9"/>
      <c r="G49933" s="9"/>
      <c r="J49933" s="11"/>
      <c r="U49933" s="9"/>
      <c r="X49933" s="9"/>
    </row>
    <row r="49934">
      <c r="D49934" s="9"/>
      <c r="G49934" s="9"/>
      <c r="J49934" s="11"/>
      <c r="U49934" s="9"/>
      <c r="X49934" s="9"/>
    </row>
    <row r="49935">
      <c r="D49935" s="9"/>
      <c r="G49935" s="9"/>
      <c r="J49935" s="11"/>
      <c r="U49935" s="9"/>
      <c r="X49935" s="9"/>
    </row>
    <row r="49936">
      <c r="D49936" s="9"/>
      <c r="G49936" s="9"/>
      <c r="J49936" s="11"/>
      <c r="U49936" s="9"/>
      <c r="X49936" s="9"/>
    </row>
    <row r="49937">
      <c r="D49937" s="9"/>
      <c r="G49937" s="9"/>
      <c r="J49937" s="11"/>
      <c r="U49937" s="9"/>
      <c r="X49937" s="9"/>
    </row>
    <row r="49938">
      <c r="D49938" s="9"/>
      <c r="G49938" s="9"/>
      <c r="J49938" s="11"/>
      <c r="U49938" s="9"/>
      <c r="X49938" s="9"/>
    </row>
    <row r="49939">
      <c r="D49939" s="9"/>
      <c r="G49939" s="9"/>
      <c r="J49939" s="11"/>
      <c r="U49939" s="9"/>
      <c r="X49939" s="9"/>
    </row>
    <row r="49940">
      <c r="D49940" s="9"/>
      <c r="G49940" s="9"/>
      <c r="J49940" s="11"/>
      <c r="U49940" s="9"/>
      <c r="X49940" s="9"/>
    </row>
    <row r="49941">
      <c r="D49941" s="9"/>
      <c r="G49941" s="9"/>
      <c r="J49941" s="11"/>
      <c r="U49941" s="9"/>
      <c r="X49941" s="9"/>
    </row>
    <row r="49942">
      <c r="D49942" s="9"/>
      <c r="G49942" s="9"/>
      <c r="J49942" s="11"/>
      <c r="U49942" s="9"/>
      <c r="X49942" s="9"/>
    </row>
    <row r="49943">
      <c r="D49943" s="9"/>
      <c r="G49943" s="9"/>
      <c r="J49943" s="11"/>
      <c r="U49943" s="9"/>
      <c r="X49943" s="9"/>
    </row>
    <row r="49944">
      <c r="D49944" s="9"/>
      <c r="G49944" s="9"/>
      <c r="J49944" s="11"/>
      <c r="U49944" s="9"/>
      <c r="X49944" s="9"/>
    </row>
    <row r="49945">
      <c r="D49945" s="9"/>
      <c r="G49945" s="9"/>
      <c r="J49945" s="11"/>
      <c r="U49945" s="9"/>
      <c r="X49945" s="9"/>
    </row>
    <row r="49946">
      <c r="D49946" s="9"/>
      <c r="G49946" s="9"/>
      <c r="J49946" s="11"/>
      <c r="U49946" s="9"/>
      <c r="X49946" s="9"/>
    </row>
    <row r="49947">
      <c r="D49947" s="9"/>
      <c r="G49947" s="9"/>
      <c r="J49947" s="11"/>
      <c r="U49947" s="9"/>
      <c r="X49947" s="9"/>
    </row>
    <row r="49948">
      <c r="D49948" s="9"/>
      <c r="G49948" s="9"/>
      <c r="J49948" s="11"/>
      <c r="U49948" s="9"/>
      <c r="X49948" s="9"/>
    </row>
    <row r="49949">
      <c r="D49949" s="9"/>
      <c r="G49949" s="9"/>
      <c r="J49949" s="11"/>
      <c r="U49949" s="9"/>
      <c r="X49949" s="9"/>
    </row>
    <row r="49950">
      <c r="D49950" s="9"/>
      <c r="G49950" s="9"/>
      <c r="J49950" s="11"/>
      <c r="U49950" s="9"/>
      <c r="X49950" s="9"/>
    </row>
    <row r="49951">
      <c r="D49951" s="9"/>
      <c r="G49951" s="9"/>
      <c r="J49951" s="11"/>
      <c r="U49951" s="9"/>
      <c r="X49951" s="9"/>
    </row>
    <row r="49952">
      <c r="D49952" s="9"/>
      <c r="G49952" s="9"/>
      <c r="J49952" s="11"/>
      <c r="U49952" s="9"/>
      <c r="X49952" s="9"/>
    </row>
    <row r="49953">
      <c r="D49953" s="9"/>
      <c r="G49953" s="9"/>
      <c r="J49953" s="11"/>
      <c r="U49953" s="9"/>
      <c r="X49953" s="9"/>
    </row>
    <row r="49954">
      <c r="D49954" s="9"/>
      <c r="G49954" s="9"/>
      <c r="J49954" s="11"/>
      <c r="U49954" s="9"/>
      <c r="X49954" s="9"/>
    </row>
    <row r="49955">
      <c r="D49955" s="9"/>
      <c r="G49955" s="9"/>
      <c r="J49955" s="11"/>
      <c r="U49955" s="9"/>
      <c r="X49955" s="9"/>
    </row>
    <row r="49956">
      <c r="D49956" s="9"/>
      <c r="G49956" s="9"/>
      <c r="J49956" s="11"/>
      <c r="U49956" s="9"/>
      <c r="X49956" s="9"/>
    </row>
    <row r="49957">
      <c r="D49957" s="9"/>
      <c r="G49957" s="9"/>
      <c r="J49957" s="11"/>
      <c r="U49957" s="9"/>
      <c r="X49957" s="9"/>
    </row>
    <row r="49958">
      <c r="D49958" s="9"/>
      <c r="G49958" s="9"/>
      <c r="J49958" s="11"/>
      <c r="U49958" s="9"/>
      <c r="X49958" s="9"/>
    </row>
    <row r="49959">
      <c r="D49959" s="9"/>
      <c r="G49959" s="9"/>
      <c r="J49959" s="11"/>
      <c r="U49959" s="9"/>
      <c r="X49959" s="9"/>
    </row>
    <row r="49960">
      <c r="D49960" s="9"/>
      <c r="G49960" s="9"/>
      <c r="J49960" s="11"/>
      <c r="U49960" s="9"/>
      <c r="X49960" s="9"/>
    </row>
    <row r="49961">
      <c r="D49961" s="9"/>
      <c r="G49961" s="9"/>
      <c r="J49961" s="11"/>
      <c r="U49961" s="9"/>
      <c r="X49961" s="9"/>
    </row>
    <row r="49962">
      <c r="D49962" s="9"/>
      <c r="G49962" s="9"/>
      <c r="J49962" s="11"/>
      <c r="U49962" s="9"/>
      <c r="X49962" s="9"/>
    </row>
    <row r="49963">
      <c r="D49963" s="9"/>
      <c r="G49963" s="9"/>
      <c r="J49963" s="11"/>
      <c r="U49963" s="9"/>
      <c r="X49963" s="9"/>
    </row>
    <row r="49964">
      <c r="D49964" s="9"/>
      <c r="G49964" s="9"/>
      <c r="J49964" s="11"/>
      <c r="U49964" s="9"/>
      <c r="X49964" s="9"/>
    </row>
    <row r="49965">
      <c r="D49965" s="9"/>
      <c r="G49965" s="9"/>
      <c r="J49965" s="11"/>
      <c r="U49965" s="9"/>
      <c r="X49965" s="9"/>
    </row>
    <row r="49966">
      <c r="D49966" s="9"/>
      <c r="G49966" s="9"/>
      <c r="J49966" s="11"/>
      <c r="U49966" s="9"/>
      <c r="X49966" s="9"/>
    </row>
    <row r="49967">
      <c r="D49967" s="9"/>
      <c r="G49967" s="9"/>
      <c r="J49967" s="11"/>
      <c r="U49967" s="9"/>
      <c r="X49967" s="9"/>
    </row>
    <row r="49968">
      <c r="D49968" s="9"/>
      <c r="G49968" s="9"/>
      <c r="J49968" s="11"/>
      <c r="U49968" s="9"/>
      <c r="X49968" s="9"/>
    </row>
    <row r="49969">
      <c r="D49969" s="9"/>
      <c r="G49969" s="9"/>
      <c r="J49969" s="11"/>
      <c r="U49969" s="9"/>
      <c r="X49969" s="9"/>
    </row>
    <row r="49970">
      <c r="D49970" s="9"/>
      <c r="G49970" s="9"/>
      <c r="J49970" s="11"/>
      <c r="U49970" s="9"/>
      <c r="X49970" s="9"/>
    </row>
    <row r="49971">
      <c r="D49971" s="9"/>
      <c r="G49971" s="9"/>
      <c r="J49971" s="11"/>
      <c r="U49971" s="9"/>
      <c r="X49971" s="9"/>
    </row>
    <row r="49972">
      <c r="D49972" s="9"/>
      <c r="G49972" s="9"/>
      <c r="J49972" s="11"/>
      <c r="U49972" s="9"/>
      <c r="X49972" s="9"/>
    </row>
    <row r="49973">
      <c r="D49973" s="9"/>
      <c r="G49973" s="9"/>
      <c r="J49973" s="11"/>
      <c r="U49973" s="9"/>
      <c r="X49973" s="9"/>
    </row>
    <row r="49974">
      <c r="D49974" s="9"/>
      <c r="G49974" s="9"/>
      <c r="J49974" s="11"/>
      <c r="U49974" s="9"/>
      <c r="X49974" s="9"/>
    </row>
    <row r="49975">
      <c r="D49975" s="9"/>
      <c r="G49975" s="9"/>
      <c r="J49975" s="11"/>
      <c r="U49975" s="9"/>
      <c r="X49975" s="9"/>
    </row>
    <row r="49976">
      <c r="D49976" s="9"/>
      <c r="G49976" s="9"/>
      <c r="J49976" s="11"/>
      <c r="U49976" s="9"/>
      <c r="X49976" s="9"/>
    </row>
    <row r="49977">
      <c r="D49977" s="9"/>
      <c r="G49977" s="9"/>
      <c r="J49977" s="11"/>
      <c r="U49977" s="9"/>
      <c r="X49977" s="9"/>
    </row>
    <row r="49978">
      <c r="D49978" s="9"/>
      <c r="G49978" s="9"/>
      <c r="J49978" s="11"/>
      <c r="U49978" s="9"/>
      <c r="X49978" s="9"/>
    </row>
    <row r="49979">
      <c r="D49979" s="9"/>
      <c r="G49979" s="9"/>
      <c r="J49979" s="11"/>
      <c r="U49979" s="9"/>
      <c r="X49979" s="9"/>
    </row>
    <row r="49980">
      <c r="D49980" s="9"/>
      <c r="G49980" s="9"/>
      <c r="J49980" s="11"/>
      <c r="U49980" s="9"/>
      <c r="X49980" s="9"/>
    </row>
    <row r="49981">
      <c r="D49981" s="9"/>
      <c r="G49981" s="9"/>
      <c r="J49981" s="11"/>
      <c r="U49981" s="9"/>
      <c r="X49981" s="9"/>
    </row>
    <row r="49982">
      <c r="D49982" s="9"/>
      <c r="G49982" s="9"/>
      <c r="J49982" s="11"/>
      <c r="U49982" s="9"/>
      <c r="X49982" s="9"/>
    </row>
    <row r="49983">
      <c r="D49983" s="9"/>
      <c r="G49983" s="9"/>
      <c r="J49983" s="11"/>
      <c r="U49983" s="9"/>
      <c r="X49983" s="9"/>
    </row>
    <row r="49984">
      <c r="D49984" s="9"/>
      <c r="G49984" s="9"/>
      <c r="J49984" s="11"/>
      <c r="U49984" s="9"/>
      <c r="X49984" s="9"/>
    </row>
    <row r="49985">
      <c r="D49985" s="9"/>
      <c r="G49985" s="9"/>
      <c r="J49985" s="11"/>
      <c r="U49985" s="9"/>
      <c r="X49985" s="9"/>
    </row>
    <row r="49986">
      <c r="D49986" s="9"/>
      <c r="G49986" s="9"/>
      <c r="J49986" s="11"/>
      <c r="U49986" s="9"/>
      <c r="X49986" s="9"/>
    </row>
    <row r="49987">
      <c r="D49987" s="9"/>
      <c r="G49987" s="9"/>
      <c r="J49987" s="11"/>
      <c r="U49987" s="9"/>
      <c r="X49987" s="9"/>
    </row>
    <row r="49988">
      <c r="D49988" s="9"/>
      <c r="G49988" s="9"/>
      <c r="J49988" s="11"/>
      <c r="U49988" s="9"/>
      <c r="X49988" s="9"/>
    </row>
    <row r="49989">
      <c r="D49989" s="9"/>
      <c r="G49989" s="9"/>
      <c r="J49989" s="11"/>
      <c r="U49989" s="9"/>
      <c r="X49989" s="9"/>
    </row>
    <row r="49990">
      <c r="D49990" s="9"/>
      <c r="G49990" s="9"/>
      <c r="J49990" s="11"/>
      <c r="U49990" s="9"/>
      <c r="X49990" s="9"/>
    </row>
    <row r="49991">
      <c r="D49991" s="9"/>
      <c r="G49991" s="9"/>
      <c r="J49991" s="11"/>
      <c r="U49991" s="9"/>
      <c r="X49991" s="9"/>
    </row>
    <row r="49992">
      <c r="D49992" s="9"/>
      <c r="G49992" s="9"/>
      <c r="J49992" s="11"/>
      <c r="U49992" s="9"/>
      <c r="X49992" s="9"/>
    </row>
    <row r="49993">
      <c r="D49993" s="9"/>
      <c r="G49993" s="9"/>
      <c r="J49993" s="11"/>
      <c r="U49993" s="9"/>
      <c r="X49993" s="9"/>
    </row>
    <row r="49994">
      <c r="D49994" s="9"/>
      <c r="G49994" s="9"/>
      <c r="J49994" s="11"/>
      <c r="U49994" s="9"/>
      <c r="X49994" s="9"/>
    </row>
    <row r="49995">
      <c r="D49995" s="9"/>
      <c r="G49995" s="9"/>
      <c r="J49995" s="11"/>
      <c r="U49995" s="9"/>
      <c r="X49995" s="9"/>
    </row>
    <row r="49996">
      <c r="D49996" s="9"/>
      <c r="G49996" s="9"/>
      <c r="J49996" s="11"/>
      <c r="U49996" s="9"/>
      <c r="X49996" s="9"/>
    </row>
    <row r="49997">
      <c r="D49997" s="9"/>
      <c r="G49997" s="9"/>
      <c r="J49997" s="11"/>
      <c r="U49997" s="9"/>
      <c r="X49997" s="9"/>
    </row>
    <row r="49998">
      <c r="D49998" s="9"/>
      <c r="G49998" s="9"/>
      <c r="J49998" s="11"/>
      <c r="U49998" s="9"/>
      <c r="X49998" s="9"/>
    </row>
    <row r="49999">
      <c r="D49999" s="9"/>
      <c r="G49999" s="9"/>
      <c r="J49999" s="11"/>
      <c r="U49999" s="9"/>
      <c r="X49999" s="9"/>
    </row>
    <row r="50000">
      <c r="D50000" s="9"/>
      <c r="G50000" s="9"/>
      <c r="J50000" s="11"/>
      <c r="U50000" s="9"/>
      <c r="X50000" s="9"/>
    </row>
    <row r="50001">
      <c r="D50001" s="9"/>
      <c r="G50001" s="9"/>
      <c r="J50001" s="11"/>
      <c r="U50001" s="9"/>
      <c r="X50001" s="9"/>
    </row>
    <row r="50002">
      <c r="D50002" s="9"/>
      <c r="G50002" s="9"/>
      <c r="J50002" s="11"/>
      <c r="U50002" s="9"/>
      <c r="X50002" s="9"/>
    </row>
    <row r="50003">
      <c r="D50003" s="9"/>
      <c r="G50003" s="9"/>
      <c r="J50003" s="11"/>
      <c r="U50003" s="9"/>
      <c r="X50003" s="9"/>
    </row>
    <row r="50004">
      <c r="D50004" s="9"/>
      <c r="G50004" s="9"/>
      <c r="J50004" s="11"/>
      <c r="U50004" s="9"/>
      <c r="X50004" s="9"/>
    </row>
    <row r="50005">
      <c r="D50005" s="9"/>
      <c r="G50005" s="9"/>
      <c r="J50005" s="11"/>
      <c r="U50005" s="9"/>
      <c r="X50005" s="9"/>
    </row>
    <row r="50006">
      <c r="D50006" s="9"/>
      <c r="G50006" s="9"/>
      <c r="J50006" s="11"/>
      <c r="U50006" s="9"/>
      <c r="X50006" s="9"/>
    </row>
    <row r="50007">
      <c r="D50007" s="9"/>
      <c r="G50007" s="9"/>
      <c r="J50007" s="11"/>
      <c r="U50007" s="9"/>
      <c r="X50007" s="9"/>
    </row>
    <row r="50008">
      <c r="D50008" s="9"/>
      <c r="G50008" s="9"/>
      <c r="J50008" s="11"/>
      <c r="U50008" s="9"/>
      <c r="X50008" s="9"/>
    </row>
    <row r="50009">
      <c r="D50009" s="9"/>
      <c r="G50009" s="9"/>
      <c r="J50009" s="11"/>
      <c r="U50009" s="9"/>
      <c r="X50009" s="9"/>
    </row>
    <row r="50010">
      <c r="D50010" s="9"/>
      <c r="G50010" s="9"/>
      <c r="J50010" s="11"/>
      <c r="U50010" s="9"/>
      <c r="X50010" s="9"/>
    </row>
    <row r="50011">
      <c r="D50011" s="9"/>
      <c r="G50011" s="9"/>
      <c r="J50011" s="11"/>
      <c r="U50011" s="9"/>
      <c r="X50011" s="9"/>
    </row>
    <row r="50012">
      <c r="D50012" s="9"/>
      <c r="G50012" s="9"/>
      <c r="J50012" s="11"/>
      <c r="U50012" s="9"/>
      <c r="X50012" s="9"/>
    </row>
    <row r="50013">
      <c r="D50013" s="9"/>
      <c r="G50013" s="9"/>
      <c r="J50013" s="11"/>
      <c r="U50013" s="9"/>
      <c r="X50013" s="9"/>
    </row>
    <row r="50014">
      <c r="D50014" s="9"/>
      <c r="G50014" s="9"/>
      <c r="J50014" s="11"/>
      <c r="U50014" s="9"/>
      <c r="X50014" s="9"/>
    </row>
    <row r="50015">
      <c r="D50015" s="9"/>
      <c r="G50015" s="9"/>
      <c r="J50015" s="11"/>
      <c r="U50015" s="9"/>
      <c r="X50015" s="9"/>
    </row>
    <row r="50016">
      <c r="D50016" s="9"/>
      <c r="G50016" s="9"/>
      <c r="J50016" s="11"/>
      <c r="U50016" s="9"/>
      <c r="X50016" s="9"/>
    </row>
    <row r="50017">
      <c r="D50017" s="9"/>
      <c r="G50017" s="9"/>
      <c r="J50017" s="11"/>
      <c r="U50017" s="9"/>
      <c r="X50017" s="9"/>
    </row>
    <row r="50018">
      <c r="D50018" s="9"/>
      <c r="G50018" s="9"/>
      <c r="J50018" s="11"/>
      <c r="U50018" s="9"/>
      <c r="X50018" s="9"/>
    </row>
    <row r="50019">
      <c r="D50019" s="9"/>
      <c r="G50019" s="9"/>
      <c r="J50019" s="11"/>
      <c r="U50019" s="9"/>
      <c r="X50019" s="9"/>
    </row>
    <row r="50020">
      <c r="D50020" s="9"/>
      <c r="G50020" s="9"/>
      <c r="J50020" s="11"/>
      <c r="U50020" s="9"/>
      <c r="X50020" s="9"/>
    </row>
    <row r="50021">
      <c r="D50021" s="9"/>
      <c r="G50021" s="9"/>
      <c r="J50021" s="11"/>
      <c r="U50021" s="9"/>
      <c r="X50021" s="9"/>
    </row>
    <row r="50022">
      <c r="D50022" s="9"/>
      <c r="G50022" s="9"/>
      <c r="J50022" s="11"/>
      <c r="U50022" s="9"/>
      <c r="X50022" s="9"/>
    </row>
    <row r="50023">
      <c r="D50023" s="9"/>
      <c r="G50023" s="9"/>
      <c r="J50023" s="11"/>
      <c r="U50023" s="9"/>
      <c r="X50023" s="9"/>
    </row>
    <row r="50024">
      <c r="D50024" s="9"/>
      <c r="G50024" s="9"/>
      <c r="J50024" s="11"/>
      <c r="U50024" s="9"/>
      <c r="X50024" s="9"/>
    </row>
    <row r="50025">
      <c r="D50025" s="9"/>
      <c r="G50025" s="9"/>
      <c r="J50025" s="11"/>
      <c r="U50025" s="9"/>
      <c r="X50025" s="9"/>
    </row>
    <row r="50026">
      <c r="D50026" s="9"/>
      <c r="G50026" s="9"/>
      <c r="J50026" s="11"/>
      <c r="U50026" s="9"/>
      <c r="X50026" s="9"/>
    </row>
    <row r="50027">
      <c r="D50027" s="9"/>
      <c r="G50027" s="9"/>
      <c r="J50027" s="11"/>
      <c r="U50027" s="9"/>
      <c r="X50027" s="9"/>
    </row>
    <row r="50028">
      <c r="D50028" s="9"/>
      <c r="G50028" s="9"/>
      <c r="J50028" s="11"/>
      <c r="U50028" s="9"/>
      <c r="X50028" s="9"/>
    </row>
    <row r="50029">
      <c r="D50029" s="9"/>
      <c r="G50029" s="9"/>
      <c r="J50029" s="11"/>
      <c r="U50029" s="9"/>
      <c r="X50029" s="9"/>
    </row>
    <row r="50030">
      <c r="D50030" s="9"/>
      <c r="G50030" s="9"/>
      <c r="J50030" s="11"/>
      <c r="U50030" s="9"/>
      <c r="X50030" s="9"/>
    </row>
    <row r="50031">
      <c r="D50031" s="9"/>
      <c r="G50031" s="9"/>
      <c r="J50031" s="11"/>
      <c r="U50031" s="9"/>
      <c r="X50031" s="9"/>
    </row>
    <row r="50032">
      <c r="D50032" s="9"/>
      <c r="G50032" s="9"/>
      <c r="J50032" s="11"/>
      <c r="U50032" s="9"/>
      <c r="X50032" s="9"/>
    </row>
    <row r="50033">
      <c r="D50033" s="9"/>
      <c r="G50033" s="9"/>
      <c r="J50033" s="11"/>
      <c r="U50033" s="9"/>
      <c r="X50033" s="9"/>
    </row>
    <row r="50034">
      <c r="D50034" s="9"/>
      <c r="G50034" s="9"/>
      <c r="J50034" s="11"/>
      <c r="U50034" s="9"/>
      <c r="X50034" s="9"/>
    </row>
    <row r="50035">
      <c r="D50035" s="9"/>
      <c r="G50035" s="9"/>
      <c r="J50035" s="11"/>
      <c r="U50035" s="9"/>
      <c r="X50035" s="9"/>
    </row>
    <row r="50036">
      <c r="D50036" s="9"/>
      <c r="G50036" s="9"/>
      <c r="J50036" s="11"/>
      <c r="U50036" s="9"/>
      <c r="X50036" s="9"/>
    </row>
    <row r="50037">
      <c r="D50037" s="9"/>
      <c r="G50037" s="9"/>
      <c r="J50037" s="11"/>
      <c r="U50037" s="9"/>
      <c r="X50037" s="9"/>
    </row>
    <row r="50038">
      <c r="D50038" s="9"/>
      <c r="G50038" s="9"/>
      <c r="J50038" s="11"/>
      <c r="U50038" s="9"/>
      <c r="X50038" s="9"/>
    </row>
    <row r="50039">
      <c r="D50039" s="9"/>
      <c r="G50039" s="9"/>
      <c r="J50039" s="11"/>
      <c r="U50039" s="9"/>
      <c r="X50039" s="9"/>
    </row>
    <row r="50040">
      <c r="D50040" s="9"/>
      <c r="G50040" s="9"/>
      <c r="J50040" s="11"/>
      <c r="U50040" s="9"/>
      <c r="X50040" s="9"/>
    </row>
    <row r="50041">
      <c r="D50041" s="9"/>
      <c r="G50041" s="9"/>
      <c r="J50041" s="11"/>
      <c r="U50041" s="9"/>
      <c r="X50041" s="9"/>
    </row>
    <row r="50042">
      <c r="D50042" s="9"/>
      <c r="G50042" s="9"/>
      <c r="J50042" s="11"/>
      <c r="U50042" s="9"/>
      <c r="X50042" s="9"/>
    </row>
    <row r="50043">
      <c r="D50043" s="9"/>
      <c r="G50043" s="9"/>
      <c r="J50043" s="11"/>
      <c r="U50043" s="9"/>
      <c r="X50043" s="9"/>
    </row>
    <row r="50044">
      <c r="D50044" s="9"/>
      <c r="G50044" s="9"/>
      <c r="J50044" s="11"/>
      <c r="U50044" s="9"/>
      <c r="X50044" s="9"/>
    </row>
    <row r="50045">
      <c r="D50045" s="9"/>
      <c r="G50045" s="9"/>
      <c r="J50045" s="11"/>
      <c r="U50045" s="9"/>
      <c r="X50045" s="9"/>
    </row>
    <row r="50046">
      <c r="D50046" s="9"/>
      <c r="G50046" s="9"/>
      <c r="J50046" s="11"/>
      <c r="U50046" s="9"/>
      <c r="X50046" s="9"/>
    </row>
    <row r="50047">
      <c r="D50047" s="9"/>
      <c r="G50047" s="9"/>
      <c r="J50047" s="11"/>
      <c r="U50047" s="9"/>
      <c r="X50047" s="9"/>
    </row>
    <row r="50048">
      <c r="D50048" s="9"/>
      <c r="G50048" s="9"/>
      <c r="J50048" s="11"/>
      <c r="U50048" s="9"/>
      <c r="X50048" s="9"/>
    </row>
    <row r="50049">
      <c r="D50049" s="9"/>
      <c r="G50049" s="9"/>
      <c r="J50049" s="11"/>
      <c r="U50049" s="9"/>
      <c r="X50049" s="9"/>
    </row>
    <row r="50050">
      <c r="D50050" s="9"/>
      <c r="G50050" s="9"/>
      <c r="J50050" s="11"/>
      <c r="U50050" s="9"/>
      <c r="X50050" s="9"/>
    </row>
    <row r="50051">
      <c r="D50051" s="9"/>
      <c r="G50051" s="9"/>
      <c r="J50051" s="11"/>
      <c r="U50051" s="9"/>
      <c r="X50051" s="9"/>
    </row>
    <row r="50052">
      <c r="D50052" s="9"/>
      <c r="G50052" s="9"/>
      <c r="J50052" s="11"/>
      <c r="U50052" s="9"/>
      <c r="X50052" s="9"/>
    </row>
    <row r="50053">
      <c r="D50053" s="9"/>
      <c r="G50053" s="9"/>
      <c r="J50053" s="11"/>
      <c r="U50053" s="9"/>
      <c r="X50053" s="9"/>
    </row>
    <row r="50054">
      <c r="D50054" s="9"/>
      <c r="G50054" s="9"/>
      <c r="J50054" s="11"/>
      <c r="U50054" s="9"/>
      <c r="X50054" s="9"/>
    </row>
    <row r="50055">
      <c r="D50055" s="9"/>
      <c r="G50055" s="9"/>
      <c r="J50055" s="11"/>
      <c r="U50055" s="9"/>
      <c r="X50055" s="9"/>
    </row>
    <row r="50056">
      <c r="D50056" s="9"/>
      <c r="G50056" s="9"/>
      <c r="J50056" s="11"/>
      <c r="U50056" s="9"/>
      <c r="X50056" s="9"/>
    </row>
    <row r="50057">
      <c r="D50057" s="9"/>
      <c r="G50057" s="9"/>
      <c r="J50057" s="11"/>
      <c r="U50057" s="9"/>
      <c r="X50057" s="9"/>
    </row>
    <row r="50058">
      <c r="D50058" s="9"/>
      <c r="G50058" s="9"/>
      <c r="J50058" s="11"/>
      <c r="U50058" s="9"/>
      <c r="X50058" s="9"/>
    </row>
    <row r="50059">
      <c r="D50059" s="9"/>
      <c r="G50059" s="9"/>
      <c r="J50059" s="11"/>
      <c r="U50059" s="9"/>
      <c r="X50059" s="9"/>
    </row>
    <row r="50060">
      <c r="D50060" s="9"/>
      <c r="G50060" s="9"/>
      <c r="J50060" s="11"/>
      <c r="U50060" s="9"/>
      <c r="X50060" s="9"/>
    </row>
    <row r="50061">
      <c r="D50061" s="9"/>
      <c r="G50061" s="9"/>
      <c r="J50061" s="11"/>
      <c r="U50061" s="9"/>
      <c r="X50061" s="9"/>
    </row>
    <row r="50062">
      <c r="D50062" s="9"/>
      <c r="G50062" s="9"/>
      <c r="J50062" s="11"/>
      <c r="U50062" s="9"/>
      <c r="X50062" s="9"/>
    </row>
    <row r="50063">
      <c r="D50063" s="9"/>
      <c r="G50063" s="9"/>
      <c r="J50063" s="11"/>
      <c r="U50063" s="9"/>
      <c r="X50063" s="9"/>
    </row>
    <row r="50064">
      <c r="D50064" s="9"/>
      <c r="G50064" s="9"/>
      <c r="J50064" s="11"/>
      <c r="U50064" s="9"/>
      <c r="X50064" s="9"/>
    </row>
    <row r="50065">
      <c r="D50065" s="9"/>
      <c r="G50065" s="9"/>
      <c r="J50065" s="11"/>
      <c r="U50065" s="9"/>
      <c r="X50065" s="9"/>
    </row>
    <row r="50066">
      <c r="D50066" s="9"/>
      <c r="G50066" s="9"/>
      <c r="J50066" s="11"/>
      <c r="U50066" s="9"/>
      <c r="X50066" s="9"/>
    </row>
    <row r="50067">
      <c r="D50067" s="9"/>
      <c r="G50067" s="9"/>
      <c r="J50067" s="11"/>
      <c r="U50067" s="9"/>
      <c r="X50067" s="9"/>
    </row>
    <row r="50068">
      <c r="D50068" s="9"/>
      <c r="G50068" s="9"/>
      <c r="J50068" s="11"/>
      <c r="U50068" s="9"/>
      <c r="X50068" s="9"/>
    </row>
    <row r="50069">
      <c r="D50069" s="9"/>
      <c r="G50069" s="9"/>
      <c r="J50069" s="11"/>
      <c r="U50069" s="9"/>
      <c r="X50069" s="9"/>
    </row>
    <row r="50070">
      <c r="D50070" s="9"/>
      <c r="G50070" s="9"/>
      <c r="J50070" s="11"/>
      <c r="U50070" s="9"/>
      <c r="X50070" s="9"/>
    </row>
    <row r="50071">
      <c r="D50071" s="9"/>
      <c r="G50071" s="9"/>
      <c r="J50071" s="11"/>
      <c r="U50071" s="9"/>
      <c r="X50071" s="9"/>
    </row>
    <row r="50072">
      <c r="D50072" s="9"/>
      <c r="G50072" s="9"/>
      <c r="J50072" s="11"/>
      <c r="U50072" s="9"/>
      <c r="X50072" s="9"/>
    </row>
    <row r="50073">
      <c r="D50073" s="9"/>
      <c r="G50073" s="9"/>
      <c r="J50073" s="11"/>
      <c r="U50073" s="9"/>
      <c r="X50073" s="9"/>
    </row>
    <row r="50074">
      <c r="D50074" s="9"/>
      <c r="G50074" s="9"/>
      <c r="J50074" s="11"/>
      <c r="U50074" s="9"/>
      <c r="X50074" s="9"/>
    </row>
    <row r="50075">
      <c r="D50075" s="9"/>
      <c r="G50075" s="9"/>
      <c r="J50075" s="11"/>
      <c r="U50075" s="9"/>
      <c r="X50075" s="9"/>
    </row>
    <row r="50076">
      <c r="D50076" s="9"/>
      <c r="G50076" s="9"/>
      <c r="J50076" s="11"/>
      <c r="U50076" s="9"/>
      <c r="X50076" s="9"/>
    </row>
    <row r="50077">
      <c r="D50077" s="9"/>
      <c r="G50077" s="9"/>
      <c r="J50077" s="11"/>
      <c r="U50077" s="9"/>
      <c r="X50077" s="9"/>
    </row>
    <row r="50078">
      <c r="D50078" s="9"/>
      <c r="G50078" s="9"/>
      <c r="J50078" s="11"/>
      <c r="U50078" s="9"/>
      <c r="X50078" s="9"/>
    </row>
    <row r="50079">
      <c r="D50079" s="9"/>
      <c r="G50079" s="9"/>
      <c r="J50079" s="11"/>
      <c r="U50079" s="9"/>
      <c r="X50079" s="9"/>
    </row>
    <row r="50080">
      <c r="D50080" s="9"/>
      <c r="G50080" s="9"/>
      <c r="J50080" s="11"/>
      <c r="U50080" s="9"/>
      <c r="X50080" s="9"/>
    </row>
    <row r="50081">
      <c r="D50081" s="9"/>
      <c r="G50081" s="9"/>
      <c r="J50081" s="11"/>
      <c r="U50081" s="9"/>
      <c r="X50081" s="9"/>
    </row>
    <row r="50082">
      <c r="D50082" s="9"/>
      <c r="G50082" s="9"/>
      <c r="J50082" s="11"/>
      <c r="U50082" s="9"/>
      <c r="X50082" s="9"/>
    </row>
    <row r="50083">
      <c r="D50083" s="9"/>
      <c r="G50083" s="9"/>
      <c r="J50083" s="11"/>
      <c r="U50083" s="9"/>
      <c r="X50083" s="9"/>
    </row>
    <row r="50084">
      <c r="D50084" s="9"/>
      <c r="G50084" s="9"/>
      <c r="J50084" s="11"/>
      <c r="U50084" s="9"/>
      <c r="X50084" s="9"/>
    </row>
    <row r="50085">
      <c r="D50085" s="9"/>
      <c r="G50085" s="9"/>
      <c r="J50085" s="11"/>
      <c r="U50085" s="9"/>
      <c r="X50085" s="9"/>
    </row>
    <row r="50086">
      <c r="D50086" s="9"/>
      <c r="G50086" s="9"/>
      <c r="J50086" s="11"/>
      <c r="U50086" s="9"/>
      <c r="X50086" s="9"/>
    </row>
    <row r="50087">
      <c r="D50087" s="9"/>
      <c r="G50087" s="9"/>
      <c r="J50087" s="11"/>
      <c r="U50087" s="9"/>
      <c r="X50087" s="9"/>
    </row>
    <row r="50088">
      <c r="D50088" s="9"/>
      <c r="G50088" s="9"/>
      <c r="J50088" s="11"/>
      <c r="U50088" s="9"/>
      <c r="X50088" s="9"/>
    </row>
    <row r="50089">
      <c r="D50089" s="9"/>
      <c r="G50089" s="9"/>
      <c r="J50089" s="11"/>
      <c r="U50089" s="9"/>
      <c r="X50089" s="9"/>
    </row>
    <row r="50090">
      <c r="D50090" s="9"/>
      <c r="G50090" s="9"/>
      <c r="J50090" s="11"/>
      <c r="U50090" s="9"/>
      <c r="X50090" s="9"/>
    </row>
    <row r="50091">
      <c r="D50091" s="9"/>
      <c r="G50091" s="9"/>
      <c r="J50091" s="11"/>
      <c r="U50091" s="9"/>
      <c r="X50091" s="9"/>
    </row>
    <row r="50092">
      <c r="D50092" s="9"/>
      <c r="G50092" s="9"/>
      <c r="J50092" s="11"/>
      <c r="U50092" s="9"/>
      <c r="X50092" s="9"/>
    </row>
    <row r="50093">
      <c r="D50093" s="9"/>
      <c r="G50093" s="9"/>
      <c r="J50093" s="11"/>
      <c r="U50093" s="9"/>
      <c r="X50093" s="9"/>
    </row>
    <row r="50094">
      <c r="D50094" s="9"/>
      <c r="G50094" s="9"/>
      <c r="J50094" s="11"/>
      <c r="U50094" s="9"/>
      <c r="X50094" s="9"/>
    </row>
    <row r="50095">
      <c r="D50095" s="9"/>
      <c r="G50095" s="9"/>
      <c r="J50095" s="11"/>
      <c r="U50095" s="9"/>
      <c r="X50095" s="9"/>
    </row>
    <row r="50096">
      <c r="D50096" s="9"/>
      <c r="G50096" s="9"/>
      <c r="J50096" s="11"/>
      <c r="U50096" s="9"/>
      <c r="X50096" s="9"/>
    </row>
    <row r="50097">
      <c r="D50097" s="9"/>
      <c r="G50097" s="9"/>
      <c r="J50097" s="11"/>
      <c r="U50097" s="9"/>
      <c r="X50097" s="9"/>
    </row>
    <row r="50098">
      <c r="D50098" s="9"/>
      <c r="G50098" s="9"/>
      <c r="J50098" s="11"/>
      <c r="U50098" s="9"/>
      <c r="X50098" s="9"/>
    </row>
    <row r="50099">
      <c r="D50099" s="9"/>
      <c r="G50099" s="9"/>
      <c r="J50099" s="11"/>
      <c r="U50099" s="9"/>
      <c r="X50099" s="9"/>
    </row>
    <row r="50100">
      <c r="D50100" s="9"/>
      <c r="G50100" s="9"/>
      <c r="J50100" s="11"/>
      <c r="U50100" s="9"/>
      <c r="X50100" s="9"/>
    </row>
    <row r="50101">
      <c r="D50101" s="9"/>
      <c r="G50101" s="9"/>
      <c r="J50101" s="11"/>
      <c r="U50101" s="9"/>
      <c r="X50101" s="9"/>
    </row>
    <row r="50102">
      <c r="D50102" s="9"/>
      <c r="G50102" s="9"/>
      <c r="J50102" s="11"/>
      <c r="U50102" s="9"/>
      <c r="X50102" s="9"/>
    </row>
    <row r="50103">
      <c r="D50103" s="9"/>
      <c r="G50103" s="9"/>
      <c r="J50103" s="11"/>
      <c r="U50103" s="9"/>
      <c r="X50103" s="9"/>
    </row>
    <row r="50104">
      <c r="D50104" s="9"/>
      <c r="G50104" s="9"/>
      <c r="J50104" s="11"/>
      <c r="U50104" s="9"/>
      <c r="X50104" s="9"/>
    </row>
    <row r="50105">
      <c r="D50105" s="9"/>
      <c r="G50105" s="9"/>
      <c r="J50105" s="11"/>
      <c r="U50105" s="9"/>
      <c r="X50105" s="9"/>
    </row>
    <row r="50106">
      <c r="D50106" s="9"/>
      <c r="G50106" s="9"/>
      <c r="J50106" s="11"/>
      <c r="U50106" s="9"/>
      <c r="X50106" s="9"/>
    </row>
    <row r="50107">
      <c r="D50107" s="9"/>
      <c r="G50107" s="9"/>
      <c r="J50107" s="11"/>
      <c r="U50107" s="9"/>
      <c r="X50107" s="9"/>
    </row>
    <row r="50108">
      <c r="D50108" s="9"/>
      <c r="G50108" s="9"/>
      <c r="J50108" s="11"/>
      <c r="U50108" s="9"/>
      <c r="X50108" s="9"/>
    </row>
    <row r="50109">
      <c r="D50109" s="9"/>
      <c r="G50109" s="9"/>
      <c r="J50109" s="11"/>
      <c r="U50109" s="9"/>
      <c r="X50109" s="9"/>
    </row>
    <row r="50110">
      <c r="D50110" s="9"/>
      <c r="G50110" s="9"/>
      <c r="J50110" s="11"/>
      <c r="U50110" s="9"/>
      <c r="X50110" s="9"/>
    </row>
    <row r="50111">
      <c r="D50111" s="9"/>
      <c r="G50111" s="9"/>
      <c r="J50111" s="11"/>
      <c r="U50111" s="9"/>
      <c r="X50111" s="9"/>
    </row>
    <row r="50112">
      <c r="D50112" s="9"/>
      <c r="G50112" s="9"/>
      <c r="J50112" s="11"/>
      <c r="U50112" s="9"/>
      <c r="X50112" s="9"/>
    </row>
    <row r="50113">
      <c r="D50113" s="9"/>
      <c r="G50113" s="9"/>
      <c r="J50113" s="11"/>
      <c r="U50113" s="9"/>
      <c r="X50113" s="9"/>
    </row>
    <row r="50114">
      <c r="D50114" s="9"/>
      <c r="G50114" s="9"/>
      <c r="J50114" s="11"/>
      <c r="U50114" s="9"/>
      <c r="X50114" s="9"/>
    </row>
    <row r="50115">
      <c r="D50115" s="9"/>
      <c r="G50115" s="9"/>
      <c r="J50115" s="11"/>
      <c r="U50115" s="9"/>
      <c r="X50115" s="9"/>
    </row>
    <row r="50116">
      <c r="D50116" s="9"/>
      <c r="G50116" s="9"/>
      <c r="J50116" s="11"/>
      <c r="U50116" s="9"/>
      <c r="X50116" s="9"/>
    </row>
    <row r="50117">
      <c r="D50117" s="9"/>
      <c r="G50117" s="9"/>
      <c r="J50117" s="11"/>
      <c r="U50117" s="9"/>
      <c r="X50117" s="9"/>
    </row>
    <row r="50118">
      <c r="D50118" s="9"/>
      <c r="G50118" s="9"/>
      <c r="J50118" s="11"/>
      <c r="U50118" s="9"/>
      <c r="X50118" s="9"/>
    </row>
    <row r="50119">
      <c r="D50119" s="9"/>
      <c r="G50119" s="9"/>
      <c r="J50119" s="11"/>
      <c r="U50119" s="9"/>
      <c r="X50119" s="9"/>
    </row>
    <row r="50120">
      <c r="D50120" s="9"/>
      <c r="G50120" s="9"/>
      <c r="J50120" s="11"/>
      <c r="U50120" s="9"/>
      <c r="X50120" s="9"/>
    </row>
    <row r="50121">
      <c r="D50121" s="9"/>
      <c r="G50121" s="9"/>
      <c r="J50121" s="11"/>
      <c r="U50121" s="9"/>
      <c r="X50121" s="9"/>
    </row>
    <row r="50122">
      <c r="D50122" s="9"/>
      <c r="G50122" s="9"/>
      <c r="J50122" s="11"/>
      <c r="U50122" s="9"/>
      <c r="X50122" s="9"/>
    </row>
    <row r="50123">
      <c r="D50123" s="9"/>
      <c r="G50123" s="9"/>
      <c r="J50123" s="11"/>
      <c r="U50123" s="9"/>
      <c r="X50123" s="9"/>
    </row>
    <row r="50124">
      <c r="D50124" s="9"/>
      <c r="G50124" s="9"/>
      <c r="J50124" s="11"/>
      <c r="U50124" s="9"/>
      <c r="X50124" s="9"/>
    </row>
    <row r="50125">
      <c r="D50125" s="9"/>
      <c r="G50125" s="9"/>
      <c r="J50125" s="11"/>
      <c r="U50125" s="9"/>
      <c r="X50125" s="9"/>
    </row>
    <row r="50126">
      <c r="D50126" s="9"/>
      <c r="G50126" s="9"/>
      <c r="J50126" s="11"/>
      <c r="U50126" s="9"/>
      <c r="X50126" s="9"/>
    </row>
    <row r="50127">
      <c r="D50127" s="9"/>
      <c r="G50127" s="9"/>
      <c r="J50127" s="11"/>
      <c r="U50127" s="9"/>
      <c r="X50127" s="9"/>
    </row>
    <row r="50128">
      <c r="D50128" s="9"/>
      <c r="G50128" s="9"/>
      <c r="J50128" s="11"/>
      <c r="U50128" s="9"/>
      <c r="X50128" s="9"/>
    </row>
    <row r="50129">
      <c r="D50129" s="9"/>
      <c r="G50129" s="9"/>
      <c r="J50129" s="11"/>
      <c r="U50129" s="9"/>
      <c r="X50129" s="9"/>
    </row>
    <row r="50130">
      <c r="D50130" s="9"/>
      <c r="G50130" s="9"/>
      <c r="J50130" s="11"/>
      <c r="U50130" s="9"/>
      <c r="X50130" s="9"/>
    </row>
    <row r="50131">
      <c r="D50131" s="9"/>
      <c r="G50131" s="9"/>
      <c r="J50131" s="11"/>
      <c r="U50131" s="9"/>
      <c r="X50131" s="9"/>
    </row>
    <row r="50132">
      <c r="D50132" s="9"/>
      <c r="G50132" s="9"/>
      <c r="J50132" s="11"/>
      <c r="U50132" s="9"/>
      <c r="X50132" s="9"/>
    </row>
    <row r="50133">
      <c r="D50133" s="9"/>
      <c r="G50133" s="9"/>
      <c r="J50133" s="11"/>
      <c r="U50133" s="9"/>
      <c r="X50133" s="9"/>
    </row>
    <row r="50134">
      <c r="D50134" s="9"/>
      <c r="G50134" s="9"/>
      <c r="J50134" s="11"/>
      <c r="U50134" s="9"/>
      <c r="X50134" s="9"/>
    </row>
    <row r="50135">
      <c r="D50135" s="9"/>
      <c r="G50135" s="9"/>
      <c r="J50135" s="11"/>
      <c r="U50135" s="9"/>
      <c r="X50135" s="9"/>
    </row>
    <row r="50136">
      <c r="D50136" s="9"/>
      <c r="G50136" s="9"/>
      <c r="J50136" s="11"/>
      <c r="U50136" s="9"/>
      <c r="X50136" s="9"/>
    </row>
    <row r="50137">
      <c r="D50137" s="9"/>
      <c r="G50137" s="9"/>
      <c r="J50137" s="11"/>
      <c r="U50137" s="9"/>
      <c r="X50137" s="9"/>
    </row>
    <row r="50138">
      <c r="D50138" s="9"/>
      <c r="G50138" s="9"/>
      <c r="J50138" s="11"/>
      <c r="U50138" s="9"/>
      <c r="X50138" s="9"/>
    </row>
    <row r="50139">
      <c r="D50139" s="9"/>
      <c r="G50139" s="9"/>
      <c r="J50139" s="11"/>
      <c r="U50139" s="9"/>
      <c r="X50139" s="9"/>
    </row>
    <row r="50140">
      <c r="D50140" s="9"/>
      <c r="G50140" s="9"/>
      <c r="J50140" s="11"/>
      <c r="U50140" s="9"/>
      <c r="X50140" s="9"/>
    </row>
    <row r="50141">
      <c r="D50141" s="9"/>
      <c r="G50141" s="9"/>
      <c r="J50141" s="11"/>
      <c r="U50141" s="9"/>
      <c r="X50141" s="9"/>
    </row>
    <row r="50142">
      <c r="D50142" s="9"/>
      <c r="G50142" s="9"/>
      <c r="J50142" s="11"/>
      <c r="U50142" s="9"/>
      <c r="X50142" s="9"/>
    </row>
    <row r="50143">
      <c r="D50143" s="9"/>
      <c r="G50143" s="9"/>
      <c r="J50143" s="11"/>
      <c r="U50143" s="9"/>
      <c r="X50143" s="9"/>
    </row>
    <row r="50144">
      <c r="D50144" s="9"/>
      <c r="G50144" s="9"/>
      <c r="J50144" s="11"/>
      <c r="U50144" s="9"/>
      <c r="X50144" s="9"/>
    </row>
    <row r="50145">
      <c r="D50145" s="9"/>
      <c r="G50145" s="9"/>
      <c r="J50145" s="11"/>
      <c r="U50145" s="9"/>
      <c r="X50145" s="9"/>
    </row>
    <row r="50146">
      <c r="D50146" s="9"/>
      <c r="G50146" s="9"/>
      <c r="J50146" s="11"/>
      <c r="U50146" s="9"/>
      <c r="X50146" s="9"/>
    </row>
    <row r="50147">
      <c r="D50147" s="9"/>
      <c r="G50147" s="9"/>
      <c r="J50147" s="11"/>
      <c r="U50147" s="9"/>
      <c r="X50147" s="9"/>
    </row>
    <row r="50148">
      <c r="D50148" s="9"/>
      <c r="G50148" s="9"/>
      <c r="J50148" s="11"/>
      <c r="U50148" s="9"/>
      <c r="X50148" s="9"/>
    </row>
    <row r="50149">
      <c r="D50149" s="9"/>
      <c r="G50149" s="9"/>
      <c r="J50149" s="11"/>
      <c r="U50149" s="9"/>
      <c r="X50149" s="9"/>
    </row>
    <row r="50150">
      <c r="D50150" s="9"/>
      <c r="G50150" s="9"/>
      <c r="J50150" s="11"/>
      <c r="U50150" s="9"/>
      <c r="X50150" s="9"/>
    </row>
    <row r="50151">
      <c r="D50151" s="9"/>
      <c r="G50151" s="9"/>
      <c r="J50151" s="11"/>
      <c r="U50151" s="9"/>
      <c r="X50151" s="9"/>
    </row>
    <row r="50152">
      <c r="D50152" s="9"/>
      <c r="G50152" s="9"/>
      <c r="J50152" s="11"/>
      <c r="U50152" s="9"/>
      <c r="X50152" s="9"/>
    </row>
    <row r="50153">
      <c r="D50153" s="9"/>
      <c r="G50153" s="9"/>
      <c r="J50153" s="11"/>
      <c r="U50153" s="9"/>
      <c r="X50153" s="9"/>
    </row>
    <row r="50154">
      <c r="D50154" s="9"/>
      <c r="G50154" s="9"/>
      <c r="J50154" s="11"/>
      <c r="U50154" s="9"/>
      <c r="X50154" s="9"/>
    </row>
    <row r="50155">
      <c r="D50155" s="9"/>
      <c r="G50155" s="9"/>
      <c r="J50155" s="11"/>
      <c r="U50155" s="9"/>
      <c r="X50155" s="9"/>
    </row>
    <row r="50156">
      <c r="D50156" s="9"/>
      <c r="G50156" s="9"/>
      <c r="J50156" s="11"/>
      <c r="U50156" s="9"/>
      <c r="X50156" s="9"/>
    </row>
    <row r="50157">
      <c r="D50157" s="9"/>
      <c r="G50157" s="9"/>
      <c r="J50157" s="11"/>
      <c r="U50157" s="9"/>
      <c r="X50157" s="9"/>
    </row>
    <row r="50158">
      <c r="D50158" s="9"/>
      <c r="G50158" s="9"/>
      <c r="J50158" s="11"/>
      <c r="U50158" s="9"/>
      <c r="X50158" s="9"/>
    </row>
    <row r="50159">
      <c r="D50159" s="9"/>
      <c r="G50159" s="9"/>
      <c r="J50159" s="11"/>
      <c r="U50159" s="9"/>
      <c r="X50159" s="9"/>
    </row>
    <row r="50160">
      <c r="D50160" s="9"/>
      <c r="G50160" s="9"/>
      <c r="J50160" s="11"/>
      <c r="U50160" s="9"/>
      <c r="X50160" s="9"/>
    </row>
    <row r="50161">
      <c r="D50161" s="9"/>
      <c r="G50161" s="9"/>
      <c r="J50161" s="11"/>
      <c r="U50161" s="9"/>
      <c r="X50161" s="9"/>
    </row>
    <row r="50162">
      <c r="D50162" s="9"/>
      <c r="G50162" s="9"/>
      <c r="J50162" s="11"/>
      <c r="U50162" s="9"/>
      <c r="X50162" s="9"/>
    </row>
    <row r="50163">
      <c r="D50163" s="9"/>
      <c r="G50163" s="9"/>
      <c r="J50163" s="11"/>
      <c r="U50163" s="9"/>
      <c r="X50163" s="9"/>
    </row>
    <row r="50164">
      <c r="D50164" s="9"/>
      <c r="G50164" s="9"/>
      <c r="J50164" s="11"/>
      <c r="U50164" s="9"/>
      <c r="X50164" s="9"/>
    </row>
    <row r="50165">
      <c r="D50165" s="9"/>
      <c r="G50165" s="9"/>
      <c r="J50165" s="11"/>
      <c r="U50165" s="9"/>
      <c r="X50165" s="9"/>
    </row>
    <row r="50166">
      <c r="D50166" s="9"/>
      <c r="G50166" s="9"/>
      <c r="J50166" s="11"/>
      <c r="U50166" s="9"/>
      <c r="X50166" s="9"/>
    </row>
    <row r="50167">
      <c r="D50167" s="9"/>
      <c r="G50167" s="9"/>
      <c r="J50167" s="11"/>
      <c r="U50167" s="9"/>
      <c r="X50167" s="9"/>
    </row>
    <row r="50168">
      <c r="D50168" s="9"/>
      <c r="G50168" s="9"/>
      <c r="J50168" s="11"/>
      <c r="U50168" s="9"/>
      <c r="X50168" s="9"/>
    </row>
    <row r="50169">
      <c r="D50169" s="9"/>
      <c r="G50169" s="9"/>
      <c r="J50169" s="11"/>
      <c r="U50169" s="9"/>
      <c r="X50169" s="9"/>
    </row>
    <row r="50170">
      <c r="D50170" s="9"/>
      <c r="G50170" s="9"/>
      <c r="J50170" s="11"/>
      <c r="U50170" s="9"/>
      <c r="X50170" s="9"/>
    </row>
    <row r="50171">
      <c r="D50171" s="9"/>
      <c r="G50171" s="9"/>
      <c r="J50171" s="11"/>
      <c r="U50171" s="9"/>
      <c r="X50171" s="9"/>
    </row>
    <row r="50172">
      <c r="D50172" s="9"/>
      <c r="G50172" s="9"/>
      <c r="J50172" s="11"/>
      <c r="U50172" s="9"/>
      <c r="X50172" s="9"/>
    </row>
    <row r="50173">
      <c r="D50173" s="9"/>
      <c r="G50173" s="9"/>
      <c r="J50173" s="11"/>
      <c r="U50173" s="9"/>
      <c r="X50173" s="9"/>
    </row>
    <row r="50174">
      <c r="D50174" s="9"/>
      <c r="G50174" s="9"/>
      <c r="J50174" s="11"/>
      <c r="U50174" s="9"/>
      <c r="X50174" s="9"/>
    </row>
    <row r="50175">
      <c r="D50175" s="9"/>
      <c r="G50175" s="9"/>
      <c r="J50175" s="11"/>
      <c r="U50175" s="9"/>
      <c r="X50175" s="9"/>
    </row>
    <row r="50176">
      <c r="D50176" s="9"/>
      <c r="G50176" s="9"/>
      <c r="J50176" s="11"/>
      <c r="U50176" s="9"/>
      <c r="X50176" s="9"/>
    </row>
    <row r="50177">
      <c r="D50177" s="9"/>
      <c r="G50177" s="9"/>
      <c r="J50177" s="11"/>
      <c r="U50177" s="9"/>
      <c r="X50177" s="9"/>
    </row>
    <row r="50178">
      <c r="D50178" s="9"/>
      <c r="G50178" s="9"/>
      <c r="J50178" s="11"/>
      <c r="U50178" s="9"/>
      <c r="X50178" s="9"/>
    </row>
    <row r="50179">
      <c r="D50179" s="9"/>
      <c r="G50179" s="9"/>
      <c r="J50179" s="11"/>
      <c r="U50179" s="9"/>
      <c r="X50179" s="9"/>
    </row>
    <row r="50180">
      <c r="D50180" s="9"/>
      <c r="G50180" s="9"/>
      <c r="J50180" s="11"/>
      <c r="U50180" s="9"/>
      <c r="X50180" s="9"/>
    </row>
    <row r="50181">
      <c r="D50181" s="9"/>
      <c r="G50181" s="9"/>
      <c r="J50181" s="11"/>
      <c r="U50181" s="9"/>
      <c r="X50181" s="9"/>
    </row>
    <row r="50182">
      <c r="D50182" s="9"/>
      <c r="G50182" s="9"/>
      <c r="J50182" s="11"/>
      <c r="U50182" s="9"/>
      <c r="X50182" s="9"/>
    </row>
    <row r="50183">
      <c r="D50183" s="9"/>
      <c r="G50183" s="9"/>
      <c r="J50183" s="11"/>
      <c r="U50183" s="9"/>
      <c r="X50183" s="9"/>
    </row>
    <row r="50184">
      <c r="D50184" s="9"/>
      <c r="G50184" s="9"/>
      <c r="J50184" s="11"/>
      <c r="U50184" s="9"/>
      <c r="X50184" s="9"/>
    </row>
    <row r="50185">
      <c r="D50185" s="9"/>
      <c r="G50185" s="9"/>
      <c r="J50185" s="11"/>
      <c r="U50185" s="9"/>
      <c r="X50185" s="9"/>
    </row>
    <row r="50186">
      <c r="D50186" s="9"/>
      <c r="G50186" s="9"/>
      <c r="J50186" s="11"/>
      <c r="U50186" s="9"/>
      <c r="X50186" s="9"/>
    </row>
    <row r="50187">
      <c r="D50187" s="9"/>
      <c r="G50187" s="9"/>
      <c r="J50187" s="11"/>
      <c r="U50187" s="9"/>
      <c r="X50187" s="9"/>
    </row>
    <row r="50188">
      <c r="D50188" s="9"/>
      <c r="G50188" s="9"/>
      <c r="J50188" s="11"/>
      <c r="U50188" s="9"/>
      <c r="X50188" s="9"/>
    </row>
    <row r="50189">
      <c r="D50189" s="9"/>
      <c r="G50189" s="9"/>
      <c r="J50189" s="11"/>
      <c r="U50189" s="9"/>
      <c r="X50189" s="9"/>
    </row>
    <row r="50190">
      <c r="D50190" s="9"/>
      <c r="G50190" s="9"/>
      <c r="J50190" s="11"/>
      <c r="U50190" s="9"/>
      <c r="X50190" s="9"/>
    </row>
    <row r="50191">
      <c r="D50191" s="9"/>
      <c r="G50191" s="9"/>
      <c r="J50191" s="11"/>
      <c r="U50191" s="9"/>
      <c r="X50191" s="9"/>
    </row>
    <row r="50192">
      <c r="D50192" s="9"/>
      <c r="G50192" s="9"/>
      <c r="J50192" s="11"/>
      <c r="U50192" s="9"/>
      <c r="X50192" s="9"/>
    </row>
    <row r="50193">
      <c r="D50193" s="9"/>
      <c r="G50193" s="9"/>
      <c r="J50193" s="11"/>
      <c r="U50193" s="9"/>
      <c r="X50193" s="9"/>
    </row>
    <row r="50194">
      <c r="D50194" s="9"/>
      <c r="G50194" s="9"/>
      <c r="J50194" s="11"/>
      <c r="U50194" s="9"/>
      <c r="X50194" s="9"/>
    </row>
    <row r="50195">
      <c r="D50195" s="9"/>
      <c r="G50195" s="9"/>
      <c r="J50195" s="11"/>
      <c r="U50195" s="9"/>
      <c r="X50195" s="9"/>
    </row>
    <row r="50196">
      <c r="D50196" s="9"/>
      <c r="G50196" s="9"/>
      <c r="J50196" s="11"/>
      <c r="U50196" s="9"/>
      <c r="X50196" s="9"/>
    </row>
    <row r="50197">
      <c r="D50197" s="9"/>
      <c r="G50197" s="9"/>
      <c r="J50197" s="11"/>
      <c r="U50197" s="9"/>
      <c r="X50197" s="9"/>
    </row>
    <row r="50198">
      <c r="D50198" s="9"/>
      <c r="G50198" s="9"/>
      <c r="J50198" s="11"/>
      <c r="U50198" s="9"/>
      <c r="X50198" s="9"/>
    </row>
    <row r="50199">
      <c r="D50199" s="9"/>
      <c r="G50199" s="9"/>
      <c r="J50199" s="11"/>
      <c r="U50199" s="9"/>
      <c r="X50199" s="9"/>
    </row>
    <row r="50200">
      <c r="D50200" s="9"/>
      <c r="G50200" s="9"/>
      <c r="J50200" s="11"/>
      <c r="U50200" s="9"/>
      <c r="X50200" s="9"/>
    </row>
    <row r="50201">
      <c r="D50201" s="9"/>
      <c r="G50201" s="9"/>
      <c r="J50201" s="11"/>
      <c r="U50201" s="9"/>
      <c r="X50201" s="9"/>
    </row>
    <row r="50202">
      <c r="D50202" s="9"/>
      <c r="G50202" s="9"/>
      <c r="J50202" s="11"/>
      <c r="U50202" s="9"/>
      <c r="X50202" s="9"/>
    </row>
    <row r="50203">
      <c r="D50203" s="9"/>
      <c r="G50203" s="9"/>
      <c r="J50203" s="11"/>
      <c r="U50203" s="9"/>
      <c r="X50203" s="9"/>
    </row>
    <row r="50204">
      <c r="D50204" s="9"/>
      <c r="G50204" s="9"/>
      <c r="J50204" s="11"/>
      <c r="U50204" s="9"/>
      <c r="X50204" s="9"/>
    </row>
    <row r="50205">
      <c r="D50205" s="9"/>
      <c r="G50205" s="9"/>
      <c r="J50205" s="11"/>
      <c r="U50205" s="9"/>
      <c r="X50205" s="9"/>
    </row>
    <row r="50206">
      <c r="D50206" s="9"/>
      <c r="G50206" s="9"/>
      <c r="J50206" s="11"/>
      <c r="U50206" s="9"/>
      <c r="X50206" s="9"/>
    </row>
    <row r="50207">
      <c r="D50207" s="9"/>
      <c r="G50207" s="9"/>
      <c r="J50207" s="11"/>
      <c r="U50207" s="9"/>
      <c r="X50207" s="9"/>
    </row>
    <row r="50208">
      <c r="D50208" s="9"/>
      <c r="G50208" s="9"/>
      <c r="J50208" s="11"/>
      <c r="U50208" s="9"/>
      <c r="X50208" s="9"/>
    </row>
    <row r="50209">
      <c r="D50209" s="9"/>
      <c r="G50209" s="9"/>
      <c r="J50209" s="11"/>
      <c r="U50209" s="9"/>
      <c r="X50209" s="9"/>
    </row>
    <row r="50210">
      <c r="D50210" s="9"/>
      <c r="G50210" s="9"/>
      <c r="J50210" s="11"/>
      <c r="U50210" s="9"/>
      <c r="X50210" s="9"/>
    </row>
    <row r="50211">
      <c r="D50211" s="9"/>
      <c r="G50211" s="9"/>
      <c r="J50211" s="11"/>
      <c r="U50211" s="9"/>
      <c r="X50211" s="9"/>
    </row>
    <row r="50212">
      <c r="D50212" s="9"/>
      <c r="G50212" s="9"/>
      <c r="J50212" s="11"/>
      <c r="U50212" s="9"/>
      <c r="X50212" s="9"/>
    </row>
    <row r="50213">
      <c r="D50213" s="9"/>
      <c r="G50213" s="9"/>
      <c r="J50213" s="11"/>
      <c r="U50213" s="9"/>
      <c r="X50213" s="9"/>
    </row>
    <row r="50214">
      <c r="D50214" s="9"/>
      <c r="G50214" s="9"/>
      <c r="J50214" s="11"/>
      <c r="U50214" s="9"/>
      <c r="X50214" s="9"/>
    </row>
    <row r="50215">
      <c r="D50215" s="9"/>
      <c r="G50215" s="9"/>
      <c r="J50215" s="11"/>
      <c r="U50215" s="9"/>
      <c r="X50215" s="9"/>
    </row>
    <row r="50216">
      <c r="D50216" s="9"/>
      <c r="G50216" s="9"/>
      <c r="J50216" s="11"/>
      <c r="U50216" s="9"/>
      <c r="X50216" s="9"/>
    </row>
    <row r="50217">
      <c r="D50217" s="9"/>
      <c r="G50217" s="9"/>
      <c r="J50217" s="11"/>
      <c r="U50217" s="9"/>
      <c r="X50217" s="9"/>
    </row>
    <row r="50218">
      <c r="D50218" s="9"/>
      <c r="G50218" s="9"/>
      <c r="J50218" s="11"/>
      <c r="U50218" s="9"/>
      <c r="X50218" s="9"/>
    </row>
    <row r="50219">
      <c r="D50219" s="9"/>
      <c r="G50219" s="9"/>
      <c r="J50219" s="11"/>
      <c r="U50219" s="9"/>
      <c r="X50219" s="9"/>
    </row>
    <row r="50220">
      <c r="D50220" s="9"/>
      <c r="G50220" s="9"/>
      <c r="J50220" s="11"/>
      <c r="U50220" s="9"/>
      <c r="X50220" s="9"/>
    </row>
    <row r="50221">
      <c r="D50221" s="9"/>
      <c r="G50221" s="9"/>
      <c r="J50221" s="11"/>
      <c r="U50221" s="9"/>
      <c r="X50221" s="9"/>
    </row>
    <row r="50222">
      <c r="D50222" s="9"/>
      <c r="G50222" s="9"/>
      <c r="J50222" s="11"/>
      <c r="U50222" s="9"/>
      <c r="X50222" s="9"/>
    </row>
    <row r="50223">
      <c r="D50223" s="9"/>
      <c r="G50223" s="9"/>
      <c r="J50223" s="11"/>
      <c r="U50223" s="9"/>
      <c r="X50223" s="9"/>
    </row>
    <row r="50224">
      <c r="D50224" s="9"/>
      <c r="G50224" s="9"/>
      <c r="J50224" s="11"/>
      <c r="U50224" s="9"/>
      <c r="X50224" s="9"/>
    </row>
    <row r="50225">
      <c r="D50225" s="9"/>
      <c r="G50225" s="9"/>
      <c r="J50225" s="11"/>
      <c r="U50225" s="9"/>
      <c r="X50225" s="9"/>
    </row>
    <row r="50226">
      <c r="D50226" s="9"/>
      <c r="G50226" s="9"/>
      <c r="J50226" s="11"/>
      <c r="U50226" s="9"/>
      <c r="X50226" s="9"/>
    </row>
    <row r="50227">
      <c r="D50227" s="9"/>
      <c r="G50227" s="9"/>
      <c r="J50227" s="11"/>
      <c r="U50227" s="9"/>
      <c r="X50227" s="9"/>
    </row>
    <row r="50228">
      <c r="D50228" s="9"/>
      <c r="G50228" s="9"/>
      <c r="J50228" s="11"/>
      <c r="U50228" s="9"/>
      <c r="X50228" s="9"/>
    </row>
    <row r="50229">
      <c r="D50229" s="9"/>
      <c r="G50229" s="9"/>
      <c r="J50229" s="11"/>
      <c r="U50229" s="9"/>
      <c r="X50229" s="9"/>
    </row>
    <row r="50230">
      <c r="D50230" s="9"/>
      <c r="G50230" s="9"/>
      <c r="J50230" s="11"/>
      <c r="U50230" s="9"/>
      <c r="X50230" s="9"/>
    </row>
    <row r="50231">
      <c r="D50231" s="9"/>
      <c r="G50231" s="9"/>
      <c r="J50231" s="11"/>
      <c r="U50231" s="9"/>
      <c r="X50231" s="9"/>
    </row>
    <row r="50232">
      <c r="D50232" s="9"/>
      <c r="G50232" s="9"/>
      <c r="J50232" s="11"/>
      <c r="U50232" s="9"/>
      <c r="X50232" s="9"/>
    </row>
    <row r="50233">
      <c r="D50233" s="9"/>
      <c r="G50233" s="9"/>
      <c r="J50233" s="11"/>
      <c r="U50233" s="9"/>
      <c r="X50233" s="9"/>
    </row>
    <row r="50234">
      <c r="D50234" s="9"/>
      <c r="G50234" s="9"/>
      <c r="J50234" s="11"/>
      <c r="U50234" s="9"/>
      <c r="X50234" s="9"/>
    </row>
    <row r="50235">
      <c r="D50235" s="9"/>
      <c r="G50235" s="9"/>
      <c r="J50235" s="11"/>
      <c r="U50235" s="9"/>
      <c r="X50235" s="9"/>
    </row>
    <row r="50236">
      <c r="D50236" s="9"/>
      <c r="G50236" s="9"/>
      <c r="J50236" s="11"/>
      <c r="U50236" s="9"/>
      <c r="X50236" s="9"/>
    </row>
    <row r="50237">
      <c r="D50237" s="9"/>
      <c r="G50237" s="9"/>
      <c r="J50237" s="11"/>
      <c r="U50237" s="9"/>
      <c r="X50237" s="9"/>
    </row>
    <row r="50238">
      <c r="D50238" s="9"/>
      <c r="G50238" s="9"/>
      <c r="J50238" s="11"/>
      <c r="U50238" s="9"/>
      <c r="X50238" s="9"/>
    </row>
    <row r="50239">
      <c r="D50239" s="9"/>
      <c r="G50239" s="9"/>
      <c r="J50239" s="11"/>
      <c r="U50239" s="9"/>
      <c r="X50239" s="9"/>
    </row>
    <row r="50240">
      <c r="D50240" s="9"/>
      <c r="G50240" s="9"/>
      <c r="J50240" s="11"/>
      <c r="U50240" s="9"/>
      <c r="X50240" s="9"/>
    </row>
    <row r="50241">
      <c r="D50241" s="9"/>
      <c r="G50241" s="9"/>
      <c r="J50241" s="11"/>
      <c r="U50241" s="9"/>
      <c r="X50241" s="9"/>
    </row>
    <row r="50242">
      <c r="D50242" s="9"/>
      <c r="G50242" s="9"/>
      <c r="J50242" s="11"/>
      <c r="U50242" s="9"/>
      <c r="X50242" s="9"/>
    </row>
    <row r="50243">
      <c r="D50243" s="9"/>
      <c r="G50243" s="9"/>
      <c r="J50243" s="11"/>
      <c r="U50243" s="9"/>
      <c r="X50243" s="9"/>
    </row>
    <row r="50244">
      <c r="D50244" s="9"/>
      <c r="G50244" s="9"/>
      <c r="J50244" s="11"/>
      <c r="U50244" s="9"/>
      <c r="X50244" s="9"/>
    </row>
    <row r="50245">
      <c r="D50245" s="9"/>
      <c r="G50245" s="9"/>
      <c r="J50245" s="11"/>
      <c r="U50245" s="9"/>
      <c r="X50245" s="9"/>
    </row>
    <row r="50246">
      <c r="D50246" s="9"/>
      <c r="G50246" s="9"/>
      <c r="J50246" s="11"/>
      <c r="U50246" s="9"/>
      <c r="X50246" s="9"/>
    </row>
    <row r="50247">
      <c r="D50247" s="9"/>
      <c r="G50247" s="9"/>
      <c r="J50247" s="11"/>
      <c r="U50247" s="9"/>
      <c r="X50247" s="9"/>
    </row>
    <row r="50248">
      <c r="D50248" s="9"/>
      <c r="G50248" s="9"/>
      <c r="J50248" s="11"/>
      <c r="U50248" s="9"/>
      <c r="X50248" s="9"/>
    </row>
    <row r="50249">
      <c r="D50249" s="9"/>
      <c r="G50249" s="9"/>
      <c r="J50249" s="11"/>
      <c r="U50249" s="9"/>
      <c r="X50249" s="9"/>
    </row>
    <row r="50250">
      <c r="D50250" s="9"/>
      <c r="G50250" s="9"/>
      <c r="J50250" s="11"/>
      <c r="U50250" s="9"/>
      <c r="X50250" s="9"/>
    </row>
    <row r="50251">
      <c r="D50251" s="9"/>
      <c r="G50251" s="9"/>
      <c r="J50251" s="11"/>
      <c r="U50251" s="9"/>
      <c r="X50251" s="9"/>
    </row>
    <row r="50252">
      <c r="D50252" s="9"/>
      <c r="G50252" s="9"/>
      <c r="J50252" s="11"/>
      <c r="U50252" s="9"/>
      <c r="X50252" s="9"/>
    </row>
    <row r="50253">
      <c r="D50253" s="9"/>
      <c r="G50253" s="9"/>
      <c r="J50253" s="11"/>
      <c r="U50253" s="9"/>
      <c r="X50253" s="9"/>
    </row>
    <row r="50254">
      <c r="D50254" s="9"/>
      <c r="G50254" s="9"/>
      <c r="J50254" s="11"/>
      <c r="U50254" s="9"/>
      <c r="X50254" s="9"/>
    </row>
    <row r="50255">
      <c r="D50255" s="9"/>
      <c r="G50255" s="9"/>
      <c r="J50255" s="11"/>
      <c r="U50255" s="9"/>
      <c r="X50255" s="9"/>
    </row>
    <row r="50256">
      <c r="D50256" s="9"/>
      <c r="G50256" s="9"/>
      <c r="J50256" s="11"/>
      <c r="U50256" s="9"/>
      <c r="X50256" s="9"/>
    </row>
    <row r="50257">
      <c r="D50257" s="9"/>
      <c r="G50257" s="9"/>
      <c r="J50257" s="11"/>
      <c r="U50257" s="9"/>
      <c r="X50257" s="9"/>
    </row>
    <row r="50258">
      <c r="D50258" s="9"/>
      <c r="G50258" s="9"/>
      <c r="J50258" s="11"/>
      <c r="U50258" s="9"/>
      <c r="X50258" s="9"/>
    </row>
    <row r="50259">
      <c r="D50259" s="9"/>
      <c r="G50259" s="9"/>
      <c r="J50259" s="11"/>
      <c r="U50259" s="9"/>
      <c r="X50259" s="9"/>
    </row>
    <row r="50260">
      <c r="D50260" s="9"/>
      <c r="G50260" s="9"/>
      <c r="J50260" s="11"/>
      <c r="U50260" s="9"/>
      <c r="X50260" s="9"/>
    </row>
    <row r="50261">
      <c r="D50261" s="9"/>
      <c r="G50261" s="9"/>
      <c r="J50261" s="11"/>
      <c r="U50261" s="9"/>
      <c r="X50261" s="9"/>
    </row>
    <row r="50262">
      <c r="D50262" s="9"/>
      <c r="G50262" s="9"/>
      <c r="J50262" s="11"/>
      <c r="U50262" s="9"/>
      <c r="X50262" s="9"/>
    </row>
    <row r="50263">
      <c r="D50263" s="9"/>
      <c r="G50263" s="9"/>
      <c r="J50263" s="11"/>
      <c r="U50263" s="9"/>
      <c r="X50263" s="9"/>
    </row>
    <row r="50264">
      <c r="D50264" s="9"/>
      <c r="G50264" s="9"/>
      <c r="J50264" s="11"/>
      <c r="U50264" s="9"/>
      <c r="X50264" s="9"/>
    </row>
    <row r="50265">
      <c r="D50265" s="9"/>
      <c r="G50265" s="9"/>
      <c r="J50265" s="11"/>
      <c r="U50265" s="9"/>
      <c r="X50265" s="9"/>
    </row>
    <row r="50266">
      <c r="D50266" s="9"/>
      <c r="G50266" s="9"/>
      <c r="J50266" s="11"/>
      <c r="U50266" s="9"/>
      <c r="X50266" s="9"/>
    </row>
    <row r="50267">
      <c r="D50267" s="9"/>
      <c r="G50267" s="9"/>
      <c r="J50267" s="11"/>
      <c r="U50267" s="9"/>
      <c r="X50267" s="9"/>
    </row>
    <row r="50268">
      <c r="D50268" s="9"/>
      <c r="G50268" s="9"/>
      <c r="J50268" s="11"/>
      <c r="U50268" s="9"/>
      <c r="X50268" s="9"/>
    </row>
    <row r="50269">
      <c r="D50269" s="9"/>
      <c r="G50269" s="9"/>
      <c r="J50269" s="11"/>
      <c r="U50269" s="9"/>
      <c r="X50269" s="9"/>
    </row>
    <row r="50270">
      <c r="D50270" s="9"/>
      <c r="G50270" s="9"/>
      <c r="J50270" s="11"/>
      <c r="U50270" s="9"/>
      <c r="X50270" s="9"/>
    </row>
    <row r="50271">
      <c r="D50271" s="9"/>
      <c r="G50271" s="9"/>
      <c r="J50271" s="11"/>
      <c r="U50271" s="9"/>
      <c r="X50271" s="9"/>
    </row>
    <row r="50272">
      <c r="D50272" s="9"/>
      <c r="G50272" s="9"/>
      <c r="J50272" s="11"/>
      <c r="U50272" s="9"/>
      <c r="X50272" s="9"/>
    </row>
    <row r="50273">
      <c r="D50273" s="9"/>
      <c r="G50273" s="9"/>
      <c r="J50273" s="11"/>
      <c r="U50273" s="9"/>
      <c r="X50273" s="9"/>
    </row>
    <row r="50274">
      <c r="D50274" s="9"/>
      <c r="G50274" s="9"/>
      <c r="J50274" s="11"/>
      <c r="U50274" s="9"/>
      <c r="X50274" s="9"/>
    </row>
    <row r="50275">
      <c r="D50275" s="9"/>
      <c r="G50275" s="9"/>
      <c r="J50275" s="11"/>
      <c r="U50275" s="9"/>
      <c r="X50275" s="9"/>
    </row>
    <row r="50276">
      <c r="D50276" s="9"/>
      <c r="G50276" s="9"/>
      <c r="J50276" s="11"/>
      <c r="U50276" s="9"/>
      <c r="X50276" s="9"/>
    </row>
    <row r="50277">
      <c r="D50277" s="9"/>
      <c r="G50277" s="9"/>
      <c r="J50277" s="11"/>
      <c r="U50277" s="9"/>
      <c r="X50277" s="9"/>
    </row>
    <row r="50278">
      <c r="D50278" s="9"/>
      <c r="G50278" s="9"/>
      <c r="J50278" s="11"/>
      <c r="U50278" s="9"/>
      <c r="X50278" s="9"/>
    </row>
    <row r="50279">
      <c r="D50279" s="9"/>
      <c r="G50279" s="9"/>
      <c r="J50279" s="11"/>
      <c r="U50279" s="9"/>
      <c r="X50279" s="9"/>
    </row>
    <row r="50280">
      <c r="D50280" s="9"/>
      <c r="G50280" s="9"/>
      <c r="J50280" s="11"/>
      <c r="U50280" s="9"/>
      <c r="X50280" s="9"/>
    </row>
    <row r="50281">
      <c r="D50281" s="9"/>
      <c r="G50281" s="9"/>
      <c r="J50281" s="11"/>
      <c r="U50281" s="9"/>
      <c r="X50281" s="9"/>
    </row>
    <row r="50282">
      <c r="D50282" s="9"/>
      <c r="G50282" s="9"/>
      <c r="J50282" s="11"/>
      <c r="U50282" s="9"/>
      <c r="X50282" s="9"/>
    </row>
    <row r="50283">
      <c r="D50283" s="9"/>
      <c r="G50283" s="9"/>
      <c r="J50283" s="11"/>
      <c r="U50283" s="9"/>
      <c r="X50283" s="9"/>
    </row>
    <row r="50284">
      <c r="D50284" s="9"/>
      <c r="G50284" s="9"/>
      <c r="J50284" s="11"/>
      <c r="U50284" s="9"/>
      <c r="X50284" s="9"/>
    </row>
    <row r="50285">
      <c r="D50285" s="9"/>
      <c r="G50285" s="9"/>
      <c r="J50285" s="11"/>
      <c r="U50285" s="9"/>
      <c r="X50285" s="9"/>
    </row>
    <row r="50286">
      <c r="D50286" s="9"/>
      <c r="G50286" s="9"/>
      <c r="J50286" s="11"/>
      <c r="U50286" s="9"/>
      <c r="X50286" s="9"/>
    </row>
    <row r="50287">
      <c r="D50287" s="9"/>
      <c r="G50287" s="9"/>
      <c r="J50287" s="11"/>
      <c r="U50287" s="9"/>
      <c r="X50287" s="9"/>
    </row>
    <row r="50288">
      <c r="D50288" s="9"/>
      <c r="G50288" s="9"/>
      <c r="J50288" s="11"/>
      <c r="U50288" s="9"/>
      <c r="X50288" s="9"/>
    </row>
    <row r="50289">
      <c r="D50289" s="9"/>
      <c r="G50289" s="9"/>
      <c r="J50289" s="11"/>
      <c r="U50289" s="9"/>
      <c r="X50289" s="9"/>
    </row>
    <row r="50290">
      <c r="D50290" s="9"/>
      <c r="G50290" s="9"/>
      <c r="J50290" s="11"/>
      <c r="U50290" s="9"/>
      <c r="X50290" s="9"/>
    </row>
    <row r="50291">
      <c r="D50291" s="9"/>
      <c r="G50291" s="9"/>
      <c r="J50291" s="11"/>
      <c r="U50291" s="9"/>
      <c r="X50291" s="9"/>
    </row>
    <row r="50292">
      <c r="D50292" s="9"/>
      <c r="G50292" s="9"/>
      <c r="J50292" s="11"/>
      <c r="U50292" s="9"/>
      <c r="X50292" s="9"/>
    </row>
    <row r="50293">
      <c r="D50293" s="9"/>
      <c r="G50293" s="9"/>
      <c r="J50293" s="11"/>
      <c r="U50293" s="9"/>
      <c r="X50293" s="9"/>
    </row>
    <row r="50294">
      <c r="D50294" s="9"/>
      <c r="G50294" s="9"/>
      <c r="J50294" s="11"/>
      <c r="U50294" s="9"/>
      <c r="X50294" s="9"/>
    </row>
    <row r="50295">
      <c r="D50295" s="9"/>
      <c r="G50295" s="9"/>
      <c r="J50295" s="11"/>
      <c r="U50295" s="9"/>
      <c r="X50295" s="9"/>
    </row>
    <row r="50296">
      <c r="D50296" s="9"/>
      <c r="G50296" s="9"/>
      <c r="J50296" s="11"/>
      <c r="U50296" s="9"/>
      <c r="X50296" s="9"/>
    </row>
    <row r="50297">
      <c r="D50297" s="9"/>
      <c r="G50297" s="9"/>
      <c r="J50297" s="11"/>
      <c r="U50297" s="9"/>
      <c r="X50297" s="9"/>
    </row>
    <row r="50298">
      <c r="D50298" s="9"/>
      <c r="G50298" s="9"/>
      <c r="J50298" s="11"/>
      <c r="U50298" s="9"/>
      <c r="X50298" s="9"/>
    </row>
    <row r="50299">
      <c r="D50299" s="9"/>
      <c r="G50299" s="9"/>
      <c r="J50299" s="11"/>
      <c r="U50299" s="9"/>
      <c r="X50299" s="9"/>
    </row>
    <row r="50300">
      <c r="D50300" s="9"/>
      <c r="G50300" s="9"/>
      <c r="J50300" s="11"/>
      <c r="U50300" s="9"/>
      <c r="X50300" s="9"/>
    </row>
    <row r="50301">
      <c r="D50301" s="9"/>
      <c r="G50301" s="9"/>
      <c r="J50301" s="11"/>
      <c r="U50301" s="9"/>
      <c r="X50301" s="9"/>
    </row>
    <row r="50302">
      <c r="D50302" s="9"/>
      <c r="G50302" s="9"/>
      <c r="J50302" s="11"/>
      <c r="U50302" s="9"/>
      <c r="X50302" s="9"/>
    </row>
    <row r="50303">
      <c r="D50303" s="9"/>
      <c r="G50303" s="9"/>
      <c r="J50303" s="11"/>
      <c r="U50303" s="9"/>
      <c r="X50303" s="9"/>
    </row>
    <row r="50304">
      <c r="D50304" s="9"/>
      <c r="G50304" s="9"/>
      <c r="J50304" s="11"/>
      <c r="U50304" s="9"/>
      <c r="X50304" s="9"/>
    </row>
    <row r="50305">
      <c r="D50305" s="9"/>
      <c r="G50305" s="9"/>
      <c r="J50305" s="11"/>
      <c r="U50305" s="9"/>
      <c r="X50305" s="9"/>
    </row>
    <row r="50306">
      <c r="D50306" s="9"/>
      <c r="G50306" s="9"/>
      <c r="J50306" s="11"/>
      <c r="U50306" s="9"/>
      <c r="X50306" s="9"/>
    </row>
    <row r="50307">
      <c r="D50307" s="9"/>
      <c r="G50307" s="9"/>
      <c r="J50307" s="11"/>
      <c r="U50307" s="9"/>
      <c r="X50307" s="9"/>
    </row>
    <row r="50308">
      <c r="D50308" s="9"/>
      <c r="G50308" s="9"/>
      <c r="J50308" s="11"/>
      <c r="U50308" s="9"/>
      <c r="X50308" s="9"/>
    </row>
    <row r="50309">
      <c r="D50309" s="9"/>
      <c r="G50309" s="9"/>
      <c r="J50309" s="11"/>
      <c r="U50309" s="9"/>
      <c r="X50309" s="9"/>
    </row>
    <row r="50310">
      <c r="D50310" s="9"/>
      <c r="G50310" s="9"/>
      <c r="J50310" s="11"/>
      <c r="U50310" s="9"/>
      <c r="X50310" s="9"/>
    </row>
    <row r="50311">
      <c r="D50311" s="9"/>
      <c r="G50311" s="9"/>
      <c r="J50311" s="11"/>
      <c r="U50311" s="9"/>
      <c r="X50311" s="9"/>
    </row>
    <row r="50312">
      <c r="D50312" s="9"/>
      <c r="G50312" s="9"/>
      <c r="J50312" s="11"/>
      <c r="U50312" s="9"/>
      <c r="X50312" s="9"/>
    </row>
    <row r="50313">
      <c r="D50313" s="9"/>
      <c r="G50313" s="9"/>
      <c r="J50313" s="11"/>
      <c r="U50313" s="9"/>
      <c r="X50313" s="9"/>
    </row>
    <row r="50314">
      <c r="D50314" s="9"/>
      <c r="G50314" s="9"/>
      <c r="J50314" s="11"/>
      <c r="U50314" s="9"/>
      <c r="X50314" s="9"/>
    </row>
    <row r="50315">
      <c r="D50315" s="9"/>
      <c r="G50315" s="9"/>
      <c r="J50315" s="11"/>
      <c r="U50315" s="9"/>
      <c r="X50315" s="9"/>
    </row>
    <row r="50316">
      <c r="D50316" s="9"/>
      <c r="G50316" s="9"/>
      <c r="J50316" s="11"/>
      <c r="U50316" s="9"/>
      <c r="X50316" s="9"/>
    </row>
    <row r="50317">
      <c r="D50317" s="9"/>
      <c r="G50317" s="9"/>
      <c r="J50317" s="11"/>
      <c r="U50317" s="9"/>
      <c r="X50317" s="9"/>
    </row>
    <row r="50318">
      <c r="D50318" s="9"/>
      <c r="G50318" s="9"/>
      <c r="J50318" s="11"/>
      <c r="U50318" s="9"/>
      <c r="X50318" s="9"/>
    </row>
    <row r="50319">
      <c r="D50319" s="9"/>
      <c r="G50319" s="9"/>
      <c r="J50319" s="11"/>
      <c r="U50319" s="9"/>
      <c r="X50319" s="9"/>
    </row>
    <row r="50320">
      <c r="D50320" s="9"/>
      <c r="G50320" s="9"/>
      <c r="J50320" s="11"/>
      <c r="U50320" s="9"/>
      <c r="X50320" s="9"/>
    </row>
    <row r="50321">
      <c r="D50321" s="9"/>
      <c r="G50321" s="9"/>
      <c r="J50321" s="11"/>
      <c r="U50321" s="9"/>
      <c r="X50321" s="9"/>
    </row>
    <row r="50322">
      <c r="D50322" s="9"/>
      <c r="G50322" s="9"/>
      <c r="J50322" s="11"/>
      <c r="U50322" s="9"/>
      <c r="X50322" s="9"/>
    </row>
    <row r="50323">
      <c r="D50323" s="9"/>
      <c r="G50323" s="9"/>
      <c r="J50323" s="11"/>
      <c r="U50323" s="9"/>
      <c r="X50323" s="9"/>
    </row>
    <row r="50324">
      <c r="D50324" s="9"/>
      <c r="G50324" s="9"/>
      <c r="J50324" s="11"/>
      <c r="U50324" s="9"/>
      <c r="X50324" s="9"/>
    </row>
    <row r="50325">
      <c r="D50325" s="9"/>
      <c r="G50325" s="9"/>
      <c r="J50325" s="11"/>
      <c r="U50325" s="9"/>
      <c r="X50325" s="9"/>
    </row>
    <row r="50326">
      <c r="D50326" s="9"/>
      <c r="G50326" s="9"/>
      <c r="J50326" s="11"/>
      <c r="U50326" s="9"/>
      <c r="X50326" s="9"/>
    </row>
    <row r="50327">
      <c r="D50327" s="9"/>
      <c r="G50327" s="9"/>
      <c r="J50327" s="11"/>
      <c r="U50327" s="9"/>
      <c r="X50327" s="9"/>
    </row>
    <row r="50328">
      <c r="D50328" s="9"/>
      <c r="G50328" s="9"/>
      <c r="J50328" s="11"/>
      <c r="U50328" s="9"/>
      <c r="X50328" s="9"/>
    </row>
    <row r="50329">
      <c r="D50329" s="9"/>
      <c r="G50329" s="9"/>
      <c r="J50329" s="11"/>
      <c r="U50329" s="9"/>
      <c r="X50329" s="9"/>
    </row>
    <row r="50330">
      <c r="D50330" s="9"/>
      <c r="G50330" s="9"/>
      <c r="J50330" s="11"/>
      <c r="U50330" s="9"/>
      <c r="X50330" s="9"/>
    </row>
    <row r="50331">
      <c r="D50331" s="9"/>
      <c r="G50331" s="9"/>
      <c r="J50331" s="11"/>
      <c r="U50331" s="9"/>
      <c r="X50331" s="9"/>
    </row>
    <row r="50332">
      <c r="D50332" s="9"/>
      <c r="G50332" s="9"/>
      <c r="J50332" s="11"/>
      <c r="U50332" s="9"/>
      <c r="X50332" s="9"/>
    </row>
    <row r="50333">
      <c r="D50333" s="9"/>
      <c r="G50333" s="9"/>
      <c r="J50333" s="11"/>
      <c r="U50333" s="9"/>
      <c r="X50333" s="9"/>
    </row>
    <row r="50334">
      <c r="D50334" s="9"/>
      <c r="G50334" s="9"/>
      <c r="J50334" s="11"/>
      <c r="U50334" s="9"/>
      <c r="X50334" s="9"/>
    </row>
    <row r="50335">
      <c r="D50335" s="9"/>
      <c r="G50335" s="9"/>
      <c r="J50335" s="11"/>
      <c r="U50335" s="9"/>
      <c r="X50335" s="9"/>
    </row>
    <row r="50336">
      <c r="D50336" s="9"/>
      <c r="G50336" s="9"/>
      <c r="J50336" s="11"/>
      <c r="U50336" s="9"/>
      <c r="X50336" s="9"/>
    </row>
    <row r="50337">
      <c r="D50337" s="9"/>
      <c r="G50337" s="9"/>
      <c r="J50337" s="11"/>
      <c r="U50337" s="9"/>
      <c r="X50337" s="9"/>
    </row>
    <row r="50338">
      <c r="D50338" s="9"/>
      <c r="G50338" s="9"/>
      <c r="J50338" s="11"/>
      <c r="U50338" s="9"/>
      <c r="X50338" s="9"/>
    </row>
    <row r="50339">
      <c r="D50339" s="9"/>
      <c r="G50339" s="9"/>
      <c r="J50339" s="11"/>
      <c r="U50339" s="9"/>
      <c r="X50339" s="9"/>
    </row>
    <row r="50340">
      <c r="D50340" s="9"/>
      <c r="G50340" s="9"/>
      <c r="J50340" s="11"/>
      <c r="U50340" s="9"/>
      <c r="X50340" s="9"/>
    </row>
    <row r="50341">
      <c r="D50341" s="9"/>
      <c r="G50341" s="9"/>
      <c r="J50341" s="11"/>
      <c r="U50341" s="9"/>
      <c r="X50341" s="9"/>
    </row>
    <row r="50342">
      <c r="D50342" s="9"/>
      <c r="G50342" s="9"/>
      <c r="J50342" s="11"/>
      <c r="U50342" s="9"/>
      <c r="X50342" s="9"/>
    </row>
    <row r="50343">
      <c r="D50343" s="9"/>
      <c r="G50343" s="9"/>
      <c r="J50343" s="11"/>
      <c r="U50343" s="9"/>
      <c r="X50343" s="9"/>
    </row>
    <row r="50344">
      <c r="D50344" s="9"/>
      <c r="G50344" s="9"/>
      <c r="J50344" s="11"/>
      <c r="U50344" s="9"/>
      <c r="X50344" s="9"/>
    </row>
    <row r="50345">
      <c r="D50345" s="9"/>
      <c r="G50345" s="9"/>
      <c r="J50345" s="11"/>
      <c r="U50345" s="9"/>
      <c r="X50345" s="9"/>
    </row>
    <row r="50346">
      <c r="D50346" s="9"/>
      <c r="G50346" s="9"/>
      <c r="J50346" s="11"/>
      <c r="U50346" s="9"/>
      <c r="X50346" s="9"/>
    </row>
    <row r="50347">
      <c r="D50347" s="9"/>
      <c r="G50347" s="9"/>
      <c r="J50347" s="11"/>
      <c r="U50347" s="9"/>
      <c r="X50347" s="9"/>
    </row>
    <row r="50348">
      <c r="D50348" s="9"/>
      <c r="G50348" s="9"/>
      <c r="J50348" s="11"/>
      <c r="U50348" s="9"/>
      <c r="X50348" s="9"/>
    </row>
    <row r="50349">
      <c r="D50349" s="9"/>
      <c r="G50349" s="9"/>
      <c r="J50349" s="11"/>
      <c r="U50349" s="9"/>
      <c r="X50349" s="9"/>
    </row>
    <row r="50350">
      <c r="D50350" s="9"/>
      <c r="G50350" s="9"/>
      <c r="J50350" s="11"/>
      <c r="U50350" s="9"/>
      <c r="X50350" s="9"/>
    </row>
    <row r="50351">
      <c r="D50351" s="9"/>
      <c r="G50351" s="9"/>
      <c r="J50351" s="11"/>
      <c r="U50351" s="9"/>
      <c r="X50351" s="9"/>
    </row>
    <row r="50352">
      <c r="D50352" s="9"/>
      <c r="G50352" s="9"/>
      <c r="J50352" s="11"/>
      <c r="U50352" s="9"/>
      <c r="X50352" s="9"/>
    </row>
    <row r="50353">
      <c r="D50353" s="9"/>
      <c r="G50353" s="9"/>
      <c r="J50353" s="11"/>
      <c r="U50353" s="9"/>
      <c r="X50353" s="9"/>
    </row>
    <row r="50354">
      <c r="D50354" s="9"/>
      <c r="G50354" s="9"/>
      <c r="J50354" s="11"/>
      <c r="U50354" s="9"/>
      <c r="X50354" s="9"/>
    </row>
    <row r="50355">
      <c r="D50355" s="9"/>
      <c r="G50355" s="9"/>
      <c r="J50355" s="11"/>
      <c r="U50355" s="9"/>
      <c r="X50355" s="9"/>
    </row>
    <row r="50356">
      <c r="D50356" s="9"/>
      <c r="G50356" s="9"/>
      <c r="J50356" s="11"/>
      <c r="U50356" s="9"/>
      <c r="X50356" s="9"/>
    </row>
    <row r="50357">
      <c r="D50357" s="9"/>
      <c r="G50357" s="9"/>
      <c r="J50357" s="11"/>
      <c r="U50357" s="9"/>
      <c r="X50357" s="9"/>
    </row>
    <row r="50358">
      <c r="D50358" s="9"/>
      <c r="G50358" s="9"/>
      <c r="J50358" s="11"/>
      <c r="U50358" s="9"/>
      <c r="X50358" s="9"/>
    </row>
    <row r="50359">
      <c r="D50359" s="9"/>
      <c r="G50359" s="9"/>
      <c r="J50359" s="11"/>
      <c r="U50359" s="9"/>
      <c r="X50359" s="9"/>
    </row>
    <row r="50360">
      <c r="D50360" s="9"/>
      <c r="G50360" s="9"/>
      <c r="J50360" s="11"/>
      <c r="U50360" s="9"/>
      <c r="X50360" s="9"/>
    </row>
    <row r="50361">
      <c r="D50361" s="9"/>
      <c r="G50361" s="9"/>
      <c r="J50361" s="11"/>
      <c r="U50361" s="9"/>
      <c r="X50361" s="9"/>
    </row>
    <row r="50362">
      <c r="D50362" s="9"/>
      <c r="G50362" s="9"/>
      <c r="J50362" s="11"/>
      <c r="U50362" s="9"/>
      <c r="X50362" s="9"/>
    </row>
    <row r="50363">
      <c r="D50363" s="9"/>
      <c r="G50363" s="9"/>
      <c r="J50363" s="11"/>
      <c r="U50363" s="9"/>
      <c r="X50363" s="9"/>
    </row>
    <row r="50364">
      <c r="D50364" s="9"/>
      <c r="G50364" s="9"/>
      <c r="J50364" s="11"/>
      <c r="U50364" s="9"/>
      <c r="X50364" s="9"/>
    </row>
    <row r="50365">
      <c r="D50365" s="9"/>
      <c r="G50365" s="9"/>
      <c r="J50365" s="11"/>
      <c r="U50365" s="9"/>
      <c r="X50365" s="9"/>
    </row>
    <row r="50366">
      <c r="D50366" s="9"/>
      <c r="G50366" s="9"/>
      <c r="J50366" s="11"/>
      <c r="U50366" s="9"/>
      <c r="X50366" s="9"/>
    </row>
    <row r="50367">
      <c r="D50367" s="9"/>
      <c r="G50367" s="9"/>
      <c r="J50367" s="11"/>
      <c r="U50367" s="9"/>
      <c r="X50367" s="9"/>
    </row>
    <row r="50368">
      <c r="D50368" s="9"/>
      <c r="G50368" s="9"/>
      <c r="J50368" s="11"/>
      <c r="U50368" s="9"/>
      <c r="X50368" s="9"/>
    </row>
    <row r="50369">
      <c r="D50369" s="9"/>
      <c r="G50369" s="9"/>
      <c r="J50369" s="11"/>
      <c r="U50369" s="9"/>
      <c r="X50369" s="9"/>
    </row>
    <row r="50370">
      <c r="D50370" s="9"/>
      <c r="G50370" s="9"/>
      <c r="J50370" s="11"/>
      <c r="U50370" s="9"/>
      <c r="X50370" s="9"/>
    </row>
    <row r="50371">
      <c r="D50371" s="9"/>
      <c r="G50371" s="9"/>
      <c r="J50371" s="11"/>
      <c r="U50371" s="9"/>
      <c r="X50371" s="9"/>
    </row>
    <row r="50372">
      <c r="D50372" s="9"/>
      <c r="G50372" s="9"/>
      <c r="J50372" s="11"/>
      <c r="U50372" s="9"/>
      <c r="X50372" s="9"/>
    </row>
    <row r="50373">
      <c r="D50373" s="9"/>
      <c r="G50373" s="9"/>
      <c r="J50373" s="11"/>
      <c r="U50373" s="9"/>
      <c r="X50373" s="9"/>
    </row>
    <row r="50374">
      <c r="D50374" s="9"/>
      <c r="G50374" s="9"/>
      <c r="J50374" s="11"/>
      <c r="U50374" s="9"/>
      <c r="X50374" s="9"/>
    </row>
    <row r="50375">
      <c r="D50375" s="9"/>
      <c r="G50375" s="9"/>
      <c r="J50375" s="11"/>
      <c r="U50375" s="9"/>
      <c r="X50375" s="9"/>
    </row>
    <row r="50376">
      <c r="D50376" s="9"/>
      <c r="G50376" s="9"/>
      <c r="J50376" s="11"/>
      <c r="U50376" s="9"/>
      <c r="X50376" s="9"/>
    </row>
    <row r="50377">
      <c r="D50377" s="9"/>
      <c r="G50377" s="9"/>
      <c r="J50377" s="11"/>
      <c r="U50377" s="9"/>
      <c r="X50377" s="9"/>
    </row>
    <row r="50378">
      <c r="D50378" s="9"/>
      <c r="G50378" s="9"/>
      <c r="J50378" s="11"/>
      <c r="U50378" s="9"/>
      <c r="X50378" s="9"/>
    </row>
    <row r="50379">
      <c r="D50379" s="9"/>
      <c r="G50379" s="9"/>
      <c r="J50379" s="11"/>
      <c r="U50379" s="9"/>
      <c r="X50379" s="9"/>
    </row>
    <row r="50380">
      <c r="D50380" s="9"/>
      <c r="G50380" s="9"/>
      <c r="J50380" s="11"/>
      <c r="U50380" s="9"/>
      <c r="X50380" s="9"/>
    </row>
    <row r="50381">
      <c r="D50381" s="9"/>
      <c r="G50381" s="9"/>
      <c r="J50381" s="11"/>
      <c r="U50381" s="9"/>
      <c r="X50381" s="9"/>
    </row>
    <row r="50382">
      <c r="D50382" s="9"/>
      <c r="G50382" s="9"/>
      <c r="J50382" s="11"/>
      <c r="U50382" s="9"/>
      <c r="X50382" s="9"/>
    </row>
    <row r="50383">
      <c r="D50383" s="9"/>
      <c r="G50383" s="9"/>
      <c r="J50383" s="11"/>
      <c r="U50383" s="9"/>
      <c r="X50383" s="9"/>
    </row>
    <row r="50384">
      <c r="D50384" s="9"/>
      <c r="G50384" s="9"/>
      <c r="J50384" s="11"/>
      <c r="U50384" s="9"/>
      <c r="X50384" s="9"/>
    </row>
    <row r="50385">
      <c r="D50385" s="9"/>
      <c r="G50385" s="9"/>
      <c r="J50385" s="11"/>
      <c r="U50385" s="9"/>
      <c r="X50385" s="9"/>
    </row>
    <row r="50386">
      <c r="D50386" s="9"/>
      <c r="G50386" s="9"/>
      <c r="J50386" s="11"/>
      <c r="U50386" s="9"/>
      <c r="X50386" s="9"/>
    </row>
    <row r="50387">
      <c r="D50387" s="9"/>
      <c r="G50387" s="9"/>
      <c r="J50387" s="11"/>
      <c r="U50387" s="9"/>
      <c r="X50387" s="9"/>
    </row>
    <row r="50388">
      <c r="D50388" s="9"/>
      <c r="G50388" s="9"/>
      <c r="J50388" s="11"/>
      <c r="U50388" s="9"/>
      <c r="X50388" s="9"/>
    </row>
    <row r="50389">
      <c r="D50389" s="9"/>
      <c r="G50389" s="9"/>
      <c r="J50389" s="11"/>
      <c r="U50389" s="9"/>
      <c r="X50389" s="9"/>
    </row>
    <row r="50390">
      <c r="D50390" s="9"/>
      <c r="G50390" s="9"/>
      <c r="J50390" s="11"/>
      <c r="U50390" s="9"/>
      <c r="X50390" s="9"/>
    </row>
    <row r="50391">
      <c r="D50391" s="9"/>
      <c r="G50391" s="9"/>
      <c r="J50391" s="11"/>
      <c r="U50391" s="9"/>
      <c r="X50391" s="9"/>
    </row>
    <row r="50392">
      <c r="D50392" s="9"/>
      <c r="G50392" s="9"/>
      <c r="J50392" s="11"/>
      <c r="U50392" s="9"/>
      <c r="X50392" s="9"/>
    </row>
    <row r="50393">
      <c r="D50393" s="9"/>
      <c r="G50393" s="9"/>
      <c r="J50393" s="11"/>
      <c r="U50393" s="9"/>
      <c r="X50393" s="9"/>
    </row>
    <row r="50394">
      <c r="D50394" s="9"/>
      <c r="G50394" s="9"/>
      <c r="J50394" s="11"/>
      <c r="U50394" s="9"/>
      <c r="X50394" s="9"/>
    </row>
    <row r="50395">
      <c r="D50395" s="9"/>
      <c r="G50395" s="9"/>
      <c r="J50395" s="11"/>
      <c r="U50395" s="9"/>
      <c r="X50395" s="9"/>
    </row>
    <row r="50396">
      <c r="D50396" s="9"/>
      <c r="G50396" s="9"/>
      <c r="J50396" s="11"/>
      <c r="U50396" s="9"/>
      <c r="X50396" s="9"/>
    </row>
    <row r="50397">
      <c r="D50397" s="9"/>
      <c r="G50397" s="9"/>
      <c r="J50397" s="11"/>
      <c r="U50397" s="9"/>
      <c r="X50397" s="9"/>
    </row>
    <row r="50398">
      <c r="D50398" s="9"/>
      <c r="G50398" s="9"/>
      <c r="J50398" s="11"/>
      <c r="U50398" s="9"/>
      <c r="X50398" s="9"/>
    </row>
    <row r="50399">
      <c r="D50399" s="9"/>
      <c r="G50399" s="9"/>
      <c r="J50399" s="11"/>
      <c r="U50399" s="9"/>
      <c r="X50399" s="9"/>
    </row>
    <row r="50400">
      <c r="D50400" s="9"/>
      <c r="G50400" s="9"/>
      <c r="J50400" s="11"/>
      <c r="U50400" s="9"/>
      <c r="X50400" s="9"/>
    </row>
    <row r="50401">
      <c r="D50401" s="9"/>
      <c r="G50401" s="9"/>
      <c r="J50401" s="11"/>
      <c r="U50401" s="9"/>
      <c r="X50401" s="9"/>
    </row>
    <row r="50402">
      <c r="D50402" s="9"/>
      <c r="G50402" s="9"/>
      <c r="J50402" s="11"/>
      <c r="U50402" s="9"/>
      <c r="X50402" s="9"/>
    </row>
    <row r="50403">
      <c r="D50403" s="9"/>
      <c r="G50403" s="9"/>
      <c r="J50403" s="11"/>
      <c r="U50403" s="9"/>
      <c r="X50403" s="9"/>
    </row>
    <row r="50404">
      <c r="D50404" s="9"/>
      <c r="G50404" s="9"/>
      <c r="J50404" s="11"/>
      <c r="U50404" s="9"/>
      <c r="X50404" s="9"/>
    </row>
    <row r="50405">
      <c r="D50405" s="9"/>
      <c r="G50405" s="9"/>
      <c r="J50405" s="11"/>
      <c r="U50405" s="9"/>
      <c r="X50405" s="9"/>
    </row>
    <row r="50406">
      <c r="D50406" s="9"/>
      <c r="G50406" s="9"/>
      <c r="J50406" s="11"/>
      <c r="U50406" s="9"/>
      <c r="X50406" s="9"/>
    </row>
    <row r="50407">
      <c r="D50407" s="9"/>
      <c r="G50407" s="9"/>
      <c r="J50407" s="11"/>
      <c r="U50407" s="9"/>
      <c r="X50407" s="9"/>
    </row>
    <row r="50408">
      <c r="D50408" s="9"/>
      <c r="G50408" s="9"/>
      <c r="J50408" s="11"/>
      <c r="U50408" s="9"/>
      <c r="X50408" s="9"/>
    </row>
    <row r="50409">
      <c r="D50409" s="9"/>
      <c r="G50409" s="9"/>
      <c r="J50409" s="11"/>
      <c r="U50409" s="9"/>
      <c r="X50409" s="9"/>
    </row>
    <row r="50410">
      <c r="D50410" s="9"/>
      <c r="G50410" s="9"/>
      <c r="J50410" s="11"/>
      <c r="U50410" s="9"/>
      <c r="X50410" s="9"/>
    </row>
    <row r="50411">
      <c r="D50411" s="9"/>
      <c r="G50411" s="9"/>
      <c r="J50411" s="11"/>
      <c r="U50411" s="9"/>
      <c r="X50411" s="9"/>
    </row>
    <row r="50412">
      <c r="D50412" s="9"/>
      <c r="G50412" s="9"/>
      <c r="J50412" s="11"/>
      <c r="U50412" s="9"/>
      <c r="X50412" s="9"/>
    </row>
    <row r="50413">
      <c r="D50413" s="9"/>
      <c r="G50413" s="9"/>
      <c r="J50413" s="11"/>
      <c r="U50413" s="9"/>
      <c r="X50413" s="9"/>
    </row>
    <row r="50414">
      <c r="D50414" s="9"/>
      <c r="G50414" s="9"/>
      <c r="J50414" s="11"/>
      <c r="U50414" s="9"/>
      <c r="X50414" s="9"/>
    </row>
    <row r="50415">
      <c r="D50415" s="9"/>
      <c r="G50415" s="9"/>
      <c r="J50415" s="11"/>
      <c r="U50415" s="9"/>
      <c r="X50415" s="9"/>
    </row>
    <row r="50416">
      <c r="D50416" s="9"/>
      <c r="G50416" s="9"/>
      <c r="J50416" s="11"/>
      <c r="U50416" s="9"/>
      <c r="X50416" s="9"/>
    </row>
    <row r="50417">
      <c r="D50417" s="9"/>
      <c r="G50417" s="9"/>
      <c r="J50417" s="11"/>
      <c r="U50417" s="9"/>
      <c r="X50417" s="9"/>
    </row>
    <row r="50418">
      <c r="D50418" s="9"/>
      <c r="G50418" s="9"/>
      <c r="J50418" s="11"/>
      <c r="U50418" s="9"/>
      <c r="X50418" s="9"/>
    </row>
    <row r="50419">
      <c r="D50419" s="9"/>
      <c r="G50419" s="9"/>
      <c r="J50419" s="11"/>
      <c r="U50419" s="9"/>
      <c r="X50419" s="9"/>
    </row>
    <row r="50420">
      <c r="D50420" s="9"/>
      <c r="G50420" s="9"/>
      <c r="J50420" s="11"/>
      <c r="U50420" s="9"/>
      <c r="X50420" s="9"/>
    </row>
    <row r="50421">
      <c r="D50421" s="9"/>
      <c r="G50421" s="9"/>
      <c r="J50421" s="11"/>
      <c r="U50421" s="9"/>
      <c r="X50421" s="9"/>
    </row>
    <row r="50422">
      <c r="D50422" s="9"/>
      <c r="G50422" s="9"/>
      <c r="J50422" s="11"/>
      <c r="U50422" s="9"/>
      <c r="X50422" s="9"/>
    </row>
    <row r="50423">
      <c r="D50423" s="9"/>
      <c r="G50423" s="9"/>
      <c r="J50423" s="11"/>
      <c r="U50423" s="9"/>
      <c r="X50423" s="9"/>
    </row>
    <row r="50424">
      <c r="D50424" s="9"/>
      <c r="G50424" s="9"/>
      <c r="J50424" s="11"/>
      <c r="U50424" s="9"/>
      <c r="X50424" s="9"/>
    </row>
    <row r="50425">
      <c r="D50425" s="9"/>
      <c r="G50425" s="9"/>
      <c r="J50425" s="11"/>
      <c r="U50425" s="9"/>
      <c r="X50425" s="9"/>
    </row>
    <row r="50426">
      <c r="D50426" s="9"/>
      <c r="G50426" s="9"/>
      <c r="J50426" s="11"/>
      <c r="U50426" s="9"/>
      <c r="X50426" s="9"/>
    </row>
    <row r="50427">
      <c r="D50427" s="9"/>
      <c r="G50427" s="9"/>
      <c r="J50427" s="11"/>
      <c r="U50427" s="9"/>
      <c r="X50427" s="9"/>
    </row>
    <row r="50428">
      <c r="D50428" s="9"/>
      <c r="G50428" s="9"/>
      <c r="J50428" s="11"/>
      <c r="U50428" s="9"/>
      <c r="X50428" s="9"/>
    </row>
    <row r="50429">
      <c r="D50429" s="9"/>
      <c r="G50429" s="9"/>
      <c r="J50429" s="11"/>
      <c r="U50429" s="9"/>
      <c r="X50429" s="9"/>
    </row>
    <row r="50430">
      <c r="D50430" s="9"/>
      <c r="G50430" s="9"/>
      <c r="J50430" s="11"/>
      <c r="U50430" s="9"/>
      <c r="X50430" s="9"/>
    </row>
    <row r="50431">
      <c r="D50431" s="9"/>
      <c r="G50431" s="9"/>
      <c r="J50431" s="11"/>
      <c r="U50431" s="9"/>
      <c r="X50431" s="9"/>
    </row>
    <row r="50432">
      <c r="D50432" s="9"/>
      <c r="G50432" s="9"/>
      <c r="J50432" s="11"/>
      <c r="U50432" s="9"/>
      <c r="X50432" s="9"/>
    </row>
    <row r="50433">
      <c r="D50433" s="9"/>
      <c r="G50433" s="9"/>
      <c r="J50433" s="11"/>
      <c r="U50433" s="9"/>
      <c r="X50433" s="9"/>
    </row>
    <row r="50434">
      <c r="D50434" s="9"/>
      <c r="G50434" s="9"/>
      <c r="J50434" s="11"/>
      <c r="U50434" s="9"/>
      <c r="X50434" s="9"/>
    </row>
    <row r="50435">
      <c r="D50435" s="9"/>
      <c r="G50435" s="9"/>
      <c r="J50435" s="11"/>
      <c r="U50435" s="9"/>
      <c r="X50435" s="9"/>
    </row>
    <row r="50436">
      <c r="D50436" s="9"/>
      <c r="G50436" s="9"/>
      <c r="J50436" s="11"/>
      <c r="U50436" s="9"/>
      <c r="X50436" s="9"/>
    </row>
    <row r="50437">
      <c r="D50437" s="9"/>
      <c r="G50437" s="9"/>
      <c r="J50437" s="11"/>
      <c r="U50437" s="9"/>
      <c r="X50437" s="9"/>
    </row>
    <row r="50438">
      <c r="D50438" s="9"/>
      <c r="G50438" s="9"/>
      <c r="J50438" s="11"/>
      <c r="U50438" s="9"/>
      <c r="X50438" s="9"/>
    </row>
    <row r="50439">
      <c r="D50439" s="9"/>
      <c r="G50439" s="9"/>
      <c r="J50439" s="11"/>
      <c r="U50439" s="9"/>
      <c r="X50439" s="9"/>
    </row>
    <row r="50440">
      <c r="D50440" s="9"/>
      <c r="G50440" s="9"/>
      <c r="J50440" s="11"/>
      <c r="U50440" s="9"/>
      <c r="X50440" s="9"/>
    </row>
    <row r="50441">
      <c r="D50441" s="9"/>
      <c r="G50441" s="9"/>
      <c r="J50441" s="11"/>
      <c r="U50441" s="9"/>
      <c r="X50441" s="9"/>
    </row>
    <row r="50442">
      <c r="D50442" s="9"/>
      <c r="G50442" s="9"/>
      <c r="J50442" s="11"/>
      <c r="U50442" s="9"/>
      <c r="X50442" s="9"/>
    </row>
    <row r="50443">
      <c r="D50443" s="9"/>
      <c r="G50443" s="9"/>
      <c r="J50443" s="11"/>
      <c r="U50443" s="9"/>
      <c r="X50443" s="9"/>
    </row>
    <row r="50444">
      <c r="D50444" s="9"/>
      <c r="G50444" s="9"/>
      <c r="J50444" s="11"/>
      <c r="U50444" s="9"/>
      <c r="X50444" s="9"/>
    </row>
    <row r="50445">
      <c r="D50445" s="9"/>
      <c r="G50445" s="9"/>
      <c r="J50445" s="11"/>
      <c r="U50445" s="9"/>
      <c r="X50445" s="9"/>
    </row>
    <row r="50446">
      <c r="D50446" s="9"/>
      <c r="G50446" s="9"/>
      <c r="J50446" s="11"/>
      <c r="U50446" s="9"/>
      <c r="X50446" s="9"/>
    </row>
    <row r="50447">
      <c r="D50447" s="9"/>
      <c r="G50447" s="9"/>
      <c r="J50447" s="11"/>
      <c r="U50447" s="9"/>
      <c r="X50447" s="9"/>
    </row>
    <row r="50448">
      <c r="D50448" s="9"/>
      <c r="G50448" s="9"/>
      <c r="J50448" s="11"/>
      <c r="U50448" s="9"/>
      <c r="X50448" s="9"/>
    </row>
    <row r="50449">
      <c r="D50449" s="9"/>
      <c r="G50449" s="9"/>
      <c r="J50449" s="11"/>
      <c r="U50449" s="9"/>
      <c r="X50449" s="9"/>
    </row>
    <row r="50450">
      <c r="D50450" s="9"/>
      <c r="G50450" s="9"/>
      <c r="J50450" s="11"/>
      <c r="U50450" s="9"/>
      <c r="X50450" s="9"/>
    </row>
    <row r="50451">
      <c r="D50451" s="9"/>
      <c r="G50451" s="9"/>
      <c r="J50451" s="11"/>
      <c r="U50451" s="9"/>
      <c r="X50451" s="9"/>
    </row>
    <row r="50452">
      <c r="D50452" s="9"/>
      <c r="G50452" s="9"/>
      <c r="J50452" s="11"/>
      <c r="U50452" s="9"/>
      <c r="X50452" s="9"/>
    </row>
    <row r="50453">
      <c r="D50453" s="9"/>
      <c r="G50453" s="9"/>
      <c r="J50453" s="11"/>
      <c r="U50453" s="9"/>
      <c r="X50453" s="9"/>
    </row>
    <row r="50454">
      <c r="D50454" s="9"/>
      <c r="G50454" s="9"/>
      <c r="J50454" s="11"/>
      <c r="U50454" s="9"/>
      <c r="X50454" s="9"/>
    </row>
    <row r="50455">
      <c r="D50455" s="9"/>
      <c r="G50455" s="9"/>
      <c r="J50455" s="11"/>
      <c r="U50455" s="9"/>
      <c r="X50455" s="9"/>
    </row>
    <row r="50456">
      <c r="D50456" s="9"/>
      <c r="G50456" s="9"/>
      <c r="J50456" s="11"/>
      <c r="U50456" s="9"/>
      <c r="X50456" s="9"/>
    </row>
    <row r="50457">
      <c r="D50457" s="9"/>
      <c r="G50457" s="9"/>
      <c r="J50457" s="11"/>
      <c r="U50457" s="9"/>
      <c r="X50457" s="9"/>
    </row>
    <row r="50458">
      <c r="D50458" s="9"/>
      <c r="G50458" s="9"/>
      <c r="J50458" s="11"/>
      <c r="U50458" s="9"/>
      <c r="X50458" s="9"/>
    </row>
    <row r="50459">
      <c r="D50459" s="9"/>
      <c r="G50459" s="9"/>
      <c r="J50459" s="11"/>
      <c r="U50459" s="9"/>
      <c r="X50459" s="9"/>
    </row>
    <row r="50460">
      <c r="D50460" s="9"/>
      <c r="G50460" s="9"/>
      <c r="J50460" s="11"/>
      <c r="U50460" s="9"/>
      <c r="X50460" s="9"/>
    </row>
    <row r="50461">
      <c r="D50461" s="9"/>
      <c r="G50461" s="9"/>
      <c r="J50461" s="11"/>
      <c r="U50461" s="9"/>
      <c r="X50461" s="9"/>
    </row>
    <row r="50462">
      <c r="D50462" s="9"/>
      <c r="G50462" s="9"/>
      <c r="J50462" s="11"/>
      <c r="U50462" s="9"/>
      <c r="X50462" s="9"/>
    </row>
    <row r="50463">
      <c r="D50463" s="9"/>
      <c r="G50463" s="9"/>
      <c r="J50463" s="11"/>
      <c r="U50463" s="9"/>
      <c r="X50463" s="9"/>
    </row>
    <row r="50464">
      <c r="D50464" s="9"/>
      <c r="G50464" s="9"/>
      <c r="J50464" s="11"/>
      <c r="U50464" s="9"/>
      <c r="X50464" s="9"/>
    </row>
    <row r="50465">
      <c r="D50465" s="9"/>
      <c r="G50465" s="9"/>
      <c r="J50465" s="11"/>
      <c r="U50465" s="9"/>
      <c r="X50465" s="9"/>
    </row>
    <row r="50466">
      <c r="D50466" s="9"/>
      <c r="G50466" s="9"/>
      <c r="J50466" s="11"/>
      <c r="U50466" s="9"/>
      <c r="X50466" s="9"/>
    </row>
    <row r="50467">
      <c r="D50467" s="9"/>
      <c r="G50467" s="9"/>
      <c r="J50467" s="11"/>
      <c r="U50467" s="9"/>
      <c r="X50467" s="9"/>
    </row>
    <row r="50468">
      <c r="D50468" s="9"/>
      <c r="G50468" s="9"/>
      <c r="J50468" s="11"/>
      <c r="U50468" s="9"/>
      <c r="X50468" s="9"/>
    </row>
    <row r="50469">
      <c r="D50469" s="9"/>
      <c r="G50469" s="9"/>
      <c r="J50469" s="11"/>
      <c r="U50469" s="9"/>
      <c r="X50469" s="9"/>
    </row>
    <row r="50470">
      <c r="D50470" s="9"/>
      <c r="G50470" s="9"/>
      <c r="J50470" s="11"/>
      <c r="U50470" s="9"/>
      <c r="X50470" s="9"/>
    </row>
    <row r="50471">
      <c r="D50471" s="9"/>
      <c r="G50471" s="9"/>
      <c r="J50471" s="11"/>
      <c r="U50471" s="9"/>
      <c r="X50471" s="9"/>
    </row>
    <row r="50472">
      <c r="D50472" s="9"/>
      <c r="G50472" s="9"/>
      <c r="J50472" s="11"/>
      <c r="U50472" s="9"/>
      <c r="X50472" s="9"/>
    </row>
    <row r="50473">
      <c r="D50473" s="9"/>
      <c r="G50473" s="9"/>
      <c r="J50473" s="11"/>
      <c r="U50473" s="9"/>
      <c r="X50473" s="9"/>
    </row>
    <row r="50474">
      <c r="D50474" s="9"/>
      <c r="G50474" s="9"/>
      <c r="J50474" s="11"/>
      <c r="U50474" s="9"/>
      <c r="X50474" s="9"/>
    </row>
    <row r="50475">
      <c r="D50475" s="9"/>
      <c r="G50475" s="9"/>
      <c r="J50475" s="11"/>
      <c r="U50475" s="9"/>
      <c r="X50475" s="9"/>
    </row>
    <row r="50476">
      <c r="D50476" s="9"/>
      <c r="G50476" s="9"/>
      <c r="J50476" s="11"/>
      <c r="U50476" s="9"/>
      <c r="X50476" s="9"/>
    </row>
    <row r="50477">
      <c r="D50477" s="9"/>
      <c r="G50477" s="9"/>
      <c r="J50477" s="11"/>
      <c r="U50477" s="9"/>
      <c r="X50477" s="9"/>
    </row>
    <row r="50478">
      <c r="D50478" s="9"/>
      <c r="G50478" s="9"/>
      <c r="J50478" s="11"/>
      <c r="U50478" s="9"/>
      <c r="X50478" s="9"/>
    </row>
    <row r="50479">
      <c r="D50479" s="9"/>
      <c r="G50479" s="9"/>
      <c r="J50479" s="11"/>
      <c r="U50479" s="9"/>
      <c r="X50479" s="9"/>
    </row>
    <row r="50480">
      <c r="D50480" s="9"/>
      <c r="G50480" s="9"/>
      <c r="J50480" s="11"/>
      <c r="U50480" s="9"/>
      <c r="X50480" s="9"/>
    </row>
    <row r="50481">
      <c r="D50481" s="9"/>
      <c r="G50481" s="9"/>
      <c r="J50481" s="11"/>
      <c r="U50481" s="9"/>
      <c r="X50481" s="9"/>
    </row>
    <row r="50482">
      <c r="D50482" s="9"/>
      <c r="G50482" s="9"/>
      <c r="J50482" s="11"/>
      <c r="U50482" s="9"/>
      <c r="X50482" s="9"/>
    </row>
    <row r="50483">
      <c r="D50483" s="9"/>
      <c r="G50483" s="9"/>
      <c r="J50483" s="11"/>
      <c r="U50483" s="9"/>
      <c r="X50483" s="9"/>
    </row>
    <row r="50484">
      <c r="D50484" s="9"/>
      <c r="G50484" s="9"/>
      <c r="J50484" s="11"/>
      <c r="U50484" s="9"/>
      <c r="X50484" s="9"/>
    </row>
    <row r="50485">
      <c r="D50485" s="9"/>
      <c r="G50485" s="9"/>
      <c r="J50485" s="11"/>
      <c r="U50485" s="9"/>
      <c r="X50485" s="9"/>
    </row>
    <row r="50486">
      <c r="D50486" s="9"/>
      <c r="G50486" s="9"/>
      <c r="J50486" s="11"/>
      <c r="U50486" s="9"/>
      <c r="X50486" s="9"/>
    </row>
    <row r="50487">
      <c r="D50487" s="9"/>
      <c r="G50487" s="9"/>
      <c r="J50487" s="11"/>
      <c r="U50487" s="9"/>
      <c r="X50487" s="9"/>
    </row>
    <row r="50488">
      <c r="D50488" s="9"/>
      <c r="G50488" s="9"/>
      <c r="J50488" s="11"/>
      <c r="U50488" s="9"/>
      <c r="X50488" s="9"/>
    </row>
    <row r="50489">
      <c r="D50489" s="9"/>
      <c r="G50489" s="9"/>
      <c r="J50489" s="11"/>
      <c r="U50489" s="9"/>
      <c r="X50489" s="9"/>
    </row>
    <row r="50490">
      <c r="D50490" s="9"/>
      <c r="G50490" s="9"/>
      <c r="J50490" s="11"/>
      <c r="U50490" s="9"/>
      <c r="X50490" s="9"/>
    </row>
    <row r="50491">
      <c r="D50491" s="9"/>
      <c r="G50491" s="9"/>
      <c r="J50491" s="11"/>
      <c r="U50491" s="9"/>
      <c r="X50491" s="9"/>
    </row>
    <row r="50492">
      <c r="D50492" s="9"/>
      <c r="G50492" s="9"/>
      <c r="J50492" s="11"/>
      <c r="U50492" s="9"/>
      <c r="X50492" s="9"/>
    </row>
    <row r="50493">
      <c r="D50493" s="9"/>
      <c r="G50493" s="9"/>
      <c r="J50493" s="11"/>
      <c r="U50493" s="9"/>
      <c r="X50493" s="9"/>
    </row>
    <row r="50494">
      <c r="D50494" s="9"/>
      <c r="G50494" s="9"/>
      <c r="J50494" s="11"/>
      <c r="U50494" s="9"/>
      <c r="X50494" s="9"/>
    </row>
    <row r="50495">
      <c r="D50495" s="9"/>
      <c r="G50495" s="9"/>
      <c r="J50495" s="11"/>
      <c r="U50495" s="9"/>
      <c r="X50495" s="9"/>
    </row>
    <row r="50496">
      <c r="D50496" s="9"/>
      <c r="G50496" s="9"/>
      <c r="J50496" s="11"/>
      <c r="U50496" s="9"/>
      <c r="X50496" s="9"/>
    </row>
    <row r="50497">
      <c r="D50497" s="9"/>
      <c r="G50497" s="9"/>
      <c r="J50497" s="11"/>
      <c r="U50497" s="9"/>
      <c r="X50497" s="9"/>
    </row>
    <row r="50498">
      <c r="D50498" s="9"/>
      <c r="G50498" s="9"/>
      <c r="J50498" s="11"/>
      <c r="U50498" s="9"/>
      <c r="X50498" s="9"/>
    </row>
    <row r="50499">
      <c r="D50499" s="9"/>
      <c r="G50499" s="9"/>
      <c r="J50499" s="11"/>
      <c r="U50499" s="9"/>
      <c r="X50499" s="9"/>
    </row>
    <row r="50500">
      <c r="D50500" s="9"/>
      <c r="G50500" s="9"/>
      <c r="J50500" s="11"/>
      <c r="U50500" s="9"/>
      <c r="X50500" s="9"/>
    </row>
  </sheetData>
  <autoFilter ref="$A$1:$I$50500">
    <sortState ref="A1:I50500">
      <sortCondition ref="I1:I50500"/>
    </sortState>
  </autoFilter>
  <mergeCells count="4">
    <mergeCell ref="T2:U2"/>
    <mergeCell ref="W2:X2"/>
    <mergeCell ref="T10:U10"/>
    <mergeCell ref="W10:X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1.38"/>
    <col customWidth="1" min="3" max="3" width="9.38"/>
    <col customWidth="1" min="4" max="4" width="7.63"/>
    <col customWidth="1" min="5" max="6" width="9.5"/>
    <col customWidth="1" min="7" max="7" width="13.63"/>
    <col customWidth="1" min="8" max="8" width="14.5"/>
    <col customWidth="1" min="9" max="9" width="11.13"/>
    <col customWidth="1" min="11" max="11" width="10.13"/>
  </cols>
  <sheetData>
    <row r="1">
      <c r="A1" s="32" t="s">
        <v>0</v>
      </c>
      <c r="B1" s="33" t="s">
        <v>5</v>
      </c>
      <c r="C1" s="33" t="s">
        <v>523</v>
      </c>
      <c r="D1" s="34" t="s">
        <v>2</v>
      </c>
      <c r="E1" s="35" t="s">
        <v>524</v>
      </c>
      <c r="F1" s="35" t="s">
        <v>8</v>
      </c>
      <c r="G1" s="36" t="s">
        <v>525</v>
      </c>
      <c r="H1" s="36" t="s">
        <v>526</v>
      </c>
      <c r="I1" s="36" t="s">
        <v>527</v>
      </c>
      <c r="J1" s="36" t="s">
        <v>528</v>
      </c>
      <c r="K1" s="37" t="s">
        <v>529</v>
      </c>
    </row>
    <row r="2">
      <c r="A2" s="1" t="s">
        <v>13</v>
      </c>
      <c r="B2" s="38">
        <v>656730.0</v>
      </c>
      <c r="C2" s="38">
        <v>737.0</v>
      </c>
      <c r="D2" s="39">
        <f>sumif('PLA Sheet'!C:C,B2,'PLA Sheet'!H:H)</f>
        <v>47</v>
      </c>
      <c r="E2" s="40">
        <v>5.551442135</v>
      </c>
      <c r="F2" s="40">
        <f>sumif('PLA Sheet'!C:C,B2,'PLA Sheet'!J:J)/D2*9</f>
        <v>1.71580117</v>
      </c>
      <c r="G2" s="41">
        <v>0.601085482</v>
      </c>
      <c r="H2" s="41">
        <v>0.139755767</v>
      </c>
      <c r="I2" s="41">
        <v>0.259158752</v>
      </c>
      <c r="J2" s="41">
        <f t="shared" ref="J2:J472" si="1">G2-I2</f>
        <v>0.34192673</v>
      </c>
      <c r="K2" s="42">
        <v>0.026851477</v>
      </c>
    </row>
    <row r="3">
      <c r="A3" s="1" t="s">
        <v>24</v>
      </c>
      <c r="B3" s="38">
        <v>672282.0</v>
      </c>
      <c r="C3" s="38">
        <v>1020.0</v>
      </c>
      <c r="D3" s="39">
        <f>sumif('PLA Sheet'!C:C,B3,'PLA Sheet'!H:H)</f>
        <v>63.66666667</v>
      </c>
      <c r="E3" s="40">
        <v>5.523818405</v>
      </c>
      <c r="F3" s="40">
        <f>sumif('PLA Sheet'!C:C,B3,'PLA Sheet'!J:J)/D3*9</f>
        <v>1.908388555</v>
      </c>
      <c r="G3" s="41">
        <v>0.582352941</v>
      </c>
      <c r="H3" s="41">
        <v>0.139215686</v>
      </c>
      <c r="I3" s="41">
        <v>0.278431373</v>
      </c>
      <c r="J3" s="41">
        <f t="shared" si="1"/>
        <v>0.303921568</v>
      </c>
      <c r="K3" s="42">
        <v>-7.711649683</v>
      </c>
    </row>
    <row r="4">
      <c r="A4" s="1" t="s">
        <v>28</v>
      </c>
      <c r="B4" s="38">
        <v>643377.0</v>
      </c>
      <c r="C4" s="38">
        <v>1049.0</v>
      </c>
      <c r="D4" s="39">
        <f>sumif('PLA Sheet'!C:C,B4,'PLA Sheet'!H:H)</f>
        <v>66</v>
      </c>
      <c r="E4" s="40">
        <v>5.457665076</v>
      </c>
      <c r="F4" s="40">
        <f>sumif('PLA Sheet'!C:C,B4,'PLA Sheet'!J:J)/D4*9</f>
        <v>1.9745295</v>
      </c>
      <c r="G4" s="41">
        <v>0.536701621</v>
      </c>
      <c r="H4" s="41">
        <v>0.205910391</v>
      </c>
      <c r="I4" s="41">
        <v>0.257387989</v>
      </c>
      <c r="J4" s="41">
        <f t="shared" si="1"/>
        <v>0.279313632</v>
      </c>
      <c r="K4" s="42">
        <v>-3.451480102</v>
      </c>
    </row>
    <row r="5">
      <c r="A5" s="1" t="s">
        <v>32</v>
      </c>
      <c r="B5" s="38">
        <v>656945.0</v>
      </c>
      <c r="C5" s="38">
        <v>893.0</v>
      </c>
      <c r="D5" s="39">
        <f>sumif('PLA Sheet'!C:C,B5,'PLA Sheet'!H:H)</f>
        <v>57</v>
      </c>
      <c r="E5" s="40">
        <v>5.444553871</v>
      </c>
      <c r="F5" s="40">
        <f>sumif('PLA Sheet'!C:C,B5,'PLA Sheet'!J:J)/D5*9</f>
        <v>2.129288053</v>
      </c>
      <c r="G5" s="41">
        <v>0.563269877</v>
      </c>
      <c r="H5" s="41">
        <v>0.167973124</v>
      </c>
      <c r="I5" s="41">
        <v>0.268756999</v>
      </c>
      <c r="J5" s="41">
        <f t="shared" si="1"/>
        <v>0.294512878</v>
      </c>
      <c r="K5" s="42">
        <v>-9.878983524</v>
      </c>
    </row>
    <row r="6">
      <c r="A6" s="1" t="s">
        <v>30</v>
      </c>
      <c r="B6" s="38">
        <v>678495.0</v>
      </c>
      <c r="C6" s="38">
        <v>780.0</v>
      </c>
      <c r="D6" s="39">
        <f>sumif('PLA Sheet'!C:C,B6,'PLA Sheet'!H:H)</f>
        <v>50.66666666</v>
      </c>
      <c r="E6" s="40">
        <v>5.434813171</v>
      </c>
      <c r="F6" s="40">
        <f>sumif('PLA Sheet'!C:C,B6,'PLA Sheet'!J:J)/D6*9</f>
        <v>2.036375349</v>
      </c>
      <c r="G6" s="41">
        <v>0.551282051</v>
      </c>
      <c r="H6" s="41">
        <v>0.112820513</v>
      </c>
      <c r="I6" s="41">
        <v>0.335897436</v>
      </c>
      <c r="J6" s="41">
        <f t="shared" si="1"/>
        <v>0.215384615</v>
      </c>
      <c r="K6" s="42">
        <v>-2.429265296</v>
      </c>
    </row>
    <row r="7">
      <c r="A7" s="1" t="s">
        <v>41</v>
      </c>
      <c r="B7" s="38">
        <v>547973.0</v>
      </c>
      <c r="C7" s="38">
        <v>881.0</v>
      </c>
      <c r="D7" s="39">
        <f>sumif('PLA Sheet'!C:C,B7,'PLA Sheet'!H:H)</f>
        <v>61.33333333</v>
      </c>
      <c r="E7" s="40">
        <v>5.374509638</v>
      </c>
      <c r="F7" s="40">
        <f>sumif('PLA Sheet'!C:C,B7,'PLA Sheet'!J:J)/D7*9</f>
        <v>2.202631973</v>
      </c>
      <c r="G7" s="41">
        <v>0.555051078</v>
      </c>
      <c r="H7" s="41">
        <v>0.161180477</v>
      </c>
      <c r="I7" s="41">
        <v>0.283768445</v>
      </c>
      <c r="J7" s="41">
        <f t="shared" si="1"/>
        <v>0.271282633</v>
      </c>
      <c r="K7" s="42">
        <v>12.55237474</v>
      </c>
    </row>
    <row r="8">
      <c r="A8" s="1" t="s">
        <v>114</v>
      </c>
      <c r="B8" s="38">
        <v>642207.0</v>
      </c>
      <c r="C8" s="38">
        <v>1087.0</v>
      </c>
      <c r="D8" s="39">
        <f>sumif('PLA Sheet'!C:C,B8,'PLA Sheet'!H:H)</f>
        <v>61.99999999</v>
      </c>
      <c r="E8" s="40">
        <v>5.357581146</v>
      </c>
      <c r="F8" s="40">
        <f>sumif('PLA Sheet'!C:C,B8,'PLA Sheet'!J:J)/D8*9</f>
        <v>2.660842597</v>
      </c>
      <c r="G8" s="41">
        <v>0.548298068</v>
      </c>
      <c r="H8" s="41">
        <v>0.157313707</v>
      </c>
      <c r="I8" s="41">
        <v>0.294388224</v>
      </c>
      <c r="J8" s="41">
        <f t="shared" si="1"/>
        <v>0.253909844</v>
      </c>
      <c r="K8" s="42">
        <v>3.81622024</v>
      </c>
    </row>
    <row r="9">
      <c r="A9" s="1" t="s">
        <v>35</v>
      </c>
      <c r="B9" s="38">
        <v>676083.0</v>
      </c>
      <c r="C9" s="38">
        <v>1558.0</v>
      </c>
      <c r="D9" s="39">
        <f>sumif('PLA Sheet'!C:C,B9,'PLA Sheet'!H:H)</f>
        <v>110</v>
      </c>
      <c r="E9" s="40">
        <v>5.354038079</v>
      </c>
      <c r="F9" s="40">
        <f>sumif('PLA Sheet'!C:C,B9,'PLA Sheet'!J:J)/D9*9</f>
        <v>2.187423082</v>
      </c>
      <c r="G9" s="41">
        <v>0.522464698</v>
      </c>
      <c r="H9" s="41">
        <v>0.197689345</v>
      </c>
      <c r="I9" s="41">
        <v>0.279845956</v>
      </c>
      <c r="J9" s="41">
        <f t="shared" si="1"/>
        <v>0.242618742</v>
      </c>
      <c r="K9" s="42">
        <v>-16.06718673</v>
      </c>
    </row>
    <row r="10">
      <c r="A10" s="1" t="s">
        <v>59</v>
      </c>
      <c r="B10" s="38">
        <v>623352.0</v>
      </c>
      <c r="C10" s="38">
        <v>823.0</v>
      </c>
      <c r="D10" s="39">
        <f>sumif('PLA Sheet'!C:C,B10,'PLA Sheet'!H:H)</f>
        <v>52.66666667</v>
      </c>
      <c r="E10" s="40">
        <v>5.347692156</v>
      </c>
      <c r="F10" s="40">
        <f>sumif('PLA Sheet'!C:C,B10,'PLA Sheet'!J:J)/D10*9</f>
        <v>2.368545608</v>
      </c>
      <c r="G10" s="41">
        <v>0.54799514</v>
      </c>
      <c r="H10" s="41">
        <v>0.148238153</v>
      </c>
      <c r="I10" s="41">
        <v>0.303766707</v>
      </c>
      <c r="J10" s="41">
        <f t="shared" si="1"/>
        <v>0.244228433</v>
      </c>
      <c r="K10" s="42">
        <v>4.639703312</v>
      </c>
    </row>
    <row r="11">
      <c r="A11" s="1" t="s">
        <v>73</v>
      </c>
      <c r="B11" s="38">
        <v>668881.0</v>
      </c>
      <c r="C11" s="38">
        <v>1692.0</v>
      </c>
      <c r="D11" s="39">
        <f>sumif('PLA Sheet'!C:C,B11,'PLA Sheet'!H:H)</f>
        <v>107.6666667</v>
      </c>
      <c r="E11" s="40">
        <v>5.340594917</v>
      </c>
      <c r="F11" s="40">
        <f>sumif('PLA Sheet'!C:C,B11,'PLA Sheet'!J:J)/D11*9</f>
        <v>2.431789022</v>
      </c>
      <c r="G11" s="41">
        <v>0.536052009</v>
      </c>
      <c r="H11" s="41">
        <v>0.174349882</v>
      </c>
      <c r="I11" s="41">
        <v>0.289598109</v>
      </c>
      <c r="J11" s="41">
        <f t="shared" si="1"/>
        <v>0.2464539</v>
      </c>
      <c r="K11" s="42">
        <v>17.87292913</v>
      </c>
    </row>
    <row r="12">
      <c r="A12" s="1" t="s">
        <v>20</v>
      </c>
      <c r="B12" s="38">
        <v>643511.0</v>
      </c>
      <c r="C12" s="38">
        <v>946.0</v>
      </c>
      <c r="D12" s="39">
        <f>sumif('PLA Sheet'!C:C,B12,'PLA Sheet'!H:H)</f>
        <v>77.33333333</v>
      </c>
      <c r="E12" s="40">
        <v>5.337251635</v>
      </c>
      <c r="F12" s="40">
        <f>sumif('PLA Sheet'!C:C,B12,'PLA Sheet'!J:J)/D12*9</f>
        <v>1.871399677</v>
      </c>
      <c r="G12" s="41">
        <v>0.541226216</v>
      </c>
      <c r="H12" s="41">
        <v>0.189217759</v>
      </c>
      <c r="I12" s="41">
        <v>0.269556025</v>
      </c>
      <c r="J12" s="41">
        <f t="shared" si="1"/>
        <v>0.271670191</v>
      </c>
      <c r="K12" s="42">
        <v>3.506768645</v>
      </c>
    </row>
    <row r="13">
      <c r="A13" s="1" t="s">
        <v>55</v>
      </c>
      <c r="B13" s="38">
        <v>641816.0</v>
      </c>
      <c r="C13" s="38">
        <v>1346.0</v>
      </c>
      <c r="D13" s="39">
        <f>sumif('PLA Sheet'!C:C,B13,'PLA Sheet'!H:H)</f>
        <v>86.66666667</v>
      </c>
      <c r="E13" s="40">
        <v>5.336449147</v>
      </c>
      <c r="F13" s="40">
        <f>sumif('PLA Sheet'!C:C,B13,'PLA Sheet'!J:J)/D13*9</f>
        <v>2.343138507</v>
      </c>
      <c r="G13" s="41">
        <v>0.530460624</v>
      </c>
      <c r="H13" s="41">
        <v>0.174591382</v>
      </c>
      <c r="I13" s="41">
        <v>0.294947994</v>
      </c>
      <c r="J13" s="41">
        <f t="shared" si="1"/>
        <v>0.23551263</v>
      </c>
      <c r="K13" s="42">
        <v>6.693034905</v>
      </c>
    </row>
    <row r="14">
      <c r="A14" s="1" t="s">
        <v>126</v>
      </c>
      <c r="B14" s="38">
        <v>701487.0</v>
      </c>
      <c r="C14" s="38">
        <v>525.0</v>
      </c>
      <c r="D14" s="39">
        <f>sumif('PLA Sheet'!C:C,B14,'PLA Sheet'!H:H)</f>
        <v>30</v>
      </c>
      <c r="E14" s="40">
        <v>5.330477535</v>
      </c>
      <c r="F14" s="40">
        <f>sumif('PLA Sheet'!C:C,B14,'PLA Sheet'!J:J)/D14*9</f>
        <v>2.7188046</v>
      </c>
      <c r="G14" s="41">
        <v>0.525714286</v>
      </c>
      <c r="H14" s="41">
        <v>0.171428571</v>
      </c>
      <c r="I14" s="41">
        <v>0.302857143</v>
      </c>
      <c r="J14" s="41">
        <f t="shared" si="1"/>
        <v>0.222857143</v>
      </c>
      <c r="K14" s="42">
        <v>-6.21001518</v>
      </c>
    </row>
    <row r="15">
      <c r="A15" s="1" t="s">
        <v>118</v>
      </c>
      <c r="B15" s="38">
        <v>695505.0</v>
      </c>
      <c r="C15" s="38">
        <v>745.0</v>
      </c>
      <c r="D15" s="39">
        <f>sumif('PLA Sheet'!C:C,B15,'PLA Sheet'!H:H)</f>
        <v>43.33333333</v>
      </c>
      <c r="E15" s="40">
        <v>5.326864315</v>
      </c>
      <c r="F15" s="40">
        <f>sumif('PLA Sheet'!C:C,B15,'PLA Sheet'!J:J)/D15*9</f>
        <v>2.681063239</v>
      </c>
      <c r="G15" s="41">
        <v>0.563758389</v>
      </c>
      <c r="H15" s="41">
        <v>0.134228188</v>
      </c>
      <c r="I15" s="41">
        <v>0.302013423</v>
      </c>
      <c r="J15" s="41">
        <f t="shared" si="1"/>
        <v>0.261744966</v>
      </c>
      <c r="K15" s="42">
        <v>-2.831941768</v>
      </c>
    </row>
    <row r="16">
      <c r="A16" s="1" t="s">
        <v>38</v>
      </c>
      <c r="B16" s="38">
        <v>595345.0</v>
      </c>
      <c r="C16" s="38">
        <v>1023.0</v>
      </c>
      <c r="D16" s="39">
        <f>sumif('PLA Sheet'!C:C,B16,'PLA Sheet'!H:H)</f>
        <v>71.66666667</v>
      </c>
      <c r="E16" s="40">
        <v>5.324264095</v>
      </c>
      <c r="F16" s="40">
        <f>sumif('PLA Sheet'!C:C,B16,'PLA Sheet'!J:J)/D16*9</f>
        <v>2.192144191</v>
      </c>
      <c r="G16" s="41">
        <v>0.545454545</v>
      </c>
      <c r="H16" s="41">
        <v>0.149560117</v>
      </c>
      <c r="I16" s="41">
        <v>0.304985337</v>
      </c>
      <c r="J16" s="41">
        <f t="shared" si="1"/>
        <v>0.240469208</v>
      </c>
      <c r="K16" s="42">
        <v>5.593565014</v>
      </c>
    </row>
    <row r="17">
      <c r="A17" s="1" t="s">
        <v>47</v>
      </c>
      <c r="B17" s="38">
        <v>686973.0</v>
      </c>
      <c r="C17" s="38">
        <v>1037.0</v>
      </c>
      <c r="D17" s="39">
        <f>sumif('PLA Sheet'!C:C,B17,'PLA Sheet'!H:H)</f>
        <v>72.66666667</v>
      </c>
      <c r="E17" s="40">
        <v>5.323182779</v>
      </c>
      <c r="F17" s="40">
        <f>sumif('PLA Sheet'!C:C,B17,'PLA Sheet'!J:J)/D17*9</f>
        <v>2.212189885</v>
      </c>
      <c r="G17" s="41">
        <v>0.544840887</v>
      </c>
      <c r="H17" s="41">
        <v>0.159112825</v>
      </c>
      <c r="I17" s="41">
        <v>0.296046287</v>
      </c>
      <c r="J17" s="41">
        <f t="shared" si="1"/>
        <v>0.2487946</v>
      </c>
      <c r="K17" s="42">
        <v>-8.874568799</v>
      </c>
    </row>
    <row r="18">
      <c r="A18" s="1" t="s">
        <v>53</v>
      </c>
      <c r="B18" s="38">
        <v>642100.0</v>
      </c>
      <c r="C18" s="38">
        <v>887.0</v>
      </c>
      <c r="D18" s="39">
        <f>sumif('PLA Sheet'!C:C,B18,'PLA Sheet'!H:H)</f>
        <v>62</v>
      </c>
      <c r="E18" s="40">
        <v>5.320631368</v>
      </c>
      <c r="F18" s="40">
        <f>sumif('PLA Sheet'!C:C,B18,'PLA Sheet'!J:J)/D18*9</f>
        <v>2.343137371</v>
      </c>
      <c r="G18" s="41">
        <v>0.533258174</v>
      </c>
      <c r="H18" s="41">
        <v>0.186020293</v>
      </c>
      <c r="I18" s="41">
        <v>0.280721533</v>
      </c>
      <c r="J18" s="41">
        <f t="shared" si="1"/>
        <v>0.252536641</v>
      </c>
      <c r="K18" s="42">
        <v>9.576332116</v>
      </c>
    </row>
    <row r="19">
      <c r="A19" s="1" t="s">
        <v>92</v>
      </c>
      <c r="B19" s="38">
        <v>681911.0</v>
      </c>
      <c r="C19" s="38">
        <v>989.0</v>
      </c>
      <c r="D19" s="39">
        <f>sumif('PLA Sheet'!C:C,B19,'PLA Sheet'!H:H)</f>
        <v>59.66666667</v>
      </c>
      <c r="E19" s="40">
        <v>5.317073954</v>
      </c>
      <c r="F19" s="40">
        <f>sumif('PLA Sheet'!C:C,B19,'PLA Sheet'!J:J)/D19*9</f>
        <v>2.550087402</v>
      </c>
      <c r="G19" s="41">
        <v>0.5429727</v>
      </c>
      <c r="H19" s="41">
        <v>0.142568251</v>
      </c>
      <c r="I19" s="41">
        <v>0.31445905</v>
      </c>
      <c r="J19" s="41">
        <f t="shared" si="1"/>
        <v>0.22851365</v>
      </c>
      <c r="K19" s="42">
        <v>9.487545226</v>
      </c>
    </row>
    <row r="20">
      <c r="A20" s="1" t="s">
        <v>79</v>
      </c>
      <c r="B20" s="38">
        <v>554430.0</v>
      </c>
      <c r="C20" s="38">
        <v>2326.0</v>
      </c>
      <c r="D20" s="39">
        <f>sumif('PLA Sheet'!C:C,B20,'PLA Sheet'!H:H)</f>
        <v>149.6666667</v>
      </c>
      <c r="E20" s="40">
        <v>5.314479604</v>
      </c>
      <c r="F20" s="40">
        <f>sumif('PLA Sheet'!C:C,B20,'PLA Sheet'!J:J)/D20*9</f>
        <v>2.456226922</v>
      </c>
      <c r="G20" s="41">
        <v>0.525795357</v>
      </c>
      <c r="H20" s="41">
        <v>0.157781599</v>
      </c>
      <c r="I20" s="41">
        <v>0.316423044</v>
      </c>
      <c r="J20" s="41">
        <f t="shared" si="1"/>
        <v>0.209372313</v>
      </c>
      <c r="K20" s="42">
        <v>13.01821367</v>
      </c>
    </row>
    <row r="21">
      <c r="A21" s="1" t="s">
        <v>106</v>
      </c>
      <c r="B21" s="38">
        <v>691799.0</v>
      </c>
      <c r="C21" s="38">
        <v>570.0</v>
      </c>
      <c r="D21" s="39">
        <f>sumif('PLA Sheet'!C:C,B21,'PLA Sheet'!H:H)</f>
        <v>36.66666667</v>
      </c>
      <c r="E21" s="40">
        <v>5.309641941</v>
      </c>
      <c r="F21" s="40">
        <f>sumif('PLA Sheet'!C:C,B21,'PLA Sheet'!J:J)/D21*9</f>
        <v>2.636438318</v>
      </c>
      <c r="G21" s="41">
        <v>0.510526316</v>
      </c>
      <c r="H21" s="41">
        <v>0.180701754</v>
      </c>
      <c r="I21" s="41">
        <v>0.30877193</v>
      </c>
      <c r="J21" s="41">
        <f t="shared" si="1"/>
        <v>0.201754386</v>
      </c>
      <c r="K21" s="42">
        <v>-5.115039073</v>
      </c>
    </row>
    <row r="22">
      <c r="A22" s="1" t="s">
        <v>116</v>
      </c>
      <c r="B22" s="38">
        <v>621051.0</v>
      </c>
      <c r="C22" s="38">
        <v>948.0</v>
      </c>
      <c r="D22" s="39">
        <f>sumif('PLA Sheet'!C:C,B22,'PLA Sheet'!H:H)</f>
        <v>55.33333333</v>
      </c>
      <c r="E22" s="40">
        <v>5.309207659</v>
      </c>
      <c r="F22" s="40">
        <f>sumif('PLA Sheet'!C:C,B22,'PLA Sheet'!J:J)/D22*9</f>
        <v>2.666451362</v>
      </c>
      <c r="G22" s="41">
        <v>0.510548523</v>
      </c>
      <c r="H22" s="41">
        <v>0.155063291</v>
      </c>
      <c r="I22" s="41">
        <v>0.334388186</v>
      </c>
      <c r="J22" s="41">
        <f t="shared" si="1"/>
        <v>0.176160337</v>
      </c>
      <c r="K22" s="42">
        <v>-1.87205349</v>
      </c>
    </row>
    <row r="23">
      <c r="A23" s="1" t="s">
        <v>94</v>
      </c>
      <c r="B23" s="38">
        <v>669093.0</v>
      </c>
      <c r="C23" s="38">
        <v>1191.0</v>
      </c>
      <c r="D23" s="39">
        <f>sumif('PLA Sheet'!C:C,B23,'PLA Sheet'!H:H)</f>
        <v>73</v>
      </c>
      <c r="E23" s="40">
        <v>5.308250279</v>
      </c>
      <c r="F23" s="40">
        <f>sumif('PLA Sheet'!C:C,B23,'PLA Sheet'!J:J)/D23*9</f>
        <v>2.57372248</v>
      </c>
      <c r="G23" s="41">
        <v>0.534844668</v>
      </c>
      <c r="H23" s="41">
        <v>0.141057935</v>
      </c>
      <c r="I23" s="41">
        <v>0.324097397</v>
      </c>
      <c r="J23" s="41">
        <f t="shared" si="1"/>
        <v>0.210747271</v>
      </c>
      <c r="K23" s="42">
        <v>-3.016487804</v>
      </c>
    </row>
    <row r="24">
      <c r="A24" s="1" t="s">
        <v>188</v>
      </c>
      <c r="B24" s="38">
        <v>694819.0</v>
      </c>
      <c r="C24" s="38">
        <v>1127.0</v>
      </c>
      <c r="D24" s="39">
        <f>sumif('PLA Sheet'!C:C,B24,'PLA Sheet'!H:H)</f>
        <v>65.99999999</v>
      </c>
      <c r="E24" s="40">
        <v>5.30293274</v>
      </c>
      <c r="F24" s="40">
        <f>sumif('PLA Sheet'!C:C,B24,'PLA Sheet'!J:J)/D24*9</f>
        <v>2.897399182</v>
      </c>
      <c r="G24" s="41">
        <v>0.546583851</v>
      </c>
      <c r="H24" s="41">
        <v>0.167701863</v>
      </c>
      <c r="I24" s="41">
        <v>0.285714286</v>
      </c>
      <c r="J24" s="41">
        <f t="shared" si="1"/>
        <v>0.260869565</v>
      </c>
      <c r="K24" s="42">
        <v>10.99144036</v>
      </c>
    </row>
    <row r="25">
      <c r="A25" s="1" t="s">
        <v>76</v>
      </c>
      <c r="B25" s="38">
        <v>687911.0</v>
      </c>
      <c r="C25" s="38">
        <v>999.0</v>
      </c>
      <c r="D25" s="39">
        <f>sumif('PLA Sheet'!C:C,B25,'PLA Sheet'!H:H)</f>
        <v>68</v>
      </c>
      <c r="E25" s="40">
        <v>5.301869668</v>
      </c>
      <c r="F25" s="40">
        <f>sumif('PLA Sheet'!C:C,B25,'PLA Sheet'!J:J)/D25*9</f>
        <v>2.442949941</v>
      </c>
      <c r="G25" s="41">
        <v>0.531531532</v>
      </c>
      <c r="H25" s="41">
        <v>0.182182182</v>
      </c>
      <c r="I25" s="41">
        <v>0.286286286</v>
      </c>
      <c r="J25" s="41">
        <f t="shared" si="1"/>
        <v>0.245245246</v>
      </c>
      <c r="K25" s="42">
        <v>-2.952325405</v>
      </c>
    </row>
    <row r="26">
      <c r="A26" s="1" t="s">
        <v>63</v>
      </c>
      <c r="B26" s="38">
        <v>687888.0</v>
      </c>
      <c r="C26" s="38">
        <v>788.0</v>
      </c>
      <c r="D26" s="39">
        <f>sumif('PLA Sheet'!C:C,B26,'PLA Sheet'!H:H)</f>
        <v>53.66666667</v>
      </c>
      <c r="E26" s="40">
        <v>5.297070528</v>
      </c>
      <c r="F26" s="40">
        <f>sumif('PLA Sheet'!C:C,B26,'PLA Sheet'!J:J)/D26*9</f>
        <v>2.402945161</v>
      </c>
      <c r="G26" s="41">
        <v>0.506345178</v>
      </c>
      <c r="H26" s="41">
        <v>0.184010152</v>
      </c>
      <c r="I26" s="41">
        <v>0.30964467</v>
      </c>
      <c r="J26" s="41">
        <f t="shared" si="1"/>
        <v>0.196700508</v>
      </c>
      <c r="K26" s="42">
        <v>6.518667525</v>
      </c>
    </row>
    <row r="27">
      <c r="A27" s="1" t="s">
        <v>98</v>
      </c>
      <c r="B27" s="38">
        <v>605400.0</v>
      </c>
      <c r="C27" s="38">
        <v>1520.0</v>
      </c>
      <c r="D27" s="39">
        <f>sumif('PLA Sheet'!C:C,B27,'PLA Sheet'!H:H)</f>
        <v>94.33333333</v>
      </c>
      <c r="E27" s="40">
        <v>5.296221747</v>
      </c>
      <c r="F27" s="40">
        <f>sumif('PLA Sheet'!C:C,B27,'PLA Sheet'!J:J)/D27*9</f>
        <v>2.594749039</v>
      </c>
      <c r="G27" s="41">
        <v>0.536842105</v>
      </c>
      <c r="H27" s="41">
        <v>0.168421053</v>
      </c>
      <c r="I27" s="41">
        <v>0.294736842</v>
      </c>
      <c r="J27" s="41">
        <f t="shared" si="1"/>
        <v>0.242105263</v>
      </c>
      <c r="K27" s="42">
        <v>-12.61781757</v>
      </c>
    </row>
    <row r="28">
      <c r="A28" s="1" t="s">
        <v>57</v>
      </c>
      <c r="B28" s="38">
        <v>594798.0</v>
      </c>
      <c r="C28" s="38">
        <v>2564.0</v>
      </c>
      <c r="D28" s="39">
        <f>sumif('PLA Sheet'!C:C,B28,'PLA Sheet'!H:H)</f>
        <v>172.6666667</v>
      </c>
      <c r="E28" s="40">
        <v>5.28910785</v>
      </c>
      <c r="F28" s="40">
        <f>sumif('PLA Sheet'!C:C,B28,'PLA Sheet'!J:J)/D28*9</f>
        <v>2.343703413</v>
      </c>
      <c r="G28" s="41">
        <v>0.526521061</v>
      </c>
      <c r="H28" s="41">
        <v>0.163806552</v>
      </c>
      <c r="I28" s="41">
        <v>0.309672387</v>
      </c>
      <c r="J28" s="41">
        <f t="shared" si="1"/>
        <v>0.216848674</v>
      </c>
      <c r="K28" s="42">
        <v>9.418820299</v>
      </c>
    </row>
    <row r="29">
      <c r="A29" s="1" t="s">
        <v>44</v>
      </c>
      <c r="B29" s="38">
        <v>650911.0</v>
      </c>
      <c r="C29" s="38">
        <v>2787.0</v>
      </c>
      <c r="D29" s="39">
        <f>sumif('PLA Sheet'!C:C,B29,'PLA Sheet'!H:H)</f>
        <v>202</v>
      </c>
      <c r="E29" s="40">
        <v>5.28875744</v>
      </c>
      <c r="F29" s="40">
        <f>sumif('PLA Sheet'!C:C,B29,'PLA Sheet'!J:J)/D29*9</f>
        <v>2.205897371</v>
      </c>
      <c r="G29" s="41">
        <v>0.5245784</v>
      </c>
      <c r="H29" s="41">
        <v>0.177251525</v>
      </c>
      <c r="I29" s="41">
        <v>0.298170075</v>
      </c>
      <c r="J29" s="41">
        <f t="shared" si="1"/>
        <v>0.226408325</v>
      </c>
      <c r="K29" s="42">
        <v>15.21429682</v>
      </c>
    </row>
    <row r="30">
      <c r="A30" s="1" t="s">
        <v>91</v>
      </c>
      <c r="B30" s="38">
        <v>669276.0</v>
      </c>
      <c r="C30" s="38">
        <v>1062.0</v>
      </c>
      <c r="D30" s="39">
        <f>sumif('PLA Sheet'!C:C,B30,'PLA Sheet'!H:H)</f>
        <v>68.33333334</v>
      </c>
      <c r="E30" s="40">
        <v>5.2854582</v>
      </c>
      <c r="F30" s="40">
        <f>sumif('PLA Sheet'!C:C,B30,'PLA Sheet'!J:J)/D30*9</f>
        <v>2.548583473</v>
      </c>
      <c r="G30" s="41">
        <v>0.520715631</v>
      </c>
      <c r="H30" s="41">
        <v>0.15819209</v>
      </c>
      <c r="I30" s="41">
        <v>0.321092279</v>
      </c>
      <c r="J30" s="41">
        <f t="shared" si="1"/>
        <v>0.199623352</v>
      </c>
      <c r="K30" s="42">
        <v>6.102192555</v>
      </c>
    </row>
    <row r="31">
      <c r="A31" s="1" t="s">
        <v>77</v>
      </c>
      <c r="B31" s="38">
        <v>657277.0</v>
      </c>
      <c r="C31" s="38">
        <v>3191.0</v>
      </c>
      <c r="D31" s="39">
        <f>sumif('PLA Sheet'!C:C,B31,'PLA Sheet'!H:H)</f>
        <v>207</v>
      </c>
      <c r="E31" s="40">
        <v>5.283011265</v>
      </c>
      <c r="F31" s="40">
        <f>sumif('PLA Sheet'!C:C,B31,'PLA Sheet'!J:J)/D31*9</f>
        <v>2.451664</v>
      </c>
      <c r="G31" s="41">
        <v>0.516452523</v>
      </c>
      <c r="H31" s="41">
        <v>0.179880915</v>
      </c>
      <c r="I31" s="41">
        <v>0.303666562</v>
      </c>
      <c r="J31" s="41">
        <f t="shared" si="1"/>
        <v>0.212785961</v>
      </c>
      <c r="K31" s="42">
        <v>-31.17304024</v>
      </c>
    </row>
    <row r="32">
      <c r="A32" s="1" t="s">
        <v>93</v>
      </c>
      <c r="B32" s="38">
        <v>669194.0</v>
      </c>
      <c r="C32" s="38">
        <v>2381.0</v>
      </c>
      <c r="D32" s="39">
        <f>sumif('PLA Sheet'!C:C,B32,'PLA Sheet'!H:H)</f>
        <v>154</v>
      </c>
      <c r="E32" s="40">
        <v>5.278994688</v>
      </c>
      <c r="F32" s="40">
        <f>sumif('PLA Sheet'!C:C,B32,'PLA Sheet'!J:J)/D32*9</f>
        <v>2.570977519</v>
      </c>
      <c r="G32" s="41">
        <v>0.53548929</v>
      </c>
      <c r="H32" s="41">
        <v>0.159176816</v>
      </c>
      <c r="I32" s="41">
        <v>0.305333893</v>
      </c>
      <c r="J32" s="41">
        <f t="shared" si="1"/>
        <v>0.230155397</v>
      </c>
      <c r="K32" s="42">
        <v>4.534501868</v>
      </c>
    </row>
    <row r="33">
      <c r="A33" s="1" t="s">
        <v>48</v>
      </c>
      <c r="B33" s="38">
        <v>552640.0</v>
      </c>
      <c r="C33" s="38">
        <v>752.0</v>
      </c>
      <c r="D33" s="39">
        <f>sumif('PLA Sheet'!C:C,B33,'PLA Sheet'!H:H)</f>
        <v>53</v>
      </c>
      <c r="E33" s="40">
        <v>5.278551522</v>
      </c>
      <c r="F33" s="40">
        <f>sumif('PLA Sheet'!C:C,B33,'PLA Sheet'!J:J)/D33*9</f>
        <v>2.26751383</v>
      </c>
      <c r="G33" s="41">
        <v>0.497340426</v>
      </c>
      <c r="H33" s="41">
        <v>0.22606383</v>
      </c>
      <c r="I33" s="41">
        <v>0.276595745</v>
      </c>
      <c r="J33" s="41">
        <f t="shared" si="1"/>
        <v>0.220744681</v>
      </c>
      <c r="K33" s="42">
        <v>11.24107583</v>
      </c>
    </row>
    <row r="34">
      <c r="A34" s="1" t="s">
        <v>165</v>
      </c>
      <c r="B34" s="38">
        <v>689147.0</v>
      </c>
      <c r="C34" s="38">
        <v>1044.0</v>
      </c>
      <c r="D34" s="39">
        <f>sumif('PLA Sheet'!C:C,B34,'PLA Sheet'!H:H)</f>
        <v>60.00000001</v>
      </c>
      <c r="E34" s="40">
        <v>5.27821256</v>
      </c>
      <c r="F34" s="40">
        <f>sumif('PLA Sheet'!C:C,B34,'PLA Sheet'!J:J)/D34*9</f>
        <v>2.85039705</v>
      </c>
      <c r="G34" s="41">
        <v>0.525862069</v>
      </c>
      <c r="H34" s="41">
        <v>0.195402299</v>
      </c>
      <c r="I34" s="41">
        <v>0.278735632</v>
      </c>
      <c r="J34" s="41">
        <f t="shared" si="1"/>
        <v>0.247126437</v>
      </c>
      <c r="K34" s="42">
        <v>2.306009628</v>
      </c>
    </row>
    <row r="35">
      <c r="A35" s="1" t="s">
        <v>85</v>
      </c>
      <c r="B35" s="38">
        <v>808967.0</v>
      </c>
      <c r="C35" s="38">
        <v>2715.0</v>
      </c>
      <c r="D35" s="39">
        <f>sumif('PLA Sheet'!C:C,B35,'PLA Sheet'!H:H)</f>
        <v>173.6666667</v>
      </c>
      <c r="E35" s="40">
        <v>5.277749506</v>
      </c>
      <c r="F35" s="40">
        <f>sumif('PLA Sheet'!C:C,B35,'PLA Sheet'!J:J)/D35*9</f>
        <v>2.495694576</v>
      </c>
      <c r="G35" s="41">
        <v>0.521546961</v>
      </c>
      <c r="H35" s="41">
        <v>0.167955801</v>
      </c>
      <c r="I35" s="41">
        <v>0.310497238</v>
      </c>
      <c r="J35" s="41">
        <f t="shared" si="1"/>
        <v>0.211049723</v>
      </c>
      <c r="K35" s="42">
        <v>38.78800075</v>
      </c>
    </row>
    <row r="36">
      <c r="A36" s="1" t="s">
        <v>81</v>
      </c>
      <c r="B36" s="38">
        <v>663158.0</v>
      </c>
      <c r="C36" s="38">
        <v>1041.0</v>
      </c>
      <c r="D36" s="39">
        <f>sumif('PLA Sheet'!C:C,B36,'PLA Sheet'!H:H)</f>
        <v>69.66666667</v>
      </c>
      <c r="E36" s="40">
        <v>5.274771603</v>
      </c>
      <c r="F36" s="40">
        <f>sumif('PLA Sheet'!C:C,B36,'PLA Sheet'!J:J)/D36*9</f>
        <v>2.475297732</v>
      </c>
      <c r="G36" s="41">
        <v>0.540826129</v>
      </c>
      <c r="H36" s="41">
        <v>0.163304515</v>
      </c>
      <c r="I36" s="41">
        <v>0.295869356</v>
      </c>
      <c r="J36" s="41">
        <f t="shared" si="1"/>
        <v>0.244956773</v>
      </c>
      <c r="K36" s="42">
        <v>10.49971013</v>
      </c>
    </row>
    <row r="37">
      <c r="A37" s="1" t="s">
        <v>50</v>
      </c>
      <c r="B37" s="38">
        <v>668820.0</v>
      </c>
      <c r="C37" s="38">
        <v>517.0</v>
      </c>
      <c r="D37" s="39">
        <f>sumif('PLA Sheet'!C:C,B37,'PLA Sheet'!H:H)</f>
        <v>37</v>
      </c>
      <c r="E37" s="40">
        <v>5.272748773</v>
      </c>
      <c r="F37" s="40">
        <f>sumif('PLA Sheet'!C:C,B37,'PLA Sheet'!J:J)/D37*9</f>
        <v>2.323614162</v>
      </c>
      <c r="G37" s="41">
        <v>0.529980658</v>
      </c>
      <c r="H37" s="41">
        <v>0.172147002</v>
      </c>
      <c r="I37" s="41">
        <v>0.29787234</v>
      </c>
      <c r="J37" s="41">
        <f t="shared" si="1"/>
        <v>0.232108318</v>
      </c>
      <c r="K37" s="42">
        <v>-4.944833334</v>
      </c>
    </row>
    <row r="38">
      <c r="A38" s="1" t="s">
        <v>67</v>
      </c>
      <c r="B38" s="38">
        <v>684007.0</v>
      </c>
      <c r="C38" s="38">
        <v>2121.0</v>
      </c>
      <c r="D38" s="39">
        <f>sumif('PLA Sheet'!C:C,B38,'PLA Sheet'!H:H)</f>
        <v>144.6666667</v>
      </c>
      <c r="E38" s="40">
        <v>5.271536189</v>
      </c>
      <c r="F38" s="40">
        <f>sumif('PLA Sheet'!C:C,B38,'PLA Sheet'!J:J)/D38*9</f>
        <v>2.404278394</v>
      </c>
      <c r="G38" s="41">
        <v>0.516737388</v>
      </c>
      <c r="H38" s="41">
        <v>0.165959453</v>
      </c>
      <c r="I38" s="41">
        <v>0.317303159</v>
      </c>
      <c r="J38" s="41">
        <f t="shared" si="1"/>
        <v>0.199434229</v>
      </c>
      <c r="K38" s="42">
        <v>6.244645696</v>
      </c>
    </row>
    <row r="39">
      <c r="A39" s="1" t="s">
        <v>148</v>
      </c>
      <c r="B39" s="38">
        <v>592866.0</v>
      </c>
      <c r="C39" s="38">
        <v>1409.0</v>
      </c>
      <c r="D39" s="39">
        <f>sumif('PLA Sheet'!C:C,B39,'PLA Sheet'!H:H)</f>
        <v>82.66666668</v>
      </c>
      <c r="E39" s="40">
        <v>5.266835526</v>
      </c>
      <c r="F39" s="40">
        <f>sumif('PLA Sheet'!C:C,B39,'PLA Sheet'!J:J)/D39*9</f>
        <v>2.803226225</v>
      </c>
      <c r="G39" s="41">
        <v>0.489709013</v>
      </c>
      <c r="H39" s="41">
        <v>0.21007807</v>
      </c>
      <c r="I39" s="41">
        <v>0.300212917</v>
      </c>
      <c r="J39" s="41">
        <f t="shared" si="1"/>
        <v>0.189496096</v>
      </c>
      <c r="K39" s="42">
        <v>-25.57998308</v>
      </c>
    </row>
    <row r="40">
      <c r="A40" s="1" t="s">
        <v>150</v>
      </c>
      <c r="B40" s="38">
        <v>657746.0</v>
      </c>
      <c r="C40" s="38">
        <v>2724.0</v>
      </c>
      <c r="D40" s="39">
        <f>sumif('PLA Sheet'!C:C,B40,'PLA Sheet'!H:H)</f>
        <v>171</v>
      </c>
      <c r="E40" s="40">
        <v>5.266532653</v>
      </c>
      <c r="F40" s="40">
        <f>sumif('PLA Sheet'!C:C,B40,'PLA Sheet'!J:J)/D40*9</f>
        <v>2.807167053</v>
      </c>
      <c r="G40" s="41">
        <v>0.526064611</v>
      </c>
      <c r="H40" s="41">
        <v>0.167400881</v>
      </c>
      <c r="I40" s="41">
        <v>0.306534508</v>
      </c>
      <c r="J40" s="41">
        <f t="shared" si="1"/>
        <v>0.219530103</v>
      </c>
      <c r="K40" s="42">
        <v>4.725127885</v>
      </c>
    </row>
    <row r="41">
      <c r="A41" s="1" t="s">
        <v>111</v>
      </c>
      <c r="B41" s="38">
        <v>656641.0</v>
      </c>
      <c r="C41" s="38">
        <v>1361.0</v>
      </c>
      <c r="D41" s="39">
        <f>sumif('PLA Sheet'!C:C,B41,'PLA Sheet'!H:H)</f>
        <v>85.66666667</v>
      </c>
      <c r="E41" s="40">
        <v>5.258001807</v>
      </c>
      <c r="F41" s="40">
        <f>sumif('PLA Sheet'!C:C,B41,'PLA Sheet'!J:J)/D41*9</f>
        <v>2.64995051</v>
      </c>
      <c r="G41" s="41">
        <v>0.53710507</v>
      </c>
      <c r="H41" s="41">
        <v>0.132255694</v>
      </c>
      <c r="I41" s="41">
        <v>0.330639236</v>
      </c>
      <c r="J41" s="41">
        <f t="shared" si="1"/>
        <v>0.206465834</v>
      </c>
      <c r="K41" s="42">
        <v>-3.29683197</v>
      </c>
    </row>
    <row r="42">
      <c r="A42" s="1" t="s">
        <v>86</v>
      </c>
      <c r="B42" s="38">
        <v>678606.0</v>
      </c>
      <c r="C42" s="38">
        <v>1182.0</v>
      </c>
      <c r="D42" s="39">
        <f>sumif('PLA Sheet'!C:C,B42,'PLA Sheet'!H:H)</f>
        <v>76.33333333</v>
      </c>
      <c r="E42" s="40">
        <v>5.255299706</v>
      </c>
      <c r="F42" s="40">
        <f>sumif('PLA Sheet'!C:C,B42,'PLA Sheet'!J:J)/D42*9</f>
        <v>2.501055275</v>
      </c>
      <c r="G42" s="41">
        <v>0.533840948</v>
      </c>
      <c r="H42" s="41">
        <v>0.139593909</v>
      </c>
      <c r="I42" s="41">
        <v>0.326565144</v>
      </c>
      <c r="J42" s="41">
        <f t="shared" si="1"/>
        <v>0.207275804</v>
      </c>
      <c r="K42" s="42">
        <v>-6.314860548</v>
      </c>
    </row>
    <row r="43">
      <c r="A43" s="1" t="s">
        <v>88</v>
      </c>
      <c r="B43" s="38">
        <v>694973.0</v>
      </c>
      <c r="C43" s="38">
        <v>2923.0</v>
      </c>
      <c r="D43" s="39">
        <f>sumif('PLA Sheet'!C:C,B43,'PLA Sheet'!H:H)</f>
        <v>187.6666667</v>
      </c>
      <c r="E43" s="40">
        <v>5.254485477</v>
      </c>
      <c r="F43" s="40">
        <f>sumif('PLA Sheet'!C:C,B43,'PLA Sheet'!J:J)/D43*9</f>
        <v>2.527124419</v>
      </c>
      <c r="G43" s="41">
        <v>0.518303113</v>
      </c>
      <c r="H43" s="41">
        <v>0.167978105</v>
      </c>
      <c r="I43" s="41">
        <v>0.313718782</v>
      </c>
      <c r="J43" s="41">
        <f t="shared" si="1"/>
        <v>0.204584331</v>
      </c>
      <c r="K43" s="42">
        <v>35.96091203</v>
      </c>
    </row>
    <row r="44">
      <c r="A44" s="1" t="s">
        <v>83</v>
      </c>
      <c r="B44" s="38">
        <v>571927.0</v>
      </c>
      <c r="C44" s="38">
        <v>1133.0</v>
      </c>
      <c r="D44" s="39">
        <f>sumif('PLA Sheet'!C:C,B44,'PLA Sheet'!H:H)</f>
        <v>76.66666667</v>
      </c>
      <c r="E44" s="40">
        <v>5.254078704</v>
      </c>
      <c r="F44" s="40">
        <f>sumif('PLA Sheet'!C:C,B44,'PLA Sheet'!J:J)/D44*9</f>
        <v>2.480159896</v>
      </c>
      <c r="G44" s="41">
        <v>0.517210944</v>
      </c>
      <c r="H44" s="41">
        <v>0.175639894</v>
      </c>
      <c r="I44" s="41">
        <v>0.307149162</v>
      </c>
      <c r="J44" s="41">
        <f t="shared" si="1"/>
        <v>0.210061782</v>
      </c>
      <c r="K44" s="42">
        <v>0.190811821</v>
      </c>
    </row>
    <row r="45">
      <c r="A45" s="1" t="s">
        <v>135</v>
      </c>
      <c r="B45" s="38">
        <v>671922.0</v>
      </c>
      <c r="C45" s="38">
        <v>1146.0</v>
      </c>
      <c r="D45" s="39">
        <f>sumif('PLA Sheet'!C:C,B45,'PLA Sheet'!H:H)</f>
        <v>73.66666666</v>
      </c>
      <c r="E45" s="40">
        <v>5.253527731</v>
      </c>
      <c r="F45" s="40">
        <f>sumif('PLA Sheet'!C:C,B45,'PLA Sheet'!J:J)/D45*9</f>
        <v>2.749224299</v>
      </c>
      <c r="G45" s="41">
        <v>0.509598604</v>
      </c>
      <c r="H45" s="41">
        <v>0.166666667</v>
      </c>
      <c r="I45" s="41">
        <v>0.323734729</v>
      </c>
      <c r="J45" s="41">
        <f t="shared" si="1"/>
        <v>0.185863875</v>
      </c>
      <c r="K45" s="42">
        <v>4.445168456</v>
      </c>
    </row>
    <row r="46">
      <c r="A46" s="1" t="s">
        <v>104</v>
      </c>
      <c r="B46" s="38">
        <v>676508.0</v>
      </c>
      <c r="C46" s="38">
        <v>1239.0</v>
      </c>
      <c r="D46" s="39">
        <f>sumif('PLA Sheet'!C:C,B46,'PLA Sheet'!H:H)</f>
        <v>77.66666668</v>
      </c>
      <c r="E46" s="40">
        <v>5.252660142</v>
      </c>
      <c r="F46" s="40">
        <f>sumif('PLA Sheet'!C:C,B46,'PLA Sheet'!J:J)/D46*9</f>
        <v>2.634136802</v>
      </c>
      <c r="G46" s="41">
        <v>0.518159806</v>
      </c>
      <c r="H46" s="41">
        <v>0.179176755</v>
      </c>
      <c r="I46" s="41">
        <v>0.302663438</v>
      </c>
      <c r="J46" s="41">
        <f t="shared" si="1"/>
        <v>0.215496368</v>
      </c>
      <c r="K46" s="42">
        <v>-10.93670756</v>
      </c>
    </row>
    <row r="47">
      <c r="A47" s="1" t="s">
        <v>90</v>
      </c>
      <c r="B47" s="38">
        <v>693433.0</v>
      </c>
      <c r="C47" s="38">
        <v>2656.0</v>
      </c>
      <c r="D47" s="39">
        <f>sumif('PLA Sheet'!C:C,B47,'PLA Sheet'!H:H)</f>
        <v>186.6666667</v>
      </c>
      <c r="E47" s="40">
        <v>5.249630234</v>
      </c>
      <c r="F47" s="40">
        <f>sumif('PLA Sheet'!C:C,B47,'PLA Sheet'!J:J)/D47*9</f>
        <v>2.540681968</v>
      </c>
      <c r="G47" s="41">
        <v>0.520331325</v>
      </c>
      <c r="H47" s="41">
        <v>0.180722892</v>
      </c>
      <c r="I47" s="41">
        <v>0.298945783</v>
      </c>
      <c r="J47" s="41">
        <f t="shared" si="1"/>
        <v>0.221385542</v>
      </c>
      <c r="K47" s="42">
        <v>11.8082214</v>
      </c>
    </row>
    <row r="48">
      <c r="A48" s="1" t="s">
        <v>159</v>
      </c>
      <c r="B48" s="38">
        <v>605483.0</v>
      </c>
      <c r="C48" s="38">
        <v>1000.0</v>
      </c>
      <c r="D48" s="39">
        <f>sumif('PLA Sheet'!C:C,B48,'PLA Sheet'!H:H)</f>
        <v>61.33333334</v>
      </c>
      <c r="E48" s="40">
        <v>5.249040333</v>
      </c>
      <c r="F48" s="40">
        <f>sumif('PLA Sheet'!C:C,B48,'PLA Sheet'!J:J)/D48*9</f>
        <v>2.821968831</v>
      </c>
      <c r="G48" s="41">
        <v>0.513</v>
      </c>
      <c r="H48" s="41">
        <v>0.179</v>
      </c>
      <c r="I48" s="41">
        <v>0.308</v>
      </c>
      <c r="J48" s="41">
        <f t="shared" si="1"/>
        <v>0.205</v>
      </c>
      <c r="K48" s="42">
        <v>-0.746762429</v>
      </c>
    </row>
    <row r="49">
      <c r="A49" s="1" t="s">
        <v>140</v>
      </c>
      <c r="B49" s="38">
        <v>672582.0</v>
      </c>
      <c r="C49" s="38">
        <v>1075.0</v>
      </c>
      <c r="D49" s="39">
        <f>sumif('PLA Sheet'!C:C,B49,'PLA Sheet'!H:H)</f>
        <v>64.66666668</v>
      </c>
      <c r="E49" s="40">
        <v>5.243622081</v>
      </c>
      <c r="F49" s="40">
        <f>sumif('PLA Sheet'!C:C,B49,'PLA Sheet'!J:J)/D49*9</f>
        <v>2.775596242</v>
      </c>
      <c r="G49" s="41">
        <v>0.507906977</v>
      </c>
      <c r="H49" s="41">
        <v>0.183255814</v>
      </c>
      <c r="I49" s="41">
        <v>0.308837209</v>
      </c>
      <c r="J49" s="41">
        <f t="shared" si="1"/>
        <v>0.199069768</v>
      </c>
      <c r="K49" s="42">
        <v>-3.488710544</v>
      </c>
    </row>
    <row r="50">
      <c r="A50" s="1" t="s">
        <v>137</v>
      </c>
      <c r="B50" s="38">
        <v>453286.0</v>
      </c>
      <c r="C50" s="38">
        <v>1347.0</v>
      </c>
      <c r="D50" s="39">
        <f>sumif('PLA Sheet'!C:C,B50,'PLA Sheet'!H:H)</f>
        <v>85</v>
      </c>
      <c r="E50" s="40">
        <v>5.243415783</v>
      </c>
      <c r="F50" s="40">
        <f>sumif('PLA Sheet'!C:C,B50,'PLA Sheet'!J:J)/D50*9</f>
        <v>2.759406882</v>
      </c>
      <c r="G50" s="41">
        <v>0.515219005</v>
      </c>
      <c r="H50" s="41">
        <v>0.184855234</v>
      </c>
      <c r="I50" s="41">
        <v>0.299925761</v>
      </c>
      <c r="J50" s="41">
        <f t="shared" si="1"/>
        <v>0.215293244</v>
      </c>
      <c r="K50" s="42">
        <v>-8.692636204</v>
      </c>
    </row>
    <row r="51">
      <c r="A51" s="1" t="s">
        <v>120</v>
      </c>
      <c r="B51" s="38">
        <v>800048.0</v>
      </c>
      <c r="C51" s="38">
        <v>579.0</v>
      </c>
      <c r="D51" s="39">
        <f>sumif('PLA Sheet'!C:C,B51,'PLA Sheet'!H:H)</f>
        <v>39.66666667</v>
      </c>
      <c r="E51" s="40">
        <v>5.242188764</v>
      </c>
      <c r="F51" s="40">
        <f>sumif('PLA Sheet'!C:C,B51,'PLA Sheet'!J:J)/D51*9</f>
        <v>2.696092487</v>
      </c>
      <c r="G51" s="41">
        <v>0.511226252</v>
      </c>
      <c r="H51" s="41">
        <v>0.16925734</v>
      </c>
      <c r="I51" s="41">
        <v>0.319516408</v>
      </c>
      <c r="J51" s="41">
        <f t="shared" si="1"/>
        <v>0.191709844</v>
      </c>
      <c r="K51" s="42">
        <v>-9.123465035</v>
      </c>
    </row>
    <row r="52">
      <c r="A52" s="1" t="s">
        <v>65</v>
      </c>
      <c r="B52" s="38">
        <v>680885.0</v>
      </c>
      <c r="C52" s="38">
        <v>1507.0</v>
      </c>
      <c r="D52" s="39">
        <f>sumif('PLA Sheet'!C:C,B52,'PLA Sheet'!H:H)</f>
        <v>110.6666667</v>
      </c>
      <c r="E52" s="40">
        <v>5.241684753</v>
      </c>
      <c r="F52" s="40">
        <f>sumif('PLA Sheet'!C:C,B52,'PLA Sheet'!J:J)/D52*9</f>
        <v>2.403458593</v>
      </c>
      <c r="G52" s="41">
        <v>0.518911745</v>
      </c>
      <c r="H52" s="41">
        <v>0.205043132</v>
      </c>
      <c r="I52" s="41">
        <v>0.276045123</v>
      </c>
      <c r="J52" s="41">
        <f t="shared" si="1"/>
        <v>0.242866622</v>
      </c>
      <c r="K52" s="42">
        <v>7.309993404</v>
      </c>
    </row>
    <row r="53">
      <c r="A53" s="1" t="s">
        <v>96</v>
      </c>
      <c r="B53" s="38">
        <v>690986.0</v>
      </c>
      <c r="C53" s="38">
        <v>566.0</v>
      </c>
      <c r="D53" s="39">
        <f>sumif('PLA Sheet'!C:C,B53,'PLA Sheet'!H:H)</f>
        <v>35.66666666</v>
      </c>
      <c r="E53" s="40">
        <v>5.241545933</v>
      </c>
      <c r="F53" s="40">
        <f>sumif('PLA Sheet'!C:C,B53,'PLA Sheet'!J:J)/D53*9</f>
        <v>2.582088477</v>
      </c>
      <c r="G53" s="41">
        <v>0.48409894</v>
      </c>
      <c r="H53" s="41">
        <v>0.212014134</v>
      </c>
      <c r="I53" s="41">
        <v>0.303886926</v>
      </c>
      <c r="J53" s="41">
        <f t="shared" si="1"/>
        <v>0.180212014</v>
      </c>
      <c r="K53" s="42">
        <v>-5.825643307</v>
      </c>
    </row>
    <row r="54">
      <c r="A54" s="1" t="s">
        <v>119</v>
      </c>
      <c r="B54" s="38">
        <v>669456.0</v>
      </c>
      <c r="C54" s="38">
        <v>625.0</v>
      </c>
      <c r="D54" s="39">
        <f>sumif('PLA Sheet'!C:C,B54,'PLA Sheet'!H:H)</f>
        <v>40.33333333</v>
      </c>
      <c r="E54" s="40">
        <v>5.23992846</v>
      </c>
      <c r="F54" s="40">
        <f>sumif('PLA Sheet'!C:C,B54,'PLA Sheet'!J:J)/D54*9</f>
        <v>2.687684876</v>
      </c>
      <c r="G54" s="41">
        <v>0.4992</v>
      </c>
      <c r="H54" s="41">
        <v>0.1616</v>
      </c>
      <c r="I54" s="41">
        <v>0.3392</v>
      </c>
      <c r="J54" s="41">
        <f t="shared" si="1"/>
        <v>0.16</v>
      </c>
      <c r="K54" s="42">
        <v>0.393712126</v>
      </c>
    </row>
    <row r="55">
      <c r="A55" s="1" t="s">
        <v>97</v>
      </c>
      <c r="B55" s="38">
        <v>656876.0</v>
      </c>
      <c r="C55" s="38">
        <v>2249.0</v>
      </c>
      <c r="D55" s="39">
        <f>sumif('PLA Sheet'!C:C,B55,'PLA Sheet'!H:H)</f>
        <v>150</v>
      </c>
      <c r="E55" s="40">
        <v>5.238698259</v>
      </c>
      <c r="F55" s="40">
        <f>sumif('PLA Sheet'!C:C,B55,'PLA Sheet'!J:J)/D55*9</f>
        <v>2.58727722</v>
      </c>
      <c r="G55" s="41">
        <v>0.518008004</v>
      </c>
      <c r="H55" s="41">
        <v>0.179190751</v>
      </c>
      <c r="I55" s="41">
        <v>0.302801245</v>
      </c>
      <c r="J55" s="41">
        <f t="shared" si="1"/>
        <v>0.215206759</v>
      </c>
      <c r="K55" s="42">
        <v>22.99002879</v>
      </c>
    </row>
    <row r="56">
      <c r="A56" s="1" t="s">
        <v>131</v>
      </c>
      <c r="B56" s="38">
        <v>676684.0</v>
      </c>
      <c r="C56" s="38">
        <v>1088.0</v>
      </c>
      <c r="D56" s="39">
        <f>sumif('PLA Sheet'!C:C,B56,'PLA Sheet'!H:H)</f>
        <v>68.66666667</v>
      </c>
      <c r="E56" s="40">
        <v>5.23832783</v>
      </c>
      <c r="F56" s="40">
        <f>sumif('PLA Sheet'!C:C,B56,'PLA Sheet'!J:J)/D56*9</f>
        <v>2.735326879</v>
      </c>
      <c r="G56" s="41">
        <v>0.5</v>
      </c>
      <c r="H56" s="41">
        <v>0.201286765</v>
      </c>
      <c r="I56" s="41">
        <v>0.298713235</v>
      </c>
      <c r="J56" s="41">
        <f t="shared" si="1"/>
        <v>0.201286765</v>
      </c>
      <c r="K56" s="42">
        <v>0.297873293</v>
      </c>
    </row>
    <row r="57">
      <c r="A57" s="1" t="s">
        <v>121</v>
      </c>
      <c r="B57" s="38">
        <v>676974.0</v>
      </c>
      <c r="C57" s="38">
        <v>1008.0</v>
      </c>
      <c r="D57" s="39">
        <f>sumif('PLA Sheet'!C:C,B57,'PLA Sheet'!H:H)</f>
        <v>64.66666667</v>
      </c>
      <c r="E57" s="40">
        <v>5.236412791</v>
      </c>
      <c r="F57" s="40">
        <f>sumif('PLA Sheet'!C:C,B57,'PLA Sheet'!J:J)/D57*9</f>
        <v>2.700680149</v>
      </c>
      <c r="G57" s="41">
        <v>0.486111111</v>
      </c>
      <c r="H57" s="41">
        <v>0.217261905</v>
      </c>
      <c r="I57" s="41">
        <v>0.296626984</v>
      </c>
      <c r="J57" s="41">
        <f t="shared" si="1"/>
        <v>0.189484127</v>
      </c>
      <c r="K57" s="42">
        <v>-7.747330876</v>
      </c>
    </row>
    <row r="58">
      <c r="A58" s="1" t="s">
        <v>130</v>
      </c>
      <c r="B58" s="38">
        <v>666200.0</v>
      </c>
      <c r="C58" s="38">
        <v>2924.0</v>
      </c>
      <c r="D58" s="39">
        <f>sumif('PLA Sheet'!C:C,B58,'PLA Sheet'!H:H)</f>
        <v>183.6666667</v>
      </c>
      <c r="E58" s="40">
        <v>5.236398003</v>
      </c>
      <c r="F58" s="40">
        <f>sumif('PLA Sheet'!C:C,B58,'PLA Sheet'!J:J)/D58*9</f>
        <v>2.728588835</v>
      </c>
      <c r="G58" s="41">
        <v>0.517099863</v>
      </c>
      <c r="H58" s="41">
        <v>0.185704514</v>
      </c>
      <c r="I58" s="41">
        <v>0.297195622</v>
      </c>
      <c r="J58" s="41">
        <f t="shared" si="1"/>
        <v>0.219904241</v>
      </c>
      <c r="K58" s="42">
        <v>2.54054519</v>
      </c>
    </row>
    <row r="59">
      <c r="A59" s="1" t="s">
        <v>196</v>
      </c>
      <c r="B59" s="38">
        <v>670329.0</v>
      </c>
      <c r="C59" s="38">
        <v>566.0</v>
      </c>
      <c r="D59" s="39">
        <f>sumif('PLA Sheet'!C:C,B59,'PLA Sheet'!H:H)</f>
        <v>34.33333333</v>
      </c>
      <c r="E59" s="40">
        <v>5.235538389</v>
      </c>
      <c r="F59" s="40">
        <f>sumif('PLA Sheet'!C:C,B59,'PLA Sheet'!J:J)/D59*9</f>
        <v>2.920480427</v>
      </c>
      <c r="G59" s="41">
        <v>0.514134276</v>
      </c>
      <c r="H59" s="41">
        <v>0.151943463</v>
      </c>
      <c r="I59" s="41">
        <v>0.333922261</v>
      </c>
      <c r="J59" s="41">
        <f t="shared" si="1"/>
        <v>0.180212015</v>
      </c>
      <c r="K59" s="42">
        <v>-1.253038935</v>
      </c>
    </row>
    <row r="60">
      <c r="A60" s="1" t="s">
        <v>252</v>
      </c>
      <c r="B60" s="38">
        <v>592155.0</v>
      </c>
      <c r="C60" s="38">
        <v>553.0</v>
      </c>
      <c r="D60" s="39">
        <f>sumif('PLA Sheet'!C:C,B60,'PLA Sheet'!H:H)</f>
        <v>31</v>
      </c>
      <c r="E60" s="40">
        <v>5.232940421</v>
      </c>
      <c r="F60" s="40">
        <f>sumif('PLA Sheet'!C:C,B60,'PLA Sheet'!J:J)/D60*9</f>
        <v>3.109153355</v>
      </c>
      <c r="G60" s="41">
        <v>0.522603978</v>
      </c>
      <c r="H60" s="41">
        <v>0.150090416</v>
      </c>
      <c r="I60" s="41">
        <v>0.327305606</v>
      </c>
      <c r="J60" s="41">
        <f t="shared" si="1"/>
        <v>0.195298372</v>
      </c>
      <c r="K60" s="42">
        <v>-2.531210529</v>
      </c>
    </row>
    <row r="61">
      <c r="A61" s="1" t="s">
        <v>180</v>
      </c>
      <c r="B61" s="38">
        <v>642547.0</v>
      </c>
      <c r="C61" s="38">
        <v>3012.0</v>
      </c>
      <c r="D61" s="39">
        <f>sumif('PLA Sheet'!C:C,B61,'PLA Sheet'!H:H)</f>
        <v>176.6666667</v>
      </c>
      <c r="E61" s="40">
        <v>5.232020342</v>
      </c>
      <c r="F61" s="40">
        <f>sumif('PLA Sheet'!C:C,B61,'PLA Sheet'!J:J)/D61*9</f>
        <v>2.880293876</v>
      </c>
      <c r="G61" s="41">
        <v>0.530876494</v>
      </c>
      <c r="H61" s="41">
        <v>0.132138114</v>
      </c>
      <c r="I61" s="41">
        <v>0.336985392</v>
      </c>
      <c r="J61" s="41">
        <f t="shared" si="1"/>
        <v>0.193891102</v>
      </c>
      <c r="K61" s="42">
        <v>10.88367994</v>
      </c>
    </row>
    <row r="62">
      <c r="A62" s="1" t="s">
        <v>100</v>
      </c>
      <c r="B62" s="38">
        <v>676979.0</v>
      </c>
      <c r="C62" s="38">
        <v>3050.0</v>
      </c>
      <c r="D62" s="39">
        <f>sumif('PLA Sheet'!C:C,B62,'PLA Sheet'!H:H)</f>
        <v>205.3333333</v>
      </c>
      <c r="E62" s="40">
        <v>5.231065566</v>
      </c>
      <c r="F62" s="40">
        <f>sumif('PLA Sheet'!C:C,B62,'PLA Sheet'!J:J)/D62*9</f>
        <v>2.615913059</v>
      </c>
      <c r="G62" s="41">
        <v>0.518688525</v>
      </c>
      <c r="H62" s="41">
        <v>0.176721311</v>
      </c>
      <c r="I62" s="41">
        <v>0.304590164</v>
      </c>
      <c r="J62" s="41">
        <f t="shared" si="1"/>
        <v>0.214098361</v>
      </c>
      <c r="K62" s="42">
        <v>18.73526713</v>
      </c>
    </row>
    <row r="63">
      <c r="A63" s="1" t="s">
        <v>153</v>
      </c>
      <c r="B63" s="38">
        <v>669302.0</v>
      </c>
      <c r="C63" s="38">
        <v>2074.0</v>
      </c>
      <c r="D63" s="39">
        <f>sumif('PLA Sheet'!C:C,B63,'PLA Sheet'!H:H)</f>
        <v>131</v>
      </c>
      <c r="E63" s="40">
        <v>5.230710108</v>
      </c>
      <c r="F63" s="40">
        <f>sumif('PLA Sheet'!C:C,B63,'PLA Sheet'!J:J)/D63*9</f>
        <v>2.810051313</v>
      </c>
      <c r="G63" s="41">
        <v>0.489392478</v>
      </c>
      <c r="H63" s="41">
        <v>0.215525554</v>
      </c>
      <c r="I63" s="41">
        <v>0.295081967</v>
      </c>
      <c r="J63" s="41">
        <f t="shared" si="1"/>
        <v>0.194310511</v>
      </c>
      <c r="K63" s="42">
        <v>19.59946614</v>
      </c>
    </row>
    <row r="64">
      <c r="A64" s="1" t="s">
        <v>103</v>
      </c>
      <c r="B64" s="38">
        <v>571946.0</v>
      </c>
      <c r="C64" s="38">
        <v>650.0</v>
      </c>
      <c r="D64" s="39">
        <f>sumif('PLA Sheet'!C:C,B64,'PLA Sheet'!H:H)</f>
        <v>46</v>
      </c>
      <c r="E64" s="40">
        <v>5.22829683</v>
      </c>
      <c r="F64" s="40">
        <f>sumif('PLA Sheet'!C:C,B64,'PLA Sheet'!J:J)/D64*9</f>
        <v>2.633247587</v>
      </c>
      <c r="G64" s="41">
        <v>0.532307692</v>
      </c>
      <c r="H64" s="41">
        <v>0.16</v>
      </c>
      <c r="I64" s="41">
        <v>0.307692308</v>
      </c>
      <c r="J64" s="41">
        <f t="shared" si="1"/>
        <v>0.224615384</v>
      </c>
      <c r="K64" s="42">
        <v>0.934275559</v>
      </c>
    </row>
    <row r="65">
      <c r="A65" s="1" t="s">
        <v>144</v>
      </c>
      <c r="B65" s="38">
        <v>670167.0</v>
      </c>
      <c r="C65" s="38">
        <v>1017.0</v>
      </c>
      <c r="D65" s="39">
        <f>sumif('PLA Sheet'!C:C,B65,'PLA Sheet'!H:H)</f>
        <v>64</v>
      </c>
      <c r="E65" s="40">
        <v>5.228036461</v>
      </c>
      <c r="F65" s="40">
        <f>sumif('PLA Sheet'!C:C,B65,'PLA Sheet'!J:J)/D65*9</f>
        <v>2.798141063</v>
      </c>
      <c r="G65" s="41">
        <v>0.525073746</v>
      </c>
      <c r="H65" s="41">
        <v>0.159292035</v>
      </c>
      <c r="I65" s="41">
        <v>0.315634218</v>
      </c>
      <c r="J65" s="41">
        <f t="shared" si="1"/>
        <v>0.209439528</v>
      </c>
      <c r="K65" s="42">
        <v>-0.151853414</v>
      </c>
    </row>
    <row r="66">
      <c r="A66" s="1" t="s">
        <v>71</v>
      </c>
      <c r="B66" s="38">
        <v>573204.0</v>
      </c>
      <c r="C66" s="38">
        <v>820.0</v>
      </c>
      <c r="D66" s="39">
        <f>sumif('PLA Sheet'!C:C,B66,'PLA Sheet'!H:H)</f>
        <v>58</v>
      </c>
      <c r="E66" s="40">
        <v>5.226728075</v>
      </c>
      <c r="F66" s="40">
        <f>sumif('PLA Sheet'!C:C,B66,'PLA Sheet'!J:J)/D66*9</f>
        <v>2.423796828</v>
      </c>
      <c r="G66" s="41">
        <v>0.519512195</v>
      </c>
      <c r="H66" s="41">
        <v>0.159756098</v>
      </c>
      <c r="I66" s="41">
        <v>0.320731707</v>
      </c>
      <c r="J66" s="41">
        <f t="shared" si="1"/>
        <v>0.198780488</v>
      </c>
      <c r="K66" s="42">
        <v>5.666966285</v>
      </c>
    </row>
    <row r="67">
      <c r="A67" s="1" t="s">
        <v>205</v>
      </c>
      <c r="B67" s="38">
        <v>666142.0</v>
      </c>
      <c r="C67" s="38">
        <v>1053.0</v>
      </c>
      <c r="D67" s="39">
        <f>sumif('PLA Sheet'!C:C,B67,'PLA Sheet'!H:H)</f>
        <v>61.66666667</v>
      </c>
      <c r="E67" s="40">
        <v>5.225623375</v>
      </c>
      <c r="F67" s="40">
        <f>sumif('PLA Sheet'!C:C,B67,'PLA Sheet'!J:J)/D67*9</f>
        <v>2.935169562</v>
      </c>
      <c r="G67" s="41">
        <v>0.5337132</v>
      </c>
      <c r="H67" s="41">
        <v>0.13960114</v>
      </c>
      <c r="I67" s="41">
        <v>0.32668566</v>
      </c>
      <c r="J67" s="41">
        <f t="shared" si="1"/>
        <v>0.20702754</v>
      </c>
      <c r="K67" s="42">
        <v>-3.40023586</v>
      </c>
    </row>
    <row r="68">
      <c r="A68" s="1" t="s">
        <v>95</v>
      </c>
      <c r="B68" s="38">
        <v>543243.0</v>
      </c>
      <c r="C68" s="38">
        <v>2638.0</v>
      </c>
      <c r="D68" s="39">
        <f>sumif('PLA Sheet'!C:C,B68,'PLA Sheet'!H:H)</f>
        <v>180.6666667</v>
      </c>
      <c r="E68" s="40">
        <v>5.224587924</v>
      </c>
      <c r="F68" s="40">
        <f>sumif('PLA Sheet'!C:C,B68,'PLA Sheet'!J:J)/D68*9</f>
        <v>2.573962057</v>
      </c>
      <c r="G68" s="41">
        <v>0.503411676</v>
      </c>
      <c r="H68" s="41">
        <v>0.184988628</v>
      </c>
      <c r="I68" s="41">
        <v>0.311599697</v>
      </c>
      <c r="J68" s="41">
        <f t="shared" si="1"/>
        <v>0.191811979</v>
      </c>
      <c r="K68" s="42">
        <v>-24.92283</v>
      </c>
    </row>
    <row r="69">
      <c r="A69" s="1" t="s">
        <v>181</v>
      </c>
      <c r="B69" s="38">
        <v>641154.0</v>
      </c>
      <c r="C69" s="38">
        <v>1218.0</v>
      </c>
      <c r="D69" s="39">
        <f>sumif('PLA Sheet'!C:C,B69,'PLA Sheet'!H:H)</f>
        <v>75.66666667</v>
      </c>
      <c r="E69" s="40">
        <v>5.224539229</v>
      </c>
      <c r="F69" s="40">
        <f>sumif('PLA Sheet'!C:C,B69,'PLA Sheet'!J:J)/D69*9</f>
        <v>2.885456696</v>
      </c>
      <c r="G69" s="41">
        <v>0.504926108</v>
      </c>
      <c r="H69" s="41">
        <v>0.195402299</v>
      </c>
      <c r="I69" s="41">
        <v>0.299671593</v>
      </c>
      <c r="J69" s="41">
        <f t="shared" si="1"/>
        <v>0.205254515</v>
      </c>
      <c r="K69" s="42">
        <v>13.25536551</v>
      </c>
    </row>
    <row r="70">
      <c r="A70" s="1" t="s">
        <v>74</v>
      </c>
      <c r="B70" s="38">
        <v>455119.0</v>
      </c>
      <c r="C70" s="38">
        <v>618.0</v>
      </c>
      <c r="D70" s="39">
        <f>sumif('PLA Sheet'!C:C,B70,'PLA Sheet'!H:H)</f>
        <v>42.33333333</v>
      </c>
      <c r="E70" s="40">
        <v>5.224394451</v>
      </c>
      <c r="F70" s="40">
        <f>sumif('PLA Sheet'!C:C,B70,'PLA Sheet'!J:J)/D70*9</f>
        <v>2.43940578</v>
      </c>
      <c r="G70" s="41">
        <v>0.477346278</v>
      </c>
      <c r="H70" s="41">
        <v>0.236245955</v>
      </c>
      <c r="I70" s="41">
        <v>0.286407767</v>
      </c>
      <c r="J70" s="41">
        <f t="shared" si="1"/>
        <v>0.190938511</v>
      </c>
      <c r="K70" s="42">
        <v>1.456822459</v>
      </c>
    </row>
    <row r="71">
      <c r="A71" s="1" t="s">
        <v>167</v>
      </c>
      <c r="B71" s="38">
        <v>694037.0</v>
      </c>
      <c r="C71" s="38">
        <v>821.0</v>
      </c>
      <c r="D71" s="39">
        <f>sumif('PLA Sheet'!C:C,B71,'PLA Sheet'!H:H)</f>
        <v>52.66666667</v>
      </c>
      <c r="E71" s="40">
        <v>5.220969847</v>
      </c>
      <c r="F71" s="40">
        <f>sumif('PLA Sheet'!C:C,B71,'PLA Sheet'!J:J)/D71*9</f>
        <v>2.859624</v>
      </c>
      <c r="G71" s="41">
        <v>0.518879415</v>
      </c>
      <c r="H71" s="41">
        <v>0.15956151</v>
      </c>
      <c r="I71" s="41">
        <v>0.321559074</v>
      </c>
      <c r="J71" s="41">
        <f t="shared" si="1"/>
        <v>0.197320341</v>
      </c>
      <c r="K71" s="42">
        <v>-2.028783896</v>
      </c>
    </row>
    <row r="72">
      <c r="A72" s="1" t="s">
        <v>152</v>
      </c>
      <c r="B72" s="38">
        <v>690916.0</v>
      </c>
      <c r="C72" s="38">
        <v>723.0</v>
      </c>
      <c r="D72" s="39">
        <f>sumif('PLA Sheet'!C:C,B72,'PLA Sheet'!H:H)</f>
        <v>45</v>
      </c>
      <c r="E72" s="40">
        <v>5.219999576</v>
      </c>
      <c r="F72" s="40">
        <f>sumif('PLA Sheet'!C:C,B72,'PLA Sheet'!J:J)/D72*9</f>
        <v>2.8099164</v>
      </c>
      <c r="G72" s="41">
        <v>0.508990318</v>
      </c>
      <c r="H72" s="41">
        <v>0.18395574</v>
      </c>
      <c r="I72" s="41">
        <v>0.307053942</v>
      </c>
      <c r="J72" s="41">
        <f t="shared" si="1"/>
        <v>0.201936376</v>
      </c>
      <c r="K72" s="42">
        <v>-2.890346367</v>
      </c>
    </row>
    <row r="73">
      <c r="A73" s="1" t="s">
        <v>129</v>
      </c>
      <c r="B73" s="38">
        <v>686752.0</v>
      </c>
      <c r="C73" s="38">
        <v>2645.0</v>
      </c>
      <c r="D73" s="39">
        <f>sumif('PLA Sheet'!C:C,B73,'PLA Sheet'!H:H)</f>
        <v>167.6666667</v>
      </c>
      <c r="E73" s="40">
        <v>5.219005228</v>
      </c>
      <c r="F73" s="40">
        <f>sumif('PLA Sheet'!C:C,B73,'PLA Sheet'!J:J)/D73*9</f>
        <v>2.725865678</v>
      </c>
      <c r="G73" s="41">
        <v>0.526654064</v>
      </c>
      <c r="H73" s="41">
        <v>0.159168242</v>
      </c>
      <c r="I73" s="41">
        <v>0.314177694</v>
      </c>
      <c r="J73" s="41">
        <f t="shared" si="1"/>
        <v>0.21247637</v>
      </c>
      <c r="K73" s="42">
        <v>5.431835433</v>
      </c>
    </row>
    <row r="74">
      <c r="A74" s="1" t="s">
        <v>117</v>
      </c>
      <c r="B74" s="38">
        <v>596001.0</v>
      </c>
      <c r="C74" s="38">
        <v>998.0</v>
      </c>
      <c r="D74" s="39">
        <f>sumif('PLA Sheet'!C:C,B74,'PLA Sheet'!H:H)</f>
        <v>66.66666666</v>
      </c>
      <c r="E74" s="40">
        <v>5.217820651</v>
      </c>
      <c r="F74" s="40">
        <f>sumif('PLA Sheet'!C:C,B74,'PLA Sheet'!J:J)/D74*9</f>
        <v>2.679552495</v>
      </c>
      <c r="G74" s="41">
        <v>0.478957916</v>
      </c>
      <c r="H74" s="41">
        <v>0.209418838</v>
      </c>
      <c r="I74" s="41">
        <v>0.311623246</v>
      </c>
      <c r="J74" s="41">
        <f t="shared" si="1"/>
        <v>0.16733467</v>
      </c>
      <c r="K74" s="42">
        <v>2.611100809</v>
      </c>
    </row>
    <row r="75">
      <c r="A75" s="1" t="s">
        <v>61</v>
      </c>
      <c r="B75" s="38">
        <v>663969.0</v>
      </c>
      <c r="C75" s="38">
        <v>1078.0</v>
      </c>
      <c r="D75" s="39">
        <f>sumif('PLA Sheet'!C:C,B75,'PLA Sheet'!H:H)</f>
        <v>77.66666667</v>
      </c>
      <c r="E75" s="40">
        <v>5.217365017</v>
      </c>
      <c r="F75" s="40">
        <f>sumif('PLA Sheet'!C:C,B75,'PLA Sheet'!J:J)/D75*9</f>
        <v>2.375810768</v>
      </c>
      <c r="G75" s="41">
        <v>0.498144712</v>
      </c>
      <c r="H75" s="41">
        <v>0.180890538</v>
      </c>
      <c r="I75" s="41">
        <v>0.32096475</v>
      </c>
      <c r="J75" s="41">
        <f t="shared" si="1"/>
        <v>0.177179962</v>
      </c>
      <c r="K75" s="42">
        <v>1.964958777</v>
      </c>
    </row>
    <row r="76">
      <c r="A76" s="1" t="s">
        <v>213</v>
      </c>
      <c r="B76" s="38">
        <v>686993.0</v>
      </c>
      <c r="C76" s="38">
        <v>1061.0</v>
      </c>
      <c r="D76" s="39">
        <f>sumif('PLA Sheet'!C:C,B76,'PLA Sheet'!H:H)</f>
        <v>65.00000001</v>
      </c>
      <c r="E76" s="40">
        <v>5.216874674</v>
      </c>
      <c r="F76" s="40">
        <f>sumif('PLA Sheet'!C:C,B76,'PLA Sheet'!J:J)/D76*9</f>
        <v>2.963794015</v>
      </c>
      <c r="G76" s="41">
        <v>0.519321395</v>
      </c>
      <c r="H76" s="41">
        <v>0.152686145</v>
      </c>
      <c r="I76" s="41">
        <v>0.32799246</v>
      </c>
      <c r="J76" s="41">
        <f t="shared" si="1"/>
        <v>0.191328935</v>
      </c>
      <c r="K76" s="42">
        <v>1.322724101</v>
      </c>
    </row>
    <row r="77">
      <c r="A77" s="1" t="s">
        <v>133</v>
      </c>
      <c r="B77" s="38">
        <v>663978.0</v>
      </c>
      <c r="C77" s="38">
        <v>2466.0</v>
      </c>
      <c r="D77" s="39">
        <f>sumif('PLA Sheet'!C:C,B77,'PLA Sheet'!H:H)</f>
        <v>158</v>
      </c>
      <c r="E77" s="40">
        <v>5.216781002</v>
      </c>
      <c r="F77" s="40">
        <f>sumif('PLA Sheet'!C:C,B77,'PLA Sheet'!J:J)/D77*9</f>
        <v>2.744567487</v>
      </c>
      <c r="G77" s="41">
        <v>0.504460665</v>
      </c>
      <c r="H77" s="41">
        <v>0.188158962</v>
      </c>
      <c r="I77" s="41">
        <v>0.307380373</v>
      </c>
      <c r="J77" s="41">
        <f t="shared" si="1"/>
        <v>0.197080292</v>
      </c>
      <c r="K77" s="42">
        <v>-15.4000896</v>
      </c>
    </row>
    <row r="78">
      <c r="A78" s="1" t="s">
        <v>168</v>
      </c>
      <c r="B78" s="38">
        <v>620454.0</v>
      </c>
      <c r="C78" s="38">
        <v>526.0</v>
      </c>
      <c r="D78" s="39">
        <f>sumif('PLA Sheet'!C:C,B78,'PLA Sheet'!H:H)</f>
        <v>32</v>
      </c>
      <c r="E78" s="40">
        <v>5.216329513</v>
      </c>
      <c r="F78" s="40">
        <f>sumif('PLA Sheet'!C:C,B78,'PLA Sheet'!J:J)/D78*9</f>
        <v>2.862019125</v>
      </c>
      <c r="G78" s="41">
        <v>0.511406844</v>
      </c>
      <c r="H78" s="41">
        <v>0.176806084</v>
      </c>
      <c r="I78" s="41">
        <v>0.311787072</v>
      </c>
      <c r="J78" s="41">
        <f t="shared" si="1"/>
        <v>0.199619772</v>
      </c>
      <c r="K78" s="42">
        <v>-4.425887869</v>
      </c>
    </row>
    <row r="79">
      <c r="A79" s="1" t="s">
        <v>89</v>
      </c>
      <c r="B79" s="38">
        <v>669622.0</v>
      </c>
      <c r="C79" s="38">
        <v>760.0</v>
      </c>
      <c r="D79" s="39">
        <f>sumif('PLA Sheet'!C:C,B79,'PLA Sheet'!H:H)</f>
        <v>50</v>
      </c>
      <c r="E79" s="40">
        <v>5.216157438</v>
      </c>
      <c r="F79" s="40">
        <f>sumif('PLA Sheet'!C:C,B79,'PLA Sheet'!J:J)/D79*9</f>
        <v>2.52874296</v>
      </c>
      <c r="G79" s="41">
        <v>0.523684211</v>
      </c>
      <c r="H79" s="41">
        <v>0.163157895</v>
      </c>
      <c r="I79" s="41">
        <v>0.313157895</v>
      </c>
      <c r="J79" s="41">
        <f t="shared" si="1"/>
        <v>0.210526316</v>
      </c>
      <c r="K79" s="42">
        <v>11.26512175</v>
      </c>
    </row>
    <row r="80">
      <c r="A80" s="1" t="s">
        <v>212</v>
      </c>
      <c r="B80" s="38">
        <v>805673.0</v>
      </c>
      <c r="C80" s="38">
        <v>1315.0</v>
      </c>
      <c r="D80" s="39">
        <f>sumif('PLA Sheet'!C:C,B80,'PLA Sheet'!H:H)</f>
        <v>79.33333334</v>
      </c>
      <c r="E80" s="40">
        <v>5.214930785</v>
      </c>
      <c r="F80" s="40">
        <f>sumif('PLA Sheet'!C:C,B80,'PLA Sheet'!J:J)/D80*9</f>
        <v>2.962667231</v>
      </c>
      <c r="G80" s="41">
        <v>0.492015209</v>
      </c>
      <c r="H80" s="41">
        <v>0.191634981</v>
      </c>
      <c r="I80" s="41">
        <v>0.31634981</v>
      </c>
      <c r="J80" s="41">
        <f t="shared" si="1"/>
        <v>0.175665399</v>
      </c>
      <c r="K80" s="42">
        <v>-16.64365153</v>
      </c>
    </row>
    <row r="81">
      <c r="A81" s="1" t="s">
        <v>99</v>
      </c>
      <c r="B81" s="38">
        <v>592791.0</v>
      </c>
      <c r="C81" s="38">
        <v>1936.0</v>
      </c>
      <c r="D81" s="39">
        <f>sumif('PLA Sheet'!C:C,B81,'PLA Sheet'!H:H)</f>
        <v>129.6666667</v>
      </c>
      <c r="E81" s="40">
        <v>5.213111136</v>
      </c>
      <c r="F81" s="40">
        <f>sumif('PLA Sheet'!C:C,B81,'PLA Sheet'!J:J)/D81*9</f>
        <v>2.60831737</v>
      </c>
      <c r="G81" s="41">
        <v>0.489152893</v>
      </c>
      <c r="H81" s="41">
        <v>0.206095041</v>
      </c>
      <c r="I81" s="41">
        <v>0.304752066</v>
      </c>
      <c r="J81" s="41">
        <f t="shared" si="1"/>
        <v>0.184400827</v>
      </c>
      <c r="K81" s="42">
        <v>9.219692615</v>
      </c>
    </row>
    <row r="82">
      <c r="A82" s="1" t="s">
        <v>105</v>
      </c>
      <c r="B82" s="38">
        <v>624133.0</v>
      </c>
      <c r="C82" s="38">
        <v>2380.0</v>
      </c>
      <c r="D82" s="39">
        <f>sumif('PLA Sheet'!C:C,B82,'PLA Sheet'!H:H)</f>
        <v>157.3333333</v>
      </c>
      <c r="E82" s="40">
        <v>5.212301973</v>
      </c>
      <c r="F82" s="40">
        <f>sumif('PLA Sheet'!C:C,B82,'PLA Sheet'!J:J)/D82*9</f>
        <v>2.634706506</v>
      </c>
      <c r="G82" s="41">
        <v>0.490336134</v>
      </c>
      <c r="H82" s="41">
        <v>0.2</v>
      </c>
      <c r="I82" s="41">
        <v>0.309663866</v>
      </c>
      <c r="J82" s="41">
        <f t="shared" si="1"/>
        <v>0.180672268</v>
      </c>
      <c r="K82" s="42">
        <v>14.04408475</v>
      </c>
    </row>
    <row r="83">
      <c r="A83" s="1" t="s">
        <v>84</v>
      </c>
      <c r="B83" s="38">
        <v>669373.0</v>
      </c>
      <c r="C83" s="38">
        <v>2776.0</v>
      </c>
      <c r="D83" s="39">
        <f>sumif('PLA Sheet'!C:C,B83,'PLA Sheet'!H:H)</f>
        <v>195.3333333</v>
      </c>
      <c r="E83" s="40">
        <v>5.211897325</v>
      </c>
      <c r="F83" s="40">
        <f>sumif('PLA Sheet'!C:C,B83,'PLA Sheet'!J:J)/D83*9</f>
        <v>2.483788884</v>
      </c>
      <c r="G83" s="41">
        <v>0.508285303</v>
      </c>
      <c r="H83" s="41">
        <v>0.176873199</v>
      </c>
      <c r="I83" s="41">
        <v>0.314841499</v>
      </c>
      <c r="J83" s="41">
        <f t="shared" si="1"/>
        <v>0.193443804</v>
      </c>
      <c r="K83" s="42">
        <v>29.14544464</v>
      </c>
    </row>
    <row r="84">
      <c r="A84" s="1" t="s">
        <v>107</v>
      </c>
      <c r="B84" s="38">
        <v>657571.0</v>
      </c>
      <c r="C84" s="38">
        <v>983.0</v>
      </c>
      <c r="D84" s="39">
        <f>sumif('PLA Sheet'!C:C,B84,'PLA Sheet'!H:H)</f>
        <v>65.33333333</v>
      </c>
      <c r="E84" s="40">
        <v>5.210647237</v>
      </c>
      <c r="F84" s="40">
        <f>sumif('PLA Sheet'!C:C,B84,'PLA Sheet'!J:J)/D84*9</f>
        <v>2.638697878</v>
      </c>
      <c r="G84" s="41">
        <v>0.509664293</v>
      </c>
      <c r="H84" s="41">
        <v>0.174974568</v>
      </c>
      <c r="I84" s="41">
        <v>0.315361139</v>
      </c>
      <c r="J84" s="41">
        <f t="shared" si="1"/>
        <v>0.194303154</v>
      </c>
      <c r="K84" s="42">
        <v>4.187639007</v>
      </c>
    </row>
    <row r="85">
      <c r="A85" s="1" t="s">
        <v>228</v>
      </c>
      <c r="B85" s="38">
        <v>687473.0</v>
      </c>
      <c r="C85" s="38">
        <v>1703.0</v>
      </c>
      <c r="D85" s="39">
        <f>sumif('PLA Sheet'!C:C,B85,'PLA Sheet'!H:H)</f>
        <v>101.6666667</v>
      </c>
      <c r="E85" s="40">
        <v>5.210046316</v>
      </c>
      <c r="F85" s="40">
        <f>sumif('PLA Sheet'!C:C,B85,'PLA Sheet'!J:J)/D85*9</f>
        <v>3.026408488</v>
      </c>
      <c r="G85" s="41">
        <v>0.521432766</v>
      </c>
      <c r="H85" s="41">
        <v>0.16852613</v>
      </c>
      <c r="I85" s="41">
        <v>0.310041104</v>
      </c>
      <c r="J85" s="41">
        <f t="shared" si="1"/>
        <v>0.211391662</v>
      </c>
      <c r="K85" s="42">
        <v>-13.1503601</v>
      </c>
    </row>
    <row r="86">
      <c r="A86" s="1" t="s">
        <v>87</v>
      </c>
      <c r="B86" s="38">
        <v>657097.0</v>
      </c>
      <c r="C86" s="38">
        <v>953.0</v>
      </c>
      <c r="D86" s="39">
        <f>sumif('PLA Sheet'!C:C,B86,'PLA Sheet'!H:H)</f>
        <v>65.99999999</v>
      </c>
      <c r="E86" s="40">
        <v>5.209155858</v>
      </c>
      <c r="F86" s="40">
        <f>sumif('PLA Sheet'!C:C,B86,'PLA Sheet'!J:J)/D86*9</f>
        <v>2.521603228</v>
      </c>
      <c r="G86" s="41">
        <v>0.530954879</v>
      </c>
      <c r="H86" s="41">
        <v>0.154249738</v>
      </c>
      <c r="I86" s="41">
        <v>0.314795383</v>
      </c>
      <c r="J86" s="41">
        <f t="shared" si="1"/>
        <v>0.216159496</v>
      </c>
      <c r="K86" s="42">
        <v>-1.060514661</v>
      </c>
    </row>
    <row r="87">
      <c r="A87" s="1" t="s">
        <v>174</v>
      </c>
      <c r="B87" s="38">
        <v>643338.0</v>
      </c>
      <c r="C87" s="38">
        <v>688.0</v>
      </c>
      <c r="D87" s="39">
        <f>sumif('PLA Sheet'!C:C,B87,'PLA Sheet'!H:H)</f>
        <v>43.66666666</v>
      </c>
      <c r="E87" s="40">
        <v>5.208662611</v>
      </c>
      <c r="F87" s="40">
        <f>sumif('PLA Sheet'!C:C,B87,'PLA Sheet'!J:J)/D87*9</f>
        <v>2.869260115</v>
      </c>
      <c r="G87" s="41">
        <v>0.488372093</v>
      </c>
      <c r="H87" s="41">
        <v>0.199127907</v>
      </c>
      <c r="I87" s="41">
        <v>0.3125</v>
      </c>
      <c r="J87" s="41">
        <f t="shared" si="1"/>
        <v>0.175872093</v>
      </c>
      <c r="K87" s="42">
        <v>-13.8980008</v>
      </c>
    </row>
    <row r="88">
      <c r="A88" s="1" t="s">
        <v>164</v>
      </c>
      <c r="B88" s="38">
        <v>669923.0</v>
      </c>
      <c r="C88" s="38">
        <v>2022.0</v>
      </c>
      <c r="D88" s="39">
        <f>sumif('PLA Sheet'!C:C,B88,'PLA Sheet'!H:H)</f>
        <v>126</v>
      </c>
      <c r="E88" s="40">
        <v>5.206677829</v>
      </c>
      <c r="F88" s="40">
        <f>sumif('PLA Sheet'!C:C,B88,'PLA Sheet'!J:J)/D88*9</f>
        <v>2.842042428</v>
      </c>
      <c r="G88" s="41">
        <v>0.504945598</v>
      </c>
      <c r="H88" s="41">
        <v>0.177052423</v>
      </c>
      <c r="I88" s="41">
        <v>0.318001978</v>
      </c>
      <c r="J88" s="41">
        <f t="shared" si="1"/>
        <v>0.18694362</v>
      </c>
      <c r="K88" s="42">
        <v>-7.247183038</v>
      </c>
    </row>
    <row r="89">
      <c r="A89" s="1" t="s">
        <v>123</v>
      </c>
      <c r="B89" s="38">
        <v>678692.0</v>
      </c>
      <c r="C89" s="38">
        <v>1128.0</v>
      </c>
      <c r="D89" s="39">
        <f>sumif('PLA Sheet'!C:C,B89,'PLA Sheet'!H:H)</f>
        <v>73</v>
      </c>
      <c r="E89" s="40">
        <v>5.206630942</v>
      </c>
      <c r="F89" s="40">
        <f>sumif('PLA Sheet'!C:C,B89,'PLA Sheet'!J:J)/D89*9</f>
        <v>2.715860836</v>
      </c>
      <c r="G89" s="41">
        <v>0.519503546</v>
      </c>
      <c r="H89" s="41">
        <v>0.138297872</v>
      </c>
      <c r="I89" s="41">
        <v>0.342198582</v>
      </c>
      <c r="J89" s="41">
        <f t="shared" si="1"/>
        <v>0.177304964</v>
      </c>
      <c r="K89" s="42">
        <v>-0.499824866</v>
      </c>
    </row>
    <row r="90">
      <c r="A90" s="1" t="s">
        <v>251</v>
      </c>
      <c r="B90" s="38">
        <v>676664.0</v>
      </c>
      <c r="C90" s="38">
        <v>2271.0</v>
      </c>
      <c r="D90" s="39">
        <f>sumif('PLA Sheet'!C:C,B90,'PLA Sheet'!H:H)</f>
        <v>135.6666667</v>
      </c>
      <c r="E90" s="40">
        <v>5.206098127</v>
      </c>
      <c r="F90" s="40">
        <f>sumif('PLA Sheet'!C:C,B90,'PLA Sheet'!J:J)/D90*9</f>
        <v>3.103735975</v>
      </c>
      <c r="G90" s="41">
        <v>0.501100837</v>
      </c>
      <c r="H90" s="41">
        <v>0.164685161</v>
      </c>
      <c r="I90" s="41">
        <v>0.334214003</v>
      </c>
      <c r="J90" s="41">
        <f t="shared" si="1"/>
        <v>0.166886834</v>
      </c>
      <c r="K90" s="42">
        <v>-14.86830412</v>
      </c>
    </row>
    <row r="91">
      <c r="A91" s="1" t="s">
        <v>198</v>
      </c>
      <c r="B91" s="38">
        <v>680736.0</v>
      </c>
      <c r="C91" s="38">
        <v>1056.0</v>
      </c>
      <c r="D91" s="39">
        <f>sumif('PLA Sheet'!C:C,B91,'PLA Sheet'!H:H)</f>
        <v>66.66666666</v>
      </c>
      <c r="E91" s="40">
        <v>5.205783296</v>
      </c>
      <c r="F91" s="40">
        <f>sumif('PLA Sheet'!C:C,B91,'PLA Sheet'!J:J)/D91*9</f>
        <v>2.921990085</v>
      </c>
      <c r="G91" s="41">
        <v>0.496212121</v>
      </c>
      <c r="H91" s="41">
        <v>0.196022727</v>
      </c>
      <c r="I91" s="41">
        <v>0.307765152</v>
      </c>
      <c r="J91" s="41">
        <f t="shared" si="1"/>
        <v>0.188446969</v>
      </c>
      <c r="K91" s="42">
        <v>0.794117381</v>
      </c>
    </row>
    <row r="92">
      <c r="A92" s="1" t="s">
        <v>128</v>
      </c>
      <c r="B92" s="38">
        <v>641941.0</v>
      </c>
      <c r="C92" s="38">
        <v>1043.0</v>
      </c>
      <c r="D92" s="39">
        <f>sumif('PLA Sheet'!C:C,B92,'PLA Sheet'!H:H)</f>
        <v>68.66666667</v>
      </c>
      <c r="E92" s="40">
        <v>5.205666782</v>
      </c>
      <c r="F92" s="40">
        <f>sumif('PLA Sheet'!C:C,B92,'PLA Sheet'!J:J)/D92*9</f>
        <v>2.72388032</v>
      </c>
      <c r="G92" s="41">
        <v>0.525407478</v>
      </c>
      <c r="H92" s="41">
        <v>0.144774688</v>
      </c>
      <c r="I92" s="41">
        <v>0.329817833</v>
      </c>
      <c r="J92" s="41">
        <f t="shared" si="1"/>
        <v>0.195589645</v>
      </c>
      <c r="K92" s="42">
        <v>7.74533335</v>
      </c>
    </row>
    <row r="93">
      <c r="A93" s="1" t="s">
        <v>82</v>
      </c>
      <c r="B93" s="38">
        <v>663947.0</v>
      </c>
      <c r="C93" s="38">
        <v>1116.0</v>
      </c>
      <c r="D93" s="39">
        <f>sumif('PLA Sheet'!C:C,B93,'PLA Sheet'!H:H)</f>
        <v>78.66666666</v>
      </c>
      <c r="E93" s="40">
        <v>5.205495092</v>
      </c>
      <c r="F93" s="40">
        <f>sumif('PLA Sheet'!C:C,B93,'PLA Sheet'!J:J)/D93*9</f>
        <v>2.475601399</v>
      </c>
      <c r="G93" s="41">
        <v>0.487455197</v>
      </c>
      <c r="H93" s="41">
        <v>0.19265233</v>
      </c>
      <c r="I93" s="41">
        <v>0.319892473</v>
      </c>
      <c r="J93" s="41">
        <f t="shared" si="1"/>
        <v>0.167562724</v>
      </c>
      <c r="K93" s="42">
        <v>1.526100859</v>
      </c>
    </row>
    <row r="94">
      <c r="A94" s="1" t="s">
        <v>109</v>
      </c>
      <c r="B94" s="38">
        <v>601713.0</v>
      </c>
      <c r="C94" s="38">
        <v>2777.0</v>
      </c>
      <c r="D94" s="39">
        <f>sumif('PLA Sheet'!C:C,B94,'PLA Sheet'!H:H)</f>
        <v>181.6666667</v>
      </c>
      <c r="E94" s="40">
        <v>5.204316362</v>
      </c>
      <c r="F94" s="40">
        <f>sumif('PLA Sheet'!C:C,B94,'PLA Sheet'!J:J)/D94*9</f>
        <v>2.643184321</v>
      </c>
      <c r="G94" s="41">
        <v>0.509542672</v>
      </c>
      <c r="H94" s="41">
        <v>0.167086784</v>
      </c>
      <c r="I94" s="41">
        <v>0.323370544</v>
      </c>
      <c r="J94" s="41">
        <f t="shared" si="1"/>
        <v>0.186172128</v>
      </c>
      <c r="K94" s="42">
        <v>25.25947935</v>
      </c>
    </row>
    <row r="95">
      <c r="A95" s="1" t="s">
        <v>138</v>
      </c>
      <c r="B95" s="38">
        <v>621383.0</v>
      </c>
      <c r="C95" s="38">
        <v>1056.0</v>
      </c>
      <c r="D95" s="39">
        <f>sumif('PLA Sheet'!C:C,B95,'PLA Sheet'!H:H)</f>
        <v>67.33333334</v>
      </c>
      <c r="E95" s="40">
        <v>5.202305064</v>
      </c>
      <c r="F95" s="40">
        <f>sumif('PLA Sheet'!C:C,B95,'PLA Sheet'!J:J)/D95*9</f>
        <v>2.769509896</v>
      </c>
      <c r="G95" s="41">
        <v>0.476325758</v>
      </c>
      <c r="H95" s="41">
        <v>0.185606061</v>
      </c>
      <c r="I95" s="41">
        <v>0.338068182</v>
      </c>
      <c r="J95" s="41">
        <f t="shared" si="1"/>
        <v>0.138257576</v>
      </c>
      <c r="K95" s="42">
        <v>8.082582459</v>
      </c>
    </row>
    <row r="96">
      <c r="A96" s="1" t="s">
        <v>197</v>
      </c>
      <c r="B96" s="38">
        <v>676467.0</v>
      </c>
      <c r="C96" s="38">
        <v>1394.0</v>
      </c>
      <c r="D96" s="39">
        <f>sumif('PLA Sheet'!C:C,B96,'PLA Sheet'!H:H)</f>
        <v>86</v>
      </c>
      <c r="E96" s="40">
        <v>5.201615594</v>
      </c>
      <c r="F96" s="40">
        <f>sumif('PLA Sheet'!C:C,B96,'PLA Sheet'!J:J)/D96*9</f>
        <v>2.92128593</v>
      </c>
      <c r="G96" s="41">
        <v>0.488522238</v>
      </c>
      <c r="H96" s="41">
        <v>0.18723099</v>
      </c>
      <c r="I96" s="41">
        <v>0.324246772</v>
      </c>
      <c r="J96" s="41">
        <f t="shared" si="1"/>
        <v>0.164275466</v>
      </c>
      <c r="K96" s="42">
        <v>-13.97457516</v>
      </c>
    </row>
    <row r="97">
      <c r="A97" s="1" t="s">
        <v>158</v>
      </c>
      <c r="B97" s="38">
        <v>608372.0</v>
      </c>
      <c r="C97" s="38">
        <v>2486.0</v>
      </c>
      <c r="D97" s="39">
        <f>sumif('PLA Sheet'!C:C,B97,'PLA Sheet'!H:H)</f>
        <v>157</v>
      </c>
      <c r="E97" s="40">
        <v>5.201219731</v>
      </c>
      <c r="F97" s="40">
        <f>sumif('PLA Sheet'!C:C,B97,'PLA Sheet'!J:J)/D97*9</f>
        <v>2.821932344</v>
      </c>
      <c r="G97" s="41">
        <v>0.496781979</v>
      </c>
      <c r="H97" s="41">
        <v>0.174577635</v>
      </c>
      <c r="I97" s="41">
        <v>0.328640386</v>
      </c>
      <c r="J97" s="41">
        <f t="shared" si="1"/>
        <v>0.168141593</v>
      </c>
      <c r="K97" s="42">
        <v>-22.49378748</v>
      </c>
    </row>
    <row r="98">
      <c r="A98" s="1" t="s">
        <v>202</v>
      </c>
      <c r="B98" s="38">
        <v>677960.0</v>
      </c>
      <c r="C98" s="38">
        <v>620.0</v>
      </c>
      <c r="D98" s="39">
        <f>sumif('PLA Sheet'!C:C,B98,'PLA Sheet'!H:H)</f>
        <v>38.33333333</v>
      </c>
      <c r="E98" s="40">
        <v>5.200251341</v>
      </c>
      <c r="F98" s="40">
        <f>sumif('PLA Sheet'!C:C,B98,'PLA Sheet'!J:J)/D98*9</f>
        <v>2.929082791</v>
      </c>
      <c r="G98" s="41">
        <v>0.514516129</v>
      </c>
      <c r="H98" s="41">
        <v>0.187096774</v>
      </c>
      <c r="I98" s="41">
        <v>0.298387097</v>
      </c>
      <c r="J98" s="41">
        <f t="shared" si="1"/>
        <v>0.216129032</v>
      </c>
      <c r="K98" s="42">
        <v>-0.532664516</v>
      </c>
    </row>
    <row r="99">
      <c r="A99" s="1" t="s">
        <v>112</v>
      </c>
      <c r="B99" s="38">
        <v>683232.0</v>
      </c>
      <c r="C99" s="38">
        <v>815.0</v>
      </c>
      <c r="D99" s="39">
        <f>sumif('PLA Sheet'!C:C,B99,'PLA Sheet'!H:H)</f>
        <v>56.66666667</v>
      </c>
      <c r="E99" s="40">
        <v>5.200128987</v>
      </c>
      <c r="F99" s="40">
        <f>sumif('PLA Sheet'!C:C,B99,'PLA Sheet'!J:J)/D99*9</f>
        <v>2.658443506</v>
      </c>
      <c r="G99" s="41">
        <v>0.511656442</v>
      </c>
      <c r="H99" s="41">
        <v>0.179141104</v>
      </c>
      <c r="I99" s="41">
        <v>0.309202454</v>
      </c>
      <c r="J99" s="41">
        <f t="shared" si="1"/>
        <v>0.202453988</v>
      </c>
      <c r="K99" s="42">
        <v>4.772898123</v>
      </c>
    </row>
    <row r="100">
      <c r="A100" s="1" t="s">
        <v>156</v>
      </c>
      <c r="B100" s="38">
        <v>519242.0</v>
      </c>
      <c r="C100" s="38">
        <v>1974.0</v>
      </c>
      <c r="D100" s="39">
        <f>sumif('PLA Sheet'!C:C,B100,'PLA Sheet'!H:H)</f>
        <v>125.6666667</v>
      </c>
      <c r="E100" s="40">
        <v>5.199515374</v>
      </c>
      <c r="F100" s="40">
        <f>sumif('PLA Sheet'!C:C,B100,'PLA Sheet'!J:J)/D100*9</f>
        <v>2.817857292</v>
      </c>
      <c r="G100" s="41">
        <v>0.511144883</v>
      </c>
      <c r="H100" s="41">
        <v>0.170212766</v>
      </c>
      <c r="I100" s="41">
        <v>0.318642351</v>
      </c>
      <c r="J100" s="41">
        <f t="shared" si="1"/>
        <v>0.192502532</v>
      </c>
      <c r="K100" s="42">
        <v>6.903995479</v>
      </c>
    </row>
    <row r="101">
      <c r="A101" s="1" t="s">
        <v>49</v>
      </c>
      <c r="B101" s="38">
        <v>670970.0</v>
      </c>
      <c r="C101" s="38">
        <v>960.0</v>
      </c>
      <c r="D101" s="39">
        <f>sumif('PLA Sheet'!C:C,B101,'PLA Sheet'!H:H)</f>
        <v>73.66666666</v>
      </c>
      <c r="E101" s="40">
        <v>5.19825342</v>
      </c>
      <c r="F101" s="40">
        <f>sumif('PLA Sheet'!C:C,B101,'PLA Sheet'!J:J)/D101*9</f>
        <v>2.28510786</v>
      </c>
      <c r="G101" s="41">
        <v>0.515625</v>
      </c>
      <c r="H101" s="41">
        <v>0.167708333</v>
      </c>
      <c r="I101" s="41">
        <v>0.316666667</v>
      </c>
      <c r="J101" s="41">
        <f t="shared" si="1"/>
        <v>0.198958333</v>
      </c>
      <c r="K101" s="42">
        <v>11.81859813</v>
      </c>
    </row>
    <row r="102">
      <c r="A102" s="1" t="s">
        <v>134</v>
      </c>
      <c r="B102" s="38">
        <v>677161.0</v>
      </c>
      <c r="C102" s="38">
        <v>564.0</v>
      </c>
      <c r="D102" s="39">
        <f>sumif('PLA Sheet'!C:C,B102,'PLA Sheet'!H:H)</f>
        <v>35.33333333</v>
      </c>
      <c r="E102" s="40">
        <v>5.198166106</v>
      </c>
      <c r="F102" s="40">
        <f>sumif('PLA Sheet'!C:C,B102,'PLA Sheet'!J:J)/D102*9</f>
        <v>2.748165198</v>
      </c>
      <c r="G102" s="41">
        <v>0.523049645</v>
      </c>
      <c r="H102" s="41">
        <v>0.170212766</v>
      </c>
      <c r="I102" s="41">
        <v>0.306737589</v>
      </c>
      <c r="J102" s="41">
        <f t="shared" si="1"/>
        <v>0.216312056</v>
      </c>
      <c r="K102" s="42">
        <v>-0.740300781</v>
      </c>
    </row>
    <row r="103">
      <c r="A103" s="1" t="s">
        <v>151</v>
      </c>
      <c r="B103" s="38">
        <v>571948.0</v>
      </c>
      <c r="C103" s="38">
        <v>1121.0</v>
      </c>
      <c r="D103" s="39">
        <f>sumif('PLA Sheet'!C:C,B103,'PLA Sheet'!H:H)</f>
        <v>70.33333333</v>
      </c>
      <c r="E103" s="40">
        <v>5.197513019</v>
      </c>
      <c r="F103" s="40">
        <f>sumif('PLA Sheet'!C:C,B103,'PLA Sheet'!J:J)/D103*9</f>
        <v>2.809149355</v>
      </c>
      <c r="G103" s="41">
        <v>0.510258698</v>
      </c>
      <c r="H103" s="41">
        <v>0.163247101</v>
      </c>
      <c r="I103" s="41">
        <v>0.326494202</v>
      </c>
      <c r="J103" s="41">
        <f t="shared" si="1"/>
        <v>0.183764496</v>
      </c>
      <c r="K103" s="42">
        <v>1.491780486</v>
      </c>
    </row>
    <row r="104">
      <c r="A104" s="1" t="s">
        <v>224</v>
      </c>
      <c r="B104" s="38">
        <v>686701.0</v>
      </c>
      <c r="C104" s="38">
        <v>1287.0</v>
      </c>
      <c r="D104" s="39">
        <f>sumif('PLA Sheet'!C:C,B104,'PLA Sheet'!H:H)</f>
        <v>76.33333333</v>
      </c>
      <c r="E104" s="40">
        <v>5.195683996</v>
      </c>
      <c r="F104" s="40">
        <f>sumif('PLA Sheet'!C:C,B104,'PLA Sheet'!J:J)/D104*9</f>
        <v>3.019903664</v>
      </c>
      <c r="G104" s="41">
        <v>0.505827506</v>
      </c>
      <c r="H104" s="41">
        <v>0.172494172</v>
      </c>
      <c r="I104" s="41">
        <v>0.321678322</v>
      </c>
      <c r="J104" s="41">
        <f t="shared" si="1"/>
        <v>0.184149184</v>
      </c>
      <c r="K104" s="42">
        <v>6.608166086</v>
      </c>
    </row>
    <row r="105">
      <c r="A105" s="1" t="s">
        <v>292</v>
      </c>
      <c r="B105" s="38">
        <v>592773.0</v>
      </c>
      <c r="C105" s="38">
        <v>1037.0</v>
      </c>
      <c r="D105" s="39">
        <f>sumif('PLA Sheet'!C:C,B105,'PLA Sheet'!H:H)</f>
        <v>56</v>
      </c>
      <c r="E105" s="40">
        <v>5.194944602</v>
      </c>
      <c r="F105" s="40">
        <f>sumif('PLA Sheet'!C:C,B105,'PLA Sheet'!J:J)/D105*9</f>
        <v>3.271021714</v>
      </c>
      <c r="G105" s="41">
        <v>0.536162006</v>
      </c>
      <c r="H105" s="41">
        <v>0.133076181</v>
      </c>
      <c r="I105" s="41">
        <v>0.330761813</v>
      </c>
      <c r="J105" s="41">
        <f t="shared" si="1"/>
        <v>0.205400193</v>
      </c>
      <c r="K105" s="42">
        <v>-5.597961892</v>
      </c>
    </row>
    <row r="106">
      <c r="A106" s="1" t="s">
        <v>122</v>
      </c>
      <c r="B106" s="38">
        <v>661395.0</v>
      </c>
      <c r="C106" s="38">
        <v>1050.0</v>
      </c>
      <c r="D106" s="39">
        <f>sumif('PLA Sheet'!C:C,B106,'PLA Sheet'!H:H)</f>
        <v>70</v>
      </c>
      <c r="E106" s="40">
        <v>5.194473482</v>
      </c>
      <c r="F106" s="40">
        <f>sumif('PLA Sheet'!C:C,B106,'PLA Sheet'!J:J)/D106*9</f>
        <v>2.707236129</v>
      </c>
      <c r="G106" s="41">
        <v>0.504761905</v>
      </c>
      <c r="H106" s="41">
        <v>0.157142857</v>
      </c>
      <c r="I106" s="41">
        <v>0.338095238</v>
      </c>
      <c r="J106" s="41">
        <f t="shared" si="1"/>
        <v>0.166666667</v>
      </c>
      <c r="K106" s="42">
        <v>4.440135963</v>
      </c>
    </row>
    <row r="107">
      <c r="A107" s="1" t="s">
        <v>108</v>
      </c>
      <c r="B107" s="38">
        <v>663423.0</v>
      </c>
      <c r="C107" s="38">
        <v>617.0</v>
      </c>
      <c r="D107" s="39">
        <f>sumif('PLA Sheet'!C:C,B107,'PLA Sheet'!H:H)</f>
        <v>42.33333333</v>
      </c>
      <c r="E107" s="40">
        <v>5.194435626</v>
      </c>
      <c r="F107" s="40">
        <f>sumif('PLA Sheet'!C:C,B107,'PLA Sheet'!J:J)/D107*9</f>
        <v>2.639788087</v>
      </c>
      <c r="G107" s="41">
        <v>0.518638574</v>
      </c>
      <c r="H107" s="41">
        <v>0.17828201</v>
      </c>
      <c r="I107" s="41">
        <v>0.303079417</v>
      </c>
      <c r="J107" s="41">
        <f t="shared" si="1"/>
        <v>0.215559157</v>
      </c>
      <c r="K107" s="42">
        <v>-5.375623244</v>
      </c>
    </row>
    <row r="108">
      <c r="A108" s="1" t="s">
        <v>232</v>
      </c>
      <c r="B108" s="38">
        <v>579328.0</v>
      </c>
      <c r="C108" s="38">
        <v>3002.0</v>
      </c>
      <c r="D108" s="39">
        <f>sumif('PLA Sheet'!C:C,B108,'PLA Sheet'!H:H)</f>
        <v>178.3333333</v>
      </c>
      <c r="E108" s="40">
        <v>5.194188557</v>
      </c>
      <c r="F108" s="40">
        <f>sumif('PLA Sheet'!C:C,B108,'PLA Sheet'!J:J)/D108*9</f>
        <v>3.035941923</v>
      </c>
      <c r="G108" s="41">
        <v>0.506329114</v>
      </c>
      <c r="H108" s="41">
        <v>0.165556296</v>
      </c>
      <c r="I108" s="41">
        <v>0.32811459</v>
      </c>
      <c r="J108" s="41">
        <f t="shared" si="1"/>
        <v>0.178214524</v>
      </c>
      <c r="K108" s="42">
        <v>-13.28602508</v>
      </c>
    </row>
    <row r="109">
      <c r="A109" s="1" t="s">
        <v>155</v>
      </c>
      <c r="B109" s="38">
        <v>592332.0</v>
      </c>
      <c r="C109" s="38">
        <v>2901.0</v>
      </c>
      <c r="D109" s="39">
        <f>sumif('PLA Sheet'!C:C,B109,'PLA Sheet'!H:H)</f>
        <v>193</v>
      </c>
      <c r="E109" s="40">
        <v>5.194082529</v>
      </c>
      <c r="F109" s="40">
        <f>sumif('PLA Sheet'!C:C,B109,'PLA Sheet'!J:J)/D109*9</f>
        <v>2.813724653</v>
      </c>
      <c r="G109" s="41">
        <v>0.497414685</v>
      </c>
      <c r="H109" s="41">
        <v>0.19407101</v>
      </c>
      <c r="I109" s="41">
        <v>0.308514305</v>
      </c>
      <c r="J109" s="41">
        <f t="shared" si="1"/>
        <v>0.18890038</v>
      </c>
      <c r="K109" s="42">
        <v>15.88565425</v>
      </c>
    </row>
    <row r="110">
      <c r="A110" s="1" t="s">
        <v>215</v>
      </c>
      <c r="B110" s="38">
        <v>656234.0</v>
      </c>
      <c r="C110" s="38">
        <v>930.0</v>
      </c>
      <c r="D110" s="39">
        <f>sumif('PLA Sheet'!C:C,B110,'PLA Sheet'!H:H)</f>
        <v>55.33333333</v>
      </c>
      <c r="E110" s="40">
        <v>5.193521992</v>
      </c>
      <c r="F110" s="40">
        <f>sumif('PLA Sheet'!C:C,B110,'PLA Sheet'!J:J)/D110*9</f>
        <v>2.964721175</v>
      </c>
      <c r="G110" s="41">
        <v>0.488172043</v>
      </c>
      <c r="H110" s="41">
        <v>0.188172043</v>
      </c>
      <c r="I110" s="41">
        <v>0.323655914</v>
      </c>
      <c r="J110" s="41">
        <f t="shared" si="1"/>
        <v>0.164516129</v>
      </c>
      <c r="K110" s="42">
        <v>-0.200862482</v>
      </c>
    </row>
    <row r="111">
      <c r="A111" s="1" t="s">
        <v>127</v>
      </c>
      <c r="B111" s="38">
        <v>687765.0</v>
      </c>
      <c r="C111" s="38">
        <v>1308.0</v>
      </c>
      <c r="D111" s="39">
        <f>sumif('PLA Sheet'!C:C,B111,'PLA Sheet'!H:H)</f>
        <v>84.66666667</v>
      </c>
      <c r="E111" s="40">
        <v>5.193049586</v>
      </c>
      <c r="F111" s="40">
        <f>sumif('PLA Sheet'!C:C,B111,'PLA Sheet'!J:J)/D111*9</f>
        <v>2.72143311</v>
      </c>
      <c r="G111" s="41">
        <v>0.501529052</v>
      </c>
      <c r="H111" s="41">
        <v>0.181957187</v>
      </c>
      <c r="I111" s="41">
        <v>0.316513761</v>
      </c>
      <c r="J111" s="41">
        <f t="shared" si="1"/>
        <v>0.185015291</v>
      </c>
      <c r="K111" s="42">
        <v>-13.49525214</v>
      </c>
    </row>
    <row r="112">
      <c r="A112" s="1" t="s">
        <v>136</v>
      </c>
      <c r="B112" s="38">
        <v>660271.0</v>
      </c>
      <c r="C112" s="38">
        <v>729.0</v>
      </c>
      <c r="D112" s="39">
        <f>sumif('PLA Sheet'!C:C,B112,'PLA Sheet'!H:H)</f>
        <v>47</v>
      </c>
      <c r="E112" s="40">
        <v>5.191547988</v>
      </c>
      <c r="F112" s="40">
        <f>sumif('PLA Sheet'!C:C,B112,'PLA Sheet'!J:J)/D112*9</f>
        <v>2.750395787</v>
      </c>
      <c r="G112" s="41">
        <v>0.492455418</v>
      </c>
      <c r="H112" s="41">
        <v>0.179698217</v>
      </c>
      <c r="I112" s="41">
        <v>0.327846365</v>
      </c>
      <c r="J112" s="41">
        <f t="shared" si="1"/>
        <v>0.164609053</v>
      </c>
      <c r="K112" s="42">
        <v>5.147732607</v>
      </c>
    </row>
    <row r="113">
      <c r="A113" s="1" t="s">
        <v>172</v>
      </c>
      <c r="B113" s="38">
        <v>608650.0</v>
      </c>
      <c r="C113" s="38">
        <v>720.0</v>
      </c>
      <c r="D113" s="39">
        <f>sumif('PLA Sheet'!C:C,B113,'PLA Sheet'!H:H)</f>
        <v>46.33333333</v>
      </c>
      <c r="E113" s="40">
        <v>5.189648646</v>
      </c>
      <c r="F113" s="40">
        <f>sumif('PLA Sheet'!C:C,B113,'PLA Sheet'!J:J)/D113*9</f>
        <v>2.866370504</v>
      </c>
      <c r="G113" s="41">
        <v>0.508333333</v>
      </c>
      <c r="H113" s="41">
        <v>0.172222222</v>
      </c>
      <c r="I113" s="41">
        <v>0.319444444</v>
      </c>
      <c r="J113" s="41">
        <f t="shared" si="1"/>
        <v>0.188888889</v>
      </c>
      <c r="K113" s="42">
        <v>-7.131186295</v>
      </c>
    </row>
    <row r="114">
      <c r="A114" s="1" t="s">
        <v>169</v>
      </c>
      <c r="B114" s="38">
        <v>671096.0</v>
      </c>
      <c r="C114" s="38">
        <v>2586.0</v>
      </c>
      <c r="D114" s="39">
        <f>sumif('PLA Sheet'!C:C,B114,'PLA Sheet'!H:H)</f>
        <v>166.3333333</v>
      </c>
      <c r="E114" s="40">
        <v>5.189509057</v>
      </c>
      <c r="F114" s="40">
        <f>sumif('PLA Sheet'!C:C,B114,'PLA Sheet'!J:J)/D114*9</f>
        <v>2.862212754</v>
      </c>
      <c r="G114" s="41">
        <v>0.493426141</v>
      </c>
      <c r="H114" s="41">
        <v>0.184068059</v>
      </c>
      <c r="I114" s="41">
        <v>0.3225058</v>
      </c>
      <c r="J114" s="41">
        <f t="shared" si="1"/>
        <v>0.170920341</v>
      </c>
      <c r="K114" s="42">
        <v>3.25948993</v>
      </c>
    </row>
    <row r="115">
      <c r="A115" s="1" t="s">
        <v>187</v>
      </c>
      <c r="B115" s="38">
        <v>641302.0</v>
      </c>
      <c r="C115" s="38">
        <v>1545.0</v>
      </c>
      <c r="D115" s="39">
        <f>sumif('PLA Sheet'!C:C,B115,'PLA Sheet'!H:H)</f>
        <v>97.66666667</v>
      </c>
      <c r="E115" s="40">
        <v>5.188440784</v>
      </c>
      <c r="F115" s="40">
        <f>sumif('PLA Sheet'!C:C,B115,'PLA Sheet'!J:J)/D115*9</f>
        <v>2.897310379</v>
      </c>
      <c r="G115" s="41">
        <v>0.506148867</v>
      </c>
      <c r="H115" s="41">
        <v>0.178640777</v>
      </c>
      <c r="I115" s="41">
        <v>0.315210356</v>
      </c>
      <c r="J115" s="41">
        <f t="shared" si="1"/>
        <v>0.190938511</v>
      </c>
      <c r="K115" s="42">
        <v>-13.45818593</v>
      </c>
    </row>
    <row r="116">
      <c r="A116" s="1" t="s">
        <v>227</v>
      </c>
      <c r="B116" s="38">
        <v>663687.0</v>
      </c>
      <c r="C116" s="38">
        <v>1093.0</v>
      </c>
      <c r="D116" s="39">
        <f>sumif('PLA Sheet'!C:C,B116,'PLA Sheet'!H:H)</f>
        <v>64.66666666</v>
      </c>
      <c r="E116" s="40">
        <v>5.188419843</v>
      </c>
      <c r="F116" s="40">
        <f>sumif('PLA Sheet'!C:C,B116,'PLA Sheet'!J:J)/D116*9</f>
        <v>3.025921871</v>
      </c>
      <c r="G116" s="41">
        <v>0.540713632</v>
      </c>
      <c r="H116" s="41">
        <v>0.139066789</v>
      </c>
      <c r="I116" s="41">
        <v>0.320219579</v>
      </c>
      <c r="J116" s="41">
        <f t="shared" si="1"/>
        <v>0.220494053</v>
      </c>
      <c r="K116" s="42">
        <v>9.913073085</v>
      </c>
    </row>
    <row r="117">
      <c r="A117" s="1" t="s">
        <v>146</v>
      </c>
      <c r="B117" s="38">
        <v>623437.0</v>
      </c>
      <c r="C117" s="38">
        <v>959.0</v>
      </c>
      <c r="D117" s="39">
        <f>sumif('PLA Sheet'!C:C,B117,'PLA Sheet'!H:H)</f>
        <v>60</v>
      </c>
      <c r="E117" s="40">
        <v>5.188243617</v>
      </c>
      <c r="F117" s="40">
        <f>sumif('PLA Sheet'!C:C,B117,'PLA Sheet'!J:J)/D117*9</f>
        <v>2.8006215</v>
      </c>
      <c r="G117" s="41">
        <v>0.526590198</v>
      </c>
      <c r="H117" s="41">
        <v>0.155370177</v>
      </c>
      <c r="I117" s="41">
        <v>0.318039625</v>
      </c>
      <c r="J117" s="41">
        <f t="shared" si="1"/>
        <v>0.208550573</v>
      </c>
      <c r="K117" s="42">
        <v>-9.656590535</v>
      </c>
    </row>
    <row r="118">
      <c r="A118" s="1" t="s">
        <v>160</v>
      </c>
      <c r="B118" s="38">
        <v>695445.0</v>
      </c>
      <c r="C118" s="38">
        <v>584.0</v>
      </c>
      <c r="D118" s="39">
        <f>sumif('PLA Sheet'!C:C,B118,'PLA Sheet'!H:H)</f>
        <v>37.33333333</v>
      </c>
      <c r="E118" s="40">
        <v>5.187359176</v>
      </c>
      <c r="F118" s="40">
        <f>sumif('PLA Sheet'!C:C,B118,'PLA Sheet'!J:J)/D118*9</f>
        <v>2.825971875</v>
      </c>
      <c r="G118" s="41">
        <v>0.484589041</v>
      </c>
      <c r="H118" s="41">
        <v>0.171232877</v>
      </c>
      <c r="I118" s="41">
        <v>0.344178082</v>
      </c>
      <c r="J118" s="41">
        <f t="shared" si="1"/>
        <v>0.140410959</v>
      </c>
      <c r="K118" s="42">
        <v>1.800096311</v>
      </c>
    </row>
    <row r="119">
      <c r="A119" s="1" t="s">
        <v>178</v>
      </c>
      <c r="B119" s="38">
        <v>572955.0</v>
      </c>
      <c r="C119" s="38">
        <v>946.0</v>
      </c>
      <c r="D119" s="39">
        <f>sumif('PLA Sheet'!C:C,B119,'PLA Sheet'!H:H)</f>
        <v>59</v>
      </c>
      <c r="E119" s="40">
        <v>5.182864363</v>
      </c>
      <c r="F119" s="40">
        <f>sumif('PLA Sheet'!C:C,B119,'PLA Sheet'!J:J)/D119*9</f>
        <v>2.876542627</v>
      </c>
      <c r="G119" s="41">
        <v>0.496828753</v>
      </c>
      <c r="H119" s="41">
        <v>0.182875264</v>
      </c>
      <c r="I119" s="41">
        <v>0.320295983</v>
      </c>
      <c r="J119" s="41">
        <f t="shared" si="1"/>
        <v>0.17653277</v>
      </c>
      <c r="K119" s="42">
        <v>3.355002276</v>
      </c>
    </row>
    <row r="120">
      <c r="A120" s="1" t="s">
        <v>186</v>
      </c>
      <c r="B120" s="38">
        <v>663399.0</v>
      </c>
      <c r="C120" s="38">
        <v>503.0</v>
      </c>
      <c r="D120" s="39">
        <f>sumif('PLA Sheet'!C:C,B120,'PLA Sheet'!H:H)</f>
        <v>31.33333333</v>
      </c>
      <c r="E120" s="40">
        <v>5.182739877</v>
      </c>
      <c r="F120" s="40">
        <f>sumif('PLA Sheet'!C:C,B120,'PLA Sheet'!J:J)/D120*9</f>
        <v>2.897084777</v>
      </c>
      <c r="G120" s="41">
        <v>0.48111332</v>
      </c>
      <c r="H120" s="41">
        <v>0.16500994</v>
      </c>
      <c r="I120" s="41">
        <v>0.35387674</v>
      </c>
      <c r="J120" s="41">
        <f t="shared" si="1"/>
        <v>0.12723658</v>
      </c>
      <c r="K120" s="42">
        <v>0.707399205</v>
      </c>
    </row>
    <row r="121">
      <c r="A121" s="1" t="s">
        <v>209</v>
      </c>
      <c r="B121" s="38">
        <v>694738.0</v>
      </c>
      <c r="C121" s="38">
        <v>1804.0</v>
      </c>
      <c r="D121" s="39">
        <f>sumif('PLA Sheet'!C:C,B121,'PLA Sheet'!H:H)</f>
        <v>106.6666667</v>
      </c>
      <c r="E121" s="40">
        <v>5.181791398</v>
      </c>
      <c r="F121" s="40">
        <f>sumif('PLA Sheet'!C:C,B121,'PLA Sheet'!J:J)/D121*9</f>
        <v>2.956803919</v>
      </c>
      <c r="G121" s="41">
        <v>0.50886918</v>
      </c>
      <c r="H121" s="41">
        <v>0.170731707</v>
      </c>
      <c r="I121" s="41">
        <v>0.320399113</v>
      </c>
      <c r="J121" s="41">
        <f t="shared" si="1"/>
        <v>0.188470067</v>
      </c>
      <c r="K121" s="42">
        <v>-9.428633089</v>
      </c>
    </row>
    <row r="122">
      <c r="A122" s="1" t="s">
        <v>210</v>
      </c>
      <c r="B122" s="38">
        <v>650556.0</v>
      </c>
      <c r="C122" s="38">
        <v>1157.0</v>
      </c>
      <c r="D122" s="39">
        <f>sumif('PLA Sheet'!C:C,B122,'PLA Sheet'!H:H)</f>
        <v>71</v>
      </c>
      <c r="E122" s="40">
        <v>5.181242953</v>
      </c>
      <c r="F122" s="40">
        <f>sumif('PLA Sheet'!C:C,B122,'PLA Sheet'!J:J)/D122*9</f>
        <v>2.959824549</v>
      </c>
      <c r="G122" s="41">
        <v>0.506482282</v>
      </c>
      <c r="H122" s="41">
        <v>0.152117545</v>
      </c>
      <c r="I122" s="41">
        <v>0.341400173</v>
      </c>
      <c r="J122" s="41">
        <f t="shared" si="1"/>
        <v>0.165082109</v>
      </c>
      <c r="K122" s="42">
        <v>-0.585084156</v>
      </c>
    </row>
    <row r="123">
      <c r="A123" s="1" t="s">
        <v>132</v>
      </c>
      <c r="B123" s="38">
        <v>661403.0</v>
      </c>
      <c r="C123" s="38">
        <v>716.0</v>
      </c>
      <c r="D123" s="39">
        <f>sumif('PLA Sheet'!C:C,B123,'PLA Sheet'!H:H)</f>
        <v>47.33333333</v>
      </c>
      <c r="E123" s="40">
        <v>5.180702619</v>
      </c>
      <c r="F123" s="40">
        <f>sumif('PLA Sheet'!C:C,B123,'PLA Sheet'!J:J)/D123*9</f>
        <v>2.743944212</v>
      </c>
      <c r="G123" s="41">
        <v>0.49301676</v>
      </c>
      <c r="H123" s="41">
        <v>0.187150838</v>
      </c>
      <c r="I123" s="41">
        <v>0.319832402</v>
      </c>
      <c r="J123" s="41">
        <f t="shared" si="1"/>
        <v>0.173184358</v>
      </c>
      <c r="K123" s="42">
        <v>0.664022466</v>
      </c>
    </row>
    <row r="124">
      <c r="A124" s="1" t="s">
        <v>270</v>
      </c>
      <c r="B124" s="38">
        <v>664854.0</v>
      </c>
      <c r="C124" s="38">
        <v>947.0</v>
      </c>
      <c r="D124" s="39">
        <f>sumif('PLA Sheet'!C:C,B124,'PLA Sheet'!H:H)</f>
        <v>56</v>
      </c>
      <c r="E124" s="40">
        <v>5.179453376</v>
      </c>
      <c r="F124" s="40">
        <f>sumif('PLA Sheet'!C:C,B124,'PLA Sheet'!J:J)/D124*9</f>
        <v>3.174348857</v>
      </c>
      <c r="G124" s="41">
        <v>0.510031679</v>
      </c>
      <c r="H124" s="41">
        <v>0.164730729</v>
      </c>
      <c r="I124" s="41">
        <v>0.325237592</v>
      </c>
      <c r="J124" s="41">
        <f t="shared" si="1"/>
        <v>0.184794087</v>
      </c>
      <c r="K124" s="42">
        <v>-7.271357188</v>
      </c>
    </row>
    <row r="125">
      <c r="A125" s="1" t="s">
        <v>195</v>
      </c>
      <c r="B125" s="38">
        <v>668678.0</v>
      </c>
      <c r="C125" s="38">
        <v>3038.0</v>
      </c>
      <c r="D125" s="39">
        <f>sumif('PLA Sheet'!C:C,B125,'PLA Sheet'!H:H)</f>
        <v>192</v>
      </c>
      <c r="E125" s="40">
        <v>5.177527146</v>
      </c>
      <c r="F125" s="40">
        <f>sumif('PLA Sheet'!C:C,B125,'PLA Sheet'!J:J)/D125*9</f>
        <v>2.915369531</v>
      </c>
      <c r="G125" s="41">
        <v>0.492758394</v>
      </c>
      <c r="H125" s="41">
        <v>0.183015142</v>
      </c>
      <c r="I125" s="41">
        <v>0.324226465</v>
      </c>
      <c r="J125" s="41">
        <f t="shared" si="1"/>
        <v>0.168531929</v>
      </c>
      <c r="K125" s="42">
        <v>-14.56359437</v>
      </c>
    </row>
    <row r="126">
      <c r="A126" s="1" t="s">
        <v>231</v>
      </c>
      <c r="B126" s="38">
        <v>669211.0</v>
      </c>
      <c r="C126" s="38">
        <v>1025.0</v>
      </c>
      <c r="D126" s="39">
        <f>sumif('PLA Sheet'!C:C,B126,'PLA Sheet'!H:H)</f>
        <v>63.33333333</v>
      </c>
      <c r="E126" s="40">
        <v>5.176769007</v>
      </c>
      <c r="F126" s="40">
        <f>sumif('PLA Sheet'!C:C,B126,'PLA Sheet'!J:J)/D126*9</f>
        <v>3.035200737</v>
      </c>
      <c r="G126" s="41">
        <v>0.503414634</v>
      </c>
      <c r="H126" s="41">
        <v>0.176585366</v>
      </c>
      <c r="I126" s="41">
        <v>0.32</v>
      </c>
      <c r="J126" s="41">
        <f t="shared" si="1"/>
        <v>0.183414634</v>
      </c>
      <c r="K126" s="42">
        <v>0.578456969</v>
      </c>
    </row>
    <row r="127">
      <c r="A127" s="1" t="s">
        <v>208</v>
      </c>
      <c r="B127" s="38">
        <v>605447.0</v>
      </c>
      <c r="C127" s="38">
        <v>684.0</v>
      </c>
      <c r="D127" s="39">
        <f>sumif('PLA Sheet'!C:C,B127,'PLA Sheet'!H:H)</f>
        <v>42.66666667</v>
      </c>
      <c r="E127" s="40">
        <v>5.176491769</v>
      </c>
      <c r="F127" s="40">
        <f>sumif('PLA Sheet'!C:C,B127,'PLA Sheet'!J:J)/D127*9</f>
        <v>2.948820609</v>
      </c>
      <c r="G127" s="41">
        <v>0.510233918</v>
      </c>
      <c r="H127" s="41">
        <v>0.173976608</v>
      </c>
      <c r="I127" s="41">
        <v>0.315789474</v>
      </c>
      <c r="J127" s="41">
        <f t="shared" si="1"/>
        <v>0.194444444</v>
      </c>
      <c r="K127" s="42">
        <v>-5.280376463</v>
      </c>
    </row>
    <row r="128">
      <c r="A128" s="1" t="s">
        <v>191</v>
      </c>
      <c r="B128" s="38">
        <v>687064.0</v>
      </c>
      <c r="C128" s="38">
        <v>915.0</v>
      </c>
      <c r="D128" s="39">
        <f>sumif('PLA Sheet'!C:C,B128,'PLA Sheet'!H:H)</f>
        <v>57.66666666</v>
      </c>
      <c r="E128" s="40">
        <v>5.175746653</v>
      </c>
      <c r="F128" s="40">
        <f>sumif('PLA Sheet'!C:C,B128,'PLA Sheet'!J:J)/D128*9</f>
        <v>2.903891515</v>
      </c>
      <c r="G128" s="41">
        <v>0.489617486</v>
      </c>
      <c r="H128" s="41">
        <v>0.17704918</v>
      </c>
      <c r="I128" s="41">
        <v>0.333333333</v>
      </c>
      <c r="J128" s="41">
        <f t="shared" si="1"/>
        <v>0.156284153</v>
      </c>
      <c r="K128" s="42">
        <v>-12.78932656</v>
      </c>
    </row>
    <row r="129">
      <c r="A129" s="1" t="s">
        <v>176</v>
      </c>
      <c r="B129" s="38">
        <v>686218.0</v>
      </c>
      <c r="C129" s="38">
        <v>1125.0</v>
      </c>
      <c r="D129" s="39">
        <f>sumif('PLA Sheet'!C:C,B129,'PLA Sheet'!H:H)</f>
        <v>73.33333333</v>
      </c>
      <c r="E129" s="40">
        <v>5.174247154</v>
      </c>
      <c r="F129" s="40">
        <f>sumif('PLA Sheet'!C:C,B129,'PLA Sheet'!J:J)/D129*9</f>
        <v>2.8722843</v>
      </c>
      <c r="G129" s="41">
        <v>0.502222222</v>
      </c>
      <c r="H129" s="41">
        <v>0.147555556</v>
      </c>
      <c r="I129" s="41">
        <v>0.350222222</v>
      </c>
      <c r="J129" s="41">
        <f t="shared" si="1"/>
        <v>0.152</v>
      </c>
      <c r="K129" s="42">
        <v>6.843991742</v>
      </c>
    </row>
    <row r="130">
      <c r="A130" s="1" t="s">
        <v>182</v>
      </c>
      <c r="B130" s="38">
        <v>621381.0</v>
      </c>
      <c r="C130" s="38">
        <v>966.0</v>
      </c>
      <c r="D130" s="39">
        <f>sumif('PLA Sheet'!C:C,B130,'PLA Sheet'!H:H)</f>
        <v>62.33333333</v>
      </c>
      <c r="E130" s="40">
        <v>5.172305718</v>
      </c>
      <c r="F130" s="40">
        <f>sumif('PLA Sheet'!C:C,B130,'PLA Sheet'!J:J)/D130*9</f>
        <v>2.888926652</v>
      </c>
      <c r="G130" s="41">
        <v>0.51242236</v>
      </c>
      <c r="H130" s="41">
        <v>0.16873706</v>
      </c>
      <c r="I130" s="41">
        <v>0.31884058</v>
      </c>
      <c r="J130" s="41">
        <f t="shared" si="1"/>
        <v>0.19358178</v>
      </c>
      <c r="K130" s="42">
        <v>3.571372555</v>
      </c>
    </row>
    <row r="131">
      <c r="A131" s="1" t="s">
        <v>110</v>
      </c>
      <c r="B131" s="38">
        <v>687330.0</v>
      </c>
      <c r="C131" s="38">
        <v>560.0</v>
      </c>
      <c r="D131" s="39">
        <f>sumif('PLA Sheet'!C:C,B131,'PLA Sheet'!H:H)</f>
        <v>39.66666666</v>
      </c>
      <c r="E131" s="40">
        <v>5.172020257</v>
      </c>
      <c r="F131" s="40">
        <f>sumif('PLA Sheet'!C:C,B131,'PLA Sheet'!J:J)/D131*9</f>
        <v>2.646442664</v>
      </c>
      <c r="G131" s="41">
        <v>0.508928571</v>
      </c>
      <c r="H131" s="41">
        <v>0.192857143</v>
      </c>
      <c r="I131" s="41">
        <v>0.298214286</v>
      </c>
      <c r="J131" s="41">
        <f t="shared" si="1"/>
        <v>0.210714285</v>
      </c>
      <c r="K131" s="42">
        <v>-5.542006092</v>
      </c>
    </row>
    <row r="132">
      <c r="A132" s="1" t="s">
        <v>283</v>
      </c>
      <c r="B132" s="38">
        <v>641401.0</v>
      </c>
      <c r="C132" s="38">
        <v>814.0</v>
      </c>
      <c r="D132" s="39">
        <f>sumif('PLA Sheet'!C:C,B132,'PLA Sheet'!H:H)</f>
        <v>47</v>
      </c>
      <c r="E132" s="40">
        <v>5.17096195</v>
      </c>
      <c r="F132" s="40">
        <f>sumif('PLA Sheet'!C:C,B132,'PLA Sheet'!J:J)/D132*9</f>
        <v>3.239277894</v>
      </c>
      <c r="G132" s="41">
        <v>0.50982801</v>
      </c>
      <c r="H132" s="41">
        <v>0.167076167</v>
      </c>
      <c r="I132" s="41">
        <v>0.323095823</v>
      </c>
      <c r="J132" s="41">
        <f t="shared" si="1"/>
        <v>0.186732187</v>
      </c>
      <c r="K132" s="42">
        <v>1.895194556</v>
      </c>
    </row>
    <row r="133">
      <c r="A133" s="1" t="s">
        <v>102</v>
      </c>
      <c r="B133" s="38">
        <v>656986.0</v>
      </c>
      <c r="C133" s="38">
        <v>705.0</v>
      </c>
      <c r="D133" s="39">
        <f>sumif('PLA Sheet'!C:C,B133,'PLA Sheet'!H:H)</f>
        <v>50.66666667</v>
      </c>
      <c r="E133" s="40">
        <v>5.170366522</v>
      </c>
      <c r="F133" s="40">
        <f>sumif('PLA Sheet'!C:C,B133,'PLA Sheet'!J:J)/D133*9</f>
        <v>2.625023132</v>
      </c>
      <c r="G133" s="41">
        <v>0.49929078</v>
      </c>
      <c r="H133" s="41">
        <v>0.194326241</v>
      </c>
      <c r="I133" s="41">
        <v>0.306382979</v>
      </c>
      <c r="J133" s="41">
        <f t="shared" si="1"/>
        <v>0.192907801</v>
      </c>
      <c r="K133" s="42">
        <v>3.443300328</v>
      </c>
    </row>
    <row r="134">
      <c r="A134" s="1" t="s">
        <v>262</v>
      </c>
      <c r="B134" s="38">
        <v>676534.0</v>
      </c>
      <c r="C134" s="38">
        <v>1030.0</v>
      </c>
      <c r="D134" s="39">
        <f>sumif('PLA Sheet'!C:C,B134,'PLA Sheet'!H:H)</f>
        <v>60.33333333</v>
      </c>
      <c r="E134" s="40">
        <v>5.169912422</v>
      </c>
      <c r="F134" s="40">
        <f>sumif('PLA Sheet'!C:C,B134,'PLA Sheet'!J:J)/D134*9</f>
        <v>3.138800718</v>
      </c>
      <c r="G134" s="41">
        <v>0.499029126</v>
      </c>
      <c r="H134" s="41">
        <v>0.138834951</v>
      </c>
      <c r="I134" s="41">
        <v>0.362135922</v>
      </c>
      <c r="J134" s="41">
        <f t="shared" si="1"/>
        <v>0.136893204</v>
      </c>
      <c r="K134" s="42">
        <v>1.472184479</v>
      </c>
    </row>
    <row r="135">
      <c r="A135" s="1" t="s">
        <v>282</v>
      </c>
      <c r="B135" s="38">
        <v>656302.0</v>
      </c>
      <c r="C135" s="38">
        <v>2972.0</v>
      </c>
      <c r="D135" s="39">
        <f>sumif('PLA Sheet'!C:C,B135,'PLA Sheet'!H:H)</f>
        <v>168</v>
      </c>
      <c r="E135" s="40">
        <v>5.168609106</v>
      </c>
      <c r="F135" s="40">
        <f>sumif('PLA Sheet'!C:C,B135,'PLA Sheet'!J:J)/D135*9</f>
        <v>3.237648375</v>
      </c>
      <c r="G135" s="41">
        <v>0.493270525</v>
      </c>
      <c r="H135" s="41">
        <v>0.160497981</v>
      </c>
      <c r="I135" s="41">
        <v>0.346231494</v>
      </c>
      <c r="J135" s="41">
        <f t="shared" si="1"/>
        <v>0.147039031</v>
      </c>
      <c r="K135" s="42">
        <v>-10.94235824</v>
      </c>
    </row>
    <row r="136">
      <c r="A136" s="1" t="s">
        <v>190</v>
      </c>
      <c r="B136" s="38">
        <v>664208.0</v>
      </c>
      <c r="C136" s="38">
        <v>974.0</v>
      </c>
      <c r="D136" s="39">
        <f>sumif('PLA Sheet'!C:C,B136,'PLA Sheet'!H:H)</f>
        <v>61.33333333</v>
      </c>
      <c r="E136" s="40">
        <v>5.168567067</v>
      </c>
      <c r="F136" s="40">
        <f>sumif('PLA Sheet'!C:C,B136,'PLA Sheet'!J:J)/D136*9</f>
        <v>2.902495304</v>
      </c>
      <c r="G136" s="41">
        <v>0.526694045</v>
      </c>
      <c r="H136" s="41">
        <v>0.158110883</v>
      </c>
      <c r="I136" s="41">
        <v>0.315195072</v>
      </c>
      <c r="J136" s="41">
        <f t="shared" si="1"/>
        <v>0.211498973</v>
      </c>
      <c r="K136" s="42">
        <v>14.46776588</v>
      </c>
    </row>
    <row r="137">
      <c r="A137" s="1" t="s">
        <v>183</v>
      </c>
      <c r="B137" s="38">
        <v>670280.0</v>
      </c>
      <c r="C137" s="38">
        <v>974.0</v>
      </c>
      <c r="D137" s="39">
        <f>sumif('PLA Sheet'!C:C,B137,'PLA Sheet'!H:H)</f>
        <v>62.66666667</v>
      </c>
      <c r="E137" s="40">
        <v>5.168492471</v>
      </c>
      <c r="F137" s="40">
        <f>sumif('PLA Sheet'!C:C,B137,'PLA Sheet'!J:J)/D137*9</f>
        <v>2.892622739</v>
      </c>
      <c r="G137" s="41">
        <v>0.495893224</v>
      </c>
      <c r="H137" s="41">
        <v>0.156057495</v>
      </c>
      <c r="I137" s="41">
        <v>0.348049281</v>
      </c>
      <c r="J137" s="41">
        <f t="shared" si="1"/>
        <v>0.147843943</v>
      </c>
      <c r="K137" s="42">
        <v>8.782242091</v>
      </c>
    </row>
    <row r="138">
      <c r="A138" s="1" t="s">
        <v>171</v>
      </c>
      <c r="B138" s="38">
        <v>665795.0</v>
      </c>
      <c r="C138" s="38">
        <v>2191.0</v>
      </c>
      <c r="D138" s="39">
        <f>sumif('PLA Sheet'!C:C,B138,'PLA Sheet'!H:H)</f>
        <v>137.6666667</v>
      </c>
      <c r="E138" s="40">
        <v>5.168377887</v>
      </c>
      <c r="F138" s="40">
        <f>sumif('PLA Sheet'!C:C,B138,'PLA Sheet'!J:J)/D138*9</f>
        <v>2.865139126</v>
      </c>
      <c r="G138" s="41">
        <v>0.504792332</v>
      </c>
      <c r="H138" s="41">
        <v>0.166590598</v>
      </c>
      <c r="I138" s="41">
        <v>0.32861707</v>
      </c>
      <c r="J138" s="41">
        <f t="shared" si="1"/>
        <v>0.176175262</v>
      </c>
      <c r="K138" s="42">
        <v>7.654739446</v>
      </c>
    </row>
    <row r="139">
      <c r="A139" s="1" t="s">
        <v>239</v>
      </c>
      <c r="B139" s="38">
        <v>806960.0</v>
      </c>
      <c r="C139" s="38">
        <v>792.0</v>
      </c>
      <c r="D139" s="39">
        <f>sumif('PLA Sheet'!C:C,B139,'PLA Sheet'!H:H)</f>
        <v>48.66666667</v>
      </c>
      <c r="E139" s="40">
        <v>5.167844937</v>
      </c>
      <c r="F139" s="40">
        <f>sumif('PLA Sheet'!C:C,B139,'PLA Sheet'!J:J)/D139*9</f>
        <v>3.066583623</v>
      </c>
      <c r="G139" s="41">
        <v>0.503787879</v>
      </c>
      <c r="H139" s="41">
        <v>0.157828283</v>
      </c>
      <c r="I139" s="41">
        <v>0.338383838</v>
      </c>
      <c r="J139" s="41">
        <f t="shared" si="1"/>
        <v>0.165404041</v>
      </c>
      <c r="K139" s="42">
        <v>0.27880349</v>
      </c>
    </row>
    <row r="140">
      <c r="A140" s="1" t="s">
        <v>142</v>
      </c>
      <c r="B140" s="38">
        <v>689254.0</v>
      </c>
      <c r="C140" s="38">
        <v>820.0</v>
      </c>
      <c r="D140" s="39">
        <f>sumif('PLA Sheet'!C:C,B140,'PLA Sheet'!H:H)</f>
        <v>52.66666667</v>
      </c>
      <c r="E140" s="40">
        <v>5.166750263</v>
      </c>
      <c r="F140" s="40">
        <f>sumif('PLA Sheet'!C:C,B140,'PLA Sheet'!J:J)/D140*9</f>
        <v>2.792388531</v>
      </c>
      <c r="G140" s="41">
        <v>0.503658537</v>
      </c>
      <c r="H140" s="41">
        <v>0.15</v>
      </c>
      <c r="I140" s="41">
        <v>0.346341463</v>
      </c>
      <c r="J140" s="41">
        <f t="shared" si="1"/>
        <v>0.157317074</v>
      </c>
      <c r="K140" s="42">
        <v>0.156641483</v>
      </c>
    </row>
    <row r="141">
      <c r="A141" s="1" t="s">
        <v>113</v>
      </c>
      <c r="B141" s="38">
        <v>664285.0</v>
      </c>
      <c r="C141" s="38">
        <v>2779.0</v>
      </c>
      <c r="D141" s="39">
        <f>sumif('PLA Sheet'!C:C,B141,'PLA Sheet'!H:H)</f>
        <v>192</v>
      </c>
      <c r="E141" s="40">
        <v>5.16458309</v>
      </c>
      <c r="F141" s="40">
        <f>sumif('PLA Sheet'!C:C,B141,'PLA Sheet'!J:J)/D141*9</f>
        <v>2.660072812</v>
      </c>
      <c r="G141" s="41">
        <v>0.497661029</v>
      </c>
      <c r="H141" s="41">
        <v>0.18100036</v>
      </c>
      <c r="I141" s="41">
        <v>0.321338611</v>
      </c>
      <c r="J141" s="41">
        <f t="shared" si="1"/>
        <v>0.176322418</v>
      </c>
      <c r="K141" s="42">
        <v>10.13578687</v>
      </c>
    </row>
    <row r="142">
      <c r="A142" s="1" t="s">
        <v>230</v>
      </c>
      <c r="B142" s="38">
        <v>458677.0</v>
      </c>
      <c r="C142" s="38">
        <v>795.0</v>
      </c>
      <c r="D142" s="39">
        <f>sumif('PLA Sheet'!C:C,B142,'PLA Sheet'!H:H)</f>
        <v>48.33333334</v>
      </c>
      <c r="E142" s="40">
        <v>5.164194672</v>
      </c>
      <c r="F142" s="40">
        <f>sumif('PLA Sheet'!C:C,B142,'PLA Sheet'!J:J)/D142*9</f>
        <v>3.028035289</v>
      </c>
      <c r="G142" s="41">
        <v>0.496855346</v>
      </c>
      <c r="H142" s="41">
        <v>0.179874214</v>
      </c>
      <c r="I142" s="41">
        <v>0.32327044</v>
      </c>
      <c r="J142" s="41">
        <f t="shared" si="1"/>
        <v>0.173584906</v>
      </c>
      <c r="K142" s="42">
        <v>-5.989044627</v>
      </c>
    </row>
    <row r="143">
      <c r="A143" s="1" t="s">
        <v>249</v>
      </c>
      <c r="B143" s="38">
        <v>592779.0</v>
      </c>
      <c r="C143" s="38">
        <v>589.0</v>
      </c>
      <c r="D143" s="39">
        <f>sumif('PLA Sheet'!C:C,B143,'PLA Sheet'!H:H)</f>
        <v>37.66666667</v>
      </c>
      <c r="E143" s="40">
        <v>5.163880041</v>
      </c>
      <c r="F143" s="40">
        <f>sumif('PLA Sheet'!C:C,B143,'PLA Sheet'!J:J)/D143*9</f>
        <v>3.098166611</v>
      </c>
      <c r="G143" s="41">
        <v>0.509337861</v>
      </c>
      <c r="H143" s="41">
        <v>0.173174873</v>
      </c>
      <c r="I143" s="41">
        <v>0.317487267</v>
      </c>
      <c r="J143" s="41">
        <f t="shared" si="1"/>
        <v>0.191850594</v>
      </c>
      <c r="K143" s="42">
        <v>-0.398431726</v>
      </c>
    </row>
    <row r="144">
      <c r="A144" s="1" t="s">
        <v>203</v>
      </c>
      <c r="B144" s="38">
        <v>519141.0</v>
      </c>
      <c r="C144" s="38">
        <v>776.0</v>
      </c>
      <c r="D144" s="39">
        <f>sumif('PLA Sheet'!C:C,B144,'PLA Sheet'!H:H)</f>
        <v>49.66666667</v>
      </c>
      <c r="E144" s="40">
        <v>5.160433908</v>
      </c>
      <c r="F144" s="40">
        <f>sumif('PLA Sheet'!C:C,B144,'PLA Sheet'!J:J)/D144*9</f>
        <v>2.930078416</v>
      </c>
      <c r="G144" s="41">
        <v>0.505154639</v>
      </c>
      <c r="H144" s="41">
        <v>0.203608247</v>
      </c>
      <c r="I144" s="41">
        <v>0.291237113</v>
      </c>
      <c r="J144" s="41">
        <f t="shared" si="1"/>
        <v>0.213917526</v>
      </c>
      <c r="K144" s="42">
        <v>5.272202176</v>
      </c>
    </row>
    <row r="145">
      <c r="A145" s="1" t="s">
        <v>193</v>
      </c>
      <c r="B145" s="38">
        <v>668941.0</v>
      </c>
      <c r="C145" s="38">
        <v>963.0</v>
      </c>
      <c r="D145" s="39">
        <f>sumif('PLA Sheet'!C:C,B145,'PLA Sheet'!H:H)</f>
        <v>61</v>
      </c>
      <c r="E145" s="40">
        <v>5.160031164</v>
      </c>
      <c r="F145" s="40">
        <f>sumif('PLA Sheet'!C:C,B145,'PLA Sheet'!J:J)/D145*9</f>
        <v>2.905468967</v>
      </c>
      <c r="G145" s="41">
        <v>0.49325026</v>
      </c>
      <c r="H145" s="41">
        <v>0.176531672</v>
      </c>
      <c r="I145" s="41">
        <v>0.330218069</v>
      </c>
      <c r="J145" s="41">
        <f t="shared" si="1"/>
        <v>0.163032191</v>
      </c>
      <c r="K145" s="42">
        <v>11.20940817</v>
      </c>
    </row>
    <row r="146">
      <c r="A146" s="1" t="s">
        <v>161</v>
      </c>
      <c r="B146" s="38">
        <v>702070.0</v>
      </c>
      <c r="C146" s="38">
        <v>2090.0</v>
      </c>
      <c r="D146" s="39">
        <f>sumif('PLA Sheet'!C:C,B146,'PLA Sheet'!H:H)</f>
        <v>138.3333333</v>
      </c>
      <c r="E146" s="40">
        <v>5.159372958</v>
      </c>
      <c r="F146" s="40">
        <f>sumif('PLA Sheet'!C:C,B146,'PLA Sheet'!J:J)/D146*9</f>
        <v>2.830970364</v>
      </c>
      <c r="G146" s="41">
        <v>0.475119617</v>
      </c>
      <c r="H146" s="41">
        <v>0.174162679</v>
      </c>
      <c r="I146" s="41">
        <v>0.350717703</v>
      </c>
      <c r="J146" s="41">
        <f t="shared" si="1"/>
        <v>0.124401914</v>
      </c>
      <c r="K146" s="42">
        <v>12.89076568</v>
      </c>
    </row>
    <row r="147">
      <c r="A147" s="1" t="s">
        <v>340</v>
      </c>
      <c r="B147" s="38">
        <v>668984.0</v>
      </c>
      <c r="C147" s="38">
        <v>838.0</v>
      </c>
      <c r="D147" s="39">
        <f>sumif('PLA Sheet'!C:C,B147,'PLA Sheet'!H:H)</f>
        <v>49.66666666</v>
      </c>
      <c r="E147" s="40">
        <v>5.157696645</v>
      </c>
      <c r="F147" s="40">
        <f>sumif('PLA Sheet'!C:C,B147,'PLA Sheet'!J:J)/D147*9</f>
        <v>3.428100121</v>
      </c>
      <c r="G147" s="41">
        <v>0.527446301</v>
      </c>
      <c r="H147" s="41">
        <v>0.158711217</v>
      </c>
      <c r="I147" s="41">
        <v>0.313842482</v>
      </c>
      <c r="J147" s="41">
        <f t="shared" si="1"/>
        <v>0.213603819</v>
      </c>
      <c r="K147" s="42">
        <v>-3.54931751</v>
      </c>
    </row>
    <row r="148">
      <c r="A148" s="1" t="s">
        <v>147</v>
      </c>
      <c r="B148" s="38">
        <v>608379.0</v>
      </c>
      <c r="C148" s="38">
        <v>2572.0</v>
      </c>
      <c r="D148" s="39">
        <f>sumif('PLA Sheet'!C:C,B148,'PLA Sheet'!H:H)</f>
        <v>172.6666667</v>
      </c>
      <c r="E148" s="40">
        <v>5.156804991</v>
      </c>
      <c r="F148" s="40">
        <f>sumif('PLA Sheet'!C:C,B148,'PLA Sheet'!J:J)/D148*9</f>
        <v>2.801649735</v>
      </c>
      <c r="G148" s="41">
        <v>0.476283048</v>
      </c>
      <c r="H148" s="41">
        <v>0.18273717</v>
      </c>
      <c r="I148" s="41">
        <v>0.340979782</v>
      </c>
      <c r="J148" s="41">
        <f t="shared" si="1"/>
        <v>0.135303266</v>
      </c>
      <c r="K148" s="42">
        <v>-6.875046251</v>
      </c>
    </row>
    <row r="149">
      <c r="A149" s="1" t="s">
        <v>125</v>
      </c>
      <c r="B149" s="38">
        <v>663554.0</v>
      </c>
      <c r="C149" s="38">
        <v>2273.0</v>
      </c>
      <c r="D149" s="39">
        <f>sumif('PLA Sheet'!C:C,B149,'PLA Sheet'!H:H)</f>
        <v>149</v>
      </c>
      <c r="E149" s="40">
        <v>5.156143318</v>
      </c>
      <c r="F149" s="40">
        <f>sumif('PLA Sheet'!C:C,B149,'PLA Sheet'!J:J)/D149*9</f>
        <v>2.716640819</v>
      </c>
      <c r="G149" s="41">
        <v>0.479102508</v>
      </c>
      <c r="H149" s="41">
        <v>0.201935768</v>
      </c>
      <c r="I149" s="41">
        <v>0.318961725</v>
      </c>
      <c r="J149" s="41">
        <f t="shared" si="1"/>
        <v>0.160140783</v>
      </c>
      <c r="K149" s="42">
        <v>-8.616105106</v>
      </c>
    </row>
    <row r="150">
      <c r="A150" s="1" t="s">
        <v>334</v>
      </c>
      <c r="B150" s="38">
        <v>682254.0</v>
      </c>
      <c r="C150" s="38">
        <v>836.0</v>
      </c>
      <c r="D150" s="39">
        <f>sumif('PLA Sheet'!C:C,B150,'PLA Sheet'!H:H)</f>
        <v>46</v>
      </c>
      <c r="E150" s="40">
        <v>5.155644391</v>
      </c>
      <c r="F150" s="40">
        <f>sumif('PLA Sheet'!C:C,B150,'PLA Sheet'!J:J)/D150*9</f>
        <v>3.402876131</v>
      </c>
      <c r="G150" s="41">
        <v>0.527511962</v>
      </c>
      <c r="H150" s="41">
        <v>0.135167464</v>
      </c>
      <c r="I150" s="41">
        <v>0.337320574</v>
      </c>
      <c r="J150" s="41">
        <f t="shared" si="1"/>
        <v>0.190191388</v>
      </c>
      <c r="K150" s="42">
        <v>-14.14295371</v>
      </c>
    </row>
    <row r="151">
      <c r="A151" s="1" t="s">
        <v>115</v>
      </c>
      <c r="B151" s="38">
        <v>543135.0</v>
      </c>
      <c r="C151" s="38">
        <v>1859.0</v>
      </c>
      <c r="D151" s="39">
        <f>sumif('PLA Sheet'!C:C,B151,'PLA Sheet'!H:H)</f>
        <v>130</v>
      </c>
      <c r="E151" s="40">
        <v>5.155391245</v>
      </c>
      <c r="F151" s="40">
        <f>sumif('PLA Sheet'!C:C,B151,'PLA Sheet'!J:J)/D151*9</f>
        <v>2.664315969</v>
      </c>
      <c r="G151" s="41">
        <v>0.506724045</v>
      </c>
      <c r="H151" s="41">
        <v>0.167294244</v>
      </c>
      <c r="I151" s="41">
        <v>0.325981711</v>
      </c>
      <c r="J151" s="41">
        <f t="shared" si="1"/>
        <v>0.180742334</v>
      </c>
      <c r="K151" s="42">
        <v>30.43119079</v>
      </c>
    </row>
    <row r="152">
      <c r="A152" s="1" t="s">
        <v>173</v>
      </c>
      <c r="B152" s="38">
        <v>641927.0</v>
      </c>
      <c r="C152" s="38">
        <v>2291.0</v>
      </c>
      <c r="D152" s="39">
        <f>sumif('PLA Sheet'!C:C,B152,'PLA Sheet'!H:H)</f>
        <v>146.3333333</v>
      </c>
      <c r="E152" s="40">
        <v>5.154578475</v>
      </c>
      <c r="F152" s="40">
        <f>sumif('PLA Sheet'!C:C,B152,'PLA Sheet'!J:J)/D152*9</f>
        <v>2.86796374</v>
      </c>
      <c r="G152" s="41">
        <v>0.479703186</v>
      </c>
      <c r="H152" s="41">
        <v>0.192928852</v>
      </c>
      <c r="I152" s="41">
        <v>0.327367962</v>
      </c>
      <c r="J152" s="41">
        <f t="shared" si="1"/>
        <v>0.152335224</v>
      </c>
      <c r="K152" s="42">
        <v>-20.23387549</v>
      </c>
    </row>
    <row r="153">
      <c r="A153" s="1" t="s">
        <v>69</v>
      </c>
      <c r="B153" s="38">
        <v>657612.0</v>
      </c>
      <c r="C153" s="38">
        <v>860.0</v>
      </c>
      <c r="D153" s="39">
        <f>sumif('PLA Sheet'!C:C,B153,'PLA Sheet'!H:H)</f>
        <v>67</v>
      </c>
      <c r="E153" s="40">
        <v>5.154473064</v>
      </c>
      <c r="F153" s="40">
        <f>sumif('PLA Sheet'!C:C,B153,'PLA Sheet'!J:J)/D153*9</f>
        <v>2.40958706</v>
      </c>
      <c r="G153" s="41">
        <v>0.498837209</v>
      </c>
      <c r="H153" s="41">
        <v>0.173255814</v>
      </c>
      <c r="I153" s="41">
        <v>0.327906977</v>
      </c>
      <c r="J153" s="41">
        <f t="shared" si="1"/>
        <v>0.170930232</v>
      </c>
      <c r="K153" s="42">
        <v>2.591746425</v>
      </c>
    </row>
    <row r="154">
      <c r="A154" s="1" t="s">
        <v>221</v>
      </c>
      <c r="B154" s="38">
        <v>668964.0</v>
      </c>
      <c r="C154" s="38">
        <v>794.0</v>
      </c>
      <c r="D154" s="39">
        <f>sumif('PLA Sheet'!C:C,B154,'PLA Sheet'!H:H)</f>
        <v>50.66666666</v>
      </c>
      <c r="E154" s="40">
        <v>5.152484354</v>
      </c>
      <c r="F154" s="40">
        <f>sumif('PLA Sheet'!C:C,B154,'PLA Sheet'!J:J)/D154*9</f>
        <v>3.006152467</v>
      </c>
      <c r="G154" s="41">
        <v>0.487405542</v>
      </c>
      <c r="H154" s="41">
        <v>0.181360202</v>
      </c>
      <c r="I154" s="41">
        <v>0.331234257</v>
      </c>
      <c r="J154" s="41">
        <f t="shared" si="1"/>
        <v>0.156171285</v>
      </c>
      <c r="K154" s="42">
        <v>-11.67498422</v>
      </c>
    </row>
    <row r="155">
      <c r="A155" s="1" t="s">
        <v>256</v>
      </c>
      <c r="B155" s="38">
        <v>571760.0</v>
      </c>
      <c r="C155" s="38">
        <v>1994.0</v>
      </c>
      <c r="D155" s="39">
        <f>sumif('PLA Sheet'!C:C,B155,'PLA Sheet'!H:H)</f>
        <v>122.3333333</v>
      </c>
      <c r="E155" s="40">
        <v>5.151344337</v>
      </c>
      <c r="F155" s="40">
        <f>sumif('PLA Sheet'!C:C,B155,'PLA Sheet'!J:J)/D155*9</f>
        <v>3.1241057</v>
      </c>
      <c r="G155" s="41">
        <v>0.511534604</v>
      </c>
      <c r="H155" s="41">
        <v>0.152457372</v>
      </c>
      <c r="I155" s="41">
        <v>0.336008024</v>
      </c>
      <c r="J155" s="41">
        <f t="shared" si="1"/>
        <v>0.17552658</v>
      </c>
      <c r="K155" s="42">
        <v>-15.10567187</v>
      </c>
    </row>
    <row r="156">
      <c r="A156" s="1" t="s">
        <v>235</v>
      </c>
      <c r="B156" s="38">
        <v>666974.0</v>
      </c>
      <c r="C156" s="38">
        <v>948.0</v>
      </c>
      <c r="D156" s="39">
        <f>sumif('PLA Sheet'!C:C,B156,'PLA Sheet'!H:H)</f>
        <v>58</v>
      </c>
      <c r="E156" s="40">
        <v>5.150835677</v>
      </c>
      <c r="F156" s="40">
        <f>sumif('PLA Sheet'!C:C,B156,'PLA Sheet'!J:J)/D156*9</f>
        <v>3.044963328</v>
      </c>
      <c r="G156" s="41">
        <v>0.498945148</v>
      </c>
      <c r="H156" s="41">
        <v>0.172995781</v>
      </c>
      <c r="I156" s="41">
        <v>0.328059072</v>
      </c>
      <c r="J156" s="41">
        <f t="shared" si="1"/>
        <v>0.170886076</v>
      </c>
      <c r="K156" s="42">
        <v>-0.334011665</v>
      </c>
    </row>
    <row r="157">
      <c r="A157" s="1" t="s">
        <v>207</v>
      </c>
      <c r="B157" s="38">
        <v>650633.0</v>
      </c>
      <c r="C157" s="38">
        <v>1180.0</v>
      </c>
      <c r="D157" s="39">
        <f>sumif('PLA Sheet'!C:C,B157,'PLA Sheet'!H:H)</f>
        <v>73.33333334</v>
      </c>
      <c r="E157" s="40">
        <v>5.15048322</v>
      </c>
      <c r="F157" s="40">
        <f>sumif('PLA Sheet'!C:C,B157,'PLA Sheet'!J:J)/D157*9</f>
        <v>2.942936918</v>
      </c>
      <c r="G157" s="41">
        <v>0.495762712</v>
      </c>
      <c r="H157" s="41">
        <v>0.161864407</v>
      </c>
      <c r="I157" s="41">
        <v>0.342372881</v>
      </c>
      <c r="J157" s="41">
        <f t="shared" si="1"/>
        <v>0.153389831</v>
      </c>
      <c r="K157" s="42">
        <v>2.754636869</v>
      </c>
    </row>
    <row r="158">
      <c r="A158" s="1" t="s">
        <v>145</v>
      </c>
      <c r="B158" s="38">
        <v>700241.0</v>
      </c>
      <c r="C158" s="38">
        <v>1431.0</v>
      </c>
      <c r="D158" s="39">
        <f>sumif('PLA Sheet'!C:C,B158,'PLA Sheet'!H:H)</f>
        <v>95.66666666</v>
      </c>
      <c r="E158" s="40">
        <v>5.149616194</v>
      </c>
      <c r="F158" s="40">
        <f>sumif('PLA Sheet'!C:C,B158,'PLA Sheet'!J:J)/D158*9</f>
        <v>2.798751418</v>
      </c>
      <c r="G158" s="41">
        <v>0.459119497</v>
      </c>
      <c r="H158" s="41">
        <v>0.201956674</v>
      </c>
      <c r="I158" s="41">
        <v>0.338923829</v>
      </c>
      <c r="J158" s="41">
        <f t="shared" si="1"/>
        <v>0.120195668</v>
      </c>
      <c r="K158" s="42">
        <v>-4.700766229</v>
      </c>
    </row>
    <row r="159">
      <c r="A159" s="1" t="s">
        <v>175</v>
      </c>
      <c r="B159" s="38">
        <v>622503.0</v>
      </c>
      <c r="C159" s="38">
        <v>520.0</v>
      </c>
      <c r="D159" s="39">
        <f>sumif('PLA Sheet'!C:C,B159,'PLA Sheet'!H:H)</f>
        <v>34</v>
      </c>
      <c r="E159" s="40">
        <v>5.149550609</v>
      </c>
      <c r="F159" s="40">
        <f>sumif('PLA Sheet'!C:C,B159,'PLA Sheet'!J:J)/D159*9</f>
        <v>2.871444971</v>
      </c>
      <c r="G159" s="41">
        <v>0.486538462</v>
      </c>
      <c r="H159" s="41">
        <v>0.167307692</v>
      </c>
      <c r="I159" s="41">
        <v>0.346153846</v>
      </c>
      <c r="J159" s="41">
        <f t="shared" si="1"/>
        <v>0.140384616</v>
      </c>
      <c r="K159" s="42">
        <v>-6.041599557</v>
      </c>
    </row>
    <row r="160">
      <c r="A160" s="1" t="s">
        <v>254</v>
      </c>
      <c r="B160" s="38">
        <v>666374.0</v>
      </c>
      <c r="C160" s="38">
        <v>793.0</v>
      </c>
      <c r="D160" s="39">
        <f>sumif('PLA Sheet'!C:C,B160,'PLA Sheet'!H:H)</f>
        <v>47.33333333</v>
      </c>
      <c r="E160" s="40">
        <v>5.149509692</v>
      </c>
      <c r="F160" s="40">
        <f>sumif('PLA Sheet'!C:C,B160,'PLA Sheet'!J:J)/D160*9</f>
        <v>3.113158754</v>
      </c>
      <c r="G160" s="41">
        <v>0.495586381</v>
      </c>
      <c r="H160" s="41">
        <v>0.156368222</v>
      </c>
      <c r="I160" s="41">
        <v>0.348045397</v>
      </c>
      <c r="J160" s="41">
        <f t="shared" si="1"/>
        <v>0.147540984</v>
      </c>
      <c r="K160" s="42">
        <v>-3.326212678</v>
      </c>
    </row>
    <row r="161">
      <c r="A161" s="1" t="s">
        <v>204</v>
      </c>
      <c r="B161" s="38">
        <v>669438.0</v>
      </c>
      <c r="C161" s="38">
        <v>709.0</v>
      </c>
      <c r="D161" s="39">
        <f>sumif('PLA Sheet'!C:C,B161,'PLA Sheet'!H:H)</f>
        <v>44.66666667</v>
      </c>
      <c r="E161" s="40">
        <v>5.147439938</v>
      </c>
      <c r="F161" s="40">
        <f>sumif('PLA Sheet'!C:C,B161,'PLA Sheet'!J:J)/D161*9</f>
        <v>2.931054918</v>
      </c>
      <c r="G161" s="41">
        <v>0.47954866</v>
      </c>
      <c r="H161" s="41">
        <v>0.191819464</v>
      </c>
      <c r="I161" s="41">
        <v>0.328631876</v>
      </c>
      <c r="J161" s="41">
        <f t="shared" si="1"/>
        <v>0.150916784</v>
      </c>
      <c r="K161" s="42">
        <v>2.549639179</v>
      </c>
    </row>
    <row r="162">
      <c r="A162" s="1" t="s">
        <v>166</v>
      </c>
      <c r="B162" s="38">
        <v>608331.0</v>
      </c>
      <c r="C162" s="38">
        <v>3000.0</v>
      </c>
      <c r="D162" s="39">
        <f>sumif('PLA Sheet'!C:C,B162,'PLA Sheet'!H:H)</f>
        <v>195.3333333</v>
      </c>
      <c r="E162" s="40">
        <v>5.146530121</v>
      </c>
      <c r="F162" s="40">
        <f>sumif('PLA Sheet'!C:C,B162,'PLA Sheet'!J:J)/D162*9</f>
        <v>2.85217541</v>
      </c>
      <c r="G162" s="41">
        <v>0.484333333</v>
      </c>
      <c r="H162" s="41">
        <v>0.169333333</v>
      </c>
      <c r="I162" s="41">
        <v>0.346333333</v>
      </c>
      <c r="J162" s="41">
        <f t="shared" si="1"/>
        <v>0.138</v>
      </c>
      <c r="K162" s="42">
        <v>25.28342461</v>
      </c>
    </row>
    <row r="163">
      <c r="A163" s="1" t="s">
        <v>162</v>
      </c>
      <c r="B163" s="38">
        <v>592426.0</v>
      </c>
      <c r="C163" s="38">
        <v>742.0</v>
      </c>
      <c r="D163" s="39">
        <f>sumif('PLA Sheet'!C:C,B163,'PLA Sheet'!H:H)</f>
        <v>51</v>
      </c>
      <c r="E163" s="40">
        <v>5.145672199</v>
      </c>
      <c r="F163" s="40">
        <f>sumif('PLA Sheet'!C:C,B163,'PLA Sheet'!J:J)/D163*9</f>
        <v>2.841555177</v>
      </c>
      <c r="G163" s="41">
        <v>0.516172507</v>
      </c>
      <c r="H163" s="41">
        <v>0.172506739</v>
      </c>
      <c r="I163" s="41">
        <v>0.311320755</v>
      </c>
      <c r="J163" s="41">
        <f t="shared" si="1"/>
        <v>0.204851752</v>
      </c>
      <c r="K163" s="42">
        <v>1.290532131</v>
      </c>
    </row>
    <row r="164">
      <c r="A164" s="1" t="s">
        <v>143</v>
      </c>
      <c r="B164" s="38">
        <v>690928.0</v>
      </c>
      <c r="C164" s="38">
        <v>905.0</v>
      </c>
      <c r="D164" s="39">
        <f>sumif('PLA Sheet'!C:C,B164,'PLA Sheet'!H:H)</f>
        <v>61.00000001</v>
      </c>
      <c r="E164" s="40">
        <v>5.143926855</v>
      </c>
      <c r="F164" s="40">
        <f>sumif('PLA Sheet'!C:C,B164,'PLA Sheet'!J:J)/D164*9</f>
        <v>2.797631852</v>
      </c>
      <c r="G164" s="41">
        <v>0.497237569</v>
      </c>
      <c r="H164" s="41">
        <v>0.166850829</v>
      </c>
      <c r="I164" s="41">
        <v>0.335911602</v>
      </c>
      <c r="J164" s="41">
        <f t="shared" si="1"/>
        <v>0.161325967</v>
      </c>
      <c r="K164" s="42">
        <v>-8.836273939</v>
      </c>
    </row>
    <row r="165">
      <c r="A165" s="1" t="s">
        <v>163</v>
      </c>
      <c r="B165" s="38">
        <v>663460.0</v>
      </c>
      <c r="C165" s="38">
        <v>1745.0</v>
      </c>
      <c r="D165" s="39">
        <f>sumif('PLA Sheet'!C:C,B165,'PLA Sheet'!H:H)</f>
        <v>116.3333333</v>
      </c>
      <c r="E165" s="40">
        <v>5.143729206</v>
      </c>
      <c r="F165" s="40">
        <f>sumif('PLA Sheet'!C:C,B165,'PLA Sheet'!J:J)/D165*9</f>
        <v>2.841824115</v>
      </c>
      <c r="G165" s="41">
        <v>0.505444126</v>
      </c>
      <c r="H165" s="41">
        <v>0.175358166</v>
      </c>
      <c r="I165" s="41">
        <v>0.319197708</v>
      </c>
      <c r="J165" s="41">
        <f t="shared" si="1"/>
        <v>0.186246418</v>
      </c>
      <c r="K165" s="42">
        <v>2.680687997</v>
      </c>
    </row>
    <row r="166">
      <c r="A166" s="1" t="s">
        <v>243</v>
      </c>
      <c r="B166" s="38">
        <v>680684.0</v>
      </c>
      <c r="C166" s="38">
        <v>530.0</v>
      </c>
      <c r="D166" s="39">
        <f>sumif('PLA Sheet'!C:C,B166,'PLA Sheet'!H:H)</f>
        <v>32.33333333</v>
      </c>
      <c r="E166" s="40">
        <v>5.143334976</v>
      </c>
      <c r="F166" s="40">
        <f>sumif('PLA Sheet'!C:C,B166,'PLA Sheet'!J:J)/D166*9</f>
        <v>3.077144072</v>
      </c>
      <c r="G166" s="41">
        <v>0.488679245</v>
      </c>
      <c r="H166" s="41">
        <v>0.177358491</v>
      </c>
      <c r="I166" s="41">
        <v>0.333962264</v>
      </c>
      <c r="J166" s="41">
        <f t="shared" si="1"/>
        <v>0.154716981</v>
      </c>
      <c r="K166" s="42">
        <v>-4.079849177</v>
      </c>
    </row>
    <row r="167">
      <c r="A167" s="1" t="s">
        <v>245</v>
      </c>
      <c r="B167" s="38">
        <v>571578.0</v>
      </c>
      <c r="C167" s="38">
        <v>2517.0</v>
      </c>
      <c r="D167" s="39">
        <f>sumif('PLA Sheet'!C:C,B167,'PLA Sheet'!H:H)</f>
        <v>155.3333333</v>
      </c>
      <c r="E167" s="40">
        <v>5.139651811</v>
      </c>
      <c r="F167" s="40">
        <f>sumif('PLA Sheet'!C:C,B167,'PLA Sheet'!J:J)/D167*9</f>
        <v>3.085113979</v>
      </c>
      <c r="G167" s="41">
        <v>0.466825586</v>
      </c>
      <c r="H167" s="41">
        <v>0.193087008</v>
      </c>
      <c r="I167" s="41">
        <v>0.340087406</v>
      </c>
      <c r="J167" s="41">
        <f t="shared" si="1"/>
        <v>0.12673818</v>
      </c>
      <c r="K167" s="42">
        <v>-7.519294107</v>
      </c>
    </row>
    <row r="168">
      <c r="A168" s="1" t="s">
        <v>229</v>
      </c>
      <c r="B168" s="38">
        <v>645261.0</v>
      </c>
      <c r="C168" s="38">
        <v>2828.0</v>
      </c>
      <c r="D168" s="39">
        <f>sumif('PLA Sheet'!C:C,B168,'PLA Sheet'!H:H)</f>
        <v>174.6666667</v>
      </c>
      <c r="E168" s="40">
        <v>5.136775042</v>
      </c>
      <c r="F168" s="40">
        <f>sumif('PLA Sheet'!C:C,B168,'PLA Sheet'!J:J)/D168*9</f>
        <v>3.027522572</v>
      </c>
      <c r="G168" s="41">
        <v>0.466053748</v>
      </c>
      <c r="H168" s="41">
        <v>0.217114569</v>
      </c>
      <c r="I168" s="41">
        <v>0.316831683</v>
      </c>
      <c r="J168" s="41">
        <f t="shared" si="1"/>
        <v>0.149222065</v>
      </c>
      <c r="K168" s="42">
        <v>27.33868724</v>
      </c>
    </row>
    <row r="169">
      <c r="A169" s="1" t="s">
        <v>326</v>
      </c>
      <c r="B169" s="38">
        <v>606160.0</v>
      </c>
      <c r="C169" s="38">
        <v>1064.0</v>
      </c>
      <c r="D169" s="39">
        <f>sumif('PLA Sheet'!C:C,B169,'PLA Sheet'!H:H)</f>
        <v>60.33333334</v>
      </c>
      <c r="E169" s="40">
        <v>5.134449733</v>
      </c>
      <c r="F169" s="40">
        <f>sumif('PLA Sheet'!C:C,B169,'PLA Sheet'!J:J)/D169*9</f>
        <v>3.39148432</v>
      </c>
      <c r="G169" s="41">
        <v>0.496240602</v>
      </c>
      <c r="H169" s="41">
        <v>0.179511278</v>
      </c>
      <c r="I169" s="41">
        <v>0.32424812</v>
      </c>
      <c r="J169" s="41">
        <f t="shared" si="1"/>
        <v>0.171992482</v>
      </c>
      <c r="K169" s="42">
        <v>16.28786236</v>
      </c>
    </row>
    <row r="170">
      <c r="A170" s="1" t="s">
        <v>170</v>
      </c>
      <c r="B170" s="38">
        <v>681517.0</v>
      </c>
      <c r="C170" s="38">
        <v>1318.0</v>
      </c>
      <c r="D170" s="39">
        <f>sumif('PLA Sheet'!C:C,B170,'PLA Sheet'!H:H)</f>
        <v>88</v>
      </c>
      <c r="E170" s="40">
        <v>5.133713994</v>
      </c>
      <c r="F170" s="40">
        <f>sumif('PLA Sheet'!C:C,B170,'PLA Sheet'!J:J)/D170*9</f>
        <v>2.862260693</v>
      </c>
      <c r="G170" s="41">
        <v>0.506828528</v>
      </c>
      <c r="H170" s="41">
        <v>0.185887709</v>
      </c>
      <c r="I170" s="41">
        <v>0.307283763</v>
      </c>
      <c r="J170" s="41">
        <f t="shared" si="1"/>
        <v>0.199544765</v>
      </c>
      <c r="K170" s="42">
        <v>-2.338081427</v>
      </c>
    </row>
    <row r="171">
      <c r="A171" s="1" t="s">
        <v>157</v>
      </c>
      <c r="B171" s="38">
        <v>660825.0</v>
      </c>
      <c r="C171" s="38">
        <v>1160.0</v>
      </c>
      <c r="D171" s="39">
        <f>sumif('PLA Sheet'!C:C,B171,'PLA Sheet'!H:H)</f>
        <v>78.66666667</v>
      </c>
      <c r="E171" s="40">
        <v>5.133232566</v>
      </c>
      <c r="F171" s="40">
        <f>sumif('PLA Sheet'!C:C,B171,'PLA Sheet'!J:J)/D171*9</f>
        <v>2.819087275</v>
      </c>
      <c r="G171" s="41">
        <v>0.468965517</v>
      </c>
      <c r="H171" s="41">
        <v>0.212931034</v>
      </c>
      <c r="I171" s="41">
        <v>0.318103448</v>
      </c>
      <c r="J171" s="41">
        <f t="shared" si="1"/>
        <v>0.150862069</v>
      </c>
      <c r="K171" s="42">
        <v>19.03646779</v>
      </c>
    </row>
    <row r="172">
      <c r="A172" s="1" t="s">
        <v>253</v>
      </c>
      <c r="B172" s="38">
        <v>701581.0</v>
      </c>
      <c r="C172" s="38">
        <v>857.0</v>
      </c>
      <c r="D172" s="39">
        <f>sumif('PLA Sheet'!C:C,B172,'PLA Sheet'!H:H)</f>
        <v>53.33333333</v>
      </c>
      <c r="E172" s="40">
        <v>5.131475232</v>
      </c>
      <c r="F172" s="40">
        <f>sumif('PLA Sheet'!C:C,B172,'PLA Sheet'!J:J)/D172*9</f>
        <v>3.1101705</v>
      </c>
      <c r="G172" s="41">
        <v>0.485414236</v>
      </c>
      <c r="H172" s="41">
        <v>0.180863477</v>
      </c>
      <c r="I172" s="41">
        <v>0.333722287</v>
      </c>
      <c r="J172" s="41">
        <f t="shared" si="1"/>
        <v>0.151691949</v>
      </c>
      <c r="K172" s="42">
        <v>0.215289194</v>
      </c>
    </row>
    <row r="173">
      <c r="A173" s="1" t="s">
        <v>225</v>
      </c>
      <c r="B173" s="38">
        <v>596133.0</v>
      </c>
      <c r="C173" s="38">
        <v>1015.0</v>
      </c>
      <c r="D173" s="39">
        <f>sumif('PLA Sheet'!C:C,B173,'PLA Sheet'!H:H)</f>
        <v>64.66666668</v>
      </c>
      <c r="E173" s="40">
        <v>5.130104061</v>
      </c>
      <c r="F173" s="40">
        <f>sumif('PLA Sheet'!C:C,B173,'PLA Sheet'!J:J)/D173*9</f>
        <v>3.023002252</v>
      </c>
      <c r="G173" s="41">
        <v>0.506403941</v>
      </c>
      <c r="H173" s="41">
        <v>0.130049261</v>
      </c>
      <c r="I173" s="41">
        <v>0.363546798</v>
      </c>
      <c r="J173" s="41">
        <f t="shared" si="1"/>
        <v>0.142857143</v>
      </c>
      <c r="K173" s="42">
        <v>2.530242567</v>
      </c>
    </row>
    <row r="174">
      <c r="A174" s="1" t="s">
        <v>141</v>
      </c>
      <c r="B174" s="38">
        <v>670036.0</v>
      </c>
      <c r="C174" s="38">
        <v>792.0</v>
      </c>
      <c r="D174" s="39">
        <f>sumif('PLA Sheet'!C:C,B174,'PLA Sheet'!H:H)</f>
        <v>54.66666666</v>
      </c>
      <c r="E174" s="40">
        <v>5.129328765</v>
      </c>
      <c r="F174" s="40">
        <f>sumif('PLA Sheet'!C:C,B174,'PLA Sheet'!J:J)/D174*9</f>
        <v>2.788726939</v>
      </c>
      <c r="G174" s="41">
        <v>0.516414141</v>
      </c>
      <c r="H174" s="41">
        <v>0.150252525</v>
      </c>
      <c r="I174" s="41">
        <v>0.333333333</v>
      </c>
      <c r="J174" s="41">
        <f t="shared" si="1"/>
        <v>0.183080808</v>
      </c>
      <c r="K174" s="42">
        <v>-1.733924639</v>
      </c>
    </row>
    <row r="175">
      <c r="A175" s="1" t="s">
        <v>192</v>
      </c>
      <c r="B175" s="38">
        <v>642232.0</v>
      </c>
      <c r="C175" s="38">
        <v>985.0</v>
      </c>
      <c r="D175" s="39">
        <f>sumif('PLA Sheet'!C:C,B175,'PLA Sheet'!H:H)</f>
        <v>64</v>
      </c>
      <c r="E175" s="40">
        <v>5.128288636</v>
      </c>
      <c r="F175" s="40">
        <f>sumif('PLA Sheet'!C:C,B175,'PLA Sheet'!J:J)/D175*9</f>
        <v>2.904443437</v>
      </c>
      <c r="G175" s="41">
        <v>0.489340102</v>
      </c>
      <c r="H175" s="41">
        <v>0.173604061</v>
      </c>
      <c r="I175" s="41">
        <v>0.337055838</v>
      </c>
      <c r="J175" s="41">
        <f t="shared" si="1"/>
        <v>0.152284264</v>
      </c>
      <c r="K175" s="42">
        <v>1.170722808</v>
      </c>
    </row>
    <row r="176">
      <c r="A176" s="1" t="s">
        <v>242</v>
      </c>
      <c r="B176" s="38">
        <v>669358.0</v>
      </c>
      <c r="C176" s="38">
        <v>2632.0</v>
      </c>
      <c r="D176" s="39">
        <f>sumif('PLA Sheet'!C:C,B176,'PLA Sheet'!H:H)</f>
        <v>166.3333333</v>
      </c>
      <c r="E176" s="40">
        <v>5.127209381</v>
      </c>
      <c r="F176" s="40">
        <f>sumif('PLA Sheet'!C:C,B176,'PLA Sheet'!J:J)/D176*9</f>
        <v>3.074682409</v>
      </c>
      <c r="G176" s="41">
        <v>0.489361702</v>
      </c>
      <c r="H176" s="41">
        <v>0.170972644</v>
      </c>
      <c r="I176" s="41">
        <v>0.339665653</v>
      </c>
      <c r="J176" s="41">
        <f t="shared" si="1"/>
        <v>0.149696049</v>
      </c>
      <c r="K176" s="42">
        <v>-13.23590314</v>
      </c>
    </row>
    <row r="177">
      <c r="A177" s="1" t="s">
        <v>216</v>
      </c>
      <c r="B177" s="38">
        <v>621107.0</v>
      </c>
      <c r="C177" s="38">
        <v>1098.0</v>
      </c>
      <c r="D177" s="39">
        <f>sumif('PLA Sheet'!C:C,B177,'PLA Sheet'!H:H)</f>
        <v>71.33333333</v>
      </c>
      <c r="E177" s="40">
        <v>5.126354799</v>
      </c>
      <c r="F177" s="40">
        <f>sumif('PLA Sheet'!C:C,B177,'PLA Sheet'!J:J)/D177*9</f>
        <v>2.967032019</v>
      </c>
      <c r="G177" s="41">
        <v>0.480874317</v>
      </c>
      <c r="H177" s="41">
        <v>0.176684882</v>
      </c>
      <c r="I177" s="41">
        <v>0.342440801</v>
      </c>
      <c r="J177" s="41">
        <f t="shared" si="1"/>
        <v>0.138433516</v>
      </c>
      <c r="K177" s="42">
        <v>-12.34579658</v>
      </c>
    </row>
    <row r="178">
      <c r="A178" s="1" t="s">
        <v>194</v>
      </c>
      <c r="B178" s="38">
        <v>666157.0</v>
      </c>
      <c r="C178" s="38">
        <v>2408.0</v>
      </c>
      <c r="D178" s="39">
        <f>sumif('PLA Sheet'!C:C,B178,'PLA Sheet'!H:H)</f>
        <v>156.6666667</v>
      </c>
      <c r="E178" s="40">
        <v>5.126342057</v>
      </c>
      <c r="F178" s="40">
        <f>sumif('PLA Sheet'!C:C,B178,'PLA Sheet'!J:J)/D178*9</f>
        <v>2.907498389</v>
      </c>
      <c r="G178" s="41">
        <v>0.484219269</v>
      </c>
      <c r="H178" s="41">
        <v>0.173172757</v>
      </c>
      <c r="I178" s="41">
        <v>0.342607973</v>
      </c>
      <c r="J178" s="41">
        <f t="shared" si="1"/>
        <v>0.141611296</v>
      </c>
      <c r="K178" s="42">
        <v>8.080984775</v>
      </c>
    </row>
    <row r="179">
      <c r="A179" s="1" t="s">
        <v>101</v>
      </c>
      <c r="B179" s="38">
        <v>672841.0</v>
      </c>
      <c r="C179" s="38">
        <v>1053.0</v>
      </c>
      <c r="D179" s="39">
        <f>sumif('PLA Sheet'!C:C,B179,'PLA Sheet'!H:H)</f>
        <v>77</v>
      </c>
      <c r="E179" s="40">
        <v>5.126075719</v>
      </c>
      <c r="F179" s="40">
        <f>sumif('PLA Sheet'!C:C,B179,'PLA Sheet'!J:J)/D179*9</f>
        <v>2.616827727</v>
      </c>
      <c r="G179" s="41">
        <v>0.48622982</v>
      </c>
      <c r="H179" s="41">
        <v>0.18708452</v>
      </c>
      <c r="I179" s="41">
        <v>0.32668566</v>
      </c>
      <c r="J179" s="41">
        <f t="shared" si="1"/>
        <v>0.15954416</v>
      </c>
      <c r="K179" s="42">
        <v>-7.397733379</v>
      </c>
    </row>
    <row r="180">
      <c r="A180" s="1" t="s">
        <v>233</v>
      </c>
      <c r="B180" s="38">
        <v>656240.0</v>
      </c>
      <c r="C180" s="38">
        <v>697.0</v>
      </c>
      <c r="D180" s="39">
        <f>sumif('PLA Sheet'!C:C,B180,'PLA Sheet'!H:H)</f>
        <v>44.33333333</v>
      </c>
      <c r="E180" s="40">
        <v>5.1229431</v>
      </c>
      <c r="F180" s="40">
        <f>sumif('PLA Sheet'!C:C,B180,'PLA Sheet'!J:J)/D180*9</f>
        <v>3.039266165</v>
      </c>
      <c r="G180" s="41">
        <v>0.479196557</v>
      </c>
      <c r="H180" s="41">
        <v>0.18651363</v>
      </c>
      <c r="I180" s="41">
        <v>0.334289813</v>
      </c>
      <c r="J180" s="41">
        <f t="shared" si="1"/>
        <v>0.144906744</v>
      </c>
      <c r="K180" s="42">
        <v>-4.281406945</v>
      </c>
    </row>
    <row r="181">
      <c r="A181" s="1" t="s">
        <v>189</v>
      </c>
      <c r="B181" s="38">
        <v>607536.0</v>
      </c>
      <c r="C181" s="38">
        <v>2384.0</v>
      </c>
      <c r="D181" s="39">
        <f>sumif('PLA Sheet'!C:C,B181,'PLA Sheet'!H:H)</f>
        <v>162.6666667</v>
      </c>
      <c r="E181" s="40">
        <v>5.122415309</v>
      </c>
      <c r="F181" s="40">
        <f>sumif('PLA Sheet'!C:C,B181,'PLA Sheet'!J:J)/D181*9</f>
        <v>2.900128315</v>
      </c>
      <c r="G181" s="41">
        <v>0.469379195</v>
      </c>
      <c r="H181" s="41">
        <v>0.214345638</v>
      </c>
      <c r="I181" s="41">
        <v>0.316275168</v>
      </c>
      <c r="J181" s="41">
        <f t="shared" si="1"/>
        <v>0.153104027</v>
      </c>
      <c r="K181" s="42">
        <v>-29.61863401</v>
      </c>
    </row>
    <row r="182">
      <c r="A182" s="1" t="s">
        <v>381</v>
      </c>
      <c r="B182" s="38">
        <v>820862.0</v>
      </c>
      <c r="C182" s="38">
        <v>626.0</v>
      </c>
      <c r="D182" s="39">
        <f>sumif('PLA Sheet'!C:C,B182,'PLA Sheet'!H:H)</f>
        <v>34.33333333</v>
      </c>
      <c r="E182" s="40">
        <v>5.122136204</v>
      </c>
      <c r="F182" s="40">
        <f>sumif('PLA Sheet'!C:C,B182,'PLA Sheet'!J:J)/D182*9</f>
        <v>3.650338922</v>
      </c>
      <c r="G182" s="41">
        <v>0.528753994</v>
      </c>
      <c r="H182" s="41">
        <v>0.127795527</v>
      </c>
      <c r="I182" s="41">
        <v>0.343450479</v>
      </c>
      <c r="J182" s="41">
        <f t="shared" si="1"/>
        <v>0.185303515</v>
      </c>
      <c r="K182" s="42">
        <v>7.529497687</v>
      </c>
    </row>
    <row r="183">
      <c r="A183" s="1" t="s">
        <v>237</v>
      </c>
      <c r="B183" s="38">
        <v>663485.0</v>
      </c>
      <c r="C183" s="38">
        <v>1100.0</v>
      </c>
      <c r="D183" s="39">
        <f>sumif('PLA Sheet'!C:C,B183,'PLA Sheet'!H:H)</f>
        <v>72</v>
      </c>
      <c r="E183" s="40">
        <v>5.12039129</v>
      </c>
      <c r="F183" s="40">
        <f>sumif('PLA Sheet'!C:C,B183,'PLA Sheet'!J:J)/D183*9</f>
        <v>3.055883125</v>
      </c>
      <c r="G183" s="41">
        <v>0.485454545</v>
      </c>
      <c r="H183" s="41">
        <v>0.192727273</v>
      </c>
      <c r="I183" s="41">
        <v>0.321818182</v>
      </c>
      <c r="J183" s="41">
        <f t="shared" si="1"/>
        <v>0.163636363</v>
      </c>
      <c r="K183" s="42">
        <v>7.265422317</v>
      </c>
    </row>
    <row r="184">
      <c r="A184" s="1" t="s">
        <v>200</v>
      </c>
      <c r="B184" s="38">
        <v>676879.0</v>
      </c>
      <c r="C184" s="38">
        <v>1000.0</v>
      </c>
      <c r="D184" s="39">
        <f>sumif('PLA Sheet'!C:C,B184,'PLA Sheet'!H:H)</f>
        <v>66.66666667</v>
      </c>
      <c r="E184" s="40">
        <v>5.118908976</v>
      </c>
      <c r="F184" s="40">
        <f>sumif('PLA Sheet'!C:C,B184,'PLA Sheet'!J:J)/D184*9</f>
        <v>2.92391721</v>
      </c>
      <c r="G184" s="41">
        <v>0.486</v>
      </c>
      <c r="H184" s="41">
        <v>0.165</v>
      </c>
      <c r="I184" s="41">
        <v>0.349</v>
      </c>
      <c r="J184" s="41">
        <f t="shared" si="1"/>
        <v>0.137</v>
      </c>
      <c r="K184" s="42">
        <v>6.200911968</v>
      </c>
    </row>
    <row r="185">
      <c r="A185" s="1" t="s">
        <v>257</v>
      </c>
      <c r="B185" s="38">
        <v>679358.0</v>
      </c>
      <c r="C185" s="38">
        <v>635.0</v>
      </c>
      <c r="D185" s="39">
        <f>sumif('PLA Sheet'!C:C,B185,'PLA Sheet'!H:H)</f>
        <v>41.66666667</v>
      </c>
      <c r="E185" s="40">
        <v>5.115785894</v>
      </c>
      <c r="F185" s="40">
        <f>sumif('PLA Sheet'!C:C,B185,'PLA Sheet'!J:J)/D185*9</f>
        <v>3.124837656</v>
      </c>
      <c r="G185" s="41">
        <v>0.483464567</v>
      </c>
      <c r="H185" s="41">
        <v>0.182677165</v>
      </c>
      <c r="I185" s="41">
        <v>0.333858268</v>
      </c>
      <c r="J185" s="41">
        <f t="shared" si="1"/>
        <v>0.149606299</v>
      </c>
      <c r="K185" s="42">
        <v>1.522673304</v>
      </c>
    </row>
    <row r="186">
      <c r="A186" s="1" t="s">
        <v>240</v>
      </c>
      <c r="B186" s="38">
        <v>641329.0</v>
      </c>
      <c r="C186" s="38">
        <v>1067.0</v>
      </c>
      <c r="D186" s="39">
        <f>sumif('PLA Sheet'!C:C,B186,'PLA Sheet'!H:H)</f>
        <v>68.66666667</v>
      </c>
      <c r="E186" s="40">
        <v>5.114841028</v>
      </c>
      <c r="F186" s="40">
        <f>sumif('PLA Sheet'!C:C,B186,'PLA Sheet'!J:J)/D186*9</f>
        <v>3.073147471</v>
      </c>
      <c r="G186" s="41">
        <v>0.477038425</v>
      </c>
      <c r="H186" s="41">
        <v>0.182755389</v>
      </c>
      <c r="I186" s="41">
        <v>0.340206186</v>
      </c>
      <c r="J186" s="41">
        <f t="shared" si="1"/>
        <v>0.136832239</v>
      </c>
      <c r="K186" s="42">
        <v>4.154933773</v>
      </c>
    </row>
    <row r="187">
      <c r="A187" s="1" t="s">
        <v>220</v>
      </c>
      <c r="B187" s="38">
        <v>663559.0</v>
      </c>
      <c r="C187" s="38">
        <v>1885.0</v>
      </c>
      <c r="D187" s="39">
        <f>sumif('PLA Sheet'!C:C,B187,'PLA Sheet'!H:H)</f>
        <v>125.3333333</v>
      </c>
      <c r="E187" s="40">
        <v>5.112760626</v>
      </c>
      <c r="F187" s="40">
        <f>sumif('PLA Sheet'!C:C,B187,'PLA Sheet'!J:J)/D187*9</f>
        <v>3.005010957</v>
      </c>
      <c r="G187" s="41">
        <v>0.489655172</v>
      </c>
      <c r="H187" s="41">
        <v>0.176127321</v>
      </c>
      <c r="I187" s="41">
        <v>0.334217507</v>
      </c>
      <c r="J187" s="41">
        <f t="shared" si="1"/>
        <v>0.155437665</v>
      </c>
      <c r="K187" s="42">
        <v>-9.229538632</v>
      </c>
    </row>
    <row r="188">
      <c r="A188" s="1" t="s">
        <v>373</v>
      </c>
      <c r="B188" s="38">
        <v>640455.0</v>
      </c>
      <c r="C188" s="38">
        <v>1051.0</v>
      </c>
      <c r="D188" s="39">
        <f>sumif('PLA Sheet'!C:C,B188,'PLA Sheet'!H:H)</f>
        <v>60.66666667</v>
      </c>
      <c r="E188" s="40">
        <v>5.11244896</v>
      </c>
      <c r="F188" s="40">
        <f>sumif('PLA Sheet'!C:C,B188,'PLA Sheet'!J:J)/D188*9</f>
        <v>3.584643131</v>
      </c>
      <c r="G188" s="41">
        <v>0.480494767</v>
      </c>
      <c r="H188" s="41">
        <v>0.186489058</v>
      </c>
      <c r="I188" s="41">
        <v>0.333016175</v>
      </c>
      <c r="J188" s="41">
        <f t="shared" si="1"/>
        <v>0.147478592</v>
      </c>
      <c r="K188" s="42">
        <v>2.777222957</v>
      </c>
    </row>
    <row r="189">
      <c r="A189" s="1" t="s">
        <v>316</v>
      </c>
      <c r="B189" s="38">
        <v>656427.0</v>
      </c>
      <c r="C189" s="38">
        <v>2760.0</v>
      </c>
      <c r="D189" s="39">
        <f>sumif('PLA Sheet'!C:C,B189,'PLA Sheet'!H:H)</f>
        <v>161</v>
      </c>
      <c r="E189" s="40">
        <v>5.112278659</v>
      </c>
      <c r="F189" s="40">
        <f>sumif('PLA Sheet'!C:C,B189,'PLA Sheet'!J:J)/D189*9</f>
        <v>3.37113995</v>
      </c>
      <c r="G189" s="41">
        <v>0.495652174</v>
      </c>
      <c r="H189" s="41">
        <v>0.163405797</v>
      </c>
      <c r="I189" s="41">
        <v>0.340942029</v>
      </c>
      <c r="J189" s="41">
        <f t="shared" si="1"/>
        <v>0.154710145</v>
      </c>
      <c r="K189" s="42">
        <v>-5.17442477</v>
      </c>
    </row>
    <row r="190">
      <c r="A190" s="1" t="s">
        <v>149</v>
      </c>
      <c r="B190" s="38">
        <v>595928.0</v>
      </c>
      <c r="C190" s="38">
        <v>532.0</v>
      </c>
      <c r="D190" s="39">
        <f>sumif('PLA Sheet'!C:C,B190,'PLA Sheet'!H:H)</f>
        <v>36.66666667</v>
      </c>
      <c r="E190" s="40">
        <v>5.112256584</v>
      </c>
      <c r="F190" s="40">
        <f>sumif('PLA Sheet'!C:C,B190,'PLA Sheet'!J:J)/D190*9</f>
        <v>2.803475782</v>
      </c>
      <c r="G190" s="41">
        <v>0.462406015</v>
      </c>
      <c r="H190" s="41">
        <v>0.187969925</v>
      </c>
      <c r="I190" s="41">
        <v>0.34962406</v>
      </c>
      <c r="J190" s="41">
        <f t="shared" si="1"/>
        <v>0.112781955</v>
      </c>
      <c r="K190" s="42">
        <v>2.073805272</v>
      </c>
    </row>
    <row r="191">
      <c r="A191" s="1" t="s">
        <v>139</v>
      </c>
      <c r="B191" s="38">
        <v>640448.0</v>
      </c>
      <c r="C191" s="38">
        <v>813.0</v>
      </c>
      <c r="D191" s="39">
        <f>sumif('PLA Sheet'!C:C,B191,'PLA Sheet'!H:H)</f>
        <v>56.99999999</v>
      </c>
      <c r="E191" s="40">
        <v>5.109964439</v>
      </c>
      <c r="F191" s="40">
        <f>sumif('PLA Sheet'!C:C,B191,'PLA Sheet'!J:J)/D191*9</f>
        <v>2.772820422</v>
      </c>
      <c r="G191" s="41">
        <v>0.479704797</v>
      </c>
      <c r="H191" s="41">
        <v>0.204182042</v>
      </c>
      <c r="I191" s="41">
        <v>0.316113161</v>
      </c>
      <c r="J191" s="41">
        <f t="shared" si="1"/>
        <v>0.163591636</v>
      </c>
      <c r="K191" s="42">
        <v>4.766110344</v>
      </c>
    </row>
    <row r="192">
      <c r="A192" s="1" t="s">
        <v>278</v>
      </c>
      <c r="B192" s="38">
        <v>542881.0</v>
      </c>
      <c r="C192" s="38">
        <v>2260.0</v>
      </c>
      <c r="D192" s="39">
        <f>sumif('PLA Sheet'!C:C,B192,'PLA Sheet'!H:H)</f>
        <v>136.3333333</v>
      </c>
      <c r="E192" s="40">
        <v>5.108935836</v>
      </c>
      <c r="F192" s="40">
        <f>sumif('PLA Sheet'!C:C,B192,'PLA Sheet'!J:J)/D192*9</f>
        <v>3.225678447</v>
      </c>
      <c r="G192" s="41">
        <v>0.47920354</v>
      </c>
      <c r="H192" s="41">
        <v>0.17300885</v>
      </c>
      <c r="I192" s="41">
        <v>0.347787611</v>
      </c>
      <c r="J192" s="41">
        <f t="shared" si="1"/>
        <v>0.131415929</v>
      </c>
      <c r="K192" s="42">
        <v>-6.031738521</v>
      </c>
    </row>
    <row r="193">
      <c r="A193" s="1" t="s">
        <v>241</v>
      </c>
      <c r="B193" s="38">
        <v>669199.0</v>
      </c>
      <c r="C193" s="38">
        <v>1114.0</v>
      </c>
      <c r="D193" s="39">
        <f>sumif('PLA Sheet'!C:C,B193,'PLA Sheet'!H:H)</f>
        <v>71</v>
      </c>
      <c r="E193" s="40">
        <v>5.10847651</v>
      </c>
      <c r="F193" s="40">
        <f>sumif('PLA Sheet'!C:C,B193,'PLA Sheet'!J:J)/D193*9</f>
        <v>3.073221</v>
      </c>
      <c r="G193" s="41">
        <v>0.493716338</v>
      </c>
      <c r="H193" s="41">
        <v>0.166965889</v>
      </c>
      <c r="I193" s="41">
        <v>0.339317774</v>
      </c>
      <c r="J193" s="41">
        <f t="shared" si="1"/>
        <v>0.154398564</v>
      </c>
      <c r="K193" s="42">
        <v>-0.952161395</v>
      </c>
    </row>
    <row r="194">
      <c r="A194" s="1" t="s">
        <v>255</v>
      </c>
      <c r="B194" s="38">
        <v>688138.0</v>
      </c>
      <c r="C194" s="38">
        <v>1310.0</v>
      </c>
      <c r="D194" s="39">
        <f>sumif('PLA Sheet'!C:C,B194,'PLA Sheet'!H:H)</f>
        <v>81.33333333</v>
      </c>
      <c r="E194" s="40">
        <v>5.10658561</v>
      </c>
      <c r="F194" s="40">
        <f>sumif('PLA Sheet'!C:C,B194,'PLA Sheet'!J:J)/D194*9</f>
        <v>3.115825451</v>
      </c>
      <c r="G194" s="41">
        <v>0.48778626</v>
      </c>
      <c r="H194" s="41">
        <v>0.187022901</v>
      </c>
      <c r="I194" s="41">
        <v>0.32519084</v>
      </c>
      <c r="J194" s="41">
        <f t="shared" si="1"/>
        <v>0.16259542</v>
      </c>
      <c r="K194" s="42">
        <v>-5.764797245</v>
      </c>
    </row>
    <row r="195">
      <c r="A195" s="1" t="s">
        <v>211</v>
      </c>
      <c r="B195" s="38">
        <v>668933.0</v>
      </c>
      <c r="C195" s="38">
        <v>1002.0</v>
      </c>
      <c r="D195" s="39">
        <f>sumif('PLA Sheet'!C:C,B195,'PLA Sheet'!H:H)</f>
        <v>65.33333334</v>
      </c>
      <c r="E195" s="40">
        <v>5.104657562</v>
      </c>
      <c r="F195" s="40">
        <f>sumif('PLA Sheet'!C:C,B195,'PLA Sheet'!J:J)/D195*9</f>
        <v>2.959878306</v>
      </c>
      <c r="G195" s="41">
        <v>0.458083832</v>
      </c>
      <c r="H195" s="41">
        <v>0.204590818</v>
      </c>
      <c r="I195" s="41">
        <v>0.337325349</v>
      </c>
      <c r="J195" s="41">
        <f t="shared" si="1"/>
        <v>0.120758483</v>
      </c>
      <c r="K195" s="42">
        <v>-3.970139623</v>
      </c>
    </row>
    <row r="196">
      <c r="A196" s="1" t="s">
        <v>281</v>
      </c>
      <c r="B196" s="38">
        <v>622663.0</v>
      </c>
      <c r="C196" s="38">
        <v>2632.0</v>
      </c>
      <c r="D196" s="39">
        <f>sumif('PLA Sheet'!C:C,B196,'PLA Sheet'!H:H)</f>
        <v>162.6666667</v>
      </c>
      <c r="E196" s="40">
        <v>5.104449476</v>
      </c>
      <c r="F196" s="40">
        <f>sumif('PLA Sheet'!C:C,B196,'PLA Sheet'!J:J)/D196*9</f>
        <v>3.23402376</v>
      </c>
      <c r="G196" s="41">
        <v>0.479103343</v>
      </c>
      <c r="H196" s="41">
        <v>0.184270517</v>
      </c>
      <c r="I196" s="41">
        <v>0.33662614</v>
      </c>
      <c r="J196" s="41">
        <f t="shared" si="1"/>
        <v>0.142477203</v>
      </c>
      <c r="K196" s="42">
        <v>-6.604517025</v>
      </c>
    </row>
    <row r="197">
      <c r="A197" s="1" t="s">
        <v>296</v>
      </c>
      <c r="B197" s="38">
        <v>669372.0</v>
      </c>
      <c r="C197" s="38">
        <v>1520.0</v>
      </c>
      <c r="D197" s="39">
        <f>sumif('PLA Sheet'!C:C,B197,'PLA Sheet'!H:H)</f>
        <v>90.33333334</v>
      </c>
      <c r="E197" s="40">
        <v>5.104448085</v>
      </c>
      <c r="F197" s="40">
        <f>sumif('PLA Sheet'!C:C,B197,'PLA Sheet'!J:J)/D197*9</f>
        <v>3.283585671</v>
      </c>
      <c r="G197" s="41">
        <v>0.471710526</v>
      </c>
      <c r="H197" s="41">
        <v>0.169736842</v>
      </c>
      <c r="I197" s="41">
        <v>0.358552632</v>
      </c>
      <c r="J197" s="41">
        <f t="shared" si="1"/>
        <v>0.113157894</v>
      </c>
      <c r="K197" s="42">
        <v>1.495835802</v>
      </c>
    </row>
    <row r="198">
      <c r="A198" s="1" t="s">
        <v>236</v>
      </c>
      <c r="B198" s="38">
        <v>680742.0</v>
      </c>
      <c r="C198" s="38">
        <v>704.0</v>
      </c>
      <c r="D198" s="39">
        <f>sumif('PLA Sheet'!C:C,B198,'PLA Sheet'!H:H)</f>
        <v>44.33333333</v>
      </c>
      <c r="E198" s="40">
        <v>5.102209084</v>
      </c>
      <c r="F198" s="40">
        <f>sumif('PLA Sheet'!C:C,B198,'PLA Sheet'!J:J)/D198*9</f>
        <v>3.046485519</v>
      </c>
      <c r="G198" s="41">
        <v>0.475852273</v>
      </c>
      <c r="H198" s="41">
        <v>0.196022727</v>
      </c>
      <c r="I198" s="41">
        <v>0.328125</v>
      </c>
      <c r="J198" s="41">
        <f t="shared" si="1"/>
        <v>0.147727273</v>
      </c>
      <c r="K198" s="42">
        <v>1.779750066</v>
      </c>
    </row>
    <row r="199">
      <c r="A199" s="1" t="s">
        <v>317</v>
      </c>
      <c r="B199" s="38">
        <v>673929.0</v>
      </c>
      <c r="C199" s="38">
        <v>1086.0</v>
      </c>
      <c r="D199" s="39">
        <f>sumif('PLA Sheet'!C:C,B199,'PLA Sheet'!H:H)</f>
        <v>64.33333334</v>
      </c>
      <c r="E199" s="40">
        <v>5.101681209</v>
      </c>
      <c r="F199" s="40">
        <f>sumif('PLA Sheet'!C:C,B199,'PLA Sheet'!J:J)/D199*9</f>
        <v>3.37185359</v>
      </c>
      <c r="G199" s="41">
        <v>0.494475138</v>
      </c>
      <c r="H199" s="41">
        <v>0.131675875</v>
      </c>
      <c r="I199" s="41">
        <v>0.373848987</v>
      </c>
      <c r="J199" s="41">
        <f t="shared" si="1"/>
        <v>0.120626151</v>
      </c>
      <c r="K199" s="42">
        <v>0.685346693</v>
      </c>
    </row>
    <row r="200">
      <c r="A200" s="1" t="s">
        <v>267</v>
      </c>
      <c r="B200" s="38">
        <v>669387.0</v>
      </c>
      <c r="C200" s="38">
        <v>1592.0</v>
      </c>
      <c r="D200" s="39">
        <f>sumif('PLA Sheet'!C:C,B200,'PLA Sheet'!H:H)</f>
        <v>99</v>
      </c>
      <c r="E200" s="40">
        <v>5.101647869</v>
      </c>
      <c r="F200" s="40">
        <f>sumif('PLA Sheet'!C:C,B200,'PLA Sheet'!J:J)/D200*9</f>
        <v>3.165060364</v>
      </c>
      <c r="G200" s="41">
        <v>0.475502513</v>
      </c>
      <c r="H200" s="41">
        <v>0.17839196</v>
      </c>
      <c r="I200" s="41">
        <v>0.346105528</v>
      </c>
      <c r="J200" s="41">
        <f t="shared" si="1"/>
        <v>0.129396985</v>
      </c>
      <c r="K200" s="42">
        <v>-5.466230076</v>
      </c>
    </row>
    <row r="201">
      <c r="A201" s="1" t="s">
        <v>323</v>
      </c>
      <c r="B201" s="38">
        <v>691587.0</v>
      </c>
      <c r="C201" s="38">
        <v>1620.0</v>
      </c>
      <c r="D201" s="39">
        <f>sumif('PLA Sheet'!C:C,B201,'PLA Sheet'!H:H)</f>
        <v>95.33333334</v>
      </c>
      <c r="E201" s="40">
        <v>5.098240715</v>
      </c>
      <c r="F201" s="40">
        <f>sumif('PLA Sheet'!C:C,B201,'PLA Sheet'!J:J)/D201*9</f>
        <v>3.380015958</v>
      </c>
      <c r="G201" s="41">
        <v>0.493209877</v>
      </c>
      <c r="H201" s="41">
        <v>0.161111111</v>
      </c>
      <c r="I201" s="41">
        <v>0.345679012</v>
      </c>
      <c r="J201" s="41">
        <f t="shared" si="1"/>
        <v>0.147530865</v>
      </c>
      <c r="K201" s="42">
        <v>12.13042376</v>
      </c>
    </row>
    <row r="202">
      <c r="A202" s="1" t="s">
        <v>351</v>
      </c>
      <c r="B202" s="38">
        <v>689017.0</v>
      </c>
      <c r="C202" s="38">
        <v>745.0</v>
      </c>
      <c r="D202" s="39">
        <f>sumif('PLA Sheet'!C:C,B202,'PLA Sheet'!H:H)</f>
        <v>42.33333334</v>
      </c>
      <c r="E202" s="40">
        <v>5.096191496</v>
      </c>
      <c r="F202" s="40">
        <f>sumif('PLA Sheet'!C:C,B202,'PLA Sheet'!J:J)/D202*9</f>
        <v>3.465009071</v>
      </c>
      <c r="G202" s="41">
        <v>0.50738255</v>
      </c>
      <c r="H202" s="41">
        <v>0.155704698</v>
      </c>
      <c r="I202" s="41">
        <v>0.336912752</v>
      </c>
      <c r="J202" s="41">
        <f t="shared" si="1"/>
        <v>0.170469798</v>
      </c>
      <c r="K202" s="42">
        <v>-1.555118331</v>
      </c>
    </row>
    <row r="203">
      <c r="A203" s="1" t="s">
        <v>206</v>
      </c>
      <c r="B203" s="38">
        <v>676263.0</v>
      </c>
      <c r="C203" s="38">
        <v>1106.0</v>
      </c>
      <c r="D203" s="39">
        <f>sumif('PLA Sheet'!C:C,B203,'PLA Sheet'!H:H)</f>
        <v>76.33333333</v>
      </c>
      <c r="E203" s="40">
        <v>5.095593465</v>
      </c>
      <c r="F203" s="40">
        <f>sumif('PLA Sheet'!C:C,B203,'PLA Sheet'!J:J)/D203*9</f>
        <v>2.939843004</v>
      </c>
      <c r="G203" s="41">
        <v>0.494575045</v>
      </c>
      <c r="H203" s="41">
        <v>0.132007233</v>
      </c>
      <c r="I203" s="41">
        <v>0.373417722</v>
      </c>
      <c r="J203" s="41">
        <f t="shared" si="1"/>
        <v>0.121157323</v>
      </c>
      <c r="K203" s="42">
        <v>0.080609761</v>
      </c>
    </row>
    <row r="204">
      <c r="A204" s="1" t="s">
        <v>219</v>
      </c>
      <c r="B204" s="38">
        <v>657044.0</v>
      </c>
      <c r="C204" s="38">
        <v>625.0</v>
      </c>
      <c r="D204" s="39">
        <f>sumif('PLA Sheet'!C:C,B204,'PLA Sheet'!H:H)</f>
        <v>41.33333333</v>
      </c>
      <c r="E204" s="40">
        <v>5.095564252</v>
      </c>
      <c r="F204" s="40">
        <f>sumif('PLA Sheet'!C:C,B204,'PLA Sheet'!J:J)/D204*9</f>
        <v>2.990616896</v>
      </c>
      <c r="G204" s="41">
        <v>0.496</v>
      </c>
      <c r="H204" s="41">
        <v>0.1744</v>
      </c>
      <c r="I204" s="41">
        <v>0.3296</v>
      </c>
      <c r="J204" s="41">
        <f t="shared" si="1"/>
        <v>0.1664</v>
      </c>
      <c r="K204" s="42">
        <v>-3.430208281</v>
      </c>
    </row>
    <row r="205">
      <c r="A205" s="1" t="s">
        <v>177</v>
      </c>
      <c r="B205" s="38">
        <v>641793.0</v>
      </c>
      <c r="C205" s="38">
        <v>2683.0</v>
      </c>
      <c r="D205" s="39">
        <f>sumif('PLA Sheet'!C:C,B205,'PLA Sheet'!H:H)</f>
        <v>186.6666667</v>
      </c>
      <c r="E205" s="40">
        <v>5.09535381</v>
      </c>
      <c r="F205" s="40">
        <f>sumif('PLA Sheet'!C:C,B205,'PLA Sheet'!J:J)/D205*9</f>
        <v>2.873324379</v>
      </c>
      <c r="G205" s="41">
        <v>0.452105852</v>
      </c>
      <c r="H205" s="41">
        <v>0.211703317</v>
      </c>
      <c r="I205" s="41">
        <v>0.336190831</v>
      </c>
      <c r="J205" s="41">
        <f t="shared" si="1"/>
        <v>0.115915021</v>
      </c>
      <c r="K205" s="42">
        <v>10.14382478</v>
      </c>
    </row>
    <row r="206">
      <c r="A206" s="1" t="s">
        <v>266</v>
      </c>
      <c r="B206" s="38">
        <v>806188.0</v>
      </c>
      <c r="C206" s="38">
        <v>874.0</v>
      </c>
      <c r="D206" s="39">
        <f>sumif('PLA Sheet'!C:C,B206,'PLA Sheet'!H:H)</f>
        <v>54.66666666</v>
      </c>
      <c r="E206" s="40">
        <v>5.093821564</v>
      </c>
      <c r="F206" s="40">
        <f>sumif('PLA Sheet'!C:C,B206,'PLA Sheet'!J:J)/D206*9</f>
        <v>3.163773567</v>
      </c>
      <c r="G206" s="41">
        <v>0.519450801</v>
      </c>
      <c r="H206" s="41">
        <v>0.113272311</v>
      </c>
      <c r="I206" s="41">
        <v>0.367276888</v>
      </c>
      <c r="J206" s="41">
        <f t="shared" si="1"/>
        <v>0.152173913</v>
      </c>
      <c r="K206" s="42">
        <v>3.68753813</v>
      </c>
    </row>
    <row r="207">
      <c r="A207" s="1" t="s">
        <v>226</v>
      </c>
      <c r="B207" s="38">
        <v>607259.0</v>
      </c>
      <c r="C207" s="38">
        <v>2512.0</v>
      </c>
      <c r="D207" s="39">
        <f>sumif('PLA Sheet'!C:C,B207,'PLA Sheet'!H:H)</f>
        <v>165.6666667</v>
      </c>
      <c r="E207" s="40">
        <v>5.093387777</v>
      </c>
      <c r="F207" s="40">
        <f>sumif('PLA Sheet'!C:C,B207,'PLA Sheet'!J:J)/D207*9</f>
        <v>3.024765616</v>
      </c>
      <c r="G207" s="41">
        <v>0.452627389</v>
      </c>
      <c r="H207" s="41">
        <v>0.220143312</v>
      </c>
      <c r="I207" s="41">
        <v>0.327229299</v>
      </c>
      <c r="J207" s="41">
        <f t="shared" si="1"/>
        <v>0.12539809</v>
      </c>
      <c r="K207" s="42">
        <v>10.21974888</v>
      </c>
    </row>
    <row r="208">
      <c r="A208" s="1" t="s">
        <v>337</v>
      </c>
      <c r="B208" s="38">
        <v>700669.0</v>
      </c>
      <c r="C208" s="38">
        <v>729.0</v>
      </c>
      <c r="D208" s="39">
        <f>sumif('PLA Sheet'!C:C,B208,'PLA Sheet'!H:H)</f>
        <v>43</v>
      </c>
      <c r="E208" s="40">
        <v>5.092598972</v>
      </c>
      <c r="F208" s="40">
        <f>sumif('PLA Sheet'!C:C,B208,'PLA Sheet'!J:J)/D208*9</f>
        <v>3.421708326</v>
      </c>
      <c r="G208" s="41">
        <v>0.444444444</v>
      </c>
      <c r="H208" s="41">
        <v>0.235939643</v>
      </c>
      <c r="I208" s="41">
        <v>0.319615912</v>
      </c>
      <c r="J208" s="41">
        <f t="shared" si="1"/>
        <v>0.124828532</v>
      </c>
      <c r="K208" s="42">
        <v>-6.169974797</v>
      </c>
    </row>
    <row r="209">
      <c r="A209" s="1" t="s">
        <v>272</v>
      </c>
      <c r="B209" s="38">
        <v>622491.0</v>
      </c>
      <c r="C209" s="38">
        <v>2846.0</v>
      </c>
      <c r="D209" s="39">
        <f>sumif('PLA Sheet'!C:C,B209,'PLA Sheet'!H:H)</f>
        <v>180.6666667</v>
      </c>
      <c r="E209" s="40">
        <v>5.091772515</v>
      </c>
      <c r="F209" s="40">
        <f>sumif('PLA Sheet'!C:C,B209,'PLA Sheet'!J:J)/D209*9</f>
        <v>3.188596633</v>
      </c>
      <c r="G209" s="41">
        <v>0.47926915</v>
      </c>
      <c r="H209" s="41">
        <v>0.185172171</v>
      </c>
      <c r="I209" s="41">
        <v>0.335558679</v>
      </c>
      <c r="J209" s="41">
        <f t="shared" si="1"/>
        <v>0.143710471</v>
      </c>
      <c r="K209" s="42">
        <v>4.575832833</v>
      </c>
    </row>
    <row r="210">
      <c r="A210" s="1" t="s">
        <v>184</v>
      </c>
      <c r="B210" s="38">
        <v>628452.0</v>
      </c>
      <c r="C210" s="38">
        <v>949.0</v>
      </c>
      <c r="D210" s="39">
        <f>sumif('PLA Sheet'!C:C,B210,'PLA Sheet'!H:H)</f>
        <v>67.33333332</v>
      </c>
      <c r="E210" s="40">
        <v>5.091356473</v>
      </c>
      <c r="F210" s="40">
        <f>sumif('PLA Sheet'!C:C,B210,'PLA Sheet'!J:J)/D210*9</f>
        <v>2.894229713</v>
      </c>
      <c r="G210" s="41">
        <v>0.474183351</v>
      </c>
      <c r="H210" s="41">
        <v>0.20337197</v>
      </c>
      <c r="I210" s="41">
        <v>0.322444679</v>
      </c>
      <c r="J210" s="41">
        <f t="shared" si="1"/>
        <v>0.151738672</v>
      </c>
      <c r="K210" s="42">
        <v>8.523251484</v>
      </c>
    </row>
    <row r="211">
      <c r="A211" s="1" t="s">
        <v>250</v>
      </c>
      <c r="B211" s="38">
        <v>676477.0</v>
      </c>
      <c r="C211" s="38">
        <v>1139.0</v>
      </c>
      <c r="D211" s="39">
        <f>sumif('PLA Sheet'!C:C,B211,'PLA Sheet'!H:H)</f>
        <v>72</v>
      </c>
      <c r="E211" s="40">
        <v>5.091012861</v>
      </c>
      <c r="F211" s="40">
        <f>sumif('PLA Sheet'!C:C,B211,'PLA Sheet'!J:J)/D211*9</f>
        <v>3.101135125</v>
      </c>
      <c r="G211" s="41">
        <v>0.468832309</v>
      </c>
      <c r="H211" s="41">
        <v>0.189640035</v>
      </c>
      <c r="I211" s="41">
        <v>0.341527656</v>
      </c>
      <c r="J211" s="41">
        <f t="shared" si="1"/>
        <v>0.127304653</v>
      </c>
      <c r="K211" s="42">
        <v>13.71206284</v>
      </c>
    </row>
    <row r="212">
      <c r="A212" s="1" t="s">
        <v>263</v>
      </c>
      <c r="B212" s="38">
        <v>694297.0</v>
      </c>
      <c r="C212" s="38">
        <v>2823.0</v>
      </c>
      <c r="D212" s="39">
        <f>sumif('PLA Sheet'!C:C,B212,'PLA Sheet'!H:H)</f>
        <v>176.6666667</v>
      </c>
      <c r="E212" s="40">
        <v>5.089639808</v>
      </c>
      <c r="F212" s="40">
        <f>sumif('PLA Sheet'!C:C,B212,'PLA Sheet'!J:J)/D212*9</f>
        <v>3.151871338</v>
      </c>
      <c r="G212" s="41">
        <v>0.47077577</v>
      </c>
      <c r="H212" s="41">
        <v>0.184909671</v>
      </c>
      <c r="I212" s="41">
        <v>0.344314559</v>
      </c>
      <c r="J212" s="41">
        <f t="shared" si="1"/>
        <v>0.126461211</v>
      </c>
      <c r="K212" s="42">
        <v>-12.37402357</v>
      </c>
    </row>
    <row r="213">
      <c r="A213" s="1" t="s">
        <v>154</v>
      </c>
      <c r="B213" s="38">
        <v>445276.0</v>
      </c>
      <c r="C213" s="38">
        <v>845.0</v>
      </c>
      <c r="D213" s="39">
        <f>sumif('PLA Sheet'!C:C,B213,'PLA Sheet'!H:H)</f>
        <v>59</v>
      </c>
      <c r="E213" s="40">
        <v>5.089482826</v>
      </c>
      <c r="F213" s="40">
        <f>sumif('PLA Sheet'!C:C,B213,'PLA Sheet'!J:J)/D213*9</f>
        <v>2.812969678</v>
      </c>
      <c r="G213" s="41">
        <v>0.505325444</v>
      </c>
      <c r="H213" s="41">
        <v>0.186982249</v>
      </c>
      <c r="I213" s="41">
        <v>0.307692308</v>
      </c>
      <c r="J213" s="41">
        <f t="shared" si="1"/>
        <v>0.197633136</v>
      </c>
      <c r="K213" s="42">
        <v>6.728246676</v>
      </c>
    </row>
    <row r="214">
      <c r="A214" s="1" t="s">
        <v>124</v>
      </c>
      <c r="B214" s="38">
        <v>663941.0</v>
      </c>
      <c r="C214" s="38">
        <v>796.0</v>
      </c>
      <c r="D214" s="39">
        <f>sumif('PLA Sheet'!C:C,B214,'PLA Sheet'!H:H)</f>
        <v>56.66666667</v>
      </c>
      <c r="E214" s="40">
        <v>5.089230586</v>
      </c>
      <c r="F214" s="40">
        <f>sumif('PLA Sheet'!C:C,B214,'PLA Sheet'!J:J)/D214*9</f>
        <v>2.716417588</v>
      </c>
      <c r="G214" s="41">
        <v>0.481155779</v>
      </c>
      <c r="H214" s="41">
        <v>0.179648241</v>
      </c>
      <c r="I214" s="41">
        <v>0.33919598</v>
      </c>
      <c r="J214" s="41">
        <f t="shared" si="1"/>
        <v>0.141959799</v>
      </c>
      <c r="K214" s="42">
        <v>-3.285035749</v>
      </c>
    </row>
    <row r="215">
      <c r="A215" s="1" t="s">
        <v>284</v>
      </c>
      <c r="B215" s="38">
        <v>673513.0</v>
      </c>
      <c r="C215" s="38">
        <v>1029.0</v>
      </c>
      <c r="D215" s="39">
        <f>sumif('PLA Sheet'!C:C,B215,'PLA Sheet'!H:H)</f>
        <v>63.33333333</v>
      </c>
      <c r="E215" s="40">
        <v>5.088110411</v>
      </c>
      <c r="F215" s="40">
        <f>sumif('PLA Sheet'!C:C,B215,'PLA Sheet'!J:J)/D215*9</f>
        <v>3.245940853</v>
      </c>
      <c r="G215" s="41">
        <v>0.475218659</v>
      </c>
      <c r="H215" s="41">
        <v>0.16909621</v>
      </c>
      <c r="I215" s="41">
        <v>0.355685131</v>
      </c>
      <c r="J215" s="41">
        <f t="shared" si="1"/>
        <v>0.119533528</v>
      </c>
      <c r="K215" s="42">
        <v>-2.678550957</v>
      </c>
    </row>
    <row r="216">
      <c r="A216" s="1" t="s">
        <v>347</v>
      </c>
      <c r="B216" s="38">
        <v>700249.0</v>
      </c>
      <c r="C216" s="38">
        <v>1895.0</v>
      </c>
      <c r="D216" s="39">
        <f>sumif('PLA Sheet'!C:C,B216,'PLA Sheet'!H:H)</f>
        <v>112.3333333</v>
      </c>
      <c r="E216" s="40">
        <v>5.086805845</v>
      </c>
      <c r="F216" s="40">
        <f>sumif('PLA Sheet'!C:C,B216,'PLA Sheet'!J:J)/D216*9</f>
        <v>3.448972389</v>
      </c>
      <c r="G216" s="41">
        <v>0.499736148</v>
      </c>
      <c r="H216" s="41">
        <v>0.165699208</v>
      </c>
      <c r="I216" s="41">
        <v>0.334564644</v>
      </c>
      <c r="J216" s="41">
        <f t="shared" si="1"/>
        <v>0.165171504</v>
      </c>
      <c r="K216" s="42">
        <v>-19.88593755</v>
      </c>
    </row>
    <row r="217">
      <c r="A217" s="1" t="s">
        <v>295</v>
      </c>
      <c r="B217" s="38">
        <v>657585.0</v>
      </c>
      <c r="C217" s="38">
        <v>953.0</v>
      </c>
      <c r="D217" s="39">
        <f>sumif('PLA Sheet'!C:C,B217,'PLA Sheet'!H:H)</f>
        <v>55.33333333</v>
      </c>
      <c r="E217" s="40">
        <v>5.08678398</v>
      </c>
      <c r="F217" s="40">
        <f>sumif('PLA Sheet'!C:C,B217,'PLA Sheet'!J:J)/D217*9</f>
        <v>3.281939132</v>
      </c>
      <c r="G217" s="41">
        <v>0.483735572</v>
      </c>
      <c r="H217" s="41">
        <v>0.166841553</v>
      </c>
      <c r="I217" s="41">
        <v>0.349422875</v>
      </c>
      <c r="J217" s="41">
        <f t="shared" si="1"/>
        <v>0.134312697</v>
      </c>
      <c r="K217" s="42">
        <v>7.423449824</v>
      </c>
    </row>
    <row r="218">
      <c r="A218" s="1" t="s">
        <v>199</v>
      </c>
      <c r="B218" s="38">
        <v>664199.0</v>
      </c>
      <c r="C218" s="38">
        <v>820.0</v>
      </c>
      <c r="D218" s="39">
        <f>sumif('PLA Sheet'!C:C,B218,'PLA Sheet'!H:H)</f>
        <v>55.33333333</v>
      </c>
      <c r="E218" s="40">
        <v>5.08551901</v>
      </c>
      <c r="F218" s="40">
        <f>sumif('PLA Sheet'!C:C,B218,'PLA Sheet'!J:J)/D218*9</f>
        <v>2.922439012</v>
      </c>
      <c r="G218" s="41">
        <v>0.475609756</v>
      </c>
      <c r="H218" s="41">
        <v>0.170731707</v>
      </c>
      <c r="I218" s="41">
        <v>0.353658537</v>
      </c>
      <c r="J218" s="41">
        <f t="shared" si="1"/>
        <v>0.121951219</v>
      </c>
      <c r="K218" s="42">
        <v>15.62210152</v>
      </c>
    </row>
    <row r="219">
      <c r="A219" s="1" t="s">
        <v>274</v>
      </c>
      <c r="B219" s="38">
        <v>543101.0</v>
      </c>
      <c r="C219" s="38">
        <v>607.0</v>
      </c>
      <c r="D219" s="39">
        <f>sumif('PLA Sheet'!C:C,B219,'PLA Sheet'!H:H)</f>
        <v>38.66666667</v>
      </c>
      <c r="E219" s="40">
        <v>5.084558273</v>
      </c>
      <c r="F219" s="40">
        <f>sumif('PLA Sheet'!C:C,B219,'PLA Sheet'!J:J)/D219*9</f>
        <v>3.20364869</v>
      </c>
      <c r="G219" s="41">
        <v>0.467874794</v>
      </c>
      <c r="H219" s="41">
        <v>0.18616145</v>
      </c>
      <c r="I219" s="41">
        <v>0.345963756</v>
      </c>
      <c r="J219" s="41">
        <f t="shared" si="1"/>
        <v>0.121911038</v>
      </c>
      <c r="K219" s="42">
        <v>-3.621033815</v>
      </c>
    </row>
    <row r="220">
      <c r="A220" s="1" t="s">
        <v>248</v>
      </c>
      <c r="B220" s="38">
        <v>472610.0</v>
      </c>
      <c r="C220" s="38">
        <v>869.0</v>
      </c>
      <c r="D220" s="39">
        <f>sumif('PLA Sheet'!C:C,B220,'PLA Sheet'!H:H)</f>
        <v>55.33333333</v>
      </c>
      <c r="E220" s="40">
        <v>5.08279398</v>
      </c>
      <c r="F220" s="40">
        <f>sumif('PLA Sheet'!C:C,B220,'PLA Sheet'!J:J)/D220*9</f>
        <v>3.093435868</v>
      </c>
      <c r="G220" s="41">
        <v>0.469505178</v>
      </c>
      <c r="H220" s="41">
        <v>0.168009206</v>
      </c>
      <c r="I220" s="41">
        <v>0.362485616</v>
      </c>
      <c r="J220" s="41">
        <f t="shared" si="1"/>
        <v>0.107019562</v>
      </c>
      <c r="K220" s="42">
        <v>3.3660126</v>
      </c>
    </row>
    <row r="221">
      <c r="A221" s="1" t="s">
        <v>299</v>
      </c>
      <c r="B221" s="38">
        <v>621112.0</v>
      </c>
      <c r="C221" s="38">
        <v>641.0</v>
      </c>
      <c r="D221" s="39">
        <f>sumif('PLA Sheet'!C:C,B221,'PLA Sheet'!H:H)</f>
        <v>39</v>
      </c>
      <c r="E221" s="40">
        <v>5.081629157</v>
      </c>
      <c r="F221" s="40">
        <f>sumif('PLA Sheet'!C:C,B221,'PLA Sheet'!J:J)/D221*9</f>
        <v>3.292782</v>
      </c>
      <c r="G221" s="41">
        <v>0.468018721</v>
      </c>
      <c r="H221" s="41">
        <v>0.188767551</v>
      </c>
      <c r="I221" s="41">
        <v>0.343213729</v>
      </c>
      <c r="J221" s="41">
        <f t="shared" si="1"/>
        <v>0.124804992</v>
      </c>
      <c r="K221" s="42">
        <v>-7.853538957</v>
      </c>
    </row>
    <row r="222">
      <c r="A222" s="1" t="s">
        <v>238</v>
      </c>
      <c r="B222" s="38">
        <v>683769.0</v>
      </c>
      <c r="C222" s="38">
        <v>1021.0</v>
      </c>
      <c r="D222" s="39">
        <f>sumif('PLA Sheet'!C:C,B222,'PLA Sheet'!H:H)</f>
        <v>66.66666667</v>
      </c>
      <c r="E222" s="40">
        <v>5.080353191</v>
      </c>
      <c r="F222" s="40">
        <f>sumif('PLA Sheet'!C:C,B222,'PLA Sheet'!J:J)/D222*9</f>
        <v>3.062150325</v>
      </c>
      <c r="G222" s="41">
        <v>0.451518119</v>
      </c>
      <c r="H222" s="41">
        <v>0.22820764</v>
      </c>
      <c r="I222" s="41">
        <v>0.320274241</v>
      </c>
      <c r="J222" s="41">
        <f t="shared" si="1"/>
        <v>0.131243878</v>
      </c>
      <c r="K222" s="42">
        <v>0.117431908</v>
      </c>
    </row>
    <row r="223">
      <c r="A223" s="1" t="s">
        <v>354</v>
      </c>
      <c r="B223" s="38">
        <v>669022.0</v>
      </c>
      <c r="C223" s="38">
        <v>2715.0</v>
      </c>
      <c r="D223" s="39">
        <f>sumif('PLA Sheet'!C:C,B223,'PLA Sheet'!H:H)</f>
        <v>159.6666667</v>
      </c>
      <c r="E223" s="40">
        <v>5.080286297</v>
      </c>
      <c r="F223" s="40">
        <f>sumif('PLA Sheet'!C:C,B223,'PLA Sheet'!J:J)/D223*9</f>
        <v>3.48282171</v>
      </c>
      <c r="G223" s="41">
        <v>0.496132597</v>
      </c>
      <c r="H223" s="41">
        <v>0.159116022</v>
      </c>
      <c r="I223" s="41">
        <v>0.344751381</v>
      </c>
      <c r="J223" s="41">
        <f t="shared" si="1"/>
        <v>0.151381216</v>
      </c>
      <c r="K223" s="42">
        <v>-18.50265743</v>
      </c>
    </row>
    <row r="224">
      <c r="A224" s="1" t="s">
        <v>348</v>
      </c>
      <c r="B224" s="38">
        <v>672578.0</v>
      </c>
      <c r="C224" s="38">
        <v>730.0</v>
      </c>
      <c r="D224" s="39">
        <f>sumif('PLA Sheet'!C:C,B224,'PLA Sheet'!H:H)</f>
        <v>43.33333334</v>
      </c>
      <c r="E224" s="40">
        <v>5.080075677</v>
      </c>
      <c r="F224" s="40">
        <f>sumif('PLA Sheet'!C:C,B224,'PLA Sheet'!J:J)/D224*9</f>
        <v>3.449842546</v>
      </c>
      <c r="G224" s="41">
        <v>0.480821918</v>
      </c>
      <c r="H224" s="41">
        <v>0.163013699</v>
      </c>
      <c r="I224" s="41">
        <v>0.356164384</v>
      </c>
      <c r="J224" s="41">
        <f t="shared" si="1"/>
        <v>0.124657534</v>
      </c>
      <c r="K224" s="42">
        <v>-9.514585118</v>
      </c>
    </row>
    <row r="225">
      <c r="A225" s="1" t="s">
        <v>324</v>
      </c>
      <c r="B225" s="38">
        <v>471911.0</v>
      </c>
      <c r="C225" s="38">
        <v>717.0</v>
      </c>
      <c r="D225" s="39">
        <f>sumif('PLA Sheet'!C:C,B225,'PLA Sheet'!H:H)</f>
        <v>45.66666667</v>
      </c>
      <c r="E225" s="40">
        <v>5.07935016</v>
      </c>
      <c r="F225" s="40">
        <f>sumif('PLA Sheet'!C:C,B225,'PLA Sheet'!J:J)/D225*9</f>
        <v>3.385806701</v>
      </c>
      <c r="G225" s="41">
        <v>0.450488145</v>
      </c>
      <c r="H225" s="41">
        <v>0.174337517</v>
      </c>
      <c r="I225" s="41">
        <v>0.375174338</v>
      </c>
      <c r="J225" s="41">
        <f t="shared" si="1"/>
        <v>0.075313807</v>
      </c>
      <c r="K225" s="42">
        <v>-10.03547037</v>
      </c>
    </row>
    <row r="226">
      <c r="A226" s="1" t="s">
        <v>261</v>
      </c>
      <c r="B226" s="38">
        <v>664126.0</v>
      </c>
      <c r="C226" s="38">
        <v>962.0</v>
      </c>
      <c r="D226" s="39">
        <f>sumif('PLA Sheet'!C:C,B226,'PLA Sheet'!H:H)</f>
        <v>60.33333333</v>
      </c>
      <c r="E226" s="40">
        <v>5.079283197</v>
      </c>
      <c r="F226" s="40">
        <f>sumif('PLA Sheet'!C:C,B226,'PLA Sheet'!J:J)/D226*9</f>
        <v>3.138042779</v>
      </c>
      <c r="G226" s="41">
        <v>0.453222453</v>
      </c>
      <c r="H226" s="41">
        <v>0.214137214</v>
      </c>
      <c r="I226" s="41">
        <v>0.332640333</v>
      </c>
      <c r="J226" s="41">
        <f t="shared" si="1"/>
        <v>0.12058212</v>
      </c>
      <c r="K226" s="42">
        <v>15.09405102</v>
      </c>
    </row>
    <row r="227">
      <c r="A227" s="1" t="s">
        <v>222</v>
      </c>
      <c r="B227" s="38">
        <v>518876.0</v>
      </c>
      <c r="C227" s="38">
        <v>2746.0</v>
      </c>
      <c r="D227" s="39">
        <f>sumif('PLA Sheet'!C:C,B227,'PLA Sheet'!H:H)</f>
        <v>184</v>
      </c>
      <c r="E227" s="40">
        <v>5.079041231</v>
      </c>
      <c r="F227" s="40">
        <f>sumif('PLA Sheet'!C:C,B227,'PLA Sheet'!J:J)/D227*9</f>
        <v>3.006309864</v>
      </c>
      <c r="G227" s="41">
        <v>0.462855062</v>
      </c>
      <c r="H227" s="41">
        <v>0.193008012</v>
      </c>
      <c r="I227" s="41">
        <v>0.344136926</v>
      </c>
      <c r="J227" s="41">
        <f t="shared" si="1"/>
        <v>0.118718136</v>
      </c>
      <c r="K227" s="42">
        <v>19.66187854</v>
      </c>
    </row>
    <row r="228">
      <c r="A228" s="1" t="s">
        <v>288</v>
      </c>
      <c r="B228" s="38">
        <v>641755.0</v>
      </c>
      <c r="C228" s="38">
        <v>1194.0</v>
      </c>
      <c r="D228" s="39">
        <f>sumif('PLA Sheet'!C:C,B228,'PLA Sheet'!H:H)</f>
        <v>72.66666667</v>
      </c>
      <c r="E228" s="40">
        <v>5.077778798</v>
      </c>
      <c r="F228" s="40">
        <f>sumif('PLA Sheet'!C:C,B228,'PLA Sheet'!J:J)/D228*9</f>
        <v>3.253393982</v>
      </c>
      <c r="G228" s="41">
        <v>0.438860972</v>
      </c>
      <c r="H228" s="41">
        <v>0.213567839</v>
      </c>
      <c r="I228" s="41">
        <v>0.347571189</v>
      </c>
      <c r="J228" s="41">
        <f t="shared" si="1"/>
        <v>0.091289783</v>
      </c>
      <c r="K228" s="42">
        <v>20.82375985</v>
      </c>
    </row>
    <row r="229">
      <c r="A229" s="1" t="s">
        <v>269</v>
      </c>
      <c r="B229" s="38">
        <v>605280.0</v>
      </c>
      <c r="C229" s="38">
        <v>2662.0</v>
      </c>
      <c r="D229" s="39">
        <f>sumif('PLA Sheet'!C:C,B229,'PLA Sheet'!H:H)</f>
        <v>165.6666667</v>
      </c>
      <c r="E229" s="40">
        <v>5.075790442</v>
      </c>
      <c r="F229" s="40">
        <f>sumif('PLA Sheet'!C:C,B229,'PLA Sheet'!J:J)/D229*9</f>
        <v>3.166754976</v>
      </c>
      <c r="G229" s="41">
        <v>0.487978963</v>
      </c>
      <c r="H229" s="41">
        <v>0.167167543</v>
      </c>
      <c r="I229" s="41">
        <v>0.344853494</v>
      </c>
      <c r="J229" s="41">
        <f t="shared" si="1"/>
        <v>0.143125469</v>
      </c>
      <c r="K229" s="42">
        <v>22.95344969</v>
      </c>
    </row>
    <row r="230">
      <c r="A230" s="1" t="s">
        <v>223</v>
      </c>
      <c r="B230" s="38">
        <v>694335.0</v>
      </c>
      <c r="C230" s="38">
        <v>942.0</v>
      </c>
      <c r="D230" s="39">
        <f>sumif('PLA Sheet'!C:C,B230,'PLA Sheet'!H:H)</f>
        <v>60.33333333</v>
      </c>
      <c r="E230" s="40">
        <v>5.074557738</v>
      </c>
      <c r="F230" s="40">
        <f>sumif('PLA Sheet'!C:C,B230,'PLA Sheet'!J:J)/D230*9</f>
        <v>3.016457453</v>
      </c>
      <c r="G230" s="41">
        <v>0.492569002</v>
      </c>
      <c r="H230" s="41">
        <v>0.173036093</v>
      </c>
      <c r="I230" s="41">
        <v>0.334394904</v>
      </c>
      <c r="J230" s="41">
        <f t="shared" si="1"/>
        <v>0.158174098</v>
      </c>
      <c r="K230" s="42">
        <v>25.32537328</v>
      </c>
    </row>
    <row r="231">
      <c r="A231" s="1" t="s">
        <v>218</v>
      </c>
      <c r="B231" s="38">
        <v>669432.0</v>
      </c>
      <c r="C231" s="38">
        <v>1577.0</v>
      </c>
      <c r="D231" s="39">
        <f>sumif('PLA Sheet'!C:C,B231,'PLA Sheet'!H:H)</f>
        <v>109.6666667</v>
      </c>
      <c r="E231" s="40">
        <v>5.074087868</v>
      </c>
      <c r="F231" s="40">
        <f>sumif('PLA Sheet'!C:C,B231,'PLA Sheet'!J:J)/D231*9</f>
        <v>2.977406535</v>
      </c>
      <c r="G231" s="41">
        <v>0.455928979</v>
      </c>
      <c r="H231" s="41">
        <v>0.191502854</v>
      </c>
      <c r="I231" s="41">
        <v>0.352568167</v>
      </c>
      <c r="J231" s="41">
        <f t="shared" si="1"/>
        <v>0.103360812</v>
      </c>
      <c r="K231" s="42">
        <v>35.91019631</v>
      </c>
    </row>
    <row r="232">
      <c r="A232" s="1" t="s">
        <v>343</v>
      </c>
      <c r="B232" s="38">
        <v>682243.0</v>
      </c>
      <c r="C232" s="38">
        <v>1498.0</v>
      </c>
      <c r="D232" s="39">
        <f>sumif('PLA Sheet'!C:C,B232,'PLA Sheet'!H:H)</f>
        <v>90.33333333</v>
      </c>
      <c r="E232" s="40">
        <v>5.073236528</v>
      </c>
      <c r="F232" s="40">
        <f>sumif('PLA Sheet'!C:C,B232,'PLA Sheet'!J:J)/D232*9</f>
        <v>3.43769679</v>
      </c>
      <c r="G232" s="41">
        <v>0.489319092</v>
      </c>
      <c r="H232" s="41">
        <v>0.168224299</v>
      </c>
      <c r="I232" s="41">
        <v>0.342456609</v>
      </c>
      <c r="J232" s="41">
        <f t="shared" si="1"/>
        <v>0.146862483</v>
      </c>
      <c r="K232" s="42">
        <v>-9.513658467</v>
      </c>
    </row>
    <row r="233">
      <c r="A233" s="1" t="s">
        <v>384</v>
      </c>
      <c r="B233" s="38">
        <v>666214.0</v>
      </c>
      <c r="C233" s="38">
        <v>1764.0</v>
      </c>
      <c r="D233" s="39">
        <f>sumif('PLA Sheet'!C:C,B233,'PLA Sheet'!H:H)</f>
        <v>98</v>
      </c>
      <c r="E233" s="40">
        <v>5.07249874</v>
      </c>
      <c r="F233" s="40">
        <f>sumif('PLA Sheet'!C:C,B233,'PLA Sheet'!J:J)/D233*9</f>
        <v>3.668836867</v>
      </c>
      <c r="G233" s="41">
        <v>0.457482993</v>
      </c>
      <c r="H233" s="41">
        <v>0.20521542</v>
      </c>
      <c r="I233" s="41">
        <v>0.337301587</v>
      </c>
      <c r="J233" s="41">
        <f t="shared" si="1"/>
        <v>0.120181406</v>
      </c>
      <c r="K233" s="42">
        <v>-8.039466626</v>
      </c>
    </row>
    <row r="234">
      <c r="A234" s="1" t="s">
        <v>303</v>
      </c>
      <c r="B234" s="38">
        <v>592662.0</v>
      </c>
      <c r="C234" s="38">
        <v>2981.0</v>
      </c>
      <c r="D234" s="39">
        <f>sumif('PLA Sheet'!C:C,B234,'PLA Sheet'!H:H)</f>
        <v>182.3333333</v>
      </c>
      <c r="E234" s="40">
        <v>5.072235199</v>
      </c>
      <c r="F234" s="40">
        <f>sumif('PLA Sheet'!C:C,B234,'PLA Sheet'!J:J)/D234*9</f>
        <v>3.315347572</v>
      </c>
      <c r="G234" s="41">
        <v>0.475343844</v>
      </c>
      <c r="H234" s="41">
        <v>0.168735324</v>
      </c>
      <c r="I234" s="41">
        <v>0.355920832</v>
      </c>
      <c r="J234" s="41">
        <f t="shared" si="1"/>
        <v>0.119423012</v>
      </c>
      <c r="K234" s="42">
        <v>0.08285741</v>
      </c>
    </row>
    <row r="235">
      <c r="A235" s="1" t="s">
        <v>304</v>
      </c>
      <c r="B235" s="38">
        <v>666808.0</v>
      </c>
      <c r="C235" s="38">
        <v>1073.0</v>
      </c>
      <c r="D235" s="39">
        <f>sumif('PLA Sheet'!C:C,B235,'PLA Sheet'!H:H)</f>
        <v>65.33333333</v>
      </c>
      <c r="E235" s="40">
        <v>5.072148219</v>
      </c>
      <c r="F235" s="40">
        <f>sumif('PLA Sheet'!C:C,B235,'PLA Sheet'!J:J)/D235*9</f>
        <v>3.324994485</v>
      </c>
      <c r="G235" s="41">
        <v>0.494874185</v>
      </c>
      <c r="H235" s="41">
        <v>0.184529357</v>
      </c>
      <c r="I235" s="41">
        <v>0.320596459</v>
      </c>
      <c r="J235" s="41">
        <f t="shared" si="1"/>
        <v>0.174277726</v>
      </c>
      <c r="K235" s="42">
        <v>10.42202742</v>
      </c>
    </row>
    <row r="236">
      <c r="A236" s="1" t="s">
        <v>388</v>
      </c>
      <c r="B236" s="38">
        <v>687863.0</v>
      </c>
      <c r="C236" s="38">
        <v>592.0</v>
      </c>
      <c r="D236" s="39">
        <f>sumif('PLA Sheet'!C:C,B236,'PLA Sheet'!H:H)</f>
        <v>33</v>
      </c>
      <c r="E236" s="40">
        <v>5.071778527</v>
      </c>
      <c r="F236" s="40">
        <f>sumif('PLA Sheet'!C:C,B236,'PLA Sheet'!J:J)/D236*9</f>
        <v>3.697021364</v>
      </c>
      <c r="G236" s="41">
        <v>0.498310811</v>
      </c>
      <c r="H236" s="41">
        <v>0.135135135</v>
      </c>
      <c r="I236" s="41">
        <v>0.366554054</v>
      </c>
      <c r="J236" s="41">
        <f t="shared" si="1"/>
        <v>0.131756757</v>
      </c>
      <c r="K236" s="42">
        <v>-6.722691936</v>
      </c>
    </row>
    <row r="237">
      <c r="A237" s="1" t="s">
        <v>333</v>
      </c>
      <c r="B237" s="38">
        <v>681892.0</v>
      </c>
      <c r="C237" s="38">
        <v>709.0</v>
      </c>
      <c r="D237" s="39">
        <f>sumif('PLA Sheet'!C:C,B237,'PLA Sheet'!H:H)</f>
        <v>41</v>
      </c>
      <c r="E237" s="40">
        <v>5.070841642</v>
      </c>
      <c r="F237" s="40">
        <f>sumif('PLA Sheet'!C:C,B237,'PLA Sheet'!J:J)/D237*9</f>
        <v>3.402457902</v>
      </c>
      <c r="G237" s="41">
        <v>0.490832158</v>
      </c>
      <c r="H237" s="41">
        <v>0.153737659</v>
      </c>
      <c r="I237" s="41">
        <v>0.355430183</v>
      </c>
      <c r="J237" s="41">
        <f t="shared" si="1"/>
        <v>0.135401975</v>
      </c>
      <c r="K237" s="42">
        <v>-0.363614676</v>
      </c>
    </row>
    <row r="238">
      <c r="A238" s="1" t="s">
        <v>234</v>
      </c>
      <c r="B238" s="38">
        <v>690997.0</v>
      </c>
      <c r="C238" s="38">
        <v>704.0</v>
      </c>
      <c r="D238" s="39">
        <f>sumif('PLA Sheet'!C:C,B238,'PLA Sheet'!H:H)</f>
        <v>48</v>
      </c>
      <c r="E238" s="40">
        <v>5.069285666</v>
      </c>
      <c r="F238" s="40">
        <f>sumif('PLA Sheet'!C:C,B238,'PLA Sheet'!J:J)/D238*9</f>
        <v>3.044015062</v>
      </c>
      <c r="G238" s="41">
        <v>0.501420455</v>
      </c>
      <c r="H238" s="41">
        <v>0.171875</v>
      </c>
      <c r="I238" s="41">
        <v>0.326704545</v>
      </c>
      <c r="J238" s="41">
        <f t="shared" si="1"/>
        <v>0.17471591</v>
      </c>
      <c r="K238" s="42">
        <v>10.19241533</v>
      </c>
    </row>
    <row r="239">
      <c r="A239" s="1" t="s">
        <v>371</v>
      </c>
      <c r="B239" s="38">
        <v>681293.0</v>
      </c>
      <c r="C239" s="38">
        <v>604.0</v>
      </c>
      <c r="D239" s="39">
        <f>sumif('PLA Sheet'!C:C,B239,'PLA Sheet'!H:H)</f>
        <v>35.33333333</v>
      </c>
      <c r="E239" s="40">
        <v>5.066750674</v>
      </c>
      <c r="F239" s="40">
        <f>sumif('PLA Sheet'!C:C,B239,'PLA Sheet'!J:J)/D239*9</f>
        <v>3.576342311</v>
      </c>
      <c r="G239" s="41">
        <v>0.490066225</v>
      </c>
      <c r="H239" s="41">
        <v>0.15397351</v>
      </c>
      <c r="I239" s="41">
        <v>0.355960265</v>
      </c>
      <c r="J239" s="41">
        <f t="shared" si="1"/>
        <v>0.13410596</v>
      </c>
      <c r="K239" s="42">
        <v>-0.073741084</v>
      </c>
    </row>
    <row r="240">
      <c r="A240" s="1" t="s">
        <v>365</v>
      </c>
      <c r="B240" s="38">
        <v>680767.0</v>
      </c>
      <c r="C240" s="38">
        <v>890.0</v>
      </c>
      <c r="D240" s="39">
        <f>sumif('PLA Sheet'!C:C,B240,'PLA Sheet'!H:H)</f>
        <v>50.66666666</v>
      </c>
      <c r="E240" s="40">
        <v>5.066477658</v>
      </c>
      <c r="F240" s="40">
        <f>sumif('PLA Sheet'!C:C,B240,'PLA Sheet'!J:J)/D240*9</f>
        <v>3.530898355</v>
      </c>
      <c r="G240" s="41">
        <v>0.494382022</v>
      </c>
      <c r="H240" s="41">
        <v>0.14494382</v>
      </c>
      <c r="I240" s="41">
        <v>0.360674157</v>
      </c>
      <c r="J240" s="41">
        <f t="shared" si="1"/>
        <v>0.133707865</v>
      </c>
      <c r="K240" s="42">
        <v>2.401299481</v>
      </c>
    </row>
    <row r="241">
      <c r="A241" s="1" t="s">
        <v>312</v>
      </c>
      <c r="B241" s="38">
        <v>650893.0</v>
      </c>
      <c r="C241" s="38">
        <v>689.0</v>
      </c>
      <c r="D241" s="39">
        <f>sumif('PLA Sheet'!C:C,B241,'PLA Sheet'!H:H)</f>
        <v>42.66666667</v>
      </c>
      <c r="E241" s="40">
        <v>5.064752612</v>
      </c>
      <c r="F241" s="40">
        <f>sumif('PLA Sheet'!C:C,B241,'PLA Sheet'!J:J)/D241*9</f>
        <v>3.354771937</v>
      </c>
      <c r="G241" s="41">
        <v>0.48766328</v>
      </c>
      <c r="H241" s="41">
        <v>0.184325109</v>
      </c>
      <c r="I241" s="41">
        <v>0.328011611</v>
      </c>
      <c r="J241" s="41">
        <f t="shared" si="1"/>
        <v>0.159651669</v>
      </c>
      <c r="K241" s="42">
        <v>-5.621125884</v>
      </c>
    </row>
    <row r="242">
      <c r="A242" s="1" t="s">
        <v>319</v>
      </c>
      <c r="B242" s="38">
        <v>607481.0</v>
      </c>
      <c r="C242" s="38">
        <v>893.0</v>
      </c>
      <c r="D242" s="39">
        <f>sumif('PLA Sheet'!C:C,B242,'PLA Sheet'!H:H)</f>
        <v>54.33333333</v>
      </c>
      <c r="E242" s="40">
        <v>5.064452331</v>
      </c>
      <c r="F242" s="40">
        <f>sumif('PLA Sheet'!C:C,B242,'PLA Sheet'!J:J)/D242*9</f>
        <v>3.37838643</v>
      </c>
      <c r="G242" s="41">
        <v>0.475923852</v>
      </c>
      <c r="H242" s="41">
        <v>0.180291153</v>
      </c>
      <c r="I242" s="41">
        <v>0.343784994</v>
      </c>
      <c r="J242" s="41">
        <f t="shared" si="1"/>
        <v>0.132138858</v>
      </c>
      <c r="K242" s="42">
        <v>3.832539938</v>
      </c>
    </row>
    <row r="243">
      <c r="A243" s="1" t="s">
        <v>318</v>
      </c>
      <c r="B243" s="38">
        <v>681982.0</v>
      </c>
      <c r="C243" s="38">
        <v>1129.0</v>
      </c>
      <c r="D243" s="39">
        <f>sumif('PLA Sheet'!C:C,B243,'PLA Sheet'!H:H)</f>
        <v>69.66666667</v>
      </c>
      <c r="E243" s="40">
        <v>5.063094134</v>
      </c>
      <c r="F243" s="40">
        <f>sumif('PLA Sheet'!C:C,B243,'PLA Sheet'!J:J)/D243*9</f>
        <v>3.373573392</v>
      </c>
      <c r="G243" s="41">
        <v>0.481842338</v>
      </c>
      <c r="H243" s="41">
        <v>0.170947741</v>
      </c>
      <c r="I243" s="41">
        <v>0.34720992</v>
      </c>
      <c r="J243" s="41">
        <f t="shared" si="1"/>
        <v>0.134632418</v>
      </c>
      <c r="K243" s="42">
        <v>1.006585875</v>
      </c>
    </row>
    <row r="244">
      <c r="A244" s="1" t="s">
        <v>280</v>
      </c>
      <c r="B244" s="38">
        <v>608032.0</v>
      </c>
      <c r="C244" s="38">
        <v>1001.0</v>
      </c>
      <c r="D244" s="39">
        <f>sumif('PLA Sheet'!C:C,B244,'PLA Sheet'!H:H)</f>
        <v>66</v>
      </c>
      <c r="E244" s="40">
        <v>5.062507148</v>
      </c>
      <c r="F244" s="40">
        <f>sumif('PLA Sheet'!C:C,B244,'PLA Sheet'!J:J)/D244*9</f>
        <v>3.233742545</v>
      </c>
      <c r="G244" s="41">
        <v>0.457542458</v>
      </c>
      <c r="H244" s="41">
        <v>0.186813187</v>
      </c>
      <c r="I244" s="41">
        <v>0.355644356</v>
      </c>
      <c r="J244" s="41">
        <f t="shared" si="1"/>
        <v>0.101898102</v>
      </c>
      <c r="K244" s="42">
        <v>9.664521263</v>
      </c>
    </row>
    <row r="245">
      <c r="A245" s="1" t="s">
        <v>344</v>
      </c>
      <c r="B245" s="38">
        <v>701542.0</v>
      </c>
      <c r="C245" s="38">
        <v>2726.0</v>
      </c>
      <c r="D245" s="39">
        <f>sumif('PLA Sheet'!C:C,B245,'PLA Sheet'!H:H)</f>
        <v>162.3333333</v>
      </c>
      <c r="E245" s="40">
        <v>5.062241914</v>
      </c>
      <c r="F245" s="40">
        <f>sumif('PLA Sheet'!C:C,B245,'PLA Sheet'!J:J)/D245*9</f>
        <v>3.440598025</v>
      </c>
      <c r="G245" s="41">
        <v>0.482024945</v>
      </c>
      <c r="H245" s="41">
        <v>0.162142333</v>
      </c>
      <c r="I245" s="41">
        <v>0.355832722</v>
      </c>
      <c r="J245" s="41">
        <f t="shared" si="1"/>
        <v>0.126192223</v>
      </c>
      <c r="K245" s="42">
        <v>-14.25269378</v>
      </c>
    </row>
    <row r="246">
      <c r="A246" s="1" t="s">
        <v>346</v>
      </c>
      <c r="B246" s="38">
        <v>660853.0</v>
      </c>
      <c r="C246" s="38">
        <v>1070.0</v>
      </c>
      <c r="D246" s="39">
        <f>sumif('PLA Sheet'!C:C,B246,'PLA Sheet'!H:H)</f>
        <v>66</v>
      </c>
      <c r="E246" s="40">
        <v>5.061540881</v>
      </c>
      <c r="F246" s="40">
        <f>sumif('PLA Sheet'!C:C,B246,'PLA Sheet'!J:J)/D246*9</f>
        <v>3.447800318</v>
      </c>
      <c r="G246" s="41">
        <v>0.445794393</v>
      </c>
      <c r="H246" s="41">
        <v>0.219626168</v>
      </c>
      <c r="I246" s="41">
        <v>0.334579439</v>
      </c>
      <c r="J246" s="41">
        <f t="shared" si="1"/>
        <v>0.111214954</v>
      </c>
      <c r="K246" s="42">
        <v>9.435167944</v>
      </c>
    </row>
    <row r="247">
      <c r="A247" s="1" t="s">
        <v>259</v>
      </c>
      <c r="B247" s="38">
        <v>663465.0</v>
      </c>
      <c r="C247" s="38">
        <v>966.0</v>
      </c>
      <c r="D247" s="39">
        <f>sumif('PLA Sheet'!C:C,B247,'PLA Sheet'!H:H)</f>
        <v>65</v>
      </c>
      <c r="E247" s="40">
        <v>5.060725568</v>
      </c>
      <c r="F247" s="40">
        <f>sumif('PLA Sheet'!C:C,B247,'PLA Sheet'!J:J)/D247*9</f>
        <v>3.127053738</v>
      </c>
      <c r="G247" s="41">
        <v>0.454451346</v>
      </c>
      <c r="H247" s="41">
        <v>0.196687371</v>
      </c>
      <c r="I247" s="41">
        <v>0.348861284</v>
      </c>
      <c r="J247" s="41">
        <f t="shared" si="1"/>
        <v>0.105590062</v>
      </c>
      <c r="K247" s="42">
        <v>6.270720096</v>
      </c>
    </row>
    <row r="248">
      <c r="A248" s="1" t="s">
        <v>356</v>
      </c>
      <c r="B248" s="38">
        <v>680732.0</v>
      </c>
      <c r="C248" s="38">
        <v>2290.0</v>
      </c>
      <c r="D248" s="39">
        <f>sumif('PLA Sheet'!C:C,B248,'PLA Sheet'!H:H)</f>
        <v>134.3333333</v>
      </c>
      <c r="E248" s="40">
        <v>5.060090001</v>
      </c>
      <c r="F248" s="40">
        <f>sumif('PLA Sheet'!C:C,B248,'PLA Sheet'!J:J)/D248*9</f>
        <v>3.487939258</v>
      </c>
      <c r="G248" s="41">
        <v>0.47510917</v>
      </c>
      <c r="H248" s="41">
        <v>0.178165939</v>
      </c>
      <c r="I248" s="41">
        <v>0.346724891</v>
      </c>
      <c r="J248" s="41">
        <f t="shared" si="1"/>
        <v>0.128384279</v>
      </c>
      <c r="K248" s="42">
        <v>-8.114184034</v>
      </c>
    </row>
    <row r="249">
      <c r="A249" s="1" t="s">
        <v>264</v>
      </c>
      <c r="B249" s="38">
        <v>669920.0</v>
      </c>
      <c r="C249" s="38">
        <v>1208.0</v>
      </c>
      <c r="D249" s="39">
        <f>sumif('PLA Sheet'!C:C,B249,'PLA Sheet'!H:H)</f>
        <v>77.33333334</v>
      </c>
      <c r="E249" s="40">
        <v>5.059421743</v>
      </c>
      <c r="F249" s="40">
        <f>sumif('PLA Sheet'!C:C,B249,'PLA Sheet'!J:J)/D249*9</f>
        <v>3.161592698</v>
      </c>
      <c r="G249" s="41">
        <v>0.471854305</v>
      </c>
      <c r="H249" s="41">
        <v>0.177152318</v>
      </c>
      <c r="I249" s="41">
        <v>0.350993377</v>
      </c>
      <c r="J249" s="41">
        <f t="shared" si="1"/>
        <v>0.120860928</v>
      </c>
      <c r="K249" s="42">
        <v>-1.107881616</v>
      </c>
    </row>
    <row r="250">
      <c r="A250" s="1" t="s">
        <v>185</v>
      </c>
      <c r="B250" s="38">
        <v>664076.0</v>
      </c>
      <c r="C250" s="38">
        <v>844.0</v>
      </c>
      <c r="D250" s="39">
        <f>sumif('PLA Sheet'!C:C,B250,'PLA Sheet'!H:H)</f>
        <v>61.33333333</v>
      </c>
      <c r="E250" s="40">
        <v>5.05883738</v>
      </c>
      <c r="F250" s="40">
        <f>sumif('PLA Sheet'!C:C,B250,'PLA Sheet'!J:J)/D250*9</f>
        <v>2.896871968</v>
      </c>
      <c r="G250" s="41">
        <v>0.507109005</v>
      </c>
      <c r="H250" s="41">
        <v>0.164691943</v>
      </c>
      <c r="I250" s="41">
        <v>0.328199052</v>
      </c>
      <c r="J250" s="41">
        <f t="shared" si="1"/>
        <v>0.178909953</v>
      </c>
      <c r="K250" s="42">
        <v>10.95376183</v>
      </c>
    </row>
    <row r="251">
      <c r="A251" s="1" t="s">
        <v>246</v>
      </c>
      <c r="B251" s="38">
        <v>571510.0</v>
      </c>
      <c r="C251" s="38">
        <v>2666.0</v>
      </c>
      <c r="D251" s="39">
        <f>sumif('PLA Sheet'!C:C,B251,'PLA Sheet'!H:H)</f>
        <v>179.6666667</v>
      </c>
      <c r="E251" s="40">
        <v>5.057511858</v>
      </c>
      <c r="F251" s="40">
        <f>sumif('PLA Sheet'!C:C,B251,'PLA Sheet'!J:J)/D251*9</f>
        <v>3.091238165</v>
      </c>
      <c r="G251" s="41">
        <v>0.469242311</v>
      </c>
      <c r="H251" s="41">
        <v>0.178544636</v>
      </c>
      <c r="I251" s="41">
        <v>0.352213053</v>
      </c>
      <c r="J251" s="41">
        <f t="shared" si="1"/>
        <v>0.117029258</v>
      </c>
      <c r="K251" s="42">
        <v>15.4579311</v>
      </c>
    </row>
    <row r="252">
      <c r="A252" s="1" t="s">
        <v>377</v>
      </c>
      <c r="B252" s="38">
        <v>695549.0</v>
      </c>
      <c r="C252" s="38">
        <v>854.0</v>
      </c>
      <c r="D252" s="39">
        <f>sumif('PLA Sheet'!C:C,B252,'PLA Sheet'!H:H)</f>
        <v>49</v>
      </c>
      <c r="E252" s="40">
        <v>5.056705251</v>
      </c>
      <c r="F252" s="40">
        <f>sumif('PLA Sheet'!C:C,B252,'PLA Sheet'!J:J)/D252*9</f>
        <v>3.623077286</v>
      </c>
      <c r="G252" s="41">
        <v>0.489461358</v>
      </c>
      <c r="H252" s="41">
        <v>0.175644028</v>
      </c>
      <c r="I252" s="41">
        <v>0.334894614</v>
      </c>
      <c r="J252" s="41">
        <f t="shared" si="1"/>
        <v>0.154566744</v>
      </c>
      <c r="K252" s="42">
        <v>-0.395351986</v>
      </c>
    </row>
    <row r="253">
      <c r="A253" s="1" t="s">
        <v>291</v>
      </c>
      <c r="B253" s="38">
        <v>656271.0</v>
      </c>
      <c r="C253" s="38">
        <v>982.0</v>
      </c>
      <c r="D253" s="39">
        <f>sumif('PLA Sheet'!C:C,B253,'PLA Sheet'!H:H)</f>
        <v>61.66666667</v>
      </c>
      <c r="E253" s="40">
        <v>5.056627316</v>
      </c>
      <c r="F253" s="40">
        <f>sumif('PLA Sheet'!C:C,B253,'PLA Sheet'!J:J)/D253*9</f>
        <v>3.267590205</v>
      </c>
      <c r="G253" s="41">
        <v>0.467413442</v>
      </c>
      <c r="H253" s="41">
        <v>0.200610998</v>
      </c>
      <c r="I253" s="41">
        <v>0.33197556</v>
      </c>
      <c r="J253" s="41">
        <f t="shared" si="1"/>
        <v>0.135437882</v>
      </c>
      <c r="K253" s="42">
        <v>8.211742919</v>
      </c>
    </row>
    <row r="254">
      <c r="A254" s="1" t="s">
        <v>311</v>
      </c>
      <c r="B254" s="38">
        <v>656546.0</v>
      </c>
      <c r="C254" s="38">
        <v>1092.0</v>
      </c>
      <c r="D254" s="39">
        <f>sumif('PLA Sheet'!C:C,B254,'PLA Sheet'!H:H)</f>
        <v>67.99999999</v>
      </c>
      <c r="E254" s="40">
        <v>5.055699612</v>
      </c>
      <c r="F254" s="40">
        <f>sumif('PLA Sheet'!C:C,B254,'PLA Sheet'!J:J)/D254*9</f>
        <v>3.35432753</v>
      </c>
      <c r="G254" s="41">
        <v>0.501831502</v>
      </c>
      <c r="H254" s="41">
        <v>0.156593407</v>
      </c>
      <c r="I254" s="41">
        <v>0.341575092</v>
      </c>
      <c r="J254" s="41">
        <f t="shared" si="1"/>
        <v>0.16025641</v>
      </c>
      <c r="K254" s="42">
        <v>-2.134135222</v>
      </c>
    </row>
    <row r="255">
      <c r="A255" s="1" t="s">
        <v>258</v>
      </c>
      <c r="B255" s="38">
        <v>676661.0</v>
      </c>
      <c r="C255" s="38">
        <v>617.0</v>
      </c>
      <c r="D255" s="39">
        <f>sumif('PLA Sheet'!C:C,B255,'PLA Sheet'!H:H)</f>
        <v>41.33333333</v>
      </c>
      <c r="E255" s="40">
        <v>5.05454892</v>
      </c>
      <c r="F255" s="40">
        <f>sumif('PLA Sheet'!C:C,B255,'PLA Sheet'!J:J)/D255*9</f>
        <v>3.125676557</v>
      </c>
      <c r="G255" s="41">
        <v>0.452188006</v>
      </c>
      <c r="H255" s="41">
        <v>0.186385737</v>
      </c>
      <c r="I255" s="41">
        <v>0.361426256</v>
      </c>
      <c r="J255" s="41">
        <f t="shared" si="1"/>
        <v>0.09076175</v>
      </c>
      <c r="K255" s="42">
        <v>-3.031038209</v>
      </c>
    </row>
    <row r="256">
      <c r="A256" s="1" t="s">
        <v>301</v>
      </c>
      <c r="B256" s="38">
        <v>656557.0</v>
      </c>
      <c r="C256" s="38">
        <v>733.0</v>
      </c>
      <c r="D256" s="39">
        <f>sumif('PLA Sheet'!C:C,B256,'PLA Sheet'!H:H)</f>
        <v>43.66666667</v>
      </c>
      <c r="E256" s="40">
        <v>5.05449026</v>
      </c>
      <c r="F256" s="40">
        <f>sumif('PLA Sheet'!C:C,B256,'PLA Sheet'!J:J)/D256*9</f>
        <v>3.305736343</v>
      </c>
      <c r="G256" s="41">
        <v>0.485675307</v>
      </c>
      <c r="H256" s="41">
        <v>0.137789905</v>
      </c>
      <c r="I256" s="41">
        <v>0.376534789</v>
      </c>
      <c r="J256" s="41">
        <f t="shared" si="1"/>
        <v>0.109140518</v>
      </c>
      <c r="K256" s="42">
        <v>-15.6746568</v>
      </c>
    </row>
    <row r="257">
      <c r="A257" s="1" t="s">
        <v>363</v>
      </c>
      <c r="B257" s="38">
        <v>693645.0</v>
      </c>
      <c r="C257" s="38">
        <v>1220.0</v>
      </c>
      <c r="D257" s="39">
        <f>sumif('PLA Sheet'!C:C,B257,'PLA Sheet'!H:H)</f>
        <v>72.99999999</v>
      </c>
      <c r="E257" s="40">
        <v>5.053946393</v>
      </c>
      <c r="F257" s="40">
        <f>sumif('PLA Sheet'!C:C,B257,'PLA Sheet'!J:J)/D257*9</f>
        <v>3.518011973</v>
      </c>
      <c r="G257" s="41">
        <v>0.491803279</v>
      </c>
      <c r="H257" s="41">
        <v>0.181147541</v>
      </c>
      <c r="I257" s="41">
        <v>0.32704918</v>
      </c>
      <c r="J257" s="41">
        <f t="shared" si="1"/>
        <v>0.164754099</v>
      </c>
      <c r="K257" s="42">
        <v>9.345761643</v>
      </c>
    </row>
    <row r="258">
      <c r="A258" s="1" t="s">
        <v>201</v>
      </c>
      <c r="B258" s="38">
        <v>675512.0</v>
      </c>
      <c r="C258" s="38">
        <v>628.0</v>
      </c>
      <c r="D258" s="39">
        <f>sumif('PLA Sheet'!C:C,B258,'PLA Sheet'!H:H)</f>
        <v>45.66666666</v>
      </c>
      <c r="E258" s="40">
        <v>5.053648947</v>
      </c>
      <c r="F258" s="40">
        <f>sumif('PLA Sheet'!C:C,B258,'PLA Sheet'!J:J)/D258*9</f>
        <v>2.928756022</v>
      </c>
      <c r="G258" s="41">
        <v>0.472929936</v>
      </c>
      <c r="H258" s="41">
        <v>0.222929936</v>
      </c>
      <c r="I258" s="41">
        <v>0.304140127</v>
      </c>
      <c r="J258" s="41">
        <f t="shared" si="1"/>
        <v>0.168789809</v>
      </c>
      <c r="K258" s="42">
        <v>5.864356154</v>
      </c>
    </row>
    <row r="259">
      <c r="A259" s="1" t="s">
        <v>179</v>
      </c>
      <c r="B259" s="38">
        <v>663568.0</v>
      </c>
      <c r="C259" s="38">
        <v>1548.0</v>
      </c>
      <c r="D259" s="39">
        <f>sumif('PLA Sheet'!C:C,B259,'PLA Sheet'!H:H)</f>
        <v>112.6666667</v>
      </c>
      <c r="E259" s="40">
        <v>5.05265225</v>
      </c>
      <c r="F259" s="40">
        <f>sumif('PLA Sheet'!C:C,B259,'PLA Sheet'!J:J)/D259*9</f>
        <v>2.88025871</v>
      </c>
      <c r="G259" s="41">
        <v>0.465762274</v>
      </c>
      <c r="H259" s="41">
        <v>0.180232558</v>
      </c>
      <c r="I259" s="41">
        <v>0.354005168</v>
      </c>
      <c r="J259" s="41">
        <f t="shared" si="1"/>
        <v>0.111757106</v>
      </c>
      <c r="K259" s="42">
        <v>4.754957374</v>
      </c>
    </row>
    <row r="260">
      <c r="A260" s="1" t="s">
        <v>370</v>
      </c>
      <c r="B260" s="38">
        <v>666661.0</v>
      </c>
      <c r="C260" s="38">
        <v>606.0</v>
      </c>
      <c r="D260" s="39">
        <f>sumif('PLA Sheet'!C:C,B260,'PLA Sheet'!H:H)</f>
        <v>34.33333333</v>
      </c>
      <c r="E260" s="40">
        <v>5.051691969</v>
      </c>
      <c r="F260" s="40">
        <f>sumif('PLA Sheet'!C:C,B260,'PLA Sheet'!J:J)/D260*9</f>
        <v>3.563647689</v>
      </c>
      <c r="G260" s="41">
        <v>0.48679868</v>
      </c>
      <c r="H260" s="41">
        <v>0.161716172</v>
      </c>
      <c r="I260" s="41">
        <v>0.351485149</v>
      </c>
      <c r="J260" s="41">
        <f t="shared" si="1"/>
        <v>0.135313531</v>
      </c>
      <c r="K260" s="42">
        <v>-3.797386426</v>
      </c>
    </row>
    <row r="261">
      <c r="A261" s="1" t="s">
        <v>361</v>
      </c>
      <c r="B261" s="38">
        <v>686563.0</v>
      </c>
      <c r="C261" s="38">
        <v>1737.0</v>
      </c>
      <c r="D261" s="39">
        <f>sumif('PLA Sheet'!C:C,B261,'PLA Sheet'!H:H)</f>
        <v>103.6666667</v>
      </c>
      <c r="E261" s="40">
        <v>5.051199702</v>
      </c>
      <c r="F261" s="40">
        <f>sumif('PLA Sheet'!C:C,B261,'PLA Sheet'!J:J)/D261*9</f>
        <v>3.512411421</v>
      </c>
      <c r="G261" s="41">
        <v>0.48244099</v>
      </c>
      <c r="H261" s="41">
        <v>0.169833045</v>
      </c>
      <c r="I261" s="41">
        <v>0.347725964</v>
      </c>
      <c r="J261" s="41">
        <f t="shared" si="1"/>
        <v>0.134715026</v>
      </c>
      <c r="K261" s="42">
        <v>-8.885830759</v>
      </c>
    </row>
    <row r="262">
      <c r="A262" s="1" t="s">
        <v>336</v>
      </c>
      <c r="B262" s="38">
        <v>605488.0</v>
      </c>
      <c r="C262" s="38">
        <v>2752.0</v>
      </c>
      <c r="D262" s="39">
        <f>sumif('PLA Sheet'!C:C,B262,'PLA Sheet'!H:H)</f>
        <v>171</v>
      </c>
      <c r="E262" s="40">
        <v>5.051136855</v>
      </c>
      <c r="F262" s="40">
        <f>sumif('PLA Sheet'!C:C,B262,'PLA Sheet'!J:J)/D262*9</f>
        <v>3.419079158</v>
      </c>
      <c r="G262" s="41">
        <v>0.473837209</v>
      </c>
      <c r="H262" s="41">
        <v>0.159520349</v>
      </c>
      <c r="I262" s="41">
        <v>0.366642442</v>
      </c>
      <c r="J262" s="41">
        <f t="shared" si="1"/>
        <v>0.107194767</v>
      </c>
      <c r="K262" s="42">
        <v>4.869233894</v>
      </c>
    </row>
    <row r="263">
      <c r="A263" s="1" t="s">
        <v>293</v>
      </c>
      <c r="B263" s="38">
        <v>663738.0</v>
      </c>
      <c r="C263" s="38">
        <v>1049.0</v>
      </c>
      <c r="D263" s="39">
        <f>sumif('PLA Sheet'!C:C,B263,'PLA Sheet'!H:H)</f>
        <v>67.66666667</v>
      </c>
      <c r="E263" s="40">
        <v>5.050687847</v>
      </c>
      <c r="F263" s="40">
        <f>sumif('PLA Sheet'!C:C,B263,'PLA Sheet'!J:J)/D263*9</f>
        <v>3.271021803</v>
      </c>
      <c r="G263" s="41">
        <v>0.474737846</v>
      </c>
      <c r="H263" s="41">
        <v>0.204003813</v>
      </c>
      <c r="I263" s="41">
        <v>0.321258341</v>
      </c>
      <c r="J263" s="41">
        <f t="shared" si="1"/>
        <v>0.153479505</v>
      </c>
      <c r="K263" s="42">
        <v>0.768902438</v>
      </c>
    </row>
    <row r="264">
      <c r="A264" s="1" t="s">
        <v>273</v>
      </c>
      <c r="B264" s="38">
        <v>667463.0</v>
      </c>
      <c r="C264" s="38">
        <v>764.0</v>
      </c>
      <c r="D264" s="39">
        <f>sumif('PLA Sheet'!C:C,B264,'PLA Sheet'!H:H)</f>
        <v>48.33333333</v>
      </c>
      <c r="E264" s="40">
        <v>5.050656716</v>
      </c>
      <c r="F264" s="40">
        <f>sumif('PLA Sheet'!C:C,B264,'PLA Sheet'!J:J)/D264*9</f>
        <v>3.193576759</v>
      </c>
      <c r="G264" s="41">
        <v>0.463350785</v>
      </c>
      <c r="H264" s="41">
        <v>0.196335079</v>
      </c>
      <c r="I264" s="41">
        <v>0.340314136</v>
      </c>
      <c r="J264" s="41">
        <f t="shared" si="1"/>
        <v>0.123036649</v>
      </c>
      <c r="K264" s="42">
        <v>-10.54565608</v>
      </c>
    </row>
    <row r="265">
      <c r="A265" s="1" t="s">
        <v>286</v>
      </c>
      <c r="B265" s="38">
        <v>695243.0</v>
      </c>
      <c r="C265" s="38">
        <v>951.0</v>
      </c>
      <c r="D265" s="39">
        <f>sumif('PLA Sheet'!C:C,B265,'PLA Sheet'!H:H)</f>
        <v>61.66666667</v>
      </c>
      <c r="E265" s="40">
        <v>5.050149545</v>
      </c>
      <c r="F265" s="40">
        <f>sumif('PLA Sheet'!C:C,B265,'PLA Sheet'!J:J)/D265*9</f>
        <v>3.250760594</v>
      </c>
      <c r="G265" s="41">
        <v>0.476340694</v>
      </c>
      <c r="H265" s="41">
        <v>0.16508938</v>
      </c>
      <c r="I265" s="41">
        <v>0.358569926</v>
      </c>
      <c r="J265" s="41">
        <f t="shared" si="1"/>
        <v>0.117770768</v>
      </c>
      <c r="K265" s="42">
        <v>15.60852237</v>
      </c>
    </row>
    <row r="266">
      <c r="A266" s="1" t="s">
        <v>268</v>
      </c>
      <c r="B266" s="38">
        <v>676395.0</v>
      </c>
      <c r="C266" s="38">
        <v>955.0</v>
      </c>
      <c r="D266" s="39">
        <f>sumif('PLA Sheet'!C:C,B266,'PLA Sheet'!H:H)</f>
        <v>64.00000001</v>
      </c>
      <c r="E266" s="40">
        <v>5.049905</v>
      </c>
      <c r="F266" s="40">
        <f>sumif('PLA Sheet'!C:C,B266,'PLA Sheet'!J:J)/D266*9</f>
        <v>3.165931547</v>
      </c>
      <c r="G266" s="41">
        <v>0.471204188</v>
      </c>
      <c r="H266" s="41">
        <v>0.189528796</v>
      </c>
      <c r="I266" s="41">
        <v>0.339267016</v>
      </c>
      <c r="J266" s="41">
        <f t="shared" si="1"/>
        <v>0.131937172</v>
      </c>
      <c r="K266" s="42">
        <v>0.592256678</v>
      </c>
    </row>
    <row r="267">
      <c r="A267" s="1" t="s">
        <v>244</v>
      </c>
      <c r="B267" s="38">
        <v>689266.0</v>
      </c>
      <c r="C267" s="38">
        <v>517.0</v>
      </c>
      <c r="D267" s="39">
        <f>sumif('PLA Sheet'!C:C,B267,'PLA Sheet'!H:H)</f>
        <v>35</v>
      </c>
      <c r="E267" s="40">
        <v>5.049616713</v>
      </c>
      <c r="F267" s="40">
        <f>sumif('PLA Sheet'!C:C,B267,'PLA Sheet'!J:J)/D267*9</f>
        <v>3.081664029</v>
      </c>
      <c r="G267" s="41">
        <v>0.442940039</v>
      </c>
      <c r="H267" s="41">
        <v>0.203094778</v>
      </c>
      <c r="I267" s="41">
        <v>0.353965184</v>
      </c>
      <c r="J267" s="41">
        <f t="shared" si="1"/>
        <v>0.088974855</v>
      </c>
      <c r="K267" s="42">
        <v>1.232097813</v>
      </c>
    </row>
    <row r="268">
      <c r="A268" s="1" t="s">
        <v>300</v>
      </c>
      <c r="B268" s="38">
        <v>506433.0</v>
      </c>
      <c r="C268" s="38">
        <v>1135.0</v>
      </c>
      <c r="D268" s="39">
        <f>sumif('PLA Sheet'!C:C,B268,'PLA Sheet'!H:H)</f>
        <v>72</v>
      </c>
      <c r="E268" s="40">
        <v>5.049583223</v>
      </c>
      <c r="F268" s="40">
        <f>sumif('PLA Sheet'!C:C,B268,'PLA Sheet'!J:J)/D268*9</f>
        <v>3.293323125</v>
      </c>
      <c r="G268" s="41">
        <v>0.472246696</v>
      </c>
      <c r="H268" s="41">
        <v>0.166519824</v>
      </c>
      <c r="I268" s="41">
        <v>0.36123348</v>
      </c>
      <c r="J268" s="41">
        <f t="shared" si="1"/>
        <v>0.111013216</v>
      </c>
      <c r="K268" s="42">
        <v>4.236792304</v>
      </c>
    </row>
    <row r="269">
      <c r="A269" s="1" t="s">
        <v>385</v>
      </c>
      <c r="B269" s="38">
        <v>666171.0</v>
      </c>
      <c r="C269" s="38">
        <v>1012.0</v>
      </c>
      <c r="D269" s="39">
        <f>sumif('PLA Sheet'!C:C,B269,'PLA Sheet'!H:H)</f>
        <v>57</v>
      </c>
      <c r="E269" s="40">
        <v>5.049561904</v>
      </c>
      <c r="F269" s="40">
        <f>sumif('PLA Sheet'!C:C,B269,'PLA Sheet'!J:J)/D269*9</f>
        <v>3.672726789</v>
      </c>
      <c r="G269" s="41">
        <v>0.481225296</v>
      </c>
      <c r="H269" s="41">
        <v>0.18083004</v>
      </c>
      <c r="I269" s="41">
        <v>0.337944664</v>
      </c>
      <c r="J269" s="41">
        <f t="shared" si="1"/>
        <v>0.143280632</v>
      </c>
      <c r="K269" s="42">
        <v>3.020301141</v>
      </c>
    </row>
    <row r="270">
      <c r="A270" s="1" t="s">
        <v>271</v>
      </c>
      <c r="B270" s="38">
        <v>606996.0</v>
      </c>
      <c r="C270" s="38">
        <v>670.0</v>
      </c>
      <c r="D270" s="39">
        <f>sumif('PLA Sheet'!C:C,B270,'PLA Sheet'!H:H)</f>
        <v>43</v>
      </c>
      <c r="E270" s="40">
        <v>5.048524969</v>
      </c>
      <c r="F270" s="40">
        <f>sumif('PLA Sheet'!C:C,B270,'PLA Sheet'!J:J)/D270*9</f>
        <v>3.181570535</v>
      </c>
      <c r="G270" s="41">
        <v>0.479104478</v>
      </c>
      <c r="H270" s="41">
        <v>0.162686567</v>
      </c>
      <c r="I270" s="41">
        <v>0.358208955</v>
      </c>
      <c r="J270" s="41">
        <f t="shared" si="1"/>
        <v>0.120895523</v>
      </c>
      <c r="K270" s="42">
        <v>0.723168185</v>
      </c>
    </row>
    <row r="271">
      <c r="A271" s="1" t="s">
        <v>298</v>
      </c>
      <c r="B271" s="38">
        <v>594902.0</v>
      </c>
      <c r="C271" s="38">
        <v>691.0</v>
      </c>
      <c r="D271" s="39">
        <f>sumif('PLA Sheet'!C:C,B271,'PLA Sheet'!H:H)</f>
        <v>44.66666667</v>
      </c>
      <c r="E271" s="40">
        <v>5.048313206</v>
      </c>
      <c r="F271" s="40">
        <f>sumif('PLA Sheet'!C:C,B271,'PLA Sheet'!J:J)/D271*9</f>
        <v>3.29177391</v>
      </c>
      <c r="G271" s="41">
        <v>0.476121563</v>
      </c>
      <c r="H271" s="41">
        <v>0.169319826</v>
      </c>
      <c r="I271" s="41">
        <v>0.354558611</v>
      </c>
      <c r="J271" s="41">
        <f t="shared" si="1"/>
        <v>0.121562952</v>
      </c>
      <c r="K271" s="42">
        <v>1.691706667</v>
      </c>
    </row>
    <row r="272">
      <c r="A272" s="1" t="s">
        <v>285</v>
      </c>
      <c r="B272" s="38">
        <v>607074.0</v>
      </c>
      <c r="C272" s="38">
        <v>3120.0</v>
      </c>
      <c r="D272" s="39">
        <f>sumif('PLA Sheet'!C:C,B272,'PLA Sheet'!H:H)</f>
        <v>195.3333333</v>
      </c>
      <c r="E272" s="40">
        <v>5.047125906</v>
      </c>
      <c r="F272" s="40">
        <f>sumif('PLA Sheet'!C:C,B272,'PLA Sheet'!J:J)/D272*9</f>
        <v>3.245967369</v>
      </c>
      <c r="G272" s="41">
        <v>0.491666667</v>
      </c>
      <c r="H272" s="41">
        <v>0.156089744</v>
      </c>
      <c r="I272" s="41">
        <v>0.35224359</v>
      </c>
      <c r="J272" s="41">
        <f t="shared" si="1"/>
        <v>0.139423077</v>
      </c>
      <c r="K272" s="42">
        <v>29.7422632</v>
      </c>
    </row>
    <row r="273">
      <c r="A273" s="1" t="s">
        <v>359</v>
      </c>
      <c r="B273" s="38">
        <v>672391.0</v>
      </c>
      <c r="C273" s="38">
        <v>748.0</v>
      </c>
      <c r="D273" s="39">
        <f>sumif('PLA Sheet'!C:C,B273,'PLA Sheet'!H:H)</f>
        <v>46</v>
      </c>
      <c r="E273" s="40">
        <v>5.045806126</v>
      </c>
      <c r="F273" s="40">
        <f>sumif('PLA Sheet'!C:C,B273,'PLA Sheet'!J:J)/D273*9</f>
        <v>3.491761305</v>
      </c>
      <c r="G273" s="41">
        <v>0.490641711</v>
      </c>
      <c r="H273" s="41">
        <v>0.14171123</v>
      </c>
      <c r="I273" s="41">
        <v>0.367647059</v>
      </c>
      <c r="J273" s="41">
        <f t="shared" si="1"/>
        <v>0.122994652</v>
      </c>
      <c r="K273" s="42">
        <v>-1.984541378</v>
      </c>
    </row>
    <row r="274">
      <c r="A274" s="1" t="s">
        <v>378</v>
      </c>
      <c r="B274" s="38">
        <v>681676.0</v>
      </c>
      <c r="C274" s="38">
        <v>506.0</v>
      </c>
      <c r="D274" s="39">
        <f>sumif('PLA Sheet'!C:C,B274,'PLA Sheet'!H:H)</f>
        <v>30.33333333</v>
      </c>
      <c r="E274" s="40">
        <v>5.045415806</v>
      </c>
      <c r="F274" s="40">
        <f>sumif('PLA Sheet'!C:C,B274,'PLA Sheet'!J:J)/D274*9</f>
        <v>3.623806484</v>
      </c>
      <c r="G274" s="41">
        <v>0.456521739</v>
      </c>
      <c r="H274" s="41">
        <v>0.209486166</v>
      </c>
      <c r="I274" s="41">
        <v>0.333992095</v>
      </c>
      <c r="J274" s="41">
        <f t="shared" si="1"/>
        <v>0.122529644</v>
      </c>
      <c r="K274" s="42">
        <v>-9.575185985</v>
      </c>
    </row>
    <row r="275">
      <c r="A275" s="1" t="s">
        <v>321</v>
      </c>
      <c r="B275" s="38">
        <v>607200.0</v>
      </c>
      <c r="C275" s="38">
        <v>2295.0</v>
      </c>
      <c r="D275" s="39">
        <f>sumif('PLA Sheet'!C:C,B275,'PLA Sheet'!H:H)</f>
        <v>141</v>
      </c>
      <c r="E275" s="40">
        <v>5.044852513</v>
      </c>
      <c r="F275" s="40">
        <f>sumif('PLA Sheet'!C:C,B275,'PLA Sheet'!J:J)/D275*9</f>
        <v>3.378800489</v>
      </c>
      <c r="G275" s="41">
        <v>0.450544662</v>
      </c>
      <c r="H275" s="41">
        <v>0.189978214</v>
      </c>
      <c r="I275" s="41">
        <v>0.359477124</v>
      </c>
      <c r="J275" s="41">
        <f t="shared" si="1"/>
        <v>0.091067538</v>
      </c>
      <c r="K275" s="42">
        <v>-3.203044943</v>
      </c>
    </row>
    <row r="276">
      <c r="A276" s="1" t="s">
        <v>247</v>
      </c>
      <c r="B276" s="38">
        <v>605540.0</v>
      </c>
      <c r="C276" s="38">
        <v>938.0</v>
      </c>
      <c r="D276" s="39">
        <f>sumif('PLA Sheet'!C:C,B276,'PLA Sheet'!H:H)</f>
        <v>64.66666667</v>
      </c>
      <c r="E276" s="40">
        <v>5.044022426</v>
      </c>
      <c r="F276" s="40">
        <f>sumif('PLA Sheet'!C:C,B276,'PLA Sheet'!J:J)/D276*9</f>
        <v>3.091850165</v>
      </c>
      <c r="G276" s="41">
        <v>0.460554371</v>
      </c>
      <c r="H276" s="41">
        <v>0.199360341</v>
      </c>
      <c r="I276" s="41">
        <v>0.340085288</v>
      </c>
      <c r="J276" s="41">
        <f t="shared" si="1"/>
        <v>0.120469083</v>
      </c>
      <c r="K276" s="42">
        <v>17.86623209</v>
      </c>
    </row>
    <row r="277">
      <c r="A277" s="1" t="s">
        <v>328</v>
      </c>
      <c r="B277" s="38">
        <v>663765.0</v>
      </c>
      <c r="C277" s="38">
        <v>607.0</v>
      </c>
      <c r="D277" s="39">
        <f>sumif('PLA Sheet'!C:C,B277,'PLA Sheet'!H:H)</f>
        <v>36.33333334</v>
      </c>
      <c r="E277" s="40">
        <v>5.043572692</v>
      </c>
      <c r="F277" s="40">
        <f>sumif('PLA Sheet'!C:C,B277,'PLA Sheet'!J:J)/D277*9</f>
        <v>3.396327027</v>
      </c>
      <c r="G277" s="41">
        <v>0.479406919</v>
      </c>
      <c r="H277" s="41">
        <v>0.161449753</v>
      </c>
      <c r="I277" s="41">
        <v>0.359143328</v>
      </c>
      <c r="J277" s="41">
        <f t="shared" si="1"/>
        <v>0.120263591</v>
      </c>
      <c r="K277" s="42">
        <v>-7.229743371</v>
      </c>
    </row>
    <row r="278">
      <c r="A278" s="1" t="s">
        <v>309</v>
      </c>
      <c r="B278" s="38">
        <v>660787.0</v>
      </c>
      <c r="C278" s="38">
        <v>576.0</v>
      </c>
      <c r="D278" s="39">
        <f>sumif('PLA Sheet'!C:C,B278,'PLA Sheet'!H:H)</f>
        <v>35.66666667</v>
      </c>
      <c r="E278" s="40">
        <v>5.043537931</v>
      </c>
      <c r="F278" s="40">
        <f>sumif('PLA Sheet'!C:C,B278,'PLA Sheet'!J:J)/D278*9</f>
        <v>3.35182214</v>
      </c>
      <c r="G278" s="41">
        <v>0.479166667</v>
      </c>
      <c r="H278" s="41">
        <v>0.173611111</v>
      </c>
      <c r="I278" s="41">
        <v>0.347222222</v>
      </c>
      <c r="J278" s="41">
        <f t="shared" si="1"/>
        <v>0.131944445</v>
      </c>
      <c r="K278" s="42">
        <v>3.908392094</v>
      </c>
    </row>
    <row r="279">
      <c r="A279" s="1" t="s">
        <v>217</v>
      </c>
      <c r="B279" s="38">
        <v>642701.0</v>
      </c>
      <c r="C279" s="38">
        <v>950.0</v>
      </c>
      <c r="D279" s="39">
        <f>sumif('PLA Sheet'!C:C,B279,'PLA Sheet'!H:H)</f>
        <v>70.33333333</v>
      </c>
      <c r="E279" s="40">
        <v>5.042923642</v>
      </c>
      <c r="F279" s="40">
        <f>sumif('PLA Sheet'!C:C,B279,'PLA Sheet'!J:J)/D279*9</f>
        <v>2.968128939</v>
      </c>
      <c r="G279" s="41">
        <v>0.457894737</v>
      </c>
      <c r="H279" s="41">
        <v>0.204210526</v>
      </c>
      <c r="I279" s="41">
        <v>0.337894737</v>
      </c>
      <c r="J279" s="41">
        <f t="shared" si="1"/>
        <v>0.12</v>
      </c>
      <c r="K279" s="42">
        <v>21.45594551</v>
      </c>
    </row>
    <row r="280">
      <c r="A280" s="1" t="s">
        <v>275</v>
      </c>
      <c r="B280" s="38">
        <v>693821.0</v>
      </c>
      <c r="C280" s="38">
        <v>2441.0</v>
      </c>
      <c r="D280" s="39">
        <f>sumif('PLA Sheet'!C:C,B280,'PLA Sheet'!H:H)</f>
        <v>156.3333333</v>
      </c>
      <c r="E280" s="40">
        <v>5.037934453</v>
      </c>
      <c r="F280" s="40">
        <f>sumif('PLA Sheet'!C:C,B280,'PLA Sheet'!J:J)/D280*9</f>
        <v>3.21557116</v>
      </c>
      <c r="G280" s="41">
        <v>0.443260959</v>
      </c>
      <c r="H280" s="41">
        <v>0.19459238</v>
      </c>
      <c r="I280" s="41">
        <v>0.362146661</v>
      </c>
      <c r="J280" s="41">
        <f t="shared" si="1"/>
        <v>0.081114298</v>
      </c>
      <c r="K280" s="42">
        <v>-11.04753823</v>
      </c>
    </row>
    <row r="281">
      <c r="A281" s="1" t="s">
        <v>357</v>
      </c>
      <c r="B281" s="38">
        <v>829272.0</v>
      </c>
      <c r="C281" s="38">
        <v>642.0</v>
      </c>
      <c r="D281" s="39">
        <f>sumif('PLA Sheet'!C:C,B281,'PLA Sheet'!H:H)</f>
        <v>38.66666667</v>
      </c>
      <c r="E281" s="40">
        <v>5.036158077</v>
      </c>
      <c r="F281" s="40">
        <f>sumif('PLA Sheet'!C:C,B281,'PLA Sheet'!J:J)/D281*9</f>
        <v>3.488611112</v>
      </c>
      <c r="G281" s="41">
        <v>0.492211838</v>
      </c>
      <c r="H281" s="41">
        <v>0.141744548</v>
      </c>
      <c r="I281" s="41">
        <v>0.366043614</v>
      </c>
      <c r="J281" s="41">
        <f t="shared" si="1"/>
        <v>0.126168224</v>
      </c>
      <c r="K281" s="42">
        <v>-1.98793629</v>
      </c>
    </row>
    <row r="282">
      <c r="A282" s="1" t="s">
        <v>376</v>
      </c>
      <c r="B282" s="38">
        <v>668909.0</v>
      </c>
      <c r="C282" s="38">
        <v>2826.0</v>
      </c>
      <c r="D282" s="39">
        <f>sumif('PLA Sheet'!C:C,B282,'PLA Sheet'!H:H)</f>
        <v>167.6666667</v>
      </c>
      <c r="E282" s="40">
        <v>5.036044395</v>
      </c>
      <c r="F282" s="40">
        <f>sumif('PLA Sheet'!C:C,B282,'PLA Sheet'!J:J)/D282*9</f>
        <v>3.596653789</v>
      </c>
      <c r="G282" s="41">
        <v>0.472045294</v>
      </c>
      <c r="H282" s="41">
        <v>0.186128804</v>
      </c>
      <c r="I282" s="41">
        <v>0.341825902</v>
      </c>
      <c r="J282" s="41">
        <f t="shared" si="1"/>
        <v>0.130219392</v>
      </c>
      <c r="K282" s="42">
        <v>25.4251123</v>
      </c>
    </row>
    <row r="283">
      <c r="A283" s="1" t="s">
        <v>382</v>
      </c>
      <c r="B283" s="38">
        <v>656288.0</v>
      </c>
      <c r="C283" s="38">
        <v>1298.0</v>
      </c>
      <c r="D283" s="39">
        <f>sumif('PLA Sheet'!C:C,B283,'PLA Sheet'!H:H)</f>
        <v>76.33333334</v>
      </c>
      <c r="E283" s="40">
        <v>5.035463947</v>
      </c>
      <c r="F283" s="40">
        <f>sumif('PLA Sheet'!C:C,B283,'PLA Sheet'!J:J)/D283*9</f>
        <v>3.652114794</v>
      </c>
      <c r="G283" s="41">
        <v>0.463020031</v>
      </c>
      <c r="H283" s="41">
        <v>0.186440678</v>
      </c>
      <c r="I283" s="41">
        <v>0.350539291</v>
      </c>
      <c r="J283" s="41">
        <f t="shared" si="1"/>
        <v>0.11248074</v>
      </c>
      <c r="K283" s="42">
        <v>8.413991353</v>
      </c>
    </row>
    <row r="284">
      <c r="A284" s="1" t="s">
        <v>386</v>
      </c>
      <c r="B284" s="38">
        <v>656731.0</v>
      </c>
      <c r="C284" s="38">
        <v>1207.0</v>
      </c>
      <c r="D284" s="39">
        <f>sumif('PLA Sheet'!C:C,B284,'PLA Sheet'!H:H)</f>
        <v>68.33333334</v>
      </c>
      <c r="E284" s="40">
        <v>5.033816358</v>
      </c>
      <c r="F284" s="40">
        <f>sumif('PLA Sheet'!C:C,B284,'PLA Sheet'!J:J)/D284*9</f>
        <v>3.68465918</v>
      </c>
      <c r="G284" s="41">
        <v>0.483015742</v>
      </c>
      <c r="H284" s="41">
        <v>0.164043082</v>
      </c>
      <c r="I284" s="41">
        <v>0.352941176</v>
      </c>
      <c r="J284" s="41">
        <f t="shared" si="1"/>
        <v>0.130074566</v>
      </c>
      <c r="K284" s="42">
        <v>4.225040262</v>
      </c>
    </row>
    <row r="285">
      <c r="A285" s="1" t="s">
        <v>364</v>
      </c>
      <c r="B285" s="38">
        <v>693855.0</v>
      </c>
      <c r="C285" s="38">
        <v>959.0</v>
      </c>
      <c r="D285" s="39">
        <f>sumif('PLA Sheet'!C:C,B285,'PLA Sheet'!H:H)</f>
        <v>57</v>
      </c>
      <c r="E285" s="40">
        <v>5.031917292</v>
      </c>
      <c r="F285" s="40">
        <f>sumif('PLA Sheet'!C:C,B285,'PLA Sheet'!J:J)/D285*9</f>
        <v>3.521728579</v>
      </c>
      <c r="G285" s="41">
        <v>0.45464025</v>
      </c>
      <c r="H285" s="41">
        <v>0.182481752</v>
      </c>
      <c r="I285" s="41">
        <v>0.362877998</v>
      </c>
      <c r="J285" s="41">
        <f t="shared" si="1"/>
        <v>0.091762252</v>
      </c>
      <c r="K285" s="42">
        <v>12.78024223</v>
      </c>
    </row>
    <row r="286">
      <c r="A286" s="1" t="s">
        <v>362</v>
      </c>
      <c r="B286" s="38">
        <v>573124.0</v>
      </c>
      <c r="C286" s="38">
        <v>867.0</v>
      </c>
      <c r="D286" s="39">
        <f>sumif('PLA Sheet'!C:C,B286,'PLA Sheet'!H:H)</f>
        <v>50.66666667</v>
      </c>
      <c r="E286" s="40">
        <v>5.031869381</v>
      </c>
      <c r="F286" s="40">
        <f>sumif('PLA Sheet'!C:C,B286,'PLA Sheet'!J:J)/D286*9</f>
        <v>3.515188263</v>
      </c>
      <c r="G286" s="41">
        <v>0.490196078</v>
      </c>
      <c r="H286" s="41">
        <v>0.15916955</v>
      </c>
      <c r="I286" s="41">
        <v>0.350634371</v>
      </c>
      <c r="J286" s="41">
        <f t="shared" si="1"/>
        <v>0.139561707</v>
      </c>
      <c r="K286" s="42">
        <v>1.602462795</v>
      </c>
    </row>
    <row r="287">
      <c r="A287" s="1" t="s">
        <v>214</v>
      </c>
      <c r="B287" s="38">
        <v>674444.0</v>
      </c>
      <c r="C287" s="38">
        <v>626.0</v>
      </c>
      <c r="D287" s="39">
        <f>sumif('PLA Sheet'!C:C,B287,'PLA Sheet'!H:H)</f>
        <v>45.66666666</v>
      </c>
      <c r="E287" s="40">
        <v>5.030877688</v>
      </c>
      <c r="F287" s="40">
        <f>sumif('PLA Sheet'!C:C,B287,'PLA Sheet'!J:J)/D287*9</f>
        <v>2.964621876</v>
      </c>
      <c r="G287" s="41">
        <v>0.474440895</v>
      </c>
      <c r="H287" s="41">
        <v>0.164536741</v>
      </c>
      <c r="I287" s="41">
        <v>0.361022364</v>
      </c>
      <c r="J287" s="41">
        <f t="shared" si="1"/>
        <v>0.113418531</v>
      </c>
      <c r="K287" s="42">
        <v>-0.284990327</v>
      </c>
    </row>
    <row r="288">
      <c r="A288" s="1" t="s">
        <v>315</v>
      </c>
      <c r="B288" s="38">
        <v>680755.0</v>
      </c>
      <c r="C288" s="38">
        <v>811.0</v>
      </c>
      <c r="D288" s="39">
        <f>sumif('PLA Sheet'!C:C,B288,'PLA Sheet'!H:H)</f>
        <v>50.00000001</v>
      </c>
      <c r="E288" s="40">
        <v>5.02996822</v>
      </c>
      <c r="F288" s="40">
        <f>sumif('PLA Sheet'!C:C,B288,'PLA Sheet'!J:J)/D288*9</f>
        <v>3.36425292</v>
      </c>
      <c r="G288" s="41">
        <v>0.4648582</v>
      </c>
      <c r="H288" s="41">
        <v>0.162762022</v>
      </c>
      <c r="I288" s="41">
        <v>0.372379778</v>
      </c>
      <c r="J288" s="41">
        <f t="shared" si="1"/>
        <v>0.092478422</v>
      </c>
      <c r="K288" s="42">
        <v>8.406961056</v>
      </c>
    </row>
    <row r="289">
      <c r="A289" s="1" t="s">
        <v>330</v>
      </c>
      <c r="B289" s="38">
        <v>680730.0</v>
      </c>
      <c r="C289" s="38">
        <v>2599.0</v>
      </c>
      <c r="D289" s="39">
        <f>sumif('PLA Sheet'!C:C,B289,'PLA Sheet'!H:H)</f>
        <v>164.6666667</v>
      </c>
      <c r="E289" s="40">
        <v>5.029367828</v>
      </c>
      <c r="F289" s="40">
        <f>sumif('PLA Sheet'!C:C,B289,'PLA Sheet'!J:J)/D289*9</f>
        <v>3.397757229</v>
      </c>
      <c r="G289" s="41">
        <v>0.460946518</v>
      </c>
      <c r="H289" s="41">
        <v>0.183147364</v>
      </c>
      <c r="I289" s="41">
        <v>0.355906118</v>
      </c>
      <c r="J289" s="41">
        <f t="shared" si="1"/>
        <v>0.1050404</v>
      </c>
      <c r="K289" s="42">
        <v>-20.69651434</v>
      </c>
    </row>
    <row r="290">
      <c r="A290" s="1" t="s">
        <v>287</v>
      </c>
      <c r="B290" s="38">
        <v>571945.0</v>
      </c>
      <c r="C290" s="38">
        <v>2400.0</v>
      </c>
      <c r="D290" s="39">
        <f>sumif('PLA Sheet'!C:C,B290,'PLA Sheet'!H:H)</f>
        <v>156.3333333</v>
      </c>
      <c r="E290" s="40">
        <v>5.02871773</v>
      </c>
      <c r="F290" s="40">
        <f>sumif('PLA Sheet'!C:C,B290,'PLA Sheet'!J:J)/D290*9</f>
        <v>3.251103218</v>
      </c>
      <c r="G290" s="41">
        <v>0.433333333</v>
      </c>
      <c r="H290" s="41">
        <v>0.217916667</v>
      </c>
      <c r="I290" s="41">
        <v>0.34875</v>
      </c>
      <c r="J290" s="41">
        <f t="shared" si="1"/>
        <v>0.084583333</v>
      </c>
      <c r="K290" s="42">
        <v>0.868438129</v>
      </c>
    </row>
    <row r="291">
      <c r="A291" s="1" t="s">
        <v>302</v>
      </c>
      <c r="B291" s="38">
        <v>681190.0</v>
      </c>
      <c r="C291" s="38">
        <v>2084.0</v>
      </c>
      <c r="D291" s="39">
        <f>sumif('PLA Sheet'!C:C,B291,'PLA Sheet'!H:H)</f>
        <v>133.6666667</v>
      </c>
      <c r="E291" s="40">
        <v>5.026891539</v>
      </c>
      <c r="F291" s="40">
        <f>sumif('PLA Sheet'!C:C,B291,'PLA Sheet'!J:J)/D291*9</f>
        <v>3.306492247</v>
      </c>
      <c r="G291" s="41">
        <v>0.459213052</v>
      </c>
      <c r="H291" s="41">
        <v>0.195777351</v>
      </c>
      <c r="I291" s="41">
        <v>0.345009597</v>
      </c>
      <c r="J291" s="41">
        <f t="shared" si="1"/>
        <v>0.114203455</v>
      </c>
      <c r="K291" s="42">
        <v>15.09694156</v>
      </c>
    </row>
    <row r="292">
      <c r="A292" s="1" t="s">
        <v>374</v>
      </c>
      <c r="B292" s="38">
        <v>683004.0</v>
      </c>
      <c r="C292" s="38">
        <v>2526.0</v>
      </c>
      <c r="D292" s="39">
        <f>sumif('PLA Sheet'!C:C,B292,'PLA Sheet'!H:H)</f>
        <v>151.6666667</v>
      </c>
      <c r="E292" s="40">
        <v>5.025347579</v>
      </c>
      <c r="F292" s="40">
        <f>sumif('PLA Sheet'!C:C,B292,'PLA Sheet'!J:J)/D292*9</f>
        <v>3.588203868</v>
      </c>
      <c r="G292" s="41">
        <v>0.489311164</v>
      </c>
      <c r="H292" s="41">
        <v>0.150831354</v>
      </c>
      <c r="I292" s="41">
        <v>0.359857482</v>
      </c>
      <c r="J292" s="41">
        <f t="shared" si="1"/>
        <v>0.129453682</v>
      </c>
      <c r="K292" s="42">
        <v>1.99673277</v>
      </c>
    </row>
    <row r="293">
      <c r="A293" s="1" t="s">
        <v>392</v>
      </c>
      <c r="B293" s="38">
        <v>489446.0</v>
      </c>
      <c r="C293" s="38">
        <v>740.0</v>
      </c>
      <c r="D293" s="39">
        <f>sumif('PLA Sheet'!C:C,B293,'PLA Sheet'!H:H)</f>
        <v>41.33333333</v>
      </c>
      <c r="E293" s="40">
        <v>5.024561598</v>
      </c>
      <c r="F293" s="40">
        <f>sumif('PLA Sheet'!C:C,B293,'PLA Sheet'!J:J)/D293*9</f>
        <v>3.898519766</v>
      </c>
      <c r="G293" s="41">
        <v>0.481081081</v>
      </c>
      <c r="H293" s="41">
        <v>0.185135135</v>
      </c>
      <c r="I293" s="41">
        <v>0.333783784</v>
      </c>
      <c r="J293" s="41">
        <f t="shared" si="1"/>
        <v>0.147297297</v>
      </c>
      <c r="K293" s="42">
        <v>3.179960334</v>
      </c>
    </row>
    <row r="294">
      <c r="A294" s="1" t="s">
        <v>366</v>
      </c>
      <c r="B294" s="38">
        <v>656550.0</v>
      </c>
      <c r="C294" s="38">
        <v>1911.0</v>
      </c>
      <c r="D294" s="39">
        <f>sumif('PLA Sheet'!C:C,B294,'PLA Sheet'!H:H)</f>
        <v>115</v>
      </c>
      <c r="E294" s="40">
        <v>5.024123918</v>
      </c>
      <c r="F294" s="40">
        <f>sumif('PLA Sheet'!C:C,B294,'PLA Sheet'!J:J)/D294*9</f>
        <v>3.532396304</v>
      </c>
      <c r="G294" s="41">
        <v>0.458398744</v>
      </c>
      <c r="H294" s="41">
        <v>0.201465201</v>
      </c>
      <c r="I294" s="41">
        <v>0.340136054</v>
      </c>
      <c r="J294" s="41">
        <f t="shared" si="1"/>
        <v>0.11826269</v>
      </c>
      <c r="K294" s="42">
        <v>14.89588369</v>
      </c>
    </row>
    <row r="295">
      <c r="A295" s="1" t="s">
        <v>329</v>
      </c>
      <c r="B295" s="38">
        <v>669160.0</v>
      </c>
      <c r="C295" s="38">
        <v>2117.0</v>
      </c>
      <c r="D295" s="39">
        <f>sumif('PLA Sheet'!C:C,B295,'PLA Sheet'!H:H)</f>
        <v>132.3333333</v>
      </c>
      <c r="E295" s="40">
        <v>5.022420503</v>
      </c>
      <c r="F295" s="40">
        <f>sumif('PLA Sheet'!C:C,B295,'PLA Sheet'!J:J)/D295*9</f>
        <v>3.397075118</v>
      </c>
      <c r="G295" s="41">
        <v>0.482286254</v>
      </c>
      <c r="H295" s="41">
        <v>0.157298063</v>
      </c>
      <c r="I295" s="41">
        <v>0.360415683</v>
      </c>
      <c r="J295" s="41">
        <f t="shared" si="1"/>
        <v>0.121870571</v>
      </c>
      <c r="K295" s="42">
        <v>-13.44201385</v>
      </c>
    </row>
    <row r="296">
      <c r="A296" s="1" t="s">
        <v>360</v>
      </c>
      <c r="B296" s="38">
        <v>605452.0</v>
      </c>
      <c r="C296" s="38">
        <v>844.0</v>
      </c>
      <c r="D296" s="39">
        <f>sumif('PLA Sheet'!C:C,B296,'PLA Sheet'!H:H)</f>
        <v>51</v>
      </c>
      <c r="E296" s="40">
        <v>5.022304617</v>
      </c>
      <c r="F296" s="40">
        <f>sumif('PLA Sheet'!C:C,B296,'PLA Sheet'!J:J)/D296*9</f>
        <v>3.495934588</v>
      </c>
      <c r="G296" s="41">
        <v>0.440758294</v>
      </c>
      <c r="H296" s="41">
        <v>0.206161137</v>
      </c>
      <c r="I296" s="41">
        <v>0.353080569</v>
      </c>
      <c r="J296" s="41">
        <f t="shared" si="1"/>
        <v>0.087677725</v>
      </c>
      <c r="K296" s="42">
        <v>-0.001713453</v>
      </c>
    </row>
    <row r="297">
      <c r="A297" s="1" t="s">
        <v>327</v>
      </c>
      <c r="B297" s="38">
        <v>621242.0</v>
      </c>
      <c r="C297" s="38">
        <v>1037.0</v>
      </c>
      <c r="D297" s="39">
        <f>sumif('PLA Sheet'!C:C,B297,'PLA Sheet'!H:H)</f>
        <v>66.33333334</v>
      </c>
      <c r="E297" s="40">
        <v>5.021398727</v>
      </c>
      <c r="F297" s="40">
        <f>sumif('PLA Sheet'!C:C,B297,'PLA Sheet'!J:J)/D297*9</f>
        <v>3.39326516</v>
      </c>
      <c r="G297" s="41">
        <v>0.478302797</v>
      </c>
      <c r="H297" s="41">
        <v>0.141755063</v>
      </c>
      <c r="I297" s="41">
        <v>0.379942141</v>
      </c>
      <c r="J297" s="41">
        <f t="shared" si="1"/>
        <v>0.098360656</v>
      </c>
      <c r="K297" s="42">
        <v>11.74993589</v>
      </c>
    </row>
    <row r="298">
      <c r="A298" s="1" t="s">
        <v>379</v>
      </c>
      <c r="B298" s="38">
        <v>593423.0</v>
      </c>
      <c r="C298" s="38">
        <v>682.0</v>
      </c>
      <c r="D298" s="39">
        <f>sumif('PLA Sheet'!C:C,B298,'PLA Sheet'!H:H)</f>
        <v>38.66666667</v>
      </c>
      <c r="E298" s="40">
        <v>5.021305745</v>
      </c>
      <c r="F298" s="40">
        <f>sumif('PLA Sheet'!C:C,B298,'PLA Sheet'!J:J)/D298*9</f>
        <v>3.644457207</v>
      </c>
      <c r="G298" s="41">
        <v>0.428152493</v>
      </c>
      <c r="H298" s="41">
        <v>0.227272727</v>
      </c>
      <c r="I298" s="41">
        <v>0.34457478</v>
      </c>
      <c r="J298" s="41">
        <f t="shared" si="1"/>
        <v>0.083577713</v>
      </c>
      <c r="K298" s="42">
        <v>-4.508344792</v>
      </c>
    </row>
    <row r="299">
      <c r="A299" s="1" t="s">
        <v>353</v>
      </c>
      <c r="B299" s="38">
        <v>663903.0</v>
      </c>
      <c r="C299" s="38">
        <v>2785.0</v>
      </c>
      <c r="D299" s="39">
        <f>sumif('PLA Sheet'!C:C,B299,'PLA Sheet'!H:H)</f>
        <v>169.6666667</v>
      </c>
      <c r="E299" s="40">
        <v>5.019720246</v>
      </c>
      <c r="F299" s="40">
        <f>sumif('PLA Sheet'!C:C,B299,'PLA Sheet'!J:J)/D299*9</f>
        <v>3.47927087</v>
      </c>
      <c r="G299" s="41">
        <v>0.466786355</v>
      </c>
      <c r="H299" s="41">
        <v>0.181328546</v>
      </c>
      <c r="I299" s="41">
        <v>0.351885099</v>
      </c>
      <c r="J299" s="41">
        <f t="shared" si="1"/>
        <v>0.114901256</v>
      </c>
      <c r="K299" s="42">
        <v>10.99405747</v>
      </c>
    </row>
    <row r="300">
      <c r="A300" s="1" t="s">
        <v>314</v>
      </c>
      <c r="B300" s="38">
        <v>669854.0</v>
      </c>
      <c r="C300" s="38">
        <v>778.0</v>
      </c>
      <c r="D300" s="39">
        <f>sumif('PLA Sheet'!C:C,B300,'PLA Sheet'!H:H)</f>
        <v>48.33333333</v>
      </c>
      <c r="E300" s="40">
        <v>5.018983062</v>
      </c>
      <c r="F300" s="40">
        <f>sumif('PLA Sheet'!C:C,B300,'PLA Sheet'!J:J)/D300*9</f>
        <v>3.360064903</v>
      </c>
      <c r="G300" s="41">
        <v>0.455012853</v>
      </c>
      <c r="H300" s="41">
        <v>0.186375321</v>
      </c>
      <c r="I300" s="41">
        <v>0.358611825</v>
      </c>
      <c r="J300" s="41">
        <f t="shared" si="1"/>
        <v>0.096401028</v>
      </c>
      <c r="K300" s="42">
        <v>5.269666754</v>
      </c>
    </row>
    <row r="301">
      <c r="A301" s="1" t="s">
        <v>367</v>
      </c>
      <c r="B301" s="38">
        <v>685126.0</v>
      </c>
      <c r="C301" s="38">
        <v>1183.0</v>
      </c>
      <c r="D301" s="39">
        <f>sumif('PLA Sheet'!C:C,B301,'PLA Sheet'!H:H)</f>
        <v>69.66666667</v>
      </c>
      <c r="E301" s="40">
        <v>5.017815039</v>
      </c>
      <c r="F301" s="40">
        <f>sumif('PLA Sheet'!C:C,B301,'PLA Sheet'!J:J)/D301*9</f>
        <v>3.546303115</v>
      </c>
      <c r="G301" s="41">
        <v>0.453085376</v>
      </c>
      <c r="H301" s="41">
        <v>0.169061708</v>
      </c>
      <c r="I301" s="41">
        <v>0.377852916</v>
      </c>
      <c r="J301" s="41">
        <f t="shared" si="1"/>
        <v>0.07523246</v>
      </c>
      <c r="K301" s="42">
        <v>-15.4733088</v>
      </c>
    </row>
    <row r="302">
      <c r="A302" s="1" t="s">
        <v>322</v>
      </c>
      <c r="B302" s="38">
        <v>678368.0</v>
      </c>
      <c r="C302" s="38">
        <v>1287.0</v>
      </c>
      <c r="D302" s="39">
        <f>sumif('PLA Sheet'!C:C,B302,'PLA Sheet'!H:H)</f>
        <v>81.33333335</v>
      </c>
      <c r="E302" s="40">
        <v>5.017281141</v>
      </c>
      <c r="F302" s="40">
        <f>sumif('PLA Sheet'!C:C,B302,'PLA Sheet'!J:J)/D302*9</f>
        <v>3.379704971</v>
      </c>
      <c r="G302" s="41">
        <v>0.455322455</v>
      </c>
      <c r="H302" s="41">
        <v>0.192696193</v>
      </c>
      <c r="I302" s="41">
        <v>0.351981352</v>
      </c>
      <c r="J302" s="41">
        <f t="shared" si="1"/>
        <v>0.103341103</v>
      </c>
      <c r="K302" s="42">
        <v>-4.167744626</v>
      </c>
    </row>
    <row r="303">
      <c r="A303" s="1" t="s">
        <v>308</v>
      </c>
      <c r="B303" s="38">
        <v>676440.0</v>
      </c>
      <c r="C303" s="38">
        <v>2891.0</v>
      </c>
      <c r="D303" s="39">
        <f>sumif('PLA Sheet'!C:C,B303,'PLA Sheet'!H:H)</f>
        <v>182.3333333</v>
      </c>
      <c r="E303" s="40">
        <v>5.017119725</v>
      </c>
      <c r="F303" s="40">
        <f>sumif('PLA Sheet'!C:C,B303,'PLA Sheet'!J:J)/D303*9</f>
        <v>3.347248047</v>
      </c>
      <c r="G303" s="41">
        <v>0.461086129</v>
      </c>
      <c r="H303" s="41">
        <v>0.175371844</v>
      </c>
      <c r="I303" s="41">
        <v>0.363542027</v>
      </c>
      <c r="J303" s="41">
        <f t="shared" si="1"/>
        <v>0.097544102</v>
      </c>
      <c r="K303" s="42">
        <v>10.48862461</v>
      </c>
    </row>
    <row r="304">
      <c r="A304" s="1" t="s">
        <v>369</v>
      </c>
      <c r="B304" s="38">
        <v>596295.0</v>
      </c>
      <c r="C304" s="38">
        <v>953.0</v>
      </c>
      <c r="D304" s="39">
        <f>sumif('PLA Sheet'!C:C,B304,'PLA Sheet'!H:H)</f>
        <v>57.66666666</v>
      </c>
      <c r="E304" s="40">
        <v>5.017052468</v>
      </c>
      <c r="F304" s="40">
        <f>sumif('PLA Sheet'!C:C,B304,'PLA Sheet'!J:J)/D304*9</f>
        <v>3.56267107</v>
      </c>
      <c r="G304" s="41">
        <v>0.445960126</v>
      </c>
      <c r="H304" s="41">
        <v>0.193074502</v>
      </c>
      <c r="I304" s="41">
        <v>0.360965373</v>
      </c>
      <c r="J304" s="41">
        <f t="shared" si="1"/>
        <v>0.084994753</v>
      </c>
      <c r="K304" s="42">
        <v>-16.70311712</v>
      </c>
    </row>
    <row r="305">
      <c r="A305" s="1" t="s">
        <v>320</v>
      </c>
      <c r="B305" s="38">
        <v>681347.0</v>
      </c>
      <c r="C305" s="38">
        <v>1482.0</v>
      </c>
      <c r="D305" s="39">
        <f>sumif('PLA Sheet'!C:C,B305,'PLA Sheet'!H:H)</f>
        <v>95.99999999</v>
      </c>
      <c r="E305" s="40">
        <v>5.015761076</v>
      </c>
      <c r="F305" s="40">
        <f>sumif('PLA Sheet'!C:C,B305,'PLA Sheet'!J:J)/D305*9</f>
        <v>3.378403219</v>
      </c>
      <c r="G305" s="41">
        <v>0.453441296</v>
      </c>
      <c r="H305" s="41">
        <v>0.18488529</v>
      </c>
      <c r="I305" s="41">
        <v>0.361673414</v>
      </c>
      <c r="J305" s="41">
        <f t="shared" si="1"/>
        <v>0.091767882</v>
      </c>
      <c r="K305" s="42">
        <v>1.445306521</v>
      </c>
    </row>
    <row r="306">
      <c r="A306" s="1" t="s">
        <v>387</v>
      </c>
      <c r="B306" s="38">
        <v>669060.0</v>
      </c>
      <c r="C306" s="38">
        <v>831.0</v>
      </c>
      <c r="D306" s="39">
        <f>sumif('PLA Sheet'!C:C,B306,'PLA Sheet'!H:H)</f>
        <v>47.33333333</v>
      </c>
      <c r="E306" s="40">
        <v>5.015538698</v>
      </c>
      <c r="F306" s="40">
        <f>sumif('PLA Sheet'!C:C,B306,'PLA Sheet'!J:J)/D306*9</f>
        <v>3.687782451</v>
      </c>
      <c r="G306" s="41">
        <v>0.470517449</v>
      </c>
      <c r="H306" s="41">
        <v>0.181708785</v>
      </c>
      <c r="I306" s="41">
        <v>0.347773767</v>
      </c>
      <c r="J306" s="41">
        <f t="shared" si="1"/>
        <v>0.122743682</v>
      </c>
      <c r="K306" s="42">
        <v>-11.83402398</v>
      </c>
    </row>
    <row r="307">
      <c r="A307" s="1" t="s">
        <v>260</v>
      </c>
      <c r="B307" s="38">
        <v>694462.0</v>
      </c>
      <c r="C307" s="38">
        <v>831.0</v>
      </c>
      <c r="D307" s="39">
        <f>sumif('PLA Sheet'!C:C,B307,'PLA Sheet'!H:H)</f>
        <v>56.33333334</v>
      </c>
      <c r="E307" s="40">
        <v>5.015075868</v>
      </c>
      <c r="F307" s="40">
        <f>sumif('PLA Sheet'!C:C,B307,'PLA Sheet'!J:J)/D307*9</f>
        <v>3.129613935</v>
      </c>
      <c r="G307" s="41">
        <v>0.458483755</v>
      </c>
      <c r="H307" s="41">
        <v>0.186522262</v>
      </c>
      <c r="I307" s="41">
        <v>0.354993983</v>
      </c>
      <c r="J307" s="41">
        <f t="shared" si="1"/>
        <v>0.103489772</v>
      </c>
      <c r="K307" s="42">
        <v>9.189889763</v>
      </c>
    </row>
    <row r="308">
      <c r="A308" s="1" t="s">
        <v>358</v>
      </c>
      <c r="B308" s="38">
        <v>434378.0</v>
      </c>
      <c r="C308" s="38">
        <v>2510.0</v>
      </c>
      <c r="D308" s="39">
        <f>sumif('PLA Sheet'!C:C,B308,'PLA Sheet'!H:H)</f>
        <v>152</v>
      </c>
      <c r="E308" s="40">
        <v>5.014239862</v>
      </c>
      <c r="F308" s="40">
        <f>sumif('PLA Sheet'!C:C,B308,'PLA Sheet'!J:J)/D308*9</f>
        <v>3.490730526</v>
      </c>
      <c r="G308" s="41">
        <v>0.455378486</v>
      </c>
      <c r="H308" s="41">
        <v>0.197609562</v>
      </c>
      <c r="I308" s="41">
        <v>0.347011952</v>
      </c>
      <c r="J308" s="41">
        <f t="shared" si="1"/>
        <v>0.108366534</v>
      </c>
      <c r="K308" s="42">
        <v>-2.587275548</v>
      </c>
    </row>
    <row r="309">
      <c r="A309" s="1" t="s">
        <v>313</v>
      </c>
      <c r="B309" s="38">
        <v>607067.0</v>
      </c>
      <c r="C309" s="38">
        <v>2455.0</v>
      </c>
      <c r="D309" s="39">
        <f>sumif('PLA Sheet'!C:C,B309,'PLA Sheet'!H:H)</f>
        <v>159.3333333</v>
      </c>
      <c r="E309" s="40">
        <v>5.011506022</v>
      </c>
      <c r="F309" s="40">
        <f>sumif('PLA Sheet'!C:C,B309,'PLA Sheet'!J:J)/D309*9</f>
        <v>3.357331381</v>
      </c>
      <c r="G309" s="41">
        <v>0.451731161</v>
      </c>
      <c r="H309" s="41">
        <v>0.207331976</v>
      </c>
      <c r="I309" s="41">
        <v>0.340936864</v>
      </c>
      <c r="J309" s="41">
        <f t="shared" si="1"/>
        <v>0.110794297</v>
      </c>
      <c r="K309" s="42">
        <v>3.420683262</v>
      </c>
    </row>
    <row r="310">
      <c r="A310" s="1" t="s">
        <v>277</v>
      </c>
      <c r="B310" s="38">
        <v>677952.0</v>
      </c>
      <c r="C310" s="38">
        <v>1062.0</v>
      </c>
      <c r="D310" s="39">
        <f>sumif('PLA Sheet'!C:C,B310,'PLA Sheet'!H:H)</f>
        <v>69.66666667</v>
      </c>
      <c r="E310" s="40">
        <v>5.010851231</v>
      </c>
      <c r="F310" s="40">
        <f>sumif('PLA Sheet'!C:C,B310,'PLA Sheet'!J:J)/D310*9</f>
        <v>3.222381531</v>
      </c>
      <c r="G310" s="41">
        <v>0.434086629</v>
      </c>
      <c r="H310" s="41">
        <v>0.197740113</v>
      </c>
      <c r="I310" s="41">
        <v>0.368173258</v>
      </c>
      <c r="J310" s="41">
        <f t="shared" si="1"/>
        <v>0.065913371</v>
      </c>
      <c r="K310" s="42">
        <v>6.165274161</v>
      </c>
    </row>
    <row r="311">
      <c r="A311" s="1" t="s">
        <v>289</v>
      </c>
      <c r="B311" s="38">
        <v>669724.0</v>
      </c>
      <c r="C311" s="38">
        <v>915.0</v>
      </c>
      <c r="D311" s="39">
        <f>sumif('PLA Sheet'!C:C,B311,'PLA Sheet'!H:H)</f>
        <v>60</v>
      </c>
      <c r="E311" s="40">
        <v>5.010492362</v>
      </c>
      <c r="F311" s="40">
        <f>sumif('PLA Sheet'!C:C,B311,'PLA Sheet'!J:J)/D311*9</f>
        <v>3.25891125</v>
      </c>
      <c r="G311" s="41">
        <v>0.445901639</v>
      </c>
      <c r="H311" s="41">
        <v>0.193442623</v>
      </c>
      <c r="I311" s="41">
        <v>0.360655738</v>
      </c>
      <c r="J311" s="41">
        <f t="shared" si="1"/>
        <v>0.085245901</v>
      </c>
      <c r="K311" s="42">
        <v>-0.029941885</v>
      </c>
    </row>
    <row r="312">
      <c r="A312" s="1" t="s">
        <v>276</v>
      </c>
      <c r="B312" s="38">
        <v>702352.0</v>
      </c>
      <c r="C312" s="38">
        <v>1252.0</v>
      </c>
      <c r="D312" s="39">
        <f>sumif('PLA Sheet'!C:C,B312,'PLA Sheet'!H:H)</f>
        <v>81.00000001</v>
      </c>
      <c r="E312" s="40">
        <v>5.010197421</v>
      </c>
      <c r="F312" s="40">
        <f>sumif('PLA Sheet'!C:C,B312,'PLA Sheet'!J:J)/D312*9</f>
        <v>3.218428444</v>
      </c>
      <c r="G312" s="41">
        <v>0.42971246</v>
      </c>
      <c r="H312" s="41">
        <v>0.213258786</v>
      </c>
      <c r="I312" s="41">
        <v>0.357028754</v>
      </c>
      <c r="J312" s="41">
        <f t="shared" si="1"/>
        <v>0.072683706</v>
      </c>
      <c r="K312" s="42">
        <v>4.958812725</v>
      </c>
    </row>
    <row r="313">
      <c r="A313" s="1" t="s">
        <v>372</v>
      </c>
      <c r="B313" s="38">
        <v>671106.0</v>
      </c>
      <c r="C313" s="38">
        <v>2622.0</v>
      </c>
      <c r="D313" s="39">
        <f>sumif('PLA Sheet'!C:C,B313,'PLA Sheet'!H:H)</f>
        <v>156.6666667</v>
      </c>
      <c r="E313" s="40">
        <v>5.010141384</v>
      </c>
      <c r="F313" s="40">
        <f>sumif('PLA Sheet'!C:C,B313,'PLA Sheet'!J:J)/D313*9</f>
        <v>3.582247979</v>
      </c>
      <c r="G313" s="41">
        <v>0.452707857</v>
      </c>
      <c r="H313" s="41">
        <v>0.182684973</v>
      </c>
      <c r="I313" s="41">
        <v>0.36460717</v>
      </c>
      <c r="J313" s="41">
        <f t="shared" si="1"/>
        <v>0.088100687</v>
      </c>
      <c r="K313" s="42">
        <v>-8.160509057</v>
      </c>
    </row>
    <row r="314">
      <c r="A314" s="1" t="s">
        <v>391</v>
      </c>
      <c r="B314" s="38">
        <v>689690.0</v>
      </c>
      <c r="C314" s="38">
        <v>572.0</v>
      </c>
      <c r="D314" s="39">
        <f>sumif('PLA Sheet'!C:C,B314,'PLA Sheet'!H:H)</f>
        <v>33.33333333</v>
      </c>
      <c r="E314" s="40">
        <v>5.009981202</v>
      </c>
      <c r="F314" s="40">
        <f>sumif('PLA Sheet'!C:C,B314,'PLA Sheet'!J:J)/D314*9</f>
        <v>3.75168024</v>
      </c>
      <c r="G314" s="41">
        <v>0.527972028</v>
      </c>
      <c r="H314" s="41">
        <v>0.132867133</v>
      </c>
      <c r="I314" s="41">
        <v>0.339160839</v>
      </c>
      <c r="J314" s="41">
        <f t="shared" si="1"/>
        <v>0.188811189</v>
      </c>
      <c r="K314" s="42">
        <v>-6.985963664</v>
      </c>
    </row>
    <row r="315">
      <c r="A315" s="1" t="s">
        <v>305</v>
      </c>
      <c r="B315" s="38">
        <v>669020.0</v>
      </c>
      <c r="C315" s="38">
        <v>664.0</v>
      </c>
      <c r="D315" s="39">
        <f>sumif('PLA Sheet'!C:C,B315,'PLA Sheet'!H:H)</f>
        <v>42.33333334</v>
      </c>
      <c r="E315" s="40">
        <v>5.009667039</v>
      </c>
      <c r="F315" s="40">
        <f>sumif('PLA Sheet'!C:C,B315,'PLA Sheet'!J:J)/D315*9</f>
        <v>3.325811102</v>
      </c>
      <c r="G315" s="41">
        <v>0.480421687</v>
      </c>
      <c r="H315" s="41">
        <v>0.153614458</v>
      </c>
      <c r="I315" s="41">
        <v>0.365963855</v>
      </c>
      <c r="J315" s="41">
        <f t="shared" si="1"/>
        <v>0.114457832</v>
      </c>
      <c r="K315" s="42">
        <v>-16.11647118</v>
      </c>
    </row>
    <row r="316">
      <c r="A316" s="1" t="s">
        <v>307</v>
      </c>
      <c r="B316" s="38">
        <v>656849.0</v>
      </c>
      <c r="C316" s="38">
        <v>2596.0</v>
      </c>
      <c r="D316" s="39">
        <f>sumif('PLA Sheet'!C:C,B316,'PLA Sheet'!H:H)</f>
        <v>168.6666667</v>
      </c>
      <c r="E316" s="40">
        <v>5.007713132</v>
      </c>
      <c r="F316" s="40">
        <f>sumif('PLA Sheet'!C:C,B316,'PLA Sheet'!J:J)/D316*9</f>
        <v>3.343789334</v>
      </c>
      <c r="G316" s="41">
        <v>0.452619414</v>
      </c>
      <c r="H316" s="41">
        <v>0.192989214</v>
      </c>
      <c r="I316" s="41">
        <v>0.354391371</v>
      </c>
      <c r="J316" s="41">
        <f t="shared" si="1"/>
        <v>0.098228043</v>
      </c>
      <c r="K316" s="42">
        <v>4.497035162</v>
      </c>
    </row>
    <row r="317">
      <c r="A317" s="1" t="s">
        <v>349</v>
      </c>
      <c r="B317" s="38">
        <v>676961.0</v>
      </c>
      <c r="C317" s="38">
        <v>723.0</v>
      </c>
      <c r="D317" s="39">
        <f>sumif('PLA Sheet'!C:C,B317,'PLA Sheet'!H:H)</f>
        <v>43.33333333</v>
      </c>
      <c r="E317" s="40">
        <v>5.007513774</v>
      </c>
      <c r="F317" s="40">
        <f>sumif('PLA Sheet'!C:C,B317,'PLA Sheet'!J:J)/D317*9</f>
        <v>3.456273531</v>
      </c>
      <c r="G317" s="41">
        <v>0.438450899</v>
      </c>
      <c r="H317" s="41">
        <v>0.203319502</v>
      </c>
      <c r="I317" s="41">
        <v>0.358229599</v>
      </c>
      <c r="J317" s="41">
        <f t="shared" si="1"/>
        <v>0.0802213</v>
      </c>
      <c r="K317" s="42">
        <v>-8.262813496</v>
      </c>
    </row>
    <row r="318">
      <c r="A318" s="1" t="s">
        <v>332</v>
      </c>
      <c r="B318" s="38">
        <v>641778.0</v>
      </c>
      <c r="C318" s="38">
        <v>1631.0</v>
      </c>
      <c r="D318" s="39">
        <f>sumif('PLA Sheet'!C:C,B318,'PLA Sheet'!H:H)</f>
        <v>104.6666667</v>
      </c>
      <c r="E318" s="40">
        <v>5.007232262</v>
      </c>
      <c r="F318" s="40">
        <f>sumif('PLA Sheet'!C:C,B318,'PLA Sheet'!J:J)/D318*9</f>
        <v>3.401061105</v>
      </c>
      <c r="G318" s="41">
        <v>0.444512569</v>
      </c>
      <c r="H318" s="41">
        <v>0.215205395</v>
      </c>
      <c r="I318" s="41">
        <v>0.340282036</v>
      </c>
      <c r="J318" s="41">
        <f t="shared" si="1"/>
        <v>0.104230533</v>
      </c>
      <c r="K318" s="42">
        <v>10.49693265</v>
      </c>
    </row>
    <row r="319">
      <c r="A319" s="1" t="s">
        <v>394</v>
      </c>
      <c r="B319" s="38">
        <v>621121.0</v>
      </c>
      <c r="C319" s="38">
        <v>1112.0</v>
      </c>
      <c r="D319" s="39">
        <f>sumif('PLA Sheet'!C:C,B319,'PLA Sheet'!H:H)</f>
        <v>55.33333333</v>
      </c>
      <c r="E319" s="40">
        <v>5.006980195</v>
      </c>
      <c r="F319" s="40">
        <f>sumif('PLA Sheet'!C:C,B319,'PLA Sheet'!J:J)/D319*9</f>
        <v>4.217807277</v>
      </c>
      <c r="G319" s="41">
        <v>0.467625899</v>
      </c>
      <c r="H319" s="41">
        <v>0.151978417</v>
      </c>
      <c r="I319" s="41">
        <v>0.380395683</v>
      </c>
      <c r="J319" s="41">
        <f t="shared" si="1"/>
        <v>0.087230216</v>
      </c>
      <c r="K319" s="42">
        <v>-3.150417234</v>
      </c>
    </row>
    <row r="320">
      <c r="A320" s="1" t="s">
        <v>310</v>
      </c>
      <c r="B320" s="38">
        <v>607455.0</v>
      </c>
      <c r="C320" s="38">
        <v>1030.0</v>
      </c>
      <c r="D320" s="39">
        <f>sumif('PLA Sheet'!C:C,B320,'PLA Sheet'!H:H)</f>
        <v>65.00000001</v>
      </c>
      <c r="E320" s="40">
        <v>5.006722911</v>
      </c>
      <c r="F320" s="40">
        <f>sumif('PLA Sheet'!C:C,B320,'PLA Sheet'!J:J)/D320*9</f>
        <v>3.354034984</v>
      </c>
      <c r="G320" s="41">
        <v>0.474757282</v>
      </c>
      <c r="H320" s="41">
        <v>0.150485437</v>
      </c>
      <c r="I320" s="41">
        <v>0.374757282</v>
      </c>
      <c r="J320" s="41">
        <f t="shared" si="1"/>
        <v>0.1</v>
      </c>
      <c r="K320" s="42">
        <v>7.710147798</v>
      </c>
    </row>
    <row r="321">
      <c r="A321" s="1" t="s">
        <v>290</v>
      </c>
      <c r="B321" s="38">
        <v>669461.0</v>
      </c>
      <c r="C321" s="38">
        <v>2312.0</v>
      </c>
      <c r="D321" s="39">
        <f>sumif('PLA Sheet'!C:C,B321,'PLA Sheet'!H:H)</f>
        <v>151.6666667</v>
      </c>
      <c r="E321" s="40">
        <v>5.006705006</v>
      </c>
      <c r="F321" s="40">
        <f>sumif('PLA Sheet'!C:C,B321,'PLA Sheet'!J:J)/D321*9</f>
        <v>3.260582664</v>
      </c>
      <c r="G321" s="41">
        <v>0.446799308</v>
      </c>
      <c r="H321" s="41">
        <v>0.1816609</v>
      </c>
      <c r="I321" s="41">
        <v>0.371539792</v>
      </c>
      <c r="J321" s="41">
        <f t="shared" si="1"/>
        <v>0.075259516</v>
      </c>
      <c r="K321" s="42">
        <v>-20.50041235</v>
      </c>
    </row>
    <row r="322">
      <c r="A322" s="1" t="s">
        <v>345</v>
      </c>
      <c r="B322" s="38">
        <v>663574.0</v>
      </c>
      <c r="C322" s="38">
        <v>1198.0</v>
      </c>
      <c r="D322" s="39">
        <f>sumif('PLA Sheet'!C:C,B322,'PLA Sheet'!H:H)</f>
        <v>73.66666666</v>
      </c>
      <c r="E322" s="40">
        <v>5.0066037</v>
      </c>
      <c r="F322" s="40">
        <f>sumif('PLA Sheet'!C:C,B322,'PLA Sheet'!J:J)/D322*9</f>
        <v>3.444545281</v>
      </c>
      <c r="G322" s="41">
        <v>0.479131886</v>
      </c>
      <c r="H322" s="41">
        <v>0.164440735</v>
      </c>
      <c r="I322" s="41">
        <v>0.356427379</v>
      </c>
      <c r="J322" s="41">
        <f t="shared" si="1"/>
        <v>0.122704507</v>
      </c>
      <c r="K322" s="42">
        <v>9.81207255</v>
      </c>
    </row>
    <row r="323">
      <c r="A323" s="1" t="s">
        <v>335</v>
      </c>
      <c r="B323" s="38">
        <v>663436.0</v>
      </c>
      <c r="C323" s="38">
        <v>2229.0</v>
      </c>
      <c r="D323" s="39">
        <f>sumif('PLA Sheet'!C:C,B323,'PLA Sheet'!H:H)</f>
        <v>142.6666667</v>
      </c>
      <c r="E323" s="40">
        <v>5.006011556</v>
      </c>
      <c r="F323" s="40">
        <f>sumif('PLA Sheet'!C:C,B323,'PLA Sheet'!J:J)/D323*9</f>
        <v>3.410641451</v>
      </c>
      <c r="G323" s="41">
        <v>0.449080305</v>
      </c>
      <c r="H323" s="41">
        <v>0.185284881</v>
      </c>
      <c r="I323" s="41">
        <v>0.365634814</v>
      </c>
      <c r="J323" s="41">
        <f t="shared" si="1"/>
        <v>0.083445491</v>
      </c>
      <c r="K323" s="42">
        <v>9.076253063</v>
      </c>
    </row>
    <row r="324">
      <c r="A324" s="1" t="s">
        <v>331</v>
      </c>
      <c r="B324" s="38">
        <v>672456.0</v>
      </c>
      <c r="C324" s="38">
        <v>1438.0</v>
      </c>
      <c r="D324" s="39">
        <f>sumif('PLA Sheet'!C:C,B324,'PLA Sheet'!H:H)</f>
        <v>90.66666667</v>
      </c>
      <c r="E324" s="40">
        <v>5.00527979</v>
      </c>
      <c r="F324" s="40">
        <f>sumif('PLA Sheet'!C:C,B324,'PLA Sheet'!J:J)/D324*9</f>
        <v>3.398597504</v>
      </c>
      <c r="G324" s="41">
        <v>0.445757997</v>
      </c>
      <c r="H324" s="41">
        <v>0.205841446</v>
      </c>
      <c r="I324" s="41">
        <v>0.348400556</v>
      </c>
      <c r="J324" s="41">
        <f t="shared" si="1"/>
        <v>0.097357441</v>
      </c>
      <c r="K324" s="42">
        <v>-5.598672405</v>
      </c>
    </row>
    <row r="325">
      <c r="A325" s="1" t="s">
        <v>352</v>
      </c>
      <c r="B325" s="38">
        <v>685299.0</v>
      </c>
      <c r="C325" s="38">
        <v>1189.0</v>
      </c>
      <c r="D325" s="39">
        <f>sumif('PLA Sheet'!C:C,B325,'PLA Sheet'!H:H)</f>
        <v>75.33333333</v>
      </c>
      <c r="E325" s="40">
        <v>5.004550073</v>
      </c>
      <c r="F325" s="40">
        <f>sumif('PLA Sheet'!C:C,B325,'PLA Sheet'!J:J)/D325*9</f>
        <v>3.473815341</v>
      </c>
      <c r="G325" s="41">
        <v>0.419680404</v>
      </c>
      <c r="H325" s="41">
        <v>0.24137931</v>
      </c>
      <c r="I325" s="41">
        <v>0.338940286</v>
      </c>
      <c r="J325" s="41">
        <f t="shared" si="1"/>
        <v>0.080740118</v>
      </c>
      <c r="K325" s="42">
        <v>-8.921038252</v>
      </c>
    </row>
    <row r="326">
      <c r="A326" s="1" t="s">
        <v>338</v>
      </c>
      <c r="B326" s="38">
        <v>676755.0</v>
      </c>
      <c r="C326" s="38">
        <v>751.0</v>
      </c>
      <c r="D326" s="39">
        <f>sumif('PLA Sheet'!C:C,B326,'PLA Sheet'!H:H)</f>
        <v>47.66666667</v>
      </c>
      <c r="E326" s="40">
        <v>5.004395883</v>
      </c>
      <c r="F326" s="40">
        <f>sumif('PLA Sheet'!C:C,B326,'PLA Sheet'!J:J)/D326*9</f>
        <v>3.424600699</v>
      </c>
      <c r="G326" s="41">
        <v>0.458055925</v>
      </c>
      <c r="H326" s="41">
        <v>0.186418109</v>
      </c>
      <c r="I326" s="41">
        <v>0.355525965</v>
      </c>
      <c r="J326" s="41">
        <f t="shared" si="1"/>
        <v>0.10252996</v>
      </c>
      <c r="K326" s="42">
        <v>5.191637454</v>
      </c>
    </row>
    <row r="327">
      <c r="A327" s="1" t="s">
        <v>389</v>
      </c>
      <c r="B327" s="38">
        <v>682052.0</v>
      </c>
      <c r="C327" s="38">
        <v>1627.0</v>
      </c>
      <c r="D327" s="39">
        <f>sumif('PLA Sheet'!C:C,B327,'PLA Sheet'!H:H)</f>
        <v>92.66666667</v>
      </c>
      <c r="E327" s="40">
        <v>5.004284705</v>
      </c>
      <c r="F327" s="40">
        <f>sumif('PLA Sheet'!C:C,B327,'PLA Sheet'!J:J)/D327*9</f>
        <v>3.728074921</v>
      </c>
      <c r="G327" s="41">
        <v>0.463429625</v>
      </c>
      <c r="H327" s="41">
        <v>0.178242163</v>
      </c>
      <c r="I327" s="41">
        <v>0.358328211</v>
      </c>
      <c r="J327" s="41">
        <f t="shared" si="1"/>
        <v>0.105101414</v>
      </c>
      <c r="K327" s="42">
        <v>9.776827129</v>
      </c>
    </row>
    <row r="328">
      <c r="A328" s="1" t="s">
        <v>350</v>
      </c>
      <c r="B328" s="38">
        <v>678022.0</v>
      </c>
      <c r="C328" s="38">
        <v>610.0</v>
      </c>
      <c r="D328" s="39">
        <f>sumif('PLA Sheet'!C:C,B328,'PLA Sheet'!H:H)</f>
        <v>38.66666667</v>
      </c>
      <c r="E328" s="40">
        <v>5.00424098</v>
      </c>
      <c r="F328" s="40">
        <f>sumif('PLA Sheet'!C:C,B328,'PLA Sheet'!J:J)/D328*9</f>
        <v>3.460065362</v>
      </c>
      <c r="G328" s="41">
        <v>0.475409836</v>
      </c>
      <c r="H328" s="41">
        <v>0.145901639</v>
      </c>
      <c r="I328" s="41">
        <v>0.378688525</v>
      </c>
      <c r="J328" s="41">
        <f t="shared" si="1"/>
        <v>0.096721311</v>
      </c>
      <c r="K328" s="42">
        <v>4.17027873</v>
      </c>
    </row>
    <row r="329">
      <c r="A329" s="1" t="s">
        <v>355</v>
      </c>
      <c r="B329" s="38">
        <v>670912.0</v>
      </c>
      <c r="C329" s="38">
        <v>641.0</v>
      </c>
      <c r="D329" s="39">
        <f>sumif('PLA Sheet'!C:C,B329,'PLA Sheet'!H:H)</f>
        <v>40.33333333</v>
      </c>
      <c r="E329" s="40">
        <v>5.003968378</v>
      </c>
      <c r="F329" s="40">
        <f>sumif('PLA Sheet'!C:C,B329,'PLA Sheet'!J:J)/D329*9</f>
        <v>3.48636786</v>
      </c>
      <c r="G329" s="41">
        <v>0.477379095</v>
      </c>
      <c r="H329" s="41">
        <v>0.16224649</v>
      </c>
      <c r="I329" s="41">
        <v>0.360374415</v>
      </c>
      <c r="J329" s="41">
        <f t="shared" si="1"/>
        <v>0.11700468</v>
      </c>
      <c r="K329" s="42">
        <v>5.097531361</v>
      </c>
    </row>
    <row r="330">
      <c r="A330" s="1" t="s">
        <v>294</v>
      </c>
      <c r="B330" s="38">
        <v>665152.0</v>
      </c>
      <c r="C330" s="38">
        <v>2615.0</v>
      </c>
      <c r="D330" s="39">
        <f>sumif('PLA Sheet'!C:C,B330,'PLA Sheet'!H:H)</f>
        <v>171.6666667</v>
      </c>
      <c r="E330" s="40">
        <v>5.002678008</v>
      </c>
      <c r="F330" s="40">
        <f>sumif('PLA Sheet'!C:C,B330,'PLA Sheet'!J:J)/D330*9</f>
        <v>3.276836126</v>
      </c>
      <c r="G330" s="41">
        <v>0.448565966</v>
      </c>
      <c r="H330" s="41">
        <v>0.195793499</v>
      </c>
      <c r="I330" s="41">
        <v>0.355640535</v>
      </c>
      <c r="J330" s="41">
        <f t="shared" si="1"/>
        <v>0.092925431</v>
      </c>
      <c r="K330" s="42">
        <v>-1.01750076</v>
      </c>
    </row>
    <row r="331">
      <c r="A331" s="1" t="s">
        <v>383</v>
      </c>
      <c r="B331" s="38">
        <v>573186.0</v>
      </c>
      <c r="C331" s="38">
        <v>689.0</v>
      </c>
      <c r="D331" s="39">
        <f>sumif('PLA Sheet'!C:C,B331,'PLA Sheet'!H:H)</f>
        <v>39</v>
      </c>
      <c r="E331" s="40">
        <v>5.002434741</v>
      </c>
      <c r="F331" s="40">
        <f>sumif('PLA Sheet'!C:C,B331,'PLA Sheet'!J:J)/D331*9</f>
        <v>3.663520615</v>
      </c>
      <c r="G331" s="41">
        <v>0.468795356</v>
      </c>
      <c r="H331" s="41">
        <v>0.15820029</v>
      </c>
      <c r="I331" s="41">
        <v>0.373004354</v>
      </c>
      <c r="J331" s="41">
        <f t="shared" si="1"/>
        <v>0.095791002</v>
      </c>
      <c r="K331" s="42">
        <v>-2.706377398</v>
      </c>
    </row>
    <row r="332">
      <c r="A332" s="1" t="s">
        <v>393</v>
      </c>
      <c r="B332" s="38">
        <v>690953.0</v>
      </c>
      <c r="C332" s="38">
        <v>689.0</v>
      </c>
      <c r="D332" s="39">
        <f>sumif('PLA Sheet'!C:C,B332,'PLA Sheet'!H:H)</f>
        <v>39</v>
      </c>
      <c r="E332" s="40">
        <v>5.002041966</v>
      </c>
      <c r="F332" s="40">
        <f>sumif('PLA Sheet'!C:C,B332,'PLA Sheet'!J:J)/D332*9</f>
        <v>4.012364077</v>
      </c>
      <c r="G332" s="41">
        <v>0.478955007</v>
      </c>
      <c r="H332" s="41">
        <v>0.169811321</v>
      </c>
      <c r="I332" s="41">
        <v>0.351233672</v>
      </c>
      <c r="J332" s="41">
        <f t="shared" si="1"/>
        <v>0.127721335</v>
      </c>
      <c r="K332" s="42">
        <v>0.244906742</v>
      </c>
    </row>
    <row r="333">
      <c r="A333" s="1" t="s">
        <v>265</v>
      </c>
      <c r="B333" s="38">
        <v>669084.0</v>
      </c>
      <c r="C333" s="38">
        <v>568.0</v>
      </c>
      <c r="D333" s="39">
        <f>sumif('PLA Sheet'!C:C,B333,'PLA Sheet'!H:H)</f>
        <v>38.66666667</v>
      </c>
      <c r="E333" s="40">
        <v>5.000790838</v>
      </c>
      <c r="F333" s="40">
        <f>sumif('PLA Sheet'!C:C,B333,'PLA Sheet'!J:J)/D333*9</f>
        <v>3.16242644</v>
      </c>
      <c r="G333" s="41">
        <v>0.461267606</v>
      </c>
      <c r="H333" s="41">
        <v>0.144366197</v>
      </c>
      <c r="I333" s="41">
        <v>0.394366197</v>
      </c>
      <c r="J333" s="41">
        <f t="shared" si="1"/>
        <v>0.066901409</v>
      </c>
      <c r="K333" s="42">
        <v>6.320800994</v>
      </c>
    </row>
    <row r="334">
      <c r="A334" s="1" t="s">
        <v>341</v>
      </c>
      <c r="B334" s="38">
        <v>676962.0</v>
      </c>
      <c r="C334" s="38">
        <v>1722.0</v>
      </c>
      <c r="D334" s="39">
        <f>sumif('PLA Sheet'!C:C,B334,'PLA Sheet'!H:H)</f>
        <v>106.3333333</v>
      </c>
      <c r="E334" s="40">
        <v>4.99982486</v>
      </c>
      <c r="F334" s="40">
        <f>sumif('PLA Sheet'!C:C,B334,'PLA Sheet'!J:J)/D334*9</f>
        <v>3.428544893</v>
      </c>
      <c r="G334" s="41">
        <v>0.459930314</v>
      </c>
      <c r="H334" s="41">
        <v>0.192218351</v>
      </c>
      <c r="I334" s="41">
        <v>0.347851336</v>
      </c>
      <c r="J334" s="41">
        <f t="shared" si="1"/>
        <v>0.112078978</v>
      </c>
      <c r="K334" s="42">
        <v>-22.3299276</v>
      </c>
    </row>
    <row r="335">
      <c r="A335" s="1" t="s">
        <v>380</v>
      </c>
      <c r="B335" s="38">
        <v>661563.0</v>
      </c>
      <c r="C335" s="38">
        <v>941.0</v>
      </c>
      <c r="D335" s="39">
        <f>sumif('PLA Sheet'!C:C,B335,'PLA Sheet'!H:H)</f>
        <v>57</v>
      </c>
      <c r="E335" s="40">
        <v>4.999488305</v>
      </c>
      <c r="F335" s="40">
        <f>sumif('PLA Sheet'!C:C,B335,'PLA Sheet'!J:J)/D335*9</f>
        <v>3.647748316</v>
      </c>
      <c r="G335" s="41">
        <v>0.497343252</v>
      </c>
      <c r="H335" s="41">
        <v>0.129649309</v>
      </c>
      <c r="I335" s="41">
        <v>0.373007439</v>
      </c>
      <c r="J335" s="41">
        <f t="shared" si="1"/>
        <v>0.124335813</v>
      </c>
      <c r="K335" s="42">
        <v>-1.466495251</v>
      </c>
    </row>
    <row r="336">
      <c r="A336" s="1" t="s">
        <v>325</v>
      </c>
      <c r="B336" s="38">
        <v>676917.0</v>
      </c>
      <c r="C336" s="38">
        <v>762.0</v>
      </c>
      <c r="D336" s="39">
        <f>sumif('PLA Sheet'!C:C,B336,'PLA Sheet'!H:H)</f>
        <v>48.66666667</v>
      </c>
      <c r="E336" s="40">
        <v>4.998113606</v>
      </c>
      <c r="F336" s="40">
        <f>sumif('PLA Sheet'!C:C,B336,'PLA Sheet'!J:J)/D336*9</f>
        <v>3.387250603</v>
      </c>
      <c r="G336" s="41">
        <v>0.461942257</v>
      </c>
      <c r="H336" s="41">
        <v>0.17191601</v>
      </c>
      <c r="I336" s="41">
        <v>0.366141732</v>
      </c>
      <c r="J336" s="41">
        <f t="shared" si="1"/>
        <v>0.095800525</v>
      </c>
      <c r="K336" s="42">
        <v>-7.426971829</v>
      </c>
    </row>
    <row r="337">
      <c r="A337" s="1" t="s">
        <v>306</v>
      </c>
      <c r="B337" s="38">
        <v>677944.0</v>
      </c>
      <c r="C337" s="38">
        <v>1978.0</v>
      </c>
      <c r="D337" s="39">
        <f>sumif('PLA Sheet'!C:C,B337,'PLA Sheet'!H:H)</f>
        <v>132</v>
      </c>
      <c r="E337" s="40">
        <v>4.99755098</v>
      </c>
      <c r="F337" s="40">
        <f>sumif('PLA Sheet'!C:C,B337,'PLA Sheet'!J:J)/D337*9</f>
        <v>3.334544932</v>
      </c>
      <c r="G337" s="41">
        <v>0.432254803</v>
      </c>
      <c r="H337" s="41">
        <v>0.206268959</v>
      </c>
      <c r="I337" s="41">
        <v>0.361476239</v>
      </c>
      <c r="J337" s="41">
        <f t="shared" si="1"/>
        <v>0.070778564</v>
      </c>
      <c r="K337" s="42">
        <v>1.010683323</v>
      </c>
    </row>
    <row r="338">
      <c r="A338" s="1" t="s">
        <v>342</v>
      </c>
      <c r="B338" s="38">
        <v>592094.0</v>
      </c>
      <c r="C338" s="38">
        <v>1051.0</v>
      </c>
      <c r="D338" s="39">
        <f>sumif('PLA Sheet'!C:C,B338,'PLA Sheet'!H:H)</f>
        <v>65.33333334</v>
      </c>
      <c r="E338" s="40">
        <v>4.996020231</v>
      </c>
      <c r="F338" s="40">
        <f>sumif('PLA Sheet'!C:C,B338,'PLA Sheet'!J:J)/D338*9</f>
        <v>3.435925913</v>
      </c>
      <c r="G338" s="41">
        <v>0.466222645</v>
      </c>
      <c r="H338" s="41">
        <v>0.173168411</v>
      </c>
      <c r="I338" s="41">
        <v>0.360608944</v>
      </c>
      <c r="J338" s="41">
        <f t="shared" si="1"/>
        <v>0.105613701</v>
      </c>
      <c r="K338" s="42">
        <v>8.786669212</v>
      </c>
    </row>
    <row r="339">
      <c r="A339" s="1" t="s">
        <v>390</v>
      </c>
      <c r="B339" s="38">
        <v>669422.0</v>
      </c>
      <c r="C339" s="38">
        <v>505.0</v>
      </c>
      <c r="D339" s="39">
        <f>sumif('PLA Sheet'!C:C,B339,'PLA Sheet'!H:H)</f>
        <v>29.66666667</v>
      </c>
      <c r="E339" s="40">
        <v>4.994072525</v>
      </c>
      <c r="F339" s="40">
        <f>sumif('PLA Sheet'!C:C,B339,'PLA Sheet'!J:J)/D339*9</f>
        <v>3.74765491</v>
      </c>
      <c r="G339" s="41">
        <v>0.461386139</v>
      </c>
      <c r="H339" s="41">
        <v>0.192079208</v>
      </c>
      <c r="I339" s="41">
        <v>0.346534653</v>
      </c>
      <c r="J339" s="41">
        <f t="shared" si="1"/>
        <v>0.114851486</v>
      </c>
      <c r="K339" s="42">
        <v>-4.032847906</v>
      </c>
    </row>
    <row r="340">
      <c r="A340" s="1" t="s">
        <v>279</v>
      </c>
      <c r="B340" s="38">
        <v>682842.0</v>
      </c>
      <c r="C340" s="38">
        <v>1128.0</v>
      </c>
      <c r="D340" s="39">
        <f>sumif('PLA Sheet'!C:C,B340,'PLA Sheet'!H:H)</f>
        <v>75.33333334</v>
      </c>
      <c r="E340" s="40">
        <v>4.993866852</v>
      </c>
      <c r="F340" s="40">
        <f>sumif('PLA Sheet'!C:C,B340,'PLA Sheet'!J:J)/D340*9</f>
        <v>3.228403141</v>
      </c>
      <c r="G340" s="41">
        <v>0.449468085</v>
      </c>
      <c r="H340" s="41">
        <v>0.181737589</v>
      </c>
      <c r="I340" s="41">
        <v>0.368794326</v>
      </c>
      <c r="J340" s="41">
        <f t="shared" si="1"/>
        <v>0.080673759</v>
      </c>
      <c r="K340" s="42">
        <v>20.2397413</v>
      </c>
    </row>
    <row r="341">
      <c r="A341" s="1" t="s">
        <v>297</v>
      </c>
      <c r="B341" s="38">
        <v>641745.0</v>
      </c>
      <c r="C341" s="38">
        <v>1077.0</v>
      </c>
      <c r="D341" s="39">
        <f>sumif('PLA Sheet'!C:C,B341,'PLA Sheet'!H:H)</f>
        <v>69.66666667</v>
      </c>
      <c r="E341" s="40">
        <v>4.993853846</v>
      </c>
      <c r="F341" s="40">
        <f>sumif('PLA Sheet'!C:C,B341,'PLA Sheet'!J:J)/D341*9</f>
        <v>3.28409901</v>
      </c>
      <c r="G341" s="41">
        <v>0.446610956</v>
      </c>
      <c r="H341" s="41">
        <v>0.201485608</v>
      </c>
      <c r="I341" s="41">
        <v>0.351903435</v>
      </c>
      <c r="J341" s="41">
        <f t="shared" si="1"/>
        <v>0.094707521</v>
      </c>
      <c r="K341" s="42">
        <v>22.00272963</v>
      </c>
    </row>
    <row r="342">
      <c r="A342" s="1" t="s">
        <v>368</v>
      </c>
      <c r="B342" s="38">
        <v>593958.0</v>
      </c>
      <c r="C342" s="38">
        <v>2523.0</v>
      </c>
      <c r="D342" s="39">
        <f>sumif('PLA Sheet'!C:C,B342,'PLA Sheet'!H:H)</f>
        <v>154.3333333</v>
      </c>
      <c r="E342" s="40">
        <v>4.993813161</v>
      </c>
      <c r="F342" s="40">
        <f>sumif('PLA Sheet'!C:C,B342,'PLA Sheet'!J:J)/D342*9</f>
        <v>3.549130523</v>
      </c>
      <c r="G342" s="41">
        <v>0.45699564</v>
      </c>
      <c r="H342" s="41">
        <v>0.182322632</v>
      </c>
      <c r="I342" s="41">
        <v>0.360681728</v>
      </c>
      <c r="J342" s="41">
        <f t="shared" si="1"/>
        <v>0.096313912</v>
      </c>
      <c r="K342" s="42">
        <v>-22.24663027</v>
      </c>
    </row>
    <row r="343">
      <c r="A343" s="1" t="s">
        <v>375</v>
      </c>
      <c r="B343" s="38">
        <v>663671.0</v>
      </c>
      <c r="C343" s="38">
        <v>506.0</v>
      </c>
      <c r="D343" s="39">
        <f>sumif('PLA Sheet'!C:C,B343,'PLA Sheet'!H:H)</f>
        <v>31</v>
      </c>
      <c r="E343" s="40">
        <v>4.993703587</v>
      </c>
      <c r="F343" s="40">
        <f>sumif('PLA Sheet'!C:C,B343,'PLA Sheet'!J:J)/D343*9</f>
        <v>3.589211323</v>
      </c>
      <c r="G343" s="41">
        <v>0.4743083</v>
      </c>
      <c r="H343" s="41">
        <v>0.160079051</v>
      </c>
      <c r="I343" s="41">
        <v>0.365612648</v>
      </c>
      <c r="J343" s="41">
        <f t="shared" si="1"/>
        <v>0.108695652</v>
      </c>
      <c r="K343" s="42">
        <v>0.003810852</v>
      </c>
    </row>
    <row r="344">
      <c r="A344" s="1" t="s">
        <v>339</v>
      </c>
      <c r="B344" s="38">
        <v>686613.0</v>
      </c>
      <c r="C344" s="38">
        <v>2864.0</v>
      </c>
      <c r="D344" s="39">
        <f>sumif('PLA Sheet'!C:C,B344,'PLA Sheet'!H:H)</f>
        <v>185.3333333</v>
      </c>
      <c r="E344" s="40">
        <v>4.993545022</v>
      </c>
      <c r="F344" s="40">
        <f>sumif('PLA Sheet'!C:C,B344,'PLA Sheet'!J:J)/D344*9</f>
        <v>3.425189067</v>
      </c>
      <c r="G344" s="41">
        <v>0.456005587</v>
      </c>
      <c r="H344" s="41">
        <v>0.181913408</v>
      </c>
      <c r="I344" s="41">
        <v>0.362081006</v>
      </c>
      <c r="J344" s="41">
        <f t="shared" si="1"/>
        <v>0.093924581</v>
      </c>
      <c r="K344" s="42">
        <v>27.40719721</v>
      </c>
    </row>
    <row r="345">
      <c r="A345" s="1" t="s">
        <v>395</v>
      </c>
      <c r="B345" s="38">
        <v>663893.0</v>
      </c>
      <c r="C345" s="38">
        <v>1207.0</v>
      </c>
      <c r="D345" s="39">
        <f>sumif('PLA Sheet'!C:C,B345,'PLA Sheet'!H:H)</f>
        <v>68.33333332</v>
      </c>
      <c r="E345" s="40">
        <v>4.99330758</v>
      </c>
      <c r="F345" s="40">
        <f>sumif('PLA Sheet'!C:C,B345,'PLA Sheet'!J:J)/D345*9</f>
        <v>3.789186849</v>
      </c>
      <c r="G345" s="41">
        <v>0.464788732</v>
      </c>
      <c r="H345" s="41">
        <v>0.146644573</v>
      </c>
      <c r="I345" s="41">
        <v>0.388566694</v>
      </c>
      <c r="J345" s="41">
        <f t="shared" si="1"/>
        <v>0.076222038</v>
      </c>
      <c r="K345" s="42">
        <v>11.49290305</v>
      </c>
    </row>
    <row r="346">
      <c r="A346" s="1" t="s">
        <v>396</v>
      </c>
      <c r="B346" s="38">
        <v>663623.0</v>
      </c>
      <c r="C346" s="38">
        <v>2869.0</v>
      </c>
      <c r="D346" s="39">
        <f>sumif('PLA Sheet'!C:C,B346,'PLA Sheet'!H:H)</f>
        <v>180</v>
      </c>
      <c r="E346" s="40">
        <v>4.992912913</v>
      </c>
      <c r="F346" s="40">
        <f>sumif('PLA Sheet'!C:C,B346,'PLA Sheet'!J:J)/D346*9</f>
        <v>3.440728</v>
      </c>
      <c r="G346" s="41">
        <v>0.448588358</v>
      </c>
      <c r="H346" s="41">
        <v>0.19797839</v>
      </c>
      <c r="I346" s="41">
        <v>0.353433252</v>
      </c>
      <c r="J346" s="41">
        <f t="shared" si="1"/>
        <v>0.095155106</v>
      </c>
      <c r="K346" s="42">
        <v>-1.724753612</v>
      </c>
    </row>
    <row r="347">
      <c r="A347" s="1" t="s">
        <v>397</v>
      </c>
      <c r="B347" s="38">
        <v>660896.0</v>
      </c>
      <c r="C347" s="38">
        <v>1031.0</v>
      </c>
      <c r="D347" s="39">
        <f>sumif('PLA Sheet'!C:C,B347,'PLA Sheet'!H:H)</f>
        <v>55</v>
      </c>
      <c r="E347" s="40">
        <v>4.99282284</v>
      </c>
      <c r="F347" s="40">
        <f>sumif('PLA Sheet'!C:C,B347,'PLA Sheet'!J:J)/D347*9</f>
        <v>4.143222818</v>
      </c>
      <c r="G347" s="41">
        <v>0.477206596</v>
      </c>
      <c r="H347" s="41">
        <v>0.17070805</v>
      </c>
      <c r="I347" s="41">
        <v>0.352085354</v>
      </c>
      <c r="J347" s="41">
        <f t="shared" si="1"/>
        <v>0.125121242</v>
      </c>
      <c r="K347" s="42">
        <v>-8.547896135</v>
      </c>
    </row>
    <row r="348">
      <c r="A348" s="1" t="s">
        <v>398</v>
      </c>
      <c r="B348" s="38">
        <v>676282.0</v>
      </c>
      <c r="C348" s="38">
        <v>1589.0</v>
      </c>
      <c r="D348" s="39">
        <f>sumif('PLA Sheet'!C:C,B348,'PLA Sheet'!H:H)</f>
        <v>95.33333333</v>
      </c>
      <c r="E348" s="40">
        <v>4.992212108</v>
      </c>
      <c r="F348" s="40">
        <f>sumif('PLA Sheet'!C:C,B348,'PLA Sheet'!J:J)/D348*9</f>
        <v>3.630848224</v>
      </c>
      <c r="G348" s="41">
        <v>0.470736312</v>
      </c>
      <c r="H348" s="41">
        <v>0.166142228</v>
      </c>
      <c r="I348" s="41">
        <v>0.36312146</v>
      </c>
      <c r="J348" s="41">
        <f t="shared" si="1"/>
        <v>0.107614852</v>
      </c>
      <c r="K348" s="42">
        <v>13.17197419</v>
      </c>
    </row>
    <row r="349">
      <c r="A349" s="1" t="s">
        <v>399</v>
      </c>
      <c r="B349" s="38">
        <v>543294.0</v>
      </c>
      <c r="C349" s="38">
        <v>2493.0</v>
      </c>
      <c r="D349" s="39">
        <f>sumif('PLA Sheet'!C:C,B349,'PLA Sheet'!H:H)</f>
        <v>164.6666667</v>
      </c>
      <c r="E349" s="40">
        <v>4.990687759</v>
      </c>
      <c r="F349" s="40">
        <f>sumif('PLA Sheet'!C:C,B349,'PLA Sheet'!J:J)/D349*9</f>
        <v>3.230672374</v>
      </c>
      <c r="G349" s="41">
        <v>0.423586041</v>
      </c>
      <c r="H349" s="41">
        <v>0.206979543</v>
      </c>
      <c r="I349" s="41">
        <v>0.369434416</v>
      </c>
      <c r="J349" s="41">
        <f t="shared" si="1"/>
        <v>0.054151625</v>
      </c>
      <c r="K349" s="42">
        <v>20.50928311</v>
      </c>
    </row>
    <row r="350">
      <c r="A350" s="1" t="s">
        <v>400</v>
      </c>
      <c r="B350" s="38">
        <v>670955.0</v>
      </c>
      <c r="C350" s="38">
        <v>1149.0</v>
      </c>
      <c r="D350" s="39">
        <f>sumif('PLA Sheet'!C:C,B350,'PLA Sheet'!H:H)</f>
        <v>76</v>
      </c>
      <c r="E350" s="40">
        <v>4.990646906</v>
      </c>
      <c r="F350" s="40">
        <f>sumif('PLA Sheet'!C:C,B350,'PLA Sheet'!J:J)/D350*9</f>
        <v>3.469824474</v>
      </c>
      <c r="G350" s="41">
        <v>0.46997389</v>
      </c>
      <c r="H350" s="41">
        <v>0.170583116</v>
      </c>
      <c r="I350" s="41">
        <v>0.359442994</v>
      </c>
      <c r="J350" s="41">
        <f t="shared" si="1"/>
        <v>0.110530896</v>
      </c>
      <c r="K350" s="42">
        <v>2.350568111</v>
      </c>
    </row>
    <row r="351">
      <c r="A351" s="1" t="s">
        <v>401</v>
      </c>
      <c r="B351" s="38">
        <v>593576.0</v>
      </c>
      <c r="C351" s="38">
        <v>532.0</v>
      </c>
      <c r="D351" s="39">
        <f>sumif('PLA Sheet'!C:C,B351,'PLA Sheet'!H:H)</f>
        <v>26.66666667</v>
      </c>
      <c r="E351" s="40">
        <v>4.989529218</v>
      </c>
      <c r="F351" s="40">
        <f>sumif('PLA Sheet'!C:C,B351,'PLA Sheet'!J:J)/D351*9</f>
        <v>4.324408425</v>
      </c>
      <c r="G351" s="41">
        <v>0.417293233</v>
      </c>
      <c r="H351" s="41">
        <v>0.189849624</v>
      </c>
      <c r="I351" s="41">
        <v>0.392857143</v>
      </c>
      <c r="J351" s="41">
        <f t="shared" si="1"/>
        <v>0.02443609</v>
      </c>
      <c r="K351" s="42">
        <v>2.494335459</v>
      </c>
    </row>
    <row r="352">
      <c r="A352" s="1" t="s">
        <v>402</v>
      </c>
      <c r="B352" s="38">
        <v>669684.0</v>
      </c>
      <c r="C352" s="38">
        <v>536.0</v>
      </c>
      <c r="D352" s="39">
        <f>sumif('PLA Sheet'!C:C,B352,'PLA Sheet'!H:H)</f>
        <v>34.66666667</v>
      </c>
      <c r="E352" s="40">
        <v>4.989054432</v>
      </c>
      <c r="F352" s="40">
        <f>sumif('PLA Sheet'!C:C,B352,'PLA Sheet'!J:J)/D352*9</f>
        <v>3.576031875</v>
      </c>
      <c r="G352" s="41">
        <v>0.494402985</v>
      </c>
      <c r="H352" s="41">
        <v>0.143656716</v>
      </c>
      <c r="I352" s="41">
        <v>0.361940299</v>
      </c>
      <c r="J352" s="41">
        <f t="shared" si="1"/>
        <v>0.132462686</v>
      </c>
      <c r="K352" s="42">
        <v>5.811072915</v>
      </c>
    </row>
    <row r="353">
      <c r="A353" s="1" t="s">
        <v>403</v>
      </c>
      <c r="B353" s="38">
        <v>676254.0</v>
      </c>
      <c r="C353" s="38">
        <v>992.0</v>
      </c>
      <c r="D353" s="39">
        <f>sumif('PLA Sheet'!C:C,B353,'PLA Sheet'!H:H)</f>
        <v>61.33333334</v>
      </c>
      <c r="E353" s="40">
        <v>4.988802578</v>
      </c>
      <c r="F353" s="40">
        <f>sumif('PLA Sheet'!C:C,B353,'PLA Sheet'!J:J)/D353*9</f>
        <v>3.481500472</v>
      </c>
      <c r="G353" s="41">
        <v>0.472782258</v>
      </c>
      <c r="H353" s="41">
        <v>0.15625</v>
      </c>
      <c r="I353" s="41">
        <v>0.370967742</v>
      </c>
      <c r="J353" s="41">
        <f t="shared" si="1"/>
        <v>0.101814516</v>
      </c>
      <c r="K353" s="42">
        <v>0.387497635</v>
      </c>
    </row>
    <row r="354">
      <c r="A354" s="1" t="s">
        <v>404</v>
      </c>
      <c r="B354" s="38">
        <v>593974.0</v>
      </c>
      <c r="C354" s="38">
        <v>1114.0</v>
      </c>
      <c r="D354" s="39">
        <f>sumif('PLA Sheet'!C:C,B354,'PLA Sheet'!H:H)</f>
        <v>71.66666667</v>
      </c>
      <c r="E354" s="40">
        <v>4.984444558</v>
      </c>
      <c r="F354" s="40">
        <f>sumif('PLA Sheet'!C:C,B354,'PLA Sheet'!J:J)/D354*9</f>
        <v>3.346306284</v>
      </c>
      <c r="G354" s="41">
        <v>0.455116697</v>
      </c>
      <c r="H354" s="41">
        <v>0.186714542</v>
      </c>
      <c r="I354" s="41">
        <v>0.358168761</v>
      </c>
      <c r="J354" s="41">
        <f t="shared" si="1"/>
        <v>0.096947936</v>
      </c>
      <c r="K354" s="42">
        <v>4.799576103</v>
      </c>
    </row>
    <row r="355">
      <c r="A355" s="1" t="s">
        <v>405</v>
      </c>
      <c r="B355" s="38">
        <v>621111.0</v>
      </c>
      <c r="C355" s="38">
        <v>2117.0</v>
      </c>
      <c r="D355" s="39">
        <f>sumif('PLA Sheet'!C:C,B355,'PLA Sheet'!H:H)</f>
        <v>126</v>
      </c>
      <c r="E355" s="40">
        <v>4.983614082</v>
      </c>
      <c r="F355" s="40">
        <f>sumif('PLA Sheet'!C:C,B355,'PLA Sheet'!J:J)/D355*9</f>
        <v>3.724206</v>
      </c>
      <c r="G355" s="41">
        <v>0.481341521</v>
      </c>
      <c r="H355" s="41">
        <v>0.168162494</v>
      </c>
      <c r="I355" s="41">
        <v>0.350495985</v>
      </c>
      <c r="J355" s="41">
        <f t="shared" si="1"/>
        <v>0.130845536</v>
      </c>
      <c r="K355" s="42">
        <v>-12.17095585</v>
      </c>
    </row>
    <row r="356">
      <c r="A356" s="1" t="s">
        <v>406</v>
      </c>
      <c r="B356" s="38">
        <v>669711.0</v>
      </c>
      <c r="C356" s="38">
        <v>1039.0</v>
      </c>
      <c r="D356" s="39">
        <f>sumif('PLA Sheet'!C:C,B356,'PLA Sheet'!H:H)</f>
        <v>67</v>
      </c>
      <c r="E356" s="40">
        <v>4.982664111</v>
      </c>
      <c r="F356" s="40">
        <f>sumif('PLA Sheet'!C:C,B356,'PLA Sheet'!J:J)/D356*9</f>
        <v>3.40883006</v>
      </c>
      <c r="G356" s="41">
        <v>0.443695861</v>
      </c>
      <c r="H356" s="41">
        <v>0.187680462</v>
      </c>
      <c r="I356" s="41">
        <v>0.368623677</v>
      </c>
      <c r="J356" s="41">
        <f t="shared" si="1"/>
        <v>0.075072184</v>
      </c>
      <c r="K356" s="42">
        <v>5.458530089</v>
      </c>
    </row>
    <row r="357">
      <c r="A357" s="1" t="s">
        <v>407</v>
      </c>
      <c r="B357" s="38">
        <v>668674.0</v>
      </c>
      <c r="C357" s="38">
        <v>934.0</v>
      </c>
      <c r="D357" s="39">
        <f>sumif('PLA Sheet'!C:C,B357,'PLA Sheet'!H:H)</f>
        <v>61.33333333</v>
      </c>
      <c r="E357" s="40">
        <v>4.982610334</v>
      </c>
      <c r="F357" s="40">
        <f>sumif('PLA Sheet'!C:C,B357,'PLA Sheet'!J:J)/D357*9</f>
        <v>3.333440544</v>
      </c>
      <c r="G357" s="41">
        <v>0.447537473</v>
      </c>
      <c r="H357" s="41">
        <v>0.195931478</v>
      </c>
      <c r="I357" s="41">
        <v>0.356531049</v>
      </c>
      <c r="J357" s="41">
        <f t="shared" si="1"/>
        <v>0.091006424</v>
      </c>
      <c r="K357" s="42">
        <v>8.398061428</v>
      </c>
    </row>
    <row r="358">
      <c r="A358" s="1" t="s">
        <v>408</v>
      </c>
      <c r="B358" s="38">
        <v>657376.0</v>
      </c>
      <c r="C358" s="38">
        <v>1188.0</v>
      </c>
      <c r="D358" s="39">
        <f>sumif('PLA Sheet'!C:C,B358,'PLA Sheet'!H:H)</f>
        <v>78.66666667</v>
      </c>
      <c r="E358" s="40">
        <v>4.981639786</v>
      </c>
      <c r="F358" s="40">
        <f>sumif('PLA Sheet'!C:C,B358,'PLA Sheet'!J:J)/D358*9</f>
        <v>3.264320708</v>
      </c>
      <c r="G358" s="41">
        <v>0.449494949</v>
      </c>
      <c r="H358" s="41">
        <v>0.187710438</v>
      </c>
      <c r="I358" s="41">
        <v>0.362794613</v>
      </c>
      <c r="J358" s="41">
        <f t="shared" si="1"/>
        <v>0.086700336</v>
      </c>
      <c r="K358" s="42">
        <v>14.97315964</v>
      </c>
    </row>
    <row r="359">
      <c r="A359" s="1" t="s">
        <v>409</v>
      </c>
      <c r="B359" s="38">
        <v>676617.0</v>
      </c>
      <c r="C359" s="38">
        <v>737.0</v>
      </c>
      <c r="D359" s="39">
        <f>sumif('PLA Sheet'!C:C,B359,'PLA Sheet'!H:H)</f>
        <v>48</v>
      </c>
      <c r="E359" s="40">
        <v>4.981470027</v>
      </c>
      <c r="F359" s="40">
        <f>sumif('PLA Sheet'!C:C,B359,'PLA Sheet'!J:J)/D359*9</f>
        <v>3.236042625</v>
      </c>
      <c r="G359" s="41">
        <v>0.484396201</v>
      </c>
      <c r="H359" s="41">
        <v>0.150610583</v>
      </c>
      <c r="I359" s="41">
        <v>0.364993216</v>
      </c>
      <c r="J359" s="41">
        <f t="shared" si="1"/>
        <v>0.119402985</v>
      </c>
      <c r="K359" s="42">
        <v>8.50729738</v>
      </c>
    </row>
    <row r="360">
      <c r="A360" s="1" t="s">
        <v>410</v>
      </c>
      <c r="B360" s="38">
        <v>678394.0</v>
      </c>
      <c r="C360" s="38">
        <v>2627.0</v>
      </c>
      <c r="D360" s="39">
        <f>sumif('PLA Sheet'!C:C,B360,'PLA Sheet'!H:H)</f>
        <v>166.6666667</v>
      </c>
      <c r="E360" s="40">
        <v>4.980182711</v>
      </c>
      <c r="F360" s="40">
        <f>sumif('PLA Sheet'!C:C,B360,'PLA Sheet'!J:J)/D360*9</f>
        <v>3.4399485</v>
      </c>
      <c r="G360" s="41">
        <v>0.449562238</v>
      </c>
      <c r="H360" s="41">
        <v>0.1941378</v>
      </c>
      <c r="I360" s="41">
        <v>0.356299962</v>
      </c>
      <c r="J360" s="41">
        <f t="shared" si="1"/>
        <v>0.093262276</v>
      </c>
      <c r="K360" s="42">
        <v>20.00754097</v>
      </c>
    </row>
    <row r="361">
      <c r="A361" s="1" t="s">
        <v>411</v>
      </c>
      <c r="B361" s="38">
        <v>605288.0</v>
      </c>
      <c r="C361" s="38">
        <v>1841.0</v>
      </c>
      <c r="D361" s="39">
        <f>sumif('PLA Sheet'!C:C,B361,'PLA Sheet'!H:H)</f>
        <v>125</v>
      </c>
      <c r="E361" s="40">
        <v>4.979666115</v>
      </c>
      <c r="F361" s="40">
        <f>sumif('PLA Sheet'!C:C,B361,'PLA Sheet'!J:J)/D361*9</f>
        <v>3.271945896</v>
      </c>
      <c r="G361" s="41">
        <v>0.443780554</v>
      </c>
      <c r="H361" s="41">
        <v>0.192286801</v>
      </c>
      <c r="I361" s="41">
        <v>0.363932645</v>
      </c>
      <c r="J361" s="41">
        <f t="shared" si="1"/>
        <v>0.079847909</v>
      </c>
      <c r="K361" s="42">
        <v>3.213383514</v>
      </c>
    </row>
    <row r="362">
      <c r="A362" s="1" t="s">
        <v>412</v>
      </c>
      <c r="B362" s="38">
        <v>641482.0</v>
      </c>
      <c r="C362" s="38">
        <v>584.0</v>
      </c>
      <c r="D362" s="39">
        <f>sumif('PLA Sheet'!C:C,B362,'PLA Sheet'!H:H)</f>
        <v>34.33333333</v>
      </c>
      <c r="E362" s="40">
        <v>4.979567543</v>
      </c>
      <c r="F362" s="40">
        <f>sumif('PLA Sheet'!C:C,B362,'PLA Sheet'!J:J)/D362*9</f>
        <v>3.740618534</v>
      </c>
      <c r="G362" s="41">
        <v>0.45890411</v>
      </c>
      <c r="H362" s="41">
        <v>0.171232877</v>
      </c>
      <c r="I362" s="41">
        <v>0.369863014</v>
      </c>
      <c r="J362" s="41">
        <f t="shared" si="1"/>
        <v>0.089041096</v>
      </c>
      <c r="K362" s="42">
        <v>-6.133160158</v>
      </c>
    </row>
    <row r="363">
      <c r="A363" s="1" t="s">
        <v>413</v>
      </c>
      <c r="B363" s="38">
        <v>671737.0</v>
      </c>
      <c r="C363" s="38">
        <v>2227.0</v>
      </c>
      <c r="D363" s="39">
        <f>sumif('PLA Sheet'!C:C,B363,'PLA Sheet'!H:H)</f>
        <v>142.6666667</v>
      </c>
      <c r="E363" s="40">
        <v>4.979132826</v>
      </c>
      <c r="F363" s="40">
        <f>sumif('PLA Sheet'!C:C,B363,'PLA Sheet'!J:J)/D363*9</f>
        <v>3.449864566</v>
      </c>
      <c r="G363" s="41">
        <v>0.458015267</v>
      </c>
      <c r="H363" s="41">
        <v>0.162999551</v>
      </c>
      <c r="I363" s="41">
        <v>0.378985182</v>
      </c>
      <c r="J363" s="41">
        <f t="shared" si="1"/>
        <v>0.079030085</v>
      </c>
      <c r="K363" s="42">
        <v>-8.678485881</v>
      </c>
    </row>
    <row r="364">
      <c r="A364" s="1" t="s">
        <v>414</v>
      </c>
      <c r="B364" s="38">
        <v>678226.0</v>
      </c>
      <c r="C364" s="38">
        <v>697.0</v>
      </c>
      <c r="D364" s="39">
        <f>sumif('PLA Sheet'!C:C,B364,'PLA Sheet'!H:H)</f>
        <v>37</v>
      </c>
      <c r="E364" s="40">
        <v>4.977283462</v>
      </c>
      <c r="F364" s="40">
        <f>sumif('PLA Sheet'!C:C,B364,'PLA Sheet'!J:J)/D364*9</f>
        <v>4.092827837</v>
      </c>
      <c r="G364" s="41">
        <v>0.472022956</v>
      </c>
      <c r="H364" s="41">
        <v>0.172166428</v>
      </c>
      <c r="I364" s="41">
        <v>0.355810617</v>
      </c>
      <c r="J364" s="41">
        <f t="shared" si="1"/>
        <v>0.116212339</v>
      </c>
      <c r="K364" s="42">
        <v>8.447406035</v>
      </c>
    </row>
    <row r="365">
      <c r="A365" s="1" t="s">
        <v>415</v>
      </c>
      <c r="B365" s="38">
        <v>656794.0</v>
      </c>
      <c r="C365" s="38">
        <v>1512.0</v>
      </c>
      <c r="D365" s="39">
        <f>sumif('PLA Sheet'!C:C,B365,'PLA Sheet'!H:H)</f>
        <v>92.33333333</v>
      </c>
      <c r="E365" s="40">
        <v>4.976732541</v>
      </c>
      <c r="F365" s="40">
        <f>sumif('PLA Sheet'!C:C,B365,'PLA Sheet'!J:J)/D365*9</f>
        <v>3.282260654</v>
      </c>
      <c r="G365" s="41">
        <v>0.458333333</v>
      </c>
      <c r="H365" s="41">
        <v>0.172619048</v>
      </c>
      <c r="I365" s="41">
        <v>0.369047619</v>
      </c>
      <c r="J365" s="41">
        <f t="shared" si="1"/>
        <v>0.089285714</v>
      </c>
      <c r="K365" s="42">
        <v>-5.571605147</v>
      </c>
    </row>
    <row r="366">
      <c r="A366" s="1" t="s">
        <v>416</v>
      </c>
      <c r="B366" s="38">
        <v>608337.0</v>
      </c>
      <c r="C366" s="38">
        <v>2294.0</v>
      </c>
      <c r="D366" s="39">
        <f>sumif('PLA Sheet'!C:C,B366,'PLA Sheet'!H:H)</f>
        <v>145</v>
      </c>
      <c r="E366" s="40">
        <v>4.973670146</v>
      </c>
      <c r="F366" s="40">
        <f>sumif('PLA Sheet'!C:C,B366,'PLA Sheet'!J:J)/D366*9</f>
        <v>3.539153917</v>
      </c>
      <c r="G366" s="41">
        <v>0.446817786</v>
      </c>
      <c r="H366" s="41">
        <v>0.180906713</v>
      </c>
      <c r="I366" s="41">
        <v>0.372275501</v>
      </c>
      <c r="J366" s="41">
        <f t="shared" si="1"/>
        <v>0.074542285</v>
      </c>
      <c r="K366" s="42">
        <v>-0.830115598</v>
      </c>
    </row>
    <row r="367">
      <c r="A367" s="1" t="s">
        <v>417</v>
      </c>
      <c r="B367" s="38">
        <v>608718.0</v>
      </c>
      <c r="C367" s="38">
        <v>1078.0</v>
      </c>
      <c r="D367" s="39">
        <f>sumif('PLA Sheet'!C:C,B367,'PLA Sheet'!H:H)</f>
        <v>67.66666666</v>
      </c>
      <c r="E367" s="40">
        <v>4.973663562</v>
      </c>
      <c r="F367" s="40">
        <f>sumif('PLA Sheet'!C:C,B367,'PLA Sheet'!J:J)/D367*9</f>
        <v>3.492874419</v>
      </c>
      <c r="G367" s="41">
        <v>0.428571429</v>
      </c>
      <c r="H367" s="41">
        <v>0.206864564</v>
      </c>
      <c r="I367" s="41">
        <v>0.364564007</v>
      </c>
      <c r="J367" s="41">
        <f t="shared" si="1"/>
        <v>0.064007422</v>
      </c>
      <c r="K367" s="42">
        <v>5.427395752</v>
      </c>
    </row>
    <row r="368">
      <c r="A368" s="1" t="s">
        <v>418</v>
      </c>
      <c r="B368" s="38">
        <v>657649.0</v>
      </c>
      <c r="C368" s="38">
        <v>1012.0</v>
      </c>
      <c r="D368" s="39">
        <f>sumif('PLA Sheet'!C:C,B368,'PLA Sheet'!H:H)</f>
        <v>65.99999999</v>
      </c>
      <c r="E368" s="40">
        <v>4.97262339</v>
      </c>
      <c r="F368" s="40">
        <f>sumif('PLA Sheet'!C:C,B368,'PLA Sheet'!J:J)/D368*9</f>
        <v>3.325451591</v>
      </c>
      <c r="G368" s="41">
        <v>0.422924901</v>
      </c>
      <c r="H368" s="41">
        <v>0.199604743</v>
      </c>
      <c r="I368" s="41">
        <v>0.377470356</v>
      </c>
      <c r="J368" s="41">
        <f t="shared" si="1"/>
        <v>0.045454545</v>
      </c>
      <c r="K368" s="42">
        <v>10.90549896</v>
      </c>
    </row>
    <row r="369">
      <c r="A369" s="1" t="s">
        <v>419</v>
      </c>
      <c r="B369" s="38">
        <v>681857.0</v>
      </c>
      <c r="C369" s="38">
        <v>1132.0</v>
      </c>
      <c r="D369" s="39">
        <f>sumif('PLA Sheet'!C:C,B369,'PLA Sheet'!H:H)</f>
        <v>68.66666667</v>
      </c>
      <c r="E369" s="40">
        <v>4.971426029</v>
      </c>
      <c r="F369" s="40">
        <f>sumif('PLA Sheet'!C:C,B369,'PLA Sheet'!J:J)/D369*9</f>
        <v>3.630643078</v>
      </c>
      <c r="G369" s="41">
        <v>0.439929329</v>
      </c>
      <c r="H369" s="41">
        <v>0.183745583</v>
      </c>
      <c r="I369" s="41">
        <v>0.376325088</v>
      </c>
      <c r="J369" s="41">
        <f t="shared" si="1"/>
        <v>0.063604241</v>
      </c>
      <c r="K369" s="42">
        <v>2.03260473</v>
      </c>
    </row>
    <row r="370">
      <c r="A370" s="1" t="s">
        <v>420</v>
      </c>
      <c r="B370" s="38">
        <v>547179.0</v>
      </c>
      <c r="C370" s="38">
        <v>2253.0</v>
      </c>
      <c r="D370" s="39">
        <f>sumif('PLA Sheet'!C:C,B370,'PLA Sheet'!H:H)</f>
        <v>141.6666667</v>
      </c>
      <c r="E370" s="40">
        <v>4.971110415</v>
      </c>
      <c r="F370" s="40">
        <f>sumif('PLA Sheet'!C:C,B370,'PLA Sheet'!J:J)/D370*9</f>
        <v>3.550474906</v>
      </c>
      <c r="G370" s="41">
        <v>0.444296494</v>
      </c>
      <c r="H370" s="41">
        <v>0.181091877</v>
      </c>
      <c r="I370" s="41">
        <v>0.374611629</v>
      </c>
      <c r="J370" s="41">
        <f t="shared" si="1"/>
        <v>0.069684865</v>
      </c>
      <c r="K370" s="42">
        <v>-10.21682404</v>
      </c>
    </row>
    <row r="371">
      <c r="A371" s="1" t="s">
        <v>421</v>
      </c>
      <c r="B371" s="38">
        <v>607192.0</v>
      </c>
      <c r="C371" s="38">
        <v>1440.0</v>
      </c>
      <c r="D371" s="39">
        <f>sumif('PLA Sheet'!C:C,B371,'PLA Sheet'!H:H)</f>
        <v>90.33333333</v>
      </c>
      <c r="E371" s="40">
        <v>4.970016303</v>
      </c>
      <c r="F371" s="40">
        <f>sumif('PLA Sheet'!C:C,B371,'PLA Sheet'!J:J)/D371*9</f>
        <v>3.613337369</v>
      </c>
      <c r="G371" s="41">
        <v>0.469444444</v>
      </c>
      <c r="H371" s="41">
        <v>0.170833333</v>
      </c>
      <c r="I371" s="41">
        <v>0.359722222</v>
      </c>
      <c r="J371" s="41">
        <f t="shared" si="1"/>
        <v>0.109722222</v>
      </c>
      <c r="K371" s="42">
        <v>23.05979355</v>
      </c>
    </row>
    <row r="372">
      <c r="A372" s="1" t="s">
        <v>422</v>
      </c>
      <c r="B372" s="38">
        <v>518585.0</v>
      </c>
      <c r="C372" s="38">
        <v>771.0</v>
      </c>
      <c r="D372" s="39">
        <f>sumif('PLA Sheet'!C:C,B372,'PLA Sheet'!H:H)</f>
        <v>48</v>
      </c>
      <c r="E372" s="40">
        <v>4.969650607</v>
      </c>
      <c r="F372" s="40">
        <f>sumif('PLA Sheet'!C:C,B372,'PLA Sheet'!J:J)/D372*9</f>
        <v>3.595277813</v>
      </c>
      <c r="G372" s="41">
        <v>0.444876783</v>
      </c>
      <c r="H372" s="41">
        <v>0.180285344</v>
      </c>
      <c r="I372" s="41">
        <v>0.374837873</v>
      </c>
      <c r="J372" s="41">
        <f t="shared" si="1"/>
        <v>0.07003891</v>
      </c>
      <c r="K372" s="42">
        <v>3.798764801</v>
      </c>
    </row>
    <row r="373">
      <c r="A373" s="1" t="s">
        <v>423</v>
      </c>
      <c r="B373" s="38">
        <v>656605.0</v>
      </c>
      <c r="C373" s="38">
        <v>2794.0</v>
      </c>
      <c r="D373" s="39">
        <f>sumif('PLA Sheet'!C:C,B373,'PLA Sheet'!H:H)</f>
        <v>176.3333333</v>
      </c>
      <c r="E373" s="40">
        <v>4.969351052</v>
      </c>
      <c r="F373" s="40">
        <f>sumif('PLA Sheet'!C:C,B373,'PLA Sheet'!J:J)/D373*9</f>
        <v>3.558360471</v>
      </c>
      <c r="G373" s="41">
        <v>0.443092341</v>
      </c>
      <c r="H373" s="41">
        <v>0.188260558</v>
      </c>
      <c r="I373" s="41">
        <v>0.368647101</v>
      </c>
      <c r="J373" s="41">
        <f t="shared" si="1"/>
        <v>0.07444524</v>
      </c>
      <c r="K373" s="42">
        <v>8.730923665</v>
      </c>
    </row>
    <row r="374">
      <c r="A374" s="1" t="s">
        <v>424</v>
      </c>
      <c r="B374" s="38">
        <v>667755.0</v>
      </c>
      <c r="C374" s="38">
        <v>2692.0</v>
      </c>
      <c r="D374" s="39">
        <f>sumif('PLA Sheet'!C:C,B374,'PLA Sheet'!H:H)</f>
        <v>169</v>
      </c>
      <c r="E374" s="40">
        <v>4.968774185</v>
      </c>
      <c r="F374" s="40">
        <f>sumif('PLA Sheet'!C:C,B374,'PLA Sheet'!J:J)/D374*9</f>
        <v>3.482691444</v>
      </c>
      <c r="G374" s="41">
        <v>0.457652303</v>
      </c>
      <c r="H374" s="41">
        <v>0.164561664</v>
      </c>
      <c r="I374" s="41">
        <v>0.377786033</v>
      </c>
      <c r="J374" s="41">
        <f t="shared" si="1"/>
        <v>0.07986627</v>
      </c>
      <c r="K374" s="42">
        <v>21.09121205</v>
      </c>
    </row>
    <row r="375">
      <c r="A375" s="1" t="s">
        <v>425</v>
      </c>
      <c r="B375" s="38">
        <v>621244.0</v>
      </c>
      <c r="C375" s="38">
        <v>2504.0</v>
      </c>
      <c r="D375" s="39">
        <f>sumif('PLA Sheet'!C:C,B375,'PLA Sheet'!H:H)</f>
        <v>166</v>
      </c>
      <c r="E375" s="40">
        <v>4.96690983</v>
      </c>
      <c r="F375" s="40">
        <f>sumif('PLA Sheet'!C:C,B375,'PLA Sheet'!J:J)/D375*9</f>
        <v>3.105879018</v>
      </c>
      <c r="G375" s="41">
        <v>0.455670927</v>
      </c>
      <c r="H375" s="41">
        <v>0.186102236</v>
      </c>
      <c r="I375" s="41">
        <v>0.358226837</v>
      </c>
      <c r="J375" s="41">
        <f t="shared" si="1"/>
        <v>0.09744409</v>
      </c>
      <c r="K375" s="42">
        <v>-8.468855627</v>
      </c>
    </row>
    <row r="376">
      <c r="A376" s="1" t="s">
        <v>426</v>
      </c>
      <c r="B376" s="38">
        <v>642585.0</v>
      </c>
      <c r="C376" s="38">
        <v>615.0</v>
      </c>
      <c r="D376" s="39">
        <f>sumif('PLA Sheet'!C:C,B376,'PLA Sheet'!H:H)</f>
        <v>34.66666667</v>
      </c>
      <c r="E376" s="40">
        <v>4.965115988</v>
      </c>
      <c r="F376" s="40">
        <f>sumif('PLA Sheet'!C:C,B376,'PLA Sheet'!J:J)/D376*9</f>
        <v>3.822986336</v>
      </c>
      <c r="G376" s="41">
        <v>0.469918699</v>
      </c>
      <c r="H376" s="41">
        <v>0.146341463</v>
      </c>
      <c r="I376" s="41">
        <v>0.383739837</v>
      </c>
      <c r="J376" s="41">
        <f t="shared" si="1"/>
        <v>0.086178862</v>
      </c>
      <c r="K376" s="42">
        <v>11.08163865</v>
      </c>
    </row>
    <row r="377">
      <c r="A377" s="1" t="s">
        <v>427</v>
      </c>
      <c r="B377" s="38">
        <v>684320.0</v>
      </c>
      <c r="C377" s="38">
        <v>1129.0</v>
      </c>
      <c r="D377" s="39">
        <f>sumif('PLA Sheet'!C:C,B377,'PLA Sheet'!H:H)</f>
        <v>72.99999999</v>
      </c>
      <c r="E377" s="40">
        <v>4.964803842</v>
      </c>
      <c r="F377" s="40">
        <f>sumif('PLA Sheet'!C:C,B377,'PLA Sheet'!J:J)/D377*9</f>
        <v>3.415355384</v>
      </c>
      <c r="G377" s="41">
        <v>0.464127547</v>
      </c>
      <c r="H377" s="41">
        <v>0.163861825</v>
      </c>
      <c r="I377" s="41">
        <v>0.372010629</v>
      </c>
      <c r="J377" s="41">
        <f t="shared" si="1"/>
        <v>0.092116918</v>
      </c>
      <c r="K377" s="42">
        <v>7.253423608</v>
      </c>
    </row>
    <row r="378">
      <c r="A378" s="1" t="s">
        <v>428</v>
      </c>
      <c r="B378" s="38">
        <v>670102.0</v>
      </c>
      <c r="C378" s="38">
        <v>1114.0</v>
      </c>
      <c r="D378" s="39">
        <f>sumif('PLA Sheet'!C:C,B378,'PLA Sheet'!H:H)</f>
        <v>64</v>
      </c>
      <c r="E378" s="40">
        <v>4.963559787</v>
      </c>
      <c r="F378" s="40">
        <f>sumif('PLA Sheet'!C:C,B378,'PLA Sheet'!J:J)/D378*9</f>
        <v>3.809880844</v>
      </c>
      <c r="G378" s="41">
        <v>0.489228007</v>
      </c>
      <c r="H378" s="41">
        <v>0.141831239</v>
      </c>
      <c r="I378" s="41">
        <v>0.368940754</v>
      </c>
      <c r="J378" s="41">
        <f t="shared" si="1"/>
        <v>0.120287253</v>
      </c>
      <c r="K378" s="42">
        <v>-12.20391876</v>
      </c>
    </row>
    <row r="379">
      <c r="A379" s="1" t="s">
        <v>429</v>
      </c>
      <c r="B379" s="38">
        <v>662253.0</v>
      </c>
      <c r="C379" s="38">
        <v>986.0</v>
      </c>
      <c r="D379" s="39">
        <f>sumif('PLA Sheet'!C:C,B379,'PLA Sheet'!H:H)</f>
        <v>62.33333334</v>
      </c>
      <c r="E379" s="40">
        <v>4.963356653</v>
      </c>
      <c r="F379" s="40">
        <f>sumif('PLA Sheet'!C:C,B379,'PLA Sheet'!J:J)/D379*9</f>
        <v>3.535705588</v>
      </c>
      <c r="G379" s="41">
        <v>0.46653144</v>
      </c>
      <c r="H379" s="41">
        <v>0.173427992</v>
      </c>
      <c r="I379" s="41">
        <v>0.360040568</v>
      </c>
      <c r="J379" s="41">
        <f t="shared" si="1"/>
        <v>0.106490872</v>
      </c>
      <c r="K379" s="42">
        <v>15.31367142</v>
      </c>
    </row>
    <row r="380">
      <c r="A380" s="1" t="s">
        <v>430</v>
      </c>
      <c r="B380" s="38">
        <v>670990.0</v>
      </c>
      <c r="C380" s="38">
        <v>592.0</v>
      </c>
      <c r="D380" s="39">
        <f>sumif('PLA Sheet'!C:C,B380,'PLA Sheet'!H:H)</f>
        <v>33.33333333</v>
      </c>
      <c r="E380" s="40">
        <v>4.962571041</v>
      </c>
      <c r="F380" s="40">
        <f>sumif('PLA Sheet'!C:C,B380,'PLA Sheet'!J:J)/D380*9</f>
        <v>4.1328927</v>
      </c>
      <c r="G380" s="41">
        <v>0.484797297</v>
      </c>
      <c r="H380" s="41">
        <v>0.140202703</v>
      </c>
      <c r="I380" s="41">
        <v>0.375</v>
      </c>
      <c r="J380" s="41">
        <f t="shared" si="1"/>
        <v>0.109797297</v>
      </c>
      <c r="K380" s="42">
        <v>-1.221861305</v>
      </c>
    </row>
    <row r="381">
      <c r="A381" s="1" t="s">
        <v>431</v>
      </c>
      <c r="B381" s="38">
        <v>669203.0</v>
      </c>
      <c r="C381" s="38">
        <v>978.0</v>
      </c>
      <c r="D381" s="39">
        <f>sumif('PLA Sheet'!C:C,B381,'PLA Sheet'!H:H)</f>
        <v>64.33333333</v>
      </c>
      <c r="E381" s="40">
        <v>4.962530856</v>
      </c>
      <c r="F381" s="40">
        <f>sumif('PLA Sheet'!C:C,B381,'PLA Sheet'!J:J)/D381*9</f>
        <v>3.433359451</v>
      </c>
      <c r="G381" s="41">
        <v>0.466257669</v>
      </c>
      <c r="H381" s="41">
        <v>0.189161554</v>
      </c>
      <c r="I381" s="41">
        <v>0.344580777</v>
      </c>
      <c r="J381" s="41">
        <f t="shared" si="1"/>
        <v>0.121676892</v>
      </c>
      <c r="K381" s="42">
        <v>11.487992</v>
      </c>
    </row>
    <row r="382">
      <c r="A382" s="1" t="s">
        <v>432</v>
      </c>
      <c r="B382" s="38">
        <v>669467.0</v>
      </c>
      <c r="C382" s="38">
        <v>2625.0</v>
      </c>
      <c r="D382" s="39">
        <f>sumif('PLA Sheet'!C:C,B382,'PLA Sheet'!H:H)</f>
        <v>162.6666667</v>
      </c>
      <c r="E382" s="40">
        <v>4.962147448</v>
      </c>
      <c r="F382" s="40">
        <f>sumif('PLA Sheet'!C:C,B382,'PLA Sheet'!J:J)/D382*9</f>
        <v>3.646701774</v>
      </c>
      <c r="G382" s="41">
        <v>0.431619048</v>
      </c>
      <c r="H382" s="41">
        <v>0.200380952</v>
      </c>
      <c r="I382" s="41">
        <v>0.368</v>
      </c>
      <c r="J382" s="41">
        <f t="shared" si="1"/>
        <v>0.063619048</v>
      </c>
      <c r="K382" s="42">
        <v>-2.7519202</v>
      </c>
    </row>
    <row r="383">
      <c r="A383" s="1" t="s">
        <v>433</v>
      </c>
      <c r="B383" s="38">
        <v>642397.0</v>
      </c>
      <c r="C383" s="38">
        <v>991.0</v>
      </c>
      <c r="D383" s="39">
        <f>sumif('PLA Sheet'!C:C,B383,'PLA Sheet'!H:H)</f>
        <v>60.33333333</v>
      </c>
      <c r="E383" s="40">
        <v>4.957448732</v>
      </c>
      <c r="F383" s="40">
        <f>sumif('PLA Sheet'!C:C,B383,'PLA Sheet'!J:J)/D383*9</f>
        <v>3.717051216</v>
      </c>
      <c r="G383" s="41">
        <v>0.483350151</v>
      </c>
      <c r="H383" s="41">
        <v>0.156407669</v>
      </c>
      <c r="I383" s="41">
        <v>0.36024218</v>
      </c>
      <c r="J383" s="41">
        <f t="shared" si="1"/>
        <v>0.123107971</v>
      </c>
      <c r="K383" s="42">
        <v>-6.697525981</v>
      </c>
    </row>
    <row r="384">
      <c r="A384" s="1" t="s">
        <v>434</v>
      </c>
      <c r="B384" s="38">
        <v>690990.0</v>
      </c>
      <c r="C384" s="38">
        <v>1740.0</v>
      </c>
      <c r="D384" s="39">
        <f>sumif('PLA Sheet'!C:C,B384,'PLA Sheet'!H:H)</f>
        <v>118</v>
      </c>
      <c r="E384" s="40">
        <v>4.957343778</v>
      </c>
      <c r="F384" s="40">
        <f>sumif('PLA Sheet'!C:C,B384,'PLA Sheet'!J:J)/D384*9</f>
        <v>3.365239347</v>
      </c>
      <c r="G384" s="41">
        <v>0.435632184</v>
      </c>
      <c r="H384" s="41">
        <v>0.204022989</v>
      </c>
      <c r="I384" s="41">
        <v>0.360344828</v>
      </c>
      <c r="J384" s="41">
        <f t="shared" si="1"/>
        <v>0.075287356</v>
      </c>
      <c r="K384" s="42">
        <v>10.27068418</v>
      </c>
    </row>
    <row r="385">
      <c r="A385" s="1" t="s">
        <v>435</v>
      </c>
      <c r="B385" s="38">
        <v>543056.0</v>
      </c>
      <c r="C385" s="38">
        <v>702.0</v>
      </c>
      <c r="D385" s="39">
        <f>sumif('PLA Sheet'!C:C,B385,'PLA Sheet'!H:H)</f>
        <v>43</v>
      </c>
      <c r="E385" s="40">
        <v>4.957217311</v>
      </c>
      <c r="F385" s="40">
        <f>sumif('PLA Sheet'!C:C,B385,'PLA Sheet'!J:J)/D385*9</f>
        <v>3.580280581</v>
      </c>
      <c r="G385" s="41">
        <v>0.438746439</v>
      </c>
      <c r="H385" s="41">
        <v>0.189458689</v>
      </c>
      <c r="I385" s="41">
        <v>0.371794872</v>
      </c>
      <c r="J385" s="41">
        <f t="shared" si="1"/>
        <v>0.066951567</v>
      </c>
      <c r="K385" s="42">
        <v>10.33836075</v>
      </c>
    </row>
    <row r="386">
      <c r="A386" s="1" t="s">
        <v>436</v>
      </c>
      <c r="B386" s="38">
        <v>547184.0</v>
      </c>
      <c r="C386" s="38">
        <v>633.0</v>
      </c>
      <c r="D386" s="39">
        <f>sumif('PLA Sheet'!C:C,B386,'PLA Sheet'!H:H)</f>
        <v>39.66666667</v>
      </c>
      <c r="E386" s="40">
        <v>4.956936762</v>
      </c>
      <c r="F386" s="40">
        <f>sumif('PLA Sheet'!C:C,B386,'PLA Sheet'!J:J)/D386*9</f>
        <v>3.569739655</v>
      </c>
      <c r="G386" s="41">
        <v>0.443917852</v>
      </c>
      <c r="H386" s="41">
        <v>0.18957346</v>
      </c>
      <c r="I386" s="41">
        <v>0.366508689</v>
      </c>
      <c r="J386" s="41">
        <f t="shared" si="1"/>
        <v>0.077409163</v>
      </c>
      <c r="K386" s="42">
        <v>3.398099137</v>
      </c>
    </row>
    <row r="387">
      <c r="A387" s="1" t="s">
        <v>437</v>
      </c>
      <c r="B387" s="38">
        <v>695418.0</v>
      </c>
      <c r="C387" s="38">
        <v>2052.0</v>
      </c>
      <c r="D387" s="39">
        <f>sumif('PLA Sheet'!C:C,B387,'PLA Sheet'!H:H)</f>
        <v>130.6666667</v>
      </c>
      <c r="E387" s="40">
        <v>4.956770326</v>
      </c>
      <c r="F387" s="40">
        <f>sumif('PLA Sheet'!C:C,B387,'PLA Sheet'!J:J)/D387*9</f>
        <v>3.532485421</v>
      </c>
      <c r="G387" s="41">
        <v>0.444444444</v>
      </c>
      <c r="H387" s="41">
        <v>0.194931774</v>
      </c>
      <c r="I387" s="41">
        <v>0.360623782</v>
      </c>
      <c r="J387" s="41">
        <f t="shared" si="1"/>
        <v>0.083820662</v>
      </c>
      <c r="K387" s="42">
        <v>15.41483166</v>
      </c>
    </row>
    <row r="388">
      <c r="A388" s="1" t="s">
        <v>438</v>
      </c>
      <c r="B388" s="38">
        <v>623211.0</v>
      </c>
      <c r="C388" s="38">
        <v>978.0</v>
      </c>
      <c r="D388" s="39">
        <f>sumif('PLA Sheet'!C:C,B388,'PLA Sheet'!H:H)</f>
        <v>63</v>
      </c>
      <c r="E388" s="40">
        <v>4.956765464</v>
      </c>
      <c r="F388" s="40">
        <f>sumif('PLA Sheet'!C:C,B388,'PLA Sheet'!J:J)/D388*9</f>
        <v>3.463607428</v>
      </c>
      <c r="G388" s="41">
        <v>0.460122699</v>
      </c>
      <c r="H388" s="41">
        <v>0.187116564</v>
      </c>
      <c r="I388" s="41">
        <v>0.352760736</v>
      </c>
      <c r="J388" s="41">
        <f t="shared" si="1"/>
        <v>0.107361963</v>
      </c>
      <c r="K388" s="42">
        <v>16.52276406</v>
      </c>
    </row>
    <row r="389">
      <c r="A389" s="1" t="s">
        <v>439</v>
      </c>
      <c r="B389" s="38">
        <v>592454.0</v>
      </c>
      <c r="C389" s="38">
        <v>973.0</v>
      </c>
      <c r="D389" s="39">
        <f>sumif('PLA Sheet'!C:C,B389,'PLA Sheet'!H:H)</f>
        <v>63</v>
      </c>
      <c r="E389" s="40">
        <v>4.955999013</v>
      </c>
      <c r="F389" s="40">
        <f>sumif('PLA Sheet'!C:C,B389,'PLA Sheet'!J:J)/D389*9</f>
        <v>3.548766429</v>
      </c>
      <c r="G389" s="41">
        <v>0.448098664</v>
      </c>
      <c r="H389" s="41">
        <v>0.18602261</v>
      </c>
      <c r="I389" s="41">
        <v>0.365878726</v>
      </c>
      <c r="J389" s="41">
        <f t="shared" si="1"/>
        <v>0.082219938</v>
      </c>
      <c r="K389" s="42">
        <v>15.29418175</v>
      </c>
    </row>
    <row r="390">
      <c r="A390" s="1" t="s">
        <v>440</v>
      </c>
      <c r="B390" s="38">
        <v>542888.0</v>
      </c>
      <c r="C390" s="38">
        <v>1084.0</v>
      </c>
      <c r="D390" s="39">
        <f>sumif('PLA Sheet'!C:C,B390,'PLA Sheet'!H:H)</f>
        <v>74</v>
      </c>
      <c r="E390" s="40">
        <v>4.955373879</v>
      </c>
      <c r="F390" s="40">
        <f>sumif('PLA Sheet'!C:C,B390,'PLA Sheet'!J:J)/D390*9</f>
        <v>3.298777541</v>
      </c>
      <c r="G390" s="41">
        <v>0.455719557</v>
      </c>
      <c r="H390" s="41">
        <v>0.167896679</v>
      </c>
      <c r="I390" s="41">
        <v>0.376383764</v>
      </c>
      <c r="J390" s="41">
        <f t="shared" si="1"/>
        <v>0.079335793</v>
      </c>
      <c r="K390" s="42">
        <v>27.27212715</v>
      </c>
    </row>
    <row r="391">
      <c r="A391" s="1" t="s">
        <v>441</v>
      </c>
      <c r="B391" s="38">
        <v>664991.0</v>
      </c>
      <c r="C391" s="38">
        <v>505.0</v>
      </c>
      <c r="D391" s="39">
        <f>sumif('PLA Sheet'!C:C,B391,'PLA Sheet'!H:H)</f>
        <v>26.66666667</v>
      </c>
      <c r="E391" s="40">
        <v>4.954818523</v>
      </c>
      <c r="F391" s="40">
        <f>sumif('PLA Sheet'!C:C,B391,'PLA Sheet'!J:J)/D391*9</f>
        <v>4.152227737</v>
      </c>
      <c r="G391" s="41">
        <v>0.487128713</v>
      </c>
      <c r="H391" s="41">
        <v>0.16039604</v>
      </c>
      <c r="I391" s="41">
        <v>0.352475248</v>
      </c>
      <c r="J391" s="41">
        <f t="shared" si="1"/>
        <v>0.134653465</v>
      </c>
      <c r="K391" s="42">
        <v>-3.256750029</v>
      </c>
    </row>
    <row r="392">
      <c r="A392" s="1" t="s">
        <v>442</v>
      </c>
      <c r="B392" s="38">
        <v>669674.0</v>
      </c>
      <c r="C392" s="38">
        <v>760.0</v>
      </c>
      <c r="D392" s="39">
        <f>sumif('PLA Sheet'!C:C,B392,'PLA Sheet'!H:H)</f>
        <v>40.33333333</v>
      </c>
      <c r="E392" s="40">
        <v>4.953043857</v>
      </c>
      <c r="F392" s="40">
        <f>sumif('PLA Sheet'!C:C,B392,'PLA Sheet'!J:J)/D392*9</f>
        <v>4.306911917</v>
      </c>
      <c r="G392" s="41">
        <v>0.457894737</v>
      </c>
      <c r="H392" s="41">
        <v>0.167105263</v>
      </c>
      <c r="I392" s="41">
        <v>0.375</v>
      </c>
      <c r="J392" s="41">
        <f t="shared" si="1"/>
        <v>0.082894737</v>
      </c>
      <c r="K392" s="42">
        <v>-2.612117865</v>
      </c>
    </row>
    <row r="393">
      <c r="A393" s="1" t="s">
        <v>443</v>
      </c>
      <c r="B393" s="38">
        <v>621366.0</v>
      </c>
      <c r="C393" s="38">
        <v>574.0</v>
      </c>
      <c r="D393" s="39">
        <f>sumif('PLA Sheet'!C:C,B393,'PLA Sheet'!H:H)</f>
        <v>35</v>
      </c>
      <c r="E393" s="40">
        <v>4.952724645</v>
      </c>
      <c r="F393" s="40">
        <f>sumif('PLA Sheet'!C:C,B393,'PLA Sheet'!J:J)/D393*9</f>
        <v>3.7258092</v>
      </c>
      <c r="G393" s="41">
        <v>0.472125436</v>
      </c>
      <c r="H393" s="41">
        <v>0.170731707</v>
      </c>
      <c r="I393" s="41">
        <v>0.357142857</v>
      </c>
      <c r="J393" s="41">
        <f t="shared" si="1"/>
        <v>0.114982579</v>
      </c>
      <c r="K393" s="42">
        <v>6.848807205</v>
      </c>
    </row>
    <row r="394">
      <c r="A394" s="1" t="s">
        <v>444</v>
      </c>
      <c r="B394" s="38">
        <v>681869.0</v>
      </c>
      <c r="C394" s="38">
        <v>525.0</v>
      </c>
      <c r="D394" s="39">
        <f>sumif('PLA Sheet'!C:C,B394,'PLA Sheet'!H:H)</f>
        <v>33.66666667</v>
      </c>
      <c r="E394" s="40">
        <v>4.952318752</v>
      </c>
      <c r="F394" s="40">
        <f>sumif('PLA Sheet'!C:C,B394,'PLA Sheet'!J:J)/D394*9</f>
        <v>3.553975247</v>
      </c>
      <c r="G394" s="41">
        <v>0.457142857</v>
      </c>
      <c r="H394" s="41">
        <v>0.148571429</v>
      </c>
      <c r="I394" s="41">
        <v>0.394285714</v>
      </c>
      <c r="J394" s="41">
        <f t="shared" si="1"/>
        <v>0.062857143</v>
      </c>
      <c r="K394" s="42">
        <v>-5.375486148</v>
      </c>
    </row>
    <row r="395">
      <c r="A395" s="1" t="s">
        <v>445</v>
      </c>
      <c r="B395" s="38">
        <v>663855.0</v>
      </c>
      <c r="C395" s="38">
        <v>1164.0</v>
      </c>
      <c r="D395" s="39">
        <f>sumif('PLA Sheet'!C:C,B395,'PLA Sheet'!H:H)</f>
        <v>67.33333334</v>
      </c>
      <c r="E395" s="40">
        <v>4.952100689</v>
      </c>
      <c r="F395" s="40">
        <f>sumif('PLA Sheet'!C:C,B395,'PLA Sheet'!J:J)/D395*9</f>
        <v>3.770866916</v>
      </c>
      <c r="G395" s="41">
        <v>0.446735395</v>
      </c>
      <c r="H395" s="41">
        <v>0.177835052</v>
      </c>
      <c r="I395" s="41">
        <v>0.375429553</v>
      </c>
      <c r="J395" s="41">
        <f t="shared" si="1"/>
        <v>0.071305842</v>
      </c>
      <c r="K395" s="42">
        <v>-10.42188549</v>
      </c>
    </row>
    <row r="396">
      <c r="A396" s="1" t="s">
        <v>446</v>
      </c>
      <c r="B396" s="38">
        <v>681006.0</v>
      </c>
      <c r="C396" s="38">
        <v>588.0</v>
      </c>
      <c r="D396" s="39">
        <f>sumif('PLA Sheet'!C:C,B396,'PLA Sheet'!H:H)</f>
        <v>30.66666667</v>
      </c>
      <c r="E396" s="40">
        <v>4.951885457</v>
      </c>
      <c r="F396" s="40">
        <f>sumif('PLA Sheet'!C:C,B396,'PLA Sheet'!J:J)/D396*9</f>
        <v>4.230160141</v>
      </c>
      <c r="G396" s="41">
        <v>0.465986395</v>
      </c>
      <c r="H396" s="41">
        <v>0.158163265</v>
      </c>
      <c r="I396" s="41">
        <v>0.37585034</v>
      </c>
      <c r="J396" s="41">
        <f t="shared" si="1"/>
        <v>0.090136055</v>
      </c>
      <c r="K396" s="42">
        <v>-1.470817254</v>
      </c>
    </row>
    <row r="397">
      <c r="A397" s="1" t="s">
        <v>447</v>
      </c>
      <c r="B397" s="38">
        <v>605463.0</v>
      </c>
      <c r="C397" s="38">
        <v>527.0</v>
      </c>
      <c r="D397" s="39">
        <f>sumif('PLA Sheet'!C:C,B397,'PLA Sheet'!H:H)</f>
        <v>27.33333333</v>
      </c>
      <c r="E397" s="40">
        <v>4.951178944</v>
      </c>
      <c r="F397" s="40">
        <f>sumif('PLA Sheet'!C:C,B397,'PLA Sheet'!J:J)/D397*9</f>
        <v>4.327261683</v>
      </c>
      <c r="G397" s="41">
        <v>0.451612903</v>
      </c>
      <c r="H397" s="41">
        <v>0.182163188</v>
      </c>
      <c r="I397" s="41">
        <v>0.366223909</v>
      </c>
      <c r="J397" s="41">
        <f t="shared" si="1"/>
        <v>0.085388994</v>
      </c>
      <c r="K397" s="42">
        <v>-8.32520679</v>
      </c>
    </row>
    <row r="398">
      <c r="A398" s="1" t="s">
        <v>448</v>
      </c>
      <c r="B398" s="38">
        <v>657424.0</v>
      </c>
      <c r="C398" s="38">
        <v>514.0</v>
      </c>
      <c r="D398" s="39">
        <f>sumif('PLA Sheet'!C:C,B398,'PLA Sheet'!H:H)</f>
        <v>31</v>
      </c>
      <c r="E398" s="40">
        <v>4.949615561</v>
      </c>
      <c r="F398" s="40">
        <f>sumif('PLA Sheet'!C:C,B398,'PLA Sheet'!J:J)/D398*9</f>
        <v>3.593383258</v>
      </c>
      <c r="G398" s="41">
        <v>0.435797665</v>
      </c>
      <c r="H398" s="41">
        <v>0.188715953</v>
      </c>
      <c r="I398" s="41">
        <v>0.375486381</v>
      </c>
      <c r="J398" s="41">
        <f t="shared" si="1"/>
        <v>0.060311284</v>
      </c>
      <c r="K398" s="42">
        <v>-4.729845508</v>
      </c>
    </row>
    <row r="399">
      <c r="A399" s="1" t="s">
        <v>449</v>
      </c>
      <c r="B399" s="38">
        <v>687223.0</v>
      </c>
      <c r="C399" s="38">
        <v>689.0</v>
      </c>
      <c r="D399" s="39">
        <f>sumif('PLA Sheet'!C:C,B399,'PLA Sheet'!H:H)</f>
        <v>34.33333333</v>
      </c>
      <c r="E399" s="40">
        <v>4.944872377</v>
      </c>
      <c r="F399" s="40">
        <f>sumif('PLA Sheet'!C:C,B399,'PLA Sheet'!J:J)/D399*9</f>
        <v>4.611269447</v>
      </c>
      <c r="G399" s="41">
        <v>0.457184325</v>
      </c>
      <c r="H399" s="41">
        <v>0.191582003</v>
      </c>
      <c r="I399" s="41">
        <v>0.351233672</v>
      </c>
      <c r="J399" s="41">
        <f t="shared" si="1"/>
        <v>0.105950653</v>
      </c>
      <c r="K399" s="42">
        <v>-8.26662511</v>
      </c>
    </row>
    <row r="400">
      <c r="A400" s="1" t="s">
        <v>450</v>
      </c>
      <c r="B400" s="38">
        <v>682990.0</v>
      </c>
      <c r="C400" s="38">
        <v>2392.0</v>
      </c>
      <c r="D400" s="39">
        <f>sumif('PLA Sheet'!C:C,B400,'PLA Sheet'!H:H)</f>
        <v>157.3333334</v>
      </c>
      <c r="E400" s="40">
        <v>4.942375082</v>
      </c>
      <c r="F400" s="40">
        <f>sumif('PLA Sheet'!C:C,B400,'PLA Sheet'!J:J)/D400*9</f>
        <v>3.468051896</v>
      </c>
      <c r="G400" s="41">
        <v>0.418896321</v>
      </c>
      <c r="H400" s="41">
        <v>0.198996656</v>
      </c>
      <c r="I400" s="41">
        <v>0.382107023</v>
      </c>
      <c r="J400" s="41">
        <f t="shared" si="1"/>
        <v>0.036789298</v>
      </c>
      <c r="K400" s="42">
        <v>14.7954642</v>
      </c>
    </row>
    <row r="401">
      <c r="A401" s="1" t="s">
        <v>451</v>
      </c>
      <c r="B401" s="38">
        <v>623474.0</v>
      </c>
      <c r="C401" s="38">
        <v>1237.0</v>
      </c>
      <c r="D401" s="39">
        <f>sumif('PLA Sheet'!C:C,B401,'PLA Sheet'!H:H)</f>
        <v>83.33333333</v>
      </c>
      <c r="E401" s="40">
        <v>4.939262593</v>
      </c>
      <c r="F401" s="40">
        <f>sumif('PLA Sheet'!C:C,B401,'PLA Sheet'!J:J)/D401*9</f>
        <v>3.41615988</v>
      </c>
      <c r="G401" s="41">
        <v>0.458367017</v>
      </c>
      <c r="H401" s="41">
        <v>0.177849636</v>
      </c>
      <c r="I401" s="41">
        <v>0.363783347</v>
      </c>
      <c r="J401" s="41">
        <f t="shared" si="1"/>
        <v>0.09458367</v>
      </c>
      <c r="K401" s="42">
        <v>1.677025491</v>
      </c>
    </row>
    <row r="402">
      <c r="A402" s="1" t="s">
        <v>452</v>
      </c>
      <c r="B402" s="38">
        <v>607625.0</v>
      </c>
      <c r="C402" s="38">
        <v>2321.0</v>
      </c>
      <c r="D402" s="39">
        <f>sumif('PLA Sheet'!C:C,B402,'PLA Sheet'!H:H)</f>
        <v>145.3333333</v>
      </c>
      <c r="E402" s="40">
        <v>4.937420446</v>
      </c>
      <c r="F402" s="40">
        <f>sumif('PLA Sheet'!C:C,B402,'PLA Sheet'!J:J)/D402*9</f>
        <v>3.473334248</v>
      </c>
      <c r="G402" s="41">
        <v>0.448082723</v>
      </c>
      <c r="H402" s="41">
        <v>0.179663938</v>
      </c>
      <c r="I402" s="41">
        <v>0.372253339</v>
      </c>
      <c r="J402" s="41">
        <f t="shared" si="1"/>
        <v>0.075829384</v>
      </c>
      <c r="K402" s="42">
        <v>0.620870345</v>
      </c>
    </row>
    <row r="403">
      <c r="A403" s="1" t="s">
        <v>453</v>
      </c>
      <c r="B403" s="38">
        <v>592836.0</v>
      </c>
      <c r="C403" s="38">
        <v>1988.0</v>
      </c>
      <c r="D403" s="39">
        <f>sumif('PLA Sheet'!C:C,B403,'PLA Sheet'!H:H)</f>
        <v>123.6666667</v>
      </c>
      <c r="E403" s="40">
        <v>4.937354343</v>
      </c>
      <c r="F403" s="40">
        <f>sumif('PLA Sheet'!C:C,B403,'PLA Sheet'!J:J)/D403*9</f>
        <v>3.69319027</v>
      </c>
      <c r="G403" s="41">
        <v>0.448189135</v>
      </c>
      <c r="H403" s="41">
        <v>0.185613682</v>
      </c>
      <c r="I403" s="41">
        <v>0.366197183</v>
      </c>
      <c r="J403" s="41">
        <f t="shared" si="1"/>
        <v>0.081991952</v>
      </c>
      <c r="K403" s="42">
        <v>4.230141419</v>
      </c>
    </row>
    <row r="404">
      <c r="A404" s="1" t="s">
        <v>454</v>
      </c>
      <c r="B404" s="38">
        <v>674370.0</v>
      </c>
      <c r="C404" s="38">
        <v>1334.0</v>
      </c>
      <c r="D404" s="39">
        <f>sumif('PLA Sheet'!C:C,B404,'PLA Sheet'!H:H)</f>
        <v>79.66666666</v>
      </c>
      <c r="E404" s="40">
        <v>4.932387015</v>
      </c>
      <c r="F404" s="40">
        <f>sumif('PLA Sheet'!C:C,B404,'PLA Sheet'!J:J)/D404*9</f>
        <v>3.844797402</v>
      </c>
      <c r="G404" s="41">
        <v>0.437781109</v>
      </c>
      <c r="H404" s="41">
        <v>0.206896552</v>
      </c>
      <c r="I404" s="41">
        <v>0.355322339</v>
      </c>
      <c r="J404" s="41">
        <f t="shared" si="1"/>
        <v>0.08245877</v>
      </c>
      <c r="K404" s="42">
        <v>-11.82308602</v>
      </c>
    </row>
    <row r="405">
      <c r="A405" s="1" t="s">
        <v>455</v>
      </c>
      <c r="B405" s="38">
        <v>570632.0</v>
      </c>
      <c r="C405" s="38">
        <v>894.0</v>
      </c>
      <c r="D405" s="39">
        <f>sumif('PLA Sheet'!C:C,B405,'PLA Sheet'!H:H)</f>
        <v>55</v>
      </c>
      <c r="E405" s="40">
        <v>4.931688858</v>
      </c>
      <c r="F405" s="40">
        <f>sumif('PLA Sheet'!C:C,B405,'PLA Sheet'!J:J)/D405*9</f>
        <v>3.818635363</v>
      </c>
      <c r="G405" s="41">
        <v>0.440715884</v>
      </c>
      <c r="H405" s="41">
        <v>0.166666667</v>
      </c>
      <c r="I405" s="41">
        <v>0.39261745</v>
      </c>
      <c r="J405" s="41">
        <f t="shared" si="1"/>
        <v>0.048098434</v>
      </c>
      <c r="K405" s="42">
        <v>3.05981223</v>
      </c>
    </row>
    <row r="406">
      <c r="A406" s="1" t="s">
        <v>456</v>
      </c>
      <c r="B406" s="38">
        <v>605135.0</v>
      </c>
      <c r="C406" s="38">
        <v>2737.0</v>
      </c>
      <c r="D406" s="39">
        <f>sumif('PLA Sheet'!C:C,B406,'PLA Sheet'!H:H)</f>
        <v>170.3333333</v>
      </c>
      <c r="E406" s="40">
        <v>4.930342011</v>
      </c>
      <c r="F406" s="40">
        <f>sumif('PLA Sheet'!C:C,B406,'PLA Sheet'!J:J)/D406*9</f>
        <v>3.622228169</v>
      </c>
      <c r="G406" s="41">
        <v>0.445743515</v>
      </c>
      <c r="H406" s="41">
        <v>0.167701863</v>
      </c>
      <c r="I406" s="41">
        <v>0.386554622</v>
      </c>
      <c r="J406" s="41">
        <f t="shared" si="1"/>
        <v>0.059188893</v>
      </c>
      <c r="K406" s="42">
        <v>5.240849499</v>
      </c>
    </row>
    <row r="407">
      <c r="A407" s="1" t="s">
        <v>457</v>
      </c>
      <c r="B407" s="38">
        <v>477132.0</v>
      </c>
      <c r="C407" s="38">
        <v>1713.0</v>
      </c>
      <c r="D407" s="39">
        <f>sumif('PLA Sheet'!C:C,B407,'PLA Sheet'!H:H)</f>
        <v>112.6666667</v>
      </c>
      <c r="E407" s="40">
        <v>4.930278996</v>
      </c>
      <c r="F407" s="40">
        <f>sumif('PLA Sheet'!C:C,B407,'PLA Sheet'!J:J)/D407*9</f>
        <v>3.499642704</v>
      </c>
      <c r="G407" s="41">
        <v>0.426152948</v>
      </c>
      <c r="H407" s="41">
        <v>0.200233508</v>
      </c>
      <c r="I407" s="41">
        <v>0.373613543</v>
      </c>
      <c r="J407" s="41">
        <f t="shared" si="1"/>
        <v>0.052539405</v>
      </c>
      <c r="K407" s="42">
        <v>2.606708097</v>
      </c>
    </row>
    <row r="408">
      <c r="A408" s="1" t="s">
        <v>458</v>
      </c>
      <c r="B408" s="38">
        <v>676130.0</v>
      </c>
      <c r="C408" s="38">
        <v>1060.0</v>
      </c>
      <c r="D408" s="39">
        <f>sumif('PLA Sheet'!C:C,B408,'PLA Sheet'!H:H)</f>
        <v>67</v>
      </c>
      <c r="E408" s="40">
        <v>4.927912892</v>
      </c>
      <c r="F408" s="40">
        <f>sumif('PLA Sheet'!C:C,B408,'PLA Sheet'!J:J)/D408*9</f>
        <v>3.617542209</v>
      </c>
      <c r="G408" s="41">
        <v>0.449056604</v>
      </c>
      <c r="H408" s="41">
        <v>0.163207547</v>
      </c>
      <c r="I408" s="41">
        <v>0.387735849</v>
      </c>
      <c r="J408" s="41">
        <f t="shared" si="1"/>
        <v>0.061320755</v>
      </c>
      <c r="K408" s="42">
        <v>-4.986703267</v>
      </c>
    </row>
    <row r="409">
      <c r="A409" s="1" t="s">
        <v>459</v>
      </c>
      <c r="B409" s="38">
        <v>664062.0</v>
      </c>
      <c r="C409" s="38">
        <v>596.0</v>
      </c>
      <c r="D409" s="39">
        <f>sumif('PLA Sheet'!C:C,B409,'PLA Sheet'!H:H)</f>
        <v>36</v>
      </c>
      <c r="E409" s="40">
        <v>4.92670766</v>
      </c>
      <c r="F409" s="40">
        <f>sumif('PLA Sheet'!C:C,B409,'PLA Sheet'!J:J)/D409*9</f>
        <v>3.8129395</v>
      </c>
      <c r="G409" s="41">
        <v>0.441275168</v>
      </c>
      <c r="H409" s="41">
        <v>0.19966443</v>
      </c>
      <c r="I409" s="41">
        <v>0.359060403</v>
      </c>
      <c r="J409" s="41">
        <f t="shared" si="1"/>
        <v>0.082214765</v>
      </c>
      <c r="K409" s="42">
        <v>0.682000366</v>
      </c>
    </row>
    <row r="410">
      <c r="A410" s="1" t="s">
        <v>460</v>
      </c>
      <c r="B410" s="38">
        <v>519151.0</v>
      </c>
      <c r="C410" s="38">
        <v>644.0</v>
      </c>
      <c r="D410" s="39">
        <f>sumif('PLA Sheet'!C:C,B410,'PLA Sheet'!H:H)</f>
        <v>41.33333333</v>
      </c>
      <c r="E410" s="40">
        <v>4.925850144</v>
      </c>
      <c r="F410" s="40">
        <f>sumif('PLA Sheet'!C:C,B410,'PLA Sheet'!J:J)/D410*9</f>
        <v>3.622325879</v>
      </c>
      <c r="G410" s="41">
        <v>0.453416149</v>
      </c>
      <c r="H410" s="41">
        <v>0.178571429</v>
      </c>
      <c r="I410" s="41">
        <v>0.368012422</v>
      </c>
      <c r="J410" s="41">
        <f t="shared" si="1"/>
        <v>0.085403727</v>
      </c>
      <c r="K410" s="42">
        <v>-7.733504041</v>
      </c>
    </row>
    <row r="411">
      <c r="A411" s="1" t="s">
        <v>461</v>
      </c>
      <c r="B411" s="38">
        <v>673540.0</v>
      </c>
      <c r="C411" s="38">
        <v>1840.0</v>
      </c>
      <c r="D411" s="39">
        <f>sumif('PLA Sheet'!C:C,B411,'PLA Sheet'!H:H)</f>
        <v>113.3333333</v>
      </c>
      <c r="E411" s="40">
        <v>4.920721936</v>
      </c>
      <c r="F411" s="40">
        <f>sumif('PLA Sheet'!C:C,B411,'PLA Sheet'!J:J)/D411*9</f>
        <v>3.307331012</v>
      </c>
      <c r="G411" s="41">
        <v>0.441847826</v>
      </c>
      <c r="H411" s="41">
        <v>0.169565217</v>
      </c>
      <c r="I411" s="41">
        <v>0.388586957</v>
      </c>
      <c r="J411" s="41">
        <f t="shared" si="1"/>
        <v>0.053260869</v>
      </c>
      <c r="K411" s="42">
        <v>4.675075119</v>
      </c>
    </row>
    <row r="412">
      <c r="A412" s="1" t="s">
        <v>462</v>
      </c>
      <c r="B412" s="38">
        <v>623167.0</v>
      </c>
      <c r="C412" s="38">
        <v>657.0</v>
      </c>
      <c r="D412" s="39">
        <f>sumif('PLA Sheet'!C:C,B412,'PLA Sheet'!H:H)</f>
        <v>43.66666667</v>
      </c>
      <c r="E412" s="40">
        <v>4.920695944</v>
      </c>
      <c r="F412" s="40">
        <f>sumif('PLA Sheet'!C:C,B412,'PLA Sheet'!J:J)/D412*9</f>
        <v>3.355097084</v>
      </c>
      <c r="G412" s="41">
        <v>0.420091324</v>
      </c>
      <c r="H412" s="41">
        <v>0.210045662</v>
      </c>
      <c r="I412" s="41">
        <v>0.369863014</v>
      </c>
      <c r="J412" s="41">
        <f t="shared" si="1"/>
        <v>0.05022831</v>
      </c>
      <c r="K412" s="42">
        <v>3.642218337</v>
      </c>
    </row>
    <row r="413">
      <c r="A413" s="1" t="s">
        <v>463</v>
      </c>
      <c r="B413" s="38">
        <v>663767.0</v>
      </c>
      <c r="C413" s="38">
        <v>665.0</v>
      </c>
      <c r="D413" s="39">
        <f>sumif('PLA Sheet'!C:C,B413,'PLA Sheet'!H:H)</f>
        <v>45</v>
      </c>
      <c r="E413" s="40">
        <v>4.919341268</v>
      </c>
      <c r="F413" s="40">
        <f>sumif('PLA Sheet'!C:C,B413,'PLA Sheet'!J:J)/D413*9</f>
        <v>3.4308608</v>
      </c>
      <c r="G413" s="41">
        <v>0.458646617</v>
      </c>
      <c r="H413" s="41">
        <v>0.151879699</v>
      </c>
      <c r="I413" s="41">
        <v>0.389473684</v>
      </c>
      <c r="J413" s="41">
        <f t="shared" si="1"/>
        <v>0.069172933</v>
      </c>
      <c r="K413" s="42">
        <v>7.117345743</v>
      </c>
    </row>
    <row r="414">
      <c r="A414" s="1" t="s">
        <v>464</v>
      </c>
      <c r="B414" s="38">
        <v>615698.0</v>
      </c>
      <c r="C414" s="38">
        <v>1948.0</v>
      </c>
      <c r="D414" s="39">
        <f>sumif('PLA Sheet'!C:C,B414,'PLA Sheet'!H:H)</f>
        <v>117.6666667</v>
      </c>
      <c r="E414" s="40">
        <v>4.918532247</v>
      </c>
      <c r="F414" s="40">
        <f>sumif('PLA Sheet'!C:C,B414,'PLA Sheet'!J:J)/D414*9</f>
        <v>3.866353572</v>
      </c>
      <c r="G414" s="41">
        <v>0.418377823</v>
      </c>
      <c r="H414" s="41">
        <v>0.207392197</v>
      </c>
      <c r="I414" s="41">
        <v>0.374229979</v>
      </c>
      <c r="J414" s="41">
        <f t="shared" si="1"/>
        <v>0.044147844</v>
      </c>
      <c r="K414" s="42">
        <v>-11.79797656</v>
      </c>
    </row>
    <row r="415">
      <c r="A415" s="1" t="s">
        <v>465</v>
      </c>
      <c r="B415" s="38">
        <v>641672.0</v>
      </c>
      <c r="C415" s="38">
        <v>581.0</v>
      </c>
      <c r="D415" s="39">
        <f>sumif('PLA Sheet'!C:C,B415,'PLA Sheet'!H:H)</f>
        <v>34</v>
      </c>
      <c r="E415" s="40">
        <v>4.912938801</v>
      </c>
      <c r="F415" s="40">
        <f>sumif('PLA Sheet'!C:C,B415,'PLA Sheet'!J:J)/D415*9</f>
        <v>3.827253441</v>
      </c>
      <c r="G415" s="41">
        <v>0.438898451</v>
      </c>
      <c r="H415" s="41">
        <v>0.170395869</v>
      </c>
      <c r="I415" s="41">
        <v>0.39070568</v>
      </c>
      <c r="J415" s="41">
        <f t="shared" si="1"/>
        <v>0.048192771</v>
      </c>
      <c r="K415" s="42">
        <v>-4.548379223</v>
      </c>
    </row>
    <row r="416">
      <c r="A416" s="1" t="s">
        <v>466</v>
      </c>
      <c r="B416" s="38">
        <v>687134.0</v>
      </c>
      <c r="C416" s="38">
        <v>999.0</v>
      </c>
      <c r="D416" s="39">
        <f>sumif('PLA Sheet'!C:C,B416,'PLA Sheet'!H:H)</f>
        <v>58.66666666</v>
      </c>
      <c r="E416" s="40">
        <v>4.911496662</v>
      </c>
      <c r="F416" s="40">
        <f>sumif('PLA Sheet'!C:C,B416,'PLA Sheet'!J:J)/D416*9</f>
        <v>4.01170679</v>
      </c>
      <c r="G416" s="41">
        <v>0.437437437</v>
      </c>
      <c r="H416" s="41">
        <v>0.184184184</v>
      </c>
      <c r="I416" s="41">
        <v>0.378378378</v>
      </c>
      <c r="J416" s="41">
        <f t="shared" si="1"/>
        <v>0.059059059</v>
      </c>
      <c r="K416" s="42">
        <v>-24.41896546</v>
      </c>
    </row>
    <row r="417">
      <c r="A417" s="1" t="s">
        <v>467</v>
      </c>
      <c r="B417" s="38">
        <v>643410.0</v>
      </c>
      <c r="C417" s="38">
        <v>816.0</v>
      </c>
      <c r="D417" s="39">
        <f>sumif('PLA Sheet'!C:C,B417,'PLA Sheet'!H:H)</f>
        <v>48.33333333</v>
      </c>
      <c r="E417" s="40">
        <v>4.909292529</v>
      </c>
      <c r="F417" s="40">
        <f>sumif('PLA Sheet'!C:C,B417,'PLA Sheet'!J:J)/D417*9</f>
        <v>3.94344571</v>
      </c>
      <c r="G417" s="41">
        <v>0.410539216</v>
      </c>
      <c r="H417" s="41">
        <v>0.221813725</v>
      </c>
      <c r="I417" s="41">
        <v>0.367647059</v>
      </c>
      <c r="J417" s="41">
        <f t="shared" si="1"/>
        <v>0.042892157</v>
      </c>
      <c r="K417" s="42">
        <v>-8.871838844</v>
      </c>
    </row>
    <row r="418">
      <c r="A418" s="1" t="s">
        <v>468</v>
      </c>
      <c r="B418" s="38">
        <v>675848.0</v>
      </c>
      <c r="C418" s="38">
        <v>1027.0</v>
      </c>
      <c r="D418" s="39">
        <f>sumif('PLA Sheet'!C:C,B418,'PLA Sheet'!H:H)</f>
        <v>61.33333333</v>
      </c>
      <c r="E418" s="40">
        <v>4.906493198</v>
      </c>
      <c r="F418" s="40">
        <f>sumif('PLA Sheet'!C:C,B418,'PLA Sheet'!J:J)/D418*9</f>
        <v>3.959999902</v>
      </c>
      <c r="G418" s="41">
        <v>0.441090555</v>
      </c>
      <c r="H418" s="41">
        <v>0.184031159</v>
      </c>
      <c r="I418" s="41">
        <v>0.374878286</v>
      </c>
      <c r="J418" s="41">
        <f t="shared" si="1"/>
        <v>0.066212269</v>
      </c>
      <c r="K418" s="42">
        <v>7.717627487</v>
      </c>
    </row>
    <row r="419">
      <c r="A419" s="1" t="s">
        <v>469</v>
      </c>
      <c r="B419" s="38">
        <v>666277.0</v>
      </c>
      <c r="C419" s="38">
        <v>673.0</v>
      </c>
      <c r="D419" s="39">
        <f>sumif('PLA Sheet'!C:C,B419,'PLA Sheet'!H:H)</f>
        <v>36.66666667</v>
      </c>
      <c r="E419" s="40">
        <v>4.904881234</v>
      </c>
      <c r="F419" s="40">
        <f>sumif('PLA Sheet'!C:C,B419,'PLA Sheet'!J:J)/D419*9</f>
        <v>4.308595445</v>
      </c>
      <c r="G419" s="41">
        <v>0.451708767</v>
      </c>
      <c r="H419" s="41">
        <v>0.17384844</v>
      </c>
      <c r="I419" s="41">
        <v>0.374442793</v>
      </c>
      <c r="J419" s="41">
        <f t="shared" si="1"/>
        <v>0.077265974</v>
      </c>
      <c r="K419" s="42">
        <v>-4.815527167</v>
      </c>
    </row>
    <row r="420">
      <c r="A420" s="1" t="s">
        <v>470</v>
      </c>
      <c r="B420" s="38">
        <v>681343.0</v>
      </c>
      <c r="C420" s="38">
        <v>2336.0</v>
      </c>
      <c r="D420" s="39">
        <f>sumif('PLA Sheet'!C:C,B420,'PLA Sheet'!H:H)</f>
        <v>146.3333333</v>
      </c>
      <c r="E420" s="40">
        <v>4.904629129</v>
      </c>
      <c r="F420" s="40">
        <f>sumif('PLA Sheet'!C:C,B420,'PLA Sheet'!J:J)/D420*9</f>
        <v>3.81098413</v>
      </c>
      <c r="G420" s="41">
        <v>0.4375</v>
      </c>
      <c r="H420" s="41">
        <v>0.176369863</v>
      </c>
      <c r="I420" s="41">
        <v>0.386130137</v>
      </c>
      <c r="J420" s="41">
        <f t="shared" si="1"/>
        <v>0.051369863</v>
      </c>
      <c r="K420" s="42">
        <v>35.79210943</v>
      </c>
    </row>
    <row r="421">
      <c r="A421" s="1" t="s">
        <v>471</v>
      </c>
      <c r="B421" s="38">
        <v>665660.0</v>
      </c>
      <c r="C421" s="38">
        <v>736.0</v>
      </c>
      <c r="D421" s="39">
        <f>sumif('PLA Sheet'!C:C,B421,'PLA Sheet'!H:H)</f>
        <v>42.33333333</v>
      </c>
      <c r="E421" s="40">
        <v>4.896571576</v>
      </c>
      <c r="F421" s="40">
        <f>sumif('PLA Sheet'!C:C,B421,'PLA Sheet'!J:J)/D421*9</f>
        <v>4.101508135</v>
      </c>
      <c r="G421" s="41">
        <v>0.466032609</v>
      </c>
      <c r="H421" s="41">
        <v>0.142663043</v>
      </c>
      <c r="I421" s="41">
        <v>0.391304348</v>
      </c>
      <c r="J421" s="41">
        <f t="shared" si="1"/>
        <v>0.074728261</v>
      </c>
      <c r="K421" s="42">
        <v>4.272000163</v>
      </c>
    </row>
    <row r="422">
      <c r="A422" s="1" t="s">
        <v>472</v>
      </c>
      <c r="B422" s="38">
        <v>675911.0</v>
      </c>
      <c r="C422" s="38">
        <v>2050.0</v>
      </c>
      <c r="D422" s="39">
        <f>sumif('PLA Sheet'!C:C,B422,'PLA Sheet'!H:H)</f>
        <v>125.3333333</v>
      </c>
      <c r="E422" s="40">
        <v>4.896349363</v>
      </c>
      <c r="F422" s="40">
        <f>sumif('PLA Sheet'!C:C,B422,'PLA Sheet'!J:J)/D422*9</f>
        <v>3.886830239</v>
      </c>
      <c r="G422" s="41">
        <v>0.433658537</v>
      </c>
      <c r="H422" s="41">
        <v>0.190243902</v>
      </c>
      <c r="I422" s="41">
        <v>0.376097561</v>
      </c>
      <c r="J422" s="41">
        <f t="shared" si="1"/>
        <v>0.057560976</v>
      </c>
      <c r="K422" s="42">
        <v>-18.47231088</v>
      </c>
    </row>
    <row r="423">
      <c r="A423" s="1" t="s">
        <v>473</v>
      </c>
      <c r="B423" s="38">
        <v>527048.0</v>
      </c>
      <c r="C423" s="38">
        <v>880.0</v>
      </c>
      <c r="D423" s="39">
        <f>sumif('PLA Sheet'!C:C,B423,'PLA Sheet'!H:H)</f>
        <v>56</v>
      </c>
      <c r="E423" s="40">
        <v>4.896259416</v>
      </c>
      <c r="F423" s="40">
        <f>sumif('PLA Sheet'!C:C,B423,'PLA Sheet'!J:J)/D423*9</f>
        <v>3.633393375</v>
      </c>
      <c r="G423" s="41">
        <v>0.415909091</v>
      </c>
      <c r="H423" s="41">
        <v>0.1875</v>
      </c>
      <c r="I423" s="41">
        <v>0.396590909</v>
      </c>
      <c r="J423" s="41">
        <f t="shared" si="1"/>
        <v>0.019318182</v>
      </c>
      <c r="K423" s="42">
        <v>16.16420465</v>
      </c>
    </row>
    <row r="424">
      <c r="A424" s="1" t="s">
        <v>474</v>
      </c>
      <c r="B424" s="38">
        <v>450203.0</v>
      </c>
      <c r="C424" s="38">
        <v>2467.0</v>
      </c>
      <c r="D424" s="39">
        <f>sumif('PLA Sheet'!C:C,B424,'PLA Sheet'!H:H)</f>
        <v>142</v>
      </c>
      <c r="E424" s="40">
        <v>4.894860047</v>
      </c>
      <c r="F424" s="40">
        <f>sumif('PLA Sheet'!C:C,B424,'PLA Sheet'!J:J)/D424*9</f>
        <v>4.059892775</v>
      </c>
      <c r="G424" s="41">
        <v>0.460478314</v>
      </c>
      <c r="H424" s="41">
        <v>0.168625861</v>
      </c>
      <c r="I424" s="41">
        <v>0.370895825</v>
      </c>
      <c r="J424" s="41">
        <f t="shared" si="1"/>
        <v>0.089582489</v>
      </c>
      <c r="K424" s="42">
        <v>-9.754715705</v>
      </c>
    </row>
    <row r="425">
      <c r="A425" s="1" t="s">
        <v>475</v>
      </c>
      <c r="B425" s="38">
        <v>605130.0</v>
      </c>
      <c r="C425" s="38">
        <v>1224.0</v>
      </c>
      <c r="D425" s="39">
        <f>sumif('PLA Sheet'!C:C,B425,'PLA Sheet'!H:H)</f>
        <v>68.33333333</v>
      </c>
      <c r="E425" s="40">
        <v>4.893167391</v>
      </c>
      <c r="F425" s="40">
        <f>sumif('PLA Sheet'!C:C,B425,'PLA Sheet'!J:J)/D425*9</f>
        <v>4.274552942</v>
      </c>
      <c r="G425" s="41">
        <v>0.461601307</v>
      </c>
      <c r="H425" s="41">
        <v>0.183823529</v>
      </c>
      <c r="I425" s="41">
        <v>0.354575163</v>
      </c>
      <c r="J425" s="41">
        <f t="shared" si="1"/>
        <v>0.107026144</v>
      </c>
      <c r="K425" s="42">
        <v>15.99420385</v>
      </c>
    </row>
    <row r="426">
      <c r="A426" s="1" t="s">
        <v>476</v>
      </c>
      <c r="B426" s="38">
        <v>500779.0</v>
      </c>
      <c r="C426" s="38">
        <v>2112.0</v>
      </c>
      <c r="D426" s="39">
        <f>sumif('PLA Sheet'!C:C,B426,'PLA Sheet'!H:H)</f>
        <v>131.6666667</v>
      </c>
      <c r="E426" s="40">
        <v>4.891086585</v>
      </c>
      <c r="F426" s="40">
        <f>sumif('PLA Sheet'!C:C,B426,'PLA Sheet'!J:J)/D426*9</f>
        <v>3.660872309</v>
      </c>
      <c r="G426" s="41">
        <v>0.418087121</v>
      </c>
      <c r="H426" s="41">
        <v>0.187026515</v>
      </c>
      <c r="I426" s="41">
        <v>0.394886364</v>
      </c>
      <c r="J426" s="41">
        <f t="shared" si="1"/>
        <v>0.023200757</v>
      </c>
      <c r="K426" s="42">
        <v>19.03343325</v>
      </c>
    </row>
    <row r="427">
      <c r="A427" s="1" t="s">
        <v>477</v>
      </c>
      <c r="B427" s="38">
        <v>677958.0</v>
      </c>
      <c r="C427" s="38">
        <v>1095.0</v>
      </c>
      <c r="D427" s="39">
        <f>sumif('PLA Sheet'!C:C,B427,'PLA Sheet'!H:H)</f>
        <v>64.33333333</v>
      </c>
      <c r="E427" s="40">
        <v>4.891069886</v>
      </c>
      <c r="F427" s="40">
        <f>sumif('PLA Sheet'!C:C,B427,'PLA Sheet'!J:J)/D427*9</f>
        <v>4.060418083</v>
      </c>
      <c r="G427" s="41">
        <v>0.414611872</v>
      </c>
      <c r="H427" s="41">
        <v>0.197260274</v>
      </c>
      <c r="I427" s="41">
        <v>0.388127854</v>
      </c>
      <c r="J427" s="41">
        <f t="shared" si="1"/>
        <v>0.026484018</v>
      </c>
      <c r="K427" s="42">
        <v>3.341162007</v>
      </c>
    </row>
    <row r="428">
      <c r="A428" s="1" t="s">
        <v>478</v>
      </c>
      <c r="B428" s="38">
        <v>656457.0</v>
      </c>
      <c r="C428" s="38">
        <v>809.0</v>
      </c>
      <c r="D428" s="39">
        <f>sumif('PLA Sheet'!C:C,B428,'PLA Sheet'!H:H)</f>
        <v>51</v>
      </c>
      <c r="E428" s="40">
        <v>4.888040049</v>
      </c>
      <c r="F428" s="40">
        <f>sumif('PLA Sheet'!C:C,B428,'PLA Sheet'!J:J)/D428*9</f>
        <v>3.880137353</v>
      </c>
      <c r="G428" s="41">
        <v>0.467243511</v>
      </c>
      <c r="H428" s="41">
        <v>0.137206428</v>
      </c>
      <c r="I428" s="41">
        <v>0.395550062</v>
      </c>
      <c r="J428" s="41">
        <f t="shared" si="1"/>
        <v>0.071693449</v>
      </c>
      <c r="K428" s="42">
        <v>7.597917773</v>
      </c>
    </row>
    <row r="429">
      <c r="A429" s="1" t="s">
        <v>479</v>
      </c>
      <c r="B429" s="38">
        <v>664299.0</v>
      </c>
      <c r="C429" s="38">
        <v>598.0</v>
      </c>
      <c r="D429" s="39">
        <f>sumif('PLA Sheet'!C:C,B429,'PLA Sheet'!H:H)</f>
        <v>37</v>
      </c>
      <c r="E429" s="40">
        <v>4.886916064</v>
      </c>
      <c r="F429" s="40">
        <f>sumif('PLA Sheet'!C:C,B429,'PLA Sheet'!J:J)/D429*9</f>
        <v>3.816480649</v>
      </c>
      <c r="G429" s="41">
        <v>0.446488294</v>
      </c>
      <c r="H429" s="41">
        <v>0.158862876</v>
      </c>
      <c r="I429" s="41">
        <v>0.394648829</v>
      </c>
      <c r="J429" s="41">
        <f t="shared" si="1"/>
        <v>0.051839465</v>
      </c>
      <c r="K429" s="42">
        <v>-1.72282175</v>
      </c>
    </row>
    <row r="430">
      <c r="A430" s="1" t="s">
        <v>480</v>
      </c>
      <c r="B430" s="38">
        <v>647336.0</v>
      </c>
      <c r="C430" s="38">
        <v>1485.0</v>
      </c>
      <c r="D430" s="39">
        <f>sumif('PLA Sheet'!C:C,B430,'PLA Sheet'!H:H)</f>
        <v>89.66666666</v>
      </c>
      <c r="E430" s="40">
        <v>4.88635357</v>
      </c>
      <c r="F430" s="40">
        <f>sumif('PLA Sheet'!C:C,B430,'PLA Sheet'!J:J)/D430*9</f>
        <v>3.24118519</v>
      </c>
      <c r="G430" s="41">
        <v>0.465993266</v>
      </c>
      <c r="H430" s="41">
        <v>0.163636364</v>
      </c>
      <c r="I430" s="41">
        <v>0.37037037</v>
      </c>
      <c r="J430" s="41">
        <f t="shared" si="1"/>
        <v>0.095622896</v>
      </c>
      <c r="K430" s="42">
        <v>19.59927167</v>
      </c>
    </row>
    <row r="431">
      <c r="A431" s="1" t="s">
        <v>481</v>
      </c>
      <c r="B431" s="38">
        <v>622608.0</v>
      </c>
      <c r="C431" s="38">
        <v>2212.0</v>
      </c>
      <c r="D431" s="39">
        <f>sumif('PLA Sheet'!C:C,B431,'PLA Sheet'!H:H)</f>
        <v>130</v>
      </c>
      <c r="E431" s="40">
        <v>4.88526517</v>
      </c>
      <c r="F431" s="40">
        <f>sumif('PLA Sheet'!C:C,B431,'PLA Sheet'!J:J)/D431*9</f>
        <v>4.064429631</v>
      </c>
      <c r="G431" s="41">
        <v>0.423146474</v>
      </c>
      <c r="H431" s="41">
        <v>0.199819168</v>
      </c>
      <c r="I431" s="41">
        <v>0.377034358</v>
      </c>
      <c r="J431" s="41">
        <f t="shared" si="1"/>
        <v>0.046112116</v>
      </c>
      <c r="K431" s="42">
        <v>-45.70806762</v>
      </c>
    </row>
    <row r="432">
      <c r="A432" s="1" t="s">
        <v>482</v>
      </c>
      <c r="B432" s="38">
        <v>693312.0</v>
      </c>
      <c r="C432" s="38">
        <v>626.0</v>
      </c>
      <c r="D432" s="39">
        <f>sumif('PLA Sheet'!C:C,B432,'PLA Sheet'!H:H)</f>
        <v>38</v>
      </c>
      <c r="E432" s="40">
        <v>4.884789649</v>
      </c>
      <c r="F432" s="40">
        <f>sumif('PLA Sheet'!C:C,B432,'PLA Sheet'!J:J)/D432*9</f>
        <v>3.985671079</v>
      </c>
      <c r="G432" s="41">
        <v>0.439297125</v>
      </c>
      <c r="H432" s="41">
        <v>0.180511182</v>
      </c>
      <c r="I432" s="41">
        <v>0.380191693</v>
      </c>
      <c r="J432" s="41">
        <f t="shared" si="1"/>
        <v>0.059105432</v>
      </c>
      <c r="K432" s="42">
        <v>-2.154503879</v>
      </c>
    </row>
    <row r="433">
      <c r="A433" s="1" t="s">
        <v>483</v>
      </c>
      <c r="B433" s="38">
        <v>664192.0</v>
      </c>
      <c r="C433" s="38">
        <v>620.0</v>
      </c>
      <c r="D433" s="39">
        <f>sumif('PLA Sheet'!C:C,B433,'PLA Sheet'!H:H)</f>
        <v>38.33333333</v>
      </c>
      <c r="E433" s="40">
        <v>4.883841236</v>
      </c>
      <c r="F433" s="40">
        <f>sumif('PLA Sheet'!C:C,B433,'PLA Sheet'!J:J)/D433*9</f>
        <v>3.867630731</v>
      </c>
      <c r="G433" s="41">
        <v>0.427419355</v>
      </c>
      <c r="H433" s="41">
        <v>0.170967742</v>
      </c>
      <c r="I433" s="41">
        <v>0.401612903</v>
      </c>
      <c r="J433" s="41">
        <f t="shared" si="1"/>
        <v>0.025806452</v>
      </c>
      <c r="K433" s="42">
        <v>3.238543576</v>
      </c>
    </row>
    <row r="434">
      <c r="A434" s="1" t="s">
        <v>484</v>
      </c>
      <c r="B434" s="38">
        <v>682847.0</v>
      </c>
      <c r="C434" s="38">
        <v>1470.0</v>
      </c>
      <c r="D434" s="39">
        <f>sumif('PLA Sheet'!C:C,B434,'PLA Sheet'!H:H)</f>
        <v>88.66666667</v>
      </c>
      <c r="E434" s="40">
        <v>4.883705283</v>
      </c>
      <c r="F434" s="40">
        <f>sumif('PLA Sheet'!C:C,B434,'PLA Sheet'!J:J)/D434*9</f>
        <v>3.889796312</v>
      </c>
      <c r="G434" s="41">
        <v>0.431292517</v>
      </c>
      <c r="H434" s="41">
        <v>0.192517007</v>
      </c>
      <c r="I434" s="41">
        <v>0.376190476</v>
      </c>
      <c r="J434" s="41">
        <f t="shared" si="1"/>
        <v>0.055102041</v>
      </c>
      <c r="K434" s="42">
        <v>9.204958964</v>
      </c>
    </row>
    <row r="435">
      <c r="A435" s="1" t="s">
        <v>485</v>
      </c>
      <c r="B435" s="38">
        <v>701519.0</v>
      </c>
      <c r="C435" s="38">
        <v>641.0</v>
      </c>
      <c r="D435" s="39">
        <f>sumif('PLA Sheet'!C:C,B435,'PLA Sheet'!H:H)</f>
        <v>33.66666667</v>
      </c>
      <c r="E435" s="40">
        <v>4.879519576</v>
      </c>
      <c r="F435" s="40">
        <f>sumif('PLA Sheet'!C:C,B435,'PLA Sheet'!J:J)/D435*9</f>
        <v>4.659643158</v>
      </c>
      <c r="G435" s="41">
        <v>0.418096724</v>
      </c>
      <c r="H435" s="41">
        <v>0.171606864</v>
      </c>
      <c r="I435" s="41">
        <v>0.410296412</v>
      </c>
      <c r="J435" s="41">
        <f t="shared" si="1"/>
        <v>0.007800312</v>
      </c>
      <c r="K435" s="42">
        <v>0.791848943</v>
      </c>
    </row>
    <row r="436">
      <c r="A436" s="1" t="s">
        <v>486</v>
      </c>
      <c r="B436" s="38">
        <v>683409.0</v>
      </c>
      <c r="C436" s="38">
        <v>991.0</v>
      </c>
      <c r="D436" s="39">
        <f>sumif('PLA Sheet'!C:C,B436,'PLA Sheet'!H:H)</f>
        <v>58.66666667</v>
      </c>
      <c r="E436" s="40">
        <v>4.8794499</v>
      </c>
      <c r="F436" s="40">
        <f>sumif('PLA Sheet'!C:C,B436,'PLA Sheet'!J:J)/D436*9</f>
        <v>4.031740022</v>
      </c>
      <c r="G436" s="41">
        <v>0.433905146</v>
      </c>
      <c r="H436" s="41">
        <v>0.190716448</v>
      </c>
      <c r="I436" s="41">
        <v>0.375378406</v>
      </c>
      <c r="J436" s="41">
        <f t="shared" si="1"/>
        <v>0.05852674</v>
      </c>
      <c r="K436" s="42">
        <v>-10.33592098</v>
      </c>
    </row>
    <row r="437">
      <c r="A437" s="1" t="s">
        <v>487</v>
      </c>
      <c r="B437" s="38">
        <v>676428.0</v>
      </c>
      <c r="C437" s="38">
        <v>1025.0</v>
      </c>
      <c r="D437" s="39">
        <f>sumif('PLA Sheet'!C:C,B437,'PLA Sheet'!H:H)</f>
        <v>63</v>
      </c>
      <c r="E437" s="40">
        <v>4.87831983</v>
      </c>
      <c r="F437" s="40">
        <f>sumif('PLA Sheet'!C:C,B437,'PLA Sheet'!J:J)/D437*9</f>
        <v>3.827963857</v>
      </c>
      <c r="G437" s="41">
        <v>0.43804878</v>
      </c>
      <c r="H437" s="41">
        <v>0.184390244</v>
      </c>
      <c r="I437" s="41">
        <v>0.377560976</v>
      </c>
      <c r="J437" s="41">
        <f t="shared" si="1"/>
        <v>0.060487804</v>
      </c>
      <c r="K437" s="42">
        <v>5.838935754</v>
      </c>
    </row>
    <row r="438">
      <c r="A438" s="1" t="s">
        <v>488</v>
      </c>
      <c r="B438" s="38">
        <v>678020.0</v>
      </c>
      <c r="C438" s="38">
        <v>623.0</v>
      </c>
      <c r="D438" s="39">
        <f>sumif('PLA Sheet'!C:C,B438,'PLA Sheet'!H:H)</f>
        <v>39.66666666</v>
      </c>
      <c r="E438" s="40">
        <v>4.874059174</v>
      </c>
      <c r="F438" s="40">
        <f>sumif('PLA Sheet'!C:C,B438,'PLA Sheet'!J:J)/D438*9</f>
        <v>3.689782336</v>
      </c>
      <c r="G438" s="41">
        <v>0.431781701</v>
      </c>
      <c r="H438" s="41">
        <v>0.202247191</v>
      </c>
      <c r="I438" s="41">
        <v>0.365971108</v>
      </c>
      <c r="J438" s="41">
        <f t="shared" si="1"/>
        <v>0.065810593</v>
      </c>
      <c r="K438" s="42">
        <v>-1.828239422</v>
      </c>
    </row>
    <row r="439">
      <c r="A439" s="1" t="s">
        <v>489</v>
      </c>
      <c r="B439" s="38">
        <v>656222.0</v>
      </c>
      <c r="C439" s="38">
        <v>899.0</v>
      </c>
      <c r="D439" s="39">
        <f>sumif('PLA Sheet'!C:C,B439,'PLA Sheet'!H:H)</f>
        <v>57.33333333</v>
      </c>
      <c r="E439" s="40">
        <v>4.872899106</v>
      </c>
      <c r="F439" s="40">
        <f>sumif('PLA Sheet'!C:C,B439,'PLA Sheet'!J:J)/D439*9</f>
        <v>3.739259983</v>
      </c>
      <c r="G439" s="41">
        <v>0.449388209</v>
      </c>
      <c r="H439" s="41">
        <v>0.159065628</v>
      </c>
      <c r="I439" s="41">
        <v>0.391546162</v>
      </c>
      <c r="J439" s="41">
        <f t="shared" si="1"/>
        <v>0.057842047</v>
      </c>
      <c r="K439" s="42">
        <v>5.045772391</v>
      </c>
    </row>
    <row r="440">
      <c r="A440" s="1" t="s">
        <v>490</v>
      </c>
      <c r="B440" s="38">
        <v>680573.0</v>
      </c>
      <c r="C440" s="38">
        <v>1821.0</v>
      </c>
      <c r="D440" s="39">
        <f>sumif('PLA Sheet'!C:C,B440,'PLA Sheet'!H:H)</f>
        <v>111.3333333</v>
      </c>
      <c r="E440" s="40">
        <v>4.870973678</v>
      </c>
      <c r="F440" s="40">
        <f>sumif('PLA Sheet'!C:C,B440,'PLA Sheet'!J:J)/D440*9</f>
        <v>3.898490389</v>
      </c>
      <c r="G440" s="41">
        <v>0.411312466</v>
      </c>
      <c r="H440" s="41">
        <v>0.202086766</v>
      </c>
      <c r="I440" s="41">
        <v>0.386600769</v>
      </c>
      <c r="J440" s="41">
        <f t="shared" si="1"/>
        <v>0.024711697</v>
      </c>
      <c r="K440" s="42">
        <v>11.46552712</v>
      </c>
    </row>
    <row r="441">
      <c r="A441" s="1" t="s">
        <v>491</v>
      </c>
      <c r="B441" s="38">
        <v>650644.0</v>
      </c>
      <c r="C441" s="38">
        <v>1673.0</v>
      </c>
      <c r="D441" s="39">
        <f>sumif('PLA Sheet'!C:C,B441,'PLA Sheet'!H:H)</f>
        <v>102</v>
      </c>
      <c r="E441" s="40">
        <v>4.864330977</v>
      </c>
      <c r="F441" s="40">
        <f>sumif('PLA Sheet'!C:C,B441,'PLA Sheet'!J:J)/D441*9</f>
        <v>3.944812323</v>
      </c>
      <c r="G441" s="41">
        <v>0.417812313</v>
      </c>
      <c r="H441" s="41">
        <v>0.188882247</v>
      </c>
      <c r="I441" s="41">
        <v>0.393305439</v>
      </c>
      <c r="J441" s="41">
        <f t="shared" si="1"/>
        <v>0.024506874</v>
      </c>
      <c r="K441" s="42">
        <v>13.4540663</v>
      </c>
    </row>
    <row r="442">
      <c r="A442" s="1" t="s">
        <v>492</v>
      </c>
      <c r="B442" s="38">
        <v>671212.0</v>
      </c>
      <c r="C442" s="38">
        <v>902.0</v>
      </c>
      <c r="D442" s="39">
        <f>sumif('PLA Sheet'!C:C,B442,'PLA Sheet'!H:H)</f>
        <v>52</v>
      </c>
      <c r="E442" s="40">
        <v>4.861103855</v>
      </c>
      <c r="F442" s="40">
        <f>sumif('PLA Sheet'!C:C,B442,'PLA Sheet'!J:J)/D442*9</f>
        <v>4.203673789</v>
      </c>
      <c r="G442" s="41">
        <v>0.440133038</v>
      </c>
      <c r="H442" s="41">
        <v>0.17405765</v>
      </c>
      <c r="I442" s="41">
        <v>0.385809313</v>
      </c>
      <c r="J442" s="41">
        <f t="shared" si="1"/>
        <v>0.054323725</v>
      </c>
      <c r="K442" s="42">
        <v>10.35471525</v>
      </c>
    </row>
    <row r="443">
      <c r="A443" s="1" t="s">
        <v>493</v>
      </c>
      <c r="B443" s="38">
        <v>657514.0</v>
      </c>
      <c r="C443" s="38">
        <v>811.0</v>
      </c>
      <c r="D443" s="39">
        <f>sumif('PLA Sheet'!C:C,B443,'PLA Sheet'!H:H)</f>
        <v>51.66666666</v>
      </c>
      <c r="E443" s="40">
        <v>4.860856331</v>
      </c>
      <c r="F443" s="40">
        <f>sumif('PLA Sheet'!C:C,B443,'PLA Sheet'!J:J)/D443*9</f>
        <v>3.773005781</v>
      </c>
      <c r="G443" s="41">
        <v>0.446362515</v>
      </c>
      <c r="H443" s="41">
        <v>0.17755857</v>
      </c>
      <c r="I443" s="41">
        <v>0.376078915</v>
      </c>
      <c r="J443" s="41">
        <f t="shared" si="1"/>
        <v>0.0702836</v>
      </c>
      <c r="K443" s="42">
        <v>7.8162456</v>
      </c>
    </row>
    <row r="444">
      <c r="A444" s="1" t="s">
        <v>494</v>
      </c>
      <c r="B444" s="38">
        <v>672782.0</v>
      </c>
      <c r="C444" s="38">
        <v>1056.0</v>
      </c>
      <c r="D444" s="39">
        <f>sumif('PLA Sheet'!C:C,B444,'PLA Sheet'!H:H)</f>
        <v>62.66666667</v>
      </c>
      <c r="E444" s="40">
        <v>4.857305833</v>
      </c>
      <c r="F444" s="40">
        <f>sumif('PLA Sheet'!C:C,B444,'PLA Sheet'!J:J)/D444*9</f>
        <v>4.182514707</v>
      </c>
      <c r="G444" s="41">
        <v>0.451704545</v>
      </c>
      <c r="H444" s="41">
        <v>0.164772727</v>
      </c>
      <c r="I444" s="41">
        <v>0.383522727</v>
      </c>
      <c r="J444" s="41">
        <f t="shared" si="1"/>
        <v>0.068181818</v>
      </c>
      <c r="K444" s="42">
        <v>0.186503069</v>
      </c>
    </row>
    <row r="445">
      <c r="A445" s="1" t="s">
        <v>495</v>
      </c>
      <c r="B445" s="38">
        <v>801403.0</v>
      </c>
      <c r="C445" s="38">
        <v>1727.0</v>
      </c>
      <c r="D445" s="39">
        <f>sumif('PLA Sheet'!C:C,B445,'PLA Sheet'!H:H)</f>
        <v>98.00000001</v>
      </c>
      <c r="E445" s="40">
        <v>4.857114376</v>
      </c>
      <c r="F445" s="40">
        <f>sumif('PLA Sheet'!C:C,B445,'PLA Sheet'!J:J)/D445*9</f>
        <v>4.318214051</v>
      </c>
      <c r="G445" s="41">
        <v>0.437174291</v>
      </c>
      <c r="H445" s="41">
        <v>0.173711639</v>
      </c>
      <c r="I445" s="41">
        <v>0.389114071</v>
      </c>
      <c r="J445" s="41">
        <f t="shared" si="1"/>
        <v>0.04806022</v>
      </c>
      <c r="K445" s="42">
        <v>-1.877311311</v>
      </c>
    </row>
    <row r="446">
      <c r="A446" s="1" t="s">
        <v>496</v>
      </c>
      <c r="B446" s="38">
        <v>694477.0</v>
      </c>
      <c r="C446" s="38">
        <v>1952.0</v>
      </c>
      <c r="D446" s="39">
        <f>sumif('PLA Sheet'!C:C,B446,'PLA Sheet'!H:H)</f>
        <v>119.6666667</v>
      </c>
      <c r="E446" s="40">
        <v>4.856343534</v>
      </c>
      <c r="F446" s="40">
        <f>sumif('PLA Sheet'!C:C,B446,'PLA Sheet'!J:J)/D446*9</f>
        <v>3.931319958</v>
      </c>
      <c r="G446" s="41">
        <v>0.441086066</v>
      </c>
      <c r="H446" s="41">
        <v>0.172131148</v>
      </c>
      <c r="I446" s="41">
        <v>0.386782787</v>
      </c>
      <c r="J446" s="41">
        <f t="shared" si="1"/>
        <v>0.054303279</v>
      </c>
      <c r="K446" s="42">
        <v>3.220000269</v>
      </c>
    </row>
    <row r="447">
      <c r="A447" s="1" t="s">
        <v>497</v>
      </c>
      <c r="B447" s="38">
        <v>678024.0</v>
      </c>
      <c r="C447" s="38">
        <v>1595.0</v>
      </c>
      <c r="D447" s="39">
        <f>sumif('PLA Sheet'!C:C,B447,'PLA Sheet'!H:H)</f>
        <v>101</v>
      </c>
      <c r="E447" s="40">
        <v>4.854702085</v>
      </c>
      <c r="F447" s="40">
        <f>sumif('PLA Sheet'!C:C,B447,'PLA Sheet'!J:J)/D447*9</f>
        <v>3.780716435</v>
      </c>
      <c r="G447" s="41">
        <v>0.434482759</v>
      </c>
      <c r="H447" s="41">
        <v>0.168025078</v>
      </c>
      <c r="I447" s="41">
        <v>0.397492163</v>
      </c>
      <c r="J447" s="41">
        <f t="shared" si="1"/>
        <v>0.036990596</v>
      </c>
      <c r="K447" s="42">
        <v>26.21761041</v>
      </c>
    </row>
    <row r="448">
      <c r="A448" s="1" t="s">
        <v>498</v>
      </c>
      <c r="B448" s="38">
        <v>688158.0</v>
      </c>
      <c r="C448" s="38">
        <v>758.0</v>
      </c>
      <c r="D448" s="39">
        <f>sumif('PLA Sheet'!C:C,B448,'PLA Sheet'!H:H)</f>
        <v>47.33333333</v>
      </c>
      <c r="E448" s="40">
        <v>4.853039447</v>
      </c>
      <c r="F448" s="40">
        <f>sumif('PLA Sheet'!C:C,B448,'PLA Sheet'!J:J)/D448*9</f>
        <v>3.865337683</v>
      </c>
      <c r="G448" s="41">
        <v>0.463060686</v>
      </c>
      <c r="H448" s="41">
        <v>0.143799472</v>
      </c>
      <c r="I448" s="41">
        <v>0.393139842</v>
      </c>
      <c r="J448" s="41">
        <f t="shared" si="1"/>
        <v>0.069920844</v>
      </c>
      <c r="K448" s="42">
        <v>7.531314397</v>
      </c>
    </row>
    <row r="449">
      <c r="A449" s="1" t="s">
        <v>499</v>
      </c>
      <c r="B449" s="38">
        <v>622554.0</v>
      </c>
      <c r="C449" s="38">
        <v>1083.0</v>
      </c>
      <c r="D449" s="39">
        <f>sumif('PLA Sheet'!C:C,B449,'PLA Sheet'!H:H)</f>
        <v>62.66666667</v>
      </c>
      <c r="E449" s="40">
        <v>4.851228679</v>
      </c>
      <c r="F449" s="40">
        <f>sumif('PLA Sheet'!C:C,B449,'PLA Sheet'!J:J)/D449*9</f>
        <v>4.159560399</v>
      </c>
      <c r="G449" s="41">
        <v>0.447830102</v>
      </c>
      <c r="H449" s="41">
        <v>0.141274238</v>
      </c>
      <c r="I449" s="41">
        <v>0.41089566</v>
      </c>
      <c r="J449" s="41">
        <f t="shared" si="1"/>
        <v>0.036934442</v>
      </c>
      <c r="K449" s="42">
        <v>6.769682945</v>
      </c>
    </row>
    <row r="450">
      <c r="A450" s="1" t="s">
        <v>500</v>
      </c>
      <c r="B450" s="38">
        <v>665871.0</v>
      </c>
      <c r="C450" s="38">
        <v>550.0</v>
      </c>
      <c r="D450" s="39">
        <f>sumif('PLA Sheet'!C:C,B450,'PLA Sheet'!H:H)</f>
        <v>37</v>
      </c>
      <c r="E450" s="40">
        <v>4.844995252</v>
      </c>
      <c r="F450" s="40">
        <f>sumif('PLA Sheet'!C:C,B450,'PLA Sheet'!J:J)/D450*9</f>
        <v>3.653541243</v>
      </c>
      <c r="G450" s="41">
        <v>0.414545455</v>
      </c>
      <c r="H450" s="41">
        <v>0.209090909</v>
      </c>
      <c r="I450" s="41">
        <v>0.376363636</v>
      </c>
      <c r="J450" s="41">
        <f t="shared" si="1"/>
        <v>0.038181819</v>
      </c>
      <c r="K450" s="42">
        <v>3.082710534</v>
      </c>
    </row>
    <row r="451">
      <c r="A451" s="1" t="s">
        <v>501</v>
      </c>
      <c r="B451" s="38">
        <v>693313.0</v>
      </c>
      <c r="C451" s="38">
        <v>595.0</v>
      </c>
      <c r="D451" s="39">
        <f>sumif('PLA Sheet'!C:C,B451,'PLA Sheet'!H:H)</f>
        <v>36</v>
      </c>
      <c r="E451" s="40">
        <v>4.840282381</v>
      </c>
      <c r="F451" s="40">
        <f>sumif('PLA Sheet'!C:C,B451,'PLA Sheet'!J:J)/D451*9</f>
        <v>4.12479625</v>
      </c>
      <c r="G451" s="41">
        <v>0.435294118</v>
      </c>
      <c r="H451" s="41">
        <v>0.164705882</v>
      </c>
      <c r="I451" s="41">
        <v>0.4</v>
      </c>
      <c r="J451" s="41">
        <f t="shared" si="1"/>
        <v>0.035294118</v>
      </c>
      <c r="K451" s="42">
        <v>-0.689430493</v>
      </c>
    </row>
    <row r="452">
      <c r="A452" s="1" t="s">
        <v>502</v>
      </c>
      <c r="B452" s="38">
        <v>668390.0</v>
      </c>
      <c r="C452" s="38">
        <v>594.0</v>
      </c>
      <c r="D452" s="39">
        <f>sumif('PLA Sheet'!C:C,B452,'PLA Sheet'!H:H)</f>
        <v>41.66666667</v>
      </c>
      <c r="E452" s="40">
        <v>4.838499615</v>
      </c>
      <c r="F452" s="40">
        <f>sumif('PLA Sheet'!C:C,B452,'PLA Sheet'!J:J)/D452*9</f>
        <v>3.554691048</v>
      </c>
      <c r="G452" s="41">
        <v>0.454545455</v>
      </c>
      <c r="H452" s="41">
        <v>0.144781145</v>
      </c>
      <c r="I452" s="41">
        <v>0.400673401</v>
      </c>
      <c r="J452" s="41">
        <f t="shared" si="1"/>
        <v>0.053872054</v>
      </c>
      <c r="K452" s="42">
        <v>11.91429654</v>
      </c>
    </row>
    <row r="453">
      <c r="A453" s="1" t="s">
        <v>503</v>
      </c>
      <c r="B453" s="38">
        <v>642152.0</v>
      </c>
      <c r="C453" s="38">
        <v>813.0</v>
      </c>
      <c r="D453" s="39">
        <f>sumif('PLA Sheet'!C:C,B453,'PLA Sheet'!H:H)</f>
        <v>47.66666667</v>
      </c>
      <c r="E453" s="40">
        <v>4.833217417</v>
      </c>
      <c r="F453" s="40">
        <f>sumif('PLA Sheet'!C:C,B453,'PLA Sheet'!J:J)/D453*9</f>
        <v>4.230542958</v>
      </c>
      <c r="G453" s="41">
        <v>0.420664207</v>
      </c>
      <c r="H453" s="41">
        <v>0.185731857</v>
      </c>
      <c r="I453" s="41">
        <v>0.393603936</v>
      </c>
      <c r="J453" s="41">
        <f t="shared" si="1"/>
        <v>0.027060271</v>
      </c>
      <c r="K453" s="42">
        <v>8.256009685</v>
      </c>
    </row>
    <row r="454">
      <c r="A454" s="1" t="s">
        <v>504</v>
      </c>
      <c r="B454" s="38">
        <v>663372.0</v>
      </c>
      <c r="C454" s="38">
        <v>509.0</v>
      </c>
      <c r="D454" s="39">
        <f>sumif('PLA Sheet'!C:C,B454,'PLA Sheet'!H:H)</f>
        <v>30.33333334</v>
      </c>
      <c r="E454" s="40">
        <v>4.831737202</v>
      </c>
      <c r="F454" s="40">
        <f>sumif('PLA Sheet'!C:C,B454,'PLA Sheet'!J:J)/D454*9</f>
        <v>4.104770835</v>
      </c>
      <c r="G454" s="41">
        <v>0.432220039</v>
      </c>
      <c r="H454" s="41">
        <v>0.161100196</v>
      </c>
      <c r="I454" s="41">
        <v>0.406679764</v>
      </c>
      <c r="J454" s="41">
        <f t="shared" si="1"/>
        <v>0.025540275</v>
      </c>
      <c r="K454" s="42">
        <v>-3.460777338</v>
      </c>
    </row>
    <row r="455">
      <c r="A455" s="1" t="s">
        <v>505</v>
      </c>
      <c r="B455" s="38">
        <v>621053.0</v>
      </c>
      <c r="C455" s="38">
        <v>957.0</v>
      </c>
      <c r="D455" s="39">
        <f>sumif('PLA Sheet'!C:C,B455,'PLA Sheet'!H:H)</f>
        <v>58</v>
      </c>
      <c r="E455" s="40">
        <v>4.820868128</v>
      </c>
      <c r="F455" s="40">
        <f>sumif('PLA Sheet'!C:C,B455,'PLA Sheet'!J:J)/D455*9</f>
        <v>4.186547379</v>
      </c>
      <c r="G455" s="41">
        <v>0.421107628</v>
      </c>
      <c r="H455" s="41">
        <v>0.203761755</v>
      </c>
      <c r="I455" s="41">
        <v>0.375130617</v>
      </c>
      <c r="J455" s="41">
        <f t="shared" si="1"/>
        <v>0.045977011</v>
      </c>
      <c r="K455" s="42">
        <v>13.23504982</v>
      </c>
    </row>
    <row r="456">
      <c r="A456" s="1" t="s">
        <v>506</v>
      </c>
      <c r="B456" s="38">
        <v>605177.0</v>
      </c>
      <c r="C456" s="38">
        <v>596.0</v>
      </c>
      <c r="D456" s="39">
        <f>sumif('PLA Sheet'!C:C,B456,'PLA Sheet'!H:H)</f>
        <v>33.66666667</v>
      </c>
      <c r="E456" s="40">
        <v>4.81864716</v>
      </c>
      <c r="F456" s="40">
        <f>sumif('PLA Sheet'!C:C,B456,'PLA Sheet'!J:J)/D456*9</f>
        <v>4.53195802</v>
      </c>
      <c r="G456" s="41">
        <v>0.395973154</v>
      </c>
      <c r="H456" s="41">
        <v>0.22147651</v>
      </c>
      <c r="I456" s="41">
        <v>0.382550336</v>
      </c>
      <c r="J456" s="41">
        <f t="shared" si="1"/>
        <v>0.013422818</v>
      </c>
      <c r="K456" s="42">
        <v>10.80255589</v>
      </c>
    </row>
    <row r="457">
      <c r="A457" s="1" t="s">
        <v>507</v>
      </c>
      <c r="B457" s="38">
        <v>669371.0</v>
      </c>
      <c r="C457" s="38">
        <v>933.0</v>
      </c>
      <c r="D457" s="39">
        <f>sumif('PLA Sheet'!C:C,B457,'PLA Sheet'!H:H)</f>
        <v>52.66666667</v>
      </c>
      <c r="E457" s="40">
        <v>4.812577042</v>
      </c>
      <c r="F457" s="40">
        <f>sumif('PLA Sheet'!C:C,B457,'PLA Sheet'!J:J)/D457*9</f>
        <v>4.469687316</v>
      </c>
      <c r="G457" s="41">
        <v>0.476956056</v>
      </c>
      <c r="H457" s="41">
        <v>0.140407288</v>
      </c>
      <c r="I457" s="41">
        <v>0.382636656</v>
      </c>
      <c r="J457" s="41">
        <f t="shared" si="1"/>
        <v>0.0943194</v>
      </c>
      <c r="K457" s="42">
        <v>2.630721969</v>
      </c>
    </row>
    <row r="458">
      <c r="A458" s="1" t="s">
        <v>508</v>
      </c>
      <c r="B458" s="38">
        <v>674285.0</v>
      </c>
      <c r="C458" s="38">
        <v>528.0</v>
      </c>
      <c r="D458" s="39">
        <f>sumif('PLA Sheet'!C:C,B458,'PLA Sheet'!H:H)</f>
        <v>29</v>
      </c>
      <c r="E458" s="40">
        <v>4.810651218</v>
      </c>
      <c r="F458" s="40">
        <f>sumif('PLA Sheet'!C:C,B458,'PLA Sheet'!J:J)/D458*9</f>
        <v>4.631799724</v>
      </c>
      <c r="G458" s="41">
        <v>0.445075758</v>
      </c>
      <c r="H458" s="41">
        <v>0.179924242</v>
      </c>
      <c r="I458" s="41">
        <v>0.375</v>
      </c>
      <c r="J458" s="41">
        <f t="shared" si="1"/>
        <v>0.070075758</v>
      </c>
      <c r="K458" s="42">
        <v>-11.40296177</v>
      </c>
    </row>
    <row r="459">
      <c r="A459" s="1" t="s">
        <v>509</v>
      </c>
      <c r="B459" s="38">
        <v>676106.0</v>
      </c>
      <c r="C459" s="38">
        <v>1384.0</v>
      </c>
      <c r="D459" s="39">
        <f>sumif('PLA Sheet'!C:C,B459,'PLA Sheet'!H:H)</f>
        <v>90.00000001</v>
      </c>
      <c r="E459" s="40">
        <v>4.808587345</v>
      </c>
      <c r="F459" s="40">
        <f>sumif('PLA Sheet'!C:C,B459,'PLA Sheet'!J:J)/D459*9</f>
        <v>3.9016161</v>
      </c>
      <c r="G459" s="41">
        <v>0.425578035</v>
      </c>
      <c r="H459" s="41">
        <v>0.182803468</v>
      </c>
      <c r="I459" s="41">
        <v>0.391618497</v>
      </c>
      <c r="J459" s="41">
        <f t="shared" si="1"/>
        <v>0.033959538</v>
      </c>
      <c r="K459" s="42">
        <v>-6.376380166</v>
      </c>
    </row>
    <row r="460">
      <c r="A460" s="1" t="s">
        <v>510</v>
      </c>
      <c r="B460" s="38">
        <v>702674.0</v>
      </c>
      <c r="C460" s="38">
        <v>545.0</v>
      </c>
      <c r="D460" s="39">
        <f>sumif('PLA Sheet'!C:C,B460,'PLA Sheet'!H:H)</f>
        <v>32.33333333</v>
      </c>
      <c r="E460" s="40">
        <v>4.804280384</v>
      </c>
      <c r="F460" s="40">
        <f>sumif('PLA Sheet'!C:C,B460,'PLA Sheet'!J:J)/D460*9</f>
        <v>4.270695495</v>
      </c>
      <c r="G460" s="41">
        <v>0.436697248</v>
      </c>
      <c r="H460" s="41">
        <v>0.163302752</v>
      </c>
      <c r="I460" s="41">
        <v>0.4</v>
      </c>
      <c r="J460" s="41">
        <f t="shared" si="1"/>
        <v>0.036697248</v>
      </c>
      <c r="K460" s="42">
        <v>-0.648045741</v>
      </c>
    </row>
    <row r="461">
      <c r="A461" s="1" t="s">
        <v>511</v>
      </c>
      <c r="B461" s="38">
        <v>671131.0</v>
      </c>
      <c r="C461" s="38">
        <v>1292.0</v>
      </c>
      <c r="D461" s="39">
        <f>sumif('PLA Sheet'!C:C,B461,'PLA Sheet'!H:H)</f>
        <v>73.33333333</v>
      </c>
      <c r="E461" s="40">
        <v>4.803056392</v>
      </c>
      <c r="F461" s="40">
        <f>sumif('PLA Sheet'!C:C,B461,'PLA Sheet'!J:J)/D461*9</f>
        <v>4.381945855</v>
      </c>
      <c r="G461" s="41">
        <v>0.425696594</v>
      </c>
      <c r="H461" s="41">
        <v>0.175696594</v>
      </c>
      <c r="I461" s="41">
        <v>0.398606811</v>
      </c>
      <c r="J461" s="41">
        <f t="shared" si="1"/>
        <v>0.027089783</v>
      </c>
      <c r="K461" s="42">
        <v>-10.8853969</v>
      </c>
    </row>
    <row r="462">
      <c r="A462" s="1" t="s">
        <v>512</v>
      </c>
      <c r="B462" s="38">
        <v>688642.0</v>
      </c>
      <c r="C462" s="38">
        <v>504.0</v>
      </c>
      <c r="D462" s="39">
        <f>sumif('PLA Sheet'!C:C,B462,'PLA Sheet'!H:H)</f>
        <v>31.33333333</v>
      </c>
      <c r="E462" s="40">
        <v>4.802205354</v>
      </c>
      <c r="F462" s="40">
        <f>sumif('PLA Sheet'!C:C,B462,'PLA Sheet'!J:J)/D462*9</f>
        <v>4.097410277</v>
      </c>
      <c r="G462" s="41">
        <v>0.418650794</v>
      </c>
      <c r="H462" s="41">
        <v>0.160714286</v>
      </c>
      <c r="I462" s="41">
        <v>0.420634921</v>
      </c>
      <c r="J462" s="41">
        <f t="shared" si="1"/>
        <v>-0.001984127</v>
      </c>
      <c r="K462" s="42">
        <v>-2.422831585</v>
      </c>
    </row>
    <row r="463">
      <c r="A463" s="1" t="s">
        <v>513</v>
      </c>
      <c r="B463" s="38">
        <v>608566.0</v>
      </c>
      <c r="C463" s="38">
        <v>2015.0</v>
      </c>
      <c r="D463" s="39">
        <f>sumif('PLA Sheet'!C:C,B463,'PLA Sheet'!H:H)</f>
        <v>126.3333333</v>
      </c>
      <c r="E463" s="40">
        <v>4.800667956</v>
      </c>
      <c r="F463" s="40">
        <f>sumif('PLA Sheet'!C:C,B463,'PLA Sheet'!J:J)/D463*9</f>
        <v>4.144968332</v>
      </c>
      <c r="G463" s="41">
        <v>0.391066998</v>
      </c>
      <c r="H463" s="41">
        <v>0.225806452</v>
      </c>
      <c r="I463" s="41">
        <v>0.383126551</v>
      </c>
      <c r="J463" s="41">
        <f t="shared" si="1"/>
        <v>0.007940447</v>
      </c>
      <c r="K463" s="42">
        <v>-28.35729284</v>
      </c>
    </row>
    <row r="464">
      <c r="A464" s="1" t="s">
        <v>514</v>
      </c>
      <c r="B464" s="38">
        <v>806185.0</v>
      </c>
      <c r="C464" s="38">
        <v>1163.0</v>
      </c>
      <c r="D464" s="39">
        <f>sumif('PLA Sheet'!C:C,B464,'PLA Sheet'!H:H)</f>
        <v>65.66666667</v>
      </c>
      <c r="E464" s="40">
        <v>4.799213292</v>
      </c>
      <c r="F464" s="40">
        <f>sumif('PLA Sheet'!C:C,B464,'PLA Sheet'!J:J)/D464*9</f>
        <v>4.468687355</v>
      </c>
      <c r="G464" s="41">
        <v>0.423903697</v>
      </c>
      <c r="H464" s="41">
        <v>0.168529665</v>
      </c>
      <c r="I464" s="41">
        <v>0.407566638</v>
      </c>
      <c r="J464" s="41">
        <f t="shared" si="1"/>
        <v>0.016337059</v>
      </c>
      <c r="K464" s="42">
        <v>-1.926808839</v>
      </c>
    </row>
    <row r="465">
      <c r="A465" s="1" t="s">
        <v>515</v>
      </c>
      <c r="B465" s="38">
        <v>678906.0</v>
      </c>
      <c r="C465" s="38">
        <v>551.0</v>
      </c>
      <c r="D465" s="39">
        <f>sumif('PLA Sheet'!C:C,B465,'PLA Sheet'!H:H)</f>
        <v>29.66666667</v>
      </c>
      <c r="E465" s="40">
        <v>4.792977637</v>
      </c>
      <c r="F465" s="40">
        <f>sumif('PLA Sheet'!C:C,B465,'PLA Sheet'!J:J)/D465*9</f>
        <v>4.74701046</v>
      </c>
      <c r="G465" s="41">
        <v>0.473684211</v>
      </c>
      <c r="H465" s="41">
        <v>0.128856624</v>
      </c>
      <c r="I465" s="41">
        <v>0.397459165</v>
      </c>
      <c r="J465" s="41">
        <f t="shared" si="1"/>
        <v>0.076225046</v>
      </c>
      <c r="K465" s="42">
        <v>-0.922970358</v>
      </c>
    </row>
    <row r="466">
      <c r="A466" s="1" t="s">
        <v>516</v>
      </c>
      <c r="B466" s="38">
        <v>700363.0</v>
      </c>
      <c r="C466" s="38">
        <v>684.0</v>
      </c>
      <c r="D466" s="39">
        <f>sumif('PLA Sheet'!C:C,B466,'PLA Sheet'!H:H)</f>
        <v>44.33333333</v>
      </c>
      <c r="E466" s="40">
        <v>4.785986858</v>
      </c>
      <c r="F466" s="40">
        <f>sumif('PLA Sheet'!C:C,B466,'PLA Sheet'!J:J)/D466*9</f>
        <v>3.991550482</v>
      </c>
      <c r="G466" s="41">
        <v>0.400584795</v>
      </c>
      <c r="H466" s="41">
        <v>0.192982456</v>
      </c>
      <c r="I466" s="41">
        <v>0.406432749</v>
      </c>
      <c r="J466" s="41">
        <f t="shared" si="1"/>
        <v>-0.005847954</v>
      </c>
      <c r="K466" s="42">
        <v>-2.839210326</v>
      </c>
    </row>
    <row r="467">
      <c r="A467" s="1" t="s">
        <v>517</v>
      </c>
      <c r="B467" s="38">
        <v>683627.0</v>
      </c>
      <c r="C467" s="38">
        <v>590.0</v>
      </c>
      <c r="D467" s="39">
        <f>sumif('PLA Sheet'!C:C,B467,'PLA Sheet'!H:H)</f>
        <v>34.66666667</v>
      </c>
      <c r="E467" s="40">
        <v>4.785723325</v>
      </c>
      <c r="F467" s="40">
        <f>sumif('PLA Sheet'!C:C,B467,'PLA Sheet'!J:J)/D467*9</f>
        <v>4.329198433</v>
      </c>
      <c r="G467" s="41">
        <v>0.391525424</v>
      </c>
      <c r="H467" s="41">
        <v>0.171186441</v>
      </c>
      <c r="I467" s="41">
        <v>0.437288136</v>
      </c>
      <c r="J467" s="41">
        <f t="shared" si="1"/>
        <v>-0.045762712</v>
      </c>
      <c r="K467" s="42">
        <v>-17.19022397</v>
      </c>
    </row>
    <row r="468">
      <c r="A468" s="1" t="s">
        <v>518</v>
      </c>
      <c r="B468" s="38">
        <v>680689.0</v>
      </c>
      <c r="C468" s="38">
        <v>655.0</v>
      </c>
      <c r="D468" s="39">
        <f>sumif('PLA Sheet'!C:C,B468,'PLA Sheet'!H:H)</f>
        <v>37.66666667</v>
      </c>
      <c r="E468" s="40">
        <v>4.756527283</v>
      </c>
      <c r="F468" s="40">
        <f>sumif('PLA Sheet'!C:C,B468,'PLA Sheet'!J:J)/D468*9</f>
        <v>4.514262611</v>
      </c>
      <c r="G468" s="41">
        <v>0.409160305</v>
      </c>
      <c r="H468" s="41">
        <v>0.158778626</v>
      </c>
      <c r="I468" s="41">
        <v>0.432061069</v>
      </c>
      <c r="J468" s="41">
        <f t="shared" si="1"/>
        <v>-0.022900764</v>
      </c>
      <c r="K468" s="42">
        <v>4.740533403</v>
      </c>
    </row>
    <row r="469">
      <c r="A469" s="1" t="s">
        <v>519</v>
      </c>
      <c r="B469" s="38">
        <v>682120.0</v>
      </c>
      <c r="C469" s="38">
        <v>729.0</v>
      </c>
      <c r="D469" s="39">
        <f>sumif('PLA Sheet'!C:C,B469,'PLA Sheet'!H:H)</f>
        <v>42.66666667</v>
      </c>
      <c r="E469" s="40">
        <v>4.754295639</v>
      </c>
      <c r="F469" s="40">
        <f>sumif('PLA Sheet'!C:C,B469,'PLA Sheet'!J:J)/D469*9</f>
        <v>4.467105914</v>
      </c>
      <c r="G469" s="41">
        <v>0.430727023</v>
      </c>
      <c r="H469" s="41">
        <v>0.176954733</v>
      </c>
      <c r="I469" s="41">
        <v>0.392318244</v>
      </c>
      <c r="J469" s="41">
        <f t="shared" si="1"/>
        <v>0.038408779</v>
      </c>
      <c r="K469" s="42">
        <v>2.933838678</v>
      </c>
    </row>
    <row r="470">
      <c r="A470" s="1" t="s">
        <v>520</v>
      </c>
      <c r="B470" s="38">
        <v>641656.0</v>
      </c>
      <c r="C470" s="38">
        <v>619.0</v>
      </c>
      <c r="D470" s="39">
        <f>sumif('PLA Sheet'!C:C,B470,'PLA Sheet'!H:H)</f>
        <v>40</v>
      </c>
      <c r="E470" s="40">
        <v>4.751177393</v>
      </c>
      <c r="F470" s="40">
        <f>sumif('PLA Sheet'!C:C,B470,'PLA Sheet'!J:J)/D470*9</f>
        <v>4.115625525</v>
      </c>
      <c r="G470" s="41">
        <v>0.407108239</v>
      </c>
      <c r="H470" s="41">
        <v>0.195476575</v>
      </c>
      <c r="I470" s="41">
        <v>0.397415186</v>
      </c>
      <c r="J470" s="41">
        <f t="shared" si="1"/>
        <v>0.009693053</v>
      </c>
      <c r="K470" s="42">
        <v>8.876768271</v>
      </c>
    </row>
    <row r="471">
      <c r="A471" s="1" t="s">
        <v>521</v>
      </c>
      <c r="B471" s="38">
        <v>686799.0</v>
      </c>
      <c r="C471" s="38">
        <v>1791.0</v>
      </c>
      <c r="D471" s="39">
        <f>sumif('PLA Sheet'!C:C,B471,'PLA Sheet'!H:H)</f>
        <v>111</v>
      </c>
      <c r="E471" s="40">
        <v>4.71067806</v>
      </c>
      <c r="F471" s="40">
        <f>sumif('PLA Sheet'!C:C,B471,'PLA Sheet'!J:J)/D471*9</f>
        <v>4.35640054</v>
      </c>
      <c r="G471" s="41">
        <v>0.411501954</v>
      </c>
      <c r="H471" s="41">
        <v>0.176996092</v>
      </c>
      <c r="I471" s="41">
        <v>0.411501954</v>
      </c>
      <c r="J471" s="41">
        <f t="shared" si="1"/>
        <v>0</v>
      </c>
      <c r="K471" s="42">
        <v>-11.13728932</v>
      </c>
    </row>
    <row r="472">
      <c r="A472" s="1" t="s">
        <v>522</v>
      </c>
      <c r="B472" s="38">
        <v>808963.0</v>
      </c>
      <c r="C472" s="38">
        <v>601.0</v>
      </c>
      <c r="D472" s="39">
        <f>sumif('PLA Sheet'!C:C,B472,'PLA Sheet'!H:H)</f>
        <v>36.33333334</v>
      </c>
      <c r="E472" s="40">
        <v>4.687308904</v>
      </c>
      <c r="F472" s="40">
        <f>sumif('PLA Sheet'!C:C,B472,'PLA Sheet'!J:J)/D472*9</f>
        <v>4.526859633</v>
      </c>
      <c r="G472" s="41">
        <v>0.394342762</v>
      </c>
      <c r="H472" s="41">
        <v>0.194675541</v>
      </c>
      <c r="I472" s="41">
        <v>0.410981697</v>
      </c>
      <c r="J472" s="41">
        <f t="shared" si="1"/>
        <v>-0.016638935</v>
      </c>
      <c r="K472" s="42">
        <v>6.425786041</v>
      </c>
    </row>
    <row r="473">
      <c r="B473" s="38"/>
      <c r="C473" s="38"/>
      <c r="D473" s="39"/>
      <c r="E473" s="40"/>
      <c r="F473" s="40"/>
      <c r="G473" s="41"/>
      <c r="H473" s="41"/>
      <c r="I473" s="41"/>
      <c r="J473" s="41"/>
      <c r="K473" s="42"/>
    </row>
    <row r="474">
      <c r="B474" s="38"/>
      <c r="C474" s="38"/>
      <c r="D474" s="39"/>
      <c r="E474" s="40"/>
      <c r="F474" s="40"/>
      <c r="G474" s="41"/>
      <c r="H474" s="41"/>
      <c r="I474" s="41"/>
      <c r="J474" s="41"/>
      <c r="K474" s="42"/>
    </row>
    <row r="475">
      <c r="B475" s="38"/>
      <c r="C475" s="38"/>
      <c r="D475" s="39"/>
      <c r="E475" s="40"/>
      <c r="F475" s="40"/>
      <c r="G475" s="41"/>
      <c r="H475" s="41"/>
      <c r="I475" s="41"/>
      <c r="J475" s="41"/>
      <c r="K475" s="42"/>
    </row>
    <row r="476">
      <c r="B476" s="38"/>
      <c r="C476" s="38"/>
      <c r="D476" s="39"/>
      <c r="E476" s="40"/>
      <c r="F476" s="40"/>
      <c r="G476" s="41"/>
      <c r="H476" s="41"/>
      <c r="I476" s="41"/>
      <c r="J476" s="41"/>
      <c r="K476" s="42"/>
    </row>
    <row r="477">
      <c r="B477" s="38"/>
      <c r="C477" s="38"/>
      <c r="D477" s="39"/>
      <c r="E477" s="40"/>
      <c r="F477" s="40"/>
      <c r="G477" s="41"/>
      <c r="H477" s="41"/>
      <c r="I477" s="41"/>
      <c r="J477" s="41"/>
      <c r="K477" s="42"/>
    </row>
    <row r="478">
      <c r="B478" s="38"/>
      <c r="C478" s="38"/>
      <c r="D478" s="39"/>
      <c r="E478" s="40"/>
      <c r="F478" s="40"/>
      <c r="G478" s="41"/>
      <c r="H478" s="41"/>
      <c r="I478" s="41"/>
      <c r="J478" s="41"/>
      <c r="K478" s="42"/>
    </row>
    <row r="479">
      <c r="B479" s="38"/>
      <c r="C479" s="38"/>
      <c r="D479" s="39"/>
      <c r="E479" s="40"/>
      <c r="F479" s="40"/>
      <c r="G479" s="41"/>
      <c r="H479" s="41"/>
      <c r="I479" s="41"/>
      <c r="J479" s="41"/>
      <c r="K479" s="42"/>
    </row>
    <row r="480">
      <c r="B480" s="38"/>
      <c r="C480" s="38"/>
      <c r="D480" s="39"/>
      <c r="E480" s="40"/>
      <c r="F480" s="40"/>
      <c r="G480" s="41"/>
      <c r="H480" s="41"/>
      <c r="I480" s="41"/>
      <c r="J480" s="41"/>
      <c r="K480" s="42"/>
    </row>
    <row r="481">
      <c r="B481" s="38"/>
      <c r="C481" s="38"/>
      <c r="D481" s="39"/>
      <c r="E481" s="40"/>
      <c r="F481" s="40"/>
      <c r="G481" s="41"/>
      <c r="H481" s="41"/>
      <c r="I481" s="41"/>
      <c r="J481" s="41"/>
      <c r="K481" s="42"/>
    </row>
    <row r="482">
      <c r="B482" s="38"/>
      <c r="C482" s="38"/>
      <c r="D482" s="39"/>
      <c r="E482" s="40"/>
      <c r="F482" s="40"/>
      <c r="G482" s="41"/>
      <c r="H482" s="41"/>
      <c r="I482" s="41"/>
      <c r="J482" s="41"/>
      <c r="K482" s="42"/>
    </row>
    <row r="483">
      <c r="B483" s="38"/>
      <c r="C483" s="38"/>
      <c r="D483" s="39"/>
      <c r="E483" s="40"/>
      <c r="F483" s="40"/>
      <c r="G483" s="41"/>
      <c r="H483" s="41"/>
      <c r="I483" s="41"/>
      <c r="J483" s="41"/>
      <c r="K483" s="42"/>
    </row>
    <row r="484">
      <c r="B484" s="38"/>
      <c r="C484" s="38"/>
      <c r="D484" s="39"/>
      <c r="E484" s="40"/>
      <c r="F484" s="40"/>
      <c r="G484" s="41"/>
      <c r="H484" s="41"/>
      <c r="I484" s="41"/>
      <c r="J484" s="41"/>
      <c r="K484" s="42"/>
    </row>
    <row r="485">
      <c r="B485" s="38"/>
      <c r="C485" s="38"/>
      <c r="D485" s="39"/>
      <c r="E485" s="40"/>
      <c r="F485" s="40"/>
      <c r="G485" s="41"/>
      <c r="H485" s="41"/>
      <c r="I485" s="41"/>
      <c r="J485" s="41"/>
      <c r="K485" s="42"/>
    </row>
    <row r="486">
      <c r="B486" s="38"/>
      <c r="C486" s="38"/>
      <c r="D486" s="39"/>
      <c r="E486" s="40"/>
      <c r="F486" s="40"/>
      <c r="G486" s="41"/>
      <c r="H486" s="41"/>
      <c r="I486" s="41"/>
      <c r="J486" s="41"/>
      <c r="K486" s="42"/>
    </row>
    <row r="487">
      <c r="B487" s="38"/>
      <c r="C487" s="38"/>
      <c r="D487" s="39"/>
      <c r="E487" s="40"/>
      <c r="F487" s="40"/>
      <c r="G487" s="41"/>
      <c r="H487" s="41"/>
      <c r="I487" s="41"/>
      <c r="J487" s="41"/>
      <c r="K487" s="42"/>
    </row>
    <row r="488">
      <c r="B488" s="38"/>
      <c r="C488" s="38"/>
      <c r="D488" s="39"/>
      <c r="E488" s="40"/>
      <c r="F488" s="40"/>
      <c r="G488" s="41"/>
      <c r="H488" s="41"/>
      <c r="I488" s="41"/>
      <c r="J488" s="41"/>
      <c r="K488" s="42"/>
    </row>
    <row r="489">
      <c r="B489" s="38"/>
      <c r="C489" s="38"/>
      <c r="D489" s="39"/>
      <c r="E489" s="40"/>
      <c r="F489" s="40"/>
      <c r="G489" s="41"/>
      <c r="H489" s="41"/>
      <c r="I489" s="41"/>
      <c r="J489" s="41"/>
      <c r="K489" s="42"/>
    </row>
    <row r="490">
      <c r="B490" s="38"/>
      <c r="C490" s="38"/>
      <c r="D490" s="39"/>
      <c r="E490" s="40"/>
      <c r="F490" s="40"/>
      <c r="G490" s="41"/>
      <c r="H490" s="41"/>
      <c r="I490" s="41"/>
      <c r="J490" s="41"/>
      <c r="K490" s="42"/>
    </row>
    <row r="491">
      <c r="B491" s="38"/>
      <c r="C491" s="38"/>
      <c r="D491" s="39"/>
      <c r="E491" s="40"/>
      <c r="F491" s="40"/>
      <c r="G491" s="41"/>
      <c r="H491" s="41"/>
      <c r="I491" s="41"/>
      <c r="J491" s="41"/>
      <c r="K491" s="42"/>
    </row>
    <row r="492">
      <c r="B492" s="38"/>
      <c r="C492" s="38"/>
      <c r="D492" s="39"/>
      <c r="E492" s="40"/>
      <c r="F492" s="40"/>
      <c r="G492" s="41"/>
      <c r="H492" s="41"/>
      <c r="I492" s="41"/>
      <c r="J492" s="41"/>
      <c r="K492" s="42"/>
    </row>
    <row r="493">
      <c r="B493" s="38"/>
      <c r="C493" s="38"/>
      <c r="D493" s="39"/>
      <c r="E493" s="40"/>
      <c r="F493" s="40"/>
      <c r="G493" s="41"/>
      <c r="H493" s="41"/>
      <c r="I493" s="41"/>
      <c r="J493" s="41"/>
      <c r="K493" s="42"/>
    </row>
    <row r="494">
      <c r="B494" s="38"/>
      <c r="C494" s="38"/>
      <c r="D494" s="39"/>
      <c r="E494" s="40"/>
      <c r="F494" s="40"/>
      <c r="G494" s="41"/>
      <c r="H494" s="41"/>
      <c r="I494" s="41"/>
      <c r="J494" s="41"/>
      <c r="K494" s="42"/>
    </row>
    <row r="495">
      <c r="B495" s="38"/>
      <c r="C495" s="38"/>
      <c r="D495" s="39"/>
      <c r="E495" s="40"/>
      <c r="F495" s="40"/>
      <c r="G495" s="41"/>
      <c r="H495" s="41"/>
      <c r="I495" s="41"/>
      <c r="J495" s="41"/>
      <c r="K495" s="42"/>
    </row>
    <row r="496">
      <c r="B496" s="38"/>
      <c r="C496" s="38"/>
      <c r="D496" s="39"/>
      <c r="E496" s="40"/>
      <c r="F496" s="40"/>
      <c r="G496" s="41"/>
      <c r="H496" s="41"/>
      <c r="I496" s="41"/>
      <c r="J496" s="41"/>
      <c r="K496" s="42"/>
    </row>
    <row r="497">
      <c r="B497" s="38"/>
      <c r="C497" s="38"/>
      <c r="D497" s="39"/>
      <c r="E497" s="40"/>
      <c r="F497" s="40"/>
      <c r="G497" s="41"/>
      <c r="H497" s="41"/>
      <c r="I497" s="41"/>
      <c r="J497" s="41"/>
      <c r="K497" s="42"/>
    </row>
    <row r="498">
      <c r="B498" s="38"/>
      <c r="C498" s="38"/>
      <c r="D498" s="39"/>
      <c r="E498" s="40"/>
      <c r="F498" s="40"/>
      <c r="G498" s="41"/>
      <c r="H498" s="41"/>
      <c r="I498" s="41"/>
      <c r="J498" s="41"/>
      <c r="K498" s="42"/>
    </row>
    <row r="499">
      <c r="B499" s="38"/>
      <c r="C499" s="38"/>
      <c r="D499" s="39"/>
      <c r="E499" s="40"/>
      <c r="F499" s="40"/>
      <c r="G499" s="41"/>
      <c r="H499" s="41"/>
      <c r="I499" s="41"/>
      <c r="J499" s="41"/>
      <c r="K499" s="42"/>
    </row>
    <row r="500">
      <c r="B500" s="38"/>
      <c r="C500" s="38"/>
      <c r="D500" s="39"/>
      <c r="E500" s="40"/>
      <c r="F500" s="40"/>
      <c r="G500" s="41"/>
      <c r="H500" s="41"/>
      <c r="I500" s="41"/>
      <c r="J500" s="41"/>
      <c r="K500" s="42"/>
    </row>
    <row r="501">
      <c r="B501" s="38"/>
      <c r="C501" s="38"/>
      <c r="D501" s="39"/>
      <c r="E501" s="40"/>
      <c r="F501" s="40"/>
      <c r="G501" s="41"/>
      <c r="H501" s="41"/>
      <c r="I501" s="41"/>
      <c r="J501" s="41"/>
      <c r="K501" s="42"/>
    </row>
    <row r="502">
      <c r="B502" s="38"/>
      <c r="C502" s="38"/>
      <c r="D502" s="39"/>
      <c r="E502" s="40"/>
      <c r="F502" s="40"/>
      <c r="G502" s="41"/>
      <c r="H502" s="41"/>
      <c r="I502" s="41"/>
      <c r="J502" s="41"/>
      <c r="K502" s="42"/>
    </row>
    <row r="503">
      <c r="B503" s="38"/>
      <c r="C503" s="38"/>
      <c r="D503" s="39"/>
      <c r="E503" s="40"/>
      <c r="F503" s="40"/>
      <c r="G503" s="41"/>
      <c r="H503" s="41"/>
      <c r="I503" s="41"/>
      <c r="J503" s="41"/>
      <c r="K503" s="42"/>
    </row>
    <row r="504">
      <c r="B504" s="38"/>
      <c r="C504" s="38"/>
      <c r="D504" s="39"/>
      <c r="E504" s="40"/>
      <c r="F504" s="40"/>
      <c r="G504" s="41"/>
      <c r="H504" s="41"/>
      <c r="I504" s="41"/>
      <c r="J504" s="41"/>
      <c r="K504" s="42"/>
    </row>
    <row r="505">
      <c r="B505" s="38"/>
      <c r="C505" s="38"/>
      <c r="D505" s="39"/>
      <c r="E505" s="40"/>
      <c r="F505" s="40"/>
      <c r="G505" s="41"/>
      <c r="H505" s="41"/>
      <c r="I505" s="41"/>
      <c r="J505" s="41"/>
      <c r="K505" s="42"/>
    </row>
    <row r="506">
      <c r="B506" s="38"/>
      <c r="C506" s="38"/>
      <c r="D506" s="39"/>
      <c r="E506" s="40"/>
      <c r="F506" s="40"/>
      <c r="G506" s="41"/>
      <c r="H506" s="41"/>
      <c r="I506" s="41"/>
      <c r="J506" s="41"/>
      <c r="K506" s="42"/>
    </row>
    <row r="507">
      <c r="B507" s="38"/>
      <c r="C507" s="38"/>
      <c r="D507" s="39"/>
      <c r="E507" s="40"/>
      <c r="F507" s="40"/>
      <c r="G507" s="41"/>
      <c r="H507" s="41"/>
      <c r="I507" s="41"/>
      <c r="J507" s="41"/>
      <c r="K507" s="42"/>
    </row>
    <row r="508">
      <c r="B508" s="38"/>
      <c r="C508" s="38"/>
      <c r="D508" s="39"/>
      <c r="E508" s="40"/>
      <c r="F508" s="40"/>
      <c r="G508" s="41"/>
      <c r="H508" s="41"/>
      <c r="I508" s="41"/>
      <c r="J508" s="41"/>
      <c r="K508" s="42"/>
    </row>
    <row r="509">
      <c r="B509" s="38"/>
      <c r="C509" s="38"/>
      <c r="D509" s="39"/>
      <c r="E509" s="40"/>
      <c r="F509" s="40"/>
      <c r="G509" s="41"/>
      <c r="H509" s="41"/>
      <c r="I509" s="41"/>
      <c r="J509" s="41"/>
      <c r="K509" s="42"/>
    </row>
    <row r="510">
      <c r="B510" s="38"/>
      <c r="C510" s="38"/>
      <c r="D510" s="39"/>
      <c r="E510" s="40"/>
      <c r="F510" s="40"/>
      <c r="G510" s="41"/>
      <c r="H510" s="41"/>
      <c r="I510" s="41"/>
      <c r="J510" s="41"/>
      <c r="K510" s="42"/>
    </row>
    <row r="511">
      <c r="B511" s="38"/>
      <c r="C511" s="38"/>
      <c r="D511" s="39"/>
      <c r="E511" s="40"/>
      <c r="F511" s="40"/>
      <c r="G511" s="41"/>
      <c r="H511" s="41"/>
      <c r="I511" s="41"/>
      <c r="J511" s="41"/>
      <c r="K511" s="42"/>
    </row>
    <row r="512">
      <c r="B512" s="38"/>
      <c r="C512" s="38"/>
      <c r="D512" s="39"/>
      <c r="E512" s="40"/>
      <c r="F512" s="40"/>
      <c r="G512" s="41"/>
      <c r="H512" s="41"/>
      <c r="I512" s="41"/>
      <c r="J512" s="41"/>
      <c r="K512" s="42"/>
    </row>
    <row r="513">
      <c r="B513" s="38"/>
      <c r="C513" s="38"/>
      <c r="D513" s="39"/>
      <c r="E513" s="40"/>
      <c r="F513" s="40"/>
      <c r="G513" s="41"/>
      <c r="H513" s="41"/>
      <c r="I513" s="41"/>
      <c r="J513" s="41"/>
      <c r="K513" s="42"/>
    </row>
    <row r="514">
      <c r="B514" s="38"/>
      <c r="C514" s="38"/>
      <c r="D514" s="39"/>
      <c r="E514" s="40"/>
      <c r="F514" s="40"/>
      <c r="G514" s="41"/>
      <c r="H514" s="41"/>
      <c r="I514" s="41"/>
      <c r="J514" s="41"/>
      <c r="K514" s="42"/>
    </row>
    <row r="515">
      <c r="B515" s="38"/>
      <c r="C515" s="38"/>
      <c r="D515" s="39"/>
      <c r="E515" s="40"/>
      <c r="F515" s="40"/>
      <c r="G515" s="41"/>
      <c r="H515" s="41"/>
      <c r="I515" s="41"/>
      <c r="J515" s="41"/>
      <c r="K515" s="42"/>
    </row>
    <row r="516">
      <c r="B516" s="38"/>
      <c r="C516" s="38"/>
      <c r="D516" s="39"/>
      <c r="E516" s="40"/>
      <c r="F516" s="40"/>
      <c r="G516" s="41"/>
      <c r="H516" s="41"/>
      <c r="I516" s="41"/>
      <c r="J516" s="41"/>
      <c r="K516" s="42"/>
    </row>
    <row r="517">
      <c r="B517" s="38"/>
      <c r="C517" s="38"/>
      <c r="D517" s="39"/>
      <c r="E517" s="40"/>
      <c r="F517" s="40"/>
      <c r="G517" s="41"/>
      <c r="H517" s="41"/>
      <c r="I517" s="41"/>
      <c r="J517" s="41"/>
      <c r="K517" s="42"/>
    </row>
    <row r="518">
      <c r="B518" s="38"/>
      <c r="C518" s="38"/>
      <c r="D518" s="39"/>
      <c r="E518" s="40"/>
      <c r="F518" s="40"/>
      <c r="G518" s="41"/>
      <c r="H518" s="41"/>
      <c r="I518" s="41"/>
      <c r="J518" s="41"/>
      <c r="K518" s="42"/>
    </row>
    <row r="519">
      <c r="B519" s="38"/>
      <c r="C519" s="38"/>
      <c r="D519" s="39"/>
      <c r="E519" s="40"/>
      <c r="F519" s="40"/>
      <c r="G519" s="41"/>
      <c r="H519" s="41"/>
      <c r="I519" s="41"/>
      <c r="J519" s="41"/>
      <c r="K519" s="42"/>
    </row>
    <row r="520">
      <c r="B520" s="38"/>
      <c r="C520" s="38"/>
      <c r="D520" s="39"/>
      <c r="E520" s="40"/>
      <c r="F520" s="40"/>
      <c r="G520" s="41"/>
      <c r="H520" s="41"/>
      <c r="I520" s="41"/>
      <c r="J520" s="41"/>
      <c r="K520" s="42"/>
    </row>
    <row r="521">
      <c r="B521" s="38"/>
      <c r="C521" s="38"/>
      <c r="D521" s="39"/>
      <c r="E521" s="40"/>
      <c r="F521" s="40"/>
      <c r="G521" s="41"/>
      <c r="H521" s="41"/>
      <c r="I521" s="41"/>
      <c r="J521" s="41"/>
      <c r="K521" s="42"/>
    </row>
    <row r="522">
      <c r="B522" s="38"/>
      <c r="C522" s="38"/>
      <c r="D522" s="39"/>
      <c r="E522" s="40"/>
      <c r="F522" s="40"/>
      <c r="G522" s="41"/>
      <c r="H522" s="41"/>
      <c r="I522" s="41"/>
      <c r="J522" s="41"/>
      <c r="K522" s="42"/>
    </row>
    <row r="523">
      <c r="B523" s="38"/>
      <c r="C523" s="38"/>
      <c r="D523" s="39"/>
      <c r="E523" s="40"/>
      <c r="F523" s="40"/>
      <c r="G523" s="41"/>
      <c r="H523" s="41"/>
      <c r="I523" s="41"/>
      <c r="J523" s="41"/>
      <c r="K523" s="42"/>
    </row>
    <row r="524">
      <c r="B524" s="38"/>
      <c r="C524" s="38"/>
      <c r="D524" s="39"/>
      <c r="E524" s="40"/>
      <c r="F524" s="40"/>
      <c r="G524" s="41"/>
      <c r="H524" s="41"/>
      <c r="I524" s="41"/>
      <c r="J524" s="41"/>
      <c r="K524" s="42"/>
    </row>
    <row r="525">
      <c r="B525" s="38"/>
      <c r="C525" s="38"/>
      <c r="D525" s="39"/>
      <c r="E525" s="40"/>
      <c r="F525" s="40"/>
      <c r="G525" s="41"/>
      <c r="H525" s="41"/>
      <c r="I525" s="41"/>
      <c r="J525" s="41"/>
      <c r="K525" s="42"/>
    </row>
    <row r="526">
      <c r="B526" s="38"/>
      <c r="C526" s="38"/>
      <c r="D526" s="39"/>
      <c r="E526" s="40"/>
      <c r="F526" s="40"/>
      <c r="G526" s="41"/>
      <c r="H526" s="41"/>
      <c r="I526" s="41"/>
      <c r="J526" s="41"/>
      <c r="K526" s="42"/>
    </row>
    <row r="527">
      <c r="B527" s="38"/>
      <c r="C527" s="38"/>
      <c r="D527" s="39"/>
      <c r="E527" s="40"/>
      <c r="F527" s="40"/>
      <c r="G527" s="41"/>
      <c r="H527" s="41"/>
      <c r="I527" s="41"/>
      <c r="J527" s="41"/>
      <c r="K527" s="42"/>
    </row>
    <row r="528">
      <c r="B528" s="38"/>
      <c r="C528" s="38"/>
      <c r="D528" s="39"/>
      <c r="E528" s="40"/>
      <c r="F528" s="40"/>
      <c r="G528" s="41"/>
      <c r="H528" s="41"/>
      <c r="I528" s="41"/>
      <c r="J528" s="41"/>
      <c r="K528" s="42"/>
    </row>
    <row r="529">
      <c r="B529" s="38"/>
      <c r="C529" s="38"/>
      <c r="D529" s="39"/>
      <c r="E529" s="40"/>
      <c r="F529" s="40"/>
      <c r="G529" s="41"/>
      <c r="H529" s="41"/>
      <c r="I529" s="41"/>
      <c r="J529" s="41"/>
      <c r="K529" s="42"/>
    </row>
    <row r="530">
      <c r="B530" s="38"/>
      <c r="C530" s="38"/>
      <c r="D530" s="39"/>
      <c r="E530" s="40"/>
      <c r="F530" s="40"/>
      <c r="G530" s="41"/>
      <c r="H530" s="41"/>
      <c r="I530" s="41"/>
      <c r="J530" s="41"/>
      <c r="K530" s="42"/>
    </row>
    <row r="531">
      <c r="B531" s="38"/>
      <c r="C531" s="38"/>
      <c r="D531" s="39"/>
      <c r="E531" s="40"/>
      <c r="F531" s="40"/>
      <c r="G531" s="41"/>
      <c r="H531" s="41"/>
      <c r="I531" s="41"/>
      <c r="J531" s="41"/>
      <c r="K531" s="42"/>
    </row>
    <row r="532">
      <c r="B532" s="38"/>
      <c r="C532" s="38"/>
      <c r="D532" s="39"/>
      <c r="E532" s="40"/>
      <c r="F532" s="40"/>
      <c r="G532" s="41"/>
      <c r="H532" s="41"/>
      <c r="I532" s="41"/>
      <c r="J532" s="41"/>
      <c r="K532" s="42"/>
    </row>
    <row r="533">
      <c r="B533" s="38"/>
      <c r="C533" s="38"/>
      <c r="D533" s="39"/>
      <c r="E533" s="40"/>
      <c r="F533" s="40"/>
      <c r="G533" s="41"/>
      <c r="H533" s="41"/>
      <c r="I533" s="41"/>
      <c r="J533" s="41"/>
      <c r="K533" s="42"/>
    </row>
    <row r="534">
      <c r="B534" s="38"/>
      <c r="C534" s="38"/>
      <c r="D534" s="39"/>
      <c r="E534" s="40"/>
      <c r="F534" s="40"/>
      <c r="G534" s="41"/>
      <c r="H534" s="41"/>
      <c r="I534" s="41"/>
      <c r="J534" s="41"/>
      <c r="K534" s="42"/>
    </row>
    <row r="535">
      <c r="B535" s="38"/>
      <c r="C535" s="38"/>
      <c r="D535" s="39"/>
      <c r="E535" s="40"/>
      <c r="F535" s="40"/>
      <c r="G535" s="41"/>
      <c r="H535" s="41"/>
      <c r="I535" s="41"/>
      <c r="J535" s="41"/>
      <c r="K535" s="42"/>
    </row>
    <row r="536">
      <c r="B536" s="38"/>
      <c r="C536" s="38"/>
      <c r="D536" s="39"/>
      <c r="E536" s="40"/>
      <c r="F536" s="40"/>
      <c r="G536" s="41"/>
      <c r="H536" s="41"/>
      <c r="I536" s="41"/>
      <c r="J536" s="41"/>
      <c r="K536" s="42"/>
    </row>
    <row r="537">
      <c r="B537" s="38"/>
      <c r="C537" s="38"/>
      <c r="D537" s="39"/>
      <c r="E537" s="40"/>
      <c r="F537" s="40"/>
      <c r="G537" s="41"/>
      <c r="H537" s="41"/>
      <c r="I537" s="41"/>
      <c r="J537" s="41"/>
      <c r="K537" s="42"/>
    </row>
    <row r="538">
      <c r="B538" s="38"/>
      <c r="C538" s="38"/>
      <c r="D538" s="39"/>
      <c r="E538" s="40"/>
      <c r="F538" s="40"/>
      <c r="G538" s="41"/>
      <c r="H538" s="41"/>
      <c r="I538" s="41"/>
      <c r="J538" s="41"/>
      <c r="K538" s="42"/>
    </row>
    <row r="539">
      <c r="B539" s="38"/>
      <c r="C539" s="38"/>
      <c r="D539" s="39"/>
      <c r="E539" s="40"/>
      <c r="F539" s="40"/>
      <c r="G539" s="41"/>
      <c r="H539" s="41"/>
      <c r="I539" s="41"/>
      <c r="J539" s="41"/>
      <c r="K539" s="42"/>
    </row>
    <row r="540">
      <c r="B540" s="38"/>
      <c r="C540" s="38"/>
      <c r="D540" s="39"/>
      <c r="E540" s="40"/>
      <c r="F540" s="40"/>
      <c r="G540" s="41"/>
      <c r="H540" s="41"/>
      <c r="I540" s="41"/>
      <c r="J540" s="41"/>
      <c r="K540" s="42"/>
    </row>
    <row r="541">
      <c r="B541" s="38"/>
      <c r="C541" s="38"/>
      <c r="D541" s="39"/>
      <c r="E541" s="40"/>
      <c r="F541" s="40"/>
      <c r="G541" s="41"/>
      <c r="H541" s="41"/>
      <c r="I541" s="41"/>
      <c r="J541" s="41"/>
      <c r="K541" s="42"/>
    </row>
    <row r="542">
      <c r="B542" s="38"/>
      <c r="C542" s="38"/>
      <c r="D542" s="39"/>
      <c r="E542" s="40"/>
      <c r="F542" s="40"/>
      <c r="G542" s="41"/>
      <c r="H542" s="41"/>
      <c r="I542" s="41"/>
      <c r="J542" s="41"/>
      <c r="K542" s="42"/>
    </row>
    <row r="543">
      <c r="B543" s="38"/>
      <c r="C543" s="38"/>
      <c r="D543" s="39"/>
      <c r="E543" s="40"/>
      <c r="F543" s="40"/>
      <c r="G543" s="41"/>
      <c r="H543" s="41"/>
      <c r="I543" s="41"/>
      <c r="J543" s="41"/>
      <c r="K543" s="42"/>
    </row>
    <row r="544">
      <c r="B544" s="38"/>
      <c r="C544" s="38"/>
      <c r="D544" s="39"/>
      <c r="E544" s="40"/>
      <c r="F544" s="40"/>
      <c r="G544" s="41"/>
      <c r="H544" s="41"/>
      <c r="I544" s="41"/>
      <c r="J544" s="41"/>
      <c r="K544" s="42"/>
    </row>
    <row r="545">
      <c r="B545" s="38"/>
      <c r="C545" s="38"/>
      <c r="D545" s="39"/>
      <c r="E545" s="40"/>
      <c r="F545" s="40"/>
      <c r="G545" s="41"/>
      <c r="H545" s="41"/>
      <c r="I545" s="41"/>
      <c r="J545" s="41"/>
      <c r="K545" s="42"/>
    </row>
    <row r="546">
      <c r="B546" s="38"/>
      <c r="C546" s="38"/>
      <c r="D546" s="39"/>
      <c r="E546" s="40"/>
      <c r="F546" s="40"/>
      <c r="G546" s="41"/>
      <c r="H546" s="41"/>
      <c r="I546" s="41"/>
      <c r="J546" s="41"/>
      <c r="K546" s="42"/>
    </row>
    <row r="547">
      <c r="B547" s="38"/>
      <c r="C547" s="38"/>
      <c r="D547" s="39"/>
      <c r="E547" s="40"/>
      <c r="F547" s="40"/>
      <c r="G547" s="41"/>
      <c r="H547" s="41"/>
      <c r="I547" s="41"/>
      <c r="J547" s="41"/>
      <c r="K547" s="42"/>
    </row>
    <row r="548">
      <c r="B548" s="38"/>
      <c r="C548" s="38"/>
      <c r="D548" s="39"/>
      <c r="E548" s="40"/>
      <c r="F548" s="40"/>
      <c r="G548" s="41"/>
      <c r="H548" s="41"/>
      <c r="I548" s="41"/>
      <c r="J548" s="41"/>
      <c r="K548" s="42"/>
    </row>
    <row r="549">
      <c r="B549" s="38"/>
      <c r="C549" s="38"/>
      <c r="D549" s="39"/>
      <c r="E549" s="40"/>
      <c r="F549" s="40"/>
      <c r="G549" s="41"/>
      <c r="H549" s="41"/>
      <c r="I549" s="41"/>
      <c r="J549" s="41"/>
      <c r="K549" s="42"/>
    </row>
    <row r="550">
      <c r="B550" s="38"/>
      <c r="C550" s="38"/>
      <c r="D550" s="39"/>
      <c r="E550" s="40"/>
      <c r="F550" s="40"/>
      <c r="G550" s="41"/>
      <c r="H550" s="41"/>
      <c r="I550" s="41"/>
      <c r="J550" s="41"/>
      <c r="K550" s="42"/>
    </row>
    <row r="551">
      <c r="B551" s="38"/>
      <c r="C551" s="38"/>
      <c r="D551" s="39"/>
      <c r="E551" s="40"/>
      <c r="F551" s="40"/>
      <c r="G551" s="41"/>
      <c r="H551" s="41"/>
      <c r="I551" s="41"/>
      <c r="J551" s="41"/>
      <c r="K551" s="42"/>
    </row>
    <row r="552">
      <c r="B552" s="38"/>
      <c r="C552" s="38"/>
      <c r="D552" s="39"/>
      <c r="E552" s="40"/>
      <c r="F552" s="40"/>
      <c r="G552" s="41"/>
      <c r="H552" s="41"/>
      <c r="I552" s="41"/>
      <c r="J552" s="41"/>
      <c r="K552" s="42"/>
    </row>
    <row r="553">
      <c r="B553" s="38"/>
      <c r="C553" s="38"/>
      <c r="D553" s="39"/>
      <c r="E553" s="40"/>
      <c r="F553" s="40"/>
      <c r="G553" s="41"/>
      <c r="H553" s="41"/>
      <c r="I553" s="41"/>
      <c r="J553" s="41"/>
      <c r="K553" s="42"/>
    </row>
    <row r="554">
      <c r="B554" s="38"/>
      <c r="C554" s="38"/>
      <c r="D554" s="39"/>
      <c r="E554" s="40"/>
      <c r="F554" s="40"/>
      <c r="G554" s="41"/>
      <c r="H554" s="41"/>
      <c r="I554" s="41"/>
      <c r="J554" s="41"/>
      <c r="K554" s="42"/>
    </row>
    <row r="555">
      <c r="B555" s="38"/>
      <c r="C555" s="38"/>
      <c r="D555" s="39"/>
      <c r="E555" s="40"/>
      <c r="F555" s="40"/>
      <c r="G555" s="41"/>
      <c r="H555" s="41"/>
      <c r="I555" s="41"/>
      <c r="J555" s="41"/>
      <c r="K555" s="42"/>
    </row>
    <row r="556">
      <c r="B556" s="38"/>
      <c r="C556" s="38"/>
      <c r="D556" s="39"/>
      <c r="E556" s="40"/>
      <c r="F556" s="40"/>
      <c r="G556" s="41"/>
      <c r="H556" s="41"/>
      <c r="I556" s="41"/>
      <c r="J556" s="41"/>
      <c r="K556" s="42"/>
    </row>
    <row r="557">
      <c r="B557" s="38"/>
      <c r="C557" s="38"/>
      <c r="D557" s="39"/>
      <c r="E557" s="40"/>
      <c r="F557" s="40"/>
      <c r="G557" s="41"/>
      <c r="H557" s="41"/>
      <c r="I557" s="41"/>
      <c r="J557" s="41"/>
      <c r="K557" s="42"/>
    </row>
    <row r="558">
      <c r="B558" s="38"/>
      <c r="C558" s="38"/>
      <c r="D558" s="39"/>
      <c r="E558" s="40"/>
      <c r="F558" s="40"/>
      <c r="G558" s="41"/>
      <c r="H558" s="41"/>
      <c r="I558" s="41"/>
      <c r="J558" s="41"/>
      <c r="K558" s="42"/>
    </row>
    <row r="559">
      <c r="B559" s="38"/>
      <c r="C559" s="38"/>
      <c r="D559" s="39"/>
      <c r="E559" s="40"/>
      <c r="F559" s="40"/>
      <c r="G559" s="41"/>
      <c r="H559" s="41"/>
      <c r="I559" s="41"/>
      <c r="J559" s="41"/>
      <c r="K559" s="42"/>
    </row>
    <row r="560">
      <c r="B560" s="38"/>
      <c r="C560" s="38"/>
      <c r="D560" s="39"/>
      <c r="E560" s="40"/>
      <c r="F560" s="40"/>
      <c r="G560" s="41"/>
      <c r="H560" s="41"/>
      <c r="I560" s="41"/>
      <c r="J560" s="41"/>
      <c r="K560" s="42"/>
    </row>
    <row r="561">
      <c r="B561" s="38"/>
      <c r="C561" s="38"/>
      <c r="D561" s="39"/>
      <c r="E561" s="40"/>
      <c r="F561" s="40"/>
      <c r="G561" s="41"/>
      <c r="H561" s="41"/>
      <c r="I561" s="41"/>
      <c r="J561" s="41"/>
      <c r="K561" s="42"/>
    </row>
    <row r="562">
      <c r="B562" s="38"/>
      <c r="C562" s="38"/>
      <c r="D562" s="39"/>
      <c r="E562" s="40"/>
      <c r="F562" s="40"/>
      <c r="G562" s="41"/>
      <c r="H562" s="41"/>
      <c r="I562" s="41"/>
      <c r="J562" s="41"/>
      <c r="K562" s="42"/>
    </row>
    <row r="563">
      <c r="B563" s="38"/>
      <c r="C563" s="38"/>
      <c r="D563" s="39"/>
      <c r="E563" s="40"/>
      <c r="F563" s="40"/>
      <c r="G563" s="41"/>
      <c r="H563" s="41"/>
      <c r="I563" s="41"/>
      <c r="J563" s="41"/>
      <c r="K563" s="42"/>
    </row>
    <row r="564">
      <c r="B564" s="38"/>
      <c r="C564" s="38"/>
      <c r="D564" s="39"/>
      <c r="E564" s="40"/>
      <c r="F564" s="40"/>
      <c r="G564" s="41"/>
      <c r="H564" s="41"/>
      <c r="I564" s="41"/>
      <c r="J564" s="41"/>
      <c r="K564" s="42"/>
    </row>
    <row r="565">
      <c r="B565" s="38"/>
      <c r="C565" s="38"/>
      <c r="D565" s="39"/>
      <c r="E565" s="40"/>
      <c r="F565" s="40"/>
      <c r="G565" s="41"/>
      <c r="H565" s="41"/>
      <c r="I565" s="41"/>
      <c r="J565" s="41"/>
      <c r="K565" s="42"/>
    </row>
    <row r="566">
      <c r="B566" s="38"/>
      <c r="C566" s="38"/>
      <c r="D566" s="39"/>
      <c r="E566" s="40"/>
      <c r="F566" s="40"/>
      <c r="G566" s="41"/>
      <c r="H566" s="41"/>
      <c r="I566" s="41"/>
      <c r="J566" s="41"/>
      <c r="K566" s="42"/>
    </row>
    <row r="567">
      <c r="B567" s="38"/>
      <c r="C567" s="38"/>
      <c r="D567" s="39"/>
      <c r="E567" s="40"/>
      <c r="F567" s="40"/>
      <c r="G567" s="41"/>
      <c r="H567" s="41"/>
      <c r="I567" s="41"/>
      <c r="J567" s="41"/>
      <c r="K567" s="42"/>
    </row>
    <row r="568">
      <c r="B568" s="38"/>
      <c r="C568" s="38"/>
      <c r="D568" s="39"/>
      <c r="E568" s="40"/>
      <c r="F568" s="40"/>
      <c r="G568" s="41"/>
      <c r="H568" s="41"/>
      <c r="I568" s="41"/>
      <c r="J568" s="41"/>
      <c r="K568" s="42"/>
    </row>
    <row r="569">
      <c r="B569" s="38"/>
      <c r="C569" s="38"/>
      <c r="D569" s="39"/>
      <c r="E569" s="40"/>
      <c r="F569" s="40"/>
      <c r="G569" s="41"/>
      <c r="H569" s="41"/>
      <c r="I569" s="41"/>
      <c r="J569" s="41"/>
      <c r="K569" s="42"/>
    </row>
    <row r="570">
      <c r="B570" s="38"/>
      <c r="C570" s="38"/>
      <c r="D570" s="39"/>
      <c r="E570" s="40"/>
      <c r="F570" s="40"/>
      <c r="G570" s="41"/>
      <c r="H570" s="41"/>
      <c r="I570" s="41"/>
      <c r="J570" s="41"/>
      <c r="K570" s="42"/>
    </row>
    <row r="571">
      <c r="B571" s="38"/>
      <c r="C571" s="38"/>
      <c r="D571" s="39"/>
      <c r="E571" s="40"/>
      <c r="F571" s="40"/>
      <c r="G571" s="41"/>
      <c r="H571" s="41"/>
      <c r="I571" s="41"/>
      <c r="J571" s="41"/>
      <c r="K571" s="42"/>
    </row>
    <row r="572">
      <c r="B572" s="38"/>
      <c r="C572" s="38"/>
      <c r="D572" s="39"/>
      <c r="E572" s="40"/>
      <c r="F572" s="40"/>
      <c r="G572" s="41"/>
      <c r="H572" s="41"/>
      <c r="I572" s="41"/>
      <c r="J572" s="41"/>
      <c r="K572" s="42"/>
    </row>
    <row r="573">
      <c r="B573" s="38"/>
      <c r="C573" s="38"/>
      <c r="D573" s="39"/>
      <c r="E573" s="40"/>
      <c r="F573" s="40"/>
      <c r="G573" s="41"/>
      <c r="H573" s="41"/>
      <c r="I573" s="41"/>
      <c r="J573" s="41"/>
      <c r="K573" s="42"/>
    </row>
    <row r="574">
      <c r="B574" s="38"/>
      <c r="C574" s="38"/>
      <c r="D574" s="39"/>
      <c r="E574" s="40"/>
      <c r="F574" s="40"/>
      <c r="G574" s="41"/>
      <c r="H574" s="41"/>
      <c r="I574" s="41"/>
      <c r="J574" s="41"/>
      <c r="K574" s="42"/>
    </row>
    <row r="575">
      <c r="B575" s="38"/>
      <c r="C575" s="38"/>
      <c r="D575" s="39"/>
      <c r="E575" s="40"/>
      <c r="F575" s="40"/>
      <c r="G575" s="41"/>
      <c r="H575" s="41"/>
      <c r="I575" s="41"/>
      <c r="J575" s="41"/>
      <c r="K575" s="42"/>
    </row>
    <row r="576">
      <c r="B576" s="38"/>
      <c r="C576" s="38"/>
      <c r="D576" s="39"/>
      <c r="E576" s="40"/>
      <c r="F576" s="40"/>
      <c r="G576" s="41"/>
      <c r="H576" s="41"/>
      <c r="I576" s="41"/>
      <c r="J576" s="41"/>
      <c r="K576" s="42"/>
    </row>
    <row r="577">
      <c r="B577" s="38"/>
      <c r="C577" s="38"/>
      <c r="D577" s="39"/>
      <c r="E577" s="40"/>
      <c r="F577" s="40"/>
      <c r="G577" s="41"/>
      <c r="H577" s="41"/>
      <c r="I577" s="41"/>
      <c r="J577" s="41"/>
      <c r="K577" s="42"/>
    </row>
    <row r="578">
      <c r="B578" s="38"/>
      <c r="C578" s="38"/>
      <c r="D578" s="39"/>
      <c r="E578" s="40"/>
      <c r="F578" s="40"/>
      <c r="G578" s="41"/>
      <c r="H578" s="41"/>
      <c r="I578" s="41"/>
      <c r="J578" s="41"/>
      <c r="K578" s="42"/>
    </row>
    <row r="579">
      <c r="B579" s="38"/>
      <c r="C579" s="38"/>
      <c r="D579" s="39"/>
      <c r="E579" s="40"/>
      <c r="F579" s="40"/>
      <c r="G579" s="41"/>
      <c r="H579" s="41"/>
      <c r="I579" s="41"/>
      <c r="J579" s="41"/>
      <c r="K579" s="42"/>
    </row>
    <row r="580">
      <c r="B580" s="38"/>
      <c r="C580" s="38"/>
      <c r="D580" s="39"/>
      <c r="E580" s="40"/>
      <c r="F580" s="40"/>
      <c r="G580" s="41"/>
      <c r="H580" s="41"/>
      <c r="I580" s="41"/>
      <c r="J580" s="41"/>
      <c r="K580" s="42"/>
    </row>
    <row r="581">
      <c r="B581" s="38"/>
      <c r="C581" s="38"/>
      <c r="D581" s="39"/>
      <c r="E581" s="40"/>
      <c r="F581" s="40"/>
      <c r="G581" s="41"/>
      <c r="H581" s="41"/>
      <c r="I581" s="41"/>
      <c r="J581" s="41"/>
      <c r="K581" s="42"/>
    </row>
    <row r="582">
      <c r="B582" s="38"/>
      <c r="C582" s="38"/>
      <c r="D582" s="39"/>
      <c r="E582" s="40"/>
      <c r="F582" s="40"/>
      <c r="G582" s="41"/>
      <c r="H582" s="41"/>
      <c r="I582" s="41"/>
      <c r="J582" s="41"/>
      <c r="K582" s="42"/>
    </row>
    <row r="583">
      <c r="B583" s="38"/>
      <c r="C583" s="38"/>
      <c r="D583" s="39"/>
      <c r="E583" s="40"/>
      <c r="F583" s="40"/>
      <c r="G583" s="41"/>
      <c r="H583" s="41"/>
      <c r="I583" s="41"/>
      <c r="J583" s="41"/>
      <c r="K583" s="42"/>
    </row>
    <row r="584">
      <c r="B584" s="38"/>
      <c r="C584" s="38"/>
      <c r="D584" s="39"/>
      <c r="E584" s="40"/>
      <c r="F584" s="40"/>
      <c r="G584" s="41"/>
      <c r="H584" s="41"/>
      <c r="I584" s="41"/>
      <c r="J584" s="41"/>
      <c r="K584" s="42"/>
    </row>
    <row r="585">
      <c r="B585" s="38"/>
      <c r="C585" s="38"/>
      <c r="D585" s="39"/>
      <c r="E585" s="40"/>
      <c r="F585" s="40"/>
      <c r="G585" s="41"/>
      <c r="H585" s="41"/>
      <c r="I585" s="41"/>
      <c r="J585" s="41"/>
      <c r="K585" s="42"/>
    </row>
    <row r="586">
      <c r="B586" s="38"/>
      <c r="C586" s="38"/>
      <c r="D586" s="39"/>
      <c r="E586" s="40"/>
      <c r="F586" s="40"/>
      <c r="G586" s="41"/>
      <c r="H586" s="41"/>
      <c r="I586" s="41"/>
      <c r="J586" s="41"/>
      <c r="K586" s="42"/>
    </row>
    <row r="587">
      <c r="B587" s="38"/>
      <c r="C587" s="38"/>
      <c r="D587" s="39"/>
      <c r="E587" s="40"/>
      <c r="F587" s="40"/>
      <c r="G587" s="41"/>
      <c r="H587" s="41"/>
      <c r="I587" s="41"/>
      <c r="J587" s="41"/>
      <c r="K587" s="42"/>
    </row>
    <row r="588">
      <c r="B588" s="38"/>
      <c r="C588" s="38"/>
      <c r="D588" s="39"/>
      <c r="E588" s="40"/>
      <c r="F588" s="40"/>
      <c r="G588" s="41"/>
      <c r="H588" s="41"/>
      <c r="I588" s="41"/>
      <c r="J588" s="41"/>
      <c r="K588" s="42"/>
    </row>
    <row r="589">
      <c r="B589" s="38"/>
      <c r="C589" s="38"/>
      <c r="D589" s="39"/>
      <c r="E589" s="40"/>
      <c r="F589" s="40"/>
      <c r="G589" s="41"/>
      <c r="H589" s="41"/>
      <c r="I589" s="41"/>
      <c r="J589" s="41"/>
      <c r="K589" s="42"/>
    </row>
    <row r="590">
      <c r="B590" s="38"/>
      <c r="C590" s="38"/>
      <c r="D590" s="39"/>
      <c r="E590" s="40"/>
      <c r="F590" s="40"/>
      <c r="G590" s="41"/>
      <c r="H590" s="41"/>
      <c r="I590" s="41"/>
      <c r="J590" s="41"/>
      <c r="K590" s="42"/>
    </row>
    <row r="591">
      <c r="B591" s="38"/>
      <c r="C591" s="38"/>
      <c r="D591" s="39"/>
      <c r="E591" s="40"/>
      <c r="F591" s="40"/>
      <c r="G591" s="41"/>
      <c r="H591" s="41"/>
      <c r="I591" s="41"/>
      <c r="J591" s="41"/>
      <c r="K591" s="42"/>
    </row>
    <row r="592">
      <c r="B592" s="38"/>
      <c r="C592" s="38"/>
      <c r="D592" s="39"/>
      <c r="E592" s="40"/>
      <c r="F592" s="40"/>
      <c r="G592" s="41"/>
      <c r="H592" s="41"/>
      <c r="I592" s="41"/>
      <c r="J592" s="41"/>
      <c r="K592" s="42"/>
    </row>
    <row r="593">
      <c r="B593" s="38"/>
      <c r="C593" s="38"/>
      <c r="D593" s="39"/>
      <c r="E593" s="40"/>
      <c r="F593" s="40"/>
      <c r="G593" s="41"/>
      <c r="H593" s="41"/>
      <c r="I593" s="41"/>
      <c r="J593" s="41"/>
      <c r="K593" s="42"/>
    </row>
    <row r="594">
      <c r="B594" s="38"/>
      <c r="C594" s="38"/>
      <c r="D594" s="39"/>
      <c r="E594" s="40"/>
      <c r="F594" s="40"/>
      <c r="G594" s="41"/>
      <c r="H594" s="41"/>
      <c r="I594" s="41"/>
      <c r="J594" s="41"/>
      <c r="K594" s="42"/>
    </row>
    <row r="595">
      <c r="B595" s="38"/>
      <c r="C595" s="38"/>
      <c r="D595" s="39"/>
      <c r="E595" s="40"/>
      <c r="F595" s="40"/>
      <c r="G595" s="41"/>
      <c r="H595" s="41"/>
      <c r="I595" s="41"/>
      <c r="J595" s="41"/>
      <c r="K595" s="42"/>
    </row>
    <row r="596">
      <c r="B596" s="38"/>
      <c r="C596" s="38"/>
      <c r="D596" s="39"/>
      <c r="E596" s="40"/>
      <c r="F596" s="40"/>
      <c r="G596" s="41"/>
      <c r="H596" s="41"/>
      <c r="I596" s="41"/>
      <c r="J596" s="41"/>
      <c r="K596" s="42"/>
    </row>
    <row r="597">
      <c r="B597" s="38"/>
      <c r="C597" s="38"/>
      <c r="D597" s="39"/>
      <c r="E597" s="40"/>
      <c r="F597" s="40"/>
      <c r="G597" s="41"/>
      <c r="H597" s="41"/>
      <c r="I597" s="41"/>
      <c r="J597" s="41"/>
      <c r="K597" s="42"/>
    </row>
    <row r="598">
      <c r="B598" s="38"/>
      <c r="C598" s="38"/>
      <c r="D598" s="39"/>
      <c r="E598" s="40"/>
      <c r="F598" s="40"/>
      <c r="G598" s="41"/>
      <c r="H598" s="41"/>
      <c r="I598" s="41"/>
      <c r="J598" s="41"/>
      <c r="K598" s="42"/>
    </row>
    <row r="599">
      <c r="B599" s="38"/>
      <c r="C599" s="38"/>
      <c r="D599" s="39"/>
      <c r="E599" s="40"/>
      <c r="F599" s="40"/>
      <c r="G599" s="41"/>
      <c r="H599" s="41"/>
      <c r="I599" s="41"/>
      <c r="J599" s="41"/>
      <c r="K599" s="42"/>
    </row>
    <row r="600">
      <c r="B600" s="38"/>
      <c r="C600" s="38"/>
      <c r="D600" s="39"/>
      <c r="E600" s="40"/>
      <c r="F600" s="40"/>
      <c r="G600" s="41"/>
      <c r="H600" s="41"/>
      <c r="I600" s="41"/>
      <c r="J600" s="41"/>
      <c r="K600" s="42"/>
    </row>
    <row r="601">
      <c r="B601" s="38"/>
      <c r="C601" s="38"/>
      <c r="D601" s="39"/>
      <c r="E601" s="40"/>
      <c r="F601" s="40"/>
      <c r="G601" s="41"/>
      <c r="H601" s="41"/>
      <c r="I601" s="41"/>
      <c r="J601" s="41"/>
      <c r="K601" s="42"/>
    </row>
    <row r="602">
      <c r="B602" s="38"/>
      <c r="C602" s="38"/>
      <c r="D602" s="39"/>
      <c r="E602" s="40"/>
      <c r="F602" s="40"/>
      <c r="G602" s="41"/>
      <c r="H602" s="41"/>
      <c r="I602" s="41"/>
      <c r="J602" s="41"/>
      <c r="K602" s="42"/>
    </row>
    <row r="603">
      <c r="B603" s="38"/>
      <c r="C603" s="38"/>
      <c r="D603" s="39"/>
      <c r="E603" s="40"/>
      <c r="F603" s="40"/>
      <c r="G603" s="41"/>
      <c r="H603" s="41"/>
      <c r="I603" s="41"/>
      <c r="J603" s="41"/>
      <c r="K603" s="42"/>
    </row>
    <row r="604">
      <c r="B604" s="38"/>
      <c r="C604" s="38"/>
      <c r="D604" s="39"/>
      <c r="E604" s="40"/>
      <c r="F604" s="40"/>
      <c r="G604" s="41"/>
      <c r="H604" s="41"/>
      <c r="I604" s="41"/>
      <c r="J604" s="41"/>
      <c r="K604" s="42"/>
    </row>
    <row r="605">
      <c r="B605" s="38"/>
      <c r="C605" s="38"/>
      <c r="D605" s="39"/>
      <c r="E605" s="40"/>
      <c r="F605" s="40"/>
      <c r="G605" s="41"/>
      <c r="H605" s="41"/>
      <c r="I605" s="41"/>
      <c r="J605" s="41"/>
      <c r="K605" s="42"/>
    </row>
    <row r="606">
      <c r="B606" s="38"/>
      <c r="C606" s="38"/>
      <c r="D606" s="39"/>
      <c r="E606" s="40"/>
      <c r="F606" s="40"/>
      <c r="G606" s="41"/>
      <c r="H606" s="41"/>
      <c r="I606" s="41"/>
      <c r="J606" s="41"/>
      <c r="K606" s="42"/>
    </row>
    <row r="607">
      <c r="B607" s="38"/>
      <c r="C607" s="38"/>
      <c r="D607" s="39"/>
      <c r="E607" s="40"/>
      <c r="F607" s="40"/>
      <c r="G607" s="41"/>
      <c r="H607" s="41"/>
      <c r="I607" s="41"/>
      <c r="J607" s="41"/>
      <c r="K607" s="42"/>
    </row>
    <row r="608">
      <c r="B608" s="38"/>
      <c r="C608" s="38"/>
      <c r="D608" s="39"/>
      <c r="E608" s="40"/>
      <c r="F608" s="40"/>
      <c r="G608" s="41"/>
      <c r="H608" s="41"/>
      <c r="I608" s="41"/>
      <c r="J608" s="41"/>
      <c r="K608" s="42"/>
    </row>
    <row r="609">
      <c r="B609" s="38"/>
      <c r="C609" s="38"/>
      <c r="D609" s="39"/>
      <c r="E609" s="40"/>
      <c r="F609" s="40"/>
      <c r="G609" s="41"/>
      <c r="H609" s="41"/>
      <c r="I609" s="41"/>
      <c r="J609" s="41"/>
      <c r="K609" s="42"/>
    </row>
    <row r="610">
      <c r="B610" s="38"/>
      <c r="C610" s="38"/>
      <c r="D610" s="39"/>
      <c r="E610" s="40"/>
      <c r="F610" s="40"/>
      <c r="G610" s="41"/>
      <c r="H610" s="41"/>
      <c r="I610" s="41"/>
      <c r="J610" s="41"/>
      <c r="K610" s="42"/>
    </row>
    <row r="611">
      <c r="B611" s="38"/>
      <c r="C611" s="38"/>
      <c r="D611" s="39"/>
      <c r="E611" s="40"/>
      <c r="F611" s="40"/>
      <c r="G611" s="41"/>
      <c r="H611" s="41"/>
      <c r="I611" s="41"/>
      <c r="J611" s="41"/>
      <c r="K611" s="42"/>
    </row>
    <row r="612">
      <c r="B612" s="38"/>
      <c r="C612" s="38"/>
      <c r="D612" s="39"/>
      <c r="E612" s="40"/>
      <c r="F612" s="40"/>
      <c r="G612" s="41"/>
      <c r="H612" s="41"/>
      <c r="I612" s="41"/>
      <c r="J612" s="41"/>
      <c r="K612" s="42"/>
    </row>
    <row r="613">
      <c r="B613" s="38"/>
      <c r="C613" s="38"/>
      <c r="D613" s="39"/>
      <c r="E613" s="40"/>
      <c r="F613" s="40"/>
      <c r="G613" s="41"/>
      <c r="H613" s="41"/>
      <c r="I613" s="41"/>
      <c r="J613" s="41"/>
      <c r="K613" s="42"/>
    </row>
    <row r="614">
      <c r="B614" s="38"/>
      <c r="C614" s="38"/>
      <c r="D614" s="39"/>
      <c r="E614" s="40"/>
      <c r="F614" s="40"/>
      <c r="G614" s="41"/>
      <c r="H614" s="41"/>
      <c r="I614" s="41"/>
      <c r="J614" s="41"/>
      <c r="K614" s="42"/>
    </row>
    <row r="615">
      <c r="B615" s="38"/>
      <c r="C615" s="38"/>
      <c r="D615" s="39"/>
      <c r="E615" s="40"/>
      <c r="F615" s="40"/>
      <c r="G615" s="41"/>
      <c r="H615" s="41"/>
      <c r="I615" s="41"/>
      <c r="J615" s="41"/>
      <c r="K615" s="42"/>
    </row>
    <row r="616">
      <c r="B616" s="38"/>
      <c r="C616" s="38"/>
      <c r="D616" s="39"/>
      <c r="E616" s="40"/>
      <c r="F616" s="40"/>
      <c r="G616" s="41"/>
      <c r="H616" s="41"/>
      <c r="I616" s="41"/>
      <c r="J616" s="41"/>
      <c r="K616" s="42"/>
    </row>
    <row r="617">
      <c r="B617" s="38"/>
      <c r="C617" s="38"/>
      <c r="D617" s="39"/>
      <c r="E617" s="40"/>
      <c r="F617" s="40"/>
      <c r="G617" s="41"/>
      <c r="H617" s="41"/>
      <c r="I617" s="41"/>
      <c r="J617" s="41"/>
      <c r="K617" s="42"/>
    </row>
    <row r="618">
      <c r="B618" s="38"/>
      <c r="C618" s="38"/>
      <c r="D618" s="39"/>
      <c r="E618" s="40"/>
      <c r="F618" s="40"/>
      <c r="G618" s="41"/>
      <c r="H618" s="41"/>
      <c r="I618" s="41"/>
      <c r="J618" s="41"/>
      <c r="K618" s="42"/>
    </row>
    <row r="619">
      <c r="B619" s="38"/>
      <c r="C619" s="38"/>
      <c r="D619" s="39"/>
      <c r="E619" s="40"/>
      <c r="F619" s="40"/>
      <c r="G619" s="41"/>
      <c r="H619" s="41"/>
      <c r="I619" s="41"/>
      <c r="J619" s="41"/>
      <c r="K619" s="42"/>
    </row>
    <row r="620">
      <c r="B620" s="38"/>
      <c r="C620" s="38"/>
      <c r="D620" s="39"/>
      <c r="E620" s="40"/>
      <c r="F620" s="40"/>
      <c r="G620" s="41"/>
      <c r="H620" s="41"/>
      <c r="I620" s="41"/>
      <c r="J620" s="41"/>
      <c r="K620" s="42"/>
    </row>
    <row r="621">
      <c r="B621" s="38"/>
      <c r="C621" s="38"/>
      <c r="D621" s="39"/>
      <c r="E621" s="40"/>
      <c r="F621" s="40"/>
      <c r="G621" s="41"/>
      <c r="H621" s="41"/>
      <c r="I621" s="41"/>
      <c r="J621" s="41"/>
      <c r="K621" s="42"/>
    </row>
    <row r="622">
      <c r="B622" s="38"/>
      <c r="C622" s="38"/>
      <c r="D622" s="39"/>
      <c r="E622" s="40"/>
      <c r="F622" s="40"/>
      <c r="G622" s="41"/>
      <c r="H622" s="41"/>
      <c r="I622" s="41"/>
      <c r="J622" s="41"/>
      <c r="K622" s="42"/>
    </row>
    <row r="623">
      <c r="B623" s="38"/>
      <c r="C623" s="38"/>
      <c r="D623" s="39"/>
      <c r="E623" s="40"/>
      <c r="F623" s="40"/>
      <c r="G623" s="41"/>
      <c r="H623" s="41"/>
      <c r="I623" s="41"/>
      <c r="J623" s="41"/>
      <c r="K623" s="42"/>
    </row>
    <row r="624">
      <c r="B624" s="38"/>
      <c r="C624" s="38"/>
      <c r="D624" s="39"/>
      <c r="E624" s="40"/>
      <c r="F624" s="40"/>
      <c r="G624" s="41"/>
      <c r="H624" s="41"/>
      <c r="I624" s="41"/>
      <c r="J624" s="41"/>
      <c r="K624" s="42"/>
    </row>
    <row r="625">
      <c r="B625" s="38"/>
      <c r="C625" s="38"/>
      <c r="D625" s="39"/>
      <c r="E625" s="40"/>
      <c r="F625" s="40"/>
      <c r="G625" s="41"/>
      <c r="H625" s="41"/>
      <c r="I625" s="41"/>
      <c r="J625" s="41"/>
      <c r="K625" s="42"/>
    </row>
    <row r="626">
      <c r="B626" s="38"/>
      <c r="C626" s="38"/>
      <c r="D626" s="39"/>
      <c r="E626" s="40"/>
      <c r="F626" s="40"/>
      <c r="G626" s="41"/>
      <c r="H626" s="41"/>
      <c r="I626" s="41"/>
      <c r="J626" s="41"/>
      <c r="K626" s="42"/>
    </row>
    <row r="627">
      <c r="B627" s="38"/>
      <c r="C627" s="38"/>
      <c r="D627" s="39"/>
      <c r="E627" s="40"/>
      <c r="F627" s="40"/>
      <c r="G627" s="41"/>
      <c r="H627" s="41"/>
      <c r="I627" s="41"/>
      <c r="J627" s="41"/>
      <c r="K627" s="42"/>
    </row>
    <row r="628">
      <c r="B628" s="38"/>
      <c r="C628" s="38"/>
      <c r="D628" s="39"/>
      <c r="E628" s="40"/>
      <c r="F628" s="40"/>
      <c r="G628" s="41"/>
      <c r="H628" s="41"/>
      <c r="I628" s="41"/>
      <c r="J628" s="41"/>
      <c r="K628" s="42"/>
    </row>
  </sheetData>
  <autoFilter ref="$A$1:$K$628"/>
  <conditionalFormatting sqref="G1:G62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:I628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J1:J628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628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:F628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:K628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1.38"/>
    <col customWidth="1" min="3" max="3" width="7.63"/>
    <col customWidth="1" min="4" max="4" width="9.38"/>
    <col customWidth="1" min="5" max="5" width="10.13"/>
    <col customWidth="1" min="6" max="6" width="6.63"/>
    <col customWidth="1" min="7" max="7" width="6.88"/>
    <col customWidth="1" min="8" max="8" width="13.63"/>
    <col customWidth="1" min="9" max="9" width="14.5"/>
    <col customWidth="1" min="10" max="10" width="11.13"/>
    <col customWidth="1" min="11" max="11" width="8.75"/>
    <col customWidth="1" min="12" max="12" width="10.13"/>
    <col customWidth="1" min="13" max="13" width="13.75"/>
    <col customWidth="1" min="14" max="14" width="10.13"/>
    <col customWidth="1" min="15" max="15" width="15.63"/>
    <col customWidth="1" min="16" max="16" width="8.38"/>
    <col customWidth="1" min="17" max="18" width="10.13"/>
  </cols>
  <sheetData>
    <row r="1">
      <c r="A1" s="32" t="s">
        <v>0</v>
      </c>
      <c r="B1" s="33" t="s">
        <v>5</v>
      </c>
      <c r="C1" s="43" t="s">
        <v>530</v>
      </c>
      <c r="D1" s="33" t="s">
        <v>523</v>
      </c>
      <c r="E1" s="34" t="s">
        <v>531</v>
      </c>
      <c r="F1" s="35" t="s">
        <v>524</v>
      </c>
      <c r="G1" s="35" t="s">
        <v>8</v>
      </c>
      <c r="H1" s="36" t="s">
        <v>525</v>
      </c>
      <c r="I1" s="36" t="s">
        <v>526</v>
      </c>
      <c r="J1" s="36" t="s">
        <v>527</v>
      </c>
      <c r="K1" s="36" t="s">
        <v>528</v>
      </c>
      <c r="L1" s="37" t="s">
        <v>529</v>
      </c>
      <c r="M1" s="42" t="s">
        <v>11</v>
      </c>
      <c r="N1" s="42"/>
    </row>
    <row r="2">
      <c r="A2" s="1" t="s">
        <v>147</v>
      </c>
      <c r="B2" s="38">
        <v>608379.0</v>
      </c>
      <c r="C2" s="44" t="s">
        <v>532</v>
      </c>
      <c r="D2" s="38">
        <v>654.0</v>
      </c>
      <c r="E2" s="39">
        <f>IFERROR(__xludf.DUMMYFUNCTION("sum(filter('PLA Sheet'!H:H,'PLA Sheet'!C:C=B2,'PLA Sheet'!D:D=C2))"),43.896107150000006)</f>
        <v>43.89610715</v>
      </c>
      <c r="F2" s="40">
        <v>5.763738052</v>
      </c>
      <c r="G2" s="40">
        <f>IFERROR(__xludf.DUMMYFUNCTION("sum(filter('PLA Sheet'!J:J,'PLA Sheet'!C:C=B2,'PLA Sheet'!D:D=C2))/E2*9"),1.0113278347963937)</f>
        <v>1.011327835</v>
      </c>
      <c r="H2" s="41">
        <v>0.639143731</v>
      </c>
      <c r="I2" s="41">
        <v>0.148318043</v>
      </c>
      <c r="J2" s="41">
        <v>0.212538226</v>
      </c>
      <c r="K2" s="41">
        <f t="shared" ref="K2:K951" si="1">H2-J2</f>
        <v>0.426605505</v>
      </c>
      <c r="L2" s="42">
        <v>6.772038328</v>
      </c>
      <c r="M2" s="45">
        <f>('Cy Young Rank'!O$1-G2)*E2/9</f>
        <v>14.86942667</v>
      </c>
      <c r="N2" s="46"/>
      <c r="O2" s="5"/>
      <c r="P2" s="5"/>
      <c r="Q2" s="5"/>
      <c r="R2" s="8"/>
    </row>
    <row r="3">
      <c r="A3" s="1" t="s">
        <v>215</v>
      </c>
      <c r="B3" s="38">
        <v>656234.0</v>
      </c>
      <c r="C3" s="44" t="s">
        <v>533</v>
      </c>
      <c r="D3" s="38">
        <v>304.0</v>
      </c>
      <c r="E3" s="39">
        <f>IFERROR(__xludf.DUMMYFUNCTION("sum(filter('PLA Sheet'!H:H,'PLA Sheet'!C:C=B3,'PLA Sheet'!D:D=C3))"),17.924068264)</f>
        <v>17.92406826</v>
      </c>
      <c r="F3" s="40">
        <v>5.761104735</v>
      </c>
      <c r="G3" s="40">
        <f>IFERROR(__xludf.DUMMYFUNCTION("sum(filter('PLA Sheet'!J:J,'PLA Sheet'!C:C=B3,'PLA Sheet'!D:D=C3))/E3*9"),1.1194844666097061)</f>
        <v>1.119484467</v>
      </c>
      <c r="H3" s="41">
        <v>0.657894737</v>
      </c>
      <c r="I3" s="41">
        <v>0.118421053</v>
      </c>
      <c r="J3" s="41">
        <v>0.223684211</v>
      </c>
      <c r="K3" s="41">
        <f t="shared" si="1"/>
        <v>0.434210526</v>
      </c>
      <c r="L3" s="42">
        <v>1.101082391</v>
      </c>
      <c r="M3" s="45">
        <f>('Cy Young Rank'!O$1-G3)*E3/9</f>
        <v>5.85622235</v>
      </c>
      <c r="N3" s="47"/>
      <c r="O3" s="48" t="s">
        <v>534</v>
      </c>
      <c r="P3" s="49"/>
      <c r="Q3" s="14"/>
      <c r="R3" s="47"/>
    </row>
    <row r="4">
      <c r="A4" s="1" t="s">
        <v>114</v>
      </c>
      <c r="B4" s="38">
        <v>642207.0</v>
      </c>
      <c r="C4" s="44" t="s">
        <v>532</v>
      </c>
      <c r="D4" s="38">
        <v>568.0</v>
      </c>
      <c r="E4" s="39">
        <f>IFERROR(__xludf.DUMMYFUNCTION("sum(filter('PLA Sheet'!H:H,'PLA Sheet'!C:C=B4,'PLA Sheet'!D:D=C4))"),32.56396396)</f>
        <v>32.56396396</v>
      </c>
      <c r="F4" s="40">
        <v>5.722167573</v>
      </c>
      <c r="G4" s="40">
        <f>IFERROR(__xludf.DUMMYFUNCTION("sum(filter('PLA Sheet'!J:J,'PLA Sheet'!C:C=B4,'PLA Sheet'!D:D=C4))/E4*9"),1.2834065610481655)</f>
        <v>1.283406561</v>
      </c>
      <c r="H4" s="41">
        <v>0.610915493</v>
      </c>
      <c r="I4" s="41">
        <v>0.167253521</v>
      </c>
      <c r="J4" s="41">
        <v>0.221830986</v>
      </c>
      <c r="K4" s="41">
        <f t="shared" si="1"/>
        <v>0.389084507</v>
      </c>
      <c r="L4" s="42">
        <v>3.131155225</v>
      </c>
      <c r="M4" s="45">
        <f>('Cy Young Rank'!O$1-G4)*E4/9</f>
        <v>10.04632096</v>
      </c>
      <c r="N4" s="47"/>
      <c r="O4" s="17" t="s">
        <v>23</v>
      </c>
      <c r="P4" s="50" t="s">
        <v>535</v>
      </c>
      <c r="Q4" s="51" t="s">
        <v>10</v>
      </c>
      <c r="R4" s="52"/>
    </row>
    <row r="5">
      <c r="A5" s="1" t="s">
        <v>59</v>
      </c>
      <c r="B5" s="38">
        <v>623352.0</v>
      </c>
      <c r="C5" s="44" t="s">
        <v>536</v>
      </c>
      <c r="D5" s="38">
        <v>445.0</v>
      </c>
      <c r="E5" s="39">
        <f>IFERROR(__xludf.DUMMYFUNCTION("sum(filter('PLA Sheet'!H:H,'PLA Sheet'!C:C=B5,'PLA Sheet'!D:D=C5))"),28.51221434)</f>
        <v>28.51221434</v>
      </c>
      <c r="F5" s="40">
        <v>5.674214002</v>
      </c>
      <c r="G5" s="40">
        <f>IFERROR(__xludf.DUMMYFUNCTION("sum(filter('PLA Sheet'!J:J,'PLA Sheet'!C:C=B5,'PLA Sheet'!D:D=C5))/E5*9"),1.5126174167221837)</f>
        <v>1.512617417</v>
      </c>
      <c r="H5" s="41">
        <v>0.64494382</v>
      </c>
      <c r="I5" s="41">
        <v>0.096629213</v>
      </c>
      <c r="J5" s="41">
        <v>0.258426966</v>
      </c>
      <c r="K5" s="41">
        <f t="shared" si="1"/>
        <v>0.386516854</v>
      </c>
      <c r="L5" s="42">
        <v>-0.394446215</v>
      </c>
      <c r="M5" s="45">
        <f>('Cy Young Rank'!O$1-G5)*E5/9</f>
        <v>8.070168691</v>
      </c>
      <c r="N5" s="47"/>
      <c r="O5" s="53" t="str">
        <f>IFERROR(__xludf.DUMMYFUNCTION("sortn({A2:A951,C2:C951,M2:M951},10,,3,0)"),"Ryne Nelson")</f>
        <v>Ryne Nelson</v>
      </c>
      <c r="P5" s="54" t="str">
        <f>IFERROR(__xludf.DUMMYFUNCTION("""COMPUTED_VALUE"""),"FF")</f>
        <v>FF</v>
      </c>
      <c r="Q5" s="51">
        <f>IFERROR(__xludf.DUMMYFUNCTION("""COMPUTED_VALUE"""),21.287068777777776)</f>
        <v>21.28706878</v>
      </c>
      <c r="R5" s="52"/>
    </row>
    <row r="6">
      <c r="A6" s="1" t="s">
        <v>123</v>
      </c>
      <c r="B6" s="38">
        <v>678692.0</v>
      </c>
      <c r="C6" s="44" t="s">
        <v>537</v>
      </c>
      <c r="D6" s="38">
        <v>330.0</v>
      </c>
      <c r="E6" s="39">
        <f>IFERROR(__xludf.DUMMYFUNCTION("sum(filter('PLA Sheet'!H:H,'PLA Sheet'!C:C=B6,'PLA Sheet'!D:D=C6))"),21.704407948)</f>
        <v>21.70440795</v>
      </c>
      <c r="F6" s="40">
        <v>5.662444848</v>
      </c>
      <c r="G6" s="40">
        <f>IFERROR(__xludf.DUMMYFUNCTION("sum(filter('PLA Sheet'!J:J,'PLA Sheet'!C:C=B6,'PLA Sheet'!D:D=C6))/E6*9"),1.7650117935389258)</f>
        <v>1.765011794</v>
      </c>
      <c r="H6" s="41">
        <v>0.666666667</v>
      </c>
      <c r="I6" s="41">
        <v>0.078787879</v>
      </c>
      <c r="J6" s="41">
        <v>0.254545455</v>
      </c>
      <c r="K6" s="41">
        <f t="shared" si="1"/>
        <v>0.412121212</v>
      </c>
      <c r="L6" s="42">
        <v>-4.659741152</v>
      </c>
      <c r="M6" s="45">
        <f>('Cy Young Rank'!O$1-G6)*E6/9</f>
        <v>5.534595585</v>
      </c>
      <c r="N6" s="47"/>
      <c r="O6" s="55" t="str">
        <f>IFERROR(__xludf.DUMMYFUNCTION("""COMPUTED_VALUE"""),"Joe Ryan")</f>
        <v>Joe Ryan</v>
      </c>
      <c r="P6" s="56" t="str">
        <f>IFERROR(__xludf.DUMMYFUNCTION("""COMPUTED_VALUE"""),"FF")</f>
        <v>FF</v>
      </c>
      <c r="Q6" s="57">
        <f>IFERROR(__xludf.DUMMYFUNCTION("""COMPUTED_VALUE"""),19.137827742822218)</f>
        <v>19.13782774</v>
      </c>
      <c r="R6" s="52"/>
    </row>
    <row r="7">
      <c r="A7" s="1" t="s">
        <v>164</v>
      </c>
      <c r="B7" s="38">
        <v>669923.0</v>
      </c>
      <c r="C7" s="44" t="s">
        <v>533</v>
      </c>
      <c r="D7" s="38">
        <v>545.0</v>
      </c>
      <c r="E7" s="39">
        <f>IFERROR(__xludf.DUMMYFUNCTION("sum(filter('PLA Sheet'!H:H,'PLA Sheet'!C:C=B7,'PLA Sheet'!D:D=C7))"),34.489932890000006)</f>
        <v>34.48993289</v>
      </c>
      <c r="F7" s="40">
        <v>5.657963431</v>
      </c>
      <c r="G7" s="40">
        <f>IFERROR(__xludf.DUMMYFUNCTION("sum(filter('PLA Sheet'!J:J,'PLA Sheet'!C:C=B7,'PLA Sheet'!D:D=C7))/E7*9"),1.4028031644569543)</f>
        <v>1.402803164</v>
      </c>
      <c r="H7" s="41">
        <v>0.620183486</v>
      </c>
      <c r="I7" s="41">
        <v>0.16146789</v>
      </c>
      <c r="J7" s="41">
        <v>0.218348624</v>
      </c>
      <c r="K7" s="41">
        <f t="shared" si="1"/>
        <v>0.401834862</v>
      </c>
      <c r="L7" s="42">
        <v>-3.278563277</v>
      </c>
      <c r="M7" s="45">
        <f>('Cy Young Rank'!O$1-G7)*E7/9</f>
        <v>10.18294895</v>
      </c>
      <c r="N7" s="47"/>
      <c r="O7" s="55" t="str">
        <f>IFERROR(__xludf.DUMMYFUNCTION("""COMPUTED_VALUE"""),"Freddy Peralta")</f>
        <v>Freddy Peralta</v>
      </c>
      <c r="P7" s="56" t="str">
        <f>IFERROR(__xludf.DUMMYFUNCTION("""COMPUTED_VALUE"""),"FF")</f>
        <v>FF</v>
      </c>
      <c r="Q7" s="57">
        <f>IFERROR(__xludf.DUMMYFUNCTION("""COMPUTED_VALUE"""),18.29252361211111)</f>
        <v>18.29252361</v>
      </c>
      <c r="R7" s="52"/>
    </row>
    <row r="8">
      <c r="A8" s="1" t="s">
        <v>88</v>
      </c>
      <c r="B8" s="38">
        <v>694973.0</v>
      </c>
      <c r="C8" s="44" t="s">
        <v>538</v>
      </c>
      <c r="D8" s="38">
        <v>356.0</v>
      </c>
      <c r="E8" s="39">
        <f>IFERROR(__xludf.DUMMYFUNCTION("sum(filter('PLA Sheet'!H:H,'PLA Sheet'!C:C=B8,'PLA Sheet'!D:D=C8))"),23.106106109)</f>
        <v>23.10610611</v>
      </c>
      <c r="F8" s="40">
        <v>5.63146803</v>
      </c>
      <c r="G8" s="40">
        <f>IFERROR(__xludf.DUMMYFUNCTION("sum(filter('PLA Sheet'!J:J,'PLA Sheet'!C:C=B8,'PLA Sheet'!D:D=C8))/E8*9"),1.485011876866388)</f>
        <v>1.485011877</v>
      </c>
      <c r="H8" s="41">
        <v>0.603932584</v>
      </c>
      <c r="I8" s="41">
        <v>0.129213483</v>
      </c>
      <c r="J8" s="41">
        <v>0.266853933</v>
      </c>
      <c r="K8" s="41">
        <f t="shared" si="1"/>
        <v>0.337078651</v>
      </c>
      <c r="L8" s="42">
        <v>-3.091499899</v>
      </c>
      <c r="M8" s="45">
        <f>('Cy Young Rank'!O$1-G8)*E8/9</f>
        <v>6.6108832</v>
      </c>
      <c r="N8" s="47"/>
      <c r="O8" s="55" t="str">
        <f>IFERROR(__xludf.DUMMYFUNCTION("""COMPUTED_VALUE"""),"Cristopher Sánchez")</f>
        <v>Cristopher Sánchez</v>
      </c>
      <c r="P8" s="56" t="str">
        <f>IFERROR(__xludf.DUMMYFUNCTION("""COMPUTED_VALUE"""),"SI")</f>
        <v>SI</v>
      </c>
      <c r="Q8" s="57">
        <f>IFERROR(__xludf.DUMMYFUNCTION("""COMPUTED_VALUE"""),17.856531945199997)</f>
        <v>17.85653195</v>
      </c>
      <c r="R8" s="52"/>
    </row>
    <row r="9">
      <c r="A9" s="1" t="s">
        <v>28</v>
      </c>
      <c r="B9" s="38">
        <v>643377.0</v>
      </c>
      <c r="C9" s="44" t="s">
        <v>539</v>
      </c>
      <c r="D9" s="38">
        <v>455.0</v>
      </c>
      <c r="E9" s="39">
        <f>IFERROR(__xludf.DUMMYFUNCTION("sum(filter('PLA Sheet'!H:H,'PLA Sheet'!C:C=B9,'PLA Sheet'!D:D=C9))"),28.79560036)</f>
        <v>28.79560036</v>
      </c>
      <c r="F9" s="40">
        <v>5.625013601</v>
      </c>
      <c r="G9" s="40">
        <f>IFERROR(__xludf.DUMMYFUNCTION("sum(filter('PLA Sheet'!J:J,'PLA Sheet'!C:C=B9,'PLA Sheet'!D:D=C9))/E9*9"),1.3189361751511681)</f>
        <v>1.318936175</v>
      </c>
      <c r="H9" s="41">
        <v>0.575824176</v>
      </c>
      <c r="I9" s="41">
        <v>0.2</v>
      </c>
      <c r="J9" s="41">
        <v>0.224175824</v>
      </c>
      <c r="K9" s="41">
        <f t="shared" si="1"/>
        <v>0.351648352</v>
      </c>
      <c r="L9" s="42">
        <v>-1.503657907</v>
      </c>
      <c r="M9" s="45">
        <f>('Cy Young Rank'!O$1-G9)*E9/9</f>
        <v>8.770064274</v>
      </c>
      <c r="N9" s="47"/>
      <c r="O9" s="55" t="str">
        <f>IFERROR(__xludf.DUMMYFUNCTION("""COMPUTED_VALUE"""),"Cristopher Sánchez")</f>
        <v>Cristopher Sánchez</v>
      </c>
      <c r="P9" s="56" t="str">
        <f>IFERROR(__xludf.DUMMYFUNCTION("""COMPUTED_VALUE"""),"CH")</f>
        <v>CH</v>
      </c>
      <c r="Q9" s="57">
        <f>IFERROR(__xludf.DUMMYFUNCTION("""COMPUTED_VALUE"""),17.247619798164436)</f>
        <v>17.2476198</v>
      </c>
      <c r="R9" s="52"/>
    </row>
    <row r="10">
      <c r="A10" s="1" t="s">
        <v>262</v>
      </c>
      <c r="B10" s="38">
        <v>676534.0</v>
      </c>
      <c r="C10" s="44" t="s">
        <v>540</v>
      </c>
      <c r="D10" s="38">
        <v>380.0</v>
      </c>
      <c r="E10" s="39">
        <f>IFERROR(__xludf.DUMMYFUNCTION("sum(filter('PLA Sheet'!H:H,'PLA Sheet'!C:C=B10,'PLA Sheet'!D:D=C10))"),22.267235924)</f>
        <v>22.26723592</v>
      </c>
      <c r="F10" s="40">
        <v>5.624554952</v>
      </c>
      <c r="G10" s="40">
        <f>IFERROR(__xludf.DUMMYFUNCTION("sum(filter('PLA Sheet'!J:J,'PLA Sheet'!C:C=B10,'PLA Sheet'!D:D=C10))/E10*9"),1.633214922773726)</f>
        <v>1.633214923</v>
      </c>
      <c r="H10" s="41">
        <v>0.628947368</v>
      </c>
      <c r="I10" s="41">
        <v>0.097368421</v>
      </c>
      <c r="J10" s="41">
        <v>0.273684211</v>
      </c>
      <c r="K10" s="41">
        <f t="shared" si="1"/>
        <v>0.355263157</v>
      </c>
      <c r="L10" s="42">
        <v>0.764888007</v>
      </c>
      <c r="M10" s="45">
        <f>('Cy Young Rank'!O$1-G10)*E10/9</f>
        <v>6.004199539</v>
      </c>
      <c r="N10" s="47"/>
      <c r="O10" s="55" t="str">
        <f>IFERROR(__xludf.DUMMYFUNCTION("""COMPUTED_VALUE"""),"Kevin Gausman")</f>
        <v>Kevin Gausman</v>
      </c>
      <c r="P10" s="56" t="str">
        <f>IFERROR(__xludf.DUMMYFUNCTION("""COMPUTED_VALUE"""),"FF")</f>
        <v>FF</v>
      </c>
      <c r="Q10" s="57">
        <f>IFERROR(__xludf.DUMMYFUNCTION("""COMPUTED_VALUE"""),16.96203055613332)</f>
        <v>16.96203056</v>
      </c>
      <c r="R10" s="52"/>
    </row>
    <row r="11">
      <c r="A11" s="1" t="s">
        <v>24</v>
      </c>
      <c r="B11" s="38">
        <v>672282.0</v>
      </c>
      <c r="C11" s="44" t="s">
        <v>537</v>
      </c>
      <c r="D11" s="38">
        <v>456.0</v>
      </c>
      <c r="E11" s="39">
        <f>IFERROR(__xludf.DUMMYFUNCTION("sum(filter('PLA Sheet'!H:H,'PLA Sheet'!C:C=B11,'PLA Sheet'!D:D=C11))"),28.100338567999998)</f>
        <v>28.10033857</v>
      </c>
      <c r="F11" s="40">
        <v>5.619488816</v>
      </c>
      <c r="G11" s="40">
        <f>IFERROR(__xludf.DUMMYFUNCTION("sum(filter('PLA Sheet'!J:J,'PLA Sheet'!C:C=B11,'PLA Sheet'!D:D=C11))/E11*9"),1.7448506138582696)</f>
        <v>1.744850614</v>
      </c>
      <c r="H11" s="41">
        <v>0.625</v>
      </c>
      <c r="I11" s="41">
        <v>0.100877193</v>
      </c>
      <c r="J11" s="41">
        <v>0.274122807</v>
      </c>
      <c r="K11" s="41">
        <f t="shared" si="1"/>
        <v>0.350877193</v>
      </c>
      <c r="L11" s="42">
        <v>-5.555685536</v>
      </c>
      <c r="M11" s="45">
        <f>('Cy Young Rank'!O$1-G11)*E11/9</f>
        <v>7.228497954</v>
      </c>
      <c r="N11" s="47"/>
      <c r="O11" s="55" t="str">
        <f>IFERROR(__xludf.DUMMYFUNCTION("""COMPUTED_VALUE"""),"Jacob deGrom")</f>
        <v>Jacob deGrom</v>
      </c>
      <c r="P11" s="56" t="str">
        <f>IFERROR(__xludf.DUMMYFUNCTION("""COMPUTED_VALUE"""),"FF")</f>
        <v>FF</v>
      </c>
      <c r="Q11" s="57">
        <f>IFERROR(__xludf.DUMMYFUNCTION("""COMPUTED_VALUE"""),16.927679593111105)</f>
        <v>16.92767959</v>
      </c>
      <c r="R11" s="52"/>
    </row>
    <row r="12">
      <c r="A12" s="1" t="s">
        <v>32</v>
      </c>
      <c r="B12" s="38">
        <v>656945.0</v>
      </c>
      <c r="C12" s="44" t="s">
        <v>537</v>
      </c>
      <c r="D12" s="38">
        <v>473.0</v>
      </c>
      <c r="E12" s="39">
        <f>IFERROR(__xludf.DUMMYFUNCTION("sum(filter('PLA Sheet'!H:H,'PLA Sheet'!C:C=B12,'PLA Sheet'!D:D=C12))"),30.032930843)</f>
        <v>30.03293084</v>
      </c>
      <c r="F12" s="40">
        <v>5.617277649</v>
      </c>
      <c r="G12" s="40">
        <f>IFERROR(__xludf.DUMMYFUNCTION("sum(filter('PLA Sheet'!J:J,'PLA Sheet'!C:C=B12,'PLA Sheet'!D:D=C12))/E12*9"),1.7439320948660435)</f>
        <v>1.743932095</v>
      </c>
      <c r="H12" s="41">
        <v>0.604651163</v>
      </c>
      <c r="I12" s="41">
        <v>0.135306554</v>
      </c>
      <c r="J12" s="41">
        <v>0.260042283</v>
      </c>
      <c r="K12" s="41">
        <f t="shared" si="1"/>
        <v>0.34460888</v>
      </c>
      <c r="L12" s="42">
        <v>-10.09521755</v>
      </c>
      <c r="M12" s="45">
        <f>('Cy Young Rank'!O$1-G12)*E12/9</f>
        <v>7.728700803</v>
      </c>
      <c r="N12" s="47"/>
      <c r="O12" s="55" t="str">
        <f>IFERROR(__xludf.DUMMYFUNCTION("""COMPUTED_VALUE"""),"Shota Imanaga")</f>
        <v>Shota Imanaga</v>
      </c>
      <c r="P12" s="56" t="str">
        <f>IFERROR(__xludf.DUMMYFUNCTION("""COMPUTED_VALUE"""),"FF")</f>
        <v>FF</v>
      </c>
      <c r="Q12" s="57">
        <f>IFERROR(__xludf.DUMMYFUNCTION("""COMPUTED_VALUE"""),16.75101416786666)</f>
        <v>16.75101417</v>
      </c>
      <c r="R12" s="52"/>
    </row>
    <row r="13">
      <c r="A13" s="1" t="s">
        <v>158</v>
      </c>
      <c r="B13" s="38">
        <v>608372.0</v>
      </c>
      <c r="C13" s="44" t="s">
        <v>539</v>
      </c>
      <c r="D13" s="38">
        <v>488.0</v>
      </c>
      <c r="E13" s="39">
        <f>IFERROR(__xludf.DUMMYFUNCTION("sum(filter('PLA Sheet'!H:H,'PLA Sheet'!C:C=B13,'PLA Sheet'!D:D=C13))"),31.155165694)</f>
        <v>31.15516569</v>
      </c>
      <c r="F13" s="40">
        <v>5.610960549</v>
      </c>
      <c r="G13" s="40">
        <f>IFERROR(__xludf.DUMMYFUNCTION("sum(filter('PLA Sheet'!J:J,'PLA Sheet'!C:C=B13,'PLA Sheet'!D:D=C13))/E13*9"),1.5042991733799638)</f>
        <v>1.504299173</v>
      </c>
      <c r="H13" s="41">
        <v>0.545081967</v>
      </c>
      <c r="I13" s="41">
        <v>0.217213115</v>
      </c>
      <c r="J13" s="41">
        <v>0.237704918</v>
      </c>
      <c r="K13" s="41">
        <f t="shared" si="1"/>
        <v>0.307377049</v>
      </c>
      <c r="L13" s="42">
        <v>-12.27650549</v>
      </c>
      <c r="M13" s="45">
        <f>('Cy Young Rank'!O$1-G13)*E13/9</f>
        <v>8.847031413</v>
      </c>
      <c r="N13" s="47"/>
      <c r="O13" s="55" t="str">
        <f>IFERROR(__xludf.DUMMYFUNCTION("""COMPUTED_VALUE"""),"Robbie Ray")</f>
        <v>Robbie Ray</v>
      </c>
      <c r="P13" s="56" t="str">
        <f>IFERROR(__xludf.DUMMYFUNCTION("""COMPUTED_VALUE"""),"FF")</f>
        <v>FF</v>
      </c>
      <c r="Q13" s="57">
        <f>IFERROR(__xludf.DUMMYFUNCTION("""COMPUTED_VALUE"""),15.595909921688884)</f>
        <v>15.59590992</v>
      </c>
      <c r="R13" s="52"/>
    </row>
    <row r="14">
      <c r="A14" s="1" t="s">
        <v>122</v>
      </c>
      <c r="B14" s="38">
        <v>661395.0</v>
      </c>
      <c r="C14" s="44" t="s">
        <v>538</v>
      </c>
      <c r="D14" s="38">
        <v>420.0</v>
      </c>
      <c r="E14" s="39">
        <f>IFERROR(__xludf.DUMMYFUNCTION("sum(filter('PLA Sheet'!H:H,'PLA Sheet'!C:C=B14,'PLA Sheet'!D:D=C14))"),27.98695247)</f>
        <v>27.98695247</v>
      </c>
      <c r="F14" s="40">
        <v>5.609510021</v>
      </c>
      <c r="G14" s="40">
        <f>IFERROR(__xludf.DUMMYFUNCTION("sum(filter('PLA Sheet'!J:J,'PLA Sheet'!C:C=B14,'PLA Sheet'!D:D=C14))/E14*9"),1.614302452131188)</f>
        <v>1.614302452</v>
      </c>
      <c r="H14" s="41">
        <v>0.602380952</v>
      </c>
      <c r="I14" s="41">
        <v>0.147619048</v>
      </c>
      <c r="J14" s="41">
        <v>0.25</v>
      </c>
      <c r="K14" s="41">
        <f t="shared" si="1"/>
        <v>0.352380952</v>
      </c>
      <c r="L14" s="42">
        <v>2.52029318</v>
      </c>
      <c r="M14" s="45">
        <f>('Cy Young Rank'!O$1-G14)*E14/9</f>
        <v>7.605291225</v>
      </c>
      <c r="N14" s="47"/>
      <c r="O14" s="58" t="str">
        <f>IFERROR(__xludf.DUMMYFUNCTION("""COMPUTED_VALUE"""),"Yusei Kikuchi")</f>
        <v>Yusei Kikuchi</v>
      </c>
      <c r="P14" s="59" t="str">
        <f>IFERROR(__xludf.DUMMYFUNCTION("""COMPUTED_VALUE"""),"SL")</f>
        <v>SL</v>
      </c>
      <c r="Q14" s="60">
        <f>IFERROR(__xludf.DUMMYFUNCTION("""COMPUTED_VALUE"""),15.49968114722222)</f>
        <v>15.49968115</v>
      </c>
      <c r="R14" s="52"/>
    </row>
    <row r="15">
      <c r="A15" s="1" t="s">
        <v>73</v>
      </c>
      <c r="B15" s="38">
        <v>668881.0</v>
      </c>
      <c r="C15" s="44" t="s">
        <v>537</v>
      </c>
      <c r="D15" s="38">
        <v>913.0</v>
      </c>
      <c r="E15" s="39">
        <f>IFERROR(__xludf.DUMMYFUNCTION("sum(filter('PLA Sheet'!H:H,'PLA Sheet'!C:C=B15,'PLA Sheet'!D:D=C15))"),58.32971014)</f>
        <v>58.32971014</v>
      </c>
      <c r="F15" s="40">
        <v>5.606973358</v>
      </c>
      <c r="G15" s="40">
        <f>IFERROR(__xludf.DUMMYFUNCTION("sum(filter('PLA Sheet'!J:J,'PLA Sheet'!C:C=B15,'PLA Sheet'!D:D=C15))/E15*9"),1.7614801745695765)</f>
        <v>1.761480175</v>
      </c>
      <c r="H15" s="41">
        <v>0.623220153</v>
      </c>
      <c r="I15" s="41">
        <v>0.140197152</v>
      </c>
      <c r="J15" s="41">
        <v>0.236582694</v>
      </c>
      <c r="K15" s="41">
        <f t="shared" si="1"/>
        <v>0.386637459</v>
      </c>
      <c r="L15" s="42">
        <v>6.821722565</v>
      </c>
      <c r="M15" s="45">
        <f>('Cy Young Rank'!O$1-G15)*E15/9</f>
        <v>14.89688835</v>
      </c>
      <c r="N15" s="61"/>
      <c r="O15" s="62"/>
      <c r="P15" s="63"/>
      <c r="Q15" s="64"/>
      <c r="R15" s="65"/>
    </row>
    <row r="16">
      <c r="A16" s="1" t="s">
        <v>91</v>
      </c>
      <c r="B16" s="38">
        <v>669276.0</v>
      </c>
      <c r="C16" s="44" t="s">
        <v>537</v>
      </c>
      <c r="D16" s="38">
        <v>334.0</v>
      </c>
      <c r="E16" s="39">
        <f>IFERROR(__xludf.DUMMYFUNCTION("sum(filter('PLA Sheet'!H:H,'PLA Sheet'!C:C=B16,'PLA Sheet'!D:D=C16))"),21.33091349)</f>
        <v>21.33091349</v>
      </c>
      <c r="F16" s="40">
        <v>5.599756095</v>
      </c>
      <c r="G16" s="40">
        <f>IFERROR(__xludf.DUMMYFUNCTION("sum(filter('PLA Sheet'!J:J,'PLA Sheet'!C:C=B16,'PLA Sheet'!D:D=C16))/E16*9"),1.7523979466479007)</f>
        <v>1.752397947</v>
      </c>
      <c r="H16" s="41">
        <v>0.655688623</v>
      </c>
      <c r="I16" s="41">
        <v>0.080838323</v>
      </c>
      <c r="J16" s="41">
        <v>0.263473054</v>
      </c>
      <c r="K16" s="41">
        <f t="shared" si="1"/>
        <v>0.392215569</v>
      </c>
      <c r="L16" s="42">
        <v>-5.333948382</v>
      </c>
      <c r="M16" s="45">
        <f>('Cy Young Rank'!O$1-G16)*E16/9</f>
        <v>5.469251085</v>
      </c>
      <c r="N16" s="42"/>
      <c r="O16" s="66"/>
      <c r="P16" s="42"/>
      <c r="Q16" s="67"/>
      <c r="R16" s="67"/>
    </row>
    <row r="17">
      <c r="A17" s="1" t="s">
        <v>130</v>
      </c>
      <c r="B17" s="38">
        <v>666200.0</v>
      </c>
      <c r="C17" s="44" t="s">
        <v>536</v>
      </c>
      <c r="D17" s="38">
        <v>292.0</v>
      </c>
      <c r="E17" s="39">
        <f>IFERROR(__xludf.DUMMYFUNCTION("sum(filter('PLA Sheet'!H:H,'PLA Sheet'!C:C=B17,'PLA Sheet'!D:D=C17))"),18.287421175)</f>
        <v>18.28742118</v>
      </c>
      <c r="F17" s="40">
        <v>5.599477868</v>
      </c>
      <c r="G17" s="40">
        <f>IFERROR(__xludf.DUMMYFUNCTION("sum(filter('PLA Sheet'!J:J,'PLA Sheet'!C:C=B17,'PLA Sheet'!D:D=C17))/E17*9"),1.7097007664887447)</f>
        <v>1.709700766</v>
      </c>
      <c r="H17" s="41">
        <v>0.633561644</v>
      </c>
      <c r="I17" s="41">
        <v>0.171232877</v>
      </c>
      <c r="J17" s="41">
        <v>0.195205479</v>
      </c>
      <c r="K17" s="41">
        <f t="shared" si="1"/>
        <v>0.438356165</v>
      </c>
      <c r="L17" s="42">
        <v>-4.897493668</v>
      </c>
      <c r="M17" s="45">
        <f>('Cy Young Rank'!O$1-G17)*E17/9</f>
        <v>4.775656886</v>
      </c>
      <c r="N17" s="42"/>
      <c r="O17" s="66"/>
      <c r="P17" s="42"/>
      <c r="Q17" s="67"/>
      <c r="R17" s="67"/>
    </row>
    <row r="18">
      <c r="A18" s="1" t="s">
        <v>150</v>
      </c>
      <c r="B18" s="38">
        <v>657746.0</v>
      </c>
      <c r="C18" s="44" t="s">
        <v>537</v>
      </c>
      <c r="D18" s="38">
        <v>1398.0</v>
      </c>
      <c r="E18" s="39">
        <f>IFERROR(__xludf.DUMMYFUNCTION("sum(filter('PLA Sheet'!H:H,'PLA Sheet'!C:C=B18,'PLA Sheet'!D:D=C18))"),87.48837209)</f>
        <v>87.48837209</v>
      </c>
      <c r="F18" s="40">
        <v>5.596305928</v>
      </c>
      <c r="G18" s="40">
        <f>IFERROR(__xludf.DUMMYFUNCTION("sum(filter('PLA Sheet'!J:J,'PLA Sheet'!C:C=B18,'PLA Sheet'!D:D=C18))/E18*9"),2.091276093373702)</f>
        <v>2.091276093</v>
      </c>
      <c r="H18" s="41">
        <v>0.618025751</v>
      </c>
      <c r="I18" s="41">
        <v>0.140915594</v>
      </c>
      <c r="J18" s="41">
        <v>0.241058655</v>
      </c>
      <c r="K18" s="41">
        <f t="shared" si="1"/>
        <v>0.376967096</v>
      </c>
      <c r="L18" s="42">
        <v>3.412247062</v>
      </c>
      <c r="M18" s="45">
        <f>('Cy Young Rank'!O$1-G18)*E18/9</f>
        <v>19.13782774</v>
      </c>
      <c r="N18" s="42"/>
      <c r="O18" s="66"/>
      <c r="P18" s="42"/>
      <c r="Q18" s="67"/>
      <c r="R18" s="67"/>
    </row>
    <row r="19">
      <c r="A19" s="1" t="s">
        <v>95</v>
      </c>
      <c r="B19" s="38">
        <v>543243.0</v>
      </c>
      <c r="C19" s="44" t="s">
        <v>539</v>
      </c>
      <c r="D19" s="38">
        <v>513.0</v>
      </c>
      <c r="E19" s="39">
        <f>IFERROR(__xludf.DUMMYFUNCTION("sum(filter('PLA Sheet'!H:H,'PLA Sheet'!C:C=B19,'PLA Sheet'!D:D=C19))"),35.05571919)</f>
        <v>35.05571919</v>
      </c>
      <c r="F19" s="40">
        <v>5.588684662</v>
      </c>
      <c r="G19" s="40">
        <f>IFERROR(__xludf.DUMMYFUNCTION("sum(filter('PLA Sheet'!J:J,'PLA Sheet'!C:C=B19,'PLA Sheet'!D:D=C19))/E19*9"),1.3364911940920874)</f>
        <v>1.336491194</v>
      </c>
      <c r="H19" s="41">
        <v>0.545808967</v>
      </c>
      <c r="I19" s="41">
        <v>0.226120858</v>
      </c>
      <c r="J19" s="41">
        <v>0.228070175</v>
      </c>
      <c r="K19" s="41">
        <f t="shared" si="1"/>
        <v>0.317738792</v>
      </c>
      <c r="L19" s="42">
        <v>-6.696781223</v>
      </c>
      <c r="M19" s="45">
        <f>('Cy Young Rank'!O$1-G19)*E19/9</f>
        <v>10.60828443</v>
      </c>
      <c r="N19" s="42"/>
      <c r="O19" s="66"/>
      <c r="P19" s="42"/>
      <c r="Q19" s="67"/>
      <c r="R19" s="67"/>
    </row>
    <row r="20">
      <c r="A20" s="1" t="s">
        <v>105</v>
      </c>
      <c r="B20" s="38">
        <v>624133.0</v>
      </c>
      <c r="C20" s="44" t="s">
        <v>540</v>
      </c>
      <c r="D20" s="38">
        <v>412.0</v>
      </c>
      <c r="E20" s="39">
        <f>IFERROR(__xludf.DUMMYFUNCTION("sum(filter('PLA Sheet'!H:H,'PLA Sheet'!C:C=B20,'PLA Sheet'!D:D=C20))"),27.322908092)</f>
        <v>27.32290809</v>
      </c>
      <c r="F20" s="40">
        <v>5.585490757</v>
      </c>
      <c r="G20" s="40">
        <f>IFERROR(__xludf.DUMMYFUNCTION("sum(filter('PLA Sheet'!J:J,'PLA Sheet'!C:C=B20,'PLA Sheet'!D:D=C20))/E20*9"),1.6400665276592772)</f>
        <v>1.640066528</v>
      </c>
      <c r="H20" s="41">
        <v>0.594660194</v>
      </c>
      <c r="I20" s="41">
        <v>0.165048544</v>
      </c>
      <c r="J20" s="41">
        <v>0.240291262</v>
      </c>
      <c r="K20" s="41">
        <f t="shared" si="1"/>
        <v>0.354368932</v>
      </c>
      <c r="L20" s="42">
        <v>0.797894892</v>
      </c>
      <c r="M20" s="45">
        <f>('Cy Young Rank'!O$1-G20)*E20/9</f>
        <v>7.346624428</v>
      </c>
      <c r="N20" s="42"/>
      <c r="O20" s="66"/>
      <c r="P20" s="42"/>
      <c r="Q20" s="67"/>
      <c r="R20" s="67"/>
    </row>
    <row r="21">
      <c r="A21" s="1" t="s">
        <v>94</v>
      </c>
      <c r="B21" s="38">
        <v>669093.0</v>
      </c>
      <c r="C21" s="44" t="s">
        <v>537</v>
      </c>
      <c r="D21" s="38">
        <v>679.0</v>
      </c>
      <c r="E21" s="39">
        <f>IFERROR(__xludf.DUMMYFUNCTION("sum(filter('PLA Sheet'!H:H,'PLA Sheet'!C:C=B21,'PLA Sheet'!D:D=C21))"),41.461165050000005)</f>
        <v>41.46116505</v>
      </c>
      <c r="F21" s="40">
        <v>5.585204817</v>
      </c>
      <c r="G21" s="40">
        <f>IFERROR(__xludf.DUMMYFUNCTION("sum(filter('PLA Sheet'!J:J,'PLA Sheet'!C:C=B21,'PLA Sheet'!D:D=C21))/E21*9"),1.755370065270271)</f>
        <v>1.755370065</v>
      </c>
      <c r="H21" s="41">
        <v>0.640648012</v>
      </c>
      <c r="I21" s="41">
        <v>0.086892489</v>
      </c>
      <c r="J21" s="41">
        <v>0.272459499</v>
      </c>
      <c r="K21" s="41">
        <f t="shared" si="1"/>
        <v>0.368188513</v>
      </c>
      <c r="L21" s="42">
        <v>-13.01074455</v>
      </c>
      <c r="M21" s="45">
        <f>('Cy Young Rank'!O$1-G21)*E21/9</f>
        <v>10.61696023</v>
      </c>
      <c r="N21" s="42"/>
      <c r="O21" s="66"/>
      <c r="P21" s="42"/>
      <c r="Q21" s="67"/>
      <c r="R21" s="67"/>
    </row>
    <row r="22">
      <c r="A22" s="1" t="s">
        <v>24</v>
      </c>
      <c r="B22" s="38">
        <v>672282.0</v>
      </c>
      <c r="C22" s="44" t="s">
        <v>533</v>
      </c>
      <c r="D22" s="38">
        <v>321.0</v>
      </c>
      <c r="E22" s="39">
        <f>IFERROR(__xludf.DUMMYFUNCTION("sum(filter('PLA Sheet'!H:H,'PLA Sheet'!C:C=B22,'PLA Sheet'!D:D=C22))"),19.870113877999998)</f>
        <v>19.87011388</v>
      </c>
      <c r="F22" s="40">
        <v>5.582686493</v>
      </c>
      <c r="G22" s="40">
        <f>IFERROR(__xludf.DUMMYFUNCTION("sum(filter('PLA Sheet'!J:J,'PLA Sheet'!C:C=B22,'PLA Sheet'!D:D=C22))/E22*9"),1.612307468225976)</f>
        <v>1.612307468</v>
      </c>
      <c r="H22" s="41">
        <v>0.554517134</v>
      </c>
      <c r="I22" s="41">
        <v>0.211838006</v>
      </c>
      <c r="J22" s="41">
        <v>0.23364486</v>
      </c>
      <c r="K22" s="41">
        <f t="shared" si="1"/>
        <v>0.320872274</v>
      </c>
      <c r="L22" s="42">
        <v>-0.644799871</v>
      </c>
      <c r="M22" s="45">
        <f>('Cy Young Rank'!O$1-G22)*E22/9</f>
        <v>5.403992149</v>
      </c>
      <c r="N22" s="42"/>
      <c r="O22" s="66"/>
      <c r="P22" s="42"/>
      <c r="Q22" s="67"/>
      <c r="R22" s="67"/>
    </row>
    <row r="23">
      <c r="A23" s="1" t="s">
        <v>85</v>
      </c>
      <c r="B23" s="38">
        <v>808967.0</v>
      </c>
      <c r="C23" s="44" t="s">
        <v>540</v>
      </c>
      <c r="D23" s="38">
        <v>296.0</v>
      </c>
      <c r="E23" s="39">
        <f>IFERROR(__xludf.DUMMYFUNCTION("sum(filter('PLA Sheet'!H:H,'PLA Sheet'!C:C=B23,'PLA Sheet'!D:D=C23))"),19.12326638)</f>
        <v>19.12326638</v>
      </c>
      <c r="F23" s="40">
        <v>5.58123921</v>
      </c>
      <c r="G23" s="40">
        <f>IFERROR(__xludf.DUMMYFUNCTION("sum(filter('PLA Sheet'!J:J,'PLA Sheet'!C:C=B23,'PLA Sheet'!D:D=C23))/E23*9"),1.670951466399016)</f>
        <v>1.670951466</v>
      </c>
      <c r="H23" s="41">
        <v>0.564189189</v>
      </c>
      <c r="I23" s="41">
        <v>0.195945946</v>
      </c>
      <c r="J23" s="41">
        <v>0.239864865</v>
      </c>
      <c r="K23" s="41">
        <f t="shared" si="1"/>
        <v>0.324324324</v>
      </c>
      <c r="L23" s="42">
        <v>4.13982041</v>
      </c>
      <c r="M23" s="45">
        <f>('Cy Young Rank'!O$1-G23)*E23/9</f>
        <v>5.076267945</v>
      </c>
      <c r="N23" s="42"/>
      <c r="O23" s="66"/>
      <c r="P23" s="42"/>
      <c r="Q23" s="67"/>
      <c r="R23" s="67"/>
    </row>
    <row r="24">
      <c r="A24" s="1" t="s">
        <v>13</v>
      </c>
      <c r="B24" s="38">
        <v>656730.0</v>
      </c>
      <c r="C24" s="44" t="s">
        <v>541</v>
      </c>
      <c r="D24" s="38">
        <v>292.0</v>
      </c>
      <c r="E24" s="39">
        <f>IFERROR(__xludf.DUMMYFUNCTION("sum(filter('PLA Sheet'!H:H,'PLA Sheet'!C:C=B24,'PLA Sheet'!D:D=C24))"),18.5)</f>
        <v>18.5</v>
      </c>
      <c r="F24" s="40">
        <v>5.573274538</v>
      </c>
      <c r="G24" s="40">
        <f>IFERROR(__xludf.DUMMYFUNCTION("sum(filter('PLA Sheet'!J:J,'PLA Sheet'!C:C=B24,'PLA Sheet'!D:D=C24))/E24*9"),1.5837397297297298)</f>
        <v>1.58373973</v>
      </c>
      <c r="H24" s="41">
        <v>0.558219178</v>
      </c>
      <c r="I24" s="41">
        <v>0.188356164</v>
      </c>
      <c r="J24" s="41">
        <v>0.253424658</v>
      </c>
      <c r="K24" s="41">
        <f t="shared" si="1"/>
        <v>0.30479452</v>
      </c>
      <c r="L24" s="42">
        <v>6.47170049</v>
      </c>
      <c r="M24" s="45">
        <f>('Cy Young Rank'!O$1-G24)*E24/9</f>
        <v>5.090090556</v>
      </c>
      <c r="N24" s="42"/>
      <c r="O24" s="66"/>
      <c r="P24" s="42"/>
      <c r="Q24" s="67"/>
      <c r="R24" s="67"/>
    </row>
    <row r="25">
      <c r="A25" s="1" t="s">
        <v>165</v>
      </c>
      <c r="B25" s="38">
        <v>689147.0</v>
      </c>
      <c r="C25" s="44" t="s">
        <v>539</v>
      </c>
      <c r="D25" s="38">
        <v>507.0</v>
      </c>
      <c r="E25" s="39">
        <f>IFERROR(__xludf.DUMMYFUNCTION("sum(filter('PLA Sheet'!H:H,'PLA Sheet'!C:C=B25,'PLA Sheet'!D:D=C25))"),28.79776329)</f>
        <v>28.79776329</v>
      </c>
      <c r="F25" s="40">
        <v>5.563364566</v>
      </c>
      <c r="G25" s="40">
        <f>IFERROR(__xludf.DUMMYFUNCTION("sum(filter('PLA Sheet'!J:J,'PLA Sheet'!C:C=B25,'PLA Sheet'!D:D=C25))/E25*9"),1.8022362180476137)</f>
        <v>1.802236218</v>
      </c>
      <c r="H25" s="41">
        <v>0.564102564</v>
      </c>
      <c r="I25" s="41">
        <v>0.203155819</v>
      </c>
      <c r="J25" s="41">
        <v>0.232741617</v>
      </c>
      <c r="K25" s="41">
        <f t="shared" si="1"/>
        <v>0.331360947</v>
      </c>
      <c r="L25" s="42">
        <v>-5.544835318</v>
      </c>
      <c r="M25" s="45">
        <f>('Cy Young Rank'!O$1-G25)*E25/9</f>
        <v>7.224282995</v>
      </c>
      <c r="N25" s="42"/>
      <c r="O25" s="66"/>
      <c r="P25" s="42"/>
      <c r="Q25" s="67"/>
      <c r="R25" s="67"/>
    </row>
    <row r="26">
      <c r="A26" s="1" t="s">
        <v>251</v>
      </c>
      <c r="B26" s="38">
        <v>676664.0</v>
      </c>
      <c r="C26" s="44" t="s">
        <v>539</v>
      </c>
      <c r="D26" s="38">
        <v>611.0</v>
      </c>
      <c r="E26" s="39">
        <f>IFERROR(__xludf.DUMMYFUNCTION("sum(filter('PLA Sheet'!H:H,'PLA Sheet'!C:C=B26,'PLA Sheet'!D:D=C26))"),36.468300934)</f>
        <v>36.46830093</v>
      </c>
      <c r="F26" s="40">
        <v>5.560544424</v>
      </c>
      <c r="G26" s="40">
        <f>IFERROR(__xludf.DUMMYFUNCTION("sum(filter('PLA Sheet'!J:J,'PLA Sheet'!C:C=B26,'PLA Sheet'!D:D=C26))/E26*9"),1.8235261664740767)</f>
        <v>1.823526166</v>
      </c>
      <c r="H26" s="41">
        <v>0.603927987</v>
      </c>
      <c r="I26" s="41">
        <v>0.116202946</v>
      </c>
      <c r="J26" s="41">
        <v>0.279869067</v>
      </c>
      <c r="K26" s="41">
        <f t="shared" si="1"/>
        <v>0.32405892</v>
      </c>
      <c r="L26" s="42">
        <v>1.361642471</v>
      </c>
      <c r="M26" s="45">
        <f>('Cy Young Rank'!O$1-G26)*E26/9</f>
        <v>9.062266755</v>
      </c>
      <c r="N26" s="42"/>
      <c r="O26" s="66"/>
      <c r="P26" s="42"/>
      <c r="Q26" s="67"/>
      <c r="R26" s="67"/>
    </row>
    <row r="27">
      <c r="A27" s="1" t="s">
        <v>48</v>
      </c>
      <c r="B27" s="38">
        <v>552640.0</v>
      </c>
      <c r="C27" s="44" t="s">
        <v>533</v>
      </c>
      <c r="D27" s="38">
        <v>399.0</v>
      </c>
      <c r="E27" s="39">
        <f>IFERROR(__xludf.DUMMYFUNCTION("sum(filter('PLA Sheet'!H:H,'PLA Sheet'!C:C=B27,'PLA Sheet'!D:D=C27))"),28.01822917)</f>
        <v>28.01822917</v>
      </c>
      <c r="F27" s="40">
        <v>5.553977781</v>
      </c>
      <c r="G27" s="40">
        <f>IFERROR(__xludf.DUMMYFUNCTION("sum(filter('PLA Sheet'!J:J,'PLA Sheet'!C:C=B27,'PLA Sheet'!D:D=C27))/E27*9"),1.5160706532260833)</f>
        <v>1.516070653</v>
      </c>
      <c r="H27" s="41">
        <v>0.553884712</v>
      </c>
      <c r="I27" s="41">
        <v>0.238095238</v>
      </c>
      <c r="J27" s="41">
        <v>0.20802005</v>
      </c>
      <c r="K27" s="41">
        <f t="shared" si="1"/>
        <v>0.345864662</v>
      </c>
      <c r="L27" s="42">
        <v>6.891419497</v>
      </c>
      <c r="M27" s="45">
        <f>('Cy Young Rank'!O$1-G27)*E27/9</f>
        <v>7.919599492</v>
      </c>
      <c r="N27" s="42"/>
      <c r="O27" s="66"/>
      <c r="P27" s="42"/>
      <c r="Q27" s="67"/>
      <c r="R27" s="67"/>
    </row>
    <row r="28">
      <c r="A28" s="1" t="s">
        <v>389</v>
      </c>
      <c r="B28" s="38">
        <v>682052.0</v>
      </c>
      <c r="C28" s="44" t="s">
        <v>533</v>
      </c>
      <c r="D28" s="38">
        <v>497.0</v>
      </c>
      <c r="E28" s="39">
        <f>IFERROR(__xludf.DUMMYFUNCTION("sum(filter('PLA Sheet'!H:H,'PLA Sheet'!C:C=B28,'PLA Sheet'!D:D=C28))"),28.328728728999998)</f>
        <v>28.32872873</v>
      </c>
      <c r="F28" s="40">
        <v>5.553886835</v>
      </c>
      <c r="G28" s="40">
        <f>IFERROR(__xludf.DUMMYFUNCTION("sum(filter('PLA Sheet'!J:J,'PLA Sheet'!C:C=B28,'PLA Sheet'!D:D=C28))/E28*9"),1.7500848511160878)</f>
        <v>1.750084851</v>
      </c>
      <c r="H28" s="41">
        <v>0.569416499</v>
      </c>
      <c r="I28" s="41">
        <v>0.207243461</v>
      </c>
      <c r="J28" s="41">
        <v>0.22334004</v>
      </c>
      <c r="K28" s="41">
        <f t="shared" si="1"/>
        <v>0.346076459</v>
      </c>
      <c r="L28" s="42">
        <v>-0.718802784</v>
      </c>
      <c r="M28" s="45">
        <f>('Cy Young Rank'!O$1-G28)*E28/9</f>
        <v>7.270773293</v>
      </c>
      <c r="N28" s="42"/>
      <c r="O28" s="66"/>
      <c r="P28" s="42"/>
      <c r="Q28" s="67"/>
      <c r="R28" s="67"/>
    </row>
    <row r="29">
      <c r="A29" s="1" t="s">
        <v>232</v>
      </c>
      <c r="B29" s="38">
        <v>579328.0</v>
      </c>
      <c r="C29" s="44" t="s">
        <v>533</v>
      </c>
      <c r="D29" s="38">
        <v>1082.0</v>
      </c>
      <c r="E29" s="39">
        <f>IFERROR(__xludf.DUMMYFUNCTION("sum(filter('PLA Sheet'!H:H,'PLA Sheet'!C:C=B29,'PLA Sheet'!D:D=C29))"),64.28763875)</f>
        <v>64.28763875</v>
      </c>
      <c r="F29" s="40">
        <v>5.548657533</v>
      </c>
      <c r="G29" s="40">
        <f>IFERROR(__xludf.DUMMYFUNCTION("sum(filter('PLA Sheet'!J:J,'PLA Sheet'!C:C=B29,'PLA Sheet'!D:D=C29))/E29*9"),1.890109597469078)</f>
        <v>1.890109597</v>
      </c>
      <c r="H29" s="41">
        <v>0.593345656</v>
      </c>
      <c r="I29" s="41">
        <v>0.158040665</v>
      </c>
      <c r="J29" s="41">
        <v>0.248613678</v>
      </c>
      <c r="K29" s="41">
        <f t="shared" si="1"/>
        <v>0.344731978</v>
      </c>
      <c r="L29" s="42">
        <v>-2.463107249</v>
      </c>
      <c r="M29" s="45">
        <f>('Cy Young Rank'!O$1-G29)*E29/9</f>
        <v>15.49968115</v>
      </c>
      <c r="N29" s="42"/>
      <c r="O29" s="66"/>
      <c r="P29" s="42"/>
      <c r="Q29" s="67"/>
      <c r="R29" s="67"/>
    </row>
    <row r="30">
      <c r="A30" s="1" t="s">
        <v>35</v>
      </c>
      <c r="B30" s="38">
        <v>676083.0</v>
      </c>
      <c r="C30" s="44" t="s">
        <v>533</v>
      </c>
      <c r="D30" s="38">
        <v>449.0</v>
      </c>
      <c r="E30" s="39">
        <f>IFERROR(__xludf.DUMMYFUNCTION("sum(filter('PLA Sheet'!H:H,'PLA Sheet'!C:C=B30,'PLA Sheet'!D:D=C30))"),31.87422934)</f>
        <v>31.87422934</v>
      </c>
      <c r="F30" s="40">
        <v>5.543980555</v>
      </c>
      <c r="G30" s="40">
        <f>IFERROR(__xludf.DUMMYFUNCTION("sum(filter('PLA Sheet'!J:J,'PLA Sheet'!C:C=B30,'PLA Sheet'!D:D=C30))/E30*9"),1.6410252760012298)</f>
        <v>1.641025276</v>
      </c>
      <c r="H30" s="41">
        <v>0.55233853</v>
      </c>
      <c r="I30" s="41">
        <v>0.204899777</v>
      </c>
      <c r="J30" s="41">
        <v>0.242761693</v>
      </c>
      <c r="K30" s="41">
        <f t="shared" si="1"/>
        <v>0.309576837</v>
      </c>
      <c r="L30" s="42">
        <v>-0.837716779</v>
      </c>
      <c r="M30" s="45">
        <f>('Cy Young Rank'!O$1-G30)*E30/9</f>
        <v>8.566995013</v>
      </c>
      <c r="N30" s="42"/>
      <c r="O30" s="66"/>
      <c r="P30" s="42"/>
      <c r="Q30" s="67"/>
      <c r="R30" s="67"/>
    </row>
    <row r="31">
      <c r="A31" s="1" t="s">
        <v>13</v>
      </c>
      <c r="B31" s="38">
        <v>656730.0</v>
      </c>
      <c r="C31" s="44" t="s">
        <v>537</v>
      </c>
      <c r="D31" s="38">
        <v>445.0</v>
      </c>
      <c r="E31" s="39">
        <f>IFERROR(__xludf.DUMMYFUNCTION("sum(filter('PLA Sheet'!H:H,'PLA Sheet'!C:C=B31,'PLA Sheet'!D:D=C31))"),28.5)</f>
        <v>28.5</v>
      </c>
      <c r="F31" s="40">
        <v>5.537116154</v>
      </c>
      <c r="G31" s="40">
        <f>IFERROR(__xludf.DUMMYFUNCTION("sum(filter('PLA Sheet'!J:J,'PLA Sheet'!C:C=B31,'PLA Sheet'!D:D=C31))/E31*9"),1.8015252631578946)</f>
        <v>1.801525263</v>
      </c>
      <c r="H31" s="41">
        <v>0.629213483</v>
      </c>
      <c r="I31" s="41">
        <v>0.107865169</v>
      </c>
      <c r="J31" s="41">
        <v>0.262921348</v>
      </c>
      <c r="K31" s="41">
        <f t="shared" si="1"/>
        <v>0.366292135</v>
      </c>
      <c r="L31" s="42">
        <v>-6.444849013</v>
      </c>
      <c r="M31" s="45">
        <f>('Cy Young Rank'!O$1-G31)*E31/9</f>
        <v>7.151836667</v>
      </c>
      <c r="N31" s="42"/>
      <c r="O31" s="66"/>
      <c r="P31" s="42"/>
      <c r="Q31" s="67"/>
      <c r="R31" s="67"/>
    </row>
    <row r="32">
      <c r="A32" s="1" t="s">
        <v>121</v>
      </c>
      <c r="B32" s="38">
        <v>676974.0</v>
      </c>
      <c r="C32" s="44" t="s">
        <v>533</v>
      </c>
      <c r="D32" s="38">
        <v>343.0</v>
      </c>
      <c r="E32" s="39">
        <f>IFERROR(__xludf.DUMMYFUNCTION("sum(filter('PLA Sheet'!H:H,'PLA Sheet'!C:C=B32,'PLA Sheet'!D:D=C32))"),22.343920439999998)</f>
        <v>22.34392044</v>
      </c>
      <c r="F32" s="40">
        <v>5.534924348</v>
      </c>
      <c r="G32" s="40">
        <f>IFERROR(__xludf.DUMMYFUNCTION("sum(filter('PLA Sheet'!J:J,'PLA Sheet'!C:C=B32,'PLA Sheet'!D:D=C32))/E32*9"),1.7564043474547926)</f>
        <v>1.756404347</v>
      </c>
      <c r="H32" s="41">
        <v>0.516034985</v>
      </c>
      <c r="I32" s="41">
        <v>0.236151603</v>
      </c>
      <c r="J32" s="41">
        <v>0.247813411</v>
      </c>
      <c r="K32" s="41">
        <f t="shared" si="1"/>
        <v>0.268221574</v>
      </c>
      <c r="L32" s="42">
        <v>-1.612755602</v>
      </c>
      <c r="M32" s="45">
        <f>('Cy Young Rank'!O$1-G32)*E32/9</f>
        <v>5.719039776</v>
      </c>
      <c r="N32" s="42"/>
      <c r="O32" s="66"/>
      <c r="P32" s="42"/>
      <c r="Q32" s="67"/>
      <c r="R32" s="67"/>
    </row>
    <row r="33">
      <c r="A33" s="1" t="s">
        <v>197</v>
      </c>
      <c r="B33" s="38">
        <v>676467.0</v>
      </c>
      <c r="C33" s="44" t="s">
        <v>539</v>
      </c>
      <c r="D33" s="38">
        <v>397.0</v>
      </c>
      <c r="E33" s="39">
        <f>IFERROR(__xludf.DUMMYFUNCTION("sum(filter('PLA Sheet'!H:H,'PLA Sheet'!C:C=B33,'PLA Sheet'!D:D=C33))"),24.537560305)</f>
        <v>24.53756031</v>
      </c>
      <c r="F33" s="40">
        <v>5.522638756</v>
      </c>
      <c r="G33" s="40">
        <f>IFERROR(__xludf.DUMMYFUNCTION("sum(filter('PLA Sheet'!J:J,'PLA Sheet'!C:C=B33,'PLA Sheet'!D:D=C33))/E33*9"),1.7501902579633821)</f>
        <v>1.750190258</v>
      </c>
      <c r="H33" s="41">
        <v>0.536523929</v>
      </c>
      <c r="I33" s="41">
        <v>0.19395466</v>
      </c>
      <c r="J33" s="41">
        <v>0.269521411</v>
      </c>
      <c r="K33" s="41">
        <f t="shared" si="1"/>
        <v>0.267002518</v>
      </c>
      <c r="L33" s="42">
        <v>-2.753500691</v>
      </c>
      <c r="M33" s="45">
        <f>('Cy Young Rank'!O$1-G33)*E33/9</f>
        <v>6.297455093</v>
      </c>
      <c r="N33" s="42"/>
      <c r="O33" s="66"/>
      <c r="P33" s="42"/>
      <c r="Q33" s="67"/>
      <c r="R33" s="67"/>
    </row>
    <row r="34">
      <c r="A34" s="1" t="s">
        <v>111</v>
      </c>
      <c r="B34" s="38">
        <v>656641.0</v>
      </c>
      <c r="C34" s="44" t="s">
        <v>537</v>
      </c>
      <c r="D34" s="38">
        <v>668.0</v>
      </c>
      <c r="E34" s="39">
        <f>IFERROR(__xludf.DUMMYFUNCTION("sum(filter('PLA Sheet'!H:H,'PLA Sheet'!C:C=B34,'PLA Sheet'!D:D=C34))"),42.27785783)</f>
        <v>42.27785783</v>
      </c>
      <c r="F34" s="40">
        <v>5.52014354</v>
      </c>
      <c r="G34" s="40">
        <f>IFERROR(__xludf.DUMMYFUNCTION("sum(filter('PLA Sheet'!J:J,'PLA Sheet'!C:C=B34,'PLA Sheet'!D:D=C34))/E34*9"),1.9266427671791997)</f>
        <v>1.926642767</v>
      </c>
      <c r="H34" s="41">
        <v>0.612275449</v>
      </c>
      <c r="I34" s="41">
        <v>0.092814371</v>
      </c>
      <c r="J34" s="41">
        <v>0.29491018</v>
      </c>
      <c r="K34" s="41">
        <f t="shared" si="1"/>
        <v>0.317365269</v>
      </c>
      <c r="L34" s="42">
        <v>-3.586538475</v>
      </c>
      <c r="M34" s="45">
        <f>('Cy Young Rank'!O$1-G34)*E34/9</f>
        <v>10.02153042</v>
      </c>
      <c r="N34" s="42"/>
      <c r="O34" s="66"/>
      <c r="P34" s="42"/>
      <c r="Q34" s="67"/>
      <c r="R34" s="67"/>
    </row>
    <row r="35">
      <c r="A35" s="1" t="s">
        <v>116</v>
      </c>
      <c r="B35" s="38">
        <v>621051.0</v>
      </c>
      <c r="C35" s="44" t="s">
        <v>539</v>
      </c>
      <c r="D35" s="38">
        <v>553.0</v>
      </c>
      <c r="E35" s="39">
        <f>IFERROR(__xludf.DUMMYFUNCTION("sum(filter('PLA Sheet'!H:H,'PLA Sheet'!C:C=B35,'PLA Sheet'!D:D=C35))"),32.268309376000005)</f>
        <v>32.26830938</v>
      </c>
      <c r="F35" s="40">
        <v>5.509777943</v>
      </c>
      <c r="G35" s="40">
        <f>IFERROR(__xludf.DUMMYFUNCTION("sum(filter('PLA Sheet'!J:J,'PLA Sheet'!C:C=B35,'PLA Sheet'!D:D=C35))/E35*9"),2.0042212080717587)</f>
        <v>2.004221208</v>
      </c>
      <c r="H35" s="41">
        <v>0.544303797</v>
      </c>
      <c r="I35" s="41">
        <v>0.155515371</v>
      </c>
      <c r="J35" s="41">
        <v>0.300180832</v>
      </c>
      <c r="K35" s="41">
        <f t="shared" si="1"/>
        <v>0.244122965</v>
      </c>
      <c r="L35" s="42">
        <v>1.642979157</v>
      </c>
      <c r="M35" s="45">
        <f>('Cy Young Rank'!O$1-G35)*E35/9</f>
        <v>7.370722896</v>
      </c>
      <c r="N35" s="42"/>
      <c r="O35" s="66"/>
      <c r="P35" s="42"/>
      <c r="Q35" s="67"/>
      <c r="R35" s="67"/>
    </row>
    <row r="36">
      <c r="A36" s="1" t="s">
        <v>79</v>
      </c>
      <c r="B36" s="38">
        <v>554430.0</v>
      </c>
      <c r="C36" s="44" t="s">
        <v>537</v>
      </c>
      <c r="D36" s="38">
        <v>951.0</v>
      </c>
      <c r="E36" s="39">
        <f>IFERROR(__xludf.DUMMYFUNCTION("sum(filter('PLA Sheet'!H:H,'PLA Sheet'!C:C=B36,'PLA Sheet'!D:D=C36))"),61.39209133999999)</f>
        <v>61.39209134</v>
      </c>
      <c r="F36" s="40">
        <v>5.504042943</v>
      </c>
      <c r="G36" s="40">
        <f>IFERROR(__xludf.DUMMYFUNCTION("sum(filter('PLA Sheet'!J:J,'PLA Sheet'!C:C=B36,'PLA Sheet'!D:D=C36))/E36*9"),2.1243752110953906)</f>
        <v>2.124375211</v>
      </c>
      <c r="H36" s="41">
        <v>0.595162986</v>
      </c>
      <c r="I36" s="41">
        <v>0.125131441</v>
      </c>
      <c r="J36" s="41">
        <v>0.279705573</v>
      </c>
      <c r="K36" s="41">
        <f t="shared" si="1"/>
        <v>0.315457413</v>
      </c>
      <c r="L36" s="42">
        <v>4.147005304</v>
      </c>
      <c r="M36" s="45">
        <f>('Cy Young Rank'!O$1-G36)*E36/9</f>
        <v>13.20356154</v>
      </c>
      <c r="N36" s="42"/>
      <c r="O36" s="66"/>
      <c r="P36" s="42"/>
      <c r="Q36" s="67"/>
      <c r="R36" s="67"/>
    </row>
    <row r="37">
      <c r="A37" s="1" t="s">
        <v>38</v>
      </c>
      <c r="B37" s="38">
        <v>595345.0</v>
      </c>
      <c r="C37" s="44" t="s">
        <v>533</v>
      </c>
      <c r="D37" s="38">
        <v>591.0</v>
      </c>
      <c r="E37" s="39">
        <f>IFERROR(__xludf.DUMMYFUNCTION("sum(filter('PLA Sheet'!H:H,'PLA Sheet'!C:C=B37,'PLA Sheet'!D:D=C37))"),41.41951838)</f>
        <v>41.41951838</v>
      </c>
      <c r="F37" s="40">
        <v>5.497851074</v>
      </c>
      <c r="G37" s="40">
        <f>IFERROR(__xludf.DUMMYFUNCTION("sum(filter('PLA Sheet'!J:J,'PLA Sheet'!C:C=B37,'PLA Sheet'!D:D=C37))/E37*9"),1.656094003090144)</f>
        <v>1.656094003</v>
      </c>
      <c r="H37" s="41">
        <v>0.565143824</v>
      </c>
      <c r="I37" s="41">
        <v>0.159052453</v>
      </c>
      <c r="J37" s="41">
        <v>0.275803723</v>
      </c>
      <c r="K37" s="41">
        <f t="shared" si="1"/>
        <v>0.289340101</v>
      </c>
      <c r="L37" s="42">
        <v>6.52103808</v>
      </c>
      <c r="M37" s="45">
        <f>('Cy Young Rank'!O$1-G37)*E37/9</f>
        <v>11.06318096</v>
      </c>
      <c r="N37" s="42"/>
      <c r="O37" s="66"/>
      <c r="P37" s="42"/>
      <c r="Q37" s="67"/>
      <c r="R37" s="67"/>
    </row>
    <row r="38">
      <c r="A38" s="1" t="s">
        <v>187</v>
      </c>
      <c r="B38" s="38">
        <v>641302.0</v>
      </c>
      <c r="C38" s="44" t="s">
        <v>539</v>
      </c>
      <c r="D38" s="38">
        <v>346.0</v>
      </c>
      <c r="E38" s="39">
        <f>IFERROR(__xludf.DUMMYFUNCTION("sum(filter('PLA Sheet'!H:H,'PLA Sheet'!C:C=B38,'PLA Sheet'!D:D=C38))"),21.916350613)</f>
        <v>21.91635061</v>
      </c>
      <c r="F38" s="40">
        <v>5.496734006</v>
      </c>
      <c r="G38" s="40">
        <f>IFERROR(__xludf.DUMMYFUNCTION("sum(filter('PLA Sheet'!J:J,'PLA Sheet'!C:C=B38,'PLA Sheet'!D:D=C38))/E38*9"),1.875623215099365)</f>
        <v>1.875623215</v>
      </c>
      <c r="H38" s="41">
        <v>0.540462428</v>
      </c>
      <c r="I38" s="41">
        <v>0.182080925</v>
      </c>
      <c r="J38" s="41">
        <v>0.277456647</v>
      </c>
      <c r="K38" s="41">
        <f t="shared" si="1"/>
        <v>0.263005781</v>
      </c>
      <c r="L38" s="42">
        <v>-11.84353297</v>
      </c>
      <c r="M38" s="45">
        <f>('Cy Young Rank'!O$1-G38)*E38/9</f>
        <v>5.319285277</v>
      </c>
      <c r="N38" s="42"/>
      <c r="O38" s="66"/>
      <c r="P38" s="42"/>
      <c r="Q38" s="67"/>
      <c r="R38" s="67"/>
    </row>
    <row r="39">
      <c r="A39" s="1" t="s">
        <v>100</v>
      </c>
      <c r="B39" s="38">
        <v>676979.0</v>
      </c>
      <c r="C39" s="44" t="s">
        <v>540</v>
      </c>
      <c r="D39" s="38">
        <v>844.0</v>
      </c>
      <c r="E39" s="39">
        <f>IFERROR(__xludf.DUMMYFUNCTION("sum(filter('PLA Sheet'!H:H,'PLA Sheet'!C:C=B39,'PLA Sheet'!D:D=C39))"),57.138500638000004)</f>
        <v>57.13850064</v>
      </c>
      <c r="F39" s="40">
        <v>5.494322817</v>
      </c>
      <c r="G39" s="40">
        <f>IFERROR(__xludf.DUMMYFUNCTION("sum(filter('PLA Sheet'!J:J,'PLA Sheet'!C:C=B39,'PLA Sheet'!D:D=C39))/E39*9"),1.9320583628787378)</f>
        <v>1.932058363</v>
      </c>
      <c r="H39" s="41">
        <v>0.6007109</v>
      </c>
      <c r="I39" s="41">
        <v>0.158767773</v>
      </c>
      <c r="J39" s="41">
        <v>0.240521327</v>
      </c>
      <c r="K39" s="41">
        <f t="shared" si="1"/>
        <v>0.360189573</v>
      </c>
      <c r="L39" s="42">
        <v>4.572729076</v>
      </c>
      <c r="M39" s="45">
        <f>('Cy Young Rank'!O$1-G39)*E39/9</f>
        <v>13.50971051</v>
      </c>
      <c r="N39" s="42"/>
      <c r="O39" s="66"/>
      <c r="P39" s="42"/>
      <c r="Q39" s="67"/>
      <c r="R39" s="67"/>
    </row>
    <row r="40">
      <c r="A40" s="1" t="s">
        <v>67</v>
      </c>
      <c r="B40" s="38">
        <v>684007.0</v>
      </c>
      <c r="C40" s="44" t="s">
        <v>537</v>
      </c>
      <c r="D40" s="38">
        <v>1025.0</v>
      </c>
      <c r="E40" s="39">
        <f>IFERROR(__xludf.DUMMYFUNCTION("sum(filter('PLA Sheet'!H:H,'PLA Sheet'!C:C=B40,'PLA Sheet'!D:D=C40))"),70.33701318)</f>
        <v>70.33701318</v>
      </c>
      <c r="F40" s="40">
        <v>5.493880145</v>
      </c>
      <c r="G40" s="40">
        <f>IFERROR(__xludf.DUMMYFUNCTION("sum(filter('PLA Sheet'!J:J,'PLA Sheet'!C:C=B40,'PLA Sheet'!D:D=C40))/E40*9"),1.9166174380337828)</f>
        <v>1.916617438</v>
      </c>
      <c r="H40" s="41">
        <v>0.602926829</v>
      </c>
      <c r="I40" s="41">
        <v>0.117073171</v>
      </c>
      <c r="J40" s="41">
        <v>0.28</v>
      </c>
      <c r="K40" s="41">
        <f t="shared" si="1"/>
        <v>0.322926829</v>
      </c>
      <c r="L40" s="42">
        <v>-7.233734601</v>
      </c>
      <c r="M40" s="45">
        <f>('Cy Young Rank'!O$1-G40)*E40/9</f>
        <v>16.75101417</v>
      </c>
      <c r="N40" s="42"/>
      <c r="O40" s="66"/>
      <c r="P40" s="42"/>
      <c r="Q40" s="67"/>
      <c r="R40" s="67"/>
    </row>
    <row r="41">
      <c r="A41" s="1" t="s">
        <v>127</v>
      </c>
      <c r="B41" s="38">
        <v>687765.0</v>
      </c>
      <c r="C41" s="44" t="s">
        <v>533</v>
      </c>
      <c r="D41" s="38">
        <v>353.0</v>
      </c>
      <c r="E41" s="39">
        <f>IFERROR(__xludf.DUMMYFUNCTION("sum(filter('PLA Sheet'!H:H,'PLA Sheet'!C:C=B41,'PLA Sheet'!D:D=C41))"),22.732248523000003)</f>
        <v>22.73224852</v>
      </c>
      <c r="F41" s="40">
        <v>5.493448648</v>
      </c>
      <c r="G41" s="40">
        <f>IFERROR(__xludf.DUMMYFUNCTION("sum(filter('PLA Sheet'!J:J,'PLA Sheet'!C:C=B41,'PLA Sheet'!D:D=C41))/E41*9"),1.8052776415178906)</f>
        <v>1.805277642</v>
      </c>
      <c r="H41" s="41">
        <v>0.575070822</v>
      </c>
      <c r="I41" s="41">
        <v>0.16713881</v>
      </c>
      <c r="J41" s="41">
        <v>0.257790368</v>
      </c>
      <c r="K41" s="41">
        <f t="shared" si="1"/>
        <v>0.317280454</v>
      </c>
      <c r="L41" s="42">
        <v>-5.81649744</v>
      </c>
      <c r="M41" s="45">
        <f>('Cy Young Rank'!O$1-G41)*E41/9</f>
        <v>5.694989889</v>
      </c>
      <c r="N41" s="42"/>
      <c r="O41" s="66"/>
      <c r="P41" s="42"/>
      <c r="Q41" s="67"/>
      <c r="R41" s="67"/>
    </row>
    <row r="42">
      <c r="A42" s="1" t="s">
        <v>148</v>
      </c>
      <c r="B42" s="38">
        <v>592866.0</v>
      </c>
      <c r="C42" s="44" t="s">
        <v>537</v>
      </c>
      <c r="D42" s="38">
        <v>599.0</v>
      </c>
      <c r="E42" s="39">
        <f>IFERROR(__xludf.DUMMYFUNCTION("sum(filter('PLA Sheet'!H:H,'PLA Sheet'!C:C=B42,'PLA Sheet'!D:D=C42))"),35.24902097)</f>
        <v>35.24902097</v>
      </c>
      <c r="F42" s="40">
        <v>5.482937402</v>
      </c>
      <c r="G42" s="40">
        <f>IFERROR(__xludf.DUMMYFUNCTION("sum(filter('PLA Sheet'!J:J,'PLA Sheet'!C:C=B42,'PLA Sheet'!D:D=C42))/E42*9"),2.101598710019435)</f>
        <v>2.10159871</v>
      </c>
      <c r="H42" s="41">
        <v>0.574290484</v>
      </c>
      <c r="I42" s="41">
        <v>0.178631052</v>
      </c>
      <c r="J42" s="41">
        <v>0.247078464</v>
      </c>
      <c r="K42" s="41">
        <f t="shared" si="1"/>
        <v>0.32721202</v>
      </c>
      <c r="L42" s="42">
        <v>-14.30379043</v>
      </c>
      <c r="M42" s="45">
        <f>('Cy Young Rank'!O$1-G42)*E42/9</f>
        <v>7.670192015</v>
      </c>
      <c r="N42" s="42"/>
      <c r="O42" s="66"/>
      <c r="P42" s="42"/>
      <c r="Q42" s="67"/>
      <c r="R42" s="67"/>
    </row>
    <row r="43">
      <c r="A43" s="1" t="s">
        <v>245</v>
      </c>
      <c r="B43" s="38">
        <v>571578.0</v>
      </c>
      <c r="C43" s="44" t="s">
        <v>540</v>
      </c>
      <c r="D43" s="38">
        <v>636.0</v>
      </c>
      <c r="E43" s="39">
        <f>IFERROR(__xludf.DUMMYFUNCTION("sum(filter('PLA Sheet'!H:H,'PLA Sheet'!C:C=B43,'PLA Sheet'!D:D=C43))"),39.133436371)</f>
        <v>39.13343637</v>
      </c>
      <c r="F43" s="40">
        <v>5.481011264</v>
      </c>
      <c r="G43" s="40">
        <f>IFERROR(__xludf.DUMMYFUNCTION("sum(filter('PLA Sheet'!J:J,'PLA Sheet'!C:C=B43,'PLA Sheet'!D:D=C43))/E43*9"),1.9980241770421854)</f>
        <v>1.998024177</v>
      </c>
      <c r="H43" s="41">
        <v>0.589622642</v>
      </c>
      <c r="I43" s="41">
        <v>0.163522013</v>
      </c>
      <c r="J43" s="41">
        <v>0.246855346</v>
      </c>
      <c r="K43" s="41">
        <f t="shared" si="1"/>
        <v>0.342767296</v>
      </c>
      <c r="L43" s="42">
        <v>2.049617454</v>
      </c>
      <c r="M43" s="45">
        <f>('Cy Young Rank'!O$1-G43)*E43/9</f>
        <v>8.965799963</v>
      </c>
      <c r="N43" s="42"/>
      <c r="O43" s="66"/>
      <c r="P43" s="42"/>
      <c r="Q43" s="67"/>
      <c r="R43" s="67"/>
    </row>
    <row r="44">
      <c r="A44" s="1" t="s">
        <v>98</v>
      </c>
      <c r="B44" s="38">
        <v>605400.0</v>
      </c>
      <c r="C44" s="44" t="s">
        <v>541</v>
      </c>
      <c r="D44" s="38">
        <v>441.0</v>
      </c>
      <c r="E44" s="39">
        <f>IFERROR(__xludf.DUMMYFUNCTION("sum(filter('PLA Sheet'!H:H,'PLA Sheet'!C:C=B44,'PLA Sheet'!D:D=C44))"),27.51138056)</f>
        <v>27.51138056</v>
      </c>
      <c r="F44" s="40">
        <v>5.479293147</v>
      </c>
      <c r="G44" s="40">
        <f>IFERROR(__xludf.DUMMYFUNCTION("sum(filter('PLA Sheet'!J:J,'PLA Sheet'!C:C=B44,'PLA Sheet'!D:D=C44))/E44*9"),1.9916710424800288)</f>
        <v>1.991671042</v>
      </c>
      <c r="H44" s="41">
        <v>0.603174603</v>
      </c>
      <c r="I44" s="41">
        <v>0.133786848</v>
      </c>
      <c r="J44" s="41">
        <v>0.263038549</v>
      </c>
      <c r="K44" s="41">
        <f t="shared" si="1"/>
        <v>0.340136054</v>
      </c>
      <c r="L44" s="42">
        <v>-10.7189373</v>
      </c>
      <c r="M44" s="45">
        <f>('Cy Young Rank'!O$1-G44)*E44/9</f>
        <v>6.322509453</v>
      </c>
      <c r="N44" s="42"/>
      <c r="O44" s="66"/>
      <c r="P44" s="42"/>
      <c r="Q44" s="67"/>
      <c r="R44" s="67"/>
    </row>
    <row r="45">
      <c r="A45" s="1" t="s">
        <v>77</v>
      </c>
      <c r="B45" s="38">
        <v>657277.0</v>
      </c>
      <c r="C45" s="44" t="s">
        <v>539</v>
      </c>
      <c r="D45" s="38">
        <v>847.0</v>
      </c>
      <c r="E45" s="39">
        <f>IFERROR(__xludf.DUMMYFUNCTION("sum(filter('PLA Sheet'!H:H,'PLA Sheet'!C:C=B45,'PLA Sheet'!D:D=C45))"),54.96859757)</f>
        <v>54.96859757</v>
      </c>
      <c r="F45" s="40">
        <v>5.477351004</v>
      </c>
      <c r="G45" s="40">
        <f>IFERROR(__xludf.DUMMYFUNCTION("sum(filter('PLA Sheet'!J:J,'PLA Sheet'!C:C=B45,'PLA Sheet'!D:D=C45))/E45*9"),1.9047437924292672)</f>
        <v>1.904743792</v>
      </c>
      <c r="H45" s="41">
        <v>0.561983471</v>
      </c>
      <c r="I45" s="41">
        <v>0.178276269</v>
      </c>
      <c r="J45" s="41">
        <v>0.25974026</v>
      </c>
      <c r="K45" s="41">
        <f t="shared" si="1"/>
        <v>0.302243211</v>
      </c>
      <c r="L45" s="42">
        <v>-16.84410464</v>
      </c>
      <c r="M45" s="45">
        <f>('Cy Young Rank'!O$1-G45)*E45/9</f>
        <v>13.16349013</v>
      </c>
      <c r="N45" s="42"/>
      <c r="O45" s="66"/>
      <c r="P45" s="42"/>
      <c r="Q45" s="67"/>
      <c r="R45" s="67"/>
    </row>
    <row r="46">
      <c r="A46" s="1" t="s">
        <v>93</v>
      </c>
      <c r="B46" s="38">
        <v>669194.0</v>
      </c>
      <c r="C46" s="44" t="s">
        <v>537</v>
      </c>
      <c r="D46" s="38">
        <v>1474.0</v>
      </c>
      <c r="E46" s="39">
        <f>IFERROR(__xludf.DUMMYFUNCTION("sum(filter('PLA Sheet'!H:H,'PLA Sheet'!C:C=B46,'PLA Sheet'!D:D=C46))"),95.3125)</f>
        <v>95.3125</v>
      </c>
      <c r="F46" s="40">
        <v>5.476574482</v>
      </c>
      <c r="G46" s="40">
        <f>IFERROR(__xludf.DUMMYFUNCTION("sum(filter('PLA Sheet'!J:J,'PLA Sheet'!C:C=B46,'PLA Sheet'!D:D=C46))/E46*9"),2.0499423580327867)</f>
        <v>2.049942358</v>
      </c>
      <c r="H46" s="41">
        <v>0.605156038</v>
      </c>
      <c r="I46" s="41">
        <v>0.135006784</v>
      </c>
      <c r="J46" s="41">
        <v>0.259837178</v>
      </c>
      <c r="K46" s="41">
        <f t="shared" si="1"/>
        <v>0.34531886</v>
      </c>
      <c r="L46" s="42">
        <v>-1.744712076</v>
      </c>
      <c r="M46" s="45">
        <f>('Cy Young Rank'!O$1-G46)*E46/9</f>
        <v>21.28706878</v>
      </c>
      <c r="N46" s="42"/>
      <c r="O46" s="66"/>
      <c r="P46" s="42"/>
      <c r="Q46" s="67"/>
      <c r="R46" s="67"/>
    </row>
    <row r="47">
      <c r="A47" s="1" t="s">
        <v>275</v>
      </c>
      <c r="B47" s="38">
        <v>693821.0</v>
      </c>
      <c r="C47" s="44" t="s">
        <v>533</v>
      </c>
      <c r="D47" s="38">
        <v>860.0</v>
      </c>
      <c r="E47" s="39">
        <f>IFERROR(__xludf.DUMMYFUNCTION("sum(filter('PLA Sheet'!H:H,'PLA Sheet'!C:C=B47,'PLA Sheet'!D:D=C47))"),54.9784689)</f>
        <v>54.9784689</v>
      </c>
      <c r="F47" s="40">
        <v>5.472621338</v>
      </c>
      <c r="G47" s="40">
        <f>IFERROR(__xludf.DUMMYFUNCTION("sum(filter('PLA Sheet'!J:J,'PLA Sheet'!C:C=B47,'PLA Sheet'!D:D=C47))/E47*9"),1.892123445438474)</f>
        <v>1.892123445</v>
      </c>
      <c r="H47" s="41">
        <v>0.537209302</v>
      </c>
      <c r="I47" s="41">
        <v>0.196511628</v>
      </c>
      <c r="J47" s="41">
        <v>0.26627907</v>
      </c>
      <c r="K47" s="41">
        <f t="shared" si="1"/>
        <v>0.270930232</v>
      </c>
      <c r="L47" s="42">
        <v>-15.88857247</v>
      </c>
      <c r="M47" s="45">
        <f>('Cy Young Rank'!O$1-G47)*E47/9</f>
        <v>13.24294819</v>
      </c>
      <c r="N47" s="42"/>
      <c r="O47" s="66"/>
      <c r="P47" s="42"/>
      <c r="Q47" s="67"/>
      <c r="R47" s="67"/>
    </row>
    <row r="48">
      <c r="A48" s="1" t="s">
        <v>133</v>
      </c>
      <c r="B48" s="38">
        <v>663978.0</v>
      </c>
      <c r="C48" s="44" t="s">
        <v>532</v>
      </c>
      <c r="D48" s="38">
        <v>577.0</v>
      </c>
      <c r="E48" s="39">
        <f>IFERROR(__xludf.DUMMYFUNCTION("sum(filter('PLA Sheet'!H:H,'PLA Sheet'!C:C=B48,'PLA Sheet'!D:D=C48))"),37.04955131)</f>
        <v>37.04955131</v>
      </c>
      <c r="F48" s="40">
        <v>5.468695468</v>
      </c>
      <c r="G48" s="40">
        <f>IFERROR(__xludf.DUMMYFUNCTION("sum(filter('PLA Sheet'!J:J,'PLA Sheet'!C:C=B48,'PLA Sheet'!D:D=C48))/E48*9"),1.840795815024946)</f>
        <v>1.840795815</v>
      </c>
      <c r="H48" s="41">
        <v>0.547660312</v>
      </c>
      <c r="I48" s="41">
        <v>0.190641248</v>
      </c>
      <c r="J48" s="41">
        <v>0.26169844</v>
      </c>
      <c r="K48" s="41">
        <f t="shared" si="1"/>
        <v>0.285961872</v>
      </c>
      <c r="L48" s="42">
        <v>-4.583681911</v>
      </c>
      <c r="M48" s="45">
        <f>('Cy Young Rank'!O$1-G48)*E48/9</f>
        <v>9.135613258</v>
      </c>
      <c r="N48" s="42"/>
      <c r="O48" s="66"/>
      <c r="P48" s="42"/>
      <c r="Q48" s="67"/>
      <c r="R48" s="67"/>
    </row>
    <row r="49">
      <c r="A49" s="1" t="s">
        <v>394</v>
      </c>
      <c r="B49" s="38">
        <v>621121.0</v>
      </c>
      <c r="C49" s="44" t="s">
        <v>533</v>
      </c>
      <c r="D49" s="38">
        <v>355.0</v>
      </c>
      <c r="E49" s="39">
        <f>IFERROR(__xludf.DUMMYFUNCTION("sum(filter('PLA Sheet'!H:H,'PLA Sheet'!C:C=B49,'PLA Sheet'!D:D=C49))"),17.720186155)</f>
        <v>17.72018616</v>
      </c>
      <c r="F49" s="40">
        <v>5.46530075</v>
      </c>
      <c r="G49" s="40">
        <f>IFERROR(__xludf.DUMMYFUNCTION("sum(filter('PLA Sheet'!J:J,'PLA Sheet'!C:C=B49,'PLA Sheet'!D:D=C49))/E49*9"),2.3457821851533476)</f>
        <v>2.345782185</v>
      </c>
      <c r="H49" s="41">
        <v>0.574647887</v>
      </c>
      <c r="I49" s="41">
        <v>0.112676056</v>
      </c>
      <c r="J49" s="41">
        <v>0.312676056</v>
      </c>
      <c r="K49" s="41">
        <f t="shared" si="1"/>
        <v>0.261971831</v>
      </c>
      <c r="L49" s="42">
        <v>-3.831234694</v>
      </c>
      <c r="M49" s="45">
        <f>('Cy Young Rank'!O$1-G49)*E49/9</f>
        <v>3.375139865</v>
      </c>
      <c r="N49" s="42"/>
      <c r="O49" s="66"/>
      <c r="P49" s="42"/>
      <c r="Q49" s="67"/>
      <c r="R49" s="67"/>
    </row>
    <row r="50">
      <c r="A50" s="1" t="s">
        <v>103</v>
      </c>
      <c r="B50" s="38">
        <v>571946.0</v>
      </c>
      <c r="C50" s="44" t="s">
        <v>537</v>
      </c>
      <c r="D50" s="38">
        <v>407.0</v>
      </c>
      <c r="E50" s="39">
        <f>IFERROR(__xludf.DUMMYFUNCTION("sum(filter('PLA Sheet'!H:H,'PLA Sheet'!C:C=B50,'PLA Sheet'!D:D=C50))"),28.5787234)</f>
        <v>28.5787234</v>
      </c>
      <c r="F50" s="40">
        <v>5.464964614</v>
      </c>
      <c r="G50" s="40">
        <f>IFERROR(__xludf.DUMMYFUNCTION("sum(filter('PLA Sheet'!J:J,'PLA Sheet'!C:C=B50,'PLA Sheet'!D:D=C50))/E50*9"),2.1120262145789197)</f>
        <v>2.112026215</v>
      </c>
      <c r="H50" s="41">
        <v>0.606879607</v>
      </c>
      <c r="I50" s="41">
        <v>0.14004914</v>
      </c>
      <c r="J50" s="41">
        <v>0.253071253</v>
      </c>
      <c r="K50" s="41">
        <f t="shared" si="1"/>
        <v>0.353808354</v>
      </c>
      <c r="L50" s="42">
        <v>-1.908128985</v>
      </c>
      <c r="M50" s="45">
        <f>('Cy Young Rank'!O$1-G50)*E50/9</f>
        <v>6.185622667</v>
      </c>
      <c r="N50" s="42"/>
      <c r="O50" s="66"/>
      <c r="P50" s="42"/>
      <c r="Q50" s="67"/>
      <c r="R50" s="67"/>
    </row>
    <row r="51">
      <c r="A51" s="1" t="s">
        <v>47</v>
      </c>
      <c r="B51" s="38">
        <v>686973.0</v>
      </c>
      <c r="C51" s="44" t="s">
        <v>537</v>
      </c>
      <c r="D51" s="38">
        <v>465.0</v>
      </c>
      <c r="E51" s="39">
        <f>IFERROR(__xludf.DUMMYFUNCTION("sum(filter('PLA Sheet'!H:H,'PLA Sheet'!C:C=B51,'PLA Sheet'!D:D=C51))"),32.24327705)</f>
        <v>32.24327705</v>
      </c>
      <c r="F51" s="40">
        <v>5.462571611</v>
      </c>
      <c r="G51" s="40">
        <f>IFERROR(__xludf.DUMMYFUNCTION("sum(filter('PLA Sheet'!J:J,'PLA Sheet'!C:C=B51,'PLA Sheet'!D:D=C51))/E51*9"),1.9519593775285937)</f>
        <v>1.951959378</v>
      </c>
      <c r="H51" s="41">
        <v>0.621505376</v>
      </c>
      <c r="I51" s="41">
        <v>0.116129032</v>
      </c>
      <c r="J51" s="41">
        <v>0.262365591</v>
      </c>
      <c r="K51" s="41">
        <f t="shared" si="1"/>
        <v>0.359139785</v>
      </c>
      <c r="L51" s="42">
        <v>-3.14612678</v>
      </c>
      <c r="M51" s="45">
        <f>('Cy Young Rank'!O$1-G51)*E51/9</f>
        <v>7.552237536</v>
      </c>
      <c r="N51" s="42"/>
      <c r="O51" s="66"/>
      <c r="P51" s="42"/>
      <c r="Q51" s="67"/>
      <c r="R51" s="67"/>
    </row>
    <row r="52">
      <c r="A52" s="1" t="s">
        <v>92</v>
      </c>
      <c r="B52" s="38">
        <v>681911.0</v>
      </c>
      <c r="C52" s="44" t="s">
        <v>537</v>
      </c>
      <c r="D52" s="38">
        <v>567.0</v>
      </c>
      <c r="E52" s="39">
        <f>IFERROR(__xludf.DUMMYFUNCTION("sum(filter('PLA Sheet'!H:H,'PLA Sheet'!C:C=B52,'PLA Sheet'!D:D=C52))"),34.27908497)</f>
        <v>34.27908497</v>
      </c>
      <c r="F52" s="40">
        <v>5.461929188</v>
      </c>
      <c r="G52" s="40">
        <f>IFERROR(__xludf.DUMMYFUNCTION("sum(filter('PLA Sheet'!J:J,'PLA Sheet'!C:C=B52,'PLA Sheet'!D:D=C52))/E52*9"),2.0998411148662584)</f>
        <v>2.099841115</v>
      </c>
      <c r="H52" s="41">
        <v>0.594356261</v>
      </c>
      <c r="I52" s="41">
        <v>0.111111111</v>
      </c>
      <c r="J52" s="41">
        <v>0.294532628</v>
      </c>
      <c r="K52" s="41">
        <f t="shared" si="1"/>
        <v>0.299823633</v>
      </c>
      <c r="L52" s="42">
        <v>2.019814048</v>
      </c>
      <c r="M52" s="45">
        <f>('Cy Young Rank'!O$1-G52)*E52/9</f>
        <v>7.465828109</v>
      </c>
      <c r="N52" s="42"/>
      <c r="O52" s="66"/>
      <c r="P52" s="42"/>
      <c r="Q52" s="67"/>
      <c r="R52" s="67"/>
    </row>
    <row r="53">
      <c r="A53" s="1" t="s">
        <v>99</v>
      </c>
      <c r="B53" s="38">
        <v>592791.0</v>
      </c>
      <c r="C53" s="44" t="s">
        <v>540</v>
      </c>
      <c r="D53" s="38">
        <v>281.0</v>
      </c>
      <c r="E53" s="39">
        <f>IFERROR(__xludf.DUMMYFUNCTION("sum(filter('PLA Sheet'!H:H,'PLA Sheet'!C:C=B53,'PLA Sheet'!D:D=C53))"),18.93565774)</f>
        <v>18.93565774</v>
      </c>
      <c r="F53" s="40">
        <v>5.457740365</v>
      </c>
      <c r="G53" s="40">
        <f>IFERROR(__xludf.DUMMYFUNCTION("sum(filter('PLA Sheet'!J:J,'PLA Sheet'!C:C=B53,'PLA Sheet'!D:D=C53))/E53*9"),1.9547872330734255)</f>
        <v>1.954787233</v>
      </c>
      <c r="H53" s="41">
        <v>0.565836299</v>
      </c>
      <c r="I53" s="41">
        <v>0.170818505</v>
      </c>
      <c r="J53" s="41">
        <v>0.263345196</v>
      </c>
      <c r="K53" s="41">
        <f t="shared" si="1"/>
        <v>0.302491103</v>
      </c>
      <c r="L53" s="42">
        <v>-2.468954218</v>
      </c>
      <c r="M53" s="45">
        <f>('Cy Young Rank'!O$1-G53)*E53/9</f>
        <v>4.429287603</v>
      </c>
      <c r="N53" s="42"/>
      <c r="O53" s="66"/>
      <c r="P53" s="42"/>
      <c r="Q53" s="67"/>
      <c r="R53" s="67"/>
    </row>
    <row r="54">
      <c r="A54" s="1" t="s">
        <v>153</v>
      </c>
      <c r="B54" s="38">
        <v>669302.0</v>
      </c>
      <c r="C54" s="44" t="s">
        <v>533</v>
      </c>
      <c r="D54" s="38">
        <v>726.0</v>
      </c>
      <c r="E54" s="39">
        <f>IFERROR(__xludf.DUMMYFUNCTION("sum(filter('PLA Sheet'!H:H,'PLA Sheet'!C:C=B54,'PLA Sheet'!D:D=C54))"),46.22098422)</f>
        <v>46.22098422</v>
      </c>
      <c r="F54" s="40">
        <v>5.457739628</v>
      </c>
      <c r="G54" s="40">
        <f>IFERROR(__xludf.DUMMYFUNCTION("sum(filter('PLA Sheet'!J:J,'PLA Sheet'!C:C=B54,'PLA Sheet'!D:D=C54))/E54*9"),2.1603960124412946)</f>
        <v>2.160396012</v>
      </c>
      <c r="H54" s="41">
        <v>0.570247934</v>
      </c>
      <c r="I54" s="41">
        <v>0.17630854</v>
      </c>
      <c r="J54" s="41">
        <v>0.253443526</v>
      </c>
      <c r="K54" s="41">
        <f t="shared" si="1"/>
        <v>0.316804408</v>
      </c>
      <c r="L54" s="42">
        <v>2.890557504</v>
      </c>
      <c r="M54" s="45">
        <f>('Cy Young Rank'!O$1-G54)*E54/9</f>
        <v>9.755729548</v>
      </c>
      <c r="N54" s="42"/>
      <c r="O54" s="66"/>
      <c r="P54" s="42"/>
      <c r="Q54" s="67"/>
      <c r="R54" s="67"/>
    </row>
    <row r="55">
      <c r="A55" s="1" t="s">
        <v>97</v>
      </c>
      <c r="B55" s="38">
        <v>656876.0</v>
      </c>
      <c r="C55" s="44" t="s">
        <v>537</v>
      </c>
      <c r="D55" s="38">
        <v>802.0</v>
      </c>
      <c r="E55" s="39">
        <f>IFERROR(__xludf.DUMMYFUNCTION("sum(filter('PLA Sheet'!H:H,'PLA Sheet'!C:C=B55,'PLA Sheet'!D:D=C55))"),53.06695465)</f>
        <v>53.06695465</v>
      </c>
      <c r="F55" s="40">
        <v>5.457673295</v>
      </c>
      <c r="G55" s="40">
        <f>IFERROR(__xludf.DUMMYFUNCTION("sum(filter('PLA Sheet'!J:J,'PLA Sheet'!C:C=B55,'PLA Sheet'!D:D=C55))/E55*9"),1.9841861605676292)</f>
        <v>1.984186161</v>
      </c>
      <c r="H55" s="41">
        <v>0.599750623</v>
      </c>
      <c r="I55" s="41">
        <v>0.125935162</v>
      </c>
      <c r="J55" s="41">
        <v>0.274314214</v>
      </c>
      <c r="K55" s="41">
        <f t="shared" si="1"/>
        <v>0.325436409</v>
      </c>
      <c r="L55" s="42">
        <v>-5.661286445</v>
      </c>
      <c r="M55" s="45">
        <f>('Cy Young Rank'!O$1-G55)*E55/9</f>
        <v>12.23967988</v>
      </c>
      <c r="N55" s="42"/>
      <c r="O55" s="66"/>
      <c r="P55" s="42"/>
      <c r="Q55" s="67"/>
      <c r="R55" s="67"/>
    </row>
    <row r="56">
      <c r="A56" s="1" t="s">
        <v>202</v>
      </c>
      <c r="B56" s="38">
        <v>677960.0</v>
      </c>
      <c r="C56" s="44" t="s">
        <v>537</v>
      </c>
      <c r="D56" s="38">
        <v>278.0</v>
      </c>
      <c r="E56" s="39">
        <f>IFERROR(__xludf.DUMMYFUNCTION("sum(filter('PLA Sheet'!H:H,'PLA Sheet'!C:C=B56,'PLA Sheet'!D:D=C56))"),17.076843199)</f>
        <v>17.0768432</v>
      </c>
      <c r="F56" s="40">
        <v>5.457523831</v>
      </c>
      <c r="G56" s="40">
        <f>IFERROR(__xludf.DUMMYFUNCTION("sum(filter('PLA Sheet'!J:J,'PLA Sheet'!C:C=B56,'PLA Sheet'!D:D=C56))/E56*9"),2.3777689193971034)</f>
        <v>2.377768919</v>
      </c>
      <c r="H56" s="41">
        <v>0.629496403</v>
      </c>
      <c r="I56" s="41">
        <v>0.118705036</v>
      </c>
      <c r="J56" s="41">
        <v>0.251798561</v>
      </c>
      <c r="K56" s="41">
        <f t="shared" si="1"/>
        <v>0.377697842</v>
      </c>
      <c r="L56" s="42">
        <v>-4.776744769</v>
      </c>
      <c r="M56" s="45">
        <f>('Cy Young Rank'!O$1-G56)*E56/9</f>
        <v>3.19191071</v>
      </c>
      <c r="N56" s="42"/>
      <c r="O56" s="66"/>
      <c r="P56" s="42"/>
      <c r="Q56" s="67"/>
      <c r="R56" s="67"/>
    </row>
    <row r="57">
      <c r="A57" s="1" t="s">
        <v>162</v>
      </c>
      <c r="B57" s="38">
        <v>592426.0</v>
      </c>
      <c r="C57" s="44" t="s">
        <v>533</v>
      </c>
      <c r="D57" s="38">
        <v>362.0</v>
      </c>
      <c r="E57" s="39">
        <f>IFERROR(__xludf.DUMMYFUNCTION("sum(filter('PLA Sheet'!H:H,'PLA Sheet'!C:C=B57,'PLA Sheet'!D:D=C57))"),25.173913041)</f>
        <v>25.17391304</v>
      </c>
      <c r="F57" s="40">
        <v>5.451792642</v>
      </c>
      <c r="G57" s="40">
        <f>IFERROR(__xludf.DUMMYFUNCTION("sum(filter('PLA Sheet'!J:J,'PLA Sheet'!C:C=B57,'PLA Sheet'!D:D=C57))/E57*9"),1.9505638602956514)</f>
        <v>1.95056386</v>
      </c>
      <c r="H57" s="41">
        <v>0.577348066</v>
      </c>
      <c r="I57" s="41">
        <v>0.171270718</v>
      </c>
      <c r="J57" s="41">
        <v>0.251381215</v>
      </c>
      <c r="K57" s="41">
        <f t="shared" si="1"/>
        <v>0.325966851</v>
      </c>
      <c r="L57" s="42">
        <v>-1.833961201</v>
      </c>
      <c r="M57" s="45">
        <f>('Cy Young Rank'!O$1-G57)*E57/9</f>
        <v>5.900306883</v>
      </c>
      <c r="N57" s="42"/>
      <c r="O57" s="66"/>
      <c r="P57" s="42"/>
      <c r="Q57" s="67"/>
      <c r="R57" s="67"/>
    </row>
    <row r="58">
      <c r="A58" s="1" t="s">
        <v>89</v>
      </c>
      <c r="B58" s="38">
        <v>669622.0</v>
      </c>
      <c r="C58" s="44" t="s">
        <v>539</v>
      </c>
      <c r="D58" s="38">
        <v>358.0</v>
      </c>
      <c r="E58" s="39">
        <f>IFERROR(__xludf.DUMMYFUNCTION("sum(filter('PLA Sheet'!H:H,'PLA Sheet'!C:C=B58,'PLA Sheet'!D:D=C58))"),23.59335038)</f>
        <v>23.59335038</v>
      </c>
      <c r="F58" s="40">
        <v>5.447562812</v>
      </c>
      <c r="G58" s="40">
        <f>IFERROR(__xludf.DUMMYFUNCTION("sum(filter('PLA Sheet'!J:J,'PLA Sheet'!C:C=B58,'PLA Sheet'!D:D=C58))/E58*9"),1.8659271485799043)</f>
        <v>1.865927149</v>
      </c>
      <c r="H58" s="41">
        <v>0.572625698</v>
      </c>
      <c r="I58" s="41">
        <v>0.159217877</v>
      </c>
      <c r="J58" s="41">
        <v>0.268156425</v>
      </c>
      <c r="K58" s="41">
        <f t="shared" si="1"/>
        <v>0.304469273</v>
      </c>
      <c r="L58" s="42">
        <v>8.056137789</v>
      </c>
      <c r="M58" s="45">
        <f>('Cy Young Rank'!O$1-G58)*E58/9</f>
        <v>5.751725505</v>
      </c>
      <c r="N58" s="42"/>
      <c r="O58" s="66"/>
      <c r="P58" s="42"/>
      <c r="Q58" s="67"/>
      <c r="R58" s="67"/>
    </row>
    <row r="59">
      <c r="A59" s="1" t="s">
        <v>125</v>
      </c>
      <c r="B59" s="38">
        <v>663554.0</v>
      </c>
      <c r="C59" s="44" t="s">
        <v>533</v>
      </c>
      <c r="D59" s="38">
        <v>366.0</v>
      </c>
      <c r="E59" s="39">
        <f>IFERROR(__xludf.DUMMYFUNCTION("sum(filter('PLA Sheet'!H:H,'PLA Sheet'!C:C=B59,'PLA Sheet'!D:D=C59))"),23.946428569)</f>
        <v>23.94642857</v>
      </c>
      <c r="F59" s="40">
        <v>5.447333149</v>
      </c>
      <c r="G59" s="40">
        <f>IFERROR(__xludf.DUMMYFUNCTION("sum(filter('PLA Sheet'!J:J,'PLA Sheet'!C:C=B59,'PLA Sheet'!D:D=C59))/E59*9"),2.075500939807806)</f>
        <v>2.07550094</v>
      </c>
      <c r="H59" s="41">
        <v>0.551912568</v>
      </c>
      <c r="I59" s="41">
        <v>0.166666667</v>
      </c>
      <c r="J59" s="41">
        <v>0.281420765</v>
      </c>
      <c r="K59" s="41">
        <f t="shared" si="1"/>
        <v>0.270491803</v>
      </c>
      <c r="L59" s="42">
        <v>5.753816143</v>
      </c>
      <c r="M59" s="45">
        <f>('Cy Young Rank'!O$1-G59)*E59/9</f>
        <v>5.280184999</v>
      </c>
      <c r="N59" s="42"/>
      <c r="O59" s="66"/>
      <c r="P59" s="42"/>
      <c r="Q59" s="67"/>
      <c r="R59" s="67"/>
    </row>
    <row r="60">
      <c r="A60" s="1" t="s">
        <v>161</v>
      </c>
      <c r="B60" s="38">
        <v>702070.0</v>
      </c>
      <c r="C60" s="44" t="s">
        <v>540</v>
      </c>
      <c r="D60" s="38">
        <v>452.0</v>
      </c>
      <c r="E60" s="39">
        <f>IFERROR(__xludf.DUMMYFUNCTION("sum(filter('PLA Sheet'!H:H,'PLA Sheet'!C:C=B60,'PLA Sheet'!D:D=C60))"),29.738788718000002)</f>
        <v>29.73878872</v>
      </c>
      <c r="F60" s="40">
        <v>5.444007318</v>
      </c>
      <c r="G60" s="40">
        <f>IFERROR(__xludf.DUMMYFUNCTION("sum(filter('PLA Sheet'!J:J,'PLA Sheet'!C:C=B60,'PLA Sheet'!D:D=C60))/E60*9"),2.0746731679308743)</f>
        <v>2.074673168</v>
      </c>
      <c r="H60" s="41">
        <v>0.57079646</v>
      </c>
      <c r="I60" s="41">
        <v>0.123893805</v>
      </c>
      <c r="J60" s="41">
        <v>0.305309735</v>
      </c>
      <c r="K60" s="41">
        <f t="shared" si="1"/>
        <v>0.265486725</v>
      </c>
      <c r="L60" s="42">
        <v>0.569521062</v>
      </c>
      <c r="M60" s="45">
        <f>('Cy Young Rank'!O$1-G60)*E60/9</f>
        <v>6.560135022</v>
      </c>
      <c r="N60" s="42"/>
      <c r="O60" s="66"/>
      <c r="P60" s="42"/>
      <c r="Q60" s="67"/>
      <c r="R60" s="67"/>
    </row>
    <row r="61">
      <c r="A61" s="1" t="s">
        <v>86</v>
      </c>
      <c r="B61" s="38">
        <v>678606.0</v>
      </c>
      <c r="C61" s="44" t="s">
        <v>536</v>
      </c>
      <c r="D61" s="38">
        <v>839.0</v>
      </c>
      <c r="E61" s="39">
        <f>IFERROR(__xludf.DUMMYFUNCTION("sum(filter('PLA Sheet'!H:H,'PLA Sheet'!C:C=B61,'PLA Sheet'!D:D=C61))"),53.99032615)</f>
        <v>53.99032615</v>
      </c>
      <c r="F61" s="40">
        <v>5.443382328</v>
      </c>
      <c r="G61" s="40">
        <f>IFERROR(__xludf.DUMMYFUNCTION("sum(filter('PLA Sheet'!J:J,'PLA Sheet'!C:C=B61,'PLA Sheet'!D:D=C61))/E61*9"),1.952978200336358)</f>
        <v>1.9529782</v>
      </c>
      <c r="H61" s="41">
        <v>0.587604291</v>
      </c>
      <c r="I61" s="41">
        <v>0.135876043</v>
      </c>
      <c r="J61" s="41">
        <v>0.276519666</v>
      </c>
      <c r="K61" s="41">
        <f t="shared" si="1"/>
        <v>0.311084625</v>
      </c>
      <c r="L61" s="42">
        <v>-6.886380484</v>
      </c>
      <c r="M61" s="45">
        <f>('Cy Young Rank'!O$1-G61)*E61/9</f>
        <v>12.63986602</v>
      </c>
      <c r="N61" s="42"/>
      <c r="O61" s="66"/>
      <c r="P61" s="42"/>
      <c r="Q61" s="67"/>
      <c r="R61" s="67"/>
    </row>
    <row r="62">
      <c r="A62" s="1" t="s">
        <v>448</v>
      </c>
      <c r="B62" s="38">
        <v>657424.0</v>
      </c>
      <c r="C62" s="44" t="s">
        <v>533</v>
      </c>
      <c r="D62" s="38">
        <v>252.0</v>
      </c>
      <c r="E62" s="39">
        <f>IFERROR(__xludf.DUMMYFUNCTION("sum(filter('PLA Sheet'!H:H,'PLA Sheet'!C:C=B62,'PLA Sheet'!D:D=C62))"),15.324528302)</f>
        <v>15.3245283</v>
      </c>
      <c r="F62" s="40">
        <v>5.442322083</v>
      </c>
      <c r="G62" s="40">
        <f>IFERROR(__xludf.DUMMYFUNCTION("sum(filter('PLA Sheet'!J:J,'PLA Sheet'!C:C=B62,'PLA Sheet'!D:D=C62))/E62*9"),2.0345600455402524)</f>
        <v>2.034560046</v>
      </c>
      <c r="H62" s="41">
        <v>0.535714286</v>
      </c>
      <c r="I62" s="41">
        <v>0.174603175</v>
      </c>
      <c r="J62" s="41">
        <v>0.28968254</v>
      </c>
      <c r="K62" s="41">
        <f t="shared" si="1"/>
        <v>0.246031746</v>
      </c>
      <c r="L62" s="42">
        <v>-2.174644359</v>
      </c>
      <c r="M62" s="45">
        <f>('Cy Young Rank'!O$1-G62)*E62/9</f>
        <v>3.44876799</v>
      </c>
      <c r="N62" s="42"/>
      <c r="O62" s="66"/>
      <c r="P62" s="42"/>
      <c r="Q62" s="67"/>
      <c r="R62" s="67"/>
    </row>
    <row r="63">
      <c r="A63" s="1" t="s">
        <v>30</v>
      </c>
      <c r="B63" s="38">
        <v>678495.0</v>
      </c>
      <c r="C63" s="44" t="s">
        <v>537</v>
      </c>
      <c r="D63" s="38">
        <v>432.0</v>
      </c>
      <c r="E63" s="39">
        <f>IFERROR(__xludf.DUMMYFUNCTION("sum(filter('PLA Sheet'!H:H,'PLA Sheet'!C:C=B63,'PLA Sheet'!D:D=C63))"),28.04987531)</f>
        <v>28.04987531</v>
      </c>
      <c r="F63" s="40">
        <v>5.441448931</v>
      </c>
      <c r="G63" s="40">
        <f>IFERROR(__xludf.DUMMYFUNCTION("sum(filter('PLA Sheet'!J:J,'PLA Sheet'!C:C=B63,'PLA Sheet'!D:D=C63))/E63*9"),2.1543602719138075)</f>
        <v>2.154360272</v>
      </c>
      <c r="H63" s="41">
        <v>0.5625</v>
      </c>
      <c r="I63" s="41">
        <v>0.085648148</v>
      </c>
      <c r="J63" s="41">
        <v>0.351851852</v>
      </c>
      <c r="K63" s="41">
        <f t="shared" si="1"/>
        <v>0.210648148</v>
      </c>
      <c r="L63" s="42">
        <v>0.626152296</v>
      </c>
      <c r="M63" s="45">
        <f>('Cy Young Rank'!O$1-G63)*E63/9</f>
        <v>5.939217418</v>
      </c>
      <c r="N63" s="42"/>
      <c r="O63" s="66"/>
      <c r="P63" s="42"/>
      <c r="Q63" s="67"/>
      <c r="R63" s="67"/>
    </row>
    <row r="64">
      <c r="A64" s="1" t="s">
        <v>65</v>
      </c>
      <c r="B64" s="38">
        <v>680885.0</v>
      </c>
      <c r="C64" s="44" t="s">
        <v>533</v>
      </c>
      <c r="D64" s="38">
        <v>280.0</v>
      </c>
      <c r="E64" s="39">
        <f>IFERROR(__xludf.DUMMYFUNCTION("sum(filter('PLA Sheet'!H:H,'PLA Sheet'!C:C=B64,'PLA Sheet'!D:D=C64))"),20.050858229)</f>
        <v>20.05085823</v>
      </c>
      <c r="F64" s="40">
        <v>5.439930605</v>
      </c>
      <c r="G64" s="40">
        <f>IFERROR(__xludf.DUMMYFUNCTION("sum(filter('PLA Sheet'!J:J,'PLA Sheet'!C:C=B64,'PLA Sheet'!D:D=C64))/E64*9"),1.724090091565327)</f>
        <v>1.724090092</v>
      </c>
      <c r="H64" s="41">
        <v>0.539285714</v>
      </c>
      <c r="I64" s="41">
        <v>0.225</v>
      </c>
      <c r="J64" s="41">
        <v>0.235714286</v>
      </c>
      <c r="K64" s="41">
        <f t="shared" si="1"/>
        <v>0.303571428</v>
      </c>
      <c r="L64" s="42">
        <v>-5.622734861</v>
      </c>
      <c r="M64" s="45">
        <f>('Cy Young Rank'!O$1-G64)*E64/9</f>
        <v>5.204110934</v>
      </c>
      <c r="N64" s="42"/>
      <c r="O64" s="66"/>
      <c r="P64" s="42"/>
      <c r="Q64" s="67"/>
      <c r="R64" s="67"/>
    </row>
    <row r="65">
      <c r="A65" s="1" t="s">
        <v>229</v>
      </c>
      <c r="B65" s="38">
        <v>645261.0</v>
      </c>
      <c r="C65" s="44" t="s">
        <v>536</v>
      </c>
      <c r="D65" s="38">
        <v>708.0</v>
      </c>
      <c r="E65" s="39">
        <f>IFERROR(__xludf.DUMMYFUNCTION("sum(filter('PLA Sheet'!H:H,'PLA Sheet'!C:C=B65,'PLA Sheet'!D:D=C65))"),43.59109264999999)</f>
        <v>43.59109265</v>
      </c>
      <c r="F65" s="40">
        <v>5.43823562</v>
      </c>
      <c r="G65" s="40">
        <f>IFERROR(__xludf.DUMMYFUNCTION("sum(filter('PLA Sheet'!J:J,'PLA Sheet'!C:C=B65,'PLA Sheet'!D:D=C65))/E65*9"),2.0837044101944526)</f>
        <v>2.08370441</v>
      </c>
      <c r="H65" s="41">
        <v>0.556497175</v>
      </c>
      <c r="I65" s="41">
        <v>0.194915254</v>
      </c>
      <c r="J65" s="41">
        <v>0.248587571</v>
      </c>
      <c r="K65" s="41">
        <f t="shared" si="1"/>
        <v>0.307909604</v>
      </c>
      <c r="L65" s="42">
        <v>8.434151566</v>
      </c>
      <c r="M65" s="45">
        <f>('Cy Young Rank'!O$1-G65)*E65/9</f>
        <v>9.57209824</v>
      </c>
      <c r="N65" s="42"/>
      <c r="O65" s="66"/>
      <c r="P65" s="42"/>
      <c r="Q65" s="67"/>
      <c r="R65" s="67"/>
    </row>
    <row r="66">
      <c r="A66" s="1" t="s">
        <v>423</v>
      </c>
      <c r="B66" s="38">
        <v>656605.0</v>
      </c>
      <c r="C66" s="44" t="s">
        <v>539</v>
      </c>
      <c r="D66" s="38">
        <v>522.0</v>
      </c>
      <c r="E66" s="39">
        <f>IFERROR(__xludf.DUMMYFUNCTION("sum(filter('PLA Sheet'!H:H,'PLA Sheet'!C:C=B66,'PLA Sheet'!D:D=C66))"),32.9549047)</f>
        <v>32.9549047</v>
      </c>
      <c r="F66" s="40">
        <v>5.435793484</v>
      </c>
      <c r="G66" s="40">
        <f>IFERROR(__xludf.DUMMYFUNCTION("sum(filter('PLA Sheet'!J:J,'PLA Sheet'!C:C=B66,'PLA Sheet'!D:D=C66))/E66*9"),2.031748706589341)</f>
        <v>2.031748707</v>
      </c>
      <c r="H66" s="41">
        <v>0.561302682</v>
      </c>
      <c r="I66" s="41">
        <v>0.151340996</v>
      </c>
      <c r="J66" s="41">
        <v>0.287356322</v>
      </c>
      <c r="K66" s="41">
        <f t="shared" si="1"/>
        <v>0.27394636</v>
      </c>
      <c r="L66" s="42">
        <v>-5.574414507</v>
      </c>
      <c r="M66" s="45">
        <f>('Cy Young Rank'!O$1-G66)*E66/9</f>
        <v>7.426758676</v>
      </c>
      <c r="N66" s="42"/>
      <c r="O66" s="66"/>
      <c r="P66" s="42"/>
      <c r="Q66" s="67"/>
      <c r="R66" s="67"/>
    </row>
    <row r="67">
      <c r="A67" s="1" t="s">
        <v>180</v>
      </c>
      <c r="B67" s="38">
        <v>642547.0</v>
      </c>
      <c r="C67" s="44" t="s">
        <v>537</v>
      </c>
      <c r="D67" s="38">
        <v>1606.0</v>
      </c>
      <c r="E67" s="39">
        <f>IFERROR(__xludf.DUMMYFUNCTION("sum(filter('PLA Sheet'!H:H,'PLA Sheet'!C:C=B67,'PLA Sheet'!D:D=C67))"),94.48946515)</f>
        <v>94.48946515</v>
      </c>
      <c r="F67" s="40">
        <v>5.434291185</v>
      </c>
      <c r="G67" s="40">
        <f>IFERROR(__xludf.DUMMYFUNCTION("sum(filter('PLA Sheet'!J:J,'PLA Sheet'!C:C=B67,'PLA Sheet'!D:D=C67))/E67*9"),2.317660658279215)</f>
        <v>2.317660658</v>
      </c>
      <c r="H67" s="41">
        <v>0.609589041</v>
      </c>
      <c r="I67" s="41">
        <v>0.089041096</v>
      </c>
      <c r="J67" s="41">
        <v>0.301369863</v>
      </c>
      <c r="K67" s="41">
        <f t="shared" si="1"/>
        <v>0.308219178</v>
      </c>
      <c r="L67" s="42">
        <v>-8.258338643</v>
      </c>
      <c r="M67" s="45">
        <f>('Cy Young Rank'!O$1-G67)*E67/9</f>
        <v>18.29252361</v>
      </c>
      <c r="N67" s="42"/>
      <c r="O67" s="66"/>
      <c r="P67" s="42"/>
      <c r="Q67" s="67"/>
      <c r="R67" s="67"/>
    </row>
    <row r="68">
      <c r="A68" s="1" t="s">
        <v>115</v>
      </c>
      <c r="B68" s="38">
        <v>543135.0</v>
      </c>
      <c r="C68" s="44" t="s">
        <v>540</v>
      </c>
      <c r="D68" s="38">
        <v>375.0</v>
      </c>
      <c r="E68" s="39">
        <f>IFERROR(__xludf.DUMMYFUNCTION("sum(filter('PLA Sheet'!H:H,'PLA Sheet'!C:C=B68,'PLA Sheet'!D:D=C68))"),26.0815047)</f>
        <v>26.0815047</v>
      </c>
      <c r="F68" s="40">
        <v>5.431642977</v>
      </c>
      <c r="G68" s="40">
        <f>IFERROR(__xludf.DUMMYFUNCTION("sum(filter('PLA Sheet'!J:J,'PLA Sheet'!C:C=B68,'PLA Sheet'!D:D=C68))/E68*9"),1.937216912182218)</f>
        <v>1.937216912</v>
      </c>
      <c r="H68" s="41">
        <v>0.581333333</v>
      </c>
      <c r="I68" s="41">
        <v>0.149333333</v>
      </c>
      <c r="J68" s="41">
        <v>0.269333333</v>
      </c>
      <c r="K68" s="41">
        <f t="shared" si="1"/>
        <v>0.312</v>
      </c>
      <c r="L68" s="42">
        <v>9.996396752</v>
      </c>
      <c r="M68" s="45">
        <f>('Cy Young Rank'!O$1-G68)*E68/9</f>
        <v>6.151708565</v>
      </c>
      <c r="N68" s="42"/>
      <c r="O68" s="66"/>
      <c r="P68" s="42"/>
      <c r="Q68" s="67"/>
      <c r="R68" s="67"/>
    </row>
    <row r="69">
      <c r="A69" s="1" t="s">
        <v>118</v>
      </c>
      <c r="B69" s="38">
        <v>695505.0</v>
      </c>
      <c r="C69" s="44" t="s">
        <v>537</v>
      </c>
      <c r="D69" s="38">
        <v>432.0</v>
      </c>
      <c r="E69" s="39">
        <f>IFERROR(__xludf.DUMMYFUNCTION("sum(filter('PLA Sheet'!H:H,'PLA Sheet'!C:C=B69,'PLA Sheet'!D:D=C69))"),25.03703703)</f>
        <v>25.03703703</v>
      </c>
      <c r="F69" s="40">
        <v>5.430118874</v>
      </c>
      <c r="G69" s="40">
        <f>IFERROR(__xludf.DUMMYFUNCTION("sum(filter('PLA Sheet'!J:J,'PLA Sheet'!C:C=B69,'PLA Sheet'!D:D=C69))/E69*9"),2.3823594193086515)</f>
        <v>2.382359419</v>
      </c>
      <c r="H69" s="41">
        <v>0.613425926</v>
      </c>
      <c r="I69" s="41">
        <v>0.101851852</v>
      </c>
      <c r="J69" s="41">
        <v>0.284722222</v>
      </c>
      <c r="K69" s="41">
        <f t="shared" si="1"/>
        <v>0.328703704</v>
      </c>
      <c r="L69" s="42">
        <v>0.505965802</v>
      </c>
      <c r="M69" s="45">
        <f>('Cy Young Rank'!O$1-G69)*E69/9</f>
        <v>4.667016594</v>
      </c>
      <c r="N69" s="42"/>
      <c r="O69" s="66"/>
      <c r="P69" s="42"/>
      <c r="Q69" s="67"/>
      <c r="R69" s="67"/>
    </row>
    <row r="70">
      <c r="A70" s="1" t="s">
        <v>117</v>
      </c>
      <c r="B70" s="38">
        <v>596001.0</v>
      </c>
      <c r="C70" s="44" t="s">
        <v>533</v>
      </c>
      <c r="D70" s="38">
        <v>445.0</v>
      </c>
      <c r="E70" s="39">
        <f>IFERROR(__xludf.DUMMYFUNCTION("sum(filter('PLA Sheet'!H:H,'PLA Sheet'!C:C=B70,'PLA Sheet'!D:D=C70))"),29.679922408000003)</f>
        <v>29.67992241</v>
      </c>
      <c r="F70" s="40">
        <v>5.429665952</v>
      </c>
      <c r="G70" s="40">
        <f>IFERROR(__xludf.DUMMYFUNCTION("sum(filter('PLA Sheet'!J:J,'PLA Sheet'!C:C=B70,'PLA Sheet'!D:D=C70))/E70*9"),1.993555245415721)</f>
        <v>1.993555245</v>
      </c>
      <c r="H70" s="41">
        <v>0.521348315</v>
      </c>
      <c r="I70" s="41">
        <v>0.195505618</v>
      </c>
      <c r="J70" s="41">
        <v>0.283146067</v>
      </c>
      <c r="K70" s="41">
        <f t="shared" si="1"/>
        <v>0.238202248</v>
      </c>
      <c r="L70" s="42">
        <v>-1.414032197</v>
      </c>
      <c r="M70" s="45">
        <f>('Cy Young Rank'!O$1-G70)*E70/9</f>
        <v>6.814657775</v>
      </c>
      <c r="N70" s="42"/>
      <c r="O70" s="66"/>
      <c r="P70" s="42"/>
      <c r="Q70" s="67"/>
      <c r="R70" s="67"/>
    </row>
    <row r="71">
      <c r="A71" s="1" t="s">
        <v>88</v>
      </c>
      <c r="B71" s="38">
        <v>694973.0</v>
      </c>
      <c r="C71" s="44" t="s">
        <v>539</v>
      </c>
      <c r="D71" s="38">
        <v>464.0</v>
      </c>
      <c r="E71" s="39">
        <f>IFERROR(__xludf.DUMMYFUNCTION("sum(filter('PLA Sheet'!H:H,'PLA Sheet'!C:C=B71,'PLA Sheet'!D:D=C71))"),29.743632517)</f>
        <v>29.74363252</v>
      </c>
      <c r="F71" s="40">
        <v>5.429227999</v>
      </c>
      <c r="G71" s="40">
        <f>IFERROR(__xludf.DUMMYFUNCTION("sum(filter('PLA Sheet'!J:J,'PLA Sheet'!C:C=B71,'PLA Sheet'!D:D=C71))/E71*9"),2.020832693035924)</f>
        <v>2.020832693</v>
      </c>
      <c r="H71" s="41">
        <v>0.564655172</v>
      </c>
      <c r="I71" s="41">
        <v>0.181034483</v>
      </c>
      <c r="J71" s="41">
        <v>0.254310345</v>
      </c>
      <c r="K71" s="41">
        <f t="shared" si="1"/>
        <v>0.310344827</v>
      </c>
      <c r="L71" s="42">
        <v>7.752557224</v>
      </c>
      <c r="M71" s="45">
        <f>('Cy Young Rank'!O$1-G71)*E71/9</f>
        <v>6.739138113</v>
      </c>
      <c r="N71" s="42"/>
      <c r="O71" s="66"/>
      <c r="P71" s="42"/>
      <c r="Q71" s="67"/>
      <c r="R71" s="67"/>
    </row>
    <row r="72">
      <c r="A72" s="1" t="s">
        <v>212</v>
      </c>
      <c r="B72" s="38">
        <v>805673.0</v>
      </c>
      <c r="C72" s="44" t="s">
        <v>537</v>
      </c>
      <c r="D72" s="38">
        <v>513.0</v>
      </c>
      <c r="E72" s="39">
        <f>IFERROR(__xludf.DUMMYFUNCTION("sum(filter('PLA Sheet'!H:H,'PLA Sheet'!C:C=B72,'PLA Sheet'!D:D=C72))"),31.19389012)</f>
        <v>31.19389012</v>
      </c>
      <c r="F72" s="40">
        <v>5.428293336</v>
      </c>
      <c r="G72" s="40">
        <f>IFERROR(__xludf.DUMMYFUNCTION("sum(filter('PLA Sheet'!J:J,'PLA Sheet'!C:C=B72,'PLA Sheet'!D:D=C72))/E72*9"),2.530426108970343)</f>
        <v>2.530426109</v>
      </c>
      <c r="H72" s="41">
        <v>0.553606238</v>
      </c>
      <c r="I72" s="41">
        <v>0.159844055</v>
      </c>
      <c r="J72" s="41">
        <v>0.286549708</v>
      </c>
      <c r="K72" s="41">
        <f t="shared" si="1"/>
        <v>0.26705653</v>
      </c>
      <c r="L72" s="42">
        <v>-8.174191059</v>
      </c>
      <c r="M72" s="45">
        <f>('Cy Young Rank'!O$1-G72)*E72/9</f>
        <v>5.301484432</v>
      </c>
      <c r="N72" s="42"/>
      <c r="O72" s="66"/>
      <c r="P72" s="42"/>
      <c r="Q72" s="67"/>
      <c r="R72" s="67"/>
    </row>
    <row r="73">
      <c r="A73" s="1" t="s">
        <v>233</v>
      </c>
      <c r="B73" s="38">
        <v>656240.0</v>
      </c>
      <c r="C73" s="44" t="s">
        <v>533</v>
      </c>
      <c r="D73" s="38">
        <v>307.0</v>
      </c>
      <c r="E73" s="39">
        <f>IFERROR(__xludf.DUMMYFUNCTION("sum(filter('PLA Sheet'!H:H,'PLA Sheet'!C:C=B73,'PLA Sheet'!D:D=C73))"),19.57899672)</f>
        <v>19.57899672</v>
      </c>
      <c r="F73" s="40">
        <v>5.42792964</v>
      </c>
      <c r="G73" s="40">
        <f>IFERROR(__xludf.DUMMYFUNCTION("sum(filter('PLA Sheet'!J:J,'PLA Sheet'!C:C=B73,'PLA Sheet'!D:D=C73))/E73*9"),2.1677169472450886)</f>
        <v>2.167716947</v>
      </c>
      <c r="H73" s="41">
        <v>0.54723127</v>
      </c>
      <c r="I73" s="41">
        <v>0.172638436</v>
      </c>
      <c r="J73" s="41">
        <v>0.280130293</v>
      </c>
      <c r="K73" s="41">
        <f t="shared" si="1"/>
        <v>0.267100977</v>
      </c>
      <c r="L73" s="42">
        <v>-8.480876071</v>
      </c>
      <c r="M73" s="45">
        <f>('Cy Young Rank'!O$1-G73)*E73/9</f>
        <v>4.116555965</v>
      </c>
      <c r="N73" s="42"/>
      <c r="O73" s="66"/>
      <c r="P73" s="42"/>
      <c r="Q73" s="67"/>
      <c r="R73" s="67"/>
    </row>
    <row r="74">
      <c r="A74" s="1" t="s">
        <v>30</v>
      </c>
      <c r="B74" s="38">
        <v>678495.0</v>
      </c>
      <c r="C74" s="44" t="s">
        <v>533</v>
      </c>
      <c r="D74" s="38">
        <v>348.0</v>
      </c>
      <c r="E74" s="39">
        <f>IFERROR(__xludf.DUMMYFUNCTION("sum(filter('PLA Sheet'!H:H,'PLA Sheet'!C:C=B74,'PLA Sheet'!D:D=C74))"),22.61679135)</f>
        <v>22.61679135</v>
      </c>
      <c r="F74" s="40">
        <v>5.426575675</v>
      </c>
      <c r="G74" s="40">
        <f>IFERROR(__xludf.DUMMYFUNCTION("sum(filter('PLA Sheet'!J:J,'PLA Sheet'!C:C=B74,'PLA Sheet'!D:D=C74))/E74*9"),1.8900476791107685)</f>
        <v>1.890047679</v>
      </c>
      <c r="H74" s="41">
        <v>0.537356322</v>
      </c>
      <c r="I74" s="41">
        <v>0.146551724</v>
      </c>
      <c r="J74" s="41">
        <v>0.316091954</v>
      </c>
      <c r="K74" s="41">
        <f t="shared" si="1"/>
        <v>0.221264368</v>
      </c>
      <c r="L74" s="42">
        <v>-3.055417592</v>
      </c>
      <c r="M74" s="45">
        <f>('Cy Young Rank'!O$1-G74)*E74/9</f>
        <v>5.453039876</v>
      </c>
      <c r="N74" s="42"/>
      <c r="O74" s="66"/>
      <c r="P74" s="42"/>
      <c r="Q74" s="67"/>
      <c r="R74" s="67"/>
    </row>
    <row r="75">
      <c r="A75" s="1" t="s">
        <v>352</v>
      </c>
      <c r="B75" s="38">
        <v>685299.0</v>
      </c>
      <c r="C75" s="44" t="s">
        <v>532</v>
      </c>
      <c r="D75" s="38">
        <v>252.0</v>
      </c>
      <c r="E75" s="39">
        <f>IFERROR(__xludf.DUMMYFUNCTION("sum(filter('PLA Sheet'!H:H,'PLA Sheet'!C:C=B75,'PLA Sheet'!D:D=C75))"),15.926580922)</f>
        <v>15.92658092</v>
      </c>
      <c r="F75" s="40">
        <v>5.424024125</v>
      </c>
      <c r="G75" s="40">
        <f>IFERROR(__xludf.DUMMYFUNCTION("sum(filter('PLA Sheet'!J:J,'PLA Sheet'!C:C=B75,'PLA Sheet'!D:D=C75))/E75*9"),2.2423535958473186)</f>
        <v>2.242353596</v>
      </c>
      <c r="H75" s="41">
        <v>0.515873016</v>
      </c>
      <c r="I75" s="41">
        <v>0.222222222</v>
      </c>
      <c r="J75" s="41">
        <v>0.261904762</v>
      </c>
      <c r="K75" s="41">
        <f t="shared" si="1"/>
        <v>0.253968254</v>
      </c>
      <c r="L75" s="42">
        <v>-6.555475151</v>
      </c>
      <c r="M75" s="45">
        <f>('Cy Young Rank'!O$1-G75)*E75/9</f>
        <v>3.216543616</v>
      </c>
      <c r="N75" s="42"/>
      <c r="O75" s="66"/>
      <c r="P75" s="42"/>
      <c r="Q75" s="67"/>
      <c r="R75" s="67"/>
    </row>
    <row r="76">
      <c r="A76" s="1" t="s">
        <v>361</v>
      </c>
      <c r="B76" s="38">
        <v>686563.0</v>
      </c>
      <c r="C76" s="44" t="s">
        <v>539</v>
      </c>
      <c r="D76" s="38">
        <v>264.0</v>
      </c>
      <c r="E76" s="39">
        <f>IFERROR(__xludf.DUMMYFUNCTION("sum(filter('PLA Sheet'!H:H,'PLA Sheet'!C:C=B76,'PLA Sheet'!D:D=C76))"),15.677269347)</f>
        <v>15.67726935</v>
      </c>
      <c r="F76" s="40">
        <v>5.42373789</v>
      </c>
      <c r="G76" s="40">
        <f>IFERROR(__xludf.DUMMYFUNCTION("sum(filter('PLA Sheet'!J:J,'PLA Sheet'!C:C=B76,'PLA Sheet'!D:D=C76))/E76*9"),2.3197499000015114)</f>
        <v>2.3197499</v>
      </c>
      <c r="H76" s="41">
        <v>0.526515152</v>
      </c>
      <c r="I76" s="41">
        <v>0.174242424</v>
      </c>
      <c r="J76" s="41">
        <v>0.299242424</v>
      </c>
      <c r="K76" s="41">
        <f t="shared" si="1"/>
        <v>0.227272728</v>
      </c>
      <c r="L76" s="42">
        <v>-2.913259905</v>
      </c>
      <c r="M76" s="45">
        <f>('Cy Young Rank'!O$1-G76)*E76/9</f>
        <v>3.031374394</v>
      </c>
      <c r="N76" s="42"/>
      <c r="O76" s="66"/>
      <c r="P76" s="42"/>
      <c r="Q76" s="67"/>
      <c r="R76" s="67"/>
    </row>
    <row r="77">
      <c r="A77" s="1" t="s">
        <v>104</v>
      </c>
      <c r="B77" s="38">
        <v>676508.0</v>
      </c>
      <c r="C77" s="44" t="s">
        <v>540</v>
      </c>
      <c r="D77" s="38">
        <v>271.0</v>
      </c>
      <c r="E77" s="39">
        <f>IFERROR(__xludf.DUMMYFUNCTION("sum(filter('PLA Sheet'!H:H,'PLA Sheet'!C:C=B77,'PLA Sheet'!D:D=C77))"),16.924194399999998)</f>
        <v>16.9241944</v>
      </c>
      <c r="F77" s="40">
        <v>5.422246704</v>
      </c>
      <c r="G77" s="40">
        <f>IFERROR(__xludf.DUMMYFUNCTION("sum(filter('PLA Sheet'!J:J,'PLA Sheet'!C:C=B77,'PLA Sheet'!D:D=C77))/E77*9"),2.2623599147502116)</f>
        <v>2.262359915</v>
      </c>
      <c r="H77" s="41">
        <v>0.579335793</v>
      </c>
      <c r="I77" s="41">
        <v>0.15498155</v>
      </c>
      <c r="J77" s="41">
        <v>0.265682657</v>
      </c>
      <c r="K77" s="41">
        <f t="shared" si="1"/>
        <v>0.313653136</v>
      </c>
      <c r="L77" s="42">
        <v>-1.25501518</v>
      </c>
      <c r="M77" s="45">
        <f>('Cy Young Rank'!O$1-G77)*E77/9</f>
        <v>3.38040114</v>
      </c>
      <c r="N77" s="42"/>
      <c r="O77" s="66"/>
      <c r="P77" s="42"/>
      <c r="Q77" s="67"/>
      <c r="R77" s="67"/>
    </row>
    <row r="78">
      <c r="A78" s="1" t="s">
        <v>199</v>
      </c>
      <c r="B78" s="38">
        <v>664199.0</v>
      </c>
      <c r="C78" s="44" t="s">
        <v>533</v>
      </c>
      <c r="D78" s="38">
        <v>324.0</v>
      </c>
      <c r="E78" s="39">
        <f>IFERROR(__xludf.DUMMYFUNCTION("sum(filter('PLA Sheet'!H:H,'PLA Sheet'!C:C=B78,'PLA Sheet'!D:D=C78))"),21.847238544)</f>
        <v>21.84723854</v>
      </c>
      <c r="F78" s="40">
        <v>5.422233571</v>
      </c>
      <c r="G78" s="40">
        <f>IFERROR(__xludf.DUMMYFUNCTION("sum(filter('PLA Sheet'!J:J,'PLA Sheet'!C:C=B78,'PLA Sheet'!D:D=C78))/E78*9"),1.9874103957144946)</f>
        <v>1.987410396</v>
      </c>
      <c r="H78" s="41">
        <v>0.552469136</v>
      </c>
      <c r="I78" s="41">
        <v>0.148148148</v>
      </c>
      <c r="J78" s="41">
        <v>0.299382716</v>
      </c>
      <c r="K78" s="41">
        <f t="shared" si="1"/>
        <v>0.25308642</v>
      </c>
      <c r="L78" s="42">
        <v>8.128262474</v>
      </c>
      <c r="M78" s="45">
        <f>('Cy Young Rank'!O$1-G78)*E78/9</f>
        <v>5.031151054</v>
      </c>
      <c r="N78" s="42"/>
      <c r="O78" s="66"/>
      <c r="P78" s="42"/>
      <c r="Q78" s="67"/>
      <c r="R78" s="67"/>
    </row>
    <row r="79">
      <c r="A79" s="1" t="s">
        <v>169</v>
      </c>
      <c r="B79" s="38">
        <v>671096.0</v>
      </c>
      <c r="C79" s="44" t="s">
        <v>539</v>
      </c>
      <c r="D79" s="38">
        <v>352.0</v>
      </c>
      <c r="E79" s="39">
        <f>IFERROR(__xludf.DUMMYFUNCTION("sum(filter('PLA Sheet'!H:H,'PLA Sheet'!C:C=B79,'PLA Sheet'!D:D=C79))"),22.873941209999998)</f>
        <v>22.87394121</v>
      </c>
      <c r="F79" s="40">
        <v>5.421473468</v>
      </c>
      <c r="G79" s="40">
        <f>IFERROR(__xludf.DUMMYFUNCTION("sum(filter('PLA Sheet'!J:J,'PLA Sheet'!C:C=B79,'PLA Sheet'!D:D=C79))/E79*9"),2.051205368119419)</f>
        <v>2.051205368</v>
      </c>
      <c r="H79" s="41">
        <v>0.542613636</v>
      </c>
      <c r="I79" s="41">
        <v>0.196022727</v>
      </c>
      <c r="J79" s="41">
        <v>0.261363636</v>
      </c>
      <c r="K79" s="41">
        <f t="shared" si="1"/>
        <v>0.28125</v>
      </c>
      <c r="L79" s="42">
        <v>-0.723505559</v>
      </c>
      <c r="M79" s="45">
        <f>('Cy Young Rank'!O$1-G79)*E79/9</f>
        <v>5.105450035</v>
      </c>
      <c r="N79" s="42"/>
      <c r="O79" s="66"/>
      <c r="P79" s="42"/>
      <c r="Q79" s="67"/>
      <c r="R79" s="67"/>
    </row>
    <row r="80">
      <c r="A80" s="1" t="s">
        <v>140</v>
      </c>
      <c r="B80" s="38">
        <v>672582.0</v>
      </c>
      <c r="C80" s="44" t="s">
        <v>536</v>
      </c>
      <c r="D80" s="38">
        <v>478.0</v>
      </c>
      <c r="E80" s="39">
        <f>IFERROR(__xludf.DUMMYFUNCTION("sum(filter('PLA Sheet'!H:H,'PLA Sheet'!C:C=B80,'PLA Sheet'!D:D=C80))"),28.83227177)</f>
        <v>28.83227177</v>
      </c>
      <c r="F80" s="40">
        <v>5.419934903</v>
      </c>
      <c r="G80" s="40">
        <f>IFERROR(__xludf.DUMMYFUNCTION("sum(filter('PLA Sheet'!J:J,'PLA Sheet'!C:C=B80,'PLA Sheet'!D:D=C80))/E80*9"),2.2781072724329414)</f>
        <v>2.278107272</v>
      </c>
      <c r="H80" s="41">
        <v>0.569037657</v>
      </c>
      <c r="I80" s="41">
        <v>0.142259414</v>
      </c>
      <c r="J80" s="41">
        <v>0.288702929</v>
      </c>
      <c r="K80" s="41">
        <f t="shared" si="1"/>
        <v>0.280334728</v>
      </c>
      <c r="L80" s="42">
        <v>1.413384964</v>
      </c>
      <c r="M80" s="45">
        <f>('Cy Young Rank'!O$1-G80)*E80/9</f>
        <v>5.708446154</v>
      </c>
      <c r="N80" s="42"/>
      <c r="O80" s="66"/>
      <c r="P80" s="42"/>
      <c r="Q80" s="67"/>
      <c r="R80" s="67"/>
    </row>
    <row r="81">
      <c r="A81" s="1" t="s">
        <v>41</v>
      </c>
      <c r="B81" s="38">
        <v>547973.0</v>
      </c>
      <c r="C81" s="44" t="s">
        <v>536</v>
      </c>
      <c r="D81" s="38">
        <v>297.0</v>
      </c>
      <c r="E81" s="39">
        <f>IFERROR(__xludf.DUMMYFUNCTION("sum(filter('PLA Sheet'!H:H,'PLA Sheet'!C:C=B81,'PLA Sheet'!D:D=C81))"),20.421978017)</f>
        <v>20.42197802</v>
      </c>
      <c r="F81" s="40">
        <v>5.415380199</v>
      </c>
      <c r="G81" s="40">
        <f>IFERROR(__xludf.DUMMYFUNCTION("sum(filter('PLA Sheet'!J:J,'PLA Sheet'!C:C=B81,'PLA Sheet'!D:D=C81))/E81*9"),2.1224201673275163)</f>
        <v>2.122420167</v>
      </c>
      <c r="H81" s="41">
        <v>0.542087542</v>
      </c>
      <c r="I81" s="41">
        <v>0.154882155</v>
      </c>
      <c r="J81" s="41">
        <v>0.303030303</v>
      </c>
      <c r="K81" s="41">
        <f t="shared" si="1"/>
        <v>0.239057239</v>
      </c>
      <c r="L81" s="42">
        <v>2.778376471</v>
      </c>
      <c r="M81" s="45">
        <f>('Cy Young Rank'!O$1-G81)*E81/9</f>
        <v>4.396579194</v>
      </c>
      <c r="N81" s="42"/>
      <c r="O81" s="66"/>
      <c r="P81" s="42"/>
      <c r="Q81" s="67"/>
      <c r="R81" s="67"/>
    </row>
    <row r="82">
      <c r="A82" s="1" t="s">
        <v>142</v>
      </c>
      <c r="B82" s="38">
        <v>689254.0</v>
      </c>
      <c r="C82" s="44" t="s">
        <v>539</v>
      </c>
      <c r="D82" s="38">
        <v>336.0</v>
      </c>
      <c r="E82" s="39">
        <f>IFERROR(__xludf.DUMMYFUNCTION("sum(filter('PLA Sheet'!H:H,'PLA Sheet'!C:C=B82,'PLA Sheet'!D:D=C82))"),21.949553749000003)</f>
        <v>21.94955375</v>
      </c>
      <c r="F82" s="40">
        <v>5.411998971</v>
      </c>
      <c r="G82" s="40">
        <f>IFERROR(__xludf.DUMMYFUNCTION("sum(filter('PLA Sheet'!J:J,'PLA Sheet'!C:C=B82,'PLA Sheet'!D:D=C82))/E82*9"),1.9625778497643749)</f>
        <v>1.96257785</v>
      </c>
      <c r="H82" s="41">
        <v>0.550595238</v>
      </c>
      <c r="I82" s="41">
        <v>0.142857143</v>
      </c>
      <c r="J82" s="41">
        <v>0.306547619</v>
      </c>
      <c r="K82" s="41">
        <f t="shared" si="1"/>
        <v>0.244047619</v>
      </c>
      <c r="L82" s="42">
        <v>-1.337054627</v>
      </c>
      <c r="M82" s="45">
        <f>('Cy Young Rank'!O$1-G82)*E82/9</f>
        <v>5.11527558</v>
      </c>
      <c r="N82" s="42"/>
      <c r="O82" s="66"/>
      <c r="P82" s="42"/>
      <c r="Q82" s="67"/>
      <c r="R82" s="67"/>
    </row>
    <row r="83">
      <c r="A83" s="1" t="s">
        <v>41</v>
      </c>
      <c r="B83" s="38">
        <v>547973.0</v>
      </c>
      <c r="C83" s="44" t="s">
        <v>537</v>
      </c>
      <c r="D83" s="38">
        <v>354.0</v>
      </c>
      <c r="E83" s="39">
        <f>IFERROR(__xludf.DUMMYFUNCTION("sum(filter('PLA Sheet'!H:H,'PLA Sheet'!C:C=B83,'PLA Sheet'!D:D=C83))"),24.600732597)</f>
        <v>24.6007326</v>
      </c>
      <c r="F83" s="40">
        <v>5.41197575</v>
      </c>
      <c r="G83" s="40">
        <f>IFERROR(__xludf.DUMMYFUNCTION("sum(filter('PLA Sheet'!J:J,'PLA Sheet'!C:C=B83,'PLA Sheet'!D:D=C83))/E83*9"),2.1122444136617595)</f>
        <v>2.112244414</v>
      </c>
      <c r="H83" s="41">
        <v>0.627118644</v>
      </c>
      <c r="I83" s="41">
        <v>0.110169492</v>
      </c>
      <c r="J83" s="41">
        <v>0.262711864</v>
      </c>
      <c r="K83" s="41">
        <f t="shared" si="1"/>
        <v>0.36440678</v>
      </c>
      <c r="L83" s="42">
        <v>4.908335776</v>
      </c>
      <c r="M83" s="45">
        <f>('Cy Young Rank'!O$1-G83)*E83/9</f>
        <v>5.324023816</v>
      </c>
      <c r="N83" s="42"/>
      <c r="O83" s="66"/>
      <c r="P83" s="42"/>
      <c r="Q83" s="67"/>
      <c r="R83" s="67"/>
    </row>
    <row r="84">
      <c r="A84" s="1" t="s">
        <v>171</v>
      </c>
      <c r="B84" s="38">
        <v>665795.0</v>
      </c>
      <c r="C84" s="44" t="s">
        <v>532</v>
      </c>
      <c r="D84" s="38">
        <v>564.0</v>
      </c>
      <c r="E84" s="39">
        <f>IFERROR(__xludf.DUMMYFUNCTION("sum(filter('PLA Sheet'!H:H,'PLA Sheet'!C:C=B84,'PLA Sheet'!D:D=C84))"),35.380761820000004)</f>
        <v>35.38076182</v>
      </c>
      <c r="F84" s="40">
        <v>5.405531478</v>
      </c>
      <c r="G84" s="40">
        <f>IFERROR(__xludf.DUMMYFUNCTION("sum(filter('PLA Sheet'!J:J,'PLA Sheet'!C:C=B84,'PLA Sheet'!D:D=C84))/E84*9"),2.126705082915029)</f>
        <v>2.126705083</v>
      </c>
      <c r="H84" s="41">
        <v>0.542553191</v>
      </c>
      <c r="I84" s="41">
        <v>0.14893617</v>
      </c>
      <c r="J84" s="41">
        <v>0.308510638</v>
      </c>
      <c r="K84" s="41">
        <f t="shared" si="1"/>
        <v>0.234042553</v>
      </c>
      <c r="L84" s="42">
        <v>-0.375311502</v>
      </c>
      <c r="M84" s="45">
        <f>('Cy Young Rank'!O$1-G84)*E84/9</f>
        <v>7.600160777</v>
      </c>
      <c r="N84" s="42"/>
      <c r="O84" s="66"/>
      <c r="P84" s="42"/>
      <c r="Q84" s="67"/>
      <c r="R84" s="67"/>
    </row>
    <row r="85">
      <c r="A85" s="1" t="s">
        <v>249</v>
      </c>
      <c r="B85" s="38">
        <v>592779.0</v>
      </c>
      <c r="C85" s="44" t="s">
        <v>537</v>
      </c>
      <c r="D85" s="38">
        <v>310.0</v>
      </c>
      <c r="E85" s="39">
        <f>IFERROR(__xludf.DUMMYFUNCTION("sum(filter('PLA Sheet'!H:H,'PLA Sheet'!C:C=B85,'PLA Sheet'!D:D=C85))"),19.88306011)</f>
        <v>19.88306011</v>
      </c>
      <c r="F85" s="40">
        <v>5.404289958</v>
      </c>
      <c r="G85" s="40">
        <f>IFERROR(__xludf.DUMMYFUNCTION("sum(filter('PLA Sheet'!J:J,'PLA Sheet'!C:C=B85,'PLA Sheet'!D:D=C85))/E85*9"),2.458784147386456)</f>
        <v>2.458784147</v>
      </c>
      <c r="H85" s="41">
        <v>0.596774194</v>
      </c>
      <c r="I85" s="41">
        <v>0.151612903</v>
      </c>
      <c r="J85" s="41">
        <v>0.251612903</v>
      </c>
      <c r="K85" s="41">
        <f t="shared" si="1"/>
        <v>0.345161291</v>
      </c>
      <c r="L85" s="42">
        <v>3.307611317</v>
      </c>
      <c r="M85" s="45">
        <f>('Cy Young Rank'!O$1-G85)*E85/9</f>
        <v>3.537452339</v>
      </c>
      <c r="N85" s="42"/>
      <c r="O85" s="66"/>
      <c r="P85" s="42"/>
      <c r="Q85" s="67"/>
      <c r="R85" s="67"/>
    </row>
    <row r="86">
      <c r="A86" s="1" t="s">
        <v>410</v>
      </c>
      <c r="B86" s="38">
        <v>678394.0</v>
      </c>
      <c r="C86" s="44" t="s">
        <v>540</v>
      </c>
      <c r="D86" s="38">
        <v>409.0</v>
      </c>
      <c r="E86" s="39">
        <f>IFERROR(__xludf.DUMMYFUNCTION("sum(filter('PLA Sheet'!H:H,'PLA Sheet'!C:C=B86,'PLA Sheet'!D:D=C86))"),26.140155726000003)</f>
        <v>26.14015573</v>
      </c>
      <c r="F86" s="40">
        <v>5.40408633</v>
      </c>
      <c r="G86" s="40">
        <f>IFERROR(__xludf.DUMMYFUNCTION("sum(filter('PLA Sheet'!J:J,'PLA Sheet'!C:C=B86,'PLA Sheet'!D:D=C86))/E86*9"),2.241620846264426)</f>
        <v>2.241620846</v>
      </c>
      <c r="H86" s="41">
        <v>0.574572127</v>
      </c>
      <c r="I86" s="41">
        <v>0.163814181</v>
      </c>
      <c r="J86" s="41">
        <v>0.261613692</v>
      </c>
      <c r="K86" s="41">
        <f t="shared" si="1"/>
        <v>0.312958435</v>
      </c>
      <c r="L86" s="42">
        <v>3.479884131</v>
      </c>
      <c r="M86" s="45">
        <f>('Cy Young Rank'!O$1-G86)*E86/9</f>
        <v>5.281412694</v>
      </c>
      <c r="N86" s="42"/>
      <c r="O86" s="66"/>
      <c r="P86" s="42"/>
      <c r="Q86" s="67"/>
      <c r="R86" s="67"/>
    </row>
    <row r="87">
      <c r="A87" s="1" t="s">
        <v>176</v>
      </c>
      <c r="B87" s="38">
        <v>686218.0</v>
      </c>
      <c r="C87" s="44" t="s">
        <v>537</v>
      </c>
      <c r="D87" s="38">
        <v>526.0</v>
      </c>
      <c r="E87" s="39">
        <f>IFERROR(__xludf.DUMMYFUNCTION("sum(filter('PLA Sheet'!H:H,'PLA Sheet'!C:C=B87,'PLA Sheet'!D:D=C87))"),34.32896652)</f>
        <v>34.32896652</v>
      </c>
      <c r="F87" s="40">
        <v>5.401924489</v>
      </c>
      <c r="G87" s="40">
        <f>IFERROR(__xludf.DUMMYFUNCTION("sum(filter('PLA Sheet'!J:J,'PLA Sheet'!C:C=B87,'PLA Sheet'!D:D=C87))/E87*9"),2.4335044269780126)</f>
        <v>2.433504427</v>
      </c>
      <c r="H87" s="41">
        <v>0.58365019</v>
      </c>
      <c r="I87" s="41">
        <v>0.108365019</v>
      </c>
      <c r="J87" s="41">
        <v>0.307984791</v>
      </c>
      <c r="K87" s="41">
        <f t="shared" si="1"/>
        <v>0.275665399</v>
      </c>
      <c r="L87" s="42">
        <v>-3.745861506</v>
      </c>
      <c r="M87" s="45">
        <f>('Cy Young Rank'!O$1-G87)*E87/9</f>
        <v>6.20399023</v>
      </c>
      <c r="N87" s="42"/>
      <c r="O87" s="66"/>
      <c r="P87" s="42"/>
      <c r="Q87" s="67"/>
      <c r="R87" s="67"/>
    </row>
    <row r="88">
      <c r="A88" s="1" t="s">
        <v>96</v>
      </c>
      <c r="B88" s="38">
        <v>690986.0</v>
      </c>
      <c r="C88" s="44" t="s">
        <v>537</v>
      </c>
      <c r="D88" s="38">
        <v>342.0</v>
      </c>
      <c r="E88" s="39">
        <f>IFERROR(__xludf.DUMMYFUNCTION("sum(filter('PLA Sheet'!H:H,'PLA Sheet'!C:C=B88,'PLA Sheet'!D:D=C88))"),21.594104305000002)</f>
        <v>21.59410431</v>
      </c>
      <c r="F88" s="40">
        <v>5.40147368</v>
      </c>
      <c r="G88" s="40">
        <f>IFERROR(__xludf.DUMMYFUNCTION("sum(filter('PLA Sheet'!J:J,'PLA Sheet'!C:C=B88,'PLA Sheet'!D:D=C88))/E88*9"),2.4388231739626205)</f>
        <v>2.438823174</v>
      </c>
      <c r="H88" s="41">
        <v>0.529239766</v>
      </c>
      <c r="I88" s="41">
        <v>0.216374269</v>
      </c>
      <c r="J88" s="41">
        <v>0.254385965</v>
      </c>
      <c r="K88" s="41">
        <f t="shared" si="1"/>
        <v>0.274853801</v>
      </c>
      <c r="L88" s="42">
        <v>-0.142474527</v>
      </c>
      <c r="M88" s="45">
        <f>('Cy Young Rank'!O$1-G88)*E88/9</f>
        <v>3.889762386</v>
      </c>
      <c r="N88" s="42"/>
      <c r="O88" s="66"/>
      <c r="P88" s="42"/>
      <c r="Q88" s="67"/>
      <c r="R88" s="67"/>
    </row>
    <row r="89">
      <c r="A89" s="1" t="s">
        <v>281</v>
      </c>
      <c r="B89" s="38">
        <v>622663.0</v>
      </c>
      <c r="C89" s="44" t="s">
        <v>539</v>
      </c>
      <c r="D89" s="38">
        <v>645.0</v>
      </c>
      <c r="E89" s="39">
        <f>IFERROR(__xludf.DUMMYFUNCTION("sum(filter('PLA Sheet'!H:H,'PLA Sheet'!C:C=B89,'PLA Sheet'!D:D=C89))"),39.92185592)</f>
        <v>39.92185592</v>
      </c>
      <c r="F89" s="40">
        <v>5.400980896</v>
      </c>
      <c r="G89" s="40">
        <f>IFERROR(__xludf.DUMMYFUNCTION("sum(filter('PLA Sheet'!J:J,'PLA Sheet'!C:C=B89,'PLA Sheet'!D:D=C89))/E89*9"),2.137046237804267)</f>
        <v>2.137046238</v>
      </c>
      <c r="H89" s="41">
        <v>0.542635659</v>
      </c>
      <c r="I89" s="41">
        <v>0.164341085</v>
      </c>
      <c r="J89" s="41">
        <v>0.293023256</v>
      </c>
      <c r="K89" s="41">
        <f t="shared" si="1"/>
        <v>0.249612403</v>
      </c>
      <c r="L89" s="42">
        <v>1.488408241</v>
      </c>
      <c r="M89" s="45">
        <f>('Cy Young Rank'!O$1-G89)*E89/9</f>
        <v>8.529764782</v>
      </c>
      <c r="N89" s="42"/>
      <c r="O89" s="66"/>
      <c r="P89" s="42"/>
      <c r="Q89" s="67"/>
      <c r="R89" s="67"/>
    </row>
    <row r="90">
      <c r="A90" s="1" t="s">
        <v>57</v>
      </c>
      <c r="B90" s="38">
        <v>594798.0</v>
      </c>
      <c r="C90" s="44" t="s">
        <v>537</v>
      </c>
      <c r="D90" s="38">
        <v>1178.0</v>
      </c>
      <c r="E90" s="39">
        <f>IFERROR(__xludf.DUMMYFUNCTION("sum(filter('PLA Sheet'!H:H,'PLA Sheet'!C:C=B90,'PLA Sheet'!D:D=C90))"),79.5245023)</f>
        <v>79.5245023</v>
      </c>
      <c r="F90" s="40">
        <v>5.39991661</v>
      </c>
      <c r="G90" s="40">
        <f>IFERROR(__xludf.DUMMYFUNCTION("sum(filter('PLA Sheet'!J:J,'PLA Sheet'!C:C=B90,'PLA Sheet'!D:D=C90))/E90*9"),2.144249357974291)</f>
        <v>2.144249358</v>
      </c>
      <c r="H90" s="41">
        <v>0.586587436</v>
      </c>
      <c r="I90" s="41">
        <v>0.13582343</v>
      </c>
      <c r="J90" s="41">
        <v>0.277589134</v>
      </c>
      <c r="K90" s="41">
        <f t="shared" si="1"/>
        <v>0.308998302</v>
      </c>
      <c r="L90" s="42">
        <v>6.239370973</v>
      </c>
      <c r="M90" s="45">
        <f>('Cy Young Rank'!O$1-G90)*E90/9</f>
        <v>16.92767959</v>
      </c>
      <c r="N90" s="42"/>
      <c r="O90" s="66"/>
      <c r="P90" s="42"/>
      <c r="Q90" s="67"/>
      <c r="R90" s="67"/>
    </row>
    <row r="91">
      <c r="A91" s="1" t="s">
        <v>131</v>
      </c>
      <c r="B91" s="38">
        <v>676684.0</v>
      </c>
      <c r="C91" s="44" t="s">
        <v>533</v>
      </c>
      <c r="D91" s="38">
        <v>259.0</v>
      </c>
      <c r="E91" s="39">
        <f>IFERROR(__xludf.DUMMYFUNCTION("sum(filter('PLA Sheet'!H:H,'PLA Sheet'!C:C=B91,'PLA Sheet'!D:D=C91))"),16.366461449)</f>
        <v>16.36646145</v>
      </c>
      <c r="F91" s="40">
        <v>5.398096258</v>
      </c>
      <c r="G91" s="40">
        <f>IFERROR(__xludf.DUMMYFUNCTION("sum(filter('PLA Sheet'!J:J,'PLA Sheet'!C:C=B91,'PLA Sheet'!D:D=C91))/E91*9"),2.1449233916195687)</f>
        <v>2.144923392</v>
      </c>
      <c r="H91" s="41">
        <v>0.548262548</v>
      </c>
      <c r="I91" s="41">
        <v>0.173745174</v>
      </c>
      <c r="J91" s="41">
        <v>0.277992278</v>
      </c>
      <c r="K91" s="41">
        <f t="shared" si="1"/>
        <v>0.27027027</v>
      </c>
      <c r="L91" s="42">
        <v>-2.780319058</v>
      </c>
      <c r="M91" s="45">
        <f>('Cy Young Rank'!O$1-G91)*E91/9</f>
        <v>3.482558609</v>
      </c>
      <c r="N91" s="42"/>
      <c r="O91" s="66"/>
      <c r="P91" s="42"/>
      <c r="Q91" s="67"/>
      <c r="R91" s="67"/>
    </row>
    <row r="92">
      <c r="A92" s="1" t="s">
        <v>188</v>
      </c>
      <c r="B92" s="38">
        <v>694819.0</v>
      </c>
      <c r="C92" s="44" t="s">
        <v>533</v>
      </c>
      <c r="D92" s="38">
        <v>275.0</v>
      </c>
      <c r="E92" s="39">
        <f>IFERROR(__xludf.DUMMYFUNCTION("sum(filter('PLA Sheet'!H:H,'PLA Sheet'!C:C=B92,'PLA Sheet'!D:D=C92))"),16.046391748)</f>
        <v>16.04639175</v>
      </c>
      <c r="F92" s="40">
        <v>5.396785272</v>
      </c>
      <c r="G92" s="40">
        <f>IFERROR(__xludf.DUMMYFUNCTION("sum(filter('PLA Sheet'!J:J,'PLA Sheet'!C:C=B92,'PLA Sheet'!D:D=C92))/E92*9"),2.4463608153460865)</f>
        <v>2.446360815</v>
      </c>
      <c r="H92" s="41">
        <v>0.541818182</v>
      </c>
      <c r="I92" s="41">
        <v>0.181818182</v>
      </c>
      <c r="J92" s="41">
        <v>0.276363636</v>
      </c>
      <c r="K92" s="41">
        <f t="shared" si="1"/>
        <v>0.265454546</v>
      </c>
      <c r="L92" s="42">
        <v>2.830842579</v>
      </c>
      <c r="M92" s="45">
        <f>('Cy Young Rank'!O$1-G92)*E92/9</f>
        <v>2.877009611</v>
      </c>
      <c r="N92" s="42"/>
      <c r="O92" s="66"/>
      <c r="P92" s="42"/>
      <c r="Q92" s="67"/>
      <c r="R92" s="67"/>
    </row>
    <row r="93">
      <c r="A93" s="1" t="s">
        <v>97</v>
      </c>
      <c r="B93" s="38">
        <v>656876.0</v>
      </c>
      <c r="C93" s="44" t="s">
        <v>540</v>
      </c>
      <c r="D93" s="38">
        <v>711.0</v>
      </c>
      <c r="E93" s="39">
        <f>IFERROR(__xludf.DUMMYFUNCTION("sum(filter('PLA Sheet'!H:H,'PLA Sheet'!C:C=B93,'PLA Sheet'!D:D=C93))"),47.23542117)</f>
        <v>47.23542117</v>
      </c>
      <c r="F93" s="40">
        <v>5.395845414</v>
      </c>
      <c r="G93" s="40">
        <f>IFERROR(__xludf.DUMMYFUNCTION("sum(filter('PLA Sheet'!J:J,'PLA Sheet'!C:C=B93,'PLA Sheet'!D:D=C93))/E93*9"),2.1477203862518244)</f>
        <v>2.147720386</v>
      </c>
      <c r="H93" s="41">
        <v>0.540084388</v>
      </c>
      <c r="I93" s="41">
        <v>0.192686357</v>
      </c>
      <c r="J93" s="41">
        <v>0.267229255</v>
      </c>
      <c r="K93" s="41">
        <f t="shared" si="1"/>
        <v>0.272855133</v>
      </c>
      <c r="L93" s="42">
        <v>16.70634802</v>
      </c>
      <c r="M93" s="45">
        <f>('Cy Young Rank'!O$1-G93)*E93/9</f>
        <v>10.03637033</v>
      </c>
      <c r="N93" s="42"/>
      <c r="O93" s="66"/>
      <c r="P93" s="42"/>
      <c r="Q93" s="67"/>
      <c r="R93" s="67"/>
    </row>
    <row r="94">
      <c r="A94" s="1" t="s">
        <v>173</v>
      </c>
      <c r="B94" s="38">
        <v>641927.0</v>
      </c>
      <c r="C94" s="44" t="s">
        <v>532</v>
      </c>
      <c r="D94" s="38">
        <v>666.0</v>
      </c>
      <c r="E94" s="39">
        <f>IFERROR(__xludf.DUMMYFUNCTION("sum(filter('PLA Sheet'!H:H,'PLA Sheet'!C:C=B94,'PLA Sheet'!D:D=C94))"),42.2975382)</f>
        <v>42.2975382</v>
      </c>
      <c r="F94" s="40">
        <v>5.395258509</v>
      </c>
      <c r="G94" s="40">
        <f>IFERROR(__xludf.DUMMYFUNCTION("sum(filter('PLA Sheet'!J:J,'PLA Sheet'!C:C=B94,'PLA Sheet'!D:D=C94))/E94*9"),1.9389953999734197)</f>
        <v>1.9389954</v>
      </c>
      <c r="H94" s="41">
        <v>0.563063063</v>
      </c>
      <c r="I94" s="41">
        <v>0.142642643</v>
      </c>
      <c r="J94" s="41">
        <v>0.294294294</v>
      </c>
      <c r="K94" s="41">
        <f t="shared" si="1"/>
        <v>0.268768769</v>
      </c>
      <c r="L94" s="42">
        <v>-2.967158882</v>
      </c>
      <c r="M94" s="45">
        <f>('Cy Young Rank'!O$1-G94)*E94/9</f>
        <v>9.968141455</v>
      </c>
      <c r="N94" s="42"/>
      <c r="O94" s="66"/>
      <c r="P94" s="42"/>
      <c r="Q94" s="67"/>
      <c r="R94" s="67"/>
    </row>
    <row r="95">
      <c r="A95" s="1" t="s">
        <v>77</v>
      </c>
      <c r="B95" s="38">
        <v>657277.0</v>
      </c>
      <c r="C95" s="44" t="s">
        <v>532</v>
      </c>
      <c r="D95" s="38">
        <v>770.0</v>
      </c>
      <c r="E95" s="39">
        <f>IFERROR(__xludf.DUMMYFUNCTION("sum(filter('PLA Sheet'!H:H,'PLA Sheet'!C:C=B95,'PLA Sheet'!D:D=C95))"),49.98292683)</f>
        <v>49.98292683</v>
      </c>
      <c r="F95" s="40">
        <v>5.393859931</v>
      </c>
      <c r="G95" s="40">
        <f>IFERROR(__xludf.DUMMYFUNCTION("sum(filter('PLA Sheet'!J:J,'PLA Sheet'!C:C=B95,'PLA Sheet'!D:D=C95))/E95*9"),2.093625296412039)</f>
        <v>2.093625296</v>
      </c>
      <c r="H95" s="41">
        <v>0.527272727</v>
      </c>
      <c r="I95" s="41">
        <v>0.228571429</v>
      </c>
      <c r="J95" s="41">
        <v>0.244155844</v>
      </c>
      <c r="K95" s="41">
        <f t="shared" si="1"/>
        <v>0.283116883</v>
      </c>
      <c r="L95" s="42">
        <v>2.285302683</v>
      </c>
      <c r="M95" s="45">
        <f>('Cy Young Rank'!O$1-G95)*E95/9</f>
        <v>10.92057366</v>
      </c>
      <c r="N95" s="42"/>
      <c r="O95" s="66"/>
      <c r="P95" s="42"/>
      <c r="Q95" s="67"/>
      <c r="R95" s="67"/>
    </row>
    <row r="96">
      <c r="A96" s="1" t="s">
        <v>542</v>
      </c>
      <c r="B96" s="38">
        <v>621237.0</v>
      </c>
      <c r="C96" s="44" t="s">
        <v>536</v>
      </c>
      <c r="D96" s="38">
        <v>281.0</v>
      </c>
      <c r="E96" s="39">
        <f>IFERROR(__xludf.DUMMYFUNCTION("sum(filter('PLA Sheet'!H:H,'PLA Sheet'!C:C=B96,'PLA Sheet'!D:D=C96))"),16.498905907)</f>
        <v>16.49890591</v>
      </c>
      <c r="F96" s="40">
        <v>5.393505956</v>
      </c>
      <c r="G96" s="40">
        <f>IFERROR(__xludf.DUMMYFUNCTION("sum(filter('PLA Sheet'!J:J,'PLA Sheet'!C:C=B96,'PLA Sheet'!D:D=C96))/E96*9"),2.4116586411416767)</f>
        <v>2.411658641</v>
      </c>
      <c r="H96" s="41">
        <v>0.56227758</v>
      </c>
      <c r="I96" s="41">
        <v>0.12455516</v>
      </c>
      <c r="J96" s="41">
        <v>0.31316726</v>
      </c>
      <c r="K96" s="41">
        <f t="shared" si="1"/>
        <v>0.24911032</v>
      </c>
      <c r="L96" s="42">
        <v>-5.085229871</v>
      </c>
      <c r="M96" s="45">
        <f>('Cy Young Rank'!O$1-G96)*E96/9</f>
        <v>3.021758776</v>
      </c>
      <c r="N96" s="42"/>
      <c r="O96" s="66"/>
      <c r="P96" s="42"/>
      <c r="Q96" s="67"/>
      <c r="R96" s="67"/>
    </row>
    <row r="97">
      <c r="A97" s="1" t="s">
        <v>177</v>
      </c>
      <c r="B97" s="38">
        <v>641793.0</v>
      </c>
      <c r="C97" s="44" t="s">
        <v>533</v>
      </c>
      <c r="D97" s="38">
        <v>742.0</v>
      </c>
      <c r="E97" s="39">
        <f>IFERROR(__xludf.DUMMYFUNCTION("sum(filter('PLA Sheet'!H:H,'PLA Sheet'!C:C=B97,'PLA Sheet'!D:D=C97))"),51.27468581)</f>
        <v>51.27468581</v>
      </c>
      <c r="F97" s="40">
        <v>5.391920041</v>
      </c>
      <c r="G97" s="40">
        <f>IFERROR(__xludf.DUMMYFUNCTION("sum(filter('PLA Sheet'!J:J,'PLA Sheet'!C:C=B97,'PLA Sheet'!D:D=C97))/E97*9"),2.143563363942922)</f>
        <v>2.143563364</v>
      </c>
      <c r="H97" s="41">
        <v>0.544474394</v>
      </c>
      <c r="I97" s="41">
        <v>0.176549865</v>
      </c>
      <c r="J97" s="41">
        <v>0.278975741</v>
      </c>
      <c r="K97" s="41">
        <f t="shared" si="1"/>
        <v>0.265498653</v>
      </c>
      <c r="L97" s="42">
        <v>-9.985385837</v>
      </c>
      <c r="M97" s="45">
        <f>('Cy Young Rank'!O$1-G97)*E97/9</f>
        <v>10.91829849</v>
      </c>
      <c r="N97" s="42"/>
      <c r="O97" s="66"/>
      <c r="P97" s="42"/>
      <c r="Q97" s="67"/>
      <c r="R97" s="67"/>
    </row>
    <row r="98">
      <c r="A98" s="1" t="s">
        <v>85</v>
      </c>
      <c r="B98" s="38">
        <v>808967.0</v>
      </c>
      <c r="C98" s="44" t="s">
        <v>537</v>
      </c>
      <c r="D98" s="38">
        <v>969.0</v>
      </c>
      <c r="E98" s="39">
        <f>IFERROR(__xludf.DUMMYFUNCTION("sum(filter('PLA Sheet'!H:H,'PLA Sheet'!C:C=B98,'PLA Sheet'!D:D=C98))"),61.97931611)</f>
        <v>61.97931611</v>
      </c>
      <c r="F98" s="40">
        <v>5.391281567</v>
      </c>
      <c r="G98" s="40">
        <f>IFERROR(__xludf.DUMMYFUNCTION("sum(filter('PLA Sheet'!J:J,'PLA Sheet'!C:C=B98,'PLA Sheet'!D:D=C98))/E98*9"),2.359005603425978)</f>
        <v>2.359005603</v>
      </c>
      <c r="H98" s="41">
        <v>0.575851393</v>
      </c>
      <c r="I98" s="41">
        <v>0.124871001</v>
      </c>
      <c r="J98" s="41">
        <v>0.299277606</v>
      </c>
      <c r="K98" s="41">
        <f t="shared" si="1"/>
        <v>0.276573787</v>
      </c>
      <c r="L98" s="42">
        <v>12.68343271</v>
      </c>
      <c r="M98" s="45">
        <f>('Cy Young Rank'!O$1-G98)*E98/9</f>
        <v>11.71405216</v>
      </c>
      <c r="N98" s="42"/>
      <c r="O98" s="66"/>
      <c r="P98" s="42"/>
      <c r="Q98" s="67"/>
      <c r="R98" s="67"/>
    </row>
    <row r="99">
      <c r="A99" s="1" t="s">
        <v>188</v>
      </c>
      <c r="B99" s="38">
        <v>694819.0</v>
      </c>
      <c r="C99" s="44" t="s">
        <v>537</v>
      </c>
      <c r="D99" s="38">
        <v>620.0</v>
      </c>
      <c r="E99" s="39">
        <f>IFERROR(__xludf.DUMMYFUNCTION("sum(filter('PLA Sheet'!H:H,'PLA Sheet'!C:C=B99,'PLA Sheet'!D:D=C99))"),36.402061849999996)</f>
        <v>36.40206185</v>
      </c>
      <c r="F99" s="40">
        <v>5.390998947</v>
      </c>
      <c r="G99" s="40">
        <f>IFERROR(__xludf.DUMMYFUNCTION("sum(filter('PLA Sheet'!J:J,'PLA Sheet'!C:C=B99,'PLA Sheet'!D:D=C99))/E99*9"),2.8272699613579717)</f>
        <v>2.827269961</v>
      </c>
      <c r="H99" s="41">
        <v>0.587096774</v>
      </c>
      <c r="I99" s="41">
        <v>0.138709677</v>
      </c>
      <c r="J99" s="41">
        <v>0.274193548</v>
      </c>
      <c r="K99" s="41">
        <f t="shared" si="1"/>
        <v>0.312903226</v>
      </c>
      <c r="L99" s="42">
        <v>5.827255265</v>
      </c>
      <c r="M99" s="45">
        <f>('Cy Young Rank'!O$1-G99)*E99/9</f>
        <v>4.985990568</v>
      </c>
      <c r="N99" s="42"/>
      <c r="O99" s="66"/>
      <c r="P99" s="42"/>
      <c r="Q99" s="67"/>
      <c r="R99" s="67"/>
    </row>
    <row r="100">
      <c r="A100" s="1" t="s">
        <v>79</v>
      </c>
      <c r="B100" s="38">
        <v>554430.0</v>
      </c>
      <c r="C100" s="44" t="s">
        <v>539</v>
      </c>
      <c r="D100" s="38">
        <v>345.0</v>
      </c>
      <c r="E100" s="39">
        <f>IFERROR(__xludf.DUMMYFUNCTION("sum(filter('PLA Sheet'!H:H,'PLA Sheet'!C:C=B100,'PLA Sheet'!D:D=C100))"),22.131161232)</f>
        <v>22.13116123</v>
      </c>
      <c r="F100" s="40">
        <v>5.387716785</v>
      </c>
      <c r="G100" s="40">
        <f>IFERROR(__xludf.DUMMYFUNCTION("sum(filter('PLA Sheet'!J:J,'PLA Sheet'!C:C=B100,'PLA Sheet'!D:D=C100))/E100*9"),2.0731744041364815)</f>
        <v>2.073174404</v>
      </c>
      <c r="H100" s="41">
        <v>0.504347826</v>
      </c>
      <c r="I100" s="41">
        <v>0.185507246</v>
      </c>
      <c r="J100" s="41">
        <v>0.310144928</v>
      </c>
      <c r="K100" s="41">
        <f t="shared" si="1"/>
        <v>0.194202898</v>
      </c>
      <c r="L100" s="42">
        <v>3.270585902</v>
      </c>
      <c r="M100" s="45">
        <f>('Cy Young Rank'!O$1-G100)*E100/9</f>
        <v>4.885639734</v>
      </c>
      <c r="N100" s="42"/>
      <c r="O100" s="66"/>
      <c r="P100" s="42"/>
      <c r="Q100" s="67"/>
      <c r="R100" s="67"/>
    </row>
    <row r="101">
      <c r="A101" s="1" t="s">
        <v>67</v>
      </c>
      <c r="B101" s="38">
        <v>684007.0</v>
      </c>
      <c r="C101" s="44" t="s">
        <v>539</v>
      </c>
      <c r="D101" s="38">
        <v>359.0</v>
      </c>
      <c r="E101" s="39">
        <f>IFERROR(__xludf.DUMMYFUNCTION("sum(filter('PLA Sheet'!H:H,'PLA Sheet'!C:C=B101,'PLA Sheet'!D:D=C101))"),24.3551058)</f>
        <v>24.3551058</v>
      </c>
      <c r="F101" s="40">
        <v>5.387640989</v>
      </c>
      <c r="G101" s="40">
        <f>IFERROR(__xludf.DUMMYFUNCTION("sum(filter('PLA Sheet'!J:J,'PLA Sheet'!C:C=B101,'PLA Sheet'!D:D=C101))/E101*9"),2.0144983315982965)</f>
        <v>2.014498332</v>
      </c>
      <c r="H101" s="41">
        <v>0.548746518</v>
      </c>
      <c r="I101" s="41">
        <v>0.169916435</v>
      </c>
      <c r="J101" s="41">
        <v>0.281337047</v>
      </c>
      <c r="K101" s="41">
        <f t="shared" si="1"/>
        <v>0.267409471</v>
      </c>
      <c r="L101" s="42">
        <v>4.774222853</v>
      </c>
      <c r="M101" s="45">
        <f>('Cy Young Rank'!O$1-G101)*E101/9</f>
        <v>5.535378839</v>
      </c>
      <c r="N101" s="42"/>
      <c r="O101" s="66"/>
      <c r="P101" s="42"/>
      <c r="Q101" s="67"/>
      <c r="R101" s="67"/>
    </row>
    <row r="102">
      <c r="A102" s="1" t="s">
        <v>157</v>
      </c>
      <c r="B102" s="38">
        <v>660825.0</v>
      </c>
      <c r="C102" s="44" t="s">
        <v>533</v>
      </c>
      <c r="D102" s="38">
        <v>497.0</v>
      </c>
      <c r="E102" s="39">
        <f>IFERROR(__xludf.DUMMYFUNCTION("sum(filter('PLA Sheet'!H:H,'PLA Sheet'!C:C=B102,'PLA Sheet'!D:D=C102))"),33.92702332)</f>
        <v>33.92702332</v>
      </c>
      <c r="F102" s="40">
        <v>5.386704024</v>
      </c>
      <c r="G102" s="40">
        <f>IFERROR(__xludf.DUMMYFUNCTION("sum(filter('PLA Sheet'!J:J,'PLA Sheet'!C:C=B102,'PLA Sheet'!D:D=C102))/E102*9"),2.1386351026329886)</f>
        <v>2.138635103</v>
      </c>
      <c r="H102" s="41">
        <v>0.523138833</v>
      </c>
      <c r="I102" s="41">
        <v>0.201207243</v>
      </c>
      <c r="J102" s="41">
        <v>0.275653924</v>
      </c>
      <c r="K102" s="41">
        <f t="shared" si="1"/>
        <v>0.247484909</v>
      </c>
      <c r="L102" s="42">
        <v>7.877980841</v>
      </c>
      <c r="M102" s="45">
        <f>('Cy Young Rank'!O$1-G102)*E102/9</f>
        <v>7.242910187</v>
      </c>
      <c r="N102" s="42"/>
      <c r="O102" s="66"/>
      <c r="P102" s="42"/>
      <c r="Q102" s="67"/>
      <c r="R102" s="67"/>
    </row>
    <row r="103">
      <c r="A103" s="1" t="s">
        <v>213</v>
      </c>
      <c r="B103" s="38">
        <v>686993.0</v>
      </c>
      <c r="C103" s="44" t="s">
        <v>537</v>
      </c>
      <c r="D103" s="38">
        <v>555.0</v>
      </c>
      <c r="E103" s="39">
        <f>IFERROR(__xludf.DUMMYFUNCTION("sum(filter('PLA Sheet'!H:H,'PLA Sheet'!C:C=B103,'PLA Sheet'!D:D=C103))"),33.902663)</f>
        <v>33.902663</v>
      </c>
      <c r="F103" s="40">
        <v>5.385996819</v>
      </c>
      <c r="G103" s="40">
        <f>IFERROR(__xludf.DUMMYFUNCTION("sum(filter('PLA Sheet'!J:J,'PLA Sheet'!C:C=B103,'PLA Sheet'!D:D=C103))/E103*9"),2.5690138559322024)</f>
        <v>2.569013856</v>
      </c>
      <c r="H103" s="41">
        <v>0.598198198</v>
      </c>
      <c r="I103" s="41">
        <v>0.102702703</v>
      </c>
      <c r="J103" s="41">
        <v>0.299099099</v>
      </c>
      <c r="K103" s="41">
        <f t="shared" si="1"/>
        <v>0.299099099</v>
      </c>
      <c r="L103" s="42">
        <v>4.418661508</v>
      </c>
      <c r="M103" s="45">
        <f>('Cy Young Rank'!O$1-G103)*E103/9</f>
        <v>5.616488976</v>
      </c>
      <c r="N103" s="42"/>
      <c r="O103" s="66"/>
      <c r="P103" s="42"/>
      <c r="Q103" s="67"/>
      <c r="R103" s="67"/>
    </row>
    <row r="104">
      <c r="A104" s="1" t="s">
        <v>53</v>
      </c>
      <c r="B104" s="38">
        <v>642100.0</v>
      </c>
      <c r="C104" s="44" t="s">
        <v>537</v>
      </c>
      <c r="D104" s="38">
        <v>396.0</v>
      </c>
      <c r="E104" s="39">
        <f>IFERROR(__xludf.DUMMYFUNCTION("sum(filter('PLA Sheet'!H:H,'PLA Sheet'!C:C=B104,'PLA Sheet'!D:D=C104))"),27.593406598)</f>
        <v>27.5934066</v>
      </c>
      <c r="F104" s="40">
        <v>5.385846149</v>
      </c>
      <c r="G104" s="40">
        <f>IFERROR(__xludf.DUMMYFUNCTION("sum(filter('PLA Sheet'!J:J,'PLA Sheet'!C:C=B104,'PLA Sheet'!D:D=C104))/E104*9"),2.3141512003316147)</f>
        <v>2.3141512</v>
      </c>
      <c r="H104" s="41">
        <v>0.547979798</v>
      </c>
      <c r="I104" s="41">
        <v>0.179292929</v>
      </c>
      <c r="J104" s="41">
        <v>0.272727273</v>
      </c>
      <c r="K104" s="41">
        <f t="shared" si="1"/>
        <v>0.275252525</v>
      </c>
      <c r="L104" s="42">
        <v>4.565788821</v>
      </c>
      <c r="M104" s="45">
        <f>('Cy Young Rank'!O$1-G104)*E104/9</f>
        <v>5.35265731</v>
      </c>
      <c r="N104" s="42"/>
      <c r="O104" s="66"/>
      <c r="P104" s="42"/>
      <c r="Q104" s="67"/>
      <c r="R104" s="67"/>
    </row>
    <row r="105">
      <c r="A105" s="1" t="s">
        <v>343</v>
      </c>
      <c r="B105" s="38">
        <v>682243.0</v>
      </c>
      <c r="C105" s="44" t="s">
        <v>537</v>
      </c>
      <c r="D105" s="38">
        <v>614.0</v>
      </c>
      <c r="E105" s="39">
        <f>IFERROR(__xludf.DUMMYFUNCTION("sum(filter('PLA Sheet'!H:H,'PLA Sheet'!C:C=B105,'PLA Sheet'!D:D=C105))"),37.02377864)</f>
        <v>37.02377864</v>
      </c>
      <c r="F105" s="40">
        <v>5.384227551</v>
      </c>
      <c r="G105" s="40">
        <f>IFERROR(__xludf.DUMMYFUNCTION("sum(filter('PLA Sheet'!J:J,'PLA Sheet'!C:C=B105,'PLA Sheet'!D:D=C105))/E105*9"),2.5304449583863433)</f>
        <v>2.530444958</v>
      </c>
      <c r="H105" s="41">
        <v>0.594462541</v>
      </c>
      <c r="I105" s="41">
        <v>0.117263844</v>
      </c>
      <c r="J105" s="41">
        <v>0.288273616</v>
      </c>
      <c r="K105" s="41">
        <f t="shared" si="1"/>
        <v>0.306188925</v>
      </c>
      <c r="L105" s="42">
        <v>-4.320675313</v>
      </c>
      <c r="M105" s="45">
        <f>('Cy Young Rank'!O$1-G105)*E105/9</f>
        <v>6.29221192</v>
      </c>
      <c r="N105" s="42"/>
      <c r="O105" s="66"/>
      <c r="P105" s="42"/>
      <c r="Q105" s="67"/>
      <c r="R105" s="67"/>
    </row>
    <row r="106">
      <c r="A106" s="1" t="s">
        <v>110</v>
      </c>
      <c r="B106" s="38">
        <v>687330.0</v>
      </c>
      <c r="C106" s="44" t="s">
        <v>536</v>
      </c>
      <c r="D106" s="38">
        <v>330.0</v>
      </c>
      <c r="E106" s="39">
        <f>IFERROR(__xludf.DUMMYFUNCTION("sum(filter('PLA Sheet'!H:H,'PLA Sheet'!C:C=B106,'PLA Sheet'!D:D=C106))"),23.341269837)</f>
        <v>23.34126984</v>
      </c>
      <c r="F106" s="40">
        <v>5.383569978</v>
      </c>
      <c r="G106" s="40">
        <f>IFERROR(__xludf.DUMMYFUNCTION("sum(filter('PLA Sheet'!J:J,'PLA Sheet'!C:C=B106,'PLA Sheet'!D:D=C106))/E106*9"),2.1134999228619735)</f>
        <v>2.113499923</v>
      </c>
      <c r="H106" s="41">
        <v>0.609090909</v>
      </c>
      <c r="I106" s="41">
        <v>0.160606061</v>
      </c>
      <c r="J106" s="41">
        <v>0.23030303</v>
      </c>
      <c r="K106" s="41">
        <f t="shared" si="1"/>
        <v>0.378787879</v>
      </c>
      <c r="L106" s="42">
        <v>-2.863772374</v>
      </c>
      <c r="M106" s="45">
        <f>('Cy Young Rank'!O$1-G106)*E106/9</f>
        <v>5.048198171</v>
      </c>
      <c r="N106" s="42"/>
      <c r="O106" s="66"/>
      <c r="P106" s="42"/>
      <c r="Q106" s="67"/>
      <c r="R106" s="67"/>
    </row>
    <row r="107">
      <c r="A107" s="1" t="s">
        <v>129</v>
      </c>
      <c r="B107" s="38">
        <v>686752.0</v>
      </c>
      <c r="C107" s="44" t="s">
        <v>532</v>
      </c>
      <c r="D107" s="38">
        <v>662.0</v>
      </c>
      <c r="E107" s="39">
        <f>IFERROR(__xludf.DUMMYFUNCTION("sum(filter('PLA Sheet'!H:H,'PLA Sheet'!C:C=B107,'PLA Sheet'!D:D=C107))"),41.994318879999994)</f>
        <v>41.99431888</v>
      </c>
      <c r="F107" s="40">
        <v>5.379621973</v>
      </c>
      <c r="G107" s="40">
        <f>IFERROR(__xludf.DUMMYFUNCTION("sum(filter('PLA Sheet'!J:J,'PLA Sheet'!C:C=B107,'PLA Sheet'!D:D=C107))/E107*9"),2.126067653463511)</f>
        <v>2.126067653</v>
      </c>
      <c r="H107" s="41">
        <v>0.509063444</v>
      </c>
      <c r="I107" s="41">
        <v>0.193353474</v>
      </c>
      <c r="J107" s="41">
        <v>0.297583082</v>
      </c>
      <c r="K107" s="41">
        <f t="shared" si="1"/>
        <v>0.211480362</v>
      </c>
      <c r="L107" s="42">
        <v>3.669443791</v>
      </c>
      <c r="M107" s="45">
        <f>('Cy Young Rank'!O$1-G107)*E107/9</f>
        <v>9.02379685</v>
      </c>
      <c r="N107" s="42"/>
      <c r="O107" s="66"/>
      <c r="P107" s="42"/>
      <c r="Q107" s="67"/>
      <c r="R107" s="67"/>
    </row>
    <row r="108">
      <c r="A108" s="1" t="s">
        <v>268</v>
      </c>
      <c r="B108" s="38">
        <v>676395.0</v>
      </c>
      <c r="C108" s="44" t="s">
        <v>533</v>
      </c>
      <c r="D108" s="38">
        <v>255.0</v>
      </c>
      <c r="E108" s="39">
        <f>IFERROR(__xludf.DUMMYFUNCTION("sum(filter('PLA Sheet'!H:H,'PLA Sheet'!C:C=B108,'PLA Sheet'!D:D=C108))"),17.202883625)</f>
        <v>17.20288363</v>
      </c>
      <c r="F108" s="40">
        <v>5.379208923</v>
      </c>
      <c r="G108" s="40">
        <f>IFERROR(__xludf.DUMMYFUNCTION("sum(filter('PLA Sheet'!J:J,'PLA Sheet'!C:C=B108,'PLA Sheet'!D:D=C108))/E108*9"),2.12577116704177)</f>
        <v>2.125771167</v>
      </c>
      <c r="H108" s="41">
        <v>0.568627451</v>
      </c>
      <c r="I108" s="41">
        <v>0.180392157</v>
      </c>
      <c r="J108" s="41">
        <v>0.250980392</v>
      </c>
      <c r="K108" s="41">
        <f t="shared" si="1"/>
        <v>0.317647059</v>
      </c>
      <c r="L108" s="42">
        <v>-7.70414966</v>
      </c>
      <c r="M108" s="45">
        <f>('Cy Young Rank'!O$1-G108)*E108/9</f>
        <v>3.697145946</v>
      </c>
      <c r="N108" s="42"/>
      <c r="O108" s="66"/>
      <c r="P108" s="42"/>
      <c r="Q108" s="67"/>
      <c r="R108" s="67"/>
    </row>
    <row r="109">
      <c r="A109" s="1" t="s">
        <v>223</v>
      </c>
      <c r="B109" s="38">
        <v>694335.0</v>
      </c>
      <c r="C109" s="44" t="s">
        <v>539</v>
      </c>
      <c r="D109" s="38">
        <v>329.0</v>
      </c>
      <c r="E109" s="39">
        <f>IFERROR(__xludf.DUMMYFUNCTION("sum(filter('PLA Sheet'!H:H,'PLA Sheet'!C:C=B109,'PLA Sheet'!D:D=C109))"),21.091632084)</f>
        <v>21.09163208</v>
      </c>
      <c r="F109" s="40">
        <v>5.378606585</v>
      </c>
      <c r="G109" s="40">
        <f>IFERROR(__xludf.DUMMYFUNCTION("sum(filter('PLA Sheet'!J:J,'PLA Sheet'!C:C=B109,'PLA Sheet'!D:D=C109))/E109*9"),2.116590969452073)</f>
        <v>2.116590969</v>
      </c>
      <c r="H109" s="41">
        <v>0.504559271</v>
      </c>
      <c r="I109" s="41">
        <v>0.23100304</v>
      </c>
      <c r="J109" s="41">
        <v>0.26443769</v>
      </c>
      <c r="K109" s="41">
        <f t="shared" si="1"/>
        <v>0.240121581</v>
      </c>
      <c r="L109" s="42">
        <v>7.619240186</v>
      </c>
      <c r="M109" s="45">
        <f>('Cy Young Rank'!O$1-G109)*E109/9</f>
        <v>4.554407585</v>
      </c>
      <c r="N109" s="42"/>
      <c r="O109" s="66"/>
      <c r="P109" s="42"/>
      <c r="Q109" s="67"/>
      <c r="R109" s="67"/>
    </row>
    <row r="110">
      <c r="A110" s="1" t="s">
        <v>137</v>
      </c>
      <c r="B110" s="38">
        <v>453286.0</v>
      </c>
      <c r="C110" s="44" t="s">
        <v>533</v>
      </c>
      <c r="D110" s="38">
        <v>315.0</v>
      </c>
      <c r="E110" s="39">
        <f>IFERROR(__xludf.DUMMYFUNCTION("sum(filter('PLA Sheet'!H:H,'PLA Sheet'!C:C=B110,'PLA Sheet'!D:D=C110))"),19.751798559)</f>
        <v>19.75179856</v>
      </c>
      <c r="F110" s="40">
        <v>5.378453102</v>
      </c>
      <c r="G110" s="40">
        <f>IFERROR(__xludf.DUMMYFUNCTION("sum(filter('PLA Sheet'!J:J,'PLA Sheet'!C:C=B110,'PLA Sheet'!D:D=C110))/E110*9"),2.312860920667108)</f>
        <v>2.312860921</v>
      </c>
      <c r="H110" s="41">
        <v>0.504761905</v>
      </c>
      <c r="I110" s="41">
        <v>0.228571429</v>
      </c>
      <c r="J110" s="41">
        <v>0.266666667</v>
      </c>
      <c r="K110" s="41">
        <f t="shared" si="1"/>
        <v>0.238095238</v>
      </c>
      <c r="L110" s="42">
        <v>-0.913426754</v>
      </c>
      <c r="M110" s="45">
        <f>('Cy Young Rank'!O$1-G110)*E110/9</f>
        <v>3.834348794</v>
      </c>
      <c r="N110" s="42"/>
      <c r="O110" s="66"/>
      <c r="P110" s="42"/>
      <c r="Q110" s="67"/>
      <c r="R110" s="67"/>
    </row>
    <row r="111">
      <c r="A111" s="1" t="s">
        <v>263</v>
      </c>
      <c r="B111" s="38">
        <v>694297.0</v>
      </c>
      <c r="C111" s="44" t="s">
        <v>540</v>
      </c>
      <c r="D111" s="38">
        <v>251.0</v>
      </c>
      <c r="E111" s="39">
        <f>IFERROR(__xludf.DUMMYFUNCTION("sum(filter('PLA Sheet'!H:H,'PLA Sheet'!C:C=B111,'PLA Sheet'!D:D=C111))"),15.801919127000001)</f>
        <v>15.80191913</v>
      </c>
      <c r="F111" s="40">
        <v>5.377975418</v>
      </c>
      <c r="G111" s="40">
        <f>IFERROR(__xludf.DUMMYFUNCTION("sum(filter('PLA Sheet'!J:J,'PLA Sheet'!C:C=B111,'PLA Sheet'!D:D=C111))/E111*9"),2.441441048390198)</f>
        <v>2.441441048</v>
      </c>
      <c r="H111" s="41">
        <v>0.537848606</v>
      </c>
      <c r="I111" s="41">
        <v>0.187250996</v>
      </c>
      <c r="J111" s="41">
        <v>0.274900398</v>
      </c>
      <c r="K111" s="41">
        <f t="shared" si="1"/>
        <v>0.262948208</v>
      </c>
      <c r="L111" s="42">
        <v>1.477189591</v>
      </c>
      <c r="M111" s="45">
        <f>('Cy Young Rank'!O$1-G111)*E111/9</f>
        <v>2.841815295</v>
      </c>
      <c r="N111" s="42"/>
      <c r="O111" s="66"/>
      <c r="P111" s="42"/>
      <c r="Q111" s="67"/>
      <c r="R111" s="67"/>
    </row>
    <row r="112">
      <c r="A112" s="1" t="s">
        <v>53</v>
      </c>
      <c r="B112" s="38">
        <v>642100.0</v>
      </c>
      <c r="C112" s="44" t="s">
        <v>536</v>
      </c>
      <c r="D112" s="38">
        <v>261.0</v>
      </c>
      <c r="E112" s="39">
        <f>IFERROR(__xludf.DUMMYFUNCTION("sum(filter('PLA Sheet'!H:H,'PLA Sheet'!C:C=B112,'PLA Sheet'!D:D=C112))"),18.259340659)</f>
        <v>18.25934066</v>
      </c>
      <c r="F112" s="40">
        <v>5.377623036</v>
      </c>
      <c r="G112" s="40">
        <f>IFERROR(__xludf.DUMMYFUNCTION("sum(filter('PLA Sheet'!J:J,'PLA Sheet'!C:C=B112,'PLA Sheet'!D:D=C112))/E112*9"),2.19301790507221)</f>
        <v>2.193017905</v>
      </c>
      <c r="H112" s="41">
        <v>0.582375479</v>
      </c>
      <c r="I112" s="41">
        <v>0.157088123</v>
      </c>
      <c r="J112" s="41">
        <v>0.260536398</v>
      </c>
      <c r="K112" s="41">
        <f t="shared" si="1"/>
        <v>0.321839081</v>
      </c>
      <c r="L112" s="42">
        <v>1.884388458</v>
      </c>
      <c r="M112" s="45">
        <f>('Cy Young Rank'!O$1-G112)*E112/9</f>
        <v>3.787762453</v>
      </c>
      <c r="N112" s="42"/>
      <c r="O112" s="66"/>
      <c r="P112" s="42"/>
      <c r="Q112" s="67"/>
      <c r="R112" s="67"/>
    </row>
    <row r="113">
      <c r="A113" s="1" t="s">
        <v>344</v>
      </c>
      <c r="B113" s="38">
        <v>701542.0</v>
      </c>
      <c r="C113" s="44" t="s">
        <v>539</v>
      </c>
      <c r="D113" s="38">
        <v>564.0</v>
      </c>
      <c r="E113" s="39">
        <f>IFERROR(__xludf.DUMMYFUNCTION("sum(filter('PLA Sheet'!H:H,'PLA Sheet'!C:C=B113,'PLA Sheet'!D:D=C113))"),33.49827442)</f>
        <v>33.49827442</v>
      </c>
      <c r="F113" s="40">
        <v>5.377088419</v>
      </c>
      <c r="G113" s="40">
        <f>IFERROR(__xludf.DUMMYFUNCTION("sum(filter('PLA Sheet'!J:J,'PLA Sheet'!C:C=B113,'PLA Sheet'!D:D=C113))/E113*9"),2.3702943920178203)</f>
        <v>2.370294392</v>
      </c>
      <c r="H113" s="41">
        <v>0.535460993</v>
      </c>
      <c r="I113" s="41">
        <v>0.147163121</v>
      </c>
      <c r="J113" s="41">
        <v>0.317375887</v>
      </c>
      <c r="K113" s="41">
        <f t="shared" si="1"/>
        <v>0.218085106</v>
      </c>
      <c r="L113" s="42">
        <v>-17.31714578</v>
      </c>
      <c r="M113" s="45">
        <f>('Cy Young Rank'!O$1-G113)*E113/9</f>
        <v>6.289135794</v>
      </c>
      <c r="N113" s="42"/>
      <c r="O113" s="66"/>
      <c r="P113" s="42"/>
      <c r="Q113" s="67"/>
      <c r="R113" s="67"/>
    </row>
    <row r="114">
      <c r="A114" s="1" t="s">
        <v>331</v>
      </c>
      <c r="B114" s="38">
        <v>672456.0</v>
      </c>
      <c r="C114" s="44" t="s">
        <v>533</v>
      </c>
      <c r="D114" s="38">
        <v>315.0</v>
      </c>
      <c r="E114" s="39">
        <f>IFERROR(__xludf.DUMMYFUNCTION("sum(filter('PLA Sheet'!H:H,'PLA Sheet'!C:C=B114,'PLA Sheet'!D:D=C114))"),19.881421136)</f>
        <v>19.88142114</v>
      </c>
      <c r="F114" s="40">
        <v>5.376765247</v>
      </c>
      <c r="G114" s="40">
        <f>IFERROR(__xludf.DUMMYFUNCTION("sum(filter('PLA Sheet'!J:J,'PLA Sheet'!C:C=B114,'PLA Sheet'!D:D=C114))/E114*9"),2.274031503619973)</f>
        <v>2.274031504</v>
      </c>
      <c r="H114" s="41">
        <v>0.514285714</v>
      </c>
      <c r="I114" s="41">
        <v>0.19047619</v>
      </c>
      <c r="J114" s="41">
        <v>0.295238095</v>
      </c>
      <c r="K114" s="41">
        <f t="shared" si="1"/>
        <v>0.219047619</v>
      </c>
      <c r="L114" s="42">
        <v>-7.211124013</v>
      </c>
      <c r="M114" s="45">
        <f>('Cy Young Rank'!O$1-G114)*E114/9</f>
        <v>3.945287979</v>
      </c>
      <c r="N114" s="42"/>
      <c r="O114" s="66"/>
      <c r="P114" s="42"/>
      <c r="Q114" s="67"/>
      <c r="R114" s="67"/>
    </row>
    <row r="115">
      <c r="A115" s="1" t="s">
        <v>170</v>
      </c>
      <c r="B115" s="38">
        <v>681517.0</v>
      </c>
      <c r="C115" s="44" t="s">
        <v>533</v>
      </c>
      <c r="D115" s="38">
        <v>282.0</v>
      </c>
      <c r="E115" s="39">
        <f>IFERROR(__xludf.DUMMYFUNCTION("sum(filter('PLA Sheet'!H:H,'PLA Sheet'!C:C=B115,'PLA Sheet'!D:D=C115))"),18.773333334)</f>
        <v>18.77333333</v>
      </c>
      <c r="F115" s="40">
        <v>5.376370965</v>
      </c>
      <c r="G115" s="40">
        <f>IFERROR(__xludf.DUMMYFUNCTION("sum(filter('PLA Sheet'!J:J,'PLA Sheet'!C:C=B115,'PLA Sheet'!D:D=C115))/E115*9"),2.2284938031879085)</f>
        <v>2.228493803</v>
      </c>
      <c r="H115" s="41">
        <v>0.563829787</v>
      </c>
      <c r="I115" s="41">
        <v>0.163120567</v>
      </c>
      <c r="J115" s="41">
        <v>0.273049645</v>
      </c>
      <c r="K115" s="41">
        <f t="shared" si="1"/>
        <v>0.290780142</v>
      </c>
      <c r="L115" s="42">
        <v>-4.401950958</v>
      </c>
      <c r="M115" s="45">
        <f>('Cy Young Rank'!O$1-G115)*E115/9</f>
        <v>3.82038626</v>
      </c>
      <c r="N115" s="42"/>
      <c r="O115" s="66"/>
      <c r="P115" s="42"/>
      <c r="Q115" s="67"/>
      <c r="R115" s="67"/>
    </row>
    <row r="116">
      <c r="A116" s="1" t="s">
        <v>130</v>
      </c>
      <c r="B116" s="38">
        <v>666200.0</v>
      </c>
      <c r="C116" s="44" t="s">
        <v>539</v>
      </c>
      <c r="D116" s="38">
        <v>895.0</v>
      </c>
      <c r="E116" s="39">
        <f>IFERROR(__xludf.DUMMYFUNCTION("sum(filter('PLA Sheet'!H:H,'PLA Sheet'!C:C=B116,'PLA Sheet'!D:D=C116))"),56.38621529)</f>
        <v>56.38621529</v>
      </c>
      <c r="F116" s="40">
        <v>5.371178574</v>
      </c>
      <c r="G116" s="40">
        <f>IFERROR(__xludf.DUMMYFUNCTION("sum(filter('PLA Sheet'!J:J,'PLA Sheet'!C:C=B116,'PLA Sheet'!D:D=C116))/E116*9"),2.2364316056936047)</f>
        <v>2.236431606</v>
      </c>
      <c r="H116" s="41">
        <v>0.544134078</v>
      </c>
      <c r="I116" s="41">
        <v>0.195530726</v>
      </c>
      <c r="J116" s="41">
        <v>0.260335196</v>
      </c>
      <c r="K116" s="41">
        <f t="shared" si="1"/>
        <v>0.283798882</v>
      </c>
      <c r="L116" s="42">
        <v>9.067673833</v>
      </c>
      <c r="M116" s="45">
        <f>('Cy Young Rank'!O$1-G116)*E116/9</f>
        <v>11.42490223</v>
      </c>
      <c r="N116" s="42"/>
      <c r="O116" s="66"/>
      <c r="P116" s="42"/>
      <c r="Q116" s="67"/>
      <c r="R116" s="67"/>
    </row>
    <row r="117">
      <c r="A117" s="1" t="s">
        <v>440</v>
      </c>
      <c r="B117" s="38">
        <v>542888.0</v>
      </c>
      <c r="C117" s="44" t="s">
        <v>539</v>
      </c>
      <c r="D117" s="38">
        <v>252.0</v>
      </c>
      <c r="E117" s="39">
        <f>IFERROR(__xludf.DUMMYFUNCTION("sum(filter('PLA Sheet'!H:H,'PLA Sheet'!C:C=B117,'PLA Sheet'!D:D=C117))"),17.22470904)</f>
        <v>17.22470904</v>
      </c>
      <c r="F117" s="40">
        <v>5.368958541</v>
      </c>
      <c r="G117" s="40">
        <f>IFERROR(__xludf.DUMMYFUNCTION("sum(filter('PLA Sheet'!J:J,'PLA Sheet'!C:C=B117,'PLA Sheet'!D:D=C117))/E117*9"),2.0263958548701266)</f>
        <v>2.026395855</v>
      </c>
      <c r="H117" s="41">
        <v>0.551587302</v>
      </c>
      <c r="I117" s="41">
        <v>0.162698413</v>
      </c>
      <c r="J117" s="41">
        <v>0.285714286</v>
      </c>
      <c r="K117" s="41">
        <f t="shared" si="1"/>
        <v>0.265873016</v>
      </c>
      <c r="L117" s="42">
        <v>5.07658775</v>
      </c>
      <c r="M117" s="45">
        <f>('Cy Young Rank'!O$1-G117)*E117/9</f>
        <v>3.892026634</v>
      </c>
      <c r="N117" s="42"/>
      <c r="O117" s="66"/>
      <c r="P117" s="42"/>
      <c r="Q117" s="67"/>
      <c r="R117" s="67"/>
    </row>
    <row r="118">
      <c r="A118" s="1" t="s">
        <v>71</v>
      </c>
      <c r="B118" s="38">
        <v>573204.0</v>
      </c>
      <c r="C118" s="44" t="s">
        <v>537</v>
      </c>
      <c r="D118" s="38">
        <v>346.0</v>
      </c>
      <c r="E118" s="39">
        <f>IFERROR(__xludf.DUMMYFUNCTION("sum(filter('PLA Sheet'!H:H,'PLA Sheet'!C:C=B118,'PLA Sheet'!D:D=C118))"),24.40286055)</f>
        <v>24.40286055</v>
      </c>
      <c r="F118" s="40">
        <v>5.367178891</v>
      </c>
      <c r="G118" s="40">
        <f>IFERROR(__xludf.DUMMYFUNCTION("sum(filter('PLA Sheet'!J:J,'PLA Sheet'!C:C=B118,'PLA Sheet'!D:D=C118))/E118*9"),2.0803679919401907)</f>
        <v>2.080367992</v>
      </c>
      <c r="H118" s="41">
        <v>0.580924855</v>
      </c>
      <c r="I118" s="41">
        <v>0.144508671</v>
      </c>
      <c r="J118" s="41">
        <v>0.274566474</v>
      </c>
      <c r="K118" s="41">
        <f t="shared" si="1"/>
        <v>0.306358381</v>
      </c>
      <c r="L118" s="42">
        <v>-1.757502656</v>
      </c>
      <c r="M118" s="45">
        <f>('Cy Young Rank'!O$1-G118)*E118/9</f>
        <v>5.367631537</v>
      </c>
      <c r="N118" s="42"/>
      <c r="O118" s="66"/>
      <c r="P118" s="42"/>
      <c r="Q118" s="67"/>
      <c r="R118" s="67"/>
    </row>
    <row r="119">
      <c r="A119" s="1" t="s">
        <v>90</v>
      </c>
      <c r="B119" s="38">
        <v>693433.0</v>
      </c>
      <c r="C119" s="44" t="s">
        <v>537</v>
      </c>
      <c r="D119" s="38">
        <v>1253.0</v>
      </c>
      <c r="E119" s="39">
        <f>IFERROR(__xludf.DUMMYFUNCTION("sum(filter('PLA Sheet'!H:H,'PLA Sheet'!C:C=B119,'PLA Sheet'!D:D=C119))"),88.24367478)</f>
        <v>88.24367478</v>
      </c>
      <c r="F119" s="40">
        <v>5.366860313</v>
      </c>
      <c r="G119" s="40">
        <f>IFERROR(__xludf.DUMMYFUNCTION("sum(filter('PLA Sheet'!J:J,'PLA Sheet'!C:C=B119,'PLA Sheet'!D:D=C119))/E119*9"),2.5023944384742225)</f>
        <v>2.502394438</v>
      </c>
      <c r="H119" s="41">
        <v>0.563447725</v>
      </c>
      <c r="I119" s="41">
        <v>0.166799681</v>
      </c>
      <c r="J119" s="41">
        <v>0.269752594</v>
      </c>
      <c r="K119" s="41">
        <f t="shared" si="1"/>
        <v>0.293695131</v>
      </c>
      <c r="L119" s="42">
        <v>19.36512799</v>
      </c>
      <c r="M119" s="45">
        <f>('Cy Young Rank'!O$1-G119)*E119/9</f>
        <v>15.27209318</v>
      </c>
      <c r="N119" s="42"/>
      <c r="O119" s="66"/>
      <c r="P119" s="42"/>
      <c r="Q119" s="67"/>
      <c r="R119" s="67"/>
    </row>
    <row r="120">
      <c r="A120" s="1" t="s">
        <v>255</v>
      </c>
      <c r="B120" s="38">
        <v>688138.0</v>
      </c>
      <c r="C120" s="44" t="s">
        <v>540</v>
      </c>
      <c r="D120" s="38">
        <v>356.0</v>
      </c>
      <c r="E120" s="39">
        <f>IFERROR(__xludf.DUMMYFUNCTION("sum(filter('PLA Sheet'!H:H,'PLA Sheet'!C:C=B120,'PLA Sheet'!D:D=C120))"),21.944195316)</f>
        <v>21.94419532</v>
      </c>
      <c r="F120" s="40">
        <v>5.366615435</v>
      </c>
      <c r="G120" s="40">
        <f>IFERROR(__xludf.DUMMYFUNCTION("sum(filter('PLA Sheet'!J:J,'PLA Sheet'!C:C=B120,'PLA Sheet'!D:D=C120))/E120*9"),2.337588107530131)</f>
        <v>2.337588108</v>
      </c>
      <c r="H120" s="41">
        <v>0.581460674</v>
      </c>
      <c r="I120" s="41">
        <v>0.143258427</v>
      </c>
      <c r="J120" s="41">
        <v>0.275280899</v>
      </c>
      <c r="K120" s="41">
        <f t="shared" si="1"/>
        <v>0.306179775</v>
      </c>
      <c r="L120" s="42">
        <v>5.613316572</v>
      </c>
      <c r="M120" s="45">
        <f>('Cy Young Rank'!O$1-G120)*E120/9</f>
        <v>4.199660331</v>
      </c>
      <c r="N120" s="42"/>
      <c r="O120" s="66"/>
      <c r="P120" s="42"/>
      <c r="Q120" s="67"/>
      <c r="R120" s="67"/>
    </row>
    <row r="121">
      <c r="A121" s="1" t="s">
        <v>171</v>
      </c>
      <c r="B121" s="38">
        <v>665795.0</v>
      </c>
      <c r="C121" s="44" t="s">
        <v>536</v>
      </c>
      <c r="D121" s="38">
        <v>450.0</v>
      </c>
      <c r="E121" s="39">
        <f>IFERROR(__xludf.DUMMYFUNCTION("sum(filter('PLA Sheet'!H:H,'PLA Sheet'!C:C=B121,'PLA Sheet'!D:D=C121))"),28.46376167)</f>
        <v>28.46376167</v>
      </c>
      <c r="F121" s="40">
        <v>5.360393714</v>
      </c>
      <c r="G121" s="40">
        <f>IFERROR(__xludf.DUMMYFUNCTION("sum(filter('PLA Sheet'!J:J,'PLA Sheet'!C:C=B121,'PLA Sheet'!D:D=C121))/E121*9"),2.3132384877082903)</f>
        <v>2.313238488</v>
      </c>
      <c r="H121" s="41">
        <v>0.586666667</v>
      </c>
      <c r="I121" s="41">
        <v>0.135555556</v>
      </c>
      <c r="J121" s="41">
        <v>0.277777778</v>
      </c>
      <c r="K121" s="41">
        <f t="shared" si="1"/>
        <v>0.308888889</v>
      </c>
      <c r="L121" s="42">
        <v>-5.930454001</v>
      </c>
      <c r="M121" s="45">
        <f>('Cy Young Rank'!O$1-G121)*E121/9</f>
        <v>5.524378153</v>
      </c>
      <c r="N121" s="42"/>
      <c r="O121" s="66"/>
      <c r="P121" s="42"/>
      <c r="Q121" s="67"/>
      <c r="R121" s="67"/>
    </row>
    <row r="122">
      <c r="A122" s="1" t="s">
        <v>226</v>
      </c>
      <c r="B122" s="38">
        <v>607259.0</v>
      </c>
      <c r="C122" s="44" t="s">
        <v>533</v>
      </c>
      <c r="D122" s="38">
        <v>256.0</v>
      </c>
      <c r="E122" s="39">
        <f>IFERROR(__xludf.DUMMYFUNCTION("sum(filter('PLA Sheet'!H:H,'PLA Sheet'!C:C=B122,'PLA Sheet'!D:D=C122))"),16.900827514)</f>
        <v>16.90082751</v>
      </c>
      <c r="F122" s="40">
        <v>5.36027646</v>
      </c>
      <c r="G122" s="40">
        <f>IFERROR(__xludf.DUMMYFUNCTION("sum(filter('PLA Sheet'!J:J,'PLA Sheet'!C:C=B122,'PLA Sheet'!D:D=C122))/E122*9"),2.230985433628395)</f>
        <v>2.230985434</v>
      </c>
      <c r="H122" s="41">
        <v>0.515625</v>
      </c>
      <c r="I122" s="41">
        <v>0.2265625</v>
      </c>
      <c r="J122" s="41">
        <v>0.2578125</v>
      </c>
      <c r="K122" s="41">
        <f t="shared" si="1"/>
        <v>0.2578125</v>
      </c>
      <c r="L122" s="42">
        <v>-4.099167831</v>
      </c>
      <c r="M122" s="45">
        <f>('Cy Young Rank'!O$1-G122)*E122/9</f>
        <v>3.434651079</v>
      </c>
      <c r="N122" s="42"/>
      <c r="O122" s="66"/>
      <c r="P122" s="42"/>
      <c r="Q122" s="67"/>
      <c r="R122" s="67"/>
    </row>
    <row r="123">
      <c r="A123" s="1" t="s">
        <v>161</v>
      </c>
      <c r="B123" s="38">
        <v>702070.0</v>
      </c>
      <c r="C123" s="44" t="s">
        <v>533</v>
      </c>
      <c r="D123" s="38">
        <v>297.0</v>
      </c>
      <c r="E123" s="39">
        <f>IFERROR(__xludf.DUMMYFUNCTION("sum(filter('PLA Sheet'!H:H,'PLA Sheet'!C:C=B123,'PLA Sheet'!D:D=C123))"),19.761904762999997)</f>
        <v>19.76190476</v>
      </c>
      <c r="F123" s="40">
        <v>5.360105531</v>
      </c>
      <c r="G123" s="40">
        <f>IFERROR(__xludf.DUMMYFUNCTION("sum(filter('PLA Sheet'!J:J,'PLA Sheet'!C:C=B123,'PLA Sheet'!D:D=C123))/E123*9"),2.1919031348182805)</f>
        <v>2.191903135</v>
      </c>
      <c r="H123" s="41">
        <v>0.488215488</v>
      </c>
      <c r="I123" s="41">
        <v>0.212121212</v>
      </c>
      <c r="J123" s="41">
        <v>0.2996633</v>
      </c>
      <c r="K123" s="41">
        <f t="shared" si="1"/>
        <v>0.188552188</v>
      </c>
      <c r="L123" s="42">
        <v>1.142807806</v>
      </c>
      <c r="M123" s="45">
        <f>('Cy Young Rank'!O$1-G123)*E123/9</f>
        <v>4.101905815</v>
      </c>
      <c r="N123" s="42"/>
      <c r="O123" s="66"/>
      <c r="P123" s="42"/>
      <c r="Q123" s="67"/>
      <c r="R123" s="67"/>
    </row>
    <row r="124">
      <c r="A124" s="1" t="s">
        <v>323</v>
      </c>
      <c r="B124" s="38">
        <v>691587.0</v>
      </c>
      <c r="C124" s="44" t="s">
        <v>537</v>
      </c>
      <c r="D124" s="38">
        <v>836.0</v>
      </c>
      <c r="E124" s="39">
        <f>IFERROR(__xludf.DUMMYFUNCTION("sum(filter('PLA Sheet'!H:H,'PLA Sheet'!C:C=B124,'PLA Sheet'!D:D=C124))"),49.18034752)</f>
        <v>49.18034752</v>
      </c>
      <c r="F124" s="40">
        <v>5.359305371</v>
      </c>
      <c r="G124" s="40">
        <f>IFERROR(__xludf.DUMMYFUNCTION("sum(filter('PLA Sheet'!J:J,'PLA Sheet'!C:C=B124,'PLA Sheet'!D:D=C124))/E124*9"),2.6327871910084464)</f>
        <v>2.632787191</v>
      </c>
      <c r="H124" s="41">
        <v>0.588516746</v>
      </c>
      <c r="I124" s="41">
        <v>0.133971292</v>
      </c>
      <c r="J124" s="41">
        <v>0.277511962</v>
      </c>
      <c r="K124" s="41">
        <f t="shared" si="1"/>
        <v>0.311004784</v>
      </c>
      <c r="L124" s="42">
        <v>3.897944104</v>
      </c>
      <c r="M124" s="45">
        <f>('Cy Young Rank'!O$1-G124)*E124/9</f>
        <v>7.798980215</v>
      </c>
      <c r="N124" s="42"/>
      <c r="O124" s="66"/>
      <c r="P124" s="42"/>
      <c r="Q124" s="67"/>
      <c r="R124" s="67"/>
    </row>
    <row r="125">
      <c r="A125" s="1" t="s">
        <v>95</v>
      </c>
      <c r="B125" s="38">
        <v>543243.0</v>
      </c>
      <c r="C125" s="44" t="s">
        <v>540</v>
      </c>
      <c r="D125" s="38">
        <v>337.0</v>
      </c>
      <c r="E125" s="39">
        <f>IFERROR(__xludf.DUMMYFUNCTION("sum(filter('PLA Sheet'!H:H,'PLA Sheet'!C:C=B125,'PLA Sheet'!D:D=C125))"),22.816151202)</f>
        <v>22.8161512</v>
      </c>
      <c r="F125" s="40">
        <v>5.359226766</v>
      </c>
      <c r="G125" s="40">
        <f>IFERROR(__xludf.DUMMYFUNCTION("sum(filter('PLA Sheet'!J:J,'PLA Sheet'!C:C=B125,'PLA Sheet'!D:D=C125))/E125*9"),2.3128805350559842)</f>
        <v>2.312880535</v>
      </c>
      <c r="H125" s="41">
        <v>0.540059347</v>
      </c>
      <c r="I125" s="41">
        <v>0.15727003</v>
      </c>
      <c r="J125" s="41">
        <v>0.302670623</v>
      </c>
      <c r="K125" s="41">
        <f t="shared" si="1"/>
        <v>0.237388724</v>
      </c>
      <c r="L125" s="42">
        <v>-5.703991696</v>
      </c>
      <c r="M125" s="45">
        <f>('Cy Young Rank'!O$1-G125)*E125/9</f>
        <v>4.42917132</v>
      </c>
      <c r="N125" s="42"/>
      <c r="O125" s="66"/>
      <c r="P125" s="42"/>
      <c r="Q125" s="67"/>
      <c r="R125" s="67"/>
    </row>
    <row r="126">
      <c r="A126" s="1" t="s">
        <v>208</v>
      </c>
      <c r="B126" s="38">
        <v>605447.0</v>
      </c>
      <c r="C126" s="44" t="s">
        <v>533</v>
      </c>
      <c r="D126" s="38">
        <v>430.0</v>
      </c>
      <c r="E126" s="39">
        <f>IFERROR(__xludf.DUMMYFUNCTION("sum(filter('PLA Sheet'!H:H,'PLA Sheet'!C:C=B126,'PLA Sheet'!D:D=C126))"),26.96338564)</f>
        <v>26.96338564</v>
      </c>
      <c r="F126" s="40">
        <v>5.358121263</v>
      </c>
      <c r="G126" s="40">
        <f>IFERROR(__xludf.DUMMYFUNCTION("sum(filter('PLA Sheet'!J:J,'PLA Sheet'!C:C=B126,'PLA Sheet'!D:D=C126))/E126*9"),2.4418083054943835)</f>
        <v>2.441808305</v>
      </c>
      <c r="H126" s="41">
        <v>0.53255814</v>
      </c>
      <c r="I126" s="41">
        <v>0.18372093</v>
      </c>
      <c r="J126" s="41">
        <v>0.28372093</v>
      </c>
      <c r="K126" s="41">
        <f t="shared" si="1"/>
        <v>0.24883721</v>
      </c>
      <c r="L126" s="42">
        <v>-2.475232574</v>
      </c>
      <c r="M126" s="45">
        <f>('Cy Young Rank'!O$1-G126)*E126/9</f>
        <v>4.847991855</v>
      </c>
      <c r="N126" s="42"/>
      <c r="O126" s="66"/>
      <c r="P126" s="42"/>
      <c r="Q126" s="67"/>
      <c r="R126" s="67"/>
    </row>
    <row r="127">
      <c r="A127" s="1" t="s">
        <v>292</v>
      </c>
      <c r="B127" s="38">
        <v>592773.0</v>
      </c>
      <c r="C127" s="44" t="s">
        <v>537</v>
      </c>
      <c r="D127" s="38">
        <v>592.0</v>
      </c>
      <c r="E127" s="39">
        <f>IFERROR(__xludf.DUMMYFUNCTION("sum(filter('PLA Sheet'!H:H,'PLA Sheet'!C:C=B127,'PLA Sheet'!D:D=C127))"),31.97742239)</f>
        <v>31.97742239</v>
      </c>
      <c r="F127" s="40">
        <v>5.357899223</v>
      </c>
      <c r="G127" s="40">
        <f>IFERROR(__xludf.DUMMYFUNCTION("sum(filter('PLA Sheet'!J:J,'PLA Sheet'!C:C=B127,'PLA Sheet'!D:D=C127))/E127*9"),2.8056403954577775)</f>
        <v>2.805640395</v>
      </c>
      <c r="H127" s="41">
        <v>0.60472973</v>
      </c>
      <c r="I127" s="41">
        <v>0.103040541</v>
      </c>
      <c r="J127" s="41">
        <v>0.29222973</v>
      </c>
      <c r="K127" s="41">
        <f t="shared" si="1"/>
        <v>0.3125</v>
      </c>
      <c r="L127" s="42">
        <v>-4.931523655</v>
      </c>
      <c r="M127" s="45">
        <f>('Cy Young Rank'!O$1-G127)*E127/9</f>
        <v>4.456798545</v>
      </c>
      <c r="N127" s="42"/>
      <c r="O127" s="66"/>
      <c r="P127" s="42"/>
      <c r="Q127" s="67"/>
      <c r="R127" s="67"/>
    </row>
    <row r="128">
      <c r="A128" s="1" t="s">
        <v>384</v>
      </c>
      <c r="B128" s="38">
        <v>666214.0</v>
      </c>
      <c r="C128" s="44" t="s">
        <v>533</v>
      </c>
      <c r="D128" s="38">
        <v>462.0</v>
      </c>
      <c r="E128" s="39">
        <f>IFERROR(__xludf.DUMMYFUNCTION("sum(filter('PLA Sheet'!H:H,'PLA Sheet'!C:C=B128,'PLA Sheet'!D:D=C128))"),25.917355368)</f>
        <v>25.91735537</v>
      </c>
      <c r="F128" s="40">
        <v>5.357648735</v>
      </c>
      <c r="G128" s="40">
        <f>IFERROR(__xludf.DUMMYFUNCTION("sum(filter('PLA Sheet'!J:J,'PLA Sheet'!C:C=B128,'PLA Sheet'!D:D=C128))/E128*9"),2.811177798254744)</f>
        <v>2.811177798</v>
      </c>
      <c r="H128" s="41">
        <v>0.508658009</v>
      </c>
      <c r="I128" s="41">
        <v>0.216450216</v>
      </c>
      <c r="J128" s="41">
        <v>0.274891775</v>
      </c>
      <c r="K128" s="41">
        <f t="shared" si="1"/>
        <v>0.233766234</v>
      </c>
      <c r="L128" s="42">
        <v>-3.513490006</v>
      </c>
      <c r="M128" s="45">
        <f>('Cy Young Rank'!O$1-G128)*E128/9</f>
        <v>3.596240977</v>
      </c>
      <c r="N128" s="42"/>
      <c r="O128" s="66"/>
      <c r="P128" s="42"/>
      <c r="Q128" s="67"/>
      <c r="R128" s="67"/>
    </row>
    <row r="129">
      <c r="A129" s="1" t="s">
        <v>76</v>
      </c>
      <c r="B129" s="38">
        <v>687911.0</v>
      </c>
      <c r="C129" s="44" t="s">
        <v>539</v>
      </c>
      <c r="D129" s="38">
        <v>265.0</v>
      </c>
      <c r="E129" s="39">
        <f>IFERROR(__xludf.DUMMYFUNCTION("sum(filter('PLA Sheet'!H:H,'PLA Sheet'!C:C=B129,'PLA Sheet'!D:D=C129))"),18.176923073)</f>
        <v>18.17692307</v>
      </c>
      <c r="F129" s="40">
        <v>5.357381638</v>
      </c>
      <c r="G129" s="40">
        <f>IFERROR(__xludf.DUMMYFUNCTION("sum(filter('PLA Sheet'!J:J,'PLA Sheet'!C:C=B129,'PLA Sheet'!D:D=C129))/E129*9"),2.2118733648447124)</f>
        <v>2.211873365</v>
      </c>
      <c r="H129" s="41">
        <v>0.554716981</v>
      </c>
      <c r="I129" s="41">
        <v>0.177358491</v>
      </c>
      <c r="J129" s="41">
        <v>0.267924528</v>
      </c>
      <c r="K129" s="41">
        <f t="shared" si="1"/>
        <v>0.286792453</v>
      </c>
      <c r="L129" s="42">
        <v>-6.246966303</v>
      </c>
      <c r="M129" s="45">
        <f>('Cy Young Rank'!O$1-G129)*E129/9</f>
        <v>3.732583964</v>
      </c>
      <c r="N129" s="42"/>
      <c r="O129" s="66"/>
      <c r="P129" s="42"/>
      <c r="Q129" s="67"/>
      <c r="R129" s="67"/>
    </row>
    <row r="130">
      <c r="A130" s="1" t="s">
        <v>225</v>
      </c>
      <c r="B130" s="38">
        <v>596133.0</v>
      </c>
      <c r="C130" s="44" t="s">
        <v>537</v>
      </c>
      <c r="D130" s="38">
        <v>600.0</v>
      </c>
      <c r="E130" s="39">
        <f>IFERROR(__xludf.DUMMYFUNCTION("sum(filter('PLA Sheet'!H:H,'PLA Sheet'!C:C=B130,'PLA Sheet'!D:D=C130))"),38.20650096)</f>
        <v>38.20650096</v>
      </c>
      <c r="F130" s="40">
        <v>5.356990376</v>
      </c>
      <c r="G130" s="40">
        <f>IFERROR(__xludf.DUMMYFUNCTION("sum(filter('PLA Sheet'!J:J,'PLA Sheet'!C:C=B130,'PLA Sheet'!D:D=C130))/E130*9"),2.45557372809991)</f>
        <v>2.455573728</v>
      </c>
      <c r="H130" s="41">
        <v>0.588333333</v>
      </c>
      <c r="I130" s="41">
        <v>0.103333333</v>
      </c>
      <c r="J130" s="41">
        <v>0.308333333</v>
      </c>
      <c r="K130" s="41">
        <f t="shared" si="1"/>
        <v>0.28</v>
      </c>
      <c r="L130" s="42">
        <v>-8.545283619</v>
      </c>
      <c r="M130" s="45">
        <f>('Cy Young Rank'!O$1-G130)*E130/9</f>
        <v>6.8110571</v>
      </c>
      <c r="N130" s="42"/>
      <c r="O130" s="66"/>
      <c r="P130" s="42"/>
      <c r="Q130" s="67"/>
      <c r="R130" s="67"/>
    </row>
    <row r="131">
      <c r="A131" s="1" t="s">
        <v>90</v>
      </c>
      <c r="B131" s="38">
        <v>693433.0</v>
      </c>
      <c r="C131" s="44" t="s">
        <v>536</v>
      </c>
      <c r="D131" s="38">
        <v>677.0</v>
      </c>
      <c r="E131" s="39">
        <f>IFERROR(__xludf.DUMMYFUNCTION("sum(filter('PLA Sheet'!H:H,'PLA Sheet'!C:C=B131,'PLA Sheet'!D:D=C131))"),47.7327438)</f>
        <v>47.7327438</v>
      </c>
      <c r="F131" s="40">
        <v>5.356570587</v>
      </c>
      <c r="G131" s="40">
        <f>IFERROR(__xludf.DUMMYFUNCTION("sum(filter('PLA Sheet'!J:J,'PLA Sheet'!C:C=B131,'PLA Sheet'!D:D=C131))/E131*9"),2.0878950604134348)</f>
        <v>2.08789506</v>
      </c>
      <c r="H131" s="41">
        <v>0.556868538</v>
      </c>
      <c r="I131" s="41">
        <v>0.1816839</v>
      </c>
      <c r="J131" s="41">
        <v>0.261447563</v>
      </c>
      <c r="K131" s="41">
        <f t="shared" si="1"/>
        <v>0.295420975</v>
      </c>
      <c r="L131" s="42">
        <v>-5.627996366</v>
      </c>
      <c r="M131" s="45">
        <f>('Cy Young Rank'!O$1-G131)*E131/9</f>
        <v>10.45933109</v>
      </c>
      <c r="N131" s="42"/>
      <c r="O131" s="66"/>
      <c r="P131" s="42"/>
      <c r="Q131" s="67"/>
      <c r="R131" s="67"/>
    </row>
    <row r="132">
      <c r="A132" s="1" t="s">
        <v>145</v>
      </c>
      <c r="B132" s="38">
        <v>700241.0</v>
      </c>
      <c r="C132" s="44" t="s">
        <v>536</v>
      </c>
      <c r="D132" s="38">
        <v>311.0</v>
      </c>
      <c r="E132" s="39">
        <f>IFERROR(__xludf.DUMMYFUNCTION("sum(filter('PLA Sheet'!H:H,'PLA Sheet'!C:C=B132,'PLA Sheet'!D:D=C132))"),20.700568829)</f>
        <v>20.70056883</v>
      </c>
      <c r="F132" s="40">
        <v>5.3547752</v>
      </c>
      <c r="G132" s="40">
        <f>IFERROR(__xludf.DUMMYFUNCTION("sum(filter('PLA Sheet'!J:J,'PLA Sheet'!C:C=B132,'PLA Sheet'!D:D=C132))/E132*9"),2.262497827324801)</f>
        <v>2.262497827</v>
      </c>
      <c r="H132" s="41">
        <v>0.524115756</v>
      </c>
      <c r="I132" s="41">
        <v>0.218649518</v>
      </c>
      <c r="J132" s="41">
        <v>0.257234727</v>
      </c>
      <c r="K132" s="41">
        <f t="shared" si="1"/>
        <v>0.266881029</v>
      </c>
      <c r="L132" s="42">
        <v>7.172276723</v>
      </c>
      <c r="M132" s="45">
        <f>('Cy Young Rank'!O$1-G132)*E132/9</f>
        <v>4.134368605</v>
      </c>
      <c r="N132" s="42"/>
      <c r="O132" s="66"/>
      <c r="P132" s="42"/>
      <c r="Q132" s="67"/>
      <c r="R132" s="67"/>
    </row>
    <row r="133">
      <c r="A133" s="1" t="s">
        <v>322</v>
      </c>
      <c r="B133" s="38">
        <v>678368.0</v>
      </c>
      <c r="C133" s="44" t="s">
        <v>540</v>
      </c>
      <c r="D133" s="38">
        <v>450.0</v>
      </c>
      <c r="E133" s="39">
        <f>IFERROR(__xludf.DUMMYFUNCTION("sum(filter('PLA Sheet'!H:H,'PLA Sheet'!C:C=B133,'PLA Sheet'!D:D=C133))"),28.506686860000002)</f>
        <v>28.50668686</v>
      </c>
      <c r="F133" s="40">
        <v>5.351138524</v>
      </c>
      <c r="G133" s="40">
        <f>IFERROR(__xludf.DUMMYFUNCTION("sum(filter('PLA Sheet'!J:J,'PLA Sheet'!C:C=B133,'PLA Sheet'!D:D=C133))/E133*9"),2.3940569219835317)</f>
        <v>2.394056922</v>
      </c>
      <c r="H133" s="41">
        <v>0.575555556</v>
      </c>
      <c r="I133" s="41">
        <v>0.137777778</v>
      </c>
      <c r="J133" s="41">
        <v>0.286666667</v>
      </c>
      <c r="K133" s="41">
        <f t="shared" si="1"/>
        <v>0.288888889</v>
      </c>
      <c r="L133" s="42">
        <v>-3.926454281</v>
      </c>
      <c r="M133" s="45">
        <f>('Cy Young Rank'!O$1-G133)*E133/9</f>
        <v>5.276724184</v>
      </c>
      <c r="N133" s="42"/>
      <c r="O133" s="66"/>
      <c r="P133" s="42"/>
      <c r="Q133" s="67"/>
      <c r="R133" s="67"/>
    </row>
    <row r="134">
      <c r="A134" s="1" t="s">
        <v>166</v>
      </c>
      <c r="B134" s="38">
        <v>608331.0</v>
      </c>
      <c r="C134" s="44" t="s">
        <v>540</v>
      </c>
      <c r="D134" s="38">
        <v>815.0</v>
      </c>
      <c r="E134" s="39">
        <f>IFERROR(__xludf.DUMMYFUNCTION("sum(filter('PLA Sheet'!H:H,'PLA Sheet'!C:C=B134,'PLA Sheet'!D:D=C134))"),53.152782244)</f>
        <v>53.15278224</v>
      </c>
      <c r="F134" s="40">
        <v>5.347320666</v>
      </c>
      <c r="G134" s="40">
        <f>IFERROR(__xludf.DUMMYFUNCTION("sum(filter('PLA Sheet'!J:J,'PLA Sheet'!C:C=B134,'PLA Sheet'!D:D=C134))/E134*9"),2.2985042333092736)</f>
        <v>2.298504233</v>
      </c>
      <c r="H134" s="41">
        <v>0.538650307</v>
      </c>
      <c r="I134" s="41">
        <v>0.154601227</v>
      </c>
      <c r="J134" s="41">
        <v>0.306748466</v>
      </c>
      <c r="K134" s="41">
        <f t="shared" si="1"/>
        <v>0.231901841</v>
      </c>
      <c r="L134" s="42">
        <v>7.805990315</v>
      </c>
      <c r="M134" s="45">
        <f>('Cy Young Rank'!O$1-G134)*E134/9</f>
        <v>10.40315566</v>
      </c>
      <c r="N134" s="42"/>
      <c r="O134" s="66"/>
      <c r="P134" s="42"/>
      <c r="Q134" s="67"/>
      <c r="R134" s="67"/>
    </row>
    <row r="135">
      <c r="A135" s="1" t="s">
        <v>158</v>
      </c>
      <c r="B135" s="38">
        <v>608372.0</v>
      </c>
      <c r="C135" s="44" t="s">
        <v>540</v>
      </c>
      <c r="D135" s="38">
        <v>302.0</v>
      </c>
      <c r="E135" s="39">
        <f>IFERROR(__xludf.DUMMYFUNCTION("sum(filter('PLA Sheet'!H:H,'PLA Sheet'!C:C=B135,'PLA Sheet'!D:D=C135))"),18.852241712)</f>
        <v>18.85224171</v>
      </c>
      <c r="F135" s="40">
        <v>5.347142495</v>
      </c>
      <c r="G135" s="40">
        <f>IFERROR(__xludf.DUMMYFUNCTION("sum(filter('PLA Sheet'!J:J,'PLA Sheet'!C:C=B135,'PLA Sheet'!D:D=C135))/E135*9"),2.467222503857105)</f>
        <v>2.467222504</v>
      </c>
      <c r="H135" s="41">
        <v>0.549668874</v>
      </c>
      <c r="I135" s="41">
        <v>0.122516556</v>
      </c>
      <c r="J135" s="41">
        <v>0.32781457</v>
      </c>
      <c r="K135" s="41">
        <f t="shared" si="1"/>
        <v>0.221854304</v>
      </c>
      <c r="L135" s="42">
        <v>-3.019279585</v>
      </c>
      <c r="M135" s="45">
        <f>('Cy Young Rank'!O$1-G135)*E135/9</f>
        <v>3.336380706</v>
      </c>
      <c r="N135" s="42"/>
      <c r="O135" s="66"/>
      <c r="P135" s="42"/>
      <c r="Q135" s="67"/>
      <c r="R135" s="67"/>
    </row>
    <row r="136">
      <c r="A136" s="1" t="s">
        <v>111</v>
      </c>
      <c r="B136" s="38">
        <v>656641.0</v>
      </c>
      <c r="C136" s="44" t="s">
        <v>533</v>
      </c>
      <c r="D136" s="38">
        <v>285.0</v>
      </c>
      <c r="E136" s="39">
        <f>IFERROR(__xludf.DUMMYFUNCTION("sum(filter('PLA Sheet'!H:H,'PLA Sheet'!C:C=B136,'PLA Sheet'!D:D=C136))"),17.898655136)</f>
        <v>17.89865514</v>
      </c>
      <c r="F136" s="40">
        <v>5.346845224</v>
      </c>
      <c r="G136" s="40">
        <f>IFERROR(__xludf.DUMMYFUNCTION("sum(filter('PLA Sheet'!J:J,'PLA Sheet'!C:C=B136,'PLA Sheet'!D:D=C136))/E136*9"),2.371481079303365)</f>
        <v>2.371481079</v>
      </c>
      <c r="H136" s="41">
        <v>0.547368421</v>
      </c>
      <c r="I136" s="41">
        <v>0.196491228</v>
      </c>
      <c r="J136" s="41">
        <v>0.256140351</v>
      </c>
      <c r="K136" s="41">
        <f t="shared" si="1"/>
        <v>0.29122807</v>
      </c>
      <c r="L136" s="42">
        <v>4.840992488</v>
      </c>
      <c r="M136" s="45">
        <f>('Cy Young Rank'!O$1-G136)*E136/9</f>
        <v>3.358024206</v>
      </c>
      <c r="N136" s="42"/>
      <c r="O136" s="66"/>
      <c r="P136" s="42"/>
      <c r="Q136" s="67"/>
      <c r="R136" s="67"/>
    </row>
    <row r="137">
      <c r="A137" s="1" t="s">
        <v>181</v>
      </c>
      <c r="B137" s="38">
        <v>641154.0</v>
      </c>
      <c r="C137" s="44" t="s">
        <v>539</v>
      </c>
      <c r="D137" s="38">
        <v>254.0</v>
      </c>
      <c r="E137" s="39">
        <f>IFERROR(__xludf.DUMMYFUNCTION("sum(filter('PLA Sheet'!H:H,'PLA Sheet'!C:C=B137,'PLA Sheet'!D:D=C137))"),15.986761983000001)</f>
        <v>15.98676198</v>
      </c>
      <c r="F137" s="40">
        <v>5.346555723</v>
      </c>
      <c r="G137" s="40">
        <f>IFERROR(__xludf.DUMMYFUNCTION("sum(filter('PLA Sheet'!J:J,'PLA Sheet'!C:C=B137,'PLA Sheet'!D:D=C137))/E137*9"),2.366811743380917)</f>
        <v>2.366811743</v>
      </c>
      <c r="H137" s="41">
        <v>0.527559055</v>
      </c>
      <c r="I137" s="41">
        <v>0.18503937</v>
      </c>
      <c r="J137" s="41">
        <v>0.287401575</v>
      </c>
      <c r="K137" s="41">
        <f t="shared" si="1"/>
        <v>0.24015748</v>
      </c>
      <c r="L137" s="42">
        <v>4.597656241</v>
      </c>
      <c r="M137" s="45">
        <f>('Cy Young Rank'!O$1-G137)*E137/9</f>
        <v>3.007621961</v>
      </c>
      <c r="N137" s="42"/>
      <c r="O137" s="66"/>
      <c r="P137" s="42"/>
      <c r="Q137" s="67"/>
      <c r="R137" s="67"/>
    </row>
    <row r="138">
      <c r="A138" s="1" t="s">
        <v>405</v>
      </c>
      <c r="B138" s="38">
        <v>621111.0</v>
      </c>
      <c r="C138" s="44" t="s">
        <v>533</v>
      </c>
      <c r="D138" s="38">
        <v>302.0</v>
      </c>
      <c r="E138" s="39">
        <f>IFERROR(__xludf.DUMMYFUNCTION("sum(filter('PLA Sheet'!H:H,'PLA Sheet'!C:C=B138,'PLA Sheet'!D:D=C138))"),18.082266906)</f>
        <v>18.08226691</v>
      </c>
      <c r="F138" s="40">
        <v>5.346445514</v>
      </c>
      <c r="G138" s="40">
        <f>IFERROR(__xludf.DUMMYFUNCTION("sum(filter('PLA Sheet'!J:J,'PLA Sheet'!C:C=B138,'PLA Sheet'!D:D=C138))/E138*9"),2.513048404617991)</f>
        <v>2.513048405</v>
      </c>
      <c r="H138" s="41">
        <v>0.513245033</v>
      </c>
      <c r="I138" s="41">
        <v>0.221854305</v>
      </c>
      <c r="J138" s="41">
        <v>0.264900662</v>
      </c>
      <c r="K138" s="41">
        <f t="shared" si="1"/>
        <v>0.248344371</v>
      </c>
      <c r="L138" s="42">
        <v>-6.433466395</v>
      </c>
      <c r="M138" s="45">
        <f>('Cy Young Rank'!O$1-G138)*E138/9</f>
        <v>3.108043515</v>
      </c>
      <c r="N138" s="42"/>
      <c r="O138" s="66"/>
      <c r="P138" s="42"/>
      <c r="Q138" s="67"/>
      <c r="R138" s="67"/>
    </row>
    <row r="139">
      <c r="A139" s="1" t="s">
        <v>287</v>
      </c>
      <c r="B139" s="38">
        <v>571945.0</v>
      </c>
      <c r="C139" s="44" t="s">
        <v>532</v>
      </c>
      <c r="D139" s="38">
        <v>278.0</v>
      </c>
      <c r="E139" s="39">
        <f>IFERROR(__xludf.DUMMYFUNCTION("sum(filter('PLA Sheet'!H:H,'PLA Sheet'!C:C=B139,'PLA Sheet'!D:D=C139))"),18.006980801)</f>
        <v>18.0069808</v>
      </c>
      <c r="F139" s="40">
        <v>5.346350325</v>
      </c>
      <c r="G139" s="40">
        <f>IFERROR(__xludf.DUMMYFUNCTION("sum(filter('PLA Sheet'!J:J,'PLA Sheet'!C:C=B139,'PLA Sheet'!D:D=C139))/E139*9"),2.4616733082504494)</f>
        <v>2.461673308</v>
      </c>
      <c r="H139" s="41">
        <v>0.521582734</v>
      </c>
      <c r="I139" s="41">
        <v>0.208633094</v>
      </c>
      <c r="J139" s="41">
        <v>0.269784173</v>
      </c>
      <c r="K139" s="41">
        <f t="shared" si="1"/>
        <v>0.251798561</v>
      </c>
      <c r="L139" s="42">
        <v>-2.614370727</v>
      </c>
      <c r="M139" s="45">
        <f>('Cy Young Rank'!O$1-G139)*E139/9</f>
        <v>3.197893117</v>
      </c>
      <c r="N139" s="42"/>
      <c r="O139" s="66"/>
      <c r="P139" s="42"/>
      <c r="Q139" s="67"/>
      <c r="R139" s="67"/>
    </row>
    <row r="140">
      <c r="A140" s="1" t="s">
        <v>57</v>
      </c>
      <c r="B140" s="38">
        <v>594798.0</v>
      </c>
      <c r="C140" s="44" t="s">
        <v>533</v>
      </c>
      <c r="D140" s="38">
        <v>964.0</v>
      </c>
      <c r="E140" s="39">
        <f>IFERROR(__xludf.DUMMYFUNCTION("sum(filter('PLA Sheet'!H:H,'PLA Sheet'!C:C=B140,'PLA Sheet'!D:D=C140))"),64.91526289)</f>
        <v>64.91526289</v>
      </c>
      <c r="F140" s="40">
        <v>5.345775224</v>
      </c>
      <c r="G140" s="40">
        <f>IFERROR(__xludf.DUMMYFUNCTION("sum(filter('PLA Sheet'!J:J,'PLA Sheet'!C:C=B140,'PLA Sheet'!D:D=C140))/E140*9"),2.1088990771242644)</f>
        <v>2.108899077</v>
      </c>
      <c r="H140" s="41">
        <v>0.508298755</v>
      </c>
      <c r="I140" s="41">
        <v>0.200207469</v>
      </c>
      <c r="J140" s="41">
        <v>0.291493776</v>
      </c>
      <c r="K140" s="41">
        <f t="shared" si="1"/>
        <v>0.216804979</v>
      </c>
      <c r="L140" s="42">
        <v>-2.108024024</v>
      </c>
      <c r="M140" s="45">
        <f>('Cy Young Rank'!O$1-G140)*E140/9</f>
        <v>14.07291437</v>
      </c>
      <c r="N140" s="42"/>
      <c r="O140" s="66"/>
      <c r="P140" s="42"/>
      <c r="Q140" s="67"/>
      <c r="R140" s="67"/>
    </row>
    <row r="141">
      <c r="A141" s="1" t="s">
        <v>151</v>
      </c>
      <c r="B141" s="38">
        <v>571948.0</v>
      </c>
      <c r="C141" s="44" t="s">
        <v>539</v>
      </c>
      <c r="D141" s="38">
        <v>394.0</v>
      </c>
      <c r="E141" s="39">
        <f>IFERROR(__xludf.DUMMYFUNCTION("sum(filter('PLA Sheet'!H:H,'PLA Sheet'!C:C=B141,'PLA Sheet'!D:D=C141))"),24.619706139999998)</f>
        <v>24.61970614</v>
      </c>
      <c r="F141" s="40">
        <v>5.344810859</v>
      </c>
      <c r="G141" s="40">
        <f>IFERROR(__xludf.DUMMYFUNCTION("sum(filter('PLA Sheet'!J:J,'PLA Sheet'!C:C=B141,'PLA Sheet'!D:D=C141))/E141*9"),2.374975179131037)</f>
        <v>2.374975179</v>
      </c>
      <c r="H141" s="41">
        <v>0.560913706</v>
      </c>
      <c r="I141" s="41">
        <v>0.11928934</v>
      </c>
      <c r="J141" s="41">
        <v>0.319796954</v>
      </c>
      <c r="K141" s="41">
        <f t="shared" si="1"/>
        <v>0.241116752</v>
      </c>
      <c r="L141" s="42">
        <v>1.219771604</v>
      </c>
      <c r="M141" s="45">
        <f>('Cy Young Rank'!O$1-G141)*E141/9</f>
        <v>4.609423992</v>
      </c>
      <c r="N141" s="42"/>
      <c r="O141" s="66"/>
      <c r="P141" s="42"/>
      <c r="Q141" s="67"/>
      <c r="R141" s="67"/>
    </row>
    <row r="142">
      <c r="A142" s="1" t="s">
        <v>367</v>
      </c>
      <c r="B142" s="38">
        <v>685126.0</v>
      </c>
      <c r="C142" s="44" t="s">
        <v>533</v>
      </c>
      <c r="D142" s="38">
        <v>422.0</v>
      </c>
      <c r="E142" s="39">
        <f>IFERROR(__xludf.DUMMYFUNCTION("sum(filter('PLA Sheet'!H:H,'PLA Sheet'!C:C=B142,'PLA Sheet'!D:D=C142))"),24.96293245)</f>
        <v>24.96293245</v>
      </c>
      <c r="F142" s="40">
        <v>5.344603074</v>
      </c>
      <c r="G142" s="40">
        <f>IFERROR(__xludf.DUMMYFUNCTION("sum(filter('PLA Sheet'!J:J,'PLA Sheet'!C:C=B142,'PLA Sheet'!D:D=C142))/E142*9"),2.4890343762477314)</f>
        <v>2.489034376</v>
      </c>
      <c r="H142" s="41">
        <v>0.514218009</v>
      </c>
      <c r="I142" s="41">
        <v>0.196682464</v>
      </c>
      <c r="J142" s="41">
        <v>0.289099526</v>
      </c>
      <c r="K142" s="41">
        <f t="shared" si="1"/>
        <v>0.225118483</v>
      </c>
      <c r="L142" s="42">
        <v>-10.68627607</v>
      </c>
      <c r="M142" s="45">
        <f>('Cy Young Rank'!O$1-G142)*E142/9</f>
        <v>4.357323194</v>
      </c>
      <c r="N142" s="42"/>
      <c r="O142" s="66"/>
      <c r="P142" s="42"/>
      <c r="Q142" s="67"/>
      <c r="R142" s="67"/>
    </row>
    <row r="143">
      <c r="A143" s="1" t="s">
        <v>415</v>
      </c>
      <c r="B143" s="38">
        <v>656794.0</v>
      </c>
      <c r="C143" s="44" t="s">
        <v>536</v>
      </c>
      <c r="D143" s="38">
        <v>328.0</v>
      </c>
      <c r="E143" s="39">
        <f>IFERROR(__xludf.DUMMYFUNCTION("sum(filter('PLA Sheet'!H:H,'PLA Sheet'!C:C=B143,'PLA Sheet'!D:D=C143))"),20.080258902)</f>
        <v>20.0802589</v>
      </c>
      <c r="F143" s="40">
        <v>5.34390982</v>
      </c>
      <c r="G143" s="40">
        <f>IFERROR(__xludf.DUMMYFUNCTION("sum(filter('PLA Sheet'!J:J,'PLA Sheet'!C:C=B143,'PLA Sheet'!D:D=C143))/E143*9"),2.4573089540735644)</f>
        <v>2.457308954</v>
      </c>
      <c r="H143" s="41">
        <v>0.576219512</v>
      </c>
      <c r="I143" s="41">
        <v>0.12804878</v>
      </c>
      <c r="J143" s="41">
        <v>0.295731707</v>
      </c>
      <c r="K143" s="41">
        <f t="shared" si="1"/>
        <v>0.280487805</v>
      </c>
      <c r="L143" s="42">
        <v>-2.104160149</v>
      </c>
      <c r="M143" s="45">
        <f>('Cy Young Rank'!O$1-G143)*E143/9</f>
        <v>3.575827905</v>
      </c>
      <c r="N143" s="42"/>
      <c r="O143" s="66"/>
      <c r="P143" s="42"/>
      <c r="Q143" s="67"/>
      <c r="R143" s="67"/>
    </row>
    <row r="144">
      <c r="A144" s="1" t="s">
        <v>152</v>
      </c>
      <c r="B144" s="38">
        <v>690916.0</v>
      </c>
      <c r="C144" s="44" t="s">
        <v>537</v>
      </c>
      <c r="D144" s="38">
        <v>280.0</v>
      </c>
      <c r="E144" s="39">
        <f>IFERROR(__xludf.DUMMYFUNCTION("sum(filter('PLA Sheet'!H:H,'PLA Sheet'!C:C=B144,'PLA Sheet'!D:D=C144))"),17.472752039)</f>
        <v>17.47275204</v>
      </c>
      <c r="F144" s="40">
        <v>5.342792573</v>
      </c>
      <c r="G144" s="40">
        <f>IFERROR(__xludf.DUMMYFUNCTION("sum(filter('PLA Sheet'!J:J,'PLA Sheet'!C:C=B144,'PLA Sheet'!D:D=C144))/E144*9"),2.6235318224445847)</f>
        <v>2.623531822</v>
      </c>
      <c r="H144" s="41">
        <v>0.571428571</v>
      </c>
      <c r="I144" s="41">
        <v>0.117857143</v>
      </c>
      <c r="J144" s="41">
        <v>0.310714286</v>
      </c>
      <c r="K144" s="41">
        <f t="shared" si="1"/>
        <v>0.260714285</v>
      </c>
      <c r="L144" s="42">
        <v>1.683231251</v>
      </c>
      <c r="M144" s="45">
        <f>('Cy Young Rank'!O$1-G144)*E144/9</f>
        <v>2.788783586</v>
      </c>
      <c r="N144" s="42"/>
      <c r="O144" s="66"/>
      <c r="P144" s="42"/>
      <c r="Q144" s="67"/>
      <c r="R144" s="67"/>
    </row>
    <row r="145">
      <c r="A145" s="1" t="s">
        <v>83</v>
      </c>
      <c r="B145" s="38">
        <v>571927.0</v>
      </c>
      <c r="C145" s="44" t="s">
        <v>536</v>
      </c>
      <c r="D145" s="38">
        <v>664.0</v>
      </c>
      <c r="E145" s="39">
        <f>IFERROR(__xludf.DUMMYFUNCTION("sum(filter('PLA Sheet'!H:H,'PLA Sheet'!C:C=B145,'PLA Sheet'!D:D=C145))"),44.84900777)</f>
        <v>44.84900777</v>
      </c>
      <c r="F145" s="40">
        <v>5.342456143</v>
      </c>
      <c r="G145" s="40">
        <f>IFERROR(__xludf.DUMMYFUNCTION("sum(filter('PLA Sheet'!J:J,'PLA Sheet'!C:C=B145,'PLA Sheet'!D:D=C145))/E145*9"),2.2861099742898503)</f>
        <v>2.286109974</v>
      </c>
      <c r="H145" s="41">
        <v>0.546686747</v>
      </c>
      <c r="I145" s="41">
        <v>0.147590361</v>
      </c>
      <c r="J145" s="41">
        <v>0.305722892</v>
      </c>
      <c r="K145" s="41">
        <f t="shared" si="1"/>
        <v>0.240963855</v>
      </c>
      <c r="L145" s="42">
        <v>0.936515486</v>
      </c>
      <c r="M145" s="45">
        <f>('Cy Young Rank'!O$1-G145)*E145/9</f>
        <v>8.839689727</v>
      </c>
      <c r="N145" s="42"/>
      <c r="O145" s="66"/>
      <c r="P145" s="42"/>
      <c r="Q145" s="67"/>
      <c r="R145" s="67"/>
    </row>
    <row r="146">
      <c r="A146" s="1" t="s">
        <v>138</v>
      </c>
      <c r="B146" s="38">
        <v>621383.0</v>
      </c>
      <c r="C146" s="44" t="s">
        <v>533</v>
      </c>
      <c r="D146" s="38">
        <v>387.0</v>
      </c>
      <c r="E146" s="39">
        <f>IFERROR(__xludf.DUMMYFUNCTION("sum(filter('PLA Sheet'!H:H,'PLA Sheet'!C:C=B146,'PLA Sheet'!D:D=C146))"),24.535670359)</f>
        <v>24.53567036</v>
      </c>
      <c r="F146" s="40">
        <v>5.342237458</v>
      </c>
      <c r="G146" s="40">
        <f>IFERROR(__xludf.DUMMYFUNCTION("sum(filter('PLA Sheet'!J:J,'PLA Sheet'!C:C=B146,'PLA Sheet'!D:D=C146))/E146*9"),2.3811221843616712)</f>
        <v>2.381122184</v>
      </c>
      <c r="H146" s="41">
        <v>0.527131783</v>
      </c>
      <c r="I146" s="41">
        <v>0.144702842</v>
      </c>
      <c r="J146" s="41">
        <v>0.328165375</v>
      </c>
      <c r="K146" s="41">
        <f t="shared" si="1"/>
        <v>0.198966408</v>
      </c>
      <c r="L146" s="42">
        <v>1.271122289</v>
      </c>
      <c r="M146" s="45">
        <f>('Cy Young Rank'!O$1-G146)*E146/9</f>
        <v>4.576932518</v>
      </c>
      <c r="N146" s="42"/>
      <c r="O146" s="66"/>
      <c r="P146" s="42"/>
      <c r="Q146" s="67"/>
      <c r="R146" s="67"/>
    </row>
    <row r="147">
      <c r="A147" s="1" t="s">
        <v>146</v>
      </c>
      <c r="B147" s="38">
        <v>623437.0</v>
      </c>
      <c r="C147" s="44" t="s">
        <v>536</v>
      </c>
      <c r="D147" s="38">
        <v>340.0</v>
      </c>
      <c r="E147" s="39">
        <f>IFERROR(__xludf.DUMMYFUNCTION("sum(filter('PLA Sheet'!H:H,'PLA Sheet'!C:C=B147,'PLA Sheet'!D:D=C147))"),21.428571433000002)</f>
        <v>21.42857143</v>
      </c>
      <c r="F147" s="40">
        <v>5.341724562</v>
      </c>
      <c r="G147" s="40">
        <f>IFERROR(__xludf.DUMMYFUNCTION("sum(filter('PLA Sheet'!J:J,'PLA Sheet'!C:C=B147,'PLA Sheet'!D:D=C147))/E147*9"),2.308611059522887)</f>
        <v>2.30861106</v>
      </c>
      <c r="H147" s="41">
        <v>0.576470588</v>
      </c>
      <c r="I147" s="41">
        <v>0.158823529</v>
      </c>
      <c r="J147" s="41">
        <v>0.264705882</v>
      </c>
      <c r="K147" s="41">
        <f t="shared" si="1"/>
        <v>0.311764706</v>
      </c>
      <c r="L147" s="42">
        <v>-5.686242249</v>
      </c>
      <c r="M147" s="45">
        <f>('Cy Young Rank'!O$1-G147)*E147/9</f>
        <v>4.169973669</v>
      </c>
      <c r="N147" s="42"/>
      <c r="O147" s="66"/>
      <c r="P147" s="42"/>
      <c r="Q147" s="67"/>
      <c r="R147" s="67"/>
    </row>
    <row r="148">
      <c r="A148" s="1" t="s">
        <v>308</v>
      </c>
      <c r="B148" s="38">
        <v>676440.0</v>
      </c>
      <c r="C148" s="44" t="s">
        <v>539</v>
      </c>
      <c r="D148" s="38">
        <v>419.0</v>
      </c>
      <c r="E148" s="39">
        <f>IFERROR(__xludf.DUMMYFUNCTION("sum(filter('PLA Sheet'!H:H,'PLA Sheet'!C:C=B148,'PLA Sheet'!D:D=C148))"),26.530144829999998)</f>
        <v>26.53014483</v>
      </c>
      <c r="F148" s="40">
        <v>5.33610569</v>
      </c>
      <c r="G148" s="40">
        <f>IFERROR(__xludf.DUMMYFUNCTION("sum(filter('PLA Sheet'!J:J,'PLA Sheet'!C:C=B148,'PLA Sheet'!D:D=C148))/E148*9"),2.2759060829446667)</f>
        <v>2.275906083</v>
      </c>
      <c r="H148" s="41">
        <v>0.529832936</v>
      </c>
      <c r="I148" s="41">
        <v>0.214797136</v>
      </c>
      <c r="J148" s="41">
        <v>0.255369928</v>
      </c>
      <c r="K148" s="41">
        <f t="shared" si="1"/>
        <v>0.274463008</v>
      </c>
      <c r="L148" s="42">
        <v>4.094168004</v>
      </c>
      <c r="M148" s="45">
        <f>('Cy Young Rank'!O$1-G148)*E148/9</f>
        <v>5.259141112</v>
      </c>
      <c r="N148" s="42"/>
      <c r="O148" s="66"/>
      <c r="P148" s="42"/>
      <c r="Q148" s="67"/>
      <c r="R148" s="67"/>
    </row>
    <row r="149">
      <c r="A149" s="1" t="s">
        <v>20</v>
      </c>
      <c r="B149" s="38">
        <v>643511.0</v>
      </c>
      <c r="C149" s="44" t="s">
        <v>536</v>
      </c>
      <c r="D149" s="38">
        <v>704.0</v>
      </c>
      <c r="E149" s="39">
        <f>IFERROR(__xludf.DUMMYFUNCTION("sum(filter('PLA Sheet'!H:H,'PLA Sheet'!C:C=B149,'PLA Sheet'!D:D=C149))"),57.60382514)</f>
        <v>57.60382514</v>
      </c>
      <c r="F149" s="40">
        <v>5.335248109</v>
      </c>
      <c r="G149" s="40">
        <f>IFERROR(__xludf.DUMMYFUNCTION("sum(filter('PLA Sheet'!J:J,'PLA Sheet'!C:C=B149,'PLA Sheet'!D:D=C149))/E149*9"),1.928348190940988)</f>
        <v>1.928348191</v>
      </c>
      <c r="H149" s="41">
        <v>0.548295455</v>
      </c>
      <c r="I149" s="41">
        <v>0.190340909</v>
      </c>
      <c r="J149" s="41">
        <v>0.261363636</v>
      </c>
      <c r="K149" s="41">
        <f t="shared" si="1"/>
        <v>0.286931819</v>
      </c>
      <c r="L149" s="42">
        <v>5.977182118</v>
      </c>
      <c r="M149" s="45">
        <f>('Cy Young Rank'!O$1-G149)*E149/9</f>
        <v>13.64347756</v>
      </c>
      <c r="N149" s="42"/>
      <c r="O149" s="66"/>
      <c r="P149" s="42"/>
      <c r="Q149" s="67"/>
      <c r="R149" s="67"/>
    </row>
    <row r="150">
      <c r="A150" s="1" t="s">
        <v>210</v>
      </c>
      <c r="B150" s="38">
        <v>650556.0</v>
      </c>
      <c r="C150" s="44" t="s">
        <v>533</v>
      </c>
      <c r="D150" s="38">
        <v>561.0</v>
      </c>
      <c r="E150" s="39">
        <f>IFERROR(__xludf.DUMMYFUNCTION("sum(filter('PLA Sheet'!H:H,'PLA Sheet'!C:C=B150,'PLA Sheet'!D:D=C150))"),34.39529016)</f>
        <v>34.39529016</v>
      </c>
      <c r="F150" s="40">
        <v>5.334821789</v>
      </c>
      <c r="G150" s="40">
        <f>IFERROR(__xludf.DUMMYFUNCTION("sum(filter('PLA Sheet'!J:J,'PLA Sheet'!C:C=B150,'PLA Sheet'!D:D=C150))/E150*9"),2.3687805400389155)</f>
        <v>2.36878054</v>
      </c>
      <c r="H150" s="41">
        <v>0.502673797</v>
      </c>
      <c r="I150" s="41">
        <v>0.197860963</v>
      </c>
      <c r="J150" s="41">
        <v>0.299465241</v>
      </c>
      <c r="K150" s="41">
        <f t="shared" si="1"/>
        <v>0.203208556</v>
      </c>
      <c r="L150" s="42">
        <v>0.481638573</v>
      </c>
      <c r="M150" s="45">
        <f>('Cy Young Rank'!O$1-G150)*E150/9</f>
        <v>6.463331561</v>
      </c>
      <c r="N150" s="42"/>
      <c r="O150" s="66"/>
      <c r="P150" s="42"/>
      <c r="Q150" s="67"/>
      <c r="R150" s="67"/>
    </row>
    <row r="151">
      <c r="A151" s="1" t="s">
        <v>253</v>
      </c>
      <c r="B151" s="38">
        <v>701581.0</v>
      </c>
      <c r="C151" s="44" t="s">
        <v>537</v>
      </c>
      <c r="D151" s="38">
        <v>274.0</v>
      </c>
      <c r="E151" s="39">
        <f>IFERROR(__xludf.DUMMYFUNCTION("sum(filter('PLA Sheet'!H:H,'PLA Sheet'!C:C=B151,'PLA Sheet'!D:D=C151))"),16.931216932)</f>
        <v>16.93121693</v>
      </c>
      <c r="F151" s="40">
        <v>5.334609066</v>
      </c>
      <c r="G151" s="40">
        <f>IFERROR(__xludf.DUMMYFUNCTION("sum(filter('PLA Sheet'!J:J,'PLA Sheet'!C:C=B151,'PLA Sheet'!D:D=C151))/E151*9"),2.549884581444567)</f>
        <v>2.549884581</v>
      </c>
      <c r="H151" s="41">
        <v>0.587591241</v>
      </c>
      <c r="I151" s="41">
        <v>0.149635036</v>
      </c>
      <c r="J151" s="41">
        <v>0.262773723</v>
      </c>
      <c r="K151" s="41">
        <f t="shared" si="1"/>
        <v>0.324817518</v>
      </c>
      <c r="L151" s="42">
        <v>-8.601869192</v>
      </c>
      <c r="M151" s="45">
        <f>('Cy Young Rank'!O$1-G151)*E151/9</f>
        <v>2.840899083</v>
      </c>
      <c r="N151" s="42"/>
      <c r="O151" s="66"/>
      <c r="P151" s="42"/>
      <c r="Q151" s="67"/>
      <c r="R151" s="67"/>
    </row>
    <row r="152">
      <c r="A152" s="1" t="s">
        <v>87</v>
      </c>
      <c r="B152" s="38">
        <v>657097.0</v>
      </c>
      <c r="C152" s="44" t="s">
        <v>537</v>
      </c>
      <c r="D152" s="38">
        <v>430.0</v>
      </c>
      <c r="E152" s="39">
        <f>IFERROR(__xludf.DUMMYFUNCTION("sum(filter('PLA Sheet'!H:H,'PLA Sheet'!C:C=B152,'PLA Sheet'!D:D=C152))"),29.35582822)</f>
        <v>29.35582822</v>
      </c>
      <c r="F152" s="40">
        <v>5.333697529</v>
      </c>
      <c r="G152" s="40">
        <f>IFERROR(__xludf.DUMMYFUNCTION("sum(filter('PLA Sheet'!J:J,'PLA Sheet'!C:C=B152,'PLA Sheet'!D:D=C152))/E152*9"),2.2991381981863905)</f>
        <v>2.299138198</v>
      </c>
      <c r="H152" s="41">
        <v>0.604651163</v>
      </c>
      <c r="I152" s="41">
        <v>0.120930233</v>
      </c>
      <c r="J152" s="41">
        <v>0.274418605</v>
      </c>
      <c r="K152" s="41">
        <f t="shared" si="1"/>
        <v>0.330232558</v>
      </c>
      <c r="L152" s="42">
        <v>2.018710015</v>
      </c>
      <c r="M152" s="45">
        <f>('Cy Young Rank'!O$1-G152)*E152/9</f>
        <v>5.743506286</v>
      </c>
      <c r="N152" s="42"/>
      <c r="O152" s="66"/>
      <c r="P152" s="42"/>
      <c r="Q152" s="67"/>
      <c r="R152" s="67"/>
    </row>
    <row r="153">
      <c r="A153" s="1" t="s">
        <v>347</v>
      </c>
      <c r="B153" s="38">
        <v>700249.0</v>
      </c>
      <c r="C153" s="44" t="s">
        <v>541</v>
      </c>
      <c r="D153" s="38">
        <v>412.0</v>
      </c>
      <c r="E153" s="39">
        <f>IFERROR(__xludf.DUMMYFUNCTION("sum(filter('PLA Sheet'!H:H,'PLA Sheet'!C:C=B153,'PLA Sheet'!D:D=C153))"),24.507018437)</f>
        <v>24.50701844</v>
      </c>
      <c r="F153" s="40">
        <v>5.333362256</v>
      </c>
      <c r="G153" s="40">
        <f>IFERROR(__xludf.DUMMYFUNCTION("sum(filter('PLA Sheet'!J:J,'PLA Sheet'!C:C=B153,'PLA Sheet'!D:D=C153))/E153*9"),2.579804522632065)</f>
        <v>2.579804523</v>
      </c>
      <c r="H153" s="41">
        <v>0.533980583</v>
      </c>
      <c r="I153" s="41">
        <v>0.186893204</v>
      </c>
      <c r="J153" s="41">
        <v>0.279126214</v>
      </c>
      <c r="K153" s="41">
        <f t="shared" si="1"/>
        <v>0.254854369</v>
      </c>
      <c r="L153" s="42">
        <v>-8.203948931</v>
      </c>
      <c r="M153" s="45">
        <f>('Cy Young Rank'!O$1-G153)*E153/9</f>
        <v>4.030575317</v>
      </c>
      <c r="N153" s="42"/>
      <c r="O153" s="66"/>
      <c r="P153" s="42"/>
      <c r="Q153" s="67"/>
      <c r="R153" s="67"/>
    </row>
    <row r="154">
      <c r="A154" s="1" t="s">
        <v>221</v>
      </c>
      <c r="B154" s="38">
        <v>668964.0</v>
      </c>
      <c r="C154" s="44" t="s">
        <v>537</v>
      </c>
      <c r="D154" s="38">
        <v>357.0</v>
      </c>
      <c r="E154" s="39">
        <f>IFERROR(__xludf.DUMMYFUNCTION("sum(filter('PLA Sheet'!H:H,'PLA Sheet'!C:C=B154,'PLA Sheet'!D:D=C154))"),22.879741725)</f>
        <v>22.87974173</v>
      </c>
      <c r="F154" s="40">
        <v>5.33311557</v>
      </c>
      <c r="G154" s="40">
        <f>IFERROR(__xludf.DUMMYFUNCTION("sum(filter('PLA Sheet'!J:J,'PLA Sheet'!C:C=B154,'PLA Sheet'!D:D=C154))/E154*9"),2.638913967023812)</f>
        <v>2.638913967</v>
      </c>
      <c r="H154" s="41">
        <v>0.56302521</v>
      </c>
      <c r="I154" s="41">
        <v>0.154061625</v>
      </c>
      <c r="J154" s="41">
        <v>0.282913165</v>
      </c>
      <c r="K154" s="41">
        <f t="shared" si="1"/>
        <v>0.280112045</v>
      </c>
      <c r="L154" s="42">
        <v>-11.31404846</v>
      </c>
      <c r="M154" s="45">
        <f>('Cy Young Rank'!O$1-G154)*E154/9</f>
        <v>3.612675712</v>
      </c>
      <c r="N154" s="42"/>
      <c r="O154" s="66"/>
      <c r="P154" s="42"/>
      <c r="Q154" s="67"/>
      <c r="R154" s="67"/>
    </row>
    <row r="155">
      <c r="A155" s="1" t="s">
        <v>288</v>
      </c>
      <c r="B155" s="38">
        <v>641755.0</v>
      </c>
      <c r="C155" s="44" t="s">
        <v>533</v>
      </c>
      <c r="D155" s="38">
        <v>769.0</v>
      </c>
      <c r="E155" s="39">
        <f>IFERROR(__xludf.DUMMYFUNCTION("sum(filter('PLA Sheet'!H:H,'PLA Sheet'!C:C=B155,'PLA Sheet'!D:D=C155))"),46.68462585)</f>
        <v>46.68462585</v>
      </c>
      <c r="F155" s="40">
        <v>5.332250502</v>
      </c>
      <c r="G155" s="40">
        <f>IFERROR(__xludf.DUMMYFUNCTION("sum(filter('PLA Sheet'!J:J,'PLA Sheet'!C:C=B155,'PLA Sheet'!D:D=C155))/E155*9"),2.4644830906361435)</f>
        <v>2.464483091</v>
      </c>
      <c r="H155" s="41">
        <v>0.483745124</v>
      </c>
      <c r="I155" s="41">
        <v>0.2236671</v>
      </c>
      <c r="J155" s="41">
        <v>0.292587776</v>
      </c>
      <c r="K155" s="41">
        <f t="shared" si="1"/>
        <v>0.191157348</v>
      </c>
      <c r="L155" s="42">
        <v>15.1066974</v>
      </c>
      <c r="M155" s="45">
        <f>('Cy Young Rank'!O$1-G155)*E155/9</f>
        <v>8.276234439</v>
      </c>
      <c r="N155" s="42"/>
      <c r="O155" s="66"/>
      <c r="P155" s="42"/>
      <c r="Q155" s="67"/>
      <c r="R155" s="67"/>
    </row>
    <row r="156">
      <c r="A156" s="1" t="s">
        <v>351</v>
      </c>
      <c r="B156" s="38">
        <v>689017.0</v>
      </c>
      <c r="C156" s="44" t="s">
        <v>537</v>
      </c>
      <c r="D156" s="38">
        <v>359.0</v>
      </c>
      <c r="E156" s="39">
        <f>IFERROR(__xludf.DUMMYFUNCTION("sum(filter('PLA Sheet'!H:H,'PLA Sheet'!C:C=B156,'PLA Sheet'!D:D=C156))"),20.508635583)</f>
        <v>20.50863558</v>
      </c>
      <c r="F156" s="40">
        <v>5.331022472</v>
      </c>
      <c r="G156" s="40">
        <f>IFERROR(__xludf.DUMMYFUNCTION("sum(filter('PLA Sheet'!J:J,'PLA Sheet'!C:C=B156,'PLA Sheet'!D:D=C156))/E156*9"),2.848541179815258)</f>
        <v>2.84854118</v>
      </c>
      <c r="H156" s="41">
        <v>0.615598886</v>
      </c>
      <c r="I156" s="41">
        <v>0.114206128</v>
      </c>
      <c r="J156" s="41">
        <v>0.270194986</v>
      </c>
      <c r="K156" s="41">
        <f t="shared" si="1"/>
        <v>0.3454039</v>
      </c>
      <c r="L156" s="42">
        <v>-3.658035861</v>
      </c>
      <c r="M156" s="45">
        <f>('Cy Young Rank'!O$1-G156)*E156/9</f>
        <v>2.760596385</v>
      </c>
      <c r="N156" s="42"/>
      <c r="O156" s="66"/>
      <c r="P156" s="42"/>
      <c r="Q156" s="67"/>
      <c r="R156" s="67"/>
    </row>
    <row r="157">
      <c r="A157" s="1" t="s">
        <v>303</v>
      </c>
      <c r="B157" s="38">
        <v>592662.0</v>
      </c>
      <c r="C157" s="44" t="s">
        <v>537</v>
      </c>
      <c r="D157" s="38">
        <v>1550.0</v>
      </c>
      <c r="E157" s="39">
        <f>IFERROR(__xludf.DUMMYFUNCTION("sum(filter('PLA Sheet'!H:H,'PLA Sheet'!C:C=B157,'PLA Sheet'!D:D=C157))"),94.67307692)</f>
        <v>94.67307692</v>
      </c>
      <c r="F157" s="40">
        <v>5.330090044</v>
      </c>
      <c r="G157" s="40">
        <f>IFERROR(__xludf.DUMMYFUNCTION("sum(filter('PLA Sheet'!J:J,'PLA Sheet'!C:C=B157,'PLA Sheet'!D:D=C157))/E157*9"),2.5773906472501285)</f>
        <v>2.577390647</v>
      </c>
      <c r="H157" s="41">
        <v>0.578709677</v>
      </c>
      <c r="I157" s="41">
        <v>0.122580645</v>
      </c>
      <c r="J157" s="41">
        <v>0.298709677</v>
      </c>
      <c r="K157" s="41">
        <f t="shared" si="1"/>
        <v>0.28</v>
      </c>
      <c r="L157" s="42">
        <v>-6.789309508</v>
      </c>
      <c r="M157" s="45">
        <f>('Cy Young Rank'!O$1-G157)*E157/9</f>
        <v>15.59590992</v>
      </c>
      <c r="N157" s="42"/>
      <c r="O157" s="66"/>
      <c r="P157" s="42"/>
      <c r="Q157" s="67"/>
      <c r="R157" s="67"/>
    </row>
    <row r="158">
      <c r="A158" s="1" t="s">
        <v>222</v>
      </c>
      <c r="B158" s="38">
        <v>518876.0</v>
      </c>
      <c r="C158" s="44" t="s">
        <v>532</v>
      </c>
      <c r="D158" s="38">
        <v>727.0</v>
      </c>
      <c r="E158" s="39">
        <f>IFERROR(__xludf.DUMMYFUNCTION("sum(filter('PLA Sheet'!H:H,'PLA Sheet'!C:C=B158,'PLA Sheet'!D:D=C158))"),48.72881356)</f>
        <v>48.72881356</v>
      </c>
      <c r="F158" s="40">
        <v>5.328355302</v>
      </c>
      <c r="G158" s="40">
        <f>IFERROR(__xludf.DUMMYFUNCTION("sum(filter('PLA Sheet'!J:J,'PLA Sheet'!C:C=B158,'PLA Sheet'!D:D=C158))/E158*9"),2.244652250055726)</f>
        <v>2.24465225</v>
      </c>
      <c r="H158" s="41">
        <v>0.491059147</v>
      </c>
      <c r="I158" s="41">
        <v>0.225584594</v>
      </c>
      <c r="J158" s="41">
        <v>0.283356259</v>
      </c>
      <c r="K158" s="41">
        <f t="shared" si="1"/>
        <v>0.207702888</v>
      </c>
      <c r="L158" s="42">
        <v>0.434418099</v>
      </c>
      <c r="M158" s="45">
        <f>('Cy Young Rank'!O$1-G158)*E158/9</f>
        <v>9.828860228</v>
      </c>
      <c r="N158" s="42"/>
      <c r="O158" s="66"/>
      <c r="P158" s="42"/>
      <c r="Q158" s="67"/>
      <c r="R158" s="67"/>
    </row>
    <row r="159">
      <c r="A159" s="1" t="s">
        <v>182</v>
      </c>
      <c r="B159" s="38">
        <v>621381.0</v>
      </c>
      <c r="C159" s="44" t="s">
        <v>537</v>
      </c>
      <c r="D159" s="38">
        <v>365.0</v>
      </c>
      <c r="E159" s="39">
        <f>IFERROR(__xludf.DUMMYFUNCTION("sum(filter('PLA Sheet'!H:H,'PLA Sheet'!C:C=B159,'PLA Sheet'!D:D=C159))"),23.539778445)</f>
        <v>23.53977845</v>
      </c>
      <c r="F159" s="40">
        <v>5.327855154</v>
      </c>
      <c r="G159" s="40">
        <f>IFERROR(__xludf.DUMMYFUNCTION("sum(filter('PLA Sheet'!J:J,'PLA Sheet'!C:C=B159,'PLA Sheet'!D:D=C159))/E159*9"),2.550573155999812)</f>
        <v>2.550573156</v>
      </c>
      <c r="H159" s="41">
        <v>0.575342466</v>
      </c>
      <c r="I159" s="41">
        <v>0.134246575</v>
      </c>
      <c r="J159" s="41">
        <v>0.290410959</v>
      </c>
      <c r="K159" s="41">
        <f t="shared" si="1"/>
        <v>0.284931507</v>
      </c>
      <c r="L159" s="42">
        <v>-0.743620263</v>
      </c>
      <c r="M159" s="45">
        <f>('Cy Young Rank'!O$1-G159)*E159/9</f>
        <v>3.94795261</v>
      </c>
      <c r="N159" s="42"/>
      <c r="O159" s="66"/>
      <c r="P159" s="42"/>
      <c r="Q159" s="67"/>
      <c r="R159" s="67"/>
    </row>
    <row r="160">
      <c r="A160" s="1" t="s">
        <v>44</v>
      </c>
      <c r="B160" s="38">
        <v>650911.0</v>
      </c>
      <c r="C160" s="44" t="s">
        <v>532</v>
      </c>
      <c r="D160" s="38">
        <v>1042.0</v>
      </c>
      <c r="E160" s="39">
        <f>IFERROR(__xludf.DUMMYFUNCTION("sum(filter('PLA Sheet'!H:H,'PLA Sheet'!C:C=B160,'PLA Sheet'!D:D=C160))"),75.540745858)</f>
        <v>75.54074586</v>
      </c>
      <c r="F160" s="40">
        <v>5.327741205</v>
      </c>
      <c r="G160" s="40">
        <f>IFERROR(__xludf.DUMMYFUNCTION("sum(filter('PLA Sheet'!J:J,'PLA Sheet'!C:C=B160,'PLA Sheet'!D:D=C160))/E160*9"),2.00510133014472)</f>
        <v>2.00510133</v>
      </c>
      <c r="H160" s="41">
        <v>0.545105566</v>
      </c>
      <c r="I160" s="41">
        <v>0.161228407</v>
      </c>
      <c r="J160" s="41">
        <v>0.293666027</v>
      </c>
      <c r="K160" s="41">
        <f t="shared" si="1"/>
        <v>0.251439539</v>
      </c>
      <c r="L160" s="42">
        <v>12.11759636</v>
      </c>
      <c r="M160" s="45">
        <f>('Cy Young Rank'!O$1-G160)*E160/9</f>
        <v>17.2476198</v>
      </c>
      <c r="N160" s="42"/>
      <c r="O160" s="66"/>
      <c r="P160" s="42"/>
      <c r="Q160" s="67"/>
      <c r="R160" s="67"/>
    </row>
    <row r="161">
      <c r="A161" s="1" t="s">
        <v>128</v>
      </c>
      <c r="B161" s="38">
        <v>641941.0</v>
      </c>
      <c r="C161" s="44" t="s">
        <v>537</v>
      </c>
      <c r="D161" s="38">
        <v>639.0</v>
      </c>
      <c r="E161" s="39">
        <f>IFERROR(__xludf.DUMMYFUNCTION("sum(filter('PLA Sheet'!H:H,'PLA Sheet'!C:C=B161,'PLA Sheet'!D:D=C161))"),42.04868913999999)</f>
        <v>42.04868914</v>
      </c>
      <c r="F161" s="40">
        <v>5.32774065</v>
      </c>
      <c r="G161" s="40">
        <f>IFERROR(__xludf.DUMMYFUNCTION("sum(filter('PLA Sheet'!J:J,'PLA Sheet'!C:C=B161,'PLA Sheet'!D:D=C161))/E161*9"),2.470510665722028)</f>
        <v>2.470510666</v>
      </c>
      <c r="H161" s="41">
        <v>0.594679186</v>
      </c>
      <c r="I161" s="41">
        <v>0.106416275</v>
      </c>
      <c r="J161" s="41">
        <v>0.298904538</v>
      </c>
      <c r="K161" s="41">
        <f t="shared" si="1"/>
        <v>0.295774648</v>
      </c>
      <c r="L161" s="42">
        <v>-0.182796891</v>
      </c>
      <c r="M161" s="45">
        <f>('Cy Young Rank'!O$1-G161)*E161/9</f>
        <v>7.426215879</v>
      </c>
      <c r="N161" s="42"/>
      <c r="O161" s="66"/>
      <c r="P161" s="42"/>
      <c r="Q161" s="67"/>
      <c r="R161" s="67"/>
    </row>
    <row r="162">
      <c r="A162" s="1" t="s">
        <v>81</v>
      </c>
      <c r="B162" s="38">
        <v>663158.0</v>
      </c>
      <c r="C162" s="44" t="s">
        <v>537</v>
      </c>
      <c r="D162" s="38">
        <v>627.0</v>
      </c>
      <c r="E162" s="39">
        <f>IFERROR(__xludf.DUMMYFUNCTION("sum(filter('PLA Sheet'!H:H,'PLA Sheet'!C:C=B162,'PLA Sheet'!D:D=C162))"),42.08488228)</f>
        <v>42.08488228</v>
      </c>
      <c r="F162" s="40">
        <v>5.327601941</v>
      </c>
      <c r="G162" s="40">
        <f>IFERROR(__xludf.DUMMYFUNCTION("sum(filter('PLA Sheet'!J:J,'PLA Sheet'!C:C=B162,'PLA Sheet'!D:D=C162))/E162*9"),2.4143488705512426)</f>
        <v>2.414348871</v>
      </c>
      <c r="H162" s="41">
        <v>0.56937799</v>
      </c>
      <c r="I162" s="41">
        <v>0.153110048</v>
      </c>
      <c r="J162" s="41">
        <v>0.277511962</v>
      </c>
      <c r="K162" s="41">
        <f t="shared" si="1"/>
        <v>0.291866028</v>
      </c>
      <c r="L162" s="42">
        <v>7.431393248</v>
      </c>
      <c r="M162" s="45">
        <f>('Cy Young Rank'!O$1-G162)*E162/9</f>
        <v>7.695226006</v>
      </c>
      <c r="N162" s="42"/>
      <c r="O162" s="66"/>
      <c r="P162" s="42"/>
      <c r="Q162" s="67"/>
      <c r="R162" s="67"/>
    </row>
    <row r="163">
      <c r="A163" s="1" t="s">
        <v>209</v>
      </c>
      <c r="B163" s="38">
        <v>694738.0</v>
      </c>
      <c r="C163" s="44" t="s">
        <v>541</v>
      </c>
      <c r="D163" s="38">
        <v>644.0</v>
      </c>
      <c r="E163" s="39">
        <f>IFERROR(__xludf.DUMMYFUNCTION("sum(filter('PLA Sheet'!H:H,'PLA Sheet'!C:C=B163,'PLA Sheet'!D:D=C163))"),38.03349541)</f>
        <v>38.03349541</v>
      </c>
      <c r="F163" s="40">
        <v>5.327540815</v>
      </c>
      <c r="G163" s="40">
        <f>IFERROR(__xludf.DUMMYFUNCTION("sum(filter('PLA Sheet'!J:J,'PLA Sheet'!C:C=B163,'PLA Sheet'!D:D=C163))/E163*9"),2.4593875738122697)</f>
        <v>2.459387574</v>
      </c>
      <c r="H163" s="41">
        <v>0.543478261</v>
      </c>
      <c r="I163" s="41">
        <v>0.183229814</v>
      </c>
      <c r="J163" s="41">
        <v>0.273291925</v>
      </c>
      <c r="K163" s="41">
        <f t="shared" si="1"/>
        <v>0.270186336</v>
      </c>
      <c r="L163" s="42">
        <v>4.55527374</v>
      </c>
      <c r="M163" s="45">
        <f>('Cy Young Rank'!O$1-G163)*E163/9</f>
        <v>6.764098374</v>
      </c>
      <c r="N163" s="42"/>
      <c r="O163" s="66"/>
      <c r="P163" s="42"/>
      <c r="Q163" s="67"/>
      <c r="R163" s="67"/>
    </row>
    <row r="164">
      <c r="A164" s="1" t="s">
        <v>435</v>
      </c>
      <c r="B164" s="38">
        <v>543056.0</v>
      </c>
      <c r="C164" s="44" t="s">
        <v>540</v>
      </c>
      <c r="D164" s="38">
        <v>283.0</v>
      </c>
      <c r="E164" s="39">
        <f>IFERROR(__xludf.DUMMYFUNCTION("sum(filter('PLA Sheet'!H:H,'PLA Sheet'!C:C=B164,'PLA Sheet'!D:D=C164))"),17.367688022)</f>
        <v>17.36768802</v>
      </c>
      <c r="F164" s="40">
        <v>5.325613942</v>
      </c>
      <c r="G164" s="40">
        <f>IFERROR(__xludf.DUMMYFUNCTION("sum(filter('PLA Sheet'!J:J,'PLA Sheet'!C:C=B164,'PLA Sheet'!D:D=C164))/E164*9"),2.419456749037175)</f>
        <v>2.419456749</v>
      </c>
      <c r="H164" s="41">
        <v>0.568904594</v>
      </c>
      <c r="I164" s="41">
        <v>0.155477032</v>
      </c>
      <c r="J164" s="41">
        <v>0.275618375</v>
      </c>
      <c r="K164" s="41">
        <f t="shared" si="1"/>
        <v>0.293286219</v>
      </c>
      <c r="L164" s="42">
        <v>4.720098741</v>
      </c>
      <c r="M164" s="45">
        <f>('Cy Young Rank'!O$1-G164)*E164/9</f>
        <v>3.165827041</v>
      </c>
      <c r="N164" s="42"/>
      <c r="O164" s="66"/>
      <c r="P164" s="42"/>
      <c r="Q164" s="67"/>
      <c r="R164" s="67"/>
    </row>
    <row r="165">
      <c r="A165" s="1" t="s">
        <v>55</v>
      </c>
      <c r="B165" s="38">
        <v>641816.0</v>
      </c>
      <c r="C165" s="44" t="s">
        <v>538</v>
      </c>
      <c r="D165" s="38">
        <v>374.0</v>
      </c>
      <c r="E165" s="39">
        <f>IFERROR(__xludf.DUMMYFUNCTION("sum(filter('PLA Sheet'!H:H,'PLA Sheet'!C:C=B165,'PLA Sheet'!D:D=C165))"),24.035722908)</f>
        <v>24.03572291</v>
      </c>
      <c r="F165" s="40">
        <v>5.325598423</v>
      </c>
      <c r="G165" s="40">
        <f>IFERROR(__xludf.DUMMYFUNCTION("sum(filter('PLA Sheet'!J:J,'PLA Sheet'!C:C=B165,'PLA Sheet'!D:D=C165))/E165*9"),2.3141335175521984)</f>
        <v>2.314133518</v>
      </c>
      <c r="H165" s="41">
        <v>0.502673797</v>
      </c>
      <c r="I165" s="41">
        <v>0.197860963</v>
      </c>
      <c r="J165" s="41">
        <v>0.299465241</v>
      </c>
      <c r="K165" s="41">
        <f t="shared" si="1"/>
        <v>0.203208556</v>
      </c>
      <c r="L165" s="42">
        <v>6.648289506</v>
      </c>
      <c r="M165" s="45">
        <f>('Cy Young Rank'!O$1-G165)*E165/9</f>
        <v>4.662573667</v>
      </c>
      <c r="N165" s="42"/>
      <c r="O165" s="66"/>
      <c r="P165" s="42"/>
      <c r="Q165" s="67"/>
      <c r="R165" s="67"/>
    </row>
    <row r="166">
      <c r="A166" s="1" t="s">
        <v>65</v>
      </c>
      <c r="B166" s="38">
        <v>680885.0</v>
      </c>
      <c r="C166" s="44" t="s">
        <v>537</v>
      </c>
      <c r="D166" s="38">
        <v>533.0</v>
      </c>
      <c r="E166" s="39">
        <f>IFERROR(__xludf.DUMMYFUNCTION("sum(filter('PLA Sheet'!H:H,'PLA Sheet'!C:C=B166,'PLA Sheet'!D:D=C166))"),39.116762030000004)</f>
        <v>39.11676203</v>
      </c>
      <c r="F166" s="40">
        <v>5.325332954</v>
      </c>
      <c r="G166" s="40">
        <f>IFERROR(__xludf.DUMMYFUNCTION("sum(filter('PLA Sheet'!J:J,'PLA Sheet'!C:C=B166,'PLA Sheet'!D:D=C166))/E166*9"),2.329639910637562)</f>
        <v>2.329639911</v>
      </c>
      <c r="H166" s="41">
        <v>0.551594747</v>
      </c>
      <c r="I166" s="41">
        <v>0.193245779</v>
      </c>
      <c r="J166" s="41">
        <v>0.255159475</v>
      </c>
      <c r="K166" s="41">
        <f t="shared" si="1"/>
        <v>0.296435272</v>
      </c>
      <c r="L166" s="42">
        <v>3.847752924</v>
      </c>
      <c r="M166" s="45">
        <f>('Cy Young Rank'!O$1-G166)*E166/9</f>
        <v>7.520675982</v>
      </c>
      <c r="N166" s="42"/>
      <c r="O166" s="66"/>
      <c r="P166" s="42"/>
      <c r="Q166" s="67"/>
      <c r="R166" s="67"/>
    </row>
    <row r="167">
      <c r="A167" s="1" t="s">
        <v>211</v>
      </c>
      <c r="B167" s="38">
        <v>668933.0</v>
      </c>
      <c r="C167" s="44" t="s">
        <v>533</v>
      </c>
      <c r="D167" s="38">
        <v>465.0</v>
      </c>
      <c r="E167" s="39">
        <f>IFERROR(__xludf.DUMMYFUNCTION("sum(filter('PLA Sheet'!H:H,'PLA Sheet'!C:C=B167,'PLA Sheet'!D:D=C167))"),29.99422522)</f>
        <v>29.99422522</v>
      </c>
      <c r="F167" s="40">
        <v>5.325165984</v>
      </c>
      <c r="G167" s="40">
        <f>IFERROR(__xludf.DUMMYFUNCTION("sum(filter('PLA Sheet'!J:J,'PLA Sheet'!C:C=B167,'PLA Sheet'!D:D=C167))/E167*9"),2.296111284584133)</f>
        <v>2.296111285</v>
      </c>
      <c r="H167" s="41">
        <v>0.494623656</v>
      </c>
      <c r="I167" s="41">
        <v>0.217204301</v>
      </c>
      <c r="J167" s="41">
        <v>0.288172043</v>
      </c>
      <c r="K167" s="41">
        <f t="shared" si="1"/>
        <v>0.206451613</v>
      </c>
      <c r="L167" s="42">
        <v>0.916194304</v>
      </c>
      <c r="M167" s="45">
        <f>('Cy Young Rank'!O$1-G167)*E167/9</f>
        <v>5.878497266</v>
      </c>
      <c r="N167" s="42"/>
      <c r="O167" s="66"/>
      <c r="P167" s="42"/>
      <c r="Q167" s="67"/>
      <c r="R167" s="67"/>
    </row>
    <row r="168">
      <c r="A168" s="1" t="s">
        <v>232</v>
      </c>
      <c r="B168" s="38">
        <v>579328.0</v>
      </c>
      <c r="C168" s="44" t="s">
        <v>541</v>
      </c>
      <c r="D168" s="38">
        <v>453.0</v>
      </c>
      <c r="E168" s="39">
        <f>IFERROR(__xludf.DUMMYFUNCTION("sum(filter('PLA Sheet'!H:H,'PLA Sheet'!C:C=B168,'PLA Sheet'!D:D=C168))"),27.387110682)</f>
        <v>27.38711068</v>
      </c>
      <c r="F168" s="40">
        <v>5.325025698</v>
      </c>
      <c r="G168" s="40">
        <f>IFERROR(__xludf.DUMMYFUNCTION("sum(filter('PLA Sheet'!J:J,'PLA Sheet'!C:C=B168,'PLA Sheet'!D:D=C168))/E168*9"),2.542120518239194)</f>
        <v>2.542120518</v>
      </c>
      <c r="H168" s="41">
        <v>0.556291391</v>
      </c>
      <c r="I168" s="41">
        <v>0.163355408</v>
      </c>
      <c r="J168" s="41">
        <v>0.280353201</v>
      </c>
      <c r="K168" s="41">
        <f t="shared" si="1"/>
        <v>0.27593819</v>
      </c>
      <c r="L168" s="42">
        <v>-1.293785457</v>
      </c>
      <c r="M168" s="45">
        <f>('Cy Young Rank'!O$1-G168)*E168/9</f>
        <v>4.61892593</v>
      </c>
      <c r="N168" s="42"/>
      <c r="O168" s="66"/>
      <c r="P168" s="42"/>
      <c r="Q168" s="67"/>
      <c r="R168" s="67"/>
    </row>
    <row r="169">
      <c r="A169" s="1" t="s">
        <v>241</v>
      </c>
      <c r="B169" s="38">
        <v>669199.0</v>
      </c>
      <c r="C169" s="44" t="s">
        <v>539</v>
      </c>
      <c r="D169" s="38">
        <v>303.0</v>
      </c>
      <c r="E169" s="39">
        <f>IFERROR(__xludf.DUMMYFUNCTION("sum(filter('PLA Sheet'!H:H,'PLA Sheet'!C:C=B169,'PLA Sheet'!D:D=C169))"),19.132108491)</f>
        <v>19.13210849</v>
      </c>
      <c r="F169" s="40">
        <v>5.320897355</v>
      </c>
      <c r="G169" s="40">
        <f>IFERROR(__xludf.DUMMYFUNCTION("sum(filter('PLA Sheet'!J:J,'PLA Sheet'!C:C=B169,'PLA Sheet'!D:D=C169))/E169*9"),2.4283256611185817)</f>
        <v>2.428325661</v>
      </c>
      <c r="H169" s="41">
        <v>0.537953795</v>
      </c>
      <c r="I169" s="41">
        <v>0.161716172</v>
      </c>
      <c r="J169" s="41">
        <v>0.300330033</v>
      </c>
      <c r="K169" s="41">
        <f t="shared" si="1"/>
        <v>0.237623762</v>
      </c>
      <c r="L169" s="42">
        <v>0.856633784</v>
      </c>
      <c r="M169" s="45">
        <f>('Cy Young Rank'!O$1-G169)*E169/9</f>
        <v>3.468596719</v>
      </c>
      <c r="N169" s="42"/>
      <c r="O169" s="66"/>
      <c r="P169" s="42"/>
      <c r="Q169" s="67"/>
      <c r="R169" s="67"/>
    </row>
    <row r="170">
      <c r="A170" s="1" t="s">
        <v>388</v>
      </c>
      <c r="B170" s="38">
        <v>687863.0</v>
      </c>
      <c r="C170" s="44" t="s">
        <v>539</v>
      </c>
      <c r="D170" s="38">
        <v>276.0</v>
      </c>
      <c r="E170" s="39">
        <f>IFERROR(__xludf.DUMMYFUNCTION("sum(filter('PLA Sheet'!H:H,'PLA Sheet'!C:C=B170,'PLA Sheet'!D:D=C170))"),15.177884615)</f>
        <v>15.17788462</v>
      </c>
      <c r="F170" s="40">
        <v>5.319447518</v>
      </c>
      <c r="G170" s="40">
        <f>IFERROR(__xludf.DUMMYFUNCTION("sum(filter('PLA Sheet'!J:J,'PLA Sheet'!C:C=B170,'PLA Sheet'!D:D=C170))/E170*9"),2.625812951602808)</f>
        <v>2.625812952</v>
      </c>
      <c r="H170" s="41">
        <v>0.528985507</v>
      </c>
      <c r="I170" s="41">
        <v>0.166666667</v>
      </c>
      <c r="J170" s="41">
        <v>0.304347826</v>
      </c>
      <c r="K170" s="41">
        <f t="shared" si="1"/>
        <v>0.224637681</v>
      </c>
      <c r="L170" s="42">
        <v>-4.84222679</v>
      </c>
      <c r="M170" s="45">
        <f>('Cy Young Rank'!O$1-G170)*E170/9</f>
        <v>2.418658393</v>
      </c>
      <c r="N170" s="42"/>
      <c r="O170" s="66"/>
      <c r="P170" s="42"/>
      <c r="Q170" s="67"/>
      <c r="R170" s="67"/>
    </row>
    <row r="171">
      <c r="A171" s="1" t="s">
        <v>76</v>
      </c>
      <c r="B171" s="38">
        <v>687911.0</v>
      </c>
      <c r="C171" s="44" t="s">
        <v>537</v>
      </c>
      <c r="D171" s="38">
        <v>626.0</v>
      </c>
      <c r="E171" s="39">
        <f>IFERROR(__xludf.DUMMYFUNCTION("sum(filter('PLA Sheet'!H:H,'PLA Sheet'!C:C=B171,'PLA Sheet'!D:D=C171))"),42.434615390000005)</f>
        <v>42.43461539</v>
      </c>
      <c r="F171" s="40">
        <v>5.318234273</v>
      </c>
      <c r="G171" s="40">
        <f>IFERROR(__xludf.DUMMYFUNCTION("sum(filter('PLA Sheet'!J:J,'PLA Sheet'!C:C=B171,'PLA Sheet'!D:D=C171))/E171*9"),2.4359442415108923)</f>
        <v>2.435944242</v>
      </c>
      <c r="H171" s="41">
        <v>0.530351438</v>
      </c>
      <c r="I171" s="41">
        <v>0.182108626</v>
      </c>
      <c r="J171" s="41">
        <v>0.287539936</v>
      </c>
      <c r="K171" s="41">
        <f t="shared" si="1"/>
        <v>0.242811502</v>
      </c>
      <c r="L171" s="42">
        <v>0.900837978</v>
      </c>
      <c r="M171" s="45">
        <f>('Cy Young Rank'!O$1-G171)*E171/9</f>
        <v>7.657353498</v>
      </c>
      <c r="N171" s="42"/>
      <c r="O171" s="66"/>
      <c r="P171" s="42"/>
      <c r="Q171" s="67"/>
      <c r="R171" s="67"/>
    </row>
    <row r="172">
      <c r="A172" s="1" t="s">
        <v>131</v>
      </c>
      <c r="B172" s="38">
        <v>676684.0</v>
      </c>
      <c r="C172" s="44" t="s">
        <v>537</v>
      </c>
      <c r="D172" s="38">
        <v>574.0</v>
      </c>
      <c r="E172" s="39">
        <f>IFERROR(__xludf.DUMMYFUNCTION("sum(filter('PLA Sheet'!H:H,'PLA Sheet'!C:C=B172,'PLA Sheet'!D:D=C172))"),36.05452947)</f>
        <v>36.05452947</v>
      </c>
      <c r="F172" s="40">
        <v>5.318077315</v>
      </c>
      <c r="G172" s="40">
        <f>IFERROR(__xludf.DUMMYFUNCTION("sum(filter('PLA Sheet'!J:J,'PLA Sheet'!C:C=B172,'PLA Sheet'!D:D=C172))/E172*9"),2.6224617375376886)</f>
        <v>2.622461738</v>
      </c>
      <c r="H172" s="41">
        <v>0.540069686</v>
      </c>
      <c r="I172" s="41">
        <v>0.174216028</v>
      </c>
      <c r="J172" s="41">
        <v>0.285714286</v>
      </c>
      <c r="K172" s="41">
        <f t="shared" si="1"/>
        <v>0.2543554</v>
      </c>
      <c r="L172" s="42">
        <v>-0.045913219</v>
      </c>
      <c r="M172" s="45">
        <f>('Cy Young Rank'!O$1-G172)*E172/9</f>
        <v>5.75886285</v>
      </c>
      <c r="N172" s="42"/>
      <c r="O172" s="66"/>
      <c r="P172" s="42"/>
      <c r="Q172" s="67"/>
      <c r="R172" s="67"/>
    </row>
    <row r="173">
      <c r="A173" s="1" t="s">
        <v>174</v>
      </c>
      <c r="B173" s="38">
        <v>643338.0</v>
      </c>
      <c r="C173" s="44" t="s">
        <v>537</v>
      </c>
      <c r="D173" s="38">
        <v>350.0</v>
      </c>
      <c r="E173" s="39">
        <f>IFERROR(__xludf.DUMMYFUNCTION("sum(filter('PLA Sheet'!H:H,'PLA Sheet'!C:C=B173,'PLA Sheet'!D:D=C173))"),22.017840370000002)</f>
        <v>22.01784037</v>
      </c>
      <c r="F173" s="40">
        <v>5.316537499</v>
      </c>
      <c r="G173" s="40">
        <f>IFERROR(__xludf.DUMMYFUNCTION("sum(filter('PLA Sheet'!J:J,'PLA Sheet'!C:C=B173,'PLA Sheet'!D:D=C173))/E173*9"),2.5769130871394355)</f>
        <v>2.576913087</v>
      </c>
      <c r="H173" s="41">
        <v>0.537142857</v>
      </c>
      <c r="I173" s="41">
        <v>0.165714286</v>
      </c>
      <c r="J173" s="41">
        <v>0.297142857</v>
      </c>
      <c r="K173" s="41">
        <f t="shared" si="1"/>
        <v>0.24</v>
      </c>
      <c r="L173" s="42">
        <v>-13.06648942</v>
      </c>
      <c r="M173" s="45">
        <f>('Cy Young Rank'!O$1-G173)*E173/9</f>
        <v>3.628263434</v>
      </c>
      <c r="N173" s="42"/>
      <c r="O173" s="66"/>
      <c r="P173" s="42"/>
      <c r="Q173" s="67"/>
      <c r="R173" s="67"/>
    </row>
    <row r="174">
      <c r="A174" s="1" t="s">
        <v>155</v>
      </c>
      <c r="B174" s="38">
        <v>592332.0</v>
      </c>
      <c r="C174" s="44" t="s">
        <v>537</v>
      </c>
      <c r="D174" s="38">
        <v>1546.0</v>
      </c>
      <c r="E174" s="39">
        <f>IFERROR(__xludf.DUMMYFUNCTION("sum(filter('PLA Sheet'!H:H,'PLA Sheet'!C:C=B174,'PLA Sheet'!D:D=C174))"),103.63870542)</f>
        <v>103.6387054</v>
      </c>
      <c r="F174" s="40">
        <v>5.31431824</v>
      </c>
      <c r="G174" s="40">
        <f>IFERROR(__xludf.DUMMYFUNCTION("sum(filter('PLA Sheet'!J:J,'PLA Sheet'!C:C=B174,'PLA Sheet'!D:D=C174))/E174*9"),2.5870148407726035)</f>
        <v>2.587014841</v>
      </c>
      <c r="H174" s="41">
        <v>0.56080207</v>
      </c>
      <c r="I174" s="41">
        <v>0.191461837</v>
      </c>
      <c r="J174" s="41">
        <v>0.247736093</v>
      </c>
      <c r="K174" s="41">
        <f t="shared" si="1"/>
        <v>0.313065977</v>
      </c>
      <c r="L174" s="42">
        <v>9.839027931</v>
      </c>
      <c r="M174" s="45">
        <f>('Cy Young Rank'!O$1-G174)*E174/9</f>
        <v>16.96203056</v>
      </c>
      <c r="N174" s="42"/>
      <c r="O174" s="66"/>
      <c r="P174" s="42"/>
      <c r="Q174" s="67"/>
      <c r="R174" s="67"/>
    </row>
    <row r="175">
      <c r="A175" s="1" t="s">
        <v>308</v>
      </c>
      <c r="B175" s="38">
        <v>676440.0</v>
      </c>
      <c r="C175" s="44" t="s">
        <v>540</v>
      </c>
      <c r="D175" s="38">
        <v>603.0</v>
      </c>
      <c r="E175" s="39">
        <f>IFERROR(__xludf.DUMMYFUNCTION("sum(filter('PLA Sheet'!H:H,'PLA Sheet'!C:C=B175,'PLA Sheet'!D:D=C175))"),38.07567082)</f>
        <v>38.07567082</v>
      </c>
      <c r="F175" s="40">
        <v>5.313180404</v>
      </c>
      <c r="G175" s="40">
        <f>IFERROR(__xludf.DUMMYFUNCTION("sum(filter('PLA Sheet'!J:J,'PLA Sheet'!C:C=B175,'PLA Sheet'!D:D=C175))/E175*9"),2.473925343175346)</f>
        <v>2.473925343</v>
      </c>
      <c r="H175" s="41">
        <v>0.524046434</v>
      </c>
      <c r="I175" s="41">
        <v>0.177446103</v>
      </c>
      <c r="J175" s="41">
        <v>0.298507463</v>
      </c>
      <c r="K175" s="41">
        <f t="shared" si="1"/>
        <v>0.225538971</v>
      </c>
      <c r="L175" s="42">
        <v>7.218269865</v>
      </c>
      <c r="M175" s="45">
        <f>('Cy Young Rank'!O$1-G175)*E175/9</f>
        <v>6.71009517</v>
      </c>
      <c r="N175" s="42"/>
      <c r="O175" s="66"/>
      <c r="P175" s="42"/>
      <c r="Q175" s="67"/>
      <c r="R175" s="67"/>
    </row>
    <row r="176">
      <c r="A176" s="1" t="s">
        <v>125</v>
      </c>
      <c r="B176" s="38">
        <v>663554.0</v>
      </c>
      <c r="C176" s="44" t="s">
        <v>536</v>
      </c>
      <c r="D176" s="38">
        <v>270.0</v>
      </c>
      <c r="E176" s="39">
        <f>IFERROR(__xludf.DUMMYFUNCTION("sum(filter('PLA Sheet'!H:H,'PLA Sheet'!C:C=B176,'PLA Sheet'!D:D=C176))"),18.118197281)</f>
        <v>18.11819728</v>
      </c>
      <c r="F176" s="40">
        <v>5.312777867</v>
      </c>
      <c r="G176" s="40">
        <f>IFERROR(__xludf.DUMMYFUNCTION("sum(filter('PLA Sheet'!J:J,'PLA Sheet'!C:C=B176,'PLA Sheet'!D:D=C176))/E176*9"),2.4888449607118504)</f>
        <v>2.488844961</v>
      </c>
      <c r="H176" s="41">
        <v>0.477777778</v>
      </c>
      <c r="I176" s="41">
        <v>0.281481481</v>
      </c>
      <c r="J176" s="41">
        <v>0.240740741</v>
      </c>
      <c r="K176" s="41">
        <f t="shared" si="1"/>
        <v>0.237037037</v>
      </c>
      <c r="L176" s="42">
        <v>3.477818515</v>
      </c>
      <c r="M176" s="45">
        <f>('Cy Young Rank'!O$1-G176)*E176/9</f>
        <v>3.162944107</v>
      </c>
      <c r="N176" s="42"/>
      <c r="O176" s="66"/>
      <c r="P176" s="42"/>
      <c r="Q176" s="67"/>
      <c r="R176" s="67"/>
    </row>
    <row r="177">
      <c r="A177" s="1" t="s">
        <v>194</v>
      </c>
      <c r="B177" s="38">
        <v>666157.0</v>
      </c>
      <c r="C177" s="44" t="s">
        <v>532</v>
      </c>
      <c r="D177" s="38">
        <v>526.0</v>
      </c>
      <c r="E177" s="39">
        <f>IFERROR(__xludf.DUMMYFUNCTION("sum(filter('PLA Sheet'!H:H,'PLA Sheet'!C:C=B177,'PLA Sheet'!D:D=C177))"),34.090970263)</f>
        <v>34.09097026</v>
      </c>
      <c r="F177" s="40">
        <v>5.311005364</v>
      </c>
      <c r="G177" s="40">
        <f>IFERROR(__xludf.DUMMYFUNCTION("sum(filter('PLA Sheet'!J:J,'PLA Sheet'!C:C=B177,'PLA Sheet'!D:D=C177))/E177*9"),2.396256380202281)</f>
        <v>2.39625638</v>
      </c>
      <c r="H177" s="41">
        <v>0.517110266</v>
      </c>
      <c r="I177" s="41">
        <v>0.199619772</v>
      </c>
      <c r="J177" s="41">
        <v>0.283269962</v>
      </c>
      <c r="K177" s="41">
        <f t="shared" si="1"/>
        <v>0.233840304</v>
      </c>
      <c r="L177" s="42">
        <v>10.25233964</v>
      </c>
      <c r="M177" s="45">
        <f>('Cy Young Rank'!O$1-G177)*E177/9</f>
        <v>6.302070474</v>
      </c>
      <c r="N177" s="42"/>
      <c r="O177" s="66"/>
      <c r="P177" s="42"/>
      <c r="Q177" s="67"/>
      <c r="R177" s="67"/>
    </row>
    <row r="178">
      <c r="A178" s="1" t="s">
        <v>282</v>
      </c>
      <c r="B178" s="38">
        <v>656302.0</v>
      </c>
      <c r="C178" s="44" t="s">
        <v>533</v>
      </c>
      <c r="D178" s="38">
        <v>1218.0</v>
      </c>
      <c r="E178" s="39">
        <f>IFERROR(__xludf.DUMMYFUNCTION("sum(filter('PLA Sheet'!H:H,'PLA Sheet'!C:C=B178,'PLA Sheet'!D:D=C178))"),68.85789473)</f>
        <v>68.85789473</v>
      </c>
      <c r="F178" s="40">
        <v>5.309938223</v>
      </c>
      <c r="G178" s="40">
        <f>IFERROR(__xludf.DUMMYFUNCTION("sum(filter('PLA Sheet'!J:J,'PLA Sheet'!C:C=B178,'PLA Sheet'!D:D=C178))/E178*9"),2.686332231406576)</f>
        <v>2.686332231</v>
      </c>
      <c r="H178" s="41">
        <v>0.489326765</v>
      </c>
      <c r="I178" s="41">
        <v>0.201970443</v>
      </c>
      <c r="J178" s="41">
        <v>0.308702791</v>
      </c>
      <c r="K178" s="41">
        <f t="shared" si="1"/>
        <v>0.180623974</v>
      </c>
      <c r="L178" s="42">
        <v>3.388541004</v>
      </c>
      <c r="M178" s="45">
        <f>('Cy Young Rank'!O$1-G178)*E178/9</f>
        <v>10.5097634</v>
      </c>
      <c r="N178" s="42"/>
      <c r="O178" s="66"/>
      <c r="P178" s="42"/>
      <c r="Q178" s="67"/>
      <c r="R178" s="67"/>
    </row>
    <row r="179">
      <c r="A179" s="1" t="s">
        <v>172</v>
      </c>
      <c r="B179" s="38">
        <v>608650.0</v>
      </c>
      <c r="C179" s="44" t="s">
        <v>537</v>
      </c>
      <c r="D179" s="38">
        <v>317.0</v>
      </c>
      <c r="E179" s="39">
        <f>IFERROR(__xludf.DUMMYFUNCTION("sum(filter('PLA Sheet'!H:H,'PLA Sheet'!C:C=B179,'PLA Sheet'!D:D=C179))"),20.446693658)</f>
        <v>20.44669366</v>
      </c>
      <c r="F179" s="40">
        <v>5.309934238</v>
      </c>
      <c r="G179" s="40">
        <f>IFERROR(__xludf.DUMMYFUNCTION("sum(filter('PLA Sheet'!J:J,'PLA Sheet'!C:C=B179,'PLA Sheet'!D:D=C179))/E179*9"),2.6090799760736547)</f>
        <v>2.609079976</v>
      </c>
      <c r="H179" s="41">
        <v>0.56466877</v>
      </c>
      <c r="I179" s="41">
        <v>0.154574132</v>
      </c>
      <c r="J179" s="41">
        <v>0.280757098</v>
      </c>
      <c r="K179" s="41">
        <f t="shared" si="1"/>
        <v>0.283911672</v>
      </c>
      <c r="L179" s="42">
        <v>0.984218163</v>
      </c>
      <c r="M179" s="45">
        <f>('Cy Young Rank'!O$1-G179)*E179/9</f>
        <v>3.296279695</v>
      </c>
      <c r="N179" s="42"/>
      <c r="O179" s="66"/>
      <c r="P179" s="42"/>
      <c r="Q179" s="67"/>
      <c r="R179" s="67"/>
    </row>
    <row r="180">
      <c r="A180" s="1" t="s">
        <v>98</v>
      </c>
      <c r="B180" s="38">
        <v>605400.0</v>
      </c>
      <c r="C180" s="44" t="s">
        <v>537</v>
      </c>
      <c r="D180" s="38">
        <v>464.0</v>
      </c>
      <c r="E180" s="39">
        <f>IFERROR(__xludf.DUMMYFUNCTION("sum(filter('PLA Sheet'!H:H,'PLA Sheet'!C:C=B180,'PLA Sheet'!D:D=C180))"),28.59497979)</f>
        <v>28.59497979</v>
      </c>
      <c r="F180" s="40">
        <v>5.308818931</v>
      </c>
      <c r="G180" s="40">
        <f>IFERROR(__xludf.DUMMYFUNCTION("sum(filter('PLA Sheet'!J:J,'PLA Sheet'!C:C=B180,'PLA Sheet'!D:D=C180))/E180*9"),2.625673091968987)</f>
        <v>2.625673092</v>
      </c>
      <c r="H180" s="41">
        <v>0.540948276</v>
      </c>
      <c r="I180" s="41">
        <v>0.168103448</v>
      </c>
      <c r="J180" s="41">
        <v>0.290948276</v>
      </c>
      <c r="K180" s="41">
        <f t="shared" si="1"/>
        <v>0.25</v>
      </c>
      <c r="L180" s="42">
        <v>2.550977775</v>
      </c>
      <c r="M180" s="45">
        <f>('Cy Young Rank'!O$1-G180)*E180/9</f>
        <v>4.557172105</v>
      </c>
      <c r="N180" s="42"/>
      <c r="O180" s="66"/>
      <c r="P180" s="42"/>
      <c r="Q180" s="67"/>
      <c r="R180" s="67"/>
    </row>
    <row r="181">
      <c r="A181" s="1" t="s">
        <v>226</v>
      </c>
      <c r="B181" s="38">
        <v>607259.0</v>
      </c>
      <c r="C181" s="44" t="s">
        <v>540</v>
      </c>
      <c r="D181" s="38">
        <v>531.0</v>
      </c>
      <c r="E181" s="39">
        <f>IFERROR(__xludf.DUMMYFUNCTION("sum(filter('PLA Sheet'!H:H,'PLA Sheet'!C:C=B181,'PLA Sheet'!D:D=C181))"),35.086889060000004)</f>
        <v>35.08688906</v>
      </c>
      <c r="F181" s="40">
        <v>5.308399423</v>
      </c>
      <c r="G181" s="40">
        <f>IFERROR(__xludf.DUMMYFUNCTION("sum(filter('PLA Sheet'!J:J,'PLA Sheet'!C:C=B181,'PLA Sheet'!D:D=C181))/E181*9"),2.401463687929476)</f>
        <v>2.401463688</v>
      </c>
      <c r="H181" s="41">
        <v>0.506591337</v>
      </c>
      <c r="I181" s="41">
        <v>0.203389831</v>
      </c>
      <c r="J181" s="41">
        <v>0.290018832</v>
      </c>
      <c r="K181" s="41">
        <f t="shared" si="1"/>
        <v>0.216572505</v>
      </c>
      <c r="L181" s="42">
        <v>2.638545207</v>
      </c>
      <c r="M181" s="45">
        <f>('Cy Young Rank'!O$1-G181)*E181/9</f>
        <v>6.465875509</v>
      </c>
      <c r="N181" s="42"/>
      <c r="O181" s="66"/>
      <c r="P181" s="42"/>
      <c r="Q181" s="67"/>
      <c r="R181" s="67"/>
    </row>
    <row r="182">
      <c r="A182" s="1" t="s">
        <v>178</v>
      </c>
      <c r="B182" s="38">
        <v>572955.0</v>
      </c>
      <c r="C182" s="44" t="s">
        <v>541</v>
      </c>
      <c r="D182" s="38">
        <v>680.0</v>
      </c>
      <c r="E182" s="39">
        <f>IFERROR(__xludf.DUMMYFUNCTION("sum(filter('PLA Sheet'!H:H,'PLA Sheet'!C:C=B182,'PLA Sheet'!D:D=C182))"),42.54338843)</f>
        <v>42.54338843</v>
      </c>
      <c r="F182" s="40">
        <v>5.307595104</v>
      </c>
      <c r="G182" s="40">
        <f>IFERROR(__xludf.DUMMYFUNCTION("sum(filter('PLA Sheet'!J:J,'PLA Sheet'!C:C=B182,'PLA Sheet'!D:D=C182))/E182*9"),2.468646383745509)</f>
        <v>2.468646384</v>
      </c>
      <c r="H182" s="41">
        <v>0.523529412</v>
      </c>
      <c r="I182" s="41">
        <v>0.179411765</v>
      </c>
      <c r="J182" s="41">
        <v>0.297058824</v>
      </c>
      <c r="K182" s="41">
        <f t="shared" si="1"/>
        <v>0.226470588</v>
      </c>
      <c r="L182" s="42">
        <v>0.879823388</v>
      </c>
      <c r="M182" s="45">
        <f>('Cy Young Rank'!O$1-G182)*E182/9</f>
        <v>7.522397225</v>
      </c>
      <c r="N182" s="42"/>
      <c r="O182" s="66"/>
      <c r="P182" s="42"/>
      <c r="Q182" s="67"/>
      <c r="R182" s="67"/>
    </row>
    <row r="183">
      <c r="A183" s="1" t="s">
        <v>194</v>
      </c>
      <c r="B183" s="38">
        <v>666157.0</v>
      </c>
      <c r="C183" s="44" t="s">
        <v>536</v>
      </c>
      <c r="D183" s="38">
        <v>494.0</v>
      </c>
      <c r="E183" s="39">
        <f>IFERROR(__xludf.DUMMYFUNCTION("sum(filter('PLA Sheet'!H:H,'PLA Sheet'!C:C=B183,'PLA Sheet'!D:D=C183))"),32.003768)</f>
        <v>32.003768</v>
      </c>
      <c r="F183" s="40">
        <v>5.306535328</v>
      </c>
      <c r="G183" s="40">
        <f>IFERROR(__xludf.DUMMYFUNCTION("sum(filter('PLA Sheet'!J:J,'PLA Sheet'!C:C=B183,'PLA Sheet'!D:D=C183))/E183*9"),2.4071521515841505)</f>
        <v>2.407152152</v>
      </c>
      <c r="H183" s="41">
        <v>0.530364372</v>
      </c>
      <c r="I183" s="41">
        <v>0.143724696</v>
      </c>
      <c r="J183" s="41">
        <v>0.325910931</v>
      </c>
      <c r="K183" s="41">
        <f t="shared" si="1"/>
        <v>0.204453441</v>
      </c>
      <c r="L183" s="42">
        <v>-4.53999969</v>
      </c>
      <c r="M183" s="45">
        <f>('Cy Young Rank'!O$1-G183)*E183/9</f>
        <v>5.877484342</v>
      </c>
      <c r="N183" s="42"/>
      <c r="O183" s="66"/>
      <c r="P183" s="42"/>
      <c r="Q183" s="67"/>
      <c r="R183" s="67"/>
    </row>
    <row r="184">
      <c r="A184" s="1" t="s">
        <v>336</v>
      </c>
      <c r="B184" s="38">
        <v>605488.0</v>
      </c>
      <c r="C184" s="44" t="s">
        <v>533</v>
      </c>
      <c r="D184" s="38">
        <v>560.0</v>
      </c>
      <c r="E184" s="39">
        <f>IFERROR(__xludf.DUMMYFUNCTION("sum(filter('PLA Sheet'!H:H,'PLA Sheet'!C:C=B184,'PLA Sheet'!D:D=C184))"),35.1493324)</f>
        <v>35.1493324</v>
      </c>
      <c r="F184" s="40">
        <v>5.306034183</v>
      </c>
      <c r="G184" s="40">
        <f>IFERROR(__xludf.DUMMYFUNCTION("sum(filter('PLA Sheet'!J:J,'PLA Sheet'!C:C=B184,'PLA Sheet'!D:D=C184))/E184*9"),2.625151936029374)</f>
        <v>2.625151936</v>
      </c>
      <c r="H184" s="41">
        <v>0.560714286</v>
      </c>
      <c r="I184" s="41">
        <v>0.148214286</v>
      </c>
      <c r="J184" s="41">
        <v>0.291071429</v>
      </c>
      <c r="K184" s="41">
        <f t="shared" si="1"/>
        <v>0.269642857</v>
      </c>
      <c r="L184" s="42">
        <v>-2.437535985</v>
      </c>
      <c r="M184" s="45">
        <f>('Cy Young Rank'!O$1-G184)*E184/9</f>
        <v>5.603772394</v>
      </c>
      <c r="N184" s="42"/>
      <c r="O184" s="66"/>
      <c r="P184" s="42"/>
      <c r="Q184" s="67"/>
      <c r="R184" s="67"/>
    </row>
    <row r="185">
      <c r="A185" s="1" t="s">
        <v>332</v>
      </c>
      <c r="B185" s="38">
        <v>641778.0</v>
      </c>
      <c r="C185" s="44" t="s">
        <v>540</v>
      </c>
      <c r="D185" s="38">
        <v>332.0</v>
      </c>
      <c r="E185" s="39">
        <f>IFERROR(__xludf.DUMMYFUNCTION("sum(filter('PLA Sheet'!H:H,'PLA Sheet'!C:C=B185,'PLA Sheet'!D:D=C185))"),21.406262382999998)</f>
        <v>21.40626238</v>
      </c>
      <c r="F185" s="40">
        <v>5.305290823</v>
      </c>
      <c r="G185" s="40">
        <f>IFERROR(__xludf.DUMMYFUNCTION("sum(filter('PLA Sheet'!J:J,'PLA Sheet'!C:C=B185,'PLA Sheet'!D:D=C185))/E185*9"),2.4293311494349723)</f>
        <v>2.429331149</v>
      </c>
      <c r="H185" s="41">
        <v>0.53313253</v>
      </c>
      <c r="I185" s="41">
        <v>0.177710843</v>
      </c>
      <c r="J185" s="41">
        <v>0.289156627</v>
      </c>
      <c r="K185" s="41">
        <f t="shared" si="1"/>
        <v>0.243975903</v>
      </c>
      <c r="L185" s="42">
        <v>-0.069850093</v>
      </c>
      <c r="M185" s="45">
        <f>('Cy Young Rank'!O$1-G185)*E185/9</f>
        <v>3.878502808</v>
      </c>
      <c r="N185" s="42"/>
      <c r="O185" s="66"/>
      <c r="P185" s="42"/>
      <c r="Q185" s="67"/>
      <c r="R185" s="67"/>
    </row>
    <row r="186">
      <c r="A186" s="1" t="s">
        <v>193</v>
      </c>
      <c r="B186" s="38">
        <v>668941.0</v>
      </c>
      <c r="C186" s="44" t="s">
        <v>533</v>
      </c>
      <c r="D186" s="38">
        <v>378.0</v>
      </c>
      <c r="E186" s="39">
        <f>IFERROR(__xludf.DUMMYFUNCTION("sum(filter('PLA Sheet'!H:H,'PLA Sheet'!C:C=B186,'PLA Sheet'!D:D=C186))"),23.746208295)</f>
        <v>23.7462083</v>
      </c>
      <c r="F186" s="40">
        <v>5.304716883</v>
      </c>
      <c r="G186" s="40">
        <f>IFERROR(__xludf.DUMMYFUNCTION("sum(filter('PLA Sheet'!J:J,'PLA Sheet'!C:C=B186,'PLA Sheet'!D:D=C186))/E186*9"),2.3745783452877776)</f>
        <v>2.374578345</v>
      </c>
      <c r="H186" s="41">
        <v>0.518518519</v>
      </c>
      <c r="I186" s="41">
        <v>0.193121693</v>
      </c>
      <c r="J186" s="41">
        <v>0.288359788</v>
      </c>
      <c r="K186" s="41">
        <f t="shared" si="1"/>
        <v>0.230158731</v>
      </c>
      <c r="L186" s="42">
        <v>1.558634</v>
      </c>
      <c r="M186" s="45">
        <f>('Cy Young Rank'!O$1-G186)*E186/9</f>
        <v>4.446930409</v>
      </c>
      <c r="N186" s="42"/>
      <c r="O186" s="66"/>
      <c r="P186" s="42"/>
      <c r="Q186" s="67"/>
      <c r="R186" s="67"/>
    </row>
    <row r="187">
      <c r="A187" s="1" t="s">
        <v>144</v>
      </c>
      <c r="B187" s="38">
        <v>670167.0</v>
      </c>
      <c r="C187" s="44" t="s">
        <v>539</v>
      </c>
      <c r="D187" s="38">
        <v>285.0</v>
      </c>
      <c r="E187" s="39">
        <f>IFERROR(__xludf.DUMMYFUNCTION("sum(filter('PLA Sheet'!H:H,'PLA Sheet'!C:C=B187,'PLA Sheet'!D:D=C187))"),18.093600764999998)</f>
        <v>18.09360077</v>
      </c>
      <c r="F187" s="40">
        <v>5.304598221</v>
      </c>
      <c r="G187" s="40">
        <f>IFERROR(__xludf.DUMMYFUNCTION("sum(filter('PLA Sheet'!J:J,'PLA Sheet'!C:C=B187,'PLA Sheet'!D:D=C187))/E187*9"),2.4484280699779224)</f>
        <v>2.44842807</v>
      </c>
      <c r="H187" s="41">
        <v>0.557894737</v>
      </c>
      <c r="I187" s="41">
        <v>0.154385965</v>
      </c>
      <c r="J187" s="41">
        <v>0.287719298</v>
      </c>
      <c r="K187" s="41">
        <f t="shared" si="1"/>
        <v>0.270175439</v>
      </c>
      <c r="L187" s="42">
        <v>-1.572013176</v>
      </c>
      <c r="M187" s="45">
        <f>('Cy Young Rank'!O$1-G187)*E187/9</f>
        <v>3.239904345</v>
      </c>
      <c r="N187" s="42"/>
      <c r="O187" s="66"/>
      <c r="P187" s="42"/>
      <c r="Q187" s="67"/>
      <c r="R187" s="67"/>
    </row>
    <row r="188">
      <c r="A188" s="1" t="s">
        <v>130</v>
      </c>
      <c r="B188" s="38">
        <v>666200.0</v>
      </c>
      <c r="C188" s="44" t="s">
        <v>532</v>
      </c>
      <c r="D188" s="38">
        <v>503.0</v>
      </c>
      <c r="E188" s="39">
        <f>IFERROR(__xludf.DUMMYFUNCTION("sum(filter('PLA Sheet'!H:H,'PLA Sheet'!C:C=B188,'PLA Sheet'!D:D=C188))"),31.759154769)</f>
        <v>31.75915477</v>
      </c>
      <c r="F188" s="40">
        <v>5.304299523</v>
      </c>
      <c r="G188" s="40">
        <f>IFERROR(__xludf.DUMMYFUNCTION("sum(filter('PLA Sheet'!J:J,'PLA Sheet'!C:C=B188,'PLA Sheet'!D:D=C188))/E188*9"),2.3699770207193707)</f>
        <v>2.369977021</v>
      </c>
      <c r="H188" s="41">
        <v>0.516898608</v>
      </c>
      <c r="I188" s="41">
        <v>0.2027833</v>
      </c>
      <c r="J188" s="41">
        <v>0.280318091</v>
      </c>
      <c r="K188" s="41">
        <f t="shared" si="1"/>
        <v>0.236580517</v>
      </c>
      <c r="L188" s="42">
        <v>6.826237493</v>
      </c>
      <c r="M188" s="45">
        <f>('Cy Young Rank'!O$1-G188)*E188/9</f>
        <v>5.963744596</v>
      </c>
      <c r="N188" s="42"/>
      <c r="O188" s="66"/>
      <c r="P188" s="42"/>
      <c r="Q188" s="67"/>
      <c r="R188" s="67"/>
    </row>
    <row r="189">
      <c r="A189" s="1" t="s">
        <v>195</v>
      </c>
      <c r="B189" s="38">
        <v>668678.0</v>
      </c>
      <c r="C189" s="44" t="s">
        <v>541</v>
      </c>
      <c r="D189" s="38">
        <v>712.0</v>
      </c>
      <c r="E189" s="39">
        <f>IFERROR(__xludf.DUMMYFUNCTION("sum(filter('PLA Sheet'!H:H,'PLA Sheet'!C:C=B189,'PLA Sheet'!D:D=C189))"),45.04308969)</f>
        <v>45.04308969</v>
      </c>
      <c r="F189" s="40">
        <v>5.304279261</v>
      </c>
      <c r="G189" s="40">
        <f>IFERROR(__xludf.DUMMYFUNCTION("sum(filter('PLA Sheet'!J:J,'PLA Sheet'!C:C=B189,'PLA Sheet'!D:D=C189))/E189*9"),2.544431782739014)</f>
        <v>2.544431783</v>
      </c>
      <c r="H189" s="41">
        <v>0.508426966</v>
      </c>
      <c r="I189" s="41">
        <v>0.226123596</v>
      </c>
      <c r="J189" s="41">
        <v>0.265449438</v>
      </c>
      <c r="K189" s="41">
        <f t="shared" si="1"/>
        <v>0.242977528</v>
      </c>
      <c r="L189" s="42">
        <v>-1.998354047</v>
      </c>
      <c r="M189" s="45">
        <f>('Cy Young Rank'!O$1-G189)*E189/9</f>
        <v>7.585097238</v>
      </c>
      <c r="N189" s="42"/>
      <c r="O189" s="66"/>
      <c r="P189" s="42"/>
      <c r="Q189" s="67"/>
      <c r="R189" s="67"/>
    </row>
    <row r="190">
      <c r="A190" s="1" t="s">
        <v>405</v>
      </c>
      <c r="B190" s="38">
        <v>621111.0</v>
      </c>
      <c r="C190" s="44" t="s">
        <v>540</v>
      </c>
      <c r="D190" s="38">
        <v>364.0</v>
      </c>
      <c r="E190" s="39">
        <f>IFERROR(__xludf.DUMMYFUNCTION("sum(filter('PLA Sheet'!H:H,'PLA Sheet'!C:C=B190,'PLA Sheet'!D:D=C190))"),21.249542964)</f>
        <v>21.24954296</v>
      </c>
      <c r="F190" s="40">
        <v>5.303358993</v>
      </c>
      <c r="G190" s="40">
        <f>IFERROR(__xludf.DUMMYFUNCTION("sum(filter('PLA Sheet'!J:J,'PLA Sheet'!C:C=B190,'PLA Sheet'!D:D=C190))/E190*9"),2.805218874635934)</f>
        <v>2.805218875</v>
      </c>
      <c r="H190" s="41">
        <v>0.587912088</v>
      </c>
      <c r="I190" s="41">
        <v>0.129120879</v>
      </c>
      <c r="J190" s="41">
        <v>0.282967033</v>
      </c>
      <c r="K190" s="41">
        <f t="shared" si="1"/>
        <v>0.304945055</v>
      </c>
      <c r="L190" s="42">
        <v>-6.253807709</v>
      </c>
      <c r="M190" s="45">
        <f>('Cy Young Rank'!O$1-G190)*E190/9</f>
        <v>2.962613937</v>
      </c>
      <c r="N190" s="42"/>
      <c r="O190" s="66"/>
      <c r="P190" s="42"/>
      <c r="Q190" s="67"/>
      <c r="R190" s="67"/>
    </row>
    <row r="191">
      <c r="A191" s="1" t="s">
        <v>145</v>
      </c>
      <c r="B191" s="38">
        <v>700241.0</v>
      </c>
      <c r="C191" s="44" t="s">
        <v>539</v>
      </c>
      <c r="D191" s="38">
        <v>259.0</v>
      </c>
      <c r="E191" s="39">
        <f>IFERROR(__xludf.DUMMYFUNCTION("sum(filter('PLA Sheet'!H:H,'PLA Sheet'!C:C=B191,'PLA Sheet'!D:D=C191))"),17.239590439)</f>
        <v>17.23959044</v>
      </c>
      <c r="F191" s="40">
        <v>5.302081097</v>
      </c>
      <c r="G191" s="40">
        <f>IFERROR(__xludf.DUMMYFUNCTION("sum(filter('PLA Sheet'!J:J,'PLA Sheet'!C:C=B191,'PLA Sheet'!D:D=C191))/E191*9"),2.308886347436273)</f>
        <v>2.308886347</v>
      </c>
      <c r="H191" s="41">
        <v>0.471042471</v>
      </c>
      <c r="I191" s="41">
        <v>0.235521236</v>
      </c>
      <c r="J191" s="41">
        <v>0.293436293</v>
      </c>
      <c r="K191" s="41">
        <f t="shared" si="1"/>
        <v>0.177606178</v>
      </c>
      <c r="L191" s="42">
        <v>-6.075124411</v>
      </c>
      <c r="M191" s="45">
        <f>('Cy Young Rank'!O$1-G191)*E191/9</f>
        <v>3.354275798</v>
      </c>
      <c r="N191" s="42"/>
      <c r="O191" s="66"/>
      <c r="P191" s="42"/>
      <c r="Q191" s="67"/>
      <c r="R191" s="67"/>
    </row>
    <row r="192">
      <c r="A192" s="1" t="s">
        <v>118</v>
      </c>
      <c r="B192" s="38">
        <v>695505.0</v>
      </c>
      <c r="C192" s="44" t="s">
        <v>533</v>
      </c>
      <c r="D192" s="38">
        <v>256.0</v>
      </c>
      <c r="E192" s="39">
        <f>IFERROR(__xludf.DUMMYFUNCTION("sum(filter('PLA Sheet'!H:H,'PLA Sheet'!C:C=B192,'PLA Sheet'!D:D=C192))"),15.010893246)</f>
        <v>15.01089325</v>
      </c>
      <c r="F192" s="40">
        <v>5.301357481</v>
      </c>
      <c r="G192" s="40">
        <f>IFERROR(__xludf.DUMMYFUNCTION("sum(filter('PLA Sheet'!J:J,'PLA Sheet'!C:C=B192,'PLA Sheet'!D:D=C192))/E192*9"),2.7194199126609386)</f>
        <v>2.719419913</v>
      </c>
      <c r="H192" s="41">
        <v>0.51953125</v>
      </c>
      <c r="I192" s="41">
        <v>0.171875</v>
      </c>
      <c r="J192" s="41">
        <v>0.30859375</v>
      </c>
      <c r="K192" s="41">
        <f t="shared" si="1"/>
        <v>0.2109375</v>
      </c>
      <c r="L192" s="42">
        <v>-1.580821088</v>
      </c>
      <c r="M192" s="45">
        <f>('Cy Young Rank'!O$1-G192)*E192/9</f>
        <v>2.235922731</v>
      </c>
      <c r="N192" s="42"/>
      <c r="O192" s="66"/>
      <c r="P192" s="42"/>
      <c r="Q192" s="67"/>
      <c r="R192" s="67"/>
    </row>
    <row r="193">
      <c r="A193" s="1" t="s">
        <v>189</v>
      </c>
      <c r="B193" s="38">
        <v>607536.0</v>
      </c>
      <c r="C193" s="44" t="s">
        <v>540</v>
      </c>
      <c r="D193" s="38">
        <v>372.0</v>
      </c>
      <c r="E193" s="39">
        <f>IFERROR(__xludf.DUMMYFUNCTION("sum(filter('PLA Sheet'!H:H,'PLA Sheet'!C:C=B193,'PLA Sheet'!D:D=C193))"),25.504769586000002)</f>
        <v>25.50476959</v>
      </c>
      <c r="F193" s="40">
        <v>5.301290215</v>
      </c>
      <c r="G193" s="40">
        <f>IFERROR(__xludf.DUMMYFUNCTION("sum(filter('PLA Sheet'!J:J,'PLA Sheet'!C:C=B193,'PLA Sheet'!D:D=C193))/E193*9"),2.4897217277687584)</f>
        <v>2.489721728</v>
      </c>
      <c r="H193" s="41">
        <v>0.497311828</v>
      </c>
      <c r="I193" s="41">
        <v>0.22311828</v>
      </c>
      <c r="J193" s="41">
        <v>0.279569892</v>
      </c>
      <c r="K193" s="41">
        <f t="shared" si="1"/>
        <v>0.217741936</v>
      </c>
      <c r="L193" s="42">
        <v>-7.351193288</v>
      </c>
      <c r="M193" s="45">
        <f>('Cy Young Rank'!O$1-G193)*E193/9</f>
        <v>4.449953947</v>
      </c>
      <c r="N193" s="42"/>
      <c r="O193" s="66"/>
      <c r="P193" s="42"/>
      <c r="Q193" s="67"/>
      <c r="R193" s="67"/>
    </row>
    <row r="194">
      <c r="A194" s="1" t="s">
        <v>255</v>
      </c>
      <c r="B194" s="38">
        <v>688138.0</v>
      </c>
      <c r="C194" s="44" t="s">
        <v>539</v>
      </c>
      <c r="D194" s="38">
        <v>304.0</v>
      </c>
      <c r="E194" s="39">
        <f>IFERROR(__xludf.DUMMYFUNCTION("sum(filter('PLA Sheet'!H:H,'PLA Sheet'!C:C=B194,'PLA Sheet'!D:D=C194))"),18.844045838)</f>
        <v>18.84404584</v>
      </c>
      <c r="F194" s="40">
        <v>5.301225206</v>
      </c>
      <c r="G194" s="40">
        <f>IFERROR(__xludf.DUMMYFUNCTION("sum(filter('PLA Sheet'!J:J,'PLA Sheet'!C:C=B194,'PLA Sheet'!D:D=C194))/E194*9"),2.498494028551832)</f>
        <v>2.498494029</v>
      </c>
      <c r="H194" s="41">
        <v>0.542763158</v>
      </c>
      <c r="I194" s="41">
        <v>0.184210526</v>
      </c>
      <c r="J194" s="41">
        <v>0.273026316</v>
      </c>
      <c r="K194" s="41">
        <f t="shared" si="1"/>
        <v>0.269736842</v>
      </c>
      <c r="L194" s="42">
        <v>-3.550546307</v>
      </c>
      <c r="M194" s="45">
        <f>('Cy Young Rank'!O$1-G194)*E194/9</f>
        <v>3.269454456</v>
      </c>
      <c r="N194" s="42"/>
      <c r="O194" s="66"/>
      <c r="P194" s="42"/>
      <c r="Q194" s="67"/>
      <c r="R194" s="67"/>
    </row>
    <row r="195">
      <c r="A195" s="1" t="s">
        <v>336</v>
      </c>
      <c r="B195" s="38">
        <v>605488.0</v>
      </c>
      <c r="C195" s="44" t="s">
        <v>532</v>
      </c>
      <c r="D195" s="38">
        <v>695.0</v>
      </c>
      <c r="E195" s="39">
        <f>IFERROR(__xludf.DUMMYFUNCTION("sum(filter('PLA Sheet'!H:H,'PLA Sheet'!C:C=B195,'PLA Sheet'!D:D=C195))"),43.2607168)</f>
        <v>43.2607168</v>
      </c>
      <c r="F195" s="40">
        <v>5.300419947</v>
      </c>
      <c r="G195" s="40">
        <f>IFERROR(__xludf.DUMMYFUNCTION("sum(filter('PLA Sheet'!J:J,'PLA Sheet'!C:C=B195,'PLA Sheet'!D:D=C195))/E195*9"),2.5848179196143137)</f>
        <v>2.58481792</v>
      </c>
      <c r="H195" s="41">
        <v>0.50647482</v>
      </c>
      <c r="I195" s="41">
        <v>0.184172662</v>
      </c>
      <c r="J195" s="41">
        <v>0.309352518</v>
      </c>
      <c r="K195" s="41">
        <f t="shared" si="1"/>
        <v>0.197122302</v>
      </c>
      <c r="L195" s="42">
        <v>-0.143809922</v>
      </c>
      <c r="M195" s="45">
        <f>('Cy Young Rank'!O$1-G195)*E195/9</f>
        <v>7.090826023</v>
      </c>
      <c r="N195" s="42"/>
      <c r="O195" s="66"/>
      <c r="P195" s="42"/>
      <c r="Q195" s="67"/>
      <c r="R195" s="67"/>
    </row>
    <row r="196">
      <c r="A196" s="1" t="s">
        <v>372</v>
      </c>
      <c r="B196" s="38">
        <v>671106.0</v>
      </c>
      <c r="C196" s="44" t="s">
        <v>540</v>
      </c>
      <c r="D196" s="38">
        <v>310.0</v>
      </c>
      <c r="E196" s="39">
        <f>IFERROR(__xludf.DUMMYFUNCTION("sum(filter('PLA Sheet'!H:H,'PLA Sheet'!C:C=B196,'PLA Sheet'!D:D=C196))"),18.295146588999998)</f>
        <v>18.29514659</v>
      </c>
      <c r="F196" s="40">
        <v>5.298899019</v>
      </c>
      <c r="G196" s="40">
        <f>IFERROR(__xludf.DUMMYFUNCTION("sum(filter('PLA Sheet'!J:J,'PLA Sheet'!C:C=B196,'PLA Sheet'!D:D=C196))/E196*9"),2.714046195719171)</f>
        <v>2.714046196</v>
      </c>
      <c r="H196" s="41">
        <v>0.5</v>
      </c>
      <c r="I196" s="41">
        <v>0.187096774</v>
      </c>
      <c r="J196" s="41">
        <v>0.312903226</v>
      </c>
      <c r="K196" s="41">
        <f t="shared" si="1"/>
        <v>0.187096774</v>
      </c>
      <c r="L196" s="42">
        <v>-1.133115634</v>
      </c>
      <c r="M196" s="45">
        <f>('Cy Young Rank'!O$1-G196)*E196/9</f>
        <v>2.736046906</v>
      </c>
      <c r="N196" s="42"/>
      <c r="O196" s="66"/>
      <c r="P196" s="42"/>
      <c r="Q196" s="67"/>
      <c r="R196" s="67"/>
    </row>
    <row r="197">
      <c r="A197" s="1" t="s">
        <v>246</v>
      </c>
      <c r="B197" s="38">
        <v>571510.0</v>
      </c>
      <c r="C197" s="44" t="s">
        <v>532</v>
      </c>
      <c r="D197" s="38">
        <v>627.0</v>
      </c>
      <c r="E197" s="39">
        <f>IFERROR(__xludf.DUMMYFUNCTION("sum(filter('PLA Sheet'!H:H,'PLA Sheet'!C:C=B197,'PLA Sheet'!D:D=C197))"),42.528526336999995)</f>
        <v>42.52852634</v>
      </c>
      <c r="F197" s="40">
        <v>5.298527082</v>
      </c>
      <c r="G197" s="40">
        <f>IFERROR(__xludf.DUMMYFUNCTION("sum(filter('PLA Sheet'!J:J,'PLA Sheet'!C:C=B197,'PLA Sheet'!D:D=C197))/E197*9"),2.240660121747402)</f>
        <v>2.240660122</v>
      </c>
      <c r="H197" s="41">
        <v>0.50877193</v>
      </c>
      <c r="I197" s="41">
        <v>0.181818182</v>
      </c>
      <c r="J197" s="41">
        <v>0.309409888</v>
      </c>
      <c r="K197" s="41">
        <f t="shared" si="1"/>
        <v>0.199362042</v>
      </c>
      <c r="L197" s="42">
        <v>8.465481428</v>
      </c>
      <c r="M197" s="45">
        <f>('Cy Young Rank'!O$1-G197)*E197/9</f>
        <v>8.59709377</v>
      </c>
      <c r="N197" s="42"/>
      <c r="O197" s="66"/>
      <c r="P197" s="42"/>
      <c r="Q197" s="67"/>
      <c r="R197" s="67"/>
    </row>
    <row r="198">
      <c r="A198" s="1" t="s">
        <v>241</v>
      </c>
      <c r="B198" s="38">
        <v>669199.0</v>
      </c>
      <c r="C198" s="44" t="s">
        <v>537</v>
      </c>
      <c r="D198" s="38">
        <v>411.0</v>
      </c>
      <c r="E198" s="39">
        <f>IFERROR(__xludf.DUMMYFUNCTION("sum(filter('PLA Sheet'!H:H,'PLA Sheet'!C:C=B198,'PLA Sheet'!D:D=C198))"),26.39982502)</f>
        <v>26.39982502</v>
      </c>
      <c r="F198" s="40">
        <v>5.296833354</v>
      </c>
      <c r="G198" s="40">
        <f>IFERROR(__xludf.DUMMYFUNCTION("sum(filter('PLA Sheet'!J:J,'PLA Sheet'!C:C=B198,'PLA Sheet'!D:D=C198))/E198*9"),2.656532948489974)</f>
        <v>2.656532948</v>
      </c>
      <c r="H198" s="41">
        <v>0.576642336</v>
      </c>
      <c r="I198" s="41">
        <v>0.133819951</v>
      </c>
      <c r="J198" s="41">
        <v>0.289537713</v>
      </c>
      <c r="K198" s="41">
        <f t="shared" si="1"/>
        <v>0.287104623</v>
      </c>
      <c r="L198" s="42">
        <v>-3.354202515</v>
      </c>
      <c r="M198" s="45">
        <f>('Cy Young Rank'!O$1-G198)*E198/9</f>
        <v>4.116809398</v>
      </c>
      <c r="N198" s="42"/>
      <c r="O198" s="66"/>
      <c r="P198" s="42"/>
      <c r="Q198" s="67"/>
      <c r="R198" s="67"/>
    </row>
    <row r="199">
      <c r="A199" s="1" t="s">
        <v>224</v>
      </c>
      <c r="B199" s="38">
        <v>686701.0</v>
      </c>
      <c r="C199" s="44" t="s">
        <v>537</v>
      </c>
      <c r="D199" s="38">
        <v>545.0</v>
      </c>
      <c r="E199" s="39">
        <f>IFERROR(__xludf.DUMMYFUNCTION("sum(filter('PLA Sheet'!H:H,'PLA Sheet'!C:C=B199,'PLA Sheet'!D:D=C199))"),32.46493902)</f>
        <v>32.46493902</v>
      </c>
      <c r="F199" s="40">
        <v>5.296477042</v>
      </c>
      <c r="G199" s="40">
        <f>IFERROR(__xludf.DUMMYFUNCTION("sum(filter('PLA Sheet'!J:J,'PLA Sheet'!C:C=B199,'PLA Sheet'!D:D=C199))/E199*9"),2.8008909224804697)</f>
        <v>2.800890922</v>
      </c>
      <c r="H199" s="41">
        <v>0.563302752</v>
      </c>
      <c r="I199" s="41">
        <v>0.128440367</v>
      </c>
      <c r="J199" s="41">
        <v>0.308256881</v>
      </c>
      <c r="K199" s="41">
        <f t="shared" si="1"/>
        <v>0.255045871</v>
      </c>
      <c r="L199" s="42">
        <v>4.568041757</v>
      </c>
      <c r="M199" s="45">
        <f>('Cy Young Rank'!O$1-G199)*E199/9</f>
        <v>4.541877713</v>
      </c>
      <c r="N199" s="42"/>
      <c r="O199" s="66"/>
      <c r="P199" s="42"/>
      <c r="Q199" s="67"/>
      <c r="R199" s="67"/>
    </row>
    <row r="200">
      <c r="A200" s="1" t="s">
        <v>206</v>
      </c>
      <c r="B200" s="38">
        <v>676263.0</v>
      </c>
      <c r="C200" s="44" t="s">
        <v>537</v>
      </c>
      <c r="D200" s="38">
        <v>500.0</v>
      </c>
      <c r="E200" s="39">
        <f>IFERROR(__xludf.DUMMYFUNCTION("sum(filter('PLA Sheet'!H:H,'PLA Sheet'!C:C=B200,'PLA Sheet'!D:D=C200))"),34.436591039999996)</f>
        <v>34.43659104</v>
      </c>
      <c r="F200" s="40">
        <v>5.295521625</v>
      </c>
      <c r="G200" s="40">
        <f>IFERROR(__xludf.DUMMYFUNCTION("sum(filter('PLA Sheet'!J:J,'PLA Sheet'!C:C=B200,'PLA Sheet'!D:D=C200))/E200*9"),2.540264159666369)</f>
        <v>2.54026416</v>
      </c>
      <c r="H200" s="41">
        <v>0.59</v>
      </c>
      <c r="I200" s="41">
        <v>0.102</v>
      </c>
      <c r="J200" s="41">
        <v>0.308</v>
      </c>
      <c r="K200" s="41">
        <f t="shared" si="1"/>
        <v>0.282</v>
      </c>
      <c r="L200" s="42">
        <v>-1.64523053</v>
      </c>
      <c r="M200" s="45">
        <f>('Cy Young Rank'!O$1-G200)*E200/9</f>
        <v>5.814946847</v>
      </c>
      <c r="N200" s="42"/>
      <c r="O200" s="66"/>
      <c r="P200" s="42"/>
      <c r="Q200" s="67"/>
      <c r="R200" s="67"/>
    </row>
    <row r="201">
      <c r="A201" s="1" t="s">
        <v>454</v>
      </c>
      <c r="B201" s="38">
        <v>674370.0</v>
      </c>
      <c r="C201" s="44" t="s">
        <v>533</v>
      </c>
      <c r="D201" s="38">
        <v>398.0</v>
      </c>
      <c r="E201" s="39">
        <f>IFERROR(__xludf.DUMMYFUNCTION("sum(filter('PLA Sheet'!H:H,'PLA Sheet'!C:C=B201,'PLA Sheet'!D:D=C201))"),23.726811594)</f>
        <v>23.72681159</v>
      </c>
      <c r="F201" s="40">
        <v>5.294990393</v>
      </c>
      <c r="G201" s="40">
        <f>IFERROR(__xludf.DUMMYFUNCTION("sum(filter('PLA Sheet'!J:J,'PLA Sheet'!C:C=B201,'PLA Sheet'!D:D=C201))/E201*9"),2.5911587722788236)</f>
        <v>2.591158772</v>
      </c>
      <c r="H201" s="41">
        <v>0.497487437</v>
      </c>
      <c r="I201" s="41">
        <v>0.226130653</v>
      </c>
      <c r="J201" s="41">
        <v>0.27638191</v>
      </c>
      <c r="K201" s="41">
        <f t="shared" si="1"/>
        <v>0.221105527</v>
      </c>
      <c r="L201" s="42">
        <v>-3.103716195</v>
      </c>
      <c r="M201" s="45">
        <f>('Cy Young Rank'!O$1-G201)*E201/9</f>
        <v>3.872324341</v>
      </c>
      <c r="N201" s="42"/>
      <c r="O201" s="66"/>
      <c r="P201" s="42"/>
      <c r="Q201" s="67"/>
      <c r="R201" s="67"/>
    </row>
    <row r="202">
      <c r="A202" s="1" t="s">
        <v>218</v>
      </c>
      <c r="B202" s="38">
        <v>669432.0</v>
      </c>
      <c r="C202" s="44" t="s">
        <v>532</v>
      </c>
      <c r="D202" s="38">
        <v>395.0</v>
      </c>
      <c r="E202" s="39">
        <f>IFERROR(__xludf.DUMMYFUNCTION("sum(filter('PLA Sheet'!H:H,'PLA Sheet'!C:C=B202,'PLA Sheet'!D:D=C202))"),27.366113497)</f>
        <v>27.3661135</v>
      </c>
      <c r="F202" s="40">
        <v>5.293265148</v>
      </c>
      <c r="G202" s="40">
        <f>IFERROR(__xludf.DUMMYFUNCTION("sum(filter('PLA Sheet'!J:J,'PLA Sheet'!C:C=B202,'PLA Sheet'!D:D=C202))/E202*9"),2.2379209969553684)</f>
        <v>2.237920997</v>
      </c>
      <c r="H202" s="41">
        <v>0.496202532</v>
      </c>
      <c r="I202" s="41">
        <v>0.189873418</v>
      </c>
      <c r="J202" s="41">
        <v>0.313924051</v>
      </c>
      <c r="K202" s="41">
        <f t="shared" si="1"/>
        <v>0.182278481</v>
      </c>
      <c r="L202" s="42">
        <v>6.262992317</v>
      </c>
      <c r="M202" s="45">
        <f>('Cy Young Rank'!O$1-G202)*E202/9</f>
        <v>5.540357866</v>
      </c>
      <c r="N202" s="42"/>
      <c r="O202" s="66"/>
      <c r="P202" s="42"/>
      <c r="Q202" s="67"/>
      <c r="R202" s="67"/>
    </row>
    <row r="203">
      <c r="A203" s="1" t="s">
        <v>151</v>
      </c>
      <c r="B203" s="38">
        <v>571948.0</v>
      </c>
      <c r="C203" s="44" t="s">
        <v>536</v>
      </c>
      <c r="D203" s="38">
        <v>364.0</v>
      </c>
      <c r="E203" s="39">
        <f>IFERROR(__xludf.DUMMYFUNCTION("sum(filter('PLA Sheet'!H:H,'PLA Sheet'!C:C=B203,'PLA Sheet'!D:D=C203))"),23.099971189999998)</f>
        <v>23.09997119</v>
      </c>
      <c r="F203" s="40">
        <v>5.293092442</v>
      </c>
      <c r="G203" s="40">
        <f>IFERROR(__xludf.DUMMYFUNCTION("sum(filter('PLA Sheet'!J:J,'PLA Sheet'!C:C=B203,'PLA Sheet'!D:D=C203))/E203*9"),2.566692941403621)</f>
        <v>2.566692941</v>
      </c>
      <c r="H203" s="41">
        <v>0.565934066</v>
      </c>
      <c r="I203" s="41">
        <v>0.151098901</v>
      </c>
      <c r="J203" s="41">
        <v>0.282967033</v>
      </c>
      <c r="K203" s="41">
        <f t="shared" si="1"/>
        <v>0.282967033</v>
      </c>
      <c r="L203" s="42">
        <v>0.960755869</v>
      </c>
      <c r="M203" s="45">
        <f>('Cy Young Rank'!O$1-G203)*E203/9</f>
        <v>3.83281667</v>
      </c>
      <c r="N203" s="42"/>
      <c r="O203" s="66"/>
      <c r="P203" s="42"/>
      <c r="Q203" s="67"/>
      <c r="R203" s="67"/>
    </row>
    <row r="204">
      <c r="A204" s="1" t="s">
        <v>47</v>
      </c>
      <c r="B204" s="38">
        <v>686973.0</v>
      </c>
      <c r="C204" s="44" t="s">
        <v>541</v>
      </c>
      <c r="D204" s="38">
        <v>381.0</v>
      </c>
      <c r="E204" s="39">
        <f>IFERROR(__xludf.DUMMYFUNCTION("sum(filter('PLA Sheet'!H:H,'PLA Sheet'!C:C=B204,'PLA Sheet'!D:D=C204))"),27.1988743)</f>
        <v>27.1988743</v>
      </c>
      <c r="F204" s="40">
        <v>5.292843663</v>
      </c>
      <c r="G204" s="40">
        <f>IFERROR(__xludf.DUMMYFUNCTION("sum(filter('PLA Sheet'!J:J,'PLA Sheet'!C:C=B204,'PLA Sheet'!D:D=C204))/E204*9"),2.1508368822455273)</f>
        <v>2.150836882</v>
      </c>
      <c r="H204" s="41">
        <v>0.50656168</v>
      </c>
      <c r="I204" s="41">
        <v>0.17847769</v>
      </c>
      <c r="J204" s="41">
        <v>0.31496063</v>
      </c>
      <c r="K204" s="41">
        <f t="shared" si="1"/>
        <v>0.19160105</v>
      </c>
      <c r="L204" s="42">
        <v>-3.298568164</v>
      </c>
      <c r="M204" s="45">
        <f>('Cy Young Rank'!O$1-G204)*E204/9</f>
        <v>5.769676406</v>
      </c>
      <c r="N204" s="42"/>
      <c r="O204" s="66"/>
      <c r="P204" s="42"/>
      <c r="Q204" s="67"/>
      <c r="R204" s="67"/>
    </row>
    <row r="205">
      <c r="A205" s="1" t="s">
        <v>69</v>
      </c>
      <c r="B205" s="38">
        <v>657612.0</v>
      </c>
      <c r="C205" s="44" t="s">
        <v>536</v>
      </c>
      <c r="D205" s="38">
        <v>708.0</v>
      </c>
      <c r="E205" s="39">
        <f>IFERROR(__xludf.DUMMYFUNCTION("sum(filter('PLA Sheet'!H:H,'PLA Sheet'!C:C=B205,'PLA Sheet'!D:D=C205))"),54.90695067)</f>
        <v>54.90695067</v>
      </c>
      <c r="F205" s="40">
        <v>5.292606375</v>
      </c>
      <c r="G205" s="40">
        <f>IFERROR(__xludf.DUMMYFUNCTION("sum(filter('PLA Sheet'!J:J,'PLA Sheet'!C:C=B205,'PLA Sheet'!D:D=C205))/E205*9"),2.031282499556809)</f>
        <v>2.0312825</v>
      </c>
      <c r="H205" s="41">
        <v>0.54519774</v>
      </c>
      <c r="I205" s="41">
        <v>0.172316384</v>
      </c>
      <c r="J205" s="41">
        <v>0.282485876</v>
      </c>
      <c r="K205" s="41">
        <f t="shared" si="1"/>
        <v>0.262711864</v>
      </c>
      <c r="L205" s="42">
        <v>1.436178713</v>
      </c>
      <c r="M205" s="45">
        <f>('Cy Young Rank'!O$1-G205)*E205/9</f>
        <v>12.37674352</v>
      </c>
      <c r="N205" s="42"/>
      <c r="O205" s="66"/>
      <c r="P205" s="42"/>
      <c r="Q205" s="67"/>
      <c r="R205" s="67"/>
    </row>
    <row r="206">
      <c r="A206" s="1" t="s">
        <v>193</v>
      </c>
      <c r="B206" s="38">
        <v>668941.0</v>
      </c>
      <c r="C206" s="44" t="s">
        <v>536</v>
      </c>
      <c r="D206" s="38">
        <v>310.0</v>
      </c>
      <c r="E206" s="39">
        <f>IFERROR(__xludf.DUMMYFUNCTION("sum(filter('PLA Sheet'!H:H,'PLA Sheet'!C:C=B206,'PLA Sheet'!D:D=C206))"),19.737108191)</f>
        <v>19.73710819</v>
      </c>
      <c r="F206" s="40">
        <v>5.290833553</v>
      </c>
      <c r="G206" s="40">
        <f>IFERROR(__xludf.DUMMYFUNCTION("sum(filter('PLA Sheet'!J:J,'PLA Sheet'!C:C=B206,'PLA Sheet'!D:D=C206))/E206*9"),2.4697356638206815)</f>
        <v>2.469735664</v>
      </c>
      <c r="H206" s="41">
        <v>0.564516129</v>
      </c>
      <c r="I206" s="41">
        <v>0.148387097</v>
      </c>
      <c r="J206" s="41">
        <v>0.287096774</v>
      </c>
      <c r="K206" s="41">
        <f t="shared" si="1"/>
        <v>0.277419355</v>
      </c>
      <c r="L206" s="42">
        <v>4.355505598</v>
      </c>
      <c r="M206" s="45">
        <f>('Cy Young Rank'!O$1-G206)*E206/9</f>
        <v>3.487468806</v>
      </c>
      <c r="N206" s="42"/>
      <c r="O206" s="66"/>
      <c r="P206" s="42"/>
      <c r="Q206" s="67"/>
      <c r="R206" s="67"/>
    </row>
    <row r="207">
      <c r="A207" s="1" t="s">
        <v>283</v>
      </c>
      <c r="B207" s="38">
        <v>641401.0</v>
      </c>
      <c r="C207" s="44" t="s">
        <v>532</v>
      </c>
      <c r="D207" s="38">
        <v>336.0</v>
      </c>
      <c r="E207" s="39">
        <f>IFERROR(__xludf.DUMMYFUNCTION("sum(filter('PLA Sheet'!H:H,'PLA Sheet'!C:C=B207,'PLA Sheet'!D:D=C207))"),19.695238093)</f>
        <v>19.69523809</v>
      </c>
      <c r="F207" s="40">
        <v>5.290557881</v>
      </c>
      <c r="G207" s="40">
        <f>IFERROR(__xludf.DUMMYFUNCTION("sum(filter('PLA Sheet'!J:J,'PLA Sheet'!C:C=B207,'PLA Sheet'!D:D=C207))/E207*9"),2.671009141986309)</f>
        <v>2.671009142</v>
      </c>
      <c r="H207" s="41">
        <v>0.511904762</v>
      </c>
      <c r="I207" s="41">
        <v>0.175595238</v>
      </c>
      <c r="J207" s="41">
        <v>0.3125</v>
      </c>
      <c r="K207" s="41">
        <f t="shared" si="1"/>
        <v>0.199404762</v>
      </c>
      <c r="L207" s="42">
        <v>-2.180681753</v>
      </c>
      <c r="M207" s="45">
        <f>('Cy Young Rank'!O$1-G207)*E207/9</f>
        <v>3.03961174</v>
      </c>
      <c r="N207" s="42"/>
      <c r="O207" s="66"/>
      <c r="P207" s="42"/>
      <c r="Q207" s="67"/>
      <c r="R207" s="67"/>
    </row>
    <row r="208">
      <c r="A208" s="1" t="s">
        <v>237</v>
      </c>
      <c r="B208" s="38">
        <v>663485.0</v>
      </c>
      <c r="C208" s="44" t="s">
        <v>540</v>
      </c>
      <c r="D208" s="38">
        <v>266.0</v>
      </c>
      <c r="E208" s="39">
        <f>IFERROR(__xludf.DUMMYFUNCTION("sum(filter('PLA Sheet'!H:H,'PLA Sheet'!C:C=B208,'PLA Sheet'!D:D=C208))"),17.385826772)</f>
        <v>17.38582677</v>
      </c>
      <c r="F208" s="40">
        <v>5.290492794</v>
      </c>
      <c r="G208" s="40">
        <f>IFERROR(__xludf.DUMMYFUNCTION("sum(filter('PLA Sheet'!J:J,'PLA Sheet'!C:C=B208,'PLA Sheet'!D:D=C208))/E208*9"),2.50293291027621)</f>
        <v>2.50293291</v>
      </c>
      <c r="H208" s="41">
        <v>0.541353383</v>
      </c>
      <c r="I208" s="41">
        <v>0.184210526</v>
      </c>
      <c r="J208" s="41">
        <v>0.27443609</v>
      </c>
      <c r="K208" s="41">
        <f t="shared" si="1"/>
        <v>0.266917293</v>
      </c>
      <c r="L208" s="42">
        <v>-1.540671942</v>
      </c>
      <c r="M208" s="45">
        <f>('Cy Young Rank'!O$1-G208)*E208/9</f>
        <v>3.007877633</v>
      </c>
      <c r="N208" s="42"/>
      <c r="O208" s="66"/>
      <c r="P208" s="42"/>
      <c r="Q208" s="67"/>
      <c r="R208" s="67"/>
    </row>
    <row r="209">
      <c r="A209" s="1" t="s">
        <v>227</v>
      </c>
      <c r="B209" s="38">
        <v>663687.0</v>
      </c>
      <c r="C209" s="44" t="s">
        <v>541</v>
      </c>
      <c r="D209" s="38">
        <v>250.0</v>
      </c>
      <c r="E209" s="39">
        <f>IFERROR(__xludf.DUMMYFUNCTION("sum(filter('PLA Sheet'!H:H,'PLA Sheet'!C:C=B209,'PLA Sheet'!D:D=C209))"),14.715259259)</f>
        <v>14.71525926</v>
      </c>
      <c r="F209" s="40">
        <v>5.290000054</v>
      </c>
      <c r="G209" s="40">
        <f>IFERROR(__xludf.DUMMYFUNCTION("sum(filter('PLA Sheet'!J:J,'PLA Sheet'!C:C=B209,'PLA Sheet'!D:D=C209))/E209*9"),2.582199153355739)</f>
        <v>2.582199153</v>
      </c>
      <c r="H209" s="41">
        <v>0.544</v>
      </c>
      <c r="I209" s="41">
        <v>0.12</v>
      </c>
      <c r="J209" s="41">
        <v>0.336</v>
      </c>
      <c r="K209" s="41">
        <f t="shared" si="1"/>
        <v>0.208</v>
      </c>
      <c r="L209" s="42">
        <v>1.851616877</v>
      </c>
      <c r="M209" s="45">
        <f>('Cy Young Rank'!O$1-G209)*E209/9</f>
        <v>2.416246955</v>
      </c>
      <c r="N209" s="42"/>
      <c r="O209" s="66"/>
      <c r="P209" s="42"/>
      <c r="Q209" s="67"/>
      <c r="R209" s="67"/>
    </row>
    <row r="210">
      <c r="A210" s="1" t="s">
        <v>84</v>
      </c>
      <c r="B210" s="38">
        <v>669373.0</v>
      </c>
      <c r="C210" s="44" t="s">
        <v>537</v>
      </c>
      <c r="D210" s="38">
        <v>828.0</v>
      </c>
      <c r="E210" s="39">
        <f>IFERROR(__xludf.DUMMYFUNCTION("sum(filter('PLA Sheet'!H:H,'PLA Sheet'!C:C=B210,'PLA Sheet'!D:D=C210))"),57.729261732)</f>
        <v>57.72926173</v>
      </c>
      <c r="F210" s="40">
        <v>5.289286398</v>
      </c>
      <c r="G210" s="40">
        <f>IFERROR(__xludf.DUMMYFUNCTION("sum(filter('PLA Sheet'!J:J,'PLA Sheet'!C:C=B210,'PLA Sheet'!D:D=C210))/E210*9"),2.3444741702798675)</f>
        <v>2.34447417</v>
      </c>
      <c r="H210" s="41">
        <v>0.536231884</v>
      </c>
      <c r="I210" s="41">
        <v>0.164251208</v>
      </c>
      <c r="J210" s="41">
        <v>0.299516908</v>
      </c>
      <c r="K210" s="41">
        <f t="shared" si="1"/>
        <v>0.236714976</v>
      </c>
      <c r="L210" s="42">
        <v>3.885579797</v>
      </c>
      <c r="M210" s="45">
        <f>('Cy Young Rank'!O$1-G210)*E210/9</f>
        <v>11.0040044</v>
      </c>
      <c r="N210" s="42"/>
      <c r="O210" s="66"/>
      <c r="P210" s="42"/>
      <c r="Q210" s="67"/>
      <c r="R210" s="67"/>
    </row>
    <row r="211">
      <c r="A211" s="1" t="s">
        <v>191</v>
      </c>
      <c r="B211" s="38">
        <v>687064.0</v>
      </c>
      <c r="C211" s="44" t="s">
        <v>537</v>
      </c>
      <c r="D211" s="38">
        <v>403.0</v>
      </c>
      <c r="E211" s="39">
        <f>IFERROR(__xludf.DUMMYFUNCTION("sum(filter('PLA Sheet'!H:H,'PLA Sheet'!C:C=B211,'PLA Sheet'!D:D=C211))"),25.240681570999996)</f>
        <v>25.24068157</v>
      </c>
      <c r="F211" s="40">
        <v>5.287256932</v>
      </c>
      <c r="G211" s="40">
        <f>IFERROR(__xludf.DUMMYFUNCTION("sum(filter('PLA Sheet'!J:J,'PLA Sheet'!C:C=B211,'PLA Sheet'!D:D=C211))/E211*9"),2.694367495929138)</f>
        <v>2.694367496</v>
      </c>
      <c r="H211" s="41">
        <v>0.540942928</v>
      </c>
      <c r="I211" s="41">
        <v>0.163771712</v>
      </c>
      <c r="J211" s="41">
        <v>0.29528536</v>
      </c>
      <c r="K211" s="41">
        <f t="shared" si="1"/>
        <v>0.245657568</v>
      </c>
      <c r="L211" s="42">
        <v>-5.823150111</v>
      </c>
      <c r="M211" s="45">
        <f>('Cy Young Rank'!O$1-G211)*E211/9</f>
        <v>3.829943909</v>
      </c>
      <c r="N211" s="42"/>
      <c r="O211" s="66"/>
      <c r="P211" s="42"/>
      <c r="Q211" s="67"/>
      <c r="R211" s="67"/>
    </row>
    <row r="212">
      <c r="A212" s="1" t="s">
        <v>135</v>
      </c>
      <c r="B212" s="38">
        <v>671922.0</v>
      </c>
      <c r="C212" s="44" t="s">
        <v>537</v>
      </c>
      <c r="D212" s="38">
        <v>804.0</v>
      </c>
      <c r="E212" s="39">
        <f>IFERROR(__xludf.DUMMYFUNCTION("sum(filter('PLA Sheet'!H:H,'PLA Sheet'!C:C=B212,'PLA Sheet'!D:D=C212))"),51.47941342)</f>
        <v>51.47941342</v>
      </c>
      <c r="F212" s="40">
        <v>5.286950974</v>
      </c>
      <c r="G212" s="40">
        <f>IFERROR(__xludf.DUMMYFUNCTION("sum(filter('PLA Sheet'!J:J,'PLA Sheet'!C:C=B212,'PLA Sheet'!D:D=C212))/E212*9"),2.756752740015972)</f>
        <v>2.75675274</v>
      </c>
      <c r="H212" s="41">
        <v>0.536069652</v>
      </c>
      <c r="I212" s="41">
        <v>0.155472637</v>
      </c>
      <c r="J212" s="41">
        <v>0.308457711</v>
      </c>
      <c r="K212" s="41">
        <f t="shared" si="1"/>
        <v>0.227611941</v>
      </c>
      <c r="L212" s="42">
        <v>8.921019712</v>
      </c>
      <c r="M212" s="45">
        <f>('Cy Young Rank'!O$1-G212)*E212/9</f>
        <v>7.454489387</v>
      </c>
      <c r="N212" s="42"/>
      <c r="O212" s="66"/>
      <c r="P212" s="42"/>
      <c r="Q212" s="67"/>
      <c r="R212" s="67"/>
    </row>
    <row r="213">
      <c r="A213" s="1" t="s">
        <v>205</v>
      </c>
      <c r="B213" s="38">
        <v>666142.0</v>
      </c>
      <c r="C213" s="44" t="s">
        <v>537</v>
      </c>
      <c r="D213" s="38">
        <v>519.0</v>
      </c>
      <c r="E213" s="39">
        <f>IFERROR(__xludf.DUMMYFUNCTION("sum(filter('PLA Sheet'!H:H,'PLA Sheet'!C:C=B213,'PLA Sheet'!D:D=C213))"),30.518999078)</f>
        <v>30.51899908</v>
      </c>
      <c r="F213" s="40">
        <v>5.286600899</v>
      </c>
      <c r="G213" s="40">
        <f>IFERROR(__xludf.DUMMYFUNCTION("sum(filter('PLA Sheet'!J:J,'PLA Sheet'!C:C=B213,'PLA Sheet'!D:D=C213))/E213*9"),2.869175846042797)</f>
        <v>2.869175846</v>
      </c>
      <c r="H213" s="41">
        <v>0.574181118</v>
      </c>
      <c r="I213" s="41">
        <v>0.129094412</v>
      </c>
      <c r="J213" s="41">
        <v>0.29672447</v>
      </c>
      <c r="K213" s="41">
        <f t="shared" si="1"/>
        <v>0.277456648</v>
      </c>
      <c r="L213" s="42">
        <v>-2.736023763</v>
      </c>
      <c r="M213" s="45">
        <f>('Cy Young Rank'!O$1-G213)*E213/9</f>
        <v>4.038084584</v>
      </c>
      <c r="N213" s="42"/>
      <c r="O213" s="66"/>
      <c r="P213" s="42"/>
      <c r="Q213" s="67"/>
      <c r="R213" s="67"/>
    </row>
    <row r="214">
      <c r="A214" s="1" t="s">
        <v>85</v>
      </c>
      <c r="B214" s="38">
        <v>808967.0</v>
      </c>
      <c r="C214" s="44" t="s">
        <v>541</v>
      </c>
      <c r="D214" s="38">
        <v>479.0</v>
      </c>
      <c r="E214" s="39">
        <f>IFERROR(__xludf.DUMMYFUNCTION("sum(filter('PLA Sheet'!H:H,'PLA Sheet'!C:C=B214,'PLA Sheet'!D:D=C214))"),30.58476805)</f>
        <v>30.58476805</v>
      </c>
      <c r="F214" s="40">
        <v>5.286545756</v>
      </c>
      <c r="G214" s="40">
        <f>IFERROR(__xludf.DUMMYFUNCTION("sum(filter('PLA Sheet'!J:J,'PLA Sheet'!C:C=B214,'PLA Sheet'!D:D=C214))/E214*9"),2.4770968632537986)</f>
        <v>2.477096863</v>
      </c>
      <c r="H214" s="41">
        <v>0.551148225</v>
      </c>
      <c r="I214" s="41">
        <v>0.137787056</v>
      </c>
      <c r="J214" s="41">
        <v>0.311064718</v>
      </c>
      <c r="K214" s="41">
        <f t="shared" si="1"/>
        <v>0.240083507</v>
      </c>
      <c r="L214" s="42">
        <v>3.986710035</v>
      </c>
      <c r="M214" s="45">
        <f>('Cy Young Rank'!O$1-G214)*E214/9</f>
        <v>5.379191698</v>
      </c>
      <c r="N214" s="42"/>
      <c r="O214" s="66"/>
      <c r="P214" s="42"/>
      <c r="Q214" s="67"/>
      <c r="R214" s="67"/>
    </row>
    <row r="215">
      <c r="A215" s="1" t="s">
        <v>363</v>
      </c>
      <c r="B215" s="38">
        <v>693645.0</v>
      </c>
      <c r="C215" s="44" t="s">
        <v>540</v>
      </c>
      <c r="D215" s="38">
        <v>253.0</v>
      </c>
      <c r="E215" s="39">
        <f>IFERROR(__xludf.DUMMYFUNCTION("sum(filter('PLA Sheet'!H:H,'PLA Sheet'!C:C=B215,'PLA Sheet'!D:D=C215))"),15.147645651)</f>
        <v>15.14764565</v>
      </c>
      <c r="F215" s="40">
        <v>5.286239504</v>
      </c>
      <c r="G215" s="40">
        <f>IFERROR(__xludf.DUMMYFUNCTION("sum(filter('PLA Sheet'!J:J,'PLA Sheet'!C:C=B215,'PLA Sheet'!D:D=C215))/E215*9"),2.652021833990286)</f>
        <v>2.652021834</v>
      </c>
      <c r="H215" s="41">
        <v>0.494071146</v>
      </c>
      <c r="I215" s="41">
        <v>0.233201581</v>
      </c>
      <c r="J215" s="41">
        <v>0.272727273</v>
      </c>
      <c r="K215" s="41">
        <f t="shared" si="1"/>
        <v>0.221343873</v>
      </c>
      <c r="L215" s="42">
        <v>1.885506624</v>
      </c>
      <c r="M215" s="45">
        <f>('Cy Young Rank'!O$1-G215)*E215/9</f>
        <v>2.36972826</v>
      </c>
      <c r="N215" s="42"/>
      <c r="O215" s="66"/>
      <c r="P215" s="42"/>
      <c r="Q215" s="67"/>
      <c r="R215" s="67"/>
    </row>
    <row r="216">
      <c r="A216" s="1" t="s">
        <v>127</v>
      </c>
      <c r="B216" s="38">
        <v>687765.0</v>
      </c>
      <c r="C216" s="44" t="s">
        <v>540</v>
      </c>
      <c r="D216" s="38">
        <v>592.0</v>
      </c>
      <c r="E216" s="39">
        <f>IFERROR(__xludf.DUMMYFUNCTION("sum(filter('PLA Sheet'!H:H,'PLA Sheet'!C:C=B216,'PLA Sheet'!D:D=C216))"),38.32544379)</f>
        <v>38.32544379</v>
      </c>
      <c r="F216" s="40">
        <v>5.285323743</v>
      </c>
      <c r="G216" s="40">
        <f>IFERROR(__xludf.DUMMYFUNCTION("sum(filter('PLA Sheet'!J:J,'PLA Sheet'!C:C=B216,'PLA Sheet'!D:D=C216))/E216*9"),2.5125548585330546)</f>
        <v>2.512554859</v>
      </c>
      <c r="H216" s="41">
        <v>0.538851351</v>
      </c>
      <c r="I216" s="41">
        <v>0.162162162</v>
      </c>
      <c r="J216" s="41">
        <v>0.298986486</v>
      </c>
      <c r="K216" s="41">
        <f t="shared" si="1"/>
        <v>0.239864865</v>
      </c>
      <c r="L216" s="42">
        <v>-4.312318821</v>
      </c>
      <c r="M216" s="45">
        <f>('Cy Young Rank'!O$1-G216)*E216/9</f>
        <v>6.589613532</v>
      </c>
      <c r="N216" s="42"/>
      <c r="O216" s="66"/>
      <c r="P216" s="42"/>
      <c r="Q216" s="67"/>
      <c r="R216" s="67"/>
    </row>
    <row r="217">
      <c r="A217" s="1" t="s">
        <v>291</v>
      </c>
      <c r="B217" s="38">
        <v>656271.0</v>
      </c>
      <c r="C217" s="44" t="s">
        <v>533</v>
      </c>
      <c r="D217" s="38">
        <v>269.0</v>
      </c>
      <c r="E217" s="39">
        <f>IFERROR(__xludf.DUMMYFUNCTION("sum(filter('PLA Sheet'!H:H,'PLA Sheet'!C:C=B217,'PLA Sheet'!D:D=C217))"),16.967455622000003)</f>
        <v>16.96745562</v>
      </c>
      <c r="F217" s="40">
        <v>5.284903465</v>
      </c>
      <c r="G217" s="40">
        <f>IFERROR(__xludf.DUMMYFUNCTION("sum(filter('PLA Sheet'!J:J,'PLA Sheet'!C:C=B217,'PLA Sheet'!D:D=C217))/E217*9"),2.5122575800186757)</f>
        <v>2.51225758</v>
      </c>
      <c r="H217" s="41">
        <v>0.49070632</v>
      </c>
      <c r="I217" s="41">
        <v>0.219330855</v>
      </c>
      <c r="J217" s="41">
        <v>0.289962825</v>
      </c>
      <c r="K217" s="41">
        <f t="shared" si="1"/>
        <v>0.200743495</v>
      </c>
      <c r="L217" s="42">
        <v>2.766812413</v>
      </c>
      <c r="M217" s="45">
        <f>('Cy Young Rank'!O$1-G217)*E217/9</f>
        <v>2.917916758</v>
      </c>
      <c r="N217" s="42"/>
      <c r="O217" s="66"/>
      <c r="P217" s="42"/>
      <c r="Q217" s="67"/>
      <c r="R217" s="67"/>
    </row>
    <row r="218">
      <c r="A218" s="1" t="s">
        <v>451</v>
      </c>
      <c r="B218" s="38">
        <v>623474.0</v>
      </c>
      <c r="C218" s="44" t="s">
        <v>533</v>
      </c>
      <c r="D218" s="38">
        <v>347.0</v>
      </c>
      <c r="E218" s="39">
        <f>IFERROR(__xludf.DUMMYFUNCTION("sum(filter('PLA Sheet'!H:H,'PLA Sheet'!C:C=B218,'PLA Sheet'!D:D=C218))"),23.400936035)</f>
        <v>23.40093604</v>
      </c>
      <c r="F218" s="40">
        <v>5.283584357</v>
      </c>
      <c r="G218" s="40">
        <f>IFERROR(__xludf.DUMMYFUNCTION("sum(filter('PLA Sheet'!J:J,'PLA Sheet'!C:C=B218,'PLA Sheet'!D:D=C218))/E218*9"),2.4729572318580115)</f>
        <v>2.472957232</v>
      </c>
      <c r="H218" s="41">
        <v>0.544668588</v>
      </c>
      <c r="I218" s="41">
        <v>0.155619597</v>
      </c>
      <c r="J218" s="41">
        <v>0.299711816</v>
      </c>
      <c r="K218" s="41">
        <f t="shared" si="1"/>
        <v>0.244956772</v>
      </c>
      <c r="L218" s="42">
        <v>-2.046731064</v>
      </c>
      <c r="M218" s="45">
        <f>('Cy Young Rank'!O$1-G218)*E218/9</f>
        <v>4.126476256</v>
      </c>
      <c r="N218" s="42"/>
      <c r="O218" s="66"/>
      <c r="P218" s="42"/>
      <c r="Q218" s="67"/>
      <c r="R218" s="67"/>
    </row>
    <row r="219">
      <c r="A219" s="1" t="s">
        <v>77</v>
      </c>
      <c r="B219" s="38">
        <v>657277.0</v>
      </c>
      <c r="C219" s="44" t="s">
        <v>536</v>
      </c>
      <c r="D219" s="38">
        <v>1075.0</v>
      </c>
      <c r="E219" s="39">
        <f>IFERROR(__xludf.DUMMYFUNCTION("sum(filter('PLA Sheet'!H:H,'PLA Sheet'!C:C=B219,'PLA Sheet'!D:D=C219))"),69.54695122)</f>
        <v>69.54695122</v>
      </c>
      <c r="F219" s="40">
        <v>5.280849707</v>
      </c>
      <c r="G219" s="40">
        <f>IFERROR(__xludf.DUMMYFUNCTION("sum(filter('PLA Sheet'!J:J,'PLA Sheet'!C:C=B219,'PLA Sheet'!D:D=C219))/E219*9"),2.4425794807687904)</f>
        <v>2.442579481</v>
      </c>
      <c r="H219" s="41">
        <v>0.546976744</v>
      </c>
      <c r="I219" s="41">
        <v>0.131162791</v>
      </c>
      <c r="J219" s="41">
        <v>0.321860465</v>
      </c>
      <c r="K219" s="41">
        <f t="shared" si="1"/>
        <v>0.225116279</v>
      </c>
      <c r="L219" s="42">
        <v>-10.73201782</v>
      </c>
      <c r="M219" s="45">
        <f>('Cy Young Rank'!O$1-G219)*E219/9</f>
        <v>12.49851844</v>
      </c>
      <c r="N219" s="42"/>
      <c r="O219" s="66"/>
      <c r="P219" s="42"/>
      <c r="Q219" s="67"/>
      <c r="R219" s="67"/>
    </row>
    <row r="220">
      <c r="A220" s="1" t="s">
        <v>61</v>
      </c>
      <c r="B220" s="38">
        <v>663969.0</v>
      </c>
      <c r="C220" s="44" t="s">
        <v>536</v>
      </c>
      <c r="D220" s="38">
        <v>336.0</v>
      </c>
      <c r="E220" s="39">
        <f>IFERROR(__xludf.DUMMYFUNCTION("sum(filter('PLA Sheet'!H:H,'PLA Sheet'!C:C=B220,'PLA Sheet'!D:D=C220))"),24.563042826999997)</f>
        <v>24.56304283</v>
      </c>
      <c r="F220" s="40">
        <v>5.276684121</v>
      </c>
      <c r="G220" s="40">
        <f>IFERROR(__xludf.DUMMYFUNCTION("sum(filter('PLA Sheet'!J:J,'PLA Sheet'!C:C=B220,'PLA Sheet'!D:D=C220))/E220*9"),2.191085256784257)</f>
        <v>2.191085257</v>
      </c>
      <c r="H220" s="41">
        <v>0.553571429</v>
      </c>
      <c r="I220" s="41">
        <v>0.148809524</v>
      </c>
      <c r="J220" s="41">
        <v>0.297619048</v>
      </c>
      <c r="K220" s="41">
        <f t="shared" si="1"/>
        <v>0.255952381</v>
      </c>
      <c r="L220" s="42">
        <v>-2.140259569</v>
      </c>
      <c r="M220" s="45">
        <f>('Cy Young Rank'!O$1-G220)*E220/9</f>
        <v>5.100692542</v>
      </c>
      <c r="N220" s="42"/>
      <c r="O220" s="66"/>
      <c r="P220" s="42"/>
      <c r="Q220" s="67"/>
      <c r="R220" s="67"/>
    </row>
    <row r="221">
      <c r="A221" s="1" t="s">
        <v>102</v>
      </c>
      <c r="B221" s="38">
        <v>656986.0</v>
      </c>
      <c r="C221" s="44" t="s">
        <v>533</v>
      </c>
      <c r="D221" s="38">
        <v>411.0</v>
      </c>
      <c r="E221" s="39">
        <f>IFERROR(__xludf.DUMMYFUNCTION("sum(filter('PLA Sheet'!H:H,'PLA Sheet'!C:C=B221,'PLA Sheet'!D:D=C221))"),29.480055019999998)</f>
        <v>29.48005502</v>
      </c>
      <c r="F221" s="40">
        <v>5.27559846</v>
      </c>
      <c r="G221" s="40">
        <f>IFERROR(__xludf.DUMMYFUNCTION("sum(filter('PLA Sheet'!J:J,'PLA Sheet'!C:C=B221,'PLA Sheet'!D:D=C221))/E221*9"),2.3186508964663393)</f>
        <v>2.318650896</v>
      </c>
      <c r="H221" s="41">
        <v>0.515815085</v>
      </c>
      <c r="I221" s="41">
        <v>0.197080292</v>
      </c>
      <c r="J221" s="41">
        <v>0.287104623</v>
      </c>
      <c r="K221" s="41">
        <f t="shared" si="1"/>
        <v>0.228710462</v>
      </c>
      <c r="L221" s="42">
        <v>8.139052323</v>
      </c>
      <c r="M221" s="45">
        <f>('Cy Young Rank'!O$1-G221)*E221/9</f>
        <v>5.703896376</v>
      </c>
      <c r="N221" s="42"/>
      <c r="O221" s="66"/>
      <c r="P221" s="42"/>
      <c r="Q221" s="67"/>
      <c r="R221" s="67"/>
    </row>
    <row r="222">
      <c r="A222" s="1" t="s">
        <v>348</v>
      </c>
      <c r="B222" s="38">
        <v>672578.0</v>
      </c>
      <c r="C222" s="44" t="s">
        <v>537</v>
      </c>
      <c r="D222" s="38">
        <v>372.0</v>
      </c>
      <c r="E222" s="39">
        <f>IFERROR(__xludf.DUMMYFUNCTION("sum(filter('PLA Sheet'!H:H,'PLA Sheet'!C:C=B222,'PLA Sheet'!D:D=C222))"),22.067901239999998)</f>
        <v>22.06790124</v>
      </c>
      <c r="F222" s="40">
        <v>5.273359877</v>
      </c>
      <c r="G222" s="40">
        <f>IFERROR(__xludf.DUMMYFUNCTION("sum(filter('PLA Sheet'!J:J,'PLA Sheet'!C:C=B222,'PLA Sheet'!D:D=C222))/E222*9"),2.9089518437594757)</f>
        <v>2.908951844</v>
      </c>
      <c r="H222" s="41">
        <v>0.575268817</v>
      </c>
      <c r="I222" s="41">
        <v>0.115591398</v>
      </c>
      <c r="J222" s="41">
        <v>0.309139785</v>
      </c>
      <c r="K222" s="41">
        <f t="shared" si="1"/>
        <v>0.266129032</v>
      </c>
      <c r="L222" s="42">
        <v>-9.087227083</v>
      </c>
      <c r="M222" s="45">
        <f>('Cy Young Rank'!O$1-G222)*E222/9</f>
        <v>2.822357448</v>
      </c>
      <c r="N222" s="42"/>
      <c r="O222" s="66"/>
      <c r="P222" s="42"/>
      <c r="Q222" s="67"/>
      <c r="R222" s="67"/>
    </row>
    <row r="223">
      <c r="A223" s="1" t="s">
        <v>153</v>
      </c>
      <c r="B223" s="38">
        <v>669302.0</v>
      </c>
      <c r="C223" s="44" t="s">
        <v>538</v>
      </c>
      <c r="D223" s="38">
        <v>416.0</v>
      </c>
      <c r="E223" s="39">
        <f>IFERROR(__xludf.DUMMYFUNCTION("sum(filter('PLA Sheet'!H:H,'PLA Sheet'!C:C=B223,'PLA Sheet'!D:D=C223))"),25.72562674)</f>
        <v>25.72562674</v>
      </c>
      <c r="F223" s="40">
        <v>5.27273285</v>
      </c>
      <c r="G223" s="40">
        <f>IFERROR(__xludf.DUMMYFUNCTION("sum(filter('PLA Sheet'!J:J,'PLA Sheet'!C:C=B223,'PLA Sheet'!D:D=C223))/E223*9"),2.448597021041906)</f>
        <v>2.448597021</v>
      </c>
      <c r="H223" s="41">
        <v>0.454326923</v>
      </c>
      <c r="I223" s="41">
        <v>0.230769231</v>
      </c>
      <c r="J223" s="41">
        <v>0.314903846</v>
      </c>
      <c r="K223" s="41">
        <f t="shared" si="1"/>
        <v>0.139423077</v>
      </c>
      <c r="L223" s="42">
        <v>5.25981666</v>
      </c>
      <c r="M223" s="45">
        <f>('Cy Young Rank'!O$1-G223)*E223/9</f>
        <v>4.606039063</v>
      </c>
      <c r="N223" s="42"/>
      <c r="O223" s="66"/>
      <c r="P223" s="42"/>
      <c r="Q223" s="67"/>
      <c r="R223" s="67"/>
    </row>
    <row r="224">
      <c r="A224" s="1" t="s">
        <v>362</v>
      </c>
      <c r="B224" s="38">
        <v>573124.0</v>
      </c>
      <c r="C224" s="44" t="s">
        <v>539</v>
      </c>
      <c r="D224" s="38">
        <v>442.0</v>
      </c>
      <c r="E224" s="39">
        <f>IFERROR(__xludf.DUMMYFUNCTION("sum(filter('PLA Sheet'!H:H,'PLA Sheet'!C:C=B224,'PLA Sheet'!D:D=C224))"),25.815602839999997)</f>
        <v>25.81560284</v>
      </c>
      <c r="F224" s="40">
        <v>5.272678156</v>
      </c>
      <c r="G224" s="40">
        <f>IFERROR(__xludf.DUMMYFUNCTION("sum(filter('PLA Sheet'!J:J,'PLA Sheet'!C:C=B224,'PLA Sheet'!D:D=C224))/E224*9"),2.6518289510530764)</f>
        <v>2.651828951</v>
      </c>
      <c r="H224" s="41">
        <v>0.536199095</v>
      </c>
      <c r="I224" s="41">
        <v>0.194570136</v>
      </c>
      <c r="J224" s="41">
        <v>0.269230769</v>
      </c>
      <c r="K224" s="41">
        <f t="shared" si="1"/>
        <v>0.266968326</v>
      </c>
      <c r="L224" s="42">
        <v>4.938600179</v>
      </c>
      <c r="M224" s="45">
        <f>('Cy Young Rank'!O$1-G224)*E224/9</f>
        <v>4.039198281</v>
      </c>
      <c r="N224" s="42"/>
      <c r="O224" s="66"/>
      <c r="P224" s="42"/>
      <c r="Q224" s="67"/>
      <c r="R224" s="67"/>
    </row>
    <row r="225">
      <c r="A225" s="1" t="s">
        <v>84</v>
      </c>
      <c r="B225" s="38">
        <v>669373.0</v>
      </c>
      <c r="C225" s="44" t="s">
        <v>536</v>
      </c>
      <c r="D225" s="38">
        <v>660.0</v>
      </c>
      <c r="E225" s="39">
        <f>IFERROR(__xludf.DUMMYFUNCTION("sum(filter('PLA Sheet'!H:H,'PLA Sheet'!C:C=B225,'PLA Sheet'!D:D=C225))"),46.21083422)</f>
        <v>46.21083422</v>
      </c>
      <c r="F225" s="40">
        <v>5.27238595</v>
      </c>
      <c r="G225" s="40">
        <f>IFERROR(__xludf.DUMMYFUNCTION("sum(filter('PLA Sheet'!J:J,'PLA Sheet'!C:C=B225,'PLA Sheet'!D:D=C225))/E225*9"),2.3526642579619716)</f>
        <v>2.352664258</v>
      </c>
      <c r="H225" s="41">
        <v>0.539393939</v>
      </c>
      <c r="I225" s="41">
        <v>0.163636364</v>
      </c>
      <c r="J225" s="41">
        <v>0.296969697</v>
      </c>
      <c r="K225" s="41">
        <f t="shared" si="1"/>
        <v>0.242424242</v>
      </c>
      <c r="L225" s="42">
        <v>-0.169450213</v>
      </c>
      <c r="M225" s="45">
        <f>('Cy Young Rank'!O$1-G225)*E225/9</f>
        <v>8.76637877</v>
      </c>
      <c r="N225" s="42"/>
      <c r="O225" s="66"/>
      <c r="P225" s="42"/>
      <c r="Q225" s="67"/>
      <c r="R225" s="67"/>
    </row>
    <row r="226">
      <c r="A226" s="1" t="s">
        <v>264</v>
      </c>
      <c r="B226" s="38">
        <v>669920.0</v>
      </c>
      <c r="C226" s="44" t="s">
        <v>536</v>
      </c>
      <c r="D226" s="38">
        <v>484.0</v>
      </c>
      <c r="E226" s="39">
        <f>IFERROR(__xludf.DUMMYFUNCTION("sum(filter('PLA Sheet'!H:H,'PLA Sheet'!C:C=B226,'PLA Sheet'!D:D=C226))"),30.883919069999997)</f>
        <v>30.88391907</v>
      </c>
      <c r="F226" s="40">
        <v>5.272051186</v>
      </c>
      <c r="G226" s="40">
        <f>IFERROR(__xludf.DUMMYFUNCTION("sum(filter('PLA Sheet'!J:J,'PLA Sheet'!C:C=B226,'PLA Sheet'!D:D=C226))/E226*9"),2.6606099703135895)</f>
        <v>2.66060997</v>
      </c>
      <c r="H226" s="41">
        <v>0.522727273</v>
      </c>
      <c r="I226" s="41">
        <v>0.214876033</v>
      </c>
      <c r="J226" s="41">
        <v>0.262396694</v>
      </c>
      <c r="K226" s="41">
        <f t="shared" si="1"/>
        <v>0.260330579</v>
      </c>
      <c r="L226" s="42">
        <v>-3.067788727</v>
      </c>
      <c r="M226" s="45">
        <f>('Cy Young Rank'!O$1-G226)*E226/9</f>
        <v>4.802072047</v>
      </c>
      <c r="N226" s="42"/>
      <c r="O226" s="66"/>
      <c r="P226" s="42"/>
      <c r="Q226" s="67"/>
      <c r="R226" s="67"/>
    </row>
    <row r="227">
      <c r="A227" s="1" t="s">
        <v>156</v>
      </c>
      <c r="B227" s="38">
        <v>519242.0</v>
      </c>
      <c r="C227" s="44" t="s">
        <v>533</v>
      </c>
      <c r="D227" s="38">
        <v>930.0</v>
      </c>
      <c r="E227" s="39">
        <f>IFERROR(__xludf.DUMMYFUNCTION("sum(filter('PLA Sheet'!H:H,'PLA Sheet'!C:C=B227,'PLA Sheet'!D:D=C227))"),59.428571430000005)</f>
        <v>59.42857143</v>
      </c>
      <c r="F227" s="40">
        <v>5.271857401</v>
      </c>
      <c r="G227" s="40">
        <f>IFERROR(__xludf.DUMMYFUNCTION("sum(filter('PLA Sheet'!J:J,'PLA Sheet'!C:C=B227,'PLA Sheet'!D:D=C227))/E227*9"),2.527590742727702)</f>
        <v>2.527590743</v>
      </c>
      <c r="H227" s="41">
        <v>0.530107527</v>
      </c>
      <c r="I227" s="41">
        <v>0.176344086</v>
      </c>
      <c r="J227" s="41">
        <v>0.293548387</v>
      </c>
      <c r="K227" s="41">
        <f t="shared" si="1"/>
        <v>0.23655914</v>
      </c>
      <c r="L227" s="42">
        <v>14.63920542</v>
      </c>
      <c r="M227" s="45">
        <f>('Cy Young Rank'!O$1-G227)*E227/9</f>
        <v>10.11876589</v>
      </c>
      <c r="N227" s="42"/>
      <c r="O227" s="66"/>
      <c r="P227" s="42"/>
      <c r="Q227" s="67"/>
      <c r="R227" s="67"/>
    </row>
    <row r="228">
      <c r="A228" s="1" t="s">
        <v>95</v>
      </c>
      <c r="B228" s="38">
        <v>543243.0</v>
      </c>
      <c r="C228" s="44" t="s">
        <v>537</v>
      </c>
      <c r="D228" s="38">
        <v>587.0</v>
      </c>
      <c r="E228" s="39">
        <f>IFERROR(__xludf.DUMMYFUNCTION("sum(filter('PLA Sheet'!H:H,'PLA Sheet'!C:C=B228,'PLA Sheet'!D:D=C228))"),40.24423171)</f>
        <v>40.24423171</v>
      </c>
      <c r="F228" s="40">
        <v>5.271808142</v>
      </c>
      <c r="G228" s="40">
        <f>IFERROR(__xludf.DUMMYFUNCTION("sum(filter('PLA Sheet'!J:J,'PLA Sheet'!C:C=B228,'PLA Sheet'!D:D=C228))/E228*9"),2.5356124011840406)</f>
        <v>2.535612401</v>
      </c>
      <c r="H228" s="41">
        <v>0.551959114</v>
      </c>
      <c r="I228" s="41">
        <v>0.148211244</v>
      </c>
      <c r="J228" s="41">
        <v>0.299829642</v>
      </c>
      <c r="K228" s="41">
        <f t="shared" si="1"/>
        <v>0.252129472</v>
      </c>
      <c r="L228" s="42">
        <v>-14.28744754</v>
      </c>
      <c r="M228" s="45">
        <f>('Cy Young Rank'!O$1-G228)*E228/9</f>
        <v>6.816423083</v>
      </c>
      <c r="N228" s="42"/>
      <c r="O228" s="66"/>
      <c r="P228" s="42"/>
      <c r="Q228" s="67"/>
      <c r="R228" s="67"/>
    </row>
    <row r="229">
      <c r="A229" s="1" t="s">
        <v>139</v>
      </c>
      <c r="B229" s="38">
        <v>640448.0</v>
      </c>
      <c r="C229" s="44" t="s">
        <v>537</v>
      </c>
      <c r="D229" s="38">
        <v>472.0</v>
      </c>
      <c r="E229" s="39">
        <f>IFERROR(__xludf.DUMMYFUNCTION("sum(filter('PLA Sheet'!H:H,'PLA Sheet'!C:C=B229,'PLA Sheet'!D:D=C229))"),33.19928825)</f>
        <v>33.19928825</v>
      </c>
      <c r="F229" s="40">
        <v>5.271725404</v>
      </c>
      <c r="G229" s="40">
        <f>IFERROR(__xludf.DUMMYFUNCTION("sum(filter('PLA Sheet'!J:J,'PLA Sheet'!C:C=B229,'PLA Sheet'!D:D=C229))/E229*9"),2.4287492368153405)</f>
        <v>2.428749237</v>
      </c>
      <c r="H229" s="41">
        <v>0.561440678</v>
      </c>
      <c r="I229" s="41">
        <v>0.167372881</v>
      </c>
      <c r="J229" s="41">
        <v>0.271186441</v>
      </c>
      <c r="K229" s="41">
        <f t="shared" si="1"/>
        <v>0.290254237</v>
      </c>
      <c r="L229" s="42">
        <v>0.16772814</v>
      </c>
      <c r="M229" s="45">
        <f>('Cy Young Rank'!O$1-G229)*E229/9</f>
        <v>6.017373811</v>
      </c>
      <c r="N229" s="42"/>
      <c r="O229" s="66"/>
      <c r="P229" s="42"/>
      <c r="Q229" s="67"/>
      <c r="R229" s="67"/>
    </row>
    <row r="230">
      <c r="A230" s="1" t="s">
        <v>261</v>
      </c>
      <c r="B230" s="38">
        <v>664126.0</v>
      </c>
      <c r="C230" s="44" t="s">
        <v>533</v>
      </c>
      <c r="D230" s="38">
        <v>385.0</v>
      </c>
      <c r="E230" s="39">
        <f>IFERROR(__xludf.DUMMYFUNCTION("sum(filter('PLA Sheet'!H:H,'PLA Sheet'!C:C=B230,'PLA Sheet'!D:D=C230))"),24.02330293)</f>
        <v>24.02330293</v>
      </c>
      <c r="F230" s="40">
        <v>5.271399262</v>
      </c>
      <c r="G230" s="40">
        <f>IFERROR(__xludf.DUMMYFUNCTION("sum(filter('PLA Sheet'!J:J,'PLA Sheet'!C:C=B230,'PLA Sheet'!D:D=C230))/E230*9"),2.552892005678921)</f>
        <v>2.552892006</v>
      </c>
      <c r="H230" s="41">
        <v>0.488311688</v>
      </c>
      <c r="I230" s="41">
        <v>0.220779221</v>
      </c>
      <c r="J230" s="41">
        <v>0.290909091</v>
      </c>
      <c r="K230" s="41">
        <f t="shared" si="1"/>
        <v>0.197402597</v>
      </c>
      <c r="L230" s="42">
        <v>9.383191249</v>
      </c>
      <c r="M230" s="45">
        <f>('Cy Young Rank'!O$1-G230)*E230/9</f>
        <v>4.022856877</v>
      </c>
      <c r="N230" s="42"/>
      <c r="O230" s="66"/>
      <c r="P230" s="42"/>
      <c r="Q230" s="67"/>
      <c r="R230" s="67"/>
    </row>
    <row r="231">
      <c r="A231" s="1" t="s">
        <v>61</v>
      </c>
      <c r="B231" s="38">
        <v>663969.0</v>
      </c>
      <c r="C231" s="44" t="s">
        <v>541</v>
      </c>
      <c r="D231" s="38">
        <v>256.0</v>
      </c>
      <c r="E231" s="39">
        <f>IFERROR(__xludf.DUMMYFUNCTION("sum(filter('PLA Sheet'!H:H,'PLA Sheet'!C:C=B231,'PLA Sheet'!D:D=C231))"),18.212938008)</f>
        <v>18.21293801</v>
      </c>
      <c r="F231" s="40">
        <v>5.271223341</v>
      </c>
      <c r="G231" s="40">
        <f>IFERROR(__xludf.DUMMYFUNCTION("sum(filter('PLA Sheet'!J:J,'PLA Sheet'!C:C=B231,'PLA Sheet'!D:D=C231))/E231*9"),2.273498761254884)</f>
        <v>2.273498761</v>
      </c>
      <c r="H231" s="41">
        <v>0.4921875</v>
      </c>
      <c r="I231" s="41">
        <v>0.1953125</v>
      </c>
      <c r="J231" s="41">
        <v>0.3125</v>
      </c>
      <c r="K231" s="41">
        <f t="shared" si="1"/>
        <v>0.1796875</v>
      </c>
      <c r="L231" s="42">
        <v>1.052819791</v>
      </c>
      <c r="M231" s="45">
        <f>('Cy Young Rank'!O$1-G231)*E231/9</f>
        <v>3.615270701</v>
      </c>
      <c r="N231" s="42"/>
      <c r="O231" s="66"/>
      <c r="P231" s="42"/>
      <c r="Q231" s="67"/>
      <c r="R231" s="67"/>
    </row>
    <row r="232">
      <c r="A232" s="1" t="s">
        <v>296</v>
      </c>
      <c r="B232" s="38">
        <v>669372.0</v>
      </c>
      <c r="C232" s="44" t="s">
        <v>533</v>
      </c>
      <c r="D232" s="38">
        <v>392.0</v>
      </c>
      <c r="E232" s="39">
        <f>IFERROR(__xludf.DUMMYFUNCTION("sum(filter('PLA Sheet'!H:H,'PLA Sheet'!C:C=B232,'PLA Sheet'!D:D=C232))"),23.243329103)</f>
        <v>23.2433291</v>
      </c>
      <c r="F232" s="40">
        <v>5.270907644</v>
      </c>
      <c r="G232" s="40">
        <f>IFERROR(__xludf.DUMMYFUNCTION("sum(filter('PLA Sheet'!J:J,'PLA Sheet'!C:C=B232,'PLA Sheet'!D:D=C232))/E232*9"),2.647102087973219)</f>
        <v>2.647102088</v>
      </c>
      <c r="H232" s="41">
        <v>0.494897959</v>
      </c>
      <c r="I232" s="41">
        <v>0.206632653</v>
      </c>
      <c r="J232" s="41">
        <v>0.298469388</v>
      </c>
      <c r="K232" s="41">
        <f t="shared" si="1"/>
        <v>0.196428571</v>
      </c>
      <c r="L232" s="42">
        <v>-0.334401253</v>
      </c>
      <c r="M232" s="45">
        <f>('Cy Young Rank'!O$1-G232)*E232/9</f>
        <v>3.648939018</v>
      </c>
      <c r="N232" s="42"/>
      <c r="O232" s="66"/>
      <c r="P232" s="42"/>
      <c r="Q232" s="67"/>
      <c r="R232" s="67"/>
    </row>
    <row r="233">
      <c r="A233" s="1" t="s">
        <v>284</v>
      </c>
      <c r="B233" s="38">
        <v>673513.0</v>
      </c>
      <c r="C233" s="44" t="s">
        <v>537</v>
      </c>
      <c r="D233" s="38">
        <v>407.0</v>
      </c>
      <c r="E233" s="39">
        <f>IFERROR(__xludf.DUMMYFUNCTION("sum(filter('PLA Sheet'!H:H,'PLA Sheet'!C:C=B233,'PLA Sheet'!D:D=C233))"),25.04708098)</f>
        <v>25.04708098</v>
      </c>
      <c r="F233" s="40">
        <v>5.270899407</v>
      </c>
      <c r="G233" s="40">
        <f>IFERROR(__xludf.DUMMYFUNCTION("sum(filter('PLA Sheet'!J:J,'PLA Sheet'!C:C=B233,'PLA Sheet'!D:D=C233))/E233*9"),2.7461208375907122)</f>
        <v>2.746120838</v>
      </c>
      <c r="H233" s="41">
        <v>0.56019656</v>
      </c>
      <c r="I233" s="41">
        <v>0.117936118</v>
      </c>
      <c r="J233" s="41">
        <v>0.321867322</v>
      </c>
      <c r="K233" s="41">
        <f t="shared" si="1"/>
        <v>0.238329238</v>
      </c>
      <c r="L233" s="42">
        <v>-1.390855978</v>
      </c>
      <c r="M233" s="45">
        <f>('Cy Young Rank'!O$1-G233)*E233/9</f>
        <v>3.656537531</v>
      </c>
      <c r="N233" s="42"/>
      <c r="O233" s="66"/>
      <c r="P233" s="42"/>
      <c r="Q233" s="67"/>
      <c r="R233" s="67"/>
    </row>
    <row r="234">
      <c r="A234" s="1" t="s">
        <v>302</v>
      </c>
      <c r="B234" s="38">
        <v>681190.0</v>
      </c>
      <c r="C234" s="44" t="s">
        <v>539</v>
      </c>
      <c r="D234" s="38">
        <v>286.0</v>
      </c>
      <c r="E234" s="39">
        <f>IFERROR(__xludf.DUMMYFUNCTION("sum(filter('PLA Sheet'!H:H,'PLA Sheet'!C:C=B234,'PLA Sheet'!D:D=C234))"),18.108473)</f>
        <v>18.108473</v>
      </c>
      <c r="F234" s="40">
        <v>5.268904263</v>
      </c>
      <c r="G234" s="40">
        <f>IFERROR(__xludf.DUMMYFUNCTION("sum(filter('PLA Sheet'!J:J,'PLA Sheet'!C:C=B234,'PLA Sheet'!D:D=C234))/E234*9"),2.4258243088746356)</f>
        <v>2.425824309</v>
      </c>
      <c r="H234" s="41">
        <v>0.527972028</v>
      </c>
      <c r="I234" s="41">
        <v>0.157342657</v>
      </c>
      <c r="J234" s="41">
        <v>0.314685315</v>
      </c>
      <c r="K234" s="41">
        <f t="shared" si="1"/>
        <v>0.213286713</v>
      </c>
      <c r="L234" s="42">
        <v>-5.523957138</v>
      </c>
      <c r="M234" s="45">
        <f>('Cy Young Rank'!O$1-G234)*E234/9</f>
        <v>3.288047376</v>
      </c>
      <c r="N234" s="42"/>
      <c r="O234" s="66"/>
      <c r="P234" s="42"/>
      <c r="Q234" s="67"/>
      <c r="R234" s="67"/>
    </row>
    <row r="235">
      <c r="A235" s="1" t="s">
        <v>95</v>
      </c>
      <c r="B235" s="38">
        <v>543243.0</v>
      </c>
      <c r="C235" s="44" t="s">
        <v>541</v>
      </c>
      <c r="D235" s="38">
        <v>486.0</v>
      </c>
      <c r="E235" s="39">
        <f>IFERROR(__xludf.DUMMYFUNCTION("sum(filter('PLA Sheet'!H:H,'PLA Sheet'!C:C=B235,'PLA Sheet'!D:D=C235))"),33.193176244)</f>
        <v>33.19317624</v>
      </c>
      <c r="F235" s="40">
        <v>5.268828457</v>
      </c>
      <c r="G235" s="40">
        <f>IFERROR(__xludf.DUMMYFUNCTION("sum(filter('PLA Sheet'!J:J,'PLA Sheet'!C:C=B235,'PLA Sheet'!D:D=C235))/E235*9"),2.4346436570561054)</f>
        <v>2.434643657</v>
      </c>
      <c r="H235" s="41">
        <v>0.528806584</v>
      </c>
      <c r="I235" s="41">
        <v>0.174897119</v>
      </c>
      <c r="J235" s="41">
        <v>0.296296296</v>
      </c>
      <c r="K235" s="41">
        <f t="shared" si="1"/>
        <v>0.232510288</v>
      </c>
      <c r="L235" s="42">
        <v>3.961564745</v>
      </c>
      <c r="M235" s="45">
        <f>('Cy Young Rank'!O$1-G235)*E235/9</f>
        <v>5.994526617</v>
      </c>
      <c r="N235" s="42"/>
      <c r="O235" s="66"/>
      <c r="P235" s="42"/>
      <c r="Q235" s="67"/>
      <c r="R235" s="67"/>
    </row>
    <row r="236">
      <c r="A236" s="1" t="s">
        <v>436</v>
      </c>
      <c r="B236" s="38">
        <v>547184.0</v>
      </c>
      <c r="C236" s="44" t="s">
        <v>539</v>
      </c>
      <c r="D236" s="38">
        <v>315.0</v>
      </c>
      <c r="E236" s="39">
        <f>IFERROR(__xludf.DUMMYFUNCTION("sum(filter('PLA Sheet'!H:H,'PLA Sheet'!C:C=B236,'PLA Sheet'!D:D=C236))"),19.591463419)</f>
        <v>19.59146342</v>
      </c>
      <c r="F236" s="40">
        <v>5.268481364</v>
      </c>
      <c r="G236" s="40">
        <f>IFERROR(__xludf.DUMMYFUNCTION("sum(filter('PLA Sheet'!J:J,'PLA Sheet'!C:C=B236,'PLA Sheet'!D:D=C236))/E236*9"),2.572859562451862)</f>
        <v>2.572859562</v>
      </c>
      <c r="H236" s="41">
        <v>0.517460317</v>
      </c>
      <c r="I236" s="41">
        <v>0.174603175</v>
      </c>
      <c r="J236" s="41">
        <v>0.307936508</v>
      </c>
      <c r="K236" s="41">
        <f t="shared" si="1"/>
        <v>0.209523809</v>
      </c>
      <c r="L236" s="42">
        <v>-9.30188619</v>
      </c>
      <c r="M236" s="45">
        <f>('Cy Young Rank'!O$1-G236)*E236/9</f>
        <v>3.237250831</v>
      </c>
      <c r="N236" s="42"/>
      <c r="O236" s="66"/>
      <c r="P236" s="42"/>
      <c r="Q236" s="67"/>
      <c r="R236" s="67"/>
    </row>
    <row r="237">
      <c r="A237" s="1" t="s">
        <v>198</v>
      </c>
      <c r="B237" s="38">
        <v>680736.0</v>
      </c>
      <c r="C237" s="44" t="s">
        <v>537</v>
      </c>
      <c r="D237" s="38">
        <v>304.0</v>
      </c>
      <c r="E237" s="39">
        <f>IFERROR(__xludf.DUMMYFUNCTION("sum(filter('PLA Sheet'!H:H,'PLA Sheet'!C:C=B237,'PLA Sheet'!D:D=C237))"),18.960244644)</f>
        <v>18.96024464</v>
      </c>
      <c r="F237" s="40">
        <v>5.268405685</v>
      </c>
      <c r="G237" s="40">
        <f>IFERROR(__xludf.DUMMYFUNCTION("sum(filter('PLA Sheet'!J:J,'PLA Sheet'!C:C=B237,'PLA Sheet'!D:D=C237))/E237*9"),2.8449876577446975)</f>
        <v>2.844987658</v>
      </c>
      <c r="H237" s="41">
        <v>0.513157895</v>
      </c>
      <c r="I237" s="41">
        <v>0.220394737</v>
      </c>
      <c r="J237" s="41">
        <v>0.266447368</v>
      </c>
      <c r="K237" s="41">
        <f t="shared" si="1"/>
        <v>0.246710527</v>
      </c>
      <c r="L237" s="42">
        <v>-1.681246569</v>
      </c>
      <c r="M237" s="45">
        <f>('Cy Young Rank'!O$1-G237)*E237/9</f>
        <v>2.559659028</v>
      </c>
      <c r="N237" s="42"/>
      <c r="O237" s="66"/>
      <c r="P237" s="42"/>
      <c r="Q237" s="67"/>
      <c r="R237" s="67"/>
    </row>
    <row r="238">
      <c r="A238" s="1" t="s">
        <v>235</v>
      </c>
      <c r="B238" s="38">
        <v>666974.0</v>
      </c>
      <c r="C238" s="44" t="s">
        <v>536</v>
      </c>
      <c r="D238" s="38">
        <v>437.0</v>
      </c>
      <c r="E238" s="39">
        <f>IFERROR(__xludf.DUMMYFUNCTION("sum(filter('PLA Sheet'!H:H,'PLA Sheet'!C:C=B238,'PLA Sheet'!D:D=C238))"),26.642276421000002)</f>
        <v>26.64227642</v>
      </c>
      <c r="F238" s="40">
        <v>5.268401546</v>
      </c>
      <c r="G238" s="40">
        <f>IFERROR(__xludf.DUMMYFUNCTION("sum(filter('PLA Sheet'!J:J,'PLA Sheet'!C:C=B238,'PLA Sheet'!D:D=C238))/E238*9"),2.6970077130257093)</f>
        <v>2.697007713</v>
      </c>
      <c r="H238" s="41">
        <v>0.542334096</v>
      </c>
      <c r="I238" s="41">
        <v>0.151029748</v>
      </c>
      <c r="J238" s="41">
        <v>0.306636156</v>
      </c>
      <c r="K238" s="41">
        <f t="shared" si="1"/>
        <v>0.23569794</v>
      </c>
      <c r="L238" s="42">
        <v>12.14178492</v>
      </c>
      <c r="M238" s="45">
        <f>('Cy Young Rank'!O$1-G238)*E238/9</f>
        <v>4.034801919</v>
      </c>
      <c r="N238" s="42"/>
      <c r="O238" s="66"/>
      <c r="P238" s="42"/>
      <c r="Q238" s="67"/>
      <c r="R238" s="67"/>
    </row>
    <row r="239">
      <c r="A239" s="1" t="s">
        <v>137</v>
      </c>
      <c r="B239" s="38">
        <v>453286.0</v>
      </c>
      <c r="C239" s="44" t="s">
        <v>537</v>
      </c>
      <c r="D239" s="38">
        <v>655.0</v>
      </c>
      <c r="E239" s="39">
        <f>IFERROR(__xludf.DUMMYFUNCTION("sum(filter('PLA Sheet'!H:H,'PLA Sheet'!C:C=B239,'PLA Sheet'!D:D=C239))"),41.215827340000004)</f>
        <v>41.21582734</v>
      </c>
      <c r="F239" s="40">
        <v>5.268303587</v>
      </c>
      <c r="G239" s="40">
        <f>IFERROR(__xludf.DUMMYFUNCTION("sum(filter('PLA Sheet'!J:J,'PLA Sheet'!C:C=B239,'PLA Sheet'!D:D=C239))/E239*9"),2.8115778446969784)</f>
        <v>2.811577845</v>
      </c>
      <c r="H239" s="41">
        <v>0.545038168</v>
      </c>
      <c r="I239" s="41">
        <v>0.163358779</v>
      </c>
      <c r="J239" s="41">
        <v>0.291603053</v>
      </c>
      <c r="K239" s="41">
        <f t="shared" si="1"/>
        <v>0.253435115</v>
      </c>
      <c r="L239" s="42">
        <v>-2.369252745</v>
      </c>
      <c r="M239" s="45">
        <f>('Cy Young Rank'!O$1-G239)*E239/9</f>
        <v>5.717194667</v>
      </c>
      <c r="N239" s="42"/>
      <c r="O239" s="66"/>
      <c r="P239" s="42"/>
      <c r="Q239" s="67"/>
      <c r="R239" s="67"/>
    </row>
    <row r="240">
      <c r="A240" s="1" t="s">
        <v>173</v>
      </c>
      <c r="B240" s="38">
        <v>641927.0</v>
      </c>
      <c r="C240" s="44" t="s">
        <v>533</v>
      </c>
      <c r="D240" s="38">
        <v>394.0</v>
      </c>
      <c r="E240" s="39">
        <f>IFERROR(__xludf.DUMMYFUNCTION("sum(filter('PLA Sheet'!H:H,'PLA Sheet'!C:C=B240,'PLA Sheet'!D:D=C240))"),25.34125637)</f>
        <v>25.34125637</v>
      </c>
      <c r="F240" s="40">
        <v>5.267764949</v>
      </c>
      <c r="G240" s="40">
        <f>IFERROR(__xludf.DUMMYFUNCTION("sum(filter('PLA Sheet'!J:J,'PLA Sheet'!C:C=B240,'PLA Sheet'!D:D=C240))/E240*9"),2.596628755861484)</f>
        <v>2.596628756</v>
      </c>
      <c r="H240" s="41">
        <v>0.517766497</v>
      </c>
      <c r="I240" s="41">
        <v>0.208121827</v>
      </c>
      <c r="J240" s="41">
        <v>0.274111675</v>
      </c>
      <c r="K240" s="41">
        <f t="shared" si="1"/>
        <v>0.243654822</v>
      </c>
      <c r="L240" s="42">
        <v>-9.411714834</v>
      </c>
      <c r="M240" s="45">
        <f>('Cy Young Rank'!O$1-G240)*E240/9</f>
        <v>4.120407318</v>
      </c>
      <c r="N240" s="42"/>
      <c r="O240" s="66"/>
      <c r="P240" s="42"/>
      <c r="Q240" s="67"/>
      <c r="R240" s="67"/>
    </row>
    <row r="241">
      <c r="A241" s="1" t="s">
        <v>129</v>
      </c>
      <c r="B241" s="38">
        <v>686752.0</v>
      </c>
      <c r="C241" s="44" t="s">
        <v>537</v>
      </c>
      <c r="D241" s="38">
        <v>1193.0</v>
      </c>
      <c r="E241" s="39">
        <f>IFERROR(__xludf.DUMMYFUNCTION("sum(filter('PLA Sheet'!H:H,'PLA Sheet'!C:C=B241,'PLA Sheet'!D:D=C241))"),75.72644188999999)</f>
        <v>75.72644189</v>
      </c>
      <c r="F241" s="40">
        <v>5.267489292</v>
      </c>
      <c r="G241" s="40">
        <f>IFERROR(__xludf.DUMMYFUNCTION("sum(filter('PLA Sheet'!J:J,'PLA Sheet'!C:C=B241,'PLA Sheet'!D:D=C241))/E241*9"),2.6499385418305175)</f>
        <v>2.649938542</v>
      </c>
      <c r="H241" s="41">
        <v>0.585917854</v>
      </c>
      <c r="I241" s="41">
        <v>0.116512992</v>
      </c>
      <c r="J241" s="41">
        <v>0.297569153</v>
      </c>
      <c r="K241" s="41">
        <f t="shared" si="1"/>
        <v>0.288348701</v>
      </c>
      <c r="L241" s="42">
        <v>-3.91809345</v>
      </c>
      <c r="M241" s="45">
        <f>('Cy Young Rank'!O$1-G241)*E241/9</f>
        <v>11.86432634</v>
      </c>
      <c r="N241" s="42"/>
      <c r="O241" s="66"/>
      <c r="P241" s="42"/>
      <c r="Q241" s="67"/>
      <c r="R241" s="67"/>
    </row>
    <row r="242">
      <c r="A242" s="1" t="s">
        <v>147</v>
      </c>
      <c r="B242" s="38">
        <v>608379.0</v>
      </c>
      <c r="C242" s="44" t="s">
        <v>540</v>
      </c>
      <c r="D242" s="38">
        <v>392.0</v>
      </c>
      <c r="E242" s="39">
        <f>IFERROR(__xludf.DUMMYFUNCTION("sum(filter('PLA Sheet'!H:H,'PLA Sheet'!C:C=B242,'PLA Sheet'!D:D=C242))"),26.584053070000003)</f>
        <v>26.58405307</v>
      </c>
      <c r="F242" s="40">
        <v>5.266771739</v>
      </c>
      <c r="G242" s="40">
        <f>IFERROR(__xludf.DUMMYFUNCTION("sum(filter('PLA Sheet'!J:J,'PLA Sheet'!C:C=B242,'PLA Sheet'!D:D=C242))/E242*9"),2.512010295200633)</f>
        <v>2.512010295</v>
      </c>
      <c r="H242" s="41">
        <v>0.489795918</v>
      </c>
      <c r="I242" s="41">
        <v>0.181122449</v>
      </c>
      <c r="J242" s="41">
        <v>0.329081633</v>
      </c>
      <c r="K242" s="41">
        <f t="shared" si="1"/>
        <v>0.160714285</v>
      </c>
      <c r="L242" s="42">
        <v>-4.873170258</v>
      </c>
      <c r="M242" s="45">
        <f>('Cy Young Rank'!O$1-G242)*E242/9</f>
        <v>4.572426718</v>
      </c>
      <c r="N242" s="42"/>
      <c r="O242" s="66"/>
      <c r="P242" s="42"/>
      <c r="Q242" s="67"/>
      <c r="R242" s="67"/>
    </row>
    <row r="243">
      <c r="A243" s="1" t="s">
        <v>354</v>
      </c>
      <c r="B243" s="38">
        <v>669022.0</v>
      </c>
      <c r="C243" s="44" t="s">
        <v>537</v>
      </c>
      <c r="D243" s="38">
        <v>1333.0</v>
      </c>
      <c r="E243" s="39">
        <f>IFERROR(__xludf.DUMMYFUNCTION("sum(filter('PLA Sheet'!H:H,'PLA Sheet'!C:C=B243,'PLA Sheet'!D:D=C243))"),78.67139983)</f>
        <v>78.67139983</v>
      </c>
      <c r="F243" s="40">
        <v>5.266648721</v>
      </c>
      <c r="G243" s="40">
        <f>IFERROR(__xludf.DUMMYFUNCTION("sum(filter('PLA Sheet'!J:J,'PLA Sheet'!C:C=B243,'PLA Sheet'!D:D=C243))/E243*9"),3.0004427340822115)</f>
        <v>3.000442734</v>
      </c>
      <c r="H243" s="41">
        <v>0.557389347</v>
      </c>
      <c r="I243" s="41">
        <v>0.138784696</v>
      </c>
      <c r="J243" s="41">
        <v>0.303825956</v>
      </c>
      <c r="K243" s="41">
        <f t="shared" si="1"/>
        <v>0.253563391</v>
      </c>
      <c r="L243" s="42">
        <v>-15.75792339</v>
      </c>
      <c r="M243" s="45">
        <f>('Cy Young Rank'!O$1-G243)*E243/9</f>
        <v>9.26187259</v>
      </c>
      <c r="N243" s="42"/>
      <c r="O243" s="66"/>
      <c r="P243" s="42"/>
      <c r="Q243" s="67"/>
      <c r="R243" s="67"/>
    </row>
    <row r="244">
      <c r="A244" s="1" t="s">
        <v>112</v>
      </c>
      <c r="B244" s="38">
        <v>683232.0</v>
      </c>
      <c r="C244" s="44" t="s">
        <v>533</v>
      </c>
      <c r="D244" s="38">
        <v>348.0</v>
      </c>
      <c r="E244" s="39">
        <f>IFERROR(__xludf.DUMMYFUNCTION("sum(filter('PLA Sheet'!H:H,'PLA Sheet'!C:C=B244,'PLA Sheet'!D:D=C244))"),24.007889546)</f>
        <v>24.00788955</v>
      </c>
      <c r="F244" s="40">
        <v>5.266022913</v>
      </c>
      <c r="G244" s="40">
        <f>IFERROR(__xludf.DUMMYFUNCTION("sum(filter('PLA Sheet'!J:J,'PLA Sheet'!C:C=B244,'PLA Sheet'!D:D=C244))/E244*9"),2.4077562456809547)</f>
        <v>2.407756246</v>
      </c>
      <c r="H244" s="41">
        <v>0.520114943</v>
      </c>
      <c r="I244" s="41">
        <v>0.198275862</v>
      </c>
      <c r="J244" s="41">
        <v>0.281609195</v>
      </c>
      <c r="K244" s="41">
        <f t="shared" si="1"/>
        <v>0.238505748</v>
      </c>
      <c r="L244" s="42">
        <v>9.703227202</v>
      </c>
      <c r="M244" s="45">
        <f>('Cy Young Rank'!O$1-G244)*E244/9</f>
        <v>4.407431729</v>
      </c>
      <c r="N244" s="42"/>
      <c r="O244" s="66"/>
      <c r="P244" s="42"/>
      <c r="Q244" s="67"/>
      <c r="R244" s="67"/>
    </row>
    <row r="245">
      <c r="A245" s="1" t="s">
        <v>44</v>
      </c>
      <c r="B245" s="38">
        <v>650911.0</v>
      </c>
      <c r="C245" s="44" t="s">
        <v>536</v>
      </c>
      <c r="D245" s="38">
        <v>1281.0</v>
      </c>
      <c r="E245" s="39">
        <f>IFERROR(__xludf.DUMMYFUNCTION("sum(filter('PLA Sheet'!H:H,'PLA Sheet'!C:C=B245,'PLA Sheet'!D:D=C245))"),92.90883978000001)</f>
        <v>92.90883978</v>
      </c>
      <c r="F245" s="40">
        <v>5.265961111</v>
      </c>
      <c r="G245" s="40">
        <f>IFERROR(__xludf.DUMMYFUNCTION("sum(filter('PLA Sheet'!J:J,'PLA Sheet'!C:C=B245,'PLA Sheet'!D:D=C245))/E245*9"),2.330252993285199)</f>
        <v>2.330252993</v>
      </c>
      <c r="H245" s="41">
        <v>0.512880562</v>
      </c>
      <c r="I245" s="41">
        <v>0.176424668</v>
      </c>
      <c r="J245" s="41">
        <v>0.31069477</v>
      </c>
      <c r="K245" s="41">
        <f t="shared" si="1"/>
        <v>0.202185792</v>
      </c>
      <c r="L245" s="42">
        <v>4.320197745</v>
      </c>
      <c r="M245" s="45">
        <f>('Cy Young Rank'!O$1-G245)*E245/9</f>
        <v>17.85653195</v>
      </c>
      <c r="N245" s="42"/>
      <c r="O245" s="66"/>
      <c r="P245" s="42"/>
      <c r="Q245" s="67"/>
      <c r="R245" s="67"/>
    </row>
    <row r="246">
      <c r="A246" s="1" t="s">
        <v>423</v>
      </c>
      <c r="B246" s="38">
        <v>656605.0</v>
      </c>
      <c r="C246" s="44" t="s">
        <v>533</v>
      </c>
      <c r="D246" s="38">
        <v>403.0</v>
      </c>
      <c r="E246" s="39">
        <f>IFERROR(__xludf.DUMMYFUNCTION("sum(filter('PLA Sheet'!H:H,'PLA Sheet'!C:C=B246,'PLA Sheet'!D:D=C246))"),25.331008840000003)</f>
        <v>25.33100884</v>
      </c>
      <c r="F246" s="40">
        <v>5.265593563</v>
      </c>
      <c r="G246" s="40">
        <f>IFERROR(__xludf.DUMMYFUNCTION("sum(filter('PLA Sheet'!J:J,'PLA Sheet'!C:C=B246,'PLA Sheet'!D:D=C246))/E246*9"),2.4988430346305934)</f>
        <v>2.498843035</v>
      </c>
      <c r="H246" s="41">
        <v>0.493796526</v>
      </c>
      <c r="I246" s="41">
        <v>0.230769231</v>
      </c>
      <c r="J246" s="41">
        <v>0.275434243</v>
      </c>
      <c r="K246" s="41">
        <f t="shared" si="1"/>
        <v>0.218362283</v>
      </c>
      <c r="L246" s="42">
        <v>-9.83741517</v>
      </c>
      <c r="M246" s="45">
        <f>('Cy Young Rank'!O$1-G246)*E246/9</f>
        <v>4.393964543</v>
      </c>
      <c r="N246" s="42"/>
      <c r="O246" s="66"/>
      <c r="P246" s="42"/>
      <c r="Q246" s="67"/>
      <c r="R246" s="67"/>
    </row>
    <row r="247">
      <c r="A247" s="1" t="s">
        <v>376</v>
      </c>
      <c r="B247" s="38">
        <v>668909.0</v>
      </c>
      <c r="C247" s="44" t="s">
        <v>540</v>
      </c>
      <c r="D247" s="38">
        <v>400.0</v>
      </c>
      <c r="E247" s="39">
        <f>IFERROR(__xludf.DUMMYFUNCTION("sum(filter('PLA Sheet'!H:H,'PLA Sheet'!C:C=B247,'PLA Sheet'!D:D=C247))"),23.55931624)</f>
        <v>23.55931624</v>
      </c>
      <c r="F247" s="40">
        <v>5.265302811</v>
      </c>
      <c r="G247" s="40">
        <f>IFERROR(__xludf.DUMMYFUNCTION("sum(filter('PLA Sheet'!J:J,'PLA Sheet'!C:C=B247,'PLA Sheet'!D:D=C247))/E247*9"),2.8712770061275767)</f>
        <v>2.871277006</v>
      </c>
      <c r="H247" s="41">
        <v>0.545</v>
      </c>
      <c r="I247" s="41">
        <v>0.135</v>
      </c>
      <c r="J247" s="41">
        <v>0.32</v>
      </c>
      <c r="K247" s="41">
        <f t="shared" si="1"/>
        <v>0.225</v>
      </c>
      <c r="L247" s="42">
        <v>3.970650283</v>
      </c>
      <c r="M247" s="45">
        <f>('Cy Young Rank'!O$1-G247)*E247/9</f>
        <v>3.111722326</v>
      </c>
      <c r="N247" s="42"/>
      <c r="O247" s="66"/>
      <c r="P247" s="42"/>
      <c r="Q247" s="67"/>
      <c r="R247" s="67"/>
    </row>
    <row r="248">
      <c r="A248" s="1" t="s">
        <v>427</v>
      </c>
      <c r="B248" s="38">
        <v>684320.0</v>
      </c>
      <c r="C248" s="44" t="s">
        <v>533</v>
      </c>
      <c r="D248" s="38">
        <v>463.0</v>
      </c>
      <c r="E248" s="39">
        <f>IFERROR(__xludf.DUMMYFUNCTION("sum(filter('PLA Sheet'!H:H,'PLA Sheet'!C:C=B248,'PLA Sheet'!D:D=C248))"),30.032843557)</f>
        <v>30.03284356</v>
      </c>
      <c r="F248" s="40">
        <v>5.264542489</v>
      </c>
      <c r="G248" s="40">
        <f>IFERROR(__xludf.DUMMYFUNCTION("sum(filter('PLA Sheet'!J:J,'PLA Sheet'!C:C=B248,'PLA Sheet'!D:D=C248))/E248*9"),2.426949411622109)</f>
        <v>2.426949412</v>
      </c>
      <c r="H248" s="41">
        <v>0.537796976</v>
      </c>
      <c r="I248" s="41">
        <v>0.164146868</v>
      </c>
      <c r="J248" s="41">
        <v>0.298056156</v>
      </c>
      <c r="K248" s="41">
        <f t="shared" si="1"/>
        <v>0.23974082</v>
      </c>
      <c r="L248" s="42">
        <v>8.777317079</v>
      </c>
      <c r="M248" s="45">
        <f>('Cy Young Rank'!O$1-G248)*E248/9</f>
        <v>5.449461427</v>
      </c>
      <c r="N248" s="42"/>
      <c r="O248" s="66"/>
      <c r="P248" s="42"/>
      <c r="Q248" s="67"/>
      <c r="R248" s="67"/>
    </row>
    <row r="249">
      <c r="A249" s="1" t="s">
        <v>44</v>
      </c>
      <c r="B249" s="38">
        <v>650911.0</v>
      </c>
      <c r="C249" s="44" t="s">
        <v>533</v>
      </c>
      <c r="D249" s="38">
        <v>464.0</v>
      </c>
      <c r="E249" s="39">
        <f>IFERROR(__xludf.DUMMYFUNCTION("sum(filter('PLA Sheet'!H:H,'PLA Sheet'!C:C=B249,'PLA Sheet'!D:D=C249))"),33.55041437)</f>
        <v>33.55041437</v>
      </c>
      <c r="F249" s="40">
        <v>5.264147554</v>
      </c>
      <c r="G249" s="40">
        <f>IFERROR(__xludf.DUMMYFUNCTION("sum(filter('PLA Sheet'!J:J,'PLA Sheet'!C:C=B249,'PLA Sheet'!D:D=C249))/E249*9"),2.3136321400968733)</f>
        <v>2.31363214</v>
      </c>
      <c r="H249" s="41">
        <v>0.510775862</v>
      </c>
      <c r="I249" s="41">
        <v>0.215517241</v>
      </c>
      <c r="J249" s="41">
        <v>0.273706897</v>
      </c>
      <c r="K249" s="41">
        <f t="shared" si="1"/>
        <v>0.237068965</v>
      </c>
      <c r="L249" s="42">
        <v>-1.223497291</v>
      </c>
      <c r="M249" s="45">
        <f>('Cy Young Rank'!O$1-G249)*E249/9</f>
        <v>6.510151705</v>
      </c>
      <c r="N249" s="42"/>
      <c r="O249" s="66"/>
      <c r="P249" s="42"/>
      <c r="Q249" s="67"/>
      <c r="R249" s="67"/>
    </row>
    <row r="250">
      <c r="A250" s="1" t="s">
        <v>169</v>
      </c>
      <c r="B250" s="38">
        <v>671096.0</v>
      </c>
      <c r="C250" s="44" t="s">
        <v>541</v>
      </c>
      <c r="D250" s="38">
        <v>389.0</v>
      </c>
      <c r="E250" s="39">
        <f>IFERROR(__xludf.DUMMYFUNCTION("sum(filter('PLA Sheet'!H:H,'PLA Sheet'!C:C=B250,'PLA Sheet'!D:D=C250))"),25.111609365999996)</f>
        <v>25.11160937</v>
      </c>
      <c r="F250" s="40">
        <v>5.263671899</v>
      </c>
      <c r="G250" s="40">
        <f>IFERROR(__xludf.DUMMYFUNCTION("sum(filter('PLA Sheet'!J:J,'PLA Sheet'!C:C=B250,'PLA Sheet'!D:D=C250))/E250*9"),2.6005953281680245)</f>
        <v>2.600595328</v>
      </c>
      <c r="H250" s="41">
        <v>0.470437018</v>
      </c>
      <c r="I250" s="41">
        <v>0.236503856</v>
      </c>
      <c r="J250" s="41">
        <v>0.293059126</v>
      </c>
      <c r="K250" s="41">
        <f t="shared" si="1"/>
        <v>0.177377892</v>
      </c>
      <c r="L250" s="42">
        <v>0.576418651</v>
      </c>
      <c r="M250" s="45">
        <f>('Cy Young Rank'!O$1-G250)*E250/9</f>
        <v>4.072000003</v>
      </c>
      <c r="N250" s="42"/>
      <c r="O250" s="66"/>
      <c r="P250" s="42"/>
      <c r="Q250" s="67"/>
      <c r="R250" s="67"/>
    </row>
    <row r="251">
      <c r="A251" s="1" t="s">
        <v>207</v>
      </c>
      <c r="B251" s="38">
        <v>650633.0</v>
      </c>
      <c r="C251" s="44" t="s">
        <v>536</v>
      </c>
      <c r="D251" s="38">
        <v>345.0</v>
      </c>
      <c r="E251" s="39">
        <f>IFERROR(__xludf.DUMMYFUNCTION("sum(filter('PLA Sheet'!H:H,'PLA Sheet'!C:C=B251,'PLA Sheet'!D:D=C251))"),21.657095980999998)</f>
        <v>21.65709598</v>
      </c>
      <c r="F251" s="40">
        <v>5.263282572</v>
      </c>
      <c r="G251" s="40">
        <f>IFERROR(__xludf.DUMMYFUNCTION("sum(filter('PLA Sheet'!J:J,'PLA Sheet'!C:C=B251,'PLA Sheet'!D:D=C251))/E251*9"),2.5416004550328637)</f>
        <v>2.541600455</v>
      </c>
      <c r="H251" s="41">
        <v>0.510144928</v>
      </c>
      <c r="I251" s="41">
        <v>0.171014493</v>
      </c>
      <c r="J251" s="41">
        <v>0.31884058</v>
      </c>
      <c r="K251" s="41">
        <f t="shared" si="1"/>
        <v>0.191304348</v>
      </c>
      <c r="L251" s="42">
        <v>4.363799925</v>
      </c>
      <c r="M251" s="45">
        <f>('Cy Young Rank'!O$1-G251)*E251/9</f>
        <v>3.653791631</v>
      </c>
      <c r="N251" s="42"/>
      <c r="O251" s="66"/>
      <c r="P251" s="42"/>
      <c r="Q251" s="67"/>
      <c r="R251" s="67"/>
    </row>
    <row r="252">
      <c r="A252" s="1" t="s">
        <v>224</v>
      </c>
      <c r="B252" s="38">
        <v>686701.0</v>
      </c>
      <c r="C252" s="44" t="s">
        <v>533</v>
      </c>
      <c r="D252" s="38">
        <v>336.0</v>
      </c>
      <c r="E252" s="39">
        <f>IFERROR(__xludf.DUMMYFUNCTION("sum(filter('PLA Sheet'!H:H,'PLA Sheet'!C:C=B252,'PLA Sheet'!D:D=C252))"),19.723323174999997)</f>
        <v>19.72332318</v>
      </c>
      <c r="F252" s="40">
        <v>5.261720312</v>
      </c>
      <c r="G252" s="40">
        <f>IFERROR(__xludf.DUMMYFUNCTION("sum(filter('PLA Sheet'!J:J,'PLA Sheet'!C:C=B252,'PLA Sheet'!D:D=C252))/E252*9"),2.752957375297888)</f>
        <v>2.752957375</v>
      </c>
      <c r="H252" s="41">
        <v>0.476190476</v>
      </c>
      <c r="I252" s="41">
        <v>0.229166667</v>
      </c>
      <c r="J252" s="41">
        <v>0.294642857</v>
      </c>
      <c r="K252" s="41">
        <f t="shared" si="1"/>
        <v>0.181547619</v>
      </c>
      <c r="L252" s="42">
        <v>-2.66168718</v>
      </c>
      <c r="M252" s="45">
        <f>('Cy Young Rank'!O$1-G252)*E252/9</f>
        <v>2.864358232</v>
      </c>
      <c r="N252" s="42"/>
      <c r="O252" s="66"/>
      <c r="P252" s="42"/>
      <c r="Q252" s="67"/>
      <c r="R252" s="67"/>
    </row>
    <row r="253">
      <c r="A253" s="1" t="s">
        <v>259</v>
      </c>
      <c r="B253" s="38">
        <v>663465.0</v>
      </c>
      <c r="C253" s="44" t="s">
        <v>537</v>
      </c>
      <c r="D253" s="38">
        <v>371.0</v>
      </c>
      <c r="E253" s="39">
        <f>IFERROR(__xludf.DUMMYFUNCTION("sum(filter('PLA Sheet'!H:H,'PLA Sheet'!C:C=B253,'PLA Sheet'!D:D=C253))"),24.765)</f>
        <v>24.765</v>
      </c>
      <c r="F253" s="40">
        <v>5.261662855</v>
      </c>
      <c r="G253" s="40">
        <f>IFERROR(__xludf.DUMMYFUNCTION("sum(filter('PLA Sheet'!J:J,'PLA Sheet'!C:C=B253,'PLA Sheet'!D:D=C253))/E253*9"),2.6454261659600244)</f>
        <v>2.645426166</v>
      </c>
      <c r="H253" s="41">
        <v>0.549865229</v>
      </c>
      <c r="I253" s="41">
        <v>0.140161725</v>
      </c>
      <c r="J253" s="41">
        <v>0.309973046</v>
      </c>
      <c r="K253" s="41">
        <f t="shared" si="1"/>
        <v>0.239892183</v>
      </c>
      <c r="L253" s="42">
        <v>1.601192365</v>
      </c>
      <c r="M253" s="45">
        <f>('Cy Young Rank'!O$1-G253)*E253/9</f>
        <v>3.892435667</v>
      </c>
      <c r="N253" s="42"/>
      <c r="O253" s="66"/>
      <c r="P253" s="42"/>
      <c r="Q253" s="67"/>
      <c r="R253" s="67"/>
    </row>
    <row r="254">
      <c r="A254" s="1" t="s">
        <v>148</v>
      </c>
      <c r="B254" s="38">
        <v>592866.0</v>
      </c>
      <c r="C254" s="44" t="s">
        <v>539</v>
      </c>
      <c r="D254" s="38">
        <v>398.0</v>
      </c>
      <c r="E254" s="39">
        <f>IFERROR(__xludf.DUMMYFUNCTION("sum(filter('PLA Sheet'!H:H,'PLA Sheet'!C:C=B254,'PLA Sheet'!D:D=C254))"),23.13752592)</f>
        <v>23.13752592</v>
      </c>
      <c r="F254" s="40">
        <v>5.260737099</v>
      </c>
      <c r="G254" s="40">
        <f>IFERROR(__xludf.DUMMYFUNCTION("sum(filter('PLA Sheet'!J:J,'PLA Sheet'!C:C=B254,'PLA Sheet'!D:D=C254))/E254*9"),2.7535768180351754)</f>
        <v>2.753576818</v>
      </c>
      <c r="H254" s="41">
        <v>0.48241206</v>
      </c>
      <c r="I254" s="41">
        <v>0.216080402</v>
      </c>
      <c r="J254" s="41">
        <v>0.301507538</v>
      </c>
      <c r="K254" s="41">
        <f t="shared" si="1"/>
        <v>0.180904522</v>
      </c>
      <c r="L254" s="42">
        <v>-5.088430772</v>
      </c>
      <c r="M254" s="45">
        <f>('Cy Young Rank'!O$1-G254)*E254/9</f>
        <v>3.358600026</v>
      </c>
      <c r="N254" s="42"/>
      <c r="O254" s="66"/>
      <c r="P254" s="42"/>
      <c r="Q254" s="67"/>
      <c r="R254" s="67"/>
    </row>
    <row r="255">
      <c r="A255" s="1" t="s">
        <v>254</v>
      </c>
      <c r="B255" s="38">
        <v>666374.0</v>
      </c>
      <c r="C255" s="44" t="s">
        <v>533</v>
      </c>
      <c r="D255" s="38">
        <v>484.0</v>
      </c>
      <c r="E255" s="39">
        <f>IFERROR(__xludf.DUMMYFUNCTION("sum(filter('PLA Sheet'!H:H,'PLA Sheet'!C:C=B255,'PLA Sheet'!D:D=C255))"),28.676399019999998)</f>
        <v>28.67639902</v>
      </c>
      <c r="F255" s="40">
        <v>5.259255981</v>
      </c>
      <c r="G255" s="40">
        <f>IFERROR(__xludf.DUMMYFUNCTION("sum(filter('PLA Sheet'!J:J,'PLA Sheet'!C:C=B255,'PLA Sheet'!D:D=C255))/E255*9"),2.7104653183891987)</f>
        <v>2.710465318</v>
      </c>
      <c r="H255" s="41">
        <v>0.51446281</v>
      </c>
      <c r="I255" s="41">
        <v>0.152892562</v>
      </c>
      <c r="J255" s="41">
        <v>0.332644628</v>
      </c>
      <c r="K255" s="41">
        <f t="shared" si="1"/>
        <v>0.181818182</v>
      </c>
      <c r="L255" s="42">
        <v>-2.762985586</v>
      </c>
      <c r="M255" s="45">
        <f>('Cy Young Rank'!O$1-G255)*E255/9</f>
        <v>4.299977225</v>
      </c>
      <c r="N255" s="42"/>
      <c r="O255" s="66"/>
      <c r="P255" s="42"/>
      <c r="Q255" s="67"/>
      <c r="R255" s="67"/>
    </row>
    <row r="256">
      <c r="A256" s="1" t="s">
        <v>270</v>
      </c>
      <c r="B256" s="38">
        <v>664854.0</v>
      </c>
      <c r="C256" s="44" t="s">
        <v>537</v>
      </c>
      <c r="D256" s="38">
        <v>434.0</v>
      </c>
      <c r="E256" s="39">
        <f>IFERROR(__xludf.DUMMYFUNCTION("sum(filter('PLA Sheet'!H:H,'PLA Sheet'!C:C=B256,'PLA Sheet'!D:D=C256))"),25.56894791)</f>
        <v>25.56894791</v>
      </c>
      <c r="F256" s="40">
        <v>5.257486661</v>
      </c>
      <c r="G256" s="40">
        <f>IFERROR(__xludf.DUMMYFUNCTION("sum(filter('PLA Sheet'!J:J,'PLA Sheet'!C:C=B256,'PLA Sheet'!D:D=C256))/E256*9"),3.0820999079582387)</f>
        <v>3.082099908</v>
      </c>
      <c r="H256" s="41">
        <v>0.562211982</v>
      </c>
      <c r="I256" s="41">
        <v>0.138248848</v>
      </c>
      <c r="J256" s="41">
        <v>0.299539171</v>
      </c>
      <c r="K256" s="41">
        <f t="shared" si="1"/>
        <v>0.262672811</v>
      </c>
      <c r="L256" s="42">
        <v>-20.36706525</v>
      </c>
      <c r="M256" s="45">
        <f>('Cy Young Rank'!O$1-G256)*E256/9</f>
        <v>2.778208502</v>
      </c>
      <c r="N256" s="42"/>
      <c r="O256" s="66"/>
      <c r="P256" s="42"/>
      <c r="Q256" s="67"/>
      <c r="R256" s="67"/>
    </row>
    <row r="257">
      <c r="A257" s="1" t="s">
        <v>105</v>
      </c>
      <c r="B257" s="38">
        <v>624133.0</v>
      </c>
      <c r="C257" s="44" t="s">
        <v>541</v>
      </c>
      <c r="D257" s="38">
        <v>389.0</v>
      </c>
      <c r="E257" s="39">
        <f>IFERROR(__xludf.DUMMYFUNCTION("sum(filter('PLA Sheet'!H:H,'PLA Sheet'!C:C=B257,'PLA Sheet'!D:D=C257))"),25.445267489)</f>
        <v>25.44526749</v>
      </c>
      <c r="F257" s="40">
        <v>5.257004094</v>
      </c>
      <c r="G257" s="40">
        <f>IFERROR(__xludf.DUMMYFUNCTION("sum(filter('PLA Sheet'!J:J,'PLA Sheet'!C:C=B257,'PLA Sheet'!D:D=C257))/E257*9"),2.3595336156695885)</f>
        <v>2.359533616</v>
      </c>
      <c r="H257" s="41">
        <v>0.532133676</v>
      </c>
      <c r="I257" s="41">
        <v>0.18251928</v>
      </c>
      <c r="J257" s="41">
        <v>0.285347044</v>
      </c>
      <c r="K257" s="41">
        <f t="shared" si="1"/>
        <v>0.246786632</v>
      </c>
      <c r="L257" s="42">
        <v>2.931483206</v>
      </c>
      <c r="M257" s="45">
        <f>('Cy Young Rank'!O$1-G257)*E257/9</f>
        <v>4.807646889</v>
      </c>
      <c r="N257" s="42"/>
      <c r="O257" s="66"/>
      <c r="P257" s="42"/>
      <c r="Q257" s="67"/>
      <c r="R257" s="67"/>
    </row>
    <row r="258">
      <c r="A258" s="1" t="s">
        <v>287</v>
      </c>
      <c r="B258" s="38">
        <v>571945.0</v>
      </c>
      <c r="C258" s="44" t="s">
        <v>533</v>
      </c>
      <c r="D258" s="38">
        <v>561.0</v>
      </c>
      <c r="E258" s="39">
        <f>IFERROR(__xludf.DUMMYFUNCTION("sum(filter('PLA Sheet'!H:H,'PLA Sheet'!C:C=B258,'PLA Sheet'!D:D=C258))"),36.45469191)</f>
        <v>36.45469191</v>
      </c>
      <c r="F258" s="40">
        <v>5.256530544</v>
      </c>
      <c r="G258" s="40">
        <f>IFERROR(__xludf.DUMMYFUNCTION("sum(filter('PLA Sheet'!J:J,'PLA Sheet'!C:C=B258,'PLA Sheet'!D:D=C258))/E258*9"),2.6401487972416118)</f>
        <v>2.640148797</v>
      </c>
      <c r="H258" s="41">
        <v>0.497326203</v>
      </c>
      <c r="I258" s="41">
        <v>0.199643494</v>
      </c>
      <c r="J258" s="41">
        <v>0.303030303</v>
      </c>
      <c r="K258" s="41">
        <f t="shared" si="1"/>
        <v>0.1942959</v>
      </c>
      <c r="L258" s="42">
        <v>-1.255214853</v>
      </c>
      <c r="M258" s="45">
        <f>('Cy Young Rank'!O$1-G258)*E258/9</f>
        <v>5.751137573</v>
      </c>
      <c r="N258" s="42"/>
      <c r="O258" s="66"/>
      <c r="P258" s="42"/>
      <c r="Q258" s="67"/>
      <c r="R258" s="67"/>
    </row>
    <row r="259">
      <c r="A259" s="1" t="s">
        <v>382</v>
      </c>
      <c r="B259" s="38">
        <v>656288.0</v>
      </c>
      <c r="C259" s="44" t="s">
        <v>532</v>
      </c>
      <c r="D259" s="38">
        <v>297.0</v>
      </c>
      <c r="E259" s="39">
        <f>IFERROR(__xludf.DUMMYFUNCTION("sum(filter('PLA Sheet'!H:H,'PLA Sheet'!C:C=B259,'PLA Sheet'!D:D=C259))"),17.689766514)</f>
        <v>17.68976651</v>
      </c>
      <c r="F259" s="40">
        <v>5.255785174</v>
      </c>
      <c r="G259" s="40">
        <f>IFERROR(__xludf.DUMMYFUNCTION("sum(filter('PLA Sheet'!J:J,'PLA Sheet'!C:C=B259,'PLA Sheet'!D:D=C259))/E259*9"),2.8842109340234114)</f>
        <v>2.884210934</v>
      </c>
      <c r="H259" s="41">
        <v>0.494949495</v>
      </c>
      <c r="I259" s="41">
        <v>0.235690236</v>
      </c>
      <c r="J259" s="41">
        <v>0.269360269</v>
      </c>
      <c r="K259" s="41">
        <f t="shared" si="1"/>
        <v>0.225589226</v>
      </c>
      <c r="L259" s="42">
        <v>7.242414257</v>
      </c>
      <c r="M259" s="45">
        <f>('Cy Young Rank'!O$1-G259)*E259/9</f>
        <v>2.311048227</v>
      </c>
      <c r="N259" s="42"/>
      <c r="O259" s="66"/>
      <c r="P259" s="42"/>
      <c r="Q259" s="67"/>
      <c r="R259" s="67"/>
    </row>
    <row r="260">
      <c r="A260" s="1" t="s">
        <v>358</v>
      </c>
      <c r="B260" s="38">
        <v>434378.0</v>
      </c>
      <c r="C260" s="44" t="s">
        <v>533</v>
      </c>
      <c r="D260" s="38">
        <v>596.0</v>
      </c>
      <c r="E260" s="39">
        <f>IFERROR(__xludf.DUMMYFUNCTION("sum(filter('PLA Sheet'!H:H,'PLA Sheet'!C:C=B260,'PLA Sheet'!D:D=C260))"),35.66871165)</f>
        <v>35.66871165</v>
      </c>
      <c r="F260" s="40">
        <v>5.255530321</v>
      </c>
      <c r="G260" s="40">
        <f>IFERROR(__xludf.DUMMYFUNCTION("sum(filter('PLA Sheet'!J:J,'PLA Sheet'!C:C=B260,'PLA Sheet'!D:D=C260))/E260*9"),2.8009387605677647)</f>
        <v>2.800938761</v>
      </c>
      <c r="H260" s="41">
        <v>0.456375839</v>
      </c>
      <c r="I260" s="41">
        <v>0.25</v>
      </c>
      <c r="J260" s="41">
        <v>0.293624161</v>
      </c>
      <c r="K260" s="41">
        <f t="shared" si="1"/>
        <v>0.162751678</v>
      </c>
      <c r="L260" s="42">
        <v>-4.022861734</v>
      </c>
      <c r="M260" s="45">
        <f>('Cy Young Rank'!O$1-G260)*E260/9</f>
        <v>4.989899144</v>
      </c>
      <c r="N260" s="42"/>
      <c r="O260" s="66"/>
      <c r="P260" s="42"/>
      <c r="Q260" s="67"/>
      <c r="R260" s="67"/>
    </row>
    <row r="261">
      <c r="A261" s="1" t="s">
        <v>49</v>
      </c>
      <c r="B261" s="38">
        <v>670970.0</v>
      </c>
      <c r="C261" s="44" t="s">
        <v>536</v>
      </c>
      <c r="D261" s="38">
        <v>591.0</v>
      </c>
      <c r="E261" s="39">
        <f>IFERROR(__xludf.DUMMYFUNCTION("sum(filter('PLA Sheet'!H:H,'PLA Sheet'!C:C=B261,'PLA Sheet'!D:D=C261))"),45.424090750000005)</f>
        <v>45.42409075</v>
      </c>
      <c r="F261" s="40">
        <v>5.254721177</v>
      </c>
      <c r="G261" s="40">
        <f>IFERROR(__xludf.DUMMYFUNCTION("sum(filter('PLA Sheet'!J:J,'PLA Sheet'!C:C=B261,'PLA Sheet'!D:D=C261))/E261*9"),2.1685455090809933)</f>
        <v>2.168545509</v>
      </c>
      <c r="H261" s="41">
        <v>0.54822335</v>
      </c>
      <c r="I261" s="41">
        <v>0.155668359</v>
      </c>
      <c r="J261" s="41">
        <v>0.296108291</v>
      </c>
      <c r="K261" s="41">
        <f t="shared" si="1"/>
        <v>0.252115059</v>
      </c>
      <c r="L261" s="42">
        <v>2.617817765</v>
      </c>
      <c r="M261" s="45">
        <f>('Cy Young Rank'!O$1-G261)*E261/9</f>
        <v>9.546400049</v>
      </c>
      <c r="N261" s="42"/>
      <c r="O261" s="66"/>
      <c r="P261" s="42"/>
      <c r="Q261" s="67"/>
      <c r="R261" s="67"/>
    </row>
    <row r="262">
      <c r="A262" s="1" t="s">
        <v>141</v>
      </c>
      <c r="B262" s="38">
        <v>670036.0</v>
      </c>
      <c r="C262" s="44" t="s">
        <v>537</v>
      </c>
      <c r="D262" s="38">
        <v>307.0</v>
      </c>
      <c r="E262" s="39">
        <f>IFERROR(__xludf.DUMMYFUNCTION("sum(filter('PLA Sheet'!H:H,'PLA Sheet'!C:C=B262,'PLA Sheet'!D:D=C262))"),21.437908489999998)</f>
        <v>21.43790849</v>
      </c>
      <c r="F262" s="40">
        <v>5.253969547</v>
      </c>
      <c r="G262" s="40">
        <f>IFERROR(__xludf.DUMMYFUNCTION("sum(filter('PLA Sheet'!J:J,'PLA Sheet'!C:C=B262,'PLA Sheet'!D:D=C262))/E262*9"),2.4986748135895227)</f>
        <v>2.498674814</v>
      </c>
      <c r="H262" s="41">
        <v>0.54723127</v>
      </c>
      <c r="I262" s="41">
        <v>0.143322476</v>
      </c>
      <c r="J262" s="41">
        <v>0.309446254</v>
      </c>
      <c r="K262" s="41">
        <f t="shared" si="1"/>
        <v>0.237785016</v>
      </c>
      <c r="L262" s="42">
        <v>-2.785106525</v>
      </c>
      <c r="M262" s="45">
        <f>('Cy Young Rank'!O$1-G262)*E262/9</f>
        <v>3.719060719</v>
      </c>
      <c r="N262" s="42"/>
      <c r="O262" s="66"/>
      <c r="P262" s="42"/>
      <c r="Q262" s="67"/>
      <c r="R262" s="67"/>
    </row>
    <row r="263">
      <c r="A263" s="1" t="s">
        <v>353</v>
      </c>
      <c r="B263" s="38">
        <v>663903.0</v>
      </c>
      <c r="C263" s="44" t="s">
        <v>533</v>
      </c>
      <c r="D263" s="38">
        <v>836.0</v>
      </c>
      <c r="E263" s="39">
        <f>IFERROR(__xludf.DUMMYFUNCTION("sum(filter('PLA Sheet'!H:H,'PLA Sheet'!C:C=B263,'PLA Sheet'!D:D=C263))"),51.316725149999996)</f>
        <v>51.31672515</v>
      </c>
      <c r="F263" s="40">
        <v>5.253019017</v>
      </c>
      <c r="G263" s="40">
        <f>IFERROR(__xludf.DUMMYFUNCTION("sum(filter('PLA Sheet'!J:J,'PLA Sheet'!C:C=B263,'PLA Sheet'!D:D=C263))/E263*9"),2.709835995838094)</f>
        <v>2.709835996</v>
      </c>
      <c r="H263" s="41">
        <v>0.504784689</v>
      </c>
      <c r="I263" s="41">
        <v>0.196172249</v>
      </c>
      <c r="J263" s="41">
        <v>0.299043062</v>
      </c>
      <c r="K263" s="41">
        <f t="shared" si="1"/>
        <v>0.205741627</v>
      </c>
      <c r="L263" s="42">
        <v>3.55265659</v>
      </c>
      <c r="M263" s="45">
        <f>('Cy Young Rank'!O$1-G263)*E263/9</f>
        <v>7.698443901</v>
      </c>
      <c r="N263" s="42"/>
      <c r="O263" s="66"/>
      <c r="P263" s="42"/>
      <c r="Q263" s="67"/>
      <c r="R263" s="67"/>
    </row>
    <row r="264">
      <c r="A264" s="1" t="s">
        <v>198</v>
      </c>
      <c r="B264" s="38">
        <v>680736.0</v>
      </c>
      <c r="C264" s="44" t="s">
        <v>533</v>
      </c>
      <c r="D264" s="38">
        <v>259.0</v>
      </c>
      <c r="E264" s="39">
        <f>IFERROR(__xludf.DUMMYFUNCTION("sum(filter('PLA Sheet'!H:H,'PLA Sheet'!C:C=B264,'PLA Sheet'!D:D=C264))"),16.574923548)</f>
        <v>16.57492355</v>
      </c>
      <c r="F264" s="40">
        <v>5.252542971</v>
      </c>
      <c r="G264" s="40">
        <f>IFERROR(__xludf.DUMMYFUNCTION("sum(filter('PLA Sheet'!J:J,'PLA Sheet'!C:C=B264,'PLA Sheet'!D:D=C264))/E264*9"),2.6050746403116984)</f>
        <v>2.60507464</v>
      </c>
      <c r="H264" s="41">
        <v>0.486486486</v>
      </c>
      <c r="I264" s="41">
        <v>0.185328185</v>
      </c>
      <c r="J264" s="41">
        <v>0.328185328</v>
      </c>
      <c r="K264" s="41">
        <f t="shared" si="1"/>
        <v>0.158301158</v>
      </c>
      <c r="L264" s="42">
        <v>2.820485241</v>
      </c>
      <c r="M264" s="45">
        <f>('Cy Young Rank'!O$1-G264)*E264/9</f>
        <v>2.679475178</v>
      </c>
      <c r="N264" s="42"/>
      <c r="O264" s="66"/>
      <c r="P264" s="42"/>
      <c r="Q264" s="67"/>
      <c r="R264" s="67"/>
    </row>
    <row r="265">
      <c r="A265" s="1" t="s">
        <v>377</v>
      </c>
      <c r="B265" s="38">
        <v>695549.0</v>
      </c>
      <c r="C265" s="44" t="s">
        <v>537</v>
      </c>
      <c r="D265" s="38">
        <v>263.0</v>
      </c>
      <c r="E265" s="39">
        <f>IFERROR(__xludf.DUMMYFUNCTION("sum(filter('PLA Sheet'!H:H,'PLA Sheet'!C:C=B265,'PLA Sheet'!D:D=C265))"),15.25313569)</f>
        <v>15.25313569</v>
      </c>
      <c r="F265" s="40">
        <v>5.25173484</v>
      </c>
      <c r="G265" s="40">
        <f>IFERROR(__xludf.DUMMYFUNCTION("sum(filter('PLA Sheet'!J:J,'PLA Sheet'!C:C=B265,'PLA Sheet'!D:D=C265))/E265*9"),3.0547898443300348)</f>
        <v>3.054789844</v>
      </c>
      <c r="H265" s="41">
        <v>0.55513308</v>
      </c>
      <c r="I265" s="41">
        <v>0.140684411</v>
      </c>
      <c r="J265" s="41">
        <v>0.30418251</v>
      </c>
      <c r="K265" s="41">
        <f t="shared" si="1"/>
        <v>0.25095057</v>
      </c>
      <c r="L265" s="42">
        <v>-4.795796627</v>
      </c>
      <c r="M265" s="45">
        <f>('Cy Young Rank'!O$1-G265)*E265/9</f>
        <v>1.703622989</v>
      </c>
      <c r="N265" s="42"/>
      <c r="O265" s="66"/>
      <c r="P265" s="42"/>
      <c r="Q265" s="67"/>
      <c r="R265" s="67"/>
    </row>
    <row r="266">
      <c r="A266" s="1" t="s">
        <v>55</v>
      </c>
      <c r="B266" s="38">
        <v>641816.0</v>
      </c>
      <c r="C266" s="44" t="s">
        <v>537</v>
      </c>
      <c r="D266" s="38">
        <v>670.0</v>
      </c>
      <c r="E266" s="39">
        <f>IFERROR(__xludf.DUMMYFUNCTION("sum(filter('PLA Sheet'!H:H,'PLA Sheet'!C:C=B266,'PLA Sheet'!D:D=C266))"),42.92541637)</f>
        <v>42.92541637</v>
      </c>
      <c r="F266" s="40">
        <v>5.25077482</v>
      </c>
      <c r="G266" s="40">
        <f>IFERROR(__xludf.DUMMYFUNCTION("sum(filter('PLA Sheet'!J:J,'PLA Sheet'!C:C=B266,'PLA Sheet'!D:D=C266))/E266*9"),2.6149389450872786)</f>
        <v>2.614938945</v>
      </c>
      <c r="H266" s="41">
        <v>0.535820896</v>
      </c>
      <c r="I266" s="41">
        <v>0.155223881</v>
      </c>
      <c r="J266" s="41">
        <v>0.308955224</v>
      </c>
      <c r="K266" s="41">
        <f t="shared" si="1"/>
        <v>0.226865672</v>
      </c>
      <c r="L266" s="42">
        <v>2.942396827</v>
      </c>
      <c r="M266" s="45">
        <f>('Cy Young Rank'!O$1-G266)*E266/9</f>
        <v>6.892205274</v>
      </c>
      <c r="N266" s="42"/>
      <c r="O266" s="66"/>
      <c r="P266" s="42"/>
      <c r="Q266" s="67"/>
      <c r="R266" s="67"/>
    </row>
    <row r="267">
      <c r="A267" s="1" t="s">
        <v>136</v>
      </c>
      <c r="B267" s="38">
        <v>660271.0</v>
      </c>
      <c r="C267" s="44" t="s">
        <v>537</v>
      </c>
      <c r="D267" s="38">
        <v>284.0</v>
      </c>
      <c r="E267" s="39">
        <f>IFERROR(__xludf.DUMMYFUNCTION("sum(filter('PLA Sheet'!H:H,'PLA Sheet'!C:C=B267,'PLA Sheet'!D:D=C267))"),18.225763612)</f>
        <v>18.22576361</v>
      </c>
      <c r="F267" s="40">
        <v>5.249768366</v>
      </c>
      <c r="G267" s="40">
        <f>IFERROR(__xludf.DUMMYFUNCTION("sum(filter('PLA Sheet'!J:J,'PLA Sheet'!C:C=B267,'PLA Sheet'!D:D=C267))/E267*9"),2.9113353014775183)</f>
        <v>2.911335301</v>
      </c>
      <c r="H267" s="41">
        <v>0.552816901</v>
      </c>
      <c r="I267" s="41">
        <v>0.133802817</v>
      </c>
      <c r="J267" s="41">
        <v>0.313380282</v>
      </c>
      <c r="K267" s="41">
        <f t="shared" si="1"/>
        <v>0.239436619</v>
      </c>
      <c r="L267" s="42">
        <v>6.238721757</v>
      </c>
      <c r="M267" s="45">
        <f>('Cy Young Rank'!O$1-G267)*E267/9</f>
        <v>2.326143474</v>
      </c>
      <c r="N267" s="42"/>
      <c r="O267" s="66"/>
      <c r="P267" s="42"/>
      <c r="Q267" s="67"/>
      <c r="R267" s="67"/>
    </row>
    <row r="268">
      <c r="A268" s="1" t="s">
        <v>396</v>
      </c>
      <c r="B268" s="38">
        <v>663623.0</v>
      </c>
      <c r="C268" s="44" t="s">
        <v>541</v>
      </c>
      <c r="D268" s="38">
        <v>857.0</v>
      </c>
      <c r="E268" s="39">
        <f>IFERROR(__xludf.DUMMYFUNCTION("sum(filter('PLA Sheet'!H:H,'PLA Sheet'!C:C=B268,'PLA Sheet'!D:D=C268))"),53.3582343)</f>
        <v>53.3582343</v>
      </c>
      <c r="F268" s="40">
        <v>5.249119155</v>
      </c>
      <c r="G268" s="40">
        <f>IFERROR(__xludf.DUMMYFUNCTION("sum(filter('PLA Sheet'!J:J,'PLA Sheet'!C:C=B268,'PLA Sheet'!D:D=C268))/E268*9"),2.5938025089409678)</f>
        <v>2.593802509</v>
      </c>
      <c r="H268" s="41">
        <v>0.519253209</v>
      </c>
      <c r="I268" s="41">
        <v>0.164527421</v>
      </c>
      <c r="J268" s="41">
        <v>0.31621937</v>
      </c>
      <c r="K268" s="41">
        <f t="shared" si="1"/>
        <v>0.203033839</v>
      </c>
      <c r="L268" s="42">
        <v>-6.491646361</v>
      </c>
      <c r="M268" s="45">
        <f>('Cy Young Rank'!O$1-G268)*E268/9</f>
        <v>8.692634362</v>
      </c>
      <c r="N268" s="42"/>
      <c r="O268" s="66"/>
      <c r="P268" s="42"/>
      <c r="Q268" s="67"/>
      <c r="R268" s="67"/>
    </row>
    <row r="269">
      <c r="A269" s="1" t="s">
        <v>321</v>
      </c>
      <c r="B269" s="38">
        <v>607200.0</v>
      </c>
      <c r="C269" s="44" t="s">
        <v>540</v>
      </c>
      <c r="D269" s="38">
        <v>634.0</v>
      </c>
      <c r="E269" s="39">
        <f>IFERROR(__xludf.DUMMYFUNCTION("sum(filter('PLA Sheet'!H:H,'PLA Sheet'!C:C=B269,'PLA Sheet'!D:D=C269))"),39.52047277)</f>
        <v>39.52047277</v>
      </c>
      <c r="F269" s="40">
        <v>5.249101373</v>
      </c>
      <c r="G269" s="40">
        <f>IFERROR(__xludf.DUMMYFUNCTION("sum(filter('PLA Sheet'!J:J,'PLA Sheet'!C:C=B269,'PLA Sheet'!D:D=C269))/E269*9"),2.7335228155976337)</f>
        <v>2.733522816</v>
      </c>
      <c r="H269" s="41">
        <v>0.504731861</v>
      </c>
      <c r="I269" s="41">
        <v>0.159305994</v>
      </c>
      <c r="J269" s="41">
        <v>0.335962145</v>
      </c>
      <c r="K269" s="41">
        <f t="shared" si="1"/>
        <v>0.168769716</v>
      </c>
      <c r="L269" s="42">
        <v>-12.71113556</v>
      </c>
      <c r="M269" s="45">
        <f>('Cy Young Rank'!O$1-G269)*E269/9</f>
        <v>5.824778383</v>
      </c>
      <c r="N269" s="42"/>
      <c r="O269" s="66"/>
      <c r="P269" s="42"/>
      <c r="Q269" s="67"/>
      <c r="R269" s="67"/>
    </row>
    <row r="270">
      <c r="A270" s="1" t="s">
        <v>32</v>
      </c>
      <c r="B270" s="38">
        <v>656945.0</v>
      </c>
      <c r="C270" s="44" t="s">
        <v>533</v>
      </c>
      <c r="D270" s="38">
        <v>419.0</v>
      </c>
      <c r="E270" s="39">
        <f>IFERROR(__xludf.DUMMYFUNCTION("sum(filter('PLA Sheet'!H:H,'PLA Sheet'!C:C=B270,'PLA Sheet'!D:D=C270))"),26.904500547)</f>
        <v>26.90450055</v>
      </c>
      <c r="F270" s="40">
        <v>5.248270565</v>
      </c>
      <c r="G270" s="40">
        <f>IFERROR(__xludf.DUMMYFUNCTION("sum(filter('PLA Sheet'!J:J,'PLA Sheet'!C:C=B270,'PLA Sheet'!D:D=C270))/E270*9"),2.5585553197595283)</f>
        <v>2.55855532</v>
      </c>
      <c r="H270" s="41">
        <v>0.515513126</v>
      </c>
      <c r="I270" s="41">
        <v>0.205250597</v>
      </c>
      <c r="J270" s="41">
        <v>0.279236277</v>
      </c>
      <c r="K270" s="41">
        <f t="shared" si="1"/>
        <v>0.236276849</v>
      </c>
      <c r="L270" s="42">
        <v>0.037161066</v>
      </c>
      <c r="M270" s="45">
        <f>('Cy Young Rank'!O$1-G270)*E270/9</f>
        <v>4.488402136</v>
      </c>
      <c r="N270" s="42"/>
      <c r="O270" s="66"/>
      <c r="P270" s="42"/>
      <c r="Q270" s="67"/>
      <c r="R270" s="67"/>
    </row>
    <row r="271">
      <c r="A271" s="1" t="s">
        <v>167</v>
      </c>
      <c r="B271" s="38">
        <v>694037.0</v>
      </c>
      <c r="C271" s="44" t="s">
        <v>537</v>
      </c>
      <c r="D271" s="38">
        <v>579.0</v>
      </c>
      <c r="E271" s="39">
        <f>IFERROR(__xludf.DUMMYFUNCTION("sum(filter('PLA Sheet'!H:H,'PLA Sheet'!C:C=B271,'PLA Sheet'!D:D=C271))"),37.224473579999994)</f>
        <v>37.22447358</v>
      </c>
      <c r="F271" s="40">
        <v>5.246747981</v>
      </c>
      <c r="G271" s="40">
        <f>IFERROR(__xludf.DUMMYFUNCTION("sum(filter('PLA Sheet'!J:J,'PLA Sheet'!C:C=B271,'PLA Sheet'!D:D=C271))/E271*9"),2.8446390993932766)</f>
        <v>2.844639099</v>
      </c>
      <c r="H271" s="41">
        <v>0.535405872</v>
      </c>
      <c r="I271" s="41">
        <v>0.13298791</v>
      </c>
      <c r="J271" s="41">
        <v>0.331606218</v>
      </c>
      <c r="K271" s="41">
        <f t="shared" si="1"/>
        <v>0.203799654</v>
      </c>
      <c r="L271" s="42">
        <v>-2.485399576</v>
      </c>
      <c r="M271" s="45">
        <f>('Cy Young Rank'!O$1-G271)*E271/9</f>
        <v>5.026796637</v>
      </c>
      <c r="N271" s="42"/>
      <c r="O271" s="66"/>
      <c r="P271" s="42"/>
      <c r="Q271" s="67"/>
      <c r="R271" s="67"/>
    </row>
    <row r="272">
      <c r="A272" s="1" t="s">
        <v>414</v>
      </c>
      <c r="B272" s="38">
        <v>678226.0</v>
      </c>
      <c r="C272" s="44" t="s">
        <v>533</v>
      </c>
      <c r="D272" s="38">
        <v>391.0</v>
      </c>
      <c r="E272" s="39">
        <f>IFERROR(__xludf.DUMMYFUNCTION("sum(filter('PLA Sheet'!H:H,'PLA Sheet'!C:C=B272,'PLA Sheet'!D:D=C272))"),20.70546985)</f>
        <v>20.70546985</v>
      </c>
      <c r="F272" s="40">
        <v>5.246643927</v>
      </c>
      <c r="G272" s="40">
        <f>IFERROR(__xludf.DUMMYFUNCTION("sum(filter('PLA Sheet'!J:J,'PLA Sheet'!C:C=B272,'PLA Sheet'!D:D=C272))/E272*9"),3.123623731726136)</f>
        <v>3.123623732</v>
      </c>
      <c r="H272" s="41">
        <v>0.516624041</v>
      </c>
      <c r="I272" s="41">
        <v>0.191815857</v>
      </c>
      <c r="J272" s="41">
        <v>0.291560102</v>
      </c>
      <c r="K272" s="41">
        <f t="shared" si="1"/>
        <v>0.225063939</v>
      </c>
      <c r="L272" s="42">
        <v>0.583263077</v>
      </c>
      <c r="M272" s="45">
        <f>('Cy Young Rank'!O$1-G272)*E272/9</f>
        <v>2.15423451</v>
      </c>
      <c r="N272" s="42"/>
      <c r="O272" s="66"/>
      <c r="P272" s="42"/>
      <c r="Q272" s="67"/>
      <c r="R272" s="67"/>
    </row>
    <row r="273">
      <c r="A273" s="1" t="s">
        <v>100</v>
      </c>
      <c r="B273" s="38">
        <v>676979.0</v>
      </c>
      <c r="C273" s="44" t="s">
        <v>536</v>
      </c>
      <c r="D273" s="38">
        <v>485.0</v>
      </c>
      <c r="E273" s="39">
        <f>IFERROR(__xludf.DUMMYFUNCTION("sum(filter('PLA Sheet'!H:H,'PLA Sheet'!C:C=B273,'PLA Sheet'!D:D=C273))"),32.41761965)</f>
        <v>32.41761965</v>
      </c>
      <c r="F273" s="40">
        <v>5.245729289</v>
      </c>
      <c r="G273" s="40">
        <f>IFERROR(__xludf.DUMMYFUNCTION("sum(filter('PLA Sheet'!J:J,'PLA Sheet'!C:C=B273,'PLA Sheet'!D:D=C273))/E273*9"),2.48660968542149)</f>
        <v>2.486609685</v>
      </c>
      <c r="H273" s="41">
        <v>0.531958763</v>
      </c>
      <c r="I273" s="41">
        <v>0.167010309</v>
      </c>
      <c r="J273" s="41">
        <v>0.301030928</v>
      </c>
      <c r="K273" s="41">
        <f t="shared" si="1"/>
        <v>0.230927835</v>
      </c>
      <c r="L273" s="42">
        <v>8.887757624</v>
      </c>
      <c r="M273" s="45">
        <f>('Cy Young Rank'!O$1-G273)*E273/9</f>
        <v>5.66728542</v>
      </c>
      <c r="N273" s="42"/>
      <c r="O273" s="66"/>
      <c r="P273" s="42"/>
      <c r="Q273" s="67"/>
      <c r="R273" s="67"/>
    </row>
    <row r="274">
      <c r="A274" s="1" t="s">
        <v>366</v>
      </c>
      <c r="B274" s="38">
        <v>656550.0</v>
      </c>
      <c r="C274" s="44" t="s">
        <v>540</v>
      </c>
      <c r="D274" s="38">
        <v>285.0</v>
      </c>
      <c r="E274" s="39">
        <f>IFERROR(__xludf.DUMMYFUNCTION("sum(filter('PLA Sheet'!H:H,'PLA Sheet'!C:C=B274,'PLA Sheet'!D:D=C274))"),17.273421593000002)</f>
        <v>17.27342159</v>
      </c>
      <c r="F274" s="40">
        <v>5.245086592</v>
      </c>
      <c r="G274" s="40">
        <f>IFERROR(__xludf.DUMMYFUNCTION("sum(filter('PLA Sheet'!J:J,'PLA Sheet'!C:C=B274,'PLA Sheet'!D:D=C274))/E274*9"),3.0371030845017826)</f>
        <v>3.037103085</v>
      </c>
      <c r="H274" s="41">
        <v>0.512280702</v>
      </c>
      <c r="I274" s="41">
        <v>0.189473684</v>
      </c>
      <c r="J274" s="41">
        <v>0.298245614</v>
      </c>
      <c r="K274" s="41">
        <f t="shared" si="1"/>
        <v>0.214035088</v>
      </c>
      <c r="L274" s="42">
        <v>3.221349755</v>
      </c>
      <c r="M274" s="45">
        <f>('Cy Young Rank'!O$1-G274)*E274/9</f>
        <v>1.963214408</v>
      </c>
      <c r="N274" s="42"/>
      <c r="O274" s="66"/>
      <c r="P274" s="42"/>
      <c r="Q274" s="67"/>
      <c r="R274" s="67"/>
    </row>
    <row r="275">
      <c r="A275" s="1" t="s">
        <v>307</v>
      </c>
      <c r="B275" s="38">
        <v>656849.0</v>
      </c>
      <c r="C275" s="44" t="s">
        <v>533</v>
      </c>
      <c r="D275" s="38">
        <v>501.0</v>
      </c>
      <c r="E275" s="39">
        <f>IFERROR(__xludf.DUMMYFUNCTION("sum(filter('PLA Sheet'!H:H,'PLA Sheet'!C:C=B275,'PLA Sheet'!D:D=C275))"),32.26992955)</f>
        <v>32.26992955</v>
      </c>
      <c r="F275" s="40">
        <v>5.244891586</v>
      </c>
      <c r="G275" s="40">
        <f>IFERROR(__xludf.DUMMYFUNCTION("sum(filter('PLA Sheet'!J:J,'PLA Sheet'!C:C=B275,'PLA Sheet'!D:D=C275))/E275*9"),2.5865908653649354)</f>
        <v>2.586590865</v>
      </c>
      <c r="H275" s="41">
        <v>0.499001996</v>
      </c>
      <c r="I275" s="41">
        <v>0.193612774</v>
      </c>
      <c r="J275" s="41">
        <v>0.30738523</v>
      </c>
      <c r="K275" s="41">
        <f t="shared" si="1"/>
        <v>0.191616766</v>
      </c>
      <c r="L275" s="42">
        <v>-8.758502087</v>
      </c>
      <c r="M275" s="45">
        <f>('Cy Young Rank'!O$1-G275)*E275/9</f>
        <v>5.282978775</v>
      </c>
      <c r="N275" s="42"/>
      <c r="O275" s="66"/>
      <c r="P275" s="42"/>
      <c r="Q275" s="67"/>
      <c r="R275" s="67"/>
    </row>
    <row r="276">
      <c r="A276" s="1" t="s">
        <v>326</v>
      </c>
      <c r="B276" s="38">
        <v>606160.0</v>
      </c>
      <c r="C276" s="44" t="s">
        <v>537</v>
      </c>
      <c r="D276" s="38">
        <v>428.0</v>
      </c>
      <c r="E276" s="39">
        <f>IFERROR(__xludf.DUMMYFUNCTION("sum(filter('PLA Sheet'!H:H,'PLA Sheet'!C:C=B276,'PLA Sheet'!D:D=C276))"),24.310947564000003)</f>
        <v>24.31094756</v>
      </c>
      <c r="F276" s="40">
        <v>5.243904702</v>
      </c>
      <c r="G276" s="40">
        <f>IFERROR(__xludf.DUMMYFUNCTION("sum(filter('PLA Sheet'!J:J,'PLA Sheet'!C:C=B276,'PLA Sheet'!D:D=C276))/E276*9"),3.2999125924156427)</f>
        <v>3.299912592</v>
      </c>
      <c r="H276" s="41">
        <v>0.553738318</v>
      </c>
      <c r="I276" s="41">
        <v>0.11682243</v>
      </c>
      <c r="J276" s="41">
        <v>0.329439252</v>
      </c>
      <c r="K276" s="41">
        <f t="shared" si="1"/>
        <v>0.224299066</v>
      </c>
      <c r="L276" s="42">
        <v>1.944668647</v>
      </c>
      <c r="M276" s="45">
        <f>('Cy Young Rank'!O$1-G276)*E276/9</f>
        <v>2.053160568</v>
      </c>
      <c r="N276" s="42"/>
      <c r="O276" s="66"/>
      <c r="P276" s="42"/>
      <c r="Q276" s="67"/>
      <c r="R276" s="67"/>
    </row>
    <row r="277">
      <c r="A277" s="1" t="s">
        <v>220</v>
      </c>
      <c r="B277" s="38">
        <v>663559.0</v>
      </c>
      <c r="C277" s="44" t="s">
        <v>537</v>
      </c>
      <c r="D277" s="38">
        <v>894.0</v>
      </c>
      <c r="E277" s="39">
        <f>IFERROR(__xludf.DUMMYFUNCTION("sum(filter('PLA Sheet'!H:H,'PLA Sheet'!C:C=B277,'PLA Sheet'!D:D=C277))"),58.844353330000004)</f>
        <v>58.84435333</v>
      </c>
      <c r="F277" s="40">
        <v>5.240927035</v>
      </c>
      <c r="G277" s="40">
        <f>IFERROR(__xludf.DUMMYFUNCTION("sum(filter('PLA Sheet'!J:J,'PLA Sheet'!C:C=B277,'PLA Sheet'!D:D=C277))/E277*9"),2.6669482476917885)</f>
        <v>2.666948248</v>
      </c>
      <c r="H277" s="41">
        <v>0.524608501</v>
      </c>
      <c r="I277" s="41">
        <v>0.166666667</v>
      </c>
      <c r="J277" s="41">
        <v>0.308724832</v>
      </c>
      <c r="K277" s="41">
        <f t="shared" si="1"/>
        <v>0.215883669</v>
      </c>
      <c r="L277" s="42">
        <v>-7.671044634</v>
      </c>
      <c r="M277" s="45">
        <f>('Cy Young Rank'!O$1-G277)*E277/9</f>
        <v>9.108136613</v>
      </c>
      <c r="N277" s="42"/>
      <c r="O277" s="66"/>
      <c r="P277" s="42"/>
      <c r="Q277" s="67"/>
      <c r="R277" s="67"/>
    </row>
    <row r="278">
      <c r="A278" s="1" t="s">
        <v>277</v>
      </c>
      <c r="B278" s="38">
        <v>677952.0</v>
      </c>
      <c r="C278" s="44" t="s">
        <v>533</v>
      </c>
      <c r="D278" s="38">
        <v>329.0</v>
      </c>
      <c r="E278" s="39">
        <f>IFERROR(__xludf.DUMMYFUNCTION("sum(filter('PLA Sheet'!H:H,'PLA Sheet'!C:C=B278,'PLA Sheet'!D:D=C278))"),21.74712644)</f>
        <v>21.74712644</v>
      </c>
      <c r="F278" s="40">
        <v>5.239115791</v>
      </c>
      <c r="G278" s="40">
        <f>IFERROR(__xludf.DUMMYFUNCTION("sum(filter('PLA Sheet'!J:J,'PLA Sheet'!C:C=B278,'PLA Sheet'!D:D=C278))/E278*9"),2.528494058822422)</f>
        <v>2.528494059</v>
      </c>
      <c r="H278" s="41">
        <v>0.483282675</v>
      </c>
      <c r="I278" s="41">
        <v>0.215805471</v>
      </c>
      <c r="J278" s="41">
        <v>0.300911854</v>
      </c>
      <c r="K278" s="41">
        <f t="shared" si="1"/>
        <v>0.182370821</v>
      </c>
      <c r="L278" s="42">
        <v>0.054540646</v>
      </c>
      <c r="M278" s="45">
        <f>('Cy Young Rank'!O$1-G278)*E278/9</f>
        <v>3.700650372</v>
      </c>
      <c r="N278" s="42"/>
      <c r="O278" s="66"/>
      <c r="P278" s="42"/>
      <c r="Q278" s="67"/>
      <c r="R278" s="67"/>
    </row>
    <row r="279">
      <c r="A279" s="1" t="s">
        <v>109</v>
      </c>
      <c r="B279" s="38">
        <v>601713.0</v>
      </c>
      <c r="C279" s="44" t="s">
        <v>539</v>
      </c>
      <c r="D279" s="38">
        <v>475.0</v>
      </c>
      <c r="E279" s="39">
        <f>IFERROR(__xludf.DUMMYFUNCTION("sum(filter('PLA Sheet'!H:H,'PLA Sheet'!C:C=B279,'PLA Sheet'!D:D=C279))"),31.117351121000002)</f>
        <v>31.11735112</v>
      </c>
      <c r="F279" s="40">
        <v>5.238897492</v>
      </c>
      <c r="G279" s="40">
        <f>IFERROR(__xludf.DUMMYFUNCTION("sum(filter('PLA Sheet'!J:J,'PLA Sheet'!C:C=B279,'PLA Sheet'!D:D=C279))/E279*9"),2.440979719149019)</f>
        <v>2.440979719</v>
      </c>
      <c r="H279" s="41">
        <v>0.498947368</v>
      </c>
      <c r="I279" s="41">
        <v>0.166315789</v>
      </c>
      <c r="J279" s="41">
        <v>0.334736842</v>
      </c>
      <c r="K279" s="41">
        <f t="shared" si="1"/>
        <v>0.164210526</v>
      </c>
      <c r="L279" s="42">
        <v>7.779471938</v>
      </c>
      <c r="M279" s="45">
        <f>('Cy Young Rank'!O$1-G279)*E279/9</f>
        <v>5.597735839</v>
      </c>
      <c r="N279" s="42"/>
      <c r="O279" s="66"/>
      <c r="P279" s="42"/>
      <c r="Q279" s="67"/>
      <c r="R279" s="67"/>
    </row>
    <row r="280">
      <c r="A280" s="1" t="s">
        <v>231</v>
      </c>
      <c r="B280" s="38">
        <v>669211.0</v>
      </c>
      <c r="C280" s="44" t="s">
        <v>537</v>
      </c>
      <c r="D280" s="38">
        <v>530.0</v>
      </c>
      <c r="E280" s="39">
        <f>IFERROR(__xludf.DUMMYFUNCTION("sum(filter('PLA Sheet'!H:H,'PLA Sheet'!C:C=B280,'PLA Sheet'!D:D=C280))"),32.50472589)</f>
        <v>32.50472589</v>
      </c>
      <c r="F280" s="40">
        <v>5.237959977</v>
      </c>
      <c r="G280" s="40">
        <f>IFERROR(__xludf.DUMMYFUNCTION("sum(filter('PLA Sheet'!J:J,'PLA Sheet'!C:C=B280,'PLA Sheet'!D:D=C280))/E280*9"),2.932662478760561)</f>
        <v>2.932662479</v>
      </c>
      <c r="H280" s="41">
        <v>0.541509434</v>
      </c>
      <c r="I280" s="41">
        <v>0.154716981</v>
      </c>
      <c r="J280" s="41">
        <v>0.303773585</v>
      </c>
      <c r="K280" s="41">
        <f t="shared" si="1"/>
        <v>0.237735849</v>
      </c>
      <c r="L280" s="42">
        <v>-8.074880421</v>
      </c>
      <c r="M280" s="45">
        <f>('Cy Young Rank'!O$1-G280)*E280/9</f>
        <v>4.071533013</v>
      </c>
      <c r="N280" s="42"/>
      <c r="O280" s="66"/>
      <c r="P280" s="42"/>
      <c r="Q280" s="67"/>
      <c r="R280" s="67"/>
    </row>
    <row r="281">
      <c r="A281" s="1" t="s">
        <v>212</v>
      </c>
      <c r="B281" s="38">
        <v>805673.0</v>
      </c>
      <c r="C281" s="44" t="s">
        <v>533</v>
      </c>
      <c r="D281" s="38">
        <v>331.0</v>
      </c>
      <c r="E281" s="39">
        <f>IFERROR(__xludf.DUMMYFUNCTION("sum(filter('PLA Sheet'!H:H,'PLA Sheet'!C:C=B281,'PLA Sheet'!D:D=C281))"),19.818674553)</f>
        <v>19.81867455</v>
      </c>
      <c r="F281" s="40">
        <v>5.237939375</v>
      </c>
      <c r="G281" s="40">
        <f>IFERROR(__xludf.DUMMYFUNCTION("sum(filter('PLA Sheet'!J:J,'PLA Sheet'!C:C=B281,'PLA Sheet'!D:D=C281))/E281*9"),2.6662884472262114)</f>
        <v>2.666288447</v>
      </c>
      <c r="H281" s="41">
        <v>0.447129909</v>
      </c>
      <c r="I281" s="41">
        <v>0.238670695</v>
      </c>
      <c r="J281" s="41">
        <v>0.314199396</v>
      </c>
      <c r="K281" s="41">
        <f t="shared" si="1"/>
        <v>0.132930513</v>
      </c>
      <c r="L281" s="42">
        <v>3.117862045</v>
      </c>
      <c r="M281" s="45">
        <f>('Cy Young Rank'!O$1-G281)*E281/9</f>
        <v>3.069057298</v>
      </c>
      <c r="N281" s="42"/>
      <c r="O281" s="66"/>
      <c r="P281" s="42"/>
      <c r="Q281" s="67"/>
      <c r="R281" s="67"/>
    </row>
    <row r="282">
      <c r="A282" s="1" t="s">
        <v>239</v>
      </c>
      <c r="B282" s="38">
        <v>806960.0</v>
      </c>
      <c r="C282" s="44" t="s">
        <v>537</v>
      </c>
      <c r="D282" s="38">
        <v>414.0</v>
      </c>
      <c r="E282" s="39">
        <f>IFERROR(__xludf.DUMMYFUNCTION("sum(filter('PLA Sheet'!H:H,'PLA Sheet'!C:C=B282,'PLA Sheet'!D:D=C282))"),25.55148555)</f>
        <v>25.55148555</v>
      </c>
      <c r="F282" s="40">
        <v>5.23740961</v>
      </c>
      <c r="G282" s="40">
        <f>IFERROR(__xludf.DUMMYFUNCTION("sum(filter('PLA Sheet'!J:J,'PLA Sheet'!C:C=B282,'PLA Sheet'!D:D=C282))/E282*9"),3.0526742896167933)</f>
        <v>3.05267429</v>
      </c>
      <c r="H282" s="41">
        <v>0.54589372</v>
      </c>
      <c r="I282" s="41">
        <v>0.132850242</v>
      </c>
      <c r="J282" s="41">
        <v>0.321256039</v>
      </c>
      <c r="K282" s="41">
        <f t="shared" si="1"/>
        <v>0.224637681</v>
      </c>
      <c r="L282" s="42">
        <v>-6.976954684</v>
      </c>
      <c r="M282" s="45">
        <f>('Cy Young Rank'!O$1-G282)*E282/9</f>
        <v>2.859852037</v>
      </c>
      <c r="N282" s="42"/>
      <c r="O282" s="66"/>
      <c r="P282" s="42"/>
      <c r="Q282" s="67"/>
      <c r="R282" s="67"/>
    </row>
    <row r="283">
      <c r="A283" s="1" t="s">
        <v>187</v>
      </c>
      <c r="B283" s="38">
        <v>641302.0</v>
      </c>
      <c r="C283" s="44" t="s">
        <v>536</v>
      </c>
      <c r="D283" s="38">
        <v>283.0</v>
      </c>
      <c r="E283" s="39">
        <f>IFERROR(__xludf.DUMMYFUNCTION("sum(filter('PLA Sheet'!H:H,'PLA Sheet'!C:C=B283,'PLA Sheet'!D:D=C283))"),17.84176148)</f>
        <v>17.84176148</v>
      </c>
      <c r="F283" s="40">
        <v>5.236902523</v>
      </c>
      <c r="G283" s="40">
        <f>IFERROR(__xludf.DUMMYFUNCTION("sum(filter('PLA Sheet'!J:J,'PLA Sheet'!C:C=B283,'PLA Sheet'!D:D=C283))/E283*9"),2.7248623435806634)</f>
        <v>2.724862344</v>
      </c>
      <c r="H283" s="41">
        <v>0.551236749</v>
      </c>
      <c r="I283" s="41">
        <v>0.183745583</v>
      </c>
      <c r="J283" s="41">
        <v>0.265017668</v>
      </c>
      <c r="K283" s="41">
        <f t="shared" si="1"/>
        <v>0.286219081</v>
      </c>
      <c r="L283" s="42">
        <v>5.025636878</v>
      </c>
      <c r="M283" s="45">
        <f>('Cy Young Rank'!O$1-G283)*E283/9</f>
        <v>2.646800845</v>
      </c>
      <c r="N283" s="42"/>
      <c r="O283" s="66"/>
      <c r="P283" s="42"/>
      <c r="Q283" s="67"/>
      <c r="R283" s="67"/>
    </row>
    <row r="284">
      <c r="A284" s="1" t="s">
        <v>382</v>
      </c>
      <c r="B284" s="38">
        <v>656288.0</v>
      </c>
      <c r="C284" s="44" t="s">
        <v>533</v>
      </c>
      <c r="D284" s="38">
        <v>414.0</v>
      </c>
      <c r="E284" s="39">
        <f>IFERROR(__xludf.DUMMYFUNCTION("sum(filter('PLA Sheet'!H:H,'PLA Sheet'!C:C=B284,'PLA Sheet'!D:D=C284))"),24.0034774)</f>
        <v>24.0034774</v>
      </c>
      <c r="F284" s="40">
        <v>5.236504813</v>
      </c>
      <c r="G284" s="40">
        <f>IFERROR(__xludf.DUMMYFUNCTION("sum(filter('PLA Sheet'!J:J,'PLA Sheet'!C:C=B284,'PLA Sheet'!D:D=C284))/E284*9"),2.8898836549407627)</f>
        <v>2.889883655</v>
      </c>
      <c r="H284" s="41">
        <v>0.514492754</v>
      </c>
      <c r="I284" s="41">
        <v>0.176328502</v>
      </c>
      <c r="J284" s="41">
        <v>0.309178744</v>
      </c>
      <c r="K284" s="41">
        <f t="shared" si="1"/>
        <v>0.20531401</v>
      </c>
      <c r="L284" s="42">
        <v>-6.563470119</v>
      </c>
      <c r="M284" s="45">
        <f>('Cy Young Rank'!O$1-G284)*E284/9</f>
        <v>3.12076236</v>
      </c>
      <c r="N284" s="42"/>
      <c r="O284" s="66"/>
      <c r="P284" s="42"/>
      <c r="Q284" s="67"/>
      <c r="R284" s="67"/>
    </row>
    <row r="285">
      <c r="A285" s="1" t="s">
        <v>200</v>
      </c>
      <c r="B285" s="38">
        <v>676879.0</v>
      </c>
      <c r="C285" s="44" t="s">
        <v>541</v>
      </c>
      <c r="D285" s="38">
        <v>264.0</v>
      </c>
      <c r="E285" s="39">
        <f>IFERROR(__xludf.DUMMYFUNCTION("sum(filter('PLA Sheet'!H:H,'PLA Sheet'!C:C=B285,'PLA Sheet'!D:D=C285))"),17.635658916)</f>
        <v>17.63565892</v>
      </c>
      <c r="F285" s="40">
        <v>5.236250652</v>
      </c>
      <c r="G285" s="40">
        <f>IFERROR(__xludf.DUMMYFUNCTION("sum(filter('PLA Sheet'!J:J,'PLA Sheet'!C:C=B285,'PLA Sheet'!D:D=C285))/E285*9"),2.5814398666270963)</f>
        <v>2.581439867</v>
      </c>
      <c r="H285" s="41">
        <v>0.515151515</v>
      </c>
      <c r="I285" s="41">
        <v>0.15530303</v>
      </c>
      <c r="J285" s="41">
        <v>0.329545455</v>
      </c>
      <c r="K285" s="41">
        <f t="shared" si="1"/>
        <v>0.18560606</v>
      </c>
      <c r="L285" s="42">
        <v>1.836798101</v>
      </c>
      <c r="M285" s="45">
        <f>('Cy Young Rank'!O$1-G285)*E285/9</f>
        <v>2.897264689</v>
      </c>
      <c r="N285" s="42"/>
      <c r="O285" s="66"/>
      <c r="P285" s="42"/>
      <c r="Q285" s="67"/>
      <c r="R285" s="67"/>
    </row>
    <row r="286">
      <c r="A286" s="1" t="s">
        <v>335</v>
      </c>
      <c r="B286" s="38">
        <v>663436.0</v>
      </c>
      <c r="C286" s="44" t="s">
        <v>532</v>
      </c>
      <c r="D286" s="38">
        <v>541.0</v>
      </c>
      <c r="E286" s="39">
        <f>IFERROR(__xludf.DUMMYFUNCTION("sum(filter('PLA Sheet'!H:H,'PLA Sheet'!C:C=B286,'PLA Sheet'!D:D=C286))"),34.507152147)</f>
        <v>34.50715215</v>
      </c>
      <c r="F286" s="40">
        <v>5.236067441</v>
      </c>
      <c r="G286" s="40">
        <f>IFERROR(__xludf.DUMMYFUNCTION("sum(filter('PLA Sheet'!J:J,'PLA Sheet'!C:C=B286,'PLA Sheet'!D:D=C286))/E286*9"),2.610323900862128)</f>
        <v>2.610323901</v>
      </c>
      <c r="H286" s="41">
        <v>0.484288355</v>
      </c>
      <c r="I286" s="41">
        <v>0.192236599</v>
      </c>
      <c r="J286" s="41">
        <v>0.323475046</v>
      </c>
      <c r="K286" s="41">
        <f t="shared" si="1"/>
        <v>0.160813309</v>
      </c>
      <c r="L286" s="42">
        <v>-0.93165452</v>
      </c>
      <c r="M286" s="45">
        <f>('Cy Young Rank'!O$1-G286)*E286/9</f>
        <v>5.558243746</v>
      </c>
      <c r="N286" s="42"/>
      <c r="O286" s="66"/>
      <c r="P286" s="42"/>
      <c r="Q286" s="67"/>
      <c r="R286" s="67"/>
    </row>
    <row r="287">
      <c r="A287" s="1" t="s">
        <v>491</v>
      </c>
      <c r="B287" s="38">
        <v>650644.0</v>
      </c>
      <c r="C287" s="44" t="s">
        <v>541</v>
      </c>
      <c r="D287" s="38">
        <v>318.0</v>
      </c>
      <c r="E287" s="39">
        <f>IFERROR(__xludf.DUMMYFUNCTION("sum(filter('PLA Sheet'!H:H,'PLA Sheet'!C:C=B287,'PLA Sheet'!D:D=C287))"),19.230945562)</f>
        <v>19.23094556</v>
      </c>
      <c r="F287" s="40">
        <v>5.234947834</v>
      </c>
      <c r="G287" s="40">
        <f>IFERROR(__xludf.DUMMYFUNCTION("sum(filter('PLA Sheet'!J:J,'PLA Sheet'!C:C=B287,'PLA Sheet'!D:D=C287))/E287*9"),2.697777175476776)</f>
        <v>2.697777175</v>
      </c>
      <c r="H287" s="41">
        <v>0.540880503</v>
      </c>
      <c r="I287" s="41">
        <v>0.157232704</v>
      </c>
      <c r="J287" s="41">
        <v>0.301886792</v>
      </c>
      <c r="K287" s="41">
        <f t="shared" si="1"/>
        <v>0.238993711</v>
      </c>
      <c r="L287" s="42">
        <v>-0.271396183</v>
      </c>
      <c r="M287" s="45">
        <f>('Cy Young Rank'!O$1-G287)*E287/9</f>
        <v>2.91075922</v>
      </c>
      <c r="N287" s="42"/>
      <c r="O287" s="66"/>
      <c r="P287" s="42"/>
      <c r="Q287" s="67"/>
      <c r="R287" s="67"/>
    </row>
    <row r="288">
      <c r="A288" s="1" t="s">
        <v>113</v>
      </c>
      <c r="B288" s="38">
        <v>664285.0</v>
      </c>
      <c r="C288" s="44" t="s">
        <v>532</v>
      </c>
      <c r="D288" s="38">
        <v>505.0</v>
      </c>
      <c r="E288" s="39">
        <f>IFERROR(__xludf.DUMMYFUNCTION("sum(filter('PLA Sheet'!H:H,'PLA Sheet'!C:C=B288,'PLA Sheet'!D:D=C288))"),34.903047095)</f>
        <v>34.9030471</v>
      </c>
      <c r="F288" s="40">
        <v>5.234911646</v>
      </c>
      <c r="G288" s="40">
        <f>IFERROR(__xludf.DUMMYFUNCTION("sum(filter('PLA Sheet'!J:J,'PLA Sheet'!C:C=B288,'PLA Sheet'!D:D=C288))/E288*9"),2.4479786468912597)</f>
        <v>2.447978647</v>
      </c>
      <c r="H288" s="41">
        <v>0.489108911</v>
      </c>
      <c r="I288" s="41">
        <v>0.203960396</v>
      </c>
      <c r="J288" s="41">
        <v>0.306930693</v>
      </c>
      <c r="K288" s="41">
        <f t="shared" si="1"/>
        <v>0.182178218</v>
      </c>
      <c r="L288" s="42">
        <v>6.818619558</v>
      </c>
      <c r="M288" s="45">
        <f>('Cy Young Rank'!O$1-G288)*E288/9</f>
        <v>6.251606356</v>
      </c>
      <c r="N288" s="42"/>
      <c r="O288" s="66"/>
      <c r="P288" s="42"/>
      <c r="Q288" s="67"/>
      <c r="R288" s="67"/>
    </row>
    <row r="289">
      <c r="A289" s="1" t="s">
        <v>464</v>
      </c>
      <c r="B289" s="38">
        <v>615698.0</v>
      </c>
      <c r="C289" s="44" t="s">
        <v>540</v>
      </c>
      <c r="D289" s="38">
        <v>420.0</v>
      </c>
      <c r="E289" s="39">
        <f>IFERROR(__xludf.DUMMYFUNCTION("sum(filter('PLA Sheet'!H:H,'PLA Sheet'!C:C=B289,'PLA Sheet'!D:D=C289))"),25.55416875)</f>
        <v>25.55416875</v>
      </c>
      <c r="F289" s="40">
        <v>5.234842569</v>
      </c>
      <c r="G289" s="40">
        <f>IFERROR(__xludf.DUMMYFUNCTION("sum(filter('PLA Sheet'!J:J,'PLA Sheet'!C:C=B289,'PLA Sheet'!D:D=C289))/E289*9"),2.9165907421660897)</f>
        <v>2.916590742</v>
      </c>
      <c r="H289" s="41">
        <v>0.526190476</v>
      </c>
      <c r="I289" s="41">
        <v>0.169047619</v>
      </c>
      <c r="J289" s="41">
        <v>0.304761905</v>
      </c>
      <c r="K289" s="41">
        <f t="shared" si="1"/>
        <v>0.221428571</v>
      </c>
      <c r="L289" s="42">
        <v>-4.112413022</v>
      </c>
      <c r="M289" s="45">
        <f>('Cy Young Rank'!O$1-G289)*E289/9</f>
        <v>3.246541458</v>
      </c>
      <c r="N289" s="42"/>
      <c r="O289" s="66"/>
      <c r="P289" s="42"/>
      <c r="Q289" s="67"/>
      <c r="R289" s="67"/>
    </row>
    <row r="290">
      <c r="A290" s="1" t="s">
        <v>381</v>
      </c>
      <c r="B290" s="38">
        <v>820862.0</v>
      </c>
      <c r="C290" s="44" t="s">
        <v>537</v>
      </c>
      <c r="D290" s="38">
        <v>305.0</v>
      </c>
      <c r="E290" s="39">
        <f>IFERROR(__xludf.DUMMYFUNCTION("sum(filter('PLA Sheet'!H:H,'PLA Sheet'!C:C=B290,'PLA Sheet'!D:D=C290))"),16.554521964)</f>
        <v>16.55452196</v>
      </c>
      <c r="F290" s="40">
        <v>5.23451853</v>
      </c>
      <c r="G290" s="40">
        <f>IFERROR(__xludf.DUMMYFUNCTION("sum(filter('PLA Sheet'!J:J,'PLA Sheet'!C:C=B290,'PLA Sheet'!D:D=C290))/E290*9"),3.402765306210566)</f>
        <v>3.402765306</v>
      </c>
      <c r="H290" s="41">
        <v>0.573770492</v>
      </c>
      <c r="I290" s="41">
        <v>0.108196721</v>
      </c>
      <c r="J290" s="41">
        <v>0.318032787</v>
      </c>
      <c r="K290" s="41">
        <f t="shared" si="1"/>
        <v>0.255737705</v>
      </c>
      <c r="L290" s="42">
        <v>1.014398902</v>
      </c>
      <c r="M290" s="45">
        <f>('Cy Young Rank'!O$1-G290)*E290/9</f>
        <v>1.208911797</v>
      </c>
      <c r="N290" s="42"/>
      <c r="O290" s="66"/>
      <c r="P290" s="42"/>
      <c r="Q290" s="67"/>
      <c r="R290" s="67"/>
    </row>
    <row r="291">
      <c r="A291" s="1" t="s">
        <v>99</v>
      </c>
      <c r="B291" s="38">
        <v>592791.0</v>
      </c>
      <c r="C291" s="44" t="s">
        <v>537</v>
      </c>
      <c r="D291" s="38">
        <v>738.0</v>
      </c>
      <c r="E291" s="39">
        <f>IFERROR(__xludf.DUMMYFUNCTION("sum(filter('PLA Sheet'!H:H,'PLA Sheet'!C:C=B291,'PLA Sheet'!D:D=C291))"),49.27202291)</f>
        <v>49.27202291</v>
      </c>
      <c r="F291" s="40">
        <v>5.234169155</v>
      </c>
      <c r="G291" s="40">
        <f>IFERROR(__xludf.DUMMYFUNCTION("sum(filter('PLA Sheet'!J:J,'PLA Sheet'!C:C=B291,'PLA Sheet'!D:D=C291))/E291*9"),2.650598864969557)</f>
        <v>2.650598865</v>
      </c>
      <c r="H291" s="41">
        <v>0.494579946</v>
      </c>
      <c r="I291" s="41">
        <v>0.188346883</v>
      </c>
      <c r="J291" s="41">
        <v>0.317073171</v>
      </c>
      <c r="K291" s="41">
        <f t="shared" si="1"/>
        <v>0.177506775</v>
      </c>
      <c r="L291" s="42">
        <v>7.194992494</v>
      </c>
      <c r="M291" s="45">
        <f>('Cy Young Rank'!O$1-G291)*E291/9</f>
        <v>7.716005002</v>
      </c>
      <c r="N291" s="42"/>
      <c r="O291" s="66"/>
      <c r="P291" s="42"/>
      <c r="Q291" s="67"/>
      <c r="R291" s="67"/>
    </row>
    <row r="292">
      <c r="A292" s="1" t="s">
        <v>109</v>
      </c>
      <c r="B292" s="38">
        <v>601713.0</v>
      </c>
      <c r="C292" s="44" t="s">
        <v>541</v>
      </c>
      <c r="D292" s="38">
        <v>617.0</v>
      </c>
      <c r="E292" s="39">
        <f>IFERROR(__xludf.DUMMYFUNCTION("sum(filter('PLA Sheet'!H:H,'PLA Sheet'!C:C=B292,'PLA Sheet'!D:D=C292))"),40.682110678)</f>
        <v>40.68211068</v>
      </c>
      <c r="F292" s="40">
        <v>5.233648112</v>
      </c>
      <c r="G292" s="40">
        <f>IFERROR(__xludf.DUMMYFUNCTION("sum(filter('PLA Sheet'!J:J,'PLA Sheet'!C:C=B292,'PLA Sheet'!D:D=C292))/E292*9"),2.5661887561909653)</f>
        <v>2.566188756</v>
      </c>
      <c r="H292" s="41">
        <v>0.504051864</v>
      </c>
      <c r="I292" s="41">
        <v>0.173419773</v>
      </c>
      <c r="J292" s="41">
        <v>0.322528363</v>
      </c>
      <c r="K292" s="41">
        <f t="shared" si="1"/>
        <v>0.181523501</v>
      </c>
      <c r="L292" s="42">
        <v>-0.03604683</v>
      </c>
      <c r="M292" s="45">
        <f>('Cy Young Rank'!O$1-G292)*E292/9</f>
        <v>6.75237715</v>
      </c>
      <c r="N292" s="42"/>
      <c r="O292" s="66"/>
      <c r="P292" s="42"/>
      <c r="Q292" s="67"/>
      <c r="R292" s="67"/>
    </row>
    <row r="293">
      <c r="A293" s="1" t="s">
        <v>79</v>
      </c>
      <c r="B293" s="38">
        <v>554430.0</v>
      </c>
      <c r="C293" s="44" t="s">
        <v>536</v>
      </c>
      <c r="D293" s="38">
        <v>396.0</v>
      </c>
      <c r="E293" s="39">
        <f>IFERROR(__xludf.DUMMYFUNCTION("sum(filter('PLA Sheet'!H:H,'PLA Sheet'!C:C=B293,'PLA Sheet'!D:D=C293))"),25.444583677)</f>
        <v>25.44458368</v>
      </c>
      <c r="F293" s="40">
        <v>5.233593272</v>
      </c>
      <c r="G293" s="40">
        <f>IFERROR(__xludf.DUMMYFUNCTION("sum(filter('PLA Sheet'!J:J,'PLA Sheet'!C:C=B293,'PLA Sheet'!D:D=C293))/E293*9"),2.562808998087267)</f>
        <v>2.562808998</v>
      </c>
      <c r="H293" s="41">
        <v>0.492424242</v>
      </c>
      <c r="I293" s="41">
        <v>0.161616162</v>
      </c>
      <c r="J293" s="41">
        <v>0.345959596</v>
      </c>
      <c r="K293" s="41">
        <f t="shared" si="1"/>
        <v>0.146464646</v>
      </c>
      <c r="L293" s="42">
        <v>1.831442239</v>
      </c>
      <c r="M293" s="45">
        <f>('Cy Young Rank'!O$1-G293)*E293/9</f>
        <v>4.232822414</v>
      </c>
      <c r="N293" s="42"/>
      <c r="O293" s="66"/>
      <c r="P293" s="42"/>
      <c r="Q293" s="67"/>
      <c r="R293" s="67"/>
    </row>
    <row r="294">
      <c r="A294" s="1" t="s">
        <v>269</v>
      </c>
      <c r="B294" s="38">
        <v>605280.0</v>
      </c>
      <c r="C294" s="44" t="s">
        <v>532</v>
      </c>
      <c r="D294" s="38">
        <v>413.0</v>
      </c>
      <c r="E294" s="39">
        <f>IFERROR(__xludf.DUMMYFUNCTION("sum(filter('PLA Sheet'!H:H,'PLA Sheet'!C:C=B294,'PLA Sheet'!D:D=C294))"),25.911658217)</f>
        <v>25.91165822</v>
      </c>
      <c r="F294" s="40">
        <v>5.233406428</v>
      </c>
      <c r="G294" s="40">
        <f>IFERROR(__xludf.DUMMYFUNCTION("sum(filter('PLA Sheet'!J:J,'PLA Sheet'!C:C=B294,'PLA Sheet'!D:D=C294))/E294*9"),2.492153781097398)</f>
        <v>2.492153781</v>
      </c>
      <c r="H294" s="41">
        <v>0.474576271</v>
      </c>
      <c r="I294" s="41">
        <v>0.213075061</v>
      </c>
      <c r="J294" s="41">
        <v>0.312348668</v>
      </c>
      <c r="K294" s="41">
        <f t="shared" si="1"/>
        <v>0.162227603</v>
      </c>
      <c r="L294" s="42">
        <v>3.46324072</v>
      </c>
      <c r="M294" s="45">
        <f>('Cy Young Rank'!O$1-G294)*E294/9</f>
        <v>4.513943929</v>
      </c>
      <c r="N294" s="42"/>
      <c r="O294" s="66"/>
      <c r="P294" s="42"/>
      <c r="Q294" s="67"/>
      <c r="R294" s="67"/>
    </row>
    <row r="295">
      <c r="A295" s="1" t="s">
        <v>410</v>
      </c>
      <c r="B295" s="38">
        <v>678394.0</v>
      </c>
      <c r="C295" s="44" t="s">
        <v>539</v>
      </c>
      <c r="D295" s="38">
        <v>352.0</v>
      </c>
      <c r="E295" s="39">
        <f>IFERROR(__xludf.DUMMYFUNCTION("sum(filter('PLA Sheet'!H:H,'PLA Sheet'!C:C=B295,'PLA Sheet'!D:D=C295))"),22.308738102)</f>
        <v>22.3087381</v>
      </c>
      <c r="F295" s="40">
        <v>5.233215512</v>
      </c>
      <c r="G295" s="40">
        <f>IFERROR(__xludf.DUMMYFUNCTION("sum(filter('PLA Sheet'!J:J,'PLA Sheet'!C:C=B295,'PLA Sheet'!D:D=C295))/E295*9"),2.7635871521784026)</f>
        <v>2.763587152</v>
      </c>
      <c r="H295" s="41">
        <v>0.5</v>
      </c>
      <c r="I295" s="41">
        <v>0.230113636</v>
      </c>
      <c r="J295" s="41">
        <v>0.269886364</v>
      </c>
      <c r="K295" s="41">
        <f t="shared" si="1"/>
        <v>0.230113636</v>
      </c>
      <c r="L295" s="42">
        <v>2.514656968</v>
      </c>
      <c r="M295" s="45">
        <f>('Cy Young Rank'!O$1-G295)*E295/9</f>
        <v>3.213481633</v>
      </c>
      <c r="N295" s="42"/>
      <c r="O295" s="66"/>
      <c r="P295" s="42"/>
      <c r="Q295" s="67"/>
      <c r="R295" s="67"/>
    </row>
    <row r="296">
      <c r="A296" s="1" t="s">
        <v>543</v>
      </c>
      <c r="B296" s="38">
        <v>681870.0</v>
      </c>
      <c r="C296" s="44" t="s">
        <v>537</v>
      </c>
      <c r="D296" s="38">
        <v>332.0</v>
      </c>
      <c r="E296" s="39">
        <f>IFERROR(__xludf.DUMMYFUNCTION("sum(filter('PLA Sheet'!H:H,'PLA Sheet'!C:C=B296,'PLA Sheet'!D:D=C296))"),19.984063746)</f>
        <v>19.98406375</v>
      </c>
      <c r="F296" s="40">
        <v>5.231640146</v>
      </c>
      <c r="G296" s="40">
        <f>IFERROR(__xludf.DUMMYFUNCTION("sum(filter('PLA Sheet'!J:J,'PLA Sheet'!C:C=B296,'PLA Sheet'!D:D=C296))/E296*9"),2.860306078209004)</f>
        <v>2.860306078</v>
      </c>
      <c r="H296" s="41">
        <v>0.584337349</v>
      </c>
      <c r="I296" s="41">
        <v>0.105421687</v>
      </c>
      <c r="J296" s="41">
        <v>0.310240964</v>
      </c>
      <c r="K296" s="41">
        <f t="shared" si="1"/>
        <v>0.274096385</v>
      </c>
      <c r="L296" s="42">
        <v>4.704210149</v>
      </c>
      <c r="M296" s="45">
        <f>('Cy Young Rank'!O$1-G296)*E296/9</f>
        <v>2.663862201</v>
      </c>
      <c r="N296" s="42"/>
      <c r="O296" s="66"/>
      <c r="P296" s="42"/>
      <c r="Q296" s="67"/>
      <c r="R296" s="67"/>
    </row>
    <row r="297">
      <c r="A297" s="1" t="s">
        <v>82</v>
      </c>
      <c r="B297" s="38">
        <v>663947.0</v>
      </c>
      <c r="C297" s="44" t="s">
        <v>540</v>
      </c>
      <c r="D297" s="38">
        <v>338.0</v>
      </c>
      <c r="E297" s="39">
        <f>IFERROR(__xludf.DUMMYFUNCTION("sum(filter('PLA Sheet'!H:H,'PLA Sheet'!C:C=B297,'PLA Sheet'!D:D=C297))"),23.776626363000002)</f>
        <v>23.77662636</v>
      </c>
      <c r="F297" s="40">
        <v>5.230618461</v>
      </c>
      <c r="G297" s="40">
        <f>IFERROR(__xludf.DUMMYFUNCTION("sum(filter('PLA Sheet'!J:J,'PLA Sheet'!C:C=B297,'PLA Sheet'!D:D=C297))/E297*9"),2.401853363388364)</f>
        <v>2.401853363</v>
      </c>
      <c r="H297" s="41">
        <v>0.48816568</v>
      </c>
      <c r="I297" s="41">
        <v>0.233727811</v>
      </c>
      <c r="J297" s="41">
        <v>0.278106509</v>
      </c>
      <c r="K297" s="41">
        <f t="shared" si="1"/>
        <v>0.210059171</v>
      </c>
      <c r="L297" s="42">
        <v>1.392129579</v>
      </c>
      <c r="M297" s="45">
        <f>('Cy Young Rank'!O$1-G297)*E297/9</f>
        <v>4.380570337</v>
      </c>
      <c r="N297" s="42"/>
      <c r="O297" s="66"/>
      <c r="P297" s="42"/>
      <c r="Q297" s="67"/>
      <c r="R297" s="67"/>
    </row>
    <row r="298">
      <c r="A298" s="1" t="s">
        <v>181</v>
      </c>
      <c r="B298" s="38">
        <v>641154.0</v>
      </c>
      <c r="C298" s="44" t="s">
        <v>537</v>
      </c>
      <c r="D298" s="38">
        <v>499.0</v>
      </c>
      <c r="E298" s="39">
        <f>IFERROR(__xludf.DUMMYFUNCTION("sum(filter('PLA Sheet'!H:H,'PLA Sheet'!C:C=B298,'PLA Sheet'!D:D=C298))"),31.192216039999998)</f>
        <v>31.19221604</v>
      </c>
      <c r="F298" s="40">
        <v>5.230603948</v>
      </c>
      <c r="G298" s="40">
        <f>IFERROR(__xludf.DUMMYFUNCTION("sum(filter('PLA Sheet'!J:J,'PLA Sheet'!C:C=B298,'PLA Sheet'!D:D=C298))/E298*9"),2.9986085913246967)</f>
        <v>2.998608591</v>
      </c>
      <c r="H298" s="41">
        <v>0.517034068</v>
      </c>
      <c r="I298" s="41">
        <v>0.198396794</v>
      </c>
      <c r="J298" s="41">
        <v>0.284569138</v>
      </c>
      <c r="K298" s="41">
        <f t="shared" si="1"/>
        <v>0.23246493</v>
      </c>
      <c r="L298" s="42">
        <v>4.276138623</v>
      </c>
      <c r="M298" s="45">
        <f>('Cy Young Rank'!O$1-G298)*E298/9</f>
        <v>3.678572236</v>
      </c>
      <c r="N298" s="42"/>
      <c r="O298" s="66"/>
      <c r="P298" s="42"/>
      <c r="Q298" s="67"/>
      <c r="R298" s="67"/>
    </row>
    <row r="299">
      <c r="A299" s="1" t="s">
        <v>35</v>
      </c>
      <c r="B299" s="38">
        <v>676083.0</v>
      </c>
      <c r="C299" s="44" t="s">
        <v>537</v>
      </c>
      <c r="D299" s="38">
        <v>588.0</v>
      </c>
      <c r="E299" s="39">
        <f>IFERROR(__xludf.DUMMYFUNCTION("sum(filter('PLA Sheet'!H:H,'PLA Sheet'!C:C=B299,'PLA Sheet'!D:D=C299))"),41.43649815)</f>
        <v>41.43649815</v>
      </c>
      <c r="F299" s="40">
        <v>5.230460745</v>
      </c>
      <c r="G299" s="40">
        <f>IFERROR(__xludf.DUMMYFUNCTION("sum(filter('PLA Sheet'!J:J,'PLA Sheet'!C:C=B299,'PLA Sheet'!D:D=C299))/E299*9"),2.5709332534414475)</f>
        <v>2.570933253</v>
      </c>
      <c r="H299" s="41">
        <v>0.520408163</v>
      </c>
      <c r="I299" s="41">
        <v>0.178571429</v>
      </c>
      <c r="J299" s="41">
        <v>0.301020408</v>
      </c>
      <c r="K299" s="41">
        <f t="shared" si="1"/>
        <v>0.219387755</v>
      </c>
      <c r="L299" s="42">
        <v>-8.100727633</v>
      </c>
      <c r="M299" s="45">
        <f>('Cy Young Rank'!O$1-G299)*E299/9</f>
        <v>6.855745721</v>
      </c>
      <c r="N299" s="42"/>
      <c r="O299" s="66"/>
      <c r="P299" s="42"/>
      <c r="Q299" s="67"/>
      <c r="R299" s="67"/>
    </row>
    <row r="300">
      <c r="A300" s="1" t="s">
        <v>183</v>
      </c>
      <c r="B300" s="38">
        <v>670280.0</v>
      </c>
      <c r="C300" s="44" t="s">
        <v>537</v>
      </c>
      <c r="D300" s="38">
        <v>425.0</v>
      </c>
      <c r="E300" s="39">
        <f>IFERROR(__xludf.DUMMYFUNCTION("sum(filter('PLA Sheet'!H:H,'PLA Sheet'!C:C=B300,'PLA Sheet'!D:D=C300))"),27.612692189999997)</f>
        <v>27.61269219</v>
      </c>
      <c r="F300" s="40">
        <v>5.229494847</v>
      </c>
      <c r="G300" s="40">
        <f>IFERROR(__xludf.DUMMYFUNCTION("sum(filter('PLA Sheet'!J:J,'PLA Sheet'!C:C=B300,'PLA Sheet'!D:D=C300))/E300*9"),2.844856649959274)</f>
        <v>2.84485665</v>
      </c>
      <c r="H300" s="41">
        <v>0.538823529</v>
      </c>
      <c r="I300" s="41">
        <v>0.117647059</v>
      </c>
      <c r="J300" s="41">
        <v>0.343529412</v>
      </c>
      <c r="K300" s="41">
        <f t="shared" si="1"/>
        <v>0.195294117</v>
      </c>
      <c r="L300" s="42">
        <v>-4.422335127</v>
      </c>
      <c r="M300" s="45">
        <f>('Cy Young Rank'!O$1-G300)*E300/9</f>
        <v>3.728153255</v>
      </c>
      <c r="N300" s="42"/>
      <c r="O300" s="66"/>
      <c r="P300" s="42"/>
      <c r="Q300" s="67"/>
      <c r="R300" s="67"/>
    </row>
    <row r="301">
      <c r="A301" s="1" t="s">
        <v>385</v>
      </c>
      <c r="B301" s="38">
        <v>666171.0</v>
      </c>
      <c r="C301" s="44" t="s">
        <v>539</v>
      </c>
      <c r="D301" s="38">
        <v>282.0</v>
      </c>
      <c r="E301" s="39">
        <f>IFERROR(__xludf.DUMMYFUNCTION("sum(filter('PLA Sheet'!H:H,'PLA Sheet'!C:C=B301,'PLA Sheet'!D:D=C301))"),15.897959184)</f>
        <v>15.89795918</v>
      </c>
      <c r="F301" s="40">
        <v>5.229272175</v>
      </c>
      <c r="G301" s="40">
        <f>IFERROR(__xludf.DUMMYFUNCTION("sum(filter('PLA Sheet'!J:J,'PLA Sheet'!C:C=B301,'PLA Sheet'!D:D=C301))/E301*9"),2.818753682868935)</f>
        <v>2.818753683</v>
      </c>
      <c r="H301" s="41">
        <v>0.496453901</v>
      </c>
      <c r="I301" s="41">
        <v>0.159574468</v>
      </c>
      <c r="J301" s="41">
        <v>0.343971631</v>
      </c>
      <c r="K301" s="41">
        <f t="shared" si="1"/>
        <v>0.15248227</v>
      </c>
      <c r="L301" s="42">
        <v>0.324332267</v>
      </c>
      <c r="M301" s="45">
        <f>('Cy Young Rank'!O$1-G301)*E301/9</f>
        <v>2.192587032</v>
      </c>
      <c r="N301" s="42"/>
      <c r="O301" s="66"/>
      <c r="P301" s="42"/>
      <c r="Q301" s="67"/>
      <c r="R301" s="67"/>
    </row>
    <row r="302">
      <c r="A302" s="1" t="s">
        <v>361</v>
      </c>
      <c r="B302" s="38">
        <v>686563.0</v>
      </c>
      <c r="C302" s="44" t="s">
        <v>540</v>
      </c>
      <c r="D302" s="38">
        <v>409.0</v>
      </c>
      <c r="E302" s="39">
        <f>IFERROR(__xludf.DUMMYFUNCTION("sum(filter('PLA Sheet'!H:H,'PLA Sheet'!C:C=B302,'PLA Sheet'!D:D=C302))"),24.470424103)</f>
        <v>24.4704241</v>
      </c>
      <c r="F302" s="40">
        <v>5.228209209</v>
      </c>
      <c r="G302" s="40">
        <f>IFERROR(__xludf.DUMMYFUNCTION("sum(filter('PLA Sheet'!J:J,'PLA Sheet'!C:C=B302,'PLA Sheet'!D:D=C302))/E302*9"),2.9390195158564065)</f>
        <v>2.939019516</v>
      </c>
      <c r="H302" s="41">
        <v>0.562347188</v>
      </c>
      <c r="I302" s="41">
        <v>0.097799511</v>
      </c>
      <c r="J302" s="41">
        <v>0.339853301</v>
      </c>
      <c r="K302" s="41">
        <f t="shared" si="1"/>
        <v>0.222493887</v>
      </c>
      <c r="L302" s="42">
        <v>2.320542896</v>
      </c>
      <c r="M302" s="45">
        <f>('Cy Young Rank'!O$1-G302)*E302/9</f>
        <v>3.047874206</v>
      </c>
      <c r="N302" s="42"/>
      <c r="O302" s="66"/>
      <c r="P302" s="42"/>
      <c r="Q302" s="67"/>
      <c r="R302" s="67"/>
    </row>
    <row r="303">
      <c r="A303" s="1" t="s">
        <v>248</v>
      </c>
      <c r="B303" s="38">
        <v>472610.0</v>
      </c>
      <c r="C303" s="44" t="s">
        <v>536</v>
      </c>
      <c r="D303" s="38">
        <v>370.0</v>
      </c>
      <c r="E303" s="39">
        <f>IFERROR(__xludf.DUMMYFUNCTION("sum(filter('PLA Sheet'!H:H,'PLA Sheet'!C:C=B303,'PLA Sheet'!D:D=C303))"),23.529017856)</f>
        <v>23.52901786</v>
      </c>
      <c r="F303" s="40">
        <v>5.228191273</v>
      </c>
      <c r="G303" s="40">
        <f>IFERROR(__xludf.DUMMYFUNCTION("sum(filter('PLA Sheet'!J:J,'PLA Sheet'!C:C=B303,'PLA Sheet'!D:D=C303))/E303*9"),2.772837497905293)</f>
        <v>2.772837498</v>
      </c>
      <c r="H303" s="41">
        <v>0.510810811</v>
      </c>
      <c r="I303" s="41">
        <v>0.164864865</v>
      </c>
      <c r="J303" s="41">
        <v>0.324324324</v>
      </c>
      <c r="K303" s="41">
        <f t="shared" si="1"/>
        <v>0.186486487</v>
      </c>
      <c r="L303" s="42">
        <v>-2.550868069</v>
      </c>
      <c r="M303" s="45">
        <f>('Cy Young Rank'!O$1-G303)*E303/9</f>
        <v>3.365074388</v>
      </c>
      <c r="N303" s="42"/>
      <c r="O303" s="66"/>
      <c r="P303" s="42"/>
      <c r="Q303" s="67"/>
      <c r="R303" s="67"/>
    </row>
    <row r="304">
      <c r="A304" s="1" t="s">
        <v>181</v>
      </c>
      <c r="B304" s="38">
        <v>641154.0</v>
      </c>
      <c r="C304" s="44" t="s">
        <v>532</v>
      </c>
      <c r="D304" s="38">
        <v>260.0</v>
      </c>
      <c r="E304" s="39">
        <f>IFERROR(__xludf.DUMMYFUNCTION("sum(filter('PLA Sheet'!H:H,'PLA Sheet'!C:C=B304,'PLA Sheet'!D:D=C304))"),15.986761982)</f>
        <v>15.98676198</v>
      </c>
      <c r="F304" s="40">
        <v>5.227686229</v>
      </c>
      <c r="G304" s="40">
        <f>IFERROR(__xludf.DUMMYFUNCTION("sum(filter('PLA Sheet'!J:J,'PLA Sheet'!C:C=B304,'PLA Sheet'!D:D=C304))/E304*9"),2.868839296640502)</f>
        <v>2.868839297</v>
      </c>
      <c r="H304" s="41">
        <v>0.484615385</v>
      </c>
      <c r="I304" s="41">
        <v>0.196153846</v>
      </c>
      <c r="J304" s="41">
        <v>0.319230769</v>
      </c>
      <c r="K304" s="41">
        <f t="shared" si="1"/>
        <v>0.165384616</v>
      </c>
      <c r="L304" s="42">
        <v>-0.35063138</v>
      </c>
      <c r="M304" s="45">
        <f>('Cy Young Rank'!O$1-G304)*E304/9</f>
        <v>2.115866961</v>
      </c>
      <c r="N304" s="42"/>
      <c r="O304" s="66"/>
      <c r="P304" s="42"/>
      <c r="Q304" s="67"/>
      <c r="R304" s="67"/>
    </row>
    <row r="305">
      <c r="A305" s="1" t="s">
        <v>354</v>
      </c>
      <c r="B305" s="38">
        <v>669022.0</v>
      </c>
      <c r="C305" s="44" t="s">
        <v>533</v>
      </c>
      <c r="D305" s="38">
        <v>320.0</v>
      </c>
      <c r="E305" s="39">
        <f>IFERROR(__xludf.DUMMYFUNCTION("sum(filter('PLA Sheet'!H:H,'PLA Sheet'!C:C=B305,'PLA Sheet'!D:D=C305))"),18.874334394999998)</f>
        <v>18.8743344</v>
      </c>
      <c r="F305" s="40">
        <v>5.227246486</v>
      </c>
      <c r="G305" s="40">
        <f>IFERROR(__xludf.DUMMYFUNCTION("sum(filter('PLA Sheet'!J:J,'PLA Sheet'!C:C=B305,'PLA Sheet'!D:D=C305))/E305*9"),2.875670307842928)</f>
        <v>2.875670308</v>
      </c>
      <c r="H305" s="41">
        <v>0.46875</v>
      </c>
      <c r="I305" s="41">
        <v>0.2</v>
      </c>
      <c r="J305" s="41">
        <v>0.33125</v>
      </c>
      <c r="K305" s="41">
        <f t="shared" si="1"/>
        <v>0.1375</v>
      </c>
      <c r="L305" s="42">
        <v>1.699447537</v>
      </c>
      <c r="M305" s="45">
        <f>('Cy Young Rank'!O$1-G305)*E305/9</f>
        <v>2.48371496</v>
      </c>
      <c r="N305" s="42"/>
      <c r="O305" s="66"/>
      <c r="P305" s="42"/>
      <c r="Q305" s="67"/>
      <c r="R305" s="67"/>
    </row>
    <row r="306">
      <c r="A306" s="1" t="s">
        <v>163</v>
      </c>
      <c r="B306" s="38">
        <v>663460.0</v>
      </c>
      <c r="C306" s="44" t="s">
        <v>539</v>
      </c>
      <c r="D306" s="38">
        <v>377.0</v>
      </c>
      <c r="E306" s="39">
        <f>IFERROR(__xludf.DUMMYFUNCTION("sum(filter('PLA Sheet'!H:H,'PLA Sheet'!C:C=B306,'PLA Sheet'!D:D=C306))"),25.275766018)</f>
        <v>25.27576602</v>
      </c>
      <c r="F306" s="40">
        <v>5.22634269</v>
      </c>
      <c r="G306" s="40">
        <f>IFERROR(__xludf.DUMMYFUNCTION("sum(filter('PLA Sheet'!J:J,'PLA Sheet'!C:C=B306,'PLA Sheet'!D:D=C306))/E306*9"),2.49933730811608)</f>
        <v>2.499337308</v>
      </c>
      <c r="H306" s="41">
        <v>0.517241379</v>
      </c>
      <c r="I306" s="41">
        <v>0.161803714</v>
      </c>
      <c r="J306" s="41">
        <v>0.320954907</v>
      </c>
      <c r="K306" s="41">
        <f t="shared" si="1"/>
        <v>0.196286472</v>
      </c>
      <c r="L306" s="42">
        <v>0.450279515</v>
      </c>
      <c r="M306" s="45">
        <f>('Cy Young Rank'!O$1-G306)*E306/9</f>
        <v>4.382993893</v>
      </c>
      <c r="N306" s="42"/>
      <c r="O306" s="66"/>
      <c r="P306" s="42"/>
      <c r="Q306" s="67"/>
      <c r="R306" s="67"/>
    </row>
    <row r="307">
      <c r="A307" s="1" t="s">
        <v>276</v>
      </c>
      <c r="B307" s="38">
        <v>702352.0</v>
      </c>
      <c r="C307" s="44" t="s">
        <v>536</v>
      </c>
      <c r="D307" s="38">
        <v>475.0</v>
      </c>
      <c r="E307" s="39">
        <f>IFERROR(__xludf.DUMMYFUNCTION("sum(filter('PLA Sheet'!H:H,'PLA Sheet'!C:C=B307,'PLA Sheet'!D:D=C307))"),30.484544050000004)</f>
        <v>30.48454405</v>
      </c>
      <c r="F307" s="40">
        <v>5.224326564</v>
      </c>
      <c r="G307" s="40">
        <f>IFERROR(__xludf.DUMMYFUNCTION("sum(filter('PLA Sheet'!J:J,'PLA Sheet'!C:C=B307,'PLA Sheet'!D:D=C307))/E307*9"),2.650280577183177)</f>
        <v>2.650280577</v>
      </c>
      <c r="H307" s="41">
        <v>0.52</v>
      </c>
      <c r="I307" s="41">
        <v>0.183157895</v>
      </c>
      <c r="J307" s="41">
        <v>0.296842105</v>
      </c>
      <c r="K307" s="41">
        <f t="shared" si="1"/>
        <v>0.223157895</v>
      </c>
      <c r="L307" s="42">
        <v>5.820681521</v>
      </c>
      <c r="M307" s="45">
        <f>('Cy Young Rank'!O$1-G307)*E307/9</f>
        <v>4.774961538</v>
      </c>
      <c r="N307" s="42"/>
      <c r="O307" s="66"/>
      <c r="P307" s="42"/>
      <c r="Q307" s="67"/>
      <c r="R307" s="67"/>
    </row>
    <row r="308">
      <c r="A308" s="1" t="s">
        <v>100</v>
      </c>
      <c r="B308" s="38">
        <v>676979.0</v>
      </c>
      <c r="C308" s="44" t="s">
        <v>539</v>
      </c>
      <c r="D308" s="38">
        <v>485.0</v>
      </c>
      <c r="E308" s="39">
        <f>IFERROR(__xludf.DUMMYFUNCTION("sum(filter('PLA Sheet'!H:H,'PLA Sheet'!C:C=B308,'PLA Sheet'!D:D=C308))"),32.678526044)</f>
        <v>32.67852604</v>
      </c>
      <c r="F308" s="40">
        <v>5.224085245</v>
      </c>
      <c r="G308" s="40">
        <f>IFERROR(__xludf.DUMMYFUNCTION("sum(filter('PLA Sheet'!J:J,'PLA Sheet'!C:C=B308,'PLA Sheet'!D:D=C308))/E308*9"),2.433553058449566)</f>
        <v>2.433553058</v>
      </c>
      <c r="H308" s="41">
        <v>0.492783505</v>
      </c>
      <c r="I308" s="41">
        <v>0.208247423</v>
      </c>
      <c r="J308" s="41">
        <v>0.298969072</v>
      </c>
      <c r="K308" s="41">
        <f t="shared" si="1"/>
        <v>0.193814433</v>
      </c>
      <c r="L308" s="42">
        <v>4.865822297</v>
      </c>
      <c r="M308" s="45">
        <f>('Cy Young Rank'!O$1-G308)*E308/9</f>
        <v>5.905543193</v>
      </c>
      <c r="N308" s="42"/>
      <c r="O308" s="66"/>
      <c r="P308" s="42"/>
      <c r="Q308" s="67"/>
      <c r="R308" s="67"/>
    </row>
    <row r="309">
      <c r="A309" s="1" t="s">
        <v>109</v>
      </c>
      <c r="B309" s="38">
        <v>601713.0</v>
      </c>
      <c r="C309" s="44" t="s">
        <v>537</v>
      </c>
      <c r="D309" s="38">
        <v>1278.0</v>
      </c>
      <c r="E309" s="39">
        <f>IFERROR(__xludf.DUMMYFUNCTION("sum(filter('PLA Sheet'!H:H,'PLA Sheet'!C:C=B309,'PLA Sheet'!D:D=C309))"),83.65976366000001)</f>
        <v>83.65976366</v>
      </c>
      <c r="F309" s="40">
        <v>5.223834518</v>
      </c>
      <c r="G309" s="40">
        <f>IFERROR(__xludf.DUMMYFUNCTION("sum(filter('PLA Sheet'!J:J,'PLA Sheet'!C:C=B309,'PLA Sheet'!D:D=C309))/E309*9"),2.5927592968292155)</f>
        <v>2.592759297</v>
      </c>
      <c r="H309" s="41">
        <v>0.524256651</v>
      </c>
      <c r="I309" s="41">
        <v>0.15571205</v>
      </c>
      <c r="J309" s="41">
        <v>0.320031299</v>
      </c>
      <c r="K309" s="41">
        <f t="shared" si="1"/>
        <v>0.204225352</v>
      </c>
      <c r="L309" s="42">
        <v>13.3347973</v>
      </c>
      <c r="M309" s="45">
        <f>('Cy Young Rank'!O$1-G309)*E309/9</f>
        <v>13.63877894</v>
      </c>
      <c r="N309" s="42"/>
      <c r="O309" s="66"/>
      <c r="P309" s="42"/>
      <c r="Q309" s="67"/>
      <c r="R309" s="67"/>
    </row>
    <row r="310">
      <c r="A310" s="1" t="s">
        <v>228</v>
      </c>
      <c r="B310" s="38">
        <v>687473.0</v>
      </c>
      <c r="C310" s="44" t="s">
        <v>537</v>
      </c>
      <c r="D310" s="38">
        <v>744.0</v>
      </c>
      <c r="E310" s="39">
        <f>IFERROR(__xludf.DUMMYFUNCTION("sum(filter('PLA Sheet'!H:H,'PLA Sheet'!C:C=B310,'PLA Sheet'!D:D=C310))"),44.42140152)</f>
        <v>44.42140152</v>
      </c>
      <c r="F310" s="40">
        <v>5.223112499</v>
      </c>
      <c r="G310" s="40">
        <f>IFERROR(__xludf.DUMMYFUNCTION("sum(filter('PLA Sheet'!J:J,'PLA Sheet'!C:C=B310,'PLA Sheet'!D:D=C310))/E310*9"),2.976639873473312)</f>
        <v>2.976639873</v>
      </c>
      <c r="H310" s="41">
        <v>0.559139785</v>
      </c>
      <c r="I310" s="41">
        <v>0.129032258</v>
      </c>
      <c r="J310" s="41">
        <v>0.311827957</v>
      </c>
      <c r="K310" s="41">
        <f t="shared" si="1"/>
        <v>0.247311828</v>
      </c>
      <c r="L310" s="42">
        <v>0.924747883</v>
      </c>
      <c r="M310" s="45">
        <f>('Cy Young Rank'!O$1-G310)*E310/9</f>
        <v>5.347152797</v>
      </c>
      <c r="N310" s="42"/>
      <c r="O310" s="66"/>
      <c r="P310" s="42"/>
      <c r="Q310" s="67"/>
      <c r="R310" s="67"/>
    </row>
    <row r="311">
      <c r="A311" s="1" t="s">
        <v>88</v>
      </c>
      <c r="B311" s="38">
        <v>694973.0</v>
      </c>
      <c r="C311" s="44" t="s">
        <v>537</v>
      </c>
      <c r="D311" s="38">
        <v>1152.0</v>
      </c>
      <c r="E311" s="39">
        <f>IFERROR(__xludf.DUMMYFUNCTION("sum(filter('PLA Sheet'!H:H,'PLA Sheet'!C:C=B311,'PLA Sheet'!D:D=C311))"),74.39039039000001)</f>
        <v>74.39039039</v>
      </c>
      <c r="F311" s="40">
        <v>5.223013302</v>
      </c>
      <c r="G311" s="40">
        <f>IFERROR(__xludf.DUMMYFUNCTION("sum(filter('PLA Sheet'!J:J,'PLA Sheet'!C:C=B311,'PLA Sheet'!D:D=C311))/E311*9"),2.7334344655803062)</f>
        <v>2.733434466</v>
      </c>
      <c r="H311" s="41">
        <v>0.516493056</v>
      </c>
      <c r="I311" s="41">
        <v>0.161458333</v>
      </c>
      <c r="J311" s="41">
        <v>0.322048611</v>
      </c>
      <c r="K311" s="41">
        <f t="shared" si="1"/>
        <v>0.194444445</v>
      </c>
      <c r="L311" s="42">
        <v>16.56586657</v>
      </c>
      <c r="M311" s="45">
        <f>('Cy Young Rank'!O$1-G311)*E311/9</f>
        <v>10.96485866</v>
      </c>
      <c r="N311" s="42"/>
      <c r="O311" s="66"/>
      <c r="P311" s="42"/>
      <c r="Q311" s="67"/>
      <c r="R311" s="67"/>
    </row>
    <row r="312">
      <c r="A312" s="1" t="s">
        <v>240</v>
      </c>
      <c r="B312" s="38">
        <v>641329.0</v>
      </c>
      <c r="C312" s="44" t="s">
        <v>533</v>
      </c>
      <c r="D312" s="38">
        <v>269.0</v>
      </c>
      <c r="E312" s="39">
        <f>IFERROR(__xludf.DUMMYFUNCTION("sum(filter('PLA Sheet'!H:H,'PLA Sheet'!C:C=B312,'PLA Sheet'!D:D=C312))"),17.088707236)</f>
        <v>17.08870724</v>
      </c>
      <c r="F312" s="40">
        <v>5.221626047</v>
      </c>
      <c r="G312" s="40">
        <f>IFERROR(__xludf.DUMMYFUNCTION("sum(filter('PLA Sheet'!J:J,'PLA Sheet'!C:C=B312,'PLA Sheet'!D:D=C312))/E312*9"),2.728715189278113)</f>
        <v>2.728715189</v>
      </c>
      <c r="H312" s="41">
        <v>0.494423792</v>
      </c>
      <c r="I312" s="41">
        <v>0.19330855</v>
      </c>
      <c r="J312" s="41">
        <v>0.312267658</v>
      </c>
      <c r="K312" s="41">
        <f t="shared" si="1"/>
        <v>0.182156134</v>
      </c>
      <c r="L312" s="42">
        <v>-3.096455505</v>
      </c>
      <c r="M312" s="45">
        <f>('Cy Young Rank'!O$1-G312)*E312/9</f>
        <v>2.527770709</v>
      </c>
      <c r="N312" s="42"/>
      <c r="O312" s="66"/>
      <c r="P312" s="42"/>
      <c r="Q312" s="67"/>
      <c r="R312" s="67"/>
    </row>
    <row r="313">
      <c r="A313" s="1" t="s">
        <v>295</v>
      </c>
      <c r="B313" s="38">
        <v>657585.0</v>
      </c>
      <c r="C313" s="44" t="s">
        <v>540</v>
      </c>
      <c r="D313" s="38">
        <v>271.0</v>
      </c>
      <c r="E313" s="39">
        <f>IFERROR(__xludf.DUMMYFUNCTION("sum(filter('PLA Sheet'!H:H,'PLA Sheet'!C:C=B313,'PLA Sheet'!D:D=C313))"),15.615541921999998)</f>
        <v>15.61554192</v>
      </c>
      <c r="F313" s="40">
        <v>5.221383132</v>
      </c>
      <c r="G313" s="40">
        <f>IFERROR(__xludf.DUMMYFUNCTION("sum(filter('PLA Sheet'!J:J,'PLA Sheet'!C:C=B313,'PLA Sheet'!D:D=C313))/E313*9"),3.0163028113447248)</f>
        <v>3.016302811</v>
      </c>
      <c r="H313" s="41">
        <v>0.535055351</v>
      </c>
      <c r="I313" s="41">
        <v>0.166051661</v>
      </c>
      <c r="J313" s="41">
        <v>0.298892989</v>
      </c>
      <c r="K313" s="41">
        <f t="shared" si="1"/>
        <v>0.236162362</v>
      </c>
      <c r="L313" s="42">
        <v>1.107056299</v>
      </c>
      <c r="M313" s="45">
        <f>('Cy Young Rank'!O$1-G313)*E313/9</f>
        <v>1.810877467</v>
      </c>
      <c r="N313" s="42"/>
      <c r="O313" s="66"/>
      <c r="P313" s="42"/>
      <c r="Q313" s="67"/>
      <c r="R313" s="67"/>
    </row>
    <row r="314">
      <c r="A314" s="1" t="s">
        <v>316</v>
      </c>
      <c r="B314" s="38">
        <v>656427.0</v>
      </c>
      <c r="C314" s="44" t="s">
        <v>533</v>
      </c>
      <c r="D314" s="38">
        <v>659.0</v>
      </c>
      <c r="E314" s="39">
        <f>IFERROR(__xludf.DUMMYFUNCTION("sum(filter('PLA Sheet'!H:H,'PLA Sheet'!C:C=B314,'PLA Sheet'!D:D=C314))"),38.059717320000004)</f>
        <v>38.05971732</v>
      </c>
      <c r="F314" s="40">
        <v>5.220385991</v>
      </c>
      <c r="G314" s="40">
        <f>IFERROR(__xludf.DUMMYFUNCTION("sum(filter('PLA Sheet'!J:J,'PLA Sheet'!C:C=B314,'PLA Sheet'!D:D=C314))/E314*9"),2.851611825896766)</f>
        <v>2.851611826</v>
      </c>
      <c r="H314" s="41">
        <v>0.481031866</v>
      </c>
      <c r="I314" s="41">
        <v>0.183611533</v>
      </c>
      <c r="J314" s="41">
        <v>0.335356601</v>
      </c>
      <c r="K314" s="41">
        <f t="shared" si="1"/>
        <v>0.145675265</v>
      </c>
      <c r="L314" s="42">
        <v>-2.748864844</v>
      </c>
      <c r="M314" s="45">
        <f>('Cy Young Rank'!O$1-G314)*E314/9</f>
        <v>5.110101369</v>
      </c>
      <c r="N314" s="42"/>
      <c r="O314" s="66"/>
      <c r="P314" s="42"/>
      <c r="Q314" s="67"/>
      <c r="R314" s="67"/>
    </row>
    <row r="315">
      <c r="A315" s="1" t="s">
        <v>238</v>
      </c>
      <c r="B315" s="38">
        <v>683769.0</v>
      </c>
      <c r="C315" s="44" t="s">
        <v>533</v>
      </c>
      <c r="D315" s="38">
        <v>546.0</v>
      </c>
      <c r="E315" s="39">
        <f>IFERROR(__xludf.DUMMYFUNCTION("sum(filter('PLA Sheet'!H:H,'PLA Sheet'!C:C=B315,'PLA Sheet'!D:D=C315))"),35.78010804)</f>
        <v>35.78010804</v>
      </c>
      <c r="F315" s="40">
        <v>5.217647529</v>
      </c>
      <c r="G315" s="40">
        <f>IFERROR(__xludf.DUMMYFUNCTION("sum(filter('PLA Sheet'!J:J,'PLA Sheet'!C:C=B315,'PLA Sheet'!D:D=C315))/E315*9"),2.6427637919452183)</f>
        <v>2.642763792</v>
      </c>
      <c r="H315" s="41">
        <v>0.446886447</v>
      </c>
      <c r="I315" s="41">
        <v>0.26007326</v>
      </c>
      <c r="J315" s="41">
        <v>0.293040293</v>
      </c>
      <c r="K315" s="41">
        <f t="shared" si="1"/>
        <v>0.153846154</v>
      </c>
      <c r="L315" s="42">
        <v>1.655163647</v>
      </c>
      <c r="M315" s="45">
        <f>('Cy Young Rank'!O$1-G315)*E315/9</f>
        <v>5.634318294</v>
      </c>
      <c r="N315" s="42"/>
      <c r="O315" s="66"/>
      <c r="P315" s="42"/>
      <c r="Q315" s="67"/>
      <c r="R315" s="67"/>
    </row>
    <row r="316">
      <c r="A316" s="1" t="s">
        <v>315</v>
      </c>
      <c r="B316" s="38">
        <v>680755.0</v>
      </c>
      <c r="C316" s="44" t="s">
        <v>533</v>
      </c>
      <c r="D316" s="38">
        <v>311.0</v>
      </c>
      <c r="E316" s="39">
        <f>IFERROR(__xludf.DUMMYFUNCTION("sum(filter('PLA Sheet'!H:H,'PLA Sheet'!C:C=B316,'PLA Sheet'!D:D=C316))"),19.124700241)</f>
        <v>19.12470024</v>
      </c>
      <c r="F316" s="40">
        <v>5.217322319</v>
      </c>
      <c r="G316" s="40">
        <f>IFERROR(__xludf.DUMMYFUNCTION("sum(filter('PLA Sheet'!J:J,'PLA Sheet'!C:C=B316,'PLA Sheet'!D:D=C316))/E316*9"),2.730664446600986)</f>
        <v>2.730664447</v>
      </c>
      <c r="H316" s="41">
        <v>0.491961415</v>
      </c>
      <c r="I316" s="41">
        <v>0.189710611</v>
      </c>
      <c r="J316" s="41">
        <v>0.318327974</v>
      </c>
      <c r="K316" s="41">
        <f t="shared" si="1"/>
        <v>0.173633441</v>
      </c>
      <c r="L316" s="42">
        <v>3.321597569</v>
      </c>
      <c r="M316" s="45">
        <f>('Cy Young Rank'!O$1-G316)*E316/9</f>
        <v>2.824793775</v>
      </c>
      <c r="N316" s="42"/>
      <c r="O316" s="66"/>
      <c r="P316" s="42"/>
      <c r="Q316" s="67"/>
      <c r="R316" s="67"/>
    </row>
    <row r="317">
      <c r="A317" s="1" t="s">
        <v>373</v>
      </c>
      <c r="B317" s="38">
        <v>640455.0</v>
      </c>
      <c r="C317" s="44" t="s">
        <v>539</v>
      </c>
      <c r="D317" s="38">
        <v>344.0</v>
      </c>
      <c r="E317" s="39">
        <f>IFERROR(__xludf.DUMMYFUNCTION("sum(filter('PLA Sheet'!H:H,'PLA Sheet'!C:C=B317,'PLA Sheet'!D:D=C317))"),20.296160879)</f>
        <v>20.29616088</v>
      </c>
      <c r="F317" s="40">
        <v>5.217258195</v>
      </c>
      <c r="G317" s="40">
        <f>IFERROR(__xludf.DUMMYFUNCTION("sum(filter('PLA Sheet'!J:J,'PLA Sheet'!C:C=B317,'PLA Sheet'!D:D=C317))/E317*9"),3.0107244598768044)</f>
        <v>3.01072446</v>
      </c>
      <c r="H317" s="41">
        <v>0.531976744</v>
      </c>
      <c r="I317" s="41">
        <v>0.162790698</v>
      </c>
      <c r="J317" s="41">
        <v>0.305232558</v>
      </c>
      <c r="K317" s="41">
        <f t="shared" si="1"/>
        <v>0.226744186</v>
      </c>
      <c r="L317" s="42">
        <v>1.177260256</v>
      </c>
      <c r="M317" s="45">
        <f>('Cy Young Rank'!O$1-G317)*E317/9</f>
        <v>2.366251685</v>
      </c>
      <c r="N317" s="42"/>
      <c r="O317" s="66"/>
      <c r="P317" s="42"/>
      <c r="Q317" s="67"/>
      <c r="R317" s="67"/>
    </row>
    <row r="318">
      <c r="A318" s="1" t="s">
        <v>180</v>
      </c>
      <c r="B318" s="38">
        <v>642547.0</v>
      </c>
      <c r="C318" s="44" t="s">
        <v>541</v>
      </c>
      <c r="D318" s="38">
        <v>476.0</v>
      </c>
      <c r="E318" s="39">
        <f>IFERROR(__xludf.DUMMYFUNCTION("sum(filter('PLA Sheet'!H:H,'PLA Sheet'!C:C=B318,'PLA Sheet'!D:D=C318))"),27.88870881)</f>
        <v>27.88870881</v>
      </c>
      <c r="F318" s="40">
        <v>5.217035613</v>
      </c>
      <c r="G318" s="40">
        <f>IFERROR(__xludf.DUMMYFUNCTION("sum(filter('PLA Sheet'!J:J,'PLA Sheet'!C:C=B318,'PLA Sheet'!D:D=C318))/E318*9"),2.8821383430694585)</f>
        <v>2.882138343</v>
      </c>
      <c r="H318" s="41">
        <v>0.478991597</v>
      </c>
      <c r="I318" s="41">
        <v>0.195378151</v>
      </c>
      <c r="J318" s="41">
        <v>0.325630252</v>
      </c>
      <c r="K318" s="41">
        <f t="shared" si="1"/>
        <v>0.153361345</v>
      </c>
      <c r="L318" s="42">
        <v>4.16573548</v>
      </c>
      <c r="M318" s="45">
        <f>('Cy Young Rank'!O$1-G318)*E318/9</f>
        <v>3.649893419</v>
      </c>
      <c r="N318" s="42"/>
      <c r="O318" s="66"/>
      <c r="P318" s="42"/>
      <c r="Q318" s="67"/>
      <c r="R318" s="67"/>
    </row>
    <row r="319">
      <c r="A319" s="1" t="s">
        <v>129</v>
      </c>
      <c r="B319" s="38">
        <v>686752.0</v>
      </c>
      <c r="C319" s="44" t="s">
        <v>533</v>
      </c>
      <c r="D319" s="38">
        <v>461.0</v>
      </c>
      <c r="E319" s="39">
        <f>IFERROR(__xludf.DUMMYFUNCTION("sum(filter('PLA Sheet'!H:H,'PLA Sheet'!C:C=B319,'PLA Sheet'!D:D=C319))"),29.259355319)</f>
        <v>29.25935532</v>
      </c>
      <c r="F319" s="40">
        <v>5.21679378</v>
      </c>
      <c r="G319" s="40">
        <f>IFERROR(__xludf.DUMMYFUNCTION("sum(filter('PLA Sheet'!J:J,'PLA Sheet'!C:C=B319,'PLA Sheet'!D:D=C319))/E319*9"),2.752783549803543)</f>
        <v>2.75278355</v>
      </c>
      <c r="H319" s="41">
        <v>0.496746204</v>
      </c>
      <c r="I319" s="41">
        <v>0.188720174</v>
      </c>
      <c r="J319" s="41">
        <v>0.314533623</v>
      </c>
      <c r="K319" s="41">
        <f t="shared" si="1"/>
        <v>0.182212581</v>
      </c>
      <c r="L319" s="42">
        <v>-1.210544358</v>
      </c>
      <c r="M319" s="45">
        <f>('Cy Young Rank'!O$1-G319)*E319/9</f>
        <v>4.249812288</v>
      </c>
      <c r="N319" s="42"/>
      <c r="O319" s="66"/>
      <c r="P319" s="42"/>
      <c r="Q319" s="67"/>
      <c r="R319" s="67"/>
    </row>
    <row r="320">
      <c r="A320" s="1" t="s">
        <v>301</v>
      </c>
      <c r="B320" s="38">
        <v>656557.0</v>
      </c>
      <c r="C320" s="44" t="s">
        <v>536</v>
      </c>
      <c r="D320" s="38">
        <v>292.0</v>
      </c>
      <c r="E320" s="39">
        <f>IFERROR(__xludf.DUMMYFUNCTION("sum(filter('PLA Sheet'!H:H,'PLA Sheet'!C:C=B320,'PLA Sheet'!D:D=C320))"),17.373386738)</f>
        <v>17.37338674</v>
      </c>
      <c r="F320" s="40">
        <v>5.215591531</v>
      </c>
      <c r="G320" s="40">
        <f>IFERROR(__xludf.DUMMYFUNCTION("sum(filter('PLA Sheet'!J:J,'PLA Sheet'!C:C=B320,'PLA Sheet'!D:D=C320))/E320*9"),2.7819037087505603)</f>
        <v>2.781903709</v>
      </c>
      <c r="H320" s="41">
        <v>0.51369863</v>
      </c>
      <c r="I320" s="41">
        <v>0.154109589</v>
      </c>
      <c r="J320" s="41">
        <v>0.332191781</v>
      </c>
      <c r="K320" s="41">
        <f t="shared" si="1"/>
        <v>0.181506849</v>
      </c>
      <c r="L320" s="42">
        <v>-0.386550314</v>
      </c>
      <c r="M320" s="45">
        <f>('Cy Young Rank'!O$1-G320)*E320/9</f>
        <v>2.467206795</v>
      </c>
      <c r="N320" s="42"/>
      <c r="O320" s="66"/>
      <c r="P320" s="42"/>
      <c r="Q320" s="67"/>
      <c r="R320" s="67"/>
    </row>
    <row r="321">
      <c r="A321" s="1" t="s">
        <v>115</v>
      </c>
      <c r="B321" s="38">
        <v>543135.0</v>
      </c>
      <c r="C321" s="44" t="s">
        <v>537</v>
      </c>
      <c r="D321" s="38">
        <v>421.0</v>
      </c>
      <c r="E321" s="39">
        <f>IFERROR(__xludf.DUMMYFUNCTION("sum(filter('PLA Sheet'!H:H,'PLA Sheet'!C:C=B321,'PLA Sheet'!D:D=C321))"),29.81713688)</f>
        <v>29.81713688</v>
      </c>
      <c r="F321" s="40">
        <v>5.215095081</v>
      </c>
      <c r="G321" s="40">
        <f>IFERROR(__xludf.DUMMYFUNCTION("sum(filter('PLA Sheet'!J:J,'PLA Sheet'!C:C=B321,'PLA Sheet'!D:D=C321))/E321*9"),2.7864958105930655)</f>
        <v>2.786495811</v>
      </c>
      <c r="H321" s="41">
        <v>0.524940618</v>
      </c>
      <c r="I321" s="41">
        <v>0.137767221</v>
      </c>
      <c r="J321" s="41">
        <v>0.337292162</v>
      </c>
      <c r="K321" s="41">
        <f t="shared" si="1"/>
        <v>0.187648456</v>
      </c>
      <c r="L321" s="42">
        <v>-1.341216289</v>
      </c>
      <c r="M321" s="45">
        <f>('Cy Young Rank'!O$1-G321)*E321/9</f>
        <v>4.219138748</v>
      </c>
      <c r="N321" s="42"/>
      <c r="O321" s="66"/>
      <c r="P321" s="42"/>
      <c r="Q321" s="67"/>
      <c r="R321" s="67"/>
    </row>
    <row r="322">
      <c r="A322" s="1" t="s">
        <v>329</v>
      </c>
      <c r="B322" s="38">
        <v>669160.0</v>
      </c>
      <c r="C322" s="44" t="s">
        <v>539</v>
      </c>
      <c r="D322" s="38">
        <v>834.0</v>
      </c>
      <c r="E322" s="39">
        <f>IFERROR(__xludf.DUMMYFUNCTION("sum(filter('PLA Sheet'!H:H,'PLA Sheet'!C:C=B322,'PLA Sheet'!D:D=C322))"),52.04256954)</f>
        <v>52.04256954</v>
      </c>
      <c r="F322" s="40">
        <v>5.214166559</v>
      </c>
      <c r="G322" s="40">
        <f>IFERROR(__xludf.DUMMYFUNCTION("sum(filter('PLA Sheet'!J:J,'PLA Sheet'!C:C=B322,'PLA Sheet'!D:D=C322))/E322*9"),2.65459602054845)</f>
        <v>2.654596021</v>
      </c>
      <c r="H322" s="41">
        <v>0.514388489</v>
      </c>
      <c r="I322" s="41">
        <v>0.143884892</v>
      </c>
      <c r="J322" s="41">
        <v>0.341726619</v>
      </c>
      <c r="K322" s="41">
        <f t="shared" si="1"/>
        <v>0.17266187</v>
      </c>
      <c r="L322" s="42">
        <v>-11.84155564</v>
      </c>
      <c r="M322" s="45">
        <f>('Cy Young Rank'!O$1-G322)*E322/9</f>
        <v>8.12675937</v>
      </c>
      <c r="N322" s="42"/>
      <c r="O322" s="66"/>
      <c r="P322" s="42"/>
      <c r="Q322" s="67"/>
      <c r="R322" s="67"/>
    </row>
    <row r="323">
      <c r="A323" s="1" t="s">
        <v>177</v>
      </c>
      <c r="B323" s="38">
        <v>641793.0</v>
      </c>
      <c r="C323" s="44" t="s">
        <v>538</v>
      </c>
      <c r="D323" s="38">
        <v>730.0</v>
      </c>
      <c r="E323" s="39">
        <f>IFERROR(__xludf.DUMMYFUNCTION("sum(filter('PLA Sheet'!H:H,'PLA Sheet'!C:C=B323,'PLA Sheet'!D:D=C323))"),51.006582879999996)</f>
        <v>51.00658288</v>
      </c>
      <c r="F323" s="40">
        <v>5.213423373</v>
      </c>
      <c r="G323" s="40">
        <f>IFERROR(__xludf.DUMMYFUNCTION("sum(filter('PLA Sheet'!J:J,'PLA Sheet'!C:C=B323,'PLA Sheet'!D:D=C323))/E323*9"),2.4505613970272697)</f>
        <v>2.450561397</v>
      </c>
      <c r="H323" s="41">
        <v>0.47260274</v>
      </c>
      <c r="I323" s="41">
        <v>0.201369863</v>
      </c>
      <c r="J323" s="41">
        <v>0.326027397</v>
      </c>
      <c r="K323" s="41">
        <f t="shared" si="1"/>
        <v>0.146575343</v>
      </c>
      <c r="L323" s="42">
        <v>-3.076872168</v>
      </c>
      <c r="M323" s="45">
        <f>('Cy Young Rank'!O$1-G323)*E323/9</f>
        <v>9.121329277</v>
      </c>
      <c r="N323" s="42"/>
      <c r="O323" s="66"/>
      <c r="P323" s="42"/>
      <c r="Q323" s="67"/>
      <c r="R323" s="67"/>
    </row>
    <row r="324">
      <c r="A324" s="1" t="s">
        <v>141</v>
      </c>
      <c r="B324" s="38">
        <v>670036.0</v>
      </c>
      <c r="C324" s="44" t="s">
        <v>539</v>
      </c>
      <c r="D324" s="38">
        <v>303.0</v>
      </c>
      <c r="E324" s="39">
        <f>IFERROR(__xludf.DUMMYFUNCTION("sum(filter('PLA Sheet'!H:H,'PLA Sheet'!C:C=B324,'PLA Sheet'!D:D=C324))"),20.83496732)</f>
        <v>20.83496732</v>
      </c>
      <c r="F324" s="40">
        <v>5.213401872</v>
      </c>
      <c r="G324" s="40">
        <f>IFERROR(__xludf.DUMMYFUNCTION("sum(filter('PLA Sheet'!J:J,'PLA Sheet'!C:C=B324,'PLA Sheet'!D:D=C324))/E324*9"),2.4097761339805164)</f>
        <v>2.409776134</v>
      </c>
      <c r="H324" s="41">
        <v>0.524752475</v>
      </c>
      <c r="I324" s="41">
        <v>0.161716172</v>
      </c>
      <c r="J324" s="41">
        <v>0.313531353</v>
      </c>
      <c r="K324" s="41">
        <f t="shared" si="1"/>
        <v>0.211221122</v>
      </c>
      <c r="L324" s="42">
        <v>3.354694571</v>
      </c>
      <c r="M324" s="45">
        <f>('Cy Young Rank'!O$1-G324)*E324/9</f>
        <v>3.820262258</v>
      </c>
      <c r="N324" s="42"/>
      <c r="O324" s="66"/>
      <c r="P324" s="42"/>
      <c r="Q324" s="67"/>
      <c r="R324" s="67"/>
    </row>
    <row r="325">
      <c r="A325" s="1" t="s">
        <v>311</v>
      </c>
      <c r="B325" s="38">
        <v>656546.0</v>
      </c>
      <c r="C325" s="44" t="s">
        <v>537</v>
      </c>
      <c r="D325" s="38">
        <v>427.0</v>
      </c>
      <c r="E325" s="39">
        <f>IFERROR(__xludf.DUMMYFUNCTION("sum(filter('PLA Sheet'!H:H,'PLA Sheet'!C:C=B325,'PLA Sheet'!D:D=C325))"),26.58510638)</f>
        <v>26.58510638</v>
      </c>
      <c r="F325" s="40">
        <v>5.212647695</v>
      </c>
      <c r="G325" s="40">
        <f>IFERROR(__xludf.DUMMYFUNCTION("sum(filter('PLA Sheet'!J:J,'PLA Sheet'!C:C=B325,'PLA Sheet'!D:D=C325))/E325*9"),2.9519688910870556)</f>
        <v>2.951968891</v>
      </c>
      <c r="H325" s="41">
        <v>0.590163934</v>
      </c>
      <c r="I325" s="41">
        <v>0.128805621</v>
      </c>
      <c r="J325" s="41">
        <v>0.281030445</v>
      </c>
      <c r="K325" s="41">
        <f t="shared" si="1"/>
        <v>0.309133489</v>
      </c>
      <c r="L325" s="42">
        <v>-2.512612795</v>
      </c>
      <c r="M325" s="45">
        <f>('Cy Young Rank'!O$1-G325)*E325/9</f>
        <v>3.273013878</v>
      </c>
      <c r="N325" s="42"/>
      <c r="O325" s="66"/>
      <c r="P325" s="42"/>
      <c r="Q325" s="67"/>
      <c r="R325" s="67"/>
    </row>
    <row r="326">
      <c r="A326" s="1" t="s">
        <v>230</v>
      </c>
      <c r="B326" s="38">
        <v>458677.0</v>
      </c>
      <c r="C326" s="44" t="s">
        <v>537</v>
      </c>
      <c r="D326" s="38">
        <v>371.0</v>
      </c>
      <c r="E326" s="39">
        <f>IFERROR(__xludf.DUMMYFUNCTION("sum(filter('PLA Sheet'!H:H,'PLA Sheet'!C:C=B326,'PLA Sheet'!D:D=C326))"),22.626633990000002)</f>
        <v>22.62663399</v>
      </c>
      <c r="F326" s="40">
        <v>5.212426608</v>
      </c>
      <c r="G326" s="40">
        <f>IFERROR(__xludf.DUMMYFUNCTION("sum(filter('PLA Sheet'!J:J,'PLA Sheet'!C:C=B326,'PLA Sheet'!D:D=C326))/E326*9"),2.9736306792135454)</f>
        <v>2.973630679</v>
      </c>
      <c r="H326" s="41">
        <v>0.557951482</v>
      </c>
      <c r="I326" s="41">
        <v>0.134770889</v>
      </c>
      <c r="J326" s="41">
        <v>0.307277628</v>
      </c>
      <c r="K326" s="41">
        <f t="shared" si="1"/>
        <v>0.250673854</v>
      </c>
      <c r="L326" s="42">
        <v>3.209538366</v>
      </c>
      <c r="M326" s="45">
        <f>('Cy Young Rank'!O$1-G326)*E326/9</f>
        <v>2.731209</v>
      </c>
      <c r="N326" s="42"/>
      <c r="O326" s="66"/>
      <c r="P326" s="42"/>
      <c r="Q326" s="67"/>
      <c r="R326" s="67"/>
    </row>
    <row r="327">
      <c r="A327" s="1" t="s">
        <v>263</v>
      </c>
      <c r="B327" s="38">
        <v>694297.0</v>
      </c>
      <c r="C327" s="44" t="s">
        <v>539</v>
      </c>
      <c r="D327" s="38">
        <v>523.0</v>
      </c>
      <c r="E327" s="39">
        <f>IFERROR(__xludf.DUMMYFUNCTION("sum(filter('PLA Sheet'!H:H,'PLA Sheet'!C:C=B327,'PLA Sheet'!D:D=C327))"),32.935800774)</f>
        <v>32.93580077</v>
      </c>
      <c r="F327" s="40">
        <v>5.21179101</v>
      </c>
      <c r="G327" s="40">
        <f>IFERROR(__xludf.DUMMYFUNCTION("sum(filter('PLA Sheet'!J:J,'PLA Sheet'!C:C=B327,'PLA Sheet'!D:D=C327))/E327*9"),2.672925446813367)</f>
        <v>2.672925447</v>
      </c>
      <c r="H327" s="41">
        <v>0.493307839</v>
      </c>
      <c r="I327" s="41">
        <v>0.177820268</v>
      </c>
      <c r="J327" s="41">
        <v>0.328871893</v>
      </c>
      <c r="K327" s="41">
        <f t="shared" si="1"/>
        <v>0.164435946</v>
      </c>
      <c r="L327" s="42">
        <v>-11.83094809</v>
      </c>
      <c r="M327" s="45">
        <f>('Cy Young Rank'!O$1-G327)*E327/9</f>
        <v>5.076045682</v>
      </c>
      <c r="N327" s="42"/>
      <c r="O327" s="66"/>
      <c r="P327" s="42"/>
      <c r="Q327" s="67"/>
      <c r="R327" s="67"/>
    </row>
    <row r="328">
      <c r="A328" s="1" t="s">
        <v>123</v>
      </c>
      <c r="B328" s="38">
        <v>678692.0</v>
      </c>
      <c r="C328" s="44" t="s">
        <v>539</v>
      </c>
      <c r="D328" s="38">
        <v>325.0</v>
      </c>
      <c r="E328" s="39">
        <f>IFERROR(__xludf.DUMMYFUNCTION("sum(filter('PLA Sheet'!H:H,'PLA Sheet'!C:C=B328,'PLA Sheet'!D:D=C328))"),20.884183233999998)</f>
        <v>20.88418323</v>
      </c>
      <c r="F328" s="40">
        <v>5.211287073</v>
      </c>
      <c r="G328" s="40">
        <f>IFERROR(__xludf.DUMMYFUNCTION("sum(filter('PLA Sheet'!J:J,'PLA Sheet'!C:C=B328,'PLA Sheet'!D:D=C328))/E328*9"),2.5968012917885512)</f>
        <v>2.596801292</v>
      </c>
      <c r="H328" s="41">
        <v>0.458461538</v>
      </c>
      <c r="I328" s="41">
        <v>0.196923077</v>
      </c>
      <c r="J328" s="41">
        <v>0.344615385</v>
      </c>
      <c r="K328" s="41">
        <f t="shared" si="1"/>
        <v>0.113846153</v>
      </c>
      <c r="L328" s="42">
        <v>-2.204741008</v>
      </c>
      <c r="M328" s="45">
        <f>('Cy Young Rank'!O$1-G328)*E328/9</f>
        <v>3.395301103</v>
      </c>
      <c r="N328" s="42"/>
      <c r="O328" s="66"/>
      <c r="P328" s="42"/>
      <c r="Q328" s="67"/>
      <c r="R328" s="67"/>
    </row>
    <row r="329">
      <c r="A329" s="1" t="s">
        <v>334</v>
      </c>
      <c r="B329" s="38">
        <v>682254.0</v>
      </c>
      <c r="C329" s="44" t="s">
        <v>537</v>
      </c>
      <c r="D329" s="38">
        <v>552.0</v>
      </c>
      <c r="E329" s="39">
        <f>IFERROR(__xludf.DUMMYFUNCTION("sum(filter('PLA Sheet'!H:H,'PLA Sheet'!C:C=B329,'PLA Sheet'!D:D=C329))"),30.45221445)</f>
        <v>30.45221445</v>
      </c>
      <c r="F329" s="40">
        <v>5.210712433</v>
      </c>
      <c r="G329" s="40">
        <f>IFERROR(__xludf.DUMMYFUNCTION("sum(filter('PLA Sheet'!J:J,'PLA Sheet'!C:C=B329,'PLA Sheet'!D:D=C329))/E329*9"),3.3182244977918183)</f>
        <v>3.318224498</v>
      </c>
      <c r="H329" s="41">
        <v>0.576086957</v>
      </c>
      <c r="I329" s="41">
        <v>0.108695652</v>
      </c>
      <c r="J329" s="41">
        <v>0.315217391</v>
      </c>
      <c r="K329" s="41">
        <f t="shared" si="1"/>
        <v>0.260869566</v>
      </c>
      <c r="L329" s="42">
        <v>-11.37850104</v>
      </c>
      <c r="M329" s="45">
        <f>('Cy Young Rank'!O$1-G329)*E329/9</f>
        <v>2.509856296</v>
      </c>
      <c r="N329" s="42"/>
      <c r="O329" s="66"/>
      <c r="P329" s="42"/>
      <c r="Q329" s="67"/>
      <c r="R329" s="67"/>
    </row>
    <row r="330">
      <c r="A330" s="1" t="s">
        <v>416</v>
      </c>
      <c r="B330" s="38">
        <v>608337.0</v>
      </c>
      <c r="C330" s="44" t="s">
        <v>532</v>
      </c>
      <c r="D330" s="38">
        <v>516.0</v>
      </c>
      <c r="E330" s="39">
        <f>IFERROR(__xludf.DUMMYFUNCTION("sum(filter('PLA Sheet'!H:H,'PLA Sheet'!C:C=B330,'PLA Sheet'!D:D=C330))"),32.67864693)</f>
        <v>32.67864693</v>
      </c>
      <c r="F330" s="40">
        <v>5.209938376</v>
      </c>
      <c r="G330" s="40">
        <f>IFERROR(__xludf.DUMMYFUNCTION("sum(filter('PLA Sheet'!J:J,'PLA Sheet'!C:C=B330,'PLA Sheet'!D:D=C330))/E330*9"),2.664514604491307)</f>
        <v>2.664514604</v>
      </c>
      <c r="H330" s="41">
        <v>0.521317829</v>
      </c>
      <c r="I330" s="41">
        <v>0.13372093</v>
      </c>
      <c r="J330" s="41">
        <v>0.34496124</v>
      </c>
      <c r="K330" s="41">
        <f t="shared" si="1"/>
        <v>0.176356589</v>
      </c>
      <c r="L330" s="42">
        <v>4.6481834</v>
      </c>
      <c r="M330" s="45">
        <f>('Cy Young Rank'!O$1-G330)*E330/9</f>
        <v>5.066952726</v>
      </c>
      <c r="N330" s="42"/>
      <c r="O330" s="66"/>
      <c r="P330" s="42"/>
      <c r="Q330" s="67"/>
      <c r="R330" s="67"/>
    </row>
    <row r="331">
      <c r="A331" s="1" t="s">
        <v>231</v>
      </c>
      <c r="B331" s="38">
        <v>669211.0</v>
      </c>
      <c r="C331" s="44" t="s">
        <v>533</v>
      </c>
      <c r="D331" s="38">
        <v>292.0</v>
      </c>
      <c r="E331" s="39">
        <f>IFERROR(__xludf.DUMMYFUNCTION("sum(filter('PLA Sheet'!H:H,'PLA Sheet'!C:C=B331,'PLA Sheet'!D:D=C331))"),18.197857590999998)</f>
        <v>18.19785759</v>
      </c>
      <c r="F331" s="40">
        <v>5.209728384</v>
      </c>
      <c r="G331" s="40">
        <f>IFERROR(__xludf.DUMMYFUNCTION("sum(filter('PLA Sheet'!J:J,'PLA Sheet'!C:C=B331,'PLA Sheet'!D:D=C331))/E331*9"),2.821911796111494)</f>
        <v>2.821911796</v>
      </c>
      <c r="H331" s="41">
        <v>0.503424658</v>
      </c>
      <c r="I331" s="41">
        <v>0.191780822</v>
      </c>
      <c r="J331" s="41">
        <v>0.304794521</v>
      </c>
      <c r="K331" s="41">
        <f t="shared" si="1"/>
        <v>0.198630137</v>
      </c>
      <c r="L331" s="42">
        <v>0.207502379</v>
      </c>
      <c r="M331" s="45">
        <f>('Cy Young Rank'!O$1-G331)*E331/9</f>
        <v>2.503394758</v>
      </c>
      <c r="N331" s="42"/>
      <c r="O331" s="66"/>
      <c r="P331" s="42"/>
      <c r="Q331" s="67"/>
      <c r="R331" s="67"/>
    </row>
    <row r="332">
      <c r="A332" s="1" t="s">
        <v>161</v>
      </c>
      <c r="B332" s="38">
        <v>702070.0</v>
      </c>
      <c r="C332" s="44" t="s">
        <v>541</v>
      </c>
      <c r="D332" s="38">
        <v>405.0</v>
      </c>
      <c r="E332" s="39">
        <f>IFERROR(__xludf.DUMMYFUNCTION("sum(filter('PLA Sheet'!H:H,'PLA Sheet'!C:C=B332,'PLA Sheet'!D:D=C332))"),26.732932655)</f>
        <v>26.73293266</v>
      </c>
      <c r="F332" s="40">
        <v>5.208570631</v>
      </c>
      <c r="G332" s="40">
        <f>IFERROR(__xludf.DUMMYFUNCTION("sum(filter('PLA Sheet'!J:J,'PLA Sheet'!C:C=B332,'PLA Sheet'!D:D=C332))/E332*9"),2.641486286271423)</f>
        <v>2.641486286</v>
      </c>
      <c r="H332" s="41">
        <v>0.474074074</v>
      </c>
      <c r="I332" s="41">
        <v>0.207407407</v>
      </c>
      <c r="J332" s="41">
        <v>0.318518519</v>
      </c>
      <c r="K332" s="41">
        <f t="shared" si="1"/>
        <v>0.155555555</v>
      </c>
      <c r="L332" s="42">
        <v>5.576530653</v>
      </c>
      <c r="M332" s="45">
        <f>('Cy Young Rank'!O$1-G332)*E332/9</f>
        <v>4.213447953</v>
      </c>
      <c r="N332" s="42"/>
      <c r="O332" s="66"/>
      <c r="P332" s="42"/>
      <c r="Q332" s="67"/>
      <c r="R332" s="67"/>
    </row>
    <row r="333">
      <c r="A333" s="1" t="s">
        <v>256</v>
      </c>
      <c r="B333" s="38">
        <v>571760.0</v>
      </c>
      <c r="C333" s="44" t="s">
        <v>537</v>
      </c>
      <c r="D333" s="38">
        <v>871.0</v>
      </c>
      <c r="E333" s="39">
        <f>IFERROR(__xludf.DUMMYFUNCTION("sum(filter('PLA Sheet'!H:H,'PLA Sheet'!C:C=B333,'PLA Sheet'!D:D=C333))"),53.293147610000005)</f>
        <v>53.29314761</v>
      </c>
      <c r="F333" s="40">
        <v>5.207674193</v>
      </c>
      <c r="G333" s="40">
        <f>IFERROR(__xludf.DUMMYFUNCTION("sum(filter('PLA Sheet'!J:J,'PLA Sheet'!C:C=B333,'PLA Sheet'!D:D=C333))/E333*9"),3.084552524519202)</f>
        <v>3.084552525</v>
      </c>
      <c r="H333" s="41">
        <v>0.563719862</v>
      </c>
      <c r="I333" s="41">
        <v>0.115958668</v>
      </c>
      <c r="J333" s="41">
        <v>0.32032147</v>
      </c>
      <c r="K333" s="41">
        <f t="shared" si="1"/>
        <v>0.243398392</v>
      </c>
      <c r="L333" s="42">
        <v>-9.565767136</v>
      </c>
      <c r="M333" s="45">
        <f>('Cy Young Rank'!O$1-G333)*E333/9</f>
        <v>5.776074033</v>
      </c>
      <c r="N333" s="42"/>
      <c r="O333" s="66"/>
      <c r="P333" s="42"/>
      <c r="Q333" s="67"/>
      <c r="R333" s="67"/>
    </row>
    <row r="334">
      <c r="A334" s="1" t="s">
        <v>386</v>
      </c>
      <c r="B334" s="38">
        <v>656731.0</v>
      </c>
      <c r="C334" s="44" t="s">
        <v>537</v>
      </c>
      <c r="D334" s="38">
        <v>507.0</v>
      </c>
      <c r="E334" s="39">
        <f>IFERROR(__xludf.DUMMYFUNCTION("sum(filter('PLA Sheet'!H:H,'PLA Sheet'!C:C=B334,'PLA Sheet'!D:D=C334))"),28.85062129)</f>
        <v>28.85062129</v>
      </c>
      <c r="F334" s="40">
        <v>5.205726739</v>
      </c>
      <c r="G334" s="40">
        <f>IFERROR(__xludf.DUMMYFUNCTION("sum(filter('PLA Sheet'!J:J,'PLA Sheet'!C:C=B334,'PLA Sheet'!D:D=C334))/E334*9"),3.1395884715798434)</f>
        <v>3.139588472</v>
      </c>
      <c r="H334" s="41">
        <v>0.548323471</v>
      </c>
      <c r="I334" s="41">
        <v>0.138067061</v>
      </c>
      <c r="J334" s="41">
        <v>0.313609467</v>
      </c>
      <c r="K334" s="41">
        <f t="shared" si="1"/>
        <v>0.234714004</v>
      </c>
      <c r="L334" s="42">
        <v>1.794623137</v>
      </c>
      <c r="M334" s="45">
        <f>('Cy Young Rank'!O$1-G334)*E334/9</f>
        <v>2.950493826</v>
      </c>
      <c r="N334" s="42"/>
      <c r="O334" s="66"/>
      <c r="P334" s="42"/>
      <c r="Q334" s="67"/>
      <c r="R334" s="67"/>
    </row>
    <row r="335">
      <c r="A335" s="1" t="s">
        <v>116</v>
      </c>
      <c r="B335" s="38">
        <v>621051.0</v>
      </c>
      <c r="C335" s="44" t="s">
        <v>537</v>
      </c>
      <c r="D335" s="38">
        <v>317.0</v>
      </c>
      <c r="E335" s="39">
        <f>IFERROR(__xludf.DUMMYFUNCTION("sum(filter('PLA Sheet'!H:H,'PLA Sheet'!C:C=B335,'PLA Sheet'!D:D=C335))"),18.520191649)</f>
        <v>18.52019165</v>
      </c>
      <c r="F335" s="40">
        <v>5.205546264</v>
      </c>
      <c r="G335" s="40">
        <f>IFERROR(__xludf.DUMMYFUNCTION("sum(filter('PLA Sheet'!J:J,'PLA Sheet'!C:C=B335,'PLA Sheet'!D:D=C335))/E335*9"),3.072763558743884)</f>
        <v>3.072763559</v>
      </c>
      <c r="H335" s="41">
        <v>0.523659306</v>
      </c>
      <c r="I335" s="41">
        <v>0.135646688</v>
      </c>
      <c r="J335" s="41">
        <v>0.340694006</v>
      </c>
      <c r="K335" s="41">
        <f t="shared" si="1"/>
        <v>0.1829653</v>
      </c>
      <c r="L335" s="42">
        <v>1.912171048</v>
      </c>
      <c r="M335" s="45">
        <f>('Cy Young Rank'!O$1-G335)*E335/9</f>
        <v>2.031534233</v>
      </c>
      <c r="N335" s="42"/>
      <c r="O335" s="66"/>
      <c r="P335" s="42"/>
      <c r="Q335" s="67"/>
      <c r="R335" s="67"/>
    </row>
    <row r="336">
      <c r="A336" s="1" t="s">
        <v>200</v>
      </c>
      <c r="B336" s="38">
        <v>676879.0</v>
      </c>
      <c r="C336" s="44" t="s">
        <v>536</v>
      </c>
      <c r="D336" s="38">
        <v>504.0</v>
      </c>
      <c r="E336" s="39">
        <f>IFERROR(__xludf.DUMMYFUNCTION("sum(filter('PLA Sheet'!H:H,'PLA Sheet'!C:C=B336,'PLA Sheet'!D:D=C336))"),33.78552972)</f>
        <v>33.78552972</v>
      </c>
      <c r="F336" s="40">
        <v>5.204711098</v>
      </c>
      <c r="G336" s="40">
        <f>IFERROR(__xludf.DUMMYFUNCTION("sum(filter('PLA Sheet'!J:J,'PLA Sheet'!C:C=B336,'PLA Sheet'!D:D=C336))/E336*9"),2.724076276522563)</f>
        <v>2.724076277</v>
      </c>
      <c r="H336" s="41">
        <v>0.51984127</v>
      </c>
      <c r="I336" s="41">
        <v>0.142857143</v>
      </c>
      <c r="J336" s="41">
        <v>0.337301587</v>
      </c>
      <c r="K336" s="41">
        <f t="shared" si="1"/>
        <v>0.182539683</v>
      </c>
      <c r="L336" s="42">
        <v>9.307043515</v>
      </c>
      <c r="M336" s="45">
        <f>('Cy Young Rank'!O$1-G336)*E336/9</f>
        <v>5.014987851</v>
      </c>
      <c r="N336" s="42"/>
      <c r="O336" s="66"/>
      <c r="P336" s="42"/>
      <c r="Q336" s="67"/>
      <c r="R336" s="67"/>
    </row>
    <row r="337">
      <c r="A337" s="1" t="s">
        <v>99</v>
      </c>
      <c r="B337" s="38">
        <v>592791.0</v>
      </c>
      <c r="C337" s="44" t="s">
        <v>539</v>
      </c>
      <c r="D337" s="38">
        <v>295.0</v>
      </c>
      <c r="E337" s="39">
        <f>IFERROR(__xludf.DUMMYFUNCTION("sum(filter('PLA Sheet'!H:H,'PLA Sheet'!C:C=B337,'PLA Sheet'!D:D=C337))"),19.590870810000002)</f>
        <v>19.59087081</v>
      </c>
      <c r="F337" s="40">
        <v>5.20385652</v>
      </c>
      <c r="G337" s="40">
        <f>IFERROR(__xludf.DUMMYFUNCTION("sum(filter('PLA Sheet'!J:J,'PLA Sheet'!C:C=B337,'PLA Sheet'!D:D=C337))/E337*9"),2.4783680863852315)</f>
        <v>2.478368086</v>
      </c>
      <c r="H337" s="41">
        <v>0.481355932</v>
      </c>
      <c r="I337" s="41">
        <v>0.244067797</v>
      </c>
      <c r="J337" s="41">
        <v>0.274576271</v>
      </c>
      <c r="K337" s="41">
        <f t="shared" si="1"/>
        <v>0.206779661</v>
      </c>
      <c r="L337" s="42">
        <v>-5.810221689</v>
      </c>
      <c r="M337" s="45">
        <f>('Cy Young Rank'!O$1-G337)*E337/9</f>
        <v>3.442838499</v>
      </c>
      <c r="N337" s="42"/>
      <c r="O337" s="66"/>
      <c r="P337" s="42"/>
      <c r="Q337" s="67"/>
      <c r="R337" s="67"/>
    </row>
    <row r="338">
      <c r="A338" s="1" t="s">
        <v>374</v>
      </c>
      <c r="B338" s="38">
        <v>683004.0</v>
      </c>
      <c r="C338" s="44" t="s">
        <v>533</v>
      </c>
      <c r="D338" s="38">
        <v>591.0</v>
      </c>
      <c r="E338" s="39">
        <f>IFERROR(__xludf.DUMMYFUNCTION("sum(filter('PLA Sheet'!H:H,'PLA Sheet'!C:C=B338,'PLA Sheet'!D:D=C338))"),35.45149639)</f>
        <v>35.45149639</v>
      </c>
      <c r="F338" s="40">
        <v>5.203485651</v>
      </c>
      <c r="G338" s="40">
        <f>IFERROR(__xludf.DUMMYFUNCTION("sum(filter('PLA Sheet'!J:J,'PLA Sheet'!C:C=B338,'PLA Sheet'!D:D=C338))/E338*9"),2.929333443574848)</f>
        <v>2.929333444</v>
      </c>
      <c r="H338" s="41">
        <v>0.499153976</v>
      </c>
      <c r="I338" s="41">
        <v>0.191201354</v>
      </c>
      <c r="J338" s="41">
        <v>0.30964467</v>
      </c>
      <c r="K338" s="41">
        <f t="shared" si="1"/>
        <v>0.189509306</v>
      </c>
      <c r="L338" s="42">
        <v>0.590551881</v>
      </c>
      <c r="M338" s="45">
        <f>('Cy Young Rank'!O$1-G338)*E338/9</f>
        <v>4.453757927</v>
      </c>
      <c r="N338" s="42"/>
      <c r="O338" s="66"/>
      <c r="P338" s="42"/>
      <c r="Q338" s="67"/>
      <c r="R338" s="67"/>
    </row>
    <row r="339">
      <c r="A339" s="1" t="s">
        <v>190</v>
      </c>
      <c r="B339" s="38">
        <v>664208.0</v>
      </c>
      <c r="C339" s="44" t="s">
        <v>541</v>
      </c>
      <c r="D339" s="38">
        <v>372.0</v>
      </c>
      <c r="E339" s="39">
        <f>IFERROR(__xludf.DUMMYFUNCTION("sum(filter('PLA Sheet'!H:H,'PLA Sheet'!C:C=B339,'PLA Sheet'!D:D=C339))"),23.425925923999998)</f>
        <v>23.42592592</v>
      </c>
      <c r="F339" s="40">
        <v>5.203370685</v>
      </c>
      <c r="G339" s="40">
        <f>IFERROR(__xludf.DUMMYFUNCTION("sum(filter('PLA Sheet'!J:J,'PLA Sheet'!C:C=B339,'PLA Sheet'!D:D=C339))/E339*9"),2.6173286041677493)</f>
        <v>2.617328604</v>
      </c>
      <c r="H339" s="41">
        <v>0.529569892</v>
      </c>
      <c r="I339" s="41">
        <v>0.182795699</v>
      </c>
      <c r="J339" s="41">
        <v>0.287634409</v>
      </c>
      <c r="K339" s="41">
        <f t="shared" si="1"/>
        <v>0.241935483</v>
      </c>
      <c r="L339" s="42">
        <v>6.955260665</v>
      </c>
      <c r="M339" s="45">
        <f>('Cy Young Rank'!O$1-G339)*E339/9</f>
        <v>3.755101472</v>
      </c>
      <c r="N339" s="42"/>
      <c r="O339" s="66"/>
      <c r="P339" s="42"/>
      <c r="Q339" s="67"/>
      <c r="R339" s="67"/>
    </row>
    <row r="340">
      <c r="A340" s="1" t="s">
        <v>399</v>
      </c>
      <c r="B340" s="38">
        <v>543294.0</v>
      </c>
      <c r="C340" s="44" t="s">
        <v>532</v>
      </c>
      <c r="D340" s="38">
        <v>955.0</v>
      </c>
      <c r="E340" s="39">
        <f>IFERROR(__xludf.DUMMYFUNCTION("sum(filter('PLA Sheet'!H:H,'PLA Sheet'!C:C=B340,'PLA Sheet'!D:D=C340))"),63.16595414)</f>
        <v>63.16595414</v>
      </c>
      <c r="F340" s="40">
        <v>5.203354542</v>
      </c>
      <c r="G340" s="40">
        <f>IFERROR(__xludf.DUMMYFUNCTION("sum(filter('PLA Sheet'!J:J,'PLA Sheet'!C:C=B340,'PLA Sheet'!D:D=C340))/E340*9"),2.5060730919879686)</f>
        <v>2.506073092</v>
      </c>
      <c r="H340" s="41">
        <v>0.457591623</v>
      </c>
      <c r="I340" s="41">
        <v>0.223036649</v>
      </c>
      <c r="J340" s="41">
        <v>0.319371728</v>
      </c>
      <c r="K340" s="41">
        <f t="shared" si="1"/>
        <v>0.138219895</v>
      </c>
      <c r="L340" s="42">
        <v>3.306603083</v>
      </c>
      <c r="M340" s="45">
        <f>('Cy Young Rank'!O$1-G340)*E340/9</f>
        <v>10.90614176</v>
      </c>
      <c r="N340" s="42"/>
      <c r="O340" s="66"/>
      <c r="P340" s="42"/>
      <c r="Q340" s="67"/>
      <c r="R340" s="67"/>
    </row>
    <row r="341">
      <c r="A341" s="1" t="s">
        <v>450</v>
      </c>
      <c r="B341" s="38">
        <v>682990.0</v>
      </c>
      <c r="C341" s="44" t="s">
        <v>533</v>
      </c>
      <c r="D341" s="38">
        <v>653.0</v>
      </c>
      <c r="E341" s="39">
        <f>IFERROR(__xludf.DUMMYFUNCTION("sum(filter('PLA Sheet'!H:H,'PLA Sheet'!C:C=B341,'PLA Sheet'!D:D=C341))"),42.77579687)</f>
        <v>42.77579687</v>
      </c>
      <c r="F341" s="40">
        <v>5.203271155</v>
      </c>
      <c r="G341" s="40">
        <f>IFERROR(__xludf.DUMMYFUNCTION("sum(filter('PLA Sheet'!J:J,'PLA Sheet'!C:C=B341,'PLA Sheet'!D:D=C341))/E341*9"),2.6918676313603878)</f>
        <v>2.691867631</v>
      </c>
      <c r="H341" s="41">
        <v>0.470137825</v>
      </c>
      <c r="I341" s="41">
        <v>0.212863706</v>
      </c>
      <c r="J341" s="41">
        <v>0.316998469</v>
      </c>
      <c r="K341" s="41">
        <f t="shared" si="1"/>
        <v>0.153139356</v>
      </c>
      <c r="L341" s="42">
        <v>0.972818612</v>
      </c>
      <c r="M341" s="45">
        <f>('Cy Young Rank'!O$1-G341)*E341/9</f>
        <v>6.502550255</v>
      </c>
      <c r="N341" s="42"/>
      <c r="O341" s="66"/>
      <c r="P341" s="42"/>
      <c r="Q341" s="67"/>
      <c r="R341" s="67"/>
    </row>
    <row r="342">
      <c r="A342" s="1" t="s">
        <v>321</v>
      </c>
      <c r="B342" s="38">
        <v>607200.0</v>
      </c>
      <c r="C342" s="44" t="s">
        <v>539</v>
      </c>
      <c r="D342" s="38">
        <v>600.0</v>
      </c>
      <c r="E342" s="39">
        <f>IFERROR(__xludf.DUMMYFUNCTION("sum(filter('PLA Sheet'!H:H,'PLA Sheet'!C:C=B342,'PLA Sheet'!D:D=C342))"),36.604052339999996)</f>
        <v>36.60405234</v>
      </c>
      <c r="F342" s="40">
        <v>5.203196047</v>
      </c>
      <c r="G342" s="40">
        <f>IFERROR(__xludf.DUMMYFUNCTION("sum(filter('PLA Sheet'!J:J,'PLA Sheet'!C:C=B342,'PLA Sheet'!D:D=C342))/E342*9"),2.8650592569882667)</f>
        <v>2.865059257</v>
      </c>
      <c r="H342" s="41">
        <v>0.496666667</v>
      </c>
      <c r="I342" s="41">
        <v>0.166666667</v>
      </c>
      <c r="J342" s="41">
        <v>0.336666667</v>
      </c>
      <c r="K342" s="41">
        <f t="shared" si="1"/>
        <v>0.16</v>
      </c>
      <c r="L342" s="42">
        <v>3.246848061</v>
      </c>
      <c r="M342" s="45">
        <f>('Cy Young Rank'!O$1-G342)*E342/9</f>
        <v>4.859963722</v>
      </c>
      <c r="N342" s="42"/>
      <c r="O342" s="66"/>
      <c r="P342" s="42"/>
      <c r="Q342" s="67"/>
      <c r="R342" s="67"/>
    </row>
    <row r="343">
      <c r="A343" s="1" t="s">
        <v>361</v>
      </c>
      <c r="B343" s="38">
        <v>686563.0</v>
      </c>
      <c r="C343" s="44" t="s">
        <v>532</v>
      </c>
      <c r="D343" s="38">
        <v>372.0</v>
      </c>
      <c r="E343" s="39">
        <f>IFERROR(__xludf.DUMMYFUNCTION("sum(filter('PLA Sheet'!H:H,'PLA Sheet'!C:C=B343,'PLA Sheet'!D:D=C343))"),22.098586306)</f>
        <v>22.09858631</v>
      </c>
      <c r="F343" s="40">
        <v>5.202779991</v>
      </c>
      <c r="G343" s="40">
        <f>IFERROR(__xludf.DUMMYFUNCTION("sum(filter('PLA Sheet'!J:J,'PLA Sheet'!C:C=B343,'PLA Sheet'!D:D=C343))/E343*9"),2.9530889033513184)</f>
        <v>2.953088903</v>
      </c>
      <c r="H343" s="41">
        <v>0.478494624</v>
      </c>
      <c r="I343" s="41">
        <v>0.220430108</v>
      </c>
      <c r="J343" s="41">
        <v>0.301075269</v>
      </c>
      <c r="K343" s="41">
        <f t="shared" si="1"/>
        <v>0.177419355</v>
      </c>
      <c r="L343" s="42">
        <v>0.4637572</v>
      </c>
      <c r="M343" s="45">
        <f>('Cy Young Rank'!O$1-G343)*E343/9</f>
        <v>2.717907822</v>
      </c>
      <c r="N343" s="42"/>
      <c r="O343" s="66"/>
      <c r="P343" s="42"/>
      <c r="Q343" s="67"/>
      <c r="R343" s="67"/>
    </row>
    <row r="344">
      <c r="A344" s="1" t="s">
        <v>140</v>
      </c>
      <c r="B344" s="38">
        <v>672582.0</v>
      </c>
      <c r="C344" s="44" t="s">
        <v>533</v>
      </c>
      <c r="D344" s="38">
        <v>345.0</v>
      </c>
      <c r="E344" s="39">
        <f>IFERROR(__xludf.DUMMYFUNCTION("sum(filter('PLA Sheet'!H:H,'PLA Sheet'!C:C=B344,'PLA Sheet'!D:D=C344))"),20.653321202)</f>
        <v>20.6533212</v>
      </c>
      <c r="F344" s="40">
        <v>5.202610466</v>
      </c>
      <c r="G344" s="40">
        <f>IFERROR(__xludf.DUMMYFUNCTION("sum(filter('PLA Sheet'!J:J,'PLA Sheet'!C:C=B344,'PLA Sheet'!D:D=C344))/E344*9"),2.735516455074013)</f>
        <v>2.735516455</v>
      </c>
      <c r="H344" s="41">
        <v>0.484057971</v>
      </c>
      <c r="I344" s="41">
        <v>0.217391304</v>
      </c>
      <c r="J344" s="41">
        <v>0.298550725</v>
      </c>
      <c r="K344" s="41">
        <f t="shared" si="1"/>
        <v>0.185507246</v>
      </c>
      <c r="L344" s="42">
        <v>-0.459725126</v>
      </c>
      <c r="M344" s="45">
        <f>('Cy Young Rank'!O$1-G344)*E344/9</f>
        <v>3.039442676</v>
      </c>
      <c r="N344" s="42"/>
      <c r="O344" s="66"/>
      <c r="P344" s="42"/>
      <c r="Q344" s="67"/>
      <c r="R344" s="67"/>
    </row>
    <row r="345">
      <c r="A345" s="1" t="s">
        <v>242</v>
      </c>
      <c r="B345" s="38">
        <v>669358.0</v>
      </c>
      <c r="C345" s="44" t="s">
        <v>541</v>
      </c>
      <c r="D345" s="38">
        <v>706.0</v>
      </c>
      <c r="E345" s="39">
        <f>IFERROR(__xludf.DUMMYFUNCTION("sum(filter('PLA Sheet'!H:H,'PLA Sheet'!C:C=B345,'PLA Sheet'!D:D=C345))"),44.734976700000004)</f>
        <v>44.7349767</v>
      </c>
      <c r="F345" s="40">
        <v>5.202462226</v>
      </c>
      <c r="G345" s="40">
        <f>IFERROR(__xludf.DUMMYFUNCTION("sum(filter('PLA Sheet'!J:J,'PLA Sheet'!C:C=B345,'PLA Sheet'!D:D=C345))/E345*9"),2.713677550658029)</f>
        <v>2.713677551</v>
      </c>
      <c r="H345" s="41">
        <v>0.490084986</v>
      </c>
      <c r="I345" s="41">
        <v>0.194050992</v>
      </c>
      <c r="J345" s="41">
        <v>0.315864023</v>
      </c>
      <c r="K345" s="41">
        <f t="shared" si="1"/>
        <v>0.174220963</v>
      </c>
      <c r="L345" s="42">
        <v>-4.342383063</v>
      </c>
      <c r="M345" s="45">
        <f>('Cy Young Rank'!O$1-G345)*E345/9</f>
        <v>6.691967045</v>
      </c>
      <c r="N345" s="42"/>
      <c r="O345" s="66"/>
      <c r="P345" s="42"/>
      <c r="Q345" s="67"/>
      <c r="R345" s="67"/>
    </row>
    <row r="346">
      <c r="A346" s="1" t="s">
        <v>203</v>
      </c>
      <c r="B346" s="38">
        <v>519141.0</v>
      </c>
      <c r="C346" s="44" t="s">
        <v>537</v>
      </c>
      <c r="D346" s="38">
        <v>601.0</v>
      </c>
      <c r="E346" s="39">
        <f>IFERROR(__xludf.DUMMYFUNCTION("sum(filter('PLA Sheet'!H:H,'PLA Sheet'!C:C=B346,'PLA Sheet'!D:D=C346))"),38.11916667)</f>
        <v>38.11916667</v>
      </c>
      <c r="F346" s="40">
        <v>5.202453302</v>
      </c>
      <c r="G346" s="40">
        <f>IFERROR(__xludf.DUMMYFUNCTION("sum(filter('PLA Sheet'!J:J,'PLA Sheet'!C:C=B346,'PLA Sheet'!D:D=C346))/E346*9"),2.798507530962245)</f>
        <v>2.798507531</v>
      </c>
      <c r="H346" s="41">
        <v>0.53577371</v>
      </c>
      <c r="I346" s="41">
        <v>0.183028286</v>
      </c>
      <c r="J346" s="41">
        <v>0.281198003</v>
      </c>
      <c r="K346" s="41">
        <f t="shared" si="1"/>
        <v>0.254575707</v>
      </c>
      <c r="L346" s="42">
        <v>4.766230888</v>
      </c>
      <c r="M346" s="45">
        <f>('Cy Young Rank'!O$1-G346)*E346/9</f>
        <v>5.343004631</v>
      </c>
      <c r="N346" s="42"/>
      <c r="O346" s="66"/>
      <c r="P346" s="42"/>
      <c r="Q346" s="67"/>
      <c r="R346" s="67"/>
    </row>
    <row r="347">
      <c r="A347" s="1" t="s">
        <v>164</v>
      </c>
      <c r="B347" s="38">
        <v>669923.0</v>
      </c>
      <c r="C347" s="44" t="s">
        <v>536</v>
      </c>
      <c r="D347" s="38">
        <v>541.0</v>
      </c>
      <c r="E347" s="39">
        <f>IFERROR(__xludf.DUMMYFUNCTION("sum(filter('PLA Sheet'!H:H,'PLA Sheet'!C:C=B347,'PLA Sheet'!D:D=C347))"),33.58389262)</f>
        <v>33.58389262</v>
      </c>
      <c r="F347" s="40">
        <v>5.202273356</v>
      </c>
      <c r="G347" s="40">
        <f>IFERROR(__xludf.DUMMYFUNCTION("sum(filter('PLA Sheet'!J:J,'PLA Sheet'!C:C=B347,'PLA Sheet'!D:D=C347))/E347*9"),2.7446049224534477)</f>
        <v>2.744604922</v>
      </c>
      <c r="H347" s="41">
        <v>0.526802218</v>
      </c>
      <c r="I347" s="41">
        <v>0.129390018</v>
      </c>
      <c r="J347" s="41">
        <v>0.343807763</v>
      </c>
      <c r="K347" s="41">
        <f t="shared" si="1"/>
        <v>0.182994455</v>
      </c>
      <c r="L347" s="42">
        <v>-8.478606175</v>
      </c>
      <c r="M347" s="45">
        <f>('Cy Young Rank'!O$1-G347)*E347/9</f>
        <v>4.908454115</v>
      </c>
      <c r="N347" s="42"/>
      <c r="O347" s="66"/>
      <c r="P347" s="42"/>
      <c r="Q347" s="67"/>
      <c r="R347" s="67"/>
    </row>
    <row r="348">
      <c r="A348" s="1" t="s">
        <v>342</v>
      </c>
      <c r="B348" s="38">
        <v>592094.0</v>
      </c>
      <c r="C348" s="44" t="s">
        <v>533</v>
      </c>
      <c r="D348" s="38">
        <v>367.0</v>
      </c>
      <c r="E348" s="39">
        <f>IFERROR(__xludf.DUMMYFUNCTION("sum(filter('PLA Sheet'!H:H,'PLA Sheet'!C:C=B348,'PLA Sheet'!D:D=C348))"),23.041129528)</f>
        <v>23.04112953</v>
      </c>
      <c r="F348" s="40">
        <v>5.202140474</v>
      </c>
      <c r="G348" s="40">
        <f>IFERROR(__xludf.DUMMYFUNCTION("sum(filter('PLA Sheet'!J:J,'PLA Sheet'!C:C=B348,'PLA Sheet'!D:D=C348))/E348*9"),2.8287667894403583)</f>
        <v>2.828766789</v>
      </c>
      <c r="H348" s="41">
        <v>0.504087193</v>
      </c>
      <c r="I348" s="41">
        <v>0.188010899</v>
      </c>
      <c r="J348" s="41">
        <v>0.307901907</v>
      </c>
      <c r="K348" s="41">
        <f t="shared" si="1"/>
        <v>0.196185286</v>
      </c>
      <c r="L348" s="42">
        <v>1.340274631</v>
      </c>
      <c r="M348" s="45">
        <f>('Cy Young Rank'!O$1-G348)*E348/9</f>
        <v>3.152111543</v>
      </c>
      <c r="N348" s="42"/>
      <c r="O348" s="66"/>
      <c r="P348" s="42"/>
      <c r="Q348" s="67"/>
      <c r="R348" s="67"/>
    </row>
    <row r="349">
      <c r="A349" s="1" t="s">
        <v>316</v>
      </c>
      <c r="B349" s="38">
        <v>656427.0</v>
      </c>
      <c r="C349" s="44" t="s">
        <v>537</v>
      </c>
      <c r="D349" s="38">
        <v>1295.0</v>
      </c>
      <c r="E349" s="39">
        <f>IFERROR(__xludf.DUMMYFUNCTION("sum(filter('PLA Sheet'!H:H,'PLA Sheet'!C:C=B349,'PLA Sheet'!D:D=C349))"),75.49363957)</f>
        <v>75.49363957</v>
      </c>
      <c r="F349" s="40">
        <v>5.20196675</v>
      </c>
      <c r="G349" s="40">
        <f>IFERROR(__xludf.DUMMYFUNCTION("sum(filter('PLA Sheet'!J:J,'PLA Sheet'!C:C=B349,'PLA Sheet'!D:D=C349))/E349*9"),3.2327638379880543)</f>
        <v>3.232763838</v>
      </c>
      <c r="H349" s="41">
        <v>0.552895753</v>
      </c>
      <c r="I349" s="41">
        <v>0.137451737</v>
      </c>
      <c r="J349" s="41">
        <v>0.30965251</v>
      </c>
      <c r="K349" s="41">
        <f t="shared" si="1"/>
        <v>0.243243243</v>
      </c>
      <c r="L349" s="42">
        <v>-5.015565291</v>
      </c>
      <c r="M349" s="45">
        <f>('Cy Young Rank'!O$1-G349)*E349/9</f>
        <v>6.939007628</v>
      </c>
      <c r="N349" s="42"/>
      <c r="O349" s="66"/>
      <c r="P349" s="42"/>
      <c r="Q349" s="67"/>
      <c r="R349" s="67"/>
    </row>
    <row r="350">
      <c r="A350" s="1" t="s">
        <v>272</v>
      </c>
      <c r="B350" s="38">
        <v>622491.0</v>
      </c>
      <c r="C350" s="44" t="s">
        <v>536</v>
      </c>
      <c r="D350" s="38">
        <v>627.0</v>
      </c>
      <c r="E350" s="39">
        <f>IFERROR(__xludf.DUMMYFUNCTION("sum(filter('PLA Sheet'!H:H,'PLA Sheet'!C:C=B350,'PLA Sheet'!D:D=C350))"),40.00298438)</f>
        <v>40.00298438</v>
      </c>
      <c r="F350" s="40">
        <v>5.201344489</v>
      </c>
      <c r="G350" s="40">
        <f>IFERROR(__xludf.DUMMYFUNCTION("sum(filter('PLA Sheet'!J:J,'PLA Sheet'!C:C=B350,'PLA Sheet'!D:D=C350))/E350*9"),2.79246915527256)</f>
        <v>2.792469155</v>
      </c>
      <c r="H350" s="41">
        <v>0.499202552</v>
      </c>
      <c r="I350" s="41">
        <v>0.200956938</v>
      </c>
      <c r="J350" s="41">
        <v>0.29984051</v>
      </c>
      <c r="K350" s="41">
        <f t="shared" si="1"/>
        <v>0.199362042</v>
      </c>
      <c r="L350" s="42">
        <v>-5.38376908</v>
      </c>
      <c r="M350" s="45">
        <f>('Cy Young Rank'!O$1-G350)*E350/9</f>
        <v>5.633890731</v>
      </c>
      <c r="N350" s="42"/>
      <c r="O350" s="66"/>
      <c r="P350" s="42"/>
      <c r="Q350" s="67"/>
      <c r="R350" s="67"/>
    </row>
    <row r="351">
      <c r="A351" s="1" t="s">
        <v>190</v>
      </c>
      <c r="B351" s="38">
        <v>664208.0</v>
      </c>
      <c r="C351" s="44" t="s">
        <v>540</v>
      </c>
      <c r="D351" s="38">
        <v>350.0</v>
      </c>
      <c r="E351" s="39">
        <f>IFERROR(__xludf.DUMMYFUNCTION("sum(filter('PLA Sheet'!H:H,'PLA Sheet'!C:C=B351,'PLA Sheet'!D:D=C351))"),22.08730159)</f>
        <v>22.08730159</v>
      </c>
      <c r="F351" s="40">
        <v>5.201230622</v>
      </c>
      <c r="G351" s="40">
        <f>IFERROR(__xludf.DUMMYFUNCTION("sum(filter('PLA Sheet'!J:J,'PLA Sheet'!C:C=B351,'PLA Sheet'!D:D=C351))/E351*9"),2.946676792309784)</f>
        <v>2.946676792</v>
      </c>
      <c r="H351" s="41">
        <v>0.554285714</v>
      </c>
      <c r="I351" s="41">
        <v>0.12</v>
      </c>
      <c r="J351" s="41">
        <v>0.325714286</v>
      </c>
      <c r="K351" s="41">
        <f t="shared" si="1"/>
        <v>0.228571428</v>
      </c>
      <c r="L351" s="42">
        <v>5.402129242</v>
      </c>
      <c r="M351" s="45">
        <f>('Cy Young Rank'!O$1-G351)*E351/9</f>
        <v>2.732256162</v>
      </c>
      <c r="N351" s="42"/>
      <c r="O351" s="66"/>
      <c r="P351" s="42"/>
      <c r="Q351" s="67"/>
      <c r="R351" s="67"/>
    </row>
    <row r="352">
      <c r="A352" s="1" t="s">
        <v>242</v>
      </c>
      <c r="B352" s="38">
        <v>669358.0</v>
      </c>
      <c r="C352" s="44" t="s">
        <v>537</v>
      </c>
      <c r="D352" s="38">
        <v>1159.0</v>
      </c>
      <c r="E352" s="39">
        <f>IFERROR(__xludf.DUMMYFUNCTION("sum(filter('PLA Sheet'!H:H,'PLA Sheet'!C:C=B352,'PLA Sheet'!D:D=C352))"),73.0691685)</f>
        <v>73.0691685</v>
      </c>
      <c r="F352" s="40">
        <v>5.200991134</v>
      </c>
      <c r="G352" s="40">
        <f>IFERROR(__xludf.DUMMYFUNCTION("sum(filter('PLA Sheet'!J:J,'PLA Sheet'!C:C=B352,'PLA Sheet'!D:D=C352))/E352*9"),2.9445326040626836)</f>
        <v>2.944532604</v>
      </c>
      <c r="H352" s="41">
        <v>0.527178602</v>
      </c>
      <c r="I352" s="41">
        <v>0.149266609</v>
      </c>
      <c r="J352" s="41">
        <v>0.323554789</v>
      </c>
      <c r="K352" s="41">
        <f t="shared" si="1"/>
        <v>0.203623813</v>
      </c>
      <c r="L352" s="42">
        <v>-0.237115622</v>
      </c>
      <c r="M352" s="45">
        <f>('Cy Young Rank'!O$1-G352)*E352/9</f>
        <v>9.05625279</v>
      </c>
      <c r="N352" s="42"/>
      <c r="O352" s="66"/>
      <c r="P352" s="42"/>
      <c r="Q352" s="67"/>
      <c r="R352" s="67"/>
    </row>
    <row r="353">
      <c r="A353" s="1" t="s">
        <v>483</v>
      </c>
      <c r="B353" s="38">
        <v>664192.0</v>
      </c>
      <c r="C353" s="44" t="s">
        <v>536</v>
      </c>
      <c r="D353" s="38">
        <v>296.0</v>
      </c>
      <c r="E353" s="39">
        <f>IFERROR(__xludf.DUMMYFUNCTION("sum(filter('PLA Sheet'!H:H,'PLA Sheet'!C:C=B353,'PLA Sheet'!D:D=C353))"),18.256856537)</f>
        <v>18.25685654</v>
      </c>
      <c r="F353" s="40">
        <v>5.198446302</v>
      </c>
      <c r="G353" s="40">
        <f>IFERROR(__xludf.DUMMYFUNCTION("sum(filter('PLA Sheet'!J:J,'PLA Sheet'!C:C=B353,'PLA Sheet'!D:D=C353))/E353*9"),2.8981327038841047)</f>
        <v>2.898132704</v>
      </c>
      <c r="H353" s="41">
        <v>0.52027027</v>
      </c>
      <c r="I353" s="41">
        <v>0.175675676</v>
      </c>
      <c r="J353" s="41">
        <v>0.304054054</v>
      </c>
      <c r="K353" s="41">
        <f t="shared" si="1"/>
        <v>0.216216216</v>
      </c>
      <c r="L353" s="42">
        <v>3.028854376</v>
      </c>
      <c r="M353" s="45">
        <f>('Cy Young Rank'!O$1-G353)*E353/9</f>
        <v>2.356893838</v>
      </c>
      <c r="N353" s="42"/>
      <c r="O353" s="66"/>
      <c r="P353" s="42"/>
      <c r="Q353" s="67"/>
      <c r="R353" s="67"/>
    </row>
    <row r="354">
      <c r="A354" s="1" t="s">
        <v>105</v>
      </c>
      <c r="B354" s="38">
        <v>624133.0</v>
      </c>
      <c r="C354" s="44" t="s">
        <v>536</v>
      </c>
      <c r="D354" s="38">
        <v>677.0</v>
      </c>
      <c r="E354" s="39">
        <f>IFERROR(__xludf.DUMMYFUNCTION("sum(filter('PLA Sheet'!H:H,'PLA Sheet'!C:C=B354,'PLA Sheet'!D:D=C354))"),44.998628260000004)</f>
        <v>44.99862826</v>
      </c>
      <c r="F354" s="40">
        <v>5.197941911</v>
      </c>
      <c r="G354" s="40">
        <f>IFERROR(__xludf.DUMMYFUNCTION("sum(filter('PLA Sheet'!J:J,'PLA Sheet'!C:C=B354,'PLA Sheet'!D:D=C354))/E354*9"),2.725868892964338)</f>
        <v>2.725868893</v>
      </c>
      <c r="H354" s="41">
        <v>0.460856721</v>
      </c>
      <c r="I354" s="41">
        <v>0.221565731</v>
      </c>
      <c r="J354" s="41">
        <v>0.317577548</v>
      </c>
      <c r="K354" s="41">
        <f t="shared" si="1"/>
        <v>0.143279173</v>
      </c>
      <c r="L354" s="42">
        <v>5.804447068</v>
      </c>
      <c r="M354" s="45">
        <f>('Cy Young Rank'!O$1-G354)*E354/9</f>
        <v>6.670452193</v>
      </c>
      <c r="N354" s="42"/>
      <c r="O354" s="66"/>
      <c r="P354" s="42"/>
      <c r="Q354" s="67"/>
      <c r="R354" s="67"/>
    </row>
    <row r="355">
      <c r="A355" s="1" t="s">
        <v>457</v>
      </c>
      <c r="B355" s="38">
        <v>477132.0</v>
      </c>
      <c r="C355" s="44" t="s">
        <v>533</v>
      </c>
      <c r="D355" s="38">
        <v>707.0</v>
      </c>
      <c r="E355" s="39">
        <f>IFERROR(__xludf.DUMMYFUNCTION("sum(filter('PLA Sheet'!H:H,'PLA Sheet'!C:C=B355,'PLA Sheet'!D:D=C355))"),46.38089846)</f>
        <v>46.38089846</v>
      </c>
      <c r="F355" s="40">
        <v>5.19744246</v>
      </c>
      <c r="G355" s="40">
        <f>IFERROR(__xludf.DUMMYFUNCTION("sum(filter('PLA Sheet'!J:J,'PLA Sheet'!C:C=B355,'PLA Sheet'!D:D=C355))/E355*9"),2.6968662564368957)</f>
        <v>2.696866256</v>
      </c>
      <c r="H355" s="41">
        <v>0.479490806</v>
      </c>
      <c r="I355" s="41">
        <v>0.202263083</v>
      </c>
      <c r="J355" s="41">
        <v>0.31824611</v>
      </c>
      <c r="K355" s="41">
        <f t="shared" si="1"/>
        <v>0.161244696</v>
      </c>
      <c r="L355" s="42">
        <v>-3.080360258</v>
      </c>
      <c r="M355" s="45">
        <f>('Cy Young Rank'!O$1-G355)*E355/9</f>
        <v>7.024818639</v>
      </c>
      <c r="N355" s="42"/>
      <c r="O355" s="66"/>
      <c r="P355" s="42"/>
      <c r="Q355" s="67"/>
      <c r="R355" s="67"/>
    </row>
    <row r="356">
      <c r="A356" s="1" t="s">
        <v>340</v>
      </c>
      <c r="B356" s="38">
        <v>668984.0</v>
      </c>
      <c r="C356" s="44" t="s">
        <v>537</v>
      </c>
      <c r="D356" s="38">
        <v>474.0</v>
      </c>
      <c r="E356" s="39">
        <f>IFERROR(__xludf.DUMMYFUNCTION("sum(filter('PLA Sheet'!H:H,'PLA Sheet'!C:C=B356,'PLA Sheet'!D:D=C356))"),27.977158340000003)</f>
        <v>27.97715834</v>
      </c>
      <c r="F356" s="40">
        <v>5.195771155</v>
      </c>
      <c r="G356" s="40">
        <f>IFERROR(__xludf.DUMMYFUNCTION("sum(filter('PLA Sheet'!J:J,'PLA Sheet'!C:C=B356,'PLA Sheet'!D:D=C356))/E356*9"),3.455160771699732)</f>
        <v>3.455160772</v>
      </c>
      <c r="H356" s="41">
        <v>0.554852321</v>
      </c>
      <c r="I356" s="41">
        <v>0.128691983</v>
      </c>
      <c r="J356" s="41">
        <v>0.316455696</v>
      </c>
      <c r="K356" s="41">
        <f t="shared" si="1"/>
        <v>0.238396625</v>
      </c>
      <c r="L356" s="42">
        <v>0.643141694</v>
      </c>
      <c r="M356" s="45">
        <f>('Cy Young Rank'!O$1-G356)*E356/9</f>
        <v>1.880186984</v>
      </c>
      <c r="N356" s="42"/>
      <c r="O356" s="66"/>
      <c r="P356" s="42"/>
      <c r="Q356" s="67"/>
      <c r="R356" s="67"/>
    </row>
    <row r="357">
      <c r="A357" s="1" t="s">
        <v>484</v>
      </c>
      <c r="B357" s="38">
        <v>682847.0</v>
      </c>
      <c r="C357" s="44" t="s">
        <v>536</v>
      </c>
      <c r="D357" s="38">
        <v>283.0</v>
      </c>
      <c r="E357" s="39">
        <f>IFERROR(__xludf.DUMMYFUNCTION("sum(filter('PLA Sheet'!H:H,'PLA Sheet'!C:C=B357,'PLA Sheet'!D:D=C357))"),17.308016877)</f>
        <v>17.30801688</v>
      </c>
      <c r="F357" s="40">
        <v>5.19552928</v>
      </c>
      <c r="G357" s="40">
        <f>IFERROR(__xludf.DUMMYFUNCTION("sum(filter('PLA Sheet'!J:J,'PLA Sheet'!C:C=B357,'PLA Sheet'!D:D=C357))/E357*9"),2.904970243402889)</f>
        <v>2.904970243</v>
      </c>
      <c r="H357" s="41">
        <v>0.501766784</v>
      </c>
      <c r="I357" s="41">
        <v>0.222614841</v>
      </c>
      <c r="J357" s="41">
        <v>0.275618375</v>
      </c>
      <c r="K357" s="41">
        <f t="shared" si="1"/>
        <v>0.226148409</v>
      </c>
      <c r="L357" s="42">
        <v>1.999920659</v>
      </c>
      <c r="M357" s="45">
        <f>('Cy Young Rank'!O$1-G357)*E357/9</f>
        <v>2.221252725</v>
      </c>
      <c r="N357" s="42"/>
      <c r="O357" s="66"/>
      <c r="P357" s="42"/>
      <c r="Q357" s="67"/>
      <c r="R357" s="67"/>
    </row>
    <row r="358">
      <c r="A358" s="1" t="s">
        <v>147</v>
      </c>
      <c r="B358" s="38">
        <v>608379.0</v>
      </c>
      <c r="C358" s="44" t="s">
        <v>533</v>
      </c>
      <c r="D358" s="38">
        <v>307.0</v>
      </c>
      <c r="E358" s="39">
        <f>IFERROR(__xludf.DUMMYFUNCTION("sum(filter('PLA Sheet'!H:H,'PLA Sheet'!C:C=B358,'PLA Sheet'!D:D=C358))"),20.424333462)</f>
        <v>20.42433346</v>
      </c>
      <c r="F358" s="40">
        <v>5.192631792</v>
      </c>
      <c r="G358" s="40">
        <f>IFERROR(__xludf.DUMMYFUNCTION("sum(filter('PLA Sheet'!J:J,'PLA Sheet'!C:C=B358,'PLA Sheet'!D:D=C358))/E358*9"),2.7354265491182956)</f>
        <v>2.735426549</v>
      </c>
      <c r="H358" s="41">
        <v>0.433224756</v>
      </c>
      <c r="I358" s="41">
        <v>0.214983713</v>
      </c>
      <c r="J358" s="41">
        <v>0.351791531</v>
      </c>
      <c r="K358" s="41">
        <f t="shared" si="1"/>
        <v>0.081433225</v>
      </c>
      <c r="L358" s="42">
        <v>-1.888737814</v>
      </c>
      <c r="M358" s="45">
        <f>('Cy Young Rank'!O$1-G358)*E358/9</f>
        <v>3.005947762</v>
      </c>
      <c r="N358" s="42"/>
      <c r="O358" s="66"/>
      <c r="P358" s="42"/>
      <c r="Q358" s="67"/>
      <c r="R358" s="67"/>
    </row>
    <row r="359">
      <c r="A359" s="1" t="s">
        <v>404</v>
      </c>
      <c r="B359" s="38">
        <v>593974.0</v>
      </c>
      <c r="C359" s="44" t="s">
        <v>532</v>
      </c>
      <c r="D359" s="38">
        <v>380.0</v>
      </c>
      <c r="E359" s="39">
        <f>IFERROR(__xludf.DUMMYFUNCTION("sum(filter('PLA Sheet'!H:H,'PLA Sheet'!C:C=B359,'PLA Sheet'!D:D=C359))"),24.749560633)</f>
        <v>24.74956063</v>
      </c>
      <c r="F359" s="40">
        <v>5.191636773</v>
      </c>
      <c r="G359" s="40">
        <f>IFERROR(__xludf.DUMMYFUNCTION("sum(filter('PLA Sheet'!J:J,'PLA Sheet'!C:C=B359,'PLA Sheet'!D:D=C359))/E359*9"),2.7079757088954866)</f>
        <v>2.707975709</v>
      </c>
      <c r="H359" s="41">
        <v>0.492105263</v>
      </c>
      <c r="I359" s="41">
        <v>0.181578947</v>
      </c>
      <c r="J359" s="41">
        <v>0.326315789</v>
      </c>
      <c r="K359" s="41">
        <f t="shared" si="1"/>
        <v>0.165789474</v>
      </c>
      <c r="L359" s="42">
        <v>-0.408902344</v>
      </c>
      <c r="M359" s="45">
        <f>('Cy Young Rank'!O$1-G359)*E359/9</f>
        <v>3.718000797</v>
      </c>
      <c r="N359" s="42"/>
      <c r="O359" s="66"/>
      <c r="P359" s="42"/>
      <c r="Q359" s="67"/>
      <c r="R359" s="67"/>
    </row>
    <row r="360">
      <c r="A360" s="1" t="s">
        <v>294</v>
      </c>
      <c r="B360" s="38">
        <v>665152.0</v>
      </c>
      <c r="C360" s="44" t="s">
        <v>537</v>
      </c>
      <c r="D360" s="38">
        <v>710.0</v>
      </c>
      <c r="E360" s="39">
        <f>IFERROR(__xludf.DUMMYFUNCTION("sum(filter('PLA Sheet'!H:H,'PLA Sheet'!C:C=B360,'PLA Sheet'!D:D=C360))"),46.23266469)</f>
        <v>46.23266469</v>
      </c>
      <c r="F360" s="40">
        <v>5.19089099</v>
      </c>
      <c r="G360" s="40">
        <f>IFERROR(__xludf.DUMMYFUNCTION("sum(filter('PLA Sheet'!J:J,'PLA Sheet'!C:C=B360,'PLA Sheet'!D:D=C360))/E360*9"),2.8662775526469444)</f>
        <v>2.866277553</v>
      </c>
      <c r="H360" s="41">
        <v>0.528169014</v>
      </c>
      <c r="I360" s="41">
        <v>0.163380282</v>
      </c>
      <c r="J360" s="41">
        <v>0.308450704</v>
      </c>
      <c r="K360" s="41">
        <f t="shared" si="1"/>
        <v>0.21971831</v>
      </c>
      <c r="L360" s="42">
        <v>-5.020769843</v>
      </c>
      <c r="M360" s="45">
        <f>('Cy Young Rank'!O$1-G360)*E360/9</f>
        <v>6.132107738</v>
      </c>
      <c r="N360" s="42"/>
      <c r="O360" s="66"/>
      <c r="P360" s="42"/>
      <c r="Q360" s="67"/>
      <c r="R360" s="67"/>
    </row>
    <row r="361">
      <c r="A361" s="1" t="s">
        <v>163</v>
      </c>
      <c r="B361" s="38">
        <v>663460.0</v>
      </c>
      <c r="C361" s="44" t="s">
        <v>537</v>
      </c>
      <c r="D361" s="38">
        <v>664.0</v>
      </c>
      <c r="E361" s="39">
        <f>IFERROR(__xludf.DUMMYFUNCTION("sum(filter('PLA Sheet'!H:H,'PLA Sheet'!C:C=B361,'PLA Sheet'!D:D=C361))"),44.329805015000005)</f>
        <v>44.32980502</v>
      </c>
      <c r="F361" s="40">
        <v>5.189754324</v>
      </c>
      <c r="G361" s="40">
        <f>IFERROR(__xludf.DUMMYFUNCTION("sum(filter('PLA Sheet'!J:J,'PLA Sheet'!C:C=B361,'PLA Sheet'!D:D=C361))/E361*9"),2.798511248989756)</f>
        <v>2.798511249</v>
      </c>
      <c r="H361" s="41">
        <v>0.527108434</v>
      </c>
      <c r="I361" s="41">
        <v>0.161144578</v>
      </c>
      <c r="J361" s="41">
        <v>0.311746988</v>
      </c>
      <c r="K361" s="41">
        <f t="shared" si="1"/>
        <v>0.215361446</v>
      </c>
      <c r="L361" s="42">
        <v>-3.959884837</v>
      </c>
      <c r="M361" s="45">
        <f>('Cy Young Rank'!O$1-G361)*E361/9</f>
        <v>6.213505596</v>
      </c>
      <c r="N361" s="42"/>
      <c r="O361" s="66"/>
      <c r="P361" s="42"/>
      <c r="Q361" s="67"/>
      <c r="R361" s="67"/>
    </row>
    <row r="362">
      <c r="A362" s="1" t="s">
        <v>245</v>
      </c>
      <c r="B362" s="38">
        <v>571578.0</v>
      </c>
      <c r="C362" s="44" t="s">
        <v>533</v>
      </c>
      <c r="D362" s="38">
        <v>847.0</v>
      </c>
      <c r="E362" s="39">
        <f>IFERROR(__xludf.DUMMYFUNCTION("sum(filter('PLA Sheet'!H:H,'PLA Sheet'!C:C=B362,'PLA Sheet'!D:D=C362))"),51.977846469999996)</f>
        <v>51.97784647</v>
      </c>
      <c r="F362" s="40">
        <v>5.188979138</v>
      </c>
      <c r="G362" s="40">
        <f>IFERROR(__xludf.DUMMYFUNCTION("sum(filter('PLA Sheet'!J:J,'PLA Sheet'!C:C=B362,'PLA Sheet'!D:D=C362))/E362*9"),2.9096493077544)</f>
        <v>2.909649308</v>
      </c>
      <c r="H362" s="41">
        <v>0.440377804</v>
      </c>
      <c r="I362" s="41">
        <v>0.238488784</v>
      </c>
      <c r="J362" s="41">
        <v>0.321133412</v>
      </c>
      <c r="K362" s="41">
        <f t="shared" si="1"/>
        <v>0.119244392</v>
      </c>
      <c r="L362" s="42">
        <v>-8.43809278</v>
      </c>
      <c r="M362" s="45">
        <f>('Cy Young Rank'!O$1-G362)*E362/9</f>
        <v>6.643639074</v>
      </c>
      <c r="N362" s="42"/>
      <c r="O362" s="66"/>
      <c r="P362" s="42"/>
      <c r="Q362" s="67"/>
      <c r="R362" s="67"/>
    </row>
    <row r="363">
      <c r="A363" s="1" t="s">
        <v>179</v>
      </c>
      <c r="B363" s="38">
        <v>663568.0</v>
      </c>
      <c r="C363" s="44" t="s">
        <v>533</v>
      </c>
      <c r="D363" s="38">
        <v>260.0</v>
      </c>
      <c r="E363" s="39">
        <f>IFERROR(__xludf.DUMMYFUNCTION("sum(filter('PLA Sheet'!H:H,'PLA Sheet'!C:C=B363,'PLA Sheet'!D:D=C363))"),19.132075476)</f>
        <v>19.13207548</v>
      </c>
      <c r="F363" s="40">
        <v>5.188889445</v>
      </c>
      <c r="G363" s="40">
        <f>IFERROR(__xludf.DUMMYFUNCTION("sum(filter('PLA Sheet'!J:J,'PLA Sheet'!C:C=B363,'PLA Sheet'!D:D=C363))/E363*9"),2.525399821917366)</f>
        <v>2.525399822</v>
      </c>
      <c r="H363" s="41">
        <v>0.476923077</v>
      </c>
      <c r="I363" s="41">
        <v>0.2</v>
      </c>
      <c r="J363" s="41">
        <v>0.323076923</v>
      </c>
      <c r="K363" s="41">
        <f t="shared" si="1"/>
        <v>0.153846154</v>
      </c>
      <c r="L363" s="42">
        <v>-2.367971433</v>
      </c>
      <c r="M363" s="45">
        <f>('Cy Young Rank'!O$1-G363)*E363/9</f>
        <v>3.262231826</v>
      </c>
      <c r="N363" s="42"/>
      <c r="O363" s="66"/>
      <c r="P363" s="42"/>
      <c r="Q363" s="67"/>
      <c r="R363" s="67"/>
    </row>
    <row r="364">
      <c r="A364" s="1" t="s">
        <v>279</v>
      </c>
      <c r="B364" s="38">
        <v>682842.0</v>
      </c>
      <c r="C364" s="44" t="s">
        <v>533</v>
      </c>
      <c r="D364" s="38">
        <v>519.0</v>
      </c>
      <c r="E364" s="39">
        <f>IFERROR(__xludf.DUMMYFUNCTION("sum(filter('PLA Sheet'!H:H,'PLA Sheet'!C:C=B364,'PLA Sheet'!D:D=C364))"),34.68957618)</f>
        <v>34.68957618</v>
      </c>
      <c r="F364" s="40">
        <v>5.188286381</v>
      </c>
      <c r="G364" s="40">
        <f>IFERROR(__xludf.DUMMYFUNCTION("sum(filter('PLA Sheet'!J:J,'PLA Sheet'!C:C=B364,'PLA Sheet'!D:D=C364))/E364*9"),2.6594774903358296)</f>
        <v>2.65947749</v>
      </c>
      <c r="H364" s="41">
        <v>0.470134875</v>
      </c>
      <c r="I364" s="41">
        <v>0.208092486</v>
      </c>
      <c r="J364" s="41">
        <v>0.32177264</v>
      </c>
      <c r="K364" s="41">
        <f t="shared" si="1"/>
        <v>0.148362235</v>
      </c>
      <c r="L364" s="42">
        <v>11.68136101</v>
      </c>
      <c r="M364" s="45">
        <f>('Cy Young Rank'!O$1-G364)*E364/9</f>
        <v>5.398170255</v>
      </c>
      <c r="N364" s="42"/>
      <c r="O364" s="66"/>
      <c r="P364" s="42"/>
      <c r="Q364" s="67"/>
      <c r="R364" s="67"/>
    </row>
    <row r="365">
      <c r="A365" s="1" t="s">
        <v>133</v>
      </c>
      <c r="B365" s="38">
        <v>663978.0</v>
      </c>
      <c r="C365" s="44" t="s">
        <v>537</v>
      </c>
      <c r="D365" s="38">
        <v>1092.0</v>
      </c>
      <c r="E365" s="39">
        <f>IFERROR(__xludf.DUMMYFUNCTION("sum(filter('PLA Sheet'!H:H,'PLA Sheet'!C:C=B365,'PLA Sheet'!D:D=C365))"),69.90714007)</f>
        <v>69.90714007</v>
      </c>
      <c r="F365" s="40">
        <v>5.186484167</v>
      </c>
      <c r="G365" s="40">
        <f>IFERROR(__xludf.DUMMYFUNCTION("sum(filter('PLA Sheet'!J:J,'PLA Sheet'!C:C=B365,'PLA Sheet'!D:D=C365))/E365*9"),2.8494525852514974)</f>
        <v>2.849452585</v>
      </c>
      <c r="H365" s="41">
        <v>0.51007326</v>
      </c>
      <c r="I365" s="41">
        <v>0.185897436</v>
      </c>
      <c r="J365" s="41">
        <v>0.304029304</v>
      </c>
      <c r="K365" s="41">
        <f t="shared" si="1"/>
        <v>0.206043956</v>
      </c>
      <c r="L365" s="42">
        <v>-3.816078288</v>
      </c>
      <c r="M365" s="45">
        <f>('Cy Young Rank'!O$1-G365)*E365/9</f>
        <v>9.402878632</v>
      </c>
      <c r="N365" s="42"/>
      <c r="O365" s="66"/>
      <c r="P365" s="42"/>
      <c r="Q365" s="67"/>
      <c r="R365" s="67"/>
    </row>
    <row r="366">
      <c r="A366" s="1" t="s">
        <v>84</v>
      </c>
      <c r="B366" s="38">
        <v>669373.0</v>
      </c>
      <c r="C366" s="44" t="s">
        <v>533</v>
      </c>
      <c r="D366" s="38">
        <v>340.0</v>
      </c>
      <c r="E366" s="39">
        <f>IFERROR(__xludf.DUMMYFUNCTION("sum(filter('PLA Sheet'!H:H,'PLA Sheet'!C:C=B366,'PLA Sheet'!D:D=C366))"),24.408096411)</f>
        <v>24.40809641</v>
      </c>
      <c r="F366" s="40">
        <v>5.185855792</v>
      </c>
      <c r="G366" s="40">
        <f>IFERROR(__xludf.DUMMYFUNCTION("sum(filter('PLA Sheet'!J:J,'PLA Sheet'!C:C=B366,'PLA Sheet'!D:D=C366))/E366*9"),2.4879776356763426)</f>
        <v>2.487977636</v>
      </c>
      <c r="H366" s="41">
        <v>0.491176471</v>
      </c>
      <c r="I366" s="41">
        <v>0.179411765</v>
      </c>
      <c r="J366" s="41">
        <v>0.329411765</v>
      </c>
      <c r="K366" s="41">
        <f t="shared" si="1"/>
        <v>0.161764706</v>
      </c>
      <c r="L366" s="42">
        <v>4.94590027</v>
      </c>
      <c r="M366" s="45">
        <f>('Cy Young Rank'!O$1-G366)*E366/9</f>
        <v>4.263341492</v>
      </c>
      <c r="N366" s="42"/>
      <c r="O366" s="66"/>
      <c r="P366" s="42"/>
      <c r="Q366" s="67"/>
      <c r="R366" s="67"/>
    </row>
    <row r="367">
      <c r="A367" s="1" t="s">
        <v>398</v>
      </c>
      <c r="B367" s="38">
        <v>676282.0</v>
      </c>
      <c r="C367" s="44" t="s">
        <v>541</v>
      </c>
      <c r="D367" s="38">
        <v>294.0</v>
      </c>
      <c r="E367" s="39">
        <f>IFERROR(__xludf.DUMMYFUNCTION("sum(filter('PLA Sheet'!H:H,'PLA Sheet'!C:C=B367,'PLA Sheet'!D:D=C367))"),17.88956805)</f>
        <v>17.88956805</v>
      </c>
      <c r="F367" s="40">
        <v>5.183249648</v>
      </c>
      <c r="G367" s="40">
        <f>IFERROR(__xludf.DUMMYFUNCTION("sum(filter('PLA Sheet'!J:J,'PLA Sheet'!C:C=B367,'PLA Sheet'!D:D=C367))/E367*9"),2.8825326500826276)</f>
        <v>2.88253265</v>
      </c>
      <c r="H367" s="41">
        <v>0.476190476</v>
      </c>
      <c r="I367" s="41">
        <v>0.176870748</v>
      </c>
      <c r="J367" s="41">
        <v>0.346938776</v>
      </c>
      <c r="K367" s="41">
        <f t="shared" si="1"/>
        <v>0.1292517</v>
      </c>
      <c r="L367" s="42">
        <v>-0.394966556</v>
      </c>
      <c r="M367" s="45">
        <f>('Cy Young Rank'!O$1-G367)*E367/9</f>
        <v>2.34048692</v>
      </c>
      <c r="N367" s="42"/>
      <c r="O367" s="66"/>
      <c r="P367" s="42"/>
      <c r="Q367" s="67"/>
      <c r="R367" s="67"/>
    </row>
    <row r="368">
      <c r="A368" s="1" t="s">
        <v>256</v>
      </c>
      <c r="B368" s="38">
        <v>571760.0</v>
      </c>
      <c r="C368" s="44" t="s">
        <v>533</v>
      </c>
      <c r="D368" s="38">
        <v>337.0</v>
      </c>
      <c r="E368" s="39">
        <f>IFERROR(__xludf.DUMMYFUNCTION("sum(filter('PLA Sheet'!H:H,'PLA Sheet'!C:C=B368,'PLA Sheet'!D:D=C368))"),20.858949732)</f>
        <v>20.85894973</v>
      </c>
      <c r="F368" s="40">
        <v>5.182703767</v>
      </c>
      <c r="G368" s="40">
        <f>IFERROR(__xludf.DUMMYFUNCTION("sum(filter('PLA Sheet'!J:J,'PLA Sheet'!C:C=B368,'PLA Sheet'!D:D=C368))/E368*9"),2.8714832611208867)</f>
        <v>2.871483261</v>
      </c>
      <c r="H368" s="41">
        <v>0.465875371</v>
      </c>
      <c r="I368" s="41">
        <v>0.216617211</v>
      </c>
      <c r="J368" s="41">
        <v>0.317507418</v>
      </c>
      <c r="K368" s="41">
        <f t="shared" si="1"/>
        <v>0.148367953</v>
      </c>
      <c r="L368" s="42">
        <v>-2.290717191</v>
      </c>
      <c r="M368" s="45">
        <f>('Cy Young Rank'!O$1-G368)*E368/9</f>
        <v>2.75457899</v>
      </c>
      <c r="N368" s="42"/>
      <c r="O368" s="66"/>
      <c r="P368" s="42"/>
      <c r="Q368" s="67"/>
      <c r="R368" s="67"/>
    </row>
    <row r="369">
      <c r="A369" s="1" t="s">
        <v>207</v>
      </c>
      <c r="B369" s="38">
        <v>650633.0</v>
      </c>
      <c r="C369" s="44" t="s">
        <v>537</v>
      </c>
      <c r="D369" s="38">
        <v>289.0</v>
      </c>
      <c r="E369" s="39">
        <f>IFERROR(__xludf.DUMMYFUNCTION("sum(filter('PLA Sheet'!H:H,'PLA Sheet'!C:C=B369,'PLA Sheet'!D:D=C369))"),17.867104185)</f>
        <v>17.86710419</v>
      </c>
      <c r="F369" s="40">
        <v>5.182496916</v>
      </c>
      <c r="G369" s="40">
        <f>IFERROR(__xludf.DUMMYFUNCTION("sum(filter('PLA Sheet'!J:J,'PLA Sheet'!C:C=B369,'PLA Sheet'!D:D=C369))/E369*9"),2.9505023564063353)</f>
        <v>2.950502356</v>
      </c>
      <c r="H369" s="41">
        <v>0.515570934</v>
      </c>
      <c r="I369" s="41">
        <v>0.107266436</v>
      </c>
      <c r="J369" s="41">
        <v>0.37716263</v>
      </c>
      <c r="K369" s="41">
        <f t="shared" si="1"/>
        <v>0.138408304</v>
      </c>
      <c r="L369" s="42">
        <v>-3.41639849</v>
      </c>
      <c r="M369" s="45">
        <f>('Cy Young Rank'!O$1-G369)*E369/9</f>
        <v>2.202612221</v>
      </c>
      <c r="N369" s="42"/>
      <c r="O369" s="66"/>
      <c r="P369" s="42"/>
      <c r="Q369" s="67"/>
      <c r="R369" s="67"/>
    </row>
    <row r="370">
      <c r="A370" s="1" t="s">
        <v>230</v>
      </c>
      <c r="B370" s="38">
        <v>458677.0</v>
      </c>
      <c r="C370" s="44" t="s">
        <v>533</v>
      </c>
      <c r="D370" s="38">
        <v>267.0</v>
      </c>
      <c r="E370" s="39">
        <f>IFERROR(__xludf.DUMMYFUNCTION("sum(filter('PLA Sheet'!H:H,'PLA Sheet'!C:C=B370,'PLA Sheet'!D:D=C370))"),16.111111111)</f>
        <v>16.11111111</v>
      </c>
      <c r="F370" s="40">
        <v>5.182256365</v>
      </c>
      <c r="G370" s="40">
        <f>IFERROR(__xludf.DUMMYFUNCTION("sum(filter('PLA Sheet'!J:J,'PLA Sheet'!C:C=B370,'PLA Sheet'!D:D=C370))/E370*9"),2.792178372433049)</f>
        <v>2.792178372</v>
      </c>
      <c r="H370" s="41">
        <v>0.449438202</v>
      </c>
      <c r="I370" s="41">
        <v>0.220973783</v>
      </c>
      <c r="J370" s="41">
        <v>0.329588015</v>
      </c>
      <c r="K370" s="41">
        <f t="shared" si="1"/>
        <v>0.119850187</v>
      </c>
      <c r="L370" s="42">
        <v>-8.525113894</v>
      </c>
      <c r="M370" s="45">
        <f>('Cy Young Rank'!O$1-G370)*E370/9</f>
        <v>2.269557235</v>
      </c>
      <c r="N370" s="42"/>
      <c r="O370" s="66"/>
      <c r="P370" s="42"/>
      <c r="Q370" s="67"/>
      <c r="R370" s="67"/>
    </row>
    <row r="371">
      <c r="A371" s="1" t="s">
        <v>90</v>
      </c>
      <c r="B371" s="38">
        <v>693433.0</v>
      </c>
      <c r="C371" s="44" t="s">
        <v>533</v>
      </c>
      <c r="D371" s="38">
        <v>289.0</v>
      </c>
      <c r="E371" s="39">
        <f>IFERROR(__xludf.DUMMYFUNCTION("sum(filter('PLA Sheet'!H:H,'PLA Sheet'!C:C=B371,'PLA Sheet'!D:D=C371))"),20.358634246)</f>
        <v>20.35863425</v>
      </c>
      <c r="F371" s="40">
        <v>5.181802329</v>
      </c>
      <c r="G371" s="40">
        <f>IFERROR(__xludf.DUMMYFUNCTION("sum(filter('PLA Sheet'!J:J,'PLA Sheet'!C:C=B371,'PLA Sheet'!D:D=C371))/E371*9"),2.494187546494026)</f>
        <v>2.494187546</v>
      </c>
      <c r="H371" s="41">
        <v>0.484429066</v>
      </c>
      <c r="I371" s="41">
        <v>0.200692042</v>
      </c>
      <c r="J371" s="41">
        <v>0.314878893</v>
      </c>
      <c r="K371" s="41">
        <f t="shared" si="1"/>
        <v>0.169550173</v>
      </c>
      <c r="L371" s="42">
        <v>1.753872149</v>
      </c>
      <c r="M371" s="45">
        <f>('Cy Young Rank'!O$1-G371)*E371/9</f>
        <v>3.541978115</v>
      </c>
      <c r="N371" s="42"/>
      <c r="O371" s="66"/>
      <c r="P371" s="42"/>
      <c r="Q371" s="67"/>
      <c r="R371" s="67"/>
    </row>
    <row r="372">
      <c r="A372" s="1" t="s">
        <v>366</v>
      </c>
      <c r="B372" s="38">
        <v>656550.0</v>
      </c>
      <c r="C372" s="44" t="s">
        <v>533</v>
      </c>
      <c r="D372" s="38">
        <v>675.0</v>
      </c>
      <c r="E372" s="39">
        <f>IFERROR(__xludf.DUMMYFUNCTION("sum(filter('PLA Sheet'!H:H,'PLA Sheet'!C:C=B372,'PLA Sheet'!D:D=C372))"),40.8706721)</f>
        <v>40.8706721</v>
      </c>
      <c r="F372" s="40">
        <v>5.181614866</v>
      </c>
      <c r="G372" s="40">
        <f>IFERROR(__xludf.DUMMYFUNCTION("sum(filter('PLA Sheet'!J:J,'PLA Sheet'!C:C=B372,'PLA Sheet'!D:D=C372))/E372*9"),2.9839270247772607)</f>
        <v>2.983927025</v>
      </c>
      <c r="H372" s="41">
        <v>0.48</v>
      </c>
      <c r="I372" s="41">
        <v>0.237037037</v>
      </c>
      <c r="J372" s="41">
        <v>0.282962963</v>
      </c>
      <c r="K372" s="41">
        <f t="shared" si="1"/>
        <v>0.197037037</v>
      </c>
      <c r="L372" s="42">
        <v>8.36390922</v>
      </c>
      <c r="M372" s="45">
        <f>('Cy Young Rank'!O$1-G372)*E372/9</f>
        <v>4.886647303</v>
      </c>
      <c r="N372" s="42"/>
      <c r="O372" s="66"/>
      <c r="P372" s="42"/>
      <c r="Q372" s="67"/>
      <c r="R372" s="67"/>
    </row>
    <row r="373">
      <c r="A373" s="1" t="s">
        <v>132</v>
      </c>
      <c r="B373" s="38">
        <v>661403.0</v>
      </c>
      <c r="C373" s="44" t="s">
        <v>540</v>
      </c>
      <c r="D373" s="38">
        <v>491.0</v>
      </c>
      <c r="E373" s="39">
        <f>IFERROR(__xludf.DUMMYFUNCTION("sum(filter('PLA Sheet'!H:H,'PLA Sheet'!C:C=B373,'PLA Sheet'!D:D=C373))"),32.656823259999996)</f>
        <v>32.65682326</v>
      </c>
      <c r="F373" s="40">
        <v>5.180872638</v>
      </c>
      <c r="G373" s="40">
        <f>IFERROR(__xludf.DUMMYFUNCTION("sum(filter('PLA Sheet'!J:J,'PLA Sheet'!C:C=B373,'PLA Sheet'!D:D=C373))/E373*9"),2.7609358779988087)</f>
        <v>2.760935878</v>
      </c>
      <c r="H373" s="41">
        <v>0.50101833</v>
      </c>
      <c r="I373" s="41">
        <v>0.193482688</v>
      </c>
      <c r="J373" s="41">
        <v>0.305498982</v>
      </c>
      <c r="K373" s="41">
        <f t="shared" si="1"/>
        <v>0.195519348</v>
      </c>
      <c r="L373" s="42">
        <v>1.190420649</v>
      </c>
      <c r="M373" s="45">
        <f>('Cy Young Rank'!O$1-G373)*E373/9</f>
        <v>4.713700826</v>
      </c>
      <c r="N373" s="42"/>
      <c r="O373" s="66"/>
      <c r="P373" s="42"/>
      <c r="Q373" s="67"/>
      <c r="R373" s="67"/>
    </row>
    <row r="374">
      <c r="A374" s="1" t="s">
        <v>380</v>
      </c>
      <c r="B374" s="38">
        <v>661563.0</v>
      </c>
      <c r="C374" s="44" t="s">
        <v>537</v>
      </c>
      <c r="D374" s="38">
        <v>479.0</v>
      </c>
      <c r="E374" s="39">
        <f>IFERROR(__xludf.DUMMYFUNCTION("sum(filter('PLA Sheet'!H:H,'PLA Sheet'!C:C=B374,'PLA Sheet'!D:D=C374))"),28.85257732)</f>
        <v>28.85257732</v>
      </c>
      <c r="F374" s="40">
        <v>5.180539847</v>
      </c>
      <c r="G374" s="40">
        <f>IFERROR(__xludf.DUMMYFUNCTION("sum(filter('PLA Sheet'!J:J,'PLA Sheet'!C:C=B374,'PLA Sheet'!D:D=C374))/E374*9"),3.1696363200318767)</f>
        <v>3.16963632</v>
      </c>
      <c r="H374" s="41">
        <v>0.549060543</v>
      </c>
      <c r="I374" s="41">
        <v>0.114822547</v>
      </c>
      <c r="J374" s="41">
        <v>0.33611691</v>
      </c>
      <c r="K374" s="41">
        <f t="shared" si="1"/>
        <v>0.212943633</v>
      </c>
      <c r="L374" s="42">
        <v>-7.777623097</v>
      </c>
      <c r="M374" s="45">
        <f>('Cy Young Rank'!O$1-G374)*E374/9</f>
        <v>2.854365213</v>
      </c>
      <c r="N374" s="42"/>
      <c r="O374" s="66"/>
      <c r="P374" s="42"/>
      <c r="Q374" s="67"/>
      <c r="R374" s="67"/>
    </row>
    <row r="375">
      <c r="A375" s="1" t="s">
        <v>429</v>
      </c>
      <c r="B375" s="38">
        <v>662253.0</v>
      </c>
      <c r="C375" s="44" t="s">
        <v>537</v>
      </c>
      <c r="D375" s="38">
        <v>349.0</v>
      </c>
      <c r="E375" s="39">
        <f>IFERROR(__xludf.DUMMYFUNCTION("sum(filter('PLA Sheet'!H:H,'PLA Sheet'!C:C=B375,'PLA Sheet'!D:D=C375))"),22.108374386999998)</f>
        <v>22.10837439</v>
      </c>
      <c r="F375" s="40">
        <v>5.179699901</v>
      </c>
      <c r="G375" s="40">
        <f>IFERROR(__xludf.DUMMYFUNCTION("sum(filter('PLA Sheet'!J:J,'PLA Sheet'!C:C=B375,'PLA Sheet'!D:D=C375))/E375*9"),3.0465432609828187)</f>
        <v>3.046543261</v>
      </c>
      <c r="H375" s="41">
        <v>0.558739255</v>
      </c>
      <c r="I375" s="41">
        <v>0.123209169</v>
      </c>
      <c r="J375" s="41">
        <v>0.318051576</v>
      </c>
      <c r="K375" s="41">
        <f t="shared" si="1"/>
        <v>0.240687679</v>
      </c>
      <c r="L375" s="42">
        <v>2.318272832</v>
      </c>
      <c r="M375" s="45">
        <f>('Cy Young Rank'!O$1-G375)*E375/9</f>
        <v>2.489542335</v>
      </c>
      <c r="N375" s="42"/>
      <c r="O375" s="66"/>
      <c r="P375" s="42"/>
      <c r="Q375" s="67"/>
      <c r="R375" s="67"/>
    </row>
    <row r="376">
      <c r="A376" s="1" t="s">
        <v>544</v>
      </c>
      <c r="B376" s="38">
        <v>805123.0</v>
      </c>
      <c r="C376" s="44" t="s">
        <v>537</v>
      </c>
      <c r="D376" s="38">
        <v>269.0</v>
      </c>
      <c r="E376" s="39">
        <f>IFERROR(__xludf.DUMMYFUNCTION("sum(filter('PLA Sheet'!H:H,'PLA Sheet'!C:C=B376,'PLA Sheet'!D:D=C376))"),17.517786561)</f>
        <v>17.51778656</v>
      </c>
      <c r="F376" s="40">
        <v>5.178033501</v>
      </c>
      <c r="G376" s="40">
        <f>IFERROR(__xludf.DUMMYFUNCTION("sum(filter('PLA Sheet'!J:J,'PLA Sheet'!C:C=B376,'PLA Sheet'!D:D=C376))/E376*9"),2.7700588673703956)</f>
        <v>2.770058867</v>
      </c>
      <c r="H376" s="41">
        <v>0.546468401</v>
      </c>
      <c r="I376" s="41">
        <v>0.144981413</v>
      </c>
      <c r="J376" s="41">
        <v>0.308550186</v>
      </c>
      <c r="K376" s="41">
        <f t="shared" si="1"/>
        <v>0.237918215</v>
      </c>
      <c r="L376" s="42">
        <v>1.837842533</v>
      </c>
      <c r="M376" s="45">
        <f>('Cy Young Rank'!O$1-G376)*E376/9</f>
        <v>2.51076816</v>
      </c>
      <c r="N376" s="42"/>
      <c r="O376" s="66"/>
      <c r="P376" s="42"/>
      <c r="Q376" s="67"/>
      <c r="R376" s="67"/>
    </row>
    <row r="377">
      <c r="A377" s="1" t="s">
        <v>257</v>
      </c>
      <c r="B377" s="38">
        <v>679358.0</v>
      </c>
      <c r="C377" s="44" t="s">
        <v>538</v>
      </c>
      <c r="D377" s="38">
        <v>306.0</v>
      </c>
      <c r="E377" s="39">
        <f>IFERROR(__xludf.DUMMYFUNCTION("sum(filter('PLA Sheet'!H:H,'PLA Sheet'!C:C=B377,'PLA Sheet'!D:D=C377))"),20.190895745)</f>
        <v>20.19089575</v>
      </c>
      <c r="F377" s="40">
        <v>5.177855019</v>
      </c>
      <c r="G377" s="40">
        <f>IFERROR(__xludf.DUMMYFUNCTION("sum(filter('PLA Sheet'!J:J,'PLA Sheet'!C:C=B377,'PLA Sheet'!D:D=C377))/E377*9"),2.775988579599295)</f>
        <v>2.77598858</v>
      </c>
      <c r="H377" s="41">
        <v>0.467320261</v>
      </c>
      <c r="I377" s="41">
        <v>0.202614379</v>
      </c>
      <c r="J377" s="41">
        <v>0.330065359</v>
      </c>
      <c r="K377" s="41">
        <f t="shared" si="1"/>
        <v>0.137254902</v>
      </c>
      <c r="L377" s="42">
        <v>-0.213601691</v>
      </c>
      <c r="M377" s="45">
        <f>('Cy Young Rank'!O$1-G377)*E377/9</f>
        <v>2.880593414</v>
      </c>
      <c r="N377" s="42"/>
      <c r="O377" s="66"/>
      <c r="P377" s="42"/>
      <c r="Q377" s="67"/>
      <c r="R377" s="67"/>
    </row>
    <row r="378">
      <c r="A378" s="1" t="s">
        <v>113</v>
      </c>
      <c r="B378" s="38">
        <v>664285.0</v>
      </c>
      <c r="C378" s="44" t="s">
        <v>536</v>
      </c>
      <c r="D378" s="38">
        <v>1220.0</v>
      </c>
      <c r="E378" s="39">
        <f>IFERROR(__xludf.DUMMYFUNCTION("sum(filter('PLA Sheet'!H:H,'PLA Sheet'!C:C=B378,'PLA Sheet'!D:D=C378))"),84.56509695)</f>
        <v>84.56509695</v>
      </c>
      <c r="F378" s="40">
        <v>5.177402297</v>
      </c>
      <c r="G378" s="40">
        <f>IFERROR(__xludf.DUMMYFUNCTION("sum(filter('PLA Sheet'!J:J,'PLA Sheet'!C:C=B378,'PLA Sheet'!D:D=C378))/E378*9"),2.6732305425447755)</f>
        <v>2.673230543</v>
      </c>
      <c r="H378" s="41">
        <v>0.490983607</v>
      </c>
      <c r="I378" s="41">
        <v>0.194262295</v>
      </c>
      <c r="J378" s="41">
        <v>0.314754098</v>
      </c>
      <c r="K378" s="41">
        <f t="shared" si="1"/>
        <v>0.176229509</v>
      </c>
      <c r="L378" s="42">
        <v>7.342935441</v>
      </c>
      <c r="M378" s="45">
        <f>('Cy Young Rank'!O$1-G378)*E378/9</f>
        <v>13.03025485</v>
      </c>
      <c r="N378" s="42"/>
      <c r="O378" s="66"/>
      <c r="P378" s="42"/>
      <c r="Q378" s="67"/>
      <c r="R378" s="67"/>
    </row>
    <row r="379">
      <c r="A379" s="1" t="s">
        <v>319</v>
      </c>
      <c r="B379" s="38">
        <v>607481.0</v>
      </c>
      <c r="C379" s="44" t="s">
        <v>536</v>
      </c>
      <c r="D379" s="38">
        <v>309.0</v>
      </c>
      <c r="E379" s="39">
        <f>IFERROR(__xludf.DUMMYFUNCTION("sum(filter('PLA Sheet'!H:H,'PLA Sheet'!C:C=B379,'PLA Sheet'!D:D=C379))"),18.888412015)</f>
        <v>18.88841202</v>
      </c>
      <c r="F379" s="40">
        <v>5.17713506</v>
      </c>
      <c r="G379" s="40">
        <f>IFERROR(__xludf.DUMMYFUNCTION("sum(filter('PLA Sheet'!J:J,'PLA Sheet'!C:C=B379,'PLA Sheet'!D:D=C379))/E379*9"),3.0846588878795167)</f>
        <v>3.084658888</v>
      </c>
      <c r="H379" s="41">
        <v>0.524271845</v>
      </c>
      <c r="I379" s="41">
        <v>0.16828479</v>
      </c>
      <c r="J379" s="41">
        <v>0.307443366</v>
      </c>
      <c r="K379" s="41">
        <f t="shared" si="1"/>
        <v>0.216828479</v>
      </c>
      <c r="L379" s="42">
        <v>5.49526201</v>
      </c>
      <c r="M379" s="45">
        <f>('Cy Young Rank'!O$1-G379)*E379/9</f>
        <v>2.046960531</v>
      </c>
      <c r="N379" s="42"/>
      <c r="O379" s="66"/>
      <c r="P379" s="42"/>
      <c r="Q379" s="67"/>
      <c r="R379" s="67"/>
    </row>
    <row r="380">
      <c r="A380" s="1" t="s">
        <v>280</v>
      </c>
      <c r="B380" s="38">
        <v>608032.0</v>
      </c>
      <c r="C380" s="44" t="s">
        <v>537</v>
      </c>
      <c r="D380" s="38">
        <v>532.0</v>
      </c>
      <c r="E380" s="39">
        <f>IFERROR(__xludf.DUMMYFUNCTION("sum(filter('PLA Sheet'!H:H,'PLA Sheet'!C:C=B380,'PLA Sheet'!D:D=C380))"),35.3096836)</f>
        <v>35.3096836</v>
      </c>
      <c r="F380" s="40">
        <v>5.17685893</v>
      </c>
      <c r="G380" s="40">
        <f>IFERROR(__xludf.DUMMYFUNCTION("sum(filter('PLA Sheet'!J:J,'PLA Sheet'!C:C=B380,'PLA Sheet'!D:D=C380))/E380*9"),3.009114134344721)</f>
        <v>3.009114134</v>
      </c>
      <c r="H380" s="41">
        <v>0.511278195</v>
      </c>
      <c r="I380" s="41">
        <v>0.152255639</v>
      </c>
      <c r="J380" s="41">
        <v>0.336466165</v>
      </c>
      <c r="K380" s="41">
        <f t="shared" si="1"/>
        <v>0.17481203</v>
      </c>
      <c r="L380" s="42">
        <v>0.249546584</v>
      </c>
      <c r="M380" s="45">
        <f>('Cy Young Rank'!O$1-G380)*E380/9</f>
        <v>4.122938602</v>
      </c>
      <c r="N380" s="42"/>
      <c r="O380" s="66"/>
      <c r="P380" s="42"/>
      <c r="Q380" s="67"/>
      <c r="R380" s="67"/>
    </row>
    <row r="381">
      <c r="A381" s="1" t="s">
        <v>278</v>
      </c>
      <c r="B381" s="38">
        <v>542881.0</v>
      </c>
      <c r="C381" s="44" t="s">
        <v>532</v>
      </c>
      <c r="D381" s="38">
        <v>767.0</v>
      </c>
      <c r="E381" s="39">
        <f>IFERROR(__xludf.DUMMYFUNCTION("sum(filter('PLA Sheet'!H:H,'PLA Sheet'!C:C=B381,'PLA Sheet'!D:D=C381))"),46.377834828000005)</f>
        <v>46.37783483</v>
      </c>
      <c r="F381" s="40">
        <v>5.176549387</v>
      </c>
      <c r="G381" s="40">
        <f>IFERROR(__xludf.DUMMYFUNCTION("sum(filter('PLA Sheet'!J:J,'PLA Sheet'!C:C=B381,'PLA Sheet'!D:D=C381))/E381*9"),2.9016840371934056)</f>
        <v>2.901684037</v>
      </c>
      <c r="H381" s="41">
        <v>0.478487614</v>
      </c>
      <c r="I381" s="41">
        <v>0.187744459</v>
      </c>
      <c r="J381" s="41">
        <v>0.333767927</v>
      </c>
      <c r="K381" s="41">
        <f t="shared" si="1"/>
        <v>0.144719687</v>
      </c>
      <c r="L381" s="42">
        <v>5.638969606</v>
      </c>
      <c r="M381" s="45">
        <f>('Cy Young Rank'!O$1-G381)*E381/9</f>
        <v>5.9689096</v>
      </c>
      <c r="N381" s="42"/>
      <c r="O381" s="66"/>
      <c r="P381" s="42"/>
      <c r="Q381" s="67"/>
      <c r="R381" s="67"/>
    </row>
    <row r="382">
      <c r="A382" s="1" t="s">
        <v>92</v>
      </c>
      <c r="B382" s="38">
        <v>681911.0</v>
      </c>
      <c r="C382" s="44" t="s">
        <v>533</v>
      </c>
      <c r="D382" s="38">
        <v>361.0</v>
      </c>
      <c r="E382" s="39">
        <f>IFERROR(__xludf.DUMMYFUNCTION("sum(filter('PLA Sheet'!H:H,'PLA Sheet'!C:C=B382,'PLA Sheet'!D:D=C382))"),21.702287578)</f>
        <v>21.70228758</v>
      </c>
      <c r="F382" s="40">
        <v>5.175154781</v>
      </c>
      <c r="G382" s="40">
        <f>IFERROR(__xludf.DUMMYFUNCTION("sum(filter('PLA Sheet'!J:J,'PLA Sheet'!C:C=B382,'PLA Sheet'!D:D=C382))/E382*9"),2.977236190782911)</f>
        <v>2.977236191</v>
      </c>
      <c r="H382" s="41">
        <v>0.487534626</v>
      </c>
      <c r="I382" s="41">
        <v>0.182825485</v>
      </c>
      <c r="J382" s="41">
        <v>0.329639889</v>
      </c>
      <c r="K382" s="41">
        <f t="shared" si="1"/>
        <v>0.157894737</v>
      </c>
      <c r="L382" s="42">
        <v>7.145176089</v>
      </c>
      <c r="M382" s="45">
        <f>('Cy Young Rank'!O$1-G382)*E382/9</f>
        <v>2.610939063</v>
      </c>
      <c r="N382" s="42"/>
      <c r="O382" s="66"/>
      <c r="P382" s="42"/>
      <c r="Q382" s="67"/>
      <c r="R382" s="67"/>
    </row>
    <row r="383">
      <c r="A383" s="1" t="s">
        <v>392</v>
      </c>
      <c r="B383" s="38">
        <v>489446.0</v>
      </c>
      <c r="C383" s="44" t="s">
        <v>537</v>
      </c>
      <c r="D383" s="38">
        <v>430.0</v>
      </c>
      <c r="E383" s="39">
        <f>IFERROR(__xludf.DUMMYFUNCTION("sum(filter('PLA Sheet'!H:H,'PLA Sheet'!C:C=B383,'PLA Sheet'!D:D=C383))"),23.867016618)</f>
        <v>23.86701662</v>
      </c>
      <c r="F383" s="40">
        <v>5.174619742</v>
      </c>
      <c r="G383" s="40">
        <f>IFERROR(__xludf.DUMMYFUNCTION("sum(filter('PLA Sheet'!J:J,'PLA Sheet'!C:C=B383,'PLA Sheet'!D:D=C383))/E383*9"),3.4598993381402265)</f>
        <v>3.459899338</v>
      </c>
      <c r="H383" s="41">
        <v>0.565116279</v>
      </c>
      <c r="I383" s="41">
        <v>0.144186047</v>
      </c>
      <c r="J383" s="41">
        <v>0.290697674</v>
      </c>
      <c r="K383" s="41">
        <f t="shared" si="1"/>
        <v>0.274418605</v>
      </c>
      <c r="L383" s="42">
        <v>6.29993487</v>
      </c>
      <c r="M383" s="45">
        <f>('Cy Young Rank'!O$1-G383)*E383/9</f>
        <v>1.591401385</v>
      </c>
      <c r="N383" s="42"/>
      <c r="O383" s="66"/>
      <c r="P383" s="42"/>
      <c r="Q383" s="67"/>
      <c r="R383" s="67"/>
    </row>
    <row r="384">
      <c r="A384" s="1" t="s">
        <v>440</v>
      </c>
      <c r="B384" s="38">
        <v>542888.0</v>
      </c>
      <c r="C384" s="44" t="s">
        <v>540</v>
      </c>
      <c r="D384" s="38">
        <v>254.0</v>
      </c>
      <c r="E384" s="39">
        <f>IFERROR(__xludf.DUMMYFUNCTION("sum(filter('PLA Sheet'!H:H,'PLA Sheet'!C:C=B384,'PLA Sheet'!D:D=C384))"),17.82094897)</f>
        <v>17.82094897</v>
      </c>
      <c r="F384" s="40">
        <v>5.173361757</v>
      </c>
      <c r="G384" s="40">
        <f>IFERROR(__xludf.DUMMYFUNCTION("sum(filter('PLA Sheet'!J:J,'PLA Sheet'!C:C=B384,'PLA Sheet'!D:D=C384))/E384*9"),2.8164308244467184)</f>
        <v>2.816430824</v>
      </c>
      <c r="H384" s="41">
        <v>0.484251969</v>
      </c>
      <c r="I384" s="41">
        <v>0.169291339</v>
      </c>
      <c r="J384" s="41">
        <v>0.346456693</v>
      </c>
      <c r="K384" s="41">
        <f t="shared" si="1"/>
        <v>0.137795276</v>
      </c>
      <c r="L384" s="42">
        <v>4.96199481</v>
      </c>
      <c r="M384" s="45">
        <f>('Cy Young Rank'!O$1-G384)*E384/9</f>
        <v>2.462398091</v>
      </c>
      <c r="N384" s="42"/>
      <c r="O384" s="66"/>
      <c r="P384" s="42"/>
      <c r="Q384" s="67"/>
      <c r="R384" s="67"/>
    </row>
    <row r="385">
      <c r="A385" s="1" t="s">
        <v>146</v>
      </c>
      <c r="B385" s="38">
        <v>623437.0</v>
      </c>
      <c r="C385" s="44" t="s">
        <v>539</v>
      </c>
      <c r="D385" s="38">
        <v>284.0</v>
      </c>
      <c r="E385" s="39">
        <f>IFERROR(__xludf.DUMMYFUNCTION("sum(filter('PLA Sheet'!H:H,'PLA Sheet'!C:C=B385,'PLA Sheet'!D:D=C385))"),17.57142857)</f>
        <v>17.57142857</v>
      </c>
      <c r="F385" s="40">
        <v>5.172944409</v>
      </c>
      <c r="G385" s="40">
        <f>IFERROR(__xludf.DUMMYFUNCTION("sum(filter('PLA Sheet'!J:J,'PLA Sheet'!C:C=B385,'PLA Sheet'!D:D=C385))/E385*9"),2.925180146579283)</f>
        <v>2.925180147</v>
      </c>
      <c r="H385" s="41">
        <v>0.538732394</v>
      </c>
      <c r="I385" s="41">
        <v>0.10915493</v>
      </c>
      <c r="J385" s="41">
        <v>0.352112676</v>
      </c>
      <c r="K385" s="41">
        <f t="shared" si="1"/>
        <v>0.186619718</v>
      </c>
      <c r="L385" s="42">
        <v>-3.354720122</v>
      </c>
      <c r="M385" s="45">
        <f>('Cy Young Rank'!O$1-G385)*E385/9</f>
        <v>2.215600666</v>
      </c>
      <c r="N385" s="42"/>
      <c r="O385" s="66"/>
      <c r="P385" s="42"/>
      <c r="Q385" s="67"/>
      <c r="R385" s="67"/>
    </row>
    <row r="386">
      <c r="A386" s="1" t="s">
        <v>217</v>
      </c>
      <c r="B386" s="38">
        <v>642701.0</v>
      </c>
      <c r="C386" s="44" t="s">
        <v>533</v>
      </c>
      <c r="D386" s="38">
        <v>442.0</v>
      </c>
      <c r="E386" s="39">
        <f>IFERROR(__xludf.DUMMYFUNCTION("sum(filter('PLA Sheet'!H:H,'PLA Sheet'!C:C=B386,'PLA Sheet'!D:D=C386))"),32.6020646)</f>
        <v>32.6020646</v>
      </c>
      <c r="F386" s="40">
        <v>5.172256441</v>
      </c>
      <c r="G386" s="40">
        <f>IFERROR(__xludf.DUMMYFUNCTION("sum(filter('PLA Sheet'!J:J,'PLA Sheet'!C:C=B386,'PLA Sheet'!D:D=C386))/E386*9"),2.478281820225582)</f>
        <v>2.47828182</v>
      </c>
      <c r="H386" s="41">
        <v>0.466063348</v>
      </c>
      <c r="I386" s="41">
        <v>0.230769231</v>
      </c>
      <c r="J386" s="41">
        <v>0.303167421</v>
      </c>
      <c r="K386" s="41">
        <f t="shared" si="1"/>
        <v>0.162895927</v>
      </c>
      <c r="L386" s="42">
        <v>9.750585389</v>
      </c>
      <c r="M386" s="45">
        <f>('Cy Young Rank'!O$1-G386)*E386/9</f>
        <v>5.729697586</v>
      </c>
      <c r="N386" s="42"/>
      <c r="O386" s="66"/>
      <c r="P386" s="42"/>
      <c r="Q386" s="67"/>
      <c r="R386" s="67"/>
    </row>
    <row r="387">
      <c r="A387" s="1" t="s">
        <v>374</v>
      </c>
      <c r="B387" s="38">
        <v>683004.0</v>
      </c>
      <c r="C387" s="44" t="s">
        <v>536</v>
      </c>
      <c r="D387" s="38">
        <v>317.0</v>
      </c>
      <c r="E387" s="39">
        <f>IFERROR(__xludf.DUMMYFUNCTION("sum(filter('PLA Sheet'!H:H,'PLA Sheet'!C:C=B387,'PLA Sheet'!D:D=C387))"),19.075722397)</f>
        <v>19.0757224</v>
      </c>
      <c r="F387" s="40">
        <v>5.171636956</v>
      </c>
      <c r="G387" s="40">
        <f>IFERROR(__xludf.DUMMYFUNCTION("sum(filter('PLA Sheet'!J:J,'PLA Sheet'!C:C=B387,'PLA Sheet'!D:D=C387))/E387*9"),3.297719042603239)</f>
        <v>3.297719043</v>
      </c>
      <c r="H387" s="41">
        <v>0.555205047</v>
      </c>
      <c r="I387" s="41">
        <v>0.135646688</v>
      </c>
      <c r="J387" s="41">
        <v>0.309148265</v>
      </c>
      <c r="K387" s="41">
        <f t="shared" si="1"/>
        <v>0.246056782</v>
      </c>
      <c r="L387" s="42">
        <v>-2.259144713</v>
      </c>
      <c r="M387" s="45">
        <f>('Cy Young Rank'!O$1-G387)*E387/9</f>
        <v>1.615673326</v>
      </c>
      <c r="N387" s="42"/>
      <c r="O387" s="66"/>
      <c r="P387" s="42"/>
      <c r="Q387" s="67"/>
      <c r="R387" s="67"/>
    </row>
    <row r="388">
      <c r="A388" s="1" t="s">
        <v>304</v>
      </c>
      <c r="B388" s="38">
        <v>666808.0</v>
      </c>
      <c r="C388" s="44" t="s">
        <v>533</v>
      </c>
      <c r="D388" s="38">
        <v>515.0</v>
      </c>
      <c r="E388" s="39">
        <f>IFERROR(__xludf.DUMMYFUNCTION("sum(filter('PLA Sheet'!H:H,'PLA Sheet'!C:C=B388,'PLA Sheet'!D:D=C388))"),31.333937740000003)</f>
        <v>31.33393774</v>
      </c>
      <c r="F388" s="40">
        <v>5.171319099</v>
      </c>
      <c r="G388" s="40">
        <f>IFERROR(__xludf.DUMMYFUNCTION("sum(filter('PLA Sheet'!J:J,'PLA Sheet'!C:C=B388,'PLA Sheet'!D:D=C388))/E388*9"),2.773406895778175)</f>
        <v>2.773406896</v>
      </c>
      <c r="H388" s="41">
        <v>0.489320388</v>
      </c>
      <c r="I388" s="41">
        <v>0.201941748</v>
      </c>
      <c r="J388" s="41">
        <v>0.308737864</v>
      </c>
      <c r="K388" s="41">
        <f t="shared" si="1"/>
        <v>0.180582524</v>
      </c>
      <c r="L388" s="42">
        <v>-1.240915747</v>
      </c>
      <c r="M388" s="45">
        <f>('Cy Young Rank'!O$1-G388)*E388/9</f>
        <v>4.479336469</v>
      </c>
      <c r="N388" s="42"/>
      <c r="O388" s="66"/>
      <c r="P388" s="42"/>
      <c r="Q388" s="67"/>
      <c r="R388" s="67"/>
    </row>
    <row r="389">
      <c r="A389" s="1" t="s">
        <v>411</v>
      </c>
      <c r="B389" s="38">
        <v>605288.0</v>
      </c>
      <c r="C389" s="44" t="s">
        <v>536</v>
      </c>
      <c r="D389" s="38">
        <v>846.0</v>
      </c>
      <c r="E389" s="39">
        <f>IFERROR(__xludf.DUMMYFUNCTION("sum(filter('PLA Sheet'!H:H,'PLA Sheet'!C:C=B389,'PLA Sheet'!D:D=C389))"),57.4127907)</f>
        <v>57.4127907</v>
      </c>
      <c r="F389" s="40">
        <v>5.17035234</v>
      </c>
      <c r="G389" s="40">
        <f>IFERROR(__xludf.DUMMYFUNCTION("sum(filter('PLA Sheet'!J:J,'PLA Sheet'!C:C=B389,'PLA Sheet'!D:D=C389))/E389*9"),2.7508608983189524)</f>
        <v>2.750860898</v>
      </c>
      <c r="H389" s="41">
        <v>0.494089835</v>
      </c>
      <c r="I389" s="41">
        <v>0.18321513</v>
      </c>
      <c r="J389" s="41">
        <v>0.322695035</v>
      </c>
      <c r="K389" s="41">
        <f t="shared" si="1"/>
        <v>0.1713948</v>
      </c>
      <c r="L389" s="42">
        <v>2.308439556</v>
      </c>
      <c r="M389" s="45">
        <f>('Cy Young Rank'!O$1-G389)*E389/9</f>
        <v>8.351258805</v>
      </c>
      <c r="N389" s="42"/>
      <c r="O389" s="66"/>
      <c r="P389" s="42"/>
      <c r="Q389" s="67"/>
      <c r="R389" s="67"/>
    </row>
    <row r="390">
      <c r="A390" s="1" t="s">
        <v>209</v>
      </c>
      <c r="B390" s="38">
        <v>694738.0</v>
      </c>
      <c r="C390" s="44" t="s">
        <v>532</v>
      </c>
      <c r="D390" s="38">
        <v>307.0</v>
      </c>
      <c r="E390" s="39">
        <f>IFERROR(__xludf.DUMMYFUNCTION("sum(filter('PLA Sheet'!H:H,'PLA Sheet'!C:C=B390,'PLA Sheet'!D:D=C390))"),18.209976589)</f>
        <v>18.20997659</v>
      </c>
      <c r="F390" s="40">
        <v>5.170187268</v>
      </c>
      <c r="G390" s="40">
        <f>IFERROR(__xludf.DUMMYFUNCTION("sum(filter('PLA Sheet'!J:J,'PLA Sheet'!C:C=B390,'PLA Sheet'!D:D=C390))/E390*9"),2.9821525983072203)</f>
        <v>2.982152598</v>
      </c>
      <c r="H390" s="41">
        <v>0.465798046</v>
      </c>
      <c r="I390" s="41">
        <v>0.211726384</v>
      </c>
      <c r="J390" s="41">
        <v>0.32247557</v>
      </c>
      <c r="K390" s="41">
        <f t="shared" si="1"/>
        <v>0.143322476</v>
      </c>
      <c r="L390" s="42">
        <v>1.373204677</v>
      </c>
      <c r="M390" s="45">
        <f>('Cy Young Rank'!O$1-G390)*E390/9</f>
        <v>2.180841772</v>
      </c>
      <c r="N390" s="42"/>
      <c r="O390" s="66"/>
      <c r="P390" s="42"/>
      <c r="Q390" s="67"/>
      <c r="R390" s="67"/>
    </row>
    <row r="391">
      <c r="A391" s="1" t="s">
        <v>112</v>
      </c>
      <c r="B391" s="38">
        <v>683232.0</v>
      </c>
      <c r="C391" s="44" t="s">
        <v>537</v>
      </c>
      <c r="D391" s="38">
        <v>433.0</v>
      </c>
      <c r="E391" s="39">
        <f>IFERROR(__xludf.DUMMYFUNCTION("sum(filter('PLA Sheet'!H:H,'PLA Sheet'!C:C=B391,'PLA Sheet'!D:D=C391))"),30.311637080000004)</f>
        <v>30.31163708</v>
      </c>
      <c r="F391" s="40">
        <v>5.170042246</v>
      </c>
      <c r="G391" s="40">
        <f>IFERROR(__xludf.DUMMYFUNCTION("sum(filter('PLA Sheet'!J:J,'PLA Sheet'!C:C=B391,'PLA Sheet'!D:D=C391))/E391*9"),2.77029356013918)</f>
        <v>2.77029356</v>
      </c>
      <c r="H391" s="41">
        <v>0.51039261</v>
      </c>
      <c r="I391" s="41">
        <v>0.163972286</v>
      </c>
      <c r="J391" s="41">
        <v>0.325635104</v>
      </c>
      <c r="K391" s="41">
        <f t="shared" si="1"/>
        <v>0.184757506</v>
      </c>
      <c r="L391" s="42">
        <v>-6.349108084</v>
      </c>
      <c r="M391" s="45">
        <f>('Cy Young Rank'!O$1-G391)*E391/9</f>
        <v>4.343679283</v>
      </c>
      <c r="N391" s="42"/>
      <c r="O391" s="66"/>
      <c r="P391" s="42"/>
      <c r="Q391" s="67"/>
      <c r="R391" s="67"/>
    </row>
    <row r="392">
      <c r="A392" s="1" t="s">
        <v>461</v>
      </c>
      <c r="B392" s="38">
        <v>673540.0</v>
      </c>
      <c r="C392" s="44" t="s">
        <v>540</v>
      </c>
      <c r="D392" s="38">
        <v>375.0</v>
      </c>
      <c r="E392" s="39">
        <f>IFERROR(__xludf.DUMMYFUNCTION("sum(filter('PLA Sheet'!H:H,'PLA Sheet'!C:C=B392,'PLA Sheet'!D:D=C392))"),23.108535296)</f>
        <v>23.1085353</v>
      </c>
      <c r="F392" s="40">
        <v>5.169668732</v>
      </c>
      <c r="G392" s="40">
        <f>IFERROR(__xludf.DUMMYFUNCTION("sum(filter('PLA Sheet'!J:J,'PLA Sheet'!C:C=B392,'PLA Sheet'!D:D=C392))/E392*9"),3.0909481749959204)</f>
        <v>3.090948175</v>
      </c>
      <c r="H392" s="41">
        <v>0.517333333</v>
      </c>
      <c r="I392" s="41">
        <v>0.138666667</v>
      </c>
      <c r="J392" s="41">
        <v>0.344</v>
      </c>
      <c r="K392" s="41">
        <f t="shared" si="1"/>
        <v>0.173333333</v>
      </c>
      <c r="L392" s="42">
        <v>-2.076567458</v>
      </c>
      <c r="M392" s="45">
        <f>('Cy Young Rank'!O$1-G392)*E392/9</f>
        <v>2.488152034</v>
      </c>
      <c r="N392" s="42"/>
      <c r="O392" s="66"/>
      <c r="P392" s="42"/>
      <c r="Q392" s="67"/>
      <c r="R392" s="67"/>
    </row>
    <row r="393">
      <c r="A393" s="1" t="s">
        <v>269</v>
      </c>
      <c r="B393" s="38">
        <v>605280.0</v>
      </c>
      <c r="C393" s="44" t="s">
        <v>536</v>
      </c>
      <c r="D393" s="38">
        <v>1085.0</v>
      </c>
      <c r="E393" s="39">
        <f>IFERROR(__xludf.DUMMYFUNCTION("sum(filter('PLA Sheet'!H:H,'PLA Sheet'!C:C=B393,'PLA Sheet'!D:D=C393))"),67.89814144)</f>
        <v>67.89814144</v>
      </c>
      <c r="F393" s="40">
        <v>5.169398676</v>
      </c>
      <c r="G393" s="40">
        <f>IFERROR(__xludf.DUMMYFUNCTION("sum(filter('PLA Sheet'!J:J,'PLA Sheet'!C:C=B393,'PLA Sheet'!D:D=C393))/E393*9"),2.94204214965917)</f>
        <v>2.94204215</v>
      </c>
      <c r="H393" s="41">
        <v>0.538248848</v>
      </c>
      <c r="I393" s="41">
        <v>0.153917051</v>
      </c>
      <c r="J393" s="41">
        <v>0.307834101</v>
      </c>
      <c r="K393" s="41">
        <f t="shared" si="1"/>
        <v>0.230414747</v>
      </c>
      <c r="L393" s="42">
        <v>13.71770455</v>
      </c>
      <c r="M393" s="45">
        <f>('Cy Young Rank'!O$1-G393)*E393/9</f>
        <v>8.434140027</v>
      </c>
      <c r="N393" s="42"/>
      <c r="O393" s="66"/>
      <c r="P393" s="42"/>
      <c r="Q393" s="67"/>
      <c r="R393" s="67"/>
    </row>
    <row r="394">
      <c r="A394" s="1" t="s">
        <v>227</v>
      </c>
      <c r="B394" s="38">
        <v>663687.0</v>
      </c>
      <c r="C394" s="44" t="s">
        <v>537</v>
      </c>
      <c r="D394" s="38">
        <v>618.0</v>
      </c>
      <c r="E394" s="39">
        <f>IFERROR(__xludf.DUMMYFUNCTION("sum(filter('PLA Sheet'!H:H,'PLA Sheet'!C:C=B394,'PLA Sheet'!D:D=C394))"),36.6157037)</f>
        <v>36.6157037</v>
      </c>
      <c r="F394" s="40">
        <v>5.169224225</v>
      </c>
      <c r="G394" s="40">
        <f>IFERROR(__xludf.DUMMYFUNCTION("sum(filter('PLA Sheet'!J:J,'PLA Sheet'!C:C=B394,'PLA Sheet'!D:D=C394))/E394*9"),3.1682414449950884)</f>
        <v>3.168241445</v>
      </c>
      <c r="H394" s="41">
        <v>0.564724919</v>
      </c>
      <c r="I394" s="41">
        <v>0.124595469</v>
      </c>
      <c r="J394" s="41">
        <v>0.310679612</v>
      </c>
      <c r="K394" s="41">
        <f t="shared" si="1"/>
        <v>0.254045307</v>
      </c>
      <c r="L394" s="42">
        <v>-0.259290559</v>
      </c>
      <c r="M394" s="45">
        <f>('Cy Young Rank'!O$1-G394)*E394/9</f>
        <v>3.62804078</v>
      </c>
      <c r="N394" s="42"/>
      <c r="O394" s="66"/>
      <c r="P394" s="42"/>
      <c r="Q394" s="67"/>
      <c r="R394" s="67"/>
    </row>
    <row r="395">
      <c r="A395" s="1" t="s">
        <v>81</v>
      </c>
      <c r="B395" s="38">
        <v>663158.0</v>
      </c>
      <c r="C395" s="44" t="s">
        <v>532</v>
      </c>
      <c r="D395" s="38">
        <v>251.0</v>
      </c>
      <c r="E395" s="39">
        <f>IFERROR(__xludf.DUMMYFUNCTION("sum(filter('PLA Sheet'!H:H,'PLA Sheet'!C:C=B395,'PLA Sheet'!D:D=C395))"),16.639714993)</f>
        <v>16.63971499</v>
      </c>
      <c r="F395" s="40">
        <v>5.169217373</v>
      </c>
      <c r="G395" s="40">
        <f>IFERROR(__xludf.DUMMYFUNCTION("sum(filter('PLA Sheet'!J:J,'PLA Sheet'!C:C=B395,'PLA Sheet'!D:D=C395))/E395*9"),2.6037921934496207)</f>
        <v>2.603792193</v>
      </c>
      <c r="H395" s="41">
        <v>0.486055777</v>
      </c>
      <c r="I395" s="41">
        <v>0.163346614</v>
      </c>
      <c r="J395" s="41">
        <v>0.35059761</v>
      </c>
      <c r="K395" s="41">
        <f t="shared" si="1"/>
        <v>0.135458167</v>
      </c>
      <c r="L395" s="42">
        <v>-3.827348562</v>
      </c>
      <c r="M395" s="45">
        <f>('Cy Young Rank'!O$1-G395)*E395/9</f>
        <v>2.692320319</v>
      </c>
      <c r="N395" s="42"/>
      <c r="O395" s="66"/>
      <c r="P395" s="42"/>
      <c r="Q395" s="67"/>
      <c r="R395" s="67"/>
    </row>
    <row r="396">
      <c r="A396" s="1" t="s">
        <v>421</v>
      </c>
      <c r="B396" s="38">
        <v>607192.0</v>
      </c>
      <c r="C396" s="44" t="s">
        <v>537</v>
      </c>
      <c r="D396" s="38">
        <v>510.0</v>
      </c>
      <c r="E396" s="39">
        <f>IFERROR(__xludf.DUMMYFUNCTION("sum(filter('PLA Sheet'!H:H,'PLA Sheet'!C:C=B396,'PLA Sheet'!D:D=C396))"),31.98288288)</f>
        <v>31.98288288</v>
      </c>
      <c r="F396" s="40">
        <v>5.168614632</v>
      </c>
      <c r="G396" s="40">
        <f>IFERROR(__xludf.DUMMYFUNCTION("sum(filter('PLA Sheet'!J:J,'PLA Sheet'!C:C=B396,'PLA Sheet'!D:D=C396))/E396*9"),3.158742549227007)</f>
        <v>3.158742549</v>
      </c>
      <c r="H396" s="41">
        <v>0.545098039</v>
      </c>
      <c r="I396" s="41">
        <v>0.143137255</v>
      </c>
      <c r="J396" s="41">
        <v>0.311764706</v>
      </c>
      <c r="K396" s="41">
        <f t="shared" si="1"/>
        <v>0.233333333</v>
      </c>
      <c r="L396" s="42">
        <v>7.754165472</v>
      </c>
      <c r="M396" s="45">
        <f>('Cy Young Rank'!O$1-G396)*E396/9</f>
        <v>3.202756833</v>
      </c>
      <c r="N396" s="42"/>
      <c r="O396" s="66"/>
      <c r="P396" s="42"/>
      <c r="Q396" s="67"/>
      <c r="R396" s="67"/>
    </row>
    <row r="397">
      <c r="A397" s="1" t="s">
        <v>154</v>
      </c>
      <c r="B397" s="38">
        <v>445276.0</v>
      </c>
      <c r="C397" s="44" t="s">
        <v>540</v>
      </c>
      <c r="D397" s="38">
        <v>690.0</v>
      </c>
      <c r="E397" s="39">
        <f>IFERROR(__xludf.DUMMYFUNCTION("sum(filter('PLA Sheet'!H:H,'PLA Sheet'!C:C=B397,'PLA Sheet'!D:D=C397))"),48.12442396)</f>
        <v>48.12442396</v>
      </c>
      <c r="F397" s="40">
        <v>5.168333474</v>
      </c>
      <c r="G397" s="40">
        <f>IFERROR(__xludf.DUMMYFUNCTION("sum(filter('PLA Sheet'!J:J,'PLA Sheet'!C:C=B397,'PLA Sheet'!D:D=C397))/E397*9"),2.622777450903331)</f>
        <v>2.622777451</v>
      </c>
      <c r="H397" s="41">
        <v>0.544927536</v>
      </c>
      <c r="I397" s="41">
        <v>0.173913043</v>
      </c>
      <c r="J397" s="41">
        <v>0.28115942</v>
      </c>
      <c r="K397" s="41">
        <f t="shared" si="1"/>
        <v>0.263768116</v>
      </c>
      <c r="L397" s="42">
        <v>9.30538727</v>
      </c>
      <c r="M397" s="45">
        <f>('Cy Young Rank'!O$1-G397)*E397/9</f>
        <v>7.685056364</v>
      </c>
      <c r="N397" s="42"/>
      <c r="O397" s="66"/>
      <c r="P397" s="42"/>
      <c r="Q397" s="67"/>
      <c r="R397" s="67"/>
    </row>
    <row r="398">
      <c r="A398" s="1" t="s">
        <v>413</v>
      </c>
      <c r="B398" s="38">
        <v>671737.0</v>
      </c>
      <c r="C398" s="44" t="s">
        <v>537</v>
      </c>
      <c r="D398" s="38">
        <v>1036.0</v>
      </c>
      <c r="E398" s="39">
        <f>IFERROR(__xludf.DUMMYFUNCTION("sum(filter('PLA Sheet'!H:H,'PLA Sheet'!C:C=B398,'PLA Sheet'!D:D=C398))"),66.33905768)</f>
        <v>66.33905768</v>
      </c>
      <c r="F398" s="40">
        <v>5.167153053</v>
      </c>
      <c r="G398" s="40">
        <f>IFERROR(__xludf.DUMMYFUNCTION("sum(filter('PLA Sheet'!J:J,'PLA Sheet'!C:C=B398,'PLA Sheet'!D:D=C398))/E398*9"),3.005430570957727)</f>
        <v>3.005430571</v>
      </c>
      <c r="H398" s="41">
        <v>0.546332046</v>
      </c>
      <c r="I398" s="41">
        <v>0.125482625</v>
      </c>
      <c r="J398" s="41">
        <v>0.328185328</v>
      </c>
      <c r="K398" s="41">
        <f t="shared" si="1"/>
        <v>0.218146718</v>
      </c>
      <c r="L398" s="42">
        <v>-18.52514118</v>
      </c>
      <c r="M398" s="45">
        <f>('Cy Young Rank'!O$1-G398)*E398/9</f>
        <v>7.77323802</v>
      </c>
      <c r="N398" s="42"/>
      <c r="O398" s="66"/>
      <c r="P398" s="42"/>
      <c r="Q398" s="67"/>
      <c r="R398" s="67"/>
    </row>
    <row r="399">
      <c r="A399" s="1" t="s">
        <v>214</v>
      </c>
      <c r="B399" s="38">
        <v>674444.0</v>
      </c>
      <c r="C399" s="44" t="s">
        <v>537</v>
      </c>
      <c r="D399" s="38">
        <v>314.0</v>
      </c>
      <c r="E399" s="39">
        <f>IFERROR(__xludf.DUMMYFUNCTION("sum(filter('PLA Sheet'!H:H,'PLA Sheet'!C:C=B399,'PLA Sheet'!D:D=C399))"),22.904465209999998)</f>
        <v>22.90446521</v>
      </c>
      <c r="F399" s="40">
        <v>5.166836068</v>
      </c>
      <c r="G399" s="40">
        <f>IFERROR(__xludf.DUMMYFUNCTION("sum(filter('PLA Sheet'!J:J,'PLA Sheet'!C:C=B399,'PLA Sheet'!D:D=C399))/E399*9"),2.7772899920067595)</f>
        <v>2.777289992</v>
      </c>
      <c r="H399" s="41">
        <v>0.531847134</v>
      </c>
      <c r="I399" s="41">
        <v>0.152866242</v>
      </c>
      <c r="J399" s="41">
        <v>0.315286624</v>
      </c>
      <c r="K399" s="41">
        <f t="shared" si="1"/>
        <v>0.21656051</v>
      </c>
      <c r="L399" s="42">
        <v>-0.436974084</v>
      </c>
      <c r="M399" s="45">
        <f>('Cy Young Rank'!O$1-G399)*E399/9</f>
        <v>3.26442075</v>
      </c>
      <c r="N399" s="42"/>
      <c r="O399" s="66"/>
      <c r="P399" s="42"/>
      <c r="Q399" s="67"/>
      <c r="R399" s="67"/>
    </row>
    <row r="400">
      <c r="A400" s="1" t="s">
        <v>99</v>
      </c>
      <c r="B400" s="38">
        <v>592791.0</v>
      </c>
      <c r="C400" s="44" t="s">
        <v>541</v>
      </c>
      <c r="D400" s="38">
        <v>264.0</v>
      </c>
      <c r="E400" s="39">
        <f>IFERROR(__xludf.DUMMYFUNCTION("sum(filter('PLA Sheet'!H:H,'PLA Sheet'!C:C=B400,'PLA Sheet'!D:D=C400))"),17.821795523000002)</f>
        <v>17.82179552</v>
      </c>
      <c r="F400" s="40">
        <v>5.165119125</v>
      </c>
      <c r="G400" s="40">
        <f>IFERROR(__xludf.DUMMYFUNCTION("sum(filter('PLA Sheet'!J:J,'PLA Sheet'!C:C=B400,'PLA Sheet'!D:D=C400))/E400*9"),2.6930665284572175)</f>
        <v>2.693066528</v>
      </c>
      <c r="H400" s="41">
        <v>0.462121212</v>
      </c>
      <c r="I400" s="41">
        <v>0.242424242</v>
      </c>
      <c r="J400" s="41">
        <v>0.295454545</v>
      </c>
      <c r="K400" s="41">
        <f t="shared" si="1"/>
        <v>0.166666667</v>
      </c>
      <c r="L400" s="42">
        <v>5.482859456</v>
      </c>
      <c r="M400" s="45">
        <f>('Cy Young Rank'!O$1-G400)*E400/9</f>
        <v>2.70680098</v>
      </c>
      <c r="N400" s="42"/>
      <c r="O400" s="66"/>
      <c r="P400" s="42"/>
      <c r="Q400" s="67"/>
      <c r="R400" s="67"/>
    </row>
    <row r="401">
      <c r="A401" s="1" t="s">
        <v>269</v>
      </c>
      <c r="B401" s="38">
        <v>605280.0</v>
      </c>
      <c r="C401" s="44" t="s">
        <v>533</v>
      </c>
      <c r="D401" s="38">
        <v>281.0</v>
      </c>
      <c r="E401" s="39">
        <f>IFERROR(__xludf.DUMMYFUNCTION("sum(filter('PLA Sheet'!H:H,'PLA Sheet'!C:C=B401,'PLA Sheet'!D:D=C401))"),17.334419507)</f>
        <v>17.33441951</v>
      </c>
      <c r="F401" s="40">
        <v>5.164260533</v>
      </c>
      <c r="G401" s="40">
        <f>IFERROR(__xludf.DUMMYFUNCTION("sum(filter('PLA Sheet'!J:J,'PLA Sheet'!C:C=B401,'PLA Sheet'!D:D=C401))/E401*9"),2.8278079909284157)</f>
        <v>2.827807991</v>
      </c>
      <c r="H401" s="41">
        <v>0.512455516</v>
      </c>
      <c r="I401" s="41">
        <v>0.163701068</v>
      </c>
      <c r="J401" s="41">
        <v>0.323843416</v>
      </c>
      <c r="K401" s="41">
        <f t="shared" si="1"/>
        <v>0.1886121</v>
      </c>
      <c r="L401" s="42">
        <v>-0.871345498</v>
      </c>
      <c r="M401" s="45">
        <f>('Cy Young Rank'!O$1-G401)*E401/9</f>
        <v>2.373259244</v>
      </c>
      <c r="N401" s="42"/>
      <c r="O401" s="66"/>
      <c r="P401" s="42"/>
      <c r="Q401" s="67"/>
      <c r="R401" s="67"/>
    </row>
    <row r="402">
      <c r="A402" s="1" t="s">
        <v>195</v>
      </c>
      <c r="B402" s="38">
        <v>668678.0</v>
      </c>
      <c r="C402" s="44" t="s">
        <v>537</v>
      </c>
      <c r="D402" s="38">
        <v>1375.0</v>
      </c>
      <c r="E402" s="39">
        <f>IFERROR(__xludf.DUMMYFUNCTION("sum(filter('PLA Sheet'!H:H,'PLA Sheet'!C:C=B402,'PLA Sheet'!D:D=C402))"),86.53175869)</f>
        <v>86.53175869</v>
      </c>
      <c r="F402" s="40">
        <v>5.164197035</v>
      </c>
      <c r="G402" s="40">
        <f>IFERROR(__xludf.DUMMYFUNCTION("sum(filter('PLA Sheet'!J:J,'PLA Sheet'!C:C=B402,'PLA Sheet'!D:D=C402))/E402*9"),2.9711032792138434)</f>
        <v>2.971103279</v>
      </c>
      <c r="H402" s="41">
        <v>0.526545455</v>
      </c>
      <c r="I402" s="41">
        <v>0.138909091</v>
      </c>
      <c r="J402" s="41">
        <v>0.334545455</v>
      </c>
      <c r="K402" s="41">
        <f t="shared" si="1"/>
        <v>0.192</v>
      </c>
      <c r="L402" s="42">
        <v>-10.16998135</v>
      </c>
      <c r="M402" s="45">
        <f>('Cy Young Rank'!O$1-G402)*E402/9</f>
        <v>10.46934981</v>
      </c>
      <c r="N402" s="42"/>
      <c r="O402" s="66"/>
      <c r="P402" s="42"/>
      <c r="Q402" s="67"/>
      <c r="R402" s="67"/>
    </row>
    <row r="403">
      <c r="A403" s="1" t="s">
        <v>307</v>
      </c>
      <c r="B403" s="38">
        <v>656849.0</v>
      </c>
      <c r="C403" s="44" t="s">
        <v>532</v>
      </c>
      <c r="D403" s="38">
        <v>395.0</v>
      </c>
      <c r="E403" s="39">
        <f>IFERROR(__xludf.DUMMYFUNCTION("sum(filter('PLA Sheet'!H:H,'PLA Sheet'!C:C=B403,'PLA Sheet'!D:D=C403))"),25.890989993999998)</f>
        <v>25.89098999</v>
      </c>
      <c r="F403" s="40">
        <v>5.163000053</v>
      </c>
      <c r="G403" s="40">
        <f>IFERROR(__xludf.DUMMYFUNCTION("sum(filter('PLA Sheet'!J:J,'PLA Sheet'!C:C=B403,'PLA Sheet'!D:D=C403))/E403*9"),2.8655696833992605)</f>
        <v>2.865569683</v>
      </c>
      <c r="H403" s="41">
        <v>0.491139241</v>
      </c>
      <c r="I403" s="41">
        <v>0.179746835</v>
      </c>
      <c r="J403" s="41">
        <v>0.329113924</v>
      </c>
      <c r="K403" s="41">
        <f t="shared" si="1"/>
        <v>0.162025317</v>
      </c>
      <c r="L403" s="42">
        <v>3.4622264</v>
      </c>
      <c r="M403" s="45">
        <f>('Cy Young Rank'!O$1-G403)*E403/9</f>
        <v>3.436109264</v>
      </c>
      <c r="N403" s="42"/>
      <c r="O403" s="66"/>
      <c r="P403" s="42"/>
      <c r="Q403" s="67"/>
      <c r="R403" s="67"/>
    </row>
    <row r="404">
      <c r="A404" s="1" t="s">
        <v>182</v>
      </c>
      <c r="B404" s="38">
        <v>621381.0</v>
      </c>
      <c r="C404" s="44" t="s">
        <v>533</v>
      </c>
      <c r="D404" s="38">
        <v>314.0</v>
      </c>
      <c r="E404" s="39">
        <f>IFERROR(__xludf.DUMMYFUNCTION("sum(filter('PLA Sheet'!H:H,'PLA Sheet'!C:C=B404,'PLA Sheet'!D:D=C404))"),19.898959386)</f>
        <v>19.89895939</v>
      </c>
      <c r="F404" s="40">
        <v>5.16298085</v>
      </c>
      <c r="G404" s="40">
        <f>IFERROR(__xludf.DUMMYFUNCTION("sum(filter('PLA Sheet'!J:J,'PLA Sheet'!C:C=B404,'PLA Sheet'!D:D=C404))/E404*9"),2.7493814595396047)</f>
        <v>2.74938146</v>
      </c>
      <c r="H404" s="41">
        <v>0.455414013</v>
      </c>
      <c r="I404" s="41">
        <v>0.200636943</v>
      </c>
      <c r="J404" s="41">
        <v>0.343949045</v>
      </c>
      <c r="K404" s="41">
        <f t="shared" si="1"/>
        <v>0.111464968</v>
      </c>
      <c r="L404" s="42">
        <v>8.273044416</v>
      </c>
      <c r="M404" s="45">
        <f>('Cy Young Rank'!O$1-G404)*E404/9</f>
        <v>2.897771679</v>
      </c>
      <c r="N404" s="42"/>
      <c r="O404" s="66"/>
      <c r="P404" s="42"/>
      <c r="Q404" s="67"/>
      <c r="R404" s="67"/>
    </row>
    <row r="405">
      <c r="A405" s="1" t="s">
        <v>296</v>
      </c>
      <c r="B405" s="38">
        <v>669372.0</v>
      </c>
      <c r="C405" s="44" t="s">
        <v>536</v>
      </c>
      <c r="D405" s="38">
        <v>771.0</v>
      </c>
      <c r="E405" s="39">
        <f>IFERROR(__xludf.DUMMYFUNCTION("sum(filter('PLA Sheet'!H:H,'PLA Sheet'!C:C=B405,'PLA Sheet'!D:D=C405))"),45.91274884)</f>
        <v>45.91274884</v>
      </c>
      <c r="F405" s="40">
        <v>5.162550191</v>
      </c>
      <c r="G405" s="40">
        <f>IFERROR(__xludf.DUMMYFUNCTION("sum(filter('PLA Sheet'!J:J,'PLA Sheet'!C:C=B405,'PLA Sheet'!D:D=C405))/E405*9"),3.1405184974326623)</f>
        <v>3.140518497</v>
      </c>
      <c r="H405" s="41">
        <v>0.499351492</v>
      </c>
      <c r="I405" s="41">
        <v>0.147859922</v>
      </c>
      <c r="J405" s="41">
        <v>0.352788586</v>
      </c>
      <c r="K405" s="41">
        <f t="shared" si="1"/>
        <v>0.146562906</v>
      </c>
      <c r="L405" s="42">
        <v>10.04929721</v>
      </c>
      <c r="M405" s="45">
        <f>('Cy Young Rank'!O$1-G405)*E405/9</f>
        <v>4.690658143</v>
      </c>
      <c r="N405" s="42"/>
      <c r="O405" s="66"/>
      <c r="P405" s="42"/>
      <c r="Q405" s="67"/>
      <c r="R405" s="67"/>
    </row>
    <row r="406">
      <c r="A406" s="1" t="s">
        <v>347</v>
      </c>
      <c r="B406" s="38">
        <v>700249.0</v>
      </c>
      <c r="C406" s="44" t="s">
        <v>537</v>
      </c>
      <c r="D406" s="38">
        <v>689.0</v>
      </c>
      <c r="E406" s="39">
        <f>IFERROR(__xludf.DUMMYFUNCTION("sum(filter('PLA Sheet'!H:H,'PLA Sheet'!C:C=B406,'PLA Sheet'!D:D=C406))"),40.636056143000005)</f>
        <v>40.63605614</v>
      </c>
      <c r="F406" s="40">
        <v>5.161592011</v>
      </c>
      <c r="G406" s="40">
        <f>IFERROR(__xludf.DUMMYFUNCTION("sum(filter('PLA Sheet'!J:J,'PLA Sheet'!C:C=B406,'PLA Sheet'!D:D=C406))/E406*9"),3.2703639480253193)</f>
        <v>3.270363948</v>
      </c>
      <c r="H406" s="41">
        <v>0.561683599</v>
      </c>
      <c r="I406" s="41">
        <v>0.132075472</v>
      </c>
      <c r="J406" s="41">
        <v>0.306240929</v>
      </c>
      <c r="K406" s="41">
        <f t="shared" si="1"/>
        <v>0.25544267</v>
      </c>
      <c r="L406" s="42">
        <v>-6.935427037</v>
      </c>
      <c r="M406" s="45">
        <f>('Cy Young Rank'!O$1-G406)*E406/9</f>
        <v>3.565299438</v>
      </c>
      <c r="N406" s="42"/>
      <c r="O406" s="66"/>
      <c r="P406" s="42"/>
      <c r="Q406" s="67"/>
      <c r="R406" s="67"/>
    </row>
    <row r="407">
      <c r="A407" s="1" t="s">
        <v>306</v>
      </c>
      <c r="B407" s="38">
        <v>677944.0</v>
      </c>
      <c r="C407" s="44" t="s">
        <v>537</v>
      </c>
      <c r="D407" s="38">
        <v>858.0</v>
      </c>
      <c r="E407" s="39">
        <f>IFERROR(__xludf.DUMMYFUNCTION("sum(filter('PLA Sheet'!H:H,'PLA Sheet'!C:C=B407,'PLA Sheet'!D:D=C407))"),57.52205526)</f>
        <v>57.52205526</v>
      </c>
      <c r="F407" s="40">
        <v>5.16059781</v>
      </c>
      <c r="G407" s="40">
        <f>IFERROR(__xludf.DUMMYFUNCTION("sum(filter('PLA Sheet'!J:J,'PLA Sheet'!C:C=B407,'PLA Sheet'!D:D=C407))/E407*9"),2.976587784043654)</f>
        <v>2.976587784</v>
      </c>
      <c r="H407" s="41">
        <v>0.488344988</v>
      </c>
      <c r="I407" s="41">
        <v>0.18997669</v>
      </c>
      <c r="J407" s="41">
        <v>0.321678322</v>
      </c>
      <c r="K407" s="41">
        <f t="shared" si="1"/>
        <v>0.166666666</v>
      </c>
      <c r="L407" s="42">
        <v>-1.351370509</v>
      </c>
      <c r="M407" s="45">
        <f>('Cy Young Rank'!O$1-G407)*E407/9</f>
        <v>6.924455262</v>
      </c>
      <c r="N407" s="42"/>
      <c r="O407" s="66"/>
      <c r="P407" s="42"/>
      <c r="Q407" s="67"/>
      <c r="R407" s="67"/>
    </row>
    <row r="408">
      <c r="A408" s="1" t="s">
        <v>122</v>
      </c>
      <c r="B408" s="38">
        <v>661395.0</v>
      </c>
      <c r="C408" s="44" t="s">
        <v>537</v>
      </c>
      <c r="D408" s="38">
        <v>367.0</v>
      </c>
      <c r="E408" s="39">
        <f>IFERROR(__xludf.DUMMYFUNCTION("sum(filter('PLA Sheet'!H:H,'PLA Sheet'!C:C=B408,'PLA Sheet'!D:D=C408))"),24.529356942)</f>
        <v>24.52935694</v>
      </c>
      <c r="F408" s="40">
        <v>5.160203736</v>
      </c>
      <c r="G408" s="40">
        <f>IFERROR(__xludf.DUMMYFUNCTION("sum(filter('PLA Sheet'!J:J,'PLA Sheet'!C:C=B408,'PLA Sheet'!D:D=C408))/E408*9"),2.8574211776415672)</f>
        <v>2.857421178</v>
      </c>
      <c r="H408" s="41">
        <v>0.490463215</v>
      </c>
      <c r="I408" s="41">
        <v>0.16893733</v>
      </c>
      <c r="J408" s="41">
        <v>0.340599455</v>
      </c>
      <c r="K408" s="41">
        <f t="shared" si="1"/>
        <v>0.14986376</v>
      </c>
      <c r="L408" s="42">
        <v>3.542507104</v>
      </c>
      <c r="M408" s="45">
        <f>('Cy Young Rank'!O$1-G408)*E408/9</f>
        <v>3.277609465</v>
      </c>
      <c r="N408" s="42"/>
      <c r="O408" s="66"/>
      <c r="P408" s="42"/>
      <c r="Q408" s="67"/>
      <c r="R408" s="67"/>
    </row>
    <row r="409">
      <c r="A409" s="1" t="s">
        <v>286</v>
      </c>
      <c r="B409" s="38">
        <v>695243.0</v>
      </c>
      <c r="C409" s="44" t="s">
        <v>537</v>
      </c>
      <c r="D409" s="38">
        <v>496.0</v>
      </c>
      <c r="E409" s="39">
        <f>IFERROR(__xludf.DUMMYFUNCTION("sum(filter('PLA Sheet'!H:H,'PLA Sheet'!C:C=B409,'PLA Sheet'!D:D=C409))"),32.165637860000004)</f>
        <v>32.16563786</v>
      </c>
      <c r="F409" s="40">
        <v>5.159572427</v>
      </c>
      <c r="G409" s="40">
        <f>IFERROR(__xludf.DUMMYFUNCTION("sum(filter('PLA Sheet'!J:J,'PLA Sheet'!C:C=B409,'PLA Sheet'!D:D=C409))/E409*9"),3.0328617894848113)</f>
        <v>3.032861789</v>
      </c>
      <c r="H409" s="41">
        <v>0.538306452</v>
      </c>
      <c r="I409" s="41">
        <v>0.127016129</v>
      </c>
      <c r="J409" s="41">
        <v>0.334677419</v>
      </c>
      <c r="K409" s="41">
        <f t="shared" si="1"/>
        <v>0.203629033</v>
      </c>
      <c r="L409" s="42">
        <v>4.030322083</v>
      </c>
      <c r="M409" s="45">
        <f>('Cy Young Rank'!O$1-G409)*E409/9</f>
        <v>3.670950635</v>
      </c>
      <c r="N409" s="42"/>
      <c r="O409" s="66"/>
      <c r="P409" s="42"/>
      <c r="Q409" s="67"/>
      <c r="R409" s="67"/>
    </row>
    <row r="410">
      <c r="A410" s="1" t="s">
        <v>341</v>
      </c>
      <c r="B410" s="38">
        <v>676962.0</v>
      </c>
      <c r="C410" s="44" t="s">
        <v>541</v>
      </c>
      <c r="D410" s="38">
        <v>689.0</v>
      </c>
      <c r="E410" s="39">
        <f>IFERROR(__xludf.DUMMYFUNCTION("sum(filter('PLA Sheet'!H:H,'PLA Sheet'!C:C=B410,'PLA Sheet'!D:D=C410))"),42.3761607)</f>
        <v>42.3761607</v>
      </c>
      <c r="F410" s="40">
        <v>5.158738413</v>
      </c>
      <c r="G410" s="40">
        <f>IFERROR(__xludf.DUMMYFUNCTION("sum(filter('PLA Sheet'!J:J,'PLA Sheet'!C:C=B410,'PLA Sheet'!D:D=C410))/E410*9"),2.8627040297211255)</f>
        <v>2.86270403</v>
      </c>
      <c r="H410" s="41">
        <v>0.489114659</v>
      </c>
      <c r="I410" s="41">
        <v>0.169811321</v>
      </c>
      <c r="J410" s="41">
        <v>0.34107402</v>
      </c>
      <c r="K410" s="41">
        <f t="shared" si="1"/>
        <v>0.148040639</v>
      </c>
      <c r="L410" s="42">
        <v>-15.05991075</v>
      </c>
      <c r="M410" s="45">
        <f>('Cy Young Rank'!O$1-G410)*E410/9</f>
        <v>5.637422938</v>
      </c>
      <c r="N410" s="42"/>
      <c r="O410" s="66"/>
      <c r="P410" s="42"/>
      <c r="Q410" s="67"/>
      <c r="R410" s="67"/>
    </row>
    <row r="411">
      <c r="A411" s="1" t="s">
        <v>330</v>
      </c>
      <c r="B411" s="38">
        <v>680730.0</v>
      </c>
      <c r="C411" s="44" t="s">
        <v>541</v>
      </c>
      <c r="D411" s="38">
        <v>575.0</v>
      </c>
      <c r="E411" s="39">
        <f>IFERROR(__xludf.DUMMYFUNCTION("sum(filter('PLA Sheet'!H:H,'PLA Sheet'!C:C=B411,'PLA Sheet'!D:D=C411))"),36.173076921)</f>
        <v>36.17307692</v>
      </c>
      <c r="F411" s="40">
        <v>5.157581923</v>
      </c>
      <c r="G411" s="40">
        <f>IFERROR(__xludf.DUMMYFUNCTION("sum(filter('PLA Sheet'!J:J,'PLA Sheet'!C:C=B411,'PLA Sheet'!D:D=C411))/E411*9"),3.010725607828366)</f>
        <v>3.010725608</v>
      </c>
      <c r="H411" s="41">
        <v>0.471304348</v>
      </c>
      <c r="I411" s="41">
        <v>0.231304348</v>
      </c>
      <c r="J411" s="41">
        <v>0.297391304</v>
      </c>
      <c r="K411" s="41">
        <f t="shared" si="1"/>
        <v>0.173913044</v>
      </c>
      <c r="L411" s="42">
        <v>-4.879343077</v>
      </c>
      <c r="M411" s="45">
        <f>('Cy Young Rank'!O$1-G411)*E411/9</f>
        <v>4.217275922</v>
      </c>
      <c r="N411" s="42"/>
      <c r="O411" s="66"/>
      <c r="P411" s="42"/>
      <c r="Q411" s="67"/>
      <c r="R411" s="67"/>
    </row>
    <row r="412">
      <c r="A412" s="1" t="s">
        <v>411</v>
      </c>
      <c r="B412" s="38">
        <v>605288.0</v>
      </c>
      <c r="C412" s="44" t="s">
        <v>533</v>
      </c>
      <c r="D412" s="38">
        <v>284.0</v>
      </c>
      <c r="E412" s="39">
        <f>IFERROR(__xludf.DUMMYFUNCTION("sum(filter('PLA Sheet'!H:H,'PLA Sheet'!C:C=B412,'PLA Sheet'!D:D=C412))"),19.291754755)</f>
        <v>19.29175476</v>
      </c>
      <c r="F412" s="40">
        <v>5.157185515</v>
      </c>
      <c r="G412" s="40">
        <f>IFERROR(__xludf.DUMMYFUNCTION("sum(filter('PLA Sheet'!J:J,'PLA Sheet'!C:C=B412,'PLA Sheet'!D:D=C412))/E412*9"),2.7529876713902897)</f>
        <v>2.752987671</v>
      </c>
      <c r="H412" s="41">
        <v>0.468309859</v>
      </c>
      <c r="I412" s="41">
        <v>0.211267606</v>
      </c>
      <c r="J412" s="41">
        <v>0.320422535</v>
      </c>
      <c r="K412" s="41">
        <f t="shared" si="1"/>
        <v>0.147887324</v>
      </c>
      <c r="L412" s="42">
        <v>-1.955586169</v>
      </c>
      <c r="M412" s="45">
        <f>('Cy Young Rank'!O$1-G412)*E412/9</f>
        <v>2.801617923</v>
      </c>
      <c r="N412" s="42"/>
      <c r="O412" s="66"/>
      <c r="P412" s="42"/>
      <c r="Q412" s="67"/>
      <c r="R412" s="67"/>
    </row>
    <row r="413">
      <c r="A413" s="1" t="s">
        <v>106</v>
      </c>
      <c r="B413" s="38">
        <v>691799.0</v>
      </c>
      <c r="C413" s="44" t="s">
        <v>537</v>
      </c>
      <c r="D413" s="38">
        <v>315.0</v>
      </c>
      <c r="E413" s="39">
        <f>IFERROR(__xludf.DUMMYFUNCTION("sum(filter('PLA Sheet'!H:H,'PLA Sheet'!C:C=B413,'PLA Sheet'!D:D=C413))"),20.288888892000003)</f>
        <v>20.28888889</v>
      </c>
      <c r="F413" s="40">
        <v>5.156004466</v>
      </c>
      <c r="G413" s="40">
        <f>IFERROR(__xludf.DUMMYFUNCTION("sum(filter('PLA Sheet'!J:J,'PLA Sheet'!C:C=B413,'PLA Sheet'!D:D=C413))/E413*9"),3.24035886587771)</f>
        <v>3.240358866</v>
      </c>
      <c r="H413" s="41">
        <v>0.492063492</v>
      </c>
      <c r="I413" s="41">
        <v>0.180952381</v>
      </c>
      <c r="J413" s="41">
        <v>0.326984127</v>
      </c>
      <c r="K413" s="41">
        <f t="shared" si="1"/>
        <v>0.165079365</v>
      </c>
      <c r="L413" s="42">
        <v>-2.449337972</v>
      </c>
      <c r="M413" s="45">
        <f>('Cy Young Rank'!O$1-G413)*E413/9</f>
        <v>1.847734211</v>
      </c>
      <c r="N413" s="42"/>
      <c r="O413" s="66"/>
      <c r="P413" s="42"/>
      <c r="Q413" s="67"/>
      <c r="R413" s="67"/>
    </row>
    <row r="414">
      <c r="A414" s="1" t="s">
        <v>222</v>
      </c>
      <c r="B414" s="38">
        <v>518876.0</v>
      </c>
      <c r="C414" s="44" t="s">
        <v>541</v>
      </c>
      <c r="D414" s="38">
        <v>266.0</v>
      </c>
      <c r="E414" s="39">
        <f>IFERROR(__xludf.DUMMYFUNCTION("sum(filter('PLA Sheet'!H:H,'PLA Sheet'!C:C=B414,'PLA Sheet'!D:D=C414))"),17.802259886)</f>
        <v>17.80225989</v>
      </c>
      <c r="F414" s="40">
        <v>5.155294603</v>
      </c>
      <c r="G414" s="40">
        <f>IFERROR(__xludf.DUMMYFUNCTION("sum(filter('PLA Sheet'!J:J,'PLA Sheet'!C:C=B414,'PLA Sheet'!D:D=C414))/E414*9"),2.8047391353536155)</f>
        <v>2.804739135</v>
      </c>
      <c r="H414" s="41">
        <v>0.54887218</v>
      </c>
      <c r="I414" s="41">
        <v>0.131578947</v>
      </c>
      <c r="J414" s="41">
        <v>0.319548872</v>
      </c>
      <c r="K414" s="41">
        <f t="shared" si="1"/>
        <v>0.229323308</v>
      </c>
      <c r="L414" s="42">
        <v>-1.286267297</v>
      </c>
      <c r="M414" s="45">
        <f>('Cy Young Rank'!O$1-G414)*E414/9</f>
        <v>2.482942237</v>
      </c>
      <c r="N414" s="42"/>
      <c r="O414" s="66"/>
      <c r="P414" s="42"/>
      <c r="Q414" s="67"/>
      <c r="R414" s="67"/>
    </row>
    <row r="415">
      <c r="A415" s="1" t="s">
        <v>88</v>
      </c>
      <c r="B415" s="38">
        <v>694973.0</v>
      </c>
      <c r="C415" s="44" t="s">
        <v>536</v>
      </c>
      <c r="D415" s="38">
        <v>323.0</v>
      </c>
      <c r="E415" s="39">
        <f>IFERROR(__xludf.DUMMYFUNCTION("sum(filter('PLA Sheet'!H:H,'PLA Sheet'!C:C=B415,'PLA Sheet'!D:D=C415))"),20.476142808)</f>
        <v>20.47614281</v>
      </c>
      <c r="F415" s="40">
        <v>5.154150147</v>
      </c>
      <c r="G415" s="40">
        <f>IFERROR(__xludf.DUMMYFUNCTION("sum(filter('PLA Sheet'!J:J,'PLA Sheet'!C:C=B415,'PLA Sheet'!D:D=C415))/E415*9"),2.6635190285297217)</f>
        <v>2.663519029</v>
      </c>
      <c r="H415" s="41">
        <v>0.507739938</v>
      </c>
      <c r="I415" s="41">
        <v>0.198142415</v>
      </c>
      <c r="J415" s="41">
        <v>0.294117647</v>
      </c>
      <c r="K415" s="41">
        <f t="shared" si="1"/>
        <v>0.213622291</v>
      </c>
      <c r="L415" s="42">
        <v>6.578521186</v>
      </c>
      <c r="M415" s="45">
        <f>('Cy Young Rank'!O$1-G415)*E415/9</f>
        <v>3.177171533</v>
      </c>
      <c r="N415" s="42"/>
      <c r="O415" s="66"/>
      <c r="P415" s="42"/>
      <c r="Q415" s="67"/>
      <c r="R415" s="67"/>
    </row>
    <row r="416">
      <c r="A416" s="1" t="s">
        <v>270</v>
      </c>
      <c r="B416" s="38">
        <v>664854.0</v>
      </c>
      <c r="C416" s="44" t="s">
        <v>533</v>
      </c>
      <c r="D416" s="38">
        <v>448.0</v>
      </c>
      <c r="E416" s="39">
        <f>IFERROR(__xludf.DUMMYFUNCTION("sum(filter('PLA Sheet'!H:H,'PLA Sheet'!C:C=B416,'PLA Sheet'!D:D=C416))"),26.655771190000003)</f>
        <v>26.65577119</v>
      </c>
      <c r="F416" s="40">
        <v>5.154045405</v>
      </c>
      <c r="G416" s="40">
        <f>IFERROR(__xludf.DUMMYFUNCTION("sum(filter('PLA Sheet'!J:J,'PLA Sheet'!C:C=B416,'PLA Sheet'!D:D=C416))/E416*9"),3.1237307825945506)</f>
        <v>3.123730783</v>
      </c>
      <c r="H416" s="41">
        <v>0.484375</v>
      </c>
      <c r="I416" s="41">
        <v>0.189732143</v>
      </c>
      <c r="J416" s="41">
        <v>0.325892857</v>
      </c>
      <c r="K416" s="41">
        <f t="shared" si="1"/>
        <v>0.158482143</v>
      </c>
      <c r="L416" s="42">
        <v>12.79089209</v>
      </c>
      <c r="M416" s="45">
        <f>('Cy Young Rank'!O$1-G416)*E416/9</f>
        <v>2.772997559</v>
      </c>
      <c r="N416" s="42"/>
      <c r="O416" s="66"/>
      <c r="P416" s="42"/>
      <c r="Q416" s="67"/>
      <c r="R416" s="67"/>
    </row>
    <row r="417">
      <c r="A417" s="1" t="s">
        <v>73</v>
      </c>
      <c r="B417" s="38">
        <v>668881.0</v>
      </c>
      <c r="C417" s="44" t="s">
        <v>533</v>
      </c>
      <c r="D417" s="38">
        <v>595.0</v>
      </c>
      <c r="E417" s="39">
        <f>IFERROR(__xludf.DUMMYFUNCTION("sum(filter('PLA Sheet'!H:H,'PLA Sheet'!C:C=B417,'PLA Sheet'!D:D=C417))"),37.63405797)</f>
        <v>37.63405797</v>
      </c>
      <c r="F417" s="40">
        <v>5.153656678</v>
      </c>
      <c r="G417" s="40">
        <f>IFERROR(__xludf.DUMMYFUNCTION("sum(filter('PLA Sheet'!J:J,'PLA Sheet'!C:C=B417,'PLA Sheet'!D:D=C417))/E417*9"),2.8234839061125037)</f>
        <v>2.823483906</v>
      </c>
      <c r="H417" s="41">
        <v>0.477310924</v>
      </c>
      <c r="I417" s="41">
        <v>0.206722689</v>
      </c>
      <c r="J417" s="41">
        <v>0.315966387</v>
      </c>
      <c r="K417" s="41">
        <f t="shared" si="1"/>
        <v>0.161344537</v>
      </c>
      <c r="L417" s="42">
        <v>8.508046189</v>
      </c>
      <c r="M417" s="45">
        <f>('Cy Young Rank'!O$1-G417)*E417/9</f>
        <v>5.170568706</v>
      </c>
      <c r="N417" s="42"/>
      <c r="O417" s="66"/>
      <c r="P417" s="42"/>
      <c r="Q417" s="67"/>
      <c r="R417" s="67"/>
    </row>
    <row r="418">
      <c r="A418" s="1" t="s">
        <v>219</v>
      </c>
      <c r="B418" s="38">
        <v>657044.0</v>
      </c>
      <c r="C418" s="44" t="s">
        <v>536</v>
      </c>
      <c r="D418" s="38">
        <v>326.0</v>
      </c>
      <c r="E418" s="39">
        <f>IFERROR(__xludf.DUMMYFUNCTION("sum(filter('PLA Sheet'!H:H,'PLA Sheet'!C:C=B418,'PLA Sheet'!D:D=C418))"),21.238974356)</f>
        <v>21.23897436</v>
      </c>
      <c r="F418" s="40">
        <v>5.152872888</v>
      </c>
      <c r="G418" s="40">
        <f>IFERROR(__xludf.DUMMYFUNCTION("sum(filter('PLA Sheet'!J:J,'PLA Sheet'!C:C=B418,'PLA Sheet'!D:D=C418))/E418*9"),2.832663055737624)</f>
        <v>2.832663056</v>
      </c>
      <c r="H418" s="41">
        <v>0.524539877</v>
      </c>
      <c r="I418" s="41">
        <v>0.180981595</v>
      </c>
      <c r="J418" s="41">
        <v>0.294478528</v>
      </c>
      <c r="K418" s="41">
        <f t="shared" si="1"/>
        <v>0.230061349</v>
      </c>
      <c r="L418" s="42">
        <v>-5.078014127</v>
      </c>
      <c r="M418" s="45">
        <f>('Cy Young Rank'!O$1-G418)*E418/9</f>
        <v>2.896375321</v>
      </c>
      <c r="N418" s="42"/>
      <c r="O418" s="66"/>
      <c r="P418" s="42"/>
      <c r="Q418" s="67"/>
      <c r="R418" s="67"/>
    </row>
    <row r="419">
      <c r="A419" s="1" t="s">
        <v>430</v>
      </c>
      <c r="B419" s="38">
        <v>670990.0</v>
      </c>
      <c r="C419" s="44" t="s">
        <v>537</v>
      </c>
      <c r="D419" s="38">
        <v>266.0</v>
      </c>
      <c r="E419" s="39">
        <f>IFERROR(__xludf.DUMMYFUNCTION("sum(filter('PLA Sheet'!H:H,'PLA Sheet'!C:C=B419,'PLA Sheet'!D:D=C419))"),14.95584989)</f>
        <v>14.95584989</v>
      </c>
      <c r="F419" s="40">
        <v>5.15242787</v>
      </c>
      <c r="G419" s="40">
        <f>IFERROR(__xludf.DUMMYFUNCTION("sum(filter('PLA Sheet'!J:J,'PLA Sheet'!C:C=B419,'PLA Sheet'!D:D=C419))/E419*9"),3.8640602456594997)</f>
        <v>3.864060246</v>
      </c>
      <c r="H419" s="41">
        <v>0.54887218</v>
      </c>
      <c r="I419" s="41">
        <v>0.12406015</v>
      </c>
      <c r="J419" s="41">
        <v>0.327067669</v>
      </c>
      <c r="K419" s="41">
        <f t="shared" si="1"/>
        <v>0.221804511</v>
      </c>
      <c r="L419" s="42">
        <v>-6.660056248</v>
      </c>
      <c r="M419" s="45">
        <f>('Cy Young Rank'!O$1-G419)*E419/9</f>
        <v>0.3256050615</v>
      </c>
      <c r="N419" s="42"/>
      <c r="O419" s="66"/>
      <c r="P419" s="42"/>
      <c r="Q419" s="67"/>
      <c r="R419" s="67"/>
    </row>
    <row r="420">
      <c r="A420" s="1" t="s">
        <v>282</v>
      </c>
      <c r="B420" s="38">
        <v>656302.0</v>
      </c>
      <c r="C420" s="44" t="s">
        <v>537</v>
      </c>
      <c r="D420" s="38">
        <v>1229.0</v>
      </c>
      <c r="E420" s="39">
        <f>IFERROR(__xludf.DUMMYFUNCTION("sum(filter('PLA Sheet'!H:H,'PLA Sheet'!C:C=B420,'PLA Sheet'!D:D=C420))"),69.18947369)</f>
        <v>69.18947369</v>
      </c>
      <c r="F420" s="40">
        <v>5.152042597</v>
      </c>
      <c r="G420" s="40">
        <f>IFERROR(__xludf.DUMMYFUNCTION("sum(filter('PLA Sheet'!J:J,'PLA Sheet'!C:C=B420,'PLA Sheet'!D:D=C420))/E420*9"),3.4004659878487358)</f>
        <v>3.400465988</v>
      </c>
      <c r="H420" s="41">
        <v>0.532953621</v>
      </c>
      <c r="I420" s="41">
        <v>0.109031733</v>
      </c>
      <c r="J420" s="41">
        <v>0.358014646</v>
      </c>
      <c r="K420" s="41">
        <f t="shared" si="1"/>
        <v>0.174938975</v>
      </c>
      <c r="L420" s="42">
        <v>-15.67382961</v>
      </c>
      <c r="M420" s="45">
        <f>('Cy Young Rank'!O$1-G420)*E420/9</f>
        <v>5.070312353</v>
      </c>
      <c r="N420" s="42"/>
      <c r="O420" s="66"/>
      <c r="P420" s="42"/>
      <c r="Q420" s="67"/>
      <c r="R420" s="67"/>
    </row>
    <row r="421">
      <c r="A421" s="1" t="s">
        <v>242</v>
      </c>
      <c r="B421" s="38">
        <v>669358.0</v>
      </c>
      <c r="C421" s="44" t="s">
        <v>540</v>
      </c>
      <c r="D421" s="38">
        <v>389.0</v>
      </c>
      <c r="E421" s="39">
        <f>IFERROR(__xludf.DUMMYFUNCTION("sum(filter('PLA Sheet'!H:H,'PLA Sheet'!C:C=B421,'PLA Sheet'!D:D=C421))"),24.47878342)</f>
        <v>24.47878342</v>
      </c>
      <c r="F421" s="40">
        <v>5.151171977</v>
      </c>
      <c r="G421" s="40">
        <f>IFERROR(__xludf.DUMMYFUNCTION("sum(filter('PLA Sheet'!J:J,'PLA Sheet'!C:C=B421,'PLA Sheet'!D:D=C421))/E421*9"),3.060008690578954)</f>
        <v>3.060008691</v>
      </c>
      <c r="H421" s="41">
        <v>0.506426735</v>
      </c>
      <c r="I421" s="41">
        <v>0.161953728</v>
      </c>
      <c r="J421" s="41">
        <v>0.331619537</v>
      </c>
      <c r="K421" s="41">
        <f t="shared" si="1"/>
        <v>0.174807198</v>
      </c>
      <c r="L421" s="42">
        <v>-9.134624131</v>
      </c>
      <c r="M421" s="45">
        <f>('Cy Young Rank'!O$1-G421)*E421/9</f>
        <v>2.719841187</v>
      </c>
      <c r="N421" s="42"/>
      <c r="O421" s="66"/>
      <c r="P421" s="42"/>
      <c r="Q421" s="67"/>
      <c r="R421" s="67"/>
    </row>
    <row r="422">
      <c r="A422" s="1" t="s">
        <v>285</v>
      </c>
      <c r="B422" s="38">
        <v>607074.0</v>
      </c>
      <c r="C422" s="44" t="s">
        <v>533</v>
      </c>
      <c r="D422" s="38">
        <v>885.0</v>
      </c>
      <c r="E422" s="39">
        <f>IFERROR(__xludf.DUMMYFUNCTION("sum(filter('PLA Sheet'!H:H,'PLA Sheet'!C:C=B422,'PLA Sheet'!D:D=C422))"),55.52283105)</f>
        <v>55.52283105</v>
      </c>
      <c r="F422" s="40">
        <v>5.151130015</v>
      </c>
      <c r="G422" s="40">
        <f>IFERROR(__xludf.DUMMYFUNCTION("sum(filter('PLA Sheet'!J:J,'PLA Sheet'!C:C=B422,'PLA Sheet'!D:D=C422))/E422*9"),2.86054028579654)</f>
        <v>2.860540286</v>
      </c>
      <c r="H422" s="41">
        <v>0.494915254</v>
      </c>
      <c r="I422" s="41">
        <v>0.194350282</v>
      </c>
      <c r="J422" s="41">
        <v>0.310734463</v>
      </c>
      <c r="K422" s="41">
        <f t="shared" si="1"/>
        <v>0.184180791</v>
      </c>
      <c r="L422" s="42">
        <v>16.69962514</v>
      </c>
      <c r="M422" s="45">
        <f>('Cy Young Rank'!O$1-G422)*E422/9</f>
        <v>7.399711007</v>
      </c>
      <c r="N422" s="42"/>
      <c r="O422" s="66"/>
      <c r="P422" s="42"/>
      <c r="Q422" s="67"/>
      <c r="R422" s="67"/>
    </row>
    <row r="423">
      <c r="A423" s="1" t="s">
        <v>451</v>
      </c>
      <c r="B423" s="38">
        <v>623474.0</v>
      </c>
      <c r="C423" s="44" t="s">
        <v>541</v>
      </c>
      <c r="D423" s="38">
        <v>387.0</v>
      </c>
      <c r="E423" s="39">
        <f>IFERROR(__xludf.DUMMYFUNCTION("sum(filter('PLA Sheet'!H:H,'PLA Sheet'!C:C=B423,'PLA Sheet'!D:D=C423))"),25.87103484)</f>
        <v>25.87103484</v>
      </c>
      <c r="F423" s="40">
        <v>5.150240951</v>
      </c>
      <c r="G423" s="40">
        <f>IFERROR(__xludf.DUMMYFUNCTION("sum(filter('PLA Sheet'!J:J,'PLA Sheet'!C:C=B423,'PLA Sheet'!D:D=C423))/E423*9"),2.633507218453423)</f>
        <v>2.633507218</v>
      </c>
      <c r="H423" s="41">
        <v>0.503875969</v>
      </c>
      <c r="I423" s="41">
        <v>0.175710594</v>
      </c>
      <c r="J423" s="41">
        <v>0.320413437</v>
      </c>
      <c r="K423" s="41">
        <f t="shared" si="1"/>
        <v>0.183462532</v>
      </c>
      <c r="L423" s="42">
        <v>-1.73127739</v>
      </c>
      <c r="M423" s="45">
        <f>('Cy Young Rank'!O$1-G423)*E423/9</f>
        <v>4.100538272</v>
      </c>
      <c r="N423" s="42"/>
      <c r="O423" s="66"/>
      <c r="P423" s="42"/>
      <c r="Q423" s="67"/>
      <c r="R423" s="67"/>
    </row>
    <row r="424">
      <c r="A424" s="1" t="s">
        <v>278</v>
      </c>
      <c r="B424" s="38">
        <v>542881.0</v>
      </c>
      <c r="C424" s="44" t="s">
        <v>537</v>
      </c>
      <c r="D424" s="38">
        <v>871.0</v>
      </c>
      <c r="E424" s="39">
        <f>IFERROR(__xludf.DUMMYFUNCTION("sum(filter('PLA Sheet'!H:H,'PLA Sheet'!C:C=B424,'PLA Sheet'!D:D=C424))"),52.44487235)</f>
        <v>52.44487235</v>
      </c>
      <c r="F424" s="40">
        <v>5.148835592</v>
      </c>
      <c r="G424" s="40">
        <f>IFERROR(__xludf.DUMMYFUNCTION("sum(filter('PLA Sheet'!J:J,'PLA Sheet'!C:C=B424,'PLA Sheet'!D:D=C424))/E424*9"),3.1741132076566108)</f>
        <v>3.174113208</v>
      </c>
      <c r="H424" s="41">
        <v>0.509758898</v>
      </c>
      <c r="I424" s="41">
        <v>0.143513203</v>
      </c>
      <c r="J424" s="41">
        <v>0.346727899</v>
      </c>
      <c r="K424" s="41">
        <f t="shared" si="1"/>
        <v>0.163030999</v>
      </c>
      <c r="L424" s="42">
        <v>-7.297821206</v>
      </c>
      <c r="M424" s="45">
        <f>('Cy Young Rank'!O$1-G424)*E424/9</f>
        <v>5.162246638</v>
      </c>
      <c r="N424" s="42"/>
      <c r="O424" s="66"/>
      <c r="P424" s="42"/>
      <c r="Q424" s="67"/>
      <c r="R424" s="67"/>
    </row>
    <row r="425">
      <c r="A425" s="1" t="s">
        <v>492</v>
      </c>
      <c r="B425" s="38">
        <v>671212.0</v>
      </c>
      <c r="C425" s="44" t="s">
        <v>533</v>
      </c>
      <c r="D425" s="38">
        <v>311.0</v>
      </c>
      <c r="E425" s="39">
        <f>IFERROR(__xludf.DUMMYFUNCTION("sum(filter('PLA Sheet'!H:H,'PLA Sheet'!C:C=B425,'PLA Sheet'!D:D=C425))"),18.26124197)</f>
        <v>18.26124197</v>
      </c>
      <c r="F425" s="40">
        <v>5.148775591</v>
      </c>
      <c r="G425" s="40">
        <f>IFERROR(__xludf.DUMMYFUNCTION("sum(filter('PLA Sheet'!J:J,'PLA Sheet'!C:C=B425,'PLA Sheet'!D:D=C425))/E425*9"),3.1014557001678016)</f>
        <v>3.1014557</v>
      </c>
      <c r="H425" s="41">
        <v>0.514469453</v>
      </c>
      <c r="I425" s="41">
        <v>0.160771704</v>
      </c>
      <c r="J425" s="41">
        <v>0.324758842</v>
      </c>
      <c r="K425" s="41">
        <f t="shared" si="1"/>
        <v>0.189710611</v>
      </c>
      <c r="L425" s="42">
        <v>-0.463215787</v>
      </c>
      <c r="M425" s="45">
        <f>('Cy Young Rank'!O$1-G425)*E425/9</f>
        <v>1.944912155</v>
      </c>
      <c r="N425" s="42"/>
      <c r="O425" s="66"/>
      <c r="P425" s="42"/>
      <c r="Q425" s="67"/>
      <c r="R425" s="67"/>
    </row>
    <row r="426">
      <c r="A426" s="1" t="s">
        <v>113</v>
      </c>
      <c r="B426" s="38">
        <v>664285.0</v>
      </c>
      <c r="C426" s="44" t="s">
        <v>541</v>
      </c>
      <c r="D426" s="38">
        <v>929.0</v>
      </c>
      <c r="E426" s="39">
        <f>IFERROR(__xludf.DUMMYFUNCTION("sum(filter('PLA Sheet'!H:H,'PLA Sheet'!C:C=B426,'PLA Sheet'!D:D=C426))"),63.55678671)</f>
        <v>63.55678671</v>
      </c>
      <c r="F426" s="40">
        <v>5.148719483</v>
      </c>
      <c r="G426" s="40">
        <f>IFERROR(__xludf.DUMMYFUNCTION("sum(filter('PLA Sheet'!J:J,'PLA Sheet'!C:C=B426,'PLA Sheet'!D:D=C426))/E426*9"),2.633854300467042)</f>
        <v>2.6338543</v>
      </c>
      <c r="H426" s="41">
        <v>0.520990312</v>
      </c>
      <c r="I426" s="41">
        <v>0.143164693</v>
      </c>
      <c r="J426" s="41">
        <v>0.335844995</v>
      </c>
      <c r="K426" s="41">
        <f t="shared" si="1"/>
        <v>0.185145317</v>
      </c>
      <c r="L426" s="42">
        <v>-4.640322695</v>
      </c>
      <c r="M426" s="45">
        <f>('Cy Young Rank'!O$1-G426)*E426/9</f>
        <v>10.07124867</v>
      </c>
      <c r="N426" s="42"/>
      <c r="O426" s="66"/>
      <c r="P426" s="42"/>
      <c r="Q426" s="67"/>
      <c r="R426" s="67"/>
    </row>
    <row r="427">
      <c r="A427" s="1" t="s">
        <v>352</v>
      </c>
      <c r="B427" s="38">
        <v>685299.0</v>
      </c>
      <c r="C427" s="44" t="s">
        <v>533</v>
      </c>
      <c r="D427" s="38">
        <v>296.0</v>
      </c>
      <c r="E427" s="39">
        <f>IFERROR(__xludf.DUMMYFUNCTION("sum(filter('PLA Sheet'!H:H,'PLA Sheet'!C:C=B427,'PLA Sheet'!D:D=C427))"),18.833333334)</f>
        <v>18.83333333</v>
      </c>
      <c r="F427" s="40">
        <v>5.148572566</v>
      </c>
      <c r="G427" s="40">
        <f>IFERROR(__xludf.DUMMYFUNCTION("sum(filter('PLA Sheet'!J:J,'PLA Sheet'!C:C=B427,'PLA Sheet'!D:D=C427))/E427*9"),2.8805444600750247)</f>
        <v>2.88054446</v>
      </c>
      <c r="H427" s="41">
        <v>0.452702703</v>
      </c>
      <c r="I427" s="41">
        <v>0.246621622</v>
      </c>
      <c r="J427" s="41">
        <v>0.300675676</v>
      </c>
      <c r="K427" s="41">
        <f t="shared" si="1"/>
        <v>0.152027027</v>
      </c>
      <c r="L427" s="42">
        <v>-7.862641939</v>
      </c>
      <c r="M427" s="45">
        <f>('Cy Young Rank'!O$1-G427)*E427/9</f>
        <v>2.468119926</v>
      </c>
      <c r="N427" s="42"/>
      <c r="O427" s="66"/>
      <c r="P427" s="42"/>
      <c r="Q427" s="67"/>
      <c r="R427" s="67"/>
    </row>
    <row r="428">
      <c r="A428" s="1" t="s">
        <v>438</v>
      </c>
      <c r="B428" s="38">
        <v>623211.0</v>
      </c>
      <c r="C428" s="44" t="s">
        <v>536</v>
      </c>
      <c r="D428" s="38">
        <v>362.0</v>
      </c>
      <c r="E428" s="39">
        <f>IFERROR(__xludf.DUMMYFUNCTION("sum(filter('PLA Sheet'!H:H,'PLA Sheet'!C:C=B428,'PLA Sheet'!D:D=C428))"),23.243323447)</f>
        <v>23.24332345</v>
      </c>
      <c r="F428" s="40">
        <v>5.14852762</v>
      </c>
      <c r="G428" s="40">
        <f>IFERROR(__xludf.DUMMYFUNCTION("sum(filter('PLA Sheet'!J:J,'PLA Sheet'!C:C=B428,'PLA Sheet'!D:D=C428))/E428*9"),2.9260690346232825)</f>
        <v>2.926069035</v>
      </c>
      <c r="H428" s="41">
        <v>0.522099448</v>
      </c>
      <c r="I428" s="41">
        <v>0.190607735</v>
      </c>
      <c r="J428" s="41">
        <v>0.287292818</v>
      </c>
      <c r="K428" s="41">
        <f t="shared" si="1"/>
        <v>0.23480663</v>
      </c>
      <c r="L428" s="42">
        <v>8.100839836</v>
      </c>
      <c r="M428" s="45">
        <f>('Cy Young Rank'!O$1-G428)*E428/9</f>
        <v>2.928480466</v>
      </c>
      <c r="N428" s="42"/>
      <c r="O428" s="66"/>
      <c r="P428" s="42"/>
      <c r="Q428" s="67"/>
      <c r="R428" s="67"/>
    </row>
    <row r="429">
      <c r="A429" s="1" t="s">
        <v>98</v>
      </c>
      <c r="B429" s="38">
        <v>605400.0</v>
      </c>
      <c r="C429" s="44" t="s">
        <v>536</v>
      </c>
      <c r="D429" s="38">
        <v>272.0</v>
      </c>
      <c r="E429" s="39">
        <f>IFERROR(__xludf.DUMMYFUNCTION("sum(filter('PLA Sheet'!H:H,'PLA Sheet'!C:C=B429,'PLA Sheet'!D:D=C429))"),16.855988088)</f>
        <v>16.85598809</v>
      </c>
      <c r="F429" s="40">
        <v>5.147848813</v>
      </c>
      <c r="G429" s="40">
        <f>IFERROR(__xludf.DUMMYFUNCTION("sum(filter('PLA Sheet'!J:J,'PLA Sheet'!C:C=B429,'PLA Sheet'!D:D=C429))/E429*9"),2.9376451111312627)</f>
        <v>2.937645111</v>
      </c>
      <c r="H429" s="41">
        <v>0.481617647</v>
      </c>
      <c r="I429" s="41">
        <v>0.176470588</v>
      </c>
      <c r="J429" s="41">
        <v>0.341911765</v>
      </c>
      <c r="K429" s="41">
        <f t="shared" si="1"/>
        <v>0.139705882</v>
      </c>
      <c r="L429" s="42">
        <v>-2.436030368</v>
      </c>
      <c r="M429" s="45">
        <f>('Cy Young Rank'!O$1-G429)*E429/9</f>
        <v>2.102044515</v>
      </c>
      <c r="N429" s="42"/>
      <c r="O429" s="66"/>
      <c r="P429" s="42"/>
      <c r="Q429" s="67"/>
      <c r="R429" s="67"/>
    </row>
    <row r="430">
      <c r="A430" s="1" t="s">
        <v>290</v>
      </c>
      <c r="B430" s="38">
        <v>669461.0</v>
      </c>
      <c r="C430" s="44" t="s">
        <v>533</v>
      </c>
      <c r="D430" s="38">
        <v>488.0</v>
      </c>
      <c r="E430" s="39">
        <f>IFERROR(__xludf.DUMMYFUNCTION("sum(filter('PLA Sheet'!H:H,'PLA Sheet'!C:C=B430,'PLA Sheet'!D:D=C430))"),31.959921799999996)</f>
        <v>31.9599218</v>
      </c>
      <c r="F430" s="40">
        <v>5.147819445</v>
      </c>
      <c r="G430" s="40">
        <f>IFERROR(__xludf.DUMMYFUNCTION("sum(filter('PLA Sheet'!J:J,'PLA Sheet'!C:C=B430,'PLA Sheet'!D:D=C430))/E430*9"),2.7840830323934025)</f>
        <v>2.784083032</v>
      </c>
      <c r="H430" s="41">
        <v>0.475409836</v>
      </c>
      <c r="I430" s="41">
        <v>0.176229508</v>
      </c>
      <c r="J430" s="41">
        <v>0.348360656</v>
      </c>
      <c r="K430" s="41">
        <f t="shared" si="1"/>
        <v>0.12704918</v>
      </c>
      <c r="L430" s="42">
        <v>-11.11663208</v>
      </c>
      <c r="M430" s="45">
        <f>('Cy Young Rank'!O$1-G430)*E430/9</f>
        <v>4.530911834</v>
      </c>
      <c r="N430" s="42"/>
      <c r="O430" s="66"/>
      <c r="P430" s="42"/>
      <c r="Q430" s="67"/>
      <c r="R430" s="67"/>
    </row>
    <row r="431">
      <c r="A431" s="1" t="s">
        <v>432</v>
      </c>
      <c r="B431" s="38">
        <v>669467.0</v>
      </c>
      <c r="C431" s="44" t="s">
        <v>537</v>
      </c>
      <c r="D431" s="38">
        <v>1143.0</v>
      </c>
      <c r="E431" s="39">
        <f>IFERROR(__xludf.DUMMYFUNCTION("sum(filter('PLA Sheet'!H:H,'PLA Sheet'!C:C=B431,'PLA Sheet'!D:D=C431))"),71.6379691)</f>
        <v>71.6379691</v>
      </c>
      <c r="F431" s="40">
        <v>5.147740282</v>
      </c>
      <c r="G431" s="40">
        <f>IFERROR(__xludf.DUMMYFUNCTION("sum(filter('PLA Sheet'!J:J,'PLA Sheet'!C:C=B431,'PLA Sheet'!D:D=C431))/E431*9"),3.1394077166824648)</f>
        <v>3.139407717</v>
      </c>
      <c r="H431" s="41">
        <v>0.498687664</v>
      </c>
      <c r="I431" s="41">
        <v>0.187226597</v>
      </c>
      <c r="J431" s="41">
        <v>0.314085739</v>
      </c>
      <c r="K431" s="41">
        <f t="shared" si="1"/>
        <v>0.184601925</v>
      </c>
      <c r="L431" s="42">
        <v>-5.260983518</v>
      </c>
      <c r="M431" s="45">
        <f>('Cy Young Rank'!O$1-G431)*E431/9</f>
        <v>7.327706838</v>
      </c>
      <c r="N431" s="42"/>
      <c r="O431" s="66"/>
      <c r="P431" s="42"/>
      <c r="Q431" s="67"/>
      <c r="R431" s="67"/>
    </row>
    <row r="432">
      <c r="A432" s="1" t="s">
        <v>317</v>
      </c>
      <c r="B432" s="38">
        <v>673929.0</v>
      </c>
      <c r="C432" s="44" t="s">
        <v>537</v>
      </c>
      <c r="D432" s="38">
        <v>585.0</v>
      </c>
      <c r="E432" s="39">
        <f>IFERROR(__xludf.DUMMYFUNCTION("sum(filter('PLA Sheet'!H:H,'PLA Sheet'!C:C=B432,'PLA Sheet'!D:D=C432))"),34.81635666)</f>
        <v>34.81635666</v>
      </c>
      <c r="F432" s="40">
        <v>5.146818711</v>
      </c>
      <c r="G432" s="40">
        <f>IFERROR(__xludf.DUMMYFUNCTION("sum(filter('PLA Sheet'!J:J,'PLA Sheet'!C:C=B432,'PLA Sheet'!D:D=C432))/E432*9"),3.2252967217851336)</f>
        <v>3.225296722</v>
      </c>
      <c r="H432" s="41">
        <v>0.541880342</v>
      </c>
      <c r="I432" s="41">
        <v>0.099145299</v>
      </c>
      <c r="J432" s="41">
        <v>0.358974359</v>
      </c>
      <c r="K432" s="41">
        <f t="shared" si="1"/>
        <v>0.182905983</v>
      </c>
      <c r="L432" s="42">
        <v>-6.670966386</v>
      </c>
      <c r="M432" s="45">
        <f>('Cy Young Rank'!O$1-G432)*E432/9</f>
        <v>3.229036338</v>
      </c>
      <c r="N432" s="42"/>
      <c r="O432" s="66"/>
      <c r="P432" s="42"/>
      <c r="Q432" s="67"/>
      <c r="R432" s="67"/>
    </row>
    <row r="433">
      <c r="A433" s="1" t="s">
        <v>356</v>
      </c>
      <c r="B433" s="38">
        <v>680732.0</v>
      </c>
      <c r="C433" s="44" t="s">
        <v>533</v>
      </c>
      <c r="D433" s="38">
        <v>507.0</v>
      </c>
      <c r="E433" s="39">
        <f>IFERROR(__xludf.DUMMYFUNCTION("sum(filter('PLA Sheet'!H:H,'PLA Sheet'!C:C=B433,'PLA Sheet'!D:D=C433))"),29.411929823999998)</f>
        <v>29.41192982</v>
      </c>
      <c r="F433" s="40">
        <v>5.146151811</v>
      </c>
      <c r="G433" s="40">
        <f>IFERROR(__xludf.DUMMYFUNCTION("sum(filter('PLA Sheet'!J:J,'PLA Sheet'!C:C=B433,'PLA Sheet'!D:D=C433))/E433*9"),3.155624726272297)</f>
        <v>3.155624726</v>
      </c>
      <c r="H433" s="41">
        <v>0.463510848</v>
      </c>
      <c r="I433" s="41">
        <v>0.193293886</v>
      </c>
      <c r="J433" s="41">
        <v>0.343195266</v>
      </c>
      <c r="K433" s="41">
        <f t="shared" si="1"/>
        <v>0.120315582</v>
      </c>
      <c r="L433" s="42">
        <v>-5.316616502</v>
      </c>
      <c r="M433" s="45">
        <f>('Cy Young Rank'!O$1-G433)*E433/9</f>
        <v>2.955491343</v>
      </c>
      <c r="N433" s="42"/>
      <c r="O433" s="66"/>
      <c r="P433" s="42"/>
      <c r="Q433" s="67"/>
      <c r="R433" s="67"/>
    </row>
    <row r="434">
      <c r="A434" s="1" t="s">
        <v>318</v>
      </c>
      <c r="B434" s="38">
        <v>681982.0</v>
      </c>
      <c r="C434" s="44" t="s">
        <v>536</v>
      </c>
      <c r="D434" s="38">
        <v>277.0</v>
      </c>
      <c r="E434" s="39">
        <f>IFERROR(__xludf.DUMMYFUNCTION("sum(filter('PLA Sheet'!H:H,'PLA Sheet'!C:C=B434,'PLA Sheet'!D:D=C434))"),17.281186982)</f>
        <v>17.28118698</v>
      </c>
      <c r="F434" s="40">
        <v>5.14461852</v>
      </c>
      <c r="G434" s="40">
        <f>IFERROR(__xludf.DUMMYFUNCTION("sum(filter('PLA Sheet'!J:J,'PLA Sheet'!C:C=B434,'PLA Sheet'!D:D=C434))/E434*9"),3.1399983725955845)</f>
        <v>3.139998373</v>
      </c>
      <c r="H434" s="41">
        <v>0.541516245</v>
      </c>
      <c r="I434" s="41">
        <v>0.162454874</v>
      </c>
      <c r="J434" s="41">
        <v>0.296028881</v>
      </c>
      <c r="K434" s="41">
        <f t="shared" si="1"/>
        <v>0.245487364</v>
      </c>
      <c r="L434" s="42">
        <v>-4.840503754</v>
      </c>
      <c r="M434" s="45">
        <f>('Cy Young Rank'!O$1-G434)*E434/9</f>
        <v>1.766524461</v>
      </c>
      <c r="N434" s="42"/>
      <c r="O434" s="66"/>
      <c r="P434" s="42"/>
      <c r="Q434" s="67"/>
      <c r="R434" s="67"/>
    </row>
    <row r="435">
      <c r="A435" s="1" t="s">
        <v>359</v>
      </c>
      <c r="B435" s="38">
        <v>672391.0</v>
      </c>
      <c r="C435" s="44" t="s">
        <v>537</v>
      </c>
      <c r="D435" s="38">
        <v>410.0</v>
      </c>
      <c r="E435" s="39">
        <f>IFERROR(__xludf.DUMMYFUNCTION("sum(filter('PLA Sheet'!H:H,'PLA Sheet'!C:C=B435,'PLA Sheet'!D:D=C435))"),24.989821878999997)</f>
        <v>24.98982188</v>
      </c>
      <c r="F435" s="40">
        <v>5.142501114</v>
      </c>
      <c r="G435" s="40">
        <f>IFERROR(__xludf.DUMMYFUNCTION("sum(filter('PLA Sheet'!J:J,'PLA Sheet'!C:C=B435,'PLA Sheet'!D:D=C435))/E435*9"),3.352779239711523)</f>
        <v>3.35277924</v>
      </c>
      <c r="H435" s="41">
        <v>0.56097561</v>
      </c>
      <c r="I435" s="41">
        <v>0.104878049</v>
      </c>
      <c r="J435" s="41">
        <v>0.334146341</v>
      </c>
      <c r="K435" s="41">
        <f t="shared" si="1"/>
        <v>0.226829269</v>
      </c>
      <c r="L435" s="42">
        <v>-0.774400879</v>
      </c>
      <c r="M435" s="45">
        <f>('Cy Young Rank'!O$1-G435)*E435/9</f>
        <v>1.963702314</v>
      </c>
      <c r="N435" s="42"/>
      <c r="O435" s="66"/>
      <c r="P435" s="42"/>
      <c r="Q435" s="67"/>
      <c r="R435" s="67"/>
    </row>
    <row r="436">
      <c r="A436" s="1" t="s">
        <v>285</v>
      </c>
      <c r="B436" s="38">
        <v>607074.0</v>
      </c>
      <c r="C436" s="44" t="s">
        <v>537</v>
      </c>
      <c r="D436" s="38">
        <v>1296.0</v>
      </c>
      <c r="E436" s="39">
        <f>IFERROR(__xludf.DUMMYFUNCTION("sum(filter('PLA Sheet'!H:H,'PLA Sheet'!C:C=B436,'PLA Sheet'!D:D=C436))"),81.73349938)</f>
        <v>81.73349938</v>
      </c>
      <c r="F436" s="40">
        <v>5.142228331</v>
      </c>
      <c r="G436" s="40">
        <f>IFERROR(__xludf.DUMMYFUNCTION("sum(filter('PLA Sheet'!J:J,'PLA Sheet'!C:C=B436,'PLA Sheet'!D:D=C436))/E436*9"),3.0635463536909437)</f>
        <v>3.063546354</v>
      </c>
      <c r="H436" s="41">
        <v>0.546296296</v>
      </c>
      <c r="I436" s="41">
        <v>0.117283951</v>
      </c>
      <c r="J436" s="41">
        <v>0.336419753</v>
      </c>
      <c r="K436" s="41">
        <f t="shared" si="1"/>
        <v>0.209876543</v>
      </c>
      <c r="L436" s="42">
        <v>3.719049792</v>
      </c>
      <c r="M436" s="45">
        <f>('Cy Young Rank'!O$1-G436)*E436/9</f>
        <v>9.04929372</v>
      </c>
      <c r="N436" s="42"/>
      <c r="O436" s="66"/>
      <c r="P436" s="42"/>
      <c r="Q436" s="67"/>
      <c r="R436" s="67"/>
    </row>
    <row r="437">
      <c r="A437" s="1" t="s">
        <v>156</v>
      </c>
      <c r="B437" s="38">
        <v>519242.0</v>
      </c>
      <c r="C437" s="44" t="s">
        <v>537</v>
      </c>
      <c r="D437" s="38">
        <v>830.0</v>
      </c>
      <c r="E437" s="39">
        <f>IFERROR(__xludf.DUMMYFUNCTION("sum(filter('PLA Sheet'!H:H,'PLA Sheet'!C:C=B437,'PLA Sheet'!D:D=C437))"),52.557142856999995)</f>
        <v>52.55714286</v>
      </c>
      <c r="F437" s="40">
        <v>5.139420573</v>
      </c>
      <c r="G437" s="40">
        <f>IFERROR(__xludf.DUMMYFUNCTION("sum(filter('PLA Sheet'!J:J,'PLA Sheet'!C:C=B437,'PLA Sheet'!D:D=C437))/E437*9"),3.1169567654338604)</f>
        <v>3.116956765</v>
      </c>
      <c r="H437" s="41">
        <v>0.503614458</v>
      </c>
      <c r="I437" s="41">
        <v>0.15060241</v>
      </c>
      <c r="J437" s="41">
        <v>0.345783133</v>
      </c>
      <c r="K437" s="41">
        <f t="shared" si="1"/>
        <v>0.157831325</v>
      </c>
      <c r="L437" s="42">
        <v>-11.15933946</v>
      </c>
      <c r="M437" s="45">
        <f>('Cy Young Rank'!O$1-G437)*E437/9</f>
        <v>5.507073111</v>
      </c>
      <c r="N437" s="42"/>
      <c r="O437" s="66"/>
      <c r="P437" s="42"/>
      <c r="Q437" s="67"/>
      <c r="R437" s="67"/>
    </row>
    <row r="438">
      <c r="A438" s="1" t="s">
        <v>220</v>
      </c>
      <c r="B438" s="38">
        <v>663559.0</v>
      </c>
      <c r="C438" s="44" t="s">
        <v>536</v>
      </c>
      <c r="D438" s="38">
        <v>255.0</v>
      </c>
      <c r="E438" s="39">
        <f>IFERROR(__xludf.DUMMYFUNCTION("sum(filter('PLA Sheet'!H:H,'PLA Sheet'!C:C=B438,'PLA Sheet'!D:D=C438))"),17.152229625)</f>
        <v>17.15222963</v>
      </c>
      <c r="F438" s="40">
        <v>5.138942359</v>
      </c>
      <c r="G438" s="40">
        <f>IFERROR(__xludf.DUMMYFUNCTION("sum(filter('PLA Sheet'!J:J,'PLA Sheet'!C:C=B438,'PLA Sheet'!D:D=C438))/E438*9"),2.919570463714568)</f>
        <v>2.919570464</v>
      </c>
      <c r="H438" s="41">
        <v>0.501960784</v>
      </c>
      <c r="I438" s="41">
        <v>0.184313725</v>
      </c>
      <c r="J438" s="41">
        <v>0.31372549</v>
      </c>
      <c r="K438" s="41">
        <f t="shared" si="1"/>
        <v>0.188235294</v>
      </c>
      <c r="L438" s="42">
        <v>-1.588539172</v>
      </c>
      <c r="M438" s="45">
        <f>('Cy Young Rank'!O$1-G438)*E438/9</f>
        <v>2.173434364</v>
      </c>
      <c r="N438" s="42"/>
      <c r="O438" s="66"/>
      <c r="P438" s="42"/>
      <c r="Q438" s="67"/>
      <c r="R438" s="67"/>
    </row>
    <row r="439">
      <c r="A439" s="1" t="s">
        <v>150</v>
      </c>
      <c r="B439" s="38">
        <v>657746.0</v>
      </c>
      <c r="C439" s="44" t="s">
        <v>539</v>
      </c>
      <c r="D439" s="38">
        <v>355.0</v>
      </c>
      <c r="E439" s="39">
        <f>IFERROR(__xludf.DUMMYFUNCTION("sum(filter('PLA Sheet'!H:H,'PLA Sheet'!C:C=B439,'PLA Sheet'!D:D=C439))"),22.392128800000002)</f>
        <v>22.3921288</v>
      </c>
      <c r="F439" s="40">
        <v>5.136651036</v>
      </c>
      <c r="G439" s="40">
        <f>IFERROR(__xludf.DUMMYFUNCTION("sum(filter('PLA Sheet'!J:J,'PLA Sheet'!C:C=B439,'PLA Sheet'!D:D=C439))/E439*9"),2.950333511836534)</f>
        <v>2.950333512</v>
      </c>
      <c r="H439" s="41">
        <v>0.484507042</v>
      </c>
      <c r="I439" s="41">
        <v>0.194366197</v>
      </c>
      <c r="J439" s="41">
        <v>0.321126761</v>
      </c>
      <c r="K439" s="41">
        <f t="shared" si="1"/>
        <v>0.163380281</v>
      </c>
      <c r="L439" s="42">
        <v>0.169138845</v>
      </c>
      <c r="M439" s="45">
        <f>('Cy Young Rank'!O$1-G439)*E439/9</f>
        <v>2.760866103</v>
      </c>
      <c r="N439" s="42"/>
      <c r="O439" s="66"/>
      <c r="P439" s="42"/>
      <c r="Q439" s="67"/>
      <c r="R439" s="67"/>
    </row>
    <row r="440">
      <c r="A440" s="1" t="s">
        <v>169</v>
      </c>
      <c r="B440" s="38">
        <v>671096.0</v>
      </c>
      <c r="C440" s="44" t="s">
        <v>537</v>
      </c>
      <c r="D440" s="38">
        <v>1216.0</v>
      </c>
      <c r="E440" s="39">
        <f>IFERROR(__xludf.DUMMYFUNCTION("sum(filter('PLA Sheet'!H:H,'PLA Sheet'!C:C=B440,'PLA Sheet'!D:D=C440))"),78.50485799)</f>
        <v>78.50485799</v>
      </c>
      <c r="F440" s="40">
        <v>5.136286819</v>
      </c>
      <c r="G440" s="40">
        <f>IFERROR(__xludf.DUMMYFUNCTION("sum(filter('PLA Sheet'!J:J,'PLA Sheet'!C:C=B440,'PLA Sheet'!D:D=C440))/E440*9"),3.1091007645805946)</f>
        <v>3.109100765</v>
      </c>
      <c r="H440" s="41">
        <v>0.490953947</v>
      </c>
      <c r="I440" s="41">
        <v>0.173519737</v>
      </c>
      <c r="J440" s="41">
        <v>0.335526316</v>
      </c>
      <c r="K440" s="41">
        <f t="shared" si="1"/>
        <v>0.155427631</v>
      </c>
      <c r="L440" s="42">
        <v>-0.058251526</v>
      </c>
      <c r="M440" s="45">
        <f>('Cy Young Rank'!O$1-G440)*E440/9</f>
        <v>8.294467715</v>
      </c>
      <c r="N440" s="42"/>
      <c r="O440" s="66"/>
      <c r="P440" s="42"/>
      <c r="Q440" s="67"/>
      <c r="R440" s="67"/>
    </row>
    <row r="441">
      <c r="A441" s="1" t="s">
        <v>251</v>
      </c>
      <c r="B441" s="38">
        <v>676664.0</v>
      </c>
      <c r="C441" s="44" t="s">
        <v>537</v>
      </c>
      <c r="D441" s="38">
        <v>920.0</v>
      </c>
      <c r="E441" s="39">
        <f>IFERROR(__xludf.DUMMYFUNCTION("sum(filter('PLA Sheet'!H:H,'PLA Sheet'!C:C=B441,'PLA Sheet'!D:D=C441))"),55.103832068)</f>
        <v>55.10383207</v>
      </c>
      <c r="F441" s="40">
        <v>5.136227369</v>
      </c>
      <c r="G441" s="40">
        <f>IFERROR(__xludf.DUMMYFUNCTION("sum(filter('PLA Sheet'!J:J,'PLA Sheet'!C:C=B441,'PLA Sheet'!D:D=C441))/E441*9"),3.5631266035673774)</f>
        <v>3.563126604</v>
      </c>
      <c r="H441" s="41">
        <v>0.494565217</v>
      </c>
      <c r="I441" s="41">
        <v>0.167391304</v>
      </c>
      <c r="J441" s="41">
        <v>0.338043478</v>
      </c>
      <c r="K441" s="41">
        <f t="shared" si="1"/>
        <v>0.156521739</v>
      </c>
      <c r="L441" s="42">
        <v>-13.26074445</v>
      </c>
      <c r="M441" s="45">
        <f>('Cy Young Rank'!O$1-G441)*E441/9</f>
        <v>3.042180911</v>
      </c>
      <c r="N441" s="42"/>
      <c r="O441" s="66"/>
      <c r="P441" s="42"/>
      <c r="Q441" s="67"/>
      <c r="R441" s="67"/>
    </row>
    <row r="442">
      <c r="A442" s="1" t="s">
        <v>85</v>
      </c>
      <c r="B442" s="38">
        <v>808967.0</v>
      </c>
      <c r="C442" s="44" t="s">
        <v>538</v>
      </c>
      <c r="D442" s="38">
        <v>691.0</v>
      </c>
      <c r="E442" s="39">
        <f>IFERROR(__xludf.DUMMYFUNCTION("sum(filter('PLA Sheet'!H:H,'PLA Sheet'!C:C=B442,'PLA Sheet'!D:D=C442))"),44.03957437)</f>
        <v>44.03957437</v>
      </c>
      <c r="F442" s="40">
        <v>5.134992655</v>
      </c>
      <c r="G442" s="40">
        <f>IFERROR(__xludf.DUMMYFUNCTION("sum(filter('PLA Sheet'!J:J,'PLA Sheet'!C:C=B442,'PLA Sheet'!D:D=C442))/E442*9"),2.6413050231302684)</f>
        <v>2.641305023</v>
      </c>
      <c r="H442" s="41">
        <v>0.451519537</v>
      </c>
      <c r="I442" s="41">
        <v>0.208393632</v>
      </c>
      <c r="J442" s="41">
        <v>0.340086831</v>
      </c>
      <c r="K442" s="41">
        <f t="shared" si="1"/>
        <v>0.111432706</v>
      </c>
      <c r="L442" s="42">
        <v>10.69607413</v>
      </c>
      <c r="M442" s="45">
        <f>('Cy Young Rank'!O$1-G442)*E442/9</f>
        <v>6.942080327</v>
      </c>
      <c r="N442" s="42"/>
      <c r="O442" s="66"/>
      <c r="P442" s="42"/>
      <c r="Q442" s="67"/>
      <c r="R442" s="67"/>
    </row>
    <row r="443">
      <c r="A443" s="1" t="s">
        <v>368</v>
      </c>
      <c r="B443" s="38">
        <v>593958.0</v>
      </c>
      <c r="C443" s="44" t="s">
        <v>532</v>
      </c>
      <c r="D443" s="38">
        <v>521.0</v>
      </c>
      <c r="E443" s="39">
        <f>IFERROR(__xludf.DUMMYFUNCTION("sum(filter('PLA Sheet'!H:H,'PLA Sheet'!C:C=B443,'PLA Sheet'!D:D=C443))"),31.583107676)</f>
        <v>31.58310768</v>
      </c>
      <c r="F443" s="40">
        <v>5.134343684</v>
      </c>
      <c r="G443" s="40">
        <f>IFERROR(__xludf.DUMMYFUNCTION("sum(filter('PLA Sheet'!J:J,'PLA Sheet'!C:C=B443,'PLA Sheet'!D:D=C443))/E443*9"),3.026759525397883)</f>
        <v>3.026759525</v>
      </c>
      <c r="H443" s="41">
        <v>0.497120921</v>
      </c>
      <c r="I443" s="41">
        <v>0.178502879</v>
      </c>
      <c r="J443" s="41">
        <v>0.3243762</v>
      </c>
      <c r="K443" s="41">
        <f t="shared" si="1"/>
        <v>0.172744721</v>
      </c>
      <c r="L443" s="42">
        <v>-12.4054471</v>
      </c>
      <c r="M443" s="45">
        <f>('Cy Young Rank'!O$1-G443)*E443/9</f>
        <v>3.625882796</v>
      </c>
      <c r="N443" s="42"/>
      <c r="O443" s="66"/>
      <c r="P443" s="42"/>
      <c r="Q443" s="67"/>
      <c r="R443" s="67"/>
    </row>
    <row r="444">
      <c r="A444" s="1" t="s">
        <v>84</v>
      </c>
      <c r="B444" s="38">
        <v>669373.0</v>
      </c>
      <c r="C444" s="44" t="s">
        <v>532</v>
      </c>
      <c r="D444" s="38">
        <v>869.0</v>
      </c>
      <c r="E444" s="39">
        <f>IFERROR(__xludf.DUMMYFUNCTION("sum(filter('PLA Sheet'!H:H,'PLA Sheet'!C:C=B444,'PLA Sheet'!D:D=C444))"),61.363051363000004)</f>
        <v>61.36305136</v>
      </c>
      <c r="F444" s="40">
        <v>5.133282914</v>
      </c>
      <c r="G444" s="40">
        <f>IFERROR(__xludf.DUMMYFUNCTION("sum(filter('PLA Sheet'!J:J,'PLA Sheet'!C:C=B444,'PLA Sheet'!D:D=C444))/E444*9"),2.6421643219939357)</f>
        <v>2.642164322</v>
      </c>
      <c r="H444" s="41">
        <v>0.471806674</v>
      </c>
      <c r="I444" s="41">
        <v>0.20023015</v>
      </c>
      <c r="J444" s="41">
        <v>0.327963176</v>
      </c>
      <c r="K444" s="41">
        <f t="shared" si="1"/>
        <v>0.143843498</v>
      </c>
      <c r="L444" s="42">
        <v>20.18703008</v>
      </c>
      <c r="M444" s="45">
        <f>('Cy Young Rank'!O$1-G444)*E444/9</f>
        <v>9.666969282</v>
      </c>
      <c r="N444" s="42"/>
      <c r="O444" s="66"/>
      <c r="P444" s="42"/>
      <c r="Q444" s="67"/>
      <c r="R444" s="67"/>
    </row>
    <row r="445">
      <c r="A445" s="1" t="s">
        <v>346</v>
      </c>
      <c r="B445" s="38">
        <v>660853.0</v>
      </c>
      <c r="C445" s="44" t="s">
        <v>533</v>
      </c>
      <c r="D445" s="38">
        <v>382.0</v>
      </c>
      <c r="E445" s="39">
        <f>IFERROR(__xludf.DUMMYFUNCTION("sum(filter('PLA Sheet'!H:H,'PLA Sheet'!C:C=B445,'PLA Sheet'!D:D=C445))"),23.67391304)</f>
        <v>23.67391304</v>
      </c>
      <c r="F445" s="40">
        <v>5.132614871</v>
      </c>
      <c r="G445" s="40">
        <f>IFERROR(__xludf.DUMMYFUNCTION("sum(filter('PLA Sheet'!J:J,'PLA Sheet'!C:C=B445,'PLA Sheet'!D:D=C445))/E445*9"),3.07311933929449)</f>
        <v>3.073119339</v>
      </c>
      <c r="H445" s="41">
        <v>0.468586387</v>
      </c>
      <c r="I445" s="41">
        <v>0.193717277</v>
      </c>
      <c r="J445" s="41">
        <v>0.337696335</v>
      </c>
      <c r="K445" s="41">
        <f t="shared" si="1"/>
        <v>0.130890052</v>
      </c>
      <c r="L445" s="42">
        <v>4.01992131</v>
      </c>
      <c r="M445" s="45">
        <f>('Cy Young Rank'!O$1-G445)*E445/9</f>
        <v>2.595925216</v>
      </c>
      <c r="N445" s="42"/>
      <c r="O445" s="66"/>
      <c r="P445" s="42"/>
      <c r="Q445" s="67"/>
      <c r="R445" s="67"/>
    </row>
    <row r="446">
      <c r="A446" s="1" t="s">
        <v>428</v>
      </c>
      <c r="B446" s="38">
        <v>670102.0</v>
      </c>
      <c r="C446" s="44" t="s">
        <v>537</v>
      </c>
      <c r="D446" s="38">
        <v>620.0</v>
      </c>
      <c r="E446" s="39">
        <f>IFERROR(__xludf.DUMMYFUNCTION("sum(filter('PLA Sheet'!H:H,'PLA Sheet'!C:C=B446,'PLA Sheet'!D:D=C446))"),35.84224365)</f>
        <v>35.84224365</v>
      </c>
      <c r="F446" s="40">
        <v>5.13162343</v>
      </c>
      <c r="G446" s="40">
        <f>IFERROR(__xludf.DUMMYFUNCTION("sum(filter('PLA Sheet'!J:J,'PLA Sheet'!C:C=B446,'PLA Sheet'!D:D=C446))/E446*9"),3.3256064593489807)</f>
        <v>3.325606459</v>
      </c>
      <c r="H446" s="41">
        <v>0.540322581</v>
      </c>
      <c r="I446" s="41">
        <v>0.137096774</v>
      </c>
      <c r="J446" s="41">
        <v>0.322580645</v>
      </c>
      <c r="K446" s="41">
        <f t="shared" si="1"/>
        <v>0.217741936</v>
      </c>
      <c r="L446" s="42">
        <v>-9.113268309</v>
      </c>
      <c r="M446" s="45">
        <f>('Cy Young Rank'!O$1-G446)*E446/9</f>
        <v>2.924701358</v>
      </c>
      <c r="N446" s="42"/>
      <c r="O446" s="66"/>
      <c r="P446" s="42"/>
      <c r="Q446" s="67"/>
      <c r="R446" s="67"/>
    </row>
    <row r="447">
      <c r="A447" s="1" t="s">
        <v>252</v>
      </c>
      <c r="B447" s="38">
        <v>592155.0</v>
      </c>
      <c r="C447" s="44" t="s">
        <v>537</v>
      </c>
      <c r="D447" s="38">
        <v>255.0</v>
      </c>
      <c r="E447" s="39">
        <f>IFERROR(__xludf.DUMMYFUNCTION("sum(filter('PLA Sheet'!H:H,'PLA Sheet'!C:C=B447,'PLA Sheet'!D:D=C447))"),14.224168126)</f>
        <v>14.22416813</v>
      </c>
      <c r="F447" s="40">
        <v>5.130619873</v>
      </c>
      <c r="G447" s="40">
        <f>IFERROR(__xludf.DUMMYFUNCTION("sum(filter('PLA Sheet'!J:J,'PLA Sheet'!C:C=B447,'PLA Sheet'!D:D=C447))/E447*9"),3.4362984581612364)</f>
        <v>3.436298458</v>
      </c>
      <c r="H447" s="41">
        <v>0.525490196</v>
      </c>
      <c r="I447" s="41">
        <v>0.117647059</v>
      </c>
      <c r="J447" s="41">
        <v>0.356862745</v>
      </c>
      <c r="K447" s="41">
        <f t="shared" si="1"/>
        <v>0.168627451</v>
      </c>
      <c r="L447" s="42">
        <v>-3.842921937</v>
      </c>
      <c r="M447" s="45">
        <f>('Cy Young Rank'!O$1-G447)*E447/9</f>
        <v>0.985737288</v>
      </c>
      <c r="N447" s="42"/>
      <c r="O447" s="66"/>
      <c r="P447" s="42"/>
      <c r="Q447" s="67"/>
      <c r="R447" s="67"/>
    </row>
    <row r="448">
      <c r="A448" s="1" t="s">
        <v>374</v>
      </c>
      <c r="B448" s="38">
        <v>683004.0</v>
      </c>
      <c r="C448" s="44" t="s">
        <v>537</v>
      </c>
      <c r="D448" s="38">
        <v>966.0</v>
      </c>
      <c r="E448" s="39">
        <f>IFERROR(__xludf.DUMMYFUNCTION("sum(filter('PLA Sheet'!H:H,'PLA Sheet'!C:C=B448,'PLA Sheet'!D:D=C448))"),57.990196080000004)</f>
        <v>57.99019608</v>
      </c>
      <c r="F448" s="40">
        <v>5.130146095</v>
      </c>
      <c r="G448" s="40">
        <f>IFERROR(__xludf.DUMMYFUNCTION("sum(filter('PLA Sheet'!J:J,'PLA Sheet'!C:C=B448,'PLA Sheet'!D:D=C448))/E448*9"),3.3734040100524525)</f>
        <v>3.37340401</v>
      </c>
      <c r="H448" s="41">
        <v>0.547619048</v>
      </c>
      <c r="I448" s="41">
        <v>0.119047619</v>
      </c>
      <c r="J448" s="41">
        <v>0.333333333</v>
      </c>
      <c r="K448" s="41">
        <f t="shared" si="1"/>
        <v>0.214285715</v>
      </c>
      <c r="L448" s="42">
        <v>-1.424995225</v>
      </c>
      <c r="M448" s="45">
        <f>('Cy Young Rank'!O$1-G448)*E448/9</f>
        <v>4.423981787</v>
      </c>
      <c r="N448" s="42"/>
      <c r="O448" s="66"/>
      <c r="P448" s="42"/>
      <c r="Q448" s="67"/>
      <c r="R448" s="67"/>
    </row>
    <row r="449">
      <c r="A449" s="1" t="s">
        <v>425</v>
      </c>
      <c r="B449" s="38">
        <v>621244.0</v>
      </c>
      <c r="C449" s="44" t="s">
        <v>541</v>
      </c>
      <c r="D449" s="38">
        <v>652.0</v>
      </c>
      <c r="E449" s="39">
        <f>IFERROR(__xludf.DUMMYFUNCTION("sum(filter('PLA Sheet'!H:H,'PLA Sheet'!C:C=B449,'PLA Sheet'!D:D=C449))"),43.10603715)</f>
        <v>43.10603715</v>
      </c>
      <c r="F449" s="40">
        <v>5.129947283</v>
      </c>
      <c r="G449" s="40">
        <f>IFERROR(__xludf.DUMMYFUNCTION("sum(filter('PLA Sheet'!J:J,'PLA Sheet'!C:C=B449,'PLA Sheet'!D:D=C449))/E449*9"),1.8805592988730582)</f>
        <v>1.880559299</v>
      </c>
      <c r="H449" s="41">
        <v>0.503067485</v>
      </c>
      <c r="I449" s="41">
        <v>0.167177914</v>
      </c>
      <c r="J449" s="41">
        <v>0.329754601</v>
      </c>
      <c r="K449" s="41">
        <f t="shared" si="1"/>
        <v>0.173312884</v>
      </c>
      <c r="L449" s="42">
        <v>-7.853021115</v>
      </c>
      <c r="M449" s="45">
        <f>('Cy Young Rank'!O$1-G449)*E449/9</f>
        <v>10.43856131</v>
      </c>
      <c r="N449" s="42"/>
      <c r="O449" s="66"/>
      <c r="P449" s="42"/>
      <c r="Q449" s="67"/>
      <c r="R449" s="67"/>
    </row>
    <row r="450">
      <c r="A450" s="1" t="s">
        <v>273</v>
      </c>
      <c r="B450" s="38">
        <v>667463.0</v>
      </c>
      <c r="C450" s="44" t="s">
        <v>536</v>
      </c>
      <c r="D450" s="38">
        <v>451.0</v>
      </c>
      <c r="E450" s="39">
        <f>IFERROR(__xludf.DUMMYFUNCTION("sum(filter('PLA Sheet'!H:H,'PLA Sheet'!C:C=B450,'PLA Sheet'!D:D=C450))"),28.49317988)</f>
        <v>28.49317988</v>
      </c>
      <c r="F450" s="40">
        <v>5.129855828</v>
      </c>
      <c r="G450" s="40">
        <f>IFERROR(__xludf.DUMMYFUNCTION("sum(filter('PLA Sheet'!J:J,'PLA Sheet'!C:C=B450,'PLA Sheet'!D:D=C450))/E450*9"),2.976333928229846)</f>
        <v>2.976333928</v>
      </c>
      <c r="H450" s="41">
        <v>0.501108647</v>
      </c>
      <c r="I450" s="41">
        <v>0.181818182</v>
      </c>
      <c r="J450" s="41">
        <v>0.317073171</v>
      </c>
      <c r="K450" s="41">
        <f t="shared" si="1"/>
        <v>0.184035476</v>
      </c>
      <c r="L450" s="42">
        <v>-2.644409656</v>
      </c>
      <c r="M450" s="45">
        <f>('Cy Young Rank'!O$1-G450)*E450/9</f>
        <v>3.430788035</v>
      </c>
      <c r="N450" s="42"/>
      <c r="O450" s="66"/>
      <c r="P450" s="42"/>
      <c r="Q450" s="67"/>
      <c r="R450" s="67"/>
    </row>
    <row r="451">
      <c r="A451" s="1" t="s">
        <v>489</v>
      </c>
      <c r="B451" s="38">
        <v>656222.0</v>
      </c>
      <c r="C451" s="44" t="s">
        <v>537</v>
      </c>
      <c r="D451" s="38">
        <v>472.0</v>
      </c>
      <c r="E451" s="39">
        <f>IFERROR(__xludf.DUMMYFUNCTION("sum(filter('PLA Sheet'!H:H,'PLA Sheet'!C:C=B451,'PLA Sheet'!D:D=C451))"),30.04366812)</f>
        <v>30.04366812</v>
      </c>
      <c r="F451" s="40">
        <v>5.129796402</v>
      </c>
      <c r="G451" s="40">
        <f>IFERROR(__xludf.DUMMYFUNCTION("sum(filter('PLA Sheet'!J:J,'PLA Sheet'!C:C=B451,'PLA Sheet'!D:D=C451))/E451*9"),3.1687982845418277)</f>
        <v>3.168798285</v>
      </c>
      <c r="H451" s="41">
        <v>0.512711864</v>
      </c>
      <c r="I451" s="41">
        <v>0.158898305</v>
      </c>
      <c r="J451" s="41">
        <v>0.328389831</v>
      </c>
      <c r="K451" s="41">
        <f t="shared" si="1"/>
        <v>0.184322033</v>
      </c>
      <c r="L451" s="42">
        <v>-3.561392719</v>
      </c>
      <c r="M451" s="45">
        <f>('Cy Young Rank'!O$1-G451)*E451/9</f>
        <v>2.974996507</v>
      </c>
      <c r="N451" s="42"/>
      <c r="O451" s="66"/>
      <c r="P451" s="42"/>
      <c r="Q451" s="67"/>
      <c r="R451" s="67"/>
    </row>
    <row r="452">
      <c r="A452" s="1" t="s">
        <v>511</v>
      </c>
      <c r="B452" s="38">
        <v>671131.0</v>
      </c>
      <c r="C452" s="44" t="s">
        <v>536</v>
      </c>
      <c r="D452" s="38">
        <v>408.0</v>
      </c>
      <c r="E452" s="39">
        <f>IFERROR(__xludf.DUMMYFUNCTION("sum(filter('PLA Sheet'!H:H,'PLA Sheet'!C:C=B452,'PLA Sheet'!D:D=C452))"),23.183856502)</f>
        <v>23.1838565</v>
      </c>
      <c r="F452" s="40">
        <v>5.129043451</v>
      </c>
      <c r="G452" s="40">
        <f>IFERROR(__xludf.DUMMYFUNCTION("sum(filter('PLA Sheet'!J:J,'PLA Sheet'!C:C=B452,'PLA Sheet'!D:D=C452))/E452*9"),3.3440447663792217)</f>
        <v>3.344044766</v>
      </c>
      <c r="H452" s="41">
        <v>0.526960784</v>
      </c>
      <c r="I452" s="41">
        <v>0.159313725</v>
      </c>
      <c r="J452" s="41">
        <v>0.31372549</v>
      </c>
      <c r="K452" s="41">
        <f t="shared" si="1"/>
        <v>0.213235294</v>
      </c>
      <c r="L452" s="42">
        <v>-5.938986302</v>
      </c>
      <c r="M452" s="45">
        <f>('Cy Young Rank'!O$1-G452)*E452/9</f>
        <v>1.844289266</v>
      </c>
      <c r="N452" s="42"/>
      <c r="O452" s="66"/>
      <c r="P452" s="42"/>
      <c r="Q452" s="67"/>
      <c r="R452" s="67"/>
    </row>
    <row r="453">
      <c r="A453" s="1" t="s">
        <v>452</v>
      </c>
      <c r="B453" s="38">
        <v>607625.0</v>
      </c>
      <c r="C453" s="44" t="s">
        <v>541</v>
      </c>
      <c r="D453" s="38">
        <v>750.0</v>
      </c>
      <c r="E453" s="39">
        <f>IFERROR(__xludf.DUMMYFUNCTION("sum(filter('PLA Sheet'!H:H,'PLA Sheet'!C:C=B453,'PLA Sheet'!D:D=C453))"),47.05915335)</f>
        <v>47.05915335</v>
      </c>
      <c r="F453" s="40">
        <v>5.128968092</v>
      </c>
      <c r="G453" s="40">
        <f>IFERROR(__xludf.DUMMYFUNCTION("sum(filter('PLA Sheet'!J:J,'PLA Sheet'!C:C=B453,'PLA Sheet'!D:D=C453))/E453*9"),2.6327583090697484)</f>
        <v>2.632758309</v>
      </c>
      <c r="H453" s="41">
        <v>0.516</v>
      </c>
      <c r="I453" s="41">
        <v>0.152</v>
      </c>
      <c r="J453" s="41">
        <v>0.332</v>
      </c>
      <c r="K453" s="41">
        <f t="shared" si="1"/>
        <v>0.184</v>
      </c>
      <c r="L453" s="42">
        <v>3.687523721</v>
      </c>
      <c r="M453" s="45">
        <f>('Cy Young Rank'!O$1-G453)*E453/9</f>
        <v>7.462753956</v>
      </c>
      <c r="N453" s="42"/>
      <c r="O453" s="66"/>
      <c r="P453" s="42"/>
      <c r="Q453" s="67"/>
      <c r="R453" s="67"/>
    </row>
    <row r="454">
      <c r="A454" s="1" t="s">
        <v>302</v>
      </c>
      <c r="B454" s="38">
        <v>681190.0</v>
      </c>
      <c r="C454" s="44" t="s">
        <v>536</v>
      </c>
      <c r="D454" s="38">
        <v>403.0</v>
      </c>
      <c r="E454" s="39">
        <f>IFERROR(__xludf.DUMMYFUNCTION("sum(filter('PLA Sheet'!H:H,'PLA Sheet'!C:C=B454,'PLA Sheet'!D:D=C454))"),25.638112972)</f>
        <v>25.63811297</v>
      </c>
      <c r="F454" s="40">
        <v>5.127271135</v>
      </c>
      <c r="G454" s="40">
        <f>IFERROR(__xludf.DUMMYFUNCTION("sum(filter('PLA Sheet'!J:J,'PLA Sheet'!C:C=B454,'PLA Sheet'!D:D=C454))/E454*9"),3.0994209319064856)</f>
        <v>3.099420932</v>
      </c>
      <c r="H454" s="41">
        <v>0.46898263</v>
      </c>
      <c r="I454" s="41">
        <v>0.223325062</v>
      </c>
      <c r="J454" s="41">
        <v>0.307692308</v>
      </c>
      <c r="K454" s="41">
        <f t="shared" si="1"/>
        <v>0.161290322</v>
      </c>
      <c r="L454" s="42">
        <v>10.65785487</v>
      </c>
      <c r="M454" s="45">
        <f>('Cy Young Rank'!O$1-G454)*E454/9</f>
        <v>2.73638163</v>
      </c>
      <c r="N454" s="42"/>
      <c r="O454" s="66"/>
      <c r="P454" s="42"/>
      <c r="Q454" s="67"/>
      <c r="R454" s="67"/>
    </row>
    <row r="455">
      <c r="A455" s="1" t="s">
        <v>368</v>
      </c>
      <c r="B455" s="38">
        <v>593958.0</v>
      </c>
      <c r="C455" s="44" t="s">
        <v>540</v>
      </c>
      <c r="D455" s="38">
        <v>408.0</v>
      </c>
      <c r="E455" s="39">
        <f>IFERROR(__xludf.DUMMYFUNCTION("sum(filter('PLA Sheet'!H:H,'PLA Sheet'!C:C=B455,'PLA Sheet'!D:D=C455))"),24.657511283)</f>
        <v>24.65751128</v>
      </c>
      <c r="F455" s="40">
        <v>5.127247468</v>
      </c>
      <c r="G455" s="40">
        <f>IFERROR(__xludf.DUMMYFUNCTION("sum(filter('PLA Sheet'!J:J,'PLA Sheet'!C:C=B455,'PLA Sheet'!D:D=C455))/E455*9"),3.22286029145158)</f>
        <v>3.222860291</v>
      </c>
      <c r="H455" s="41">
        <v>0.482843137</v>
      </c>
      <c r="I455" s="41">
        <v>0.181372549</v>
      </c>
      <c r="J455" s="41">
        <v>0.335784314</v>
      </c>
      <c r="K455" s="41">
        <f t="shared" si="1"/>
        <v>0.147058823</v>
      </c>
      <c r="L455" s="42">
        <v>1.433273141</v>
      </c>
      <c r="M455" s="45">
        <f>('Cy Young Rank'!O$1-G455)*E455/9</f>
        <v>2.293531312</v>
      </c>
      <c r="N455" s="42"/>
      <c r="O455" s="66"/>
      <c r="P455" s="42"/>
      <c r="Q455" s="67"/>
      <c r="R455" s="67"/>
    </row>
    <row r="456">
      <c r="A456" s="1" t="s">
        <v>293</v>
      </c>
      <c r="B456" s="38">
        <v>663738.0</v>
      </c>
      <c r="C456" s="44" t="s">
        <v>533</v>
      </c>
      <c r="D456" s="38">
        <v>310.0</v>
      </c>
      <c r="E456" s="39">
        <f>IFERROR(__xludf.DUMMYFUNCTION("sum(filter('PLA Sheet'!H:H,'PLA Sheet'!C:C=B456,'PLA Sheet'!D:D=C456))"),19.961038962)</f>
        <v>19.96103896</v>
      </c>
      <c r="F456" s="40">
        <v>5.12607128</v>
      </c>
      <c r="G456" s="40">
        <f>IFERROR(__xludf.DUMMYFUNCTION("sum(filter('PLA Sheet'!J:J,'PLA Sheet'!C:C=B456,'PLA Sheet'!D:D=C456))/E456*9"),3.028421271812555)</f>
        <v>3.028421272</v>
      </c>
      <c r="H456" s="41">
        <v>0.474193548</v>
      </c>
      <c r="I456" s="41">
        <v>0.222580645</v>
      </c>
      <c r="J456" s="41">
        <v>0.303225806</v>
      </c>
      <c r="K456" s="41">
        <f t="shared" si="1"/>
        <v>0.170967742</v>
      </c>
      <c r="L456" s="42">
        <v>1.868345038</v>
      </c>
      <c r="M456" s="45">
        <f>('Cy Young Rank'!O$1-G456)*E456/9</f>
        <v>2.287931465</v>
      </c>
      <c r="N456" s="42"/>
      <c r="O456" s="66"/>
      <c r="P456" s="42"/>
      <c r="Q456" s="67"/>
      <c r="R456" s="67"/>
    </row>
    <row r="457">
      <c r="A457" s="1" t="s">
        <v>281</v>
      </c>
      <c r="B457" s="38">
        <v>622663.0</v>
      </c>
      <c r="C457" s="44" t="s">
        <v>540</v>
      </c>
      <c r="D457" s="38">
        <v>460.0</v>
      </c>
      <c r="E457" s="39">
        <f>IFERROR(__xludf.DUMMYFUNCTION("sum(filter('PLA Sheet'!H:H,'PLA Sheet'!C:C=B457,'PLA Sheet'!D:D=C457))"),28.36239316)</f>
        <v>28.36239316</v>
      </c>
      <c r="F457" s="40">
        <v>5.125239245</v>
      </c>
      <c r="G457" s="40">
        <f>IFERROR(__xludf.DUMMYFUNCTION("sum(filter('PLA Sheet'!J:J,'PLA Sheet'!C:C=B457,'PLA Sheet'!D:D=C457))/E457*9"),3.196503605621692)</f>
        <v>3.196503606</v>
      </c>
      <c r="H457" s="41">
        <v>0.495652174</v>
      </c>
      <c r="I457" s="41">
        <v>0.15</v>
      </c>
      <c r="J457" s="41">
        <v>0.354347826</v>
      </c>
      <c r="K457" s="41">
        <f t="shared" si="1"/>
        <v>0.141304348</v>
      </c>
      <c r="L457" s="42">
        <v>-1.769811014</v>
      </c>
      <c r="M457" s="45">
        <f>('Cy Young Rank'!O$1-G457)*E457/9</f>
        <v>2.721202692</v>
      </c>
      <c r="N457" s="42"/>
      <c r="O457" s="66"/>
      <c r="P457" s="42"/>
      <c r="Q457" s="67"/>
      <c r="R457" s="67"/>
    </row>
    <row r="458">
      <c r="A458" s="1" t="s">
        <v>192</v>
      </c>
      <c r="B458" s="38">
        <v>642232.0</v>
      </c>
      <c r="C458" s="44" t="s">
        <v>540</v>
      </c>
      <c r="D458" s="38">
        <v>258.0</v>
      </c>
      <c r="E458" s="39">
        <f>IFERROR(__xludf.DUMMYFUNCTION("sum(filter('PLA Sheet'!H:H,'PLA Sheet'!C:C=B458,'PLA Sheet'!D:D=C458))"),16.550639138)</f>
        <v>16.55063914</v>
      </c>
      <c r="F458" s="40">
        <v>5.123504503</v>
      </c>
      <c r="G458" s="40">
        <f>IFERROR(__xludf.DUMMYFUNCTION("sum(filter('PLA Sheet'!J:J,'PLA Sheet'!C:C=B458,'PLA Sheet'!D:D=C458))/E458*9"),2.9994590895296938)</f>
        <v>2.99945909</v>
      </c>
      <c r="H458" s="41">
        <v>0.523255814</v>
      </c>
      <c r="I458" s="41">
        <v>0.143410853</v>
      </c>
      <c r="J458" s="41">
        <v>0.333333333</v>
      </c>
      <c r="K458" s="41">
        <f t="shared" si="1"/>
        <v>0.189922481</v>
      </c>
      <c r="L458" s="42">
        <v>-1.697119761</v>
      </c>
      <c r="M458" s="45">
        <f>('Cy Young Rank'!O$1-G458)*E458/9</f>
        <v>1.950292211</v>
      </c>
      <c r="N458" s="42"/>
      <c r="O458" s="66"/>
      <c r="P458" s="42"/>
      <c r="Q458" s="67"/>
      <c r="R458" s="67"/>
    </row>
    <row r="459">
      <c r="A459" s="1" t="s">
        <v>38</v>
      </c>
      <c r="B459" s="38">
        <v>595345.0</v>
      </c>
      <c r="C459" s="44" t="s">
        <v>537</v>
      </c>
      <c r="D459" s="38">
        <v>426.0</v>
      </c>
      <c r="E459" s="39">
        <f>IFERROR(__xludf.DUMMYFUNCTION("sum(filter('PLA Sheet'!H:H,'PLA Sheet'!C:C=B459,'PLA Sheet'!D:D=C459))"),29.838403042)</f>
        <v>29.83840304</v>
      </c>
      <c r="F459" s="40">
        <v>5.122323494</v>
      </c>
      <c r="G459" s="40">
        <f>IFERROR(__xludf.DUMMYFUNCTION("sum(filter('PLA Sheet'!J:J,'PLA Sheet'!C:C=B459,'PLA Sheet'!D:D=C459))/E459*9"),2.8359296199897486)</f>
        <v>2.83592962</v>
      </c>
      <c r="H459" s="41">
        <v>0.523474178</v>
      </c>
      <c r="I459" s="41">
        <v>0.136150235</v>
      </c>
      <c r="J459" s="41">
        <v>0.340375587</v>
      </c>
      <c r="K459" s="41">
        <f t="shared" si="1"/>
        <v>0.183098591</v>
      </c>
      <c r="L459" s="42">
        <v>-1.036739872</v>
      </c>
      <c r="M459" s="45">
        <f>('Cy Young Rank'!O$1-G459)*E459/9</f>
        <v>4.05825615</v>
      </c>
      <c r="N459" s="42"/>
      <c r="O459" s="66"/>
      <c r="P459" s="42"/>
      <c r="Q459" s="67"/>
      <c r="R459" s="67"/>
    </row>
    <row r="460">
      <c r="A460" s="1" t="s">
        <v>101</v>
      </c>
      <c r="B460" s="38">
        <v>672841.0</v>
      </c>
      <c r="C460" s="44" t="s">
        <v>536</v>
      </c>
      <c r="D460" s="38">
        <v>668.0</v>
      </c>
      <c r="E460" s="39">
        <f>IFERROR(__xludf.DUMMYFUNCTION("sum(filter('PLA Sheet'!H:H,'PLA Sheet'!C:C=B460,'PLA Sheet'!D:D=C460))"),48.73150685)</f>
        <v>48.73150685</v>
      </c>
      <c r="F460" s="40">
        <v>5.122029205</v>
      </c>
      <c r="G460" s="40">
        <f>IFERROR(__xludf.DUMMYFUNCTION("sum(filter('PLA Sheet'!J:J,'PLA Sheet'!C:C=B460,'PLA Sheet'!D:D=C460))/E460*9"),2.6556453794533135)</f>
        <v>2.655645379</v>
      </c>
      <c r="H460" s="41">
        <v>0.498502994</v>
      </c>
      <c r="I460" s="41">
        <v>0.193113772</v>
      </c>
      <c r="J460" s="41">
        <v>0.308383234</v>
      </c>
      <c r="K460" s="41">
        <f t="shared" si="1"/>
        <v>0.19011976</v>
      </c>
      <c r="L460" s="42">
        <v>1.330890029</v>
      </c>
      <c r="M460" s="45">
        <f>('Cy Young Rank'!O$1-G460)*E460/9</f>
        <v>7.604035201</v>
      </c>
      <c r="N460" s="42"/>
      <c r="O460" s="66"/>
      <c r="P460" s="42"/>
      <c r="Q460" s="67"/>
      <c r="R460" s="67"/>
    </row>
    <row r="461">
      <c r="A461" s="1" t="s">
        <v>269</v>
      </c>
      <c r="B461" s="38">
        <v>605280.0</v>
      </c>
      <c r="C461" s="44" t="s">
        <v>539</v>
      </c>
      <c r="D461" s="38">
        <v>519.0</v>
      </c>
      <c r="E461" s="39">
        <f>IFERROR(__xludf.DUMMYFUNCTION("sum(filter('PLA Sheet'!H:H,'PLA Sheet'!C:C=B461,'PLA Sheet'!D:D=C461))"),32.02968863)</f>
        <v>32.02968863</v>
      </c>
      <c r="F461" s="40">
        <v>5.121405367</v>
      </c>
      <c r="G461" s="40">
        <f>IFERROR(__xludf.DUMMYFUNCTION("sum(filter('PLA Sheet'!J:J,'PLA Sheet'!C:C=B461,'PLA Sheet'!D:D=C461))/E461*9"),3.01163917371494)</f>
        <v>3.011639174</v>
      </c>
      <c r="H461" s="41">
        <v>0.485549133</v>
      </c>
      <c r="I461" s="41">
        <v>0.167630058</v>
      </c>
      <c r="J461" s="41">
        <v>0.346820809</v>
      </c>
      <c r="K461" s="41">
        <f t="shared" si="1"/>
        <v>0.138728324</v>
      </c>
      <c r="L461" s="42">
        <v>0.820714546</v>
      </c>
      <c r="M461" s="45">
        <f>('Cy Young Rank'!O$1-G461)*E461/9</f>
        <v>3.730963426</v>
      </c>
      <c r="N461" s="42"/>
      <c r="O461" s="66"/>
      <c r="P461" s="42"/>
      <c r="Q461" s="67"/>
      <c r="R461" s="67"/>
    </row>
    <row r="462">
      <c r="A462" s="1" t="s">
        <v>356</v>
      </c>
      <c r="B462" s="38">
        <v>680732.0</v>
      </c>
      <c r="C462" s="44" t="s">
        <v>537</v>
      </c>
      <c r="D462" s="38">
        <v>979.0</v>
      </c>
      <c r="E462" s="39">
        <f>IFERROR(__xludf.DUMMYFUNCTION("sum(filter('PLA Sheet'!H:H,'PLA Sheet'!C:C=B462,'PLA Sheet'!D:D=C462))"),57.579508770000004)</f>
        <v>57.57950877</v>
      </c>
      <c r="F462" s="40">
        <v>5.120916545</v>
      </c>
      <c r="G462" s="40">
        <f>IFERROR(__xludf.DUMMYFUNCTION("sum(filter('PLA Sheet'!J:J,'PLA Sheet'!C:C=B462,'PLA Sheet'!D:D=C462))/E462*9"),3.341852772114228)</f>
        <v>3.341852772</v>
      </c>
      <c r="H462" s="41">
        <v>0.505617978</v>
      </c>
      <c r="I462" s="41">
        <v>0.159346272</v>
      </c>
      <c r="J462" s="41">
        <v>0.335035751</v>
      </c>
      <c r="K462" s="41">
        <f t="shared" si="1"/>
        <v>0.170582227</v>
      </c>
      <c r="L462" s="42">
        <v>-6.151435265</v>
      </c>
      <c r="M462" s="45">
        <f>('Cy Young Rank'!O$1-G462)*E462/9</f>
        <v>4.594507178</v>
      </c>
      <c r="N462" s="42"/>
      <c r="O462" s="66"/>
      <c r="P462" s="42"/>
      <c r="Q462" s="67"/>
      <c r="R462" s="67"/>
    </row>
    <row r="463">
      <c r="A463" s="1" t="s">
        <v>143</v>
      </c>
      <c r="B463" s="38">
        <v>690928.0</v>
      </c>
      <c r="C463" s="44" t="s">
        <v>537</v>
      </c>
      <c r="D463" s="38">
        <v>367.0</v>
      </c>
      <c r="E463" s="39">
        <f>IFERROR(__xludf.DUMMYFUNCTION("sum(filter('PLA Sheet'!H:H,'PLA Sheet'!C:C=B463,'PLA Sheet'!D:D=C463))"),24.70139635)</f>
        <v>24.70139635</v>
      </c>
      <c r="F463" s="40">
        <v>5.120683807</v>
      </c>
      <c r="G463" s="40">
        <f>IFERROR(__xludf.DUMMYFUNCTION("sum(filter('PLA Sheet'!J:J,'PLA Sheet'!C:C=B463,'PLA Sheet'!D:D=C463))/E463*9"),2.829466278330455)</f>
        <v>2.829466278</v>
      </c>
      <c r="H463" s="41">
        <v>0.539509537</v>
      </c>
      <c r="I463" s="41">
        <v>0.138964578</v>
      </c>
      <c r="J463" s="41">
        <v>0.321525886</v>
      </c>
      <c r="K463" s="41">
        <f t="shared" si="1"/>
        <v>0.217983651</v>
      </c>
      <c r="L463" s="42">
        <v>-7.19545913</v>
      </c>
      <c r="M463" s="45">
        <f>('Cy Young Rank'!O$1-G463)*E463/9</f>
        <v>3.377322353</v>
      </c>
      <c r="N463" s="42"/>
      <c r="O463" s="66"/>
      <c r="P463" s="42"/>
      <c r="Q463" s="67"/>
      <c r="R463" s="67"/>
    </row>
    <row r="464">
      <c r="A464" s="1" t="s">
        <v>445</v>
      </c>
      <c r="B464" s="38">
        <v>663855.0</v>
      </c>
      <c r="C464" s="44" t="s">
        <v>536</v>
      </c>
      <c r="D464" s="38">
        <v>633.0</v>
      </c>
      <c r="E464" s="39">
        <f>IFERROR(__xludf.DUMMYFUNCTION("sum(filter('PLA Sheet'!H:H,'PLA Sheet'!C:C=B464,'PLA Sheet'!D:D=C464))"),36.701725100000004)</f>
        <v>36.7017251</v>
      </c>
      <c r="F464" s="40">
        <v>5.120488054</v>
      </c>
      <c r="G464" s="40">
        <f>IFERROR(__xludf.DUMMYFUNCTION("sum(filter('PLA Sheet'!J:J,'PLA Sheet'!C:C=B464,'PLA Sheet'!D:D=C464))/E464*9"),3.143444339078219)</f>
        <v>3.143444339</v>
      </c>
      <c r="H464" s="41">
        <v>0.499210111</v>
      </c>
      <c r="I464" s="41">
        <v>0.169036335</v>
      </c>
      <c r="J464" s="41">
        <v>0.331753555</v>
      </c>
      <c r="K464" s="41">
        <f t="shared" si="1"/>
        <v>0.167456556</v>
      </c>
      <c r="L464" s="42">
        <v>-1.028764864</v>
      </c>
      <c r="M464" s="45">
        <f>('Cy Young Rank'!O$1-G464)*E464/9</f>
        <v>3.73768599</v>
      </c>
      <c r="N464" s="42"/>
      <c r="O464" s="66"/>
      <c r="P464" s="42"/>
      <c r="Q464" s="67"/>
      <c r="R464" s="67"/>
    </row>
    <row r="465">
      <c r="A465" s="1" t="s">
        <v>144</v>
      </c>
      <c r="B465" s="38">
        <v>670167.0</v>
      </c>
      <c r="C465" s="44" t="s">
        <v>537</v>
      </c>
      <c r="D465" s="38">
        <v>322.0</v>
      </c>
      <c r="E465" s="39">
        <f>IFERROR(__xludf.DUMMYFUNCTION("sum(filter('PLA Sheet'!H:H,'PLA Sheet'!C:C=B465,'PLA Sheet'!D:D=C465))"),20.171919768000002)</f>
        <v>20.17191977</v>
      </c>
      <c r="F465" s="40">
        <v>5.118629224</v>
      </c>
      <c r="G465" s="40">
        <f>IFERROR(__xludf.DUMMYFUNCTION("sum(filter('PLA Sheet'!J:J,'PLA Sheet'!C:C=B465,'PLA Sheet'!D:D=C465))/E465*9"),3.379087800464624)</f>
        <v>3.3790878</v>
      </c>
      <c r="H465" s="41">
        <v>0.472049689</v>
      </c>
      <c r="I465" s="41">
        <v>0.180124224</v>
      </c>
      <c r="J465" s="41">
        <v>0.347826087</v>
      </c>
      <c r="K465" s="41">
        <f t="shared" si="1"/>
        <v>0.124223602</v>
      </c>
      <c r="L465" s="42">
        <v>-1.52773016</v>
      </c>
      <c r="M465" s="45">
        <f>('Cy Young Rank'!O$1-G465)*E465/9</f>
        <v>1.52614514</v>
      </c>
      <c r="N465" s="42"/>
      <c r="O465" s="66"/>
      <c r="P465" s="42"/>
      <c r="Q465" s="67"/>
      <c r="R465" s="67"/>
    </row>
    <row r="466">
      <c r="A466" s="1" t="s">
        <v>155</v>
      </c>
      <c r="B466" s="38">
        <v>592332.0</v>
      </c>
      <c r="C466" s="44" t="s">
        <v>538</v>
      </c>
      <c r="D466" s="38">
        <v>1097.0</v>
      </c>
      <c r="E466" s="39">
        <f>IFERROR(__xludf.DUMMYFUNCTION("sum(filter('PLA Sheet'!H:H,'PLA Sheet'!C:C=B466,'PLA Sheet'!D:D=C466))"),72.5343461)</f>
        <v>72.5343461</v>
      </c>
      <c r="F466" s="40">
        <v>5.117977669</v>
      </c>
      <c r="G466" s="40">
        <f>IFERROR(__xludf.DUMMYFUNCTION("sum(filter('PLA Sheet'!J:J,'PLA Sheet'!C:C=B466,'PLA Sheet'!D:D=C466))/E466*9"),2.8781893437376698)</f>
        <v>2.878189344</v>
      </c>
      <c r="H466" s="41">
        <v>0.442114859</v>
      </c>
      <c r="I466" s="41">
        <v>0.196900638</v>
      </c>
      <c r="J466" s="41">
        <v>0.360984503</v>
      </c>
      <c r="K466" s="41">
        <f t="shared" si="1"/>
        <v>0.081130356</v>
      </c>
      <c r="L466" s="42">
        <v>9.655339601</v>
      </c>
      <c r="M466" s="45">
        <f>('Cy Young Rank'!O$1-G466)*E466/9</f>
        <v>9.524651463</v>
      </c>
      <c r="N466" s="42"/>
      <c r="O466" s="66"/>
      <c r="P466" s="42"/>
      <c r="Q466" s="67"/>
      <c r="R466" s="67"/>
    </row>
    <row r="467">
      <c r="A467" s="1" t="s">
        <v>87</v>
      </c>
      <c r="B467" s="38">
        <v>657097.0</v>
      </c>
      <c r="C467" s="44" t="s">
        <v>532</v>
      </c>
      <c r="D467" s="38">
        <v>326.0</v>
      </c>
      <c r="E467" s="39">
        <f>IFERROR(__xludf.DUMMYFUNCTION("sum(filter('PLA Sheet'!H:H,'PLA Sheet'!C:C=B467,'PLA Sheet'!D:D=C467))"),22.87730061)</f>
        <v>22.87730061</v>
      </c>
      <c r="F467" s="40">
        <v>5.117295097</v>
      </c>
      <c r="G467" s="40">
        <f>IFERROR(__xludf.DUMMYFUNCTION("sum(filter('PLA Sheet'!J:J,'PLA Sheet'!C:C=B467,'PLA Sheet'!D:D=C467))/E467*9"),2.6890605691962364)</f>
        <v>2.689060569</v>
      </c>
      <c r="H467" s="41">
        <v>0.475460123</v>
      </c>
      <c r="I467" s="41">
        <v>0.171779141</v>
      </c>
      <c r="J467" s="41">
        <v>0.352760736</v>
      </c>
      <c r="K467" s="41">
        <f t="shared" si="1"/>
        <v>0.122699387</v>
      </c>
      <c r="L467" s="42">
        <v>-1.235091288</v>
      </c>
      <c r="M467" s="45">
        <f>('Cy Young Rank'!O$1-G467)*E467/9</f>
        <v>3.484821497</v>
      </c>
      <c r="N467" s="42"/>
      <c r="O467" s="66"/>
      <c r="P467" s="42"/>
      <c r="Q467" s="67"/>
      <c r="R467" s="67"/>
    </row>
    <row r="468">
      <c r="A468" s="1" t="s">
        <v>356</v>
      </c>
      <c r="B468" s="38">
        <v>680732.0</v>
      </c>
      <c r="C468" s="44" t="s">
        <v>541</v>
      </c>
      <c r="D468" s="38">
        <v>540.0</v>
      </c>
      <c r="E468" s="39">
        <f>IFERROR(__xludf.DUMMYFUNCTION("sum(filter('PLA Sheet'!H:H,'PLA Sheet'!C:C=B468,'PLA Sheet'!D:D=C468))"),31.844070170000002)</f>
        <v>31.84407017</v>
      </c>
      <c r="F468" s="40">
        <v>5.116915415</v>
      </c>
      <c r="G468" s="40">
        <f>IFERROR(__xludf.DUMMYFUNCTION("sum(filter('PLA Sheet'!J:J,'PLA Sheet'!C:C=B468,'PLA Sheet'!D:D=C468))/E468*9"),3.2354586725243353)</f>
        <v>3.235458673</v>
      </c>
      <c r="H468" s="41">
        <v>0.483333333</v>
      </c>
      <c r="I468" s="41">
        <v>0.2</v>
      </c>
      <c r="J468" s="41">
        <v>0.316666667</v>
      </c>
      <c r="K468" s="41">
        <f t="shared" si="1"/>
        <v>0.166666666</v>
      </c>
      <c r="L468" s="42">
        <v>6.490854754</v>
      </c>
      <c r="M468" s="45">
        <f>('Cy Young Rank'!O$1-G468)*E468/9</f>
        <v>2.917416877</v>
      </c>
      <c r="N468" s="42"/>
      <c r="O468" s="66"/>
      <c r="P468" s="42"/>
      <c r="Q468" s="67"/>
      <c r="R468" s="67"/>
    </row>
    <row r="469">
      <c r="A469" s="1" t="s">
        <v>159</v>
      </c>
      <c r="B469" s="38">
        <v>605483.0</v>
      </c>
      <c r="C469" s="44" t="s">
        <v>537</v>
      </c>
      <c r="D469" s="38">
        <v>437.0</v>
      </c>
      <c r="E469" s="39">
        <f>IFERROR(__xludf.DUMMYFUNCTION("sum(filter('PLA Sheet'!H:H,'PLA Sheet'!C:C=B469,'PLA Sheet'!D:D=C469))"),26.728923481)</f>
        <v>26.72892348</v>
      </c>
      <c r="F469" s="40">
        <v>5.116478972</v>
      </c>
      <c r="G469" s="40">
        <f>IFERROR(__xludf.DUMMYFUNCTION("sum(filter('PLA Sheet'!J:J,'PLA Sheet'!C:C=B469,'PLA Sheet'!D:D=C469))/E469*9"),3.202515172780819)</f>
        <v>3.202515173</v>
      </c>
      <c r="H469" s="41">
        <v>0.510297483</v>
      </c>
      <c r="I469" s="41">
        <v>0.160183066</v>
      </c>
      <c r="J469" s="41">
        <v>0.329519451</v>
      </c>
      <c r="K469" s="41">
        <f t="shared" si="1"/>
        <v>0.180778032</v>
      </c>
      <c r="L469" s="42">
        <v>-7.031711296</v>
      </c>
      <c r="M469" s="45">
        <f>('Cy Young Rank'!O$1-G469)*E469/9</f>
        <v>2.54662737</v>
      </c>
      <c r="N469" s="42"/>
      <c r="O469" s="66"/>
      <c r="P469" s="42"/>
      <c r="Q469" s="67"/>
      <c r="R469" s="67"/>
    </row>
    <row r="470">
      <c r="A470" s="1" t="s">
        <v>229</v>
      </c>
      <c r="B470" s="38">
        <v>645261.0</v>
      </c>
      <c r="C470" s="44" t="s">
        <v>533</v>
      </c>
      <c r="D470" s="38">
        <v>447.0</v>
      </c>
      <c r="E470" s="39">
        <f>IFERROR(__xludf.DUMMYFUNCTION("sum(filter('PLA Sheet'!H:H,'PLA Sheet'!C:C=B470,'PLA Sheet'!D:D=C470))"),27.56940118)</f>
        <v>27.56940118</v>
      </c>
      <c r="F470" s="40">
        <v>5.116222724</v>
      </c>
      <c r="G470" s="40">
        <f>IFERROR(__xludf.DUMMYFUNCTION("sum(filter('PLA Sheet'!J:J,'PLA Sheet'!C:C=B470,'PLA Sheet'!D:D=C470))/E470*9"),3.101448103342519)</f>
        <v>3.101448103</v>
      </c>
      <c r="H470" s="41">
        <v>0.463087248</v>
      </c>
      <c r="I470" s="41">
        <v>0.210290828</v>
      </c>
      <c r="J470" s="41">
        <v>0.326621924</v>
      </c>
      <c r="K470" s="41">
        <f t="shared" si="1"/>
        <v>0.136465324</v>
      </c>
      <c r="L470" s="42">
        <v>6.753878975</v>
      </c>
      <c r="M470" s="45">
        <f>('Cy Young Rank'!O$1-G470)*E470/9</f>
        <v>2.936300199</v>
      </c>
      <c r="N470" s="42"/>
      <c r="O470" s="66"/>
      <c r="P470" s="42"/>
      <c r="Q470" s="67"/>
      <c r="R470" s="67"/>
    </row>
    <row r="471">
      <c r="A471" s="1" t="s">
        <v>480</v>
      </c>
      <c r="B471" s="38">
        <v>647336.0</v>
      </c>
      <c r="C471" s="44" t="s">
        <v>537</v>
      </c>
      <c r="D471" s="38">
        <v>674.0</v>
      </c>
      <c r="E471" s="39">
        <f>IFERROR(__xludf.DUMMYFUNCTION("sum(filter('PLA Sheet'!H:H,'PLA Sheet'!C:C=B471,'PLA Sheet'!D:D=C471))"),40.49083769)</f>
        <v>40.49083769</v>
      </c>
      <c r="F471" s="40">
        <v>5.115246159</v>
      </c>
      <c r="G471" s="40">
        <f>IFERROR(__xludf.DUMMYFUNCTION("sum(filter('PLA Sheet'!J:J,'PLA Sheet'!C:C=B471,'PLA Sheet'!D:D=C471))/E471*9"),3.403157451445653)</f>
        <v>3.403157451</v>
      </c>
      <c r="H471" s="41">
        <v>0.516320475</v>
      </c>
      <c r="I471" s="41">
        <v>0.164688427</v>
      </c>
      <c r="J471" s="41">
        <v>0.318991098</v>
      </c>
      <c r="K471" s="41">
        <f t="shared" si="1"/>
        <v>0.197329377</v>
      </c>
      <c r="L471" s="42">
        <v>0.478226764</v>
      </c>
      <c r="M471" s="45">
        <f>('Cy Young Rank'!O$1-G471)*E471/9</f>
        <v>2.95512278</v>
      </c>
      <c r="N471" s="42"/>
      <c r="O471" s="66"/>
      <c r="P471" s="42"/>
      <c r="Q471" s="67"/>
      <c r="R471" s="67"/>
    </row>
    <row r="472">
      <c r="A472" s="1" t="s">
        <v>93</v>
      </c>
      <c r="B472" s="38">
        <v>669194.0</v>
      </c>
      <c r="C472" s="44" t="s">
        <v>540</v>
      </c>
      <c r="D472" s="38">
        <v>293.0</v>
      </c>
      <c r="E472" s="39">
        <f>IFERROR(__xludf.DUMMYFUNCTION("sum(filter('PLA Sheet'!H:H,'PLA Sheet'!C:C=B472,'PLA Sheet'!D:D=C472))"),18.875)</f>
        <v>18.875</v>
      </c>
      <c r="F472" s="40">
        <v>5.114459436</v>
      </c>
      <c r="G472" s="40">
        <f>IFERROR(__xludf.DUMMYFUNCTION("sum(filter('PLA Sheet'!J:J,'PLA Sheet'!C:C=B472,'PLA Sheet'!D:D=C472))/E472*9"),3.1335267814569536)</f>
        <v>3.133526781</v>
      </c>
      <c r="H472" s="41">
        <v>0.491467577</v>
      </c>
      <c r="I472" s="41">
        <v>0.174061433</v>
      </c>
      <c r="J472" s="41">
        <v>0.33447099</v>
      </c>
      <c r="K472" s="41">
        <f t="shared" si="1"/>
        <v>0.156996587</v>
      </c>
      <c r="L472" s="42">
        <v>2.519694122</v>
      </c>
      <c r="M472" s="45">
        <f>('Cy Young Rank'!O$1-G472)*E472/9</f>
        <v>1.943020222</v>
      </c>
      <c r="N472" s="42"/>
      <c r="O472" s="66"/>
      <c r="P472" s="42"/>
      <c r="Q472" s="67"/>
      <c r="R472" s="67"/>
    </row>
    <row r="473">
      <c r="A473" s="1" t="s">
        <v>185</v>
      </c>
      <c r="B473" s="38">
        <v>664076.0</v>
      </c>
      <c r="C473" s="44" t="s">
        <v>533</v>
      </c>
      <c r="D473" s="38">
        <v>321.0</v>
      </c>
      <c r="E473" s="39">
        <f>IFERROR(__xludf.DUMMYFUNCTION("sum(filter('PLA Sheet'!H:H,'PLA Sheet'!C:C=B473,'PLA Sheet'!D:D=C473))"),23.157894732)</f>
        <v>23.15789473</v>
      </c>
      <c r="F473" s="40">
        <v>5.1144522</v>
      </c>
      <c r="G473" s="40">
        <f>IFERROR(__xludf.DUMMYFUNCTION("sum(filter('PLA Sheet'!J:J,'PLA Sheet'!C:C=B473,'PLA Sheet'!D:D=C473))/E473*9"),2.7733304664889697)</f>
        <v>2.773330466</v>
      </c>
      <c r="H473" s="41">
        <v>0.507788162</v>
      </c>
      <c r="I473" s="41">
        <v>0.161993769</v>
      </c>
      <c r="J473" s="41">
        <v>0.330218069</v>
      </c>
      <c r="K473" s="41">
        <f t="shared" si="1"/>
        <v>0.177570093</v>
      </c>
      <c r="L473" s="42">
        <v>5.434269783</v>
      </c>
      <c r="M473" s="45">
        <f>('Cy Young Rank'!O$1-G473)*E473/9</f>
        <v>3.310728624</v>
      </c>
      <c r="N473" s="42"/>
      <c r="O473" s="66"/>
      <c r="P473" s="42"/>
      <c r="Q473" s="67"/>
      <c r="R473" s="67"/>
    </row>
    <row r="474">
      <c r="A474" s="1" t="s">
        <v>166</v>
      </c>
      <c r="B474" s="38">
        <v>608331.0</v>
      </c>
      <c r="C474" s="44" t="s">
        <v>536</v>
      </c>
      <c r="D474" s="38">
        <v>534.0</v>
      </c>
      <c r="E474" s="39">
        <f>IFERROR(__xludf.DUMMYFUNCTION("sum(filter('PLA Sheet'!H:H,'PLA Sheet'!C:C=B474,'PLA Sheet'!D:D=C474))"),34.68124799)</f>
        <v>34.68124799</v>
      </c>
      <c r="F474" s="40">
        <v>5.113203588</v>
      </c>
      <c r="G474" s="40">
        <f>IFERROR(__xludf.DUMMYFUNCTION("sum(filter('PLA Sheet'!J:J,'PLA Sheet'!C:C=B474,'PLA Sheet'!D:D=C474))/E474*9"),2.9714387449296624)</f>
        <v>2.971438745</v>
      </c>
      <c r="H474" s="41">
        <v>0.5</v>
      </c>
      <c r="I474" s="41">
        <v>0.185393258</v>
      </c>
      <c r="J474" s="41">
        <v>0.314606742</v>
      </c>
      <c r="K474" s="41">
        <f t="shared" si="1"/>
        <v>0.185393258</v>
      </c>
      <c r="L474" s="42">
        <v>7.118262047</v>
      </c>
      <c r="M474" s="45">
        <f>('Cy Young Rank'!O$1-G474)*E474/9</f>
        <v>4.194740315</v>
      </c>
      <c r="N474" s="42"/>
      <c r="O474" s="66"/>
      <c r="P474" s="42"/>
      <c r="Q474" s="67"/>
      <c r="R474" s="67"/>
    </row>
    <row r="475">
      <c r="A475" s="1" t="s">
        <v>263</v>
      </c>
      <c r="B475" s="38">
        <v>694297.0</v>
      </c>
      <c r="C475" s="44" t="s">
        <v>532</v>
      </c>
      <c r="D475" s="38">
        <v>447.0</v>
      </c>
      <c r="E475" s="39">
        <f>IFERROR(__xludf.DUMMYFUNCTION("sum(filter('PLA Sheet'!H:H,'PLA Sheet'!C:C=B475,'PLA Sheet'!D:D=C475))"),27.789581901)</f>
        <v>27.7895819</v>
      </c>
      <c r="F475" s="40">
        <v>5.112450992</v>
      </c>
      <c r="G475" s="40">
        <f>IFERROR(__xludf.DUMMYFUNCTION("sum(filter('PLA Sheet'!J:J,'PLA Sheet'!C:C=B475,'PLA Sheet'!D:D=C475))/E475*9"),2.895693331647581)</f>
        <v>2.895693332</v>
      </c>
      <c r="H475" s="41">
        <v>0.472035794</v>
      </c>
      <c r="I475" s="41">
        <v>0.203579418</v>
      </c>
      <c r="J475" s="41">
        <v>0.324384787</v>
      </c>
      <c r="K475" s="41">
        <f t="shared" si="1"/>
        <v>0.147651007</v>
      </c>
      <c r="L475" s="42">
        <v>-0.692755492</v>
      </c>
      <c r="M475" s="45">
        <f>('Cy Young Rank'!O$1-G475)*E475/9</f>
        <v>3.595066169</v>
      </c>
      <c r="N475" s="42"/>
      <c r="O475" s="66"/>
      <c r="P475" s="42"/>
      <c r="Q475" s="67"/>
      <c r="R475" s="67"/>
    </row>
    <row r="476">
      <c r="A476" s="1" t="s">
        <v>226</v>
      </c>
      <c r="B476" s="38">
        <v>607259.0</v>
      </c>
      <c r="C476" s="44" t="s">
        <v>537</v>
      </c>
      <c r="D476" s="38">
        <v>520.0</v>
      </c>
      <c r="E476" s="39">
        <f>IFERROR(__xludf.DUMMYFUNCTION("sum(filter('PLA Sheet'!H:H,'PLA Sheet'!C:C=B476,'PLA Sheet'!D:D=C476))"),34.38001035)</f>
        <v>34.38001035</v>
      </c>
      <c r="F476" s="40">
        <v>5.111616344</v>
      </c>
      <c r="G476" s="40">
        <f>IFERROR(__xludf.DUMMYFUNCTION("sum(filter('PLA Sheet'!J:J,'PLA Sheet'!C:C=B476,'PLA Sheet'!D:D=C476))/E476*9"),3.008728937162755)</f>
        <v>3.008728937</v>
      </c>
      <c r="H476" s="41">
        <v>0.440384615</v>
      </c>
      <c r="I476" s="41">
        <v>0.219230769</v>
      </c>
      <c r="J476" s="41">
        <v>0.340384615</v>
      </c>
      <c r="K476" s="41">
        <f t="shared" si="1"/>
        <v>0.1</v>
      </c>
      <c r="L476" s="42">
        <v>-7.09664287</v>
      </c>
      <c r="M476" s="45">
        <f>('Cy Young Rank'!O$1-G476)*E476/9</f>
        <v>4.015856669</v>
      </c>
      <c r="N476" s="42"/>
      <c r="O476" s="66"/>
      <c r="P476" s="42"/>
      <c r="Q476" s="67"/>
      <c r="R476" s="67"/>
    </row>
    <row r="477">
      <c r="A477" s="1" t="s">
        <v>195</v>
      </c>
      <c r="B477" s="38">
        <v>668678.0</v>
      </c>
      <c r="C477" s="44" t="s">
        <v>532</v>
      </c>
      <c r="D477" s="38">
        <v>484.0</v>
      </c>
      <c r="E477" s="39">
        <f>IFERROR(__xludf.DUMMYFUNCTION("sum(filter('PLA Sheet'!H:H,'PLA Sheet'!C:C=B477,'PLA Sheet'!D:D=C477))"),30.702840727)</f>
        <v>30.70284073</v>
      </c>
      <c r="F477" s="40">
        <v>5.111350134</v>
      </c>
      <c r="G477" s="40">
        <f>IFERROR(__xludf.DUMMYFUNCTION("sum(filter('PLA Sheet'!J:J,'PLA Sheet'!C:C=B477,'PLA Sheet'!D:D=C477))/E477*9"),3.0992622098423586)</f>
        <v>3.09926221</v>
      </c>
      <c r="H477" s="41">
        <v>0.438016529</v>
      </c>
      <c r="I477" s="41">
        <v>0.188016529</v>
      </c>
      <c r="J477" s="41">
        <v>0.373966942</v>
      </c>
      <c r="K477" s="41">
        <f t="shared" si="1"/>
        <v>0.064049587</v>
      </c>
      <c r="L477" s="42">
        <v>5.556105279</v>
      </c>
      <c r="M477" s="45">
        <f>('Cy Young Rank'!O$1-G477)*E477/9</f>
        <v>3.277486595</v>
      </c>
      <c r="N477" s="42"/>
      <c r="O477" s="66"/>
      <c r="P477" s="42"/>
      <c r="Q477" s="67"/>
      <c r="R477" s="67"/>
    </row>
    <row r="478">
      <c r="A478" s="1" t="s">
        <v>417</v>
      </c>
      <c r="B478" s="38">
        <v>608718.0</v>
      </c>
      <c r="C478" s="44" t="s">
        <v>537</v>
      </c>
      <c r="D478" s="38">
        <v>459.0</v>
      </c>
      <c r="E478" s="39">
        <f>IFERROR(__xludf.DUMMYFUNCTION("sum(filter('PLA Sheet'!H:H,'PLA Sheet'!C:C=B478,'PLA Sheet'!D:D=C478))"),28.558243727)</f>
        <v>28.55824373</v>
      </c>
      <c r="F478" s="40">
        <v>5.110787201</v>
      </c>
      <c r="G478" s="40">
        <f>IFERROR(__xludf.DUMMYFUNCTION("sum(filter('PLA Sheet'!J:J,'PLA Sheet'!C:C=B478,'PLA Sheet'!D:D=C478))/E478*9"),3.150664860911319)</f>
        <v>3.150664861</v>
      </c>
      <c r="H478" s="41">
        <v>0.477124183</v>
      </c>
      <c r="I478" s="41">
        <v>0.206971678</v>
      </c>
      <c r="J478" s="41">
        <v>0.315904139</v>
      </c>
      <c r="K478" s="41">
        <f t="shared" si="1"/>
        <v>0.161220044</v>
      </c>
      <c r="L478" s="42">
        <v>0.727263909</v>
      </c>
      <c r="M478" s="45">
        <f>('Cy Young Rank'!O$1-G478)*E478/9</f>
        <v>2.885446059</v>
      </c>
      <c r="N478" s="42"/>
      <c r="O478" s="66"/>
      <c r="P478" s="42"/>
      <c r="Q478" s="67"/>
      <c r="R478" s="67"/>
    </row>
    <row r="479">
      <c r="A479" s="1" t="s">
        <v>184</v>
      </c>
      <c r="B479" s="38">
        <v>628452.0</v>
      </c>
      <c r="C479" s="44" t="s">
        <v>532</v>
      </c>
      <c r="D479" s="38">
        <v>269.0</v>
      </c>
      <c r="E479" s="39">
        <f>IFERROR(__xludf.DUMMYFUNCTION("sum(filter('PLA Sheet'!H:H,'PLA Sheet'!C:C=B479,'PLA Sheet'!D:D=C479))"),18.928769014)</f>
        <v>18.92876901</v>
      </c>
      <c r="F479" s="40">
        <v>5.110748551</v>
      </c>
      <c r="G479" s="40">
        <f>IFERROR(__xludf.DUMMYFUNCTION("sum(filter('PLA Sheet'!J:J,'PLA Sheet'!C:C=B479,'PLA Sheet'!D:D=C479))/E479*9"),2.6218695448866125)</f>
        <v>2.621869545</v>
      </c>
      <c r="H479" s="41">
        <v>0.449814126</v>
      </c>
      <c r="I479" s="41">
        <v>0.237918216</v>
      </c>
      <c r="J479" s="41">
        <v>0.312267658</v>
      </c>
      <c r="K479" s="41">
        <f t="shared" si="1"/>
        <v>0.137546468</v>
      </c>
      <c r="L479" s="42">
        <v>-4.248620291</v>
      </c>
      <c r="M479" s="45">
        <f>('Cy Young Rank'!O$1-G479)*E479/9</f>
        <v>3.024671022</v>
      </c>
      <c r="N479" s="42"/>
      <c r="O479" s="66"/>
      <c r="P479" s="42"/>
      <c r="Q479" s="67"/>
      <c r="R479" s="67"/>
    </row>
    <row r="480">
      <c r="A480" s="1" t="s">
        <v>184</v>
      </c>
      <c r="B480" s="38">
        <v>628452.0</v>
      </c>
      <c r="C480" s="44" t="s">
        <v>537</v>
      </c>
      <c r="D480" s="38">
        <v>374.0</v>
      </c>
      <c r="E480" s="39">
        <f>IFERROR(__xludf.DUMMYFUNCTION("sum(filter('PLA Sheet'!H:H,'PLA Sheet'!C:C=B480,'PLA Sheet'!D:D=C480))"),26.612033192)</f>
        <v>26.61203319</v>
      </c>
      <c r="F480" s="40">
        <v>5.110291349</v>
      </c>
      <c r="G480" s="40">
        <f>IFERROR(__xludf.DUMMYFUNCTION("sum(filter('PLA Sheet'!J:J,'PLA Sheet'!C:C=B480,'PLA Sheet'!D:D=C480))/E480*9"),3.0389666740800454)</f>
        <v>3.038966674</v>
      </c>
      <c r="H480" s="41">
        <v>0.505347594</v>
      </c>
      <c r="I480" s="41">
        <v>0.171122995</v>
      </c>
      <c r="J480" s="41">
        <v>0.323529412</v>
      </c>
      <c r="K480" s="41">
        <f t="shared" si="1"/>
        <v>0.181818182</v>
      </c>
      <c r="L480" s="42">
        <v>11.50488372</v>
      </c>
      <c r="M480" s="45">
        <f>('Cy Young Rank'!O$1-G480)*E480/9</f>
        <v>3.019085862</v>
      </c>
      <c r="N480" s="42"/>
      <c r="O480" s="66"/>
      <c r="P480" s="42"/>
      <c r="Q480" s="67"/>
      <c r="R480" s="67"/>
    </row>
    <row r="481">
      <c r="A481" s="1" t="s">
        <v>240</v>
      </c>
      <c r="B481" s="38">
        <v>641329.0</v>
      </c>
      <c r="C481" s="44" t="s">
        <v>537</v>
      </c>
      <c r="D481" s="38">
        <v>501.0</v>
      </c>
      <c r="E481" s="39">
        <f>IFERROR(__xludf.DUMMYFUNCTION("sum(filter('PLA Sheet'!H:H,'PLA Sheet'!C:C=B481,'PLA Sheet'!D:D=C481))"),32.43112322)</f>
        <v>32.43112322</v>
      </c>
      <c r="F481" s="40">
        <v>5.109844578</v>
      </c>
      <c r="G481" s="40">
        <f>IFERROR(__xludf.DUMMYFUNCTION("sum(filter('PLA Sheet'!J:J,'PLA Sheet'!C:C=B481,'PLA Sheet'!D:D=C481))/E481*9"),3.193701596376593)</f>
        <v>3.193701596</v>
      </c>
      <c r="H481" s="41">
        <v>0.499001996</v>
      </c>
      <c r="I481" s="41">
        <v>0.173652695</v>
      </c>
      <c r="J481" s="41">
        <v>0.327345309</v>
      </c>
      <c r="K481" s="41">
        <f t="shared" si="1"/>
        <v>0.171656687</v>
      </c>
      <c r="L481" s="42">
        <v>-1.645822559</v>
      </c>
      <c r="M481" s="45">
        <f>('Cy Young Rank'!O$1-G481)*E481/9</f>
        <v>3.12167003</v>
      </c>
      <c r="N481" s="42"/>
      <c r="O481" s="66"/>
      <c r="P481" s="42"/>
      <c r="Q481" s="67"/>
      <c r="R481" s="67"/>
    </row>
    <row r="482">
      <c r="A482" s="1" t="s">
        <v>287</v>
      </c>
      <c r="B482" s="38">
        <v>571945.0</v>
      </c>
      <c r="C482" s="44" t="s">
        <v>536</v>
      </c>
      <c r="D482" s="38">
        <v>397.0</v>
      </c>
      <c r="E482" s="39">
        <f>IFERROR(__xludf.DUMMYFUNCTION("sum(filter('PLA Sheet'!H:H,'PLA Sheet'!C:C=B482,'PLA Sheet'!D:D=C482))"),26.066049132)</f>
        <v>26.06604913</v>
      </c>
      <c r="F482" s="40">
        <v>5.107659994</v>
      </c>
      <c r="G482" s="40">
        <f>IFERROR(__xludf.DUMMYFUNCTION("sum(filter('PLA Sheet'!J:J,'PLA Sheet'!C:C=B482,'PLA Sheet'!D:D=C482))/E482*9"),2.904548925562118)</f>
        <v>2.904548926</v>
      </c>
      <c r="H482" s="41">
        <v>0.463476071</v>
      </c>
      <c r="I482" s="41">
        <v>0.204030227</v>
      </c>
      <c r="J482" s="41">
        <v>0.332493703</v>
      </c>
      <c r="K482" s="41">
        <f t="shared" si="1"/>
        <v>0.130982368</v>
      </c>
      <c r="L482" s="42">
        <v>-2.43290567</v>
      </c>
      <c r="M482" s="45">
        <f>('Cy Young Rank'!O$1-G482)*E482/9</f>
        <v>3.346449386</v>
      </c>
      <c r="N482" s="42"/>
      <c r="O482" s="66"/>
      <c r="P482" s="42"/>
      <c r="Q482" s="67"/>
      <c r="R482" s="67"/>
    </row>
    <row r="483">
      <c r="A483" s="1" t="s">
        <v>434</v>
      </c>
      <c r="B483" s="38">
        <v>690990.0</v>
      </c>
      <c r="C483" s="44" t="s">
        <v>537</v>
      </c>
      <c r="D483" s="38">
        <v>873.0</v>
      </c>
      <c r="E483" s="39">
        <f>IFERROR(__xludf.DUMMYFUNCTION("sum(filter('PLA Sheet'!H:H,'PLA Sheet'!C:C=B483,'PLA Sheet'!D:D=C483))"),59.26427771)</f>
        <v>59.26427771</v>
      </c>
      <c r="F483" s="40">
        <v>5.106941064</v>
      </c>
      <c r="G483" s="40">
        <f>IFERROR(__xludf.DUMMYFUNCTION("sum(filter('PLA Sheet'!J:J,'PLA Sheet'!C:C=B483,'PLA Sheet'!D:D=C483))/E483*9"),3.0184516695765864)</f>
        <v>3.01845167</v>
      </c>
      <c r="H483" s="41">
        <v>0.512027491</v>
      </c>
      <c r="I483" s="41">
        <v>0.180985109</v>
      </c>
      <c r="J483" s="41">
        <v>0.3069874</v>
      </c>
      <c r="K483" s="41">
        <f t="shared" si="1"/>
        <v>0.205040091</v>
      </c>
      <c r="L483" s="42">
        <v>-0.771786353</v>
      </c>
      <c r="M483" s="45">
        <f>('Cy Young Rank'!O$1-G483)*E483/9</f>
        <v>6.858512167</v>
      </c>
      <c r="N483" s="42"/>
      <c r="O483" s="66"/>
      <c r="P483" s="42"/>
      <c r="Q483" s="67"/>
      <c r="R483" s="67"/>
    </row>
    <row r="484">
      <c r="A484" s="1" t="s">
        <v>373</v>
      </c>
      <c r="B484" s="38">
        <v>640455.0</v>
      </c>
      <c r="C484" s="44" t="s">
        <v>537</v>
      </c>
      <c r="D484" s="38">
        <v>636.0</v>
      </c>
      <c r="E484" s="39">
        <f>IFERROR(__xludf.DUMMYFUNCTION("sum(filter('PLA Sheet'!H:H,'PLA Sheet'!C:C=B484,'PLA Sheet'!D:D=C484))"),36.4332724)</f>
        <v>36.4332724</v>
      </c>
      <c r="F484" s="40">
        <v>5.105572307</v>
      </c>
      <c r="G484" s="40">
        <f>IFERROR(__xludf.DUMMYFUNCTION("sum(filter('PLA Sheet'!J:J,'PLA Sheet'!C:C=B484,'PLA Sheet'!D:D=C484))/E484*9"),3.7983720342397795)</f>
        <v>3.798372034</v>
      </c>
      <c r="H484" s="41">
        <v>0.471698113</v>
      </c>
      <c r="I484" s="41">
        <v>0.188679245</v>
      </c>
      <c r="J484" s="41">
        <v>0.339622642</v>
      </c>
      <c r="K484" s="41">
        <f t="shared" si="1"/>
        <v>0.132075471</v>
      </c>
      <c r="L484" s="42">
        <v>5.319125623</v>
      </c>
      <c r="M484" s="45">
        <f>('Cy Young Rank'!O$1-G484)*E484/9</f>
        <v>1.059106994</v>
      </c>
      <c r="N484" s="42"/>
      <c r="O484" s="66"/>
      <c r="P484" s="42"/>
      <c r="Q484" s="67"/>
      <c r="R484" s="67"/>
    </row>
    <row r="485">
      <c r="A485" s="1" t="s">
        <v>153</v>
      </c>
      <c r="B485" s="38">
        <v>669302.0</v>
      </c>
      <c r="C485" s="44" t="s">
        <v>537</v>
      </c>
      <c r="D485" s="38">
        <v>752.0</v>
      </c>
      <c r="E485" s="39">
        <f>IFERROR(__xludf.DUMMYFUNCTION("sum(filter('PLA Sheet'!H:H,'PLA Sheet'!C:C=B485,'PLA Sheet'!D:D=C485))"),47.31569173)</f>
        <v>47.31569173</v>
      </c>
      <c r="F485" s="40">
        <v>5.104602912</v>
      </c>
      <c r="G485" s="40">
        <f>IFERROR(__xludf.DUMMYFUNCTION("sum(filter('PLA Sheet'!J:J,'PLA Sheet'!C:C=B485,'PLA Sheet'!D:D=C485))/E485*9"),3.3125018628994263)</f>
        <v>3.312501863</v>
      </c>
      <c r="H485" s="41">
        <v>0.47606383</v>
      </c>
      <c r="I485" s="41">
        <v>0.232712766</v>
      </c>
      <c r="J485" s="41">
        <v>0.291223404</v>
      </c>
      <c r="K485" s="41">
        <f t="shared" si="1"/>
        <v>0.184840426</v>
      </c>
      <c r="L485" s="42">
        <v>13.49460562</v>
      </c>
      <c r="M485" s="45">
        <f>('Cy Young Rank'!O$1-G485)*E485/9</f>
        <v>3.929821269</v>
      </c>
      <c r="N485" s="42"/>
      <c r="O485" s="66"/>
      <c r="P485" s="42"/>
      <c r="Q485" s="67"/>
      <c r="R485" s="67"/>
    </row>
    <row r="486">
      <c r="A486" s="1" t="s">
        <v>174</v>
      </c>
      <c r="B486" s="38">
        <v>643338.0</v>
      </c>
      <c r="C486" s="44" t="s">
        <v>533</v>
      </c>
      <c r="D486" s="38">
        <v>324.0</v>
      </c>
      <c r="E486" s="39">
        <f>IFERROR(__xludf.DUMMYFUNCTION("sum(filter('PLA Sheet'!H:H,'PLA Sheet'!C:C=B486,'PLA Sheet'!D:D=C486))"),20.726291077)</f>
        <v>20.72629108</v>
      </c>
      <c r="F486" s="40">
        <v>5.104029215</v>
      </c>
      <c r="G486" s="40">
        <f>IFERROR(__xludf.DUMMYFUNCTION("sum(filter('PLA Sheet'!J:J,'PLA Sheet'!C:C=B486,'PLA Sheet'!D:D=C486))/E486*9"),3.1394065517205028)</f>
        <v>3.139406552</v>
      </c>
      <c r="H486" s="41">
        <v>0.438271605</v>
      </c>
      <c r="I486" s="41">
        <v>0.234567901</v>
      </c>
      <c r="J486" s="41">
        <v>0.327160494</v>
      </c>
      <c r="K486" s="41">
        <f t="shared" si="1"/>
        <v>0.111111111</v>
      </c>
      <c r="L486" s="42">
        <v>1.114105824</v>
      </c>
      <c r="M486" s="45">
        <f>('Cy Young Rank'!O$1-G486)*E486/9</f>
        <v>2.120054197</v>
      </c>
      <c r="N486" s="42"/>
      <c r="O486" s="66"/>
      <c r="P486" s="42"/>
      <c r="Q486" s="67"/>
      <c r="R486" s="67"/>
    </row>
    <row r="487">
      <c r="A487" s="1" t="s">
        <v>93</v>
      </c>
      <c r="B487" s="38">
        <v>669194.0</v>
      </c>
      <c r="C487" s="44" t="s">
        <v>533</v>
      </c>
      <c r="D487" s="38">
        <v>286.0</v>
      </c>
      <c r="E487" s="39">
        <f>IFERROR(__xludf.DUMMYFUNCTION("sum(filter('PLA Sheet'!H:H,'PLA Sheet'!C:C=B487,'PLA Sheet'!D:D=C487))"),18.625)</f>
        <v>18.625</v>
      </c>
      <c r="F487" s="40">
        <v>5.103582014</v>
      </c>
      <c r="G487" s="40">
        <f>IFERROR(__xludf.DUMMYFUNCTION("sum(filter('PLA Sheet'!J:J,'PLA Sheet'!C:C=B487,'PLA Sheet'!D:D=C487))/E487*9"),2.883334711409396)</f>
        <v>2.883334711</v>
      </c>
      <c r="H487" s="41">
        <v>0.444055944</v>
      </c>
      <c r="I487" s="41">
        <v>0.20979021</v>
      </c>
      <c r="J487" s="41">
        <v>0.346153846</v>
      </c>
      <c r="K487" s="41">
        <f t="shared" si="1"/>
        <v>0.097902098</v>
      </c>
      <c r="L487" s="42">
        <v>2.485843778</v>
      </c>
      <c r="M487" s="45">
        <f>('Cy Young Rank'!O$1-G487)*E487/9</f>
        <v>2.435043444</v>
      </c>
      <c r="N487" s="42"/>
      <c r="O487" s="66"/>
      <c r="P487" s="42"/>
      <c r="Q487" s="67"/>
      <c r="R487" s="67"/>
    </row>
    <row r="488">
      <c r="A488" s="1" t="s">
        <v>281</v>
      </c>
      <c r="B488" s="38">
        <v>622663.0</v>
      </c>
      <c r="C488" s="44" t="s">
        <v>537</v>
      </c>
      <c r="D488" s="38">
        <v>730.0</v>
      </c>
      <c r="E488" s="39">
        <f>IFERROR(__xludf.DUMMYFUNCTION("sum(filter('PLA Sheet'!H:H,'PLA Sheet'!C:C=B488,'PLA Sheet'!D:D=C488))"),44.92698413)</f>
        <v>44.92698413</v>
      </c>
      <c r="F488" s="40">
        <v>5.101632188</v>
      </c>
      <c r="G488" s="40">
        <f>IFERROR(__xludf.DUMMYFUNCTION("sum(filter('PLA Sheet'!J:J,'PLA Sheet'!C:C=B488,'PLA Sheet'!D:D=C488))/E488*9"),3.3856668980909843)</f>
        <v>3.385666898</v>
      </c>
      <c r="H488" s="41">
        <v>0.471232877</v>
      </c>
      <c r="I488" s="41">
        <v>0.216438356</v>
      </c>
      <c r="J488" s="41">
        <v>0.312328767</v>
      </c>
      <c r="K488" s="41">
        <f t="shared" si="1"/>
        <v>0.15890411</v>
      </c>
      <c r="L488" s="42">
        <v>-2.889043067</v>
      </c>
      <c r="M488" s="45">
        <f>('Cy Young Rank'!O$1-G488)*E488/9</f>
        <v>3.36619473</v>
      </c>
      <c r="N488" s="42"/>
      <c r="O488" s="66"/>
      <c r="P488" s="42"/>
      <c r="Q488" s="67"/>
      <c r="R488" s="67"/>
    </row>
    <row r="489">
      <c r="A489" s="1" t="s">
        <v>248</v>
      </c>
      <c r="B489" s="38">
        <v>472610.0</v>
      </c>
      <c r="C489" s="44" t="s">
        <v>539</v>
      </c>
      <c r="D489" s="38">
        <v>250.0</v>
      </c>
      <c r="E489" s="39">
        <f>IFERROR(__xludf.DUMMYFUNCTION("sum(filter('PLA Sheet'!H:H,'PLA Sheet'!C:C=B489,'PLA Sheet'!D:D=C489))"),16.056547615)</f>
        <v>16.05654762</v>
      </c>
      <c r="F489" s="40">
        <v>5.101033982</v>
      </c>
      <c r="G489" s="40">
        <f>IFERROR(__xludf.DUMMYFUNCTION("sum(filter('PLA Sheet'!J:J,'PLA Sheet'!C:C=B489,'PLA Sheet'!D:D=C489))/E489*9"),3.0336459722197886)</f>
        <v>3.033645972</v>
      </c>
      <c r="H489" s="41">
        <v>0.452</v>
      </c>
      <c r="I489" s="41">
        <v>0.184</v>
      </c>
      <c r="J489" s="41">
        <v>0.364</v>
      </c>
      <c r="K489" s="41">
        <f t="shared" si="1"/>
        <v>0.088</v>
      </c>
      <c r="L489" s="42">
        <v>3.10784854</v>
      </c>
      <c r="M489" s="45">
        <f>('Cy Young Rank'!O$1-G489)*E489/9</f>
        <v>1.831078035</v>
      </c>
      <c r="N489" s="42"/>
      <c r="O489" s="66"/>
      <c r="P489" s="42"/>
      <c r="Q489" s="67"/>
      <c r="R489" s="67"/>
    </row>
    <row r="490">
      <c r="A490" s="1" t="s">
        <v>115</v>
      </c>
      <c r="B490" s="38">
        <v>543135.0</v>
      </c>
      <c r="C490" s="44" t="s">
        <v>538</v>
      </c>
      <c r="D490" s="38">
        <v>585.0</v>
      </c>
      <c r="E490" s="39">
        <f>IFERROR(__xludf.DUMMYFUNCTION("sum(filter('PLA Sheet'!H:H,'PLA Sheet'!C:C=B490,'PLA Sheet'!D:D=C490))"),40.82027169)</f>
        <v>40.82027169</v>
      </c>
      <c r="F490" s="40">
        <v>5.099613467</v>
      </c>
      <c r="G490" s="40">
        <f>IFERROR(__xludf.DUMMYFUNCTION("sum(filter('PLA Sheet'!J:J,'PLA Sheet'!C:C=B490,'PLA Sheet'!D:D=C490))/E490*9"),2.6946415946306996)</f>
        <v>2.694641595</v>
      </c>
      <c r="H490" s="41">
        <v>0.487179487</v>
      </c>
      <c r="I490" s="41">
        <v>0.170940171</v>
      </c>
      <c r="J490" s="41">
        <v>0.341880342</v>
      </c>
      <c r="K490" s="41">
        <f t="shared" si="1"/>
        <v>0.145299145</v>
      </c>
      <c r="L490" s="42">
        <v>10.48678094</v>
      </c>
      <c r="M490" s="45">
        <f>('Cy Young Rank'!O$1-G490)*E490/9</f>
        <v>6.192700118</v>
      </c>
      <c r="N490" s="42"/>
      <c r="O490" s="66"/>
      <c r="P490" s="42"/>
      <c r="Q490" s="67"/>
      <c r="R490" s="67"/>
    </row>
    <row r="491">
      <c r="A491" s="1" t="s">
        <v>437</v>
      </c>
      <c r="B491" s="38">
        <v>695418.0</v>
      </c>
      <c r="C491" s="44" t="s">
        <v>536</v>
      </c>
      <c r="D491" s="38">
        <v>378.0</v>
      </c>
      <c r="E491" s="39">
        <f>IFERROR(__xludf.DUMMYFUNCTION("sum(filter('PLA Sheet'!H:H,'PLA Sheet'!C:C=B491,'PLA Sheet'!D:D=C491))"),23.958627172)</f>
        <v>23.95862717</v>
      </c>
      <c r="F491" s="40">
        <v>5.09890348</v>
      </c>
      <c r="G491" s="40">
        <f>IFERROR(__xludf.DUMMYFUNCTION("sum(filter('PLA Sheet'!J:J,'PLA Sheet'!C:C=B491,'PLA Sheet'!D:D=C491))/E491*9"),3.0683366568646067)</f>
        <v>3.068336657</v>
      </c>
      <c r="H491" s="41">
        <v>0.457671958</v>
      </c>
      <c r="I491" s="41">
        <v>0.21957672</v>
      </c>
      <c r="J491" s="41">
        <v>0.322751323</v>
      </c>
      <c r="K491" s="41">
        <f t="shared" si="1"/>
        <v>0.134920635</v>
      </c>
      <c r="L491" s="42">
        <v>5.791722714</v>
      </c>
      <c r="M491" s="45">
        <f>('Cy Young Rank'!O$1-G491)*E491/9</f>
        <v>2.639876924</v>
      </c>
      <c r="N491" s="42"/>
      <c r="O491" s="66"/>
      <c r="P491" s="42"/>
      <c r="Q491" s="67"/>
      <c r="R491" s="67"/>
    </row>
    <row r="492">
      <c r="A492" s="1" t="s">
        <v>426</v>
      </c>
      <c r="B492" s="38">
        <v>642585.0</v>
      </c>
      <c r="C492" s="44" t="s">
        <v>536</v>
      </c>
      <c r="D492" s="38">
        <v>379.0</v>
      </c>
      <c r="E492" s="39">
        <f>IFERROR(__xludf.DUMMYFUNCTION("sum(filter('PLA Sheet'!H:H,'PLA Sheet'!C:C=B492,'PLA Sheet'!D:D=C492))"),21.45241893)</f>
        <v>21.45241893</v>
      </c>
      <c r="F492" s="40">
        <v>5.09852963</v>
      </c>
      <c r="G492" s="40">
        <f>IFERROR(__xludf.DUMMYFUNCTION("sum(filter('PLA Sheet'!J:J,'PLA Sheet'!C:C=B492,'PLA Sheet'!D:D=C492))/E492*9"),3.367187832556467)</f>
        <v>3.367187833</v>
      </c>
      <c r="H492" s="41">
        <v>0.546174142</v>
      </c>
      <c r="I492" s="41">
        <v>0.105540897</v>
      </c>
      <c r="J492" s="41">
        <v>0.34828496</v>
      </c>
      <c r="K492" s="41">
        <f t="shared" si="1"/>
        <v>0.197889182</v>
      </c>
      <c r="L492" s="42">
        <v>6.830545091</v>
      </c>
      <c r="M492" s="45">
        <f>('Cy Young Rank'!O$1-G492)*E492/9</f>
        <v>1.65138854</v>
      </c>
      <c r="N492" s="42"/>
      <c r="O492" s="66"/>
      <c r="P492" s="42"/>
      <c r="Q492" s="67"/>
      <c r="R492" s="67"/>
    </row>
    <row r="493">
      <c r="A493" s="1" t="s">
        <v>91</v>
      </c>
      <c r="B493" s="38">
        <v>669276.0</v>
      </c>
      <c r="C493" s="44" t="s">
        <v>533</v>
      </c>
      <c r="D493" s="38">
        <v>591.0</v>
      </c>
      <c r="E493" s="39">
        <f>IFERROR(__xludf.DUMMYFUNCTION("sum(filter('PLA Sheet'!H:H,'PLA Sheet'!C:C=B493,'PLA Sheet'!D:D=C493))"),37.949183309999995)</f>
        <v>37.94918331</v>
      </c>
      <c r="F493" s="40">
        <v>5.098340511</v>
      </c>
      <c r="G493" s="40">
        <f>IFERROR(__xludf.DUMMYFUNCTION("sum(filter('PLA Sheet'!J:J,'PLA Sheet'!C:C=B493,'PLA Sheet'!D:D=C493))/E493*9"),3.064366499011228)</f>
        <v>3.064366499</v>
      </c>
      <c r="H493" s="41">
        <v>0.44500846</v>
      </c>
      <c r="I493" s="41">
        <v>0.196277496</v>
      </c>
      <c r="J493" s="41">
        <v>0.358714044</v>
      </c>
      <c r="K493" s="41">
        <f t="shared" si="1"/>
        <v>0.086294416</v>
      </c>
      <c r="L493" s="42">
        <v>11.76583467</v>
      </c>
      <c r="M493" s="45">
        <f>('Cy Young Rank'!O$1-G493)*E493/9</f>
        <v>4.198164249</v>
      </c>
      <c r="N493" s="42"/>
      <c r="O493" s="66"/>
      <c r="P493" s="42"/>
      <c r="Q493" s="67"/>
      <c r="R493" s="67"/>
    </row>
    <row r="494">
      <c r="A494" s="1" t="s">
        <v>545</v>
      </c>
      <c r="B494" s="38">
        <v>679775.0</v>
      </c>
      <c r="C494" s="44" t="s">
        <v>536</v>
      </c>
      <c r="D494" s="38">
        <v>262.0</v>
      </c>
      <c r="E494" s="39">
        <f>IFERROR(__xludf.DUMMYFUNCTION("sum(filter('PLA Sheet'!H:H,'PLA Sheet'!C:C=B494,'PLA Sheet'!D:D=C494))"),16.083720930000002)</f>
        <v>16.08372093</v>
      </c>
      <c r="F494" s="40">
        <v>5.098096785</v>
      </c>
      <c r="G494" s="40">
        <f>IFERROR(__xludf.DUMMYFUNCTION("sum(filter('PLA Sheet'!J:J,'PLA Sheet'!C:C=B494,'PLA Sheet'!D:D=C494))/E494*9"),3.3816945243403946)</f>
        <v>3.381694524</v>
      </c>
      <c r="H494" s="41">
        <v>0.496183206</v>
      </c>
      <c r="I494" s="41">
        <v>0.175572519</v>
      </c>
      <c r="J494" s="41">
        <v>0.328244275</v>
      </c>
      <c r="K494" s="41">
        <f t="shared" si="1"/>
        <v>0.167938931</v>
      </c>
      <c r="L494" s="42">
        <v>3.20900766</v>
      </c>
      <c r="M494" s="45">
        <f>('Cy Young Rank'!O$1-G494)*E494/9</f>
        <v>1.21218622</v>
      </c>
      <c r="N494" s="42"/>
      <c r="O494" s="66"/>
      <c r="P494" s="42"/>
      <c r="Q494" s="67"/>
      <c r="R494" s="67"/>
    </row>
    <row r="495">
      <c r="A495" s="1" t="s">
        <v>189</v>
      </c>
      <c r="B495" s="38">
        <v>607536.0</v>
      </c>
      <c r="C495" s="44" t="s">
        <v>537</v>
      </c>
      <c r="D495" s="38">
        <v>797.0</v>
      </c>
      <c r="E495" s="39">
        <f>IFERROR(__xludf.DUMMYFUNCTION("sum(filter('PLA Sheet'!H:H,'PLA Sheet'!C:C=B495,'PLA Sheet'!D:D=C495))"),54.418917104)</f>
        <v>54.4189171</v>
      </c>
      <c r="F495" s="40">
        <v>5.097759937</v>
      </c>
      <c r="G495" s="40">
        <f>IFERROR(__xludf.DUMMYFUNCTION("sum(filter('PLA Sheet'!J:J,'PLA Sheet'!C:C=B495,'PLA Sheet'!D:D=C495))/E495*9"),3.1342670541208353)</f>
        <v>3.134267054</v>
      </c>
      <c r="H495" s="41">
        <v>0.47804266</v>
      </c>
      <c r="I495" s="41">
        <v>0.21455458</v>
      </c>
      <c r="J495" s="41">
        <v>0.30740276</v>
      </c>
      <c r="K495" s="41">
        <f t="shared" si="1"/>
        <v>0.1706399</v>
      </c>
      <c r="L495" s="42">
        <v>-12.88264882</v>
      </c>
      <c r="M495" s="45">
        <f>('Cy Young Rank'!O$1-G495)*E495/9</f>
        <v>5.59748716</v>
      </c>
      <c r="N495" s="42"/>
      <c r="O495" s="66"/>
      <c r="P495" s="42"/>
      <c r="Q495" s="67"/>
      <c r="R495" s="67"/>
    </row>
    <row r="496">
      <c r="A496" s="1" t="s">
        <v>197</v>
      </c>
      <c r="B496" s="38">
        <v>676467.0</v>
      </c>
      <c r="C496" s="44" t="s">
        <v>537</v>
      </c>
      <c r="D496" s="38">
        <v>585.0</v>
      </c>
      <c r="E496" s="39">
        <f>IFERROR(__xludf.DUMMYFUNCTION("sum(filter('PLA Sheet'!H:H,'PLA Sheet'!C:C=B496,'PLA Sheet'!D:D=C496))"),35.917298414)</f>
        <v>35.91729841</v>
      </c>
      <c r="F496" s="40">
        <v>5.096243253</v>
      </c>
      <c r="G496" s="40">
        <f>IFERROR(__xludf.DUMMYFUNCTION("sum(filter('PLA Sheet'!J:J,'PLA Sheet'!C:C=B496,'PLA Sheet'!D:D=C496))/E496*9"),3.3924025018681907)</f>
        <v>3.392402502</v>
      </c>
      <c r="H496" s="41">
        <v>0.47008547</v>
      </c>
      <c r="I496" s="41">
        <v>0.182905983</v>
      </c>
      <c r="J496" s="41">
        <v>0.347008547</v>
      </c>
      <c r="K496" s="41">
        <f t="shared" si="1"/>
        <v>0.123076923</v>
      </c>
      <c r="L496" s="42">
        <v>-3.778350078</v>
      </c>
      <c r="M496" s="45">
        <f>('Cy Young Rank'!O$1-G496)*E496/9</f>
        <v>2.664255396</v>
      </c>
      <c r="N496" s="42"/>
      <c r="O496" s="66"/>
      <c r="P496" s="42"/>
      <c r="Q496" s="67"/>
      <c r="R496" s="67"/>
    </row>
    <row r="497">
      <c r="A497" s="1" t="s">
        <v>280</v>
      </c>
      <c r="B497" s="38">
        <v>608032.0</v>
      </c>
      <c r="C497" s="44" t="s">
        <v>533</v>
      </c>
      <c r="D497" s="38">
        <v>309.0</v>
      </c>
      <c r="E497" s="39">
        <f>IFERROR(__xludf.DUMMYFUNCTION("sum(filter('PLA Sheet'!H:H,'PLA Sheet'!C:C=B497,'PLA Sheet'!D:D=C497))"),20.375838931)</f>
        <v>20.37583893</v>
      </c>
      <c r="F497" s="40">
        <v>5.093536637</v>
      </c>
      <c r="G497" s="40">
        <f>IFERROR(__xludf.DUMMYFUNCTION("sum(filter('PLA Sheet'!J:J,'PLA Sheet'!C:C=B497,'PLA Sheet'!D:D=C497))/E497*9"),3.0582869844535874)</f>
        <v>3.058286984</v>
      </c>
      <c r="H497" s="41">
        <v>0.446601942</v>
      </c>
      <c r="I497" s="41">
        <v>0.210355987</v>
      </c>
      <c r="J497" s="41">
        <v>0.343042071</v>
      </c>
      <c r="K497" s="41">
        <f t="shared" si="1"/>
        <v>0.103559871</v>
      </c>
      <c r="L497" s="42">
        <v>6.032733419</v>
      </c>
      <c r="M497" s="45">
        <f>('Cy Young Rank'!O$1-G497)*E497/9</f>
        <v>2.26786034</v>
      </c>
      <c r="N497" s="42"/>
      <c r="O497" s="66"/>
      <c r="P497" s="42"/>
      <c r="Q497" s="67"/>
      <c r="R497" s="67"/>
    </row>
    <row r="498">
      <c r="A498" s="1" t="s">
        <v>317</v>
      </c>
      <c r="B498" s="38">
        <v>673929.0</v>
      </c>
      <c r="C498" s="44" t="s">
        <v>533</v>
      </c>
      <c r="D498" s="38">
        <v>462.0</v>
      </c>
      <c r="E498" s="39">
        <f>IFERROR(__xludf.DUMMYFUNCTION("sum(filter('PLA Sheet'!H:H,'PLA Sheet'!C:C=B498,'PLA Sheet'!D:D=C498))"),27.29465604)</f>
        <v>27.29465604</v>
      </c>
      <c r="F498" s="40">
        <v>5.092635867</v>
      </c>
      <c r="G498" s="40">
        <f>IFERROR(__xludf.DUMMYFUNCTION("sum(filter('PLA Sheet'!J:J,'PLA Sheet'!C:C=B498,'PLA Sheet'!D:D=C498))/E498*9"),3.38528937183119)</f>
        <v>3.385289372</v>
      </c>
      <c r="H498" s="41">
        <v>0.458874459</v>
      </c>
      <c r="I498" s="41">
        <v>0.162337662</v>
      </c>
      <c r="J498" s="41">
        <v>0.378787879</v>
      </c>
      <c r="K498" s="41">
        <f t="shared" si="1"/>
        <v>0.08008658</v>
      </c>
      <c r="L498" s="42">
        <v>9.872786193</v>
      </c>
      <c r="M498" s="45">
        <f>('Cy Young Rank'!O$1-G498)*E498/9</f>
        <v>2.046221614</v>
      </c>
      <c r="N498" s="42"/>
      <c r="O498" s="66"/>
      <c r="P498" s="42"/>
      <c r="Q498" s="67"/>
      <c r="R498" s="67"/>
    </row>
    <row r="499">
      <c r="A499" s="1" t="s">
        <v>425</v>
      </c>
      <c r="B499" s="38">
        <v>621244.0</v>
      </c>
      <c r="C499" s="44" t="s">
        <v>532</v>
      </c>
      <c r="D499" s="38">
        <v>423.0</v>
      </c>
      <c r="E499" s="39">
        <f>IFERROR(__xludf.DUMMYFUNCTION("sum(filter('PLA Sheet'!H:H,'PLA Sheet'!C:C=B499,'PLA Sheet'!D:D=C499))"),27.880804955)</f>
        <v>27.88080496</v>
      </c>
      <c r="F499" s="40">
        <v>5.090592789</v>
      </c>
      <c r="G499" s="40">
        <f>IFERROR(__xludf.DUMMYFUNCTION("sum(filter('PLA Sheet'!J:J,'PLA Sheet'!C:C=B499,'PLA Sheet'!D:D=C499))/E499*9"),2.9364831873449044)</f>
        <v>2.936483187</v>
      </c>
      <c r="H499" s="41">
        <v>0.479905437</v>
      </c>
      <c r="I499" s="41">
        <v>0.179669031</v>
      </c>
      <c r="J499" s="41">
        <v>0.340425532</v>
      </c>
      <c r="K499" s="41">
        <f t="shared" si="1"/>
        <v>0.139479905</v>
      </c>
      <c r="L499" s="42">
        <v>0.811103565</v>
      </c>
      <c r="M499" s="45">
        <f>('Cy Young Rank'!O$1-G499)*E499/9</f>
        <v>3.480505902</v>
      </c>
      <c r="N499" s="42"/>
      <c r="O499" s="66"/>
      <c r="P499" s="42"/>
      <c r="Q499" s="67"/>
      <c r="R499" s="67"/>
    </row>
    <row r="500">
      <c r="A500" s="1" t="s">
        <v>327</v>
      </c>
      <c r="B500" s="38">
        <v>621242.0</v>
      </c>
      <c r="C500" s="44" t="s">
        <v>537</v>
      </c>
      <c r="D500" s="38">
        <v>545.0</v>
      </c>
      <c r="E500" s="39">
        <f>IFERROR(__xludf.DUMMYFUNCTION("sum(filter('PLA Sheet'!H:H,'PLA Sheet'!C:C=B500,'PLA Sheet'!D:D=C500))"),34.8172144)</f>
        <v>34.8172144</v>
      </c>
      <c r="F500" s="40">
        <v>5.090529991</v>
      </c>
      <c r="G500" s="40">
        <f>IFERROR(__xludf.DUMMYFUNCTION("sum(filter('PLA Sheet'!J:J,'PLA Sheet'!C:C=B500,'PLA Sheet'!D:D=C500))/E500*9"),3.356266663308941)</f>
        <v>3.356266663</v>
      </c>
      <c r="H500" s="41">
        <v>0.508256881</v>
      </c>
      <c r="I500" s="41">
        <v>0.128440367</v>
      </c>
      <c r="J500" s="41">
        <v>0.363302752</v>
      </c>
      <c r="K500" s="41">
        <f t="shared" si="1"/>
        <v>0.144954129</v>
      </c>
      <c r="L500" s="42">
        <v>10.38493562</v>
      </c>
      <c r="M500" s="45">
        <f>('Cy Young Rank'!O$1-G500)*E500/9</f>
        <v>2.722448274</v>
      </c>
      <c r="N500" s="42"/>
      <c r="O500" s="66"/>
      <c r="P500" s="42"/>
      <c r="Q500" s="67"/>
      <c r="R500" s="67"/>
    </row>
    <row r="501">
      <c r="A501" s="1" t="s">
        <v>472</v>
      </c>
      <c r="B501" s="38">
        <v>675911.0</v>
      </c>
      <c r="C501" s="44" t="s">
        <v>537</v>
      </c>
      <c r="D501" s="38">
        <v>1050.0</v>
      </c>
      <c r="E501" s="39">
        <f>IFERROR(__xludf.DUMMYFUNCTION("sum(filter('PLA Sheet'!H:H,'PLA Sheet'!C:C=B501,'PLA Sheet'!D:D=C501))"),64.21105846)</f>
        <v>64.21105846</v>
      </c>
      <c r="F501" s="40">
        <v>5.090335858</v>
      </c>
      <c r="G501" s="40">
        <f>IFERROR(__xludf.DUMMYFUNCTION("sum(filter('PLA Sheet'!J:J,'PLA Sheet'!C:C=B501,'PLA Sheet'!D:D=C501))/E501*9"),3.411766247966005)</f>
        <v>3.411766248</v>
      </c>
      <c r="H501" s="41">
        <v>0.51047619</v>
      </c>
      <c r="I501" s="41">
        <v>0.17047619</v>
      </c>
      <c r="J501" s="41">
        <v>0.319047619</v>
      </c>
      <c r="K501" s="41">
        <f t="shared" si="1"/>
        <v>0.191428571</v>
      </c>
      <c r="L501" s="42">
        <v>-15.87939699</v>
      </c>
      <c r="M501" s="45">
        <f>('Cy Young Rank'!O$1-G501)*E501/9</f>
        <v>4.624863928</v>
      </c>
      <c r="N501" s="42"/>
      <c r="O501" s="66"/>
      <c r="P501" s="42"/>
      <c r="Q501" s="67"/>
      <c r="R501" s="67"/>
    </row>
    <row r="502">
      <c r="A502" s="1" t="s">
        <v>123</v>
      </c>
      <c r="B502" s="38">
        <v>678692.0</v>
      </c>
      <c r="C502" s="44" t="s">
        <v>533</v>
      </c>
      <c r="D502" s="38">
        <v>262.0</v>
      </c>
      <c r="E502" s="39">
        <f>IFERROR(__xludf.DUMMYFUNCTION("sum(filter('PLA Sheet'!H:H,'PLA Sheet'!C:C=B502,'PLA Sheet'!D:D=C502))"),16.783059637)</f>
        <v>16.78305964</v>
      </c>
      <c r="F502" s="40">
        <v>5.088533131</v>
      </c>
      <c r="G502" s="40">
        <f>IFERROR(__xludf.DUMMYFUNCTION("sum(filter('PLA Sheet'!J:J,'PLA Sheet'!C:C=B502,'PLA Sheet'!D:D=C502))/E502*9"),2.863815778503153)</f>
        <v>2.863815779</v>
      </c>
      <c r="H502" s="41">
        <v>0.488549618</v>
      </c>
      <c r="I502" s="41">
        <v>0.145038168</v>
      </c>
      <c r="J502" s="41">
        <v>0.366412214</v>
      </c>
      <c r="K502" s="41">
        <f t="shared" si="1"/>
        <v>0.122137404</v>
      </c>
      <c r="L502" s="42">
        <v>5.657482597</v>
      </c>
      <c r="M502" s="45">
        <f>('Cy Young Rank'!O$1-G502)*E502/9</f>
        <v>2.230625681</v>
      </c>
      <c r="N502" s="42"/>
      <c r="O502" s="66"/>
      <c r="P502" s="42"/>
      <c r="Q502" s="67"/>
      <c r="R502" s="67"/>
    </row>
    <row r="503">
      <c r="A503" s="1" t="s">
        <v>406</v>
      </c>
      <c r="B503" s="38">
        <v>669711.0</v>
      </c>
      <c r="C503" s="44" t="s">
        <v>536</v>
      </c>
      <c r="D503" s="38">
        <v>293.0</v>
      </c>
      <c r="E503" s="39">
        <f>IFERROR(__xludf.DUMMYFUNCTION("sum(filter('PLA Sheet'!H:H,'PLA Sheet'!C:C=B503,'PLA Sheet'!D:D=C503))"),18.739943874)</f>
        <v>18.73994387</v>
      </c>
      <c r="F503" s="40">
        <v>5.08780635</v>
      </c>
      <c r="G503" s="40">
        <f>IFERROR(__xludf.DUMMYFUNCTION("sum(filter('PLA Sheet'!J:J,'PLA Sheet'!C:C=B503,'PLA Sheet'!D:D=C503))/E503*9"),3.0320125493455894)</f>
        <v>3.032012549</v>
      </c>
      <c r="H503" s="41">
        <v>0.481228669</v>
      </c>
      <c r="I503" s="41">
        <v>0.180887372</v>
      </c>
      <c r="J503" s="41">
        <v>0.337883959</v>
      </c>
      <c r="K503" s="41">
        <f t="shared" si="1"/>
        <v>0.14334471</v>
      </c>
      <c r="L503" s="42">
        <v>4.634840751</v>
      </c>
      <c r="M503" s="45">
        <f>('Cy Young Rank'!O$1-G503)*E503/9</f>
        <v>2.140491903</v>
      </c>
      <c r="N503" s="42"/>
      <c r="O503" s="66"/>
      <c r="P503" s="42"/>
      <c r="Q503" s="67"/>
      <c r="R503" s="67"/>
    </row>
    <row r="504">
      <c r="A504" s="1" t="s">
        <v>170</v>
      </c>
      <c r="B504" s="38">
        <v>681517.0</v>
      </c>
      <c r="C504" s="44" t="s">
        <v>537</v>
      </c>
      <c r="D504" s="38">
        <v>394.0</v>
      </c>
      <c r="E504" s="39">
        <f>IFERROR(__xludf.DUMMYFUNCTION("sum(filter('PLA Sheet'!H:H,'PLA Sheet'!C:C=B504,'PLA Sheet'!D:D=C504))"),26.791111110000003)</f>
        <v>26.79111111</v>
      </c>
      <c r="F504" s="40">
        <v>5.087767745</v>
      </c>
      <c r="G504" s="40">
        <f>IFERROR(__xludf.DUMMYFUNCTION("sum(filter('PLA Sheet'!J:J,'PLA Sheet'!C:C=B504,'PLA Sheet'!D:D=C504))/E504*9"),3.01887759219554)</f>
        <v>3.018877592</v>
      </c>
      <c r="H504" s="41">
        <v>0.543147208</v>
      </c>
      <c r="I504" s="41">
        <v>0.147208122</v>
      </c>
      <c r="J504" s="41">
        <v>0.30964467</v>
      </c>
      <c r="K504" s="41">
        <f t="shared" si="1"/>
        <v>0.233502538</v>
      </c>
      <c r="L504" s="42">
        <v>-0.090355853</v>
      </c>
      <c r="M504" s="45">
        <f>('Cy Young Rank'!O$1-G504)*E504/9</f>
        <v>3.099202901</v>
      </c>
      <c r="N504" s="42"/>
      <c r="O504" s="66"/>
      <c r="P504" s="42"/>
      <c r="Q504" s="67"/>
      <c r="R504" s="67"/>
    </row>
    <row r="505">
      <c r="A505" s="1" t="s">
        <v>149</v>
      </c>
      <c r="B505" s="38">
        <v>595928.0</v>
      </c>
      <c r="C505" s="44" t="s">
        <v>537</v>
      </c>
      <c r="D505" s="38">
        <v>286.0</v>
      </c>
      <c r="E505" s="39">
        <f>IFERROR(__xludf.DUMMYFUNCTION("sum(filter('PLA Sheet'!H:H,'PLA Sheet'!C:C=B505,'PLA Sheet'!D:D=C505))"),19.717618168)</f>
        <v>19.71761817</v>
      </c>
      <c r="F505" s="40">
        <v>5.086803238</v>
      </c>
      <c r="G505" s="40">
        <f>IFERROR(__xludf.DUMMYFUNCTION("sum(filter('PLA Sheet'!J:J,'PLA Sheet'!C:C=B505,'PLA Sheet'!D:D=C505))/E505*9"),2.9052410139966955)</f>
        <v>2.905241014</v>
      </c>
      <c r="H505" s="41">
        <v>0.468531469</v>
      </c>
      <c r="I505" s="41">
        <v>0.202797203</v>
      </c>
      <c r="J505" s="41">
        <v>0.328671329</v>
      </c>
      <c r="K505" s="41">
        <f t="shared" si="1"/>
        <v>0.13986014</v>
      </c>
      <c r="L505" s="42">
        <v>7.100300374</v>
      </c>
      <c r="M505" s="45">
        <f>('Cy Young Rank'!O$1-G505)*E505/9</f>
        <v>2.52989964</v>
      </c>
      <c r="N505" s="42"/>
      <c r="O505" s="66"/>
      <c r="P505" s="42"/>
      <c r="Q505" s="67"/>
      <c r="R505" s="67"/>
    </row>
    <row r="506">
      <c r="A506" s="1" t="s">
        <v>166</v>
      </c>
      <c r="B506" s="38">
        <v>608331.0</v>
      </c>
      <c r="C506" s="44" t="s">
        <v>537</v>
      </c>
      <c r="D506" s="38">
        <v>398.0</v>
      </c>
      <c r="E506" s="39">
        <f>IFERROR(__xludf.DUMMYFUNCTION("sum(filter('PLA Sheet'!H:H,'PLA Sheet'!C:C=B506,'PLA Sheet'!D:D=C506))"),26.010935996)</f>
        <v>26.010936</v>
      </c>
      <c r="F506" s="40">
        <v>5.086062834</v>
      </c>
      <c r="G506" s="40">
        <f>IFERROR(__xludf.DUMMYFUNCTION("sum(filter('PLA Sheet'!J:J,'PLA Sheet'!C:C=B506,'PLA Sheet'!D:D=C506))/E506*9"),3.0314300112893178)</f>
        <v>3.031430011</v>
      </c>
      <c r="H506" s="41">
        <v>0.449748744</v>
      </c>
      <c r="I506" s="41">
        <v>0.193467337</v>
      </c>
      <c r="J506" s="41">
        <v>0.35678392</v>
      </c>
      <c r="K506" s="41">
        <f t="shared" si="1"/>
        <v>0.092964824</v>
      </c>
      <c r="L506" s="42">
        <v>2.678866332</v>
      </c>
      <c r="M506" s="45">
        <f>('Cy Young Rank'!O$1-G506)*E506/9</f>
        <v>2.972674238</v>
      </c>
      <c r="N506" s="42"/>
      <c r="O506" s="66"/>
      <c r="P506" s="42"/>
      <c r="Q506" s="67"/>
      <c r="R506" s="67"/>
    </row>
    <row r="507">
      <c r="A507" s="1" t="s">
        <v>166</v>
      </c>
      <c r="B507" s="38">
        <v>608331.0</v>
      </c>
      <c r="C507" s="44" t="s">
        <v>539</v>
      </c>
      <c r="D507" s="38">
        <v>347.0</v>
      </c>
      <c r="E507" s="39">
        <f>IFERROR(__xludf.DUMMYFUNCTION("sum(filter('PLA Sheet'!H:H,'PLA Sheet'!C:C=B507,'PLA Sheet'!D:D=C507))"),22.24123512)</f>
        <v>22.24123512</v>
      </c>
      <c r="F507" s="40">
        <v>5.08584299</v>
      </c>
      <c r="G507" s="40">
        <f>IFERROR(__xludf.DUMMYFUNCTION("sum(filter('PLA Sheet'!J:J,'PLA Sheet'!C:C=B507,'PLA Sheet'!D:D=C507))/E507*9"),3.092070859776964)</f>
        <v>3.09207086</v>
      </c>
      <c r="H507" s="41">
        <v>0.495677233</v>
      </c>
      <c r="I507" s="41">
        <v>0.144092219</v>
      </c>
      <c r="J507" s="41">
        <v>0.360230548</v>
      </c>
      <c r="K507" s="41">
        <f t="shared" si="1"/>
        <v>0.135446685</v>
      </c>
      <c r="L507" s="42">
        <v>0.868073257</v>
      </c>
      <c r="M507" s="45">
        <f>('Cy Young Rank'!O$1-G507)*E507/9</f>
        <v>2.391993287</v>
      </c>
      <c r="N507" s="42"/>
      <c r="O507" s="66"/>
      <c r="P507" s="42"/>
      <c r="Q507" s="67"/>
      <c r="R507" s="67"/>
    </row>
    <row r="508">
      <c r="A508" s="1" t="s">
        <v>272</v>
      </c>
      <c r="B508" s="38">
        <v>622491.0</v>
      </c>
      <c r="C508" s="44" t="s">
        <v>533</v>
      </c>
      <c r="D508" s="38">
        <v>573.0</v>
      </c>
      <c r="E508" s="39">
        <f>IFERROR(__xludf.DUMMYFUNCTION("sum(filter('PLA Sheet'!H:H,'PLA Sheet'!C:C=B508,'PLA Sheet'!D:D=C508))"),36.643480260000004)</f>
        <v>36.64348026</v>
      </c>
      <c r="F508" s="40">
        <v>5.085714577</v>
      </c>
      <c r="G508" s="40">
        <f>IFERROR(__xludf.DUMMYFUNCTION("sum(filter('PLA Sheet'!J:J,'PLA Sheet'!C:C=B508,'PLA Sheet'!D:D=C508))/E508*9"),3.0388583237699263)</f>
        <v>3.038858324</v>
      </c>
      <c r="H508" s="41">
        <v>0.453752182</v>
      </c>
      <c r="I508" s="41">
        <v>0.207678883</v>
      </c>
      <c r="J508" s="41">
        <v>0.338568935</v>
      </c>
      <c r="K508" s="41">
        <f t="shared" si="1"/>
        <v>0.115183247</v>
      </c>
      <c r="L508" s="42">
        <v>2.41927369</v>
      </c>
      <c r="M508" s="45">
        <f>('Cy Young Rank'!O$1-G508)*E508/9</f>
        <v>4.157576095</v>
      </c>
      <c r="N508" s="42"/>
      <c r="O508" s="66"/>
      <c r="P508" s="42"/>
      <c r="Q508" s="67"/>
      <c r="R508" s="67"/>
    </row>
    <row r="509">
      <c r="A509" s="1" t="s">
        <v>169</v>
      </c>
      <c r="B509" s="38">
        <v>671096.0</v>
      </c>
      <c r="C509" s="44" t="s">
        <v>532</v>
      </c>
      <c r="D509" s="38">
        <v>515.0</v>
      </c>
      <c r="E509" s="39">
        <f>IFERROR(__xludf.DUMMYFUNCTION("sum(filter('PLA Sheet'!H:H,'PLA Sheet'!C:C=B509,'PLA Sheet'!D:D=C509))"),32.694818137)</f>
        <v>32.69481814</v>
      </c>
      <c r="F509" s="40">
        <v>5.08545554</v>
      </c>
      <c r="G509" s="40">
        <f>IFERROR(__xludf.DUMMYFUNCTION("sum(filter('PLA Sheet'!J:J,'PLA Sheet'!C:C=B509,'PLA Sheet'!D:D=C509))/E509*9"),3.080129290764741)</f>
        <v>3.080129291</v>
      </c>
      <c r="H509" s="41">
        <v>0.47184466</v>
      </c>
      <c r="I509" s="41">
        <v>0.166990291</v>
      </c>
      <c r="J509" s="41">
        <v>0.361165049</v>
      </c>
      <c r="K509" s="41">
        <f t="shared" si="1"/>
        <v>0.110679611</v>
      </c>
      <c r="L509" s="42">
        <v>4.155382687</v>
      </c>
      <c r="M509" s="45">
        <f>('Cy Young Rank'!O$1-G509)*E509/9</f>
        <v>3.559632737</v>
      </c>
      <c r="N509" s="42"/>
      <c r="O509" s="66"/>
      <c r="P509" s="42"/>
      <c r="Q509" s="67"/>
      <c r="R509" s="67"/>
    </row>
    <row r="510">
      <c r="A510" s="1" t="s">
        <v>320</v>
      </c>
      <c r="B510" s="38">
        <v>681347.0</v>
      </c>
      <c r="C510" s="44" t="s">
        <v>533</v>
      </c>
      <c r="D510" s="38">
        <v>293.0</v>
      </c>
      <c r="E510" s="39">
        <f>IFERROR(__xludf.DUMMYFUNCTION("sum(filter('PLA Sheet'!H:H,'PLA Sheet'!C:C=B510,'PLA Sheet'!D:D=C510))"),18.737800908)</f>
        <v>18.73780091</v>
      </c>
      <c r="F510" s="40">
        <v>5.08516116</v>
      </c>
      <c r="G510" s="40">
        <f>IFERROR(__xludf.DUMMYFUNCTION("sum(filter('PLA Sheet'!J:J,'PLA Sheet'!C:C=B510,'PLA Sheet'!D:D=C510))/E510*9"),3.12111193235227)</f>
        <v>3.121111932</v>
      </c>
      <c r="H510" s="41">
        <v>0.43003413</v>
      </c>
      <c r="I510" s="41">
        <v>0.23890785</v>
      </c>
      <c r="J510" s="41">
        <v>0.33105802</v>
      </c>
      <c r="K510" s="41">
        <f t="shared" si="1"/>
        <v>0.09897611</v>
      </c>
      <c r="L510" s="42">
        <v>1.630688037</v>
      </c>
      <c r="M510" s="45">
        <f>('Cy Young Rank'!O$1-G510)*E510/9</f>
        <v>1.954744187</v>
      </c>
      <c r="N510" s="42"/>
      <c r="O510" s="66"/>
      <c r="P510" s="42"/>
      <c r="Q510" s="67"/>
      <c r="R510" s="67"/>
    </row>
    <row r="511">
      <c r="A511" s="1" t="s">
        <v>100</v>
      </c>
      <c r="B511" s="38">
        <v>676979.0</v>
      </c>
      <c r="C511" s="44" t="s">
        <v>537</v>
      </c>
      <c r="D511" s="38">
        <v>1105.0</v>
      </c>
      <c r="E511" s="39">
        <f>IFERROR(__xludf.DUMMYFUNCTION("sum(filter('PLA Sheet'!H:H,'PLA Sheet'!C:C=B511,'PLA Sheet'!D:D=C511))"),74.35832274200001)</f>
        <v>74.35832274</v>
      </c>
      <c r="F511" s="40">
        <v>5.0835992</v>
      </c>
      <c r="G511" s="40">
        <f>IFERROR(__xludf.DUMMYFUNCTION("sum(filter('PLA Sheet'!J:J,'PLA Sheet'!C:C=B511,'PLA Sheet'!D:D=C511))/E511*9"),3.1319661930520843)</f>
        <v>3.131966193</v>
      </c>
      <c r="H511" s="41">
        <v>0.485067873</v>
      </c>
      <c r="I511" s="41">
        <v>0.174660633</v>
      </c>
      <c r="J511" s="41">
        <v>0.340271493</v>
      </c>
      <c r="K511" s="41">
        <f t="shared" si="1"/>
        <v>0.14479638</v>
      </c>
      <c r="L511" s="42">
        <v>-4.642415889</v>
      </c>
      <c r="M511" s="45">
        <f>('Cy Young Rank'!O$1-G511)*E511/9</f>
        <v>7.667448593</v>
      </c>
      <c r="N511" s="42"/>
      <c r="O511" s="66"/>
      <c r="P511" s="42"/>
      <c r="Q511" s="67"/>
      <c r="R511" s="67"/>
    </row>
    <row r="512">
      <c r="A512" s="1" t="s">
        <v>247</v>
      </c>
      <c r="B512" s="38">
        <v>605540.0</v>
      </c>
      <c r="C512" s="44" t="s">
        <v>537</v>
      </c>
      <c r="D512" s="38">
        <v>290.0</v>
      </c>
      <c r="E512" s="39">
        <f>IFERROR(__xludf.DUMMYFUNCTION("sum(filter('PLA Sheet'!H:H,'PLA Sheet'!C:C=B512,'PLA Sheet'!D:D=C512))"),19.876773970000002)</f>
        <v>19.87677397</v>
      </c>
      <c r="F512" s="40">
        <v>5.083236099</v>
      </c>
      <c r="G512" s="40">
        <f>IFERROR(__xludf.DUMMYFUNCTION("sum(filter('PLA Sheet'!J:J,'PLA Sheet'!C:C=B512,'PLA Sheet'!D:D=C512))/E512*9"),3.023377842435665)</f>
        <v>3.023377842</v>
      </c>
      <c r="H512" s="41">
        <v>0.455172414</v>
      </c>
      <c r="I512" s="41">
        <v>0.2</v>
      </c>
      <c r="J512" s="41">
        <v>0.344827586</v>
      </c>
      <c r="K512" s="41">
        <f t="shared" si="1"/>
        <v>0.110344828</v>
      </c>
      <c r="L512" s="42">
        <v>3.736486912</v>
      </c>
      <c r="M512" s="45">
        <f>('Cy Young Rank'!O$1-G512)*E512/9</f>
        <v>2.289411591</v>
      </c>
      <c r="N512" s="42"/>
      <c r="O512" s="66"/>
      <c r="P512" s="42"/>
      <c r="Q512" s="67"/>
      <c r="R512" s="67"/>
    </row>
    <row r="513">
      <c r="A513" s="1" t="s">
        <v>229</v>
      </c>
      <c r="B513" s="38">
        <v>645261.0</v>
      </c>
      <c r="C513" s="44" t="s">
        <v>532</v>
      </c>
      <c r="D513" s="38">
        <v>655.0</v>
      </c>
      <c r="E513" s="39">
        <f>IFERROR(__xludf.DUMMYFUNCTION("sum(filter('PLA Sheet'!H:H,'PLA Sheet'!C:C=B513,'PLA Sheet'!D:D=C513))"),40.50767278)</f>
        <v>40.50767278</v>
      </c>
      <c r="F513" s="40">
        <v>5.082806522</v>
      </c>
      <c r="G513" s="40">
        <f>IFERROR(__xludf.DUMMYFUNCTION("sum(filter('PLA Sheet'!J:J,'PLA Sheet'!C:C=B513,'PLA Sheet'!D:D=C513))/E513*9"),3.029277876970152)</f>
        <v>3.029277877</v>
      </c>
      <c r="H513" s="41">
        <v>0.464122137</v>
      </c>
      <c r="I513" s="41">
        <v>0.229007634</v>
      </c>
      <c r="J513" s="41">
        <v>0.306870229</v>
      </c>
      <c r="K513" s="41">
        <f t="shared" si="1"/>
        <v>0.157251908</v>
      </c>
      <c r="L513" s="42">
        <v>5.576762913</v>
      </c>
      <c r="M513" s="45">
        <f>('Cy Young Rank'!O$1-G513)*E513/9</f>
        <v>4.639128276</v>
      </c>
      <c r="N513" s="42"/>
      <c r="O513" s="66"/>
      <c r="P513" s="42"/>
      <c r="Q513" s="67"/>
      <c r="R513" s="67"/>
    </row>
    <row r="514">
      <c r="A514" s="1" t="s">
        <v>189</v>
      </c>
      <c r="B514" s="38">
        <v>607536.0</v>
      </c>
      <c r="C514" s="44" t="s">
        <v>541</v>
      </c>
      <c r="D514" s="38">
        <v>621.0</v>
      </c>
      <c r="E514" s="39">
        <f>IFERROR(__xludf.DUMMYFUNCTION("sum(filter('PLA Sheet'!H:H,'PLA Sheet'!C:C=B514,'PLA Sheet'!D:D=C514))"),42.486094317)</f>
        <v>42.48609432</v>
      </c>
      <c r="F514" s="40">
        <v>5.082634311</v>
      </c>
      <c r="G514" s="40">
        <f>IFERROR(__xludf.DUMMYFUNCTION("sum(filter('PLA Sheet'!J:J,'PLA Sheet'!C:C=B514,'PLA Sheet'!D:D=C514))/E514*9"),2.8220322184810818)</f>
        <v>2.822032218</v>
      </c>
      <c r="H514" s="41">
        <v>0.450885668</v>
      </c>
      <c r="I514" s="41">
        <v>0.21900161</v>
      </c>
      <c r="J514" s="41">
        <v>0.330112721</v>
      </c>
      <c r="K514" s="41">
        <f t="shared" si="1"/>
        <v>0.120772947</v>
      </c>
      <c r="L514" s="42">
        <v>0.736844712</v>
      </c>
      <c r="M514" s="45">
        <f>('Cy Young Rank'!O$1-G514)*E514/9</f>
        <v>5.844046214</v>
      </c>
      <c r="N514" s="42"/>
      <c r="O514" s="66"/>
      <c r="P514" s="42"/>
      <c r="Q514" s="67"/>
      <c r="R514" s="67"/>
    </row>
    <row r="515">
      <c r="A515" s="1" t="s">
        <v>474</v>
      </c>
      <c r="B515" s="38">
        <v>450203.0</v>
      </c>
      <c r="C515" s="44" t="s">
        <v>541</v>
      </c>
      <c r="D515" s="38">
        <v>945.0</v>
      </c>
      <c r="E515" s="39">
        <f>IFERROR(__xludf.DUMMYFUNCTION("sum(filter('PLA Sheet'!H:H,'PLA Sheet'!C:C=B515,'PLA Sheet'!D:D=C515))"),54.52084972)</f>
        <v>54.52084972</v>
      </c>
      <c r="F515" s="40">
        <v>5.08207842</v>
      </c>
      <c r="G515" s="40">
        <f>IFERROR(__xludf.DUMMYFUNCTION("sum(filter('PLA Sheet'!J:J,'PLA Sheet'!C:C=B515,'PLA Sheet'!D:D=C515))/E515*9"),3.3345071277073264)</f>
        <v>3.334507128</v>
      </c>
      <c r="H515" s="41">
        <v>0.521693122</v>
      </c>
      <c r="I515" s="41">
        <v>0.154497354</v>
      </c>
      <c r="J515" s="41">
        <v>0.323809524</v>
      </c>
      <c r="K515" s="41">
        <f t="shared" si="1"/>
        <v>0.197883598</v>
      </c>
      <c r="L515" s="42">
        <v>-7.42363426</v>
      </c>
      <c r="M515" s="45">
        <f>('Cy Young Rank'!O$1-G515)*E515/9</f>
        <v>4.394943096</v>
      </c>
      <c r="N515" s="42"/>
      <c r="O515" s="66"/>
      <c r="P515" s="42"/>
      <c r="Q515" s="67"/>
      <c r="R515" s="67"/>
    </row>
    <row r="516">
      <c r="A516" s="1" t="s">
        <v>354</v>
      </c>
      <c r="B516" s="38">
        <v>669022.0</v>
      </c>
      <c r="C516" s="44" t="s">
        <v>541</v>
      </c>
      <c r="D516" s="38">
        <v>650.0</v>
      </c>
      <c r="E516" s="39">
        <f>IFERROR(__xludf.DUMMYFUNCTION("sum(filter('PLA Sheet'!H:H,'PLA Sheet'!C:C=B516,'PLA Sheet'!D:D=C516))"),38.202106259)</f>
        <v>38.20210626</v>
      </c>
      <c r="F516" s="40">
        <v>5.081416831</v>
      </c>
      <c r="G516" s="40">
        <f>IFERROR(__xludf.DUMMYFUNCTION("sum(filter('PLA Sheet'!J:J,'PLA Sheet'!C:C=B516,'PLA Sheet'!D:D=C516))/E516*9"),3.4408285791580546)</f>
        <v>3.440828579</v>
      </c>
      <c r="H516" s="41">
        <v>0.496923077</v>
      </c>
      <c r="I516" s="41">
        <v>0.155384615</v>
      </c>
      <c r="J516" s="41">
        <v>0.347692308</v>
      </c>
      <c r="K516" s="41">
        <f t="shared" si="1"/>
        <v>0.149230769</v>
      </c>
      <c r="L516" s="42">
        <v>-1.566647278</v>
      </c>
      <c r="M516" s="45">
        <f>('Cy Young Rank'!O$1-G516)*E516/9</f>
        <v>2.628183601</v>
      </c>
      <c r="N516" s="42"/>
      <c r="O516" s="66"/>
      <c r="P516" s="42"/>
      <c r="Q516" s="67"/>
      <c r="R516" s="67"/>
    </row>
    <row r="517">
      <c r="A517" s="1" t="s">
        <v>272</v>
      </c>
      <c r="B517" s="38">
        <v>622491.0</v>
      </c>
      <c r="C517" s="44" t="s">
        <v>537</v>
      </c>
      <c r="D517" s="38">
        <v>1329.0</v>
      </c>
      <c r="E517" s="39">
        <f>IFERROR(__xludf.DUMMYFUNCTION("sum(filter('PLA Sheet'!H:H,'PLA Sheet'!C:C=B517,'PLA Sheet'!D:D=C517))"),83.86317722999999)</f>
        <v>83.86317723</v>
      </c>
      <c r="F517" s="40">
        <v>5.08020574</v>
      </c>
      <c r="G517" s="40">
        <f>IFERROR(__xludf.DUMMYFUNCTION("sum(filter('PLA Sheet'!J:J,'PLA Sheet'!C:C=B517,'PLA Sheet'!D:D=C517))/E517*9"),3.4193780568740326)</f>
        <v>3.419378057</v>
      </c>
      <c r="H517" s="41">
        <v>0.493604214</v>
      </c>
      <c r="I517" s="41">
        <v>0.163280662</v>
      </c>
      <c r="J517" s="41">
        <v>0.343115124</v>
      </c>
      <c r="K517" s="41">
        <f t="shared" si="1"/>
        <v>0.15048909</v>
      </c>
      <c r="L517" s="42">
        <v>8.647684449</v>
      </c>
      <c r="M517" s="45">
        <f>('Cy Young Rank'!O$1-G517)*E517/9</f>
        <v>5.969399062</v>
      </c>
      <c r="N517" s="42"/>
      <c r="O517" s="66"/>
      <c r="P517" s="42"/>
      <c r="Q517" s="67"/>
      <c r="R517" s="67"/>
    </row>
    <row r="518">
      <c r="A518" s="1" t="s">
        <v>318</v>
      </c>
      <c r="B518" s="38">
        <v>681982.0</v>
      </c>
      <c r="C518" s="44" t="s">
        <v>539</v>
      </c>
      <c r="D518" s="38">
        <v>333.0</v>
      </c>
      <c r="E518" s="39">
        <f>IFERROR(__xludf.DUMMYFUNCTION("sum(filter('PLA Sheet'!H:H,'PLA Sheet'!C:C=B518,'PLA Sheet'!D:D=C518))"),20.592912704)</f>
        <v>20.5929127</v>
      </c>
      <c r="F518" s="40">
        <v>5.079409186</v>
      </c>
      <c r="G518" s="40">
        <f>IFERROR(__xludf.DUMMYFUNCTION("sum(filter('PLA Sheet'!J:J,'PLA Sheet'!C:C=B518,'PLA Sheet'!D:D=C518))/E518*9"),3.0922388161064287)</f>
        <v>3.092238816</v>
      </c>
      <c r="H518" s="41">
        <v>0.456456456</v>
      </c>
      <c r="I518" s="41">
        <v>0.183183183</v>
      </c>
      <c r="J518" s="41">
        <v>0.36036036</v>
      </c>
      <c r="K518" s="41">
        <f t="shared" si="1"/>
        <v>0.096096096</v>
      </c>
      <c r="L518" s="42">
        <v>-1.435566603</v>
      </c>
      <c r="M518" s="45">
        <f>('Cy Young Rank'!O$1-G518)*E518/9</f>
        <v>2.214335731</v>
      </c>
      <c r="N518" s="42"/>
      <c r="O518" s="66"/>
      <c r="P518" s="42"/>
      <c r="Q518" s="67"/>
      <c r="R518" s="67"/>
    </row>
    <row r="519">
      <c r="A519" s="1" t="s">
        <v>421</v>
      </c>
      <c r="B519" s="38">
        <v>607192.0</v>
      </c>
      <c r="C519" s="44" t="s">
        <v>533</v>
      </c>
      <c r="D519" s="38">
        <v>318.0</v>
      </c>
      <c r="E519" s="39">
        <f>IFERROR(__xludf.DUMMYFUNCTION("sum(filter('PLA Sheet'!H:H,'PLA Sheet'!C:C=B519,'PLA Sheet'!D:D=C519))"),19.958783787999998)</f>
        <v>19.95878379</v>
      </c>
      <c r="F519" s="40">
        <v>5.075699269</v>
      </c>
      <c r="G519" s="40">
        <f>IFERROR(__xludf.DUMMYFUNCTION("sum(filter('PLA Sheet'!J:J,'PLA Sheet'!C:C=B519,'PLA Sheet'!D:D=C519))/E519*9"),3.2242516720227723)</f>
        <v>3.224251672</v>
      </c>
      <c r="H519" s="41">
        <v>0.471698113</v>
      </c>
      <c r="I519" s="41">
        <v>0.191823899</v>
      </c>
      <c r="J519" s="41">
        <v>0.336477987</v>
      </c>
      <c r="K519" s="41">
        <f t="shared" si="1"/>
        <v>0.135220126</v>
      </c>
      <c r="L519" s="42">
        <v>2.426539054</v>
      </c>
      <c r="M519" s="45">
        <f>('Cy Young Rank'!O$1-G519)*E519/9</f>
        <v>1.853391131</v>
      </c>
      <c r="N519" s="42"/>
      <c r="O519" s="66"/>
      <c r="P519" s="42"/>
      <c r="Q519" s="67"/>
      <c r="R519" s="67"/>
    </row>
    <row r="520">
      <c r="A520" s="1" t="s">
        <v>264</v>
      </c>
      <c r="B520" s="38">
        <v>669920.0</v>
      </c>
      <c r="C520" s="44" t="s">
        <v>532</v>
      </c>
      <c r="D520" s="38">
        <v>394.0</v>
      </c>
      <c r="E520" s="39">
        <f>IFERROR(__xludf.DUMMYFUNCTION("sum(filter('PLA Sheet'!H:H,'PLA Sheet'!C:C=B520,'PLA Sheet'!D:D=C520))"),25.386581472)</f>
        <v>25.38658147</v>
      </c>
      <c r="F520" s="40">
        <v>5.07471854</v>
      </c>
      <c r="G520" s="40">
        <f>IFERROR(__xludf.DUMMYFUNCTION("sum(filter('PLA Sheet'!J:J,'PLA Sheet'!C:C=B520,'PLA Sheet'!D:D=C520))/E520*9"),2.9034502767257817)</f>
        <v>2.903450277</v>
      </c>
      <c r="H520" s="41">
        <v>0.47715736</v>
      </c>
      <c r="I520" s="41">
        <v>0.157360406</v>
      </c>
      <c r="J520" s="41">
        <v>0.365482234</v>
      </c>
      <c r="K520" s="41">
        <f t="shared" si="1"/>
        <v>0.111675126</v>
      </c>
      <c r="L520" s="42">
        <v>2.092527607</v>
      </c>
      <c r="M520" s="45">
        <f>('Cy Young Rank'!O$1-G520)*E520/9</f>
        <v>3.262315975</v>
      </c>
      <c r="N520" s="42"/>
      <c r="O520" s="66"/>
      <c r="P520" s="42"/>
      <c r="Q520" s="67"/>
      <c r="R520" s="67"/>
    </row>
    <row r="521">
      <c r="A521" s="1" t="s">
        <v>424</v>
      </c>
      <c r="B521" s="38">
        <v>667755.0</v>
      </c>
      <c r="C521" s="44" t="s">
        <v>541</v>
      </c>
      <c r="D521" s="38">
        <v>721.0</v>
      </c>
      <c r="E521" s="39">
        <f>IFERROR(__xludf.DUMMYFUNCTION("sum(filter('PLA Sheet'!H:H,'PLA Sheet'!C:C=B521,'PLA Sheet'!D:D=C521))"),45.05856989)</f>
        <v>45.05856989</v>
      </c>
      <c r="F521" s="40">
        <v>5.074414103</v>
      </c>
      <c r="G521" s="40">
        <f>IFERROR(__xludf.DUMMYFUNCTION("sum(filter('PLA Sheet'!J:J,'PLA Sheet'!C:C=B521,'PLA Sheet'!D:D=C521))/E521*9"),3.131079134211732)</f>
        <v>3.131079134</v>
      </c>
      <c r="H521" s="41">
        <v>0.486823856</v>
      </c>
      <c r="I521" s="41">
        <v>0.151178918</v>
      </c>
      <c r="J521" s="41">
        <v>0.361997226</v>
      </c>
      <c r="K521" s="41">
        <f t="shared" si="1"/>
        <v>0.12482663</v>
      </c>
      <c r="L521" s="42">
        <v>8.38583951</v>
      </c>
      <c r="M521" s="45">
        <f>('Cy Young Rank'!O$1-G521)*E521/9</f>
        <v>4.650649528</v>
      </c>
      <c r="N521" s="42"/>
      <c r="O521" s="66"/>
      <c r="P521" s="42"/>
      <c r="Q521" s="67"/>
      <c r="R521" s="67"/>
    </row>
    <row r="522">
      <c r="A522" s="1" t="s">
        <v>258</v>
      </c>
      <c r="B522" s="38">
        <v>676661.0</v>
      </c>
      <c r="C522" s="44" t="s">
        <v>537</v>
      </c>
      <c r="D522" s="38">
        <v>342.0</v>
      </c>
      <c r="E522" s="39">
        <f>IFERROR(__xludf.DUMMYFUNCTION("sum(filter('PLA Sheet'!H:H,'PLA Sheet'!C:C=B522,'PLA Sheet'!D:D=C522))"),22.81343669)</f>
        <v>22.81343669</v>
      </c>
      <c r="F522" s="40">
        <v>5.073234249</v>
      </c>
      <c r="G522" s="40">
        <f>IFERROR(__xludf.DUMMYFUNCTION("sum(filter('PLA Sheet'!J:J,'PLA Sheet'!C:C=B522,'PLA Sheet'!D:D=C522))/E522*9"),3.1668485542850497)</f>
        <v>3.166848554</v>
      </c>
      <c r="H522" s="41">
        <v>0.479532164</v>
      </c>
      <c r="I522" s="41">
        <v>0.178362573</v>
      </c>
      <c r="J522" s="41">
        <v>0.342105263</v>
      </c>
      <c r="K522" s="41">
        <f t="shared" si="1"/>
        <v>0.137426901</v>
      </c>
      <c r="L522" s="42">
        <v>0.617546896</v>
      </c>
      <c r="M522" s="45">
        <f>('Cy Young Rank'!O$1-G522)*E522/9</f>
        <v>2.263983773</v>
      </c>
      <c r="N522" s="42"/>
      <c r="O522" s="66"/>
      <c r="P522" s="42"/>
      <c r="Q522" s="67"/>
      <c r="R522" s="67"/>
    </row>
    <row r="523">
      <c r="A523" s="1" t="s">
        <v>171</v>
      </c>
      <c r="B523" s="38">
        <v>665795.0</v>
      </c>
      <c r="C523" s="44" t="s">
        <v>533</v>
      </c>
      <c r="D523" s="38">
        <v>380.0</v>
      </c>
      <c r="E523" s="39">
        <f>IFERROR(__xludf.DUMMYFUNCTION("sum(filter('PLA Sheet'!H:H,'PLA Sheet'!C:C=B523,'PLA Sheet'!D:D=C523))"),23.750407590000002)</f>
        <v>23.75040759</v>
      </c>
      <c r="F523" s="40">
        <v>5.072726703</v>
      </c>
      <c r="G523" s="40">
        <f>IFERROR(__xludf.DUMMYFUNCTION("sum(filter('PLA Sheet'!J:J,'PLA Sheet'!C:C=B523,'PLA Sheet'!D:D=C523))/E523*9"),3.2164565054523337)</f>
        <v>3.216456505</v>
      </c>
      <c r="H523" s="41">
        <v>0.468421053</v>
      </c>
      <c r="I523" s="41">
        <v>0.189473684</v>
      </c>
      <c r="J523" s="41">
        <v>0.342105263</v>
      </c>
      <c r="K523" s="41">
        <f t="shared" si="1"/>
        <v>0.12631579</v>
      </c>
      <c r="L523" s="42">
        <v>3.094970026</v>
      </c>
      <c r="M523" s="45">
        <f>('Cy Young Rank'!O$1-G523)*E523/9</f>
        <v>2.226055757</v>
      </c>
      <c r="N523" s="42"/>
      <c r="O523" s="66"/>
      <c r="P523" s="42"/>
      <c r="Q523" s="67"/>
      <c r="R523" s="67"/>
    </row>
    <row r="524">
      <c r="A524" s="1" t="s">
        <v>158</v>
      </c>
      <c r="B524" s="38">
        <v>608372.0</v>
      </c>
      <c r="C524" s="44" t="s">
        <v>537</v>
      </c>
      <c r="D524" s="38">
        <v>468.0</v>
      </c>
      <c r="E524" s="39">
        <f>IFERROR(__xludf.DUMMYFUNCTION("sum(filter('PLA Sheet'!H:H,'PLA Sheet'!C:C=B524,'PLA Sheet'!D:D=C524))"),29.93099415)</f>
        <v>29.93099415</v>
      </c>
      <c r="F524" s="40">
        <v>5.072407409</v>
      </c>
      <c r="G524" s="40">
        <f>IFERROR(__xludf.DUMMYFUNCTION("sum(filter('PLA Sheet'!J:J,'PLA Sheet'!C:C=B524,'PLA Sheet'!D:D=C524))/E524*9"),3.1334069469924373)</f>
        <v>3.133406947</v>
      </c>
      <c r="H524" s="41">
        <v>0.489316239</v>
      </c>
      <c r="I524" s="41">
        <v>0.168803419</v>
      </c>
      <c r="J524" s="41">
        <v>0.341880342</v>
      </c>
      <c r="K524" s="41">
        <f t="shared" si="1"/>
        <v>0.147435897</v>
      </c>
      <c r="L524" s="42">
        <v>-1.829533873</v>
      </c>
      <c r="M524" s="45">
        <f>('Cy Young Rank'!O$1-G524)*E524/9</f>
        <v>3.081539028</v>
      </c>
      <c r="N524" s="42"/>
      <c r="O524" s="66"/>
      <c r="P524" s="42"/>
      <c r="Q524" s="67"/>
      <c r="R524" s="67"/>
    </row>
    <row r="525">
      <c r="A525" s="1" t="s">
        <v>209</v>
      </c>
      <c r="B525" s="38">
        <v>694738.0</v>
      </c>
      <c r="C525" s="44" t="s">
        <v>536</v>
      </c>
      <c r="D525" s="38">
        <v>718.0</v>
      </c>
      <c r="E525" s="39">
        <f>IFERROR(__xludf.DUMMYFUNCTION("sum(filter('PLA Sheet'!H:H,'PLA Sheet'!C:C=B525,'PLA Sheet'!D:D=C525))"),42.52836304)</f>
        <v>42.52836304</v>
      </c>
      <c r="F525" s="40">
        <v>5.072271463</v>
      </c>
      <c r="G525" s="40">
        <f>IFERROR(__xludf.DUMMYFUNCTION("sum(filter('PLA Sheet'!J:J,'PLA Sheet'!C:C=B525,'PLA Sheet'!D:D=C525))/E525*9"),3.3358627480339527)</f>
        <v>3.335862748</v>
      </c>
      <c r="H525" s="41">
        <v>0.513927577</v>
      </c>
      <c r="I525" s="41">
        <v>0.137883008</v>
      </c>
      <c r="J525" s="41">
        <v>0.348189415</v>
      </c>
      <c r="K525" s="41">
        <f t="shared" si="1"/>
        <v>0.165738162</v>
      </c>
      <c r="L525" s="42">
        <v>-12.42409932</v>
      </c>
      <c r="M525" s="45">
        <f>('Cy Young Rank'!O$1-G525)*E525/9</f>
        <v>3.421819105</v>
      </c>
      <c r="N525" s="42"/>
      <c r="O525" s="66"/>
      <c r="P525" s="42"/>
      <c r="Q525" s="67"/>
      <c r="R525" s="67"/>
    </row>
    <row r="526">
      <c r="A526" s="1" t="s">
        <v>102</v>
      </c>
      <c r="B526" s="38">
        <v>656986.0</v>
      </c>
      <c r="C526" s="44" t="s">
        <v>537</v>
      </c>
      <c r="D526" s="38">
        <v>284.0</v>
      </c>
      <c r="E526" s="39">
        <f>IFERROR(__xludf.DUMMYFUNCTION("sum(filter('PLA Sheet'!H:H,'PLA Sheet'!C:C=B526,'PLA Sheet'!D:D=C526))"),20.489683632000002)</f>
        <v>20.48968363</v>
      </c>
      <c r="F526" s="40">
        <v>5.07220533</v>
      </c>
      <c r="G526" s="40">
        <f>IFERROR(__xludf.DUMMYFUNCTION("sum(filter('PLA Sheet'!J:J,'PLA Sheet'!C:C=B526,'PLA Sheet'!D:D=C526))/E526*9"),2.9590449559362915)</f>
        <v>2.959044956</v>
      </c>
      <c r="H526" s="41">
        <v>0.48943662</v>
      </c>
      <c r="I526" s="41">
        <v>0.179577465</v>
      </c>
      <c r="J526" s="41">
        <v>0.330985915</v>
      </c>
      <c r="K526" s="41">
        <f t="shared" si="1"/>
        <v>0.158450705</v>
      </c>
      <c r="L526" s="42">
        <v>-5.615303877</v>
      </c>
      <c r="M526" s="45">
        <f>('Cy Young Rank'!O$1-G526)*E526/9</f>
        <v>2.50646895</v>
      </c>
      <c r="N526" s="42"/>
      <c r="O526" s="66"/>
      <c r="P526" s="42"/>
      <c r="Q526" s="67"/>
      <c r="R526" s="67"/>
    </row>
    <row r="527">
      <c r="A527" s="1" t="s">
        <v>439</v>
      </c>
      <c r="B527" s="38">
        <v>592454.0</v>
      </c>
      <c r="C527" s="44" t="s">
        <v>532</v>
      </c>
      <c r="D527" s="38">
        <v>832.0</v>
      </c>
      <c r="E527" s="39">
        <f>IFERROR(__xludf.DUMMYFUNCTION("sum(filter('PLA Sheet'!H:H,'PLA Sheet'!C:C=B527,'PLA Sheet'!D:D=C527))"),53.93043478)</f>
        <v>53.93043478</v>
      </c>
      <c r="F527" s="40">
        <v>5.072145993</v>
      </c>
      <c r="G527" s="40">
        <f>IFERROR(__xludf.DUMMYFUNCTION("sum(filter('PLA Sheet'!J:J,'PLA Sheet'!C:C=B527,'PLA Sheet'!D:D=C527))/E527*9"),3.1819042383028977)</f>
        <v>3.181904238</v>
      </c>
      <c r="H527" s="41">
        <v>0.466346154</v>
      </c>
      <c r="I527" s="41">
        <v>0.194711538</v>
      </c>
      <c r="J527" s="41">
        <v>0.338942308</v>
      </c>
      <c r="K527" s="41">
        <f t="shared" si="1"/>
        <v>0.127403846</v>
      </c>
      <c r="L527" s="42">
        <v>14.74509136</v>
      </c>
      <c r="M527" s="45">
        <f>('Cy Young Rank'!O$1-G527)*E527/9</f>
        <v>5.261787356</v>
      </c>
      <c r="N527" s="42"/>
      <c r="O527" s="66"/>
      <c r="P527" s="42"/>
      <c r="Q527" s="67"/>
      <c r="R527" s="67"/>
    </row>
    <row r="528">
      <c r="A528" s="1" t="s">
        <v>470</v>
      </c>
      <c r="B528" s="38">
        <v>681343.0</v>
      </c>
      <c r="C528" s="44" t="s">
        <v>537</v>
      </c>
      <c r="D528" s="38">
        <v>1070.0</v>
      </c>
      <c r="E528" s="39">
        <f>IFERROR(__xludf.DUMMYFUNCTION("sum(filter('PLA Sheet'!H:H,'PLA Sheet'!C:C=B528,'PLA Sheet'!D:D=C528))"),67.05431487)</f>
        <v>67.05431487</v>
      </c>
      <c r="F528" s="40">
        <v>5.071974602</v>
      </c>
      <c r="G528" s="40">
        <f>IFERROR(__xludf.DUMMYFUNCTION("sum(filter('PLA Sheet'!J:J,'PLA Sheet'!C:C=B528,'PLA Sheet'!D:D=C528))/E528*9"),3.4585901809543014)</f>
        <v>3.458590181</v>
      </c>
      <c r="H528" s="41">
        <v>0.479439252</v>
      </c>
      <c r="I528" s="41">
        <v>0.18317757</v>
      </c>
      <c r="J528" s="41">
        <v>0.337383178</v>
      </c>
      <c r="K528" s="41">
        <f t="shared" si="1"/>
        <v>0.142056074</v>
      </c>
      <c r="L528" s="42">
        <v>24.68881011</v>
      </c>
      <c r="M528" s="45">
        <f>('Cy Young Rank'!O$1-G528)*E528/9</f>
        <v>4.480791486</v>
      </c>
      <c r="N528" s="42"/>
      <c r="O528" s="66"/>
      <c r="P528" s="42"/>
      <c r="Q528" s="67"/>
      <c r="R528" s="67"/>
    </row>
    <row r="529">
      <c r="A529" s="1" t="s">
        <v>289</v>
      </c>
      <c r="B529" s="38">
        <v>669724.0</v>
      </c>
      <c r="C529" s="44" t="s">
        <v>536</v>
      </c>
      <c r="D529" s="38">
        <v>578.0</v>
      </c>
      <c r="E529" s="39">
        <f>IFERROR(__xludf.DUMMYFUNCTION("sum(filter('PLA Sheet'!H:H,'PLA Sheet'!C:C=B529,'PLA Sheet'!D:D=C529))"),38.025477705)</f>
        <v>38.02547771</v>
      </c>
      <c r="F529" s="40">
        <v>5.071248092</v>
      </c>
      <c r="G529" s="40">
        <f>IFERROR(__xludf.DUMMYFUNCTION("sum(filter('PLA Sheet'!J:J,'PLA Sheet'!C:C=B529,'PLA Sheet'!D:D=C529))/E529*9"),3.0596093730257583)</f>
        <v>3.059609373</v>
      </c>
      <c r="H529" s="41">
        <v>0.474048443</v>
      </c>
      <c r="I529" s="41">
        <v>0.179930796</v>
      </c>
      <c r="J529" s="41">
        <v>0.346020761</v>
      </c>
      <c r="K529" s="41">
        <f t="shared" si="1"/>
        <v>0.128027682</v>
      </c>
      <c r="L529" s="42">
        <v>2.681289113</v>
      </c>
      <c r="M529" s="45">
        <f>('Cy Young Rank'!O$1-G529)*E529/9</f>
        <v>4.226703498</v>
      </c>
      <c r="N529" s="42"/>
      <c r="O529" s="66"/>
      <c r="P529" s="42"/>
      <c r="Q529" s="67"/>
      <c r="R529" s="67"/>
    </row>
    <row r="530">
      <c r="A530" s="1" t="s">
        <v>125</v>
      </c>
      <c r="B530" s="38">
        <v>663554.0</v>
      </c>
      <c r="C530" s="44" t="s">
        <v>538</v>
      </c>
      <c r="D530" s="38">
        <v>553.0</v>
      </c>
      <c r="E530" s="39">
        <f>IFERROR(__xludf.DUMMYFUNCTION("sum(filter('PLA Sheet'!H:H,'PLA Sheet'!C:C=B530,'PLA Sheet'!D:D=C530))"),35.982993199999996)</f>
        <v>35.9829932</v>
      </c>
      <c r="F530" s="40">
        <v>5.070977121</v>
      </c>
      <c r="G530" s="40">
        <f>IFERROR(__xludf.DUMMYFUNCTION("sum(filter('PLA Sheet'!J:J,'PLA Sheet'!C:C=B530,'PLA Sheet'!D:D=C530))/E530*9"),2.86910689797757)</f>
        <v>2.869106898</v>
      </c>
      <c r="H530" s="41">
        <v>0.446654611</v>
      </c>
      <c r="I530" s="41">
        <v>0.224231465</v>
      </c>
      <c r="J530" s="41">
        <v>0.329113924</v>
      </c>
      <c r="K530" s="41">
        <f t="shared" si="1"/>
        <v>0.117540687</v>
      </c>
      <c r="L530" s="42">
        <v>-10.67597835</v>
      </c>
      <c r="M530" s="45">
        <f>('Cy Young Rank'!O$1-G530)*E530/9</f>
        <v>4.761322044</v>
      </c>
      <c r="N530" s="42"/>
      <c r="O530" s="66"/>
      <c r="P530" s="42"/>
      <c r="Q530" s="67"/>
      <c r="R530" s="67"/>
    </row>
    <row r="531">
      <c r="A531" s="1" t="s">
        <v>470</v>
      </c>
      <c r="B531" s="38">
        <v>681343.0</v>
      </c>
      <c r="C531" s="44" t="s">
        <v>533</v>
      </c>
      <c r="D531" s="38">
        <v>258.0</v>
      </c>
      <c r="E531" s="39">
        <f>IFERROR(__xludf.DUMMYFUNCTION("sum(filter('PLA Sheet'!H:H,'PLA Sheet'!C:C=B531,'PLA Sheet'!D:D=C531))"),16.339950369)</f>
        <v>16.33995037</v>
      </c>
      <c r="F531" s="40">
        <v>5.069571176</v>
      </c>
      <c r="G531" s="40">
        <f>IFERROR(__xludf.DUMMYFUNCTION("sum(filter('PLA Sheet'!J:J,'PLA Sheet'!C:C=B531,'PLA Sheet'!D:D=C531))/E531*9"),3.3408029869885585)</f>
        <v>3.340802987</v>
      </c>
      <c r="H531" s="41">
        <v>0.445736434</v>
      </c>
      <c r="I531" s="41">
        <v>0.205426357</v>
      </c>
      <c r="J531" s="41">
        <v>0.348837209</v>
      </c>
      <c r="K531" s="41">
        <f t="shared" si="1"/>
        <v>0.096899225</v>
      </c>
      <c r="L531" s="42">
        <v>-0.740757124</v>
      </c>
      <c r="M531" s="45">
        <f>('Cy Young Rank'!O$1-G531)*E531/9</f>
        <v>1.305738166</v>
      </c>
      <c r="N531" s="42"/>
      <c r="O531" s="66"/>
      <c r="P531" s="42"/>
      <c r="Q531" s="67"/>
      <c r="R531" s="67"/>
    </row>
    <row r="532">
      <c r="A532" s="1" t="s">
        <v>213</v>
      </c>
      <c r="B532" s="38">
        <v>686993.0</v>
      </c>
      <c r="C532" s="44" t="s">
        <v>540</v>
      </c>
      <c r="D532" s="38">
        <v>345.0</v>
      </c>
      <c r="E532" s="39">
        <f>IFERROR(__xludf.DUMMYFUNCTION("sum(filter('PLA Sheet'!H:H,'PLA Sheet'!C:C=B532,'PLA Sheet'!D:D=C532))"),21.069788798)</f>
        <v>21.0697888</v>
      </c>
      <c r="F532" s="40">
        <v>5.068702318</v>
      </c>
      <c r="G532" s="40">
        <f>IFERROR(__xludf.DUMMYFUNCTION("sum(filter('PLA Sheet'!J:J,'PLA Sheet'!C:C=B532,'PLA Sheet'!D:D=C532))/E532*9"),3.35667227982434)</f>
        <v>3.35667228</v>
      </c>
      <c r="H532" s="41">
        <v>0.460869565</v>
      </c>
      <c r="I532" s="41">
        <v>0.185507246</v>
      </c>
      <c r="J532" s="41">
        <v>0.353623188</v>
      </c>
      <c r="K532" s="41">
        <f t="shared" si="1"/>
        <v>0.107246377</v>
      </c>
      <c r="L532" s="42">
        <v>-5.548489042</v>
      </c>
      <c r="M532" s="45">
        <f>('Cy Young Rank'!O$1-G532)*E532/9</f>
        <v>1.646551836</v>
      </c>
      <c r="N532" s="42"/>
      <c r="O532" s="66"/>
      <c r="P532" s="42"/>
      <c r="Q532" s="67"/>
      <c r="R532" s="67"/>
    </row>
    <row r="533">
      <c r="A533" s="1" t="s">
        <v>171</v>
      </c>
      <c r="B533" s="38">
        <v>665795.0</v>
      </c>
      <c r="C533" s="44" t="s">
        <v>541</v>
      </c>
      <c r="D533" s="38">
        <v>521.0</v>
      </c>
      <c r="E533" s="39">
        <f>IFERROR(__xludf.DUMMYFUNCTION("sum(filter('PLA Sheet'!H:H,'PLA Sheet'!C:C=B533,'PLA Sheet'!D:D=C533))"),32.503779460000004)</f>
        <v>32.50377946</v>
      </c>
      <c r="F533" s="40">
        <v>5.068301378</v>
      </c>
      <c r="G533" s="40">
        <f>IFERROR(__xludf.DUMMYFUNCTION("sum(filter('PLA Sheet'!J:J,'PLA Sheet'!C:C=B533,'PLA Sheet'!D:D=C533))/E533*9"),3.0950521653582492)</f>
        <v>3.095052165</v>
      </c>
      <c r="H533" s="41">
        <v>0.472168906</v>
      </c>
      <c r="I533" s="41">
        <v>0.186180422</v>
      </c>
      <c r="J533" s="41">
        <v>0.341650672</v>
      </c>
      <c r="K533" s="41">
        <f t="shared" si="1"/>
        <v>0.130518234</v>
      </c>
      <c r="L533" s="42">
        <v>10.44586875</v>
      </c>
      <c r="M533" s="45">
        <f>('Cy Young Rank'!O$1-G533)*E533/9</f>
        <v>3.484939068</v>
      </c>
      <c r="N533" s="42"/>
      <c r="O533" s="66"/>
      <c r="P533" s="42"/>
      <c r="Q533" s="67"/>
      <c r="R533" s="67"/>
    </row>
    <row r="534">
      <c r="A534" s="1" t="s">
        <v>210</v>
      </c>
      <c r="B534" s="38">
        <v>650556.0</v>
      </c>
      <c r="C534" s="44" t="s">
        <v>537</v>
      </c>
      <c r="D534" s="38">
        <v>578.0</v>
      </c>
      <c r="E534" s="39">
        <f>IFERROR(__xludf.DUMMYFUNCTION("sum(filter('PLA Sheet'!H:H,'PLA Sheet'!C:C=B534,'PLA Sheet'!D:D=C534))"),35.470142980000006)</f>
        <v>35.47014298</v>
      </c>
      <c r="F534" s="40">
        <v>5.06801358</v>
      </c>
      <c r="G534" s="40">
        <f>IFERROR(__xludf.DUMMYFUNCTION("sum(filter('PLA Sheet'!J:J,'PLA Sheet'!C:C=B534,'PLA Sheet'!D:D=C534))/E534*9"),3.4450643198394)</f>
        <v>3.44506432</v>
      </c>
      <c r="H534" s="41">
        <v>0.517301038</v>
      </c>
      <c r="I534" s="41">
        <v>0.10899654</v>
      </c>
      <c r="J534" s="41">
        <v>0.373702422</v>
      </c>
      <c r="K534" s="41">
        <f t="shared" si="1"/>
        <v>0.143598616</v>
      </c>
      <c r="L534" s="42">
        <v>-0.718820102</v>
      </c>
      <c r="M534" s="45">
        <f>('Cy Young Rank'!O$1-G534)*E534/9</f>
        <v>2.423539611</v>
      </c>
      <c r="N534" s="42"/>
      <c r="O534" s="66"/>
      <c r="P534" s="42"/>
      <c r="Q534" s="67"/>
      <c r="R534" s="67"/>
    </row>
    <row r="535">
      <c r="A535" s="1" t="s">
        <v>125</v>
      </c>
      <c r="B535" s="38">
        <v>663554.0</v>
      </c>
      <c r="C535" s="44" t="s">
        <v>537</v>
      </c>
      <c r="D535" s="38">
        <v>779.0</v>
      </c>
      <c r="E535" s="39">
        <f>IFERROR(__xludf.DUMMYFUNCTION("sum(filter('PLA Sheet'!H:H,'PLA Sheet'!C:C=B535,'PLA Sheet'!D:D=C535))"),50.74362245)</f>
        <v>50.74362245</v>
      </c>
      <c r="F535" s="40">
        <v>5.067815262</v>
      </c>
      <c r="G535" s="40">
        <f>IFERROR(__xludf.DUMMYFUNCTION("sum(filter('PLA Sheet'!J:J,'PLA Sheet'!C:C=B535,'PLA Sheet'!D:D=C535))/E535*9"),3.3361833236641543)</f>
        <v>3.336183324</v>
      </c>
      <c r="H535" s="41">
        <v>0.489088575</v>
      </c>
      <c r="I535" s="41">
        <v>0.166880616</v>
      </c>
      <c r="J535" s="41">
        <v>0.344030809</v>
      </c>
      <c r="K535" s="41">
        <f t="shared" si="1"/>
        <v>0.145057766</v>
      </c>
      <c r="L535" s="42">
        <v>-5.816266801</v>
      </c>
      <c r="M535" s="45">
        <f>('Cy Young Rank'!O$1-G535)*E535/9</f>
        <v>4.081008905</v>
      </c>
      <c r="N535" s="42"/>
      <c r="O535" s="66"/>
      <c r="P535" s="42"/>
      <c r="Q535" s="67"/>
      <c r="R535" s="67"/>
    </row>
    <row r="536">
      <c r="A536" s="1" t="s">
        <v>222</v>
      </c>
      <c r="B536" s="38">
        <v>518876.0</v>
      </c>
      <c r="C536" s="44" t="s">
        <v>540</v>
      </c>
      <c r="D536" s="38">
        <v>563.0</v>
      </c>
      <c r="E536" s="39">
        <f>IFERROR(__xludf.DUMMYFUNCTION("sum(filter('PLA Sheet'!H:H,'PLA Sheet'!C:C=B536,'PLA Sheet'!D:D=C536))"),37.813559319999996)</f>
        <v>37.81355932</v>
      </c>
      <c r="F536" s="40">
        <v>5.067739958</v>
      </c>
      <c r="G536" s="40">
        <f>IFERROR(__xludf.DUMMYFUNCTION("sum(filter('PLA Sheet'!J:J,'PLA Sheet'!C:C=B536,'PLA Sheet'!D:D=C536))/E536*9"),3.067078135082048)</f>
        <v>3.067078135</v>
      </c>
      <c r="H536" s="41">
        <v>0.477797513</v>
      </c>
      <c r="I536" s="41">
        <v>0.165186501</v>
      </c>
      <c r="J536" s="41">
        <v>0.357015986</v>
      </c>
      <c r="K536" s="41">
        <f t="shared" si="1"/>
        <v>0.120781527</v>
      </c>
      <c r="L536" s="42">
        <v>13.38447693</v>
      </c>
      <c r="M536" s="45">
        <f>('Cy Young Rank'!O$1-G536)*E536/9</f>
        <v>4.17176776</v>
      </c>
      <c r="N536" s="42"/>
      <c r="O536" s="66"/>
      <c r="P536" s="42"/>
      <c r="Q536" s="67"/>
      <c r="R536" s="67"/>
    </row>
    <row r="537">
      <c r="A537" s="1" t="s">
        <v>189</v>
      </c>
      <c r="B537" s="38">
        <v>607536.0</v>
      </c>
      <c r="C537" s="44" t="s">
        <v>539</v>
      </c>
      <c r="D537" s="38">
        <v>302.0</v>
      </c>
      <c r="E537" s="39">
        <f>IFERROR(__xludf.DUMMYFUNCTION("sum(filter('PLA Sheet'!H:H,'PLA Sheet'!C:C=B537,'PLA Sheet'!D:D=C537))"),20.259572755)</f>
        <v>20.25957276</v>
      </c>
      <c r="F537" s="40">
        <v>5.067720526</v>
      </c>
      <c r="G537" s="40">
        <f>IFERROR(__xludf.DUMMYFUNCTION("sum(filter('PLA Sheet'!J:J,'PLA Sheet'!C:C=B537,'PLA Sheet'!D:D=C537))/E537*9"),2.7835072675006174)</f>
        <v>2.783507268</v>
      </c>
      <c r="H537" s="41">
        <v>0.473509934</v>
      </c>
      <c r="I537" s="41">
        <v>0.195364238</v>
      </c>
      <c r="J537" s="41">
        <v>0.331125828</v>
      </c>
      <c r="K537" s="41">
        <f t="shared" si="1"/>
        <v>0.142384106</v>
      </c>
      <c r="L537" s="42">
        <v>-4.762209787</v>
      </c>
      <c r="M537" s="45">
        <f>('Cy Young Rank'!O$1-G537)*E537/9</f>
        <v>2.873466376</v>
      </c>
      <c r="N537" s="42"/>
      <c r="O537" s="66"/>
      <c r="P537" s="42"/>
      <c r="Q537" s="67"/>
      <c r="R537" s="67"/>
    </row>
    <row r="538">
      <c r="A538" s="1" t="s">
        <v>372</v>
      </c>
      <c r="B538" s="38">
        <v>671106.0</v>
      </c>
      <c r="C538" s="44" t="s">
        <v>537</v>
      </c>
      <c r="D538" s="38">
        <v>885.0</v>
      </c>
      <c r="E538" s="39">
        <f>IFERROR(__xludf.DUMMYFUNCTION("sum(filter('PLA Sheet'!H:H,'PLA Sheet'!C:C=B538,'PLA Sheet'!D:D=C538))"),52.685390491)</f>
        <v>52.68539049</v>
      </c>
      <c r="F538" s="40">
        <v>5.066943049</v>
      </c>
      <c r="G538" s="40">
        <f>IFERROR(__xludf.DUMMYFUNCTION("sum(filter('PLA Sheet'!J:J,'PLA Sheet'!C:C=B538,'PLA Sheet'!D:D=C538))/E538*9"),3.5169089812792067)</f>
        <v>3.516908981</v>
      </c>
      <c r="H538" s="41">
        <v>0.493785311</v>
      </c>
      <c r="I538" s="41">
        <v>0.15819209</v>
      </c>
      <c r="J538" s="41">
        <v>0.348022599</v>
      </c>
      <c r="K538" s="41">
        <f t="shared" si="1"/>
        <v>0.145762712</v>
      </c>
      <c r="L538" s="42">
        <v>-1.813814067</v>
      </c>
      <c r="M538" s="45">
        <f>('Cy Young Rank'!O$1-G538)*E538/9</f>
        <v>3.179218044</v>
      </c>
      <c r="N538" s="42"/>
      <c r="O538" s="66"/>
      <c r="P538" s="42"/>
      <c r="Q538" s="67"/>
      <c r="R538" s="67"/>
    </row>
    <row r="539">
      <c r="A539" s="1" t="s">
        <v>238</v>
      </c>
      <c r="B539" s="38">
        <v>683769.0</v>
      </c>
      <c r="C539" s="44" t="s">
        <v>537</v>
      </c>
      <c r="D539" s="38">
        <v>337.0</v>
      </c>
      <c r="E539" s="39">
        <f>IFERROR(__xludf.DUMMYFUNCTION("sum(filter('PLA Sheet'!H:H,'PLA Sheet'!C:C=B539,'PLA Sheet'!D:D=C539))"),22.052748649999998)</f>
        <v>22.05274865</v>
      </c>
      <c r="F539" s="40">
        <v>5.066727726</v>
      </c>
      <c r="G539" s="40">
        <f>IFERROR(__xludf.DUMMYFUNCTION("sum(filter('PLA Sheet'!J:J,'PLA Sheet'!C:C=B539,'PLA Sheet'!D:D=C539))/E539*9"),3.188016474309202)</f>
        <v>3.188016474</v>
      </c>
      <c r="H539" s="41">
        <v>0.492581602</v>
      </c>
      <c r="I539" s="41">
        <v>0.195845697</v>
      </c>
      <c r="J539" s="41">
        <v>0.3115727</v>
      </c>
      <c r="K539" s="41">
        <f t="shared" si="1"/>
        <v>0.181008902</v>
      </c>
      <c r="L539" s="42">
        <v>0.100658399</v>
      </c>
      <c r="M539" s="45">
        <f>('Cy Young Rank'!O$1-G539)*E539/9</f>
        <v>2.136625947</v>
      </c>
      <c r="N539" s="42"/>
      <c r="O539" s="66"/>
      <c r="P539" s="42"/>
      <c r="Q539" s="67"/>
      <c r="R539" s="67"/>
    </row>
    <row r="540">
      <c r="A540" s="1" t="s">
        <v>266</v>
      </c>
      <c r="B540" s="38">
        <v>806188.0</v>
      </c>
      <c r="C540" s="44" t="s">
        <v>541</v>
      </c>
      <c r="D540" s="38">
        <v>253.0</v>
      </c>
      <c r="E540" s="39">
        <f>IFERROR(__xludf.DUMMYFUNCTION("sum(filter('PLA Sheet'!H:H,'PLA Sheet'!C:C=B540,'PLA Sheet'!D:D=C540))"),15.653450802999998)</f>
        <v>15.6534508</v>
      </c>
      <c r="F540" s="40">
        <v>5.066539584</v>
      </c>
      <c r="G540" s="40">
        <f>IFERROR(__xludf.DUMMYFUNCTION("sum(filter('PLA Sheet'!J:J,'PLA Sheet'!C:C=B540,'PLA Sheet'!D:D=C540))/E540*9"),3.119623054019574)</f>
        <v>3.119623054</v>
      </c>
      <c r="H540" s="41">
        <v>0.513833992</v>
      </c>
      <c r="I540" s="41">
        <v>0.110671937</v>
      </c>
      <c r="J540" s="41">
        <v>0.375494071</v>
      </c>
      <c r="K540" s="41">
        <f t="shared" si="1"/>
        <v>0.138339921</v>
      </c>
      <c r="L540" s="42">
        <v>1.707846713</v>
      </c>
      <c r="M540" s="45">
        <f>('Cy Young Rank'!O$1-G540)*E540/9</f>
        <v>1.635571584</v>
      </c>
      <c r="N540" s="42"/>
      <c r="O540" s="66"/>
      <c r="P540" s="42"/>
      <c r="Q540" s="67"/>
      <c r="R540" s="67"/>
    </row>
    <row r="541">
      <c r="A541" s="1" t="s">
        <v>393</v>
      </c>
      <c r="B541" s="38">
        <v>690953.0</v>
      </c>
      <c r="C541" s="44" t="s">
        <v>537</v>
      </c>
      <c r="D541" s="38">
        <v>298.0</v>
      </c>
      <c r="E541" s="39">
        <f>IFERROR(__xludf.DUMMYFUNCTION("sum(filter('PLA Sheet'!H:H,'PLA Sheet'!C:C=B541,'PLA Sheet'!D:D=C541))"),16.84583333)</f>
        <v>16.84583333</v>
      </c>
      <c r="F541" s="40">
        <v>5.066494093</v>
      </c>
      <c r="G541" s="40">
        <f>IFERROR(__xludf.DUMMYFUNCTION("sum(filter('PLA Sheet'!J:J,'PLA Sheet'!C:C=B541,'PLA Sheet'!D:D=C541))/E541*9"),4.058363790068437)</f>
        <v>4.05836379</v>
      </c>
      <c r="H541" s="41">
        <v>0.513422819</v>
      </c>
      <c r="I541" s="41">
        <v>0.151006711</v>
      </c>
      <c r="J541" s="41">
        <v>0.33557047</v>
      </c>
      <c r="K541" s="41">
        <f t="shared" si="1"/>
        <v>0.177852349</v>
      </c>
      <c r="L541" s="42">
        <v>-2.776199633</v>
      </c>
      <c r="M541" s="45">
        <f>('Cy Young Rank'!O$1-G541)*E541/9</f>
        <v>0.003062591089</v>
      </c>
      <c r="N541" s="42"/>
      <c r="O541" s="66"/>
      <c r="P541" s="42"/>
      <c r="Q541" s="67"/>
      <c r="R541" s="67"/>
    </row>
    <row r="542">
      <c r="A542" s="1" t="s">
        <v>283</v>
      </c>
      <c r="B542" s="38">
        <v>641401.0</v>
      </c>
      <c r="C542" s="44" t="s">
        <v>537</v>
      </c>
      <c r="D542" s="38">
        <v>345.0</v>
      </c>
      <c r="E542" s="39">
        <f>IFERROR(__xludf.DUMMYFUNCTION("sum(filter('PLA Sheet'!H:H,'PLA Sheet'!C:C=B542,'PLA Sheet'!D:D=C542))"),19.695238094)</f>
        <v>19.69523809</v>
      </c>
      <c r="F542" s="40">
        <v>5.064873068</v>
      </c>
      <c r="G542" s="40">
        <f>IFERROR(__xludf.DUMMYFUNCTION("sum(filter('PLA Sheet'!J:J,'PLA Sheet'!C:C=B542,'PLA Sheet'!D:D=C542))/E542*9"),3.7445391951096667)</f>
        <v>3.744539195</v>
      </c>
      <c r="H542" s="41">
        <v>0.52173913</v>
      </c>
      <c r="I542" s="41">
        <v>0.139130435</v>
      </c>
      <c r="J542" s="41">
        <v>0.339130435</v>
      </c>
      <c r="K542" s="41">
        <f t="shared" si="1"/>
        <v>0.182608695</v>
      </c>
      <c r="L542" s="42">
        <v>3.937513715</v>
      </c>
      <c r="M542" s="45">
        <f>('Cy Young Rank'!O$1-G542)*E542/9</f>
        <v>0.6903417402</v>
      </c>
      <c r="N542" s="42"/>
      <c r="O542" s="66"/>
      <c r="P542" s="42"/>
      <c r="Q542" s="67"/>
      <c r="R542" s="67"/>
    </row>
    <row r="543">
      <c r="A543" s="1" t="s">
        <v>301</v>
      </c>
      <c r="B543" s="38">
        <v>656557.0</v>
      </c>
      <c r="C543" s="44" t="s">
        <v>539</v>
      </c>
      <c r="D543" s="38">
        <v>261.0</v>
      </c>
      <c r="E543" s="39">
        <f>IFERROR(__xludf.DUMMYFUNCTION("sum(filter('PLA Sheet'!H:H,'PLA Sheet'!C:C=B543,'PLA Sheet'!D:D=C543))"),15.449488207)</f>
        <v>15.44948821</v>
      </c>
      <c r="F543" s="40">
        <v>5.06279429</v>
      </c>
      <c r="G543" s="40">
        <f>IFERROR(__xludf.DUMMYFUNCTION("sum(filter('PLA Sheet'!J:J,'PLA Sheet'!C:C=B543,'PLA Sheet'!D:D=C543))/E543*9"),3.261370171289584)</f>
        <v>3.261370171</v>
      </c>
      <c r="H543" s="41">
        <v>0.521072797</v>
      </c>
      <c r="I543" s="41">
        <v>0.111111111</v>
      </c>
      <c r="J543" s="41">
        <v>0.367816092</v>
      </c>
      <c r="K543" s="41">
        <f t="shared" si="1"/>
        <v>0.153256705</v>
      </c>
      <c r="L543" s="42">
        <v>-6.086343322</v>
      </c>
      <c r="M543" s="45">
        <f>('Cy Young Rank'!O$1-G543)*E543/9</f>
        <v>1.370935791</v>
      </c>
      <c r="N543" s="42"/>
      <c r="O543" s="66"/>
      <c r="P543" s="42"/>
      <c r="Q543" s="67"/>
      <c r="R543" s="67"/>
    </row>
    <row r="544">
      <c r="A544" s="1" t="s">
        <v>432</v>
      </c>
      <c r="B544" s="38">
        <v>669467.0</v>
      </c>
      <c r="C544" s="44" t="s">
        <v>533</v>
      </c>
      <c r="D544" s="38">
        <v>758.0</v>
      </c>
      <c r="E544" s="39">
        <f>IFERROR(__xludf.DUMMYFUNCTION("sum(filter('PLA Sheet'!H:H,'PLA Sheet'!C:C=B544,'PLA Sheet'!D:D=C544))"),46.681383370000006)</f>
        <v>46.68138337</v>
      </c>
      <c r="F544" s="40">
        <v>5.062272276</v>
      </c>
      <c r="G544" s="40">
        <f>IFERROR(__xludf.DUMMYFUNCTION("sum(filter('PLA Sheet'!J:J,'PLA Sheet'!C:C=B544,'PLA Sheet'!D:D=C544))/E544*9"),3.252569355037089)</f>
        <v>3.252569355</v>
      </c>
      <c r="H544" s="41">
        <v>0.449868074</v>
      </c>
      <c r="I544" s="41">
        <v>0.2176781</v>
      </c>
      <c r="J544" s="41">
        <v>0.332453826</v>
      </c>
      <c r="K544" s="41">
        <f t="shared" si="1"/>
        <v>0.117414248</v>
      </c>
      <c r="L544" s="42">
        <v>2.418005967</v>
      </c>
      <c r="M544" s="45">
        <f>('Cy Young Rank'!O$1-G544)*E544/9</f>
        <v>4.18799772</v>
      </c>
      <c r="N544" s="42"/>
      <c r="O544" s="66"/>
      <c r="P544" s="42"/>
      <c r="Q544" s="67"/>
      <c r="R544" s="67"/>
    </row>
    <row r="545">
      <c r="A545" s="1" t="s">
        <v>320</v>
      </c>
      <c r="B545" s="38">
        <v>681347.0</v>
      </c>
      <c r="C545" s="44" t="s">
        <v>532</v>
      </c>
      <c r="D545" s="38">
        <v>350.0</v>
      </c>
      <c r="E545" s="39">
        <f>IFERROR(__xludf.DUMMYFUNCTION("sum(filter('PLA Sheet'!H:H,'PLA Sheet'!C:C=B545,'PLA Sheet'!D:D=C545))"),22.797657771)</f>
        <v>22.79765777</v>
      </c>
      <c r="F545" s="40">
        <v>5.062030518</v>
      </c>
      <c r="G545" s="40">
        <f>IFERROR(__xludf.DUMMYFUNCTION("sum(filter('PLA Sheet'!J:J,'PLA Sheet'!C:C=B545,'PLA Sheet'!D:D=C545))/E545*9"),3.1349770541302857)</f>
        <v>3.134977054</v>
      </c>
      <c r="H545" s="41">
        <v>0.431428571</v>
      </c>
      <c r="I545" s="41">
        <v>0.188571429</v>
      </c>
      <c r="J545" s="41">
        <v>0.38</v>
      </c>
      <c r="K545" s="41">
        <f t="shared" si="1"/>
        <v>0.051428571</v>
      </c>
      <c r="L545" s="42">
        <v>8.813605056</v>
      </c>
      <c r="M545" s="45">
        <f>('Cy Young Rank'!O$1-G545)*E545/9</f>
        <v>2.343150728</v>
      </c>
      <c r="N545" s="42"/>
      <c r="O545" s="66"/>
      <c r="P545" s="42"/>
      <c r="Q545" s="67"/>
      <c r="R545" s="67"/>
    </row>
    <row r="546">
      <c r="A546" s="1" t="s">
        <v>104</v>
      </c>
      <c r="B546" s="38">
        <v>676508.0</v>
      </c>
      <c r="C546" s="44" t="s">
        <v>537</v>
      </c>
      <c r="D546" s="38">
        <v>377.0</v>
      </c>
      <c r="E546" s="39">
        <f>IFERROR(__xludf.DUMMYFUNCTION("sum(filter('PLA Sheet'!H:H,'PLA Sheet'!C:C=B546,'PLA Sheet'!D:D=C546))"),23.632329640000002)</f>
        <v>23.63232964</v>
      </c>
      <c r="F546" s="40">
        <v>5.061592559</v>
      </c>
      <c r="G546" s="40">
        <f>IFERROR(__xludf.DUMMYFUNCTION("sum(filter('PLA Sheet'!J:J,'PLA Sheet'!C:C=B546,'PLA Sheet'!D:D=C546))/E546*9"),3.295791578167915)</f>
        <v>3.295791578</v>
      </c>
      <c r="H546" s="41">
        <v>0.50928382</v>
      </c>
      <c r="I546" s="41">
        <v>0.151193634</v>
      </c>
      <c r="J546" s="41">
        <v>0.339522546</v>
      </c>
      <c r="K546" s="41">
        <f t="shared" si="1"/>
        <v>0.169761274</v>
      </c>
      <c r="L546" s="42">
        <v>-3.420278216</v>
      </c>
      <c r="M546" s="45">
        <f>('Cy Young Rank'!O$1-G546)*E546/9</f>
        <v>2.006669482</v>
      </c>
      <c r="N546" s="42"/>
      <c r="O546" s="66"/>
      <c r="P546" s="42"/>
      <c r="Q546" s="67"/>
      <c r="R546" s="67"/>
    </row>
    <row r="547">
      <c r="A547" s="1" t="s">
        <v>165</v>
      </c>
      <c r="B547" s="38">
        <v>689147.0</v>
      </c>
      <c r="C547" s="44" t="s">
        <v>537</v>
      </c>
      <c r="D547" s="38">
        <v>351.0</v>
      </c>
      <c r="E547" s="39">
        <f>IFERROR(__xludf.DUMMYFUNCTION("sum(filter('PLA Sheet'!H:H,'PLA Sheet'!C:C=B547,'PLA Sheet'!D:D=C547))"),20.410065233)</f>
        <v>20.41006523</v>
      </c>
      <c r="F547" s="40">
        <v>5.061314707</v>
      </c>
      <c r="G547" s="40">
        <f>IFERROR(__xludf.DUMMYFUNCTION("sum(filter('PLA Sheet'!J:J,'PLA Sheet'!C:C=B547,'PLA Sheet'!D:D=C547))/E547*9"),3.7763623545592617)</f>
        <v>3.776362355</v>
      </c>
      <c r="H547" s="41">
        <v>0.501424501</v>
      </c>
      <c r="I547" s="41">
        <v>0.176638177</v>
      </c>
      <c r="J547" s="41">
        <v>0.321937322</v>
      </c>
      <c r="K547" s="41">
        <f t="shared" si="1"/>
        <v>0.179487179</v>
      </c>
      <c r="L547" s="42">
        <v>5.523956414</v>
      </c>
      <c r="M547" s="45">
        <f>('Cy Young Rank'!O$1-G547)*E547/9</f>
        <v>0.6432292051</v>
      </c>
      <c r="N547" s="42"/>
      <c r="O547" s="66"/>
      <c r="P547" s="42"/>
      <c r="Q547" s="67"/>
      <c r="R547" s="67"/>
    </row>
    <row r="548">
      <c r="A548" s="1" t="s">
        <v>376</v>
      </c>
      <c r="B548" s="38">
        <v>668909.0</v>
      </c>
      <c r="C548" s="44" t="s">
        <v>539</v>
      </c>
      <c r="D548" s="38">
        <v>547.0</v>
      </c>
      <c r="E548" s="39">
        <f>IFERROR(__xludf.DUMMYFUNCTION("sum(filter('PLA Sheet'!H:H,'PLA Sheet'!C:C=B548,'PLA Sheet'!D:D=C548))"),32.616182335000005)</f>
        <v>32.61618234</v>
      </c>
      <c r="F548" s="40">
        <v>5.060752228</v>
      </c>
      <c r="G548" s="40">
        <f>IFERROR(__xludf.DUMMYFUNCTION("sum(filter('PLA Sheet'!J:J,'PLA Sheet'!C:C=B548,'PLA Sheet'!D:D=C548))/E548*9"),3.4333119323972525)</f>
        <v>3.433311932</v>
      </c>
      <c r="H548" s="41">
        <v>0.447897623</v>
      </c>
      <c r="I548" s="41">
        <v>0.197440585</v>
      </c>
      <c r="J548" s="41">
        <v>0.354661792</v>
      </c>
      <c r="K548" s="41">
        <f t="shared" si="1"/>
        <v>0.093235831</v>
      </c>
      <c r="L548" s="42">
        <v>1.56687047</v>
      </c>
      <c r="M548" s="45">
        <f>('Cy Young Rank'!O$1-G548)*E548/9</f>
        <v>2.271130253</v>
      </c>
      <c r="N548" s="42"/>
      <c r="O548" s="66"/>
      <c r="P548" s="42"/>
      <c r="Q548" s="67"/>
      <c r="R548" s="67"/>
    </row>
    <row r="549">
      <c r="A549" s="1" t="s">
        <v>250</v>
      </c>
      <c r="B549" s="38">
        <v>676477.0</v>
      </c>
      <c r="C549" s="44" t="s">
        <v>533</v>
      </c>
      <c r="D549" s="38">
        <v>304.0</v>
      </c>
      <c r="E549" s="39">
        <f>IFERROR(__xludf.DUMMYFUNCTION("sum(filter('PLA Sheet'!H:H,'PLA Sheet'!C:C=B549,'PLA Sheet'!D:D=C549))"),19.342372881)</f>
        <v>19.34237288</v>
      </c>
      <c r="F549" s="40">
        <v>5.060029747</v>
      </c>
      <c r="G549" s="40">
        <f>IFERROR(__xludf.DUMMYFUNCTION("sum(filter('PLA Sheet'!J:J,'PLA Sheet'!C:C=B549,'PLA Sheet'!D:D=C549))/E549*9"),3.0335948107813753)</f>
        <v>3.033594811</v>
      </c>
      <c r="H549" s="41">
        <v>0.430921053</v>
      </c>
      <c r="I549" s="41">
        <v>0.213815789</v>
      </c>
      <c r="J549" s="41">
        <v>0.355263158</v>
      </c>
      <c r="K549" s="41">
        <f t="shared" si="1"/>
        <v>0.075657895</v>
      </c>
      <c r="L549" s="42">
        <v>4.393133934</v>
      </c>
      <c r="M549" s="45">
        <f>('Cy Young Rank'!O$1-G549)*E549/9</f>
        <v>2.205901322</v>
      </c>
      <c r="N549" s="42"/>
      <c r="O549" s="66"/>
      <c r="P549" s="42"/>
      <c r="Q549" s="67"/>
      <c r="R549" s="67"/>
    </row>
    <row r="550">
      <c r="A550" s="1" t="s">
        <v>316</v>
      </c>
      <c r="B550" s="38">
        <v>656427.0</v>
      </c>
      <c r="C550" s="44" t="s">
        <v>541</v>
      </c>
      <c r="D550" s="38">
        <v>689.0</v>
      </c>
      <c r="E550" s="39">
        <f>IFERROR(__xludf.DUMMYFUNCTION("sum(filter('PLA Sheet'!H:H,'PLA Sheet'!C:C=B550,'PLA Sheet'!D:D=C550))"),40.79045937)</f>
        <v>40.79045937</v>
      </c>
      <c r="F550" s="40">
        <v>5.059909781</v>
      </c>
      <c r="G550" s="40">
        <f>IFERROR(__xludf.DUMMYFUNCTION("sum(filter('PLA Sheet'!J:J,'PLA Sheet'!C:C=B550,'PLA Sheet'!D:D=C550))/E550*9"),3.4441791333030527)</f>
        <v>3.444179133</v>
      </c>
      <c r="H550" s="41">
        <v>0.452830189</v>
      </c>
      <c r="I550" s="41">
        <v>0.195936139</v>
      </c>
      <c r="J550" s="41">
        <v>0.351233672</v>
      </c>
      <c r="K550" s="41">
        <f t="shared" si="1"/>
        <v>0.101596517</v>
      </c>
      <c r="L550" s="42">
        <v>0.162000068</v>
      </c>
      <c r="M550" s="45">
        <f>('Cy Young Rank'!O$1-G550)*E550/9</f>
        <v>2.791068449</v>
      </c>
      <c r="N550" s="42"/>
      <c r="O550" s="66"/>
      <c r="P550" s="42"/>
      <c r="Q550" s="67"/>
      <c r="R550" s="67"/>
    </row>
    <row r="551">
      <c r="A551" s="1" t="s">
        <v>344</v>
      </c>
      <c r="B551" s="38">
        <v>701542.0</v>
      </c>
      <c r="C551" s="44" t="s">
        <v>536</v>
      </c>
      <c r="D551" s="38">
        <v>572.0</v>
      </c>
      <c r="E551" s="39">
        <f>IFERROR(__xludf.DUMMYFUNCTION("sum(filter('PLA Sheet'!H:H,'PLA Sheet'!C:C=B551,'PLA Sheet'!D:D=C551))"),34.077829352)</f>
        <v>34.07782935</v>
      </c>
      <c r="F551" s="40">
        <v>5.059409252</v>
      </c>
      <c r="G551" s="40">
        <f>IFERROR(__xludf.DUMMYFUNCTION("sum(filter('PLA Sheet'!J:J,'PLA Sheet'!C:C=B551,'PLA Sheet'!D:D=C551))/E551*9"),3.4106238340318096)</f>
        <v>3.410623834</v>
      </c>
      <c r="H551" s="41">
        <v>0.482517483</v>
      </c>
      <c r="I551" s="41">
        <v>0.174825175</v>
      </c>
      <c r="J551" s="41">
        <v>0.342657343</v>
      </c>
      <c r="K551" s="41">
        <f t="shared" si="1"/>
        <v>0.13986014</v>
      </c>
      <c r="L551" s="42">
        <v>-0.651733032</v>
      </c>
      <c r="M551" s="45">
        <f>('Cy Young Rank'!O$1-G551)*E551/9</f>
        <v>2.458814463</v>
      </c>
      <c r="N551" s="42"/>
      <c r="O551" s="66"/>
      <c r="P551" s="42"/>
      <c r="Q551" s="67"/>
      <c r="R551" s="67"/>
    </row>
    <row r="552">
      <c r="A552" s="1" t="s">
        <v>422</v>
      </c>
      <c r="B552" s="38">
        <v>518585.0</v>
      </c>
      <c r="C552" s="44" t="s">
        <v>538</v>
      </c>
      <c r="D552" s="38">
        <v>466.0</v>
      </c>
      <c r="E552" s="39">
        <f>IFERROR(__xludf.DUMMYFUNCTION("sum(filter('PLA Sheet'!H:H,'PLA Sheet'!C:C=B552,'PLA Sheet'!D:D=C552))"),29.03030303)</f>
        <v>29.03030303</v>
      </c>
      <c r="F552" s="40">
        <v>5.05809029</v>
      </c>
      <c r="G552" s="40">
        <f>IFERROR(__xludf.DUMMYFUNCTION("sum(filter('PLA Sheet'!J:J,'PLA Sheet'!C:C=B552,'PLA Sheet'!D:D=C552))/E552*9"),3.246702933228045)</f>
        <v>3.246702933</v>
      </c>
      <c r="H552" s="41">
        <v>0.424892704</v>
      </c>
      <c r="I552" s="41">
        <v>0.201716738</v>
      </c>
      <c r="J552" s="41">
        <v>0.373390558</v>
      </c>
      <c r="K552" s="41">
        <f t="shared" si="1"/>
        <v>0.051502146</v>
      </c>
      <c r="L552" s="42">
        <v>0.390144616</v>
      </c>
      <c r="M552" s="45">
        <f>('Cy Young Rank'!O$1-G552)*E552/9</f>
        <v>2.623362256</v>
      </c>
      <c r="N552" s="42"/>
      <c r="O552" s="66"/>
      <c r="P552" s="42"/>
      <c r="Q552" s="67"/>
      <c r="R552" s="67"/>
    </row>
    <row r="553">
      <c r="A553" s="1" t="s">
        <v>59</v>
      </c>
      <c r="B553" s="38">
        <v>623352.0</v>
      </c>
      <c r="C553" s="44" t="s">
        <v>533</v>
      </c>
      <c r="D553" s="38">
        <v>341.0</v>
      </c>
      <c r="E553" s="39">
        <f>IFERROR(__xludf.DUMMYFUNCTION("sum(filter('PLA Sheet'!H:H,'PLA Sheet'!C:C=B553,'PLA Sheet'!D:D=C553))"),21.85106383)</f>
        <v>21.85106383</v>
      </c>
      <c r="F553" s="40">
        <v>5.057137156</v>
      </c>
      <c r="G553" s="40">
        <f>IFERROR(__xludf.DUMMYFUNCTION("sum(filter('PLA Sheet'!J:J,'PLA Sheet'!C:C=B553,'PLA Sheet'!D:D=C553))/E553*9"),3.1497655004561853)</f>
        <v>3.1497655</v>
      </c>
      <c r="H553" s="41">
        <v>0.463343109</v>
      </c>
      <c r="I553" s="41">
        <v>0.217008798</v>
      </c>
      <c r="J553" s="41">
        <v>0.319648094</v>
      </c>
      <c r="K553" s="41">
        <f t="shared" si="1"/>
        <v>0.143695015</v>
      </c>
      <c r="L553" s="42">
        <v>2.990881975</v>
      </c>
      <c r="M553" s="45">
        <f>('Cy Young Rank'!O$1-G553)*E553/9</f>
        <v>2.209954683</v>
      </c>
      <c r="N553" s="42"/>
      <c r="O553" s="66"/>
      <c r="P553" s="42"/>
      <c r="Q553" s="67"/>
      <c r="R553" s="67"/>
    </row>
    <row r="554">
      <c r="A554" s="1" t="s">
        <v>477</v>
      </c>
      <c r="B554" s="38">
        <v>677958.0</v>
      </c>
      <c r="C554" s="44" t="s">
        <v>540</v>
      </c>
      <c r="D554" s="38">
        <v>280.0</v>
      </c>
      <c r="E554" s="39">
        <f>IFERROR(__xludf.DUMMYFUNCTION("sum(filter('PLA Sheet'!H:H,'PLA Sheet'!C:C=B554,'PLA Sheet'!D:D=C554))"),16.325939071)</f>
        <v>16.32593907</v>
      </c>
      <c r="F554" s="40">
        <v>5.054964174</v>
      </c>
      <c r="G554" s="40">
        <f>IFERROR(__xludf.DUMMYFUNCTION("sum(filter('PLA Sheet'!J:J,'PLA Sheet'!C:C=B554,'PLA Sheet'!D:D=C554))/E554*9"),3.4654533962152376)</f>
        <v>3.465453396</v>
      </c>
      <c r="H554" s="41">
        <v>0.45</v>
      </c>
      <c r="I554" s="41">
        <v>0.210714286</v>
      </c>
      <c r="J554" s="41">
        <v>0.339285714</v>
      </c>
      <c r="K554" s="41">
        <f t="shared" si="1"/>
        <v>0.110714286</v>
      </c>
      <c r="L554" s="42">
        <v>-2.551333083</v>
      </c>
      <c r="M554" s="45">
        <f>('Cy Young Rank'!O$1-G554)*E554/9</f>
        <v>1.078503514</v>
      </c>
      <c r="N554" s="42"/>
      <c r="O554" s="66"/>
      <c r="P554" s="42"/>
      <c r="Q554" s="67"/>
      <c r="R554" s="67"/>
    </row>
    <row r="555">
      <c r="A555" s="1" t="s">
        <v>365</v>
      </c>
      <c r="B555" s="38">
        <v>680767.0</v>
      </c>
      <c r="C555" s="44" t="s">
        <v>537</v>
      </c>
      <c r="D555" s="38">
        <v>502.0</v>
      </c>
      <c r="E555" s="39">
        <f>IFERROR(__xludf.DUMMYFUNCTION("sum(filter('PLA Sheet'!H:H,'PLA Sheet'!C:C=B555,'PLA Sheet'!D:D=C555))"),28.37554585)</f>
        <v>28.37554585</v>
      </c>
      <c r="F555" s="40">
        <v>5.054182386</v>
      </c>
      <c r="G555" s="40">
        <f>IFERROR(__xludf.DUMMYFUNCTION("sum(filter('PLA Sheet'!J:J,'PLA Sheet'!C:C=B555,'PLA Sheet'!D:D=C555))/E555*9"),3.7271189974306695)</f>
        <v>3.727118997</v>
      </c>
      <c r="H555" s="41">
        <v>0.513944223</v>
      </c>
      <c r="I555" s="41">
        <v>0.12749004</v>
      </c>
      <c r="J555" s="41">
        <v>0.358565737</v>
      </c>
      <c r="K555" s="41">
        <f t="shared" si="1"/>
        <v>0.155378486</v>
      </c>
      <c r="L555" s="42">
        <v>-4.67772515</v>
      </c>
      <c r="M555" s="45">
        <f>('Cy Young Rank'!O$1-G555)*E555/9</f>
        <v>1.049520017</v>
      </c>
      <c r="N555" s="42"/>
      <c r="O555" s="66"/>
      <c r="P555" s="42"/>
      <c r="Q555" s="67"/>
      <c r="R555" s="67"/>
    </row>
    <row r="556">
      <c r="A556" s="1" t="s">
        <v>499</v>
      </c>
      <c r="B556" s="38">
        <v>622554.0</v>
      </c>
      <c r="C556" s="44" t="s">
        <v>537</v>
      </c>
      <c r="D556" s="38">
        <v>473.0</v>
      </c>
      <c r="E556" s="39">
        <f>IFERROR(__xludf.DUMMYFUNCTION("sum(filter('PLA Sheet'!H:H,'PLA Sheet'!C:C=B556,'PLA Sheet'!D:D=C556))"),27.26369967)</f>
        <v>27.26369967</v>
      </c>
      <c r="F556" s="40">
        <v>5.054025902</v>
      </c>
      <c r="G556" s="40">
        <f>IFERROR(__xludf.DUMMYFUNCTION("sum(filter('PLA Sheet'!J:J,'PLA Sheet'!C:C=B556,'PLA Sheet'!D:D=C556))/E556*9"),3.6206496988601833)</f>
        <v>3.620649699</v>
      </c>
      <c r="H556" s="41">
        <v>0.530655391</v>
      </c>
      <c r="I556" s="41">
        <v>0.10782241</v>
      </c>
      <c r="J556" s="41">
        <v>0.361522199</v>
      </c>
      <c r="K556" s="41">
        <f t="shared" si="1"/>
        <v>0.169133192</v>
      </c>
      <c r="L556" s="42">
        <v>3.557423791</v>
      </c>
      <c r="M556" s="45">
        <f>('Cy Young Rank'!O$1-G556)*E556/9</f>
        <v>1.330923851</v>
      </c>
      <c r="N556" s="42"/>
      <c r="O556" s="66"/>
      <c r="P556" s="42"/>
      <c r="Q556" s="67"/>
      <c r="R556" s="67"/>
    </row>
    <row r="557">
      <c r="A557" s="1" t="s">
        <v>434</v>
      </c>
      <c r="B557" s="38">
        <v>690990.0</v>
      </c>
      <c r="C557" s="44" t="s">
        <v>539</v>
      </c>
      <c r="D557" s="38">
        <v>367.0</v>
      </c>
      <c r="E557" s="39">
        <f>IFERROR(__xludf.DUMMYFUNCTION("sum(filter('PLA Sheet'!H:H,'PLA Sheet'!C:C=B557,'PLA Sheet'!D:D=C557))"),24.643896977)</f>
        <v>24.64389698</v>
      </c>
      <c r="F557" s="40">
        <v>5.053628847</v>
      </c>
      <c r="G557" s="40">
        <f>IFERROR(__xludf.DUMMYFUNCTION("sum(filter('PLA Sheet'!J:J,'PLA Sheet'!C:C=B557,'PLA Sheet'!D:D=C557))/E557*9"),3.1271635761147984)</f>
        <v>3.127163576</v>
      </c>
      <c r="H557" s="41">
        <v>0.408719346</v>
      </c>
      <c r="I557" s="41">
        <v>0.209809264</v>
      </c>
      <c r="J557" s="41">
        <v>0.38147139</v>
      </c>
      <c r="K557" s="41">
        <f t="shared" si="1"/>
        <v>0.027247956</v>
      </c>
      <c r="L557" s="42">
        <v>2.170172243</v>
      </c>
      <c r="M557" s="45">
        <f>('Cy Young Rank'!O$1-G557)*E557/9</f>
        <v>2.554302747</v>
      </c>
      <c r="N557" s="42"/>
      <c r="O557" s="66"/>
      <c r="P557" s="42"/>
      <c r="Q557" s="67"/>
      <c r="R557" s="67"/>
    </row>
    <row r="558">
      <c r="A558" s="1" t="s">
        <v>309</v>
      </c>
      <c r="B558" s="38">
        <v>660787.0</v>
      </c>
      <c r="C558" s="44" t="s">
        <v>536</v>
      </c>
      <c r="D558" s="38">
        <v>318.0</v>
      </c>
      <c r="E558" s="39">
        <f>IFERROR(__xludf.DUMMYFUNCTION("sum(filter('PLA Sheet'!H:H,'PLA Sheet'!C:C=B558,'PLA Sheet'!D:D=C558))"),19.465536727)</f>
        <v>19.46553673</v>
      </c>
      <c r="F558" s="40">
        <v>5.053411291</v>
      </c>
      <c r="G558" s="40">
        <f>IFERROR(__xludf.DUMMYFUNCTION("sum(filter('PLA Sheet'!J:J,'PLA Sheet'!C:C=B558,'PLA Sheet'!D:D=C558))/E558*9"),3.304555836406863)</f>
        <v>3.304555836</v>
      </c>
      <c r="H558" s="41">
        <v>0.481132075</v>
      </c>
      <c r="I558" s="41">
        <v>0.166666667</v>
      </c>
      <c r="J558" s="41">
        <v>0.352201258</v>
      </c>
      <c r="K558" s="41">
        <f t="shared" si="1"/>
        <v>0.128930817</v>
      </c>
      <c r="L558" s="42">
        <v>5.58091024</v>
      </c>
      <c r="M558" s="45">
        <f>('Cy Young Rank'!O$1-G558)*E558/9</f>
        <v>1.633902901</v>
      </c>
      <c r="N558" s="42"/>
      <c r="O558" s="66"/>
      <c r="P558" s="42"/>
      <c r="Q558" s="67"/>
      <c r="R558" s="67"/>
    </row>
    <row r="559">
      <c r="A559" s="1" t="s">
        <v>176</v>
      </c>
      <c r="B559" s="38">
        <v>686218.0</v>
      </c>
      <c r="C559" s="44" t="s">
        <v>533</v>
      </c>
      <c r="D559" s="38">
        <v>341.0</v>
      </c>
      <c r="E559" s="39">
        <f>IFERROR(__xludf.DUMMYFUNCTION("sum(filter('PLA Sheet'!H:H,'PLA Sheet'!C:C=B559,'PLA Sheet'!D:D=C559))"),22.288209603000002)</f>
        <v>22.2882096</v>
      </c>
      <c r="F559" s="40">
        <v>5.05310335</v>
      </c>
      <c r="G559" s="40">
        <f>IFERROR(__xludf.DUMMYFUNCTION("sum(filter('PLA Sheet'!J:J,'PLA Sheet'!C:C=B559,'PLA Sheet'!D:D=C559))/E559*9"),3.081717115167243)</f>
        <v>3.081717115</v>
      </c>
      <c r="H559" s="41">
        <v>0.431085044</v>
      </c>
      <c r="I559" s="41">
        <v>0.202346041</v>
      </c>
      <c r="J559" s="41">
        <v>0.366568915</v>
      </c>
      <c r="K559" s="41">
        <f t="shared" si="1"/>
        <v>0.064516129</v>
      </c>
      <c r="L559" s="42">
        <v>3.984618246</v>
      </c>
      <c r="M559" s="45">
        <f>('Cy Young Rank'!O$1-G559)*E559/9</f>
        <v>2.422685999</v>
      </c>
      <c r="N559" s="42"/>
      <c r="O559" s="66"/>
      <c r="P559" s="42"/>
      <c r="Q559" s="67"/>
      <c r="R559" s="67"/>
    </row>
    <row r="560">
      <c r="A560" s="1" t="s">
        <v>337</v>
      </c>
      <c r="B560" s="38">
        <v>700669.0</v>
      </c>
      <c r="C560" s="44" t="s">
        <v>537</v>
      </c>
      <c r="D560" s="38">
        <v>315.0</v>
      </c>
      <c r="E560" s="39">
        <f>IFERROR(__xludf.DUMMYFUNCTION("sum(filter('PLA Sheet'!H:H,'PLA Sheet'!C:C=B560,'PLA Sheet'!D:D=C560))"),18.314814815)</f>
        <v>18.31481482</v>
      </c>
      <c r="F560" s="40">
        <v>5.052593561</v>
      </c>
      <c r="G560" s="40">
        <f>IFERROR(__xludf.DUMMYFUNCTION("sum(filter('PLA Sheet'!J:J,'PLA Sheet'!C:C=B560,'PLA Sheet'!D:D=C560))/E560*9"),3.611124473168745)</f>
        <v>3.611124473</v>
      </c>
      <c r="H560" s="41">
        <v>0.482539683</v>
      </c>
      <c r="I560" s="41">
        <v>0.206349206</v>
      </c>
      <c r="J560" s="41">
        <v>0.311111111</v>
      </c>
      <c r="K560" s="41">
        <f t="shared" si="1"/>
        <v>0.171428572</v>
      </c>
      <c r="L560" s="42">
        <v>-5.252674047</v>
      </c>
      <c r="M560" s="45">
        <f>('Cy Young Rank'!O$1-G560)*E560/9</f>
        <v>0.913452461</v>
      </c>
      <c r="N560" s="42"/>
      <c r="O560" s="66"/>
      <c r="P560" s="42"/>
      <c r="Q560" s="67"/>
      <c r="R560" s="67"/>
    </row>
    <row r="561">
      <c r="A561" s="1" t="s">
        <v>166</v>
      </c>
      <c r="B561" s="38">
        <v>608331.0</v>
      </c>
      <c r="C561" s="44" t="s">
        <v>532</v>
      </c>
      <c r="D561" s="38">
        <v>331.0</v>
      </c>
      <c r="E561" s="39">
        <f>IFERROR(__xludf.DUMMYFUNCTION("sum(filter('PLA Sheet'!H:H,'PLA Sheet'!C:C=B561,'PLA Sheet'!D:D=C561))"),21.424466603)</f>
        <v>21.4244666</v>
      </c>
      <c r="F561" s="40">
        <v>5.051945402</v>
      </c>
      <c r="G561" s="40">
        <f>IFERROR(__xludf.DUMMYFUNCTION("sum(filter('PLA Sheet'!J:J,'PLA Sheet'!C:C=B561,'PLA Sheet'!D:D=C561))/E561*9"),3.019246462403982)</f>
        <v>3.019246462</v>
      </c>
      <c r="H561" s="41">
        <v>0.425981873</v>
      </c>
      <c r="I561" s="41">
        <v>0.187311178</v>
      </c>
      <c r="J561" s="41">
        <v>0.386706949</v>
      </c>
      <c r="K561" s="41">
        <f t="shared" si="1"/>
        <v>0.039274924</v>
      </c>
      <c r="L561" s="42">
        <v>6.389736239</v>
      </c>
      <c r="M561" s="45">
        <f>('Cy Young Rank'!O$1-G561)*E561/9</f>
        <v>2.477509934</v>
      </c>
      <c r="N561" s="42"/>
      <c r="O561" s="66"/>
      <c r="P561" s="42"/>
      <c r="Q561" s="67"/>
      <c r="R561" s="67"/>
    </row>
    <row r="562">
      <c r="A562" s="1" t="s">
        <v>194</v>
      </c>
      <c r="B562" s="38">
        <v>666157.0</v>
      </c>
      <c r="C562" s="44" t="s">
        <v>541</v>
      </c>
      <c r="D562" s="38">
        <v>689.0</v>
      </c>
      <c r="E562" s="39">
        <f>IFERROR(__xludf.DUMMYFUNCTION("sum(filter('PLA Sheet'!H:H,'PLA Sheet'!C:C=B562,'PLA Sheet'!D:D=C562))"),44.90647288)</f>
        <v>44.90647288</v>
      </c>
      <c r="F562" s="40">
        <v>5.051874297</v>
      </c>
      <c r="G562" s="40">
        <f>IFERROR(__xludf.DUMMYFUNCTION("sum(filter('PLA Sheet'!J:J,'PLA Sheet'!C:C=B562,'PLA Sheet'!D:D=C562))/E562*9"),3.061913220560198)</f>
        <v>3.061913221</v>
      </c>
      <c r="H562" s="41">
        <v>0.490566038</v>
      </c>
      <c r="I562" s="41">
        <v>0.155297533</v>
      </c>
      <c r="J562" s="41">
        <v>0.35413643</v>
      </c>
      <c r="K562" s="41">
        <f t="shared" si="1"/>
        <v>0.136429608</v>
      </c>
      <c r="L562" s="42">
        <v>5.798036228</v>
      </c>
      <c r="M562" s="45">
        <f>('Cy Young Rank'!O$1-G562)*E562/9</f>
        <v>4.980061877</v>
      </c>
      <c r="N562" s="42"/>
      <c r="O562" s="66"/>
      <c r="P562" s="42"/>
      <c r="Q562" s="67"/>
      <c r="R562" s="67"/>
    </row>
    <row r="563">
      <c r="A563" s="1" t="s">
        <v>346</v>
      </c>
      <c r="B563" s="38">
        <v>660853.0</v>
      </c>
      <c r="C563" s="44" t="s">
        <v>537</v>
      </c>
      <c r="D563" s="38">
        <v>525.0</v>
      </c>
      <c r="E563" s="39">
        <f>IFERROR(__xludf.DUMMYFUNCTION("sum(filter('PLA Sheet'!H:H,'PLA Sheet'!C:C=B563,'PLA Sheet'!D:D=C563))"),32.2826087)</f>
        <v>32.2826087</v>
      </c>
      <c r="F563" s="40">
        <v>5.051832363</v>
      </c>
      <c r="G563" s="40">
        <f>IFERROR(__xludf.DUMMYFUNCTION("sum(filter('PLA Sheet'!J:J,'PLA Sheet'!C:C=B563,'PLA Sheet'!D:D=C563))/E563*9"),3.6660371873850464)</f>
        <v>3.666037187</v>
      </c>
      <c r="H563" s="41">
        <v>0.44952381</v>
      </c>
      <c r="I563" s="41">
        <v>0.217142857</v>
      </c>
      <c r="J563" s="41">
        <v>0.333333333</v>
      </c>
      <c r="K563" s="41">
        <f t="shared" si="1"/>
        <v>0.116190477</v>
      </c>
      <c r="L563" s="42">
        <v>-0.337101568</v>
      </c>
      <c r="M563" s="45">
        <f>('Cy Young Rank'!O$1-G563)*E563/9</f>
        <v>1.41312748</v>
      </c>
      <c r="N563" s="42"/>
      <c r="O563" s="66"/>
      <c r="P563" s="42"/>
      <c r="Q563" s="67"/>
      <c r="R563" s="67"/>
    </row>
    <row r="564">
      <c r="A564" s="1" t="s">
        <v>244</v>
      </c>
      <c r="B564" s="38">
        <v>689266.0</v>
      </c>
      <c r="C564" s="44" t="s">
        <v>540</v>
      </c>
      <c r="D564" s="38">
        <v>282.0</v>
      </c>
      <c r="E564" s="39">
        <f>IFERROR(__xludf.DUMMYFUNCTION("sum(filter('PLA Sheet'!H:H,'PLA Sheet'!C:C=B564,'PLA Sheet'!D:D=C564))"),18.911819883)</f>
        <v>18.91181988</v>
      </c>
      <c r="F564" s="40">
        <v>5.051789902</v>
      </c>
      <c r="G564" s="40">
        <f>IFERROR(__xludf.DUMMYFUNCTION("sum(filter('PLA Sheet'!J:J,'PLA Sheet'!C:C=B564,'PLA Sheet'!D:D=C564))/E564*9"),3.0098567114192734)</f>
        <v>3.009856711</v>
      </c>
      <c r="H564" s="41">
        <v>0.436170213</v>
      </c>
      <c r="I564" s="41">
        <v>0.216312057</v>
      </c>
      <c r="J564" s="41">
        <v>0.34751773</v>
      </c>
      <c r="K564" s="41">
        <f t="shared" si="1"/>
        <v>0.088652483</v>
      </c>
      <c r="L564" s="42">
        <v>0.660237549</v>
      </c>
      <c r="M564" s="45">
        <f>('Cy Young Rank'!O$1-G564)*E564/9</f>
        <v>2.206680081</v>
      </c>
      <c r="N564" s="42"/>
      <c r="O564" s="66"/>
      <c r="P564" s="42"/>
      <c r="Q564" s="67"/>
      <c r="R564" s="67"/>
    </row>
    <row r="565">
      <c r="A565" s="1" t="s">
        <v>330</v>
      </c>
      <c r="B565" s="38">
        <v>680730.0</v>
      </c>
      <c r="C565" s="44" t="s">
        <v>533</v>
      </c>
      <c r="D565" s="38">
        <v>314.0</v>
      </c>
      <c r="E565" s="39">
        <f>IFERROR(__xludf.DUMMYFUNCTION("sum(filter('PLA Sheet'!H:H,'PLA Sheet'!C:C=B565,'PLA Sheet'!D:D=C565))"),19.608974358)</f>
        <v>19.60897436</v>
      </c>
      <c r="F565" s="40">
        <v>5.050614111</v>
      </c>
      <c r="G565" s="40">
        <f>IFERROR(__xludf.DUMMYFUNCTION("sum(filter('PLA Sheet'!J:J,'PLA Sheet'!C:C=B565,'PLA Sheet'!D:D=C565))/E565*9"),3.2771283100680364)</f>
        <v>3.27712831</v>
      </c>
      <c r="H565" s="41">
        <v>0.449044586</v>
      </c>
      <c r="I565" s="41">
        <v>0.175159236</v>
      </c>
      <c r="J565" s="41">
        <v>0.375796178</v>
      </c>
      <c r="K565" s="41">
        <f t="shared" si="1"/>
        <v>0.073248408</v>
      </c>
      <c r="L565" s="42">
        <v>-3.837525943</v>
      </c>
      <c r="M565" s="45">
        <f>('Cy Young Rank'!O$1-G565)*E565/9</f>
        <v>1.70570121</v>
      </c>
      <c r="N565" s="42"/>
      <c r="O565" s="66"/>
      <c r="P565" s="42"/>
      <c r="Q565" s="67"/>
      <c r="R565" s="67"/>
    </row>
    <row r="566">
      <c r="A566" s="1" t="s">
        <v>419</v>
      </c>
      <c r="B566" s="38">
        <v>681857.0</v>
      </c>
      <c r="C566" s="44" t="s">
        <v>532</v>
      </c>
      <c r="D566" s="38">
        <v>292.0</v>
      </c>
      <c r="E566" s="39">
        <f>IFERROR(__xludf.DUMMYFUNCTION("sum(filter('PLA Sheet'!H:H,'PLA Sheet'!C:C=B566,'PLA Sheet'!D:D=C566))"),17.773943055)</f>
        <v>17.77394306</v>
      </c>
      <c r="F566" s="40">
        <v>5.049539805</v>
      </c>
      <c r="G566" s="40">
        <f>IFERROR(__xludf.DUMMYFUNCTION("sum(filter('PLA Sheet'!J:J,'PLA Sheet'!C:C=B566,'PLA Sheet'!D:D=C566))/E566*9"),3.2755659124058107)</f>
        <v>3.275565912</v>
      </c>
      <c r="H566" s="41">
        <v>0.434931507</v>
      </c>
      <c r="I566" s="41">
        <v>0.202054795</v>
      </c>
      <c r="J566" s="41">
        <v>0.363013699</v>
      </c>
      <c r="K566" s="41">
        <f t="shared" si="1"/>
        <v>0.071917808</v>
      </c>
      <c r="L566" s="42">
        <v>4.722011795</v>
      </c>
      <c r="M566" s="45">
        <f>('Cy Young Rank'!O$1-G566)*E566/9</f>
        <v>1.5491652</v>
      </c>
      <c r="N566" s="42"/>
      <c r="O566" s="66"/>
      <c r="P566" s="42"/>
      <c r="Q566" s="67"/>
      <c r="R566" s="67"/>
    </row>
    <row r="567">
      <c r="A567" s="1" t="s">
        <v>334</v>
      </c>
      <c r="B567" s="38">
        <v>682254.0</v>
      </c>
      <c r="C567" s="44" t="s">
        <v>533</v>
      </c>
      <c r="D567" s="38">
        <v>284.0</v>
      </c>
      <c r="E567" s="39">
        <f>IFERROR(__xludf.DUMMYFUNCTION("sum(filter('PLA Sheet'!H:H,'PLA Sheet'!C:C=B567,'PLA Sheet'!D:D=C567))"),15.547785548)</f>
        <v>15.54778555</v>
      </c>
      <c r="F567" s="40">
        <v>5.04861073</v>
      </c>
      <c r="G567" s="40">
        <f>IFERROR(__xludf.DUMMYFUNCTION("sum(filter('PLA Sheet'!J:J,'PLA Sheet'!C:C=B567,'PLA Sheet'!D:D=C567))/E567*9"),3.5686765699657697)</f>
        <v>3.56867657</v>
      </c>
      <c r="H567" s="41">
        <v>0.433098592</v>
      </c>
      <c r="I567" s="41">
        <v>0.186619718</v>
      </c>
      <c r="J567" s="41">
        <v>0.38028169</v>
      </c>
      <c r="K567" s="41">
        <f t="shared" si="1"/>
        <v>0.052816902</v>
      </c>
      <c r="L567" s="42">
        <v>-2.764452668</v>
      </c>
      <c r="M567" s="45">
        <f>('Cy Young Rank'!O$1-G567)*E567/9</f>
        <v>0.8487768139</v>
      </c>
      <c r="N567" s="42"/>
      <c r="O567" s="66"/>
      <c r="P567" s="42"/>
      <c r="Q567" s="67"/>
      <c r="R567" s="67"/>
    </row>
    <row r="568">
      <c r="A568" s="1" t="s">
        <v>130</v>
      </c>
      <c r="B568" s="38">
        <v>666200.0</v>
      </c>
      <c r="C568" s="44" t="s">
        <v>537</v>
      </c>
      <c r="D568" s="38">
        <v>1002.0</v>
      </c>
      <c r="E568" s="39">
        <f>IFERROR(__xludf.DUMMYFUNCTION("sum(filter('PLA Sheet'!H:H,'PLA Sheet'!C:C=B568,'PLA Sheet'!D:D=C568))"),62.66489656)</f>
        <v>62.66489656</v>
      </c>
      <c r="F568" s="40">
        <v>5.048536409</v>
      </c>
      <c r="G568" s="40">
        <f>IFERROR(__xludf.DUMMYFUNCTION("sum(filter('PLA Sheet'!J:J,'PLA Sheet'!C:C=B568,'PLA Sheet'!D:D=C568))/E568*9"),3.457486725323974)</f>
        <v>3.457486725</v>
      </c>
      <c r="H568" s="41">
        <v>0.479041916</v>
      </c>
      <c r="I568" s="41">
        <v>0.167664671</v>
      </c>
      <c r="J568" s="41">
        <v>0.353293413</v>
      </c>
      <c r="K568" s="41">
        <f t="shared" si="1"/>
        <v>0.125748503</v>
      </c>
      <c r="L568" s="42">
        <v>-9.850698998</v>
      </c>
      <c r="M568" s="45">
        <f>('Cy Young Rank'!O$1-G568)*E568/9</f>
        <v>4.195159115</v>
      </c>
      <c r="N568" s="42"/>
      <c r="O568" s="66"/>
      <c r="P568" s="42"/>
      <c r="Q568" s="67"/>
      <c r="R568" s="67"/>
    </row>
    <row r="569">
      <c r="A569" s="1" t="s">
        <v>481</v>
      </c>
      <c r="B569" s="38">
        <v>622608.0</v>
      </c>
      <c r="C569" s="44" t="s">
        <v>533</v>
      </c>
      <c r="D569" s="38">
        <v>436.0</v>
      </c>
      <c r="E569" s="39">
        <f>IFERROR(__xludf.DUMMYFUNCTION("sum(filter('PLA Sheet'!H:H,'PLA Sheet'!C:C=B569,'PLA Sheet'!D:D=C569))"),25.567236098000002)</f>
        <v>25.5672361</v>
      </c>
      <c r="F569" s="40">
        <v>5.048473288</v>
      </c>
      <c r="G569" s="40">
        <f>IFERROR(__xludf.DUMMYFUNCTION("sum(filter('PLA Sheet'!J:J,'PLA Sheet'!C:C=B569,'PLA Sheet'!D:D=C569))/E569*9"),3.49837333441751)</f>
        <v>3.498373334</v>
      </c>
      <c r="H569" s="41">
        <v>0.447247706</v>
      </c>
      <c r="I569" s="41">
        <v>0.201834862</v>
      </c>
      <c r="J569" s="41">
        <v>0.350917431</v>
      </c>
      <c r="K569" s="41">
        <f t="shared" si="1"/>
        <v>0.096330275</v>
      </c>
      <c r="L569" s="42">
        <v>-10.1840578</v>
      </c>
      <c r="M569" s="45">
        <f>('Cy Young Rank'!O$1-G569)*E569/9</f>
        <v>1.595471284</v>
      </c>
      <c r="N569" s="42"/>
      <c r="O569" s="66"/>
      <c r="P569" s="42"/>
      <c r="Q569" s="67"/>
      <c r="R569" s="67"/>
    </row>
    <row r="570">
      <c r="A570" s="1" t="s">
        <v>302</v>
      </c>
      <c r="B570" s="38">
        <v>681190.0</v>
      </c>
      <c r="C570" s="44" t="s">
        <v>541</v>
      </c>
      <c r="D570" s="38">
        <v>272.0</v>
      </c>
      <c r="E570" s="39">
        <f>IFERROR(__xludf.DUMMYFUNCTION("sum(filter('PLA Sheet'!H:H,'PLA Sheet'!C:C=B570,'PLA Sheet'!D:D=C570))"),17.237274986)</f>
        <v>17.23727499</v>
      </c>
      <c r="F570" s="40">
        <v>5.046519916</v>
      </c>
      <c r="G570" s="40">
        <f>IFERROR(__xludf.DUMMYFUNCTION("sum(filter('PLA Sheet'!J:J,'PLA Sheet'!C:C=B570,'PLA Sheet'!D:D=C570))/E570*9"),3.215869506347272)</f>
        <v>3.215869506</v>
      </c>
      <c r="H570" s="41">
        <v>0.433823529</v>
      </c>
      <c r="I570" s="41">
        <v>0.216911765</v>
      </c>
      <c r="J570" s="41">
        <v>0.349264706</v>
      </c>
      <c r="K570" s="41">
        <f t="shared" si="1"/>
        <v>0.084558823</v>
      </c>
      <c r="L570" s="42">
        <v>-1.716068069</v>
      </c>
      <c r="M570" s="45">
        <f>('Cy Young Rank'!O$1-G570)*E570/9</f>
        <v>1.616723271</v>
      </c>
      <c r="N570" s="42"/>
      <c r="O570" s="66"/>
      <c r="P570" s="42"/>
      <c r="Q570" s="67"/>
      <c r="R570" s="67"/>
    </row>
    <row r="571">
      <c r="A571" s="1" t="s">
        <v>345</v>
      </c>
      <c r="B571" s="38">
        <v>663574.0</v>
      </c>
      <c r="C571" s="44" t="s">
        <v>533</v>
      </c>
      <c r="D571" s="38">
        <v>294.0</v>
      </c>
      <c r="E571" s="39">
        <f>IFERROR(__xludf.DUMMYFUNCTION("sum(filter('PLA Sheet'!H:H,'PLA Sheet'!C:C=B571,'PLA Sheet'!D:D=C571))"),18.161920260000002)</f>
        <v>18.16192026</v>
      </c>
      <c r="F571" s="40">
        <v>5.044617071</v>
      </c>
      <c r="G571" s="40">
        <f>IFERROR(__xludf.DUMMYFUNCTION("sum(filter('PLA Sheet'!J:J,'PLA Sheet'!C:C=B571,'PLA Sheet'!D:D=C571))/E571*9"),3.230771369987283)</f>
        <v>3.23077137</v>
      </c>
      <c r="H571" s="41">
        <v>0.517006803</v>
      </c>
      <c r="I571" s="41">
        <v>0.108843537</v>
      </c>
      <c r="J571" s="41">
        <v>0.37414966</v>
      </c>
      <c r="K571" s="41">
        <f t="shared" si="1"/>
        <v>0.142857143</v>
      </c>
      <c r="L571" s="42">
        <v>-2.752175107</v>
      </c>
      <c r="M571" s="45">
        <f>('Cy Young Rank'!O$1-G571)*E571/9</f>
        <v>1.673376028</v>
      </c>
      <c r="N571" s="42"/>
      <c r="O571" s="66"/>
      <c r="P571" s="42"/>
      <c r="Q571" s="67"/>
      <c r="R571" s="67"/>
    </row>
    <row r="572">
      <c r="A572" s="1" t="s">
        <v>187</v>
      </c>
      <c r="B572" s="38">
        <v>641302.0</v>
      </c>
      <c r="C572" s="44" t="s">
        <v>537</v>
      </c>
      <c r="D572" s="38">
        <v>401.0</v>
      </c>
      <c r="E572" s="39">
        <f>IFERROR(__xludf.DUMMYFUNCTION("sum(filter('PLA Sheet'!H:H,'PLA Sheet'!C:C=B572,'PLA Sheet'!D:D=C572))"),25.435313952)</f>
        <v>25.43531395</v>
      </c>
      <c r="F572" s="40">
        <v>5.044404468</v>
      </c>
      <c r="G572" s="40">
        <f>IFERROR(__xludf.DUMMYFUNCTION("sum(filter('PLA Sheet'!J:J,'PLA Sheet'!C:C=B572,'PLA Sheet'!D:D=C572))/E572*9"),3.5212009637080808)</f>
        <v>3.521200964</v>
      </c>
      <c r="H572" s="41">
        <v>0.456359102</v>
      </c>
      <c r="I572" s="41">
        <v>0.199501247</v>
      </c>
      <c r="J572" s="41">
        <v>0.344139651</v>
      </c>
      <c r="K572" s="41">
        <f t="shared" si="1"/>
        <v>0.112219451</v>
      </c>
      <c r="L572" s="42">
        <v>1.562029206</v>
      </c>
      <c r="M572" s="45">
        <f>('Cy Young Rank'!O$1-G572)*E572/9</f>
        <v>1.522724738</v>
      </c>
      <c r="N572" s="42"/>
      <c r="O572" s="66"/>
      <c r="P572" s="42"/>
      <c r="Q572" s="67"/>
      <c r="R572" s="67"/>
    </row>
    <row r="573">
      <c r="A573" s="1" t="s">
        <v>306</v>
      </c>
      <c r="B573" s="38">
        <v>677944.0</v>
      </c>
      <c r="C573" s="44" t="s">
        <v>533</v>
      </c>
      <c r="D573" s="38">
        <v>352.0</v>
      </c>
      <c r="E573" s="39">
        <f>IFERROR(__xludf.DUMMYFUNCTION("sum(filter('PLA Sheet'!H:H,'PLA Sheet'!C:C=B573,'PLA Sheet'!D:D=C573))"),23.546291808)</f>
        <v>23.54629181</v>
      </c>
      <c r="F573" s="40">
        <v>5.044395676</v>
      </c>
      <c r="G573" s="40">
        <f>IFERROR(__xludf.DUMMYFUNCTION("sum(filter('PLA Sheet'!J:J,'PLA Sheet'!C:C=B573,'PLA Sheet'!D:D=C573))/E573*9"),3.1403200810956324)</f>
        <v>3.140320081</v>
      </c>
      <c r="H573" s="41">
        <v>0.417613636</v>
      </c>
      <c r="I573" s="41">
        <v>0.213068182</v>
      </c>
      <c r="J573" s="41">
        <v>0.369318182</v>
      </c>
      <c r="K573" s="41">
        <f t="shared" si="1"/>
        <v>0.048295454</v>
      </c>
      <c r="L573" s="42">
        <v>-3.618711252</v>
      </c>
      <c r="M573" s="45">
        <f>('Cy Young Rank'!O$1-G573)*E573/9</f>
        <v>2.40611686</v>
      </c>
      <c r="N573" s="42"/>
      <c r="O573" s="66"/>
      <c r="P573" s="42"/>
      <c r="Q573" s="67"/>
      <c r="R573" s="67"/>
    </row>
    <row r="574">
      <c r="A574" s="1" t="s">
        <v>232</v>
      </c>
      <c r="B574" s="38">
        <v>579328.0</v>
      </c>
      <c r="C574" s="44" t="s">
        <v>537</v>
      </c>
      <c r="D574" s="38">
        <v>1052.0</v>
      </c>
      <c r="E574" s="39">
        <f>IFERROR(__xludf.DUMMYFUNCTION("sum(filter('PLA Sheet'!H:H,'PLA Sheet'!C:C=B574,'PLA Sheet'!D:D=C574))"),62.3272982)</f>
        <v>62.3272982</v>
      </c>
      <c r="F574" s="40">
        <v>5.044369788</v>
      </c>
      <c r="G574" s="40">
        <f>IFERROR(__xludf.DUMMYFUNCTION("sum(filter('PLA Sheet'!J:J,'PLA Sheet'!C:C=B574,'PLA Sheet'!D:D=C574))/E574*9"),3.619541477252739)</f>
        <v>3.619541477</v>
      </c>
      <c r="H574" s="41">
        <v>0.494296578</v>
      </c>
      <c r="I574" s="41">
        <v>0.151140684</v>
      </c>
      <c r="J574" s="41">
        <v>0.354562738</v>
      </c>
      <c r="K574" s="41">
        <f t="shared" si="1"/>
        <v>0.13973384</v>
      </c>
      <c r="L574" s="42">
        <v>-15.59954339</v>
      </c>
      <c r="M574" s="45">
        <f>('Cy Young Rank'!O$1-G574)*E574/9</f>
        <v>3.050287744</v>
      </c>
      <c r="N574" s="42"/>
      <c r="O574" s="66"/>
      <c r="P574" s="42"/>
      <c r="Q574" s="67"/>
      <c r="R574" s="67"/>
    </row>
    <row r="575">
      <c r="A575" s="1" t="s">
        <v>331</v>
      </c>
      <c r="B575" s="38">
        <v>672456.0</v>
      </c>
      <c r="C575" s="44" t="s">
        <v>537</v>
      </c>
      <c r="D575" s="38">
        <v>444.0</v>
      </c>
      <c r="E575" s="39">
        <f>IFERROR(__xludf.DUMMYFUNCTION("sum(filter('PLA Sheet'!H:H,'PLA Sheet'!C:C=B575,'PLA Sheet'!D:D=C575))"),27.883231504)</f>
        <v>27.8832315</v>
      </c>
      <c r="F575" s="40">
        <v>5.044278265</v>
      </c>
      <c r="G575" s="40">
        <f>IFERROR(__xludf.DUMMYFUNCTION("sum(filter('PLA Sheet'!J:J,'PLA Sheet'!C:C=B575,'PLA Sheet'!D:D=C575))/E575*9"),3.3886414846301234)</f>
        <v>3.388641485</v>
      </c>
      <c r="H575" s="41">
        <v>0.497747748</v>
      </c>
      <c r="I575" s="41">
        <v>0.175675676</v>
      </c>
      <c r="J575" s="41">
        <v>0.326576577</v>
      </c>
      <c r="K575" s="41">
        <f t="shared" si="1"/>
        <v>0.171171171</v>
      </c>
      <c r="L575" s="42">
        <v>-6.243281158</v>
      </c>
      <c r="M575" s="45">
        <f>('Cy Young Rank'!O$1-G575)*E575/9</f>
        <v>2.079960545</v>
      </c>
      <c r="N575" s="42"/>
      <c r="O575" s="66"/>
      <c r="P575" s="42"/>
      <c r="Q575" s="67"/>
      <c r="R575" s="67"/>
    </row>
    <row r="576">
      <c r="A576" s="1" t="s">
        <v>375</v>
      </c>
      <c r="B576" s="38">
        <v>663671.0</v>
      </c>
      <c r="C576" s="44" t="s">
        <v>537</v>
      </c>
      <c r="D576" s="38">
        <v>341.0</v>
      </c>
      <c r="E576" s="39">
        <f>IFERROR(__xludf.DUMMYFUNCTION("sum(filter('PLA Sheet'!H:H,'PLA Sheet'!C:C=B576,'PLA Sheet'!D:D=C576))"),20.56954887)</f>
        <v>20.56954887</v>
      </c>
      <c r="F576" s="40">
        <v>5.044194737</v>
      </c>
      <c r="G576" s="40">
        <f>IFERROR(__xludf.DUMMYFUNCTION("sum(filter('PLA Sheet'!J:J,'PLA Sheet'!C:C=B576,'PLA Sheet'!D:D=C576))/E576*9"),3.4929612921549706)</f>
        <v>3.492961292</v>
      </c>
      <c r="H576" s="41">
        <v>0.516129032</v>
      </c>
      <c r="I576" s="41">
        <v>0.146627566</v>
      </c>
      <c r="J576" s="41">
        <v>0.337243402</v>
      </c>
      <c r="K576" s="41">
        <f t="shared" si="1"/>
        <v>0.17888563</v>
      </c>
      <c r="L576" s="42">
        <v>-0.715169178</v>
      </c>
      <c r="M576" s="45">
        <f>('Cy Young Rank'!O$1-G576)*E576/9</f>
        <v>1.295970046</v>
      </c>
      <c r="N576" s="42"/>
      <c r="O576" s="66"/>
      <c r="P576" s="42"/>
      <c r="Q576" s="67"/>
      <c r="R576" s="67"/>
    </row>
    <row r="577">
      <c r="A577" s="1" t="s">
        <v>229</v>
      </c>
      <c r="B577" s="38">
        <v>645261.0</v>
      </c>
      <c r="C577" s="44" t="s">
        <v>541</v>
      </c>
      <c r="D577" s="38">
        <v>506.0</v>
      </c>
      <c r="E577" s="39">
        <f>IFERROR(__xludf.DUMMYFUNCTION("sum(filter('PLA Sheet'!H:H,'PLA Sheet'!C:C=B577,'PLA Sheet'!D:D=C577))"),31.43879081)</f>
        <v>31.43879081</v>
      </c>
      <c r="F577" s="40">
        <v>5.044022603</v>
      </c>
      <c r="G577" s="40">
        <f>IFERROR(__xludf.DUMMYFUNCTION("sum(filter('PLA Sheet'!J:J,'PLA Sheet'!C:C=B577,'PLA Sheet'!D:D=C577))/E577*9"),3.427777539259628)</f>
        <v>3.427777539</v>
      </c>
      <c r="H577" s="41">
        <v>0.422924901</v>
      </c>
      <c r="I577" s="41">
        <v>0.235177866</v>
      </c>
      <c r="J577" s="41">
        <v>0.341897233</v>
      </c>
      <c r="K577" s="41">
        <f t="shared" si="1"/>
        <v>0.081027668</v>
      </c>
      <c r="L577" s="42">
        <v>-0.321639947</v>
      </c>
      <c r="M577" s="45">
        <f>('Cy Young Rank'!O$1-G577)*E577/9</f>
        <v>2.208478854</v>
      </c>
      <c r="N577" s="42"/>
      <c r="O577" s="66"/>
      <c r="P577" s="42"/>
      <c r="Q577" s="67"/>
      <c r="R577" s="67"/>
    </row>
    <row r="578">
      <c r="A578" s="1" t="s">
        <v>319</v>
      </c>
      <c r="B578" s="38">
        <v>607481.0</v>
      </c>
      <c r="C578" s="44" t="s">
        <v>541</v>
      </c>
      <c r="D578" s="38">
        <v>315.0</v>
      </c>
      <c r="E578" s="39">
        <f>IFERROR(__xludf.DUMMYFUNCTION("sum(filter('PLA Sheet'!H:H,'PLA Sheet'!C:C=B578,'PLA Sheet'!D:D=C578))"),18.888412014)</f>
        <v>18.88841201</v>
      </c>
      <c r="F578" s="40">
        <v>5.043410182</v>
      </c>
      <c r="G578" s="40">
        <f>IFERROR(__xludf.DUMMYFUNCTION("sum(filter('PLA Sheet'!J:J,'PLA Sheet'!C:C=B578,'PLA Sheet'!D:D=C578))/E578*9"),3.317741319574754)</f>
        <v>3.31774132</v>
      </c>
      <c r="H578" s="41">
        <v>0.463492063</v>
      </c>
      <c r="I578" s="41">
        <v>0.196825397</v>
      </c>
      <c r="J578" s="41">
        <v>0.33968254</v>
      </c>
      <c r="K578" s="41">
        <f t="shared" si="1"/>
        <v>0.123809523</v>
      </c>
      <c r="L578" s="42">
        <v>-1.680669456</v>
      </c>
      <c r="M578" s="45">
        <f>('Cy Young Rank'!O$1-G578)*E578/9</f>
        <v>1.557787531</v>
      </c>
      <c r="N578" s="42"/>
      <c r="O578" s="66"/>
      <c r="P578" s="42"/>
      <c r="Q578" s="67"/>
      <c r="R578" s="67"/>
    </row>
    <row r="579">
      <c r="A579" s="1" t="s">
        <v>158</v>
      </c>
      <c r="B579" s="38">
        <v>608372.0</v>
      </c>
      <c r="C579" s="44" t="s">
        <v>538</v>
      </c>
      <c r="D579" s="38">
        <v>588.0</v>
      </c>
      <c r="E579" s="39">
        <f>IFERROR(__xludf.DUMMYFUNCTION("sum(filter('PLA Sheet'!H:H,'PLA Sheet'!C:C=B579,'PLA Sheet'!D:D=C579))"),36.847563352)</f>
        <v>36.84756335</v>
      </c>
      <c r="F579" s="40">
        <v>5.043240998</v>
      </c>
      <c r="G579" s="40">
        <f>IFERROR(__xludf.DUMMYFUNCTION("sum(filter('PLA Sheet'!J:J,'PLA Sheet'!C:C=B579,'PLA Sheet'!D:D=C579))/E579*9"),3.3377709354918434)</f>
        <v>3.337770935</v>
      </c>
      <c r="H579" s="41">
        <v>0.469387755</v>
      </c>
      <c r="I579" s="41">
        <v>0.163265306</v>
      </c>
      <c r="J579" s="41">
        <v>0.367346939</v>
      </c>
      <c r="K579" s="41">
        <f t="shared" si="1"/>
        <v>0.102040816</v>
      </c>
      <c r="L579" s="42">
        <v>-1.617370502</v>
      </c>
      <c r="M579" s="45">
        <f>('Cy Young Rank'!O$1-G579)*E579/9</f>
        <v>2.956931245</v>
      </c>
      <c r="N579" s="42"/>
      <c r="O579" s="66"/>
      <c r="P579" s="42"/>
      <c r="Q579" s="67"/>
      <c r="R579" s="67"/>
    </row>
    <row r="580">
      <c r="A580" s="1" t="s">
        <v>207</v>
      </c>
      <c r="B580" s="38">
        <v>650633.0</v>
      </c>
      <c r="C580" s="44" t="s">
        <v>532</v>
      </c>
      <c r="D580" s="38">
        <v>253.0</v>
      </c>
      <c r="E580" s="39">
        <f>IFERROR(__xludf.DUMMYFUNCTION("sum(filter('PLA Sheet'!H:H,'PLA Sheet'!C:C=B580,'PLA Sheet'!D:D=C580))"),15.701394588)</f>
        <v>15.70139459</v>
      </c>
      <c r="F580" s="40">
        <v>5.039971326</v>
      </c>
      <c r="G580" s="40">
        <f>IFERROR(__xludf.DUMMYFUNCTION("sum(filter('PLA Sheet'!J:J,'PLA Sheet'!C:C=B580,'PLA Sheet'!D:D=C580))/E580*9"),3.231476523669924)</f>
        <v>3.231476524</v>
      </c>
      <c r="H580" s="41">
        <v>0.486166008</v>
      </c>
      <c r="I580" s="41">
        <v>0.18972332</v>
      </c>
      <c r="J580" s="41">
        <v>0.324110672</v>
      </c>
      <c r="K580" s="41">
        <f t="shared" si="1"/>
        <v>0.162055336</v>
      </c>
      <c r="L580" s="42">
        <v>1.87373292</v>
      </c>
      <c r="M580" s="45">
        <f>('Cy Young Rank'!O$1-G580)*E580/9</f>
        <v>1.445441559</v>
      </c>
      <c r="N580" s="42"/>
      <c r="O580" s="66"/>
      <c r="P580" s="42"/>
      <c r="Q580" s="67"/>
      <c r="R580" s="67"/>
    </row>
    <row r="581">
      <c r="A581" s="1" t="s">
        <v>250</v>
      </c>
      <c r="B581" s="38">
        <v>676477.0</v>
      </c>
      <c r="C581" s="44" t="s">
        <v>536</v>
      </c>
      <c r="D581" s="38">
        <v>538.0</v>
      </c>
      <c r="E581" s="39">
        <f>IFERROR(__xludf.DUMMYFUNCTION("sum(filter('PLA Sheet'!H:H,'PLA Sheet'!C:C=B581,'PLA Sheet'!D:D=C581))"),33.92542373)</f>
        <v>33.92542373</v>
      </c>
      <c r="F581" s="40">
        <v>5.039733848</v>
      </c>
      <c r="G581" s="40">
        <f>IFERROR(__xludf.DUMMYFUNCTION("sum(filter('PLA Sheet'!J:J,'PLA Sheet'!C:C=B581,'PLA Sheet'!D:D=C581))/E581*9"),3.4592246491596)</f>
        <v>3.459224649</v>
      </c>
      <c r="H581" s="41">
        <v>0.475836431</v>
      </c>
      <c r="I581" s="41">
        <v>0.187732342</v>
      </c>
      <c r="J581" s="41">
        <v>0.336431227</v>
      </c>
      <c r="K581" s="41">
        <f t="shared" si="1"/>
        <v>0.139405204</v>
      </c>
      <c r="L581" s="42">
        <v>10.65323969</v>
      </c>
      <c r="M581" s="45">
        <f>('Cy Young Rank'!O$1-G581)*E581/9</f>
        <v>2.264617594</v>
      </c>
      <c r="N581" s="42"/>
      <c r="O581" s="66"/>
      <c r="P581" s="42"/>
      <c r="Q581" s="67"/>
      <c r="R581" s="67"/>
    </row>
    <row r="582">
      <c r="A582" s="1" t="s">
        <v>268</v>
      </c>
      <c r="B582" s="38">
        <v>676395.0</v>
      </c>
      <c r="C582" s="44" t="s">
        <v>532</v>
      </c>
      <c r="D582" s="38">
        <v>269.0</v>
      </c>
      <c r="E582" s="39">
        <f>IFERROR(__xludf.DUMMYFUNCTION("sum(filter('PLA Sheet'!H:H,'PLA Sheet'!C:C=B582,'PLA Sheet'!D:D=C582))"),18.12564367)</f>
        <v>18.12564367</v>
      </c>
      <c r="F582" s="40">
        <v>5.039427</v>
      </c>
      <c r="G582" s="40">
        <f>IFERROR(__xludf.DUMMYFUNCTION("sum(filter('PLA Sheet'!J:J,'PLA Sheet'!C:C=B582,'PLA Sheet'!D:D=C582))/E582*9"),3.069495793525108)</f>
        <v>3.069495794</v>
      </c>
      <c r="H582" s="41">
        <v>0.431226766</v>
      </c>
      <c r="I582" s="41">
        <v>0.200743494</v>
      </c>
      <c r="J582" s="41">
        <v>0.36802974</v>
      </c>
      <c r="K582" s="41">
        <f t="shared" si="1"/>
        <v>0.063197026</v>
      </c>
      <c r="L582" s="42">
        <v>2.44808468</v>
      </c>
      <c r="M582" s="45">
        <f>('Cy Young Rank'!O$1-G582)*E582/9</f>
        <v>1.994836256</v>
      </c>
      <c r="N582" s="42"/>
      <c r="O582" s="66"/>
      <c r="P582" s="42"/>
      <c r="Q582" s="67"/>
      <c r="R582" s="67"/>
    </row>
    <row r="583">
      <c r="A583" s="1" t="s">
        <v>246</v>
      </c>
      <c r="B583" s="38">
        <v>571510.0</v>
      </c>
      <c r="C583" s="44" t="s">
        <v>533</v>
      </c>
      <c r="D583" s="38">
        <v>400.0</v>
      </c>
      <c r="E583" s="39">
        <f>IFERROR(__xludf.DUMMYFUNCTION("sum(filter('PLA Sheet'!H:H,'PLA Sheet'!C:C=B583,'PLA Sheet'!D:D=C583))"),26.69482884)</f>
        <v>26.69482884</v>
      </c>
      <c r="F583" s="40">
        <v>5.03773639</v>
      </c>
      <c r="G583" s="40">
        <f>IFERROR(__xludf.DUMMYFUNCTION("sum(filter('PLA Sheet'!J:J,'PLA Sheet'!C:C=B583,'PLA Sheet'!D:D=C583))/E583*9"),3.01699128631686)</f>
        <v>3.016991286</v>
      </c>
      <c r="H583" s="41">
        <v>0.4575</v>
      </c>
      <c r="I583" s="41">
        <v>0.1925</v>
      </c>
      <c r="J583" s="41">
        <v>0.35</v>
      </c>
      <c r="K583" s="41">
        <f t="shared" si="1"/>
        <v>0.1075</v>
      </c>
      <c r="L583" s="42">
        <v>0.009707957</v>
      </c>
      <c r="M583" s="45">
        <f>('Cy Young Rank'!O$1-G583)*E583/9</f>
        <v>3.093659899</v>
      </c>
      <c r="N583" s="42"/>
      <c r="O583" s="66"/>
      <c r="P583" s="42"/>
      <c r="Q583" s="67"/>
      <c r="R583" s="67"/>
    </row>
    <row r="584">
      <c r="A584" s="1" t="s">
        <v>509</v>
      </c>
      <c r="B584" s="38">
        <v>676106.0</v>
      </c>
      <c r="C584" s="44" t="s">
        <v>536</v>
      </c>
      <c r="D584" s="38">
        <v>540.0</v>
      </c>
      <c r="E584" s="39">
        <f>IFERROR(__xludf.DUMMYFUNCTION("sum(filter('PLA Sheet'!H:H,'PLA Sheet'!C:C=B584,'PLA Sheet'!D:D=C584))"),35.22839073)</f>
        <v>35.22839073</v>
      </c>
      <c r="F584" s="40">
        <v>5.03708139</v>
      </c>
      <c r="G584" s="40">
        <f>IFERROR(__xludf.DUMMYFUNCTION("sum(filter('PLA Sheet'!J:J,'PLA Sheet'!C:C=B584,'PLA Sheet'!D:D=C584))/E584*9"),3.246372162626459)</f>
        <v>3.246372163</v>
      </c>
      <c r="H584" s="41">
        <v>0.533333333</v>
      </c>
      <c r="I584" s="41">
        <v>0.137037037</v>
      </c>
      <c r="J584" s="41">
        <v>0.32962963</v>
      </c>
      <c r="K584" s="41">
        <f t="shared" si="1"/>
        <v>0.203703703</v>
      </c>
      <c r="L584" s="42">
        <v>-6.410181107</v>
      </c>
      <c r="M584" s="45">
        <f>('Cy Young Rank'!O$1-G584)*E584/9</f>
        <v>3.184755485</v>
      </c>
      <c r="N584" s="42"/>
      <c r="O584" s="66"/>
      <c r="P584" s="42"/>
      <c r="Q584" s="67"/>
      <c r="R584" s="67"/>
    </row>
    <row r="585">
      <c r="A585" s="1" t="s">
        <v>226</v>
      </c>
      <c r="B585" s="38">
        <v>607259.0</v>
      </c>
      <c r="C585" s="44" t="s">
        <v>532</v>
      </c>
      <c r="D585" s="38">
        <v>496.0</v>
      </c>
      <c r="E585" s="39">
        <f>IFERROR(__xludf.DUMMYFUNCTION("sum(filter('PLA Sheet'!H:H,'PLA Sheet'!C:C=B585,'PLA Sheet'!D:D=C585))"),32.7734678)</f>
        <v>32.7734678</v>
      </c>
      <c r="F585" s="40">
        <v>5.036662152</v>
      </c>
      <c r="G585" s="40">
        <f>IFERROR(__xludf.DUMMYFUNCTION("sum(filter('PLA Sheet'!J:J,'PLA Sheet'!C:C=B585,'PLA Sheet'!D:D=C585))/E585*9"),3.185326210734404)</f>
        <v>3.185326211</v>
      </c>
      <c r="H585" s="41">
        <v>0.427419355</v>
      </c>
      <c r="I585" s="41">
        <v>0.25</v>
      </c>
      <c r="J585" s="41">
        <v>0.322580645</v>
      </c>
      <c r="K585" s="41">
        <f t="shared" si="1"/>
        <v>0.10483871</v>
      </c>
      <c r="L585" s="42">
        <v>9.845357638</v>
      </c>
      <c r="M585" s="45">
        <f>('Cy Young Rank'!O$1-G585)*E585/9</f>
        <v>3.185121474</v>
      </c>
      <c r="N585" s="42"/>
      <c r="O585" s="66"/>
      <c r="P585" s="42"/>
      <c r="Q585" s="67"/>
      <c r="R585" s="67"/>
    </row>
    <row r="586">
      <c r="A586" s="1" t="s">
        <v>473</v>
      </c>
      <c r="B586" s="38">
        <v>527048.0</v>
      </c>
      <c r="C586" s="44" t="s">
        <v>532</v>
      </c>
      <c r="D586" s="38">
        <v>257.0</v>
      </c>
      <c r="E586" s="39">
        <f>IFERROR(__xludf.DUMMYFUNCTION("sum(filter('PLA Sheet'!H:H,'PLA Sheet'!C:C=B586,'PLA Sheet'!D:D=C586))"),16.177777777000003)</f>
        <v>16.17777778</v>
      </c>
      <c r="F586" s="40">
        <v>5.036601224</v>
      </c>
      <c r="G586" s="40">
        <f>IFERROR(__xludf.DUMMYFUNCTION("sum(filter('PLA Sheet'!J:J,'PLA Sheet'!C:C=B586,'PLA Sheet'!D:D=C586))/E586*9"),3.0535892927292236)</f>
        <v>3.053589293</v>
      </c>
      <c r="H586" s="41">
        <v>0.431906615</v>
      </c>
      <c r="I586" s="41">
        <v>0.225680934</v>
      </c>
      <c r="J586" s="41">
        <v>0.342412451</v>
      </c>
      <c r="K586" s="41">
        <f t="shared" si="1"/>
        <v>0.089494164</v>
      </c>
      <c r="L586" s="42">
        <v>4.757948545</v>
      </c>
      <c r="M586" s="45">
        <f>('Cy Young Rank'!O$1-G586)*E586/9</f>
        <v>1.809054308</v>
      </c>
      <c r="N586" s="42"/>
      <c r="O586" s="66"/>
      <c r="P586" s="42"/>
      <c r="Q586" s="67"/>
      <c r="R586" s="67"/>
    </row>
    <row r="587">
      <c r="A587" s="1" t="s">
        <v>475</v>
      </c>
      <c r="B587" s="38">
        <v>605130.0</v>
      </c>
      <c r="C587" s="44" t="s">
        <v>539</v>
      </c>
      <c r="D587" s="38">
        <v>346.0</v>
      </c>
      <c r="E587" s="39">
        <f>IFERROR(__xludf.DUMMYFUNCTION("sum(filter('PLA Sheet'!H:H,'PLA Sheet'!C:C=B587,'PLA Sheet'!D:D=C587))"),19.255625324)</f>
        <v>19.25562532</v>
      </c>
      <c r="F587" s="40">
        <v>5.036418843</v>
      </c>
      <c r="G587" s="40">
        <f>IFERROR(__xludf.DUMMYFUNCTION("sum(filter('PLA Sheet'!J:J,'PLA Sheet'!C:C=B587,'PLA Sheet'!D:D=C587))/E587*9"),3.6414168234051587)</f>
        <v>3.641416823</v>
      </c>
      <c r="H587" s="41">
        <v>0.488439306</v>
      </c>
      <c r="I587" s="41">
        <v>0.196531792</v>
      </c>
      <c r="J587" s="41">
        <v>0.315028902</v>
      </c>
      <c r="K587" s="41">
        <f t="shared" si="1"/>
        <v>0.173410404</v>
      </c>
      <c r="L587" s="42">
        <v>2.45985271</v>
      </c>
      <c r="M587" s="45">
        <f>('Cy Young Rank'!O$1-G587)*E587/9</f>
        <v>0.895564535</v>
      </c>
      <c r="N587" s="42"/>
      <c r="O587" s="66"/>
      <c r="P587" s="42"/>
      <c r="Q587" s="67"/>
      <c r="R587" s="67"/>
    </row>
    <row r="588">
      <c r="A588" s="1" t="s">
        <v>395</v>
      </c>
      <c r="B588" s="38">
        <v>663893.0</v>
      </c>
      <c r="C588" s="44" t="s">
        <v>536</v>
      </c>
      <c r="D588" s="38">
        <v>547.0</v>
      </c>
      <c r="E588" s="39">
        <f>IFERROR(__xludf.DUMMYFUNCTION("sum(filter('PLA Sheet'!H:H,'PLA Sheet'!C:C=B588,'PLA Sheet'!D:D=C588))"),31.135752679999996)</f>
        <v>31.13575268</v>
      </c>
      <c r="F588" s="40">
        <v>5.034355663</v>
      </c>
      <c r="G588" s="40">
        <f>IFERROR(__xludf.DUMMYFUNCTION("sum(filter('PLA Sheet'!J:J,'PLA Sheet'!C:C=B588,'PLA Sheet'!D:D=C588))/E588*9"),3.746964822049711)</f>
        <v>3.746964822</v>
      </c>
      <c r="H588" s="41">
        <v>0.500914077</v>
      </c>
      <c r="I588" s="41">
        <v>0.126142596</v>
      </c>
      <c r="J588" s="41">
        <v>0.372943327</v>
      </c>
      <c r="K588" s="41">
        <f t="shared" si="1"/>
        <v>0.12797075</v>
      </c>
      <c r="L588" s="42">
        <v>8.76893428</v>
      </c>
      <c r="M588" s="45">
        <f>('Cy Young Rank'!O$1-G588)*E588/9</f>
        <v>1.082953987</v>
      </c>
      <c r="N588" s="42"/>
      <c r="O588" s="66"/>
      <c r="P588" s="42"/>
      <c r="Q588" s="67"/>
      <c r="R588" s="67"/>
    </row>
    <row r="589">
      <c r="A589" s="1" t="s">
        <v>453</v>
      </c>
      <c r="B589" s="38">
        <v>592836.0</v>
      </c>
      <c r="C589" s="44" t="s">
        <v>540</v>
      </c>
      <c r="D589" s="38">
        <v>602.0</v>
      </c>
      <c r="E589" s="39">
        <f>IFERROR(__xludf.DUMMYFUNCTION("sum(filter('PLA Sheet'!H:H,'PLA Sheet'!C:C=B589,'PLA Sheet'!D:D=C589))"),37.220064719999996)</f>
        <v>37.22006472</v>
      </c>
      <c r="F589" s="40">
        <v>5.034314345</v>
      </c>
      <c r="G589" s="40">
        <f>IFERROR(__xludf.DUMMYFUNCTION("sum(filter('PLA Sheet'!J:J,'PLA Sheet'!C:C=B589,'PLA Sheet'!D:D=C589))/E589*9"),3.4887759862014556)</f>
        <v>3.488775986</v>
      </c>
      <c r="H589" s="41">
        <v>0.488372093</v>
      </c>
      <c r="I589" s="41">
        <v>0.179401993</v>
      </c>
      <c r="J589" s="41">
        <v>0.332225914</v>
      </c>
      <c r="K589" s="41">
        <f t="shared" si="1"/>
        <v>0.156146179</v>
      </c>
      <c r="L589" s="42">
        <v>12.12085588</v>
      </c>
      <c r="M589" s="45">
        <f>('Cy Young Rank'!O$1-G589)*E589/9</f>
        <v>2.362332751</v>
      </c>
      <c r="N589" s="42"/>
      <c r="O589" s="66"/>
      <c r="P589" s="42"/>
      <c r="Q589" s="67"/>
      <c r="R589" s="67"/>
    </row>
    <row r="590">
      <c r="A590" s="1" t="s">
        <v>418</v>
      </c>
      <c r="B590" s="38">
        <v>657649.0</v>
      </c>
      <c r="C590" s="44" t="s">
        <v>536</v>
      </c>
      <c r="D590" s="38">
        <v>569.0</v>
      </c>
      <c r="E590" s="39">
        <f>IFERROR(__xludf.DUMMYFUNCTION("sum(filter('PLA Sheet'!H:H,'PLA Sheet'!C:C=B590,'PLA Sheet'!D:D=C590))"),37.33461169)</f>
        <v>37.33461169</v>
      </c>
      <c r="F590" s="40">
        <v>5.034255691</v>
      </c>
      <c r="G590" s="40">
        <f>IFERROR(__xludf.DUMMYFUNCTION("sum(filter('PLA Sheet'!J:J,'PLA Sheet'!C:C=B590,'PLA Sheet'!D:D=C590))/E590*9"),3.1562579779438975)</f>
        <v>3.156257978</v>
      </c>
      <c r="H590" s="41">
        <v>0.444639719</v>
      </c>
      <c r="I590" s="41">
        <v>0.203866432</v>
      </c>
      <c r="J590" s="41">
        <v>0.351493849</v>
      </c>
      <c r="K590" s="41">
        <f t="shared" si="1"/>
        <v>0.09314587</v>
      </c>
      <c r="L590" s="42">
        <v>15.69594068</v>
      </c>
      <c r="M590" s="45">
        <f>('Cy Young Rank'!O$1-G590)*E590/9</f>
        <v>3.748984162</v>
      </c>
      <c r="N590" s="42"/>
      <c r="O590" s="66"/>
      <c r="P590" s="42"/>
      <c r="Q590" s="67"/>
      <c r="R590" s="67"/>
    </row>
    <row r="591">
      <c r="A591" s="1" t="s">
        <v>275</v>
      </c>
      <c r="B591" s="38">
        <v>693821.0</v>
      </c>
      <c r="C591" s="44" t="s">
        <v>532</v>
      </c>
      <c r="D591" s="38">
        <v>259.0</v>
      </c>
      <c r="E591" s="39">
        <f>IFERROR(__xludf.DUMMYFUNCTION("sum(filter('PLA Sheet'!H:H,'PLA Sheet'!C:C=B591,'PLA Sheet'!D:D=C591))"),16.393806482)</f>
        <v>16.39380648</v>
      </c>
      <c r="F591" s="40">
        <v>5.034191962</v>
      </c>
      <c r="G591" s="40">
        <f>IFERROR(__xludf.DUMMYFUNCTION("sum(filter('PLA Sheet'!J:J,'PLA Sheet'!C:C=B591,'PLA Sheet'!D:D=C591))/E591*9"),3.1419599259363764)</f>
        <v>3.141959926</v>
      </c>
      <c r="H591" s="41">
        <v>0.444015444</v>
      </c>
      <c r="I591" s="41">
        <v>0.22007722</v>
      </c>
      <c r="J591" s="41">
        <v>0.335907336</v>
      </c>
      <c r="K591" s="41">
        <f t="shared" si="1"/>
        <v>0.108108108</v>
      </c>
      <c r="L591" s="42">
        <v>-1.970610045</v>
      </c>
      <c r="M591" s="45">
        <f>('Cy Young Rank'!O$1-G591)*E591/9</f>
        <v>1.672241257</v>
      </c>
      <c r="N591" s="42"/>
      <c r="O591" s="66"/>
      <c r="P591" s="42"/>
      <c r="Q591" s="67"/>
      <c r="R591" s="67"/>
    </row>
    <row r="592">
      <c r="A592" s="1" t="s">
        <v>493</v>
      </c>
      <c r="B592" s="38">
        <v>657514.0</v>
      </c>
      <c r="C592" s="44" t="s">
        <v>536</v>
      </c>
      <c r="D592" s="38">
        <v>363.0</v>
      </c>
      <c r="E592" s="39">
        <f>IFERROR(__xludf.DUMMYFUNCTION("sum(filter('PLA Sheet'!H:H,'PLA Sheet'!C:C=B592,'PLA Sheet'!D:D=C592))"),23.100961535000003)</f>
        <v>23.10096154</v>
      </c>
      <c r="F592" s="40">
        <v>5.032710057</v>
      </c>
      <c r="G592" s="40">
        <f>IFERROR(__xludf.DUMMYFUNCTION("sum(filter('PLA Sheet'!J:J,'PLA Sheet'!C:C=B592,'PLA Sheet'!D:D=C592))/E592*9"),3.3775192812553194)</f>
        <v>3.377519281</v>
      </c>
      <c r="H592" s="41">
        <v>0.490358127</v>
      </c>
      <c r="I592" s="41">
        <v>0.154269972</v>
      </c>
      <c r="J592" s="41">
        <v>0.355371901</v>
      </c>
      <c r="K592" s="41">
        <f t="shared" si="1"/>
        <v>0.134986226</v>
      </c>
      <c r="L592" s="42">
        <v>3.469976081</v>
      </c>
      <c r="M592" s="45">
        <f>('Cy Young Rank'!O$1-G592)*E592/9</f>
        <v>1.751773426</v>
      </c>
      <c r="N592" s="42"/>
      <c r="O592" s="66"/>
      <c r="P592" s="42"/>
      <c r="Q592" s="67"/>
      <c r="R592" s="67"/>
    </row>
    <row r="593">
      <c r="A593" s="1" t="s">
        <v>338</v>
      </c>
      <c r="B593" s="38">
        <v>676755.0</v>
      </c>
      <c r="C593" s="44" t="s">
        <v>537</v>
      </c>
      <c r="D593" s="38">
        <v>590.0</v>
      </c>
      <c r="E593" s="39">
        <f>IFERROR(__xludf.DUMMYFUNCTION("sum(filter('PLA Sheet'!H:H,'PLA Sheet'!C:C=B593,'PLA Sheet'!D:D=C593))"),37.421707420000004)</f>
        <v>37.42170742</v>
      </c>
      <c r="F593" s="40">
        <v>5.032614267</v>
      </c>
      <c r="G593" s="40">
        <f>IFERROR(__xludf.DUMMYFUNCTION("sum(filter('PLA Sheet'!J:J,'PLA Sheet'!C:C=B593,'PLA Sheet'!D:D=C593))/E593*9"),3.398099679760683)</f>
        <v>3.39809968</v>
      </c>
      <c r="H593" s="41">
        <v>0.476271186</v>
      </c>
      <c r="I593" s="41">
        <v>0.183050847</v>
      </c>
      <c r="J593" s="41">
        <v>0.340677966</v>
      </c>
      <c r="K593" s="41">
        <f t="shared" si="1"/>
        <v>0.13559322</v>
      </c>
      <c r="L593" s="42">
        <v>7.393512085</v>
      </c>
      <c r="M593" s="45">
        <f>('Cy Young Rank'!O$1-G593)*E593/9</f>
        <v>2.752160014</v>
      </c>
      <c r="N593" s="42"/>
      <c r="O593" s="66"/>
      <c r="P593" s="42"/>
      <c r="Q593" s="67"/>
      <c r="R593" s="67"/>
    </row>
    <row r="594">
      <c r="A594" s="1" t="s">
        <v>329</v>
      </c>
      <c r="B594" s="38">
        <v>669160.0</v>
      </c>
      <c r="C594" s="44" t="s">
        <v>536</v>
      </c>
      <c r="D594" s="38">
        <v>707.0</v>
      </c>
      <c r="E594" s="39">
        <f>IFERROR(__xludf.DUMMYFUNCTION("sum(filter('PLA Sheet'!H:H,'PLA Sheet'!C:C=B594,'PLA Sheet'!D:D=C594))"),44.41616721)</f>
        <v>44.41616721</v>
      </c>
      <c r="F594" s="40">
        <v>5.032391366</v>
      </c>
      <c r="G594" s="40">
        <f>IFERROR(__xludf.DUMMYFUNCTION("sum(filter('PLA Sheet'!J:J,'PLA Sheet'!C:C=B594,'PLA Sheet'!D:D=C594))/E594*9"),3.4378778402478014)</f>
        <v>3.43787784</v>
      </c>
      <c r="H594" s="41">
        <v>0.506364922</v>
      </c>
      <c r="I594" s="41">
        <v>0.159830269</v>
      </c>
      <c r="J594" s="41">
        <v>0.333804809</v>
      </c>
      <c r="K594" s="41">
        <f t="shared" si="1"/>
        <v>0.172560113</v>
      </c>
      <c r="L594" s="42">
        <v>-4.093306094</v>
      </c>
      <c r="M594" s="45">
        <f>('Cy Young Rank'!O$1-G594)*E594/9</f>
        <v>3.070253541</v>
      </c>
      <c r="N594" s="42"/>
      <c r="O594" s="66"/>
      <c r="P594" s="42"/>
      <c r="Q594" s="67"/>
      <c r="R594" s="67"/>
    </row>
    <row r="595">
      <c r="A595" s="1" t="s">
        <v>468</v>
      </c>
      <c r="B595" s="38">
        <v>675848.0</v>
      </c>
      <c r="C595" s="44" t="s">
        <v>533</v>
      </c>
      <c r="D595" s="38">
        <v>332.0</v>
      </c>
      <c r="E595" s="39">
        <f>IFERROR(__xludf.DUMMYFUNCTION("sum(filter('PLA Sheet'!H:H,'PLA Sheet'!C:C=B595,'PLA Sheet'!D:D=C595))"),19.983724571)</f>
        <v>19.98372457</v>
      </c>
      <c r="F595" s="40">
        <v>5.031614558</v>
      </c>
      <c r="G595" s="40">
        <f>IFERROR(__xludf.DUMMYFUNCTION("sum(filter('PLA Sheet'!J:J,'PLA Sheet'!C:C=B595,'PLA Sheet'!D:D=C595))/E595*9"),3.358104179307246)</f>
        <v>3.358104179</v>
      </c>
      <c r="H595" s="41">
        <v>0.478915663</v>
      </c>
      <c r="I595" s="41">
        <v>0.174698795</v>
      </c>
      <c r="J595" s="41">
        <v>0.346385542</v>
      </c>
      <c r="K595" s="41">
        <f t="shared" si="1"/>
        <v>0.132530121</v>
      </c>
      <c r="L595" s="42">
        <v>-3.536012452</v>
      </c>
      <c r="M595" s="45">
        <f>('Cy Young Rank'!O$1-G595)*E595/9</f>
        <v>1.558499195</v>
      </c>
      <c r="N595" s="42"/>
      <c r="O595" s="66"/>
      <c r="P595" s="42"/>
      <c r="Q595" s="67"/>
      <c r="R595" s="67"/>
    </row>
    <row r="596">
      <c r="A596" s="1" t="s">
        <v>467</v>
      </c>
      <c r="B596" s="38">
        <v>643410.0</v>
      </c>
      <c r="C596" s="44" t="s">
        <v>536</v>
      </c>
      <c r="D596" s="38">
        <v>318.0</v>
      </c>
      <c r="E596" s="39">
        <f>IFERROR(__xludf.DUMMYFUNCTION("sum(filter('PLA Sheet'!H:H,'PLA Sheet'!C:C=B596,'PLA Sheet'!D:D=C596))"),18.728439631)</f>
        <v>18.72843963</v>
      </c>
      <c r="F596" s="40">
        <v>5.028963218</v>
      </c>
      <c r="G596" s="40">
        <f>IFERROR(__xludf.DUMMYFUNCTION("sum(filter('PLA Sheet'!J:J,'PLA Sheet'!C:C=B596,'PLA Sheet'!D:D=C596))/E596*9"),3.772082105711864)</f>
        <v>3.772082106</v>
      </c>
      <c r="H596" s="41">
        <v>0.440251572</v>
      </c>
      <c r="I596" s="41">
        <v>0.238993711</v>
      </c>
      <c r="J596" s="41">
        <v>0.320754717</v>
      </c>
      <c r="K596" s="41">
        <f t="shared" si="1"/>
        <v>0.119496855</v>
      </c>
      <c r="L596" s="42">
        <v>-4.934222228</v>
      </c>
      <c r="M596" s="45">
        <f>('Cy Young Rank'!O$1-G596)*E596/9</f>
        <v>0.5991392113</v>
      </c>
      <c r="N596" s="42"/>
      <c r="O596" s="66"/>
      <c r="P596" s="42"/>
      <c r="Q596" s="67"/>
      <c r="R596" s="67"/>
    </row>
    <row r="597">
      <c r="A597" s="1" t="s">
        <v>433</v>
      </c>
      <c r="B597" s="38">
        <v>642397.0</v>
      </c>
      <c r="C597" s="44" t="s">
        <v>536</v>
      </c>
      <c r="D597" s="38">
        <v>522.0</v>
      </c>
      <c r="E597" s="39">
        <f>IFERROR(__xludf.DUMMYFUNCTION("sum(filter('PLA Sheet'!H:H,'PLA Sheet'!C:C=B597,'PLA Sheet'!D:D=C597))"),31.66180758)</f>
        <v>31.66180758</v>
      </c>
      <c r="F597" s="40">
        <v>5.028527385</v>
      </c>
      <c r="G597" s="40">
        <f>IFERROR(__xludf.DUMMYFUNCTION("sum(filter('PLA Sheet'!J:J,'PLA Sheet'!C:C=B597,'PLA Sheet'!D:D=C597))/E597*9"),3.4566139574776606)</f>
        <v>3.456613957</v>
      </c>
      <c r="H597" s="41">
        <v>0.521072797</v>
      </c>
      <c r="I597" s="41">
        <v>0.12835249</v>
      </c>
      <c r="J597" s="41">
        <v>0.350574713</v>
      </c>
      <c r="K597" s="41">
        <f t="shared" si="1"/>
        <v>0.170498084</v>
      </c>
      <c r="L597" s="42">
        <v>-5.958478888</v>
      </c>
      <c r="M597" s="45">
        <f>('Cy Young Rank'!O$1-G597)*E597/9</f>
        <v>2.122699197</v>
      </c>
      <c r="N597" s="42"/>
      <c r="O597" s="66"/>
      <c r="P597" s="42"/>
      <c r="Q597" s="67"/>
      <c r="R597" s="67"/>
    </row>
    <row r="598">
      <c r="A598" s="1" t="s">
        <v>173</v>
      </c>
      <c r="B598" s="38">
        <v>641927.0</v>
      </c>
      <c r="C598" s="44" t="s">
        <v>537</v>
      </c>
      <c r="D598" s="38">
        <v>818.0</v>
      </c>
      <c r="E598" s="39">
        <f>IFERROR(__xludf.DUMMYFUNCTION("sum(filter('PLA Sheet'!H:H,'PLA Sheet'!C:C=B598,'PLA Sheet'!D:D=C598))"),52.23528579)</f>
        <v>52.23528579</v>
      </c>
      <c r="F598" s="40">
        <v>5.028345806</v>
      </c>
      <c r="G598" s="40">
        <f>IFERROR(__xludf.DUMMYFUNCTION("sum(filter('PLA Sheet'!J:J,'PLA Sheet'!C:C=B598,'PLA Sheet'!D:D=C598))/E598*9"),3.3497680610660643)</f>
        <v>3.349768061</v>
      </c>
      <c r="H598" s="41">
        <v>0.438875306</v>
      </c>
      <c r="I598" s="41">
        <v>0.228606357</v>
      </c>
      <c r="J598" s="41">
        <v>0.332518337</v>
      </c>
      <c r="K598" s="41">
        <f t="shared" si="1"/>
        <v>0.106356969</v>
      </c>
      <c r="L598" s="42">
        <v>-0.426841868</v>
      </c>
      <c r="M598" s="45">
        <f>('Cy Young Rank'!O$1-G598)*E598/9</f>
        <v>4.122129812</v>
      </c>
      <c r="N598" s="42"/>
      <c r="O598" s="66"/>
      <c r="P598" s="42"/>
      <c r="Q598" s="67"/>
      <c r="R598" s="67"/>
    </row>
    <row r="599">
      <c r="A599" s="1" t="s">
        <v>263</v>
      </c>
      <c r="B599" s="38">
        <v>694297.0</v>
      </c>
      <c r="C599" s="44" t="s">
        <v>536</v>
      </c>
      <c r="D599" s="38">
        <v>650.0</v>
      </c>
      <c r="E599" s="39">
        <f>IFERROR(__xludf.DUMMYFUNCTION("sum(filter('PLA Sheet'!H:H,'PLA Sheet'!C:C=B599,'PLA Sheet'!D:D=C599))"),41.169750969999996)</f>
        <v>41.16975097</v>
      </c>
      <c r="F599" s="40">
        <v>5.027359624</v>
      </c>
      <c r="G599" s="40">
        <f>IFERROR(__xludf.DUMMYFUNCTION("sum(filter('PLA Sheet'!J:J,'PLA Sheet'!C:C=B599,'PLA Sheet'!D:D=C599))/E599*9"),3.31190504648321)</f>
        <v>3.311905046</v>
      </c>
      <c r="H599" s="41">
        <v>0.427692308</v>
      </c>
      <c r="I599" s="41">
        <v>0.207692308</v>
      </c>
      <c r="J599" s="41">
        <v>0.364615385</v>
      </c>
      <c r="K599" s="41">
        <f t="shared" si="1"/>
        <v>0.063076923</v>
      </c>
      <c r="L599" s="42">
        <v>0.800679319</v>
      </c>
      <c r="M599" s="45">
        <f>('Cy Young Rank'!O$1-G599)*E599/9</f>
        <v>3.422098104</v>
      </c>
      <c r="N599" s="42"/>
      <c r="O599" s="66"/>
      <c r="P599" s="42"/>
      <c r="Q599" s="67"/>
      <c r="R599" s="67"/>
    </row>
    <row r="600">
      <c r="A600" s="1" t="s">
        <v>77</v>
      </c>
      <c r="B600" s="38">
        <v>657277.0</v>
      </c>
      <c r="C600" s="44" t="s">
        <v>540</v>
      </c>
      <c r="D600" s="38">
        <v>252.0</v>
      </c>
      <c r="E600" s="39">
        <f>IFERROR(__xludf.DUMMYFUNCTION("sum(filter('PLA Sheet'!H:H,'PLA Sheet'!C:C=B600,'PLA Sheet'!D:D=C600))"),16.345426825)</f>
        <v>16.34542683</v>
      </c>
      <c r="F600" s="40">
        <v>5.027274679</v>
      </c>
      <c r="G600" s="40">
        <f>IFERROR(__xludf.DUMMYFUNCTION("sum(filter('PLA Sheet'!J:J,'PLA Sheet'!C:C=B600,'PLA Sheet'!D:D=C600))/E600*9"),3.160290187160652)</f>
        <v>3.160290187</v>
      </c>
      <c r="H600" s="41">
        <v>0.388888889</v>
      </c>
      <c r="I600" s="41">
        <v>0.226190476</v>
      </c>
      <c r="J600" s="41">
        <v>0.384920635</v>
      </c>
      <c r="K600" s="41">
        <f t="shared" si="1"/>
        <v>0.003968254</v>
      </c>
      <c r="L600" s="42">
        <v>-7.738211199</v>
      </c>
      <c r="M600" s="45">
        <f>('Cy Young Rank'!O$1-G600)*E600/9</f>
        <v>1.634015657</v>
      </c>
      <c r="N600" s="42"/>
      <c r="O600" s="66"/>
      <c r="P600" s="42"/>
      <c r="Q600" s="67"/>
      <c r="R600" s="67"/>
    </row>
    <row r="601">
      <c r="A601" s="1" t="s">
        <v>294</v>
      </c>
      <c r="B601" s="38">
        <v>665152.0</v>
      </c>
      <c r="C601" s="44" t="s">
        <v>540</v>
      </c>
      <c r="D601" s="38">
        <v>525.0</v>
      </c>
      <c r="E601" s="39">
        <f>IFERROR(__xludf.DUMMYFUNCTION("sum(filter('PLA Sheet'!H:H,'PLA Sheet'!C:C=B601,'PLA Sheet'!D:D=C601))"),34.626671617)</f>
        <v>34.62667162</v>
      </c>
      <c r="F601" s="40">
        <v>5.02712366</v>
      </c>
      <c r="G601" s="40">
        <f>IFERROR(__xludf.DUMMYFUNCTION("sum(filter('PLA Sheet'!J:J,'PLA Sheet'!C:C=B601,'PLA Sheet'!D:D=C601))/E601*9"),3.1100481499102326)</f>
        <v>3.11004815</v>
      </c>
      <c r="H601" s="41">
        <v>0.44</v>
      </c>
      <c r="I601" s="41">
        <v>0.201904762</v>
      </c>
      <c r="J601" s="41">
        <v>0.358095238</v>
      </c>
      <c r="K601" s="41">
        <f t="shared" si="1"/>
        <v>0.081904762</v>
      </c>
      <c r="L601" s="42">
        <v>-0.446931308</v>
      </c>
      <c r="M601" s="45">
        <f>('Cy Young Rank'!O$1-G601)*E601/9</f>
        <v>3.654852307</v>
      </c>
      <c r="N601" s="42"/>
      <c r="O601" s="66"/>
      <c r="P601" s="42"/>
      <c r="Q601" s="67"/>
      <c r="R601" s="67"/>
    </row>
    <row r="602">
      <c r="A602" s="1" t="s">
        <v>240</v>
      </c>
      <c r="B602" s="38">
        <v>641329.0</v>
      </c>
      <c r="C602" s="44" t="s">
        <v>532</v>
      </c>
      <c r="D602" s="38">
        <v>297.0</v>
      </c>
      <c r="E602" s="39">
        <f>IFERROR(__xludf.DUMMYFUNCTION("sum(filter('PLA Sheet'!H:H,'PLA Sheet'!C:C=B602,'PLA Sheet'!D:D=C602))"),19.14683621)</f>
        <v>19.14683621</v>
      </c>
      <c r="F602" s="40">
        <v>5.026551637</v>
      </c>
      <c r="G602" s="40">
        <f>IFERROR(__xludf.DUMMYFUNCTION("sum(filter('PLA Sheet'!J:J,'PLA Sheet'!C:C=B602,'PLA Sheet'!D:D=C602))/E602*9"),3.1763601742326704)</f>
        <v>3.176360174</v>
      </c>
      <c r="H602" s="41">
        <v>0.424242424</v>
      </c>
      <c r="I602" s="41">
        <v>0.188552189</v>
      </c>
      <c r="J602" s="41">
        <v>0.387205387</v>
      </c>
      <c r="K602" s="41">
        <f t="shared" si="1"/>
        <v>0.037037037</v>
      </c>
      <c r="L602" s="42">
        <v>8.897211837</v>
      </c>
      <c r="M602" s="45">
        <f>('Cy Young Rank'!O$1-G602)*E602/9</f>
        <v>1.879878557</v>
      </c>
      <c r="N602" s="42"/>
      <c r="O602" s="66"/>
      <c r="P602" s="42"/>
      <c r="Q602" s="67"/>
      <c r="R602" s="67"/>
    </row>
    <row r="603">
      <c r="A603" s="1" t="s">
        <v>260</v>
      </c>
      <c r="B603" s="38">
        <v>694462.0</v>
      </c>
      <c r="C603" s="44" t="s">
        <v>538</v>
      </c>
      <c r="D603" s="38">
        <v>269.0</v>
      </c>
      <c r="E603" s="39">
        <f>IFERROR(__xludf.DUMMYFUNCTION("sum(filter('PLA Sheet'!H:H,'PLA Sheet'!C:C=B603,'PLA Sheet'!D:D=C603))"),18.188927606)</f>
        <v>18.18892761</v>
      </c>
      <c r="F603" s="40">
        <v>5.026522392</v>
      </c>
      <c r="G603" s="40">
        <f>IFERROR(__xludf.DUMMYFUNCTION("sum(filter('PLA Sheet'!J:J,'PLA Sheet'!C:C=B603,'PLA Sheet'!D:D=C603))/E603*9"),2.9688089462837346)</f>
        <v>2.968808946</v>
      </c>
      <c r="H603" s="41">
        <v>0.442379182</v>
      </c>
      <c r="I603" s="41">
        <v>0.171003717</v>
      </c>
      <c r="J603" s="41">
        <v>0.3866171</v>
      </c>
      <c r="K603" s="41">
        <f t="shared" si="1"/>
        <v>0.055762082</v>
      </c>
      <c r="L603" s="42">
        <v>4.178044841</v>
      </c>
      <c r="M603" s="45">
        <f>('Cy Young Rank'!O$1-G603)*E603/9</f>
        <v>2.205288342</v>
      </c>
      <c r="N603" s="42"/>
      <c r="O603" s="66"/>
      <c r="P603" s="42"/>
      <c r="Q603" s="67"/>
      <c r="R603" s="67"/>
    </row>
    <row r="604">
      <c r="A604" s="1" t="s">
        <v>315</v>
      </c>
      <c r="B604" s="38">
        <v>680755.0</v>
      </c>
      <c r="C604" s="44" t="s">
        <v>541</v>
      </c>
      <c r="D604" s="38">
        <v>301.0</v>
      </c>
      <c r="E604" s="39">
        <f>IFERROR(__xludf.DUMMYFUNCTION("sum(filter('PLA Sheet'!H:H,'PLA Sheet'!C:C=B604,'PLA Sheet'!D:D=C604))"),18.285371707)</f>
        <v>18.28537171</v>
      </c>
      <c r="F604" s="40">
        <v>5.026345507</v>
      </c>
      <c r="G604" s="40">
        <f>IFERROR(__xludf.DUMMYFUNCTION("sum(filter('PLA Sheet'!J:J,'PLA Sheet'!C:C=B604,'PLA Sheet'!D:D=C604))/E604*9"),3.3919992983383547)</f>
        <v>3.391999298</v>
      </c>
      <c r="H604" s="41">
        <v>0.465116279</v>
      </c>
      <c r="I604" s="41">
        <v>0.139534884</v>
      </c>
      <c r="J604" s="41">
        <v>0.395348837</v>
      </c>
      <c r="K604" s="41">
        <f t="shared" si="1"/>
        <v>0.069767442</v>
      </c>
      <c r="L604" s="42">
        <v>3.762223576</v>
      </c>
      <c r="M604" s="45">
        <f>('Cy Young Rank'!O$1-G604)*E604/9</f>
        <v>1.357182348</v>
      </c>
      <c r="N604" s="42"/>
      <c r="O604" s="66"/>
      <c r="P604" s="42"/>
      <c r="Q604" s="67"/>
      <c r="R604" s="67"/>
    </row>
    <row r="605">
      <c r="A605" s="1" t="s">
        <v>395</v>
      </c>
      <c r="B605" s="38">
        <v>663893.0</v>
      </c>
      <c r="C605" s="44" t="s">
        <v>541</v>
      </c>
      <c r="D605" s="38">
        <v>557.0</v>
      </c>
      <c r="E605" s="39">
        <f>IFERROR(__xludf.DUMMYFUNCTION("sum(filter('PLA Sheet'!H:H,'PLA Sheet'!C:C=B605,'PLA Sheet'!D:D=C605))"),31.41129032)</f>
        <v>31.41129032</v>
      </c>
      <c r="F605" s="40">
        <v>5.026274719</v>
      </c>
      <c r="G605" s="40">
        <f>IFERROR(__xludf.DUMMYFUNCTION("sum(filter('PLA Sheet'!J:J,'PLA Sheet'!C:C=B605,'PLA Sheet'!D:D=C605))/E605*9"),3.5892494020920567)</f>
        <v>3.589249402</v>
      </c>
      <c r="H605" s="41">
        <v>0.436265709</v>
      </c>
      <c r="I605" s="41">
        <v>0.168761221</v>
      </c>
      <c r="J605" s="41">
        <v>0.39497307</v>
      </c>
      <c r="K605" s="41">
        <f t="shared" si="1"/>
        <v>0.041292639</v>
      </c>
      <c r="L605" s="42">
        <v>2.757407103</v>
      </c>
      <c r="M605" s="45">
        <f>('Cy Young Rank'!O$1-G605)*E605/9</f>
        <v>1.642987078</v>
      </c>
      <c r="N605" s="42"/>
      <c r="O605" s="66"/>
      <c r="P605" s="42"/>
      <c r="Q605" s="67"/>
      <c r="R605" s="67"/>
    </row>
    <row r="606">
      <c r="A606" s="1" t="s">
        <v>376</v>
      </c>
      <c r="B606" s="38">
        <v>668909.0</v>
      </c>
      <c r="C606" s="44" t="s">
        <v>537</v>
      </c>
      <c r="D606" s="38">
        <v>1066.0</v>
      </c>
      <c r="E606" s="39">
        <f>IFERROR(__xludf.DUMMYFUNCTION("sum(filter('PLA Sheet'!H:H,'PLA Sheet'!C:C=B606,'PLA Sheet'!D:D=C606))"),62.8248433)</f>
        <v>62.8248433</v>
      </c>
      <c r="F606" s="40">
        <v>5.026119116</v>
      </c>
      <c r="G606" s="40">
        <f>IFERROR(__xludf.DUMMYFUNCTION("sum(filter('PLA Sheet'!J:J,'PLA Sheet'!C:C=B606,'PLA Sheet'!D:D=C606))/E606*9"),3.691476569110679)</f>
        <v>3.691476569</v>
      </c>
      <c r="H606" s="41">
        <v>0.48217636</v>
      </c>
      <c r="I606" s="41">
        <v>0.185741088</v>
      </c>
      <c r="J606" s="41">
        <v>0.332082552</v>
      </c>
      <c r="K606" s="41">
        <f t="shared" si="1"/>
        <v>0.150093808</v>
      </c>
      <c r="L606" s="42">
        <v>1.840189191</v>
      </c>
      <c r="M606" s="45">
        <f>('Cy Young Rank'!O$1-G606)*E606/9</f>
        <v>2.572491866</v>
      </c>
      <c r="N606" s="42"/>
      <c r="O606" s="66"/>
      <c r="P606" s="42"/>
      <c r="Q606" s="67"/>
      <c r="R606" s="67"/>
    </row>
    <row r="607">
      <c r="A607" s="1" t="s">
        <v>345</v>
      </c>
      <c r="B607" s="38">
        <v>663574.0</v>
      </c>
      <c r="C607" s="44" t="s">
        <v>537</v>
      </c>
      <c r="D607" s="38">
        <v>780.0</v>
      </c>
      <c r="E607" s="39">
        <f>IFERROR(__xludf.DUMMYFUNCTION("sum(filter('PLA Sheet'!H:H,'PLA Sheet'!C:C=B607,'PLA Sheet'!D:D=C607))"),47.89232438)</f>
        <v>47.89232438</v>
      </c>
      <c r="F607" s="40">
        <v>5.025590348</v>
      </c>
      <c r="G607" s="40">
        <f>IFERROR(__xludf.DUMMYFUNCTION("sum(filter('PLA Sheet'!J:J,'PLA Sheet'!C:C=B607,'PLA Sheet'!D:D=C607))/E607*9"),3.7412401949491687)</f>
        <v>3.741240195</v>
      </c>
      <c r="H607" s="41">
        <v>0.476923077</v>
      </c>
      <c r="I607" s="41">
        <v>0.176923077</v>
      </c>
      <c r="J607" s="41">
        <v>0.346153846</v>
      </c>
      <c r="K607" s="41">
        <f t="shared" si="1"/>
        <v>0.130769231</v>
      </c>
      <c r="L607" s="42">
        <v>11.56178607</v>
      </c>
      <c r="M607" s="45">
        <f>('Cy Young Rank'!O$1-G607)*E607/9</f>
        <v>1.696238665</v>
      </c>
      <c r="N607" s="42"/>
      <c r="O607" s="66"/>
      <c r="P607" s="42"/>
      <c r="Q607" s="67"/>
      <c r="R607" s="67"/>
    </row>
    <row r="608">
      <c r="A608" s="1" t="s">
        <v>437</v>
      </c>
      <c r="B608" s="38">
        <v>695418.0</v>
      </c>
      <c r="C608" s="44" t="s">
        <v>532</v>
      </c>
      <c r="D608" s="38">
        <v>273.0</v>
      </c>
      <c r="E608" s="39">
        <f>IFERROR(__xludf.DUMMYFUNCTION("sum(filter('PLA Sheet'!H:H,'PLA Sheet'!C:C=B608,'PLA Sheet'!D:D=C608))"),17.078200912)</f>
        <v>17.07820091</v>
      </c>
      <c r="F608" s="40">
        <v>5.025378255</v>
      </c>
      <c r="G608" s="40">
        <f>IFERROR(__xludf.DUMMYFUNCTION("sum(filter('PLA Sheet'!J:J,'PLA Sheet'!C:C=B608,'PLA Sheet'!D:D=C608))/E608*9"),3.2748521514758484)</f>
        <v>3.274852151</v>
      </c>
      <c r="H608" s="41">
        <v>0.450549451</v>
      </c>
      <c r="I608" s="41">
        <v>0.19047619</v>
      </c>
      <c r="J608" s="41">
        <v>0.358974359</v>
      </c>
      <c r="K608" s="41">
        <f t="shared" si="1"/>
        <v>0.091575092</v>
      </c>
      <c r="L608" s="42">
        <v>0.451021683</v>
      </c>
      <c r="M608" s="45">
        <f>('Cy Young Rank'!O$1-G608)*E608/9</f>
        <v>1.489879189</v>
      </c>
      <c r="N608" s="42"/>
      <c r="O608" s="66"/>
      <c r="P608" s="42"/>
      <c r="Q608" s="67"/>
      <c r="R608" s="67"/>
    </row>
    <row r="609">
      <c r="A609" s="1" t="s">
        <v>150</v>
      </c>
      <c r="B609" s="38">
        <v>657746.0</v>
      </c>
      <c r="C609" s="44" t="s">
        <v>536</v>
      </c>
      <c r="D609" s="38">
        <v>306.0</v>
      </c>
      <c r="E609" s="39">
        <f>IFERROR(__xludf.DUMMYFUNCTION("sum(filter('PLA Sheet'!H:H,'PLA Sheet'!C:C=B609,'PLA Sheet'!D:D=C609))"),19.21073345)</f>
        <v>19.21073345</v>
      </c>
      <c r="F609" s="40">
        <v>5.023845335</v>
      </c>
      <c r="G609" s="40">
        <f>IFERROR(__xludf.DUMMYFUNCTION("sum(filter('PLA Sheet'!J:J,'PLA Sheet'!C:C=B609,'PLA Sheet'!D:D=C609))/E609*9"),3.3329002334369493)</f>
        <v>3.332900233</v>
      </c>
      <c r="H609" s="41">
        <v>0.506535948</v>
      </c>
      <c r="I609" s="41">
        <v>0.160130719</v>
      </c>
      <c r="J609" s="41">
        <v>0.333333333</v>
      </c>
      <c r="K609" s="41">
        <f t="shared" si="1"/>
        <v>0.173202615</v>
      </c>
      <c r="L609" s="42">
        <v>1.358630069</v>
      </c>
      <c r="M609" s="45">
        <f>('Cy Young Rank'!O$1-G609)*E609/9</f>
        <v>1.552013312</v>
      </c>
      <c r="N609" s="42"/>
      <c r="O609" s="66"/>
      <c r="P609" s="42"/>
      <c r="Q609" s="67"/>
      <c r="R609" s="67"/>
    </row>
    <row r="610">
      <c r="A610" s="1" t="s">
        <v>263</v>
      </c>
      <c r="B610" s="38">
        <v>694297.0</v>
      </c>
      <c r="C610" s="44" t="s">
        <v>541</v>
      </c>
      <c r="D610" s="38">
        <v>284.0</v>
      </c>
      <c r="E610" s="39">
        <f>IFERROR(__xludf.DUMMYFUNCTION("sum(filter('PLA Sheet'!H:H,'PLA Sheet'!C:C=B610,'PLA Sheet'!D:D=C610))"),17.497144164)</f>
        <v>17.49714416</v>
      </c>
      <c r="F610" s="40">
        <v>5.022308255</v>
      </c>
      <c r="G610" s="40">
        <f>IFERROR(__xludf.DUMMYFUNCTION("sum(filter('PLA Sheet'!J:J,'PLA Sheet'!C:C=B610,'PLA Sheet'!D:D=C610))/E610*9"),3.3893272207252987)</f>
        <v>3.389327221</v>
      </c>
      <c r="H610" s="41">
        <v>0.478873239</v>
      </c>
      <c r="I610" s="41">
        <v>0.137323944</v>
      </c>
      <c r="J610" s="41">
        <v>0.383802817</v>
      </c>
      <c r="K610" s="41">
        <f t="shared" si="1"/>
        <v>0.095070422</v>
      </c>
      <c r="L610" s="42">
        <v>-3.491518094</v>
      </c>
      <c r="M610" s="45">
        <f>('Cy Young Rank'!O$1-G610)*E610/9</f>
        <v>1.303873145</v>
      </c>
      <c r="N610" s="42"/>
      <c r="O610" s="66"/>
      <c r="P610" s="42"/>
      <c r="Q610" s="67"/>
      <c r="R610" s="67"/>
    </row>
    <row r="611">
      <c r="A611" s="1" t="s">
        <v>403</v>
      </c>
      <c r="B611" s="38">
        <v>676254.0</v>
      </c>
      <c r="C611" s="44" t="s">
        <v>533</v>
      </c>
      <c r="D611" s="38">
        <v>372.0</v>
      </c>
      <c r="E611" s="39">
        <f>IFERROR(__xludf.DUMMYFUNCTION("sum(filter('PLA Sheet'!H:H,'PLA Sheet'!C:C=B611,'PLA Sheet'!D:D=C611))"),23.03769256)</f>
        <v>23.03769256</v>
      </c>
      <c r="F611" s="40">
        <v>5.022182362</v>
      </c>
      <c r="G611" s="40">
        <f>IFERROR(__xludf.DUMMYFUNCTION("sum(filter('PLA Sheet'!J:J,'PLA Sheet'!C:C=B611,'PLA Sheet'!D:D=C611))/E611*9"),3.4069740185820074)</f>
        <v>3.406974019</v>
      </c>
      <c r="H611" s="41">
        <v>0.462365591</v>
      </c>
      <c r="I611" s="41">
        <v>0.172043011</v>
      </c>
      <c r="J611" s="41">
        <v>0.365591398</v>
      </c>
      <c r="K611" s="41">
        <f t="shared" si="1"/>
        <v>0.096774193</v>
      </c>
      <c r="L611" s="42">
        <v>-4.033679043</v>
      </c>
      <c r="M611" s="45">
        <f>('Cy Young Rank'!O$1-G611)*E611/9</f>
        <v>1.671579088</v>
      </c>
      <c r="N611" s="42"/>
      <c r="O611" s="66"/>
      <c r="P611" s="42"/>
      <c r="Q611" s="67"/>
      <c r="R611" s="67"/>
    </row>
    <row r="612">
      <c r="A612" s="1" t="s">
        <v>458</v>
      </c>
      <c r="B612" s="38">
        <v>676130.0</v>
      </c>
      <c r="C612" s="44" t="s">
        <v>537</v>
      </c>
      <c r="D612" s="38">
        <v>329.0</v>
      </c>
      <c r="E612" s="39">
        <f>IFERROR(__xludf.DUMMYFUNCTION("sum(filter('PLA Sheet'!H:H,'PLA Sheet'!C:C=B612,'PLA Sheet'!D:D=C612))"),20.837614676)</f>
        <v>20.83761468</v>
      </c>
      <c r="F612" s="40">
        <v>5.020763882</v>
      </c>
      <c r="G612" s="40">
        <f>IFERROR(__xludf.DUMMYFUNCTION("sum(filter('PLA Sheet'!J:J,'PLA Sheet'!C:C=B612,'PLA Sheet'!D:D=C612))/E612*9"),3.492327175231618)</f>
        <v>3.492327175</v>
      </c>
      <c r="H612" s="41">
        <v>0.516717325</v>
      </c>
      <c r="I612" s="41">
        <v>0.100303951</v>
      </c>
      <c r="J612" s="41">
        <v>0.382978723</v>
      </c>
      <c r="K612" s="41">
        <f t="shared" si="1"/>
        <v>0.133738602</v>
      </c>
      <c r="L612" s="42">
        <v>-0.341368401</v>
      </c>
      <c r="M612" s="45">
        <f>('Cy Young Rank'!O$1-G612)*E612/9</f>
        <v>1.314327509</v>
      </c>
      <c r="N612" s="42"/>
      <c r="O612" s="66"/>
      <c r="P612" s="42"/>
      <c r="Q612" s="67"/>
      <c r="R612" s="67"/>
    </row>
    <row r="613">
      <c r="A613" s="1" t="s">
        <v>125</v>
      </c>
      <c r="B613" s="38">
        <v>663554.0</v>
      </c>
      <c r="C613" s="44" t="s">
        <v>541</v>
      </c>
      <c r="D613" s="38">
        <v>300.0</v>
      </c>
      <c r="E613" s="39">
        <f>IFERROR(__xludf.DUMMYFUNCTION("sum(filter('PLA Sheet'!H:H,'PLA Sheet'!C:C=B613,'PLA Sheet'!D:D=C613))"),19.892006804)</f>
        <v>19.8920068</v>
      </c>
      <c r="F613" s="40">
        <v>5.020301875</v>
      </c>
      <c r="G613" s="40">
        <f>IFERROR(__xludf.DUMMYFUNCTION("sum(filter('PLA Sheet'!J:J,'PLA Sheet'!C:C=B613,'PLA Sheet'!D:D=C613))/E613*9"),1.9134788850135565)</f>
        <v>1.913478885</v>
      </c>
      <c r="H613" s="41">
        <v>0.416666667</v>
      </c>
      <c r="I613" s="41">
        <v>0.226666667</v>
      </c>
      <c r="J613" s="41">
        <v>0.356666667</v>
      </c>
      <c r="K613" s="41">
        <f t="shared" si="1"/>
        <v>0.06</v>
      </c>
      <c r="L613" s="42">
        <v>-1.674618964</v>
      </c>
      <c r="M613" s="45">
        <f>('Cy Young Rank'!O$1-G613)*E613/9</f>
        <v>4.744290292</v>
      </c>
      <c r="N613" s="42"/>
      <c r="O613" s="66"/>
      <c r="P613" s="42"/>
      <c r="Q613" s="67"/>
      <c r="R613" s="67"/>
    </row>
    <row r="614">
      <c r="A614" s="1" t="s">
        <v>364</v>
      </c>
      <c r="B614" s="38">
        <v>693855.0</v>
      </c>
      <c r="C614" s="44" t="s">
        <v>537</v>
      </c>
      <c r="D614" s="38">
        <v>303.0</v>
      </c>
      <c r="E614" s="39">
        <f>IFERROR(__xludf.DUMMYFUNCTION("sum(filter('PLA Sheet'!H:H,'PLA Sheet'!C:C=B614,'PLA Sheet'!D:D=C614))"),18.159798992)</f>
        <v>18.15979899</v>
      </c>
      <c r="F614" s="40">
        <v>5.020195001</v>
      </c>
      <c r="G614" s="40">
        <f>IFERROR(__xludf.DUMMYFUNCTION("sum(filter('PLA Sheet'!J:J,'PLA Sheet'!C:C=B614,'PLA Sheet'!D:D=C614))/E614*9"),3.6210899707077555)</f>
        <v>3.621089971</v>
      </c>
      <c r="H614" s="41">
        <v>0.471947195</v>
      </c>
      <c r="I614" s="41">
        <v>0.174917492</v>
      </c>
      <c r="J614" s="41">
        <v>0.353135314</v>
      </c>
      <c r="K614" s="41">
        <f t="shared" si="1"/>
        <v>0.118811881</v>
      </c>
      <c r="L614" s="42">
        <v>4.395062784</v>
      </c>
      <c r="M614" s="45">
        <f>('Cy Young Rank'!O$1-G614)*E614/9</f>
        <v>0.8856131008</v>
      </c>
      <c r="N614" s="42"/>
      <c r="O614" s="66"/>
      <c r="P614" s="42"/>
      <c r="Q614" s="67"/>
      <c r="R614" s="67"/>
    </row>
    <row r="615">
      <c r="A615" s="1" t="s">
        <v>339</v>
      </c>
      <c r="B615" s="38">
        <v>686613.0</v>
      </c>
      <c r="C615" s="44" t="s">
        <v>536</v>
      </c>
      <c r="D615" s="38">
        <v>636.0</v>
      </c>
      <c r="E615" s="39">
        <f>IFERROR(__xludf.DUMMYFUNCTION("sum(filter('PLA Sheet'!H:H,'PLA Sheet'!C:C=B615,'PLA Sheet'!D:D=C615))"),41.10871033)</f>
        <v>41.10871033</v>
      </c>
      <c r="F615" s="40">
        <v>5.020172202</v>
      </c>
      <c r="G615" s="40">
        <f>IFERROR(__xludf.DUMMYFUNCTION("sum(filter('PLA Sheet'!J:J,'PLA Sheet'!C:C=B615,'PLA Sheet'!D:D=C615))/E615*9"),3.400087521062352)</f>
        <v>3.400087521</v>
      </c>
      <c r="H615" s="41">
        <v>0.459119497</v>
      </c>
      <c r="I615" s="41">
        <v>0.190251572</v>
      </c>
      <c r="J615" s="41">
        <v>0.350628931</v>
      </c>
      <c r="K615" s="41">
        <f t="shared" si="1"/>
        <v>0.108490566</v>
      </c>
      <c r="L615" s="42">
        <v>9.349228269</v>
      </c>
      <c r="M615" s="45">
        <f>('Cy Young Rank'!O$1-G615)*E615/9</f>
        <v>3.014238993</v>
      </c>
      <c r="N615" s="42"/>
      <c r="O615" s="66"/>
      <c r="P615" s="42"/>
      <c r="Q615" s="67"/>
      <c r="R615" s="67"/>
    </row>
    <row r="616">
      <c r="A616" s="1" t="s">
        <v>353</v>
      </c>
      <c r="B616" s="38">
        <v>663903.0</v>
      </c>
      <c r="C616" s="44" t="s">
        <v>539</v>
      </c>
      <c r="D616" s="38">
        <v>251.0</v>
      </c>
      <c r="E616" s="39">
        <f>IFERROR(__xludf.DUMMYFUNCTION("sum(filter('PLA Sheet'!H:H,'PLA Sheet'!C:C=B616,'PLA Sheet'!D:D=C616))"),15.240233918000001)</f>
        <v>15.24023392</v>
      </c>
      <c r="F616" s="40">
        <v>5.020046516</v>
      </c>
      <c r="G616" s="40">
        <f>IFERROR(__xludf.DUMMYFUNCTION("sum(filter('PLA Sheet'!J:J,'PLA Sheet'!C:C=B616,'PLA Sheet'!D:D=C616))/E616*9"),3.380707164812429)</f>
        <v>3.380707165</v>
      </c>
      <c r="H616" s="41">
        <v>0.454183267</v>
      </c>
      <c r="I616" s="41">
        <v>0.19123506</v>
      </c>
      <c r="J616" s="41">
        <v>0.354581673</v>
      </c>
      <c r="K616" s="41">
        <f t="shared" si="1"/>
        <v>0.099601594</v>
      </c>
      <c r="L616" s="42">
        <v>-2.252483184</v>
      </c>
      <c r="M616" s="45">
        <f>('Cy Young Rank'!O$1-G616)*E616/9</f>
        <v>1.150286856</v>
      </c>
      <c r="N616" s="42"/>
      <c r="O616" s="66"/>
      <c r="P616" s="42"/>
      <c r="Q616" s="67"/>
      <c r="R616" s="67"/>
    </row>
    <row r="617">
      <c r="A617" s="1" t="s">
        <v>339</v>
      </c>
      <c r="B617" s="38">
        <v>686613.0</v>
      </c>
      <c r="C617" s="44" t="s">
        <v>537</v>
      </c>
      <c r="D617" s="38">
        <v>1088.0</v>
      </c>
      <c r="E617" s="39">
        <f>IFERROR(__xludf.DUMMYFUNCTION("sum(filter('PLA Sheet'!H:H,'PLA Sheet'!C:C=B617,'PLA Sheet'!D:D=C617))"),70.32905694)</f>
        <v>70.32905694</v>
      </c>
      <c r="F617" s="40">
        <v>5.019021</v>
      </c>
      <c r="G617" s="40">
        <f>IFERROR(__xludf.DUMMYFUNCTION("sum(filter('PLA Sheet'!J:J,'PLA Sheet'!C:C=B617,'PLA Sheet'!D:D=C617))/E617*9"),3.409930225633422)</f>
        <v>3.409930226</v>
      </c>
      <c r="H617" s="41">
        <v>0.481617647</v>
      </c>
      <c r="I617" s="41">
        <v>0.152573529</v>
      </c>
      <c r="J617" s="41">
        <v>0.365808824</v>
      </c>
      <c r="K617" s="41">
        <f t="shared" si="1"/>
        <v>0.115808823</v>
      </c>
      <c r="L617" s="42">
        <v>11.51761683</v>
      </c>
      <c r="M617" s="45">
        <f>('Cy Young Rank'!O$1-G617)*E617/9</f>
        <v>5.07986602</v>
      </c>
      <c r="N617" s="42"/>
      <c r="O617" s="66"/>
      <c r="P617" s="42"/>
      <c r="Q617" s="67"/>
      <c r="R617" s="67"/>
    </row>
    <row r="618">
      <c r="A618" s="1" t="s">
        <v>400</v>
      </c>
      <c r="B618" s="38">
        <v>670955.0</v>
      </c>
      <c r="C618" s="44" t="s">
        <v>537</v>
      </c>
      <c r="D618" s="38">
        <v>473.0</v>
      </c>
      <c r="E618" s="39">
        <f>IFERROR(__xludf.DUMMYFUNCTION("sum(filter('PLA Sheet'!H:H,'PLA Sheet'!C:C=B618,'PLA Sheet'!D:D=C618))"),30.86326194)</f>
        <v>30.86326194</v>
      </c>
      <c r="F618" s="40">
        <v>5.018832022</v>
      </c>
      <c r="G618" s="40">
        <f>IFERROR(__xludf.DUMMYFUNCTION("sum(filter('PLA Sheet'!J:J,'PLA Sheet'!C:C=B618,'PLA Sheet'!D:D=C618))/E618*9"),3.6428269059365666)</f>
        <v>3.642826906</v>
      </c>
      <c r="H618" s="41">
        <v>0.503171247</v>
      </c>
      <c r="I618" s="41">
        <v>0.133192389</v>
      </c>
      <c r="J618" s="41">
        <v>0.363636364</v>
      </c>
      <c r="K618" s="41">
        <f t="shared" si="1"/>
        <v>0.139534883</v>
      </c>
      <c r="L618" s="42">
        <v>1.428856654</v>
      </c>
      <c r="M618" s="45">
        <f>('Cy Young Rank'!O$1-G618)*E618/9</f>
        <v>1.430591386</v>
      </c>
      <c r="N618" s="42"/>
      <c r="O618" s="66"/>
      <c r="P618" s="42"/>
      <c r="Q618" s="67"/>
      <c r="R618" s="67"/>
    </row>
    <row r="619">
      <c r="A619" s="1" t="s">
        <v>220</v>
      </c>
      <c r="B619" s="38">
        <v>663559.0</v>
      </c>
      <c r="C619" s="44" t="s">
        <v>533</v>
      </c>
      <c r="D619" s="38">
        <v>339.0</v>
      </c>
      <c r="E619" s="39">
        <f>IFERROR(__xludf.DUMMYFUNCTION("sum(filter('PLA Sheet'!H:H,'PLA Sheet'!C:C=B619,'PLA Sheet'!D:D=C619))"),22.741158380999998)</f>
        <v>22.74115838</v>
      </c>
      <c r="F619" s="40">
        <v>5.018659283</v>
      </c>
      <c r="G619" s="40">
        <f>IFERROR(__xludf.DUMMYFUNCTION("sum(filter('PLA Sheet'!J:J,'PLA Sheet'!C:C=B619,'PLA Sheet'!D:D=C619))/E619*9"),3.1950810412853263)</f>
        <v>3.195081041</v>
      </c>
      <c r="H619" s="41">
        <v>0.415929204</v>
      </c>
      <c r="I619" s="41">
        <v>0.221238938</v>
      </c>
      <c r="J619" s="41">
        <v>0.362831858</v>
      </c>
      <c r="K619" s="41">
        <f t="shared" si="1"/>
        <v>0.053097346</v>
      </c>
      <c r="L619" s="42">
        <v>-1.890565813</v>
      </c>
      <c r="M619" s="45">
        <f>('Cy Young Rank'!O$1-G619)*E619/9</f>
        <v>2.185473225</v>
      </c>
      <c r="N619" s="42"/>
      <c r="O619" s="66"/>
      <c r="P619" s="42"/>
      <c r="Q619" s="67"/>
      <c r="R619" s="67"/>
    </row>
    <row r="620">
      <c r="A620" s="1" t="s">
        <v>397</v>
      </c>
      <c r="B620" s="38">
        <v>660896.0</v>
      </c>
      <c r="C620" s="44" t="s">
        <v>537</v>
      </c>
      <c r="D620" s="38">
        <v>474.0</v>
      </c>
      <c r="E620" s="39">
        <f>IFERROR(__xludf.DUMMYFUNCTION("sum(filter('PLA Sheet'!H:H,'PLA Sheet'!C:C=B620,'PLA Sheet'!D:D=C620))"),25.31663516)</f>
        <v>25.31663516</v>
      </c>
      <c r="F620" s="40">
        <v>5.016048794</v>
      </c>
      <c r="G620" s="40">
        <f>IFERROR(__xludf.DUMMYFUNCTION("sum(filter('PLA Sheet'!J:J,'PLA Sheet'!C:C=B620,'PLA Sheet'!D:D=C620))/E620*9"),4.172579860332434)</f>
        <v>4.17257986</v>
      </c>
      <c r="H620" s="41">
        <v>0.504219409</v>
      </c>
      <c r="I620" s="41">
        <v>0.151898734</v>
      </c>
      <c r="J620" s="41">
        <v>0.343881857</v>
      </c>
      <c r="K620" s="41">
        <f t="shared" si="1"/>
        <v>0.160337552</v>
      </c>
      <c r="L620" s="42">
        <v>0.498128362</v>
      </c>
      <c r="M620" s="45">
        <f>('Cy Young Rank'!O$1-G620)*E620/9</f>
        <v>-0.3166825834</v>
      </c>
      <c r="N620" s="42"/>
      <c r="O620" s="66"/>
      <c r="P620" s="42"/>
      <c r="Q620" s="67"/>
      <c r="R620" s="67"/>
    </row>
    <row r="621">
      <c r="A621" s="1" t="s">
        <v>431</v>
      </c>
      <c r="B621" s="38">
        <v>669203.0</v>
      </c>
      <c r="C621" s="44" t="s">
        <v>540</v>
      </c>
      <c r="D621" s="38">
        <v>532.0</v>
      </c>
      <c r="E621" s="39">
        <f>IFERROR(__xludf.DUMMYFUNCTION("sum(filter('PLA Sheet'!H:H,'PLA Sheet'!C:C=B621,'PLA Sheet'!D:D=C621))"),35.32276181)</f>
        <v>35.32276181</v>
      </c>
      <c r="F621" s="40">
        <v>5.015970008</v>
      </c>
      <c r="G621" s="40">
        <f>IFERROR(__xludf.DUMMYFUNCTION("sum(filter('PLA Sheet'!J:J,'PLA Sheet'!C:C=B621,'PLA Sheet'!D:D=C621))/E621*9"),3.3445660516430604)</f>
        <v>3.344566052</v>
      </c>
      <c r="H621" s="41">
        <v>0.507518797</v>
      </c>
      <c r="I621" s="41">
        <v>0.163533835</v>
      </c>
      <c r="J621" s="41">
        <v>0.328947368</v>
      </c>
      <c r="K621" s="41">
        <f t="shared" si="1"/>
        <v>0.178571429</v>
      </c>
      <c r="L621" s="42">
        <v>8.35153945</v>
      </c>
      <c r="M621" s="45">
        <f>('Cy Young Rank'!O$1-G621)*E621/9</f>
        <v>2.807900328</v>
      </c>
      <c r="N621" s="42"/>
      <c r="O621" s="66"/>
      <c r="P621" s="42"/>
      <c r="Q621" s="67"/>
      <c r="R621" s="67"/>
    </row>
    <row r="622">
      <c r="A622" s="1" t="s">
        <v>464</v>
      </c>
      <c r="B622" s="38">
        <v>615698.0</v>
      </c>
      <c r="C622" s="44" t="s">
        <v>536</v>
      </c>
      <c r="D622" s="38">
        <v>326.0</v>
      </c>
      <c r="E622" s="39">
        <f>IFERROR(__xludf.DUMMYFUNCTION("sum(filter('PLA Sheet'!H:H,'PLA Sheet'!C:C=B622,'PLA Sheet'!D:D=C622))"),19.562156766999998)</f>
        <v>19.56215677</v>
      </c>
      <c r="F622" s="40">
        <v>5.015304426</v>
      </c>
      <c r="G622" s="40">
        <f>IFERROR(__xludf.DUMMYFUNCTION("sum(filter('PLA Sheet'!J:J,'PLA Sheet'!C:C=B622,'PLA Sheet'!D:D=C622))/E622*9"),3.6090515908296323)</f>
        <v>3.609051591</v>
      </c>
      <c r="H622" s="41">
        <v>0.463190184</v>
      </c>
      <c r="I622" s="41">
        <v>0.220858896</v>
      </c>
      <c r="J622" s="41">
        <v>0.31595092</v>
      </c>
      <c r="K622" s="41">
        <f t="shared" si="1"/>
        <v>0.147239264</v>
      </c>
      <c r="L622" s="42">
        <v>10.93039438</v>
      </c>
      <c r="M622" s="45">
        <f>('Cy Young Rank'!O$1-G622)*E622/9</f>
        <v>0.9801692749</v>
      </c>
      <c r="N622" s="42"/>
      <c r="O622" s="66"/>
      <c r="P622" s="42"/>
      <c r="Q622" s="67"/>
      <c r="R622" s="67"/>
    </row>
    <row r="623">
      <c r="A623" s="1" t="s">
        <v>183</v>
      </c>
      <c r="B623" s="38">
        <v>670280.0</v>
      </c>
      <c r="C623" s="44" t="s">
        <v>541</v>
      </c>
      <c r="D623" s="38">
        <v>354.0</v>
      </c>
      <c r="E623" s="39">
        <f>IFERROR(__xludf.DUMMYFUNCTION("sum(filter('PLA Sheet'!H:H,'PLA Sheet'!C:C=B623,'PLA Sheet'!D:D=C623))"),22.754334309999997)</f>
        <v>22.75433431</v>
      </c>
      <c r="F623" s="40">
        <v>5.015177714</v>
      </c>
      <c r="G623" s="40">
        <f>IFERROR(__xludf.DUMMYFUNCTION("sum(filter('PLA Sheet'!J:J,'PLA Sheet'!C:C=B623,'PLA Sheet'!D:D=C623))/E623*9"),3.314778976717953)</f>
        <v>3.314778977</v>
      </c>
      <c r="H623" s="41">
        <v>0.457627119</v>
      </c>
      <c r="I623" s="41">
        <v>0.186440678</v>
      </c>
      <c r="J623" s="41">
        <v>0.355932203</v>
      </c>
      <c r="K623" s="41">
        <f t="shared" si="1"/>
        <v>0.101694916</v>
      </c>
      <c r="L623" s="42">
        <v>10.16070181</v>
      </c>
      <c r="M623" s="45">
        <f>('Cy Young Rank'!O$1-G623)*E623/9</f>
        <v>1.884112033</v>
      </c>
      <c r="N623" s="42"/>
      <c r="O623" s="66"/>
      <c r="P623" s="42"/>
      <c r="Q623" s="67"/>
      <c r="R623" s="67"/>
    </row>
    <row r="624">
      <c r="A624" s="1" t="s">
        <v>330</v>
      </c>
      <c r="B624" s="38">
        <v>680730.0</v>
      </c>
      <c r="C624" s="44" t="s">
        <v>537</v>
      </c>
      <c r="D624" s="38">
        <v>1434.0</v>
      </c>
      <c r="E624" s="39">
        <f>IFERROR(__xludf.DUMMYFUNCTION("sum(filter('PLA Sheet'!H:H,'PLA Sheet'!C:C=B624,'PLA Sheet'!D:D=C624))"),91.34615385)</f>
        <v>91.34615385</v>
      </c>
      <c r="F624" s="40">
        <v>5.014478352</v>
      </c>
      <c r="G624" s="40">
        <f>IFERROR(__xludf.DUMMYFUNCTION("sum(filter('PLA Sheet'!J:J,'PLA Sheet'!C:C=B624,'PLA Sheet'!D:D=C624))/E624*9"),3.4628461918541964)</f>
        <v>3.462846192</v>
      </c>
      <c r="H624" s="41">
        <v>0.483263598</v>
      </c>
      <c r="I624" s="41">
        <v>0.161785216</v>
      </c>
      <c r="J624" s="41">
        <v>0.354951185</v>
      </c>
      <c r="K624" s="41">
        <f t="shared" si="1"/>
        <v>0.128312413</v>
      </c>
      <c r="L624" s="42">
        <v>-13.91633438</v>
      </c>
      <c r="M624" s="45">
        <f>('Cy Young Rank'!O$1-G624)*E624/9</f>
        <v>6.060855959</v>
      </c>
      <c r="N624" s="42"/>
      <c r="O624" s="66"/>
      <c r="P624" s="42"/>
      <c r="Q624" s="67"/>
      <c r="R624" s="67"/>
    </row>
    <row r="625">
      <c r="A625" s="1" t="s">
        <v>107</v>
      </c>
      <c r="B625" s="38">
        <v>657571.0</v>
      </c>
      <c r="C625" s="44" t="s">
        <v>537</v>
      </c>
      <c r="D625" s="38">
        <v>302.0</v>
      </c>
      <c r="E625" s="39">
        <f>IFERROR(__xludf.DUMMYFUNCTION("sum(filter('PLA Sheet'!H:H,'PLA Sheet'!C:C=B625,'PLA Sheet'!D:D=C625))"),20.628278948)</f>
        <v>20.62827895</v>
      </c>
      <c r="F625" s="40">
        <v>5.013362179</v>
      </c>
      <c r="G625" s="40">
        <f>IFERROR(__xludf.DUMMYFUNCTION("sum(filter('PLA Sheet'!J:J,'PLA Sheet'!C:C=B625,'PLA Sheet'!D:D=C625))/E625*9"),3.400748515028274)</f>
        <v>3.400748515</v>
      </c>
      <c r="H625" s="41">
        <v>0.466887417</v>
      </c>
      <c r="I625" s="41">
        <v>0.182119205</v>
      </c>
      <c r="J625" s="41">
        <v>0.350993377</v>
      </c>
      <c r="K625" s="41">
        <f t="shared" si="1"/>
        <v>0.11589404</v>
      </c>
      <c r="L625" s="42">
        <v>-2.8648081</v>
      </c>
      <c r="M625" s="45">
        <f>('Cy Young Rank'!O$1-G625)*E625/9</f>
        <v>1.511024837</v>
      </c>
      <c r="N625" s="42"/>
      <c r="O625" s="66"/>
      <c r="P625" s="42"/>
      <c r="Q625" s="67"/>
      <c r="R625" s="67"/>
    </row>
    <row r="626">
      <c r="A626" s="1" t="s">
        <v>445</v>
      </c>
      <c r="B626" s="38">
        <v>663855.0</v>
      </c>
      <c r="C626" s="44" t="s">
        <v>539</v>
      </c>
      <c r="D626" s="38">
        <v>278.0</v>
      </c>
      <c r="E626" s="39">
        <f>IFERROR(__xludf.DUMMYFUNCTION("sum(filter('PLA Sheet'!H:H,'PLA Sheet'!C:C=B626,'PLA Sheet'!D:D=C626))"),16.186978298)</f>
        <v>16.1869783</v>
      </c>
      <c r="F626" s="40">
        <v>5.0116985</v>
      </c>
      <c r="G626" s="40">
        <f>IFERROR(__xludf.DUMMYFUNCTION("sum(filter('PLA Sheet'!J:J,'PLA Sheet'!C:C=B626,'PLA Sheet'!D:D=C626))/E626*9"),3.6769494530893327)</f>
        <v>3.676949453</v>
      </c>
      <c r="H626" s="41">
        <v>0.464028777</v>
      </c>
      <c r="I626" s="41">
        <v>0.165467626</v>
      </c>
      <c r="J626" s="41">
        <v>0.370503597</v>
      </c>
      <c r="K626" s="41">
        <f t="shared" si="1"/>
        <v>0.09352518</v>
      </c>
      <c r="L626" s="42">
        <v>-2.509796766</v>
      </c>
      <c r="M626" s="45">
        <f>('Cy Young Rank'!O$1-G626)*E626/9</f>
        <v>0.6889367655</v>
      </c>
      <c r="N626" s="42"/>
      <c r="O626" s="66"/>
      <c r="P626" s="42"/>
      <c r="Q626" s="67"/>
      <c r="R626" s="67"/>
    </row>
    <row r="627">
      <c r="A627" s="1" t="s">
        <v>246</v>
      </c>
      <c r="B627" s="38">
        <v>571510.0</v>
      </c>
      <c r="C627" s="44" t="s">
        <v>537</v>
      </c>
      <c r="D627" s="38">
        <v>1231.0</v>
      </c>
      <c r="E627" s="39">
        <f>IFERROR(__xludf.DUMMYFUNCTION("sum(filter('PLA Sheet'!H:H,'PLA Sheet'!C:C=B627,'PLA Sheet'!D:D=C627))"),83.48676863)</f>
        <v>83.48676863</v>
      </c>
      <c r="F627" s="40">
        <v>5.011245438</v>
      </c>
      <c r="G627" s="40">
        <f>IFERROR(__xludf.DUMMYFUNCTION("sum(filter('PLA Sheet'!J:J,'PLA Sheet'!C:C=B627,'PLA Sheet'!D:D=C627))/E627*9"),3.3859893686006233)</f>
        <v>3.385989369</v>
      </c>
      <c r="H627" s="41">
        <v>0.447603574</v>
      </c>
      <c r="I627" s="41">
        <v>0.183590577</v>
      </c>
      <c r="J627" s="41">
        <v>0.368805849</v>
      </c>
      <c r="K627" s="41">
        <f t="shared" si="1"/>
        <v>0.078797725</v>
      </c>
      <c r="L627" s="42">
        <v>5.621801599</v>
      </c>
      <c r="M627" s="45">
        <f>('Cy Young Rank'!O$1-G627)*E627/9</f>
        <v>6.25232996</v>
      </c>
      <c r="N627" s="42"/>
      <c r="O627" s="66"/>
      <c r="P627" s="42"/>
      <c r="Q627" s="67"/>
      <c r="R627" s="67"/>
    </row>
    <row r="628">
      <c r="A628" s="1" t="s">
        <v>307</v>
      </c>
      <c r="B628" s="38">
        <v>656849.0</v>
      </c>
      <c r="C628" s="44" t="s">
        <v>541</v>
      </c>
      <c r="D628" s="38">
        <v>349.0</v>
      </c>
      <c r="E628" s="39">
        <f>IFERROR(__xludf.DUMMYFUNCTION("sum(filter('PLA Sheet'!H:H,'PLA Sheet'!C:C=B628,'PLA Sheet'!D:D=C628))"),23.139290568)</f>
        <v>23.13929057</v>
      </c>
      <c r="F628" s="40">
        <v>5.01112963</v>
      </c>
      <c r="G628" s="40">
        <f>IFERROR(__xludf.DUMMYFUNCTION("sum(filter('PLA Sheet'!J:J,'PLA Sheet'!C:C=B628,'PLA Sheet'!D:D=C628))/E628*9"),3.333188404084524)</f>
        <v>3.333188404</v>
      </c>
      <c r="H628" s="41">
        <v>0.489971347</v>
      </c>
      <c r="I628" s="41">
        <v>0.140401146</v>
      </c>
      <c r="J628" s="41">
        <v>0.369627507</v>
      </c>
      <c r="K628" s="41">
        <f t="shared" si="1"/>
        <v>0.12034384</v>
      </c>
      <c r="L628" s="42">
        <v>4.339006492</v>
      </c>
      <c r="M628" s="45">
        <f>('Cy Young Rank'!O$1-G628)*E628/9</f>
        <v>1.868656078</v>
      </c>
      <c r="N628" s="42"/>
      <c r="O628" s="66"/>
      <c r="P628" s="42"/>
      <c r="Q628" s="67"/>
      <c r="R628" s="67"/>
    </row>
    <row r="629">
      <c r="A629" s="1" t="s">
        <v>353</v>
      </c>
      <c r="B629" s="38">
        <v>663903.0</v>
      </c>
      <c r="C629" s="44" t="s">
        <v>540</v>
      </c>
      <c r="D629" s="38">
        <v>272.0</v>
      </c>
      <c r="E629" s="39">
        <f>IFERROR(__xludf.DUMMYFUNCTION("sum(filter('PLA Sheet'!H:H,'PLA Sheet'!C:C=B629,'PLA Sheet'!D:D=C629))"),16.430877189)</f>
        <v>16.43087719</v>
      </c>
      <c r="F629" s="40">
        <v>5.010536395</v>
      </c>
      <c r="G629" s="40">
        <f>IFERROR(__xludf.DUMMYFUNCTION("sum(filter('PLA Sheet'!J:J,'PLA Sheet'!C:C=B629,'PLA Sheet'!D:D=C629))/E629*9"),3.4917440097725994)</f>
        <v>3.49174401</v>
      </c>
      <c r="H629" s="41">
        <v>0.492647059</v>
      </c>
      <c r="I629" s="41">
        <v>0.102941176</v>
      </c>
      <c r="J629" s="41">
        <v>0.404411765</v>
      </c>
      <c r="K629" s="41">
        <f t="shared" si="1"/>
        <v>0.088235294</v>
      </c>
      <c r="L629" s="42">
        <v>-4.04005963</v>
      </c>
      <c r="M629" s="45">
        <f>('Cy Young Rank'!O$1-G629)*E629/9</f>
        <v>1.037438265</v>
      </c>
      <c r="N629" s="42"/>
      <c r="O629" s="66"/>
      <c r="P629" s="42"/>
      <c r="Q629" s="67"/>
      <c r="R629" s="67"/>
    </row>
    <row r="630">
      <c r="A630" s="1" t="s">
        <v>364</v>
      </c>
      <c r="B630" s="38">
        <v>693855.0</v>
      </c>
      <c r="C630" s="44" t="s">
        <v>532</v>
      </c>
      <c r="D630" s="38">
        <v>306.0</v>
      </c>
      <c r="E630" s="39">
        <f>IFERROR(__xludf.DUMMYFUNCTION("sum(filter('PLA Sheet'!H:H,'PLA Sheet'!C:C=B630,'PLA Sheet'!D:D=C630))"),18.045226133)</f>
        <v>18.04522613</v>
      </c>
      <c r="F630" s="40">
        <v>5.008968618</v>
      </c>
      <c r="G630" s="40">
        <f>IFERROR(__xludf.DUMMYFUNCTION("sum(filter('PLA Sheet'!J:J,'PLA Sheet'!C:C=B630,'PLA Sheet'!D:D=C630))/E630*9"),3.383359596051231)</f>
        <v>3.383359596</v>
      </c>
      <c r="H630" s="41">
        <v>0.424836601</v>
      </c>
      <c r="I630" s="41">
        <v>0.176470588</v>
      </c>
      <c r="J630" s="41">
        <v>0.39869281</v>
      </c>
      <c r="K630" s="41">
        <f t="shared" si="1"/>
        <v>0.026143791</v>
      </c>
      <c r="L630" s="42">
        <v>4.875622828</v>
      </c>
      <c r="M630" s="45">
        <f>('Cy Young Rank'!O$1-G630)*E630/9</f>
        <v>1.356681011</v>
      </c>
      <c r="N630" s="42"/>
      <c r="O630" s="66"/>
      <c r="P630" s="42"/>
      <c r="Q630" s="67"/>
      <c r="R630" s="67"/>
    </row>
    <row r="631">
      <c r="A631" s="1" t="s">
        <v>320</v>
      </c>
      <c r="B631" s="38">
        <v>681347.0</v>
      </c>
      <c r="C631" s="44" t="s">
        <v>537</v>
      </c>
      <c r="D631" s="38">
        <v>579.0</v>
      </c>
      <c r="E631" s="39">
        <f>IFERROR(__xludf.DUMMYFUNCTION("sum(filter('PLA Sheet'!H:H,'PLA Sheet'!C:C=B631,'PLA Sheet'!D:D=C631))"),37.66297983)</f>
        <v>37.66297983</v>
      </c>
      <c r="F631" s="40">
        <v>5.008633222</v>
      </c>
      <c r="G631" s="40">
        <f>IFERROR(__xludf.DUMMYFUNCTION("sum(filter('PLA Sheet'!J:J,'PLA Sheet'!C:C=B631,'PLA Sheet'!D:D=C631))/E631*9"),3.5066936975283935)</f>
        <v>3.506693698</v>
      </c>
      <c r="H631" s="41">
        <v>0.476683938</v>
      </c>
      <c r="I631" s="41">
        <v>0.165803109</v>
      </c>
      <c r="J631" s="41">
        <v>0.357512953</v>
      </c>
      <c r="K631" s="41">
        <f t="shared" si="1"/>
        <v>0.119170985</v>
      </c>
      <c r="L631" s="42">
        <v>-10.96928304</v>
      </c>
      <c r="M631" s="45">
        <f>('Cy Young Rank'!O$1-G631)*E631/9</f>
        <v>2.315462679</v>
      </c>
      <c r="N631" s="42"/>
      <c r="O631" s="66"/>
      <c r="P631" s="42"/>
      <c r="Q631" s="67"/>
      <c r="R631" s="67"/>
    </row>
    <row r="632">
      <c r="A632" s="1" t="s">
        <v>476</v>
      </c>
      <c r="B632" s="38">
        <v>500779.0</v>
      </c>
      <c r="C632" s="44" t="s">
        <v>541</v>
      </c>
      <c r="D632" s="38">
        <v>450.0</v>
      </c>
      <c r="E632" s="39">
        <f>IFERROR(__xludf.DUMMYFUNCTION("sum(filter('PLA Sheet'!H:H,'PLA Sheet'!C:C=B632,'PLA Sheet'!D:D=C632))"),28.88914443)</f>
        <v>28.88914443</v>
      </c>
      <c r="F632" s="40">
        <v>5.008514171</v>
      </c>
      <c r="G632" s="40">
        <f>IFERROR(__xludf.DUMMYFUNCTION("sum(filter('PLA Sheet'!J:J,'PLA Sheet'!C:C=B632,'PLA Sheet'!D:D=C632))/E632*9"),2.7914630422995876)</f>
        <v>2.791463042</v>
      </c>
      <c r="H632" s="41">
        <v>0.44</v>
      </c>
      <c r="I632" s="41">
        <v>0.18</v>
      </c>
      <c r="J632" s="41">
        <v>0.38</v>
      </c>
      <c r="K632" s="41">
        <f t="shared" si="1"/>
        <v>0.06</v>
      </c>
      <c r="L632" s="42">
        <v>2.988856096</v>
      </c>
      <c r="M632" s="45">
        <f>('Cy Young Rank'!O$1-G632)*E632/9</f>
        <v>4.071883043</v>
      </c>
      <c r="N632" s="42"/>
      <c r="O632" s="66"/>
      <c r="P632" s="42"/>
      <c r="Q632" s="67"/>
      <c r="R632" s="67"/>
    </row>
    <row r="633">
      <c r="A633" s="1" t="s">
        <v>185</v>
      </c>
      <c r="B633" s="38">
        <v>664076.0</v>
      </c>
      <c r="C633" s="44" t="s">
        <v>536</v>
      </c>
      <c r="D633" s="38">
        <v>307.0</v>
      </c>
      <c r="E633" s="39">
        <f>IFERROR(__xludf.DUMMYFUNCTION("sum(filter('PLA Sheet'!H:H,'PLA Sheet'!C:C=B633,'PLA Sheet'!D:D=C633))"),22.526315789999998)</f>
        <v>22.52631579</v>
      </c>
      <c r="F633" s="40">
        <v>5.007799249</v>
      </c>
      <c r="G633" s="40">
        <f>IFERROR(__xludf.DUMMYFUNCTION("sum(filter('PLA Sheet'!J:J,'PLA Sheet'!C:C=B633,'PLA Sheet'!D:D=C633))/E633*9"),2.9717306915193524)</f>
        <v>2.971730692</v>
      </c>
      <c r="H633" s="41">
        <v>0.560260586</v>
      </c>
      <c r="I633" s="41">
        <v>0.140065147</v>
      </c>
      <c r="J633" s="41">
        <v>0.299674267</v>
      </c>
      <c r="K633" s="41">
        <f t="shared" si="1"/>
        <v>0.260586319</v>
      </c>
      <c r="L633" s="42">
        <v>4.775474602</v>
      </c>
      <c r="M633" s="45">
        <f>('Cy Young Rank'!O$1-G633)*E633/9</f>
        <v>2.723855345</v>
      </c>
      <c r="N633" s="42"/>
      <c r="O633" s="66"/>
      <c r="P633" s="42"/>
      <c r="Q633" s="67"/>
      <c r="R633" s="67"/>
    </row>
    <row r="634">
      <c r="A634" s="1" t="s">
        <v>381</v>
      </c>
      <c r="B634" s="38">
        <v>820862.0</v>
      </c>
      <c r="C634" s="44" t="s">
        <v>533</v>
      </c>
      <c r="D634" s="38">
        <v>304.0</v>
      </c>
      <c r="E634" s="39">
        <f>IFERROR(__xludf.DUMMYFUNCTION("sum(filter('PLA Sheet'!H:H,'PLA Sheet'!C:C=B634,'PLA Sheet'!D:D=C634))"),16.873901808)</f>
        <v>16.87390181</v>
      </c>
      <c r="F634" s="40">
        <v>5.006352305</v>
      </c>
      <c r="G634" s="40">
        <f>IFERROR(__xludf.DUMMYFUNCTION("sum(filter('PLA Sheet'!J:J,'PLA Sheet'!C:C=B634,'PLA Sheet'!D:D=C634))/E634*9"),3.8853445839608503)</f>
        <v>3.885344584</v>
      </c>
      <c r="H634" s="41">
        <v>0.476973684</v>
      </c>
      <c r="I634" s="41">
        <v>0.154605263</v>
      </c>
      <c r="J634" s="41">
        <v>0.368421053</v>
      </c>
      <c r="K634" s="41">
        <f t="shared" si="1"/>
        <v>0.108552631</v>
      </c>
      <c r="L634" s="42">
        <v>6.412732496</v>
      </c>
      <c r="M634" s="45">
        <f>('Cy Young Rank'!O$1-G634)*E634/9</f>
        <v>0.3274575934</v>
      </c>
      <c r="N634" s="42"/>
      <c r="O634" s="66"/>
      <c r="P634" s="42"/>
      <c r="Q634" s="67"/>
      <c r="R634" s="67"/>
    </row>
    <row r="635">
      <c r="A635" s="1" t="s">
        <v>487</v>
      </c>
      <c r="B635" s="38">
        <v>676428.0</v>
      </c>
      <c r="C635" s="44" t="s">
        <v>539</v>
      </c>
      <c r="D635" s="38">
        <v>324.0</v>
      </c>
      <c r="E635" s="39">
        <f>IFERROR(__xludf.DUMMYFUNCTION("sum(filter('PLA Sheet'!H:H,'PLA Sheet'!C:C=B635,'PLA Sheet'!D:D=C635))"),19.882129277)</f>
        <v>19.88212928</v>
      </c>
      <c r="F635" s="40">
        <v>5.005486245</v>
      </c>
      <c r="G635" s="40">
        <f>IFERROR(__xludf.DUMMYFUNCTION("sum(filter('PLA Sheet'!J:J,'PLA Sheet'!C:C=B635,'PLA Sheet'!D:D=C635))/E635*9"),3.4464837264321146)</f>
        <v>3.446483726</v>
      </c>
      <c r="H635" s="41">
        <v>0.435185185</v>
      </c>
      <c r="I635" s="41">
        <v>0.206790123</v>
      </c>
      <c r="J635" s="41">
        <v>0.358024691</v>
      </c>
      <c r="K635" s="41">
        <f t="shared" si="1"/>
        <v>0.077160494</v>
      </c>
      <c r="L635" s="42">
        <v>5.055819522</v>
      </c>
      <c r="M635" s="45">
        <f>('Cy Young Rank'!O$1-G635)*E635/9</f>
        <v>1.355334429</v>
      </c>
      <c r="N635" s="42"/>
      <c r="O635" s="66"/>
      <c r="P635" s="42"/>
      <c r="Q635" s="67"/>
      <c r="R635" s="67"/>
    </row>
    <row r="636">
      <c r="A636" s="1" t="s">
        <v>318</v>
      </c>
      <c r="B636" s="38">
        <v>681982.0</v>
      </c>
      <c r="C636" s="44" t="s">
        <v>537</v>
      </c>
      <c r="D636" s="38">
        <v>377.0</v>
      </c>
      <c r="E636" s="39">
        <f>IFERROR(__xludf.DUMMYFUNCTION("sum(filter('PLA Sheet'!H:H,'PLA Sheet'!C:C=B636,'PLA Sheet'!D:D=C636))"),23.121866901)</f>
        <v>23.1218669</v>
      </c>
      <c r="F636" s="40">
        <v>5.005189108</v>
      </c>
      <c r="G636" s="40">
        <f>IFERROR(__xludf.DUMMYFUNCTION("sum(filter('PLA Sheet'!J:J,'PLA Sheet'!C:C=B636,'PLA Sheet'!D:D=C636))/E636*9"),3.7996239826205542)</f>
        <v>3.799623983</v>
      </c>
      <c r="H636" s="41">
        <v>0.477453581</v>
      </c>
      <c r="I636" s="41">
        <v>0.159151194</v>
      </c>
      <c r="J636" s="41">
        <v>0.363395225</v>
      </c>
      <c r="K636" s="41">
        <f t="shared" si="1"/>
        <v>0.114058356</v>
      </c>
      <c r="L636" s="42">
        <v>7.745460055</v>
      </c>
      <c r="M636" s="45">
        <f>('Cy Young Rank'!O$1-G636)*E636/9</f>
        <v>0.6689310687</v>
      </c>
      <c r="N636" s="42"/>
      <c r="O636" s="66"/>
      <c r="P636" s="42"/>
      <c r="Q636" s="67"/>
      <c r="R636" s="67"/>
    </row>
    <row r="637">
      <c r="A637" s="1" t="s">
        <v>372</v>
      </c>
      <c r="B637" s="38">
        <v>671106.0</v>
      </c>
      <c r="C637" s="44" t="s">
        <v>539</v>
      </c>
      <c r="D637" s="38">
        <v>603.0</v>
      </c>
      <c r="E637" s="39">
        <f>IFERROR(__xludf.DUMMYFUNCTION("sum(filter('PLA Sheet'!H:H,'PLA Sheet'!C:C=B637,'PLA Sheet'!D:D=C637))"),36.35870904)</f>
        <v>36.35870904</v>
      </c>
      <c r="F637" s="40">
        <v>5.004454427</v>
      </c>
      <c r="G637" s="40">
        <f>IFERROR(__xludf.DUMMYFUNCTION("sum(filter('PLA Sheet'!J:J,'PLA Sheet'!C:C=B637,'PLA Sheet'!D:D=C637))/E637*9"),3.518768498057762)</f>
        <v>3.518768498</v>
      </c>
      <c r="H637" s="41">
        <v>0.444444444</v>
      </c>
      <c r="I637" s="41">
        <v>0.175787728</v>
      </c>
      <c r="J637" s="41">
        <v>0.379767828</v>
      </c>
      <c r="K637" s="41">
        <f t="shared" si="1"/>
        <v>0.064676616</v>
      </c>
      <c r="L637" s="42">
        <v>-3.776969645</v>
      </c>
      <c r="M637" s="45">
        <f>('Cy Young Rank'!O$1-G637)*E637/9</f>
        <v>2.186497634</v>
      </c>
      <c r="N637" s="42"/>
      <c r="O637" s="66"/>
      <c r="P637" s="42"/>
      <c r="Q637" s="67"/>
      <c r="R637" s="67"/>
    </row>
    <row r="638">
      <c r="A638" s="1" t="s">
        <v>290</v>
      </c>
      <c r="B638" s="38">
        <v>669461.0</v>
      </c>
      <c r="C638" s="44" t="s">
        <v>532</v>
      </c>
      <c r="D638" s="38">
        <v>290.0</v>
      </c>
      <c r="E638" s="39">
        <f>IFERROR(__xludf.DUMMYFUNCTION("sum(filter('PLA Sheet'!H:H,'PLA Sheet'!C:C=B638,'PLA Sheet'!D:D=C638))"),18.807429132)</f>
        <v>18.80742913</v>
      </c>
      <c r="F638" s="40">
        <v>5.003736481</v>
      </c>
      <c r="G638" s="40">
        <f>IFERROR(__xludf.DUMMYFUNCTION("sum(filter('PLA Sheet'!J:J,'PLA Sheet'!C:C=B638,'PLA Sheet'!D:D=C638))/E638*9"),3.2389082299587106)</f>
        <v>3.23890823</v>
      </c>
      <c r="H638" s="41">
        <v>0.448275862</v>
      </c>
      <c r="I638" s="41">
        <v>0.165517241</v>
      </c>
      <c r="J638" s="41">
        <v>0.386206897</v>
      </c>
      <c r="K638" s="41">
        <f t="shared" si="1"/>
        <v>0.062068965</v>
      </c>
      <c r="L638" s="42">
        <v>3.924612497</v>
      </c>
      <c r="M638" s="45">
        <f>('Cy Young Rank'!O$1-G638)*E638/9</f>
        <v>1.715847253</v>
      </c>
      <c r="N638" s="42"/>
      <c r="O638" s="66"/>
      <c r="P638" s="42"/>
      <c r="Q638" s="67"/>
      <c r="R638" s="67"/>
    </row>
    <row r="639">
      <c r="A639" s="1" t="s">
        <v>344</v>
      </c>
      <c r="B639" s="38">
        <v>701542.0</v>
      </c>
      <c r="C639" s="44" t="s">
        <v>537</v>
      </c>
      <c r="D639" s="38">
        <v>1131.0</v>
      </c>
      <c r="E639" s="39">
        <f>IFERROR(__xludf.DUMMYFUNCTION("sum(filter('PLA Sheet'!H:H,'PLA Sheet'!C:C=B639,'PLA Sheet'!D:D=C639))"),67.46019279)</f>
        <v>67.46019279</v>
      </c>
      <c r="F639" s="40">
        <v>5.002984839</v>
      </c>
      <c r="G639" s="40">
        <f>IFERROR(__xludf.DUMMYFUNCTION("sum(filter('PLA Sheet'!J:J,'PLA Sheet'!C:C=B639,'PLA Sheet'!D:D=C639))/E639*9"),3.721208132052835)</f>
        <v>3.721208132</v>
      </c>
      <c r="H639" s="41">
        <v>0.485411141</v>
      </c>
      <c r="I639" s="41">
        <v>0.161803714</v>
      </c>
      <c r="J639" s="41">
        <v>0.352785146</v>
      </c>
      <c r="K639" s="41">
        <f t="shared" si="1"/>
        <v>0.132625995</v>
      </c>
      <c r="L639" s="42">
        <v>7.032960848</v>
      </c>
      <c r="M639" s="45">
        <f>('Cy Young Rank'!O$1-G639)*E639/9</f>
        <v>2.539440525</v>
      </c>
      <c r="N639" s="42"/>
      <c r="O639" s="66"/>
      <c r="P639" s="42"/>
      <c r="Q639" s="67"/>
      <c r="R639" s="67"/>
    </row>
    <row r="640">
      <c r="A640" s="1" t="s">
        <v>335</v>
      </c>
      <c r="B640" s="38">
        <v>663436.0</v>
      </c>
      <c r="C640" s="44" t="s">
        <v>540</v>
      </c>
      <c r="D640" s="38">
        <v>511.0</v>
      </c>
      <c r="E640" s="39">
        <f>IFERROR(__xludf.DUMMYFUNCTION("sum(filter('PLA Sheet'!H:H,'PLA Sheet'!C:C=B640,'PLA Sheet'!D:D=C640))"),32.96113279)</f>
        <v>32.96113279</v>
      </c>
      <c r="F640" s="40">
        <v>5.002712919</v>
      </c>
      <c r="G640" s="40">
        <f>IFERROR(__xludf.DUMMYFUNCTION("sum(filter('PLA Sheet'!J:J,'PLA Sheet'!C:C=B640,'PLA Sheet'!D:D=C640))/E640*9"),3.407639771230083)</f>
        <v>3.407639771</v>
      </c>
      <c r="H640" s="41">
        <v>0.4481409</v>
      </c>
      <c r="I640" s="41">
        <v>0.162426614</v>
      </c>
      <c r="J640" s="41">
        <v>0.389432485</v>
      </c>
      <c r="K640" s="41">
        <f t="shared" si="1"/>
        <v>0.058708415</v>
      </c>
      <c r="L640" s="42">
        <v>-1.85457162</v>
      </c>
      <c r="M640" s="45">
        <f>('Cy Young Rank'!O$1-G640)*E640/9</f>
        <v>2.389170236</v>
      </c>
      <c r="N640" s="42"/>
      <c r="O640" s="66"/>
      <c r="P640" s="42"/>
      <c r="Q640" s="67"/>
      <c r="R640" s="67"/>
    </row>
    <row r="641">
      <c r="A641" s="1" t="s">
        <v>482</v>
      </c>
      <c r="B641" s="38">
        <v>693312.0</v>
      </c>
      <c r="C641" s="44" t="s">
        <v>537</v>
      </c>
      <c r="D641" s="38">
        <v>318.0</v>
      </c>
      <c r="E641" s="39">
        <f>IFERROR(__xludf.DUMMYFUNCTION("sum(filter('PLA Sheet'!H:H,'PLA Sheet'!C:C=B641,'PLA Sheet'!D:D=C641))"),19.321044547)</f>
        <v>19.32104455</v>
      </c>
      <c r="F641" s="40">
        <v>5.001618239</v>
      </c>
      <c r="G641" s="40">
        <f>IFERROR(__xludf.DUMMYFUNCTION("sum(filter('PLA Sheet'!J:J,'PLA Sheet'!C:C=B641,'PLA Sheet'!D:D=C641))/E641*9"),3.9434037230575205)</f>
        <v>3.943403723</v>
      </c>
      <c r="H641" s="41">
        <v>0.512578616</v>
      </c>
      <c r="I641" s="41">
        <v>0.166666667</v>
      </c>
      <c r="J641" s="41">
        <v>0.320754717</v>
      </c>
      <c r="K641" s="41">
        <f t="shared" si="1"/>
        <v>0.191823899</v>
      </c>
      <c r="L641" s="42">
        <v>-6.598759873</v>
      </c>
      <c r="M641" s="45">
        <f>('Cy Young Rank'!O$1-G641)*E641/9</f>
        <v>0.2503068734</v>
      </c>
      <c r="N641" s="42"/>
      <c r="O641" s="66"/>
      <c r="P641" s="42"/>
      <c r="Q641" s="67"/>
      <c r="R641" s="67"/>
    </row>
    <row r="642">
      <c r="A642" s="1" t="s">
        <v>220</v>
      </c>
      <c r="B642" s="38">
        <v>663559.0</v>
      </c>
      <c r="C642" s="44" t="s">
        <v>541</v>
      </c>
      <c r="D642" s="38">
        <v>256.0</v>
      </c>
      <c r="E642" s="39">
        <f>IFERROR(__xludf.DUMMYFUNCTION("sum(filter('PLA Sheet'!H:H,'PLA Sheet'!C:C=B642,'PLA Sheet'!D:D=C642))"),17.087989061000002)</f>
        <v>17.08798906</v>
      </c>
      <c r="F642" s="40">
        <v>4.999077092</v>
      </c>
      <c r="G642" s="40">
        <f>IFERROR(__xludf.DUMMYFUNCTION("sum(filter('PLA Sheet'!J:J,'PLA Sheet'!C:C=B642,'PLA Sheet'!D:D=C642))/E642*9"),3.382711786252588)</f>
        <v>3.382711786</v>
      </c>
      <c r="H642" s="41">
        <v>0.5</v>
      </c>
      <c r="I642" s="41">
        <v>0.14453125</v>
      </c>
      <c r="J642" s="41">
        <v>0.35546875</v>
      </c>
      <c r="K642" s="41">
        <f t="shared" si="1"/>
        <v>0.14453125</v>
      </c>
      <c r="L642" s="42">
        <v>2.630384403</v>
      </c>
      <c r="M642" s="45">
        <f>('Cy Young Rank'!O$1-G642)*E642/9</f>
        <v>1.285943732</v>
      </c>
      <c r="N642" s="42"/>
      <c r="O642" s="66"/>
      <c r="P642" s="42"/>
      <c r="Q642" s="67"/>
      <c r="R642" s="67"/>
    </row>
    <row r="643">
      <c r="A643" s="1" t="s">
        <v>294</v>
      </c>
      <c r="B643" s="38">
        <v>665152.0</v>
      </c>
      <c r="C643" s="44" t="s">
        <v>536</v>
      </c>
      <c r="D643" s="38">
        <v>494.0</v>
      </c>
      <c r="E643" s="39">
        <f>IFERROR(__xludf.DUMMYFUNCTION("sum(filter('PLA Sheet'!H:H,'PLA Sheet'!C:C=B643,'PLA Sheet'!D:D=C643))"),32.58605746)</f>
        <v>32.58605746</v>
      </c>
      <c r="F643" s="40">
        <v>4.997900783</v>
      </c>
      <c r="G643" s="40">
        <f>IFERROR(__xludf.DUMMYFUNCTION("sum(filter('PLA Sheet'!J:J,'PLA Sheet'!C:C=B643,'PLA Sheet'!D:D=C643))/E643*9"),3.31411558862451)</f>
        <v>3.314115589</v>
      </c>
      <c r="H643" s="41">
        <v>0.449392713</v>
      </c>
      <c r="I643" s="41">
        <v>0.206477733</v>
      </c>
      <c r="J643" s="41">
        <v>0.344129555</v>
      </c>
      <c r="K643" s="41">
        <f t="shared" si="1"/>
        <v>0.105263158</v>
      </c>
      <c r="L643" s="42">
        <v>4.59941091</v>
      </c>
      <c r="M643" s="45">
        <f>('Cy Young Rank'!O$1-G643)*E643/9</f>
        <v>2.700603588</v>
      </c>
      <c r="N643" s="42"/>
      <c r="O643" s="66"/>
      <c r="P643" s="42"/>
      <c r="Q643" s="67"/>
      <c r="R643" s="67"/>
    </row>
    <row r="644">
      <c r="A644" s="1" t="s">
        <v>326</v>
      </c>
      <c r="B644" s="38">
        <v>606160.0</v>
      </c>
      <c r="C644" s="44" t="s">
        <v>538</v>
      </c>
      <c r="D644" s="38">
        <v>502.0</v>
      </c>
      <c r="E644" s="39">
        <f>IFERROR(__xludf.DUMMYFUNCTION("sum(filter('PLA Sheet'!H:H,'PLA Sheet'!C:C=B644,'PLA Sheet'!D:D=C644))"),28.307267709999998)</f>
        <v>28.30726771</v>
      </c>
      <c r="F644" s="40">
        <v>4.9977602</v>
      </c>
      <c r="G644" s="40">
        <f>IFERROR(__xludf.DUMMYFUNCTION("sum(filter('PLA Sheet'!J:J,'PLA Sheet'!C:C=B644,'PLA Sheet'!D:D=C644))/E644*9"),3.6327245375106534)</f>
        <v>3.632724538</v>
      </c>
      <c r="H644" s="41">
        <v>0.438247012</v>
      </c>
      <c r="I644" s="41">
        <v>0.229083665</v>
      </c>
      <c r="J644" s="41">
        <v>0.332669323</v>
      </c>
      <c r="K644" s="41">
        <f t="shared" si="1"/>
        <v>0.105577689</v>
      </c>
      <c r="L644" s="42">
        <v>13.6273188</v>
      </c>
      <c r="M644" s="45">
        <f>('Cy Young Rank'!O$1-G644)*E644/9</f>
        <v>1.343888989</v>
      </c>
      <c r="N644" s="42"/>
      <c r="O644" s="66"/>
      <c r="P644" s="42"/>
      <c r="Q644" s="67"/>
      <c r="R644" s="67"/>
    </row>
    <row r="645">
      <c r="A645" s="1" t="s">
        <v>142</v>
      </c>
      <c r="B645" s="38">
        <v>689254.0</v>
      </c>
      <c r="C645" s="44" t="s">
        <v>540</v>
      </c>
      <c r="D645" s="38">
        <v>484.0</v>
      </c>
      <c r="E645" s="39">
        <f>IFERROR(__xludf.DUMMYFUNCTION("sum(filter('PLA Sheet'!H:H,'PLA Sheet'!C:C=B645,'PLA Sheet'!D:D=C645))"),30.65580132)</f>
        <v>30.65580132</v>
      </c>
      <c r="F645" s="40">
        <v>4.996494962</v>
      </c>
      <c r="G645" s="40">
        <f>IFERROR(__xludf.DUMMYFUNCTION("sum(filter('PLA Sheet'!J:J,'PLA Sheet'!C:C=B645,'PLA Sheet'!D:D=C645))/E645*9"),3.3785166767906234)</f>
        <v>3.378516677</v>
      </c>
      <c r="H645" s="41">
        <v>0.47107438</v>
      </c>
      <c r="I645" s="41">
        <v>0.154958678</v>
      </c>
      <c r="J645" s="41">
        <v>0.373966942</v>
      </c>
      <c r="K645" s="41">
        <f t="shared" si="1"/>
        <v>0.097107438</v>
      </c>
      <c r="L645" s="42">
        <v>1.493696109</v>
      </c>
      <c r="M645" s="45">
        <f>('Cy Young Rank'!O$1-G645)*E645/9</f>
        <v>2.321268595</v>
      </c>
      <c r="N645" s="42"/>
      <c r="O645" s="66"/>
      <c r="P645" s="42"/>
      <c r="Q645" s="67"/>
      <c r="R645" s="67"/>
    </row>
    <row r="646">
      <c r="A646" s="1" t="s">
        <v>314</v>
      </c>
      <c r="B646" s="38">
        <v>669854.0</v>
      </c>
      <c r="C646" s="44" t="s">
        <v>537</v>
      </c>
      <c r="D646" s="38">
        <v>277.0</v>
      </c>
      <c r="E646" s="39">
        <f>IFERROR(__xludf.DUMMYFUNCTION("sum(filter('PLA Sheet'!H:H,'PLA Sheet'!C:C=B646,'PLA Sheet'!D:D=C646))"),17.248844052)</f>
        <v>17.24884405</v>
      </c>
      <c r="F646" s="40">
        <v>4.995920017</v>
      </c>
      <c r="G646" s="40">
        <f>IFERROR(__xludf.DUMMYFUNCTION("sum(filter('PLA Sheet'!J:J,'PLA Sheet'!C:C=B646,'PLA Sheet'!D:D=C646))/E646*9"),3.452801464286785)</f>
        <v>3.452801464</v>
      </c>
      <c r="H646" s="41">
        <v>0.462093863</v>
      </c>
      <c r="I646" s="41">
        <v>0.162454874</v>
      </c>
      <c r="J646" s="41">
        <v>0.375451264</v>
      </c>
      <c r="K646" s="41">
        <f t="shared" si="1"/>
        <v>0.086642599</v>
      </c>
      <c r="L646" s="42">
        <v>-0.790933886</v>
      </c>
      <c r="M646" s="45">
        <f>('Cy Young Rank'!O$1-G646)*E646/9</f>
        <v>1.163719206</v>
      </c>
      <c r="N646" s="42"/>
      <c r="O646" s="66"/>
      <c r="P646" s="42"/>
      <c r="Q646" s="67"/>
      <c r="R646" s="67"/>
    </row>
    <row r="647">
      <c r="A647" s="1" t="s">
        <v>304</v>
      </c>
      <c r="B647" s="38">
        <v>666808.0</v>
      </c>
      <c r="C647" s="44" t="s">
        <v>540</v>
      </c>
      <c r="D647" s="38">
        <v>451.0</v>
      </c>
      <c r="E647" s="39">
        <f>IFERROR(__xludf.DUMMYFUNCTION("sum(filter('PLA Sheet'!H:H,'PLA Sheet'!C:C=B647,'PLA Sheet'!D:D=C647))"),27.24690239)</f>
        <v>27.24690239</v>
      </c>
      <c r="F647" s="40">
        <v>4.99566234</v>
      </c>
      <c r="G647" s="40">
        <f>IFERROR(__xludf.DUMMYFUNCTION("sum(filter('PLA Sheet'!J:J,'PLA Sheet'!C:C=B647,'PLA Sheet'!D:D=C647))/E647*9"),3.7903989055983107)</f>
        <v>3.790398906</v>
      </c>
      <c r="H647" s="41">
        <v>0.516629712</v>
      </c>
      <c r="I647" s="41">
        <v>0.161862528</v>
      </c>
      <c r="J647" s="41">
        <v>0.321507761</v>
      </c>
      <c r="K647" s="41">
        <f t="shared" si="1"/>
        <v>0.195121951</v>
      </c>
      <c r="L647" s="42">
        <v>8.826164159</v>
      </c>
      <c r="M647" s="45">
        <f>('Cy Young Rank'!O$1-G647)*E647/9</f>
        <v>0.8161994115</v>
      </c>
      <c r="N647" s="42"/>
      <c r="O647" s="66"/>
      <c r="P647" s="42"/>
      <c r="Q647" s="67"/>
      <c r="R647" s="67"/>
    </row>
    <row r="648">
      <c r="A648" s="1" t="s">
        <v>342</v>
      </c>
      <c r="B648" s="38">
        <v>592094.0</v>
      </c>
      <c r="C648" s="44" t="s">
        <v>532</v>
      </c>
      <c r="D648" s="38">
        <v>353.0</v>
      </c>
      <c r="E648" s="39">
        <f>IFERROR(__xludf.DUMMYFUNCTION("sum(filter('PLA Sheet'!H:H,'PLA Sheet'!C:C=B648,'PLA Sheet'!D:D=C648))"),21.837937389)</f>
        <v>21.83793739</v>
      </c>
      <c r="F648" s="40">
        <v>4.995336651</v>
      </c>
      <c r="G648" s="40">
        <f>IFERROR(__xludf.DUMMYFUNCTION("sum(filter('PLA Sheet'!J:J,'PLA Sheet'!C:C=B648,'PLA Sheet'!D:D=C648))/E648*9"),3.45625017855481)</f>
        <v>3.456250179</v>
      </c>
      <c r="H648" s="41">
        <v>0.473087819</v>
      </c>
      <c r="I648" s="41">
        <v>0.144475921</v>
      </c>
      <c r="J648" s="41">
        <v>0.382436261</v>
      </c>
      <c r="K648" s="41">
        <f t="shared" si="1"/>
        <v>0.090651558</v>
      </c>
      <c r="L648" s="42">
        <v>4.777259611</v>
      </c>
      <c r="M648" s="45">
        <f>('Cy Young Rank'!O$1-G648)*E648/9</f>
        <v>1.4649612</v>
      </c>
      <c r="N648" s="42"/>
      <c r="O648" s="66"/>
      <c r="P648" s="42"/>
      <c r="Q648" s="67"/>
      <c r="R648" s="67"/>
    </row>
    <row r="649">
      <c r="A649" s="1" t="s">
        <v>424</v>
      </c>
      <c r="B649" s="38">
        <v>667755.0</v>
      </c>
      <c r="C649" s="44" t="s">
        <v>536</v>
      </c>
      <c r="D649" s="38">
        <v>1319.0</v>
      </c>
      <c r="E649" s="39">
        <f>IFERROR(__xludf.DUMMYFUNCTION("sum(filter('PLA Sheet'!H:H,'PLA Sheet'!C:C=B649,'PLA Sheet'!D:D=C649))"),83.01221703)</f>
        <v>83.01221703</v>
      </c>
      <c r="F649" s="40">
        <v>4.993969667</v>
      </c>
      <c r="G649" s="40">
        <f>IFERROR(__xludf.DUMMYFUNCTION("sum(filter('PLA Sheet'!J:J,'PLA Sheet'!C:C=B649,'PLA Sheet'!D:D=C649))/E649*9"),3.4020209205825616)</f>
        <v>3.402020921</v>
      </c>
      <c r="H649" s="41">
        <v>0.473085671</v>
      </c>
      <c r="I649" s="41">
        <v>0.168309325</v>
      </c>
      <c r="J649" s="41">
        <v>0.358605004</v>
      </c>
      <c r="K649" s="41">
        <f t="shared" si="1"/>
        <v>0.114480667</v>
      </c>
      <c r="L649" s="42">
        <v>6.891566377</v>
      </c>
      <c r="M649" s="45">
        <f>('Cy Young Rank'!O$1-G649)*E649/9</f>
        <v>6.06892246</v>
      </c>
      <c r="N649" s="42"/>
      <c r="O649" s="66"/>
      <c r="P649" s="42"/>
      <c r="Q649" s="67"/>
      <c r="R649" s="67"/>
    </row>
    <row r="650">
      <c r="A650" s="1" t="s">
        <v>218</v>
      </c>
      <c r="B650" s="38">
        <v>669432.0</v>
      </c>
      <c r="C650" s="44" t="s">
        <v>537</v>
      </c>
      <c r="D650" s="38">
        <v>638.0</v>
      </c>
      <c r="E650" s="39">
        <f>IFERROR(__xludf.DUMMYFUNCTION("sum(filter('PLA Sheet'!H:H,'PLA Sheet'!C:C=B650,'PLA Sheet'!D:D=C650))"),44.621593937)</f>
        <v>44.62159394</v>
      </c>
      <c r="F650" s="40">
        <v>4.992531471</v>
      </c>
      <c r="G650" s="40">
        <f>IFERROR(__xludf.DUMMYFUNCTION("sum(filter('PLA Sheet'!J:J,'PLA Sheet'!C:C=B650,'PLA Sheet'!D:D=C650))/E650*9"),3.443669699853196)</f>
        <v>3.4436697</v>
      </c>
      <c r="H650" s="41">
        <v>0.460815047</v>
      </c>
      <c r="I650" s="41">
        <v>0.177115987</v>
      </c>
      <c r="J650" s="41">
        <v>0.362068966</v>
      </c>
      <c r="K650" s="41">
        <f t="shared" si="1"/>
        <v>0.098746081</v>
      </c>
      <c r="L650" s="42">
        <v>21.15939783</v>
      </c>
      <c r="M650" s="45">
        <f>('Cy Young Rank'!O$1-G650)*E650/9</f>
        <v>3.05573782</v>
      </c>
      <c r="N650" s="42"/>
      <c r="O650" s="66"/>
      <c r="P650" s="42"/>
      <c r="Q650" s="67"/>
      <c r="R650" s="67"/>
    </row>
    <row r="651">
      <c r="A651" s="1" t="s">
        <v>475</v>
      </c>
      <c r="B651" s="38">
        <v>605130.0</v>
      </c>
      <c r="C651" s="44" t="s">
        <v>537</v>
      </c>
      <c r="D651" s="38">
        <v>251.0</v>
      </c>
      <c r="E651" s="39">
        <f>IFERROR(__xludf.DUMMYFUNCTION("sum(filter('PLA Sheet'!H:H,'PLA Sheet'!C:C=B651,'PLA Sheet'!D:D=C651))"),14.213762428999999)</f>
        <v>14.21376243</v>
      </c>
      <c r="F651" s="40">
        <v>4.991288707</v>
      </c>
      <c r="G651" s="40">
        <f>IFERROR(__xludf.DUMMYFUNCTION("sum(filter('PLA Sheet'!J:J,'PLA Sheet'!C:C=B651,'PLA Sheet'!D:D=C651))/E651*9"),4.392483715122323)</f>
        <v>4.392483715</v>
      </c>
      <c r="H651" s="41">
        <v>0.486055777</v>
      </c>
      <c r="I651" s="41">
        <v>0.15936255</v>
      </c>
      <c r="J651" s="41">
        <v>0.354581673</v>
      </c>
      <c r="K651" s="41">
        <f t="shared" si="1"/>
        <v>0.131474104</v>
      </c>
      <c r="L651" s="42">
        <v>6.179787309</v>
      </c>
      <c r="M651" s="45">
        <f>('Cy Young Rank'!O$1-G651)*E651/9</f>
        <v>-0.5250938376</v>
      </c>
      <c r="N651" s="42"/>
      <c r="O651" s="66"/>
      <c r="P651" s="42"/>
      <c r="Q651" s="67"/>
      <c r="R651" s="67"/>
    </row>
    <row r="652">
      <c r="A652" s="1" t="s">
        <v>496</v>
      </c>
      <c r="B652" s="38">
        <v>694477.0</v>
      </c>
      <c r="C652" s="44" t="s">
        <v>540</v>
      </c>
      <c r="D652" s="38">
        <v>805.0</v>
      </c>
      <c r="E652" s="39">
        <f>IFERROR(__xludf.DUMMYFUNCTION("sum(filter('PLA Sheet'!H:H,'PLA Sheet'!C:C=B652,'PLA Sheet'!D:D=C652))"),49.35505805)</f>
        <v>49.35505805</v>
      </c>
      <c r="F652" s="40">
        <v>4.991148842</v>
      </c>
      <c r="G652" s="40">
        <f>IFERROR(__xludf.DUMMYFUNCTION("sum(filter('PLA Sheet'!J:J,'PLA Sheet'!C:C=B652,'PLA Sheet'!D:D=C652))/E652*9"),3.522546257039607)</f>
        <v>3.522546257</v>
      </c>
      <c r="H652" s="41">
        <v>0.465838509</v>
      </c>
      <c r="I652" s="41">
        <v>0.176397516</v>
      </c>
      <c r="J652" s="41">
        <v>0.357763975</v>
      </c>
      <c r="K652" s="41">
        <f t="shared" si="1"/>
        <v>0.108074534</v>
      </c>
      <c r="L652" s="42">
        <v>0.286673429</v>
      </c>
      <c r="M652" s="45">
        <f>('Cy Young Rank'!O$1-G652)*E652/9</f>
        <v>2.947340076</v>
      </c>
      <c r="N652" s="42"/>
      <c r="O652" s="66"/>
      <c r="P652" s="42"/>
      <c r="Q652" s="67"/>
      <c r="R652" s="67"/>
    </row>
    <row r="653">
      <c r="A653" s="1" t="s">
        <v>339</v>
      </c>
      <c r="B653" s="38">
        <v>686613.0</v>
      </c>
      <c r="C653" s="44" t="s">
        <v>541</v>
      </c>
      <c r="D653" s="38">
        <v>510.0</v>
      </c>
      <c r="E653" s="39">
        <f>IFERROR(__xludf.DUMMYFUNCTION("sum(filter('PLA Sheet'!H:H,'PLA Sheet'!C:C=B653,'PLA Sheet'!D:D=C653))"),33.16227774)</f>
        <v>33.16227774</v>
      </c>
      <c r="F653" s="40">
        <v>4.990185111</v>
      </c>
      <c r="G653" s="40">
        <f>IFERROR(__xludf.DUMMYFUNCTION("sum(filter('PLA Sheet'!J:J,'PLA Sheet'!C:C=B653,'PLA Sheet'!D:D=C653))/E653*9"),3.4192581368809196)</f>
        <v>3.419258137</v>
      </c>
      <c r="H653" s="41">
        <v>0.437254902</v>
      </c>
      <c r="I653" s="41">
        <v>0.194117647</v>
      </c>
      <c r="J653" s="41">
        <v>0.368627451</v>
      </c>
      <c r="K653" s="41">
        <f t="shared" si="1"/>
        <v>0.068627451</v>
      </c>
      <c r="L653" s="42">
        <v>3.837809987</v>
      </c>
      <c r="M653" s="45">
        <f>('Cy Young Rank'!O$1-G653)*E653/9</f>
        <v>2.360939958</v>
      </c>
      <c r="N653" s="42"/>
      <c r="O653" s="66"/>
      <c r="P653" s="42"/>
      <c r="Q653" s="67"/>
      <c r="R653" s="67"/>
    </row>
    <row r="654">
      <c r="A654" s="1" t="s">
        <v>187</v>
      </c>
      <c r="B654" s="38">
        <v>641302.0</v>
      </c>
      <c r="C654" s="44" t="s">
        <v>540</v>
      </c>
      <c r="D654" s="38">
        <v>268.0</v>
      </c>
      <c r="E654" s="39">
        <f>IFERROR(__xludf.DUMMYFUNCTION("sum(filter('PLA Sheet'!H:H,'PLA Sheet'!C:C=B654,'PLA Sheet'!D:D=C654))"),16.792246102)</f>
        <v>16.7922461</v>
      </c>
      <c r="F654" s="40">
        <v>4.989033292</v>
      </c>
      <c r="G654" s="40">
        <f>IFERROR(__xludf.DUMMYFUNCTION("sum(filter('PLA Sheet'!J:J,'PLA Sheet'!C:C=B654,'PLA Sheet'!D:D=C654))/E654*9"),3.3895774665439693)</f>
        <v>3.389577467</v>
      </c>
      <c r="H654" s="41">
        <v>0.492537313</v>
      </c>
      <c r="I654" s="41">
        <v>0.138059701</v>
      </c>
      <c r="J654" s="41">
        <v>0.369402985</v>
      </c>
      <c r="K654" s="41">
        <f t="shared" si="1"/>
        <v>0.123134328</v>
      </c>
      <c r="L654" s="42">
        <v>-5.464017506</v>
      </c>
      <c r="M654" s="45">
        <f>('Cy Young Rank'!O$1-G654)*E654/9</f>
        <v>1.250877797</v>
      </c>
      <c r="N654" s="42"/>
      <c r="O654" s="66"/>
      <c r="P654" s="42"/>
      <c r="Q654" s="67"/>
      <c r="R654" s="67"/>
    </row>
    <row r="655">
      <c r="A655" s="1" t="s">
        <v>161</v>
      </c>
      <c r="B655" s="38">
        <v>702070.0</v>
      </c>
      <c r="C655" s="44" t="s">
        <v>532</v>
      </c>
      <c r="D655" s="38">
        <v>389.0</v>
      </c>
      <c r="E655" s="39">
        <f>IFERROR(__xludf.DUMMYFUNCTION("sum(filter('PLA Sheet'!H:H,'PLA Sheet'!C:C=B655,'PLA Sheet'!D:D=C655))"),25.58175374)</f>
        <v>25.58175374</v>
      </c>
      <c r="F655" s="40">
        <v>4.988294596</v>
      </c>
      <c r="G655" s="40">
        <f>IFERROR(__xludf.DUMMYFUNCTION("sum(filter('PLA Sheet'!J:J,'PLA Sheet'!C:C=B655,'PLA Sheet'!D:D=C655))/E655*9"),3.2908277460417765)</f>
        <v>3.290827746</v>
      </c>
      <c r="H655" s="41">
        <v>0.431876607</v>
      </c>
      <c r="I655" s="41">
        <v>0.174807198</v>
      </c>
      <c r="J655" s="41">
        <v>0.393316195</v>
      </c>
      <c r="K655" s="41">
        <f t="shared" si="1"/>
        <v>0.038560412</v>
      </c>
      <c r="L655" s="42">
        <v>1.767769359</v>
      </c>
      <c r="M655" s="45">
        <f>('Cy Young Rank'!O$1-G655)*E655/9</f>
        <v>2.186308354</v>
      </c>
      <c r="N655" s="42"/>
      <c r="O655" s="66"/>
      <c r="P655" s="42"/>
      <c r="Q655" s="67"/>
      <c r="R655" s="67"/>
    </row>
    <row r="656">
      <c r="A656" s="1" t="s">
        <v>516</v>
      </c>
      <c r="B656" s="38">
        <v>700363.0</v>
      </c>
      <c r="C656" s="44" t="s">
        <v>537</v>
      </c>
      <c r="D656" s="38">
        <v>318.0</v>
      </c>
      <c r="E656" s="39">
        <f>IFERROR(__xludf.DUMMYFUNCTION("sum(filter('PLA Sheet'!H:H,'PLA Sheet'!C:C=B656,'PLA Sheet'!D:D=C656))"),20.63900609)</f>
        <v>20.63900609</v>
      </c>
      <c r="F656" s="40">
        <v>4.987972474</v>
      </c>
      <c r="G656" s="40">
        <f>IFERROR(__xludf.DUMMYFUNCTION("sum(filter('PLA Sheet'!J:J,'PLA Sheet'!C:C=B656,'PLA Sheet'!D:D=C656))/E656*9"),3.4530707868985373)</f>
        <v>3.453070787</v>
      </c>
      <c r="H656" s="41">
        <v>0.455974843</v>
      </c>
      <c r="I656" s="41">
        <v>0.216981132</v>
      </c>
      <c r="J656" s="41">
        <v>0.327044025</v>
      </c>
      <c r="K656" s="41">
        <f t="shared" si="1"/>
        <v>0.128930818</v>
      </c>
      <c r="L656" s="42">
        <v>-2.592667481</v>
      </c>
      <c r="M656" s="45">
        <f>('Cy Young Rank'!O$1-G656)*E656/9</f>
        <v>1.391823969</v>
      </c>
      <c r="N656" s="42"/>
      <c r="O656" s="66"/>
      <c r="P656" s="42"/>
      <c r="Q656" s="67"/>
      <c r="R656" s="67"/>
    </row>
    <row r="657">
      <c r="A657" s="1" t="s">
        <v>228</v>
      </c>
      <c r="B657" s="38">
        <v>687473.0</v>
      </c>
      <c r="C657" s="44" t="s">
        <v>541</v>
      </c>
      <c r="D657" s="38">
        <v>255.0</v>
      </c>
      <c r="E657" s="39">
        <f>IFERROR(__xludf.DUMMYFUNCTION("sum(filter('PLA Sheet'!H:H,'PLA Sheet'!C:C=B657,'PLA Sheet'!D:D=C657))"),15.192234848)</f>
        <v>15.19223485</v>
      </c>
      <c r="F657" s="40">
        <v>4.985179528</v>
      </c>
      <c r="G657" s="40">
        <f>IFERROR(__xludf.DUMMYFUNCTION("sum(filter('PLA Sheet'!J:J,'PLA Sheet'!C:C=B657,'PLA Sheet'!D:D=C657))/E657*9"),3.714291515670493)</f>
        <v>3.714291516</v>
      </c>
      <c r="H657" s="41">
        <v>0.454901961</v>
      </c>
      <c r="I657" s="41">
        <v>0.2</v>
      </c>
      <c r="J657" s="41">
        <v>0.345098039</v>
      </c>
      <c r="K657" s="41">
        <f t="shared" si="1"/>
        <v>0.109803922</v>
      </c>
      <c r="L657" s="42">
        <v>-3.024092851</v>
      </c>
      <c r="M657" s="45">
        <f>('Cy Young Rank'!O$1-G657)*E657/9</f>
        <v>0.5835649425</v>
      </c>
      <c r="N657" s="42"/>
      <c r="O657" s="66"/>
      <c r="P657" s="42"/>
      <c r="Q657" s="67"/>
      <c r="R657" s="67"/>
    </row>
    <row r="658">
      <c r="A658" s="1" t="s">
        <v>367</v>
      </c>
      <c r="B658" s="38">
        <v>685126.0</v>
      </c>
      <c r="C658" s="44" t="s">
        <v>537</v>
      </c>
      <c r="D658" s="38">
        <v>374.0</v>
      </c>
      <c r="E658" s="39">
        <f>IFERROR(__xludf.DUMMYFUNCTION("sum(filter('PLA Sheet'!H:H,'PLA Sheet'!C:C=B658,'PLA Sheet'!D:D=C658))"),21.978857767999997)</f>
        <v>21.97885777</v>
      </c>
      <c r="F658" s="40">
        <v>4.983924931</v>
      </c>
      <c r="G658" s="40">
        <f>IFERROR(__xludf.DUMMYFUNCTION("sum(filter('PLA Sheet'!J:J,'PLA Sheet'!C:C=B658,'PLA Sheet'!D:D=C658))/E658*9"),3.821211224282946)</f>
        <v>3.821211224</v>
      </c>
      <c r="H658" s="41">
        <v>0.481283422</v>
      </c>
      <c r="I658" s="41">
        <v>0.096256684</v>
      </c>
      <c r="J658" s="41">
        <v>0.422459893</v>
      </c>
      <c r="K658" s="41">
        <f t="shared" si="1"/>
        <v>0.058823529</v>
      </c>
      <c r="L658" s="42">
        <v>1.854800663</v>
      </c>
      <c r="M658" s="45">
        <f>('Cy Young Rank'!O$1-G658)*E658/9</f>
        <v>0.5831449487</v>
      </c>
      <c r="N658" s="42"/>
      <c r="O658" s="66"/>
      <c r="P658" s="42"/>
      <c r="Q658" s="67"/>
      <c r="R658" s="67"/>
    </row>
    <row r="659">
      <c r="A659" s="1" t="s">
        <v>237</v>
      </c>
      <c r="B659" s="38">
        <v>663485.0</v>
      </c>
      <c r="C659" s="44" t="s">
        <v>537</v>
      </c>
      <c r="D659" s="38">
        <v>293.0</v>
      </c>
      <c r="E659" s="39">
        <f>IFERROR(__xludf.DUMMYFUNCTION("sum(filter('PLA Sheet'!H:H,'PLA Sheet'!C:C=B659,'PLA Sheet'!D:D=C659))"),19.023622046)</f>
        <v>19.02362205</v>
      </c>
      <c r="F659" s="40">
        <v>4.981790752</v>
      </c>
      <c r="G659" s="40">
        <f>IFERROR(__xludf.DUMMYFUNCTION("sum(filter('PLA Sheet'!J:J,'PLA Sheet'!C:C=B659,'PLA Sheet'!D:D=C659))/E659*9"),3.5572955999842932)</f>
        <v>3.5572956</v>
      </c>
      <c r="H659" s="41">
        <v>0.467576792</v>
      </c>
      <c r="I659" s="41">
        <v>0.177474403</v>
      </c>
      <c r="J659" s="41">
        <v>0.354948805</v>
      </c>
      <c r="K659" s="41">
        <f t="shared" si="1"/>
        <v>0.112627987</v>
      </c>
      <c r="L659" s="42">
        <v>-0.194774737</v>
      </c>
      <c r="M659" s="45">
        <f>('Cy Young Rank'!O$1-G659)*E659/9</f>
        <v>1.062584279</v>
      </c>
      <c r="N659" s="42"/>
      <c r="O659" s="66"/>
      <c r="P659" s="42"/>
      <c r="Q659" s="67"/>
      <c r="R659" s="67"/>
    </row>
    <row r="660">
      <c r="A660" s="1" t="s">
        <v>307</v>
      </c>
      <c r="B660" s="38">
        <v>656849.0</v>
      </c>
      <c r="C660" s="44" t="s">
        <v>536</v>
      </c>
      <c r="D660" s="38">
        <v>764.0</v>
      </c>
      <c r="E660" s="39">
        <f>IFERROR(__xludf.DUMMYFUNCTION("sum(filter('PLA Sheet'!H:H,'PLA Sheet'!C:C=B660,'PLA Sheet'!D:D=C660))"),49.15535781)</f>
        <v>49.15535781</v>
      </c>
      <c r="F660" s="40">
        <v>4.979086672</v>
      </c>
      <c r="G660" s="40">
        <f>IFERROR(__xludf.DUMMYFUNCTION("sum(filter('PLA Sheet'!J:J,'PLA Sheet'!C:C=B660,'PLA Sheet'!D:D=C660))/E660*9"),3.457765675452419)</f>
        <v>3.457765675</v>
      </c>
      <c r="H660" s="41">
        <v>0.441099476</v>
      </c>
      <c r="I660" s="41">
        <v>0.22382199</v>
      </c>
      <c r="J660" s="41">
        <v>0.335078534</v>
      </c>
      <c r="K660" s="41">
        <f t="shared" si="1"/>
        <v>0.106020942</v>
      </c>
      <c r="L660" s="42">
        <v>6.874028514</v>
      </c>
      <c r="M660" s="45">
        <f>('Cy Young Rank'!O$1-G660)*E660/9</f>
        <v>3.289227079</v>
      </c>
      <c r="N660" s="42"/>
      <c r="O660" s="66"/>
      <c r="P660" s="42"/>
      <c r="Q660" s="67"/>
      <c r="R660" s="67"/>
    </row>
    <row r="661">
      <c r="A661" s="1" t="s">
        <v>456</v>
      </c>
      <c r="B661" s="38">
        <v>605135.0</v>
      </c>
      <c r="C661" s="44" t="s">
        <v>540</v>
      </c>
      <c r="D661" s="38">
        <v>459.0</v>
      </c>
      <c r="E661" s="39">
        <f>IFERROR(__xludf.DUMMYFUNCTION("sum(filter('PLA Sheet'!H:H,'PLA Sheet'!C:C=B661,'PLA Sheet'!D:D=C661))"),28.780252147000002)</f>
        <v>28.78025215</v>
      </c>
      <c r="F661" s="40">
        <v>4.976641531</v>
      </c>
      <c r="G661" s="40">
        <f>IFERROR(__xludf.DUMMYFUNCTION("sum(filter('PLA Sheet'!J:J,'PLA Sheet'!C:C=B661,'PLA Sheet'!D:D=C661))/E661*9"),3.490943702884578)</f>
        <v>3.490943703</v>
      </c>
      <c r="H661" s="41">
        <v>0.453159041</v>
      </c>
      <c r="I661" s="41">
        <v>0.137254902</v>
      </c>
      <c r="J661" s="41">
        <v>0.409586057</v>
      </c>
      <c r="K661" s="41">
        <f t="shared" si="1"/>
        <v>0.043572984</v>
      </c>
      <c r="L661" s="42">
        <v>-4.642134476</v>
      </c>
      <c r="M661" s="45">
        <f>('Cy Young Rank'!O$1-G661)*E661/9</f>
        <v>1.819731524</v>
      </c>
      <c r="N661" s="42"/>
      <c r="O661" s="66"/>
      <c r="P661" s="42"/>
      <c r="Q661" s="67"/>
      <c r="R661" s="67"/>
    </row>
    <row r="662">
      <c r="A662" s="1" t="s">
        <v>490</v>
      </c>
      <c r="B662" s="38">
        <v>680573.0</v>
      </c>
      <c r="C662" s="44" t="s">
        <v>533</v>
      </c>
      <c r="D662" s="38">
        <v>500.0</v>
      </c>
      <c r="E662" s="39">
        <f>IFERROR(__xludf.DUMMYFUNCTION("sum(filter('PLA Sheet'!H:H,'PLA Sheet'!C:C=B662,'PLA Sheet'!D:D=C662))"),30.250399577000003)</f>
        <v>30.25039958</v>
      </c>
      <c r="F662" s="40">
        <v>4.97661242</v>
      </c>
      <c r="G662" s="40">
        <f>IFERROR(__xludf.DUMMYFUNCTION("sum(filter('PLA Sheet'!J:J,'PLA Sheet'!C:C=B662,'PLA Sheet'!D:D=C662))/E662*9"),3.5418355293879227)</f>
        <v>3.541835529</v>
      </c>
      <c r="H662" s="41">
        <v>0.386</v>
      </c>
      <c r="I662" s="41">
        <v>0.224</v>
      </c>
      <c r="J662" s="41">
        <v>0.39</v>
      </c>
      <c r="K662" s="41">
        <f t="shared" si="1"/>
        <v>-0.004</v>
      </c>
      <c r="L662" s="42">
        <v>4.667935267</v>
      </c>
      <c r="M662" s="45">
        <f>('Cy Young Rank'!O$1-G662)*E662/9</f>
        <v>1.741631365</v>
      </c>
      <c r="N662" s="42"/>
      <c r="O662" s="66"/>
      <c r="P662" s="42"/>
      <c r="Q662" s="67"/>
      <c r="R662" s="67"/>
    </row>
    <row r="663">
      <c r="A663" s="1" t="s">
        <v>521</v>
      </c>
      <c r="B663" s="38">
        <v>686799.0</v>
      </c>
      <c r="C663" s="44" t="s">
        <v>533</v>
      </c>
      <c r="D663" s="38">
        <v>263.0</v>
      </c>
      <c r="E663" s="39">
        <f>IFERROR(__xludf.DUMMYFUNCTION("sum(filter('PLA Sheet'!H:H,'PLA Sheet'!C:C=B663,'PLA Sheet'!D:D=C663))"),16.061861215)</f>
        <v>16.06186122</v>
      </c>
      <c r="F663" s="40">
        <v>4.97600104</v>
      </c>
      <c r="G663" s="40">
        <f>IFERROR(__xludf.DUMMYFUNCTION("sum(filter('PLA Sheet'!J:J,'PLA Sheet'!C:C=B663,'PLA Sheet'!D:D=C663))/E663*9"),3.689881154286888)</f>
        <v>3.689881154</v>
      </c>
      <c r="H663" s="41">
        <v>0.47148289</v>
      </c>
      <c r="I663" s="41">
        <v>0.190114068</v>
      </c>
      <c r="J663" s="41">
        <v>0.338403042</v>
      </c>
      <c r="K663" s="41">
        <f t="shared" si="1"/>
        <v>0.133079848</v>
      </c>
      <c r="L663" s="42">
        <v>-3.249722443</v>
      </c>
      <c r="M663" s="45">
        <f>('Cy Young Rank'!O$1-G663)*E663/9</f>
        <v>0.6605330592</v>
      </c>
      <c r="N663" s="42"/>
      <c r="O663" s="66"/>
      <c r="P663" s="42"/>
      <c r="Q663" s="67"/>
      <c r="R663" s="67"/>
    </row>
    <row r="664">
      <c r="A664" s="1" t="s">
        <v>398</v>
      </c>
      <c r="B664" s="38">
        <v>676282.0</v>
      </c>
      <c r="C664" s="44" t="s">
        <v>532</v>
      </c>
      <c r="D664" s="38">
        <v>488.0</v>
      </c>
      <c r="E664" s="39">
        <f>IFERROR(__xludf.DUMMYFUNCTION("sum(filter('PLA Sheet'!H:H,'PLA Sheet'!C:C=B664,'PLA Sheet'!D:D=C664))"),29.136104317)</f>
        <v>29.13610432</v>
      </c>
      <c r="F664" s="40">
        <v>4.975799694</v>
      </c>
      <c r="G664" s="40">
        <f>IFERROR(__xludf.DUMMYFUNCTION("sum(filter('PLA Sheet'!J:J,'PLA Sheet'!C:C=B664,'PLA Sheet'!D:D=C664))/E664*9"),3.6589953426888675)</f>
        <v>3.658995343</v>
      </c>
      <c r="H664" s="41">
        <v>0.471311475</v>
      </c>
      <c r="I664" s="41">
        <v>0.157786885</v>
      </c>
      <c r="J664" s="41">
        <v>0.370901639</v>
      </c>
      <c r="K664" s="41">
        <f t="shared" si="1"/>
        <v>0.100409836</v>
      </c>
      <c r="L664" s="42">
        <v>7.735067552</v>
      </c>
      <c r="M664" s="45">
        <f>('Cy Young Rank'!O$1-G664)*E664/9</f>
        <v>1.298190392</v>
      </c>
      <c r="N664" s="42"/>
      <c r="O664" s="66"/>
      <c r="P664" s="42"/>
      <c r="Q664" s="67"/>
      <c r="R664" s="67"/>
    </row>
    <row r="665">
      <c r="A665" s="1" t="s">
        <v>166</v>
      </c>
      <c r="B665" s="38">
        <v>608331.0</v>
      </c>
      <c r="C665" s="44" t="s">
        <v>541</v>
      </c>
      <c r="D665" s="38">
        <v>515.0</v>
      </c>
      <c r="E665" s="39">
        <f>IFERROR(__xludf.DUMMYFUNCTION("sum(filter('PLA Sheet'!H:H,'PLA Sheet'!C:C=B665,'PLA Sheet'!D:D=C665))"),33.738822777)</f>
        <v>33.73882278</v>
      </c>
      <c r="F665" s="40">
        <v>4.975782585</v>
      </c>
      <c r="G665" s="40">
        <f>IFERROR(__xludf.DUMMYFUNCTION("sum(filter('PLA Sheet'!J:J,'PLA Sheet'!C:C=B665,'PLA Sheet'!D:D=C665))/E665*9"),3.2760854974273124)</f>
        <v>3.276085497</v>
      </c>
      <c r="H665" s="41">
        <v>0.434951456</v>
      </c>
      <c r="I665" s="41">
        <v>0.157281553</v>
      </c>
      <c r="J665" s="41">
        <v>0.40776699</v>
      </c>
      <c r="K665" s="41">
        <f t="shared" si="1"/>
        <v>0.027184466</v>
      </c>
      <c r="L665" s="42">
        <v>0.561894535</v>
      </c>
      <c r="M665" s="45">
        <f>('Cy Young Rank'!O$1-G665)*E665/9</f>
        <v>2.938705831</v>
      </c>
      <c r="N665" s="42"/>
      <c r="O665" s="66"/>
      <c r="P665" s="42"/>
      <c r="Q665" s="67"/>
      <c r="R665" s="67"/>
    </row>
    <row r="666">
      <c r="A666" s="1" t="s">
        <v>450</v>
      </c>
      <c r="B666" s="38">
        <v>682990.0</v>
      </c>
      <c r="C666" s="44" t="s">
        <v>540</v>
      </c>
      <c r="D666" s="38">
        <v>490.0</v>
      </c>
      <c r="E666" s="39">
        <f>IFERROR(__xludf.DUMMYFUNCTION("sum(filter('PLA Sheet'!H:H,'PLA Sheet'!C:C=B666,'PLA Sheet'!D:D=C666))"),32.12965965)</f>
        <v>32.12965965</v>
      </c>
      <c r="F666" s="40">
        <v>4.975743556</v>
      </c>
      <c r="G666" s="40">
        <f>IFERROR(__xludf.DUMMYFUNCTION("sum(filter('PLA Sheet'!J:J,'PLA Sheet'!C:C=B666,'PLA Sheet'!D:D=C666))/E666*9"),3.386034467377248)</f>
        <v>3.386034467</v>
      </c>
      <c r="H666" s="41">
        <v>0.416326531</v>
      </c>
      <c r="I666" s="41">
        <v>0.212244898</v>
      </c>
      <c r="J666" s="41">
        <v>0.371428571</v>
      </c>
      <c r="K666" s="41">
        <f t="shared" si="1"/>
        <v>0.04489796</v>
      </c>
      <c r="L666" s="42">
        <v>0.422974445</v>
      </c>
      <c r="M666" s="45">
        <f>('Cy Young Rank'!O$1-G666)*E666/9</f>
        <v>2.406031464</v>
      </c>
      <c r="N666" s="42"/>
      <c r="O666" s="66"/>
      <c r="P666" s="42"/>
      <c r="Q666" s="67"/>
      <c r="R666" s="67"/>
    </row>
    <row r="667">
      <c r="A667" s="1" t="s">
        <v>407</v>
      </c>
      <c r="B667" s="38">
        <v>668674.0</v>
      </c>
      <c r="C667" s="44" t="s">
        <v>533</v>
      </c>
      <c r="D667" s="38">
        <v>272.0</v>
      </c>
      <c r="E667" s="39">
        <f>IFERROR(__xludf.DUMMYFUNCTION("sum(filter('PLA Sheet'!H:H,'PLA Sheet'!C:C=B667,'PLA Sheet'!D:D=C667))"),18.042966041)</f>
        <v>18.04296604</v>
      </c>
      <c r="F667" s="40">
        <v>4.97395785</v>
      </c>
      <c r="G667" s="40">
        <f>IFERROR(__xludf.DUMMYFUNCTION("sum(filter('PLA Sheet'!J:J,'PLA Sheet'!C:C=B667,'PLA Sheet'!D:D=C667))/E667*9"),3.3084856372478946)</f>
        <v>3.308485637</v>
      </c>
      <c r="H667" s="41">
        <v>0.419117647</v>
      </c>
      <c r="I667" s="41">
        <v>0.227941176</v>
      </c>
      <c r="J667" s="41">
        <v>0.352941176</v>
      </c>
      <c r="K667" s="41">
        <f t="shared" si="1"/>
        <v>0.066176471</v>
      </c>
      <c r="L667" s="42">
        <v>4.023679183</v>
      </c>
      <c r="M667" s="45">
        <f>('Cy Young Rank'!O$1-G667)*E667/9</f>
        <v>1.506616458</v>
      </c>
      <c r="N667" s="42"/>
      <c r="O667" s="66"/>
      <c r="P667" s="42"/>
      <c r="Q667" s="67"/>
      <c r="R667" s="67"/>
    </row>
    <row r="668">
      <c r="A668" s="1" t="s">
        <v>420</v>
      </c>
      <c r="B668" s="38">
        <v>547179.0</v>
      </c>
      <c r="C668" s="44" t="s">
        <v>537</v>
      </c>
      <c r="D668" s="38">
        <v>492.0</v>
      </c>
      <c r="E668" s="39">
        <f>IFERROR(__xludf.DUMMYFUNCTION("sum(filter('PLA Sheet'!H:H,'PLA Sheet'!C:C=B668,'PLA Sheet'!D:D=C668))"),30.863531780000002)</f>
        <v>30.86353178</v>
      </c>
      <c r="F668" s="40">
        <v>4.973569394</v>
      </c>
      <c r="G668" s="40">
        <f>IFERROR(__xludf.DUMMYFUNCTION("sum(filter('PLA Sheet'!J:J,'PLA Sheet'!C:C=B668,'PLA Sheet'!D:D=C668))/E668*9"),3.668289611410117)</f>
        <v>3.668289611</v>
      </c>
      <c r="H668" s="41">
        <v>0.43902439</v>
      </c>
      <c r="I668" s="41">
        <v>0.18699187</v>
      </c>
      <c r="J668" s="41">
        <v>0.37398374</v>
      </c>
      <c r="K668" s="41">
        <f t="shared" si="1"/>
        <v>0.06504065</v>
      </c>
      <c r="L668" s="42">
        <v>-0.705668095</v>
      </c>
      <c r="M668" s="45">
        <f>('Cy Young Rank'!O$1-G668)*E668/9</f>
        <v>1.343285114</v>
      </c>
      <c r="N668" s="42"/>
      <c r="O668" s="66"/>
      <c r="P668" s="42"/>
      <c r="Q668" s="67"/>
      <c r="R668" s="67"/>
    </row>
    <row r="669">
      <c r="A669" s="1" t="s">
        <v>88</v>
      </c>
      <c r="B669" s="38">
        <v>694973.0</v>
      </c>
      <c r="C669" s="44" t="s">
        <v>532</v>
      </c>
      <c r="D669" s="38">
        <v>321.0</v>
      </c>
      <c r="E669" s="39">
        <f>IFERROR(__xludf.DUMMYFUNCTION("sum(filter('PLA Sheet'!H:H,'PLA Sheet'!C:C=B669,'PLA Sheet'!D:D=C669))"),20.413524638)</f>
        <v>20.41352464</v>
      </c>
      <c r="F669" s="40">
        <v>4.972286953</v>
      </c>
      <c r="G669" s="40">
        <f>IFERROR(__xludf.DUMMYFUNCTION("sum(filter('PLA Sheet'!J:J,'PLA Sheet'!C:C=B669,'PLA Sheet'!D:D=C669))/E669*9"),2.9872305778339348)</f>
        <v>2.987230578</v>
      </c>
      <c r="H669" s="41">
        <v>0.445482866</v>
      </c>
      <c r="I669" s="41">
        <v>0.165109034</v>
      </c>
      <c r="J669" s="41">
        <v>0.3894081</v>
      </c>
      <c r="K669" s="41">
        <f t="shared" si="1"/>
        <v>0.056074766</v>
      </c>
      <c r="L669" s="42">
        <v>6.397284787</v>
      </c>
      <c r="M669" s="45">
        <f>('Cy Young Rank'!O$1-G669)*E669/9</f>
        <v>2.433222781</v>
      </c>
      <c r="N669" s="42"/>
      <c r="O669" s="66"/>
      <c r="P669" s="42"/>
      <c r="Q669" s="67"/>
      <c r="R669" s="67"/>
    </row>
    <row r="670">
      <c r="A670" s="1" t="s">
        <v>413</v>
      </c>
      <c r="B670" s="38">
        <v>671737.0</v>
      </c>
      <c r="C670" s="44" t="s">
        <v>540</v>
      </c>
      <c r="D670" s="38">
        <v>505.0</v>
      </c>
      <c r="E670" s="39">
        <f>IFERROR(__xludf.DUMMYFUNCTION("sum(filter('PLA Sheet'!H:H,'PLA Sheet'!C:C=B670,'PLA Sheet'!D:D=C670))"),32.54131807)</f>
        <v>32.54131807</v>
      </c>
      <c r="F670" s="40">
        <v>4.97032867</v>
      </c>
      <c r="G670" s="40">
        <f>IFERROR(__xludf.DUMMYFUNCTION("sum(filter('PLA Sheet'!J:J,'PLA Sheet'!C:C=B670,'PLA Sheet'!D:D=C670))/E670*9"),3.3984036775066)</f>
        <v>3.398403678</v>
      </c>
      <c r="H670" s="41">
        <v>0.445544554</v>
      </c>
      <c r="I670" s="41">
        <v>0.176237624</v>
      </c>
      <c r="J670" s="41">
        <v>0.378217822</v>
      </c>
      <c r="K670" s="41">
        <f t="shared" si="1"/>
        <v>0.067326732</v>
      </c>
      <c r="L670" s="42">
        <v>-0.776012891</v>
      </c>
      <c r="M670" s="45">
        <f>('Cy Young Rank'!O$1-G670)*E670/9</f>
        <v>2.392135152</v>
      </c>
      <c r="N670" s="42"/>
      <c r="O670" s="66"/>
      <c r="P670" s="42"/>
      <c r="Q670" s="67"/>
      <c r="R670" s="67"/>
    </row>
    <row r="671">
      <c r="A671" s="1" t="s">
        <v>384</v>
      </c>
      <c r="B671" s="38">
        <v>666214.0</v>
      </c>
      <c r="C671" s="44" t="s">
        <v>537</v>
      </c>
      <c r="D671" s="38">
        <v>783.0</v>
      </c>
      <c r="E671" s="39">
        <f>IFERROR(__xludf.DUMMYFUNCTION("sum(filter('PLA Sheet'!H:H,'PLA Sheet'!C:C=B671,'PLA Sheet'!D:D=C671))"),43.19559229)</f>
        <v>43.19559229</v>
      </c>
      <c r="F671" s="40">
        <v>4.969981277</v>
      </c>
      <c r="G671" s="40">
        <f>IFERROR(__xludf.DUMMYFUNCTION("sum(filter('PLA Sheet'!J:J,'PLA Sheet'!C:C=B671,'PLA Sheet'!D:D=C671))/E671*9"),4.045304618741229)</f>
        <v>4.045304619</v>
      </c>
      <c r="H671" s="41">
        <v>0.463601533</v>
      </c>
      <c r="I671" s="41">
        <v>0.172413793</v>
      </c>
      <c r="J671" s="41">
        <v>0.363984674</v>
      </c>
      <c r="K671" s="41">
        <f t="shared" si="1"/>
        <v>0.099616859</v>
      </c>
      <c r="L671" s="42">
        <v>0.212181641</v>
      </c>
      <c r="M671" s="45">
        <f>('Cy Young Rank'!O$1-G671)*E671/9</f>
        <v>0.07053063304</v>
      </c>
      <c r="N671" s="42"/>
      <c r="O671" s="66"/>
      <c r="P671" s="42"/>
      <c r="Q671" s="67"/>
      <c r="R671" s="67"/>
    </row>
    <row r="672">
      <c r="A672" s="1" t="s">
        <v>494</v>
      </c>
      <c r="B672" s="38">
        <v>672782.0</v>
      </c>
      <c r="C672" s="44" t="s">
        <v>537</v>
      </c>
      <c r="D672" s="38">
        <v>353.0</v>
      </c>
      <c r="E672" s="39">
        <f>IFERROR(__xludf.DUMMYFUNCTION("sum(filter('PLA Sheet'!H:H,'PLA Sheet'!C:C=B672,'PLA Sheet'!D:D=C672))"),20.945962354000002)</f>
        <v>20.94596235</v>
      </c>
      <c r="F672" s="40">
        <v>4.969211323</v>
      </c>
      <c r="G672" s="40">
        <f>IFERROR(__xludf.DUMMYFUNCTION("sum(filter('PLA Sheet'!J:J,'PLA Sheet'!C:C=B672,'PLA Sheet'!D:D=C672))/E672*9"),4.019119941935899)</f>
        <v>4.019119942</v>
      </c>
      <c r="H672" s="41">
        <v>0.481586402</v>
      </c>
      <c r="I672" s="41">
        <v>0.172804533</v>
      </c>
      <c r="J672" s="41">
        <v>0.345609065</v>
      </c>
      <c r="K672" s="41">
        <f t="shared" si="1"/>
        <v>0.135977337</v>
      </c>
      <c r="L672" s="42">
        <v>2.484654221</v>
      </c>
      <c r="M672" s="45">
        <f>('Cy Young Rank'!O$1-G672)*E672/9</f>
        <v>0.0951413508</v>
      </c>
      <c r="N672" s="42"/>
      <c r="O672" s="66"/>
      <c r="P672" s="42"/>
      <c r="Q672" s="67"/>
      <c r="R672" s="67"/>
    </row>
    <row r="673">
      <c r="A673" s="1" t="s">
        <v>226</v>
      </c>
      <c r="B673" s="38">
        <v>607259.0</v>
      </c>
      <c r="C673" s="44" t="s">
        <v>541</v>
      </c>
      <c r="D673" s="38">
        <v>280.0</v>
      </c>
      <c r="E673" s="39">
        <f>IFERROR(__xludf.DUMMYFUNCTION("sum(filter('PLA Sheet'!H:H,'PLA Sheet'!C:C=B673,'PLA Sheet'!D:D=C673))"),18.186061546)</f>
        <v>18.18606155</v>
      </c>
      <c r="F673" s="40">
        <v>4.968868378</v>
      </c>
      <c r="G673" s="40">
        <f>IFERROR(__xludf.DUMMYFUNCTION("sum(filter('PLA Sheet'!J:J,'PLA Sheet'!C:C=B673,'PLA Sheet'!D:D=C673))/E673*9"),3.4122687225618162)</f>
        <v>3.412268723</v>
      </c>
      <c r="H673" s="41">
        <v>0.428571429</v>
      </c>
      <c r="I673" s="41">
        <v>0.175</v>
      </c>
      <c r="J673" s="41">
        <v>0.396428571</v>
      </c>
      <c r="K673" s="41">
        <f t="shared" si="1"/>
        <v>0.032142858</v>
      </c>
      <c r="L673" s="42">
        <v>3.283068913</v>
      </c>
      <c r="M673" s="45">
        <f>('Cy Young Rank'!O$1-G673)*E673/9</f>
        <v>1.308853431</v>
      </c>
      <c r="N673" s="42"/>
      <c r="O673" s="66"/>
      <c r="P673" s="42"/>
      <c r="Q673" s="67"/>
      <c r="R673" s="67"/>
    </row>
    <row r="674">
      <c r="A674" s="1" t="s">
        <v>403</v>
      </c>
      <c r="B674" s="38">
        <v>676254.0</v>
      </c>
      <c r="C674" s="44" t="s">
        <v>536</v>
      </c>
      <c r="D674" s="38">
        <v>620.0</v>
      </c>
      <c r="E674" s="39">
        <f>IFERROR(__xludf.DUMMYFUNCTION("sum(filter('PLA Sheet'!H:H,'PLA Sheet'!C:C=B674,'PLA Sheet'!D:D=C674))"),38.29564078)</f>
        <v>38.29564078</v>
      </c>
      <c r="F674" s="40">
        <v>4.968774708</v>
      </c>
      <c r="G674" s="40">
        <f>IFERROR(__xludf.DUMMYFUNCTION("sum(filter('PLA Sheet'!J:J,'PLA Sheet'!C:C=B674,'PLA Sheet'!D:D=C674))/E674*9"),3.526333709254101)</f>
        <v>3.526333709</v>
      </c>
      <c r="H674" s="41">
        <v>0.479032258</v>
      </c>
      <c r="I674" s="41">
        <v>0.146774194</v>
      </c>
      <c r="J674" s="41">
        <v>0.374193548</v>
      </c>
      <c r="K674" s="41">
        <f t="shared" si="1"/>
        <v>0.10483871</v>
      </c>
      <c r="L674" s="42">
        <v>4.421176679</v>
      </c>
      <c r="M674" s="45">
        <f>('Cy Young Rank'!O$1-G674)*E674/9</f>
        <v>2.270788063</v>
      </c>
      <c r="N674" s="42"/>
      <c r="O674" s="66"/>
      <c r="P674" s="42"/>
      <c r="Q674" s="67"/>
      <c r="R674" s="67"/>
    </row>
    <row r="675">
      <c r="A675" s="1" t="s">
        <v>453</v>
      </c>
      <c r="B675" s="38">
        <v>592836.0</v>
      </c>
      <c r="C675" s="44" t="s">
        <v>538</v>
      </c>
      <c r="D675" s="38">
        <v>445.0</v>
      </c>
      <c r="E675" s="39">
        <f>IFERROR(__xludf.DUMMYFUNCTION("sum(filter('PLA Sheet'!H:H,'PLA Sheet'!C:C=B675,'PLA Sheet'!D:D=C675))"),27.734951457)</f>
        <v>27.73495146</v>
      </c>
      <c r="F675" s="40">
        <v>4.968434851</v>
      </c>
      <c r="G675" s="40">
        <f>IFERROR(__xludf.DUMMYFUNCTION("sum(filter('PLA Sheet'!J:J,'PLA Sheet'!C:C=B675,'PLA Sheet'!D:D=C675))/E675*9"),3.485994094848075)</f>
        <v>3.485994095</v>
      </c>
      <c r="H675" s="41">
        <v>0.453932584</v>
      </c>
      <c r="I675" s="41">
        <v>0.182022472</v>
      </c>
      <c r="J675" s="41">
        <v>0.364044944</v>
      </c>
      <c r="K675" s="41">
        <f t="shared" si="1"/>
        <v>0.08988764</v>
      </c>
      <c r="L675" s="42">
        <v>-4.247312746</v>
      </c>
      <c r="M675" s="45">
        <f>('Cy Young Rank'!O$1-G675)*E675/9</f>
        <v>1.768891768</v>
      </c>
      <c r="N675" s="42"/>
      <c r="O675" s="66"/>
      <c r="P675" s="42"/>
      <c r="Q675" s="67"/>
      <c r="R675" s="67"/>
    </row>
    <row r="676">
      <c r="A676" s="1" t="s">
        <v>157</v>
      </c>
      <c r="B676" s="38">
        <v>660825.0</v>
      </c>
      <c r="C676" s="44" t="s">
        <v>536</v>
      </c>
      <c r="D676" s="38">
        <v>473.0</v>
      </c>
      <c r="E676" s="39">
        <f>IFERROR(__xludf.DUMMYFUNCTION("sum(filter('PLA Sheet'!H:H,'PLA Sheet'!C:C=B676,'PLA Sheet'!D:D=C676))"),31.79039781)</f>
        <v>31.79039781</v>
      </c>
      <c r="F676" s="40">
        <v>4.968180148</v>
      </c>
      <c r="G676" s="40">
        <f>IFERROR(__xludf.DUMMYFUNCTION("sum(filter('PLA Sheet'!J:J,'PLA Sheet'!C:C=B676,'PLA Sheet'!D:D=C676))/E676*9"),3.2342130040177683)</f>
        <v>3.234213004</v>
      </c>
      <c r="H676" s="41">
        <v>0.429175476</v>
      </c>
      <c r="I676" s="41">
        <v>0.21564482</v>
      </c>
      <c r="J676" s="41">
        <v>0.355179704</v>
      </c>
      <c r="K676" s="41">
        <f t="shared" si="1"/>
        <v>0.073995772</v>
      </c>
      <c r="L676" s="42">
        <v>14.16148648</v>
      </c>
      <c r="M676" s="45">
        <f>('Cy Young Rank'!O$1-G676)*E676/9</f>
        <v>2.916899679</v>
      </c>
      <c r="N676" s="42"/>
      <c r="O676" s="66"/>
      <c r="P676" s="42"/>
      <c r="Q676" s="67"/>
      <c r="R676" s="67"/>
    </row>
    <row r="677">
      <c r="A677" s="1" t="s">
        <v>308</v>
      </c>
      <c r="B677" s="38">
        <v>676440.0</v>
      </c>
      <c r="C677" s="44" t="s">
        <v>532</v>
      </c>
      <c r="D677" s="38">
        <v>438.0</v>
      </c>
      <c r="E677" s="39">
        <f>IFERROR(__xludf.DUMMYFUNCTION("sum(filter('PLA Sheet'!H:H,'PLA Sheet'!C:C=B677,'PLA Sheet'!D:D=C677))"),27.635567536000003)</f>
        <v>27.63556754</v>
      </c>
      <c r="F677" s="40">
        <v>4.968042732</v>
      </c>
      <c r="G677" s="40">
        <f>IFERROR(__xludf.DUMMYFUNCTION("sum(filter('PLA Sheet'!J:J,'PLA Sheet'!C:C=B677,'PLA Sheet'!D:D=C677))/E677*9"),3.4987304991672667)</f>
        <v>3.498730499</v>
      </c>
      <c r="H677" s="41">
        <v>0.470319635</v>
      </c>
      <c r="I677" s="41">
        <v>0.141552511</v>
      </c>
      <c r="J677" s="41">
        <v>0.388127854</v>
      </c>
      <c r="K677" s="41">
        <f t="shared" si="1"/>
        <v>0.082191781</v>
      </c>
      <c r="L677" s="42">
        <v>0.445467191</v>
      </c>
      <c r="M677" s="45">
        <f>('Cy Young Rank'!O$1-G677)*E677/9</f>
        <v>1.723444577</v>
      </c>
      <c r="N677" s="42"/>
      <c r="O677" s="66"/>
      <c r="P677" s="42"/>
      <c r="Q677" s="67"/>
      <c r="R677" s="67"/>
    </row>
    <row r="678">
      <c r="A678" s="1" t="s">
        <v>290</v>
      </c>
      <c r="B678" s="38">
        <v>669461.0</v>
      </c>
      <c r="C678" s="44" t="s">
        <v>537</v>
      </c>
      <c r="D678" s="38">
        <v>679.0</v>
      </c>
      <c r="E678" s="39">
        <f>IFERROR(__xludf.DUMMYFUNCTION("sum(filter('PLA Sheet'!H:H,'PLA Sheet'!C:C=B678,'PLA Sheet'!D:D=C678))"),44.92179863)</f>
        <v>44.92179863</v>
      </c>
      <c r="F678" s="40">
        <v>4.967580818</v>
      </c>
      <c r="G678" s="40">
        <f>IFERROR(__xludf.DUMMYFUNCTION("sum(filter('PLA Sheet'!J:J,'PLA Sheet'!C:C=B678,'PLA Sheet'!D:D=C678))/E678*9"),3.4567822245722937)</f>
        <v>3.456782225</v>
      </c>
      <c r="H678" s="41">
        <v>0.42562592</v>
      </c>
      <c r="I678" s="41">
        <v>0.217967599</v>
      </c>
      <c r="J678" s="41">
        <v>0.35640648</v>
      </c>
      <c r="K678" s="41">
        <f t="shared" si="1"/>
        <v>0.06921944</v>
      </c>
      <c r="L678" s="42">
        <v>-10.19648714</v>
      </c>
      <c r="M678" s="45">
        <f>('Cy Young Rank'!O$1-G678)*E678/9</f>
        <v>3.010847493</v>
      </c>
      <c r="N678" s="42"/>
      <c r="O678" s="66"/>
      <c r="P678" s="42"/>
      <c r="Q678" s="67"/>
      <c r="R678" s="67"/>
    </row>
    <row r="679">
      <c r="A679" s="1" t="s">
        <v>386</v>
      </c>
      <c r="B679" s="38">
        <v>656731.0</v>
      </c>
      <c r="C679" s="44" t="s">
        <v>533</v>
      </c>
      <c r="D679" s="38">
        <v>292.0</v>
      </c>
      <c r="E679" s="39">
        <f>IFERROR(__xludf.DUMMYFUNCTION("sum(filter('PLA Sheet'!H:H,'PLA Sheet'!C:C=B679,'PLA Sheet'!D:D=C679))"),16.446515397)</f>
        <v>16.4465154</v>
      </c>
      <c r="F679" s="40">
        <v>4.967176472</v>
      </c>
      <c r="G679" s="40">
        <f>IFERROR(__xludf.DUMMYFUNCTION("sum(filter('PLA Sheet'!J:J,'PLA Sheet'!C:C=B679,'PLA Sheet'!D:D=C679))/E679*9"),3.8084008975801162)</f>
        <v>3.808400898</v>
      </c>
      <c r="H679" s="41">
        <v>0.434931507</v>
      </c>
      <c r="I679" s="41">
        <v>0.20890411</v>
      </c>
      <c r="J679" s="41">
        <v>0.356164384</v>
      </c>
      <c r="K679" s="41">
        <f t="shared" si="1"/>
        <v>0.078767123</v>
      </c>
      <c r="L679" s="42">
        <v>-4.408302858</v>
      </c>
      <c r="M679" s="45">
        <f>('Cy Young Rank'!O$1-G679)*E679/9</f>
        <v>0.4597698346</v>
      </c>
      <c r="N679" s="42"/>
      <c r="O679" s="66"/>
      <c r="P679" s="42"/>
      <c r="Q679" s="67"/>
      <c r="R679" s="67"/>
    </row>
    <row r="680">
      <c r="A680" s="1" t="s">
        <v>105</v>
      </c>
      <c r="B680" s="38">
        <v>624133.0</v>
      </c>
      <c r="C680" s="44" t="s">
        <v>532</v>
      </c>
      <c r="D680" s="38">
        <v>453.0</v>
      </c>
      <c r="E680" s="39">
        <f>IFERROR(__xludf.DUMMYFUNCTION("sum(filter('PLA Sheet'!H:H,'PLA Sheet'!C:C=B680,'PLA Sheet'!D:D=C680))"),30.042249658)</f>
        <v>30.04224966</v>
      </c>
      <c r="F680" s="40">
        <v>4.966370415</v>
      </c>
      <c r="G680" s="40">
        <f>IFERROR(__xludf.DUMMYFUNCTION("sum(filter('PLA Sheet'!J:J,'PLA Sheet'!C:C=B680,'PLA Sheet'!D:D=C680))/E680*9"),3.2324677447762387)</f>
        <v>3.232467745</v>
      </c>
      <c r="H680" s="41">
        <v>0.415011038</v>
      </c>
      <c r="I680" s="41">
        <v>0.203090508</v>
      </c>
      <c r="J680" s="41">
        <v>0.381898455</v>
      </c>
      <c r="K680" s="41">
        <f t="shared" si="1"/>
        <v>0.033112583</v>
      </c>
      <c r="L680" s="42">
        <v>0.688486524</v>
      </c>
      <c r="M680" s="45">
        <f>('Cy Young Rank'!O$1-G680)*E680/9</f>
        <v>2.762325623</v>
      </c>
      <c r="N680" s="42"/>
      <c r="O680" s="66"/>
      <c r="P680" s="42"/>
      <c r="Q680" s="67"/>
      <c r="R680" s="67"/>
    </row>
    <row r="681">
      <c r="A681" s="1" t="s">
        <v>353</v>
      </c>
      <c r="B681" s="38">
        <v>663903.0</v>
      </c>
      <c r="C681" s="44" t="s">
        <v>536</v>
      </c>
      <c r="D681" s="38">
        <v>1135.0</v>
      </c>
      <c r="E681" s="39">
        <f>IFERROR(__xludf.DUMMYFUNCTION("sum(filter('PLA Sheet'!H:H,'PLA Sheet'!C:C=B681,'PLA Sheet'!D:D=C681))"),68.93824562)</f>
        <v>68.93824562</v>
      </c>
      <c r="F681" s="40">
        <v>4.965646205</v>
      </c>
      <c r="G681" s="40">
        <f>IFERROR(__xludf.DUMMYFUNCTION("sum(filter('PLA Sheet'!J:J,'PLA Sheet'!C:C=B681,'PLA Sheet'!D:D=C681))/E681*9"),3.7092143657020435)</f>
        <v>3.709214366</v>
      </c>
      <c r="H681" s="41">
        <v>0.463436123</v>
      </c>
      <c r="I681" s="41">
        <v>0.191189427</v>
      </c>
      <c r="J681" s="41">
        <v>0.345374449</v>
      </c>
      <c r="K681" s="41">
        <f t="shared" si="1"/>
        <v>0.118061674</v>
      </c>
      <c r="L681" s="42">
        <v>12.0485043</v>
      </c>
      <c r="M681" s="45">
        <f>('Cy Young Rank'!O$1-G681)*E681/9</f>
        <v>2.68694958</v>
      </c>
      <c r="N681" s="42"/>
      <c r="O681" s="66"/>
      <c r="P681" s="42"/>
      <c r="Q681" s="67"/>
      <c r="R681" s="67"/>
    </row>
    <row r="682">
      <c r="A682" s="1" t="s">
        <v>419</v>
      </c>
      <c r="B682" s="38">
        <v>681857.0</v>
      </c>
      <c r="C682" s="44" t="s">
        <v>536</v>
      </c>
      <c r="D682" s="38">
        <v>320.0</v>
      </c>
      <c r="E682" s="39">
        <f>IFERROR(__xludf.DUMMYFUNCTION("sum(filter('PLA Sheet'!H:H,'PLA Sheet'!C:C=B682,'PLA Sheet'!D:D=C682))"),19.314351449)</f>
        <v>19.31435145</v>
      </c>
      <c r="F682" s="40">
        <v>4.963461688</v>
      </c>
      <c r="G682" s="40">
        <f>IFERROR(__xludf.DUMMYFUNCTION("sum(filter('PLA Sheet'!J:J,'PLA Sheet'!C:C=B682,'PLA Sheet'!D:D=C682))/E682*9"),3.629718201261669)</f>
        <v>3.629718201</v>
      </c>
      <c r="H682" s="41">
        <v>0.453125</v>
      </c>
      <c r="I682" s="41">
        <v>0.184375</v>
      </c>
      <c r="J682" s="41">
        <v>0.3625</v>
      </c>
      <c r="K682" s="41">
        <f t="shared" si="1"/>
        <v>0.090625</v>
      </c>
      <c r="L682" s="42">
        <v>-0.726642506</v>
      </c>
      <c r="M682" s="45">
        <f>('Cy Young Rank'!O$1-G682)*E682/9</f>
        <v>0.9234015425</v>
      </c>
      <c r="N682" s="42"/>
      <c r="O682" s="66"/>
      <c r="P682" s="42"/>
      <c r="Q682" s="67"/>
      <c r="R682" s="67"/>
    </row>
    <row r="683">
      <c r="A683" s="1" t="s">
        <v>461</v>
      </c>
      <c r="B683" s="38">
        <v>673540.0</v>
      </c>
      <c r="C683" s="44" t="s">
        <v>537</v>
      </c>
      <c r="D683" s="38">
        <v>583.0</v>
      </c>
      <c r="E683" s="39">
        <f>IFERROR(__xludf.DUMMYFUNCTION("sum(filter('PLA Sheet'!H:H,'PLA Sheet'!C:C=B683,'PLA Sheet'!D:D=C683))"),35.5883386)</f>
        <v>35.5883386</v>
      </c>
      <c r="F683" s="40">
        <v>4.961497525</v>
      </c>
      <c r="G683" s="40">
        <f>IFERROR(__xludf.DUMMYFUNCTION("sum(filter('PLA Sheet'!J:J,'PLA Sheet'!C:C=B683,'PLA Sheet'!D:D=C683))/E683*9"),3.7792463287398306)</f>
        <v>3.779246329</v>
      </c>
      <c r="H683" s="41">
        <v>0.466552316</v>
      </c>
      <c r="I683" s="41">
        <v>0.173241852</v>
      </c>
      <c r="J683" s="41">
        <v>0.360205832</v>
      </c>
      <c r="K683" s="41">
        <f t="shared" si="1"/>
        <v>0.106346484</v>
      </c>
      <c r="L683" s="42">
        <v>-2.314618877</v>
      </c>
      <c r="M683" s="45">
        <f>('Cy Young Rank'!O$1-G683)*E683/9</f>
        <v>1.110172968</v>
      </c>
      <c r="N683" s="42"/>
      <c r="O683" s="66"/>
      <c r="P683" s="42"/>
      <c r="Q683" s="67"/>
      <c r="R683" s="67"/>
    </row>
    <row r="684">
      <c r="A684" s="1" t="s">
        <v>286</v>
      </c>
      <c r="B684" s="38">
        <v>695243.0</v>
      </c>
      <c r="C684" s="44" t="s">
        <v>533</v>
      </c>
      <c r="D684" s="38">
        <v>434.0</v>
      </c>
      <c r="E684" s="39">
        <f>IFERROR(__xludf.DUMMYFUNCTION("sum(filter('PLA Sheet'!H:H,'PLA Sheet'!C:C=B684,'PLA Sheet'!D:D=C684))"),28.10528121)</f>
        <v>28.10528121</v>
      </c>
      <c r="F684" s="40">
        <v>4.960593622</v>
      </c>
      <c r="G684" s="40">
        <f>IFERROR(__xludf.DUMMYFUNCTION("sum(filter('PLA Sheet'!J:J,'PLA Sheet'!C:C=B684,'PLA Sheet'!D:D=C684))/E684*9"),3.4032311680257337)</f>
        <v>3.403231168</v>
      </c>
      <c r="H684" s="41">
        <v>0.412442396</v>
      </c>
      <c r="I684" s="41">
        <v>0.211981567</v>
      </c>
      <c r="J684" s="41">
        <v>0.375576037</v>
      </c>
      <c r="K684" s="41">
        <f t="shared" si="1"/>
        <v>0.036866359</v>
      </c>
      <c r="L684" s="42">
        <v>11.48656417</v>
      </c>
      <c r="M684" s="45">
        <f>('Cy Young Rank'!O$1-G684)*E684/9</f>
        <v>2.050963635</v>
      </c>
      <c r="N684" s="42"/>
      <c r="O684" s="66"/>
      <c r="P684" s="42"/>
      <c r="Q684" s="67"/>
      <c r="R684" s="67"/>
    </row>
    <row r="685">
      <c r="A685" s="1" t="s">
        <v>486</v>
      </c>
      <c r="B685" s="38">
        <v>683409.0</v>
      </c>
      <c r="C685" s="44" t="s">
        <v>537</v>
      </c>
      <c r="D685" s="38">
        <v>459.0</v>
      </c>
      <c r="E685" s="39">
        <f>IFERROR(__xludf.DUMMYFUNCTION("sum(filter('PLA Sheet'!H:H,'PLA Sheet'!C:C=B685,'PLA Sheet'!D:D=C685))"),26.922374429999998)</f>
        <v>26.92237443</v>
      </c>
      <c r="F685" s="40">
        <v>4.960252678</v>
      </c>
      <c r="G685" s="40">
        <f>IFERROR(__xludf.DUMMYFUNCTION("sum(filter('PLA Sheet'!J:J,'PLA Sheet'!C:C=B685,'PLA Sheet'!D:D=C685))/E685*9"),3.926722744120159)</f>
        <v>3.926722744</v>
      </c>
      <c r="H685" s="41">
        <v>0.494553377</v>
      </c>
      <c r="I685" s="41">
        <v>0.156862745</v>
      </c>
      <c r="J685" s="41">
        <v>0.348583878</v>
      </c>
      <c r="K685" s="41">
        <f t="shared" si="1"/>
        <v>0.145969499</v>
      </c>
      <c r="L685" s="42">
        <v>-12.67797221</v>
      </c>
      <c r="M685" s="45">
        <f>('Cy Young Rank'!O$1-G685)*E685/9</f>
        <v>0.3986822429</v>
      </c>
      <c r="N685" s="42"/>
      <c r="O685" s="66"/>
      <c r="P685" s="42"/>
      <c r="Q685" s="67"/>
      <c r="R685" s="67"/>
    </row>
    <row r="686">
      <c r="A686" s="1" t="s">
        <v>484</v>
      </c>
      <c r="B686" s="38">
        <v>682847.0</v>
      </c>
      <c r="C686" s="44" t="s">
        <v>533</v>
      </c>
      <c r="D686" s="38">
        <v>381.0</v>
      </c>
      <c r="E686" s="39">
        <f>IFERROR(__xludf.DUMMYFUNCTION("sum(filter('PLA Sheet'!H:H,'PLA Sheet'!C:C=B686,'PLA Sheet'!D:D=C686))"),22.978902953000002)</f>
        <v>22.97890295</v>
      </c>
      <c r="F686" s="40">
        <v>4.959703304</v>
      </c>
      <c r="G686" s="40">
        <f>IFERROR(__xludf.DUMMYFUNCTION("sum(filter('PLA Sheet'!J:J,'PLA Sheet'!C:C=B686,'PLA Sheet'!D:D=C686))/E686*9"),3.530449089146296)</f>
        <v>3.530449089</v>
      </c>
      <c r="H686" s="41">
        <v>0.433070866</v>
      </c>
      <c r="I686" s="41">
        <v>0.186351706</v>
      </c>
      <c r="J686" s="41">
        <v>0.380577428</v>
      </c>
      <c r="K686" s="41">
        <f t="shared" si="1"/>
        <v>0.052493438</v>
      </c>
      <c r="L686" s="42">
        <v>5.233309595</v>
      </c>
      <c r="M686" s="45">
        <f>('Cy Young Rank'!O$1-G686)*E686/9</f>
        <v>1.352055443</v>
      </c>
      <c r="N686" s="42"/>
      <c r="O686" s="66"/>
      <c r="P686" s="42"/>
      <c r="Q686" s="67"/>
      <c r="R686" s="67"/>
    </row>
    <row r="687">
      <c r="A687" s="1" t="s">
        <v>263</v>
      </c>
      <c r="B687" s="38">
        <v>694297.0</v>
      </c>
      <c r="C687" s="44" t="s">
        <v>537</v>
      </c>
      <c r="D687" s="38">
        <v>668.0</v>
      </c>
      <c r="E687" s="39">
        <f>IFERROR(__xludf.DUMMYFUNCTION("sum(filter('PLA Sheet'!H:H,'PLA Sheet'!C:C=B687,'PLA Sheet'!D:D=C687))"),41.47246973)</f>
        <v>41.47246973</v>
      </c>
      <c r="F687" s="40">
        <v>4.959625385</v>
      </c>
      <c r="G687" s="40">
        <f>IFERROR(__xludf.DUMMYFUNCTION("sum(filter('PLA Sheet'!J:J,'PLA Sheet'!C:C=B687,'PLA Sheet'!D:D=C687))/E687*9"),3.715531049951773)</f>
        <v>3.71553105</v>
      </c>
      <c r="H687" s="41">
        <v>0.465568862</v>
      </c>
      <c r="I687" s="41">
        <v>0.175149701</v>
      </c>
      <c r="J687" s="41">
        <v>0.359281437</v>
      </c>
      <c r="K687" s="41">
        <f t="shared" si="1"/>
        <v>0.106287425</v>
      </c>
      <c r="L687" s="42">
        <v>1.363329197</v>
      </c>
      <c r="M687" s="45">
        <f>('Cy Young Rank'!O$1-G687)*E687/9</f>
        <v>1.5873309</v>
      </c>
      <c r="N687" s="42"/>
      <c r="O687" s="66"/>
      <c r="P687" s="42"/>
      <c r="Q687" s="67"/>
      <c r="R687" s="67"/>
    </row>
    <row r="688">
      <c r="A688" s="1" t="s">
        <v>476</v>
      </c>
      <c r="B688" s="38">
        <v>500779.0</v>
      </c>
      <c r="C688" s="44" t="s">
        <v>532</v>
      </c>
      <c r="D688" s="38">
        <v>473.0</v>
      </c>
      <c r="E688" s="39">
        <f>IFERROR(__xludf.DUMMYFUNCTION("sum(filter('PLA Sheet'!H:H,'PLA Sheet'!C:C=B688,'PLA Sheet'!D:D=C688))"),29.070837166)</f>
        <v>29.07083717</v>
      </c>
      <c r="F688" s="40">
        <v>4.956460804</v>
      </c>
      <c r="G688" s="40">
        <f>IFERROR(__xludf.DUMMYFUNCTION("sum(filter('PLA Sheet'!J:J,'PLA Sheet'!C:C=B688,'PLA Sheet'!D:D=C688))/E688*9"),3.570013288828863)</f>
        <v>3.570013289</v>
      </c>
      <c r="H688" s="41">
        <v>0.399577167</v>
      </c>
      <c r="I688" s="41">
        <v>0.190274841</v>
      </c>
      <c r="J688" s="41">
        <v>0.410147992</v>
      </c>
      <c r="K688" s="41">
        <f t="shared" si="1"/>
        <v>-0.010570825</v>
      </c>
      <c r="L688" s="42">
        <v>-7.610856871</v>
      </c>
      <c r="M688" s="45">
        <f>('Cy Young Rank'!O$1-G688)*E688/9</f>
        <v>1.582702655</v>
      </c>
      <c r="N688" s="42"/>
      <c r="O688" s="66"/>
      <c r="P688" s="42"/>
      <c r="Q688" s="67"/>
      <c r="R688" s="67"/>
    </row>
    <row r="689">
      <c r="A689" s="1" t="s">
        <v>114</v>
      </c>
      <c r="B689" s="38">
        <v>642207.0</v>
      </c>
      <c r="C689" s="44" t="s">
        <v>537</v>
      </c>
      <c r="D689" s="38">
        <v>517.0</v>
      </c>
      <c r="E689" s="39">
        <f>IFERROR(__xludf.DUMMYFUNCTION("sum(filter('PLA Sheet'!H:H,'PLA Sheet'!C:C=B689,'PLA Sheet'!D:D=C689))"),29.32432432)</f>
        <v>29.32432432</v>
      </c>
      <c r="F689" s="40">
        <v>4.955721149</v>
      </c>
      <c r="G689" s="40">
        <f>IFERROR(__xludf.DUMMYFUNCTION("sum(filter('PLA Sheet'!J:J,'PLA Sheet'!C:C=B689,'PLA Sheet'!D:D=C689))/E689*9"),4.196137604305422)</f>
        <v>4.196137604</v>
      </c>
      <c r="H689" s="41">
        <v>0.479690522</v>
      </c>
      <c r="I689" s="41">
        <v>0.145067698</v>
      </c>
      <c r="J689" s="41">
        <v>0.375241779</v>
      </c>
      <c r="K689" s="41">
        <f t="shared" si="1"/>
        <v>0.104448743</v>
      </c>
      <c r="L689" s="42">
        <v>0.545964987</v>
      </c>
      <c r="M689" s="45">
        <f>('Cy Young Rank'!O$1-G689)*E689/9</f>
        <v>-0.4435714734</v>
      </c>
      <c r="N689" s="42"/>
      <c r="O689" s="66"/>
      <c r="P689" s="42"/>
      <c r="Q689" s="67"/>
      <c r="R689" s="67"/>
    </row>
    <row r="690">
      <c r="A690" s="1" t="s">
        <v>396</v>
      </c>
      <c r="B690" s="38">
        <v>663623.0</v>
      </c>
      <c r="C690" s="44" t="s">
        <v>536</v>
      </c>
      <c r="D690" s="38">
        <v>619.0</v>
      </c>
      <c r="E690" s="39">
        <f>IFERROR(__xludf.DUMMYFUNCTION("sum(filter('PLA Sheet'!H:H,'PLA Sheet'!C:C=B690,'PLA Sheet'!D:D=C690))"),39.48387097)</f>
        <v>39.48387097</v>
      </c>
      <c r="F690" s="40">
        <v>4.955626414</v>
      </c>
      <c r="G690" s="40">
        <f>IFERROR(__xludf.DUMMYFUNCTION("sum(filter('PLA Sheet'!J:J,'PLA Sheet'!C:C=B690,'PLA Sheet'!D:D=C690))/E690*9"),3.588161102735971)</f>
        <v>3.588161103</v>
      </c>
      <c r="H690" s="41">
        <v>0.457189015</v>
      </c>
      <c r="I690" s="41">
        <v>0.198707593</v>
      </c>
      <c r="J690" s="41">
        <v>0.344103393</v>
      </c>
      <c r="K690" s="41">
        <f t="shared" si="1"/>
        <v>0.113085622</v>
      </c>
      <c r="L690" s="42">
        <v>8.238582459</v>
      </c>
      <c r="M690" s="45">
        <f>('Cy Young Rank'!O$1-G690)*E690/9</f>
        <v>2.070002904</v>
      </c>
      <c r="N690" s="42"/>
      <c r="O690" s="66"/>
      <c r="P690" s="42"/>
      <c r="Q690" s="67"/>
      <c r="R690" s="67"/>
    </row>
    <row r="691">
      <c r="A691" s="1" t="s">
        <v>363</v>
      </c>
      <c r="B691" s="38">
        <v>693645.0</v>
      </c>
      <c r="C691" s="44" t="s">
        <v>537</v>
      </c>
      <c r="D691" s="38">
        <v>668.0</v>
      </c>
      <c r="E691" s="39">
        <f>IFERROR(__xludf.DUMMYFUNCTION("sum(filter('PLA Sheet'!H:H,'PLA Sheet'!C:C=B691,'PLA Sheet'!D:D=C691))"),39.96648044)</f>
        <v>39.96648044</v>
      </c>
      <c r="F691" s="40">
        <v>4.955482683</v>
      </c>
      <c r="G691" s="40">
        <f>IFERROR(__xludf.DUMMYFUNCTION("sum(filter('PLA Sheet'!J:J,'PLA Sheet'!C:C=B691,'PLA Sheet'!D:D=C691))/E691*9"),3.9335366354315893)</f>
        <v>3.933536635</v>
      </c>
      <c r="H691" s="41">
        <v>0.5</v>
      </c>
      <c r="I691" s="41">
        <v>0.157185629</v>
      </c>
      <c r="J691" s="41">
        <v>0.342814371</v>
      </c>
      <c r="K691" s="41">
        <f t="shared" si="1"/>
        <v>0.157185629</v>
      </c>
      <c r="L691" s="42">
        <v>11.41157948</v>
      </c>
      <c r="M691" s="45">
        <f>('Cy Young Rank'!O$1-G691)*E691/9</f>
        <v>0.5615883985</v>
      </c>
      <c r="N691" s="42"/>
      <c r="O691" s="66"/>
      <c r="P691" s="42"/>
      <c r="Q691" s="67"/>
      <c r="R691" s="67"/>
    </row>
    <row r="692">
      <c r="A692" s="1" t="s">
        <v>303</v>
      </c>
      <c r="B692" s="38">
        <v>592662.0</v>
      </c>
      <c r="C692" s="44" t="s">
        <v>541</v>
      </c>
      <c r="D692" s="38">
        <v>357.0</v>
      </c>
      <c r="E692" s="39">
        <f>IFERROR(__xludf.DUMMYFUNCTION("sum(filter('PLA Sheet'!H:H,'PLA Sheet'!C:C=B692,'PLA Sheet'!D:D=C692))"),22.048783139)</f>
        <v>22.04878314</v>
      </c>
      <c r="F692" s="40">
        <v>4.954399837</v>
      </c>
      <c r="G692" s="40">
        <f>IFERROR(__xludf.DUMMYFUNCTION("sum(filter('PLA Sheet'!J:J,'PLA Sheet'!C:C=B692,'PLA Sheet'!D:D=C692))/E692*9"),3.7823973084703484)</f>
        <v>3.782397308</v>
      </c>
      <c r="H692" s="41">
        <v>0.411764706</v>
      </c>
      <c r="I692" s="41">
        <v>0.198879552</v>
      </c>
      <c r="J692" s="41">
        <v>0.389355742</v>
      </c>
      <c r="K692" s="41">
        <f t="shared" si="1"/>
        <v>0.022408964</v>
      </c>
      <c r="L692" s="42">
        <v>-3.401687281</v>
      </c>
      <c r="M692" s="45">
        <f>('Cy Young Rank'!O$1-G692)*E692/9</f>
        <v>0.6800890605</v>
      </c>
      <c r="N692" s="42"/>
      <c r="O692" s="66"/>
      <c r="P692" s="42"/>
      <c r="Q692" s="67"/>
      <c r="R692" s="67"/>
    </row>
    <row r="693">
      <c r="A693" s="1" t="s">
        <v>456</v>
      </c>
      <c r="B693" s="38">
        <v>605135.0</v>
      </c>
      <c r="C693" s="44" t="s">
        <v>536</v>
      </c>
      <c r="D693" s="38">
        <v>1138.0</v>
      </c>
      <c r="E693" s="39">
        <f>IFERROR(__xludf.DUMMYFUNCTION("sum(filter('PLA Sheet'!H:H,'PLA Sheet'!C:C=B693,'PLA Sheet'!D:D=C693))"),70.98727465)</f>
        <v>70.98727465</v>
      </c>
      <c r="F693" s="40">
        <v>4.954380299</v>
      </c>
      <c r="G693" s="40">
        <f>IFERROR(__xludf.DUMMYFUNCTION("sum(filter('PLA Sheet'!J:J,'PLA Sheet'!C:C=B693,'PLA Sheet'!D:D=C693))/E693*9"),3.572657300205284)</f>
        <v>3.5726573</v>
      </c>
      <c r="H693" s="41">
        <v>0.4543058</v>
      </c>
      <c r="I693" s="41">
        <v>0.181898067</v>
      </c>
      <c r="J693" s="41">
        <v>0.363796134</v>
      </c>
      <c r="K693" s="41">
        <f t="shared" si="1"/>
        <v>0.090509666</v>
      </c>
      <c r="L693" s="42">
        <v>12.21737972</v>
      </c>
      <c r="M693" s="45">
        <f>('Cy Young Rank'!O$1-G693)*E693/9</f>
        <v>3.843903342</v>
      </c>
      <c r="N693" s="42"/>
      <c r="O693" s="66"/>
      <c r="P693" s="42"/>
      <c r="Q693" s="67"/>
      <c r="R693" s="67"/>
    </row>
    <row r="694">
      <c r="A694" s="1" t="s">
        <v>223</v>
      </c>
      <c r="B694" s="38">
        <v>694335.0</v>
      </c>
      <c r="C694" s="44" t="s">
        <v>536</v>
      </c>
      <c r="D694" s="38">
        <v>443.0</v>
      </c>
      <c r="E694" s="39">
        <f>IFERROR(__xludf.DUMMYFUNCTION("sum(filter('PLA Sheet'!H:H,'PLA Sheet'!C:C=B694,'PLA Sheet'!D:D=C694))"),28.539419092000003)</f>
        <v>28.53941909</v>
      </c>
      <c r="F694" s="40">
        <v>4.954349833</v>
      </c>
      <c r="G694" s="40">
        <f>IFERROR(__xludf.DUMMYFUNCTION("sum(filter('PLA Sheet'!J:J,'PLA Sheet'!C:C=B694,'PLA Sheet'!D:D=C694))/E694*9"),3.3306918649456865)</f>
        <v>3.330691865</v>
      </c>
      <c r="H694" s="41">
        <v>0.496613995</v>
      </c>
      <c r="I694" s="41">
        <v>0.144469526</v>
      </c>
      <c r="J694" s="41">
        <v>0.358916479</v>
      </c>
      <c r="K694" s="41">
        <f t="shared" si="1"/>
        <v>0.137697516</v>
      </c>
      <c r="L694" s="42">
        <v>16.98875</v>
      </c>
      <c r="M694" s="45">
        <f>('Cy Young Rank'!O$1-G694)*E694/9</f>
        <v>2.312670057</v>
      </c>
      <c r="N694" s="42"/>
      <c r="O694" s="66"/>
      <c r="P694" s="42"/>
      <c r="Q694" s="67"/>
      <c r="R694" s="67"/>
    </row>
    <row r="695">
      <c r="A695" s="1" t="s">
        <v>180</v>
      </c>
      <c r="B695" s="38">
        <v>642547.0</v>
      </c>
      <c r="C695" s="44" t="s">
        <v>533</v>
      </c>
      <c r="D695" s="38">
        <v>287.0</v>
      </c>
      <c r="E695" s="39">
        <f>IFERROR(__xludf.DUMMYFUNCTION("sum(filter('PLA Sheet'!H:H,'PLA Sheet'!C:C=B695,'PLA Sheet'!D:D=C695))"),16.779038353)</f>
        <v>16.77903835</v>
      </c>
      <c r="F695" s="40">
        <v>4.950987043</v>
      </c>
      <c r="G695" s="40">
        <f>IFERROR(__xludf.DUMMYFUNCTION("sum(filter('PLA Sheet'!J:J,'PLA Sheet'!C:C=B695,'PLA Sheet'!D:D=C695))/E695*9"),3.698925569766233)</f>
        <v>3.69892557</v>
      </c>
      <c r="H695" s="41">
        <v>0.421602787</v>
      </c>
      <c r="I695" s="41">
        <v>0.177700348</v>
      </c>
      <c r="J695" s="41">
        <v>0.400696864</v>
      </c>
      <c r="K695" s="41">
        <f t="shared" si="1"/>
        <v>0.020905923</v>
      </c>
      <c r="L695" s="42">
        <v>3.853358762</v>
      </c>
      <c r="M695" s="45">
        <f>('Cy Young Rank'!O$1-G695)*E695/9</f>
        <v>0.6731646348</v>
      </c>
      <c r="N695" s="42"/>
      <c r="O695" s="66"/>
      <c r="P695" s="42"/>
      <c r="Q695" s="67"/>
      <c r="R695" s="67"/>
    </row>
    <row r="696">
      <c r="A696" s="1" t="s">
        <v>158</v>
      </c>
      <c r="B696" s="38">
        <v>608372.0</v>
      </c>
      <c r="C696" s="44" t="s">
        <v>536</v>
      </c>
      <c r="D696" s="38">
        <v>396.0</v>
      </c>
      <c r="E696" s="39">
        <f>IFERROR(__xludf.DUMMYFUNCTION("sum(filter('PLA Sheet'!H:H,'PLA Sheet'!C:C=B696,'PLA Sheet'!D:D=C696))"),24.973099418)</f>
        <v>24.97309942</v>
      </c>
      <c r="F696" s="40">
        <v>4.950750288</v>
      </c>
      <c r="G696" s="40">
        <f>IFERROR(__xludf.DUMMYFUNCTION("sum(filter('PLA Sheet'!J:J,'PLA Sheet'!C:C=B696,'PLA Sheet'!D:D=C696))/E696*9"),3.6469088788536848)</f>
        <v>3.646908879</v>
      </c>
      <c r="H696" s="41">
        <v>0.439393939</v>
      </c>
      <c r="I696" s="41">
        <v>0.204545455</v>
      </c>
      <c r="J696" s="41">
        <v>0.356060606</v>
      </c>
      <c r="K696" s="41">
        <f t="shared" si="1"/>
        <v>0.083333333</v>
      </c>
      <c r="L696" s="42">
        <v>2.547969492</v>
      </c>
      <c r="M696" s="45">
        <f>('Cy Young Rank'!O$1-G696)*E696/9</f>
        <v>1.146240626</v>
      </c>
      <c r="N696" s="42"/>
      <c r="O696" s="66"/>
      <c r="P696" s="42"/>
      <c r="Q696" s="67"/>
      <c r="R696" s="67"/>
    </row>
    <row r="697">
      <c r="A697" s="1" t="s">
        <v>495</v>
      </c>
      <c r="B697" s="38">
        <v>801403.0</v>
      </c>
      <c r="C697" s="44" t="s">
        <v>537</v>
      </c>
      <c r="D697" s="38">
        <v>841.0</v>
      </c>
      <c r="E697" s="39">
        <f>IFERROR(__xludf.DUMMYFUNCTION("sum(filter('PLA Sheet'!H:H,'PLA Sheet'!C:C=B697,'PLA Sheet'!D:D=C697))"),47.78740158)</f>
        <v>47.78740158</v>
      </c>
      <c r="F697" s="40">
        <v>4.950528167</v>
      </c>
      <c r="G697" s="40">
        <f>IFERROR(__xludf.DUMMYFUNCTION("sum(filter('PLA Sheet'!J:J,'PLA Sheet'!C:C=B697,'PLA Sheet'!D:D=C697))/E697*9"),4.135328987686717)</f>
        <v>4.135328988</v>
      </c>
      <c r="H697" s="41">
        <v>0.48156956</v>
      </c>
      <c r="I697" s="41">
        <v>0.168846611</v>
      </c>
      <c r="J697" s="41">
        <v>0.349583829</v>
      </c>
      <c r="K697" s="41">
        <f t="shared" si="1"/>
        <v>0.131985731</v>
      </c>
      <c r="L697" s="42">
        <v>-0.385468779</v>
      </c>
      <c r="M697" s="45">
        <f>('Cy Young Rank'!O$1-G697)*E697/9</f>
        <v>-0.3999751761</v>
      </c>
      <c r="N697" s="42"/>
      <c r="O697" s="66"/>
      <c r="P697" s="42"/>
      <c r="Q697" s="67"/>
      <c r="R697" s="67"/>
    </row>
    <row r="698">
      <c r="A698" s="1" t="s">
        <v>372</v>
      </c>
      <c r="B698" s="38">
        <v>671106.0</v>
      </c>
      <c r="C698" s="44" t="s">
        <v>536</v>
      </c>
      <c r="D698" s="38">
        <v>342.0</v>
      </c>
      <c r="E698" s="39">
        <f>IFERROR(__xludf.DUMMYFUNCTION("sum(filter('PLA Sheet'!H:H,'PLA Sheet'!C:C=B698,'PLA Sheet'!D:D=C698))"),20.66888396)</f>
        <v>20.66888396</v>
      </c>
      <c r="F698" s="40">
        <v>4.950404438</v>
      </c>
      <c r="G698" s="40">
        <f>IFERROR(__xludf.DUMMYFUNCTION("sum(filter('PLA Sheet'!J:J,'PLA Sheet'!C:C=B698,'PLA Sheet'!D:D=C698))/E698*9"),3.817757076420299)</f>
        <v>3.817757076</v>
      </c>
      <c r="H698" s="41">
        <v>0.461988304</v>
      </c>
      <c r="I698" s="41">
        <v>0.210526316</v>
      </c>
      <c r="J698" s="41">
        <v>0.32748538</v>
      </c>
      <c r="K698" s="41">
        <f t="shared" si="1"/>
        <v>0.134502924</v>
      </c>
      <c r="L698" s="42">
        <v>6.798925099</v>
      </c>
      <c r="M698" s="45">
        <f>('Cy Young Rank'!O$1-G698)*E698/9</f>
        <v>0.5563212086</v>
      </c>
      <c r="N698" s="42"/>
      <c r="O698" s="66"/>
      <c r="P698" s="42"/>
      <c r="Q698" s="67"/>
      <c r="R698" s="67"/>
    </row>
    <row r="699">
      <c r="A699" s="1" t="s">
        <v>458</v>
      </c>
      <c r="B699" s="38">
        <v>676130.0</v>
      </c>
      <c r="C699" s="44" t="s">
        <v>533</v>
      </c>
      <c r="D699" s="38">
        <v>318.0</v>
      </c>
      <c r="E699" s="39">
        <f>IFERROR(__xludf.DUMMYFUNCTION("sum(filter('PLA Sheet'!H:H,'PLA Sheet'!C:C=B699,'PLA Sheet'!D:D=C699))"),20.161467891)</f>
        <v>20.16146789</v>
      </c>
      <c r="F699" s="40">
        <v>4.950181344</v>
      </c>
      <c r="G699" s="40">
        <f>IFERROR(__xludf.DUMMYFUNCTION("sum(filter('PLA Sheet'!J:J,'PLA Sheet'!C:C=B699,'PLA Sheet'!D:D=C699))/E699*9"),3.3896652450840143)</f>
        <v>3.389665245</v>
      </c>
      <c r="H699" s="41">
        <v>0.421383648</v>
      </c>
      <c r="I699" s="41">
        <v>0.210691824</v>
      </c>
      <c r="J699" s="41">
        <v>0.367924528</v>
      </c>
      <c r="K699" s="41">
        <f t="shared" si="1"/>
        <v>0.05345912</v>
      </c>
      <c r="L699" s="42">
        <v>-5.09390172</v>
      </c>
      <c r="M699" s="45">
        <f>('Cy Young Rank'!O$1-G699)*E699/9</f>
        <v>1.501659182</v>
      </c>
      <c r="N699" s="42"/>
      <c r="O699" s="66"/>
      <c r="P699" s="42"/>
      <c r="Q699" s="67"/>
      <c r="R699" s="67"/>
    </row>
    <row r="700">
      <c r="A700" s="1" t="s">
        <v>438</v>
      </c>
      <c r="B700" s="38">
        <v>623211.0</v>
      </c>
      <c r="C700" s="44" t="s">
        <v>532</v>
      </c>
      <c r="D700" s="38">
        <v>373.0</v>
      </c>
      <c r="E700" s="39">
        <f>IFERROR(__xludf.DUMMYFUNCTION("sum(filter('PLA Sheet'!H:H,'PLA Sheet'!C:C=B700,'PLA Sheet'!D:D=C700))"),23.99109792)</f>
        <v>23.99109792</v>
      </c>
      <c r="F700" s="40">
        <v>4.950118121</v>
      </c>
      <c r="G700" s="40">
        <f>IFERROR(__xludf.DUMMYFUNCTION("sum(filter('PLA Sheet'!J:J,'PLA Sheet'!C:C=B700,'PLA Sheet'!D:D=C700))/E700*9"),3.4165430141348025)</f>
        <v>3.416543014</v>
      </c>
      <c r="H700" s="41">
        <v>0.45844504</v>
      </c>
      <c r="I700" s="41">
        <v>0.155495979</v>
      </c>
      <c r="J700" s="41">
        <v>0.386058981</v>
      </c>
      <c r="K700" s="41">
        <f t="shared" si="1"/>
        <v>0.072386059</v>
      </c>
      <c r="L700" s="42">
        <v>-0.100667029</v>
      </c>
      <c r="M700" s="45">
        <f>('Cy Young Rank'!O$1-G700)*E700/9</f>
        <v>1.715248839</v>
      </c>
      <c r="N700" s="42"/>
      <c r="O700" s="66"/>
      <c r="P700" s="42"/>
      <c r="Q700" s="67"/>
      <c r="R700" s="67"/>
    </row>
    <row r="701">
      <c r="A701" s="1" t="s">
        <v>311</v>
      </c>
      <c r="B701" s="38">
        <v>656546.0</v>
      </c>
      <c r="C701" s="44" t="s">
        <v>533</v>
      </c>
      <c r="D701" s="38">
        <v>319.0</v>
      </c>
      <c r="E701" s="39">
        <f>IFERROR(__xludf.DUMMYFUNCTION("sum(filter('PLA Sheet'!H:H,'PLA Sheet'!C:C=B701,'PLA Sheet'!D:D=C701))"),20.315602833)</f>
        <v>20.31560283</v>
      </c>
      <c r="F701" s="40">
        <v>4.949663328</v>
      </c>
      <c r="G701" s="40">
        <f>IFERROR(__xludf.DUMMYFUNCTION("sum(filter('PLA Sheet'!J:J,'PLA Sheet'!C:C=B701,'PLA Sheet'!D:D=C701))/E701*9"),3.6776182628771714)</f>
        <v>3.677618263</v>
      </c>
      <c r="H701" s="41">
        <v>0.438871473</v>
      </c>
      <c r="I701" s="41">
        <v>0.191222571</v>
      </c>
      <c r="J701" s="41">
        <v>0.369905956</v>
      </c>
      <c r="K701" s="41">
        <f t="shared" si="1"/>
        <v>0.068965517</v>
      </c>
      <c r="L701" s="42">
        <v>6.112875762</v>
      </c>
      <c r="M701" s="45">
        <f>('Cy Young Rank'!O$1-G701)*E701/9</f>
        <v>0.8631461669</v>
      </c>
      <c r="N701" s="42"/>
      <c r="O701" s="66"/>
      <c r="P701" s="42"/>
      <c r="Q701" s="67"/>
      <c r="R701" s="67"/>
    </row>
    <row r="702">
      <c r="A702" s="1" t="s">
        <v>358</v>
      </c>
      <c r="B702" s="38">
        <v>434378.0</v>
      </c>
      <c r="C702" s="44" t="s">
        <v>541</v>
      </c>
      <c r="D702" s="38">
        <v>370.0</v>
      </c>
      <c r="E702" s="39">
        <f>IFERROR(__xludf.DUMMYFUNCTION("sum(filter('PLA Sheet'!H:H,'PLA Sheet'!C:C=B702,'PLA Sheet'!D:D=C702))"),22.32208589)</f>
        <v>22.32208589</v>
      </c>
      <c r="F702" s="40">
        <v>4.949568292</v>
      </c>
      <c r="G702" s="40">
        <f>IFERROR(__xludf.DUMMYFUNCTION("sum(filter('PLA Sheet'!J:J,'PLA Sheet'!C:C=B702,'PLA Sheet'!D:D=C702))/E702*9"),3.685896264598595)</f>
        <v>3.685896265</v>
      </c>
      <c r="H702" s="41">
        <v>0.451351351</v>
      </c>
      <c r="I702" s="41">
        <v>0.183783784</v>
      </c>
      <c r="J702" s="41">
        <v>0.364864865</v>
      </c>
      <c r="K702" s="41">
        <f t="shared" si="1"/>
        <v>0.086486486</v>
      </c>
      <c r="L702" s="42">
        <v>-6.823711024</v>
      </c>
      <c r="M702" s="45">
        <f>('Cy Young Rank'!O$1-G702)*E702/9</f>
        <v>0.9278639682</v>
      </c>
      <c r="N702" s="42"/>
      <c r="O702" s="66"/>
      <c r="P702" s="42"/>
      <c r="Q702" s="67"/>
      <c r="R702" s="67"/>
    </row>
    <row r="703">
      <c r="A703" s="1" t="s">
        <v>416</v>
      </c>
      <c r="B703" s="38">
        <v>608337.0</v>
      </c>
      <c r="C703" s="44" t="s">
        <v>537</v>
      </c>
      <c r="D703" s="38">
        <v>1111.0</v>
      </c>
      <c r="E703" s="39">
        <f>IFERROR(__xludf.DUMMYFUNCTION("sum(filter('PLA Sheet'!H:H,'PLA Sheet'!C:C=B703,'PLA Sheet'!D:D=C703))"),70.20084567)</f>
        <v>70.20084567</v>
      </c>
      <c r="F703" s="40">
        <v>4.947847288</v>
      </c>
      <c r="G703" s="40">
        <f>IFERROR(__xludf.DUMMYFUNCTION("sum(filter('PLA Sheet'!J:J,'PLA Sheet'!C:C=B703,'PLA Sheet'!D:D=C703))/E703*9"),3.728525981444918)</f>
        <v>3.728525981</v>
      </c>
      <c r="H703" s="41">
        <v>0.459045905</v>
      </c>
      <c r="I703" s="41">
        <v>0.186318632</v>
      </c>
      <c r="J703" s="41">
        <v>0.354635464</v>
      </c>
      <c r="K703" s="41">
        <f t="shared" si="1"/>
        <v>0.104410441</v>
      </c>
      <c r="L703" s="42">
        <v>-3.868276126</v>
      </c>
      <c r="M703" s="45">
        <f>('Cy Young Rank'!O$1-G703)*E703/9</f>
        <v>2.585528491</v>
      </c>
      <c r="N703" s="42"/>
      <c r="O703" s="66"/>
      <c r="P703" s="42"/>
      <c r="Q703" s="67"/>
      <c r="R703" s="67"/>
    </row>
    <row r="704">
      <c r="A704" s="1" t="s">
        <v>449</v>
      </c>
      <c r="B704" s="38">
        <v>687223.0</v>
      </c>
      <c r="C704" s="44" t="s">
        <v>537</v>
      </c>
      <c r="D704" s="38">
        <v>358.0</v>
      </c>
      <c r="E704" s="39">
        <f>IFERROR(__xludf.DUMMYFUNCTION("sum(filter('PLA Sheet'!H:H,'PLA Sheet'!C:C=B704,'PLA Sheet'!D:D=C704))"),17.970212763)</f>
        <v>17.97021276</v>
      </c>
      <c r="F704" s="40">
        <v>4.947798123</v>
      </c>
      <c r="G704" s="40">
        <f>IFERROR(__xludf.DUMMYFUNCTION("sum(filter('PLA Sheet'!J:J,'PLA Sheet'!C:C=B704,'PLA Sheet'!D:D=C704))/E704*9"),4.6972577405315175)</f>
        <v>4.697257741</v>
      </c>
      <c r="H704" s="41">
        <v>0.508379888</v>
      </c>
      <c r="I704" s="41">
        <v>0.164804469</v>
      </c>
      <c r="J704" s="41">
        <v>0.326815642</v>
      </c>
      <c r="K704" s="41">
        <f t="shared" si="1"/>
        <v>0.181564246</v>
      </c>
      <c r="L704" s="42">
        <v>-10.75822977</v>
      </c>
      <c r="M704" s="45">
        <f>('Cy Young Rank'!O$1-G704)*E704/9</f>
        <v>-1.272406354</v>
      </c>
      <c r="N704" s="42"/>
      <c r="O704" s="66"/>
      <c r="P704" s="42"/>
      <c r="Q704" s="67"/>
      <c r="R704" s="67"/>
    </row>
    <row r="705">
      <c r="A705" s="1" t="s">
        <v>546</v>
      </c>
      <c r="B705" s="38">
        <v>663455.0</v>
      </c>
      <c r="C705" s="44" t="s">
        <v>537</v>
      </c>
      <c r="D705" s="38">
        <v>280.0</v>
      </c>
      <c r="E705" s="39">
        <f>IFERROR(__xludf.DUMMYFUNCTION("sum(filter('PLA Sheet'!H:H,'PLA Sheet'!C:C=B705,'PLA Sheet'!D:D=C705))"),16.716666667)</f>
        <v>16.71666667</v>
      </c>
      <c r="F705" s="40">
        <v>4.944779152</v>
      </c>
      <c r="G705" s="40">
        <f>IFERROR(__xludf.DUMMYFUNCTION("sum(filter('PLA Sheet'!J:J,'PLA Sheet'!C:C=B705,'PLA Sheet'!D:D=C705))/E705*9"),3.970818125543952)</f>
        <v>3.970818126</v>
      </c>
      <c r="H705" s="41">
        <v>0.496428571</v>
      </c>
      <c r="I705" s="41">
        <v>0.132142857</v>
      </c>
      <c r="J705" s="41">
        <v>0.371428571</v>
      </c>
      <c r="K705" s="41">
        <f t="shared" si="1"/>
        <v>0.125</v>
      </c>
      <c r="L705" s="42">
        <v>0.704526082</v>
      </c>
      <c r="M705" s="45">
        <f>('Cy Young Rank'!O$1-G705)*E705/9</f>
        <v>0.1656470742</v>
      </c>
      <c r="N705" s="42"/>
      <c r="O705" s="66"/>
      <c r="P705" s="42"/>
      <c r="Q705" s="67"/>
      <c r="R705" s="67"/>
    </row>
    <row r="706">
      <c r="A706" s="1" t="s">
        <v>327</v>
      </c>
      <c r="B706" s="38">
        <v>621242.0</v>
      </c>
      <c r="C706" s="44" t="s">
        <v>533</v>
      </c>
      <c r="D706" s="38">
        <v>491.0</v>
      </c>
      <c r="E706" s="39">
        <f>IFERROR(__xludf.DUMMYFUNCTION("sum(filter('PLA Sheet'!H:H,'PLA Sheet'!C:C=B706,'PLA Sheet'!D:D=C706))"),31.453834120000003)</f>
        <v>31.45383412</v>
      </c>
      <c r="F706" s="40">
        <v>4.942393078</v>
      </c>
      <c r="G706" s="40">
        <f>IFERROR(__xludf.DUMMYFUNCTION("sum(filter('PLA Sheet'!J:J,'PLA Sheet'!C:C=B706,'PLA Sheet'!D:D=C706))/E706*9"),3.444070716044076)</f>
        <v>3.444070716</v>
      </c>
      <c r="H706" s="41">
        <v>0.443991853</v>
      </c>
      <c r="I706" s="41">
        <v>0.156822811</v>
      </c>
      <c r="J706" s="41">
        <v>0.399185336</v>
      </c>
      <c r="K706" s="41">
        <f t="shared" si="1"/>
        <v>0.044806517</v>
      </c>
      <c r="L706" s="42">
        <v>2.274534214</v>
      </c>
      <c r="M706" s="45">
        <f>('Cy Young Rank'!O$1-G706)*E706/9</f>
        <v>2.152593059</v>
      </c>
      <c r="N706" s="42"/>
      <c r="O706" s="66"/>
      <c r="P706" s="42"/>
      <c r="Q706" s="67"/>
      <c r="R706" s="67"/>
    </row>
    <row r="707">
      <c r="A707" s="1" t="s">
        <v>358</v>
      </c>
      <c r="B707" s="38">
        <v>434378.0</v>
      </c>
      <c r="C707" s="44" t="s">
        <v>537</v>
      </c>
      <c r="D707" s="38">
        <v>1126.0</v>
      </c>
      <c r="E707" s="39">
        <f>IFERROR(__xludf.DUMMYFUNCTION("sum(filter('PLA Sheet'!H:H,'PLA Sheet'!C:C=B707,'PLA Sheet'!D:D=C707))"),68.94785275999999)</f>
        <v>68.94785276</v>
      </c>
      <c r="F707" s="40">
        <v>4.94187163</v>
      </c>
      <c r="G707" s="40">
        <f>IFERROR(__xludf.DUMMYFUNCTION("sum(filter('PLA Sheet'!J:J,'PLA Sheet'!C:C=B707,'PLA Sheet'!D:D=C707))/E707*9"),3.745825151350225)</f>
        <v>3.745825151</v>
      </c>
      <c r="H707" s="41">
        <v>0.468028419</v>
      </c>
      <c r="I707" s="41">
        <v>0.178507993</v>
      </c>
      <c r="J707" s="41">
        <v>0.353463588</v>
      </c>
      <c r="K707" s="41">
        <f t="shared" si="1"/>
        <v>0.114564831</v>
      </c>
      <c r="L707" s="42">
        <v>-2.075813987</v>
      </c>
      <c r="M707" s="45">
        <f>('Cy Young Rank'!O$1-G707)*E707/9</f>
        <v>2.406853467</v>
      </c>
      <c r="N707" s="42"/>
      <c r="O707" s="66"/>
      <c r="P707" s="42"/>
      <c r="Q707" s="67"/>
      <c r="R707" s="67"/>
    </row>
    <row r="708">
      <c r="A708" s="1" t="s">
        <v>206</v>
      </c>
      <c r="B708" s="38">
        <v>676263.0</v>
      </c>
      <c r="C708" s="44" t="s">
        <v>533</v>
      </c>
      <c r="D708" s="38">
        <v>506.0</v>
      </c>
      <c r="E708" s="39">
        <f>IFERROR(__xludf.DUMMYFUNCTION("sum(filter('PLA Sheet'!H:H,'PLA Sheet'!C:C=B708,'PLA Sheet'!D:D=C708))"),35.23589296)</f>
        <v>35.23589296</v>
      </c>
      <c r="F708" s="40">
        <v>4.939968811</v>
      </c>
      <c r="G708" s="40">
        <f>IFERROR(__xludf.DUMMYFUNCTION("sum(filter('PLA Sheet'!J:J,'PLA Sheet'!C:C=B708,'PLA Sheet'!D:D=C708))/E708*9"),3.2374145059839003)</f>
        <v>3.237414506</v>
      </c>
      <c r="H708" s="41">
        <v>0.411067194</v>
      </c>
      <c r="I708" s="41">
        <v>0.166007905</v>
      </c>
      <c r="J708" s="41">
        <v>0.422924901</v>
      </c>
      <c r="K708" s="41">
        <f t="shared" si="1"/>
        <v>-0.011857707</v>
      </c>
      <c r="L708" s="42">
        <v>3.538565244</v>
      </c>
      <c r="M708" s="45">
        <f>('Cy Young Rank'!O$1-G708)*E708/9</f>
        <v>3.220503824</v>
      </c>
      <c r="N708" s="42"/>
      <c r="O708" s="66"/>
      <c r="P708" s="42"/>
      <c r="Q708" s="67"/>
      <c r="R708" s="67"/>
    </row>
    <row r="709">
      <c r="A709" s="1" t="s">
        <v>302</v>
      </c>
      <c r="B709" s="38">
        <v>681190.0</v>
      </c>
      <c r="C709" s="44" t="s">
        <v>540</v>
      </c>
      <c r="D709" s="38">
        <v>511.0</v>
      </c>
      <c r="E709" s="39">
        <f>IFERROR(__xludf.DUMMYFUNCTION("sum(filter('PLA Sheet'!H:H,'PLA Sheet'!C:C=B709,'PLA Sheet'!D:D=C709))"),33.16775295)</f>
        <v>33.16775295</v>
      </c>
      <c r="F709" s="40">
        <v>4.938092026</v>
      </c>
      <c r="G709" s="40">
        <f>IFERROR(__xludf.DUMMYFUNCTION("sum(filter('PLA Sheet'!J:J,'PLA Sheet'!C:C=B709,'PLA Sheet'!D:D=C709))/E709*9"),3.4596056348158486)</f>
        <v>3.459605635</v>
      </c>
      <c r="H709" s="41">
        <v>0.457925636</v>
      </c>
      <c r="I709" s="41">
        <v>0.176125245</v>
      </c>
      <c r="J709" s="41">
        <v>0.365949119</v>
      </c>
      <c r="K709" s="41">
        <f t="shared" si="1"/>
        <v>0.091976517</v>
      </c>
      <c r="L709" s="42">
        <v>3.461003505</v>
      </c>
      <c r="M709" s="45">
        <f>('Cy Young Rank'!O$1-G709)*E709/9</f>
        <v>2.212636886</v>
      </c>
      <c r="N709" s="42"/>
      <c r="O709" s="66"/>
      <c r="P709" s="42"/>
      <c r="Q709" s="67"/>
      <c r="R709" s="67"/>
    </row>
    <row r="710">
      <c r="A710" s="1" t="s">
        <v>437</v>
      </c>
      <c r="B710" s="38">
        <v>695418.0</v>
      </c>
      <c r="C710" s="44" t="s">
        <v>533</v>
      </c>
      <c r="D710" s="38">
        <v>410.0</v>
      </c>
      <c r="E710" s="39">
        <f>IFERROR(__xludf.DUMMYFUNCTION("sum(filter('PLA Sheet'!H:H,'PLA Sheet'!C:C=B710,'PLA Sheet'!D:D=C710))"),26.600219404999997)</f>
        <v>26.60021941</v>
      </c>
      <c r="F710" s="40">
        <v>4.937043569</v>
      </c>
      <c r="G710" s="40">
        <f>IFERROR(__xludf.DUMMYFUNCTION("sum(filter('PLA Sheet'!J:J,'PLA Sheet'!C:C=B710,'PLA Sheet'!D:D=C710))/E710*9"),3.490032152988552)</f>
        <v>3.490032153</v>
      </c>
      <c r="H710" s="41">
        <v>0.456097561</v>
      </c>
      <c r="I710" s="41">
        <v>0.187804878</v>
      </c>
      <c r="J710" s="41">
        <v>0.356097561</v>
      </c>
      <c r="K710" s="41">
        <f t="shared" si="1"/>
        <v>0.1</v>
      </c>
      <c r="L710" s="42">
        <v>-3.012126003</v>
      </c>
      <c r="M710" s="45">
        <f>('Cy Young Rank'!O$1-G710)*E710/9</f>
        <v>1.684585532</v>
      </c>
      <c r="N710" s="42"/>
      <c r="O710" s="66"/>
      <c r="P710" s="42"/>
      <c r="Q710" s="67"/>
      <c r="R710" s="67"/>
    </row>
    <row r="711">
      <c r="A711" s="1" t="s">
        <v>272</v>
      </c>
      <c r="B711" s="38">
        <v>622491.0</v>
      </c>
      <c r="C711" s="44" t="s">
        <v>532</v>
      </c>
      <c r="D711" s="38">
        <v>317.0</v>
      </c>
      <c r="E711" s="39">
        <f>IFERROR(__xludf.DUMMYFUNCTION("sum(filter('PLA Sheet'!H:H,'PLA Sheet'!C:C=B711,'PLA Sheet'!D:D=C711))"),20.157024789999998)</f>
        <v>20.15702479</v>
      </c>
      <c r="F711" s="40">
        <v>4.934491175</v>
      </c>
      <c r="G711" s="40">
        <f>IFERROR(__xludf.DUMMYFUNCTION("sum(filter('PLA Sheet'!J:J,'PLA Sheet'!C:C=B711,'PLA Sheet'!D:D=C711))/E711*9"),3.2867832773052816)</f>
        <v>3.286783277</v>
      </c>
      <c r="H711" s="41">
        <v>0.425867508</v>
      </c>
      <c r="I711" s="41">
        <v>0.205047319</v>
      </c>
      <c r="J711" s="41">
        <v>0.369085174</v>
      </c>
      <c r="K711" s="41">
        <f t="shared" si="1"/>
        <v>0.056782334</v>
      </c>
      <c r="L711" s="42">
        <v>-1.107356226</v>
      </c>
      <c r="M711" s="45">
        <f>('Cy Young Rank'!O$1-G711)*E711/9</f>
        <v>1.73174985</v>
      </c>
      <c r="N711" s="42"/>
      <c r="O711" s="66"/>
      <c r="P711" s="42"/>
      <c r="Q711" s="67"/>
      <c r="R711" s="67"/>
    </row>
    <row r="712">
      <c r="A712" s="1" t="s">
        <v>194</v>
      </c>
      <c r="B712" s="38">
        <v>666157.0</v>
      </c>
      <c r="C712" s="44" t="s">
        <v>537</v>
      </c>
      <c r="D712" s="38">
        <v>699.0</v>
      </c>
      <c r="E712" s="39">
        <f>IFERROR(__xludf.DUMMYFUNCTION("sum(filter('PLA Sheet'!H:H,'PLA Sheet'!C:C=B712,'PLA Sheet'!D:D=C712))"),45.665455523000006)</f>
        <v>45.66545552</v>
      </c>
      <c r="F712" s="40">
        <v>4.933437783</v>
      </c>
      <c r="G712" s="40">
        <f>IFERROR(__xludf.DUMMYFUNCTION("sum(filter('PLA Sheet'!J:J,'PLA Sheet'!C:C=B712,'PLA Sheet'!D:D=C712))/E712*9"),3.487969454717838)</f>
        <v>3.487969455</v>
      </c>
      <c r="H712" s="41">
        <v>0.420600858</v>
      </c>
      <c r="I712" s="41">
        <v>0.191702432</v>
      </c>
      <c r="J712" s="41">
        <v>0.38769671</v>
      </c>
      <c r="K712" s="41">
        <f t="shared" si="1"/>
        <v>0.032904148</v>
      </c>
      <c r="L712" s="42">
        <v>-3.429391398</v>
      </c>
      <c r="M712" s="45">
        <f>('Cy Young Rank'!O$1-G712)*E712/9</f>
        <v>2.90244838</v>
      </c>
      <c r="N712" s="42"/>
      <c r="O712" s="66"/>
      <c r="P712" s="42"/>
      <c r="Q712" s="67"/>
      <c r="R712" s="67"/>
    </row>
    <row r="713">
      <c r="A713" s="1" t="s">
        <v>518</v>
      </c>
      <c r="B713" s="38">
        <v>680689.0</v>
      </c>
      <c r="C713" s="44" t="s">
        <v>532</v>
      </c>
      <c r="D713" s="38">
        <v>269.0</v>
      </c>
      <c r="E713" s="39">
        <f>IFERROR(__xludf.DUMMYFUNCTION("sum(filter('PLA Sheet'!H:H,'PLA Sheet'!C:C=B713,'PLA Sheet'!D:D=C713))"),15.256676556999999)</f>
        <v>15.25667656</v>
      </c>
      <c r="F713" s="40">
        <v>4.933320327</v>
      </c>
      <c r="G713" s="40">
        <f>IFERROR(__xludf.DUMMYFUNCTION("sum(filter('PLA Sheet'!J:J,'PLA Sheet'!C:C=B713,'PLA Sheet'!D:D=C713))/E713*9"),3.8848745189400957)</f>
        <v>3.884874519</v>
      </c>
      <c r="H713" s="41">
        <v>0.472118959</v>
      </c>
      <c r="I713" s="41">
        <v>0.144981413</v>
      </c>
      <c r="J713" s="41">
        <v>0.382899628</v>
      </c>
      <c r="K713" s="41">
        <f t="shared" si="1"/>
        <v>0.089219331</v>
      </c>
      <c r="L713" s="42">
        <v>-4.753001031</v>
      </c>
      <c r="M713" s="45">
        <f>('Cy Young Rank'!O$1-G713)*E713/9</f>
        <v>0.2968703135</v>
      </c>
      <c r="N713" s="42"/>
      <c r="O713" s="66"/>
      <c r="P713" s="42"/>
      <c r="Q713" s="67"/>
      <c r="R713" s="67"/>
    </row>
    <row r="714">
      <c r="A714" s="1" t="s">
        <v>139</v>
      </c>
      <c r="B714" s="38">
        <v>640448.0</v>
      </c>
      <c r="C714" s="44" t="s">
        <v>538</v>
      </c>
      <c r="D714" s="38">
        <v>304.0</v>
      </c>
      <c r="E714" s="39">
        <f>IFERROR(__xludf.DUMMYFUNCTION("sum(filter('PLA Sheet'!H:H,'PLA Sheet'!C:C=B714,'PLA Sheet'!D:D=C714))"),21.163701063)</f>
        <v>21.16370106</v>
      </c>
      <c r="F714" s="40">
        <v>4.932597726</v>
      </c>
      <c r="G714" s="40">
        <f>IFERROR(__xludf.DUMMYFUNCTION("sum(filter('PLA Sheet'!J:J,'PLA Sheet'!C:C=B714,'PLA Sheet'!D:D=C714))/E714*9"),3.122700079880636)</f>
        <v>3.12270008</v>
      </c>
      <c r="H714" s="41">
        <v>0.378289474</v>
      </c>
      <c r="I714" s="41">
        <v>0.253289474</v>
      </c>
      <c r="J714" s="41">
        <v>0.368421053</v>
      </c>
      <c r="K714" s="41">
        <f t="shared" si="1"/>
        <v>0.009868421</v>
      </c>
      <c r="L714" s="42">
        <v>3.705751888</v>
      </c>
      <c r="M714" s="45">
        <f>('Cy Young Rank'!O$1-G714)*E714/9</f>
        <v>2.204081702</v>
      </c>
      <c r="N714" s="42"/>
      <c r="O714" s="66"/>
      <c r="P714" s="42"/>
      <c r="Q714" s="67"/>
      <c r="R714" s="67"/>
    </row>
    <row r="715">
      <c r="A715" s="1" t="s">
        <v>245</v>
      </c>
      <c r="B715" s="38">
        <v>571578.0</v>
      </c>
      <c r="C715" s="44" t="s">
        <v>536</v>
      </c>
      <c r="D715" s="38">
        <v>709.0</v>
      </c>
      <c r="E715" s="39">
        <f>IFERROR(__xludf.DUMMYFUNCTION("sum(filter('PLA Sheet'!H:H,'PLA Sheet'!C:C=B715,'PLA Sheet'!D:D=C715))"),43.8750644)</f>
        <v>43.8750644</v>
      </c>
      <c r="F715" s="40">
        <v>4.932370831</v>
      </c>
      <c r="G715" s="40">
        <f>IFERROR(__xludf.DUMMYFUNCTION("sum(filter('PLA Sheet'!J:J,'PLA Sheet'!C:C=B715,'PLA Sheet'!D:D=C715))/E715*9"),3.7699526202860687)</f>
        <v>3.76995262</v>
      </c>
      <c r="H715" s="41">
        <v>0.430183357</v>
      </c>
      <c r="I715" s="41">
        <v>0.180535966</v>
      </c>
      <c r="J715" s="41">
        <v>0.389280677</v>
      </c>
      <c r="K715" s="41">
        <f t="shared" si="1"/>
        <v>0.04090268</v>
      </c>
      <c r="L715" s="42">
        <v>-0.113142038</v>
      </c>
      <c r="M715" s="45">
        <f>('Cy Young Rank'!O$1-G715)*E715/9</f>
        <v>1.413983052</v>
      </c>
      <c r="N715" s="42"/>
      <c r="O715" s="66"/>
      <c r="P715" s="42"/>
      <c r="Q715" s="67"/>
      <c r="R715" s="67"/>
    </row>
    <row r="716">
      <c r="A716" s="1" t="s">
        <v>461</v>
      </c>
      <c r="B716" s="38">
        <v>673540.0</v>
      </c>
      <c r="C716" s="44" t="s">
        <v>538</v>
      </c>
      <c r="D716" s="38">
        <v>518.0</v>
      </c>
      <c r="E716" s="39">
        <f>IFERROR(__xludf.DUMMYFUNCTION("sum(filter('PLA Sheet'!H:H,'PLA Sheet'!C:C=B716,'PLA Sheet'!D:D=C716))"),32.30417984)</f>
        <v>32.30417984</v>
      </c>
      <c r="F716" s="40">
        <v>4.93169903</v>
      </c>
      <c r="G716" s="40">
        <f>IFERROR(__xludf.DUMMYFUNCTION("sum(filter('PLA Sheet'!J:J,'PLA Sheet'!C:C=B716,'PLA Sheet'!D:D=C716))/E716*9"),1.898470950315264)</f>
        <v>1.89847095</v>
      </c>
      <c r="H716" s="41">
        <v>0.407335907</v>
      </c>
      <c r="I716" s="41">
        <v>0.187258687</v>
      </c>
      <c r="J716" s="41">
        <v>0.405405405</v>
      </c>
      <c r="K716" s="41">
        <f t="shared" si="1"/>
        <v>0.001930502</v>
      </c>
      <c r="L716" s="42">
        <v>5.183309352</v>
      </c>
      <c r="M716" s="45">
        <f>('Cy Young Rank'!O$1-G716)*E716/9</f>
        <v>7.758491461</v>
      </c>
      <c r="N716" s="42"/>
      <c r="O716" s="66"/>
      <c r="P716" s="42"/>
      <c r="Q716" s="67"/>
      <c r="R716" s="67"/>
    </row>
    <row r="717">
      <c r="A717" s="1" t="s">
        <v>150</v>
      </c>
      <c r="B717" s="38">
        <v>657746.0</v>
      </c>
      <c r="C717" s="44" t="s">
        <v>533</v>
      </c>
      <c r="D717" s="38">
        <v>256.0</v>
      </c>
      <c r="E717" s="39">
        <f>IFERROR(__xludf.DUMMYFUNCTION("sum(filter('PLA Sheet'!H:H,'PLA Sheet'!C:C=B717,'PLA Sheet'!D:D=C717))"),16.029338103999997)</f>
        <v>16.0293381</v>
      </c>
      <c r="F717" s="40">
        <v>4.930541782</v>
      </c>
      <c r="G717" s="40">
        <f>IFERROR(__xludf.DUMMYFUNCTION("sum(filter('PLA Sheet'!J:J,'PLA Sheet'!C:C=B717,'PLA Sheet'!D:D=C717))/E717*9"),3.579341119873355)</f>
        <v>3.57934112</v>
      </c>
      <c r="H717" s="41">
        <v>0.42578125</v>
      </c>
      <c r="I717" s="41">
        <v>0.23046875</v>
      </c>
      <c r="J717" s="41">
        <v>0.34375</v>
      </c>
      <c r="K717" s="41">
        <f t="shared" si="1"/>
        <v>0.08203125</v>
      </c>
      <c r="L717" s="42">
        <v>-1.061425287</v>
      </c>
      <c r="M717" s="45">
        <f>('Cy Young Rank'!O$1-G717)*E717/9</f>
        <v>0.8560715225</v>
      </c>
      <c r="N717" s="42"/>
      <c r="O717" s="66"/>
      <c r="P717" s="42"/>
      <c r="Q717" s="67"/>
      <c r="R717" s="67"/>
    </row>
    <row r="718">
      <c r="A718" s="1" t="s">
        <v>105</v>
      </c>
      <c r="B718" s="38">
        <v>624133.0</v>
      </c>
      <c r="C718" s="44" t="s">
        <v>537</v>
      </c>
      <c r="D718" s="38">
        <v>348.0</v>
      </c>
      <c r="E718" s="39">
        <f>IFERROR(__xludf.DUMMYFUNCTION("sum(filter('PLA Sheet'!H:H,'PLA Sheet'!C:C=B718,'PLA Sheet'!D:D=C718))"),22.920164607)</f>
        <v>22.92016461</v>
      </c>
      <c r="F718" s="40">
        <v>4.928807799</v>
      </c>
      <c r="G718" s="40">
        <f>IFERROR(__xludf.DUMMYFUNCTION("sum(filter('PLA Sheet'!J:J,'PLA Sheet'!C:C=B718,'PLA Sheet'!D:D=C718))/E718*9"),3.579481622699325)</f>
        <v>3.579481623</v>
      </c>
      <c r="H718" s="41">
        <v>0.436781609</v>
      </c>
      <c r="I718" s="41">
        <v>0.224137931</v>
      </c>
      <c r="J718" s="41">
        <v>0.33908046</v>
      </c>
      <c r="K718" s="41">
        <f t="shared" si="1"/>
        <v>0.097701149</v>
      </c>
      <c r="L718" s="42">
        <v>2.698534854</v>
      </c>
      <c r="M718" s="45">
        <f>('Cy Young Rank'!O$1-G718)*E718/9</f>
        <v>1.223728923</v>
      </c>
      <c r="N718" s="42"/>
      <c r="O718" s="66"/>
      <c r="P718" s="42"/>
      <c r="Q718" s="67"/>
      <c r="R718" s="67"/>
    </row>
    <row r="719">
      <c r="A719" s="1" t="s">
        <v>547</v>
      </c>
      <c r="B719" s="38">
        <v>642528.0</v>
      </c>
      <c r="C719" s="44" t="s">
        <v>536</v>
      </c>
      <c r="D719" s="38">
        <v>261.0</v>
      </c>
      <c r="E719" s="39">
        <f>IFERROR(__xludf.DUMMYFUNCTION("sum(filter('PLA Sheet'!H:H,'PLA Sheet'!C:C=B719,'PLA Sheet'!D:D=C719))"),17.162007166)</f>
        <v>17.16200717</v>
      </c>
      <c r="F719" s="40">
        <v>4.928805811</v>
      </c>
      <c r="G719" s="40">
        <f>IFERROR(__xludf.DUMMYFUNCTION("sum(filter('PLA Sheet'!J:J,'PLA Sheet'!C:C=B719,'PLA Sheet'!D:D=C719))/E719*9"),3.5258164394592355)</f>
        <v>3.525816439</v>
      </c>
      <c r="H719" s="41">
        <v>0.463601533</v>
      </c>
      <c r="I719" s="41">
        <v>0.195402299</v>
      </c>
      <c r="J719" s="41">
        <v>0.340996169</v>
      </c>
      <c r="K719" s="41">
        <f t="shared" si="1"/>
        <v>0.122605364</v>
      </c>
      <c r="L719" s="42">
        <v>-2.076454983</v>
      </c>
      <c r="M719" s="45">
        <f>('Cy Young Rank'!O$1-G719)*E719/9</f>
        <v>1.018629122</v>
      </c>
      <c r="N719" s="42"/>
      <c r="O719" s="66"/>
      <c r="P719" s="42"/>
      <c r="Q719" s="67"/>
      <c r="R719" s="67"/>
    </row>
    <row r="720">
      <c r="A720" s="1" t="s">
        <v>278</v>
      </c>
      <c r="B720" s="38">
        <v>542881.0</v>
      </c>
      <c r="C720" s="44" t="s">
        <v>540</v>
      </c>
      <c r="D720" s="38">
        <v>454.0</v>
      </c>
      <c r="E720" s="39">
        <f>IFERROR(__xludf.DUMMYFUNCTION("sum(filter('PLA Sheet'!H:H,'PLA Sheet'!C:C=B720,'PLA Sheet'!D:D=C720))"),27.360005710000003)</f>
        <v>27.36000571</v>
      </c>
      <c r="F720" s="40">
        <v>4.928789015</v>
      </c>
      <c r="G720" s="40">
        <f>IFERROR(__xludf.DUMMYFUNCTION("sum(filter('PLA Sheet'!J:J,'PLA Sheet'!C:C=B720,'PLA Sheet'!D:D=C720))/E720*9"),3.8408771589397444)</f>
        <v>3.840877159</v>
      </c>
      <c r="H720" s="41">
        <v>0.414096916</v>
      </c>
      <c r="I720" s="41">
        <v>0.202643172</v>
      </c>
      <c r="J720" s="41">
        <v>0.383259912</v>
      </c>
      <c r="K720" s="41">
        <f t="shared" si="1"/>
        <v>0.030837004</v>
      </c>
      <c r="L720" s="42">
        <v>-8.89306067</v>
      </c>
      <c r="M720" s="45">
        <f>('Cy Young Rank'!O$1-G720)*E720/9</f>
        <v>0.6661335758</v>
      </c>
      <c r="N720" s="42"/>
      <c r="O720" s="66"/>
      <c r="P720" s="42"/>
      <c r="Q720" s="67"/>
      <c r="R720" s="67"/>
    </row>
    <row r="721">
      <c r="A721" s="1" t="s">
        <v>276</v>
      </c>
      <c r="B721" s="38">
        <v>702352.0</v>
      </c>
      <c r="C721" s="44" t="s">
        <v>540</v>
      </c>
      <c r="D721" s="38">
        <v>337.0</v>
      </c>
      <c r="E721" s="39">
        <f>IFERROR(__xludf.DUMMYFUNCTION("sum(filter('PLA Sheet'!H:H,'PLA Sheet'!C:C=B721,'PLA Sheet'!D:D=C721))"),21.7836167)</f>
        <v>21.7836167</v>
      </c>
      <c r="F721" s="40">
        <v>4.927535101</v>
      </c>
      <c r="G721" s="40">
        <f>IFERROR(__xludf.DUMMYFUNCTION("sum(filter('PLA Sheet'!J:J,'PLA Sheet'!C:C=B721,'PLA Sheet'!D:D=C721))/E721*9"),3.560521150741695)</f>
        <v>3.560521151</v>
      </c>
      <c r="H721" s="41">
        <v>0.397626113</v>
      </c>
      <c r="I721" s="41">
        <v>0.243323442</v>
      </c>
      <c r="J721" s="41">
        <v>0.359050445</v>
      </c>
      <c r="K721" s="41">
        <f t="shared" si="1"/>
        <v>0.038575668</v>
      </c>
      <c r="L721" s="42">
        <v>2.280745065</v>
      </c>
      <c r="M721" s="45">
        <f>('Cy Young Rank'!O$1-G721)*E721/9</f>
        <v>1.208939534</v>
      </c>
      <c r="N721" s="42"/>
      <c r="O721" s="66"/>
      <c r="P721" s="42"/>
      <c r="Q721" s="67"/>
      <c r="R721" s="67"/>
    </row>
    <row r="722">
      <c r="A722" s="1" t="s">
        <v>548</v>
      </c>
      <c r="B722" s="38">
        <v>678821.0</v>
      </c>
      <c r="C722" s="44" t="s">
        <v>537</v>
      </c>
      <c r="D722" s="38">
        <v>301.0</v>
      </c>
      <c r="E722" s="39">
        <f>IFERROR(__xludf.DUMMYFUNCTION("sum(filter('PLA Sheet'!H:H,'PLA Sheet'!C:C=B722,'PLA Sheet'!D:D=C722))"),13.422018349)</f>
        <v>13.42201835</v>
      </c>
      <c r="F722" s="40">
        <v>4.925811841</v>
      </c>
      <c r="G722" s="40">
        <f>IFERROR(__xludf.DUMMYFUNCTION("sum(filter('PLA Sheet'!J:J,'PLA Sheet'!C:C=B722,'PLA Sheet'!D:D=C722))/E722*9"),5.330413365537562)</f>
        <v>5.330413366</v>
      </c>
      <c r="H722" s="41">
        <v>0.508305648</v>
      </c>
      <c r="I722" s="41">
        <v>0.136212625</v>
      </c>
      <c r="J722" s="41">
        <v>0.355481728</v>
      </c>
      <c r="K722" s="41">
        <f t="shared" si="1"/>
        <v>0.15282392</v>
      </c>
      <c r="L722" s="42">
        <v>-5.28817801</v>
      </c>
      <c r="M722" s="45">
        <f>('Cy Young Rank'!O$1-G722)*E722/9</f>
        <v>-1.894612389</v>
      </c>
      <c r="N722" s="42"/>
      <c r="O722" s="66"/>
      <c r="P722" s="42"/>
      <c r="Q722" s="67"/>
      <c r="R722" s="67"/>
    </row>
    <row r="723">
      <c r="A723" s="1" t="s">
        <v>341</v>
      </c>
      <c r="B723" s="38">
        <v>676962.0</v>
      </c>
      <c r="C723" s="44" t="s">
        <v>537</v>
      </c>
      <c r="D723" s="38">
        <v>954.0</v>
      </c>
      <c r="E723" s="39">
        <f>IFERROR(__xludf.DUMMYFUNCTION("sum(filter('PLA Sheet'!H:H,'PLA Sheet'!C:C=B723,'PLA Sheet'!D:D=C723))"),59.12109153)</f>
        <v>59.12109153</v>
      </c>
      <c r="F723" s="40">
        <v>4.925435182</v>
      </c>
      <c r="G723" s="40">
        <f>IFERROR(__xludf.DUMMYFUNCTION("sum(filter('PLA Sheet'!J:J,'PLA Sheet'!C:C=B723,'PLA Sheet'!D:D=C723))/E723*9"),3.725328377745531)</f>
        <v>3.725328378</v>
      </c>
      <c r="H723" s="41">
        <v>0.454926625</v>
      </c>
      <c r="I723" s="41">
        <v>0.20754717</v>
      </c>
      <c r="J723" s="41">
        <v>0.337526205</v>
      </c>
      <c r="K723" s="41">
        <f t="shared" si="1"/>
        <v>0.11740042</v>
      </c>
      <c r="L723" s="42">
        <v>-10.83300305</v>
      </c>
      <c r="M723" s="45">
        <f>('Cy Young Rank'!O$1-G723)*E723/9</f>
        <v>2.19846129</v>
      </c>
      <c r="N723" s="42"/>
      <c r="O723" s="66"/>
      <c r="P723" s="42"/>
      <c r="Q723" s="67"/>
      <c r="R723" s="67"/>
    </row>
    <row r="724">
      <c r="A724" s="1" t="s">
        <v>360</v>
      </c>
      <c r="B724" s="38">
        <v>605452.0</v>
      </c>
      <c r="C724" s="44" t="s">
        <v>537</v>
      </c>
      <c r="D724" s="38">
        <v>316.0</v>
      </c>
      <c r="E724" s="39">
        <f>IFERROR(__xludf.DUMMYFUNCTION("sum(filter('PLA Sheet'!H:H,'PLA Sheet'!C:C=B724,'PLA Sheet'!D:D=C724))"),18.991879351)</f>
        <v>18.99187935</v>
      </c>
      <c r="F724" s="40">
        <v>4.924251934</v>
      </c>
      <c r="G724" s="40">
        <f>IFERROR(__xludf.DUMMYFUNCTION("sum(filter('PLA Sheet'!J:J,'PLA Sheet'!C:C=B724,'PLA Sheet'!D:D=C724))/E724*9"),3.9530594951913987)</f>
        <v>3.953059495</v>
      </c>
      <c r="H724" s="41">
        <v>0.452531646</v>
      </c>
      <c r="I724" s="41">
        <v>0.186708861</v>
      </c>
      <c r="J724" s="41">
        <v>0.360759494</v>
      </c>
      <c r="K724" s="41">
        <f t="shared" si="1"/>
        <v>0.091772152</v>
      </c>
      <c r="L724" s="42">
        <v>2.269473117</v>
      </c>
      <c r="M724" s="45">
        <f>('Cy Young Rank'!O$1-G724)*E724/9</f>
        <v>0.2256667961</v>
      </c>
      <c r="N724" s="42"/>
      <c r="O724" s="66"/>
      <c r="P724" s="42"/>
      <c r="Q724" s="67"/>
      <c r="R724" s="67"/>
    </row>
    <row r="725">
      <c r="A725" s="1" t="s">
        <v>177</v>
      </c>
      <c r="B725" s="38">
        <v>641793.0</v>
      </c>
      <c r="C725" s="44" t="s">
        <v>537</v>
      </c>
      <c r="D725" s="38">
        <v>634.0</v>
      </c>
      <c r="E725" s="39">
        <f>IFERROR(__xludf.DUMMYFUNCTION("sum(filter('PLA Sheet'!H:H,'PLA Sheet'!C:C=B725,'PLA Sheet'!D:D=C725))"),44.43806104)</f>
        <v>44.43806104</v>
      </c>
      <c r="F725" s="40">
        <v>4.921033003</v>
      </c>
      <c r="G725" s="40">
        <f>IFERROR(__xludf.DUMMYFUNCTION("sum(filter('PLA Sheet'!J:J,'PLA Sheet'!C:C=B725,'PLA Sheet'!D:D=C725))/E725*9"),3.421451081385886)</f>
        <v>3.421451081</v>
      </c>
      <c r="H725" s="41">
        <v>0.411671924</v>
      </c>
      <c r="I725" s="41">
        <v>0.212933754</v>
      </c>
      <c r="J725" s="41">
        <v>0.375394322</v>
      </c>
      <c r="K725" s="41">
        <f t="shared" si="1"/>
        <v>0.036277602</v>
      </c>
      <c r="L725" s="42">
        <v>12.20816749</v>
      </c>
      <c r="M725" s="45">
        <f>('Cy Young Rank'!O$1-G725)*E725/9</f>
        <v>3.152875091</v>
      </c>
      <c r="N725" s="42"/>
      <c r="O725" s="66"/>
      <c r="P725" s="42"/>
      <c r="Q725" s="67"/>
      <c r="R725" s="67"/>
    </row>
    <row r="726">
      <c r="A726" s="1" t="s">
        <v>420</v>
      </c>
      <c r="B726" s="38">
        <v>547179.0</v>
      </c>
      <c r="C726" s="44" t="s">
        <v>536</v>
      </c>
      <c r="D726" s="38">
        <v>415.0</v>
      </c>
      <c r="E726" s="39">
        <f>IFERROR(__xludf.DUMMYFUNCTION("sum(filter('PLA Sheet'!H:H,'PLA Sheet'!C:C=B726,'PLA Sheet'!D:D=C726))"),26.035375318999996)</f>
        <v>26.03537532</v>
      </c>
      <c r="F726" s="40">
        <v>4.920507585</v>
      </c>
      <c r="G726" s="40">
        <f>IFERROR(__xludf.DUMMYFUNCTION("sum(filter('PLA Sheet'!J:J,'PLA Sheet'!C:C=B726,'PLA Sheet'!D:D=C726))/E726*9"),3.663362015388199)</f>
        <v>3.663362015</v>
      </c>
      <c r="H726" s="41">
        <v>0.457831325</v>
      </c>
      <c r="I726" s="41">
        <v>0.159036145</v>
      </c>
      <c r="J726" s="41">
        <v>0.38313253</v>
      </c>
      <c r="K726" s="41">
        <f t="shared" si="1"/>
        <v>0.074698795</v>
      </c>
      <c r="L726" s="42">
        <v>4.003180142</v>
      </c>
      <c r="M726" s="45">
        <f>('Cy Young Rank'!O$1-G726)*E726/9</f>
        <v>1.147402088</v>
      </c>
      <c r="N726" s="42"/>
      <c r="O726" s="66"/>
      <c r="P726" s="42"/>
      <c r="Q726" s="67"/>
      <c r="R726" s="67"/>
    </row>
    <row r="727">
      <c r="A727" s="1" t="s">
        <v>313</v>
      </c>
      <c r="B727" s="38">
        <v>607067.0</v>
      </c>
      <c r="C727" s="44" t="s">
        <v>537</v>
      </c>
      <c r="D727" s="38">
        <v>1043.0</v>
      </c>
      <c r="E727" s="39">
        <f>IFERROR(__xludf.DUMMYFUNCTION("sum(filter('PLA Sheet'!H:H,'PLA Sheet'!C:C=B727,'PLA Sheet'!D:D=C727))"),67.11751545999999)</f>
        <v>67.11751546</v>
      </c>
      <c r="F727" s="40">
        <v>4.918925864</v>
      </c>
      <c r="G727" s="40">
        <f>IFERROR(__xludf.DUMMYFUNCTION("sum(filter('PLA Sheet'!J:J,'PLA Sheet'!C:C=B727,'PLA Sheet'!D:D=C727))/E727*9"),3.7816605436067796)</f>
        <v>3.781660544</v>
      </c>
      <c r="H727" s="41">
        <v>0.431447747</v>
      </c>
      <c r="I727" s="41">
        <v>0.205177373</v>
      </c>
      <c r="J727" s="41">
        <v>0.36337488</v>
      </c>
      <c r="K727" s="41">
        <f t="shared" si="1"/>
        <v>0.068072867</v>
      </c>
      <c r="L727" s="42">
        <v>-0.923272351</v>
      </c>
      <c r="M727" s="45">
        <f>('Cy Young Rank'!O$1-G727)*E727/9</f>
        <v>2.075716974</v>
      </c>
      <c r="N727" s="42"/>
      <c r="O727" s="66"/>
      <c r="P727" s="42"/>
      <c r="Q727" s="67"/>
      <c r="R727" s="67"/>
    </row>
    <row r="728">
      <c r="A728" s="1" t="s">
        <v>297</v>
      </c>
      <c r="B728" s="38">
        <v>641745.0</v>
      </c>
      <c r="C728" s="44" t="s">
        <v>537</v>
      </c>
      <c r="D728" s="38">
        <v>463.0</v>
      </c>
      <c r="E728" s="39">
        <f>IFERROR(__xludf.DUMMYFUNCTION("sum(filter('PLA Sheet'!H:H,'PLA Sheet'!C:C=B728,'PLA Sheet'!D:D=C728))"),29.82111614)</f>
        <v>29.82111614</v>
      </c>
      <c r="F728" s="40">
        <v>4.918831036</v>
      </c>
      <c r="G728" s="40">
        <f>IFERROR(__xludf.DUMMYFUNCTION("sum(filter('PLA Sheet'!J:J,'PLA Sheet'!C:C=B728,'PLA Sheet'!D:D=C728))/E728*9"),3.6223094901235977)</f>
        <v>3.62230949</v>
      </c>
      <c r="H728" s="41">
        <v>0.440604752</v>
      </c>
      <c r="I728" s="41">
        <v>0.207343413</v>
      </c>
      <c r="J728" s="41">
        <v>0.352051836</v>
      </c>
      <c r="K728" s="41">
        <f t="shared" si="1"/>
        <v>0.088552916</v>
      </c>
      <c r="L728" s="42">
        <v>10.95627123</v>
      </c>
      <c r="M728" s="45">
        <f>('Cy Young Rank'!O$1-G728)*E728/9</f>
        <v>1.450268836</v>
      </c>
      <c r="N728" s="42"/>
      <c r="O728" s="66"/>
      <c r="P728" s="42"/>
      <c r="Q728" s="67"/>
      <c r="R728" s="67"/>
    </row>
    <row r="729">
      <c r="A729" s="1" t="s">
        <v>471</v>
      </c>
      <c r="B729" s="38">
        <v>665660.0</v>
      </c>
      <c r="C729" s="44" t="s">
        <v>537</v>
      </c>
      <c r="D729" s="38">
        <v>393.0</v>
      </c>
      <c r="E729" s="39">
        <f>IFERROR(__xludf.DUMMYFUNCTION("sum(filter('PLA Sheet'!H:H,'PLA Sheet'!C:C=B729,'PLA Sheet'!D:D=C729))"),22.81203337)</f>
        <v>22.81203337</v>
      </c>
      <c r="F729" s="40">
        <v>4.918232636</v>
      </c>
      <c r="G729" s="40">
        <f>IFERROR(__xludf.DUMMYFUNCTION("sum(filter('PLA Sheet'!J:J,'PLA Sheet'!C:C=B729,'PLA Sheet'!D:D=C729))/E729*9"),4.133997108912698)</f>
        <v>4.133997109</v>
      </c>
      <c r="H729" s="41">
        <v>0.511450382</v>
      </c>
      <c r="I729" s="41">
        <v>0.109414758</v>
      </c>
      <c r="J729" s="41">
        <v>0.37913486</v>
      </c>
      <c r="K729" s="41">
        <f t="shared" si="1"/>
        <v>0.132315522</v>
      </c>
      <c r="L729" s="42">
        <v>5.889066882</v>
      </c>
      <c r="M729" s="45">
        <f>('Cy Young Rank'!O$1-G729)*E729/9</f>
        <v>-0.1875582798</v>
      </c>
      <c r="N729" s="42"/>
      <c r="O729" s="66"/>
      <c r="P729" s="42"/>
      <c r="Q729" s="67"/>
      <c r="R729" s="67"/>
    </row>
    <row r="730">
      <c r="A730" s="1" t="s">
        <v>428</v>
      </c>
      <c r="B730" s="38">
        <v>670102.0</v>
      </c>
      <c r="C730" s="44" t="s">
        <v>538</v>
      </c>
      <c r="D730" s="38">
        <v>251.0</v>
      </c>
      <c r="E730" s="39">
        <f>IFERROR(__xludf.DUMMYFUNCTION("sum(filter('PLA Sheet'!H:H,'PLA Sheet'!C:C=B730,'PLA Sheet'!D:D=C730))"),14.359333918)</f>
        <v>14.35933392</v>
      </c>
      <c r="F730" s="40">
        <v>4.917989776</v>
      </c>
      <c r="G730" s="40">
        <f>IFERROR(__xludf.DUMMYFUNCTION("sum(filter('PLA Sheet'!J:J,'PLA Sheet'!C:C=B730,'PLA Sheet'!D:D=C730))/E730*9"),3.8481805155831603)</f>
        <v>3.848180516</v>
      </c>
      <c r="H730" s="41">
        <v>0.462151394</v>
      </c>
      <c r="I730" s="41">
        <v>0.147410359</v>
      </c>
      <c r="J730" s="41">
        <v>0.390438247</v>
      </c>
      <c r="K730" s="41">
        <f t="shared" si="1"/>
        <v>0.071713147</v>
      </c>
      <c r="L730" s="42">
        <v>-1.168326904</v>
      </c>
      <c r="M730" s="45">
        <f>('Cy Young Rank'!O$1-G730)*E730/9</f>
        <v>0.3379540786</v>
      </c>
      <c r="N730" s="42"/>
      <c r="O730" s="66"/>
      <c r="P730" s="42"/>
      <c r="Q730" s="67"/>
      <c r="R730" s="67"/>
    </row>
    <row r="731">
      <c r="A731" s="1" t="s">
        <v>291</v>
      </c>
      <c r="B731" s="38">
        <v>656271.0</v>
      </c>
      <c r="C731" s="44" t="s">
        <v>537</v>
      </c>
      <c r="D731" s="38">
        <v>417.0</v>
      </c>
      <c r="E731" s="39">
        <f>IFERROR(__xludf.DUMMYFUNCTION("sum(filter('PLA Sheet'!H:H,'PLA Sheet'!C:C=B731,'PLA Sheet'!D:D=C731))"),26.211374096999997)</f>
        <v>26.2113741</v>
      </c>
      <c r="F731" s="40">
        <v>4.91730601</v>
      </c>
      <c r="G731" s="40">
        <f>IFERROR(__xludf.DUMMYFUNCTION("sum(filter('PLA Sheet'!J:J,'PLA Sheet'!C:C=B731,'PLA Sheet'!D:D=C731))/E731*9"),3.7560717204546794)</f>
        <v>3.75607172</v>
      </c>
      <c r="H731" s="41">
        <v>0.441247002</v>
      </c>
      <c r="I731" s="41">
        <v>0.20383693</v>
      </c>
      <c r="J731" s="41">
        <v>0.354916067</v>
      </c>
      <c r="K731" s="41">
        <f t="shared" si="1"/>
        <v>0.086330935</v>
      </c>
      <c r="L731" s="42">
        <v>-1.012385396</v>
      </c>
      <c r="M731" s="45">
        <f>('Cy Young Rank'!O$1-G731)*E731/9</f>
        <v>0.8851530926</v>
      </c>
      <c r="N731" s="42"/>
      <c r="O731" s="66"/>
      <c r="P731" s="42"/>
      <c r="Q731" s="67"/>
      <c r="R731" s="67"/>
    </row>
    <row r="732">
      <c r="A732" s="1" t="s">
        <v>368</v>
      </c>
      <c r="B732" s="38">
        <v>593958.0</v>
      </c>
      <c r="C732" s="44" t="s">
        <v>537</v>
      </c>
      <c r="D732" s="38">
        <v>1151.0</v>
      </c>
      <c r="E732" s="39">
        <f>IFERROR(__xludf.DUMMYFUNCTION("sum(filter('PLA Sheet'!H:H,'PLA Sheet'!C:C=B732,'PLA Sheet'!D:D=C732))"),70.62914248999999)</f>
        <v>70.62914249</v>
      </c>
      <c r="F732" s="40">
        <v>4.915922735</v>
      </c>
      <c r="G732" s="40">
        <f>IFERROR(__xludf.DUMMYFUNCTION("sum(filter('PLA Sheet'!J:J,'PLA Sheet'!C:C=B732,'PLA Sheet'!D:D=C732))/E732*9"),3.857622298594044)</f>
        <v>3.857622299</v>
      </c>
      <c r="H732" s="41">
        <v>0.447437011</v>
      </c>
      <c r="I732" s="41">
        <v>0.183318853</v>
      </c>
      <c r="J732" s="41">
        <v>0.369244136</v>
      </c>
      <c r="K732" s="41">
        <f t="shared" si="1"/>
        <v>0.078192875</v>
      </c>
      <c r="L732" s="42">
        <v>-2.585663079</v>
      </c>
      <c r="M732" s="45">
        <f>('Cy Young Rank'!O$1-G732)*E732/9</f>
        <v>1.588195945</v>
      </c>
      <c r="N732" s="42"/>
      <c r="O732" s="66"/>
      <c r="P732" s="42"/>
      <c r="Q732" s="67"/>
      <c r="R732" s="67"/>
    </row>
    <row r="733">
      <c r="A733" s="1" t="s">
        <v>415</v>
      </c>
      <c r="B733" s="38">
        <v>656794.0</v>
      </c>
      <c r="C733" s="44" t="s">
        <v>537</v>
      </c>
      <c r="D733" s="38">
        <v>453.0</v>
      </c>
      <c r="E733" s="39">
        <f>IFERROR(__xludf.DUMMYFUNCTION("sum(filter('PLA Sheet'!H:H,'PLA Sheet'!C:C=B733,'PLA Sheet'!D:D=C733))"),27.670118656999996)</f>
        <v>27.67011866</v>
      </c>
      <c r="F733" s="40">
        <v>4.914667482</v>
      </c>
      <c r="G733" s="40">
        <f>IFERROR(__xludf.DUMMYFUNCTION("sum(filter('PLA Sheet'!J:J,'PLA Sheet'!C:C=B733,'PLA Sheet'!D:D=C733))/E733*9"),3.880770672909081)</f>
        <v>3.880770673</v>
      </c>
      <c r="H733" s="41">
        <v>0.430463576</v>
      </c>
      <c r="I733" s="41">
        <v>0.189845475</v>
      </c>
      <c r="J733" s="41">
        <v>0.379690949</v>
      </c>
      <c r="K733" s="41">
        <f t="shared" si="1"/>
        <v>0.050772627</v>
      </c>
      <c r="L733" s="42">
        <v>7.720280791</v>
      </c>
      <c r="M733" s="45">
        <f>('Cy Young Rank'!O$1-G733)*E733/9</f>
        <v>0.5510329719</v>
      </c>
      <c r="N733" s="42"/>
      <c r="O733" s="66"/>
      <c r="P733" s="42"/>
      <c r="Q733" s="67"/>
      <c r="R733" s="67"/>
    </row>
    <row r="734">
      <c r="A734" s="1" t="s">
        <v>398</v>
      </c>
      <c r="B734" s="38">
        <v>676282.0</v>
      </c>
      <c r="C734" s="44" t="s">
        <v>537</v>
      </c>
      <c r="D734" s="38">
        <v>669.0</v>
      </c>
      <c r="E734" s="39">
        <f>IFERROR(__xludf.DUMMYFUNCTION("sum(filter('PLA Sheet'!H:H,'PLA Sheet'!C:C=B734,'PLA Sheet'!D:D=C734))"),40.14955175)</f>
        <v>40.14955175</v>
      </c>
      <c r="F734" s="40">
        <v>4.913982305</v>
      </c>
      <c r="G734" s="40">
        <f>IFERROR(__xludf.DUMMYFUNCTION("sum(filter('PLA Sheet'!J:J,'PLA Sheet'!C:C=B734,'PLA Sheet'!D:D=C734))/E734*9"),3.991978092258527)</f>
        <v>3.991978092</v>
      </c>
      <c r="H734" s="41">
        <v>0.463378176</v>
      </c>
      <c r="I734" s="41">
        <v>0.167414051</v>
      </c>
      <c r="J734" s="41">
        <v>0.369207773</v>
      </c>
      <c r="K734" s="41">
        <f t="shared" si="1"/>
        <v>0.094170403</v>
      </c>
      <c r="L734" s="42">
        <v>7.89086293</v>
      </c>
      <c r="M734" s="45">
        <f>('Cy Young Rank'!O$1-G734)*E734/9</f>
        <v>0.3034499006</v>
      </c>
      <c r="N734" s="42"/>
      <c r="O734" s="66"/>
      <c r="P734" s="42"/>
      <c r="Q734" s="67"/>
      <c r="R734" s="67"/>
    </row>
    <row r="735">
      <c r="A735" s="1" t="s">
        <v>211</v>
      </c>
      <c r="B735" s="38">
        <v>668933.0</v>
      </c>
      <c r="C735" s="44" t="s">
        <v>540</v>
      </c>
      <c r="D735" s="38">
        <v>537.0</v>
      </c>
      <c r="E735" s="39">
        <f>IFERROR(__xludf.DUMMYFUNCTION("sum(filter('PLA Sheet'!H:H,'PLA Sheet'!C:C=B735,'PLA Sheet'!D:D=C735))"),35.339108120000006)</f>
        <v>35.33910812</v>
      </c>
      <c r="F735" s="40">
        <v>4.913714516</v>
      </c>
      <c r="G735" s="40">
        <f>IFERROR(__xludf.DUMMYFUNCTION("sum(filter('PLA Sheet'!J:J,'PLA Sheet'!C:C=B735,'PLA Sheet'!D:D=C735))/E735*9"),3.5232535178083597)</f>
        <v>3.523253518</v>
      </c>
      <c r="H735" s="41">
        <v>0.426443203</v>
      </c>
      <c r="I735" s="41">
        <v>0.193668529</v>
      </c>
      <c r="J735" s="41">
        <v>0.379888268</v>
      </c>
      <c r="K735" s="41">
        <f t="shared" si="1"/>
        <v>0.046554935</v>
      </c>
      <c r="L735" s="42">
        <v>-4.886333927</v>
      </c>
      <c r="M735" s="45">
        <f>('Cy Young Rank'!O$1-G735)*E735/9</f>
        <v>2.10757133</v>
      </c>
      <c r="N735" s="42"/>
      <c r="O735" s="66"/>
      <c r="P735" s="42"/>
      <c r="Q735" s="67"/>
      <c r="R735" s="67"/>
    </row>
    <row r="736">
      <c r="A736" s="1" t="s">
        <v>429</v>
      </c>
      <c r="B736" s="38">
        <v>662253.0</v>
      </c>
      <c r="C736" s="44" t="s">
        <v>533</v>
      </c>
      <c r="D736" s="38">
        <v>501.0</v>
      </c>
      <c r="E736" s="39">
        <f>IFERROR(__xludf.DUMMYFUNCTION("sum(filter('PLA Sheet'!H:H,'PLA Sheet'!C:C=B736,'PLA Sheet'!D:D=C736))"),31.56584565)</f>
        <v>31.56584565</v>
      </c>
      <c r="F736" s="40">
        <v>4.913245475</v>
      </c>
      <c r="G736" s="40">
        <f>IFERROR(__xludf.DUMMYFUNCTION("sum(filter('PLA Sheet'!J:J,'PLA Sheet'!C:C=B736,'PLA Sheet'!D:D=C736))/E736*9"),3.657879224281134)</f>
        <v>3.657879224</v>
      </c>
      <c r="H736" s="41">
        <v>0.417165669</v>
      </c>
      <c r="I736" s="41">
        <v>0.199600798</v>
      </c>
      <c r="J736" s="41">
        <v>0.383233533</v>
      </c>
      <c r="K736" s="41">
        <f t="shared" si="1"/>
        <v>0.033932136</v>
      </c>
      <c r="L736" s="42">
        <v>12.85905704</v>
      </c>
      <c r="M736" s="45">
        <f>('Cy Young Rank'!O$1-G736)*E736/9</f>
        <v>1.410364704</v>
      </c>
      <c r="N736" s="42"/>
      <c r="O736" s="66"/>
      <c r="P736" s="42"/>
      <c r="Q736" s="67"/>
      <c r="R736" s="67"/>
    </row>
    <row r="737">
      <c r="A737" s="1" t="s">
        <v>456</v>
      </c>
      <c r="B737" s="38">
        <v>605135.0</v>
      </c>
      <c r="C737" s="44" t="s">
        <v>541</v>
      </c>
      <c r="D737" s="38">
        <v>451.0</v>
      </c>
      <c r="E737" s="39">
        <f>IFERROR(__xludf.DUMMYFUNCTION("sum(filter('PLA Sheet'!H:H,'PLA Sheet'!C:C=B737,'PLA Sheet'!D:D=C737))"),27.69647696)</f>
        <v>27.69647696</v>
      </c>
      <c r="F737" s="40">
        <v>4.913071393</v>
      </c>
      <c r="G737" s="40">
        <f>IFERROR(__xludf.DUMMYFUNCTION("sum(filter('PLA Sheet'!J:J,'PLA Sheet'!C:C=B737,'PLA Sheet'!D:D=C737))/E737*9"),3.6934118064090415)</f>
        <v>3.693411806</v>
      </c>
      <c r="H737" s="41">
        <v>0.461197339</v>
      </c>
      <c r="I737" s="41">
        <v>0.168514412</v>
      </c>
      <c r="J737" s="41">
        <v>0.370288248</v>
      </c>
      <c r="K737" s="41">
        <f t="shared" si="1"/>
        <v>0.090909091</v>
      </c>
      <c r="L737" s="42">
        <v>6.835164927</v>
      </c>
      <c r="M737" s="45">
        <f>('Cy Young Rank'!O$1-G737)*E737/9</f>
        <v>1.128133495</v>
      </c>
      <c r="N737" s="42"/>
      <c r="O737" s="66"/>
      <c r="P737" s="42"/>
      <c r="Q737" s="67"/>
      <c r="R737" s="67"/>
    </row>
    <row r="738">
      <c r="A738" s="1" t="s">
        <v>455</v>
      </c>
      <c r="B738" s="38">
        <v>570632.0</v>
      </c>
      <c r="C738" s="44" t="s">
        <v>537</v>
      </c>
      <c r="D738" s="38">
        <v>318.0</v>
      </c>
      <c r="E738" s="39">
        <f>IFERROR(__xludf.DUMMYFUNCTION("sum(filter('PLA Sheet'!H:H,'PLA Sheet'!C:C=B738,'PLA Sheet'!D:D=C738))"),19.609207711)</f>
        <v>19.60920771</v>
      </c>
      <c r="F738" s="40">
        <v>4.912492129</v>
      </c>
      <c r="G738" s="40">
        <f>IFERROR(__xludf.DUMMYFUNCTION("sum(filter('PLA Sheet'!J:J,'PLA Sheet'!C:C=B738,'PLA Sheet'!D:D=C738))/E738*9"),4.0777976437642725)</f>
        <v>4.077797644</v>
      </c>
      <c r="H738" s="41">
        <v>0.471698113</v>
      </c>
      <c r="I738" s="41">
        <v>0.166666667</v>
      </c>
      <c r="J738" s="41">
        <v>0.36163522</v>
      </c>
      <c r="K738" s="41">
        <f t="shared" si="1"/>
        <v>0.110062893</v>
      </c>
      <c r="L738" s="42">
        <v>-6.07342146</v>
      </c>
      <c r="M738" s="45">
        <f>('Cy Young Rank'!O$1-G738)*E738/9</f>
        <v>-0.03877752148</v>
      </c>
      <c r="N738" s="42"/>
      <c r="O738" s="66"/>
      <c r="P738" s="42"/>
      <c r="Q738" s="67"/>
      <c r="R738" s="67"/>
    </row>
    <row r="739">
      <c r="A739" s="1" t="s">
        <v>514</v>
      </c>
      <c r="B739" s="38">
        <v>806185.0</v>
      </c>
      <c r="C739" s="44" t="s">
        <v>537</v>
      </c>
      <c r="D739" s="38">
        <v>514.0</v>
      </c>
      <c r="E739" s="39">
        <f>IFERROR(__xludf.DUMMYFUNCTION("sum(filter('PLA Sheet'!H:H,'PLA Sheet'!C:C=B739,'PLA Sheet'!D:D=C739))"),28.98352875)</f>
        <v>28.98352875</v>
      </c>
      <c r="F739" s="40">
        <v>4.910186091</v>
      </c>
      <c r="G739" s="40">
        <f>IFERROR(__xludf.DUMMYFUNCTION("sum(filter('PLA Sheet'!J:J,'PLA Sheet'!C:C=B739,'PLA Sheet'!D:D=C739))/E739*9"),4.197295127495474)</f>
        <v>4.197295127</v>
      </c>
      <c r="H739" s="41">
        <v>0.484435798</v>
      </c>
      <c r="I739" s="41">
        <v>0.147859922</v>
      </c>
      <c r="J739" s="41">
        <v>0.36770428</v>
      </c>
      <c r="K739" s="41">
        <f t="shared" si="1"/>
        <v>0.116731518</v>
      </c>
      <c r="L739" s="42">
        <v>2.659363073</v>
      </c>
      <c r="M739" s="45">
        <f>('Cy Young Rank'!O$1-G739)*E739/9</f>
        <v>-0.4421441417</v>
      </c>
      <c r="N739" s="42"/>
      <c r="O739" s="66"/>
      <c r="P739" s="42"/>
      <c r="Q739" s="67"/>
      <c r="R739" s="67"/>
    </row>
    <row r="740">
      <c r="A740" s="1" t="s">
        <v>409</v>
      </c>
      <c r="B740" s="38">
        <v>676617.0</v>
      </c>
      <c r="C740" s="44" t="s">
        <v>536</v>
      </c>
      <c r="D740" s="38">
        <v>355.0</v>
      </c>
      <c r="E740" s="39">
        <f>IFERROR(__xludf.DUMMYFUNCTION("sum(filter('PLA Sheet'!H:H,'PLA Sheet'!C:C=B740,'PLA Sheet'!D:D=C740))"),23.176781005000002)</f>
        <v>23.17678101</v>
      </c>
      <c r="F740" s="40">
        <v>4.910075958</v>
      </c>
      <c r="G740" s="40">
        <f>IFERROR(__xludf.DUMMYFUNCTION("sum(filter('PLA Sheet'!J:J,'PLA Sheet'!C:C=B740,'PLA Sheet'!D:D=C740))/E740*9"),3.3531504648222823)</f>
        <v>3.353150465</v>
      </c>
      <c r="H740" s="41">
        <v>0.521126761</v>
      </c>
      <c r="I740" s="41">
        <v>0.092957746</v>
      </c>
      <c r="J740" s="41">
        <v>0.385915493</v>
      </c>
      <c r="K740" s="41">
        <f t="shared" si="1"/>
        <v>0.135211268</v>
      </c>
      <c r="L740" s="42">
        <v>1.202645815</v>
      </c>
      <c r="M740" s="45">
        <f>('Cy Young Rank'!O$1-G740)*E740/9</f>
        <v>1.820277431</v>
      </c>
      <c r="N740" s="42"/>
      <c r="O740" s="66"/>
      <c r="P740" s="42"/>
      <c r="Q740" s="67"/>
      <c r="R740" s="67"/>
    </row>
    <row r="741">
      <c r="A741" s="1" t="s">
        <v>241</v>
      </c>
      <c r="B741" s="38">
        <v>669199.0</v>
      </c>
      <c r="C741" s="44" t="s">
        <v>533</v>
      </c>
      <c r="D741" s="38">
        <v>264.0</v>
      </c>
      <c r="E741" s="39">
        <f>IFERROR(__xludf.DUMMYFUNCTION("sum(filter('PLA Sheet'!H:H,'PLA Sheet'!C:C=B741,'PLA Sheet'!D:D=C741))"),16.833770778999998)</f>
        <v>16.83377078</v>
      </c>
      <c r="F741" s="40">
        <v>4.909883589</v>
      </c>
      <c r="G741" s="40">
        <f>IFERROR(__xludf.DUMMYFUNCTION("sum(filter('PLA Sheet'!J:J,'PLA Sheet'!C:C=B741,'PLA Sheet'!D:D=C741))/E741*9"),3.520183491741723)</f>
        <v>3.520183492</v>
      </c>
      <c r="H741" s="41">
        <v>0.439393939</v>
      </c>
      <c r="I741" s="41">
        <v>0.178030303</v>
      </c>
      <c r="J741" s="41">
        <v>0.382575758</v>
      </c>
      <c r="K741" s="41">
        <f t="shared" si="1"/>
        <v>0.056818181</v>
      </c>
      <c r="L741" s="42">
        <v>-0.983316156</v>
      </c>
      <c r="M741" s="45">
        <f>('Cy Young Rank'!O$1-G741)*E741/9</f>
        <v>1.00968304</v>
      </c>
      <c r="N741" s="42"/>
      <c r="O741" s="66"/>
      <c r="P741" s="42"/>
      <c r="Q741" s="67"/>
      <c r="R741" s="67"/>
    </row>
    <row r="742">
      <c r="A742" s="1" t="s">
        <v>406</v>
      </c>
      <c r="B742" s="38">
        <v>669711.0</v>
      </c>
      <c r="C742" s="44" t="s">
        <v>537</v>
      </c>
      <c r="D742" s="38">
        <v>345.0</v>
      </c>
      <c r="E742" s="39">
        <f>IFERROR(__xludf.DUMMYFUNCTION("sum(filter('PLA Sheet'!H:H,'PLA Sheet'!C:C=B742,'PLA Sheet'!D:D=C742))"),22.31244153)</f>
        <v>22.31244153</v>
      </c>
      <c r="F742" s="40">
        <v>4.909425327</v>
      </c>
      <c r="G742" s="40">
        <f>IFERROR(__xludf.DUMMYFUNCTION("sum(filter('PLA Sheet'!J:J,'PLA Sheet'!C:C=B742,'PLA Sheet'!D:D=C742))/E742*9"),3.8245354675894134)</f>
        <v>3.824535468</v>
      </c>
      <c r="H742" s="41">
        <v>0.449275362</v>
      </c>
      <c r="I742" s="41">
        <v>0.188405797</v>
      </c>
      <c r="J742" s="41">
        <v>0.362318841</v>
      </c>
      <c r="K742" s="41">
        <f t="shared" si="1"/>
        <v>0.086956521</v>
      </c>
      <c r="L742" s="42">
        <v>5.459007865</v>
      </c>
      <c r="M742" s="45">
        <f>('Cy Young Rank'!O$1-G742)*E742/9</f>
        <v>0.5837542902</v>
      </c>
      <c r="N742" s="42"/>
      <c r="O742" s="66"/>
      <c r="P742" s="42"/>
      <c r="Q742" s="67"/>
      <c r="R742" s="67"/>
    </row>
    <row r="743">
      <c r="A743" s="1" t="s">
        <v>332</v>
      </c>
      <c r="B743" s="38">
        <v>641778.0</v>
      </c>
      <c r="C743" s="44" t="s">
        <v>537</v>
      </c>
      <c r="D743" s="38">
        <v>762.0</v>
      </c>
      <c r="E743" s="39">
        <f>IFERROR(__xludf.DUMMYFUNCTION("sum(filter('PLA Sheet'!H:H,'PLA Sheet'!C:C=B743,'PLA Sheet'!D:D=C743))"),48.66191043)</f>
        <v>48.66191043</v>
      </c>
      <c r="F743" s="40">
        <v>4.907725143</v>
      </c>
      <c r="G743" s="40">
        <f>IFERROR(__xludf.DUMMYFUNCTION("sum(filter('PLA Sheet'!J:J,'PLA Sheet'!C:C=B743,'PLA Sheet'!D:D=C743))/E743*9"),3.782798216785917)</f>
        <v>3.782798217</v>
      </c>
      <c r="H743" s="41">
        <v>0.416010499</v>
      </c>
      <c r="I743" s="41">
        <v>0.223097113</v>
      </c>
      <c r="J743" s="41">
        <v>0.360892388</v>
      </c>
      <c r="K743" s="41">
        <f t="shared" si="1"/>
        <v>0.055118111</v>
      </c>
      <c r="L743" s="42">
        <v>15.94331363</v>
      </c>
      <c r="M743" s="45">
        <f>('Cy Young Rank'!O$1-G743)*E743/9</f>
        <v>1.498796483</v>
      </c>
      <c r="N743" s="42"/>
      <c r="O743" s="66"/>
      <c r="P743" s="42"/>
      <c r="Q743" s="67"/>
      <c r="R743" s="67"/>
    </row>
    <row r="744">
      <c r="A744" s="1" t="s">
        <v>452</v>
      </c>
      <c r="B744" s="38">
        <v>607625.0</v>
      </c>
      <c r="C744" s="44" t="s">
        <v>540</v>
      </c>
      <c r="D744" s="38">
        <v>323.0</v>
      </c>
      <c r="E744" s="39">
        <f>IFERROR(__xludf.DUMMYFUNCTION("sum(filter('PLA Sheet'!H:H,'PLA Sheet'!C:C=B744,'PLA Sheet'!D:D=C744))"),20.412671711)</f>
        <v>20.41267171</v>
      </c>
      <c r="F744" s="40">
        <v>4.907700788</v>
      </c>
      <c r="G744" s="40">
        <f>IFERROR(__xludf.DUMMYFUNCTION("sum(filter('PLA Sheet'!J:J,'PLA Sheet'!C:C=B744,'PLA Sheet'!D:D=C744))/E744*9"),3.5630017975945294)</f>
        <v>3.563001798</v>
      </c>
      <c r="H744" s="41">
        <v>0.433436533</v>
      </c>
      <c r="I744" s="41">
        <v>0.164086687</v>
      </c>
      <c r="J744" s="41">
        <v>0.40247678</v>
      </c>
      <c r="K744" s="41">
        <f t="shared" si="1"/>
        <v>0.030959753</v>
      </c>
      <c r="L744" s="42">
        <v>-8.732421014</v>
      </c>
      <c r="M744" s="45">
        <f>('Cy Young Rank'!O$1-G744)*E744/9</f>
        <v>1.127229016</v>
      </c>
      <c r="N744" s="42"/>
      <c r="O744" s="66"/>
      <c r="P744" s="42"/>
      <c r="Q744" s="67"/>
      <c r="R744" s="67"/>
    </row>
    <row r="745">
      <c r="A745" s="1" t="s">
        <v>513</v>
      </c>
      <c r="B745" s="38">
        <v>608566.0</v>
      </c>
      <c r="C745" s="44" t="s">
        <v>541</v>
      </c>
      <c r="D745" s="38">
        <v>643.0</v>
      </c>
      <c r="E745" s="39">
        <f>IFERROR(__xludf.DUMMYFUNCTION("sum(filter('PLA Sheet'!H:H,'PLA Sheet'!C:C=B745,'PLA Sheet'!D:D=C745))"),39.92667307)</f>
        <v>39.92667307</v>
      </c>
      <c r="F745" s="40">
        <v>4.907451315</v>
      </c>
      <c r="G745" s="40">
        <f>IFERROR(__xludf.DUMMYFUNCTION("sum(filter('PLA Sheet'!J:J,'PLA Sheet'!C:C=B745,'PLA Sheet'!D:D=C745))/E745*9"),3.7556410156464857)</f>
        <v>3.755641016</v>
      </c>
      <c r="H745" s="41">
        <v>0.402799378</v>
      </c>
      <c r="I745" s="41">
        <v>0.242612753</v>
      </c>
      <c r="J745" s="41">
        <v>0.354587869</v>
      </c>
      <c r="K745" s="41">
        <f t="shared" si="1"/>
        <v>0.048211509</v>
      </c>
      <c r="L745" s="42">
        <v>0.874350627</v>
      </c>
      <c r="M745" s="45">
        <f>('Cy Young Rank'!O$1-G745)*E745/9</f>
        <v>1.350226852</v>
      </c>
      <c r="N745" s="42"/>
      <c r="O745" s="66"/>
      <c r="P745" s="42"/>
      <c r="Q745" s="67"/>
      <c r="R745" s="67"/>
    </row>
    <row r="746">
      <c r="A746" s="1" t="s">
        <v>410</v>
      </c>
      <c r="B746" s="38">
        <v>678394.0</v>
      </c>
      <c r="C746" s="44" t="s">
        <v>536</v>
      </c>
      <c r="D746" s="38">
        <v>915.0</v>
      </c>
      <c r="E746" s="39">
        <f>IFERROR(__xludf.DUMMYFUNCTION("sum(filter('PLA Sheet'!H:H,'PLA Sheet'!C:C=B746,'PLA Sheet'!D:D=C746))"),58.27462613)</f>
        <v>58.27462613</v>
      </c>
      <c r="F746" s="40">
        <v>4.906234061</v>
      </c>
      <c r="G746" s="40">
        <f>IFERROR(__xludf.DUMMYFUNCTION("sum(filter('PLA Sheet'!J:J,'PLA Sheet'!C:C=B746,'PLA Sheet'!D:D=C746))/E746*9"),3.569066913205437)</f>
        <v>3.569066913</v>
      </c>
      <c r="H746" s="41">
        <v>0.448087432</v>
      </c>
      <c r="I746" s="41">
        <v>0.195628415</v>
      </c>
      <c r="J746" s="41">
        <v>0.356284153</v>
      </c>
      <c r="K746" s="41">
        <f t="shared" si="1"/>
        <v>0.091803279</v>
      </c>
      <c r="L746" s="42">
        <v>10.45761991</v>
      </c>
      <c r="M746" s="45">
        <f>('Cy Young Rank'!O$1-G746)*E746/9</f>
        <v>3.178771343</v>
      </c>
      <c r="N746" s="42"/>
      <c r="O746" s="66"/>
      <c r="P746" s="42"/>
      <c r="Q746" s="67"/>
      <c r="R746" s="67"/>
    </row>
    <row r="747">
      <c r="A747" s="1" t="s">
        <v>497</v>
      </c>
      <c r="B747" s="38">
        <v>678024.0</v>
      </c>
      <c r="C747" s="44" t="s">
        <v>536</v>
      </c>
      <c r="D747" s="38">
        <v>638.0</v>
      </c>
      <c r="E747" s="39">
        <f>IFERROR(__xludf.DUMMYFUNCTION("sum(filter('PLA Sheet'!H:H,'PLA Sheet'!C:C=B747,'PLA Sheet'!D:D=C747))"),40.33860183)</f>
        <v>40.33860183</v>
      </c>
      <c r="F747" s="40">
        <v>4.905983953</v>
      </c>
      <c r="G747" s="40">
        <f>IFERROR(__xludf.DUMMYFUNCTION("sum(filter('PLA Sheet'!J:J,'PLA Sheet'!C:C=B747,'PLA Sheet'!D:D=C747))/E747*9"),3.635337774422808)</f>
        <v>3.635337774</v>
      </c>
      <c r="H747" s="41">
        <v>0.470219436</v>
      </c>
      <c r="I747" s="41">
        <v>0.166144201</v>
      </c>
      <c r="J747" s="41">
        <v>0.363636364</v>
      </c>
      <c r="K747" s="41">
        <f t="shared" si="1"/>
        <v>0.106583072</v>
      </c>
      <c r="L747" s="42">
        <v>13.79723959</v>
      </c>
      <c r="M747" s="45">
        <f>('Cy Young Rank'!O$1-G747)*E747/9</f>
        <v>1.903364492</v>
      </c>
      <c r="N747" s="42"/>
      <c r="O747" s="66"/>
      <c r="P747" s="42"/>
      <c r="Q747" s="67"/>
      <c r="R747" s="67"/>
    </row>
    <row r="748">
      <c r="A748" s="1" t="s">
        <v>384</v>
      </c>
      <c r="B748" s="38">
        <v>666214.0</v>
      </c>
      <c r="C748" s="44" t="s">
        <v>541</v>
      </c>
      <c r="D748" s="38">
        <v>314.0</v>
      </c>
      <c r="E748" s="39">
        <f>IFERROR(__xludf.DUMMYFUNCTION("sum(filter('PLA Sheet'!H:H,'PLA Sheet'!C:C=B748,'PLA Sheet'!D:D=C748))"),17.3862259)</f>
        <v>17.3862259</v>
      </c>
      <c r="F748" s="40">
        <v>4.90567975</v>
      </c>
      <c r="G748" s="40">
        <f>IFERROR(__xludf.DUMMYFUNCTION("sum(filter('PLA Sheet'!J:J,'PLA Sheet'!C:C=B748,'PLA Sheet'!D:D=C748))/E748*9"),4.106975971133563)</f>
        <v>4.106975971</v>
      </c>
      <c r="H748" s="41">
        <v>0.366242038</v>
      </c>
      <c r="I748" s="41">
        <v>0.277070064</v>
      </c>
      <c r="J748" s="41">
        <v>0.356687898</v>
      </c>
      <c r="K748" s="41">
        <f t="shared" si="1"/>
        <v>0.00955414</v>
      </c>
      <c r="L748" s="42">
        <v>-6.309750279</v>
      </c>
      <c r="M748" s="45">
        <f>('Cy Young Rank'!O$1-G748)*E748/9</f>
        <v>-0.09074831622</v>
      </c>
      <c r="N748" s="42"/>
      <c r="O748" s="66"/>
      <c r="P748" s="42"/>
      <c r="Q748" s="67"/>
      <c r="R748" s="67"/>
    </row>
    <row r="749">
      <c r="A749" s="1" t="s">
        <v>478</v>
      </c>
      <c r="B749" s="38">
        <v>656457.0</v>
      </c>
      <c r="C749" s="44" t="s">
        <v>536</v>
      </c>
      <c r="D749" s="38">
        <v>258.0</v>
      </c>
      <c r="E749" s="39">
        <f>IFERROR(__xludf.DUMMYFUNCTION("sum(filter('PLA Sheet'!H:H,'PLA Sheet'!C:C=B749,'PLA Sheet'!D:D=C749))"),16.108462455)</f>
        <v>16.10846246</v>
      </c>
      <c r="F749" s="40">
        <v>4.903204618</v>
      </c>
      <c r="G749" s="40">
        <f>IFERROR(__xludf.DUMMYFUNCTION("sum(filter('PLA Sheet'!J:J,'PLA Sheet'!C:C=B749,'PLA Sheet'!D:D=C749))/E749*9"),3.7561238491274738)</f>
        <v>3.756123849</v>
      </c>
      <c r="H749" s="41">
        <v>0.488372093</v>
      </c>
      <c r="I749" s="41">
        <v>0.131782946</v>
      </c>
      <c r="J749" s="41">
        <v>0.379844961</v>
      </c>
      <c r="K749" s="41">
        <f t="shared" si="1"/>
        <v>0.108527132</v>
      </c>
      <c r="L749" s="42">
        <v>2.753927741</v>
      </c>
      <c r="M749" s="45">
        <f>('Cy Young Rank'!O$1-G749)*E749/9</f>
        <v>0.5438863964</v>
      </c>
      <c r="N749" s="42"/>
      <c r="O749" s="66"/>
      <c r="P749" s="42"/>
      <c r="Q749" s="67"/>
      <c r="R749" s="67"/>
    </row>
    <row r="750">
      <c r="A750" s="1" t="s">
        <v>442</v>
      </c>
      <c r="B750" s="38">
        <v>669674.0</v>
      </c>
      <c r="C750" s="44" t="s">
        <v>537</v>
      </c>
      <c r="D750" s="38">
        <v>268.0</v>
      </c>
      <c r="E750" s="39">
        <f>IFERROR(__xludf.DUMMYFUNCTION("sum(filter('PLA Sheet'!H:H,'PLA Sheet'!C:C=B750,'PLA Sheet'!D:D=C750))"),14.316793893)</f>
        <v>14.31679389</v>
      </c>
      <c r="F750" s="40">
        <v>4.902917632</v>
      </c>
      <c r="G750" s="40">
        <f>IFERROR(__xludf.DUMMYFUNCTION("sum(filter('PLA Sheet'!J:J,'PLA Sheet'!C:C=B750,'PLA Sheet'!D:D=C750))/E750*9"),4.5509022820993685)</f>
        <v>4.550902282</v>
      </c>
      <c r="H750" s="41">
        <v>0.492537313</v>
      </c>
      <c r="I750" s="41">
        <v>0.145522388</v>
      </c>
      <c r="J750" s="41">
        <v>0.361940299</v>
      </c>
      <c r="K750" s="41">
        <f t="shared" si="1"/>
        <v>0.130597014</v>
      </c>
      <c r="L750" s="42">
        <v>-2.259845655</v>
      </c>
      <c r="M750" s="45">
        <f>('Cy Young Rank'!O$1-G750)*E750/9</f>
        <v>-0.7809051994</v>
      </c>
      <c r="N750" s="42"/>
      <c r="O750" s="66"/>
      <c r="P750" s="42"/>
      <c r="Q750" s="67"/>
      <c r="R750" s="67"/>
    </row>
    <row r="751">
      <c r="A751" s="1" t="s">
        <v>462</v>
      </c>
      <c r="B751" s="38">
        <v>623167.0</v>
      </c>
      <c r="C751" s="44" t="s">
        <v>537</v>
      </c>
      <c r="D751" s="38">
        <v>268.0</v>
      </c>
      <c r="E751" s="39">
        <f>IFERROR(__xludf.DUMMYFUNCTION("sum(filter('PLA Sheet'!H:H,'PLA Sheet'!C:C=B751,'PLA Sheet'!D:D=C751))"),17.93452381)</f>
        <v>17.93452381</v>
      </c>
      <c r="F751" s="40">
        <v>4.90112349</v>
      </c>
      <c r="G751" s="40">
        <f>IFERROR(__xludf.DUMMYFUNCTION("sum(filter('PLA Sheet'!J:J,'PLA Sheet'!C:C=B751,'PLA Sheet'!D:D=C751))/E751*9"),3.4777038777702565)</f>
        <v>3.477703878</v>
      </c>
      <c r="H751" s="41">
        <v>0.395522388</v>
      </c>
      <c r="I751" s="41">
        <v>0.208955224</v>
      </c>
      <c r="J751" s="41">
        <v>0.395522388</v>
      </c>
      <c r="K751" s="41">
        <f t="shared" si="1"/>
        <v>0</v>
      </c>
      <c r="L751" s="42">
        <v>7.612437922</v>
      </c>
      <c r="M751" s="45">
        <f>('Cy Young Rank'!O$1-G751)*E751/9</f>
        <v>1.160355963</v>
      </c>
      <c r="N751" s="42"/>
      <c r="O751" s="66"/>
      <c r="P751" s="42"/>
      <c r="Q751" s="67"/>
      <c r="R751" s="67"/>
    </row>
    <row r="752">
      <c r="A752" s="1" t="s">
        <v>161</v>
      </c>
      <c r="B752" s="38">
        <v>702070.0</v>
      </c>
      <c r="C752" s="44" t="s">
        <v>537</v>
      </c>
      <c r="D752" s="38">
        <v>547.0</v>
      </c>
      <c r="E752" s="39">
        <f>IFERROR(__xludf.DUMMYFUNCTION("sum(filter('PLA Sheet'!H:H,'PLA Sheet'!C:C=B752,'PLA Sheet'!D:D=C752))"),36.51795346)</f>
        <v>36.51795346</v>
      </c>
      <c r="F752" s="40">
        <v>4.900418883</v>
      </c>
      <c r="G752" s="40">
        <f>IFERROR(__xludf.DUMMYFUNCTION("sum(filter('PLA Sheet'!J:J,'PLA Sheet'!C:C=B752,'PLA Sheet'!D:D=C752))/E752*9"),3.60927397381047)</f>
        <v>3.609273974</v>
      </c>
      <c r="H752" s="41">
        <v>0.42047532</v>
      </c>
      <c r="I752" s="41">
        <v>0.170018282</v>
      </c>
      <c r="J752" s="41">
        <v>0.409506399</v>
      </c>
      <c r="K752" s="41">
        <f t="shared" si="1"/>
        <v>0.010968921</v>
      </c>
      <c r="L752" s="42">
        <v>3.834136803</v>
      </c>
      <c r="M752" s="45">
        <f>('Cy Young Rank'!O$1-G752)*E752/9</f>
        <v>1.828843561</v>
      </c>
      <c r="N752" s="42"/>
      <c r="O752" s="66"/>
      <c r="P752" s="42"/>
      <c r="Q752" s="67"/>
      <c r="R752" s="67"/>
    </row>
    <row r="753">
      <c r="A753" s="1" t="s">
        <v>433</v>
      </c>
      <c r="B753" s="38">
        <v>642397.0</v>
      </c>
      <c r="C753" s="44" t="s">
        <v>533</v>
      </c>
      <c r="D753" s="38">
        <v>349.0</v>
      </c>
      <c r="E753" s="39">
        <f>IFERROR(__xludf.DUMMYFUNCTION("sum(filter('PLA Sheet'!H:H,'PLA Sheet'!C:C=B753,'PLA Sheet'!D:D=C753))"),21.28377065)</f>
        <v>21.28377065</v>
      </c>
      <c r="F753" s="40">
        <v>4.89968576</v>
      </c>
      <c r="G753" s="40">
        <f>IFERROR(__xludf.DUMMYFUNCTION("sum(filter('PLA Sheet'!J:J,'PLA Sheet'!C:C=B753,'PLA Sheet'!D:D=C753))/E753*9"),3.893271373885999)</f>
        <v>3.893271374</v>
      </c>
      <c r="H753" s="41">
        <v>0.435530086</v>
      </c>
      <c r="I753" s="41">
        <v>0.197707736</v>
      </c>
      <c r="J753" s="41">
        <v>0.366762178</v>
      </c>
      <c r="K753" s="41">
        <f t="shared" si="1"/>
        <v>0.068767908</v>
      </c>
      <c r="L753" s="42">
        <v>3.781306872</v>
      </c>
      <c r="M753" s="45">
        <f>('Cy Young Rank'!O$1-G753)*E753/9</f>
        <v>0.3942904266</v>
      </c>
      <c r="N753" s="42"/>
      <c r="O753" s="66"/>
      <c r="P753" s="42"/>
      <c r="Q753" s="67"/>
      <c r="R753" s="67"/>
    </row>
    <row r="754">
      <c r="A754" s="1" t="s">
        <v>229</v>
      </c>
      <c r="B754" s="38">
        <v>645261.0</v>
      </c>
      <c r="C754" s="44" t="s">
        <v>537</v>
      </c>
      <c r="D754" s="38">
        <v>512.0</v>
      </c>
      <c r="E754" s="39">
        <f>IFERROR(__xludf.DUMMYFUNCTION("sum(filter('PLA Sheet'!H:H,'PLA Sheet'!C:C=B754,'PLA Sheet'!D:D=C754))"),31.559709249999997)</f>
        <v>31.55970925</v>
      </c>
      <c r="F754" s="40">
        <v>4.898561979</v>
      </c>
      <c r="G754" s="40">
        <f>IFERROR(__xludf.DUMMYFUNCTION("sum(filter('PLA Sheet'!J:J,'PLA Sheet'!C:C=B754,'PLA Sheet'!D:D=C754))/E754*9"),3.86559578333251)</f>
        <v>3.865595783</v>
      </c>
      <c r="H754" s="41">
        <v>0.388671875</v>
      </c>
      <c r="I754" s="41">
        <v>0.220703125</v>
      </c>
      <c r="J754" s="41">
        <v>0.390625</v>
      </c>
      <c r="K754" s="41">
        <f t="shared" si="1"/>
        <v>-0.001953125</v>
      </c>
      <c r="L754" s="42">
        <v>6.895533728</v>
      </c>
      <c r="M754" s="45">
        <f>('Cy Young Rank'!O$1-G754)*E754/9</f>
        <v>0.6817045061</v>
      </c>
      <c r="N754" s="42"/>
      <c r="O754" s="66"/>
      <c r="P754" s="42"/>
      <c r="Q754" s="67"/>
      <c r="R754" s="67"/>
    </row>
    <row r="755">
      <c r="A755" s="1" t="s">
        <v>294</v>
      </c>
      <c r="B755" s="38">
        <v>665152.0</v>
      </c>
      <c r="C755" s="44" t="s">
        <v>541</v>
      </c>
      <c r="D755" s="38">
        <v>333.0</v>
      </c>
      <c r="E755" s="39">
        <f>IFERROR(__xludf.DUMMYFUNCTION("sum(filter('PLA Sheet'!H:H,'PLA Sheet'!C:C=B755,'PLA Sheet'!D:D=C755))"),21.93660228)</f>
        <v>21.93660228</v>
      </c>
      <c r="F755" s="40">
        <v>4.898278556</v>
      </c>
      <c r="G755" s="40">
        <f>IFERROR(__xludf.DUMMYFUNCTION("sum(filter('PLA Sheet'!J:J,'PLA Sheet'!C:C=B755,'PLA Sheet'!D:D=C755))/E755*9"),3.553347050061027)</f>
        <v>3.55334705</v>
      </c>
      <c r="H755" s="41">
        <v>0.447447447</v>
      </c>
      <c r="I755" s="41">
        <v>0.156156156</v>
      </c>
      <c r="J755" s="41">
        <v>0.396396396</v>
      </c>
      <c r="K755" s="41">
        <f t="shared" si="1"/>
        <v>0.051051051</v>
      </c>
      <c r="L755" s="42">
        <v>-4.928626746</v>
      </c>
      <c r="M755" s="45">
        <f>('Cy Young Rank'!O$1-G755)*E755/9</f>
        <v>1.234916029</v>
      </c>
      <c r="N755" s="42"/>
      <c r="O755" s="66"/>
      <c r="P755" s="42"/>
      <c r="Q755" s="67"/>
      <c r="R755" s="67"/>
    </row>
    <row r="756">
      <c r="A756" s="1" t="s">
        <v>407</v>
      </c>
      <c r="B756" s="38">
        <v>668674.0</v>
      </c>
      <c r="C756" s="44" t="s">
        <v>537</v>
      </c>
      <c r="D756" s="38">
        <v>308.0</v>
      </c>
      <c r="E756" s="39">
        <f>IFERROR(__xludf.DUMMYFUNCTION("sum(filter('PLA Sheet'!H:H,'PLA Sheet'!C:C=B756,'PLA Sheet'!D:D=C756))"),20.146916146000002)</f>
        <v>20.14691615</v>
      </c>
      <c r="F756" s="40">
        <v>4.897693363</v>
      </c>
      <c r="G756" s="40">
        <f>IFERROR(__xludf.DUMMYFUNCTION("sum(filter('PLA Sheet'!J:J,'PLA Sheet'!C:C=B756,'PLA Sheet'!D:D=C756))/E756*9"),3.684997816141702)</f>
        <v>3.684997816</v>
      </c>
      <c r="H756" s="41">
        <v>0.435064935</v>
      </c>
      <c r="I756" s="41">
        <v>0.181818182</v>
      </c>
      <c r="J756" s="41">
        <v>0.383116883</v>
      </c>
      <c r="K756" s="41">
        <f t="shared" si="1"/>
        <v>0.051948052</v>
      </c>
      <c r="L756" s="42">
        <v>2.148285538</v>
      </c>
      <c r="M756" s="45">
        <f>('Cy Young Rank'!O$1-G756)*E756/9</f>
        <v>0.8394597281</v>
      </c>
      <c r="N756" s="42"/>
      <c r="O756" s="66"/>
      <c r="P756" s="42"/>
      <c r="Q756" s="67"/>
      <c r="R756" s="67"/>
    </row>
    <row r="757">
      <c r="A757" s="1" t="s">
        <v>246</v>
      </c>
      <c r="B757" s="38">
        <v>571510.0</v>
      </c>
      <c r="C757" s="44" t="s">
        <v>541</v>
      </c>
      <c r="D757" s="38">
        <v>308.0</v>
      </c>
      <c r="E757" s="39">
        <f>IFERROR(__xludf.DUMMYFUNCTION("sum(filter('PLA Sheet'!H:H,'PLA Sheet'!C:C=B757,'PLA Sheet'!D:D=C757))"),20.348264143999998)</f>
        <v>20.34826414</v>
      </c>
      <c r="F757" s="40">
        <v>4.89702455</v>
      </c>
      <c r="G757" s="40">
        <f>IFERROR(__xludf.DUMMYFUNCTION("sum(filter('PLA Sheet'!J:J,'PLA Sheet'!C:C=B757,'PLA Sheet'!D:D=C757))/E757*9"),3.392235451216777)</f>
        <v>3.392235451</v>
      </c>
      <c r="H757" s="41">
        <v>0.496753247</v>
      </c>
      <c r="I757" s="41">
        <v>0.116883117</v>
      </c>
      <c r="J757" s="41">
        <v>0.386363636</v>
      </c>
      <c r="K757" s="41">
        <f t="shared" si="1"/>
        <v>0.110389611</v>
      </c>
      <c r="L757" s="42">
        <v>3.156199562</v>
      </c>
      <c r="M757" s="45">
        <f>('Cy Young Rank'!O$1-G757)*E757/9</f>
        <v>1.509761047</v>
      </c>
      <c r="N757" s="42"/>
      <c r="O757" s="66"/>
      <c r="P757" s="42"/>
      <c r="Q757" s="67"/>
      <c r="R757" s="67"/>
    </row>
    <row r="758">
      <c r="A758" s="1" t="s">
        <v>415</v>
      </c>
      <c r="B758" s="38">
        <v>656794.0</v>
      </c>
      <c r="C758" s="44" t="s">
        <v>541</v>
      </c>
      <c r="D758" s="38">
        <v>419.0</v>
      </c>
      <c r="E758" s="39">
        <f>IFERROR(__xludf.DUMMYFUNCTION("sum(filter('PLA Sheet'!H:H,'PLA Sheet'!C:C=B758,'PLA Sheet'!D:D=C758))"),25.578425027)</f>
        <v>25.57842503</v>
      </c>
      <c r="F758" s="40">
        <v>4.896732151</v>
      </c>
      <c r="G758" s="40">
        <f>IFERROR(__xludf.DUMMYFUNCTION("sum(filter('PLA Sheet'!J:J,'PLA Sheet'!C:C=B758,'PLA Sheet'!D:D=C758))/E758*9"),2.6264165963731836)</f>
        <v>2.626416596</v>
      </c>
      <c r="H758" s="41">
        <v>0.431980907</v>
      </c>
      <c r="I758" s="41">
        <v>0.171837709</v>
      </c>
      <c r="J758" s="41">
        <v>0.396181384</v>
      </c>
      <c r="K758" s="41">
        <f t="shared" si="1"/>
        <v>0.035799523</v>
      </c>
      <c r="L758" s="42">
        <v>0.373669968</v>
      </c>
      <c r="M758" s="45">
        <f>('Cy Young Rank'!O$1-G758)*E758/9</f>
        <v>4.074311734</v>
      </c>
      <c r="N758" s="42"/>
      <c r="O758" s="66"/>
      <c r="P758" s="42"/>
      <c r="Q758" s="67"/>
      <c r="R758" s="67"/>
    </row>
    <row r="759">
      <c r="A759" s="1" t="s">
        <v>222</v>
      </c>
      <c r="B759" s="38">
        <v>518876.0</v>
      </c>
      <c r="C759" s="44" t="s">
        <v>537</v>
      </c>
      <c r="D759" s="38">
        <v>622.0</v>
      </c>
      <c r="E759" s="39">
        <f>IFERROR(__xludf.DUMMYFUNCTION("sum(filter('PLA Sheet'!H:H,'PLA Sheet'!C:C=B759,'PLA Sheet'!D:D=C759))"),41.77683616)</f>
        <v>41.77683616</v>
      </c>
      <c r="F759" s="40">
        <v>4.893880575</v>
      </c>
      <c r="G759" s="40">
        <f>IFERROR(__xludf.DUMMYFUNCTION("sum(filter('PLA Sheet'!J:J,'PLA Sheet'!C:C=B759,'PLA Sheet'!D:D=C759))/E759*9"),3.6491835192145863)</f>
        <v>3.649183519</v>
      </c>
      <c r="H759" s="41">
        <v>0.414790997</v>
      </c>
      <c r="I759" s="41">
        <v>0.210610932</v>
      </c>
      <c r="J759" s="41">
        <v>0.374598071</v>
      </c>
      <c r="K759" s="41">
        <f t="shared" si="1"/>
        <v>0.040192926</v>
      </c>
      <c r="L759" s="42">
        <v>11.52611727</v>
      </c>
      <c r="M759" s="45">
        <f>('Cy Young Rank'!O$1-G759)*E759/9</f>
        <v>1.906956979</v>
      </c>
      <c r="N759" s="42"/>
      <c r="O759" s="66"/>
      <c r="P759" s="42"/>
      <c r="Q759" s="67"/>
      <c r="R759" s="67"/>
    </row>
    <row r="760">
      <c r="A760" s="1" t="s">
        <v>179</v>
      </c>
      <c r="B760" s="38">
        <v>663568.0</v>
      </c>
      <c r="C760" s="44" t="s">
        <v>537</v>
      </c>
      <c r="D760" s="38">
        <v>399.0</v>
      </c>
      <c r="E760" s="39">
        <f>IFERROR(__xludf.DUMMYFUNCTION("sum(filter('PLA Sheet'!H:H,'PLA Sheet'!C:C=B760,'PLA Sheet'!D:D=C760))"),29.123270441)</f>
        <v>29.12327044</v>
      </c>
      <c r="F760" s="40">
        <v>4.892275905</v>
      </c>
      <c r="G760" s="40">
        <f>IFERROR(__xludf.DUMMYFUNCTION("sum(filter('PLA Sheet'!J:J,'PLA Sheet'!C:C=B760,'PLA Sheet'!D:D=C760))/E760*9"),3.4423139806051837)</f>
        <v>3.442313981</v>
      </c>
      <c r="H760" s="41">
        <v>0.431077694</v>
      </c>
      <c r="I760" s="41">
        <v>0.200501253</v>
      </c>
      <c r="J760" s="41">
        <v>0.368421053</v>
      </c>
      <c r="K760" s="41">
        <f t="shared" si="1"/>
        <v>0.062656641</v>
      </c>
      <c r="L760" s="42">
        <v>3.152796638</v>
      </c>
      <c r="M760" s="45">
        <f>('Cy Young Rank'!O$1-G760)*E760/9</f>
        <v>1.998781888</v>
      </c>
      <c r="N760" s="42"/>
      <c r="O760" s="66"/>
      <c r="P760" s="42"/>
      <c r="Q760" s="67"/>
      <c r="R760" s="67"/>
    </row>
    <row r="761">
      <c r="A761" s="1" t="s">
        <v>437</v>
      </c>
      <c r="B761" s="38">
        <v>695418.0</v>
      </c>
      <c r="C761" s="44" t="s">
        <v>537</v>
      </c>
      <c r="D761" s="38">
        <v>991.0</v>
      </c>
      <c r="E761" s="39">
        <f>IFERROR(__xludf.DUMMYFUNCTION("sum(filter('PLA Sheet'!H:H,'PLA Sheet'!C:C=B761,'PLA Sheet'!D:D=C761))"),63.02961918)</f>
        <v>63.02961918</v>
      </c>
      <c r="F761" s="40">
        <v>4.891817423</v>
      </c>
      <c r="G761" s="40">
        <f>IFERROR(__xludf.DUMMYFUNCTION("sum(filter('PLA Sheet'!J:J,'PLA Sheet'!C:C=B761,'PLA Sheet'!D:D=C761))/E761*9"),3.796639740383087)</f>
        <v>3.79663974</v>
      </c>
      <c r="H761" s="41">
        <v>0.432896065</v>
      </c>
      <c r="I761" s="41">
        <v>0.189707366</v>
      </c>
      <c r="J761" s="41">
        <v>0.377396569</v>
      </c>
      <c r="K761" s="41">
        <f t="shared" si="1"/>
        <v>0.055499496</v>
      </c>
      <c r="L761" s="42">
        <v>12.18421326</v>
      </c>
      <c r="M761" s="45">
        <f>('Cy Young Rank'!O$1-G761)*E761/9</f>
        <v>1.844388541</v>
      </c>
      <c r="N761" s="42"/>
      <c r="O761" s="66"/>
      <c r="P761" s="42"/>
      <c r="Q761" s="67"/>
      <c r="R761" s="67"/>
    </row>
    <row r="762">
      <c r="A762" s="1" t="s">
        <v>366</v>
      </c>
      <c r="B762" s="38">
        <v>656550.0</v>
      </c>
      <c r="C762" s="44" t="s">
        <v>537</v>
      </c>
      <c r="D762" s="38">
        <v>626.0</v>
      </c>
      <c r="E762" s="39">
        <f>IFERROR(__xludf.DUMMYFUNCTION("sum(filter('PLA Sheet'!H:H,'PLA Sheet'!C:C=B762,'PLA Sheet'!D:D=C762))"),37.53309572)</f>
        <v>37.53309572</v>
      </c>
      <c r="F762" s="40">
        <v>4.890748634</v>
      </c>
      <c r="G762" s="40">
        <f>IFERROR(__xludf.DUMMYFUNCTION("sum(filter('PLA Sheet'!J:J,'PLA Sheet'!C:C=B762,'PLA Sheet'!D:D=C762))/E762*9"),4.054916123502749)</f>
        <v>4.054916124</v>
      </c>
      <c r="H762" s="41">
        <v>0.46485623</v>
      </c>
      <c r="I762" s="41">
        <v>0.142172524</v>
      </c>
      <c r="J762" s="41">
        <v>0.392971246</v>
      </c>
      <c r="K762" s="41">
        <f t="shared" si="1"/>
        <v>0.071884984</v>
      </c>
      <c r="L762" s="42">
        <v>-0.559832654</v>
      </c>
      <c r="M762" s="45">
        <f>('Cy Young Rank'!O$1-G762)*E762/9</f>
        <v>0.02120151369</v>
      </c>
      <c r="N762" s="42"/>
      <c r="O762" s="66"/>
      <c r="P762" s="42"/>
      <c r="Q762" s="67"/>
      <c r="R762" s="67"/>
    </row>
    <row r="763">
      <c r="A763" s="1" t="s">
        <v>261</v>
      </c>
      <c r="B763" s="38">
        <v>664126.0</v>
      </c>
      <c r="C763" s="44" t="s">
        <v>537</v>
      </c>
      <c r="D763" s="38">
        <v>491.0</v>
      </c>
      <c r="E763" s="39">
        <f>IFERROR(__xludf.DUMMYFUNCTION("sum(filter('PLA Sheet'!H:H,'PLA Sheet'!C:C=B763,'PLA Sheet'!D:D=C763))"),30.80851064)</f>
        <v>30.80851064</v>
      </c>
      <c r="F763" s="40">
        <v>4.890575634</v>
      </c>
      <c r="G763" s="40">
        <f>IFERROR(__xludf.DUMMYFUNCTION("sum(filter('PLA Sheet'!J:J,'PLA Sheet'!C:C=B763,'PLA Sheet'!D:D=C763))/E763*9"),3.722200477004298)</f>
        <v>3.722200477</v>
      </c>
      <c r="H763" s="41">
        <v>0.423625255</v>
      </c>
      <c r="I763" s="41">
        <v>0.215885947</v>
      </c>
      <c r="J763" s="41">
        <v>0.360488798</v>
      </c>
      <c r="K763" s="41">
        <f t="shared" si="1"/>
        <v>0.063136457</v>
      </c>
      <c r="L763" s="42">
        <v>5.886410535</v>
      </c>
      <c r="M763" s="45">
        <f>('Cy Young Rank'!O$1-G763)*E763/9</f>
        <v>1.156344466</v>
      </c>
      <c r="N763" s="42"/>
      <c r="O763" s="66"/>
      <c r="P763" s="42"/>
      <c r="Q763" s="67"/>
      <c r="R763" s="67"/>
    </row>
    <row r="764">
      <c r="A764" s="1" t="s">
        <v>305</v>
      </c>
      <c r="B764" s="38">
        <v>669020.0</v>
      </c>
      <c r="C764" s="44" t="s">
        <v>537</v>
      </c>
      <c r="D764" s="38">
        <v>310.0</v>
      </c>
      <c r="E764" s="39">
        <f>IFERROR(__xludf.DUMMYFUNCTION("sum(filter('PLA Sheet'!H:H,'PLA Sheet'!C:C=B764,'PLA Sheet'!D:D=C764))"),19.726331365)</f>
        <v>19.72633137</v>
      </c>
      <c r="F764" s="40">
        <v>4.890465735</v>
      </c>
      <c r="G764" s="40">
        <f>IFERROR(__xludf.DUMMYFUNCTION("sum(filter('PLA Sheet'!J:J,'PLA Sheet'!C:C=B764,'PLA Sheet'!D:D=C764))/E764*9"),3.753680632749525)</f>
        <v>3.753680633</v>
      </c>
      <c r="H764" s="41">
        <v>0.44516129</v>
      </c>
      <c r="I764" s="41">
        <v>0.161290323</v>
      </c>
      <c r="J764" s="41">
        <v>0.393548387</v>
      </c>
      <c r="K764" s="41">
        <f t="shared" si="1"/>
        <v>0.051612903</v>
      </c>
      <c r="L764" s="42">
        <v>-5.149197459</v>
      </c>
      <c r="M764" s="45">
        <f>('Cy Young Rank'!O$1-G764)*E764/9</f>
        <v>0.6713952602</v>
      </c>
      <c r="N764" s="42"/>
      <c r="O764" s="66"/>
      <c r="P764" s="42"/>
      <c r="Q764" s="67"/>
      <c r="R764" s="67"/>
    </row>
    <row r="765">
      <c r="A765" s="1" t="s">
        <v>416</v>
      </c>
      <c r="B765" s="38">
        <v>608337.0</v>
      </c>
      <c r="C765" s="44" t="s">
        <v>533</v>
      </c>
      <c r="D765" s="38">
        <v>588.0</v>
      </c>
      <c r="E765" s="39">
        <f>IFERROR(__xludf.DUMMYFUNCTION("sum(filter('PLA Sheet'!H:H,'PLA Sheet'!C:C=B765,'PLA Sheet'!D:D=C765))"),37.093023259999995)</f>
        <v>37.09302326</v>
      </c>
      <c r="F765" s="40">
        <v>4.888549654</v>
      </c>
      <c r="G765" s="40">
        <f>IFERROR(__xludf.DUMMYFUNCTION("sum(filter('PLA Sheet'!J:J,'PLA Sheet'!C:C=B765,'PLA Sheet'!D:D=C765))/E765*9"),3.7471877939344873)</f>
        <v>3.747187794</v>
      </c>
      <c r="H765" s="41">
        <v>0.384353741</v>
      </c>
      <c r="I765" s="41">
        <v>0.215986395</v>
      </c>
      <c r="J765" s="41">
        <v>0.399659864</v>
      </c>
      <c r="K765" s="41">
        <f t="shared" si="1"/>
        <v>-0.015306123</v>
      </c>
      <c r="L765" s="42">
        <v>-1.885423526</v>
      </c>
      <c r="M765" s="45">
        <f>('Cy Young Rank'!O$1-G765)*E765/9</f>
        <v>1.289238937</v>
      </c>
      <c r="N765" s="42"/>
      <c r="O765" s="66"/>
      <c r="P765" s="42"/>
      <c r="Q765" s="67"/>
      <c r="R765" s="67"/>
    </row>
    <row r="766">
      <c r="A766" s="1" t="s">
        <v>487</v>
      </c>
      <c r="B766" s="38">
        <v>676428.0</v>
      </c>
      <c r="C766" s="44" t="s">
        <v>536</v>
      </c>
      <c r="D766" s="38">
        <v>537.0</v>
      </c>
      <c r="E766" s="39">
        <f>IFERROR(__xludf.DUMMYFUNCTION("sum(filter('PLA Sheet'!H:H,'PLA Sheet'!C:C=B766,'PLA Sheet'!D:D=C766))"),33.11692015)</f>
        <v>33.11692015</v>
      </c>
      <c r="F766" s="40">
        <v>4.888198118</v>
      </c>
      <c r="G766" s="40">
        <f>IFERROR(__xludf.DUMMYFUNCTION("sum(filter('PLA Sheet'!J:J,'PLA Sheet'!C:C=B766,'PLA Sheet'!D:D=C766))/E766*9"),3.7832542528867985)</f>
        <v>3.783254253</v>
      </c>
      <c r="H766" s="41">
        <v>0.474860335</v>
      </c>
      <c r="I766" s="41">
        <v>0.165735568</v>
      </c>
      <c r="J766" s="41">
        <v>0.359404097</v>
      </c>
      <c r="K766" s="41">
        <f t="shared" si="1"/>
        <v>0.115456238</v>
      </c>
      <c r="L766" s="42">
        <v>3.605093197</v>
      </c>
      <c r="M766" s="45">
        <f>('Cy Young Rank'!O$1-G766)*E766/9</f>
        <v>1.018329645</v>
      </c>
      <c r="N766" s="42"/>
      <c r="O766" s="66"/>
      <c r="P766" s="42"/>
      <c r="Q766" s="67"/>
      <c r="R766" s="67"/>
    </row>
    <row r="767">
      <c r="A767" s="1" t="s">
        <v>481</v>
      </c>
      <c r="B767" s="38">
        <v>622608.0</v>
      </c>
      <c r="C767" s="44" t="s">
        <v>537</v>
      </c>
      <c r="D767" s="38">
        <v>1174.0</v>
      </c>
      <c r="E767" s="39">
        <f>IFERROR(__xludf.DUMMYFUNCTION("sum(filter('PLA Sheet'!H:H,'PLA Sheet'!C:C=B767,'PLA Sheet'!D:D=C767))"),69.35611037999999)</f>
        <v>69.35611038</v>
      </c>
      <c r="F767" s="40">
        <v>4.886822478</v>
      </c>
      <c r="G767" s="40">
        <f>IFERROR(__xludf.DUMMYFUNCTION("sum(filter('PLA Sheet'!J:J,'PLA Sheet'!C:C=B767,'PLA Sheet'!D:D=C767))/E767*9"),4.083608674826612)</f>
        <v>4.083608675</v>
      </c>
      <c r="H767" s="41">
        <v>0.443781942</v>
      </c>
      <c r="I767" s="41">
        <v>0.193356048</v>
      </c>
      <c r="J767" s="41">
        <v>0.36286201</v>
      </c>
      <c r="K767" s="41">
        <f t="shared" si="1"/>
        <v>0.080919932</v>
      </c>
      <c r="L767" s="42">
        <v>-22.9659538</v>
      </c>
      <c r="M767" s="45">
        <f>('Cy Young Rank'!O$1-G767)*E767/9</f>
        <v>-0.1819339841</v>
      </c>
      <c r="N767" s="42"/>
      <c r="O767" s="66"/>
      <c r="P767" s="42"/>
      <c r="Q767" s="67"/>
      <c r="R767" s="67"/>
    </row>
    <row r="768">
      <c r="A768" s="1" t="s">
        <v>321</v>
      </c>
      <c r="B768" s="38">
        <v>607200.0</v>
      </c>
      <c r="C768" s="44" t="s">
        <v>532</v>
      </c>
      <c r="D768" s="38">
        <v>274.0</v>
      </c>
      <c r="E768" s="39">
        <f>IFERROR(__xludf.DUMMYFUNCTION("sum(filter('PLA Sheet'!H:H,'PLA Sheet'!C:C=B768,'PLA Sheet'!D:D=C768))"),16.724778392)</f>
        <v>16.72477839</v>
      </c>
      <c r="F768" s="40">
        <v>4.886586059</v>
      </c>
      <c r="G768" s="40">
        <f>IFERROR(__xludf.DUMMYFUNCTION("sum(filter('PLA Sheet'!J:J,'PLA Sheet'!C:C=B768,'PLA Sheet'!D:D=C768))/E768*9"),3.8232872508843707)</f>
        <v>3.823287251</v>
      </c>
      <c r="H768" s="41">
        <v>0.405109489</v>
      </c>
      <c r="I768" s="41">
        <v>0.266423358</v>
      </c>
      <c r="J768" s="41">
        <v>0.328467153</v>
      </c>
      <c r="K768" s="41">
        <f t="shared" si="1"/>
        <v>0.076642336</v>
      </c>
      <c r="L768" s="42">
        <v>2.465885255</v>
      </c>
      <c r="M768" s="45">
        <f>('Cy Young Rank'!O$1-G768)*E768/9</f>
        <v>0.4398853635</v>
      </c>
      <c r="N768" s="42"/>
      <c r="O768" s="66"/>
      <c r="P768" s="42"/>
      <c r="Q768" s="67"/>
      <c r="R768" s="67"/>
    </row>
    <row r="769">
      <c r="A769" s="1" t="s">
        <v>408</v>
      </c>
      <c r="B769" s="38">
        <v>657376.0</v>
      </c>
      <c r="C769" s="44" t="s">
        <v>540</v>
      </c>
      <c r="D769" s="38">
        <v>479.0</v>
      </c>
      <c r="E769" s="39">
        <f>IFERROR(__xludf.DUMMYFUNCTION("sum(filter('PLA Sheet'!H:H,'PLA Sheet'!C:C=B769,'PLA Sheet'!D:D=C769))"),31.85197279)</f>
        <v>31.85197279</v>
      </c>
      <c r="F769" s="40">
        <v>4.886324112</v>
      </c>
      <c r="G769" s="40">
        <f>IFERROR(__xludf.DUMMYFUNCTION("sum(filter('PLA Sheet'!J:J,'PLA Sheet'!C:C=B769,'PLA Sheet'!D:D=C769))/E769*9"),3.607156290051571)</f>
        <v>3.60715629</v>
      </c>
      <c r="H769" s="41">
        <v>0.457202505</v>
      </c>
      <c r="I769" s="41">
        <v>0.177453027</v>
      </c>
      <c r="J769" s="41">
        <v>0.365344468</v>
      </c>
      <c r="K769" s="41">
        <f t="shared" si="1"/>
        <v>0.091858037</v>
      </c>
      <c r="L769" s="42">
        <v>8.905800967</v>
      </c>
      <c r="M769" s="45">
        <f>('Cy Young Rank'!O$1-G769)*E769/9</f>
        <v>1.602662836</v>
      </c>
      <c r="N769" s="42"/>
      <c r="O769" s="66"/>
      <c r="P769" s="42"/>
      <c r="Q769" s="67"/>
      <c r="R769" s="67"/>
    </row>
    <row r="770">
      <c r="A770" s="1" t="s">
        <v>331</v>
      </c>
      <c r="B770" s="38">
        <v>672456.0</v>
      </c>
      <c r="C770" s="44" t="s">
        <v>536</v>
      </c>
      <c r="D770" s="38">
        <v>287.0</v>
      </c>
      <c r="E770" s="39">
        <f>IFERROR(__xludf.DUMMYFUNCTION("sum(filter('PLA Sheet'!H:H,'PLA Sheet'!C:C=B770,'PLA Sheet'!D:D=C770))"),18.034849515)</f>
        <v>18.03484952</v>
      </c>
      <c r="F770" s="40">
        <v>4.886238957</v>
      </c>
      <c r="G770" s="40">
        <f>IFERROR(__xludf.DUMMYFUNCTION("sum(filter('PLA Sheet'!J:J,'PLA Sheet'!C:C=B770,'PLA Sheet'!D:D=C770))/E770*9"),3.745977472327137)</f>
        <v>3.745977472</v>
      </c>
      <c r="H770" s="41">
        <v>0.425087108</v>
      </c>
      <c r="I770" s="41">
        <v>0.229965157</v>
      </c>
      <c r="J770" s="41">
        <v>0.344947735</v>
      </c>
      <c r="K770" s="41">
        <f t="shared" si="1"/>
        <v>0.080139373</v>
      </c>
      <c r="L770" s="42">
        <v>4.329755891</v>
      </c>
      <c r="M770" s="45">
        <f>('Cy Young Rank'!O$1-G770)*E770/9</f>
        <v>0.6292610034</v>
      </c>
      <c r="N770" s="42"/>
      <c r="O770" s="66"/>
      <c r="P770" s="42"/>
      <c r="Q770" s="67"/>
      <c r="R770" s="67"/>
    </row>
    <row r="771">
      <c r="A771" s="1" t="s">
        <v>343</v>
      </c>
      <c r="B771" s="38">
        <v>682243.0</v>
      </c>
      <c r="C771" s="44" t="s">
        <v>538</v>
      </c>
      <c r="D771" s="38">
        <v>282.0</v>
      </c>
      <c r="E771" s="39">
        <f>IFERROR(__xludf.DUMMYFUNCTION("sum(filter('PLA Sheet'!H:H,'PLA Sheet'!C:C=B771,'PLA Sheet'!D:D=C771))"),16.813013402)</f>
        <v>16.8130134</v>
      </c>
      <c r="F771" s="40">
        <v>4.881326246</v>
      </c>
      <c r="G771" s="40">
        <f>IFERROR(__xludf.DUMMYFUNCTION("sum(filter('PLA Sheet'!J:J,'PLA Sheet'!C:C=B771,'PLA Sheet'!D:D=C771))/E771*9"),3.8056790576511785)</f>
        <v>3.805679058</v>
      </c>
      <c r="H771" s="41">
        <v>0.397163121</v>
      </c>
      <c r="I771" s="41">
        <v>0.237588652</v>
      </c>
      <c r="J771" s="41">
        <v>0.365248227</v>
      </c>
      <c r="K771" s="41">
        <f t="shared" si="1"/>
        <v>0.031914894</v>
      </c>
      <c r="L771" s="42">
        <v>1.072530199</v>
      </c>
      <c r="M771" s="45">
        <f>('Cy Young Rank'!O$1-G771)*E771/9</f>
        <v>0.4751001569</v>
      </c>
      <c r="N771" s="42"/>
      <c r="O771" s="66"/>
      <c r="P771" s="42"/>
      <c r="Q771" s="67"/>
      <c r="R771" s="67"/>
    </row>
    <row r="772">
      <c r="A772" s="1" t="s">
        <v>302</v>
      </c>
      <c r="B772" s="38">
        <v>681190.0</v>
      </c>
      <c r="C772" s="44" t="s">
        <v>537</v>
      </c>
      <c r="D772" s="38">
        <v>432.0</v>
      </c>
      <c r="E772" s="39">
        <f>IFERROR(__xludf.DUMMYFUNCTION("sum(filter('PLA Sheet'!H:H,'PLA Sheet'!C:C=B772,'PLA Sheet'!D:D=C772))"),27.940564871)</f>
        <v>27.94056487</v>
      </c>
      <c r="F772" s="40">
        <v>4.879163161</v>
      </c>
      <c r="G772" s="40">
        <f>IFERROR(__xludf.DUMMYFUNCTION("sum(filter('PLA Sheet'!J:J,'PLA Sheet'!C:C=B772,'PLA Sheet'!D:D=C772))/E772*9"),3.9258994049132876)</f>
        <v>3.925899405</v>
      </c>
      <c r="H772" s="41">
        <v>0.44212963</v>
      </c>
      <c r="I772" s="41">
        <v>0.189814815</v>
      </c>
      <c r="J772" s="41">
        <v>0.368055556</v>
      </c>
      <c r="K772" s="41">
        <f t="shared" si="1"/>
        <v>0.074074074</v>
      </c>
      <c r="L772" s="42">
        <v>7.212486221</v>
      </c>
      <c r="M772" s="45">
        <f>('Cy Young Rank'!O$1-G772)*E772/9</f>
        <v>0.416316264</v>
      </c>
      <c r="N772" s="42"/>
      <c r="O772" s="66"/>
      <c r="P772" s="42"/>
      <c r="Q772" s="67"/>
      <c r="R772" s="67"/>
    </row>
    <row r="773">
      <c r="A773" s="1" t="s">
        <v>399</v>
      </c>
      <c r="B773" s="38">
        <v>543294.0</v>
      </c>
      <c r="C773" s="44" t="s">
        <v>537</v>
      </c>
      <c r="D773" s="38">
        <v>387.0</v>
      </c>
      <c r="E773" s="39">
        <f>IFERROR(__xludf.DUMMYFUNCTION("sum(filter('PLA Sheet'!H:H,'PLA Sheet'!C:C=B773,'PLA Sheet'!D:D=C773))"),25.34317917)</f>
        <v>25.34317917</v>
      </c>
      <c r="F773" s="40">
        <v>4.878534299</v>
      </c>
      <c r="G773" s="40">
        <f>IFERROR(__xludf.DUMMYFUNCTION("sum(filter('PLA Sheet'!J:J,'PLA Sheet'!C:C=B773,'PLA Sheet'!D:D=C773))/E773*9"),3.675339205677091)</f>
        <v>3.675339206</v>
      </c>
      <c r="H773" s="41">
        <v>0.405684755</v>
      </c>
      <c r="I773" s="41">
        <v>0.183462532</v>
      </c>
      <c r="J773" s="41">
        <v>0.410852713</v>
      </c>
      <c r="K773" s="41">
        <f t="shared" si="1"/>
        <v>-0.005167958</v>
      </c>
      <c r="L773" s="42">
        <v>11.05994585</v>
      </c>
      <c r="M773" s="45">
        <f>('Cy Young Rank'!O$1-G773)*E773/9</f>
        <v>1.083169714</v>
      </c>
      <c r="N773" s="42"/>
      <c r="O773" s="66"/>
      <c r="P773" s="42"/>
      <c r="Q773" s="67"/>
      <c r="R773" s="67"/>
    </row>
    <row r="774">
      <c r="A774" s="1" t="s">
        <v>405</v>
      </c>
      <c r="B774" s="38">
        <v>621111.0</v>
      </c>
      <c r="C774" s="44" t="s">
        <v>537</v>
      </c>
      <c r="D774" s="38">
        <v>535.0</v>
      </c>
      <c r="E774" s="39">
        <f>IFERROR(__xludf.DUMMYFUNCTION("sum(filter('PLA Sheet'!H:H,'PLA Sheet'!C:C=B774,'PLA Sheet'!D:D=C774))"),31.90310786)</f>
        <v>31.90310786</v>
      </c>
      <c r="F774" s="40">
        <v>4.878285869</v>
      </c>
      <c r="G774" s="40">
        <f>IFERROR(__xludf.DUMMYFUNCTION("sum(filter('PLA Sheet'!J:J,'PLA Sheet'!C:C=B774,'PLA Sheet'!D:D=C774))/E774*9"),4.243288603544846)</f>
        <v>4.243288604</v>
      </c>
      <c r="H774" s="41">
        <v>0.482242991</v>
      </c>
      <c r="I774" s="41">
        <v>0.13271028</v>
      </c>
      <c r="J774" s="41">
        <v>0.385046729</v>
      </c>
      <c r="K774" s="41">
        <f t="shared" si="1"/>
        <v>0.097196262</v>
      </c>
      <c r="L774" s="42">
        <v>-2.42837079</v>
      </c>
      <c r="M774" s="45">
        <f>('Cy Young Rank'!O$1-G774)*E774/9</f>
        <v>-0.6497195654</v>
      </c>
      <c r="N774" s="42"/>
      <c r="O774" s="66"/>
      <c r="P774" s="42"/>
      <c r="Q774" s="67"/>
      <c r="R774" s="67"/>
    </row>
    <row r="775">
      <c r="A775" s="1" t="s">
        <v>281</v>
      </c>
      <c r="B775" s="38">
        <v>622663.0</v>
      </c>
      <c r="C775" s="44" t="s">
        <v>536</v>
      </c>
      <c r="D775" s="38">
        <v>543.0</v>
      </c>
      <c r="E775" s="39">
        <f>IFERROR(__xludf.DUMMYFUNCTION("sum(filter('PLA Sheet'!H:H,'PLA Sheet'!C:C=B775,'PLA Sheet'!D:D=C775))"),33.84420025)</f>
        <v>33.84420025</v>
      </c>
      <c r="F775" s="40">
        <v>4.878250554</v>
      </c>
      <c r="G775" s="40">
        <f>IFERROR(__xludf.DUMMYFUNCTION("sum(filter('PLA Sheet'!J:J,'PLA Sheet'!C:C=B775,'PLA Sheet'!D:D=C775))/E775*9"),3.9749332236030606)</f>
        <v>3.974933224</v>
      </c>
      <c r="H775" s="41">
        <v>0.443830571</v>
      </c>
      <c r="I775" s="41">
        <v>0.191528545</v>
      </c>
      <c r="J775" s="41">
        <v>0.364640884</v>
      </c>
      <c r="K775" s="41">
        <f t="shared" si="1"/>
        <v>0.079189687</v>
      </c>
      <c r="L775" s="42">
        <v>2.340286016</v>
      </c>
      <c r="M775" s="45">
        <f>('Cy Young Rank'!O$1-G775)*E775/9</f>
        <v>0.3198907794</v>
      </c>
      <c r="N775" s="42"/>
      <c r="O775" s="66"/>
      <c r="P775" s="42"/>
      <c r="Q775" s="67"/>
      <c r="R775" s="67"/>
    </row>
    <row r="776">
      <c r="A776" s="1" t="s">
        <v>290</v>
      </c>
      <c r="B776" s="38">
        <v>669461.0</v>
      </c>
      <c r="C776" s="44" t="s">
        <v>541</v>
      </c>
      <c r="D776" s="38">
        <v>371.0</v>
      </c>
      <c r="E776" s="39">
        <f>IFERROR(__xludf.DUMMYFUNCTION("sum(filter('PLA Sheet'!H:H,'PLA Sheet'!C:C=B776,'PLA Sheet'!D:D=C776))"),23.890518086)</f>
        <v>23.89051809</v>
      </c>
      <c r="F776" s="40">
        <v>4.877797045</v>
      </c>
      <c r="G776" s="40">
        <f>IFERROR(__xludf.DUMMYFUNCTION("sum(filter('PLA Sheet'!J:J,'PLA Sheet'!C:C=B776,'PLA Sheet'!D:D=C776))/E776*9"),3.4434323150240957)</f>
        <v>3.443432315</v>
      </c>
      <c r="H776" s="41">
        <v>0.436657682</v>
      </c>
      <c r="I776" s="41">
        <v>0.137466307</v>
      </c>
      <c r="J776" s="41">
        <v>0.425876011</v>
      </c>
      <c r="K776" s="41">
        <f t="shared" si="1"/>
        <v>0.010781671</v>
      </c>
      <c r="L776" s="42">
        <v>1.698385634</v>
      </c>
      <c r="M776" s="45">
        <f>('Cy Young Rank'!O$1-G776)*E776/9</f>
        <v>1.636680159</v>
      </c>
      <c r="N776" s="42"/>
      <c r="O776" s="66"/>
      <c r="P776" s="42"/>
      <c r="Q776" s="67"/>
      <c r="R776" s="67"/>
    </row>
    <row r="777">
      <c r="A777" s="1" t="s">
        <v>370</v>
      </c>
      <c r="B777" s="38">
        <v>666661.0</v>
      </c>
      <c r="C777" s="44" t="s">
        <v>537</v>
      </c>
      <c r="D777" s="38">
        <v>286.0</v>
      </c>
      <c r="E777" s="39">
        <f>IFERROR(__xludf.DUMMYFUNCTION("sum(filter('PLA Sheet'!H:H,'PLA Sheet'!C:C=B777,'PLA Sheet'!D:D=C777))"),16.248514316)</f>
        <v>16.24851432</v>
      </c>
      <c r="F777" s="40">
        <v>4.876293713</v>
      </c>
      <c r="G777" s="40">
        <f>IFERROR(__xludf.DUMMYFUNCTION("sum(filter('PLA Sheet'!J:J,'PLA Sheet'!C:C=B777,'PLA Sheet'!D:D=C777))/E777*9"),4.214255080082731)</f>
        <v>4.21425508</v>
      </c>
      <c r="H777" s="41">
        <v>0.482517483</v>
      </c>
      <c r="I777" s="41">
        <v>0.125874126</v>
      </c>
      <c r="J777" s="41">
        <v>0.391608392</v>
      </c>
      <c r="K777" s="41">
        <f t="shared" si="1"/>
        <v>0.090909091</v>
      </c>
      <c r="L777" s="42">
        <v>-2.601498407</v>
      </c>
      <c r="M777" s="45">
        <f>('Cy Young Rank'!O$1-G777)*E777/9</f>
        <v>-0.278490653</v>
      </c>
      <c r="N777" s="42"/>
      <c r="O777" s="66"/>
      <c r="P777" s="42"/>
      <c r="Q777" s="67"/>
      <c r="R777" s="67"/>
    </row>
    <row r="778">
      <c r="A778" s="1" t="s">
        <v>117</v>
      </c>
      <c r="B778" s="38">
        <v>596001.0</v>
      </c>
      <c r="C778" s="44" t="s">
        <v>536</v>
      </c>
      <c r="D778" s="38">
        <v>269.0</v>
      </c>
      <c r="E778" s="39">
        <f>IFERROR(__xludf.DUMMYFUNCTION("sum(filter('PLA Sheet'!H:H,'PLA Sheet'!C:C=B778,'PLA Sheet'!D:D=C778))"),17.911412863)</f>
        <v>17.91141286</v>
      </c>
      <c r="F778" s="40">
        <v>4.875212939</v>
      </c>
      <c r="G778" s="40">
        <f>IFERROR(__xludf.DUMMYFUNCTION("sum(filter('PLA Sheet'!J:J,'PLA Sheet'!C:C=B778,'PLA Sheet'!D:D=C778))/E778*9"),3.6365342308954176)</f>
        <v>3.636534231</v>
      </c>
      <c r="H778" s="41">
        <v>0.420074349</v>
      </c>
      <c r="I778" s="41">
        <v>0.219330855</v>
      </c>
      <c r="J778" s="41">
        <v>0.360594796</v>
      </c>
      <c r="K778" s="41">
        <f t="shared" si="1"/>
        <v>0.059479553</v>
      </c>
      <c r="L778" s="42">
        <v>0.412200505</v>
      </c>
      <c r="M778" s="45">
        <f>('Cy Young Rank'!O$1-G778)*E778/9</f>
        <v>0.8427633582</v>
      </c>
      <c r="N778" s="42"/>
      <c r="O778" s="66"/>
      <c r="P778" s="42"/>
      <c r="Q778" s="67"/>
      <c r="R778" s="67"/>
    </row>
    <row r="779">
      <c r="A779" s="1" t="s">
        <v>507</v>
      </c>
      <c r="B779" s="38">
        <v>669371.0</v>
      </c>
      <c r="C779" s="44" t="s">
        <v>537</v>
      </c>
      <c r="D779" s="38">
        <v>480.0</v>
      </c>
      <c r="E779" s="39">
        <f>IFERROR(__xludf.DUMMYFUNCTION("sum(filter('PLA Sheet'!H:H,'PLA Sheet'!C:C=B779,'PLA Sheet'!D:D=C779))"),26.98757764)</f>
        <v>26.98757764</v>
      </c>
      <c r="F779" s="40">
        <v>4.875174562</v>
      </c>
      <c r="G779" s="40">
        <f>IFERROR(__xludf.DUMMYFUNCTION("sum(filter('PLA Sheet'!J:J,'PLA Sheet'!C:C=B779,'PLA Sheet'!D:D=C779))/E779*9"),4.362524475909205)</f>
        <v>4.362524476</v>
      </c>
      <c r="H779" s="41">
        <v>0.49375</v>
      </c>
      <c r="I779" s="41">
        <v>0.13125</v>
      </c>
      <c r="J779" s="41">
        <v>0.375</v>
      </c>
      <c r="K779" s="41">
        <f t="shared" si="1"/>
        <v>0.11875</v>
      </c>
      <c r="L779" s="42">
        <v>2.703887237</v>
      </c>
      <c r="M779" s="45">
        <f>('Cy Young Rank'!O$1-G779)*E779/9</f>
        <v>-0.9071558646</v>
      </c>
      <c r="N779" s="42"/>
      <c r="O779" s="66"/>
      <c r="P779" s="42"/>
      <c r="Q779" s="67"/>
      <c r="R779" s="67"/>
    </row>
    <row r="780">
      <c r="A780" s="1" t="s">
        <v>48</v>
      </c>
      <c r="B780" s="38">
        <v>552640.0</v>
      </c>
      <c r="C780" s="44" t="s">
        <v>536</v>
      </c>
      <c r="D780" s="38">
        <v>267.0</v>
      </c>
      <c r="E780" s="39">
        <f>IFERROR(__xludf.DUMMYFUNCTION("sum(filter('PLA Sheet'!H:H,'PLA Sheet'!C:C=B780,'PLA Sheet'!D:D=C780))"),18.908854167)</f>
        <v>18.90885417</v>
      </c>
      <c r="F780" s="40">
        <v>4.875111836</v>
      </c>
      <c r="G780" s="40">
        <f>IFERROR(__xludf.DUMMYFUNCTION("sum(filter('PLA Sheet'!J:J,'PLA Sheet'!C:C=B780,'PLA Sheet'!D:D=C780))/E780*9"),3.3016684907832787)</f>
        <v>3.301668491</v>
      </c>
      <c r="H780" s="41">
        <v>0.415730337</v>
      </c>
      <c r="I780" s="41">
        <v>0.217228464</v>
      </c>
      <c r="J780" s="41">
        <v>0.367041199</v>
      </c>
      <c r="K780" s="41">
        <f t="shared" si="1"/>
        <v>0.048689138</v>
      </c>
      <c r="L780" s="42">
        <v>7.759888057</v>
      </c>
      <c r="M780" s="45">
        <f>('Cy Young Rank'!O$1-G780)*E780/9</f>
        <v>1.593242213</v>
      </c>
      <c r="N780" s="42"/>
      <c r="O780" s="66"/>
      <c r="P780" s="42"/>
      <c r="Q780" s="67"/>
      <c r="R780" s="67"/>
    </row>
    <row r="781">
      <c r="A781" s="1" t="s">
        <v>521</v>
      </c>
      <c r="B781" s="38">
        <v>686799.0</v>
      </c>
      <c r="C781" s="44" t="s">
        <v>532</v>
      </c>
      <c r="D781" s="38">
        <v>256.0</v>
      </c>
      <c r="E781" s="39">
        <f>IFERROR(__xludf.DUMMYFUNCTION("sum(filter('PLA Sheet'!H:H,'PLA Sheet'!C:C=B781,'PLA Sheet'!D:D=C781))"),15.703604090999999)</f>
        <v>15.70360409</v>
      </c>
      <c r="F781" s="40">
        <v>4.873883814</v>
      </c>
      <c r="G781" s="40">
        <f>IFERROR(__xludf.DUMMYFUNCTION("sum(filter('PLA Sheet'!J:J,'PLA Sheet'!C:C=B781,'PLA Sheet'!D:D=C781))/E781*9"),3.686869820742732)</f>
        <v>3.686869821</v>
      </c>
      <c r="H781" s="41">
        <v>0.421875</v>
      </c>
      <c r="I781" s="41">
        <v>0.19921875</v>
      </c>
      <c r="J781" s="41">
        <v>0.37890625</v>
      </c>
      <c r="K781" s="41">
        <f t="shared" si="1"/>
        <v>0.04296875</v>
      </c>
      <c r="L781" s="42">
        <v>-0.448673819</v>
      </c>
      <c r="M781" s="45">
        <f>('Cy Young Rank'!O$1-G781)*E781/9</f>
        <v>0.6510542899</v>
      </c>
      <c r="N781" s="42"/>
      <c r="O781" s="66"/>
      <c r="P781" s="42"/>
      <c r="Q781" s="67"/>
      <c r="R781" s="67"/>
    </row>
    <row r="782">
      <c r="A782" s="1" t="s">
        <v>133</v>
      </c>
      <c r="B782" s="38">
        <v>663978.0</v>
      </c>
      <c r="C782" s="44" t="s">
        <v>541</v>
      </c>
      <c r="D782" s="38">
        <v>292.0</v>
      </c>
      <c r="E782" s="39">
        <f>IFERROR(__xludf.DUMMYFUNCTION("sum(filter('PLA Sheet'!H:H,'PLA Sheet'!C:C=B782,'PLA Sheet'!D:D=C782))"),18.740538432)</f>
        <v>18.74053843</v>
      </c>
      <c r="F782" s="40">
        <v>4.873236237</v>
      </c>
      <c r="G782" s="40">
        <f>IFERROR(__xludf.DUMMYFUNCTION("sum(filter('PLA Sheet'!J:J,'PLA Sheet'!C:C=B782,'PLA Sheet'!D:D=C782))/E782*9"),3.8113102918130712)</f>
        <v>3.811310292</v>
      </c>
      <c r="H782" s="41">
        <v>0.417808219</v>
      </c>
      <c r="I782" s="41">
        <v>0.181506849</v>
      </c>
      <c r="J782" s="41">
        <v>0.400684932</v>
      </c>
      <c r="K782" s="41">
        <f t="shared" si="1"/>
        <v>0.017123287</v>
      </c>
      <c r="L782" s="42">
        <v>-3.268276082</v>
      </c>
      <c r="M782" s="45">
        <f>('Cy Young Rank'!O$1-G782)*E782/9</f>
        <v>0.5178421149</v>
      </c>
      <c r="N782" s="42"/>
      <c r="O782" s="66"/>
      <c r="P782" s="42"/>
      <c r="Q782" s="67"/>
      <c r="R782" s="67"/>
    </row>
    <row r="783">
      <c r="A783" s="1" t="s">
        <v>217</v>
      </c>
      <c r="B783" s="38">
        <v>642701.0</v>
      </c>
      <c r="C783" s="44" t="s">
        <v>537</v>
      </c>
      <c r="D783" s="38">
        <v>274.0</v>
      </c>
      <c r="E783" s="39">
        <f>IFERROR(__xludf.DUMMYFUNCTION("sum(filter('PLA Sheet'!H:H,'PLA Sheet'!C:C=B783,'PLA Sheet'!D:D=C783))"),20.165501164)</f>
        <v>20.16550116</v>
      </c>
      <c r="F783" s="40">
        <v>4.872105001</v>
      </c>
      <c r="G783" s="40">
        <f>IFERROR(__xludf.DUMMYFUNCTION("sum(filter('PLA Sheet'!J:J,'PLA Sheet'!C:C=B783,'PLA Sheet'!D:D=C783))/E783*9"),3.7134665977796177)</f>
        <v>3.713466598</v>
      </c>
      <c r="H783" s="41">
        <v>0.448905109</v>
      </c>
      <c r="I783" s="41">
        <v>0.182481752</v>
      </c>
      <c r="J783" s="41">
        <v>0.368613139</v>
      </c>
      <c r="K783" s="41">
        <f t="shared" si="1"/>
        <v>0.08029197</v>
      </c>
      <c r="L783" s="42">
        <v>6.652967354</v>
      </c>
      <c r="M783" s="45">
        <f>('Cy Young Rank'!O$1-G783)*E783/9</f>
        <v>0.7764466362</v>
      </c>
      <c r="N783" s="42"/>
      <c r="O783" s="66"/>
      <c r="P783" s="42"/>
      <c r="Q783" s="67"/>
      <c r="R783" s="67"/>
    </row>
    <row r="784">
      <c r="A784" s="1" t="s">
        <v>67</v>
      </c>
      <c r="B784" s="38">
        <v>684007.0</v>
      </c>
      <c r="C784" s="44" t="s">
        <v>538</v>
      </c>
      <c r="D784" s="38">
        <v>665.0</v>
      </c>
      <c r="E784" s="39">
        <f>IFERROR(__xludf.DUMMYFUNCTION("sum(filter('PLA Sheet'!H:H,'PLA Sheet'!C:C=B784,'PLA Sheet'!D:D=C784))"),45.18337933)</f>
        <v>45.18337933</v>
      </c>
      <c r="F784" s="40">
        <v>4.871929758</v>
      </c>
      <c r="G784" s="40">
        <f>IFERROR(__xludf.DUMMYFUNCTION("sum(filter('PLA Sheet'!J:J,'PLA Sheet'!C:C=B784,'PLA Sheet'!D:D=C784))/E784*9"),3.345031076496951)</f>
        <v>3.345031076</v>
      </c>
      <c r="H784" s="41">
        <v>0.368421053</v>
      </c>
      <c r="I784" s="41">
        <v>0.242105263</v>
      </c>
      <c r="J784" s="41">
        <v>0.389473684</v>
      </c>
      <c r="K784" s="41">
        <f t="shared" si="1"/>
        <v>-0.021052631</v>
      </c>
      <c r="L784" s="42">
        <v>9.072498655</v>
      </c>
      <c r="M784" s="45">
        <f>('Cy Young Rank'!O$1-G784)*E784/9</f>
        <v>3.589412453</v>
      </c>
      <c r="N784" s="42"/>
      <c r="O784" s="66"/>
      <c r="P784" s="42"/>
      <c r="Q784" s="67"/>
      <c r="R784" s="67"/>
    </row>
    <row r="785">
      <c r="A785" s="1" t="s">
        <v>208</v>
      </c>
      <c r="B785" s="38">
        <v>605447.0</v>
      </c>
      <c r="C785" s="44" t="s">
        <v>537</v>
      </c>
      <c r="D785" s="38">
        <v>254.0</v>
      </c>
      <c r="E785" s="39">
        <f>IFERROR(__xludf.DUMMYFUNCTION("sum(filter('PLA Sheet'!H:H,'PLA Sheet'!C:C=B785,'PLA Sheet'!D:D=C785))"),15.703281027)</f>
        <v>15.70328103</v>
      </c>
      <c r="F785" s="40">
        <v>4.869008766</v>
      </c>
      <c r="G785" s="40">
        <f>IFERROR(__xludf.DUMMYFUNCTION("sum(filter('PLA Sheet'!J:J,'PLA Sheet'!C:C=B785,'PLA Sheet'!D:D=C785))/E785*9"),3.8193882473908807)</f>
        <v>3.819388247</v>
      </c>
      <c r="H785" s="41">
        <v>0.472440945</v>
      </c>
      <c r="I785" s="41">
        <v>0.157480315</v>
      </c>
      <c r="J785" s="41">
        <v>0.37007874</v>
      </c>
      <c r="K785" s="41">
        <f t="shared" si="1"/>
        <v>0.102362205</v>
      </c>
      <c r="L785" s="42">
        <v>-2.805143889</v>
      </c>
      <c r="M785" s="45">
        <f>('Cy Young Rank'!O$1-G785)*E785/9</f>
        <v>0.4198215522</v>
      </c>
      <c r="N785" s="42"/>
      <c r="O785" s="66"/>
      <c r="P785" s="42"/>
      <c r="Q785" s="67"/>
      <c r="R785" s="67"/>
    </row>
    <row r="786">
      <c r="A786" s="1" t="s">
        <v>179</v>
      </c>
      <c r="B786" s="38">
        <v>663568.0</v>
      </c>
      <c r="C786" s="44" t="s">
        <v>536</v>
      </c>
      <c r="D786" s="38">
        <v>375.0</v>
      </c>
      <c r="E786" s="39">
        <f>IFERROR(__xludf.DUMMYFUNCTION("sum(filter('PLA Sheet'!H:H,'PLA Sheet'!C:C=B786,'PLA Sheet'!D:D=C786))"),27.351781966)</f>
        <v>27.35178197</v>
      </c>
      <c r="F786" s="40">
        <v>4.868950074</v>
      </c>
      <c r="G786" s="40">
        <f>IFERROR(__xludf.DUMMYFUNCTION("sum(filter('PLA Sheet'!J:J,'PLA Sheet'!C:C=B786,'PLA Sheet'!D:D=C786))/E786*9"),3.2898776435062196)</f>
        <v>3.289877644</v>
      </c>
      <c r="H786" s="41">
        <v>0.469333333</v>
      </c>
      <c r="I786" s="41">
        <v>0.157333333</v>
      </c>
      <c r="J786" s="41">
        <v>0.373333333</v>
      </c>
      <c r="K786" s="41">
        <f t="shared" si="1"/>
        <v>0.096</v>
      </c>
      <c r="L786" s="42">
        <v>1.911183217</v>
      </c>
      <c r="M786" s="45">
        <f>('Cy Young Rank'!O$1-G786)*E786/9</f>
        <v>2.340468754</v>
      </c>
      <c r="N786" s="42"/>
      <c r="O786" s="66"/>
      <c r="P786" s="42"/>
      <c r="Q786" s="67"/>
      <c r="R786" s="67"/>
    </row>
    <row r="787">
      <c r="A787" s="1" t="s">
        <v>287</v>
      </c>
      <c r="B787" s="38">
        <v>571945.0</v>
      </c>
      <c r="C787" s="44" t="s">
        <v>541</v>
      </c>
      <c r="D787" s="38">
        <v>425.0</v>
      </c>
      <c r="E787" s="39">
        <f>IFERROR(__xludf.DUMMYFUNCTION("sum(filter('PLA Sheet'!H:H,'PLA Sheet'!C:C=B787,'PLA Sheet'!D:D=C787))"),27.451201500000003)</f>
        <v>27.4512015</v>
      </c>
      <c r="F787" s="40">
        <v>4.863406191</v>
      </c>
      <c r="G787" s="40">
        <f>IFERROR(__xludf.DUMMYFUNCTION("sum(filter('PLA Sheet'!J:J,'PLA Sheet'!C:C=B787,'PLA Sheet'!D:D=C787))/E787*9"),3.6282188959925854)</f>
        <v>3.628218896</v>
      </c>
      <c r="H787" s="41">
        <v>0.416470588</v>
      </c>
      <c r="I787" s="41">
        <v>0.176470588</v>
      </c>
      <c r="J787" s="41">
        <v>0.407058824</v>
      </c>
      <c r="K787" s="41">
        <f t="shared" si="1"/>
        <v>0.009411764</v>
      </c>
      <c r="L787" s="42">
        <v>1.384085252</v>
      </c>
      <c r="M787" s="45">
        <f>('Cy Young Rank'!O$1-G787)*E787/9</f>
        <v>1.31699001</v>
      </c>
      <c r="N787" s="42"/>
      <c r="O787" s="66"/>
      <c r="P787" s="42"/>
      <c r="Q787" s="67"/>
      <c r="R787" s="67"/>
    </row>
    <row r="788">
      <c r="A788" s="1" t="s">
        <v>180</v>
      </c>
      <c r="B788" s="38">
        <v>642547.0</v>
      </c>
      <c r="C788" s="44" t="s">
        <v>532</v>
      </c>
      <c r="D788" s="38">
        <v>643.0</v>
      </c>
      <c r="E788" s="39">
        <f>IFERROR(__xludf.DUMMYFUNCTION("sum(filter('PLA Sheet'!H:H,'PLA Sheet'!C:C=B788,'PLA Sheet'!D:D=C788))"),37.50945435)</f>
        <v>37.50945435</v>
      </c>
      <c r="F788" s="40">
        <v>4.863345868</v>
      </c>
      <c r="G788" s="40">
        <f>IFERROR(__xludf.DUMMYFUNCTION("sum(filter('PLA Sheet'!J:J,'PLA Sheet'!C:C=B788,'PLA Sheet'!D:D=C788))/E788*9"),3.930045732590083)</f>
        <v>3.930045733</v>
      </c>
      <c r="H788" s="41">
        <v>0.421461897</v>
      </c>
      <c r="I788" s="41">
        <v>0.172628305</v>
      </c>
      <c r="J788" s="41">
        <v>0.405909798</v>
      </c>
      <c r="K788" s="41">
        <f t="shared" si="1"/>
        <v>0.015552099</v>
      </c>
      <c r="L788" s="42">
        <v>11.12292434</v>
      </c>
      <c r="M788" s="45">
        <f>('Cy Young Rank'!O$1-G788)*E788/9</f>
        <v>0.541612629</v>
      </c>
      <c r="N788" s="42"/>
      <c r="O788" s="66"/>
      <c r="P788" s="42"/>
      <c r="Q788" s="67"/>
      <c r="R788" s="67"/>
    </row>
    <row r="789">
      <c r="A789" s="1" t="s">
        <v>496</v>
      </c>
      <c r="B789" s="38">
        <v>694477.0</v>
      </c>
      <c r="C789" s="44" t="s">
        <v>536</v>
      </c>
      <c r="D789" s="38">
        <v>462.0</v>
      </c>
      <c r="E789" s="39">
        <f>IFERROR(__xludf.DUMMYFUNCTION("sum(filter('PLA Sheet'!H:H,'PLA Sheet'!C:C=B789,'PLA Sheet'!D:D=C789))"),28.279436150000002)</f>
        <v>28.27943615</v>
      </c>
      <c r="F789" s="40">
        <v>4.862123522</v>
      </c>
      <c r="G789" s="40">
        <f>IFERROR(__xludf.DUMMYFUNCTION("sum(filter('PLA Sheet'!J:J,'PLA Sheet'!C:C=B789,'PLA Sheet'!D:D=C789))/E789*9"),4.012908545915262)</f>
        <v>4.012908546</v>
      </c>
      <c r="H789" s="41">
        <v>0.471861472</v>
      </c>
      <c r="I789" s="41">
        <v>0.158008658</v>
      </c>
      <c r="J789" s="41">
        <v>0.37012987</v>
      </c>
      <c r="K789" s="41">
        <f t="shared" si="1"/>
        <v>0.101731602</v>
      </c>
      <c r="L789" s="42">
        <v>7.697534276</v>
      </c>
      <c r="M789" s="45">
        <f>('Cy Young Rank'!O$1-G789)*E789/9</f>
        <v>0.1479688632</v>
      </c>
      <c r="N789" s="42"/>
      <c r="O789" s="66"/>
      <c r="P789" s="42"/>
      <c r="Q789" s="67"/>
      <c r="R789" s="67"/>
    </row>
    <row r="790">
      <c r="A790" s="1" t="s">
        <v>268</v>
      </c>
      <c r="B790" s="38">
        <v>676395.0</v>
      </c>
      <c r="C790" s="44" t="s">
        <v>537</v>
      </c>
      <c r="D790" s="38">
        <v>431.0</v>
      </c>
      <c r="E790" s="39">
        <f>IFERROR(__xludf.DUMMYFUNCTION("sum(filter('PLA Sheet'!H:H,'PLA Sheet'!C:C=B790,'PLA Sheet'!D:D=C790))"),28.671472710000003)</f>
        <v>28.67147271</v>
      </c>
      <c r="F790" s="40">
        <v>4.861612846</v>
      </c>
      <c r="G790" s="40">
        <f>IFERROR(__xludf.DUMMYFUNCTION("sum(filter('PLA Sheet'!J:J,'PLA Sheet'!C:C=B790,'PLA Sheet'!D:D=C790))/E790*9"),3.8509929056239254)</f>
        <v>3.850992906</v>
      </c>
      <c r="H790" s="41">
        <v>0.438515081</v>
      </c>
      <c r="I790" s="41">
        <v>0.187935035</v>
      </c>
      <c r="J790" s="41">
        <v>0.373549884</v>
      </c>
      <c r="K790" s="41">
        <f t="shared" si="1"/>
        <v>0.064965197</v>
      </c>
      <c r="L790" s="42">
        <v>5.848321659</v>
      </c>
      <c r="M790" s="45">
        <f>('Cy Young Rank'!O$1-G790)*E790/9</f>
        <v>0.6658379114</v>
      </c>
      <c r="N790" s="42"/>
      <c r="O790" s="66"/>
      <c r="P790" s="42"/>
      <c r="Q790" s="67"/>
      <c r="R790" s="67"/>
    </row>
    <row r="791">
      <c r="A791" s="1" t="s">
        <v>507</v>
      </c>
      <c r="B791" s="38">
        <v>669371.0</v>
      </c>
      <c r="C791" s="44" t="s">
        <v>541</v>
      </c>
      <c r="D791" s="38">
        <v>301.0</v>
      </c>
      <c r="E791" s="39">
        <f>IFERROR(__xludf.DUMMYFUNCTION("sum(filter('PLA Sheet'!H:H,'PLA Sheet'!C:C=B791,'PLA Sheet'!D:D=C791))"),17.282953765000002)</f>
        <v>17.28295377</v>
      </c>
      <c r="F791" s="40">
        <v>4.861385644</v>
      </c>
      <c r="G791" s="40">
        <f>IFERROR(__xludf.DUMMYFUNCTION("sum(filter('PLA Sheet'!J:J,'PLA Sheet'!C:C=B791,'PLA Sheet'!D:D=C791))/E791*9"),4.227248767392626)</f>
        <v>4.227248767</v>
      </c>
      <c r="H791" s="41">
        <v>0.465116279</v>
      </c>
      <c r="I791" s="41">
        <v>0.149501661</v>
      </c>
      <c r="J791" s="41">
        <v>0.38538206</v>
      </c>
      <c r="K791" s="41">
        <f t="shared" si="1"/>
        <v>0.079734219</v>
      </c>
      <c r="L791" s="42">
        <v>0.247165422</v>
      </c>
      <c r="M791" s="45">
        <f>('Cy Young Rank'!O$1-G791)*E791/9</f>
        <v>-0.3211725238</v>
      </c>
      <c r="N791" s="42"/>
      <c r="O791" s="66"/>
      <c r="P791" s="42"/>
      <c r="Q791" s="67"/>
      <c r="R791" s="67"/>
    </row>
    <row r="792">
      <c r="A792" s="1" t="s">
        <v>411</v>
      </c>
      <c r="B792" s="38">
        <v>605288.0</v>
      </c>
      <c r="C792" s="44" t="s">
        <v>532</v>
      </c>
      <c r="D792" s="38">
        <v>279.0</v>
      </c>
      <c r="E792" s="39">
        <f>IFERROR(__xludf.DUMMYFUNCTION("sum(filter('PLA Sheet'!H:H,'PLA Sheet'!C:C=B792,'PLA Sheet'!D:D=C792))"),19.093551793)</f>
        <v>19.09355179</v>
      </c>
      <c r="F792" s="40">
        <v>4.860896499</v>
      </c>
      <c r="G792" s="40">
        <f>IFERROR(__xludf.DUMMYFUNCTION("sum(filter('PLA Sheet'!J:J,'PLA Sheet'!C:C=B792,'PLA Sheet'!D:D=C792))/E792*9"),3.5831380531872528)</f>
        <v>3.583138053</v>
      </c>
      <c r="H792" s="41">
        <v>0.426523297</v>
      </c>
      <c r="I792" s="41">
        <v>0.211469534</v>
      </c>
      <c r="J792" s="41">
        <v>0.362007168</v>
      </c>
      <c r="K792" s="41">
        <f t="shared" si="1"/>
        <v>0.064516129</v>
      </c>
      <c r="L792" s="42">
        <v>-2.408714768</v>
      </c>
      <c r="M792" s="45">
        <f>('Cy Young Rank'!O$1-G792)*E792/9</f>
        <v>1.011665364</v>
      </c>
      <c r="N792" s="42"/>
      <c r="O792" s="66"/>
      <c r="P792" s="42"/>
      <c r="Q792" s="67"/>
      <c r="R792" s="67"/>
    </row>
    <row r="793">
      <c r="A793" s="1" t="s">
        <v>313</v>
      </c>
      <c r="B793" s="38">
        <v>607067.0</v>
      </c>
      <c r="C793" s="44" t="s">
        <v>538</v>
      </c>
      <c r="D793" s="38">
        <v>298.0</v>
      </c>
      <c r="E793" s="39">
        <f>IFERROR(__xludf.DUMMYFUNCTION("sum(filter('PLA Sheet'!H:H,'PLA Sheet'!C:C=B793,'PLA Sheet'!D:D=C793))"),19.24832215)</f>
        <v>19.24832215</v>
      </c>
      <c r="F793" s="40">
        <v>4.860075378</v>
      </c>
      <c r="G793" s="40">
        <f>IFERROR(__xludf.DUMMYFUNCTION("sum(filter('PLA Sheet'!J:J,'PLA Sheet'!C:C=B793,'PLA Sheet'!D:D=C793))/E793*9"),3.5925212317791555)</f>
        <v>3.592521232</v>
      </c>
      <c r="H793" s="41">
        <v>0.412751678</v>
      </c>
      <c r="I793" s="41">
        <v>0.224832215</v>
      </c>
      <c r="J793" s="41">
        <v>0.362416107</v>
      </c>
      <c r="K793" s="41">
        <f t="shared" si="1"/>
        <v>0.050335571</v>
      </c>
      <c r="L793" s="42">
        <v>-2.479858494</v>
      </c>
      <c r="M793" s="45">
        <f>('Cy Young Rank'!O$1-G793)*E793/9</f>
        <v>0.9997979921</v>
      </c>
      <c r="N793" s="42"/>
      <c r="O793" s="66"/>
      <c r="P793" s="42"/>
      <c r="Q793" s="67"/>
      <c r="R793" s="67"/>
    </row>
    <row r="794">
      <c r="A794" s="1" t="s">
        <v>163</v>
      </c>
      <c r="B794" s="38">
        <v>663460.0</v>
      </c>
      <c r="C794" s="44" t="s">
        <v>532</v>
      </c>
      <c r="D794" s="38">
        <v>372.0</v>
      </c>
      <c r="E794" s="39">
        <f>IFERROR(__xludf.DUMMYFUNCTION("sum(filter('PLA Sheet'!H:H,'PLA Sheet'!C:C=B794,'PLA Sheet'!D:D=C794))"),24.498050137)</f>
        <v>24.49805014</v>
      </c>
      <c r="F794" s="40">
        <v>4.859343434</v>
      </c>
      <c r="G794" s="40">
        <f>IFERROR(__xludf.DUMMYFUNCTION("sum(filter('PLA Sheet'!J:J,'PLA Sheet'!C:C=B794,'PLA Sheet'!D:D=C794))/E794*9"),3.614883490921154)</f>
        <v>3.614883491</v>
      </c>
      <c r="H794" s="41">
        <v>0.411290323</v>
      </c>
      <c r="I794" s="41">
        <v>0.22311828</v>
      </c>
      <c r="J794" s="41">
        <v>0.365591398</v>
      </c>
      <c r="K794" s="41">
        <f t="shared" si="1"/>
        <v>0.045698925</v>
      </c>
      <c r="L794" s="42">
        <v>6.698242163</v>
      </c>
      <c r="M794" s="45">
        <f>('Cy Young Rank'!O$1-G794)*E794/9</f>
        <v>1.211609617</v>
      </c>
      <c r="N794" s="42"/>
      <c r="O794" s="66"/>
      <c r="P794" s="42"/>
      <c r="Q794" s="67"/>
      <c r="R794" s="67"/>
    </row>
    <row r="795">
      <c r="A795" s="1" t="s">
        <v>308</v>
      </c>
      <c r="B795" s="38">
        <v>676440.0</v>
      </c>
      <c r="C795" s="44" t="s">
        <v>536</v>
      </c>
      <c r="D795" s="38">
        <v>459.0</v>
      </c>
      <c r="E795" s="39">
        <f>IFERROR(__xludf.DUMMYFUNCTION("sum(filter('PLA Sheet'!H:H,'PLA Sheet'!C:C=B795,'PLA Sheet'!D:D=C795))"),28.618165491)</f>
        <v>28.61816549</v>
      </c>
      <c r="F795" s="40">
        <v>4.857437745</v>
      </c>
      <c r="G795" s="40">
        <f>IFERROR(__xludf.DUMMYFUNCTION("sum(filter('PLA Sheet'!J:J,'PLA Sheet'!C:C=B795,'PLA Sheet'!D:D=C795))/E795*9"),3.7536060106222546)</f>
        <v>3.753606011</v>
      </c>
      <c r="H795" s="41">
        <v>0.424836601</v>
      </c>
      <c r="I795" s="41">
        <v>0.17211329</v>
      </c>
      <c r="J795" s="41">
        <v>0.403050109</v>
      </c>
      <c r="K795" s="41">
        <f t="shared" si="1"/>
        <v>0.021786492</v>
      </c>
      <c r="L795" s="42">
        <v>4.290384698</v>
      </c>
      <c r="M795" s="45">
        <f>('Cy Young Rank'!O$1-G795)*E795/9</f>
        <v>0.9742704326</v>
      </c>
      <c r="N795" s="42"/>
      <c r="O795" s="66"/>
      <c r="P795" s="42"/>
      <c r="Q795" s="67"/>
      <c r="R795" s="67"/>
    </row>
    <row r="796">
      <c r="A796" s="1" t="s">
        <v>95</v>
      </c>
      <c r="B796" s="38">
        <v>543243.0</v>
      </c>
      <c r="C796" s="44" t="s">
        <v>536</v>
      </c>
      <c r="D796" s="38">
        <v>455.0</v>
      </c>
      <c r="E796" s="39">
        <f>IFERROR(__xludf.DUMMYFUNCTION("sum(filter('PLA Sheet'!H:H,'PLA Sheet'!C:C=B796,'PLA Sheet'!D:D=C796))"),31.397152673)</f>
        <v>31.39715267</v>
      </c>
      <c r="F796" s="40">
        <v>4.856954345</v>
      </c>
      <c r="G796" s="40">
        <f>IFERROR(__xludf.DUMMYFUNCTION("sum(filter('PLA Sheet'!J:J,'PLA Sheet'!C:C=B796,'PLA Sheet'!D:D=C796))/E796*9"),3.6268823222917863)</f>
        <v>3.626882322</v>
      </c>
      <c r="H796" s="41">
        <v>0.4</v>
      </c>
      <c r="I796" s="41">
        <v>0.206593407</v>
      </c>
      <c r="J796" s="41">
        <v>0.393406593</v>
      </c>
      <c r="K796" s="41">
        <f t="shared" si="1"/>
        <v>0.006593407</v>
      </c>
      <c r="L796" s="42">
        <v>-0.923518395</v>
      </c>
      <c r="M796" s="45">
        <f>('Cy Young Rank'!O$1-G796)*E796/9</f>
        <v>1.510962428</v>
      </c>
      <c r="N796" s="42"/>
      <c r="O796" s="66"/>
      <c r="P796" s="42"/>
      <c r="Q796" s="67"/>
      <c r="R796" s="67"/>
    </row>
    <row r="797">
      <c r="A797" s="1" t="s">
        <v>466</v>
      </c>
      <c r="B797" s="38">
        <v>687134.0</v>
      </c>
      <c r="C797" s="44" t="s">
        <v>537</v>
      </c>
      <c r="D797" s="38">
        <v>466.0</v>
      </c>
      <c r="E797" s="39">
        <f>IFERROR(__xludf.DUMMYFUNCTION("sum(filter('PLA Sheet'!H:H,'PLA Sheet'!C:C=B797,'PLA Sheet'!D:D=C797))"),27.26040658)</f>
        <v>27.26040658</v>
      </c>
      <c r="F797" s="40">
        <v>4.856837908</v>
      </c>
      <c r="G797" s="40">
        <f>IFERROR(__xludf.DUMMYFUNCTION("sum(filter('PLA Sheet'!J:J,'PLA Sheet'!C:C=B797,'PLA Sheet'!D:D=C797))/E797*9"),4.274650660767951)</f>
        <v>4.274650661</v>
      </c>
      <c r="H797" s="41">
        <v>0.4527897</v>
      </c>
      <c r="I797" s="41">
        <v>0.193133047</v>
      </c>
      <c r="J797" s="41">
        <v>0.354077253</v>
      </c>
      <c r="K797" s="41">
        <f t="shared" si="1"/>
        <v>0.098712447</v>
      </c>
      <c r="L797" s="42">
        <v>-16.57819412</v>
      </c>
      <c r="M797" s="45">
        <f>('Cy Young Rank'!O$1-G797)*E797/9</f>
        <v>-0.6501626984</v>
      </c>
      <c r="N797" s="42"/>
      <c r="O797" s="66"/>
      <c r="P797" s="42"/>
      <c r="Q797" s="67"/>
      <c r="R797" s="67"/>
    </row>
    <row r="798">
      <c r="A798" s="1" t="s">
        <v>423</v>
      </c>
      <c r="B798" s="38">
        <v>656605.0</v>
      </c>
      <c r="C798" s="44" t="s">
        <v>537</v>
      </c>
      <c r="D798" s="38">
        <v>1032.0</v>
      </c>
      <c r="E798" s="39">
        <f>IFERROR(__xludf.DUMMYFUNCTION("sum(filter('PLA Sheet'!H:H,'PLA Sheet'!C:C=B798,'PLA Sheet'!D:D=C798))"),65.11052998)</f>
        <v>65.11052998</v>
      </c>
      <c r="F798" s="40">
        <v>4.856490634</v>
      </c>
      <c r="G798" s="40">
        <f>IFERROR(__xludf.DUMMYFUNCTION("sum(filter('PLA Sheet'!J:J,'PLA Sheet'!C:C=B798,'PLA Sheet'!D:D=C798))/E798*9"),4.1092838912874114)</f>
        <v>4.109283891</v>
      </c>
      <c r="H798" s="41">
        <v>0.423449612</v>
      </c>
      <c r="I798" s="41">
        <v>0.197674419</v>
      </c>
      <c r="J798" s="41">
        <v>0.378875969</v>
      </c>
      <c r="K798" s="41">
        <f t="shared" si="1"/>
        <v>0.044573643</v>
      </c>
      <c r="L798" s="42">
        <v>8.937513954</v>
      </c>
      <c r="M798" s="45">
        <f>('Cy Young Rank'!O$1-G798)*E798/9</f>
        <v>-0.3565444757</v>
      </c>
      <c r="N798" s="42"/>
      <c r="O798" s="66"/>
      <c r="P798" s="42"/>
      <c r="Q798" s="67"/>
      <c r="R798" s="67"/>
    </row>
    <row r="799">
      <c r="A799" s="1" t="s">
        <v>474</v>
      </c>
      <c r="B799" s="38">
        <v>450203.0</v>
      </c>
      <c r="C799" s="44" t="s">
        <v>536</v>
      </c>
      <c r="D799" s="38">
        <v>374.0</v>
      </c>
      <c r="E799" s="39">
        <f>IFERROR(__xludf.DUMMYFUNCTION("sum(filter('PLA Sheet'!H:H,'PLA Sheet'!C:C=B799,'PLA Sheet'!D:D=C799))"),21.39496459)</f>
        <v>21.39496459</v>
      </c>
      <c r="F799" s="40">
        <v>4.855305928</v>
      </c>
      <c r="G799" s="40">
        <f>IFERROR(__xludf.DUMMYFUNCTION("sum(filter('PLA Sheet'!J:J,'PLA Sheet'!C:C=B799,'PLA Sheet'!D:D=C799))/E799*9"),4.041953172496464)</f>
        <v>4.041953172</v>
      </c>
      <c r="H799" s="41">
        <v>0.483957219</v>
      </c>
      <c r="I799" s="41">
        <v>0.147058824</v>
      </c>
      <c r="J799" s="41">
        <v>0.368983957</v>
      </c>
      <c r="K799" s="41">
        <f t="shared" si="1"/>
        <v>0.114973262</v>
      </c>
      <c r="L799" s="42">
        <v>-3.064024786</v>
      </c>
      <c r="M799" s="45">
        <f>('Cy Young Rank'!O$1-G799)*E799/9</f>
        <v>0.04290124838</v>
      </c>
      <c r="N799" s="42"/>
      <c r="O799" s="66"/>
      <c r="P799" s="42"/>
      <c r="Q799" s="67"/>
      <c r="R799" s="67"/>
    </row>
    <row r="800">
      <c r="A800" s="1" t="s">
        <v>498</v>
      </c>
      <c r="B800" s="38">
        <v>688158.0</v>
      </c>
      <c r="C800" s="44" t="s">
        <v>537</v>
      </c>
      <c r="D800" s="38">
        <v>280.0</v>
      </c>
      <c r="E800" s="39">
        <f>IFERROR(__xludf.DUMMYFUNCTION("sum(filter('PLA Sheet'!H:H,'PLA Sheet'!C:C=B800,'PLA Sheet'!D:D=C800))"),17.363794604)</f>
        <v>17.3637946</v>
      </c>
      <c r="F800" s="40">
        <v>4.855105065</v>
      </c>
      <c r="G800" s="40">
        <f>IFERROR(__xludf.DUMMYFUNCTION("sum(filter('PLA Sheet'!J:J,'PLA Sheet'!C:C=B800,'PLA Sheet'!D:D=C800))/E800*9"),4.095366169766748)</f>
        <v>4.09536617</v>
      </c>
      <c r="H800" s="41">
        <v>0.467857143</v>
      </c>
      <c r="I800" s="41">
        <v>0.139285714</v>
      </c>
      <c r="J800" s="41">
        <v>0.392857143</v>
      </c>
      <c r="K800" s="41">
        <f t="shared" si="1"/>
        <v>0.075</v>
      </c>
      <c r="L800" s="42">
        <v>0.565340233</v>
      </c>
      <c r="M800" s="45">
        <f>('Cy Young Rank'!O$1-G800)*E800/9</f>
        <v>-0.06823232308</v>
      </c>
      <c r="N800" s="42"/>
      <c r="O800" s="66"/>
      <c r="P800" s="42"/>
      <c r="Q800" s="67"/>
      <c r="R800" s="67"/>
    </row>
    <row r="801">
      <c r="A801" s="1" t="s">
        <v>405</v>
      </c>
      <c r="B801" s="38">
        <v>621111.0</v>
      </c>
      <c r="C801" s="44" t="s">
        <v>541</v>
      </c>
      <c r="D801" s="38">
        <v>271.0</v>
      </c>
      <c r="E801" s="39">
        <f>IFERROR(__xludf.DUMMYFUNCTION("sum(filter('PLA Sheet'!H:H,'PLA Sheet'!C:C=B801,'PLA Sheet'!D:D=C801))"),16.239488118)</f>
        <v>16.23948812</v>
      </c>
      <c r="F801" s="40">
        <v>4.853705851</v>
      </c>
      <c r="G801" s="40">
        <f>IFERROR(__xludf.DUMMYFUNCTION("sum(filter('PLA Sheet'!J:J,'PLA Sheet'!C:C=B801,'PLA Sheet'!D:D=C801))/E801*9"),3.9660697758453813)</f>
        <v>3.966069776</v>
      </c>
      <c r="H801" s="41">
        <v>0.442804428</v>
      </c>
      <c r="I801" s="41">
        <v>0.166051661</v>
      </c>
      <c r="J801" s="41">
        <v>0.391143911</v>
      </c>
      <c r="K801" s="41">
        <f t="shared" si="1"/>
        <v>0.051660517</v>
      </c>
      <c r="L801" s="42">
        <v>-5.276547594</v>
      </c>
      <c r="M801" s="45">
        <f>('Cy Young Rank'!O$1-G801)*E801/9</f>
        <v>0.1694865288</v>
      </c>
      <c r="N801" s="42"/>
      <c r="O801" s="66"/>
      <c r="P801" s="42"/>
      <c r="Q801" s="67"/>
      <c r="R801" s="67"/>
    </row>
    <row r="802">
      <c r="A802" s="1" t="s">
        <v>147</v>
      </c>
      <c r="B802" s="38">
        <v>608379.0</v>
      </c>
      <c r="C802" s="44" t="s">
        <v>537</v>
      </c>
      <c r="D802" s="38">
        <v>746.0</v>
      </c>
      <c r="E802" s="39">
        <f>IFERROR(__xludf.DUMMYFUNCTION("sum(filter('PLA Sheet'!H:H,'PLA Sheet'!C:C=B802,'PLA Sheet'!D:D=C802))"),49.92614845)</f>
        <v>49.92614845</v>
      </c>
      <c r="F802" s="40">
        <v>4.851802706</v>
      </c>
      <c r="G802" s="40">
        <f>IFERROR(__xludf.DUMMYFUNCTION("sum(filter('PLA Sheet'!J:J,'PLA Sheet'!C:C=B802,'PLA Sheet'!D:D=C802))/E802*9"),3.779291851222303)</f>
        <v>3.779291851</v>
      </c>
      <c r="H802" s="41">
        <v>0.412868633</v>
      </c>
      <c r="I802" s="41">
        <v>0.199731903</v>
      </c>
      <c r="J802" s="41">
        <v>0.387399464</v>
      </c>
      <c r="K802" s="41">
        <f t="shared" si="1"/>
        <v>0.025469169</v>
      </c>
      <c r="L802" s="42">
        <v>-0.266803989</v>
      </c>
      <c r="M802" s="45">
        <f>('Cy Young Rank'!O$1-G802)*E802/9</f>
        <v>1.557186301</v>
      </c>
      <c r="N802" s="42"/>
      <c r="O802" s="66"/>
      <c r="P802" s="42"/>
      <c r="Q802" s="67"/>
      <c r="R802" s="67"/>
    </row>
    <row r="803">
      <c r="A803" s="1" t="s">
        <v>505</v>
      </c>
      <c r="B803" s="38">
        <v>621053.0</v>
      </c>
      <c r="C803" s="44" t="s">
        <v>539</v>
      </c>
      <c r="D803" s="38">
        <v>307.0</v>
      </c>
      <c r="E803" s="39">
        <f>IFERROR(__xludf.DUMMYFUNCTION("sum(filter('PLA Sheet'!H:H,'PLA Sheet'!C:C=B803,'PLA Sheet'!D:D=C803))"),18.571717171)</f>
        <v>18.57171717</v>
      </c>
      <c r="F803" s="40">
        <v>4.851381275</v>
      </c>
      <c r="G803" s="40">
        <f>IFERROR(__xludf.DUMMYFUNCTION("sum(filter('PLA Sheet'!J:J,'PLA Sheet'!C:C=B803,'PLA Sheet'!D:D=C803))/E803*9"),3.8899656577157558)</f>
        <v>3.889965658</v>
      </c>
      <c r="H803" s="41">
        <v>0.397394137</v>
      </c>
      <c r="I803" s="41">
        <v>0.205211726</v>
      </c>
      <c r="J803" s="41">
        <v>0.397394137</v>
      </c>
      <c r="K803" s="41">
        <f t="shared" si="1"/>
        <v>0</v>
      </c>
      <c r="L803" s="42">
        <v>-1.082279897</v>
      </c>
      <c r="M803" s="45">
        <f>('Cy Young Rank'!O$1-G803)*E803/9</f>
        <v>0.3508699683</v>
      </c>
      <c r="N803" s="42"/>
      <c r="O803" s="66"/>
      <c r="P803" s="42"/>
      <c r="Q803" s="67"/>
      <c r="R803" s="67"/>
    </row>
    <row r="804">
      <c r="A804" s="1" t="s">
        <v>344</v>
      </c>
      <c r="B804" s="38">
        <v>701542.0</v>
      </c>
      <c r="C804" s="44" t="s">
        <v>532</v>
      </c>
      <c r="D804" s="38">
        <v>267.0</v>
      </c>
      <c r="E804" s="39">
        <f>IFERROR(__xludf.DUMMYFUNCTION("sum(filter('PLA Sheet'!H:H,'PLA Sheet'!C:C=B804,'PLA Sheet'!D:D=C804))"),15.937760320999999)</f>
        <v>15.93776032</v>
      </c>
      <c r="F804" s="40">
        <v>4.851090943</v>
      </c>
      <c r="G804" s="40">
        <f>IFERROR(__xludf.DUMMYFUNCTION("sum(filter('PLA Sheet'!J:J,'PLA Sheet'!C:C=B804,'PLA Sheet'!D:D=C804))/E804*9"),3.9299798552918648)</f>
        <v>3.929979855</v>
      </c>
      <c r="H804" s="41">
        <v>0.4082397</v>
      </c>
      <c r="I804" s="41">
        <v>0.176029963</v>
      </c>
      <c r="J804" s="41">
        <v>0.415730337</v>
      </c>
      <c r="K804" s="41">
        <f t="shared" si="1"/>
        <v>-0.007490637</v>
      </c>
      <c r="L804" s="42">
        <v>1.771085162</v>
      </c>
      <c r="M804" s="45">
        <f>('Cy Young Rank'!O$1-G804)*E804/9</f>
        <v>0.230247767</v>
      </c>
      <c r="N804" s="42"/>
      <c r="O804" s="66"/>
      <c r="P804" s="42"/>
      <c r="Q804" s="67"/>
      <c r="R804" s="67"/>
    </row>
    <row r="805">
      <c r="A805" s="1" t="s">
        <v>115</v>
      </c>
      <c r="B805" s="38">
        <v>543135.0</v>
      </c>
      <c r="C805" s="44" t="s">
        <v>541</v>
      </c>
      <c r="D805" s="38">
        <v>369.0</v>
      </c>
      <c r="E805" s="39">
        <f>IFERROR(__xludf.DUMMYFUNCTION("sum(filter('PLA Sheet'!H:H,'PLA Sheet'!C:C=B805,'PLA Sheet'!D:D=C805))"),25.673981189)</f>
        <v>25.67398119</v>
      </c>
      <c r="F805" s="40">
        <v>4.850455908</v>
      </c>
      <c r="G805" s="40">
        <f>IFERROR(__xludf.DUMMYFUNCTION("sum(filter('PLA Sheet'!J:J,'PLA Sheet'!C:C=B805,'PLA Sheet'!D:D=C805))/E805*9"),3.3380913684208435)</f>
        <v>3.338091368</v>
      </c>
      <c r="H805" s="41">
        <v>0.422764228</v>
      </c>
      <c r="I805" s="41">
        <v>0.211382114</v>
      </c>
      <c r="J805" s="41">
        <v>0.365853659</v>
      </c>
      <c r="K805" s="41">
        <f t="shared" si="1"/>
        <v>0.056910569</v>
      </c>
      <c r="L805" s="42">
        <v>10.83733679</v>
      </c>
      <c r="M805" s="45">
        <f>('Cy Young Rank'!O$1-G805)*E805/9</f>
        <v>2.059363181</v>
      </c>
      <c r="N805" s="42"/>
      <c r="O805" s="66"/>
      <c r="P805" s="42"/>
      <c r="Q805" s="67"/>
      <c r="R805" s="67"/>
    </row>
    <row r="806">
      <c r="A806" s="1" t="s">
        <v>247</v>
      </c>
      <c r="B806" s="38">
        <v>605540.0</v>
      </c>
      <c r="C806" s="44" t="s">
        <v>536</v>
      </c>
      <c r="D806" s="38">
        <v>287.0</v>
      </c>
      <c r="E806" s="39">
        <f>IFERROR(__xludf.DUMMYFUNCTION("sum(filter('PLA Sheet'!H:H,'PLA Sheet'!C:C=B806,'PLA Sheet'!D:D=C806))"),20.0110765)</f>
        <v>20.0110765</v>
      </c>
      <c r="F806" s="40">
        <v>4.849726396</v>
      </c>
      <c r="G806" s="40">
        <f>IFERROR(__xludf.DUMMYFUNCTION("sum(filter('PLA Sheet'!J:J,'PLA Sheet'!C:C=B806,'PLA Sheet'!D:D=C806))/E806*9"),3.6762059752257703)</f>
        <v>3.676205975</v>
      </c>
      <c r="H806" s="41">
        <v>0.407665505</v>
      </c>
      <c r="I806" s="41">
        <v>0.229965157</v>
      </c>
      <c r="J806" s="41">
        <v>0.362369338</v>
      </c>
      <c r="K806" s="41">
        <f t="shared" si="1"/>
        <v>0.045296167</v>
      </c>
      <c r="L806" s="42">
        <v>3.312012035</v>
      </c>
      <c r="M806" s="45">
        <f>('Cy Young Rank'!O$1-G806)*E806/9</f>
        <v>0.8533479544</v>
      </c>
      <c r="N806" s="42"/>
      <c r="O806" s="66"/>
      <c r="P806" s="42"/>
      <c r="Q806" s="67"/>
      <c r="R806" s="67"/>
    </row>
    <row r="807">
      <c r="A807" s="1" t="s">
        <v>376</v>
      </c>
      <c r="B807" s="38">
        <v>668909.0</v>
      </c>
      <c r="C807" s="44" t="s">
        <v>541</v>
      </c>
      <c r="D807" s="38">
        <v>622.0</v>
      </c>
      <c r="E807" s="39">
        <f>IFERROR(__xludf.DUMMYFUNCTION("sum(filter('PLA Sheet'!H:H,'PLA Sheet'!C:C=B807,'PLA Sheet'!D:D=C807))"),37.087293443)</f>
        <v>37.08729344</v>
      </c>
      <c r="F807" s="40">
        <v>4.847792663</v>
      </c>
      <c r="G807" s="40">
        <f>IFERROR(__xludf.DUMMYFUNCTION("sum(filter('PLA Sheet'!J:J,'PLA Sheet'!C:C=B807,'PLA Sheet'!D:D=C807))/E807*9"),4.117249624448417)</f>
        <v>4.117249624</v>
      </c>
      <c r="H807" s="41">
        <v>0.414790997</v>
      </c>
      <c r="I807" s="41">
        <v>0.21221865</v>
      </c>
      <c r="J807" s="41">
        <v>0.372990354</v>
      </c>
      <c r="K807" s="41">
        <f t="shared" si="1"/>
        <v>0.041800643</v>
      </c>
      <c r="L807" s="42">
        <v>13.80330205</v>
      </c>
      <c r="M807" s="45">
        <f>('Cy Young Rank'!O$1-G807)*E807/9</f>
        <v>-0.2359148468</v>
      </c>
      <c r="N807" s="42"/>
      <c r="O807" s="66"/>
      <c r="P807" s="42"/>
      <c r="Q807" s="67"/>
      <c r="R807" s="67"/>
    </row>
    <row r="808">
      <c r="A808" s="1" t="s">
        <v>468</v>
      </c>
      <c r="B808" s="38">
        <v>675848.0</v>
      </c>
      <c r="C808" s="44" t="s">
        <v>537</v>
      </c>
      <c r="D808" s="38">
        <v>695.0</v>
      </c>
      <c r="E808" s="39">
        <f>IFERROR(__xludf.DUMMYFUNCTION("sum(filter('PLA Sheet'!H:H,'PLA Sheet'!C:C=B808,'PLA Sheet'!D:D=C808))"),41.349608759999995)</f>
        <v>41.34960876</v>
      </c>
      <c r="F808" s="40">
        <v>4.846722995</v>
      </c>
      <c r="G808" s="40">
        <f>IFERROR(__xludf.DUMMYFUNCTION("sum(filter('PLA Sheet'!J:J,'PLA Sheet'!C:C=B808,'PLA Sheet'!D:D=C808))/E808*9"),4.250888225332752)</f>
        <v>4.250888225</v>
      </c>
      <c r="H808" s="41">
        <v>0.423021583</v>
      </c>
      <c r="I808" s="41">
        <v>0.188489209</v>
      </c>
      <c r="J808" s="41">
        <v>0.388489209</v>
      </c>
      <c r="K808" s="41">
        <f t="shared" si="1"/>
        <v>0.034532374</v>
      </c>
      <c r="L808" s="42">
        <v>11.25363994</v>
      </c>
      <c r="M808" s="45">
        <f>('Cy Young Rank'!O$1-G808)*E808/9</f>
        <v>-0.8770170483</v>
      </c>
      <c r="N808" s="42"/>
      <c r="O808" s="66"/>
      <c r="P808" s="42"/>
      <c r="Q808" s="67"/>
      <c r="R808" s="67"/>
    </row>
    <row r="809">
      <c r="A809" s="1" t="s">
        <v>425</v>
      </c>
      <c r="B809" s="38">
        <v>621244.0</v>
      </c>
      <c r="C809" s="44" t="s">
        <v>536</v>
      </c>
      <c r="D809" s="38">
        <v>824.0</v>
      </c>
      <c r="E809" s="39">
        <f>IFERROR(__xludf.DUMMYFUNCTION("sum(filter('PLA Sheet'!H:H,'PLA Sheet'!C:C=B809,'PLA Sheet'!D:D=C809))"),54.66950464)</f>
        <v>54.66950464</v>
      </c>
      <c r="F809" s="40">
        <v>4.844284247</v>
      </c>
      <c r="G809" s="40">
        <f>IFERROR(__xludf.DUMMYFUNCTION("sum(filter('PLA Sheet'!J:J,'PLA Sheet'!C:C=B809,'PLA Sheet'!D:D=C809))/E809*9"),3.677178645092622)</f>
        <v>3.677178645</v>
      </c>
      <c r="H809" s="41">
        <v>0.42961165</v>
      </c>
      <c r="I809" s="41">
        <v>0.185679612</v>
      </c>
      <c r="J809" s="41">
        <v>0.384708738</v>
      </c>
      <c r="K809" s="41">
        <f t="shared" si="1"/>
        <v>0.044902912</v>
      </c>
      <c r="L809" s="42">
        <v>3.433372637</v>
      </c>
      <c r="M809" s="45">
        <f>('Cy Young Rank'!O$1-G809)*E809/9</f>
        <v>2.325405982</v>
      </c>
      <c r="N809" s="42"/>
      <c r="O809" s="66"/>
      <c r="P809" s="42"/>
      <c r="Q809" s="67"/>
      <c r="R809" s="67"/>
    </row>
    <row r="810">
      <c r="A810" s="1" t="s">
        <v>421</v>
      </c>
      <c r="B810" s="38">
        <v>607192.0</v>
      </c>
      <c r="C810" s="44" t="s">
        <v>536</v>
      </c>
      <c r="D810" s="38">
        <v>295.0</v>
      </c>
      <c r="E810" s="39">
        <f>IFERROR(__xludf.DUMMYFUNCTION("sum(filter('PLA Sheet'!H:H,'PLA Sheet'!C:C=B810,'PLA Sheet'!D:D=C810))"),18.615990992)</f>
        <v>18.61599099</v>
      </c>
      <c r="F810" s="40">
        <v>4.843026094</v>
      </c>
      <c r="G810" s="40">
        <f>IFERROR(__xludf.DUMMYFUNCTION("sum(filter('PLA Sheet'!J:J,'PLA Sheet'!C:C=B810,'PLA Sheet'!D:D=C810))/E810*9"),4.083625310770133)</f>
        <v>4.083625311</v>
      </c>
      <c r="H810" s="41">
        <v>0.488135593</v>
      </c>
      <c r="I810" s="41">
        <v>0.125423729</v>
      </c>
      <c r="J810" s="41">
        <v>0.386440678</v>
      </c>
      <c r="K810" s="41">
        <f t="shared" si="1"/>
        <v>0.101694915</v>
      </c>
      <c r="L810" s="42">
        <v>7.302902065</v>
      </c>
      <c r="M810" s="45">
        <f>('Cy Young Rank'!O$1-G810)*E810/9</f>
        <v>-0.04886761916</v>
      </c>
      <c r="N810" s="42"/>
      <c r="O810" s="66"/>
      <c r="P810" s="42"/>
      <c r="Q810" s="67"/>
      <c r="R810" s="67"/>
    </row>
    <row r="811">
      <c r="A811" s="1" t="s">
        <v>173</v>
      </c>
      <c r="B811" s="38">
        <v>641927.0</v>
      </c>
      <c r="C811" s="44" t="s">
        <v>539</v>
      </c>
      <c r="D811" s="38">
        <v>250.0</v>
      </c>
      <c r="E811" s="39">
        <f>IFERROR(__xludf.DUMMYFUNCTION("sum(filter('PLA Sheet'!H:H,'PLA Sheet'!C:C=B811,'PLA Sheet'!D:D=C811))"),15.962507076000001)</f>
        <v>15.96250708</v>
      </c>
      <c r="F811" s="40">
        <v>4.841537815</v>
      </c>
      <c r="G811" s="40">
        <f>IFERROR(__xludf.DUMMYFUNCTION("sum(filter('PLA Sheet'!J:J,'PLA Sheet'!C:C=B811,'PLA Sheet'!D:D=C811))/E811*9"),3.830634543112293)</f>
        <v>3.830634543</v>
      </c>
      <c r="H811" s="41">
        <v>0.344</v>
      </c>
      <c r="I811" s="41">
        <v>0.18</v>
      </c>
      <c r="J811" s="41">
        <v>0.476</v>
      </c>
      <c r="K811" s="41">
        <f t="shared" si="1"/>
        <v>-0.132</v>
      </c>
      <c r="L811" s="42">
        <v>-2.673337857</v>
      </c>
      <c r="M811" s="45">
        <f>('Cy Young Rank'!O$1-G811)*E811/9</f>
        <v>0.4068053032</v>
      </c>
      <c r="N811" s="42"/>
      <c r="O811" s="66"/>
      <c r="P811" s="42"/>
      <c r="Q811" s="67"/>
      <c r="R811" s="67"/>
    </row>
    <row r="812">
      <c r="A812" s="1" t="s">
        <v>256</v>
      </c>
      <c r="B812" s="38">
        <v>571760.0</v>
      </c>
      <c r="C812" s="44" t="s">
        <v>532</v>
      </c>
      <c r="D812" s="38">
        <v>342.0</v>
      </c>
      <c r="E812" s="39">
        <f>IFERROR(__xludf.DUMMYFUNCTION("sum(filter('PLA Sheet'!H:H,'PLA Sheet'!C:C=B812,'PLA Sheet'!D:D=C812))"),21.211495361)</f>
        <v>21.21149536</v>
      </c>
      <c r="F812" s="40">
        <v>4.839059336</v>
      </c>
      <c r="G812" s="40">
        <f>IFERROR(__xludf.DUMMYFUNCTION("sum(filter('PLA Sheet'!J:J,'PLA Sheet'!C:C=B812,'PLA Sheet'!D:D=C812))/E812*9"),3.9771442118648848)</f>
        <v>3.977144212</v>
      </c>
      <c r="H812" s="41">
        <v>0.377192982</v>
      </c>
      <c r="I812" s="41">
        <v>0.204678363</v>
      </c>
      <c r="J812" s="41">
        <v>0.418128655</v>
      </c>
      <c r="K812" s="41">
        <f t="shared" si="1"/>
        <v>-0.040935673</v>
      </c>
      <c r="L812" s="42">
        <v>1.26389664</v>
      </c>
      <c r="M812" s="45">
        <f>('Cy Young Rank'!O$1-G812)*E812/9</f>
        <v>0.1952772406</v>
      </c>
      <c r="N812" s="42"/>
      <c r="O812" s="66"/>
      <c r="P812" s="42"/>
      <c r="Q812" s="67"/>
      <c r="R812" s="67"/>
    </row>
    <row r="813">
      <c r="A813" s="1" t="s">
        <v>323</v>
      </c>
      <c r="B813" s="38">
        <v>691587.0</v>
      </c>
      <c r="C813" s="44" t="s">
        <v>533</v>
      </c>
      <c r="D813" s="38">
        <v>366.0</v>
      </c>
      <c r="E813" s="39">
        <f>IFERROR(__xludf.DUMMYFUNCTION("sum(filter('PLA Sheet'!H:H,'PLA Sheet'!C:C=B813,'PLA Sheet'!D:D=C813))"),21.76273217)</f>
        <v>21.76273217</v>
      </c>
      <c r="F813" s="40">
        <v>4.837989872</v>
      </c>
      <c r="G813" s="40">
        <f>IFERROR(__xludf.DUMMYFUNCTION("sum(filter('PLA Sheet'!J:J,'PLA Sheet'!C:C=B813,'PLA Sheet'!D:D=C813))/E813*9"),4.229952392048393)</f>
        <v>4.229952392</v>
      </c>
      <c r="H813" s="41">
        <v>0.426229508</v>
      </c>
      <c r="I813" s="41">
        <v>0.177595628</v>
      </c>
      <c r="J813" s="41">
        <v>0.396174863</v>
      </c>
      <c r="K813" s="41">
        <f t="shared" si="1"/>
        <v>0.030054645</v>
      </c>
      <c r="L813" s="42">
        <v>6.421921768</v>
      </c>
      <c r="M813" s="45">
        <f>('Cy Young Rank'!O$1-G813)*E813/9</f>
        <v>-0.41095871</v>
      </c>
      <c r="N813" s="42"/>
      <c r="O813" s="66"/>
      <c r="P813" s="42"/>
      <c r="Q813" s="67"/>
      <c r="R813" s="67"/>
    </row>
    <row r="814">
      <c r="A814" s="1" t="s">
        <v>285</v>
      </c>
      <c r="B814" s="38">
        <v>607074.0</v>
      </c>
      <c r="C814" s="44" t="s">
        <v>532</v>
      </c>
      <c r="D814" s="38">
        <v>513.0</v>
      </c>
      <c r="E814" s="39">
        <f>IFERROR(__xludf.DUMMYFUNCTION("sum(filter('PLA Sheet'!H:H,'PLA Sheet'!C:C=B814,'PLA Sheet'!D:D=C814))"),31.562266502)</f>
        <v>31.5622665</v>
      </c>
      <c r="F814" s="40">
        <v>4.836624835</v>
      </c>
      <c r="G814" s="40">
        <f>IFERROR(__xludf.DUMMYFUNCTION("sum(filter('PLA Sheet'!J:J,'PLA Sheet'!C:C=B814,'PLA Sheet'!D:D=C814))/E814*9"),3.743649588425872)</f>
        <v>3.743649588</v>
      </c>
      <c r="H814" s="41">
        <v>0.411306043</v>
      </c>
      <c r="I814" s="41">
        <v>0.173489279</v>
      </c>
      <c r="J814" s="41">
        <v>0.415204678</v>
      </c>
      <c r="K814" s="41">
        <f t="shared" si="1"/>
        <v>-0.003898635</v>
      </c>
      <c r="L814" s="42">
        <v>3.136276538</v>
      </c>
      <c r="M814" s="45">
        <f>('Cy Young Rank'!O$1-G814)*E814/9</f>
        <v>1.109415111</v>
      </c>
      <c r="N814" s="42"/>
      <c r="O814" s="66"/>
      <c r="P814" s="42"/>
      <c r="Q814" s="67"/>
      <c r="R814" s="67"/>
    </row>
    <row r="815">
      <c r="A815" s="1" t="s">
        <v>277</v>
      </c>
      <c r="B815" s="38">
        <v>677952.0</v>
      </c>
      <c r="C815" s="44" t="s">
        <v>537</v>
      </c>
      <c r="D815" s="38">
        <v>320.0</v>
      </c>
      <c r="E815" s="39">
        <f>IFERROR(__xludf.DUMMYFUNCTION("sum(filter('PLA Sheet'!H:H,'PLA Sheet'!C:C=B815,'PLA Sheet'!D:D=C815))"),20.672413795)</f>
        <v>20.6724138</v>
      </c>
      <c r="F815" s="40">
        <v>4.836386038</v>
      </c>
      <c r="G815" s="40">
        <f>IFERROR(__xludf.DUMMYFUNCTION("sum(filter('PLA Sheet'!J:J,'PLA Sheet'!C:C=B815,'PLA Sheet'!D:D=C815))/E815*9"),3.968070289877825)</f>
        <v>3.96807029</v>
      </c>
      <c r="H815" s="41">
        <v>0.4</v>
      </c>
      <c r="I815" s="41">
        <v>0.203125</v>
      </c>
      <c r="J815" s="41">
        <v>0.396875</v>
      </c>
      <c r="K815" s="41">
        <f t="shared" si="1"/>
        <v>0.003125</v>
      </c>
      <c r="L815" s="42">
        <v>-2.113047937</v>
      </c>
      <c r="M815" s="45">
        <f>('Cy Young Rank'!O$1-G815)*E815/9</f>
        <v>0.2111565564</v>
      </c>
      <c r="N815" s="42"/>
      <c r="O815" s="66"/>
      <c r="P815" s="42"/>
      <c r="Q815" s="67"/>
      <c r="R815" s="67"/>
    </row>
    <row r="816">
      <c r="A816" s="1" t="s">
        <v>267</v>
      </c>
      <c r="B816" s="38">
        <v>669387.0</v>
      </c>
      <c r="C816" s="44" t="s">
        <v>537</v>
      </c>
      <c r="D816" s="38">
        <v>587.0</v>
      </c>
      <c r="E816" s="39">
        <f>IFERROR(__xludf.DUMMYFUNCTION("sum(filter('PLA Sheet'!H:H,'PLA Sheet'!C:C=B816,'PLA Sheet'!D:D=C816))"),36.36612022)</f>
        <v>36.36612022</v>
      </c>
      <c r="F816" s="40">
        <v>4.836306411</v>
      </c>
      <c r="G816" s="40">
        <f>IFERROR(__xludf.DUMMYFUNCTION("sum(filter('PLA Sheet'!J:J,'PLA Sheet'!C:C=B816,'PLA Sheet'!D:D=C816))/E816*9"),4.155752719446958)</f>
        <v>4.155752719</v>
      </c>
      <c r="H816" s="41">
        <v>0.408858603</v>
      </c>
      <c r="I816" s="41">
        <v>0.183986371</v>
      </c>
      <c r="J816" s="41">
        <v>0.407155026</v>
      </c>
      <c r="K816" s="41">
        <f t="shared" si="1"/>
        <v>0.001703577</v>
      </c>
      <c r="L816" s="42">
        <v>-0.019386822</v>
      </c>
      <c r="M816" s="45">
        <f>('Cy Young Rank'!O$1-G816)*E816/9</f>
        <v>-0.3869061008</v>
      </c>
      <c r="N816" s="42"/>
      <c r="O816" s="66"/>
      <c r="P816" s="42"/>
      <c r="Q816" s="67"/>
      <c r="R816" s="67"/>
    </row>
    <row r="817">
      <c r="A817" s="1" t="s">
        <v>425</v>
      </c>
      <c r="B817" s="38">
        <v>621244.0</v>
      </c>
      <c r="C817" s="44" t="s">
        <v>537</v>
      </c>
      <c r="D817" s="38">
        <v>461.0</v>
      </c>
      <c r="E817" s="39">
        <f>IFERROR(__xludf.DUMMYFUNCTION("sum(filter('PLA Sheet'!H:H,'PLA Sheet'!C:C=B817,'PLA Sheet'!D:D=C817))"),30.578947367)</f>
        <v>30.57894737</v>
      </c>
      <c r="F817" s="40">
        <v>4.82843515</v>
      </c>
      <c r="G817" s="40">
        <f>IFERROR(__xludf.DUMMYFUNCTION("sum(filter('PLA Sheet'!J:J,'PLA Sheet'!C:C=B817,'PLA Sheet'!D:D=C817))/E817*9"),3.89558985043921)</f>
        <v>3.89558985</v>
      </c>
      <c r="H817" s="41">
        <v>0.403470716</v>
      </c>
      <c r="I817" s="41">
        <v>0.21691974</v>
      </c>
      <c r="J817" s="41">
        <v>0.379609544</v>
      </c>
      <c r="K817" s="41">
        <f t="shared" si="1"/>
        <v>0.023861172</v>
      </c>
      <c r="L817" s="42">
        <v>-1.779714844</v>
      </c>
      <c r="M817" s="45">
        <f>('Cy Young Rank'!O$1-G817)*E817/9</f>
        <v>0.5586099233</v>
      </c>
      <c r="N817" s="42"/>
      <c r="O817" s="66"/>
      <c r="P817" s="42"/>
      <c r="Q817" s="67"/>
      <c r="R817" s="67"/>
    </row>
    <row r="818">
      <c r="A818" s="1" t="s">
        <v>383</v>
      </c>
      <c r="B818" s="38">
        <v>573186.0</v>
      </c>
      <c r="C818" s="44" t="s">
        <v>536</v>
      </c>
      <c r="D818" s="38">
        <v>250.0</v>
      </c>
      <c r="E818" s="39">
        <f>IFERROR(__xludf.DUMMYFUNCTION("sum(filter('PLA Sheet'!H:H,'PLA Sheet'!C:C=B818,'PLA Sheet'!D:D=C818))"),14.237215909)</f>
        <v>14.23721591</v>
      </c>
      <c r="F818" s="40">
        <v>4.827863578</v>
      </c>
      <c r="G818" s="40">
        <f>IFERROR(__xludf.DUMMYFUNCTION("sum(filter('PLA Sheet'!J:J,'PLA Sheet'!C:C=B818,'PLA Sheet'!D:D=C818))/E818*9"),4.469158254443383)</f>
        <v>4.469158254</v>
      </c>
      <c r="H818" s="41">
        <v>0.412</v>
      </c>
      <c r="I818" s="41">
        <v>0.192</v>
      </c>
      <c r="J818" s="41">
        <v>0.396</v>
      </c>
      <c r="K818" s="41">
        <f t="shared" si="1"/>
        <v>0.016</v>
      </c>
      <c r="L818" s="42">
        <v>-3.071147255</v>
      </c>
      <c r="M818" s="45">
        <f>('Cy Young Rank'!O$1-G818)*E818/9</f>
        <v>-0.6472527122</v>
      </c>
      <c r="N818" s="42"/>
      <c r="O818" s="66"/>
      <c r="P818" s="42"/>
      <c r="Q818" s="67"/>
      <c r="R818" s="67"/>
    </row>
    <row r="819">
      <c r="A819" s="1" t="s">
        <v>400</v>
      </c>
      <c r="B819" s="38">
        <v>670955.0</v>
      </c>
      <c r="C819" s="44" t="s">
        <v>532</v>
      </c>
      <c r="D819" s="38">
        <v>443.0</v>
      </c>
      <c r="E819" s="39">
        <f>IFERROR(__xludf.DUMMYFUNCTION("sum(filter('PLA Sheet'!H:H,'PLA Sheet'!C:C=B819,'PLA Sheet'!D:D=C819))"),29.54859967)</f>
        <v>29.54859967</v>
      </c>
      <c r="F819" s="40">
        <v>4.826756812</v>
      </c>
      <c r="G819" s="40">
        <f>IFERROR(__xludf.DUMMYFUNCTION("sum(filter('PLA Sheet'!J:J,'PLA Sheet'!C:C=B819,'PLA Sheet'!D:D=C819))/E819*9"),3.755959918218351)</f>
        <v>3.755959918</v>
      </c>
      <c r="H819" s="41">
        <v>0.376975169</v>
      </c>
      <c r="I819" s="41">
        <v>0.250564334</v>
      </c>
      <c r="J819" s="41">
        <v>0.372460497</v>
      </c>
      <c r="K819" s="41">
        <f t="shared" si="1"/>
        <v>0.004514672</v>
      </c>
      <c r="L819" s="42">
        <v>5.053505812</v>
      </c>
      <c r="M819" s="45">
        <f>('Cy Young Rank'!O$1-G819)*E819/9</f>
        <v>0.9982176289</v>
      </c>
      <c r="N819" s="42"/>
      <c r="O819" s="66"/>
      <c r="P819" s="42"/>
      <c r="Q819" s="67"/>
      <c r="R819" s="67"/>
    </row>
    <row r="820">
      <c r="A820" s="1" t="s">
        <v>497</v>
      </c>
      <c r="B820" s="38">
        <v>678024.0</v>
      </c>
      <c r="C820" s="44" t="s">
        <v>539</v>
      </c>
      <c r="D820" s="38">
        <v>255.0</v>
      </c>
      <c r="E820" s="39">
        <f>IFERROR(__xludf.DUMMYFUNCTION("sum(filter('PLA Sheet'!H:H,'PLA Sheet'!C:C=B820,'PLA Sheet'!D:D=C820))"),16.209118542)</f>
        <v>16.20911854</v>
      </c>
      <c r="F820" s="40">
        <v>4.825054416</v>
      </c>
      <c r="G820" s="40">
        <f>IFERROR(__xludf.DUMMYFUNCTION("sum(filter('PLA Sheet'!J:J,'PLA Sheet'!C:C=B820,'PLA Sheet'!D:D=C820))/E820*9"),3.7310282384138787)</f>
        <v>3.731028238</v>
      </c>
      <c r="H820" s="41">
        <v>0.407843137</v>
      </c>
      <c r="I820" s="41">
        <v>0.188235294</v>
      </c>
      <c r="J820" s="41">
        <v>0.403921569</v>
      </c>
      <c r="K820" s="41">
        <f t="shared" si="1"/>
        <v>0.003921568</v>
      </c>
      <c r="L820" s="42">
        <v>2.570354035</v>
      </c>
      <c r="M820" s="45">
        <f>('Cy Young Rank'!O$1-G820)*E820/9</f>
        <v>0.5924824756</v>
      </c>
      <c r="N820" s="42"/>
      <c r="O820" s="66"/>
      <c r="P820" s="42"/>
      <c r="Q820" s="67"/>
      <c r="R820" s="67"/>
    </row>
    <row r="821">
      <c r="A821" s="1" t="s">
        <v>97</v>
      </c>
      <c r="B821" s="38">
        <v>656876.0</v>
      </c>
      <c r="C821" s="44" t="s">
        <v>536</v>
      </c>
      <c r="D821" s="38">
        <v>511.0</v>
      </c>
      <c r="E821" s="39">
        <f>IFERROR(__xludf.DUMMYFUNCTION("sum(filter('PLA Sheet'!H:H,'PLA Sheet'!C:C=B821,'PLA Sheet'!D:D=C821))"),34.14686825)</f>
        <v>34.14686825</v>
      </c>
      <c r="F821" s="40">
        <v>4.824540935</v>
      </c>
      <c r="G821" s="40">
        <f>IFERROR(__xludf.DUMMYFUNCTION("sum(filter('PLA Sheet'!J:J,'PLA Sheet'!C:C=B821,'PLA Sheet'!D:D=C821))/E821*9"),3.769685379566251)</f>
        <v>3.76968538</v>
      </c>
      <c r="H821" s="41">
        <v>0.418786693</v>
      </c>
      <c r="I821" s="41">
        <v>0.236790607</v>
      </c>
      <c r="J821" s="41">
        <v>0.344422701</v>
      </c>
      <c r="K821" s="41">
        <f t="shared" si="1"/>
        <v>0.074363992</v>
      </c>
      <c r="L821" s="42">
        <v>10.89679964</v>
      </c>
      <c r="M821" s="45">
        <f>('Cy Young Rank'!O$1-G821)*E821/9</f>
        <v>1.101481677</v>
      </c>
      <c r="N821" s="42"/>
      <c r="O821" s="66"/>
      <c r="P821" s="42"/>
      <c r="Q821" s="67"/>
      <c r="R821" s="67"/>
    </row>
    <row r="822">
      <c r="A822" s="1" t="s">
        <v>447</v>
      </c>
      <c r="B822" s="38">
        <v>605463.0</v>
      </c>
      <c r="C822" s="44" t="s">
        <v>537</v>
      </c>
      <c r="D822" s="38">
        <v>251.0</v>
      </c>
      <c r="E822" s="39">
        <f>IFERROR(__xludf.DUMMYFUNCTION("sum(filter('PLA Sheet'!H:H,'PLA Sheet'!C:C=B822,'PLA Sheet'!D:D=C822))"),13.054726368)</f>
        <v>13.05472637</v>
      </c>
      <c r="F822" s="40">
        <v>4.823950767</v>
      </c>
      <c r="G822" s="40">
        <f>IFERROR(__xludf.DUMMYFUNCTION("sum(filter('PLA Sheet'!J:J,'PLA Sheet'!C:C=B822,'PLA Sheet'!D:D=C822))/E822*9"),4.782318314463808)</f>
        <v>4.782318314</v>
      </c>
      <c r="H822" s="41">
        <v>0.450199203</v>
      </c>
      <c r="I822" s="41">
        <v>0.147410359</v>
      </c>
      <c r="J822" s="41">
        <v>0.402390438</v>
      </c>
      <c r="K822" s="41">
        <f t="shared" si="1"/>
        <v>0.047808765</v>
      </c>
      <c r="L822" s="42">
        <v>-3.225283409</v>
      </c>
      <c r="M822" s="45">
        <f>('Cy Young Rank'!O$1-G822)*E822/9</f>
        <v>-1.047740883</v>
      </c>
      <c r="N822" s="42"/>
      <c r="O822" s="66"/>
      <c r="P822" s="42"/>
      <c r="Q822" s="67"/>
      <c r="R822" s="67"/>
    </row>
    <row r="823">
      <c r="A823" s="1" t="s">
        <v>491</v>
      </c>
      <c r="B823" s="38">
        <v>650644.0</v>
      </c>
      <c r="C823" s="44" t="s">
        <v>540</v>
      </c>
      <c r="D823" s="38">
        <v>585.0</v>
      </c>
      <c r="E823" s="39">
        <f>IFERROR(__xludf.DUMMYFUNCTION("sum(filter('PLA Sheet'!H:H,'PLA Sheet'!C:C=B823,'PLA Sheet'!D:D=C823))"),35.71461318)</f>
        <v>35.71461318</v>
      </c>
      <c r="F823" s="40">
        <v>4.823905551</v>
      </c>
      <c r="G823" s="40">
        <f>IFERROR(__xludf.DUMMYFUNCTION("sum(filter('PLA Sheet'!J:J,'PLA Sheet'!C:C=B823,'PLA Sheet'!D:D=C823))/E823*9"),4.138629368741773)</f>
        <v>4.138629369</v>
      </c>
      <c r="H823" s="41">
        <v>0.408547009</v>
      </c>
      <c r="I823" s="41">
        <v>0.194871795</v>
      </c>
      <c r="J823" s="41">
        <v>0.396581197</v>
      </c>
      <c r="K823" s="41">
        <f t="shared" si="1"/>
        <v>0.011965812</v>
      </c>
      <c r="L823" s="42">
        <v>8.577059805</v>
      </c>
      <c r="M823" s="45">
        <f>('Cy Young Rank'!O$1-G823)*E823/9</f>
        <v>-0.3120241655</v>
      </c>
      <c r="N823" s="42"/>
      <c r="O823" s="66"/>
      <c r="P823" s="42"/>
      <c r="Q823" s="67"/>
      <c r="R823" s="67"/>
    </row>
    <row r="824">
      <c r="A824" s="1" t="s">
        <v>470</v>
      </c>
      <c r="B824" s="38">
        <v>681343.0</v>
      </c>
      <c r="C824" s="44" t="s">
        <v>532</v>
      </c>
      <c r="D824" s="38">
        <v>393.0</v>
      </c>
      <c r="E824" s="39">
        <f>IFERROR(__xludf.DUMMYFUNCTION("sum(filter('PLA Sheet'!H:H,'PLA Sheet'!C:C=B824,'PLA Sheet'!D:D=C824))"),24.570443888999996)</f>
        <v>24.57044389</v>
      </c>
      <c r="F824" s="40">
        <v>4.823126373</v>
      </c>
      <c r="G824" s="40">
        <f>IFERROR(__xludf.DUMMYFUNCTION("sum(filter('PLA Sheet'!J:J,'PLA Sheet'!C:C=B824,'PLA Sheet'!D:D=C824))/E824*9"),3.8808950880488515)</f>
        <v>3.880895088</v>
      </c>
      <c r="H824" s="41">
        <v>0.417302799</v>
      </c>
      <c r="I824" s="41">
        <v>0.147582697</v>
      </c>
      <c r="J824" s="41">
        <v>0.435114504</v>
      </c>
      <c r="K824" s="41">
        <f t="shared" si="1"/>
        <v>-0.017811705</v>
      </c>
      <c r="L824" s="42">
        <v>4.838427888</v>
      </c>
      <c r="M824" s="45">
        <f>('Cy Young Rank'!O$1-G824)*E824/9</f>
        <v>0.4889652433</v>
      </c>
      <c r="N824" s="42"/>
      <c r="O824" s="66"/>
      <c r="P824" s="42"/>
      <c r="Q824" s="67"/>
      <c r="R824" s="67"/>
    </row>
    <row r="825">
      <c r="A825" s="1" t="s">
        <v>464</v>
      </c>
      <c r="B825" s="38">
        <v>615698.0</v>
      </c>
      <c r="C825" s="44" t="s">
        <v>538</v>
      </c>
      <c r="D825" s="38">
        <v>412.0</v>
      </c>
      <c r="E825" s="39">
        <f>IFERROR(__xludf.DUMMYFUNCTION("sum(filter('PLA Sheet'!H:H,'PLA Sheet'!C:C=B825,'PLA Sheet'!D:D=C825))"),24.672990515000002)</f>
        <v>24.67299052</v>
      </c>
      <c r="F825" s="40">
        <v>4.822917699</v>
      </c>
      <c r="G825" s="40">
        <f>IFERROR(__xludf.DUMMYFUNCTION("sum(filter('PLA Sheet'!J:J,'PLA Sheet'!C:C=B825,'PLA Sheet'!D:D=C825))/E825*9"),4.092017379839696)</f>
        <v>4.09201738</v>
      </c>
      <c r="H825" s="41">
        <v>0.373786408</v>
      </c>
      <c r="I825" s="41">
        <v>0.216019417</v>
      </c>
      <c r="J825" s="41">
        <v>0.410194175</v>
      </c>
      <c r="K825" s="41">
        <f t="shared" si="1"/>
        <v>-0.036407767</v>
      </c>
      <c r="L825" s="42">
        <v>-7.357759419</v>
      </c>
      <c r="M825" s="45">
        <f>('Cy Young Rank'!O$1-G825)*E825/9</f>
        <v>-0.08777383434</v>
      </c>
      <c r="N825" s="42"/>
      <c r="O825" s="66"/>
      <c r="P825" s="42"/>
      <c r="Q825" s="67"/>
      <c r="R825" s="67"/>
    </row>
    <row r="826">
      <c r="A826" s="1" t="s">
        <v>251</v>
      </c>
      <c r="B826" s="38">
        <v>676664.0</v>
      </c>
      <c r="C826" s="44" t="s">
        <v>532</v>
      </c>
      <c r="D826" s="38">
        <v>345.0</v>
      </c>
      <c r="E826" s="39">
        <f>IFERROR(__xludf.DUMMYFUNCTION("sum(filter('PLA Sheet'!H:H,'PLA Sheet'!C:C=B826,'PLA Sheet'!D:D=C826))"),20.298393916000002)</f>
        <v>20.29839392</v>
      </c>
      <c r="F826" s="40">
        <v>4.822168357</v>
      </c>
      <c r="G826" s="40">
        <f>IFERROR(__xludf.DUMMYFUNCTION("sum(filter('PLA Sheet'!J:J,'PLA Sheet'!C:C=B826,'PLA Sheet'!D:D=C826))/E826*9"),4.1441708318456305)</f>
        <v>4.144170832</v>
      </c>
      <c r="H826" s="41">
        <v>0.371014493</v>
      </c>
      <c r="I826" s="41">
        <v>0.205797101</v>
      </c>
      <c r="J826" s="41">
        <v>0.423188406</v>
      </c>
      <c r="K826" s="41">
        <f t="shared" si="1"/>
        <v>-0.052173913</v>
      </c>
      <c r="L826" s="42">
        <v>2.686737268</v>
      </c>
      <c r="M826" s="45">
        <f>('Cy Young Rank'!O$1-G826)*E826/9</f>
        <v>-0.1898369668</v>
      </c>
      <c r="N826" s="42"/>
      <c r="O826" s="66"/>
      <c r="P826" s="42"/>
      <c r="Q826" s="67"/>
      <c r="R826" s="67"/>
    </row>
    <row r="827">
      <c r="A827" s="1" t="s">
        <v>275</v>
      </c>
      <c r="B827" s="38">
        <v>693821.0</v>
      </c>
      <c r="C827" s="44" t="s">
        <v>536</v>
      </c>
      <c r="D827" s="38">
        <v>1022.0</v>
      </c>
      <c r="E827" s="39">
        <f>IFERROR(__xludf.DUMMYFUNCTION("sum(filter('PLA Sheet'!H:H,'PLA Sheet'!C:C=B827,'PLA Sheet'!D:D=C827))"),65.69989367)</f>
        <v>65.69989367</v>
      </c>
      <c r="F827" s="40">
        <v>4.820938234</v>
      </c>
      <c r="G827" s="40">
        <f>IFERROR(__xludf.DUMMYFUNCTION("sum(filter('PLA Sheet'!J:J,'PLA Sheet'!C:C=B827,'PLA Sheet'!D:D=C827))/E827*9"),3.890275200197292)</f>
        <v>3.8902752</v>
      </c>
      <c r="H827" s="41">
        <v>0.394324853</v>
      </c>
      <c r="I827" s="41">
        <v>0.189823875</v>
      </c>
      <c r="J827" s="41">
        <v>0.415851272</v>
      </c>
      <c r="K827" s="41">
        <f t="shared" si="1"/>
        <v>-0.021526419</v>
      </c>
      <c r="L827" s="42">
        <v>4.464023757</v>
      </c>
      <c r="M827" s="45">
        <f>('Cy Young Rank'!O$1-G827)*E827/9</f>
        <v>1.238989033</v>
      </c>
      <c r="N827" s="42"/>
      <c r="O827" s="66"/>
      <c r="P827" s="42"/>
      <c r="Q827" s="67"/>
      <c r="R827" s="67"/>
    </row>
    <row r="828">
      <c r="A828" s="1" t="s">
        <v>451</v>
      </c>
      <c r="B828" s="38">
        <v>623474.0</v>
      </c>
      <c r="C828" s="44" t="s">
        <v>536</v>
      </c>
      <c r="D828" s="38">
        <v>341.0</v>
      </c>
      <c r="E828" s="39">
        <f>IFERROR(__xludf.DUMMYFUNCTION("sum(filter('PLA Sheet'!H:H,'PLA Sheet'!C:C=B828,'PLA Sheet'!D:D=C828))"),23.20592824)</f>
        <v>23.20592824</v>
      </c>
      <c r="F828" s="40">
        <v>4.820258742</v>
      </c>
      <c r="G828" s="40">
        <f>IFERROR(__xludf.DUMMYFUNCTION("sum(filter('PLA Sheet'!J:J,'PLA Sheet'!C:C=B828,'PLA Sheet'!D:D=C828))/E828*9"),3.8955499243584666)</f>
        <v>3.895549924</v>
      </c>
      <c r="H828" s="41">
        <v>0.448680352</v>
      </c>
      <c r="I828" s="41">
        <v>0.181818182</v>
      </c>
      <c r="J828" s="41">
        <v>0.369501466</v>
      </c>
      <c r="K828" s="41">
        <f t="shared" si="1"/>
        <v>0.079178886</v>
      </c>
      <c r="L828" s="42">
        <v>2.688685971</v>
      </c>
      <c r="M828" s="45">
        <f>('Cy Young Rank'!O$1-G828)*E828/9</f>
        <v>0.4240240727</v>
      </c>
      <c r="N828" s="42"/>
      <c r="O828" s="66"/>
      <c r="P828" s="42"/>
      <c r="Q828" s="67"/>
      <c r="R828" s="67"/>
    </row>
    <row r="829">
      <c r="A829" s="1" t="s">
        <v>279</v>
      </c>
      <c r="B829" s="38">
        <v>682842.0</v>
      </c>
      <c r="C829" s="44" t="s">
        <v>536</v>
      </c>
      <c r="D829" s="38">
        <v>580.0</v>
      </c>
      <c r="E829" s="39">
        <f>IFERROR(__xludf.DUMMYFUNCTION("sum(filter('PLA Sheet'!H:H,'PLA Sheet'!C:C=B829,'PLA Sheet'!D:D=C829))"),38.50801833)</f>
        <v>38.50801833</v>
      </c>
      <c r="F829" s="40">
        <v>4.819193114</v>
      </c>
      <c r="G829" s="40">
        <f>IFERROR(__xludf.DUMMYFUNCTION("sum(filter('PLA Sheet'!J:J,'PLA Sheet'!C:C=B829,'PLA Sheet'!D:D=C829))/E829*9"),3.705757818465233)</f>
        <v>3.705757818</v>
      </c>
      <c r="H829" s="41">
        <v>0.434482759</v>
      </c>
      <c r="I829" s="41">
        <v>0.155172414</v>
      </c>
      <c r="J829" s="41">
        <v>0.410344828</v>
      </c>
      <c r="K829" s="41">
        <f t="shared" si="1"/>
        <v>0.024137931</v>
      </c>
      <c r="L829" s="42">
        <v>8.380468282</v>
      </c>
      <c r="M829" s="45">
        <f>('Cy Young Rank'!O$1-G829)*E829/9</f>
        <v>1.515684936</v>
      </c>
      <c r="N829" s="42"/>
      <c r="O829" s="66"/>
      <c r="P829" s="42"/>
      <c r="Q829" s="67"/>
      <c r="R829" s="67"/>
    </row>
    <row r="830">
      <c r="A830" s="1" t="s">
        <v>284</v>
      </c>
      <c r="B830" s="38">
        <v>673513.0</v>
      </c>
      <c r="C830" s="44" t="s">
        <v>538</v>
      </c>
      <c r="D830" s="38">
        <v>329.0</v>
      </c>
      <c r="E830" s="39">
        <f>IFERROR(__xludf.DUMMYFUNCTION("sum(filter('PLA Sheet'!H:H,'PLA Sheet'!C:C=B830,'PLA Sheet'!D:D=C830))"),20.335844317)</f>
        <v>20.33584432</v>
      </c>
      <c r="F830" s="40">
        <v>4.817450275</v>
      </c>
      <c r="G830" s="40">
        <f>IFERROR(__xludf.DUMMYFUNCTION("sum(filter('PLA Sheet'!J:J,'PLA Sheet'!C:C=B830,'PLA Sheet'!D:D=C830))/E830*9"),4.020066918571896)</f>
        <v>4.020066919</v>
      </c>
      <c r="H830" s="41">
        <v>0.367781155</v>
      </c>
      <c r="I830" s="41">
        <v>0.20668693</v>
      </c>
      <c r="J830" s="41">
        <v>0.425531915</v>
      </c>
      <c r="K830" s="41">
        <f t="shared" si="1"/>
        <v>-0.05775076</v>
      </c>
      <c r="L830" s="42">
        <v>-1.927082815</v>
      </c>
      <c r="M830" s="45">
        <f>('Cy Young Rank'!O$1-G830)*E830/9</f>
        <v>0.09023032522</v>
      </c>
      <c r="N830" s="42"/>
      <c r="O830" s="66"/>
      <c r="P830" s="42"/>
      <c r="Q830" s="67"/>
      <c r="R830" s="67"/>
    </row>
    <row r="831">
      <c r="A831" s="1" t="s">
        <v>392</v>
      </c>
      <c r="B831" s="38">
        <v>489446.0</v>
      </c>
      <c r="C831" s="44" t="s">
        <v>538</v>
      </c>
      <c r="D831" s="38">
        <v>310.0</v>
      </c>
      <c r="E831" s="39">
        <f>IFERROR(__xludf.DUMMYFUNCTION("sum(filter('PLA Sheet'!H:H,'PLA Sheet'!C:C=B831,'PLA Sheet'!D:D=C831))"),17.466316714)</f>
        <v>17.46631671</v>
      </c>
      <c r="F831" s="40">
        <v>4.816416431</v>
      </c>
      <c r="G831" s="40">
        <f>IFERROR(__xludf.DUMMYFUNCTION("sum(filter('PLA Sheet'!J:J,'PLA Sheet'!C:C=B831,'PLA Sheet'!D:D=C831))/E831*9"),4.4978768727484315)</f>
        <v>4.497876873</v>
      </c>
      <c r="H831" s="41">
        <v>0.364516129</v>
      </c>
      <c r="I831" s="41">
        <v>0.241935484</v>
      </c>
      <c r="J831" s="41">
        <v>0.393548387</v>
      </c>
      <c r="K831" s="41">
        <f t="shared" si="1"/>
        <v>-0.029032258</v>
      </c>
      <c r="L831" s="42">
        <v>-3.119974536</v>
      </c>
      <c r="M831" s="45">
        <f>('Cy Young Rank'!O$1-G831)*E831/9</f>
        <v>-0.8497884601</v>
      </c>
      <c r="N831" s="42"/>
      <c r="O831" s="66"/>
      <c r="P831" s="42"/>
      <c r="Q831" s="67"/>
      <c r="R831" s="67"/>
    </row>
    <row r="832">
      <c r="A832" s="1" t="s">
        <v>330</v>
      </c>
      <c r="B832" s="38">
        <v>680730.0</v>
      </c>
      <c r="C832" s="44" t="s">
        <v>538</v>
      </c>
      <c r="D832" s="38">
        <v>276.0</v>
      </c>
      <c r="E832" s="39">
        <f>IFERROR(__xludf.DUMMYFUNCTION("sum(filter('PLA Sheet'!H:H,'PLA Sheet'!C:C=B832,'PLA Sheet'!D:D=C832))"),17.538461543)</f>
        <v>17.53846154</v>
      </c>
      <c r="F832" s="40">
        <v>4.815444171</v>
      </c>
      <c r="G832" s="40">
        <f>IFERROR(__xludf.DUMMYFUNCTION("sum(filter('PLA Sheet'!J:J,'PLA Sheet'!C:C=B832,'PLA Sheet'!D:D=C832))/E832*9"),3.9918747621249095)</f>
        <v>3.991874762</v>
      </c>
      <c r="H832" s="41">
        <v>0.336956522</v>
      </c>
      <c r="I832" s="41">
        <v>0.202898551</v>
      </c>
      <c r="J832" s="41">
        <v>0.460144928</v>
      </c>
      <c r="K832" s="41">
        <f t="shared" si="1"/>
        <v>-0.123188406</v>
      </c>
      <c r="L832" s="42">
        <v>1.936689054</v>
      </c>
      <c r="M832" s="45">
        <f>('Cy Young Rank'!O$1-G832)*E832/9</f>
        <v>0.1327568738</v>
      </c>
      <c r="N832" s="42"/>
      <c r="O832" s="66"/>
      <c r="P832" s="42"/>
      <c r="Q832" s="67"/>
      <c r="R832" s="67"/>
    </row>
    <row r="833">
      <c r="A833" s="1" t="s">
        <v>321</v>
      </c>
      <c r="B833" s="38">
        <v>607200.0</v>
      </c>
      <c r="C833" s="44" t="s">
        <v>536</v>
      </c>
      <c r="D833" s="38">
        <v>787.0</v>
      </c>
      <c r="E833" s="39">
        <f>IFERROR(__xludf.DUMMYFUNCTION("sum(filter('PLA Sheet'!H:H,'PLA Sheet'!C:C=B833,'PLA Sheet'!D:D=C833))"),48.150696499999995)</f>
        <v>48.1506965</v>
      </c>
      <c r="F833" s="40">
        <v>4.814693822</v>
      </c>
      <c r="G833" s="40">
        <f>IFERROR(__xludf.DUMMYFUNCTION("sum(filter('PLA Sheet'!J:J,'PLA Sheet'!C:C=B833,'PLA Sheet'!D:D=C833))/E833*9"),4.144578552461853)</f>
        <v>4.144578552</v>
      </c>
      <c r="H833" s="41">
        <v>0.387547649</v>
      </c>
      <c r="I833" s="41">
        <v>0.205844981</v>
      </c>
      <c r="J833" s="41">
        <v>0.40660737</v>
      </c>
      <c r="K833" s="41">
        <f t="shared" si="1"/>
        <v>-0.019059721</v>
      </c>
      <c r="L833" s="42">
        <v>3.795357301</v>
      </c>
      <c r="M833" s="45">
        <f>('Cy Young Rank'!O$1-G833)*E833/9</f>
        <v>-0.4525018011</v>
      </c>
      <c r="N833" s="42"/>
      <c r="O833" s="66"/>
      <c r="P833" s="42"/>
      <c r="Q833" s="67"/>
      <c r="R833" s="67"/>
    </row>
    <row r="834">
      <c r="A834" s="1" t="s">
        <v>404</v>
      </c>
      <c r="B834" s="38">
        <v>593974.0</v>
      </c>
      <c r="C834" s="44" t="s">
        <v>536</v>
      </c>
      <c r="D834" s="38">
        <v>490.0</v>
      </c>
      <c r="E834" s="39">
        <f>IFERROR(__xludf.DUMMYFUNCTION("sum(filter('PLA Sheet'!H:H,'PLA Sheet'!C:C=B834,'PLA Sheet'!D:D=C834))"),31.2360867)</f>
        <v>31.2360867</v>
      </c>
      <c r="F834" s="40">
        <v>4.814240119</v>
      </c>
      <c r="G834" s="40">
        <f>IFERROR(__xludf.DUMMYFUNCTION("sum(filter('PLA Sheet'!J:J,'PLA Sheet'!C:C=B834,'PLA Sheet'!D:D=C834))/E834*9"),3.8179495448768876)</f>
        <v>3.817949545</v>
      </c>
      <c r="H834" s="41">
        <v>0.459183673</v>
      </c>
      <c r="I834" s="41">
        <v>0.153061224</v>
      </c>
      <c r="J834" s="41">
        <v>0.387755102</v>
      </c>
      <c r="K834" s="41">
        <f t="shared" si="1"/>
        <v>0.071428571</v>
      </c>
      <c r="L834" s="42">
        <v>4.296875162</v>
      </c>
      <c r="M834" s="45">
        <f>('Cy Young Rank'!O$1-G834)*E834/9</f>
        <v>0.840078778</v>
      </c>
      <c r="N834" s="42"/>
      <c r="O834" s="66"/>
      <c r="P834" s="42"/>
      <c r="Q834" s="67"/>
      <c r="R834" s="67"/>
    </row>
    <row r="835">
      <c r="A835" s="1" t="s">
        <v>388</v>
      </c>
      <c r="B835" s="38">
        <v>687863.0</v>
      </c>
      <c r="C835" s="44" t="s">
        <v>537</v>
      </c>
      <c r="D835" s="38">
        <v>295.0</v>
      </c>
      <c r="E835" s="39">
        <f>IFERROR(__xludf.DUMMYFUNCTION("sum(filter('PLA Sheet'!H:H,'PLA Sheet'!C:C=B835,'PLA Sheet'!D:D=C835))"),16.605769232)</f>
        <v>16.60576923</v>
      </c>
      <c r="F835" s="40">
        <v>4.811830629</v>
      </c>
      <c r="G835" s="40">
        <f>IFERROR(__xludf.DUMMYFUNCTION("sum(filter('PLA Sheet'!J:J,'PLA Sheet'!C:C=B835,'PLA Sheet'!D:D=C835))/E835*9"),4.806511754131307)</f>
        <v>4.806511754</v>
      </c>
      <c r="H835" s="41">
        <v>0.46440678</v>
      </c>
      <c r="I835" s="41">
        <v>0.101694915</v>
      </c>
      <c r="J835" s="41">
        <v>0.433898305</v>
      </c>
      <c r="K835" s="41">
        <f t="shared" si="1"/>
        <v>0.030508475</v>
      </c>
      <c r="L835" s="42">
        <v>-1.12917511</v>
      </c>
      <c r="M835" s="45">
        <f>('Cy Young Rank'!O$1-G835)*E835/9</f>
        <v>-1.377377991</v>
      </c>
      <c r="N835" s="42"/>
      <c r="O835" s="66"/>
      <c r="P835" s="42"/>
      <c r="Q835" s="67"/>
      <c r="R835" s="67"/>
    </row>
    <row r="836">
      <c r="A836" s="1" t="s">
        <v>336</v>
      </c>
      <c r="B836" s="38">
        <v>605488.0</v>
      </c>
      <c r="C836" s="44" t="s">
        <v>537</v>
      </c>
      <c r="D836" s="38">
        <v>1176.0</v>
      </c>
      <c r="E836" s="39">
        <f>IFERROR(__xludf.DUMMYFUNCTION("sum(filter('PLA Sheet'!H:H,'PLA Sheet'!C:C=B836,'PLA Sheet'!D:D=C836))"),72.94237525999999)</f>
        <v>72.94237526</v>
      </c>
      <c r="F836" s="40">
        <v>4.809569577</v>
      </c>
      <c r="G836" s="40">
        <f>IFERROR(__xludf.DUMMYFUNCTION("sum(filter('PLA Sheet'!J:J,'PLA Sheet'!C:C=B836,'PLA Sheet'!D:D=C836))/E836*9"),4.2522890966246285)</f>
        <v>4.252289097</v>
      </c>
      <c r="H836" s="41">
        <v>0.420918367</v>
      </c>
      <c r="I836" s="41">
        <v>0.158163265</v>
      </c>
      <c r="J836" s="41">
        <v>0.420918367</v>
      </c>
      <c r="K836" s="41">
        <f t="shared" si="1"/>
        <v>0</v>
      </c>
      <c r="L836" s="42">
        <v>3.977442812</v>
      </c>
      <c r="M836" s="45">
        <f>('Cy Young Rank'!O$1-G836)*E836/9</f>
        <v>-1.558447049</v>
      </c>
      <c r="N836" s="42"/>
      <c r="O836" s="66"/>
      <c r="P836" s="42"/>
      <c r="Q836" s="67"/>
      <c r="R836" s="67"/>
    </row>
    <row r="837">
      <c r="A837" s="1" t="s">
        <v>472</v>
      </c>
      <c r="B837" s="38">
        <v>675911.0</v>
      </c>
      <c r="C837" s="44" t="s">
        <v>533</v>
      </c>
      <c r="D837" s="38">
        <v>724.0</v>
      </c>
      <c r="E837" s="39">
        <f>IFERROR(__xludf.DUMMYFUNCTION("sum(filter('PLA Sheet'!H:H,'PLA Sheet'!C:C=B837,'PLA Sheet'!D:D=C837))"),44.19336493)</f>
        <v>44.19336493</v>
      </c>
      <c r="F837" s="40">
        <v>4.808691739</v>
      </c>
      <c r="G837" s="40">
        <f>IFERROR(__xludf.DUMMYFUNCTION("sum(filter('PLA Sheet'!J:J,'PLA Sheet'!C:C=B837,'PLA Sheet'!D:D=C837))/E837*9"),4.005224342621697)</f>
        <v>4.005224343</v>
      </c>
      <c r="H837" s="41">
        <v>0.38121547</v>
      </c>
      <c r="I837" s="41">
        <v>0.220994475</v>
      </c>
      <c r="J837" s="41">
        <v>0.397790055</v>
      </c>
      <c r="K837" s="41">
        <f t="shared" si="1"/>
        <v>-0.016574585</v>
      </c>
      <c r="L837" s="42">
        <v>-3.756475383</v>
      </c>
      <c r="M837" s="45">
        <f>('Cy Young Rank'!O$1-G837)*E837/9</f>
        <v>0.2689689573</v>
      </c>
      <c r="N837" s="42"/>
      <c r="O837" s="66"/>
      <c r="P837" s="42"/>
      <c r="Q837" s="67"/>
      <c r="R837" s="67"/>
    </row>
    <row r="838">
      <c r="A838" s="1" t="s">
        <v>294</v>
      </c>
      <c r="B838" s="38">
        <v>665152.0</v>
      </c>
      <c r="C838" s="44" t="s">
        <v>538</v>
      </c>
      <c r="D838" s="38">
        <v>550.0</v>
      </c>
      <c r="E838" s="39">
        <f>IFERROR(__xludf.DUMMYFUNCTION("sum(filter('PLA Sheet'!H:H,'PLA Sheet'!C:C=B838,'PLA Sheet'!D:D=C838))"),36.093363049)</f>
        <v>36.09336305</v>
      </c>
      <c r="F838" s="40">
        <v>4.808355994</v>
      </c>
      <c r="G838" s="40">
        <f>IFERROR(__xludf.DUMMYFUNCTION("sum(filter('PLA Sheet'!J:J,'PLA Sheet'!C:C=B838,'PLA Sheet'!D:D=C838))/E838*9"),3.7519942604448437)</f>
        <v>3.75199426</v>
      </c>
      <c r="H838" s="41">
        <v>0.354545455</v>
      </c>
      <c r="I838" s="41">
        <v>0.245454545</v>
      </c>
      <c r="J838" s="41">
        <v>0.4</v>
      </c>
      <c r="K838" s="41">
        <f t="shared" si="1"/>
        <v>-0.045454545</v>
      </c>
      <c r="L838" s="42">
        <v>4.668261239</v>
      </c>
      <c r="M838" s="45">
        <f>('Cy Young Rank'!O$1-G838)*E838/9</f>
        <v>1.235218109</v>
      </c>
      <c r="N838" s="42"/>
      <c r="O838" s="66"/>
      <c r="P838" s="42"/>
      <c r="Q838" s="67"/>
      <c r="R838" s="67"/>
    </row>
    <row r="839">
      <c r="A839" s="1" t="s">
        <v>413</v>
      </c>
      <c r="B839" s="38">
        <v>671737.0</v>
      </c>
      <c r="C839" s="44" t="s">
        <v>538</v>
      </c>
      <c r="D839" s="38">
        <v>347.0</v>
      </c>
      <c r="E839" s="39">
        <f>IFERROR(__xludf.DUMMYFUNCTION("sum(filter('PLA Sheet'!H:H,'PLA Sheet'!C:C=B839,'PLA Sheet'!D:D=C839))"),22.113019228)</f>
        <v>22.11301923</v>
      </c>
      <c r="F839" s="40">
        <v>4.808200211</v>
      </c>
      <c r="G839" s="40">
        <f>IFERROR(__xludf.DUMMYFUNCTION("sum(filter('PLA Sheet'!J:J,'PLA Sheet'!C:C=B839,'PLA Sheet'!D:D=C839))/E839*9"),3.8096259100308867)</f>
        <v>3.80962591</v>
      </c>
      <c r="H839" s="41">
        <v>0.351585014</v>
      </c>
      <c r="I839" s="41">
        <v>0.239193084</v>
      </c>
      <c r="J839" s="41">
        <v>0.409221902</v>
      </c>
      <c r="K839" s="41">
        <f t="shared" si="1"/>
        <v>-0.057636888</v>
      </c>
      <c r="L839" s="42">
        <v>1.696161121</v>
      </c>
      <c r="M839" s="45">
        <f>('Cy Young Rank'!O$1-G839)*E839/9</f>
        <v>0.615169674</v>
      </c>
      <c r="N839" s="42"/>
      <c r="O839" s="66"/>
      <c r="P839" s="42"/>
      <c r="Q839" s="67"/>
      <c r="R839" s="67"/>
    </row>
    <row r="840">
      <c r="A840" s="1" t="s">
        <v>520</v>
      </c>
      <c r="B840" s="38">
        <v>641656.0</v>
      </c>
      <c r="C840" s="44" t="s">
        <v>536</v>
      </c>
      <c r="D840" s="38">
        <v>295.0</v>
      </c>
      <c r="E840" s="39">
        <f>IFERROR(__xludf.DUMMYFUNCTION("sum(filter('PLA Sheet'!H:H,'PLA Sheet'!C:C=B840,'PLA Sheet'!D:D=C840))"),19.125)</f>
        <v>19.125</v>
      </c>
      <c r="F840" s="40">
        <v>4.80811623</v>
      </c>
      <c r="G840" s="40">
        <f>IFERROR(__xludf.DUMMYFUNCTION("sum(filter('PLA Sheet'!J:J,'PLA Sheet'!C:C=B840,'PLA Sheet'!D:D=C840))/E840*9"),3.9705303529411764)</f>
        <v>3.970530353</v>
      </c>
      <c r="H840" s="41">
        <v>0.461016949</v>
      </c>
      <c r="I840" s="41">
        <v>0.183050847</v>
      </c>
      <c r="J840" s="41">
        <v>0.355932203</v>
      </c>
      <c r="K840" s="41">
        <f t="shared" si="1"/>
        <v>0.105084746</v>
      </c>
      <c r="L840" s="42">
        <v>5.309148179</v>
      </c>
      <c r="M840" s="45">
        <f>('Cy Young Rank'!O$1-G840)*E840/9</f>
        <v>0.190123</v>
      </c>
      <c r="N840" s="42"/>
      <c r="O840" s="66"/>
      <c r="P840" s="42"/>
      <c r="Q840" s="67"/>
      <c r="R840" s="67"/>
    </row>
    <row r="841">
      <c r="A841" s="1" t="s">
        <v>514</v>
      </c>
      <c r="B841" s="38">
        <v>806185.0</v>
      </c>
      <c r="C841" s="44" t="s">
        <v>533</v>
      </c>
      <c r="D841" s="38">
        <v>298.0</v>
      </c>
      <c r="E841" s="39">
        <f>IFERROR(__xludf.DUMMYFUNCTION("sum(filter('PLA Sheet'!H:H,'PLA Sheet'!C:C=B841,'PLA Sheet'!D:D=C841))"),16.88414294)</f>
        <v>16.88414294</v>
      </c>
      <c r="F841" s="40">
        <v>4.807607425</v>
      </c>
      <c r="G841" s="40">
        <f>IFERROR(__xludf.DUMMYFUNCTION("sum(filter('PLA Sheet'!J:J,'PLA Sheet'!C:C=B841,'PLA Sheet'!D:D=C841))/E841*9"),4.49256377830689)</f>
        <v>4.492563778</v>
      </c>
      <c r="H841" s="41">
        <v>0.389261745</v>
      </c>
      <c r="I841" s="41">
        <v>0.204697987</v>
      </c>
      <c r="J841" s="41">
        <v>0.406040268</v>
      </c>
      <c r="K841" s="41">
        <f t="shared" si="1"/>
        <v>-0.016778523</v>
      </c>
      <c r="L841" s="42">
        <v>-3.831155587</v>
      </c>
      <c r="M841" s="45">
        <f>('Cy Young Rank'!O$1-G841)*E841/9</f>
        <v>-0.8114965182</v>
      </c>
      <c r="N841" s="42"/>
      <c r="O841" s="66"/>
      <c r="P841" s="42"/>
      <c r="Q841" s="67"/>
      <c r="R841" s="67"/>
    </row>
    <row r="842">
      <c r="A842" s="1" t="s">
        <v>452</v>
      </c>
      <c r="B842" s="38">
        <v>607625.0</v>
      </c>
      <c r="C842" s="44" t="s">
        <v>536</v>
      </c>
      <c r="D842" s="38">
        <v>341.0</v>
      </c>
      <c r="E842" s="39">
        <f>IFERROR(__xludf.DUMMYFUNCTION("sum(filter('PLA Sheet'!H:H,'PLA Sheet'!C:C=B842,'PLA Sheet'!D:D=C842))"),21.14606112)</f>
        <v>21.14606112</v>
      </c>
      <c r="F842" s="40">
        <v>4.805136688</v>
      </c>
      <c r="G842" s="40">
        <f>IFERROR(__xludf.DUMMYFUNCTION("sum(filter('PLA Sheet'!J:J,'PLA Sheet'!C:C=B842,'PLA Sheet'!D:D=C842))/E842*9"),3.9521011277583975)</f>
        <v>3.952101128</v>
      </c>
      <c r="H842" s="41">
        <v>0.416422287</v>
      </c>
      <c r="I842" s="41">
        <v>0.228739003</v>
      </c>
      <c r="J842" s="41">
        <v>0.35483871</v>
      </c>
      <c r="K842" s="41">
        <f t="shared" si="1"/>
        <v>0.061583577</v>
      </c>
      <c r="L842" s="42">
        <v>6.679843162</v>
      </c>
      <c r="M842" s="45">
        <f>('Cy Young Rank'!O$1-G842)*E842/9</f>
        <v>0.2535151275</v>
      </c>
      <c r="N842" s="42"/>
      <c r="O842" s="66"/>
      <c r="P842" s="42"/>
      <c r="Q842" s="67"/>
      <c r="R842" s="67"/>
    </row>
    <row r="843">
      <c r="A843" s="1" t="s">
        <v>473</v>
      </c>
      <c r="B843" s="38">
        <v>527048.0</v>
      </c>
      <c r="C843" s="44" t="s">
        <v>536</v>
      </c>
      <c r="D843" s="38">
        <v>271.0</v>
      </c>
      <c r="E843" s="39">
        <f>IFERROR(__xludf.DUMMYFUNCTION("sum(filter('PLA Sheet'!H:H,'PLA Sheet'!C:C=B843,'PLA Sheet'!D:D=C843))"),17.422222220000002)</f>
        <v>17.42222222</v>
      </c>
      <c r="F843" s="40">
        <v>4.803208483</v>
      </c>
      <c r="G843" s="40">
        <f>IFERROR(__xludf.DUMMYFUNCTION("sum(filter('PLA Sheet'!J:J,'PLA Sheet'!C:C=B843,'PLA Sheet'!D:D=C843))/E843*9"),4.030804343626377)</f>
        <v>4.030804344</v>
      </c>
      <c r="H843" s="41">
        <v>0.409594096</v>
      </c>
      <c r="I843" s="41">
        <v>0.177121771</v>
      </c>
      <c r="J843" s="41">
        <v>0.413284133</v>
      </c>
      <c r="K843" s="41">
        <f t="shared" si="1"/>
        <v>-0.003690037</v>
      </c>
      <c r="L843" s="42">
        <v>8.086626323</v>
      </c>
      <c r="M843" s="45">
        <f>('Cy Young Rank'!O$1-G843)*E843/9</f>
        <v>0.05651702369</v>
      </c>
      <c r="N843" s="42"/>
      <c r="O843" s="66"/>
      <c r="P843" s="42"/>
      <c r="Q843" s="67"/>
      <c r="R843" s="67"/>
    </row>
    <row r="844">
      <c r="A844" s="1" t="s">
        <v>399</v>
      </c>
      <c r="B844" s="38">
        <v>543294.0</v>
      </c>
      <c r="C844" s="44" t="s">
        <v>536</v>
      </c>
      <c r="D844" s="38">
        <v>946.0</v>
      </c>
      <c r="E844" s="39">
        <f>IFERROR(__xludf.DUMMYFUNCTION("sum(filter('PLA Sheet'!H:H,'PLA Sheet'!C:C=B844,'PLA Sheet'!D:D=C844))"),62.5899728)</f>
        <v>62.5899728</v>
      </c>
      <c r="F844" s="40">
        <v>4.801000591</v>
      </c>
      <c r="G844" s="40">
        <f>IFERROR(__xludf.DUMMYFUNCTION("sum(filter('PLA Sheet'!J:J,'PLA Sheet'!C:C=B844,'PLA Sheet'!D:D=C844))/E844*9"),3.8659393857413535)</f>
        <v>3.865939386</v>
      </c>
      <c r="H844" s="41">
        <v>0.380549683</v>
      </c>
      <c r="I844" s="41">
        <v>0.21564482</v>
      </c>
      <c r="J844" s="41">
        <v>0.403805497</v>
      </c>
      <c r="K844" s="41">
        <f t="shared" si="1"/>
        <v>-0.023255814</v>
      </c>
      <c r="L844" s="42">
        <v>9.167033529</v>
      </c>
      <c r="M844" s="45">
        <f>('Cy Young Rank'!O$1-G844)*E844/9</f>
        <v>1.349583174</v>
      </c>
      <c r="N844" s="42"/>
      <c r="O844" s="66"/>
      <c r="P844" s="42"/>
      <c r="Q844" s="67"/>
      <c r="R844" s="67"/>
    </row>
    <row r="845">
      <c r="A845" s="1" t="s">
        <v>490</v>
      </c>
      <c r="B845" s="38">
        <v>680573.0</v>
      </c>
      <c r="C845" s="44" t="s">
        <v>537</v>
      </c>
      <c r="D845" s="38">
        <v>825.0</v>
      </c>
      <c r="E845" s="39">
        <f>IFERROR(__xludf.DUMMYFUNCTION("sum(filter('PLA Sheet'!H:H,'PLA Sheet'!C:C=B845,'PLA Sheet'!D:D=C845))"),50.71390517)</f>
        <v>50.71390517</v>
      </c>
      <c r="F845" s="40">
        <v>4.800751995</v>
      </c>
      <c r="G845" s="40">
        <f>IFERROR(__xludf.DUMMYFUNCTION("sum(filter('PLA Sheet'!J:J,'PLA Sheet'!C:C=B845,'PLA Sheet'!D:D=C845))/E845*9"),4.111481482268979)</f>
        <v>4.111481482</v>
      </c>
      <c r="H845" s="41">
        <v>0.43030303</v>
      </c>
      <c r="I845" s="41">
        <v>0.186666667</v>
      </c>
      <c r="J845" s="41">
        <v>0.383030303</v>
      </c>
      <c r="K845" s="41">
        <f t="shared" si="1"/>
        <v>0.047272727</v>
      </c>
      <c r="L845" s="42">
        <v>5.471840173</v>
      </c>
      <c r="M845" s="45">
        <f>('Cy Young Rank'!O$1-G845)*E845/9</f>
        <v>-0.29009189</v>
      </c>
      <c r="N845" s="42"/>
      <c r="O845" s="66"/>
      <c r="P845" s="42"/>
      <c r="Q845" s="67"/>
      <c r="R845" s="67"/>
    </row>
    <row r="846">
      <c r="A846" s="1" t="s">
        <v>484</v>
      </c>
      <c r="B846" s="38">
        <v>682847.0</v>
      </c>
      <c r="C846" s="44" t="s">
        <v>537</v>
      </c>
      <c r="D846" s="38">
        <v>437.0</v>
      </c>
      <c r="E846" s="39">
        <f>IFERROR(__xludf.DUMMYFUNCTION("sum(filter('PLA Sheet'!H:H,'PLA Sheet'!C:C=B846,'PLA Sheet'!D:D=C846))"),26.050632913)</f>
        <v>26.05063291</v>
      </c>
      <c r="F846" s="40">
        <v>4.798401454</v>
      </c>
      <c r="G846" s="40">
        <f>IFERROR(__xludf.DUMMYFUNCTION("sum(filter('PLA Sheet'!J:J,'PLA Sheet'!C:C=B846,'PLA Sheet'!D:D=C846))/E846*9"),4.353905579906246)</f>
        <v>4.35390558</v>
      </c>
      <c r="H846" s="41">
        <v>0.443935927</v>
      </c>
      <c r="I846" s="41">
        <v>0.162471396</v>
      </c>
      <c r="J846" s="41">
        <v>0.393592677</v>
      </c>
      <c r="K846" s="41">
        <f t="shared" si="1"/>
        <v>0.05034325</v>
      </c>
      <c r="L846" s="42">
        <v>-1.068948359</v>
      </c>
      <c r="M846" s="45">
        <f>('Cy Young Rank'!O$1-G846)*E846/9</f>
        <v>-0.8507140415</v>
      </c>
      <c r="N846" s="42"/>
      <c r="O846" s="66"/>
      <c r="P846" s="42"/>
      <c r="Q846" s="67"/>
      <c r="R846" s="67"/>
    </row>
    <row r="847">
      <c r="A847" s="1" t="s">
        <v>477</v>
      </c>
      <c r="B847" s="38">
        <v>677958.0</v>
      </c>
      <c r="C847" s="44" t="s">
        <v>536</v>
      </c>
      <c r="D847" s="38">
        <v>285.0</v>
      </c>
      <c r="E847" s="39">
        <f>IFERROR(__xludf.DUMMYFUNCTION("sum(filter('PLA Sheet'!H:H,'PLA Sheet'!C:C=B847,'PLA Sheet'!D:D=C847))"),16.839692398)</f>
        <v>16.8396924</v>
      </c>
      <c r="F847" s="40">
        <v>4.798213558</v>
      </c>
      <c r="G847" s="40">
        <f>IFERROR(__xludf.DUMMYFUNCTION("sum(filter('PLA Sheet'!J:J,'PLA Sheet'!C:C=B847,'PLA Sheet'!D:D=C847))/E847*9"),4.3685766498167835)</f>
        <v>4.36857665</v>
      </c>
      <c r="H847" s="41">
        <v>0.421052632</v>
      </c>
      <c r="I847" s="41">
        <v>0.18245614</v>
      </c>
      <c r="J847" s="41">
        <v>0.396491228</v>
      </c>
      <c r="K847" s="41">
        <f t="shared" si="1"/>
        <v>0.024561404</v>
      </c>
      <c r="L847" s="42">
        <v>6.02621565</v>
      </c>
      <c r="M847" s="45">
        <f>('Cy Young Rank'!O$1-G847)*E847/9</f>
        <v>-0.5773706516</v>
      </c>
      <c r="N847" s="42"/>
      <c r="O847" s="66"/>
      <c r="P847" s="42"/>
      <c r="Q847" s="67"/>
      <c r="R847" s="67"/>
    </row>
    <row r="848">
      <c r="A848" s="1" t="s">
        <v>303</v>
      </c>
      <c r="B848" s="38">
        <v>592662.0</v>
      </c>
      <c r="C848" s="44" t="s">
        <v>533</v>
      </c>
      <c r="D848" s="38">
        <v>674.0</v>
      </c>
      <c r="E848" s="39">
        <f>IFERROR(__xludf.DUMMYFUNCTION("sum(filter('PLA Sheet'!H:H,'PLA Sheet'!C:C=B848,'PLA Sheet'!D:D=C848))"),41.18546285)</f>
        <v>41.18546285</v>
      </c>
      <c r="F848" s="40">
        <v>4.795601159</v>
      </c>
      <c r="G848" s="40">
        <f>IFERROR(__xludf.DUMMYFUNCTION("sum(filter('PLA Sheet'!J:J,'PLA Sheet'!C:C=B848,'PLA Sheet'!D:D=C848))/E848*9"),4.046122672140857)</f>
        <v>4.046122672</v>
      </c>
      <c r="H848" s="41">
        <v>0.34272997</v>
      </c>
      <c r="I848" s="41">
        <v>0.241839763</v>
      </c>
      <c r="J848" s="41">
        <v>0.415430267</v>
      </c>
      <c r="K848" s="41">
        <f t="shared" si="1"/>
        <v>-0.072700297</v>
      </c>
      <c r="L848" s="42">
        <v>5.723224681</v>
      </c>
      <c r="M848" s="45">
        <f>('Cy Young Rank'!O$1-G848)*E848/9</f>
        <v>0.06350490789</v>
      </c>
      <c r="N848" s="42"/>
      <c r="O848" s="66"/>
      <c r="P848" s="42"/>
      <c r="Q848" s="67"/>
      <c r="R848" s="67"/>
    </row>
    <row r="849">
      <c r="A849" s="1" t="s">
        <v>164</v>
      </c>
      <c r="B849" s="38">
        <v>669923.0</v>
      </c>
      <c r="C849" s="44" t="s">
        <v>537</v>
      </c>
      <c r="D849" s="38">
        <v>590.0</v>
      </c>
      <c r="E849" s="39">
        <f>IFERROR(__xludf.DUMMYFUNCTION("sum(filter('PLA Sheet'!H:H,'PLA Sheet'!C:C=B849,'PLA Sheet'!D:D=C849))"),36.48322148)</f>
        <v>36.48322148</v>
      </c>
      <c r="F849" s="40">
        <v>4.795581988</v>
      </c>
      <c r="G849" s="40">
        <f>IFERROR(__xludf.DUMMYFUNCTION("sum(filter('PLA Sheet'!J:J,'PLA Sheet'!C:C=B849,'PLA Sheet'!D:D=C849))/E849*9"),4.213008795954606)</f>
        <v>4.213008796</v>
      </c>
      <c r="H849" s="41">
        <v>0.415254237</v>
      </c>
      <c r="I849" s="41">
        <v>0.188135593</v>
      </c>
      <c r="J849" s="41">
        <v>0.396610169</v>
      </c>
      <c r="K849" s="41">
        <f t="shared" si="1"/>
        <v>0.018644068</v>
      </c>
      <c r="L849" s="42">
        <v>5.068689767</v>
      </c>
      <c r="M849" s="45">
        <f>('Cy Young Rank'!O$1-G849)*E849/9</f>
        <v>-0.6202504212</v>
      </c>
      <c r="N849" s="42"/>
      <c r="O849" s="66"/>
      <c r="P849" s="42"/>
      <c r="Q849" s="67"/>
      <c r="R849" s="67"/>
    </row>
    <row r="850">
      <c r="A850" s="1" t="s">
        <v>155</v>
      </c>
      <c r="B850" s="38">
        <v>592332.0</v>
      </c>
      <c r="C850" s="44" t="s">
        <v>533</v>
      </c>
      <c r="D850" s="38">
        <v>256.0</v>
      </c>
      <c r="E850" s="39">
        <f>IFERROR(__xludf.DUMMYFUNCTION("sum(filter('PLA Sheet'!H:H,'PLA Sheet'!C:C=B850,'PLA Sheet'!D:D=C850))"),16.699471595)</f>
        <v>16.6994716</v>
      </c>
      <c r="F850" s="40">
        <v>4.795179105</v>
      </c>
      <c r="G850" s="40">
        <f>IFERROR(__xludf.DUMMYFUNCTION("sum(filter('PLA Sheet'!J:J,'PLA Sheet'!C:C=B850,'PLA Sheet'!D:D=C850))/E850*9"),3.933784648591452)</f>
        <v>3.933784649</v>
      </c>
      <c r="H850" s="41">
        <v>0.3515625</v>
      </c>
      <c r="I850" s="41">
        <v>0.19921875</v>
      </c>
      <c r="J850" s="41">
        <v>0.44921875</v>
      </c>
      <c r="K850" s="41">
        <f t="shared" si="1"/>
        <v>-0.09765625</v>
      </c>
      <c r="L850" s="42">
        <v>-3.655630486</v>
      </c>
      <c r="M850" s="45">
        <f>('Cy Young Rank'!O$1-G850)*E850/9</f>
        <v>0.2341921862</v>
      </c>
      <c r="N850" s="42"/>
      <c r="O850" s="66"/>
      <c r="P850" s="42"/>
      <c r="Q850" s="67"/>
      <c r="R850" s="67"/>
    </row>
    <row r="851">
      <c r="A851" s="1" t="s">
        <v>505</v>
      </c>
      <c r="B851" s="38">
        <v>621053.0</v>
      </c>
      <c r="C851" s="44" t="s">
        <v>537</v>
      </c>
      <c r="D851" s="38">
        <v>366.0</v>
      </c>
      <c r="E851" s="39">
        <f>IFERROR(__xludf.DUMMYFUNCTION("sum(filter('PLA Sheet'!H:H,'PLA Sheet'!C:C=B851,'PLA Sheet'!D:D=C851))"),22.262626266)</f>
        <v>22.26262627</v>
      </c>
      <c r="F851" s="40">
        <v>4.79388911</v>
      </c>
      <c r="G851" s="40">
        <f>IFERROR(__xludf.DUMMYFUNCTION("sum(filter('PLA Sheet'!J:J,'PLA Sheet'!C:C=B851,'PLA Sheet'!D:D=C851))/E851*9"),4.331407303336348)</f>
        <v>4.331407303</v>
      </c>
      <c r="H851" s="41">
        <v>0.428961749</v>
      </c>
      <c r="I851" s="41">
        <v>0.229508197</v>
      </c>
      <c r="J851" s="41">
        <v>0.341530055</v>
      </c>
      <c r="K851" s="41">
        <f t="shared" si="1"/>
        <v>0.087431694</v>
      </c>
      <c r="L851" s="42">
        <v>6.320846998</v>
      </c>
      <c r="M851" s="45">
        <f>('Cy Young Rank'!O$1-G851)*E851/9</f>
        <v>-0.6713599289</v>
      </c>
      <c r="N851" s="42"/>
      <c r="O851" s="66"/>
      <c r="P851" s="42"/>
      <c r="Q851" s="67"/>
      <c r="R851" s="67"/>
    </row>
    <row r="852">
      <c r="A852" s="1" t="s">
        <v>226</v>
      </c>
      <c r="B852" s="38">
        <v>607259.0</v>
      </c>
      <c r="C852" s="44" t="s">
        <v>536</v>
      </c>
      <c r="D852" s="38">
        <v>429.0</v>
      </c>
      <c r="E852" s="39">
        <f>IFERROR(__xludf.DUMMYFUNCTION("sum(filter('PLA Sheet'!H:H,'PLA Sheet'!C:C=B852,'PLA Sheet'!D:D=C852))"),28.339410394)</f>
        <v>28.33941039</v>
      </c>
      <c r="F852" s="40">
        <v>4.792753279</v>
      </c>
      <c r="G852" s="40">
        <f>IFERROR(__xludf.DUMMYFUNCTION("sum(filter('PLA Sheet'!J:J,'PLA Sheet'!C:C=B852,'PLA Sheet'!D:D=C852))/E852*9"),3.8549637582837564)</f>
        <v>3.854963758</v>
      </c>
      <c r="H852" s="41">
        <v>0.407925408</v>
      </c>
      <c r="I852" s="41">
        <v>0.233100233</v>
      </c>
      <c r="J852" s="41">
        <v>0.358974359</v>
      </c>
      <c r="K852" s="41">
        <f t="shared" si="1"/>
        <v>0.048951049</v>
      </c>
      <c r="L852" s="42">
        <v>5.648587823</v>
      </c>
      <c r="M852" s="45">
        <f>('Cy Young Rank'!O$1-G852)*E852/9</f>
        <v>0.6456229111</v>
      </c>
      <c r="N852" s="42"/>
      <c r="O852" s="66"/>
      <c r="P852" s="42"/>
      <c r="Q852" s="67"/>
      <c r="R852" s="67"/>
    </row>
    <row r="853">
      <c r="A853" s="1" t="s">
        <v>285</v>
      </c>
      <c r="B853" s="38">
        <v>607074.0</v>
      </c>
      <c r="C853" s="44" t="s">
        <v>536</v>
      </c>
      <c r="D853" s="38">
        <v>302.0</v>
      </c>
      <c r="E853" s="39">
        <f>IFERROR(__xludf.DUMMYFUNCTION("sum(filter('PLA Sheet'!H:H,'PLA Sheet'!C:C=B853,'PLA Sheet'!D:D=C853))"),18.791407219)</f>
        <v>18.79140722</v>
      </c>
      <c r="F853" s="40">
        <v>4.792344365</v>
      </c>
      <c r="G853" s="40">
        <f>IFERROR(__xludf.DUMMYFUNCTION("sum(filter('PLA Sheet'!J:J,'PLA Sheet'!C:C=B853,'PLA Sheet'!D:D=C853))/E853*9"),3.992670965277111)</f>
        <v>3.992670965</v>
      </c>
      <c r="H853" s="41">
        <v>0.430463576</v>
      </c>
      <c r="I853" s="41">
        <v>0.185430464</v>
      </c>
      <c r="J853" s="41">
        <v>0.38410596</v>
      </c>
      <c r="K853" s="41">
        <f t="shared" si="1"/>
        <v>0.046357616</v>
      </c>
      <c r="L853" s="42">
        <v>5.900089936</v>
      </c>
      <c r="M853" s="45">
        <f>('Cy Young Rank'!O$1-G853)*E853/9</f>
        <v>0.1405785899</v>
      </c>
      <c r="N853" s="42"/>
      <c r="O853" s="66"/>
      <c r="P853" s="42"/>
      <c r="Q853" s="67"/>
      <c r="R853" s="67"/>
    </row>
    <row r="854">
      <c r="A854" s="1" t="s">
        <v>457</v>
      </c>
      <c r="B854" s="38">
        <v>477132.0</v>
      </c>
      <c r="C854" s="44" t="s">
        <v>537</v>
      </c>
      <c r="D854" s="38">
        <v>591.0</v>
      </c>
      <c r="E854" s="39">
        <f>IFERROR(__xludf.DUMMYFUNCTION("sum(filter('PLA Sheet'!H:H,'PLA Sheet'!C:C=B854,'PLA Sheet'!D:D=C854))"),39.10796527)</f>
        <v>39.10796527</v>
      </c>
      <c r="F854" s="40">
        <v>4.791919001</v>
      </c>
      <c r="G854" s="40">
        <f>IFERROR(__xludf.DUMMYFUNCTION("sum(filter('PLA Sheet'!J:J,'PLA Sheet'!C:C=B854,'PLA Sheet'!D:D=C854))/E854*9"),4.018522899746863)</f>
        <v>4.0185229</v>
      </c>
      <c r="H854" s="41">
        <v>0.414551607</v>
      </c>
      <c r="I854" s="41">
        <v>0.209813875</v>
      </c>
      <c r="J854" s="41">
        <v>0.375634518</v>
      </c>
      <c r="K854" s="41">
        <f t="shared" si="1"/>
        <v>0.038917089</v>
      </c>
      <c r="L854" s="42">
        <v>3.904202466</v>
      </c>
      <c r="M854" s="45">
        <f>('Cy Young Rank'!O$1-G854)*E854/9</f>
        <v>0.1802316662</v>
      </c>
      <c r="N854" s="42"/>
      <c r="O854" s="66"/>
      <c r="P854" s="42"/>
      <c r="Q854" s="67"/>
      <c r="R854" s="67"/>
    </row>
    <row r="855">
      <c r="A855" s="1" t="s">
        <v>147</v>
      </c>
      <c r="B855" s="38">
        <v>608379.0</v>
      </c>
      <c r="C855" s="44" t="s">
        <v>536</v>
      </c>
      <c r="D855" s="38">
        <v>279.0</v>
      </c>
      <c r="E855" s="39">
        <f>IFERROR(__xludf.DUMMYFUNCTION("sum(filter('PLA Sheet'!H:H,'PLA Sheet'!C:C=B855,'PLA Sheet'!D:D=C855))"),18.479158846)</f>
        <v>18.47915885</v>
      </c>
      <c r="F855" s="40">
        <v>4.791652847</v>
      </c>
      <c r="G855" s="40">
        <f>IFERROR(__xludf.DUMMYFUNCTION("sum(filter('PLA Sheet'!J:J,'PLA Sheet'!C:C=B855,'PLA Sheet'!D:D=C855))/E855*9"),3.7252749204491575)</f>
        <v>3.72527492</v>
      </c>
      <c r="H855" s="41">
        <v>0.401433692</v>
      </c>
      <c r="I855" s="41">
        <v>0.193548387</v>
      </c>
      <c r="J855" s="41">
        <v>0.405017921</v>
      </c>
      <c r="K855" s="41">
        <f t="shared" si="1"/>
        <v>-0.003584229</v>
      </c>
      <c r="L855" s="42">
        <v>-6.29632744</v>
      </c>
      <c r="M855" s="45">
        <f>('Cy Young Rank'!O$1-G855)*E855/9</f>
        <v>0.6872708794</v>
      </c>
      <c r="N855" s="42"/>
      <c r="O855" s="66"/>
      <c r="P855" s="42"/>
      <c r="Q855" s="67"/>
      <c r="R855" s="67"/>
    </row>
    <row r="856">
      <c r="A856" s="1" t="s">
        <v>335</v>
      </c>
      <c r="B856" s="38">
        <v>663436.0</v>
      </c>
      <c r="C856" s="44" t="s">
        <v>537</v>
      </c>
      <c r="D856" s="38">
        <v>738.0</v>
      </c>
      <c r="E856" s="39">
        <f>IFERROR(__xludf.DUMMYFUNCTION("sum(filter('PLA Sheet'!H:H,'PLA Sheet'!C:C=B856,'PLA Sheet'!D:D=C856))"),47.18451091)</f>
        <v>47.18451091</v>
      </c>
      <c r="F856" s="40">
        <v>4.787982975</v>
      </c>
      <c r="G856" s="40">
        <f>IFERROR(__xludf.DUMMYFUNCTION("sum(filter('PLA Sheet'!J:J,'PLA Sheet'!C:C=B856,'PLA Sheet'!D:D=C856))/E856*9"),4.167924414329804)</f>
        <v>4.167924414</v>
      </c>
      <c r="H856" s="41">
        <v>0.403794038</v>
      </c>
      <c r="I856" s="41">
        <v>0.189701897</v>
      </c>
      <c r="J856" s="41">
        <v>0.406504065</v>
      </c>
      <c r="K856" s="41">
        <f t="shared" si="1"/>
        <v>-0.002710027</v>
      </c>
      <c r="L856" s="42">
        <v>18.13722618</v>
      </c>
      <c r="M856" s="45">
        <f>('Cy Young Rank'!O$1-G856)*E856/9</f>
        <v>-0.5658178562</v>
      </c>
      <c r="N856" s="42"/>
      <c r="O856" s="66"/>
      <c r="P856" s="42"/>
      <c r="Q856" s="67"/>
      <c r="R856" s="67"/>
    </row>
    <row r="857">
      <c r="A857" s="1" t="s">
        <v>476</v>
      </c>
      <c r="B857" s="38">
        <v>500779.0</v>
      </c>
      <c r="C857" s="44" t="s">
        <v>536</v>
      </c>
      <c r="D857" s="38">
        <v>934.0</v>
      </c>
      <c r="E857" s="39">
        <f>IFERROR(__xludf.DUMMYFUNCTION("sum(filter('PLA Sheet'!H:H,'PLA Sheet'!C:C=B857,'PLA Sheet'!D:D=C857))"),57.89941736)</f>
        <v>57.89941736</v>
      </c>
      <c r="F857" s="40">
        <v>4.78670749</v>
      </c>
      <c r="G857" s="40">
        <f>IFERROR(__xludf.DUMMYFUNCTION("sum(filter('PLA Sheet'!J:J,'PLA Sheet'!C:C=B857,'PLA Sheet'!D:D=C857))/E857*9"),4.162462611696305)</f>
        <v>4.162462612</v>
      </c>
      <c r="H857" s="41">
        <v>0.41006424</v>
      </c>
      <c r="I857" s="41">
        <v>0.190578158</v>
      </c>
      <c r="J857" s="41">
        <v>0.399357602</v>
      </c>
      <c r="K857" s="41">
        <f t="shared" si="1"/>
        <v>0.010706638</v>
      </c>
      <c r="L857" s="42">
        <v>21.59402897</v>
      </c>
      <c r="M857" s="45">
        <f>('Cy Young Rank'!O$1-G857)*E857/9</f>
        <v>-0.659169502</v>
      </c>
      <c r="N857" s="42"/>
      <c r="O857" s="66"/>
      <c r="P857" s="42"/>
      <c r="Q857" s="67"/>
      <c r="R857" s="67"/>
    </row>
    <row r="858">
      <c r="A858" s="1" t="s">
        <v>513</v>
      </c>
      <c r="B858" s="38">
        <v>608566.0</v>
      </c>
      <c r="C858" s="44" t="s">
        <v>536</v>
      </c>
      <c r="D858" s="38">
        <v>441.0</v>
      </c>
      <c r="E858" s="39">
        <f>IFERROR(__xludf.DUMMYFUNCTION("sum(filter('PLA Sheet'!H:H,'PLA Sheet'!C:C=B858,'PLA Sheet'!D:D=C858))"),28.03362152)</f>
        <v>28.03362152</v>
      </c>
      <c r="F858" s="40">
        <v>4.785037711</v>
      </c>
      <c r="G858" s="40">
        <f>IFERROR(__xludf.DUMMYFUNCTION("sum(filter('PLA Sheet'!J:J,'PLA Sheet'!C:C=B858,'PLA Sheet'!D:D=C858))/E858*9"),4.224342542240329)</f>
        <v>4.224342542</v>
      </c>
      <c r="H858" s="41">
        <v>0.376417234</v>
      </c>
      <c r="I858" s="41">
        <v>0.231292517</v>
      </c>
      <c r="J858" s="41">
        <v>0.392290249</v>
      </c>
      <c r="K858" s="41">
        <f t="shared" si="1"/>
        <v>-0.015873015</v>
      </c>
      <c r="L858" s="42">
        <v>-9.486807186</v>
      </c>
      <c r="M858" s="45">
        <f>('Cy Young Rank'!O$1-G858)*E858/9</f>
        <v>-0.5119018476</v>
      </c>
      <c r="N858" s="42"/>
      <c r="O858" s="66"/>
      <c r="P858" s="42"/>
      <c r="Q858" s="67"/>
      <c r="R858" s="67"/>
    </row>
    <row r="859">
      <c r="A859" s="1" t="s">
        <v>177</v>
      </c>
      <c r="B859" s="38">
        <v>641793.0</v>
      </c>
      <c r="C859" s="44" t="s">
        <v>536</v>
      </c>
      <c r="D859" s="38">
        <v>432.0</v>
      </c>
      <c r="E859" s="39">
        <f>IFERROR(__xludf.DUMMYFUNCTION("sum(filter('PLA Sheet'!H:H,'PLA Sheet'!C:C=B859,'PLA Sheet'!D:D=C859))"),29.826451231)</f>
        <v>29.82645123</v>
      </c>
      <c r="F859" s="40">
        <v>4.784779195</v>
      </c>
      <c r="G859" s="40">
        <f>IFERROR(__xludf.DUMMYFUNCTION("sum(filter('PLA Sheet'!J:J,'PLA Sheet'!C:C=B859,'PLA Sheet'!D:D=C859))/E859*9"),3.7100902196835004)</f>
        <v>3.71009022</v>
      </c>
      <c r="H859" s="41">
        <v>0.368055556</v>
      </c>
      <c r="I859" s="41">
        <v>0.277777778</v>
      </c>
      <c r="J859" s="41">
        <v>0.354166667</v>
      </c>
      <c r="K859" s="41">
        <f t="shared" si="1"/>
        <v>0.013888889</v>
      </c>
      <c r="L859" s="42">
        <v>6.601004544</v>
      </c>
      <c r="M859" s="45">
        <f>('Cy Young Rank'!O$1-G859)*E859/9</f>
        <v>1.159618555</v>
      </c>
      <c r="N859" s="42"/>
      <c r="O859" s="66"/>
      <c r="P859" s="42"/>
      <c r="Q859" s="67"/>
      <c r="R859" s="67"/>
    </row>
    <row r="860">
      <c r="A860" s="1" t="s">
        <v>362</v>
      </c>
      <c r="B860" s="38">
        <v>573124.0</v>
      </c>
      <c r="C860" s="44" t="s">
        <v>536</v>
      </c>
      <c r="D860" s="38">
        <v>424.0</v>
      </c>
      <c r="E860" s="39">
        <f>IFERROR(__xludf.DUMMYFUNCTION("sum(filter('PLA Sheet'!H:H,'PLA Sheet'!C:C=B860,'PLA Sheet'!D:D=C860))"),24.79432624)</f>
        <v>24.79432624</v>
      </c>
      <c r="F860" s="40">
        <v>4.782956299</v>
      </c>
      <c r="G860" s="40">
        <f>IFERROR(__xludf.DUMMYFUNCTION("sum(filter('PLA Sheet'!J:J,'PLA Sheet'!C:C=B860,'PLA Sheet'!D:D=C860))/E860*9"),4.407381831723451)</f>
        <v>4.407381832</v>
      </c>
      <c r="H860" s="41">
        <v>0.443396226</v>
      </c>
      <c r="I860" s="41">
        <v>0.122641509</v>
      </c>
      <c r="J860" s="41">
        <v>0.433962264</v>
      </c>
      <c r="K860" s="41">
        <f t="shared" si="1"/>
        <v>0.009433962</v>
      </c>
      <c r="L860" s="42">
        <v>-3.341835611</v>
      </c>
      <c r="M860" s="45">
        <f>('Cy Young Rank'!O$1-G860)*E860/9</f>
        <v>-0.9570109406</v>
      </c>
      <c r="N860" s="42"/>
      <c r="O860" s="66"/>
      <c r="P860" s="42"/>
      <c r="Q860" s="67"/>
      <c r="R860" s="67"/>
    </row>
    <row r="861">
      <c r="A861" s="1" t="s">
        <v>124</v>
      </c>
      <c r="B861" s="38">
        <v>663941.0</v>
      </c>
      <c r="C861" s="44" t="s">
        <v>537</v>
      </c>
      <c r="D861" s="38">
        <v>264.0</v>
      </c>
      <c r="E861" s="39">
        <f>IFERROR(__xludf.DUMMYFUNCTION("sum(filter('PLA Sheet'!H:H,'PLA Sheet'!C:C=B861,'PLA Sheet'!D:D=C861))"),18.703476483)</f>
        <v>18.70347648</v>
      </c>
      <c r="F861" s="40">
        <v>4.781192315</v>
      </c>
      <c r="G861" s="40">
        <f>IFERROR(__xludf.DUMMYFUNCTION("sum(filter('PLA Sheet'!J:J,'PLA Sheet'!C:C=B861,'PLA Sheet'!D:D=C861))/E861*9"),3.5502149057878976)</f>
        <v>3.550214906</v>
      </c>
      <c r="H861" s="41">
        <v>0.397727273</v>
      </c>
      <c r="I861" s="41">
        <v>0.204545455</v>
      </c>
      <c r="J861" s="41">
        <v>0.397727273</v>
      </c>
      <c r="K861" s="41">
        <f t="shared" si="1"/>
        <v>0</v>
      </c>
      <c r="L861" s="42">
        <v>0.649730197</v>
      </c>
      <c r="M861" s="45">
        <f>('Cy Young Rank'!O$1-G861)*E861/9</f>
        <v>1.059417058</v>
      </c>
      <c r="N861" s="42"/>
      <c r="O861" s="66"/>
      <c r="P861" s="42"/>
      <c r="Q861" s="67"/>
      <c r="R861" s="67"/>
    </row>
    <row r="862">
      <c r="A862" s="1" t="s">
        <v>145</v>
      </c>
      <c r="B862" s="38">
        <v>700241.0</v>
      </c>
      <c r="C862" s="44" t="s">
        <v>537</v>
      </c>
      <c r="D862" s="38">
        <v>368.0</v>
      </c>
      <c r="E862" s="39">
        <f>IFERROR(__xludf.DUMMYFUNCTION("sum(filter('PLA Sheet'!H:H,'PLA Sheet'!C:C=B862,'PLA Sheet'!D:D=C862))"),24.618657564)</f>
        <v>24.61865756</v>
      </c>
      <c r="F862" s="40">
        <v>4.781042457</v>
      </c>
      <c r="G862" s="40">
        <f>IFERROR(__xludf.DUMMYFUNCTION("sum(filter('PLA Sheet'!J:J,'PLA Sheet'!C:C=B862,'PLA Sheet'!D:D=C862))/E862*9"),3.825347858841521)</f>
        <v>3.825347859</v>
      </c>
      <c r="H862" s="41">
        <v>0.383152174</v>
      </c>
      <c r="I862" s="41">
        <v>0.214673913</v>
      </c>
      <c r="J862" s="41">
        <v>0.402173913</v>
      </c>
      <c r="K862" s="41">
        <f t="shared" si="1"/>
        <v>-0.019021739</v>
      </c>
      <c r="L862" s="42">
        <v>0.987005309</v>
      </c>
      <c r="M862" s="45">
        <f>('Cy Young Rank'!O$1-G862)*E862/9</f>
        <v>0.6418689678</v>
      </c>
      <c r="N862" s="42"/>
      <c r="O862" s="66"/>
      <c r="P862" s="42"/>
      <c r="Q862" s="67"/>
      <c r="R862" s="67"/>
    </row>
    <row r="863">
      <c r="A863" s="1" t="s">
        <v>86</v>
      </c>
      <c r="B863" s="38">
        <v>678606.0</v>
      </c>
      <c r="C863" s="44" t="s">
        <v>532</v>
      </c>
      <c r="D863" s="38">
        <v>255.0</v>
      </c>
      <c r="E863" s="39">
        <f>IFERROR(__xludf.DUMMYFUNCTION("sum(filter('PLA Sheet'!H:H,'PLA Sheet'!C:C=B863,'PLA Sheet'!D:D=C863))"),16.646489768000002)</f>
        <v>16.64648977</v>
      </c>
      <c r="F863" s="40">
        <v>4.779138883</v>
      </c>
      <c r="G863" s="40">
        <f>IFERROR(__xludf.DUMMYFUNCTION("sum(filter('PLA Sheet'!J:J,'PLA Sheet'!C:C=B863,'PLA Sheet'!D:D=C863))/E863*9"),3.8643217216676087)</f>
        <v>3.864321722</v>
      </c>
      <c r="H863" s="41">
        <v>0.423529412</v>
      </c>
      <c r="I863" s="41">
        <v>0.141176471</v>
      </c>
      <c r="J863" s="41">
        <v>0.435294118</v>
      </c>
      <c r="K863" s="41">
        <f t="shared" si="1"/>
        <v>-0.011764706</v>
      </c>
      <c r="L863" s="42">
        <v>-1.318649134</v>
      </c>
      <c r="M863" s="45">
        <f>('Cy Young Rank'!O$1-G863)*E863/9</f>
        <v>0.3619284953</v>
      </c>
      <c r="N863" s="42"/>
      <c r="O863" s="66"/>
      <c r="P863" s="42"/>
      <c r="Q863" s="67"/>
      <c r="R863" s="67"/>
    </row>
    <row r="864">
      <c r="A864" s="1" t="s">
        <v>450</v>
      </c>
      <c r="B864" s="38">
        <v>682990.0</v>
      </c>
      <c r="C864" s="44" t="s">
        <v>536</v>
      </c>
      <c r="D864" s="38">
        <v>994.0</v>
      </c>
      <c r="E864" s="39">
        <f>IFERROR(__xludf.DUMMYFUNCTION("sum(filter('PLA Sheet'!H:H,'PLA Sheet'!C:C=B864,'PLA Sheet'!D:D=C864))"),65.59805511)</f>
        <v>65.59805511</v>
      </c>
      <c r="F864" s="40">
        <v>4.773133152</v>
      </c>
      <c r="G864" s="40">
        <f>IFERROR(__xludf.DUMMYFUNCTION("sum(filter('PLA Sheet'!J:J,'PLA Sheet'!C:C=B864,'PLA Sheet'!D:D=C864))/E864*9"),3.9837708231103073)</f>
        <v>3.983770823</v>
      </c>
      <c r="H864" s="41">
        <v>0.393360161</v>
      </c>
      <c r="I864" s="41">
        <v>0.191146881</v>
      </c>
      <c r="J864" s="41">
        <v>0.415492958</v>
      </c>
      <c r="K864" s="41">
        <f t="shared" si="1"/>
        <v>-0.022132797</v>
      </c>
      <c r="L864" s="42">
        <v>9.806917685</v>
      </c>
      <c r="M864" s="45">
        <f>('Cy Young Rank'!O$1-G864)*E864/9</f>
        <v>0.5556095274</v>
      </c>
      <c r="N864" s="42"/>
      <c r="O864" s="66"/>
      <c r="P864" s="42"/>
      <c r="Q864" s="67"/>
      <c r="R864" s="67"/>
    </row>
    <row r="865">
      <c r="A865" s="1" t="s">
        <v>470</v>
      </c>
      <c r="B865" s="38">
        <v>681343.0</v>
      </c>
      <c r="C865" s="44" t="s">
        <v>536</v>
      </c>
      <c r="D865" s="38">
        <v>272.0</v>
      </c>
      <c r="E865" s="39">
        <f>IFERROR(__xludf.DUMMYFUNCTION("sum(filter('PLA Sheet'!H:H,'PLA Sheet'!C:C=B865,'PLA Sheet'!D:D=C865))"),17.005652057)</f>
        <v>17.00565206</v>
      </c>
      <c r="F865" s="40">
        <v>4.772066268</v>
      </c>
      <c r="G865" s="40">
        <f>IFERROR(__xludf.DUMMYFUNCTION("sum(filter('PLA Sheet'!J:J,'PLA Sheet'!C:C=B865,'PLA Sheet'!D:D=C865))/E865*9"),3.9023641538451592)</f>
        <v>3.902364154</v>
      </c>
      <c r="H865" s="41">
        <v>0.400735294</v>
      </c>
      <c r="I865" s="41">
        <v>0.220588235</v>
      </c>
      <c r="J865" s="41">
        <v>0.378676471</v>
      </c>
      <c r="K865" s="41">
        <f t="shared" si="1"/>
        <v>0.022058823</v>
      </c>
      <c r="L865" s="42">
        <v>8.600375613</v>
      </c>
      <c r="M865" s="45">
        <f>('Cy Young Rank'!O$1-G865)*E865/9</f>
        <v>0.2978555946</v>
      </c>
      <c r="N865" s="42"/>
      <c r="O865" s="66"/>
      <c r="P865" s="42"/>
      <c r="Q865" s="67"/>
      <c r="R865" s="67"/>
    </row>
    <row r="866">
      <c r="A866" s="1" t="s">
        <v>372</v>
      </c>
      <c r="B866" s="38">
        <v>671106.0</v>
      </c>
      <c r="C866" s="44" t="s">
        <v>532</v>
      </c>
      <c r="D866" s="38">
        <v>482.0</v>
      </c>
      <c r="E866" s="39">
        <f>IFERROR(__xludf.DUMMYFUNCTION("sum(filter('PLA Sheet'!H:H,'PLA Sheet'!C:C=B866,'PLA Sheet'!D:D=C866))"),28.658536587)</f>
        <v>28.65853659</v>
      </c>
      <c r="F866" s="40">
        <v>4.769632938</v>
      </c>
      <c r="G866" s="40">
        <f>IFERROR(__xludf.DUMMYFUNCTION("sum(filter('PLA Sheet'!J:J,'PLA Sheet'!C:C=B866,'PLA Sheet'!D:D=C866))/E866*9"),4.167295689975141)</f>
        <v>4.16729569</v>
      </c>
      <c r="H866" s="41">
        <v>0.350622407</v>
      </c>
      <c r="I866" s="41">
        <v>0.213692946</v>
      </c>
      <c r="J866" s="41">
        <v>0.435684647</v>
      </c>
      <c r="K866" s="41">
        <f t="shared" si="1"/>
        <v>-0.08506224</v>
      </c>
      <c r="L866" s="42">
        <v>-8.23553481</v>
      </c>
      <c r="M866" s="45">
        <f>('Cy Young Rank'!O$1-G866)*E866/9</f>
        <v>-0.3416597174</v>
      </c>
      <c r="N866" s="42"/>
      <c r="O866" s="66"/>
      <c r="P866" s="42"/>
      <c r="Q866" s="67"/>
      <c r="R866" s="67"/>
    </row>
    <row r="867">
      <c r="A867" s="1" t="s">
        <v>367</v>
      </c>
      <c r="B867" s="38">
        <v>685126.0</v>
      </c>
      <c r="C867" s="44" t="s">
        <v>532</v>
      </c>
      <c r="D867" s="38">
        <v>348.0</v>
      </c>
      <c r="E867" s="39">
        <f>IFERROR(__xludf.DUMMYFUNCTION("sum(filter('PLA Sheet'!H:H,'PLA Sheet'!C:C=B867,'PLA Sheet'!D:D=C867))"),20.372048330000002)</f>
        <v>20.37204833</v>
      </c>
      <c r="F867" s="40">
        <v>4.769176196</v>
      </c>
      <c r="G867" s="40">
        <f>IFERROR(__xludf.DUMMYFUNCTION("sum(filter('PLA Sheet'!J:J,'PLA Sheet'!C:C=B867,'PLA Sheet'!D:D=C867))/E867*9"),4.2172891801695425)</f>
        <v>4.21728918</v>
      </c>
      <c r="H867" s="41">
        <v>0.362068966</v>
      </c>
      <c r="I867" s="41">
        <v>0.209770115</v>
      </c>
      <c r="J867" s="41">
        <v>0.42816092</v>
      </c>
      <c r="K867" s="41">
        <f t="shared" si="1"/>
        <v>-0.066091954</v>
      </c>
      <c r="L867" s="42">
        <v>-4.694354559</v>
      </c>
      <c r="M867" s="45">
        <f>('Cy Young Rank'!O$1-G867)*E867/9</f>
        <v>-0.3560336422</v>
      </c>
      <c r="N867" s="42"/>
      <c r="O867" s="66"/>
      <c r="P867" s="42"/>
      <c r="Q867" s="67"/>
      <c r="R867" s="67"/>
    </row>
    <row r="868">
      <c r="A868" s="1" t="s">
        <v>310</v>
      </c>
      <c r="B868" s="38">
        <v>607455.0</v>
      </c>
      <c r="C868" s="44" t="s">
        <v>533</v>
      </c>
      <c r="D868" s="38">
        <v>507.0</v>
      </c>
      <c r="E868" s="39">
        <f>IFERROR(__xludf.DUMMYFUNCTION("sum(filter('PLA Sheet'!H:H,'PLA Sheet'!C:C=B868,'PLA Sheet'!D:D=C868))"),31.98122066)</f>
        <v>31.98122066</v>
      </c>
      <c r="F868" s="40">
        <v>4.767671748</v>
      </c>
      <c r="G868" s="40">
        <f>IFERROR(__xludf.DUMMYFUNCTION("sum(filter('PLA Sheet'!J:J,'PLA Sheet'!C:C=B868,'PLA Sheet'!D:D=C868))/E868*9"),4.018549240703059)</f>
        <v>4.018549241</v>
      </c>
      <c r="H868" s="41">
        <v>0.41025641</v>
      </c>
      <c r="I868" s="41">
        <v>0.175542406</v>
      </c>
      <c r="J868" s="41">
        <v>0.414201183</v>
      </c>
      <c r="K868" s="41">
        <f t="shared" si="1"/>
        <v>-0.003944773</v>
      </c>
      <c r="L868" s="42">
        <v>7.002255688</v>
      </c>
      <c r="M868" s="45">
        <f>('Cy Young Rank'!O$1-G868)*E868/9</f>
        <v>0.1472939866</v>
      </c>
      <c r="N868" s="42"/>
      <c r="O868" s="66"/>
      <c r="P868" s="42"/>
      <c r="Q868" s="67"/>
      <c r="R868" s="67"/>
    </row>
    <row r="869">
      <c r="A869" s="1" t="s">
        <v>352</v>
      </c>
      <c r="B869" s="38">
        <v>685299.0</v>
      </c>
      <c r="C869" s="44" t="s">
        <v>537</v>
      </c>
      <c r="D869" s="38">
        <v>628.0</v>
      </c>
      <c r="E869" s="39">
        <f>IFERROR(__xludf.DUMMYFUNCTION("sum(filter('PLA Sheet'!H:H,'PLA Sheet'!C:C=B869,'PLA Sheet'!D:D=C869))"),39.78617363)</f>
        <v>39.78617363</v>
      </c>
      <c r="F869" s="40">
        <v>4.766848113</v>
      </c>
      <c r="G869" s="40">
        <f>IFERROR(__xludf.DUMMYFUNCTION("sum(filter('PLA Sheet'!J:J,'PLA Sheet'!C:C=B869,'PLA Sheet'!D:D=C869))/E869*9"),4.25381109965261)</f>
        <v>4.2538111</v>
      </c>
      <c r="H869" s="41">
        <v>0.366242038</v>
      </c>
      <c r="I869" s="41">
        <v>0.246815287</v>
      </c>
      <c r="J869" s="41">
        <v>0.386942675</v>
      </c>
      <c r="K869" s="41">
        <f t="shared" si="1"/>
        <v>-0.020700637</v>
      </c>
      <c r="L869" s="42">
        <v>5.978993388</v>
      </c>
      <c r="M869" s="45">
        <f>('Cy Young Rank'!O$1-G869)*E869/9</f>
        <v>-0.8567780069</v>
      </c>
      <c r="N869" s="42"/>
      <c r="O869" s="66"/>
      <c r="P869" s="42"/>
      <c r="Q869" s="67"/>
      <c r="R869" s="67"/>
    </row>
    <row r="870">
      <c r="A870" s="1" t="s">
        <v>222</v>
      </c>
      <c r="B870" s="38">
        <v>518876.0</v>
      </c>
      <c r="C870" s="44" t="s">
        <v>536</v>
      </c>
      <c r="D870" s="38">
        <v>377.0</v>
      </c>
      <c r="E870" s="39">
        <f>IFERROR(__xludf.DUMMYFUNCTION("sum(filter('PLA Sheet'!H:H,'PLA Sheet'!C:C=B870,'PLA Sheet'!D:D=C870))"),25.079096045)</f>
        <v>25.07909605</v>
      </c>
      <c r="F870" s="40">
        <v>4.765928149</v>
      </c>
      <c r="G870" s="40">
        <f>IFERROR(__xludf.DUMMYFUNCTION("sum(filter('PLA Sheet'!J:J,'PLA Sheet'!C:C=B870,'PLA Sheet'!D:D=C870))/E870*9"),3.7558350121945154)</f>
        <v>3.755835012</v>
      </c>
      <c r="H870" s="41">
        <v>0.400530504</v>
      </c>
      <c r="I870" s="41">
        <v>0.177718833</v>
      </c>
      <c r="J870" s="41">
        <v>0.421750663</v>
      </c>
      <c r="K870" s="41">
        <f t="shared" si="1"/>
        <v>-0.021220159</v>
      </c>
      <c r="L870" s="42">
        <v>-5.099154287</v>
      </c>
      <c r="M870" s="45">
        <f>('Cy Young Rank'!O$1-G870)*E870/9</f>
        <v>0.8475758825</v>
      </c>
      <c r="N870" s="42"/>
      <c r="O870" s="66"/>
      <c r="P870" s="42"/>
      <c r="Q870" s="67"/>
      <c r="R870" s="67"/>
    </row>
    <row r="871">
      <c r="A871" s="1" t="s">
        <v>287</v>
      </c>
      <c r="B871" s="38">
        <v>571945.0</v>
      </c>
      <c r="C871" s="44" t="s">
        <v>537</v>
      </c>
      <c r="D871" s="38">
        <v>671.0</v>
      </c>
      <c r="E871" s="39">
        <f>IFERROR(__xludf.DUMMYFUNCTION("sum(filter('PLA Sheet'!H:H,'PLA Sheet'!C:C=B871,'PLA Sheet'!D:D=C871))"),43.82118405)</f>
        <v>43.82118405</v>
      </c>
      <c r="F871" s="40">
        <v>4.765220385</v>
      </c>
      <c r="G871" s="40">
        <f>IFERROR(__xludf.DUMMYFUNCTION("sum(filter('PLA Sheet'!J:J,'PLA Sheet'!C:C=B871,'PLA Sheet'!D:D=C871))/E871*9"),4.105291445222828)</f>
        <v>4.105291445</v>
      </c>
      <c r="H871" s="41">
        <v>0.347242921</v>
      </c>
      <c r="I871" s="41">
        <v>0.265275708</v>
      </c>
      <c r="J871" s="41">
        <v>0.387481371</v>
      </c>
      <c r="K871" s="41">
        <f t="shared" si="1"/>
        <v>-0.04023845</v>
      </c>
      <c r="L871" s="42">
        <v>8.568473182</v>
      </c>
      <c r="M871" s="45">
        <f>('Cy Young Rank'!O$1-G871)*E871/9</f>
        <v>-0.220524973</v>
      </c>
      <c r="N871" s="42"/>
      <c r="O871" s="66"/>
      <c r="P871" s="42"/>
      <c r="Q871" s="67"/>
      <c r="R871" s="67"/>
    </row>
    <row r="872">
      <c r="A872" s="1" t="s">
        <v>306</v>
      </c>
      <c r="B872" s="38">
        <v>677944.0</v>
      </c>
      <c r="C872" s="44" t="s">
        <v>541</v>
      </c>
      <c r="D872" s="38">
        <v>330.0</v>
      </c>
      <c r="E872" s="39">
        <f>IFERROR(__xludf.DUMMYFUNCTION("sum(filter('PLA Sheet'!H:H,'PLA Sheet'!C:C=B872,'PLA Sheet'!D:D=C872))"),21.754726130999998)</f>
        <v>21.75472613</v>
      </c>
      <c r="F872" s="40">
        <v>4.763863213</v>
      </c>
      <c r="G872" s="40">
        <f>IFERROR(__xludf.DUMMYFUNCTION("sum(filter('PLA Sheet'!J:J,'PLA Sheet'!C:C=B872,'PLA Sheet'!D:D=C872))/E872*9"),3.8181504791107135)</f>
        <v>3.818150479</v>
      </c>
      <c r="H872" s="41">
        <v>0.327272727</v>
      </c>
      <c r="I872" s="41">
        <v>0.236363636</v>
      </c>
      <c r="J872" s="41">
        <v>0.436363636</v>
      </c>
      <c r="K872" s="41">
        <f t="shared" si="1"/>
        <v>-0.109090909</v>
      </c>
      <c r="L872" s="42">
        <v>4.834980091</v>
      </c>
      <c r="M872" s="45">
        <f>('Cy Young Rank'!O$1-G872)*E872/9</f>
        <v>0.5845966769</v>
      </c>
      <c r="N872" s="42"/>
      <c r="O872" s="66"/>
      <c r="P872" s="42"/>
      <c r="Q872" s="67"/>
      <c r="R872" s="67"/>
    </row>
    <row r="873">
      <c r="A873" s="1" t="s">
        <v>311</v>
      </c>
      <c r="B873" s="38">
        <v>656546.0</v>
      </c>
      <c r="C873" s="44" t="s">
        <v>538</v>
      </c>
      <c r="D873" s="38">
        <v>264.0</v>
      </c>
      <c r="E873" s="39">
        <f>IFERROR(__xludf.DUMMYFUNCTION("sum(filter('PLA Sheet'!H:H,'PLA Sheet'!C:C=B873,'PLA Sheet'!D:D=C873))"),16.156028369)</f>
        <v>16.15602837</v>
      </c>
      <c r="F873" s="40">
        <v>4.760635108</v>
      </c>
      <c r="G873" s="40">
        <f>IFERROR(__xludf.DUMMYFUNCTION("sum(filter('PLA Sheet'!J:J,'PLA Sheet'!C:C=B873,'PLA Sheet'!D:D=C873))/E873*9"),4.058302108815763)</f>
        <v>4.058302109</v>
      </c>
      <c r="H873" s="41">
        <v>0.401515152</v>
      </c>
      <c r="I873" s="41">
        <v>0.143939394</v>
      </c>
      <c r="J873" s="41">
        <v>0.454545455</v>
      </c>
      <c r="K873" s="41">
        <f t="shared" si="1"/>
        <v>-0.053030303</v>
      </c>
      <c r="L873" s="42">
        <v>-3.524773324</v>
      </c>
      <c r="M873" s="45">
        <f>('Cy Young Rank'!O$1-G873)*E873/9</f>
        <v>0.003047908682</v>
      </c>
      <c r="N873" s="42"/>
      <c r="O873" s="66"/>
      <c r="P873" s="42"/>
      <c r="Q873" s="67"/>
      <c r="R873" s="67"/>
    </row>
    <row r="874">
      <c r="A874" s="1" t="s">
        <v>410</v>
      </c>
      <c r="B874" s="38">
        <v>678394.0</v>
      </c>
      <c r="C874" s="44" t="s">
        <v>537</v>
      </c>
      <c r="D874" s="38">
        <v>401.0</v>
      </c>
      <c r="E874" s="39">
        <f>IFERROR(__xludf.DUMMYFUNCTION("sum(filter('PLA Sheet'!H:H,'PLA Sheet'!C:C=B874,'PLA Sheet'!D:D=C874))"),25.213199850000002)</f>
        <v>25.21319985</v>
      </c>
      <c r="F874" s="40">
        <v>4.759957283</v>
      </c>
      <c r="G874" s="40">
        <f>IFERROR(__xludf.DUMMYFUNCTION("sum(filter('PLA Sheet'!J:J,'PLA Sheet'!C:C=B874,'PLA Sheet'!D:D=C874))/E874*9"),4.393687142411635)</f>
        <v>4.393687142</v>
      </c>
      <c r="H874" s="41">
        <v>0.374064838</v>
      </c>
      <c r="I874" s="41">
        <v>0.204488778</v>
      </c>
      <c r="J874" s="41">
        <v>0.421446384</v>
      </c>
      <c r="K874" s="41">
        <f t="shared" si="1"/>
        <v>-0.047381546</v>
      </c>
      <c r="L874" s="42">
        <v>2.005647798</v>
      </c>
      <c r="M874" s="45">
        <f>('Cy Young Rank'!O$1-G874)*E874/9</f>
        <v>-0.934813401</v>
      </c>
      <c r="N874" s="42"/>
      <c r="O874" s="66"/>
      <c r="P874" s="42"/>
      <c r="Q874" s="67"/>
      <c r="R874" s="67"/>
    </row>
    <row r="875">
      <c r="A875" s="1" t="s">
        <v>111</v>
      </c>
      <c r="B875" s="38">
        <v>656641.0</v>
      </c>
      <c r="C875" s="44" t="s">
        <v>532</v>
      </c>
      <c r="D875" s="38">
        <v>320.0</v>
      </c>
      <c r="E875" s="39">
        <f>IFERROR(__xludf.DUMMYFUNCTION("sum(filter('PLA Sheet'!H:H,'PLA Sheet'!C:C=B875,'PLA Sheet'!D:D=C875))"),19.99711816)</f>
        <v>19.99711816</v>
      </c>
      <c r="F875" s="40">
        <v>4.759749049</v>
      </c>
      <c r="G875" s="40">
        <f>IFERROR(__xludf.DUMMYFUNCTION("sum(filter('PLA Sheet'!J:J,'PLA Sheet'!C:C=B875,'PLA Sheet'!D:D=C875))/E875*9"),4.042160242953727)</f>
        <v>4.042160243</v>
      </c>
      <c r="H875" s="41">
        <v>0.3875</v>
      </c>
      <c r="I875" s="41">
        <v>0.175</v>
      </c>
      <c r="J875" s="41">
        <v>0.4375</v>
      </c>
      <c r="K875" s="41">
        <f t="shared" si="1"/>
        <v>-0.05</v>
      </c>
      <c r="L875" s="42">
        <v>-5.447007454</v>
      </c>
      <c r="M875" s="45">
        <f>('Cy Young Rank'!O$1-G875)*E875/9</f>
        <v>0.03963819218</v>
      </c>
      <c r="N875" s="42"/>
      <c r="O875" s="66"/>
      <c r="P875" s="42"/>
      <c r="Q875" s="67"/>
      <c r="R875" s="67"/>
    </row>
    <row r="876">
      <c r="A876" s="1" t="s">
        <v>496</v>
      </c>
      <c r="B876" s="38">
        <v>694477.0</v>
      </c>
      <c r="C876" s="44" t="s">
        <v>537</v>
      </c>
      <c r="D876" s="38">
        <v>429.0</v>
      </c>
      <c r="E876" s="39">
        <f>IFERROR(__xludf.DUMMYFUNCTION("sum(filter('PLA Sheet'!H:H,'PLA Sheet'!C:C=B876,'PLA Sheet'!D:D=C876))"),26.195688225)</f>
        <v>26.19568823</v>
      </c>
      <c r="F876" s="40">
        <v>4.759718171</v>
      </c>
      <c r="G876" s="40">
        <f>IFERROR(__xludf.DUMMYFUNCTION("sum(filter('PLA Sheet'!J:J,'PLA Sheet'!C:C=B876,'PLA Sheet'!D:D=C876))/E876*9"),4.366065133224802)</f>
        <v>4.366065133</v>
      </c>
      <c r="H876" s="41">
        <v>0.428904429</v>
      </c>
      <c r="I876" s="41">
        <v>0.163170163</v>
      </c>
      <c r="J876" s="41">
        <v>0.407925408</v>
      </c>
      <c r="K876" s="41">
        <f t="shared" si="1"/>
        <v>0.020979021</v>
      </c>
      <c r="L876" s="42">
        <v>-0.220806065</v>
      </c>
      <c r="M876" s="45">
        <f>('Cy Young Rank'!O$1-G876)*E876/9</f>
        <v>-0.8908429785</v>
      </c>
      <c r="N876" s="42"/>
      <c r="O876" s="66"/>
      <c r="P876" s="42"/>
      <c r="Q876" s="67"/>
      <c r="R876" s="67"/>
    </row>
    <row r="877">
      <c r="A877" s="1" t="s">
        <v>454</v>
      </c>
      <c r="B877" s="38">
        <v>674370.0</v>
      </c>
      <c r="C877" s="44" t="s">
        <v>537</v>
      </c>
      <c r="D877" s="38">
        <v>496.0</v>
      </c>
      <c r="E877" s="39">
        <f>IFERROR(__xludf.DUMMYFUNCTION("sum(filter('PLA Sheet'!H:H,'PLA Sheet'!C:C=B877,'PLA Sheet'!D:D=C877))"),29.84613526)</f>
        <v>29.84613526</v>
      </c>
      <c r="F877" s="40">
        <v>4.759053299</v>
      </c>
      <c r="G877" s="40">
        <f>IFERROR(__xludf.DUMMYFUNCTION("sum(filter('PLA Sheet'!J:J,'PLA Sheet'!C:C=B877,'PLA Sheet'!D:D=C877))/E877*9"),4.5051963622307865)</f>
        <v>4.505196362</v>
      </c>
      <c r="H877" s="41">
        <v>0.429435484</v>
      </c>
      <c r="I877" s="41">
        <v>0.1875</v>
      </c>
      <c r="J877" s="41">
        <v>0.383064516</v>
      </c>
      <c r="K877" s="41">
        <f t="shared" si="1"/>
        <v>0.046370968</v>
      </c>
      <c r="L877" s="42">
        <v>-4.953061698</v>
      </c>
      <c r="M877" s="45">
        <f>('Cy Young Rank'!O$1-G877)*E877/9</f>
        <v>-1.47637676</v>
      </c>
      <c r="N877" s="42"/>
      <c r="O877" s="66"/>
      <c r="P877" s="42"/>
      <c r="Q877" s="67"/>
      <c r="R877" s="67"/>
    </row>
    <row r="878">
      <c r="A878" s="1" t="s">
        <v>366</v>
      </c>
      <c r="B878" s="38">
        <v>656550.0</v>
      </c>
      <c r="C878" s="44" t="s">
        <v>541</v>
      </c>
      <c r="D878" s="38">
        <v>299.0</v>
      </c>
      <c r="E878" s="39">
        <f>IFERROR(__xludf.DUMMYFUNCTION("sum(filter('PLA Sheet'!H:H,'PLA Sheet'!C:C=B878,'PLA Sheet'!D:D=C878))"),17.741853364)</f>
        <v>17.74185336</v>
      </c>
      <c r="F878" s="40">
        <v>4.756340487</v>
      </c>
      <c r="G878" s="40">
        <f>IFERROR(__xludf.DUMMYFUNCTION("sum(filter('PLA Sheet'!J:J,'PLA Sheet'!C:C=B878,'PLA Sheet'!D:D=C878))/E878*9"),4.123125216919699)</f>
        <v>4.123125217</v>
      </c>
      <c r="H878" s="41">
        <v>0.357859532</v>
      </c>
      <c r="I878" s="41">
        <v>0.25083612</v>
      </c>
      <c r="J878" s="41">
        <v>0.391304348</v>
      </c>
      <c r="K878" s="41">
        <f t="shared" si="1"/>
        <v>-0.033444816</v>
      </c>
      <c r="L878" s="42">
        <v>3.95384798</v>
      </c>
      <c r="M878" s="45">
        <f>('Cy Young Rank'!O$1-G878)*E878/9</f>
        <v>-0.1244398158</v>
      </c>
      <c r="N878" s="42"/>
      <c r="O878" s="66"/>
      <c r="P878" s="42"/>
      <c r="Q878" s="67"/>
      <c r="R878" s="67"/>
    </row>
    <row r="879">
      <c r="A879" s="1" t="s">
        <v>486</v>
      </c>
      <c r="B879" s="38">
        <v>683409.0</v>
      </c>
      <c r="C879" s="44" t="s">
        <v>532</v>
      </c>
      <c r="D879" s="38">
        <v>359.0</v>
      </c>
      <c r="E879" s="39">
        <f>IFERROR(__xludf.DUMMYFUNCTION("sum(filter('PLA Sheet'!H:H,'PLA Sheet'!C:C=B879,'PLA Sheet'!D:D=C879))"),21.46901501)</f>
        <v>21.46901501</v>
      </c>
      <c r="F879" s="40">
        <v>4.755551189</v>
      </c>
      <c r="G879" s="40">
        <f>IFERROR(__xludf.DUMMYFUNCTION("sum(filter('PLA Sheet'!J:J,'PLA Sheet'!C:C=B879,'PLA Sheet'!D:D=C879))/E879*9"),4.25882854697394)</f>
        <v>4.258828547</v>
      </c>
      <c r="H879" s="41">
        <v>0.384401114</v>
      </c>
      <c r="I879" s="41">
        <v>0.217270195</v>
      </c>
      <c r="J879" s="41">
        <v>0.398328691</v>
      </c>
      <c r="K879" s="41">
        <f t="shared" si="1"/>
        <v>-0.013927577</v>
      </c>
      <c r="L879" s="42">
        <v>4.903326915</v>
      </c>
      <c r="M879" s="45">
        <f>('Cy Young Rank'!O$1-G879)*E879/9</f>
        <v>-0.4742947844</v>
      </c>
      <c r="N879" s="42"/>
      <c r="O879" s="66"/>
      <c r="P879" s="42"/>
      <c r="Q879" s="67"/>
      <c r="R879" s="67"/>
    </row>
    <row r="880">
      <c r="A880" s="1" t="s">
        <v>492</v>
      </c>
      <c r="B880" s="38">
        <v>671212.0</v>
      </c>
      <c r="C880" s="44" t="s">
        <v>537</v>
      </c>
      <c r="D880" s="38">
        <v>443.0</v>
      </c>
      <c r="E880" s="39">
        <f>IFERROR(__xludf.DUMMYFUNCTION("sum(filter('PLA Sheet'!H:H,'PLA Sheet'!C:C=B880,'PLA Sheet'!D:D=C880))"),25.22055674)</f>
        <v>25.22055674</v>
      </c>
      <c r="F880" s="40">
        <v>4.751061956</v>
      </c>
      <c r="G880" s="40">
        <f>IFERROR(__xludf.DUMMYFUNCTION("sum(filter('PLA Sheet'!J:J,'PLA Sheet'!C:C=B880,'PLA Sheet'!D:D=C880))/E880*9"),4.799525531806321)</f>
        <v>4.799525532</v>
      </c>
      <c r="H880" s="41">
        <v>0.431151242</v>
      </c>
      <c r="I880" s="41">
        <v>0.180586907</v>
      </c>
      <c r="J880" s="41">
        <v>0.388261851</v>
      </c>
      <c r="K880" s="41">
        <f t="shared" si="1"/>
        <v>0.042889391</v>
      </c>
      <c r="L880" s="42">
        <v>6.453353295</v>
      </c>
      <c r="M880" s="45">
        <f>('Cy Young Rank'!O$1-G880)*E880/9</f>
        <v>-2.072360626</v>
      </c>
      <c r="N880" s="42"/>
      <c r="O880" s="66"/>
      <c r="P880" s="42"/>
      <c r="Q880" s="67"/>
      <c r="R880" s="67"/>
    </row>
    <row r="881">
      <c r="A881" s="1" t="s">
        <v>420</v>
      </c>
      <c r="B881" s="38">
        <v>547179.0</v>
      </c>
      <c r="C881" s="44" t="s">
        <v>541</v>
      </c>
      <c r="D881" s="38">
        <v>251.0</v>
      </c>
      <c r="E881" s="39">
        <f>IFERROR(__xludf.DUMMYFUNCTION("sum(filter('PLA Sheet'!H:H,'PLA Sheet'!C:C=B881,'PLA Sheet'!D:D=C881))"),15.951251081999999)</f>
        <v>15.95125108</v>
      </c>
      <c r="F881" s="40">
        <v>4.750584625</v>
      </c>
      <c r="G881" s="40">
        <f>IFERROR(__xludf.DUMMYFUNCTION("sum(filter('PLA Sheet'!J:J,'PLA Sheet'!C:C=B881,'PLA Sheet'!D:D=C881))/E881*9"),4.189102576123565)</f>
        <v>4.189102576</v>
      </c>
      <c r="H881" s="41">
        <v>0.38247012</v>
      </c>
      <c r="I881" s="41">
        <v>0.171314741</v>
      </c>
      <c r="J881" s="41">
        <v>0.446215139</v>
      </c>
      <c r="K881" s="41">
        <f t="shared" si="1"/>
        <v>-0.063745019</v>
      </c>
      <c r="L881" s="42">
        <v>-10.27946476</v>
      </c>
      <c r="M881" s="45">
        <f>('Cy Young Rank'!O$1-G881)*E881/9</f>
        <v>-0.2288164008</v>
      </c>
      <c r="N881" s="42"/>
      <c r="O881" s="66"/>
      <c r="P881" s="42"/>
      <c r="Q881" s="67"/>
      <c r="R881" s="67"/>
    </row>
    <row r="882">
      <c r="A882" s="1" t="s">
        <v>427</v>
      </c>
      <c r="B882" s="38">
        <v>684320.0</v>
      </c>
      <c r="C882" s="44" t="s">
        <v>537</v>
      </c>
      <c r="D882" s="38">
        <v>463.0</v>
      </c>
      <c r="E882" s="39">
        <f>IFERROR(__xludf.DUMMYFUNCTION("sum(filter('PLA Sheet'!H:H,'PLA Sheet'!C:C=B882,'PLA Sheet'!D:D=C882))"),29.84356093)</f>
        <v>29.84356093</v>
      </c>
      <c r="F882" s="40">
        <v>4.746229578</v>
      </c>
      <c r="G882" s="40">
        <f>IFERROR(__xludf.DUMMYFUNCTION("sum(filter('PLA Sheet'!J:J,'PLA Sheet'!C:C=B882,'PLA Sheet'!D:D=C882))/E882*9"),4.201952049024467)</f>
        <v>4.201952049</v>
      </c>
      <c r="H882" s="41">
        <v>0.412526998</v>
      </c>
      <c r="I882" s="41">
        <v>0.172786177</v>
      </c>
      <c r="J882" s="41">
        <v>0.414686825</v>
      </c>
      <c r="K882" s="41">
        <f t="shared" si="1"/>
        <v>-0.002159827</v>
      </c>
      <c r="L882" s="42">
        <v>1.463541623</v>
      </c>
      <c r="M882" s="45">
        <f>('Cy Young Rank'!O$1-G882)*E882/9</f>
        <v>-0.4707060694</v>
      </c>
      <c r="N882" s="42"/>
      <c r="O882" s="66"/>
      <c r="P882" s="42"/>
      <c r="Q882" s="67"/>
      <c r="R882" s="67"/>
    </row>
    <row r="883">
      <c r="A883" s="1" t="s">
        <v>385</v>
      </c>
      <c r="B883" s="38">
        <v>666171.0</v>
      </c>
      <c r="C883" s="44" t="s">
        <v>537</v>
      </c>
      <c r="D883" s="38">
        <v>319.0</v>
      </c>
      <c r="E883" s="39">
        <f>IFERROR(__xludf.DUMMYFUNCTION("sum(filter('PLA Sheet'!H:H,'PLA Sheet'!C:C=B883,'PLA Sheet'!D:D=C883))"),17.947521866)</f>
        <v>17.94752187</v>
      </c>
      <c r="F883" s="40">
        <v>4.745480997</v>
      </c>
      <c r="G883" s="40">
        <f>IFERROR(__xludf.DUMMYFUNCTION("sum(filter('PLA Sheet'!J:J,'PLA Sheet'!C:C=B883,'PLA Sheet'!D:D=C883))/E883*9"),4.844241152016882)</f>
        <v>4.844241152</v>
      </c>
      <c r="H883" s="41">
        <v>0.445141066</v>
      </c>
      <c r="I883" s="41">
        <v>0.181818182</v>
      </c>
      <c r="J883" s="41">
        <v>0.373040752</v>
      </c>
      <c r="K883" s="41">
        <f t="shared" si="1"/>
        <v>0.072100314</v>
      </c>
      <c r="L883" s="42">
        <v>-4.507687332</v>
      </c>
      <c r="M883" s="45">
        <f>('Cy Young Rank'!O$1-G883)*E883/9</f>
        <v>-1.563909469</v>
      </c>
      <c r="N883" s="42"/>
      <c r="O883" s="66"/>
      <c r="P883" s="42"/>
      <c r="Q883" s="67"/>
      <c r="R883" s="67"/>
    </row>
    <row r="884">
      <c r="A884" s="1" t="s">
        <v>242</v>
      </c>
      <c r="B884" s="38">
        <v>669358.0</v>
      </c>
      <c r="C884" s="44" t="s">
        <v>532</v>
      </c>
      <c r="D884" s="38">
        <v>297.0</v>
      </c>
      <c r="E884" s="39">
        <f>IFERROR(__xludf.DUMMYFUNCTION("sum(filter('PLA Sheet'!H:H,'PLA Sheet'!C:C=B884,'PLA Sheet'!D:D=C884))"),19.032254108)</f>
        <v>19.03225411</v>
      </c>
      <c r="F884" s="40">
        <v>4.743944984</v>
      </c>
      <c r="G884" s="40">
        <f>IFERROR(__xludf.DUMMYFUNCTION("sum(filter('PLA Sheet'!J:J,'PLA Sheet'!C:C=B884,'PLA Sheet'!D:D=C884))/E884*9"),4.1195398902878075)</f>
        <v>4.11953989</v>
      </c>
      <c r="H884" s="41">
        <v>0.35016835</v>
      </c>
      <c r="I884" s="41">
        <v>0.212121212</v>
      </c>
      <c r="J884" s="41">
        <v>0.437710438</v>
      </c>
      <c r="K884" s="41">
        <f t="shared" si="1"/>
        <v>-0.087542088</v>
      </c>
      <c r="L884" s="42">
        <v>5.042284827</v>
      </c>
      <c r="M884" s="45">
        <f>('Cy Young Rank'!O$1-G884)*E884/9</f>
        <v>-0.1259087024</v>
      </c>
      <c r="N884" s="42"/>
      <c r="O884" s="66"/>
      <c r="P884" s="42"/>
      <c r="Q884" s="67"/>
      <c r="R884" s="67"/>
    </row>
    <row r="885">
      <c r="A885" s="1" t="s">
        <v>93</v>
      </c>
      <c r="B885" s="38">
        <v>669194.0</v>
      </c>
      <c r="C885" s="44" t="s">
        <v>541</v>
      </c>
      <c r="D885" s="38">
        <v>260.0</v>
      </c>
      <c r="E885" s="39">
        <f>IFERROR(__xludf.DUMMYFUNCTION("sum(filter('PLA Sheet'!H:H,'PLA Sheet'!C:C=B885,'PLA Sheet'!D:D=C885))"),16.8125)</f>
        <v>16.8125</v>
      </c>
      <c r="F885" s="40">
        <v>4.740947837</v>
      </c>
      <c r="G885" s="40">
        <f>IFERROR(__xludf.DUMMYFUNCTION("sum(filter('PLA Sheet'!J:J,'PLA Sheet'!C:C=B885,'PLA Sheet'!D:D=C885))/E885*9"),3.987683866171004)</f>
        <v>3.987683866</v>
      </c>
      <c r="H885" s="41">
        <v>0.35</v>
      </c>
      <c r="I885" s="41">
        <v>0.226923077</v>
      </c>
      <c r="J885" s="41">
        <v>0.423076923</v>
      </c>
      <c r="K885" s="41">
        <f t="shared" si="1"/>
        <v>-0.073076923</v>
      </c>
      <c r="L885" s="42">
        <v>-0.066617066</v>
      </c>
      <c r="M885" s="45">
        <f>('Cy Young Rank'!O$1-G885)*E885/9</f>
        <v>0.1350905556</v>
      </c>
      <c r="N885" s="42"/>
      <c r="O885" s="66"/>
      <c r="P885" s="42"/>
      <c r="Q885" s="67"/>
      <c r="R885" s="67"/>
    </row>
    <row r="886">
      <c r="A886" s="1" t="s">
        <v>440</v>
      </c>
      <c r="B886" s="38">
        <v>542888.0</v>
      </c>
      <c r="C886" s="44" t="s">
        <v>537</v>
      </c>
      <c r="D886" s="38">
        <v>318.0</v>
      </c>
      <c r="E886" s="39">
        <f>IFERROR(__xludf.DUMMYFUNCTION("sum(filter('PLA Sheet'!H:H,'PLA Sheet'!C:C=B886,'PLA Sheet'!D:D=C886))"),21.464637420000003)</f>
        <v>21.46463742</v>
      </c>
      <c r="F886" s="40">
        <v>4.736049782</v>
      </c>
      <c r="G886" s="40">
        <f>IFERROR(__xludf.DUMMYFUNCTION("sum(filter('PLA Sheet'!J:J,'PLA Sheet'!C:C=B886,'PLA Sheet'!D:D=C886))/E886*9"),4.061939053243043)</f>
        <v>4.061939053</v>
      </c>
      <c r="H886" s="41">
        <v>0.389937107</v>
      </c>
      <c r="I886" s="41">
        <v>0.172955975</v>
      </c>
      <c r="J886" s="41">
        <v>0.437106918</v>
      </c>
      <c r="K886" s="41">
        <f t="shared" si="1"/>
        <v>-0.047169811</v>
      </c>
      <c r="L886" s="42">
        <v>9.015936784</v>
      </c>
      <c r="M886" s="45">
        <f>('Cy Young Rank'!O$1-G886)*E886/9</f>
        <v>-0.004624563867</v>
      </c>
      <c r="N886" s="42"/>
      <c r="O886" s="66"/>
      <c r="P886" s="42"/>
      <c r="Q886" s="67"/>
      <c r="R886" s="67"/>
    </row>
    <row r="887">
      <c r="A887" s="1" t="s">
        <v>307</v>
      </c>
      <c r="B887" s="38">
        <v>656849.0</v>
      </c>
      <c r="C887" s="44" t="s">
        <v>537</v>
      </c>
      <c r="D887" s="38">
        <v>587.0</v>
      </c>
      <c r="E887" s="39">
        <f>IFERROR(__xludf.DUMMYFUNCTION("sum(filter('PLA Sheet'!H:H,'PLA Sheet'!C:C=B887,'PLA Sheet'!D:D=C887))"),38.211098749)</f>
        <v>38.21109875</v>
      </c>
      <c r="F887" s="40">
        <v>4.736015549</v>
      </c>
      <c r="G887" s="40">
        <f>IFERROR(__xludf.DUMMYFUNCTION("sum(filter('PLA Sheet'!J:J,'PLA Sheet'!C:C=B887,'PLA Sheet'!D:D=C887))/E887*9"),4.167086035550523)</f>
        <v>4.167086036</v>
      </c>
      <c r="H887" s="41">
        <v>0.379897785</v>
      </c>
      <c r="I887" s="41">
        <v>0.192504259</v>
      </c>
      <c r="J887" s="41">
        <v>0.427597956</v>
      </c>
      <c r="K887" s="41">
        <f t="shared" si="1"/>
        <v>-0.047700171</v>
      </c>
      <c r="L887" s="42">
        <v>-1.419724157</v>
      </c>
      <c r="M887" s="45">
        <f>('Cy Young Rank'!O$1-G887)*E887/9</f>
        <v>-0.4546527866</v>
      </c>
      <c r="N887" s="42"/>
      <c r="O887" s="66"/>
      <c r="P887" s="42"/>
      <c r="Q887" s="67"/>
      <c r="R887" s="67"/>
    </row>
    <row r="888">
      <c r="A888" s="1" t="s">
        <v>522</v>
      </c>
      <c r="B888" s="38">
        <v>808963.0</v>
      </c>
      <c r="C888" s="44" t="s">
        <v>537</v>
      </c>
      <c r="D888" s="38">
        <v>299.0</v>
      </c>
      <c r="E888" s="39">
        <f>IFERROR(__xludf.DUMMYFUNCTION("sum(filter('PLA Sheet'!H:H,'PLA Sheet'!C:C=B888,'PLA Sheet'!D:D=C888))"),18.137412778)</f>
        <v>18.13741278</v>
      </c>
      <c r="F888" s="40">
        <v>4.734934176</v>
      </c>
      <c r="G888" s="40">
        <f>IFERROR(__xludf.DUMMYFUNCTION("sum(filter('PLA Sheet'!J:J,'PLA Sheet'!C:C=B888,'PLA Sheet'!D:D=C888))/E888*9"),4.429352630571751)</f>
        <v>4.429352631</v>
      </c>
      <c r="H888" s="41">
        <v>0.431438127</v>
      </c>
      <c r="I888" s="41">
        <v>0.20735786</v>
      </c>
      <c r="J888" s="41">
        <v>0.361204013</v>
      </c>
      <c r="K888" s="41">
        <f t="shared" si="1"/>
        <v>0.070234114</v>
      </c>
      <c r="L888" s="42">
        <v>2.263090463</v>
      </c>
      <c r="M888" s="45">
        <f>('Cy Young Rank'!O$1-G888)*E888/9</f>
        <v>-0.744344569</v>
      </c>
      <c r="N888" s="42"/>
      <c r="O888" s="66"/>
      <c r="P888" s="42"/>
      <c r="Q888" s="67"/>
      <c r="R888" s="67"/>
    </row>
    <row r="889">
      <c r="A889" s="1" t="s">
        <v>511</v>
      </c>
      <c r="B889" s="38">
        <v>671131.0</v>
      </c>
      <c r="C889" s="44" t="s">
        <v>537</v>
      </c>
      <c r="D889" s="38">
        <v>252.0</v>
      </c>
      <c r="E889" s="39">
        <f>IFERROR(__xludf.DUMMYFUNCTION("sum(filter('PLA Sheet'!H:H,'PLA Sheet'!C:C=B889,'PLA Sheet'!D:D=C889))"),14.414549078)</f>
        <v>14.41454908</v>
      </c>
      <c r="F889" s="40">
        <v>4.733411239</v>
      </c>
      <c r="G889" s="40">
        <f>IFERROR(__xludf.DUMMYFUNCTION("sum(filter('PLA Sheet'!J:J,'PLA Sheet'!C:C=B889,'PLA Sheet'!D:D=C889))/E889*9"),4.693190097999679)</f>
        <v>4.693190098</v>
      </c>
      <c r="H889" s="41">
        <v>0.412698413</v>
      </c>
      <c r="I889" s="41">
        <v>0.186507937</v>
      </c>
      <c r="J889" s="41">
        <v>0.400793651</v>
      </c>
      <c r="K889" s="41">
        <f t="shared" si="1"/>
        <v>0.011904762</v>
      </c>
      <c r="L889" s="42">
        <v>-0.72404097</v>
      </c>
      <c r="M889" s="45">
        <f>('Cy Young Rank'!O$1-G889)*E889/9</f>
        <v>-1.014127749</v>
      </c>
      <c r="N889" s="42"/>
      <c r="O889" s="66"/>
      <c r="P889" s="42"/>
      <c r="Q889" s="67"/>
      <c r="R889" s="67"/>
    </row>
    <row r="890">
      <c r="A890" s="1" t="s">
        <v>521</v>
      </c>
      <c r="B890" s="38">
        <v>686799.0</v>
      </c>
      <c r="C890" s="44" t="s">
        <v>536</v>
      </c>
      <c r="D890" s="38">
        <v>830.0</v>
      </c>
      <c r="E890" s="39">
        <f>IFERROR(__xludf.DUMMYFUNCTION("sum(filter('PLA Sheet'!H:H,'PLA Sheet'!C:C=B890,'PLA Sheet'!D:D=C890))"),51.82786445)</f>
        <v>51.82786445</v>
      </c>
      <c r="F890" s="40">
        <v>4.732514627</v>
      </c>
      <c r="G890" s="40">
        <f>IFERROR(__xludf.DUMMYFUNCTION("sum(filter('PLA Sheet'!J:J,'PLA Sheet'!C:C=B890,'PLA Sheet'!D:D=C890))/E890*9"),4.24621555094771)</f>
        <v>4.246215551</v>
      </c>
      <c r="H890" s="41">
        <v>0.415662651</v>
      </c>
      <c r="I890" s="41">
        <v>0.16746988</v>
      </c>
      <c r="J890" s="41">
        <v>0.41686747</v>
      </c>
      <c r="K890" s="41">
        <f t="shared" si="1"/>
        <v>-0.001204819</v>
      </c>
      <c r="L890" s="42">
        <v>-13.7390962</v>
      </c>
      <c r="M890" s="45">
        <f>('Cy Young Rank'!O$1-G890)*E890/9</f>
        <v>-1.072350481</v>
      </c>
      <c r="N890" s="42"/>
      <c r="O890" s="66"/>
      <c r="P890" s="42"/>
      <c r="Q890" s="67"/>
      <c r="R890" s="67"/>
    </row>
    <row r="891">
      <c r="A891" s="1" t="s">
        <v>308</v>
      </c>
      <c r="B891" s="38">
        <v>676440.0</v>
      </c>
      <c r="C891" s="44" t="s">
        <v>537</v>
      </c>
      <c r="D891" s="38">
        <v>785.0</v>
      </c>
      <c r="E891" s="39">
        <f>IFERROR(__xludf.DUMMYFUNCTION("sum(filter('PLA Sheet'!H:H,'PLA Sheet'!C:C=B891,'PLA Sheet'!D:D=C891))"),49.80543393)</f>
        <v>49.80543393</v>
      </c>
      <c r="F891" s="40">
        <v>4.729685509</v>
      </c>
      <c r="G891" s="40">
        <f>IFERROR(__xludf.DUMMYFUNCTION("sum(filter('PLA Sheet'!J:J,'PLA Sheet'!C:C=B891,'PLA Sheet'!D:D=C891))/E891*9"),4.31232891780168)</f>
        <v>4.312328918</v>
      </c>
      <c r="H891" s="41">
        <v>0.393630573</v>
      </c>
      <c r="I891" s="41">
        <v>0.166878981</v>
      </c>
      <c r="J891" s="41">
        <v>0.439490446</v>
      </c>
      <c r="K891" s="41">
        <f t="shared" si="1"/>
        <v>-0.045859873</v>
      </c>
      <c r="L891" s="42">
        <v>-1.255121456</v>
      </c>
      <c r="M891" s="45">
        <f>('Cy Young Rank'!O$1-G891)*E891/9</f>
        <v>-1.39637236</v>
      </c>
      <c r="N891" s="42"/>
      <c r="O891" s="66"/>
      <c r="P891" s="42"/>
      <c r="Q891" s="67"/>
      <c r="R891" s="67"/>
    </row>
    <row r="892">
      <c r="A892" s="1" t="s">
        <v>233</v>
      </c>
      <c r="B892" s="38">
        <v>656240.0</v>
      </c>
      <c r="C892" s="44" t="s">
        <v>537</v>
      </c>
      <c r="D892" s="38">
        <v>252.0</v>
      </c>
      <c r="E892" s="39">
        <f>IFERROR(__xludf.DUMMYFUNCTION("sum(filter('PLA Sheet'!H:H,'PLA Sheet'!C:C=B892,'PLA Sheet'!D:D=C892))"),15.962494139)</f>
        <v>15.96249414</v>
      </c>
      <c r="F892" s="40">
        <v>4.724931595</v>
      </c>
      <c r="G892" s="40">
        <f>IFERROR(__xludf.DUMMYFUNCTION("sum(filter('PLA Sheet'!J:J,'PLA Sheet'!C:C=B892,'PLA Sheet'!D:D=C892))/E892*9"),4.270370620431774)</f>
        <v>4.27037062</v>
      </c>
      <c r="H892" s="41">
        <v>0.408730159</v>
      </c>
      <c r="I892" s="41">
        <v>0.154761905</v>
      </c>
      <c r="J892" s="41">
        <v>0.436507937</v>
      </c>
      <c r="K892" s="41">
        <f t="shared" si="1"/>
        <v>-0.027777778</v>
      </c>
      <c r="L892" s="42">
        <v>2.384724615</v>
      </c>
      <c r="M892" s="45">
        <f>('Cy Young Rank'!O$1-G892)*E892/9</f>
        <v>-0.3731155329</v>
      </c>
      <c r="N892" s="42"/>
      <c r="O892" s="66"/>
      <c r="P892" s="42"/>
      <c r="Q892" s="67"/>
      <c r="R892" s="67"/>
    </row>
    <row r="893">
      <c r="A893" s="1" t="s">
        <v>396</v>
      </c>
      <c r="B893" s="38">
        <v>663623.0</v>
      </c>
      <c r="C893" s="44" t="s">
        <v>537</v>
      </c>
      <c r="D893" s="38">
        <v>924.0</v>
      </c>
      <c r="E893" s="39">
        <f>IFERROR(__xludf.DUMMYFUNCTION("sum(filter('PLA Sheet'!H:H,'PLA Sheet'!C:C=B893,'PLA Sheet'!D:D=C893))"),57.881154499999994)</f>
        <v>57.8811545</v>
      </c>
      <c r="F893" s="40">
        <v>4.724590104</v>
      </c>
      <c r="G893" s="40">
        <f>IFERROR(__xludf.DUMMYFUNCTION("sum(filter('PLA Sheet'!J:J,'PLA Sheet'!C:C=B893,'PLA Sheet'!D:D=C893))/E893*9"),4.315815556166905)</f>
        <v>4.315815556</v>
      </c>
      <c r="H893" s="41">
        <v>0.386363636</v>
      </c>
      <c r="I893" s="41">
        <v>0.207792208</v>
      </c>
      <c r="J893" s="41">
        <v>0.405844156</v>
      </c>
      <c r="K893" s="41">
        <f t="shared" si="1"/>
        <v>-0.01948052</v>
      </c>
      <c r="L893" s="42">
        <v>-2.263555741</v>
      </c>
      <c r="M893" s="45">
        <f>('Cy Young Rank'!O$1-G893)*E893/9</f>
        <v>-1.645211081</v>
      </c>
      <c r="N893" s="42"/>
      <c r="O893" s="66"/>
      <c r="P893" s="42"/>
      <c r="Q893" s="67"/>
      <c r="R893" s="67"/>
    </row>
    <row r="894">
      <c r="A894" s="1" t="s">
        <v>361</v>
      </c>
      <c r="B894" s="38">
        <v>686563.0</v>
      </c>
      <c r="C894" s="44" t="s">
        <v>537</v>
      </c>
      <c r="D894" s="38">
        <v>306.0</v>
      </c>
      <c r="E894" s="39">
        <f>IFERROR(__xludf.DUMMYFUNCTION("sum(filter('PLA Sheet'!H:H,'PLA Sheet'!C:C=B894,'PLA Sheet'!D:D=C894))"),18.685453872)</f>
        <v>18.68545387</v>
      </c>
      <c r="F894" s="40">
        <v>4.723015913</v>
      </c>
      <c r="G894" s="40">
        <f>IFERROR(__xludf.DUMMYFUNCTION("sum(filter('PLA Sheet'!J:J,'PLA Sheet'!C:C=B894,'PLA Sheet'!D:D=C894))/E894*9"),4.709494808251131)</f>
        <v>4.709494808</v>
      </c>
      <c r="H894" s="41">
        <v>0.375816993</v>
      </c>
      <c r="I894" s="41">
        <v>0.222222222</v>
      </c>
      <c r="J894" s="41">
        <v>0.401960784</v>
      </c>
      <c r="K894" s="41">
        <f t="shared" si="1"/>
        <v>-0.026143791</v>
      </c>
      <c r="L894" s="42">
        <v>1.336607399</v>
      </c>
      <c r="M894" s="45">
        <f>('Cy Young Rank'!O$1-G894)*E894/9</f>
        <v>-1.348456142</v>
      </c>
      <c r="N894" s="42"/>
      <c r="O894" s="66"/>
      <c r="P894" s="42"/>
      <c r="Q894" s="67"/>
      <c r="R894" s="67"/>
    </row>
    <row r="895">
      <c r="A895" s="1" t="s">
        <v>361</v>
      </c>
      <c r="B895" s="38">
        <v>686563.0</v>
      </c>
      <c r="C895" s="44" t="s">
        <v>536</v>
      </c>
      <c r="D895" s="38">
        <v>386.0</v>
      </c>
      <c r="E895" s="39">
        <f>IFERROR(__xludf.DUMMYFUNCTION("sum(filter('PLA Sheet'!H:H,'PLA Sheet'!C:C=B895,'PLA Sheet'!D:D=C895))"),22.734933037)</f>
        <v>22.73493304</v>
      </c>
      <c r="F895" s="40">
        <v>4.722933903</v>
      </c>
      <c r="G895" s="40">
        <f>IFERROR(__xludf.DUMMYFUNCTION("sum(filter('PLA Sheet'!J:J,'PLA Sheet'!C:C=B895,'PLA Sheet'!D:D=C895))/E895*9"),4.5117989937803396)</f>
        <v>4.511798994</v>
      </c>
      <c r="H895" s="41">
        <v>0.455958549</v>
      </c>
      <c r="I895" s="41">
        <v>0.152849741</v>
      </c>
      <c r="J895" s="41">
        <v>0.39119171</v>
      </c>
      <c r="K895" s="41">
        <f t="shared" si="1"/>
        <v>0.064766839</v>
      </c>
      <c r="L895" s="42">
        <v>-10.09347835</v>
      </c>
      <c r="M895" s="45">
        <f>('Cy Young Rank'!O$1-G895)*E895/9</f>
        <v>-1.141291097</v>
      </c>
      <c r="N895" s="42"/>
      <c r="O895" s="66"/>
      <c r="P895" s="42"/>
      <c r="Q895" s="67"/>
      <c r="R895" s="67"/>
    </row>
    <row r="896">
      <c r="A896" s="1" t="s">
        <v>457</v>
      </c>
      <c r="B896" s="38">
        <v>477132.0</v>
      </c>
      <c r="C896" s="44" t="s">
        <v>541</v>
      </c>
      <c r="D896" s="38">
        <v>310.0</v>
      </c>
      <c r="E896" s="39">
        <f>IFERROR(__xludf.DUMMYFUNCTION("sum(filter('PLA Sheet'!H:H,'PLA Sheet'!C:C=B896,'PLA Sheet'!D:D=C896))"),20.223858063)</f>
        <v>20.22385806</v>
      </c>
      <c r="F896" s="40">
        <v>4.720784836</v>
      </c>
      <c r="G896" s="40">
        <f>IFERROR(__xludf.DUMMYFUNCTION("sum(filter('PLA Sheet'!J:J,'PLA Sheet'!C:C=B896,'PLA Sheet'!D:D=C896))/E896*9"),3.988262019479146)</f>
        <v>3.988262019</v>
      </c>
      <c r="H896" s="41">
        <v>0.370967742</v>
      </c>
      <c r="I896" s="41">
        <v>0.183870968</v>
      </c>
      <c r="J896" s="41">
        <v>0.44516129</v>
      </c>
      <c r="K896" s="41">
        <f t="shared" si="1"/>
        <v>-0.074193548</v>
      </c>
      <c r="L896" s="42">
        <v>2.766241603</v>
      </c>
      <c r="M896" s="45">
        <f>('Cy Young Rank'!O$1-G896)*E896/9</f>
        <v>0.1612020818</v>
      </c>
      <c r="N896" s="42"/>
      <c r="O896" s="66"/>
      <c r="P896" s="42"/>
      <c r="Q896" s="67"/>
      <c r="R896" s="67"/>
    </row>
    <row r="897">
      <c r="A897" s="1" t="s">
        <v>517</v>
      </c>
      <c r="B897" s="38">
        <v>683627.0</v>
      </c>
      <c r="C897" s="44" t="s">
        <v>537</v>
      </c>
      <c r="D897" s="38">
        <v>292.0</v>
      </c>
      <c r="E897" s="39">
        <f>IFERROR(__xludf.DUMMYFUNCTION("sum(filter('PLA Sheet'!H:H,'PLA Sheet'!C:C=B897,'PLA Sheet'!D:D=C897))"),17.04730473)</f>
        <v>17.04730473</v>
      </c>
      <c r="F897" s="40">
        <v>4.717622305</v>
      </c>
      <c r="G897" s="40">
        <f>IFERROR(__xludf.DUMMYFUNCTION("sum(filter('PLA Sheet'!J:J,'PLA Sheet'!C:C=B897,'PLA Sheet'!D:D=C897))/E897*9"),4.511931840148434)</f>
        <v>4.51193184</v>
      </c>
      <c r="H897" s="41">
        <v>0.400684932</v>
      </c>
      <c r="I897" s="41">
        <v>0.143835616</v>
      </c>
      <c r="J897" s="41">
        <v>0.455479452</v>
      </c>
      <c r="K897" s="41">
        <f t="shared" si="1"/>
        <v>-0.05479452</v>
      </c>
      <c r="L897" s="42">
        <v>-15.39062473</v>
      </c>
      <c r="M897" s="45">
        <f>('Cy Young Rank'!O$1-G897)*E897/9</f>
        <v>-0.8560244218</v>
      </c>
      <c r="N897" s="42"/>
      <c r="O897" s="66"/>
      <c r="P897" s="42"/>
      <c r="Q897" s="67"/>
      <c r="R897" s="67"/>
    </row>
    <row r="898">
      <c r="A898" s="1" t="s">
        <v>382</v>
      </c>
      <c r="B898" s="38">
        <v>656288.0</v>
      </c>
      <c r="C898" s="44" t="s">
        <v>537</v>
      </c>
      <c r="D898" s="38">
        <v>446.0</v>
      </c>
      <c r="E898" s="39">
        <f>IFERROR(__xludf.DUMMYFUNCTION("sum(filter('PLA Sheet'!H:H,'PLA Sheet'!C:C=B898,'PLA Sheet'!D:D=C898))"),26.335568809999998)</f>
        <v>26.33556881</v>
      </c>
      <c r="F898" s="40">
        <v>4.716552462</v>
      </c>
      <c r="G898" s="40">
        <f>IFERROR(__xludf.DUMMYFUNCTION("sum(filter('PLA Sheet'!J:J,'PLA Sheet'!C:C=B898,'PLA Sheet'!D:D=C898))/E898*9"),4.819133617945958)</f>
        <v>4.819133618</v>
      </c>
      <c r="H898" s="41">
        <v>0.383408072</v>
      </c>
      <c r="I898" s="41">
        <v>0.177130045</v>
      </c>
      <c r="J898" s="41">
        <v>0.439461883</v>
      </c>
      <c r="K898" s="41">
        <f t="shared" si="1"/>
        <v>-0.056053811</v>
      </c>
      <c r="L898" s="42">
        <v>6.194673773</v>
      </c>
      <c r="M898" s="45">
        <f>('Cy Young Rank'!O$1-G898)*E898/9</f>
        <v>-2.221357292</v>
      </c>
      <c r="N898" s="42"/>
      <c r="O898" s="66"/>
      <c r="P898" s="42"/>
      <c r="Q898" s="67"/>
      <c r="R898" s="67"/>
    </row>
    <row r="899">
      <c r="A899" s="1" t="s">
        <v>452</v>
      </c>
      <c r="B899" s="38">
        <v>607625.0</v>
      </c>
      <c r="C899" s="44" t="s">
        <v>537</v>
      </c>
      <c r="D899" s="38">
        <v>493.0</v>
      </c>
      <c r="E899" s="39">
        <f>IFERROR(__xludf.DUMMYFUNCTION("sum(filter('PLA Sheet'!H:H,'PLA Sheet'!C:C=B899,'PLA Sheet'!D:D=C899))"),30.80235492)</f>
        <v>30.80235492</v>
      </c>
      <c r="F899" s="40">
        <v>4.71621883</v>
      </c>
      <c r="G899" s="40">
        <f>IFERROR(__xludf.DUMMYFUNCTION("sum(filter('PLA Sheet'!J:J,'PLA Sheet'!C:C=B899,'PLA Sheet'!D:D=C899))/E899*9"),4.4080496881697515)</f>
        <v>4.408049688</v>
      </c>
      <c r="H899" s="41">
        <v>0.387423935</v>
      </c>
      <c r="I899" s="41">
        <v>0.182555781</v>
      </c>
      <c r="J899" s="41">
        <v>0.430020284</v>
      </c>
      <c r="K899" s="41">
        <f t="shared" si="1"/>
        <v>-0.042596349</v>
      </c>
      <c r="L899" s="42">
        <v>1.062651704</v>
      </c>
      <c r="M899" s="45">
        <f>('Cy Young Rank'!O$1-G899)*E899/9</f>
        <v>-1.191194447</v>
      </c>
      <c r="N899" s="42"/>
      <c r="O899" s="66"/>
      <c r="P899" s="42"/>
      <c r="Q899" s="67"/>
      <c r="R899" s="67"/>
    </row>
    <row r="900">
      <c r="A900" s="1" t="s">
        <v>339</v>
      </c>
      <c r="B900" s="38">
        <v>686613.0</v>
      </c>
      <c r="C900" s="44" t="s">
        <v>532</v>
      </c>
      <c r="D900" s="38">
        <v>342.0</v>
      </c>
      <c r="E900" s="39">
        <f>IFERROR(__xludf.DUMMYFUNCTION("sum(filter('PLA Sheet'!H:H,'PLA Sheet'!C:C=B900,'PLA Sheet'!D:D=C900))"),22.275039391)</f>
        <v>22.27503939</v>
      </c>
      <c r="F900" s="40">
        <v>4.714270542</v>
      </c>
      <c r="G900" s="40">
        <f>IFERROR(__xludf.DUMMYFUNCTION("sum(filter('PLA Sheet'!J:J,'PLA Sheet'!C:C=B900,'PLA Sheet'!D:D=C900))/E900*9"),4.013968255253713)</f>
        <v>4.013968255</v>
      </c>
      <c r="H900" s="41">
        <v>0.394736842</v>
      </c>
      <c r="I900" s="41">
        <v>0.204678363</v>
      </c>
      <c r="J900" s="41">
        <v>0.400584795</v>
      </c>
      <c r="K900" s="41">
        <f t="shared" si="1"/>
        <v>-0.005847953</v>
      </c>
      <c r="L900" s="42">
        <v>6.215154967</v>
      </c>
      <c r="M900" s="45">
        <f>('Cy Young Rank'!O$1-G900)*E900/9</f>
        <v>0.1139287697</v>
      </c>
      <c r="N900" s="42"/>
      <c r="O900" s="66"/>
      <c r="P900" s="42"/>
      <c r="Q900" s="67"/>
      <c r="R900" s="67"/>
    </row>
    <row r="901">
      <c r="A901" s="1" t="s">
        <v>488</v>
      </c>
      <c r="B901" s="38">
        <v>678020.0</v>
      </c>
      <c r="C901" s="44" t="s">
        <v>537</v>
      </c>
      <c r="D901" s="38">
        <v>332.0</v>
      </c>
      <c r="E901" s="39">
        <f>IFERROR(__xludf.DUMMYFUNCTION("sum(filter('PLA Sheet'!H:H,'PLA Sheet'!C:C=B901,'PLA Sheet'!D:D=C901))"),21.363779524999998)</f>
        <v>21.36377953</v>
      </c>
      <c r="F901" s="40">
        <v>4.706138144</v>
      </c>
      <c r="G901" s="40">
        <f>IFERROR(__xludf.DUMMYFUNCTION("sum(filter('PLA Sheet'!J:J,'PLA Sheet'!C:C=B901,'PLA Sheet'!D:D=C901))/E901*9"),4.20354806109618)</f>
        <v>4.203548061</v>
      </c>
      <c r="H901" s="41">
        <v>0.412650602</v>
      </c>
      <c r="I901" s="41">
        <v>0.186746988</v>
      </c>
      <c r="J901" s="41">
        <v>0.40060241</v>
      </c>
      <c r="K901" s="41">
        <f t="shared" si="1"/>
        <v>0.012048192</v>
      </c>
      <c r="L901" s="42">
        <v>1.185159207</v>
      </c>
      <c r="M901" s="45">
        <f>('Cy Young Rank'!O$1-G901)*E901/9</f>
        <v>-0.3407476809</v>
      </c>
      <c r="N901" s="42"/>
      <c r="O901" s="66"/>
      <c r="P901" s="42"/>
      <c r="Q901" s="67"/>
      <c r="R901" s="67"/>
    </row>
    <row r="902">
      <c r="A902" s="1" t="s">
        <v>481</v>
      </c>
      <c r="B902" s="38">
        <v>622608.0</v>
      </c>
      <c r="C902" s="44" t="s">
        <v>541</v>
      </c>
      <c r="D902" s="38">
        <v>319.0</v>
      </c>
      <c r="E902" s="39">
        <f>IFERROR(__xludf.DUMMYFUNCTION("sum(filter('PLA Sheet'!H:H,'PLA Sheet'!C:C=B902,'PLA Sheet'!D:D=C902))"),18.677179146)</f>
        <v>18.67717915</v>
      </c>
      <c r="F902" s="40">
        <v>4.701236208</v>
      </c>
      <c r="G902" s="40">
        <f>IFERROR(__xludf.DUMMYFUNCTION("sum(filter('PLA Sheet'!J:J,'PLA Sheet'!C:C=B902,'PLA Sheet'!D:D=C902))/E902*9"),4.517696935946068)</f>
        <v>4.517696936</v>
      </c>
      <c r="H902" s="41">
        <v>0.351097179</v>
      </c>
      <c r="I902" s="41">
        <v>0.225705329</v>
      </c>
      <c r="J902" s="41">
        <v>0.423197492</v>
      </c>
      <c r="K902" s="41">
        <f t="shared" si="1"/>
        <v>-0.072100313</v>
      </c>
      <c r="L902" s="42">
        <v>-3.003178303</v>
      </c>
      <c r="M902" s="45">
        <f>('Cy Young Rank'!O$1-G902)*E902/9</f>
        <v>-0.949831963</v>
      </c>
      <c r="N902" s="42"/>
      <c r="O902" s="66"/>
      <c r="P902" s="42"/>
      <c r="Q902" s="67"/>
      <c r="R902" s="67"/>
    </row>
    <row r="903">
      <c r="A903" s="1" t="s">
        <v>225</v>
      </c>
      <c r="B903" s="38">
        <v>596133.0</v>
      </c>
      <c r="C903" s="44" t="s">
        <v>532</v>
      </c>
      <c r="D903" s="38">
        <v>303.0</v>
      </c>
      <c r="E903" s="39">
        <f>IFERROR(__xludf.DUMMYFUNCTION("sum(filter('PLA Sheet'!H:H,'PLA Sheet'!C:C=B903,'PLA Sheet'!D:D=C903))"),19.350541751)</f>
        <v>19.35054175</v>
      </c>
      <c r="F903" s="40">
        <v>4.698680665</v>
      </c>
      <c r="G903" s="40">
        <f>IFERROR(__xludf.DUMMYFUNCTION("sum(filter('PLA Sheet'!J:J,'PLA Sheet'!C:C=B903,'PLA Sheet'!D:D=C903))/E903*9"),4.112467186914161)</f>
        <v>4.112467187</v>
      </c>
      <c r="H903" s="41">
        <v>0.356435644</v>
      </c>
      <c r="I903" s="41">
        <v>0.184818482</v>
      </c>
      <c r="J903" s="41">
        <v>0.458745875</v>
      </c>
      <c r="K903" s="41">
        <f t="shared" si="1"/>
        <v>-0.102310231</v>
      </c>
      <c r="L903" s="42">
        <v>10.60213755</v>
      </c>
      <c r="M903" s="45">
        <f>('Cy Young Rank'!O$1-G903)*E903/9</f>
        <v>-0.1128076101</v>
      </c>
      <c r="N903" s="42"/>
      <c r="O903" s="66"/>
      <c r="P903" s="42"/>
      <c r="Q903" s="67"/>
      <c r="R903" s="67"/>
    </row>
    <row r="904">
      <c r="A904" s="1" t="s">
        <v>162</v>
      </c>
      <c r="B904" s="38">
        <v>592426.0</v>
      </c>
      <c r="C904" s="44" t="s">
        <v>537</v>
      </c>
      <c r="D904" s="38">
        <v>254.0</v>
      </c>
      <c r="E904" s="39">
        <f>IFERROR(__xludf.DUMMYFUNCTION("sum(filter('PLA Sheet'!H:H,'PLA Sheet'!C:C=B904,'PLA Sheet'!D:D=C904))"),17.413043479)</f>
        <v>17.41304348</v>
      </c>
      <c r="F904" s="40">
        <v>4.692670757</v>
      </c>
      <c r="G904" s="40">
        <f>IFERROR(__xludf.DUMMYFUNCTION("sum(filter('PLA Sheet'!J:J,'PLA Sheet'!C:C=B904,'PLA Sheet'!D:D=C904))/E904*9"),4.158867752632458)</f>
        <v>4.158867753</v>
      </c>
      <c r="H904" s="41">
        <v>0.42519685</v>
      </c>
      <c r="I904" s="41">
        <v>0.181102362</v>
      </c>
      <c r="J904" s="41">
        <v>0.393700787</v>
      </c>
      <c r="K904" s="41">
        <f t="shared" si="1"/>
        <v>0.031496063</v>
      </c>
      <c r="L904" s="42">
        <v>5.369271948</v>
      </c>
      <c r="M904" s="45">
        <f>('Cy Young Rank'!O$1-G904)*E904/9</f>
        <v>-0.1912876084</v>
      </c>
      <c r="N904" s="42"/>
      <c r="O904" s="66"/>
      <c r="P904" s="42"/>
      <c r="Q904" s="67"/>
      <c r="R904" s="67"/>
    </row>
    <row r="905">
      <c r="A905" s="1" t="s">
        <v>171</v>
      </c>
      <c r="B905" s="38">
        <v>665795.0</v>
      </c>
      <c r="C905" s="44" t="s">
        <v>537</v>
      </c>
      <c r="D905" s="38">
        <v>276.0</v>
      </c>
      <c r="E905" s="39">
        <f>IFERROR(__xludf.DUMMYFUNCTION("sum(filter('PLA Sheet'!H:H,'PLA Sheet'!C:C=B905,'PLA Sheet'!D:D=C905))"),17.567956126)</f>
        <v>17.56795613</v>
      </c>
      <c r="F905" s="40">
        <v>4.691296598</v>
      </c>
      <c r="G905" s="40">
        <f>IFERROR(__xludf.DUMMYFUNCTION("sum(filter('PLA Sheet'!J:J,'PLA Sheet'!C:C=B905,'PLA Sheet'!D:D=C905))/E905*9"),4.346162493370517)</f>
        <v>4.346162493</v>
      </c>
      <c r="H905" s="41">
        <v>0.405797101</v>
      </c>
      <c r="I905" s="41">
        <v>0.184782609</v>
      </c>
      <c r="J905" s="41">
        <v>0.40942029</v>
      </c>
      <c r="K905" s="41">
        <f t="shared" si="1"/>
        <v>-0.003623189</v>
      </c>
      <c r="L905" s="42">
        <v>0.419666178</v>
      </c>
      <c r="M905" s="45">
        <f>('Cy Young Rank'!O$1-G905)*E905/9</f>
        <v>-0.558587792</v>
      </c>
      <c r="N905" s="42"/>
      <c r="O905" s="66"/>
      <c r="P905" s="42"/>
      <c r="Q905" s="67"/>
      <c r="R905" s="67"/>
    </row>
    <row r="906">
      <c r="A906" s="1" t="s">
        <v>519</v>
      </c>
      <c r="B906" s="38">
        <v>682120.0</v>
      </c>
      <c r="C906" s="44" t="s">
        <v>541</v>
      </c>
      <c r="D906" s="38">
        <v>285.0</v>
      </c>
      <c r="E906" s="39">
        <f>IFERROR(__xludf.DUMMYFUNCTION("sum(filter('PLA Sheet'!H:H,'PLA Sheet'!C:C=B906,'PLA Sheet'!D:D=C906))"),16.78222222)</f>
        <v>16.78222222</v>
      </c>
      <c r="F906" s="40">
        <v>4.689315746</v>
      </c>
      <c r="G906" s="40">
        <f>IFERROR(__xludf.DUMMYFUNCTION("sum(filter('PLA Sheet'!J:J,'PLA Sheet'!C:C=B906,'PLA Sheet'!D:D=C906))/E906*9"),4.598034395471138)</f>
        <v>4.598034395</v>
      </c>
      <c r="H906" s="41">
        <v>0.38245614</v>
      </c>
      <c r="I906" s="41">
        <v>0.224561404</v>
      </c>
      <c r="J906" s="41">
        <v>0.392982456</v>
      </c>
      <c r="K906" s="41">
        <f t="shared" si="1"/>
        <v>-0.010526316</v>
      </c>
      <c r="L906" s="42">
        <v>3.347751222</v>
      </c>
      <c r="M906" s="45">
        <f>('Cy Young Rank'!O$1-G906)*E906/9</f>
        <v>-1.003268087</v>
      </c>
      <c r="N906" s="42"/>
      <c r="O906" s="66"/>
      <c r="P906" s="42"/>
      <c r="Q906" s="67"/>
      <c r="R906" s="67"/>
    </row>
    <row r="907">
      <c r="A907" s="1" t="s">
        <v>322</v>
      </c>
      <c r="B907" s="38">
        <v>678368.0</v>
      </c>
      <c r="C907" s="44" t="s">
        <v>537</v>
      </c>
      <c r="D907" s="38">
        <v>371.0</v>
      </c>
      <c r="E907" s="39">
        <f>IFERROR(__xludf.DUMMYFUNCTION("sum(filter('PLA Sheet'!H:H,'PLA Sheet'!C:C=B907,'PLA Sheet'!D:D=C907))"),23.396416860000002)</f>
        <v>23.39641686</v>
      </c>
      <c r="F907" s="40">
        <v>4.682584407</v>
      </c>
      <c r="G907" s="40">
        <f>IFERROR(__xludf.DUMMYFUNCTION("sum(filter('PLA Sheet'!J:J,'PLA Sheet'!C:C=B907,'PLA Sheet'!D:D=C907))/E907*9"),4.533475345164455)</f>
        <v>4.533475345</v>
      </c>
      <c r="H907" s="41">
        <v>0.342318059</v>
      </c>
      <c r="I907" s="41">
        <v>0.245283019</v>
      </c>
      <c r="J907" s="41">
        <v>0.412398922</v>
      </c>
      <c r="K907" s="41">
        <f t="shared" si="1"/>
        <v>-0.070080863</v>
      </c>
      <c r="L907" s="42">
        <v>-0.686696723</v>
      </c>
      <c r="M907" s="45">
        <f>('Cy Young Rank'!O$1-G907)*E907/9</f>
        <v>-1.230847394</v>
      </c>
      <c r="N907" s="42"/>
      <c r="O907" s="66"/>
      <c r="P907" s="42"/>
      <c r="Q907" s="67"/>
      <c r="R907" s="67"/>
    </row>
    <row r="908">
      <c r="A908" s="1" t="s">
        <v>453</v>
      </c>
      <c r="B908" s="38">
        <v>592836.0</v>
      </c>
      <c r="C908" s="44" t="s">
        <v>536</v>
      </c>
      <c r="D908" s="38">
        <v>397.0</v>
      </c>
      <c r="E908" s="39">
        <f>IFERROR(__xludf.DUMMYFUNCTION("sum(filter('PLA Sheet'!H:H,'PLA Sheet'!C:C=B908,'PLA Sheet'!D:D=C908))"),25.03349515)</f>
        <v>25.03349515</v>
      </c>
      <c r="F908" s="40">
        <v>4.682189871</v>
      </c>
      <c r="G908" s="40">
        <f>IFERROR(__xludf.DUMMYFUNCTION("sum(filter('PLA Sheet'!J:J,'PLA Sheet'!C:C=B908,'PLA Sheet'!D:D=C908))/E908*9"),4.4438067210922405)</f>
        <v>4.443806721</v>
      </c>
      <c r="H908" s="41">
        <v>0.405541562</v>
      </c>
      <c r="I908" s="41">
        <v>0.17884131</v>
      </c>
      <c r="J908" s="41">
        <v>0.415617128</v>
      </c>
      <c r="K908" s="41">
        <f t="shared" si="1"/>
        <v>-0.010075566</v>
      </c>
      <c r="L908" s="42">
        <v>9.499499065</v>
      </c>
      <c r="M908" s="45">
        <f>('Cy Young Rank'!O$1-G908)*E908/9</f>
        <v>-1.067558188</v>
      </c>
      <c r="N908" s="42"/>
      <c r="O908" s="66"/>
      <c r="P908" s="42"/>
      <c r="Q908" s="67"/>
      <c r="R908" s="67"/>
    </row>
    <row r="909">
      <c r="A909" s="1" t="s">
        <v>513</v>
      </c>
      <c r="B909" s="38">
        <v>608566.0</v>
      </c>
      <c r="C909" s="44" t="s">
        <v>537</v>
      </c>
      <c r="D909" s="38">
        <v>664.0</v>
      </c>
      <c r="E909" s="39">
        <f>IFERROR(__xludf.DUMMYFUNCTION("sum(filter('PLA Sheet'!H:H,'PLA Sheet'!C:C=B909,'PLA Sheet'!D:D=C909))"),41.80771694)</f>
        <v>41.80771694</v>
      </c>
      <c r="F909" s="40">
        <v>4.677817921</v>
      </c>
      <c r="G909" s="40">
        <f>IFERROR(__xludf.DUMMYFUNCTION("sum(filter('PLA Sheet'!J:J,'PLA Sheet'!C:C=B909,'PLA Sheet'!D:D=C909))/E909*9"),4.552719400419859)</f>
        <v>4.5527194</v>
      </c>
      <c r="H909" s="41">
        <v>0.387048193</v>
      </c>
      <c r="I909" s="41">
        <v>0.213855422</v>
      </c>
      <c r="J909" s="41">
        <v>0.399096386</v>
      </c>
      <c r="K909" s="41">
        <f t="shared" si="1"/>
        <v>-0.012048193</v>
      </c>
      <c r="L909" s="42">
        <v>-12.80133536</v>
      </c>
      <c r="M909" s="45">
        <f>('Cy Young Rank'!O$1-G909)*E909/9</f>
        <v>-2.288830358</v>
      </c>
      <c r="N909" s="42"/>
      <c r="O909" s="66"/>
      <c r="P909" s="42"/>
      <c r="Q909" s="67"/>
      <c r="R909" s="67"/>
    </row>
    <row r="910">
      <c r="A910" s="1" t="s">
        <v>509</v>
      </c>
      <c r="B910" s="38">
        <v>676106.0</v>
      </c>
      <c r="C910" s="44" t="s">
        <v>532</v>
      </c>
      <c r="D910" s="38">
        <v>282.0</v>
      </c>
      <c r="E910" s="39">
        <f>IFERROR(__xludf.DUMMYFUNCTION("sum(filter('PLA Sheet'!H:H,'PLA Sheet'!C:C=B910,'PLA Sheet'!D:D=C910))"),18.404778635)</f>
        <v>18.40477864</v>
      </c>
      <c r="F910" s="40">
        <v>4.667662272</v>
      </c>
      <c r="G910" s="40">
        <f>IFERROR(__xludf.DUMMYFUNCTION("sum(filter('PLA Sheet'!J:J,'PLA Sheet'!C:C=B910,'PLA Sheet'!D:D=C910))/E910*9"),4.196281277359683)</f>
        <v>4.196281277</v>
      </c>
      <c r="H910" s="41">
        <v>0.365248227</v>
      </c>
      <c r="I910" s="41">
        <v>0.20212766</v>
      </c>
      <c r="J910" s="41">
        <v>0.432624113</v>
      </c>
      <c r="K910" s="41">
        <f t="shared" si="1"/>
        <v>-0.067375886</v>
      </c>
      <c r="L910" s="42">
        <v>-4.599523322</v>
      </c>
      <c r="M910" s="45">
        <f>('Cy Young Rank'!O$1-G910)*E910/9</f>
        <v>-0.2786918602</v>
      </c>
      <c r="N910" s="42"/>
      <c r="O910" s="66"/>
      <c r="P910" s="42"/>
      <c r="Q910" s="67"/>
      <c r="R910" s="67"/>
    </row>
    <row r="911">
      <c r="A911" s="1" t="s">
        <v>421</v>
      </c>
      <c r="B911" s="38">
        <v>607192.0</v>
      </c>
      <c r="C911" s="44" t="s">
        <v>541</v>
      </c>
      <c r="D911" s="38">
        <v>317.0</v>
      </c>
      <c r="E911" s="39">
        <f>IFERROR(__xludf.DUMMYFUNCTION("sum(filter('PLA Sheet'!H:H,'PLA Sheet'!C:C=B911,'PLA Sheet'!D:D=C911))"),19.775675673)</f>
        <v>19.77567567</v>
      </c>
      <c r="F911" s="40">
        <v>4.662665455</v>
      </c>
      <c r="G911" s="40">
        <f>IFERROR(__xludf.DUMMYFUNCTION("sum(filter('PLA Sheet'!J:J,'PLA Sheet'!C:C=B911,'PLA Sheet'!D:D=C911))/E911*9"),4.298525289634487)</f>
        <v>4.29852529</v>
      </c>
      <c r="H911" s="41">
        <v>0.32807571</v>
      </c>
      <c r="I911" s="41">
        <v>0.23659306</v>
      </c>
      <c r="J911" s="41">
        <v>0.43533123</v>
      </c>
      <c r="K911" s="41">
        <f t="shared" si="1"/>
        <v>-0.10725552</v>
      </c>
      <c r="L911" s="42">
        <v>5.576186956</v>
      </c>
      <c r="M911" s="45">
        <f>('Cy Young Rank'!O$1-G911)*E911/9</f>
        <v>-0.5241109742</v>
      </c>
      <c r="N911" s="42"/>
      <c r="O911" s="66"/>
      <c r="P911" s="42"/>
      <c r="Q911" s="67"/>
      <c r="R911" s="67"/>
    </row>
    <row r="912">
      <c r="A912" s="1" t="s">
        <v>549</v>
      </c>
      <c r="B912" s="38">
        <v>685326.0</v>
      </c>
      <c r="C912" s="44" t="s">
        <v>536</v>
      </c>
      <c r="D912" s="38">
        <v>284.0</v>
      </c>
      <c r="E912" s="39">
        <f>IFERROR(__xludf.DUMMYFUNCTION("sum(filter('PLA Sheet'!H:H,'PLA Sheet'!C:C=B912,'PLA Sheet'!D:D=C912))"),14.673970784)</f>
        <v>14.67397078</v>
      </c>
      <c r="F912" s="40">
        <v>4.662445243</v>
      </c>
      <c r="G912" s="40">
        <f>IFERROR(__xludf.DUMMYFUNCTION("sum(filter('PLA Sheet'!J:J,'PLA Sheet'!C:C=B912,'PLA Sheet'!D:D=C912))/E912*9"),5.442663623610497)</f>
        <v>5.442663624</v>
      </c>
      <c r="H912" s="41">
        <v>0.461267606</v>
      </c>
      <c r="I912" s="41">
        <v>0.151408451</v>
      </c>
      <c r="J912" s="41">
        <v>0.387323944</v>
      </c>
      <c r="K912" s="41">
        <f t="shared" si="1"/>
        <v>0.073943662</v>
      </c>
      <c r="L912" s="42">
        <v>-1.275318995</v>
      </c>
      <c r="M912" s="45">
        <f>('Cy Young Rank'!O$1-G912)*E912/9</f>
        <v>-2.254351735</v>
      </c>
      <c r="N912" s="42"/>
      <c r="O912" s="66"/>
      <c r="P912" s="42"/>
      <c r="Q912" s="67"/>
      <c r="R912" s="67"/>
    </row>
    <row r="913">
      <c r="A913" s="1" t="s">
        <v>420</v>
      </c>
      <c r="B913" s="38">
        <v>547179.0</v>
      </c>
      <c r="C913" s="44" t="s">
        <v>532</v>
      </c>
      <c r="D913" s="38">
        <v>387.0</v>
      </c>
      <c r="E913" s="39">
        <f>IFERROR(__xludf.DUMMYFUNCTION("sum(filter('PLA Sheet'!H:H,'PLA Sheet'!C:C=B913,'PLA Sheet'!D:D=C913))"),24.507477710000003)</f>
        <v>24.50747771</v>
      </c>
      <c r="F913" s="40">
        <v>4.66125068</v>
      </c>
      <c r="G913" s="40">
        <f>IFERROR(__xludf.DUMMYFUNCTION("sum(filter('PLA Sheet'!J:J,'PLA Sheet'!C:C=B913,'PLA Sheet'!D:D=C913))/E913*9"),4.412451264043197)</f>
        <v>4.412451264</v>
      </c>
      <c r="H913" s="41">
        <v>0.369509044</v>
      </c>
      <c r="I913" s="41">
        <v>0.178294574</v>
      </c>
      <c r="J913" s="41">
        <v>0.452196382</v>
      </c>
      <c r="K913" s="41">
        <f t="shared" si="1"/>
        <v>-0.082687338</v>
      </c>
      <c r="L913" s="42">
        <v>6.453629371</v>
      </c>
      <c r="M913" s="45">
        <f>('Cy Young Rank'!O$1-G913)*E913/9</f>
        <v>-0.9597434997</v>
      </c>
      <c r="N913" s="42"/>
      <c r="O913" s="66"/>
      <c r="P913" s="42"/>
      <c r="Q913" s="67"/>
      <c r="R913" s="67"/>
    </row>
    <row r="914">
      <c r="A914" s="1" t="s">
        <v>350</v>
      </c>
      <c r="B914" s="38">
        <v>678022.0</v>
      </c>
      <c r="C914" s="44" t="s">
        <v>537</v>
      </c>
      <c r="D914" s="38">
        <v>258.0</v>
      </c>
      <c r="E914" s="39">
        <f>IFERROR(__xludf.DUMMYFUNCTION("sum(filter('PLA Sheet'!H:H,'PLA Sheet'!C:C=B914,'PLA Sheet'!D:D=C914))"),16.267922554)</f>
        <v>16.26792255</v>
      </c>
      <c r="F914" s="40">
        <v>4.660247718</v>
      </c>
      <c r="G914" s="40">
        <f>IFERROR(__xludf.DUMMYFUNCTION("sum(filter('PLA Sheet'!J:J,'PLA Sheet'!C:C=B914,'PLA Sheet'!D:D=C914))/E914*9"),4.542835248611917)</f>
        <v>4.542835249</v>
      </c>
      <c r="H914" s="41">
        <v>0.434108527</v>
      </c>
      <c r="I914" s="41">
        <v>0.131782946</v>
      </c>
      <c r="J914" s="41">
        <v>0.434108527</v>
      </c>
      <c r="K914" s="41">
        <f t="shared" si="1"/>
        <v>0</v>
      </c>
      <c r="L914" s="42">
        <v>-2.393671047</v>
      </c>
      <c r="M914" s="45">
        <f>('Cy Young Rank'!O$1-G914)*E914/9</f>
        <v>-0.8727473812</v>
      </c>
      <c r="N914" s="42"/>
      <c r="O914" s="66"/>
      <c r="P914" s="42"/>
      <c r="Q914" s="67"/>
      <c r="R914" s="67"/>
    </row>
    <row r="915">
      <c r="A915" s="1" t="s">
        <v>550</v>
      </c>
      <c r="B915" s="38">
        <v>682825.0</v>
      </c>
      <c r="C915" s="44" t="s">
        <v>536</v>
      </c>
      <c r="D915" s="38">
        <v>298.0</v>
      </c>
      <c r="E915" s="39">
        <f>IFERROR(__xludf.DUMMYFUNCTION("sum(filter('PLA Sheet'!H:H,'PLA Sheet'!C:C=B915,'PLA Sheet'!D:D=C915))"),15.521739131)</f>
        <v>15.52173913</v>
      </c>
      <c r="F915" s="40">
        <v>4.656166355</v>
      </c>
      <c r="G915" s="40">
        <f>IFERROR(__xludf.DUMMYFUNCTION("sum(filter('PLA Sheet'!J:J,'PLA Sheet'!C:C=B915,'PLA Sheet'!D:D=C915))/E915*9"),5.3850945628291145)</f>
        <v>5.385094563</v>
      </c>
      <c r="H915" s="41">
        <v>0.395973154</v>
      </c>
      <c r="I915" s="41">
        <v>0.184563758</v>
      </c>
      <c r="J915" s="41">
        <v>0.419463087</v>
      </c>
      <c r="K915" s="41">
        <f t="shared" si="1"/>
        <v>-0.023489933</v>
      </c>
      <c r="L915" s="42">
        <v>9.584097273</v>
      </c>
      <c r="M915" s="45">
        <f>('Cy Young Rank'!O$1-G915)*E915/9</f>
        <v>-2.285308014</v>
      </c>
      <c r="N915" s="42"/>
      <c r="O915" s="66"/>
      <c r="P915" s="42"/>
      <c r="Q915" s="67"/>
      <c r="R915" s="67"/>
    </row>
    <row r="916">
      <c r="A916" s="1" t="s">
        <v>432</v>
      </c>
      <c r="B916" s="38">
        <v>669467.0</v>
      </c>
      <c r="C916" s="44" t="s">
        <v>541</v>
      </c>
      <c r="D916" s="38">
        <v>372.0</v>
      </c>
      <c r="E916" s="39">
        <f>IFERROR(__xludf.DUMMYFUNCTION("sum(filter('PLA Sheet'!H:H,'PLA Sheet'!C:C=B916,'PLA Sheet'!D:D=C916))"),22.802060341999997)</f>
        <v>22.80206034</v>
      </c>
      <c r="F916" s="40">
        <v>4.650589956</v>
      </c>
      <c r="G916" s="40">
        <f>IFERROR(__xludf.DUMMYFUNCTION("sum(filter('PLA Sheet'!J:J,'PLA Sheet'!C:C=B916,'PLA Sheet'!D:D=C916))/E916*9"),4.676830400434172)</f>
        <v>4.6768304</v>
      </c>
      <c r="H916" s="41">
        <v>0.317204301</v>
      </c>
      <c r="I916" s="41">
        <v>0.172043011</v>
      </c>
      <c r="J916" s="41">
        <v>0.510752688</v>
      </c>
      <c r="K916" s="41">
        <f t="shared" si="1"/>
        <v>-0.193548387</v>
      </c>
      <c r="L916" s="42">
        <v>1.531382486</v>
      </c>
      <c r="M916" s="45">
        <f>('Cy Young Rank'!O$1-G916)*E916/9</f>
        <v>-1.562778223</v>
      </c>
      <c r="N916" s="42"/>
      <c r="O916" s="66"/>
      <c r="P916" s="42"/>
      <c r="Q916" s="67"/>
      <c r="R916" s="67"/>
    </row>
    <row r="917">
      <c r="A917" s="1" t="s">
        <v>369</v>
      </c>
      <c r="B917" s="38">
        <v>596295.0</v>
      </c>
      <c r="C917" s="44" t="s">
        <v>537</v>
      </c>
      <c r="D917" s="38">
        <v>325.0</v>
      </c>
      <c r="E917" s="39">
        <f>IFERROR(__xludf.DUMMYFUNCTION("sum(filter('PLA Sheet'!H:H,'PLA Sheet'!C:C=B917,'PLA Sheet'!D:D=C917))"),19.799466128)</f>
        <v>19.79946613</v>
      </c>
      <c r="F917" s="40">
        <v>4.650499</v>
      </c>
      <c r="G917" s="40">
        <f>IFERROR(__xludf.DUMMYFUNCTION("sum(filter('PLA Sheet'!J:J,'PLA Sheet'!C:C=B917,'PLA Sheet'!D:D=C917))/E917*9"),4.8655011896389455)</f>
        <v>4.86550119</v>
      </c>
      <c r="H917" s="41">
        <v>0.356923077</v>
      </c>
      <c r="I917" s="41">
        <v>0.190769231</v>
      </c>
      <c r="J917" s="41">
        <v>0.452307692</v>
      </c>
      <c r="K917" s="41">
        <f t="shared" si="1"/>
        <v>-0.095384615</v>
      </c>
      <c r="L917" s="42">
        <v>-4.375181601</v>
      </c>
      <c r="M917" s="45">
        <f>('Cy Young Rank'!O$1-G917)*E917/9</f>
        <v>-1.772054836</v>
      </c>
      <c r="N917" s="42"/>
      <c r="O917" s="66"/>
      <c r="P917" s="42"/>
      <c r="Q917" s="67"/>
      <c r="R917" s="67"/>
    </row>
    <row r="918">
      <c r="A918" s="1" t="s">
        <v>414</v>
      </c>
      <c r="B918" s="38">
        <v>678226.0</v>
      </c>
      <c r="C918" s="44" t="s">
        <v>537</v>
      </c>
      <c r="D918" s="38">
        <v>306.0</v>
      </c>
      <c r="E918" s="39">
        <f>IFERROR(__xludf.DUMMYFUNCTION("sum(filter('PLA Sheet'!H:H,'PLA Sheet'!C:C=B918,'PLA Sheet'!D:D=C918))"),16.294530154)</f>
        <v>16.29453015</v>
      </c>
      <c r="F918" s="40">
        <v>4.633100645</v>
      </c>
      <c r="G918" s="40">
        <f>IFERROR(__xludf.DUMMYFUNCTION("sum(filter('PLA Sheet'!J:J,'PLA Sheet'!C:C=B918,'PLA Sheet'!D:D=C918))/E918*9"),5.324396112072149)</f>
        <v>5.324396112</v>
      </c>
      <c r="H918" s="41">
        <v>0.41503268</v>
      </c>
      <c r="I918" s="41">
        <v>0.147058824</v>
      </c>
      <c r="J918" s="41">
        <v>0.437908497</v>
      </c>
      <c r="K918" s="41">
        <f t="shared" si="1"/>
        <v>-0.022875817</v>
      </c>
      <c r="L918" s="42">
        <v>7.864142958</v>
      </c>
      <c r="M918" s="45">
        <f>('Cy Young Rank'!O$1-G918)*E918/9</f>
        <v>-2.289193397</v>
      </c>
      <c r="N918" s="42"/>
      <c r="O918" s="66"/>
      <c r="P918" s="42"/>
      <c r="Q918" s="67"/>
      <c r="R918" s="67"/>
    </row>
    <row r="919">
      <c r="A919" s="1" t="s">
        <v>303</v>
      </c>
      <c r="B919" s="38">
        <v>592662.0</v>
      </c>
      <c r="C919" s="44" t="s">
        <v>532</v>
      </c>
      <c r="D919" s="38">
        <v>388.0</v>
      </c>
      <c r="E919" s="39">
        <f>IFERROR(__xludf.DUMMYFUNCTION("sum(filter('PLA Sheet'!H:H,'PLA Sheet'!C:C=B919,'PLA Sheet'!D:D=C919))"),23.71284224)</f>
        <v>23.71284224</v>
      </c>
      <c r="F919" s="40">
        <v>4.631979178</v>
      </c>
      <c r="G919" s="40">
        <f>IFERROR(__xludf.DUMMYFUNCTION("sum(filter('PLA Sheet'!J:J,'PLA Sheet'!C:C=B919,'PLA Sheet'!D:D=C919))/E919*9"),4.558885008632352)</f>
        <v>4.558885009</v>
      </c>
      <c r="H919" s="41">
        <v>0.353092784</v>
      </c>
      <c r="I919" s="41">
        <v>0.201030928</v>
      </c>
      <c r="J919" s="41">
        <v>0.445876289</v>
      </c>
      <c r="K919" s="41">
        <f t="shared" si="1"/>
        <v>-0.092783505</v>
      </c>
      <c r="L919" s="42">
        <v>4.013150782</v>
      </c>
      <c r="M919" s="45">
        <f>('Cy Young Rank'!O$1-G919)*E919/9</f>
        <v>-1.31444239</v>
      </c>
      <c r="N919" s="42"/>
      <c r="O919" s="66"/>
      <c r="P919" s="42"/>
      <c r="Q919" s="67"/>
      <c r="R919" s="67"/>
    </row>
    <row r="920">
      <c r="A920" s="1" t="s">
        <v>480</v>
      </c>
      <c r="B920" s="38">
        <v>647336.0</v>
      </c>
      <c r="C920" s="44" t="s">
        <v>541</v>
      </c>
      <c r="D920" s="38">
        <v>423.0</v>
      </c>
      <c r="E920" s="39">
        <f>IFERROR(__xludf.DUMMYFUNCTION("sum(filter('PLA Sheet'!H:H,'PLA Sheet'!C:C=B920,'PLA Sheet'!D:D=C920))"),25.52683246)</f>
        <v>25.52683246</v>
      </c>
      <c r="F920" s="40">
        <v>4.619676381</v>
      </c>
      <c r="G920" s="40">
        <f>IFERROR(__xludf.DUMMYFUNCTION("sum(filter('PLA Sheet'!J:J,'PLA Sheet'!C:C=B920,'PLA Sheet'!D:D=C920))/E920*9"),2.068626222338594)</f>
        <v>2.068626222</v>
      </c>
      <c r="H920" s="41">
        <v>0.38534279</v>
      </c>
      <c r="I920" s="41">
        <v>0.182033097</v>
      </c>
      <c r="J920" s="41">
        <v>0.432624113</v>
      </c>
      <c r="K920" s="41">
        <f t="shared" si="1"/>
        <v>-0.047281323</v>
      </c>
      <c r="L920" s="42">
        <v>12.6053502</v>
      </c>
      <c r="M920" s="45">
        <f>('Cy Young Rank'!O$1-G920)*E920/9</f>
        <v>5.648162754</v>
      </c>
      <c r="N920" s="42"/>
      <c r="O920" s="66"/>
      <c r="P920" s="42"/>
      <c r="Q920" s="67"/>
      <c r="R920" s="67"/>
    </row>
    <row r="921">
      <c r="A921" s="1" t="s">
        <v>423</v>
      </c>
      <c r="B921" s="38">
        <v>656605.0</v>
      </c>
      <c r="C921" s="44" t="s">
        <v>536</v>
      </c>
      <c r="D921" s="38">
        <v>441.0</v>
      </c>
      <c r="E921" s="39">
        <f>IFERROR(__xludf.DUMMYFUNCTION("sum(filter('PLA Sheet'!H:H,'PLA Sheet'!C:C=B921,'PLA Sheet'!D:D=C921))"),27.667364013)</f>
        <v>27.66736401</v>
      </c>
      <c r="F921" s="40">
        <v>4.619476633</v>
      </c>
      <c r="G921" s="40">
        <f>IFERROR(__xludf.DUMMYFUNCTION("sum(filter('PLA Sheet'!J:J,'PLA Sheet'!C:C=B921,'PLA Sheet'!D:D=C921))/E921*9"),4.473297345632462)</f>
        <v>4.473297346</v>
      </c>
      <c r="H921" s="41">
        <v>0.369614512</v>
      </c>
      <c r="I921" s="41">
        <v>0.179138322</v>
      </c>
      <c r="J921" s="41">
        <v>0.451247166</v>
      </c>
      <c r="K921" s="41">
        <f t="shared" si="1"/>
        <v>-0.081632654</v>
      </c>
      <c r="L921" s="42">
        <v>10.85895078</v>
      </c>
      <c r="M921" s="45">
        <f>('Cy Young Rank'!O$1-G921)*E921/9</f>
        <v>-1.270538679</v>
      </c>
      <c r="N921" s="42"/>
      <c r="O921" s="66"/>
      <c r="P921" s="42"/>
      <c r="Q921" s="67"/>
      <c r="R921" s="67"/>
    </row>
    <row r="922">
      <c r="A922" s="1" t="s">
        <v>405</v>
      </c>
      <c r="B922" s="38">
        <v>621111.0</v>
      </c>
      <c r="C922" s="44" t="s">
        <v>536</v>
      </c>
      <c r="D922" s="38">
        <v>344.0</v>
      </c>
      <c r="E922" s="39">
        <f>IFERROR(__xludf.DUMMYFUNCTION("sum(filter('PLA Sheet'!H:H,'PLA Sheet'!C:C=B922,'PLA Sheet'!D:D=C922))"),20.61608775)</f>
        <v>20.61608775</v>
      </c>
      <c r="F922" s="40">
        <v>4.618133563</v>
      </c>
      <c r="G922" s="40">
        <f>IFERROR(__xludf.DUMMYFUNCTION("sum(filter('PLA Sheet'!J:J,'PLA Sheet'!C:C=B922,'PLA Sheet'!D:D=C922))/E922*9"),4.8131992453320835)</f>
        <v>4.813199245</v>
      </c>
      <c r="H922" s="41">
        <v>0.427325581</v>
      </c>
      <c r="I922" s="41">
        <v>0.174418605</v>
      </c>
      <c r="J922" s="41">
        <v>0.398255814</v>
      </c>
      <c r="K922" s="41">
        <f t="shared" si="1"/>
        <v>0.029069767</v>
      </c>
      <c r="L922" s="42">
        <v>8.975443447</v>
      </c>
      <c r="M922" s="45">
        <f>('Cy Young Rank'!O$1-G922)*E922/9</f>
        <v>-1.725335748</v>
      </c>
      <c r="N922" s="42"/>
      <c r="O922" s="66"/>
      <c r="P922" s="42"/>
      <c r="Q922" s="67"/>
      <c r="R922" s="67"/>
    </row>
    <row r="923">
      <c r="A923" s="1" t="s">
        <v>509</v>
      </c>
      <c r="B923" s="38">
        <v>676106.0</v>
      </c>
      <c r="C923" s="44" t="s">
        <v>537</v>
      </c>
      <c r="D923" s="38">
        <v>359.0</v>
      </c>
      <c r="E923" s="39">
        <f>IFERROR(__xludf.DUMMYFUNCTION("sum(filter('PLA Sheet'!H:H,'PLA Sheet'!C:C=B923,'PLA Sheet'!D:D=C923))"),23.148278286)</f>
        <v>23.14827829</v>
      </c>
      <c r="F923" s="40">
        <v>4.614288585</v>
      </c>
      <c r="G923" s="40">
        <f>IFERROR(__xludf.DUMMYFUNCTION("sum(filter('PLA Sheet'!J:J,'PLA Sheet'!C:C=B923,'PLA Sheet'!D:D=C923))/E923*9"),4.57952892609354)</f>
        <v>4.579528926</v>
      </c>
      <c r="H923" s="41">
        <v>0.373259053</v>
      </c>
      <c r="I923" s="41">
        <v>0.192200557</v>
      </c>
      <c r="J923" s="41">
        <v>0.43454039</v>
      </c>
      <c r="K923" s="41">
        <f t="shared" si="1"/>
        <v>-0.061281337</v>
      </c>
      <c r="L923" s="42">
        <v>8.291846232</v>
      </c>
      <c r="M923" s="45">
        <f>('Cy Young Rank'!O$1-G923)*E923/9</f>
        <v>-1.336244462</v>
      </c>
      <c r="N923" s="42"/>
      <c r="O923" s="66"/>
      <c r="P923" s="42"/>
      <c r="Q923" s="67"/>
      <c r="R923" s="67"/>
    </row>
    <row r="924">
      <c r="A924" s="1" t="s">
        <v>440</v>
      </c>
      <c r="B924" s="38">
        <v>542888.0</v>
      </c>
      <c r="C924" s="44" t="s">
        <v>536</v>
      </c>
      <c r="D924" s="38">
        <v>259.0</v>
      </c>
      <c r="E924" s="39">
        <f>IFERROR(__xludf.DUMMYFUNCTION("sum(filter('PLA Sheet'!H:H,'PLA Sheet'!C:C=B924,'PLA Sheet'!D:D=C924))"),17.423455689)</f>
        <v>17.42345569</v>
      </c>
      <c r="F924" s="40">
        <v>4.614009917</v>
      </c>
      <c r="G924" s="40">
        <f>IFERROR(__xludf.DUMMYFUNCTION("sum(filter('PLA Sheet'!J:J,'PLA Sheet'!C:C=B924,'PLA Sheet'!D:D=C924))/E924*9"),4.116782530418727)</f>
        <v>4.11678253</v>
      </c>
      <c r="H924" s="41">
        <v>0.416988417</v>
      </c>
      <c r="I924" s="41">
        <v>0.166023166</v>
      </c>
      <c r="J924" s="41">
        <v>0.416988417</v>
      </c>
      <c r="K924" s="41">
        <f t="shared" si="1"/>
        <v>0</v>
      </c>
      <c r="L924" s="42">
        <v>8.217520175</v>
      </c>
      <c r="M924" s="45">
        <f>('Cy Young Rank'!O$1-G924)*E924/9</f>
        <v>-0.1099275447</v>
      </c>
      <c r="N924" s="42"/>
      <c r="O924" s="66"/>
      <c r="P924" s="42"/>
      <c r="Q924" s="67"/>
      <c r="R924" s="67"/>
    </row>
    <row r="925">
      <c r="A925" s="1" t="s">
        <v>57</v>
      </c>
      <c r="B925" s="38">
        <v>594798.0</v>
      </c>
      <c r="C925" s="44" t="s">
        <v>532</v>
      </c>
      <c r="D925" s="38">
        <v>292.0</v>
      </c>
      <c r="E925" s="39">
        <f>IFERROR(__xludf.DUMMYFUNCTION("sum(filter('PLA Sheet'!H:H,'PLA Sheet'!C:C=B925,'PLA Sheet'!D:D=C925))"),19.501020925)</f>
        <v>19.50102093</v>
      </c>
      <c r="F925" s="40">
        <v>4.610273732</v>
      </c>
      <c r="G925" s="40">
        <f>IFERROR(__xludf.DUMMYFUNCTION("sum(filter('PLA Sheet'!J:J,'PLA Sheet'!C:C=B925,'PLA Sheet'!D:D=C925))/E925*9"),4.043786440888607)</f>
        <v>4.043786441</v>
      </c>
      <c r="H925" s="41">
        <v>0.328767123</v>
      </c>
      <c r="I925" s="41">
        <v>0.164383562</v>
      </c>
      <c r="J925" s="41">
        <v>0.506849315</v>
      </c>
      <c r="K925" s="41">
        <f t="shared" si="1"/>
        <v>-0.178082192</v>
      </c>
      <c r="L925" s="42">
        <v>6.058376085</v>
      </c>
      <c r="M925" s="45">
        <f>('Cy Young Rank'!O$1-G925)*E925/9</f>
        <v>0.03513121728</v>
      </c>
      <c r="N925" s="42"/>
      <c r="O925" s="66"/>
      <c r="P925" s="42"/>
      <c r="Q925" s="67"/>
      <c r="R925" s="67"/>
    </row>
    <row r="926">
      <c r="A926" s="1" t="s">
        <v>511</v>
      </c>
      <c r="B926" s="38">
        <v>671131.0</v>
      </c>
      <c r="C926" s="44" t="s">
        <v>533</v>
      </c>
      <c r="D926" s="38">
        <v>336.0</v>
      </c>
      <c r="E926" s="39">
        <f>IFERROR(__xludf.DUMMYFUNCTION("sum(filter('PLA Sheet'!H:H,'PLA Sheet'!C:C=B926,'PLA Sheet'!D:D=C926))"),18.963627304)</f>
        <v>18.9636273</v>
      </c>
      <c r="F926" s="40">
        <v>4.608288836</v>
      </c>
      <c r="G926" s="40">
        <f>IFERROR(__xludf.DUMMYFUNCTION("sum(filter('PLA Sheet'!J:J,'PLA Sheet'!C:C=B926,'PLA Sheet'!D:D=C926))/E926*9"),4.918432455183629)</f>
        <v>4.918432455</v>
      </c>
      <c r="H926" s="41">
        <v>0.360119048</v>
      </c>
      <c r="I926" s="41">
        <v>0.196428571</v>
      </c>
      <c r="J926" s="41">
        <v>0.443452381</v>
      </c>
      <c r="K926" s="41">
        <f t="shared" si="1"/>
        <v>-0.083333333</v>
      </c>
      <c r="L926" s="42">
        <v>1.661175957</v>
      </c>
      <c r="M926" s="45">
        <f>('Cy Young Rank'!O$1-G926)*E926/9</f>
        <v>-1.808777016</v>
      </c>
      <c r="N926" s="42"/>
      <c r="O926" s="66"/>
      <c r="P926" s="42"/>
      <c r="Q926" s="67"/>
      <c r="R926" s="67"/>
    </row>
    <row r="927">
      <c r="A927" s="1" t="s">
        <v>410</v>
      </c>
      <c r="B927" s="38">
        <v>678394.0</v>
      </c>
      <c r="C927" s="44" t="s">
        <v>532</v>
      </c>
      <c r="D927" s="38">
        <v>401.0</v>
      </c>
      <c r="E927" s="39">
        <f>IFERROR(__xludf.DUMMYFUNCTION("sum(filter('PLA Sheet'!H:H,'PLA Sheet'!C:C=B927,'PLA Sheet'!D:D=C927))"),25.336793967000002)</f>
        <v>25.33679397</v>
      </c>
      <c r="F927" s="40">
        <v>4.607327021</v>
      </c>
      <c r="G927" s="40">
        <f>IFERROR(__xludf.DUMMYFUNCTION("sum(filter('PLA Sheet'!J:J,'PLA Sheet'!C:C=B927,'PLA Sheet'!D:D=C927))/E927*9"),4.314242644210235)</f>
        <v>4.314242644</v>
      </c>
      <c r="H927" s="41">
        <v>0.326683292</v>
      </c>
      <c r="I927" s="41">
        <v>0.19201995</v>
      </c>
      <c r="J927" s="41">
        <v>0.481296758</v>
      </c>
      <c r="K927" s="41">
        <f t="shared" si="1"/>
        <v>-0.154613466</v>
      </c>
      <c r="L927" s="42">
        <v>-0.170071827</v>
      </c>
      <c r="M927" s="45">
        <f>('Cy Young Rank'!O$1-G927)*E927/9</f>
        <v>-0.7157437216</v>
      </c>
      <c r="N927" s="42"/>
      <c r="O927" s="66"/>
      <c r="P927" s="42"/>
      <c r="Q927" s="67"/>
      <c r="R927" s="67"/>
    </row>
    <row r="928">
      <c r="A928" s="1" t="s">
        <v>456</v>
      </c>
      <c r="B928" s="38">
        <v>605135.0</v>
      </c>
      <c r="C928" s="44" t="s">
        <v>537</v>
      </c>
      <c r="D928" s="38">
        <v>256.0</v>
      </c>
      <c r="E928" s="39">
        <f>IFERROR(__xludf.DUMMYFUNCTION("sum(filter('PLA Sheet'!H:H,'PLA Sheet'!C:C=B928,'PLA Sheet'!D:D=C928))"),15.835159655999998)</f>
        <v>15.83515966</v>
      </c>
      <c r="F928" s="40">
        <v>4.604636587</v>
      </c>
      <c r="G928" s="40">
        <f>IFERROR(__xludf.DUMMYFUNCTION("sum(filter('PLA Sheet'!J:J,'PLA Sheet'!C:C=B928,'PLA Sheet'!D:D=C928))/E928*9"),4.5933792004705)</f>
        <v>4.5933792</v>
      </c>
      <c r="H928" s="41">
        <v>0.359375</v>
      </c>
      <c r="I928" s="41">
        <v>0.171875</v>
      </c>
      <c r="J928" s="41">
        <v>0.46875</v>
      </c>
      <c r="K928" s="41">
        <f t="shared" si="1"/>
        <v>-0.109375</v>
      </c>
      <c r="L928" s="42">
        <v>1.650525252</v>
      </c>
      <c r="M928" s="45">
        <f>('Cy Young Rank'!O$1-G928)*E928/9</f>
        <v>-0.938460533</v>
      </c>
      <c r="N928" s="42"/>
      <c r="O928" s="66"/>
      <c r="P928" s="42"/>
      <c r="Q928" s="67"/>
      <c r="R928" s="67"/>
    </row>
    <row r="929">
      <c r="A929" s="1" t="s">
        <v>413</v>
      </c>
      <c r="B929" s="38">
        <v>671737.0</v>
      </c>
      <c r="C929" s="44" t="s">
        <v>541</v>
      </c>
      <c r="D929" s="38">
        <v>328.0</v>
      </c>
      <c r="E929" s="39">
        <f>IFERROR(__xludf.DUMMYFUNCTION("sum(filter('PLA Sheet'!H:H,'PLA Sheet'!C:C=B929,'PLA Sheet'!D:D=C929))"),20.982239833)</f>
        <v>20.98223983</v>
      </c>
      <c r="F929" s="40">
        <v>4.603359793</v>
      </c>
      <c r="G929" s="40">
        <f>IFERROR(__xludf.DUMMYFUNCTION("sum(filter('PLA Sheet'!J:J,'PLA Sheet'!C:C=B929,'PLA Sheet'!D:D=C929))/E929*9"),4.481078033057482)</f>
        <v>4.481078033</v>
      </c>
      <c r="H929" s="41">
        <v>0.320121951</v>
      </c>
      <c r="I929" s="41">
        <v>0.179878049</v>
      </c>
      <c r="J929" s="41">
        <v>0.5</v>
      </c>
      <c r="K929" s="41">
        <f t="shared" si="1"/>
        <v>-0.179878049</v>
      </c>
      <c r="L929" s="42">
        <v>9.470347223</v>
      </c>
      <c r="M929" s="45">
        <f>('Cy Young Rank'!O$1-G929)*E929/9</f>
        <v>-0.9816844753</v>
      </c>
      <c r="N929" s="42"/>
      <c r="O929" s="66"/>
      <c r="P929" s="42"/>
      <c r="Q929" s="67"/>
      <c r="R929" s="67"/>
    </row>
    <row r="930">
      <c r="A930" s="1" t="s">
        <v>329</v>
      </c>
      <c r="B930" s="38">
        <v>669160.0</v>
      </c>
      <c r="C930" s="44" t="s">
        <v>537</v>
      </c>
      <c r="D930" s="38">
        <v>355.0</v>
      </c>
      <c r="E930" s="39">
        <f>IFERROR(__xludf.DUMMYFUNCTION("sum(filter('PLA Sheet'!H:H,'PLA Sheet'!C:C=B930,'PLA Sheet'!D:D=C930))"),21.964038731)</f>
        <v>21.96403873</v>
      </c>
      <c r="F930" s="40">
        <v>4.601903009</v>
      </c>
      <c r="G930" s="40">
        <f>IFERROR(__xludf.DUMMYFUNCTION("sum(filter('PLA Sheet'!J:J,'PLA Sheet'!C:C=B930,'PLA Sheet'!D:D=C930))/E930*9"),4.8596550164223995)</f>
        <v>4.859655016</v>
      </c>
      <c r="H930" s="41">
        <v>0.354929577</v>
      </c>
      <c r="I930" s="41">
        <v>0.171830986</v>
      </c>
      <c r="J930" s="41">
        <v>0.473239437</v>
      </c>
      <c r="K930" s="41">
        <f t="shared" si="1"/>
        <v>-0.11830986</v>
      </c>
      <c r="L930" s="42">
        <v>5.065751188</v>
      </c>
      <c r="M930" s="45">
        <f>('Cy Young Rank'!O$1-G930)*E930/9</f>
        <v>-1.951517084</v>
      </c>
      <c r="N930" s="42"/>
      <c r="O930" s="66"/>
      <c r="P930" s="42"/>
      <c r="Q930" s="67"/>
      <c r="R930" s="67"/>
    </row>
    <row r="931">
      <c r="A931" s="1" t="s">
        <v>215</v>
      </c>
      <c r="B931" s="38">
        <v>656234.0</v>
      </c>
      <c r="C931" s="44" t="s">
        <v>536</v>
      </c>
      <c r="D931" s="38">
        <v>311.0</v>
      </c>
      <c r="E931" s="39">
        <f>IFERROR(__xludf.DUMMYFUNCTION("sum(filter('PLA Sheet'!H:H,'PLA Sheet'!C:C=B931,'PLA Sheet'!D:D=C931))"),18.617903169)</f>
        <v>18.61790317</v>
      </c>
      <c r="F931" s="40">
        <v>4.594894784</v>
      </c>
      <c r="G931" s="40">
        <f>IFERROR(__xludf.DUMMYFUNCTION("sum(filter('PLA Sheet'!J:J,'PLA Sheet'!C:C=B931,'PLA Sheet'!D:D=C931))/E931*9"),4.891165303277875)</f>
        <v>4.891165303</v>
      </c>
      <c r="H931" s="41">
        <v>0.350482315</v>
      </c>
      <c r="I931" s="41">
        <v>0.234726688</v>
      </c>
      <c r="J931" s="41">
        <v>0.414790997</v>
      </c>
      <c r="K931" s="41">
        <f t="shared" si="1"/>
        <v>-0.064308682</v>
      </c>
      <c r="L931" s="42">
        <v>0.945308884</v>
      </c>
      <c r="M931" s="45">
        <f>('Cy Young Rank'!O$1-G931)*E931/9</f>
        <v>-1.719395015</v>
      </c>
      <c r="N931" s="42"/>
      <c r="O931" s="66"/>
      <c r="P931" s="42"/>
      <c r="Q931" s="67"/>
      <c r="R931" s="67"/>
    </row>
    <row r="932">
      <c r="A932" s="1" t="s">
        <v>347</v>
      </c>
      <c r="B932" s="38">
        <v>700249.0</v>
      </c>
      <c r="C932" s="44" t="s">
        <v>532</v>
      </c>
      <c r="D932" s="38">
        <v>294.0</v>
      </c>
      <c r="E932" s="39">
        <f>IFERROR(__xludf.DUMMYFUNCTION("sum(filter('PLA Sheet'!H:H,'PLA Sheet'!C:C=B932,'PLA Sheet'!D:D=C932))"),17.496871305)</f>
        <v>17.49687131</v>
      </c>
      <c r="F932" s="40">
        <v>4.594662863</v>
      </c>
      <c r="G932" s="40">
        <f>IFERROR(__xludf.DUMMYFUNCTION("sum(filter('PLA Sheet'!J:J,'PLA Sheet'!C:C=B932,'PLA Sheet'!D:D=C932))/E932*9"),5.078962601422643)</f>
        <v>5.078962601</v>
      </c>
      <c r="H932" s="41">
        <v>0.343537415</v>
      </c>
      <c r="I932" s="41">
        <v>0.180272109</v>
      </c>
      <c r="J932" s="41">
        <v>0.476190476</v>
      </c>
      <c r="K932" s="41">
        <f t="shared" si="1"/>
        <v>-0.132653061</v>
      </c>
      <c r="L932" s="42">
        <v>3.939529236</v>
      </c>
      <c r="M932" s="45">
        <f>('Cy Young Rank'!O$1-G932)*E932/9</f>
        <v>-1.980961945</v>
      </c>
      <c r="N932" s="42"/>
      <c r="O932" s="66"/>
      <c r="P932" s="42"/>
      <c r="Q932" s="67"/>
      <c r="R932" s="67"/>
    </row>
    <row r="933">
      <c r="A933" s="1" t="s">
        <v>374</v>
      </c>
      <c r="B933" s="38">
        <v>683004.0</v>
      </c>
      <c r="C933" s="44" t="s">
        <v>532</v>
      </c>
      <c r="D933" s="38">
        <v>414.0</v>
      </c>
      <c r="E933" s="39">
        <f>IFERROR(__xludf.DUMMYFUNCTION("sum(filter('PLA Sheet'!H:H,'PLA Sheet'!C:C=B933,'PLA Sheet'!D:D=C933))"),24.886480906)</f>
        <v>24.88648091</v>
      </c>
      <c r="F933" s="40">
        <v>4.587467215</v>
      </c>
      <c r="G933" s="40">
        <f>IFERROR(__xludf.DUMMYFUNCTION("sum(filter('PLA Sheet'!J:J,'PLA Sheet'!C:C=B933,'PLA Sheet'!D:D=C933))/E933*9"),4.717616542228527)</f>
        <v>4.717616542</v>
      </c>
      <c r="H933" s="41">
        <v>0.352657005</v>
      </c>
      <c r="I933" s="41">
        <v>0.169082126</v>
      </c>
      <c r="J933" s="41">
        <v>0.47826087</v>
      </c>
      <c r="K933" s="41">
        <f t="shared" si="1"/>
        <v>-0.125603865</v>
      </c>
      <c r="L933" s="42">
        <v>4.814264905</v>
      </c>
      <c r="M933" s="45">
        <f>('Cy Young Rank'!O$1-G933)*E933/9</f>
        <v>-1.818417947</v>
      </c>
      <c r="N933" s="42"/>
      <c r="O933" s="66"/>
      <c r="P933" s="42"/>
      <c r="Q933" s="67"/>
      <c r="R933" s="67"/>
    </row>
    <row r="934">
      <c r="A934" s="1" t="s">
        <v>491</v>
      </c>
      <c r="B934" s="38">
        <v>650644.0</v>
      </c>
      <c r="C934" s="44" t="s">
        <v>537</v>
      </c>
      <c r="D934" s="38">
        <v>257.0</v>
      </c>
      <c r="E934" s="39">
        <f>IFERROR(__xludf.DUMMYFUNCTION("sum(filter('PLA Sheet'!H:H,'PLA Sheet'!C:C=B934,'PLA Sheet'!D:D=C934))"),15.840687679000002)</f>
        <v>15.84068768</v>
      </c>
      <c r="F934" s="40">
        <v>4.586405399</v>
      </c>
      <c r="G934" s="40">
        <f>IFERROR(__xludf.DUMMYFUNCTION("sum(filter('PLA Sheet'!J:J,'PLA Sheet'!C:C=B934,'PLA Sheet'!D:D=C934))/E934*9"),4.661710684309238)</f>
        <v>4.661710684</v>
      </c>
      <c r="H934" s="41">
        <v>0.369649805</v>
      </c>
      <c r="I934" s="41">
        <v>0.140077821</v>
      </c>
      <c r="J934" s="41">
        <v>0.490272374</v>
      </c>
      <c r="K934" s="41">
        <f t="shared" si="1"/>
        <v>-0.120622569</v>
      </c>
      <c r="L934" s="42">
        <v>3.876923591</v>
      </c>
      <c r="M934" s="45">
        <f>('Cy Young Rank'!O$1-G934)*E934/9</f>
        <v>-1.05905678</v>
      </c>
      <c r="N934" s="42"/>
      <c r="O934" s="66"/>
      <c r="P934" s="42"/>
      <c r="Q934" s="67"/>
      <c r="R934" s="67"/>
    </row>
    <row r="935">
      <c r="A935" s="1" t="s">
        <v>389</v>
      </c>
      <c r="B935" s="38">
        <v>682052.0</v>
      </c>
      <c r="C935" s="44" t="s">
        <v>537</v>
      </c>
      <c r="D935" s="38">
        <v>598.0</v>
      </c>
      <c r="E935" s="39">
        <f>IFERROR(__xludf.DUMMYFUNCTION("sum(filter('PLA Sheet'!H:H,'PLA Sheet'!C:C=B935,'PLA Sheet'!D:D=C935))"),34.172572576)</f>
        <v>34.17257258</v>
      </c>
      <c r="F935" s="40">
        <v>4.586302336</v>
      </c>
      <c r="G935" s="40">
        <f>IFERROR(__xludf.DUMMYFUNCTION("sum(filter('PLA Sheet'!J:J,'PLA Sheet'!C:C=B935,'PLA Sheet'!D:D=C935))/E935*9"),5.3102444539819595)</f>
        <v>5.310244454</v>
      </c>
      <c r="H935" s="41">
        <v>0.381270903</v>
      </c>
      <c r="I935" s="41">
        <v>0.150501672</v>
      </c>
      <c r="J935" s="41">
        <v>0.468227425</v>
      </c>
      <c r="K935" s="41">
        <f t="shared" si="1"/>
        <v>-0.086956522</v>
      </c>
      <c r="L935" s="42">
        <v>9.579331483</v>
      </c>
      <c r="M935" s="45">
        <f>('Cy Young Rank'!O$1-G935)*E935/9</f>
        <v>-4.747118816</v>
      </c>
      <c r="N935" s="42"/>
      <c r="O935" s="66"/>
      <c r="P935" s="42"/>
      <c r="Q935" s="67"/>
      <c r="R935" s="67"/>
    </row>
    <row r="936">
      <c r="A936" s="1" t="s">
        <v>150</v>
      </c>
      <c r="B936" s="38">
        <v>657746.0</v>
      </c>
      <c r="C936" s="44" t="s">
        <v>538</v>
      </c>
      <c r="D936" s="38">
        <v>306.0</v>
      </c>
      <c r="E936" s="39">
        <f>IFERROR(__xludf.DUMMYFUNCTION("sum(filter('PLA Sheet'!H:H,'PLA Sheet'!C:C=B936,'PLA Sheet'!D:D=C936))"),19.271914131000003)</f>
        <v>19.27191413</v>
      </c>
      <c r="F936" s="40">
        <v>4.581953079</v>
      </c>
      <c r="G936" s="40">
        <f>IFERROR(__xludf.DUMMYFUNCTION("sum(filter('PLA Sheet'!J:J,'PLA Sheet'!C:C=B936,'PLA Sheet'!D:D=C936))/E936*9"),4.4025056059959455)</f>
        <v>4.402505606</v>
      </c>
      <c r="H936" s="41">
        <v>0.297385621</v>
      </c>
      <c r="I936" s="41">
        <v>0.215686275</v>
      </c>
      <c r="J936" s="41">
        <v>0.486928105</v>
      </c>
      <c r="K936" s="41">
        <f t="shared" si="1"/>
        <v>-0.189542484</v>
      </c>
      <c r="L936" s="42">
        <v>-0.225654553</v>
      </c>
      <c r="M936" s="45">
        <f>('Cy Young Rank'!O$1-G936)*E936/9</f>
        <v>-0.7334154031</v>
      </c>
      <c r="N936" s="42"/>
      <c r="O936" s="66"/>
      <c r="P936" s="42"/>
      <c r="Q936" s="67"/>
      <c r="R936" s="67"/>
    </row>
    <row r="937">
      <c r="A937" s="1" t="s">
        <v>495</v>
      </c>
      <c r="B937" s="38">
        <v>801403.0</v>
      </c>
      <c r="C937" s="44" t="s">
        <v>541</v>
      </c>
      <c r="D937" s="38">
        <v>372.0</v>
      </c>
      <c r="E937" s="39">
        <f>IFERROR(__xludf.DUMMYFUNCTION("sum(filter('PLA Sheet'!H:H,'PLA Sheet'!C:C=B937,'PLA Sheet'!D:D=C937))"),20.889763780000003)</f>
        <v>20.88976378</v>
      </c>
      <c r="F937" s="40">
        <v>4.577698034</v>
      </c>
      <c r="G937" s="40">
        <f>IFERROR(__xludf.DUMMYFUNCTION("sum(filter('PLA Sheet'!J:J,'PLA Sheet'!C:C=B937,'PLA Sheet'!D:D=C937))/E937*9"),5.0799228329043356)</f>
        <v>5.079922833</v>
      </c>
      <c r="H937" s="41">
        <v>0.38172043</v>
      </c>
      <c r="I937" s="41">
        <v>0.14516129</v>
      </c>
      <c r="J937" s="41">
        <v>0.47311828</v>
      </c>
      <c r="K937" s="41">
        <f t="shared" si="1"/>
        <v>-0.09139785</v>
      </c>
      <c r="L937" s="42">
        <v>3.989728933</v>
      </c>
      <c r="M937" s="45">
        <f>('Cy Young Rank'!O$1-G937)*E937/9</f>
        <v>-2.36732745</v>
      </c>
      <c r="N937" s="42"/>
      <c r="O937" s="66"/>
      <c r="P937" s="42"/>
      <c r="Q937" s="67"/>
      <c r="R937" s="67"/>
    </row>
    <row r="938">
      <c r="A938" s="1" t="s">
        <v>353</v>
      </c>
      <c r="B938" s="38">
        <v>663903.0</v>
      </c>
      <c r="C938" s="44" t="s">
        <v>537</v>
      </c>
      <c r="D938" s="38">
        <v>291.0</v>
      </c>
      <c r="E938" s="39">
        <f>IFERROR(__xludf.DUMMYFUNCTION("sum(filter('PLA Sheet'!H:H,'PLA Sheet'!C:C=B938,'PLA Sheet'!D:D=C938))"),17.740584795)</f>
        <v>17.7405848</v>
      </c>
      <c r="F938" s="40">
        <v>4.568697483</v>
      </c>
      <c r="G938" s="40">
        <f>IFERROR(__xludf.DUMMYFUNCTION("sum(filter('PLA Sheet'!J:J,'PLA Sheet'!C:C=B938,'PLA Sheet'!D:D=C938))/E938*9"),4.884532669093449)</f>
        <v>4.884532669</v>
      </c>
      <c r="H938" s="41">
        <v>0.357388316</v>
      </c>
      <c r="I938" s="41">
        <v>0.164948454</v>
      </c>
      <c r="J938" s="41">
        <v>0.47766323</v>
      </c>
      <c r="K938" s="41">
        <f t="shared" si="1"/>
        <v>-0.120274914</v>
      </c>
      <c r="L938" s="42">
        <v>1.685439386</v>
      </c>
      <c r="M938" s="45">
        <f>('Cy Young Rank'!O$1-G938)*E938/9</f>
        <v>-1.625299081</v>
      </c>
      <c r="N938" s="42"/>
      <c r="O938" s="66"/>
      <c r="P938" s="42"/>
      <c r="Q938" s="67"/>
      <c r="R938" s="67"/>
    </row>
    <row r="939">
      <c r="A939" s="1" t="s">
        <v>464</v>
      </c>
      <c r="B939" s="38">
        <v>615698.0</v>
      </c>
      <c r="C939" s="44" t="s">
        <v>537</v>
      </c>
      <c r="D939" s="38">
        <v>398.0</v>
      </c>
      <c r="E939" s="39">
        <f>IFERROR(__xludf.DUMMYFUNCTION("sum(filter('PLA Sheet'!H:H,'PLA Sheet'!C:C=B939,'PLA Sheet'!D:D=C939))"),24.026793150000003)</f>
        <v>24.02679315</v>
      </c>
      <c r="F939" s="40">
        <v>4.556896383</v>
      </c>
      <c r="G939" s="40">
        <f>IFERROR(__xludf.DUMMYFUNCTION("sum(filter('PLA Sheet'!J:J,'PLA Sheet'!C:C=B939,'PLA Sheet'!D:D=C939))/E939*9"),4.991098281461668)</f>
        <v>4.991098281</v>
      </c>
      <c r="H939" s="41">
        <v>0.336683417</v>
      </c>
      <c r="I939" s="41">
        <v>0.193467337</v>
      </c>
      <c r="J939" s="41">
        <v>0.469849246</v>
      </c>
      <c r="K939" s="41">
        <f t="shared" si="1"/>
        <v>-0.133165829</v>
      </c>
      <c r="L939" s="42">
        <v>-3.143871484</v>
      </c>
      <c r="M939" s="45">
        <f>('Cy Young Rank'!O$1-G939)*E939/9</f>
        <v>-2.485700646</v>
      </c>
      <c r="N939" s="42"/>
      <c r="O939" s="66"/>
      <c r="P939" s="42"/>
      <c r="Q939" s="67"/>
      <c r="R939" s="67"/>
    </row>
    <row r="940">
      <c r="A940" s="1" t="s">
        <v>489</v>
      </c>
      <c r="B940" s="38">
        <v>656222.0</v>
      </c>
      <c r="C940" s="44" t="s">
        <v>532</v>
      </c>
      <c r="D940" s="38">
        <v>339.0</v>
      </c>
      <c r="E940" s="39">
        <f>IFERROR(__xludf.DUMMYFUNCTION("sum(filter('PLA Sheet'!H:H,'PLA Sheet'!C:C=B940,'PLA Sheet'!D:D=C940))"),21.593886466)</f>
        <v>21.59388647</v>
      </c>
      <c r="F940" s="40">
        <v>4.553742723</v>
      </c>
      <c r="G940" s="40">
        <f>IFERROR(__xludf.DUMMYFUNCTION("sum(filter('PLA Sheet'!J:J,'PLA Sheet'!C:C=B940,'PLA Sheet'!D:D=C940))/E940*9"),4.43916476781202)</f>
        <v>4.439164768</v>
      </c>
      <c r="H940" s="41">
        <v>0.380530973</v>
      </c>
      <c r="I940" s="41">
        <v>0.159292035</v>
      </c>
      <c r="J940" s="41">
        <v>0.460176991</v>
      </c>
      <c r="K940" s="41">
        <f t="shared" si="1"/>
        <v>-0.079646018</v>
      </c>
      <c r="L940" s="42">
        <v>10.61842061</v>
      </c>
      <c r="M940" s="45">
        <f>('Cy Young Rank'!O$1-G940)*E940/9</f>
        <v>-0.9097378831</v>
      </c>
      <c r="N940" s="42"/>
      <c r="O940" s="66"/>
      <c r="P940" s="42"/>
      <c r="Q940" s="67"/>
      <c r="R940" s="67"/>
    </row>
    <row r="941">
      <c r="A941" s="1" t="s">
        <v>94</v>
      </c>
      <c r="B941" s="38">
        <v>669093.0</v>
      </c>
      <c r="C941" s="44" t="s">
        <v>538</v>
      </c>
      <c r="D941" s="38">
        <v>276.0</v>
      </c>
      <c r="E941" s="39">
        <f>IFERROR(__xludf.DUMMYFUNCTION("sum(filter('PLA Sheet'!H:H,'PLA Sheet'!C:C=B941,'PLA Sheet'!D:D=C941))"),16.950647245)</f>
        <v>16.95064725</v>
      </c>
      <c r="F941" s="40">
        <v>4.537737675</v>
      </c>
      <c r="G941" s="40">
        <f>IFERROR(__xludf.DUMMYFUNCTION("sum(filter('PLA Sheet'!J:J,'PLA Sheet'!C:C=B941,'PLA Sheet'!D:D=C941))/E941*9"),4.764944773647198)</f>
        <v>4.764944774</v>
      </c>
      <c r="H941" s="41">
        <v>0.300724638</v>
      </c>
      <c r="I941" s="41">
        <v>0.224637681</v>
      </c>
      <c r="J941" s="41">
        <v>0.474637681</v>
      </c>
      <c r="K941" s="41">
        <f t="shared" si="1"/>
        <v>-0.173913043</v>
      </c>
      <c r="L941" s="42">
        <v>8.258415142</v>
      </c>
      <c r="M941" s="45">
        <f>('Cy Young Rank'!O$1-G941)*E941/9</f>
        <v>-1.327696687</v>
      </c>
      <c r="N941" s="42"/>
      <c r="O941" s="66"/>
      <c r="P941" s="42"/>
      <c r="Q941" s="67"/>
      <c r="R941" s="67"/>
    </row>
    <row r="942">
      <c r="A942" s="1" t="s">
        <v>275</v>
      </c>
      <c r="B942" s="38">
        <v>693821.0</v>
      </c>
      <c r="C942" s="44" t="s">
        <v>537</v>
      </c>
      <c r="D942" s="38">
        <v>300.0</v>
      </c>
      <c r="E942" s="39">
        <f>IFERROR(__xludf.DUMMYFUNCTION("sum(filter('PLA Sheet'!H:H,'PLA Sheet'!C:C=B942,'PLA Sheet'!D:D=C942))"),19.261164278000003)</f>
        <v>19.26116428</v>
      </c>
      <c r="F942" s="40">
        <v>4.534296857</v>
      </c>
      <c r="G942" s="40">
        <f>IFERROR(__xludf.DUMMYFUNCTION("sum(filter('PLA Sheet'!J:J,'PLA Sheet'!C:C=B942,'PLA Sheet'!D:D=C942))/E942*9"),4.7544144620892475)</f>
        <v>4.754414462</v>
      </c>
      <c r="H942" s="41">
        <v>0.34</v>
      </c>
      <c r="I942" s="41">
        <v>0.183333333</v>
      </c>
      <c r="J942" s="41">
        <v>0.476666667</v>
      </c>
      <c r="K942" s="41">
        <f t="shared" si="1"/>
        <v>-0.136666667</v>
      </c>
      <c r="L942" s="42">
        <v>2.347620529</v>
      </c>
      <c r="M942" s="45">
        <f>('Cy Young Rank'!O$1-G942)*E942/9</f>
        <v>-1.486136781</v>
      </c>
      <c r="N942" s="42"/>
      <c r="O942" s="66"/>
      <c r="P942" s="42"/>
      <c r="Q942" s="67"/>
      <c r="R942" s="67"/>
    </row>
    <row r="943">
      <c r="A943" s="1" t="s">
        <v>474</v>
      </c>
      <c r="B943" s="38">
        <v>450203.0</v>
      </c>
      <c r="C943" s="44" t="s">
        <v>537</v>
      </c>
      <c r="D943" s="38">
        <v>678.0</v>
      </c>
      <c r="E943" s="39">
        <f>IFERROR(__xludf.DUMMYFUNCTION("sum(filter('PLA Sheet'!H:H,'PLA Sheet'!C:C=B943,'PLA Sheet'!D:D=C943))"),39.158929979999996)</f>
        <v>39.15892998</v>
      </c>
      <c r="F943" s="40">
        <v>4.519212285</v>
      </c>
      <c r="G943" s="40">
        <f>IFERROR(__xludf.DUMMYFUNCTION("sum(filter('PLA Sheet'!J:J,'PLA Sheet'!C:C=B943,'PLA Sheet'!D:D=C943))/E943*9"),5.537043226429857)</f>
        <v>5.537043226</v>
      </c>
      <c r="H943" s="41">
        <v>0.345132743</v>
      </c>
      <c r="I943" s="41">
        <v>0.191740413</v>
      </c>
      <c r="J943" s="41">
        <v>0.463126844</v>
      </c>
      <c r="K943" s="41">
        <f t="shared" si="1"/>
        <v>-0.117994101</v>
      </c>
      <c r="L943" s="42">
        <v>4.138392457</v>
      </c>
      <c r="M943" s="45">
        <f>('Cy Young Rank'!O$1-G943)*E943/9</f>
        <v>-6.426603587</v>
      </c>
      <c r="N943" s="42"/>
      <c r="O943" s="66"/>
      <c r="P943" s="42"/>
      <c r="Q943" s="67"/>
      <c r="R943" s="67"/>
    </row>
    <row r="944">
      <c r="A944" s="1" t="s">
        <v>491</v>
      </c>
      <c r="B944" s="38">
        <v>650644.0</v>
      </c>
      <c r="C944" s="44" t="s">
        <v>536</v>
      </c>
      <c r="D944" s="38">
        <v>279.0</v>
      </c>
      <c r="E944" s="39">
        <f>IFERROR(__xludf.DUMMYFUNCTION("sum(filter('PLA Sheet'!H:H,'PLA Sheet'!C:C=B944,'PLA Sheet'!D:D=C944))"),17.068194842)</f>
        <v>17.06819484</v>
      </c>
      <c r="F944" s="40">
        <v>4.504819496</v>
      </c>
      <c r="G944" s="40">
        <f>IFERROR(__xludf.DUMMYFUNCTION("sum(filter('PLA Sheet'!J:J,'PLA Sheet'!C:C=B944,'PLA Sheet'!D:D=C944))/E944*9"),5.043778020869631)</f>
        <v>5.043778021</v>
      </c>
      <c r="H944" s="41">
        <v>0.290322581</v>
      </c>
      <c r="I944" s="41">
        <v>0.225806452</v>
      </c>
      <c r="J944" s="41">
        <v>0.483870968</v>
      </c>
      <c r="K944" s="41">
        <f t="shared" si="1"/>
        <v>-0.193548387</v>
      </c>
      <c r="L944" s="42">
        <v>-0.840477637</v>
      </c>
      <c r="M944" s="45">
        <f>('Cy Young Rank'!O$1-G944)*E944/9</f>
        <v>-1.86570166</v>
      </c>
      <c r="N944" s="42"/>
      <c r="O944" s="66"/>
      <c r="P944" s="42"/>
      <c r="Q944" s="67"/>
      <c r="R944" s="67"/>
    </row>
    <row r="945">
      <c r="A945" s="1" t="s">
        <v>394</v>
      </c>
      <c r="B945" s="38">
        <v>621121.0</v>
      </c>
      <c r="C945" s="44" t="s">
        <v>536</v>
      </c>
      <c r="D945" s="38">
        <v>279.0</v>
      </c>
      <c r="E945" s="39">
        <f>IFERROR(__xludf.DUMMYFUNCTION("sum(filter('PLA Sheet'!H:H,'PLA Sheet'!C:C=B945,'PLA Sheet'!D:D=C945))"),13.616055843)</f>
        <v>13.61605584</v>
      </c>
      <c r="F945" s="40">
        <v>4.504750101</v>
      </c>
      <c r="G945" s="40">
        <f>IFERROR(__xludf.DUMMYFUNCTION("sum(filter('PLA Sheet'!J:J,'PLA Sheet'!C:C=B945,'PLA Sheet'!D:D=C945))/E945*9"),6.12668917944302)</f>
        <v>6.126689179</v>
      </c>
      <c r="H945" s="41">
        <v>0.365591398</v>
      </c>
      <c r="I945" s="41">
        <v>0.211469534</v>
      </c>
      <c r="J945" s="41">
        <v>0.422939068</v>
      </c>
      <c r="K945" s="41">
        <f t="shared" si="1"/>
        <v>-0.05734767</v>
      </c>
      <c r="L945" s="42">
        <v>1.021274396</v>
      </c>
      <c r="M945" s="45">
        <f>('Cy Young Rank'!O$1-G945)*E945/9</f>
        <v>-3.12668392</v>
      </c>
      <c r="N945" s="42"/>
      <c r="O945" s="66"/>
      <c r="P945" s="42"/>
      <c r="Q945" s="67"/>
      <c r="R945" s="67"/>
    </row>
    <row r="946">
      <c r="A946" s="1" t="s">
        <v>232</v>
      </c>
      <c r="B946" s="38">
        <v>579328.0</v>
      </c>
      <c r="C946" s="44" t="s">
        <v>532</v>
      </c>
      <c r="D946" s="38">
        <v>367.0</v>
      </c>
      <c r="E946" s="39">
        <f>IFERROR(__xludf.DUMMYFUNCTION("sum(filter('PLA Sheet'!H:H,'PLA Sheet'!C:C=B946,'PLA Sheet'!D:D=C946))"),21.563746091)</f>
        <v>21.56374609</v>
      </c>
      <c r="F946" s="40">
        <v>4.489072423</v>
      </c>
      <c r="G946" s="40">
        <f>IFERROR(__xludf.DUMMYFUNCTION("sum(filter('PLA Sheet'!J:J,'PLA Sheet'!C:C=B946,'PLA Sheet'!D:D=C946))/E946*9"),5.139488729477084)</f>
        <v>5.139488729</v>
      </c>
      <c r="H946" s="41">
        <v>0.245231608</v>
      </c>
      <c r="I946" s="41">
        <v>0.234332425</v>
      </c>
      <c r="J946" s="41">
        <v>0.520435967</v>
      </c>
      <c r="K946" s="41">
        <f t="shared" si="1"/>
        <v>-0.275204359</v>
      </c>
      <c r="L946" s="42">
        <v>4.799211901</v>
      </c>
      <c r="M946" s="45">
        <f>('Cy Young Rank'!O$1-G946)*E946/9</f>
        <v>-2.586424541</v>
      </c>
      <c r="N946" s="42"/>
      <c r="O946" s="66"/>
      <c r="P946" s="42"/>
      <c r="Q946" s="67"/>
      <c r="R946" s="67"/>
    </row>
    <row r="947">
      <c r="A947" s="1" t="s">
        <v>432</v>
      </c>
      <c r="B947" s="38">
        <v>669467.0</v>
      </c>
      <c r="C947" s="44" t="s">
        <v>536</v>
      </c>
      <c r="D947" s="38">
        <v>352.0</v>
      </c>
      <c r="E947" s="39">
        <f>IFERROR(__xludf.DUMMYFUNCTION("sum(filter('PLA Sheet'!H:H,'PLA Sheet'!C:C=B947,'PLA Sheet'!D:D=C947))"),21.545253865)</f>
        <v>21.54525387</v>
      </c>
      <c r="F947" s="40">
        <v>4.473147896</v>
      </c>
      <c r="G947" s="40">
        <f>IFERROR(__xludf.DUMMYFUNCTION("sum(filter('PLA Sheet'!J:J,'PLA Sheet'!C:C=B947,'PLA Sheet'!D:D=C947))/E947*9"),5.097188628554598)</f>
        <v>5.097188629</v>
      </c>
      <c r="H947" s="41">
        <v>0.295454545</v>
      </c>
      <c r="I947" s="41">
        <v>0.235795455</v>
      </c>
      <c r="J947" s="41">
        <v>0.46875</v>
      </c>
      <c r="K947" s="41">
        <f t="shared" si="1"/>
        <v>-0.173295455</v>
      </c>
      <c r="L947" s="42">
        <v>-1.440325135</v>
      </c>
      <c r="M947" s="45">
        <f>('Cy Young Rank'!O$1-G947)*E947/9</f>
        <v>-2.48294359</v>
      </c>
      <c r="N947" s="42"/>
      <c r="O947" s="66"/>
      <c r="P947" s="42"/>
      <c r="Q947" s="67"/>
      <c r="R947" s="67"/>
    </row>
    <row r="948">
      <c r="A948" s="1" t="s">
        <v>470</v>
      </c>
      <c r="B948" s="38">
        <v>681343.0</v>
      </c>
      <c r="C948" s="44" t="s">
        <v>541</v>
      </c>
      <c r="D948" s="38">
        <v>343.0</v>
      </c>
      <c r="E948" s="39">
        <f>IFERROR(__xludf.DUMMYFUNCTION("sum(filter('PLA Sheet'!H:H,'PLA Sheet'!C:C=B948,'PLA Sheet'!D:D=C948))"),21.362972157)</f>
        <v>21.36297216</v>
      </c>
      <c r="F948" s="40">
        <v>4.457028476</v>
      </c>
      <c r="G948" s="40">
        <f>IFERROR(__xludf.DUMMYFUNCTION("sum(filter('PLA Sheet'!J:J,'PLA Sheet'!C:C=B948,'PLA Sheet'!D:D=C948))/E948*9"),5.123561375055909)</f>
        <v>5.123561375</v>
      </c>
      <c r="H948" s="41">
        <v>0.352769679</v>
      </c>
      <c r="I948" s="41">
        <v>0.131195335</v>
      </c>
      <c r="J948" s="41">
        <v>0.516034985</v>
      </c>
      <c r="K948" s="41">
        <f t="shared" si="1"/>
        <v>-0.163265306</v>
      </c>
      <c r="L948" s="42">
        <v>-1.594747062</v>
      </c>
      <c r="M948" s="45">
        <f>('Cy Young Rank'!O$1-G948)*E948/9</f>
        <v>-2.524536894</v>
      </c>
      <c r="N948" s="42"/>
      <c r="O948" s="66"/>
      <c r="P948" s="42"/>
      <c r="Q948" s="67"/>
      <c r="R948" s="67"/>
    </row>
    <row r="949">
      <c r="A949" s="1" t="s">
        <v>288</v>
      </c>
      <c r="B949" s="38">
        <v>641755.0</v>
      </c>
      <c r="C949" s="44" t="s">
        <v>537</v>
      </c>
      <c r="D949" s="38">
        <v>274.0</v>
      </c>
      <c r="E949" s="39">
        <f>IFERROR(__xludf.DUMMYFUNCTION("sum(filter('PLA Sheet'!H:H,'PLA Sheet'!C:C=B949,'PLA Sheet'!D:D=C949))"),16.60952381)</f>
        <v>16.60952381</v>
      </c>
      <c r="F949" s="40">
        <v>4.431495156</v>
      </c>
      <c r="G949" s="40">
        <f>IFERROR(__xludf.DUMMYFUNCTION("sum(filter('PLA Sheet'!J:J,'PLA Sheet'!C:C=B949,'PLA Sheet'!D:D=C949))/E949*9"),5.282206462004524)</f>
        <v>5.282206462</v>
      </c>
      <c r="H949" s="41">
        <v>0.343065693</v>
      </c>
      <c r="I949" s="41">
        <v>0.171532847</v>
      </c>
      <c r="J949" s="41">
        <v>0.48540146</v>
      </c>
      <c r="K949" s="41">
        <f t="shared" si="1"/>
        <v>-0.142335767</v>
      </c>
      <c r="L949" s="42">
        <v>-0.057717937</v>
      </c>
      <c r="M949" s="45">
        <f>('Cy Young Rank'!O$1-G949)*E949/9</f>
        <v>-2.255585259</v>
      </c>
      <c r="N949" s="42"/>
      <c r="O949" s="66"/>
      <c r="P949" s="42"/>
      <c r="Q949" s="67"/>
      <c r="R949" s="67"/>
    </row>
    <row r="950">
      <c r="A950" s="1" t="s">
        <v>521</v>
      </c>
      <c r="B950" s="38">
        <v>686799.0</v>
      </c>
      <c r="C950" s="44" t="s">
        <v>537</v>
      </c>
      <c r="D950" s="38">
        <v>339.0</v>
      </c>
      <c r="E950" s="39">
        <f>IFERROR(__xludf.DUMMYFUNCTION("sum(filter('PLA Sheet'!H:H,'PLA Sheet'!C:C=B950,'PLA Sheet'!D:D=C950))"),21.017751479)</f>
        <v>21.01775148</v>
      </c>
      <c r="F950" s="40">
        <v>4.427092157</v>
      </c>
      <c r="G950" s="40">
        <f>IFERROR(__xludf.DUMMYFUNCTION("sum(filter('PLA Sheet'!J:J,'PLA Sheet'!C:C=B950,'PLA Sheet'!D:D=C950))/E950*9"),5.308121713755658)</f>
        <v>5.308121714</v>
      </c>
      <c r="H950" s="41">
        <v>0.342182891</v>
      </c>
      <c r="I950" s="41">
        <v>0.18879056</v>
      </c>
      <c r="J950" s="41">
        <v>0.469026549</v>
      </c>
      <c r="K950" s="41">
        <f t="shared" si="1"/>
        <v>-0.126843658</v>
      </c>
      <c r="L950" s="42">
        <v>6.656033077</v>
      </c>
      <c r="M950" s="45">
        <f>('Cy Young Rank'!O$1-G950)*E950/9</f>
        <v>-2.914745777</v>
      </c>
      <c r="N950" s="42"/>
      <c r="O950" s="66"/>
      <c r="P950" s="42"/>
      <c r="Q950" s="67"/>
      <c r="R950" s="67"/>
    </row>
    <row r="951">
      <c r="A951" s="1" t="s">
        <v>354</v>
      </c>
      <c r="B951" s="38">
        <v>669022.0</v>
      </c>
      <c r="C951" s="44" t="s">
        <v>532</v>
      </c>
      <c r="D951" s="38">
        <v>283.0</v>
      </c>
      <c r="E951" s="39">
        <f>IFERROR(__xludf.DUMMYFUNCTION("sum(filter('PLA Sheet'!H:H,'PLA Sheet'!C:C=B951,'PLA Sheet'!D:D=C951))"),16.38042835)</f>
        <v>16.38042835</v>
      </c>
      <c r="F951" s="40">
        <v>4.287605794</v>
      </c>
      <c r="G951" s="40">
        <f>IFERROR(__xludf.DUMMYFUNCTION("sum(filter('PLA Sheet'!J:J,'PLA Sheet'!C:C=B951,'PLA Sheet'!D:D=C951))/E951*9"),5.884401612733162)</f>
        <v>5.884401613</v>
      </c>
      <c r="H951" s="41">
        <v>0.296819788</v>
      </c>
      <c r="I951" s="41">
        <v>0.19434629</v>
      </c>
      <c r="J951" s="41">
        <v>0.508833922</v>
      </c>
      <c r="K951" s="41">
        <f t="shared" si="1"/>
        <v>-0.212014134</v>
      </c>
      <c r="L951" s="42">
        <v>-2.211168723</v>
      </c>
      <c r="M951" s="45">
        <f>('Cy Young Rank'!O$1-G951)*E951/9</f>
        <v>-3.320497767</v>
      </c>
      <c r="N951" s="42"/>
      <c r="O951" s="66"/>
      <c r="P951" s="42"/>
      <c r="Q951" s="67"/>
      <c r="R951" s="67"/>
    </row>
  </sheetData>
  <autoFilter ref="$A$1:$L$951"/>
  <mergeCells count="1">
    <mergeCell ref="O3:Q3"/>
  </mergeCells>
  <conditionalFormatting sqref="F1:F95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951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1:H95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:J951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K1:K95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:L951 M1">
    <cfRule type="colorScale" priority="6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C1:C951 P5:P14">
    <cfRule type="cellIs" dxfId="0" priority="7" operator="equal">
      <formula>"FF"</formula>
    </cfRule>
  </conditionalFormatting>
  <conditionalFormatting sqref="C1:C951 P5:P14">
    <cfRule type="cellIs" dxfId="1" priority="8" operator="equal">
      <formula>"ST"</formula>
    </cfRule>
  </conditionalFormatting>
  <conditionalFormatting sqref="C1:C951 P5:P14">
    <cfRule type="cellIs" dxfId="2" priority="9" operator="equal">
      <formula>"SL"</formula>
    </cfRule>
  </conditionalFormatting>
  <conditionalFormatting sqref="C1:C951 P5:P14">
    <cfRule type="cellIs" dxfId="3" priority="10" operator="equal">
      <formula>"CU"</formula>
    </cfRule>
  </conditionalFormatting>
  <conditionalFormatting sqref="C1:C951 P5:P14">
    <cfRule type="cellIs" dxfId="4" priority="11" operator="equal">
      <formula>"FS"</formula>
    </cfRule>
  </conditionalFormatting>
  <conditionalFormatting sqref="C1:C951 P5:R14">
    <cfRule type="cellIs" dxfId="5" priority="12" operator="equal">
      <formula>"CH"</formula>
    </cfRule>
  </conditionalFormatting>
  <conditionalFormatting sqref="C1:C951 P5:P14">
    <cfRule type="cellIs" dxfId="6" priority="13" operator="equal">
      <formula>"SI"</formula>
    </cfRule>
  </conditionalFormatting>
  <conditionalFormatting sqref="C1:C951">
    <cfRule type="cellIs" dxfId="7" priority="14" operator="equal">
      <formula>"FC"</formula>
    </cfRule>
  </conditionalFormatting>
  <conditionalFormatting sqref="C1:C951">
    <cfRule type="cellIs" dxfId="1" priority="15" operator="equal">
      <formula>"ST"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10.75"/>
    <col customWidth="1" min="4" max="4" width="9.13"/>
    <col customWidth="1" min="5" max="5" width="5.75"/>
    <col customWidth="1" min="6" max="8" width="9.5"/>
    <col customWidth="1" min="13" max="13" width="10.13"/>
  </cols>
  <sheetData>
    <row r="1">
      <c r="A1" s="32" t="s">
        <v>0</v>
      </c>
      <c r="B1" s="33" t="s">
        <v>5</v>
      </c>
      <c r="C1" s="68" t="s">
        <v>551</v>
      </c>
      <c r="D1" s="33" t="s">
        <v>523</v>
      </c>
      <c r="E1" s="69" t="s">
        <v>2</v>
      </c>
      <c r="F1" s="70" t="s">
        <v>524</v>
      </c>
      <c r="G1" s="35" t="s">
        <v>552</v>
      </c>
      <c r="H1" s="35" t="s">
        <v>8</v>
      </c>
      <c r="I1" s="36" t="s">
        <v>525</v>
      </c>
      <c r="J1" s="36" t="s">
        <v>526</v>
      </c>
      <c r="K1" s="36" t="s">
        <v>527</v>
      </c>
      <c r="L1" s="36" t="s">
        <v>528</v>
      </c>
      <c r="M1" s="71" t="s">
        <v>529</v>
      </c>
    </row>
    <row r="2">
      <c r="A2" s="1" t="s">
        <v>180</v>
      </c>
      <c r="B2" s="38">
        <v>642547.0</v>
      </c>
      <c r="C2" s="72">
        <v>45916.0</v>
      </c>
      <c r="D2" s="38">
        <v>88.0</v>
      </c>
      <c r="E2" s="73" t="str">
        <f>IFERROR(__xludf.DUMMYFUNCTION("average(filter('Appearance Sheet'!F:F,'Appearance Sheet'!G:G=B2,'Appearance Sheet'!A:A=C2))"),"#N/A")</f>
        <v>#N/A</v>
      </c>
      <c r="F2" s="67">
        <v>5.892116261</v>
      </c>
      <c r="G2" s="40">
        <v>0.414453892</v>
      </c>
      <c r="H2" s="40" t="str">
        <f t="shared" ref="H2:H2547" si="1">G2*9/E2</f>
        <v>#N/A</v>
      </c>
      <c r="I2" s="41">
        <v>0.636363636</v>
      </c>
      <c r="J2" s="41">
        <v>0.215909091</v>
      </c>
      <c r="K2" s="41">
        <v>0.147727273</v>
      </c>
      <c r="L2" s="41">
        <f t="shared" ref="L2:L2547" si="2">I2-K2</f>
        <v>0.488636363</v>
      </c>
      <c r="M2" s="74">
        <v>3.505739536</v>
      </c>
    </row>
    <row r="3">
      <c r="A3" s="1" t="s">
        <v>251</v>
      </c>
      <c r="B3" s="38">
        <v>676664.0</v>
      </c>
      <c r="C3" s="72">
        <v>45848.0</v>
      </c>
      <c r="D3" s="38">
        <v>84.0</v>
      </c>
      <c r="E3" s="73" t="str">
        <f>IFERROR(__xludf.DUMMYFUNCTION("average(filter('Appearance Sheet'!F:F,'Appearance Sheet'!G:G=B3,'Appearance Sheet'!A:A=C3))"),"#N/A")</f>
        <v>#N/A</v>
      </c>
      <c r="F3" s="67">
        <v>5.866880279</v>
      </c>
      <c r="G3" s="40">
        <v>0.396478942</v>
      </c>
      <c r="H3" s="40" t="str">
        <f t="shared" si="1"/>
        <v>#N/A</v>
      </c>
      <c r="I3" s="41">
        <v>0.607142857</v>
      </c>
      <c r="J3" s="41">
        <v>0.166666667</v>
      </c>
      <c r="K3" s="41">
        <v>0.226190476</v>
      </c>
      <c r="L3" s="41">
        <f t="shared" si="2"/>
        <v>0.380952381</v>
      </c>
      <c r="M3" s="74">
        <v>0.968821471</v>
      </c>
    </row>
    <row r="4">
      <c r="A4" s="1" t="s">
        <v>224</v>
      </c>
      <c r="B4" s="38">
        <v>686701.0</v>
      </c>
      <c r="C4" s="72">
        <v>45891.0</v>
      </c>
      <c r="D4" s="38">
        <v>90.0</v>
      </c>
      <c r="E4" s="73" t="str">
        <f>IFERROR(__xludf.DUMMYFUNCTION("average(filter('Appearance Sheet'!F:F,'Appearance Sheet'!G:G=B4,'Appearance Sheet'!A:A=C4))"),"#N/A")</f>
        <v>#N/A</v>
      </c>
      <c r="F4" s="67">
        <v>5.841464795</v>
      </c>
      <c r="G4" s="40">
        <v>0.523666841</v>
      </c>
      <c r="H4" s="40" t="str">
        <f t="shared" si="1"/>
        <v>#N/A</v>
      </c>
      <c r="I4" s="41">
        <v>0.655555556</v>
      </c>
      <c r="J4" s="41">
        <v>0.122222222</v>
      </c>
      <c r="K4" s="41">
        <v>0.222222222</v>
      </c>
      <c r="L4" s="41">
        <f t="shared" si="2"/>
        <v>0.433333334</v>
      </c>
      <c r="M4" s="74">
        <v>2.013088351</v>
      </c>
    </row>
    <row r="5">
      <c r="A5" s="1" t="s">
        <v>150</v>
      </c>
      <c r="B5" s="38">
        <v>657746.0</v>
      </c>
      <c r="C5" s="72">
        <v>45787.0</v>
      </c>
      <c r="D5" s="38">
        <v>74.0</v>
      </c>
      <c r="E5" s="73">
        <f>IFERROR(__xludf.DUMMYFUNCTION("average(filter('Appearance Sheet'!F:F,'Appearance Sheet'!G:G=B5,'Appearance Sheet'!A:A=C5))"),6.0)</f>
        <v>6</v>
      </c>
      <c r="F5" s="67">
        <v>5.841073323</v>
      </c>
      <c r="G5" s="40">
        <v>0.449642305</v>
      </c>
      <c r="H5" s="40">
        <f t="shared" si="1"/>
        <v>0.6744634575</v>
      </c>
      <c r="I5" s="41">
        <v>0.635135135</v>
      </c>
      <c r="J5" s="41">
        <v>0.135135135</v>
      </c>
      <c r="K5" s="41">
        <v>0.22972973</v>
      </c>
      <c r="L5" s="41">
        <f t="shared" si="2"/>
        <v>0.405405405</v>
      </c>
      <c r="M5" s="74">
        <v>1.59924525</v>
      </c>
    </row>
    <row r="6">
      <c r="A6" s="1" t="s">
        <v>356</v>
      </c>
      <c r="B6" s="38">
        <v>680732.0</v>
      </c>
      <c r="C6" s="72">
        <v>45927.0</v>
      </c>
      <c r="D6" s="38">
        <v>79.0</v>
      </c>
      <c r="E6" s="73" t="str">
        <f>IFERROR(__xludf.DUMMYFUNCTION("average(filter('Appearance Sheet'!F:F,'Appearance Sheet'!G:G=B6,'Appearance Sheet'!A:A=C6))"),"#N/A")</f>
        <v>#N/A</v>
      </c>
      <c r="F6" s="67">
        <v>5.826042241</v>
      </c>
      <c r="G6" s="40">
        <v>0.461320675</v>
      </c>
      <c r="H6" s="40" t="str">
        <f t="shared" si="1"/>
        <v>#N/A</v>
      </c>
      <c r="I6" s="41">
        <v>0.620253165</v>
      </c>
      <c r="J6" s="41">
        <v>0.113924051</v>
      </c>
      <c r="K6" s="41">
        <v>0.265822785</v>
      </c>
      <c r="L6" s="41">
        <f t="shared" si="2"/>
        <v>0.35443038</v>
      </c>
      <c r="M6" s="74">
        <v>1.427736379</v>
      </c>
    </row>
    <row r="7">
      <c r="A7" s="1" t="s">
        <v>188</v>
      </c>
      <c r="B7" s="38">
        <v>694819.0</v>
      </c>
      <c r="C7" s="72">
        <v>45901.0</v>
      </c>
      <c r="D7" s="38">
        <v>72.0</v>
      </c>
      <c r="E7" s="73" t="str">
        <f>IFERROR(__xludf.DUMMYFUNCTION("average(filter('Appearance Sheet'!F:F,'Appearance Sheet'!G:G=B7,'Appearance Sheet'!A:A=C7))"),"#N/A")</f>
        <v>#N/A</v>
      </c>
      <c r="F7" s="67">
        <v>5.813124353</v>
      </c>
      <c r="G7" s="40">
        <v>0.461909892</v>
      </c>
      <c r="H7" s="40" t="str">
        <f t="shared" si="1"/>
        <v>#N/A</v>
      </c>
      <c r="I7" s="41">
        <v>0.611111111</v>
      </c>
      <c r="J7" s="41">
        <v>0.138888889</v>
      </c>
      <c r="K7" s="41">
        <v>0.25</v>
      </c>
      <c r="L7" s="41">
        <f t="shared" si="2"/>
        <v>0.361111111</v>
      </c>
      <c r="M7" s="74">
        <v>-2.013799472</v>
      </c>
    </row>
    <row r="8">
      <c r="A8" s="1" t="s">
        <v>57</v>
      </c>
      <c r="B8" s="38">
        <v>594798.0</v>
      </c>
      <c r="C8" s="72">
        <v>45787.0</v>
      </c>
      <c r="D8" s="38">
        <v>87.0</v>
      </c>
      <c r="E8" s="73">
        <f>IFERROR(__xludf.DUMMYFUNCTION("average(filter('Appearance Sheet'!F:F,'Appearance Sheet'!G:G=B8,'Appearance Sheet'!A:A=C8))"),5.0)</f>
        <v>5</v>
      </c>
      <c r="F8" s="67">
        <v>5.802259866</v>
      </c>
      <c r="G8" s="40">
        <v>0.565982106</v>
      </c>
      <c r="H8" s="40">
        <f t="shared" si="1"/>
        <v>1.018767791</v>
      </c>
      <c r="I8" s="41">
        <v>0.632183908</v>
      </c>
      <c r="J8" s="41">
        <v>0.16091954</v>
      </c>
      <c r="K8" s="41">
        <v>0.206896552</v>
      </c>
      <c r="L8" s="41">
        <f t="shared" si="2"/>
        <v>0.425287356</v>
      </c>
      <c r="M8" s="74">
        <v>0.027421489</v>
      </c>
    </row>
    <row r="9">
      <c r="A9" s="1" t="s">
        <v>202</v>
      </c>
      <c r="B9" s="38">
        <v>677960.0</v>
      </c>
      <c r="C9" s="72">
        <v>45797.0</v>
      </c>
      <c r="D9" s="38">
        <v>79.0</v>
      </c>
      <c r="E9" s="73">
        <f>IFERROR(__xludf.DUMMYFUNCTION("average(filter('Appearance Sheet'!F:F,'Appearance Sheet'!G:G=B9,'Appearance Sheet'!A:A=C9))"),5.0)</f>
        <v>5</v>
      </c>
      <c r="F9" s="67">
        <v>5.792771562</v>
      </c>
      <c r="G9" s="40">
        <v>0.52444023</v>
      </c>
      <c r="H9" s="40">
        <f t="shared" si="1"/>
        <v>0.943992414</v>
      </c>
      <c r="I9" s="41">
        <v>0.632911392</v>
      </c>
      <c r="J9" s="41">
        <v>0.139240506</v>
      </c>
      <c r="K9" s="41">
        <v>0.227848101</v>
      </c>
      <c r="L9" s="41">
        <f t="shared" si="2"/>
        <v>0.405063291</v>
      </c>
      <c r="M9" s="74">
        <v>-0.607462719</v>
      </c>
    </row>
    <row r="10">
      <c r="A10" s="1" t="s">
        <v>57</v>
      </c>
      <c r="B10" s="38">
        <v>594798.0</v>
      </c>
      <c r="C10" s="72">
        <v>45765.0</v>
      </c>
      <c r="D10" s="38">
        <v>93.0</v>
      </c>
      <c r="E10" s="73">
        <f>IFERROR(__xludf.DUMMYFUNCTION("average(filter('Appearance Sheet'!F:F,'Appearance Sheet'!G:G=B10,'Appearance Sheet'!A:A=C10))"),7.0)</f>
        <v>7</v>
      </c>
      <c r="F10" s="67">
        <v>5.763144374</v>
      </c>
      <c r="G10" s="40">
        <v>0.706448306</v>
      </c>
      <c r="H10" s="40">
        <f t="shared" si="1"/>
        <v>0.9082906791</v>
      </c>
      <c r="I10" s="41">
        <v>0.64516129</v>
      </c>
      <c r="J10" s="41">
        <v>0.150537634</v>
      </c>
      <c r="K10" s="41">
        <v>0.204301075</v>
      </c>
      <c r="L10" s="41">
        <f t="shared" si="2"/>
        <v>0.440860215</v>
      </c>
      <c r="M10" s="74">
        <v>1.912307501</v>
      </c>
    </row>
    <row r="11">
      <c r="A11" s="1" t="s">
        <v>130</v>
      </c>
      <c r="B11" s="38">
        <v>666200.0</v>
      </c>
      <c r="C11" s="72">
        <v>45900.0</v>
      </c>
      <c r="D11" s="38">
        <v>100.0</v>
      </c>
      <c r="E11" s="73" t="str">
        <f>IFERROR(__xludf.DUMMYFUNCTION("average(filter('Appearance Sheet'!F:F,'Appearance Sheet'!G:G=B11,'Appearance Sheet'!A:A=C11))"),"#N/A")</f>
        <v>#N/A</v>
      </c>
      <c r="F11" s="67">
        <v>5.752245168</v>
      </c>
      <c r="G11" s="40">
        <v>0.73603509</v>
      </c>
      <c r="H11" s="40" t="str">
        <f t="shared" si="1"/>
        <v>#N/A</v>
      </c>
      <c r="I11" s="41">
        <v>0.59</v>
      </c>
      <c r="J11" s="41">
        <v>0.17</v>
      </c>
      <c r="K11" s="41">
        <v>0.24</v>
      </c>
      <c r="L11" s="41">
        <f t="shared" si="2"/>
        <v>0.35</v>
      </c>
      <c r="M11" s="74">
        <v>3.548448879</v>
      </c>
    </row>
    <row r="12">
      <c r="A12" s="1" t="s">
        <v>93</v>
      </c>
      <c r="B12" s="38">
        <v>669194.0</v>
      </c>
      <c r="C12" s="72">
        <v>45776.0</v>
      </c>
      <c r="D12" s="38">
        <v>61.0</v>
      </c>
      <c r="E12" s="73">
        <f>IFERROR(__xludf.DUMMYFUNCTION("average(filter('Appearance Sheet'!F:F,'Appearance Sheet'!G:G=B12,'Appearance Sheet'!A:A=C12))"),4.0)</f>
        <v>4</v>
      </c>
      <c r="F12" s="67">
        <v>5.748118371</v>
      </c>
      <c r="G12" s="40">
        <v>0.433392199</v>
      </c>
      <c r="H12" s="40">
        <f t="shared" si="1"/>
        <v>0.9751324478</v>
      </c>
      <c r="I12" s="41">
        <v>0.672131148</v>
      </c>
      <c r="J12" s="41">
        <v>0.114754098</v>
      </c>
      <c r="K12" s="41">
        <v>0.213114754</v>
      </c>
      <c r="L12" s="41">
        <f t="shared" si="2"/>
        <v>0.459016394</v>
      </c>
      <c r="M12" s="74">
        <v>2.871533047</v>
      </c>
    </row>
    <row r="13">
      <c r="A13" s="1" t="s">
        <v>105</v>
      </c>
      <c r="B13" s="38">
        <v>624133.0</v>
      </c>
      <c r="C13" s="72">
        <v>45809.0</v>
      </c>
      <c r="D13" s="38">
        <v>93.0</v>
      </c>
      <c r="E13" s="73">
        <f>IFERROR(__xludf.DUMMYFUNCTION("average(filter('Appearance Sheet'!F:F,'Appearance Sheet'!G:G=B13,'Appearance Sheet'!A:A=C13))"),6.0)</f>
        <v>6</v>
      </c>
      <c r="F13" s="67">
        <v>5.746125528</v>
      </c>
      <c r="G13" s="40">
        <v>0.742900878</v>
      </c>
      <c r="H13" s="40">
        <f t="shared" si="1"/>
        <v>1.114351317</v>
      </c>
      <c r="I13" s="41">
        <v>0.634408602</v>
      </c>
      <c r="J13" s="41">
        <v>0.139784946</v>
      </c>
      <c r="K13" s="41">
        <v>0.225806452</v>
      </c>
      <c r="L13" s="41">
        <f t="shared" si="2"/>
        <v>0.40860215</v>
      </c>
      <c r="M13" s="74">
        <v>0.865130219</v>
      </c>
    </row>
    <row r="14">
      <c r="A14" s="1" t="s">
        <v>79</v>
      </c>
      <c r="B14" s="38">
        <v>554430.0</v>
      </c>
      <c r="C14" s="72">
        <v>45743.0</v>
      </c>
      <c r="D14" s="38">
        <v>93.0</v>
      </c>
      <c r="E14" s="73">
        <f>IFERROR(__xludf.DUMMYFUNCTION("average(filter('Appearance Sheet'!F:F,'Appearance Sheet'!G:G=B14,'Appearance Sheet'!A:A=C14))"),6.0)</f>
        <v>6</v>
      </c>
      <c r="F14" s="67">
        <v>5.745947936</v>
      </c>
      <c r="G14" s="40">
        <v>0.687958888</v>
      </c>
      <c r="H14" s="40">
        <f t="shared" si="1"/>
        <v>1.031938332</v>
      </c>
      <c r="I14" s="41">
        <v>0.64516129</v>
      </c>
      <c r="J14" s="41">
        <v>0.107526882</v>
      </c>
      <c r="K14" s="41">
        <v>0.247311828</v>
      </c>
      <c r="L14" s="41">
        <f t="shared" si="2"/>
        <v>0.397849462</v>
      </c>
      <c r="M14" s="74">
        <v>3.165653814</v>
      </c>
    </row>
    <row r="15">
      <c r="A15" s="1" t="s">
        <v>156</v>
      </c>
      <c r="B15" s="38">
        <v>519242.0</v>
      </c>
      <c r="C15" s="72">
        <v>45826.0</v>
      </c>
      <c r="D15" s="38">
        <v>113.0</v>
      </c>
      <c r="E15" s="73">
        <f>IFERROR(__xludf.DUMMYFUNCTION("average(filter('Appearance Sheet'!F:F,'Appearance Sheet'!G:G=B15,'Appearance Sheet'!A:A=C15))"),8.666666666666666)</f>
        <v>8.666666667</v>
      </c>
      <c r="F15" s="67">
        <v>5.724323763</v>
      </c>
      <c r="G15" s="40">
        <v>0.901536286</v>
      </c>
      <c r="H15" s="40">
        <f t="shared" si="1"/>
        <v>0.9362107585</v>
      </c>
      <c r="I15" s="41">
        <v>0.610619469</v>
      </c>
      <c r="J15" s="41">
        <v>0.168141593</v>
      </c>
      <c r="K15" s="41">
        <v>0.221238938</v>
      </c>
      <c r="L15" s="41">
        <f t="shared" si="2"/>
        <v>0.389380531</v>
      </c>
      <c r="M15" s="74">
        <v>2.649724196</v>
      </c>
    </row>
    <row r="16">
      <c r="A16" s="1" t="s">
        <v>44</v>
      </c>
      <c r="B16" s="38">
        <v>650911.0</v>
      </c>
      <c r="C16" s="72">
        <v>45872.0</v>
      </c>
      <c r="D16" s="38">
        <v>81.0</v>
      </c>
      <c r="E16" s="73" t="str">
        <f>IFERROR(__xludf.DUMMYFUNCTION("average(filter('Appearance Sheet'!F:F,'Appearance Sheet'!G:G=B16,'Appearance Sheet'!A:A=C16))"),"#N/A")</f>
        <v>#N/A</v>
      </c>
      <c r="F16" s="67">
        <v>5.72181604</v>
      </c>
      <c r="G16" s="40">
        <v>0.694190142</v>
      </c>
      <c r="H16" s="40" t="str">
        <f t="shared" si="1"/>
        <v>#N/A</v>
      </c>
      <c r="I16" s="41">
        <v>0.617283951</v>
      </c>
      <c r="J16" s="41">
        <v>0.222222222</v>
      </c>
      <c r="K16" s="41">
        <v>0.160493827</v>
      </c>
      <c r="L16" s="41">
        <f t="shared" si="2"/>
        <v>0.456790124</v>
      </c>
      <c r="M16" s="74">
        <v>0.148183469</v>
      </c>
    </row>
    <row r="17">
      <c r="A17" s="1" t="s">
        <v>97</v>
      </c>
      <c r="B17" s="38">
        <v>656876.0</v>
      </c>
      <c r="C17" s="72">
        <v>45882.0</v>
      </c>
      <c r="D17" s="38">
        <v>76.0</v>
      </c>
      <c r="E17" s="73" t="str">
        <f>IFERROR(__xludf.DUMMYFUNCTION("average(filter('Appearance Sheet'!F:F,'Appearance Sheet'!G:G=B17,'Appearance Sheet'!A:A=C17))"),"#N/A")</f>
        <v>#N/A</v>
      </c>
      <c r="F17" s="67">
        <v>5.718333706</v>
      </c>
      <c r="G17" s="40">
        <v>0.628099908</v>
      </c>
      <c r="H17" s="40" t="str">
        <f t="shared" si="1"/>
        <v>#N/A</v>
      </c>
      <c r="I17" s="41">
        <v>0.723684211</v>
      </c>
      <c r="J17" s="41">
        <v>0.144736842</v>
      </c>
      <c r="K17" s="41">
        <v>0.131578947</v>
      </c>
      <c r="L17" s="41">
        <f t="shared" si="2"/>
        <v>0.592105264</v>
      </c>
      <c r="M17" s="74">
        <v>1.527125457</v>
      </c>
    </row>
    <row r="18">
      <c r="A18" s="1" t="s">
        <v>127</v>
      </c>
      <c r="B18" s="38">
        <v>687765.0</v>
      </c>
      <c r="C18" s="72">
        <v>45824.0</v>
      </c>
      <c r="D18" s="38">
        <v>82.0</v>
      </c>
      <c r="E18" s="73">
        <f>IFERROR(__xludf.DUMMYFUNCTION("average(filter('Appearance Sheet'!F:F,'Appearance Sheet'!G:G=B18,'Appearance Sheet'!A:A=C18))"),5.0)</f>
        <v>5</v>
      </c>
      <c r="F18" s="67">
        <v>5.712226937</v>
      </c>
      <c r="G18" s="40">
        <v>0.670869986</v>
      </c>
      <c r="H18" s="40">
        <f t="shared" si="1"/>
        <v>1.207565975</v>
      </c>
      <c r="I18" s="41">
        <v>0.62195122</v>
      </c>
      <c r="J18" s="41">
        <v>0.109756098</v>
      </c>
      <c r="K18" s="41">
        <v>0.268292683</v>
      </c>
      <c r="L18" s="41">
        <f t="shared" si="2"/>
        <v>0.353658537</v>
      </c>
      <c r="M18" s="74">
        <v>-1.956450897</v>
      </c>
    </row>
    <row r="19">
      <c r="A19" s="1" t="s">
        <v>181</v>
      </c>
      <c r="B19" s="38">
        <v>641154.0</v>
      </c>
      <c r="C19" s="72">
        <v>45743.0</v>
      </c>
      <c r="D19" s="38">
        <v>86.0</v>
      </c>
      <c r="E19" s="73">
        <f>IFERROR(__xludf.DUMMYFUNCTION("average(filter('Appearance Sheet'!F:F,'Appearance Sheet'!G:G=B19,'Appearance Sheet'!A:A=C19))"),5.0)</f>
        <v>5</v>
      </c>
      <c r="F19" s="67">
        <v>5.699480416</v>
      </c>
      <c r="G19" s="40">
        <v>0.767139998</v>
      </c>
      <c r="H19" s="40">
        <f t="shared" si="1"/>
        <v>1.380851996</v>
      </c>
      <c r="I19" s="41">
        <v>0.593023256</v>
      </c>
      <c r="J19" s="41">
        <v>0.197674419</v>
      </c>
      <c r="K19" s="41">
        <v>0.209302326</v>
      </c>
      <c r="L19" s="41">
        <f t="shared" si="2"/>
        <v>0.38372093</v>
      </c>
      <c r="M19" s="74">
        <v>-1.368493598</v>
      </c>
    </row>
    <row r="20">
      <c r="A20" s="1" t="s">
        <v>109</v>
      </c>
      <c r="B20" s="38">
        <v>601713.0</v>
      </c>
      <c r="C20" s="72">
        <v>45776.0</v>
      </c>
      <c r="D20" s="38">
        <v>85.0</v>
      </c>
      <c r="E20" s="73">
        <f>IFERROR(__xludf.DUMMYFUNCTION("average(filter('Appearance Sheet'!F:F,'Appearance Sheet'!G:G=B20,'Appearance Sheet'!A:A=C20))"),5.333333333333333)</f>
        <v>5.333333333</v>
      </c>
      <c r="F20" s="67">
        <v>5.699069433</v>
      </c>
      <c r="G20" s="40">
        <v>0.747891861</v>
      </c>
      <c r="H20" s="40">
        <f t="shared" si="1"/>
        <v>1.262067515</v>
      </c>
      <c r="I20" s="41">
        <v>0.647058824</v>
      </c>
      <c r="J20" s="41">
        <v>0.117647059</v>
      </c>
      <c r="K20" s="41">
        <v>0.235294118</v>
      </c>
      <c r="L20" s="41">
        <f t="shared" si="2"/>
        <v>0.411764706</v>
      </c>
      <c r="M20" s="74">
        <v>-0.633408615</v>
      </c>
    </row>
    <row r="21">
      <c r="A21" s="1" t="s">
        <v>79</v>
      </c>
      <c r="B21" s="38">
        <v>554430.0</v>
      </c>
      <c r="C21" s="72">
        <v>45783.0</v>
      </c>
      <c r="D21" s="38">
        <v>84.0</v>
      </c>
      <c r="E21" s="73">
        <f>IFERROR(__xludf.DUMMYFUNCTION("average(filter('Appearance Sheet'!F:F,'Appearance Sheet'!G:G=B21,'Appearance Sheet'!A:A=C21))"),7.0)</f>
        <v>7</v>
      </c>
      <c r="F21" s="67">
        <v>5.687337946</v>
      </c>
      <c r="G21" s="40">
        <v>0.777319665</v>
      </c>
      <c r="H21" s="40">
        <f t="shared" si="1"/>
        <v>0.9994109979</v>
      </c>
      <c r="I21" s="41">
        <v>0.547619048</v>
      </c>
      <c r="J21" s="41">
        <v>0.261904762</v>
      </c>
      <c r="K21" s="41">
        <v>0.19047619</v>
      </c>
      <c r="L21" s="41">
        <f t="shared" si="2"/>
        <v>0.357142858</v>
      </c>
      <c r="M21" s="74">
        <v>0.893427265</v>
      </c>
    </row>
    <row r="22">
      <c r="A22" s="1" t="s">
        <v>79</v>
      </c>
      <c r="B22" s="38">
        <v>554430.0</v>
      </c>
      <c r="C22" s="72">
        <v>45817.0</v>
      </c>
      <c r="D22" s="38">
        <v>101.0</v>
      </c>
      <c r="E22" s="73">
        <f>IFERROR(__xludf.DUMMYFUNCTION("average(filter('Appearance Sheet'!F:F,'Appearance Sheet'!G:G=B22,'Appearance Sheet'!A:A=C22))"),6.0)</f>
        <v>6</v>
      </c>
      <c r="F22" s="67">
        <v>5.686561463</v>
      </c>
      <c r="G22" s="40">
        <v>0.866323748</v>
      </c>
      <c r="H22" s="40">
        <f t="shared" si="1"/>
        <v>1.299485622</v>
      </c>
      <c r="I22" s="41">
        <v>0.594059406</v>
      </c>
      <c r="J22" s="41">
        <v>0.168316832</v>
      </c>
      <c r="K22" s="41">
        <v>0.237623762</v>
      </c>
      <c r="L22" s="41">
        <f t="shared" si="2"/>
        <v>0.356435644</v>
      </c>
      <c r="M22" s="74">
        <v>2.443946347</v>
      </c>
    </row>
    <row r="23">
      <c r="A23" s="1" t="s">
        <v>373</v>
      </c>
      <c r="B23" s="38">
        <v>640455.0</v>
      </c>
      <c r="C23" s="72">
        <v>45851.0</v>
      </c>
      <c r="D23" s="38">
        <v>63.0</v>
      </c>
      <c r="E23" s="73" t="str">
        <f>IFERROR(__xludf.DUMMYFUNCTION("average(filter('Appearance Sheet'!F:F,'Appearance Sheet'!G:G=B23,'Appearance Sheet'!A:A=C23))"),"#N/A")</f>
        <v>#N/A</v>
      </c>
      <c r="F23" s="67">
        <v>5.683725168</v>
      </c>
      <c r="G23" s="40">
        <v>0.565902821</v>
      </c>
      <c r="H23" s="40" t="str">
        <f t="shared" si="1"/>
        <v>#N/A</v>
      </c>
      <c r="I23" s="41">
        <v>0.555555556</v>
      </c>
      <c r="J23" s="41">
        <v>0.253968254</v>
      </c>
      <c r="K23" s="41">
        <v>0.19047619</v>
      </c>
      <c r="L23" s="41">
        <f t="shared" si="2"/>
        <v>0.365079366</v>
      </c>
      <c r="M23" s="74">
        <v>-1.740373585</v>
      </c>
    </row>
    <row r="24">
      <c r="A24" s="1" t="s">
        <v>111</v>
      </c>
      <c r="B24" s="38">
        <v>656641.0</v>
      </c>
      <c r="C24" s="72">
        <v>45896.0</v>
      </c>
      <c r="D24" s="38">
        <v>64.0</v>
      </c>
      <c r="E24" s="73" t="str">
        <f>IFERROR(__xludf.DUMMYFUNCTION("average(filter('Appearance Sheet'!F:F,'Appearance Sheet'!G:G=B24,'Appearance Sheet'!A:A=C24))"),"#N/A")</f>
        <v>#N/A</v>
      </c>
      <c r="F24" s="67">
        <v>5.67169527</v>
      </c>
      <c r="G24" s="40">
        <v>0.610574052</v>
      </c>
      <c r="H24" s="40" t="str">
        <f t="shared" si="1"/>
        <v>#N/A</v>
      </c>
      <c r="I24" s="41">
        <v>0.6875</v>
      </c>
      <c r="J24" s="41">
        <v>0.0625</v>
      </c>
      <c r="K24" s="41">
        <v>0.25</v>
      </c>
      <c r="L24" s="41">
        <f t="shared" si="2"/>
        <v>0.4375</v>
      </c>
      <c r="M24" s="74">
        <v>-0.835000816</v>
      </c>
    </row>
    <row r="25">
      <c r="A25" s="1" t="s">
        <v>143</v>
      </c>
      <c r="B25" s="38">
        <v>690928.0</v>
      </c>
      <c r="C25" s="72">
        <v>45801.0</v>
      </c>
      <c r="D25" s="38">
        <v>70.0</v>
      </c>
      <c r="E25" s="73">
        <f>IFERROR(__xludf.DUMMYFUNCTION("average(filter('Appearance Sheet'!F:F,'Appearance Sheet'!G:G=B25,'Appearance Sheet'!A:A=C25))"),4.0)</f>
        <v>4</v>
      </c>
      <c r="F25" s="67">
        <v>5.666908674</v>
      </c>
      <c r="G25" s="40">
        <v>0.663138172</v>
      </c>
      <c r="H25" s="40">
        <f t="shared" si="1"/>
        <v>1.492060887</v>
      </c>
      <c r="I25" s="41">
        <v>0.571428571</v>
      </c>
      <c r="J25" s="41">
        <v>0.185714286</v>
      </c>
      <c r="K25" s="41">
        <v>0.242857143</v>
      </c>
      <c r="L25" s="41">
        <f t="shared" si="2"/>
        <v>0.328571428</v>
      </c>
      <c r="M25" s="74">
        <v>-1.354792262</v>
      </c>
    </row>
    <row r="26">
      <c r="A26" s="1" t="s">
        <v>239</v>
      </c>
      <c r="B26" s="38">
        <v>806960.0</v>
      </c>
      <c r="C26" s="72">
        <v>45891.0</v>
      </c>
      <c r="D26" s="38">
        <v>94.0</v>
      </c>
      <c r="E26" s="73" t="str">
        <f>IFERROR(__xludf.DUMMYFUNCTION("average(filter('Appearance Sheet'!F:F,'Appearance Sheet'!G:G=B26,'Appearance Sheet'!A:A=C26))"),"#N/A")</f>
        <v>#N/A</v>
      </c>
      <c r="F26" s="67">
        <v>5.665752748</v>
      </c>
      <c r="G26" s="40">
        <v>0.844682983</v>
      </c>
      <c r="H26" s="40" t="str">
        <f t="shared" si="1"/>
        <v>#N/A</v>
      </c>
      <c r="I26" s="41">
        <v>0.563829787</v>
      </c>
      <c r="J26" s="41">
        <v>0.191489362</v>
      </c>
      <c r="K26" s="41">
        <v>0.244680851</v>
      </c>
      <c r="L26" s="41">
        <f t="shared" si="2"/>
        <v>0.319148936</v>
      </c>
      <c r="M26" s="74">
        <v>3.585546591</v>
      </c>
    </row>
    <row r="27">
      <c r="A27" s="1" t="s">
        <v>164</v>
      </c>
      <c r="B27" s="38">
        <v>669923.0</v>
      </c>
      <c r="C27" s="72">
        <v>45833.0</v>
      </c>
      <c r="D27" s="38">
        <v>88.0</v>
      </c>
      <c r="E27" s="73">
        <f>IFERROR(__xludf.DUMMYFUNCTION("average(filter('Appearance Sheet'!F:F,'Appearance Sheet'!G:G=B27,'Appearance Sheet'!A:A=C27))"),6.0)</f>
        <v>6</v>
      </c>
      <c r="F27" s="67">
        <v>5.660510009</v>
      </c>
      <c r="G27" s="40">
        <v>0.806295286</v>
      </c>
      <c r="H27" s="40">
        <f t="shared" si="1"/>
        <v>1.209442929</v>
      </c>
      <c r="I27" s="41">
        <v>0.534090909</v>
      </c>
      <c r="J27" s="41">
        <v>0.261363636</v>
      </c>
      <c r="K27" s="41">
        <v>0.204545455</v>
      </c>
      <c r="L27" s="41">
        <f t="shared" si="2"/>
        <v>0.329545454</v>
      </c>
      <c r="M27" s="74">
        <v>1.779778229</v>
      </c>
    </row>
    <row r="28">
      <c r="A28" s="1" t="s">
        <v>150</v>
      </c>
      <c r="B28" s="38">
        <v>657746.0</v>
      </c>
      <c r="C28" s="72">
        <v>45888.0</v>
      </c>
      <c r="D28" s="38">
        <v>86.0</v>
      </c>
      <c r="E28" s="73" t="str">
        <f>IFERROR(__xludf.DUMMYFUNCTION("average(filter('Appearance Sheet'!F:F,'Appearance Sheet'!G:G=B28,'Appearance Sheet'!A:A=C28))"),"#N/A")</f>
        <v>#N/A</v>
      </c>
      <c r="F28" s="67">
        <v>5.659046193</v>
      </c>
      <c r="G28" s="40">
        <v>0.759684102</v>
      </c>
      <c r="H28" s="40" t="str">
        <f t="shared" si="1"/>
        <v>#N/A</v>
      </c>
      <c r="I28" s="41">
        <v>0.523255814</v>
      </c>
      <c r="J28" s="41">
        <v>0.139534884</v>
      </c>
      <c r="K28" s="41">
        <v>0.337209302</v>
      </c>
      <c r="L28" s="41">
        <f t="shared" si="2"/>
        <v>0.186046512</v>
      </c>
      <c r="M28" s="74">
        <v>-2.751356511</v>
      </c>
    </row>
    <row r="29">
      <c r="A29" s="1" t="s">
        <v>316</v>
      </c>
      <c r="B29" s="38">
        <v>656427.0</v>
      </c>
      <c r="C29" s="72">
        <v>45910.0</v>
      </c>
      <c r="D29" s="38">
        <v>96.0</v>
      </c>
      <c r="E29" s="73" t="str">
        <f>IFERROR(__xludf.DUMMYFUNCTION("average(filter('Appearance Sheet'!F:F,'Appearance Sheet'!G:G=B29,'Appearance Sheet'!A:A=C29))"),"#N/A")</f>
        <v>#N/A</v>
      </c>
      <c r="F29" s="67">
        <v>5.656812454</v>
      </c>
      <c r="G29" s="40">
        <v>0.840707368</v>
      </c>
      <c r="H29" s="40" t="str">
        <f t="shared" si="1"/>
        <v>#N/A</v>
      </c>
      <c r="I29" s="41">
        <v>0.5625</v>
      </c>
      <c r="J29" s="41">
        <v>0.104166667</v>
      </c>
      <c r="K29" s="41">
        <v>0.333333333</v>
      </c>
      <c r="L29" s="41">
        <f t="shared" si="2"/>
        <v>0.229166667</v>
      </c>
      <c r="M29" s="74">
        <v>2.774268515</v>
      </c>
    </row>
    <row r="30">
      <c r="A30" s="1" t="s">
        <v>95</v>
      </c>
      <c r="B30" s="38">
        <v>543243.0</v>
      </c>
      <c r="C30" s="72">
        <v>45796.0</v>
      </c>
      <c r="D30" s="38">
        <v>88.0</v>
      </c>
      <c r="E30" s="73">
        <f>IFERROR(__xludf.DUMMYFUNCTION("average(filter('Appearance Sheet'!F:F,'Appearance Sheet'!G:G=B30,'Appearance Sheet'!A:A=C30))"),6.0)</f>
        <v>6</v>
      </c>
      <c r="F30" s="67">
        <v>5.656805927</v>
      </c>
      <c r="G30" s="40">
        <v>0.801249643</v>
      </c>
      <c r="H30" s="40">
        <f t="shared" si="1"/>
        <v>1.201874465</v>
      </c>
      <c r="I30" s="41">
        <v>0.613636364</v>
      </c>
      <c r="J30" s="41">
        <v>0.125</v>
      </c>
      <c r="K30" s="41">
        <v>0.261363636</v>
      </c>
      <c r="L30" s="41">
        <f t="shared" si="2"/>
        <v>0.352272728</v>
      </c>
      <c r="M30" s="74">
        <v>2.148267258</v>
      </c>
    </row>
    <row r="31">
      <c r="A31" s="1" t="s">
        <v>88</v>
      </c>
      <c r="B31" s="38">
        <v>694973.0</v>
      </c>
      <c r="C31" s="72">
        <v>45795.0</v>
      </c>
      <c r="D31" s="38">
        <v>101.0</v>
      </c>
      <c r="E31" s="73">
        <f>IFERROR(__xludf.DUMMYFUNCTION("average(filter('Appearance Sheet'!F:F,'Appearance Sheet'!G:G=B31,'Appearance Sheet'!A:A=C31))"),8.0)</f>
        <v>8</v>
      </c>
      <c r="F31" s="67">
        <v>5.654892741</v>
      </c>
      <c r="G31" s="40">
        <v>0.941064713</v>
      </c>
      <c r="H31" s="40">
        <f t="shared" si="1"/>
        <v>1.058697802</v>
      </c>
      <c r="I31" s="41">
        <v>0.643564356</v>
      </c>
      <c r="J31" s="41">
        <v>0.158415842</v>
      </c>
      <c r="K31" s="41">
        <v>0.198019802</v>
      </c>
      <c r="L31" s="41">
        <f t="shared" si="2"/>
        <v>0.445544554</v>
      </c>
      <c r="M31" s="74">
        <v>2.749877538</v>
      </c>
    </row>
    <row r="32">
      <c r="A32" s="1" t="s">
        <v>100</v>
      </c>
      <c r="B32" s="38">
        <v>676979.0</v>
      </c>
      <c r="C32" s="72">
        <v>45892.0</v>
      </c>
      <c r="D32" s="38">
        <v>101.0</v>
      </c>
      <c r="E32" s="73" t="str">
        <f>IFERROR(__xludf.DUMMYFUNCTION("average(filter('Appearance Sheet'!F:F,'Appearance Sheet'!G:G=B32,'Appearance Sheet'!A:A=C32))"),"#N/A")</f>
        <v>#N/A</v>
      </c>
      <c r="F32" s="67">
        <v>5.653785529</v>
      </c>
      <c r="G32" s="40">
        <v>0.976036944</v>
      </c>
      <c r="H32" s="40" t="str">
        <f t="shared" si="1"/>
        <v>#N/A</v>
      </c>
      <c r="I32" s="41">
        <v>0.613861386</v>
      </c>
      <c r="J32" s="41">
        <v>0.118811881</v>
      </c>
      <c r="K32" s="41">
        <v>0.267326733</v>
      </c>
      <c r="L32" s="41">
        <f t="shared" si="2"/>
        <v>0.346534653</v>
      </c>
      <c r="M32" s="74">
        <v>2.741396279</v>
      </c>
    </row>
    <row r="33">
      <c r="A33" s="1" t="s">
        <v>35</v>
      </c>
      <c r="B33" s="38">
        <v>676083.0</v>
      </c>
      <c r="C33" s="72">
        <v>45828.0</v>
      </c>
      <c r="D33" s="38">
        <v>78.0</v>
      </c>
      <c r="E33" s="73">
        <f>IFERROR(__xludf.DUMMYFUNCTION("average(filter('Appearance Sheet'!F:F,'Appearance Sheet'!G:G=B33,'Appearance Sheet'!A:A=C33))"),5.0)</f>
        <v>5</v>
      </c>
      <c r="F33" s="67">
        <v>5.653359877</v>
      </c>
      <c r="G33" s="40">
        <v>0.758457689</v>
      </c>
      <c r="H33" s="40">
        <f t="shared" si="1"/>
        <v>1.36522384</v>
      </c>
      <c r="I33" s="41">
        <v>0.576923077</v>
      </c>
      <c r="J33" s="41">
        <v>0.230769231</v>
      </c>
      <c r="K33" s="41">
        <v>0.192307692</v>
      </c>
      <c r="L33" s="41">
        <f t="shared" si="2"/>
        <v>0.384615385</v>
      </c>
      <c r="M33" s="74">
        <v>-0.003014538</v>
      </c>
    </row>
    <row r="34">
      <c r="A34" s="1" t="s">
        <v>98</v>
      </c>
      <c r="B34" s="38">
        <v>605400.0</v>
      </c>
      <c r="C34" s="72">
        <v>45926.0</v>
      </c>
      <c r="D34" s="38">
        <v>86.0</v>
      </c>
      <c r="E34" s="73" t="str">
        <f>IFERROR(__xludf.DUMMYFUNCTION("average(filter('Appearance Sheet'!F:F,'Appearance Sheet'!G:G=B34,'Appearance Sheet'!A:A=C34))"),"#N/A")</f>
        <v>#N/A</v>
      </c>
      <c r="F34" s="67">
        <v>5.648712425</v>
      </c>
      <c r="G34" s="40">
        <v>0.889325112</v>
      </c>
      <c r="H34" s="40" t="str">
        <f t="shared" si="1"/>
        <v>#N/A</v>
      </c>
      <c r="I34" s="41">
        <v>0.639534884</v>
      </c>
      <c r="J34" s="41">
        <v>0.139534884</v>
      </c>
      <c r="K34" s="41">
        <v>0.220930233</v>
      </c>
      <c r="L34" s="41">
        <f t="shared" si="2"/>
        <v>0.418604651</v>
      </c>
      <c r="M34" s="74">
        <v>3.751446532</v>
      </c>
    </row>
    <row r="35">
      <c r="A35" s="1" t="s">
        <v>374</v>
      </c>
      <c r="B35" s="38">
        <v>683004.0</v>
      </c>
      <c r="C35" s="72">
        <v>45749.0</v>
      </c>
      <c r="D35" s="38">
        <v>68.0</v>
      </c>
      <c r="E35" s="73">
        <f>IFERROR(__xludf.DUMMYFUNCTION("average(filter('Appearance Sheet'!F:F,'Appearance Sheet'!G:G=B35,'Appearance Sheet'!A:A=C35))"),5.0)</f>
        <v>5</v>
      </c>
      <c r="F35" s="67">
        <v>5.64626477</v>
      </c>
      <c r="G35" s="40">
        <v>0.657689272</v>
      </c>
      <c r="H35" s="40">
        <f t="shared" si="1"/>
        <v>1.18384069</v>
      </c>
      <c r="I35" s="41">
        <v>0.602941176</v>
      </c>
      <c r="J35" s="41">
        <v>0.117647059</v>
      </c>
      <c r="K35" s="41">
        <v>0.279411765</v>
      </c>
      <c r="L35" s="41">
        <f t="shared" si="2"/>
        <v>0.323529411</v>
      </c>
      <c r="M35" s="74">
        <v>2.381925012</v>
      </c>
    </row>
    <row r="36">
      <c r="A36" s="1" t="s">
        <v>77</v>
      </c>
      <c r="B36" s="38">
        <v>657277.0</v>
      </c>
      <c r="C36" s="72">
        <v>45886.0</v>
      </c>
      <c r="D36" s="38">
        <v>85.0</v>
      </c>
      <c r="E36" s="73" t="str">
        <f>IFERROR(__xludf.DUMMYFUNCTION("average(filter('Appearance Sheet'!F:F,'Appearance Sheet'!G:G=B36,'Appearance Sheet'!A:A=C36))"),"#N/A")</f>
        <v>#N/A</v>
      </c>
      <c r="F36" s="67">
        <v>5.643494833</v>
      </c>
      <c r="G36" s="40">
        <v>0.844528688</v>
      </c>
      <c r="H36" s="40" t="str">
        <f t="shared" si="1"/>
        <v>#N/A</v>
      </c>
      <c r="I36" s="41">
        <v>0.576470588</v>
      </c>
      <c r="J36" s="41">
        <v>0.235294118</v>
      </c>
      <c r="K36" s="41">
        <v>0.188235294</v>
      </c>
      <c r="L36" s="41">
        <f t="shared" si="2"/>
        <v>0.388235294</v>
      </c>
      <c r="M36" s="74">
        <v>2.428072136</v>
      </c>
    </row>
    <row r="37">
      <c r="A37" s="1" t="s">
        <v>205</v>
      </c>
      <c r="B37" s="38">
        <v>666142.0</v>
      </c>
      <c r="C37" s="72">
        <v>45793.0</v>
      </c>
      <c r="D37" s="38">
        <v>83.0</v>
      </c>
      <c r="E37" s="73">
        <f>IFERROR(__xludf.DUMMYFUNCTION("average(filter('Appearance Sheet'!F:F,'Appearance Sheet'!G:G=B37,'Appearance Sheet'!A:A=C37))"),5.0)</f>
        <v>5</v>
      </c>
      <c r="F37" s="67">
        <v>5.643228848</v>
      </c>
      <c r="G37" s="40">
        <v>0.809459423</v>
      </c>
      <c r="H37" s="40">
        <f t="shared" si="1"/>
        <v>1.457026961</v>
      </c>
      <c r="I37" s="41">
        <v>0.56626506</v>
      </c>
      <c r="J37" s="41">
        <v>0.180722892</v>
      </c>
      <c r="K37" s="41">
        <v>0.253012048</v>
      </c>
      <c r="L37" s="41">
        <f t="shared" si="2"/>
        <v>0.313253012</v>
      </c>
      <c r="M37" s="74">
        <v>-0.184137767</v>
      </c>
    </row>
    <row r="38">
      <c r="A38" s="1" t="s">
        <v>85</v>
      </c>
      <c r="B38" s="38">
        <v>808967.0</v>
      </c>
      <c r="C38" s="72">
        <v>45893.0</v>
      </c>
      <c r="D38" s="38">
        <v>92.0</v>
      </c>
      <c r="E38" s="73" t="str">
        <f>IFERROR(__xludf.DUMMYFUNCTION("average(filter('Appearance Sheet'!F:F,'Appearance Sheet'!G:G=B38,'Appearance Sheet'!A:A=C38))"),"#N/A")</f>
        <v>#N/A</v>
      </c>
      <c r="F38" s="67">
        <v>5.638687107</v>
      </c>
      <c r="G38" s="40">
        <v>0.923688163</v>
      </c>
      <c r="H38" s="40" t="str">
        <f t="shared" si="1"/>
        <v>#N/A</v>
      </c>
      <c r="I38" s="41">
        <v>0.554347826</v>
      </c>
      <c r="J38" s="41">
        <v>0.173913043</v>
      </c>
      <c r="K38" s="41">
        <v>0.27173913</v>
      </c>
      <c r="L38" s="41">
        <f t="shared" si="2"/>
        <v>0.282608696</v>
      </c>
      <c r="M38" s="74">
        <v>1.15368124</v>
      </c>
    </row>
    <row r="39">
      <c r="A39" s="1" t="s">
        <v>155</v>
      </c>
      <c r="B39" s="38">
        <v>592332.0</v>
      </c>
      <c r="C39" s="72">
        <v>45751.0</v>
      </c>
      <c r="D39" s="38">
        <v>80.0</v>
      </c>
      <c r="E39" s="73">
        <f>IFERROR(__xludf.DUMMYFUNCTION("average(filter('Appearance Sheet'!F:F,'Appearance Sheet'!G:G=B39,'Appearance Sheet'!A:A=C39))"),5.333333333333333)</f>
        <v>5.333333333</v>
      </c>
      <c r="F39" s="67">
        <v>5.635716714</v>
      </c>
      <c r="G39" s="40">
        <v>0.765718202</v>
      </c>
      <c r="H39" s="40">
        <f t="shared" si="1"/>
        <v>1.292149466</v>
      </c>
      <c r="I39" s="41">
        <v>0.6375</v>
      </c>
      <c r="J39" s="41">
        <v>0.0875</v>
      </c>
      <c r="K39" s="41">
        <v>0.275</v>
      </c>
      <c r="L39" s="41">
        <f t="shared" si="2"/>
        <v>0.3625</v>
      </c>
      <c r="M39" s="74">
        <v>1.752943095</v>
      </c>
    </row>
    <row r="40">
      <c r="A40" s="1" t="s">
        <v>159</v>
      </c>
      <c r="B40" s="38">
        <v>605483.0</v>
      </c>
      <c r="C40" s="72">
        <v>45917.0</v>
      </c>
      <c r="D40" s="38">
        <v>112.0</v>
      </c>
      <c r="E40" s="73" t="str">
        <f>IFERROR(__xludf.DUMMYFUNCTION("average(filter('Appearance Sheet'!F:F,'Appearance Sheet'!G:G=B40,'Appearance Sheet'!A:A=C40))"),"#N/A")</f>
        <v>#N/A</v>
      </c>
      <c r="F40" s="67">
        <v>5.63474147</v>
      </c>
      <c r="G40" s="40">
        <v>1.069297456</v>
      </c>
      <c r="H40" s="40" t="str">
        <f t="shared" si="1"/>
        <v>#N/A</v>
      </c>
      <c r="I40" s="41">
        <v>0.598214286</v>
      </c>
      <c r="J40" s="41">
        <v>0.133928571</v>
      </c>
      <c r="K40" s="41">
        <v>0.267857143</v>
      </c>
      <c r="L40" s="41">
        <f t="shared" si="2"/>
        <v>0.330357143</v>
      </c>
      <c r="M40" s="74">
        <v>2.719205573</v>
      </c>
    </row>
    <row r="41">
      <c r="A41" s="1" t="s">
        <v>159</v>
      </c>
      <c r="B41" s="38">
        <v>605483.0</v>
      </c>
      <c r="C41" s="72">
        <v>45910.0</v>
      </c>
      <c r="D41" s="38">
        <v>98.0</v>
      </c>
      <c r="E41" s="73" t="str">
        <f>IFERROR(__xludf.DUMMYFUNCTION("average(filter('Appearance Sheet'!F:F,'Appearance Sheet'!G:G=B41,'Appearance Sheet'!A:A=C41))"),"#N/A")</f>
        <v>#N/A</v>
      </c>
      <c r="F41" s="67">
        <v>5.633868108</v>
      </c>
      <c r="G41" s="40">
        <v>0.938056054</v>
      </c>
      <c r="H41" s="40" t="str">
        <f t="shared" si="1"/>
        <v>#N/A</v>
      </c>
      <c r="I41" s="41">
        <v>0.551020408</v>
      </c>
      <c r="J41" s="41">
        <v>0.163265306</v>
      </c>
      <c r="K41" s="41">
        <v>0.285714286</v>
      </c>
      <c r="L41" s="41">
        <f t="shared" si="2"/>
        <v>0.265306122</v>
      </c>
      <c r="M41" s="74">
        <v>2.772765274</v>
      </c>
    </row>
    <row r="42">
      <c r="A42" s="1" t="s">
        <v>137</v>
      </c>
      <c r="B42" s="38">
        <v>453286.0</v>
      </c>
      <c r="C42" s="72">
        <v>45838.0</v>
      </c>
      <c r="D42" s="38">
        <v>71.0</v>
      </c>
      <c r="E42" s="73">
        <f>IFERROR(__xludf.DUMMYFUNCTION("average(filter('Appearance Sheet'!F:F,'Appearance Sheet'!G:G=B42,'Appearance Sheet'!A:A=C42))"),5.0)</f>
        <v>5</v>
      </c>
      <c r="F42" s="67">
        <v>5.633715272</v>
      </c>
      <c r="G42" s="40">
        <v>0.711624463</v>
      </c>
      <c r="H42" s="40">
        <f t="shared" si="1"/>
        <v>1.280924033</v>
      </c>
      <c r="I42" s="41">
        <v>0.591549296</v>
      </c>
      <c r="J42" s="41">
        <v>0.154929577</v>
      </c>
      <c r="K42" s="41">
        <v>0.253521127</v>
      </c>
      <c r="L42" s="41">
        <f t="shared" si="2"/>
        <v>0.338028169</v>
      </c>
      <c r="M42" s="74">
        <v>1.377991387</v>
      </c>
    </row>
    <row r="43">
      <c r="A43" s="1" t="s">
        <v>67</v>
      </c>
      <c r="B43" s="38">
        <v>684007.0</v>
      </c>
      <c r="C43" s="72">
        <v>45745.0</v>
      </c>
      <c r="D43" s="38">
        <v>87.0</v>
      </c>
      <c r="E43" s="73">
        <f>IFERROR(__xludf.DUMMYFUNCTION("average(filter('Appearance Sheet'!F:F,'Appearance Sheet'!G:G=B43,'Appearance Sheet'!A:A=C43))"),7.0)</f>
        <v>7</v>
      </c>
      <c r="F43" s="67">
        <v>5.629467498</v>
      </c>
      <c r="G43" s="40">
        <v>0.884561021</v>
      </c>
      <c r="H43" s="40">
        <f t="shared" si="1"/>
        <v>1.137292741</v>
      </c>
      <c r="I43" s="41">
        <v>0.551724138</v>
      </c>
      <c r="J43" s="41">
        <v>0.16091954</v>
      </c>
      <c r="K43" s="41">
        <v>0.287356322</v>
      </c>
      <c r="L43" s="41">
        <f t="shared" si="2"/>
        <v>0.264367816</v>
      </c>
      <c r="M43" s="74">
        <v>1.166535712</v>
      </c>
    </row>
    <row r="44">
      <c r="A44" s="1" t="s">
        <v>121</v>
      </c>
      <c r="B44" s="38">
        <v>676974.0</v>
      </c>
      <c r="C44" s="72">
        <v>45793.0</v>
      </c>
      <c r="D44" s="38">
        <v>80.0</v>
      </c>
      <c r="E44" s="73">
        <f>IFERROR(__xludf.DUMMYFUNCTION("average(filter('Appearance Sheet'!F:F,'Appearance Sheet'!G:G=B44,'Appearance Sheet'!A:A=C44))"),5.0)</f>
        <v>5</v>
      </c>
      <c r="F44" s="67">
        <v>5.626583978</v>
      </c>
      <c r="G44" s="40">
        <v>0.823470817</v>
      </c>
      <c r="H44" s="40">
        <f t="shared" si="1"/>
        <v>1.482247471</v>
      </c>
      <c r="I44" s="41">
        <v>0.5875</v>
      </c>
      <c r="J44" s="41">
        <v>0.2375</v>
      </c>
      <c r="K44" s="41">
        <v>0.175</v>
      </c>
      <c r="L44" s="41">
        <f t="shared" si="2"/>
        <v>0.4125</v>
      </c>
      <c r="M44" s="74">
        <v>0.282372992</v>
      </c>
    </row>
    <row r="45">
      <c r="A45" s="1" t="s">
        <v>207</v>
      </c>
      <c r="B45" s="38">
        <v>650633.0</v>
      </c>
      <c r="C45" s="72">
        <v>45772.0</v>
      </c>
      <c r="D45" s="38">
        <v>88.0</v>
      </c>
      <c r="E45" s="73">
        <f>IFERROR(__xludf.DUMMYFUNCTION("average(filter('Appearance Sheet'!F:F,'Appearance Sheet'!G:G=B45,'Appearance Sheet'!A:A=C45))"),5.0)</f>
        <v>5</v>
      </c>
      <c r="F45" s="67">
        <v>5.624688103</v>
      </c>
      <c r="G45" s="40">
        <v>0.862653058</v>
      </c>
      <c r="H45" s="40">
        <f t="shared" si="1"/>
        <v>1.552775504</v>
      </c>
      <c r="I45" s="41">
        <v>0.647727273</v>
      </c>
      <c r="J45" s="41">
        <v>0.090909091</v>
      </c>
      <c r="K45" s="41">
        <v>0.261363636</v>
      </c>
      <c r="L45" s="41">
        <f t="shared" si="2"/>
        <v>0.386363637</v>
      </c>
      <c r="M45" s="74">
        <v>0.811079133</v>
      </c>
    </row>
    <row r="46">
      <c r="A46" s="1" t="s">
        <v>130</v>
      </c>
      <c r="B46" s="38">
        <v>666200.0</v>
      </c>
      <c r="C46" s="72">
        <v>45911.0</v>
      </c>
      <c r="D46" s="38">
        <v>97.0</v>
      </c>
      <c r="E46" s="73" t="str">
        <f>IFERROR(__xludf.DUMMYFUNCTION("average(filter('Appearance Sheet'!F:F,'Appearance Sheet'!G:G=B46,'Appearance Sheet'!A:A=C46))"),"#N/A")</f>
        <v>#N/A</v>
      </c>
      <c r="F46" s="67">
        <v>5.624397135</v>
      </c>
      <c r="G46" s="40">
        <v>0.993924897</v>
      </c>
      <c r="H46" s="40" t="str">
        <f t="shared" si="1"/>
        <v>#N/A</v>
      </c>
      <c r="I46" s="41">
        <v>0.618556701</v>
      </c>
      <c r="J46" s="41">
        <v>0.154639175</v>
      </c>
      <c r="K46" s="41">
        <v>0.226804124</v>
      </c>
      <c r="L46" s="41">
        <f t="shared" si="2"/>
        <v>0.391752577</v>
      </c>
      <c r="M46" s="74">
        <v>0.059794993</v>
      </c>
    </row>
    <row r="47">
      <c r="A47" s="1" t="s">
        <v>169</v>
      </c>
      <c r="B47" s="38">
        <v>671096.0</v>
      </c>
      <c r="C47" s="72">
        <v>45910.0</v>
      </c>
      <c r="D47" s="38">
        <v>98.0</v>
      </c>
      <c r="E47" s="73" t="str">
        <f>IFERROR(__xludf.DUMMYFUNCTION("average(filter('Appearance Sheet'!F:F,'Appearance Sheet'!G:G=B47,'Appearance Sheet'!A:A=C47))"),"#N/A")</f>
        <v>#N/A</v>
      </c>
      <c r="F47" s="67">
        <v>5.622893017</v>
      </c>
      <c r="G47" s="40">
        <v>1.041901975</v>
      </c>
      <c r="H47" s="40" t="str">
        <f t="shared" si="1"/>
        <v>#N/A</v>
      </c>
      <c r="I47" s="41">
        <v>0.581632653</v>
      </c>
      <c r="J47" s="41">
        <v>0.183673469</v>
      </c>
      <c r="K47" s="41">
        <v>0.234693878</v>
      </c>
      <c r="L47" s="41">
        <f t="shared" si="2"/>
        <v>0.346938775</v>
      </c>
      <c r="M47" s="74">
        <v>-0.247572593</v>
      </c>
    </row>
    <row r="48">
      <c r="A48" s="1" t="s">
        <v>98</v>
      </c>
      <c r="B48" s="38">
        <v>605400.0</v>
      </c>
      <c r="C48" s="72">
        <v>45892.0</v>
      </c>
      <c r="D48" s="38">
        <v>94.0</v>
      </c>
      <c r="E48" s="73" t="str">
        <f>IFERROR(__xludf.DUMMYFUNCTION("average(filter('Appearance Sheet'!F:F,'Appearance Sheet'!G:G=B48,'Appearance Sheet'!A:A=C48))"),"#N/A")</f>
        <v>#N/A</v>
      </c>
      <c r="F48" s="67">
        <v>5.622550696</v>
      </c>
      <c r="G48" s="40">
        <v>0.976454481</v>
      </c>
      <c r="H48" s="40" t="str">
        <f t="shared" si="1"/>
        <v>#N/A</v>
      </c>
      <c r="I48" s="41">
        <v>0.627659574</v>
      </c>
      <c r="J48" s="41">
        <v>0.191489362</v>
      </c>
      <c r="K48" s="41">
        <v>0.180851064</v>
      </c>
      <c r="L48" s="41">
        <f t="shared" si="2"/>
        <v>0.44680851</v>
      </c>
      <c r="M48" s="74">
        <v>1.005221318</v>
      </c>
    </row>
    <row r="49">
      <c r="A49" s="1" t="s">
        <v>247</v>
      </c>
      <c r="B49" s="38">
        <v>605540.0</v>
      </c>
      <c r="C49" s="72">
        <v>45844.0</v>
      </c>
      <c r="D49" s="38">
        <v>68.0</v>
      </c>
      <c r="E49" s="73" t="str">
        <f>IFERROR(__xludf.DUMMYFUNCTION("average(filter('Appearance Sheet'!F:F,'Appearance Sheet'!G:G=B49,'Appearance Sheet'!A:A=C49))"),"#N/A")</f>
        <v>#N/A</v>
      </c>
      <c r="F49" s="67">
        <v>5.621735904</v>
      </c>
      <c r="G49" s="40">
        <v>0.726216467</v>
      </c>
      <c r="H49" s="40" t="str">
        <f t="shared" si="1"/>
        <v>#N/A</v>
      </c>
      <c r="I49" s="41">
        <v>0.602941176</v>
      </c>
      <c r="J49" s="41">
        <v>0.25</v>
      </c>
      <c r="K49" s="41">
        <v>0.147058824</v>
      </c>
      <c r="L49" s="41">
        <f t="shared" si="2"/>
        <v>0.455882352</v>
      </c>
      <c r="M49" s="74">
        <v>2.040382468</v>
      </c>
    </row>
    <row r="50">
      <c r="A50" s="1" t="s">
        <v>188</v>
      </c>
      <c r="B50" s="38">
        <v>694819.0</v>
      </c>
      <c r="C50" s="72">
        <v>45860.0</v>
      </c>
      <c r="D50" s="38">
        <v>62.0</v>
      </c>
      <c r="E50" s="73" t="str">
        <f>IFERROR(__xludf.DUMMYFUNCTION("average(filter('Appearance Sheet'!F:F,'Appearance Sheet'!G:G=B50,'Appearance Sheet'!A:A=C50))"),"#N/A")</f>
        <v>#N/A</v>
      </c>
      <c r="F50" s="67">
        <v>5.620040414</v>
      </c>
      <c r="G50" s="40">
        <v>0.603827374</v>
      </c>
      <c r="H50" s="40" t="str">
        <f t="shared" si="1"/>
        <v>#N/A</v>
      </c>
      <c r="I50" s="41">
        <v>0.580645161</v>
      </c>
      <c r="J50" s="41">
        <v>0.080645161</v>
      </c>
      <c r="K50" s="41">
        <v>0.338709677</v>
      </c>
      <c r="L50" s="41">
        <f t="shared" si="2"/>
        <v>0.241935484</v>
      </c>
      <c r="M50" s="74">
        <v>-0.076651859</v>
      </c>
    </row>
    <row r="51">
      <c r="A51" s="1" t="s">
        <v>354</v>
      </c>
      <c r="B51" s="38">
        <v>669022.0</v>
      </c>
      <c r="C51" s="72">
        <v>45818.0</v>
      </c>
      <c r="D51" s="38">
        <v>85.0</v>
      </c>
      <c r="E51" s="73">
        <f>IFERROR(__xludf.DUMMYFUNCTION("average(filter('Appearance Sheet'!F:F,'Appearance Sheet'!G:G=B51,'Appearance Sheet'!A:A=C51))"),6.0)</f>
        <v>6</v>
      </c>
      <c r="F51" s="67">
        <v>5.618805604</v>
      </c>
      <c r="G51" s="40">
        <v>0.886830393</v>
      </c>
      <c r="H51" s="40">
        <f t="shared" si="1"/>
        <v>1.33024559</v>
      </c>
      <c r="I51" s="41">
        <v>0.588235294</v>
      </c>
      <c r="J51" s="41">
        <v>0.105882353</v>
      </c>
      <c r="K51" s="41">
        <v>0.305882353</v>
      </c>
      <c r="L51" s="41">
        <f t="shared" si="2"/>
        <v>0.282352941</v>
      </c>
      <c r="M51" s="74">
        <v>-0.726386718</v>
      </c>
    </row>
    <row r="52">
      <c r="A52" s="1" t="s">
        <v>428</v>
      </c>
      <c r="B52" s="38">
        <v>670102.0</v>
      </c>
      <c r="C52" s="72">
        <v>45770.0</v>
      </c>
      <c r="D52" s="38">
        <v>76.0</v>
      </c>
      <c r="E52" s="73">
        <f>IFERROR(__xludf.DUMMYFUNCTION("average(filter('Appearance Sheet'!F:F,'Appearance Sheet'!G:G=B52,'Appearance Sheet'!A:A=C52))"),4.666666666666667)</f>
        <v>4.666666667</v>
      </c>
      <c r="F52" s="67">
        <v>5.614959564</v>
      </c>
      <c r="G52" s="40">
        <v>0.803581875</v>
      </c>
      <c r="H52" s="40">
        <f t="shared" si="1"/>
        <v>1.549765045</v>
      </c>
      <c r="I52" s="41">
        <v>0.578947368</v>
      </c>
      <c r="J52" s="41">
        <v>0.157894737</v>
      </c>
      <c r="K52" s="41">
        <v>0.263157895</v>
      </c>
      <c r="L52" s="41">
        <f t="shared" si="2"/>
        <v>0.315789473</v>
      </c>
      <c r="M52" s="74">
        <v>-3.52454804</v>
      </c>
    </row>
    <row r="53">
      <c r="A53" s="1" t="s">
        <v>119</v>
      </c>
      <c r="B53" s="38">
        <v>669456.0</v>
      </c>
      <c r="C53" s="72">
        <v>45891.0</v>
      </c>
      <c r="D53" s="38">
        <v>86.0</v>
      </c>
      <c r="E53" s="73" t="str">
        <f>IFERROR(__xludf.DUMMYFUNCTION("average(filter('Appearance Sheet'!F:F,'Appearance Sheet'!G:G=B53,'Appearance Sheet'!A:A=C53))"),"#N/A")</f>
        <v>#N/A</v>
      </c>
      <c r="F53" s="67">
        <v>5.614427121</v>
      </c>
      <c r="G53" s="40">
        <v>0.85929282</v>
      </c>
      <c r="H53" s="40" t="str">
        <f t="shared" si="1"/>
        <v>#N/A</v>
      </c>
      <c r="I53" s="41">
        <v>0.569767442</v>
      </c>
      <c r="J53" s="41">
        <v>0.162790698</v>
      </c>
      <c r="K53" s="41">
        <v>0.26744186</v>
      </c>
      <c r="L53" s="41">
        <f t="shared" si="2"/>
        <v>0.302325582</v>
      </c>
      <c r="M53" s="74">
        <v>1.555203373</v>
      </c>
    </row>
    <row r="54">
      <c r="A54" s="1" t="s">
        <v>88</v>
      </c>
      <c r="B54" s="38">
        <v>694973.0</v>
      </c>
      <c r="C54" s="72">
        <v>45844.0</v>
      </c>
      <c r="D54" s="38">
        <v>76.0</v>
      </c>
      <c r="E54" s="73" t="str">
        <f>IFERROR(__xludf.DUMMYFUNCTION("average(filter('Appearance Sheet'!F:F,'Appearance Sheet'!G:G=B54,'Appearance Sheet'!A:A=C54))"),"#N/A")</f>
        <v>#N/A</v>
      </c>
      <c r="F54" s="67">
        <v>5.610693602</v>
      </c>
      <c r="G54" s="40">
        <v>0.778510871</v>
      </c>
      <c r="H54" s="40" t="str">
        <f t="shared" si="1"/>
        <v>#N/A</v>
      </c>
      <c r="I54" s="41">
        <v>0.618421053</v>
      </c>
      <c r="J54" s="41">
        <v>0.157894737</v>
      </c>
      <c r="K54" s="41">
        <v>0.223684211</v>
      </c>
      <c r="L54" s="41">
        <f t="shared" si="2"/>
        <v>0.394736842</v>
      </c>
      <c r="M54" s="74">
        <v>-0.554701687</v>
      </c>
    </row>
    <row r="55">
      <c r="A55" s="1" t="s">
        <v>77</v>
      </c>
      <c r="B55" s="38">
        <v>657277.0</v>
      </c>
      <c r="C55" s="72">
        <v>45827.0</v>
      </c>
      <c r="D55" s="38">
        <v>94.0</v>
      </c>
      <c r="E55" s="73">
        <f>IFERROR(__xludf.DUMMYFUNCTION("average(filter('Appearance Sheet'!F:F,'Appearance Sheet'!G:G=B55,'Appearance Sheet'!A:A=C55))"),7.0)</f>
        <v>7</v>
      </c>
      <c r="F55" s="67">
        <v>5.608634718</v>
      </c>
      <c r="G55" s="40">
        <v>0.976782343</v>
      </c>
      <c r="H55" s="40">
        <f t="shared" si="1"/>
        <v>1.255863012</v>
      </c>
      <c r="I55" s="41">
        <v>0.574468085</v>
      </c>
      <c r="J55" s="41">
        <v>0.14893617</v>
      </c>
      <c r="K55" s="41">
        <v>0.276595745</v>
      </c>
      <c r="L55" s="41">
        <f t="shared" si="2"/>
        <v>0.29787234</v>
      </c>
      <c r="M55" s="74">
        <v>-1.804586452</v>
      </c>
    </row>
    <row r="56">
      <c r="A56" s="1" t="s">
        <v>148</v>
      </c>
      <c r="B56" s="38">
        <v>592866.0</v>
      </c>
      <c r="C56" s="72">
        <v>45805.0</v>
      </c>
      <c r="D56" s="38">
        <v>75.0</v>
      </c>
      <c r="E56" s="73">
        <f>IFERROR(__xludf.DUMMYFUNCTION("average(filter('Appearance Sheet'!F:F,'Appearance Sheet'!G:G=B56,'Appearance Sheet'!A:A=C56))"),6.0)</f>
        <v>6</v>
      </c>
      <c r="F56" s="67">
        <v>5.608565687</v>
      </c>
      <c r="G56" s="40">
        <v>0.790515251</v>
      </c>
      <c r="H56" s="40">
        <f t="shared" si="1"/>
        <v>1.185772877</v>
      </c>
      <c r="I56" s="41">
        <v>0.573333333</v>
      </c>
      <c r="J56" s="41">
        <v>0.253333333</v>
      </c>
      <c r="K56" s="41">
        <v>0.173333333</v>
      </c>
      <c r="L56" s="41">
        <f t="shared" si="2"/>
        <v>0.4</v>
      </c>
      <c r="M56" s="74">
        <v>1.911769214</v>
      </c>
    </row>
    <row r="57">
      <c r="A57" s="1" t="s">
        <v>228</v>
      </c>
      <c r="B57" s="38">
        <v>687473.0</v>
      </c>
      <c r="C57" s="72">
        <v>45759.0</v>
      </c>
      <c r="D57" s="38">
        <v>71.0</v>
      </c>
      <c r="E57" s="73">
        <f>IFERROR(__xludf.DUMMYFUNCTION("average(filter('Appearance Sheet'!F:F,'Appearance Sheet'!G:G=B57,'Appearance Sheet'!A:A=C57))"),4.0)</f>
        <v>4</v>
      </c>
      <c r="F57" s="67">
        <v>5.606753201</v>
      </c>
      <c r="G57" s="40">
        <v>0.764945885</v>
      </c>
      <c r="H57" s="40">
        <f t="shared" si="1"/>
        <v>1.721128241</v>
      </c>
      <c r="I57" s="41">
        <v>0.647887324</v>
      </c>
      <c r="J57" s="41">
        <v>0.112676056</v>
      </c>
      <c r="K57" s="41">
        <v>0.23943662</v>
      </c>
      <c r="L57" s="41">
        <f t="shared" si="2"/>
        <v>0.408450704</v>
      </c>
      <c r="M57" s="74">
        <v>-0.390277694</v>
      </c>
    </row>
    <row r="58">
      <c r="A58" s="1" t="s">
        <v>164</v>
      </c>
      <c r="B58" s="38">
        <v>669923.0</v>
      </c>
      <c r="C58" s="72">
        <v>45816.0</v>
      </c>
      <c r="D58" s="38">
        <v>95.0</v>
      </c>
      <c r="E58" s="73">
        <f>IFERROR(__xludf.DUMMYFUNCTION("average(filter('Appearance Sheet'!F:F,'Appearance Sheet'!G:G=B58,'Appearance Sheet'!A:A=C58))"),7.0)</f>
        <v>7</v>
      </c>
      <c r="F58" s="67">
        <v>5.604222788</v>
      </c>
      <c r="G58" s="40">
        <v>1.017888214</v>
      </c>
      <c r="H58" s="40">
        <f t="shared" si="1"/>
        <v>1.308713418</v>
      </c>
      <c r="I58" s="41">
        <v>0.547368421</v>
      </c>
      <c r="J58" s="41">
        <v>0.252631579</v>
      </c>
      <c r="K58" s="41">
        <v>0.2</v>
      </c>
      <c r="L58" s="41">
        <f t="shared" si="2"/>
        <v>0.347368421</v>
      </c>
      <c r="M58" s="74">
        <v>4.234264977</v>
      </c>
    </row>
    <row r="59">
      <c r="A59" s="1" t="s">
        <v>353</v>
      </c>
      <c r="B59" s="38">
        <v>663903.0</v>
      </c>
      <c r="C59" s="72">
        <v>45912.0</v>
      </c>
      <c r="D59" s="38">
        <v>89.0</v>
      </c>
      <c r="E59" s="73" t="str">
        <f>IFERROR(__xludf.DUMMYFUNCTION("average(filter('Appearance Sheet'!F:F,'Appearance Sheet'!G:G=B59,'Appearance Sheet'!A:A=C59))"),"#N/A")</f>
        <v>#N/A</v>
      </c>
      <c r="F59" s="67">
        <v>5.60379968</v>
      </c>
      <c r="G59" s="40">
        <v>0.899893952</v>
      </c>
      <c r="H59" s="40" t="str">
        <f t="shared" si="1"/>
        <v>#N/A</v>
      </c>
      <c r="I59" s="41">
        <v>0.573033708</v>
      </c>
      <c r="J59" s="41">
        <v>0.157303371</v>
      </c>
      <c r="K59" s="41">
        <v>0.269662921</v>
      </c>
      <c r="L59" s="41">
        <f t="shared" si="2"/>
        <v>0.303370787</v>
      </c>
      <c r="M59" s="74">
        <v>1.216824331</v>
      </c>
    </row>
    <row r="60">
      <c r="A60" s="1" t="s">
        <v>188</v>
      </c>
      <c r="B60" s="38">
        <v>694819.0</v>
      </c>
      <c r="C60" s="72">
        <v>45895.0</v>
      </c>
      <c r="D60" s="38">
        <v>92.0</v>
      </c>
      <c r="E60" s="73" t="str">
        <f>IFERROR(__xludf.DUMMYFUNCTION("average(filter('Appearance Sheet'!F:F,'Appearance Sheet'!G:G=B60,'Appearance Sheet'!A:A=C60))"),"#N/A")</f>
        <v>#N/A</v>
      </c>
      <c r="F60" s="67">
        <v>5.603073644</v>
      </c>
      <c r="G60" s="40">
        <v>0.992133636</v>
      </c>
      <c r="H60" s="40" t="str">
        <f t="shared" si="1"/>
        <v>#N/A</v>
      </c>
      <c r="I60" s="41">
        <v>0.565217391</v>
      </c>
      <c r="J60" s="41">
        <v>0.217391304</v>
      </c>
      <c r="K60" s="41">
        <v>0.217391304</v>
      </c>
      <c r="L60" s="41">
        <f t="shared" si="2"/>
        <v>0.347826087</v>
      </c>
      <c r="M60" s="74">
        <v>1.325976929</v>
      </c>
    </row>
    <row r="61">
      <c r="A61" s="1" t="s">
        <v>181</v>
      </c>
      <c r="B61" s="38">
        <v>641154.0</v>
      </c>
      <c r="C61" s="72">
        <v>45777.0</v>
      </c>
      <c r="D61" s="38">
        <v>88.0</v>
      </c>
      <c r="E61" s="73">
        <f>IFERROR(__xludf.DUMMYFUNCTION("average(filter('Appearance Sheet'!F:F,'Appearance Sheet'!G:G=B61,'Appearance Sheet'!A:A=C61))"),6.333333333333333)</f>
        <v>6.333333333</v>
      </c>
      <c r="F61" s="67">
        <v>5.60257376</v>
      </c>
      <c r="G61" s="40">
        <v>0.944522484</v>
      </c>
      <c r="H61" s="40">
        <f t="shared" si="1"/>
        <v>1.342216161</v>
      </c>
      <c r="I61" s="41">
        <v>0.602272727</v>
      </c>
      <c r="J61" s="41">
        <v>0.170454545</v>
      </c>
      <c r="K61" s="41">
        <v>0.227272727</v>
      </c>
      <c r="L61" s="41">
        <f t="shared" si="2"/>
        <v>0.375</v>
      </c>
      <c r="M61" s="74">
        <v>1.390783239</v>
      </c>
    </row>
    <row r="62">
      <c r="A62" s="1" t="s">
        <v>316</v>
      </c>
      <c r="B62" s="38">
        <v>656427.0</v>
      </c>
      <c r="C62" s="72">
        <v>45924.0</v>
      </c>
      <c r="D62" s="38">
        <v>75.0</v>
      </c>
      <c r="E62" s="73" t="str">
        <f>IFERROR(__xludf.DUMMYFUNCTION("average(filter('Appearance Sheet'!F:F,'Appearance Sheet'!G:G=B62,'Appearance Sheet'!A:A=C62))"),"#N/A")</f>
        <v>#N/A</v>
      </c>
      <c r="F62" s="67">
        <v>5.601556633</v>
      </c>
      <c r="G62" s="40">
        <v>0.797401961</v>
      </c>
      <c r="H62" s="40" t="str">
        <f t="shared" si="1"/>
        <v>#N/A</v>
      </c>
      <c r="I62" s="41">
        <v>0.613333333</v>
      </c>
      <c r="J62" s="41">
        <v>0.093333333</v>
      </c>
      <c r="K62" s="41">
        <v>0.293333333</v>
      </c>
      <c r="L62" s="41">
        <f t="shared" si="2"/>
        <v>0.32</v>
      </c>
      <c r="M62" s="74">
        <v>-1.217515221</v>
      </c>
    </row>
    <row r="63">
      <c r="A63" s="1" t="s">
        <v>158</v>
      </c>
      <c r="B63" s="38">
        <v>608372.0</v>
      </c>
      <c r="C63" s="72">
        <v>45871.0</v>
      </c>
      <c r="D63" s="38">
        <v>87.0</v>
      </c>
      <c r="E63" s="73" t="str">
        <f>IFERROR(__xludf.DUMMYFUNCTION("average(filter('Appearance Sheet'!F:F,'Appearance Sheet'!G:G=B63,'Appearance Sheet'!A:A=C63))"),"#N/A")</f>
        <v>#N/A</v>
      </c>
      <c r="F63" s="67">
        <v>5.599579381</v>
      </c>
      <c r="G63" s="40">
        <v>0.941955276</v>
      </c>
      <c r="H63" s="40" t="str">
        <f t="shared" si="1"/>
        <v>#N/A</v>
      </c>
      <c r="I63" s="41">
        <v>0.551724138</v>
      </c>
      <c r="J63" s="41">
        <v>0.16091954</v>
      </c>
      <c r="K63" s="41">
        <v>0.287356322</v>
      </c>
      <c r="L63" s="41">
        <f t="shared" si="2"/>
        <v>0.264367816</v>
      </c>
      <c r="M63" s="74">
        <v>1.718092963</v>
      </c>
    </row>
    <row r="64">
      <c r="A64" s="1" t="s">
        <v>44</v>
      </c>
      <c r="B64" s="38">
        <v>650911.0</v>
      </c>
      <c r="C64" s="72">
        <v>45827.0</v>
      </c>
      <c r="D64" s="38">
        <v>88.0</v>
      </c>
      <c r="E64" s="73">
        <f>IFERROR(__xludf.DUMMYFUNCTION("average(filter('Appearance Sheet'!F:F,'Appearance Sheet'!G:G=B64,'Appearance Sheet'!A:A=C64))"),8.0)</f>
        <v>8</v>
      </c>
      <c r="F64" s="67">
        <v>5.597709256</v>
      </c>
      <c r="G64" s="40">
        <v>0.923419707</v>
      </c>
      <c r="H64" s="40">
        <f t="shared" si="1"/>
        <v>1.03884717</v>
      </c>
      <c r="I64" s="41">
        <v>0.613636364</v>
      </c>
      <c r="J64" s="41">
        <v>0.159090909</v>
      </c>
      <c r="K64" s="41">
        <v>0.227272727</v>
      </c>
      <c r="L64" s="41">
        <f t="shared" si="2"/>
        <v>0.386363637</v>
      </c>
      <c r="M64" s="74">
        <v>2.669914507</v>
      </c>
    </row>
    <row r="65">
      <c r="A65" s="1" t="s">
        <v>93</v>
      </c>
      <c r="B65" s="38">
        <v>669194.0</v>
      </c>
      <c r="C65" s="72">
        <v>45843.0</v>
      </c>
      <c r="D65" s="38">
        <v>82.0</v>
      </c>
      <c r="E65" s="73" t="str">
        <f>IFERROR(__xludf.DUMMYFUNCTION("average(filter('Appearance Sheet'!F:F,'Appearance Sheet'!G:G=B65,'Appearance Sheet'!A:A=C65))"),"#N/A")</f>
        <v>#N/A</v>
      </c>
      <c r="F65" s="67">
        <v>5.59741433</v>
      </c>
      <c r="G65" s="40">
        <v>0.920053437</v>
      </c>
      <c r="H65" s="40" t="str">
        <f t="shared" si="1"/>
        <v>#N/A</v>
      </c>
      <c r="I65" s="41">
        <v>0.585365854</v>
      </c>
      <c r="J65" s="41">
        <v>0.207317073</v>
      </c>
      <c r="K65" s="41">
        <v>0.207317073</v>
      </c>
      <c r="L65" s="41">
        <f t="shared" si="2"/>
        <v>0.378048781</v>
      </c>
      <c r="M65" s="74">
        <v>0.013806795</v>
      </c>
    </row>
    <row r="66">
      <c r="A66" s="1" t="s">
        <v>188</v>
      </c>
      <c r="B66" s="38">
        <v>694819.0</v>
      </c>
      <c r="C66" s="72">
        <v>45833.0</v>
      </c>
      <c r="D66" s="38">
        <v>72.0</v>
      </c>
      <c r="E66" s="73">
        <f>IFERROR(__xludf.DUMMYFUNCTION("average(filter('Appearance Sheet'!F:F,'Appearance Sheet'!G:G=B66,'Appearance Sheet'!A:A=C66))"),5.0)</f>
        <v>5</v>
      </c>
      <c r="F66" s="67">
        <v>5.594542052</v>
      </c>
      <c r="G66" s="40">
        <v>0.779632738</v>
      </c>
      <c r="H66" s="40">
        <f t="shared" si="1"/>
        <v>1.403338928</v>
      </c>
      <c r="I66" s="41">
        <v>0.625</v>
      </c>
      <c r="J66" s="41">
        <v>0.125</v>
      </c>
      <c r="K66" s="41">
        <v>0.25</v>
      </c>
      <c r="L66" s="41">
        <f t="shared" si="2"/>
        <v>0.375</v>
      </c>
      <c r="M66" s="74">
        <v>2.230870759</v>
      </c>
    </row>
    <row r="67">
      <c r="A67" s="1" t="s">
        <v>553</v>
      </c>
      <c r="B67" s="38">
        <v>800311.0</v>
      </c>
      <c r="C67" s="72">
        <v>45828.0</v>
      </c>
      <c r="D67" s="38">
        <v>84.0</v>
      </c>
      <c r="E67" s="73">
        <f>IFERROR(__xludf.DUMMYFUNCTION("average(filter('Appearance Sheet'!F:F,'Appearance Sheet'!G:G=B67,'Appearance Sheet'!A:A=C67))"),5.0)</f>
        <v>5</v>
      </c>
      <c r="F67" s="67">
        <v>5.593913698</v>
      </c>
      <c r="G67" s="40">
        <v>0.907814878</v>
      </c>
      <c r="H67" s="40">
        <f t="shared" si="1"/>
        <v>1.63406678</v>
      </c>
      <c r="I67" s="41">
        <v>0.595238095</v>
      </c>
      <c r="J67" s="41">
        <v>0.130952381</v>
      </c>
      <c r="K67" s="41">
        <v>0.273809524</v>
      </c>
      <c r="L67" s="41">
        <f t="shared" si="2"/>
        <v>0.321428571</v>
      </c>
      <c r="M67" s="74">
        <v>-2.387990332</v>
      </c>
    </row>
    <row r="68">
      <c r="A68" s="1" t="s">
        <v>57</v>
      </c>
      <c r="B68" s="38">
        <v>594798.0</v>
      </c>
      <c r="C68" s="72">
        <v>45839.0</v>
      </c>
      <c r="D68" s="38">
        <v>90.0</v>
      </c>
      <c r="E68" s="73">
        <f>IFERROR(__xludf.DUMMYFUNCTION("average(filter('Appearance Sheet'!F:F,'Appearance Sheet'!G:G=B68,'Appearance Sheet'!A:A=C68))"),6.0)</f>
        <v>6</v>
      </c>
      <c r="F68" s="67">
        <v>5.593874297</v>
      </c>
      <c r="G68" s="40">
        <v>0.978953294</v>
      </c>
      <c r="H68" s="40">
        <f t="shared" si="1"/>
        <v>1.468429941</v>
      </c>
      <c r="I68" s="41">
        <v>0.6</v>
      </c>
      <c r="J68" s="41">
        <v>0.188888889</v>
      </c>
      <c r="K68" s="41">
        <v>0.211111111</v>
      </c>
      <c r="L68" s="41">
        <f t="shared" si="2"/>
        <v>0.388888889</v>
      </c>
      <c r="M68" s="74">
        <v>0.268807894</v>
      </c>
    </row>
    <row r="69">
      <c r="A69" s="1" t="s">
        <v>111</v>
      </c>
      <c r="B69" s="38">
        <v>656641.0</v>
      </c>
      <c r="C69" s="72">
        <v>45908.0</v>
      </c>
      <c r="D69" s="38">
        <v>84.0</v>
      </c>
      <c r="E69" s="73" t="str">
        <f>IFERROR(__xludf.DUMMYFUNCTION("average(filter('Appearance Sheet'!F:F,'Appearance Sheet'!G:G=B69,'Appearance Sheet'!A:A=C69))"),"#N/A")</f>
        <v>#N/A</v>
      </c>
      <c r="F69" s="67">
        <v>5.593316296</v>
      </c>
      <c r="G69" s="40">
        <v>0.927901347</v>
      </c>
      <c r="H69" s="40" t="str">
        <f t="shared" si="1"/>
        <v>#N/A</v>
      </c>
      <c r="I69" s="41">
        <v>0.630952381</v>
      </c>
      <c r="J69" s="41">
        <v>0.119047619</v>
      </c>
      <c r="K69" s="41">
        <v>0.25</v>
      </c>
      <c r="L69" s="41">
        <f t="shared" si="2"/>
        <v>0.380952381</v>
      </c>
      <c r="M69" s="74">
        <v>1.218425202</v>
      </c>
    </row>
    <row r="70">
      <c r="A70" s="1" t="s">
        <v>35</v>
      </c>
      <c r="B70" s="38">
        <v>676083.0</v>
      </c>
      <c r="C70" s="72">
        <v>45840.0</v>
      </c>
      <c r="D70" s="38">
        <v>83.0</v>
      </c>
      <c r="E70" s="73">
        <f>IFERROR(__xludf.DUMMYFUNCTION("average(filter('Appearance Sheet'!F:F,'Appearance Sheet'!G:G=B70,'Appearance Sheet'!A:A=C70))"),6.0)</f>
        <v>6</v>
      </c>
      <c r="F70" s="67">
        <v>5.59168671</v>
      </c>
      <c r="G70" s="40">
        <v>0.894899134</v>
      </c>
      <c r="H70" s="40">
        <f t="shared" si="1"/>
        <v>1.342348701</v>
      </c>
      <c r="I70" s="41">
        <v>0.542168675</v>
      </c>
      <c r="J70" s="41">
        <v>0.228915663</v>
      </c>
      <c r="K70" s="41">
        <v>0.228915663</v>
      </c>
      <c r="L70" s="41">
        <f t="shared" si="2"/>
        <v>0.313253012</v>
      </c>
      <c r="M70" s="74">
        <v>-0.779216383</v>
      </c>
    </row>
    <row r="71">
      <c r="A71" s="1" t="s">
        <v>282</v>
      </c>
      <c r="B71" s="38">
        <v>656302.0</v>
      </c>
      <c r="C71" s="72">
        <v>45797.0</v>
      </c>
      <c r="D71" s="38">
        <v>99.0</v>
      </c>
      <c r="E71" s="73">
        <f>IFERROR(__xludf.DUMMYFUNCTION("average(filter('Appearance Sheet'!F:F,'Appearance Sheet'!G:G=B71,'Appearance Sheet'!A:A=C71))"),7.0)</f>
        <v>7</v>
      </c>
      <c r="F71" s="67">
        <v>5.585360527</v>
      </c>
      <c r="G71" s="40">
        <v>1.075682241</v>
      </c>
      <c r="H71" s="40">
        <f t="shared" si="1"/>
        <v>1.383020024</v>
      </c>
      <c r="I71" s="41">
        <v>0.585858586</v>
      </c>
      <c r="J71" s="41">
        <v>0.131313131</v>
      </c>
      <c r="K71" s="41">
        <v>0.282828283</v>
      </c>
      <c r="L71" s="41">
        <f t="shared" si="2"/>
        <v>0.303030303</v>
      </c>
      <c r="M71" s="74">
        <v>2.096988819</v>
      </c>
    </row>
    <row r="72">
      <c r="A72" s="1" t="s">
        <v>153</v>
      </c>
      <c r="B72" s="38">
        <v>669302.0</v>
      </c>
      <c r="C72" s="72">
        <v>45870.0</v>
      </c>
      <c r="D72" s="38">
        <v>81.0</v>
      </c>
      <c r="E72" s="73" t="str">
        <f>IFERROR(__xludf.DUMMYFUNCTION("average(filter('Appearance Sheet'!F:F,'Appearance Sheet'!G:G=B72,'Appearance Sheet'!A:A=C72))"),"#N/A")</f>
        <v>#N/A</v>
      </c>
      <c r="F72" s="67">
        <v>5.583141982</v>
      </c>
      <c r="G72" s="40">
        <v>0.883240165</v>
      </c>
      <c r="H72" s="40" t="str">
        <f t="shared" si="1"/>
        <v>#N/A</v>
      </c>
      <c r="I72" s="41">
        <v>0.592592593</v>
      </c>
      <c r="J72" s="41">
        <v>0.160493827</v>
      </c>
      <c r="K72" s="41">
        <v>0.24691358</v>
      </c>
      <c r="L72" s="41">
        <f t="shared" si="2"/>
        <v>0.345679013</v>
      </c>
      <c r="M72" s="74">
        <v>0.14230459</v>
      </c>
    </row>
    <row r="73">
      <c r="A73" s="1" t="s">
        <v>73</v>
      </c>
      <c r="B73" s="38">
        <v>668881.0</v>
      </c>
      <c r="C73" s="72">
        <v>45882.0</v>
      </c>
      <c r="D73" s="38">
        <v>82.0</v>
      </c>
      <c r="E73" s="73" t="str">
        <f>IFERROR(__xludf.DUMMYFUNCTION("average(filter('Appearance Sheet'!F:F,'Appearance Sheet'!G:G=B73,'Appearance Sheet'!A:A=C73))"),"#N/A")</f>
        <v>#N/A</v>
      </c>
      <c r="F73" s="67">
        <v>5.582360707</v>
      </c>
      <c r="G73" s="40">
        <v>0.914430356</v>
      </c>
      <c r="H73" s="40" t="str">
        <f t="shared" si="1"/>
        <v>#N/A</v>
      </c>
      <c r="I73" s="41">
        <v>0.536585366</v>
      </c>
      <c r="J73" s="41">
        <v>0.207317073</v>
      </c>
      <c r="K73" s="41">
        <v>0.256097561</v>
      </c>
      <c r="L73" s="41">
        <f t="shared" si="2"/>
        <v>0.280487805</v>
      </c>
      <c r="M73" s="74">
        <v>1.335023323</v>
      </c>
    </row>
    <row r="74">
      <c r="A74" s="1" t="s">
        <v>79</v>
      </c>
      <c r="B74" s="38">
        <v>554430.0</v>
      </c>
      <c r="C74" s="72">
        <v>45844.0</v>
      </c>
      <c r="D74" s="38">
        <v>107.0</v>
      </c>
      <c r="E74" s="73" t="str">
        <f>IFERROR(__xludf.DUMMYFUNCTION("average(filter('Appearance Sheet'!F:F,'Appearance Sheet'!G:G=B74,'Appearance Sheet'!A:A=C74))"),"#N/A")</f>
        <v>#N/A</v>
      </c>
      <c r="F74" s="67">
        <v>5.58114381</v>
      </c>
      <c r="G74" s="40">
        <v>1.200242389</v>
      </c>
      <c r="H74" s="40" t="str">
        <f t="shared" si="1"/>
        <v>#N/A</v>
      </c>
      <c r="I74" s="41">
        <v>0.588785047</v>
      </c>
      <c r="J74" s="41">
        <v>0.177570093</v>
      </c>
      <c r="K74" s="41">
        <v>0.23364486</v>
      </c>
      <c r="L74" s="41">
        <f t="shared" si="2"/>
        <v>0.355140187</v>
      </c>
      <c r="M74" s="74">
        <v>4.825300014</v>
      </c>
    </row>
    <row r="75">
      <c r="A75" s="1" t="s">
        <v>130</v>
      </c>
      <c r="B75" s="38">
        <v>666200.0</v>
      </c>
      <c r="C75" s="72">
        <v>45802.0</v>
      </c>
      <c r="D75" s="38">
        <v>103.0</v>
      </c>
      <c r="E75" s="73">
        <f>IFERROR(__xludf.DUMMYFUNCTION("average(filter('Appearance Sheet'!F:F,'Appearance Sheet'!G:G=B75,'Appearance Sheet'!A:A=C75))"),7.0)</f>
        <v>7</v>
      </c>
      <c r="F75" s="67">
        <v>5.578624284</v>
      </c>
      <c r="G75" s="40">
        <v>1.165161785</v>
      </c>
      <c r="H75" s="40">
        <f t="shared" si="1"/>
        <v>1.498065152</v>
      </c>
      <c r="I75" s="41">
        <v>0.553398058</v>
      </c>
      <c r="J75" s="41">
        <v>0.194174757</v>
      </c>
      <c r="K75" s="41">
        <v>0.252427184</v>
      </c>
      <c r="L75" s="41">
        <f t="shared" si="2"/>
        <v>0.300970874</v>
      </c>
      <c r="M75" s="74">
        <v>-3.065009234</v>
      </c>
    </row>
    <row r="76">
      <c r="A76" s="1" t="s">
        <v>98</v>
      </c>
      <c r="B76" s="38">
        <v>605400.0</v>
      </c>
      <c r="C76" s="72">
        <v>45746.0</v>
      </c>
      <c r="D76" s="38">
        <v>92.0</v>
      </c>
      <c r="E76" s="73">
        <f>IFERROR(__xludf.DUMMYFUNCTION("average(filter('Appearance Sheet'!F:F,'Appearance Sheet'!G:G=B76,'Appearance Sheet'!A:A=C76))"),5.333333333333333)</f>
        <v>5.333333333</v>
      </c>
      <c r="F76" s="67">
        <v>5.577334509</v>
      </c>
      <c r="G76" s="40">
        <v>0.982076075</v>
      </c>
      <c r="H76" s="40">
        <f t="shared" si="1"/>
        <v>1.657253377</v>
      </c>
      <c r="I76" s="41">
        <v>0.586956522</v>
      </c>
      <c r="J76" s="41">
        <v>0.086956522</v>
      </c>
      <c r="K76" s="41">
        <v>0.326086957</v>
      </c>
      <c r="L76" s="41">
        <f t="shared" si="2"/>
        <v>0.260869565</v>
      </c>
      <c r="M76" s="74">
        <v>-1.567252908</v>
      </c>
    </row>
    <row r="77">
      <c r="A77" s="1" t="s">
        <v>97</v>
      </c>
      <c r="B77" s="38">
        <v>656876.0</v>
      </c>
      <c r="C77" s="72">
        <v>45871.0</v>
      </c>
      <c r="D77" s="38">
        <v>65.0</v>
      </c>
      <c r="E77" s="73" t="str">
        <f>IFERROR(__xludf.DUMMYFUNCTION("average(filter('Appearance Sheet'!F:F,'Appearance Sheet'!G:G=B77,'Appearance Sheet'!A:A=C77))"),"#N/A")</f>
        <v>#N/A</v>
      </c>
      <c r="F77" s="67">
        <v>5.574789556</v>
      </c>
      <c r="G77" s="40">
        <v>0.752150347</v>
      </c>
      <c r="H77" s="40" t="str">
        <f t="shared" si="1"/>
        <v>#N/A</v>
      </c>
      <c r="I77" s="41">
        <v>0.553846154</v>
      </c>
      <c r="J77" s="41">
        <v>0.215384615</v>
      </c>
      <c r="K77" s="41">
        <v>0.230769231</v>
      </c>
      <c r="L77" s="41">
        <f t="shared" si="2"/>
        <v>0.323076923</v>
      </c>
      <c r="M77" s="74">
        <v>1.561732799</v>
      </c>
    </row>
    <row r="78">
      <c r="A78" s="1" t="s">
        <v>197</v>
      </c>
      <c r="B78" s="38">
        <v>676467.0</v>
      </c>
      <c r="C78" s="72">
        <v>45827.0</v>
      </c>
      <c r="D78" s="38">
        <v>89.0</v>
      </c>
      <c r="E78" s="73">
        <f>IFERROR(__xludf.DUMMYFUNCTION("average(filter('Appearance Sheet'!F:F,'Appearance Sheet'!G:G=B78,'Appearance Sheet'!A:A=C78))"),5.0)</f>
        <v>5</v>
      </c>
      <c r="F78" s="67">
        <v>5.573871269</v>
      </c>
      <c r="G78" s="40">
        <v>1.016918298</v>
      </c>
      <c r="H78" s="40">
        <f t="shared" si="1"/>
        <v>1.830452936</v>
      </c>
      <c r="I78" s="41">
        <v>0.573033708</v>
      </c>
      <c r="J78" s="41">
        <v>0.157303371</v>
      </c>
      <c r="K78" s="41">
        <v>0.269662921</v>
      </c>
      <c r="L78" s="41">
        <f t="shared" si="2"/>
        <v>0.303370787</v>
      </c>
      <c r="M78" s="74">
        <v>-1.812839365</v>
      </c>
    </row>
    <row r="79">
      <c r="A79" s="1" t="s">
        <v>113</v>
      </c>
      <c r="B79" s="38">
        <v>664285.0</v>
      </c>
      <c r="C79" s="72">
        <v>45755.0</v>
      </c>
      <c r="D79" s="38">
        <v>91.0</v>
      </c>
      <c r="E79" s="73">
        <f>IFERROR(__xludf.DUMMYFUNCTION("average(filter('Appearance Sheet'!F:F,'Appearance Sheet'!G:G=B79,'Appearance Sheet'!A:A=C79))"),6.0)</f>
        <v>6</v>
      </c>
      <c r="F79" s="67">
        <v>5.573206655</v>
      </c>
      <c r="G79" s="40">
        <v>0.994580957</v>
      </c>
      <c r="H79" s="40">
        <f t="shared" si="1"/>
        <v>1.491871436</v>
      </c>
      <c r="I79" s="41">
        <v>0.549450549</v>
      </c>
      <c r="J79" s="41">
        <v>0.230769231</v>
      </c>
      <c r="K79" s="41">
        <v>0.21978022</v>
      </c>
      <c r="L79" s="41">
        <f t="shared" si="2"/>
        <v>0.329670329</v>
      </c>
      <c r="M79" s="74">
        <v>5.502949396</v>
      </c>
    </row>
    <row r="80">
      <c r="A80" s="1" t="s">
        <v>192</v>
      </c>
      <c r="B80" s="38">
        <v>642232.0</v>
      </c>
      <c r="C80" s="72">
        <v>45798.0</v>
      </c>
      <c r="D80" s="38">
        <v>81.0</v>
      </c>
      <c r="E80" s="73">
        <f>IFERROR(__xludf.DUMMYFUNCTION("average(filter('Appearance Sheet'!F:F,'Appearance Sheet'!G:G=B80,'Appearance Sheet'!A:A=C80))"),5.0)</f>
        <v>5</v>
      </c>
      <c r="F80" s="67">
        <v>5.573135044</v>
      </c>
      <c r="G80" s="40">
        <v>0.910214001</v>
      </c>
      <c r="H80" s="40">
        <f t="shared" si="1"/>
        <v>1.638385202</v>
      </c>
      <c r="I80" s="41">
        <v>0.62962963</v>
      </c>
      <c r="J80" s="41">
        <v>0.148148148</v>
      </c>
      <c r="K80" s="41">
        <v>0.222222222</v>
      </c>
      <c r="L80" s="41">
        <f t="shared" si="2"/>
        <v>0.407407408</v>
      </c>
      <c r="M80" s="74">
        <v>2.093572309</v>
      </c>
    </row>
    <row r="81">
      <c r="A81" s="1" t="s">
        <v>256</v>
      </c>
      <c r="B81" s="38">
        <v>571760.0</v>
      </c>
      <c r="C81" s="72">
        <v>45746.0</v>
      </c>
      <c r="D81" s="38">
        <v>75.0</v>
      </c>
      <c r="E81" s="73">
        <f>IFERROR(__xludf.DUMMYFUNCTION("average(filter('Appearance Sheet'!F:F,'Appearance Sheet'!G:G=B81,'Appearance Sheet'!A:A=C81))"),5.0)</f>
        <v>5</v>
      </c>
      <c r="F81" s="67">
        <v>5.572869562</v>
      </c>
      <c r="G81" s="40">
        <v>0.852332698</v>
      </c>
      <c r="H81" s="40">
        <f t="shared" si="1"/>
        <v>1.534198856</v>
      </c>
      <c r="I81" s="41">
        <v>0.6</v>
      </c>
      <c r="J81" s="41">
        <v>0.106666667</v>
      </c>
      <c r="K81" s="41">
        <v>0.293333333</v>
      </c>
      <c r="L81" s="41">
        <f t="shared" si="2"/>
        <v>0.306666667</v>
      </c>
      <c r="M81" s="74">
        <v>0.599401428</v>
      </c>
    </row>
    <row r="82">
      <c r="A82" s="1" t="s">
        <v>73</v>
      </c>
      <c r="B82" s="38">
        <v>668881.0</v>
      </c>
      <c r="C82" s="72">
        <v>45779.0</v>
      </c>
      <c r="D82" s="38">
        <v>113.0</v>
      </c>
      <c r="E82" s="73">
        <f>IFERROR(__xludf.DUMMYFUNCTION("average(filter('Appearance Sheet'!F:F,'Appearance Sheet'!G:G=B82,'Appearance Sheet'!A:A=C82))"),6.0)</f>
        <v>6</v>
      </c>
      <c r="F82" s="67">
        <v>5.571273155</v>
      </c>
      <c r="G82" s="40">
        <v>1.237679867</v>
      </c>
      <c r="H82" s="40">
        <f t="shared" si="1"/>
        <v>1.856519801</v>
      </c>
      <c r="I82" s="41">
        <v>0.566371681</v>
      </c>
      <c r="J82" s="41">
        <v>0.150442478</v>
      </c>
      <c r="K82" s="41">
        <v>0.283185841</v>
      </c>
      <c r="L82" s="41">
        <f t="shared" si="2"/>
        <v>0.28318584</v>
      </c>
      <c r="M82" s="74">
        <v>3.326765563</v>
      </c>
    </row>
    <row r="83">
      <c r="A83" s="1" t="s">
        <v>212</v>
      </c>
      <c r="B83" s="38">
        <v>805673.0</v>
      </c>
      <c r="C83" s="72">
        <v>45863.0</v>
      </c>
      <c r="D83" s="38">
        <v>79.0</v>
      </c>
      <c r="E83" s="73" t="str">
        <f>IFERROR(__xludf.DUMMYFUNCTION("average(filter('Appearance Sheet'!F:F,'Appearance Sheet'!G:G=B83,'Appearance Sheet'!A:A=C83))"),"#N/A")</f>
        <v>#N/A</v>
      </c>
      <c r="F83" s="67">
        <v>5.568790665</v>
      </c>
      <c r="G83" s="40">
        <v>0.894404611</v>
      </c>
      <c r="H83" s="40" t="str">
        <f t="shared" si="1"/>
        <v>#N/A</v>
      </c>
      <c r="I83" s="41">
        <v>0.594936709</v>
      </c>
      <c r="J83" s="41">
        <v>0.189873418</v>
      </c>
      <c r="K83" s="41">
        <v>0.215189873</v>
      </c>
      <c r="L83" s="41">
        <f t="shared" si="2"/>
        <v>0.379746836</v>
      </c>
      <c r="M83" s="74">
        <v>2.900914207</v>
      </c>
    </row>
    <row r="84">
      <c r="A84" s="1" t="s">
        <v>97</v>
      </c>
      <c r="B84" s="38">
        <v>656876.0</v>
      </c>
      <c r="C84" s="72">
        <v>45794.0</v>
      </c>
      <c r="D84" s="38">
        <v>81.0</v>
      </c>
      <c r="E84" s="73">
        <f>IFERROR(__xludf.DUMMYFUNCTION("average(filter('Appearance Sheet'!F:F,'Appearance Sheet'!G:G=B84,'Appearance Sheet'!A:A=C84))"),6.0)</f>
        <v>6</v>
      </c>
      <c r="F84" s="67">
        <v>5.567815739</v>
      </c>
      <c r="G84" s="40">
        <v>0.947405747</v>
      </c>
      <c r="H84" s="40">
        <f t="shared" si="1"/>
        <v>1.421108621</v>
      </c>
      <c r="I84" s="41">
        <v>0.604938272</v>
      </c>
      <c r="J84" s="41">
        <v>0.160493827</v>
      </c>
      <c r="K84" s="41">
        <v>0.234567901</v>
      </c>
      <c r="L84" s="41">
        <f t="shared" si="2"/>
        <v>0.370370371</v>
      </c>
      <c r="M84" s="74">
        <v>0.927529404</v>
      </c>
    </row>
    <row r="85">
      <c r="A85" s="1" t="s">
        <v>77</v>
      </c>
      <c r="B85" s="38">
        <v>657277.0</v>
      </c>
      <c r="C85" s="72">
        <v>45765.0</v>
      </c>
      <c r="D85" s="38">
        <v>103.0</v>
      </c>
      <c r="E85" s="73">
        <f>IFERROR(__xludf.DUMMYFUNCTION("average(filter('Appearance Sheet'!F:F,'Appearance Sheet'!G:G=B85,'Appearance Sheet'!A:A=C85))"),6.0)</f>
        <v>6</v>
      </c>
      <c r="F85" s="67">
        <v>5.567259201</v>
      </c>
      <c r="G85" s="40">
        <v>1.101179994</v>
      </c>
      <c r="H85" s="40">
        <f t="shared" si="1"/>
        <v>1.651769991</v>
      </c>
      <c r="I85" s="41">
        <v>0.572815534</v>
      </c>
      <c r="J85" s="41">
        <v>0.155339806</v>
      </c>
      <c r="K85" s="41">
        <v>0.27184466</v>
      </c>
      <c r="L85" s="41">
        <f t="shared" si="2"/>
        <v>0.300970874</v>
      </c>
      <c r="M85" s="74">
        <v>1.837295222</v>
      </c>
    </row>
    <row r="86">
      <c r="A86" s="1" t="s">
        <v>55</v>
      </c>
      <c r="B86" s="38">
        <v>641816.0</v>
      </c>
      <c r="C86" s="72">
        <v>45773.0</v>
      </c>
      <c r="D86" s="38">
        <v>86.0</v>
      </c>
      <c r="E86" s="73">
        <f>IFERROR(__xludf.DUMMYFUNCTION("average(filter('Appearance Sheet'!F:F,'Appearance Sheet'!G:G=B86,'Appearance Sheet'!A:A=C86))"),5.0)</f>
        <v>5</v>
      </c>
      <c r="F86" s="67">
        <v>5.564707589</v>
      </c>
      <c r="G86" s="40">
        <v>0.990380748</v>
      </c>
      <c r="H86" s="40">
        <f t="shared" si="1"/>
        <v>1.782685346</v>
      </c>
      <c r="I86" s="41">
        <v>0.558139535</v>
      </c>
      <c r="J86" s="41">
        <v>0.197674419</v>
      </c>
      <c r="K86" s="41">
        <v>0.244186047</v>
      </c>
      <c r="L86" s="41">
        <f t="shared" si="2"/>
        <v>0.313953488</v>
      </c>
      <c r="M86" s="74">
        <v>-2.24650563</v>
      </c>
    </row>
    <row r="87">
      <c r="A87" s="1" t="s">
        <v>44</v>
      </c>
      <c r="B87" s="38">
        <v>650911.0</v>
      </c>
      <c r="C87" s="72">
        <v>45899.0</v>
      </c>
      <c r="D87" s="38">
        <v>94.0</v>
      </c>
      <c r="E87" s="73" t="str">
        <f>IFERROR(__xludf.DUMMYFUNCTION("average(filter('Appearance Sheet'!F:F,'Appearance Sheet'!G:G=B87,'Appearance Sheet'!A:A=C87))"),"#N/A")</f>
        <v>#N/A</v>
      </c>
      <c r="F87" s="67">
        <v>5.560427787</v>
      </c>
      <c r="G87" s="40">
        <v>1.069714723</v>
      </c>
      <c r="H87" s="40" t="str">
        <f t="shared" si="1"/>
        <v>#N/A</v>
      </c>
      <c r="I87" s="41">
        <v>0.542553191</v>
      </c>
      <c r="J87" s="41">
        <v>0.255319149</v>
      </c>
      <c r="K87" s="41">
        <v>0.20212766</v>
      </c>
      <c r="L87" s="41">
        <f t="shared" si="2"/>
        <v>0.340425531</v>
      </c>
      <c r="M87" s="74">
        <v>-0.239221178</v>
      </c>
    </row>
    <row r="88">
      <c r="A88" s="1" t="s">
        <v>67</v>
      </c>
      <c r="B88" s="38">
        <v>684007.0</v>
      </c>
      <c r="C88" s="72">
        <v>45781.0</v>
      </c>
      <c r="D88" s="38">
        <v>84.0</v>
      </c>
      <c r="E88" s="73">
        <f>IFERROR(__xludf.DUMMYFUNCTION("average(filter('Appearance Sheet'!F:F,'Appearance Sheet'!G:G=B88,'Appearance Sheet'!A:A=C88))"),5.666666666666667)</f>
        <v>5.666666667</v>
      </c>
      <c r="F88" s="67">
        <v>5.559987751</v>
      </c>
      <c r="G88" s="40">
        <v>1.002259281</v>
      </c>
      <c r="H88" s="40">
        <f t="shared" si="1"/>
        <v>1.591823564</v>
      </c>
      <c r="I88" s="41">
        <v>0.571428571</v>
      </c>
      <c r="J88" s="41">
        <v>0.19047619</v>
      </c>
      <c r="K88" s="41">
        <v>0.238095238</v>
      </c>
      <c r="L88" s="41">
        <f t="shared" si="2"/>
        <v>0.333333333</v>
      </c>
      <c r="M88" s="74">
        <v>1.094356266</v>
      </c>
    </row>
    <row r="89">
      <c r="A89" s="1" t="s">
        <v>67</v>
      </c>
      <c r="B89" s="38">
        <v>684007.0</v>
      </c>
      <c r="C89" s="72">
        <v>45751.0</v>
      </c>
      <c r="D89" s="38">
        <v>86.0</v>
      </c>
      <c r="E89" s="73">
        <f>IFERROR(__xludf.DUMMYFUNCTION("average(filter('Appearance Sheet'!F:F,'Appearance Sheet'!G:G=B89,'Appearance Sheet'!A:A=C89))"),7.333333333333333)</f>
        <v>7.333333333</v>
      </c>
      <c r="F89" s="67">
        <v>5.558756584</v>
      </c>
      <c r="G89" s="40">
        <v>0.999905106</v>
      </c>
      <c r="H89" s="40">
        <f t="shared" si="1"/>
        <v>1.227156266</v>
      </c>
      <c r="I89" s="41">
        <v>0.627906977</v>
      </c>
      <c r="J89" s="41">
        <v>0.151162791</v>
      </c>
      <c r="K89" s="41">
        <v>0.220930233</v>
      </c>
      <c r="L89" s="41">
        <f t="shared" si="2"/>
        <v>0.406976744</v>
      </c>
      <c r="M89" s="74">
        <v>0.546326971</v>
      </c>
    </row>
    <row r="90">
      <c r="A90" s="1" t="s">
        <v>209</v>
      </c>
      <c r="B90" s="38">
        <v>694738.0</v>
      </c>
      <c r="C90" s="72">
        <v>45755.0</v>
      </c>
      <c r="D90" s="38">
        <v>76.0</v>
      </c>
      <c r="E90" s="73">
        <f>IFERROR(__xludf.DUMMYFUNCTION("average(filter('Appearance Sheet'!F:F,'Appearance Sheet'!G:G=B90,'Appearance Sheet'!A:A=C90))"),6.0)</f>
        <v>6</v>
      </c>
      <c r="F90" s="67">
        <v>5.557384007</v>
      </c>
      <c r="G90" s="40">
        <v>0.870188806</v>
      </c>
      <c r="H90" s="40">
        <f t="shared" si="1"/>
        <v>1.305283209</v>
      </c>
      <c r="I90" s="41">
        <v>0.539473684</v>
      </c>
      <c r="J90" s="41">
        <v>0.197368421</v>
      </c>
      <c r="K90" s="41">
        <v>0.263157895</v>
      </c>
      <c r="L90" s="41">
        <f t="shared" si="2"/>
        <v>0.276315789</v>
      </c>
      <c r="M90" s="74">
        <v>-2.906966443</v>
      </c>
    </row>
    <row r="91">
      <c r="A91" s="1" t="s">
        <v>93</v>
      </c>
      <c r="B91" s="38">
        <v>669194.0</v>
      </c>
      <c r="C91" s="72">
        <v>45821.0</v>
      </c>
      <c r="D91" s="38">
        <v>77.0</v>
      </c>
      <c r="E91" s="73">
        <f>IFERROR(__xludf.DUMMYFUNCTION("average(filter('Appearance Sheet'!F:F,'Appearance Sheet'!G:G=B91,'Appearance Sheet'!A:A=C91))"),5.0)</f>
        <v>5</v>
      </c>
      <c r="F91" s="67">
        <v>5.556946903</v>
      </c>
      <c r="G91" s="40">
        <v>0.925235757</v>
      </c>
      <c r="H91" s="40">
        <f t="shared" si="1"/>
        <v>1.665424363</v>
      </c>
      <c r="I91" s="41">
        <v>0.597402597</v>
      </c>
      <c r="J91" s="41">
        <v>0.194805195</v>
      </c>
      <c r="K91" s="41">
        <v>0.207792208</v>
      </c>
      <c r="L91" s="41">
        <f t="shared" si="2"/>
        <v>0.389610389</v>
      </c>
      <c r="M91" s="74">
        <v>-1.77462517</v>
      </c>
    </row>
    <row r="92">
      <c r="A92" s="1" t="s">
        <v>205</v>
      </c>
      <c r="B92" s="38">
        <v>666142.0</v>
      </c>
      <c r="C92" s="72">
        <v>45760.0</v>
      </c>
      <c r="D92" s="38">
        <v>87.0</v>
      </c>
      <c r="E92" s="73">
        <f>IFERROR(__xludf.DUMMYFUNCTION("average(filter('Appearance Sheet'!F:F,'Appearance Sheet'!G:G=B92,'Appearance Sheet'!A:A=C92))"),7.666666666666667)</f>
        <v>7.666666667</v>
      </c>
      <c r="F92" s="67">
        <v>5.554647081</v>
      </c>
      <c r="G92" s="40">
        <v>1.035877811</v>
      </c>
      <c r="H92" s="40">
        <f t="shared" si="1"/>
        <v>1.216030474</v>
      </c>
      <c r="I92" s="41">
        <v>0.597701149</v>
      </c>
      <c r="J92" s="41">
        <v>0.149425287</v>
      </c>
      <c r="K92" s="41">
        <v>0.252873563</v>
      </c>
      <c r="L92" s="41">
        <f t="shared" si="2"/>
        <v>0.344827586</v>
      </c>
      <c r="M92" s="74">
        <v>0.456120569</v>
      </c>
    </row>
    <row r="93">
      <c r="A93" s="1" t="s">
        <v>173</v>
      </c>
      <c r="B93" s="38">
        <v>641927.0</v>
      </c>
      <c r="C93" s="72">
        <v>45746.0</v>
      </c>
      <c r="D93" s="38">
        <v>76.0</v>
      </c>
      <c r="E93" s="73">
        <f>IFERROR(__xludf.DUMMYFUNCTION("average(filter('Appearance Sheet'!F:F,'Appearance Sheet'!G:G=B93,'Appearance Sheet'!A:A=C93))"),2.6666666666666665)</f>
        <v>2.666666667</v>
      </c>
      <c r="F93" s="67">
        <v>5.551107274</v>
      </c>
      <c r="G93" s="40">
        <v>0.922778752</v>
      </c>
      <c r="H93" s="40">
        <f t="shared" si="1"/>
        <v>3.114378288</v>
      </c>
      <c r="I93" s="41">
        <v>0.565789474</v>
      </c>
      <c r="J93" s="41">
        <v>0.171052632</v>
      </c>
      <c r="K93" s="41">
        <v>0.263157895</v>
      </c>
      <c r="L93" s="41">
        <f t="shared" si="2"/>
        <v>0.302631579</v>
      </c>
      <c r="M93" s="74">
        <v>-3.050020696</v>
      </c>
    </row>
    <row r="94">
      <c r="A94" s="1" t="s">
        <v>554</v>
      </c>
      <c r="B94" s="38">
        <v>663795.0</v>
      </c>
      <c r="C94" s="72">
        <v>45909.0</v>
      </c>
      <c r="D94" s="38">
        <v>72.0</v>
      </c>
      <c r="E94" s="73" t="str">
        <f>IFERROR(__xludf.DUMMYFUNCTION("average(filter('Appearance Sheet'!F:F,'Appearance Sheet'!G:G=B94,'Appearance Sheet'!A:A=C94))"),"#N/A")</f>
        <v>#N/A</v>
      </c>
      <c r="F94" s="67">
        <v>5.55002449</v>
      </c>
      <c r="G94" s="40">
        <v>0.831722735</v>
      </c>
      <c r="H94" s="40" t="str">
        <f t="shared" si="1"/>
        <v>#N/A</v>
      </c>
      <c r="I94" s="41">
        <v>0.625</v>
      </c>
      <c r="J94" s="41">
        <v>0.166666667</v>
      </c>
      <c r="K94" s="41">
        <v>0.208333333</v>
      </c>
      <c r="L94" s="41">
        <f t="shared" si="2"/>
        <v>0.416666667</v>
      </c>
      <c r="M94" s="74">
        <v>-3.477102179</v>
      </c>
    </row>
    <row r="95">
      <c r="A95" s="1" t="s">
        <v>166</v>
      </c>
      <c r="B95" s="38">
        <v>608331.0</v>
      </c>
      <c r="C95" s="72">
        <v>45784.0</v>
      </c>
      <c r="D95" s="38">
        <v>99.0</v>
      </c>
      <c r="E95" s="73">
        <f>IFERROR(__xludf.DUMMYFUNCTION("average(filter('Appearance Sheet'!F:F,'Appearance Sheet'!G:G=B95,'Appearance Sheet'!A:A=C95))"),7.0)</f>
        <v>7</v>
      </c>
      <c r="F95" s="67">
        <v>5.548076225</v>
      </c>
      <c r="G95" s="40">
        <v>1.171530473</v>
      </c>
      <c r="H95" s="40">
        <f t="shared" si="1"/>
        <v>1.506253465</v>
      </c>
      <c r="I95" s="41">
        <v>0.545454545</v>
      </c>
      <c r="J95" s="41">
        <v>0.151515152</v>
      </c>
      <c r="K95" s="41">
        <v>0.303030303</v>
      </c>
      <c r="L95" s="41">
        <f t="shared" si="2"/>
        <v>0.242424242</v>
      </c>
      <c r="M95" s="74">
        <v>0.472828516</v>
      </c>
    </row>
    <row r="96">
      <c r="A96" s="1" t="s">
        <v>77</v>
      </c>
      <c r="B96" s="38">
        <v>657277.0</v>
      </c>
      <c r="C96" s="72">
        <v>45776.0</v>
      </c>
      <c r="D96" s="38">
        <v>75.0</v>
      </c>
      <c r="E96" s="73">
        <f>IFERROR(__xludf.DUMMYFUNCTION("average(filter('Appearance Sheet'!F:F,'Appearance Sheet'!G:G=B96,'Appearance Sheet'!A:A=C96))"),5.0)</f>
        <v>5</v>
      </c>
      <c r="F96" s="67">
        <v>5.546660532</v>
      </c>
      <c r="G96" s="40">
        <v>0.902109788</v>
      </c>
      <c r="H96" s="40">
        <f t="shared" si="1"/>
        <v>1.623797618</v>
      </c>
      <c r="I96" s="41">
        <v>0.626666667</v>
      </c>
      <c r="J96" s="41">
        <v>0.16</v>
      </c>
      <c r="K96" s="41">
        <v>0.213333333</v>
      </c>
      <c r="L96" s="41">
        <f t="shared" si="2"/>
        <v>0.413333334</v>
      </c>
      <c r="M96" s="74">
        <v>-5.079256512</v>
      </c>
    </row>
    <row r="97">
      <c r="A97" s="1" t="s">
        <v>85</v>
      </c>
      <c r="B97" s="38">
        <v>808967.0</v>
      </c>
      <c r="C97" s="72">
        <v>45821.0</v>
      </c>
      <c r="D97" s="38">
        <v>101.0</v>
      </c>
      <c r="E97" s="73">
        <f>IFERROR(__xludf.DUMMYFUNCTION("average(filter('Appearance Sheet'!F:F,'Appearance Sheet'!G:G=B97,'Appearance Sheet'!A:A=C97))"),4.666666666666667)</f>
        <v>4.666666667</v>
      </c>
      <c r="F97" s="67">
        <v>5.545311955</v>
      </c>
      <c r="G97" s="40">
        <v>1.207344363</v>
      </c>
      <c r="H97" s="40">
        <f t="shared" si="1"/>
        <v>2.328449843</v>
      </c>
      <c r="I97" s="41">
        <v>0.544554455</v>
      </c>
      <c r="J97" s="41">
        <v>0.198019802</v>
      </c>
      <c r="K97" s="41">
        <v>0.257425743</v>
      </c>
      <c r="L97" s="41">
        <f t="shared" si="2"/>
        <v>0.287128712</v>
      </c>
      <c r="M97" s="74">
        <v>0.40271114</v>
      </c>
    </row>
    <row r="98">
      <c r="A98" s="1" t="s">
        <v>272</v>
      </c>
      <c r="B98" s="38">
        <v>622491.0</v>
      </c>
      <c r="C98" s="72">
        <v>45749.0</v>
      </c>
      <c r="D98" s="38">
        <v>90.0</v>
      </c>
      <c r="E98" s="73">
        <f>IFERROR(__xludf.DUMMYFUNCTION("average(filter('Appearance Sheet'!F:F,'Appearance Sheet'!G:G=B98,'Appearance Sheet'!A:A=C98))"),7.0)</f>
        <v>7</v>
      </c>
      <c r="F98" s="67">
        <v>5.543903422</v>
      </c>
      <c r="G98" s="40">
        <v>1.079317986</v>
      </c>
      <c r="H98" s="40">
        <f t="shared" si="1"/>
        <v>1.387694553</v>
      </c>
      <c r="I98" s="41">
        <v>0.522222222</v>
      </c>
      <c r="J98" s="41">
        <v>0.266666667</v>
      </c>
      <c r="K98" s="41">
        <v>0.211111111</v>
      </c>
      <c r="L98" s="41">
        <f t="shared" si="2"/>
        <v>0.311111111</v>
      </c>
      <c r="M98" s="74">
        <v>0.418828773</v>
      </c>
    </row>
    <row r="99">
      <c r="A99" s="1" t="s">
        <v>100</v>
      </c>
      <c r="B99" s="38">
        <v>676979.0</v>
      </c>
      <c r="C99" s="72">
        <v>45832.0</v>
      </c>
      <c r="D99" s="38">
        <v>98.0</v>
      </c>
      <c r="E99" s="73">
        <f>IFERROR(__xludf.DUMMYFUNCTION("average(filter('Appearance Sheet'!F:F,'Appearance Sheet'!G:G=B99,'Appearance Sheet'!A:A=C99))"),7.0)</f>
        <v>7</v>
      </c>
      <c r="F99" s="67">
        <v>5.539594828</v>
      </c>
      <c r="G99" s="40">
        <v>1.151648554</v>
      </c>
      <c r="H99" s="40">
        <f t="shared" si="1"/>
        <v>1.480690998</v>
      </c>
      <c r="I99" s="41">
        <v>0.56122449</v>
      </c>
      <c r="J99" s="41">
        <v>0.234693878</v>
      </c>
      <c r="K99" s="41">
        <v>0.204081633</v>
      </c>
      <c r="L99" s="41">
        <f t="shared" si="2"/>
        <v>0.357142857</v>
      </c>
      <c r="M99" s="74">
        <v>3.321332676</v>
      </c>
    </row>
    <row r="100">
      <c r="A100" s="1" t="s">
        <v>181</v>
      </c>
      <c r="B100" s="38">
        <v>641154.0</v>
      </c>
      <c r="C100" s="72">
        <v>45794.0</v>
      </c>
      <c r="D100" s="38">
        <v>93.0</v>
      </c>
      <c r="E100" s="73">
        <f>IFERROR(__xludf.DUMMYFUNCTION("average(filter('Appearance Sheet'!F:F,'Appearance Sheet'!G:G=B100,'Appearance Sheet'!A:A=C100))"),6.0)</f>
        <v>6</v>
      </c>
      <c r="F100" s="67">
        <v>5.539231222</v>
      </c>
      <c r="G100" s="40">
        <v>1.102920899</v>
      </c>
      <c r="H100" s="40">
        <f t="shared" si="1"/>
        <v>1.654381349</v>
      </c>
      <c r="I100" s="41">
        <v>0.559139785</v>
      </c>
      <c r="J100" s="41">
        <v>0.193548387</v>
      </c>
      <c r="K100" s="41">
        <v>0.247311828</v>
      </c>
      <c r="L100" s="41">
        <f t="shared" si="2"/>
        <v>0.311827957</v>
      </c>
      <c r="M100" s="74">
        <v>4.088429461</v>
      </c>
    </row>
    <row r="101">
      <c r="A101" s="1" t="s">
        <v>156</v>
      </c>
      <c r="B101" s="38">
        <v>519242.0</v>
      </c>
      <c r="C101" s="72">
        <v>45916.0</v>
      </c>
      <c r="D101" s="38">
        <v>105.0</v>
      </c>
      <c r="E101" s="73" t="str">
        <f>IFERROR(__xludf.DUMMYFUNCTION("average(filter('Appearance Sheet'!F:F,'Appearance Sheet'!G:G=B101,'Appearance Sheet'!A:A=C101))"),"#N/A")</f>
        <v>#N/A</v>
      </c>
      <c r="F101" s="67">
        <v>5.538332516</v>
      </c>
      <c r="G101" s="40">
        <v>1.232064983</v>
      </c>
      <c r="H101" s="40" t="str">
        <f t="shared" si="1"/>
        <v>#N/A</v>
      </c>
      <c r="I101" s="41">
        <v>0.580952381</v>
      </c>
      <c r="J101" s="41">
        <v>0.114285714</v>
      </c>
      <c r="K101" s="41">
        <v>0.304761905</v>
      </c>
      <c r="L101" s="41">
        <f t="shared" si="2"/>
        <v>0.276190476</v>
      </c>
      <c r="M101" s="74">
        <v>2.718744564</v>
      </c>
    </row>
    <row r="102">
      <c r="A102" s="1" t="s">
        <v>555</v>
      </c>
      <c r="B102" s="38">
        <v>701656.0</v>
      </c>
      <c r="C102" s="72">
        <v>45802.0</v>
      </c>
      <c r="D102" s="38">
        <v>87.0</v>
      </c>
      <c r="E102" s="73">
        <f>IFERROR(__xludf.DUMMYFUNCTION("average(filter('Appearance Sheet'!F:F,'Appearance Sheet'!G:G=B102,'Appearance Sheet'!A:A=C102))"),5.0)</f>
        <v>5</v>
      </c>
      <c r="F102" s="67">
        <v>5.537525578</v>
      </c>
      <c r="G102" s="40">
        <v>1.035261132</v>
      </c>
      <c r="H102" s="40">
        <f t="shared" si="1"/>
        <v>1.863470038</v>
      </c>
      <c r="I102" s="41">
        <v>0.597701149</v>
      </c>
      <c r="J102" s="41">
        <v>0.172413793</v>
      </c>
      <c r="K102" s="41">
        <v>0.229885057</v>
      </c>
      <c r="L102" s="41">
        <f t="shared" si="2"/>
        <v>0.367816092</v>
      </c>
      <c r="M102" s="74">
        <v>-0.596056054</v>
      </c>
    </row>
    <row r="103">
      <c r="A103" s="1" t="s">
        <v>73</v>
      </c>
      <c r="B103" s="38">
        <v>668881.0</v>
      </c>
      <c r="C103" s="72">
        <v>45918.0</v>
      </c>
      <c r="D103" s="38">
        <v>107.0</v>
      </c>
      <c r="E103" s="73" t="str">
        <f>IFERROR(__xludf.DUMMYFUNCTION("average(filter('Appearance Sheet'!F:F,'Appearance Sheet'!G:G=B103,'Appearance Sheet'!A:A=C103))"),"#N/A")</f>
        <v>#N/A</v>
      </c>
      <c r="F103" s="67">
        <v>5.537210548</v>
      </c>
      <c r="G103" s="40">
        <v>1.29822416</v>
      </c>
      <c r="H103" s="40" t="str">
        <f t="shared" si="1"/>
        <v>#N/A</v>
      </c>
      <c r="I103" s="41">
        <v>0.598130841</v>
      </c>
      <c r="J103" s="41">
        <v>0.168224299</v>
      </c>
      <c r="K103" s="41">
        <v>0.23364486</v>
      </c>
      <c r="L103" s="41">
        <f t="shared" si="2"/>
        <v>0.364485981</v>
      </c>
      <c r="M103" s="74">
        <v>4.293844761</v>
      </c>
    </row>
    <row r="104">
      <c r="A104" s="1" t="s">
        <v>67</v>
      </c>
      <c r="B104" s="38">
        <v>684007.0</v>
      </c>
      <c r="C104" s="72">
        <v>45879.0</v>
      </c>
      <c r="D104" s="38">
        <v>89.0</v>
      </c>
      <c r="E104" s="73" t="str">
        <f>IFERROR(__xludf.DUMMYFUNCTION("average(filter('Appearance Sheet'!F:F,'Appearance Sheet'!G:G=B104,'Appearance Sheet'!A:A=C104))"),"#N/A")</f>
        <v>#N/A</v>
      </c>
      <c r="F104" s="67">
        <v>5.536847552</v>
      </c>
      <c r="G104" s="40">
        <v>1.068347599</v>
      </c>
      <c r="H104" s="40" t="str">
        <f t="shared" si="1"/>
        <v>#N/A</v>
      </c>
      <c r="I104" s="41">
        <v>0.550561798</v>
      </c>
      <c r="J104" s="41">
        <v>0.213483146</v>
      </c>
      <c r="K104" s="41">
        <v>0.235955056</v>
      </c>
      <c r="L104" s="41">
        <f t="shared" si="2"/>
        <v>0.314606742</v>
      </c>
      <c r="M104" s="74">
        <v>1.073640574</v>
      </c>
    </row>
    <row r="105">
      <c r="A105" s="1" t="s">
        <v>120</v>
      </c>
      <c r="B105" s="38">
        <v>800048.0</v>
      </c>
      <c r="C105" s="72">
        <v>45895.0</v>
      </c>
      <c r="D105" s="38">
        <v>91.0</v>
      </c>
      <c r="E105" s="73" t="str">
        <f>IFERROR(__xludf.DUMMYFUNCTION("average(filter('Appearance Sheet'!F:F,'Appearance Sheet'!G:G=B105,'Appearance Sheet'!A:A=C105))"),"#N/A")</f>
        <v>#N/A</v>
      </c>
      <c r="F105" s="67">
        <v>5.536371455</v>
      </c>
      <c r="G105" s="40">
        <v>1.087162732</v>
      </c>
      <c r="H105" s="40" t="str">
        <f t="shared" si="1"/>
        <v>#N/A</v>
      </c>
      <c r="I105" s="41">
        <v>0.593406593</v>
      </c>
      <c r="J105" s="41">
        <v>0.120879121</v>
      </c>
      <c r="K105" s="41">
        <v>0.285714286</v>
      </c>
      <c r="L105" s="41">
        <f t="shared" si="2"/>
        <v>0.307692307</v>
      </c>
      <c r="M105" s="74">
        <v>1.925203129</v>
      </c>
    </row>
    <row r="106">
      <c r="A106" s="1" t="s">
        <v>366</v>
      </c>
      <c r="B106" s="38">
        <v>656550.0</v>
      </c>
      <c r="C106" s="72">
        <v>45773.0</v>
      </c>
      <c r="D106" s="38">
        <v>89.0</v>
      </c>
      <c r="E106" s="73">
        <f>IFERROR(__xludf.DUMMYFUNCTION("average(filter('Appearance Sheet'!F:F,'Appearance Sheet'!G:G=B106,'Appearance Sheet'!A:A=C106))"),5.666666666666667)</f>
        <v>5.666666667</v>
      </c>
      <c r="F106" s="67">
        <v>5.535936083</v>
      </c>
      <c r="G106" s="40">
        <v>1.084258755</v>
      </c>
      <c r="H106" s="40">
        <f t="shared" si="1"/>
        <v>1.722058023</v>
      </c>
      <c r="I106" s="41">
        <v>0.606741573</v>
      </c>
      <c r="J106" s="41">
        <v>0.123595506</v>
      </c>
      <c r="K106" s="41">
        <v>0.269662921</v>
      </c>
      <c r="L106" s="41">
        <f t="shared" si="2"/>
        <v>0.337078652</v>
      </c>
      <c r="M106" s="74">
        <v>0.682528753</v>
      </c>
    </row>
    <row r="107">
      <c r="A107" s="1" t="s">
        <v>181</v>
      </c>
      <c r="B107" s="38">
        <v>641154.0</v>
      </c>
      <c r="C107" s="72">
        <v>45772.0</v>
      </c>
      <c r="D107" s="38">
        <v>99.0</v>
      </c>
      <c r="E107" s="73">
        <f>IFERROR(__xludf.DUMMYFUNCTION("average(filter('Appearance Sheet'!F:F,'Appearance Sheet'!G:G=B107,'Appearance Sheet'!A:A=C107))"),5.0)</f>
        <v>5</v>
      </c>
      <c r="F107" s="67">
        <v>5.535694425</v>
      </c>
      <c r="G107" s="40">
        <v>1.205603729</v>
      </c>
      <c r="H107" s="40">
        <f t="shared" si="1"/>
        <v>2.170086712</v>
      </c>
      <c r="I107" s="41">
        <v>0.575757576</v>
      </c>
      <c r="J107" s="41">
        <v>0.181818182</v>
      </c>
      <c r="K107" s="41">
        <v>0.242424242</v>
      </c>
      <c r="L107" s="41">
        <f t="shared" si="2"/>
        <v>0.333333334</v>
      </c>
      <c r="M107" s="74">
        <v>0.768695339</v>
      </c>
    </row>
    <row r="108">
      <c r="A108" s="1" t="s">
        <v>228</v>
      </c>
      <c r="B108" s="38">
        <v>687473.0</v>
      </c>
      <c r="C108" s="72">
        <v>45830.0</v>
      </c>
      <c r="D108" s="38">
        <v>75.0</v>
      </c>
      <c r="E108" s="73">
        <f>IFERROR(__xludf.DUMMYFUNCTION("average(filter('Appearance Sheet'!F:F,'Appearance Sheet'!G:G=B108,'Appearance Sheet'!A:A=C108))"),6.0)</f>
        <v>6</v>
      </c>
      <c r="F108" s="67">
        <v>5.534845597</v>
      </c>
      <c r="G108" s="40">
        <v>0.933179964</v>
      </c>
      <c r="H108" s="40">
        <f t="shared" si="1"/>
        <v>1.399769946</v>
      </c>
      <c r="I108" s="41">
        <v>0.6</v>
      </c>
      <c r="J108" s="41">
        <v>0.186666667</v>
      </c>
      <c r="K108" s="41">
        <v>0.213333333</v>
      </c>
      <c r="L108" s="41">
        <f t="shared" si="2"/>
        <v>0.386666667</v>
      </c>
      <c r="M108" s="74">
        <v>-1.543019345</v>
      </c>
    </row>
    <row r="109">
      <c r="A109" s="1" t="s">
        <v>228</v>
      </c>
      <c r="B109" s="38">
        <v>687473.0</v>
      </c>
      <c r="C109" s="72">
        <v>45891.0</v>
      </c>
      <c r="D109" s="38">
        <v>89.0</v>
      </c>
      <c r="E109" s="73" t="str">
        <f>IFERROR(__xludf.DUMMYFUNCTION("average(filter('Appearance Sheet'!F:F,'Appearance Sheet'!G:G=B109,'Appearance Sheet'!A:A=C109))"),"#N/A")</f>
        <v>#N/A</v>
      </c>
      <c r="F109" s="67">
        <v>5.534685614</v>
      </c>
      <c r="G109" s="40">
        <v>1.069254175</v>
      </c>
      <c r="H109" s="40" t="str">
        <f t="shared" si="1"/>
        <v>#N/A</v>
      </c>
      <c r="I109" s="41">
        <v>0.573033708</v>
      </c>
      <c r="J109" s="41">
        <v>0.179775281</v>
      </c>
      <c r="K109" s="41">
        <v>0.247191011</v>
      </c>
      <c r="L109" s="41">
        <f t="shared" si="2"/>
        <v>0.325842697</v>
      </c>
      <c r="M109" s="74">
        <v>-2.888876343</v>
      </c>
    </row>
    <row r="110">
      <c r="A110" s="1" t="s">
        <v>330</v>
      </c>
      <c r="B110" s="38">
        <v>680730.0</v>
      </c>
      <c r="C110" s="72">
        <v>45898.0</v>
      </c>
      <c r="D110" s="38">
        <v>90.0</v>
      </c>
      <c r="E110" s="73" t="str">
        <f>IFERROR(__xludf.DUMMYFUNCTION("average(filter('Appearance Sheet'!F:F,'Appearance Sheet'!G:G=B110,'Appearance Sheet'!A:A=C110))"),"#N/A")</f>
        <v>#N/A</v>
      </c>
      <c r="F110" s="67">
        <v>5.53450188</v>
      </c>
      <c r="G110" s="40">
        <v>1.115663991</v>
      </c>
      <c r="H110" s="40" t="str">
        <f t="shared" si="1"/>
        <v>#N/A</v>
      </c>
      <c r="I110" s="41">
        <v>0.6</v>
      </c>
      <c r="J110" s="41">
        <v>0.133333333</v>
      </c>
      <c r="K110" s="41">
        <v>0.266666667</v>
      </c>
      <c r="L110" s="41">
        <f t="shared" si="2"/>
        <v>0.333333333</v>
      </c>
      <c r="M110" s="74">
        <v>-1.102405445</v>
      </c>
    </row>
    <row r="111">
      <c r="A111" s="1" t="s">
        <v>470</v>
      </c>
      <c r="B111" s="38">
        <v>681343.0</v>
      </c>
      <c r="C111" s="72">
        <v>45777.0</v>
      </c>
      <c r="D111" s="38">
        <v>77.0</v>
      </c>
      <c r="E111" s="73">
        <f>IFERROR(__xludf.DUMMYFUNCTION("average(filter('Appearance Sheet'!F:F,'Appearance Sheet'!G:G=B111,'Appearance Sheet'!A:A=C111))"),5.0)</f>
        <v>5</v>
      </c>
      <c r="F111" s="67">
        <v>5.534134134</v>
      </c>
      <c r="G111" s="40">
        <v>0.975393491</v>
      </c>
      <c r="H111" s="40">
        <f t="shared" si="1"/>
        <v>1.755708284</v>
      </c>
      <c r="I111" s="41">
        <v>0.532467532</v>
      </c>
      <c r="J111" s="41">
        <v>0.220779221</v>
      </c>
      <c r="K111" s="41">
        <v>0.246753247</v>
      </c>
      <c r="L111" s="41">
        <f t="shared" si="2"/>
        <v>0.285714285</v>
      </c>
      <c r="M111" s="74">
        <v>-0.268679569</v>
      </c>
    </row>
    <row r="112">
      <c r="A112" s="1" t="s">
        <v>197</v>
      </c>
      <c r="B112" s="38">
        <v>676467.0</v>
      </c>
      <c r="C112" s="72">
        <v>45796.0</v>
      </c>
      <c r="D112" s="38">
        <v>78.0</v>
      </c>
      <c r="E112" s="73">
        <f>IFERROR(__xludf.DUMMYFUNCTION("average(filter('Appearance Sheet'!F:F,'Appearance Sheet'!G:G=B112,'Appearance Sheet'!A:A=C112))"),5.333333333333333)</f>
        <v>5.333333333</v>
      </c>
      <c r="F112" s="67">
        <v>5.533744783</v>
      </c>
      <c r="G112" s="40">
        <v>0.914046114</v>
      </c>
      <c r="H112" s="40">
        <f t="shared" si="1"/>
        <v>1.542452817</v>
      </c>
      <c r="I112" s="41">
        <v>0.576923077</v>
      </c>
      <c r="J112" s="41">
        <v>0.141025641</v>
      </c>
      <c r="K112" s="41">
        <v>0.282051282</v>
      </c>
      <c r="L112" s="41">
        <f t="shared" si="2"/>
        <v>0.294871795</v>
      </c>
      <c r="M112" s="74">
        <v>0.590612162</v>
      </c>
    </row>
    <row r="113">
      <c r="A113" s="1" t="s">
        <v>109</v>
      </c>
      <c r="B113" s="38">
        <v>601713.0</v>
      </c>
      <c r="C113" s="72">
        <v>45794.0</v>
      </c>
      <c r="D113" s="38">
        <v>86.0</v>
      </c>
      <c r="E113" s="73">
        <f>IFERROR(__xludf.DUMMYFUNCTION("average(filter('Appearance Sheet'!F:F,'Appearance Sheet'!G:G=B113,'Appearance Sheet'!A:A=C113))"),6.0)</f>
        <v>6</v>
      </c>
      <c r="F113" s="67">
        <v>5.533732038</v>
      </c>
      <c r="G113" s="40">
        <v>1.026898466</v>
      </c>
      <c r="H113" s="40">
        <f t="shared" si="1"/>
        <v>1.540347699</v>
      </c>
      <c r="I113" s="41">
        <v>0.593023256</v>
      </c>
      <c r="J113" s="41">
        <v>0.174418605</v>
      </c>
      <c r="K113" s="41">
        <v>0.23255814</v>
      </c>
      <c r="L113" s="41">
        <f t="shared" si="2"/>
        <v>0.360465116</v>
      </c>
      <c r="M113" s="74">
        <v>2.945747901</v>
      </c>
    </row>
    <row r="114">
      <c r="A114" s="1" t="s">
        <v>84</v>
      </c>
      <c r="B114" s="38">
        <v>669373.0</v>
      </c>
      <c r="C114" s="72">
        <v>45755.0</v>
      </c>
      <c r="D114" s="38">
        <v>86.0</v>
      </c>
      <c r="E114" s="73">
        <f>IFERROR(__xludf.DUMMYFUNCTION("average(filter('Appearance Sheet'!F:F,'Appearance Sheet'!G:G=B114,'Appearance Sheet'!A:A=C114))"),6.0)</f>
        <v>6</v>
      </c>
      <c r="F114" s="67">
        <v>5.533522511</v>
      </c>
      <c r="G114" s="40">
        <v>1.053587561</v>
      </c>
      <c r="H114" s="40">
        <f t="shared" si="1"/>
        <v>1.580381342</v>
      </c>
      <c r="I114" s="41">
        <v>0.593023256</v>
      </c>
      <c r="J114" s="41">
        <v>0.104651163</v>
      </c>
      <c r="K114" s="41">
        <v>0.302325581</v>
      </c>
      <c r="L114" s="41">
        <f t="shared" si="2"/>
        <v>0.290697675</v>
      </c>
      <c r="M114" s="74">
        <v>1.301475642</v>
      </c>
    </row>
    <row r="115">
      <c r="A115" s="1" t="s">
        <v>113</v>
      </c>
      <c r="B115" s="38">
        <v>664285.0</v>
      </c>
      <c r="C115" s="72">
        <v>45820.0</v>
      </c>
      <c r="D115" s="38">
        <v>93.0</v>
      </c>
      <c r="E115" s="73">
        <f>IFERROR(__xludf.DUMMYFUNCTION("average(filter('Appearance Sheet'!F:F,'Appearance Sheet'!G:G=B115,'Appearance Sheet'!A:A=C115))"),5.0)</f>
        <v>5</v>
      </c>
      <c r="F115" s="67">
        <v>5.533038318</v>
      </c>
      <c r="G115" s="40">
        <v>1.120734139</v>
      </c>
      <c r="H115" s="40">
        <f t="shared" si="1"/>
        <v>2.01732145</v>
      </c>
      <c r="I115" s="41">
        <v>0.548387097</v>
      </c>
      <c r="J115" s="41">
        <v>0.161290323</v>
      </c>
      <c r="K115" s="41">
        <v>0.290322581</v>
      </c>
      <c r="L115" s="41">
        <f t="shared" si="2"/>
        <v>0.258064516</v>
      </c>
      <c r="M115" s="74">
        <v>-1.396527158</v>
      </c>
    </row>
    <row r="116">
      <c r="A116" s="1" t="s">
        <v>99</v>
      </c>
      <c r="B116" s="38">
        <v>592791.0</v>
      </c>
      <c r="C116" s="72">
        <v>45809.0</v>
      </c>
      <c r="D116" s="38">
        <v>96.0</v>
      </c>
      <c r="E116" s="73">
        <f>IFERROR(__xludf.DUMMYFUNCTION("average(filter('Appearance Sheet'!F:F,'Appearance Sheet'!G:G=B116,'Appearance Sheet'!A:A=C116))"),6.333333333333333)</f>
        <v>6.333333333</v>
      </c>
      <c r="F116" s="67">
        <v>5.532137471</v>
      </c>
      <c r="G116" s="40">
        <v>1.173533923</v>
      </c>
      <c r="H116" s="40">
        <f t="shared" si="1"/>
        <v>1.66765347</v>
      </c>
      <c r="I116" s="41">
        <v>0.635416667</v>
      </c>
      <c r="J116" s="41">
        <v>0.114583333</v>
      </c>
      <c r="K116" s="41">
        <v>0.25</v>
      </c>
      <c r="L116" s="41">
        <f t="shared" si="2"/>
        <v>0.385416667</v>
      </c>
      <c r="M116" s="74">
        <v>3.353844301</v>
      </c>
    </row>
    <row r="117">
      <c r="A117" s="1" t="s">
        <v>343</v>
      </c>
      <c r="B117" s="38">
        <v>682243.0</v>
      </c>
      <c r="C117" s="72">
        <v>45814.0</v>
      </c>
      <c r="D117" s="38">
        <v>69.0</v>
      </c>
      <c r="E117" s="73">
        <f>IFERROR(__xludf.DUMMYFUNCTION("average(filter('Appearance Sheet'!F:F,'Appearance Sheet'!G:G=B117,'Appearance Sheet'!A:A=C117))"),5.0)</f>
        <v>5</v>
      </c>
      <c r="F117" s="67">
        <v>5.531374844</v>
      </c>
      <c r="G117" s="40">
        <v>0.875197243</v>
      </c>
      <c r="H117" s="40">
        <f t="shared" si="1"/>
        <v>1.575355037</v>
      </c>
      <c r="I117" s="41">
        <v>0.565217391</v>
      </c>
      <c r="J117" s="41">
        <v>0.173913043</v>
      </c>
      <c r="K117" s="41">
        <v>0.260869565</v>
      </c>
      <c r="L117" s="41">
        <f t="shared" si="2"/>
        <v>0.304347826</v>
      </c>
      <c r="M117" s="74">
        <v>-3.250545421</v>
      </c>
    </row>
    <row r="118">
      <c r="A118" s="1" t="s">
        <v>169</v>
      </c>
      <c r="B118" s="38">
        <v>671096.0</v>
      </c>
      <c r="C118" s="72">
        <v>45886.0</v>
      </c>
      <c r="D118" s="38">
        <v>87.0</v>
      </c>
      <c r="E118" s="73" t="str">
        <f>IFERROR(__xludf.DUMMYFUNCTION("average(filter('Appearance Sheet'!F:F,'Appearance Sheet'!G:G=B118,'Appearance Sheet'!A:A=C118))"),"#N/A")</f>
        <v>#N/A</v>
      </c>
      <c r="F118" s="67">
        <v>5.531195796</v>
      </c>
      <c r="G118" s="40">
        <v>1.074024058</v>
      </c>
      <c r="H118" s="40" t="str">
        <f t="shared" si="1"/>
        <v>#N/A</v>
      </c>
      <c r="I118" s="41">
        <v>0.528735632</v>
      </c>
      <c r="J118" s="41">
        <v>0.229885057</v>
      </c>
      <c r="K118" s="41">
        <v>0.24137931</v>
      </c>
      <c r="L118" s="41">
        <f t="shared" si="2"/>
        <v>0.287356322</v>
      </c>
      <c r="M118" s="74">
        <v>2.025462421</v>
      </c>
    </row>
    <row r="119">
      <c r="A119" s="1" t="s">
        <v>145</v>
      </c>
      <c r="B119" s="38">
        <v>700241.0</v>
      </c>
      <c r="C119" s="72">
        <v>45781.0</v>
      </c>
      <c r="D119" s="38">
        <v>78.0</v>
      </c>
      <c r="E119" s="73">
        <f>IFERROR(__xludf.DUMMYFUNCTION("average(filter('Appearance Sheet'!F:F,'Appearance Sheet'!G:G=B119,'Appearance Sheet'!A:A=C119))"),5.666666666666667)</f>
        <v>5.666666667</v>
      </c>
      <c r="F119" s="67">
        <v>5.530184777</v>
      </c>
      <c r="G119" s="40">
        <v>0.981264239</v>
      </c>
      <c r="H119" s="40">
        <f t="shared" si="1"/>
        <v>1.558478497</v>
      </c>
      <c r="I119" s="41">
        <v>0.525641026</v>
      </c>
      <c r="J119" s="41">
        <v>0.230769231</v>
      </c>
      <c r="K119" s="41">
        <v>0.243589744</v>
      </c>
      <c r="L119" s="41">
        <f t="shared" si="2"/>
        <v>0.282051282</v>
      </c>
      <c r="M119" s="74">
        <v>5.025318408</v>
      </c>
    </row>
    <row r="120">
      <c r="A120" s="1" t="s">
        <v>93</v>
      </c>
      <c r="B120" s="38">
        <v>669194.0</v>
      </c>
      <c r="C120" s="72">
        <v>45924.0</v>
      </c>
      <c r="D120" s="38">
        <v>91.0</v>
      </c>
      <c r="E120" s="73" t="str">
        <f>IFERROR(__xludf.DUMMYFUNCTION("average(filter('Appearance Sheet'!F:F,'Appearance Sheet'!G:G=B120,'Appearance Sheet'!A:A=C120))"),"#N/A")</f>
        <v>#N/A</v>
      </c>
      <c r="F120" s="67">
        <v>5.529653794</v>
      </c>
      <c r="G120" s="40">
        <v>1.10957863</v>
      </c>
      <c r="H120" s="40" t="str">
        <f t="shared" si="1"/>
        <v>#N/A</v>
      </c>
      <c r="I120" s="41">
        <v>0.593406593</v>
      </c>
      <c r="J120" s="41">
        <v>0.153846154</v>
      </c>
      <c r="K120" s="41">
        <v>0.252747253</v>
      </c>
      <c r="L120" s="41">
        <f t="shared" si="2"/>
        <v>0.34065934</v>
      </c>
      <c r="M120" s="74">
        <v>-2.543357986</v>
      </c>
    </row>
    <row r="121">
      <c r="A121" s="1" t="s">
        <v>77</v>
      </c>
      <c r="B121" s="38">
        <v>657277.0</v>
      </c>
      <c r="C121" s="72">
        <v>45810.0</v>
      </c>
      <c r="D121" s="38">
        <v>100.0</v>
      </c>
      <c r="E121" s="73">
        <f>IFERROR(__xludf.DUMMYFUNCTION("average(filter('Appearance Sheet'!F:F,'Appearance Sheet'!G:G=B121,'Appearance Sheet'!A:A=C121))"),8.0)</f>
        <v>8</v>
      </c>
      <c r="F121" s="67">
        <v>5.529017275</v>
      </c>
      <c r="G121" s="40">
        <v>1.224762746</v>
      </c>
      <c r="H121" s="40">
        <f t="shared" si="1"/>
        <v>1.377858089</v>
      </c>
      <c r="I121" s="41">
        <v>0.6</v>
      </c>
      <c r="J121" s="41">
        <v>0.1</v>
      </c>
      <c r="K121" s="41">
        <v>0.3</v>
      </c>
      <c r="L121" s="41">
        <f t="shared" si="2"/>
        <v>0.3</v>
      </c>
      <c r="M121" s="74">
        <v>-0.456569349</v>
      </c>
    </row>
    <row r="122">
      <c r="A122" s="1" t="s">
        <v>556</v>
      </c>
      <c r="B122" s="38">
        <v>696136.0</v>
      </c>
      <c r="C122" s="72">
        <v>45849.0</v>
      </c>
      <c r="D122" s="38">
        <v>66.0</v>
      </c>
      <c r="E122" s="73" t="str">
        <f>IFERROR(__xludf.DUMMYFUNCTION("average(filter('Appearance Sheet'!F:F,'Appearance Sheet'!G:G=B122,'Appearance Sheet'!A:A=C122))"),"#N/A")</f>
        <v>#N/A</v>
      </c>
      <c r="F122" s="67">
        <v>5.528807678</v>
      </c>
      <c r="G122" s="40">
        <v>0.841790491</v>
      </c>
      <c r="H122" s="40" t="str">
        <f t="shared" si="1"/>
        <v>#N/A</v>
      </c>
      <c r="I122" s="41">
        <v>0.560606061</v>
      </c>
      <c r="J122" s="41">
        <v>0.212121212</v>
      </c>
      <c r="K122" s="41">
        <v>0.227272727</v>
      </c>
      <c r="L122" s="41">
        <f t="shared" si="2"/>
        <v>0.333333334</v>
      </c>
      <c r="M122" s="74">
        <v>-6.146466671</v>
      </c>
    </row>
    <row r="123">
      <c r="A123" s="1" t="s">
        <v>169</v>
      </c>
      <c r="B123" s="38">
        <v>671096.0</v>
      </c>
      <c r="C123" s="72">
        <v>45842.0</v>
      </c>
      <c r="D123" s="38">
        <v>66.0</v>
      </c>
      <c r="E123" s="73">
        <f>IFERROR(__xludf.DUMMYFUNCTION("average(filter('Appearance Sheet'!F:F,'Appearance Sheet'!G:G=B123,'Appearance Sheet'!A:A=C123))"),3.3333333333333335)</f>
        <v>3.333333333</v>
      </c>
      <c r="F123" s="67">
        <v>5.527428758</v>
      </c>
      <c r="G123" s="40">
        <v>0.804097546</v>
      </c>
      <c r="H123" s="40">
        <f t="shared" si="1"/>
        <v>2.171063374</v>
      </c>
      <c r="I123" s="41">
        <v>0.560606061</v>
      </c>
      <c r="J123" s="41">
        <v>0.212121212</v>
      </c>
      <c r="K123" s="41">
        <v>0.227272727</v>
      </c>
      <c r="L123" s="41">
        <f t="shared" si="2"/>
        <v>0.333333334</v>
      </c>
      <c r="M123" s="74">
        <v>-4.572345058</v>
      </c>
    </row>
    <row r="124">
      <c r="A124" s="1" t="s">
        <v>555</v>
      </c>
      <c r="B124" s="38">
        <v>701656.0</v>
      </c>
      <c r="C124" s="72">
        <v>45797.0</v>
      </c>
      <c r="D124" s="38">
        <v>86.0</v>
      </c>
      <c r="E124" s="73">
        <f>IFERROR(__xludf.DUMMYFUNCTION("average(filter('Appearance Sheet'!F:F,'Appearance Sheet'!G:G=B124,'Appearance Sheet'!A:A=C124))"),5.0)</f>
        <v>5</v>
      </c>
      <c r="F124" s="67">
        <v>5.527337885</v>
      </c>
      <c r="G124" s="40">
        <v>1.04096903</v>
      </c>
      <c r="H124" s="40">
        <f t="shared" si="1"/>
        <v>1.873744254</v>
      </c>
      <c r="I124" s="41">
        <v>0.593023256</v>
      </c>
      <c r="J124" s="41">
        <v>0.11627907</v>
      </c>
      <c r="K124" s="41">
        <v>0.290697674</v>
      </c>
      <c r="L124" s="41">
        <f t="shared" si="2"/>
        <v>0.302325582</v>
      </c>
      <c r="M124" s="74">
        <v>2.672971091</v>
      </c>
    </row>
    <row r="125">
      <c r="A125" s="1" t="s">
        <v>339</v>
      </c>
      <c r="B125" s="38">
        <v>686613.0</v>
      </c>
      <c r="C125" s="72">
        <v>45768.0</v>
      </c>
      <c r="D125" s="38">
        <v>95.0</v>
      </c>
      <c r="E125" s="73">
        <f>IFERROR(__xludf.DUMMYFUNCTION("average(filter('Appearance Sheet'!F:F,'Appearance Sheet'!G:G=B125,'Appearance Sheet'!A:A=C125))"),7.0)</f>
        <v>7</v>
      </c>
      <c r="F125" s="67">
        <v>5.526790007</v>
      </c>
      <c r="G125" s="40">
        <v>1.183944379</v>
      </c>
      <c r="H125" s="40">
        <f t="shared" si="1"/>
        <v>1.522214202</v>
      </c>
      <c r="I125" s="41">
        <v>0.589473684</v>
      </c>
      <c r="J125" s="41">
        <v>0.147368421</v>
      </c>
      <c r="K125" s="41">
        <v>0.263157895</v>
      </c>
      <c r="L125" s="41">
        <f t="shared" si="2"/>
        <v>0.326315789</v>
      </c>
      <c r="M125" s="74">
        <v>3.697043559</v>
      </c>
    </row>
    <row r="126">
      <c r="A126" s="1" t="s">
        <v>242</v>
      </c>
      <c r="B126" s="38">
        <v>669358.0</v>
      </c>
      <c r="C126" s="72">
        <v>45834.0</v>
      </c>
      <c r="D126" s="38">
        <v>94.0</v>
      </c>
      <c r="E126" s="73">
        <f>IFERROR(__xludf.DUMMYFUNCTION("average(filter('Appearance Sheet'!F:F,'Appearance Sheet'!G:G=B126,'Appearance Sheet'!A:A=C126))"),8.0)</f>
        <v>8</v>
      </c>
      <c r="F126" s="67">
        <v>5.526732885</v>
      </c>
      <c r="G126" s="40">
        <v>1.193403751</v>
      </c>
      <c r="H126" s="40">
        <f t="shared" si="1"/>
        <v>1.34257922</v>
      </c>
      <c r="I126" s="41">
        <v>0.627659574</v>
      </c>
      <c r="J126" s="41">
        <v>0.138297872</v>
      </c>
      <c r="K126" s="41">
        <v>0.234042553</v>
      </c>
      <c r="L126" s="41">
        <f t="shared" si="2"/>
        <v>0.393617021</v>
      </c>
      <c r="M126" s="74">
        <v>1.940162645</v>
      </c>
    </row>
    <row r="127">
      <c r="A127" s="1" t="s">
        <v>303</v>
      </c>
      <c r="B127" s="38">
        <v>592662.0</v>
      </c>
      <c r="C127" s="72">
        <v>45768.0</v>
      </c>
      <c r="D127" s="38">
        <v>91.0</v>
      </c>
      <c r="E127" s="73">
        <f>IFERROR(__xludf.DUMMYFUNCTION("average(filter('Appearance Sheet'!F:F,'Appearance Sheet'!G:G=B127,'Appearance Sheet'!A:A=C127))"),5.0)</f>
        <v>5</v>
      </c>
      <c r="F127" s="67">
        <v>5.526484341</v>
      </c>
      <c r="G127" s="40">
        <v>1.129000835</v>
      </c>
      <c r="H127" s="40">
        <f t="shared" si="1"/>
        <v>2.032201503</v>
      </c>
      <c r="I127" s="41">
        <v>0.571428571</v>
      </c>
      <c r="J127" s="41">
        <v>0.153846154</v>
      </c>
      <c r="K127" s="41">
        <v>0.274725275</v>
      </c>
      <c r="L127" s="41">
        <f t="shared" si="2"/>
        <v>0.296703296</v>
      </c>
      <c r="M127" s="74">
        <v>-0.463640877</v>
      </c>
    </row>
    <row r="128">
      <c r="A128" s="1" t="s">
        <v>300</v>
      </c>
      <c r="B128" s="38">
        <v>506433.0</v>
      </c>
      <c r="C128" s="72">
        <v>45868.0</v>
      </c>
      <c r="D128" s="38">
        <v>74.0</v>
      </c>
      <c r="E128" s="73" t="str">
        <f>IFERROR(__xludf.DUMMYFUNCTION("average(filter('Appearance Sheet'!F:F,'Appearance Sheet'!G:G=B128,'Appearance Sheet'!A:A=C128))"),"#N/A")</f>
        <v>#N/A</v>
      </c>
      <c r="F128" s="67">
        <v>5.526215004</v>
      </c>
      <c r="G128" s="40">
        <v>0.948951563</v>
      </c>
      <c r="H128" s="40" t="str">
        <f t="shared" si="1"/>
        <v>#N/A</v>
      </c>
      <c r="I128" s="41">
        <v>0.581081081</v>
      </c>
      <c r="J128" s="41">
        <v>0.175675676</v>
      </c>
      <c r="K128" s="41">
        <v>0.243243243</v>
      </c>
      <c r="L128" s="41">
        <f t="shared" si="2"/>
        <v>0.337837838</v>
      </c>
      <c r="M128" s="74">
        <v>2.846526303</v>
      </c>
    </row>
    <row r="129">
      <c r="A129" s="1" t="s">
        <v>63</v>
      </c>
      <c r="B129" s="38">
        <v>687888.0</v>
      </c>
      <c r="C129" s="72">
        <v>45856.0</v>
      </c>
      <c r="D129" s="38">
        <v>92.0</v>
      </c>
      <c r="E129" s="73" t="str">
        <f>IFERROR(__xludf.DUMMYFUNCTION("average(filter('Appearance Sheet'!F:F,'Appearance Sheet'!G:G=B129,'Appearance Sheet'!A:A=C129))"),"#N/A")</f>
        <v>#N/A</v>
      </c>
      <c r="F129" s="67">
        <v>5.525974158</v>
      </c>
      <c r="G129" s="40">
        <v>1.14325093</v>
      </c>
      <c r="H129" s="40" t="str">
        <f t="shared" si="1"/>
        <v>#N/A</v>
      </c>
      <c r="I129" s="41">
        <v>0.576086957</v>
      </c>
      <c r="J129" s="41">
        <v>0.141304348</v>
      </c>
      <c r="K129" s="41">
        <v>0.282608696</v>
      </c>
      <c r="L129" s="41">
        <f t="shared" si="2"/>
        <v>0.293478261</v>
      </c>
      <c r="M129" s="74">
        <v>2.594037459</v>
      </c>
    </row>
    <row r="130">
      <c r="A130" s="1" t="s">
        <v>557</v>
      </c>
      <c r="B130" s="38">
        <v>696149.0</v>
      </c>
      <c r="C130" s="72">
        <v>45927.0</v>
      </c>
      <c r="D130" s="38">
        <v>80.0</v>
      </c>
      <c r="E130" s="73" t="str">
        <f>IFERROR(__xludf.DUMMYFUNCTION("average(filter('Appearance Sheet'!F:F,'Appearance Sheet'!G:G=B130,'Appearance Sheet'!A:A=C130))"),"#N/A")</f>
        <v>#N/A</v>
      </c>
      <c r="F130" s="67">
        <v>5.525256636</v>
      </c>
      <c r="G130" s="40">
        <v>1.003998623</v>
      </c>
      <c r="H130" s="40" t="str">
        <f t="shared" si="1"/>
        <v>#N/A</v>
      </c>
      <c r="I130" s="41">
        <v>0.5625</v>
      </c>
      <c r="J130" s="41">
        <v>0.0875</v>
      </c>
      <c r="K130" s="41">
        <v>0.35</v>
      </c>
      <c r="L130" s="41">
        <f t="shared" si="2"/>
        <v>0.2125</v>
      </c>
      <c r="M130" s="74">
        <v>-0.595321227</v>
      </c>
    </row>
    <row r="131">
      <c r="A131" s="1" t="s">
        <v>176</v>
      </c>
      <c r="B131" s="38">
        <v>686218.0</v>
      </c>
      <c r="C131" s="72">
        <v>45894.0</v>
      </c>
      <c r="D131" s="38">
        <v>96.0</v>
      </c>
      <c r="E131" s="73" t="str">
        <f>IFERROR(__xludf.DUMMYFUNCTION("average(filter('Appearance Sheet'!F:F,'Appearance Sheet'!G:G=B131,'Appearance Sheet'!A:A=C131))"),"#N/A")</f>
        <v>#N/A</v>
      </c>
      <c r="F131" s="67">
        <v>5.524702598</v>
      </c>
      <c r="G131" s="40">
        <v>1.176903426</v>
      </c>
      <c r="H131" s="40" t="str">
        <f t="shared" si="1"/>
        <v>#N/A</v>
      </c>
      <c r="I131" s="41">
        <v>0.53125</v>
      </c>
      <c r="J131" s="41">
        <v>0.208333333</v>
      </c>
      <c r="K131" s="41">
        <v>0.260416667</v>
      </c>
      <c r="L131" s="41">
        <f t="shared" si="2"/>
        <v>0.270833333</v>
      </c>
      <c r="M131" s="74">
        <v>2.856981243</v>
      </c>
    </row>
    <row r="132">
      <c r="A132" s="1" t="s">
        <v>35</v>
      </c>
      <c r="B132" s="38">
        <v>676083.0</v>
      </c>
      <c r="C132" s="72">
        <v>45864.0</v>
      </c>
      <c r="D132" s="38">
        <v>80.0</v>
      </c>
      <c r="E132" s="73" t="str">
        <f>IFERROR(__xludf.DUMMYFUNCTION("average(filter('Appearance Sheet'!F:F,'Appearance Sheet'!G:G=B132,'Appearance Sheet'!A:A=C132))"),"#N/A")</f>
        <v>#N/A</v>
      </c>
      <c r="F132" s="67">
        <v>5.523161613</v>
      </c>
      <c r="G132" s="40">
        <v>0.979302525</v>
      </c>
      <c r="H132" s="40" t="str">
        <f t="shared" si="1"/>
        <v>#N/A</v>
      </c>
      <c r="I132" s="41">
        <v>0.5875</v>
      </c>
      <c r="J132" s="41">
        <v>0.2</v>
      </c>
      <c r="K132" s="41">
        <v>0.2125</v>
      </c>
      <c r="L132" s="41">
        <f t="shared" si="2"/>
        <v>0.375</v>
      </c>
      <c r="M132" s="74">
        <v>-2.55017727</v>
      </c>
    </row>
    <row r="133">
      <c r="A133" s="1" t="s">
        <v>90</v>
      </c>
      <c r="B133" s="38">
        <v>693433.0</v>
      </c>
      <c r="C133" s="72">
        <v>45874.0</v>
      </c>
      <c r="D133" s="38">
        <v>80.0</v>
      </c>
      <c r="E133" s="73" t="str">
        <f>IFERROR(__xludf.DUMMYFUNCTION("average(filter('Appearance Sheet'!F:F,'Appearance Sheet'!G:G=B133,'Appearance Sheet'!A:A=C133))"),"#N/A")</f>
        <v>#N/A</v>
      </c>
      <c r="F133" s="67">
        <v>5.522045536</v>
      </c>
      <c r="G133" s="40">
        <v>1.000890711</v>
      </c>
      <c r="H133" s="40" t="str">
        <f t="shared" si="1"/>
        <v>#N/A</v>
      </c>
      <c r="I133" s="41">
        <v>0.6</v>
      </c>
      <c r="J133" s="41">
        <v>0.125</v>
      </c>
      <c r="K133" s="41">
        <v>0.275</v>
      </c>
      <c r="L133" s="41">
        <f t="shared" si="2"/>
        <v>0.325</v>
      </c>
      <c r="M133" s="74">
        <v>1.954631269</v>
      </c>
    </row>
    <row r="134">
      <c r="A134" s="1" t="s">
        <v>93</v>
      </c>
      <c r="B134" s="38">
        <v>669194.0</v>
      </c>
      <c r="C134" s="72">
        <v>45880.0</v>
      </c>
      <c r="D134" s="38">
        <v>94.0</v>
      </c>
      <c r="E134" s="73" t="str">
        <f>IFERROR(__xludf.DUMMYFUNCTION("average(filter('Appearance Sheet'!F:F,'Appearance Sheet'!G:G=B134,'Appearance Sheet'!A:A=C134))"),"#N/A")</f>
        <v>#N/A</v>
      </c>
      <c r="F134" s="67">
        <v>5.520643118</v>
      </c>
      <c r="G134" s="40">
        <v>1.153100298</v>
      </c>
      <c r="H134" s="40" t="str">
        <f t="shared" si="1"/>
        <v>#N/A</v>
      </c>
      <c r="I134" s="41">
        <v>0.64893617</v>
      </c>
      <c r="J134" s="41">
        <v>0.085106383</v>
      </c>
      <c r="K134" s="41">
        <v>0.265957447</v>
      </c>
      <c r="L134" s="41">
        <f t="shared" si="2"/>
        <v>0.382978723</v>
      </c>
      <c r="M134" s="74">
        <v>-1.910957665</v>
      </c>
    </row>
    <row r="135">
      <c r="A135" s="1" t="s">
        <v>97</v>
      </c>
      <c r="B135" s="38">
        <v>656876.0</v>
      </c>
      <c r="C135" s="72">
        <v>45866.0</v>
      </c>
      <c r="D135" s="38">
        <v>79.0</v>
      </c>
      <c r="E135" s="73" t="str">
        <f>IFERROR(__xludf.DUMMYFUNCTION("average(filter('Appearance Sheet'!F:F,'Appearance Sheet'!G:G=B135,'Appearance Sheet'!A:A=C135))"),"#N/A")</f>
        <v>#N/A</v>
      </c>
      <c r="F135" s="67">
        <v>5.518044587</v>
      </c>
      <c r="G135" s="40">
        <v>1.00580525</v>
      </c>
      <c r="H135" s="40" t="str">
        <f t="shared" si="1"/>
        <v>#N/A</v>
      </c>
      <c r="I135" s="41">
        <v>0.594936709</v>
      </c>
      <c r="J135" s="41">
        <v>0.164556962</v>
      </c>
      <c r="K135" s="41">
        <v>0.240506329</v>
      </c>
      <c r="L135" s="41">
        <f t="shared" si="2"/>
        <v>0.35443038</v>
      </c>
      <c r="M135" s="74">
        <v>1.218085257</v>
      </c>
    </row>
    <row r="136">
      <c r="A136" s="1" t="s">
        <v>251</v>
      </c>
      <c r="B136" s="38">
        <v>676664.0</v>
      </c>
      <c r="C136" s="72">
        <v>45758.0</v>
      </c>
      <c r="D136" s="38">
        <v>98.0</v>
      </c>
      <c r="E136" s="73">
        <f>IFERROR(__xludf.DUMMYFUNCTION("average(filter('Appearance Sheet'!F:F,'Appearance Sheet'!G:G=B136,'Appearance Sheet'!A:A=C136))"),4.0)</f>
        <v>4</v>
      </c>
      <c r="F136" s="67">
        <v>5.51645792</v>
      </c>
      <c r="G136" s="40">
        <v>1.166010474</v>
      </c>
      <c r="H136" s="40">
        <f t="shared" si="1"/>
        <v>2.623523567</v>
      </c>
      <c r="I136" s="41">
        <v>0.530612245</v>
      </c>
      <c r="J136" s="41">
        <v>0.183673469</v>
      </c>
      <c r="K136" s="41">
        <v>0.285714286</v>
      </c>
      <c r="L136" s="41">
        <f t="shared" si="2"/>
        <v>0.244897959</v>
      </c>
      <c r="M136" s="74">
        <v>-0.968674178</v>
      </c>
    </row>
    <row r="137">
      <c r="A137" s="1" t="s">
        <v>104</v>
      </c>
      <c r="B137" s="38">
        <v>676508.0</v>
      </c>
      <c r="C137" s="72">
        <v>45830.0</v>
      </c>
      <c r="D137" s="38">
        <v>76.0</v>
      </c>
      <c r="E137" s="73">
        <f>IFERROR(__xludf.DUMMYFUNCTION("average(filter('Appearance Sheet'!F:F,'Appearance Sheet'!G:G=B137,'Appearance Sheet'!A:A=C137))"),5.0)</f>
        <v>5</v>
      </c>
      <c r="F137" s="67">
        <v>5.515527046</v>
      </c>
      <c r="G137" s="40">
        <v>0.973722255</v>
      </c>
      <c r="H137" s="40">
        <f t="shared" si="1"/>
        <v>1.752700059</v>
      </c>
      <c r="I137" s="41">
        <v>0.565789474</v>
      </c>
      <c r="J137" s="41">
        <v>0.157894737</v>
      </c>
      <c r="K137" s="41">
        <v>0.276315789</v>
      </c>
      <c r="L137" s="41">
        <f t="shared" si="2"/>
        <v>0.289473685</v>
      </c>
      <c r="M137" s="74">
        <v>-1.227823239</v>
      </c>
    </row>
    <row r="138">
      <c r="A138" s="1" t="s">
        <v>180</v>
      </c>
      <c r="B138" s="38">
        <v>642547.0</v>
      </c>
      <c r="C138" s="72">
        <v>45910.0</v>
      </c>
      <c r="D138" s="38">
        <v>112.0</v>
      </c>
      <c r="E138" s="73" t="str">
        <f>IFERROR(__xludf.DUMMYFUNCTION("average(filter('Appearance Sheet'!F:F,'Appearance Sheet'!G:G=B138,'Appearance Sheet'!A:A=C138))"),"#N/A")</f>
        <v>#N/A</v>
      </c>
      <c r="F138" s="67">
        <v>5.515488926</v>
      </c>
      <c r="G138" s="40">
        <v>1.377025358</v>
      </c>
      <c r="H138" s="40" t="str">
        <f t="shared" si="1"/>
        <v>#N/A</v>
      </c>
      <c r="I138" s="41">
        <v>0.5625</v>
      </c>
      <c r="J138" s="41">
        <v>0.1875</v>
      </c>
      <c r="K138" s="41">
        <v>0.25</v>
      </c>
      <c r="L138" s="41">
        <f t="shared" si="2"/>
        <v>0.3125</v>
      </c>
      <c r="M138" s="74">
        <v>0.12022215</v>
      </c>
    </row>
    <row r="139">
      <c r="A139" s="1" t="s">
        <v>85</v>
      </c>
      <c r="B139" s="38">
        <v>808967.0</v>
      </c>
      <c r="C139" s="72">
        <v>45912.0</v>
      </c>
      <c r="D139" s="38">
        <v>88.0</v>
      </c>
      <c r="E139" s="73" t="str">
        <f>IFERROR(__xludf.DUMMYFUNCTION("average(filter('Appearance Sheet'!F:F,'Appearance Sheet'!G:G=B139,'Appearance Sheet'!A:A=C139))"),"#N/A")</f>
        <v>#N/A</v>
      </c>
      <c r="F139" s="67">
        <v>5.514549195</v>
      </c>
      <c r="G139" s="40">
        <v>1.089927112</v>
      </c>
      <c r="H139" s="40" t="str">
        <f t="shared" si="1"/>
        <v>#N/A</v>
      </c>
      <c r="I139" s="41">
        <v>0.545454545</v>
      </c>
      <c r="J139" s="41">
        <v>0.238636364</v>
      </c>
      <c r="K139" s="41">
        <v>0.215909091</v>
      </c>
      <c r="L139" s="41">
        <f t="shared" si="2"/>
        <v>0.329545454</v>
      </c>
      <c r="M139" s="74">
        <v>4.788697261</v>
      </c>
    </row>
    <row r="140">
      <c r="A140" s="1" t="s">
        <v>166</v>
      </c>
      <c r="B140" s="38">
        <v>608331.0</v>
      </c>
      <c r="C140" s="72">
        <v>45795.0</v>
      </c>
      <c r="D140" s="38">
        <v>99.0</v>
      </c>
      <c r="E140" s="73">
        <f>IFERROR(__xludf.DUMMYFUNCTION("average(filter('Appearance Sheet'!F:F,'Appearance Sheet'!G:G=B140,'Appearance Sheet'!A:A=C140))"),6.0)</f>
        <v>6</v>
      </c>
      <c r="F140" s="67">
        <v>5.514425595</v>
      </c>
      <c r="G140" s="40">
        <v>1.174212066</v>
      </c>
      <c r="H140" s="40">
        <f t="shared" si="1"/>
        <v>1.761318099</v>
      </c>
      <c r="I140" s="41">
        <v>0.525252525</v>
      </c>
      <c r="J140" s="41">
        <v>0.141414141</v>
      </c>
      <c r="K140" s="41">
        <v>0.333333333</v>
      </c>
      <c r="L140" s="41">
        <f t="shared" si="2"/>
        <v>0.191919192</v>
      </c>
      <c r="M140" s="74">
        <v>2.632474308</v>
      </c>
    </row>
    <row r="141">
      <c r="A141" s="1" t="s">
        <v>386</v>
      </c>
      <c r="B141" s="38">
        <v>656731.0</v>
      </c>
      <c r="C141" s="72">
        <v>45787.0</v>
      </c>
      <c r="D141" s="38">
        <v>76.0</v>
      </c>
      <c r="E141" s="73">
        <f>IFERROR(__xludf.DUMMYFUNCTION("average(filter('Appearance Sheet'!F:F,'Appearance Sheet'!G:G=B141,'Appearance Sheet'!A:A=C141))"),4.666666666666667)</f>
        <v>4.666666667</v>
      </c>
      <c r="F141" s="67">
        <v>5.514282145</v>
      </c>
      <c r="G141" s="40">
        <v>0.917213552</v>
      </c>
      <c r="H141" s="40">
        <f t="shared" si="1"/>
        <v>1.76891185</v>
      </c>
      <c r="I141" s="41">
        <v>0.618421053</v>
      </c>
      <c r="J141" s="41">
        <v>0.171052632</v>
      </c>
      <c r="K141" s="41">
        <v>0.210526316</v>
      </c>
      <c r="L141" s="41">
        <f t="shared" si="2"/>
        <v>0.407894737</v>
      </c>
      <c r="M141" s="74">
        <v>-2.315444598</v>
      </c>
    </row>
    <row r="142">
      <c r="A142" s="1" t="s">
        <v>152</v>
      </c>
      <c r="B142" s="38">
        <v>690916.0</v>
      </c>
      <c r="C142" s="72">
        <v>45845.0</v>
      </c>
      <c r="D142" s="38">
        <v>89.0</v>
      </c>
      <c r="E142" s="73" t="str">
        <f>IFERROR(__xludf.DUMMYFUNCTION("average(filter('Appearance Sheet'!F:F,'Appearance Sheet'!G:G=B142,'Appearance Sheet'!A:A=C142))"),"#N/A")</f>
        <v>#N/A</v>
      </c>
      <c r="F142" s="67">
        <v>5.513313073</v>
      </c>
      <c r="G142" s="40">
        <v>1.095342648</v>
      </c>
      <c r="H142" s="40" t="str">
        <f t="shared" si="1"/>
        <v>#N/A</v>
      </c>
      <c r="I142" s="41">
        <v>0.561797753</v>
      </c>
      <c r="J142" s="41">
        <v>0.157303371</v>
      </c>
      <c r="K142" s="41">
        <v>0.280898876</v>
      </c>
      <c r="L142" s="41">
        <f t="shared" si="2"/>
        <v>0.280898877</v>
      </c>
      <c r="M142" s="74">
        <v>0.007665734</v>
      </c>
    </row>
    <row r="143">
      <c r="A143" s="1" t="s">
        <v>232</v>
      </c>
      <c r="B143" s="38">
        <v>579328.0</v>
      </c>
      <c r="C143" s="72">
        <v>45873.0</v>
      </c>
      <c r="D143" s="38">
        <v>105.0</v>
      </c>
      <c r="E143" s="73" t="str">
        <f>IFERROR(__xludf.DUMMYFUNCTION("average(filter('Appearance Sheet'!F:F,'Appearance Sheet'!G:G=B143,'Appearance Sheet'!A:A=C143))"),"#N/A")</f>
        <v>#N/A</v>
      </c>
      <c r="F143" s="67">
        <v>5.512912953</v>
      </c>
      <c r="G143" s="40">
        <v>1.296455956</v>
      </c>
      <c r="H143" s="40" t="str">
        <f t="shared" si="1"/>
        <v>#N/A</v>
      </c>
      <c r="I143" s="41">
        <v>0.571428571</v>
      </c>
      <c r="J143" s="41">
        <v>0.180952381</v>
      </c>
      <c r="K143" s="41">
        <v>0.247619048</v>
      </c>
      <c r="L143" s="41">
        <f t="shared" si="2"/>
        <v>0.323809523</v>
      </c>
      <c r="M143" s="74">
        <v>2.18112263</v>
      </c>
    </row>
    <row r="144">
      <c r="A144" s="1" t="s">
        <v>161</v>
      </c>
      <c r="B144" s="38">
        <v>702070.0</v>
      </c>
      <c r="C144" s="72">
        <v>45894.0</v>
      </c>
      <c r="D144" s="38">
        <v>87.0</v>
      </c>
      <c r="E144" s="73" t="str">
        <f>IFERROR(__xludf.DUMMYFUNCTION("average(filter('Appearance Sheet'!F:F,'Appearance Sheet'!G:G=B144,'Appearance Sheet'!A:A=C144))"),"#N/A")</f>
        <v>#N/A</v>
      </c>
      <c r="F144" s="67">
        <v>5.510804447</v>
      </c>
      <c r="G144" s="40">
        <v>1.109954002</v>
      </c>
      <c r="H144" s="40" t="str">
        <f t="shared" si="1"/>
        <v>#N/A</v>
      </c>
      <c r="I144" s="41">
        <v>0.528735632</v>
      </c>
      <c r="J144" s="41">
        <v>0.183908046</v>
      </c>
      <c r="K144" s="41">
        <v>0.287356322</v>
      </c>
      <c r="L144" s="41">
        <f t="shared" si="2"/>
        <v>0.24137931</v>
      </c>
      <c r="M144" s="74">
        <v>-2.825754093</v>
      </c>
    </row>
    <row r="145">
      <c r="A145" s="1" t="s">
        <v>158</v>
      </c>
      <c r="B145" s="38">
        <v>608372.0</v>
      </c>
      <c r="C145" s="72">
        <v>45900.0</v>
      </c>
      <c r="D145" s="38">
        <v>79.0</v>
      </c>
      <c r="E145" s="73" t="str">
        <f>IFERROR(__xludf.DUMMYFUNCTION("average(filter('Appearance Sheet'!F:F,'Appearance Sheet'!G:G=B145,'Appearance Sheet'!A:A=C145))"),"#N/A")</f>
        <v>#N/A</v>
      </c>
      <c r="F145" s="67">
        <v>5.510644978</v>
      </c>
      <c r="G145" s="40">
        <v>0.968470324</v>
      </c>
      <c r="H145" s="40" t="str">
        <f t="shared" si="1"/>
        <v>#N/A</v>
      </c>
      <c r="I145" s="41">
        <v>0.544303797</v>
      </c>
      <c r="J145" s="41">
        <v>0.101265823</v>
      </c>
      <c r="K145" s="41">
        <v>0.35443038</v>
      </c>
      <c r="L145" s="41">
        <f t="shared" si="2"/>
        <v>0.189873417</v>
      </c>
      <c r="M145" s="74">
        <v>-5.84831583</v>
      </c>
    </row>
    <row r="146">
      <c r="A146" s="1" t="s">
        <v>126</v>
      </c>
      <c r="B146" s="38">
        <v>701487.0</v>
      </c>
      <c r="C146" s="72">
        <v>45884.0</v>
      </c>
      <c r="D146" s="38">
        <v>63.0</v>
      </c>
      <c r="E146" s="73" t="str">
        <f>IFERROR(__xludf.DUMMYFUNCTION("average(filter('Appearance Sheet'!F:F,'Appearance Sheet'!G:G=B146,'Appearance Sheet'!A:A=C146))"),"#N/A")</f>
        <v>#N/A</v>
      </c>
      <c r="F146" s="67">
        <v>5.510459316</v>
      </c>
      <c r="G146" s="40">
        <v>0.74829681</v>
      </c>
      <c r="H146" s="40" t="str">
        <f t="shared" si="1"/>
        <v>#N/A</v>
      </c>
      <c r="I146" s="41">
        <v>0.650793651</v>
      </c>
      <c r="J146" s="41">
        <v>0.095238095</v>
      </c>
      <c r="K146" s="41">
        <v>0.253968254</v>
      </c>
      <c r="L146" s="41">
        <f t="shared" si="2"/>
        <v>0.396825397</v>
      </c>
      <c r="M146" s="74">
        <v>-3.183210076</v>
      </c>
    </row>
    <row r="147">
      <c r="A147" s="1" t="s">
        <v>55</v>
      </c>
      <c r="B147" s="38">
        <v>641816.0</v>
      </c>
      <c r="C147" s="72">
        <v>45756.0</v>
      </c>
      <c r="D147" s="38">
        <v>93.0</v>
      </c>
      <c r="E147" s="73">
        <f>IFERROR(__xludf.DUMMYFUNCTION("average(filter('Appearance Sheet'!F:F,'Appearance Sheet'!G:G=B147,'Appearance Sheet'!A:A=C147))"),7.0)</f>
        <v>7</v>
      </c>
      <c r="F147" s="67">
        <v>5.509918828</v>
      </c>
      <c r="G147" s="40">
        <v>1.147164629</v>
      </c>
      <c r="H147" s="40">
        <f t="shared" si="1"/>
        <v>1.474925952</v>
      </c>
      <c r="I147" s="41">
        <v>0.52688172</v>
      </c>
      <c r="J147" s="41">
        <v>0.182795699</v>
      </c>
      <c r="K147" s="41">
        <v>0.290322581</v>
      </c>
      <c r="L147" s="41">
        <f t="shared" si="2"/>
        <v>0.236559139</v>
      </c>
      <c r="M147" s="74">
        <v>2.774175021</v>
      </c>
    </row>
    <row r="148">
      <c r="A148" s="1" t="s">
        <v>67</v>
      </c>
      <c r="B148" s="38">
        <v>684007.0</v>
      </c>
      <c r="C148" s="72">
        <v>45776.0</v>
      </c>
      <c r="D148" s="38">
        <v>85.0</v>
      </c>
      <c r="E148" s="73">
        <f>IFERROR(__xludf.DUMMYFUNCTION("average(filter('Appearance Sheet'!F:F,'Appearance Sheet'!G:G=B148,'Appearance Sheet'!A:A=C148))"),5.0)</f>
        <v>5</v>
      </c>
      <c r="F148" s="67">
        <v>5.508555798</v>
      </c>
      <c r="G148" s="40">
        <v>1.094321403</v>
      </c>
      <c r="H148" s="40">
        <f t="shared" si="1"/>
        <v>1.969778525</v>
      </c>
      <c r="I148" s="41">
        <v>0.552941176</v>
      </c>
      <c r="J148" s="41">
        <v>0.129411765</v>
      </c>
      <c r="K148" s="41">
        <v>0.317647059</v>
      </c>
      <c r="L148" s="41">
        <f t="shared" si="2"/>
        <v>0.235294117</v>
      </c>
      <c r="M148" s="74">
        <v>-0.881301184</v>
      </c>
    </row>
    <row r="149">
      <c r="A149" s="1" t="s">
        <v>242</v>
      </c>
      <c r="B149" s="38">
        <v>669358.0</v>
      </c>
      <c r="C149" s="72">
        <v>45761.0</v>
      </c>
      <c r="D149" s="38">
        <v>96.0</v>
      </c>
      <c r="E149" s="73">
        <f>IFERROR(__xludf.DUMMYFUNCTION("average(filter('Appearance Sheet'!F:F,'Appearance Sheet'!G:G=B149,'Appearance Sheet'!A:A=C149))"),6.0)</f>
        <v>6</v>
      </c>
      <c r="F149" s="67">
        <v>5.508181315</v>
      </c>
      <c r="G149" s="40">
        <v>1.167471485</v>
      </c>
      <c r="H149" s="40">
        <f t="shared" si="1"/>
        <v>1.751207228</v>
      </c>
      <c r="I149" s="41">
        <v>0.583333333</v>
      </c>
      <c r="J149" s="41">
        <v>0.15625</v>
      </c>
      <c r="K149" s="41">
        <v>0.260416667</v>
      </c>
      <c r="L149" s="41">
        <f t="shared" si="2"/>
        <v>0.322916666</v>
      </c>
      <c r="M149" s="74">
        <v>4.31983213</v>
      </c>
    </row>
    <row r="150">
      <c r="A150" s="1" t="s">
        <v>173</v>
      </c>
      <c r="B150" s="38">
        <v>641927.0</v>
      </c>
      <c r="C150" s="72">
        <v>45925.0</v>
      </c>
      <c r="D150" s="38">
        <v>70.0</v>
      </c>
      <c r="E150" s="73" t="str">
        <f>IFERROR(__xludf.DUMMYFUNCTION("average(filter('Appearance Sheet'!F:F,'Appearance Sheet'!G:G=B150,'Appearance Sheet'!A:A=C150))"),"#N/A")</f>
        <v>#N/A</v>
      </c>
      <c r="F150" s="67">
        <v>5.50804035</v>
      </c>
      <c r="G150" s="40">
        <v>0.894444879</v>
      </c>
      <c r="H150" s="40" t="str">
        <f t="shared" si="1"/>
        <v>#N/A</v>
      </c>
      <c r="I150" s="41">
        <v>0.571428571</v>
      </c>
      <c r="J150" s="41">
        <v>0.142857143</v>
      </c>
      <c r="K150" s="41">
        <v>0.285714286</v>
      </c>
      <c r="L150" s="41">
        <f t="shared" si="2"/>
        <v>0.285714285</v>
      </c>
      <c r="M150" s="74">
        <v>1.946732703</v>
      </c>
    </row>
    <row r="151">
      <c r="A151" s="1" t="s">
        <v>57</v>
      </c>
      <c r="B151" s="38">
        <v>594798.0</v>
      </c>
      <c r="C151" s="72">
        <v>45912.0</v>
      </c>
      <c r="D151" s="38">
        <v>88.0</v>
      </c>
      <c r="E151" s="73" t="str">
        <f>IFERROR(__xludf.DUMMYFUNCTION("average(filter('Appearance Sheet'!F:F,'Appearance Sheet'!G:G=B151,'Appearance Sheet'!A:A=C151))"),"#N/A")</f>
        <v>#N/A</v>
      </c>
      <c r="F151" s="67">
        <v>5.507296385</v>
      </c>
      <c r="G151" s="40">
        <v>1.15016191</v>
      </c>
      <c r="H151" s="40" t="str">
        <f t="shared" si="1"/>
        <v>#N/A</v>
      </c>
      <c r="I151" s="41">
        <v>0.602272727</v>
      </c>
      <c r="J151" s="41">
        <v>0.147727273</v>
      </c>
      <c r="K151" s="41">
        <v>0.25</v>
      </c>
      <c r="L151" s="41">
        <f t="shared" si="2"/>
        <v>0.352272727</v>
      </c>
      <c r="M151" s="74">
        <v>0.255497245</v>
      </c>
    </row>
    <row r="152">
      <c r="A152" s="1" t="s">
        <v>150</v>
      </c>
      <c r="B152" s="38">
        <v>657746.0</v>
      </c>
      <c r="C152" s="72">
        <v>45839.0</v>
      </c>
      <c r="D152" s="38">
        <v>87.0</v>
      </c>
      <c r="E152" s="73">
        <f>IFERROR(__xludf.DUMMYFUNCTION("average(filter('Appearance Sheet'!F:F,'Appearance Sheet'!G:G=B152,'Appearance Sheet'!A:A=C152))"),7.0)</f>
        <v>7</v>
      </c>
      <c r="F152" s="67">
        <v>5.507204978</v>
      </c>
      <c r="G152" s="40">
        <v>1.127536896</v>
      </c>
      <c r="H152" s="40">
        <f t="shared" si="1"/>
        <v>1.449690295</v>
      </c>
      <c r="I152" s="41">
        <v>0.551724138</v>
      </c>
      <c r="J152" s="41">
        <v>0.183908046</v>
      </c>
      <c r="K152" s="41">
        <v>0.264367816</v>
      </c>
      <c r="L152" s="41">
        <f t="shared" si="2"/>
        <v>0.287356322</v>
      </c>
      <c r="M152" s="74">
        <v>-0.598551395</v>
      </c>
    </row>
    <row r="153">
      <c r="A153" s="1" t="s">
        <v>85</v>
      </c>
      <c r="B153" s="38">
        <v>808967.0</v>
      </c>
      <c r="C153" s="72">
        <v>45851.0</v>
      </c>
      <c r="D153" s="38">
        <v>87.0</v>
      </c>
      <c r="E153" s="73" t="str">
        <f>IFERROR(__xludf.DUMMYFUNCTION("average(filter('Appearance Sheet'!F:F,'Appearance Sheet'!G:G=B153,'Appearance Sheet'!A:A=C153))"),"#N/A")</f>
        <v>#N/A</v>
      </c>
      <c r="F153" s="67">
        <v>5.506599652</v>
      </c>
      <c r="G153" s="40">
        <v>1.12517363</v>
      </c>
      <c r="H153" s="40" t="str">
        <f t="shared" si="1"/>
        <v>#N/A</v>
      </c>
      <c r="I153" s="41">
        <v>0.551724138</v>
      </c>
      <c r="J153" s="41">
        <v>0.218390805</v>
      </c>
      <c r="K153" s="41">
        <v>0.229885057</v>
      </c>
      <c r="L153" s="41">
        <f t="shared" si="2"/>
        <v>0.321839081</v>
      </c>
      <c r="M153" s="74">
        <v>2.482701062</v>
      </c>
    </row>
    <row r="154">
      <c r="A154" s="1" t="s">
        <v>129</v>
      </c>
      <c r="B154" s="38">
        <v>686752.0</v>
      </c>
      <c r="C154" s="72">
        <v>45756.0</v>
      </c>
      <c r="D154" s="38">
        <v>89.0</v>
      </c>
      <c r="E154" s="73">
        <f>IFERROR(__xludf.DUMMYFUNCTION("average(filter('Appearance Sheet'!F:F,'Appearance Sheet'!G:G=B154,'Appearance Sheet'!A:A=C154))"),5.0)</f>
        <v>5</v>
      </c>
      <c r="F154" s="67">
        <v>5.506518343</v>
      </c>
      <c r="G154" s="40">
        <v>1.137644622</v>
      </c>
      <c r="H154" s="40">
        <f t="shared" si="1"/>
        <v>2.04776032</v>
      </c>
      <c r="I154" s="41">
        <v>0.573033708</v>
      </c>
      <c r="J154" s="41">
        <v>0.213483146</v>
      </c>
      <c r="K154" s="41">
        <v>0.213483146</v>
      </c>
      <c r="L154" s="41">
        <f t="shared" si="2"/>
        <v>0.359550562</v>
      </c>
      <c r="M154" s="74">
        <v>-1.811206739</v>
      </c>
    </row>
    <row r="155">
      <c r="A155" s="1" t="s">
        <v>232</v>
      </c>
      <c r="B155" s="38">
        <v>579328.0</v>
      </c>
      <c r="C155" s="72">
        <v>45762.0</v>
      </c>
      <c r="D155" s="38">
        <v>76.0</v>
      </c>
      <c r="E155" s="73">
        <f>IFERROR(__xludf.DUMMYFUNCTION("average(filter('Appearance Sheet'!F:F,'Appearance Sheet'!G:G=B155,'Appearance Sheet'!A:A=C155))"),6.0)</f>
        <v>6</v>
      </c>
      <c r="F155" s="67">
        <v>5.506382706</v>
      </c>
      <c r="G155" s="40">
        <v>0.958163264</v>
      </c>
      <c r="H155" s="40">
        <f t="shared" si="1"/>
        <v>1.437244896</v>
      </c>
      <c r="I155" s="41">
        <v>0.552631579</v>
      </c>
      <c r="J155" s="41">
        <v>0.144736842</v>
      </c>
      <c r="K155" s="41">
        <v>0.302631579</v>
      </c>
      <c r="L155" s="41">
        <f t="shared" si="2"/>
        <v>0.25</v>
      </c>
      <c r="M155" s="74">
        <v>2.076894176</v>
      </c>
    </row>
    <row r="156">
      <c r="A156" s="1" t="s">
        <v>73</v>
      </c>
      <c r="B156" s="38">
        <v>668881.0</v>
      </c>
      <c r="C156" s="72">
        <v>45888.0</v>
      </c>
      <c r="D156" s="38">
        <v>97.0</v>
      </c>
      <c r="E156" s="73" t="str">
        <f>IFERROR(__xludf.DUMMYFUNCTION("average(filter('Appearance Sheet'!F:F,'Appearance Sheet'!G:G=B156,'Appearance Sheet'!A:A=C156))"),"#N/A")</f>
        <v>#N/A</v>
      </c>
      <c r="F156" s="67">
        <v>5.505515898</v>
      </c>
      <c r="G156" s="40">
        <v>1.2128985</v>
      </c>
      <c r="H156" s="40" t="str">
        <f t="shared" si="1"/>
        <v>#N/A</v>
      </c>
      <c r="I156" s="41">
        <v>0.567010309</v>
      </c>
      <c r="J156" s="41">
        <v>0.206185567</v>
      </c>
      <c r="K156" s="41">
        <v>0.226804124</v>
      </c>
      <c r="L156" s="41">
        <f t="shared" si="2"/>
        <v>0.340206185</v>
      </c>
      <c r="M156" s="74">
        <v>-0.650503443</v>
      </c>
    </row>
    <row r="157">
      <c r="A157" s="1" t="s">
        <v>209</v>
      </c>
      <c r="B157" s="38">
        <v>694738.0</v>
      </c>
      <c r="C157" s="72">
        <v>45850.0</v>
      </c>
      <c r="D157" s="38">
        <v>103.0</v>
      </c>
      <c r="E157" s="73" t="str">
        <f>IFERROR(__xludf.DUMMYFUNCTION("average(filter('Appearance Sheet'!F:F,'Appearance Sheet'!G:G=B157,'Appearance Sheet'!A:A=C157))"),"#N/A")</f>
        <v>#N/A</v>
      </c>
      <c r="F157" s="67">
        <v>5.505508214</v>
      </c>
      <c r="G157" s="40">
        <v>1.253735523</v>
      </c>
      <c r="H157" s="40" t="str">
        <f t="shared" si="1"/>
        <v>#N/A</v>
      </c>
      <c r="I157" s="41">
        <v>0.553398058</v>
      </c>
      <c r="J157" s="41">
        <v>0.184466019</v>
      </c>
      <c r="K157" s="41">
        <v>0.262135922</v>
      </c>
      <c r="L157" s="41">
        <f t="shared" si="2"/>
        <v>0.291262136</v>
      </c>
      <c r="M157" s="74">
        <v>-0.485133351</v>
      </c>
    </row>
    <row r="158">
      <c r="A158" s="1" t="s">
        <v>79</v>
      </c>
      <c r="B158" s="38">
        <v>554430.0</v>
      </c>
      <c r="C158" s="72">
        <v>45850.0</v>
      </c>
      <c r="D158" s="38">
        <v>105.0</v>
      </c>
      <c r="E158" s="73" t="str">
        <f>IFERROR(__xludf.DUMMYFUNCTION("average(filter('Appearance Sheet'!F:F,'Appearance Sheet'!G:G=B158,'Appearance Sheet'!A:A=C158))"),"#N/A")</f>
        <v>#N/A</v>
      </c>
      <c r="F158" s="67">
        <v>5.504452479</v>
      </c>
      <c r="G158" s="40">
        <v>1.341323354</v>
      </c>
      <c r="H158" s="40" t="str">
        <f t="shared" si="1"/>
        <v>#N/A</v>
      </c>
      <c r="I158" s="41">
        <v>0.523809524</v>
      </c>
      <c r="J158" s="41">
        <v>0.180952381</v>
      </c>
      <c r="K158" s="41">
        <v>0.295238095</v>
      </c>
      <c r="L158" s="41">
        <f t="shared" si="2"/>
        <v>0.228571429</v>
      </c>
      <c r="M158" s="74">
        <v>-0.902604164</v>
      </c>
    </row>
    <row r="159">
      <c r="A159" s="1" t="s">
        <v>361</v>
      </c>
      <c r="B159" s="38">
        <v>686563.0</v>
      </c>
      <c r="C159" s="72">
        <v>45779.0</v>
      </c>
      <c r="D159" s="38">
        <v>90.0</v>
      </c>
      <c r="E159" s="73">
        <f>IFERROR(__xludf.DUMMYFUNCTION("average(filter('Appearance Sheet'!F:F,'Appearance Sheet'!G:G=B159,'Appearance Sheet'!A:A=C159))"),6.0)</f>
        <v>6</v>
      </c>
      <c r="F159" s="67">
        <v>5.504328164</v>
      </c>
      <c r="G159" s="40">
        <v>1.164525721</v>
      </c>
      <c r="H159" s="40">
        <f t="shared" si="1"/>
        <v>1.746788582</v>
      </c>
      <c r="I159" s="41">
        <v>0.6</v>
      </c>
      <c r="J159" s="41">
        <v>0.211111111</v>
      </c>
      <c r="K159" s="41">
        <v>0.188888889</v>
      </c>
      <c r="L159" s="41">
        <f t="shared" si="2"/>
        <v>0.411111111</v>
      </c>
      <c r="M159" s="74">
        <v>-3.507531689</v>
      </c>
    </row>
    <row r="160">
      <c r="A160" s="1" t="s">
        <v>55</v>
      </c>
      <c r="B160" s="38">
        <v>641816.0</v>
      </c>
      <c r="C160" s="72">
        <v>45805.0</v>
      </c>
      <c r="D160" s="38">
        <v>87.0</v>
      </c>
      <c r="E160" s="73">
        <f>IFERROR(__xludf.DUMMYFUNCTION("average(filter('Appearance Sheet'!F:F,'Appearance Sheet'!G:G=B160,'Appearance Sheet'!A:A=C160))"),6.0)</f>
        <v>6</v>
      </c>
      <c r="F160" s="67">
        <v>5.503484618</v>
      </c>
      <c r="G160" s="40">
        <v>1.116818746</v>
      </c>
      <c r="H160" s="40">
        <f t="shared" si="1"/>
        <v>1.675228119</v>
      </c>
      <c r="I160" s="41">
        <v>0.551724138</v>
      </c>
      <c r="J160" s="41">
        <v>0.252873563</v>
      </c>
      <c r="K160" s="41">
        <v>0.195402299</v>
      </c>
      <c r="L160" s="41">
        <f t="shared" si="2"/>
        <v>0.356321839</v>
      </c>
      <c r="M160" s="74">
        <v>1.032718352</v>
      </c>
    </row>
    <row r="161">
      <c r="A161" s="1" t="s">
        <v>558</v>
      </c>
      <c r="B161" s="38">
        <v>596271.0</v>
      </c>
      <c r="C161" s="72">
        <v>45797.0</v>
      </c>
      <c r="D161" s="38">
        <v>65.0</v>
      </c>
      <c r="E161" s="73">
        <f>IFERROR(__xludf.DUMMYFUNCTION("average(filter('Appearance Sheet'!F:F,'Appearance Sheet'!G:G=B161,'Appearance Sheet'!A:A=C161))"),5.0)</f>
        <v>5</v>
      </c>
      <c r="F161" s="67">
        <v>5.502885002</v>
      </c>
      <c r="G161" s="40">
        <v>0.832724419</v>
      </c>
      <c r="H161" s="40">
        <f t="shared" si="1"/>
        <v>1.498903954</v>
      </c>
      <c r="I161" s="41">
        <v>0.630769231</v>
      </c>
      <c r="J161" s="41">
        <v>0.153846154</v>
      </c>
      <c r="K161" s="41">
        <v>0.215384615</v>
      </c>
      <c r="L161" s="41">
        <f t="shared" si="2"/>
        <v>0.415384616</v>
      </c>
      <c r="M161" s="74">
        <v>-1.010260614</v>
      </c>
    </row>
    <row r="162">
      <c r="A162" s="1" t="s">
        <v>57</v>
      </c>
      <c r="B162" s="38">
        <v>594798.0</v>
      </c>
      <c r="C162" s="72">
        <v>45776.0</v>
      </c>
      <c r="D162" s="38">
        <v>65.0</v>
      </c>
      <c r="E162" s="73">
        <f>IFERROR(__xludf.DUMMYFUNCTION("average(filter('Appearance Sheet'!F:F,'Appearance Sheet'!G:G=B162,'Appearance Sheet'!A:A=C162))"),6.0)</f>
        <v>6</v>
      </c>
      <c r="F162" s="67">
        <v>5.502870552</v>
      </c>
      <c r="G162" s="40">
        <v>0.866539652</v>
      </c>
      <c r="H162" s="40">
        <f t="shared" si="1"/>
        <v>1.299809478</v>
      </c>
      <c r="I162" s="41">
        <v>0.553846154</v>
      </c>
      <c r="J162" s="41">
        <v>0.2</v>
      </c>
      <c r="K162" s="41">
        <v>0.246153846</v>
      </c>
      <c r="L162" s="41">
        <f t="shared" si="2"/>
        <v>0.307692308</v>
      </c>
      <c r="M162" s="74">
        <v>-0.71545811</v>
      </c>
    </row>
    <row r="163">
      <c r="A163" s="1" t="s">
        <v>125</v>
      </c>
      <c r="B163" s="38">
        <v>663554.0</v>
      </c>
      <c r="C163" s="72">
        <v>45926.0</v>
      </c>
      <c r="D163" s="38">
        <v>79.0</v>
      </c>
      <c r="E163" s="73" t="str">
        <f>IFERROR(__xludf.DUMMYFUNCTION("average(filter('Appearance Sheet'!F:F,'Appearance Sheet'!G:G=B163,'Appearance Sheet'!A:A=C163))"),"#N/A")</f>
        <v>#N/A</v>
      </c>
      <c r="F163" s="67">
        <v>5.50182813</v>
      </c>
      <c r="G163" s="40">
        <v>1.056480933</v>
      </c>
      <c r="H163" s="40" t="str">
        <f t="shared" si="1"/>
        <v>#N/A</v>
      </c>
      <c r="I163" s="41">
        <v>0.518987342</v>
      </c>
      <c r="J163" s="41">
        <v>0.303797468</v>
      </c>
      <c r="K163" s="41">
        <v>0.17721519</v>
      </c>
      <c r="L163" s="41">
        <f t="shared" si="2"/>
        <v>0.341772152</v>
      </c>
      <c r="M163" s="74">
        <v>-1.110395728</v>
      </c>
    </row>
    <row r="164">
      <c r="A164" s="1" t="s">
        <v>77</v>
      </c>
      <c r="B164" s="38">
        <v>657277.0</v>
      </c>
      <c r="C164" s="72">
        <v>45770.0</v>
      </c>
      <c r="D164" s="38">
        <v>106.0</v>
      </c>
      <c r="E164" s="73">
        <f>IFERROR(__xludf.DUMMYFUNCTION("average(filter('Appearance Sheet'!F:F,'Appearance Sheet'!G:G=B164,'Appearance Sheet'!A:A=C164))"),6.333333333333333)</f>
        <v>6.333333333</v>
      </c>
      <c r="F164" s="67">
        <v>5.501791182</v>
      </c>
      <c r="G164" s="40">
        <v>1.306952461</v>
      </c>
      <c r="H164" s="40">
        <f t="shared" si="1"/>
        <v>1.857248234</v>
      </c>
      <c r="I164" s="41">
        <v>0.58490566</v>
      </c>
      <c r="J164" s="41">
        <v>0.150943396</v>
      </c>
      <c r="K164" s="41">
        <v>0.264150943</v>
      </c>
      <c r="L164" s="41">
        <f t="shared" si="2"/>
        <v>0.320754717</v>
      </c>
      <c r="M164" s="74">
        <v>-0.145731581</v>
      </c>
    </row>
    <row r="165">
      <c r="A165" s="1" t="s">
        <v>130</v>
      </c>
      <c r="B165" s="38">
        <v>666200.0</v>
      </c>
      <c r="C165" s="72">
        <v>45757.0</v>
      </c>
      <c r="D165" s="38">
        <v>95.0</v>
      </c>
      <c r="E165" s="73">
        <f>IFERROR(__xludf.DUMMYFUNCTION("average(filter('Appearance Sheet'!F:F,'Appearance Sheet'!G:G=B165,'Appearance Sheet'!A:A=C165))"),6.0)</f>
        <v>6</v>
      </c>
      <c r="F165" s="67">
        <v>5.501741839</v>
      </c>
      <c r="G165" s="40">
        <v>1.175236298</v>
      </c>
      <c r="H165" s="40">
        <f t="shared" si="1"/>
        <v>1.762854447</v>
      </c>
      <c r="I165" s="41">
        <v>0.610526316</v>
      </c>
      <c r="J165" s="41">
        <v>0.126315789</v>
      </c>
      <c r="K165" s="41">
        <v>0.263157895</v>
      </c>
      <c r="L165" s="41">
        <f t="shared" si="2"/>
        <v>0.347368421</v>
      </c>
      <c r="M165" s="74">
        <v>-0.84360488</v>
      </c>
    </row>
    <row r="166">
      <c r="A166" s="1" t="s">
        <v>294</v>
      </c>
      <c r="B166" s="38">
        <v>665152.0</v>
      </c>
      <c r="C166" s="72">
        <v>45830.0</v>
      </c>
      <c r="D166" s="38">
        <v>85.0</v>
      </c>
      <c r="E166" s="73">
        <f>IFERROR(__xludf.DUMMYFUNCTION("average(filter('Appearance Sheet'!F:F,'Appearance Sheet'!G:G=B166,'Appearance Sheet'!A:A=C166))"),5.666666666666667)</f>
        <v>5.666666667</v>
      </c>
      <c r="F166" s="67">
        <v>5.501388293</v>
      </c>
      <c r="G166" s="40">
        <v>1.119341203</v>
      </c>
      <c r="H166" s="40">
        <f t="shared" si="1"/>
        <v>1.777777205</v>
      </c>
      <c r="I166" s="41">
        <v>0.552941176</v>
      </c>
      <c r="J166" s="41">
        <v>0.211764706</v>
      </c>
      <c r="K166" s="41">
        <v>0.235294118</v>
      </c>
      <c r="L166" s="41">
        <f t="shared" si="2"/>
        <v>0.317647058</v>
      </c>
      <c r="M166" s="74">
        <v>-0.1096163</v>
      </c>
    </row>
    <row r="167">
      <c r="A167" s="1" t="s">
        <v>90</v>
      </c>
      <c r="B167" s="38">
        <v>693433.0</v>
      </c>
      <c r="C167" s="72">
        <v>45753.0</v>
      </c>
      <c r="D167" s="38">
        <v>86.0</v>
      </c>
      <c r="E167" s="73">
        <f>IFERROR(__xludf.DUMMYFUNCTION("average(filter('Appearance Sheet'!F:F,'Appearance Sheet'!G:G=B167,'Appearance Sheet'!A:A=C167))"),6.0)</f>
        <v>6</v>
      </c>
      <c r="F167" s="67">
        <v>5.500880043</v>
      </c>
      <c r="G167" s="40">
        <v>1.117202286</v>
      </c>
      <c r="H167" s="40">
        <f t="shared" si="1"/>
        <v>1.675803429</v>
      </c>
      <c r="I167" s="41">
        <v>0.569767442</v>
      </c>
      <c r="J167" s="41">
        <v>0.186046512</v>
      </c>
      <c r="K167" s="41">
        <v>0.244186047</v>
      </c>
      <c r="L167" s="41">
        <f t="shared" si="2"/>
        <v>0.325581395</v>
      </c>
      <c r="M167" s="74">
        <v>0.528290053</v>
      </c>
    </row>
    <row r="168">
      <c r="A168" s="1" t="s">
        <v>559</v>
      </c>
      <c r="B168" s="38">
        <v>686790.0</v>
      </c>
      <c r="C168" s="72">
        <v>45926.0</v>
      </c>
      <c r="D168" s="38">
        <v>85.0</v>
      </c>
      <c r="E168" s="73" t="str">
        <f>IFERROR(__xludf.DUMMYFUNCTION("average(filter('Appearance Sheet'!F:F,'Appearance Sheet'!G:G=B168,'Appearance Sheet'!A:A=C168))"),"#N/A")</f>
        <v>#N/A</v>
      </c>
      <c r="F168" s="67">
        <v>5.499643741</v>
      </c>
      <c r="G168" s="40">
        <v>1.093335677</v>
      </c>
      <c r="H168" s="40" t="str">
        <f t="shared" si="1"/>
        <v>#N/A</v>
      </c>
      <c r="I168" s="41">
        <v>0.564705882</v>
      </c>
      <c r="J168" s="41">
        <v>0.129411765</v>
      </c>
      <c r="K168" s="41">
        <v>0.305882353</v>
      </c>
      <c r="L168" s="41">
        <f t="shared" si="2"/>
        <v>0.258823529</v>
      </c>
      <c r="M168" s="74">
        <v>1.102028505</v>
      </c>
    </row>
    <row r="169">
      <c r="A169" s="1" t="s">
        <v>100</v>
      </c>
      <c r="B169" s="38">
        <v>676979.0</v>
      </c>
      <c r="C169" s="72">
        <v>45874.0</v>
      </c>
      <c r="D169" s="38">
        <v>104.0</v>
      </c>
      <c r="E169" s="73" t="str">
        <f>IFERROR(__xludf.DUMMYFUNCTION("average(filter('Appearance Sheet'!F:F,'Appearance Sheet'!G:G=B169,'Appearance Sheet'!A:A=C169))"),"#N/A")</f>
        <v>#N/A</v>
      </c>
      <c r="F169" s="67">
        <v>5.498685557</v>
      </c>
      <c r="G169" s="40">
        <v>1.313253285</v>
      </c>
      <c r="H169" s="40" t="str">
        <f t="shared" si="1"/>
        <v>#N/A</v>
      </c>
      <c r="I169" s="41">
        <v>0.519230769</v>
      </c>
      <c r="J169" s="41">
        <v>0.25</v>
      </c>
      <c r="K169" s="41">
        <v>0.230769231</v>
      </c>
      <c r="L169" s="41">
        <f t="shared" si="2"/>
        <v>0.288461538</v>
      </c>
      <c r="M169" s="74">
        <v>1.906771206</v>
      </c>
    </row>
    <row r="170">
      <c r="A170" s="1" t="s">
        <v>153</v>
      </c>
      <c r="B170" s="38">
        <v>669302.0</v>
      </c>
      <c r="C170" s="72">
        <v>45860.0</v>
      </c>
      <c r="D170" s="38">
        <v>80.0</v>
      </c>
      <c r="E170" s="73" t="str">
        <f>IFERROR(__xludf.DUMMYFUNCTION("average(filter('Appearance Sheet'!F:F,'Appearance Sheet'!G:G=B170,'Appearance Sheet'!A:A=C170))"),"#N/A")</f>
        <v>#N/A</v>
      </c>
      <c r="F170" s="67">
        <v>5.498510535</v>
      </c>
      <c r="G170" s="40">
        <v>1.020003908</v>
      </c>
      <c r="H170" s="40" t="str">
        <f t="shared" si="1"/>
        <v>#N/A</v>
      </c>
      <c r="I170" s="41">
        <v>0.475</v>
      </c>
      <c r="J170" s="41">
        <v>0.2625</v>
      </c>
      <c r="K170" s="41">
        <v>0.2625</v>
      </c>
      <c r="L170" s="41">
        <f t="shared" si="2"/>
        <v>0.2125</v>
      </c>
      <c r="M170" s="74">
        <v>2.599868934</v>
      </c>
    </row>
    <row r="171">
      <c r="A171" s="1" t="s">
        <v>282</v>
      </c>
      <c r="B171" s="38">
        <v>656302.0</v>
      </c>
      <c r="C171" s="72">
        <v>45761.0</v>
      </c>
      <c r="D171" s="38">
        <v>93.0</v>
      </c>
      <c r="E171" s="73">
        <f>IFERROR(__xludf.DUMMYFUNCTION("average(filter('Appearance Sheet'!F:F,'Appearance Sheet'!G:G=B171,'Appearance Sheet'!A:A=C171))"),5.666666666666667)</f>
        <v>5.666666667</v>
      </c>
      <c r="F171" s="67">
        <v>5.497496774</v>
      </c>
      <c r="G171" s="40">
        <v>1.187110509</v>
      </c>
      <c r="H171" s="40">
        <f t="shared" si="1"/>
        <v>1.885410808</v>
      </c>
      <c r="I171" s="41">
        <v>0.537634409</v>
      </c>
      <c r="J171" s="41">
        <v>0.193548387</v>
      </c>
      <c r="K171" s="41">
        <v>0.268817204</v>
      </c>
      <c r="L171" s="41">
        <f t="shared" si="2"/>
        <v>0.268817205</v>
      </c>
      <c r="M171" s="74">
        <v>-2.466268095</v>
      </c>
    </row>
    <row r="172">
      <c r="A172" s="1" t="s">
        <v>44</v>
      </c>
      <c r="B172" s="38">
        <v>650911.0</v>
      </c>
      <c r="C172" s="72">
        <v>45845.0</v>
      </c>
      <c r="D172" s="38">
        <v>102.0</v>
      </c>
      <c r="E172" s="73" t="str">
        <f>IFERROR(__xludf.DUMMYFUNCTION("average(filter('Appearance Sheet'!F:F,'Appearance Sheet'!G:G=B172,'Appearance Sheet'!A:A=C172))"),"#N/A")</f>
        <v>#N/A</v>
      </c>
      <c r="F172" s="67">
        <v>5.496930155</v>
      </c>
      <c r="G172" s="40">
        <v>1.295768926</v>
      </c>
      <c r="H172" s="40" t="str">
        <f t="shared" si="1"/>
        <v>#N/A</v>
      </c>
      <c r="I172" s="41">
        <v>0.558823529</v>
      </c>
      <c r="J172" s="41">
        <v>0.166666667</v>
      </c>
      <c r="K172" s="41">
        <v>0.274509804</v>
      </c>
      <c r="L172" s="41">
        <f t="shared" si="2"/>
        <v>0.284313725</v>
      </c>
      <c r="M172" s="74">
        <v>-0.782459764</v>
      </c>
    </row>
    <row r="173">
      <c r="A173" s="1" t="s">
        <v>57</v>
      </c>
      <c r="B173" s="38">
        <v>594798.0</v>
      </c>
      <c r="C173" s="72">
        <v>45900.0</v>
      </c>
      <c r="D173" s="38">
        <v>78.0</v>
      </c>
      <c r="E173" s="73" t="str">
        <f>IFERROR(__xludf.DUMMYFUNCTION("average(filter('Appearance Sheet'!F:F,'Appearance Sheet'!G:G=B173,'Appearance Sheet'!A:A=C173))"),"#N/A")</f>
        <v>#N/A</v>
      </c>
      <c r="F173" s="67">
        <v>5.495492961</v>
      </c>
      <c r="G173" s="40">
        <v>0.962602391</v>
      </c>
      <c r="H173" s="40" t="str">
        <f t="shared" si="1"/>
        <v>#N/A</v>
      </c>
      <c r="I173" s="41">
        <v>0.602564103</v>
      </c>
      <c r="J173" s="41">
        <v>0.141025641</v>
      </c>
      <c r="K173" s="41">
        <v>0.256410256</v>
      </c>
      <c r="L173" s="41">
        <f t="shared" si="2"/>
        <v>0.346153847</v>
      </c>
      <c r="M173" s="74">
        <v>1.775503727</v>
      </c>
    </row>
    <row r="174">
      <c r="A174" s="1" t="s">
        <v>125</v>
      </c>
      <c r="B174" s="38">
        <v>663554.0</v>
      </c>
      <c r="C174" s="72">
        <v>45830.0</v>
      </c>
      <c r="D174" s="38">
        <v>79.0</v>
      </c>
      <c r="E174" s="73">
        <f>IFERROR(__xludf.DUMMYFUNCTION("average(filter('Appearance Sheet'!F:F,'Appearance Sheet'!G:G=B174,'Appearance Sheet'!A:A=C174))"),5.0)</f>
        <v>5</v>
      </c>
      <c r="F174" s="67">
        <v>5.494276484</v>
      </c>
      <c r="G174" s="40">
        <v>1.029758774</v>
      </c>
      <c r="H174" s="40">
        <f t="shared" si="1"/>
        <v>1.853565793</v>
      </c>
      <c r="I174" s="41">
        <v>0.53164557</v>
      </c>
      <c r="J174" s="41">
        <v>0.17721519</v>
      </c>
      <c r="K174" s="41">
        <v>0.291139241</v>
      </c>
      <c r="L174" s="41">
        <f t="shared" si="2"/>
        <v>0.240506329</v>
      </c>
      <c r="M174" s="74">
        <v>-0.994734242</v>
      </c>
    </row>
    <row r="175">
      <c r="A175" s="1" t="s">
        <v>57</v>
      </c>
      <c r="B175" s="38">
        <v>594798.0</v>
      </c>
      <c r="C175" s="72">
        <v>45792.0</v>
      </c>
      <c r="D175" s="38">
        <v>94.0</v>
      </c>
      <c r="E175" s="73">
        <f>IFERROR(__xludf.DUMMYFUNCTION("average(filter('Appearance Sheet'!F:F,'Appearance Sheet'!G:G=B175,'Appearance Sheet'!A:A=C175))"),8.0)</f>
        <v>8</v>
      </c>
      <c r="F175" s="67">
        <v>5.494189761</v>
      </c>
      <c r="G175" s="40">
        <v>1.220625255</v>
      </c>
      <c r="H175" s="40">
        <f t="shared" si="1"/>
        <v>1.373203412</v>
      </c>
      <c r="I175" s="41">
        <v>0.585106383</v>
      </c>
      <c r="J175" s="41">
        <v>0.180851064</v>
      </c>
      <c r="K175" s="41">
        <v>0.234042553</v>
      </c>
      <c r="L175" s="41">
        <f t="shared" si="2"/>
        <v>0.35106383</v>
      </c>
      <c r="M175" s="74">
        <v>-0.822247371</v>
      </c>
    </row>
    <row r="176">
      <c r="A176" s="1" t="s">
        <v>84</v>
      </c>
      <c r="B176" s="38">
        <v>669373.0</v>
      </c>
      <c r="C176" s="72">
        <v>45761.0</v>
      </c>
      <c r="D176" s="38">
        <v>90.0</v>
      </c>
      <c r="E176" s="73">
        <f>IFERROR(__xludf.DUMMYFUNCTION("average(filter('Appearance Sheet'!F:F,'Appearance Sheet'!G:G=B176,'Appearance Sheet'!A:A=C176))"),7.0)</f>
        <v>7</v>
      </c>
      <c r="F176" s="67">
        <v>5.493468554</v>
      </c>
      <c r="G176" s="40">
        <v>1.183497924</v>
      </c>
      <c r="H176" s="40">
        <f t="shared" si="1"/>
        <v>1.521640188</v>
      </c>
      <c r="I176" s="41">
        <v>0.611111111</v>
      </c>
      <c r="J176" s="41">
        <v>0.144444444</v>
      </c>
      <c r="K176" s="41">
        <v>0.244444444</v>
      </c>
      <c r="L176" s="41">
        <f t="shared" si="2"/>
        <v>0.366666667</v>
      </c>
      <c r="M176" s="74">
        <v>0.768172187</v>
      </c>
    </row>
    <row r="177">
      <c r="A177" s="1" t="s">
        <v>133</v>
      </c>
      <c r="B177" s="38">
        <v>663978.0</v>
      </c>
      <c r="C177" s="72">
        <v>45919.0</v>
      </c>
      <c r="D177" s="38">
        <v>68.0</v>
      </c>
      <c r="E177" s="73" t="str">
        <f>IFERROR(__xludf.DUMMYFUNCTION("average(filter('Appearance Sheet'!F:F,'Appearance Sheet'!G:G=B177,'Appearance Sheet'!A:A=C177))"),"#N/A")</f>
        <v>#N/A</v>
      </c>
      <c r="F177" s="67">
        <v>5.493207263</v>
      </c>
      <c r="G177" s="40">
        <v>0.899354538</v>
      </c>
      <c r="H177" s="40" t="str">
        <f t="shared" si="1"/>
        <v>#N/A</v>
      </c>
      <c r="I177" s="41">
        <v>0.544117647</v>
      </c>
      <c r="J177" s="41">
        <v>0.176470588</v>
      </c>
      <c r="K177" s="41">
        <v>0.279411765</v>
      </c>
      <c r="L177" s="41">
        <f t="shared" si="2"/>
        <v>0.264705882</v>
      </c>
      <c r="M177" s="74">
        <v>1.457106823</v>
      </c>
    </row>
    <row r="178">
      <c r="A178" s="1" t="s">
        <v>88</v>
      </c>
      <c r="B178" s="38">
        <v>694973.0</v>
      </c>
      <c r="C178" s="72">
        <v>45876.0</v>
      </c>
      <c r="D178" s="38">
        <v>94.0</v>
      </c>
      <c r="E178" s="73" t="str">
        <f>IFERROR(__xludf.DUMMYFUNCTION("average(filter('Appearance Sheet'!F:F,'Appearance Sheet'!G:G=B178,'Appearance Sheet'!A:A=C178))"),"#N/A")</f>
        <v>#N/A</v>
      </c>
      <c r="F178" s="67">
        <v>5.493200594</v>
      </c>
      <c r="G178" s="40">
        <v>1.175556281</v>
      </c>
      <c r="H178" s="40" t="str">
        <f t="shared" si="1"/>
        <v>#N/A</v>
      </c>
      <c r="I178" s="41">
        <v>0.563829787</v>
      </c>
      <c r="J178" s="41">
        <v>0.170212766</v>
      </c>
      <c r="K178" s="41">
        <v>0.265957447</v>
      </c>
      <c r="L178" s="41">
        <f t="shared" si="2"/>
        <v>0.29787234</v>
      </c>
      <c r="M178" s="74">
        <v>-1.710812251</v>
      </c>
    </row>
    <row r="179">
      <c r="A179" s="1" t="s">
        <v>97</v>
      </c>
      <c r="B179" s="38">
        <v>656876.0</v>
      </c>
      <c r="C179" s="72">
        <v>45877.0</v>
      </c>
      <c r="D179" s="38">
        <v>73.0</v>
      </c>
      <c r="E179" s="73" t="str">
        <f>IFERROR(__xludf.DUMMYFUNCTION("average(filter('Appearance Sheet'!F:F,'Appearance Sheet'!G:G=B179,'Appearance Sheet'!A:A=C179))"),"#N/A")</f>
        <v>#N/A</v>
      </c>
      <c r="F179" s="67">
        <v>5.493043743</v>
      </c>
      <c r="G179" s="40">
        <v>0.95741855</v>
      </c>
      <c r="H179" s="40" t="str">
        <f t="shared" si="1"/>
        <v>#N/A</v>
      </c>
      <c r="I179" s="41">
        <v>0.479452055</v>
      </c>
      <c r="J179" s="41">
        <v>0.260273973</v>
      </c>
      <c r="K179" s="41">
        <v>0.260273973</v>
      </c>
      <c r="L179" s="41">
        <f t="shared" si="2"/>
        <v>0.219178082</v>
      </c>
      <c r="M179" s="74">
        <v>0.141203524</v>
      </c>
    </row>
    <row r="180">
      <c r="A180" s="1" t="s">
        <v>77</v>
      </c>
      <c r="B180" s="38">
        <v>657277.0</v>
      </c>
      <c r="C180" s="72">
        <v>45918.0</v>
      </c>
      <c r="D180" s="38">
        <v>101.0</v>
      </c>
      <c r="E180" s="73" t="str">
        <f>IFERROR(__xludf.DUMMYFUNCTION("average(filter('Appearance Sheet'!F:F,'Appearance Sheet'!G:G=B180,'Appearance Sheet'!A:A=C180))"),"#N/A")</f>
        <v>#N/A</v>
      </c>
      <c r="F180" s="67">
        <v>5.492861729</v>
      </c>
      <c r="G180" s="40">
        <v>1.273019216</v>
      </c>
      <c r="H180" s="40" t="str">
        <f t="shared" si="1"/>
        <v>#N/A</v>
      </c>
      <c r="I180" s="41">
        <v>0.603960396</v>
      </c>
      <c r="J180" s="41">
        <v>0.178217822</v>
      </c>
      <c r="K180" s="41">
        <v>0.217821782</v>
      </c>
      <c r="L180" s="41">
        <f t="shared" si="2"/>
        <v>0.386138614</v>
      </c>
      <c r="M180" s="74">
        <v>1.864603445</v>
      </c>
    </row>
    <row r="181">
      <c r="A181" s="1" t="s">
        <v>329</v>
      </c>
      <c r="B181" s="38">
        <v>669160.0</v>
      </c>
      <c r="C181" s="72">
        <v>45881.0</v>
      </c>
      <c r="D181" s="38">
        <v>90.0</v>
      </c>
      <c r="E181" s="73" t="str">
        <f>IFERROR(__xludf.DUMMYFUNCTION("average(filter('Appearance Sheet'!F:F,'Appearance Sheet'!G:G=B181,'Appearance Sheet'!A:A=C181))"),"#N/A")</f>
        <v>#N/A</v>
      </c>
      <c r="F181" s="67">
        <v>5.49273003</v>
      </c>
      <c r="G181" s="40">
        <v>1.154655527</v>
      </c>
      <c r="H181" s="40" t="str">
        <f t="shared" si="1"/>
        <v>#N/A</v>
      </c>
      <c r="I181" s="41">
        <v>0.544444444</v>
      </c>
      <c r="J181" s="41">
        <v>0.211111111</v>
      </c>
      <c r="K181" s="41">
        <v>0.244444444</v>
      </c>
      <c r="L181" s="41">
        <f t="shared" si="2"/>
        <v>0.3</v>
      </c>
      <c r="M181" s="74">
        <v>0.508618408</v>
      </c>
    </row>
    <row r="182">
      <c r="A182" s="1" t="s">
        <v>343</v>
      </c>
      <c r="B182" s="38">
        <v>682243.0</v>
      </c>
      <c r="C182" s="72">
        <v>45911.0</v>
      </c>
      <c r="D182" s="38">
        <v>99.0</v>
      </c>
      <c r="E182" s="73" t="str">
        <f>IFERROR(__xludf.DUMMYFUNCTION("average(filter('Appearance Sheet'!F:F,'Appearance Sheet'!G:G=B182,'Appearance Sheet'!A:A=C182))"),"#N/A")</f>
        <v>#N/A</v>
      </c>
      <c r="F182" s="67">
        <v>5.492406088</v>
      </c>
      <c r="G182" s="40">
        <v>1.277376611</v>
      </c>
      <c r="H182" s="40" t="str">
        <f t="shared" si="1"/>
        <v>#N/A</v>
      </c>
      <c r="I182" s="41">
        <v>0.555555556</v>
      </c>
      <c r="J182" s="41">
        <v>0.181818182</v>
      </c>
      <c r="K182" s="41">
        <v>0.262626263</v>
      </c>
      <c r="L182" s="41">
        <f t="shared" si="2"/>
        <v>0.292929293</v>
      </c>
      <c r="M182" s="74">
        <v>-0.617135233</v>
      </c>
    </row>
    <row r="183">
      <c r="A183" s="1" t="s">
        <v>97</v>
      </c>
      <c r="B183" s="38">
        <v>656876.0</v>
      </c>
      <c r="C183" s="72">
        <v>45811.0</v>
      </c>
      <c r="D183" s="38">
        <v>79.0</v>
      </c>
      <c r="E183" s="73">
        <f>IFERROR(__xludf.DUMMYFUNCTION("average(filter('Appearance Sheet'!F:F,'Appearance Sheet'!G:G=B183,'Appearance Sheet'!A:A=C183))"),5.0)</f>
        <v>5</v>
      </c>
      <c r="F183" s="67">
        <v>5.492348215</v>
      </c>
      <c r="G183" s="40">
        <v>0.978304644</v>
      </c>
      <c r="H183" s="40">
        <f t="shared" si="1"/>
        <v>1.760948359</v>
      </c>
      <c r="I183" s="41">
        <v>0.556962025</v>
      </c>
      <c r="J183" s="41">
        <v>0.17721519</v>
      </c>
      <c r="K183" s="41">
        <v>0.265822785</v>
      </c>
      <c r="L183" s="41">
        <f t="shared" si="2"/>
        <v>0.29113924</v>
      </c>
      <c r="M183" s="74">
        <v>3.355348334</v>
      </c>
    </row>
    <row r="184">
      <c r="A184" s="1" t="s">
        <v>246</v>
      </c>
      <c r="B184" s="38">
        <v>571510.0</v>
      </c>
      <c r="C184" s="72">
        <v>45833.0</v>
      </c>
      <c r="D184" s="38">
        <v>78.0</v>
      </c>
      <c r="E184" s="73">
        <f>IFERROR(__xludf.DUMMYFUNCTION("average(filter('Appearance Sheet'!F:F,'Appearance Sheet'!G:G=B184,'Appearance Sheet'!A:A=C184))"),6.0)</f>
        <v>6</v>
      </c>
      <c r="F184" s="67">
        <v>5.492342024</v>
      </c>
      <c r="G184" s="40">
        <v>1.025590646</v>
      </c>
      <c r="H184" s="40">
        <f t="shared" si="1"/>
        <v>1.538385969</v>
      </c>
      <c r="I184" s="41">
        <v>0.576923077</v>
      </c>
      <c r="J184" s="41">
        <v>0.128205128</v>
      </c>
      <c r="K184" s="41">
        <v>0.294871795</v>
      </c>
      <c r="L184" s="41">
        <f t="shared" si="2"/>
        <v>0.282051282</v>
      </c>
      <c r="M184" s="74">
        <v>1.630492695</v>
      </c>
    </row>
    <row r="185">
      <c r="A185" s="1" t="s">
        <v>251</v>
      </c>
      <c r="B185" s="38">
        <v>676664.0</v>
      </c>
      <c r="C185" s="72">
        <v>45746.0</v>
      </c>
      <c r="D185" s="38">
        <v>84.0</v>
      </c>
      <c r="E185" s="73">
        <f>IFERROR(__xludf.DUMMYFUNCTION("average(filter('Appearance Sheet'!F:F,'Appearance Sheet'!G:G=B185,'Appearance Sheet'!A:A=C185))"),6.666666666666667)</f>
        <v>6.666666667</v>
      </c>
      <c r="F185" s="67">
        <v>5.492278835</v>
      </c>
      <c r="G185" s="40">
        <v>1.094953664</v>
      </c>
      <c r="H185" s="40">
        <f t="shared" si="1"/>
        <v>1.478187446</v>
      </c>
      <c r="I185" s="41">
        <v>0.55952381</v>
      </c>
      <c r="J185" s="41">
        <v>0.154761905</v>
      </c>
      <c r="K185" s="41">
        <v>0.285714286</v>
      </c>
      <c r="L185" s="41">
        <f t="shared" si="2"/>
        <v>0.273809524</v>
      </c>
      <c r="M185" s="74">
        <v>-0.112252578</v>
      </c>
    </row>
    <row r="186">
      <c r="A186" s="1" t="s">
        <v>179</v>
      </c>
      <c r="B186" s="38">
        <v>663568.0</v>
      </c>
      <c r="C186" s="72">
        <v>45837.0</v>
      </c>
      <c r="D186" s="38">
        <v>67.0</v>
      </c>
      <c r="E186" s="73">
        <f>IFERROR(__xludf.DUMMYFUNCTION("average(filter('Appearance Sheet'!F:F,'Appearance Sheet'!G:G=B186,'Appearance Sheet'!A:A=C186))"),5.666666666666667)</f>
        <v>5.666666667</v>
      </c>
      <c r="F186" s="67">
        <v>5.492056677</v>
      </c>
      <c r="G186" s="40">
        <v>0.887004266</v>
      </c>
      <c r="H186" s="40">
        <f t="shared" si="1"/>
        <v>1.408771481</v>
      </c>
      <c r="I186" s="41">
        <v>0.537313433</v>
      </c>
      <c r="J186" s="41">
        <v>0.164179104</v>
      </c>
      <c r="K186" s="41">
        <v>0.298507463</v>
      </c>
      <c r="L186" s="41">
        <f t="shared" si="2"/>
        <v>0.23880597</v>
      </c>
      <c r="M186" s="74">
        <v>0.988453016</v>
      </c>
    </row>
    <row r="187">
      <c r="A187" s="1" t="s">
        <v>57</v>
      </c>
      <c r="B187" s="38">
        <v>594798.0</v>
      </c>
      <c r="C187" s="72">
        <v>45758.0</v>
      </c>
      <c r="D187" s="38">
        <v>87.0</v>
      </c>
      <c r="E187" s="73">
        <f>IFERROR(__xludf.DUMMYFUNCTION("average(filter('Appearance Sheet'!F:F,'Appearance Sheet'!G:G=B187,'Appearance Sheet'!A:A=C187))"),4.0)</f>
        <v>4</v>
      </c>
      <c r="F187" s="67">
        <v>5.491966386</v>
      </c>
      <c r="G187" s="40">
        <v>1.076160814</v>
      </c>
      <c r="H187" s="40">
        <f t="shared" si="1"/>
        <v>2.421361832</v>
      </c>
      <c r="I187" s="41">
        <v>0.574712644</v>
      </c>
      <c r="J187" s="41">
        <v>0.126436782</v>
      </c>
      <c r="K187" s="41">
        <v>0.298850575</v>
      </c>
      <c r="L187" s="41">
        <f t="shared" si="2"/>
        <v>0.275862069</v>
      </c>
      <c r="M187" s="74">
        <v>1.031783053</v>
      </c>
    </row>
    <row r="188">
      <c r="A188" s="1" t="s">
        <v>83</v>
      </c>
      <c r="B188" s="38">
        <v>571927.0</v>
      </c>
      <c r="C188" s="72">
        <v>45763.0</v>
      </c>
      <c r="D188" s="38">
        <v>71.0</v>
      </c>
      <c r="E188" s="73">
        <f>IFERROR(__xludf.DUMMYFUNCTION("average(filter('Appearance Sheet'!F:F,'Appearance Sheet'!G:G=B188,'Appearance Sheet'!A:A=C188))"),5.0)</f>
        <v>5</v>
      </c>
      <c r="F188" s="67">
        <v>5.491443088</v>
      </c>
      <c r="G188" s="40">
        <v>0.925726234</v>
      </c>
      <c r="H188" s="40">
        <f t="shared" si="1"/>
        <v>1.666307221</v>
      </c>
      <c r="I188" s="41">
        <v>0.563380282</v>
      </c>
      <c r="J188" s="41">
        <v>0.197183099</v>
      </c>
      <c r="K188" s="41">
        <v>0.23943662</v>
      </c>
      <c r="L188" s="41">
        <f t="shared" si="2"/>
        <v>0.323943662</v>
      </c>
      <c r="M188" s="74">
        <v>2.404720564</v>
      </c>
    </row>
    <row r="189">
      <c r="A189" s="1" t="s">
        <v>121</v>
      </c>
      <c r="B189" s="38">
        <v>676974.0</v>
      </c>
      <c r="C189" s="72">
        <v>45763.0</v>
      </c>
      <c r="D189" s="38">
        <v>87.0</v>
      </c>
      <c r="E189" s="73">
        <f>IFERROR(__xludf.DUMMYFUNCTION("average(filter('Appearance Sheet'!F:F,'Appearance Sheet'!G:G=B189,'Appearance Sheet'!A:A=C189))"),6.0)</f>
        <v>6</v>
      </c>
      <c r="F189" s="67">
        <v>5.491224488</v>
      </c>
      <c r="G189" s="40">
        <v>1.149204086</v>
      </c>
      <c r="H189" s="40">
        <f t="shared" si="1"/>
        <v>1.723806129</v>
      </c>
      <c r="I189" s="41">
        <v>0.402298851</v>
      </c>
      <c r="J189" s="41">
        <v>0.32183908</v>
      </c>
      <c r="K189" s="41">
        <v>0.275862069</v>
      </c>
      <c r="L189" s="41">
        <f t="shared" si="2"/>
        <v>0.126436782</v>
      </c>
      <c r="M189" s="74">
        <v>0.31947882</v>
      </c>
    </row>
    <row r="190">
      <c r="A190" s="1" t="s">
        <v>73</v>
      </c>
      <c r="B190" s="38">
        <v>668881.0</v>
      </c>
      <c r="C190" s="72">
        <v>45901.0</v>
      </c>
      <c r="D190" s="38">
        <v>100.0</v>
      </c>
      <c r="E190" s="73" t="str">
        <f>IFERROR(__xludf.DUMMYFUNCTION("average(filter('Appearance Sheet'!F:F,'Appearance Sheet'!G:G=B190,'Appearance Sheet'!A:A=C190))"),"#N/A")</f>
        <v>#N/A</v>
      </c>
      <c r="F190" s="67">
        <v>5.489787539</v>
      </c>
      <c r="G190" s="40">
        <v>1.322682365</v>
      </c>
      <c r="H190" s="40" t="str">
        <f t="shared" si="1"/>
        <v>#N/A</v>
      </c>
      <c r="I190" s="41">
        <v>0.52</v>
      </c>
      <c r="J190" s="41">
        <v>0.17</v>
      </c>
      <c r="K190" s="41">
        <v>0.31</v>
      </c>
      <c r="L190" s="41">
        <f t="shared" si="2"/>
        <v>0.21</v>
      </c>
      <c r="M190" s="74">
        <v>-0.142008181</v>
      </c>
    </row>
    <row r="191">
      <c r="A191" s="1" t="s">
        <v>239</v>
      </c>
      <c r="B191" s="38">
        <v>806960.0</v>
      </c>
      <c r="C191" s="72">
        <v>45885.0</v>
      </c>
      <c r="D191" s="38">
        <v>86.0</v>
      </c>
      <c r="E191" s="73" t="str">
        <f>IFERROR(__xludf.DUMMYFUNCTION("average(filter('Appearance Sheet'!F:F,'Appearance Sheet'!G:G=B191,'Appearance Sheet'!A:A=C191))"),"#N/A")</f>
        <v>#N/A</v>
      </c>
      <c r="F191" s="67">
        <v>5.489501996</v>
      </c>
      <c r="G191" s="40">
        <v>1.115542335</v>
      </c>
      <c r="H191" s="40" t="str">
        <f t="shared" si="1"/>
        <v>#N/A</v>
      </c>
      <c r="I191" s="41">
        <v>0.558139535</v>
      </c>
      <c r="J191" s="41">
        <v>0.186046512</v>
      </c>
      <c r="K191" s="41">
        <v>0.255813953</v>
      </c>
      <c r="L191" s="41">
        <f t="shared" si="2"/>
        <v>0.302325582</v>
      </c>
      <c r="M191" s="74">
        <v>-0.950143381</v>
      </c>
    </row>
    <row r="192">
      <c r="A192" s="1" t="s">
        <v>121</v>
      </c>
      <c r="B192" s="38">
        <v>676974.0</v>
      </c>
      <c r="C192" s="72">
        <v>45798.0</v>
      </c>
      <c r="D192" s="38">
        <v>97.0</v>
      </c>
      <c r="E192" s="73">
        <f>IFERROR(__xludf.DUMMYFUNCTION("average(filter('Appearance Sheet'!F:F,'Appearance Sheet'!G:G=B192,'Appearance Sheet'!A:A=C192))"),6.0)</f>
        <v>6</v>
      </c>
      <c r="F192" s="67">
        <v>5.488543248</v>
      </c>
      <c r="G192" s="40">
        <v>1.254268536</v>
      </c>
      <c r="H192" s="40">
        <f t="shared" si="1"/>
        <v>1.881402804</v>
      </c>
      <c r="I192" s="41">
        <v>0.536082474</v>
      </c>
      <c r="J192" s="41">
        <v>0.206185567</v>
      </c>
      <c r="K192" s="41">
        <v>0.257731959</v>
      </c>
      <c r="L192" s="41">
        <f t="shared" si="2"/>
        <v>0.278350515</v>
      </c>
      <c r="M192" s="74">
        <v>1.411332469</v>
      </c>
    </row>
    <row r="193">
      <c r="A193" s="1" t="s">
        <v>353</v>
      </c>
      <c r="B193" s="38">
        <v>663903.0</v>
      </c>
      <c r="C193" s="72">
        <v>45881.0</v>
      </c>
      <c r="D193" s="38">
        <v>71.0</v>
      </c>
      <c r="E193" s="73" t="str">
        <f>IFERROR(__xludf.DUMMYFUNCTION("average(filter('Appearance Sheet'!F:F,'Appearance Sheet'!G:G=B193,'Appearance Sheet'!A:A=C193))"),"#N/A")</f>
        <v>#N/A</v>
      </c>
      <c r="F193" s="67">
        <v>5.488507926</v>
      </c>
      <c r="G193" s="40">
        <v>0.947492853</v>
      </c>
      <c r="H193" s="40" t="str">
        <f t="shared" si="1"/>
        <v>#N/A</v>
      </c>
      <c r="I193" s="41">
        <v>0.549295775</v>
      </c>
      <c r="J193" s="41">
        <v>0.225352113</v>
      </c>
      <c r="K193" s="41">
        <v>0.225352113</v>
      </c>
      <c r="L193" s="41">
        <f t="shared" si="2"/>
        <v>0.323943662</v>
      </c>
      <c r="M193" s="74">
        <v>1.460322415</v>
      </c>
    </row>
    <row r="194">
      <c r="A194" s="1" t="s">
        <v>194</v>
      </c>
      <c r="B194" s="38">
        <v>666157.0</v>
      </c>
      <c r="C194" s="72">
        <v>45815.0</v>
      </c>
      <c r="D194" s="38">
        <v>84.0</v>
      </c>
      <c r="E194" s="73">
        <f>IFERROR(__xludf.DUMMYFUNCTION("average(filter('Appearance Sheet'!F:F,'Appearance Sheet'!G:G=B194,'Appearance Sheet'!A:A=C194))"),6.0)</f>
        <v>6</v>
      </c>
      <c r="F194" s="67">
        <v>5.488000706</v>
      </c>
      <c r="G194" s="40">
        <v>1.046878389</v>
      </c>
      <c r="H194" s="40">
        <f t="shared" si="1"/>
        <v>1.570317584</v>
      </c>
      <c r="I194" s="41">
        <v>0.571428571</v>
      </c>
      <c r="J194" s="41">
        <v>0.19047619</v>
      </c>
      <c r="K194" s="41">
        <v>0.238095238</v>
      </c>
      <c r="L194" s="41">
        <f t="shared" si="2"/>
        <v>0.333333333</v>
      </c>
      <c r="M194" s="74">
        <v>-0.110231675</v>
      </c>
    </row>
    <row r="195">
      <c r="A195" s="1" t="s">
        <v>137</v>
      </c>
      <c r="B195" s="38">
        <v>453286.0</v>
      </c>
      <c r="C195" s="72">
        <v>45871.0</v>
      </c>
      <c r="D195" s="38">
        <v>73.0</v>
      </c>
      <c r="E195" s="73" t="str">
        <f>IFERROR(__xludf.DUMMYFUNCTION("average(filter('Appearance Sheet'!F:F,'Appearance Sheet'!G:G=B195,'Appearance Sheet'!A:A=C195))"),"#N/A")</f>
        <v>#N/A</v>
      </c>
      <c r="F195" s="67">
        <v>5.487694784</v>
      </c>
      <c r="G195" s="40">
        <v>1.001599108</v>
      </c>
      <c r="H195" s="40" t="str">
        <f t="shared" si="1"/>
        <v>#N/A</v>
      </c>
      <c r="I195" s="41">
        <v>0.534246575</v>
      </c>
      <c r="J195" s="41">
        <v>0.178082192</v>
      </c>
      <c r="K195" s="41">
        <v>0.287671233</v>
      </c>
      <c r="L195" s="41">
        <f t="shared" si="2"/>
        <v>0.246575342</v>
      </c>
      <c r="M195" s="74">
        <v>-0.955781626</v>
      </c>
    </row>
    <row r="196">
      <c r="A196" s="1" t="s">
        <v>396</v>
      </c>
      <c r="B196" s="38">
        <v>663623.0</v>
      </c>
      <c r="C196" s="72">
        <v>45865.0</v>
      </c>
      <c r="D196" s="38">
        <v>82.0</v>
      </c>
      <c r="E196" s="73" t="str">
        <f>IFERROR(__xludf.DUMMYFUNCTION("average(filter('Appearance Sheet'!F:F,'Appearance Sheet'!G:G=B196,'Appearance Sheet'!A:A=C196))"),"#N/A")</f>
        <v>#N/A</v>
      </c>
      <c r="F196" s="67">
        <v>5.486424439</v>
      </c>
      <c r="G196" s="40">
        <v>1.102445361</v>
      </c>
      <c r="H196" s="40" t="str">
        <f t="shared" si="1"/>
        <v>#N/A</v>
      </c>
      <c r="I196" s="41">
        <v>0.548780488</v>
      </c>
      <c r="J196" s="41">
        <v>0.243902439</v>
      </c>
      <c r="K196" s="41">
        <v>0.207317073</v>
      </c>
      <c r="L196" s="41">
        <f t="shared" si="2"/>
        <v>0.341463415</v>
      </c>
      <c r="M196" s="74">
        <v>1.523627254</v>
      </c>
    </row>
    <row r="197">
      <c r="A197" s="1" t="s">
        <v>246</v>
      </c>
      <c r="B197" s="38">
        <v>571510.0</v>
      </c>
      <c r="C197" s="72">
        <v>45871.0</v>
      </c>
      <c r="D197" s="38">
        <v>92.0</v>
      </c>
      <c r="E197" s="73" t="str">
        <f>IFERROR(__xludf.DUMMYFUNCTION("average(filter('Appearance Sheet'!F:F,'Appearance Sheet'!G:G=B197,'Appearance Sheet'!A:A=C197))"),"#N/A")</f>
        <v>#N/A</v>
      </c>
      <c r="F197" s="67">
        <v>5.486409493</v>
      </c>
      <c r="G197" s="40">
        <v>1.21300522</v>
      </c>
      <c r="H197" s="40" t="str">
        <f t="shared" si="1"/>
        <v>#N/A</v>
      </c>
      <c r="I197" s="41">
        <v>0.619565217</v>
      </c>
      <c r="J197" s="41">
        <v>0.119565217</v>
      </c>
      <c r="K197" s="41">
        <v>0.260869565</v>
      </c>
      <c r="L197" s="41">
        <f t="shared" si="2"/>
        <v>0.358695652</v>
      </c>
      <c r="M197" s="74">
        <v>1.891533752</v>
      </c>
    </row>
    <row r="198">
      <c r="A198" s="1" t="s">
        <v>98</v>
      </c>
      <c r="B198" s="38">
        <v>605400.0</v>
      </c>
      <c r="C198" s="72">
        <v>45752.0</v>
      </c>
      <c r="D198" s="38">
        <v>95.0</v>
      </c>
      <c r="E198" s="73">
        <f>IFERROR(__xludf.DUMMYFUNCTION("average(filter('Appearance Sheet'!F:F,'Appearance Sheet'!G:G=B198,'Appearance Sheet'!A:A=C198))"),6.0)</f>
        <v>6</v>
      </c>
      <c r="F198" s="67">
        <v>5.486298611</v>
      </c>
      <c r="G198" s="40">
        <v>1.224014112</v>
      </c>
      <c r="H198" s="40">
        <f t="shared" si="1"/>
        <v>1.836021168</v>
      </c>
      <c r="I198" s="41">
        <v>0.589473684</v>
      </c>
      <c r="J198" s="41">
        <v>0.2</v>
      </c>
      <c r="K198" s="41">
        <v>0.210526316</v>
      </c>
      <c r="L198" s="41">
        <f t="shared" si="2"/>
        <v>0.378947368</v>
      </c>
      <c r="M198" s="74">
        <v>-0.896911764</v>
      </c>
    </row>
    <row r="199">
      <c r="A199" s="1" t="s">
        <v>63</v>
      </c>
      <c r="B199" s="38">
        <v>687888.0</v>
      </c>
      <c r="C199" s="72">
        <v>45835.0</v>
      </c>
      <c r="D199" s="38">
        <v>82.0</v>
      </c>
      <c r="E199" s="73">
        <f>IFERROR(__xludf.DUMMYFUNCTION("average(filter('Appearance Sheet'!F:F,'Appearance Sheet'!G:G=B199,'Appearance Sheet'!A:A=C199))"),6.0)</f>
        <v>6</v>
      </c>
      <c r="F199" s="67">
        <v>5.485829267</v>
      </c>
      <c r="G199" s="40">
        <v>1.110649438</v>
      </c>
      <c r="H199" s="40">
        <f t="shared" si="1"/>
        <v>1.665974157</v>
      </c>
      <c r="I199" s="41">
        <v>0.548780488</v>
      </c>
      <c r="J199" s="41">
        <v>0.170731707</v>
      </c>
      <c r="K199" s="41">
        <v>0.280487805</v>
      </c>
      <c r="L199" s="41">
        <f t="shared" si="2"/>
        <v>0.268292683</v>
      </c>
      <c r="M199" s="74">
        <v>0.11607738</v>
      </c>
    </row>
    <row r="200">
      <c r="A200" s="1" t="s">
        <v>73</v>
      </c>
      <c r="B200" s="38">
        <v>668881.0</v>
      </c>
      <c r="C200" s="72">
        <v>45907.0</v>
      </c>
      <c r="D200" s="38">
        <v>98.0</v>
      </c>
      <c r="E200" s="73" t="str">
        <f>IFERROR(__xludf.DUMMYFUNCTION("average(filter('Appearance Sheet'!F:F,'Appearance Sheet'!G:G=B200,'Appearance Sheet'!A:A=C200))"),"#N/A")</f>
        <v>#N/A</v>
      </c>
      <c r="F200" s="67">
        <v>5.485807647</v>
      </c>
      <c r="G200" s="40">
        <v>1.276431462</v>
      </c>
      <c r="H200" s="40" t="str">
        <f t="shared" si="1"/>
        <v>#N/A</v>
      </c>
      <c r="I200" s="41">
        <v>0.62244898</v>
      </c>
      <c r="J200" s="41">
        <v>0.163265306</v>
      </c>
      <c r="K200" s="41">
        <v>0.214285714</v>
      </c>
      <c r="L200" s="41">
        <f t="shared" si="2"/>
        <v>0.408163266</v>
      </c>
      <c r="M200" s="74">
        <v>4.394020119</v>
      </c>
    </row>
    <row r="201">
      <c r="A201" s="1" t="s">
        <v>77</v>
      </c>
      <c r="B201" s="38">
        <v>657277.0</v>
      </c>
      <c r="C201" s="72">
        <v>45913.0</v>
      </c>
      <c r="D201" s="38">
        <v>95.0</v>
      </c>
      <c r="E201" s="73" t="str">
        <f>IFERROR(__xludf.DUMMYFUNCTION("average(filter('Appearance Sheet'!F:F,'Appearance Sheet'!G:G=B201,'Appearance Sheet'!A:A=C201))"),"#N/A")</f>
        <v>#N/A</v>
      </c>
      <c r="F201" s="67">
        <v>5.485424487</v>
      </c>
      <c r="G201" s="40">
        <v>1.219726559</v>
      </c>
      <c r="H201" s="40" t="str">
        <f t="shared" si="1"/>
        <v>#N/A</v>
      </c>
      <c r="I201" s="41">
        <v>0.515789474</v>
      </c>
      <c r="J201" s="41">
        <v>0.221052632</v>
      </c>
      <c r="K201" s="41">
        <v>0.263157895</v>
      </c>
      <c r="L201" s="41">
        <f t="shared" si="2"/>
        <v>0.252631579</v>
      </c>
      <c r="M201" s="74">
        <v>-5.307028404</v>
      </c>
    </row>
    <row r="202">
      <c r="A202" s="1" t="s">
        <v>109</v>
      </c>
      <c r="B202" s="38">
        <v>601713.0</v>
      </c>
      <c r="C202" s="72">
        <v>45807.0</v>
      </c>
      <c r="D202" s="38">
        <v>76.0</v>
      </c>
      <c r="E202" s="73">
        <f>IFERROR(__xludf.DUMMYFUNCTION("average(filter('Appearance Sheet'!F:F,'Appearance Sheet'!G:G=B202,'Appearance Sheet'!A:A=C202))"),6.0)</f>
        <v>6</v>
      </c>
      <c r="F202" s="67">
        <v>5.484542608</v>
      </c>
      <c r="G202" s="40">
        <v>1.033044929</v>
      </c>
      <c r="H202" s="40">
        <f t="shared" si="1"/>
        <v>1.549567394</v>
      </c>
      <c r="I202" s="41">
        <v>0.539473684</v>
      </c>
      <c r="J202" s="41">
        <v>0.197368421</v>
      </c>
      <c r="K202" s="41">
        <v>0.263157895</v>
      </c>
      <c r="L202" s="41">
        <f t="shared" si="2"/>
        <v>0.276315789</v>
      </c>
      <c r="M202" s="74">
        <v>-1.242854497</v>
      </c>
    </row>
    <row r="203">
      <c r="A203" s="1" t="s">
        <v>331</v>
      </c>
      <c r="B203" s="38">
        <v>672456.0</v>
      </c>
      <c r="C203" s="72">
        <v>45914.0</v>
      </c>
      <c r="D203" s="38">
        <v>75.0</v>
      </c>
      <c r="E203" s="73" t="str">
        <f>IFERROR(__xludf.DUMMYFUNCTION("average(filter('Appearance Sheet'!F:F,'Appearance Sheet'!G:G=B203,'Appearance Sheet'!A:A=C203))"),"#N/A")</f>
        <v>#N/A</v>
      </c>
      <c r="F203" s="67">
        <v>5.484018351</v>
      </c>
      <c r="G203" s="40">
        <v>0.948875915</v>
      </c>
      <c r="H203" s="40" t="str">
        <f t="shared" si="1"/>
        <v>#N/A</v>
      </c>
      <c r="I203" s="41">
        <v>0.573333333</v>
      </c>
      <c r="J203" s="41">
        <v>0.12</v>
      </c>
      <c r="K203" s="41">
        <v>0.306666667</v>
      </c>
      <c r="L203" s="41">
        <f t="shared" si="2"/>
        <v>0.266666666</v>
      </c>
      <c r="M203" s="74">
        <v>1.118288854</v>
      </c>
    </row>
    <row r="204">
      <c r="A204" s="1" t="s">
        <v>374</v>
      </c>
      <c r="B204" s="38">
        <v>683004.0</v>
      </c>
      <c r="C204" s="72">
        <v>45892.0</v>
      </c>
      <c r="D204" s="38">
        <v>93.0</v>
      </c>
      <c r="E204" s="73" t="str">
        <f>IFERROR(__xludf.DUMMYFUNCTION("average(filter('Appearance Sheet'!F:F,'Appearance Sheet'!G:G=B204,'Appearance Sheet'!A:A=C204))"),"#N/A")</f>
        <v>#N/A</v>
      </c>
      <c r="F204" s="67">
        <v>5.483360241</v>
      </c>
      <c r="G204" s="40">
        <v>1.239951799</v>
      </c>
      <c r="H204" s="40" t="str">
        <f t="shared" si="1"/>
        <v>#N/A</v>
      </c>
      <c r="I204" s="41">
        <v>0.537634409</v>
      </c>
      <c r="J204" s="41">
        <v>0.172043011</v>
      </c>
      <c r="K204" s="41">
        <v>0.290322581</v>
      </c>
      <c r="L204" s="41">
        <f t="shared" si="2"/>
        <v>0.247311828</v>
      </c>
      <c r="M204" s="74">
        <v>3.372995698</v>
      </c>
    </row>
    <row r="205">
      <c r="A205" s="1" t="s">
        <v>125</v>
      </c>
      <c r="B205" s="38">
        <v>663554.0</v>
      </c>
      <c r="C205" s="72">
        <v>45903.0</v>
      </c>
      <c r="D205" s="38">
        <v>67.0</v>
      </c>
      <c r="E205" s="73" t="str">
        <f>IFERROR(__xludf.DUMMYFUNCTION("average(filter('Appearance Sheet'!F:F,'Appearance Sheet'!G:G=B205,'Appearance Sheet'!A:A=C205))"),"#N/A")</f>
        <v>#N/A</v>
      </c>
      <c r="F205" s="67">
        <v>5.483359938</v>
      </c>
      <c r="G205" s="40">
        <v>0.885863259</v>
      </c>
      <c r="H205" s="40" t="str">
        <f t="shared" si="1"/>
        <v>#N/A</v>
      </c>
      <c r="I205" s="41">
        <v>0.537313433</v>
      </c>
      <c r="J205" s="41">
        <v>0.223880597</v>
      </c>
      <c r="K205" s="41">
        <v>0.23880597</v>
      </c>
      <c r="L205" s="41">
        <f t="shared" si="2"/>
        <v>0.298507463</v>
      </c>
      <c r="M205" s="74">
        <v>-0.931220353</v>
      </c>
    </row>
    <row r="206">
      <c r="A206" s="1" t="s">
        <v>361</v>
      </c>
      <c r="B206" s="38">
        <v>686563.0</v>
      </c>
      <c r="C206" s="72">
        <v>45924.0</v>
      </c>
      <c r="D206" s="38">
        <v>73.0</v>
      </c>
      <c r="E206" s="73" t="str">
        <f>IFERROR(__xludf.DUMMYFUNCTION("average(filter('Appearance Sheet'!F:F,'Appearance Sheet'!G:G=B206,'Appearance Sheet'!A:A=C206))"),"#N/A")</f>
        <v>#N/A</v>
      </c>
      <c r="F206" s="67">
        <v>5.482970651</v>
      </c>
      <c r="G206" s="40">
        <v>0.973040411</v>
      </c>
      <c r="H206" s="40" t="str">
        <f t="shared" si="1"/>
        <v>#N/A</v>
      </c>
      <c r="I206" s="41">
        <v>0.561643836</v>
      </c>
      <c r="J206" s="41">
        <v>0.178082192</v>
      </c>
      <c r="K206" s="41">
        <v>0.260273973</v>
      </c>
      <c r="L206" s="41">
        <f t="shared" si="2"/>
        <v>0.301369863</v>
      </c>
      <c r="M206" s="74">
        <v>-1.537305193</v>
      </c>
    </row>
    <row r="207">
      <c r="A207" s="1" t="s">
        <v>84</v>
      </c>
      <c r="B207" s="38">
        <v>669373.0</v>
      </c>
      <c r="C207" s="72">
        <v>45774.0</v>
      </c>
      <c r="D207" s="38">
        <v>86.0</v>
      </c>
      <c r="E207" s="73">
        <f>IFERROR(__xludf.DUMMYFUNCTION("average(filter('Appearance Sheet'!F:F,'Appearance Sheet'!G:G=B207,'Appearance Sheet'!A:A=C207))"),6.0)</f>
        <v>6</v>
      </c>
      <c r="F207" s="67">
        <v>5.482911176</v>
      </c>
      <c r="G207" s="40">
        <v>1.131429727</v>
      </c>
      <c r="H207" s="40">
        <f t="shared" si="1"/>
        <v>1.697144591</v>
      </c>
      <c r="I207" s="41">
        <v>0.558139535</v>
      </c>
      <c r="J207" s="41">
        <v>0.127906977</v>
      </c>
      <c r="K207" s="41">
        <v>0.313953488</v>
      </c>
      <c r="L207" s="41">
        <f t="shared" si="2"/>
        <v>0.244186047</v>
      </c>
      <c r="M207" s="74">
        <v>2.014154447</v>
      </c>
    </row>
    <row r="208">
      <c r="A208" s="1" t="s">
        <v>113</v>
      </c>
      <c r="B208" s="38">
        <v>664285.0</v>
      </c>
      <c r="C208" s="72">
        <v>45850.0</v>
      </c>
      <c r="D208" s="38">
        <v>91.0</v>
      </c>
      <c r="E208" s="73" t="str">
        <f>IFERROR(__xludf.DUMMYFUNCTION("average(filter('Appearance Sheet'!F:F,'Appearance Sheet'!G:G=B208,'Appearance Sheet'!A:A=C208))"),"#N/A")</f>
        <v>#N/A</v>
      </c>
      <c r="F208" s="67">
        <v>5.482848483</v>
      </c>
      <c r="G208" s="40">
        <v>1.159850543</v>
      </c>
      <c r="H208" s="40" t="str">
        <f t="shared" si="1"/>
        <v>#N/A</v>
      </c>
      <c r="I208" s="41">
        <v>0.582417582</v>
      </c>
      <c r="J208" s="41">
        <v>0.142857143</v>
      </c>
      <c r="K208" s="41">
        <v>0.274725275</v>
      </c>
      <c r="L208" s="41">
        <f t="shared" si="2"/>
        <v>0.307692307</v>
      </c>
      <c r="M208" s="74">
        <v>1.57179999</v>
      </c>
    </row>
    <row r="209">
      <c r="A209" s="1" t="s">
        <v>105</v>
      </c>
      <c r="B209" s="38">
        <v>624133.0</v>
      </c>
      <c r="C209" s="72">
        <v>45893.0</v>
      </c>
      <c r="D209" s="38">
        <v>89.0</v>
      </c>
      <c r="E209" s="73" t="str">
        <f>IFERROR(__xludf.DUMMYFUNCTION("average(filter('Appearance Sheet'!F:F,'Appearance Sheet'!G:G=B209,'Appearance Sheet'!A:A=C209))"),"#N/A")</f>
        <v>#N/A</v>
      </c>
      <c r="F209" s="67">
        <v>5.482469934</v>
      </c>
      <c r="G209" s="40">
        <v>1.166079464</v>
      </c>
      <c r="H209" s="40" t="str">
        <f t="shared" si="1"/>
        <v>#N/A</v>
      </c>
      <c r="I209" s="41">
        <v>0.550561798</v>
      </c>
      <c r="J209" s="41">
        <v>0.191011236</v>
      </c>
      <c r="K209" s="41">
        <v>0.258426966</v>
      </c>
      <c r="L209" s="41">
        <f t="shared" si="2"/>
        <v>0.292134832</v>
      </c>
      <c r="M209" s="74">
        <v>3.09756085</v>
      </c>
    </row>
    <row r="210">
      <c r="A210" s="1" t="s">
        <v>129</v>
      </c>
      <c r="B210" s="38">
        <v>686752.0</v>
      </c>
      <c r="C210" s="72">
        <v>45791.0</v>
      </c>
      <c r="D210" s="38">
        <v>92.0</v>
      </c>
      <c r="E210" s="73">
        <f>IFERROR(__xludf.DUMMYFUNCTION("average(filter('Appearance Sheet'!F:F,'Appearance Sheet'!G:G=B210,'Appearance Sheet'!A:A=C210))"),6.0)</f>
        <v>6</v>
      </c>
      <c r="F210" s="67">
        <v>5.481768995</v>
      </c>
      <c r="G210" s="40">
        <v>1.229531143</v>
      </c>
      <c r="H210" s="40">
        <f t="shared" si="1"/>
        <v>1.844296715</v>
      </c>
      <c r="I210" s="41">
        <v>0.597826087</v>
      </c>
      <c r="J210" s="41">
        <v>0.141304348</v>
      </c>
      <c r="K210" s="41">
        <v>0.260869565</v>
      </c>
      <c r="L210" s="41">
        <f t="shared" si="2"/>
        <v>0.336956522</v>
      </c>
      <c r="M210" s="74">
        <v>-1.484887806</v>
      </c>
    </row>
    <row r="211">
      <c r="A211" s="1" t="s">
        <v>209</v>
      </c>
      <c r="B211" s="38">
        <v>694738.0</v>
      </c>
      <c r="C211" s="72">
        <v>45766.0</v>
      </c>
      <c r="D211" s="38">
        <v>94.0</v>
      </c>
      <c r="E211" s="73">
        <f>IFERROR(__xludf.DUMMYFUNCTION("average(filter('Appearance Sheet'!F:F,'Appearance Sheet'!G:G=B211,'Appearance Sheet'!A:A=C211))"),7.0)</f>
        <v>7</v>
      </c>
      <c r="F211" s="67">
        <v>5.480413325</v>
      </c>
      <c r="G211" s="40">
        <v>1.213576365</v>
      </c>
      <c r="H211" s="40">
        <f t="shared" si="1"/>
        <v>1.560312469</v>
      </c>
      <c r="I211" s="41">
        <v>0.521276596</v>
      </c>
      <c r="J211" s="41">
        <v>0.223404255</v>
      </c>
      <c r="K211" s="41">
        <v>0.255319149</v>
      </c>
      <c r="L211" s="41">
        <f t="shared" si="2"/>
        <v>0.265957447</v>
      </c>
      <c r="M211" s="74">
        <v>0.001690114</v>
      </c>
    </row>
    <row r="212">
      <c r="A212" s="1" t="s">
        <v>169</v>
      </c>
      <c r="B212" s="38">
        <v>671096.0</v>
      </c>
      <c r="C212" s="72">
        <v>45905.0</v>
      </c>
      <c r="D212" s="38">
        <v>98.0</v>
      </c>
      <c r="E212" s="73" t="str">
        <f>IFERROR(__xludf.DUMMYFUNCTION("average(filter('Appearance Sheet'!F:F,'Appearance Sheet'!G:G=B212,'Appearance Sheet'!A:A=C212))"),"#N/A")</f>
        <v>#N/A</v>
      </c>
      <c r="F212" s="67">
        <v>5.480285299</v>
      </c>
      <c r="G212" s="40">
        <v>1.311952265</v>
      </c>
      <c r="H212" s="40" t="str">
        <f t="shared" si="1"/>
        <v>#N/A</v>
      </c>
      <c r="I212" s="41">
        <v>0.581632653</v>
      </c>
      <c r="J212" s="41">
        <v>0.142857143</v>
      </c>
      <c r="K212" s="41">
        <v>0.275510204</v>
      </c>
      <c r="L212" s="41">
        <f t="shared" si="2"/>
        <v>0.306122449</v>
      </c>
      <c r="M212" s="74">
        <v>-3.582738565</v>
      </c>
    </row>
    <row r="213">
      <c r="A213" s="1" t="s">
        <v>155</v>
      </c>
      <c r="B213" s="38">
        <v>592332.0</v>
      </c>
      <c r="C213" s="72">
        <v>45809.0</v>
      </c>
      <c r="D213" s="38">
        <v>92.0</v>
      </c>
      <c r="E213" s="73">
        <f>IFERROR(__xludf.DUMMYFUNCTION("average(filter('Appearance Sheet'!F:F,'Appearance Sheet'!G:G=B213,'Appearance Sheet'!A:A=C213))"),4.666666666666667)</f>
        <v>4.666666667</v>
      </c>
      <c r="F213" s="67">
        <v>5.480086328</v>
      </c>
      <c r="G213" s="40">
        <v>1.220115402</v>
      </c>
      <c r="H213" s="40">
        <f t="shared" si="1"/>
        <v>2.353079704</v>
      </c>
      <c r="I213" s="41">
        <v>0.543478261</v>
      </c>
      <c r="J213" s="41">
        <v>0.206521739</v>
      </c>
      <c r="K213" s="41">
        <v>0.25</v>
      </c>
      <c r="L213" s="41">
        <f t="shared" si="2"/>
        <v>0.293478261</v>
      </c>
      <c r="M213" s="74">
        <v>-2.917051666</v>
      </c>
    </row>
    <row r="214">
      <c r="A214" s="1" t="s">
        <v>129</v>
      </c>
      <c r="B214" s="38">
        <v>686752.0</v>
      </c>
      <c r="C214" s="72">
        <v>45785.0</v>
      </c>
      <c r="D214" s="38">
        <v>89.0</v>
      </c>
      <c r="E214" s="73">
        <f>IFERROR(__xludf.DUMMYFUNCTION("average(filter('Appearance Sheet'!F:F,'Appearance Sheet'!G:G=B214,'Appearance Sheet'!A:A=C214))"),6.0)</f>
        <v>6</v>
      </c>
      <c r="F214" s="67">
        <v>5.480004679</v>
      </c>
      <c r="G214" s="40">
        <v>1.163877415</v>
      </c>
      <c r="H214" s="40">
        <f t="shared" si="1"/>
        <v>1.745816123</v>
      </c>
      <c r="I214" s="41">
        <v>0.573033708</v>
      </c>
      <c r="J214" s="41">
        <v>0.078651685</v>
      </c>
      <c r="K214" s="41">
        <v>0.348314607</v>
      </c>
      <c r="L214" s="41">
        <f t="shared" si="2"/>
        <v>0.224719101</v>
      </c>
      <c r="M214" s="74">
        <v>2.745890467</v>
      </c>
    </row>
    <row r="215">
      <c r="A215" s="1" t="s">
        <v>44</v>
      </c>
      <c r="B215" s="38">
        <v>650911.0</v>
      </c>
      <c r="C215" s="72">
        <v>45840.0</v>
      </c>
      <c r="D215" s="38">
        <v>82.0</v>
      </c>
      <c r="E215" s="73">
        <f>IFERROR(__xludf.DUMMYFUNCTION("average(filter('Appearance Sheet'!F:F,'Appearance Sheet'!G:G=B215,'Appearance Sheet'!A:A=C215))"),7.0)</f>
        <v>7</v>
      </c>
      <c r="F215" s="67">
        <v>5.479595174</v>
      </c>
      <c r="G215" s="40">
        <v>1.081088603</v>
      </c>
      <c r="H215" s="40">
        <f t="shared" si="1"/>
        <v>1.389971061</v>
      </c>
      <c r="I215" s="41">
        <v>0.585365854</v>
      </c>
      <c r="J215" s="41">
        <v>0.134146341</v>
      </c>
      <c r="K215" s="41">
        <v>0.280487805</v>
      </c>
      <c r="L215" s="41">
        <f t="shared" si="2"/>
        <v>0.304878049</v>
      </c>
      <c r="M215" s="74">
        <v>1.318490747</v>
      </c>
    </row>
    <row r="216">
      <c r="A216" s="1" t="s">
        <v>437</v>
      </c>
      <c r="B216" s="38">
        <v>695418.0</v>
      </c>
      <c r="C216" s="72">
        <v>45912.0</v>
      </c>
      <c r="D216" s="38">
        <v>82.0</v>
      </c>
      <c r="E216" s="73" t="str">
        <f>IFERROR(__xludf.DUMMYFUNCTION("average(filter('Appearance Sheet'!F:F,'Appearance Sheet'!G:G=B216,'Appearance Sheet'!A:A=C216))"),"#N/A")</f>
        <v>#N/A</v>
      </c>
      <c r="F216" s="67">
        <v>5.47911822</v>
      </c>
      <c r="G216" s="40">
        <v>1.099713666</v>
      </c>
      <c r="H216" s="40" t="str">
        <f t="shared" si="1"/>
        <v>#N/A</v>
      </c>
      <c r="I216" s="41">
        <v>0.512195122</v>
      </c>
      <c r="J216" s="41">
        <v>0.182926829</v>
      </c>
      <c r="K216" s="41">
        <v>0.304878049</v>
      </c>
      <c r="L216" s="41">
        <f t="shared" si="2"/>
        <v>0.207317073</v>
      </c>
      <c r="M216" s="74">
        <v>-0.32200951</v>
      </c>
    </row>
    <row r="217">
      <c r="A217" s="1" t="s">
        <v>57</v>
      </c>
      <c r="B217" s="38">
        <v>594798.0</v>
      </c>
      <c r="C217" s="72">
        <v>45917.0</v>
      </c>
      <c r="D217" s="38">
        <v>90.0</v>
      </c>
      <c r="E217" s="73" t="str">
        <f>IFERROR(__xludf.DUMMYFUNCTION("average(filter('Appearance Sheet'!F:F,'Appearance Sheet'!G:G=B217,'Appearance Sheet'!A:A=C217))"),"#N/A")</f>
        <v>#N/A</v>
      </c>
      <c r="F217" s="67">
        <v>5.479085747</v>
      </c>
      <c r="G217" s="40">
        <v>1.181647509</v>
      </c>
      <c r="H217" s="40" t="str">
        <f t="shared" si="1"/>
        <v>#N/A</v>
      </c>
      <c r="I217" s="41">
        <v>0.533333333</v>
      </c>
      <c r="J217" s="41">
        <v>0.144444444</v>
      </c>
      <c r="K217" s="41">
        <v>0.322222222</v>
      </c>
      <c r="L217" s="41">
        <f t="shared" si="2"/>
        <v>0.211111111</v>
      </c>
      <c r="M217" s="74">
        <v>-1.702826131</v>
      </c>
    </row>
    <row r="218">
      <c r="A218" s="1" t="s">
        <v>557</v>
      </c>
      <c r="B218" s="38">
        <v>696149.0</v>
      </c>
      <c r="C218" s="72">
        <v>45913.0</v>
      </c>
      <c r="D218" s="38">
        <v>77.0</v>
      </c>
      <c r="E218" s="73" t="str">
        <f>IFERROR(__xludf.DUMMYFUNCTION("average(filter('Appearance Sheet'!F:F,'Appearance Sheet'!G:G=B218,'Appearance Sheet'!A:A=C218))"),"#N/A")</f>
        <v>#N/A</v>
      </c>
      <c r="F218" s="67">
        <v>5.478632525</v>
      </c>
      <c r="G218" s="40">
        <v>1.004486036</v>
      </c>
      <c r="H218" s="40" t="str">
        <f t="shared" si="1"/>
        <v>#N/A</v>
      </c>
      <c r="I218" s="41">
        <v>0.545454545</v>
      </c>
      <c r="J218" s="41">
        <v>0.155844156</v>
      </c>
      <c r="K218" s="41">
        <v>0.298701299</v>
      </c>
      <c r="L218" s="41">
        <f t="shared" si="2"/>
        <v>0.246753246</v>
      </c>
      <c r="M218" s="74">
        <v>1.421676842</v>
      </c>
    </row>
    <row r="219">
      <c r="A219" s="1" t="s">
        <v>115</v>
      </c>
      <c r="B219" s="38">
        <v>543135.0</v>
      </c>
      <c r="C219" s="72">
        <v>45874.0</v>
      </c>
      <c r="D219" s="38">
        <v>93.0</v>
      </c>
      <c r="E219" s="73" t="str">
        <f>IFERROR(__xludf.DUMMYFUNCTION("average(filter('Appearance Sheet'!F:F,'Appearance Sheet'!G:G=B219,'Appearance Sheet'!A:A=C219))"),"#N/A")</f>
        <v>#N/A</v>
      </c>
      <c r="F219" s="67">
        <v>5.477932555</v>
      </c>
      <c r="G219" s="40">
        <v>1.247041455</v>
      </c>
      <c r="H219" s="40" t="str">
        <f t="shared" si="1"/>
        <v>#N/A</v>
      </c>
      <c r="I219" s="41">
        <v>0.602150538</v>
      </c>
      <c r="J219" s="41">
        <v>0.11827957</v>
      </c>
      <c r="K219" s="41">
        <v>0.279569892</v>
      </c>
      <c r="L219" s="41">
        <f t="shared" si="2"/>
        <v>0.322580646</v>
      </c>
      <c r="M219" s="74">
        <v>4.660557789</v>
      </c>
    </row>
    <row r="220">
      <c r="A220" s="1" t="s">
        <v>560</v>
      </c>
      <c r="B220" s="38">
        <v>660730.0</v>
      </c>
      <c r="C220" s="72">
        <v>45747.0</v>
      </c>
      <c r="D220" s="38">
        <v>61.0</v>
      </c>
      <c r="E220" s="73">
        <f>IFERROR(__xludf.DUMMYFUNCTION("average(filter('Appearance Sheet'!F:F,'Appearance Sheet'!G:G=B220,'Appearance Sheet'!A:A=C220))"),4.0)</f>
        <v>4</v>
      </c>
      <c r="F220" s="67">
        <v>5.477574023</v>
      </c>
      <c r="G220" s="40">
        <v>0.86152259</v>
      </c>
      <c r="H220" s="40">
        <f t="shared" si="1"/>
        <v>1.938425828</v>
      </c>
      <c r="I220" s="41">
        <v>0.524590164</v>
      </c>
      <c r="J220" s="41">
        <v>0.180327869</v>
      </c>
      <c r="K220" s="41">
        <v>0.295081967</v>
      </c>
      <c r="L220" s="41">
        <f t="shared" si="2"/>
        <v>0.229508197</v>
      </c>
      <c r="M220" s="74">
        <v>-2.073469256</v>
      </c>
    </row>
    <row r="221">
      <c r="A221" s="1" t="s">
        <v>287</v>
      </c>
      <c r="B221" s="38">
        <v>571945.0</v>
      </c>
      <c r="C221" s="72">
        <v>45908.0</v>
      </c>
      <c r="D221" s="38">
        <v>73.0</v>
      </c>
      <c r="E221" s="73" t="str">
        <f>IFERROR(__xludf.DUMMYFUNCTION("average(filter('Appearance Sheet'!F:F,'Appearance Sheet'!G:G=B221,'Appearance Sheet'!A:A=C221))"),"#N/A")</f>
        <v>#N/A</v>
      </c>
      <c r="F221" s="67">
        <v>5.477305452</v>
      </c>
      <c r="G221" s="40">
        <v>0.992381991</v>
      </c>
      <c r="H221" s="40" t="str">
        <f t="shared" si="1"/>
        <v>#N/A</v>
      </c>
      <c r="I221" s="41">
        <v>0.465753425</v>
      </c>
      <c r="J221" s="41">
        <v>0.191780822</v>
      </c>
      <c r="K221" s="41">
        <v>0.342465753</v>
      </c>
      <c r="L221" s="41">
        <f t="shared" si="2"/>
        <v>0.123287672</v>
      </c>
      <c r="M221" s="74">
        <v>1.281114447</v>
      </c>
    </row>
    <row r="222">
      <c r="A222" s="1" t="s">
        <v>158</v>
      </c>
      <c r="B222" s="38">
        <v>608372.0</v>
      </c>
      <c r="C222" s="72">
        <v>45907.0</v>
      </c>
      <c r="D222" s="38">
        <v>66.0</v>
      </c>
      <c r="E222" s="73" t="str">
        <f>IFERROR(__xludf.DUMMYFUNCTION("average(filter('Appearance Sheet'!F:F,'Appearance Sheet'!G:G=B222,'Appearance Sheet'!A:A=C222))"),"#N/A")</f>
        <v>#N/A</v>
      </c>
      <c r="F222" s="67">
        <v>5.476917931</v>
      </c>
      <c r="G222" s="40">
        <v>0.89421701</v>
      </c>
      <c r="H222" s="40" t="str">
        <f t="shared" si="1"/>
        <v>#N/A</v>
      </c>
      <c r="I222" s="41">
        <v>0.560606061</v>
      </c>
      <c r="J222" s="41">
        <v>0.196969697</v>
      </c>
      <c r="K222" s="41">
        <v>0.242424242</v>
      </c>
      <c r="L222" s="41">
        <f t="shared" si="2"/>
        <v>0.318181819</v>
      </c>
      <c r="M222" s="74">
        <v>-2.400628059</v>
      </c>
    </row>
    <row r="223">
      <c r="A223" s="1" t="s">
        <v>187</v>
      </c>
      <c r="B223" s="38">
        <v>641302.0</v>
      </c>
      <c r="C223" s="72">
        <v>45880.0</v>
      </c>
      <c r="D223" s="38">
        <v>64.0</v>
      </c>
      <c r="E223" s="73" t="str">
        <f>IFERROR(__xludf.DUMMYFUNCTION("average(filter('Appearance Sheet'!F:F,'Appearance Sheet'!G:G=B223,'Appearance Sheet'!A:A=C223))"),"#N/A")</f>
        <v>#N/A</v>
      </c>
      <c r="F223" s="67">
        <v>5.475233207</v>
      </c>
      <c r="G223" s="40">
        <v>0.847562842</v>
      </c>
      <c r="H223" s="40" t="str">
        <f t="shared" si="1"/>
        <v>#N/A</v>
      </c>
      <c r="I223" s="41">
        <v>0.5625</v>
      </c>
      <c r="J223" s="41">
        <v>0.125</v>
      </c>
      <c r="K223" s="41">
        <v>0.3125</v>
      </c>
      <c r="L223" s="41">
        <f t="shared" si="2"/>
        <v>0.25</v>
      </c>
      <c r="M223" s="74">
        <v>1.647203004</v>
      </c>
    </row>
    <row r="224">
      <c r="A224" s="1" t="s">
        <v>253</v>
      </c>
      <c r="B224" s="38">
        <v>701581.0</v>
      </c>
      <c r="C224" s="72">
        <v>45763.0</v>
      </c>
      <c r="D224" s="38">
        <v>76.0</v>
      </c>
      <c r="E224" s="73">
        <f>IFERROR(__xludf.DUMMYFUNCTION("average(filter('Appearance Sheet'!F:F,'Appearance Sheet'!G:G=B224,'Appearance Sheet'!A:A=C224))"),4.333333333333333)</f>
        <v>4.333333333</v>
      </c>
      <c r="F224" s="67">
        <v>5.474787078</v>
      </c>
      <c r="G224" s="40">
        <v>1.003106092</v>
      </c>
      <c r="H224" s="40">
        <f t="shared" si="1"/>
        <v>2.083374191</v>
      </c>
      <c r="I224" s="41">
        <v>0.592105263</v>
      </c>
      <c r="J224" s="41">
        <v>0.157894737</v>
      </c>
      <c r="K224" s="41">
        <v>0.25</v>
      </c>
      <c r="L224" s="41">
        <f t="shared" si="2"/>
        <v>0.342105263</v>
      </c>
      <c r="M224" s="74">
        <v>-0.373370827</v>
      </c>
    </row>
    <row r="225">
      <c r="A225" s="1" t="s">
        <v>296</v>
      </c>
      <c r="B225" s="38">
        <v>669372.0</v>
      </c>
      <c r="C225" s="72">
        <v>45865.0</v>
      </c>
      <c r="D225" s="38">
        <v>70.0</v>
      </c>
      <c r="E225" s="73" t="str">
        <f>IFERROR(__xludf.DUMMYFUNCTION("average(filter('Appearance Sheet'!F:F,'Appearance Sheet'!G:G=B225,'Appearance Sheet'!A:A=C225))"),"#N/A")</f>
        <v>#N/A</v>
      </c>
      <c r="F225" s="67">
        <v>5.474149358</v>
      </c>
      <c r="G225" s="40">
        <v>0.939858412</v>
      </c>
      <c r="H225" s="40" t="str">
        <f t="shared" si="1"/>
        <v>#N/A</v>
      </c>
      <c r="I225" s="41">
        <v>0.557142857</v>
      </c>
      <c r="J225" s="41">
        <v>0.171428571</v>
      </c>
      <c r="K225" s="41">
        <v>0.271428571</v>
      </c>
      <c r="L225" s="41">
        <f t="shared" si="2"/>
        <v>0.285714286</v>
      </c>
      <c r="M225" s="74">
        <v>2.384221173</v>
      </c>
    </row>
    <row r="226">
      <c r="A226" s="1" t="s">
        <v>84</v>
      </c>
      <c r="B226" s="38">
        <v>669373.0</v>
      </c>
      <c r="C226" s="72">
        <v>45779.0</v>
      </c>
      <c r="D226" s="38">
        <v>70.0</v>
      </c>
      <c r="E226" s="73">
        <f>IFERROR(__xludf.DUMMYFUNCTION("average(filter('Appearance Sheet'!F:F,'Appearance Sheet'!G:G=B226,'Appearance Sheet'!A:A=C226))"),6.0)</f>
        <v>6</v>
      </c>
      <c r="F226" s="67">
        <v>5.473991678</v>
      </c>
      <c r="G226" s="40">
        <v>0.950833132</v>
      </c>
      <c r="H226" s="40">
        <f t="shared" si="1"/>
        <v>1.426249698</v>
      </c>
      <c r="I226" s="41">
        <v>0.557142857</v>
      </c>
      <c r="J226" s="41">
        <v>0.185714286</v>
      </c>
      <c r="K226" s="41">
        <v>0.257142857</v>
      </c>
      <c r="L226" s="41">
        <f t="shared" si="2"/>
        <v>0.3</v>
      </c>
      <c r="M226" s="74">
        <v>1.136232495</v>
      </c>
    </row>
    <row r="227">
      <c r="A227" s="1" t="s">
        <v>118</v>
      </c>
      <c r="B227" s="38">
        <v>695505.0</v>
      </c>
      <c r="C227" s="72">
        <v>45877.0</v>
      </c>
      <c r="D227" s="38">
        <v>94.0</v>
      </c>
      <c r="E227" s="73" t="str">
        <f>IFERROR(__xludf.DUMMYFUNCTION("average(filter('Appearance Sheet'!F:F,'Appearance Sheet'!G:G=B227,'Appearance Sheet'!A:A=C227))"),"#N/A")</f>
        <v>#N/A</v>
      </c>
      <c r="F227" s="67">
        <v>5.473800511</v>
      </c>
      <c r="G227" s="40">
        <v>1.238286501</v>
      </c>
      <c r="H227" s="40" t="str">
        <f t="shared" si="1"/>
        <v>#N/A</v>
      </c>
      <c r="I227" s="41">
        <v>0.595744681</v>
      </c>
      <c r="J227" s="41">
        <v>0.106382979</v>
      </c>
      <c r="K227" s="41">
        <v>0.29787234</v>
      </c>
      <c r="L227" s="41">
        <f t="shared" si="2"/>
        <v>0.297872341</v>
      </c>
      <c r="M227" s="74">
        <v>1.527683302</v>
      </c>
    </row>
    <row r="228">
      <c r="A228" s="1" t="s">
        <v>95</v>
      </c>
      <c r="B228" s="38">
        <v>543243.0</v>
      </c>
      <c r="C228" s="72">
        <v>45808.0</v>
      </c>
      <c r="D228" s="38">
        <v>87.0</v>
      </c>
      <c r="E228" s="73">
        <f>IFERROR(__xludf.DUMMYFUNCTION("average(filter('Appearance Sheet'!F:F,'Appearance Sheet'!G:G=B228,'Appearance Sheet'!A:A=C228))"),7.0)</f>
        <v>7</v>
      </c>
      <c r="F228" s="67">
        <v>5.473512238</v>
      </c>
      <c r="G228" s="40">
        <v>1.153871538</v>
      </c>
      <c r="H228" s="40">
        <f t="shared" si="1"/>
        <v>1.48354912</v>
      </c>
      <c r="I228" s="41">
        <v>0.540229885</v>
      </c>
      <c r="J228" s="41">
        <v>0.24137931</v>
      </c>
      <c r="K228" s="41">
        <v>0.218390805</v>
      </c>
      <c r="L228" s="41">
        <f t="shared" si="2"/>
        <v>0.32183908</v>
      </c>
      <c r="M228" s="74">
        <v>1.678252861</v>
      </c>
    </row>
    <row r="229">
      <c r="A229" s="1" t="s">
        <v>239</v>
      </c>
      <c r="B229" s="38">
        <v>806960.0</v>
      </c>
      <c r="C229" s="72">
        <v>45908.0</v>
      </c>
      <c r="D229" s="38">
        <v>80.0</v>
      </c>
      <c r="E229" s="73" t="str">
        <f>IFERROR(__xludf.DUMMYFUNCTION("average(filter('Appearance Sheet'!F:F,'Appearance Sheet'!G:G=B229,'Appearance Sheet'!A:A=C229))"),"#N/A")</f>
        <v>#N/A</v>
      </c>
      <c r="F229" s="67">
        <v>5.473326652</v>
      </c>
      <c r="G229" s="40">
        <v>1.076949078</v>
      </c>
      <c r="H229" s="40" t="str">
        <f t="shared" si="1"/>
        <v>#N/A</v>
      </c>
      <c r="I229" s="41">
        <v>0.6</v>
      </c>
      <c r="J229" s="41">
        <v>0.125</v>
      </c>
      <c r="K229" s="41">
        <v>0.275</v>
      </c>
      <c r="L229" s="41">
        <f t="shared" si="2"/>
        <v>0.325</v>
      </c>
      <c r="M229" s="74">
        <v>-2.438852959</v>
      </c>
    </row>
    <row r="230">
      <c r="A230" s="1" t="s">
        <v>356</v>
      </c>
      <c r="B230" s="38">
        <v>680732.0</v>
      </c>
      <c r="C230" s="72">
        <v>45749.0</v>
      </c>
      <c r="D230" s="38">
        <v>74.0</v>
      </c>
      <c r="E230" s="73">
        <f>IFERROR(__xludf.DUMMYFUNCTION("average(filter('Appearance Sheet'!F:F,'Appearance Sheet'!G:G=B230,'Appearance Sheet'!A:A=C230))"),4.333333333333333)</f>
        <v>4.333333333</v>
      </c>
      <c r="F230" s="67">
        <v>5.47317133</v>
      </c>
      <c r="G230" s="40">
        <v>0.991690494</v>
      </c>
      <c r="H230" s="40">
        <f t="shared" si="1"/>
        <v>2.059664872</v>
      </c>
      <c r="I230" s="41">
        <v>0.540540541</v>
      </c>
      <c r="J230" s="41">
        <v>0.216216216</v>
      </c>
      <c r="K230" s="41">
        <v>0.243243243</v>
      </c>
      <c r="L230" s="41">
        <f t="shared" si="2"/>
        <v>0.297297298</v>
      </c>
      <c r="M230" s="74">
        <v>-2.819776242</v>
      </c>
    </row>
    <row r="231">
      <c r="A231" s="1" t="s">
        <v>307</v>
      </c>
      <c r="B231" s="38">
        <v>656849.0</v>
      </c>
      <c r="C231" s="72">
        <v>45776.0</v>
      </c>
      <c r="D231" s="38">
        <v>82.0</v>
      </c>
      <c r="E231" s="73">
        <f>IFERROR(__xludf.DUMMYFUNCTION("average(filter('Appearance Sheet'!F:F,'Appearance Sheet'!G:G=B231,'Appearance Sheet'!A:A=C231))"),5.0)</f>
        <v>5</v>
      </c>
      <c r="F231" s="67">
        <v>5.472627195</v>
      </c>
      <c r="G231" s="40">
        <v>1.115066044</v>
      </c>
      <c r="H231" s="40">
        <f t="shared" si="1"/>
        <v>2.007118879</v>
      </c>
      <c r="I231" s="41">
        <v>0.5</v>
      </c>
      <c r="J231" s="41">
        <v>0.231707317</v>
      </c>
      <c r="K231" s="41">
        <v>0.268292683</v>
      </c>
      <c r="L231" s="41">
        <f t="shared" si="2"/>
        <v>0.231707317</v>
      </c>
      <c r="M231" s="74">
        <v>2.588881687</v>
      </c>
    </row>
    <row r="232">
      <c r="A232" s="1" t="s">
        <v>282</v>
      </c>
      <c r="B232" s="38">
        <v>656302.0</v>
      </c>
      <c r="C232" s="72">
        <v>45744.0</v>
      </c>
      <c r="D232" s="38">
        <v>92.0</v>
      </c>
      <c r="E232" s="73">
        <f>IFERROR(__xludf.DUMMYFUNCTION("average(filter('Appearance Sheet'!F:F,'Appearance Sheet'!G:G=B232,'Appearance Sheet'!A:A=C232))"),4.333333333333333)</f>
        <v>4.333333333</v>
      </c>
      <c r="F232" s="67">
        <v>5.472534766</v>
      </c>
      <c r="G232" s="40">
        <v>1.173400918</v>
      </c>
      <c r="H232" s="40">
        <f t="shared" si="1"/>
        <v>2.437063445</v>
      </c>
      <c r="I232" s="41">
        <v>0.489130435</v>
      </c>
      <c r="J232" s="41">
        <v>0.260869565</v>
      </c>
      <c r="K232" s="41">
        <v>0.25</v>
      </c>
      <c r="L232" s="41">
        <f t="shared" si="2"/>
        <v>0.239130435</v>
      </c>
      <c r="M232" s="74">
        <v>0.267490166</v>
      </c>
    </row>
    <row r="233">
      <c r="A233" s="1" t="s">
        <v>245</v>
      </c>
      <c r="B233" s="38">
        <v>571578.0</v>
      </c>
      <c r="C233" s="72">
        <v>45826.0</v>
      </c>
      <c r="D233" s="38">
        <v>82.0</v>
      </c>
      <c r="E233" s="73">
        <f>IFERROR(__xludf.DUMMYFUNCTION("average(filter('Appearance Sheet'!F:F,'Appearance Sheet'!G:G=B233,'Appearance Sheet'!A:A=C233))"),5.0)</f>
        <v>5</v>
      </c>
      <c r="F233" s="67">
        <v>5.47241027</v>
      </c>
      <c r="G233" s="40">
        <v>1.123678372</v>
      </c>
      <c r="H233" s="40">
        <f t="shared" si="1"/>
        <v>2.02262107</v>
      </c>
      <c r="I233" s="41">
        <v>0.524390244</v>
      </c>
      <c r="J233" s="41">
        <v>0.182926829</v>
      </c>
      <c r="K233" s="41">
        <v>0.292682927</v>
      </c>
      <c r="L233" s="41">
        <f t="shared" si="2"/>
        <v>0.231707317</v>
      </c>
      <c r="M233" s="74">
        <v>-0.960625529</v>
      </c>
    </row>
    <row r="234">
      <c r="A234" s="1" t="s">
        <v>299</v>
      </c>
      <c r="B234" s="38">
        <v>621112.0</v>
      </c>
      <c r="C234" s="72">
        <v>45810.0</v>
      </c>
      <c r="D234" s="38">
        <v>73.0</v>
      </c>
      <c r="E234" s="73">
        <f>IFERROR(__xludf.DUMMYFUNCTION("average(filter('Appearance Sheet'!F:F,'Appearance Sheet'!G:G=B234,'Appearance Sheet'!A:A=C234))"),5.0)</f>
        <v>5</v>
      </c>
      <c r="F234" s="67">
        <v>5.471942663</v>
      </c>
      <c r="G234" s="40">
        <v>0.964275436</v>
      </c>
      <c r="H234" s="40">
        <f t="shared" si="1"/>
        <v>1.735695785</v>
      </c>
      <c r="I234" s="41">
        <v>0.506849315</v>
      </c>
      <c r="J234" s="41">
        <v>0.260273973</v>
      </c>
      <c r="K234" s="41">
        <v>0.232876712</v>
      </c>
      <c r="L234" s="41">
        <f t="shared" si="2"/>
        <v>0.273972603</v>
      </c>
      <c r="M234" s="74">
        <v>1.738695958</v>
      </c>
    </row>
    <row r="235">
      <c r="A235" s="1" t="s">
        <v>44</v>
      </c>
      <c r="B235" s="38">
        <v>650911.0</v>
      </c>
      <c r="C235" s="72">
        <v>45916.0</v>
      </c>
      <c r="D235" s="38">
        <v>98.0</v>
      </c>
      <c r="E235" s="73" t="str">
        <f>IFERROR(__xludf.DUMMYFUNCTION("average(filter('Appearance Sheet'!F:F,'Appearance Sheet'!G:G=B235,'Appearance Sheet'!A:A=C235))"),"#N/A")</f>
        <v>#N/A</v>
      </c>
      <c r="F235" s="67">
        <v>5.471794735</v>
      </c>
      <c r="G235" s="40">
        <v>1.348147439</v>
      </c>
      <c r="H235" s="40" t="str">
        <f t="shared" si="1"/>
        <v>#N/A</v>
      </c>
      <c r="I235" s="41">
        <v>0.520408163</v>
      </c>
      <c r="J235" s="41">
        <v>0.204081633</v>
      </c>
      <c r="K235" s="41">
        <v>0.275510204</v>
      </c>
      <c r="L235" s="41">
        <f t="shared" si="2"/>
        <v>0.244897959</v>
      </c>
      <c r="M235" s="74">
        <v>0.58372351</v>
      </c>
    </row>
    <row r="236">
      <c r="A236" s="1" t="s">
        <v>386</v>
      </c>
      <c r="B236" s="38">
        <v>656731.0</v>
      </c>
      <c r="C236" s="72">
        <v>45744.0</v>
      </c>
      <c r="D236" s="38">
        <v>77.0</v>
      </c>
      <c r="E236" s="73">
        <f>IFERROR(__xludf.DUMMYFUNCTION("average(filter('Appearance Sheet'!F:F,'Appearance Sheet'!G:G=B236,'Appearance Sheet'!A:A=C236))"),5.0)</f>
        <v>5</v>
      </c>
      <c r="F236" s="67">
        <v>5.471329316</v>
      </c>
      <c r="G236" s="40">
        <v>1.052608626</v>
      </c>
      <c r="H236" s="40">
        <f t="shared" si="1"/>
        <v>1.894695527</v>
      </c>
      <c r="I236" s="41">
        <v>0.558441558</v>
      </c>
      <c r="J236" s="41">
        <v>0.116883117</v>
      </c>
      <c r="K236" s="41">
        <v>0.324675325</v>
      </c>
      <c r="L236" s="41">
        <f t="shared" si="2"/>
        <v>0.233766233</v>
      </c>
      <c r="M236" s="74">
        <v>0.608103371</v>
      </c>
    </row>
    <row r="237">
      <c r="A237" s="1" t="s">
        <v>129</v>
      </c>
      <c r="B237" s="38">
        <v>686752.0</v>
      </c>
      <c r="C237" s="72">
        <v>45744.0</v>
      </c>
      <c r="D237" s="38">
        <v>85.0</v>
      </c>
      <c r="E237" s="73">
        <f>IFERROR(__xludf.DUMMYFUNCTION("average(filter('Appearance Sheet'!F:F,'Appearance Sheet'!G:G=B237,'Appearance Sheet'!A:A=C237))"),6.0)</f>
        <v>6</v>
      </c>
      <c r="F237" s="67">
        <v>5.470460124</v>
      </c>
      <c r="G237" s="40">
        <v>1.166722629</v>
      </c>
      <c r="H237" s="40">
        <f t="shared" si="1"/>
        <v>1.750083944</v>
      </c>
      <c r="I237" s="41">
        <v>0.576470588</v>
      </c>
      <c r="J237" s="41">
        <v>0.152941176</v>
      </c>
      <c r="K237" s="41">
        <v>0.270588235</v>
      </c>
      <c r="L237" s="41">
        <f t="shared" si="2"/>
        <v>0.305882353</v>
      </c>
      <c r="M237" s="74">
        <v>-1.661669213</v>
      </c>
    </row>
    <row r="238">
      <c r="A238" s="1" t="s">
        <v>172</v>
      </c>
      <c r="B238" s="38">
        <v>608650.0</v>
      </c>
      <c r="C238" s="72">
        <v>45841.0</v>
      </c>
      <c r="D238" s="38">
        <v>81.0</v>
      </c>
      <c r="E238" s="73">
        <f>IFERROR(__xludf.DUMMYFUNCTION("average(filter('Appearance Sheet'!F:F,'Appearance Sheet'!G:G=B238,'Appearance Sheet'!A:A=C238))"),4.0)</f>
        <v>4</v>
      </c>
      <c r="F238" s="67">
        <v>5.470458537</v>
      </c>
      <c r="G238" s="40">
        <v>1.1180602</v>
      </c>
      <c r="H238" s="40">
        <f t="shared" si="1"/>
        <v>2.51563545</v>
      </c>
      <c r="I238" s="41">
        <v>0.567901235</v>
      </c>
      <c r="J238" s="41">
        <v>0.197530864</v>
      </c>
      <c r="K238" s="41">
        <v>0.234567901</v>
      </c>
      <c r="L238" s="41">
        <f t="shared" si="2"/>
        <v>0.333333334</v>
      </c>
      <c r="M238" s="74">
        <v>-3.323151727</v>
      </c>
    </row>
    <row r="239">
      <c r="A239" s="1" t="s">
        <v>115</v>
      </c>
      <c r="B239" s="38">
        <v>543135.0</v>
      </c>
      <c r="C239" s="72">
        <v>45799.0</v>
      </c>
      <c r="D239" s="38">
        <v>101.0</v>
      </c>
      <c r="E239" s="73">
        <f>IFERROR(__xludf.DUMMYFUNCTION("average(filter('Appearance Sheet'!F:F,'Appearance Sheet'!G:G=B239,'Appearance Sheet'!A:A=C239))"),6.0)</f>
        <v>6</v>
      </c>
      <c r="F239" s="67">
        <v>5.470260152</v>
      </c>
      <c r="G239" s="40">
        <v>1.360892228</v>
      </c>
      <c r="H239" s="40">
        <f t="shared" si="1"/>
        <v>2.041338342</v>
      </c>
      <c r="I239" s="41">
        <v>0.574257426</v>
      </c>
      <c r="J239" s="41">
        <v>0.04950495</v>
      </c>
      <c r="K239" s="41">
        <v>0.376237624</v>
      </c>
      <c r="L239" s="41">
        <f t="shared" si="2"/>
        <v>0.198019802</v>
      </c>
      <c r="M239" s="74">
        <v>1.906347161</v>
      </c>
    </row>
    <row r="240">
      <c r="A240" s="1" t="s">
        <v>137</v>
      </c>
      <c r="B240" s="38">
        <v>453286.0</v>
      </c>
      <c r="C240" s="72">
        <v>45924.0</v>
      </c>
      <c r="D240" s="38">
        <v>84.0</v>
      </c>
      <c r="E240" s="73" t="str">
        <f>IFERROR(__xludf.DUMMYFUNCTION("average(filter('Appearance Sheet'!F:F,'Appearance Sheet'!G:G=B240,'Appearance Sheet'!A:A=C240))"),"#N/A")</f>
        <v>#N/A</v>
      </c>
      <c r="F240" s="67">
        <v>5.470006114</v>
      </c>
      <c r="G240" s="40">
        <v>1.157416353</v>
      </c>
      <c r="H240" s="40" t="str">
        <f t="shared" si="1"/>
        <v>#N/A</v>
      </c>
      <c r="I240" s="41">
        <v>0.55952381</v>
      </c>
      <c r="J240" s="41">
        <v>0.25</v>
      </c>
      <c r="K240" s="41">
        <v>0.19047619</v>
      </c>
      <c r="L240" s="41">
        <f t="shared" si="2"/>
        <v>0.36904762</v>
      </c>
      <c r="M240" s="74">
        <v>-5.441020561</v>
      </c>
    </row>
    <row r="241">
      <c r="A241" s="1" t="s">
        <v>164</v>
      </c>
      <c r="B241" s="38">
        <v>669923.0</v>
      </c>
      <c r="C241" s="72">
        <v>45864.0</v>
      </c>
      <c r="D241" s="38">
        <v>97.0</v>
      </c>
      <c r="E241" s="73" t="str">
        <f>IFERROR(__xludf.DUMMYFUNCTION("average(filter('Appearance Sheet'!F:F,'Appearance Sheet'!G:G=B241,'Appearance Sheet'!A:A=C241))"),"#N/A")</f>
        <v>#N/A</v>
      </c>
      <c r="F241" s="67">
        <v>5.469474998</v>
      </c>
      <c r="G241" s="40">
        <v>1.293441554</v>
      </c>
      <c r="H241" s="40" t="str">
        <f t="shared" si="1"/>
        <v>#N/A</v>
      </c>
      <c r="I241" s="41">
        <v>0.536082474</v>
      </c>
      <c r="J241" s="41">
        <v>0.164948454</v>
      </c>
      <c r="K241" s="41">
        <v>0.298969072</v>
      </c>
      <c r="L241" s="41">
        <f t="shared" si="2"/>
        <v>0.237113402</v>
      </c>
      <c r="M241" s="74">
        <v>1.585376547</v>
      </c>
    </row>
    <row r="242">
      <c r="A242" s="1" t="s">
        <v>158</v>
      </c>
      <c r="B242" s="38">
        <v>608372.0</v>
      </c>
      <c r="C242" s="72">
        <v>45775.0</v>
      </c>
      <c r="D242" s="38">
        <v>94.0</v>
      </c>
      <c r="E242" s="73">
        <f>IFERROR(__xludf.DUMMYFUNCTION("average(filter('Appearance Sheet'!F:F,'Appearance Sheet'!G:G=B242,'Appearance Sheet'!A:A=C242))"),5.0)</f>
        <v>5</v>
      </c>
      <c r="F242" s="67">
        <v>5.46922497</v>
      </c>
      <c r="G242" s="40">
        <v>1.281769852</v>
      </c>
      <c r="H242" s="40">
        <f t="shared" si="1"/>
        <v>2.307185734</v>
      </c>
      <c r="I242" s="41">
        <v>0.563829787</v>
      </c>
      <c r="J242" s="41">
        <v>0.138297872</v>
      </c>
      <c r="K242" s="41">
        <v>0.29787234</v>
      </c>
      <c r="L242" s="41">
        <f t="shared" si="2"/>
        <v>0.265957447</v>
      </c>
      <c r="M242" s="74">
        <v>-0.086228544</v>
      </c>
    </row>
    <row r="243">
      <c r="A243" s="1" t="s">
        <v>209</v>
      </c>
      <c r="B243" s="38">
        <v>694738.0</v>
      </c>
      <c r="C243" s="72">
        <v>45811.0</v>
      </c>
      <c r="D243" s="38">
        <v>92.0</v>
      </c>
      <c r="E243" s="73">
        <f>IFERROR(__xludf.DUMMYFUNCTION("average(filter('Appearance Sheet'!F:F,'Appearance Sheet'!G:G=B243,'Appearance Sheet'!A:A=C243))"),6.333333333333333)</f>
        <v>6.333333333</v>
      </c>
      <c r="F243" s="67">
        <v>5.469176228</v>
      </c>
      <c r="G243" s="40">
        <v>1.201376174</v>
      </c>
      <c r="H243" s="40">
        <f t="shared" si="1"/>
        <v>1.707218774</v>
      </c>
      <c r="I243" s="41">
        <v>0.608695652</v>
      </c>
      <c r="J243" s="41">
        <v>0.119565217</v>
      </c>
      <c r="K243" s="41">
        <v>0.27173913</v>
      </c>
      <c r="L243" s="41">
        <f t="shared" si="2"/>
        <v>0.336956522</v>
      </c>
      <c r="M243" s="74">
        <v>1.291645568</v>
      </c>
    </row>
    <row r="244">
      <c r="A244" s="1" t="s">
        <v>79</v>
      </c>
      <c r="B244" s="38">
        <v>554430.0</v>
      </c>
      <c r="C244" s="72">
        <v>45765.0</v>
      </c>
      <c r="D244" s="38">
        <v>92.0</v>
      </c>
      <c r="E244" s="73">
        <f>IFERROR(__xludf.DUMMYFUNCTION("average(filter('Appearance Sheet'!F:F,'Appearance Sheet'!G:G=B244,'Appearance Sheet'!A:A=C244))"),7.0)</f>
        <v>7</v>
      </c>
      <c r="F244" s="67">
        <v>5.469121029</v>
      </c>
      <c r="G244" s="40">
        <v>1.226062012</v>
      </c>
      <c r="H244" s="40">
        <f t="shared" si="1"/>
        <v>1.576365444</v>
      </c>
      <c r="I244" s="41">
        <v>0.543478261</v>
      </c>
      <c r="J244" s="41">
        <v>0.173913043</v>
      </c>
      <c r="K244" s="41">
        <v>0.282608696</v>
      </c>
      <c r="L244" s="41">
        <f t="shared" si="2"/>
        <v>0.260869565</v>
      </c>
      <c r="M244" s="74">
        <v>-0.53162098</v>
      </c>
    </row>
    <row r="245">
      <c r="A245" s="1" t="s">
        <v>98</v>
      </c>
      <c r="B245" s="38">
        <v>605400.0</v>
      </c>
      <c r="C245" s="72">
        <v>45774.0</v>
      </c>
      <c r="D245" s="38">
        <v>97.0</v>
      </c>
      <c r="E245" s="73">
        <f>IFERROR(__xludf.DUMMYFUNCTION("average(filter('Appearance Sheet'!F:F,'Appearance Sheet'!G:G=B245,'Appearance Sheet'!A:A=C245))"),7.0)</f>
        <v>7</v>
      </c>
      <c r="F245" s="67">
        <v>5.468247097</v>
      </c>
      <c r="G245" s="40">
        <v>1.261647206</v>
      </c>
      <c r="H245" s="40">
        <f t="shared" si="1"/>
        <v>1.622117836</v>
      </c>
      <c r="I245" s="41">
        <v>0.546391753</v>
      </c>
      <c r="J245" s="41">
        <v>0.237113402</v>
      </c>
      <c r="K245" s="41">
        <v>0.216494845</v>
      </c>
      <c r="L245" s="41">
        <f t="shared" si="2"/>
        <v>0.329896908</v>
      </c>
      <c r="M245" s="74">
        <v>2.685246056</v>
      </c>
    </row>
    <row r="246">
      <c r="A246" s="1" t="s">
        <v>321</v>
      </c>
      <c r="B246" s="38">
        <v>607200.0</v>
      </c>
      <c r="C246" s="72">
        <v>45896.0</v>
      </c>
      <c r="D246" s="38">
        <v>70.0</v>
      </c>
      <c r="E246" s="73" t="str">
        <f>IFERROR(__xludf.DUMMYFUNCTION("average(filter('Appearance Sheet'!F:F,'Appearance Sheet'!G:G=B246,'Appearance Sheet'!A:A=C246))"),"#N/A")</f>
        <v>#N/A</v>
      </c>
      <c r="F246" s="67">
        <v>5.467773965</v>
      </c>
      <c r="G246" s="40">
        <v>0.940706013</v>
      </c>
      <c r="H246" s="40" t="str">
        <f t="shared" si="1"/>
        <v>#N/A</v>
      </c>
      <c r="I246" s="41">
        <v>0.528571429</v>
      </c>
      <c r="J246" s="41">
        <v>0.185714286</v>
      </c>
      <c r="K246" s="41">
        <v>0.285714286</v>
      </c>
      <c r="L246" s="41">
        <f t="shared" si="2"/>
        <v>0.242857143</v>
      </c>
      <c r="M246" s="74">
        <v>-3.760315915</v>
      </c>
    </row>
    <row r="247">
      <c r="A247" s="1" t="s">
        <v>158</v>
      </c>
      <c r="B247" s="38">
        <v>608372.0</v>
      </c>
      <c r="C247" s="72">
        <v>45913.0</v>
      </c>
      <c r="D247" s="38">
        <v>61.0</v>
      </c>
      <c r="E247" s="73" t="str">
        <f>IFERROR(__xludf.DUMMYFUNCTION("average(filter('Appearance Sheet'!F:F,'Appearance Sheet'!G:G=B247,'Appearance Sheet'!A:A=C247))"),"#N/A")</f>
        <v>#N/A</v>
      </c>
      <c r="F247" s="67">
        <v>5.467144283</v>
      </c>
      <c r="G247" s="40">
        <v>0.841732011</v>
      </c>
      <c r="H247" s="40" t="str">
        <f t="shared" si="1"/>
        <v>#N/A</v>
      </c>
      <c r="I247" s="41">
        <v>0.590163934</v>
      </c>
      <c r="J247" s="41">
        <v>0.114754098</v>
      </c>
      <c r="K247" s="41">
        <v>0.295081967</v>
      </c>
      <c r="L247" s="41">
        <f t="shared" si="2"/>
        <v>0.295081967</v>
      </c>
      <c r="M247" s="74">
        <v>-0.646976633</v>
      </c>
    </row>
    <row r="248">
      <c r="A248" s="1" t="s">
        <v>197</v>
      </c>
      <c r="B248" s="38">
        <v>676467.0</v>
      </c>
      <c r="C248" s="72">
        <v>45845.0</v>
      </c>
      <c r="D248" s="38">
        <v>81.0</v>
      </c>
      <c r="E248" s="73" t="str">
        <f>IFERROR(__xludf.DUMMYFUNCTION("average(filter('Appearance Sheet'!F:F,'Appearance Sheet'!G:G=B248,'Appearance Sheet'!A:A=C248))"),"#N/A")</f>
        <v>#N/A</v>
      </c>
      <c r="F248" s="67">
        <v>5.466889241</v>
      </c>
      <c r="G248" s="40">
        <v>1.126710031</v>
      </c>
      <c r="H248" s="40" t="str">
        <f t="shared" si="1"/>
        <v>#N/A</v>
      </c>
      <c r="I248" s="41">
        <v>0.567901235</v>
      </c>
      <c r="J248" s="41">
        <v>0.135802469</v>
      </c>
      <c r="K248" s="41">
        <v>0.296296296</v>
      </c>
      <c r="L248" s="41">
        <f t="shared" si="2"/>
        <v>0.271604939</v>
      </c>
      <c r="M248" s="74">
        <v>-2.97438948</v>
      </c>
    </row>
    <row r="249">
      <c r="A249" s="1" t="s">
        <v>195</v>
      </c>
      <c r="B249" s="38">
        <v>668678.0</v>
      </c>
      <c r="C249" s="72">
        <v>45749.0</v>
      </c>
      <c r="D249" s="38">
        <v>101.0</v>
      </c>
      <c r="E249" s="73">
        <f>IFERROR(__xludf.DUMMYFUNCTION("average(filter('Appearance Sheet'!F:F,'Appearance Sheet'!G:G=B249,'Appearance Sheet'!A:A=C249))"),6.666666666666667)</f>
        <v>6.666666667</v>
      </c>
      <c r="F249" s="67">
        <v>5.466775931</v>
      </c>
      <c r="G249" s="40">
        <v>1.348589978</v>
      </c>
      <c r="H249" s="40">
        <f t="shared" si="1"/>
        <v>1.82059647</v>
      </c>
      <c r="I249" s="41">
        <v>0.524752475</v>
      </c>
      <c r="J249" s="41">
        <v>0.178217822</v>
      </c>
      <c r="K249" s="41">
        <v>0.297029703</v>
      </c>
      <c r="L249" s="41">
        <f t="shared" si="2"/>
        <v>0.227722772</v>
      </c>
      <c r="M249" s="74">
        <v>1.630489836</v>
      </c>
    </row>
    <row r="250">
      <c r="A250" s="1" t="s">
        <v>105</v>
      </c>
      <c r="B250" s="38">
        <v>624133.0</v>
      </c>
      <c r="C250" s="72">
        <v>45887.0</v>
      </c>
      <c r="D250" s="38">
        <v>102.0</v>
      </c>
      <c r="E250" s="73" t="str">
        <f>IFERROR(__xludf.DUMMYFUNCTION("average(filter('Appearance Sheet'!F:F,'Appearance Sheet'!G:G=B250,'Appearance Sheet'!A:A=C250))"),"#N/A")</f>
        <v>#N/A</v>
      </c>
      <c r="F250" s="67">
        <v>5.466038668</v>
      </c>
      <c r="G250" s="40">
        <v>1.369343428</v>
      </c>
      <c r="H250" s="40" t="str">
        <f t="shared" si="1"/>
        <v>#N/A</v>
      </c>
      <c r="I250" s="41">
        <v>0.529411765</v>
      </c>
      <c r="J250" s="41">
        <v>0.254901961</v>
      </c>
      <c r="K250" s="41">
        <v>0.215686275</v>
      </c>
      <c r="L250" s="41">
        <f t="shared" si="2"/>
        <v>0.31372549</v>
      </c>
      <c r="M250" s="74">
        <v>2.98703195</v>
      </c>
    </row>
    <row r="251">
      <c r="A251" s="1" t="s">
        <v>93</v>
      </c>
      <c r="B251" s="38">
        <v>669194.0</v>
      </c>
      <c r="C251" s="72">
        <v>45803.0</v>
      </c>
      <c r="D251" s="38">
        <v>83.0</v>
      </c>
      <c r="E251" s="73">
        <f>IFERROR(__xludf.DUMMYFUNCTION("average(filter('Appearance Sheet'!F:F,'Appearance Sheet'!G:G=B251,'Appearance Sheet'!A:A=C251))"),6.666666666666667)</f>
        <v>6.666666667</v>
      </c>
      <c r="F251" s="67">
        <v>5.465910312</v>
      </c>
      <c r="G251" s="40">
        <v>1.139788695</v>
      </c>
      <c r="H251" s="40">
        <f t="shared" si="1"/>
        <v>1.538714738</v>
      </c>
      <c r="I251" s="41">
        <v>0.578313253</v>
      </c>
      <c r="J251" s="41">
        <v>0.168674699</v>
      </c>
      <c r="K251" s="41">
        <v>0.253012048</v>
      </c>
      <c r="L251" s="41">
        <f t="shared" si="2"/>
        <v>0.325301205</v>
      </c>
      <c r="M251" s="74">
        <v>1.116803224</v>
      </c>
    </row>
    <row r="252">
      <c r="A252" s="1" t="s">
        <v>195</v>
      </c>
      <c r="B252" s="38">
        <v>668678.0</v>
      </c>
      <c r="C252" s="72">
        <v>45783.0</v>
      </c>
      <c r="D252" s="38">
        <v>95.0</v>
      </c>
      <c r="E252" s="73">
        <f>IFERROR(__xludf.DUMMYFUNCTION("average(filter('Appearance Sheet'!F:F,'Appearance Sheet'!G:G=B252,'Appearance Sheet'!A:A=C252))"),7.0)</f>
        <v>7</v>
      </c>
      <c r="F252" s="67">
        <v>5.465819655</v>
      </c>
      <c r="G252" s="40">
        <v>1.262773445</v>
      </c>
      <c r="H252" s="40">
        <f t="shared" si="1"/>
        <v>1.623565858</v>
      </c>
      <c r="I252" s="41">
        <v>0.568421053</v>
      </c>
      <c r="J252" s="41">
        <v>0.178947368</v>
      </c>
      <c r="K252" s="41">
        <v>0.252631579</v>
      </c>
      <c r="L252" s="41">
        <f t="shared" si="2"/>
        <v>0.315789474</v>
      </c>
      <c r="M252" s="74">
        <v>3.211371734</v>
      </c>
    </row>
    <row r="253">
      <c r="A253" s="1" t="s">
        <v>150</v>
      </c>
      <c r="B253" s="38">
        <v>657746.0</v>
      </c>
      <c r="C253" s="72">
        <v>45900.0</v>
      </c>
      <c r="D253" s="38">
        <v>100.0</v>
      </c>
      <c r="E253" s="73" t="str">
        <f>IFERROR(__xludf.DUMMYFUNCTION("average(filter('Appearance Sheet'!F:F,'Appearance Sheet'!G:G=B253,'Appearance Sheet'!A:A=C253))"),"#N/A")</f>
        <v>#N/A</v>
      </c>
      <c r="F253" s="67">
        <v>5.465788426</v>
      </c>
      <c r="G253" s="40">
        <v>1.361592129</v>
      </c>
      <c r="H253" s="40" t="str">
        <f t="shared" si="1"/>
        <v>#N/A</v>
      </c>
      <c r="I253" s="41">
        <v>0.56</v>
      </c>
      <c r="J253" s="41">
        <v>0.22</v>
      </c>
      <c r="K253" s="41">
        <v>0.22</v>
      </c>
      <c r="L253" s="41">
        <f t="shared" si="2"/>
        <v>0.34</v>
      </c>
      <c r="M253" s="74">
        <v>1.137176983</v>
      </c>
    </row>
    <row r="254">
      <c r="A254" s="1" t="s">
        <v>232</v>
      </c>
      <c r="B254" s="38">
        <v>579328.0</v>
      </c>
      <c r="C254" s="72">
        <v>45784.0</v>
      </c>
      <c r="D254" s="38">
        <v>83.0</v>
      </c>
      <c r="E254" s="73">
        <f>IFERROR(__xludf.DUMMYFUNCTION("average(filter('Appearance Sheet'!F:F,'Appearance Sheet'!G:G=B254,'Appearance Sheet'!A:A=C254))"),6.0)</f>
        <v>6</v>
      </c>
      <c r="F254" s="67">
        <v>5.465728025</v>
      </c>
      <c r="G254" s="40">
        <v>1.099210337</v>
      </c>
      <c r="H254" s="40">
        <f t="shared" si="1"/>
        <v>1.648815506</v>
      </c>
      <c r="I254" s="41">
        <v>0.578313253</v>
      </c>
      <c r="J254" s="41">
        <v>0.192771084</v>
      </c>
      <c r="K254" s="41">
        <v>0.228915663</v>
      </c>
      <c r="L254" s="41">
        <f t="shared" si="2"/>
        <v>0.34939759</v>
      </c>
      <c r="M254" s="74">
        <v>0.685871112</v>
      </c>
    </row>
    <row r="255">
      <c r="A255" s="1" t="s">
        <v>35</v>
      </c>
      <c r="B255" s="38">
        <v>676083.0</v>
      </c>
      <c r="C255" s="72">
        <v>45908.0</v>
      </c>
      <c r="D255" s="38">
        <v>84.0</v>
      </c>
      <c r="E255" s="73" t="str">
        <f>IFERROR(__xludf.DUMMYFUNCTION("average(filter('Appearance Sheet'!F:F,'Appearance Sheet'!G:G=B255,'Appearance Sheet'!A:A=C255))"),"#N/A")</f>
        <v>#N/A</v>
      </c>
      <c r="F255" s="67">
        <v>5.465273812</v>
      </c>
      <c r="G255" s="40">
        <v>1.159501072</v>
      </c>
      <c r="H255" s="40" t="str">
        <f t="shared" si="1"/>
        <v>#N/A</v>
      </c>
      <c r="I255" s="41">
        <v>0.571428571</v>
      </c>
      <c r="J255" s="41">
        <v>0.178571429</v>
      </c>
      <c r="K255" s="41">
        <v>0.25</v>
      </c>
      <c r="L255" s="41">
        <f t="shared" si="2"/>
        <v>0.321428571</v>
      </c>
      <c r="M255" s="74">
        <v>-2.801805257</v>
      </c>
    </row>
    <row r="256">
      <c r="A256" s="1" t="s">
        <v>97</v>
      </c>
      <c r="B256" s="38">
        <v>656876.0</v>
      </c>
      <c r="C256" s="72">
        <v>45902.0</v>
      </c>
      <c r="D256" s="38">
        <v>71.0</v>
      </c>
      <c r="E256" s="73" t="str">
        <f>IFERROR(__xludf.DUMMYFUNCTION("average(filter('Appearance Sheet'!F:F,'Appearance Sheet'!G:G=B256,'Appearance Sheet'!A:A=C256))"),"#N/A")</f>
        <v>#N/A</v>
      </c>
      <c r="F256" s="67">
        <v>5.464477568</v>
      </c>
      <c r="G256" s="40">
        <v>0.982026162</v>
      </c>
      <c r="H256" s="40" t="str">
        <f t="shared" si="1"/>
        <v>#N/A</v>
      </c>
      <c r="I256" s="41">
        <v>0.549295775</v>
      </c>
      <c r="J256" s="41">
        <v>0.126760563</v>
      </c>
      <c r="K256" s="41">
        <v>0.323943662</v>
      </c>
      <c r="L256" s="41">
        <f t="shared" si="2"/>
        <v>0.225352113</v>
      </c>
      <c r="M256" s="74">
        <v>0.21168806</v>
      </c>
    </row>
    <row r="257">
      <c r="A257" s="1" t="s">
        <v>212</v>
      </c>
      <c r="B257" s="38">
        <v>805673.0</v>
      </c>
      <c r="C257" s="72">
        <v>45795.0</v>
      </c>
      <c r="D257" s="38">
        <v>66.0</v>
      </c>
      <c r="E257" s="73">
        <f>IFERROR(__xludf.DUMMYFUNCTION("average(filter('Appearance Sheet'!F:F,'Appearance Sheet'!G:G=B257,'Appearance Sheet'!A:A=C257))"),3.0)</f>
        <v>3</v>
      </c>
      <c r="F257" s="67">
        <v>5.464347172</v>
      </c>
      <c r="G257" s="40">
        <v>0.903948642</v>
      </c>
      <c r="H257" s="40">
        <f t="shared" si="1"/>
        <v>2.711845926</v>
      </c>
      <c r="I257" s="41">
        <v>0.560606061</v>
      </c>
      <c r="J257" s="41">
        <v>0.151515152</v>
      </c>
      <c r="K257" s="41">
        <v>0.287878788</v>
      </c>
      <c r="L257" s="41">
        <f t="shared" si="2"/>
        <v>0.272727273</v>
      </c>
      <c r="M257" s="74">
        <v>-1.435030054</v>
      </c>
    </row>
    <row r="258">
      <c r="A258" s="1" t="s">
        <v>180</v>
      </c>
      <c r="B258" s="38">
        <v>642547.0</v>
      </c>
      <c r="C258" s="72">
        <v>45821.0</v>
      </c>
      <c r="D258" s="38">
        <v>88.0</v>
      </c>
      <c r="E258" s="73">
        <f>IFERROR(__xludf.DUMMYFUNCTION("average(filter('Appearance Sheet'!F:F,'Appearance Sheet'!G:G=B258,'Appearance Sheet'!A:A=C258))"),6.0)</f>
        <v>6</v>
      </c>
      <c r="F258" s="67">
        <v>5.463942245</v>
      </c>
      <c r="G258" s="40">
        <v>1.164953978</v>
      </c>
      <c r="H258" s="40">
        <f t="shared" si="1"/>
        <v>1.747430967</v>
      </c>
      <c r="I258" s="41">
        <v>0.590909091</v>
      </c>
      <c r="J258" s="41">
        <v>0.056818182</v>
      </c>
      <c r="K258" s="41">
        <v>0.352272727</v>
      </c>
      <c r="L258" s="41">
        <f t="shared" si="2"/>
        <v>0.238636364</v>
      </c>
      <c r="M258" s="74">
        <v>-0.711740362</v>
      </c>
    </row>
    <row r="259">
      <c r="A259" s="1" t="s">
        <v>166</v>
      </c>
      <c r="B259" s="38">
        <v>608331.0</v>
      </c>
      <c r="C259" s="72">
        <v>45813.0</v>
      </c>
      <c r="D259" s="38">
        <v>101.0</v>
      </c>
      <c r="E259" s="73">
        <f>IFERROR(__xludf.DUMMYFUNCTION("average(filter('Appearance Sheet'!F:F,'Appearance Sheet'!G:G=B259,'Appearance Sheet'!A:A=C259))"),6.0)</f>
        <v>6</v>
      </c>
      <c r="F259" s="67">
        <v>5.463856127</v>
      </c>
      <c r="G259" s="40">
        <v>1.295762233</v>
      </c>
      <c r="H259" s="40">
        <f t="shared" si="1"/>
        <v>1.94364335</v>
      </c>
      <c r="I259" s="41">
        <v>0.584158416</v>
      </c>
      <c r="J259" s="41">
        <v>0.168316832</v>
      </c>
      <c r="K259" s="41">
        <v>0.247524752</v>
      </c>
      <c r="L259" s="41">
        <f t="shared" si="2"/>
        <v>0.336633664</v>
      </c>
      <c r="M259" s="74">
        <v>4.616990663</v>
      </c>
    </row>
    <row r="260">
      <c r="A260" s="1" t="s">
        <v>90</v>
      </c>
      <c r="B260" s="38">
        <v>693433.0</v>
      </c>
      <c r="C260" s="72">
        <v>45801.0</v>
      </c>
      <c r="D260" s="38">
        <v>92.0</v>
      </c>
      <c r="E260" s="73">
        <f>IFERROR(__xludf.DUMMYFUNCTION("average(filter('Appearance Sheet'!F:F,'Appearance Sheet'!G:G=B260,'Appearance Sheet'!A:A=C260))"),6.0)</f>
        <v>6</v>
      </c>
      <c r="F260" s="67">
        <v>5.462833334</v>
      </c>
      <c r="G260" s="40">
        <v>1.270703256</v>
      </c>
      <c r="H260" s="40">
        <f t="shared" si="1"/>
        <v>1.906054884</v>
      </c>
      <c r="I260" s="41">
        <v>0.565217391</v>
      </c>
      <c r="J260" s="41">
        <v>0.163043478</v>
      </c>
      <c r="K260" s="41">
        <v>0.27173913</v>
      </c>
      <c r="L260" s="41">
        <f t="shared" si="2"/>
        <v>0.293478261</v>
      </c>
      <c r="M260" s="74">
        <v>-3.864642623</v>
      </c>
    </row>
    <row r="261">
      <c r="A261" s="1" t="s">
        <v>129</v>
      </c>
      <c r="B261" s="38">
        <v>686752.0</v>
      </c>
      <c r="C261" s="72">
        <v>45773.0</v>
      </c>
      <c r="D261" s="38">
        <v>75.0</v>
      </c>
      <c r="E261" s="73">
        <f>IFERROR(__xludf.DUMMYFUNCTION("average(filter('Appearance Sheet'!F:F,'Appearance Sheet'!G:G=B261,'Appearance Sheet'!A:A=C261))"),6.0)</f>
        <v>6</v>
      </c>
      <c r="F261" s="67">
        <v>5.462812447</v>
      </c>
      <c r="G261" s="40">
        <v>1.021783957</v>
      </c>
      <c r="H261" s="40">
        <f t="shared" si="1"/>
        <v>1.532675936</v>
      </c>
      <c r="I261" s="41">
        <v>0.56</v>
      </c>
      <c r="J261" s="41">
        <v>0.186666667</v>
      </c>
      <c r="K261" s="41">
        <v>0.253333333</v>
      </c>
      <c r="L261" s="41">
        <f t="shared" si="2"/>
        <v>0.306666667</v>
      </c>
      <c r="M261" s="74">
        <v>0.488111522</v>
      </c>
    </row>
    <row r="262">
      <c r="A262" s="1" t="s">
        <v>425</v>
      </c>
      <c r="B262" s="38">
        <v>621244.0</v>
      </c>
      <c r="C262" s="72">
        <v>45823.0</v>
      </c>
      <c r="D262" s="38">
        <v>83.0</v>
      </c>
      <c r="E262" s="73">
        <f>IFERROR(__xludf.DUMMYFUNCTION("average(filter('Appearance Sheet'!F:F,'Appearance Sheet'!G:G=B262,'Appearance Sheet'!A:A=C262))"),4.666666666666667)</f>
        <v>4.666666667</v>
      </c>
      <c r="F262" s="67">
        <v>5.462546757</v>
      </c>
      <c r="G262" s="40">
        <v>1.085214207</v>
      </c>
      <c r="H262" s="40">
        <f t="shared" si="1"/>
        <v>2.092913114</v>
      </c>
      <c r="I262" s="41">
        <v>0.530120482</v>
      </c>
      <c r="J262" s="41">
        <v>0.192771084</v>
      </c>
      <c r="K262" s="41">
        <v>0.277108434</v>
      </c>
      <c r="L262" s="41">
        <f t="shared" si="2"/>
        <v>0.253012048</v>
      </c>
      <c r="M262" s="74">
        <v>-4.063168294</v>
      </c>
    </row>
    <row r="263">
      <c r="A263" s="1" t="s">
        <v>85</v>
      </c>
      <c r="B263" s="38">
        <v>808967.0</v>
      </c>
      <c r="C263" s="72">
        <v>45900.0</v>
      </c>
      <c r="D263" s="38">
        <v>98.0</v>
      </c>
      <c r="E263" s="73" t="str">
        <f>IFERROR(__xludf.DUMMYFUNCTION("average(filter('Appearance Sheet'!F:F,'Appearance Sheet'!G:G=B263,'Appearance Sheet'!A:A=C263))"),"#N/A")</f>
        <v>#N/A</v>
      </c>
      <c r="F263" s="67">
        <v>5.461852345</v>
      </c>
      <c r="G263" s="40">
        <v>1.346909658</v>
      </c>
      <c r="H263" s="40" t="str">
        <f t="shared" si="1"/>
        <v>#N/A</v>
      </c>
      <c r="I263" s="41">
        <v>0.581632653</v>
      </c>
      <c r="J263" s="41">
        <v>0.132653061</v>
      </c>
      <c r="K263" s="41">
        <v>0.285714286</v>
      </c>
      <c r="L263" s="41">
        <f t="shared" si="2"/>
        <v>0.295918367</v>
      </c>
      <c r="M263" s="74">
        <v>1.473025953</v>
      </c>
    </row>
    <row r="264">
      <c r="A264" s="1" t="s">
        <v>148</v>
      </c>
      <c r="B264" s="38">
        <v>592866.0</v>
      </c>
      <c r="C264" s="72">
        <v>45753.0</v>
      </c>
      <c r="D264" s="38">
        <v>92.0</v>
      </c>
      <c r="E264" s="73">
        <f>IFERROR(__xludf.DUMMYFUNCTION("average(filter('Appearance Sheet'!F:F,'Appearance Sheet'!G:G=B264,'Appearance Sheet'!A:A=C264))"),5.0)</f>
        <v>5</v>
      </c>
      <c r="F264" s="67">
        <v>5.461013606</v>
      </c>
      <c r="G264" s="40">
        <v>1.237322874</v>
      </c>
      <c r="H264" s="40">
        <f t="shared" si="1"/>
        <v>2.227181173</v>
      </c>
      <c r="I264" s="41">
        <v>0.576086957</v>
      </c>
      <c r="J264" s="41">
        <v>0.206521739</v>
      </c>
      <c r="K264" s="41">
        <v>0.217391304</v>
      </c>
      <c r="L264" s="41">
        <f t="shared" si="2"/>
        <v>0.358695653</v>
      </c>
      <c r="M264" s="74">
        <v>0.316632144</v>
      </c>
    </row>
    <row r="265">
      <c r="A265" s="1" t="s">
        <v>198</v>
      </c>
      <c r="B265" s="38">
        <v>680736.0</v>
      </c>
      <c r="C265" s="72">
        <v>45837.0</v>
      </c>
      <c r="D265" s="38">
        <v>81.0</v>
      </c>
      <c r="E265" s="73">
        <f>IFERROR(__xludf.DUMMYFUNCTION("average(filter('Appearance Sheet'!F:F,'Appearance Sheet'!G:G=B265,'Appearance Sheet'!A:A=C265))"),6.0)</f>
        <v>6</v>
      </c>
      <c r="F265" s="67">
        <v>5.460485935</v>
      </c>
      <c r="G265" s="40">
        <v>1.135709533</v>
      </c>
      <c r="H265" s="40">
        <f t="shared" si="1"/>
        <v>1.7035643</v>
      </c>
      <c r="I265" s="41">
        <v>0.592592593</v>
      </c>
      <c r="J265" s="41">
        <v>0.12345679</v>
      </c>
      <c r="K265" s="41">
        <v>0.283950617</v>
      </c>
      <c r="L265" s="41">
        <f t="shared" si="2"/>
        <v>0.308641976</v>
      </c>
      <c r="M265" s="74">
        <v>2.355397572</v>
      </c>
    </row>
    <row r="266">
      <c r="A266" s="1" t="s">
        <v>245</v>
      </c>
      <c r="B266" s="38">
        <v>571578.0</v>
      </c>
      <c r="C266" s="72">
        <v>45786.0</v>
      </c>
      <c r="D266" s="38">
        <v>91.0</v>
      </c>
      <c r="E266" s="73">
        <f>IFERROR(__xludf.DUMMYFUNCTION("average(filter('Appearance Sheet'!F:F,'Appearance Sheet'!G:G=B266,'Appearance Sheet'!A:A=C266))"),7.0)</f>
        <v>7</v>
      </c>
      <c r="F266" s="67">
        <v>5.460440309</v>
      </c>
      <c r="G266" s="40">
        <v>1.245123226</v>
      </c>
      <c r="H266" s="40">
        <f t="shared" si="1"/>
        <v>1.600872719</v>
      </c>
      <c r="I266" s="41">
        <v>0.56043956</v>
      </c>
      <c r="J266" s="41">
        <v>0.142857143</v>
      </c>
      <c r="K266" s="41">
        <v>0.296703297</v>
      </c>
      <c r="L266" s="41">
        <f t="shared" si="2"/>
        <v>0.263736263</v>
      </c>
      <c r="M266" s="74">
        <v>3.256820672</v>
      </c>
    </row>
    <row r="267">
      <c r="A267" s="1" t="s">
        <v>354</v>
      </c>
      <c r="B267" s="38">
        <v>669022.0</v>
      </c>
      <c r="C267" s="72">
        <v>45793.0</v>
      </c>
      <c r="D267" s="38">
        <v>96.0</v>
      </c>
      <c r="E267" s="73">
        <f>IFERROR(__xludf.DUMMYFUNCTION("average(filter('Appearance Sheet'!F:F,'Appearance Sheet'!G:G=B267,'Appearance Sheet'!A:A=C267))"),3.6666666666666665)</f>
        <v>3.666666667</v>
      </c>
      <c r="F267" s="67">
        <v>5.459605813</v>
      </c>
      <c r="G267" s="40">
        <v>1.290131709</v>
      </c>
      <c r="H267" s="40">
        <f t="shared" si="1"/>
        <v>3.166686922</v>
      </c>
      <c r="I267" s="41">
        <v>0.552083333</v>
      </c>
      <c r="J267" s="41">
        <v>0.15625</v>
      </c>
      <c r="K267" s="41">
        <v>0.291666667</v>
      </c>
      <c r="L267" s="41">
        <f t="shared" si="2"/>
        <v>0.260416666</v>
      </c>
      <c r="M267" s="74">
        <v>-3.873558103</v>
      </c>
    </row>
    <row r="268">
      <c r="A268" s="1" t="s">
        <v>145</v>
      </c>
      <c r="B268" s="38">
        <v>700241.0</v>
      </c>
      <c r="C268" s="72">
        <v>45927.0</v>
      </c>
      <c r="D268" s="38">
        <v>87.0</v>
      </c>
      <c r="E268" s="73" t="str">
        <f>IFERROR(__xludf.DUMMYFUNCTION("average(filter('Appearance Sheet'!F:F,'Appearance Sheet'!G:G=B268,'Appearance Sheet'!A:A=C268))"),"#N/A")</f>
        <v>#N/A</v>
      </c>
      <c r="F268" s="67">
        <v>5.459255775</v>
      </c>
      <c r="G268" s="40">
        <v>1.182623909</v>
      </c>
      <c r="H268" s="40" t="str">
        <f t="shared" si="1"/>
        <v>#N/A</v>
      </c>
      <c r="I268" s="41">
        <v>0.551724138</v>
      </c>
      <c r="J268" s="41">
        <v>0.183908046</v>
      </c>
      <c r="K268" s="41">
        <v>0.264367816</v>
      </c>
      <c r="L268" s="41">
        <f t="shared" si="2"/>
        <v>0.287356322</v>
      </c>
      <c r="M268" s="74">
        <v>-0.115634794</v>
      </c>
    </row>
    <row r="269">
      <c r="A269" s="1" t="s">
        <v>44</v>
      </c>
      <c r="B269" s="38">
        <v>650911.0</v>
      </c>
      <c r="C269" s="72">
        <v>45860.0</v>
      </c>
      <c r="D269" s="38">
        <v>100.0</v>
      </c>
      <c r="E269" s="73" t="str">
        <f>IFERROR(__xludf.DUMMYFUNCTION("average(filter('Appearance Sheet'!F:F,'Appearance Sheet'!G:G=B269,'Appearance Sheet'!A:A=C269))"),"#N/A")</f>
        <v>#N/A</v>
      </c>
      <c r="F269" s="67">
        <v>5.459065839</v>
      </c>
      <c r="G269" s="40">
        <v>1.374956344</v>
      </c>
      <c r="H269" s="40" t="str">
        <f t="shared" si="1"/>
        <v>#N/A</v>
      </c>
      <c r="I269" s="41">
        <v>0.55</v>
      </c>
      <c r="J269" s="41">
        <v>0.24</v>
      </c>
      <c r="K269" s="41">
        <v>0.21</v>
      </c>
      <c r="L269" s="41">
        <f t="shared" si="2"/>
        <v>0.34</v>
      </c>
      <c r="M269" s="74">
        <v>3.465822396</v>
      </c>
    </row>
    <row r="270">
      <c r="A270" s="1" t="s">
        <v>209</v>
      </c>
      <c r="B270" s="38">
        <v>694738.0</v>
      </c>
      <c r="C270" s="72">
        <v>45782.0</v>
      </c>
      <c r="D270" s="38">
        <v>76.0</v>
      </c>
      <c r="E270" s="73">
        <f>IFERROR(__xludf.DUMMYFUNCTION("average(filter('Appearance Sheet'!F:F,'Appearance Sheet'!G:G=B270,'Appearance Sheet'!A:A=C270))"),5.0)</f>
        <v>5</v>
      </c>
      <c r="F270" s="67">
        <v>5.457320911</v>
      </c>
      <c r="G270" s="40">
        <v>1.028680952</v>
      </c>
      <c r="H270" s="40">
        <f t="shared" si="1"/>
        <v>1.851625714</v>
      </c>
      <c r="I270" s="41">
        <v>0.539473684</v>
      </c>
      <c r="J270" s="41">
        <v>0.236842105</v>
      </c>
      <c r="K270" s="41">
        <v>0.223684211</v>
      </c>
      <c r="L270" s="41">
        <f t="shared" si="2"/>
        <v>0.315789473</v>
      </c>
      <c r="M270" s="74">
        <v>-0.379472802</v>
      </c>
    </row>
    <row r="271">
      <c r="A271" s="1" t="s">
        <v>95</v>
      </c>
      <c r="B271" s="38">
        <v>543243.0</v>
      </c>
      <c r="C271" s="72">
        <v>45879.0</v>
      </c>
      <c r="D271" s="38">
        <v>91.0</v>
      </c>
      <c r="E271" s="73" t="str">
        <f>IFERROR(__xludf.DUMMYFUNCTION("average(filter('Appearance Sheet'!F:F,'Appearance Sheet'!G:G=B271,'Appearance Sheet'!A:A=C271))"),"#N/A")</f>
        <v>#N/A</v>
      </c>
      <c r="F271" s="67">
        <v>5.457187915</v>
      </c>
      <c r="G271" s="40">
        <v>1.23831807</v>
      </c>
      <c r="H271" s="40" t="str">
        <f t="shared" si="1"/>
        <v>#N/A</v>
      </c>
      <c r="I271" s="41">
        <v>0.56043956</v>
      </c>
      <c r="J271" s="41">
        <v>0.131868132</v>
      </c>
      <c r="K271" s="41">
        <v>0.307692308</v>
      </c>
      <c r="L271" s="41">
        <f t="shared" si="2"/>
        <v>0.252747252</v>
      </c>
      <c r="M271" s="74">
        <v>-0.481640326</v>
      </c>
    </row>
    <row r="272">
      <c r="A272" s="1" t="s">
        <v>158</v>
      </c>
      <c r="B272" s="38">
        <v>608372.0</v>
      </c>
      <c r="C272" s="72">
        <v>45888.0</v>
      </c>
      <c r="D272" s="38">
        <v>83.0</v>
      </c>
      <c r="E272" s="73" t="str">
        <f>IFERROR(__xludf.DUMMYFUNCTION("average(filter('Appearance Sheet'!F:F,'Appearance Sheet'!G:G=B272,'Appearance Sheet'!A:A=C272))"),"#N/A")</f>
        <v>#N/A</v>
      </c>
      <c r="F272" s="67">
        <v>5.457012899</v>
      </c>
      <c r="G272" s="40">
        <v>1.139350394</v>
      </c>
      <c r="H272" s="40" t="str">
        <f t="shared" si="1"/>
        <v>#N/A</v>
      </c>
      <c r="I272" s="41">
        <v>0.554216867</v>
      </c>
      <c r="J272" s="41">
        <v>0.144578313</v>
      </c>
      <c r="K272" s="41">
        <v>0.301204819</v>
      </c>
      <c r="L272" s="41">
        <f t="shared" si="2"/>
        <v>0.253012048</v>
      </c>
      <c r="M272" s="74">
        <v>-0.66762739</v>
      </c>
    </row>
    <row r="273">
      <c r="A273" s="1" t="s">
        <v>130</v>
      </c>
      <c r="B273" s="38">
        <v>666200.0</v>
      </c>
      <c r="C273" s="72">
        <v>45906.0</v>
      </c>
      <c r="D273" s="38">
        <v>98.0</v>
      </c>
      <c r="E273" s="73" t="str">
        <f>IFERROR(__xludf.DUMMYFUNCTION("average(filter('Appearance Sheet'!F:F,'Appearance Sheet'!G:G=B273,'Appearance Sheet'!A:A=C273))"),"#N/A")</f>
        <v>#N/A</v>
      </c>
      <c r="F273" s="67">
        <v>5.456837267</v>
      </c>
      <c r="G273" s="40">
        <v>1.316206949</v>
      </c>
      <c r="H273" s="40" t="str">
        <f t="shared" si="1"/>
        <v>#N/A</v>
      </c>
      <c r="I273" s="41">
        <v>0.551020408</v>
      </c>
      <c r="J273" s="41">
        <v>0.224489796</v>
      </c>
      <c r="K273" s="41">
        <v>0.224489796</v>
      </c>
      <c r="L273" s="41">
        <f t="shared" si="2"/>
        <v>0.326530612</v>
      </c>
      <c r="M273" s="74">
        <v>0.117371105</v>
      </c>
    </row>
    <row r="274">
      <c r="A274" s="1" t="s">
        <v>229</v>
      </c>
      <c r="B274" s="38">
        <v>645261.0</v>
      </c>
      <c r="C274" s="72">
        <v>45748.0</v>
      </c>
      <c r="D274" s="38">
        <v>68.0</v>
      </c>
      <c r="E274" s="73">
        <f>IFERROR(__xludf.DUMMYFUNCTION("average(filter('Appearance Sheet'!F:F,'Appearance Sheet'!G:G=B274,'Appearance Sheet'!A:A=C274))"),5.0)</f>
        <v>5</v>
      </c>
      <c r="F274" s="67">
        <v>5.456787064</v>
      </c>
      <c r="G274" s="40">
        <v>0.957328083</v>
      </c>
      <c r="H274" s="40">
        <f t="shared" si="1"/>
        <v>1.723190549</v>
      </c>
      <c r="I274" s="41">
        <v>0.573529412</v>
      </c>
      <c r="J274" s="41">
        <v>0.147058824</v>
      </c>
      <c r="K274" s="41">
        <v>0.279411765</v>
      </c>
      <c r="L274" s="41">
        <f t="shared" si="2"/>
        <v>0.294117647</v>
      </c>
      <c r="M274" s="74">
        <v>2.013801344</v>
      </c>
    </row>
    <row r="275">
      <c r="A275" s="1" t="s">
        <v>234</v>
      </c>
      <c r="B275" s="38">
        <v>690997.0</v>
      </c>
      <c r="C275" s="72">
        <v>45925.0</v>
      </c>
      <c r="D275" s="38">
        <v>87.0</v>
      </c>
      <c r="E275" s="73" t="str">
        <f>IFERROR(__xludf.DUMMYFUNCTION("average(filter('Appearance Sheet'!F:F,'Appearance Sheet'!G:G=B275,'Appearance Sheet'!A:A=C275))"),"#N/A")</f>
        <v>#N/A</v>
      </c>
      <c r="F275" s="67">
        <v>5.456634137</v>
      </c>
      <c r="G275" s="40">
        <v>1.178964105</v>
      </c>
      <c r="H275" s="40" t="str">
        <f t="shared" si="1"/>
        <v>#N/A</v>
      </c>
      <c r="I275" s="41">
        <v>0.563218391</v>
      </c>
      <c r="J275" s="41">
        <v>0.137931034</v>
      </c>
      <c r="K275" s="41">
        <v>0.298850575</v>
      </c>
      <c r="L275" s="41">
        <f t="shared" si="2"/>
        <v>0.264367816</v>
      </c>
      <c r="M275" s="74">
        <v>1.285305115</v>
      </c>
    </row>
    <row r="276">
      <c r="A276" s="1" t="s">
        <v>354</v>
      </c>
      <c r="B276" s="38">
        <v>669022.0</v>
      </c>
      <c r="C276" s="72">
        <v>45743.0</v>
      </c>
      <c r="D276" s="38">
        <v>91.0</v>
      </c>
      <c r="E276" s="73">
        <f>IFERROR(__xludf.DUMMYFUNCTION("average(filter('Appearance Sheet'!F:F,'Appearance Sheet'!G:G=B276,'Appearance Sheet'!A:A=C276))"),6.0)</f>
        <v>6</v>
      </c>
      <c r="F276" s="67">
        <v>5.456510219</v>
      </c>
      <c r="G276" s="40">
        <v>1.227661991</v>
      </c>
      <c r="H276" s="40">
        <f t="shared" si="1"/>
        <v>1.841492987</v>
      </c>
      <c r="I276" s="41">
        <v>0.56043956</v>
      </c>
      <c r="J276" s="41">
        <v>0.197802198</v>
      </c>
      <c r="K276" s="41">
        <v>0.241758242</v>
      </c>
      <c r="L276" s="41">
        <f t="shared" si="2"/>
        <v>0.318681318</v>
      </c>
      <c r="M276" s="74">
        <v>4.750614592</v>
      </c>
    </row>
    <row r="277">
      <c r="A277" s="1" t="s">
        <v>354</v>
      </c>
      <c r="B277" s="38">
        <v>669022.0</v>
      </c>
      <c r="C277" s="72">
        <v>45754.0</v>
      </c>
      <c r="D277" s="38">
        <v>97.0</v>
      </c>
      <c r="E277" s="73">
        <f>IFERROR(__xludf.DUMMYFUNCTION("average(filter('Appearance Sheet'!F:F,'Appearance Sheet'!G:G=B277,'Appearance Sheet'!A:A=C277))"),6.0)</f>
        <v>6</v>
      </c>
      <c r="F277" s="67">
        <v>5.456354863</v>
      </c>
      <c r="G277" s="40">
        <v>1.341003892</v>
      </c>
      <c r="H277" s="40">
        <f t="shared" si="1"/>
        <v>2.011505838</v>
      </c>
      <c r="I277" s="41">
        <v>0.567010309</v>
      </c>
      <c r="J277" s="41">
        <v>0.113402062</v>
      </c>
      <c r="K277" s="41">
        <v>0.319587629</v>
      </c>
      <c r="L277" s="41">
        <f t="shared" si="2"/>
        <v>0.24742268</v>
      </c>
      <c r="M277" s="74">
        <v>-0.713989391</v>
      </c>
    </row>
    <row r="278">
      <c r="A278" s="1" t="s">
        <v>125</v>
      </c>
      <c r="B278" s="38">
        <v>663554.0</v>
      </c>
      <c r="C278" s="72">
        <v>45819.0</v>
      </c>
      <c r="D278" s="38">
        <v>80.0</v>
      </c>
      <c r="E278" s="73">
        <f>IFERROR(__xludf.DUMMYFUNCTION("average(filter('Appearance Sheet'!F:F,'Appearance Sheet'!G:G=B278,'Appearance Sheet'!A:A=C278))"),5.333333333333333)</f>
        <v>5.333333333</v>
      </c>
      <c r="F278" s="67">
        <v>5.456259424</v>
      </c>
      <c r="G278" s="40">
        <v>1.106333823</v>
      </c>
      <c r="H278" s="40">
        <f t="shared" si="1"/>
        <v>1.866938326</v>
      </c>
      <c r="I278" s="41">
        <v>0.6</v>
      </c>
      <c r="J278" s="41">
        <v>0.1625</v>
      </c>
      <c r="K278" s="41">
        <v>0.2375</v>
      </c>
      <c r="L278" s="41">
        <f t="shared" si="2"/>
        <v>0.3625</v>
      </c>
      <c r="M278" s="74">
        <v>-3.08135779</v>
      </c>
    </row>
    <row r="279">
      <c r="A279" s="1" t="s">
        <v>88</v>
      </c>
      <c r="B279" s="38">
        <v>694973.0</v>
      </c>
      <c r="C279" s="72">
        <v>45805.0</v>
      </c>
      <c r="D279" s="38">
        <v>94.0</v>
      </c>
      <c r="E279" s="73">
        <f>IFERROR(__xludf.DUMMYFUNCTION("average(filter('Appearance Sheet'!F:F,'Appearance Sheet'!G:G=B279,'Appearance Sheet'!A:A=C279))"),6.666666666666667)</f>
        <v>6.666666667</v>
      </c>
      <c r="F279" s="67">
        <v>5.456221421</v>
      </c>
      <c r="G279" s="40">
        <v>1.281584625</v>
      </c>
      <c r="H279" s="40">
        <f t="shared" si="1"/>
        <v>1.730139244</v>
      </c>
      <c r="I279" s="41">
        <v>0.531914894</v>
      </c>
      <c r="J279" s="41">
        <v>0.180851064</v>
      </c>
      <c r="K279" s="41">
        <v>0.287234043</v>
      </c>
      <c r="L279" s="41">
        <f t="shared" si="2"/>
        <v>0.244680851</v>
      </c>
      <c r="M279" s="74">
        <v>2.020528399</v>
      </c>
    </row>
    <row r="280">
      <c r="A280" s="1" t="s">
        <v>97</v>
      </c>
      <c r="B280" s="38">
        <v>656876.0</v>
      </c>
      <c r="C280" s="72">
        <v>45753.0</v>
      </c>
      <c r="D280" s="38">
        <v>78.0</v>
      </c>
      <c r="E280" s="73">
        <f>IFERROR(__xludf.DUMMYFUNCTION("average(filter('Appearance Sheet'!F:F,'Appearance Sheet'!G:G=B280,'Appearance Sheet'!A:A=C280))"),5.0)</f>
        <v>5</v>
      </c>
      <c r="F280" s="67">
        <v>5.455260219</v>
      </c>
      <c r="G280" s="40">
        <v>1.055863213</v>
      </c>
      <c r="H280" s="40">
        <f t="shared" si="1"/>
        <v>1.900553783</v>
      </c>
      <c r="I280" s="41">
        <v>0.615384615</v>
      </c>
      <c r="J280" s="41">
        <v>0.141025641</v>
      </c>
      <c r="K280" s="41">
        <v>0.243589744</v>
      </c>
      <c r="L280" s="41">
        <f t="shared" si="2"/>
        <v>0.371794871</v>
      </c>
      <c r="M280" s="74">
        <v>1.290149263</v>
      </c>
    </row>
    <row r="281">
      <c r="A281" s="1" t="s">
        <v>155</v>
      </c>
      <c r="B281" s="38">
        <v>592332.0</v>
      </c>
      <c r="C281" s="72">
        <v>45792.0</v>
      </c>
      <c r="D281" s="38">
        <v>100.0</v>
      </c>
      <c r="E281" s="73">
        <f>IFERROR(__xludf.DUMMYFUNCTION("average(filter('Appearance Sheet'!F:F,'Appearance Sheet'!G:G=B281,'Appearance Sheet'!A:A=C281))"),5.666666666666667)</f>
        <v>5.666666667</v>
      </c>
      <c r="F281" s="67">
        <v>5.454549749</v>
      </c>
      <c r="G281" s="40">
        <v>1.391248227</v>
      </c>
      <c r="H281" s="40">
        <f t="shared" si="1"/>
        <v>2.209629537</v>
      </c>
      <c r="I281" s="41">
        <v>0.53</v>
      </c>
      <c r="J281" s="41">
        <v>0.28</v>
      </c>
      <c r="K281" s="41">
        <v>0.19</v>
      </c>
      <c r="L281" s="41">
        <f t="shared" si="2"/>
        <v>0.34</v>
      </c>
      <c r="M281" s="74">
        <v>-4.260230854</v>
      </c>
    </row>
    <row r="282">
      <c r="A282" s="1" t="s">
        <v>263</v>
      </c>
      <c r="B282" s="38">
        <v>694297.0</v>
      </c>
      <c r="C282" s="72">
        <v>45861.0</v>
      </c>
      <c r="D282" s="38">
        <v>87.0</v>
      </c>
      <c r="E282" s="73" t="str">
        <f>IFERROR(__xludf.DUMMYFUNCTION("average(filter('Appearance Sheet'!F:F,'Appearance Sheet'!G:G=B282,'Appearance Sheet'!A:A=C282))"),"#N/A")</f>
        <v>#N/A</v>
      </c>
      <c r="F282" s="67">
        <v>5.454087701</v>
      </c>
      <c r="G282" s="40">
        <v>1.184576932</v>
      </c>
      <c r="H282" s="40" t="str">
        <f t="shared" si="1"/>
        <v>#N/A</v>
      </c>
      <c r="I282" s="41">
        <v>0.482758621</v>
      </c>
      <c r="J282" s="41">
        <v>0.229885057</v>
      </c>
      <c r="K282" s="41">
        <v>0.287356322</v>
      </c>
      <c r="L282" s="41">
        <f t="shared" si="2"/>
        <v>0.195402299</v>
      </c>
      <c r="M282" s="74">
        <v>1.325090186</v>
      </c>
    </row>
    <row r="283">
      <c r="A283" s="1" t="s">
        <v>245</v>
      </c>
      <c r="B283" s="38">
        <v>571578.0</v>
      </c>
      <c r="C283" s="72">
        <v>45843.0</v>
      </c>
      <c r="D283" s="38">
        <v>84.0</v>
      </c>
      <c r="E283" s="73" t="str">
        <f>IFERROR(__xludf.DUMMYFUNCTION("average(filter('Appearance Sheet'!F:F,'Appearance Sheet'!G:G=B283,'Appearance Sheet'!A:A=C283))"),"#N/A")</f>
        <v>#N/A</v>
      </c>
      <c r="F283" s="67">
        <v>5.453958506</v>
      </c>
      <c r="G283" s="40">
        <v>1.161659524</v>
      </c>
      <c r="H283" s="40" t="str">
        <f t="shared" si="1"/>
        <v>#N/A</v>
      </c>
      <c r="I283" s="41">
        <v>0.523809524</v>
      </c>
      <c r="J283" s="41">
        <v>0.166666667</v>
      </c>
      <c r="K283" s="41">
        <v>0.30952381</v>
      </c>
      <c r="L283" s="41">
        <f t="shared" si="2"/>
        <v>0.214285714</v>
      </c>
      <c r="M283" s="74">
        <v>-0.193925964</v>
      </c>
    </row>
    <row r="284">
      <c r="A284" s="1" t="s">
        <v>243</v>
      </c>
      <c r="B284" s="38">
        <v>680684.0</v>
      </c>
      <c r="C284" s="72">
        <v>45779.0</v>
      </c>
      <c r="D284" s="38">
        <v>78.0</v>
      </c>
      <c r="E284" s="73">
        <f>IFERROR(__xludf.DUMMYFUNCTION("average(filter('Appearance Sheet'!F:F,'Appearance Sheet'!G:G=B284,'Appearance Sheet'!A:A=C284))"),6.0)</f>
        <v>6</v>
      </c>
      <c r="F284" s="67">
        <v>5.453351966</v>
      </c>
      <c r="G284" s="40">
        <v>1.105148316</v>
      </c>
      <c r="H284" s="40">
        <f t="shared" si="1"/>
        <v>1.657722474</v>
      </c>
      <c r="I284" s="41">
        <v>0.576923077</v>
      </c>
      <c r="J284" s="41">
        <v>0.128205128</v>
      </c>
      <c r="K284" s="41">
        <v>0.294871795</v>
      </c>
      <c r="L284" s="41">
        <f t="shared" si="2"/>
        <v>0.282051282</v>
      </c>
      <c r="M284" s="74">
        <v>-0.784816005</v>
      </c>
    </row>
    <row r="285">
      <c r="A285" s="1" t="s">
        <v>188</v>
      </c>
      <c r="B285" s="38">
        <v>694819.0</v>
      </c>
      <c r="C285" s="72">
        <v>45846.0</v>
      </c>
      <c r="D285" s="38">
        <v>88.0</v>
      </c>
      <c r="E285" s="73" t="str">
        <f>IFERROR(__xludf.DUMMYFUNCTION("average(filter('Appearance Sheet'!F:F,'Appearance Sheet'!G:G=B285,'Appearance Sheet'!A:A=C285))"),"#N/A")</f>
        <v>#N/A</v>
      </c>
      <c r="F285" s="67">
        <v>5.453171393</v>
      </c>
      <c r="G285" s="40">
        <v>1.209657229</v>
      </c>
      <c r="H285" s="40" t="str">
        <f t="shared" si="1"/>
        <v>#N/A</v>
      </c>
      <c r="I285" s="41">
        <v>0.556818182</v>
      </c>
      <c r="J285" s="41">
        <v>0.238636364</v>
      </c>
      <c r="K285" s="41">
        <v>0.204545455</v>
      </c>
      <c r="L285" s="41">
        <f t="shared" si="2"/>
        <v>0.352272727</v>
      </c>
      <c r="M285" s="74">
        <v>0.651843422</v>
      </c>
    </row>
    <row r="286">
      <c r="A286" s="1" t="s">
        <v>145</v>
      </c>
      <c r="B286" s="38">
        <v>700241.0</v>
      </c>
      <c r="C286" s="72">
        <v>45816.0</v>
      </c>
      <c r="D286" s="38">
        <v>95.0</v>
      </c>
      <c r="E286" s="73">
        <f>IFERROR(__xludf.DUMMYFUNCTION("average(filter('Appearance Sheet'!F:F,'Appearance Sheet'!G:G=B286,'Appearance Sheet'!A:A=C286))"),6.0)</f>
        <v>6</v>
      </c>
      <c r="F286" s="67">
        <v>5.453153887</v>
      </c>
      <c r="G286" s="40">
        <v>1.314069597</v>
      </c>
      <c r="H286" s="40">
        <f t="shared" si="1"/>
        <v>1.971104396</v>
      </c>
      <c r="I286" s="41">
        <v>0.568421053</v>
      </c>
      <c r="J286" s="41">
        <v>0.147368421</v>
      </c>
      <c r="K286" s="41">
        <v>0.284210526</v>
      </c>
      <c r="L286" s="41">
        <f t="shared" si="2"/>
        <v>0.284210527</v>
      </c>
      <c r="M286" s="74">
        <v>-0.772274358</v>
      </c>
    </row>
    <row r="287">
      <c r="A287" s="1" t="s">
        <v>207</v>
      </c>
      <c r="B287" s="38">
        <v>650633.0</v>
      </c>
      <c r="C287" s="72">
        <v>45754.0</v>
      </c>
      <c r="D287" s="38">
        <v>98.0</v>
      </c>
      <c r="E287" s="73">
        <f>IFERROR(__xludf.DUMMYFUNCTION("average(filter('Appearance Sheet'!F:F,'Appearance Sheet'!G:G=B287,'Appearance Sheet'!A:A=C287))"),5.666666666666667)</f>
        <v>5.666666667</v>
      </c>
      <c r="F287" s="67">
        <v>5.452809964</v>
      </c>
      <c r="G287" s="40">
        <v>1.361757349</v>
      </c>
      <c r="H287" s="40">
        <f t="shared" si="1"/>
        <v>2.162791084</v>
      </c>
      <c r="I287" s="41">
        <v>0.581632653</v>
      </c>
      <c r="J287" s="41">
        <v>0.12244898</v>
      </c>
      <c r="K287" s="41">
        <v>0.295918367</v>
      </c>
      <c r="L287" s="41">
        <f t="shared" si="2"/>
        <v>0.285714286</v>
      </c>
      <c r="M287" s="74">
        <v>-1.820836968</v>
      </c>
    </row>
    <row r="288">
      <c r="A288" s="1" t="s">
        <v>171</v>
      </c>
      <c r="B288" s="38">
        <v>665795.0</v>
      </c>
      <c r="C288" s="72">
        <v>45808.0</v>
      </c>
      <c r="D288" s="38">
        <v>85.0</v>
      </c>
      <c r="E288" s="73">
        <f>IFERROR(__xludf.DUMMYFUNCTION("average(filter('Appearance Sheet'!F:F,'Appearance Sheet'!G:G=B288,'Appearance Sheet'!A:A=C288))"),5.666666666666667)</f>
        <v>5.666666667</v>
      </c>
      <c r="F288" s="67">
        <v>5.452275916</v>
      </c>
      <c r="G288" s="40">
        <v>1.178994251</v>
      </c>
      <c r="H288" s="40">
        <f t="shared" si="1"/>
        <v>1.872520281</v>
      </c>
      <c r="I288" s="41">
        <v>0.564705882</v>
      </c>
      <c r="J288" s="41">
        <v>0.2</v>
      </c>
      <c r="K288" s="41">
        <v>0.235294118</v>
      </c>
      <c r="L288" s="41">
        <f t="shared" si="2"/>
        <v>0.329411764</v>
      </c>
      <c r="M288" s="74">
        <v>-1.10652033</v>
      </c>
    </row>
    <row r="289">
      <c r="A289" s="1" t="s">
        <v>323</v>
      </c>
      <c r="B289" s="38">
        <v>691587.0</v>
      </c>
      <c r="C289" s="72">
        <v>45910.0</v>
      </c>
      <c r="D289" s="38">
        <v>95.0</v>
      </c>
      <c r="E289" s="73" t="str">
        <f>IFERROR(__xludf.DUMMYFUNCTION("average(filter('Appearance Sheet'!F:F,'Appearance Sheet'!G:G=B289,'Appearance Sheet'!A:A=C289))"),"#N/A")</f>
        <v>#N/A</v>
      </c>
      <c r="F289" s="67">
        <v>5.452157236</v>
      </c>
      <c r="G289" s="40">
        <v>1.310991268</v>
      </c>
      <c r="H289" s="40" t="str">
        <f t="shared" si="1"/>
        <v>#N/A</v>
      </c>
      <c r="I289" s="41">
        <v>0.578947368</v>
      </c>
      <c r="J289" s="41">
        <v>0.136842105</v>
      </c>
      <c r="K289" s="41">
        <v>0.284210526</v>
      </c>
      <c r="L289" s="41">
        <f t="shared" si="2"/>
        <v>0.294736842</v>
      </c>
      <c r="M289" s="74">
        <v>-2.510503222</v>
      </c>
    </row>
    <row r="290">
      <c r="A290" s="1" t="s">
        <v>150</v>
      </c>
      <c r="B290" s="38">
        <v>657746.0</v>
      </c>
      <c r="C290" s="72">
        <v>45882.0</v>
      </c>
      <c r="D290" s="38">
        <v>98.0</v>
      </c>
      <c r="E290" s="73" t="str">
        <f>IFERROR(__xludf.DUMMYFUNCTION("average(filter('Appearance Sheet'!F:F,'Appearance Sheet'!G:G=B290,'Appearance Sheet'!A:A=C290))"),"#N/A")</f>
        <v>#N/A</v>
      </c>
      <c r="F290" s="67">
        <v>5.451560515</v>
      </c>
      <c r="G290" s="40">
        <v>1.358323941</v>
      </c>
      <c r="H290" s="40" t="str">
        <f t="shared" si="1"/>
        <v>#N/A</v>
      </c>
      <c r="I290" s="41">
        <v>0.581632653</v>
      </c>
      <c r="J290" s="41">
        <v>0.214285714</v>
      </c>
      <c r="K290" s="41">
        <v>0.204081633</v>
      </c>
      <c r="L290" s="41">
        <f t="shared" si="2"/>
        <v>0.37755102</v>
      </c>
      <c r="M290" s="74">
        <v>1.154740458</v>
      </c>
    </row>
    <row r="291">
      <c r="A291" s="1" t="s">
        <v>220</v>
      </c>
      <c r="B291" s="38">
        <v>663559.0</v>
      </c>
      <c r="C291" s="72">
        <v>45856.0</v>
      </c>
      <c r="D291" s="38">
        <v>77.0</v>
      </c>
      <c r="E291" s="73" t="str">
        <f>IFERROR(__xludf.DUMMYFUNCTION("average(filter('Appearance Sheet'!F:F,'Appearance Sheet'!G:G=B291,'Appearance Sheet'!A:A=C291))"),"#N/A")</f>
        <v>#N/A</v>
      </c>
      <c r="F291" s="67">
        <v>5.450835754</v>
      </c>
      <c r="G291" s="40">
        <v>1.079072631</v>
      </c>
      <c r="H291" s="40" t="str">
        <f t="shared" si="1"/>
        <v>#N/A</v>
      </c>
      <c r="I291" s="41">
        <v>0.532467532</v>
      </c>
      <c r="J291" s="41">
        <v>0.168831169</v>
      </c>
      <c r="K291" s="41">
        <v>0.298701299</v>
      </c>
      <c r="L291" s="41">
        <f t="shared" si="2"/>
        <v>0.233766233</v>
      </c>
      <c r="M291" s="74">
        <v>-1.820629735</v>
      </c>
    </row>
    <row r="292">
      <c r="A292" s="1" t="s">
        <v>44</v>
      </c>
      <c r="B292" s="38">
        <v>650911.0</v>
      </c>
      <c r="C292" s="72">
        <v>45822.0</v>
      </c>
      <c r="D292" s="38">
        <v>96.0</v>
      </c>
      <c r="E292" s="73">
        <f>IFERROR(__xludf.DUMMYFUNCTION("average(filter('Appearance Sheet'!F:F,'Appearance Sheet'!G:G=B292,'Appearance Sheet'!A:A=C292))"),7.0)</f>
        <v>7</v>
      </c>
      <c r="F292" s="67">
        <v>5.450750978</v>
      </c>
      <c r="G292" s="40">
        <v>1.298469502</v>
      </c>
      <c r="H292" s="40">
        <f t="shared" si="1"/>
        <v>1.669460788</v>
      </c>
      <c r="I292" s="41">
        <v>0.5625</v>
      </c>
      <c r="J292" s="41">
        <v>0.15625</v>
      </c>
      <c r="K292" s="41">
        <v>0.28125</v>
      </c>
      <c r="L292" s="41">
        <f t="shared" si="2"/>
        <v>0.28125</v>
      </c>
      <c r="M292" s="74">
        <v>0.664197953</v>
      </c>
    </row>
    <row r="293">
      <c r="A293" s="1" t="s">
        <v>100</v>
      </c>
      <c r="B293" s="38">
        <v>676979.0</v>
      </c>
      <c r="C293" s="72">
        <v>45826.0</v>
      </c>
      <c r="D293" s="38">
        <v>93.0</v>
      </c>
      <c r="E293" s="73">
        <f>IFERROR(__xludf.DUMMYFUNCTION("average(filter('Appearance Sheet'!F:F,'Appearance Sheet'!G:G=B293,'Appearance Sheet'!A:A=C293))"),6.0)</f>
        <v>6</v>
      </c>
      <c r="F293" s="67">
        <v>5.450637881</v>
      </c>
      <c r="G293" s="40">
        <v>1.285579742</v>
      </c>
      <c r="H293" s="40">
        <f t="shared" si="1"/>
        <v>1.928369613</v>
      </c>
      <c r="I293" s="41">
        <v>0.559139785</v>
      </c>
      <c r="J293" s="41">
        <v>0.204301075</v>
      </c>
      <c r="K293" s="41">
        <v>0.23655914</v>
      </c>
      <c r="L293" s="41">
        <f t="shared" si="2"/>
        <v>0.322580645</v>
      </c>
      <c r="M293" s="74">
        <v>1.344116077</v>
      </c>
    </row>
    <row r="294">
      <c r="A294" s="1" t="s">
        <v>57</v>
      </c>
      <c r="B294" s="38">
        <v>594798.0</v>
      </c>
      <c r="C294" s="72">
        <v>45822.0</v>
      </c>
      <c r="D294" s="38">
        <v>81.0</v>
      </c>
      <c r="E294" s="73">
        <f>IFERROR(__xludf.DUMMYFUNCTION("average(filter('Appearance Sheet'!F:F,'Appearance Sheet'!G:G=B294,'Appearance Sheet'!A:A=C294))"),6.0)</f>
        <v>6</v>
      </c>
      <c r="F294" s="67">
        <v>5.450534612</v>
      </c>
      <c r="G294" s="40">
        <v>1.134274538</v>
      </c>
      <c r="H294" s="40">
        <f t="shared" si="1"/>
        <v>1.701411807</v>
      </c>
      <c r="I294" s="41">
        <v>0.49382716</v>
      </c>
      <c r="J294" s="41">
        <v>0.283950617</v>
      </c>
      <c r="K294" s="41">
        <v>0.222222222</v>
      </c>
      <c r="L294" s="41">
        <f t="shared" si="2"/>
        <v>0.271604938</v>
      </c>
      <c r="M294" s="74">
        <v>1.047272833</v>
      </c>
    </row>
    <row r="295">
      <c r="A295" s="1" t="s">
        <v>73</v>
      </c>
      <c r="B295" s="38">
        <v>668881.0</v>
      </c>
      <c r="C295" s="72">
        <v>45760.0</v>
      </c>
      <c r="D295" s="38">
        <v>98.0</v>
      </c>
      <c r="E295" s="73">
        <f>IFERROR(__xludf.DUMMYFUNCTION("average(filter('Appearance Sheet'!F:F,'Appearance Sheet'!G:G=B295,'Appearance Sheet'!A:A=C295))"),7.0)</f>
        <v>7</v>
      </c>
      <c r="F295" s="67">
        <v>5.448765082</v>
      </c>
      <c r="G295" s="40">
        <v>1.377360077</v>
      </c>
      <c r="H295" s="40">
        <f t="shared" si="1"/>
        <v>1.770891528</v>
      </c>
      <c r="I295" s="41">
        <v>0.56122449</v>
      </c>
      <c r="J295" s="41">
        <v>0.193877551</v>
      </c>
      <c r="K295" s="41">
        <v>0.244897959</v>
      </c>
      <c r="L295" s="41">
        <f t="shared" si="2"/>
        <v>0.316326531</v>
      </c>
      <c r="M295" s="74">
        <v>3.726794158</v>
      </c>
    </row>
    <row r="296">
      <c r="A296" s="1" t="s">
        <v>155</v>
      </c>
      <c r="B296" s="38">
        <v>592332.0</v>
      </c>
      <c r="C296" s="72">
        <v>45756.0</v>
      </c>
      <c r="D296" s="38">
        <v>90.0</v>
      </c>
      <c r="E296" s="73">
        <f>IFERROR(__xludf.DUMMYFUNCTION("average(filter('Appearance Sheet'!F:F,'Appearance Sheet'!G:G=B296,'Appearance Sheet'!A:A=C296))"),8.0)</f>
        <v>8</v>
      </c>
      <c r="F296" s="67">
        <v>5.448391513</v>
      </c>
      <c r="G296" s="40">
        <v>1.23093239</v>
      </c>
      <c r="H296" s="40">
        <f t="shared" si="1"/>
        <v>1.384798939</v>
      </c>
      <c r="I296" s="41">
        <v>0.544444444</v>
      </c>
      <c r="J296" s="41">
        <v>0.144444444</v>
      </c>
      <c r="K296" s="41">
        <v>0.311111111</v>
      </c>
      <c r="L296" s="41">
        <f t="shared" si="2"/>
        <v>0.233333333</v>
      </c>
      <c r="M296" s="74">
        <v>0.407172047</v>
      </c>
    </row>
    <row r="297">
      <c r="A297" s="1" t="s">
        <v>307</v>
      </c>
      <c r="B297" s="38">
        <v>656849.0</v>
      </c>
      <c r="C297" s="72">
        <v>45870.0</v>
      </c>
      <c r="D297" s="38">
        <v>86.0</v>
      </c>
      <c r="E297" s="73" t="str">
        <f>IFERROR(__xludf.DUMMYFUNCTION("average(filter('Appearance Sheet'!F:F,'Appearance Sheet'!G:G=B297,'Appearance Sheet'!A:A=C297))"),"#N/A")</f>
        <v>#N/A</v>
      </c>
      <c r="F297" s="67">
        <v>5.447829685</v>
      </c>
      <c r="G297" s="40">
        <v>1.197594532</v>
      </c>
      <c r="H297" s="40" t="str">
        <f t="shared" si="1"/>
        <v>#N/A</v>
      </c>
      <c r="I297" s="41">
        <v>0.5</v>
      </c>
      <c r="J297" s="41">
        <v>0.162790698</v>
      </c>
      <c r="K297" s="41">
        <v>0.337209302</v>
      </c>
      <c r="L297" s="41">
        <f t="shared" si="2"/>
        <v>0.162790698</v>
      </c>
      <c r="M297" s="74">
        <v>2.258290807</v>
      </c>
    </row>
    <row r="298">
      <c r="A298" s="1" t="s">
        <v>180</v>
      </c>
      <c r="B298" s="38">
        <v>642547.0</v>
      </c>
      <c r="C298" s="72">
        <v>45781.0</v>
      </c>
      <c r="D298" s="38">
        <v>88.0</v>
      </c>
      <c r="E298" s="73">
        <f>IFERROR(__xludf.DUMMYFUNCTION("average(filter('Appearance Sheet'!F:F,'Appearance Sheet'!G:G=B298,'Appearance Sheet'!A:A=C298))"),6.0)</f>
        <v>6</v>
      </c>
      <c r="F298" s="67">
        <v>5.447379826</v>
      </c>
      <c r="G298" s="40">
        <v>1.179752002</v>
      </c>
      <c r="H298" s="40">
        <f t="shared" si="1"/>
        <v>1.769628003</v>
      </c>
      <c r="I298" s="41">
        <v>0.590909091</v>
      </c>
      <c r="J298" s="41">
        <v>0.125</v>
      </c>
      <c r="K298" s="41">
        <v>0.284090909</v>
      </c>
      <c r="L298" s="41">
        <f t="shared" si="2"/>
        <v>0.306818182</v>
      </c>
      <c r="M298" s="74">
        <v>-0.488765982</v>
      </c>
    </row>
    <row r="299">
      <c r="A299" s="1" t="s">
        <v>339</v>
      </c>
      <c r="B299" s="38">
        <v>686613.0</v>
      </c>
      <c r="C299" s="72">
        <v>45834.0</v>
      </c>
      <c r="D299" s="38">
        <v>96.0</v>
      </c>
      <c r="E299" s="73">
        <f>IFERROR(__xludf.DUMMYFUNCTION("average(filter('Appearance Sheet'!F:F,'Appearance Sheet'!G:G=B299,'Appearance Sheet'!A:A=C299))"),7.0)</f>
        <v>7</v>
      </c>
      <c r="F299" s="67">
        <v>5.445782008</v>
      </c>
      <c r="G299" s="40">
        <v>1.33609261</v>
      </c>
      <c r="H299" s="40">
        <f t="shared" si="1"/>
        <v>1.717833356</v>
      </c>
      <c r="I299" s="41">
        <v>0.53125</v>
      </c>
      <c r="J299" s="41">
        <v>0.15625</v>
      </c>
      <c r="K299" s="41">
        <v>0.3125</v>
      </c>
      <c r="L299" s="41">
        <f t="shared" si="2"/>
        <v>0.21875</v>
      </c>
      <c r="M299" s="74">
        <v>1.931179671</v>
      </c>
    </row>
    <row r="300">
      <c r="A300" s="1" t="s">
        <v>55</v>
      </c>
      <c r="B300" s="38">
        <v>641816.0</v>
      </c>
      <c r="C300" s="72">
        <v>45784.0</v>
      </c>
      <c r="D300" s="38">
        <v>87.0</v>
      </c>
      <c r="E300" s="73">
        <f>IFERROR(__xludf.DUMMYFUNCTION("average(filter('Appearance Sheet'!F:F,'Appearance Sheet'!G:G=B300,'Appearance Sheet'!A:A=C300))"),5.0)</f>
        <v>5</v>
      </c>
      <c r="F300" s="67">
        <v>5.445489989</v>
      </c>
      <c r="G300" s="40">
        <v>1.198990505</v>
      </c>
      <c r="H300" s="40">
        <f t="shared" si="1"/>
        <v>2.158182909</v>
      </c>
      <c r="I300" s="41">
        <v>0.632183908</v>
      </c>
      <c r="J300" s="41">
        <v>0.103448276</v>
      </c>
      <c r="K300" s="41">
        <v>0.264367816</v>
      </c>
      <c r="L300" s="41">
        <f t="shared" si="2"/>
        <v>0.367816092</v>
      </c>
      <c r="M300" s="74">
        <v>1.134741552</v>
      </c>
    </row>
    <row r="301">
      <c r="A301" s="1" t="s">
        <v>115</v>
      </c>
      <c r="B301" s="38">
        <v>543135.0</v>
      </c>
      <c r="C301" s="72">
        <v>45766.0</v>
      </c>
      <c r="D301" s="38">
        <v>85.0</v>
      </c>
      <c r="E301" s="73">
        <f>IFERROR(__xludf.DUMMYFUNCTION("average(filter('Appearance Sheet'!F:F,'Appearance Sheet'!G:G=B301,'Appearance Sheet'!A:A=C301))"),6.0)</f>
        <v>6</v>
      </c>
      <c r="F301" s="67">
        <v>5.44531996</v>
      </c>
      <c r="G301" s="40">
        <v>1.193691659</v>
      </c>
      <c r="H301" s="40">
        <f t="shared" si="1"/>
        <v>1.790537489</v>
      </c>
      <c r="I301" s="41">
        <v>0.517647059</v>
      </c>
      <c r="J301" s="41">
        <v>0.2</v>
      </c>
      <c r="K301" s="41">
        <v>0.282352941</v>
      </c>
      <c r="L301" s="41">
        <f t="shared" si="2"/>
        <v>0.235294118</v>
      </c>
      <c r="M301" s="74">
        <v>0.469615799</v>
      </c>
    </row>
    <row r="302">
      <c r="A302" s="1" t="s">
        <v>97</v>
      </c>
      <c r="B302" s="38">
        <v>656876.0</v>
      </c>
      <c r="C302" s="72">
        <v>45747.0</v>
      </c>
      <c r="D302" s="38">
        <v>68.0</v>
      </c>
      <c r="E302" s="73">
        <f>IFERROR(__xludf.DUMMYFUNCTION("average(filter('Appearance Sheet'!F:F,'Appearance Sheet'!G:G=B302,'Appearance Sheet'!A:A=C302))"),5.0)</f>
        <v>5</v>
      </c>
      <c r="F302" s="67">
        <v>5.445253363</v>
      </c>
      <c r="G302" s="40">
        <v>0.941412773</v>
      </c>
      <c r="H302" s="40">
        <f t="shared" si="1"/>
        <v>1.694542991</v>
      </c>
      <c r="I302" s="41">
        <v>0.544117647</v>
      </c>
      <c r="J302" s="41">
        <v>0.191176471</v>
      </c>
      <c r="K302" s="41">
        <v>0.264705882</v>
      </c>
      <c r="L302" s="41">
        <f t="shared" si="2"/>
        <v>0.279411765</v>
      </c>
      <c r="M302" s="74">
        <v>2.808402032</v>
      </c>
    </row>
    <row r="303">
      <c r="A303" s="1" t="s">
        <v>201</v>
      </c>
      <c r="B303" s="38">
        <v>675512.0</v>
      </c>
      <c r="C303" s="72">
        <v>45866.0</v>
      </c>
      <c r="D303" s="38">
        <v>87.0</v>
      </c>
      <c r="E303" s="73" t="str">
        <f>IFERROR(__xludf.DUMMYFUNCTION("average(filter('Appearance Sheet'!F:F,'Appearance Sheet'!G:G=B303,'Appearance Sheet'!A:A=C303))"),"#N/A")</f>
        <v>#N/A</v>
      </c>
      <c r="F303" s="67">
        <v>5.444116946</v>
      </c>
      <c r="G303" s="40">
        <v>1.256367264</v>
      </c>
      <c r="H303" s="40" t="str">
        <f t="shared" si="1"/>
        <v>#N/A</v>
      </c>
      <c r="I303" s="41">
        <v>0.505747126</v>
      </c>
      <c r="J303" s="41">
        <v>0.24137931</v>
      </c>
      <c r="K303" s="41">
        <v>0.252873563</v>
      </c>
      <c r="L303" s="41">
        <f t="shared" si="2"/>
        <v>0.252873563</v>
      </c>
      <c r="M303" s="74">
        <v>0.37114859</v>
      </c>
    </row>
    <row r="304">
      <c r="A304" s="1" t="s">
        <v>373</v>
      </c>
      <c r="B304" s="38">
        <v>640455.0</v>
      </c>
      <c r="C304" s="72">
        <v>45895.0</v>
      </c>
      <c r="D304" s="38">
        <v>87.0</v>
      </c>
      <c r="E304" s="73" t="str">
        <f>IFERROR(__xludf.DUMMYFUNCTION("average(filter('Appearance Sheet'!F:F,'Appearance Sheet'!G:G=B304,'Appearance Sheet'!A:A=C304))"),"#N/A")</f>
        <v>#N/A</v>
      </c>
      <c r="F304" s="67">
        <v>5.443446725</v>
      </c>
      <c r="G304" s="40">
        <v>1.188997541</v>
      </c>
      <c r="H304" s="40" t="str">
        <f t="shared" si="1"/>
        <v>#N/A</v>
      </c>
      <c r="I304" s="41">
        <v>0.517241379</v>
      </c>
      <c r="J304" s="41">
        <v>0.218390805</v>
      </c>
      <c r="K304" s="41">
        <v>0.264367816</v>
      </c>
      <c r="L304" s="41">
        <f t="shared" si="2"/>
        <v>0.252873563</v>
      </c>
      <c r="M304" s="74">
        <v>-0.330567655</v>
      </c>
    </row>
    <row r="305">
      <c r="A305" s="1" t="s">
        <v>67</v>
      </c>
      <c r="B305" s="38">
        <v>684007.0</v>
      </c>
      <c r="C305" s="72">
        <v>45868.0</v>
      </c>
      <c r="D305" s="38">
        <v>86.0</v>
      </c>
      <c r="E305" s="73" t="str">
        <f>IFERROR(__xludf.DUMMYFUNCTION("average(filter('Appearance Sheet'!F:F,'Appearance Sheet'!G:G=B305,'Appearance Sheet'!A:A=C305))"),"#N/A")</f>
        <v>#N/A</v>
      </c>
      <c r="F305" s="67">
        <v>5.44341954</v>
      </c>
      <c r="G305" s="40">
        <v>1.167949251</v>
      </c>
      <c r="H305" s="40" t="str">
        <f t="shared" si="1"/>
        <v>#N/A</v>
      </c>
      <c r="I305" s="41">
        <v>0.569767442</v>
      </c>
      <c r="J305" s="41">
        <v>0.151162791</v>
      </c>
      <c r="K305" s="41">
        <v>0.279069767</v>
      </c>
      <c r="L305" s="41">
        <f t="shared" si="2"/>
        <v>0.290697675</v>
      </c>
      <c r="M305" s="74">
        <v>1.583344943</v>
      </c>
    </row>
    <row r="306">
      <c r="A306" s="1" t="s">
        <v>100</v>
      </c>
      <c r="B306" s="38">
        <v>676979.0</v>
      </c>
      <c r="C306" s="72">
        <v>45908.0</v>
      </c>
      <c r="D306" s="38">
        <v>92.0</v>
      </c>
      <c r="E306" s="73" t="str">
        <f>IFERROR(__xludf.DUMMYFUNCTION("average(filter('Appearance Sheet'!F:F,'Appearance Sheet'!G:G=B306,'Appearance Sheet'!A:A=C306))"),"#N/A")</f>
        <v>#N/A</v>
      </c>
      <c r="F306" s="67">
        <v>5.443233569</v>
      </c>
      <c r="G306" s="40">
        <v>1.280459893</v>
      </c>
      <c r="H306" s="40" t="str">
        <f t="shared" si="1"/>
        <v>#N/A</v>
      </c>
      <c r="I306" s="41">
        <v>0.543478261</v>
      </c>
      <c r="J306" s="41">
        <v>0.239130435</v>
      </c>
      <c r="K306" s="41">
        <v>0.217391304</v>
      </c>
      <c r="L306" s="41">
        <f t="shared" si="2"/>
        <v>0.326086957</v>
      </c>
      <c r="M306" s="74">
        <v>3.089833084</v>
      </c>
    </row>
    <row r="307">
      <c r="A307" s="1" t="s">
        <v>347</v>
      </c>
      <c r="B307" s="38">
        <v>700249.0</v>
      </c>
      <c r="C307" s="72">
        <v>45897.0</v>
      </c>
      <c r="D307" s="38">
        <v>78.0</v>
      </c>
      <c r="E307" s="73" t="str">
        <f>IFERROR(__xludf.DUMMYFUNCTION("average(filter('Appearance Sheet'!F:F,'Appearance Sheet'!G:G=B307,'Appearance Sheet'!A:A=C307))"),"#N/A")</f>
        <v>#N/A</v>
      </c>
      <c r="F307" s="67">
        <v>5.443143953</v>
      </c>
      <c r="G307" s="40">
        <v>1.10325209</v>
      </c>
      <c r="H307" s="40" t="str">
        <f t="shared" si="1"/>
        <v>#N/A</v>
      </c>
      <c r="I307" s="41">
        <v>0.538461538</v>
      </c>
      <c r="J307" s="41">
        <v>0.179487179</v>
      </c>
      <c r="K307" s="41">
        <v>0.282051282</v>
      </c>
      <c r="L307" s="41">
        <f t="shared" si="2"/>
        <v>0.256410256</v>
      </c>
      <c r="M307" s="74">
        <v>-1.782869115</v>
      </c>
    </row>
    <row r="308">
      <c r="A308" s="1" t="s">
        <v>452</v>
      </c>
      <c r="B308" s="38">
        <v>607625.0</v>
      </c>
      <c r="C308" s="72">
        <v>45778.0</v>
      </c>
      <c r="D308" s="38">
        <v>91.0</v>
      </c>
      <c r="E308" s="73">
        <f>IFERROR(__xludf.DUMMYFUNCTION("average(filter('Appearance Sheet'!F:F,'Appearance Sheet'!G:G=B308,'Appearance Sheet'!A:A=C308))"),6.0)</f>
        <v>6</v>
      </c>
      <c r="F308" s="67">
        <v>5.442836719</v>
      </c>
      <c r="G308" s="40">
        <v>1.247380806</v>
      </c>
      <c r="H308" s="40">
        <f t="shared" si="1"/>
        <v>1.871071209</v>
      </c>
      <c r="I308" s="41">
        <v>0.549450549</v>
      </c>
      <c r="J308" s="41">
        <v>0.131868132</v>
      </c>
      <c r="K308" s="41">
        <v>0.318681319</v>
      </c>
      <c r="L308" s="41">
        <f t="shared" si="2"/>
        <v>0.23076923</v>
      </c>
      <c r="M308" s="74">
        <v>0.332030347</v>
      </c>
    </row>
    <row r="309">
      <c r="A309" s="1" t="s">
        <v>130</v>
      </c>
      <c r="B309" s="38">
        <v>666200.0</v>
      </c>
      <c r="C309" s="72">
        <v>45785.0</v>
      </c>
      <c r="D309" s="38">
        <v>103.0</v>
      </c>
      <c r="E309" s="73">
        <f>IFERROR(__xludf.DUMMYFUNCTION("average(filter('Appearance Sheet'!F:F,'Appearance Sheet'!G:G=B309,'Appearance Sheet'!A:A=C309))"),5.333333333333333)</f>
        <v>5.333333333</v>
      </c>
      <c r="F309" s="67">
        <v>5.440667727</v>
      </c>
      <c r="G309" s="40">
        <v>1.414764971</v>
      </c>
      <c r="H309" s="40">
        <f t="shared" si="1"/>
        <v>2.387415889</v>
      </c>
      <c r="I309" s="41">
        <v>0.553398058</v>
      </c>
      <c r="J309" s="41">
        <v>0.262135922</v>
      </c>
      <c r="K309" s="41">
        <v>0.184466019</v>
      </c>
      <c r="L309" s="41">
        <f t="shared" si="2"/>
        <v>0.368932039</v>
      </c>
      <c r="M309" s="74">
        <v>0.329304259</v>
      </c>
    </row>
    <row r="310">
      <c r="A310" s="1" t="s">
        <v>229</v>
      </c>
      <c r="B310" s="38">
        <v>645261.0</v>
      </c>
      <c r="C310" s="72">
        <v>45794.0</v>
      </c>
      <c r="D310" s="38">
        <v>98.0</v>
      </c>
      <c r="E310" s="73">
        <f>IFERROR(__xludf.DUMMYFUNCTION("average(filter('Appearance Sheet'!F:F,'Appearance Sheet'!G:G=B310,'Appearance Sheet'!A:A=C310))"),5.0)</f>
        <v>5</v>
      </c>
      <c r="F310" s="67">
        <v>5.440576366</v>
      </c>
      <c r="G310" s="40">
        <v>1.31762792</v>
      </c>
      <c r="H310" s="40">
        <f t="shared" si="1"/>
        <v>2.371730256</v>
      </c>
      <c r="I310" s="41">
        <v>0.489795918</v>
      </c>
      <c r="J310" s="41">
        <v>0.183673469</v>
      </c>
      <c r="K310" s="41">
        <v>0.326530612</v>
      </c>
      <c r="L310" s="41">
        <f t="shared" si="2"/>
        <v>0.163265306</v>
      </c>
      <c r="M310" s="74">
        <v>0.192971243</v>
      </c>
    </row>
    <row r="311">
      <c r="A311" s="1" t="s">
        <v>245</v>
      </c>
      <c r="B311" s="38">
        <v>571578.0</v>
      </c>
      <c r="C311" s="72">
        <v>45901.0</v>
      </c>
      <c r="D311" s="38">
        <v>92.0</v>
      </c>
      <c r="E311" s="73" t="str">
        <f>IFERROR(__xludf.DUMMYFUNCTION("average(filter('Appearance Sheet'!F:F,'Appearance Sheet'!G:G=B311,'Appearance Sheet'!A:A=C311))"),"#N/A")</f>
        <v>#N/A</v>
      </c>
      <c r="F311" s="67">
        <v>5.439559146</v>
      </c>
      <c r="G311" s="40">
        <v>1.293441977</v>
      </c>
      <c r="H311" s="40" t="str">
        <f t="shared" si="1"/>
        <v>#N/A</v>
      </c>
      <c r="I311" s="41">
        <v>0.5</v>
      </c>
      <c r="J311" s="41">
        <v>0.260869565</v>
      </c>
      <c r="K311" s="41">
        <v>0.239130435</v>
      </c>
      <c r="L311" s="41">
        <f t="shared" si="2"/>
        <v>0.260869565</v>
      </c>
      <c r="M311" s="74">
        <v>0.539564639</v>
      </c>
    </row>
    <row r="312">
      <c r="A312" s="1" t="s">
        <v>232</v>
      </c>
      <c r="B312" s="38">
        <v>579328.0</v>
      </c>
      <c r="C312" s="72">
        <v>45743.0</v>
      </c>
      <c r="D312" s="38">
        <v>81.0</v>
      </c>
      <c r="E312" s="73">
        <f>IFERROR(__xludf.DUMMYFUNCTION("average(filter('Appearance Sheet'!F:F,'Appearance Sheet'!G:G=B312,'Appearance Sheet'!A:A=C312))"),6.0)</f>
        <v>6</v>
      </c>
      <c r="F312" s="67">
        <v>5.439463756</v>
      </c>
      <c r="G312" s="40">
        <v>1.14851989</v>
      </c>
      <c r="H312" s="40">
        <f t="shared" si="1"/>
        <v>1.722779835</v>
      </c>
      <c r="I312" s="41">
        <v>0.543209877</v>
      </c>
      <c r="J312" s="41">
        <v>0.148148148</v>
      </c>
      <c r="K312" s="41">
        <v>0.308641975</v>
      </c>
      <c r="L312" s="41">
        <f t="shared" si="2"/>
        <v>0.234567902</v>
      </c>
      <c r="M312" s="74">
        <v>-0.540008398</v>
      </c>
    </row>
    <row r="313">
      <c r="A313" s="1" t="s">
        <v>354</v>
      </c>
      <c r="B313" s="38">
        <v>669022.0</v>
      </c>
      <c r="C313" s="72">
        <v>45812.0</v>
      </c>
      <c r="D313" s="38">
        <v>91.0</v>
      </c>
      <c r="E313" s="73">
        <f>IFERROR(__xludf.DUMMYFUNCTION("average(filter('Appearance Sheet'!F:F,'Appearance Sheet'!G:G=B313,'Appearance Sheet'!A:A=C313))"),7.0)</f>
        <v>7</v>
      </c>
      <c r="F313" s="67">
        <v>5.439253367</v>
      </c>
      <c r="G313" s="40">
        <v>1.311970592</v>
      </c>
      <c r="H313" s="40">
        <f t="shared" si="1"/>
        <v>1.686819333</v>
      </c>
      <c r="I313" s="41">
        <v>0.527472527</v>
      </c>
      <c r="J313" s="41">
        <v>0.208791209</v>
      </c>
      <c r="K313" s="41">
        <v>0.263736264</v>
      </c>
      <c r="L313" s="41">
        <f t="shared" si="2"/>
        <v>0.263736263</v>
      </c>
      <c r="M313" s="74">
        <v>1.50588758</v>
      </c>
    </row>
    <row r="314">
      <c r="A314" s="1" t="s">
        <v>65</v>
      </c>
      <c r="B314" s="38">
        <v>680885.0</v>
      </c>
      <c r="C314" s="72">
        <v>45836.0</v>
      </c>
      <c r="D314" s="38">
        <v>87.0</v>
      </c>
      <c r="E314" s="73">
        <f>IFERROR(__xludf.DUMMYFUNCTION("average(filter('Appearance Sheet'!F:F,'Appearance Sheet'!G:G=B314,'Appearance Sheet'!A:A=C314))"),7.0)</f>
        <v>7</v>
      </c>
      <c r="F314" s="67">
        <v>5.439100516</v>
      </c>
      <c r="G314" s="40">
        <v>1.252253312</v>
      </c>
      <c r="H314" s="40">
        <f t="shared" si="1"/>
        <v>1.610039973</v>
      </c>
      <c r="I314" s="41">
        <v>0.563218391</v>
      </c>
      <c r="J314" s="41">
        <v>0.206896552</v>
      </c>
      <c r="K314" s="41">
        <v>0.229885057</v>
      </c>
      <c r="L314" s="41">
        <f t="shared" si="2"/>
        <v>0.333333334</v>
      </c>
      <c r="M314" s="74">
        <v>4.550995757</v>
      </c>
    </row>
    <row r="315">
      <c r="A315" s="1" t="s">
        <v>105</v>
      </c>
      <c r="B315" s="38">
        <v>624133.0</v>
      </c>
      <c r="C315" s="72">
        <v>45793.0</v>
      </c>
      <c r="D315" s="38">
        <v>97.0</v>
      </c>
      <c r="E315" s="73">
        <f>IFERROR(__xludf.DUMMYFUNCTION("average(filter('Appearance Sheet'!F:F,'Appearance Sheet'!G:G=B315,'Appearance Sheet'!A:A=C315))"),7.0)</f>
        <v>7</v>
      </c>
      <c r="F315" s="67">
        <v>5.438763088</v>
      </c>
      <c r="G315" s="40">
        <v>1.379800143</v>
      </c>
      <c r="H315" s="40">
        <f t="shared" si="1"/>
        <v>1.774028755</v>
      </c>
      <c r="I315" s="41">
        <v>0.525773196</v>
      </c>
      <c r="J315" s="41">
        <v>0.226804124</v>
      </c>
      <c r="K315" s="41">
        <v>0.24742268</v>
      </c>
      <c r="L315" s="41">
        <f t="shared" si="2"/>
        <v>0.278350516</v>
      </c>
      <c r="M315" s="74">
        <v>1.24714036</v>
      </c>
    </row>
    <row r="316">
      <c r="A316" s="1" t="s">
        <v>180</v>
      </c>
      <c r="B316" s="38">
        <v>642547.0</v>
      </c>
      <c r="C316" s="72">
        <v>45800.0</v>
      </c>
      <c r="D316" s="38">
        <v>97.0</v>
      </c>
      <c r="E316" s="73">
        <f>IFERROR(__xludf.DUMMYFUNCTION("average(filter('Appearance Sheet'!F:F,'Appearance Sheet'!G:G=B316,'Appearance Sheet'!A:A=C316))"),4.333333333333333)</f>
        <v>4.333333333</v>
      </c>
      <c r="F316" s="67">
        <v>5.438591806</v>
      </c>
      <c r="G316" s="40">
        <v>1.339604765</v>
      </c>
      <c r="H316" s="40">
        <f t="shared" si="1"/>
        <v>2.78225605</v>
      </c>
      <c r="I316" s="41">
        <v>0.525773196</v>
      </c>
      <c r="J316" s="41">
        <v>0.144329897</v>
      </c>
      <c r="K316" s="41">
        <v>0.329896907</v>
      </c>
      <c r="L316" s="41">
        <f t="shared" si="2"/>
        <v>0.195876289</v>
      </c>
      <c r="M316" s="74">
        <v>-0.416819487</v>
      </c>
    </row>
    <row r="317">
      <c r="A317" s="1" t="s">
        <v>363</v>
      </c>
      <c r="B317" s="38">
        <v>693645.0</v>
      </c>
      <c r="C317" s="72">
        <v>45871.0</v>
      </c>
      <c r="D317" s="38">
        <v>91.0</v>
      </c>
      <c r="E317" s="73" t="str">
        <f>IFERROR(__xludf.DUMMYFUNCTION("average(filter('Appearance Sheet'!F:F,'Appearance Sheet'!G:G=B317,'Appearance Sheet'!A:A=C317))"),"#N/A")</f>
        <v>#N/A</v>
      </c>
      <c r="F317" s="67">
        <v>5.438411096</v>
      </c>
      <c r="G317" s="40">
        <v>1.263830229</v>
      </c>
      <c r="H317" s="40" t="str">
        <f t="shared" si="1"/>
        <v>#N/A</v>
      </c>
      <c r="I317" s="41">
        <v>0.549450549</v>
      </c>
      <c r="J317" s="41">
        <v>0.208791209</v>
      </c>
      <c r="K317" s="41">
        <v>0.241758242</v>
      </c>
      <c r="L317" s="41">
        <f t="shared" si="2"/>
        <v>0.307692307</v>
      </c>
      <c r="M317" s="74">
        <v>0.305048377</v>
      </c>
    </row>
    <row r="318">
      <c r="A318" s="1" t="s">
        <v>133</v>
      </c>
      <c r="B318" s="38">
        <v>663978.0</v>
      </c>
      <c r="C318" s="72">
        <v>45837.0</v>
      </c>
      <c r="D318" s="38">
        <v>90.0</v>
      </c>
      <c r="E318" s="73">
        <f>IFERROR(__xludf.DUMMYFUNCTION("average(filter('Appearance Sheet'!F:F,'Appearance Sheet'!G:G=B318,'Appearance Sheet'!A:A=C318))"),4.666666666666667)</f>
        <v>4.666666667</v>
      </c>
      <c r="F318" s="67">
        <v>5.438169005</v>
      </c>
      <c r="G318" s="40">
        <v>1.233112987</v>
      </c>
      <c r="H318" s="40">
        <f t="shared" si="1"/>
        <v>2.378146475</v>
      </c>
      <c r="I318" s="41">
        <v>0.555555556</v>
      </c>
      <c r="J318" s="41">
        <v>0.144444444</v>
      </c>
      <c r="K318" s="41">
        <v>0.3</v>
      </c>
      <c r="L318" s="41">
        <f t="shared" si="2"/>
        <v>0.255555556</v>
      </c>
      <c r="M318" s="74">
        <v>-1.216111549</v>
      </c>
    </row>
    <row r="319">
      <c r="A319" s="1" t="s">
        <v>100</v>
      </c>
      <c r="B319" s="38">
        <v>676979.0</v>
      </c>
      <c r="C319" s="72">
        <v>45793.0</v>
      </c>
      <c r="D319" s="38">
        <v>100.0</v>
      </c>
      <c r="E319" s="73">
        <f>IFERROR(__xludf.DUMMYFUNCTION("average(filter('Appearance Sheet'!F:F,'Appearance Sheet'!G:G=B319,'Appearance Sheet'!A:A=C319))"),7.0)</f>
        <v>7</v>
      </c>
      <c r="F319" s="67">
        <v>5.438001456</v>
      </c>
      <c r="G319" s="40">
        <v>1.417792879</v>
      </c>
      <c r="H319" s="40">
        <f t="shared" si="1"/>
        <v>1.822876559</v>
      </c>
      <c r="I319" s="41">
        <v>0.54</v>
      </c>
      <c r="J319" s="41">
        <v>0.14</v>
      </c>
      <c r="K319" s="41">
        <v>0.32</v>
      </c>
      <c r="L319" s="41">
        <f t="shared" si="2"/>
        <v>0.22</v>
      </c>
      <c r="M319" s="74">
        <v>-0.974641362</v>
      </c>
    </row>
    <row r="320">
      <c r="A320" s="1" t="s">
        <v>55</v>
      </c>
      <c r="B320" s="38">
        <v>641816.0</v>
      </c>
      <c r="C320" s="72">
        <v>45751.0</v>
      </c>
      <c r="D320" s="38">
        <v>82.0</v>
      </c>
      <c r="E320" s="73">
        <f>IFERROR(__xludf.DUMMYFUNCTION("average(filter('Appearance Sheet'!F:F,'Appearance Sheet'!G:G=B320,'Appearance Sheet'!A:A=C320))"),5.0)</f>
        <v>5</v>
      </c>
      <c r="F320" s="67">
        <v>5.437303657</v>
      </c>
      <c r="G320" s="40">
        <v>1.138480953</v>
      </c>
      <c r="H320" s="40">
        <f t="shared" si="1"/>
        <v>2.049265715</v>
      </c>
      <c r="I320" s="41">
        <v>0.597560976</v>
      </c>
      <c r="J320" s="41">
        <v>0.12195122</v>
      </c>
      <c r="K320" s="41">
        <v>0.280487805</v>
      </c>
      <c r="L320" s="41">
        <f t="shared" si="2"/>
        <v>0.317073171</v>
      </c>
      <c r="M320" s="74">
        <v>3.711244993</v>
      </c>
    </row>
    <row r="321">
      <c r="A321" s="1" t="s">
        <v>79</v>
      </c>
      <c r="B321" s="38">
        <v>554430.0</v>
      </c>
      <c r="C321" s="72">
        <v>45833.0</v>
      </c>
      <c r="D321" s="38">
        <v>98.0</v>
      </c>
      <c r="E321" s="73">
        <f>IFERROR(__xludf.DUMMYFUNCTION("average(filter('Appearance Sheet'!F:F,'Appearance Sheet'!G:G=B321,'Appearance Sheet'!A:A=C321))"),6.0)</f>
        <v>6</v>
      </c>
      <c r="F321" s="67">
        <v>5.437052684</v>
      </c>
      <c r="G321" s="40">
        <v>1.366134656</v>
      </c>
      <c r="H321" s="40">
        <f t="shared" si="1"/>
        <v>2.049201984</v>
      </c>
      <c r="I321" s="41">
        <v>0.540816327</v>
      </c>
      <c r="J321" s="41">
        <v>0.193877551</v>
      </c>
      <c r="K321" s="41">
        <v>0.265306122</v>
      </c>
      <c r="L321" s="41">
        <f t="shared" si="2"/>
        <v>0.275510205</v>
      </c>
      <c r="M321" s="74">
        <v>1.692557942</v>
      </c>
    </row>
    <row r="322">
      <c r="A322" s="1" t="s">
        <v>303</v>
      </c>
      <c r="B322" s="38">
        <v>592662.0</v>
      </c>
      <c r="C322" s="72">
        <v>45802.0</v>
      </c>
      <c r="D322" s="38">
        <v>89.0</v>
      </c>
      <c r="E322" s="73">
        <f>IFERROR(__xludf.DUMMYFUNCTION("average(filter('Appearance Sheet'!F:F,'Appearance Sheet'!G:G=B322,'Appearance Sheet'!A:A=C322))"),6.0)</f>
        <v>6</v>
      </c>
      <c r="F322" s="67">
        <v>5.4363904</v>
      </c>
      <c r="G322" s="40">
        <v>1.254005905</v>
      </c>
      <c r="H322" s="40">
        <f t="shared" si="1"/>
        <v>1.881008858</v>
      </c>
      <c r="I322" s="41">
        <v>0.539325843</v>
      </c>
      <c r="J322" s="41">
        <v>0.168539326</v>
      </c>
      <c r="K322" s="41">
        <v>0.292134831</v>
      </c>
      <c r="L322" s="41">
        <f t="shared" si="2"/>
        <v>0.247191012</v>
      </c>
      <c r="M322" s="74">
        <v>1.487839809</v>
      </c>
    </row>
    <row r="323">
      <c r="A323" s="1" t="s">
        <v>308</v>
      </c>
      <c r="B323" s="38">
        <v>676440.0</v>
      </c>
      <c r="C323" s="72">
        <v>45776.0</v>
      </c>
      <c r="D323" s="38">
        <v>90.0</v>
      </c>
      <c r="E323" s="73">
        <f>IFERROR(__xludf.DUMMYFUNCTION("average(filter('Appearance Sheet'!F:F,'Appearance Sheet'!G:G=B323,'Appearance Sheet'!A:A=C323))"),7.0)</f>
        <v>7</v>
      </c>
      <c r="F323" s="67">
        <v>5.435464738</v>
      </c>
      <c r="G323" s="40">
        <v>1.241286183</v>
      </c>
      <c r="H323" s="40">
        <f t="shared" si="1"/>
        <v>1.595939378</v>
      </c>
      <c r="I323" s="41">
        <v>0.555555556</v>
      </c>
      <c r="J323" s="41">
        <v>0.133333333</v>
      </c>
      <c r="K323" s="41">
        <v>0.311111111</v>
      </c>
      <c r="L323" s="41">
        <f t="shared" si="2"/>
        <v>0.244444445</v>
      </c>
      <c r="M323" s="74">
        <v>1.028072071</v>
      </c>
    </row>
    <row r="324">
      <c r="A324" s="1" t="s">
        <v>169</v>
      </c>
      <c r="B324" s="38">
        <v>671096.0</v>
      </c>
      <c r="C324" s="72">
        <v>45858.0</v>
      </c>
      <c r="D324" s="38">
        <v>91.0</v>
      </c>
      <c r="E324" s="73" t="str">
        <f>IFERROR(__xludf.DUMMYFUNCTION("average(filter('Appearance Sheet'!F:F,'Appearance Sheet'!G:G=B324,'Appearance Sheet'!A:A=C324))"),"#N/A")</f>
        <v>#N/A</v>
      </c>
      <c r="F324" s="67">
        <v>5.435158635</v>
      </c>
      <c r="G324" s="40">
        <v>1.283171571</v>
      </c>
      <c r="H324" s="40" t="str">
        <f t="shared" si="1"/>
        <v>#N/A</v>
      </c>
      <c r="I324" s="41">
        <v>0.549450549</v>
      </c>
      <c r="J324" s="41">
        <v>0.153846154</v>
      </c>
      <c r="K324" s="41">
        <v>0.296703297</v>
      </c>
      <c r="L324" s="41">
        <f t="shared" si="2"/>
        <v>0.252747252</v>
      </c>
      <c r="M324" s="74">
        <v>0.242205215</v>
      </c>
    </row>
    <row r="325">
      <c r="A325" s="1" t="s">
        <v>331</v>
      </c>
      <c r="B325" s="38">
        <v>672456.0</v>
      </c>
      <c r="C325" s="72">
        <v>45863.0</v>
      </c>
      <c r="D325" s="38">
        <v>75.0</v>
      </c>
      <c r="E325" s="73" t="str">
        <f>IFERROR(__xludf.DUMMYFUNCTION("average(filter('Appearance Sheet'!F:F,'Appearance Sheet'!G:G=B325,'Appearance Sheet'!A:A=C325))"),"#N/A")</f>
        <v>#N/A</v>
      </c>
      <c r="F325" s="67">
        <v>5.434602969</v>
      </c>
      <c r="G325" s="40">
        <v>1.068372598</v>
      </c>
      <c r="H325" s="40" t="str">
        <f t="shared" si="1"/>
        <v>#N/A</v>
      </c>
      <c r="I325" s="41">
        <v>0.48</v>
      </c>
      <c r="J325" s="41">
        <v>0.293333333</v>
      </c>
      <c r="K325" s="41">
        <v>0.226666667</v>
      </c>
      <c r="L325" s="41">
        <f t="shared" si="2"/>
        <v>0.253333333</v>
      </c>
      <c r="M325" s="74">
        <v>-4.176141204</v>
      </c>
    </row>
    <row r="326">
      <c r="A326" s="1" t="s">
        <v>95</v>
      </c>
      <c r="B326" s="38">
        <v>543243.0</v>
      </c>
      <c r="C326" s="72">
        <v>45835.0</v>
      </c>
      <c r="D326" s="38">
        <v>88.0</v>
      </c>
      <c r="E326" s="73">
        <f>IFERROR(__xludf.DUMMYFUNCTION("average(filter('Appearance Sheet'!F:F,'Appearance Sheet'!G:G=B326,'Appearance Sheet'!A:A=C326))"),9.0)</f>
        <v>9</v>
      </c>
      <c r="F326" s="67">
        <v>5.434214217</v>
      </c>
      <c r="G326" s="40">
        <v>1.267213567</v>
      </c>
      <c r="H326" s="40">
        <f t="shared" si="1"/>
        <v>1.267213567</v>
      </c>
      <c r="I326" s="41">
        <v>0.534090909</v>
      </c>
      <c r="J326" s="41">
        <v>0.227272727</v>
      </c>
      <c r="K326" s="41">
        <v>0.238636364</v>
      </c>
      <c r="L326" s="41">
        <f t="shared" si="2"/>
        <v>0.295454545</v>
      </c>
      <c r="M326" s="74">
        <v>3.889411816</v>
      </c>
    </row>
    <row r="327">
      <c r="A327" s="1" t="s">
        <v>130</v>
      </c>
      <c r="B327" s="38">
        <v>666200.0</v>
      </c>
      <c r="C327" s="72">
        <v>45873.0</v>
      </c>
      <c r="D327" s="38">
        <v>91.0</v>
      </c>
      <c r="E327" s="73" t="str">
        <f>IFERROR(__xludf.DUMMYFUNCTION("average(filter('Appearance Sheet'!F:F,'Appearance Sheet'!G:G=B327,'Appearance Sheet'!A:A=C327))"),"#N/A")</f>
        <v>#N/A</v>
      </c>
      <c r="F327" s="67">
        <v>5.434173557</v>
      </c>
      <c r="G327" s="40">
        <v>1.276982437</v>
      </c>
      <c r="H327" s="40" t="str">
        <f t="shared" si="1"/>
        <v>#N/A</v>
      </c>
      <c r="I327" s="41">
        <v>0.505494505</v>
      </c>
      <c r="J327" s="41">
        <v>0.274725275</v>
      </c>
      <c r="K327" s="41">
        <v>0.21978022</v>
      </c>
      <c r="L327" s="41">
        <f t="shared" si="2"/>
        <v>0.285714285</v>
      </c>
      <c r="M327" s="74">
        <v>0.678976428</v>
      </c>
    </row>
    <row r="328">
      <c r="A328" s="1" t="s">
        <v>129</v>
      </c>
      <c r="B328" s="38">
        <v>686752.0</v>
      </c>
      <c r="C328" s="72">
        <v>45818.0</v>
      </c>
      <c r="D328" s="38">
        <v>103.0</v>
      </c>
      <c r="E328" s="73">
        <f>IFERROR(__xludf.DUMMYFUNCTION("average(filter('Appearance Sheet'!F:F,'Appearance Sheet'!G:G=B328,'Appearance Sheet'!A:A=C328))"),5.666666666666667)</f>
        <v>5.666666667</v>
      </c>
      <c r="F328" s="67">
        <v>5.434156675</v>
      </c>
      <c r="G328" s="40">
        <v>1.427851798</v>
      </c>
      <c r="H328" s="40">
        <f t="shared" si="1"/>
        <v>2.26776462</v>
      </c>
      <c r="I328" s="41">
        <v>0.563106796</v>
      </c>
      <c r="J328" s="41">
        <v>0.106796117</v>
      </c>
      <c r="K328" s="41">
        <v>0.330097087</v>
      </c>
      <c r="L328" s="41">
        <f t="shared" si="2"/>
        <v>0.233009709</v>
      </c>
      <c r="M328" s="74">
        <v>0.036351382</v>
      </c>
    </row>
    <row r="329">
      <c r="A329" s="1" t="s">
        <v>95</v>
      </c>
      <c r="B329" s="38">
        <v>543243.0</v>
      </c>
      <c r="C329" s="72">
        <v>45919.0</v>
      </c>
      <c r="D329" s="38">
        <v>90.0</v>
      </c>
      <c r="E329" s="73" t="str">
        <f>IFERROR(__xludf.DUMMYFUNCTION("average(filter('Appearance Sheet'!F:F,'Appearance Sheet'!G:G=B329,'Appearance Sheet'!A:A=C329))"),"#N/A")</f>
        <v>#N/A</v>
      </c>
      <c r="F329" s="67">
        <v>5.433627163</v>
      </c>
      <c r="G329" s="40">
        <v>1.283983216</v>
      </c>
      <c r="H329" s="40" t="str">
        <f t="shared" si="1"/>
        <v>#N/A</v>
      </c>
      <c r="I329" s="41">
        <v>0.555555556</v>
      </c>
      <c r="J329" s="41">
        <v>0.177777778</v>
      </c>
      <c r="K329" s="41">
        <v>0.266666667</v>
      </c>
      <c r="L329" s="41">
        <f t="shared" si="2"/>
        <v>0.288888889</v>
      </c>
      <c r="M329" s="74">
        <v>-2.676414593</v>
      </c>
    </row>
    <row r="330">
      <c r="A330" s="1" t="s">
        <v>77</v>
      </c>
      <c r="B330" s="38">
        <v>657277.0</v>
      </c>
      <c r="C330" s="72">
        <v>45754.0</v>
      </c>
      <c r="D330" s="38">
        <v>93.0</v>
      </c>
      <c r="E330" s="73">
        <f>IFERROR(__xludf.DUMMYFUNCTION("average(filter('Appearance Sheet'!F:F,'Appearance Sheet'!G:G=B330,'Appearance Sheet'!A:A=C330))"),7.0)</f>
        <v>7</v>
      </c>
      <c r="F330" s="67">
        <v>5.433482064</v>
      </c>
      <c r="G330" s="40">
        <v>1.315474274</v>
      </c>
      <c r="H330" s="40">
        <f t="shared" si="1"/>
        <v>1.691324067</v>
      </c>
      <c r="I330" s="41">
        <v>0.537634409</v>
      </c>
      <c r="J330" s="41">
        <v>0.23655914</v>
      </c>
      <c r="K330" s="41">
        <v>0.225806452</v>
      </c>
      <c r="L330" s="41">
        <f t="shared" si="2"/>
        <v>0.311827957</v>
      </c>
      <c r="M330" s="74">
        <v>0.843518867</v>
      </c>
    </row>
    <row r="331">
      <c r="A331" s="1" t="s">
        <v>153</v>
      </c>
      <c r="B331" s="38">
        <v>669302.0</v>
      </c>
      <c r="C331" s="72">
        <v>45748.0</v>
      </c>
      <c r="D331" s="38">
        <v>91.0</v>
      </c>
      <c r="E331" s="73">
        <f>IFERROR(__xludf.DUMMYFUNCTION("average(filter('Appearance Sheet'!F:F,'Appearance Sheet'!G:G=B331,'Appearance Sheet'!A:A=C331))"),5.0)</f>
        <v>5</v>
      </c>
      <c r="F331" s="67">
        <v>5.433458286</v>
      </c>
      <c r="G331" s="40">
        <v>1.298452049</v>
      </c>
      <c r="H331" s="40">
        <f t="shared" si="1"/>
        <v>2.337213688</v>
      </c>
      <c r="I331" s="41">
        <v>0.538461538</v>
      </c>
      <c r="J331" s="41">
        <v>0.186813187</v>
      </c>
      <c r="K331" s="41">
        <v>0.274725275</v>
      </c>
      <c r="L331" s="41">
        <f t="shared" si="2"/>
        <v>0.263736263</v>
      </c>
      <c r="M331" s="74">
        <v>0.024624766</v>
      </c>
    </row>
    <row r="332">
      <c r="A332" s="1" t="s">
        <v>63</v>
      </c>
      <c r="B332" s="38">
        <v>687888.0</v>
      </c>
      <c r="C332" s="72">
        <v>45847.0</v>
      </c>
      <c r="D332" s="38">
        <v>90.0</v>
      </c>
      <c r="E332" s="73" t="str">
        <f>IFERROR(__xludf.DUMMYFUNCTION("average(filter('Appearance Sheet'!F:F,'Appearance Sheet'!G:G=B332,'Appearance Sheet'!A:A=C332))"),"#N/A")</f>
        <v>#N/A</v>
      </c>
      <c r="F332" s="67">
        <v>5.433442842</v>
      </c>
      <c r="G332" s="40">
        <v>1.27341425</v>
      </c>
      <c r="H332" s="40" t="str">
        <f t="shared" si="1"/>
        <v>#N/A</v>
      </c>
      <c r="I332" s="41">
        <v>0.5</v>
      </c>
      <c r="J332" s="41">
        <v>0.166666667</v>
      </c>
      <c r="K332" s="41">
        <v>0.333333333</v>
      </c>
      <c r="L332" s="41">
        <f t="shared" si="2"/>
        <v>0.166666667</v>
      </c>
      <c r="M332" s="74">
        <v>4.473069055</v>
      </c>
    </row>
    <row r="333">
      <c r="A333" s="1" t="s">
        <v>90</v>
      </c>
      <c r="B333" s="38">
        <v>693433.0</v>
      </c>
      <c r="C333" s="72">
        <v>45795.0</v>
      </c>
      <c r="D333" s="38">
        <v>80.0</v>
      </c>
      <c r="E333" s="73">
        <f>IFERROR(__xludf.DUMMYFUNCTION("average(filter('Appearance Sheet'!F:F,'Appearance Sheet'!G:G=B333,'Appearance Sheet'!A:A=C333))"),7.0)</f>
        <v>7</v>
      </c>
      <c r="F333" s="67">
        <v>5.431663783</v>
      </c>
      <c r="G333" s="40">
        <v>1.139567629</v>
      </c>
      <c r="H333" s="40">
        <f t="shared" si="1"/>
        <v>1.46515838</v>
      </c>
      <c r="I333" s="41">
        <v>0.55</v>
      </c>
      <c r="J333" s="41">
        <v>0.2</v>
      </c>
      <c r="K333" s="41">
        <v>0.25</v>
      </c>
      <c r="L333" s="41">
        <f t="shared" si="2"/>
        <v>0.3</v>
      </c>
      <c r="M333" s="74">
        <v>-0.179528348</v>
      </c>
    </row>
    <row r="334">
      <c r="A334" s="1" t="s">
        <v>180</v>
      </c>
      <c r="B334" s="38">
        <v>642547.0</v>
      </c>
      <c r="C334" s="72">
        <v>45922.0</v>
      </c>
      <c r="D334" s="38">
        <v>75.0</v>
      </c>
      <c r="E334" s="73" t="str">
        <f>IFERROR(__xludf.DUMMYFUNCTION("average(filter('Appearance Sheet'!F:F,'Appearance Sheet'!G:G=B334,'Appearance Sheet'!A:A=C334))"),"#N/A")</f>
        <v>#N/A</v>
      </c>
      <c r="F334" s="67">
        <v>5.431261099</v>
      </c>
      <c r="G334" s="40">
        <v>1.056562016</v>
      </c>
      <c r="H334" s="40" t="str">
        <f t="shared" si="1"/>
        <v>#N/A</v>
      </c>
      <c r="I334" s="41">
        <v>0.586666667</v>
      </c>
      <c r="J334" s="41">
        <v>0.12</v>
      </c>
      <c r="K334" s="41">
        <v>0.293333333</v>
      </c>
      <c r="L334" s="41">
        <f t="shared" si="2"/>
        <v>0.293333334</v>
      </c>
      <c r="M334" s="74">
        <v>-0.210797009</v>
      </c>
    </row>
    <row r="335">
      <c r="A335" s="1" t="s">
        <v>130</v>
      </c>
      <c r="B335" s="38">
        <v>666200.0</v>
      </c>
      <c r="C335" s="72">
        <v>45791.0</v>
      </c>
      <c r="D335" s="38">
        <v>88.0</v>
      </c>
      <c r="E335" s="73">
        <f>IFERROR(__xludf.DUMMYFUNCTION("average(filter('Appearance Sheet'!F:F,'Appearance Sheet'!G:G=B335,'Appearance Sheet'!A:A=C335))"),7.0)</f>
        <v>7</v>
      </c>
      <c r="F335" s="67">
        <v>5.429917754</v>
      </c>
      <c r="G335" s="40">
        <v>1.270143927</v>
      </c>
      <c r="H335" s="40">
        <f t="shared" si="1"/>
        <v>1.633042192</v>
      </c>
      <c r="I335" s="41">
        <v>0.590909091</v>
      </c>
      <c r="J335" s="41">
        <v>0.170454545</v>
      </c>
      <c r="K335" s="41">
        <v>0.238636364</v>
      </c>
      <c r="L335" s="41">
        <f t="shared" si="2"/>
        <v>0.352272727</v>
      </c>
      <c r="M335" s="74">
        <v>0.327118925</v>
      </c>
    </row>
    <row r="336">
      <c r="A336" s="1" t="s">
        <v>88</v>
      </c>
      <c r="B336" s="38">
        <v>694973.0</v>
      </c>
      <c r="C336" s="72">
        <v>45811.0</v>
      </c>
      <c r="D336" s="38">
        <v>98.0</v>
      </c>
      <c r="E336" s="73">
        <f>IFERROR(__xludf.DUMMYFUNCTION("average(filter('Appearance Sheet'!F:F,'Appearance Sheet'!G:G=B336,'Appearance Sheet'!A:A=C336))"),8.0)</f>
        <v>8</v>
      </c>
      <c r="F336" s="67">
        <v>5.429342782</v>
      </c>
      <c r="G336" s="40">
        <v>1.380387605</v>
      </c>
      <c r="H336" s="40">
        <f t="shared" si="1"/>
        <v>1.552936056</v>
      </c>
      <c r="I336" s="41">
        <v>0.551020408</v>
      </c>
      <c r="J336" s="41">
        <v>0.204081633</v>
      </c>
      <c r="K336" s="41">
        <v>0.244897959</v>
      </c>
      <c r="L336" s="41">
        <f t="shared" si="2"/>
        <v>0.306122449</v>
      </c>
      <c r="M336" s="74">
        <v>2.767019227</v>
      </c>
    </row>
    <row r="337">
      <c r="A337" s="1" t="s">
        <v>113</v>
      </c>
      <c r="B337" s="38">
        <v>664285.0</v>
      </c>
      <c r="C337" s="72">
        <v>45807.0</v>
      </c>
      <c r="D337" s="38">
        <v>81.0</v>
      </c>
      <c r="E337" s="73">
        <f>IFERROR(__xludf.DUMMYFUNCTION("average(filter('Appearance Sheet'!F:F,'Appearance Sheet'!G:G=B337,'Appearance Sheet'!A:A=C337))"),9.0)</f>
        <v>9</v>
      </c>
      <c r="F337" s="67">
        <v>5.429153814</v>
      </c>
      <c r="G337" s="40">
        <v>1.16575233</v>
      </c>
      <c r="H337" s="40">
        <f t="shared" si="1"/>
        <v>1.16575233</v>
      </c>
      <c r="I337" s="41">
        <v>0.543209877</v>
      </c>
      <c r="J337" s="41">
        <v>0.222222222</v>
      </c>
      <c r="K337" s="41">
        <v>0.234567901</v>
      </c>
      <c r="L337" s="41">
        <f t="shared" si="2"/>
        <v>0.308641976</v>
      </c>
      <c r="M337" s="74">
        <v>1.955709825</v>
      </c>
    </row>
    <row r="338">
      <c r="A338" s="1" t="s">
        <v>67</v>
      </c>
      <c r="B338" s="38">
        <v>684007.0</v>
      </c>
      <c r="C338" s="72">
        <v>45769.0</v>
      </c>
      <c r="D338" s="38">
        <v>95.0</v>
      </c>
      <c r="E338" s="73">
        <f>IFERROR(__xludf.DUMMYFUNCTION("average(filter('Appearance Sheet'!F:F,'Appearance Sheet'!G:G=B338,'Appearance Sheet'!A:A=C338))"),5.666666666666667)</f>
        <v>5.666666667</v>
      </c>
      <c r="F338" s="67">
        <v>5.429134556</v>
      </c>
      <c r="G338" s="40">
        <v>1.3692751</v>
      </c>
      <c r="H338" s="40">
        <f t="shared" si="1"/>
        <v>2.174731041</v>
      </c>
      <c r="I338" s="41">
        <v>0.589473684</v>
      </c>
      <c r="J338" s="41">
        <v>0.126315789</v>
      </c>
      <c r="K338" s="41">
        <v>0.284210526</v>
      </c>
      <c r="L338" s="41">
        <f t="shared" si="2"/>
        <v>0.305263158</v>
      </c>
      <c r="M338" s="74">
        <v>0.187109437</v>
      </c>
    </row>
    <row r="339">
      <c r="A339" s="1" t="s">
        <v>180</v>
      </c>
      <c r="B339" s="38">
        <v>642547.0</v>
      </c>
      <c r="C339" s="72">
        <v>45845.0</v>
      </c>
      <c r="D339" s="38">
        <v>98.0</v>
      </c>
      <c r="E339" s="73" t="str">
        <f>IFERROR(__xludf.DUMMYFUNCTION("average(filter('Appearance Sheet'!F:F,'Appearance Sheet'!G:G=B339,'Appearance Sheet'!A:A=C339))"),"#N/A")</f>
        <v>#N/A</v>
      </c>
      <c r="F339" s="67">
        <v>5.428904929</v>
      </c>
      <c r="G339" s="40">
        <v>1.394359256</v>
      </c>
      <c r="H339" s="40" t="str">
        <f t="shared" si="1"/>
        <v>#N/A</v>
      </c>
      <c r="I339" s="41">
        <v>0.56122449</v>
      </c>
      <c r="J339" s="41">
        <v>0.163265306</v>
      </c>
      <c r="K339" s="41">
        <v>0.275510204</v>
      </c>
      <c r="L339" s="41">
        <f t="shared" si="2"/>
        <v>0.285714286</v>
      </c>
      <c r="M339" s="74">
        <v>-0.299263116</v>
      </c>
    </row>
    <row r="340">
      <c r="A340" s="1" t="s">
        <v>57</v>
      </c>
      <c r="B340" s="38">
        <v>594798.0</v>
      </c>
      <c r="C340" s="72">
        <v>45845.0</v>
      </c>
      <c r="D340" s="38">
        <v>93.0</v>
      </c>
      <c r="E340" s="73" t="str">
        <f>IFERROR(__xludf.DUMMYFUNCTION("average(filter('Appearance Sheet'!F:F,'Appearance Sheet'!G:G=B340,'Appearance Sheet'!A:A=C340))"),"#N/A")</f>
        <v>#N/A</v>
      </c>
      <c r="F340" s="67">
        <v>5.428777015</v>
      </c>
      <c r="G340" s="40">
        <v>1.299745513</v>
      </c>
      <c r="H340" s="40" t="str">
        <f t="shared" si="1"/>
        <v>#N/A</v>
      </c>
      <c r="I340" s="41">
        <v>0.548387097</v>
      </c>
      <c r="J340" s="41">
        <v>0.129032258</v>
      </c>
      <c r="K340" s="41">
        <v>0.322580645</v>
      </c>
      <c r="L340" s="41">
        <f t="shared" si="2"/>
        <v>0.225806452</v>
      </c>
      <c r="M340" s="74">
        <v>-0.74745325</v>
      </c>
    </row>
    <row r="341">
      <c r="A341" s="1" t="s">
        <v>169</v>
      </c>
      <c r="B341" s="38">
        <v>671096.0</v>
      </c>
      <c r="C341" s="72">
        <v>45916.0</v>
      </c>
      <c r="D341" s="38">
        <v>96.0</v>
      </c>
      <c r="E341" s="73" t="str">
        <f>IFERROR(__xludf.DUMMYFUNCTION("average(filter('Appearance Sheet'!F:F,'Appearance Sheet'!G:G=B341,'Appearance Sheet'!A:A=C341))"),"#N/A")</f>
        <v>#N/A</v>
      </c>
      <c r="F341" s="67">
        <v>5.428075669</v>
      </c>
      <c r="G341" s="40">
        <v>1.362877681</v>
      </c>
      <c r="H341" s="40" t="str">
        <f t="shared" si="1"/>
        <v>#N/A</v>
      </c>
      <c r="I341" s="41">
        <v>0.552083333</v>
      </c>
      <c r="J341" s="41">
        <v>0.166666667</v>
      </c>
      <c r="K341" s="41">
        <v>0.28125</v>
      </c>
      <c r="L341" s="41">
        <f t="shared" si="2"/>
        <v>0.270833333</v>
      </c>
      <c r="M341" s="74">
        <v>-2.112958918</v>
      </c>
    </row>
    <row r="342">
      <c r="A342" s="1" t="s">
        <v>145</v>
      </c>
      <c r="B342" s="38">
        <v>700241.0</v>
      </c>
      <c r="C342" s="72">
        <v>45877.0</v>
      </c>
      <c r="D342" s="38">
        <v>86.0</v>
      </c>
      <c r="E342" s="73" t="str">
        <f>IFERROR(__xludf.DUMMYFUNCTION("average(filter('Appearance Sheet'!F:F,'Appearance Sheet'!G:G=B342,'Appearance Sheet'!A:A=C342))"),"#N/A")</f>
        <v>#N/A</v>
      </c>
      <c r="F342" s="67">
        <v>5.427990651</v>
      </c>
      <c r="G342" s="40">
        <v>1.256917532</v>
      </c>
      <c r="H342" s="40" t="str">
        <f t="shared" si="1"/>
        <v>#N/A</v>
      </c>
      <c r="I342" s="41">
        <v>0.534883721</v>
      </c>
      <c r="J342" s="41">
        <v>0.162790698</v>
      </c>
      <c r="K342" s="41">
        <v>0.302325581</v>
      </c>
      <c r="L342" s="41">
        <f t="shared" si="2"/>
        <v>0.23255814</v>
      </c>
      <c r="M342" s="74">
        <v>-0.525811877</v>
      </c>
    </row>
    <row r="343">
      <c r="A343" s="1" t="s">
        <v>424</v>
      </c>
      <c r="B343" s="38">
        <v>667755.0</v>
      </c>
      <c r="C343" s="72">
        <v>45745.0</v>
      </c>
      <c r="D343" s="38">
        <v>71.0</v>
      </c>
      <c r="E343" s="73">
        <f>IFERROR(__xludf.DUMMYFUNCTION("average(filter('Appearance Sheet'!F:F,'Appearance Sheet'!G:G=B343,'Appearance Sheet'!A:A=C343))"),7.0)</f>
        <v>7</v>
      </c>
      <c r="F343" s="67">
        <v>5.427233172</v>
      </c>
      <c r="G343" s="40">
        <v>1.037903243</v>
      </c>
      <c r="H343" s="40">
        <f t="shared" si="1"/>
        <v>1.334447027</v>
      </c>
      <c r="I343" s="41">
        <v>0.563380282</v>
      </c>
      <c r="J343" s="41">
        <v>0.14084507</v>
      </c>
      <c r="K343" s="41">
        <v>0.295774648</v>
      </c>
      <c r="L343" s="41">
        <f t="shared" si="2"/>
        <v>0.267605634</v>
      </c>
      <c r="M343" s="74">
        <v>2.198514463</v>
      </c>
    </row>
    <row r="344">
      <c r="A344" s="1" t="s">
        <v>148</v>
      </c>
      <c r="B344" s="38">
        <v>592866.0</v>
      </c>
      <c r="C344" s="72">
        <v>45827.0</v>
      </c>
      <c r="D344" s="38">
        <v>85.0</v>
      </c>
      <c r="E344" s="73">
        <f>IFERROR(__xludf.DUMMYFUNCTION("average(filter('Appearance Sheet'!F:F,'Appearance Sheet'!G:G=B344,'Appearance Sheet'!A:A=C344))"),5.333333333333333)</f>
        <v>5.333333333</v>
      </c>
      <c r="F344" s="67">
        <v>5.427107476</v>
      </c>
      <c r="G344" s="40">
        <v>1.247484626</v>
      </c>
      <c r="H344" s="40">
        <f t="shared" si="1"/>
        <v>2.105130306</v>
      </c>
      <c r="I344" s="41">
        <v>0.494117647</v>
      </c>
      <c r="J344" s="41">
        <v>0.235294118</v>
      </c>
      <c r="K344" s="41">
        <v>0.270588235</v>
      </c>
      <c r="L344" s="41">
        <f t="shared" si="2"/>
        <v>0.223529412</v>
      </c>
      <c r="M344" s="74">
        <v>-3.15362944</v>
      </c>
    </row>
    <row r="345">
      <c r="A345" s="1" t="s">
        <v>205</v>
      </c>
      <c r="B345" s="38">
        <v>666142.0</v>
      </c>
      <c r="C345" s="72">
        <v>45782.0</v>
      </c>
      <c r="D345" s="38">
        <v>92.0</v>
      </c>
      <c r="E345" s="73">
        <f>IFERROR(__xludf.DUMMYFUNCTION("average(filter('Appearance Sheet'!F:F,'Appearance Sheet'!G:G=B345,'Appearance Sheet'!A:A=C345))"),5.0)</f>
        <v>5</v>
      </c>
      <c r="F345" s="67">
        <v>5.426816664</v>
      </c>
      <c r="G345" s="40">
        <v>1.286152317</v>
      </c>
      <c r="H345" s="40">
        <f t="shared" si="1"/>
        <v>2.315074171</v>
      </c>
      <c r="I345" s="41">
        <v>0.543478261</v>
      </c>
      <c r="J345" s="41">
        <v>0.173913043</v>
      </c>
      <c r="K345" s="41">
        <v>0.282608696</v>
      </c>
      <c r="L345" s="41">
        <f t="shared" si="2"/>
        <v>0.260869565</v>
      </c>
      <c r="M345" s="74">
        <v>1.708880529</v>
      </c>
    </row>
    <row r="346">
      <c r="A346" s="1" t="s">
        <v>561</v>
      </c>
      <c r="B346" s="38">
        <v>687362.0</v>
      </c>
      <c r="C346" s="72">
        <v>45762.0</v>
      </c>
      <c r="D346" s="38">
        <v>95.0</v>
      </c>
      <c r="E346" s="73">
        <f>IFERROR(__xludf.DUMMYFUNCTION("average(filter('Appearance Sheet'!F:F,'Appearance Sheet'!G:G=B346,'Appearance Sheet'!A:A=C346))"),5.0)</f>
        <v>5</v>
      </c>
      <c r="F346" s="67">
        <v>5.426723826</v>
      </c>
      <c r="G346" s="40">
        <v>1.356603322</v>
      </c>
      <c r="H346" s="40">
        <f t="shared" si="1"/>
        <v>2.44188598</v>
      </c>
      <c r="I346" s="41">
        <v>0.536842105</v>
      </c>
      <c r="J346" s="41">
        <v>0.189473684</v>
      </c>
      <c r="K346" s="41">
        <v>0.273684211</v>
      </c>
      <c r="L346" s="41">
        <f t="shared" si="2"/>
        <v>0.263157894</v>
      </c>
      <c r="M346" s="74">
        <v>-2.222451547</v>
      </c>
    </row>
    <row r="347">
      <c r="A347" s="1" t="s">
        <v>120</v>
      </c>
      <c r="B347" s="38">
        <v>800048.0</v>
      </c>
      <c r="C347" s="72">
        <v>45889.0</v>
      </c>
      <c r="D347" s="38">
        <v>81.0</v>
      </c>
      <c r="E347" s="73" t="str">
        <f>IFERROR(__xludf.DUMMYFUNCTION("average(filter('Appearance Sheet'!F:F,'Appearance Sheet'!G:G=B347,'Appearance Sheet'!A:A=C347))"),"#N/A")</f>
        <v>#N/A</v>
      </c>
      <c r="F347" s="67">
        <v>5.426511482</v>
      </c>
      <c r="G347" s="40">
        <v>1.207762981</v>
      </c>
      <c r="H347" s="40" t="str">
        <f t="shared" si="1"/>
        <v>#N/A</v>
      </c>
      <c r="I347" s="41">
        <v>0.604938272</v>
      </c>
      <c r="J347" s="41">
        <v>0.12345679</v>
      </c>
      <c r="K347" s="41">
        <v>0.271604938</v>
      </c>
      <c r="L347" s="41">
        <f t="shared" si="2"/>
        <v>0.333333334</v>
      </c>
      <c r="M347" s="74">
        <v>-1.881781061</v>
      </c>
    </row>
    <row r="348">
      <c r="A348" s="1" t="s">
        <v>148</v>
      </c>
      <c r="B348" s="38">
        <v>592866.0</v>
      </c>
      <c r="C348" s="72">
        <v>45840.0</v>
      </c>
      <c r="D348" s="38">
        <v>84.0</v>
      </c>
      <c r="E348" s="73">
        <f>IFERROR(__xludf.DUMMYFUNCTION("average(filter('Appearance Sheet'!F:F,'Appearance Sheet'!G:G=B348,'Appearance Sheet'!A:A=C348))"),3.0)</f>
        <v>3</v>
      </c>
      <c r="F348" s="67">
        <v>5.426082686</v>
      </c>
      <c r="G348" s="40">
        <v>1.208400294</v>
      </c>
      <c r="H348" s="40">
        <f t="shared" si="1"/>
        <v>3.625200882</v>
      </c>
      <c r="I348" s="41">
        <v>0.488095238</v>
      </c>
      <c r="J348" s="41">
        <v>0.25</v>
      </c>
      <c r="K348" s="41">
        <v>0.261904762</v>
      </c>
      <c r="L348" s="41">
        <f t="shared" si="2"/>
        <v>0.226190476</v>
      </c>
      <c r="M348" s="74">
        <v>-4.252206848</v>
      </c>
    </row>
    <row r="349">
      <c r="A349" s="1" t="s">
        <v>85</v>
      </c>
      <c r="B349" s="38">
        <v>808967.0</v>
      </c>
      <c r="C349" s="72">
        <v>45860.0</v>
      </c>
      <c r="D349" s="38">
        <v>94.0</v>
      </c>
      <c r="E349" s="73" t="str">
        <f>IFERROR(__xludf.DUMMYFUNCTION("average(filter('Appearance Sheet'!F:F,'Appearance Sheet'!G:G=B349,'Appearance Sheet'!A:A=C349))"),"#N/A")</f>
        <v>#N/A</v>
      </c>
      <c r="F349" s="67">
        <v>5.425818225</v>
      </c>
      <c r="G349" s="40">
        <v>1.341647277</v>
      </c>
      <c r="H349" s="40" t="str">
        <f t="shared" si="1"/>
        <v>#N/A</v>
      </c>
      <c r="I349" s="41">
        <v>0.542553191</v>
      </c>
      <c r="J349" s="41">
        <v>0.159574468</v>
      </c>
      <c r="K349" s="41">
        <v>0.29787234</v>
      </c>
      <c r="L349" s="41">
        <f t="shared" si="2"/>
        <v>0.244680851</v>
      </c>
      <c r="M349" s="74">
        <v>-0.118641829</v>
      </c>
    </row>
    <row r="350">
      <c r="A350" s="1" t="s">
        <v>93</v>
      </c>
      <c r="B350" s="38">
        <v>669194.0</v>
      </c>
      <c r="C350" s="72">
        <v>45857.0</v>
      </c>
      <c r="D350" s="38">
        <v>80.0</v>
      </c>
      <c r="E350" s="73" t="str">
        <f>IFERROR(__xludf.DUMMYFUNCTION("average(filter('Appearance Sheet'!F:F,'Appearance Sheet'!G:G=B350,'Appearance Sheet'!A:A=C350))"),"#N/A")</f>
        <v>#N/A</v>
      </c>
      <c r="F350" s="67">
        <v>5.425720655</v>
      </c>
      <c r="G350" s="40">
        <v>1.160812909</v>
      </c>
      <c r="H350" s="40" t="str">
        <f t="shared" si="1"/>
        <v>#N/A</v>
      </c>
      <c r="I350" s="41">
        <v>0.55</v>
      </c>
      <c r="J350" s="41">
        <v>0.125</v>
      </c>
      <c r="K350" s="41">
        <v>0.325</v>
      </c>
      <c r="L350" s="41">
        <f t="shared" si="2"/>
        <v>0.225</v>
      </c>
      <c r="M350" s="74">
        <v>-0.373071573</v>
      </c>
    </row>
    <row r="351">
      <c r="A351" s="1" t="s">
        <v>85</v>
      </c>
      <c r="B351" s="38">
        <v>808967.0</v>
      </c>
      <c r="C351" s="72">
        <v>45839.0</v>
      </c>
      <c r="D351" s="38">
        <v>96.0</v>
      </c>
      <c r="E351" s="73">
        <f>IFERROR(__xludf.DUMMYFUNCTION("average(filter('Appearance Sheet'!F:F,'Appearance Sheet'!G:G=B351,'Appearance Sheet'!A:A=C351))"),7.0)</f>
        <v>7</v>
      </c>
      <c r="F351" s="67">
        <v>5.42414676</v>
      </c>
      <c r="G351" s="40">
        <v>1.399533277</v>
      </c>
      <c r="H351" s="40">
        <f t="shared" si="1"/>
        <v>1.799399928</v>
      </c>
      <c r="I351" s="41">
        <v>0.583333333</v>
      </c>
      <c r="J351" s="41">
        <v>0.09375</v>
      </c>
      <c r="K351" s="41">
        <v>0.322916667</v>
      </c>
      <c r="L351" s="41">
        <f t="shared" si="2"/>
        <v>0.260416666</v>
      </c>
      <c r="M351" s="74">
        <v>2.452502467</v>
      </c>
    </row>
    <row r="352">
      <c r="A352" s="1" t="s">
        <v>382</v>
      </c>
      <c r="B352" s="38">
        <v>656288.0</v>
      </c>
      <c r="C352" s="72">
        <v>45769.0</v>
      </c>
      <c r="D352" s="38">
        <v>82.0</v>
      </c>
      <c r="E352" s="73">
        <f>IFERROR(__xludf.DUMMYFUNCTION("average(filter('Appearance Sheet'!F:F,'Appearance Sheet'!G:G=B352,'Appearance Sheet'!A:A=C352))"),5.0)</f>
        <v>5</v>
      </c>
      <c r="F352" s="67">
        <v>5.424034614</v>
      </c>
      <c r="G352" s="40">
        <v>1.203983039</v>
      </c>
      <c r="H352" s="40">
        <f t="shared" si="1"/>
        <v>2.16716947</v>
      </c>
      <c r="I352" s="41">
        <v>0.524390244</v>
      </c>
      <c r="J352" s="41">
        <v>0.195121951</v>
      </c>
      <c r="K352" s="41">
        <v>0.280487805</v>
      </c>
      <c r="L352" s="41">
        <f t="shared" si="2"/>
        <v>0.243902439</v>
      </c>
      <c r="M352" s="74">
        <v>-2.516392435</v>
      </c>
    </row>
    <row r="353">
      <c r="A353" s="1" t="s">
        <v>180</v>
      </c>
      <c r="B353" s="38">
        <v>642547.0</v>
      </c>
      <c r="C353" s="72">
        <v>45832.0</v>
      </c>
      <c r="D353" s="38">
        <v>93.0</v>
      </c>
      <c r="E353" s="73">
        <f>IFERROR(__xludf.DUMMYFUNCTION("average(filter('Appearance Sheet'!F:F,'Appearance Sheet'!G:G=B353,'Appearance Sheet'!A:A=C353))"),5.0)</f>
        <v>5</v>
      </c>
      <c r="F353" s="67">
        <v>5.422782494</v>
      </c>
      <c r="G353" s="40">
        <v>1.328039273</v>
      </c>
      <c r="H353" s="40">
        <f t="shared" si="1"/>
        <v>2.390470691</v>
      </c>
      <c r="I353" s="41">
        <v>0.52688172</v>
      </c>
      <c r="J353" s="41">
        <v>0.215053763</v>
      </c>
      <c r="K353" s="41">
        <v>0.258064516</v>
      </c>
      <c r="L353" s="41">
        <f t="shared" si="2"/>
        <v>0.268817204</v>
      </c>
      <c r="M353" s="74">
        <v>-2.053897898</v>
      </c>
    </row>
    <row r="354">
      <c r="A354" s="1" t="s">
        <v>98</v>
      </c>
      <c r="B354" s="38">
        <v>605400.0</v>
      </c>
      <c r="C354" s="72">
        <v>45914.0</v>
      </c>
      <c r="D354" s="38">
        <v>91.0</v>
      </c>
      <c r="E354" s="73" t="str">
        <f>IFERROR(__xludf.DUMMYFUNCTION("average(filter('Appearance Sheet'!F:F,'Appearance Sheet'!G:G=B354,'Appearance Sheet'!A:A=C354))"),"#N/A")</f>
        <v>#N/A</v>
      </c>
      <c r="F354" s="67">
        <v>5.422700599</v>
      </c>
      <c r="G354" s="40">
        <v>1.30549208</v>
      </c>
      <c r="H354" s="40" t="str">
        <f t="shared" si="1"/>
        <v>#N/A</v>
      </c>
      <c r="I354" s="41">
        <v>0.538461538</v>
      </c>
      <c r="J354" s="41">
        <v>0.208791209</v>
      </c>
      <c r="K354" s="41">
        <v>0.252747253</v>
      </c>
      <c r="L354" s="41">
        <f t="shared" si="2"/>
        <v>0.285714285</v>
      </c>
      <c r="M354" s="74">
        <v>-0.425474664</v>
      </c>
    </row>
    <row r="355">
      <c r="A355" s="1" t="s">
        <v>298</v>
      </c>
      <c r="B355" s="38">
        <v>594902.0</v>
      </c>
      <c r="C355" s="72">
        <v>45778.0</v>
      </c>
      <c r="D355" s="38">
        <v>91.0</v>
      </c>
      <c r="E355" s="73">
        <f>IFERROR(__xludf.DUMMYFUNCTION("average(filter('Appearance Sheet'!F:F,'Appearance Sheet'!G:G=B355,'Appearance Sheet'!A:A=C355))"),5.666666666666667)</f>
        <v>5.666666667</v>
      </c>
      <c r="F355" s="67">
        <v>5.422660935</v>
      </c>
      <c r="G355" s="40">
        <v>1.304574889</v>
      </c>
      <c r="H355" s="40">
        <f t="shared" si="1"/>
        <v>2.071971883</v>
      </c>
      <c r="I355" s="41">
        <v>0.527472527</v>
      </c>
      <c r="J355" s="41">
        <v>0.142857143</v>
      </c>
      <c r="K355" s="41">
        <v>0.32967033</v>
      </c>
      <c r="L355" s="41">
        <f t="shared" si="2"/>
        <v>0.197802197</v>
      </c>
      <c r="M355" s="74">
        <v>0.668012971</v>
      </c>
    </row>
    <row r="356">
      <c r="A356" s="1" t="s">
        <v>88</v>
      </c>
      <c r="B356" s="38">
        <v>694973.0</v>
      </c>
      <c r="C356" s="72">
        <v>45800.0</v>
      </c>
      <c r="D356" s="38">
        <v>99.0</v>
      </c>
      <c r="E356" s="73">
        <f>IFERROR(__xludf.DUMMYFUNCTION("average(filter('Appearance Sheet'!F:F,'Appearance Sheet'!G:G=B356,'Appearance Sheet'!A:A=C356))"),6.0)</f>
        <v>6</v>
      </c>
      <c r="F356" s="67">
        <v>5.422440088</v>
      </c>
      <c r="G356" s="40">
        <v>1.414395431</v>
      </c>
      <c r="H356" s="40">
        <f t="shared" si="1"/>
        <v>2.121593147</v>
      </c>
      <c r="I356" s="41">
        <v>0.545454545</v>
      </c>
      <c r="J356" s="41">
        <v>0.161616162</v>
      </c>
      <c r="K356" s="41">
        <v>0.292929293</v>
      </c>
      <c r="L356" s="41">
        <f t="shared" si="2"/>
        <v>0.252525252</v>
      </c>
      <c r="M356" s="74">
        <v>1.502561921</v>
      </c>
    </row>
    <row r="357">
      <c r="A357" s="1" t="s">
        <v>220</v>
      </c>
      <c r="B357" s="38">
        <v>663559.0</v>
      </c>
      <c r="C357" s="72">
        <v>45861.0</v>
      </c>
      <c r="D357" s="38">
        <v>84.0</v>
      </c>
      <c r="E357" s="73" t="str">
        <f>IFERROR(__xludf.DUMMYFUNCTION("average(filter('Appearance Sheet'!F:F,'Appearance Sheet'!G:G=B357,'Appearance Sheet'!A:A=C357))"),"#N/A")</f>
        <v>#N/A</v>
      </c>
      <c r="F357" s="67">
        <v>5.422420297</v>
      </c>
      <c r="G357" s="40">
        <v>1.255960356</v>
      </c>
      <c r="H357" s="40" t="str">
        <f t="shared" si="1"/>
        <v>#N/A</v>
      </c>
      <c r="I357" s="41">
        <v>0.571428571</v>
      </c>
      <c r="J357" s="41">
        <v>0.202380952</v>
      </c>
      <c r="K357" s="41">
        <v>0.226190476</v>
      </c>
      <c r="L357" s="41">
        <f t="shared" si="2"/>
        <v>0.345238095</v>
      </c>
      <c r="M357" s="74">
        <v>0.755055244</v>
      </c>
    </row>
    <row r="358">
      <c r="A358" s="1" t="s">
        <v>84</v>
      </c>
      <c r="B358" s="38">
        <v>669373.0</v>
      </c>
      <c r="C358" s="72">
        <v>45894.0</v>
      </c>
      <c r="D358" s="38">
        <v>96.0</v>
      </c>
      <c r="E358" s="73" t="str">
        <f>IFERROR(__xludf.DUMMYFUNCTION("average(filter('Appearance Sheet'!F:F,'Appearance Sheet'!G:G=B358,'Appearance Sheet'!A:A=C358))"),"#N/A")</f>
        <v>#N/A</v>
      </c>
      <c r="F358" s="67">
        <v>5.42239559</v>
      </c>
      <c r="G358" s="40">
        <v>1.385922621</v>
      </c>
      <c r="H358" s="40" t="str">
        <f t="shared" si="1"/>
        <v>#N/A</v>
      </c>
      <c r="I358" s="41">
        <v>0.541666667</v>
      </c>
      <c r="J358" s="41">
        <v>0.208333333</v>
      </c>
      <c r="K358" s="41">
        <v>0.25</v>
      </c>
      <c r="L358" s="41">
        <f t="shared" si="2"/>
        <v>0.291666667</v>
      </c>
      <c r="M358" s="74">
        <v>-1.032502725</v>
      </c>
    </row>
    <row r="359">
      <c r="A359" s="1" t="s">
        <v>77</v>
      </c>
      <c r="B359" s="38">
        <v>657277.0</v>
      </c>
      <c r="C359" s="72">
        <v>45821.0</v>
      </c>
      <c r="D359" s="38">
        <v>97.0</v>
      </c>
      <c r="E359" s="73">
        <f>IFERROR(__xludf.DUMMYFUNCTION("average(filter('Appearance Sheet'!F:F,'Appearance Sheet'!G:G=B359,'Appearance Sheet'!A:A=C359))"),7.0)</f>
        <v>7</v>
      </c>
      <c r="F359" s="67">
        <v>5.422007061</v>
      </c>
      <c r="G359" s="40">
        <v>1.392031772</v>
      </c>
      <c r="H359" s="40">
        <f t="shared" si="1"/>
        <v>1.789755135</v>
      </c>
      <c r="I359" s="41">
        <v>0.505154639</v>
      </c>
      <c r="J359" s="41">
        <v>0.226804124</v>
      </c>
      <c r="K359" s="41">
        <v>0.268041237</v>
      </c>
      <c r="L359" s="41">
        <f t="shared" si="2"/>
        <v>0.237113402</v>
      </c>
      <c r="M359" s="74">
        <v>3.106037935</v>
      </c>
    </row>
    <row r="360">
      <c r="A360" s="1" t="s">
        <v>136</v>
      </c>
      <c r="B360" s="38">
        <v>660271.0</v>
      </c>
      <c r="C360" s="72">
        <v>45882.0</v>
      </c>
      <c r="D360" s="38">
        <v>79.0</v>
      </c>
      <c r="E360" s="73" t="str">
        <f>IFERROR(__xludf.DUMMYFUNCTION("average(filter('Appearance Sheet'!F:F,'Appearance Sheet'!G:G=B360,'Appearance Sheet'!A:A=C360))"),"#N/A")</f>
        <v>#N/A</v>
      </c>
      <c r="F360" s="67">
        <v>5.42198247</v>
      </c>
      <c r="G360" s="40">
        <v>1.153738528</v>
      </c>
      <c r="H360" s="40" t="str">
        <f t="shared" si="1"/>
        <v>#N/A</v>
      </c>
      <c r="I360" s="41">
        <v>0.493670886</v>
      </c>
      <c r="J360" s="41">
        <v>0.17721519</v>
      </c>
      <c r="K360" s="41">
        <v>0.329113924</v>
      </c>
      <c r="L360" s="41">
        <f t="shared" si="2"/>
        <v>0.164556962</v>
      </c>
      <c r="M360" s="74">
        <v>-1.099273979</v>
      </c>
    </row>
    <row r="361">
      <c r="A361" s="1" t="s">
        <v>95</v>
      </c>
      <c r="B361" s="38">
        <v>543243.0</v>
      </c>
      <c r="C361" s="72">
        <v>45840.0</v>
      </c>
      <c r="D361" s="38">
        <v>75.0</v>
      </c>
      <c r="E361" s="73">
        <f>IFERROR(__xludf.DUMMYFUNCTION("average(filter('Appearance Sheet'!F:F,'Appearance Sheet'!G:G=B361,'Appearance Sheet'!A:A=C361))"),6.333333333333333)</f>
        <v>6.333333333</v>
      </c>
      <c r="F361" s="67">
        <v>5.421931428</v>
      </c>
      <c r="G361" s="40">
        <v>1.107351073</v>
      </c>
      <c r="H361" s="40">
        <f t="shared" si="1"/>
        <v>1.573604156</v>
      </c>
      <c r="I361" s="41">
        <v>0.493333333</v>
      </c>
      <c r="J361" s="41">
        <v>0.186666667</v>
      </c>
      <c r="K361" s="41">
        <v>0.32</v>
      </c>
      <c r="L361" s="41">
        <f t="shared" si="2"/>
        <v>0.173333333</v>
      </c>
      <c r="M361" s="74">
        <v>-0.244036791</v>
      </c>
    </row>
    <row r="362">
      <c r="A362" s="1" t="s">
        <v>562</v>
      </c>
      <c r="B362" s="38">
        <v>669713.0</v>
      </c>
      <c r="C362" s="72">
        <v>45760.0</v>
      </c>
      <c r="D362" s="38">
        <v>87.0</v>
      </c>
      <c r="E362" s="73">
        <f>IFERROR(__xludf.DUMMYFUNCTION("average(filter('Appearance Sheet'!F:F,'Appearance Sheet'!G:G=B362,'Appearance Sheet'!A:A=C362))"),6.0)</f>
        <v>6</v>
      </c>
      <c r="F362" s="67">
        <v>5.421582137</v>
      </c>
      <c r="G362" s="40">
        <v>1.275739935</v>
      </c>
      <c r="H362" s="40">
        <f t="shared" si="1"/>
        <v>1.913609903</v>
      </c>
      <c r="I362" s="41">
        <v>0.494252874</v>
      </c>
      <c r="J362" s="41">
        <v>0.252873563</v>
      </c>
      <c r="K362" s="41">
        <v>0.252873563</v>
      </c>
      <c r="L362" s="41">
        <f t="shared" si="2"/>
        <v>0.241379311</v>
      </c>
      <c r="M362" s="74">
        <v>0.96860997</v>
      </c>
    </row>
    <row r="363">
      <c r="A363" s="1" t="s">
        <v>163</v>
      </c>
      <c r="B363" s="38">
        <v>663460.0</v>
      </c>
      <c r="C363" s="72">
        <v>45826.0</v>
      </c>
      <c r="D363" s="38">
        <v>97.0</v>
      </c>
      <c r="E363" s="73">
        <f>IFERROR(__xludf.DUMMYFUNCTION("average(filter('Appearance Sheet'!F:F,'Appearance Sheet'!G:G=B363,'Appearance Sheet'!A:A=C363))"),5.333333333333333)</f>
        <v>5.333333333</v>
      </c>
      <c r="F363" s="67">
        <v>5.421523263</v>
      </c>
      <c r="G363" s="40">
        <v>1.39887572</v>
      </c>
      <c r="H363" s="40">
        <f t="shared" si="1"/>
        <v>2.360602778</v>
      </c>
      <c r="I363" s="41">
        <v>0.556701031</v>
      </c>
      <c r="J363" s="41">
        <v>0.226804124</v>
      </c>
      <c r="K363" s="41">
        <v>0.216494845</v>
      </c>
      <c r="L363" s="41">
        <f t="shared" si="2"/>
        <v>0.340206186</v>
      </c>
      <c r="M363" s="74">
        <v>-3.181357641</v>
      </c>
    </row>
    <row r="364">
      <c r="A364" s="1" t="s">
        <v>113</v>
      </c>
      <c r="B364" s="38">
        <v>664285.0</v>
      </c>
      <c r="C364" s="72">
        <v>45795.0</v>
      </c>
      <c r="D364" s="38">
        <v>95.0</v>
      </c>
      <c r="E364" s="73">
        <f>IFERROR(__xludf.DUMMYFUNCTION("average(filter('Appearance Sheet'!F:F,'Appearance Sheet'!G:G=B364,'Appearance Sheet'!A:A=C364))"),7.0)</f>
        <v>7</v>
      </c>
      <c r="F364" s="67">
        <v>5.421198565</v>
      </c>
      <c r="G364" s="40">
        <v>1.36941833</v>
      </c>
      <c r="H364" s="40">
        <f t="shared" si="1"/>
        <v>1.76068071</v>
      </c>
      <c r="I364" s="41">
        <v>0.547368421</v>
      </c>
      <c r="J364" s="41">
        <v>0.157894737</v>
      </c>
      <c r="K364" s="41">
        <v>0.294736842</v>
      </c>
      <c r="L364" s="41">
        <f t="shared" si="2"/>
        <v>0.252631579</v>
      </c>
      <c r="M364" s="74">
        <v>0.23912451</v>
      </c>
    </row>
    <row r="365">
      <c r="A365" s="1" t="s">
        <v>271</v>
      </c>
      <c r="B365" s="38">
        <v>606996.0</v>
      </c>
      <c r="C365" s="72">
        <v>45765.0</v>
      </c>
      <c r="D365" s="38">
        <v>78.0</v>
      </c>
      <c r="E365" s="73">
        <f>IFERROR(__xludf.DUMMYFUNCTION("average(filter('Appearance Sheet'!F:F,'Appearance Sheet'!G:G=B365,'Appearance Sheet'!A:A=C365))"),5.0)</f>
        <v>5</v>
      </c>
      <c r="F365" s="67">
        <v>5.420949553</v>
      </c>
      <c r="G365" s="40">
        <v>1.157814223</v>
      </c>
      <c r="H365" s="40">
        <f t="shared" si="1"/>
        <v>2.084065601</v>
      </c>
      <c r="I365" s="41">
        <v>0.525641026</v>
      </c>
      <c r="J365" s="41">
        <v>0.205128205</v>
      </c>
      <c r="K365" s="41">
        <v>0.269230769</v>
      </c>
      <c r="L365" s="41">
        <f t="shared" si="2"/>
        <v>0.256410257</v>
      </c>
      <c r="M365" s="74">
        <v>-5.650617575</v>
      </c>
    </row>
    <row r="366">
      <c r="A366" s="1" t="s">
        <v>150</v>
      </c>
      <c r="B366" s="38">
        <v>657746.0</v>
      </c>
      <c r="C366" s="72">
        <v>45849.0</v>
      </c>
      <c r="D366" s="38">
        <v>81.0</v>
      </c>
      <c r="E366" s="73" t="str">
        <f>IFERROR(__xludf.DUMMYFUNCTION("average(filter('Appearance Sheet'!F:F,'Appearance Sheet'!G:G=B366,'Appearance Sheet'!A:A=C366))"),"#N/A")</f>
        <v>#N/A</v>
      </c>
      <c r="F366" s="67">
        <v>5.420530035</v>
      </c>
      <c r="G366" s="40">
        <v>1.156112807</v>
      </c>
      <c r="H366" s="40" t="str">
        <f t="shared" si="1"/>
        <v>#N/A</v>
      </c>
      <c r="I366" s="41">
        <v>0.543209877</v>
      </c>
      <c r="J366" s="41">
        <v>0.197530864</v>
      </c>
      <c r="K366" s="41">
        <v>0.259259259</v>
      </c>
      <c r="L366" s="41">
        <f t="shared" si="2"/>
        <v>0.283950618</v>
      </c>
      <c r="M366" s="74">
        <v>0.265420783</v>
      </c>
    </row>
    <row r="367">
      <c r="A367" s="1" t="s">
        <v>169</v>
      </c>
      <c r="B367" s="38">
        <v>671096.0</v>
      </c>
      <c r="C367" s="72">
        <v>45783.0</v>
      </c>
      <c r="D367" s="38">
        <v>88.0</v>
      </c>
      <c r="E367" s="73">
        <f>IFERROR(__xludf.DUMMYFUNCTION("average(filter('Appearance Sheet'!F:F,'Appearance Sheet'!G:G=B367,'Appearance Sheet'!A:A=C367))"),5.0)</f>
        <v>5</v>
      </c>
      <c r="F367" s="67">
        <v>5.420442708</v>
      </c>
      <c r="G367" s="40">
        <v>1.242011437</v>
      </c>
      <c r="H367" s="40">
        <f t="shared" si="1"/>
        <v>2.235620587</v>
      </c>
      <c r="I367" s="41">
        <v>0.5</v>
      </c>
      <c r="J367" s="41">
        <v>0.25</v>
      </c>
      <c r="K367" s="41">
        <v>0.25</v>
      </c>
      <c r="L367" s="41">
        <f t="shared" si="2"/>
        <v>0.25</v>
      </c>
      <c r="M367" s="74">
        <v>1.162765627</v>
      </c>
    </row>
    <row r="368">
      <c r="A368" s="1" t="s">
        <v>281</v>
      </c>
      <c r="B368" s="38">
        <v>622663.0</v>
      </c>
      <c r="C368" s="72">
        <v>45799.0</v>
      </c>
      <c r="D368" s="38">
        <v>97.0</v>
      </c>
      <c r="E368" s="73">
        <f>IFERROR(__xludf.DUMMYFUNCTION("average(filter('Appearance Sheet'!F:F,'Appearance Sheet'!G:G=B368,'Appearance Sheet'!A:A=C368))"),6.0)</f>
        <v>6</v>
      </c>
      <c r="F368" s="67">
        <v>5.419548805</v>
      </c>
      <c r="G368" s="40">
        <v>1.396772194</v>
      </c>
      <c r="H368" s="40">
        <f t="shared" si="1"/>
        <v>2.095158291</v>
      </c>
      <c r="I368" s="41">
        <v>0.567010309</v>
      </c>
      <c r="J368" s="41">
        <v>0.164948454</v>
      </c>
      <c r="K368" s="41">
        <v>0.268041237</v>
      </c>
      <c r="L368" s="41">
        <f t="shared" si="2"/>
        <v>0.298969072</v>
      </c>
      <c r="M368" s="74">
        <v>-1.064411578</v>
      </c>
    </row>
    <row r="369">
      <c r="A369" s="1" t="s">
        <v>79</v>
      </c>
      <c r="B369" s="38">
        <v>554430.0</v>
      </c>
      <c r="C369" s="72">
        <v>45884.0</v>
      </c>
      <c r="D369" s="38">
        <v>96.0</v>
      </c>
      <c r="E369" s="73" t="str">
        <f>IFERROR(__xludf.DUMMYFUNCTION("average(filter('Appearance Sheet'!F:F,'Appearance Sheet'!G:G=B369,'Appearance Sheet'!A:A=C369))"),"#N/A")</f>
        <v>#N/A</v>
      </c>
      <c r="F369" s="67">
        <v>5.419509653</v>
      </c>
      <c r="G369" s="40">
        <v>1.367500808</v>
      </c>
      <c r="H369" s="40" t="str">
        <f t="shared" si="1"/>
        <v>#N/A</v>
      </c>
      <c r="I369" s="41">
        <v>0.5625</v>
      </c>
      <c r="J369" s="41">
        <v>0.114583333</v>
      </c>
      <c r="K369" s="41">
        <v>0.322916667</v>
      </c>
      <c r="L369" s="41">
        <f t="shared" si="2"/>
        <v>0.239583333</v>
      </c>
      <c r="M369" s="74">
        <v>0.925394718</v>
      </c>
    </row>
    <row r="370">
      <c r="A370" s="1" t="s">
        <v>557</v>
      </c>
      <c r="B370" s="38">
        <v>696149.0</v>
      </c>
      <c r="C370" s="72">
        <v>45920.0</v>
      </c>
      <c r="D370" s="38">
        <v>68.0</v>
      </c>
      <c r="E370" s="73" t="str">
        <f>IFERROR(__xludf.DUMMYFUNCTION("average(filter('Appearance Sheet'!F:F,'Appearance Sheet'!G:G=B370,'Appearance Sheet'!A:A=C370))"),"#N/A")</f>
        <v>#N/A</v>
      </c>
      <c r="F370" s="67">
        <v>5.41950152</v>
      </c>
      <c r="G370" s="40">
        <v>0.976678644</v>
      </c>
      <c r="H370" s="40" t="str">
        <f t="shared" si="1"/>
        <v>#N/A</v>
      </c>
      <c r="I370" s="41">
        <v>0.529411765</v>
      </c>
      <c r="J370" s="41">
        <v>0.191176471</v>
      </c>
      <c r="K370" s="41">
        <v>0.279411765</v>
      </c>
      <c r="L370" s="41">
        <f t="shared" si="2"/>
        <v>0.25</v>
      </c>
      <c r="M370" s="74">
        <v>2.4013947</v>
      </c>
    </row>
    <row r="371">
      <c r="A371" s="1" t="s">
        <v>212</v>
      </c>
      <c r="B371" s="38">
        <v>805673.0</v>
      </c>
      <c r="C371" s="72">
        <v>45868.0</v>
      </c>
      <c r="D371" s="38">
        <v>67.0</v>
      </c>
      <c r="E371" s="73" t="str">
        <f>IFERROR(__xludf.DUMMYFUNCTION("average(filter('Appearance Sheet'!F:F,'Appearance Sheet'!G:G=B371,'Appearance Sheet'!A:A=C371))"),"#N/A")</f>
        <v>#N/A</v>
      </c>
      <c r="F371" s="67">
        <v>5.419218638</v>
      </c>
      <c r="G371" s="40">
        <v>1.004521335</v>
      </c>
      <c r="H371" s="40" t="str">
        <f t="shared" si="1"/>
        <v>#N/A</v>
      </c>
      <c r="I371" s="41">
        <v>0.582089552</v>
      </c>
      <c r="J371" s="41">
        <v>0.089552239</v>
      </c>
      <c r="K371" s="41">
        <v>0.328358209</v>
      </c>
      <c r="L371" s="41">
        <f t="shared" si="2"/>
        <v>0.253731343</v>
      </c>
      <c r="M371" s="74">
        <v>-3.444274073</v>
      </c>
    </row>
    <row r="372">
      <c r="A372" s="1" t="s">
        <v>113</v>
      </c>
      <c r="B372" s="38">
        <v>664285.0</v>
      </c>
      <c r="C372" s="72">
        <v>45866.0</v>
      </c>
      <c r="D372" s="38">
        <v>96.0</v>
      </c>
      <c r="E372" s="73" t="str">
        <f>IFERROR(__xludf.DUMMYFUNCTION("average(filter('Appearance Sheet'!F:F,'Appearance Sheet'!G:G=B372,'Appearance Sheet'!A:A=C372))"),"#N/A")</f>
        <v>#N/A</v>
      </c>
      <c r="F372" s="67">
        <v>5.419194791</v>
      </c>
      <c r="G372" s="40">
        <v>1.364936169</v>
      </c>
      <c r="H372" s="40" t="str">
        <f t="shared" si="1"/>
        <v>#N/A</v>
      </c>
      <c r="I372" s="41">
        <v>0.552083333</v>
      </c>
      <c r="J372" s="41">
        <v>0.145833333</v>
      </c>
      <c r="K372" s="41">
        <v>0.302083333</v>
      </c>
      <c r="L372" s="41">
        <f t="shared" si="2"/>
        <v>0.25</v>
      </c>
      <c r="M372" s="74">
        <v>2.377419535</v>
      </c>
    </row>
    <row r="373">
      <c r="A373" s="1" t="s">
        <v>150</v>
      </c>
      <c r="B373" s="38">
        <v>657746.0</v>
      </c>
      <c r="C373" s="72">
        <v>45810.0</v>
      </c>
      <c r="D373" s="38">
        <v>94.0</v>
      </c>
      <c r="E373" s="73">
        <f>IFERROR(__xludf.DUMMYFUNCTION("average(filter('Appearance Sheet'!F:F,'Appearance Sheet'!G:G=B373,'Appearance Sheet'!A:A=C373))"),5.0)</f>
        <v>5</v>
      </c>
      <c r="F373" s="67">
        <v>5.419105584</v>
      </c>
      <c r="G373" s="40">
        <v>1.32991228</v>
      </c>
      <c r="H373" s="40">
        <f t="shared" si="1"/>
        <v>2.393842104</v>
      </c>
      <c r="I373" s="41">
        <v>0.606382979</v>
      </c>
      <c r="J373" s="41">
        <v>0.138297872</v>
      </c>
      <c r="K373" s="41">
        <v>0.255319149</v>
      </c>
      <c r="L373" s="41">
        <f t="shared" si="2"/>
        <v>0.35106383</v>
      </c>
      <c r="M373" s="74">
        <v>-1.896981465</v>
      </c>
    </row>
    <row r="374">
      <c r="A374" s="1" t="s">
        <v>212</v>
      </c>
      <c r="B374" s="38">
        <v>805673.0</v>
      </c>
      <c r="C374" s="72">
        <v>45923.0</v>
      </c>
      <c r="D374" s="38">
        <v>90.0</v>
      </c>
      <c r="E374" s="73" t="str">
        <f>IFERROR(__xludf.DUMMYFUNCTION("average(filter('Appearance Sheet'!F:F,'Appearance Sheet'!G:G=B374,'Appearance Sheet'!A:A=C374))"),"#N/A")</f>
        <v>#N/A</v>
      </c>
      <c r="F374" s="67">
        <v>5.419053656</v>
      </c>
      <c r="G374" s="40">
        <v>1.323398577</v>
      </c>
      <c r="H374" s="40" t="str">
        <f t="shared" si="1"/>
        <v>#N/A</v>
      </c>
      <c r="I374" s="41">
        <v>0.522222222</v>
      </c>
      <c r="J374" s="41">
        <v>0.2</v>
      </c>
      <c r="K374" s="41">
        <v>0.277777778</v>
      </c>
      <c r="L374" s="41">
        <f t="shared" si="2"/>
        <v>0.244444444</v>
      </c>
      <c r="M374" s="74">
        <v>1.132691549</v>
      </c>
    </row>
    <row r="375">
      <c r="A375" s="1" t="s">
        <v>65</v>
      </c>
      <c r="B375" s="38">
        <v>680885.0</v>
      </c>
      <c r="C375" s="72">
        <v>45802.0</v>
      </c>
      <c r="D375" s="38">
        <v>97.0</v>
      </c>
      <c r="E375" s="73">
        <f>IFERROR(__xludf.DUMMYFUNCTION("average(filter('Appearance Sheet'!F:F,'Appearance Sheet'!G:G=B375,'Appearance Sheet'!A:A=C375))"),7.0)</f>
        <v>7</v>
      </c>
      <c r="F375" s="67">
        <v>5.418801909</v>
      </c>
      <c r="G375" s="40">
        <v>1.414820637</v>
      </c>
      <c r="H375" s="40">
        <f t="shared" si="1"/>
        <v>1.819055105</v>
      </c>
      <c r="I375" s="41">
        <v>0.567010309</v>
      </c>
      <c r="J375" s="41">
        <v>0.216494845</v>
      </c>
      <c r="K375" s="41">
        <v>0.216494845</v>
      </c>
      <c r="L375" s="41">
        <f t="shared" si="2"/>
        <v>0.350515464</v>
      </c>
      <c r="M375" s="74">
        <v>-0.51460556</v>
      </c>
    </row>
    <row r="376">
      <c r="A376" s="1" t="s">
        <v>100</v>
      </c>
      <c r="B376" s="38">
        <v>676979.0</v>
      </c>
      <c r="C376" s="72">
        <v>45850.0</v>
      </c>
      <c r="D376" s="38">
        <v>97.0</v>
      </c>
      <c r="E376" s="73" t="str">
        <f>IFERROR(__xludf.DUMMYFUNCTION("average(filter('Appearance Sheet'!F:F,'Appearance Sheet'!G:G=B376,'Appearance Sheet'!A:A=C376))"),"#N/A")</f>
        <v>#N/A</v>
      </c>
      <c r="F376" s="67">
        <v>5.418671809</v>
      </c>
      <c r="G376" s="40">
        <v>1.454902422</v>
      </c>
      <c r="H376" s="40" t="str">
        <f t="shared" si="1"/>
        <v>#N/A</v>
      </c>
      <c r="I376" s="41">
        <v>0.515463918</v>
      </c>
      <c r="J376" s="41">
        <v>0.24742268</v>
      </c>
      <c r="K376" s="41">
        <v>0.237113402</v>
      </c>
      <c r="L376" s="41">
        <f t="shared" si="2"/>
        <v>0.278350516</v>
      </c>
      <c r="M376" s="74">
        <v>3.655149589</v>
      </c>
    </row>
    <row r="377">
      <c r="A377" s="1" t="s">
        <v>84</v>
      </c>
      <c r="B377" s="38">
        <v>669373.0</v>
      </c>
      <c r="C377" s="72">
        <v>45820.0</v>
      </c>
      <c r="D377" s="38">
        <v>97.0</v>
      </c>
      <c r="E377" s="73">
        <f>IFERROR(__xludf.DUMMYFUNCTION("average(filter('Appearance Sheet'!F:F,'Appearance Sheet'!G:G=B377,'Appearance Sheet'!A:A=C377))"),7.0)</f>
        <v>7</v>
      </c>
      <c r="F377" s="67">
        <v>5.418580656</v>
      </c>
      <c r="G377" s="40">
        <v>1.434158899</v>
      </c>
      <c r="H377" s="40">
        <f t="shared" si="1"/>
        <v>1.843918584</v>
      </c>
      <c r="I377" s="41">
        <v>0.577319588</v>
      </c>
      <c r="J377" s="41">
        <v>0.18556701</v>
      </c>
      <c r="K377" s="41">
        <v>0.237113402</v>
      </c>
      <c r="L377" s="41">
        <f t="shared" si="2"/>
        <v>0.340206186</v>
      </c>
      <c r="M377" s="74">
        <v>3.534514539</v>
      </c>
    </row>
    <row r="378">
      <c r="A378" s="1" t="s">
        <v>563</v>
      </c>
      <c r="B378" s="38">
        <v>681867.0</v>
      </c>
      <c r="C378" s="72">
        <v>45753.0</v>
      </c>
      <c r="D378" s="38">
        <v>63.0</v>
      </c>
      <c r="E378" s="73">
        <f>IFERROR(__xludf.DUMMYFUNCTION("average(filter('Appearance Sheet'!F:F,'Appearance Sheet'!G:G=B378,'Appearance Sheet'!A:A=C378))"),3.0)</f>
        <v>3</v>
      </c>
      <c r="F378" s="67">
        <v>5.418058196</v>
      </c>
      <c r="G378" s="40">
        <v>0.897426782</v>
      </c>
      <c r="H378" s="40">
        <f t="shared" si="1"/>
        <v>2.692280346</v>
      </c>
      <c r="I378" s="41">
        <v>0.619047619</v>
      </c>
      <c r="J378" s="41">
        <v>0.158730159</v>
      </c>
      <c r="K378" s="41">
        <v>0.222222222</v>
      </c>
      <c r="L378" s="41">
        <f t="shared" si="2"/>
        <v>0.396825397</v>
      </c>
      <c r="M378" s="74">
        <v>0.019547663</v>
      </c>
    </row>
    <row r="379">
      <c r="A379" s="1" t="s">
        <v>222</v>
      </c>
      <c r="B379" s="38">
        <v>518876.0</v>
      </c>
      <c r="C379" s="72">
        <v>45767.0</v>
      </c>
      <c r="D379" s="38">
        <v>79.0</v>
      </c>
      <c r="E379" s="73">
        <f>IFERROR(__xludf.DUMMYFUNCTION("average(filter('Appearance Sheet'!F:F,'Appearance Sheet'!G:G=B379,'Appearance Sheet'!A:A=C379))"),5.666666666666667)</f>
        <v>5.666666667</v>
      </c>
      <c r="F379" s="67">
        <v>5.417764294</v>
      </c>
      <c r="G379" s="40">
        <v>1.147144202</v>
      </c>
      <c r="H379" s="40">
        <f t="shared" si="1"/>
        <v>1.821934909</v>
      </c>
      <c r="I379" s="41">
        <v>0.455696203</v>
      </c>
      <c r="J379" s="41">
        <v>0.227848101</v>
      </c>
      <c r="K379" s="41">
        <v>0.316455696</v>
      </c>
      <c r="L379" s="41">
        <f t="shared" si="2"/>
        <v>0.139240507</v>
      </c>
      <c r="M379" s="74">
        <v>2.785500392</v>
      </c>
    </row>
    <row r="380">
      <c r="A380" s="1" t="s">
        <v>180</v>
      </c>
      <c r="B380" s="38">
        <v>642547.0</v>
      </c>
      <c r="C380" s="72">
        <v>45749.0</v>
      </c>
      <c r="D380" s="38">
        <v>91.0</v>
      </c>
      <c r="E380" s="73">
        <f>IFERROR(__xludf.DUMMYFUNCTION("average(filter('Appearance Sheet'!F:F,'Appearance Sheet'!G:G=B380,'Appearance Sheet'!A:A=C380))"),8.0)</f>
        <v>8</v>
      </c>
      <c r="F380" s="67">
        <v>5.417257279</v>
      </c>
      <c r="G380" s="40">
        <v>1.315294922</v>
      </c>
      <c r="H380" s="40">
        <f t="shared" si="1"/>
        <v>1.479706787</v>
      </c>
      <c r="I380" s="41">
        <v>0.56043956</v>
      </c>
      <c r="J380" s="41">
        <v>0.087912088</v>
      </c>
      <c r="K380" s="41">
        <v>0.351648352</v>
      </c>
      <c r="L380" s="41">
        <f t="shared" si="2"/>
        <v>0.208791208</v>
      </c>
      <c r="M380" s="74">
        <v>1.407626399</v>
      </c>
    </row>
    <row r="381">
      <c r="A381" s="1" t="s">
        <v>301</v>
      </c>
      <c r="B381" s="38">
        <v>656557.0</v>
      </c>
      <c r="C381" s="72">
        <v>45773.0</v>
      </c>
      <c r="D381" s="38">
        <v>91.0</v>
      </c>
      <c r="E381" s="73">
        <f>IFERROR(__xludf.DUMMYFUNCTION("average(filter('Appearance Sheet'!F:F,'Appearance Sheet'!G:G=B381,'Appearance Sheet'!A:A=C381))"),5.0)</f>
        <v>5</v>
      </c>
      <c r="F381" s="67">
        <v>5.417170218</v>
      </c>
      <c r="G381" s="40">
        <v>1.302312027</v>
      </c>
      <c r="H381" s="40">
        <f t="shared" si="1"/>
        <v>2.344161649</v>
      </c>
      <c r="I381" s="41">
        <v>0.549450549</v>
      </c>
      <c r="J381" s="41">
        <v>0.10989011</v>
      </c>
      <c r="K381" s="41">
        <v>0.340659341</v>
      </c>
      <c r="L381" s="41">
        <f t="shared" si="2"/>
        <v>0.208791208</v>
      </c>
      <c r="M381" s="74">
        <v>-2.764274943</v>
      </c>
    </row>
    <row r="382">
      <c r="A382" s="1" t="s">
        <v>63</v>
      </c>
      <c r="B382" s="38">
        <v>687888.0</v>
      </c>
      <c r="C382" s="72">
        <v>45816.0</v>
      </c>
      <c r="D382" s="38">
        <v>87.0</v>
      </c>
      <c r="E382" s="73">
        <f>IFERROR(__xludf.DUMMYFUNCTION("average(filter('Appearance Sheet'!F:F,'Appearance Sheet'!G:G=B382,'Appearance Sheet'!A:A=C382))"),6.0)</f>
        <v>6</v>
      </c>
      <c r="F382" s="67">
        <v>5.416663264</v>
      </c>
      <c r="G382" s="40">
        <v>1.277200944</v>
      </c>
      <c r="H382" s="40">
        <f t="shared" si="1"/>
        <v>1.915801416</v>
      </c>
      <c r="I382" s="41">
        <v>0.540229885</v>
      </c>
      <c r="J382" s="41">
        <v>0.206896552</v>
      </c>
      <c r="K382" s="41">
        <v>0.252873563</v>
      </c>
      <c r="L382" s="41">
        <f t="shared" si="2"/>
        <v>0.287356322</v>
      </c>
      <c r="M382" s="74">
        <v>-0.184667522</v>
      </c>
    </row>
    <row r="383">
      <c r="A383" s="1" t="s">
        <v>180</v>
      </c>
      <c r="B383" s="38">
        <v>642547.0</v>
      </c>
      <c r="C383" s="72">
        <v>45863.0</v>
      </c>
      <c r="D383" s="38">
        <v>92.0</v>
      </c>
      <c r="E383" s="73" t="str">
        <f>IFERROR(__xludf.DUMMYFUNCTION("average(filter('Appearance Sheet'!F:F,'Appearance Sheet'!G:G=B383,'Appearance Sheet'!A:A=C383))"),"#N/A")</f>
        <v>#N/A</v>
      </c>
      <c r="F383" s="67">
        <v>5.416577592</v>
      </c>
      <c r="G383" s="40">
        <v>1.299627669</v>
      </c>
      <c r="H383" s="40" t="str">
        <f t="shared" si="1"/>
        <v>#N/A</v>
      </c>
      <c r="I383" s="41">
        <v>0.543478261</v>
      </c>
      <c r="J383" s="41">
        <v>0.173913043</v>
      </c>
      <c r="K383" s="41">
        <v>0.282608696</v>
      </c>
      <c r="L383" s="41">
        <f t="shared" si="2"/>
        <v>0.260869565</v>
      </c>
      <c r="M383" s="74">
        <v>0.44429071</v>
      </c>
    </row>
    <row r="384">
      <c r="A384" s="1" t="s">
        <v>260</v>
      </c>
      <c r="B384" s="38">
        <v>694462.0</v>
      </c>
      <c r="C384" s="72">
        <v>45917.0</v>
      </c>
      <c r="D384" s="38">
        <v>80.0</v>
      </c>
      <c r="E384" s="73" t="str">
        <f>IFERROR(__xludf.DUMMYFUNCTION("average(filter('Appearance Sheet'!F:F,'Appearance Sheet'!G:G=B384,'Appearance Sheet'!A:A=C384))"),"#N/A")</f>
        <v>#N/A</v>
      </c>
      <c r="F384" s="67">
        <v>5.416376576</v>
      </c>
      <c r="G384" s="40">
        <v>1.159632458</v>
      </c>
      <c r="H384" s="40" t="str">
        <f t="shared" si="1"/>
        <v>#N/A</v>
      </c>
      <c r="I384" s="41">
        <v>0.475</v>
      </c>
      <c r="J384" s="41">
        <v>0.2125</v>
      </c>
      <c r="K384" s="41">
        <v>0.3125</v>
      </c>
      <c r="L384" s="41">
        <f t="shared" si="2"/>
        <v>0.1625</v>
      </c>
      <c r="M384" s="74">
        <v>-0.145715665</v>
      </c>
    </row>
    <row r="385">
      <c r="A385" s="1" t="s">
        <v>44</v>
      </c>
      <c r="B385" s="38">
        <v>650911.0</v>
      </c>
      <c r="C385" s="72">
        <v>45905.0</v>
      </c>
      <c r="D385" s="38">
        <v>82.0</v>
      </c>
      <c r="E385" s="73" t="str">
        <f>IFERROR(__xludf.DUMMYFUNCTION("average(filter('Appearance Sheet'!F:F,'Appearance Sheet'!G:G=B385,'Appearance Sheet'!A:A=C385))"),"#N/A")</f>
        <v>#N/A</v>
      </c>
      <c r="F385" s="67">
        <v>5.416214801</v>
      </c>
      <c r="G385" s="40">
        <v>1.249846475</v>
      </c>
      <c r="H385" s="40" t="str">
        <f t="shared" si="1"/>
        <v>#N/A</v>
      </c>
      <c r="I385" s="41">
        <v>0.512195122</v>
      </c>
      <c r="J385" s="41">
        <v>0.231707317</v>
      </c>
      <c r="K385" s="41">
        <v>0.256097561</v>
      </c>
      <c r="L385" s="41">
        <f t="shared" si="2"/>
        <v>0.256097561</v>
      </c>
      <c r="M385" s="74">
        <v>0.213309517</v>
      </c>
    </row>
    <row r="386">
      <c r="A386" s="1" t="s">
        <v>159</v>
      </c>
      <c r="B386" s="38">
        <v>605483.0</v>
      </c>
      <c r="C386" s="72">
        <v>45871.0</v>
      </c>
      <c r="D386" s="38">
        <v>84.0</v>
      </c>
      <c r="E386" s="73" t="str">
        <f>IFERROR(__xludf.DUMMYFUNCTION("average(filter('Appearance Sheet'!F:F,'Appearance Sheet'!G:G=B386,'Appearance Sheet'!A:A=C386))"),"#N/A")</f>
        <v>#N/A</v>
      </c>
      <c r="F386" s="67">
        <v>5.415840215</v>
      </c>
      <c r="G386" s="40">
        <v>1.221848086</v>
      </c>
      <c r="H386" s="40" t="str">
        <f t="shared" si="1"/>
        <v>#N/A</v>
      </c>
      <c r="I386" s="41">
        <v>0.547619048</v>
      </c>
      <c r="J386" s="41">
        <v>0.178571429</v>
      </c>
      <c r="K386" s="41">
        <v>0.273809524</v>
      </c>
      <c r="L386" s="41">
        <f t="shared" si="2"/>
        <v>0.273809524</v>
      </c>
      <c r="M386" s="74">
        <v>-0.001284327</v>
      </c>
    </row>
    <row r="387">
      <c r="A387" s="1" t="s">
        <v>374</v>
      </c>
      <c r="B387" s="38">
        <v>683004.0</v>
      </c>
      <c r="C387" s="72">
        <v>45807.0</v>
      </c>
      <c r="D387" s="38">
        <v>94.0</v>
      </c>
      <c r="E387" s="73">
        <f>IFERROR(__xludf.DUMMYFUNCTION("average(filter('Appearance Sheet'!F:F,'Appearance Sheet'!G:G=B387,'Appearance Sheet'!A:A=C387))"),5.666666666666667)</f>
        <v>5.666666667</v>
      </c>
      <c r="F387" s="67">
        <v>5.415517103</v>
      </c>
      <c r="G387" s="40">
        <v>1.342563825</v>
      </c>
      <c r="H387" s="40">
        <f t="shared" si="1"/>
        <v>2.132307251</v>
      </c>
      <c r="I387" s="41">
        <v>0.531914894</v>
      </c>
      <c r="J387" s="41">
        <v>0.138297872</v>
      </c>
      <c r="K387" s="41">
        <v>0.329787234</v>
      </c>
      <c r="L387" s="41">
        <f t="shared" si="2"/>
        <v>0.20212766</v>
      </c>
      <c r="M387" s="74">
        <v>0.736373379</v>
      </c>
    </row>
    <row r="388">
      <c r="A388" s="1" t="s">
        <v>95</v>
      </c>
      <c r="B388" s="38">
        <v>543243.0</v>
      </c>
      <c r="C388" s="72">
        <v>45784.0</v>
      </c>
      <c r="D388" s="38">
        <v>86.0</v>
      </c>
      <c r="E388" s="73">
        <f>IFERROR(__xludf.DUMMYFUNCTION("average(filter('Appearance Sheet'!F:F,'Appearance Sheet'!G:G=B388,'Appearance Sheet'!A:A=C388))"),7.0)</f>
        <v>7</v>
      </c>
      <c r="F388" s="67">
        <v>5.41543831</v>
      </c>
      <c r="G388" s="40">
        <v>1.271375099</v>
      </c>
      <c r="H388" s="40">
        <f t="shared" si="1"/>
        <v>1.634625127</v>
      </c>
      <c r="I388" s="41">
        <v>0.488372093</v>
      </c>
      <c r="J388" s="41">
        <v>0.23255814</v>
      </c>
      <c r="K388" s="41">
        <v>0.279069767</v>
      </c>
      <c r="L388" s="41">
        <f t="shared" si="2"/>
        <v>0.209302326</v>
      </c>
      <c r="M388" s="74">
        <v>3.763781252</v>
      </c>
    </row>
    <row r="389">
      <c r="A389" s="1" t="s">
        <v>269</v>
      </c>
      <c r="B389" s="38">
        <v>605280.0</v>
      </c>
      <c r="C389" s="72">
        <v>45779.0</v>
      </c>
      <c r="D389" s="38">
        <v>88.0</v>
      </c>
      <c r="E389" s="73">
        <f>IFERROR(__xludf.DUMMYFUNCTION("average(filter('Appearance Sheet'!F:F,'Appearance Sheet'!G:G=B389,'Appearance Sheet'!A:A=C389))"),6.0)</f>
        <v>6</v>
      </c>
      <c r="F389" s="67">
        <v>5.415320163</v>
      </c>
      <c r="G389" s="40">
        <v>1.313385463</v>
      </c>
      <c r="H389" s="40">
        <f t="shared" si="1"/>
        <v>1.970078195</v>
      </c>
      <c r="I389" s="41">
        <v>0.579545455</v>
      </c>
      <c r="J389" s="41">
        <v>0.125</v>
      </c>
      <c r="K389" s="41">
        <v>0.295454545</v>
      </c>
      <c r="L389" s="41">
        <f t="shared" si="2"/>
        <v>0.28409091</v>
      </c>
      <c r="M389" s="74">
        <v>-0.598253213</v>
      </c>
    </row>
    <row r="390">
      <c r="A390" s="1" t="s">
        <v>307</v>
      </c>
      <c r="B390" s="38">
        <v>656849.0</v>
      </c>
      <c r="C390" s="72">
        <v>45765.0</v>
      </c>
      <c r="D390" s="38">
        <v>96.0</v>
      </c>
      <c r="E390" s="73">
        <f>IFERROR(__xludf.DUMMYFUNCTION("average(filter('Appearance Sheet'!F:F,'Appearance Sheet'!G:G=B390,'Appearance Sheet'!A:A=C390))"),5.333333333333333)</f>
        <v>5.333333333</v>
      </c>
      <c r="F390" s="67">
        <v>5.415312734</v>
      </c>
      <c r="G390" s="40">
        <v>1.40303897</v>
      </c>
      <c r="H390" s="40">
        <f t="shared" si="1"/>
        <v>2.367628262</v>
      </c>
      <c r="I390" s="41">
        <v>0.46875</v>
      </c>
      <c r="J390" s="41">
        <v>0.270833333</v>
      </c>
      <c r="K390" s="41">
        <v>0.260416667</v>
      </c>
      <c r="L390" s="41">
        <f t="shared" si="2"/>
        <v>0.208333333</v>
      </c>
      <c r="M390" s="74">
        <v>-0.507676619</v>
      </c>
    </row>
    <row r="391">
      <c r="A391" s="1" t="s">
        <v>99</v>
      </c>
      <c r="B391" s="38">
        <v>592791.0</v>
      </c>
      <c r="C391" s="72">
        <v>45837.0</v>
      </c>
      <c r="D391" s="38">
        <v>106.0</v>
      </c>
      <c r="E391" s="73">
        <f>IFERROR(__xludf.DUMMYFUNCTION("average(filter('Appearance Sheet'!F:F,'Appearance Sheet'!G:G=B391,'Appearance Sheet'!A:A=C391))"),4.666666666666667)</f>
        <v>4.666666667</v>
      </c>
      <c r="F391" s="67">
        <v>5.415273803</v>
      </c>
      <c r="G391" s="40">
        <v>1.47489062</v>
      </c>
      <c r="H391" s="40">
        <f t="shared" si="1"/>
        <v>2.84443191</v>
      </c>
      <c r="I391" s="41">
        <v>0.528301887</v>
      </c>
      <c r="J391" s="41">
        <v>0.179245283</v>
      </c>
      <c r="K391" s="41">
        <v>0.29245283</v>
      </c>
      <c r="L391" s="41">
        <f t="shared" si="2"/>
        <v>0.235849057</v>
      </c>
      <c r="M391" s="74">
        <v>1.910836524</v>
      </c>
    </row>
    <row r="392">
      <c r="A392" s="1" t="s">
        <v>419</v>
      </c>
      <c r="B392" s="38">
        <v>681857.0</v>
      </c>
      <c r="C392" s="72">
        <v>45856.0</v>
      </c>
      <c r="D392" s="38">
        <v>87.0</v>
      </c>
      <c r="E392" s="73" t="str">
        <f>IFERROR(__xludf.DUMMYFUNCTION("average(filter('Appearance Sheet'!F:F,'Appearance Sheet'!G:G=B392,'Appearance Sheet'!A:A=C392))"),"#N/A")</f>
        <v>#N/A</v>
      </c>
      <c r="F392" s="67">
        <v>5.414902195</v>
      </c>
      <c r="G392" s="40">
        <v>1.242747102</v>
      </c>
      <c r="H392" s="40" t="str">
        <f t="shared" si="1"/>
        <v>#N/A</v>
      </c>
      <c r="I392" s="41">
        <v>0.505747126</v>
      </c>
      <c r="J392" s="41">
        <v>0.137931034</v>
      </c>
      <c r="K392" s="41">
        <v>0.356321839</v>
      </c>
      <c r="L392" s="41">
        <f t="shared" si="2"/>
        <v>0.149425287</v>
      </c>
      <c r="M392" s="74">
        <v>3.011222724</v>
      </c>
    </row>
    <row r="393">
      <c r="A393" s="1" t="s">
        <v>44</v>
      </c>
      <c r="B393" s="38">
        <v>650911.0</v>
      </c>
      <c r="C393" s="72">
        <v>45882.0</v>
      </c>
      <c r="D393" s="38">
        <v>78.0</v>
      </c>
      <c r="E393" s="73" t="str">
        <f>IFERROR(__xludf.DUMMYFUNCTION("average(filter('Appearance Sheet'!F:F,'Appearance Sheet'!G:G=B393,'Appearance Sheet'!A:A=C393))"),"#N/A")</f>
        <v>#N/A</v>
      </c>
      <c r="F393" s="67">
        <v>5.414800283</v>
      </c>
      <c r="G393" s="40">
        <v>1.151751024</v>
      </c>
      <c r="H393" s="40" t="str">
        <f t="shared" si="1"/>
        <v>#N/A</v>
      </c>
      <c r="I393" s="41">
        <v>0.487179487</v>
      </c>
      <c r="J393" s="41">
        <v>0.256410256</v>
      </c>
      <c r="K393" s="41">
        <v>0.256410256</v>
      </c>
      <c r="L393" s="41">
        <f t="shared" si="2"/>
        <v>0.230769231</v>
      </c>
      <c r="M393" s="74">
        <v>-0.922064795</v>
      </c>
    </row>
    <row r="394">
      <c r="A394" s="1" t="s">
        <v>256</v>
      </c>
      <c r="B394" s="38">
        <v>571760.0</v>
      </c>
      <c r="C394" s="72">
        <v>45820.0</v>
      </c>
      <c r="D394" s="38">
        <v>74.0</v>
      </c>
      <c r="E394" s="73">
        <f>IFERROR(__xludf.DUMMYFUNCTION("average(filter('Appearance Sheet'!F:F,'Appearance Sheet'!G:G=B394,'Appearance Sheet'!A:A=C394))"),6.0)</f>
        <v>6</v>
      </c>
      <c r="F394" s="67">
        <v>5.414699703</v>
      </c>
      <c r="G394" s="40">
        <v>1.100350391</v>
      </c>
      <c r="H394" s="40">
        <f t="shared" si="1"/>
        <v>1.650525587</v>
      </c>
      <c r="I394" s="41">
        <v>0.554054054</v>
      </c>
      <c r="J394" s="41">
        <v>0.148648649</v>
      </c>
      <c r="K394" s="41">
        <v>0.297297297</v>
      </c>
      <c r="L394" s="41">
        <f t="shared" si="2"/>
        <v>0.256756757</v>
      </c>
      <c r="M394" s="74">
        <v>0.023692827</v>
      </c>
    </row>
    <row r="395">
      <c r="A395" s="1" t="s">
        <v>316</v>
      </c>
      <c r="B395" s="38">
        <v>656427.0</v>
      </c>
      <c r="C395" s="72">
        <v>45865.0</v>
      </c>
      <c r="D395" s="38">
        <v>101.0</v>
      </c>
      <c r="E395" s="73" t="str">
        <f>IFERROR(__xludf.DUMMYFUNCTION("average(filter('Appearance Sheet'!F:F,'Appearance Sheet'!G:G=B395,'Appearance Sheet'!A:A=C395))"),"#N/A")</f>
        <v>#N/A</v>
      </c>
      <c r="F395" s="67">
        <v>5.413617852</v>
      </c>
      <c r="G395" s="40">
        <v>1.433912262</v>
      </c>
      <c r="H395" s="40" t="str">
        <f t="shared" si="1"/>
        <v>#N/A</v>
      </c>
      <c r="I395" s="41">
        <v>0.534653465</v>
      </c>
      <c r="J395" s="41">
        <v>0.188118812</v>
      </c>
      <c r="K395" s="41">
        <v>0.277227723</v>
      </c>
      <c r="L395" s="41">
        <f t="shared" si="2"/>
        <v>0.257425742</v>
      </c>
      <c r="M395" s="74">
        <v>0.289346327</v>
      </c>
    </row>
    <row r="396">
      <c r="A396" s="1" t="s">
        <v>90</v>
      </c>
      <c r="B396" s="38">
        <v>693433.0</v>
      </c>
      <c r="C396" s="72">
        <v>45759.0</v>
      </c>
      <c r="D396" s="38">
        <v>90.0</v>
      </c>
      <c r="E396" s="73">
        <f>IFERROR(__xludf.DUMMYFUNCTION("average(filter('Appearance Sheet'!F:F,'Appearance Sheet'!G:G=B396,'Appearance Sheet'!A:A=C396))"),7.0)</f>
        <v>7</v>
      </c>
      <c r="F396" s="67">
        <v>5.413041081</v>
      </c>
      <c r="G396" s="40">
        <v>1.347548847</v>
      </c>
      <c r="H396" s="40">
        <f t="shared" si="1"/>
        <v>1.732562803</v>
      </c>
      <c r="I396" s="41">
        <v>0.566666667</v>
      </c>
      <c r="J396" s="41">
        <v>0.133333333</v>
      </c>
      <c r="K396" s="41">
        <v>0.3</v>
      </c>
      <c r="L396" s="41">
        <f t="shared" si="2"/>
        <v>0.266666667</v>
      </c>
      <c r="M396" s="74">
        <v>-0.673572196</v>
      </c>
    </row>
    <row r="397">
      <c r="A397" s="1" t="s">
        <v>158</v>
      </c>
      <c r="B397" s="38">
        <v>608372.0</v>
      </c>
      <c r="C397" s="72">
        <v>45764.0</v>
      </c>
      <c r="D397" s="38">
        <v>87.0</v>
      </c>
      <c r="E397" s="73">
        <f>IFERROR(__xludf.DUMMYFUNCTION("average(filter('Appearance Sheet'!F:F,'Appearance Sheet'!G:G=B397,'Appearance Sheet'!A:A=C397))"),7.0)</f>
        <v>7</v>
      </c>
      <c r="F397" s="67">
        <v>5.41280704</v>
      </c>
      <c r="G397" s="40">
        <v>1.298450252</v>
      </c>
      <c r="H397" s="40">
        <f t="shared" si="1"/>
        <v>1.669436038</v>
      </c>
      <c r="I397" s="41">
        <v>0.574712644</v>
      </c>
      <c r="J397" s="41">
        <v>0.126436782</v>
      </c>
      <c r="K397" s="41">
        <v>0.298850575</v>
      </c>
      <c r="L397" s="41">
        <f t="shared" si="2"/>
        <v>0.275862069</v>
      </c>
      <c r="M397" s="74">
        <v>-0.156177936</v>
      </c>
    </row>
    <row r="398">
      <c r="A398" s="1" t="s">
        <v>363</v>
      </c>
      <c r="B398" s="38">
        <v>693645.0</v>
      </c>
      <c r="C398" s="72">
        <v>45905.0</v>
      </c>
      <c r="D398" s="38">
        <v>65.0</v>
      </c>
      <c r="E398" s="73" t="str">
        <f>IFERROR(__xludf.DUMMYFUNCTION("average(filter('Appearance Sheet'!F:F,'Appearance Sheet'!G:G=B398,'Appearance Sheet'!A:A=C398))"),"#N/A")</f>
        <v>#N/A</v>
      </c>
      <c r="F398" s="67">
        <v>5.41276375</v>
      </c>
      <c r="G398" s="40">
        <v>0.920059316</v>
      </c>
      <c r="H398" s="40" t="str">
        <f t="shared" si="1"/>
        <v>#N/A</v>
      </c>
      <c r="I398" s="41">
        <v>0.630769231</v>
      </c>
      <c r="J398" s="41">
        <v>0.153846154</v>
      </c>
      <c r="K398" s="41">
        <v>0.215384615</v>
      </c>
      <c r="L398" s="41">
        <f t="shared" si="2"/>
        <v>0.415384616</v>
      </c>
      <c r="M398" s="74">
        <v>-0.787138997</v>
      </c>
    </row>
    <row r="399">
      <c r="A399" s="1" t="s">
        <v>55</v>
      </c>
      <c r="B399" s="38">
        <v>641816.0</v>
      </c>
      <c r="C399" s="72">
        <v>45818.0</v>
      </c>
      <c r="D399" s="38">
        <v>91.0</v>
      </c>
      <c r="E399" s="73">
        <f>IFERROR(__xludf.DUMMYFUNCTION("average(filter('Appearance Sheet'!F:F,'Appearance Sheet'!G:G=B399,'Appearance Sheet'!A:A=C399))"),5.666666666666667)</f>
        <v>5.666666667</v>
      </c>
      <c r="F399" s="67">
        <v>5.41233168</v>
      </c>
      <c r="G399" s="40">
        <v>1.340055919</v>
      </c>
      <c r="H399" s="40">
        <f t="shared" si="1"/>
        <v>2.128324107</v>
      </c>
      <c r="I399" s="41">
        <v>0.494505495</v>
      </c>
      <c r="J399" s="41">
        <v>0.21978022</v>
      </c>
      <c r="K399" s="41">
        <v>0.285714286</v>
      </c>
      <c r="L399" s="41">
        <f t="shared" si="2"/>
        <v>0.208791209</v>
      </c>
      <c r="M399" s="74">
        <v>-5.304277777</v>
      </c>
    </row>
    <row r="400">
      <c r="A400" s="1" t="s">
        <v>166</v>
      </c>
      <c r="B400" s="38">
        <v>608331.0</v>
      </c>
      <c r="C400" s="72">
        <v>45867.0</v>
      </c>
      <c r="D400" s="38">
        <v>104.0</v>
      </c>
      <c r="E400" s="73" t="str">
        <f>IFERROR(__xludf.DUMMYFUNCTION("average(filter('Appearance Sheet'!F:F,'Appearance Sheet'!G:G=B400,'Appearance Sheet'!A:A=C400))"),"#N/A")</f>
        <v>#N/A</v>
      </c>
      <c r="F400" s="67">
        <v>5.412131246</v>
      </c>
      <c r="G400" s="40">
        <v>1.532421621</v>
      </c>
      <c r="H400" s="40" t="str">
        <f t="shared" si="1"/>
        <v>#N/A</v>
      </c>
      <c r="I400" s="41">
        <v>0.557692308</v>
      </c>
      <c r="J400" s="41">
        <v>0.134615385</v>
      </c>
      <c r="K400" s="41">
        <v>0.307692308</v>
      </c>
      <c r="L400" s="41">
        <f t="shared" si="2"/>
        <v>0.25</v>
      </c>
      <c r="M400" s="74">
        <v>3.421506105</v>
      </c>
    </row>
    <row r="401">
      <c r="A401" s="1" t="s">
        <v>269</v>
      </c>
      <c r="B401" s="38">
        <v>605280.0</v>
      </c>
      <c r="C401" s="72">
        <v>45803.0</v>
      </c>
      <c r="D401" s="38">
        <v>101.0</v>
      </c>
      <c r="E401" s="73">
        <f>IFERROR(__xludf.DUMMYFUNCTION("average(filter('Appearance Sheet'!F:F,'Appearance Sheet'!G:G=B401,'Appearance Sheet'!A:A=C401))"),5.666666666666667)</f>
        <v>5.666666667</v>
      </c>
      <c r="F401" s="67">
        <v>5.412044384</v>
      </c>
      <c r="G401" s="40">
        <v>1.414743538</v>
      </c>
      <c r="H401" s="40">
        <f t="shared" si="1"/>
        <v>2.246945619</v>
      </c>
      <c r="I401" s="41">
        <v>0.574257426</v>
      </c>
      <c r="J401" s="41">
        <v>0.108910891</v>
      </c>
      <c r="K401" s="41">
        <v>0.316831683</v>
      </c>
      <c r="L401" s="41">
        <f t="shared" si="2"/>
        <v>0.257425743</v>
      </c>
      <c r="M401" s="74">
        <v>2.033762654</v>
      </c>
    </row>
    <row r="402">
      <c r="A402" s="1" t="s">
        <v>260</v>
      </c>
      <c r="B402" s="38">
        <v>694462.0</v>
      </c>
      <c r="C402" s="72">
        <v>45889.0</v>
      </c>
      <c r="D402" s="38">
        <v>84.0</v>
      </c>
      <c r="E402" s="73" t="str">
        <f>IFERROR(__xludf.DUMMYFUNCTION("average(filter('Appearance Sheet'!F:F,'Appearance Sheet'!G:G=B402,'Appearance Sheet'!A:A=C402))"),"#N/A")</f>
        <v>#N/A</v>
      </c>
      <c r="F402" s="67">
        <v>5.411960698</v>
      </c>
      <c r="G402" s="40">
        <v>1.244469974</v>
      </c>
      <c r="H402" s="40" t="str">
        <f t="shared" si="1"/>
        <v>#N/A</v>
      </c>
      <c r="I402" s="41">
        <v>0.547619048</v>
      </c>
      <c r="J402" s="41">
        <v>0.202380952</v>
      </c>
      <c r="K402" s="41">
        <v>0.25</v>
      </c>
      <c r="L402" s="41">
        <f t="shared" si="2"/>
        <v>0.297619048</v>
      </c>
      <c r="M402" s="74">
        <v>2.322969532</v>
      </c>
    </row>
    <row r="403">
      <c r="A403" s="1" t="s">
        <v>156</v>
      </c>
      <c r="B403" s="38">
        <v>519242.0</v>
      </c>
      <c r="C403" s="72">
        <v>45910.0</v>
      </c>
      <c r="D403" s="38">
        <v>93.0</v>
      </c>
      <c r="E403" s="73" t="str">
        <f>IFERROR(__xludf.DUMMYFUNCTION("average(filter('Appearance Sheet'!F:F,'Appearance Sheet'!G:G=B403,'Appearance Sheet'!A:A=C403))"),"#N/A")</f>
        <v>#N/A</v>
      </c>
      <c r="F403" s="67">
        <v>5.411720903</v>
      </c>
      <c r="G403" s="40">
        <v>1.373848918</v>
      </c>
      <c r="H403" s="40" t="str">
        <f t="shared" si="1"/>
        <v>#N/A</v>
      </c>
      <c r="I403" s="41">
        <v>0.569892473</v>
      </c>
      <c r="J403" s="41">
        <v>0.129032258</v>
      </c>
      <c r="K403" s="41">
        <v>0.301075269</v>
      </c>
      <c r="L403" s="41">
        <f t="shared" si="2"/>
        <v>0.268817204</v>
      </c>
      <c r="M403" s="74">
        <v>-1.833834867</v>
      </c>
    </row>
    <row r="404">
      <c r="A404" s="1" t="s">
        <v>129</v>
      </c>
      <c r="B404" s="38">
        <v>686752.0</v>
      </c>
      <c r="C404" s="72">
        <v>45762.0</v>
      </c>
      <c r="D404" s="38">
        <v>102.0</v>
      </c>
      <c r="E404" s="73">
        <f>IFERROR(__xludf.DUMMYFUNCTION("average(filter('Appearance Sheet'!F:F,'Appearance Sheet'!G:G=B404,'Appearance Sheet'!A:A=C404))"),6.0)</f>
        <v>6</v>
      </c>
      <c r="F404" s="67">
        <v>5.411257835</v>
      </c>
      <c r="G404" s="40">
        <v>1.542958648</v>
      </c>
      <c r="H404" s="40">
        <f t="shared" si="1"/>
        <v>2.314437972</v>
      </c>
      <c r="I404" s="41">
        <v>0.617647059</v>
      </c>
      <c r="J404" s="41">
        <v>0.156862745</v>
      </c>
      <c r="K404" s="41">
        <v>0.225490196</v>
      </c>
      <c r="L404" s="41">
        <f t="shared" si="2"/>
        <v>0.392156863</v>
      </c>
      <c r="M404" s="74">
        <v>-3.655002866</v>
      </c>
    </row>
    <row r="405">
      <c r="A405" s="1" t="s">
        <v>344</v>
      </c>
      <c r="B405" s="38">
        <v>701542.0</v>
      </c>
      <c r="C405" s="72">
        <v>45820.0</v>
      </c>
      <c r="D405" s="38">
        <v>77.0</v>
      </c>
      <c r="E405" s="73">
        <f>IFERROR(__xludf.DUMMYFUNCTION("average(filter('Appearance Sheet'!F:F,'Appearance Sheet'!G:G=B405,'Appearance Sheet'!A:A=C405))"),5.666666666666667)</f>
        <v>5.666666667</v>
      </c>
      <c r="F405" s="67">
        <v>5.410855431</v>
      </c>
      <c r="G405" s="40">
        <v>1.111029696</v>
      </c>
      <c r="H405" s="40">
        <f t="shared" si="1"/>
        <v>1.764576576</v>
      </c>
      <c r="I405" s="41">
        <v>0.506493506</v>
      </c>
      <c r="J405" s="41">
        <v>0.207792208</v>
      </c>
      <c r="K405" s="41">
        <v>0.285714286</v>
      </c>
      <c r="L405" s="41">
        <f t="shared" si="2"/>
        <v>0.22077922</v>
      </c>
      <c r="M405" s="74">
        <v>-0.370829861</v>
      </c>
    </row>
    <row r="406">
      <c r="A406" s="1" t="s">
        <v>90</v>
      </c>
      <c r="B406" s="38">
        <v>693433.0</v>
      </c>
      <c r="C406" s="72">
        <v>45879.0</v>
      </c>
      <c r="D406" s="38">
        <v>96.0</v>
      </c>
      <c r="E406" s="73" t="str">
        <f>IFERROR(__xludf.DUMMYFUNCTION("average(filter('Appearance Sheet'!F:F,'Appearance Sheet'!G:G=B406,'Appearance Sheet'!A:A=C406))"),"#N/A")</f>
        <v>#N/A</v>
      </c>
      <c r="F406" s="67">
        <v>5.410688335</v>
      </c>
      <c r="G406" s="40">
        <v>1.439291132</v>
      </c>
      <c r="H406" s="40" t="str">
        <f t="shared" si="1"/>
        <v>#N/A</v>
      </c>
      <c r="I406" s="41">
        <v>0.541666667</v>
      </c>
      <c r="J406" s="41">
        <v>0.239583333</v>
      </c>
      <c r="K406" s="41">
        <v>0.21875</v>
      </c>
      <c r="L406" s="41">
        <f t="shared" si="2"/>
        <v>0.322916667</v>
      </c>
      <c r="M406" s="74">
        <v>-1.802878764</v>
      </c>
    </row>
    <row r="407">
      <c r="A407" s="1" t="s">
        <v>452</v>
      </c>
      <c r="B407" s="38">
        <v>607625.0</v>
      </c>
      <c r="C407" s="72">
        <v>45830.0</v>
      </c>
      <c r="D407" s="38">
        <v>88.0</v>
      </c>
      <c r="E407" s="73">
        <f>IFERROR(__xludf.DUMMYFUNCTION("average(filter('Appearance Sheet'!F:F,'Appearance Sheet'!G:G=B407,'Appearance Sheet'!A:A=C407))"),6.333333333333333)</f>
        <v>6.333333333</v>
      </c>
      <c r="F407" s="67">
        <v>5.410553107</v>
      </c>
      <c r="G407" s="40">
        <v>1.274289523</v>
      </c>
      <c r="H407" s="40">
        <f t="shared" si="1"/>
        <v>1.81083248</v>
      </c>
      <c r="I407" s="41">
        <v>0.522727273</v>
      </c>
      <c r="J407" s="41">
        <v>0.204545455</v>
      </c>
      <c r="K407" s="41">
        <v>0.272727273</v>
      </c>
      <c r="L407" s="41">
        <f t="shared" si="2"/>
        <v>0.25</v>
      </c>
      <c r="M407" s="74">
        <v>3.380320151</v>
      </c>
    </row>
    <row r="408">
      <c r="A408" s="1" t="s">
        <v>246</v>
      </c>
      <c r="B408" s="38">
        <v>571510.0</v>
      </c>
      <c r="C408" s="72">
        <v>45895.0</v>
      </c>
      <c r="D408" s="38">
        <v>92.0</v>
      </c>
      <c r="E408" s="73" t="str">
        <f>IFERROR(__xludf.DUMMYFUNCTION("average(filter('Appearance Sheet'!F:F,'Appearance Sheet'!G:G=B408,'Appearance Sheet'!A:A=C408))"),"#N/A")</f>
        <v>#N/A</v>
      </c>
      <c r="F408" s="67">
        <v>5.410300517</v>
      </c>
      <c r="G408" s="40">
        <v>1.331000608</v>
      </c>
      <c r="H408" s="40" t="str">
        <f t="shared" si="1"/>
        <v>#N/A</v>
      </c>
      <c r="I408" s="41">
        <v>0.576086957</v>
      </c>
      <c r="J408" s="41">
        <v>0.206521739</v>
      </c>
      <c r="K408" s="41">
        <v>0.217391304</v>
      </c>
      <c r="L408" s="41">
        <f t="shared" si="2"/>
        <v>0.358695653</v>
      </c>
      <c r="M408" s="74">
        <v>-1.138942918</v>
      </c>
    </row>
    <row r="409">
      <c r="A409" s="1" t="s">
        <v>96</v>
      </c>
      <c r="B409" s="38">
        <v>690986.0</v>
      </c>
      <c r="C409" s="72">
        <v>45812.0</v>
      </c>
      <c r="D409" s="38">
        <v>81.0</v>
      </c>
      <c r="E409" s="73">
        <f>IFERROR(__xludf.DUMMYFUNCTION("average(filter('Appearance Sheet'!F:F,'Appearance Sheet'!G:G=B409,'Appearance Sheet'!A:A=C409))"),4.333333333333333)</f>
        <v>4.333333333</v>
      </c>
      <c r="F409" s="67">
        <v>5.410229597</v>
      </c>
      <c r="G409" s="40">
        <v>1.212254733</v>
      </c>
      <c r="H409" s="40">
        <f t="shared" si="1"/>
        <v>2.51775983</v>
      </c>
      <c r="I409" s="41">
        <v>0.469135802</v>
      </c>
      <c r="J409" s="41">
        <v>0.259259259</v>
      </c>
      <c r="K409" s="41">
        <v>0.271604938</v>
      </c>
      <c r="L409" s="41">
        <f t="shared" si="2"/>
        <v>0.197530864</v>
      </c>
      <c r="M409" s="74">
        <v>-4.15401547</v>
      </c>
    </row>
    <row r="410">
      <c r="A410" s="1" t="s">
        <v>90</v>
      </c>
      <c r="B410" s="38">
        <v>693433.0</v>
      </c>
      <c r="C410" s="72">
        <v>45825.0</v>
      </c>
      <c r="D410" s="38">
        <v>83.0</v>
      </c>
      <c r="E410" s="73">
        <f>IFERROR(__xludf.DUMMYFUNCTION("average(filter('Appearance Sheet'!F:F,'Appearance Sheet'!G:G=B410,'Appearance Sheet'!A:A=C410))"),7.0)</f>
        <v>7</v>
      </c>
      <c r="F410" s="67">
        <v>5.409503046</v>
      </c>
      <c r="G410" s="40">
        <v>1.216860758</v>
      </c>
      <c r="H410" s="40">
        <f t="shared" si="1"/>
        <v>1.56453526</v>
      </c>
      <c r="I410" s="41">
        <v>0.542168675</v>
      </c>
      <c r="J410" s="41">
        <v>0.180722892</v>
      </c>
      <c r="K410" s="41">
        <v>0.277108434</v>
      </c>
      <c r="L410" s="41">
        <f t="shared" si="2"/>
        <v>0.265060241</v>
      </c>
      <c r="M410" s="74">
        <v>3.970972608</v>
      </c>
    </row>
    <row r="411">
      <c r="A411" s="1" t="s">
        <v>156</v>
      </c>
      <c r="B411" s="38">
        <v>519242.0</v>
      </c>
      <c r="C411" s="72">
        <v>45905.0</v>
      </c>
      <c r="D411" s="38">
        <v>89.0</v>
      </c>
      <c r="E411" s="73" t="str">
        <f>IFERROR(__xludf.DUMMYFUNCTION("average(filter('Appearance Sheet'!F:F,'Appearance Sheet'!G:G=B411,'Appearance Sheet'!A:A=C411))"),"#N/A")</f>
        <v>#N/A</v>
      </c>
      <c r="F411" s="67">
        <v>5.409430384</v>
      </c>
      <c r="G411" s="40">
        <v>1.337107858</v>
      </c>
      <c r="H411" s="40" t="str">
        <f t="shared" si="1"/>
        <v>#N/A</v>
      </c>
      <c r="I411" s="41">
        <v>0.550561798</v>
      </c>
      <c r="J411" s="41">
        <v>0.146067416</v>
      </c>
      <c r="K411" s="41">
        <v>0.303370787</v>
      </c>
      <c r="L411" s="41">
        <f t="shared" si="2"/>
        <v>0.247191011</v>
      </c>
      <c r="M411" s="74">
        <v>1.166120581</v>
      </c>
    </row>
    <row r="412">
      <c r="A412" s="1" t="s">
        <v>303</v>
      </c>
      <c r="B412" s="38">
        <v>592662.0</v>
      </c>
      <c r="C412" s="72">
        <v>45919.0</v>
      </c>
      <c r="D412" s="38">
        <v>84.0</v>
      </c>
      <c r="E412" s="73" t="str">
        <f>IFERROR(__xludf.DUMMYFUNCTION("average(filter('Appearance Sheet'!F:F,'Appearance Sheet'!G:G=B412,'Appearance Sheet'!A:A=C412))"),"#N/A")</f>
        <v>#N/A</v>
      </c>
      <c r="F412" s="67">
        <v>5.409363888</v>
      </c>
      <c r="G412" s="40">
        <v>1.229982436</v>
      </c>
      <c r="H412" s="40" t="str">
        <f t="shared" si="1"/>
        <v>#N/A</v>
      </c>
      <c r="I412" s="41">
        <v>0.619047619</v>
      </c>
      <c r="J412" s="41">
        <v>0.05952381</v>
      </c>
      <c r="K412" s="41">
        <v>0.321428571</v>
      </c>
      <c r="L412" s="41">
        <f t="shared" si="2"/>
        <v>0.297619048</v>
      </c>
      <c r="M412" s="74">
        <v>-0.723969306</v>
      </c>
    </row>
    <row r="413">
      <c r="A413" s="1" t="s">
        <v>313</v>
      </c>
      <c r="B413" s="38">
        <v>607067.0</v>
      </c>
      <c r="C413" s="72">
        <v>45918.0</v>
      </c>
      <c r="D413" s="38">
        <v>91.0</v>
      </c>
      <c r="E413" s="73" t="str">
        <f>IFERROR(__xludf.DUMMYFUNCTION("average(filter('Appearance Sheet'!F:F,'Appearance Sheet'!G:G=B413,'Appearance Sheet'!A:A=C413))"),"#N/A")</f>
        <v>#N/A</v>
      </c>
      <c r="F413" s="67">
        <v>5.409307276</v>
      </c>
      <c r="G413" s="40">
        <v>1.346243046</v>
      </c>
      <c r="H413" s="40" t="str">
        <f t="shared" si="1"/>
        <v>#N/A</v>
      </c>
      <c r="I413" s="41">
        <v>0.538461538</v>
      </c>
      <c r="J413" s="41">
        <v>0.164835165</v>
      </c>
      <c r="K413" s="41">
        <v>0.296703297</v>
      </c>
      <c r="L413" s="41">
        <f t="shared" si="2"/>
        <v>0.241758241</v>
      </c>
      <c r="M413" s="74">
        <v>1.516012106</v>
      </c>
    </row>
    <row r="414">
      <c r="A414" s="1" t="s">
        <v>55</v>
      </c>
      <c r="B414" s="38">
        <v>641816.0</v>
      </c>
      <c r="C414" s="72">
        <v>45794.0</v>
      </c>
      <c r="D414" s="38">
        <v>95.0</v>
      </c>
      <c r="E414" s="73">
        <f>IFERROR(__xludf.DUMMYFUNCTION("average(filter('Appearance Sheet'!F:F,'Appearance Sheet'!G:G=B414,'Appearance Sheet'!A:A=C414))"),6.0)</f>
        <v>6</v>
      </c>
      <c r="F414" s="67">
        <v>5.408431281</v>
      </c>
      <c r="G414" s="40">
        <v>1.387109079</v>
      </c>
      <c r="H414" s="40">
        <f t="shared" si="1"/>
        <v>2.080663619</v>
      </c>
      <c r="I414" s="41">
        <v>0.610526316</v>
      </c>
      <c r="J414" s="41">
        <v>0.115789474</v>
      </c>
      <c r="K414" s="41">
        <v>0.273684211</v>
      </c>
      <c r="L414" s="41">
        <f t="shared" si="2"/>
        <v>0.336842105</v>
      </c>
      <c r="M414" s="74">
        <v>0.225425309</v>
      </c>
    </row>
    <row r="415">
      <c r="A415" s="1" t="s">
        <v>90</v>
      </c>
      <c r="B415" s="38">
        <v>693433.0</v>
      </c>
      <c r="C415" s="72">
        <v>45863.0</v>
      </c>
      <c r="D415" s="38">
        <v>94.0</v>
      </c>
      <c r="E415" s="73" t="str">
        <f>IFERROR(__xludf.DUMMYFUNCTION("average(filter('Appearance Sheet'!F:F,'Appearance Sheet'!G:G=B415,'Appearance Sheet'!A:A=C415))"),"#N/A")</f>
        <v>#N/A</v>
      </c>
      <c r="F415" s="67">
        <v>5.40840656</v>
      </c>
      <c r="G415" s="40">
        <v>1.364425875</v>
      </c>
      <c r="H415" s="40" t="str">
        <f t="shared" si="1"/>
        <v>#N/A</v>
      </c>
      <c r="I415" s="41">
        <v>0.478723404</v>
      </c>
      <c r="J415" s="41">
        <v>0.20212766</v>
      </c>
      <c r="K415" s="41">
        <v>0.319148936</v>
      </c>
      <c r="L415" s="41">
        <f t="shared" si="2"/>
        <v>0.159574468</v>
      </c>
      <c r="M415" s="74">
        <v>1.183733382</v>
      </c>
    </row>
    <row r="416">
      <c r="A416" s="1" t="s">
        <v>95</v>
      </c>
      <c r="B416" s="38">
        <v>543243.0</v>
      </c>
      <c r="C416" s="72">
        <v>45802.0</v>
      </c>
      <c r="D416" s="38">
        <v>88.0</v>
      </c>
      <c r="E416" s="73">
        <f>IFERROR(__xludf.DUMMYFUNCTION("average(filter('Appearance Sheet'!F:F,'Appearance Sheet'!G:G=B416,'Appearance Sheet'!A:A=C416))"),6.0)</f>
        <v>6</v>
      </c>
      <c r="F416" s="67">
        <v>5.408076444</v>
      </c>
      <c r="G416" s="40">
        <v>1.32826663</v>
      </c>
      <c r="H416" s="40">
        <f t="shared" si="1"/>
        <v>1.992399945</v>
      </c>
      <c r="I416" s="41">
        <v>0.556818182</v>
      </c>
      <c r="J416" s="41">
        <v>0.125</v>
      </c>
      <c r="K416" s="41">
        <v>0.318181818</v>
      </c>
      <c r="L416" s="41">
        <f t="shared" si="2"/>
        <v>0.238636364</v>
      </c>
      <c r="M416" s="74">
        <v>-2.916274749</v>
      </c>
    </row>
    <row r="417">
      <c r="A417" s="1" t="s">
        <v>405</v>
      </c>
      <c r="B417" s="38">
        <v>621111.0</v>
      </c>
      <c r="C417" s="72">
        <v>45802.0</v>
      </c>
      <c r="D417" s="38">
        <v>82.0</v>
      </c>
      <c r="E417" s="73">
        <f>IFERROR(__xludf.DUMMYFUNCTION("average(filter('Appearance Sheet'!F:F,'Appearance Sheet'!G:G=B417,'Appearance Sheet'!A:A=C417))"),5.0)</f>
        <v>5</v>
      </c>
      <c r="F417" s="67">
        <v>5.407144334</v>
      </c>
      <c r="G417" s="40">
        <v>1.183438749</v>
      </c>
      <c r="H417" s="40">
        <f t="shared" si="1"/>
        <v>2.130189748</v>
      </c>
      <c r="I417" s="41">
        <v>0.573170732</v>
      </c>
      <c r="J417" s="41">
        <v>0.158536585</v>
      </c>
      <c r="K417" s="41">
        <v>0.268292683</v>
      </c>
      <c r="L417" s="41">
        <f t="shared" si="2"/>
        <v>0.304878049</v>
      </c>
      <c r="M417" s="74">
        <v>0.370220019</v>
      </c>
    </row>
    <row r="418">
      <c r="A418" s="1" t="s">
        <v>121</v>
      </c>
      <c r="B418" s="38">
        <v>676974.0</v>
      </c>
      <c r="C418" s="72">
        <v>45768.0</v>
      </c>
      <c r="D418" s="38">
        <v>91.0</v>
      </c>
      <c r="E418" s="73">
        <f>IFERROR(__xludf.DUMMYFUNCTION("average(filter('Appearance Sheet'!F:F,'Appearance Sheet'!G:G=B418,'Appearance Sheet'!A:A=C418))"),6.0)</f>
        <v>6</v>
      </c>
      <c r="F418" s="67">
        <v>5.406990078</v>
      </c>
      <c r="G418" s="40">
        <v>1.319481112</v>
      </c>
      <c r="H418" s="40">
        <f t="shared" si="1"/>
        <v>1.979221668</v>
      </c>
      <c r="I418" s="41">
        <v>0.527472527</v>
      </c>
      <c r="J418" s="41">
        <v>0.21978022</v>
      </c>
      <c r="K418" s="41">
        <v>0.252747253</v>
      </c>
      <c r="L418" s="41">
        <f t="shared" si="2"/>
        <v>0.274725274</v>
      </c>
      <c r="M418" s="74">
        <v>0.670822973</v>
      </c>
    </row>
    <row r="419">
      <c r="A419" s="1" t="s">
        <v>194</v>
      </c>
      <c r="B419" s="38">
        <v>666157.0</v>
      </c>
      <c r="C419" s="72">
        <v>45831.0</v>
      </c>
      <c r="D419" s="38">
        <v>94.0</v>
      </c>
      <c r="E419" s="73">
        <f>IFERROR(__xludf.DUMMYFUNCTION("average(filter('Appearance Sheet'!F:F,'Appearance Sheet'!G:G=B419,'Appearance Sheet'!A:A=C419))"),4.333333333333333)</f>
        <v>4.333333333</v>
      </c>
      <c r="F419" s="67">
        <v>5.40677574</v>
      </c>
      <c r="G419" s="40">
        <v>1.347976804</v>
      </c>
      <c r="H419" s="40">
        <f t="shared" si="1"/>
        <v>2.799644131</v>
      </c>
      <c r="I419" s="41">
        <v>0.531914894</v>
      </c>
      <c r="J419" s="41">
        <v>0.14893617</v>
      </c>
      <c r="K419" s="41">
        <v>0.319148936</v>
      </c>
      <c r="L419" s="41">
        <f t="shared" si="2"/>
        <v>0.212765958</v>
      </c>
      <c r="M419" s="74">
        <v>-0.337815996</v>
      </c>
    </row>
    <row r="420">
      <c r="A420" s="1" t="s">
        <v>169</v>
      </c>
      <c r="B420" s="38">
        <v>671096.0</v>
      </c>
      <c r="C420" s="72">
        <v>45927.0</v>
      </c>
      <c r="D420" s="38">
        <v>73.0</v>
      </c>
      <c r="E420" s="73" t="str">
        <f>IFERROR(__xludf.DUMMYFUNCTION("average(filter('Appearance Sheet'!F:F,'Appearance Sheet'!G:G=B420,'Appearance Sheet'!A:A=C420))"),"#N/A")</f>
        <v>#N/A</v>
      </c>
      <c r="F420" s="67">
        <v>5.406729003</v>
      </c>
      <c r="G420" s="40">
        <v>1.080524193</v>
      </c>
      <c r="H420" s="40" t="str">
        <f t="shared" si="1"/>
        <v>#N/A</v>
      </c>
      <c r="I420" s="41">
        <v>0.575342466</v>
      </c>
      <c r="J420" s="41">
        <v>0.178082192</v>
      </c>
      <c r="K420" s="41">
        <v>0.246575342</v>
      </c>
      <c r="L420" s="41">
        <f t="shared" si="2"/>
        <v>0.328767124</v>
      </c>
      <c r="M420" s="74">
        <v>-0.587574825</v>
      </c>
    </row>
    <row r="421">
      <c r="A421" s="1" t="s">
        <v>164</v>
      </c>
      <c r="B421" s="38">
        <v>669923.0</v>
      </c>
      <c r="C421" s="72">
        <v>45914.0</v>
      </c>
      <c r="D421" s="38">
        <v>100.0</v>
      </c>
      <c r="E421" s="73" t="str">
        <f>IFERROR(__xludf.DUMMYFUNCTION("average(filter('Appearance Sheet'!F:F,'Appearance Sheet'!G:G=B421,'Appearance Sheet'!A:A=C421))"),"#N/A")</f>
        <v>#N/A</v>
      </c>
      <c r="F421" s="67">
        <v>5.406725385</v>
      </c>
      <c r="G421" s="40">
        <v>1.423435263</v>
      </c>
      <c r="H421" s="40" t="str">
        <f t="shared" si="1"/>
        <v>#N/A</v>
      </c>
      <c r="I421" s="41">
        <v>0.54</v>
      </c>
      <c r="J421" s="41">
        <v>0.13</v>
      </c>
      <c r="K421" s="41">
        <v>0.33</v>
      </c>
      <c r="L421" s="41">
        <f t="shared" si="2"/>
        <v>0.21</v>
      </c>
      <c r="M421" s="74">
        <v>1.968785089</v>
      </c>
    </row>
    <row r="422">
      <c r="A422" s="1" t="s">
        <v>275</v>
      </c>
      <c r="B422" s="38">
        <v>693821.0</v>
      </c>
      <c r="C422" s="72">
        <v>45815.0</v>
      </c>
      <c r="D422" s="38">
        <v>107.0</v>
      </c>
      <c r="E422" s="73">
        <f>IFERROR(__xludf.DUMMYFUNCTION("average(filter('Appearance Sheet'!F:F,'Appearance Sheet'!G:G=B422,'Appearance Sheet'!A:A=C422))"),8.0)</f>
        <v>8</v>
      </c>
      <c r="F422" s="67">
        <v>5.406297288</v>
      </c>
      <c r="G422" s="40">
        <v>1.567726132</v>
      </c>
      <c r="H422" s="40">
        <f t="shared" si="1"/>
        <v>1.763691899</v>
      </c>
      <c r="I422" s="41">
        <v>0.46728972</v>
      </c>
      <c r="J422" s="41">
        <v>0.23364486</v>
      </c>
      <c r="K422" s="41">
        <v>0.299065421</v>
      </c>
      <c r="L422" s="41">
        <f t="shared" si="2"/>
        <v>0.168224299</v>
      </c>
      <c r="M422" s="74">
        <v>4.078706814</v>
      </c>
    </row>
    <row r="423">
      <c r="A423" s="1" t="s">
        <v>220</v>
      </c>
      <c r="B423" s="38">
        <v>663559.0</v>
      </c>
      <c r="C423" s="72">
        <v>45825.0</v>
      </c>
      <c r="D423" s="38">
        <v>74.0</v>
      </c>
      <c r="E423" s="73">
        <f>IFERROR(__xludf.DUMMYFUNCTION("average(filter('Appearance Sheet'!F:F,'Appearance Sheet'!G:G=B423,'Appearance Sheet'!A:A=C423))"),5.0)</f>
        <v>5</v>
      </c>
      <c r="F423" s="67">
        <v>5.405908469</v>
      </c>
      <c r="G423" s="40">
        <v>1.102929459</v>
      </c>
      <c r="H423" s="40">
        <f t="shared" si="1"/>
        <v>1.985273026</v>
      </c>
      <c r="I423" s="41">
        <v>0.581081081</v>
      </c>
      <c r="J423" s="41">
        <v>0.121621622</v>
      </c>
      <c r="K423" s="41">
        <v>0.297297297</v>
      </c>
      <c r="L423" s="41">
        <f t="shared" si="2"/>
        <v>0.283783784</v>
      </c>
      <c r="M423" s="74">
        <v>-0.749586976</v>
      </c>
    </row>
    <row r="424">
      <c r="A424" s="1" t="s">
        <v>125</v>
      </c>
      <c r="B424" s="38">
        <v>663554.0</v>
      </c>
      <c r="C424" s="72">
        <v>45825.0</v>
      </c>
      <c r="D424" s="38">
        <v>91.0</v>
      </c>
      <c r="E424" s="73">
        <f>IFERROR(__xludf.DUMMYFUNCTION("average(filter('Appearance Sheet'!F:F,'Appearance Sheet'!G:G=B424,'Appearance Sheet'!A:A=C424))"),6.0)</f>
        <v>6</v>
      </c>
      <c r="F424" s="67">
        <v>5.405686832</v>
      </c>
      <c r="G424" s="40">
        <v>1.394157429</v>
      </c>
      <c r="H424" s="40">
        <f t="shared" si="1"/>
        <v>2.091236144</v>
      </c>
      <c r="I424" s="41">
        <v>0.483516484</v>
      </c>
      <c r="J424" s="41">
        <v>0.241758242</v>
      </c>
      <c r="K424" s="41">
        <v>0.274725275</v>
      </c>
      <c r="L424" s="41">
        <f t="shared" si="2"/>
        <v>0.208791209</v>
      </c>
      <c r="M424" s="74">
        <v>1.242125943</v>
      </c>
    </row>
    <row r="425">
      <c r="A425" s="1" t="s">
        <v>272</v>
      </c>
      <c r="B425" s="38">
        <v>622491.0</v>
      </c>
      <c r="C425" s="72">
        <v>45802.0</v>
      </c>
      <c r="D425" s="38">
        <v>111.0</v>
      </c>
      <c r="E425" s="73">
        <f>IFERROR(__xludf.DUMMYFUNCTION("average(filter('Appearance Sheet'!F:F,'Appearance Sheet'!G:G=B425,'Appearance Sheet'!A:A=C425))"),6.0)</f>
        <v>6</v>
      </c>
      <c r="F425" s="67">
        <v>5.405624583</v>
      </c>
      <c r="G425" s="40">
        <v>1.602765056</v>
      </c>
      <c r="H425" s="40">
        <f t="shared" si="1"/>
        <v>2.404147584</v>
      </c>
      <c r="I425" s="41">
        <v>0.54954955</v>
      </c>
      <c r="J425" s="41">
        <v>0.153153153</v>
      </c>
      <c r="K425" s="41">
        <v>0.297297297</v>
      </c>
      <c r="L425" s="41">
        <f t="shared" si="2"/>
        <v>0.252252253</v>
      </c>
      <c r="M425" s="74">
        <v>-2.868824718</v>
      </c>
    </row>
    <row r="426">
      <c r="A426" s="1" t="s">
        <v>90</v>
      </c>
      <c r="B426" s="38">
        <v>693433.0</v>
      </c>
      <c r="C426" s="72">
        <v>45913.0</v>
      </c>
      <c r="D426" s="38">
        <v>100.0</v>
      </c>
      <c r="E426" s="73" t="str">
        <f>IFERROR(__xludf.DUMMYFUNCTION("average(filter('Appearance Sheet'!F:F,'Appearance Sheet'!G:G=B426,'Appearance Sheet'!A:A=C426))"),"#N/A")</f>
        <v>#N/A</v>
      </c>
      <c r="F426" s="67">
        <v>5.405576408</v>
      </c>
      <c r="G426" s="40">
        <v>1.403028363</v>
      </c>
      <c r="H426" s="40" t="str">
        <f t="shared" si="1"/>
        <v>#N/A</v>
      </c>
      <c r="I426" s="41">
        <v>0.55</v>
      </c>
      <c r="J426" s="41">
        <v>0.18</v>
      </c>
      <c r="K426" s="41">
        <v>0.27</v>
      </c>
      <c r="L426" s="41">
        <f t="shared" si="2"/>
        <v>0.28</v>
      </c>
      <c r="M426" s="74">
        <v>2.244532591</v>
      </c>
    </row>
    <row r="427">
      <c r="A427" s="1" t="s">
        <v>153</v>
      </c>
      <c r="B427" s="38">
        <v>669302.0</v>
      </c>
      <c r="C427" s="72">
        <v>45840.0</v>
      </c>
      <c r="D427" s="38">
        <v>95.0</v>
      </c>
      <c r="E427" s="73">
        <f>IFERROR(__xludf.DUMMYFUNCTION("average(filter('Appearance Sheet'!F:F,'Appearance Sheet'!G:G=B427,'Appearance Sheet'!A:A=C427))"),4.666666666666667)</f>
        <v>4.666666667</v>
      </c>
      <c r="F427" s="67">
        <v>5.404526472</v>
      </c>
      <c r="G427" s="40">
        <v>1.401689103</v>
      </c>
      <c r="H427" s="40">
        <f t="shared" si="1"/>
        <v>2.703257556</v>
      </c>
      <c r="I427" s="41">
        <v>0.547368421</v>
      </c>
      <c r="J427" s="41">
        <v>0.147368421</v>
      </c>
      <c r="K427" s="41">
        <v>0.305263158</v>
      </c>
      <c r="L427" s="41">
        <f t="shared" si="2"/>
        <v>0.242105263</v>
      </c>
      <c r="M427" s="74">
        <v>2.832911202</v>
      </c>
    </row>
    <row r="428">
      <c r="A428" s="1" t="s">
        <v>364</v>
      </c>
      <c r="B428" s="38">
        <v>693855.0</v>
      </c>
      <c r="C428" s="72">
        <v>45900.0</v>
      </c>
      <c r="D428" s="38">
        <v>80.0</v>
      </c>
      <c r="E428" s="73" t="str">
        <f>IFERROR(__xludf.DUMMYFUNCTION("average(filter('Appearance Sheet'!F:F,'Appearance Sheet'!G:G=B428,'Appearance Sheet'!A:A=C428))"),"#N/A")</f>
        <v>#N/A</v>
      </c>
      <c r="F428" s="67">
        <v>5.404152334</v>
      </c>
      <c r="G428" s="40">
        <v>1.195519335</v>
      </c>
      <c r="H428" s="40" t="str">
        <f t="shared" si="1"/>
        <v>#N/A</v>
      </c>
      <c r="I428" s="41">
        <v>0.5375</v>
      </c>
      <c r="J428" s="41">
        <v>0.1375</v>
      </c>
      <c r="K428" s="41">
        <v>0.325</v>
      </c>
      <c r="L428" s="41">
        <f t="shared" si="2"/>
        <v>0.2125</v>
      </c>
      <c r="M428" s="74">
        <v>1.168546042</v>
      </c>
    </row>
    <row r="429">
      <c r="A429" s="1" t="s">
        <v>161</v>
      </c>
      <c r="B429" s="38">
        <v>702070.0</v>
      </c>
      <c r="C429" s="72">
        <v>45823.0</v>
      </c>
      <c r="D429" s="38">
        <v>75.0</v>
      </c>
      <c r="E429" s="73">
        <f>IFERROR(__xludf.DUMMYFUNCTION("average(filter('Appearance Sheet'!F:F,'Appearance Sheet'!G:G=B429,'Appearance Sheet'!A:A=C429))"),5.0)</f>
        <v>5</v>
      </c>
      <c r="F429" s="67">
        <v>5.404046736</v>
      </c>
      <c r="G429" s="40">
        <v>1.087196039</v>
      </c>
      <c r="H429" s="40">
        <f t="shared" si="1"/>
        <v>1.95695287</v>
      </c>
      <c r="I429" s="41">
        <v>0.533333333</v>
      </c>
      <c r="J429" s="41">
        <v>0.173333333</v>
      </c>
      <c r="K429" s="41">
        <v>0.293333333</v>
      </c>
      <c r="L429" s="41">
        <f t="shared" si="2"/>
        <v>0.24</v>
      </c>
      <c r="M429" s="74">
        <v>1.040550964</v>
      </c>
    </row>
    <row r="430">
      <c r="A430" s="1" t="s">
        <v>564</v>
      </c>
      <c r="B430" s="38">
        <v>674841.0</v>
      </c>
      <c r="C430" s="72">
        <v>45907.0</v>
      </c>
      <c r="D430" s="38">
        <v>85.0</v>
      </c>
      <c r="E430" s="73" t="str">
        <f>IFERROR(__xludf.DUMMYFUNCTION("average(filter('Appearance Sheet'!F:F,'Appearance Sheet'!G:G=B430,'Appearance Sheet'!A:A=C430))"),"#N/A")</f>
        <v>#N/A</v>
      </c>
      <c r="F430" s="67">
        <v>5.403681144</v>
      </c>
      <c r="G430" s="40">
        <v>1.265735182</v>
      </c>
      <c r="H430" s="40" t="str">
        <f t="shared" si="1"/>
        <v>#N/A</v>
      </c>
      <c r="I430" s="41">
        <v>0.482352941</v>
      </c>
      <c r="J430" s="41">
        <v>0.223529412</v>
      </c>
      <c r="K430" s="41">
        <v>0.294117647</v>
      </c>
      <c r="L430" s="41">
        <f t="shared" si="2"/>
        <v>0.188235294</v>
      </c>
      <c r="M430" s="74">
        <v>2.773175464</v>
      </c>
    </row>
    <row r="431">
      <c r="A431" s="1" t="s">
        <v>115</v>
      </c>
      <c r="B431" s="38">
        <v>543135.0</v>
      </c>
      <c r="C431" s="72">
        <v>45777.0</v>
      </c>
      <c r="D431" s="38">
        <v>85.0</v>
      </c>
      <c r="E431" s="73">
        <f>IFERROR(__xludf.DUMMYFUNCTION("average(filter('Appearance Sheet'!F:F,'Appearance Sheet'!G:G=B431,'Appearance Sheet'!A:A=C431))"),6.0)</f>
        <v>6</v>
      </c>
      <c r="F431" s="67">
        <v>5.4035531</v>
      </c>
      <c r="G431" s="40">
        <v>1.26008425</v>
      </c>
      <c r="H431" s="40">
        <f t="shared" si="1"/>
        <v>1.890126375</v>
      </c>
      <c r="I431" s="41">
        <v>0.564705882</v>
      </c>
      <c r="J431" s="41">
        <v>0.117647059</v>
      </c>
      <c r="K431" s="41">
        <v>0.317647059</v>
      </c>
      <c r="L431" s="41">
        <f t="shared" si="2"/>
        <v>0.247058823</v>
      </c>
      <c r="M431" s="74">
        <v>-0.516056826</v>
      </c>
    </row>
    <row r="432">
      <c r="A432" s="1" t="s">
        <v>113</v>
      </c>
      <c r="B432" s="38">
        <v>664285.0</v>
      </c>
      <c r="C432" s="72">
        <v>45761.0</v>
      </c>
      <c r="D432" s="38">
        <v>86.0</v>
      </c>
      <c r="E432" s="73">
        <f>IFERROR(__xludf.DUMMYFUNCTION("average(filter('Appearance Sheet'!F:F,'Appearance Sheet'!G:G=B432,'Appearance Sheet'!A:A=C432))"),4.0)</f>
        <v>4</v>
      </c>
      <c r="F432" s="67">
        <v>5.403477802</v>
      </c>
      <c r="G432" s="40">
        <v>1.261532076</v>
      </c>
      <c r="H432" s="40">
        <f t="shared" si="1"/>
        <v>2.838447171</v>
      </c>
      <c r="I432" s="41">
        <v>0.546511628</v>
      </c>
      <c r="J432" s="41">
        <v>0.197674419</v>
      </c>
      <c r="K432" s="41">
        <v>0.255813953</v>
      </c>
      <c r="L432" s="41">
        <f t="shared" si="2"/>
        <v>0.290697675</v>
      </c>
      <c r="M432" s="74">
        <v>-3.371708444</v>
      </c>
    </row>
    <row r="433">
      <c r="A433" s="1" t="s">
        <v>77</v>
      </c>
      <c r="B433" s="38">
        <v>657277.0</v>
      </c>
      <c r="C433" s="72">
        <v>45815.0</v>
      </c>
      <c r="D433" s="38">
        <v>100.0</v>
      </c>
      <c r="E433" s="73">
        <f>IFERROR(__xludf.DUMMYFUNCTION("average(filter('Appearance Sheet'!F:F,'Appearance Sheet'!G:G=B433,'Appearance Sheet'!A:A=C433))"),6.0)</f>
        <v>6</v>
      </c>
      <c r="F433" s="67">
        <v>5.403463404</v>
      </c>
      <c r="G433" s="40">
        <v>1.440645759</v>
      </c>
      <c r="H433" s="40">
        <f t="shared" si="1"/>
        <v>2.160968639</v>
      </c>
      <c r="I433" s="41">
        <v>0.55</v>
      </c>
      <c r="J433" s="41">
        <v>0.16</v>
      </c>
      <c r="K433" s="41">
        <v>0.29</v>
      </c>
      <c r="L433" s="41">
        <f t="shared" si="2"/>
        <v>0.26</v>
      </c>
      <c r="M433" s="74">
        <v>-1.033111295</v>
      </c>
    </row>
    <row r="434">
      <c r="A434" s="1" t="s">
        <v>336</v>
      </c>
      <c r="B434" s="38">
        <v>605488.0</v>
      </c>
      <c r="C434" s="72">
        <v>45903.0</v>
      </c>
      <c r="D434" s="38">
        <v>87.0</v>
      </c>
      <c r="E434" s="73" t="str">
        <f>IFERROR(__xludf.DUMMYFUNCTION("average(filter('Appearance Sheet'!F:F,'Appearance Sheet'!G:G=B434,'Appearance Sheet'!A:A=C434))"),"#N/A")</f>
        <v>#N/A</v>
      </c>
      <c r="F434" s="67">
        <v>5.403096734</v>
      </c>
      <c r="G434" s="40">
        <v>1.315669866</v>
      </c>
      <c r="H434" s="40" t="str">
        <f t="shared" si="1"/>
        <v>#N/A</v>
      </c>
      <c r="I434" s="41">
        <v>0.517241379</v>
      </c>
      <c r="J434" s="41">
        <v>0.149425287</v>
      </c>
      <c r="K434" s="41">
        <v>0.333333333</v>
      </c>
      <c r="L434" s="41">
        <f t="shared" si="2"/>
        <v>0.183908046</v>
      </c>
      <c r="M434" s="74">
        <v>-0.024759193</v>
      </c>
    </row>
    <row r="435">
      <c r="A435" s="1" t="s">
        <v>351</v>
      </c>
      <c r="B435" s="38">
        <v>689017.0</v>
      </c>
      <c r="C435" s="72">
        <v>45796.0</v>
      </c>
      <c r="D435" s="38">
        <v>106.0</v>
      </c>
      <c r="E435" s="73">
        <f>IFERROR(__xludf.DUMMYFUNCTION("average(filter('Appearance Sheet'!F:F,'Appearance Sheet'!G:G=B435,'Appearance Sheet'!A:A=C435))"),5.0)</f>
        <v>5</v>
      </c>
      <c r="F435" s="67">
        <v>5.402514769</v>
      </c>
      <c r="G435" s="40">
        <v>1.552100238</v>
      </c>
      <c r="H435" s="40">
        <f t="shared" si="1"/>
        <v>2.793780428</v>
      </c>
      <c r="I435" s="41">
        <v>0.509433962</v>
      </c>
      <c r="J435" s="41">
        <v>0.20754717</v>
      </c>
      <c r="K435" s="41">
        <v>0.283018868</v>
      </c>
      <c r="L435" s="41">
        <f t="shared" si="2"/>
        <v>0.226415094</v>
      </c>
      <c r="M435" s="74">
        <v>0.381328403</v>
      </c>
    </row>
    <row r="436">
      <c r="A436" s="1" t="s">
        <v>336</v>
      </c>
      <c r="B436" s="38">
        <v>605488.0</v>
      </c>
      <c r="C436" s="72">
        <v>45858.0</v>
      </c>
      <c r="D436" s="38">
        <v>78.0</v>
      </c>
      <c r="E436" s="73" t="str">
        <f>IFERROR(__xludf.DUMMYFUNCTION("average(filter('Appearance Sheet'!F:F,'Appearance Sheet'!G:G=B436,'Appearance Sheet'!A:A=C436))"),"#N/A")</f>
        <v>#N/A</v>
      </c>
      <c r="F436" s="67">
        <v>5.402288071</v>
      </c>
      <c r="G436" s="40">
        <v>1.147666205</v>
      </c>
      <c r="H436" s="40" t="str">
        <f t="shared" si="1"/>
        <v>#N/A</v>
      </c>
      <c r="I436" s="41">
        <v>0.551282051</v>
      </c>
      <c r="J436" s="41">
        <v>0.115384615</v>
      </c>
      <c r="K436" s="41">
        <v>0.333333333</v>
      </c>
      <c r="L436" s="41">
        <f t="shared" si="2"/>
        <v>0.217948718</v>
      </c>
      <c r="M436" s="74">
        <v>-4.073770708</v>
      </c>
    </row>
    <row r="437">
      <c r="A437" s="1" t="s">
        <v>194</v>
      </c>
      <c r="B437" s="38">
        <v>666157.0</v>
      </c>
      <c r="C437" s="72">
        <v>45848.0</v>
      </c>
      <c r="D437" s="38">
        <v>89.0</v>
      </c>
      <c r="E437" s="73" t="str">
        <f>IFERROR(__xludf.DUMMYFUNCTION("average(filter('Appearance Sheet'!F:F,'Appearance Sheet'!G:G=B437,'Appearance Sheet'!A:A=C437))"),"#N/A")</f>
        <v>#N/A</v>
      </c>
      <c r="F437" s="67">
        <v>5.401731883</v>
      </c>
      <c r="G437" s="40">
        <v>1.307227984</v>
      </c>
      <c r="H437" s="40" t="str">
        <f t="shared" si="1"/>
        <v>#N/A</v>
      </c>
      <c r="I437" s="41">
        <v>0.516853933</v>
      </c>
      <c r="J437" s="41">
        <v>0.157303371</v>
      </c>
      <c r="K437" s="41">
        <v>0.325842697</v>
      </c>
      <c r="L437" s="41">
        <f t="shared" si="2"/>
        <v>0.191011236</v>
      </c>
      <c r="M437" s="74">
        <v>3.208511208</v>
      </c>
    </row>
    <row r="438">
      <c r="A438" s="1" t="s">
        <v>228</v>
      </c>
      <c r="B438" s="38">
        <v>687473.0</v>
      </c>
      <c r="C438" s="72">
        <v>45765.0</v>
      </c>
      <c r="D438" s="38">
        <v>67.0</v>
      </c>
      <c r="E438" s="73">
        <f>IFERROR(__xludf.DUMMYFUNCTION("average(filter('Appearance Sheet'!F:F,'Appearance Sheet'!G:G=B438,'Appearance Sheet'!A:A=C438))"),5.0)</f>
        <v>5</v>
      </c>
      <c r="F438" s="67">
        <v>5.401669421</v>
      </c>
      <c r="G438" s="40">
        <v>1.032104991</v>
      </c>
      <c r="H438" s="40">
        <f t="shared" si="1"/>
        <v>1.857788984</v>
      </c>
      <c r="I438" s="41">
        <v>0.597014925</v>
      </c>
      <c r="J438" s="41">
        <v>0.164179104</v>
      </c>
      <c r="K438" s="41">
        <v>0.23880597</v>
      </c>
      <c r="L438" s="41">
        <f t="shared" si="2"/>
        <v>0.358208955</v>
      </c>
      <c r="M438" s="74">
        <v>-5.573282632</v>
      </c>
    </row>
    <row r="439">
      <c r="A439" s="1" t="s">
        <v>251</v>
      </c>
      <c r="B439" s="38">
        <v>676664.0</v>
      </c>
      <c r="C439" s="72">
        <v>45798.0</v>
      </c>
      <c r="D439" s="38">
        <v>91.0</v>
      </c>
      <c r="E439" s="73">
        <f>IFERROR(__xludf.DUMMYFUNCTION("average(filter('Appearance Sheet'!F:F,'Appearance Sheet'!G:G=B439,'Appearance Sheet'!A:A=C439))"),5.0)</f>
        <v>5</v>
      </c>
      <c r="F439" s="67">
        <v>5.401310593</v>
      </c>
      <c r="G439" s="40">
        <v>1.354631733</v>
      </c>
      <c r="H439" s="40">
        <f t="shared" si="1"/>
        <v>2.438337119</v>
      </c>
      <c r="I439" s="41">
        <v>0.516483516</v>
      </c>
      <c r="J439" s="41">
        <v>0.186813187</v>
      </c>
      <c r="K439" s="41">
        <v>0.296703297</v>
      </c>
      <c r="L439" s="41">
        <f t="shared" si="2"/>
        <v>0.219780219</v>
      </c>
      <c r="M439" s="74">
        <v>-2.950163041</v>
      </c>
    </row>
    <row r="440">
      <c r="A440" s="1" t="s">
        <v>152</v>
      </c>
      <c r="B440" s="38">
        <v>690916.0</v>
      </c>
      <c r="C440" s="72">
        <v>45860.0</v>
      </c>
      <c r="D440" s="38">
        <v>65.0</v>
      </c>
      <c r="E440" s="73" t="str">
        <f>IFERROR(__xludf.DUMMYFUNCTION("average(filter('Appearance Sheet'!F:F,'Appearance Sheet'!G:G=B440,'Appearance Sheet'!A:A=C440))"),"#N/A")</f>
        <v>#N/A</v>
      </c>
      <c r="F440" s="67">
        <v>5.401079441</v>
      </c>
      <c r="G440" s="40">
        <v>0.968062266</v>
      </c>
      <c r="H440" s="40" t="str">
        <f t="shared" si="1"/>
        <v>#N/A</v>
      </c>
      <c r="I440" s="41">
        <v>0.553846154</v>
      </c>
      <c r="J440" s="41">
        <v>0.184615385</v>
      </c>
      <c r="K440" s="41">
        <v>0.261538462</v>
      </c>
      <c r="L440" s="41">
        <f t="shared" si="2"/>
        <v>0.292307692</v>
      </c>
      <c r="M440" s="74">
        <v>-2.54350284</v>
      </c>
    </row>
    <row r="441">
      <c r="A441" s="1" t="s">
        <v>111</v>
      </c>
      <c r="B441" s="38">
        <v>656641.0</v>
      </c>
      <c r="C441" s="72">
        <v>45827.0</v>
      </c>
      <c r="D441" s="38">
        <v>80.0</v>
      </c>
      <c r="E441" s="73">
        <f>IFERROR(__xludf.DUMMYFUNCTION("average(filter('Appearance Sheet'!F:F,'Appearance Sheet'!G:G=B441,'Appearance Sheet'!A:A=C441))"),5.666666666666667)</f>
        <v>5.666666667</v>
      </c>
      <c r="F441" s="67">
        <v>5.401061902</v>
      </c>
      <c r="G441" s="40">
        <v>1.176847705</v>
      </c>
      <c r="H441" s="40">
        <f t="shared" si="1"/>
        <v>1.869111061</v>
      </c>
      <c r="I441" s="41">
        <v>0.5375</v>
      </c>
      <c r="J441" s="41">
        <v>0.1625</v>
      </c>
      <c r="K441" s="41">
        <v>0.3</v>
      </c>
      <c r="L441" s="41">
        <f t="shared" si="2"/>
        <v>0.2375</v>
      </c>
      <c r="M441" s="74">
        <v>1.782349103</v>
      </c>
    </row>
    <row r="442">
      <c r="A442" s="1" t="s">
        <v>255</v>
      </c>
      <c r="B442" s="38">
        <v>688138.0</v>
      </c>
      <c r="C442" s="72">
        <v>45804.0</v>
      </c>
      <c r="D442" s="38">
        <v>86.0</v>
      </c>
      <c r="E442" s="73">
        <f>IFERROR(__xludf.DUMMYFUNCTION("average(filter('Appearance Sheet'!F:F,'Appearance Sheet'!G:G=B442,'Appearance Sheet'!A:A=C442))"),8.0)</f>
        <v>8</v>
      </c>
      <c r="F442" s="67">
        <v>5.400401335</v>
      </c>
      <c r="G442" s="40">
        <v>1.30698066</v>
      </c>
      <c r="H442" s="40">
        <f t="shared" si="1"/>
        <v>1.470353243</v>
      </c>
      <c r="I442" s="41">
        <v>0.558139535</v>
      </c>
      <c r="J442" s="41">
        <v>0.220930233</v>
      </c>
      <c r="K442" s="41">
        <v>0.220930233</v>
      </c>
      <c r="L442" s="41">
        <f t="shared" si="2"/>
        <v>0.337209302</v>
      </c>
      <c r="M442" s="74">
        <v>1.427337742</v>
      </c>
    </row>
    <row r="443">
      <c r="A443" s="1" t="s">
        <v>272</v>
      </c>
      <c r="B443" s="38">
        <v>622491.0</v>
      </c>
      <c r="C443" s="72">
        <v>45815.0</v>
      </c>
      <c r="D443" s="38">
        <v>94.0</v>
      </c>
      <c r="E443" s="73">
        <f>IFERROR(__xludf.DUMMYFUNCTION("average(filter('Appearance Sheet'!F:F,'Appearance Sheet'!G:G=B443,'Appearance Sheet'!A:A=C443))"),5.0)</f>
        <v>5</v>
      </c>
      <c r="F443" s="67">
        <v>5.399041625</v>
      </c>
      <c r="G443" s="40">
        <v>1.398191529</v>
      </c>
      <c r="H443" s="40">
        <f t="shared" si="1"/>
        <v>2.516744752</v>
      </c>
      <c r="I443" s="41">
        <v>0.531914894</v>
      </c>
      <c r="J443" s="41">
        <v>0.20212766</v>
      </c>
      <c r="K443" s="41">
        <v>0.265957447</v>
      </c>
      <c r="L443" s="41">
        <f t="shared" si="2"/>
        <v>0.265957447</v>
      </c>
      <c r="M443" s="74">
        <v>-2.797685977</v>
      </c>
    </row>
    <row r="444">
      <c r="A444" s="1" t="s">
        <v>267</v>
      </c>
      <c r="B444" s="38">
        <v>669387.0</v>
      </c>
      <c r="C444" s="72">
        <v>45771.0</v>
      </c>
      <c r="D444" s="38">
        <v>73.0</v>
      </c>
      <c r="E444" s="73">
        <f>IFERROR(__xludf.DUMMYFUNCTION("average(filter('Appearance Sheet'!F:F,'Appearance Sheet'!G:G=B444,'Appearance Sheet'!A:A=C444))"),5.0)</f>
        <v>5</v>
      </c>
      <c r="F444" s="67">
        <v>5.398987914</v>
      </c>
      <c r="G444" s="40">
        <v>1.101124062</v>
      </c>
      <c r="H444" s="40">
        <f t="shared" si="1"/>
        <v>1.982023312</v>
      </c>
      <c r="I444" s="41">
        <v>0.534246575</v>
      </c>
      <c r="J444" s="41">
        <v>0.205479452</v>
      </c>
      <c r="K444" s="41">
        <v>0.260273973</v>
      </c>
      <c r="L444" s="41">
        <f t="shared" si="2"/>
        <v>0.273972602</v>
      </c>
      <c r="M444" s="74">
        <v>-0.341028883</v>
      </c>
    </row>
    <row r="445">
      <c r="A445" s="1" t="s">
        <v>133</v>
      </c>
      <c r="B445" s="38">
        <v>663978.0</v>
      </c>
      <c r="C445" s="72">
        <v>45765.0</v>
      </c>
      <c r="D445" s="38">
        <v>88.0</v>
      </c>
      <c r="E445" s="73">
        <f>IFERROR(__xludf.DUMMYFUNCTION("average(filter('Appearance Sheet'!F:F,'Appearance Sheet'!G:G=B445,'Appearance Sheet'!A:A=C445))"),5.0)</f>
        <v>5</v>
      </c>
      <c r="F445" s="67">
        <v>5.398641112</v>
      </c>
      <c r="G445" s="40">
        <v>1.339447738</v>
      </c>
      <c r="H445" s="40">
        <f t="shared" si="1"/>
        <v>2.411005928</v>
      </c>
      <c r="I445" s="41">
        <v>0.545454545</v>
      </c>
      <c r="J445" s="41">
        <v>0.193181818</v>
      </c>
      <c r="K445" s="41">
        <v>0.261363636</v>
      </c>
      <c r="L445" s="41">
        <f t="shared" si="2"/>
        <v>0.284090909</v>
      </c>
      <c r="M445" s="74">
        <v>2.249260981</v>
      </c>
    </row>
    <row r="446">
      <c r="A446" s="1" t="s">
        <v>67</v>
      </c>
      <c r="B446" s="38">
        <v>684007.0</v>
      </c>
      <c r="C446" s="72">
        <v>45734.0</v>
      </c>
      <c r="D446" s="38">
        <v>68.0</v>
      </c>
      <c r="E446" s="73">
        <f>IFERROR(__xludf.DUMMYFUNCTION("average(filter('Appearance Sheet'!F:F,'Appearance Sheet'!G:G=B446,'Appearance Sheet'!A:A=C446))"),4.0)</f>
        <v>4</v>
      </c>
      <c r="F446" s="67">
        <v>5.39828126</v>
      </c>
      <c r="G446" s="40">
        <v>0.993336541</v>
      </c>
      <c r="H446" s="40">
        <f t="shared" si="1"/>
        <v>2.235007217</v>
      </c>
      <c r="I446" s="41">
        <v>0.470588235</v>
      </c>
      <c r="J446" s="41">
        <v>0.220588235</v>
      </c>
      <c r="K446" s="41">
        <v>0.308823529</v>
      </c>
      <c r="L446" s="41">
        <f t="shared" si="2"/>
        <v>0.161764706</v>
      </c>
      <c r="M446" s="74">
        <v>3.764915736</v>
      </c>
    </row>
    <row r="447">
      <c r="A447" s="1" t="s">
        <v>44</v>
      </c>
      <c r="B447" s="38">
        <v>650911.0</v>
      </c>
      <c r="C447" s="72">
        <v>45888.0</v>
      </c>
      <c r="D447" s="38">
        <v>95.0</v>
      </c>
      <c r="E447" s="73" t="str">
        <f>IFERROR(__xludf.DUMMYFUNCTION("average(filter('Appearance Sheet'!F:F,'Appearance Sheet'!G:G=B447,'Appearance Sheet'!A:A=C447))"),"#N/A")</f>
        <v>#N/A</v>
      </c>
      <c r="F447" s="67">
        <v>5.398251441</v>
      </c>
      <c r="G447" s="40">
        <v>1.396424374</v>
      </c>
      <c r="H447" s="40" t="str">
        <f t="shared" si="1"/>
        <v>#N/A</v>
      </c>
      <c r="I447" s="41">
        <v>0.589473684</v>
      </c>
      <c r="J447" s="41">
        <v>0.168421053</v>
      </c>
      <c r="K447" s="41">
        <v>0.242105263</v>
      </c>
      <c r="L447" s="41">
        <f t="shared" si="2"/>
        <v>0.347368421</v>
      </c>
      <c r="M447" s="74">
        <v>-0.720827882</v>
      </c>
    </row>
    <row r="448">
      <c r="A448" s="1" t="s">
        <v>88</v>
      </c>
      <c r="B448" s="38">
        <v>694973.0</v>
      </c>
      <c r="C448" s="72">
        <v>45904.0</v>
      </c>
      <c r="D448" s="38">
        <v>94.0</v>
      </c>
      <c r="E448" s="73" t="str">
        <f>IFERROR(__xludf.DUMMYFUNCTION("average(filter('Appearance Sheet'!F:F,'Appearance Sheet'!G:G=B448,'Appearance Sheet'!A:A=C448))"),"#N/A")</f>
        <v>#N/A</v>
      </c>
      <c r="F448" s="67">
        <v>5.398243773</v>
      </c>
      <c r="G448" s="40">
        <v>1.363369621</v>
      </c>
      <c r="H448" s="40" t="str">
        <f t="shared" si="1"/>
        <v>#N/A</v>
      </c>
      <c r="I448" s="41">
        <v>0.574468085</v>
      </c>
      <c r="J448" s="41">
        <v>0.20212766</v>
      </c>
      <c r="K448" s="41">
        <v>0.223404255</v>
      </c>
      <c r="L448" s="41">
        <f t="shared" si="2"/>
        <v>0.35106383</v>
      </c>
      <c r="M448" s="74">
        <v>3.716434939</v>
      </c>
    </row>
    <row r="449">
      <c r="A449" s="1" t="s">
        <v>194</v>
      </c>
      <c r="B449" s="38">
        <v>666157.0</v>
      </c>
      <c r="C449" s="72">
        <v>45750.0</v>
      </c>
      <c r="D449" s="38">
        <v>81.0</v>
      </c>
      <c r="E449" s="73">
        <f>IFERROR(__xludf.DUMMYFUNCTION("average(filter('Appearance Sheet'!F:F,'Appearance Sheet'!G:G=B449,'Appearance Sheet'!A:A=C449))"),6.666666666666667)</f>
        <v>6.666666667</v>
      </c>
      <c r="F449" s="67">
        <v>5.39776916</v>
      </c>
      <c r="G449" s="40">
        <v>1.230487369</v>
      </c>
      <c r="H449" s="40">
        <f t="shared" si="1"/>
        <v>1.661157948</v>
      </c>
      <c r="I449" s="41">
        <v>0.567901235</v>
      </c>
      <c r="J449" s="41">
        <v>0.135802469</v>
      </c>
      <c r="K449" s="41">
        <v>0.296296296</v>
      </c>
      <c r="L449" s="41">
        <f t="shared" si="2"/>
        <v>0.271604939</v>
      </c>
      <c r="M449" s="74">
        <v>0.636137129</v>
      </c>
    </row>
    <row r="450">
      <c r="A450" s="1" t="s">
        <v>65</v>
      </c>
      <c r="B450" s="38">
        <v>680885.0</v>
      </c>
      <c r="C450" s="72">
        <v>45751.0</v>
      </c>
      <c r="D450" s="38">
        <v>96.0</v>
      </c>
      <c r="E450" s="73">
        <f>IFERROR(__xludf.DUMMYFUNCTION("average(filter('Appearance Sheet'!F:F,'Appearance Sheet'!G:G=B450,'Appearance Sheet'!A:A=C450))"),8.0)</f>
        <v>8</v>
      </c>
      <c r="F450" s="67">
        <v>5.397767019</v>
      </c>
      <c r="G450" s="40">
        <v>1.457610859</v>
      </c>
      <c r="H450" s="40">
        <f t="shared" si="1"/>
        <v>1.639812216</v>
      </c>
      <c r="I450" s="41">
        <v>0.5</v>
      </c>
      <c r="J450" s="41">
        <v>0.21875</v>
      </c>
      <c r="K450" s="41">
        <v>0.28125</v>
      </c>
      <c r="L450" s="41">
        <f t="shared" si="2"/>
        <v>0.21875</v>
      </c>
      <c r="M450" s="74">
        <v>4.989067478</v>
      </c>
    </row>
    <row r="451">
      <c r="A451" s="1" t="s">
        <v>383</v>
      </c>
      <c r="B451" s="38">
        <v>573186.0</v>
      </c>
      <c r="C451" s="72">
        <v>45752.0</v>
      </c>
      <c r="D451" s="38">
        <v>72.0</v>
      </c>
      <c r="E451" s="73">
        <f>IFERROR(__xludf.DUMMYFUNCTION("average(filter('Appearance Sheet'!F:F,'Appearance Sheet'!G:G=B451,'Appearance Sheet'!A:A=C451))"),4.0)</f>
        <v>4</v>
      </c>
      <c r="F451" s="67">
        <v>5.397688424</v>
      </c>
      <c r="G451" s="40">
        <v>1.05862254</v>
      </c>
      <c r="H451" s="40">
        <f t="shared" si="1"/>
        <v>2.381900715</v>
      </c>
      <c r="I451" s="41">
        <v>0.555555556</v>
      </c>
      <c r="J451" s="41">
        <v>0.125</v>
      </c>
      <c r="K451" s="41">
        <v>0.319444444</v>
      </c>
      <c r="L451" s="41">
        <f t="shared" si="2"/>
        <v>0.236111112</v>
      </c>
      <c r="M451" s="74">
        <v>1.192621459</v>
      </c>
    </row>
    <row r="452">
      <c r="A452" s="1" t="s">
        <v>44</v>
      </c>
      <c r="B452" s="38">
        <v>650911.0</v>
      </c>
      <c r="C452" s="72">
        <v>45877.0</v>
      </c>
      <c r="D452" s="38">
        <v>96.0</v>
      </c>
      <c r="E452" s="73" t="str">
        <f>IFERROR(__xludf.DUMMYFUNCTION("average(filter('Appearance Sheet'!F:F,'Appearance Sheet'!G:G=B452,'Appearance Sheet'!A:A=C452))"),"#N/A")</f>
        <v>#N/A</v>
      </c>
      <c r="F452" s="67">
        <v>5.397313508</v>
      </c>
      <c r="G452" s="40">
        <v>1.399749455</v>
      </c>
      <c r="H452" s="40" t="str">
        <f t="shared" si="1"/>
        <v>#N/A</v>
      </c>
      <c r="I452" s="41">
        <v>0.5625</v>
      </c>
      <c r="J452" s="41">
        <v>0.125</v>
      </c>
      <c r="K452" s="41">
        <v>0.3125</v>
      </c>
      <c r="L452" s="41">
        <f t="shared" si="2"/>
        <v>0.25</v>
      </c>
      <c r="M452" s="74">
        <v>0.433344903</v>
      </c>
    </row>
    <row r="453">
      <c r="A453" s="1" t="s">
        <v>432</v>
      </c>
      <c r="B453" s="38">
        <v>669467.0</v>
      </c>
      <c r="C453" s="72">
        <v>45822.0</v>
      </c>
      <c r="D453" s="38">
        <v>81.0</v>
      </c>
      <c r="E453" s="73">
        <f>IFERROR(__xludf.DUMMYFUNCTION("average(filter('Appearance Sheet'!F:F,'Appearance Sheet'!G:G=B453,'Appearance Sheet'!A:A=C453))"),4.333333333333333)</f>
        <v>4.333333333</v>
      </c>
      <c r="F453" s="67">
        <v>5.397202657</v>
      </c>
      <c r="G453" s="40">
        <v>1.215581499</v>
      </c>
      <c r="H453" s="40">
        <f t="shared" si="1"/>
        <v>2.524669267</v>
      </c>
      <c r="I453" s="41">
        <v>0.567901235</v>
      </c>
      <c r="J453" s="41">
        <v>0.135802469</v>
      </c>
      <c r="K453" s="41">
        <v>0.296296296</v>
      </c>
      <c r="L453" s="41">
        <f t="shared" si="2"/>
        <v>0.271604939</v>
      </c>
      <c r="M453" s="74">
        <v>1.242657135</v>
      </c>
    </row>
    <row r="454">
      <c r="A454" s="1" t="s">
        <v>263</v>
      </c>
      <c r="B454" s="38">
        <v>694297.0</v>
      </c>
      <c r="C454" s="72">
        <v>45917.0</v>
      </c>
      <c r="D454" s="38">
        <v>96.0</v>
      </c>
      <c r="E454" s="73" t="str">
        <f>IFERROR(__xludf.DUMMYFUNCTION("average(filter('Appearance Sheet'!F:F,'Appearance Sheet'!G:G=B454,'Appearance Sheet'!A:A=C454))"),"#N/A")</f>
        <v>#N/A</v>
      </c>
      <c r="F454" s="67">
        <v>5.396883125</v>
      </c>
      <c r="G454" s="40">
        <v>1.473332188</v>
      </c>
      <c r="H454" s="40" t="str">
        <f t="shared" si="1"/>
        <v>#N/A</v>
      </c>
      <c r="I454" s="41">
        <v>0.53125</v>
      </c>
      <c r="J454" s="41">
        <v>0.1875</v>
      </c>
      <c r="K454" s="41">
        <v>0.28125</v>
      </c>
      <c r="L454" s="41">
        <f t="shared" si="2"/>
        <v>0.25</v>
      </c>
      <c r="M454" s="74">
        <v>5.886696713</v>
      </c>
    </row>
    <row r="455">
      <c r="A455" s="1" t="s">
        <v>105</v>
      </c>
      <c r="B455" s="38">
        <v>624133.0</v>
      </c>
      <c r="C455" s="72">
        <v>45909.0</v>
      </c>
      <c r="D455" s="38">
        <v>98.0</v>
      </c>
      <c r="E455" s="73" t="str">
        <f>IFERROR(__xludf.DUMMYFUNCTION("average(filter('Appearance Sheet'!F:F,'Appearance Sheet'!G:G=B455,'Appearance Sheet'!A:A=C455))"),"#N/A")</f>
        <v>#N/A</v>
      </c>
      <c r="F455" s="67">
        <v>5.39686678</v>
      </c>
      <c r="G455" s="40">
        <v>1.449296576</v>
      </c>
      <c r="H455" s="40" t="str">
        <f t="shared" si="1"/>
        <v>#N/A</v>
      </c>
      <c r="I455" s="41">
        <v>0.5</v>
      </c>
      <c r="J455" s="41">
        <v>0.244897959</v>
      </c>
      <c r="K455" s="41">
        <v>0.255102041</v>
      </c>
      <c r="L455" s="41">
        <f t="shared" si="2"/>
        <v>0.244897959</v>
      </c>
      <c r="M455" s="74">
        <v>5.475121091</v>
      </c>
    </row>
    <row r="456">
      <c r="A456" s="1" t="s">
        <v>109</v>
      </c>
      <c r="B456" s="38">
        <v>601713.0</v>
      </c>
      <c r="C456" s="72">
        <v>45758.0</v>
      </c>
      <c r="D456" s="38">
        <v>86.0</v>
      </c>
      <c r="E456" s="73">
        <f>IFERROR(__xludf.DUMMYFUNCTION("average(filter('Appearance Sheet'!F:F,'Appearance Sheet'!G:G=B456,'Appearance Sheet'!A:A=C456))"),7.0)</f>
        <v>7</v>
      </c>
      <c r="F456" s="67">
        <v>5.396770677</v>
      </c>
      <c r="G456" s="40">
        <v>1.297415022</v>
      </c>
      <c r="H456" s="40">
        <f t="shared" si="1"/>
        <v>1.668105028</v>
      </c>
      <c r="I456" s="41">
        <v>0.523255814</v>
      </c>
      <c r="J456" s="41">
        <v>0.23255814</v>
      </c>
      <c r="K456" s="41">
        <v>0.244186047</v>
      </c>
      <c r="L456" s="41">
        <f t="shared" si="2"/>
        <v>0.279069767</v>
      </c>
      <c r="M456" s="74">
        <v>1.199452942</v>
      </c>
    </row>
    <row r="457">
      <c r="A457" s="1" t="s">
        <v>148</v>
      </c>
      <c r="B457" s="38">
        <v>592866.0</v>
      </c>
      <c r="C457" s="72">
        <v>45775.0</v>
      </c>
      <c r="D457" s="38">
        <v>99.0</v>
      </c>
      <c r="E457" s="73">
        <f>IFERROR(__xludf.DUMMYFUNCTION("average(filter('Appearance Sheet'!F:F,'Appearance Sheet'!G:G=B457,'Appearance Sheet'!A:A=C457))"),5.333333333333333)</f>
        <v>5.333333333</v>
      </c>
      <c r="F457" s="67">
        <v>5.396696284</v>
      </c>
      <c r="G457" s="40">
        <v>1.461602123</v>
      </c>
      <c r="H457" s="40">
        <f t="shared" si="1"/>
        <v>2.466453583</v>
      </c>
      <c r="I457" s="41">
        <v>0.515151515</v>
      </c>
      <c r="J457" s="41">
        <v>0.232323232</v>
      </c>
      <c r="K457" s="41">
        <v>0.252525253</v>
      </c>
      <c r="L457" s="41">
        <f t="shared" si="2"/>
        <v>0.262626262</v>
      </c>
      <c r="M457" s="74">
        <v>1.212192939</v>
      </c>
    </row>
    <row r="458">
      <c r="A458" s="1" t="s">
        <v>242</v>
      </c>
      <c r="B458" s="38">
        <v>669358.0</v>
      </c>
      <c r="C458" s="72">
        <v>45812.0</v>
      </c>
      <c r="D458" s="38">
        <v>84.0</v>
      </c>
      <c r="E458" s="73">
        <f>IFERROR(__xludf.DUMMYFUNCTION("average(filter('Appearance Sheet'!F:F,'Appearance Sheet'!G:G=B458,'Appearance Sheet'!A:A=C458))"),5.0)</f>
        <v>5</v>
      </c>
      <c r="F458" s="67">
        <v>5.396610247</v>
      </c>
      <c r="G458" s="40">
        <v>1.257799893</v>
      </c>
      <c r="H458" s="40">
        <f t="shared" si="1"/>
        <v>2.264039807</v>
      </c>
      <c r="I458" s="41">
        <v>0.55952381</v>
      </c>
      <c r="J458" s="41">
        <v>0.154761905</v>
      </c>
      <c r="K458" s="41">
        <v>0.285714286</v>
      </c>
      <c r="L458" s="41">
        <f t="shared" si="2"/>
        <v>0.273809524</v>
      </c>
      <c r="M458" s="74">
        <v>-0.170024425</v>
      </c>
    </row>
    <row r="459">
      <c r="A459" s="1" t="s">
        <v>158</v>
      </c>
      <c r="B459" s="38">
        <v>608372.0</v>
      </c>
      <c r="C459" s="72">
        <v>45798.0</v>
      </c>
      <c r="D459" s="38">
        <v>84.0</v>
      </c>
      <c r="E459" s="73">
        <f>IFERROR(__xludf.DUMMYFUNCTION("average(filter('Appearance Sheet'!F:F,'Appearance Sheet'!G:G=B459,'Appearance Sheet'!A:A=C459))"),6.0)</f>
        <v>6</v>
      </c>
      <c r="F459" s="67">
        <v>5.396180657</v>
      </c>
      <c r="G459" s="40">
        <v>1.258806794</v>
      </c>
      <c r="H459" s="40">
        <f t="shared" si="1"/>
        <v>1.888210191</v>
      </c>
      <c r="I459" s="41">
        <v>0.535714286</v>
      </c>
      <c r="J459" s="41">
        <v>0.19047619</v>
      </c>
      <c r="K459" s="41">
        <v>0.273809524</v>
      </c>
      <c r="L459" s="41">
        <f t="shared" si="2"/>
        <v>0.261904762</v>
      </c>
      <c r="M459" s="74">
        <v>0.644947765</v>
      </c>
    </row>
    <row r="460">
      <c r="A460" s="1" t="s">
        <v>88</v>
      </c>
      <c r="B460" s="38">
        <v>694973.0</v>
      </c>
      <c r="C460" s="72">
        <v>45772.0</v>
      </c>
      <c r="D460" s="38">
        <v>103.0</v>
      </c>
      <c r="E460" s="73">
        <f>IFERROR(__xludf.DUMMYFUNCTION("average(filter('Appearance Sheet'!F:F,'Appearance Sheet'!G:G=B460,'Appearance Sheet'!A:A=C460))"),6.333333333333333)</f>
        <v>6.333333333</v>
      </c>
      <c r="F460" s="67">
        <v>5.395821799</v>
      </c>
      <c r="G460" s="40">
        <v>1.507718859</v>
      </c>
      <c r="H460" s="40">
        <f t="shared" si="1"/>
        <v>2.142547852</v>
      </c>
      <c r="I460" s="41">
        <v>0.54368932</v>
      </c>
      <c r="J460" s="41">
        <v>0.126213592</v>
      </c>
      <c r="K460" s="41">
        <v>0.330097087</v>
      </c>
      <c r="L460" s="41">
        <f t="shared" si="2"/>
        <v>0.213592233</v>
      </c>
      <c r="M460" s="74">
        <v>0.90316854</v>
      </c>
    </row>
    <row r="461">
      <c r="A461" s="1" t="s">
        <v>35</v>
      </c>
      <c r="B461" s="38">
        <v>676083.0</v>
      </c>
      <c r="C461" s="72">
        <v>45834.0</v>
      </c>
      <c r="D461" s="38">
        <v>67.0</v>
      </c>
      <c r="E461" s="73">
        <f>IFERROR(__xludf.DUMMYFUNCTION("average(filter('Appearance Sheet'!F:F,'Appearance Sheet'!G:G=B461,'Appearance Sheet'!A:A=C461))"),3.6666666666666665)</f>
        <v>3.666666667</v>
      </c>
      <c r="F461" s="67">
        <v>5.395567871</v>
      </c>
      <c r="G461" s="40">
        <v>1.011730909</v>
      </c>
      <c r="H461" s="40">
        <f t="shared" si="1"/>
        <v>2.483339504</v>
      </c>
      <c r="I461" s="41">
        <v>0.52238806</v>
      </c>
      <c r="J461" s="41">
        <v>0.23880597</v>
      </c>
      <c r="K461" s="41">
        <v>0.23880597</v>
      </c>
      <c r="L461" s="41">
        <f t="shared" si="2"/>
        <v>0.28358209</v>
      </c>
      <c r="M461" s="74">
        <v>-2.595928317</v>
      </c>
    </row>
    <row r="462">
      <c r="A462" s="1" t="s">
        <v>152</v>
      </c>
      <c r="B462" s="38">
        <v>690916.0</v>
      </c>
      <c r="C462" s="72">
        <v>45833.0</v>
      </c>
      <c r="D462" s="38">
        <v>82.0</v>
      </c>
      <c r="E462" s="73">
        <f>IFERROR(__xludf.DUMMYFUNCTION("average(filter('Appearance Sheet'!F:F,'Appearance Sheet'!G:G=B462,'Appearance Sheet'!A:A=C462))"),4.0)</f>
        <v>4</v>
      </c>
      <c r="F462" s="67">
        <v>5.395093526</v>
      </c>
      <c r="G462" s="40">
        <v>1.217386632</v>
      </c>
      <c r="H462" s="40">
        <f t="shared" si="1"/>
        <v>2.739119922</v>
      </c>
      <c r="I462" s="41">
        <v>0.634146341</v>
      </c>
      <c r="J462" s="41">
        <v>0.109756098</v>
      </c>
      <c r="K462" s="41">
        <v>0.256097561</v>
      </c>
      <c r="L462" s="41">
        <f t="shared" si="2"/>
        <v>0.37804878</v>
      </c>
      <c r="M462" s="74">
        <v>0.509860907</v>
      </c>
    </row>
    <row r="463">
      <c r="A463" s="1" t="s">
        <v>255</v>
      </c>
      <c r="B463" s="38">
        <v>688138.0</v>
      </c>
      <c r="C463" s="72">
        <v>45818.0</v>
      </c>
      <c r="D463" s="38">
        <v>85.0</v>
      </c>
      <c r="E463" s="73">
        <f>IFERROR(__xludf.DUMMYFUNCTION("average(filter('Appearance Sheet'!F:F,'Appearance Sheet'!G:G=B463,'Appearance Sheet'!A:A=C463))"),5.0)</f>
        <v>5</v>
      </c>
      <c r="F463" s="67">
        <v>5.394860346</v>
      </c>
      <c r="G463" s="40">
        <v>1.288475829</v>
      </c>
      <c r="H463" s="40">
        <f t="shared" si="1"/>
        <v>2.319256492</v>
      </c>
      <c r="I463" s="41">
        <v>0.494117647</v>
      </c>
      <c r="J463" s="41">
        <v>0.141176471</v>
      </c>
      <c r="K463" s="41">
        <v>0.364705882</v>
      </c>
      <c r="L463" s="41">
        <f t="shared" si="2"/>
        <v>0.129411765</v>
      </c>
      <c r="M463" s="74">
        <v>-2.696795089</v>
      </c>
    </row>
    <row r="464">
      <c r="A464" s="1" t="s">
        <v>85</v>
      </c>
      <c r="B464" s="38">
        <v>808967.0</v>
      </c>
      <c r="C464" s="72">
        <v>45872.0</v>
      </c>
      <c r="D464" s="38">
        <v>88.0</v>
      </c>
      <c r="E464" s="73" t="str">
        <f>IFERROR(__xludf.DUMMYFUNCTION("average(filter('Appearance Sheet'!F:F,'Appearance Sheet'!G:G=B464,'Appearance Sheet'!A:A=C464))"),"#N/A")</f>
        <v>#N/A</v>
      </c>
      <c r="F464" s="67">
        <v>5.394696589</v>
      </c>
      <c r="G464" s="40">
        <v>1.351920905</v>
      </c>
      <c r="H464" s="40" t="str">
        <f t="shared" si="1"/>
        <v>#N/A</v>
      </c>
      <c r="I464" s="41">
        <v>0.522727273</v>
      </c>
      <c r="J464" s="41">
        <v>0.181818182</v>
      </c>
      <c r="K464" s="41">
        <v>0.295454545</v>
      </c>
      <c r="L464" s="41">
        <f t="shared" si="2"/>
        <v>0.227272728</v>
      </c>
      <c r="M464" s="74">
        <v>0.512836126</v>
      </c>
    </row>
    <row r="465">
      <c r="A465" s="1" t="s">
        <v>127</v>
      </c>
      <c r="B465" s="38">
        <v>687765.0</v>
      </c>
      <c r="C465" s="72">
        <v>45840.0</v>
      </c>
      <c r="D465" s="38">
        <v>71.0</v>
      </c>
      <c r="E465" s="73">
        <f>IFERROR(__xludf.DUMMYFUNCTION("average(filter('Appearance Sheet'!F:F,'Appearance Sheet'!G:G=B465,'Appearance Sheet'!A:A=C465))"),5.0)</f>
        <v>5</v>
      </c>
      <c r="F465" s="67">
        <v>5.394320073</v>
      </c>
      <c r="G465" s="40">
        <v>1.073578805</v>
      </c>
      <c r="H465" s="40">
        <f t="shared" si="1"/>
        <v>1.932441849</v>
      </c>
      <c r="I465" s="41">
        <v>0.507042254</v>
      </c>
      <c r="J465" s="41">
        <v>0.169014085</v>
      </c>
      <c r="K465" s="41">
        <v>0.323943662</v>
      </c>
      <c r="L465" s="41">
        <f t="shared" si="2"/>
        <v>0.183098592</v>
      </c>
      <c r="M465" s="74">
        <v>-1.284156291</v>
      </c>
    </row>
    <row r="466">
      <c r="A466" s="1" t="s">
        <v>44</v>
      </c>
      <c r="B466" s="38">
        <v>650911.0</v>
      </c>
      <c r="C466" s="72">
        <v>45910.0</v>
      </c>
      <c r="D466" s="38">
        <v>91.0</v>
      </c>
      <c r="E466" s="73" t="str">
        <f>IFERROR(__xludf.DUMMYFUNCTION("average(filter('Appearance Sheet'!F:F,'Appearance Sheet'!G:G=B466,'Appearance Sheet'!A:A=C466))"),"#N/A")</f>
        <v>#N/A</v>
      </c>
      <c r="F466" s="67">
        <v>5.394234527</v>
      </c>
      <c r="G466" s="40">
        <v>1.318080546</v>
      </c>
      <c r="H466" s="40" t="str">
        <f t="shared" si="1"/>
        <v>#N/A</v>
      </c>
      <c r="I466" s="41">
        <v>0.571428571</v>
      </c>
      <c r="J466" s="41">
        <v>0.087912088</v>
      </c>
      <c r="K466" s="41">
        <v>0.340659341</v>
      </c>
      <c r="L466" s="41">
        <f t="shared" si="2"/>
        <v>0.23076923</v>
      </c>
      <c r="M466" s="74">
        <v>1.29495063</v>
      </c>
    </row>
    <row r="467">
      <c r="A467" s="1" t="s">
        <v>226</v>
      </c>
      <c r="B467" s="38">
        <v>607259.0</v>
      </c>
      <c r="C467" s="72">
        <v>45781.0</v>
      </c>
      <c r="D467" s="38">
        <v>85.0</v>
      </c>
      <c r="E467" s="73">
        <f>IFERROR(__xludf.DUMMYFUNCTION("average(filter('Appearance Sheet'!F:F,'Appearance Sheet'!G:G=B467,'Appearance Sheet'!A:A=C467))"),6.0)</f>
        <v>6</v>
      </c>
      <c r="F467" s="67">
        <v>5.39400424</v>
      </c>
      <c r="G467" s="40">
        <v>1.280617022</v>
      </c>
      <c r="H467" s="40">
        <f t="shared" si="1"/>
        <v>1.920925533</v>
      </c>
      <c r="I467" s="41">
        <v>0.564705882</v>
      </c>
      <c r="J467" s="41">
        <v>0.129411765</v>
      </c>
      <c r="K467" s="41">
        <v>0.305882353</v>
      </c>
      <c r="L467" s="41">
        <f t="shared" si="2"/>
        <v>0.258823529</v>
      </c>
      <c r="M467" s="74">
        <v>0.535748921</v>
      </c>
    </row>
    <row r="468">
      <c r="A468" s="1" t="s">
        <v>251</v>
      </c>
      <c r="B468" s="38">
        <v>676664.0</v>
      </c>
      <c r="C468" s="72">
        <v>45775.0</v>
      </c>
      <c r="D468" s="38">
        <v>83.0</v>
      </c>
      <c r="E468" s="73">
        <f>IFERROR(__xludf.DUMMYFUNCTION("average(filter('Appearance Sheet'!F:F,'Appearance Sheet'!G:G=B468,'Appearance Sheet'!A:A=C468))"),5.666666666666667)</f>
        <v>5.666666667</v>
      </c>
      <c r="F468" s="67">
        <v>5.393988577</v>
      </c>
      <c r="G468" s="40">
        <v>1.253761223</v>
      </c>
      <c r="H468" s="40">
        <f t="shared" si="1"/>
        <v>1.991267825</v>
      </c>
      <c r="I468" s="41">
        <v>0.469879518</v>
      </c>
      <c r="J468" s="41">
        <v>0.228915663</v>
      </c>
      <c r="K468" s="41">
        <v>0.301204819</v>
      </c>
      <c r="L468" s="41">
        <f t="shared" si="2"/>
        <v>0.168674699</v>
      </c>
      <c r="M468" s="74">
        <v>-0.147654443</v>
      </c>
    </row>
    <row r="469">
      <c r="A469" s="1" t="s">
        <v>329</v>
      </c>
      <c r="B469" s="38">
        <v>669160.0</v>
      </c>
      <c r="C469" s="72">
        <v>45761.0</v>
      </c>
      <c r="D469" s="38">
        <v>73.0</v>
      </c>
      <c r="E469" s="73">
        <f>IFERROR(__xludf.DUMMYFUNCTION("average(filter('Appearance Sheet'!F:F,'Appearance Sheet'!G:G=B469,'Appearance Sheet'!A:A=C469))"),6.0)</f>
        <v>6</v>
      </c>
      <c r="F469" s="67">
        <v>5.393944516</v>
      </c>
      <c r="G469" s="40">
        <v>1.094148899</v>
      </c>
      <c r="H469" s="40">
        <f t="shared" si="1"/>
        <v>1.641223349</v>
      </c>
      <c r="I469" s="41">
        <v>0.493150685</v>
      </c>
      <c r="J469" s="41">
        <v>0.191780822</v>
      </c>
      <c r="K469" s="41">
        <v>0.315068493</v>
      </c>
      <c r="L469" s="41">
        <f t="shared" si="2"/>
        <v>0.178082192</v>
      </c>
      <c r="M469" s="74">
        <v>1.339113041</v>
      </c>
    </row>
    <row r="470">
      <c r="A470" s="1" t="s">
        <v>281</v>
      </c>
      <c r="B470" s="38">
        <v>622663.0</v>
      </c>
      <c r="C470" s="72">
        <v>45794.0</v>
      </c>
      <c r="D470" s="38">
        <v>94.0</v>
      </c>
      <c r="E470" s="73">
        <f>IFERROR(__xludf.DUMMYFUNCTION("average(filter('Appearance Sheet'!F:F,'Appearance Sheet'!G:G=B470,'Appearance Sheet'!A:A=C470))"),6.0)</f>
        <v>6</v>
      </c>
      <c r="F470" s="67">
        <v>5.393172218</v>
      </c>
      <c r="G470" s="40">
        <v>1.40650516</v>
      </c>
      <c r="H470" s="40">
        <f t="shared" si="1"/>
        <v>2.10975774</v>
      </c>
      <c r="I470" s="41">
        <v>0.5</v>
      </c>
      <c r="J470" s="41">
        <v>0.244680851</v>
      </c>
      <c r="K470" s="41">
        <v>0.255319149</v>
      </c>
      <c r="L470" s="41">
        <f t="shared" si="2"/>
        <v>0.244680851</v>
      </c>
      <c r="M470" s="74">
        <v>1.818479452</v>
      </c>
    </row>
    <row r="471">
      <c r="A471" s="1" t="s">
        <v>459</v>
      </c>
      <c r="B471" s="38">
        <v>664062.0</v>
      </c>
      <c r="C471" s="72">
        <v>45777.0</v>
      </c>
      <c r="D471" s="38">
        <v>77.0</v>
      </c>
      <c r="E471" s="73">
        <f>IFERROR(__xludf.DUMMYFUNCTION("average(filter('Appearance Sheet'!F:F,'Appearance Sheet'!G:G=B471,'Appearance Sheet'!A:A=C471))"),6.0)</f>
        <v>6</v>
      </c>
      <c r="F471" s="67">
        <v>5.393090408</v>
      </c>
      <c r="G471" s="40">
        <v>1.208942589</v>
      </c>
      <c r="H471" s="40">
        <f t="shared" si="1"/>
        <v>1.813413884</v>
      </c>
      <c r="I471" s="41">
        <v>0.532467532</v>
      </c>
      <c r="J471" s="41">
        <v>0.207792208</v>
      </c>
      <c r="K471" s="41">
        <v>0.25974026</v>
      </c>
      <c r="L471" s="41">
        <f t="shared" si="2"/>
        <v>0.272727272</v>
      </c>
      <c r="M471" s="74">
        <v>-1.434282538</v>
      </c>
    </row>
    <row r="472">
      <c r="A472" s="1" t="s">
        <v>85</v>
      </c>
      <c r="B472" s="38">
        <v>808967.0</v>
      </c>
      <c r="C472" s="72">
        <v>45866.0</v>
      </c>
      <c r="D472" s="38">
        <v>99.0</v>
      </c>
      <c r="E472" s="73" t="str">
        <f>IFERROR(__xludf.DUMMYFUNCTION("average(filter('Appearance Sheet'!F:F,'Appearance Sheet'!G:G=B472,'Appearance Sheet'!A:A=C472))"),"#N/A")</f>
        <v>#N/A</v>
      </c>
      <c r="F472" s="67">
        <v>5.392792609</v>
      </c>
      <c r="G472" s="40">
        <v>1.503865555</v>
      </c>
      <c r="H472" s="40" t="str">
        <f t="shared" si="1"/>
        <v>#N/A</v>
      </c>
      <c r="I472" s="41">
        <v>0.525252525</v>
      </c>
      <c r="J472" s="41">
        <v>0.181818182</v>
      </c>
      <c r="K472" s="41">
        <v>0.292929293</v>
      </c>
      <c r="L472" s="41">
        <f t="shared" si="2"/>
        <v>0.232323232</v>
      </c>
      <c r="M472" s="74">
        <v>1.469672429</v>
      </c>
    </row>
    <row r="473">
      <c r="A473" s="1" t="s">
        <v>147</v>
      </c>
      <c r="B473" s="38">
        <v>608379.0</v>
      </c>
      <c r="C473" s="72">
        <v>45921.0</v>
      </c>
      <c r="D473" s="38">
        <v>85.0</v>
      </c>
      <c r="E473" s="73" t="str">
        <f>IFERROR(__xludf.DUMMYFUNCTION("average(filter('Appearance Sheet'!F:F,'Appearance Sheet'!G:G=B473,'Appearance Sheet'!A:A=C473))"),"#N/A")</f>
        <v>#N/A</v>
      </c>
      <c r="F473" s="67">
        <v>5.39205113</v>
      </c>
      <c r="G473" s="40">
        <v>1.273586512</v>
      </c>
      <c r="H473" s="40" t="str">
        <f t="shared" si="1"/>
        <v>#N/A</v>
      </c>
      <c r="I473" s="41">
        <v>0.494117647</v>
      </c>
      <c r="J473" s="41">
        <v>0.164705882</v>
      </c>
      <c r="K473" s="41">
        <v>0.341176471</v>
      </c>
      <c r="L473" s="41">
        <f t="shared" si="2"/>
        <v>0.152941176</v>
      </c>
      <c r="M473" s="74">
        <v>-0.776954839</v>
      </c>
    </row>
    <row r="474">
      <c r="A474" s="1" t="s">
        <v>353</v>
      </c>
      <c r="B474" s="38">
        <v>663903.0</v>
      </c>
      <c r="C474" s="72">
        <v>45770.0</v>
      </c>
      <c r="D474" s="38">
        <v>85.0</v>
      </c>
      <c r="E474" s="73">
        <f>IFERROR(__xludf.DUMMYFUNCTION("average(filter('Appearance Sheet'!F:F,'Appearance Sheet'!G:G=B474,'Appearance Sheet'!A:A=C474))"),6.0)</f>
        <v>6</v>
      </c>
      <c r="F474" s="67">
        <v>5.391987223</v>
      </c>
      <c r="G474" s="40">
        <v>1.28421505</v>
      </c>
      <c r="H474" s="40">
        <f t="shared" si="1"/>
        <v>1.926322575</v>
      </c>
      <c r="I474" s="41">
        <v>0.576470588</v>
      </c>
      <c r="J474" s="41">
        <v>0.2</v>
      </c>
      <c r="K474" s="41">
        <v>0.223529412</v>
      </c>
      <c r="L474" s="41">
        <f t="shared" si="2"/>
        <v>0.352941176</v>
      </c>
      <c r="M474" s="74">
        <v>1.155813967</v>
      </c>
    </row>
    <row r="475">
      <c r="A475" s="1" t="s">
        <v>221</v>
      </c>
      <c r="B475" s="38">
        <v>668964.0</v>
      </c>
      <c r="C475" s="72">
        <v>45782.0</v>
      </c>
      <c r="D475" s="38">
        <v>79.0</v>
      </c>
      <c r="E475" s="73">
        <f>IFERROR(__xludf.DUMMYFUNCTION("average(filter('Appearance Sheet'!F:F,'Appearance Sheet'!G:G=B475,'Appearance Sheet'!A:A=C475))"),5.333333333333333)</f>
        <v>5.333333333</v>
      </c>
      <c r="F475" s="67">
        <v>5.391775578</v>
      </c>
      <c r="G475" s="40">
        <v>1.209527583</v>
      </c>
      <c r="H475" s="40">
        <f t="shared" si="1"/>
        <v>2.041077796</v>
      </c>
      <c r="I475" s="41">
        <v>0.506329114</v>
      </c>
      <c r="J475" s="41">
        <v>0.227848101</v>
      </c>
      <c r="K475" s="41">
        <v>0.265822785</v>
      </c>
      <c r="L475" s="41">
        <f t="shared" si="2"/>
        <v>0.240506329</v>
      </c>
      <c r="M475" s="74">
        <v>-1.823877677</v>
      </c>
    </row>
    <row r="476">
      <c r="A476" s="1" t="s">
        <v>301</v>
      </c>
      <c r="B476" s="38">
        <v>656557.0</v>
      </c>
      <c r="C476" s="72">
        <v>45767.0</v>
      </c>
      <c r="D476" s="38">
        <v>89.0</v>
      </c>
      <c r="E476" s="73">
        <f>IFERROR(__xludf.DUMMYFUNCTION("average(filter('Appearance Sheet'!F:F,'Appearance Sheet'!G:G=B476,'Appearance Sheet'!A:A=C476))"),6.0)</f>
        <v>6</v>
      </c>
      <c r="F476" s="67">
        <v>5.391379428</v>
      </c>
      <c r="G476" s="40">
        <v>1.284824582</v>
      </c>
      <c r="H476" s="40">
        <f t="shared" si="1"/>
        <v>1.927236873</v>
      </c>
      <c r="I476" s="41">
        <v>0.561797753</v>
      </c>
      <c r="J476" s="41">
        <v>0.08988764</v>
      </c>
      <c r="K476" s="41">
        <v>0.348314607</v>
      </c>
      <c r="L476" s="41">
        <f t="shared" si="2"/>
        <v>0.213483146</v>
      </c>
      <c r="M476" s="74">
        <v>2.346032157</v>
      </c>
    </row>
    <row r="477">
      <c r="A477" s="1" t="s">
        <v>85</v>
      </c>
      <c r="B477" s="38">
        <v>808967.0</v>
      </c>
      <c r="C477" s="72">
        <v>45734.0</v>
      </c>
      <c r="D477" s="38">
        <v>66.0</v>
      </c>
      <c r="E477" s="73">
        <f>IFERROR(__xludf.DUMMYFUNCTION("average(filter('Appearance Sheet'!F:F,'Appearance Sheet'!G:G=B477,'Appearance Sheet'!A:A=C477))"),5.0)</f>
        <v>5</v>
      </c>
      <c r="F477" s="67">
        <v>5.391312408</v>
      </c>
      <c r="G477" s="40">
        <v>1.004966799</v>
      </c>
      <c r="H477" s="40">
        <f t="shared" si="1"/>
        <v>1.808940238</v>
      </c>
      <c r="I477" s="41">
        <v>0.545454545</v>
      </c>
      <c r="J477" s="41">
        <v>0.181818182</v>
      </c>
      <c r="K477" s="41">
        <v>0.272727273</v>
      </c>
      <c r="L477" s="41">
        <f t="shared" si="2"/>
        <v>0.272727272</v>
      </c>
      <c r="M477" s="74">
        <v>0.506933519</v>
      </c>
    </row>
    <row r="478">
      <c r="A478" s="1" t="s">
        <v>179</v>
      </c>
      <c r="B478" s="38">
        <v>663568.0</v>
      </c>
      <c r="C478" s="72">
        <v>45899.0</v>
      </c>
      <c r="D478" s="38">
        <v>69.0</v>
      </c>
      <c r="E478" s="73" t="str">
        <f>IFERROR(__xludf.DUMMYFUNCTION("average(filter('Appearance Sheet'!F:F,'Appearance Sheet'!G:G=B478,'Appearance Sheet'!A:A=C478))"),"#N/A")</f>
        <v>#N/A</v>
      </c>
      <c r="F478" s="67">
        <v>5.391251861</v>
      </c>
      <c r="G478" s="40">
        <v>1.056945646</v>
      </c>
      <c r="H478" s="40" t="str">
        <f t="shared" si="1"/>
        <v>#N/A</v>
      </c>
      <c r="I478" s="41">
        <v>0.492753623</v>
      </c>
      <c r="J478" s="41">
        <v>0.15942029</v>
      </c>
      <c r="K478" s="41">
        <v>0.347826087</v>
      </c>
      <c r="L478" s="41">
        <f t="shared" si="2"/>
        <v>0.144927536</v>
      </c>
      <c r="M478" s="74">
        <v>0.767438094</v>
      </c>
    </row>
    <row r="479">
      <c r="A479" s="1" t="s">
        <v>99</v>
      </c>
      <c r="B479" s="38">
        <v>592791.0</v>
      </c>
      <c r="C479" s="72">
        <v>45744.0</v>
      </c>
      <c r="D479" s="38">
        <v>77.0</v>
      </c>
      <c r="E479" s="73">
        <f>IFERROR(__xludf.DUMMYFUNCTION("average(filter('Appearance Sheet'!F:F,'Appearance Sheet'!G:G=B479,'Appearance Sheet'!A:A=C479))"),4.333333333333333)</f>
        <v>4.333333333</v>
      </c>
      <c r="F479" s="67">
        <v>5.391099041</v>
      </c>
      <c r="G479" s="40">
        <v>1.177645361</v>
      </c>
      <c r="H479" s="40">
        <f t="shared" si="1"/>
        <v>2.445878827</v>
      </c>
      <c r="I479" s="41">
        <v>0.545454545</v>
      </c>
      <c r="J479" s="41">
        <v>0.12987013</v>
      </c>
      <c r="K479" s="41">
        <v>0.324675325</v>
      </c>
      <c r="L479" s="41">
        <f t="shared" si="2"/>
        <v>0.22077922</v>
      </c>
      <c r="M479" s="74">
        <v>-4.807384766</v>
      </c>
    </row>
    <row r="480">
      <c r="A480" s="1" t="s">
        <v>93</v>
      </c>
      <c r="B480" s="38">
        <v>669194.0</v>
      </c>
      <c r="C480" s="72">
        <v>45868.0</v>
      </c>
      <c r="D480" s="38">
        <v>88.0</v>
      </c>
      <c r="E480" s="73" t="str">
        <f>IFERROR(__xludf.DUMMYFUNCTION("average(filter('Appearance Sheet'!F:F,'Appearance Sheet'!G:G=B480,'Appearance Sheet'!A:A=C480))"),"#N/A")</f>
        <v>#N/A</v>
      </c>
      <c r="F480" s="67">
        <v>5.391085554</v>
      </c>
      <c r="G480" s="40">
        <v>1.317618357</v>
      </c>
      <c r="H480" s="40" t="str">
        <f t="shared" si="1"/>
        <v>#N/A</v>
      </c>
      <c r="I480" s="41">
        <v>0.556818182</v>
      </c>
      <c r="J480" s="41">
        <v>0.181818182</v>
      </c>
      <c r="K480" s="41">
        <v>0.261363636</v>
      </c>
      <c r="L480" s="41">
        <f t="shared" si="2"/>
        <v>0.295454546</v>
      </c>
      <c r="M480" s="74">
        <v>-0.890875861</v>
      </c>
    </row>
    <row r="481">
      <c r="A481" s="1" t="s">
        <v>77</v>
      </c>
      <c r="B481" s="38">
        <v>657277.0</v>
      </c>
      <c r="C481" s="72">
        <v>45833.0</v>
      </c>
      <c r="D481" s="38">
        <v>101.0</v>
      </c>
      <c r="E481" s="73">
        <f>IFERROR(__xludf.DUMMYFUNCTION("average(filter('Appearance Sheet'!F:F,'Appearance Sheet'!G:G=B481,'Appearance Sheet'!A:A=C481))"),6.0)</f>
        <v>6</v>
      </c>
      <c r="F481" s="67">
        <v>5.389663327</v>
      </c>
      <c r="G481" s="40">
        <v>1.488315171</v>
      </c>
      <c r="H481" s="40">
        <f t="shared" si="1"/>
        <v>2.232472757</v>
      </c>
      <c r="I481" s="41">
        <v>0.544554455</v>
      </c>
      <c r="J481" s="41">
        <v>0.217821782</v>
      </c>
      <c r="K481" s="41">
        <v>0.237623762</v>
      </c>
      <c r="L481" s="41">
        <f t="shared" si="2"/>
        <v>0.306930693</v>
      </c>
      <c r="M481" s="74">
        <v>0.6302606</v>
      </c>
    </row>
    <row r="482">
      <c r="A482" s="1" t="s">
        <v>171</v>
      </c>
      <c r="B482" s="38">
        <v>665795.0</v>
      </c>
      <c r="C482" s="72">
        <v>45899.0</v>
      </c>
      <c r="D482" s="38">
        <v>79.0</v>
      </c>
      <c r="E482" s="73" t="str">
        <f>IFERROR(__xludf.DUMMYFUNCTION("average(filter('Appearance Sheet'!F:F,'Appearance Sheet'!G:G=B482,'Appearance Sheet'!A:A=C482))"),"#N/A")</f>
        <v>#N/A</v>
      </c>
      <c r="F482" s="67">
        <v>5.389410822</v>
      </c>
      <c r="G482" s="40">
        <v>1.182120383</v>
      </c>
      <c r="H482" s="40" t="str">
        <f t="shared" si="1"/>
        <v>#N/A</v>
      </c>
      <c r="I482" s="41">
        <v>0.594936709</v>
      </c>
      <c r="J482" s="41">
        <v>0.164556962</v>
      </c>
      <c r="K482" s="41">
        <v>0.240506329</v>
      </c>
      <c r="L482" s="41">
        <f t="shared" si="2"/>
        <v>0.35443038</v>
      </c>
      <c r="M482" s="74">
        <v>-3.284799211</v>
      </c>
    </row>
    <row r="483">
      <c r="A483" s="1" t="s">
        <v>88</v>
      </c>
      <c r="B483" s="38">
        <v>694973.0</v>
      </c>
      <c r="C483" s="72">
        <v>45749.0</v>
      </c>
      <c r="D483" s="38">
        <v>101.0</v>
      </c>
      <c r="E483" s="73">
        <f>IFERROR(__xludf.DUMMYFUNCTION("average(filter('Appearance Sheet'!F:F,'Appearance Sheet'!G:G=B483,'Appearance Sheet'!A:A=C483))"),7.0)</f>
        <v>7</v>
      </c>
      <c r="F483" s="67">
        <v>5.389281072</v>
      </c>
      <c r="G483" s="40">
        <v>1.511994635</v>
      </c>
      <c r="H483" s="40">
        <f t="shared" si="1"/>
        <v>1.943993102</v>
      </c>
      <c r="I483" s="41">
        <v>0.504950495</v>
      </c>
      <c r="J483" s="41">
        <v>0.178217822</v>
      </c>
      <c r="K483" s="41">
        <v>0.316831683</v>
      </c>
      <c r="L483" s="41">
        <f t="shared" si="2"/>
        <v>0.188118812</v>
      </c>
      <c r="M483" s="74">
        <v>3.303976064</v>
      </c>
    </row>
    <row r="484">
      <c r="A484" s="1" t="s">
        <v>133</v>
      </c>
      <c r="B484" s="38">
        <v>663978.0</v>
      </c>
      <c r="C484" s="72">
        <v>45786.0</v>
      </c>
      <c r="D484" s="38">
        <v>82.0</v>
      </c>
      <c r="E484" s="73">
        <f>IFERROR(__xludf.DUMMYFUNCTION("average(filter('Appearance Sheet'!F:F,'Appearance Sheet'!G:G=B484,'Appearance Sheet'!A:A=C484))"),7.333333333333333)</f>
        <v>7.333333333</v>
      </c>
      <c r="F484" s="67">
        <v>5.389237086</v>
      </c>
      <c r="G484" s="40">
        <v>1.274832582</v>
      </c>
      <c r="H484" s="40">
        <f t="shared" si="1"/>
        <v>1.56456726</v>
      </c>
      <c r="I484" s="41">
        <v>0.524390244</v>
      </c>
      <c r="J484" s="41">
        <v>0.158536585</v>
      </c>
      <c r="K484" s="41">
        <v>0.317073171</v>
      </c>
      <c r="L484" s="41">
        <f t="shared" si="2"/>
        <v>0.207317073</v>
      </c>
      <c r="M484" s="74">
        <v>2.043673338</v>
      </c>
    </row>
    <row r="485">
      <c r="A485" s="1" t="s">
        <v>456</v>
      </c>
      <c r="B485" s="38">
        <v>605135.0</v>
      </c>
      <c r="C485" s="72">
        <v>45752.0</v>
      </c>
      <c r="D485" s="38">
        <v>88.0</v>
      </c>
      <c r="E485" s="73">
        <f>IFERROR(__xludf.DUMMYFUNCTION("average(filter('Appearance Sheet'!F:F,'Appearance Sheet'!G:G=B485,'Appearance Sheet'!A:A=C485))"),6.666666666666667)</f>
        <v>6.666666667</v>
      </c>
      <c r="F485" s="67">
        <v>5.389080962</v>
      </c>
      <c r="G485" s="40">
        <v>1.318742392</v>
      </c>
      <c r="H485" s="40">
        <f t="shared" si="1"/>
        <v>1.780302229</v>
      </c>
      <c r="I485" s="41">
        <v>0.545454545</v>
      </c>
      <c r="J485" s="41">
        <v>0.136363636</v>
      </c>
      <c r="K485" s="41">
        <v>0.318181818</v>
      </c>
      <c r="L485" s="41">
        <f t="shared" si="2"/>
        <v>0.227272727</v>
      </c>
      <c r="M485" s="74">
        <v>1.408839478</v>
      </c>
    </row>
    <row r="486">
      <c r="A486" s="1" t="s">
        <v>189</v>
      </c>
      <c r="B486" s="38">
        <v>607536.0</v>
      </c>
      <c r="C486" s="72">
        <v>45807.0</v>
      </c>
      <c r="D486" s="38">
        <v>85.0</v>
      </c>
      <c r="E486" s="73">
        <f>IFERROR(__xludf.DUMMYFUNCTION("average(filter('Appearance Sheet'!F:F,'Appearance Sheet'!G:G=B486,'Appearance Sheet'!A:A=C486))"),6.0)</f>
        <v>6</v>
      </c>
      <c r="F486" s="67">
        <v>5.388728129</v>
      </c>
      <c r="G486" s="40">
        <v>1.301196551</v>
      </c>
      <c r="H486" s="40">
        <f t="shared" si="1"/>
        <v>1.951794827</v>
      </c>
      <c r="I486" s="41">
        <v>0.576470588</v>
      </c>
      <c r="J486" s="41">
        <v>0.164705882</v>
      </c>
      <c r="K486" s="41">
        <v>0.258823529</v>
      </c>
      <c r="L486" s="41">
        <f t="shared" si="2"/>
        <v>0.317647059</v>
      </c>
      <c r="M486" s="74">
        <v>-1.80815801</v>
      </c>
    </row>
    <row r="487">
      <c r="A487" s="1" t="s">
        <v>99</v>
      </c>
      <c r="B487" s="38">
        <v>592791.0</v>
      </c>
      <c r="C487" s="72">
        <v>45786.0</v>
      </c>
      <c r="D487" s="38">
        <v>98.0</v>
      </c>
      <c r="E487" s="73">
        <f>IFERROR(__xludf.DUMMYFUNCTION("average(filter('Appearance Sheet'!F:F,'Appearance Sheet'!G:G=B487,'Appearance Sheet'!A:A=C487))"),4.0)</f>
        <v>4</v>
      </c>
      <c r="F487" s="67">
        <v>5.388356828</v>
      </c>
      <c r="G487" s="40">
        <v>1.46993841</v>
      </c>
      <c r="H487" s="40">
        <f t="shared" si="1"/>
        <v>3.307361423</v>
      </c>
      <c r="I487" s="41">
        <v>0.56122449</v>
      </c>
      <c r="J487" s="41">
        <v>0.183673469</v>
      </c>
      <c r="K487" s="41">
        <v>0.255102041</v>
      </c>
      <c r="L487" s="41">
        <f t="shared" si="2"/>
        <v>0.306122449</v>
      </c>
      <c r="M487" s="74">
        <v>-2.487387497</v>
      </c>
    </row>
    <row r="488">
      <c r="A488" s="1" t="s">
        <v>163</v>
      </c>
      <c r="B488" s="38">
        <v>663460.0</v>
      </c>
      <c r="C488" s="72">
        <v>45796.0</v>
      </c>
      <c r="D488" s="38">
        <v>89.0</v>
      </c>
      <c r="E488" s="73">
        <f>IFERROR(__xludf.DUMMYFUNCTION("average(filter('Appearance Sheet'!F:F,'Appearance Sheet'!G:G=B488,'Appearance Sheet'!A:A=C488))"),7.0)</f>
        <v>7</v>
      </c>
      <c r="F488" s="67">
        <v>5.387591581</v>
      </c>
      <c r="G488" s="40">
        <v>1.36423726</v>
      </c>
      <c r="H488" s="40">
        <f t="shared" si="1"/>
        <v>1.754019334</v>
      </c>
      <c r="I488" s="41">
        <v>0.573033708</v>
      </c>
      <c r="J488" s="41">
        <v>0.123595506</v>
      </c>
      <c r="K488" s="41">
        <v>0.303370787</v>
      </c>
      <c r="L488" s="41">
        <f t="shared" si="2"/>
        <v>0.269662921</v>
      </c>
      <c r="M488" s="74">
        <v>3.201314478</v>
      </c>
    </row>
    <row r="489">
      <c r="A489" s="1" t="s">
        <v>147</v>
      </c>
      <c r="B489" s="38">
        <v>608379.0</v>
      </c>
      <c r="C489" s="72">
        <v>45870.0</v>
      </c>
      <c r="D489" s="38">
        <v>95.0</v>
      </c>
      <c r="E489" s="73" t="str">
        <f>IFERROR(__xludf.DUMMYFUNCTION("average(filter('Appearance Sheet'!F:F,'Appearance Sheet'!G:G=B489,'Appearance Sheet'!A:A=C489))"),"#N/A")</f>
        <v>#N/A</v>
      </c>
      <c r="F489" s="67">
        <v>5.387491008</v>
      </c>
      <c r="G489" s="40">
        <v>1.42662438</v>
      </c>
      <c r="H489" s="40" t="str">
        <f t="shared" si="1"/>
        <v>#N/A</v>
      </c>
      <c r="I489" s="41">
        <v>0.589473684</v>
      </c>
      <c r="J489" s="41">
        <v>0.136842105</v>
      </c>
      <c r="K489" s="41">
        <v>0.273684211</v>
      </c>
      <c r="L489" s="41">
        <f t="shared" si="2"/>
        <v>0.315789473</v>
      </c>
      <c r="M489" s="74">
        <v>3.126946146</v>
      </c>
    </row>
    <row r="490">
      <c r="A490" s="1" t="s">
        <v>85</v>
      </c>
      <c r="B490" s="38">
        <v>808967.0</v>
      </c>
      <c r="C490" s="72">
        <v>45906.0</v>
      </c>
      <c r="D490" s="38">
        <v>111.0</v>
      </c>
      <c r="E490" s="73" t="str">
        <f>IFERROR(__xludf.DUMMYFUNCTION("average(filter('Appearance Sheet'!F:F,'Appearance Sheet'!G:G=B490,'Appearance Sheet'!A:A=C490))"),"#N/A")</f>
        <v>#N/A</v>
      </c>
      <c r="F490" s="67">
        <v>5.387008237</v>
      </c>
      <c r="G490" s="40">
        <v>1.695455631</v>
      </c>
      <c r="H490" s="40" t="str">
        <f t="shared" si="1"/>
        <v>#N/A</v>
      </c>
      <c r="I490" s="41">
        <v>0.567567568</v>
      </c>
      <c r="J490" s="41">
        <v>0.162162162</v>
      </c>
      <c r="K490" s="41">
        <v>0.27027027</v>
      </c>
      <c r="L490" s="41">
        <f t="shared" si="2"/>
        <v>0.297297298</v>
      </c>
      <c r="M490" s="74">
        <v>4.425152093</v>
      </c>
    </row>
    <row r="491">
      <c r="A491" s="1" t="s">
        <v>35</v>
      </c>
      <c r="B491" s="38">
        <v>676083.0</v>
      </c>
      <c r="C491" s="72">
        <v>45919.0</v>
      </c>
      <c r="D491" s="38">
        <v>86.0</v>
      </c>
      <c r="E491" s="73" t="str">
        <f>IFERROR(__xludf.DUMMYFUNCTION("average(filter('Appearance Sheet'!F:F,'Appearance Sheet'!G:G=B491,'Appearance Sheet'!A:A=C491))"),"#N/A")</f>
        <v>#N/A</v>
      </c>
      <c r="F491" s="67">
        <v>5.386860399</v>
      </c>
      <c r="G491" s="40">
        <v>1.310979269</v>
      </c>
      <c r="H491" s="40" t="str">
        <f t="shared" si="1"/>
        <v>#N/A</v>
      </c>
      <c r="I491" s="41">
        <v>0.558139535</v>
      </c>
      <c r="J491" s="41">
        <v>0.174418605</v>
      </c>
      <c r="K491" s="41">
        <v>0.26744186</v>
      </c>
      <c r="L491" s="41">
        <f t="shared" si="2"/>
        <v>0.290697675</v>
      </c>
      <c r="M491" s="74">
        <v>3.592667479</v>
      </c>
    </row>
    <row r="492">
      <c r="A492" s="1" t="s">
        <v>88</v>
      </c>
      <c r="B492" s="38">
        <v>694973.0</v>
      </c>
      <c r="C492" s="72">
        <v>45839.0</v>
      </c>
      <c r="D492" s="38">
        <v>85.0</v>
      </c>
      <c r="E492" s="73">
        <f>IFERROR(__xludf.DUMMYFUNCTION("average(filter('Appearance Sheet'!F:F,'Appearance Sheet'!G:G=B492,'Appearance Sheet'!A:A=C492))"),5.0)</f>
        <v>5</v>
      </c>
      <c r="F492" s="67">
        <v>5.38676739</v>
      </c>
      <c r="G492" s="40">
        <v>1.258869708</v>
      </c>
      <c r="H492" s="40">
        <f t="shared" si="1"/>
        <v>2.265965474</v>
      </c>
      <c r="I492" s="41">
        <v>0.517647059</v>
      </c>
      <c r="J492" s="41">
        <v>0.211764706</v>
      </c>
      <c r="K492" s="41">
        <v>0.270588235</v>
      </c>
      <c r="L492" s="41">
        <f t="shared" si="2"/>
        <v>0.247058824</v>
      </c>
      <c r="M492" s="74">
        <v>0.758709835</v>
      </c>
    </row>
    <row r="493">
      <c r="A493" s="1" t="s">
        <v>84</v>
      </c>
      <c r="B493" s="38">
        <v>669373.0</v>
      </c>
      <c r="C493" s="72">
        <v>45877.0</v>
      </c>
      <c r="D493" s="38">
        <v>89.0</v>
      </c>
      <c r="E493" s="73" t="str">
        <f>IFERROR(__xludf.DUMMYFUNCTION("average(filter('Appearance Sheet'!F:F,'Appearance Sheet'!G:G=B493,'Appearance Sheet'!A:A=C493))"),"#N/A")</f>
        <v>#N/A</v>
      </c>
      <c r="F493" s="67">
        <v>5.386155691</v>
      </c>
      <c r="G493" s="40">
        <v>1.363335034</v>
      </c>
      <c r="H493" s="40" t="str">
        <f t="shared" si="1"/>
        <v>#N/A</v>
      </c>
      <c r="I493" s="41">
        <v>0.561797753</v>
      </c>
      <c r="J493" s="41">
        <v>0.179775281</v>
      </c>
      <c r="K493" s="41">
        <v>0.258426966</v>
      </c>
      <c r="L493" s="41">
        <f t="shared" si="2"/>
        <v>0.303370787</v>
      </c>
      <c r="M493" s="74">
        <v>-0.005590664</v>
      </c>
    </row>
    <row r="494">
      <c r="A494" s="1" t="s">
        <v>445</v>
      </c>
      <c r="B494" s="38">
        <v>663855.0</v>
      </c>
      <c r="C494" s="72">
        <v>45747.0</v>
      </c>
      <c r="D494" s="38">
        <v>69.0</v>
      </c>
      <c r="E494" s="73">
        <f>IFERROR(__xludf.DUMMYFUNCTION("average(filter('Appearance Sheet'!F:F,'Appearance Sheet'!G:G=B494,'Appearance Sheet'!A:A=C494))"),6.0)</f>
        <v>6</v>
      </c>
      <c r="F494" s="67">
        <v>5.385852661</v>
      </c>
      <c r="G494" s="40">
        <v>1.030108519</v>
      </c>
      <c r="H494" s="40">
        <f t="shared" si="1"/>
        <v>1.545162779</v>
      </c>
      <c r="I494" s="41">
        <v>0.550724638</v>
      </c>
      <c r="J494" s="41">
        <v>0.188405797</v>
      </c>
      <c r="K494" s="41">
        <v>0.260869565</v>
      </c>
      <c r="L494" s="41">
        <f t="shared" si="2"/>
        <v>0.289855073</v>
      </c>
      <c r="M494" s="74">
        <v>3.151121517</v>
      </c>
    </row>
    <row r="495">
      <c r="A495" s="1" t="s">
        <v>263</v>
      </c>
      <c r="B495" s="38">
        <v>694297.0</v>
      </c>
      <c r="C495" s="72">
        <v>45774.0</v>
      </c>
      <c r="D495" s="38">
        <v>94.0</v>
      </c>
      <c r="E495" s="73">
        <f>IFERROR(__xludf.DUMMYFUNCTION("average(filter('Appearance Sheet'!F:F,'Appearance Sheet'!G:G=B495,'Appearance Sheet'!A:A=C495))"),6.0)</f>
        <v>6</v>
      </c>
      <c r="F495" s="67">
        <v>5.385672509</v>
      </c>
      <c r="G495" s="40">
        <v>1.428512003</v>
      </c>
      <c r="H495" s="40">
        <f t="shared" si="1"/>
        <v>2.142768005</v>
      </c>
      <c r="I495" s="41">
        <v>0.553191489</v>
      </c>
      <c r="J495" s="41">
        <v>0.191489362</v>
      </c>
      <c r="K495" s="41">
        <v>0.255319149</v>
      </c>
      <c r="L495" s="41">
        <f t="shared" si="2"/>
        <v>0.29787234</v>
      </c>
      <c r="M495" s="74">
        <v>-3.121628827</v>
      </c>
    </row>
    <row r="496">
      <c r="A496" s="1" t="s">
        <v>85</v>
      </c>
      <c r="B496" s="38">
        <v>808967.0</v>
      </c>
      <c r="C496" s="72">
        <v>45744.0</v>
      </c>
      <c r="D496" s="38">
        <v>90.0</v>
      </c>
      <c r="E496" s="73">
        <f>IFERROR(__xludf.DUMMYFUNCTION("average(filter('Appearance Sheet'!F:F,'Appearance Sheet'!G:G=B496,'Appearance Sheet'!A:A=C496))"),5.0)</f>
        <v>5</v>
      </c>
      <c r="F496" s="67">
        <v>5.385433297</v>
      </c>
      <c r="G496" s="40">
        <v>1.369836061</v>
      </c>
      <c r="H496" s="40">
        <f t="shared" si="1"/>
        <v>2.46570491</v>
      </c>
      <c r="I496" s="41">
        <v>0.566666667</v>
      </c>
      <c r="J496" s="41">
        <v>0.133333333</v>
      </c>
      <c r="K496" s="41">
        <v>0.3</v>
      </c>
      <c r="L496" s="41">
        <f t="shared" si="2"/>
        <v>0.266666667</v>
      </c>
      <c r="M496" s="74">
        <v>-0.851123451</v>
      </c>
    </row>
    <row r="497">
      <c r="A497" s="1" t="s">
        <v>35</v>
      </c>
      <c r="B497" s="38">
        <v>676083.0</v>
      </c>
      <c r="C497" s="72">
        <v>45801.0</v>
      </c>
      <c r="D497" s="38">
        <v>68.0</v>
      </c>
      <c r="E497" s="73">
        <f>IFERROR(__xludf.DUMMYFUNCTION("average(filter('Appearance Sheet'!F:F,'Appearance Sheet'!G:G=B497,'Appearance Sheet'!A:A=C497))"),5.0)</f>
        <v>5</v>
      </c>
      <c r="F497" s="67">
        <v>5.385423195</v>
      </c>
      <c r="G497" s="40">
        <v>1.043534141</v>
      </c>
      <c r="H497" s="40">
        <f t="shared" si="1"/>
        <v>1.878361454</v>
      </c>
      <c r="I497" s="41">
        <v>0.529411765</v>
      </c>
      <c r="J497" s="41">
        <v>0.191176471</v>
      </c>
      <c r="K497" s="41">
        <v>0.279411765</v>
      </c>
      <c r="L497" s="41">
        <f t="shared" si="2"/>
        <v>0.25</v>
      </c>
      <c r="M497" s="74">
        <v>-2.268905782</v>
      </c>
    </row>
    <row r="498">
      <c r="A498" s="1" t="s">
        <v>130</v>
      </c>
      <c r="B498" s="38">
        <v>666200.0</v>
      </c>
      <c r="C498" s="72">
        <v>45917.0</v>
      </c>
      <c r="D498" s="38">
        <v>103.0</v>
      </c>
      <c r="E498" s="73" t="str">
        <f>IFERROR(__xludf.DUMMYFUNCTION("average(filter('Appearance Sheet'!F:F,'Appearance Sheet'!G:G=B498,'Appearance Sheet'!A:A=C498))"),"#N/A")</f>
        <v>#N/A</v>
      </c>
      <c r="F498" s="67">
        <v>5.38505097</v>
      </c>
      <c r="G498" s="40">
        <v>1.587017069</v>
      </c>
      <c r="H498" s="40" t="str">
        <f t="shared" si="1"/>
        <v>#N/A</v>
      </c>
      <c r="I498" s="41">
        <v>0.533980583</v>
      </c>
      <c r="J498" s="41">
        <v>0.184466019</v>
      </c>
      <c r="K498" s="41">
        <v>0.281553398</v>
      </c>
      <c r="L498" s="41">
        <f t="shared" si="2"/>
        <v>0.252427185</v>
      </c>
      <c r="M498" s="74">
        <v>0.367696531</v>
      </c>
    </row>
    <row r="499">
      <c r="A499" s="1" t="s">
        <v>136</v>
      </c>
      <c r="B499" s="38">
        <v>660271.0</v>
      </c>
      <c r="C499" s="72">
        <v>45923.0</v>
      </c>
      <c r="D499" s="38">
        <v>89.0</v>
      </c>
      <c r="E499" s="73" t="str">
        <f>IFERROR(__xludf.DUMMYFUNCTION("average(filter('Appearance Sheet'!F:F,'Appearance Sheet'!G:G=B499,'Appearance Sheet'!A:A=C499))"),"#N/A")</f>
        <v>#N/A</v>
      </c>
      <c r="F499" s="67">
        <v>5.38429503</v>
      </c>
      <c r="G499" s="40">
        <v>1.388966979</v>
      </c>
      <c r="H499" s="40" t="str">
        <f t="shared" si="1"/>
        <v>#N/A</v>
      </c>
      <c r="I499" s="41">
        <v>0.561797753</v>
      </c>
      <c r="J499" s="41">
        <v>0.179775281</v>
      </c>
      <c r="K499" s="41">
        <v>0.258426966</v>
      </c>
      <c r="L499" s="41">
        <f t="shared" si="2"/>
        <v>0.303370787</v>
      </c>
      <c r="M499" s="74">
        <v>0.770918107</v>
      </c>
    </row>
    <row r="500">
      <c r="A500" s="1" t="s">
        <v>95</v>
      </c>
      <c r="B500" s="38">
        <v>543243.0</v>
      </c>
      <c r="C500" s="72">
        <v>45873.0</v>
      </c>
      <c r="D500" s="38">
        <v>87.0</v>
      </c>
      <c r="E500" s="73" t="str">
        <f>IFERROR(__xludf.DUMMYFUNCTION("average(filter('Appearance Sheet'!F:F,'Appearance Sheet'!G:G=B500,'Appearance Sheet'!A:A=C500))"),"#N/A")</f>
        <v>#N/A</v>
      </c>
      <c r="F500" s="67">
        <v>5.384138847</v>
      </c>
      <c r="G500" s="40">
        <v>1.326050697</v>
      </c>
      <c r="H500" s="40" t="str">
        <f t="shared" si="1"/>
        <v>#N/A</v>
      </c>
      <c r="I500" s="41">
        <v>0.597701149</v>
      </c>
      <c r="J500" s="41">
        <v>0.149425287</v>
      </c>
      <c r="K500" s="41">
        <v>0.252873563</v>
      </c>
      <c r="L500" s="41">
        <f t="shared" si="2"/>
        <v>0.344827586</v>
      </c>
      <c r="M500" s="74">
        <v>3.959965636</v>
      </c>
    </row>
    <row r="501">
      <c r="A501" s="1" t="s">
        <v>221</v>
      </c>
      <c r="B501" s="38">
        <v>668964.0</v>
      </c>
      <c r="C501" s="72">
        <v>45794.0</v>
      </c>
      <c r="D501" s="38">
        <v>69.0</v>
      </c>
      <c r="E501" s="73">
        <f>IFERROR(__xludf.DUMMYFUNCTION("average(filter('Appearance Sheet'!F:F,'Appearance Sheet'!G:G=B501,'Appearance Sheet'!A:A=C501))"),3.6666666666666665)</f>
        <v>3.666666667</v>
      </c>
      <c r="F501" s="67">
        <v>5.38357679</v>
      </c>
      <c r="G501" s="40">
        <v>1.083407179</v>
      </c>
      <c r="H501" s="40">
        <f t="shared" si="1"/>
        <v>2.659272167</v>
      </c>
      <c r="I501" s="41">
        <v>0.550724638</v>
      </c>
      <c r="J501" s="41">
        <v>0.217391304</v>
      </c>
      <c r="K501" s="41">
        <v>0.231884058</v>
      </c>
      <c r="L501" s="41">
        <f t="shared" si="2"/>
        <v>0.31884058</v>
      </c>
      <c r="M501" s="74">
        <v>-7.151920261</v>
      </c>
    </row>
    <row r="502">
      <c r="A502" s="1" t="s">
        <v>104</v>
      </c>
      <c r="B502" s="38">
        <v>676508.0</v>
      </c>
      <c r="C502" s="72">
        <v>45782.0</v>
      </c>
      <c r="D502" s="38">
        <v>67.0</v>
      </c>
      <c r="E502" s="73">
        <f>IFERROR(__xludf.DUMMYFUNCTION("average(filter('Appearance Sheet'!F:F,'Appearance Sheet'!G:G=B502,'Appearance Sheet'!A:A=C502))"),4.0)</f>
        <v>4</v>
      </c>
      <c r="F502" s="67">
        <v>5.383420803</v>
      </c>
      <c r="G502" s="40">
        <v>1.036964758</v>
      </c>
      <c r="H502" s="40">
        <f t="shared" si="1"/>
        <v>2.333170706</v>
      </c>
      <c r="I502" s="41">
        <v>0.611940299</v>
      </c>
      <c r="J502" s="41">
        <v>0.119402985</v>
      </c>
      <c r="K502" s="41">
        <v>0.268656716</v>
      </c>
      <c r="L502" s="41">
        <f t="shared" si="2"/>
        <v>0.343283583</v>
      </c>
      <c r="M502" s="74">
        <v>-0.500346008</v>
      </c>
    </row>
    <row r="503">
      <c r="A503" s="1" t="s">
        <v>205</v>
      </c>
      <c r="B503" s="38">
        <v>666142.0</v>
      </c>
      <c r="C503" s="72">
        <v>45755.0</v>
      </c>
      <c r="D503" s="38">
        <v>90.0</v>
      </c>
      <c r="E503" s="73">
        <f>IFERROR(__xludf.DUMMYFUNCTION("average(filter('Appearance Sheet'!F:F,'Appearance Sheet'!G:G=B503,'Appearance Sheet'!A:A=C503))"),6.0)</f>
        <v>6</v>
      </c>
      <c r="F503" s="67">
        <v>5.383060425</v>
      </c>
      <c r="G503" s="40">
        <v>1.342417608</v>
      </c>
      <c r="H503" s="40">
        <f t="shared" si="1"/>
        <v>2.013626412</v>
      </c>
      <c r="I503" s="41">
        <v>0.566666667</v>
      </c>
      <c r="J503" s="41">
        <v>0.077777778</v>
      </c>
      <c r="K503" s="41">
        <v>0.355555556</v>
      </c>
      <c r="L503" s="41">
        <f t="shared" si="2"/>
        <v>0.211111111</v>
      </c>
      <c r="M503" s="74">
        <v>-0.70993918</v>
      </c>
    </row>
    <row r="504">
      <c r="A504" s="1" t="s">
        <v>232</v>
      </c>
      <c r="B504" s="38">
        <v>579328.0</v>
      </c>
      <c r="C504" s="72">
        <v>45867.0</v>
      </c>
      <c r="D504" s="38">
        <v>100.0</v>
      </c>
      <c r="E504" s="73" t="str">
        <f>IFERROR(__xludf.DUMMYFUNCTION("average(filter('Appearance Sheet'!F:F,'Appearance Sheet'!G:G=B504,'Appearance Sheet'!A:A=C504))"),"#N/A")</f>
        <v>#N/A</v>
      </c>
      <c r="F504" s="67">
        <v>5.383001119</v>
      </c>
      <c r="G504" s="40">
        <v>1.520628731</v>
      </c>
      <c r="H504" s="40" t="str">
        <f t="shared" si="1"/>
        <v>#N/A</v>
      </c>
      <c r="I504" s="41">
        <v>0.51</v>
      </c>
      <c r="J504" s="41">
        <v>0.22</v>
      </c>
      <c r="K504" s="41">
        <v>0.27</v>
      </c>
      <c r="L504" s="41">
        <f t="shared" si="2"/>
        <v>0.24</v>
      </c>
      <c r="M504" s="74">
        <v>-4.258003381</v>
      </c>
    </row>
    <row r="505">
      <c r="A505" s="1" t="s">
        <v>44</v>
      </c>
      <c r="B505" s="38">
        <v>650911.0</v>
      </c>
      <c r="C505" s="72">
        <v>45923.0</v>
      </c>
      <c r="D505" s="38">
        <v>63.0</v>
      </c>
      <c r="E505" s="73" t="str">
        <f>IFERROR(__xludf.DUMMYFUNCTION("average(filter('Appearance Sheet'!F:F,'Appearance Sheet'!G:G=B505,'Appearance Sheet'!A:A=C505))"),"#N/A")</f>
        <v>#N/A</v>
      </c>
      <c r="F505" s="67">
        <v>5.382842729</v>
      </c>
      <c r="G505" s="40">
        <v>0.960424349</v>
      </c>
      <c r="H505" s="40" t="str">
        <f t="shared" si="1"/>
        <v>#N/A</v>
      </c>
      <c r="I505" s="41">
        <v>0.555555556</v>
      </c>
      <c r="J505" s="41">
        <v>0.158730159</v>
      </c>
      <c r="K505" s="41">
        <v>0.285714286</v>
      </c>
      <c r="L505" s="41">
        <f t="shared" si="2"/>
        <v>0.26984127</v>
      </c>
      <c r="M505" s="74">
        <v>2.013185697</v>
      </c>
    </row>
    <row r="506">
      <c r="A506" s="1" t="s">
        <v>376</v>
      </c>
      <c r="B506" s="38">
        <v>668909.0</v>
      </c>
      <c r="C506" s="72">
        <v>45887.0</v>
      </c>
      <c r="D506" s="38">
        <v>95.0</v>
      </c>
      <c r="E506" s="73" t="str">
        <f>IFERROR(__xludf.DUMMYFUNCTION("average(filter('Appearance Sheet'!F:F,'Appearance Sheet'!G:G=B506,'Appearance Sheet'!A:A=C506))"),"#N/A")</f>
        <v>#N/A</v>
      </c>
      <c r="F506" s="67">
        <v>5.382660592</v>
      </c>
      <c r="G506" s="40">
        <v>1.458682389</v>
      </c>
      <c r="H506" s="40" t="str">
        <f t="shared" si="1"/>
        <v>#N/A</v>
      </c>
      <c r="I506" s="41">
        <v>0.526315789</v>
      </c>
      <c r="J506" s="41">
        <v>0.168421053</v>
      </c>
      <c r="K506" s="41">
        <v>0.305263158</v>
      </c>
      <c r="L506" s="41">
        <f t="shared" si="2"/>
        <v>0.221052631</v>
      </c>
      <c r="M506" s="74">
        <v>2.902621867</v>
      </c>
    </row>
    <row r="507">
      <c r="A507" s="1" t="s">
        <v>344</v>
      </c>
      <c r="B507" s="38">
        <v>701542.0</v>
      </c>
      <c r="C507" s="72">
        <v>45759.0</v>
      </c>
      <c r="D507" s="38">
        <v>90.0</v>
      </c>
      <c r="E507" s="73">
        <f>IFERROR(__xludf.DUMMYFUNCTION("average(filter('Appearance Sheet'!F:F,'Appearance Sheet'!G:G=B507,'Appearance Sheet'!A:A=C507))"),5.0)</f>
        <v>5</v>
      </c>
      <c r="F507" s="67">
        <v>5.382463211</v>
      </c>
      <c r="G507" s="40">
        <v>1.303896142</v>
      </c>
      <c r="H507" s="40">
        <f t="shared" si="1"/>
        <v>2.347013056</v>
      </c>
      <c r="I507" s="41">
        <v>0.511111111</v>
      </c>
      <c r="J507" s="41">
        <v>0.155555556</v>
      </c>
      <c r="K507" s="41">
        <v>0.333333333</v>
      </c>
      <c r="L507" s="41">
        <f t="shared" si="2"/>
        <v>0.177777778</v>
      </c>
      <c r="M507" s="74">
        <v>2.243869367</v>
      </c>
    </row>
    <row r="508">
      <c r="A508" s="1" t="s">
        <v>410</v>
      </c>
      <c r="B508" s="38">
        <v>678394.0</v>
      </c>
      <c r="C508" s="72">
        <v>45829.0</v>
      </c>
      <c r="D508" s="38">
        <v>92.0</v>
      </c>
      <c r="E508" s="73">
        <f>IFERROR(__xludf.DUMMYFUNCTION("average(filter('Appearance Sheet'!F:F,'Appearance Sheet'!G:G=B508,'Appearance Sheet'!A:A=C508))"),6.0)</f>
        <v>6</v>
      </c>
      <c r="F508" s="67">
        <v>5.381607055</v>
      </c>
      <c r="G508" s="40">
        <v>1.397138864</v>
      </c>
      <c r="H508" s="40">
        <f t="shared" si="1"/>
        <v>2.095708296</v>
      </c>
      <c r="I508" s="41">
        <v>0.489130435</v>
      </c>
      <c r="J508" s="41">
        <v>0.25</v>
      </c>
      <c r="K508" s="41">
        <v>0.260869565</v>
      </c>
      <c r="L508" s="41">
        <f t="shared" si="2"/>
        <v>0.22826087</v>
      </c>
      <c r="M508" s="74">
        <v>2.296950918</v>
      </c>
    </row>
    <row r="509">
      <c r="A509" s="1" t="s">
        <v>67</v>
      </c>
      <c r="B509" s="38">
        <v>684007.0</v>
      </c>
      <c r="C509" s="72">
        <v>45914.0</v>
      </c>
      <c r="D509" s="38">
        <v>90.0</v>
      </c>
      <c r="E509" s="73" t="str">
        <f>IFERROR(__xludf.DUMMYFUNCTION("average(filter('Appearance Sheet'!F:F,'Appearance Sheet'!G:G=B509,'Appearance Sheet'!A:A=C509))"),"#N/A")</f>
        <v>#N/A</v>
      </c>
      <c r="F509" s="67">
        <v>5.380867467</v>
      </c>
      <c r="G509" s="40">
        <v>1.365704016</v>
      </c>
      <c r="H509" s="40" t="str">
        <f t="shared" si="1"/>
        <v>#N/A</v>
      </c>
      <c r="I509" s="41">
        <v>0.555555556</v>
      </c>
      <c r="J509" s="41">
        <v>0.155555556</v>
      </c>
      <c r="K509" s="41">
        <v>0.288888889</v>
      </c>
      <c r="L509" s="41">
        <f t="shared" si="2"/>
        <v>0.266666667</v>
      </c>
      <c r="M509" s="74">
        <v>-2.201893589</v>
      </c>
    </row>
    <row r="510">
      <c r="A510" s="1" t="s">
        <v>164</v>
      </c>
      <c r="B510" s="38">
        <v>669923.0</v>
      </c>
      <c r="C510" s="72">
        <v>45898.0</v>
      </c>
      <c r="D510" s="38">
        <v>95.0</v>
      </c>
      <c r="E510" s="73" t="str">
        <f>IFERROR(__xludf.DUMMYFUNCTION("average(filter('Appearance Sheet'!F:F,'Appearance Sheet'!G:G=B510,'Appearance Sheet'!A:A=C510))"),"#N/A")</f>
        <v>#N/A</v>
      </c>
      <c r="F510" s="67">
        <v>5.380554778</v>
      </c>
      <c r="G510" s="40">
        <v>1.456689311</v>
      </c>
      <c r="H510" s="40" t="str">
        <f t="shared" si="1"/>
        <v>#N/A</v>
      </c>
      <c r="I510" s="41">
        <v>0.578947368</v>
      </c>
      <c r="J510" s="41">
        <v>0.189473684</v>
      </c>
      <c r="K510" s="41">
        <v>0.231578947</v>
      </c>
      <c r="L510" s="41">
        <f t="shared" si="2"/>
        <v>0.347368421</v>
      </c>
      <c r="M510" s="74">
        <v>-0.018240928</v>
      </c>
    </row>
    <row r="511">
      <c r="A511" s="1" t="s">
        <v>420</v>
      </c>
      <c r="B511" s="38">
        <v>547179.0</v>
      </c>
      <c r="C511" s="72">
        <v>45919.0</v>
      </c>
      <c r="D511" s="38">
        <v>109.0</v>
      </c>
      <c r="E511" s="73" t="str">
        <f>IFERROR(__xludf.DUMMYFUNCTION("average(filter('Appearance Sheet'!F:F,'Appearance Sheet'!G:G=B511,'Appearance Sheet'!A:A=C511))"),"#N/A")</f>
        <v>#N/A</v>
      </c>
      <c r="F511" s="67">
        <v>5.379672295</v>
      </c>
      <c r="G511" s="40">
        <v>1.678200856</v>
      </c>
      <c r="H511" s="40" t="str">
        <f t="shared" si="1"/>
        <v>#N/A</v>
      </c>
      <c r="I511" s="41">
        <v>0.541284404</v>
      </c>
      <c r="J511" s="41">
        <v>0.165137615</v>
      </c>
      <c r="K511" s="41">
        <v>0.293577982</v>
      </c>
      <c r="L511" s="41">
        <f t="shared" si="2"/>
        <v>0.247706422</v>
      </c>
      <c r="M511" s="74">
        <v>4.118756695</v>
      </c>
    </row>
    <row r="512">
      <c r="A512" s="1" t="s">
        <v>281</v>
      </c>
      <c r="B512" s="38">
        <v>622663.0</v>
      </c>
      <c r="C512" s="72">
        <v>45862.0</v>
      </c>
      <c r="D512" s="38">
        <v>91.0</v>
      </c>
      <c r="E512" s="73" t="str">
        <f>IFERROR(__xludf.DUMMYFUNCTION("average(filter('Appearance Sheet'!F:F,'Appearance Sheet'!G:G=B512,'Appearance Sheet'!A:A=C512))"),"#N/A")</f>
        <v>#N/A</v>
      </c>
      <c r="F512" s="67">
        <v>5.379602998</v>
      </c>
      <c r="G512" s="40">
        <v>1.376563006</v>
      </c>
      <c r="H512" s="40" t="str">
        <f t="shared" si="1"/>
        <v>#N/A</v>
      </c>
      <c r="I512" s="41">
        <v>0.582417582</v>
      </c>
      <c r="J512" s="41">
        <v>0.131868132</v>
      </c>
      <c r="K512" s="41">
        <v>0.285714286</v>
      </c>
      <c r="L512" s="41">
        <f t="shared" si="2"/>
        <v>0.296703296</v>
      </c>
      <c r="M512" s="74">
        <v>0.758664364</v>
      </c>
    </row>
    <row r="513">
      <c r="A513" s="1" t="s">
        <v>420</v>
      </c>
      <c r="B513" s="38">
        <v>547179.0</v>
      </c>
      <c r="C513" s="72">
        <v>45791.0</v>
      </c>
      <c r="D513" s="38">
        <v>82.0</v>
      </c>
      <c r="E513" s="73">
        <f>IFERROR(__xludf.DUMMYFUNCTION("average(filter('Appearance Sheet'!F:F,'Appearance Sheet'!G:G=B513,'Appearance Sheet'!A:A=C513))"),7.333333333333333)</f>
        <v>7.333333333</v>
      </c>
      <c r="F513" s="67">
        <v>5.379431632</v>
      </c>
      <c r="G513" s="40">
        <v>1.25648658</v>
      </c>
      <c r="H513" s="40">
        <f t="shared" si="1"/>
        <v>1.542051712</v>
      </c>
      <c r="I513" s="41">
        <v>0.56097561</v>
      </c>
      <c r="J513" s="41">
        <v>0.170731707</v>
      </c>
      <c r="K513" s="41">
        <v>0.268292683</v>
      </c>
      <c r="L513" s="41">
        <f t="shared" si="2"/>
        <v>0.292682927</v>
      </c>
      <c r="M513" s="74">
        <v>-1.956309515</v>
      </c>
    </row>
    <row r="514">
      <c r="A514" s="1" t="s">
        <v>44</v>
      </c>
      <c r="B514" s="38">
        <v>650911.0</v>
      </c>
      <c r="C514" s="72">
        <v>45894.0</v>
      </c>
      <c r="D514" s="38">
        <v>85.0</v>
      </c>
      <c r="E514" s="73" t="str">
        <f>IFERROR(__xludf.DUMMYFUNCTION("average(filter('Appearance Sheet'!F:F,'Appearance Sheet'!G:G=B514,'Appearance Sheet'!A:A=C514))"),"#N/A")</f>
        <v>#N/A</v>
      </c>
      <c r="F514" s="67">
        <v>5.379096634</v>
      </c>
      <c r="G514" s="40">
        <v>1.312881054</v>
      </c>
      <c r="H514" s="40" t="str">
        <f t="shared" si="1"/>
        <v>#N/A</v>
      </c>
      <c r="I514" s="41">
        <v>0.470588235</v>
      </c>
      <c r="J514" s="41">
        <v>0.152941176</v>
      </c>
      <c r="K514" s="41">
        <v>0.376470588</v>
      </c>
      <c r="L514" s="41">
        <f t="shared" si="2"/>
        <v>0.094117647</v>
      </c>
      <c r="M514" s="74">
        <v>-2.613565341</v>
      </c>
    </row>
    <row r="515">
      <c r="A515" s="1" t="s">
        <v>127</v>
      </c>
      <c r="B515" s="38">
        <v>687765.0</v>
      </c>
      <c r="C515" s="72">
        <v>45829.0</v>
      </c>
      <c r="D515" s="38">
        <v>84.0</v>
      </c>
      <c r="E515" s="73">
        <f>IFERROR(__xludf.DUMMYFUNCTION("average(filter('Appearance Sheet'!F:F,'Appearance Sheet'!G:G=B515,'Appearance Sheet'!A:A=C515))"),4.666666666666667)</f>
        <v>4.666666667</v>
      </c>
      <c r="F515" s="67">
        <v>5.378691881</v>
      </c>
      <c r="G515" s="40">
        <v>1.268429065</v>
      </c>
      <c r="H515" s="40">
        <f t="shared" si="1"/>
        <v>2.446256054</v>
      </c>
      <c r="I515" s="41">
        <v>0.535714286</v>
      </c>
      <c r="J515" s="41">
        <v>0.130952381</v>
      </c>
      <c r="K515" s="41">
        <v>0.333333333</v>
      </c>
      <c r="L515" s="41">
        <f t="shared" si="2"/>
        <v>0.202380953</v>
      </c>
      <c r="M515" s="74">
        <v>-1.744134314</v>
      </c>
    </row>
    <row r="516">
      <c r="A516" s="1" t="s">
        <v>195</v>
      </c>
      <c r="B516" s="38">
        <v>668678.0</v>
      </c>
      <c r="C516" s="72">
        <v>45898.0</v>
      </c>
      <c r="D516" s="38">
        <v>92.0</v>
      </c>
      <c r="E516" s="73" t="str">
        <f>IFERROR(__xludf.DUMMYFUNCTION("average(filter('Appearance Sheet'!F:F,'Appearance Sheet'!G:G=B516,'Appearance Sheet'!A:A=C516))"),"#N/A")</f>
        <v>#N/A</v>
      </c>
      <c r="F516" s="67">
        <v>5.378547343</v>
      </c>
      <c r="G516" s="40">
        <v>1.40391408</v>
      </c>
      <c r="H516" s="40" t="str">
        <f t="shared" si="1"/>
        <v>#N/A</v>
      </c>
      <c r="I516" s="41">
        <v>0.5</v>
      </c>
      <c r="J516" s="41">
        <v>0.22826087</v>
      </c>
      <c r="K516" s="41">
        <v>0.27173913</v>
      </c>
      <c r="L516" s="41">
        <f t="shared" si="2"/>
        <v>0.22826087</v>
      </c>
      <c r="M516" s="74">
        <v>2.346531987</v>
      </c>
    </row>
    <row r="517">
      <c r="A517" s="1" t="s">
        <v>226</v>
      </c>
      <c r="B517" s="38">
        <v>607259.0</v>
      </c>
      <c r="C517" s="72">
        <v>45786.0</v>
      </c>
      <c r="D517" s="38">
        <v>81.0</v>
      </c>
      <c r="E517" s="73">
        <f>IFERROR(__xludf.DUMMYFUNCTION("average(filter('Appearance Sheet'!F:F,'Appearance Sheet'!G:G=B517,'Appearance Sheet'!A:A=C517))"),6.0)</f>
        <v>6</v>
      </c>
      <c r="F517" s="67">
        <v>5.37819946</v>
      </c>
      <c r="G517" s="40">
        <v>1.274552829</v>
      </c>
      <c r="H517" s="40">
        <f t="shared" si="1"/>
        <v>1.911829244</v>
      </c>
      <c r="I517" s="41">
        <v>0.604938272</v>
      </c>
      <c r="J517" s="41">
        <v>0.160493827</v>
      </c>
      <c r="K517" s="41">
        <v>0.234567901</v>
      </c>
      <c r="L517" s="41">
        <f t="shared" si="2"/>
        <v>0.370370371</v>
      </c>
      <c r="M517" s="74">
        <v>-4.747578942</v>
      </c>
    </row>
    <row r="518">
      <c r="A518" s="1" t="s">
        <v>269</v>
      </c>
      <c r="B518" s="38">
        <v>605280.0</v>
      </c>
      <c r="C518" s="72">
        <v>45886.0</v>
      </c>
      <c r="D518" s="38">
        <v>82.0</v>
      </c>
      <c r="E518" s="73" t="str">
        <f>IFERROR(__xludf.DUMMYFUNCTION("average(filter('Appearance Sheet'!F:F,'Appearance Sheet'!G:G=B518,'Appearance Sheet'!A:A=C518))"),"#N/A")</f>
        <v>#N/A</v>
      </c>
      <c r="F518" s="67">
        <v>5.377904007</v>
      </c>
      <c r="G518" s="40">
        <v>1.24067901</v>
      </c>
      <c r="H518" s="40" t="str">
        <f t="shared" si="1"/>
        <v>#N/A</v>
      </c>
      <c r="I518" s="41">
        <v>0.512195122</v>
      </c>
      <c r="J518" s="41">
        <v>0.170731707</v>
      </c>
      <c r="K518" s="41">
        <v>0.317073171</v>
      </c>
      <c r="L518" s="41">
        <f t="shared" si="2"/>
        <v>0.195121951</v>
      </c>
      <c r="M518" s="74">
        <v>0.500450005</v>
      </c>
    </row>
    <row r="519">
      <c r="A519" s="1" t="s">
        <v>126</v>
      </c>
      <c r="B519" s="38">
        <v>701487.0</v>
      </c>
      <c r="C519" s="72">
        <v>45875.0</v>
      </c>
      <c r="D519" s="38">
        <v>61.0</v>
      </c>
      <c r="E519" s="73" t="str">
        <f>IFERROR(__xludf.DUMMYFUNCTION("average(filter('Appearance Sheet'!F:F,'Appearance Sheet'!G:G=B519,'Appearance Sheet'!A:A=C519))"),"#N/A")</f>
        <v>#N/A</v>
      </c>
      <c r="F519" s="67">
        <v>5.377515321</v>
      </c>
      <c r="G519" s="40">
        <v>0.911860859</v>
      </c>
      <c r="H519" s="40" t="str">
        <f t="shared" si="1"/>
        <v>#N/A</v>
      </c>
      <c r="I519" s="41">
        <v>0.508196721</v>
      </c>
      <c r="J519" s="41">
        <v>0.147540984</v>
      </c>
      <c r="K519" s="41">
        <v>0.344262295</v>
      </c>
      <c r="L519" s="41">
        <f t="shared" si="2"/>
        <v>0.163934426</v>
      </c>
      <c r="M519" s="74">
        <v>-0.393449717</v>
      </c>
    </row>
    <row r="520">
      <c r="A520" s="1" t="s">
        <v>197</v>
      </c>
      <c r="B520" s="38">
        <v>676467.0</v>
      </c>
      <c r="C520" s="72">
        <v>45928.0</v>
      </c>
      <c r="D520" s="38">
        <v>66.0</v>
      </c>
      <c r="E520" s="73" t="str">
        <f>IFERROR(__xludf.DUMMYFUNCTION("average(filter('Appearance Sheet'!F:F,'Appearance Sheet'!G:G=B520,'Appearance Sheet'!A:A=C520))"),"#N/A")</f>
        <v>#N/A</v>
      </c>
      <c r="F520" s="67">
        <v>5.377487652</v>
      </c>
      <c r="G520" s="40">
        <v>1.048510289</v>
      </c>
      <c r="H520" s="40" t="str">
        <f t="shared" si="1"/>
        <v>#N/A</v>
      </c>
      <c r="I520" s="41">
        <v>0.515151515</v>
      </c>
      <c r="J520" s="41">
        <v>0.166666667</v>
      </c>
      <c r="K520" s="41">
        <v>0.318181818</v>
      </c>
      <c r="L520" s="41">
        <f t="shared" si="2"/>
        <v>0.196969697</v>
      </c>
      <c r="M520" s="74">
        <v>4.749606466</v>
      </c>
    </row>
    <row r="521">
      <c r="A521" s="1" t="s">
        <v>121</v>
      </c>
      <c r="B521" s="38">
        <v>676974.0</v>
      </c>
      <c r="C521" s="72">
        <v>45746.0</v>
      </c>
      <c r="D521" s="38">
        <v>90.0</v>
      </c>
      <c r="E521" s="73">
        <f>IFERROR(__xludf.DUMMYFUNCTION("average(filter('Appearance Sheet'!F:F,'Appearance Sheet'!G:G=B521,'Appearance Sheet'!A:A=C521))"),5.666666666666667)</f>
        <v>5.666666667</v>
      </c>
      <c r="F521" s="67">
        <v>5.376966395</v>
      </c>
      <c r="G521" s="40">
        <v>1.381855937</v>
      </c>
      <c r="H521" s="40">
        <f t="shared" si="1"/>
        <v>2.194712371</v>
      </c>
      <c r="I521" s="41">
        <v>0.533333333</v>
      </c>
      <c r="J521" s="41">
        <v>0.188888889</v>
      </c>
      <c r="K521" s="41">
        <v>0.277777778</v>
      </c>
      <c r="L521" s="41">
        <f t="shared" si="2"/>
        <v>0.255555555</v>
      </c>
      <c r="M521" s="74">
        <v>1.003173108</v>
      </c>
    </row>
    <row r="522">
      <c r="A522" s="1" t="s">
        <v>100</v>
      </c>
      <c r="B522" s="38">
        <v>676979.0</v>
      </c>
      <c r="C522" s="72">
        <v>45902.0</v>
      </c>
      <c r="D522" s="38">
        <v>80.0</v>
      </c>
      <c r="E522" s="73" t="str">
        <f>IFERROR(__xludf.DUMMYFUNCTION("average(filter('Appearance Sheet'!F:F,'Appearance Sheet'!G:G=B522,'Appearance Sheet'!A:A=C522))"),"#N/A")</f>
        <v>#N/A</v>
      </c>
      <c r="F522" s="67">
        <v>5.376772704</v>
      </c>
      <c r="G522" s="40">
        <v>1.228436603</v>
      </c>
      <c r="H522" s="40" t="str">
        <f t="shared" si="1"/>
        <v>#N/A</v>
      </c>
      <c r="I522" s="41">
        <v>0.525</v>
      </c>
      <c r="J522" s="41">
        <v>0.1875</v>
      </c>
      <c r="K522" s="41">
        <v>0.2875</v>
      </c>
      <c r="L522" s="41">
        <f t="shared" si="2"/>
        <v>0.2375</v>
      </c>
      <c r="M522" s="74">
        <v>-3.635694791</v>
      </c>
    </row>
    <row r="523">
      <c r="A523" s="1" t="s">
        <v>197</v>
      </c>
      <c r="B523" s="38">
        <v>676467.0</v>
      </c>
      <c r="C523" s="72">
        <v>45833.0</v>
      </c>
      <c r="D523" s="38">
        <v>78.0</v>
      </c>
      <c r="E523" s="73">
        <f>IFERROR(__xludf.DUMMYFUNCTION("average(filter('Appearance Sheet'!F:F,'Appearance Sheet'!G:G=B523,'Appearance Sheet'!A:A=C523))"),5.0)</f>
        <v>5</v>
      </c>
      <c r="F523" s="67">
        <v>5.376669659</v>
      </c>
      <c r="G523" s="40">
        <v>1.171756721</v>
      </c>
      <c r="H523" s="40">
        <f t="shared" si="1"/>
        <v>2.109162098</v>
      </c>
      <c r="I523" s="41">
        <v>0.5</v>
      </c>
      <c r="J523" s="41">
        <v>0.179487179</v>
      </c>
      <c r="K523" s="41">
        <v>0.320512821</v>
      </c>
      <c r="L523" s="41">
        <f t="shared" si="2"/>
        <v>0.179487179</v>
      </c>
      <c r="M523" s="74">
        <v>0.52490085</v>
      </c>
    </row>
    <row r="524">
      <c r="A524" s="1" t="s">
        <v>155</v>
      </c>
      <c r="B524" s="38">
        <v>592332.0</v>
      </c>
      <c r="C524" s="72">
        <v>45899.0</v>
      </c>
      <c r="D524" s="38">
        <v>94.0</v>
      </c>
      <c r="E524" s="73" t="str">
        <f>IFERROR(__xludf.DUMMYFUNCTION("average(filter('Appearance Sheet'!F:F,'Appearance Sheet'!G:G=B524,'Appearance Sheet'!A:A=C524))"),"#N/A")</f>
        <v>#N/A</v>
      </c>
      <c r="F524" s="67">
        <v>5.376595803</v>
      </c>
      <c r="G524" s="40">
        <v>1.416344127</v>
      </c>
      <c r="H524" s="40" t="str">
        <f t="shared" si="1"/>
        <v>#N/A</v>
      </c>
      <c r="I524" s="41">
        <v>0.563829787</v>
      </c>
      <c r="J524" s="41">
        <v>0.14893617</v>
      </c>
      <c r="K524" s="41">
        <v>0.287234043</v>
      </c>
      <c r="L524" s="41">
        <f t="shared" si="2"/>
        <v>0.276595744</v>
      </c>
      <c r="M524" s="74">
        <v>0.70216749</v>
      </c>
    </row>
    <row r="525">
      <c r="A525" s="1" t="s">
        <v>302</v>
      </c>
      <c r="B525" s="38">
        <v>681190.0</v>
      </c>
      <c r="C525" s="72">
        <v>45911.0</v>
      </c>
      <c r="D525" s="38">
        <v>89.0</v>
      </c>
      <c r="E525" s="73" t="str">
        <f>IFERROR(__xludf.DUMMYFUNCTION("average(filter('Appearance Sheet'!F:F,'Appearance Sheet'!G:G=B525,'Appearance Sheet'!A:A=C525))"),"#N/A")</f>
        <v>#N/A</v>
      </c>
      <c r="F525" s="67">
        <v>5.376105424</v>
      </c>
      <c r="G525" s="40">
        <v>1.371701175</v>
      </c>
      <c r="H525" s="40" t="str">
        <f t="shared" si="1"/>
        <v>#N/A</v>
      </c>
      <c r="I525" s="41">
        <v>0.505617978</v>
      </c>
      <c r="J525" s="41">
        <v>0.191011236</v>
      </c>
      <c r="K525" s="41">
        <v>0.303370787</v>
      </c>
      <c r="L525" s="41">
        <f t="shared" si="2"/>
        <v>0.202247191</v>
      </c>
      <c r="M525" s="74">
        <v>1.987898213</v>
      </c>
    </row>
    <row r="526">
      <c r="A526" s="1" t="s">
        <v>282</v>
      </c>
      <c r="B526" s="38">
        <v>656302.0</v>
      </c>
      <c r="C526" s="72">
        <v>45790.0</v>
      </c>
      <c r="D526" s="38">
        <v>100.0</v>
      </c>
      <c r="E526" s="73">
        <f>IFERROR(__xludf.DUMMYFUNCTION("average(filter('Appearance Sheet'!F:F,'Appearance Sheet'!G:G=B526,'Appearance Sheet'!A:A=C526))"),6.666666666666667)</f>
        <v>6.666666667</v>
      </c>
      <c r="F526" s="67">
        <v>5.375822713</v>
      </c>
      <c r="G526" s="40">
        <v>1.538893752</v>
      </c>
      <c r="H526" s="40">
        <f t="shared" si="1"/>
        <v>2.077506565</v>
      </c>
      <c r="I526" s="41">
        <v>0.5</v>
      </c>
      <c r="J526" s="41">
        <v>0.16</v>
      </c>
      <c r="K526" s="41">
        <v>0.34</v>
      </c>
      <c r="L526" s="41">
        <f t="shared" si="2"/>
        <v>0.16</v>
      </c>
      <c r="M526" s="74">
        <v>-0.344227971</v>
      </c>
    </row>
    <row r="527">
      <c r="A527" s="1" t="s">
        <v>350</v>
      </c>
      <c r="B527" s="38">
        <v>678022.0</v>
      </c>
      <c r="C527" s="72">
        <v>45878.0</v>
      </c>
      <c r="D527" s="38">
        <v>83.0</v>
      </c>
      <c r="E527" s="73" t="str">
        <f>IFERROR(__xludf.DUMMYFUNCTION("average(filter('Appearance Sheet'!F:F,'Appearance Sheet'!G:G=B527,'Appearance Sheet'!A:A=C527))"),"#N/A")</f>
        <v>#N/A</v>
      </c>
      <c r="F527" s="67">
        <v>5.375741114</v>
      </c>
      <c r="G527" s="40">
        <v>1.287953478</v>
      </c>
      <c r="H527" s="40" t="str">
        <f t="shared" si="1"/>
        <v>#N/A</v>
      </c>
      <c r="I527" s="41">
        <v>0.518072289</v>
      </c>
      <c r="J527" s="41">
        <v>0.144578313</v>
      </c>
      <c r="K527" s="41">
        <v>0.337349398</v>
      </c>
      <c r="L527" s="41">
        <f t="shared" si="2"/>
        <v>0.180722891</v>
      </c>
      <c r="M527" s="74">
        <v>1.802485412</v>
      </c>
    </row>
    <row r="528">
      <c r="A528" s="1" t="s">
        <v>77</v>
      </c>
      <c r="B528" s="38">
        <v>657277.0</v>
      </c>
      <c r="C528" s="72">
        <v>45781.0</v>
      </c>
      <c r="D528" s="38">
        <v>92.0</v>
      </c>
      <c r="E528" s="73">
        <f>IFERROR(__xludf.DUMMYFUNCTION("average(filter('Appearance Sheet'!F:F,'Appearance Sheet'!G:G=B528,'Appearance Sheet'!A:A=C528))"),7.0)</f>
        <v>7</v>
      </c>
      <c r="F528" s="67">
        <v>5.37545407</v>
      </c>
      <c r="G528" s="40">
        <v>1.406328386</v>
      </c>
      <c r="H528" s="40">
        <f t="shared" si="1"/>
        <v>1.808136496</v>
      </c>
      <c r="I528" s="41">
        <v>0.543478261</v>
      </c>
      <c r="J528" s="41">
        <v>0.22826087</v>
      </c>
      <c r="K528" s="41">
        <v>0.22826087</v>
      </c>
      <c r="L528" s="41">
        <f t="shared" si="2"/>
        <v>0.315217391</v>
      </c>
      <c r="M528" s="74">
        <v>-0.473014884</v>
      </c>
    </row>
    <row r="529">
      <c r="A529" s="1" t="s">
        <v>470</v>
      </c>
      <c r="B529" s="38">
        <v>681343.0</v>
      </c>
      <c r="C529" s="72">
        <v>45782.0</v>
      </c>
      <c r="D529" s="38">
        <v>89.0</v>
      </c>
      <c r="E529" s="73">
        <f>IFERROR(__xludf.DUMMYFUNCTION("average(filter('Appearance Sheet'!F:F,'Appearance Sheet'!G:G=B529,'Appearance Sheet'!A:A=C529))"),5.0)</f>
        <v>5</v>
      </c>
      <c r="F529" s="67">
        <v>5.375024012</v>
      </c>
      <c r="G529" s="40">
        <v>1.39062536</v>
      </c>
      <c r="H529" s="40">
        <f t="shared" si="1"/>
        <v>2.503125648</v>
      </c>
      <c r="I529" s="41">
        <v>0.528089888</v>
      </c>
      <c r="J529" s="41">
        <v>0.168539326</v>
      </c>
      <c r="K529" s="41">
        <v>0.303370787</v>
      </c>
      <c r="L529" s="41">
        <f t="shared" si="2"/>
        <v>0.224719101</v>
      </c>
      <c r="M529" s="74">
        <v>1.292487927</v>
      </c>
    </row>
    <row r="530">
      <c r="A530" s="1" t="s">
        <v>405</v>
      </c>
      <c r="B530" s="38">
        <v>621111.0</v>
      </c>
      <c r="C530" s="72">
        <v>45757.0</v>
      </c>
      <c r="D530" s="38">
        <v>85.0</v>
      </c>
      <c r="E530" s="73">
        <f>IFERROR(__xludf.DUMMYFUNCTION("average(filter('Appearance Sheet'!F:F,'Appearance Sheet'!G:G=B530,'Appearance Sheet'!A:A=C530))"),6.333333333333333)</f>
        <v>6.333333333</v>
      </c>
      <c r="F530" s="67">
        <v>5.37496925</v>
      </c>
      <c r="G530" s="40">
        <v>1.310637552</v>
      </c>
      <c r="H530" s="40">
        <f t="shared" si="1"/>
        <v>1.862484942</v>
      </c>
      <c r="I530" s="41">
        <v>0.576470588</v>
      </c>
      <c r="J530" s="41">
        <v>0.164705882</v>
      </c>
      <c r="K530" s="41">
        <v>0.258823529</v>
      </c>
      <c r="L530" s="41">
        <f t="shared" si="2"/>
        <v>0.317647059</v>
      </c>
      <c r="M530" s="74">
        <v>0.443491284</v>
      </c>
    </row>
    <row r="531">
      <c r="A531" s="1" t="s">
        <v>189</v>
      </c>
      <c r="B531" s="38">
        <v>607536.0</v>
      </c>
      <c r="C531" s="72">
        <v>45905.0</v>
      </c>
      <c r="D531" s="38">
        <v>84.0</v>
      </c>
      <c r="E531" s="73" t="str">
        <f>IFERROR(__xludf.DUMMYFUNCTION("average(filter('Appearance Sheet'!F:F,'Appearance Sheet'!G:G=B531,'Appearance Sheet'!A:A=C531))"),"#N/A")</f>
        <v>#N/A</v>
      </c>
      <c r="F531" s="67">
        <v>5.374763343</v>
      </c>
      <c r="G531" s="40">
        <v>1.299986481</v>
      </c>
      <c r="H531" s="40" t="str">
        <f t="shared" si="1"/>
        <v>#N/A</v>
      </c>
      <c r="I531" s="41">
        <v>0.488095238</v>
      </c>
      <c r="J531" s="41">
        <v>0.261904762</v>
      </c>
      <c r="K531" s="41">
        <v>0.25</v>
      </c>
      <c r="L531" s="41">
        <f t="shared" si="2"/>
        <v>0.238095238</v>
      </c>
      <c r="M531" s="74">
        <v>2.946958588</v>
      </c>
    </row>
    <row r="532">
      <c r="A532" s="1" t="s">
        <v>57</v>
      </c>
      <c r="B532" s="38">
        <v>594798.0</v>
      </c>
      <c r="C532" s="72">
        <v>45798.0</v>
      </c>
      <c r="D532" s="38">
        <v>103.0</v>
      </c>
      <c r="E532" s="73">
        <f>IFERROR(__xludf.DUMMYFUNCTION("average(filter('Appearance Sheet'!F:F,'Appearance Sheet'!G:G=B532,'Appearance Sheet'!A:A=C532))"),7.0)</f>
        <v>7</v>
      </c>
      <c r="F532" s="67">
        <v>5.374240433</v>
      </c>
      <c r="G532" s="40">
        <v>1.586602568</v>
      </c>
      <c r="H532" s="40">
        <f t="shared" si="1"/>
        <v>2.039917587</v>
      </c>
      <c r="I532" s="41">
        <v>0.533980583</v>
      </c>
      <c r="J532" s="41">
        <v>0.155339806</v>
      </c>
      <c r="K532" s="41">
        <v>0.310679612</v>
      </c>
      <c r="L532" s="41">
        <f t="shared" si="2"/>
        <v>0.223300971</v>
      </c>
      <c r="M532" s="74">
        <v>2.500140376</v>
      </c>
    </row>
    <row r="533">
      <c r="A533" s="1" t="s">
        <v>323</v>
      </c>
      <c r="B533" s="38">
        <v>691587.0</v>
      </c>
      <c r="C533" s="72">
        <v>45893.0</v>
      </c>
      <c r="D533" s="38">
        <v>92.0</v>
      </c>
      <c r="E533" s="73" t="str">
        <f>IFERROR(__xludf.DUMMYFUNCTION("average(filter('Appearance Sheet'!F:F,'Appearance Sheet'!G:G=B533,'Appearance Sheet'!A:A=C533))"),"#N/A")</f>
        <v>#N/A</v>
      </c>
      <c r="F533" s="67">
        <v>5.374231884</v>
      </c>
      <c r="G533" s="40">
        <v>1.412153425</v>
      </c>
      <c r="H533" s="40" t="str">
        <f t="shared" si="1"/>
        <v>#N/A</v>
      </c>
      <c r="I533" s="41">
        <v>0.52173913</v>
      </c>
      <c r="J533" s="41">
        <v>0.108695652</v>
      </c>
      <c r="K533" s="41">
        <v>0.369565217</v>
      </c>
      <c r="L533" s="41">
        <f t="shared" si="2"/>
        <v>0.152173913</v>
      </c>
      <c r="M533" s="74">
        <v>0.578768589</v>
      </c>
    </row>
    <row r="534">
      <c r="A534" s="1" t="s">
        <v>129</v>
      </c>
      <c r="B534" s="38">
        <v>686752.0</v>
      </c>
      <c r="C534" s="72">
        <v>45807.0</v>
      </c>
      <c r="D534" s="38">
        <v>91.0</v>
      </c>
      <c r="E534" s="73">
        <f>IFERROR(__xludf.DUMMYFUNCTION("average(filter('Appearance Sheet'!F:F,'Appearance Sheet'!G:G=B534,'Appearance Sheet'!A:A=C534))"),6.666666666666667)</f>
        <v>6.666666667</v>
      </c>
      <c r="F534" s="67">
        <v>5.374003108</v>
      </c>
      <c r="G534" s="40">
        <v>1.3687995</v>
      </c>
      <c r="H534" s="40">
        <f t="shared" si="1"/>
        <v>1.847879325</v>
      </c>
      <c r="I534" s="41">
        <v>0.571428571</v>
      </c>
      <c r="J534" s="41">
        <v>0.10989011</v>
      </c>
      <c r="K534" s="41">
        <v>0.318681319</v>
      </c>
      <c r="L534" s="41">
        <f t="shared" si="2"/>
        <v>0.252747252</v>
      </c>
      <c r="M534" s="74">
        <v>2.436681786</v>
      </c>
    </row>
    <row r="535">
      <c r="A535" s="1" t="s">
        <v>73</v>
      </c>
      <c r="B535" s="38">
        <v>668881.0</v>
      </c>
      <c r="C535" s="72">
        <v>45924.0</v>
      </c>
      <c r="D535" s="38">
        <v>82.0</v>
      </c>
      <c r="E535" s="73" t="str">
        <f>IFERROR(__xludf.DUMMYFUNCTION("average(filter('Appearance Sheet'!F:F,'Appearance Sheet'!G:G=B535,'Appearance Sheet'!A:A=C535))"),"#N/A")</f>
        <v>#N/A</v>
      </c>
      <c r="F535" s="67">
        <v>5.373699265</v>
      </c>
      <c r="G535" s="40">
        <v>1.266286993</v>
      </c>
      <c r="H535" s="40" t="str">
        <f t="shared" si="1"/>
        <v>#N/A</v>
      </c>
      <c r="I535" s="41">
        <v>0.548780488</v>
      </c>
      <c r="J535" s="41">
        <v>0.134146341</v>
      </c>
      <c r="K535" s="41">
        <v>0.317073171</v>
      </c>
      <c r="L535" s="41">
        <f t="shared" si="2"/>
        <v>0.231707317</v>
      </c>
      <c r="M535" s="74">
        <v>1.17387703</v>
      </c>
    </row>
    <row r="536">
      <c r="A536" s="1" t="s">
        <v>341</v>
      </c>
      <c r="B536" s="38">
        <v>676962.0</v>
      </c>
      <c r="C536" s="72">
        <v>45779.0</v>
      </c>
      <c r="D536" s="38">
        <v>73.0</v>
      </c>
      <c r="E536" s="73">
        <f>IFERROR(__xludf.DUMMYFUNCTION("average(filter('Appearance Sheet'!F:F,'Appearance Sheet'!G:G=B536,'Appearance Sheet'!A:A=C536))"),6.0)</f>
        <v>6</v>
      </c>
      <c r="F536" s="67">
        <v>5.37365203</v>
      </c>
      <c r="G536" s="40">
        <v>1.146077589</v>
      </c>
      <c r="H536" s="40">
        <f t="shared" si="1"/>
        <v>1.719116384</v>
      </c>
      <c r="I536" s="41">
        <v>0.547945205</v>
      </c>
      <c r="J536" s="41">
        <v>0.219178082</v>
      </c>
      <c r="K536" s="41">
        <v>0.232876712</v>
      </c>
      <c r="L536" s="41">
        <f t="shared" si="2"/>
        <v>0.315068493</v>
      </c>
      <c r="M536" s="74">
        <v>1.032417818</v>
      </c>
    </row>
    <row r="537">
      <c r="A537" s="1" t="s">
        <v>100</v>
      </c>
      <c r="B537" s="38">
        <v>676979.0</v>
      </c>
      <c r="C537" s="72">
        <v>45798.0</v>
      </c>
      <c r="D537" s="38">
        <v>81.0</v>
      </c>
      <c r="E537" s="73">
        <f>IFERROR(__xludf.DUMMYFUNCTION("average(filter('Appearance Sheet'!F:F,'Appearance Sheet'!G:G=B537,'Appearance Sheet'!A:A=C537))"),5.333333333333333)</f>
        <v>5.333333333</v>
      </c>
      <c r="F537" s="67">
        <v>5.373601225</v>
      </c>
      <c r="G537" s="40">
        <v>1.249874048</v>
      </c>
      <c r="H537" s="40">
        <f t="shared" si="1"/>
        <v>2.109162456</v>
      </c>
      <c r="I537" s="41">
        <v>0.592592593</v>
      </c>
      <c r="J537" s="41">
        <v>0.185185185</v>
      </c>
      <c r="K537" s="41">
        <v>0.222222222</v>
      </c>
      <c r="L537" s="41">
        <f t="shared" si="2"/>
        <v>0.370370371</v>
      </c>
      <c r="M537" s="74">
        <v>1.062509751</v>
      </c>
    </row>
    <row r="538">
      <c r="A538" s="1" t="s">
        <v>256</v>
      </c>
      <c r="B538" s="38">
        <v>571760.0</v>
      </c>
      <c r="C538" s="72">
        <v>45815.0</v>
      </c>
      <c r="D538" s="38">
        <v>71.0</v>
      </c>
      <c r="E538" s="73">
        <f>IFERROR(__xludf.DUMMYFUNCTION("average(filter('Appearance Sheet'!F:F,'Appearance Sheet'!G:G=B538,'Appearance Sheet'!A:A=C538))"),6.0)</f>
        <v>6</v>
      </c>
      <c r="F538" s="67">
        <v>5.373357943</v>
      </c>
      <c r="G538" s="40">
        <v>1.092551201</v>
      </c>
      <c r="H538" s="40">
        <f t="shared" si="1"/>
        <v>1.638826802</v>
      </c>
      <c r="I538" s="41">
        <v>0.577464789</v>
      </c>
      <c r="J538" s="41">
        <v>0.084507042</v>
      </c>
      <c r="K538" s="41">
        <v>0.338028169</v>
      </c>
      <c r="L538" s="41">
        <f t="shared" si="2"/>
        <v>0.23943662</v>
      </c>
      <c r="M538" s="74">
        <v>-0.132273224</v>
      </c>
    </row>
    <row r="539">
      <c r="A539" s="1" t="s">
        <v>130</v>
      </c>
      <c r="B539" s="38">
        <v>666200.0</v>
      </c>
      <c r="C539" s="72">
        <v>45924.0</v>
      </c>
      <c r="D539" s="38">
        <v>102.0</v>
      </c>
      <c r="E539" s="73" t="str">
        <f>IFERROR(__xludf.DUMMYFUNCTION("average(filter('Appearance Sheet'!F:F,'Appearance Sheet'!G:G=B539,'Appearance Sheet'!A:A=C539))"),"#N/A")</f>
        <v>#N/A</v>
      </c>
      <c r="F539" s="67">
        <v>5.373337001</v>
      </c>
      <c r="G539" s="40">
        <v>1.56763728</v>
      </c>
      <c r="H539" s="40" t="str">
        <f t="shared" si="1"/>
        <v>#N/A</v>
      </c>
      <c r="I539" s="41">
        <v>0.558823529</v>
      </c>
      <c r="J539" s="41">
        <v>0.156862745</v>
      </c>
      <c r="K539" s="41">
        <v>0.284313725</v>
      </c>
      <c r="L539" s="41">
        <f t="shared" si="2"/>
        <v>0.274509804</v>
      </c>
      <c r="M539" s="74">
        <v>3.460953479</v>
      </c>
    </row>
    <row r="540">
      <c r="A540" s="1" t="s">
        <v>189</v>
      </c>
      <c r="B540" s="38">
        <v>607536.0</v>
      </c>
      <c r="C540" s="72">
        <v>45812.0</v>
      </c>
      <c r="D540" s="38">
        <v>88.0</v>
      </c>
      <c r="E540" s="73">
        <f>IFERROR(__xludf.DUMMYFUNCTION("average(filter('Appearance Sheet'!F:F,'Appearance Sheet'!G:G=B540,'Appearance Sheet'!A:A=C540))"),6.333333333333333)</f>
        <v>6.333333333</v>
      </c>
      <c r="F540" s="67">
        <v>5.373135231</v>
      </c>
      <c r="G540" s="40">
        <v>1.352350761</v>
      </c>
      <c r="H540" s="40">
        <f t="shared" si="1"/>
        <v>1.921761608</v>
      </c>
      <c r="I540" s="41">
        <v>0.522727273</v>
      </c>
      <c r="J540" s="41">
        <v>0.193181818</v>
      </c>
      <c r="K540" s="41">
        <v>0.284090909</v>
      </c>
      <c r="L540" s="41">
        <f t="shared" si="2"/>
        <v>0.238636364</v>
      </c>
      <c r="M540" s="74">
        <v>0.862908281</v>
      </c>
    </row>
    <row r="541">
      <c r="A541" s="1" t="s">
        <v>148</v>
      </c>
      <c r="B541" s="38">
        <v>592866.0</v>
      </c>
      <c r="C541" s="72">
        <v>45792.0</v>
      </c>
      <c r="D541" s="38">
        <v>75.0</v>
      </c>
      <c r="E541" s="73">
        <f>IFERROR(__xludf.DUMMYFUNCTION("average(filter('Appearance Sheet'!F:F,'Appearance Sheet'!G:G=B541,'Appearance Sheet'!A:A=C541))"),4.333333333333333)</f>
        <v>4.333333333</v>
      </c>
      <c r="F541" s="67">
        <v>5.37312134</v>
      </c>
      <c r="G541" s="40">
        <v>1.171657536</v>
      </c>
      <c r="H541" s="40">
        <f t="shared" si="1"/>
        <v>2.433442575</v>
      </c>
      <c r="I541" s="41">
        <v>0.533333333</v>
      </c>
      <c r="J541" s="41">
        <v>0.173333333</v>
      </c>
      <c r="K541" s="41">
        <v>0.293333333</v>
      </c>
      <c r="L541" s="41">
        <f t="shared" si="2"/>
        <v>0.24</v>
      </c>
      <c r="M541" s="74">
        <v>-0.879378822</v>
      </c>
    </row>
    <row r="542">
      <c r="A542" s="1" t="s">
        <v>155</v>
      </c>
      <c r="B542" s="38">
        <v>592332.0</v>
      </c>
      <c r="C542" s="72">
        <v>45893.0</v>
      </c>
      <c r="D542" s="38">
        <v>93.0</v>
      </c>
      <c r="E542" s="73" t="str">
        <f>IFERROR(__xludf.DUMMYFUNCTION("average(filter('Appearance Sheet'!F:F,'Appearance Sheet'!G:G=B542,'Appearance Sheet'!A:A=C542))"),"#N/A")</f>
        <v>#N/A</v>
      </c>
      <c r="F542" s="67">
        <v>5.373103283</v>
      </c>
      <c r="G542" s="40">
        <v>1.408788688</v>
      </c>
      <c r="H542" s="40" t="str">
        <f t="shared" si="1"/>
        <v>#N/A</v>
      </c>
      <c r="I542" s="41">
        <v>0.612903226</v>
      </c>
      <c r="J542" s="41">
        <v>0.150537634</v>
      </c>
      <c r="K542" s="41">
        <v>0.23655914</v>
      </c>
      <c r="L542" s="41">
        <f t="shared" si="2"/>
        <v>0.376344086</v>
      </c>
      <c r="M542" s="74">
        <v>-2.099628527</v>
      </c>
    </row>
    <row r="543">
      <c r="A543" s="1" t="s">
        <v>148</v>
      </c>
      <c r="B543" s="38">
        <v>592866.0</v>
      </c>
      <c r="C543" s="72">
        <v>45822.0</v>
      </c>
      <c r="D543" s="38">
        <v>78.0</v>
      </c>
      <c r="E543" s="73">
        <f>IFERROR(__xludf.DUMMYFUNCTION("average(filter('Appearance Sheet'!F:F,'Appearance Sheet'!G:G=B543,'Appearance Sheet'!A:A=C543))"),5.333333333333333)</f>
        <v>5.333333333</v>
      </c>
      <c r="F543" s="67">
        <v>5.37299905</v>
      </c>
      <c r="G543" s="40">
        <v>1.215665033</v>
      </c>
      <c r="H543" s="40">
        <f t="shared" si="1"/>
        <v>2.051434743</v>
      </c>
      <c r="I543" s="41">
        <v>0.538461538</v>
      </c>
      <c r="J543" s="41">
        <v>0.217948718</v>
      </c>
      <c r="K543" s="41">
        <v>0.243589744</v>
      </c>
      <c r="L543" s="41">
        <f t="shared" si="2"/>
        <v>0.294871794</v>
      </c>
      <c r="M543" s="74">
        <v>-0.989585435</v>
      </c>
    </row>
    <row r="544">
      <c r="A544" s="1" t="s">
        <v>411</v>
      </c>
      <c r="B544" s="38">
        <v>605288.0</v>
      </c>
      <c r="C544" s="72">
        <v>45836.0</v>
      </c>
      <c r="D544" s="38">
        <v>82.0</v>
      </c>
      <c r="E544" s="73">
        <f>IFERROR(__xludf.DUMMYFUNCTION("average(filter('Appearance Sheet'!F:F,'Appearance Sheet'!G:G=B544,'Appearance Sheet'!A:A=C544))"),7.0)</f>
        <v>7</v>
      </c>
      <c r="F544" s="67">
        <v>5.372311948</v>
      </c>
      <c r="G544" s="40">
        <v>1.262297002</v>
      </c>
      <c r="H544" s="40">
        <f t="shared" si="1"/>
        <v>1.622953288</v>
      </c>
      <c r="I544" s="41">
        <v>0.536585366</v>
      </c>
      <c r="J544" s="41">
        <v>0.170731707</v>
      </c>
      <c r="K544" s="41">
        <v>0.292682927</v>
      </c>
      <c r="L544" s="41">
        <f t="shared" si="2"/>
        <v>0.243902439</v>
      </c>
      <c r="M544" s="74">
        <v>2.396333681</v>
      </c>
    </row>
    <row r="545">
      <c r="A545" s="1" t="s">
        <v>65</v>
      </c>
      <c r="B545" s="38">
        <v>680885.0</v>
      </c>
      <c r="C545" s="72">
        <v>45768.0</v>
      </c>
      <c r="D545" s="38">
        <v>86.0</v>
      </c>
      <c r="E545" s="73">
        <f>IFERROR(__xludf.DUMMYFUNCTION("average(filter('Appearance Sheet'!F:F,'Appearance Sheet'!G:G=B545,'Appearance Sheet'!A:A=C545))"),7.0)</f>
        <v>7</v>
      </c>
      <c r="F545" s="67">
        <v>5.372146511</v>
      </c>
      <c r="G545" s="40">
        <v>1.372148043</v>
      </c>
      <c r="H545" s="40">
        <f t="shared" si="1"/>
        <v>1.764190341</v>
      </c>
      <c r="I545" s="41">
        <v>0.511627907</v>
      </c>
      <c r="J545" s="41">
        <v>0.209302326</v>
      </c>
      <c r="K545" s="41">
        <v>0.279069767</v>
      </c>
      <c r="L545" s="41">
        <f t="shared" si="2"/>
        <v>0.23255814</v>
      </c>
      <c r="M545" s="74">
        <v>-2.347507593</v>
      </c>
    </row>
    <row r="546">
      <c r="A546" s="1" t="s">
        <v>431</v>
      </c>
      <c r="B546" s="38">
        <v>669203.0</v>
      </c>
      <c r="C546" s="72">
        <v>45759.0</v>
      </c>
      <c r="D546" s="38">
        <v>83.0</v>
      </c>
      <c r="E546" s="73">
        <f>IFERROR(__xludf.DUMMYFUNCTION("average(filter('Appearance Sheet'!F:F,'Appearance Sheet'!G:G=B546,'Appearance Sheet'!A:A=C546))"),6.0)</f>
        <v>6</v>
      </c>
      <c r="F546" s="67">
        <v>5.371915912</v>
      </c>
      <c r="G546" s="40">
        <v>1.252414413</v>
      </c>
      <c r="H546" s="40">
        <f t="shared" si="1"/>
        <v>1.87862162</v>
      </c>
      <c r="I546" s="41">
        <v>0.493975904</v>
      </c>
      <c r="J546" s="41">
        <v>0.253012048</v>
      </c>
      <c r="K546" s="41">
        <v>0.253012048</v>
      </c>
      <c r="L546" s="41">
        <f t="shared" si="2"/>
        <v>0.240963856</v>
      </c>
      <c r="M546" s="74">
        <v>2.269020388</v>
      </c>
    </row>
    <row r="547">
      <c r="A547" s="1" t="s">
        <v>133</v>
      </c>
      <c r="B547" s="38">
        <v>663978.0</v>
      </c>
      <c r="C547" s="72">
        <v>45798.0</v>
      </c>
      <c r="D547" s="38">
        <v>86.0</v>
      </c>
      <c r="E547" s="73">
        <f>IFERROR(__xludf.DUMMYFUNCTION("average(filter('Appearance Sheet'!F:F,'Appearance Sheet'!G:G=B547,'Appearance Sheet'!A:A=C547))"),5.333333333333333)</f>
        <v>5.333333333</v>
      </c>
      <c r="F547" s="67">
        <v>5.371710739</v>
      </c>
      <c r="G547" s="40">
        <v>1.332257055</v>
      </c>
      <c r="H547" s="40">
        <f t="shared" si="1"/>
        <v>2.24818378</v>
      </c>
      <c r="I547" s="41">
        <v>0.581395349</v>
      </c>
      <c r="J547" s="41">
        <v>0.162790698</v>
      </c>
      <c r="K547" s="41">
        <v>0.255813953</v>
      </c>
      <c r="L547" s="41">
        <f t="shared" si="2"/>
        <v>0.325581396</v>
      </c>
      <c r="M547" s="74">
        <v>-1.990816331</v>
      </c>
    </row>
    <row r="548">
      <c r="A548" s="1" t="s">
        <v>55</v>
      </c>
      <c r="B548" s="38">
        <v>641816.0</v>
      </c>
      <c r="C548" s="72">
        <v>45762.0</v>
      </c>
      <c r="D548" s="38">
        <v>91.0</v>
      </c>
      <c r="E548" s="73">
        <f>IFERROR(__xludf.DUMMYFUNCTION("average(filter('Appearance Sheet'!F:F,'Appearance Sheet'!G:G=B548,'Appearance Sheet'!A:A=C548))"),6.0)</f>
        <v>6</v>
      </c>
      <c r="F548" s="67">
        <v>5.371622832</v>
      </c>
      <c r="G548" s="40">
        <v>1.40179531</v>
      </c>
      <c r="H548" s="40">
        <f t="shared" si="1"/>
        <v>2.102692965</v>
      </c>
      <c r="I548" s="41">
        <v>0.571428571</v>
      </c>
      <c r="J548" s="41">
        <v>0.186813187</v>
      </c>
      <c r="K548" s="41">
        <v>0.241758242</v>
      </c>
      <c r="L548" s="41">
        <f t="shared" si="2"/>
        <v>0.329670329</v>
      </c>
      <c r="M548" s="74">
        <v>2.06649393</v>
      </c>
    </row>
    <row r="549">
      <c r="A549" s="1" t="s">
        <v>275</v>
      </c>
      <c r="B549" s="38">
        <v>693821.0</v>
      </c>
      <c r="C549" s="72">
        <v>45758.0</v>
      </c>
      <c r="D549" s="38">
        <v>90.0</v>
      </c>
      <c r="E549" s="73">
        <f>IFERROR(__xludf.DUMMYFUNCTION("average(filter('Appearance Sheet'!F:F,'Appearance Sheet'!G:G=B549,'Appearance Sheet'!A:A=C549))"),6.0)</f>
        <v>6</v>
      </c>
      <c r="F549" s="67">
        <v>5.371526089</v>
      </c>
      <c r="G549" s="40">
        <v>1.388073511</v>
      </c>
      <c r="H549" s="40">
        <f t="shared" si="1"/>
        <v>2.082110267</v>
      </c>
      <c r="I549" s="41">
        <v>0.544444444</v>
      </c>
      <c r="J549" s="41">
        <v>0.144444444</v>
      </c>
      <c r="K549" s="41">
        <v>0.311111111</v>
      </c>
      <c r="L549" s="41">
        <f t="shared" si="2"/>
        <v>0.233333333</v>
      </c>
      <c r="M549" s="74">
        <v>-3.292289999</v>
      </c>
    </row>
    <row r="550">
      <c r="A550" s="1" t="s">
        <v>171</v>
      </c>
      <c r="B550" s="38">
        <v>665795.0</v>
      </c>
      <c r="C550" s="72">
        <v>45883.0</v>
      </c>
      <c r="D550" s="38">
        <v>91.0</v>
      </c>
      <c r="E550" s="73" t="str">
        <f>IFERROR(__xludf.DUMMYFUNCTION("average(filter('Appearance Sheet'!F:F,'Appearance Sheet'!G:G=B550,'Appearance Sheet'!A:A=C550))"),"#N/A")</f>
        <v>#N/A</v>
      </c>
      <c r="F550" s="67">
        <v>5.370671822</v>
      </c>
      <c r="G550" s="40">
        <v>1.403708148</v>
      </c>
      <c r="H550" s="40" t="str">
        <f t="shared" si="1"/>
        <v>#N/A</v>
      </c>
      <c r="I550" s="41">
        <v>0.516483516</v>
      </c>
      <c r="J550" s="41">
        <v>0.098901099</v>
      </c>
      <c r="K550" s="41">
        <v>0.384615385</v>
      </c>
      <c r="L550" s="41">
        <f t="shared" si="2"/>
        <v>0.131868131</v>
      </c>
      <c r="M550" s="74">
        <v>-2.65754057</v>
      </c>
    </row>
    <row r="551">
      <c r="A551" s="1" t="s">
        <v>88</v>
      </c>
      <c r="B551" s="38">
        <v>694973.0</v>
      </c>
      <c r="C551" s="72">
        <v>45924.0</v>
      </c>
      <c r="D551" s="38">
        <v>84.0</v>
      </c>
      <c r="E551" s="73" t="str">
        <f>IFERROR(__xludf.DUMMYFUNCTION("average(filter('Appearance Sheet'!F:F,'Appearance Sheet'!G:G=B551,'Appearance Sheet'!A:A=C551))"),"#N/A")</f>
        <v>#N/A</v>
      </c>
      <c r="F551" s="67">
        <v>5.370338792</v>
      </c>
      <c r="G551" s="40">
        <v>1.28244499</v>
      </c>
      <c r="H551" s="40" t="str">
        <f t="shared" si="1"/>
        <v>#N/A</v>
      </c>
      <c r="I551" s="41">
        <v>0.523809524</v>
      </c>
      <c r="J551" s="41">
        <v>0.130952381</v>
      </c>
      <c r="K551" s="41">
        <v>0.345238095</v>
      </c>
      <c r="L551" s="41">
        <f t="shared" si="2"/>
        <v>0.178571429</v>
      </c>
      <c r="M551" s="74">
        <v>0.497890506</v>
      </c>
    </row>
    <row r="552">
      <c r="A552" s="1" t="s">
        <v>90</v>
      </c>
      <c r="B552" s="38">
        <v>693433.0</v>
      </c>
      <c r="C552" s="72">
        <v>45842.0</v>
      </c>
      <c r="D552" s="38">
        <v>90.0</v>
      </c>
      <c r="E552" s="73">
        <f>IFERROR(__xludf.DUMMYFUNCTION("average(filter('Appearance Sheet'!F:F,'Appearance Sheet'!G:G=B552,'Appearance Sheet'!A:A=C552))"),6.0)</f>
        <v>6</v>
      </c>
      <c r="F552" s="67">
        <v>5.369625565</v>
      </c>
      <c r="G552" s="40">
        <v>1.382749532</v>
      </c>
      <c r="H552" s="40">
        <f t="shared" si="1"/>
        <v>2.074124298</v>
      </c>
      <c r="I552" s="41">
        <v>0.555555556</v>
      </c>
      <c r="J552" s="41">
        <v>0.166666667</v>
      </c>
      <c r="K552" s="41">
        <v>0.277777778</v>
      </c>
      <c r="L552" s="41">
        <f t="shared" si="2"/>
        <v>0.277777778</v>
      </c>
      <c r="M552" s="74">
        <v>2.234849536</v>
      </c>
    </row>
    <row r="553">
      <c r="A553" s="1" t="s">
        <v>109</v>
      </c>
      <c r="B553" s="38">
        <v>601713.0</v>
      </c>
      <c r="C553" s="72">
        <v>45851.0</v>
      </c>
      <c r="D553" s="38">
        <v>104.0</v>
      </c>
      <c r="E553" s="73" t="str">
        <f>IFERROR(__xludf.DUMMYFUNCTION("average(filter('Appearance Sheet'!F:F,'Appearance Sheet'!G:G=B553,'Appearance Sheet'!A:A=C553))"),"#N/A")</f>
        <v>#N/A</v>
      </c>
      <c r="F553" s="67">
        <v>5.369571483</v>
      </c>
      <c r="G553" s="40">
        <v>1.630734866</v>
      </c>
      <c r="H553" s="40" t="str">
        <f t="shared" si="1"/>
        <v>#N/A</v>
      </c>
      <c r="I553" s="41">
        <v>0.548076923</v>
      </c>
      <c r="J553" s="41">
        <v>0.144230769</v>
      </c>
      <c r="K553" s="41">
        <v>0.307692308</v>
      </c>
      <c r="L553" s="41">
        <f t="shared" si="2"/>
        <v>0.240384615</v>
      </c>
      <c r="M553" s="74">
        <v>2.738020282</v>
      </c>
    </row>
    <row r="554">
      <c r="A554" s="1" t="s">
        <v>335</v>
      </c>
      <c r="B554" s="38">
        <v>663436.0</v>
      </c>
      <c r="C554" s="72">
        <v>45764.0</v>
      </c>
      <c r="D554" s="38">
        <v>88.0</v>
      </c>
      <c r="E554" s="73">
        <f>IFERROR(__xludf.DUMMYFUNCTION("average(filter('Appearance Sheet'!F:F,'Appearance Sheet'!G:G=B554,'Appearance Sheet'!A:A=C554))"),5.333333333333333)</f>
        <v>5.333333333</v>
      </c>
      <c r="F554" s="67">
        <v>5.369436512</v>
      </c>
      <c r="G554" s="40">
        <v>1.404162166</v>
      </c>
      <c r="H554" s="40">
        <f t="shared" si="1"/>
        <v>2.369523655</v>
      </c>
      <c r="I554" s="41">
        <v>0.488636364</v>
      </c>
      <c r="J554" s="41">
        <v>0.238636364</v>
      </c>
      <c r="K554" s="41">
        <v>0.272727273</v>
      </c>
      <c r="L554" s="41">
        <f t="shared" si="2"/>
        <v>0.215909091</v>
      </c>
      <c r="M554" s="74">
        <v>-1.768030843</v>
      </c>
    </row>
    <row r="555">
      <c r="A555" s="1" t="s">
        <v>57</v>
      </c>
      <c r="B555" s="38">
        <v>594798.0</v>
      </c>
      <c r="C555" s="72">
        <v>45781.0</v>
      </c>
      <c r="D555" s="38">
        <v>86.0</v>
      </c>
      <c r="E555" s="73">
        <f>IFERROR(__xludf.DUMMYFUNCTION("average(filter('Appearance Sheet'!F:F,'Appearance Sheet'!G:G=B555,'Appearance Sheet'!A:A=C555))"),5.0)</f>
        <v>5</v>
      </c>
      <c r="F555" s="67">
        <v>5.369356919</v>
      </c>
      <c r="G555" s="40">
        <v>1.329232952</v>
      </c>
      <c r="H555" s="40">
        <f t="shared" si="1"/>
        <v>2.392619314</v>
      </c>
      <c r="I555" s="41">
        <v>0.569767442</v>
      </c>
      <c r="J555" s="41">
        <v>0.174418605</v>
      </c>
      <c r="K555" s="41">
        <v>0.255813953</v>
      </c>
      <c r="L555" s="41">
        <f t="shared" si="2"/>
        <v>0.313953489</v>
      </c>
      <c r="M555" s="74">
        <v>1.879740032</v>
      </c>
    </row>
    <row r="556">
      <c r="A556" s="1" t="s">
        <v>65</v>
      </c>
      <c r="B556" s="38">
        <v>680885.0</v>
      </c>
      <c r="C556" s="72">
        <v>45808.0</v>
      </c>
      <c r="D556" s="38">
        <v>94.0</v>
      </c>
      <c r="E556" s="73">
        <f>IFERROR(__xludf.DUMMYFUNCTION("average(filter('Appearance Sheet'!F:F,'Appearance Sheet'!G:G=B556,'Appearance Sheet'!A:A=C556))"),6.333333333333333)</f>
        <v>6.333333333</v>
      </c>
      <c r="F556" s="67">
        <v>5.368550648</v>
      </c>
      <c r="G556" s="40">
        <v>1.467295974</v>
      </c>
      <c r="H556" s="40">
        <f t="shared" si="1"/>
        <v>2.085104805</v>
      </c>
      <c r="I556" s="41">
        <v>0.585106383</v>
      </c>
      <c r="J556" s="41">
        <v>0.170212766</v>
      </c>
      <c r="K556" s="41">
        <v>0.244680851</v>
      </c>
      <c r="L556" s="41">
        <f t="shared" si="2"/>
        <v>0.340425532</v>
      </c>
      <c r="M556" s="74">
        <v>0.471115704</v>
      </c>
    </row>
    <row r="557">
      <c r="A557" s="1" t="s">
        <v>130</v>
      </c>
      <c r="B557" s="38">
        <v>666200.0</v>
      </c>
      <c r="C557" s="72">
        <v>45889.0</v>
      </c>
      <c r="D557" s="38">
        <v>87.0</v>
      </c>
      <c r="E557" s="73" t="str">
        <f>IFERROR(__xludf.DUMMYFUNCTION("average(filter('Appearance Sheet'!F:F,'Appearance Sheet'!G:G=B557,'Appearance Sheet'!A:A=C557))"),"#N/A")</f>
        <v>#N/A</v>
      </c>
      <c r="F557" s="67">
        <v>5.368452322</v>
      </c>
      <c r="G557" s="40">
        <v>1.378118439</v>
      </c>
      <c r="H557" s="40" t="str">
        <f t="shared" si="1"/>
        <v>#N/A</v>
      </c>
      <c r="I557" s="41">
        <v>0.540229885</v>
      </c>
      <c r="J557" s="41">
        <v>0.183908046</v>
      </c>
      <c r="K557" s="41">
        <v>0.275862069</v>
      </c>
      <c r="L557" s="41">
        <f t="shared" si="2"/>
        <v>0.264367816</v>
      </c>
      <c r="M557" s="74">
        <v>2.01979586</v>
      </c>
    </row>
    <row r="558">
      <c r="A558" s="1" t="s">
        <v>456</v>
      </c>
      <c r="B558" s="38">
        <v>605135.0</v>
      </c>
      <c r="C558" s="72">
        <v>45856.0</v>
      </c>
      <c r="D558" s="38">
        <v>90.0</v>
      </c>
      <c r="E558" s="73" t="str">
        <f>IFERROR(__xludf.DUMMYFUNCTION("average(filter('Appearance Sheet'!F:F,'Appearance Sheet'!G:G=B558,'Appearance Sheet'!A:A=C558))"),"#N/A")</f>
        <v>#N/A</v>
      </c>
      <c r="F558" s="67">
        <v>5.368302515</v>
      </c>
      <c r="G558" s="40">
        <v>1.422383527</v>
      </c>
      <c r="H558" s="40" t="str">
        <f t="shared" si="1"/>
        <v>#N/A</v>
      </c>
      <c r="I558" s="41">
        <v>0.511111111</v>
      </c>
      <c r="J558" s="41">
        <v>0.166666667</v>
      </c>
      <c r="K558" s="41">
        <v>0.322222222</v>
      </c>
      <c r="L558" s="41">
        <f t="shared" si="2"/>
        <v>0.188888889</v>
      </c>
      <c r="M558" s="74">
        <v>-2.648269423</v>
      </c>
    </row>
    <row r="559">
      <c r="A559" s="1" t="s">
        <v>153</v>
      </c>
      <c r="B559" s="38">
        <v>669302.0</v>
      </c>
      <c r="C559" s="72">
        <v>45766.0</v>
      </c>
      <c r="D559" s="38">
        <v>99.0</v>
      </c>
      <c r="E559" s="73">
        <f>IFERROR(__xludf.DUMMYFUNCTION("average(filter('Appearance Sheet'!F:F,'Appearance Sheet'!G:G=B559,'Appearance Sheet'!A:A=C559))"),4.666666666666667)</f>
        <v>4.666666667</v>
      </c>
      <c r="F559" s="67">
        <v>5.36768121</v>
      </c>
      <c r="G559" s="40">
        <v>1.550668921</v>
      </c>
      <c r="H559" s="40">
        <f t="shared" si="1"/>
        <v>2.990575776</v>
      </c>
      <c r="I559" s="41">
        <v>0.535353535</v>
      </c>
      <c r="J559" s="41">
        <v>0.202020202</v>
      </c>
      <c r="K559" s="41">
        <v>0.262626263</v>
      </c>
      <c r="L559" s="41">
        <f t="shared" si="2"/>
        <v>0.272727272</v>
      </c>
      <c r="M559" s="74">
        <v>-1.358227263</v>
      </c>
    </row>
    <row r="560">
      <c r="A560" s="1" t="s">
        <v>65</v>
      </c>
      <c r="B560" s="38">
        <v>680885.0</v>
      </c>
      <c r="C560" s="72">
        <v>45819.0</v>
      </c>
      <c r="D560" s="38">
        <v>104.0</v>
      </c>
      <c r="E560" s="73">
        <f>IFERROR(__xludf.DUMMYFUNCTION("average(filter('Appearance Sheet'!F:F,'Appearance Sheet'!G:G=B560,'Appearance Sheet'!A:A=C560))"),9.0)</f>
        <v>9</v>
      </c>
      <c r="F560" s="67">
        <v>5.367644674</v>
      </c>
      <c r="G560" s="40">
        <v>1.662315301</v>
      </c>
      <c r="H560" s="40">
        <f t="shared" si="1"/>
        <v>1.662315301</v>
      </c>
      <c r="I560" s="41">
        <v>0.567307692</v>
      </c>
      <c r="J560" s="41">
        <v>0.173076923</v>
      </c>
      <c r="K560" s="41">
        <v>0.259615385</v>
      </c>
      <c r="L560" s="41">
        <f t="shared" si="2"/>
        <v>0.307692307</v>
      </c>
      <c r="M560" s="74">
        <v>0.947137704</v>
      </c>
    </row>
    <row r="561">
      <c r="A561" s="1" t="s">
        <v>129</v>
      </c>
      <c r="B561" s="38">
        <v>686752.0</v>
      </c>
      <c r="C561" s="72">
        <v>45824.0</v>
      </c>
      <c r="D561" s="38">
        <v>96.0</v>
      </c>
      <c r="E561" s="73">
        <f>IFERROR(__xludf.DUMMYFUNCTION("average(filter('Appearance Sheet'!F:F,'Appearance Sheet'!G:G=B561,'Appearance Sheet'!A:A=C561))"),8.0)</f>
        <v>8</v>
      </c>
      <c r="F561" s="67">
        <v>5.36711071</v>
      </c>
      <c r="G561" s="40">
        <v>1.503270589</v>
      </c>
      <c r="H561" s="40">
        <f t="shared" si="1"/>
        <v>1.691179413</v>
      </c>
      <c r="I561" s="41">
        <v>0.572916667</v>
      </c>
      <c r="J561" s="41">
        <v>0.208333333</v>
      </c>
      <c r="K561" s="41">
        <v>0.21875</v>
      </c>
      <c r="L561" s="41">
        <f t="shared" si="2"/>
        <v>0.354166667</v>
      </c>
      <c r="M561" s="74">
        <v>1.73398763</v>
      </c>
    </row>
    <row r="562">
      <c r="A562" s="1" t="s">
        <v>205</v>
      </c>
      <c r="B562" s="38">
        <v>666142.0</v>
      </c>
      <c r="C562" s="72">
        <v>45917.0</v>
      </c>
      <c r="D562" s="38">
        <v>62.0</v>
      </c>
      <c r="E562" s="73" t="str">
        <f>IFERROR(__xludf.DUMMYFUNCTION("average(filter('Appearance Sheet'!F:F,'Appearance Sheet'!G:G=B562,'Appearance Sheet'!A:A=C562))"),"#N/A")</f>
        <v>#N/A</v>
      </c>
      <c r="F562" s="67">
        <v>5.366788003</v>
      </c>
      <c r="G562" s="40">
        <v>0.942506435</v>
      </c>
      <c r="H562" s="40" t="str">
        <f t="shared" si="1"/>
        <v>#N/A</v>
      </c>
      <c r="I562" s="41">
        <v>0.483870968</v>
      </c>
      <c r="J562" s="41">
        <v>0.209677419</v>
      </c>
      <c r="K562" s="41">
        <v>0.306451613</v>
      </c>
      <c r="L562" s="41">
        <f t="shared" si="2"/>
        <v>0.177419355</v>
      </c>
      <c r="M562" s="74">
        <v>1.809351966</v>
      </c>
    </row>
    <row r="563">
      <c r="A563" s="1" t="s">
        <v>329</v>
      </c>
      <c r="B563" s="38">
        <v>669160.0</v>
      </c>
      <c r="C563" s="72">
        <v>45865.0</v>
      </c>
      <c r="D563" s="38">
        <v>77.0</v>
      </c>
      <c r="E563" s="73" t="str">
        <f>IFERROR(__xludf.DUMMYFUNCTION("average(filter('Appearance Sheet'!F:F,'Appearance Sheet'!G:G=B563,'Appearance Sheet'!A:A=C563))"),"#N/A")</f>
        <v>#N/A</v>
      </c>
      <c r="F563" s="67">
        <v>5.366786369</v>
      </c>
      <c r="G563" s="40">
        <v>1.213361529</v>
      </c>
      <c r="H563" s="40" t="str">
        <f t="shared" si="1"/>
        <v>#N/A</v>
      </c>
      <c r="I563" s="41">
        <v>0.571428571</v>
      </c>
      <c r="J563" s="41">
        <v>0.194805195</v>
      </c>
      <c r="K563" s="41">
        <v>0.233766234</v>
      </c>
      <c r="L563" s="41">
        <f t="shared" si="2"/>
        <v>0.337662337</v>
      </c>
      <c r="M563" s="74">
        <v>-0.392506315</v>
      </c>
    </row>
    <row r="564">
      <c r="A564" s="1" t="s">
        <v>228</v>
      </c>
      <c r="B564" s="38">
        <v>687473.0</v>
      </c>
      <c r="C564" s="72">
        <v>45836.0</v>
      </c>
      <c r="D564" s="38">
        <v>64.0</v>
      </c>
      <c r="E564" s="73">
        <f>IFERROR(__xludf.DUMMYFUNCTION("average(filter('Appearance Sheet'!F:F,'Appearance Sheet'!G:G=B564,'Appearance Sheet'!A:A=C564))"),4.0)</f>
        <v>4</v>
      </c>
      <c r="F564" s="67">
        <v>5.366462285</v>
      </c>
      <c r="G564" s="40">
        <v>1.033166671</v>
      </c>
      <c r="H564" s="40">
        <f t="shared" si="1"/>
        <v>2.32462501</v>
      </c>
      <c r="I564" s="41">
        <v>0.53125</v>
      </c>
      <c r="J564" s="41">
        <v>0.203125</v>
      </c>
      <c r="K564" s="41">
        <v>0.265625</v>
      </c>
      <c r="L564" s="41">
        <f t="shared" si="2"/>
        <v>0.265625</v>
      </c>
      <c r="M564" s="74">
        <v>-2.510518323</v>
      </c>
    </row>
    <row r="565">
      <c r="A565" s="1" t="s">
        <v>163</v>
      </c>
      <c r="B565" s="38">
        <v>663460.0</v>
      </c>
      <c r="C565" s="72">
        <v>45753.0</v>
      </c>
      <c r="D565" s="38">
        <v>98.0</v>
      </c>
      <c r="E565" s="73">
        <f>IFERROR(__xludf.DUMMYFUNCTION("average(filter('Appearance Sheet'!F:F,'Appearance Sheet'!G:G=B565,'Appearance Sheet'!A:A=C565))"),6.666666666666667)</f>
        <v>6.666666667</v>
      </c>
      <c r="F565" s="67">
        <v>5.366375017</v>
      </c>
      <c r="G565" s="40">
        <v>1.550206754</v>
      </c>
      <c r="H565" s="40">
        <f t="shared" si="1"/>
        <v>2.092779118</v>
      </c>
      <c r="I565" s="41">
        <v>0.551020408</v>
      </c>
      <c r="J565" s="41">
        <v>0.163265306</v>
      </c>
      <c r="K565" s="41">
        <v>0.285714286</v>
      </c>
      <c r="L565" s="41">
        <f t="shared" si="2"/>
        <v>0.265306122</v>
      </c>
      <c r="M565" s="74">
        <v>2.082106673</v>
      </c>
    </row>
    <row r="566">
      <c r="A566" s="1" t="s">
        <v>229</v>
      </c>
      <c r="B566" s="38">
        <v>645261.0</v>
      </c>
      <c r="C566" s="72">
        <v>45873.0</v>
      </c>
      <c r="D566" s="38">
        <v>99.0</v>
      </c>
      <c r="E566" s="73" t="str">
        <f>IFERROR(__xludf.DUMMYFUNCTION("average(filter('Appearance Sheet'!F:F,'Appearance Sheet'!G:G=B566,'Appearance Sheet'!A:A=C566))"),"#N/A")</f>
        <v>#N/A</v>
      </c>
      <c r="F566" s="67">
        <v>5.366118028</v>
      </c>
      <c r="G566" s="40">
        <v>1.581279737</v>
      </c>
      <c r="H566" s="40" t="str">
        <f t="shared" si="1"/>
        <v>#N/A</v>
      </c>
      <c r="I566" s="41">
        <v>0.484848485</v>
      </c>
      <c r="J566" s="41">
        <v>0.262626263</v>
      </c>
      <c r="K566" s="41">
        <v>0.252525253</v>
      </c>
      <c r="L566" s="41">
        <f t="shared" si="2"/>
        <v>0.232323232</v>
      </c>
      <c r="M566" s="74">
        <v>-2.13206699</v>
      </c>
    </row>
    <row r="567">
      <c r="A567" s="1" t="s">
        <v>232</v>
      </c>
      <c r="B567" s="38">
        <v>579328.0</v>
      </c>
      <c r="C567" s="72">
        <v>45918.0</v>
      </c>
      <c r="D567" s="38">
        <v>91.0</v>
      </c>
      <c r="E567" s="73" t="str">
        <f>IFERROR(__xludf.DUMMYFUNCTION("average(filter('Appearance Sheet'!F:F,'Appearance Sheet'!G:G=B567,'Appearance Sheet'!A:A=C567))"),"#N/A")</f>
        <v>#N/A</v>
      </c>
      <c r="F567" s="67">
        <v>5.365898398</v>
      </c>
      <c r="G567" s="40">
        <v>1.449584391</v>
      </c>
      <c r="H567" s="40" t="str">
        <f t="shared" si="1"/>
        <v>#N/A</v>
      </c>
      <c r="I567" s="41">
        <v>0.56043956</v>
      </c>
      <c r="J567" s="41">
        <v>0.186813187</v>
      </c>
      <c r="K567" s="41">
        <v>0.252747253</v>
      </c>
      <c r="L567" s="41">
        <f t="shared" si="2"/>
        <v>0.307692307</v>
      </c>
      <c r="M567" s="74">
        <v>1.124280371</v>
      </c>
    </row>
    <row r="568">
      <c r="A568" s="1" t="s">
        <v>175</v>
      </c>
      <c r="B568" s="38">
        <v>622503.0</v>
      </c>
      <c r="C568" s="72">
        <v>45886.0</v>
      </c>
      <c r="D568" s="38">
        <v>61.0</v>
      </c>
      <c r="E568" s="73" t="str">
        <f>IFERROR(__xludf.DUMMYFUNCTION("average(filter('Appearance Sheet'!F:F,'Appearance Sheet'!G:G=B568,'Appearance Sheet'!A:A=C568))"),"#N/A")</f>
        <v>#N/A</v>
      </c>
      <c r="F568" s="67">
        <v>5.365874648</v>
      </c>
      <c r="G568" s="40">
        <v>0.946353292</v>
      </c>
      <c r="H568" s="40" t="str">
        <f t="shared" si="1"/>
        <v>#N/A</v>
      </c>
      <c r="I568" s="41">
        <v>0.540983607</v>
      </c>
      <c r="J568" s="41">
        <v>0.180327869</v>
      </c>
      <c r="K568" s="41">
        <v>0.278688525</v>
      </c>
      <c r="L568" s="41">
        <f t="shared" si="2"/>
        <v>0.262295082</v>
      </c>
      <c r="M568" s="74">
        <v>0.575458365</v>
      </c>
    </row>
    <row r="569">
      <c r="A569" s="1" t="s">
        <v>481</v>
      </c>
      <c r="B569" s="38">
        <v>622608.0</v>
      </c>
      <c r="C569" s="72">
        <v>45891.0</v>
      </c>
      <c r="D569" s="38">
        <v>85.0</v>
      </c>
      <c r="E569" s="73" t="str">
        <f>IFERROR(__xludf.DUMMYFUNCTION("average(filter('Appearance Sheet'!F:F,'Appearance Sheet'!G:G=B569,'Appearance Sheet'!A:A=C569))"),"#N/A")</f>
        <v>#N/A</v>
      </c>
      <c r="F569" s="67">
        <v>5.365843795</v>
      </c>
      <c r="G569" s="40">
        <v>1.352888173</v>
      </c>
      <c r="H569" s="40" t="str">
        <f t="shared" si="1"/>
        <v>#N/A</v>
      </c>
      <c r="I569" s="41">
        <v>0.541176471</v>
      </c>
      <c r="J569" s="41">
        <v>0.2</v>
      </c>
      <c r="K569" s="41">
        <v>0.258823529</v>
      </c>
      <c r="L569" s="41">
        <f t="shared" si="2"/>
        <v>0.282352942</v>
      </c>
      <c r="M569" s="74">
        <v>-3.061332283</v>
      </c>
    </row>
    <row r="570">
      <c r="A570" s="1" t="s">
        <v>189</v>
      </c>
      <c r="B570" s="38">
        <v>607536.0</v>
      </c>
      <c r="C570" s="72">
        <v>45801.0</v>
      </c>
      <c r="D570" s="38">
        <v>81.0</v>
      </c>
      <c r="E570" s="73">
        <f>IFERROR(__xludf.DUMMYFUNCTION("average(filter('Appearance Sheet'!F:F,'Appearance Sheet'!G:G=B570,'Appearance Sheet'!A:A=C570))"),4.666666666666667)</f>
        <v>4.666666667</v>
      </c>
      <c r="F570" s="67">
        <v>5.365657267</v>
      </c>
      <c r="G570" s="40">
        <v>1.274396375</v>
      </c>
      <c r="H570" s="40">
        <f t="shared" si="1"/>
        <v>2.457764438</v>
      </c>
      <c r="I570" s="41">
        <v>0.543209877</v>
      </c>
      <c r="J570" s="41">
        <v>0.197530864</v>
      </c>
      <c r="K570" s="41">
        <v>0.259259259</v>
      </c>
      <c r="L570" s="41">
        <f t="shared" si="2"/>
        <v>0.283950618</v>
      </c>
      <c r="M570" s="74">
        <v>-3.156103173</v>
      </c>
    </row>
    <row r="571">
      <c r="A571" s="1" t="s">
        <v>73</v>
      </c>
      <c r="B571" s="38">
        <v>668881.0</v>
      </c>
      <c r="C571" s="72">
        <v>45800.0</v>
      </c>
      <c r="D571" s="38">
        <v>82.0</v>
      </c>
      <c r="E571" s="73">
        <f>IFERROR(__xludf.DUMMYFUNCTION("average(filter('Appearance Sheet'!F:F,'Appearance Sheet'!G:G=B571,'Appearance Sheet'!A:A=C571))"),4.0)</f>
        <v>4</v>
      </c>
      <c r="F571" s="67">
        <v>5.365521488</v>
      </c>
      <c r="G571" s="40">
        <v>1.267980763</v>
      </c>
      <c r="H571" s="40">
        <f t="shared" si="1"/>
        <v>2.852956717</v>
      </c>
      <c r="I571" s="41">
        <v>0.548780488</v>
      </c>
      <c r="J571" s="41">
        <v>0.158536585</v>
      </c>
      <c r="K571" s="41">
        <v>0.292682927</v>
      </c>
      <c r="L571" s="41">
        <f t="shared" si="2"/>
        <v>0.256097561</v>
      </c>
      <c r="M571" s="74">
        <v>2.2164771</v>
      </c>
    </row>
    <row r="572">
      <c r="A572" s="1" t="s">
        <v>35</v>
      </c>
      <c r="B572" s="38">
        <v>676083.0</v>
      </c>
      <c r="C572" s="72">
        <v>45858.0</v>
      </c>
      <c r="D572" s="38">
        <v>68.0</v>
      </c>
      <c r="E572" s="73" t="str">
        <f>IFERROR(__xludf.DUMMYFUNCTION("average(filter('Appearance Sheet'!F:F,'Appearance Sheet'!G:G=B572,'Appearance Sheet'!A:A=C572))"),"#N/A")</f>
        <v>#N/A</v>
      </c>
      <c r="F572" s="67">
        <v>5.365495031</v>
      </c>
      <c r="G572" s="40">
        <v>1.095131253</v>
      </c>
      <c r="H572" s="40" t="str">
        <f t="shared" si="1"/>
        <v>#N/A</v>
      </c>
      <c r="I572" s="41">
        <v>0.544117647</v>
      </c>
      <c r="J572" s="41">
        <v>0.132352941</v>
      </c>
      <c r="K572" s="41">
        <v>0.323529412</v>
      </c>
      <c r="L572" s="41">
        <f t="shared" si="2"/>
        <v>0.220588235</v>
      </c>
      <c r="M572" s="74">
        <v>-2.74366798</v>
      </c>
    </row>
    <row r="573">
      <c r="A573" s="1" t="s">
        <v>189</v>
      </c>
      <c r="B573" s="38">
        <v>607536.0</v>
      </c>
      <c r="C573" s="72">
        <v>45921.0</v>
      </c>
      <c r="D573" s="38">
        <v>84.0</v>
      </c>
      <c r="E573" s="73" t="str">
        <f>IFERROR(__xludf.DUMMYFUNCTION("average(filter('Appearance Sheet'!F:F,'Appearance Sheet'!G:G=B573,'Appearance Sheet'!A:A=C573))"),"#N/A")</f>
        <v>#N/A</v>
      </c>
      <c r="F573" s="67">
        <v>5.365186866</v>
      </c>
      <c r="G573" s="40">
        <v>1.300213381</v>
      </c>
      <c r="H573" s="40" t="str">
        <f t="shared" si="1"/>
        <v>#N/A</v>
      </c>
      <c r="I573" s="41">
        <v>0.583333333</v>
      </c>
      <c r="J573" s="41">
        <v>0.166666667</v>
      </c>
      <c r="K573" s="41">
        <v>0.25</v>
      </c>
      <c r="L573" s="41">
        <f t="shared" si="2"/>
        <v>0.333333333</v>
      </c>
      <c r="M573" s="74">
        <v>0.981616305</v>
      </c>
    </row>
    <row r="574">
      <c r="A574" s="1" t="s">
        <v>169</v>
      </c>
      <c r="B574" s="38">
        <v>671096.0</v>
      </c>
      <c r="C574" s="72">
        <v>45818.0</v>
      </c>
      <c r="D574" s="38">
        <v>107.0</v>
      </c>
      <c r="E574" s="73">
        <f>IFERROR(__xludf.DUMMYFUNCTION("average(filter('Appearance Sheet'!F:F,'Appearance Sheet'!G:G=B574,'Appearance Sheet'!A:A=C574))"),9.0)</f>
        <v>9</v>
      </c>
      <c r="F574" s="67">
        <v>5.364908134</v>
      </c>
      <c r="G574" s="40">
        <v>1.68219329</v>
      </c>
      <c r="H574" s="40">
        <f t="shared" si="1"/>
        <v>1.68219329</v>
      </c>
      <c r="I574" s="41">
        <v>0.542056075</v>
      </c>
      <c r="J574" s="41">
        <v>0.186915888</v>
      </c>
      <c r="K574" s="41">
        <v>0.271028037</v>
      </c>
      <c r="L574" s="41">
        <f t="shared" si="2"/>
        <v>0.271028038</v>
      </c>
      <c r="M574" s="74">
        <v>2.790279266</v>
      </c>
    </row>
    <row r="575">
      <c r="A575" s="1" t="s">
        <v>109</v>
      </c>
      <c r="B575" s="38">
        <v>601713.0</v>
      </c>
      <c r="C575" s="72">
        <v>45910.0</v>
      </c>
      <c r="D575" s="38">
        <v>94.0</v>
      </c>
      <c r="E575" s="73" t="str">
        <f>IFERROR(__xludf.DUMMYFUNCTION("average(filter('Appearance Sheet'!F:F,'Appearance Sheet'!G:G=B575,'Appearance Sheet'!A:A=C575))"),"#N/A")</f>
        <v>#N/A</v>
      </c>
      <c r="F575" s="67">
        <v>5.364808411</v>
      </c>
      <c r="G575" s="40">
        <v>1.458401239</v>
      </c>
      <c r="H575" s="40" t="str">
        <f t="shared" si="1"/>
        <v>#N/A</v>
      </c>
      <c r="I575" s="41">
        <v>0.627659574</v>
      </c>
      <c r="J575" s="41">
        <v>0.127659574</v>
      </c>
      <c r="K575" s="41">
        <v>0.244680851</v>
      </c>
      <c r="L575" s="41">
        <f t="shared" si="2"/>
        <v>0.382978723</v>
      </c>
      <c r="M575" s="74">
        <v>0.793428089</v>
      </c>
    </row>
    <row r="576">
      <c r="A576" s="1" t="s">
        <v>57</v>
      </c>
      <c r="B576" s="38">
        <v>594798.0</v>
      </c>
      <c r="C576" s="72">
        <v>45771.0</v>
      </c>
      <c r="D576" s="38">
        <v>79.0</v>
      </c>
      <c r="E576" s="73">
        <f>IFERROR(__xludf.DUMMYFUNCTION("average(filter('Appearance Sheet'!F:F,'Appearance Sheet'!G:G=B576,'Appearance Sheet'!A:A=C576))"),5.333333333333333)</f>
        <v>5.333333333</v>
      </c>
      <c r="F576" s="67">
        <v>5.364705061</v>
      </c>
      <c r="G576" s="40">
        <v>1.261665091</v>
      </c>
      <c r="H576" s="40">
        <f t="shared" si="1"/>
        <v>2.129059841</v>
      </c>
      <c r="I576" s="41">
        <v>0.518987342</v>
      </c>
      <c r="J576" s="41">
        <v>0.151898734</v>
      </c>
      <c r="K576" s="41">
        <v>0.329113924</v>
      </c>
      <c r="L576" s="41">
        <f t="shared" si="2"/>
        <v>0.189873418</v>
      </c>
      <c r="M576" s="74">
        <v>-1.861979256</v>
      </c>
    </row>
    <row r="577">
      <c r="A577" s="1" t="s">
        <v>169</v>
      </c>
      <c r="B577" s="38">
        <v>671096.0</v>
      </c>
      <c r="C577" s="72">
        <v>45880.0</v>
      </c>
      <c r="D577" s="38">
        <v>101.0</v>
      </c>
      <c r="E577" s="73" t="str">
        <f>IFERROR(__xludf.DUMMYFUNCTION("average(filter('Appearance Sheet'!F:F,'Appearance Sheet'!G:G=B577,'Appearance Sheet'!A:A=C577))"),"#N/A")</f>
        <v>#N/A</v>
      </c>
      <c r="F577" s="67">
        <v>5.364183299</v>
      </c>
      <c r="G577" s="40">
        <v>1.56488748</v>
      </c>
      <c r="H577" s="40" t="str">
        <f t="shared" si="1"/>
        <v>#N/A</v>
      </c>
      <c r="I577" s="41">
        <v>0.554455446</v>
      </c>
      <c r="J577" s="41">
        <v>0.128712871</v>
      </c>
      <c r="K577" s="41">
        <v>0.316831683</v>
      </c>
      <c r="L577" s="41">
        <f t="shared" si="2"/>
        <v>0.237623763</v>
      </c>
      <c r="M577" s="74">
        <v>-0.360082596</v>
      </c>
    </row>
    <row r="578">
      <c r="A578" s="1" t="s">
        <v>269</v>
      </c>
      <c r="B578" s="38">
        <v>605280.0</v>
      </c>
      <c r="C578" s="72">
        <v>45897.0</v>
      </c>
      <c r="D578" s="38">
        <v>83.0</v>
      </c>
      <c r="E578" s="73" t="str">
        <f>IFERROR(__xludf.DUMMYFUNCTION("average(filter('Appearance Sheet'!F:F,'Appearance Sheet'!G:G=B578,'Appearance Sheet'!A:A=C578))"),"#N/A")</f>
        <v>#N/A</v>
      </c>
      <c r="F578" s="67">
        <v>5.364026602</v>
      </c>
      <c r="G578" s="40">
        <v>1.314335257</v>
      </c>
      <c r="H578" s="40" t="str">
        <f t="shared" si="1"/>
        <v>#N/A</v>
      </c>
      <c r="I578" s="41">
        <v>0.530120482</v>
      </c>
      <c r="J578" s="41">
        <v>0.156626506</v>
      </c>
      <c r="K578" s="41">
        <v>0.313253012</v>
      </c>
      <c r="L578" s="41">
        <f t="shared" si="2"/>
        <v>0.21686747</v>
      </c>
      <c r="M578" s="74">
        <v>1.278244743</v>
      </c>
    </row>
    <row r="579">
      <c r="A579" s="1" t="s">
        <v>180</v>
      </c>
      <c r="B579" s="38">
        <v>642547.0</v>
      </c>
      <c r="C579" s="72">
        <v>45851.0</v>
      </c>
      <c r="D579" s="38">
        <v>99.0</v>
      </c>
      <c r="E579" s="73" t="str">
        <f>IFERROR(__xludf.DUMMYFUNCTION("average(filter('Appearance Sheet'!F:F,'Appearance Sheet'!G:G=B579,'Appearance Sheet'!A:A=C579))"),"#N/A")</f>
        <v>#N/A</v>
      </c>
      <c r="F579" s="67">
        <v>5.363384457</v>
      </c>
      <c r="G579" s="40">
        <v>1.522550611</v>
      </c>
      <c r="H579" s="40" t="str">
        <f t="shared" si="1"/>
        <v>#N/A</v>
      </c>
      <c r="I579" s="41">
        <v>0.535353535</v>
      </c>
      <c r="J579" s="41">
        <v>0.121212121</v>
      </c>
      <c r="K579" s="41">
        <v>0.343434343</v>
      </c>
      <c r="L579" s="41">
        <f t="shared" si="2"/>
        <v>0.191919192</v>
      </c>
      <c r="M579" s="74">
        <v>1.214625992</v>
      </c>
    </row>
    <row r="580">
      <c r="A580" s="1" t="s">
        <v>35</v>
      </c>
      <c r="B580" s="38">
        <v>676083.0</v>
      </c>
      <c r="C580" s="72">
        <v>45892.0</v>
      </c>
      <c r="D580" s="38">
        <v>91.0</v>
      </c>
      <c r="E580" s="73" t="str">
        <f>IFERROR(__xludf.DUMMYFUNCTION("average(filter('Appearance Sheet'!F:F,'Appearance Sheet'!G:G=B580,'Appearance Sheet'!A:A=C580))"),"#N/A")</f>
        <v>#N/A</v>
      </c>
      <c r="F580" s="67">
        <v>5.36320451</v>
      </c>
      <c r="G580" s="40">
        <v>1.425380838</v>
      </c>
      <c r="H580" s="40" t="str">
        <f t="shared" si="1"/>
        <v>#N/A</v>
      </c>
      <c r="I580" s="41">
        <v>0.527472527</v>
      </c>
      <c r="J580" s="41">
        <v>0.186813187</v>
      </c>
      <c r="K580" s="41">
        <v>0.285714286</v>
      </c>
      <c r="L580" s="41">
        <f t="shared" si="2"/>
        <v>0.241758241</v>
      </c>
      <c r="M580" s="74">
        <v>-0.902559</v>
      </c>
    </row>
    <row r="581">
      <c r="A581" s="1" t="s">
        <v>303</v>
      </c>
      <c r="B581" s="38">
        <v>592662.0</v>
      </c>
      <c r="C581" s="72">
        <v>45836.0</v>
      </c>
      <c r="D581" s="38">
        <v>94.0</v>
      </c>
      <c r="E581" s="73">
        <f>IFERROR(__xludf.DUMMYFUNCTION("average(filter('Appearance Sheet'!F:F,'Appearance Sheet'!G:G=B581,'Appearance Sheet'!A:A=C581))"),6.0)</f>
        <v>6</v>
      </c>
      <c r="F581" s="67">
        <v>5.362815492</v>
      </c>
      <c r="G581" s="40">
        <v>1.493337632</v>
      </c>
      <c r="H581" s="40">
        <f t="shared" si="1"/>
        <v>2.240006448</v>
      </c>
      <c r="I581" s="41">
        <v>0.542553191</v>
      </c>
      <c r="J581" s="41">
        <v>0.159574468</v>
      </c>
      <c r="K581" s="41">
        <v>0.29787234</v>
      </c>
      <c r="L581" s="41">
        <f t="shared" si="2"/>
        <v>0.244680851</v>
      </c>
      <c r="M581" s="74">
        <v>0.981253338</v>
      </c>
    </row>
    <row r="582">
      <c r="A582" s="1" t="s">
        <v>336</v>
      </c>
      <c r="B582" s="38">
        <v>605488.0</v>
      </c>
      <c r="C582" s="72">
        <v>45828.0</v>
      </c>
      <c r="D582" s="38">
        <v>99.0</v>
      </c>
      <c r="E582" s="73">
        <f>IFERROR(__xludf.DUMMYFUNCTION("average(filter('Appearance Sheet'!F:F,'Appearance Sheet'!G:G=B582,'Appearance Sheet'!A:A=C582))"),7.333333333333333)</f>
        <v>7.333333333</v>
      </c>
      <c r="F582" s="67">
        <v>5.36278145</v>
      </c>
      <c r="G582" s="40">
        <v>1.502869892</v>
      </c>
      <c r="H582" s="40">
        <f t="shared" si="1"/>
        <v>1.844431231</v>
      </c>
      <c r="I582" s="41">
        <v>0.505050505</v>
      </c>
      <c r="J582" s="41">
        <v>0.212121212</v>
      </c>
      <c r="K582" s="41">
        <v>0.282828283</v>
      </c>
      <c r="L582" s="41">
        <f t="shared" si="2"/>
        <v>0.222222222</v>
      </c>
      <c r="M582" s="74">
        <v>2.316282794</v>
      </c>
    </row>
    <row r="583">
      <c r="A583" s="1" t="s">
        <v>383</v>
      </c>
      <c r="B583" s="38">
        <v>573186.0</v>
      </c>
      <c r="C583" s="72">
        <v>45858.0</v>
      </c>
      <c r="D583" s="38">
        <v>94.0</v>
      </c>
      <c r="E583" s="73" t="str">
        <f>IFERROR(__xludf.DUMMYFUNCTION("average(filter('Appearance Sheet'!F:F,'Appearance Sheet'!G:G=B583,'Appearance Sheet'!A:A=C583))"),"#N/A")</f>
        <v>#N/A</v>
      </c>
      <c r="F583" s="67">
        <v>5.362768661</v>
      </c>
      <c r="G583" s="40">
        <v>1.439031573</v>
      </c>
      <c r="H583" s="40" t="str">
        <f t="shared" si="1"/>
        <v>#N/A</v>
      </c>
      <c r="I583" s="41">
        <v>0.542553191</v>
      </c>
      <c r="J583" s="41">
        <v>0.127659574</v>
      </c>
      <c r="K583" s="41">
        <v>0.329787234</v>
      </c>
      <c r="L583" s="41">
        <f t="shared" si="2"/>
        <v>0.212765957</v>
      </c>
      <c r="M583" s="74">
        <v>0.405328663</v>
      </c>
    </row>
    <row r="584">
      <c r="A584" s="1" t="s">
        <v>218</v>
      </c>
      <c r="B584" s="38">
        <v>669432.0</v>
      </c>
      <c r="C584" s="72">
        <v>45899.0</v>
      </c>
      <c r="D584" s="38">
        <v>87.0</v>
      </c>
      <c r="E584" s="73" t="str">
        <f>IFERROR(__xludf.DUMMYFUNCTION("average(filter('Appearance Sheet'!F:F,'Appearance Sheet'!G:G=B584,'Appearance Sheet'!A:A=C584))"),"#N/A")</f>
        <v>#N/A</v>
      </c>
      <c r="F584" s="67">
        <v>5.362309711</v>
      </c>
      <c r="G584" s="40">
        <v>1.411598134</v>
      </c>
      <c r="H584" s="40" t="str">
        <f t="shared" si="1"/>
        <v>#N/A</v>
      </c>
      <c r="I584" s="41">
        <v>0.459770115</v>
      </c>
      <c r="J584" s="41">
        <v>0.252873563</v>
      </c>
      <c r="K584" s="41">
        <v>0.287356322</v>
      </c>
      <c r="L584" s="41">
        <f t="shared" si="2"/>
        <v>0.172413793</v>
      </c>
      <c r="M584" s="74">
        <v>0.683527837</v>
      </c>
    </row>
    <row r="585">
      <c r="A585" s="1" t="s">
        <v>307</v>
      </c>
      <c r="B585" s="38">
        <v>656849.0</v>
      </c>
      <c r="C585" s="72">
        <v>45911.0</v>
      </c>
      <c r="D585" s="38">
        <v>82.0</v>
      </c>
      <c r="E585" s="73" t="str">
        <f>IFERROR(__xludf.DUMMYFUNCTION("average(filter('Appearance Sheet'!F:F,'Appearance Sheet'!G:G=B585,'Appearance Sheet'!A:A=C585))"),"#N/A")</f>
        <v>#N/A</v>
      </c>
      <c r="F585" s="67">
        <v>5.362270292</v>
      </c>
      <c r="G585" s="40">
        <v>1.283198968</v>
      </c>
      <c r="H585" s="40" t="str">
        <f t="shared" si="1"/>
        <v>#N/A</v>
      </c>
      <c r="I585" s="41">
        <v>0.512195122</v>
      </c>
      <c r="J585" s="41">
        <v>0.219512195</v>
      </c>
      <c r="K585" s="41">
        <v>0.268292683</v>
      </c>
      <c r="L585" s="41">
        <f t="shared" si="2"/>
        <v>0.243902439</v>
      </c>
      <c r="M585" s="74">
        <v>-1.676612475</v>
      </c>
    </row>
    <row r="586">
      <c r="A586" s="1" t="s">
        <v>109</v>
      </c>
      <c r="B586" s="38">
        <v>601713.0</v>
      </c>
      <c r="C586" s="72">
        <v>45817.0</v>
      </c>
      <c r="D586" s="38">
        <v>91.0</v>
      </c>
      <c r="E586" s="73">
        <f>IFERROR(__xludf.DUMMYFUNCTION("average(filter('Appearance Sheet'!F:F,'Appearance Sheet'!G:G=B586,'Appearance Sheet'!A:A=C586))"),4.0)</f>
        <v>4</v>
      </c>
      <c r="F586" s="67">
        <v>5.36203049</v>
      </c>
      <c r="G586" s="40">
        <v>1.420875758</v>
      </c>
      <c r="H586" s="40">
        <f t="shared" si="1"/>
        <v>3.196970456</v>
      </c>
      <c r="I586" s="41">
        <v>0.494505495</v>
      </c>
      <c r="J586" s="41">
        <v>0.197802198</v>
      </c>
      <c r="K586" s="41">
        <v>0.307692308</v>
      </c>
      <c r="L586" s="41">
        <f t="shared" si="2"/>
        <v>0.186813187</v>
      </c>
      <c r="M586" s="74">
        <v>-3.197050369</v>
      </c>
    </row>
    <row r="587">
      <c r="A587" s="1" t="s">
        <v>156</v>
      </c>
      <c r="B587" s="38">
        <v>519242.0</v>
      </c>
      <c r="C587" s="72">
        <v>45928.0</v>
      </c>
      <c r="D587" s="38">
        <v>89.0</v>
      </c>
      <c r="E587" s="73" t="str">
        <f>IFERROR(__xludf.DUMMYFUNCTION("average(filter('Appearance Sheet'!F:F,'Appearance Sheet'!G:G=B587,'Appearance Sheet'!A:A=C587))"),"#N/A")</f>
        <v>#N/A</v>
      </c>
      <c r="F587" s="67">
        <v>5.361902496</v>
      </c>
      <c r="G587" s="40">
        <v>1.403907495</v>
      </c>
      <c r="H587" s="40" t="str">
        <f t="shared" si="1"/>
        <v>#N/A</v>
      </c>
      <c r="I587" s="41">
        <v>0.528089888</v>
      </c>
      <c r="J587" s="41">
        <v>0.202247191</v>
      </c>
      <c r="K587" s="41">
        <v>0.269662921</v>
      </c>
      <c r="L587" s="41">
        <f t="shared" si="2"/>
        <v>0.258426967</v>
      </c>
      <c r="M587" s="74">
        <v>1.097318847</v>
      </c>
    </row>
    <row r="588">
      <c r="A588" s="1" t="s">
        <v>253</v>
      </c>
      <c r="B588" s="38">
        <v>701581.0</v>
      </c>
      <c r="C588" s="72">
        <v>45813.0</v>
      </c>
      <c r="D588" s="38">
        <v>78.0</v>
      </c>
      <c r="E588" s="73">
        <f>IFERROR(__xludf.DUMMYFUNCTION("average(filter('Appearance Sheet'!F:F,'Appearance Sheet'!G:G=B588,'Appearance Sheet'!A:A=C588))"),3.6666666666666665)</f>
        <v>3.666666667</v>
      </c>
      <c r="F588" s="67">
        <v>5.361879</v>
      </c>
      <c r="G588" s="40">
        <v>1.216396317</v>
      </c>
      <c r="H588" s="40">
        <f t="shared" si="1"/>
        <v>2.985700051</v>
      </c>
      <c r="I588" s="41">
        <v>0.551282051</v>
      </c>
      <c r="J588" s="41">
        <v>0.153846154</v>
      </c>
      <c r="K588" s="41">
        <v>0.294871795</v>
      </c>
      <c r="L588" s="41">
        <f t="shared" si="2"/>
        <v>0.256410256</v>
      </c>
      <c r="M588" s="74">
        <v>-2.061374793</v>
      </c>
    </row>
    <row r="589">
      <c r="A589" s="1" t="s">
        <v>232</v>
      </c>
      <c r="B589" s="38">
        <v>579328.0</v>
      </c>
      <c r="C589" s="72">
        <v>45778.0</v>
      </c>
      <c r="D589" s="38">
        <v>90.0</v>
      </c>
      <c r="E589" s="73">
        <f>IFERROR(__xludf.DUMMYFUNCTION("average(filter('Appearance Sheet'!F:F,'Appearance Sheet'!G:G=B589,'Appearance Sheet'!A:A=C589))"),5.0)</f>
        <v>5</v>
      </c>
      <c r="F589" s="67">
        <v>5.361605301</v>
      </c>
      <c r="G589" s="40">
        <v>1.389946145</v>
      </c>
      <c r="H589" s="40">
        <f t="shared" si="1"/>
        <v>2.501903061</v>
      </c>
      <c r="I589" s="41">
        <v>0.588888889</v>
      </c>
      <c r="J589" s="41">
        <v>0.111111111</v>
      </c>
      <c r="K589" s="41">
        <v>0.3</v>
      </c>
      <c r="L589" s="41">
        <f t="shared" si="2"/>
        <v>0.288888889</v>
      </c>
      <c r="M589" s="74">
        <v>0.685373928</v>
      </c>
    </row>
    <row r="590">
      <c r="A590" s="1" t="s">
        <v>84</v>
      </c>
      <c r="B590" s="38">
        <v>669373.0</v>
      </c>
      <c r="C590" s="72">
        <v>45791.0</v>
      </c>
      <c r="D590" s="38">
        <v>95.0</v>
      </c>
      <c r="E590" s="73">
        <f>IFERROR(__xludf.DUMMYFUNCTION("average(filter('Appearance Sheet'!F:F,'Appearance Sheet'!G:G=B590,'Appearance Sheet'!A:A=C590))"),6.333333333333333)</f>
        <v>6.333333333</v>
      </c>
      <c r="F590" s="67">
        <v>5.361595362</v>
      </c>
      <c r="G590" s="40">
        <v>1.516300549</v>
      </c>
      <c r="H590" s="40">
        <f t="shared" si="1"/>
        <v>2.154742885</v>
      </c>
      <c r="I590" s="41">
        <v>0.6</v>
      </c>
      <c r="J590" s="41">
        <v>0.126315789</v>
      </c>
      <c r="K590" s="41">
        <v>0.273684211</v>
      </c>
      <c r="L590" s="41">
        <f t="shared" si="2"/>
        <v>0.326315789</v>
      </c>
      <c r="M590" s="74">
        <v>-1.953308284</v>
      </c>
    </row>
    <row r="591">
      <c r="A591" s="1" t="s">
        <v>347</v>
      </c>
      <c r="B591" s="38">
        <v>700249.0</v>
      </c>
      <c r="C591" s="72">
        <v>45783.0</v>
      </c>
      <c r="D591" s="38">
        <v>97.0</v>
      </c>
      <c r="E591" s="73">
        <f>IFERROR(__xludf.DUMMYFUNCTION("average(filter('Appearance Sheet'!F:F,'Appearance Sheet'!G:G=B591,'Appearance Sheet'!A:A=C591))"),6.0)</f>
        <v>6</v>
      </c>
      <c r="F591" s="67">
        <v>5.361492171</v>
      </c>
      <c r="G591" s="40">
        <v>1.526113687</v>
      </c>
      <c r="H591" s="40">
        <f t="shared" si="1"/>
        <v>2.289170531</v>
      </c>
      <c r="I591" s="41">
        <v>0.494845361</v>
      </c>
      <c r="J591" s="41">
        <v>0.226804124</v>
      </c>
      <c r="K591" s="41">
        <v>0.278350515</v>
      </c>
      <c r="L591" s="41">
        <f t="shared" si="2"/>
        <v>0.216494846</v>
      </c>
      <c r="M591" s="74">
        <v>-0.611690518</v>
      </c>
    </row>
    <row r="592">
      <c r="A592" s="1" t="s">
        <v>282</v>
      </c>
      <c r="B592" s="38">
        <v>656302.0</v>
      </c>
      <c r="C592" s="72">
        <v>45808.0</v>
      </c>
      <c r="D592" s="38">
        <v>95.0</v>
      </c>
      <c r="E592" s="73">
        <f>IFERROR(__xludf.DUMMYFUNCTION("average(filter('Appearance Sheet'!F:F,'Appearance Sheet'!G:G=B592,'Appearance Sheet'!A:A=C592))"),4.666666666666667)</f>
        <v>4.666666667</v>
      </c>
      <c r="F592" s="67">
        <v>5.361420861</v>
      </c>
      <c r="G592" s="40">
        <v>1.491658377</v>
      </c>
      <c r="H592" s="40">
        <f t="shared" si="1"/>
        <v>2.876769727</v>
      </c>
      <c r="I592" s="41">
        <v>0.557894737</v>
      </c>
      <c r="J592" s="41">
        <v>0.105263158</v>
      </c>
      <c r="K592" s="41">
        <v>0.336842105</v>
      </c>
      <c r="L592" s="41">
        <f t="shared" si="2"/>
        <v>0.221052632</v>
      </c>
      <c r="M592" s="74">
        <v>-2.475513388</v>
      </c>
    </row>
    <row r="593">
      <c r="A593" s="1" t="s">
        <v>67</v>
      </c>
      <c r="B593" s="38">
        <v>684007.0</v>
      </c>
      <c r="C593" s="72">
        <v>45874.0</v>
      </c>
      <c r="D593" s="38">
        <v>91.0</v>
      </c>
      <c r="E593" s="73" t="str">
        <f>IFERROR(__xludf.DUMMYFUNCTION("average(filter('Appearance Sheet'!F:F,'Appearance Sheet'!G:G=B593,'Appearance Sheet'!A:A=C593))"),"#N/A")</f>
        <v>#N/A</v>
      </c>
      <c r="F593" s="67">
        <v>5.361153481</v>
      </c>
      <c r="G593" s="40">
        <v>1.436257068</v>
      </c>
      <c r="H593" s="40" t="str">
        <f t="shared" si="1"/>
        <v>#N/A</v>
      </c>
      <c r="I593" s="41">
        <v>0.516483516</v>
      </c>
      <c r="J593" s="41">
        <v>0.164835165</v>
      </c>
      <c r="K593" s="41">
        <v>0.318681319</v>
      </c>
      <c r="L593" s="41">
        <f t="shared" si="2"/>
        <v>0.197802197</v>
      </c>
      <c r="M593" s="74">
        <v>2.537781432</v>
      </c>
    </row>
    <row r="594">
      <c r="A594" s="1" t="s">
        <v>100</v>
      </c>
      <c r="B594" s="38">
        <v>676979.0</v>
      </c>
      <c r="C594" s="72">
        <v>45821.0</v>
      </c>
      <c r="D594" s="38">
        <v>105.0</v>
      </c>
      <c r="E594" s="73">
        <f>IFERROR(__xludf.DUMMYFUNCTION("average(filter('Appearance Sheet'!F:F,'Appearance Sheet'!G:G=B594,'Appearance Sheet'!A:A=C594))"),8.333333333333334)</f>
        <v>8.333333333</v>
      </c>
      <c r="F594" s="67">
        <v>5.361140408</v>
      </c>
      <c r="G594" s="40">
        <v>1.663375755</v>
      </c>
      <c r="H594" s="40">
        <f t="shared" si="1"/>
        <v>1.796445815</v>
      </c>
      <c r="I594" s="41">
        <v>0.561904762</v>
      </c>
      <c r="J594" s="41">
        <v>0.142857143</v>
      </c>
      <c r="K594" s="41">
        <v>0.295238095</v>
      </c>
      <c r="L594" s="41">
        <f t="shared" si="2"/>
        <v>0.266666667</v>
      </c>
      <c r="M594" s="74">
        <v>1.27748128</v>
      </c>
    </row>
    <row r="595">
      <c r="A595" s="1" t="s">
        <v>84</v>
      </c>
      <c r="B595" s="38">
        <v>669373.0</v>
      </c>
      <c r="C595" s="72">
        <v>45808.0</v>
      </c>
      <c r="D595" s="38">
        <v>86.0</v>
      </c>
      <c r="E595" s="73">
        <f>IFERROR(__xludf.DUMMYFUNCTION("average(filter('Appearance Sheet'!F:F,'Appearance Sheet'!G:G=B595,'Appearance Sheet'!A:A=C595))"),7.0)</f>
        <v>7</v>
      </c>
      <c r="F595" s="67">
        <v>5.360666874</v>
      </c>
      <c r="G595" s="40">
        <v>1.35074127</v>
      </c>
      <c r="H595" s="40">
        <f t="shared" si="1"/>
        <v>1.736667347</v>
      </c>
      <c r="I595" s="41">
        <v>0.511627907</v>
      </c>
      <c r="J595" s="41">
        <v>0.174418605</v>
      </c>
      <c r="K595" s="41">
        <v>0.313953488</v>
      </c>
      <c r="L595" s="41">
        <f t="shared" si="2"/>
        <v>0.197674419</v>
      </c>
      <c r="M595" s="74">
        <v>3.192149444</v>
      </c>
    </row>
    <row r="596">
      <c r="A596" s="1" t="s">
        <v>195</v>
      </c>
      <c r="B596" s="38">
        <v>668678.0</v>
      </c>
      <c r="C596" s="72">
        <v>45926.0</v>
      </c>
      <c r="D596" s="38">
        <v>99.0</v>
      </c>
      <c r="E596" s="73" t="str">
        <f>IFERROR(__xludf.DUMMYFUNCTION("average(filter('Appearance Sheet'!F:F,'Appearance Sheet'!G:G=B596,'Appearance Sheet'!A:A=C596))"),"#N/A")</f>
        <v>#N/A</v>
      </c>
      <c r="F596" s="67">
        <v>5.360483005</v>
      </c>
      <c r="G596" s="40">
        <v>1.52297049</v>
      </c>
      <c r="H596" s="40" t="str">
        <f t="shared" si="1"/>
        <v>#N/A</v>
      </c>
      <c r="I596" s="41">
        <v>0.555555556</v>
      </c>
      <c r="J596" s="41">
        <v>0.161616162</v>
      </c>
      <c r="K596" s="41">
        <v>0.282828283</v>
      </c>
      <c r="L596" s="41">
        <f t="shared" si="2"/>
        <v>0.272727273</v>
      </c>
      <c r="M596" s="74">
        <v>-1.429896405</v>
      </c>
    </row>
    <row r="597">
      <c r="A597" s="1" t="s">
        <v>155</v>
      </c>
      <c r="B597" s="38">
        <v>592332.0</v>
      </c>
      <c r="C597" s="72">
        <v>45923.0</v>
      </c>
      <c r="D597" s="38">
        <v>90.0</v>
      </c>
      <c r="E597" s="73" t="str">
        <f>IFERROR(__xludf.DUMMYFUNCTION("average(filter('Appearance Sheet'!F:F,'Appearance Sheet'!G:G=B597,'Appearance Sheet'!A:A=C597))"),"#N/A")</f>
        <v>#N/A</v>
      </c>
      <c r="F597" s="67">
        <v>5.359917122</v>
      </c>
      <c r="G597" s="40">
        <v>1.435349807</v>
      </c>
      <c r="H597" s="40" t="str">
        <f t="shared" si="1"/>
        <v>#N/A</v>
      </c>
      <c r="I597" s="41">
        <v>0.555555556</v>
      </c>
      <c r="J597" s="41">
        <v>0.144444444</v>
      </c>
      <c r="K597" s="41">
        <v>0.3</v>
      </c>
      <c r="L597" s="41">
        <f t="shared" si="2"/>
        <v>0.255555556</v>
      </c>
      <c r="M597" s="74">
        <v>-4.350464644</v>
      </c>
    </row>
    <row r="598">
      <c r="A598" s="1" t="s">
        <v>147</v>
      </c>
      <c r="B598" s="38">
        <v>608379.0</v>
      </c>
      <c r="C598" s="72">
        <v>45808.0</v>
      </c>
      <c r="D598" s="38">
        <v>98.0</v>
      </c>
      <c r="E598" s="73">
        <f>IFERROR(__xludf.DUMMYFUNCTION("average(filter('Appearance Sheet'!F:F,'Appearance Sheet'!G:G=B598,'Appearance Sheet'!A:A=C598))"),7.0)</f>
        <v>7</v>
      </c>
      <c r="F598" s="67">
        <v>5.359915018</v>
      </c>
      <c r="G598" s="40">
        <v>1.535244323</v>
      </c>
      <c r="H598" s="40">
        <f t="shared" si="1"/>
        <v>1.973885558</v>
      </c>
      <c r="I598" s="41">
        <v>0.5</v>
      </c>
      <c r="J598" s="41">
        <v>0.214285714</v>
      </c>
      <c r="K598" s="41">
        <v>0.285714286</v>
      </c>
      <c r="L598" s="41">
        <f t="shared" si="2"/>
        <v>0.214285714</v>
      </c>
      <c r="M598" s="74">
        <v>5.288289583</v>
      </c>
    </row>
    <row r="599">
      <c r="A599" s="1" t="s">
        <v>161</v>
      </c>
      <c r="B599" s="38">
        <v>702070.0</v>
      </c>
      <c r="C599" s="72">
        <v>45805.0</v>
      </c>
      <c r="D599" s="38">
        <v>89.0</v>
      </c>
      <c r="E599" s="73">
        <f>IFERROR(__xludf.DUMMYFUNCTION("average(filter('Appearance Sheet'!F:F,'Appearance Sheet'!G:G=B599,'Appearance Sheet'!A:A=C599))"),6.333333333333333)</f>
        <v>6.333333333</v>
      </c>
      <c r="F599" s="67">
        <v>5.359890057</v>
      </c>
      <c r="G599" s="40">
        <v>1.435200903</v>
      </c>
      <c r="H599" s="40">
        <f t="shared" si="1"/>
        <v>2.03949602</v>
      </c>
      <c r="I599" s="41">
        <v>0.494382022</v>
      </c>
      <c r="J599" s="41">
        <v>0.235955056</v>
      </c>
      <c r="K599" s="41">
        <v>0.269662921</v>
      </c>
      <c r="L599" s="41">
        <f t="shared" si="2"/>
        <v>0.224719101</v>
      </c>
      <c r="M599" s="74">
        <v>-0.850616326</v>
      </c>
    </row>
    <row r="600">
      <c r="A600" s="1" t="s">
        <v>155</v>
      </c>
      <c r="B600" s="38">
        <v>592332.0</v>
      </c>
      <c r="C600" s="72">
        <v>45786.0</v>
      </c>
      <c r="D600" s="38">
        <v>99.0</v>
      </c>
      <c r="E600" s="73">
        <f>IFERROR(__xludf.DUMMYFUNCTION("average(filter('Appearance Sheet'!F:F,'Appearance Sheet'!G:G=B600,'Appearance Sheet'!A:A=C600))"),5.333333333333333)</f>
        <v>5.333333333</v>
      </c>
      <c r="F600" s="67">
        <v>5.359774445</v>
      </c>
      <c r="G600" s="40">
        <v>1.524168073</v>
      </c>
      <c r="H600" s="40">
        <f t="shared" si="1"/>
        <v>2.572033623</v>
      </c>
      <c r="I600" s="41">
        <v>0.545454545</v>
      </c>
      <c r="J600" s="41">
        <v>0.131313131</v>
      </c>
      <c r="K600" s="41">
        <v>0.323232323</v>
      </c>
      <c r="L600" s="41">
        <f t="shared" si="2"/>
        <v>0.222222222</v>
      </c>
      <c r="M600" s="74">
        <v>-1.598901074</v>
      </c>
    </row>
    <row r="601">
      <c r="A601" s="1" t="s">
        <v>169</v>
      </c>
      <c r="B601" s="38">
        <v>671096.0</v>
      </c>
      <c r="C601" s="72">
        <v>45807.0</v>
      </c>
      <c r="D601" s="38">
        <v>91.0</v>
      </c>
      <c r="E601" s="73">
        <f>IFERROR(__xludf.DUMMYFUNCTION("average(filter('Appearance Sheet'!F:F,'Appearance Sheet'!G:G=B601,'Appearance Sheet'!A:A=C601))"),7.0)</f>
        <v>7</v>
      </c>
      <c r="F601" s="67">
        <v>5.359735975</v>
      </c>
      <c r="G601" s="40">
        <v>1.444953272</v>
      </c>
      <c r="H601" s="40">
        <f t="shared" si="1"/>
        <v>1.857797064</v>
      </c>
      <c r="I601" s="41">
        <v>0.549450549</v>
      </c>
      <c r="J601" s="41">
        <v>0.164835165</v>
      </c>
      <c r="K601" s="41">
        <v>0.285714286</v>
      </c>
      <c r="L601" s="41">
        <f t="shared" si="2"/>
        <v>0.263736263</v>
      </c>
      <c r="M601" s="74">
        <v>4.660363943</v>
      </c>
    </row>
    <row r="602">
      <c r="A602" s="1" t="s">
        <v>202</v>
      </c>
      <c r="B602" s="38">
        <v>677960.0</v>
      </c>
      <c r="C602" s="72">
        <v>45911.0</v>
      </c>
      <c r="D602" s="38">
        <v>66.0</v>
      </c>
      <c r="E602" s="73" t="str">
        <f>IFERROR(__xludf.DUMMYFUNCTION("average(filter('Appearance Sheet'!F:F,'Appearance Sheet'!G:G=B602,'Appearance Sheet'!A:A=C602))"),"#N/A")</f>
        <v>#N/A</v>
      </c>
      <c r="F602" s="67">
        <v>5.35956373</v>
      </c>
      <c r="G602" s="40">
        <v>1.044087216</v>
      </c>
      <c r="H602" s="40" t="str">
        <f t="shared" si="1"/>
        <v>#N/A</v>
      </c>
      <c r="I602" s="41">
        <v>0.484848485</v>
      </c>
      <c r="J602" s="41">
        <v>0.242424242</v>
      </c>
      <c r="K602" s="41">
        <v>0.272727273</v>
      </c>
      <c r="L602" s="41">
        <f t="shared" si="2"/>
        <v>0.212121212</v>
      </c>
      <c r="M602" s="74">
        <v>-1.117592644</v>
      </c>
    </row>
    <row r="603">
      <c r="A603" s="1" t="s">
        <v>161</v>
      </c>
      <c r="B603" s="38">
        <v>702070.0</v>
      </c>
      <c r="C603" s="72">
        <v>45909.0</v>
      </c>
      <c r="D603" s="38">
        <v>100.0</v>
      </c>
      <c r="E603" s="73" t="str">
        <f>IFERROR(__xludf.DUMMYFUNCTION("average(filter('Appearance Sheet'!F:F,'Appearance Sheet'!G:G=B603,'Appearance Sheet'!A:A=C603))"),"#N/A")</f>
        <v>#N/A</v>
      </c>
      <c r="F603" s="67">
        <v>5.359477124</v>
      </c>
      <c r="G603" s="40">
        <v>1.574379917</v>
      </c>
      <c r="H603" s="40" t="str">
        <f t="shared" si="1"/>
        <v>#N/A</v>
      </c>
      <c r="I603" s="41">
        <v>0.52</v>
      </c>
      <c r="J603" s="41">
        <v>0.17</v>
      </c>
      <c r="K603" s="41">
        <v>0.31</v>
      </c>
      <c r="L603" s="41">
        <f t="shared" si="2"/>
        <v>0.21</v>
      </c>
      <c r="M603" s="74">
        <v>-0.478786927</v>
      </c>
    </row>
    <row r="604">
      <c r="A604" s="1" t="s">
        <v>368</v>
      </c>
      <c r="B604" s="38">
        <v>593958.0</v>
      </c>
      <c r="C604" s="72">
        <v>45848.0</v>
      </c>
      <c r="D604" s="38">
        <v>81.0</v>
      </c>
      <c r="E604" s="73" t="str">
        <f>IFERROR(__xludf.DUMMYFUNCTION("average(filter('Appearance Sheet'!F:F,'Appearance Sheet'!G:G=B604,'Appearance Sheet'!A:A=C604))"),"#N/A")</f>
        <v>#N/A</v>
      </c>
      <c r="F604" s="67">
        <v>5.359377797</v>
      </c>
      <c r="G604" s="40">
        <v>1.260990761</v>
      </c>
      <c r="H604" s="40" t="str">
        <f t="shared" si="1"/>
        <v>#N/A</v>
      </c>
      <c r="I604" s="41">
        <v>0.49382716</v>
      </c>
      <c r="J604" s="41">
        <v>0.172839506</v>
      </c>
      <c r="K604" s="41">
        <v>0.333333333</v>
      </c>
      <c r="L604" s="41">
        <f t="shared" si="2"/>
        <v>0.160493827</v>
      </c>
      <c r="M604" s="74">
        <v>-3.277782092</v>
      </c>
    </row>
    <row r="605">
      <c r="A605" s="1" t="s">
        <v>521</v>
      </c>
      <c r="B605" s="38">
        <v>686799.0</v>
      </c>
      <c r="C605" s="72">
        <v>45826.0</v>
      </c>
      <c r="D605" s="38">
        <v>86.0</v>
      </c>
      <c r="E605" s="73">
        <f>IFERROR(__xludf.DUMMYFUNCTION("average(filter('Appearance Sheet'!F:F,'Appearance Sheet'!G:G=B605,'Appearance Sheet'!A:A=C605))"),5.333333333333333)</f>
        <v>5.333333333</v>
      </c>
      <c r="F605" s="67">
        <v>5.359215396</v>
      </c>
      <c r="G605" s="40">
        <v>1.349060089</v>
      </c>
      <c r="H605" s="40">
        <f t="shared" si="1"/>
        <v>2.2765389</v>
      </c>
      <c r="I605" s="41">
        <v>0.534883721</v>
      </c>
      <c r="J605" s="41">
        <v>0.162790698</v>
      </c>
      <c r="K605" s="41">
        <v>0.302325581</v>
      </c>
      <c r="L605" s="41">
        <f t="shared" si="2"/>
        <v>0.23255814</v>
      </c>
      <c r="M605" s="74">
        <v>3.459742805</v>
      </c>
    </row>
    <row r="606">
      <c r="A606" s="1" t="s">
        <v>372</v>
      </c>
      <c r="B606" s="38">
        <v>671106.0</v>
      </c>
      <c r="C606" s="72">
        <v>45920.0</v>
      </c>
      <c r="D606" s="38">
        <v>98.0</v>
      </c>
      <c r="E606" s="73" t="str">
        <f>IFERROR(__xludf.DUMMYFUNCTION("average(filter('Appearance Sheet'!F:F,'Appearance Sheet'!G:G=B606,'Appearance Sheet'!A:A=C606))"),"#N/A")</f>
        <v>#N/A</v>
      </c>
      <c r="F606" s="67">
        <v>5.35904027</v>
      </c>
      <c r="G606" s="40">
        <v>1.566246515</v>
      </c>
      <c r="H606" s="40" t="str">
        <f t="shared" si="1"/>
        <v>#N/A</v>
      </c>
      <c r="I606" s="41">
        <v>0.489795918</v>
      </c>
      <c r="J606" s="41">
        <v>0.193877551</v>
      </c>
      <c r="K606" s="41">
        <v>0.316326531</v>
      </c>
      <c r="L606" s="41">
        <f t="shared" si="2"/>
        <v>0.173469387</v>
      </c>
      <c r="M606" s="74">
        <v>1.573827327</v>
      </c>
    </row>
    <row r="607">
      <c r="A607" s="1" t="s">
        <v>158</v>
      </c>
      <c r="B607" s="38">
        <v>608372.0</v>
      </c>
      <c r="C607" s="72">
        <v>45920.0</v>
      </c>
      <c r="D607" s="38">
        <v>87.0</v>
      </c>
      <c r="E607" s="73" t="str">
        <f>IFERROR(__xludf.DUMMYFUNCTION("average(filter('Appearance Sheet'!F:F,'Appearance Sheet'!G:G=B607,'Appearance Sheet'!A:A=C607))"),"#N/A")</f>
        <v>#N/A</v>
      </c>
      <c r="F607" s="67">
        <v>5.358977275</v>
      </c>
      <c r="G607" s="40">
        <v>1.350841657</v>
      </c>
      <c r="H607" s="40" t="str">
        <f t="shared" si="1"/>
        <v>#N/A</v>
      </c>
      <c r="I607" s="41">
        <v>0.563218391</v>
      </c>
      <c r="J607" s="41">
        <v>0.183908046</v>
      </c>
      <c r="K607" s="41">
        <v>0.252873563</v>
      </c>
      <c r="L607" s="41">
        <f t="shared" si="2"/>
        <v>0.310344828</v>
      </c>
      <c r="M607" s="74">
        <v>-0.314408375</v>
      </c>
    </row>
    <row r="608">
      <c r="A608" s="1" t="s">
        <v>275</v>
      </c>
      <c r="B608" s="38">
        <v>693821.0</v>
      </c>
      <c r="C608" s="72">
        <v>45919.0</v>
      </c>
      <c r="D608" s="38">
        <v>97.0</v>
      </c>
      <c r="E608" s="73" t="str">
        <f>IFERROR(__xludf.DUMMYFUNCTION("average(filter('Appearance Sheet'!F:F,'Appearance Sheet'!G:G=B608,'Appearance Sheet'!A:A=C608))"),"#N/A")</f>
        <v>#N/A</v>
      </c>
      <c r="F608" s="67">
        <v>5.358702266</v>
      </c>
      <c r="G608" s="40">
        <v>1.517788855</v>
      </c>
      <c r="H608" s="40" t="str">
        <f t="shared" si="1"/>
        <v>#N/A</v>
      </c>
      <c r="I608" s="41">
        <v>0.443298969</v>
      </c>
      <c r="J608" s="41">
        <v>0.195876289</v>
      </c>
      <c r="K608" s="41">
        <v>0.360824742</v>
      </c>
      <c r="L608" s="41">
        <f t="shared" si="2"/>
        <v>0.082474227</v>
      </c>
      <c r="M608" s="74">
        <v>2.362853069</v>
      </c>
    </row>
    <row r="609">
      <c r="A609" s="1" t="s">
        <v>410</v>
      </c>
      <c r="B609" s="38">
        <v>678394.0</v>
      </c>
      <c r="C609" s="72">
        <v>45873.0</v>
      </c>
      <c r="D609" s="38">
        <v>100.0</v>
      </c>
      <c r="E609" s="73" t="str">
        <f>IFERROR(__xludf.DUMMYFUNCTION("average(filter('Appearance Sheet'!F:F,'Appearance Sheet'!G:G=B609,'Appearance Sheet'!A:A=C609))"),"#N/A")</f>
        <v>#N/A</v>
      </c>
      <c r="F609" s="67">
        <v>5.35862472</v>
      </c>
      <c r="G609" s="40">
        <v>1.57420069</v>
      </c>
      <c r="H609" s="40" t="str">
        <f t="shared" si="1"/>
        <v>#N/A</v>
      </c>
      <c r="I609" s="41">
        <v>0.53</v>
      </c>
      <c r="J609" s="41">
        <v>0.16</v>
      </c>
      <c r="K609" s="41">
        <v>0.31</v>
      </c>
      <c r="L609" s="41">
        <f t="shared" si="2"/>
        <v>0.22</v>
      </c>
      <c r="M609" s="74">
        <v>0.504425406</v>
      </c>
    </row>
    <row r="610">
      <c r="A610" s="1" t="s">
        <v>562</v>
      </c>
      <c r="B610" s="38">
        <v>669713.0</v>
      </c>
      <c r="C610" s="72">
        <v>45772.0</v>
      </c>
      <c r="D610" s="38">
        <v>78.0</v>
      </c>
      <c r="E610" s="73">
        <f>IFERROR(__xludf.DUMMYFUNCTION("average(filter('Appearance Sheet'!F:F,'Appearance Sheet'!G:G=B610,'Appearance Sheet'!A:A=C610))"),5.0)</f>
        <v>5</v>
      </c>
      <c r="F610" s="67">
        <v>5.358616764</v>
      </c>
      <c r="G610" s="40">
        <v>1.246685259</v>
      </c>
      <c r="H610" s="40">
        <f t="shared" si="1"/>
        <v>2.244033466</v>
      </c>
      <c r="I610" s="41">
        <v>0.564102564</v>
      </c>
      <c r="J610" s="41">
        <v>0.153846154</v>
      </c>
      <c r="K610" s="41">
        <v>0.282051282</v>
      </c>
      <c r="L610" s="41">
        <f t="shared" si="2"/>
        <v>0.282051282</v>
      </c>
      <c r="M610" s="74">
        <v>-2.350748733</v>
      </c>
    </row>
    <row r="611">
      <c r="A611" s="1" t="s">
        <v>125</v>
      </c>
      <c r="B611" s="38">
        <v>663554.0</v>
      </c>
      <c r="C611" s="72">
        <v>45921.0</v>
      </c>
      <c r="D611" s="38">
        <v>89.0</v>
      </c>
      <c r="E611" s="73" t="str">
        <f>IFERROR(__xludf.DUMMYFUNCTION("average(filter('Appearance Sheet'!F:F,'Appearance Sheet'!G:G=B611,'Appearance Sheet'!A:A=C611))"),"#N/A")</f>
        <v>#N/A</v>
      </c>
      <c r="F611" s="67">
        <v>5.358603035</v>
      </c>
      <c r="G611" s="40">
        <v>1.451191953</v>
      </c>
      <c r="H611" s="40" t="str">
        <f t="shared" si="1"/>
        <v>#N/A</v>
      </c>
      <c r="I611" s="41">
        <v>0.539325843</v>
      </c>
      <c r="J611" s="41">
        <v>0.112359551</v>
      </c>
      <c r="K611" s="41">
        <v>0.348314607</v>
      </c>
      <c r="L611" s="41">
        <f t="shared" si="2"/>
        <v>0.191011236</v>
      </c>
      <c r="M611" s="74">
        <v>1.737357823</v>
      </c>
    </row>
    <row r="612">
      <c r="A612" s="1" t="s">
        <v>228</v>
      </c>
      <c r="B612" s="38">
        <v>687473.0</v>
      </c>
      <c r="C612" s="72">
        <v>45819.0</v>
      </c>
      <c r="D612" s="38">
        <v>88.0</v>
      </c>
      <c r="E612" s="73">
        <f>IFERROR(__xludf.DUMMYFUNCTION("average(filter('Appearance Sheet'!F:F,'Appearance Sheet'!G:G=B612,'Appearance Sheet'!A:A=C612))"),6.0)</f>
        <v>6</v>
      </c>
      <c r="F612" s="67">
        <v>5.358602537</v>
      </c>
      <c r="G612" s="40">
        <v>1.404125361</v>
      </c>
      <c r="H612" s="40">
        <f t="shared" si="1"/>
        <v>2.106188042</v>
      </c>
      <c r="I612" s="41">
        <v>0.534090909</v>
      </c>
      <c r="J612" s="41">
        <v>0.136363636</v>
      </c>
      <c r="K612" s="41">
        <v>0.329545455</v>
      </c>
      <c r="L612" s="41">
        <f t="shared" si="2"/>
        <v>0.204545454</v>
      </c>
      <c r="M612" s="74">
        <v>-1.055242545</v>
      </c>
    </row>
    <row r="613">
      <c r="A613" s="1" t="s">
        <v>229</v>
      </c>
      <c r="B613" s="38">
        <v>645261.0</v>
      </c>
      <c r="C613" s="72">
        <v>45836.0</v>
      </c>
      <c r="D613" s="38">
        <v>91.0</v>
      </c>
      <c r="E613" s="73">
        <f>IFERROR(__xludf.DUMMYFUNCTION("average(filter('Appearance Sheet'!F:F,'Appearance Sheet'!G:G=B613,'Appearance Sheet'!A:A=C613))"),6.0)</f>
        <v>6</v>
      </c>
      <c r="F613" s="67">
        <v>5.358431908</v>
      </c>
      <c r="G613" s="40">
        <v>1.50089659</v>
      </c>
      <c r="H613" s="40">
        <f t="shared" si="1"/>
        <v>2.251344885</v>
      </c>
      <c r="I613" s="41">
        <v>0.538461538</v>
      </c>
      <c r="J613" s="41">
        <v>0.153846154</v>
      </c>
      <c r="K613" s="41">
        <v>0.307692308</v>
      </c>
      <c r="L613" s="41">
        <f t="shared" si="2"/>
        <v>0.23076923</v>
      </c>
      <c r="M613" s="74">
        <v>-3.391492997</v>
      </c>
    </row>
    <row r="614">
      <c r="A614" s="1" t="s">
        <v>247</v>
      </c>
      <c r="B614" s="38">
        <v>605540.0</v>
      </c>
      <c r="C614" s="72">
        <v>45894.0</v>
      </c>
      <c r="D614" s="38">
        <v>94.0</v>
      </c>
      <c r="E614" s="73" t="str">
        <f>IFERROR(__xludf.DUMMYFUNCTION("average(filter('Appearance Sheet'!F:F,'Appearance Sheet'!G:G=B614,'Appearance Sheet'!A:A=C614))"),"#N/A")</f>
        <v>#N/A</v>
      </c>
      <c r="F614" s="67">
        <v>5.357579002</v>
      </c>
      <c r="G614" s="40">
        <v>1.49696515</v>
      </c>
      <c r="H614" s="40" t="str">
        <f t="shared" si="1"/>
        <v>#N/A</v>
      </c>
      <c r="I614" s="41">
        <v>0.478723404</v>
      </c>
      <c r="J614" s="41">
        <v>0.255319149</v>
      </c>
      <c r="K614" s="41">
        <v>0.265957447</v>
      </c>
      <c r="L614" s="41">
        <f t="shared" si="2"/>
        <v>0.212765957</v>
      </c>
      <c r="M614" s="74">
        <v>1.567603628</v>
      </c>
    </row>
    <row r="615">
      <c r="A615" s="1" t="s">
        <v>222</v>
      </c>
      <c r="B615" s="38">
        <v>518876.0</v>
      </c>
      <c r="C615" s="72">
        <v>45846.0</v>
      </c>
      <c r="D615" s="38">
        <v>75.0</v>
      </c>
      <c r="E615" s="73" t="str">
        <f>IFERROR(__xludf.DUMMYFUNCTION("average(filter('Appearance Sheet'!F:F,'Appearance Sheet'!G:G=B615,'Appearance Sheet'!A:A=C615))"),"#N/A")</f>
        <v>#N/A</v>
      </c>
      <c r="F615" s="67">
        <v>5.357084489</v>
      </c>
      <c r="G615" s="40">
        <v>1.212992955</v>
      </c>
      <c r="H615" s="40" t="str">
        <f t="shared" si="1"/>
        <v>#N/A</v>
      </c>
      <c r="I615" s="41">
        <v>0.48</v>
      </c>
      <c r="J615" s="41">
        <v>0.2</v>
      </c>
      <c r="K615" s="41">
        <v>0.32</v>
      </c>
      <c r="L615" s="41">
        <f t="shared" si="2"/>
        <v>0.16</v>
      </c>
      <c r="M615" s="74">
        <v>1.06584462</v>
      </c>
    </row>
    <row r="616">
      <c r="A616" s="1" t="s">
        <v>150</v>
      </c>
      <c r="B616" s="38">
        <v>657746.0</v>
      </c>
      <c r="C616" s="72">
        <v>45870.0</v>
      </c>
      <c r="D616" s="38">
        <v>98.0</v>
      </c>
      <c r="E616" s="73" t="str">
        <f>IFERROR(__xludf.DUMMYFUNCTION("average(filter('Appearance Sheet'!F:F,'Appearance Sheet'!G:G=B616,'Appearance Sheet'!A:A=C616))"),"#N/A")</f>
        <v>#N/A</v>
      </c>
      <c r="F616" s="67">
        <v>5.357022523</v>
      </c>
      <c r="G616" s="40">
        <v>1.56409036</v>
      </c>
      <c r="H616" s="40" t="str">
        <f t="shared" si="1"/>
        <v>#N/A</v>
      </c>
      <c r="I616" s="41">
        <v>0.5</v>
      </c>
      <c r="J616" s="41">
        <v>0.224489796</v>
      </c>
      <c r="K616" s="41">
        <v>0.275510204</v>
      </c>
      <c r="L616" s="41">
        <f t="shared" si="2"/>
        <v>0.224489796</v>
      </c>
      <c r="M616" s="74">
        <v>-0.171418186</v>
      </c>
    </row>
    <row r="617">
      <c r="A617" s="1" t="s">
        <v>73</v>
      </c>
      <c r="B617" s="38">
        <v>668881.0</v>
      </c>
      <c r="C617" s="72">
        <v>45773.0</v>
      </c>
      <c r="D617" s="38">
        <v>96.0</v>
      </c>
      <c r="E617" s="73">
        <f>IFERROR(__xludf.DUMMYFUNCTION("average(filter('Appearance Sheet'!F:F,'Appearance Sheet'!G:G=B617,'Appearance Sheet'!A:A=C617))"),6.0)</f>
        <v>6</v>
      </c>
      <c r="F617" s="67">
        <v>5.356221755</v>
      </c>
      <c r="G617" s="40">
        <v>1.497632719</v>
      </c>
      <c r="H617" s="40">
        <f t="shared" si="1"/>
        <v>2.246449079</v>
      </c>
      <c r="I617" s="41">
        <v>0.479166667</v>
      </c>
      <c r="J617" s="41">
        <v>0.197916667</v>
      </c>
      <c r="K617" s="41">
        <v>0.322916667</v>
      </c>
      <c r="L617" s="41">
        <f t="shared" si="2"/>
        <v>0.15625</v>
      </c>
      <c r="M617" s="74">
        <v>-1.406314694</v>
      </c>
    </row>
    <row r="618">
      <c r="A618" s="1" t="s">
        <v>113</v>
      </c>
      <c r="B618" s="38">
        <v>664285.0</v>
      </c>
      <c r="C618" s="72">
        <v>45925.0</v>
      </c>
      <c r="D618" s="38">
        <v>79.0</v>
      </c>
      <c r="E618" s="73" t="str">
        <f>IFERROR(__xludf.DUMMYFUNCTION("average(filter('Appearance Sheet'!F:F,'Appearance Sheet'!G:G=B618,'Appearance Sheet'!A:A=C618))"),"#N/A")</f>
        <v>#N/A</v>
      </c>
      <c r="F618" s="67">
        <v>5.356200707</v>
      </c>
      <c r="G618" s="40">
        <v>1.265292108</v>
      </c>
      <c r="H618" s="40" t="str">
        <f t="shared" si="1"/>
        <v>#N/A</v>
      </c>
      <c r="I618" s="41">
        <v>0.53164557</v>
      </c>
      <c r="J618" s="41">
        <v>0.189873418</v>
      </c>
      <c r="K618" s="41">
        <v>0.278481013</v>
      </c>
      <c r="L618" s="41">
        <f t="shared" si="2"/>
        <v>0.253164557</v>
      </c>
      <c r="M618" s="74">
        <v>-1.150944484</v>
      </c>
    </row>
    <row r="619">
      <c r="A619" s="1" t="s">
        <v>389</v>
      </c>
      <c r="B619" s="38">
        <v>682052.0</v>
      </c>
      <c r="C619" s="72">
        <v>45888.0</v>
      </c>
      <c r="D619" s="38">
        <v>93.0</v>
      </c>
      <c r="E619" s="73" t="str">
        <f>IFERROR(__xludf.DUMMYFUNCTION("average(filter('Appearance Sheet'!F:F,'Appearance Sheet'!G:G=B619,'Appearance Sheet'!A:A=C619))"),"#N/A")</f>
        <v>#N/A</v>
      </c>
      <c r="F619" s="67">
        <v>5.356051218</v>
      </c>
      <c r="G619" s="40">
        <v>1.495674054</v>
      </c>
      <c r="H619" s="40" t="str">
        <f t="shared" si="1"/>
        <v>#N/A</v>
      </c>
      <c r="I619" s="41">
        <v>0.537634409</v>
      </c>
      <c r="J619" s="41">
        <v>0.129032258</v>
      </c>
      <c r="K619" s="41">
        <v>0.333333333</v>
      </c>
      <c r="L619" s="41">
        <f t="shared" si="2"/>
        <v>0.204301076</v>
      </c>
      <c r="M619" s="74">
        <v>1.091856967</v>
      </c>
    </row>
    <row r="620">
      <c r="A620" s="1" t="s">
        <v>245</v>
      </c>
      <c r="B620" s="38">
        <v>571578.0</v>
      </c>
      <c r="C620" s="72">
        <v>45831.0</v>
      </c>
      <c r="D620" s="38">
        <v>76.0</v>
      </c>
      <c r="E620" s="73">
        <f>IFERROR(__xludf.DUMMYFUNCTION("average(filter('Appearance Sheet'!F:F,'Appearance Sheet'!G:G=B620,'Appearance Sheet'!A:A=C620))"),5.0)</f>
        <v>5</v>
      </c>
      <c r="F620" s="67">
        <v>5.355827709</v>
      </c>
      <c r="G620" s="40">
        <v>1.251481153</v>
      </c>
      <c r="H620" s="40">
        <f t="shared" si="1"/>
        <v>2.252666075</v>
      </c>
      <c r="I620" s="41">
        <v>0.526315789</v>
      </c>
      <c r="J620" s="41">
        <v>0.171052632</v>
      </c>
      <c r="K620" s="41">
        <v>0.302631579</v>
      </c>
      <c r="L620" s="41">
        <f t="shared" si="2"/>
        <v>0.22368421</v>
      </c>
      <c r="M620" s="74">
        <v>-3.898559739</v>
      </c>
    </row>
    <row r="621">
      <c r="A621" s="1" t="s">
        <v>281</v>
      </c>
      <c r="B621" s="38">
        <v>622663.0</v>
      </c>
      <c r="C621" s="72">
        <v>45766.0</v>
      </c>
      <c r="D621" s="38">
        <v>90.0</v>
      </c>
      <c r="E621" s="73">
        <f>IFERROR(__xludf.DUMMYFUNCTION("average(filter('Appearance Sheet'!F:F,'Appearance Sheet'!G:G=B621,'Appearance Sheet'!A:A=C621))"),8.0)</f>
        <v>8</v>
      </c>
      <c r="F621" s="67">
        <v>5.355638937</v>
      </c>
      <c r="G621" s="40">
        <v>1.47629479</v>
      </c>
      <c r="H621" s="40">
        <f t="shared" si="1"/>
        <v>1.660831639</v>
      </c>
      <c r="I621" s="41">
        <v>0.5</v>
      </c>
      <c r="J621" s="41">
        <v>0.211111111</v>
      </c>
      <c r="K621" s="41">
        <v>0.288888889</v>
      </c>
      <c r="L621" s="41">
        <f t="shared" si="2"/>
        <v>0.211111111</v>
      </c>
      <c r="M621" s="74">
        <v>2.876878182</v>
      </c>
    </row>
    <row r="622">
      <c r="A622" s="1" t="s">
        <v>366</v>
      </c>
      <c r="B622" s="38">
        <v>656550.0</v>
      </c>
      <c r="C622" s="72">
        <v>45807.0</v>
      </c>
      <c r="D622" s="38">
        <v>95.0</v>
      </c>
      <c r="E622" s="73">
        <f>IFERROR(__xludf.DUMMYFUNCTION("average(filter('Appearance Sheet'!F:F,'Appearance Sheet'!G:G=B622,'Appearance Sheet'!A:A=C622))"),5.666666666666667)</f>
        <v>5.666666667</v>
      </c>
      <c r="F622" s="67">
        <v>5.355203358</v>
      </c>
      <c r="G622" s="40">
        <v>1.493271101</v>
      </c>
      <c r="H622" s="40">
        <f t="shared" si="1"/>
        <v>2.371665866</v>
      </c>
      <c r="I622" s="41">
        <v>0.536842105</v>
      </c>
      <c r="J622" s="41">
        <v>0.147368421</v>
      </c>
      <c r="K622" s="41">
        <v>0.315789474</v>
      </c>
      <c r="L622" s="41">
        <f t="shared" si="2"/>
        <v>0.221052631</v>
      </c>
      <c r="M622" s="74">
        <v>-0.502422812</v>
      </c>
    </row>
    <row r="623">
      <c r="A623" s="1" t="s">
        <v>369</v>
      </c>
      <c r="B623" s="38">
        <v>596295.0</v>
      </c>
      <c r="C623" s="72">
        <v>45882.0</v>
      </c>
      <c r="D623" s="38">
        <v>84.0</v>
      </c>
      <c r="E623" s="73" t="str">
        <f>IFERROR(__xludf.DUMMYFUNCTION("average(filter('Appearance Sheet'!F:F,'Appearance Sheet'!G:G=B623,'Appearance Sheet'!A:A=C623))"),"#N/A")</f>
        <v>#N/A</v>
      </c>
      <c r="F623" s="67">
        <v>5.35497022</v>
      </c>
      <c r="G623" s="40">
        <v>1.347372877</v>
      </c>
      <c r="H623" s="40" t="str">
        <f t="shared" si="1"/>
        <v>#N/A</v>
      </c>
      <c r="I623" s="41">
        <v>0.535714286</v>
      </c>
      <c r="J623" s="41">
        <v>0.166666667</v>
      </c>
      <c r="K623" s="41">
        <v>0.297619048</v>
      </c>
      <c r="L623" s="41">
        <f t="shared" si="2"/>
        <v>0.238095238</v>
      </c>
      <c r="M623" s="74">
        <v>-3.903485141</v>
      </c>
    </row>
    <row r="624">
      <c r="A624" s="1" t="s">
        <v>179</v>
      </c>
      <c r="B624" s="38">
        <v>663568.0</v>
      </c>
      <c r="C624" s="72">
        <v>45793.0</v>
      </c>
      <c r="D624" s="38">
        <v>81.0</v>
      </c>
      <c r="E624" s="73">
        <f>IFERROR(__xludf.DUMMYFUNCTION("average(filter('Appearance Sheet'!F:F,'Appearance Sheet'!G:G=B624,'Appearance Sheet'!A:A=C624))"),5.0)</f>
        <v>5</v>
      </c>
      <c r="F624" s="67">
        <v>5.354920851</v>
      </c>
      <c r="G624" s="40">
        <v>1.283669565</v>
      </c>
      <c r="H624" s="40">
        <f t="shared" si="1"/>
        <v>2.310605217</v>
      </c>
      <c r="I624" s="41">
        <v>0.469135802</v>
      </c>
      <c r="J624" s="41">
        <v>0.148148148</v>
      </c>
      <c r="K624" s="41">
        <v>0.382716049</v>
      </c>
      <c r="L624" s="41">
        <f t="shared" si="2"/>
        <v>0.086419753</v>
      </c>
      <c r="M624" s="74">
        <v>-3.913774513</v>
      </c>
    </row>
    <row r="625">
      <c r="A625" s="1" t="s">
        <v>396</v>
      </c>
      <c r="B625" s="38">
        <v>663623.0</v>
      </c>
      <c r="C625" s="72">
        <v>45824.0</v>
      </c>
      <c r="D625" s="38">
        <v>91.0</v>
      </c>
      <c r="E625" s="73">
        <f>IFERROR(__xludf.DUMMYFUNCTION("average(filter('Appearance Sheet'!F:F,'Appearance Sheet'!G:G=B625,'Appearance Sheet'!A:A=C625))"),6.0)</f>
        <v>6</v>
      </c>
      <c r="F625" s="67">
        <v>5.354825622</v>
      </c>
      <c r="G625" s="40">
        <v>1.432283345</v>
      </c>
      <c r="H625" s="40">
        <f t="shared" si="1"/>
        <v>2.148425018</v>
      </c>
      <c r="I625" s="41">
        <v>0.483516484</v>
      </c>
      <c r="J625" s="41">
        <v>0.197802198</v>
      </c>
      <c r="K625" s="41">
        <v>0.318681319</v>
      </c>
      <c r="L625" s="41">
        <f t="shared" si="2"/>
        <v>0.164835165</v>
      </c>
      <c r="M625" s="74">
        <v>1.002639642</v>
      </c>
    </row>
    <row r="626">
      <c r="A626" s="1" t="s">
        <v>180</v>
      </c>
      <c r="B626" s="38">
        <v>642547.0</v>
      </c>
      <c r="C626" s="72">
        <v>45816.0</v>
      </c>
      <c r="D626" s="38">
        <v>89.0</v>
      </c>
      <c r="E626" s="73">
        <f>IFERROR(__xludf.DUMMYFUNCTION("average(filter('Appearance Sheet'!F:F,'Appearance Sheet'!G:G=B626,'Appearance Sheet'!A:A=C626))"),6.0)</f>
        <v>6</v>
      </c>
      <c r="F626" s="67">
        <v>5.354812672</v>
      </c>
      <c r="G626" s="40">
        <v>1.377693685</v>
      </c>
      <c r="H626" s="40">
        <f t="shared" si="1"/>
        <v>2.066540528</v>
      </c>
      <c r="I626" s="41">
        <v>0.505617978</v>
      </c>
      <c r="J626" s="41">
        <v>0.202247191</v>
      </c>
      <c r="K626" s="41">
        <v>0.292134831</v>
      </c>
      <c r="L626" s="41">
        <f t="shared" si="2"/>
        <v>0.213483147</v>
      </c>
      <c r="M626" s="74">
        <v>2.594533607</v>
      </c>
    </row>
    <row r="627">
      <c r="A627" s="1" t="s">
        <v>376</v>
      </c>
      <c r="B627" s="38">
        <v>668909.0</v>
      </c>
      <c r="C627" s="72">
        <v>45882.0</v>
      </c>
      <c r="D627" s="38">
        <v>74.0</v>
      </c>
      <c r="E627" s="73" t="str">
        <f>IFERROR(__xludf.DUMMYFUNCTION("average(filter('Appearance Sheet'!F:F,'Appearance Sheet'!G:G=B627,'Appearance Sheet'!A:A=C627))"),"#N/A")</f>
        <v>#N/A</v>
      </c>
      <c r="F627" s="67">
        <v>5.354656276</v>
      </c>
      <c r="G627" s="40">
        <v>1.158798494</v>
      </c>
      <c r="H627" s="40" t="str">
        <f t="shared" si="1"/>
        <v>#N/A</v>
      </c>
      <c r="I627" s="41">
        <v>0.513513514</v>
      </c>
      <c r="J627" s="41">
        <v>0.243243243</v>
      </c>
      <c r="K627" s="41">
        <v>0.243243243</v>
      </c>
      <c r="L627" s="41">
        <f t="shared" si="2"/>
        <v>0.270270271</v>
      </c>
      <c r="M627" s="74">
        <v>-0.648053333</v>
      </c>
    </row>
    <row r="628">
      <c r="A628" s="1" t="s">
        <v>274</v>
      </c>
      <c r="B628" s="38">
        <v>543101.0</v>
      </c>
      <c r="C628" s="72">
        <v>45875.0</v>
      </c>
      <c r="D628" s="38">
        <v>71.0</v>
      </c>
      <c r="E628" s="73" t="str">
        <f>IFERROR(__xludf.DUMMYFUNCTION("average(filter('Appearance Sheet'!F:F,'Appearance Sheet'!G:G=B628,'Appearance Sheet'!A:A=C628))"),"#N/A")</f>
        <v>#N/A</v>
      </c>
      <c r="F628" s="67">
        <v>5.354611235</v>
      </c>
      <c r="G628" s="40">
        <v>1.122256069</v>
      </c>
      <c r="H628" s="40" t="str">
        <f t="shared" si="1"/>
        <v>#N/A</v>
      </c>
      <c r="I628" s="41">
        <v>0.492957746</v>
      </c>
      <c r="J628" s="41">
        <v>0.183098592</v>
      </c>
      <c r="K628" s="41">
        <v>0.323943662</v>
      </c>
      <c r="L628" s="41">
        <f t="shared" si="2"/>
        <v>0.169014084</v>
      </c>
      <c r="M628" s="74">
        <v>1.972866268</v>
      </c>
    </row>
    <row r="629">
      <c r="A629" s="1" t="s">
        <v>171</v>
      </c>
      <c r="B629" s="38">
        <v>665795.0</v>
      </c>
      <c r="C629" s="72">
        <v>45849.0</v>
      </c>
      <c r="D629" s="38">
        <v>76.0</v>
      </c>
      <c r="E629" s="73" t="str">
        <f>IFERROR(__xludf.DUMMYFUNCTION("average(filter('Appearance Sheet'!F:F,'Appearance Sheet'!G:G=B629,'Appearance Sheet'!A:A=C629))"),"#N/A")</f>
        <v>#N/A</v>
      </c>
      <c r="F629" s="67">
        <v>5.354348846</v>
      </c>
      <c r="G629" s="40">
        <v>1.201361294</v>
      </c>
      <c r="H629" s="40" t="str">
        <f t="shared" si="1"/>
        <v>#N/A</v>
      </c>
      <c r="I629" s="41">
        <v>0.460526316</v>
      </c>
      <c r="J629" s="41">
        <v>0.210526316</v>
      </c>
      <c r="K629" s="41">
        <v>0.328947368</v>
      </c>
      <c r="L629" s="41">
        <f t="shared" si="2"/>
        <v>0.131578948</v>
      </c>
      <c r="M629" s="74">
        <v>-3.275340632</v>
      </c>
    </row>
    <row r="630">
      <c r="A630" s="1" t="s">
        <v>191</v>
      </c>
      <c r="B630" s="38">
        <v>687064.0</v>
      </c>
      <c r="C630" s="72">
        <v>45884.0</v>
      </c>
      <c r="D630" s="38">
        <v>92.0</v>
      </c>
      <c r="E630" s="73" t="str">
        <f>IFERROR(__xludf.DUMMYFUNCTION("average(filter('Appearance Sheet'!F:F,'Appearance Sheet'!G:G=B630,'Appearance Sheet'!A:A=C630))"),"#N/A")</f>
        <v>#N/A</v>
      </c>
      <c r="F630" s="67">
        <v>5.354308214</v>
      </c>
      <c r="G630" s="40">
        <v>1.435299313</v>
      </c>
      <c r="H630" s="40" t="str">
        <f t="shared" si="1"/>
        <v>#N/A</v>
      </c>
      <c r="I630" s="41">
        <v>0.510869565</v>
      </c>
      <c r="J630" s="41">
        <v>0.206521739</v>
      </c>
      <c r="K630" s="41">
        <v>0.282608696</v>
      </c>
      <c r="L630" s="41">
        <f t="shared" si="2"/>
        <v>0.228260869</v>
      </c>
      <c r="M630" s="74">
        <v>2.800410797</v>
      </c>
    </row>
    <row r="631">
      <c r="A631" s="1" t="s">
        <v>341</v>
      </c>
      <c r="B631" s="38">
        <v>676962.0</v>
      </c>
      <c r="C631" s="72">
        <v>45859.0</v>
      </c>
      <c r="D631" s="38">
        <v>61.0</v>
      </c>
      <c r="E631" s="73" t="str">
        <f>IFERROR(__xludf.DUMMYFUNCTION("average(filter('Appearance Sheet'!F:F,'Appearance Sheet'!G:G=B631,'Appearance Sheet'!A:A=C631))"),"#N/A")</f>
        <v>#N/A</v>
      </c>
      <c r="F631" s="67">
        <v>5.354243833</v>
      </c>
      <c r="G631" s="40">
        <v>0.985449336</v>
      </c>
      <c r="H631" s="40" t="str">
        <f t="shared" si="1"/>
        <v>#N/A</v>
      </c>
      <c r="I631" s="41">
        <v>0.540983607</v>
      </c>
      <c r="J631" s="41">
        <v>0.163934426</v>
      </c>
      <c r="K631" s="41">
        <v>0.295081967</v>
      </c>
      <c r="L631" s="41">
        <f t="shared" si="2"/>
        <v>0.24590164</v>
      </c>
      <c r="M631" s="74">
        <v>-3.804884323</v>
      </c>
    </row>
    <row r="632">
      <c r="A632" s="1" t="s">
        <v>93</v>
      </c>
      <c r="B632" s="38">
        <v>669194.0</v>
      </c>
      <c r="C632" s="72">
        <v>45901.0</v>
      </c>
      <c r="D632" s="38">
        <v>92.0</v>
      </c>
      <c r="E632" s="73" t="str">
        <f>IFERROR(__xludf.DUMMYFUNCTION("average(filter('Appearance Sheet'!F:F,'Appearance Sheet'!G:G=B632,'Appearance Sheet'!A:A=C632))"),"#N/A")</f>
        <v>#N/A</v>
      </c>
      <c r="F632" s="67">
        <v>5.354122283</v>
      </c>
      <c r="G632" s="40">
        <v>1.440294221</v>
      </c>
      <c r="H632" s="40" t="str">
        <f t="shared" si="1"/>
        <v>#N/A</v>
      </c>
      <c r="I632" s="41">
        <v>0.543478261</v>
      </c>
      <c r="J632" s="41">
        <v>0.206521739</v>
      </c>
      <c r="K632" s="41">
        <v>0.25</v>
      </c>
      <c r="L632" s="41">
        <f t="shared" si="2"/>
        <v>0.293478261</v>
      </c>
      <c r="M632" s="74">
        <v>0.011789371</v>
      </c>
    </row>
    <row r="633">
      <c r="A633" s="1" t="s">
        <v>99</v>
      </c>
      <c r="B633" s="38">
        <v>592791.0</v>
      </c>
      <c r="C633" s="72">
        <v>45921.0</v>
      </c>
      <c r="D633" s="38">
        <v>82.0</v>
      </c>
      <c r="E633" s="73" t="str">
        <f>IFERROR(__xludf.DUMMYFUNCTION("average(filter('Appearance Sheet'!F:F,'Appearance Sheet'!G:G=B633,'Appearance Sheet'!A:A=C633))"),"#N/A")</f>
        <v>#N/A</v>
      </c>
      <c r="F633" s="67">
        <v>5.353761741</v>
      </c>
      <c r="G633" s="40">
        <v>1.335035683</v>
      </c>
      <c r="H633" s="40" t="str">
        <f t="shared" si="1"/>
        <v>#N/A</v>
      </c>
      <c r="I633" s="41">
        <v>0.487804878</v>
      </c>
      <c r="J633" s="41">
        <v>0.268292683</v>
      </c>
      <c r="K633" s="41">
        <v>0.243902439</v>
      </c>
      <c r="L633" s="41">
        <f t="shared" si="2"/>
        <v>0.243902439</v>
      </c>
      <c r="M633" s="74">
        <v>0.368059709</v>
      </c>
    </row>
    <row r="634">
      <c r="A634" s="1" t="s">
        <v>302</v>
      </c>
      <c r="B634" s="38">
        <v>681190.0</v>
      </c>
      <c r="C634" s="72">
        <v>45859.0</v>
      </c>
      <c r="D634" s="38">
        <v>66.0</v>
      </c>
      <c r="E634" s="73" t="str">
        <f>IFERROR(__xludf.DUMMYFUNCTION("average(filter('Appearance Sheet'!F:F,'Appearance Sheet'!G:G=B634,'Appearance Sheet'!A:A=C634))"),"#N/A")</f>
        <v>#N/A</v>
      </c>
      <c r="F634" s="67">
        <v>5.353336295</v>
      </c>
      <c r="G634" s="40">
        <v>1.057678044</v>
      </c>
      <c r="H634" s="40" t="str">
        <f t="shared" si="1"/>
        <v>#N/A</v>
      </c>
      <c r="I634" s="41">
        <v>0.545454545</v>
      </c>
      <c r="J634" s="41">
        <v>0.166666667</v>
      </c>
      <c r="K634" s="41">
        <v>0.287878788</v>
      </c>
      <c r="L634" s="41">
        <f t="shared" si="2"/>
        <v>0.257575757</v>
      </c>
      <c r="M634" s="74">
        <v>-2.335596244</v>
      </c>
    </row>
    <row r="635">
      <c r="A635" s="1" t="s">
        <v>356</v>
      </c>
      <c r="B635" s="38">
        <v>680732.0</v>
      </c>
      <c r="C635" s="72">
        <v>45833.0</v>
      </c>
      <c r="D635" s="38">
        <v>80.0</v>
      </c>
      <c r="E635" s="73">
        <f>IFERROR(__xludf.DUMMYFUNCTION("average(filter('Appearance Sheet'!F:F,'Appearance Sheet'!G:G=B635,'Appearance Sheet'!A:A=C635))"),5.0)</f>
        <v>5</v>
      </c>
      <c r="F635" s="67">
        <v>5.353101719</v>
      </c>
      <c r="G635" s="40">
        <v>1.270883161</v>
      </c>
      <c r="H635" s="40">
        <f t="shared" si="1"/>
        <v>2.28758969</v>
      </c>
      <c r="I635" s="41">
        <v>0.5625</v>
      </c>
      <c r="J635" s="41">
        <v>0.1625</v>
      </c>
      <c r="K635" s="41">
        <v>0.275</v>
      </c>
      <c r="L635" s="41">
        <f t="shared" si="2"/>
        <v>0.2875</v>
      </c>
      <c r="M635" s="74">
        <v>-0.970254945</v>
      </c>
    </row>
    <row r="636">
      <c r="A636" s="1" t="s">
        <v>115</v>
      </c>
      <c r="B636" s="38">
        <v>543135.0</v>
      </c>
      <c r="C636" s="72">
        <v>45748.0</v>
      </c>
      <c r="D636" s="38">
        <v>96.0</v>
      </c>
      <c r="E636" s="73">
        <f>IFERROR(__xludf.DUMMYFUNCTION("average(filter('Appearance Sheet'!F:F,'Appearance Sheet'!G:G=B636,'Appearance Sheet'!A:A=C636))"),9.0)</f>
        <v>9</v>
      </c>
      <c r="F636" s="67">
        <v>5.352584143</v>
      </c>
      <c r="G636" s="40">
        <v>1.55264875</v>
      </c>
      <c r="H636" s="40">
        <f t="shared" si="1"/>
        <v>1.55264875</v>
      </c>
      <c r="I636" s="41">
        <v>0.552083333</v>
      </c>
      <c r="J636" s="41">
        <v>0.197916667</v>
      </c>
      <c r="K636" s="41">
        <v>0.25</v>
      </c>
      <c r="L636" s="41">
        <f t="shared" si="2"/>
        <v>0.302083333</v>
      </c>
      <c r="M636" s="74">
        <v>2.061348297</v>
      </c>
    </row>
    <row r="637">
      <c r="A637" s="1" t="s">
        <v>180</v>
      </c>
      <c r="B637" s="38">
        <v>642547.0</v>
      </c>
      <c r="C637" s="72">
        <v>45743.0</v>
      </c>
      <c r="D637" s="38">
        <v>89.0</v>
      </c>
      <c r="E637" s="73">
        <f>IFERROR(__xludf.DUMMYFUNCTION("average(filter('Appearance Sheet'!F:F,'Appearance Sheet'!G:G=B637,'Appearance Sheet'!A:A=C637))"),5.0)</f>
        <v>5</v>
      </c>
      <c r="F637" s="67">
        <v>5.352270167</v>
      </c>
      <c r="G637" s="40">
        <v>1.370377936</v>
      </c>
      <c r="H637" s="40">
        <f t="shared" si="1"/>
        <v>2.466680285</v>
      </c>
      <c r="I637" s="41">
        <v>0.539325843</v>
      </c>
      <c r="J637" s="41">
        <v>0.146067416</v>
      </c>
      <c r="K637" s="41">
        <v>0.314606742</v>
      </c>
      <c r="L637" s="41">
        <f t="shared" si="2"/>
        <v>0.224719101</v>
      </c>
      <c r="M637" s="74">
        <v>-0.134145666</v>
      </c>
    </row>
    <row r="638">
      <c r="A638" s="1" t="s">
        <v>275</v>
      </c>
      <c r="B638" s="38">
        <v>693821.0</v>
      </c>
      <c r="C638" s="72">
        <v>45786.0</v>
      </c>
      <c r="D638" s="38">
        <v>95.0</v>
      </c>
      <c r="E638" s="73">
        <f>IFERROR(__xludf.DUMMYFUNCTION("average(filter('Appearance Sheet'!F:F,'Appearance Sheet'!G:G=B638,'Appearance Sheet'!A:A=C638))"),6.0)</f>
        <v>6</v>
      </c>
      <c r="F638" s="67">
        <v>5.3517607</v>
      </c>
      <c r="G638" s="40">
        <v>1.459919734</v>
      </c>
      <c r="H638" s="40">
        <f t="shared" si="1"/>
        <v>2.189879601</v>
      </c>
      <c r="I638" s="41">
        <v>0.536842105</v>
      </c>
      <c r="J638" s="41">
        <v>0.168421053</v>
      </c>
      <c r="K638" s="41">
        <v>0.294736842</v>
      </c>
      <c r="L638" s="41">
        <f t="shared" si="2"/>
        <v>0.242105263</v>
      </c>
      <c r="M638" s="74">
        <v>0.241311602</v>
      </c>
    </row>
    <row r="639">
      <c r="A639" s="1" t="s">
        <v>158</v>
      </c>
      <c r="B639" s="38">
        <v>608372.0</v>
      </c>
      <c r="C639" s="72">
        <v>45770.0</v>
      </c>
      <c r="D639" s="38">
        <v>92.0</v>
      </c>
      <c r="E639" s="73">
        <f>IFERROR(__xludf.DUMMYFUNCTION("average(filter('Appearance Sheet'!F:F,'Appearance Sheet'!G:G=B639,'Appearance Sheet'!A:A=C639))"),7.0)</f>
        <v>7</v>
      </c>
      <c r="F639" s="67">
        <v>5.351677945</v>
      </c>
      <c r="G639" s="40">
        <v>1.504677953</v>
      </c>
      <c r="H639" s="40">
        <f t="shared" si="1"/>
        <v>1.93458594</v>
      </c>
      <c r="I639" s="41">
        <v>0.52173913</v>
      </c>
      <c r="J639" s="41">
        <v>0.152173913</v>
      </c>
      <c r="K639" s="41">
        <v>0.326086957</v>
      </c>
      <c r="L639" s="41">
        <f t="shared" si="2"/>
        <v>0.195652173</v>
      </c>
      <c r="M639" s="74">
        <v>1.666577586</v>
      </c>
    </row>
    <row r="640">
      <c r="A640" s="1" t="s">
        <v>133</v>
      </c>
      <c r="B640" s="38">
        <v>663978.0</v>
      </c>
      <c r="C640" s="72">
        <v>45753.0</v>
      </c>
      <c r="D640" s="38">
        <v>62.0</v>
      </c>
      <c r="E640" s="73">
        <f>IFERROR(__xludf.DUMMYFUNCTION("average(filter('Appearance Sheet'!F:F,'Appearance Sheet'!G:G=B640,'Appearance Sheet'!A:A=C640))"),4.0)</f>
        <v>4</v>
      </c>
      <c r="F640" s="67">
        <v>5.351675302</v>
      </c>
      <c r="G640" s="40">
        <v>1.01593483</v>
      </c>
      <c r="H640" s="40">
        <f t="shared" si="1"/>
        <v>2.285853368</v>
      </c>
      <c r="I640" s="41">
        <v>0.483870968</v>
      </c>
      <c r="J640" s="41">
        <v>0.258064516</v>
      </c>
      <c r="K640" s="41">
        <v>0.258064516</v>
      </c>
      <c r="L640" s="41">
        <f t="shared" si="2"/>
        <v>0.225806452</v>
      </c>
      <c r="M640" s="74">
        <v>-4.314846694</v>
      </c>
    </row>
    <row r="641">
      <c r="A641" s="1" t="s">
        <v>452</v>
      </c>
      <c r="B641" s="38">
        <v>607625.0</v>
      </c>
      <c r="C641" s="72">
        <v>45825.0</v>
      </c>
      <c r="D641" s="38">
        <v>90.0</v>
      </c>
      <c r="E641" s="73">
        <f>IFERROR(__xludf.DUMMYFUNCTION("average(filter('Appearance Sheet'!F:F,'Appearance Sheet'!G:G=B641,'Appearance Sheet'!A:A=C641))"),6.0)</f>
        <v>6</v>
      </c>
      <c r="F641" s="67">
        <v>5.351504938</v>
      </c>
      <c r="G641" s="40">
        <v>1.4154783</v>
      </c>
      <c r="H641" s="40">
        <f t="shared" si="1"/>
        <v>2.12321745</v>
      </c>
      <c r="I641" s="41">
        <v>0.522222222</v>
      </c>
      <c r="J641" s="41">
        <v>0.166666667</v>
      </c>
      <c r="K641" s="41">
        <v>0.311111111</v>
      </c>
      <c r="L641" s="41">
        <f t="shared" si="2"/>
        <v>0.211111111</v>
      </c>
      <c r="M641" s="74">
        <v>1.59367476</v>
      </c>
    </row>
    <row r="642">
      <c r="A642" s="1" t="s">
        <v>220</v>
      </c>
      <c r="B642" s="38">
        <v>663559.0</v>
      </c>
      <c r="C642" s="72">
        <v>45842.0</v>
      </c>
      <c r="D642" s="38">
        <v>71.0</v>
      </c>
      <c r="E642" s="73">
        <f>IFERROR(__xludf.DUMMYFUNCTION("average(filter('Appearance Sheet'!F:F,'Appearance Sheet'!G:G=B642,'Appearance Sheet'!A:A=C642))"),5.666666666666667)</f>
        <v>5.666666667</v>
      </c>
      <c r="F642" s="67">
        <v>5.351378778</v>
      </c>
      <c r="G642" s="40">
        <v>1.160413881</v>
      </c>
      <c r="H642" s="40">
        <f t="shared" si="1"/>
        <v>1.843010282</v>
      </c>
      <c r="I642" s="41">
        <v>0.478873239</v>
      </c>
      <c r="J642" s="41">
        <v>0.197183099</v>
      </c>
      <c r="K642" s="41">
        <v>0.323943662</v>
      </c>
      <c r="L642" s="41">
        <f t="shared" si="2"/>
        <v>0.154929577</v>
      </c>
      <c r="M642" s="74">
        <v>1.378622743</v>
      </c>
    </row>
    <row r="643">
      <c r="A643" s="1" t="s">
        <v>368</v>
      </c>
      <c r="B643" s="38">
        <v>593958.0</v>
      </c>
      <c r="C643" s="72">
        <v>45894.0</v>
      </c>
      <c r="D643" s="38">
        <v>64.0</v>
      </c>
      <c r="E643" s="73" t="str">
        <f>IFERROR(__xludf.DUMMYFUNCTION("average(filter('Appearance Sheet'!F:F,'Appearance Sheet'!G:G=B643,'Appearance Sheet'!A:A=C643))"),"#N/A")</f>
        <v>#N/A</v>
      </c>
      <c r="F643" s="67">
        <v>5.350816618</v>
      </c>
      <c r="G643" s="40">
        <v>1.005051119</v>
      </c>
      <c r="H643" s="40" t="str">
        <f t="shared" si="1"/>
        <v>#N/A</v>
      </c>
      <c r="I643" s="41">
        <v>0.53125</v>
      </c>
      <c r="J643" s="41">
        <v>0.1875</v>
      </c>
      <c r="K643" s="41">
        <v>0.28125</v>
      </c>
      <c r="L643" s="41">
        <f t="shared" si="2"/>
        <v>0.25</v>
      </c>
      <c r="M643" s="74">
        <v>-1.938464706</v>
      </c>
    </row>
    <row r="644">
      <c r="A644" s="1" t="s">
        <v>137</v>
      </c>
      <c r="B644" s="38">
        <v>453286.0</v>
      </c>
      <c r="C644" s="72">
        <v>45865.0</v>
      </c>
      <c r="D644" s="38">
        <v>96.0</v>
      </c>
      <c r="E644" s="73" t="str">
        <f>IFERROR(__xludf.DUMMYFUNCTION("average(filter('Appearance Sheet'!F:F,'Appearance Sheet'!G:G=B644,'Appearance Sheet'!A:A=C644))"),"#N/A")</f>
        <v>#N/A</v>
      </c>
      <c r="F644" s="67">
        <v>5.35076848</v>
      </c>
      <c r="G644" s="40">
        <v>1.524879197</v>
      </c>
      <c r="H644" s="40" t="str">
        <f t="shared" si="1"/>
        <v>#N/A</v>
      </c>
      <c r="I644" s="41">
        <v>0.5</v>
      </c>
      <c r="J644" s="41">
        <v>0.260416667</v>
      </c>
      <c r="K644" s="41">
        <v>0.239583333</v>
      </c>
      <c r="L644" s="41">
        <f t="shared" si="2"/>
        <v>0.260416667</v>
      </c>
      <c r="M644" s="74">
        <v>2.344424</v>
      </c>
    </row>
    <row r="645">
      <c r="A645" s="1" t="s">
        <v>147</v>
      </c>
      <c r="B645" s="38">
        <v>608379.0</v>
      </c>
      <c r="C645" s="72">
        <v>45752.0</v>
      </c>
      <c r="D645" s="38">
        <v>93.0</v>
      </c>
      <c r="E645" s="73">
        <f>IFERROR(__xludf.DUMMYFUNCTION("average(filter('Appearance Sheet'!F:F,'Appearance Sheet'!G:G=B645,'Appearance Sheet'!A:A=C645))"),5.666666666666667)</f>
        <v>5.666666667</v>
      </c>
      <c r="F645" s="67">
        <v>5.350745721</v>
      </c>
      <c r="G645" s="40">
        <v>1.46860081</v>
      </c>
      <c r="H645" s="40">
        <f t="shared" si="1"/>
        <v>2.332483639</v>
      </c>
      <c r="I645" s="41">
        <v>0.516129032</v>
      </c>
      <c r="J645" s="41">
        <v>0.182795699</v>
      </c>
      <c r="K645" s="41">
        <v>0.301075269</v>
      </c>
      <c r="L645" s="41">
        <f t="shared" si="2"/>
        <v>0.215053763</v>
      </c>
      <c r="M645" s="74">
        <v>-0.054449651</v>
      </c>
    </row>
    <row r="646">
      <c r="A646" s="1" t="s">
        <v>88</v>
      </c>
      <c r="B646" s="38">
        <v>694973.0</v>
      </c>
      <c r="C646" s="72">
        <v>45816.0</v>
      </c>
      <c r="D646" s="38">
        <v>92.0</v>
      </c>
      <c r="E646" s="73">
        <f>IFERROR(__xludf.DUMMYFUNCTION("average(filter('Appearance Sheet'!F:F,'Appearance Sheet'!G:G=B646,'Appearance Sheet'!A:A=C646))"),7.666666666666667)</f>
        <v>7.666666667</v>
      </c>
      <c r="F646" s="67">
        <v>5.350220195</v>
      </c>
      <c r="G646" s="40">
        <v>1.464092018</v>
      </c>
      <c r="H646" s="40">
        <f t="shared" si="1"/>
        <v>1.718716717</v>
      </c>
      <c r="I646" s="41">
        <v>0.52173913</v>
      </c>
      <c r="J646" s="41">
        <v>0.173913043</v>
      </c>
      <c r="K646" s="41">
        <v>0.304347826</v>
      </c>
      <c r="L646" s="41">
        <f t="shared" si="2"/>
        <v>0.217391304</v>
      </c>
      <c r="M646" s="74">
        <v>3.986524342</v>
      </c>
    </row>
    <row r="647">
      <c r="A647" s="1" t="s">
        <v>553</v>
      </c>
      <c r="B647" s="38">
        <v>800311.0</v>
      </c>
      <c r="C647" s="72">
        <v>45833.0</v>
      </c>
      <c r="D647" s="38">
        <v>71.0</v>
      </c>
      <c r="E647" s="73">
        <f>IFERROR(__xludf.DUMMYFUNCTION("average(filter('Appearance Sheet'!F:F,'Appearance Sheet'!G:G=B647,'Appearance Sheet'!A:A=C647))"),3.3333333333333335)</f>
        <v>3.333333333</v>
      </c>
      <c r="F647" s="67">
        <v>5.349931787</v>
      </c>
      <c r="G647" s="40">
        <v>1.148659536</v>
      </c>
      <c r="H647" s="40">
        <f t="shared" si="1"/>
        <v>3.101380747</v>
      </c>
      <c r="I647" s="41">
        <v>0.535211268</v>
      </c>
      <c r="J647" s="41">
        <v>0.14084507</v>
      </c>
      <c r="K647" s="41">
        <v>0.323943662</v>
      </c>
      <c r="L647" s="41">
        <f t="shared" si="2"/>
        <v>0.211267606</v>
      </c>
      <c r="M647" s="74">
        <v>-4.604153166</v>
      </c>
    </row>
    <row r="648">
      <c r="A648" s="1" t="s">
        <v>130</v>
      </c>
      <c r="B648" s="38">
        <v>666200.0</v>
      </c>
      <c r="C648" s="72">
        <v>45779.0</v>
      </c>
      <c r="D648" s="38">
        <v>94.0</v>
      </c>
      <c r="E648" s="73">
        <f>IFERROR(__xludf.DUMMYFUNCTION("average(filter('Appearance Sheet'!F:F,'Appearance Sheet'!G:G=B648,'Appearance Sheet'!A:A=C648))"),5.333333333333333)</f>
        <v>5.333333333</v>
      </c>
      <c r="F648" s="67">
        <v>5.349881891</v>
      </c>
      <c r="G648" s="40">
        <v>1.490077456</v>
      </c>
      <c r="H648" s="40">
        <f t="shared" si="1"/>
        <v>2.514505707</v>
      </c>
      <c r="I648" s="41">
        <v>0.563829787</v>
      </c>
      <c r="J648" s="41">
        <v>0.127659574</v>
      </c>
      <c r="K648" s="41">
        <v>0.308510638</v>
      </c>
      <c r="L648" s="41">
        <f t="shared" si="2"/>
        <v>0.255319149</v>
      </c>
      <c r="M648" s="74">
        <v>-4.166733603</v>
      </c>
    </row>
    <row r="649">
      <c r="A649" s="1" t="s">
        <v>374</v>
      </c>
      <c r="B649" s="38">
        <v>683004.0</v>
      </c>
      <c r="C649" s="72">
        <v>45744.0</v>
      </c>
      <c r="D649" s="38">
        <v>80.0</v>
      </c>
      <c r="E649" s="73">
        <f>IFERROR(__xludf.DUMMYFUNCTION("average(filter('Appearance Sheet'!F:F,'Appearance Sheet'!G:G=B649,'Appearance Sheet'!A:A=C649))"),5.0)</f>
        <v>5</v>
      </c>
      <c r="F649" s="67">
        <v>5.349261199</v>
      </c>
      <c r="G649" s="40">
        <v>1.268455942</v>
      </c>
      <c r="H649" s="40">
        <f t="shared" si="1"/>
        <v>2.283220696</v>
      </c>
      <c r="I649" s="41">
        <v>0.5375</v>
      </c>
      <c r="J649" s="41">
        <v>0.1625</v>
      </c>
      <c r="K649" s="41">
        <v>0.3</v>
      </c>
      <c r="L649" s="41">
        <f t="shared" si="2"/>
        <v>0.2375</v>
      </c>
      <c r="M649" s="74">
        <v>-1.336572123</v>
      </c>
    </row>
    <row r="650">
      <c r="A650" s="1" t="s">
        <v>109</v>
      </c>
      <c r="B650" s="38">
        <v>601713.0</v>
      </c>
      <c r="C650" s="72">
        <v>45823.0</v>
      </c>
      <c r="D650" s="38">
        <v>93.0</v>
      </c>
      <c r="E650" s="73">
        <f>IFERROR(__xludf.DUMMYFUNCTION("average(filter('Appearance Sheet'!F:F,'Appearance Sheet'!G:G=B650,'Appearance Sheet'!A:A=C650))"),7.0)</f>
        <v>7</v>
      </c>
      <c r="F650" s="67">
        <v>5.349061665</v>
      </c>
      <c r="G650" s="40">
        <v>1.514586123</v>
      </c>
      <c r="H650" s="40">
        <f t="shared" si="1"/>
        <v>1.947325015</v>
      </c>
      <c r="I650" s="41">
        <v>0.52688172</v>
      </c>
      <c r="J650" s="41">
        <v>0.150537634</v>
      </c>
      <c r="K650" s="41">
        <v>0.322580645</v>
      </c>
      <c r="L650" s="41">
        <f t="shared" si="2"/>
        <v>0.204301075</v>
      </c>
      <c r="M650" s="74">
        <v>2.7183792</v>
      </c>
    </row>
    <row r="651">
      <c r="A651" s="1" t="s">
        <v>97</v>
      </c>
      <c r="B651" s="38">
        <v>656876.0</v>
      </c>
      <c r="C651" s="72">
        <v>45777.0</v>
      </c>
      <c r="D651" s="38">
        <v>71.0</v>
      </c>
      <c r="E651" s="73">
        <f>IFERROR(__xludf.DUMMYFUNCTION("average(filter('Appearance Sheet'!F:F,'Appearance Sheet'!G:G=B651,'Appearance Sheet'!A:A=C651))"),5.0)</f>
        <v>5</v>
      </c>
      <c r="F651" s="67">
        <v>5.349044198</v>
      </c>
      <c r="G651" s="40">
        <v>1.155672334</v>
      </c>
      <c r="H651" s="40">
        <f t="shared" si="1"/>
        <v>2.080210201</v>
      </c>
      <c r="I651" s="41">
        <v>0.521126761</v>
      </c>
      <c r="J651" s="41">
        <v>0.154929577</v>
      </c>
      <c r="K651" s="41">
        <v>0.323943662</v>
      </c>
      <c r="L651" s="41">
        <f t="shared" si="2"/>
        <v>0.197183099</v>
      </c>
      <c r="M651" s="74">
        <v>-1.824114664</v>
      </c>
    </row>
    <row r="652">
      <c r="A652" s="1" t="s">
        <v>44</v>
      </c>
      <c r="B652" s="38">
        <v>650911.0</v>
      </c>
      <c r="C652" s="72">
        <v>45747.0</v>
      </c>
      <c r="D652" s="38">
        <v>91.0</v>
      </c>
      <c r="E652" s="73">
        <f>IFERROR(__xludf.DUMMYFUNCTION("average(filter('Appearance Sheet'!F:F,'Appearance Sheet'!G:G=B652,'Appearance Sheet'!A:A=C652))"),5.333333333333333)</f>
        <v>5.333333333</v>
      </c>
      <c r="F652" s="67">
        <v>5.348938957</v>
      </c>
      <c r="G652" s="40">
        <v>1.413304186</v>
      </c>
      <c r="H652" s="40">
        <f t="shared" si="1"/>
        <v>2.384950814</v>
      </c>
      <c r="I652" s="41">
        <v>0.549450549</v>
      </c>
      <c r="J652" s="41">
        <v>0.120879121</v>
      </c>
      <c r="K652" s="41">
        <v>0.32967033</v>
      </c>
      <c r="L652" s="41">
        <f t="shared" si="2"/>
        <v>0.219780219</v>
      </c>
      <c r="M652" s="74">
        <v>1.353043725</v>
      </c>
    </row>
    <row r="653">
      <c r="A653" s="1" t="s">
        <v>44</v>
      </c>
      <c r="B653" s="38">
        <v>650911.0</v>
      </c>
      <c r="C653" s="72">
        <v>45834.0</v>
      </c>
      <c r="D653" s="38">
        <v>98.0</v>
      </c>
      <c r="E653" s="73">
        <f>IFERROR(__xludf.DUMMYFUNCTION("average(filter('Appearance Sheet'!F:F,'Appearance Sheet'!G:G=B653,'Appearance Sheet'!A:A=C653))"),6.0)</f>
        <v>6</v>
      </c>
      <c r="F653" s="67">
        <v>5.348699395</v>
      </c>
      <c r="G653" s="40">
        <v>1.547201772</v>
      </c>
      <c r="H653" s="40">
        <f t="shared" si="1"/>
        <v>2.320802658</v>
      </c>
      <c r="I653" s="41">
        <v>0.520408163</v>
      </c>
      <c r="J653" s="41">
        <v>0.173469388</v>
      </c>
      <c r="K653" s="41">
        <v>0.306122449</v>
      </c>
      <c r="L653" s="41">
        <f t="shared" si="2"/>
        <v>0.214285714</v>
      </c>
      <c r="M653" s="74">
        <v>1.413209249</v>
      </c>
    </row>
    <row r="654">
      <c r="A654" s="1" t="s">
        <v>153</v>
      </c>
      <c r="B654" s="38">
        <v>669302.0</v>
      </c>
      <c r="C654" s="72">
        <v>45830.0</v>
      </c>
      <c r="D654" s="38">
        <v>88.0</v>
      </c>
      <c r="E654" s="73">
        <f>IFERROR(__xludf.DUMMYFUNCTION("average(filter('Appearance Sheet'!F:F,'Appearance Sheet'!G:G=B654,'Appearance Sheet'!A:A=C654))"),5.0)</f>
        <v>5</v>
      </c>
      <c r="F654" s="67">
        <v>5.348580839</v>
      </c>
      <c r="G654" s="40">
        <v>1.406469237</v>
      </c>
      <c r="H654" s="40">
        <f t="shared" si="1"/>
        <v>2.531644627</v>
      </c>
      <c r="I654" s="41">
        <v>0.556818182</v>
      </c>
      <c r="J654" s="41">
        <v>0.170454545</v>
      </c>
      <c r="K654" s="41">
        <v>0.272727273</v>
      </c>
      <c r="L654" s="41">
        <f t="shared" si="2"/>
        <v>0.284090909</v>
      </c>
      <c r="M654" s="74">
        <v>-2.669969058</v>
      </c>
    </row>
    <row r="655">
      <c r="A655" s="1" t="s">
        <v>412</v>
      </c>
      <c r="B655" s="38">
        <v>641482.0</v>
      </c>
      <c r="C655" s="72">
        <v>45892.0</v>
      </c>
      <c r="D655" s="38">
        <v>78.0</v>
      </c>
      <c r="E655" s="73" t="str">
        <f>IFERROR(__xludf.DUMMYFUNCTION("average(filter('Appearance Sheet'!F:F,'Appearance Sheet'!G:G=B655,'Appearance Sheet'!A:A=C655))"),"#N/A")</f>
        <v>#N/A</v>
      </c>
      <c r="F655" s="67">
        <v>5.348559726</v>
      </c>
      <c r="G655" s="40">
        <v>1.245484512</v>
      </c>
      <c r="H655" s="40" t="str">
        <f t="shared" si="1"/>
        <v>#N/A</v>
      </c>
      <c r="I655" s="41">
        <v>0.564102564</v>
      </c>
      <c r="J655" s="41">
        <v>0.192307692</v>
      </c>
      <c r="K655" s="41">
        <v>0.243589744</v>
      </c>
      <c r="L655" s="41">
        <f t="shared" si="2"/>
        <v>0.32051282</v>
      </c>
      <c r="M655" s="74">
        <v>4.385075781</v>
      </c>
    </row>
    <row r="656">
      <c r="A656" s="1" t="s">
        <v>222</v>
      </c>
      <c r="B656" s="38">
        <v>518876.0</v>
      </c>
      <c r="C656" s="72">
        <v>45773.0</v>
      </c>
      <c r="D656" s="38">
        <v>90.0</v>
      </c>
      <c r="E656" s="73">
        <f>IFERROR(__xludf.DUMMYFUNCTION("average(filter('Appearance Sheet'!F:F,'Appearance Sheet'!G:G=B656,'Appearance Sheet'!A:A=C656))"),6.0)</f>
        <v>6</v>
      </c>
      <c r="F656" s="67">
        <v>5.348416006</v>
      </c>
      <c r="G656" s="40">
        <v>1.403901858</v>
      </c>
      <c r="H656" s="40">
        <f t="shared" si="1"/>
        <v>2.105852787</v>
      </c>
      <c r="I656" s="41">
        <v>0.5</v>
      </c>
      <c r="J656" s="41">
        <v>0.211111111</v>
      </c>
      <c r="K656" s="41">
        <v>0.288888889</v>
      </c>
      <c r="L656" s="41">
        <f t="shared" si="2"/>
        <v>0.211111111</v>
      </c>
      <c r="M656" s="74">
        <v>1.357205291</v>
      </c>
    </row>
    <row r="657">
      <c r="A657" s="1" t="s">
        <v>100</v>
      </c>
      <c r="B657" s="38">
        <v>676979.0</v>
      </c>
      <c r="C657" s="72">
        <v>45897.0</v>
      </c>
      <c r="D657" s="38">
        <v>97.0</v>
      </c>
      <c r="E657" s="73" t="str">
        <f>IFERROR(__xludf.DUMMYFUNCTION("average(filter('Appearance Sheet'!F:F,'Appearance Sheet'!G:G=B657,'Appearance Sheet'!A:A=C657))"),"#N/A")</f>
        <v>#N/A</v>
      </c>
      <c r="F657" s="67">
        <v>5.348378315</v>
      </c>
      <c r="G657" s="40">
        <v>1.527808889</v>
      </c>
      <c r="H657" s="40" t="str">
        <f t="shared" si="1"/>
        <v>#N/A</v>
      </c>
      <c r="I657" s="41">
        <v>0.597938144</v>
      </c>
      <c r="J657" s="41">
        <v>0.175257732</v>
      </c>
      <c r="K657" s="41">
        <v>0.226804124</v>
      </c>
      <c r="L657" s="41">
        <f t="shared" si="2"/>
        <v>0.37113402</v>
      </c>
      <c r="M657" s="74">
        <v>0.015336849</v>
      </c>
    </row>
    <row r="658">
      <c r="A658" s="1" t="s">
        <v>398</v>
      </c>
      <c r="B658" s="38">
        <v>676282.0</v>
      </c>
      <c r="C658" s="72">
        <v>45909.0</v>
      </c>
      <c r="D658" s="38">
        <v>88.0</v>
      </c>
      <c r="E658" s="73" t="str">
        <f>IFERROR(__xludf.DUMMYFUNCTION("average(filter('Appearance Sheet'!F:F,'Appearance Sheet'!G:G=B658,'Appearance Sheet'!A:A=C658))"),"#N/A")</f>
        <v>#N/A</v>
      </c>
      <c r="F658" s="67">
        <v>5.348376827</v>
      </c>
      <c r="G658" s="40">
        <v>1.439951777</v>
      </c>
      <c r="H658" s="40" t="str">
        <f t="shared" si="1"/>
        <v>#N/A</v>
      </c>
      <c r="I658" s="41">
        <v>0.522727273</v>
      </c>
      <c r="J658" s="41">
        <v>0.238636364</v>
      </c>
      <c r="K658" s="41">
        <v>0.238636364</v>
      </c>
      <c r="L658" s="41">
        <f t="shared" si="2"/>
        <v>0.284090909</v>
      </c>
      <c r="M658" s="74">
        <v>2.147655878</v>
      </c>
    </row>
    <row r="659">
      <c r="A659" s="1" t="s">
        <v>386</v>
      </c>
      <c r="B659" s="38">
        <v>656731.0</v>
      </c>
      <c r="C659" s="72">
        <v>45811.0</v>
      </c>
      <c r="D659" s="38">
        <v>104.0</v>
      </c>
      <c r="E659" s="73">
        <f>IFERROR(__xludf.DUMMYFUNCTION("average(filter('Appearance Sheet'!F:F,'Appearance Sheet'!G:G=B659,'Appearance Sheet'!A:A=C659))"),6.0)</f>
        <v>6</v>
      </c>
      <c r="F659" s="67">
        <v>5.348358406</v>
      </c>
      <c r="G659" s="40">
        <v>1.634393672</v>
      </c>
      <c r="H659" s="40">
        <f t="shared" si="1"/>
        <v>2.451590508</v>
      </c>
      <c r="I659" s="41">
        <v>0.548076923</v>
      </c>
      <c r="J659" s="41">
        <v>0.173076923</v>
      </c>
      <c r="K659" s="41">
        <v>0.278846154</v>
      </c>
      <c r="L659" s="41">
        <f t="shared" si="2"/>
        <v>0.269230769</v>
      </c>
      <c r="M659" s="74">
        <v>1.451742421</v>
      </c>
    </row>
    <row r="660">
      <c r="A660" s="1" t="s">
        <v>181</v>
      </c>
      <c r="B660" s="38">
        <v>641154.0</v>
      </c>
      <c r="C660" s="72">
        <v>45905.0</v>
      </c>
      <c r="D660" s="38">
        <v>92.0</v>
      </c>
      <c r="E660" s="73" t="str">
        <f>IFERROR(__xludf.DUMMYFUNCTION("average(filter('Appearance Sheet'!F:F,'Appearance Sheet'!G:G=B660,'Appearance Sheet'!A:A=C660))"),"#N/A")</f>
        <v>#N/A</v>
      </c>
      <c r="F660" s="67">
        <v>5.3479614</v>
      </c>
      <c r="G660" s="40">
        <v>1.501875945</v>
      </c>
      <c r="H660" s="40" t="str">
        <f t="shared" si="1"/>
        <v>#N/A</v>
      </c>
      <c r="I660" s="41">
        <v>0.5</v>
      </c>
      <c r="J660" s="41">
        <v>0.217391304</v>
      </c>
      <c r="K660" s="41">
        <v>0.282608696</v>
      </c>
      <c r="L660" s="41">
        <f t="shared" si="2"/>
        <v>0.217391304</v>
      </c>
      <c r="M660" s="74">
        <v>-0.545043299</v>
      </c>
    </row>
    <row r="661">
      <c r="A661" s="1" t="s">
        <v>188</v>
      </c>
      <c r="B661" s="38">
        <v>694819.0</v>
      </c>
      <c r="C661" s="72">
        <v>45866.0</v>
      </c>
      <c r="D661" s="38">
        <v>76.0</v>
      </c>
      <c r="E661" s="73" t="str">
        <f>IFERROR(__xludf.DUMMYFUNCTION("average(filter('Appearance Sheet'!F:F,'Appearance Sheet'!G:G=B661,'Appearance Sheet'!A:A=C661))"),"#N/A")</f>
        <v>#N/A</v>
      </c>
      <c r="F661" s="67">
        <v>5.34788279</v>
      </c>
      <c r="G661" s="40">
        <v>1.181703765</v>
      </c>
      <c r="H661" s="40" t="str">
        <f t="shared" si="1"/>
        <v>#N/A</v>
      </c>
      <c r="I661" s="41">
        <v>0.513157895</v>
      </c>
      <c r="J661" s="41">
        <v>0.157894737</v>
      </c>
      <c r="K661" s="41">
        <v>0.328947368</v>
      </c>
      <c r="L661" s="41">
        <f t="shared" si="2"/>
        <v>0.184210527</v>
      </c>
      <c r="M661" s="74">
        <v>1.790419654</v>
      </c>
    </row>
    <row r="662">
      <c r="A662" s="1" t="s">
        <v>316</v>
      </c>
      <c r="B662" s="38">
        <v>656427.0</v>
      </c>
      <c r="C662" s="72">
        <v>45851.0</v>
      </c>
      <c r="D662" s="38">
        <v>91.0</v>
      </c>
      <c r="E662" s="73" t="str">
        <f>IFERROR(__xludf.DUMMYFUNCTION("average(filter('Appearance Sheet'!F:F,'Appearance Sheet'!G:G=B662,'Appearance Sheet'!A:A=C662))"),"#N/A")</f>
        <v>#N/A</v>
      </c>
      <c r="F662" s="67">
        <v>5.347872719</v>
      </c>
      <c r="G662" s="40">
        <v>1.441958263</v>
      </c>
      <c r="H662" s="40" t="str">
        <f t="shared" si="1"/>
        <v>#N/A</v>
      </c>
      <c r="I662" s="41">
        <v>0.571428571</v>
      </c>
      <c r="J662" s="41">
        <v>0.153846154</v>
      </c>
      <c r="K662" s="41">
        <v>0.274725275</v>
      </c>
      <c r="L662" s="41">
        <f t="shared" si="2"/>
        <v>0.296703296</v>
      </c>
      <c r="M662" s="74">
        <v>1.38766937</v>
      </c>
    </row>
    <row r="663">
      <c r="A663" s="1" t="s">
        <v>263</v>
      </c>
      <c r="B663" s="38">
        <v>694297.0</v>
      </c>
      <c r="C663" s="72">
        <v>45763.0</v>
      </c>
      <c r="D663" s="38">
        <v>91.0</v>
      </c>
      <c r="E663" s="73">
        <f>IFERROR(__xludf.DUMMYFUNCTION("average(filter('Appearance Sheet'!F:F,'Appearance Sheet'!G:G=B663,'Appearance Sheet'!A:A=C663))"),5.666666666666667)</f>
        <v>5.666666667</v>
      </c>
      <c r="F663" s="67">
        <v>5.347729804</v>
      </c>
      <c r="G663" s="40">
        <v>1.413027682</v>
      </c>
      <c r="H663" s="40">
        <f t="shared" si="1"/>
        <v>2.244220436</v>
      </c>
      <c r="I663" s="41">
        <v>0.582417582</v>
      </c>
      <c r="J663" s="41">
        <v>0.087912088</v>
      </c>
      <c r="K663" s="41">
        <v>0.32967033</v>
      </c>
      <c r="L663" s="41">
        <f t="shared" si="2"/>
        <v>0.252747252</v>
      </c>
      <c r="M663" s="74">
        <v>0.736261871</v>
      </c>
    </row>
    <row r="664">
      <c r="A664" s="1" t="s">
        <v>372</v>
      </c>
      <c r="B664" s="38">
        <v>671106.0</v>
      </c>
      <c r="C664" s="72">
        <v>45790.0</v>
      </c>
      <c r="D664" s="38">
        <v>86.0</v>
      </c>
      <c r="E664" s="73">
        <f>IFERROR(__xludf.DUMMYFUNCTION("average(filter('Appearance Sheet'!F:F,'Appearance Sheet'!G:G=B664,'Appearance Sheet'!A:A=C664))"),6.0)</f>
        <v>6</v>
      </c>
      <c r="F664" s="67">
        <v>5.347557684</v>
      </c>
      <c r="G664" s="40">
        <v>1.395233847</v>
      </c>
      <c r="H664" s="40">
        <f t="shared" si="1"/>
        <v>2.092850771</v>
      </c>
      <c r="I664" s="41">
        <v>0.511627907</v>
      </c>
      <c r="J664" s="41">
        <v>0.174418605</v>
      </c>
      <c r="K664" s="41">
        <v>0.313953488</v>
      </c>
      <c r="L664" s="41">
        <f t="shared" si="2"/>
        <v>0.197674419</v>
      </c>
      <c r="M664" s="74">
        <v>3.020172267</v>
      </c>
    </row>
    <row r="665">
      <c r="A665" s="1" t="s">
        <v>246</v>
      </c>
      <c r="B665" s="38">
        <v>571510.0</v>
      </c>
      <c r="C665" s="72">
        <v>45770.0</v>
      </c>
      <c r="D665" s="38">
        <v>89.0</v>
      </c>
      <c r="E665" s="73">
        <f>IFERROR(__xludf.DUMMYFUNCTION("average(filter('Appearance Sheet'!F:F,'Appearance Sheet'!G:G=B665,'Appearance Sheet'!A:A=C665))"),6.0)</f>
        <v>6</v>
      </c>
      <c r="F665" s="67">
        <v>5.34734322</v>
      </c>
      <c r="G665" s="40">
        <v>1.461270655</v>
      </c>
      <c r="H665" s="40">
        <f t="shared" si="1"/>
        <v>2.191905983</v>
      </c>
      <c r="I665" s="41">
        <v>0.584269663</v>
      </c>
      <c r="J665" s="41">
        <v>0.101123596</v>
      </c>
      <c r="K665" s="41">
        <v>0.314606742</v>
      </c>
      <c r="L665" s="41">
        <f t="shared" si="2"/>
        <v>0.269662921</v>
      </c>
      <c r="M665" s="74">
        <v>-4.642430274</v>
      </c>
    </row>
    <row r="666">
      <c r="A666" s="1" t="s">
        <v>137</v>
      </c>
      <c r="B666" s="38">
        <v>453286.0</v>
      </c>
      <c r="C666" s="72">
        <v>45894.0</v>
      </c>
      <c r="D666" s="38">
        <v>94.0</v>
      </c>
      <c r="E666" s="73" t="str">
        <f>IFERROR(__xludf.DUMMYFUNCTION("average(filter('Appearance Sheet'!F:F,'Appearance Sheet'!G:G=B666,'Appearance Sheet'!A:A=C666))"),"#N/A")</f>
        <v>#N/A</v>
      </c>
      <c r="F666" s="67">
        <v>5.347323758</v>
      </c>
      <c r="G666" s="40">
        <v>1.500578415</v>
      </c>
      <c r="H666" s="40" t="str">
        <f t="shared" si="1"/>
        <v>#N/A</v>
      </c>
      <c r="I666" s="41">
        <v>0.542553191</v>
      </c>
      <c r="J666" s="41">
        <v>0.138297872</v>
      </c>
      <c r="K666" s="41">
        <v>0.319148936</v>
      </c>
      <c r="L666" s="41">
        <f t="shared" si="2"/>
        <v>0.223404255</v>
      </c>
      <c r="M666" s="74">
        <v>0.856723956</v>
      </c>
    </row>
    <row r="667">
      <c r="A667" s="1" t="s">
        <v>399</v>
      </c>
      <c r="B667" s="38">
        <v>543294.0</v>
      </c>
      <c r="C667" s="72">
        <v>45766.0</v>
      </c>
      <c r="D667" s="38">
        <v>61.0</v>
      </c>
      <c r="E667" s="73">
        <f>IFERROR(__xludf.DUMMYFUNCTION("average(filter('Appearance Sheet'!F:F,'Appearance Sheet'!G:G=B667,'Appearance Sheet'!A:A=C667))"),5.0)</f>
        <v>5</v>
      </c>
      <c r="F667" s="67">
        <v>5.34700631</v>
      </c>
      <c r="G667" s="40">
        <v>1.00359691</v>
      </c>
      <c r="H667" s="40">
        <f t="shared" si="1"/>
        <v>1.806474438</v>
      </c>
      <c r="I667" s="41">
        <v>0.426229508</v>
      </c>
      <c r="J667" s="41">
        <v>0.31147541</v>
      </c>
      <c r="K667" s="41">
        <v>0.262295082</v>
      </c>
      <c r="L667" s="41">
        <f t="shared" si="2"/>
        <v>0.163934426</v>
      </c>
      <c r="M667" s="74">
        <v>1.35540369</v>
      </c>
    </row>
    <row r="668">
      <c r="A668" s="1" t="s">
        <v>188</v>
      </c>
      <c r="B668" s="38">
        <v>694819.0</v>
      </c>
      <c r="C668" s="72">
        <v>45907.0</v>
      </c>
      <c r="D668" s="38">
        <v>102.0</v>
      </c>
      <c r="E668" s="73" t="str">
        <f>IFERROR(__xludf.DUMMYFUNCTION("average(filter('Appearance Sheet'!F:F,'Appearance Sheet'!G:G=B668,'Appearance Sheet'!A:A=C668))"),"#N/A")</f>
        <v>#N/A</v>
      </c>
      <c r="F668" s="67">
        <v>5.346952218</v>
      </c>
      <c r="G668" s="40">
        <v>1.628182399</v>
      </c>
      <c r="H668" s="40" t="str">
        <f t="shared" si="1"/>
        <v>#N/A</v>
      </c>
      <c r="I668" s="41">
        <v>0.549019608</v>
      </c>
      <c r="J668" s="41">
        <v>0.166666667</v>
      </c>
      <c r="K668" s="41">
        <v>0.284313725</v>
      </c>
      <c r="L668" s="41">
        <f t="shared" si="2"/>
        <v>0.264705883</v>
      </c>
      <c r="M668" s="74">
        <v>3.404858438</v>
      </c>
    </row>
    <row r="669">
      <c r="A669" s="1" t="s">
        <v>109</v>
      </c>
      <c r="B669" s="38">
        <v>601713.0</v>
      </c>
      <c r="C669" s="72">
        <v>45833.0</v>
      </c>
      <c r="D669" s="38">
        <v>89.0</v>
      </c>
      <c r="E669" s="73">
        <f>IFERROR(__xludf.DUMMYFUNCTION("average(filter('Appearance Sheet'!F:F,'Appearance Sheet'!G:G=B669,'Appearance Sheet'!A:A=C669))"),7.0)</f>
        <v>7</v>
      </c>
      <c r="F669" s="67">
        <v>5.346627858</v>
      </c>
      <c r="G669" s="40">
        <v>1.404691478</v>
      </c>
      <c r="H669" s="40">
        <f t="shared" si="1"/>
        <v>1.8060319</v>
      </c>
      <c r="I669" s="41">
        <v>0.573033708</v>
      </c>
      <c r="J669" s="41">
        <v>0.078651685</v>
      </c>
      <c r="K669" s="41">
        <v>0.348314607</v>
      </c>
      <c r="L669" s="41">
        <f t="shared" si="2"/>
        <v>0.224719101</v>
      </c>
      <c r="M669" s="74">
        <v>1.356438867</v>
      </c>
    </row>
    <row r="670">
      <c r="A670" s="1" t="s">
        <v>263</v>
      </c>
      <c r="B670" s="38">
        <v>694297.0</v>
      </c>
      <c r="C670" s="72">
        <v>45923.0</v>
      </c>
      <c r="D670" s="38">
        <v>86.0</v>
      </c>
      <c r="E670" s="73" t="str">
        <f>IFERROR(__xludf.DUMMYFUNCTION("average(filter('Appearance Sheet'!F:F,'Appearance Sheet'!G:G=B670,'Appearance Sheet'!A:A=C670))"),"#N/A")</f>
        <v>#N/A</v>
      </c>
      <c r="F670" s="67">
        <v>5.346310941</v>
      </c>
      <c r="G670" s="40">
        <v>1.380432303</v>
      </c>
      <c r="H670" s="40" t="str">
        <f t="shared" si="1"/>
        <v>#N/A</v>
      </c>
      <c r="I670" s="41">
        <v>0.534883721</v>
      </c>
      <c r="J670" s="41">
        <v>0.151162791</v>
      </c>
      <c r="K670" s="41">
        <v>0.313953488</v>
      </c>
      <c r="L670" s="41">
        <f t="shared" si="2"/>
        <v>0.220930233</v>
      </c>
      <c r="M670" s="74">
        <v>2.401009902</v>
      </c>
    </row>
    <row r="671">
      <c r="A671" s="1" t="s">
        <v>449</v>
      </c>
      <c r="B671" s="38">
        <v>687223.0</v>
      </c>
      <c r="C671" s="72">
        <v>45793.0</v>
      </c>
      <c r="D671" s="38">
        <v>74.0</v>
      </c>
      <c r="E671" s="73">
        <f>IFERROR(__xludf.DUMMYFUNCTION("average(filter('Appearance Sheet'!F:F,'Appearance Sheet'!G:G=B671,'Appearance Sheet'!A:A=C671))"),4.0)</f>
        <v>4</v>
      </c>
      <c r="F671" s="67">
        <v>5.34630198</v>
      </c>
      <c r="G671" s="40">
        <v>1.183442262</v>
      </c>
      <c r="H671" s="40">
        <f t="shared" si="1"/>
        <v>2.66274509</v>
      </c>
      <c r="I671" s="41">
        <v>0.554054054</v>
      </c>
      <c r="J671" s="41">
        <v>0.162162162</v>
      </c>
      <c r="K671" s="41">
        <v>0.283783784</v>
      </c>
      <c r="L671" s="41">
        <f t="shared" si="2"/>
        <v>0.27027027</v>
      </c>
      <c r="M671" s="74">
        <v>-2.356353628</v>
      </c>
    </row>
    <row r="672">
      <c r="A672" s="1" t="s">
        <v>245</v>
      </c>
      <c r="B672" s="38">
        <v>571578.0</v>
      </c>
      <c r="C672" s="72">
        <v>45913.0</v>
      </c>
      <c r="D672" s="38">
        <v>82.0</v>
      </c>
      <c r="E672" s="73" t="str">
        <f>IFERROR(__xludf.DUMMYFUNCTION("average(filter('Appearance Sheet'!F:F,'Appearance Sheet'!G:G=B672,'Appearance Sheet'!A:A=C672))"),"#N/A")</f>
        <v>#N/A</v>
      </c>
      <c r="F672" s="67">
        <v>5.345756297</v>
      </c>
      <c r="G672" s="40">
        <v>1.318867806</v>
      </c>
      <c r="H672" s="40" t="str">
        <f t="shared" si="1"/>
        <v>#N/A</v>
      </c>
      <c r="I672" s="41">
        <v>0.512195122</v>
      </c>
      <c r="J672" s="41">
        <v>0.207317073</v>
      </c>
      <c r="K672" s="41">
        <v>0.280487805</v>
      </c>
      <c r="L672" s="41">
        <f t="shared" si="2"/>
        <v>0.231707317</v>
      </c>
      <c r="M672" s="74">
        <v>-1.095912912</v>
      </c>
    </row>
    <row r="673">
      <c r="A673" s="1" t="s">
        <v>246</v>
      </c>
      <c r="B673" s="38">
        <v>571510.0</v>
      </c>
      <c r="C673" s="72">
        <v>45800.0</v>
      </c>
      <c r="D673" s="38">
        <v>92.0</v>
      </c>
      <c r="E673" s="73">
        <f>IFERROR(__xludf.DUMMYFUNCTION("average(filter('Appearance Sheet'!F:F,'Appearance Sheet'!G:G=B673,'Appearance Sheet'!A:A=C673))"),4.0)</f>
        <v>4</v>
      </c>
      <c r="F673" s="67">
        <v>5.34568485</v>
      </c>
      <c r="G673" s="40">
        <v>1.423357614</v>
      </c>
      <c r="H673" s="40">
        <f t="shared" si="1"/>
        <v>3.202554632</v>
      </c>
      <c r="I673" s="41">
        <v>0.52173913</v>
      </c>
      <c r="J673" s="41">
        <v>0.130434783</v>
      </c>
      <c r="K673" s="41">
        <v>0.347826087</v>
      </c>
      <c r="L673" s="41">
        <f t="shared" si="2"/>
        <v>0.173913043</v>
      </c>
      <c r="M673" s="74">
        <v>-2.143031482</v>
      </c>
    </row>
    <row r="674">
      <c r="A674" s="1" t="s">
        <v>99</v>
      </c>
      <c r="B674" s="38">
        <v>592791.0</v>
      </c>
      <c r="C674" s="72">
        <v>45791.0</v>
      </c>
      <c r="D674" s="38">
        <v>81.0</v>
      </c>
      <c r="E674" s="73">
        <f>IFERROR(__xludf.DUMMYFUNCTION("average(filter('Appearance Sheet'!F:F,'Appearance Sheet'!G:G=B674,'Appearance Sheet'!A:A=C674))"),6.0)</f>
        <v>6</v>
      </c>
      <c r="F674" s="67">
        <v>5.345352183</v>
      </c>
      <c r="G674" s="40">
        <v>1.281449281</v>
      </c>
      <c r="H674" s="40">
        <f t="shared" si="1"/>
        <v>1.922173922</v>
      </c>
      <c r="I674" s="41">
        <v>0.518518519</v>
      </c>
      <c r="J674" s="41">
        <v>0.209876543</v>
      </c>
      <c r="K674" s="41">
        <v>0.271604938</v>
      </c>
      <c r="L674" s="41">
        <f t="shared" si="2"/>
        <v>0.246913581</v>
      </c>
      <c r="M674" s="74">
        <v>1.054763484</v>
      </c>
    </row>
    <row r="675">
      <c r="A675" s="1" t="s">
        <v>316</v>
      </c>
      <c r="B675" s="38">
        <v>656427.0</v>
      </c>
      <c r="C675" s="72">
        <v>45846.0</v>
      </c>
      <c r="D675" s="38">
        <v>91.0</v>
      </c>
      <c r="E675" s="73" t="str">
        <f>IFERROR(__xludf.DUMMYFUNCTION("average(filter('Appearance Sheet'!F:F,'Appearance Sheet'!G:G=B675,'Appearance Sheet'!A:A=C675))"),"#N/A")</f>
        <v>#N/A</v>
      </c>
      <c r="F675" s="67">
        <v>5.34509557</v>
      </c>
      <c r="G675" s="40">
        <v>1.454235146</v>
      </c>
      <c r="H675" s="40" t="str">
        <f t="shared" si="1"/>
        <v>#N/A</v>
      </c>
      <c r="I675" s="41">
        <v>0.571428571</v>
      </c>
      <c r="J675" s="41">
        <v>0.131868132</v>
      </c>
      <c r="K675" s="41">
        <v>0.296703297</v>
      </c>
      <c r="L675" s="41">
        <f t="shared" si="2"/>
        <v>0.274725274</v>
      </c>
      <c r="M675" s="74">
        <v>-2.497726214</v>
      </c>
    </row>
    <row r="676">
      <c r="A676" s="1" t="s">
        <v>251</v>
      </c>
      <c r="B676" s="38">
        <v>676664.0</v>
      </c>
      <c r="C676" s="72">
        <v>45912.0</v>
      </c>
      <c r="D676" s="38">
        <v>60.0</v>
      </c>
      <c r="E676" s="73" t="str">
        <f>IFERROR(__xludf.DUMMYFUNCTION("average(filter('Appearance Sheet'!F:F,'Appearance Sheet'!G:G=B676,'Appearance Sheet'!A:A=C676))"),"#N/A")</f>
        <v>#N/A</v>
      </c>
      <c r="F676" s="67">
        <v>5.344809235</v>
      </c>
      <c r="G676" s="40">
        <v>0.955113524</v>
      </c>
      <c r="H676" s="40" t="str">
        <f t="shared" si="1"/>
        <v>#N/A</v>
      </c>
      <c r="I676" s="41">
        <v>0.616666667</v>
      </c>
      <c r="J676" s="41">
        <v>0.1</v>
      </c>
      <c r="K676" s="41">
        <v>0.283333333</v>
      </c>
      <c r="L676" s="41">
        <f t="shared" si="2"/>
        <v>0.333333334</v>
      </c>
      <c r="M676" s="74">
        <v>-0.992139169</v>
      </c>
    </row>
    <row r="677">
      <c r="A677" s="1" t="s">
        <v>143</v>
      </c>
      <c r="B677" s="38">
        <v>690928.0</v>
      </c>
      <c r="C677" s="72">
        <v>45816.0</v>
      </c>
      <c r="D677" s="38">
        <v>61.0</v>
      </c>
      <c r="E677" s="73">
        <f>IFERROR(__xludf.DUMMYFUNCTION("average(filter('Appearance Sheet'!F:F,'Appearance Sheet'!G:G=B677,'Appearance Sheet'!A:A=C677))"),5.0)</f>
        <v>5</v>
      </c>
      <c r="F677" s="67">
        <v>5.344456859</v>
      </c>
      <c r="G677" s="40">
        <v>0.979449667</v>
      </c>
      <c r="H677" s="40">
        <f t="shared" si="1"/>
        <v>1.763009401</v>
      </c>
      <c r="I677" s="41">
        <v>0.557377049</v>
      </c>
      <c r="J677" s="41">
        <v>0.131147541</v>
      </c>
      <c r="K677" s="41">
        <v>0.31147541</v>
      </c>
      <c r="L677" s="41">
        <f t="shared" si="2"/>
        <v>0.245901639</v>
      </c>
      <c r="M677" s="74">
        <v>-0.515885475</v>
      </c>
    </row>
    <row r="678">
      <c r="A678" s="1" t="s">
        <v>90</v>
      </c>
      <c r="B678" s="38">
        <v>693433.0</v>
      </c>
      <c r="C678" s="72">
        <v>45813.0</v>
      </c>
      <c r="D678" s="38">
        <v>84.0</v>
      </c>
      <c r="E678" s="73">
        <f>IFERROR(__xludf.DUMMYFUNCTION("average(filter('Appearance Sheet'!F:F,'Appearance Sheet'!G:G=B678,'Appearance Sheet'!A:A=C678))"),6.0)</f>
        <v>6</v>
      </c>
      <c r="F678" s="67">
        <v>5.344217264</v>
      </c>
      <c r="G678" s="40">
        <v>1.353945403</v>
      </c>
      <c r="H678" s="40">
        <f t="shared" si="1"/>
        <v>2.030918105</v>
      </c>
      <c r="I678" s="41">
        <v>0.535714286</v>
      </c>
      <c r="J678" s="41">
        <v>0.154761905</v>
      </c>
      <c r="K678" s="41">
        <v>0.30952381</v>
      </c>
      <c r="L678" s="41">
        <f t="shared" si="2"/>
        <v>0.226190476</v>
      </c>
      <c r="M678" s="74">
        <v>0.093051385</v>
      </c>
    </row>
    <row r="679">
      <c r="A679" s="1" t="s">
        <v>224</v>
      </c>
      <c r="B679" s="38">
        <v>686701.0</v>
      </c>
      <c r="C679" s="72">
        <v>45822.0</v>
      </c>
      <c r="D679" s="38">
        <v>89.0</v>
      </c>
      <c r="E679" s="73">
        <f>IFERROR(__xludf.DUMMYFUNCTION("average(filter('Appearance Sheet'!F:F,'Appearance Sheet'!G:G=B679,'Appearance Sheet'!A:A=C679))"),5.0)</f>
        <v>5</v>
      </c>
      <c r="F679" s="67">
        <v>5.344199754</v>
      </c>
      <c r="G679" s="40">
        <v>1.424413182</v>
      </c>
      <c r="H679" s="40">
        <f t="shared" si="1"/>
        <v>2.563943728</v>
      </c>
      <c r="I679" s="41">
        <v>0.539325843</v>
      </c>
      <c r="J679" s="41">
        <v>0.134831461</v>
      </c>
      <c r="K679" s="41">
        <v>0.325842697</v>
      </c>
      <c r="L679" s="41">
        <f t="shared" si="2"/>
        <v>0.213483146</v>
      </c>
      <c r="M679" s="74">
        <v>1.638993788</v>
      </c>
    </row>
    <row r="680">
      <c r="A680" s="1" t="s">
        <v>195</v>
      </c>
      <c r="B680" s="38">
        <v>668678.0</v>
      </c>
      <c r="C680" s="72">
        <v>45903.0</v>
      </c>
      <c r="D680" s="38">
        <v>92.0</v>
      </c>
      <c r="E680" s="73" t="str">
        <f>IFERROR(__xludf.DUMMYFUNCTION("average(filter('Appearance Sheet'!F:F,'Appearance Sheet'!G:G=B680,'Appearance Sheet'!A:A=C680))"),"#N/A")</f>
        <v>#N/A</v>
      </c>
      <c r="F680" s="67">
        <v>5.343829802</v>
      </c>
      <c r="G680" s="40">
        <v>1.454787175</v>
      </c>
      <c r="H680" s="40" t="str">
        <f t="shared" si="1"/>
        <v>#N/A</v>
      </c>
      <c r="I680" s="41">
        <v>0.586956522</v>
      </c>
      <c r="J680" s="41">
        <v>0.173913043</v>
      </c>
      <c r="K680" s="41">
        <v>0.239130435</v>
      </c>
      <c r="L680" s="41">
        <f t="shared" si="2"/>
        <v>0.347826087</v>
      </c>
      <c r="M680" s="74">
        <v>1.057247456</v>
      </c>
    </row>
    <row r="681">
      <c r="A681" s="1" t="s">
        <v>565</v>
      </c>
      <c r="B681" s="38">
        <v>680735.0</v>
      </c>
      <c r="C681" s="72">
        <v>45897.0</v>
      </c>
      <c r="D681" s="38">
        <v>67.0</v>
      </c>
      <c r="E681" s="73" t="str">
        <f>IFERROR(__xludf.DUMMYFUNCTION("average(filter('Appearance Sheet'!F:F,'Appearance Sheet'!G:G=B681,'Appearance Sheet'!A:A=C681))"),"#N/A")</f>
        <v>#N/A</v>
      </c>
      <c r="F681" s="67">
        <v>5.343447941</v>
      </c>
      <c r="G681" s="40">
        <v>1.086819501</v>
      </c>
      <c r="H681" s="40" t="str">
        <f t="shared" si="1"/>
        <v>#N/A</v>
      </c>
      <c r="I681" s="41">
        <v>0.507462687</v>
      </c>
      <c r="J681" s="41">
        <v>0.194029851</v>
      </c>
      <c r="K681" s="41">
        <v>0.298507463</v>
      </c>
      <c r="L681" s="41">
        <f t="shared" si="2"/>
        <v>0.208955224</v>
      </c>
      <c r="M681" s="74">
        <v>-2.30442263</v>
      </c>
    </row>
    <row r="682">
      <c r="A682" s="1" t="s">
        <v>361</v>
      </c>
      <c r="B682" s="38">
        <v>686563.0</v>
      </c>
      <c r="C682" s="72">
        <v>45790.0</v>
      </c>
      <c r="D682" s="38">
        <v>92.0</v>
      </c>
      <c r="E682" s="73">
        <f>IFERROR(__xludf.DUMMYFUNCTION("average(filter('Appearance Sheet'!F:F,'Appearance Sheet'!G:G=B682,'Appearance Sheet'!A:A=C682))"),6.0)</f>
        <v>6</v>
      </c>
      <c r="F682" s="67">
        <v>5.342724078</v>
      </c>
      <c r="G682" s="40">
        <v>1.442576216</v>
      </c>
      <c r="H682" s="40">
        <f t="shared" si="1"/>
        <v>2.163864324</v>
      </c>
      <c r="I682" s="41">
        <v>0.543478261</v>
      </c>
      <c r="J682" s="41">
        <v>0.152173913</v>
      </c>
      <c r="K682" s="41">
        <v>0.304347826</v>
      </c>
      <c r="L682" s="41">
        <f t="shared" si="2"/>
        <v>0.239130435</v>
      </c>
      <c r="M682" s="74">
        <v>1.841974407</v>
      </c>
    </row>
    <row r="683">
      <c r="A683" s="1" t="s">
        <v>480</v>
      </c>
      <c r="B683" s="38">
        <v>647336.0</v>
      </c>
      <c r="C683" s="72">
        <v>45795.0</v>
      </c>
      <c r="D683" s="38">
        <v>80.0</v>
      </c>
      <c r="E683" s="73">
        <f>IFERROR(__xludf.DUMMYFUNCTION("average(filter('Appearance Sheet'!F:F,'Appearance Sheet'!G:G=B683,'Appearance Sheet'!A:A=C683))"),5.666666666666667)</f>
        <v>5.666666667</v>
      </c>
      <c r="F683" s="67">
        <v>5.342338587</v>
      </c>
      <c r="G683" s="40">
        <v>1.308593079</v>
      </c>
      <c r="H683" s="40">
        <f t="shared" si="1"/>
        <v>2.078353714</v>
      </c>
      <c r="I683" s="41">
        <v>0.5375</v>
      </c>
      <c r="J683" s="41">
        <v>0.1125</v>
      </c>
      <c r="K683" s="41">
        <v>0.35</v>
      </c>
      <c r="L683" s="41">
        <f t="shared" si="2"/>
        <v>0.1875</v>
      </c>
      <c r="M683" s="74">
        <v>-1.843214822</v>
      </c>
    </row>
    <row r="684">
      <c r="A684" s="1" t="s">
        <v>382</v>
      </c>
      <c r="B684" s="38">
        <v>656288.0</v>
      </c>
      <c r="C684" s="72">
        <v>45758.0</v>
      </c>
      <c r="D684" s="38">
        <v>84.0</v>
      </c>
      <c r="E684" s="73">
        <f>IFERROR(__xludf.DUMMYFUNCTION("average(filter('Appearance Sheet'!F:F,'Appearance Sheet'!G:G=B684,'Appearance Sheet'!A:A=C684))"),5.333333333333333)</f>
        <v>5.333333333</v>
      </c>
      <c r="F684" s="67">
        <v>5.341644532</v>
      </c>
      <c r="G684" s="40">
        <v>1.362082063</v>
      </c>
      <c r="H684" s="40">
        <f t="shared" si="1"/>
        <v>2.298513481</v>
      </c>
      <c r="I684" s="41">
        <v>0.523809524</v>
      </c>
      <c r="J684" s="41">
        <v>0.166666667</v>
      </c>
      <c r="K684" s="41">
        <v>0.30952381</v>
      </c>
      <c r="L684" s="41">
        <f t="shared" si="2"/>
        <v>0.214285714</v>
      </c>
      <c r="M684" s="74">
        <v>-2.080636629</v>
      </c>
    </row>
    <row r="685">
      <c r="A685" s="1" t="s">
        <v>324</v>
      </c>
      <c r="B685" s="38">
        <v>471911.0</v>
      </c>
      <c r="C685" s="72">
        <v>45750.0</v>
      </c>
      <c r="D685" s="38">
        <v>72.0</v>
      </c>
      <c r="E685" s="73">
        <f>IFERROR(__xludf.DUMMYFUNCTION("average(filter('Appearance Sheet'!F:F,'Appearance Sheet'!G:G=B685,'Appearance Sheet'!A:A=C685))"),5.333333333333333)</f>
        <v>5.333333333</v>
      </c>
      <c r="F685" s="67">
        <v>5.341235003</v>
      </c>
      <c r="G685" s="40">
        <v>1.136057871</v>
      </c>
      <c r="H685" s="40">
        <f t="shared" si="1"/>
        <v>1.917097657</v>
      </c>
      <c r="I685" s="41">
        <v>0.458333333</v>
      </c>
      <c r="J685" s="41">
        <v>0.208333333</v>
      </c>
      <c r="K685" s="41">
        <v>0.333333333</v>
      </c>
      <c r="L685" s="41">
        <f t="shared" si="2"/>
        <v>0.125</v>
      </c>
      <c r="M685" s="74">
        <v>0.350483863</v>
      </c>
    </row>
    <row r="686">
      <c r="A686" s="1" t="s">
        <v>186</v>
      </c>
      <c r="B686" s="38">
        <v>663399.0</v>
      </c>
      <c r="C686" s="72">
        <v>45805.0</v>
      </c>
      <c r="D686" s="38">
        <v>94.0</v>
      </c>
      <c r="E686" s="73">
        <f>IFERROR(__xludf.DUMMYFUNCTION("average(filter('Appearance Sheet'!F:F,'Appearance Sheet'!G:G=B686,'Appearance Sheet'!A:A=C686))"),5.0)</f>
        <v>5</v>
      </c>
      <c r="F686" s="67">
        <v>5.34122999</v>
      </c>
      <c r="G686" s="40">
        <v>1.502714211</v>
      </c>
      <c r="H686" s="40">
        <f t="shared" si="1"/>
        <v>2.70488558</v>
      </c>
      <c r="I686" s="41">
        <v>0.521276596</v>
      </c>
      <c r="J686" s="41">
        <v>0.20212766</v>
      </c>
      <c r="K686" s="41">
        <v>0.276595745</v>
      </c>
      <c r="L686" s="41">
        <f t="shared" si="2"/>
        <v>0.244680851</v>
      </c>
      <c r="M686" s="74">
        <v>-0.824905248</v>
      </c>
    </row>
    <row r="687">
      <c r="A687" s="1" t="s">
        <v>282</v>
      </c>
      <c r="B687" s="38">
        <v>656302.0</v>
      </c>
      <c r="C687" s="72">
        <v>45847.0</v>
      </c>
      <c r="D687" s="38">
        <v>94.0</v>
      </c>
      <c r="E687" s="73" t="str">
        <f>IFERROR(__xludf.DUMMYFUNCTION("average(filter('Appearance Sheet'!F:F,'Appearance Sheet'!G:G=B687,'Appearance Sheet'!A:A=C687))"),"#N/A")</f>
        <v>#N/A</v>
      </c>
      <c r="F687" s="67">
        <v>5.34120972</v>
      </c>
      <c r="G687" s="40">
        <v>1.530712895</v>
      </c>
      <c r="H687" s="40" t="str">
        <f t="shared" si="1"/>
        <v>#N/A</v>
      </c>
      <c r="I687" s="41">
        <v>0.574468085</v>
      </c>
      <c r="J687" s="41">
        <v>0.127659574</v>
      </c>
      <c r="K687" s="41">
        <v>0.29787234</v>
      </c>
      <c r="L687" s="41">
        <f t="shared" si="2"/>
        <v>0.276595745</v>
      </c>
      <c r="M687" s="74">
        <v>-0.853250027</v>
      </c>
    </row>
    <row r="688">
      <c r="A688" s="1" t="s">
        <v>155</v>
      </c>
      <c r="B688" s="38">
        <v>592332.0</v>
      </c>
      <c r="C688" s="72">
        <v>45803.0</v>
      </c>
      <c r="D688" s="38">
        <v>94.0</v>
      </c>
      <c r="E688" s="73">
        <f>IFERROR(__xludf.DUMMYFUNCTION("average(filter('Appearance Sheet'!F:F,'Appearance Sheet'!G:G=B688,'Appearance Sheet'!A:A=C688))"),8.0)</f>
        <v>8</v>
      </c>
      <c r="F688" s="67">
        <v>5.341202893</v>
      </c>
      <c r="G688" s="40">
        <v>1.54081084</v>
      </c>
      <c r="H688" s="40">
        <f t="shared" si="1"/>
        <v>1.733412195</v>
      </c>
      <c r="I688" s="41">
        <v>0.531914894</v>
      </c>
      <c r="J688" s="41">
        <v>0.180851064</v>
      </c>
      <c r="K688" s="41">
        <v>0.287234043</v>
      </c>
      <c r="L688" s="41">
        <f t="shared" si="2"/>
        <v>0.244680851</v>
      </c>
      <c r="M688" s="74">
        <v>0.39611791</v>
      </c>
    </row>
    <row r="689">
      <c r="A689" s="1" t="s">
        <v>95</v>
      </c>
      <c r="B689" s="38">
        <v>543243.0</v>
      </c>
      <c r="C689" s="72">
        <v>45862.0</v>
      </c>
      <c r="D689" s="38">
        <v>82.0</v>
      </c>
      <c r="E689" s="73" t="str">
        <f>IFERROR(__xludf.DUMMYFUNCTION("average(filter('Appearance Sheet'!F:F,'Appearance Sheet'!G:G=B689,'Appearance Sheet'!A:A=C689))"),"#N/A")</f>
        <v>#N/A</v>
      </c>
      <c r="F689" s="67">
        <v>5.341087391</v>
      </c>
      <c r="G689" s="40">
        <v>1.361650835</v>
      </c>
      <c r="H689" s="40" t="str">
        <f t="shared" si="1"/>
        <v>#N/A</v>
      </c>
      <c r="I689" s="41">
        <v>0.5</v>
      </c>
      <c r="J689" s="41">
        <v>0.243902439</v>
      </c>
      <c r="K689" s="41">
        <v>0.256097561</v>
      </c>
      <c r="L689" s="41">
        <f t="shared" si="2"/>
        <v>0.243902439</v>
      </c>
      <c r="M689" s="74">
        <v>-5.579623305</v>
      </c>
    </row>
    <row r="690">
      <c r="A690" s="1" t="s">
        <v>109</v>
      </c>
      <c r="B690" s="38">
        <v>601713.0</v>
      </c>
      <c r="C690" s="72">
        <v>45752.0</v>
      </c>
      <c r="D690" s="38">
        <v>74.0</v>
      </c>
      <c r="E690" s="73">
        <f>IFERROR(__xludf.DUMMYFUNCTION("average(filter('Appearance Sheet'!F:F,'Appearance Sheet'!G:G=B690,'Appearance Sheet'!A:A=C690))"),3.0)</f>
        <v>3</v>
      </c>
      <c r="F690" s="67">
        <v>5.340982239</v>
      </c>
      <c r="G690" s="40">
        <v>1.189431691</v>
      </c>
      <c r="H690" s="40">
        <f t="shared" si="1"/>
        <v>3.568295073</v>
      </c>
      <c r="I690" s="41">
        <v>0.567567568</v>
      </c>
      <c r="J690" s="41">
        <v>0.135135135</v>
      </c>
      <c r="K690" s="41">
        <v>0.297297297</v>
      </c>
      <c r="L690" s="41">
        <f t="shared" si="2"/>
        <v>0.270270271</v>
      </c>
      <c r="M690" s="74">
        <v>-1.945365846</v>
      </c>
    </row>
    <row r="691">
      <c r="A691" s="1" t="s">
        <v>119</v>
      </c>
      <c r="B691" s="38">
        <v>669456.0</v>
      </c>
      <c r="C691" s="72">
        <v>45898.0</v>
      </c>
      <c r="D691" s="38">
        <v>90.0</v>
      </c>
      <c r="E691" s="73" t="str">
        <f>IFERROR(__xludf.DUMMYFUNCTION("average(filter('Appearance Sheet'!F:F,'Appearance Sheet'!G:G=B691,'Appearance Sheet'!A:A=C691))"),"#N/A")</f>
        <v>#N/A</v>
      </c>
      <c r="F691" s="67">
        <v>5.340617121</v>
      </c>
      <c r="G691" s="40">
        <v>1.442198848</v>
      </c>
      <c r="H691" s="40" t="str">
        <f t="shared" si="1"/>
        <v>#N/A</v>
      </c>
      <c r="I691" s="41">
        <v>0.533333333</v>
      </c>
      <c r="J691" s="41">
        <v>0.122222222</v>
      </c>
      <c r="K691" s="41">
        <v>0.344444444</v>
      </c>
      <c r="L691" s="41">
        <f t="shared" si="2"/>
        <v>0.188888889</v>
      </c>
      <c r="M691" s="74">
        <v>1.093818687</v>
      </c>
    </row>
    <row r="692">
      <c r="A692" s="1" t="s">
        <v>84</v>
      </c>
      <c r="B692" s="38">
        <v>669373.0</v>
      </c>
      <c r="C692" s="72">
        <v>45906.0</v>
      </c>
      <c r="D692" s="38">
        <v>90.0</v>
      </c>
      <c r="E692" s="73" t="str">
        <f>IFERROR(__xludf.DUMMYFUNCTION("average(filter('Appearance Sheet'!F:F,'Appearance Sheet'!G:G=B692,'Appearance Sheet'!A:A=C692))"),"#N/A")</f>
        <v>#N/A</v>
      </c>
      <c r="F692" s="67">
        <v>5.340385912</v>
      </c>
      <c r="G692" s="40">
        <v>1.442988862</v>
      </c>
      <c r="H692" s="40" t="str">
        <f t="shared" si="1"/>
        <v>#N/A</v>
      </c>
      <c r="I692" s="41">
        <v>0.544444444</v>
      </c>
      <c r="J692" s="41">
        <v>0.177777778</v>
      </c>
      <c r="K692" s="41">
        <v>0.277777778</v>
      </c>
      <c r="L692" s="41">
        <f t="shared" si="2"/>
        <v>0.266666666</v>
      </c>
      <c r="M692" s="74">
        <v>3.31960295</v>
      </c>
    </row>
    <row r="693">
      <c r="A693" s="1" t="s">
        <v>544</v>
      </c>
      <c r="B693" s="38">
        <v>805123.0</v>
      </c>
      <c r="C693" s="72">
        <v>45874.0</v>
      </c>
      <c r="D693" s="38">
        <v>67.0</v>
      </c>
      <c r="E693" s="73" t="str">
        <f>IFERROR(__xludf.DUMMYFUNCTION("average(filter('Appearance Sheet'!F:F,'Appearance Sheet'!G:G=B693,'Appearance Sheet'!A:A=C693))"),"#N/A")</f>
        <v>#N/A</v>
      </c>
      <c r="F693" s="67">
        <v>5.340236164</v>
      </c>
      <c r="G693" s="40">
        <v>1.064907866</v>
      </c>
      <c r="H693" s="40" t="str">
        <f t="shared" si="1"/>
        <v>#N/A</v>
      </c>
      <c r="I693" s="41">
        <v>0.582089552</v>
      </c>
      <c r="J693" s="41">
        <v>0.119402985</v>
      </c>
      <c r="K693" s="41">
        <v>0.298507463</v>
      </c>
      <c r="L693" s="41">
        <f t="shared" si="2"/>
        <v>0.283582089</v>
      </c>
      <c r="M693" s="74">
        <v>-0.079030455</v>
      </c>
    </row>
    <row r="694">
      <c r="A694" s="1" t="s">
        <v>377</v>
      </c>
      <c r="B694" s="38">
        <v>695549.0</v>
      </c>
      <c r="C694" s="72">
        <v>45795.0</v>
      </c>
      <c r="D694" s="38">
        <v>88.0</v>
      </c>
      <c r="E694" s="73">
        <f>IFERROR(__xludf.DUMMYFUNCTION("average(filter('Appearance Sheet'!F:F,'Appearance Sheet'!G:G=B694,'Appearance Sheet'!A:A=C694))"),6.0)</f>
        <v>6</v>
      </c>
      <c r="F694" s="67">
        <v>5.340160532</v>
      </c>
      <c r="G694" s="40">
        <v>1.412393871</v>
      </c>
      <c r="H694" s="40">
        <f t="shared" si="1"/>
        <v>2.118590807</v>
      </c>
      <c r="I694" s="41">
        <v>0.534090909</v>
      </c>
      <c r="J694" s="41">
        <v>0.113636364</v>
      </c>
      <c r="K694" s="41">
        <v>0.352272727</v>
      </c>
      <c r="L694" s="41">
        <f t="shared" si="2"/>
        <v>0.181818182</v>
      </c>
      <c r="M694" s="74">
        <v>-1.32411016</v>
      </c>
    </row>
    <row r="695">
      <c r="A695" s="1" t="s">
        <v>161</v>
      </c>
      <c r="B695" s="38">
        <v>702070.0</v>
      </c>
      <c r="C695" s="72">
        <v>45818.0</v>
      </c>
      <c r="D695" s="38">
        <v>99.0</v>
      </c>
      <c r="E695" s="73">
        <f>IFERROR(__xludf.DUMMYFUNCTION("average(filter('Appearance Sheet'!F:F,'Appearance Sheet'!G:G=B695,'Appearance Sheet'!A:A=C695))"),5.666666666666667)</f>
        <v>5.666666667</v>
      </c>
      <c r="F695" s="67">
        <v>5.339935706</v>
      </c>
      <c r="G695" s="40">
        <v>1.609097971</v>
      </c>
      <c r="H695" s="40">
        <f t="shared" si="1"/>
        <v>2.555626189</v>
      </c>
      <c r="I695" s="41">
        <v>0.484848485</v>
      </c>
      <c r="J695" s="41">
        <v>0.151515152</v>
      </c>
      <c r="K695" s="41">
        <v>0.363636364</v>
      </c>
      <c r="L695" s="41">
        <f t="shared" si="2"/>
        <v>0.121212121</v>
      </c>
      <c r="M695" s="74">
        <v>-1.259385686</v>
      </c>
    </row>
    <row r="696">
      <c r="A696" s="1" t="s">
        <v>127</v>
      </c>
      <c r="B696" s="38">
        <v>687765.0</v>
      </c>
      <c r="C696" s="72">
        <v>45818.0</v>
      </c>
      <c r="D696" s="38">
        <v>75.0</v>
      </c>
      <c r="E696" s="73">
        <f>IFERROR(__xludf.DUMMYFUNCTION("average(filter('Appearance Sheet'!F:F,'Appearance Sheet'!G:G=B696,'Appearance Sheet'!A:A=C696))"),5.0)</f>
        <v>5</v>
      </c>
      <c r="F696" s="67">
        <v>5.339784569</v>
      </c>
      <c r="G696" s="40">
        <v>1.179212278</v>
      </c>
      <c r="H696" s="40">
        <f t="shared" si="1"/>
        <v>2.1225821</v>
      </c>
      <c r="I696" s="41">
        <v>0.533333333</v>
      </c>
      <c r="J696" s="41">
        <v>0.213333333</v>
      </c>
      <c r="K696" s="41">
        <v>0.253333333</v>
      </c>
      <c r="L696" s="41">
        <f t="shared" si="2"/>
        <v>0.28</v>
      </c>
      <c r="M696" s="74">
        <v>1.927253933</v>
      </c>
    </row>
    <row r="697">
      <c r="A697" s="1" t="s">
        <v>566</v>
      </c>
      <c r="B697" s="38">
        <v>687830.0</v>
      </c>
      <c r="C697" s="72">
        <v>45812.0</v>
      </c>
      <c r="D697" s="38">
        <v>66.0</v>
      </c>
      <c r="E697" s="73">
        <f>IFERROR(__xludf.DUMMYFUNCTION("average(filter('Appearance Sheet'!F:F,'Appearance Sheet'!G:G=B697,'Appearance Sheet'!A:A=C697))"),3.6666666666666665)</f>
        <v>3.666666667</v>
      </c>
      <c r="F697" s="67">
        <v>5.339744577</v>
      </c>
      <c r="G697" s="40">
        <v>1.073756053</v>
      </c>
      <c r="H697" s="40">
        <f t="shared" si="1"/>
        <v>2.635583039</v>
      </c>
      <c r="I697" s="41">
        <v>0.560606061</v>
      </c>
      <c r="J697" s="41">
        <v>0.136363636</v>
      </c>
      <c r="K697" s="41">
        <v>0.303030303</v>
      </c>
      <c r="L697" s="41">
        <f t="shared" si="2"/>
        <v>0.257575758</v>
      </c>
      <c r="M697" s="74">
        <v>0.823522674</v>
      </c>
    </row>
    <row r="698">
      <c r="A698" s="1" t="s">
        <v>73</v>
      </c>
      <c r="B698" s="38">
        <v>668881.0</v>
      </c>
      <c r="C698" s="72">
        <v>45894.0</v>
      </c>
      <c r="D698" s="38">
        <v>94.0</v>
      </c>
      <c r="E698" s="73" t="str">
        <f>IFERROR(__xludf.DUMMYFUNCTION("average(filter('Appearance Sheet'!F:F,'Appearance Sheet'!G:G=B698,'Appearance Sheet'!A:A=C698))"),"#N/A")</f>
        <v>#N/A</v>
      </c>
      <c r="F698" s="67">
        <v>5.33964847</v>
      </c>
      <c r="G698" s="40">
        <v>1.512714402</v>
      </c>
      <c r="H698" s="40" t="str">
        <f t="shared" si="1"/>
        <v>#N/A</v>
      </c>
      <c r="I698" s="41">
        <v>0.542553191</v>
      </c>
      <c r="J698" s="41">
        <v>0.138297872</v>
      </c>
      <c r="K698" s="41">
        <v>0.319148936</v>
      </c>
      <c r="L698" s="41">
        <f t="shared" si="2"/>
        <v>0.223404255</v>
      </c>
      <c r="M698" s="74">
        <v>-0.83988423</v>
      </c>
    </row>
    <row r="699">
      <c r="A699" s="1" t="s">
        <v>120</v>
      </c>
      <c r="B699" s="38">
        <v>800048.0</v>
      </c>
      <c r="C699" s="72">
        <v>45919.0</v>
      </c>
      <c r="D699" s="38">
        <v>93.0</v>
      </c>
      <c r="E699" s="73" t="str">
        <f>IFERROR(__xludf.DUMMYFUNCTION("average(filter('Appearance Sheet'!F:F,'Appearance Sheet'!G:G=B699,'Appearance Sheet'!A:A=C699))"),"#N/A")</f>
        <v>#N/A</v>
      </c>
      <c r="F699" s="67">
        <v>5.339356038</v>
      </c>
      <c r="G699" s="40">
        <v>1.462625643</v>
      </c>
      <c r="H699" s="40" t="str">
        <f t="shared" si="1"/>
        <v>#N/A</v>
      </c>
      <c r="I699" s="41">
        <v>0.537634409</v>
      </c>
      <c r="J699" s="41">
        <v>0.182795699</v>
      </c>
      <c r="K699" s="41">
        <v>0.279569892</v>
      </c>
      <c r="L699" s="41">
        <f t="shared" si="2"/>
        <v>0.258064517</v>
      </c>
      <c r="M699" s="74">
        <v>0.049515284</v>
      </c>
    </row>
    <row r="700">
      <c r="A700" s="1" t="s">
        <v>316</v>
      </c>
      <c r="B700" s="38">
        <v>656427.0</v>
      </c>
      <c r="C700" s="72">
        <v>45769.0</v>
      </c>
      <c r="D700" s="38">
        <v>94.0</v>
      </c>
      <c r="E700" s="73">
        <f>IFERROR(__xludf.DUMMYFUNCTION("average(filter('Appearance Sheet'!F:F,'Appearance Sheet'!G:G=B700,'Appearance Sheet'!A:A=C700))"),6.0)</f>
        <v>6</v>
      </c>
      <c r="F700" s="67">
        <v>5.339197519</v>
      </c>
      <c r="G700" s="40">
        <v>1.494923142</v>
      </c>
      <c r="H700" s="40">
        <f t="shared" si="1"/>
        <v>2.242384713</v>
      </c>
      <c r="I700" s="41">
        <v>0.510638298</v>
      </c>
      <c r="J700" s="41">
        <v>0.223404255</v>
      </c>
      <c r="K700" s="41">
        <v>0.265957447</v>
      </c>
      <c r="L700" s="41">
        <f t="shared" si="2"/>
        <v>0.244680851</v>
      </c>
      <c r="M700" s="74">
        <v>-0.336847032</v>
      </c>
    </row>
    <row r="701">
      <c r="A701" s="1" t="s">
        <v>389</v>
      </c>
      <c r="B701" s="38">
        <v>682052.0</v>
      </c>
      <c r="C701" s="72">
        <v>45833.0</v>
      </c>
      <c r="D701" s="38">
        <v>102.0</v>
      </c>
      <c r="E701" s="73">
        <f>IFERROR(__xludf.DUMMYFUNCTION("average(filter('Appearance Sheet'!F:F,'Appearance Sheet'!G:G=B701,'Appearance Sheet'!A:A=C701))"),7.0)</f>
        <v>7</v>
      </c>
      <c r="F701" s="67">
        <v>5.338839515</v>
      </c>
      <c r="G701" s="40">
        <v>1.612765057</v>
      </c>
      <c r="H701" s="40">
        <f t="shared" si="1"/>
        <v>2.073555073</v>
      </c>
      <c r="I701" s="41">
        <v>0.529411765</v>
      </c>
      <c r="J701" s="41">
        <v>0.205882353</v>
      </c>
      <c r="K701" s="41">
        <v>0.264705882</v>
      </c>
      <c r="L701" s="41">
        <f t="shared" si="2"/>
        <v>0.264705883</v>
      </c>
      <c r="M701" s="74">
        <v>2.747020583</v>
      </c>
    </row>
    <row r="702">
      <c r="A702" s="1" t="s">
        <v>294</v>
      </c>
      <c r="B702" s="38">
        <v>665152.0</v>
      </c>
      <c r="C702" s="72">
        <v>45843.0</v>
      </c>
      <c r="D702" s="38">
        <v>84.0</v>
      </c>
      <c r="E702" s="73" t="str">
        <f>IFERROR(__xludf.DUMMYFUNCTION("average(filter('Appearance Sheet'!F:F,'Appearance Sheet'!G:G=B702,'Appearance Sheet'!A:A=C702))"),"#N/A")</f>
        <v>#N/A</v>
      </c>
      <c r="F702" s="67">
        <v>5.338682134</v>
      </c>
      <c r="G702" s="40">
        <v>1.394736521</v>
      </c>
      <c r="H702" s="40" t="str">
        <f t="shared" si="1"/>
        <v>#N/A</v>
      </c>
      <c r="I702" s="41">
        <v>0.5</v>
      </c>
      <c r="J702" s="41">
        <v>0.166666667</v>
      </c>
      <c r="K702" s="41">
        <v>0.333333333</v>
      </c>
      <c r="L702" s="41">
        <f t="shared" si="2"/>
        <v>0.166666667</v>
      </c>
      <c r="M702" s="74">
        <v>-2.033411559</v>
      </c>
    </row>
    <row r="703">
      <c r="A703" s="1" t="s">
        <v>461</v>
      </c>
      <c r="B703" s="38">
        <v>673540.0</v>
      </c>
      <c r="C703" s="72">
        <v>45748.0</v>
      </c>
      <c r="D703" s="38">
        <v>72.0</v>
      </c>
      <c r="E703" s="73">
        <f>IFERROR(__xludf.DUMMYFUNCTION("average(filter('Appearance Sheet'!F:F,'Appearance Sheet'!G:G=B703,'Appearance Sheet'!A:A=C703))"),5.0)</f>
        <v>5</v>
      </c>
      <c r="F703" s="67">
        <v>5.338573457</v>
      </c>
      <c r="G703" s="40">
        <v>1.180423097</v>
      </c>
      <c r="H703" s="40">
        <f t="shared" si="1"/>
        <v>2.124761575</v>
      </c>
      <c r="I703" s="41">
        <v>0.583333333</v>
      </c>
      <c r="J703" s="41">
        <v>0.125</v>
      </c>
      <c r="K703" s="41">
        <v>0.291666667</v>
      </c>
      <c r="L703" s="41">
        <f t="shared" si="2"/>
        <v>0.291666666</v>
      </c>
      <c r="M703" s="74">
        <v>1.654732379</v>
      </c>
    </row>
    <row r="704">
      <c r="A704" s="1" t="s">
        <v>567</v>
      </c>
      <c r="B704" s="38">
        <v>592254.0</v>
      </c>
      <c r="C704" s="72">
        <v>45928.0</v>
      </c>
      <c r="D704" s="38">
        <v>97.0</v>
      </c>
      <c r="E704" s="73" t="str">
        <f>IFERROR(__xludf.DUMMYFUNCTION("average(filter('Appearance Sheet'!F:F,'Appearance Sheet'!G:G=B704,'Appearance Sheet'!A:A=C704))"),"#N/A")</f>
        <v>#N/A</v>
      </c>
      <c r="F704" s="67">
        <v>5.338329471</v>
      </c>
      <c r="G704" s="40">
        <v>1.53402989</v>
      </c>
      <c r="H704" s="40" t="str">
        <f t="shared" si="1"/>
        <v>#N/A</v>
      </c>
      <c r="I704" s="41">
        <v>0.597938144</v>
      </c>
      <c r="J704" s="41">
        <v>0.134020619</v>
      </c>
      <c r="K704" s="41">
        <v>0.268041237</v>
      </c>
      <c r="L704" s="41">
        <f t="shared" si="2"/>
        <v>0.329896907</v>
      </c>
      <c r="M704" s="74">
        <v>-3.271845804</v>
      </c>
    </row>
    <row r="705">
      <c r="A705" s="1" t="s">
        <v>115</v>
      </c>
      <c r="B705" s="38">
        <v>543135.0</v>
      </c>
      <c r="C705" s="72">
        <v>45788.0</v>
      </c>
      <c r="D705" s="38">
        <v>94.0</v>
      </c>
      <c r="E705" s="73">
        <f>IFERROR(__xludf.DUMMYFUNCTION("average(filter('Appearance Sheet'!F:F,'Appearance Sheet'!G:G=B705,'Appearance Sheet'!A:A=C705))"),7.0)</f>
        <v>7</v>
      </c>
      <c r="F705" s="67">
        <v>5.338304227</v>
      </c>
      <c r="G705" s="40">
        <v>1.527166341</v>
      </c>
      <c r="H705" s="40">
        <f t="shared" si="1"/>
        <v>1.963499581</v>
      </c>
      <c r="I705" s="41">
        <v>0.521276596</v>
      </c>
      <c r="J705" s="41">
        <v>0.159574468</v>
      </c>
      <c r="K705" s="41">
        <v>0.319148936</v>
      </c>
      <c r="L705" s="41">
        <f t="shared" si="2"/>
        <v>0.20212766</v>
      </c>
      <c r="M705" s="74">
        <v>3.213947482</v>
      </c>
    </row>
    <row r="706">
      <c r="A706" s="1" t="s">
        <v>515</v>
      </c>
      <c r="B706" s="38">
        <v>678906.0</v>
      </c>
      <c r="C706" s="72">
        <v>45915.0</v>
      </c>
      <c r="D706" s="38">
        <v>70.0</v>
      </c>
      <c r="E706" s="73" t="str">
        <f>IFERROR(__xludf.DUMMYFUNCTION("average(filter('Appearance Sheet'!F:F,'Appearance Sheet'!G:G=B706,'Appearance Sheet'!A:A=C706))"),"#N/A")</f>
        <v>#N/A</v>
      </c>
      <c r="F706" s="67">
        <v>5.33821571</v>
      </c>
      <c r="G706" s="40">
        <v>1.09593437</v>
      </c>
      <c r="H706" s="40" t="str">
        <f t="shared" si="1"/>
        <v>#N/A</v>
      </c>
      <c r="I706" s="41">
        <v>0.528571429</v>
      </c>
      <c r="J706" s="41">
        <v>0.128571429</v>
      </c>
      <c r="K706" s="41">
        <v>0.342857143</v>
      </c>
      <c r="L706" s="41">
        <f t="shared" si="2"/>
        <v>0.185714286</v>
      </c>
      <c r="M706" s="74">
        <v>1.584387874</v>
      </c>
    </row>
    <row r="707">
      <c r="A707" s="1" t="s">
        <v>150</v>
      </c>
      <c r="B707" s="38">
        <v>657746.0</v>
      </c>
      <c r="C707" s="72">
        <v>45833.0</v>
      </c>
      <c r="D707" s="38">
        <v>90.0</v>
      </c>
      <c r="E707" s="73">
        <f>IFERROR(__xludf.DUMMYFUNCTION("average(filter('Appearance Sheet'!F:F,'Appearance Sheet'!G:G=B707,'Appearance Sheet'!A:A=C707))"),6.0)</f>
        <v>6</v>
      </c>
      <c r="F707" s="67">
        <v>5.338203311</v>
      </c>
      <c r="G707" s="40">
        <v>1.438311249</v>
      </c>
      <c r="H707" s="40">
        <f t="shared" si="1"/>
        <v>2.157466874</v>
      </c>
      <c r="I707" s="41">
        <v>0.477777778</v>
      </c>
      <c r="J707" s="41">
        <v>0.188888889</v>
      </c>
      <c r="K707" s="41">
        <v>0.333333333</v>
      </c>
      <c r="L707" s="41">
        <f t="shared" si="2"/>
        <v>0.144444445</v>
      </c>
      <c r="M707" s="74">
        <v>1.702048678</v>
      </c>
    </row>
    <row r="708">
      <c r="A708" s="1" t="s">
        <v>212</v>
      </c>
      <c r="B708" s="38">
        <v>805673.0</v>
      </c>
      <c r="C708" s="72">
        <v>45898.0</v>
      </c>
      <c r="D708" s="38">
        <v>91.0</v>
      </c>
      <c r="E708" s="73" t="str">
        <f>IFERROR(__xludf.DUMMYFUNCTION("average(filter('Appearance Sheet'!F:F,'Appearance Sheet'!G:G=B708,'Appearance Sheet'!A:A=C708))"),"#N/A")</f>
        <v>#N/A</v>
      </c>
      <c r="F708" s="67">
        <v>5.337508704</v>
      </c>
      <c r="G708" s="40">
        <v>1.488997362</v>
      </c>
      <c r="H708" s="40" t="str">
        <f t="shared" si="1"/>
        <v>#N/A</v>
      </c>
      <c r="I708" s="41">
        <v>0.505494505</v>
      </c>
      <c r="J708" s="41">
        <v>0.21978022</v>
      </c>
      <c r="K708" s="41">
        <v>0.274725275</v>
      </c>
      <c r="L708" s="41">
        <f t="shared" si="2"/>
        <v>0.23076923</v>
      </c>
      <c r="M708" s="74">
        <v>-1.415286431</v>
      </c>
    </row>
    <row r="709">
      <c r="A709" s="1" t="s">
        <v>222</v>
      </c>
      <c r="B709" s="38">
        <v>518876.0</v>
      </c>
      <c r="C709" s="72">
        <v>45784.0</v>
      </c>
      <c r="D709" s="38">
        <v>98.0</v>
      </c>
      <c r="E709" s="73">
        <f>IFERROR(__xludf.DUMMYFUNCTION("average(filter('Appearance Sheet'!F:F,'Appearance Sheet'!G:G=B709,'Appearance Sheet'!A:A=C709))"),6.333333333333333)</f>
        <v>6.333333333</v>
      </c>
      <c r="F709" s="67">
        <v>5.336723413</v>
      </c>
      <c r="G709" s="40">
        <v>1.585461468</v>
      </c>
      <c r="H709" s="40">
        <f t="shared" si="1"/>
        <v>2.253024191</v>
      </c>
      <c r="I709" s="41">
        <v>0.5</v>
      </c>
      <c r="J709" s="41">
        <v>0.224489796</v>
      </c>
      <c r="K709" s="41">
        <v>0.275510204</v>
      </c>
      <c r="L709" s="41">
        <f t="shared" si="2"/>
        <v>0.224489796</v>
      </c>
      <c r="M709" s="74">
        <v>0.612342527</v>
      </c>
    </row>
    <row r="710">
      <c r="A710" s="1" t="s">
        <v>171</v>
      </c>
      <c r="B710" s="38">
        <v>665795.0</v>
      </c>
      <c r="C710" s="72">
        <v>45844.0</v>
      </c>
      <c r="D710" s="38">
        <v>90.0</v>
      </c>
      <c r="E710" s="73" t="str">
        <f>IFERROR(__xludf.DUMMYFUNCTION("average(filter('Appearance Sheet'!F:F,'Appearance Sheet'!G:G=B710,'Appearance Sheet'!A:A=C710))"),"#N/A")</f>
        <v>#N/A</v>
      </c>
      <c r="F710" s="67">
        <v>5.336720136</v>
      </c>
      <c r="G710" s="40">
        <v>1.460501283</v>
      </c>
      <c r="H710" s="40" t="str">
        <f t="shared" si="1"/>
        <v>#N/A</v>
      </c>
      <c r="I710" s="41">
        <v>0.544444444</v>
      </c>
      <c r="J710" s="41">
        <v>0.166666667</v>
      </c>
      <c r="K710" s="41">
        <v>0.288888889</v>
      </c>
      <c r="L710" s="41">
        <f t="shared" si="2"/>
        <v>0.255555555</v>
      </c>
      <c r="M710" s="74">
        <v>0.598732362</v>
      </c>
    </row>
    <row r="711">
      <c r="A711" s="1" t="s">
        <v>65</v>
      </c>
      <c r="B711" s="38">
        <v>680885.0</v>
      </c>
      <c r="C711" s="72">
        <v>45831.0</v>
      </c>
      <c r="D711" s="38">
        <v>70.0</v>
      </c>
      <c r="E711" s="73">
        <f>IFERROR(__xludf.DUMMYFUNCTION("average(filter('Appearance Sheet'!F:F,'Appearance Sheet'!G:G=B711,'Appearance Sheet'!A:A=C711))"),7.0)</f>
        <v>7</v>
      </c>
      <c r="F711" s="67">
        <v>5.33665687</v>
      </c>
      <c r="G711" s="40">
        <v>1.19784727</v>
      </c>
      <c r="H711" s="40">
        <f t="shared" si="1"/>
        <v>1.540089347</v>
      </c>
      <c r="I711" s="41">
        <v>0.542857143</v>
      </c>
      <c r="J711" s="41">
        <v>0.185714286</v>
      </c>
      <c r="K711" s="41">
        <v>0.271428571</v>
      </c>
      <c r="L711" s="41">
        <f t="shared" si="2"/>
        <v>0.271428572</v>
      </c>
      <c r="M711" s="74">
        <v>1.209843613</v>
      </c>
    </row>
    <row r="712">
      <c r="A712" s="1" t="s">
        <v>380</v>
      </c>
      <c r="B712" s="38">
        <v>661563.0</v>
      </c>
      <c r="C712" s="72">
        <v>45900.0</v>
      </c>
      <c r="D712" s="38">
        <v>95.0</v>
      </c>
      <c r="E712" s="73" t="str">
        <f>IFERROR(__xludf.DUMMYFUNCTION("average(filter('Appearance Sheet'!F:F,'Appearance Sheet'!G:G=B712,'Appearance Sheet'!A:A=C712))"),"#N/A")</f>
        <v>#N/A</v>
      </c>
      <c r="F712" s="67">
        <v>5.336651119</v>
      </c>
      <c r="G712" s="40">
        <v>1.530564128</v>
      </c>
      <c r="H712" s="40" t="str">
        <f t="shared" si="1"/>
        <v>#N/A</v>
      </c>
      <c r="I712" s="41">
        <v>0.526315789</v>
      </c>
      <c r="J712" s="41">
        <v>0.147368421</v>
      </c>
      <c r="K712" s="41">
        <v>0.326315789</v>
      </c>
      <c r="L712" s="41">
        <f t="shared" si="2"/>
        <v>0.2</v>
      </c>
      <c r="M712" s="74">
        <v>0.418716</v>
      </c>
    </row>
    <row r="713">
      <c r="A713" s="1" t="s">
        <v>90</v>
      </c>
      <c r="B713" s="38">
        <v>693433.0</v>
      </c>
      <c r="C713" s="72">
        <v>45858.0</v>
      </c>
      <c r="D713" s="38">
        <v>89.0</v>
      </c>
      <c r="E713" s="73" t="str">
        <f>IFERROR(__xludf.DUMMYFUNCTION("average(filter('Appearance Sheet'!F:F,'Appearance Sheet'!G:G=B713,'Appearance Sheet'!A:A=C713))"),"#N/A")</f>
        <v>#N/A</v>
      </c>
      <c r="F713" s="67">
        <v>5.335894569</v>
      </c>
      <c r="G713" s="40">
        <v>1.446551298</v>
      </c>
      <c r="H713" s="40" t="str">
        <f t="shared" si="1"/>
        <v>#N/A</v>
      </c>
      <c r="I713" s="41">
        <v>0.483146067</v>
      </c>
      <c r="J713" s="41">
        <v>0.247191011</v>
      </c>
      <c r="K713" s="41">
        <v>0.269662921</v>
      </c>
      <c r="L713" s="41">
        <f t="shared" si="2"/>
        <v>0.213483146</v>
      </c>
      <c r="M713" s="74">
        <v>-0.549702993</v>
      </c>
    </row>
    <row r="714">
      <c r="A714" s="1" t="s">
        <v>173</v>
      </c>
      <c r="B714" s="38">
        <v>641927.0</v>
      </c>
      <c r="C714" s="72">
        <v>45808.0</v>
      </c>
      <c r="D714" s="38">
        <v>96.0</v>
      </c>
      <c r="E714" s="73">
        <f>IFERROR(__xludf.DUMMYFUNCTION("average(filter('Appearance Sheet'!F:F,'Appearance Sheet'!G:G=B714,'Appearance Sheet'!A:A=C714))"),4.0)</f>
        <v>4</v>
      </c>
      <c r="F714" s="67">
        <v>5.335863982</v>
      </c>
      <c r="G714" s="40">
        <v>1.50781312</v>
      </c>
      <c r="H714" s="40">
        <f t="shared" si="1"/>
        <v>3.39257952</v>
      </c>
      <c r="I714" s="41">
        <v>0.53125</v>
      </c>
      <c r="J714" s="41">
        <v>0.145833333</v>
      </c>
      <c r="K714" s="41">
        <v>0.322916667</v>
      </c>
      <c r="L714" s="41">
        <f t="shared" si="2"/>
        <v>0.208333333</v>
      </c>
      <c r="M714" s="74">
        <v>-0.29962566</v>
      </c>
    </row>
    <row r="715">
      <c r="A715" s="1" t="s">
        <v>156</v>
      </c>
      <c r="B715" s="38">
        <v>519242.0</v>
      </c>
      <c r="C715" s="72">
        <v>45743.0</v>
      </c>
      <c r="D715" s="38">
        <v>83.0</v>
      </c>
      <c r="E715" s="73">
        <f>IFERROR(__xludf.DUMMYFUNCTION("average(filter('Appearance Sheet'!F:F,'Appearance Sheet'!G:G=B715,'Appearance Sheet'!A:A=C715))"),5.0)</f>
        <v>5</v>
      </c>
      <c r="F715" s="67">
        <v>5.33572318</v>
      </c>
      <c r="G715" s="40">
        <v>1.345367894</v>
      </c>
      <c r="H715" s="40">
        <f t="shared" si="1"/>
        <v>2.421662209</v>
      </c>
      <c r="I715" s="41">
        <v>0.506024096</v>
      </c>
      <c r="J715" s="41">
        <v>0.240963855</v>
      </c>
      <c r="K715" s="41">
        <v>0.253012048</v>
      </c>
      <c r="L715" s="41">
        <f t="shared" si="2"/>
        <v>0.253012048</v>
      </c>
      <c r="M715" s="74">
        <v>-1.687657779</v>
      </c>
    </row>
    <row r="716">
      <c r="A716" s="1" t="s">
        <v>93</v>
      </c>
      <c r="B716" s="38">
        <v>669194.0</v>
      </c>
      <c r="C716" s="72">
        <v>45838.0</v>
      </c>
      <c r="D716" s="38">
        <v>80.0</v>
      </c>
      <c r="E716" s="73">
        <f>IFERROR(__xludf.DUMMYFUNCTION("average(filter('Appearance Sheet'!F:F,'Appearance Sheet'!G:G=B716,'Appearance Sheet'!A:A=C716))"),6.666666666666667)</f>
        <v>6.666666667</v>
      </c>
      <c r="F716" s="67">
        <v>5.335520054</v>
      </c>
      <c r="G716" s="40">
        <v>1.313587607</v>
      </c>
      <c r="H716" s="40">
        <f t="shared" si="1"/>
        <v>1.773343269</v>
      </c>
      <c r="I716" s="41">
        <v>0.55</v>
      </c>
      <c r="J716" s="41">
        <v>0.1</v>
      </c>
      <c r="K716" s="41">
        <v>0.35</v>
      </c>
      <c r="L716" s="41">
        <f t="shared" si="2"/>
        <v>0.2</v>
      </c>
      <c r="M716" s="74">
        <v>-1.36294958</v>
      </c>
    </row>
    <row r="717">
      <c r="A717" s="1" t="s">
        <v>420</v>
      </c>
      <c r="B717" s="38">
        <v>547179.0</v>
      </c>
      <c r="C717" s="72">
        <v>45834.0</v>
      </c>
      <c r="D717" s="38">
        <v>80.0</v>
      </c>
      <c r="E717" s="73">
        <f>IFERROR(__xludf.DUMMYFUNCTION("average(filter('Appearance Sheet'!F:F,'Appearance Sheet'!G:G=B717,'Appearance Sheet'!A:A=C717))"),5.666666666666667)</f>
        <v>5.666666667</v>
      </c>
      <c r="F717" s="67">
        <v>5.335370467</v>
      </c>
      <c r="G717" s="40">
        <v>1.341307294</v>
      </c>
      <c r="H717" s="40">
        <f t="shared" si="1"/>
        <v>2.130311585</v>
      </c>
      <c r="I717" s="41">
        <v>0.5</v>
      </c>
      <c r="J717" s="41">
        <v>0.1625</v>
      </c>
      <c r="K717" s="41">
        <v>0.3375</v>
      </c>
      <c r="L717" s="41">
        <f t="shared" si="2"/>
        <v>0.1625</v>
      </c>
      <c r="M717" s="74">
        <v>-2.977228201</v>
      </c>
    </row>
    <row r="718">
      <c r="A718" s="1" t="s">
        <v>93</v>
      </c>
      <c r="B718" s="38">
        <v>669194.0</v>
      </c>
      <c r="C718" s="72">
        <v>45919.0</v>
      </c>
      <c r="D718" s="38">
        <v>95.0</v>
      </c>
      <c r="E718" s="73" t="str">
        <f>IFERROR(__xludf.DUMMYFUNCTION("average(filter('Appearance Sheet'!F:F,'Appearance Sheet'!G:G=B718,'Appearance Sheet'!A:A=C718))"),"#N/A")</f>
        <v>#N/A</v>
      </c>
      <c r="F718" s="67">
        <v>5.335286778</v>
      </c>
      <c r="G718" s="40">
        <v>1.54225195</v>
      </c>
      <c r="H718" s="40" t="str">
        <f t="shared" si="1"/>
        <v>#N/A</v>
      </c>
      <c r="I718" s="41">
        <v>0.557894737</v>
      </c>
      <c r="J718" s="41">
        <v>0.136842105</v>
      </c>
      <c r="K718" s="41">
        <v>0.305263158</v>
      </c>
      <c r="L718" s="41">
        <f t="shared" si="2"/>
        <v>0.252631579</v>
      </c>
      <c r="M718" s="74">
        <v>0.123410151</v>
      </c>
    </row>
    <row r="719">
      <c r="A719" s="1" t="s">
        <v>161</v>
      </c>
      <c r="B719" s="38">
        <v>702070.0</v>
      </c>
      <c r="C719" s="72">
        <v>45851.0</v>
      </c>
      <c r="D719" s="38">
        <v>90.0</v>
      </c>
      <c r="E719" s="73" t="str">
        <f>IFERROR(__xludf.DUMMYFUNCTION("average(filter('Appearance Sheet'!F:F,'Appearance Sheet'!G:G=B719,'Appearance Sheet'!A:A=C719))"),"#N/A")</f>
        <v>#N/A</v>
      </c>
      <c r="F719" s="67">
        <v>5.335278024</v>
      </c>
      <c r="G719" s="40">
        <v>1.4950278</v>
      </c>
      <c r="H719" s="40" t="str">
        <f t="shared" si="1"/>
        <v>#N/A</v>
      </c>
      <c r="I719" s="41">
        <v>0.5</v>
      </c>
      <c r="J719" s="41">
        <v>0.2</v>
      </c>
      <c r="K719" s="41">
        <v>0.3</v>
      </c>
      <c r="L719" s="41">
        <f t="shared" si="2"/>
        <v>0.2</v>
      </c>
      <c r="M719" s="74">
        <v>-1.430812582</v>
      </c>
    </row>
    <row r="720">
      <c r="A720" s="1" t="s">
        <v>229</v>
      </c>
      <c r="B720" s="38">
        <v>645261.0</v>
      </c>
      <c r="C720" s="72">
        <v>45782.0</v>
      </c>
      <c r="D720" s="38">
        <v>87.0</v>
      </c>
      <c r="E720" s="73">
        <f>IFERROR(__xludf.DUMMYFUNCTION("average(filter('Appearance Sheet'!F:F,'Appearance Sheet'!G:G=B720,'Appearance Sheet'!A:A=C720))"),5.0)</f>
        <v>5</v>
      </c>
      <c r="F720" s="67">
        <v>5.335212528</v>
      </c>
      <c r="G720" s="40">
        <v>1.420034605</v>
      </c>
      <c r="H720" s="40">
        <f t="shared" si="1"/>
        <v>2.556062289</v>
      </c>
      <c r="I720" s="41">
        <v>0.551724138</v>
      </c>
      <c r="J720" s="41">
        <v>0.206896552</v>
      </c>
      <c r="K720" s="41">
        <v>0.24137931</v>
      </c>
      <c r="L720" s="41">
        <f t="shared" si="2"/>
        <v>0.310344828</v>
      </c>
      <c r="M720" s="74">
        <v>0.091489048</v>
      </c>
    </row>
    <row r="721">
      <c r="A721" s="1" t="s">
        <v>205</v>
      </c>
      <c r="B721" s="38">
        <v>666142.0</v>
      </c>
      <c r="C721" s="72">
        <v>45928.0</v>
      </c>
      <c r="D721" s="38">
        <v>69.0</v>
      </c>
      <c r="E721" s="73" t="str">
        <f>IFERROR(__xludf.DUMMYFUNCTION("average(filter('Appearance Sheet'!F:F,'Appearance Sheet'!G:G=B721,'Appearance Sheet'!A:A=C721))"),"#N/A")</f>
        <v>#N/A</v>
      </c>
      <c r="F721" s="67">
        <v>5.335204057</v>
      </c>
      <c r="G721" s="40">
        <v>1.085265635</v>
      </c>
      <c r="H721" s="40" t="str">
        <f t="shared" si="1"/>
        <v>#N/A</v>
      </c>
      <c r="I721" s="41">
        <v>0.52173913</v>
      </c>
      <c r="J721" s="41">
        <v>0.188405797</v>
      </c>
      <c r="K721" s="41">
        <v>0.289855072</v>
      </c>
      <c r="L721" s="41">
        <f t="shared" si="2"/>
        <v>0.231884058</v>
      </c>
      <c r="M721" s="74">
        <v>1.137411313</v>
      </c>
    </row>
    <row r="722">
      <c r="A722" s="1" t="s">
        <v>271</v>
      </c>
      <c r="B722" s="38">
        <v>606996.0</v>
      </c>
      <c r="C722" s="72">
        <v>45770.0</v>
      </c>
      <c r="D722" s="38">
        <v>68.0</v>
      </c>
      <c r="E722" s="73">
        <f>IFERROR(__xludf.DUMMYFUNCTION("average(filter('Appearance Sheet'!F:F,'Appearance Sheet'!G:G=B722,'Appearance Sheet'!A:A=C722))"),4.333333333333333)</f>
        <v>4.333333333</v>
      </c>
      <c r="F722" s="67">
        <v>5.334905778</v>
      </c>
      <c r="G722" s="40">
        <v>1.07745704</v>
      </c>
      <c r="H722" s="40">
        <f t="shared" si="1"/>
        <v>2.237795391</v>
      </c>
      <c r="I722" s="41">
        <v>0.558823529</v>
      </c>
      <c r="J722" s="41">
        <v>0.147058824</v>
      </c>
      <c r="K722" s="41">
        <v>0.294117647</v>
      </c>
      <c r="L722" s="41">
        <f t="shared" si="2"/>
        <v>0.264705882</v>
      </c>
      <c r="M722" s="74">
        <v>0.012351772</v>
      </c>
    </row>
    <row r="723">
      <c r="A723" s="1" t="s">
        <v>285</v>
      </c>
      <c r="B723" s="38">
        <v>607074.0</v>
      </c>
      <c r="C723" s="72">
        <v>45743.0</v>
      </c>
      <c r="D723" s="38">
        <v>86.0</v>
      </c>
      <c r="E723" s="73">
        <f>IFERROR(__xludf.DUMMYFUNCTION("average(filter('Appearance Sheet'!F:F,'Appearance Sheet'!G:G=B723,'Appearance Sheet'!A:A=C723))"),5.333333333333333)</f>
        <v>5.333333333</v>
      </c>
      <c r="F723" s="67">
        <v>5.334881686</v>
      </c>
      <c r="G723" s="40">
        <v>1.347606314</v>
      </c>
      <c r="H723" s="40">
        <f t="shared" si="1"/>
        <v>2.274085655</v>
      </c>
      <c r="I723" s="41">
        <v>0.558139535</v>
      </c>
      <c r="J723" s="41">
        <v>0.069767442</v>
      </c>
      <c r="K723" s="41">
        <v>0.372093023</v>
      </c>
      <c r="L723" s="41">
        <f t="shared" si="2"/>
        <v>0.186046512</v>
      </c>
      <c r="M723" s="74">
        <v>-0.098672827</v>
      </c>
    </row>
    <row r="724">
      <c r="A724" s="1" t="s">
        <v>98</v>
      </c>
      <c r="B724" s="38">
        <v>605400.0</v>
      </c>
      <c r="C724" s="72">
        <v>45791.0</v>
      </c>
      <c r="D724" s="38">
        <v>78.0</v>
      </c>
      <c r="E724" s="73">
        <f>IFERROR(__xludf.DUMMYFUNCTION("average(filter('Appearance Sheet'!F:F,'Appearance Sheet'!G:G=B724,'Appearance Sheet'!A:A=C724))"),3.6666666666666665)</f>
        <v>3.666666667</v>
      </c>
      <c r="F724" s="67">
        <v>5.334860328</v>
      </c>
      <c r="G724" s="40">
        <v>1.262236462</v>
      </c>
      <c r="H724" s="40">
        <f t="shared" si="1"/>
        <v>3.09821677</v>
      </c>
      <c r="I724" s="41">
        <v>0.5</v>
      </c>
      <c r="J724" s="41">
        <v>0.192307692</v>
      </c>
      <c r="K724" s="41">
        <v>0.307692308</v>
      </c>
      <c r="L724" s="41">
        <f t="shared" si="2"/>
        <v>0.192307692</v>
      </c>
      <c r="M724" s="74">
        <v>-7.386162535</v>
      </c>
    </row>
    <row r="725">
      <c r="A725" s="1" t="s">
        <v>99</v>
      </c>
      <c r="B725" s="38">
        <v>592791.0</v>
      </c>
      <c r="C725" s="72">
        <v>45774.0</v>
      </c>
      <c r="D725" s="38">
        <v>86.0</v>
      </c>
      <c r="E725" s="73">
        <f>IFERROR(__xludf.DUMMYFUNCTION("average(filter('Appearance Sheet'!F:F,'Appearance Sheet'!G:G=B725,'Appearance Sheet'!A:A=C725))"),7.0)</f>
        <v>7</v>
      </c>
      <c r="F725" s="67">
        <v>5.334814464</v>
      </c>
      <c r="G725" s="40">
        <v>1.407353329</v>
      </c>
      <c r="H725" s="40">
        <f t="shared" si="1"/>
        <v>1.80945428</v>
      </c>
      <c r="I725" s="41">
        <v>0.546511628</v>
      </c>
      <c r="J725" s="41">
        <v>0.151162791</v>
      </c>
      <c r="K725" s="41">
        <v>0.302325581</v>
      </c>
      <c r="L725" s="41">
        <f t="shared" si="2"/>
        <v>0.244186047</v>
      </c>
      <c r="M725" s="74">
        <v>0.872598719</v>
      </c>
    </row>
    <row r="726">
      <c r="A726" s="1" t="s">
        <v>494</v>
      </c>
      <c r="B726" s="38">
        <v>672782.0</v>
      </c>
      <c r="C726" s="72">
        <v>45903.0</v>
      </c>
      <c r="D726" s="38">
        <v>90.0</v>
      </c>
      <c r="E726" s="73" t="str">
        <f>IFERROR(__xludf.DUMMYFUNCTION("average(filter('Appearance Sheet'!F:F,'Appearance Sheet'!G:G=B726,'Appearance Sheet'!A:A=C726))"),"#N/A")</f>
        <v>#N/A</v>
      </c>
      <c r="F726" s="67">
        <v>5.33475418</v>
      </c>
      <c r="G726" s="40">
        <v>1.447251426</v>
      </c>
      <c r="H726" s="40" t="str">
        <f t="shared" si="1"/>
        <v>#N/A</v>
      </c>
      <c r="I726" s="41">
        <v>0.466666667</v>
      </c>
      <c r="J726" s="41">
        <v>0.155555556</v>
      </c>
      <c r="K726" s="41">
        <v>0.377777778</v>
      </c>
      <c r="L726" s="41">
        <f t="shared" si="2"/>
        <v>0.088888889</v>
      </c>
      <c r="M726" s="74">
        <v>-1.785483339</v>
      </c>
    </row>
    <row r="727">
      <c r="A727" s="1" t="s">
        <v>150</v>
      </c>
      <c r="B727" s="38">
        <v>657746.0</v>
      </c>
      <c r="C727" s="72">
        <v>45894.0</v>
      </c>
      <c r="D727" s="38">
        <v>93.0</v>
      </c>
      <c r="E727" s="73" t="str">
        <f>IFERROR(__xludf.DUMMYFUNCTION("average(filter('Appearance Sheet'!F:F,'Appearance Sheet'!G:G=B727,'Appearance Sheet'!A:A=C727))"),"#N/A")</f>
        <v>#N/A</v>
      </c>
      <c r="F727" s="67">
        <v>5.334663128</v>
      </c>
      <c r="G727" s="40">
        <v>1.467050358</v>
      </c>
      <c r="H727" s="40" t="str">
        <f t="shared" si="1"/>
        <v>#N/A</v>
      </c>
      <c r="I727" s="41">
        <v>0.591397849</v>
      </c>
      <c r="J727" s="41">
        <v>0.107526882</v>
      </c>
      <c r="K727" s="41">
        <v>0.301075269</v>
      </c>
      <c r="L727" s="41">
        <f t="shared" si="2"/>
        <v>0.29032258</v>
      </c>
      <c r="M727" s="74">
        <v>-2.973056128</v>
      </c>
    </row>
    <row r="728">
      <c r="A728" s="1" t="s">
        <v>118</v>
      </c>
      <c r="B728" s="38">
        <v>695505.0</v>
      </c>
      <c r="C728" s="72">
        <v>45866.0</v>
      </c>
      <c r="D728" s="38">
        <v>90.0</v>
      </c>
      <c r="E728" s="73" t="str">
        <f>IFERROR(__xludf.DUMMYFUNCTION("average(filter('Appearance Sheet'!F:F,'Appearance Sheet'!G:G=B728,'Appearance Sheet'!A:A=C728))"),"#N/A")</f>
        <v>#N/A</v>
      </c>
      <c r="F728" s="67">
        <v>5.334643268</v>
      </c>
      <c r="G728" s="40">
        <v>1.498232202</v>
      </c>
      <c r="H728" s="40" t="str">
        <f t="shared" si="1"/>
        <v>#N/A</v>
      </c>
      <c r="I728" s="41">
        <v>0.588888889</v>
      </c>
      <c r="J728" s="41">
        <v>0.133333333</v>
      </c>
      <c r="K728" s="41">
        <v>0.277777778</v>
      </c>
      <c r="L728" s="41">
        <f t="shared" si="2"/>
        <v>0.311111111</v>
      </c>
      <c r="M728" s="74">
        <v>-1.253447472</v>
      </c>
    </row>
    <row r="729">
      <c r="A729" s="1" t="s">
        <v>67</v>
      </c>
      <c r="B729" s="38">
        <v>684007.0</v>
      </c>
      <c r="C729" s="72">
        <v>45756.0</v>
      </c>
      <c r="D729" s="38">
        <v>76.0</v>
      </c>
      <c r="E729" s="73">
        <f>IFERROR(__xludf.DUMMYFUNCTION("average(filter('Appearance Sheet'!F:F,'Appearance Sheet'!G:G=B729,'Appearance Sheet'!A:A=C729))"),5.0)</f>
        <v>5</v>
      </c>
      <c r="F729" s="67">
        <v>5.334353787</v>
      </c>
      <c r="G729" s="40">
        <v>1.255487918</v>
      </c>
      <c r="H729" s="40">
        <f t="shared" si="1"/>
        <v>2.259878252</v>
      </c>
      <c r="I729" s="41">
        <v>0.513157895</v>
      </c>
      <c r="J729" s="41">
        <v>0.171052632</v>
      </c>
      <c r="K729" s="41">
        <v>0.315789474</v>
      </c>
      <c r="L729" s="41">
        <f t="shared" si="2"/>
        <v>0.197368421</v>
      </c>
      <c r="M729" s="74">
        <v>-2.739740171</v>
      </c>
    </row>
    <row r="730">
      <c r="A730" s="1" t="s">
        <v>229</v>
      </c>
      <c r="B730" s="38">
        <v>645261.0</v>
      </c>
      <c r="C730" s="72">
        <v>45900.0</v>
      </c>
      <c r="D730" s="38">
        <v>103.0</v>
      </c>
      <c r="E730" s="73" t="str">
        <f>IFERROR(__xludf.DUMMYFUNCTION("average(filter('Appearance Sheet'!F:F,'Appearance Sheet'!G:G=B730,'Appearance Sheet'!A:A=C730))"),"#N/A")</f>
        <v>#N/A</v>
      </c>
      <c r="F730" s="67">
        <v>5.334092092</v>
      </c>
      <c r="G730" s="40">
        <v>1.692677953</v>
      </c>
      <c r="H730" s="40" t="str">
        <f t="shared" si="1"/>
        <v>#N/A</v>
      </c>
      <c r="I730" s="41">
        <v>0.514563107</v>
      </c>
      <c r="J730" s="41">
        <v>0.242718447</v>
      </c>
      <c r="K730" s="41">
        <v>0.242718447</v>
      </c>
      <c r="L730" s="41">
        <f t="shared" si="2"/>
        <v>0.27184466</v>
      </c>
      <c r="M730" s="74">
        <v>2.326850302</v>
      </c>
    </row>
    <row r="731">
      <c r="A731" s="1" t="s">
        <v>55</v>
      </c>
      <c r="B731" s="38">
        <v>641816.0</v>
      </c>
      <c r="C731" s="72">
        <v>45778.0</v>
      </c>
      <c r="D731" s="38">
        <v>88.0</v>
      </c>
      <c r="E731" s="73">
        <f>IFERROR(__xludf.DUMMYFUNCTION("average(filter('Appearance Sheet'!F:F,'Appearance Sheet'!G:G=B731,'Appearance Sheet'!A:A=C731))"),6.0)</f>
        <v>6</v>
      </c>
      <c r="F731" s="67">
        <v>5.334072786</v>
      </c>
      <c r="G731" s="40">
        <v>1.40282666</v>
      </c>
      <c r="H731" s="40">
        <f t="shared" si="1"/>
        <v>2.10423999</v>
      </c>
      <c r="I731" s="41">
        <v>0.465909091</v>
      </c>
      <c r="J731" s="41">
        <v>0.295454545</v>
      </c>
      <c r="K731" s="41">
        <v>0.238636364</v>
      </c>
      <c r="L731" s="41">
        <f t="shared" si="2"/>
        <v>0.227272727</v>
      </c>
      <c r="M731" s="74">
        <v>0.668681372</v>
      </c>
    </row>
    <row r="732">
      <c r="A732" s="1" t="s">
        <v>232</v>
      </c>
      <c r="B732" s="38">
        <v>579328.0</v>
      </c>
      <c r="C732" s="72">
        <v>45862.0</v>
      </c>
      <c r="D732" s="38">
        <v>91.0</v>
      </c>
      <c r="E732" s="73" t="str">
        <f>IFERROR(__xludf.DUMMYFUNCTION("average(filter('Appearance Sheet'!F:F,'Appearance Sheet'!G:G=B732,'Appearance Sheet'!A:A=C732))"),"#N/A")</f>
        <v>#N/A</v>
      </c>
      <c r="F732" s="67">
        <v>5.333413934</v>
      </c>
      <c r="G732" s="40">
        <v>1.508732022</v>
      </c>
      <c r="H732" s="40" t="str">
        <f t="shared" si="1"/>
        <v>#N/A</v>
      </c>
      <c r="I732" s="41">
        <v>0.527472527</v>
      </c>
      <c r="J732" s="41">
        <v>0.153846154</v>
      </c>
      <c r="K732" s="41">
        <v>0.318681319</v>
      </c>
      <c r="L732" s="41">
        <f t="shared" si="2"/>
        <v>0.208791208</v>
      </c>
      <c r="M732" s="74">
        <v>-0.946035846</v>
      </c>
    </row>
    <row r="733">
      <c r="A733" s="1" t="s">
        <v>251</v>
      </c>
      <c r="B733" s="38">
        <v>676664.0</v>
      </c>
      <c r="C733" s="72">
        <v>45809.0</v>
      </c>
      <c r="D733" s="38">
        <v>84.0</v>
      </c>
      <c r="E733" s="73">
        <f>IFERROR(__xludf.DUMMYFUNCTION("average(filter('Appearance Sheet'!F:F,'Appearance Sheet'!G:G=B733,'Appearance Sheet'!A:A=C733))"),5.0)</f>
        <v>5</v>
      </c>
      <c r="F733" s="67">
        <v>5.333297471</v>
      </c>
      <c r="G733" s="40">
        <v>1.388414645</v>
      </c>
      <c r="H733" s="40">
        <f t="shared" si="1"/>
        <v>2.499146361</v>
      </c>
      <c r="I733" s="41">
        <v>0.523809524</v>
      </c>
      <c r="J733" s="41">
        <v>0.142857143</v>
      </c>
      <c r="K733" s="41">
        <v>0.333333333</v>
      </c>
      <c r="L733" s="41">
        <f t="shared" si="2"/>
        <v>0.190476191</v>
      </c>
      <c r="M733" s="74">
        <v>-2.067135054</v>
      </c>
    </row>
    <row r="734">
      <c r="A734" s="1" t="s">
        <v>77</v>
      </c>
      <c r="B734" s="38">
        <v>657277.0</v>
      </c>
      <c r="C734" s="72">
        <v>45897.0</v>
      </c>
      <c r="D734" s="38">
        <v>83.0</v>
      </c>
      <c r="E734" s="73" t="str">
        <f>IFERROR(__xludf.DUMMYFUNCTION("average(filter('Appearance Sheet'!F:F,'Appearance Sheet'!G:G=B734,'Appearance Sheet'!A:A=C734))"),"#N/A")</f>
        <v>#N/A</v>
      </c>
      <c r="F734" s="67">
        <v>5.33327894</v>
      </c>
      <c r="G734" s="40">
        <v>1.332106734</v>
      </c>
      <c r="H734" s="40" t="str">
        <f t="shared" si="1"/>
        <v>#N/A</v>
      </c>
      <c r="I734" s="41">
        <v>0.469879518</v>
      </c>
      <c r="J734" s="41">
        <v>0.253012048</v>
      </c>
      <c r="K734" s="41">
        <v>0.277108434</v>
      </c>
      <c r="L734" s="41">
        <f t="shared" si="2"/>
        <v>0.192771084</v>
      </c>
      <c r="M734" s="74">
        <v>-2.265834404</v>
      </c>
    </row>
    <row r="735">
      <c r="A735" s="1" t="s">
        <v>150</v>
      </c>
      <c r="B735" s="38">
        <v>657746.0</v>
      </c>
      <c r="C735" s="72">
        <v>45774.0</v>
      </c>
      <c r="D735" s="38">
        <v>96.0</v>
      </c>
      <c r="E735" s="73">
        <f>IFERROR(__xludf.DUMMYFUNCTION("average(filter('Appearance Sheet'!F:F,'Appearance Sheet'!G:G=B735,'Appearance Sheet'!A:A=C735))"),7.0)</f>
        <v>7</v>
      </c>
      <c r="F735" s="67">
        <v>5.333118862</v>
      </c>
      <c r="G735" s="40">
        <v>1.576400738</v>
      </c>
      <c r="H735" s="40">
        <f t="shared" si="1"/>
        <v>2.026800949</v>
      </c>
      <c r="I735" s="41">
        <v>0.479166667</v>
      </c>
      <c r="J735" s="41">
        <v>0.239583333</v>
      </c>
      <c r="K735" s="41">
        <v>0.28125</v>
      </c>
      <c r="L735" s="41">
        <f t="shared" si="2"/>
        <v>0.197916667</v>
      </c>
      <c r="M735" s="74">
        <v>1.251116515</v>
      </c>
    </row>
    <row r="736">
      <c r="A736" s="1" t="s">
        <v>195</v>
      </c>
      <c r="B736" s="38">
        <v>668678.0</v>
      </c>
      <c r="C736" s="72">
        <v>45877.0</v>
      </c>
      <c r="D736" s="38">
        <v>88.0</v>
      </c>
      <c r="E736" s="73" t="str">
        <f>IFERROR(__xludf.DUMMYFUNCTION("average(filter('Appearance Sheet'!F:F,'Appearance Sheet'!G:G=B736,'Appearance Sheet'!A:A=C736))"),"#N/A")</f>
        <v>#N/A</v>
      </c>
      <c r="F736" s="67">
        <v>5.332919733</v>
      </c>
      <c r="G736" s="40">
        <v>1.390969136</v>
      </c>
      <c r="H736" s="40" t="str">
        <f t="shared" si="1"/>
        <v>#N/A</v>
      </c>
      <c r="I736" s="41">
        <v>0.556818182</v>
      </c>
      <c r="J736" s="41">
        <v>0.170454545</v>
      </c>
      <c r="K736" s="41">
        <v>0.272727273</v>
      </c>
      <c r="L736" s="41">
        <f t="shared" si="2"/>
        <v>0.284090909</v>
      </c>
      <c r="M736" s="74">
        <v>0.641279432</v>
      </c>
    </row>
    <row r="737">
      <c r="A737" s="1" t="s">
        <v>148</v>
      </c>
      <c r="B737" s="38">
        <v>592866.0</v>
      </c>
      <c r="C737" s="72">
        <v>45816.0</v>
      </c>
      <c r="D737" s="38">
        <v>79.0</v>
      </c>
      <c r="E737" s="73">
        <f>IFERROR(__xludf.DUMMYFUNCTION("average(filter('Appearance Sheet'!F:F,'Appearance Sheet'!G:G=B737,'Appearance Sheet'!A:A=C737))"),4.333333333333333)</f>
        <v>4.333333333</v>
      </c>
      <c r="F737" s="67">
        <v>5.332854483</v>
      </c>
      <c r="G737" s="40">
        <v>1.267955089</v>
      </c>
      <c r="H737" s="40">
        <f t="shared" si="1"/>
        <v>2.633445185</v>
      </c>
      <c r="I737" s="41">
        <v>0.518987342</v>
      </c>
      <c r="J737" s="41">
        <v>0.189873418</v>
      </c>
      <c r="K737" s="41">
        <v>0.291139241</v>
      </c>
      <c r="L737" s="41">
        <f t="shared" si="2"/>
        <v>0.227848101</v>
      </c>
      <c r="M737" s="74">
        <v>-0.82778049</v>
      </c>
    </row>
    <row r="738">
      <c r="A738" s="1" t="s">
        <v>324</v>
      </c>
      <c r="B738" s="38">
        <v>471911.0</v>
      </c>
      <c r="C738" s="72">
        <v>45777.0</v>
      </c>
      <c r="D738" s="38">
        <v>61.0</v>
      </c>
      <c r="E738" s="73">
        <f>IFERROR(__xludf.DUMMYFUNCTION("average(filter('Appearance Sheet'!F:F,'Appearance Sheet'!G:G=B738,'Appearance Sheet'!A:A=C738))"),3.3333333333333335)</f>
        <v>3.333333333</v>
      </c>
      <c r="F738" s="67">
        <v>5.33235859</v>
      </c>
      <c r="G738" s="40">
        <v>0.97549636</v>
      </c>
      <c r="H738" s="40">
        <f t="shared" si="1"/>
        <v>2.633840172</v>
      </c>
      <c r="I738" s="41">
        <v>0.426229508</v>
      </c>
      <c r="J738" s="41">
        <v>0.262295082</v>
      </c>
      <c r="K738" s="41">
        <v>0.31147541</v>
      </c>
      <c r="L738" s="41">
        <f t="shared" si="2"/>
        <v>0.114754098</v>
      </c>
      <c r="M738" s="74">
        <v>-2.835933597</v>
      </c>
    </row>
    <row r="739">
      <c r="A739" s="1" t="s">
        <v>344</v>
      </c>
      <c r="B739" s="38">
        <v>701542.0</v>
      </c>
      <c r="C739" s="72">
        <v>45886.0</v>
      </c>
      <c r="D739" s="38">
        <v>89.0</v>
      </c>
      <c r="E739" s="73" t="str">
        <f>IFERROR(__xludf.DUMMYFUNCTION("average(filter('Appearance Sheet'!F:F,'Appearance Sheet'!G:G=B739,'Appearance Sheet'!A:A=C739))"),"#N/A")</f>
        <v>#N/A</v>
      </c>
      <c r="F739" s="67">
        <v>5.33229556</v>
      </c>
      <c r="G739" s="40">
        <v>1.436192331</v>
      </c>
      <c r="H739" s="40" t="str">
        <f t="shared" si="1"/>
        <v>#N/A</v>
      </c>
      <c r="I739" s="41">
        <v>0.494382022</v>
      </c>
      <c r="J739" s="41">
        <v>0.191011236</v>
      </c>
      <c r="K739" s="41">
        <v>0.314606742</v>
      </c>
      <c r="L739" s="41">
        <f t="shared" si="2"/>
        <v>0.17977528</v>
      </c>
      <c r="M739" s="74">
        <v>0.852461816</v>
      </c>
    </row>
    <row r="740">
      <c r="A740" s="1" t="s">
        <v>194</v>
      </c>
      <c r="B740" s="38">
        <v>666157.0</v>
      </c>
      <c r="C740" s="72">
        <v>45745.0</v>
      </c>
      <c r="D740" s="38">
        <v>84.0</v>
      </c>
      <c r="E740" s="73">
        <f>IFERROR(__xludf.DUMMYFUNCTION("average(filter('Appearance Sheet'!F:F,'Appearance Sheet'!G:G=B740,'Appearance Sheet'!A:A=C740))"),6.0)</f>
        <v>6</v>
      </c>
      <c r="F740" s="67">
        <v>5.331464895</v>
      </c>
      <c r="G740" s="40">
        <v>1.377277054</v>
      </c>
      <c r="H740" s="40">
        <f t="shared" si="1"/>
        <v>2.065915581</v>
      </c>
      <c r="I740" s="41">
        <v>0.523809524</v>
      </c>
      <c r="J740" s="41">
        <v>0.154761905</v>
      </c>
      <c r="K740" s="41">
        <v>0.321428571</v>
      </c>
      <c r="L740" s="41">
        <f t="shared" si="2"/>
        <v>0.202380953</v>
      </c>
      <c r="M740" s="74">
        <v>0.915243362</v>
      </c>
    </row>
    <row r="741">
      <c r="A741" s="1" t="s">
        <v>100</v>
      </c>
      <c r="B741" s="38">
        <v>676979.0</v>
      </c>
      <c r="C741" s="72">
        <v>45809.0</v>
      </c>
      <c r="D741" s="38">
        <v>111.0</v>
      </c>
      <c r="E741" s="73">
        <f>IFERROR(__xludf.DUMMYFUNCTION("average(filter('Appearance Sheet'!F:F,'Appearance Sheet'!G:G=B741,'Appearance Sheet'!A:A=C741))"),7.0)</f>
        <v>7</v>
      </c>
      <c r="F741" s="67">
        <v>5.331426657</v>
      </c>
      <c r="G741" s="40">
        <v>1.821890963</v>
      </c>
      <c r="H741" s="40">
        <f t="shared" si="1"/>
        <v>2.342431238</v>
      </c>
      <c r="I741" s="41">
        <v>0.531531532</v>
      </c>
      <c r="J741" s="41">
        <v>0.216216216</v>
      </c>
      <c r="K741" s="41">
        <v>0.252252252</v>
      </c>
      <c r="L741" s="41">
        <f t="shared" si="2"/>
        <v>0.27927928</v>
      </c>
      <c r="M741" s="74">
        <v>1.751225912</v>
      </c>
    </row>
    <row r="742">
      <c r="A742" s="1" t="s">
        <v>307</v>
      </c>
      <c r="B742" s="38">
        <v>656849.0</v>
      </c>
      <c r="C742" s="72">
        <v>45848.0</v>
      </c>
      <c r="D742" s="38">
        <v>88.0</v>
      </c>
      <c r="E742" s="73" t="str">
        <f>IFERROR(__xludf.DUMMYFUNCTION("average(filter('Appearance Sheet'!F:F,'Appearance Sheet'!G:G=B742,'Appearance Sheet'!A:A=C742))"),"#N/A")</f>
        <v>#N/A</v>
      </c>
      <c r="F742" s="67">
        <v>5.331222468</v>
      </c>
      <c r="G742" s="40">
        <v>1.457020407</v>
      </c>
      <c r="H742" s="40" t="str">
        <f t="shared" si="1"/>
        <v>#N/A</v>
      </c>
      <c r="I742" s="41">
        <v>0.5</v>
      </c>
      <c r="J742" s="41">
        <v>0.238636364</v>
      </c>
      <c r="K742" s="41">
        <v>0.261363636</v>
      </c>
      <c r="L742" s="41">
        <f t="shared" si="2"/>
        <v>0.238636364</v>
      </c>
      <c r="M742" s="74">
        <v>1.720095133</v>
      </c>
    </row>
    <row r="743">
      <c r="A743" s="1" t="s">
        <v>306</v>
      </c>
      <c r="B743" s="38">
        <v>677944.0</v>
      </c>
      <c r="C743" s="72">
        <v>45818.0</v>
      </c>
      <c r="D743" s="38">
        <v>84.0</v>
      </c>
      <c r="E743" s="73">
        <f>IFERROR(__xludf.DUMMYFUNCTION("average(filter('Appearance Sheet'!F:F,'Appearance Sheet'!G:G=B743,'Appearance Sheet'!A:A=C743))"),5.0)</f>
        <v>5</v>
      </c>
      <c r="F743" s="67">
        <v>5.330801071</v>
      </c>
      <c r="G743" s="40">
        <v>1.388995538</v>
      </c>
      <c r="H743" s="40">
        <f t="shared" si="1"/>
        <v>2.500191968</v>
      </c>
      <c r="I743" s="41">
        <v>0.511904762</v>
      </c>
      <c r="J743" s="41">
        <v>0.166666667</v>
      </c>
      <c r="K743" s="41">
        <v>0.321428571</v>
      </c>
      <c r="L743" s="41">
        <f t="shared" si="2"/>
        <v>0.190476191</v>
      </c>
      <c r="M743" s="74">
        <v>1.347709439</v>
      </c>
    </row>
    <row r="744">
      <c r="A744" s="1" t="s">
        <v>384</v>
      </c>
      <c r="B744" s="38">
        <v>666214.0</v>
      </c>
      <c r="C744" s="72">
        <v>45891.0</v>
      </c>
      <c r="D744" s="38">
        <v>77.0</v>
      </c>
      <c r="E744" s="73" t="str">
        <f>IFERROR(__xludf.DUMMYFUNCTION("average(filter('Appearance Sheet'!F:F,'Appearance Sheet'!G:G=B744,'Appearance Sheet'!A:A=C744))"),"#N/A")</f>
        <v>#N/A</v>
      </c>
      <c r="F744" s="67">
        <v>5.33079831</v>
      </c>
      <c r="G744" s="40">
        <v>1.27533311</v>
      </c>
      <c r="H744" s="40" t="str">
        <f t="shared" si="1"/>
        <v>#N/A</v>
      </c>
      <c r="I744" s="41">
        <v>0.506493506</v>
      </c>
      <c r="J744" s="41">
        <v>0.207792208</v>
      </c>
      <c r="K744" s="41">
        <v>0.285714286</v>
      </c>
      <c r="L744" s="41">
        <f t="shared" si="2"/>
        <v>0.22077922</v>
      </c>
      <c r="M744" s="74">
        <v>-4.280599623</v>
      </c>
    </row>
    <row r="745">
      <c r="A745" s="1" t="s">
        <v>222</v>
      </c>
      <c r="B745" s="38">
        <v>518876.0</v>
      </c>
      <c r="C745" s="72">
        <v>45812.0</v>
      </c>
      <c r="D745" s="38">
        <v>97.0</v>
      </c>
      <c r="E745" s="73">
        <f>IFERROR(__xludf.DUMMYFUNCTION("average(filter('Appearance Sheet'!F:F,'Appearance Sheet'!G:G=B745,'Appearance Sheet'!A:A=C745))"),7.0)</f>
        <v>7</v>
      </c>
      <c r="F745" s="67">
        <v>5.330761296</v>
      </c>
      <c r="G745" s="40">
        <v>1.563304611</v>
      </c>
      <c r="H745" s="40">
        <f t="shared" si="1"/>
        <v>2.009963071</v>
      </c>
      <c r="I745" s="41">
        <v>0.453608247</v>
      </c>
      <c r="J745" s="41">
        <v>0.278350515</v>
      </c>
      <c r="K745" s="41">
        <v>0.268041237</v>
      </c>
      <c r="L745" s="41">
        <f t="shared" si="2"/>
        <v>0.18556701</v>
      </c>
      <c r="M745" s="74">
        <v>5.407744447</v>
      </c>
    </row>
    <row r="746">
      <c r="A746" s="1" t="s">
        <v>90</v>
      </c>
      <c r="B746" s="38">
        <v>693433.0</v>
      </c>
      <c r="C746" s="72">
        <v>45908.0</v>
      </c>
      <c r="D746" s="38">
        <v>92.0</v>
      </c>
      <c r="E746" s="73" t="str">
        <f>IFERROR(__xludf.DUMMYFUNCTION("average(filter('Appearance Sheet'!F:F,'Appearance Sheet'!G:G=B746,'Appearance Sheet'!A:A=C746))"),"#N/A")</f>
        <v>#N/A</v>
      </c>
      <c r="F746" s="67">
        <v>5.330525273</v>
      </c>
      <c r="G746" s="40">
        <v>1.501277069</v>
      </c>
      <c r="H746" s="40" t="str">
        <f t="shared" si="1"/>
        <v>#N/A</v>
      </c>
      <c r="I746" s="41">
        <v>0.532608696</v>
      </c>
      <c r="J746" s="41">
        <v>0.195652174</v>
      </c>
      <c r="K746" s="41">
        <v>0.27173913</v>
      </c>
      <c r="L746" s="41">
        <f t="shared" si="2"/>
        <v>0.260869566</v>
      </c>
      <c r="M746" s="74">
        <v>2.832735624</v>
      </c>
    </row>
    <row r="747">
      <c r="A747" s="1" t="s">
        <v>389</v>
      </c>
      <c r="B747" s="38">
        <v>682052.0</v>
      </c>
      <c r="C747" s="72">
        <v>45876.0</v>
      </c>
      <c r="D747" s="38">
        <v>113.0</v>
      </c>
      <c r="E747" s="73" t="str">
        <f>IFERROR(__xludf.DUMMYFUNCTION("average(filter('Appearance Sheet'!F:F,'Appearance Sheet'!G:G=B747,'Appearance Sheet'!A:A=C747))"),"#N/A")</f>
        <v>#N/A</v>
      </c>
      <c r="F747" s="67">
        <v>5.330458914</v>
      </c>
      <c r="G747" s="40">
        <v>1.784392645</v>
      </c>
      <c r="H747" s="40" t="str">
        <f t="shared" si="1"/>
        <v>#N/A</v>
      </c>
      <c r="I747" s="41">
        <v>0.522123894</v>
      </c>
      <c r="J747" s="41">
        <v>0.150442478</v>
      </c>
      <c r="K747" s="41">
        <v>0.327433628</v>
      </c>
      <c r="L747" s="41">
        <f t="shared" si="2"/>
        <v>0.194690266</v>
      </c>
      <c r="M747" s="74">
        <v>4.012054413</v>
      </c>
    </row>
    <row r="748">
      <c r="A748" s="1" t="s">
        <v>57</v>
      </c>
      <c r="B748" s="38">
        <v>594798.0</v>
      </c>
      <c r="C748" s="72">
        <v>45878.0</v>
      </c>
      <c r="D748" s="38">
        <v>98.0</v>
      </c>
      <c r="E748" s="73" t="str">
        <f>IFERROR(__xludf.DUMMYFUNCTION("average(filter('Appearance Sheet'!F:F,'Appearance Sheet'!G:G=B748,'Appearance Sheet'!A:A=C748))"),"#N/A")</f>
        <v>#N/A</v>
      </c>
      <c r="F748" s="67">
        <v>5.330441399</v>
      </c>
      <c r="G748" s="40">
        <v>1.594642671</v>
      </c>
      <c r="H748" s="40" t="str">
        <f t="shared" si="1"/>
        <v>#N/A</v>
      </c>
      <c r="I748" s="41">
        <v>0.540816327</v>
      </c>
      <c r="J748" s="41">
        <v>0.132653061</v>
      </c>
      <c r="K748" s="41">
        <v>0.326530612</v>
      </c>
      <c r="L748" s="41">
        <f t="shared" si="2"/>
        <v>0.214285715</v>
      </c>
      <c r="M748" s="74">
        <v>-2.256724374</v>
      </c>
    </row>
    <row r="749">
      <c r="A749" s="1" t="s">
        <v>153</v>
      </c>
      <c r="B749" s="38">
        <v>669302.0</v>
      </c>
      <c r="C749" s="72">
        <v>45835.0</v>
      </c>
      <c r="D749" s="38">
        <v>79.0</v>
      </c>
      <c r="E749" s="73">
        <f>IFERROR(__xludf.DUMMYFUNCTION("average(filter('Appearance Sheet'!F:F,'Appearance Sheet'!G:G=B749,'Appearance Sheet'!A:A=C749))"),5.333333333333333)</f>
        <v>5.333333333</v>
      </c>
      <c r="F749" s="67">
        <v>5.330194045</v>
      </c>
      <c r="G749" s="40">
        <v>1.270872958</v>
      </c>
      <c r="H749" s="40">
        <f t="shared" si="1"/>
        <v>2.144598117</v>
      </c>
      <c r="I749" s="41">
        <v>0.481012658</v>
      </c>
      <c r="J749" s="41">
        <v>0.265822785</v>
      </c>
      <c r="K749" s="41">
        <v>0.253164557</v>
      </c>
      <c r="L749" s="41">
        <f t="shared" si="2"/>
        <v>0.227848101</v>
      </c>
      <c r="M749" s="74">
        <v>1.221107371</v>
      </c>
    </row>
    <row r="750">
      <c r="A750" s="1" t="s">
        <v>228</v>
      </c>
      <c r="B750" s="38">
        <v>687473.0</v>
      </c>
      <c r="C750" s="72">
        <v>45812.0</v>
      </c>
      <c r="D750" s="38">
        <v>77.0</v>
      </c>
      <c r="E750" s="73">
        <f>IFERROR(__xludf.DUMMYFUNCTION("average(filter('Appearance Sheet'!F:F,'Appearance Sheet'!G:G=B750,'Appearance Sheet'!A:A=C750))"),4.333333333333333)</f>
        <v>4.333333333</v>
      </c>
      <c r="F750" s="67">
        <v>5.330017391</v>
      </c>
      <c r="G750" s="40">
        <v>1.278015652</v>
      </c>
      <c r="H750" s="40">
        <f t="shared" si="1"/>
        <v>2.6543402</v>
      </c>
      <c r="I750" s="41">
        <v>0.480519481</v>
      </c>
      <c r="J750" s="41">
        <v>0.246753247</v>
      </c>
      <c r="K750" s="41">
        <v>0.272727273</v>
      </c>
      <c r="L750" s="41">
        <f t="shared" si="2"/>
        <v>0.207792208</v>
      </c>
      <c r="M750" s="74">
        <v>-1.842179294</v>
      </c>
    </row>
    <row r="751">
      <c r="A751" s="1" t="s">
        <v>343</v>
      </c>
      <c r="B751" s="38">
        <v>682243.0</v>
      </c>
      <c r="C751" s="72">
        <v>45888.0</v>
      </c>
      <c r="D751" s="38">
        <v>83.0</v>
      </c>
      <c r="E751" s="73" t="str">
        <f>IFERROR(__xludf.DUMMYFUNCTION("average(filter('Appearance Sheet'!F:F,'Appearance Sheet'!G:G=B751,'Appearance Sheet'!A:A=C751))"),"#N/A")</f>
        <v>#N/A</v>
      </c>
      <c r="F751" s="67">
        <v>5.32982401</v>
      </c>
      <c r="G751" s="40">
        <v>1.346014487</v>
      </c>
      <c r="H751" s="40" t="str">
        <f t="shared" si="1"/>
        <v>#N/A</v>
      </c>
      <c r="I751" s="41">
        <v>0.542168675</v>
      </c>
      <c r="J751" s="41">
        <v>0.204819277</v>
      </c>
      <c r="K751" s="41">
        <v>0.253012048</v>
      </c>
      <c r="L751" s="41">
        <f t="shared" si="2"/>
        <v>0.289156627</v>
      </c>
      <c r="M751" s="74">
        <v>1.501635926</v>
      </c>
    </row>
    <row r="752">
      <c r="A752" s="1" t="s">
        <v>394</v>
      </c>
      <c r="B752" s="38">
        <v>621121.0</v>
      </c>
      <c r="C752" s="72">
        <v>45811.0</v>
      </c>
      <c r="D752" s="38">
        <v>93.0</v>
      </c>
      <c r="E752" s="73">
        <f>IFERROR(__xludf.DUMMYFUNCTION("average(filter('Appearance Sheet'!F:F,'Appearance Sheet'!G:G=B752,'Appearance Sheet'!A:A=C752))"),6.0)</f>
        <v>6</v>
      </c>
      <c r="F752" s="67">
        <v>5.329366659</v>
      </c>
      <c r="G752" s="40">
        <v>1.491150702</v>
      </c>
      <c r="H752" s="40">
        <f t="shared" si="1"/>
        <v>2.236726053</v>
      </c>
      <c r="I752" s="41">
        <v>0.494623656</v>
      </c>
      <c r="J752" s="41">
        <v>0.172043011</v>
      </c>
      <c r="K752" s="41">
        <v>0.333333333</v>
      </c>
      <c r="L752" s="41">
        <f t="shared" si="2"/>
        <v>0.161290323</v>
      </c>
      <c r="M752" s="74">
        <v>3.566990433</v>
      </c>
    </row>
    <row r="753">
      <c r="A753" s="1" t="s">
        <v>177</v>
      </c>
      <c r="B753" s="38">
        <v>641793.0</v>
      </c>
      <c r="C753" s="72">
        <v>45803.0</v>
      </c>
      <c r="D753" s="38">
        <v>70.0</v>
      </c>
      <c r="E753" s="73">
        <f>IFERROR(__xludf.DUMMYFUNCTION("average(filter('Appearance Sheet'!F:F,'Appearance Sheet'!G:G=B753,'Appearance Sheet'!A:A=C753))"),6.333333333333333)</f>
        <v>6.333333333</v>
      </c>
      <c r="F753" s="67">
        <v>5.329247051</v>
      </c>
      <c r="G753" s="40">
        <v>1.16814726</v>
      </c>
      <c r="H753" s="40">
        <f t="shared" si="1"/>
        <v>1.659998738</v>
      </c>
      <c r="I753" s="41">
        <v>0.514285714</v>
      </c>
      <c r="J753" s="41">
        <v>0.214285714</v>
      </c>
      <c r="K753" s="41">
        <v>0.271428571</v>
      </c>
      <c r="L753" s="41">
        <f t="shared" si="2"/>
        <v>0.242857143</v>
      </c>
      <c r="M753" s="74">
        <v>2.798947261</v>
      </c>
    </row>
    <row r="754">
      <c r="A754" s="1" t="s">
        <v>95</v>
      </c>
      <c r="B754" s="38">
        <v>543243.0</v>
      </c>
      <c r="C754" s="72">
        <v>45791.0</v>
      </c>
      <c r="D754" s="38">
        <v>77.0</v>
      </c>
      <c r="E754" s="73">
        <f>IFERROR(__xludf.DUMMYFUNCTION("average(filter('Appearance Sheet'!F:F,'Appearance Sheet'!G:G=B754,'Appearance Sheet'!A:A=C754))"),3.6666666666666665)</f>
        <v>3.666666667</v>
      </c>
      <c r="F754" s="67">
        <v>5.329053708</v>
      </c>
      <c r="G754" s="40">
        <v>1.281098216</v>
      </c>
      <c r="H754" s="40">
        <f t="shared" si="1"/>
        <v>3.144513803</v>
      </c>
      <c r="I754" s="41">
        <v>0.454545455</v>
      </c>
      <c r="J754" s="41">
        <v>0.233766234</v>
      </c>
      <c r="K754" s="41">
        <v>0.311688312</v>
      </c>
      <c r="L754" s="41">
        <f t="shared" si="2"/>
        <v>0.142857143</v>
      </c>
      <c r="M754" s="74">
        <v>-2.894955086</v>
      </c>
    </row>
    <row r="755">
      <c r="A755" s="1" t="s">
        <v>358</v>
      </c>
      <c r="B755" s="38">
        <v>434378.0</v>
      </c>
      <c r="C755" s="72">
        <v>45767.0</v>
      </c>
      <c r="D755" s="38">
        <v>98.0</v>
      </c>
      <c r="E755" s="73">
        <f>IFERROR(__xludf.DUMMYFUNCTION("average(filter('Appearance Sheet'!F:F,'Appearance Sheet'!G:G=B755,'Appearance Sheet'!A:A=C755))"),6.0)</f>
        <v>6</v>
      </c>
      <c r="F755" s="67">
        <v>5.329017008</v>
      </c>
      <c r="G755" s="40">
        <v>1.582718272</v>
      </c>
      <c r="H755" s="40">
        <f t="shared" si="1"/>
        <v>2.374077408</v>
      </c>
      <c r="I755" s="41">
        <v>0.571428571</v>
      </c>
      <c r="J755" s="41">
        <v>0.071428571</v>
      </c>
      <c r="K755" s="41">
        <v>0.357142857</v>
      </c>
      <c r="L755" s="41">
        <f t="shared" si="2"/>
        <v>0.214285714</v>
      </c>
      <c r="M755" s="74">
        <v>3.054993537</v>
      </c>
    </row>
    <row r="756">
      <c r="A756" s="1" t="s">
        <v>163</v>
      </c>
      <c r="B756" s="38">
        <v>663460.0</v>
      </c>
      <c r="C756" s="72">
        <v>45780.0</v>
      </c>
      <c r="D756" s="38">
        <v>72.0</v>
      </c>
      <c r="E756" s="73">
        <f>IFERROR(__xludf.DUMMYFUNCTION("average(filter('Appearance Sheet'!F:F,'Appearance Sheet'!G:G=B756,'Appearance Sheet'!A:A=C756))"),5.0)</f>
        <v>5</v>
      </c>
      <c r="F756" s="67">
        <v>5.329004621</v>
      </c>
      <c r="G756" s="40">
        <v>1.190124932</v>
      </c>
      <c r="H756" s="40">
        <f t="shared" si="1"/>
        <v>2.142224878</v>
      </c>
      <c r="I756" s="41">
        <v>0.527777778</v>
      </c>
      <c r="J756" s="41">
        <v>0.208333333</v>
      </c>
      <c r="K756" s="41">
        <v>0.263888889</v>
      </c>
      <c r="L756" s="41">
        <f t="shared" si="2"/>
        <v>0.263888889</v>
      </c>
      <c r="M756" s="74">
        <v>0.105982666</v>
      </c>
    </row>
    <row r="757">
      <c r="A757" s="1" t="s">
        <v>337</v>
      </c>
      <c r="B757" s="38">
        <v>700669.0</v>
      </c>
      <c r="C757" s="72">
        <v>45753.0</v>
      </c>
      <c r="D757" s="38">
        <v>60.0</v>
      </c>
      <c r="E757" s="73">
        <f>IFERROR(__xludf.DUMMYFUNCTION("average(filter('Appearance Sheet'!F:F,'Appearance Sheet'!G:G=B757,'Appearance Sheet'!A:A=C757))"),3.0)</f>
        <v>3</v>
      </c>
      <c r="F757" s="67">
        <v>5.328510663</v>
      </c>
      <c r="G757" s="40">
        <v>1.014074882</v>
      </c>
      <c r="H757" s="40">
        <f t="shared" si="1"/>
        <v>3.042224646</v>
      </c>
      <c r="I757" s="41">
        <v>0.516666667</v>
      </c>
      <c r="J757" s="41">
        <v>0.266666667</v>
      </c>
      <c r="K757" s="41">
        <v>0.216666667</v>
      </c>
      <c r="L757" s="41">
        <f t="shared" si="2"/>
        <v>0.3</v>
      </c>
      <c r="M757" s="74">
        <v>-4.417624189</v>
      </c>
    </row>
    <row r="758">
      <c r="A758" s="1" t="s">
        <v>113</v>
      </c>
      <c r="B758" s="38">
        <v>664285.0</v>
      </c>
      <c r="C758" s="72">
        <v>45902.0</v>
      </c>
      <c r="D758" s="38">
        <v>93.0</v>
      </c>
      <c r="E758" s="73" t="str">
        <f>IFERROR(__xludf.DUMMYFUNCTION("average(filter('Appearance Sheet'!F:F,'Appearance Sheet'!G:G=B758,'Appearance Sheet'!A:A=C758))"),"#N/A")</f>
        <v>#N/A</v>
      </c>
      <c r="F758" s="67">
        <v>5.328195281</v>
      </c>
      <c r="G758" s="40">
        <v>1.501657557</v>
      </c>
      <c r="H758" s="40" t="str">
        <f t="shared" si="1"/>
        <v>#N/A</v>
      </c>
      <c r="I758" s="41">
        <v>0.548387097</v>
      </c>
      <c r="J758" s="41">
        <v>0.150537634</v>
      </c>
      <c r="K758" s="41">
        <v>0.301075269</v>
      </c>
      <c r="L758" s="41">
        <f t="shared" si="2"/>
        <v>0.247311828</v>
      </c>
      <c r="M758" s="74">
        <v>-1.741526517</v>
      </c>
    </row>
    <row r="759">
      <c r="A759" s="1" t="s">
        <v>207</v>
      </c>
      <c r="B759" s="38">
        <v>650633.0</v>
      </c>
      <c r="C759" s="72">
        <v>45789.0</v>
      </c>
      <c r="D759" s="38">
        <v>89.0</v>
      </c>
      <c r="E759" s="73">
        <f>IFERROR(__xludf.DUMMYFUNCTION("average(filter('Appearance Sheet'!F:F,'Appearance Sheet'!G:G=B759,'Appearance Sheet'!A:A=C759))"),5.666666666666667)</f>
        <v>5.666666667</v>
      </c>
      <c r="F759" s="67">
        <v>5.32818144</v>
      </c>
      <c r="G759" s="40">
        <v>1.472088997</v>
      </c>
      <c r="H759" s="40">
        <f t="shared" si="1"/>
        <v>2.338023701</v>
      </c>
      <c r="I759" s="41">
        <v>0.494382022</v>
      </c>
      <c r="J759" s="41">
        <v>0.235955056</v>
      </c>
      <c r="K759" s="41">
        <v>0.269662921</v>
      </c>
      <c r="L759" s="41">
        <f t="shared" si="2"/>
        <v>0.224719101</v>
      </c>
      <c r="M759" s="74">
        <v>0.933749212</v>
      </c>
    </row>
    <row r="760">
      <c r="A760" s="1" t="s">
        <v>44</v>
      </c>
      <c r="B760" s="38">
        <v>650911.0</v>
      </c>
      <c r="C760" s="72">
        <v>45784.0</v>
      </c>
      <c r="D760" s="38">
        <v>82.0</v>
      </c>
      <c r="E760" s="73">
        <f>IFERROR(__xludf.DUMMYFUNCTION("average(filter('Appearance Sheet'!F:F,'Appearance Sheet'!G:G=B760,'Appearance Sheet'!A:A=C760))"),6.0)</f>
        <v>6</v>
      </c>
      <c r="F760" s="67">
        <v>5.327926463</v>
      </c>
      <c r="G760" s="40">
        <v>1.341165766</v>
      </c>
      <c r="H760" s="40">
        <f t="shared" si="1"/>
        <v>2.011748649</v>
      </c>
      <c r="I760" s="41">
        <v>0.536585366</v>
      </c>
      <c r="J760" s="41">
        <v>0.170731707</v>
      </c>
      <c r="K760" s="41">
        <v>0.292682927</v>
      </c>
      <c r="L760" s="41">
        <f t="shared" si="2"/>
        <v>0.243902439</v>
      </c>
      <c r="M760" s="74">
        <v>4.039523468</v>
      </c>
    </row>
    <row r="761">
      <c r="A761" s="1" t="s">
        <v>79</v>
      </c>
      <c r="B761" s="38">
        <v>554430.0</v>
      </c>
      <c r="C761" s="72">
        <v>45823.0</v>
      </c>
      <c r="D761" s="38">
        <v>89.0</v>
      </c>
      <c r="E761" s="73">
        <f>IFERROR(__xludf.DUMMYFUNCTION("average(filter('Appearance Sheet'!F:F,'Appearance Sheet'!G:G=B761,'Appearance Sheet'!A:A=C761))"),6.0)</f>
        <v>6</v>
      </c>
      <c r="F761" s="67">
        <v>5.327771214</v>
      </c>
      <c r="G761" s="40">
        <v>1.437134131</v>
      </c>
      <c r="H761" s="40">
        <f t="shared" si="1"/>
        <v>2.155701197</v>
      </c>
      <c r="I761" s="41">
        <v>0.471910112</v>
      </c>
      <c r="J761" s="41">
        <v>0.202247191</v>
      </c>
      <c r="K761" s="41">
        <v>0.325842697</v>
      </c>
      <c r="L761" s="41">
        <f t="shared" si="2"/>
        <v>0.146067415</v>
      </c>
      <c r="M761" s="74">
        <v>0.540526727</v>
      </c>
    </row>
    <row r="762">
      <c r="A762" s="1" t="s">
        <v>568</v>
      </c>
      <c r="B762" s="38">
        <v>687606.0</v>
      </c>
      <c r="C762" s="72">
        <v>45767.0</v>
      </c>
      <c r="D762" s="38">
        <v>61.0</v>
      </c>
      <c r="E762" s="73">
        <f>IFERROR(__xludf.DUMMYFUNCTION("average(filter('Appearance Sheet'!F:F,'Appearance Sheet'!G:G=B762,'Appearance Sheet'!A:A=C762))"),4.333333333333333)</f>
        <v>4.333333333</v>
      </c>
      <c r="F762" s="67">
        <v>5.327704684</v>
      </c>
      <c r="G762" s="40">
        <v>0.991287373</v>
      </c>
      <c r="H762" s="40">
        <f t="shared" si="1"/>
        <v>2.058827621</v>
      </c>
      <c r="I762" s="41">
        <v>0.475409836</v>
      </c>
      <c r="J762" s="41">
        <v>0.245901639</v>
      </c>
      <c r="K762" s="41">
        <v>0.278688525</v>
      </c>
      <c r="L762" s="41">
        <f t="shared" si="2"/>
        <v>0.196721311</v>
      </c>
      <c r="M762" s="74">
        <v>0.98793276</v>
      </c>
    </row>
    <row r="763">
      <c r="A763" s="1" t="s">
        <v>173</v>
      </c>
      <c r="B763" s="38">
        <v>641927.0</v>
      </c>
      <c r="C763" s="72">
        <v>45836.0</v>
      </c>
      <c r="D763" s="38">
        <v>88.0</v>
      </c>
      <c r="E763" s="73">
        <f>IFERROR(__xludf.DUMMYFUNCTION("average(filter('Appearance Sheet'!F:F,'Appearance Sheet'!G:G=B763,'Appearance Sheet'!A:A=C763))"),5.666666666666667)</f>
        <v>5.666666667</v>
      </c>
      <c r="F763" s="67">
        <v>5.327372727</v>
      </c>
      <c r="G763" s="40">
        <v>1.446799397</v>
      </c>
      <c r="H763" s="40">
        <f t="shared" si="1"/>
        <v>2.297857866</v>
      </c>
      <c r="I763" s="41">
        <v>0.534090909</v>
      </c>
      <c r="J763" s="41">
        <v>0.193181818</v>
      </c>
      <c r="K763" s="41">
        <v>0.272727273</v>
      </c>
      <c r="L763" s="41">
        <f t="shared" si="2"/>
        <v>0.261363636</v>
      </c>
      <c r="M763" s="74">
        <v>-4.275436935</v>
      </c>
    </row>
    <row r="764">
      <c r="A764" s="1" t="s">
        <v>97</v>
      </c>
      <c r="B764" s="38">
        <v>656876.0</v>
      </c>
      <c r="C764" s="72">
        <v>45816.0</v>
      </c>
      <c r="D764" s="38">
        <v>73.0</v>
      </c>
      <c r="E764" s="73">
        <f>IFERROR(__xludf.DUMMYFUNCTION("average(filter('Appearance Sheet'!F:F,'Appearance Sheet'!G:G=B764,'Appearance Sheet'!A:A=C764))"),6.0)</f>
        <v>6</v>
      </c>
      <c r="F764" s="67">
        <v>5.327291981</v>
      </c>
      <c r="G764" s="40">
        <v>1.243443988</v>
      </c>
      <c r="H764" s="40">
        <f t="shared" si="1"/>
        <v>1.865165982</v>
      </c>
      <c r="I764" s="41">
        <v>0.575342466</v>
      </c>
      <c r="J764" s="41">
        <v>0.150684932</v>
      </c>
      <c r="K764" s="41">
        <v>0.273972603</v>
      </c>
      <c r="L764" s="41">
        <f t="shared" si="2"/>
        <v>0.301369863</v>
      </c>
      <c r="M764" s="74">
        <v>-1.703541745</v>
      </c>
    </row>
    <row r="765">
      <c r="A765" s="1" t="s">
        <v>57</v>
      </c>
      <c r="B765" s="38">
        <v>594798.0</v>
      </c>
      <c r="C765" s="72">
        <v>45752.0</v>
      </c>
      <c r="D765" s="38">
        <v>77.0</v>
      </c>
      <c r="E765" s="73">
        <f>IFERROR(__xludf.DUMMYFUNCTION("average(filter('Appearance Sheet'!F:F,'Appearance Sheet'!G:G=B765,'Appearance Sheet'!A:A=C765))"),5.666666666666667)</f>
        <v>5.666666667</v>
      </c>
      <c r="F765" s="67">
        <v>5.327097604</v>
      </c>
      <c r="G765" s="40">
        <v>1.287992259</v>
      </c>
      <c r="H765" s="40">
        <f t="shared" si="1"/>
        <v>2.045634764</v>
      </c>
      <c r="I765" s="41">
        <v>0.480519481</v>
      </c>
      <c r="J765" s="41">
        <v>0.233766234</v>
      </c>
      <c r="K765" s="41">
        <v>0.285714286</v>
      </c>
      <c r="L765" s="41">
        <f t="shared" si="2"/>
        <v>0.194805195</v>
      </c>
      <c r="M765" s="74">
        <v>-2.514961246</v>
      </c>
    </row>
    <row r="766">
      <c r="A766" s="1" t="s">
        <v>130</v>
      </c>
      <c r="B766" s="38">
        <v>666200.0</v>
      </c>
      <c r="C766" s="72">
        <v>45767.0</v>
      </c>
      <c r="D766" s="38">
        <v>86.0</v>
      </c>
      <c r="E766" s="73">
        <f>IFERROR(__xludf.DUMMYFUNCTION("average(filter('Appearance Sheet'!F:F,'Appearance Sheet'!G:G=B766,'Appearance Sheet'!A:A=C766))"),7.0)</f>
        <v>7</v>
      </c>
      <c r="F766" s="67">
        <v>5.326979926</v>
      </c>
      <c r="G766" s="40">
        <v>1.45604722</v>
      </c>
      <c r="H766" s="40">
        <f t="shared" si="1"/>
        <v>1.872060711</v>
      </c>
      <c r="I766" s="41">
        <v>0.488372093</v>
      </c>
      <c r="J766" s="41">
        <v>0.220930233</v>
      </c>
      <c r="K766" s="41">
        <v>0.290697674</v>
      </c>
      <c r="L766" s="41">
        <f t="shared" si="2"/>
        <v>0.197674419</v>
      </c>
      <c r="M766" s="74">
        <v>-2.243122063</v>
      </c>
    </row>
    <row r="767">
      <c r="A767" s="1" t="s">
        <v>115</v>
      </c>
      <c r="B767" s="38">
        <v>543135.0</v>
      </c>
      <c r="C767" s="72">
        <v>45846.0</v>
      </c>
      <c r="D767" s="38">
        <v>71.0</v>
      </c>
      <c r="E767" s="73" t="str">
        <f>IFERROR(__xludf.DUMMYFUNCTION("average(filter('Appearance Sheet'!F:F,'Appearance Sheet'!G:G=B767,'Appearance Sheet'!A:A=C767))"),"#N/A")</f>
        <v>#N/A</v>
      </c>
      <c r="F767" s="67">
        <v>5.326847898</v>
      </c>
      <c r="G767" s="40">
        <v>1.174661169</v>
      </c>
      <c r="H767" s="40" t="str">
        <f t="shared" si="1"/>
        <v>#N/A</v>
      </c>
      <c r="I767" s="41">
        <v>0.521126761</v>
      </c>
      <c r="J767" s="41">
        <v>0.225352113</v>
      </c>
      <c r="K767" s="41">
        <v>0.253521127</v>
      </c>
      <c r="L767" s="41">
        <f t="shared" si="2"/>
        <v>0.267605634</v>
      </c>
      <c r="M767" s="74">
        <v>0.04093011</v>
      </c>
    </row>
    <row r="768">
      <c r="A768" s="1" t="s">
        <v>173</v>
      </c>
      <c r="B768" s="38">
        <v>641927.0</v>
      </c>
      <c r="C768" s="72">
        <v>45775.0</v>
      </c>
      <c r="D768" s="38">
        <v>100.0</v>
      </c>
      <c r="E768" s="73">
        <f>IFERROR(__xludf.DUMMYFUNCTION("average(filter('Appearance Sheet'!F:F,'Appearance Sheet'!G:G=B768,'Appearance Sheet'!A:A=C768))"),7.666666666666667)</f>
        <v>7.666666667</v>
      </c>
      <c r="F768" s="67">
        <v>5.326757628</v>
      </c>
      <c r="G768" s="40">
        <v>1.663894316</v>
      </c>
      <c r="H768" s="40">
        <f t="shared" si="1"/>
        <v>1.953267241</v>
      </c>
      <c r="I768" s="41">
        <v>0.53</v>
      </c>
      <c r="J768" s="41">
        <v>0.15</v>
      </c>
      <c r="K768" s="41">
        <v>0.32</v>
      </c>
      <c r="L768" s="41">
        <f t="shared" si="2"/>
        <v>0.21</v>
      </c>
      <c r="M768" s="74">
        <v>-0.843448869</v>
      </c>
    </row>
    <row r="769">
      <c r="A769" s="1" t="s">
        <v>155</v>
      </c>
      <c r="B769" s="38">
        <v>592332.0</v>
      </c>
      <c r="C769" s="72">
        <v>45798.0</v>
      </c>
      <c r="D769" s="38">
        <v>89.0</v>
      </c>
      <c r="E769" s="73">
        <f>IFERROR(__xludf.DUMMYFUNCTION("average(filter('Appearance Sheet'!F:F,'Appearance Sheet'!G:G=B769,'Appearance Sheet'!A:A=C769))"),7.0)</f>
        <v>7</v>
      </c>
      <c r="F769" s="67">
        <v>5.326515804</v>
      </c>
      <c r="G769" s="40">
        <v>1.4602013</v>
      </c>
      <c r="H769" s="40">
        <f t="shared" si="1"/>
        <v>1.877401671</v>
      </c>
      <c r="I769" s="41">
        <v>0.505617978</v>
      </c>
      <c r="J769" s="41">
        <v>0.202247191</v>
      </c>
      <c r="K769" s="41">
        <v>0.292134831</v>
      </c>
      <c r="L769" s="41">
        <f t="shared" si="2"/>
        <v>0.213483147</v>
      </c>
      <c r="M769" s="74">
        <v>2.063108924</v>
      </c>
    </row>
    <row r="770">
      <c r="A770" s="1" t="s">
        <v>256</v>
      </c>
      <c r="B770" s="38">
        <v>571760.0</v>
      </c>
      <c r="C770" s="72">
        <v>45845.0</v>
      </c>
      <c r="D770" s="38">
        <v>73.0</v>
      </c>
      <c r="E770" s="73" t="str">
        <f>IFERROR(__xludf.DUMMYFUNCTION("average(filter('Appearance Sheet'!F:F,'Appearance Sheet'!G:G=B770,'Appearance Sheet'!A:A=C770))"),"#N/A")</f>
        <v>#N/A</v>
      </c>
      <c r="F770" s="67">
        <v>5.326012475</v>
      </c>
      <c r="G770" s="40">
        <v>1.170379014</v>
      </c>
      <c r="H770" s="40" t="str">
        <f t="shared" si="1"/>
        <v>#N/A</v>
      </c>
      <c r="I770" s="41">
        <v>0.561643836</v>
      </c>
      <c r="J770" s="41">
        <v>0.191780822</v>
      </c>
      <c r="K770" s="41">
        <v>0.246575342</v>
      </c>
      <c r="L770" s="41">
        <f t="shared" si="2"/>
        <v>0.315068494</v>
      </c>
      <c r="M770" s="74">
        <v>-1.139181363</v>
      </c>
    </row>
    <row r="771">
      <c r="A771" s="1" t="s">
        <v>228</v>
      </c>
      <c r="B771" s="38">
        <v>687473.0</v>
      </c>
      <c r="C771" s="72">
        <v>45824.0</v>
      </c>
      <c r="D771" s="38">
        <v>80.0</v>
      </c>
      <c r="E771" s="73">
        <f>IFERROR(__xludf.DUMMYFUNCTION("average(filter('Appearance Sheet'!F:F,'Appearance Sheet'!G:G=B771,'Appearance Sheet'!A:A=C771))"),5.0)</f>
        <v>5</v>
      </c>
      <c r="F771" s="67">
        <v>5.325718817</v>
      </c>
      <c r="G771" s="40">
        <v>1.294271872</v>
      </c>
      <c r="H771" s="40">
        <f t="shared" si="1"/>
        <v>2.32968937</v>
      </c>
      <c r="I771" s="41">
        <v>0.4875</v>
      </c>
      <c r="J771" s="41">
        <v>0.2375</v>
      </c>
      <c r="K771" s="41">
        <v>0.275</v>
      </c>
      <c r="L771" s="41">
        <f t="shared" si="2"/>
        <v>0.2125</v>
      </c>
      <c r="M771" s="74">
        <v>3.072347062</v>
      </c>
    </row>
    <row r="772">
      <c r="A772" s="1" t="s">
        <v>158</v>
      </c>
      <c r="B772" s="38">
        <v>608372.0</v>
      </c>
      <c r="C772" s="72">
        <v>45786.0</v>
      </c>
      <c r="D772" s="38">
        <v>90.0</v>
      </c>
      <c r="E772" s="73">
        <f>IFERROR(__xludf.DUMMYFUNCTION("average(filter('Appearance Sheet'!F:F,'Appearance Sheet'!G:G=B772,'Appearance Sheet'!A:A=C772))"),7.333333333333333)</f>
        <v>7.333333333</v>
      </c>
      <c r="F772" s="67">
        <v>5.325693783</v>
      </c>
      <c r="G772" s="40">
        <v>1.495067161</v>
      </c>
      <c r="H772" s="40">
        <f t="shared" si="1"/>
        <v>1.834855152</v>
      </c>
      <c r="I772" s="41">
        <v>0.477777778</v>
      </c>
      <c r="J772" s="41">
        <v>0.266666667</v>
      </c>
      <c r="K772" s="41">
        <v>0.255555556</v>
      </c>
      <c r="L772" s="41">
        <f t="shared" si="2"/>
        <v>0.222222222</v>
      </c>
      <c r="M772" s="74">
        <v>2.955318263</v>
      </c>
    </row>
    <row r="773">
      <c r="A773" s="1" t="s">
        <v>303</v>
      </c>
      <c r="B773" s="38">
        <v>592662.0</v>
      </c>
      <c r="C773" s="72">
        <v>45784.0</v>
      </c>
      <c r="D773" s="38">
        <v>93.0</v>
      </c>
      <c r="E773" s="73">
        <f>IFERROR(__xludf.DUMMYFUNCTION("average(filter('Appearance Sheet'!F:F,'Appearance Sheet'!G:G=B773,'Appearance Sheet'!A:A=C773))"),6.0)</f>
        <v>6</v>
      </c>
      <c r="F773" s="67">
        <v>5.325692419</v>
      </c>
      <c r="G773" s="40">
        <v>1.540369723</v>
      </c>
      <c r="H773" s="40">
        <f t="shared" si="1"/>
        <v>2.310554585</v>
      </c>
      <c r="I773" s="41">
        <v>0.505376344</v>
      </c>
      <c r="J773" s="41">
        <v>0.172043011</v>
      </c>
      <c r="K773" s="41">
        <v>0.322580645</v>
      </c>
      <c r="L773" s="41">
        <f t="shared" si="2"/>
        <v>0.182795699</v>
      </c>
      <c r="M773" s="74">
        <v>2.095949239</v>
      </c>
    </row>
    <row r="774">
      <c r="A774" s="1" t="s">
        <v>376</v>
      </c>
      <c r="B774" s="38">
        <v>668909.0</v>
      </c>
      <c r="C774" s="72">
        <v>45870.0</v>
      </c>
      <c r="D774" s="38">
        <v>94.0</v>
      </c>
      <c r="E774" s="73" t="str">
        <f>IFERROR(__xludf.DUMMYFUNCTION("average(filter('Appearance Sheet'!F:F,'Appearance Sheet'!G:G=B774,'Appearance Sheet'!A:A=C774))"),"#N/A")</f>
        <v>#N/A</v>
      </c>
      <c r="F774" s="67">
        <v>5.325593128</v>
      </c>
      <c r="G774" s="40">
        <v>1.555697245</v>
      </c>
      <c r="H774" s="40" t="str">
        <f t="shared" si="1"/>
        <v>#N/A</v>
      </c>
      <c r="I774" s="41">
        <v>0.531914894</v>
      </c>
      <c r="J774" s="41">
        <v>0.180851064</v>
      </c>
      <c r="K774" s="41">
        <v>0.287234043</v>
      </c>
      <c r="L774" s="41">
        <f t="shared" si="2"/>
        <v>0.244680851</v>
      </c>
      <c r="M774" s="74">
        <v>0.716357195</v>
      </c>
    </row>
    <row r="775">
      <c r="A775" s="1" t="s">
        <v>431</v>
      </c>
      <c r="B775" s="38">
        <v>669203.0</v>
      </c>
      <c r="C775" s="72">
        <v>45787.0</v>
      </c>
      <c r="D775" s="38">
        <v>89.0</v>
      </c>
      <c r="E775" s="73">
        <f>IFERROR(__xludf.DUMMYFUNCTION("average(filter('Appearance Sheet'!F:F,'Appearance Sheet'!G:G=B775,'Appearance Sheet'!A:A=C775))"),7.0)</f>
        <v>7</v>
      </c>
      <c r="F775" s="67">
        <v>5.325345887</v>
      </c>
      <c r="G775" s="40">
        <v>1.468326652</v>
      </c>
      <c r="H775" s="40">
        <f t="shared" si="1"/>
        <v>1.887848553</v>
      </c>
      <c r="I775" s="41">
        <v>0.550561798</v>
      </c>
      <c r="J775" s="41">
        <v>0.202247191</v>
      </c>
      <c r="K775" s="41">
        <v>0.247191011</v>
      </c>
      <c r="L775" s="41">
        <f t="shared" si="2"/>
        <v>0.303370787</v>
      </c>
      <c r="M775" s="74">
        <v>0.600352247</v>
      </c>
    </row>
    <row r="776">
      <c r="A776" s="1" t="s">
        <v>281</v>
      </c>
      <c r="B776" s="38">
        <v>622663.0</v>
      </c>
      <c r="C776" s="72">
        <v>45902.0</v>
      </c>
      <c r="D776" s="38">
        <v>60.0</v>
      </c>
      <c r="E776" s="73" t="str">
        <f>IFERROR(__xludf.DUMMYFUNCTION("average(filter('Appearance Sheet'!F:F,'Appearance Sheet'!G:G=B776,'Appearance Sheet'!A:A=C776))"),"#N/A")</f>
        <v>#N/A</v>
      </c>
      <c r="F776" s="67">
        <v>5.325088973</v>
      </c>
      <c r="G776" s="40">
        <v>1.001239129</v>
      </c>
      <c r="H776" s="40" t="str">
        <f t="shared" si="1"/>
        <v>#N/A</v>
      </c>
      <c r="I776" s="41">
        <v>0.45</v>
      </c>
      <c r="J776" s="41">
        <v>0.2</v>
      </c>
      <c r="K776" s="41">
        <v>0.35</v>
      </c>
      <c r="L776" s="41">
        <f t="shared" si="2"/>
        <v>0.1</v>
      </c>
      <c r="M776" s="74">
        <v>-0.262291167</v>
      </c>
    </row>
    <row r="777">
      <c r="A777" s="1" t="s">
        <v>212</v>
      </c>
      <c r="B777" s="38">
        <v>805673.0</v>
      </c>
      <c r="C777" s="72">
        <v>45903.0</v>
      </c>
      <c r="D777" s="38">
        <v>82.0</v>
      </c>
      <c r="E777" s="73" t="str">
        <f>IFERROR(__xludf.DUMMYFUNCTION("average(filter('Appearance Sheet'!F:F,'Appearance Sheet'!G:G=B777,'Appearance Sheet'!A:A=C777))"),"#N/A")</f>
        <v>#N/A</v>
      </c>
      <c r="F777" s="67">
        <v>5.32467808</v>
      </c>
      <c r="G777" s="40">
        <v>1.32892054</v>
      </c>
      <c r="H777" s="40" t="str">
        <f t="shared" si="1"/>
        <v>#N/A</v>
      </c>
      <c r="I777" s="41">
        <v>0.56097561</v>
      </c>
      <c r="J777" s="41">
        <v>0.158536585</v>
      </c>
      <c r="K777" s="41">
        <v>0.280487805</v>
      </c>
      <c r="L777" s="41">
        <f t="shared" si="2"/>
        <v>0.280487805</v>
      </c>
      <c r="M777" s="74">
        <v>0.942773486</v>
      </c>
    </row>
    <row r="778">
      <c r="A778" s="1" t="s">
        <v>335</v>
      </c>
      <c r="B778" s="38">
        <v>663436.0</v>
      </c>
      <c r="C778" s="72">
        <v>45746.0</v>
      </c>
      <c r="D778" s="38">
        <v>88.0</v>
      </c>
      <c r="E778" s="73">
        <f>IFERROR(__xludf.DUMMYFUNCTION("average(filter('Appearance Sheet'!F:F,'Appearance Sheet'!G:G=B778,'Appearance Sheet'!A:A=C778))"),6.0)</f>
        <v>6</v>
      </c>
      <c r="F778" s="67">
        <v>5.324642752</v>
      </c>
      <c r="G778" s="40">
        <v>1.450161178</v>
      </c>
      <c r="H778" s="40">
        <f t="shared" si="1"/>
        <v>2.175241767</v>
      </c>
      <c r="I778" s="41">
        <v>0.5</v>
      </c>
      <c r="J778" s="41">
        <v>0.227272727</v>
      </c>
      <c r="K778" s="41">
        <v>0.272727273</v>
      </c>
      <c r="L778" s="41">
        <f t="shared" si="2"/>
        <v>0.227272727</v>
      </c>
      <c r="M778" s="74">
        <v>2.311001641</v>
      </c>
    </row>
    <row r="779">
      <c r="A779" s="1" t="s">
        <v>569</v>
      </c>
      <c r="B779" s="38">
        <v>669947.0</v>
      </c>
      <c r="C779" s="72">
        <v>45920.0</v>
      </c>
      <c r="D779" s="38">
        <v>61.0</v>
      </c>
      <c r="E779" s="73" t="str">
        <f>IFERROR(__xludf.DUMMYFUNCTION("average(filter('Appearance Sheet'!F:F,'Appearance Sheet'!G:G=B779,'Appearance Sheet'!A:A=C779))"),"#N/A")</f>
        <v>#N/A</v>
      </c>
      <c r="F779" s="67">
        <v>5.324421977</v>
      </c>
      <c r="G779" s="40">
        <v>0.992813529</v>
      </c>
      <c r="H779" s="40" t="str">
        <f t="shared" si="1"/>
        <v>#N/A</v>
      </c>
      <c r="I779" s="41">
        <v>0.508196721</v>
      </c>
      <c r="J779" s="41">
        <v>0.213114754</v>
      </c>
      <c r="K779" s="41">
        <v>0.278688525</v>
      </c>
      <c r="L779" s="41">
        <f t="shared" si="2"/>
        <v>0.229508196</v>
      </c>
      <c r="M779" s="74">
        <v>-1.792532353</v>
      </c>
    </row>
    <row r="780">
      <c r="A780" s="1" t="s">
        <v>173</v>
      </c>
      <c r="B780" s="38">
        <v>641927.0</v>
      </c>
      <c r="C780" s="72">
        <v>45831.0</v>
      </c>
      <c r="D780" s="38">
        <v>101.0</v>
      </c>
      <c r="E780" s="73">
        <f>IFERROR(__xludf.DUMMYFUNCTION("average(filter('Appearance Sheet'!F:F,'Appearance Sheet'!G:G=B780,'Appearance Sheet'!A:A=C780))"),7.0)</f>
        <v>7</v>
      </c>
      <c r="F780" s="67">
        <v>5.324271963</v>
      </c>
      <c r="G780" s="40">
        <v>1.698887327</v>
      </c>
      <c r="H780" s="40">
        <f t="shared" si="1"/>
        <v>2.184283706</v>
      </c>
      <c r="I780" s="41">
        <v>0.524752475</v>
      </c>
      <c r="J780" s="41">
        <v>0.217821782</v>
      </c>
      <c r="K780" s="41">
        <v>0.257425743</v>
      </c>
      <c r="L780" s="41">
        <f t="shared" si="2"/>
        <v>0.267326732</v>
      </c>
      <c r="M780" s="74">
        <v>-1.174669184</v>
      </c>
    </row>
    <row r="781">
      <c r="A781" s="1" t="s">
        <v>282</v>
      </c>
      <c r="B781" s="38">
        <v>656302.0</v>
      </c>
      <c r="C781" s="72">
        <v>45872.0</v>
      </c>
      <c r="D781" s="38">
        <v>85.0</v>
      </c>
      <c r="E781" s="73" t="str">
        <f>IFERROR(__xludf.DUMMYFUNCTION("average(filter('Appearance Sheet'!F:F,'Appearance Sheet'!G:G=B781,'Appearance Sheet'!A:A=C781))"),"#N/A")</f>
        <v>#N/A</v>
      </c>
      <c r="F781" s="67">
        <v>5.32332222</v>
      </c>
      <c r="G781" s="40">
        <v>1.359584666</v>
      </c>
      <c r="H781" s="40" t="str">
        <f t="shared" si="1"/>
        <v>#N/A</v>
      </c>
      <c r="I781" s="41">
        <v>0.517647059</v>
      </c>
      <c r="J781" s="41">
        <v>0.164705882</v>
      </c>
      <c r="K781" s="41">
        <v>0.317647059</v>
      </c>
      <c r="L781" s="41">
        <f t="shared" si="2"/>
        <v>0.2</v>
      </c>
      <c r="M781" s="74">
        <v>3.521165018</v>
      </c>
    </row>
    <row r="782">
      <c r="A782" s="1" t="s">
        <v>88</v>
      </c>
      <c r="B782" s="38">
        <v>694973.0</v>
      </c>
      <c r="C782" s="72">
        <v>45898.0</v>
      </c>
      <c r="D782" s="38">
        <v>94.0</v>
      </c>
      <c r="E782" s="73" t="str">
        <f>IFERROR(__xludf.DUMMYFUNCTION("average(filter('Appearance Sheet'!F:F,'Appearance Sheet'!G:G=B782,'Appearance Sheet'!A:A=C782))"),"#N/A")</f>
        <v>#N/A</v>
      </c>
      <c r="F782" s="67">
        <v>5.323093995</v>
      </c>
      <c r="G782" s="40">
        <v>1.53707661</v>
      </c>
      <c r="H782" s="40" t="str">
        <f t="shared" si="1"/>
        <v>#N/A</v>
      </c>
      <c r="I782" s="41">
        <v>0.5</v>
      </c>
      <c r="J782" s="41">
        <v>0.244680851</v>
      </c>
      <c r="K782" s="41">
        <v>0.255319149</v>
      </c>
      <c r="L782" s="41">
        <f t="shared" si="2"/>
        <v>0.244680851</v>
      </c>
      <c r="M782" s="74">
        <v>-0.829547072</v>
      </c>
    </row>
    <row r="783">
      <c r="A783" s="1" t="s">
        <v>173</v>
      </c>
      <c r="B783" s="38">
        <v>641927.0</v>
      </c>
      <c r="C783" s="72">
        <v>45769.0</v>
      </c>
      <c r="D783" s="38">
        <v>84.0</v>
      </c>
      <c r="E783" s="73">
        <f>IFERROR(__xludf.DUMMYFUNCTION("average(filter('Appearance Sheet'!F:F,'Appearance Sheet'!G:G=B783,'Appearance Sheet'!A:A=C783))"),6.0)</f>
        <v>6</v>
      </c>
      <c r="F783" s="67">
        <v>5.323038067</v>
      </c>
      <c r="G783" s="40">
        <v>1.395068808</v>
      </c>
      <c r="H783" s="40">
        <f t="shared" si="1"/>
        <v>2.092603212</v>
      </c>
      <c r="I783" s="41">
        <v>0.535714286</v>
      </c>
      <c r="J783" s="41">
        <v>0.19047619</v>
      </c>
      <c r="K783" s="41">
        <v>0.273809524</v>
      </c>
      <c r="L783" s="41">
        <f t="shared" si="2"/>
        <v>0.261904762</v>
      </c>
      <c r="M783" s="74">
        <v>-2.704696882</v>
      </c>
    </row>
    <row r="784">
      <c r="A784" s="1" t="s">
        <v>130</v>
      </c>
      <c r="B784" s="38">
        <v>666200.0</v>
      </c>
      <c r="C784" s="72">
        <v>45895.0</v>
      </c>
      <c r="D784" s="38">
        <v>82.0</v>
      </c>
      <c r="E784" s="73" t="str">
        <f>IFERROR(__xludf.DUMMYFUNCTION("average(filter('Appearance Sheet'!F:F,'Appearance Sheet'!G:G=B784,'Appearance Sheet'!A:A=C784))"),"#N/A")</f>
        <v>#N/A</v>
      </c>
      <c r="F784" s="67">
        <v>5.322981919</v>
      </c>
      <c r="G784" s="40">
        <v>1.320147973</v>
      </c>
      <c r="H784" s="40" t="str">
        <f t="shared" si="1"/>
        <v>#N/A</v>
      </c>
      <c r="I784" s="41">
        <v>0.56097561</v>
      </c>
      <c r="J784" s="41">
        <v>0.158536585</v>
      </c>
      <c r="K784" s="41">
        <v>0.280487805</v>
      </c>
      <c r="L784" s="41">
        <f t="shared" si="2"/>
        <v>0.280487805</v>
      </c>
      <c r="M784" s="74">
        <v>-0.963250042</v>
      </c>
    </row>
    <row r="785">
      <c r="A785" s="1" t="s">
        <v>242</v>
      </c>
      <c r="B785" s="38">
        <v>669358.0</v>
      </c>
      <c r="C785" s="72">
        <v>45839.0</v>
      </c>
      <c r="D785" s="38">
        <v>88.0</v>
      </c>
      <c r="E785" s="73">
        <f>IFERROR(__xludf.DUMMYFUNCTION("average(filter('Appearance Sheet'!F:F,'Appearance Sheet'!G:G=B785,'Appearance Sheet'!A:A=C785))"),7.0)</f>
        <v>7</v>
      </c>
      <c r="F785" s="67">
        <v>5.322704482</v>
      </c>
      <c r="G785" s="40">
        <v>1.451048212</v>
      </c>
      <c r="H785" s="40">
        <f t="shared" si="1"/>
        <v>1.865633415</v>
      </c>
      <c r="I785" s="41">
        <v>0.522727273</v>
      </c>
      <c r="J785" s="41">
        <v>0.181818182</v>
      </c>
      <c r="K785" s="41">
        <v>0.295454545</v>
      </c>
      <c r="L785" s="41">
        <f t="shared" si="2"/>
        <v>0.227272728</v>
      </c>
      <c r="M785" s="74">
        <v>-2.40106001</v>
      </c>
    </row>
    <row r="786">
      <c r="A786" s="1" t="s">
        <v>153</v>
      </c>
      <c r="B786" s="38">
        <v>669302.0</v>
      </c>
      <c r="C786" s="72">
        <v>45743.0</v>
      </c>
      <c r="D786" s="38">
        <v>81.0</v>
      </c>
      <c r="E786" s="73">
        <f>IFERROR(__xludf.DUMMYFUNCTION("average(filter('Appearance Sheet'!F:F,'Appearance Sheet'!G:G=B786,'Appearance Sheet'!A:A=C786))"),7.0)</f>
        <v>7</v>
      </c>
      <c r="F786" s="67">
        <v>5.322363281</v>
      </c>
      <c r="G786" s="40">
        <v>1.347079841</v>
      </c>
      <c r="H786" s="40">
        <f t="shared" si="1"/>
        <v>1.731959796</v>
      </c>
      <c r="I786" s="41">
        <v>0.49382716</v>
      </c>
      <c r="J786" s="41">
        <v>0.296296296</v>
      </c>
      <c r="K786" s="41">
        <v>0.209876543</v>
      </c>
      <c r="L786" s="41">
        <f t="shared" si="2"/>
        <v>0.283950617</v>
      </c>
      <c r="M786" s="74">
        <v>2.483476723</v>
      </c>
    </row>
    <row r="787">
      <c r="A787" s="1" t="s">
        <v>150</v>
      </c>
      <c r="B787" s="38">
        <v>657746.0</v>
      </c>
      <c r="C787" s="72">
        <v>45756.0</v>
      </c>
      <c r="D787" s="38">
        <v>83.0</v>
      </c>
      <c r="E787" s="73">
        <f>IFERROR(__xludf.DUMMYFUNCTION("average(filter('Appearance Sheet'!F:F,'Appearance Sheet'!G:G=B787,'Appearance Sheet'!A:A=C787))"),7.0)</f>
        <v>7</v>
      </c>
      <c r="F787" s="67">
        <v>5.32199026</v>
      </c>
      <c r="G787" s="40">
        <v>1.394154423</v>
      </c>
      <c r="H787" s="40">
        <f t="shared" si="1"/>
        <v>1.792484258</v>
      </c>
      <c r="I787" s="41">
        <v>0.518072289</v>
      </c>
      <c r="J787" s="41">
        <v>0.168674699</v>
      </c>
      <c r="K787" s="41">
        <v>0.313253012</v>
      </c>
      <c r="L787" s="41">
        <f t="shared" si="2"/>
        <v>0.204819277</v>
      </c>
      <c r="M787" s="74">
        <v>3.593333449</v>
      </c>
    </row>
    <row r="788">
      <c r="A788" s="1" t="s">
        <v>256</v>
      </c>
      <c r="B788" s="38">
        <v>571760.0</v>
      </c>
      <c r="C788" s="72">
        <v>45838.0</v>
      </c>
      <c r="D788" s="38">
        <v>95.0</v>
      </c>
      <c r="E788" s="73">
        <f>IFERROR(__xludf.DUMMYFUNCTION("average(filter('Appearance Sheet'!F:F,'Appearance Sheet'!G:G=B788,'Appearance Sheet'!A:A=C788))"),6.666666666666667)</f>
        <v>6.666666667</v>
      </c>
      <c r="F788" s="67">
        <v>5.32183686</v>
      </c>
      <c r="G788" s="40">
        <v>1.571279799</v>
      </c>
      <c r="H788" s="40">
        <f t="shared" si="1"/>
        <v>2.121227729</v>
      </c>
      <c r="I788" s="41">
        <v>0.557894737</v>
      </c>
      <c r="J788" s="41">
        <v>0.105263158</v>
      </c>
      <c r="K788" s="41">
        <v>0.336842105</v>
      </c>
      <c r="L788" s="41">
        <f t="shared" si="2"/>
        <v>0.221052632</v>
      </c>
      <c r="M788" s="74">
        <v>2.898045998</v>
      </c>
    </row>
    <row r="789">
      <c r="A789" s="1" t="s">
        <v>166</v>
      </c>
      <c r="B789" s="38">
        <v>608331.0</v>
      </c>
      <c r="C789" s="72">
        <v>45896.0</v>
      </c>
      <c r="D789" s="38">
        <v>93.0</v>
      </c>
      <c r="E789" s="73" t="str">
        <f>IFERROR(__xludf.DUMMYFUNCTION("average(filter('Appearance Sheet'!F:F,'Appearance Sheet'!G:G=B789,'Appearance Sheet'!A:A=C789))"),"#N/A")</f>
        <v>#N/A</v>
      </c>
      <c r="F789" s="67">
        <v>5.321286382</v>
      </c>
      <c r="G789" s="40">
        <v>1.5386364</v>
      </c>
      <c r="H789" s="40" t="str">
        <f t="shared" si="1"/>
        <v>#N/A</v>
      </c>
      <c r="I789" s="41">
        <v>0.537634409</v>
      </c>
      <c r="J789" s="41">
        <v>0.172043011</v>
      </c>
      <c r="K789" s="41">
        <v>0.290322581</v>
      </c>
      <c r="L789" s="41">
        <f t="shared" si="2"/>
        <v>0.247311828</v>
      </c>
      <c r="M789" s="74">
        <v>1.800488614</v>
      </c>
    </row>
    <row r="790">
      <c r="A790" s="1" t="s">
        <v>425</v>
      </c>
      <c r="B790" s="38">
        <v>621244.0</v>
      </c>
      <c r="C790" s="72">
        <v>45892.0</v>
      </c>
      <c r="D790" s="38">
        <v>80.0</v>
      </c>
      <c r="E790" s="73" t="str">
        <f>IFERROR(__xludf.DUMMYFUNCTION("average(filter('Appearance Sheet'!F:F,'Appearance Sheet'!G:G=B790,'Appearance Sheet'!A:A=C790))"),"#N/A")</f>
        <v>#N/A</v>
      </c>
      <c r="F790" s="67">
        <v>5.321091181</v>
      </c>
      <c r="G790" s="40">
        <v>1.321701765</v>
      </c>
      <c r="H790" s="40" t="str">
        <f t="shared" si="1"/>
        <v>#N/A</v>
      </c>
      <c r="I790" s="41">
        <v>0.45</v>
      </c>
      <c r="J790" s="41">
        <v>0.3375</v>
      </c>
      <c r="K790" s="41">
        <v>0.2125</v>
      </c>
      <c r="L790" s="41">
        <f t="shared" si="2"/>
        <v>0.2375</v>
      </c>
      <c r="M790" s="74">
        <v>1.767487135</v>
      </c>
    </row>
    <row r="791">
      <c r="A791" s="1" t="s">
        <v>278</v>
      </c>
      <c r="B791" s="38">
        <v>542881.0</v>
      </c>
      <c r="C791" s="72">
        <v>45864.0</v>
      </c>
      <c r="D791" s="38">
        <v>84.0</v>
      </c>
      <c r="E791" s="73" t="str">
        <f>IFERROR(__xludf.DUMMYFUNCTION("average(filter('Appearance Sheet'!F:F,'Appearance Sheet'!G:G=B791,'Appearance Sheet'!A:A=C791))"),"#N/A")</f>
        <v>#N/A</v>
      </c>
      <c r="F791" s="67">
        <v>5.320995327</v>
      </c>
      <c r="G791" s="40">
        <v>1.382082129</v>
      </c>
      <c r="H791" s="40" t="str">
        <f t="shared" si="1"/>
        <v>#N/A</v>
      </c>
      <c r="I791" s="41">
        <v>0.571428571</v>
      </c>
      <c r="J791" s="41">
        <v>0.119047619</v>
      </c>
      <c r="K791" s="41">
        <v>0.30952381</v>
      </c>
      <c r="L791" s="41">
        <f t="shared" si="2"/>
        <v>0.261904761</v>
      </c>
      <c r="M791" s="74">
        <v>-0.315498939</v>
      </c>
    </row>
    <row r="792">
      <c r="A792" s="1" t="s">
        <v>272</v>
      </c>
      <c r="B792" s="38">
        <v>622491.0</v>
      </c>
      <c r="C792" s="72">
        <v>45843.0</v>
      </c>
      <c r="D792" s="38">
        <v>98.0</v>
      </c>
      <c r="E792" s="73" t="str">
        <f>IFERROR(__xludf.DUMMYFUNCTION("average(filter('Appearance Sheet'!F:F,'Appearance Sheet'!G:G=B792,'Appearance Sheet'!A:A=C792))"),"#N/A")</f>
        <v>#N/A</v>
      </c>
      <c r="F792" s="67">
        <v>5.320675657</v>
      </c>
      <c r="G792" s="40">
        <v>1.610049922</v>
      </c>
      <c r="H792" s="40" t="str">
        <f t="shared" si="1"/>
        <v>#N/A</v>
      </c>
      <c r="I792" s="41">
        <v>0.530612245</v>
      </c>
      <c r="J792" s="41">
        <v>0.153061224</v>
      </c>
      <c r="K792" s="41">
        <v>0.316326531</v>
      </c>
      <c r="L792" s="41">
        <f t="shared" si="2"/>
        <v>0.214285714</v>
      </c>
      <c r="M792" s="74">
        <v>4.82083266</v>
      </c>
    </row>
    <row r="793">
      <c r="A793" s="1" t="s">
        <v>63</v>
      </c>
      <c r="B793" s="38">
        <v>687888.0</v>
      </c>
      <c r="C793" s="72">
        <v>45797.0</v>
      </c>
      <c r="D793" s="38">
        <v>76.0</v>
      </c>
      <c r="E793" s="73">
        <f>IFERROR(__xludf.DUMMYFUNCTION("average(filter('Appearance Sheet'!F:F,'Appearance Sheet'!G:G=B793,'Appearance Sheet'!A:A=C793))"),5.0)</f>
        <v>5</v>
      </c>
      <c r="F793" s="67">
        <v>5.320626763</v>
      </c>
      <c r="G793" s="40">
        <v>1.242253459</v>
      </c>
      <c r="H793" s="40">
        <f t="shared" si="1"/>
        <v>2.236056226</v>
      </c>
      <c r="I793" s="41">
        <v>0.526315789</v>
      </c>
      <c r="J793" s="41">
        <v>0.236842105</v>
      </c>
      <c r="K793" s="41">
        <v>0.236842105</v>
      </c>
      <c r="L793" s="41">
        <f t="shared" si="2"/>
        <v>0.289473684</v>
      </c>
      <c r="M793" s="74">
        <v>2.586213966</v>
      </c>
    </row>
    <row r="794">
      <c r="A794" s="1" t="s">
        <v>347</v>
      </c>
      <c r="B794" s="38">
        <v>700249.0</v>
      </c>
      <c r="C794" s="72">
        <v>45771.0</v>
      </c>
      <c r="D794" s="38">
        <v>84.0</v>
      </c>
      <c r="E794" s="73">
        <f>IFERROR(__xludf.DUMMYFUNCTION("average(filter('Appearance Sheet'!F:F,'Appearance Sheet'!G:G=B794,'Appearance Sheet'!A:A=C794))"),6.666666666666667)</f>
        <v>6.666666667</v>
      </c>
      <c r="F794" s="67">
        <v>5.320124757</v>
      </c>
      <c r="G794" s="40">
        <v>1.42632387</v>
      </c>
      <c r="H794" s="40">
        <f t="shared" si="1"/>
        <v>1.925537225</v>
      </c>
      <c r="I794" s="41">
        <v>0.55952381</v>
      </c>
      <c r="J794" s="41">
        <v>0.202380952</v>
      </c>
      <c r="K794" s="41">
        <v>0.238095238</v>
      </c>
      <c r="L794" s="41">
        <f t="shared" si="2"/>
        <v>0.321428572</v>
      </c>
      <c r="M794" s="74">
        <v>0.772674762</v>
      </c>
    </row>
    <row r="795">
      <c r="A795" s="1" t="s">
        <v>77</v>
      </c>
      <c r="B795" s="38">
        <v>657277.0</v>
      </c>
      <c r="C795" s="72">
        <v>45868.0</v>
      </c>
      <c r="D795" s="38">
        <v>107.0</v>
      </c>
      <c r="E795" s="73" t="str">
        <f>IFERROR(__xludf.DUMMYFUNCTION("average(filter('Appearance Sheet'!F:F,'Appearance Sheet'!G:G=B795,'Appearance Sheet'!A:A=C795))"),"#N/A")</f>
        <v>#N/A</v>
      </c>
      <c r="F795" s="67">
        <v>5.319967842</v>
      </c>
      <c r="G795" s="40">
        <v>1.718697306</v>
      </c>
      <c r="H795" s="40" t="str">
        <f t="shared" si="1"/>
        <v>#N/A</v>
      </c>
      <c r="I795" s="41">
        <v>0.485981308</v>
      </c>
      <c r="J795" s="41">
        <v>0.177570093</v>
      </c>
      <c r="K795" s="41">
        <v>0.336448598</v>
      </c>
      <c r="L795" s="41">
        <f t="shared" si="2"/>
        <v>0.14953271</v>
      </c>
      <c r="M795" s="74">
        <v>0.522617119</v>
      </c>
    </row>
    <row r="796">
      <c r="A796" s="1" t="s">
        <v>290</v>
      </c>
      <c r="B796" s="38">
        <v>669461.0</v>
      </c>
      <c r="C796" s="72">
        <v>45783.0</v>
      </c>
      <c r="D796" s="38">
        <v>99.0</v>
      </c>
      <c r="E796" s="73">
        <f>IFERROR(__xludf.DUMMYFUNCTION("average(filter('Appearance Sheet'!F:F,'Appearance Sheet'!G:G=B796,'Appearance Sheet'!A:A=C796))"),7.0)</f>
        <v>7</v>
      </c>
      <c r="F796" s="67">
        <v>5.319782182</v>
      </c>
      <c r="G796" s="40">
        <v>1.673106796</v>
      </c>
      <c r="H796" s="40">
        <f t="shared" si="1"/>
        <v>2.151137309</v>
      </c>
      <c r="I796" s="41">
        <v>0.494949495</v>
      </c>
      <c r="J796" s="41">
        <v>0.242424242</v>
      </c>
      <c r="K796" s="41">
        <v>0.262626263</v>
      </c>
      <c r="L796" s="41">
        <f t="shared" si="2"/>
        <v>0.232323232</v>
      </c>
      <c r="M796" s="74">
        <v>2.948078884</v>
      </c>
    </row>
    <row r="797">
      <c r="A797" s="1" t="s">
        <v>466</v>
      </c>
      <c r="B797" s="38">
        <v>687134.0</v>
      </c>
      <c r="C797" s="72">
        <v>45919.0</v>
      </c>
      <c r="D797" s="38">
        <v>87.0</v>
      </c>
      <c r="E797" s="73" t="str">
        <f>IFERROR(__xludf.DUMMYFUNCTION("average(filter('Appearance Sheet'!F:F,'Appearance Sheet'!G:G=B797,'Appearance Sheet'!A:A=C797))"),"#N/A")</f>
        <v>#N/A</v>
      </c>
      <c r="F797" s="67">
        <v>5.319731192</v>
      </c>
      <c r="G797" s="40">
        <v>1.462438796</v>
      </c>
      <c r="H797" s="40" t="str">
        <f t="shared" si="1"/>
        <v>#N/A</v>
      </c>
      <c r="I797" s="41">
        <v>0.505747126</v>
      </c>
      <c r="J797" s="41">
        <v>0.183908046</v>
      </c>
      <c r="K797" s="41">
        <v>0.310344828</v>
      </c>
      <c r="L797" s="41">
        <f t="shared" si="2"/>
        <v>0.195402298</v>
      </c>
      <c r="M797" s="74">
        <v>-2.30413242</v>
      </c>
    </row>
    <row r="798">
      <c r="A798" s="1" t="s">
        <v>109</v>
      </c>
      <c r="B798" s="38">
        <v>601713.0</v>
      </c>
      <c r="C798" s="72">
        <v>45800.0</v>
      </c>
      <c r="D798" s="38">
        <v>94.0</v>
      </c>
      <c r="E798" s="73">
        <f>IFERROR(__xludf.DUMMYFUNCTION("average(filter('Appearance Sheet'!F:F,'Appearance Sheet'!G:G=B798,'Appearance Sheet'!A:A=C798))"),6.0)</f>
        <v>6</v>
      </c>
      <c r="F798" s="67">
        <v>5.319354532</v>
      </c>
      <c r="G798" s="40">
        <v>1.575836273</v>
      </c>
      <c r="H798" s="40">
        <f t="shared" si="1"/>
        <v>2.36375441</v>
      </c>
      <c r="I798" s="41">
        <v>0.489361702</v>
      </c>
      <c r="J798" s="41">
        <v>0.212765957</v>
      </c>
      <c r="K798" s="41">
        <v>0.29787234</v>
      </c>
      <c r="L798" s="41">
        <f t="shared" si="2"/>
        <v>0.191489362</v>
      </c>
      <c r="M798" s="74">
        <v>2.814297421</v>
      </c>
    </row>
    <row r="799">
      <c r="A799" s="1" t="s">
        <v>150</v>
      </c>
      <c r="B799" s="38">
        <v>657746.0</v>
      </c>
      <c r="C799" s="72">
        <v>45761.0</v>
      </c>
      <c r="D799" s="38">
        <v>100.0</v>
      </c>
      <c r="E799" s="73">
        <f>IFERROR(__xludf.DUMMYFUNCTION("average(filter('Appearance Sheet'!F:F,'Appearance Sheet'!G:G=B799,'Appearance Sheet'!A:A=C799))"),5.0)</f>
        <v>5</v>
      </c>
      <c r="F799" s="67">
        <v>5.319312697</v>
      </c>
      <c r="G799" s="40">
        <v>1.595845625</v>
      </c>
      <c r="H799" s="40">
        <f t="shared" si="1"/>
        <v>2.872522125</v>
      </c>
      <c r="I799" s="41">
        <v>0.58</v>
      </c>
      <c r="J799" s="41">
        <v>0.15</v>
      </c>
      <c r="K799" s="41">
        <v>0.27</v>
      </c>
      <c r="L799" s="41">
        <f t="shared" si="2"/>
        <v>0.31</v>
      </c>
      <c r="M799" s="74">
        <v>3.201315523</v>
      </c>
    </row>
    <row r="800">
      <c r="A800" s="1" t="s">
        <v>133</v>
      </c>
      <c r="B800" s="38">
        <v>663978.0</v>
      </c>
      <c r="C800" s="72">
        <v>45848.0</v>
      </c>
      <c r="D800" s="38">
        <v>93.0</v>
      </c>
      <c r="E800" s="73" t="str">
        <f>IFERROR(__xludf.DUMMYFUNCTION("average(filter('Appearance Sheet'!F:F,'Appearance Sheet'!G:G=B800,'Appearance Sheet'!A:A=C800))"),"#N/A")</f>
        <v>#N/A</v>
      </c>
      <c r="F800" s="67">
        <v>5.319117971</v>
      </c>
      <c r="G800" s="40">
        <v>1.585088649</v>
      </c>
      <c r="H800" s="40" t="str">
        <f t="shared" si="1"/>
        <v>#N/A</v>
      </c>
      <c r="I800" s="41">
        <v>0.52688172</v>
      </c>
      <c r="J800" s="41">
        <v>0.247311828</v>
      </c>
      <c r="K800" s="41">
        <v>0.225806452</v>
      </c>
      <c r="L800" s="41">
        <f t="shared" si="2"/>
        <v>0.301075268</v>
      </c>
      <c r="M800" s="74">
        <v>-4.812291672</v>
      </c>
    </row>
    <row r="801">
      <c r="A801" s="1" t="s">
        <v>373</v>
      </c>
      <c r="B801" s="38">
        <v>640455.0</v>
      </c>
      <c r="C801" s="72">
        <v>45867.0</v>
      </c>
      <c r="D801" s="38">
        <v>84.0</v>
      </c>
      <c r="E801" s="73" t="str">
        <f>IFERROR(__xludf.DUMMYFUNCTION("average(filter('Appearance Sheet'!F:F,'Appearance Sheet'!G:G=B801,'Appearance Sheet'!A:A=C801))"),"#N/A")</f>
        <v>#N/A</v>
      </c>
      <c r="F801" s="67">
        <v>5.31893173</v>
      </c>
      <c r="G801" s="40">
        <v>1.347240534</v>
      </c>
      <c r="H801" s="40" t="str">
        <f t="shared" si="1"/>
        <v>#N/A</v>
      </c>
      <c r="I801" s="41">
        <v>0.511904762</v>
      </c>
      <c r="J801" s="41">
        <v>0.214285714</v>
      </c>
      <c r="K801" s="41">
        <v>0.273809524</v>
      </c>
      <c r="L801" s="41">
        <f t="shared" si="2"/>
        <v>0.238095238</v>
      </c>
      <c r="M801" s="74">
        <v>3.036601258</v>
      </c>
    </row>
    <row r="802">
      <c r="A802" s="1" t="s">
        <v>95</v>
      </c>
      <c r="B802" s="38">
        <v>543243.0</v>
      </c>
      <c r="C802" s="72">
        <v>45820.0</v>
      </c>
      <c r="D802" s="38">
        <v>74.0</v>
      </c>
      <c r="E802" s="73">
        <f>IFERROR(__xludf.DUMMYFUNCTION("average(filter('Appearance Sheet'!F:F,'Appearance Sheet'!G:G=B802,'Appearance Sheet'!A:A=C802))"),4.333333333333333)</f>
        <v>4.333333333</v>
      </c>
      <c r="F802" s="67">
        <v>5.318745565</v>
      </c>
      <c r="G802" s="40">
        <v>1.236739146</v>
      </c>
      <c r="H802" s="40">
        <f t="shared" si="1"/>
        <v>2.568612072</v>
      </c>
      <c r="I802" s="41">
        <v>0.554054054</v>
      </c>
      <c r="J802" s="41">
        <v>0.148648649</v>
      </c>
      <c r="K802" s="41">
        <v>0.297297297</v>
      </c>
      <c r="L802" s="41">
        <f t="shared" si="2"/>
        <v>0.256756757</v>
      </c>
      <c r="M802" s="74">
        <v>-3.392530991</v>
      </c>
    </row>
    <row r="803">
      <c r="A803" s="1" t="s">
        <v>176</v>
      </c>
      <c r="B803" s="38">
        <v>686218.0</v>
      </c>
      <c r="C803" s="72">
        <v>45903.0</v>
      </c>
      <c r="D803" s="38">
        <v>83.0</v>
      </c>
      <c r="E803" s="73" t="str">
        <f>IFERROR(__xludf.DUMMYFUNCTION("average(filter('Appearance Sheet'!F:F,'Appearance Sheet'!G:G=B803,'Appearance Sheet'!A:A=C803))"),"#N/A")</f>
        <v>#N/A</v>
      </c>
      <c r="F803" s="67">
        <v>5.318524493</v>
      </c>
      <c r="G803" s="40">
        <v>1.366594013</v>
      </c>
      <c r="H803" s="40" t="str">
        <f t="shared" si="1"/>
        <v>#N/A</v>
      </c>
      <c r="I803" s="41">
        <v>0.530120482</v>
      </c>
      <c r="J803" s="41">
        <v>0.156626506</v>
      </c>
      <c r="K803" s="41">
        <v>0.313253012</v>
      </c>
      <c r="L803" s="41">
        <f t="shared" si="2"/>
        <v>0.21686747</v>
      </c>
      <c r="M803" s="74">
        <v>-0.987235338</v>
      </c>
    </row>
    <row r="804">
      <c r="A804" s="1" t="s">
        <v>97</v>
      </c>
      <c r="B804" s="38">
        <v>656876.0</v>
      </c>
      <c r="C804" s="72">
        <v>45833.0</v>
      </c>
      <c r="D804" s="38">
        <v>62.0</v>
      </c>
      <c r="E804" s="73">
        <f>IFERROR(__xludf.DUMMYFUNCTION("average(filter('Appearance Sheet'!F:F,'Appearance Sheet'!G:G=B804,'Appearance Sheet'!A:A=C804))"),5.0)</f>
        <v>5</v>
      </c>
      <c r="F804" s="67">
        <v>5.31847369</v>
      </c>
      <c r="G804" s="40">
        <v>1.044213615</v>
      </c>
      <c r="H804" s="40">
        <f t="shared" si="1"/>
        <v>1.879584507</v>
      </c>
      <c r="I804" s="41">
        <v>0.516129032</v>
      </c>
      <c r="J804" s="41">
        <v>0.177419355</v>
      </c>
      <c r="K804" s="41">
        <v>0.306451613</v>
      </c>
      <c r="L804" s="41">
        <f t="shared" si="2"/>
        <v>0.209677419</v>
      </c>
      <c r="M804" s="74">
        <v>1.353697319</v>
      </c>
    </row>
    <row r="805">
      <c r="A805" s="1" t="s">
        <v>85</v>
      </c>
      <c r="B805" s="38">
        <v>808967.0</v>
      </c>
      <c r="C805" s="72">
        <v>45815.0</v>
      </c>
      <c r="D805" s="38">
        <v>93.0</v>
      </c>
      <c r="E805" s="73">
        <f>IFERROR(__xludf.DUMMYFUNCTION("average(filter('Appearance Sheet'!F:F,'Appearance Sheet'!G:G=B805,'Appearance Sheet'!A:A=C805))"),6.0)</f>
        <v>6</v>
      </c>
      <c r="F805" s="67">
        <v>5.318344194</v>
      </c>
      <c r="G805" s="40">
        <v>1.532467377</v>
      </c>
      <c r="H805" s="40">
        <f t="shared" si="1"/>
        <v>2.298701066</v>
      </c>
      <c r="I805" s="41">
        <v>0.516129032</v>
      </c>
      <c r="J805" s="41">
        <v>0.150537634</v>
      </c>
      <c r="K805" s="41">
        <v>0.333333333</v>
      </c>
      <c r="L805" s="41">
        <f t="shared" si="2"/>
        <v>0.182795699</v>
      </c>
      <c r="M805" s="74">
        <v>0.834762528</v>
      </c>
    </row>
    <row r="806">
      <c r="A806" s="1" t="s">
        <v>133</v>
      </c>
      <c r="B806" s="38">
        <v>663978.0</v>
      </c>
      <c r="C806" s="72">
        <v>45759.0</v>
      </c>
      <c r="D806" s="38">
        <v>86.0</v>
      </c>
      <c r="E806" s="73">
        <f>IFERROR(__xludf.DUMMYFUNCTION("average(filter('Appearance Sheet'!F:F,'Appearance Sheet'!G:G=B806,'Appearance Sheet'!A:A=C806))"),5.0)</f>
        <v>5</v>
      </c>
      <c r="F806" s="67">
        <v>5.318046346</v>
      </c>
      <c r="G806" s="40">
        <v>1.41478471</v>
      </c>
      <c r="H806" s="40">
        <f t="shared" si="1"/>
        <v>2.546612478</v>
      </c>
      <c r="I806" s="41">
        <v>0.523255814</v>
      </c>
      <c r="J806" s="41">
        <v>0.151162791</v>
      </c>
      <c r="K806" s="41">
        <v>0.325581395</v>
      </c>
      <c r="L806" s="41">
        <f t="shared" si="2"/>
        <v>0.197674419</v>
      </c>
      <c r="M806" s="74">
        <v>2.802818105</v>
      </c>
    </row>
    <row r="807">
      <c r="A807" s="1" t="s">
        <v>158</v>
      </c>
      <c r="B807" s="38">
        <v>608372.0</v>
      </c>
      <c r="C807" s="72">
        <v>45804.0</v>
      </c>
      <c r="D807" s="38">
        <v>89.0</v>
      </c>
      <c r="E807" s="73">
        <f>IFERROR(__xludf.DUMMYFUNCTION("average(filter('Appearance Sheet'!F:F,'Appearance Sheet'!G:G=B807,'Appearance Sheet'!A:A=C807))"),5.333333333333333)</f>
        <v>5.333333333</v>
      </c>
      <c r="F807" s="67">
        <v>5.317768365</v>
      </c>
      <c r="G807" s="40">
        <v>1.495652855</v>
      </c>
      <c r="H807" s="40">
        <f t="shared" si="1"/>
        <v>2.523914193</v>
      </c>
      <c r="I807" s="41">
        <v>0.516853933</v>
      </c>
      <c r="J807" s="41">
        <v>0.202247191</v>
      </c>
      <c r="K807" s="41">
        <v>0.280898876</v>
      </c>
      <c r="L807" s="41">
        <f t="shared" si="2"/>
        <v>0.235955057</v>
      </c>
      <c r="M807" s="74">
        <v>-1.972738143</v>
      </c>
    </row>
    <row r="808">
      <c r="A808" s="1" t="s">
        <v>281</v>
      </c>
      <c r="B808" s="38">
        <v>622663.0</v>
      </c>
      <c r="C808" s="72">
        <v>45924.0</v>
      </c>
      <c r="D808" s="38">
        <v>72.0</v>
      </c>
      <c r="E808" s="73" t="str">
        <f>IFERROR(__xludf.DUMMYFUNCTION("average(filter('Appearance Sheet'!F:F,'Appearance Sheet'!G:G=B808,'Appearance Sheet'!A:A=C808))"),"#N/A")</f>
        <v>#N/A</v>
      </c>
      <c r="F808" s="67">
        <v>5.317529279</v>
      </c>
      <c r="G808" s="40">
        <v>1.208035262</v>
      </c>
      <c r="H808" s="40" t="str">
        <f t="shared" si="1"/>
        <v>#N/A</v>
      </c>
      <c r="I808" s="41">
        <v>0.486111111</v>
      </c>
      <c r="J808" s="41">
        <v>0.291666667</v>
      </c>
      <c r="K808" s="41">
        <v>0.222222222</v>
      </c>
      <c r="L808" s="41">
        <f t="shared" si="2"/>
        <v>0.263888889</v>
      </c>
      <c r="M808" s="74">
        <v>1.018622057</v>
      </c>
    </row>
    <row r="809">
      <c r="A809" s="1" t="s">
        <v>83</v>
      </c>
      <c r="B809" s="38">
        <v>571927.0</v>
      </c>
      <c r="C809" s="72">
        <v>45777.0</v>
      </c>
      <c r="D809" s="38">
        <v>69.0</v>
      </c>
      <c r="E809" s="73">
        <f>IFERROR(__xludf.DUMMYFUNCTION("average(filter('Appearance Sheet'!F:F,'Appearance Sheet'!G:G=B809,'Appearance Sheet'!A:A=C809))"),4.0)</f>
        <v>4</v>
      </c>
      <c r="F809" s="67">
        <v>5.317461422</v>
      </c>
      <c r="G809" s="40">
        <v>1.128503829</v>
      </c>
      <c r="H809" s="40">
        <f t="shared" si="1"/>
        <v>2.539133615</v>
      </c>
      <c r="I809" s="41">
        <v>0.507246377</v>
      </c>
      <c r="J809" s="41">
        <v>0.202898551</v>
      </c>
      <c r="K809" s="41">
        <v>0.289855072</v>
      </c>
      <c r="L809" s="41">
        <f t="shared" si="2"/>
        <v>0.217391305</v>
      </c>
      <c r="M809" s="74">
        <v>0.406167871</v>
      </c>
    </row>
    <row r="810">
      <c r="A810" s="1" t="s">
        <v>155</v>
      </c>
      <c r="B810" s="38">
        <v>592332.0</v>
      </c>
      <c r="C810" s="72">
        <v>45911.0</v>
      </c>
      <c r="D810" s="38">
        <v>97.0</v>
      </c>
      <c r="E810" s="73" t="str">
        <f>IFERROR(__xludf.DUMMYFUNCTION("average(filter('Appearance Sheet'!F:F,'Appearance Sheet'!G:G=B810,'Appearance Sheet'!A:A=C810))"),"#N/A")</f>
        <v>#N/A</v>
      </c>
      <c r="F810" s="67">
        <v>5.317449791</v>
      </c>
      <c r="G810" s="40">
        <v>1.643044401</v>
      </c>
      <c r="H810" s="40" t="str">
        <f t="shared" si="1"/>
        <v>#N/A</v>
      </c>
      <c r="I810" s="41">
        <v>0.463917526</v>
      </c>
      <c r="J810" s="41">
        <v>0.298969072</v>
      </c>
      <c r="K810" s="41">
        <v>0.237113402</v>
      </c>
      <c r="L810" s="41">
        <f t="shared" si="2"/>
        <v>0.226804124</v>
      </c>
      <c r="M810" s="74">
        <v>4.354624659</v>
      </c>
    </row>
    <row r="811">
      <c r="A811" s="1" t="s">
        <v>155</v>
      </c>
      <c r="B811" s="38">
        <v>592332.0</v>
      </c>
      <c r="C811" s="72">
        <v>45744.0</v>
      </c>
      <c r="D811" s="38">
        <v>92.0</v>
      </c>
      <c r="E811" s="73">
        <f>IFERROR(__xludf.DUMMYFUNCTION("average(filter('Appearance Sheet'!F:F,'Appearance Sheet'!G:G=B811,'Appearance Sheet'!A:A=C811))"),6.0)</f>
        <v>6</v>
      </c>
      <c r="F811" s="67">
        <v>5.31708287</v>
      </c>
      <c r="G811" s="40">
        <v>1.526354942</v>
      </c>
      <c r="H811" s="40">
        <f t="shared" si="1"/>
        <v>2.289532413</v>
      </c>
      <c r="I811" s="41">
        <v>0.543478261</v>
      </c>
      <c r="J811" s="41">
        <v>0.152173913</v>
      </c>
      <c r="K811" s="41">
        <v>0.304347826</v>
      </c>
      <c r="L811" s="41">
        <f t="shared" si="2"/>
        <v>0.239130435</v>
      </c>
      <c r="M811" s="74">
        <v>2.807420501</v>
      </c>
    </row>
    <row r="812">
      <c r="A812" s="1" t="s">
        <v>313</v>
      </c>
      <c r="B812" s="38">
        <v>607067.0</v>
      </c>
      <c r="C812" s="72">
        <v>45861.0</v>
      </c>
      <c r="D812" s="38">
        <v>77.0</v>
      </c>
      <c r="E812" s="73" t="str">
        <f>IFERROR(__xludf.DUMMYFUNCTION("average(filter('Appearance Sheet'!F:F,'Appearance Sheet'!G:G=B812,'Appearance Sheet'!A:A=C812))"),"#N/A")</f>
        <v>#N/A</v>
      </c>
      <c r="F812" s="67">
        <v>5.316869698</v>
      </c>
      <c r="G812" s="40">
        <v>1.297432607</v>
      </c>
      <c r="H812" s="40" t="str">
        <f t="shared" si="1"/>
        <v>#N/A</v>
      </c>
      <c r="I812" s="41">
        <v>0.532467532</v>
      </c>
      <c r="J812" s="41">
        <v>0.181818182</v>
      </c>
      <c r="K812" s="41">
        <v>0.285714286</v>
      </c>
      <c r="L812" s="41">
        <f t="shared" si="2"/>
        <v>0.246753246</v>
      </c>
      <c r="M812" s="74">
        <v>-1.986285218</v>
      </c>
    </row>
    <row r="813">
      <c r="A813" s="1" t="s">
        <v>275</v>
      </c>
      <c r="B813" s="38">
        <v>693821.0</v>
      </c>
      <c r="C813" s="72">
        <v>45765.0</v>
      </c>
      <c r="D813" s="38">
        <v>89.0</v>
      </c>
      <c r="E813" s="73">
        <f>IFERROR(__xludf.DUMMYFUNCTION("average(filter('Appearance Sheet'!F:F,'Appearance Sheet'!G:G=B813,'Appearance Sheet'!A:A=C813))"),5.0)</f>
        <v>5</v>
      </c>
      <c r="F813" s="67">
        <v>5.316774196</v>
      </c>
      <c r="G813" s="40">
        <v>1.478156879</v>
      </c>
      <c r="H813" s="40">
        <f t="shared" si="1"/>
        <v>2.660682382</v>
      </c>
      <c r="I813" s="41">
        <v>0.471910112</v>
      </c>
      <c r="J813" s="41">
        <v>0.258426966</v>
      </c>
      <c r="K813" s="41">
        <v>0.269662921</v>
      </c>
      <c r="L813" s="41">
        <f t="shared" si="2"/>
        <v>0.202247191</v>
      </c>
      <c r="M813" s="74">
        <v>-0.718153257</v>
      </c>
    </row>
    <row r="814">
      <c r="A814" s="1" t="s">
        <v>105</v>
      </c>
      <c r="B814" s="38">
        <v>624133.0</v>
      </c>
      <c r="C814" s="72">
        <v>45927.0</v>
      </c>
      <c r="D814" s="38">
        <v>79.0</v>
      </c>
      <c r="E814" s="73" t="str">
        <f>IFERROR(__xludf.DUMMYFUNCTION("average(filter('Appearance Sheet'!F:F,'Appearance Sheet'!G:G=B814,'Appearance Sheet'!A:A=C814))"),"#N/A")</f>
        <v>#N/A</v>
      </c>
      <c r="F814" s="67">
        <v>5.316328974</v>
      </c>
      <c r="G814" s="40">
        <v>1.326688891</v>
      </c>
      <c r="H814" s="40" t="str">
        <f t="shared" si="1"/>
        <v>#N/A</v>
      </c>
      <c r="I814" s="41">
        <v>0.481012658</v>
      </c>
      <c r="J814" s="41">
        <v>0.291139241</v>
      </c>
      <c r="K814" s="41">
        <v>0.227848101</v>
      </c>
      <c r="L814" s="41">
        <f t="shared" si="2"/>
        <v>0.253164557</v>
      </c>
      <c r="M814" s="74">
        <v>-0.498270764</v>
      </c>
    </row>
    <row r="815">
      <c r="A815" s="1" t="s">
        <v>111</v>
      </c>
      <c r="B815" s="38">
        <v>656641.0</v>
      </c>
      <c r="C815" s="72">
        <v>45832.0</v>
      </c>
      <c r="D815" s="38">
        <v>85.0</v>
      </c>
      <c r="E815" s="73">
        <f>IFERROR(__xludf.DUMMYFUNCTION("average(filter('Appearance Sheet'!F:F,'Appearance Sheet'!G:G=B815,'Appearance Sheet'!A:A=C815))"),6.0)</f>
        <v>6</v>
      </c>
      <c r="F815" s="67">
        <v>5.315950562</v>
      </c>
      <c r="G815" s="40">
        <v>1.406024003</v>
      </c>
      <c r="H815" s="40">
        <f t="shared" si="1"/>
        <v>2.109036005</v>
      </c>
      <c r="I815" s="41">
        <v>0.611764706</v>
      </c>
      <c r="J815" s="41">
        <v>0.094117647</v>
      </c>
      <c r="K815" s="41">
        <v>0.294117647</v>
      </c>
      <c r="L815" s="41">
        <f t="shared" si="2"/>
        <v>0.317647059</v>
      </c>
      <c r="M815" s="74">
        <v>3.778843161</v>
      </c>
    </row>
    <row r="816">
      <c r="A816" s="1" t="s">
        <v>105</v>
      </c>
      <c r="B816" s="38">
        <v>624133.0</v>
      </c>
      <c r="C816" s="72">
        <v>45843.0</v>
      </c>
      <c r="D816" s="38">
        <v>79.0</v>
      </c>
      <c r="E816" s="73" t="str">
        <f>IFERROR(__xludf.DUMMYFUNCTION("average(filter('Appearance Sheet'!F:F,'Appearance Sheet'!G:G=B816,'Appearance Sheet'!A:A=C816))"),"#N/A")</f>
        <v>#N/A</v>
      </c>
      <c r="F816" s="67">
        <v>5.315874654</v>
      </c>
      <c r="G816" s="40">
        <v>1.313409246</v>
      </c>
      <c r="H816" s="40" t="str">
        <f t="shared" si="1"/>
        <v>#N/A</v>
      </c>
      <c r="I816" s="41">
        <v>0.443037975</v>
      </c>
      <c r="J816" s="41">
        <v>0.253164557</v>
      </c>
      <c r="K816" s="41">
        <v>0.303797468</v>
      </c>
      <c r="L816" s="41">
        <f t="shared" si="2"/>
        <v>0.139240507</v>
      </c>
      <c r="M816" s="74">
        <v>-0.752584776</v>
      </c>
    </row>
    <row r="817">
      <c r="A817" s="1" t="s">
        <v>125</v>
      </c>
      <c r="B817" s="38">
        <v>663554.0</v>
      </c>
      <c r="C817" s="72">
        <v>45773.0</v>
      </c>
      <c r="D817" s="38">
        <v>84.0</v>
      </c>
      <c r="E817" s="73">
        <f>IFERROR(__xludf.DUMMYFUNCTION("average(filter('Appearance Sheet'!F:F,'Appearance Sheet'!G:G=B817,'Appearance Sheet'!A:A=C817))"),5.333333333333333)</f>
        <v>5.333333333</v>
      </c>
      <c r="F817" s="67">
        <v>5.315740934</v>
      </c>
      <c r="G817" s="40">
        <v>1.424286702</v>
      </c>
      <c r="H817" s="40">
        <f t="shared" si="1"/>
        <v>2.40348381</v>
      </c>
      <c r="I817" s="41">
        <v>0.511904762</v>
      </c>
      <c r="J817" s="41">
        <v>0.19047619</v>
      </c>
      <c r="K817" s="41">
        <v>0.297619048</v>
      </c>
      <c r="L817" s="41">
        <f t="shared" si="2"/>
        <v>0.214285714</v>
      </c>
      <c r="M817" s="74">
        <v>-2.49901099</v>
      </c>
    </row>
    <row r="818">
      <c r="A818" s="1" t="s">
        <v>251</v>
      </c>
      <c r="B818" s="38">
        <v>676664.0</v>
      </c>
      <c r="C818" s="72">
        <v>45781.0</v>
      </c>
      <c r="D818" s="38">
        <v>80.0</v>
      </c>
      <c r="E818" s="73">
        <f>IFERROR(__xludf.DUMMYFUNCTION("average(filter('Appearance Sheet'!F:F,'Appearance Sheet'!G:G=B818,'Appearance Sheet'!A:A=C818))"),6.333333333333333)</f>
        <v>6.333333333</v>
      </c>
      <c r="F818" s="67">
        <v>5.315511208</v>
      </c>
      <c r="G818" s="40">
        <v>1.322356522</v>
      </c>
      <c r="H818" s="40">
        <f t="shared" si="1"/>
        <v>1.879138215</v>
      </c>
      <c r="I818" s="41">
        <v>0.5375</v>
      </c>
      <c r="J818" s="41">
        <v>0.175</v>
      </c>
      <c r="K818" s="41">
        <v>0.2875</v>
      </c>
      <c r="L818" s="41">
        <f t="shared" si="2"/>
        <v>0.25</v>
      </c>
      <c r="M818" s="74">
        <v>0.255934343</v>
      </c>
    </row>
    <row r="819">
      <c r="A819" s="1" t="s">
        <v>347</v>
      </c>
      <c r="B819" s="38">
        <v>700249.0</v>
      </c>
      <c r="C819" s="72">
        <v>45818.0</v>
      </c>
      <c r="D819" s="38">
        <v>98.0</v>
      </c>
      <c r="E819" s="73">
        <f>IFERROR(__xludf.DUMMYFUNCTION("average(filter('Appearance Sheet'!F:F,'Appearance Sheet'!G:G=B819,'Appearance Sheet'!A:A=C819))"),4.666666666666667)</f>
        <v>4.666666667</v>
      </c>
      <c r="F819" s="67">
        <v>5.315456122</v>
      </c>
      <c r="G819" s="40">
        <v>1.649571395</v>
      </c>
      <c r="H819" s="40">
        <f t="shared" si="1"/>
        <v>3.181316262</v>
      </c>
      <c r="I819" s="41">
        <v>0.56122449</v>
      </c>
      <c r="J819" s="41">
        <v>0.132653061</v>
      </c>
      <c r="K819" s="41">
        <v>0.306122449</v>
      </c>
      <c r="L819" s="41">
        <f t="shared" si="2"/>
        <v>0.255102041</v>
      </c>
      <c r="M819" s="74">
        <v>-3.416437914</v>
      </c>
    </row>
    <row r="820">
      <c r="A820" s="1" t="s">
        <v>156</v>
      </c>
      <c r="B820" s="38">
        <v>519242.0</v>
      </c>
      <c r="C820" s="72">
        <v>45793.0</v>
      </c>
      <c r="D820" s="38">
        <v>92.0</v>
      </c>
      <c r="E820" s="73">
        <f>IFERROR(__xludf.DUMMYFUNCTION("average(filter('Appearance Sheet'!F:F,'Appearance Sheet'!G:G=B820,'Appearance Sheet'!A:A=C820))"),7.0)</f>
        <v>7</v>
      </c>
      <c r="F820" s="67">
        <v>5.315285506</v>
      </c>
      <c r="G820" s="40">
        <v>1.548741157</v>
      </c>
      <c r="H820" s="40">
        <f t="shared" si="1"/>
        <v>1.99123863</v>
      </c>
      <c r="I820" s="41">
        <v>0.52173913</v>
      </c>
      <c r="J820" s="41">
        <v>0.206521739</v>
      </c>
      <c r="K820" s="41">
        <v>0.27173913</v>
      </c>
      <c r="L820" s="41">
        <f t="shared" si="2"/>
        <v>0.25</v>
      </c>
      <c r="M820" s="74">
        <v>-0.098409369</v>
      </c>
    </row>
    <row r="821">
      <c r="A821" s="1" t="s">
        <v>347</v>
      </c>
      <c r="B821" s="38">
        <v>700249.0</v>
      </c>
      <c r="C821" s="72">
        <v>45760.0</v>
      </c>
      <c r="D821" s="38">
        <v>73.0</v>
      </c>
      <c r="E821" s="73">
        <f>IFERROR(__xludf.DUMMYFUNCTION("average(filter('Appearance Sheet'!F:F,'Appearance Sheet'!G:G=B821,'Appearance Sheet'!A:A=C821))"),4.666666666666667)</f>
        <v>4.666666667</v>
      </c>
      <c r="F821" s="67">
        <v>5.315228149</v>
      </c>
      <c r="G821" s="40">
        <v>1.217639551</v>
      </c>
      <c r="H821" s="40">
        <f t="shared" si="1"/>
        <v>2.348304848</v>
      </c>
      <c r="I821" s="41">
        <v>0.589041096</v>
      </c>
      <c r="J821" s="41">
        <v>0.109589041</v>
      </c>
      <c r="K821" s="41">
        <v>0.301369863</v>
      </c>
      <c r="L821" s="41">
        <f t="shared" si="2"/>
        <v>0.287671233</v>
      </c>
      <c r="M821" s="74">
        <v>-2.935078211</v>
      </c>
    </row>
    <row r="822">
      <c r="A822" s="1" t="s">
        <v>413</v>
      </c>
      <c r="B822" s="38">
        <v>671737.0</v>
      </c>
      <c r="C822" s="72">
        <v>45899.0</v>
      </c>
      <c r="D822" s="38">
        <v>77.0</v>
      </c>
      <c r="E822" s="73" t="str">
        <f>IFERROR(__xludf.DUMMYFUNCTION("average(filter('Appearance Sheet'!F:F,'Appearance Sheet'!G:G=B822,'Appearance Sheet'!A:A=C822))"),"#N/A")</f>
        <v>#N/A</v>
      </c>
      <c r="F822" s="67">
        <v>5.315057797</v>
      </c>
      <c r="G822" s="40">
        <v>1.296006702</v>
      </c>
      <c r="H822" s="40" t="str">
        <f t="shared" si="1"/>
        <v>#N/A</v>
      </c>
      <c r="I822" s="41">
        <v>0.506493506</v>
      </c>
      <c r="J822" s="41">
        <v>0.181818182</v>
      </c>
      <c r="K822" s="41">
        <v>0.311688312</v>
      </c>
      <c r="L822" s="41">
        <f t="shared" si="2"/>
        <v>0.194805194</v>
      </c>
      <c r="M822" s="74">
        <v>2.737421564</v>
      </c>
    </row>
    <row r="823">
      <c r="A823" s="1" t="s">
        <v>209</v>
      </c>
      <c r="B823" s="38">
        <v>694738.0</v>
      </c>
      <c r="C823" s="72">
        <v>45761.0</v>
      </c>
      <c r="D823" s="38">
        <v>100.0</v>
      </c>
      <c r="E823" s="73">
        <f>IFERROR(__xludf.DUMMYFUNCTION("average(filter('Appearance Sheet'!F:F,'Appearance Sheet'!G:G=B823,'Appearance Sheet'!A:A=C823))"),5.0)</f>
        <v>5</v>
      </c>
      <c r="F823" s="67">
        <v>5.314929244</v>
      </c>
      <c r="G823" s="40">
        <v>1.635340271</v>
      </c>
      <c r="H823" s="40">
        <f t="shared" si="1"/>
        <v>2.943612488</v>
      </c>
      <c r="I823" s="41">
        <v>0.54</v>
      </c>
      <c r="J823" s="41">
        <v>0.18</v>
      </c>
      <c r="K823" s="41">
        <v>0.28</v>
      </c>
      <c r="L823" s="41">
        <f t="shared" si="2"/>
        <v>0.26</v>
      </c>
      <c r="M823" s="74">
        <v>-1.437646583</v>
      </c>
    </row>
    <row r="824">
      <c r="A824" s="1" t="s">
        <v>191</v>
      </c>
      <c r="B824" s="38">
        <v>687064.0</v>
      </c>
      <c r="C824" s="72">
        <v>45846.0</v>
      </c>
      <c r="D824" s="38">
        <v>61.0</v>
      </c>
      <c r="E824" s="73" t="str">
        <f>IFERROR(__xludf.DUMMYFUNCTION("average(filter('Appearance Sheet'!F:F,'Appearance Sheet'!G:G=B824,'Appearance Sheet'!A:A=C824))"),"#N/A")</f>
        <v>#N/A</v>
      </c>
      <c r="F824" s="67">
        <v>5.314902047</v>
      </c>
      <c r="G824" s="40">
        <v>1.05944689</v>
      </c>
      <c r="H824" s="40" t="str">
        <f t="shared" si="1"/>
        <v>#N/A</v>
      </c>
      <c r="I824" s="41">
        <v>0.573770492</v>
      </c>
      <c r="J824" s="41">
        <v>0.163934426</v>
      </c>
      <c r="K824" s="41">
        <v>0.262295082</v>
      </c>
      <c r="L824" s="41">
        <f t="shared" si="2"/>
        <v>0.31147541</v>
      </c>
      <c r="M824" s="74">
        <v>0.186071875</v>
      </c>
    </row>
    <row r="825">
      <c r="A825" s="1" t="s">
        <v>281</v>
      </c>
      <c r="B825" s="38">
        <v>622663.0</v>
      </c>
      <c r="C825" s="72">
        <v>45867.0</v>
      </c>
      <c r="D825" s="38">
        <v>93.0</v>
      </c>
      <c r="E825" s="73" t="str">
        <f>IFERROR(__xludf.DUMMYFUNCTION("average(filter('Appearance Sheet'!F:F,'Appearance Sheet'!G:G=B825,'Appearance Sheet'!A:A=C825))"),"#N/A")</f>
        <v>#N/A</v>
      </c>
      <c r="F825" s="67">
        <v>5.314816092</v>
      </c>
      <c r="G825" s="40">
        <v>1.553373334</v>
      </c>
      <c r="H825" s="40" t="str">
        <f t="shared" si="1"/>
        <v>#N/A</v>
      </c>
      <c r="I825" s="41">
        <v>0.580645161</v>
      </c>
      <c r="J825" s="41">
        <v>0.150537634</v>
      </c>
      <c r="K825" s="41">
        <v>0.268817204</v>
      </c>
      <c r="L825" s="41">
        <f t="shared" si="2"/>
        <v>0.311827957</v>
      </c>
      <c r="M825" s="74">
        <v>-0.089571087</v>
      </c>
    </row>
    <row r="826">
      <c r="A826" s="1" t="s">
        <v>321</v>
      </c>
      <c r="B826" s="38">
        <v>607200.0</v>
      </c>
      <c r="C826" s="72">
        <v>45850.0</v>
      </c>
      <c r="D826" s="38">
        <v>61.0</v>
      </c>
      <c r="E826" s="73" t="str">
        <f>IFERROR(__xludf.DUMMYFUNCTION("average(filter('Appearance Sheet'!F:F,'Appearance Sheet'!G:G=B826,'Appearance Sheet'!A:A=C826))"),"#N/A")</f>
        <v>#N/A</v>
      </c>
      <c r="F826" s="67">
        <v>5.314695667</v>
      </c>
      <c r="G826" s="40">
        <v>1.018436823</v>
      </c>
      <c r="H826" s="40" t="str">
        <f t="shared" si="1"/>
        <v>#N/A</v>
      </c>
      <c r="I826" s="41">
        <v>0.540983607</v>
      </c>
      <c r="J826" s="41">
        <v>0.147540984</v>
      </c>
      <c r="K826" s="41">
        <v>0.31147541</v>
      </c>
      <c r="L826" s="41">
        <f t="shared" si="2"/>
        <v>0.229508197</v>
      </c>
      <c r="M826" s="74">
        <v>-2.302299318</v>
      </c>
    </row>
    <row r="827">
      <c r="A827" s="1" t="s">
        <v>285</v>
      </c>
      <c r="B827" s="38">
        <v>607074.0</v>
      </c>
      <c r="C827" s="72">
        <v>45799.0</v>
      </c>
      <c r="D827" s="38">
        <v>100.0</v>
      </c>
      <c r="E827" s="73">
        <f>IFERROR(__xludf.DUMMYFUNCTION("average(filter('Appearance Sheet'!F:F,'Appearance Sheet'!G:G=B827,'Appearance Sheet'!A:A=C827))"),6.0)</f>
        <v>6</v>
      </c>
      <c r="F827" s="67">
        <v>5.314135022</v>
      </c>
      <c r="G827" s="40">
        <v>1.635951792</v>
      </c>
      <c r="H827" s="40">
        <f t="shared" si="1"/>
        <v>2.453927688</v>
      </c>
      <c r="I827" s="41">
        <v>0.58</v>
      </c>
      <c r="J827" s="41">
        <v>0.13</v>
      </c>
      <c r="K827" s="41">
        <v>0.29</v>
      </c>
      <c r="L827" s="41">
        <f t="shared" si="2"/>
        <v>0.29</v>
      </c>
      <c r="M827" s="74">
        <v>3.781669845</v>
      </c>
    </row>
    <row r="828">
      <c r="A828" s="1" t="s">
        <v>344</v>
      </c>
      <c r="B828" s="38">
        <v>701542.0</v>
      </c>
      <c r="C828" s="72">
        <v>45825.0</v>
      </c>
      <c r="D828" s="38">
        <v>93.0</v>
      </c>
      <c r="E828" s="73">
        <f>IFERROR(__xludf.DUMMYFUNCTION("average(filter('Appearance Sheet'!F:F,'Appearance Sheet'!G:G=B828,'Appearance Sheet'!A:A=C828))"),6.0)</f>
        <v>6</v>
      </c>
      <c r="F828" s="67">
        <v>5.313740897</v>
      </c>
      <c r="G828" s="40">
        <v>1.52905408</v>
      </c>
      <c r="H828" s="40">
        <f t="shared" si="1"/>
        <v>2.29358112</v>
      </c>
      <c r="I828" s="41">
        <v>0.505376344</v>
      </c>
      <c r="J828" s="41">
        <v>0.193548387</v>
      </c>
      <c r="K828" s="41">
        <v>0.301075269</v>
      </c>
      <c r="L828" s="41">
        <f t="shared" si="2"/>
        <v>0.204301075</v>
      </c>
      <c r="M828" s="74">
        <v>-1.128952779</v>
      </c>
    </row>
    <row r="829">
      <c r="A829" s="1" t="s">
        <v>115</v>
      </c>
      <c r="B829" s="38">
        <v>543135.0</v>
      </c>
      <c r="C829" s="72">
        <v>45783.0</v>
      </c>
      <c r="D829" s="38">
        <v>87.0</v>
      </c>
      <c r="E829" s="73">
        <f>IFERROR(__xludf.DUMMYFUNCTION("average(filter('Appearance Sheet'!F:F,'Appearance Sheet'!G:G=B829,'Appearance Sheet'!A:A=C829))"),6.0)</f>
        <v>6</v>
      </c>
      <c r="F829" s="67">
        <v>5.313301085</v>
      </c>
      <c r="G829" s="40">
        <v>1.413158367</v>
      </c>
      <c r="H829" s="40">
        <f t="shared" si="1"/>
        <v>2.119737551</v>
      </c>
      <c r="I829" s="41">
        <v>0.563218391</v>
      </c>
      <c r="J829" s="41">
        <v>0.183908046</v>
      </c>
      <c r="K829" s="41">
        <v>0.252873563</v>
      </c>
      <c r="L829" s="41">
        <f t="shared" si="2"/>
        <v>0.310344828</v>
      </c>
      <c r="M829" s="74">
        <v>0.26156076</v>
      </c>
    </row>
    <row r="830">
      <c r="A830" s="1" t="s">
        <v>84</v>
      </c>
      <c r="B830" s="38">
        <v>669373.0</v>
      </c>
      <c r="C830" s="72">
        <v>45797.0</v>
      </c>
      <c r="D830" s="38">
        <v>90.0</v>
      </c>
      <c r="E830" s="73">
        <f>IFERROR(__xludf.DUMMYFUNCTION("average(filter('Appearance Sheet'!F:F,'Appearance Sheet'!G:G=B830,'Appearance Sheet'!A:A=C830))"),5.666666666666667)</f>
        <v>5.666666667</v>
      </c>
      <c r="F830" s="67">
        <v>5.313160205</v>
      </c>
      <c r="G830" s="40">
        <v>1.504057113</v>
      </c>
      <c r="H830" s="40">
        <f t="shared" si="1"/>
        <v>2.388796591</v>
      </c>
      <c r="I830" s="41">
        <v>0.477777778</v>
      </c>
      <c r="J830" s="41">
        <v>0.255555556</v>
      </c>
      <c r="K830" s="41">
        <v>0.266666667</v>
      </c>
      <c r="L830" s="41">
        <f t="shared" si="2"/>
        <v>0.211111111</v>
      </c>
      <c r="M830" s="74">
        <v>0.757825043</v>
      </c>
    </row>
    <row r="831">
      <c r="A831" s="1" t="s">
        <v>109</v>
      </c>
      <c r="B831" s="38">
        <v>601713.0</v>
      </c>
      <c r="C831" s="72">
        <v>45746.0</v>
      </c>
      <c r="D831" s="38">
        <v>79.0</v>
      </c>
      <c r="E831" s="73">
        <f>IFERROR(__xludf.DUMMYFUNCTION("average(filter('Appearance Sheet'!F:F,'Appearance Sheet'!G:G=B831,'Appearance Sheet'!A:A=C831))"),7.0)</f>
        <v>7</v>
      </c>
      <c r="F831" s="67">
        <v>5.312765396</v>
      </c>
      <c r="G831" s="40">
        <v>1.317835882</v>
      </c>
      <c r="H831" s="40">
        <f t="shared" si="1"/>
        <v>1.69436042</v>
      </c>
      <c r="I831" s="41">
        <v>0.493670886</v>
      </c>
      <c r="J831" s="41">
        <v>0.17721519</v>
      </c>
      <c r="K831" s="41">
        <v>0.329113924</v>
      </c>
      <c r="L831" s="41">
        <f t="shared" si="2"/>
        <v>0.164556962</v>
      </c>
      <c r="M831" s="74">
        <v>3.579998646</v>
      </c>
    </row>
    <row r="832">
      <c r="A832" s="1" t="s">
        <v>113</v>
      </c>
      <c r="B832" s="38">
        <v>664285.0</v>
      </c>
      <c r="C832" s="72">
        <v>45790.0</v>
      </c>
      <c r="D832" s="38">
        <v>86.0</v>
      </c>
      <c r="E832" s="73">
        <f>IFERROR(__xludf.DUMMYFUNCTION("average(filter('Appearance Sheet'!F:F,'Appearance Sheet'!G:G=B832,'Appearance Sheet'!A:A=C832))"),8.0)</f>
        <v>8</v>
      </c>
      <c r="F832" s="67">
        <v>5.312683725</v>
      </c>
      <c r="G832" s="40">
        <v>1.469745521</v>
      </c>
      <c r="H832" s="40">
        <f t="shared" si="1"/>
        <v>1.653463711</v>
      </c>
      <c r="I832" s="41">
        <v>0.581395349</v>
      </c>
      <c r="J832" s="41">
        <v>0.139534884</v>
      </c>
      <c r="K832" s="41">
        <v>0.279069767</v>
      </c>
      <c r="L832" s="41">
        <f t="shared" si="2"/>
        <v>0.302325582</v>
      </c>
      <c r="M832" s="74">
        <v>-0.715961903</v>
      </c>
    </row>
    <row r="833">
      <c r="A833" s="1" t="s">
        <v>150</v>
      </c>
      <c r="B833" s="38">
        <v>657746.0</v>
      </c>
      <c r="C833" s="72">
        <v>45844.0</v>
      </c>
      <c r="D833" s="38">
        <v>97.0</v>
      </c>
      <c r="E833" s="73" t="str">
        <f>IFERROR(__xludf.DUMMYFUNCTION("average(filter('Appearance Sheet'!F:F,'Appearance Sheet'!G:G=B833,'Appearance Sheet'!A:A=C833))"),"#N/A")</f>
        <v>#N/A</v>
      </c>
      <c r="F833" s="67">
        <v>5.31266325</v>
      </c>
      <c r="G833" s="40">
        <v>1.600468627</v>
      </c>
      <c r="H833" s="40" t="str">
        <f t="shared" si="1"/>
        <v>#N/A</v>
      </c>
      <c r="I833" s="41">
        <v>0.494845361</v>
      </c>
      <c r="J833" s="41">
        <v>0.195876289</v>
      </c>
      <c r="K833" s="41">
        <v>0.309278351</v>
      </c>
      <c r="L833" s="41">
        <f t="shared" si="2"/>
        <v>0.18556701</v>
      </c>
      <c r="M833" s="74">
        <v>-0.884875833</v>
      </c>
    </row>
    <row r="834">
      <c r="A834" s="1" t="s">
        <v>316</v>
      </c>
      <c r="B834" s="38">
        <v>656427.0</v>
      </c>
      <c r="C834" s="72">
        <v>45804.0</v>
      </c>
      <c r="D834" s="38">
        <v>95.0</v>
      </c>
      <c r="E834" s="73">
        <f>IFERROR(__xludf.DUMMYFUNCTION("average(filter('Appearance Sheet'!F:F,'Appearance Sheet'!G:G=B834,'Appearance Sheet'!A:A=C834))"),6.0)</f>
        <v>6</v>
      </c>
      <c r="F834" s="67">
        <v>5.312580682</v>
      </c>
      <c r="G834" s="40">
        <v>1.560653247</v>
      </c>
      <c r="H834" s="40">
        <f t="shared" si="1"/>
        <v>2.340979871</v>
      </c>
      <c r="I834" s="41">
        <v>0.526315789</v>
      </c>
      <c r="J834" s="41">
        <v>0.115789474</v>
      </c>
      <c r="K834" s="41">
        <v>0.357894737</v>
      </c>
      <c r="L834" s="41">
        <f t="shared" si="2"/>
        <v>0.168421052</v>
      </c>
      <c r="M834" s="74">
        <v>2.417014503</v>
      </c>
    </row>
    <row r="835">
      <c r="A835" s="1" t="s">
        <v>267</v>
      </c>
      <c r="B835" s="38">
        <v>669387.0</v>
      </c>
      <c r="C835" s="72">
        <v>45777.0</v>
      </c>
      <c r="D835" s="38">
        <v>62.0</v>
      </c>
      <c r="E835" s="73">
        <f>IFERROR(__xludf.DUMMYFUNCTION("average(filter('Appearance Sheet'!F:F,'Appearance Sheet'!G:G=B835,'Appearance Sheet'!A:A=C835))"),4.0)</f>
        <v>4</v>
      </c>
      <c r="F835" s="67">
        <v>5.312387061</v>
      </c>
      <c r="G835" s="40">
        <v>1.039451001</v>
      </c>
      <c r="H835" s="40">
        <f t="shared" si="1"/>
        <v>2.338764752</v>
      </c>
      <c r="I835" s="41">
        <v>0.532258065</v>
      </c>
      <c r="J835" s="41">
        <v>0.177419355</v>
      </c>
      <c r="K835" s="41">
        <v>0.290322581</v>
      </c>
      <c r="L835" s="41">
        <f t="shared" si="2"/>
        <v>0.241935484</v>
      </c>
      <c r="M835" s="74">
        <v>-1.889050885</v>
      </c>
    </row>
    <row r="836">
      <c r="A836" s="1" t="s">
        <v>79</v>
      </c>
      <c r="B836" s="38">
        <v>554430.0</v>
      </c>
      <c r="C836" s="72">
        <v>45871.0</v>
      </c>
      <c r="D836" s="38">
        <v>94.0</v>
      </c>
      <c r="E836" s="73" t="str">
        <f>IFERROR(__xludf.DUMMYFUNCTION("average(filter('Appearance Sheet'!F:F,'Appearance Sheet'!G:G=B836,'Appearance Sheet'!A:A=C836))"),"#N/A")</f>
        <v>#N/A</v>
      </c>
      <c r="F836" s="67">
        <v>5.312246685</v>
      </c>
      <c r="G836" s="40">
        <v>1.590392696</v>
      </c>
      <c r="H836" s="40" t="str">
        <f t="shared" si="1"/>
        <v>#N/A</v>
      </c>
      <c r="I836" s="41">
        <v>0.553191489</v>
      </c>
      <c r="J836" s="41">
        <v>0.085106383</v>
      </c>
      <c r="K836" s="41">
        <v>0.361702128</v>
      </c>
      <c r="L836" s="41">
        <f t="shared" si="2"/>
        <v>0.191489361</v>
      </c>
      <c r="M836" s="74">
        <v>-4.312038208</v>
      </c>
    </row>
    <row r="837">
      <c r="A837" s="1" t="s">
        <v>302</v>
      </c>
      <c r="B837" s="38">
        <v>681190.0</v>
      </c>
      <c r="C837" s="72">
        <v>45780.0</v>
      </c>
      <c r="D837" s="38">
        <v>86.0</v>
      </c>
      <c r="E837" s="73">
        <f>IFERROR(__xludf.DUMMYFUNCTION("average(filter('Appearance Sheet'!F:F,'Appearance Sheet'!G:G=B837,'Appearance Sheet'!A:A=C837))"),5.0)</f>
        <v>5</v>
      </c>
      <c r="F837" s="67">
        <v>5.312115614</v>
      </c>
      <c r="G837" s="40">
        <v>1.494457077</v>
      </c>
      <c r="H837" s="40">
        <f t="shared" si="1"/>
        <v>2.690022739</v>
      </c>
      <c r="I837" s="41">
        <v>0.604651163</v>
      </c>
      <c r="J837" s="41">
        <v>0.139534884</v>
      </c>
      <c r="K837" s="41">
        <v>0.255813953</v>
      </c>
      <c r="L837" s="41">
        <f t="shared" si="2"/>
        <v>0.34883721</v>
      </c>
      <c r="M837" s="74">
        <v>-0.501725004</v>
      </c>
    </row>
    <row r="838">
      <c r="A838" s="1" t="s">
        <v>44</v>
      </c>
      <c r="B838" s="38">
        <v>650911.0</v>
      </c>
      <c r="C838" s="72">
        <v>45764.0</v>
      </c>
      <c r="D838" s="38">
        <v>97.0</v>
      </c>
      <c r="E838" s="73">
        <f>IFERROR(__xludf.DUMMYFUNCTION("average(filter('Appearance Sheet'!F:F,'Appearance Sheet'!G:G=B838,'Appearance Sheet'!A:A=C838))"),7.0)</f>
        <v>7</v>
      </c>
      <c r="F838" s="67">
        <v>5.311698982</v>
      </c>
      <c r="G838" s="40">
        <v>1.62165845</v>
      </c>
      <c r="H838" s="40">
        <f t="shared" si="1"/>
        <v>2.084989436</v>
      </c>
      <c r="I838" s="41">
        <v>0.474226804</v>
      </c>
      <c r="J838" s="41">
        <v>0.278350515</v>
      </c>
      <c r="K838" s="41">
        <v>0.24742268</v>
      </c>
      <c r="L838" s="41">
        <f t="shared" si="2"/>
        <v>0.226804124</v>
      </c>
      <c r="M838" s="74">
        <v>2.202624395</v>
      </c>
    </row>
    <row r="839">
      <c r="A839" s="1" t="s">
        <v>384</v>
      </c>
      <c r="B839" s="38">
        <v>666214.0</v>
      </c>
      <c r="C839" s="72">
        <v>45902.0</v>
      </c>
      <c r="D839" s="38">
        <v>94.0</v>
      </c>
      <c r="E839" s="73" t="str">
        <f>IFERROR(__xludf.DUMMYFUNCTION("average(filter('Appearance Sheet'!F:F,'Appearance Sheet'!G:G=B839,'Appearance Sheet'!A:A=C839))"),"#N/A")</f>
        <v>#N/A</v>
      </c>
      <c r="F839" s="67">
        <v>5.311528912</v>
      </c>
      <c r="G839" s="40">
        <v>1.541156371</v>
      </c>
      <c r="H839" s="40" t="str">
        <f t="shared" si="1"/>
        <v>#N/A</v>
      </c>
      <c r="I839" s="41">
        <v>0.457446809</v>
      </c>
      <c r="J839" s="41">
        <v>0.287234043</v>
      </c>
      <c r="K839" s="41">
        <v>0.255319149</v>
      </c>
      <c r="L839" s="41">
        <f t="shared" si="2"/>
        <v>0.20212766</v>
      </c>
      <c r="M839" s="74">
        <v>-1.538629736</v>
      </c>
    </row>
    <row r="840">
      <c r="A840" s="1" t="s">
        <v>450</v>
      </c>
      <c r="B840" s="38">
        <v>682990.0</v>
      </c>
      <c r="C840" s="72">
        <v>45899.0</v>
      </c>
      <c r="D840" s="38">
        <v>77.0</v>
      </c>
      <c r="E840" s="73" t="str">
        <f>IFERROR(__xludf.DUMMYFUNCTION("average(filter('Appearance Sheet'!F:F,'Appearance Sheet'!G:G=B840,'Appearance Sheet'!A:A=C840))"),"#N/A")</f>
        <v>#N/A</v>
      </c>
      <c r="F840" s="67">
        <v>5.311434366</v>
      </c>
      <c r="G840" s="40">
        <v>1.2875759</v>
      </c>
      <c r="H840" s="40" t="str">
        <f t="shared" si="1"/>
        <v>#N/A</v>
      </c>
      <c r="I840" s="41">
        <v>0.493506494</v>
      </c>
      <c r="J840" s="41">
        <v>0.194805195</v>
      </c>
      <c r="K840" s="41">
        <v>0.311688312</v>
      </c>
      <c r="L840" s="41">
        <f t="shared" si="2"/>
        <v>0.181818182</v>
      </c>
      <c r="M840" s="74">
        <v>-0.244614431</v>
      </c>
    </row>
    <row r="841">
      <c r="A841" s="1" t="s">
        <v>226</v>
      </c>
      <c r="B841" s="38">
        <v>607259.0</v>
      </c>
      <c r="C841" s="72">
        <v>45884.0</v>
      </c>
      <c r="D841" s="38">
        <v>63.0</v>
      </c>
      <c r="E841" s="73" t="str">
        <f>IFERROR(__xludf.DUMMYFUNCTION("average(filter('Appearance Sheet'!F:F,'Appearance Sheet'!G:G=B841,'Appearance Sheet'!A:A=C841))"),"#N/A")</f>
        <v>#N/A</v>
      </c>
      <c r="F841" s="67">
        <v>5.311354287</v>
      </c>
      <c r="G841" s="40">
        <v>1.060048826</v>
      </c>
      <c r="H841" s="40" t="str">
        <f t="shared" si="1"/>
        <v>#N/A</v>
      </c>
      <c r="I841" s="41">
        <v>0.46031746</v>
      </c>
      <c r="J841" s="41">
        <v>0.26984127</v>
      </c>
      <c r="K841" s="41">
        <v>0.26984127</v>
      </c>
      <c r="L841" s="41">
        <f t="shared" si="2"/>
        <v>0.19047619</v>
      </c>
      <c r="M841" s="74">
        <v>-4.094565601</v>
      </c>
    </row>
    <row r="842">
      <c r="A842" s="1" t="s">
        <v>563</v>
      </c>
      <c r="B842" s="38">
        <v>681867.0</v>
      </c>
      <c r="C842" s="72">
        <v>45870.0</v>
      </c>
      <c r="D842" s="38">
        <v>79.0</v>
      </c>
      <c r="E842" s="73" t="str">
        <f>IFERROR(__xludf.DUMMYFUNCTION("average(filter('Appearance Sheet'!F:F,'Appearance Sheet'!G:G=B842,'Appearance Sheet'!A:A=C842))"),"#N/A")</f>
        <v>#N/A</v>
      </c>
      <c r="F842" s="67">
        <v>5.311316985</v>
      </c>
      <c r="G842" s="40">
        <v>1.340908113</v>
      </c>
      <c r="H842" s="40" t="str">
        <f t="shared" si="1"/>
        <v>#N/A</v>
      </c>
      <c r="I842" s="41">
        <v>0.556962025</v>
      </c>
      <c r="J842" s="41">
        <v>0.189873418</v>
      </c>
      <c r="K842" s="41">
        <v>0.253164557</v>
      </c>
      <c r="L842" s="41">
        <f t="shared" si="2"/>
        <v>0.303797468</v>
      </c>
      <c r="M842" s="74">
        <v>-2.021629421</v>
      </c>
    </row>
    <row r="843">
      <c r="A843" s="1" t="s">
        <v>77</v>
      </c>
      <c r="B843" s="38">
        <v>657277.0</v>
      </c>
      <c r="C843" s="72">
        <v>45874.0</v>
      </c>
      <c r="D843" s="38">
        <v>109.0</v>
      </c>
      <c r="E843" s="73" t="str">
        <f>IFERROR(__xludf.DUMMYFUNCTION("average(filter('Appearance Sheet'!F:F,'Appearance Sheet'!G:G=B843,'Appearance Sheet'!A:A=C843))"),"#N/A")</f>
        <v>#N/A</v>
      </c>
      <c r="F843" s="67">
        <v>5.311256008</v>
      </c>
      <c r="G843" s="40">
        <v>1.784620822</v>
      </c>
      <c r="H843" s="40" t="str">
        <f t="shared" si="1"/>
        <v>#N/A</v>
      </c>
      <c r="I843" s="41">
        <v>0.541284404</v>
      </c>
      <c r="J843" s="41">
        <v>0.155963303</v>
      </c>
      <c r="K843" s="41">
        <v>0.302752294</v>
      </c>
      <c r="L843" s="41">
        <f t="shared" si="2"/>
        <v>0.23853211</v>
      </c>
      <c r="M843" s="74">
        <v>1.060798686</v>
      </c>
    </row>
    <row r="844">
      <c r="A844" s="1" t="s">
        <v>218</v>
      </c>
      <c r="B844" s="38">
        <v>669432.0</v>
      </c>
      <c r="C844" s="72">
        <v>45906.0</v>
      </c>
      <c r="D844" s="38">
        <v>93.0</v>
      </c>
      <c r="E844" s="73" t="str">
        <f>IFERROR(__xludf.DUMMYFUNCTION("average(filter('Appearance Sheet'!F:F,'Appearance Sheet'!G:G=B844,'Appearance Sheet'!A:A=C844))"),"#N/A")</f>
        <v>#N/A</v>
      </c>
      <c r="F844" s="67">
        <v>5.311103663</v>
      </c>
      <c r="G844" s="40">
        <v>1.527776637</v>
      </c>
      <c r="H844" s="40" t="str">
        <f t="shared" si="1"/>
        <v>#N/A</v>
      </c>
      <c r="I844" s="41">
        <v>0.462365591</v>
      </c>
      <c r="J844" s="41">
        <v>0.225806452</v>
      </c>
      <c r="K844" s="41">
        <v>0.311827957</v>
      </c>
      <c r="L844" s="41">
        <f t="shared" si="2"/>
        <v>0.150537634</v>
      </c>
      <c r="M844" s="74">
        <v>-1.954433458</v>
      </c>
    </row>
    <row r="845">
      <c r="A845" s="1" t="s">
        <v>209</v>
      </c>
      <c r="B845" s="38">
        <v>694738.0</v>
      </c>
      <c r="C845" s="72">
        <v>45805.0</v>
      </c>
      <c r="D845" s="38">
        <v>74.0</v>
      </c>
      <c r="E845" s="73">
        <f>IFERROR(__xludf.DUMMYFUNCTION("average(filter('Appearance Sheet'!F:F,'Appearance Sheet'!G:G=B845,'Appearance Sheet'!A:A=C845))"),4.0)</f>
        <v>4</v>
      </c>
      <c r="F845" s="67">
        <v>5.311094335</v>
      </c>
      <c r="G845" s="40">
        <v>1.242527846</v>
      </c>
      <c r="H845" s="40">
        <f t="shared" si="1"/>
        <v>2.795687654</v>
      </c>
      <c r="I845" s="41">
        <v>0.567567568</v>
      </c>
      <c r="J845" s="41">
        <v>0.121621622</v>
      </c>
      <c r="K845" s="41">
        <v>0.310810811</v>
      </c>
      <c r="L845" s="41">
        <f t="shared" si="2"/>
        <v>0.256756757</v>
      </c>
      <c r="M845" s="74">
        <v>-1.557431221</v>
      </c>
    </row>
    <row r="846">
      <c r="A846" s="1" t="s">
        <v>282</v>
      </c>
      <c r="B846" s="38">
        <v>656302.0</v>
      </c>
      <c r="C846" s="72">
        <v>45779.0</v>
      </c>
      <c r="D846" s="38">
        <v>91.0</v>
      </c>
      <c r="E846" s="73">
        <f>IFERROR(__xludf.DUMMYFUNCTION("average(filter('Appearance Sheet'!F:F,'Appearance Sheet'!G:G=B846,'Appearance Sheet'!A:A=C846))"),4.0)</f>
        <v>4</v>
      </c>
      <c r="F846" s="67">
        <v>5.310973569</v>
      </c>
      <c r="G846" s="40">
        <v>1.495726896</v>
      </c>
      <c r="H846" s="40">
        <f t="shared" si="1"/>
        <v>3.365385516</v>
      </c>
      <c r="I846" s="41">
        <v>0.56043956</v>
      </c>
      <c r="J846" s="41">
        <v>0.098901099</v>
      </c>
      <c r="K846" s="41">
        <v>0.340659341</v>
      </c>
      <c r="L846" s="41">
        <f t="shared" si="2"/>
        <v>0.219780219</v>
      </c>
      <c r="M846" s="74">
        <v>1.035395326</v>
      </c>
    </row>
    <row r="847">
      <c r="A847" s="1" t="s">
        <v>372</v>
      </c>
      <c r="B847" s="38">
        <v>671106.0</v>
      </c>
      <c r="C847" s="72">
        <v>45767.0</v>
      </c>
      <c r="D847" s="38">
        <v>90.0</v>
      </c>
      <c r="E847" s="73">
        <f>IFERROR(__xludf.DUMMYFUNCTION("average(filter('Appearance Sheet'!F:F,'Appearance Sheet'!G:G=B847,'Appearance Sheet'!A:A=C847))"),5.666666666666667)</f>
        <v>5.666666667</v>
      </c>
      <c r="F847" s="67">
        <v>5.310900535</v>
      </c>
      <c r="G847" s="40">
        <v>1.469157077</v>
      </c>
      <c r="H847" s="40">
        <f t="shared" si="1"/>
        <v>2.333367122</v>
      </c>
      <c r="I847" s="41">
        <v>0.5</v>
      </c>
      <c r="J847" s="41">
        <v>0.144444444</v>
      </c>
      <c r="K847" s="41">
        <v>0.355555556</v>
      </c>
      <c r="L847" s="41">
        <f t="shared" si="2"/>
        <v>0.144444444</v>
      </c>
      <c r="M847" s="74">
        <v>0.465390094</v>
      </c>
    </row>
    <row r="848">
      <c r="A848" s="1" t="s">
        <v>205</v>
      </c>
      <c r="B848" s="38">
        <v>666142.0</v>
      </c>
      <c r="C848" s="72">
        <v>45749.0</v>
      </c>
      <c r="D848" s="38">
        <v>94.0</v>
      </c>
      <c r="E848" s="73">
        <f>IFERROR(__xludf.DUMMYFUNCTION("average(filter('Appearance Sheet'!F:F,'Appearance Sheet'!G:G=B848,'Appearance Sheet'!A:A=C848))"),5.0)</f>
        <v>5</v>
      </c>
      <c r="F848" s="67">
        <v>5.310677295</v>
      </c>
      <c r="G848" s="40">
        <v>1.510663769</v>
      </c>
      <c r="H848" s="40">
        <f t="shared" si="1"/>
        <v>2.719194784</v>
      </c>
      <c r="I848" s="41">
        <v>0.553191489</v>
      </c>
      <c r="J848" s="41">
        <v>0.138297872</v>
      </c>
      <c r="K848" s="41">
        <v>0.308510638</v>
      </c>
      <c r="L848" s="41">
        <f t="shared" si="2"/>
        <v>0.244680851</v>
      </c>
      <c r="M848" s="74">
        <v>-0.75165228</v>
      </c>
    </row>
    <row r="849">
      <c r="A849" s="1" t="s">
        <v>88</v>
      </c>
      <c r="B849" s="38">
        <v>694973.0</v>
      </c>
      <c r="C849" s="72">
        <v>45821.0</v>
      </c>
      <c r="D849" s="38">
        <v>90.0</v>
      </c>
      <c r="E849" s="73">
        <f>IFERROR(__xludf.DUMMYFUNCTION("average(filter('Appearance Sheet'!F:F,'Appearance Sheet'!G:G=B849,'Appearance Sheet'!A:A=C849))"),5.0)</f>
        <v>5</v>
      </c>
      <c r="F849" s="67">
        <v>5.310362135</v>
      </c>
      <c r="G849" s="40">
        <v>1.471761289</v>
      </c>
      <c r="H849" s="40">
        <f t="shared" si="1"/>
        <v>2.64917032</v>
      </c>
      <c r="I849" s="41">
        <v>0.522222222</v>
      </c>
      <c r="J849" s="41">
        <v>0.177777778</v>
      </c>
      <c r="K849" s="41">
        <v>0.3</v>
      </c>
      <c r="L849" s="41">
        <f t="shared" si="2"/>
        <v>0.222222222</v>
      </c>
      <c r="M849" s="74">
        <v>1.120142715</v>
      </c>
    </row>
    <row r="850">
      <c r="A850" s="1" t="s">
        <v>99</v>
      </c>
      <c r="B850" s="38">
        <v>592791.0</v>
      </c>
      <c r="C850" s="72">
        <v>45755.0</v>
      </c>
      <c r="D850" s="38">
        <v>80.0</v>
      </c>
      <c r="E850" s="73">
        <f>IFERROR(__xludf.DUMMYFUNCTION("average(filter('Appearance Sheet'!F:F,'Appearance Sheet'!G:G=B850,'Appearance Sheet'!A:A=C850))"),6.0)</f>
        <v>6</v>
      </c>
      <c r="F850" s="67">
        <v>5.310262408</v>
      </c>
      <c r="G850" s="40">
        <v>1.335918444</v>
      </c>
      <c r="H850" s="40">
        <f t="shared" si="1"/>
        <v>2.003877666</v>
      </c>
      <c r="I850" s="41">
        <v>0.525</v>
      </c>
      <c r="J850" s="41">
        <v>0.1625</v>
      </c>
      <c r="K850" s="41">
        <v>0.3125</v>
      </c>
      <c r="L850" s="41">
        <f t="shared" si="2"/>
        <v>0.2125</v>
      </c>
      <c r="M850" s="74">
        <v>-0.403855251</v>
      </c>
    </row>
    <row r="851">
      <c r="A851" s="1" t="s">
        <v>121</v>
      </c>
      <c r="B851" s="38">
        <v>676974.0</v>
      </c>
      <c r="C851" s="72">
        <v>45756.0</v>
      </c>
      <c r="D851" s="38">
        <v>78.0</v>
      </c>
      <c r="E851" s="73">
        <f>IFERROR(__xludf.DUMMYFUNCTION("average(filter('Appearance Sheet'!F:F,'Appearance Sheet'!G:G=B851,'Appearance Sheet'!A:A=C851))"),6.333333333333333)</f>
        <v>6.333333333</v>
      </c>
      <c r="F851" s="67">
        <v>5.309920299</v>
      </c>
      <c r="G851" s="40">
        <v>1.345529748</v>
      </c>
      <c r="H851" s="40">
        <f t="shared" si="1"/>
        <v>1.912068589</v>
      </c>
      <c r="I851" s="41">
        <v>0.5</v>
      </c>
      <c r="J851" s="41">
        <v>0.217948718</v>
      </c>
      <c r="K851" s="41">
        <v>0.282051282</v>
      </c>
      <c r="L851" s="41">
        <f t="shared" si="2"/>
        <v>0.217948718</v>
      </c>
      <c r="M851" s="74">
        <v>2.877236816</v>
      </c>
    </row>
    <row r="852">
      <c r="A852" s="1" t="s">
        <v>330</v>
      </c>
      <c r="B852" s="38">
        <v>680730.0</v>
      </c>
      <c r="C852" s="72">
        <v>45870.0</v>
      </c>
      <c r="D852" s="38">
        <v>82.0</v>
      </c>
      <c r="E852" s="73" t="str">
        <f>IFERROR(__xludf.DUMMYFUNCTION("average(filter('Appearance Sheet'!F:F,'Appearance Sheet'!G:G=B852,'Appearance Sheet'!A:A=C852))"),"#N/A")</f>
        <v>#N/A</v>
      </c>
      <c r="F852" s="67">
        <v>5.309768276</v>
      </c>
      <c r="G852" s="40">
        <v>1.429221718</v>
      </c>
      <c r="H852" s="40" t="str">
        <f t="shared" si="1"/>
        <v>#N/A</v>
      </c>
      <c r="I852" s="41">
        <v>0.573170732</v>
      </c>
      <c r="J852" s="41">
        <v>0.109756098</v>
      </c>
      <c r="K852" s="41">
        <v>0.317073171</v>
      </c>
      <c r="L852" s="41">
        <f t="shared" si="2"/>
        <v>0.256097561</v>
      </c>
      <c r="M852" s="74">
        <v>-7.244409391</v>
      </c>
    </row>
    <row r="853">
      <c r="A853" s="1" t="s">
        <v>224</v>
      </c>
      <c r="B853" s="38">
        <v>686701.0</v>
      </c>
      <c r="C853" s="72">
        <v>45879.0</v>
      </c>
      <c r="D853" s="38">
        <v>86.0</v>
      </c>
      <c r="E853" s="73" t="str">
        <f>IFERROR(__xludf.DUMMYFUNCTION("average(filter('Appearance Sheet'!F:F,'Appearance Sheet'!G:G=B853,'Appearance Sheet'!A:A=C853))"),"#N/A")</f>
        <v>#N/A</v>
      </c>
      <c r="F853" s="67">
        <v>5.309604516</v>
      </c>
      <c r="G853" s="40">
        <v>1.45189527</v>
      </c>
      <c r="H853" s="40" t="str">
        <f t="shared" si="1"/>
        <v>#N/A</v>
      </c>
      <c r="I853" s="41">
        <v>0.523255814</v>
      </c>
      <c r="J853" s="41">
        <v>0.174418605</v>
      </c>
      <c r="K853" s="41">
        <v>0.302325581</v>
      </c>
      <c r="L853" s="41">
        <f t="shared" si="2"/>
        <v>0.220930233</v>
      </c>
      <c r="M853" s="74">
        <v>0.431973468</v>
      </c>
    </row>
    <row r="854">
      <c r="A854" s="1" t="s">
        <v>93</v>
      </c>
      <c r="B854" s="38">
        <v>669194.0</v>
      </c>
      <c r="C854" s="72">
        <v>45874.0</v>
      </c>
      <c r="D854" s="38">
        <v>96.0</v>
      </c>
      <c r="E854" s="73" t="str">
        <f>IFERROR(__xludf.DUMMYFUNCTION("average(filter('Appearance Sheet'!F:F,'Appearance Sheet'!G:G=B854,'Appearance Sheet'!A:A=C854))"),"#N/A")</f>
        <v>#N/A</v>
      </c>
      <c r="F854" s="67">
        <v>5.309183714</v>
      </c>
      <c r="G854" s="40">
        <v>1.621648156</v>
      </c>
      <c r="H854" s="40" t="str">
        <f t="shared" si="1"/>
        <v>#N/A</v>
      </c>
      <c r="I854" s="41">
        <v>0.572916667</v>
      </c>
      <c r="J854" s="41">
        <v>0.114583333</v>
      </c>
      <c r="K854" s="41">
        <v>0.3125</v>
      </c>
      <c r="L854" s="41">
        <f t="shared" si="2"/>
        <v>0.260416667</v>
      </c>
      <c r="M854" s="74">
        <v>-1.200674479</v>
      </c>
    </row>
    <row r="855">
      <c r="A855" s="1" t="s">
        <v>177</v>
      </c>
      <c r="B855" s="38">
        <v>641793.0</v>
      </c>
      <c r="C855" s="72">
        <v>45819.0</v>
      </c>
      <c r="D855" s="38">
        <v>90.0</v>
      </c>
      <c r="E855" s="73">
        <f>IFERROR(__xludf.DUMMYFUNCTION("average(filter('Appearance Sheet'!F:F,'Appearance Sheet'!G:G=B855,'Appearance Sheet'!A:A=C855))"),6.0)</f>
        <v>6</v>
      </c>
      <c r="F855" s="67">
        <v>5.309175454</v>
      </c>
      <c r="G855" s="40">
        <v>1.544001456</v>
      </c>
      <c r="H855" s="40">
        <f t="shared" si="1"/>
        <v>2.316002184</v>
      </c>
      <c r="I855" s="41">
        <v>0.455555556</v>
      </c>
      <c r="J855" s="41">
        <v>0.255555556</v>
      </c>
      <c r="K855" s="41">
        <v>0.288888889</v>
      </c>
      <c r="L855" s="41">
        <f t="shared" si="2"/>
        <v>0.166666667</v>
      </c>
      <c r="M855" s="74">
        <v>-2.497101022</v>
      </c>
    </row>
    <row r="856">
      <c r="A856" s="1" t="s">
        <v>434</v>
      </c>
      <c r="B856" s="38">
        <v>690990.0</v>
      </c>
      <c r="C856" s="72">
        <v>45892.0</v>
      </c>
      <c r="D856" s="38">
        <v>71.0</v>
      </c>
      <c r="E856" s="73" t="str">
        <f>IFERROR(__xludf.DUMMYFUNCTION("average(filter('Appearance Sheet'!F:F,'Appearance Sheet'!G:G=B856,'Appearance Sheet'!A:A=C856))"),"#N/A")</f>
        <v>#N/A</v>
      </c>
      <c r="F856" s="67">
        <v>5.309122856</v>
      </c>
      <c r="G856" s="40">
        <v>1.214612832</v>
      </c>
      <c r="H856" s="40" t="str">
        <f t="shared" si="1"/>
        <v>#N/A</v>
      </c>
      <c r="I856" s="41">
        <v>0.591549296</v>
      </c>
      <c r="J856" s="41">
        <v>0.154929577</v>
      </c>
      <c r="K856" s="41">
        <v>0.253521127</v>
      </c>
      <c r="L856" s="41">
        <f t="shared" si="2"/>
        <v>0.338028169</v>
      </c>
      <c r="M856" s="74">
        <v>2.086667697</v>
      </c>
    </row>
    <row r="857">
      <c r="A857" s="1" t="s">
        <v>147</v>
      </c>
      <c r="B857" s="38">
        <v>608379.0</v>
      </c>
      <c r="C857" s="72">
        <v>45827.0</v>
      </c>
      <c r="D857" s="38">
        <v>91.0</v>
      </c>
      <c r="E857" s="73">
        <f>IFERROR(__xludf.DUMMYFUNCTION("average(filter('Appearance Sheet'!F:F,'Appearance Sheet'!G:G=B857,'Appearance Sheet'!A:A=C857))"),6.0)</f>
        <v>6</v>
      </c>
      <c r="F857" s="67">
        <v>5.309068819</v>
      </c>
      <c r="G857" s="40">
        <v>1.545983279</v>
      </c>
      <c r="H857" s="40">
        <f t="shared" si="1"/>
        <v>2.318974919</v>
      </c>
      <c r="I857" s="41">
        <v>0.483516484</v>
      </c>
      <c r="J857" s="41">
        <v>0.164835165</v>
      </c>
      <c r="K857" s="41">
        <v>0.351648352</v>
      </c>
      <c r="L857" s="41">
        <f t="shared" si="2"/>
        <v>0.131868132</v>
      </c>
      <c r="M857" s="74">
        <v>3.961530975</v>
      </c>
    </row>
    <row r="858">
      <c r="A858" s="1" t="s">
        <v>372</v>
      </c>
      <c r="B858" s="38">
        <v>671106.0</v>
      </c>
      <c r="C858" s="72">
        <v>45886.0</v>
      </c>
      <c r="D858" s="38">
        <v>101.0</v>
      </c>
      <c r="E858" s="73" t="str">
        <f>IFERROR(__xludf.DUMMYFUNCTION("average(filter('Appearance Sheet'!F:F,'Appearance Sheet'!G:G=B858,'Appearance Sheet'!A:A=C858))"),"#N/A")</f>
        <v>#N/A</v>
      </c>
      <c r="F858" s="67">
        <v>5.309056503</v>
      </c>
      <c r="G858" s="40">
        <v>1.677485426</v>
      </c>
      <c r="H858" s="40" t="str">
        <f t="shared" si="1"/>
        <v>#N/A</v>
      </c>
      <c r="I858" s="41">
        <v>0.554455446</v>
      </c>
      <c r="J858" s="41">
        <v>0.138613861</v>
      </c>
      <c r="K858" s="41">
        <v>0.306930693</v>
      </c>
      <c r="L858" s="41">
        <f t="shared" si="2"/>
        <v>0.247524753</v>
      </c>
      <c r="M858" s="74">
        <v>0.497756042</v>
      </c>
    </row>
    <row r="859">
      <c r="A859" s="1" t="s">
        <v>393</v>
      </c>
      <c r="B859" s="38">
        <v>690953.0</v>
      </c>
      <c r="C859" s="72">
        <v>45795.0</v>
      </c>
      <c r="D859" s="38">
        <v>78.0</v>
      </c>
      <c r="E859" s="73">
        <f>IFERROR(__xludf.DUMMYFUNCTION("average(filter('Appearance Sheet'!F:F,'Appearance Sheet'!G:G=B859,'Appearance Sheet'!A:A=C859))"),6.0)</f>
        <v>6</v>
      </c>
      <c r="F859" s="67">
        <v>5.309054359</v>
      </c>
      <c r="G859" s="40">
        <v>1.323201562</v>
      </c>
      <c r="H859" s="40">
        <f t="shared" si="1"/>
        <v>1.984802343</v>
      </c>
      <c r="I859" s="41">
        <v>0.525641026</v>
      </c>
      <c r="J859" s="41">
        <v>0.141025641</v>
      </c>
      <c r="K859" s="41">
        <v>0.333333333</v>
      </c>
      <c r="L859" s="41">
        <f t="shared" si="2"/>
        <v>0.192307693</v>
      </c>
      <c r="M859" s="74">
        <v>0.531911205</v>
      </c>
    </row>
    <row r="860">
      <c r="A860" s="1" t="s">
        <v>416</v>
      </c>
      <c r="B860" s="38">
        <v>608337.0</v>
      </c>
      <c r="C860" s="72">
        <v>45807.0</v>
      </c>
      <c r="D860" s="38">
        <v>83.0</v>
      </c>
      <c r="E860" s="73">
        <f>IFERROR(__xludf.DUMMYFUNCTION("average(filter('Appearance Sheet'!F:F,'Appearance Sheet'!G:G=B860,'Appearance Sheet'!A:A=C860))"),4.666666666666667)</f>
        <v>4.666666667</v>
      </c>
      <c r="F860" s="67">
        <v>5.308567873</v>
      </c>
      <c r="G860" s="40">
        <v>1.386530936</v>
      </c>
      <c r="H860" s="40">
        <f t="shared" si="1"/>
        <v>2.674023948</v>
      </c>
      <c r="I860" s="41">
        <v>0.506024096</v>
      </c>
      <c r="J860" s="41">
        <v>0.192771084</v>
      </c>
      <c r="K860" s="41">
        <v>0.301204819</v>
      </c>
      <c r="L860" s="41">
        <f t="shared" si="2"/>
        <v>0.204819277</v>
      </c>
      <c r="M860" s="74">
        <v>0.863388601</v>
      </c>
    </row>
    <row r="861">
      <c r="A861" s="1" t="s">
        <v>411</v>
      </c>
      <c r="B861" s="38">
        <v>605288.0</v>
      </c>
      <c r="C861" s="72">
        <v>45909.0</v>
      </c>
      <c r="D861" s="38">
        <v>83.0</v>
      </c>
      <c r="E861" s="73" t="str">
        <f>IFERROR(__xludf.DUMMYFUNCTION("average(filter('Appearance Sheet'!F:F,'Appearance Sheet'!G:G=B861,'Appearance Sheet'!A:A=C861))"),"#N/A")</f>
        <v>#N/A</v>
      </c>
      <c r="F861" s="67">
        <v>5.30850187</v>
      </c>
      <c r="G861" s="40">
        <v>1.375914935</v>
      </c>
      <c r="H861" s="40" t="str">
        <f t="shared" si="1"/>
        <v>#N/A</v>
      </c>
      <c r="I861" s="41">
        <v>0.43373494</v>
      </c>
      <c r="J861" s="41">
        <v>0.289156627</v>
      </c>
      <c r="K861" s="41">
        <v>0.277108434</v>
      </c>
      <c r="L861" s="41">
        <f t="shared" si="2"/>
        <v>0.156626506</v>
      </c>
      <c r="M861" s="74">
        <v>2.393600876</v>
      </c>
    </row>
    <row r="862">
      <c r="A862" s="1" t="s">
        <v>125</v>
      </c>
      <c r="B862" s="38">
        <v>663554.0</v>
      </c>
      <c r="C862" s="72">
        <v>45873.0</v>
      </c>
      <c r="D862" s="38">
        <v>62.0</v>
      </c>
      <c r="E862" s="73" t="str">
        <f>IFERROR(__xludf.DUMMYFUNCTION("average(filter('Appearance Sheet'!F:F,'Appearance Sheet'!G:G=B862,'Appearance Sheet'!A:A=C862))"),"#N/A")</f>
        <v>#N/A</v>
      </c>
      <c r="F862" s="67">
        <v>5.308181533</v>
      </c>
      <c r="G862" s="40">
        <v>1.073603128</v>
      </c>
      <c r="H862" s="40" t="str">
        <f t="shared" si="1"/>
        <v>#N/A</v>
      </c>
      <c r="I862" s="41">
        <v>0.532258065</v>
      </c>
      <c r="J862" s="41">
        <v>0.177419355</v>
      </c>
      <c r="K862" s="41">
        <v>0.290322581</v>
      </c>
      <c r="L862" s="41">
        <f t="shared" si="2"/>
        <v>0.241935484</v>
      </c>
      <c r="M862" s="74">
        <v>0.302278139</v>
      </c>
    </row>
    <row r="863">
      <c r="A863" s="1" t="s">
        <v>361</v>
      </c>
      <c r="B863" s="38">
        <v>686563.0</v>
      </c>
      <c r="C863" s="72">
        <v>45773.0</v>
      </c>
      <c r="D863" s="38">
        <v>91.0</v>
      </c>
      <c r="E863" s="73">
        <f>IFERROR(__xludf.DUMMYFUNCTION("average(filter('Appearance Sheet'!F:F,'Appearance Sheet'!G:G=B863,'Appearance Sheet'!A:A=C863))"),7.666666666666667)</f>
        <v>7.666666667</v>
      </c>
      <c r="F863" s="67">
        <v>5.308100906</v>
      </c>
      <c r="G863" s="40">
        <v>1.581645226</v>
      </c>
      <c r="H863" s="40">
        <f t="shared" si="1"/>
        <v>1.856713961</v>
      </c>
      <c r="I863" s="41">
        <v>0.538461538</v>
      </c>
      <c r="J863" s="41">
        <v>0.186813187</v>
      </c>
      <c r="K863" s="41">
        <v>0.274725275</v>
      </c>
      <c r="L863" s="41">
        <f t="shared" si="2"/>
        <v>0.263736263</v>
      </c>
      <c r="M863" s="74">
        <v>-0.006117976</v>
      </c>
    </row>
    <row r="864">
      <c r="A864" s="1" t="s">
        <v>396</v>
      </c>
      <c r="B864" s="38">
        <v>663623.0</v>
      </c>
      <c r="C864" s="72">
        <v>45910.0</v>
      </c>
      <c r="D864" s="38">
        <v>74.0</v>
      </c>
      <c r="E864" s="73" t="str">
        <f>IFERROR(__xludf.DUMMYFUNCTION("average(filter('Appearance Sheet'!F:F,'Appearance Sheet'!G:G=B864,'Appearance Sheet'!A:A=C864))"),"#N/A")</f>
        <v>#N/A</v>
      </c>
      <c r="F864" s="67">
        <v>5.308025851</v>
      </c>
      <c r="G864" s="40">
        <v>1.234952868</v>
      </c>
      <c r="H864" s="40" t="str">
        <f t="shared" si="1"/>
        <v>#N/A</v>
      </c>
      <c r="I864" s="41">
        <v>0.459459459</v>
      </c>
      <c r="J864" s="41">
        <v>0.243243243</v>
      </c>
      <c r="K864" s="41">
        <v>0.297297297</v>
      </c>
      <c r="L864" s="41">
        <f t="shared" si="2"/>
        <v>0.162162162</v>
      </c>
      <c r="M864" s="74">
        <v>-0.404407903</v>
      </c>
    </row>
    <row r="865">
      <c r="A865" s="1" t="s">
        <v>454</v>
      </c>
      <c r="B865" s="38">
        <v>674370.0</v>
      </c>
      <c r="C865" s="72">
        <v>45763.0</v>
      </c>
      <c r="D865" s="38">
        <v>80.0</v>
      </c>
      <c r="E865" s="73">
        <f>IFERROR(__xludf.DUMMYFUNCTION("average(filter('Appearance Sheet'!F:F,'Appearance Sheet'!G:G=B865,'Appearance Sheet'!A:A=C865))"),5.666666666666667)</f>
        <v>5.666666667</v>
      </c>
      <c r="F865" s="67">
        <v>5.307641621</v>
      </c>
      <c r="G865" s="40">
        <v>1.349577666</v>
      </c>
      <c r="H865" s="40">
        <f t="shared" si="1"/>
        <v>2.143446881</v>
      </c>
      <c r="I865" s="41">
        <v>0.575</v>
      </c>
      <c r="J865" s="41">
        <v>0.1375</v>
      </c>
      <c r="K865" s="41">
        <v>0.2875</v>
      </c>
      <c r="L865" s="41">
        <f t="shared" si="2"/>
        <v>0.2875</v>
      </c>
      <c r="M865" s="74">
        <v>-0.943522249</v>
      </c>
    </row>
    <row r="866">
      <c r="A866" s="1" t="s">
        <v>113</v>
      </c>
      <c r="B866" s="38">
        <v>664285.0</v>
      </c>
      <c r="C866" s="72">
        <v>45801.0</v>
      </c>
      <c r="D866" s="38">
        <v>95.0</v>
      </c>
      <c r="E866" s="73">
        <f>IFERROR(__xludf.DUMMYFUNCTION("average(filter('Appearance Sheet'!F:F,'Appearance Sheet'!G:G=B866,'Appearance Sheet'!A:A=C866))"),6.0)</f>
        <v>6</v>
      </c>
      <c r="F866" s="67">
        <v>5.307587459</v>
      </c>
      <c r="G866" s="40">
        <v>1.619747885</v>
      </c>
      <c r="H866" s="40">
        <f t="shared" si="1"/>
        <v>2.429621828</v>
      </c>
      <c r="I866" s="41">
        <v>0.494736842</v>
      </c>
      <c r="J866" s="41">
        <v>0.242105263</v>
      </c>
      <c r="K866" s="41">
        <v>0.263157895</v>
      </c>
      <c r="L866" s="41">
        <f t="shared" si="2"/>
        <v>0.231578947</v>
      </c>
      <c r="M866" s="74">
        <v>2.430355457</v>
      </c>
    </row>
    <row r="867">
      <c r="A867" s="1" t="s">
        <v>450</v>
      </c>
      <c r="B867" s="38">
        <v>682990.0</v>
      </c>
      <c r="C867" s="72">
        <v>45818.0</v>
      </c>
      <c r="D867" s="38">
        <v>92.0</v>
      </c>
      <c r="E867" s="73">
        <f>IFERROR(__xludf.DUMMYFUNCTION("average(filter('Appearance Sheet'!F:F,'Appearance Sheet'!G:G=B867,'Appearance Sheet'!A:A=C867))"),6.0)</f>
        <v>6</v>
      </c>
      <c r="F867" s="67">
        <v>5.307474477</v>
      </c>
      <c r="G867" s="40">
        <v>1.547109561</v>
      </c>
      <c r="H867" s="40">
        <f t="shared" si="1"/>
        <v>2.320664342</v>
      </c>
      <c r="I867" s="41">
        <v>0.47826087</v>
      </c>
      <c r="J867" s="41">
        <v>0.217391304</v>
      </c>
      <c r="K867" s="41">
        <v>0.304347826</v>
      </c>
      <c r="L867" s="41">
        <f t="shared" si="2"/>
        <v>0.173913044</v>
      </c>
      <c r="M867" s="74">
        <v>0.496447405</v>
      </c>
    </row>
    <row r="868">
      <c r="A868" s="1" t="s">
        <v>255</v>
      </c>
      <c r="B868" s="38">
        <v>688138.0</v>
      </c>
      <c r="C868" s="72">
        <v>45862.0</v>
      </c>
      <c r="D868" s="38">
        <v>79.0</v>
      </c>
      <c r="E868" s="73" t="str">
        <f>IFERROR(__xludf.DUMMYFUNCTION("average(filter('Appearance Sheet'!F:F,'Appearance Sheet'!G:G=B868,'Appearance Sheet'!A:A=C868))"),"#N/A")</f>
        <v>#N/A</v>
      </c>
      <c r="F868" s="67">
        <v>5.30727398</v>
      </c>
      <c r="G868" s="40">
        <v>1.320647573</v>
      </c>
      <c r="H868" s="40" t="str">
        <f t="shared" si="1"/>
        <v>#N/A</v>
      </c>
      <c r="I868" s="41">
        <v>0.518987342</v>
      </c>
      <c r="J868" s="41">
        <v>0.215189873</v>
      </c>
      <c r="K868" s="41">
        <v>0.265822785</v>
      </c>
      <c r="L868" s="41">
        <f t="shared" si="2"/>
        <v>0.253164557</v>
      </c>
      <c r="M868" s="74">
        <v>1.057119273</v>
      </c>
    </row>
    <row r="869">
      <c r="A869" s="1" t="s">
        <v>226</v>
      </c>
      <c r="B869" s="38">
        <v>607259.0</v>
      </c>
      <c r="C869" s="72">
        <v>45769.0</v>
      </c>
      <c r="D869" s="38">
        <v>77.0</v>
      </c>
      <c r="E869" s="73">
        <f>IFERROR(__xludf.DUMMYFUNCTION("average(filter('Appearance Sheet'!F:F,'Appearance Sheet'!G:G=B869,'Appearance Sheet'!A:A=C869))"),5.666666666666667)</f>
        <v>5.666666667</v>
      </c>
      <c r="F869" s="67">
        <v>5.307210051</v>
      </c>
      <c r="G869" s="40">
        <v>1.315244949</v>
      </c>
      <c r="H869" s="40">
        <f t="shared" si="1"/>
        <v>2.088918448</v>
      </c>
      <c r="I869" s="41">
        <v>0.506493506</v>
      </c>
      <c r="J869" s="41">
        <v>0.194805195</v>
      </c>
      <c r="K869" s="41">
        <v>0.298701299</v>
      </c>
      <c r="L869" s="41">
        <f t="shared" si="2"/>
        <v>0.207792207</v>
      </c>
      <c r="M869" s="74">
        <v>0.138868681</v>
      </c>
    </row>
    <row r="870">
      <c r="A870" s="1" t="s">
        <v>79</v>
      </c>
      <c r="B870" s="38">
        <v>554430.0</v>
      </c>
      <c r="C870" s="72">
        <v>45794.0</v>
      </c>
      <c r="D870" s="38">
        <v>90.0</v>
      </c>
      <c r="E870" s="73">
        <f>IFERROR(__xludf.DUMMYFUNCTION("average(filter('Appearance Sheet'!F:F,'Appearance Sheet'!G:G=B870,'Appearance Sheet'!A:A=C870))"),6.0)</f>
        <v>6</v>
      </c>
      <c r="F870" s="67">
        <v>5.307200859</v>
      </c>
      <c r="G870" s="40">
        <v>1.508880283</v>
      </c>
      <c r="H870" s="40">
        <f t="shared" si="1"/>
        <v>2.263320425</v>
      </c>
      <c r="I870" s="41">
        <v>0.533333333</v>
      </c>
      <c r="J870" s="41">
        <v>0.144444444</v>
      </c>
      <c r="K870" s="41">
        <v>0.322222222</v>
      </c>
      <c r="L870" s="41">
        <f t="shared" si="2"/>
        <v>0.211111111</v>
      </c>
      <c r="M870" s="74">
        <v>2.263153096</v>
      </c>
    </row>
    <row r="871">
      <c r="A871" s="1" t="s">
        <v>272</v>
      </c>
      <c r="B871" s="38">
        <v>622491.0</v>
      </c>
      <c r="C871" s="72">
        <v>45796.0</v>
      </c>
      <c r="D871" s="38">
        <v>90.0</v>
      </c>
      <c r="E871" s="73">
        <f>IFERROR(__xludf.DUMMYFUNCTION("average(filter('Appearance Sheet'!F:F,'Appearance Sheet'!G:G=B871,'Appearance Sheet'!A:A=C871))"),7.0)</f>
        <v>7</v>
      </c>
      <c r="F871" s="67">
        <v>5.306912827</v>
      </c>
      <c r="G871" s="40">
        <v>1.521696035</v>
      </c>
      <c r="H871" s="40">
        <f t="shared" si="1"/>
        <v>1.956466331</v>
      </c>
      <c r="I871" s="41">
        <v>0.488888889</v>
      </c>
      <c r="J871" s="41">
        <v>0.211111111</v>
      </c>
      <c r="K871" s="41">
        <v>0.3</v>
      </c>
      <c r="L871" s="41">
        <f t="shared" si="2"/>
        <v>0.188888889</v>
      </c>
      <c r="M871" s="74">
        <v>2.469342965</v>
      </c>
    </row>
    <row r="872">
      <c r="A872" s="1" t="s">
        <v>216</v>
      </c>
      <c r="B872" s="38">
        <v>621107.0</v>
      </c>
      <c r="C872" s="72">
        <v>45819.0</v>
      </c>
      <c r="D872" s="38">
        <v>81.0</v>
      </c>
      <c r="E872" s="73">
        <f>IFERROR(__xludf.DUMMYFUNCTION("average(filter('Appearance Sheet'!F:F,'Appearance Sheet'!G:G=B872,'Appearance Sheet'!A:A=C872))"),6.666666666666667)</f>
        <v>6.666666667</v>
      </c>
      <c r="F872" s="67">
        <v>5.306264595</v>
      </c>
      <c r="G872" s="40">
        <v>1.416209722</v>
      </c>
      <c r="H872" s="40">
        <f t="shared" si="1"/>
        <v>1.911883125</v>
      </c>
      <c r="I872" s="41">
        <v>0.50617284</v>
      </c>
      <c r="J872" s="41">
        <v>0.259259259</v>
      </c>
      <c r="K872" s="41">
        <v>0.234567901</v>
      </c>
      <c r="L872" s="41">
        <f t="shared" si="2"/>
        <v>0.271604939</v>
      </c>
      <c r="M872" s="74">
        <v>2.219625733</v>
      </c>
    </row>
    <row r="873">
      <c r="A873" s="1" t="s">
        <v>88</v>
      </c>
      <c r="B873" s="38">
        <v>694973.0</v>
      </c>
      <c r="C873" s="72">
        <v>45755.0</v>
      </c>
      <c r="D873" s="38">
        <v>93.0</v>
      </c>
      <c r="E873" s="73">
        <f>IFERROR(__xludf.DUMMYFUNCTION("average(filter('Appearance Sheet'!F:F,'Appearance Sheet'!G:G=B873,'Appearance Sheet'!A:A=C873))"),6.0)</f>
        <v>6</v>
      </c>
      <c r="F873" s="67">
        <v>5.306253162</v>
      </c>
      <c r="G873" s="40">
        <v>1.579472386</v>
      </c>
      <c r="H873" s="40">
        <f t="shared" si="1"/>
        <v>2.369208579</v>
      </c>
      <c r="I873" s="41">
        <v>0.569892473</v>
      </c>
      <c r="J873" s="41">
        <v>0.129032258</v>
      </c>
      <c r="K873" s="41">
        <v>0.301075269</v>
      </c>
      <c r="L873" s="41">
        <f t="shared" si="2"/>
        <v>0.268817204</v>
      </c>
      <c r="M873" s="74">
        <v>-1.187708608</v>
      </c>
    </row>
    <row r="874">
      <c r="A874" s="1" t="s">
        <v>384</v>
      </c>
      <c r="B874" s="38">
        <v>666214.0</v>
      </c>
      <c r="C874" s="72">
        <v>45885.0</v>
      </c>
      <c r="D874" s="38">
        <v>90.0</v>
      </c>
      <c r="E874" s="73" t="str">
        <f>IFERROR(__xludf.DUMMYFUNCTION("average(filter('Appearance Sheet'!F:F,'Appearance Sheet'!G:G=B874,'Appearance Sheet'!A:A=C874))"),"#N/A")</f>
        <v>#N/A</v>
      </c>
      <c r="F874" s="67">
        <v>5.306150472</v>
      </c>
      <c r="G874" s="40">
        <v>1.515596568</v>
      </c>
      <c r="H874" s="40" t="str">
        <f t="shared" si="1"/>
        <v>#N/A</v>
      </c>
      <c r="I874" s="41">
        <v>0.5</v>
      </c>
      <c r="J874" s="41">
        <v>0.2</v>
      </c>
      <c r="K874" s="41">
        <v>0.3</v>
      </c>
      <c r="L874" s="41">
        <f t="shared" si="2"/>
        <v>0.2</v>
      </c>
      <c r="M874" s="74">
        <v>2.181852628</v>
      </c>
    </row>
    <row r="875">
      <c r="A875" s="1" t="s">
        <v>218</v>
      </c>
      <c r="B875" s="38">
        <v>669432.0</v>
      </c>
      <c r="C875" s="72">
        <v>45882.0</v>
      </c>
      <c r="D875" s="38">
        <v>91.0</v>
      </c>
      <c r="E875" s="73" t="str">
        <f>IFERROR(__xludf.DUMMYFUNCTION("average(filter('Appearance Sheet'!F:F,'Appearance Sheet'!G:G=B875,'Appearance Sheet'!A:A=C875))"),"#N/A")</f>
        <v>#N/A</v>
      </c>
      <c r="F875" s="67">
        <v>5.306091113</v>
      </c>
      <c r="G875" s="40">
        <v>1.553041213</v>
      </c>
      <c r="H875" s="40" t="str">
        <f t="shared" si="1"/>
        <v>#N/A</v>
      </c>
      <c r="I875" s="41">
        <v>0.461538462</v>
      </c>
      <c r="J875" s="41">
        <v>0.241758242</v>
      </c>
      <c r="K875" s="41">
        <v>0.296703297</v>
      </c>
      <c r="L875" s="41">
        <f t="shared" si="2"/>
        <v>0.164835165</v>
      </c>
      <c r="M875" s="74">
        <v>2.839808503</v>
      </c>
    </row>
    <row r="876">
      <c r="A876" s="1" t="s">
        <v>226</v>
      </c>
      <c r="B876" s="38">
        <v>607259.0</v>
      </c>
      <c r="C876" s="72">
        <v>45815.0</v>
      </c>
      <c r="D876" s="38">
        <v>99.0</v>
      </c>
      <c r="E876" s="73">
        <f>IFERROR(__xludf.DUMMYFUNCTION("average(filter('Appearance Sheet'!F:F,'Appearance Sheet'!G:G=B876,'Appearance Sheet'!A:A=C876))"),6.0)</f>
        <v>6</v>
      </c>
      <c r="F876" s="67">
        <v>5.305752576</v>
      </c>
      <c r="G876" s="40">
        <v>1.661133057</v>
      </c>
      <c r="H876" s="40">
        <f t="shared" si="1"/>
        <v>2.491699586</v>
      </c>
      <c r="I876" s="41">
        <v>0.515151515</v>
      </c>
      <c r="J876" s="41">
        <v>0.191919192</v>
      </c>
      <c r="K876" s="41">
        <v>0.292929293</v>
      </c>
      <c r="L876" s="41">
        <f t="shared" si="2"/>
        <v>0.222222222</v>
      </c>
      <c r="M876" s="74">
        <v>0.459328067</v>
      </c>
    </row>
    <row r="877">
      <c r="A877" s="1" t="s">
        <v>44</v>
      </c>
      <c r="B877" s="38">
        <v>650911.0</v>
      </c>
      <c r="C877" s="72">
        <v>45806.0</v>
      </c>
      <c r="D877" s="38">
        <v>87.0</v>
      </c>
      <c r="E877" s="73">
        <f>IFERROR(__xludf.DUMMYFUNCTION("average(filter('Appearance Sheet'!F:F,'Appearance Sheet'!G:G=B877,'Appearance Sheet'!A:A=C877))"),5.666666666666667)</f>
        <v>5.666666667</v>
      </c>
      <c r="F877" s="67">
        <v>5.305588986</v>
      </c>
      <c r="G877" s="40">
        <v>1.48137042</v>
      </c>
      <c r="H877" s="40">
        <f t="shared" si="1"/>
        <v>2.352764785</v>
      </c>
      <c r="I877" s="41">
        <v>0.517241379</v>
      </c>
      <c r="J877" s="41">
        <v>0.137931034</v>
      </c>
      <c r="K877" s="41">
        <v>0.344827586</v>
      </c>
      <c r="L877" s="41">
        <f t="shared" si="2"/>
        <v>0.172413793</v>
      </c>
      <c r="M877" s="74">
        <v>-2.395041879</v>
      </c>
    </row>
    <row r="878">
      <c r="A878" s="1" t="s">
        <v>336</v>
      </c>
      <c r="B878" s="38">
        <v>605488.0</v>
      </c>
      <c r="C878" s="72">
        <v>45795.0</v>
      </c>
      <c r="D878" s="38">
        <v>82.0</v>
      </c>
      <c r="E878" s="73">
        <f>IFERROR(__xludf.DUMMYFUNCTION("average(filter('Appearance Sheet'!F:F,'Appearance Sheet'!G:G=B878,'Appearance Sheet'!A:A=C878))"),6.666666666666667)</f>
        <v>6.666666667</v>
      </c>
      <c r="F878" s="67">
        <v>5.305587937</v>
      </c>
      <c r="G878" s="40">
        <v>1.384771799</v>
      </c>
      <c r="H878" s="40">
        <f t="shared" si="1"/>
        <v>1.869441929</v>
      </c>
      <c r="I878" s="41">
        <v>0.5</v>
      </c>
      <c r="J878" s="41">
        <v>0.158536585</v>
      </c>
      <c r="K878" s="41">
        <v>0.341463415</v>
      </c>
      <c r="L878" s="41">
        <f t="shared" si="2"/>
        <v>0.158536585</v>
      </c>
      <c r="M878" s="74">
        <v>3.513113228</v>
      </c>
    </row>
    <row r="879">
      <c r="A879" s="1" t="s">
        <v>379</v>
      </c>
      <c r="B879" s="38">
        <v>593423.0</v>
      </c>
      <c r="C879" s="72">
        <v>45878.0</v>
      </c>
      <c r="D879" s="38">
        <v>66.0</v>
      </c>
      <c r="E879" s="73" t="str">
        <f>IFERROR(__xludf.DUMMYFUNCTION("average(filter('Appearance Sheet'!F:F,'Appearance Sheet'!G:G=B879,'Appearance Sheet'!A:A=C879))"),"#N/A")</f>
        <v>#N/A</v>
      </c>
      <c r="F879" s="67">
        <v>5.305525881</v>
      </c>
      <c r="G879" s="40">
        <v>1.078236293</v>
      </c>
      <c r="H879" s="40" t="str">
        <f t="shared" si="1"/>
        <v>#N/A</v>
      </c>
      <c r="I879" s="41">
        <v>0.5</v>
      </c>
      <c r="J879" s="41">
        <v>0.212121212</v>
      </c>
      <c r="K879" s="41">
        <v>0.287878788</v>
      </c>
      <c r="L879" s="41">
        <f t="shared" si="2"/>
        <v>0.212121212</v>
      </c>
      <c r="M879" s="74">
        <v>1.24904403</v>
      </c>
    </row>
    <row r="880">
      <c r="A880" s="1" t="s">
        <v>77</v>
      </c>
      <c r="B880" s="38">
        <v>657277.0</v>
      </c>
      <c r="C880" s="72">
        <v>45804.0</v>
      </c>
      <c r="D880" s="38">
        <v>102.0</v>
      </c>
      <c r="E880" s="73">
        <f>IFERROR(__xludf.DUMMYFUNCTION("average(filter('Appearance Sheet'!F:F,'Appearance Sheet'!G:G=B880,'Appearance Sheet'!A:A=C880))"),6.0)</f>
        <v>6</v>
      </c>
      <c r="F880" s="67">
        <v>5.304945774</v>
      </c>
      <c r="G880" s="40">
        <v>1.685212617</v>
      </c>
      <c r="H880" s="40">
        <f t="shared" si="1"/>
        <v>2.527818926</v>
      </c>
      <c r="I880" s="41">
        <v>0.5</v>
      </c>
      <c r="J880" s="41">
        <v>0.176470588</v>
      </c>
      <c r="K880" s="41">
        <v>0.323529412</v>
      </c>
      <c r="L880" s="41">
        <f t="shared" si="2"/>
        <v>0.176470588</v>
      </c>
      <c r="M880" s="74">
        <v>-2.096379735</v>
      </c>
    </row>
    <row r="881">
      <c r="A881" s="1" t="s">
        <v>393</v>
      </c>
      <c r="B881" s="38">
        <v>690953.0</v>
      </c>
      <c r="C881" s="72">
        <v>45927.0</v>
      </c>
      <c r="D881" s="38">
        <v>67.0</v>
      </c>
      <c r="E881" s="73" t="str">
        <f>IFERROR(__xludf.DUMMYFUNCTION("average(filter('Appearance Sheet'!F:F,'Appearance Sheet'!G:G=B881,'Appearance Sheet'!A:A=C881))"),"#N/A")</f>
        <v>#N/A</v>
      </c>
      <c r="F881" s="67">
        <v>5.304926836</v>
      </c>
      <c r="G881" s="40">
        <v>1.147231555</v>
      </c>
      <c r="H881" s="40" t="str">
        <f t="shared" si="1"/>
        <v>#N/A</v>
      </c>
      <c r="I881" s="41">
        <v>0.52238806</v>
      </c>
      <c r="J881" s="41">
        <v>0.253731343</v>
      </c>
      <c r="K881" s="41">
        <v>0.223880597</v>
      </c>
      <c r="L881" s="41">
        <f t="shared" si="2"/>
        <v>0.298507463</v>
      </c>
      <c r="M881" s="74">
        <v>1.632543506</v>
      </c>
    </row>
    <row r="882">
      <c r="A882" s="1" t="s">
        <v>63</v>
      </c>
      <c r="B882" s="38">
        <v>687888.0</v>
      </c>
      <c r="C882" s="72">
        <v>45861.0</v>
      </c>
      <c r="D882" s="38">
        <v>80.0</v>
      </c>
      <c r="E882" s="73" t="str">
        <f>IFERROR(__xludf.DUMMYFUNCTION("average(filter('Appearance Sheet'!F:F,'Appearance Sheet'!G:G=B882,'Appearance Sheet'!A:A=C882))"),"#N/A")</f>
        <v>#N/A</v>
      </c>
      <c r="F882" s="67">
        <v>5.30477393</v>
      </c>
      <c r="G882" s="40">
        <v>1.374032049</v>
      </c>
      <c r="H882" s="40" t="str">
        <f t="shared" si="1"/>
        <v>#N/A</v>
      </c>
      <c r="I882" s="41">
        <v>0.5375</v>
      </c>
      <c r="J882" s="41">
        <v>0.175</v>
      </c>
      <c r="K882" s="41">
        <v>0.2875</v>
      </c>
      <c r="L882" s="41">
        <f t="shared" si="2"/>
        <v>0.25</v>
      </c>
      <c r="M882" s="74">
        <v>0.640035907</v>
      </c>
    </row>
    <row r="883">
      <c r="A883" s="1" t="s">
        <v>133</v>
      </c>
      <c r="B883" s="38">
        <v>663978.0</v>
      </c>
      <c r="C883" s="72">
        <v>45815.0</v>
      </c>
      <c r="D883" s="38">
        <v>84.0</v>
      </c>
      <c r="E883" s="73">
        <f>IFERROR(__xludf.DUMMYFUNCTION("average(filter('Appearance Sheet'!F:F,'Appearance Sheet'!G:G=B883,'Appearance Sheet'!A:A=C883))"),6.0)</f>
        <v>6</v>
      </c>
      <c r="F883" s="67">
        <v>5.304621259</v>
      </c>
      <c r="G883" s="40">
        <v>1.427923172</v>
      </c>
      <c r="H883" s="40">
        <f t="shared" si="1"/>
        <v>2.141884758</v>
      </c>
      <c r="I883" s="41">
        <v>0.488095238</v>
      </c>
      <c r="J883" s="41">
        <v>0.297619048</v>
      </c>
      <c r="K883" s="41">
        <v>0.214285714</v>
      </c>
      <c r="L883" s="41">
        <f t="shared" si="2"/>
        <v>0.273809524</v>
      </c>
      <c r="M883" s="74">
        <v>0.853359571</v>
      </c>
    </row>
    <row r="884">
      <c r="A884" s="1" t="s">
        <v>371</v>
      </c>
      <c r="B884" s="38">
        <v>681293.0</v>
      </c>
      <c r="C884" s="72">
        <v>45745.0</v>
      </c>
      <c r="D884" s="38">
        <v>86.0</v>
      </c>
      <c r="E884" s="73">
        <f>IFERROR(__xludf.DUMMYFUNCTION("average(filter('Appearance Sheet'!F:F,'Appearance Sheet'!G:G=B884,'Appearance Sheet'!A:A=C884))"),6.0)</f>
        <v>6</v>
      </c>
      <c r="F884" s="67">
        <v>5.304603217</v>
      </c>
      <c r="G884" s="40">
        <v>1.418941879</v>
      </c>
      <c r="H884" s="40">
        <f t="shared" si="1"/>
        <v>2.128412819</v>
      </c>
      <c r="I884" s="41">
        <v>0.476744186</v>
      </c>
      <c r="J884" s="41">
        <v>0.174418605</v>
      </c>
      <c r="K884" s="41">
        <v>0.348837209</v>
      </c>
      <c r="L884" s="41">
        <f t="shared" si="2"/>
        <v>0.127906977</v>
      </c>
      <c r="M884" s="74">
        <v>2.951969499</v>
      </c>
    </row>
    <row r="885">
      <c r="A885" s="1" t="s">
        <v>278</v>
      </c>
      <c r="B885" s="38">
        <v>542881.0</v>
      </c>
      <c r="C885" s="72">
        <v>45822.0</v>
      </c>
      <c r="D885" s="38">
        <v>90.0</v>
      </c>
      <c r="E885" s="73">
        <f>IFERROR(__xludf.DUMMYFUNCTION("average(filter('Appearance Sheet'!F:F,'Appearance Sheet'!G:G=B885,'Appearance Sheet'!A:A=C885))"),5.0)</f>
        <v>5</v>
      </c>
      <c r="F885" s="67">
        <v>5.304602033</v>
      </c>
      <c r="G885" s="40">
        <v>1.518145595</v>
      </c>
      <c r="H885" s="40">
        <f t="shared" si="1"/>
        <v>2.732662071</v>
      </c>
      <c r="I885" s="41">
        <v>0.533333333</v>
      </c>
      <c r="J885" s="41">
        <v>0.177777778</v>
      </c>
      <c r="K885" s="41">
        <v>0.288888889</v>
      </c>
      <c r="L885" s="41">
        <f t="shared" si="2"/>
        <v>0.244444444</v>
      </c>
      <c r="M885" s="74">
        <v>-4.052621976</v>
      </c>
    </row>
    <row r="886">
      <c r="A886" s="1" t="s">
        <v>84</v>
      </c>
      <c r="B886" s="38">
        <v>669373.0</v>
      </c>
      <c r="C886" s="72">
        <v>45802.0</v>
      </c>
      <c r="D886" s="38">
        <v>89.0</v>
      </c>
      <c r="E886" s="73">
        <f>IFERROR(__xludf.DUMMYFUNCTION("average(filter('Appearance Sheet'!F:F,'Appearance Sheet'!G:G=B886,'Appearance Sheet'!A:A=C886))"),9.0)</f>
        <v>9</v>
      </c>
      <c r="F886" s="67">
        <v>5.304435466</v>
      </c>
      <c r="G886" s="40">
        <v>1.522889811</v>
      </c>
      <c r="H886" s="40">
        <f t="shared" si="1"/>
        <v>1.522889811</v>
      </c>
      <c r="I886" s="41">
        <v>0.505617978</v>
      </c>
      <c r="J886" s="41">
        <v>0.202247191</v>
      </c>
      <c r="K886" s="41">
        <v>0.292134831</v>
      </c>
      <c r="L886" s="41">
        <f t="shared" si="2"/>
        <v>0.213483147</v>
      </c>
      <c r="M886" s="74">
        <v>3.601624834</v>
      </c>
    </row>
    <row r="887">
      <c r="A887" s="1" t="s">
        <v>79</v>
      </c>
      <c r="B887" s="38">
        <v>554430.0</v>
      </c>
      <c r="C887" s="72">
        <v>45838.0</v>
      </c>
      <c r="D887" s="38">
        <v>102.0</v>
      </c>
      <c r="E887" s="73">
        <f>IFERROR(__xludf.DUMMYFUNCTION("average(filter('Appearance Sheet'!F:F,'Appearance Sheet'!G:G=B887,'Appearance Sheet'!A:A=C887))"),8.0)</f>
        <v>8</v>
      </c>
      <c r="F887" s="67">
        <v>5.30428444</v>
      </c>
      <c r="G887" s="40">
        <v>1.720675277</v>
      </c>
      <c r="H887" s="40">
        <f t="shared" si="1"/>
        <v>1.935759687</v>
      </c>
      <c r="I887" s="41">
        <v>0.519607843</v>
      </c>
      <c r="J887" s="41">
        <v>0.12745098</v>
      </c>
      <c r="K887" s="41">
        <v>0.352941176</v>
      </c>
      <c r="L887" s="41">
        <f t="shared" si="2"/>
        <v>0.166666667</v>
      </c>
      <c r="M887" s="74">
        <v>-1.613927605</v>
      </c>
    </row>
    <row r="888">
      <c r="A888" s="1" t="s">
        <v>173</v>
      </c>
      <c r="B888" s="38">
        <v>641927.0</v>
      </c>
      <c r="C888" s="72">
        <v>45802.0</v>
      </c>
      <c r="D888" s="38">
        <v>85.0</v>
      </c>
      <c r="E888" s="73">
        <f>IFERROR(__xludf.DUMMYFUNCTION("average(filter('Appearance Sheet'!F:F,'Appearance Sheet'!G:G=B888,'Appearance Sheet'!A:A=C888))"),6.666666666666667)</f>
        <v>6.666666667</v>
      </c>
      <c r="F888" s="67">
        <v>5.304256954</v>
      </c>
      <c r="G888" s="40">
        <v>1.474033589</v>
      </c>
      <c r="H888" s="40">
        <f t="shared" si="1"/>
        <v>1.989945345</v>
      </c>
      <c r="I888" s="41">
        <v>0.529411765</v>
      </c>
      <c r="J888" s="41">
        <v>0.152941176</v>
      </c>
      <c r="K888" s="41">
        <v>0.317647059</v>
      </c>
      <c r="L888" s="41">
        <f t="shared" si="2"/>
        <v>0.211764706</v>
      </c>
      <c r="M888" s="74">
        <v>-1.969429982</v>
      </c>
    </row>
    <row r="889">
      <c r="A889" s="1" t="s">
        <v>456</v>
      </c>
      <c r="B889" s="38">
        <v>605135.0</v>
      </c>
      <c r="C889" s="72">
        <v>45797.0</v>
      </c>
      <c r="D889" s="38">
        <v>92.0</v>
      </c>
      <c r="E889" s="73">
        <f>IFERROR(__xludf.DUMMYFUNCTION("average(filter('Appearance Sheet'!F:F,'Appearance Sheet'!G:G=B889,'Appearance Sheet'!A:A=C889))"),6.0)</f>
        <v>6</v>
      </c>
      <c r="F889" s="67">
        <v>5.304116911</v>
      </c>
      <c r="G889" s="40">
        <v>1.561064864</v>
      </c>
      <c r="H889" s="40">
        <f t="shared" si="1"/>
        <v>2.341597296</v>
      </c>
      <c r="I889" s="41">
        <v>0.510869565</v>
      </c>
      <c r="J889" s="41">
        <v>0.130434783</v>
      </c>
      <c r="K889" s="41">
        <v>0.358695652</v>
      </c>
      <c r="L889" s="41">
        <f t="shared" si="2"/>
        <v>0.152173913</v>
      </c>
      <c r="M889" s="74">
        <v>2.020584369</v>
      </c>
    </row>
    <row r="890">
      <c r="A890" s="1" t="s">
        <v>109</v>
      </c>
      <c r="B890" s="38">
        <v>601713.0</v>
      </c>
      <c r="C890" s="72">
        <v>45917.0</v>
      </c>
      <c r="D890" s="38">
        <v>84.0</v>
      </c>
      <c r="E890" s="73" t="str">
        <f>IFERROR(__xludf.DUMMYFUNCTION("average(filter('Appearance Sheet'!F:F,'Appearance Sheet'!G:G=B890,'Appearance Sheet'!A:A=C890))"),"#N/A")</f>
        <v>#N/A</v>
      </c>
      <c r="F890" s="67">
        <v>5.303293338</v>
      </c>
      <c r="G890" s="40">
        <v>1.420075094</v>
      </c>
      <c r="H890" s="40" t="str">
        <f t="shared" si="1"/>
        <v>#N/A</v>
      </c>
      <c r="I890" s="41">
        <v>0.511904762</v>
      </c>
      <c r="J890" s="41">
        <v>0.142857143</v>
      </c>
      <c r="K890" s="41">
        <v>0.345238095</v>
      </c>
      <c r="L890" s="41">
        <f t="shared" si="2"/>
        <v>0.166666667</v>
      </c>
      <c r="M890" s="74">
        <v>-2.758416823</v>
      </c>
    </row>
    <row r="891">
      <c r="A891" s="1" t="s">
        <v>570</v>
      </c>
      <c r="B891" s="38">
        <v>813349.0</v>
      </c>
      <c r="C891" s="72">
        <v>45916.0</v>
      </c>
      <c r="D891" s="38">
        <v>78.0</v>
      </c>
      <c r="E891" s="73" t="str">
        <f>IFERROR(__xludf.DUMMYFUNCTION("average(filter('Appearance Sheet'!F:F,'Appearance Sheet'!G:G=B891,'Appearance Sheet'!A:A=C891))"),"#N/A")</f>
        <v>#N/A</v>
      </c>
      <c r="F891" s="67">
        <v>5.303129865</v>
      </c>
      <c r="G891" s="40">
        <v>1.299316775</v>
      </c>
      <c r="H891" s="40" t="str">
        <f t="shared" si="1"/>
        <v>#N/A</v>
      </c>
      <c r="I891" s="41">
        <v>0.564102564</v>
      </c>
      <c r="J891" s="41">
        <v>0.179487179</v>
      </c>
      <c r="K891" s="41">
        <v>0.256410256</v>
      </c>
      <c r="L891" s="41">
        <f t="shared" si="2"/>
        <v>0.307692308</v>
      </c>
      <c r="M891" s="74">
        <v>-0.310542154</v>
      </c>
    </row>
    <row r="892">
      <c r="A892" s="1" t="s">
        <v>316</v>
      </c>
      <c r="B892" s="38">
        <v>656427.0</v>
      </c>
      <c r="C892" s="72">
        <v>45893.0</v>
      </c>
      <c r="D892" s="38">
        <v>87.0</v>
      </c>
      <c r="E892" s="73" t="str">
        <f>IFERROR(__xludf.DUMMYFUNCTION("average(filter('Appearance Sheet'!F:F,'Appearance Sheet'!G:G=B892,'Appearance Sheet'!A:A=C892))"),"#N/A")</f>
        <v>#N/A</v>
      </c>
      <c r="F892" s="67">
        <v>5.303064269</v>
      </c>
      <c r="G892" s="40">
        <v>1.445383311</v>
      </c>
      <c r="H892" s="40" t="str">
        <f t="shared" si="1"/>
        <v>#N/A</v>
      </c>
      <c r="I892" s="41">
        <v>0.528735632</v>
      </c>
      <c r="J892" s="41">
        <v>0.172413793</v>
      </c>
      <c r="K892" s="41">
        <v>0.298850575</v>
      </c>
      <c r="L892" s="41">
        <f t="shared" si="2"/>
        <v>0.229885057</v>
      </c>
      <c r="M892" s="74">
        <v>-5.676562222</v>
      </c>
    </row>
    <row r="893">
      <c r="A893" s="1" t="s">
        <v>285</v>
      </c>
      <c r="B893" s="38">
        <v>607074.0</v>
      </c>
      <c r="C893" s="72">
        <v>45811.0</v>
      </c>
      <c r="D893" s="38">
        <v>87.0</v>
      </c>
      <c r="E893" s="73">
        <f>IFERROR(__xludf.DUMMYFUNCTION("average(filter('Appearance Sheet'!F:F,'Appearance Sheet'!G:G=B893,'Appearance Sheet'!A:A=C893))"),7.0)</f>
        <v>7</v>
      </c>
      <c r="F893" s="67">
        <v>5.302934194</v>
      </c>
      <c r="G893" s="40">
        <v>1.479324275</v>
      </c>
      <c r="H893" s="40">
        <f t="shared" si="1"/>
        <v>1.901988354</v>
      </c>
      <c r="I893" s="41">
        <v>0.563218391</v>
      </c>
      <c r="J893" s="41">
        <v>0.137931034</v>
      </c>
      <c r="K893" s="41">
        <v>0.298850575</v>
      </c>
      <c r="L893" s="41">
        <f t="shared" si="2"/>
        <v>0.264367816</v>
      </c>
      <c r="M893" s="74">
        <v>-0.170964801</v>
      </c>
    </row>
    <row r="894">
      <c r="A894" s="1" t="s">
        <v>195</v>
      </c>
      <c r="B894" s="38">
        <v>668678.0</v>
      </c>
      <c r="C894" s="72">
        <v>45871.0</v>
      </c>
      <c r="D894" s="38">
        <v>87.0</v>
      </c>
      <c r="E894" s="73" t="str">
        <f>IFERROR(__xludf.DUMMYFUNCTION("average(filter('Appearance Sheet'!F:F,'Appearance Sheet'!G:G=B894,'Appearance Sheet'!A:A=C894))"),"#N/A")</f>
        <v>#N/A</v>
      </c>
      <c r="F894" s="67">
        <v>5.30230325</v>
      </c>
      <c r="G894" s="40">
        <v>1.492214115</v>
      </c>
      <c r="H894" s="40" t="str">
        <f t="shared" si="1"/>
        <v>#N/A</v>
      </c>
      <c r="I894" s="41">
        <v>0.505747126</v>
      </c>
      <c r="J894" s="41">
        <v>0.16091954</v>
      </c>
      <c r="K894" s="41">
        <v>0.333333333</v>
      </c>
      <c r="L894" s="41">
        <f t="shared" si="2"/>
        <v>0.172413793</v>
      </c>
      <c r="M894" s="74">
        <v>-4.020181787</v>
      </c>
    </row>
    <row r="895">
      <c r="A895" s="1" t="s">
        <v>228</v>
      </c>
      <c r="B895" s="38">
        <v>687473.0</v>
      </c>
      <c r="C895" s="72">
        <v>45770.0</v>
      </c>
      <c r="D895" s="38">
        <v>78.0</v>
      </c>
      <c r="E895" s="73">
        <f>IFERROR(__xludf.DUMMYFUNCTION("average(filter('Appearance Sheet'!F:F,'Appearance Sheet'!G:G=B895,'Appearance Sheet'!A:A=C895))"),5.666666666666667)</f>
        <v>5.666666667</v>
      </c>
      <c r="F895" s="67">
        <v>5.302088401</v>
      </c>
      <c r="G895" s="40">
        <v>1.315221044</v>
      </c>
      <c r="H895" s="40">
        <f t="shared" si="1"/>
        <v>2.088880482</v>
      </c>
      <c r="I895" s="41">
        <v>0.538461538</v>
      </c>
      <c r="J895" s="41">
        <v>0.141025641</v>
      </c>
      <c r="K895" s="41">
        <v>0.320512821</v>
      </c>
      <c r="L895" s="41">
        <f t="shared" si="2"/>
        <v>0.217948717</v>
      </c>
      <c r="M895" s="74">
        <v>0.746303008</v>
      </c>
    </row>
    <row r="896">
      <c r="A896" s="1" t="s">
        <v>65</v>
      </c>
      <c r="B896" s="38">
        <v>680885.0</v>
      </c>
      <c r="C896" s="72">
        <v>45774.0</v>
      </c>
      <c r="D896" s="38">
        <v>86.0</v>
      </c>
      <c r="E896" s="73">
        <f>IFERROR(__xludf.DUMMYFUNCTION("average(filter('Appearance Sheet'!F:F,'Appearance Sheet'!G:G=B896,'Appearance Sheet'!A:A=C896))"),6.0)</f>
        <v>6</v>
      </c>
      <c r="F896" s="67">
        <v>5.30206687</v>
      </c>
      <c r="G896" s="40">
        <v>1.470119121</v>
      </c>
      <c r="H896" s="40">
        <f t="shared" si="1"/>
        <v>2.205178682</v>
      </c>
      <c r="I896" s="41">
        <v>0.558139535</v>
      </c>
      <c r="J896" s="41">
        <v>0.174418605</v>
      </c>
      <c r="K896" s="41">
        <v>0.26744186</v>
      </c>
      <c r="L896" s="41">
        <f t="shared" si="2"/>
        <v>0.290697675</v>
      </c>
      <c r="M896" s="74">
        <v>-2.465170854</v>
      </c>
    </row>
    <row r="897">
      <c r="A897" s="1" t="s">
        <v>171</v>
      </c>
      <c r="B897" s="38">
        <v>665795.0</v>
      </c>
      <c r="C897" s="72">
        <v>45877.0</v>
      </c>
      <c r="D897" s="38">
        <v>106.0</v>
      </c>
      <c r="E897" s="73" t="str">
        <f>IFERROR(__xludf.DUMMYFUNCTION("average(filter('Appearance Sheet'!F:F,'Appearance Sheet'!G:G=B897,'Appearance Sheet'!A:A=C897))"),"#N/A")</f>
        <v>#N/A</v>
      </c>
      <c r="F897" s="67">
        <v>5.301880971</v>
      </c>
      <c r="G897" s="40">
        <v>1.756593998</v>
      </c>
      <c r="H897" s="40" t="str">
        <f t="shared" si="1"/>
        <v>#N/A</v>
      </c>
      <c r="I897" s="41">
        <v>0.566037736</v>
      </c>
      <c r="J897" s="41">
        <v>0.160377358</v>
      </c>
      <c r="K897" s="41">
        <v>0.273584906</v>
      </c>
      <c r="L897" s="41">
        <f t="shared" si="2"/>
        <v>0.29245283</v>
      </c>
      <c r="M897" s="74">
        <v>5.278392025</v>
      </c>
    </row>
    <row r="898">
      <c r="A898" s="1" t="s">
        <v>164</v>
      </c>
      <c r="B898" s="38">
        <v>669923.0</v>
      </c>
      <c r="C898" s="72">
        <v>45811.0</v>
      </c>
      <c r="D898" s="38">
        <v>93.0</v>
      </c>
      <c r="E898" s="73">
        <f>IFERROR(__xludf.DUMMYFUNCTION("average(filter('Appearance Sheet'!F:F,'Appearance Sheet'!G:G=B898,'Appearance Sheet'!A:A=C898))"),5.0)</f>
        <v>5</v>
      </c>
      <c r="F898" s="67">
        <v>5.301557149</v>
      </c>
      <c r="G898" s="40">
        <v>1.579634392</v>
      </c>
      <c r="H898" s="40">
        <f t="shared" si="1"/>
        <v>2.843341906</v>
      </c>
      <c r="I898" s="41">
        <v>0.537634409</v>
      </c>
      <c r="J898" s="41">
        <v>0.150537634</v>
      </c>
      <c r="K898" s="41">
        <v>0.311827957</v>
      </c>
      <c r="L898" s="41">
        <f t="shared" si="2"/>
        <v>0.225806452</v>
      </c>
      <c r="M898" s="74">
        <v>-1.308733402</v>
      </c>
    </row>
    <row r="899">
      <c r="A899" s="1" t="s">
        <v>222</v>
      </c>
      <c r="B899" s="38">
        <v>518876.0</v>
      </c>
      <c r="C899" s="72">
        <v>45851.0</v>
      </c>
      <c r="D899" s="38">
        <v>89.0</v>
      </c>
      <c r="E899" s="73" t="str">
        <f>IFERROR(__xludf.DUMMYFUNCTION("average(filter('Appearance Sheet'!F:F,'Appearance Sheet'!G:G=B899,'Appearance Sheet'!A:A=C899))"),"#N/A")</f>
        <v>#N/A</v>
      </c>
      <c r="F899" s="67">
        <v>5.30110215</v>
      </c>
      <c r="G899" s="40">
        <v>1.469582062</v>
      </c>
      <c r="H899" s="40" t="str">
        <f t="shared" si="1"/>
        <v>#N/A</v>
      </c>
      <c r="I899" s="41">
        <v>0.483146067</v>
      </c>
      <c r="J899" s="41">
        <v>0.179775281</v>
      </c>
      <c r="K899" s="41">
        <v>0.337078652</v>
      </c>
      <c r="L899" s="41">
        <f t="shared" si="2"/>
        <v>0.146067415</v>
      </c>
      <c r="M899" s="74">
        <v>4.486493482</v>
      </c>
    </row>
    <row r="900">
      <c r="A900" s="1" t="s">
        <v>113</v>
      </c>
      <c r="B900" s="38">
        <v>664285.0</v>
      </c>
      <c r="C900" s="72">
        <v>45837.0</v>
      </c>
      <c r="D900" s="38">
        <v>85.0</v>
      </c>
      <c r="E900" s="73">
        <f>IFERROR(__xludf.DUMMYFUNCTION("average(filter('Appearance Sheet'!F:F,'Appearance Sheet'!G:G=B900,'Appearance Sheet'!A:A=C900))"),6.0)</f>
        <v>6</v>
      </c>
      <c r="F900" s="67">
        <v>5.30108941</v>
      </c>
      <c r="G900" s="40">
        <v>1.413899063</v>
      </c>
      <c r="H900" s="40">
        <f t="shared" si="1"/>
        <v>2.120848595</v>
      </c>
      <c r="I900" s="41">
        <v>0.541176471</v>
      </c>
      <c r="J900" s="41">
        <v>0.141176471</v>
      </c>
      <c r="K900" s="41">
        <v>0.317647059</v>
      </c>
      <c r="L900" s="41">
        <f t="shared" si="2"/>
        <v>0.223529412</v>
      </c>
      <c r="M900" s="74">
        <v>0.26139164</v>
      </c>
    </row>
    <row r="901">
      <c r="A901" s="1" t="s">
        <v>298</v>
      </c>
      <c r="B901" s="38">
        <v>594902.0</v>
      </c>
      <c r="C901" s="72">
        <v>45743.0</v>
      </c>
      <c r="D901" s="38">
        <v>64.0</v>
      </c>
      <c r="E901" s="73">
        <f>IFERROR(__xludf.DUMMYFUNCTION("average(filter('Appearance Sheet'!F:F,'Appearance Sheet'!G:G=B901,'Appearance Sheet'!A:A=C901))"),5.0)</f>
        <v>5</v>
      </c>
      <c r="F901" s="67">
        <v>5.30071994</v>
      </c>
      <c r="G901" s="40">
        <v>1.108039718</v>
      </c>
      <c r="H901" s="40">
        <f t="shared" si="1"/>
        <v>1.994471492</v>
      </c>
      <c r="I901" s="41">
        <v>0.5</v>
      </c>
      <c r="J901" s="41">
        <v>0.296875</v>
      </c>
      <c r="K901" s="41">
        <v>0.203125</v>
      </c>
      <c r="L901" s="41">
        <f t="shared" si="2"/>
        <v>0.296875</v>
      </c>
      <c r="M901" s="74">
        <v>-0.164281983</v>
      </c>
    </row>
    <row r="902">
      <c r="A902" s="1" t="s">
        <v>246</v>
      </c>
      <c r="B902" s="38">
        <v>571510.0</v>
      </c>
      <c r="C902" s="72">
        <v>45860.0</v>
      </c>
      <c r="D902" s="38">
        <v>92.0</v>
      </c>
      <c r="E902" s="73" t="str">
        <f>IFERROR(__xludf.DUMMYFUNCTION("average(filter('Appearance Sheet'!F:F,'Appearance Sheet'!G:G=B902,'Appearance Sheet'!A:A=C902))"),"#N/A")</f>
        <v>#N/A</v>
      </c>
      <c r="F902" s="67">
        <v>5.300686724</v>
      </c>
      <c r="G902" s="40">
        <v>1.583886145</v>
      </c>
      <c r="H902" s="40" t="str">
        <f t="shared" si="1"/>
        <v>#N/A</v>
      </c>
      <c r="I902" s="41">
        <v>0.532608696</v>
      </c>
      <c r="J902" s="41">
        <v>0.152173913</v>
      </c>
      <c r="K902" s="41">
        <v>0.315217391</v>
      </c>
      <c r="L902" s="41">
        <f t="shared" si="2"/>
        <v>0.217391305</v>
      </c>
      <c r="M902" s="74">
        <v>1.662694016</v>
      </c>
    </row>
    <row r="903">
      <c r="A903" s="1" t="s">
        <v>169</v>
      </c>
      <c r="B903" s="38">
        <v>671096.0</v>
      </c>
      <c r="C903" s="72">
        <v>45892.0</v>
      </c>
      <c r="D903" s="38">
        <v>72.0</v>
      </c>
      <c r="E903" s="73" t="str">
        <f>IFERROR(__xludf.DUMMYFUNCTION("average(filter('Appearance Sheet'!F:F,'Appearance Sheet'!G:G=B903,'Appearance Sheet'!A:A=C903))"),"#N/A")</f>
        <v>#N/A</v>
      </c>
      <c r="F903" s="67">
        <v>5.300659416</v>
      </c>
      <c r="G903" s="40">
        <v>1.257242441</v>
      </c>
      <c r="H903" s="40" t="str">
        <f t="shared" si="1"/>
        <v>#N/A</v>
      </c>
      <c r="I903" s="41">
        <v>0.486111111</v>
      </c>
      <c r="J903" s="41">
        <v>0.152777778</v>
      </c>
      <c r="K903" s="41">
        <v>0.361111111</v>
      </c>
      <c r="L903" s="41">
        <f t="shared" si="2"/>
        <v>0.125</v>
      </c>
      <c r="M903" s="74">
        <v>-3.400614861</v>
      </c>
    </row>
    <row r="904">
      <c r="A904" s="1" t="s">
        <v>90</v>
      </c>
      <c r="B904" s="38">
        <v>693433.0</v>
      </c>
      <c r="C904" s="72">
        <v>45779.0</v>
      </c>
      <c r="D904" s="38">
        <v>86.0</v>
      </c>
      <c r="E904" s="73">
        <f>IFERROR(__xludf.DUMMYFUNCTION("average(filter('Appearance Sheet'!F:F,'Appearance Sheet'!G:G=B904,'Appearance Sheet'!A:A=C904))"),6.333333333333333)</f>
        <v>6.333333333</v>
      </c>
      <c r="F904" s="67">
        <v>5.300604294</v>
      </c>
      <c r="G904" s="40">
        <v>1.416669207</v>
      </c>
      <c r="H904" s="40">
        <f t="shared" si="1"/>
        <v>2.013161505</v>
      </c>
      <c r="I904" s="41">
        <v>0.534883721</v>
      </c>
      <c r="J904" s="41">
        <v>0.162790698</v>
      </c>
      <c r="K904" s="41">
        <v>0.302325581</v>
      </c>
      <c r="L904" s="41">
        <f t="shared" si="2"/>
        <v>0.23255814</v>
      </c>
      <c r="M904" s="74">
        <v>4.104565021</v>
      </c>
    </row>
    <row r="905">
      <c r="A905" s="1" t="s">
        <v>163</v>
      </c>
      <c r="B905" s="38">
        <v>663460.0</v>
      </c>
      <c r="C905" s="72">
        <v>45790.0</v>
      </c>
      <c r="D905" s="38">
        <v>92.0</v>
      </c>
      <c r="E905" s="73">
        <f>IFERROR(__xludf.DUMMYFUNCTION("average(filter('Appearance Sheet'!F:F,'Appearance Sheet'!G:G=B905,'Appearance Sheet'!A:A=C905))"),6.333333333333333)</f>
        <v>6.333333333</v>
      </c>
      <c r="F905" s="67">
        <v>5.300529727</v>
      </c>
      <c r="G905" s="40">
        <v>1.582459341</v>
      </c>
      <c r="H905" s="40">
        <f t="shared" si="1"/>
        <v>2.248758011</v>
      </c>
      <c r="I905" s="41">
        <v>0.543478261</v>
      </c>
      <c r="J905" s="41">
        <v>0.184782609</v>
      </c>
      <c r="K905" s="41">
        <v>0.27173913</v>
      </c>
      <c r="L905" s="41">
        <f t="shared" si="2"/>
        <v>0.271739131</v>
      </c>
      <c r="M905" s="74">
        <v>-0.531770307</v>
      </c>
    </row>
    <row r="906">
      <c r="A906" s="1" t="s">
        <v>189</v>
      </c>
      <c r="B906" s="38">
        <v>607536.0</v>
      </c>
      <c r="C906" s="72">
        <v>45760.0</v>
      </c>
      <c r="D906" s="38">
        <v>83.0</v>
      </c>
      <c r="E906" s="73">
        <f>IFERROR(__xludf.DUMMYFUNCTION("average(filter('Appearance Sheet'!F:F,'Appearance Sheet'!G:G=B906,'Appearance Sheet'!A:A=C906))"),5.0)</f>
        <v>5</v>
      </c>
      <c r="F906" s="67">
        <v>5.300528595</v>
      </c>
      <c r="G906" s="40">
        <v>1.452034181</v>
      </c>
      <c r="H906" s="40">
        <f t="shared" si="1"/>
        <v>2.613661526</v>
      </c>
      <c r="I906" s="41">
        <v>0.578313253</v>
      </c>
      <c r="J906" s="41">
        <v>0.168674699</v>
      </c>
      <c r="K906" s="41">
        <v>0.253012048</v>
      </c>
      <c r="L906" s="41">
        <f t="shared" si="2"/>
        <v>0.325301205</v>
      </c>
      <c r="M906" s="74">
        <v>-2.67581614</v>
      </c>
    </row>
    <row r="907">
      <c r="A907" s="1" t="s">
        <v>423</v>
      </c>
      <c r="B907" s="38">
        <v>656605.0</v>
      </c>
      <c r="C907" s="72">
        <v>45773.0</v>
      </c>
      <c r="D907" s="38">
        <v>87.0</v>
      </c>
      <c r="E907" s="73">
        <f>IFERROR(__xludf.DUMMYFUNCTION("average(filter('Appearance Sheet'!F:F,'Appearance Sheet'!G:G=B907,'Appearance Sheet'!A:A=C907))"),6.0)</f>
        <v>6</v>
      </c>
      <c r="F907" s="67">
        <v>5.300108792</v>
      </c>
      <c r="G907" s="40">
        <v>1.495046213</v>
      </c>
      <c r="H907" s="40">
        <f t="shared" si="1"/>
        <v>2.24256932</v>
      </c>
      <c r="I907" s="41">
        <v>0.528735632</v>
      </c>
      <c r="J907" s="41">
        <v>0.172413793</v>
      </c>
      <c r="K907" s="41">
        <v>0.298850575</v>
      </c>
      <c r="L907" s="41">
        <f t="shared" si="2"/>
        <v>0.229885057</v>
      </c>
      <c r="M907" s="74">
        <v>0.84753311</v>
      </c>
    </row>
    <row r="908">
      <c r="A908" s="1" t="s">
        <v>358</v>
      </c>
      <c r="B908" s="38">
        <v>434378.0</v>
      </c>
      <c r="C908" s="72">
        <v>45847.0</v>
      </c>
      <c r="D908" s="38">
        <v>95.0</v>
      </c>
      <c r="E908" s="73" t="str">
        <f>IFERROR(__xludf.DUMMYFUNCTION("average(filter('Appearance Sheet'!F:F,'Appearance Sheet'!G:G=B908,'Appearance Sheet'!A:A=C908))"),"#N/A")</f>
        <v>#N/A</v>
      </c>
      <c r="F908" s="67">
        <v>5.299996023</v>
      </c>
      <c r="G908" s="40">
        <v>1.635008031</v>
      </c>
      <c r="H908" s="40" t="str">
        <f t="shared" si="1"/>
        <v>#N/A</v>
      </c>
      <c r="I908" s="41">
        <v>0.473684211</v>
      </c>
      <c r="J908" s="41">
        <v>0.273684211</v>
      </c>
      <c r="K908" s="41">
        <v>0.252631579</v>
      </c>
      <c r="L908" s="41">
        <f t="shared" si="2"/>
        <v>0.221052632</v>
      </c>
      <c r="M908" s="74">
        <v>-1.697426457</v>
      </c>
    </row>
    <row r="909">
      <c r="A909" s="1" t="s">
        <v>356</v>
      </c>
      <c r="B909" s="38">
        <v>680732.0</v>
      </c>
      <c r="C909" s="72">
        <v>45813.0</v>
      </c>
      <c r="D909" s="38">
        <v>93.0</v>
      </c>
      <c r="E909" s="73">
        <f>IFERROR(__xludf.DUMMYFUNCTION("average(filter('Appearance Sheet'!F:F,'Appearance Sheet'!G:G=B909,'Appearance Sheet'!A:A=C909))"),7.0)</f>
        <v>7</v>
      </c>
      <c r="F909" s="67">
        <v>5.29991264</v>
      </c>
      <c r="G909" s="40">
        <v>1.619100645</v>
      </c>
      <c r="H909" s="40">
        <f t="shared" si="1"/>
        <v>2.081700829</v>
      </c>
      <c r="I909" s="41">
        <v>0.52688172</v>
      </c>
      <c r="J909" s="41">
        <v>0.193548387</v>
      </c>
      <c r="K909" s="41">
        <v>0.279569892</v>
      </c>
      <c r="L909" s="41">
        <f t="shared" si="2"/>
        <v>0.247311828</v>
      </c>
      <c r="M909" s="74">
        <v>-0.969113158</v>
      </c>
    </row>
    <row r="910">
      <c r="A910" s="1" t="s">
        <v>97</v>
      </c>
      <c r="B910" s="38">
        <v>656876.0</v>
      </c>
      <c r="C910" s="72">
        <v>45919.0</v>
      </c>
      <c r="D910" s="38">
        <v>74.0</v>
      </c>
      <c r="E910" s="73" t="str">
        <f>IFERROR(__xludf.DUMMYFUNCTION("average(filter('Appearance Sheet'!F:F,'Appearance Sheet'!G:G=B910,'Appearance Sheet'!A:A=C910))"),"#N/A")</f>
        <v>#N/A</v>
      </c>
      <c r="F910" s="67">
        <v>5.29987694</v>
      </c>
      <c r="G910" s="40">
        <v>1.238656799</v>
      </c>
      <c r="H910" s="40" t="str">
        <f t="shared" si="1"/>
        <v>#N/A</v>
      </c>
      <c r="I910" s="41">
        <v>0.527027027</v>
      </c>
      <c r="J910" s="41">
        <v>0.148648649</v>
      </c>
      <c r="K910" s="41">
        <v>0.324324324</v>
      </c>
      <c r="L910" s="41">
        <f t="shared" si="2"/>
        <v>0.202702703</v>
      </c>
      <c r="M910" s="74">
        <v>1.318160195</v>
      </c>
    </row>
    <row r="911">
      <c r="A911" s="1" t="s">
        <v>419</v>
      </c>
      <c r="B911" s="38">
        <v>681857.0</v>
      </c>
      <c r="C911" s="72">
        <v>45758.0</v>
      </c>
      <c r="D911" s="38">
        <v>88.0</v>
      </c>
      <c r="E911" s="73">
        <f>IFERROR(__xludf.DUMMYFUNCTION("average(filter('Appearance Sheet'!F:F,'Appearance Sheet'!G:G=B911,'Appearance Sheet'!A:A=C911))"),4.333333333333333)</f>
        <v>4.333333333</v>
      </c>
      <c r="F911" s="67">
        <v>5.299869555</v>
      </c>
      <c r="G911" s="40">
        <v>1.500978555</v>
      </c>
      <c r="H911" s="40">
        <f t="shared" si="1"/>
        <v>3.117416999</v>
      </c>
      <c r="I911" s="41">
        <v>0.5</v>
      </c>
      <c r="J911" s="41">
        <v>0.238636364</v>
      </c>
      <c r="K911" s="41">
        <v>0.261363636</v>
      </c>
      <c r="L911" s="41">
        <f t="shared" si="2"/>
        <v>0.238636364</v>
      </c>
      <c r="M911" s="74">
        <v>-1.160311924</v>
      </c>
    </row>
    <row r="912">
      <c r="A912" s="1" t="s">
        <v>557</v>
      </c>
      <c r="B912" s="38">
        <v>696149.0</v>
      </c>
      <c r="C912" s="72">
        <v>45902.0</v>
      </c>
      <c r="D912" s="38">
        <v>65.0</v>
      </c>
      <c r="E912" s="73" t="str">
        <f>IFERROR(__xludf.DUMMYFUNCTION("average(filter('Appearance Sheet'!F:F,'Appearance Sheet'!G:G=B912,'Appearance Sheet'!A:A=C912))"),"#N/A")</f>
        <v>#N/A</v>
      </c>
      <c r="F912" s="67">
        <v>5.299855043</v>
      </c>
      <c r="G912" s="40">
        <v>1.110765085</v>
      </c>
      <c r="H912" s="40" t="str">
        <f t="shared" si="1"/>
        <v>#N/A</v>
      </c>
      <c r="I912" s="41">
        <v>0.523076923</v>
      </c>
      <c r="J912" s="41">
        <v>0.215384615</v>
      </c>
      <c r="K912" s="41">
        <v>0.261538462</v>
      </c>
      <c r="L912" s="41">
        <f t="shared" si="2"/>
        <v>0.261538461</v>
      </c>
      <c r="M912" s="74">
        <v>-2.647698251</v>
      </c>
    </row>
    <row r="913">
      <c r="A913" s="1" t="s">
        <v>35</v>
      </c>
      <c r="B913" s="38">
        <v>676083.0</v>
      </c>
      <c r="C913" s="72">
        <v>45875.0</v>
      </c>
      <c r="D913" s="38">
        <v>68.0</v>
      </c>
      <c r="E913" s="73" t="str">
        <f>IFERROR(__xludf.DUMMYFUNCTION("average(filter('Appearance Sheet'!F:F,'Appearance Sheet'!G:G=B913,'Appearance Sheet'!A:A=C913))"),"#N/A")</f>
        <v>#N/A</v>
      </c>
      <c r="F913" s="67">
        <v>5.2998407</v>
      </c>
      <c r="G913" s="40">
        <v>1.14904973</v>
      </c>
      <c r="H913" s="40" t="str">
        <f t="shared" si="1"/>
        <v>#N/A</v>
      </c>
      <c r="I913" s="41">
        <v>0.485294118</v>
      </c>
      <c r="J913" s="41">
        <v>0.205882353</v>
      </c>
      <c r="K913" s="41">
        <v>0.308823529</v>
      </c>
      <c r="L913" s="41">
        <f t="shared" si="2"/>
        <v>0.176470589</v>
      </c>
      <c r="M913" s="74">
        <v>-0.786838742</v>
      </c>
    </row>
    <row r="914">
      <c r="A914" s="1" t="s">
        <v>320</v>
      </c>
      <c r="B914" s="38">
        <v>681347.0</v>
      </c>
      <c r="C914" s="72">
        <v>45868.0</v>
      </c>
      <c r="D914" s="38">
        <v>77.0</v>
      </c>
      <c r="E914" s="73" t="str">
        <f>IFERROR(__xludf.DUMMYFUNCTION("average(filter('Appearance Sheet'!F:F,'Appearance Sheet'!G:G=B914,'Appearance Sheet'!A:A=C914))"),"#N/A")</f>
        <v>#N/A</v>
      </c>
      <c r="F914" s="67">
        <v>5.299441016</v>
      </c>
      <c r="G914" s="40">
        <v>1.292608791</v>
      </c>
      <c r="H914" s="40" t="str">
        <f t="shared" si="1"/>
        <v>#N/A</v>
      </c>
      <c r="I914" s="41">
        <v>0.519480519</v>
      </c>
      <c r="J914" s="41">
        <v>0.233766234</v>
      </c>
      <c r="K914" s="41">
        <v>0.246753247</v>
      </c>
      <c r="L914" s="41">
        <f t="shared" si="2"/>
        <v>0.272727272</v>
      </c>
      <c r="M914" s="74">
        <v>1.577370732</v>
      </c>
    </row>
    <row r="915">
      <c r="A915" s="1" t="s">
        <v>229</v>
      </c>
      <c r="B915" s="38">
        <v>645261.0</v>
      </c>
      <c r="C915" s="72">
        <v>45912.0</v>
      </c>
      <c r="D915" s="38">
        <v>95.0</v>
      </c>
      <c r="E915" s="73" t="str">
        <f>IFERROR(__xludf.DUMMYFUNCTION("average(filter('Appearance Sheet'!F:F,'Appearance Sheet'!G:G=B915,'Appearance Sheet'!A:A=C915))"),"#N/A")</f>
        <v>#N/A</v>
      </c>
      <c r="F915" s="67">
        <v>5.299257745</v>
      </c>
      <c r="G915" s="40">
        <v>1.619405723</v>
      </c>
      <c r="H915" s="40" t="str">
        <f t="shared" si="1"/>
        <v>#N/A</v>
      </c>
      <c r="I915" s="41">
        <v>0.526315789</v>
      </c>
      <c r="J915" s="41">
        <v>0.189473684</v>
      </c>
      <c r="K915" s="41">
        <v>0.284210526</v>
      </c>
      <c r="L915" s="41">
        <f t="shared" si="2"/>
        <v>0.242105263</v>
      </c>
      <c r="M915" s="74">
        <v>1.998700218</v>
      </c>
    </row>
    <row r="916">
      <c r="A916" s="1" t="s">
        <v>65</v>
      </c>
      <c r="B916" s="38">
        <v>680885.0</v>
      </c>
      <c r="C916" s="72">
        <v>45790.0</v>
      </c>
      <c r="D916" s="38">
        <v>96.0</v>
      </c>
      <c r="E916" s="73">
        <f>IFERROR(__xludf.DUMMYFUNCTION("average(filter('Appearance Sheet'!F:F,'Appearance Sheet'!G:G=B916,'Appearance Sheet'!A:A=C916))"),7.0)</f>
        <v>7</v>
      </c>
      <c r="F916" s="67">
        <v>5.299186264</v>
      </c>
      <c r="G916" s="40">
        <v>1.639043672</v>
      </c>
      <c r="H916" s="40">
        <f t="shared" si="1"/>
        <v>2.107341864</v>
      </c>
      <c r="I916" s="41">
        <v>0.541666667</v>
      </c>
      <c r="J916" s="41">
        <v>0.145833333</v>
      </c>
      <c r="K916" s="41">
        <v>0.3125</v>
      </c>
      <c r="L916" s="41">
        <f t="shared" si="2"/>
        <v>0.229166667</v>
      </c>
      <c r="M916" s="74">
        <v>0.890294336</v>
      </c>
    </row>
    <row r="917">
      <c r="A917" s="1" t="s">
        <v>374</v>
      </c>
      <c r="B917" s="38">
        <v>683004.0</v>
      </c>
      <c r="C917" s="72">
        <v>45898.0</v>
      </c>
      <c r="D917" s="38">
        <v>97.0</v>
      </c>
      <c r="E917" s="73" t="str">
        <f>IFERROR(__xludf.DUMMYFUNCTION("average(filter('Appearance Sheet'!F:F,'Appearance Sheet'!G:G=B917,'Appearance Sheet'!A:A=C917))"),"#N/A")</f>
        <v>#N/A</v>
      </c>
      <c r="F917" s="67">
        <v>5.298874723</v>
      </c>
      <c r="G917" s="40">
        <v>1.617661077</v>
      </c>
      <c r="H917" s="40" t="str">
        <f t="shared" si="1"/>
        <v>#N/A</v>
      </c>
      <c r="I917" s="41">
        <v>0.536082474</v>
      </c>
      <c r="J917" s="41">
        <v>0.103092784</v>
      </c>
      <c r="K917" s="41">
        <v>0.360824742</v>
      </c>
      <c r="L917" s="41">
        <f t="shared" si="2"/>
        <v>0.175257732</v>
      </c>
      <c r="M917" s="74">
        <v>0.3616523</v>
      </c>
    </row>
    <row r="918">
      <c r="A918" s="1" t="s">
        <v>177</v>
      </c>
      <c r="B918" s="38">
        <v>641793.0</v>
      </c>
      <c r="C918" s="72">
        <v>45780.0</v>
      </c>
      <c r="D918" s="38">
        <v>78.0</v>
      </c>
      <c r="E918" s="73">
        <f>IFERROR(__xludf.DUMMYFUNCTION("average(filter('Appearance Sheet'!F:F,'Appearance Sheet'!G:G=B918,'Appearance Sheet'!A:A=C918))"),7.0)</f>
        <v>7</v>
      </c>
      <c r="F918" s="67">
        <v>5.298855509</v>
      </c>
      <c r="G918" s="40">
        <v>1.35893908</v>
      </c>
      <c r="H918" s="40">
        <f t="shared" si="1"/>
        <v>1.747207389</v>
      </c>
      <c r="I918" s="41">
        <v>0.461538462</v>
      </c>
      <c r="J918" s="41">
        <v>0.192307692</v>
      </c>
      <c r="K918" s="41">
        <v>0.346153846</v>
      </c>
      <c r="L918" s="41">
        <f t="shared" si="2"/>
        <v>0.115384616</v>
      </c>
      <c r="M918" s="74">
        <v>2.151505108</v>
      </c>
    </row>
    <row r="919">
      <c r="A919" s="1" t="s">
        <v>195</v>
      </c>
      <c r="B919" s="38">
        <v>668678.0</v>
      </c>
      <c r="C919" s="72">
        <v>45845.0</v>
      </c>
      <c r="D919" s="38">
        <v>102.0</v>
      </c>
      <c r="E919" s="73" t="str">
        <f>IFERROR(__xludf.DUMMYFUNCTION("average(filter('Appearance Sheet'!F:F,'Appearance Sheet'!G:G=B919,'Appearance Sheet'!A:A=C919))"),"#N/A")</f>
        <v>#N/A</v>
      </c>
      <c r="F919" s="67">
        <v>5.298172958</v>
      </c>
      <c r="G919" s="40">
        <v>1.697233179</v>
      </c>
      <c r="H919" s="40" t="str">
        <f t="shared" si="1"/>
        <v>#N/A</v>
      </c>
      <c r="I919" s="41">
        <v>0.480392157</v>
      </c>
      <c r="J919" s="41">
        <v>0.225490196</v>
      </c>
      <c r="K919" s="41">
        <v>0.294117647</v>
      </c>
      <c r="L919" s="41">
        <f t="shared" si="2"/>
        <v>0.18627451</v>
      </c>
      <c r="M919" s="74">
        <v>-0.584127131</v>
      </c>
    </row>
    <row r="920">
      <c r="A920" s="1" t="s">
        <v>161</v>
      </c>
      <c r="B920" s="38">
        <v>702070.0</v>
      </c>
      <c r="C920" s="72">
        <v>45800.0</v>
      </c>
      <c r="D920" s="38">
        <v>78.0</v>
      </c>
      <c r="E920" s="73">
        <f>IFERROR(__xludf.DUMMYFUNCTION("average(filter('Appearance Sheet'!F:F,'Appearance Sheet'!G:G=B920,'Appearance Sheet'!A:A=C920))"),6.666666666666667)</f>
        <v>6.666666667</v>
      </c>
      <c r="F920" s="67">
        <v>5.297996019</v>
      </c>
      <c r="G920" s="40">
        <v>1.344825272</v>
      </c>
      <c r="H920" s="40">
        <f t="shared" si="1"/>
        <v>1.815514117</v>
      </c>
      <c r="I920" s="41">
        <v>0.512820513</v>
      </c>
      <c r="J920" s="41">
        <v>0.243589744</v>
      </c>
      <c r="K920" s="41">
        <v>0.243589744</v>
      </c>
      <c r="L920" s="41">
        <f t="shared" si="2"/>
        <v>0.269230769</v>
      </c>
      <c r="M920" s="74">
        <v>0.018049809</v>
      </c>
    </row>
    <row r="921">
      <c r="A921" s="1" t="s">
        <v>229</v>
      </c>
      <c r="B921" s="38">
        <v>645261.0</v>
      </c>
      <c r="C921" s="72">
        <v>45842.0</v>
      </c>
      <c r="D921" s="38">
        <v>95.0</v>
      </c>
      <c r="E921" s="73">
        <f>IFERROR(__xludf.DUMMYFUNCTION("average(filter('Appearance Sheet'!F:F,'Appearance Sheet'!G:G=B921,'Appearance Sheet'!A:A=C921))"),6.0)</f>
        <v>6</v>
      </c>
      <c r="F921" s="67">
        <v>5.297862015</v>
      </c>
      <c r="G921" s="40">
        <v>1.606305648</v>
      </c>
      <c r="H921" s="40">
        <f t="shared" si="1"/>
        <v>2.409458472</v>
      </c>
      <c r="I921" s="41">
        <v>0.442105263</v>
      </c>
      <c r="J921" s="41">
        <v>0.242105263</v>
      </c>
      <c r="K921" s="41">
        <v>0.315789474</v>
      </c>
      <c r="L921" s="41">
        <f t="shared" si="2"/>
        <v>0.126315789</v>
      </c>
      <c r="M921" s="74">
        <v>1.232929429</v>
      </c>
    </row>
    <row r="922">
      <c r="A922" s="1" t="s">
        <v>212</v>
      </c>
      <c r="B922" s="38">
        <v>805673.0</v>
      </c>
      <c r="C922" s="72">
        <v>45807.0</v>
      </c>
      <c r="D922" s="38">
        <v>91.0</v>
      </c>
      <c r="E922" s="73">
        <f>IFERROR(__xludf.DUMMYFUNCTION("average(filter('Appearance Sheet'!F:F,'Appearance Sheet'!G:G=B922,'Appearance Sheet'!A:A=C922))"),7.0)</f>
        <v>7</v>
      </c>
      <c r="F922" s="67">
        <v>5.297853349</v>
      </c>
      <c r="G922" s="40">
        <v>1.604495078</v>
      </c>
      <c r="H922" s="40">
        <f t="shared" si="1"/>
        <v>2.062922243</v>
      </c>
      <c r="I922" s="41">
        <v>0.450549451</v>
      </c>
      <c r="J922" s="41">
        <v>0.263736264</v>
      </c>
      <c r="K922" s="41">
        <v>0.285714286</v>
      </c>
      <c r="L922" s="41">
        <f t="shared" si="2"/>
        <v>0.164835165</v>
      </c>
      <c r="M922" s="74">
        <v>0.235317729</v>
      </c>
    </row>
    <row r="923">
      <c r="A923" s="1" t="s">
        <v>207</v>
      </c>
      <c r="B923" s="38">
        <v>650633.0</v>
      </c>
      <c r="C923" s="72">
        <v>45760.0</v>
      </c>
      <c r="D923" s="38">
        <v>107.0</v>
      </c>
      <c r="E923" s="73">
        <f>IFERROR(__xludf.DUMMYFUNCTION("average(filter('Appearance Sheet'!F:F,'Appearance Sheet'!G:G=B923,'Appearance Sheet'!A:A=C923))"),9.0)</f>
        <v>9</v>
      </c>
      <c r="F923" s="67">
        <v>5.297584895</v>
      </c>
      <c r="G923" s="40">
        <v>1.810580145</v>
      </c>
      <c r="H923" s="40">
        <f t="shared" si="1"/>
        <v>1.810580145</v>
      </c>
      <c r="I923" s="41">
        <v>0.476635514</v>
      </c>
      <c r="J923" s="41">
        <v>0.158878505</v>
      </c>
      <c r="K923" s="41">
        <v>0.364485981</v>
      </c>
      <c r="L923" s="41">
        <f t="shared" si="2"/>
        <v>0.112149533</v>
      </c>
      <c r="M923" s="74">
        <v>3.735918919</v>
      </c>
    </row>
    <row r="924">
      <c r="A924" s="1" t="s">
        <v>95</v>
      </c>
      <c r="B924" s="38">
        <v>543243.0</v>
      </c>
      <c r="C924" s="72">
        <v>45755.0</v>
      </c>
      <c r="D924" s="38">
        <v>65.0</v>
      </c>
      <c r="E924" s="73">
        <f>IFERROR(__xludf.DUMMYFUNCTION("average(filter('Appearance Sheet'!F:F,'Appearance Sheet'!G:G=B924,'Appearance Sheet'!A:A=C924))"),5.0)</f>
        <v>5</v>
      </c>
      <c r="F924" s="67">
        <v>5.2973197</v>
      </c>
      <c r="G924" s="40">
        <v>1.104218484</v>
      </c>
      <c r="H924" s="40">
        <f t="shared" si="1"/>
        <v>1.987593271</v>
      </c>
      <c r="I924" s="41">
        <v>0.492307692</v>
      </c>
      <c r="J924" s="41">
        <v>0.230769231</v>
      </c>
      <c r="K924" s="41">
        <v>0.276923077</v>
      </c>
      <c r="L924" s="41">
        <f t="shared" si="2"/>
        <v>0.215384615</v>
      </c>
      <c r="M924" s="74">
        <v>0.948250702</v>
      </c>
    </row>
    <row r="925">
      <c r="A925" s="1" t="s">
        <v>155</v>
      </c>
      <c r="B925" s="38">
        <v>592332.0</v>
      </c>
      <c r="C925" s="72">
        <v>45762.0</v>
      </c>
      <c r="D925" s="38">
        <v>92.0</v>
      </c>
      <c r="E925" s="73">
        <f>IFERROR(__xludf.DUMMYFUNCTION("average(filter('Appearance Sheet'!F:F,'Appearance Sheet'!G:G=B925,'Appearance Sheet'!A:A=C925))"),6.0)</f>
        <v>6</v>
      </c>
      <c r="F925" s="67">
        <v>5.296992528</v>
      </c>
      <c r="G925" s="40">
        <v>1.565645326</v>
      </c>
      <c r="H925" s="40">
        <f t="shared" si="1"/>
        <v>2.348467989</v>
      </c>
      <c r="I925" s="41">
        <v>0.510869565</v>
      </c>
      <c r="J925" s="41">
        <v>0.173913043</v>
      </c>
      <c r="K925" s="41">
        <v>0.315217391</v>
      </c>
      <c r="L925" s="41">
        <f t="shared" si="2"/>
        <v>0.195652174</v>
      </c>
      <c r="M925" s="74">
        <v>0.681721931</v>
      </c>
    </row>
    <row r="926">
      <c r="A926" s="1" t="s">
        <v>432</v>
      </c>
      <c r="B926" s="38">
        <v>669467.0</v>
      </c>
      <c r="C926" s="72">
        <v>45856.0</v>
      </c>
      <c r="D926" s="38">
        <v>85.0</v>
      </c>
      <c r="E926" s="73" t="str">
        <f>IFERROR(__xludf.DUMMYFUNCTION("average(filter('Appearance Sheet'!F:F,'Appearance Sheet'!G:G=B926,'Appearance Sheet'!A:A=C926))"),"#N/A")</f>
        <v>#N/A</v>
      </c>
      <c r="F926" s="67">
        <v>5.296600647</v>
      </c>
      <c r="G926" s="40">
        <v>1.515909439</v>
      </c>
      <c r="H926" s="40" t="str">
        <f t="shared" si="1"/>
        <v>#N/A</v>
      </c>
      <c r="I926" s="41">
        <v>0.517647059</v>
      </c>
      <c r="J926" s="41">
        <v>0.152941176</v>
      </c>
      <c r="K926" s="41">
        <v>0.329411765</v>
      </c>
      <c r="L926" s="41">
        <f t="shared" si="2"/>
        <v>0.188235294</v>
      </c>
      <c r="M926" s="74">
        <v>-3.487339618</v>
      </c>
    </row>
    <row r="927">
      <c r="A927" s="1" t="s">
        <v>324</v>
      </c>
      <c r="B927" s="38">
        <v>471911.0</v>
      </c>
      <c r="C927" s="72">
        <v>45869.0</v>
      </c>
      <c r="D927" s="38">
        <v>91.0</v>
      </c>
      <c r="E927" s="73" t="str">
        <f>IFERROR(__xludf.DUMMYFUNCTION("average(filter('Appearance Sheet'!F:F,'Appearance Sheet'!G:G=B927,'Appearance Sheet'!A:A=C927))"),"#N/A")</f>
        <v>#N/A</v>
      </c>
      <c r="F927" s="67">
        <v>5.296135177</v>
      </c>
      <c r="G927" s="40">
        <v>1.579293281</v>
      </c>
      <c r="H927" s="40" t="str">
        <f t="shared" si="1"/>
        <v>#N/A</v>
      </c>
      <c r="I927" s="41">
        <v>0.56043956</v>
      </c>
      <c r="J927" s="41">
        <v>0.142857143</v>
      </c>
      <c r="K927" s="41">
        <v>0.296703297</v>
      </c>
      <c r="L927" s="41">
        <f t="shared" si="2"/>
        <v>0.263736263</v>
      </c>
      <c r="M927" s="74">
        <v>0.67120181</v>
      </c>
    </row>
    <row r="928">
      <c r="A928" s="1" t="s">
        <v>97</v>
      </c>
      <c r="B928" s="38">
        <v>656876.0</v>
      </c>
      <c r="C928" s="72">
        <v>45822.0</v>
      </c>
      <c r="D928" s="38">
        <v>86.0</v>
      </c>
      <c r="E928" s="73">
        <f>IFERROR(__xludf.DUMMYFUNCTION("average(filter('Appearance Sheet'!F:F,'Appearance Sheet'!G:G=B928,'Appearance Sheet'!A:A=C928))"),5.0)</f>
        <v>5</v>
      </c>
      <c r="F928" s="67">
        <v>5.29572636</v>
      </c>
      <c r="G928" s="40">
        <v>1.481338832</v>
      </c>
      <c r="H928" s="40">
        <f t="shared" si="1"/>
        <v>2.666409898</v>
      </c>
      <c r="I928" s="41">
        <v>0.465116279</v>
      </c>
      <c r="J928" s="41">
        <v>0.23255814</v>
      </c>
      <c r="K928" s="41">
        <v>0.302325581</v>
      </c>
      <c r="L928" s="41">
        <f t="shared" si="2"/>
        <v>0.162790698</v>
      </c>
      <c r="M928" s="74">
        <v>-1.84879972</v>
      </c>
    </row>
    <row r="929">
      <c r="A929" s="1" t="s">
        <v>90</v>
      </c>
      <c r="B929" s="38">
        <v>693433.0</v>
      </c>
      <c r="C929" s="72">
        <v>45831.0</v>
      </c>
      <c r="D929" s="38">
        <v>86.0</v>
      </c>
      <c r="E929" s="73">
        <f>IFERROR(__xludf.DUMMYFUNCTION("average(filter('Appearance Sheet'!F:F,'Appearance Sheet'!G:G=B929,'Appearance Sheet'!A:A=C929))"),6.0)</f>
        <v>6</v>
      </c>
      <c r="F929" s="67">
        <v>5.295573518</v>
      </c>
      <c r="G929" s="40">
        <v>1.482051647</v>
      </c>
      <c r="H929" s="40">
        <f t="shared" si="1"/>
        <v>2.223077471</v>
      </c>
      <c r="I929" s="41">
        <v>0.581395349</v>
      </c>
      <c r="J929" s="41">
        <v>0.139534884</v>
      </c>
      <c r="K929" s="41">
        <v>0.279069767</v>
      </c>
      <c r="L929" s="41">
        <f t="shared" si="2"/>
        <v>0.302325582</v>
      </c>
      <c r="M929" s="74">
        <v>-1.170617197</v>
      </c>
    </row>
    <row r="930">
      <c r="A930" s="1" t="s">
        <v>255</v>
      </c>
      <c r="B930" s="38">
        <v>688138.0</v>
      </c>
      <c r="C930" s="72">
        <v>45787.0</v>
      </c>
      <c r="D930" s="38">
        <v>85.0</v>
      </c>
      <c r="E930" s="73">
        <f>IFERROR(__xludf.DUMMYFUNCTION("average(filter('Appearance Sheet'!F:F,'Appearance Sheet'!G:G=B930,'Appearance Sheet'!A:A=C930))"),5.0)</f>
        <v>5</v>
      </c>
      <c r="F930" s="67">
        <v>5.295436186</v>
      </c>
      <c r="G930" s="40">
        <v>1.442219964</v>
      </c>
      <c r="H930" s="40">
        <f t="shared" si="1"/>
        <v>2.595995935</v>
      </c>
      <c r="I930" s="41">
        <v>0.505882353</v>
      </c>
      <c r="J930" s="41">
        <v>0.164705882</v>
      </c>
      <c r="K930" s="41">
        <v>0.329411765</v>
      </c>
      <c r="L930" s="41">
        <f t="shared" si="2"/>
        <v>0.176470588</v>
      </c>
      <c r="M930" s="74">
        <v>0.650486397</v>
      </c>
    </row>
    <row r="931">
      <c r="A931" s="1" t="s">
        <v>242</v>
      </c>
      <c r="B931" s="38">
        <v>669358.0</v>
      </c>
      <c r="C931" s="72">
        <v>45845.0</v>
      </c>
      <c r="D931" s="38">
        <v>90.0</v>
      </c>
      <c r="E931" s="73" t="str">
        <f>IFERROR(__xludf.DUMMYFUNCTION("average(filter('Appearance Sheet'!F:F,'Appearance Sheet'!G:G=B931,'Appearance Sheet'!A:A=C931))"),"#N/A")</f>
        <v>#N/A</v>
      </c>
      <c r="F931" s="67">
        <v>5.295100368</v>
      </c>
      <c r="G931" s="40">
        <v>1.575159962</v>
      </c>
      <c r="H931" s="40" t="str">
        <f t="shared" si="1"/>
        <v>#N/A</v>
      </c>
      <c r="I931" s="41">
        <v>0.422222222</v>
      </c>
      <c r="J931" s="41">
        <v>0.255555556</v>
      </c>
      <c r="K931" s="41">
        <v>0.322222222</v>
      </c>
      <c r="L931" s="41">
        <f t="shared" si="2"/>
        <v>0.1</v>
      </c>
      <c r="M931" s="74">
        <v>-2.186668565</v>
      </c>
    </row>
    <row r="932">
      <c r="A932" s="1" t="s">
        <v>399</v>
      </c>
      <c r="B932" s="38">
        <v>543294.0</v>
      </c>
      <c r="C932" s="72">
        <v>45808.0</v>
      </c>
      <c r="D932" s="38">
        <v>83.0</v>
      </c>
      <c r="E932" s="73">
        <f>IFERROR(__xludf.DUMMYFUNCTION("average(filter('Appearance Sheet'!F:F,'Appearance Sheet'!G:G=B932,'Appearance Sheet'!A:A=C932))"),5.666666666666667)</f>
        <v>5.666666667</v>
      </c>
      <c r="F932" s="67">
        <v>5.294326626</v>
      </c>
      <c r="G932" s="40">
        <v>1.439374947</v>
      </c>
      <c r="H932" s="40">
        <f t="shared" si="1"/>
        <v>2.286066092</v>
      </c>
      <c r="I932" s="41">
        <v>0.493975904</v>
      </c>
      <c r="J932" s="41">
        <v>0.21686747</v>
      </c>
      <c r="K932" s="41">
        <v>0.289156627</v>
      </c>
      <c r="L932" s="41">
        <f t="shared" si="2"/>
        <v>0.204819277</v>
      </c>
      <c r="M932" s="74">
        <v>-0.567942907</v>
      </c>
    </row>
    <row r="933">
      <c r="A933" s="1" t="s">
        <v>205</v>
      </c>
      <c r="B933" s="38">
        <v>666142.0</v>
      </c>
      <c r="C933" s="72">
        <v>45923.0</v>
      </c>
      <c r="D933" s="38">
        <v>71.0</v>
      </c>
      <c r="E933" s="73" t="str">
        <f>IFERROR(__xludf.DUMMYFUNCTION("average(filter('Appearance Sheet'!F:F,'Appearance Sheet'!G:G=B933,'Appearance Sheet'!A:A=C933))"),"#N/A")</f>
        <v>#N/A</v>
      </c>
      <c r="F933" s="67">
        <v>5.293984231</v>
      </c>
      <c r="G933" s="40">
        <v>1.21204507</v>
      </c>
      <c r="H933" s="40" t="str">
        <f t="shared" si="1"/>
        <v>#N/A</v>
      </c>
      <c r="I933" s="41">
        <v>0.577464789</v>
      </c>
      <c r="J933" s="41">
        <v>0.169014085</v>
      </c>
      <c r="K933" s="41">
        <v>0.253521127</v>
      </c>
      <c r="L933" s="41">
        <f t="shared" si="2"/>
        <v>0.323943662</v>
      </c>
      <c r="M933" s="74">
        <v>0.513586113</v>
      </c>
    </row>
    <row r="934">
      <c r="A934" s="1" t="s">
        <v>389</v>
      </c>
      <c r="B934" s="38">
        <v>682052.0</v>
      </c>
      <c r="C934" s="72">
        <v>45881.0</v>
      </c>
      <c r="D934" s="38">
        <v>93.0</v>
      </c>
      <c r="E934" s="73" t="str">
        <f>IFERROR(__xludf.DUMMYFUNCTION("average(filter('Appearance Sheet'!F:F,'Appearance Sheet'!G:G=B934,'Appearance Sheet'!A:A=C934))"),"#N/A")</f>
        <v>#N/A</v>
      </c>
      <c r="F934" s="67">
        <v>5.293899194</v>
      </c>
      <c r="G934" s="40">
        <v>1.566827784</v>
      </c>
      <c r="H934" s="40" t="str">
        <f t="shared" si="1"/>
        <v>#N/A</v>
      </c>
      <c r="I934" s="41">
        <v>0.462365591</v>
      </c>
      <c r="J934" s="41">
        <v>0.279569892</v>
      </c>
      <c r="K934" s="41">
        <v>0.258064516</v>
      </c>
      <c r="L934" s="41">
        <f t="shared" si="2"/>
        <v>0.204301075</v>
      </c>
      <c r="M934" s="74">
        <v>1.200843685</v>
      </c>
    </row>
    <row r="935">
      <c r="A935" s="1" t="s">
        <v>84</v>
      </c>
      <c r="B935" s="38">
        <v>669373.0</v>
      </c>
      <c r="C935" s="72">
        <v>45749.0</v>
      </c>
      <c r="D935" s="38">
        <v>90.0</v>
      </c>
      <c r="E935" s="73">
        <f>IFERROR(__xludf.DUMMYFUNCTION("average(filter('Appearance Sheet'!F:F,'Appearance Sheet'!G:G=B935,'Appearance Sheet'!A:A=C935))"),5.666666666666667)</f>
        <v>5.666666667</v>
      </c>
      <c r="F935" s="67">
        <v>5.293896903</v>
      </c>
      <c r="G935" s="40">
        <v>1.541163198</v>
      </c>
      <c r="H935" s="40">
        <f t="shared" si="1"/>
        <v>2.447729785</v>
      </c>
      <c r="I935" s="41">
        <v>0.577777778</v>
      </c>
      <c r="J935" s="41">
        <v>0.188888889</v>
      </c>
      <c r="K935" s="41">
        <v>0.233333333</v>
      </c>
      <c r="L935" s="41">
        <f t="shared" si="2"/>
        <v>0.344444445</v>
      </c>
      <c r="M935" s="74">
        <v>-0.90494839</v>
      </c>
    </row>
    <row r="936">
      <c r="A936" s="1" t="s">
        <v>88</v>
      </c>
      <c r="B936" s="38">
        <v>694973.0</v>
      </c>
      <c r="C936" s="72">
        <v>45833.0</v>
      </c>
      <c r="D936" s="38">
        <v>76.0</v>
      </c>
      <c r="E936" s="73">
        <f>IFERROR(__xludf.DUMMYFUNCTION("average(filter('Appearance Sheet'!F:F,'Appearance Sheet'!G:G=B936,'Appearance Sheet'!A:A=C936))"),4.0)</f>
        <v>4</v>
      </c>
      <c r="F936" s="67">
        <v>5.293873483</v>
      </c>
      <c r="G936" s="40">
        <v>1.300586493</v>
      </c>
      <c r="H936" s="40">
        <f t="shared" si="1"/>
        <v>2.926319609</v>
      </c>
      <c r="I936" s="41">
        <v>0.513157895</v>
      </c>
      <c r="J936" s="41">
        <v>0.184210526</v>
      </c>
      <c r="K936" s="41">
        <v>0.302631579</v>
      </c>
      <c r="L936" s="41">
        <f t="shared" si="2"/>
        <v>0.210526316</v>
      </c>
      <c r="M936" s="74">
        <v>1.000144764</v>
      </c>
    </row>
    <row r="937">
      <c r="A937" s="1" t="s">
        <v>278</v>
      </c>
      <c r="B937" s="38">
        <v>542881.0</v>
      </c>
      <c r="C937" s="72">
        <v>45771.0</v>
      </c>
      <c r="D937" s="38">
        <v>87.0</v>
      </c>
      <c r="E937" s="73">
        <f>IFERROR(__xludf.DUMMYFUNCTION("average(filter('Appearance Sheet'!F:F,'Appearance Sheet'!G:G=B937,'Appearance Sheet'!A:A=C937))"),6.0)</f>
        <v>6</v>
      </c>
      <c r="F937" s="67">
        <v>5.293776037</v>
      </c>
      <c r="G937" s="40">
        <v>1.490905373</v>
      </c>
      <c r="H937" s="40">
        <f t="shared" si="1"/>
        <v>2.23635806</v>
      </c>
      <c r="I937" s="41">
        <v>0.448275862</v>
      </c>
      <c r="J937" s="41">
        <v>0.206896552</v>
      </c>
      <c r="K937" s="41">
        <v>0.344827586</v>
      </c>
      <c r="L937" s="41">
        <f t="shared" si="2"/>
        <v>0.103448276</v>
      </c>
      <c r="M937" s="74">
        <v>-1.38010831</v>
      </c>
    </row>
    <row r="938">
      <c r="A938" s="1" t="s">
        <v>77</v>
      </c>
      <c r="B938" s="38">
        <v>657277.0</v>
      </c>
      <c r="C938" s="72">
        <v>45908.0</v>
      </c>
      <c r="D938" s="38">
        <v>110.0</v>
      </c>
      <c r="E938" s="73" t="str">
        <f>IFERROR(__xludf.DUMMYFUNCTION("average(filter('Appearance Sheet'!F:F,'Appearance Sheet'!G:G=B938,'Appearance Sheet'!A:A=C938))"),"#N/A")</f>
        <v>#N/A</v>
      </c>
      <c r="F938" s="67">
        <v>5.293732003</v>
      </c>
      <c r="G938" s="40">
        <v>1.848274798</v>
      </c>
      <c r="H938" s="40" t="str">
        <f t="shared" si="1"/>
        <v>#N/A</v>
      </c>
      <c r="I938" s="41">
        <v>0.545454545</v>
      </c>
      <c r="J938" s="41">
        <v>0.154545455</v>
      </c>
      <c r="K938" s="41">
        <v>0.3</v>
      </c>
      <c r="L938" s="41">
        <f t="shared" si="2"/>
        <v>0.245454545</v>
      </c>
      <c r="M938" s="74">
        <v>1.01575007</v>
      </c>
    </row>
    <row r="939">
      <c r="A939" s="1" t="s">
        <v>220</v>
      </c>
      <c r="B939" s="38">
        <v>663559.0</v>
      </c>
      <c r="C939" s="72">
        <v>45808.0</v>
      </c>
      <c r="D939" s="38">
        <v>76.0</v>
      </c>
      <c r="E939" s="73">
        <f>IFERROR(__xludf.DUMMYFUNCTION("average(filter('Appearance Sheet'!F:F,'Appearance Sheet'!G:G=B939,'Appearance Sheet'!A:A=C939))"),6.333333333333333)</f>
        <v>6.333333333</v>
      </c>
      <c r="F939" s="67">
        <v>5.293593607</v>
      </c>
      <c r="G939" s="40">
        <v>1.293930844</v>
      </c>
      <c r="H939" s="40">
        <f t="shared" si="1"/>
        <v>1.838743831</v>
      </c>
      <c r="I939" s="41">
        <v>0.526315789</v>
      </c>
      <c r="J939" s="41">
        <v>0.171052632</v>
      </c>
      <c r="K939" s="41">
        <v>0.302631579</v>
      </c>
      <c r="L939" s="41">
        <f t="shared" si="2"/>
        <v>0.22368421</v>
      </c>
      <c r="M939" s="74">
        <v>1.800595121</v>
      </c>
    </row>
    <row r="940">
      <c r="A940" s="1" t="s">
        <v>164</v>
      </c>
      <c r="B940" s="38">
        <v>669923.0</v>
      </c>
      <c r="C940" s="72">
        <v>45859.0</v>
      </c>
      <c r="D940" s="38">
        <v>79.0</v>
      </c>
      <c r="E940" s="73" t="str">
        <f>IFERROR(__xludf.DUMMYFUNCTION("average(filter('Appearance Sheet'!F:F,'Appearance Sheet'!G:G=B940,'Appearance Sheet'!A:A=C940))"),"#N/A")</f>
        <v>#N/A</v>
      </c>
      <c r="F940" s="67">
        <v>5.293557732</v>
      </c>
      <c r="G940" s="40">
        <v>1.359239416</v>
      </c>
      <c r="H940" s="40" t="str">
        <f t="shared" si="1"/>
        <v>#N/A</v>
      </c>
      <c r="I940" s="41">
        <v>0.53164557</v>
      </c>
      <c r="J940" s="41">
        <v>0.17721519</v>
      </c>
      <c r="K940" s="41">
        <v>0.291139241</v>
      </c>
      <c r="L940" s="41">
        <f t="shared" si="2"/>
        <v>0.240506329</v>
      </c>
      <c r="M940" s="74">
        <v>-0.19064861</v>
      </c>
    </row>
    <row r="941">
      <c r="A941" s="1" t="s">
        <v>88</v>
      </c>
      <c r="B941" s="38">
        <v>694973.0</v>
      </c>
      <c r="C941" s="72">
        <v>45789.0</v>
      </c>
      <c r="D941" s="38">
        <v>90.0</v>
      </c>
      <c r="E941" s="73">
        <f>IFERROR(__xludf.DUMMYFUNCTION("average(filter('Appearance Sheet'!F:F,'Appearance Sheet'!G:G=B941,'Appearance Sheet'!A:A=C941))"),6.0)</f>
        <v>6</v>
      </c>
      <c r="F941" s="67">
        <v>5.293297782</v>
      </c>
      <c r="G941" s="40">
        <v>1.559185954</v>
      </c>
      <c r="H941" s="40">
        <f t="shared" si="1"/>
        <v>2.338778931</v>
      </c>
      <c r="I941" s="41">
        <v>0.588888889</v>
      </c>
      <c r="J941" s="41">
        <v>0.077777778</v>
      </c>
      <c r="K941" s="41">
        <v>0.333333333</v>
      </c>
      <c r="L941" s="41">
        <f t="shared" si="2"/>
        <v>0.255555556</v>
      </c>
      <c r="M941" s="74">
        <v>-1.565747678</v>
      </c>
    </row>
    <row r="942">
      <c r="A942" s="1" t="s">
        <v>197</v>
      </c>
      <c r="B942" s="38">
        <v>676467.0</v>
      </c>
      <c r="C942" s="72">
        <v>45802.0</v>
      </c>
      <c r="D942" s="38">
        <v>79.0</v>
      </c>
      <c r="E942" s="73">
        <f>IFERROR(__xludf.DUMMYFUNCTION("average(filter('Appearance Sheet'!F:F,'Appearance Sheet'!G:G=B942,'Appearance Sheet'!A:A=C942))"),5.0)</f>
        <v>5</v>
      </c>
      <c r="F942" s="67">
        <v>5.293111629</v>
      </c>
      <c r="G942" s="40">
        <v>1.371862145</v>
      </c>
      <c r="H942" s="40">
        <f t="shared" si="1"/>
        <v>2.469351861</v>
      </c>
      <c r="I942" s="41">
        <v>0.53164557</v>
      </c>
      <c r="J942" s="41">
        <v>0.202531646</v>
      </c>
      <c r="K942" s="41">
        <v>0.265822785</v>
      </c>
      <c r="L942" s="41">
        <f t="shared" si="2"/>
        <v>0.265822785</v>
      </c>
      <c r="M942" s="74">
        <v>-1.743244199</v>
      </c>
    </row>
    <row r="943">
      <c r="A943" s="1" t="s">
        <v>376</v>
      </c>
      <c r="B943" s="38">
        <v>668909.0</v>
      </c>
      <c r="C943" s="72">
        <v>45745.0</v>
      </c>
      <c r="D943" s="38">
        <v>71.0</v>
      </c>
      <c r="E943" s="73">
        <f>IFERROR(__xludf.DUMMYFUNCTION("average(filter('Appearance Sheet'!F:F,'Appearance Sheet'!G:G=B943,'Appearance Sheet'!A:A=C943))"),5.0)</f>
        <v>5</v>
      </c>
      <c r="F943" s="67">
        <v>5.293072767</v>
      </c>
      <c r="G943" s="40">
        <v>1.239973434</v>
      </c>
      <c r="H943" s="40">
        <f t="shared" si="1"/>
        <v>2.231952181</v>
      </c>
      <c r="I943" s="41">
        <v>0.464788732</v>
      </c>
      <c r="J943" s="41">
        <v>0.183098592</v>
      </c>
      <c r="K943" s="41">
        <v>0.352112676</v>
      </c>
      <c r="L943" s="41">
        <f t="shared" si="2"/>
        <v>0.112676056</v>
      </c>
      <c r="M943" s="74">
        <v>-0.150141729</v>
      </c>
    </row>
    <row r="944">
      <c r="A944" s="1" t="s">
        <v>96</v>
      </c>
      <c r="B944" s="38">
        <v>690986.0</v>
      </c>
      <c r="C944" s="72">
        <v>45807.0</v>
      </c>
      <c r="D944" s="38">
        <v>77.0</v>
      </c>
      <c r="E944" s="73">
        <f>IFERROR(__xludf.DUMMYFUNCTION("average(filter('Appearance Sheet'!F:F,'Appearance Sheet'!G:G=B944,'Appearance Sheet'!A:A=C944))"),5.0)</f>
        <v>5</v>
      </c>
      <c r="F944" s="67">
        <v>5.29298215</v>
      </c>
      <c r="G944" s="40">
        <v>1.303313928</v>
      </c>
      <c r="H944" s="40">
        <f t="shared" si="1"/>
        <v>2.34596507</v>
      </c>
      <c r="I944" s="41">
        <v>0.545454545</v>
      </c>
      <c r="J944" s="41">
        <v>0.12987013</v>
      </c>
      <c r="K944" s="41">
        <v>0.324675325</v>
      </c>
      <c r="L944" s="41">
        <f t="shared" si="2"/>
        <v>0.22077922</v>
      </c>
      <c r="M944" s="74">
        <v>2.604087573</v>
      </c>
    </row>
    <row r="945">
      <c r="A945" s="1" t="s">
        <v>555</v>
      </c>
      <c r="B945" s="38">
        <v>701656.0</v>
      </c>
      <c r="C945" s="72">
        <v>45872.0</v>
      </c>
      <c r="D945" s="38">
        <v>76.0</v>
      </c>
      <c r="E945" s="73" t="str">
        <f>IFERROR(__xludf.DUMMYFUNCTION("average(filter('Appearance Sheet'!F:F,'Appearance Sheet'!G:G=B945,'Appearance Sheet'!A:A=C945))"),"#N/A")</f>
        <v>#N/A</v>
      </c>
      <c r="F945" s="67">
        <v>5.292971379</v>
      </c>
      <c r="G945" s="40">
        <v>1.288593851</v>
      </c>
      <c r="H945" s="40" t="str">
        <f t="shared" si="1"/>
        <v>#N/A</v>
      </c>
      <c r="I945" s="41">
        <v>0.5</v>
      </c>
      <c r="J945" s="41">
        <v>0.236842105</v>
      </c>
      <c r="K945" s="41">
        <v>0.263157895</v>
      </c>
      <c r="L945" s="41">
        <f t="shared" si="2"/>
        <v>0.236842105</v>
      </c>
      <c r="M945" s="74">
        <v>1.145442612</v>
      </c>
    </row>
    <row r="946">
      <c r="A946" s="1" t="s">
        <v>300</v>
      </c>
      <c r="B946" s="38">
        <v>506433.0</v>
      </c>
      <c r="C946" s="72">
        <v>45886.0</v>
      </c>
      <c r="D946" s="38">
        <v>80.0</v>
      </c>
      <c r="E946" s="73" t="str">
        <f>IFERROR(__xludf.DUMMYFUNCTION("average(filter('Appearance Sheet'!F:F,'Appearance Sheet'!G:G=B946,'Appearance Sheet'!A:A=C946))"),"#N/A")</f>
        <v>#N/A</v>
      </c>
      <c r="F946" s="67">
        <v>5.292820155</v>
      </c>
      <c r="G946" s="40">
        <v>1.350377695</v>
      </c>
      <c r="H946" s="40" t="str">
        <f t="shared" si="1"/>
        <v>#N/A</v>
      </c>
      <c r="I946" s="41">
        <v>0.5125</v>
      </c>
      <c r="J946" s="41">
        <v>0.1625</v>
      </c>
      <c r="K946" s="41">
        <v>0.325</v>
      </c>
      <c r="L946" s="41">
        <f t="shared" si="2"/>
        <v>0.1875</v>
      </c>
      <c r="M946" s="74">
        <v>2.810693956</v>
      </c>
    </row>
    <row r="947">
      <c r="A947" s="1" t="s">
        <v>95</v>
      </c>
      <c r="B947" s="38">
        <v>543243.0</v>
      </c>
      <c r="C947" s="72">
        <v>45896.0</v>
      </c>
      <c r="D947" s="38">
        <v>85.0</v>
      </c>
      <c r="E947" s="73" t="str">
        <f>IFERROR(__xludf.DUMMYFUNCTION("average(filter('Appearance Sheet'!F:F,'Appearance Sheet'!G:G=B947,'Appearance Sheet'!A:A=C947))"),"#N/A")</f>
        <v>#N/A</v>
      </c>
      <c r="F947" s="67">
        <v>5.292777665</v>
      </c>
      <c r="G947" s="40">
        <v>1.466823335</v>
      </c>
      <c r="H947" s="40" t="str">
        <f t="shared" si="1"/>
        <v>#N/A</v>
      </c>
      <c r="I947" s="41">
        <v>0.529411765</v>
      </c>
      <c r="J947" s="41">
        <v>0.164705882</v>
      </c>
      <c r="K947" s="41">
        <v>0.305882353</v>
      </c>
      <c r="L947" s="41">
        <f t="shared" si="2"/>
        <v>0.223529412</v>
      </c>
      <c r="M947" s="74">
        <v>1.397592947</v>
      </c>
    </row>
    <row r="948">
      <c r="A948" s="1" t="s">
        <v>84</v>
      </c>
      <c r="B948" s="38">
        <v>669373.0</v>
      </c>
      <c r="C948" s="72">
        <v>45858.0</v>
      </c>
      <c r="D948" s="38">
        <v>104.0</v>
      </c>
      <c r="E948" s="73" t="str">
        <f>IFERROR(__xludf.DUMMYFUNCTION("average(filter('Appearance Sheet'!F:F,'Appearance Sheet'!G:G=B948,'Appearance Sheet'!A:A=C948))"),"#N/A")</f>
        <v>#N/A</v>
      </c>
      <c r="F948" s="67">
        <v>5.292620655</v>
      </c>
      <c r="G948" s="40">
        <v>1.760600878</v>
      </c>
      <c r="H948" s="40" t="str">
        <f t="shared" si="1"/>
        <v>#N/A</v>
      </c>
      <c r="I948" s="41">
        <v>0.461538462</v>
      </c>
      <c r="J948" s="41">
        <v>0.201923077</v>
      </c>
      <c r="K948" s="41">
        <v>0.336538462</v>
      </c>
      <c r="L948" s="41">
        <f t="shared" si="2"/>
        <v>0.125</v>
      </c>
      <c r="M948" s="74">
        <v>2.164850744</v>
      </c>
    </row>
    <row r="949">
      <c r="A949" s="1" t="s">
        <v>118</v>
      </c>
      <c r="B949" s="38">
        <v>695505.0</v>
      </c>
      <c r="C949" s="72">
        <v>45832.0</v>
      </c>
      <c r="D949" s="38">
        <v>79.0</v>
      </c>
      <c r="E949" s="73">
        <f>IFERROR(__xludf.DUMMYFUNCTION("average(filter('Appearance Sheet'!F:F,'Appearance Sheet'!G:G=B949,'Appearance Sheet'!A:A=C949))"),5.0)</f>
        <v>5</v>
      </c>
      <c r="F949" s="67">
        <v>5.292548564</v>
      </c>
      <c r="G949" s="40">
        <v>1.363958133</v>
      </c>
      <c r="H949" s="40">
        <f t="shared" si="1"/>
        <v>2.455124639</v>
      </c>
      <c r="I949" s="41">
        <v>0.493670886</v>
      </c>
      <c r="J949" s="41">
        <v>0.139240506</v>
      </c>
      <c r="K949" s="41">
        <v>0.367088608</v>
      </c>
      <c r="L949" s="41">
        <f t="shared" si="2"/>
        <v>0.126582278</v>
      </c>
      <c r="M949" s="74">
        <v>-2.043177339</v>
      </c>
    </row>
    <row r="950">
      <c r="A950" s="1" t="s">
        <v>321</v>
      </c>
      <c r="B950" s="38">
        <v>607200.0</v>
      </c>
      <c r="C950" s="72">
        <v>45768.0</v>
      </c>
      <c r="D950" s="38">
        <v>79.0</v>
      </c>
      <c r="E950" s="73">
        <f>IFERROR(__xludf.DUMMYFUNCTION("average(filter('Appearance Sheet'!F:F,'Appearance Sheet'!G:G=B950,'Appearance Sheet'!A:A=C950))"),6.0)</f>
        <v>6</v>
      </c>
      <c r="F950" s="67">
        <v>5.292530805</v>
      </c>
      <c r="G950" s="40">
        <v>1.387519822</v>
      </c>
      <c r="H950" s="40">
        <f t="shared" si="1"/>
        <v>2.081279733</v>
      </c>
      <c r="I950" s="41">
        <v>0.518987342</v>
      </c>
      <c r="J950" s="41">
        <v>0.215189873</v>
      </c>
      <c r="K950" s="41">
        <v>0.265822785</v>
      </c>
      <c r="L950" s="41">
        <f t="shared" si="2"/>
        <v>0.253164557</v>
      </c>
      <c r="M950" s="74">
        <v>0.858949057</v>
      </c>
    </row>
    <row r="951">
      <c r="A951" s="1" t="s">
        <v>411</v>
      </c>
      <c r="B951" s="38">
        <v>605288.0</v>
      </c>
      <c r="C951" s="72">
        <v>45857.0</v>
      </c>
      <c r="D951" s="38">
        <v>76.0</v>
      </c>
      <c r="E951" s="73" t="str">
        <f>IFERROR(__xludf.DUMMYFUNCTION("average(filter('Appearance Sheet'!F:F,'Appearance Sheet'!G:G=B951,'Appearance Sheet'!A:A=C951))"),"#N/A")</f>
        <v>#N/A</v>
      </c>
      <c r="F951" s="67">
        <v>5.292454715</v>
      </c>
      <c r="G951" s="40">
        <v>1.285884037</v>
      </c>
      <c r="H951" s="40" t="str">
        <f t="shared" si="1"/>
        <v>#N/A</v>
      </c>
      <c r="I951" s="41">
        <v>0.5</v>
      </c>
      <c r="J951" s="41">
        <v>0.210526316</v>
      </c>
      <c r="K951" s="41">
        <v>0.289473684</v>
      </c>
      <c r="L951" s="41">
        <f t="shared" si="2"/>
        <v>0.210526316</v>
      </c>
      <c r="M951" s="74">
        <v>-4.86717886</v>
      </c>
    </row>
    <row r="952">
      <c r="A952" s="1" t="s">
        <v>461</v>
      </c>
      <c r="B952" s="38">
        <v>673540.0</v>
      </c>
      <c r="C952" s="72">
        <v>45883.0</v>
      </c>
      <c r="D952" s="38">
        <v>90.0</v>
      </c>
      <c r="E952" s="73" t="str">
        <f>IFERROR(__xludf.DUMMYFUNCTION("average(filter('Appearance Sheet'!F:F,'Appearance Sheet'!G:G=B952,'Appearance Sheet'!A:A=C952))"),"#N/A")</f>
        <v>#N/A</v>
      </c>
      <c r="F952" s="67">
        <v>5.292390089</v>
      </c>
      <c r="G952" s="40">
        <v>1.523891413</v>
      </c>
      <c r="H952" s="40" t="str">
        <f t="shared" si="1"/>
        <v>#N/A</v>
      </c>
      <c r="I952" s="41">
        <v>0.5</v>
      </c>
      <c r="J952" s="41">
        <v>0.144444444</v>
      </c>
      <c r="K952" s="41">
        <v>0.355555556</v>
      </c>
      <c r="L952" s="41">
        <f t="shared" si="2"/>
        <v>0.144444444</v>
      </c>
      <c r="M952" s="74">
        <v>0.437847445</v>
      </c>
    </row>
    <row r="953">
      <c r="A953" s="1" t="s">
        <v>145</v>
      </c>
      <c r="B953" s="38">
        <v>700241.0</v>
      </c>
      <c r="C953" s="72">
        <v>45888.0</v>
      </c>
      <c r="D953" s="38">
        <v>79.0</v>
      </c>
      <c r="E953" s="73" t="str">
        <f>IFERROR(__xludf.DUMMYFUNCTION("average(filter('Appearance Sheet'!F:F,'Appearance Sheet'!G:G=B953,'Appearance Sheet'!A:A=C953))"),"#N/A")</f>
        <v>#N/A</v>
      </c>
      <c r="F953" s="67">
        <v>5.292310212</v>
      </c>
      <c r="G953" s="40">
        <v>1.370092591</v>
      </c>
      <c r="H953" s="40" t="str">
        <f t="shared" si="1"/>
        <v>#N/A</v>
      </c>
      <c r="I953" s="41">
        <v>0.443037975</v>
      </c>
      <c r="J953" s="41">
        <v>0.291139241</v>
      </c>
      <c r="K953" s="41">
        <v>0.265822785</v>
      </c>
      <c r="L953" s="41">
        <f t="shared" si="2"/>
        <v>0.17721519</v>
      </c>
      <c r="M953" s="74">
        <v>-0.455293792</v>
      </c>
    </row>
    <row r="954">
      <c r="A954" s="1" t="s">
        <v>93</v>
      </c>
      <c r="B954" s="38">
        <v>669194.0</v>
      </c>
      <c r="C954" s="72">
        <v>45896.0</v>
      </c>
      <c r="D954" s="38">
        <v>98.0</v>
      </c>
      <c r="E954" s="73" t="str">
        <f>IFERROR(__xludf.DUMMYFUNCTION("average(filter('Appearance Sheet'!F:F,'Appearance Sheet'!G:G=B954,'Appearance Sheet'!A:A=C954))"),"#N/A")</f>
        <v>#N/A</v>
      </c>
      <c r="F954" s="67">
        <v>5.292159378</v>
      </c>
      <c r="G954" s="40">
        <v>1.710771131</v>
      </c>
      <c r="H954" s="40" t="str">
        <f t="shared" si="1"/>
        <v>#N/A</v>
      </c>
      <c r="I954" s="41">
        <v>0.510204082</v>
      </c>
      <c r="J954" s="41">
        <v>0.244897959</v>
      </c>
      <c r="K954" s="41">
        <v>0.244897959</v>
      </c>
      <c r="L954" s="41">
        <f t="shared" si="2"/>
        <v>0.265306123</v>
      </c>
      <c r="M954" s="74">
        <v>0.93052318</v>
      </c>
    </row>
    <row r="955">
      <c r="A955" s="1" t="s">
        <v>339</v>
      </c>
      <c r="B955" s="38">
        <v>686613.0</v>
      </c>
      <c r="C955" s="72">
        <v>45774.0</v>
      </c>
      <c r="D955" s="38">
        <v>91.0</v>
      </c>
      <c r="E955" s="73">
        <f>IFERROR(__xludf.DUMMYFUNCTION("average(filter('Appearance Sheet'!F:F,'Appearance Sheet'!G:G=B955,'Appearance Sheet'!A:A=C955))"),6.0)</f>
        <v>6</v>
      </c>
      <c r="F955" s="67">
        <v>5.291967184</v>
      </c>
      <c r="G955" s="40">
        <v>1.567619654</v>
      </c>
      <c r="H955" s="40">
        <f t="shared" si="1"/>
        <v>2.351429481</v>
      </c>
      <c r="I955" s="41">
        <v>0.472527473</v>
      </c>
      <c r="J955" s="41">
        <v>0.230769231</v>
      </c>
      <c r="K955" s="41">
        <v>0.296703297</v>
      </c>
      <c r="L955" s="41">
        <f t="shared" si="2"/>
        <v>0.175824176</v>
      </c>
      <c r="M955" s="74">
        <v>-0.68741698</v>
      </c>
    </row>
    <row r="956">
      <c r="A956" s="1" t="s">
        <v>431</v>
      </c>
      <c r="B956" s="38">
        <v>669203.0</v>
      </c>
      <c r="C956" s="72">
        <v>45804.0</v>
      </c>
      <c r="D956" s="38">
        <v>98.0</v>
      </c>
      <c r="E956" s="73">
        <f>IFERROR(__xludf.DUMMYFUNCTION("average(filter('Appearance Sheet'!F:F,'Appearance Sheet'!G:G=B956,'Appearance Sheet'!A:A=C956))"),7.0)</f>
        <v>7</v>
      </c>
      <c r="F956" s="67">
        <v>5.291574342</v>
      </c>
      <c r="G956" s="40">
        <v>1.720881525</v>
      </c>
      <c r="H956" s="40">
        <f t="shared" si="1"/>
        <v>2.212561961</v>
      </c>
      <c r="I956" s="41">
        <v>0.520408163</v>
      </c>
      <c r="J956" s="41">
        <v>0.244897959</v>
      </c>
      <c r="K956" s="41">
        <v>0.234693878</v>
      </c>
      <c r="L956" s="41">
        <f t="shared" si="2"/>
        <v>0.285714285</v>
      </c>
      <c r="M956" s="74">
        <v>0.387159226</v>
      </c>
    </row>
    <row r="957">
      <c r="A957" s="1" t="s">
        <v>153</v>
      </c>
      <c r="B957" s="38">
        <v>669302.0</v>
      </c>
      <c r="C957" s="72">
        <v>45916.0</v>
      </c>
      <c r="D957" s="38">
        <v>83.0</v>
      </c>
      <c r="E957" s="73" t="str">
        <f>IFERROR(__xludf.DUMMYFUNCTION("average(filter('Appearance Sheet'!F:F,'Appearance Sheet'!G:G=B957,'Appearance Sheet'!A:A=C957))"),"#N/A")</f>
        <v>#N/A</v>
      </c>
      <c r="F957" s="67">
        <v>5.291160668</v>
      </c>
      <c r="G957" s="40">
        <v>1.463262274</v>
      </c>
      <c r="H957" s="40" t="str">
        <f t="shared" si="1"/>
        <v>#N/A</v>
      </c>
      <c r="I957" s="41">
        <v>0.493975904</v>
      </c>
      <c r="J957" s="41">
        <v>0.277108434</v>
      </c>
      <c r="K957" s="41">
        <v>0.228915663</v>
      </c>
      <c r="L957" s="41">
        <f t="shared" si="2"/>
        <v>0.265060241</v>
      </c>
      <c r="M957" s="74">
        <v>-1.508621454</v>
      </c>
    </row>
    <row r="958">
      <c r="A958" s="1" t="s">
        <v>173</v>
      </c>
      <c r="B958" s="38">
        <v>641927.0</v>
      </c>
      <c r="C958" s="72">
        <v>45762.0</v>
      </c>
      <c r="D958" s="38">
        <v>77.0</v>
      </c>
      <c r="E958" s="73">
        <f>IFERROR(__xludf.DUMMYFUNCTION("average(filter('Appearance Sheet'!F:F,'Appearance Sheet'!G:G=B958,'Appearance Sheet'!A:A=C958))"),6.333333333333333)</f>
        <v>6.333333333</v>
      </c>
      <c r="F958" s="67">
        <v>5.290706866</v>
      </c>
      <c r="G958" s="40">
        <v>1.347082706</v>
      </c>
      <c r="H958" s="40">
        <f t="shared" si="1"/>
        <v>1.914275424</v>
      </c>
      <c r="I958" s="41">
        <v>0.493506494</v>
      </c>
      <c r="J958" s="41">
        <v>0.181818182</v>
      </c>
      <c r="K958" s="41">
        <v>0.324675325</v>
      </c>
      <c r="L958" s="41">
        <f t="shared" si="2"/>
        <v>0.168831169</v>
      </c>
      <c r="M958" s="74">
        <v>-0.140701146</v>
      </c>
    </row>
    <row r="959">
      <c r="A959" s="1" t="s">
        <v>84</v>
      </c>
      <c r="B959" s="38">
        <v>669373.0</v>
      </c>
      <c r="C959" s="72">
        <v>45786.0</v>
      </c>
      <c r="D959" s="38">
        <v>93.0</v>
      </c>
      <c r="E959" s="73">
        <f>IFERROR(__xludf.DUMMYFUNCTION("average(filter('Appearance Sheet'!F:F,'Appearance Sheet'!G:G=B959,'Appearance Sheet'!A:A=C959))"),7.0)</f>
        <v>7</v>
      </c>
      <c r="F959" s="67">
        <v>5.290659614</v>
      </c>
      <c r="G959" s="40">
        <v>1.581876722</v>
      </c>
      <c r="H959" s="40">
        <f t="shared" si="1"/>
        <v>2.0338415</v>
      </c>
      <c r="I959" s="41">
        <v>0.569892473</v>
      </c>
      <c r="J959" s="41">
        <v>0.150537634</v>
      </c>
      <c r="K959" s="41">
        <v>0.279569892</v>
      </c>
      <c r="L959" s="41">
        <f t="shared" si="2"/>
        <v>0.290322581</v>
      </c>
      <c r="M959" s="74">
        <v>3.092059129</v>
      </c>
    </row>
    <row r="960">
      <c r="A960" s="1" t="s">
        <v>229</v>
      </c>
      <c r="B960" s="38">
        <v>645261.0</v>
      </c>
      <c r="C960" s="72">
        <v>45818.0</v>
      </c>
      <c r="D960" s="38">
        <v>85.0</v>
      </c>
      <c r="E960" s="73">
        <f>IFERROR(__xludf.DUMMYFUNCTION("average(filter('Appearance Sheet'!F:F,'Appearance Sheet'!G:G=B960,'Appearance Sheet'!A:A=C960))"),6.0)</f>
        <v>6</v>
      </c>
      <c r="F960" s="67">
        <v>5.290408158</v>
      </c>
      <c r="G960" s="40">
        <v>1.448849555</v>
      </c>
      <c r="H960" s="40">
        <f t="shared" si="1"/>
        <v>2.173274333</v>
      </c>
      <c r="I960" s="41">
        <v>0.494117647</v>
      </c>
      <c r="J960" s="41">
        <v>0.223529412</v>
      </c>
      <c r="K960" s="41">
        <v>0.282352941</v>
      </c>
      <c r="L960" s="41">
        <f t="shared" si="2"/>
        <v>0.211764706</v>
      </c>
      <c r="M960" s="74">
        <v>3.570365111</v>
      </c>
    </row>
    <row r="961">
      <c r="A961" s="1" t="s">
        <v>67</v>
      </c>
      <c r="B961" s="38">
        <v>684007.0</v>
      </c>
      <c r="C961" s="72">
        <v>45762.0</v>
      </c>
      <c r="D961" s="38">
        <v>90.0</v>
      </c>
      <c r="E961" s="73">
        <f>IFERROR(__xludf.DUMMYFUNCTION("average(filter('Appearance Sheet'!F:F,'Appearance Sheet'!G:G=B961,'Appearance Sheet'!A:A=C961))"),5.0)</f>
        <v>5</v>
      </c>
      <c r="F961" s="67">
        <v>5.290403101</v>
      </c>
      <c r="G961" s="40">
        <v>1.536535516</v>
      </c>
      <c r="H961" s="40">
        <f t="shared" si="1"/>
        <v>2.765763929</v>
      </c>
      <c r="I961" s="41">
        <v>0.522222222</v>
      </c>
      <c r="J961" s="41">
        <v>0.177777778</v>
      </c>
      <c r="K961" s="41">
        <v>0.3</v>
      </c>
      <c r="L961" s="41">
        <f t="shared" si="2"/>
        <v>0.222222222</v>
      </c>
      <c r="M961" s="74">
        <v>0.648499607</v>
      </c>
    </row>
    <row r="962">
      <c r="A962" s="1" t="s">
        <v>321</v>
      </c>
      <c r="B962" s="38">
        <v>607200.0</v>
      </c>
      <c r="C962" s="72">
        <v>45873.0</v>
      </c>
      <c r="D962" s="38">
        <v>82.0</v>
      </c>
      <c r="E962" s="73" t="str">
        <f>IFERROR(__xludf.DUMMYFUNCTION("average(filter('Appearance Sheet'!F:F,'Appearance Sheet'!G:G=B962,'Appearance Sheet'!A:A=C962))"),"#N/A")</f>
        <v>#N/A</v>
      </c>
      <c r="F962" s="67">
        <v>5.289566939</v>
      </c>
      <c r="G962" s="40">
        <v>1.412240735</v>
      </c>
      <c r="H962" s="40" t="str">
        <f t="shared" si="1"/>
        <v>#N/A</v>
      </c>
      <c r="I962" s="41">
        <v>0.475609756</v>
      </c>
      <c r="J962" s="41">
        <v>0.207317073</v>
      </c>
      <c r="K962" s="41">
        <v>0.317073171</v>
      </c>
      <c r="L962" s="41">
        <f t="shared" si="2"/>
        <v>0.158536585</v>
      </c>
      <c r="M962" s="74">
        <v>1.626904543</v>
      </c>
    </row>
    <row r="963">
      <c r="A963" s="1" t="s">
        <v>194</v>
      </c>
      <c r="B963" s="38">
        <v>666157.0</v>
      </c>
      <c r="C963" s="72">
        <v>45919.0</v>
      </c>
      <c r="D963" s="38">
        <v>91.0</v>
      </c>
      <c r="E963" s="73" t="str">
        <f>IFERROR(__xludf.DUMMYFUNCTION("average(filter('Appearance Sheet'!F:F,'Appearance Sheet'!G:G=B963,'Appearance Sheet'!A:A=C963))"),"#N/A")</f>
        <v>#N/A</v>
      </c>
      <c r="F963" s="67">
        <v>5.289380318</v>
      </c>
      <c r="G963" s="40">
        <v>1.547656178</v>
      </c>
      <c r="H963" s="40" t="str">
        <f t="shared" si="1"/>
        <v>#N/A</v>
      </c>
      <c r="I963" s="41">
        <v>0.505494505</v>
      </c>
      <c r="J963" s="41">
        <v>0.175824176</v>
      </c>
      <c r="K963" s="41">
        <v>0.318681319</v>
      </c>
      <c r="L963" s="41">
        <f t="shared" si="2"/>
        <v>0.186813186</v>
      </c>
      <c r="M963" s="74">
        <v>-3.224359007</v>
      </c>
    </row>
    <row r="964">
      <c r="A964" s="1" t="s">
        <v>163</v>
      </c>
      <c r="B964" s="38">
        <v>663460.0</v>
      </c>
      <c r="C964" s="72">
        <v>45769.0</v>
      </c>
      <c r="D964" s="38">
        <v>89.0</v>
      </c>
      <c r="E964" s="73">
        <f>IFERROR(__xludf.DUMMYFUNCTION("average(filter('Appearance Sheet'!F:F,'Appearance Sheet'!G:G=B964,'Appearance Sheet'!A:A=C964))"),7.0)</f>
        <v>7</v>
      </c>
      <c r="F964" s="67">
        <v>5.289198913</v>
      </c>
      <c r="G964" s="40">
        <v>1.55268473</v>
      </c>
      <c r="H964" s="40">
        <f t="shared" si="1"/>
        <v>1.996308939</v>
      </c>
      <c r="I964" s="41">
        <v>0.516853933</v>
      </c>
      <c r="J964" s="41">
        <v>0.157303371</v>
      </c>
      <c r="K964" s="41">
        <v>0.325842697</v>
      </c>
      <c r="L964" s="41">
        <f t="shared" si="2"/>
        <v>0.191011236</v>
      </c>
      <c r="M964" s="74">
        <v>1.1305021</v>
      </c>
    </row>
    <row r="965">
      <c r="A965" s="1" t="s">
        <v>79</v>
      </c>
      <c r="B965" s="38">
        <v>554430.0</v>
      </c>
      <c r="C965" s="72">
        <v>45828.0</v>
      </c>
      <c r="D965" s="38">
        <v>90.0</v>
      </c>
      <c r="E965" s="73">
        <f>IFERROR(__xludf.DUMMYFUNCTION("average(filter('Appearance Sheet'!F:F,'Appearance Sheet'!G:G=B965,'Appearance Sheet'!A:A=C965))"),5.0)</f>
        <v>5</v>
      </c>
      <c r="F965" s="67">
        <v>5.288599948</v>
      </c>
      <c r="G965" s="40">
        <v>1.532631843</v>
      </c>
      <c r="H965" s="40">
        <f t="shared" si="1"/>
        <v>2.758737317</v>
      </c>
      <c r="I965" s="41">
        <v>0.566666667</v>
      </c>
      <c r="J965" s="41">
        <v>0.122222222</v>
      </c>
      <c r="K965" s="41">
        <v>0.311111111</v>
      </c>
      <c r="L965" s="41">
        <f t="shared" si="2"/>
        <v>0.255555556</v>
      </c>
      <c r="M965" s="74">
        <v>0.147418287</v>
      </c>
    </row>
    <row r="966">
      <c r="A966" s="1" t="s">
        <v>410</v>
      </c>
      <c r="B966" s="38">
        <v>678394.0</v>
      </c>
      <c r="C966" s="72">
        <v>45811.0</v>
      </c>
      <c r="D966" s="38">
        <v>101.0</v>
      </c>
      <c r="E966" s="73">
        <f>IFERROR(__xludf.DUMMYFUNCTION("average(filter('Appearance Sheet'!F:F,'Appearance Sheet'!G:G=B966,'Appearance Sheet'!A:A=C966))"),6.0)</f>
        <v>6</v>
      </c>
      <c r="F966" s="67">
        <v>5.288472256</v>
      </c>
      <c r="G966" s="40">
        <v>1.752399345</v>
      </c>
      <c r="H966" s="40">
        <f t="shared" si="1"/>
        <v>2.628599018</v>
      </c>
      <c r="I966" s="41">
        <v>0.495049505</v>
      </c>
      <c r="J966" s="41">
        <v>0.207920792</v>
      </c>
      <c r="K966" s="41">
        <v>0.297029703</v>
      </c>
      <c r="L966" s="41">
        <f t="shared" si="2"/>
        <v>0.198019802</v>
      </c>
      <c r="M966" s="74">
        <v>1.561267084</v>
      </c>
    </row>
    <row r="967">
      <c r="A967" s="1" t="s">
        <v>246</v>
      </c>
      <c r="B967" s="38">
        <v>571510.0</v>
      </c>
      <c r="C967" s="72">
        <v>45782.0</v>
      </c>
      <c r="D967" s="38">
        <v>93.0</v>
      </c>
      <c r="E967" s="73">
        <f>IFERROR(__xludf.DUMMYFUNCTION("average(filter('Appearance Sheet'!F:F,'Appearance Sheet'!G:G=B967,'Appearance Sheet'!A:A=C967))"),6.0)</f>
        <v>6</v>
      </c>
      <c r="F967" s="67">
        <v>5.288442821</v>
      </c>
      <c r="G967" s="40">
        <v>1.620951785</v>
      </c>
      <c r="H967" s="40">
        <f t="shared" si="1"/>
        <v>2.431427678</v>
      </c>
      <c r="I967" s="41">
        <v>0.52688172</v>
      </c>
      <c r="J967" s="41">
        <v>0.172043011</v>
      </c>
      <c r="K967" s="41">
        <v>0.301075269</v>
      </c>
      <c r="L967" s="41">
        <f t="shared" si="2"/>
        <v>0.225806451</v>
      </c>
      <c r="M967" s="74">
        <v>0.804592101</v>
      </c>
    </row>
    <row r="968">
      <c r="A968" s="1" t="s">
        <v>35</v>
      </c>
      <c r="B968" s="38">
        <v>676083.0</v>
      </c>
      <c r="C968" s="72">
        <v>45870.0</v>
      </c>
      <c r="D968" s="38">
        <v>94.0</v>
      </c>
      <c r="E968" s="73" t="str">
        <f>IFERROR(__xludf.DUMMYFUNCTION("average(filter('Appearance Sheet'!F:F,'Appearance Sheet'!G:G=B968,'Appearance Sheet'!A:A=C968))"),"#N/A")</f>
        <v>#N/A</v>
      </c>
      <c r="F968" s="67">
        <v>5.288047331</v>
      </c>
      <c r="G968" s="40">
        <v>1.596289002</v>
      </c>
      <c r="H968" s="40" t="str">
        <f t="shared" si="1"/>
        <v>#N/A</v>
      </c>
      <c r="I968" s="41">
        <v>0.489361702</v>
      </c>
      <c r="J968" s="41">
        <v>0.244680851</v>
      </c>
      <c r="K968" s="41">
        <v>0.265957447</v>
      </c>
      <c r="L968" s="41">
        <f t="shared" si="2"/>
        <v>0.223404255</v>
      </c>
      <c r="M968" s="74">
        <v>-0.738675454</v>
      </c>
    </row>
    <row r="969">
      <c r="A969" s="1" t="s">
        <v>84</v>
      </c>
      <c r="B969" s="38">
        <v>669373.0</v>
      </c>
      <c r="C969" s="72">
        <v>45918.0</v>
      </c>
      <c r="D969" s="38">
        <v>100.0</v>
      </c>
      <c r="E969" s="73" t="str">
        <f>IFERROR(__xludf.DUMMYFUNCTION("average(filter('Appearance Sheet'!F:F,'Appearance Sheet'!G:G=B969,'Appearance Sheet'!A:A=C969))"),"#N/A")</f>
        <v>#N/A</v>
      </c>
      <c r="F969" s="67">
        <v>5.28786082</v>
      </c>
      <c r="G969" s="40">
        <v>1.728554559</v>
      </c>
      <c r="H969" s="40" t="str">
        <f t="shared" si="1"/>
        <v>#N/A</v>
      </c>
      <c r="I969" s="41">
        <v>0.52</v>
      </c>
      <c r="J969" s="41">
        <v>0.19</v>
      </c>
      <c r="K969" s="41">
        <v>0.29</v>
      </c>
      <c r="L969" s="41">
        <f t="shared" si="2"/>
        <v>0.23</v>
      </c>
      <c r="M969" s="74">
        <v>-0.924441365</v>
      </c>
    </row>
    <row r="970">
      <c r="A970" s="1" t="s">
        <v>95</v>
      </c>
      <c r="B970" s="38">
        <v>543243.0</v>
      </c>
      <c r="C970" s="72">
        <v>45761.0</v>
      </c>
      <c r="D970" s="38">
        <v>91.0</v>
      </c>
      <c r="E970" s="73">
        <f>IFERROR(__xludf.DUMMYFUNCTION("average(filter('Appearance Sheet'!F:F,'Appearance Sheet'!G:G=B970,'Appearance Sheet'!A:A=C970))"),7.0)</f>
        <v>7</v>
      </c>
      <c r="F970" s="67">
        <v>5.287809058</v>
      </c>
      <c r="G970" s="40">
        <v>1.558063794</v>
      </c>
      <c r="H970" s="40">
        <f t="shared" si="1"/>
        <v>2.003224878</v>
      </c>
      <c r="I970" s="41">
        <v>0.461538462</v>
      </c>
      <c r="J970" s="41">
        <v>0.21978022</v>
      </c>
      <c r="K970" s="41">
        <v>0.318681319</v>
      </c>
      <c r="L970" s="41">
        <f t="shared" si="2"/>
        <v>0.142857143</v>
      </c>
      <c r="M970" s="74">
        <v>3.640277371</v>
      </c>
    </row>
    <row r="971">
      <c r="A971" s="1" t="s">
        <v>194</v>
      </c>
      <c r="B971" s="38">
        <v>666157.0</v>
      </c>
      <c r="C971" s="72">
        <v>45908.0</v>
      </c>
      <c r="D971" s="38">
        <v>74.0</v>
      </c>
      <c r="E971" s="73" t="str">
        <f>IFERROR(__xludf.DUMMYFUNCTION("average(filter('Appearance Sheet'!F:F,'Appearance Sheet'!G:G=B971,'Appearance Sheet'!A:A=C971))"),"#N/A")</f>
        <v>#N/A</v>
      </c>
      <c r="F971" s="67">
        <v>5.287601377</v>
      </c>
      <c r="G971" s="40">
        <v>1.259574471</v>
      </c>
      <c r="H971" s="40" t="str">
        <f t="shared" si="1"/>
        <v>#N/A</v>
      </c>
      <c r="I971" s="41">
        <v>0.554054054</v>
      </c>
      <c r="J971" s="41">
        <v>0.081081081</v>
      </c>
      <c r="K971" s="41">
        <v>0.364864865</v>
      </c>
      <c r="L971" s="41">
        <f t="shared" si="2"/>
        <v>0.189189189</v>
      </c>
      <c r="M971" s="74">
        <v>1.957893921</v>
      </c>
    </row>
    <row r="972">
      <c r="A972" s="1" t="s">
        <v>109</v>
      </c>
      <c r="B972" s="38">
        <v>601713.0</v>
      </c>
      <c r="C972" s="72">
        <v>45769.0</v>
      </c>
      <c r="D972" s="38">
        <v>88.0</v>
      </c>
      <c r="E972" s="73">
        <f>IFERROR(__xludf.DUMMYFUNCTION("average(filter('Appearance Sheet'!F:F,'Appearance Sheet'!G:G=B972,'Appearance Sheet'!A:A=C972))"),7.0)</f>
        <v>7</v>
      </c>
      <c r="F972" s="67">
        <v>5.287530243</v>
      </c>
      <c r="G972" s="40">
        <v>1.514542314</v>
      </c>
      <c r="H972" s="40">
        <f t="shared" si="1"/>
        <v>1.947268689</v>
      </c>
      <c r="I972" s="41">
        <v>0.568181818</v>
      </c>
      <c r="J972" s="41">
        <v>0.125</v>
      </c>
      <c r="K972" s="41">
        <v>0.306818182</v>
      </c>
      <c r="L972" s="41">
        <f t="shared" si="2"/>
        <v>0.261363636</v>
      </c>
      <c r="M972" s="74">
        <v>2.33690537</v>
      </c>
    </row>
    <row r="973">
      <c r="A973" s="1" t="s">
        <v>322</v>
      </c>
      <c r="B973" s="38">
        <v>678368.0</v>
      </c>
      <c r="C973" s="72">
        <v>45784.0</v>
      </c>
      <c r="D973" s="38">
        <v>76.0</v>
      </c>
      <c r="E973" s="73">
        <f>IFERROR(__xludf.DUMMYFUNCTION("average(filter('Appearance Sheet'!F:F,'Appearance Sheet'!G:G=B973,'Appearance Sheet'!A:A=C973))"),5.333333333333333)</f>
        <v>5.333333333</v>
      </c>
      <c r="F973" s="67">
        <v>5.287519333</v>
      </c>
      <c r="G973" s="40">
        <v>1.309103852</v>
      </c>
      <c r="H973" s="40">
        <f t="shared" si="1"/>
        <v>2.20911275</v>
      </c>
      <c r="I973" s="41">
        <v>0.565789474</v>
      </c>
      <c r="J973" s="41">
        <v>0.157894737</v>
      </c>
      <c r="K973" s="41">
        <v>0.276315789</v>
      </c>
      <c r="L973" s="41">
        <f t="shared" si="2"/>
        <v>0.289473685</v>
      </c>
      <c r="M973" s="74">
        <v>3.365119509</v>
      </c>
    </row>
    <row r="974">
      <c r="A974" s="1" t="s">
        <v>278</v>
      </c>
      <c r="B974" s="38">
        <v>542881.0</v>
      </c>
      <c r="C974" s="72">
        <v>45875.0</v>
      </c>
      <c r="D974" s="38">
        <v>64.0</v>
      </c>
      <c r="E974" s="73" t="str">
        <f>IFERROR(__xludf.DUMMYFUNCTION("average(filter('Appearance Sheet'!F:F,'Appearance Sheet'!G:G=B974,'Appearance Sheet'!A:A=C974))"),"#N/A")</f>
        <v>#N/A</v>
      </c>
      <c r="F974" s="67">
        <v>5.287483012</v>
      </c>
      <c r="G974" s="40">
        <v>1.102069036</v>
      </c>
      <c r="H974" s="40" t="str">
        <f t="shared" si="1"/>
        <v>#N/A</v>
      </c>
      <c r="I974" s="41">
        <v>0.578125</v>
      </c>
      <c r="J974" s="41">
        <v>0.171875</v>
      </c>
      <c r="K974" s="41">
        <v>0.25</v>
      </c>
      <c r="L974" s="41">
        <f t="shared" si="2"/>
        <v>0.328125</v>
      </c>
      <c r="M974" s="74">
        <v>-1.11464037</v>
      </c>
    </row>
    <row r="975">
      <c r="A975" s="1" t="s">
        <v>323</v>
      </c>
      <c r="B975" s="38">
        <v>691587.0</v>
      </c>
      <c r="C975" s="72">
        <v>45829.0</v>
      </c>
      <c r="D975" s="38">
        <v>88.0</v>
      </c>
      <c r="E975" s="73">
        <f>IFERROR(__xludf.DUMMYFUNCTION("average(filter('Appearance Sheet'!F:F,'Appearance Sheet'!G:G=B975,'Appearance Sheet'!A:A=C975))"),4.666666666666667)</f>
        <v>4.666666667</v>
      </c>
      <c r="F975" s="67">
        <v>5.287066021</v>
      </c>
      <c r="G975" s="40">
        <v>1.495620988</v>
      </c>
      <c r="H975" s="40">
        <f t="shared" si="1"/>
        <v>2.884411905</v>
      </c>
      <c r="I975" s="41">
        <v>0.488636364</v>
      </c>
      <c r="J975" s="41">
        <v>0.136363636</v>
      </c>
      <c r="K975" s="41">
        <v>0.375</v>
      </c>
      <c r="L975" s="41">
        <f t="shared" si="2"/>
        <v>0.113636364</v>
      </c>
      <c r="M975" s="74">
        <v>0.227724681</v>
      </c>
    </row>
    <row r="976">
      <c r="A976" s="1" t="s">
        <v>314</v>
      </c>
      <c r="B976" s="38">
        <v>669854.0</v>
      </c>
      <c r="C976" s="72">
        <v>45782.0</v>
      </c>
      <c r="D976" s="38">
        <v>95.0</v>
      </c>
      <c r="E976" s="73">
        <f>IFERROR(__xludf.DUMMYFUNCTION("average(filter('Appearance Sheet'!F:F,'Appearance Sheet'!G:G=B976,'Appearance Sheet'!A:A=C976))"),6.0)</f>
        <v>6</v>
      </c>
      <c r="F976" s="67">
        <v>5.287008879</v>
      </c>
      <c r="G976" s="40">
        <v>1.67700413</v>
      </c>
      <c r="H976" s="40">
        <f t="shared" si="1"/>
        <v>2.515506195</v>
      </c>
      <c r="I976" s="41">
        <v>0.484210526</v>
      </c>
      <c r="J976" s="41">
        <v>0.210526316</v>
      </c>
      <c r="K976" s="41">
        <v>0.305263158</v>
      </c>
      <c r="L976" s="41">
        <f t="shared" si="2"/>
        <v>0.178947368</v>
      </c>
      <c r="M976" s="74">
        <v>0.018691249</v>
      </c>
    </row>
    <row r="977">
      <c r="A977" s="1" t="s">
        <v>263</v>
      </c>
      <c r="B977" s="38">
        <v>694297.0</v>
      </c>
      <c r="C977" s="72">
        <v>45867.0</v>
      </c>
      <c r="D977" s="38">
        <v>81.0</v>
      </c>
      <c r="E977" s="73" t="str">
        <f>IFERROR(__xludf.DUMMYFUNCTION("average(filter('Appearance Sheet'!F:F,'Appearance Sheet'!G:G=B977,'Appearance Sheet'!A:A=C977))"),"#N/A")</f>
        <v>#N/A</v>
      </c>
      <c r="F977" s="67">
        <v>5.286762927</v>
      </c>
      <c r="G977" s="40">
        <v>1.42394779</v>
      </c>
      <c r="H977" s="40" t="str">
        <f t="shared" si="1"/>
        <v>#N/A</v>
      </c>
      <c r="I977" s="41">
        <v>0.49382716</v>
      </c>
      <c r="J977" s="41">
        <v>0.234567901</v>
      </c>
      <c r="K977" s="41">
        <v>0.271604938</v>
      </c>
      <c r="L977" s="41">
        <f t="shared" si="2"/>
        <v>0.222222222</v>
      </c>
      <c r="M977" s="74">
        <v>-4.509629845</v>
      </c>
    </row>
    <row r="978">
      <c r="A978" s="1" t="s">
        <v>251</v>
      </c>
      <c r="B978" s="38">
        <v>676664.0</v>
      </c>
      <c r="C978" s="72">
        <v>45842.0</v>
      </c>
      <c r="D978" s="38">
        <v>91.0</v>
      </c>
      <c r="E978" s="73">
        <f>IFERROR(__xludf.DUMMYFUNCTION("average(filter('Appearance Sheet'!F:F,'Appearance Sheet'!G:G=B978,'Appearance Sheet'!A:A=C978))"),6.0)</f>
        <v>6</v>
      </c>
      <c r="F978" s="67">
        <v>5.286653405</v>
      </c>
      <c r="G978" s="40">
        <v>1.573595707</v>
      </c>
      <c r="H978" s="40">
        <f t="shared" si="1"/>
        <v>2.360393561</v>
      </c>
      <c r="I978" s="41">
        <v>0.527472527</v>
      </c>
      <c r="J978" s="41">
        <v>0.186813187</v>
      </c>
      <c r="K978" s="41">
        <v>0.285714286</v>
      </c>
      <c r="L978" s="41">
        <f t="shared" si="2"/>
        <v>0.241758241</v>
      </c>
      <c r="M978" s="74">
        <v>2.223450738</v>
      </c>
    </row>
    <row r="979">
      <c r="A979" s="1" t="s">
        <v>133</v>
      </c>
      <c r="B979" s="38">
        <v>663978.0</v>
      </c>
      <c r="C979" s="72">
        <v>45861.0</v>
      </c>
      <c r="D979" s="38">
        <v>76.0</v>
      </c>
      <c r="E979" s="73" t="str">
        <f>IFERROR(__xludf.DUMMYFUNCTION("average(filter('Appearance Sheet'!F:F,'Appearance Sheet'!G:G=B979,'Appearance Sheet'!A:A=C979))"),"#N/A")</f>
        <v>#N/A</v>
      </c>
      <c r="F979" s="67">
        <v>5.286523121</v>
      </c>
      <c r="G979" s="40">
        <v>1.332903341</v>
      </c>
      <c r="H979" s="40" t="str">
        <f t="shared" si="1"/>
        <v>#N/A</v>
      </c>
      <c r="I979" s="41">
        <v>0.526315789</v>
      </c>
      <c r="J979" s="41">
        <v>0.197368421</v>
      </c>
      <c r="K979" s="41">
        <v>0.276315789</v>
      </c>
      <c r="L979" s="41">
        <f t="shared" si="2"/>
        <v>0.25</v>
      </c>
      <c r="M979" s="74">
        <v>2.353671565</v>
      </c>
    </row>
    <row r="980">
      <c r="A980" s="1" t="s">
        <v>177</v>
      </c>
      <c r="B980" s="38">
        <v>641793.0</v>
      </c>
      <c r="C980" s="72">
        <v>45825.0</v>
      </c>
      <c r="D980" s="38">
        <v>88.0</v>
      </c>
      <c r="E980" s="73">
        <f>IFERROR(__xludf.DUMMYFUNCTION("average(filter('Appearance Sheet'!F:F,'Appearance Sheet'!G:G=B980,'Appearance Sheet'!A:A=C980))"),6.0)</f>
        <v>6</v>
      </c>
      <c r="F980" s="67">
        <v>5.286459242</v>
      </c>
      <c r="G980" s="40">
        <v>1.548629114</v>
      </c>
      <c r="H980" s="40">
        <f t="shared" si="1"/>
        <v>2.322943671</v>
      </c>
      <c r="I980" s="41">
        <v>0.420454545</v>
      </c>
      <c r="J980" s="41">
        <v>0.284090909</v>
      </c>
      <c r="K980" s="41">
        <v>0.295454545</v>
      </c>
      <c r="L980" s="41">
        <f t="shared" si="2"/>
        <v>0.125</v>
      </c>
      <c r="M980" s="74">
        <v>-1.270191121</v>
      </c>
    </row>
    <row r="981">
      <c r="A981" s="1" t="s">
        <v>242</v>
      </c>
      <c r="B981" s="38">
        <v>669358.0</v>
      </c>
      <c r="C981" s="72">
        <v>45790.0</v>
      </c>
      <c r="D981" s="38">
        <v>81.0</v>
      </c>
      <c r="E981" s="73">
        <f>IFERROR(__xludf.DUMMYFUNCTION("average(filter('Appearance Sheet'!F:F,'Appearance Sheet'!G:G=B981,'Appearance Sheet'!A:A=C981))"),4.666666666666667)</f>
        <v>4.666666667</v>
      </c>
      <c r="F981" s="67">
        <v>5.286149066</v>
      </c>
      <c r="G981" s="40">
        <v>1.399006727</v>
      </c>
      <c r="H981" s="40">
        <f t="shared" si="1"/>
        <v>2.698084402</v>
      </c>
      <c r="I981" s="41">
        <v>0.518518519</v>
      </c>
      <c r="J981" s="41">
        <v>0.160493827</v>
      </c>
      <c r="K981" s="41">
        <v>0.320987654</v>
      </c>
      <c r="L981" s="41">
        <f t="shared" si="2"/>
        <v>0.197530865</v>
      </c>
      <c r="M981" s="74">
        <v>0.154306312</v>
      </c>
    </row>
    <row r="982">
      <c r="A982" s="1" t="s">
        <v>410</v>
      </c>
      <c r="B982" s="38">
        <v>678394.0</v>
      </c>
      <c r="C982" s="72">
        <v>45885.0</v>
      </c>
      <c r="D982" s="38">
        <v>78.0</v>
      </c>
      <c r="E982" s="73" t="str">
        <f>IFERROR(__xludf.DUMMYFUNCTION("average(filter('Appearance Sheet'!F:F,'Appearance Sheet'!G:G=B982,'Appearance Sheet'!A:A=C982))"),"#N/A")</f>
        <v>#N/A</v>
      </c>
      <c r="F982" s="67">
        <v>5.286009905</v>
      </c>
      <c r="G982" s="40">
        <v>1.381186858</v>
      </c>
      <c r="H982" s="40" t="str">
        <f t="shared" si="1"/>
        <v>#N/A</v>
      </c>
      <c r="I982" s="41">
        <v>0.564102564</v>
      </c>
      <c r="J982" s="41">
        <v>0.102564103</v>
      </c>
      <c r="K982" s="41">
        <v>0.333333333</v>
      </c>
      <c r="L982" s="41">
        <f t="shared" si="2"/>
        <v>0.230769231</v>
      </c>
      <c r="M982" s="74">
        <v>1.63209598</v>
      </c>
    </row>
    <row r="983">
      <c r="A983" s="1" t="s">
        <v>242</v>
      </c>
      <c r="B983" s="38">
        <v>669358.0</v>
      </c>
      <c r="C983" s="72">
        <v>45755.0</v>
      </c>
      <c r="D983" s="38">
        <v>93.0</v>
      </c>
      <c r="E983" s="73">
        <f>IFERROR(__xludf.DUMMYFUNCTION("average(filter('Appearance Sheet'!F:F,'Appearance Sheet'!G:G=B983,'Appearance Sheet'!A:A=C983))"),7.0)</f>
        <v>7</v>
      </c>
      <c r="F983" s="67">
        <v>5.285999764</v>
      </c>
      <c r="G983" s="40">
        <v>1.616417012</v>
      </c>
      <c r="H983" s="40">
        <f t="shared" si="1"/>
        <v>2.078250444</v>
      </c>
      <c r="I983" s="41">
        <v>0.537634409</v>
      </c>
      <c r="J983" s="41">
        <v>0.139784946</v>
      </c>
      <c r="K983" s="41">
        <v>0.322580645</v>
      </c>
      <c r="L983" s="41">
        <f t="shared" si="2"/>
        <v>0.215053764</v>
      </c>
      <c r="M983" s="74">
        <v>1.618254074</v>
      </c>
    </row>
    <row r="984">
      <c r="A984" s="1" t="s">
        <v>226</v>
      </c>
      <c r="B984" s="38">
        <v>607259.0</v>
      </c>
      <c r="C984" s="72">
        <v>45857.0</v>
      </c>
      <c r="D984" s="38">
        <v>89.0</v>
      </c>
      <c r="E984" s="73" t="str">
        <f>IFERROR(__xludf.DUMMYFUNCTION("average(filter('Appearance Sheet'!F:F,'Appearance Sheet'!G:G=B984,'Appearance Sheet'!A:A=C984))"),"#N/A")</f>
        <v>#N/A</v>
      </c>
      <c r="F984" s="67">
        <v>5.285870327</v>
      </c>
      <c r="G984" s="40">
        <v>1.550653684</v>
      </c>
      <c r="H984" s="40" t="str">
        <f t="shared" si="1"/>
        <v>#N/A</v>
      </c>
      <c r="I984" s="41">
        <v>0.494382022</v>
      </c>
      <c r="J984" s="41">
        <v>0.202247191</v>
      </c>
      <c r="K984" s="41">
        <v>0.303370787</v>
      </c>
      <c r="L984" s="41">
        <f t="shared" si="2"/>
        <v>0.191011235</v>
      </c>
      <c r="M984" s="74">
        <v>0.195550459</v>
      </c>
    </row>
    <row r="985">
      <c r="A985" s="1" t="s">
        <v>153</v>
      </c>
      <c r="B985" s="38">
        <v>669302.0</v>
      </c>
      <c r="C985" s="72">
        <v>45893.0</v>
      </c>
      <c r="D985" s="38">
        <v>87.0</v>
      </c>
      <c r="E985" s="73" t="str">
        <f>IFERROR(__xludf.DUMMYFUNCTION("average(filter('Appearance Sheet'!F:F,'Appearance Sheet'!G:G=B985,'Appearance Sheet'!A:A=C985))"),"#N/A")</f>
        <v>#N/A</v>
      </c>
      <c r="F985" s="67">
        <v>5.285677695</v>
      </c>
      <c r="G985" s="40">
        <v>1.479895964</v>
      </c>
      <c r="H985" s="40" t="str">
        <f t="shared" si="1"/>
        <v>#N/A</v>
      </c>
      <c r="I985" s="41">
        <v>0.459770115</v>
      </c>
      <c r="J985" s="41">
        <v>0.275862069</v>
      </c>
      <c r="K985" s="41">
        <v>0.264367816</v>
      </c>
      <c r="L985" s="41">
        <f t="shared" si="2"/>
        <v>0.195402299</v>
      </c>
      <c r="M985" s="74">
        <v>3.099171228</v>
      </c>
    </row>
    <row r="986">
      <c r="A986" s="1" t="s">
        <v>514</v>
      </c>
      <c r="B986" s="38">
        <v>806185.0</v>
      </c>
      <c r="C986" s="72">
        <v>45809.0</v>
      </c>
      <c r="D986" s="38">
        <v>81.0</v>
      </c>
      <c r="E986" s="73">
        <f>IFERROR(__xludf.DUMMYFUNCTION("average(filter('Appearance Sheet'!F:F,'Appearance Sheet'!G:G=B986,'Appearance Sheet'!A:A=C986))"),5.333333333333333)</f>
        <v>5.333333333</v>
      </c>
      <c r="F986" s="67">
        <v>5.285556064</v>
      </c>
      <c r="G986" s="40">
        <v>1.385873812</v>
      </c>
      <c r="H986" s="40">
        <f t="shared" si="1"/>
        <v>2.338662058</v>
      </c>
      <c r="I986" s="41">
        <v>0.481481481</v>
      </c>
      <c r="J986" s="41">
        <v>0.172839506</v>
      </c>
      <c r="K986" s="41">
        <v>0.345679012</v>
      </c>
      <c r="L986" s="41">
        <f t="shared" si="2"/>
        <v>0.135802469</v>
      </c>
      <c r="M986" s="74">
        <v>-1.071346528</v>
      </c>
    </row>
    <row r="987">
      <c r="A987" s="1" t="s">
        <v>330</v>
      </c>
      <c r="B987" s="38">
        <v>680730.0</v>
      </c>
      <c r="C987" s="72">
        <v>45903.0</v>
      </c>
      <c r="D987" s="38">
        <v>89.0</v>
      </c>
      <c r="E987" s="73" t="str">
        <f>IFERROR(__xludf.DUMMYFUNCTION("average(filter('Appearance Sheet'!F:F,'Appearance Sheet'!G:G=B987,'Appearance Sheet'!A:A=C987))"),"#N/A")</f>
        <v>#N/A</v>
      </c>
      <c r="F987" s="67">
        <v>5.285262931</v>
      </c>
      <c r="G987" s="40">
        <v>1.550377012</v>
      </c>
      <c r="H987" s="40" t="str">
        <f t="shared" si="1"/>
        <v>#N/A</v>
      </c>
      <c r="I987" s="41">
        <v>0.505617978</v>
      </c>
      <c r="J987" s="41">
        <v>0.179775281</v>
      </c>
      <c r="K987" s="41">
        <v>0.314606742</v>
      </c>
      <c r="L987" s="41">
        <f t="shared" si="2"/>
        <v>0.191011236</v>
      </c>
      <c r="M987" s="74">
        <v>-1.465753039</v>
      </c>
    </row>
    <row r="988">
      <c r="A988" s="1" t="s">
        <v>175</v>
      </c>
      <c r="B988" s="38">
        <v>622503.0</v>
      </c>
      <c r="C988" s="72">
        <v>45914.0</v>
      </c>
      <c r="D988" s="38">
        <v>81.0</v>
      </c>
      <c r="E988" s="73" t="str">
        <f>IFERROR(__xludf.DUMMYFUNCTION("average(filter('Appearance Sheet'!F:F,'Appearance Sheet'!G:G=B988,'Appearance Sheet'!A:A=C988))"),"#N/A")</f>
        <v>#N/A</v>
      </c>
      <c r="F988" s="67">
        <v>5.285118967</v>
      </c>
      <c r="G988" s="40">
        <v>1.409557893</v>
      </c>
      <c r="H988" s="40" t="str">
        <f t="shared" si="1"/>
        <v>#N/A</v>
      </c>
      <c r="I988" s="41">
        <v>0.50617284</v>
      </c>
      <c r="J988" s="41">
        <v>0.172839506</v>
      </c>
      <c r="K988" s="41">
        <v>0.320987654</v>
      </c>
      <c r="L988" s="41">
        <f t="shared" si="2"/>
        <v>0.185185186</v>
      </c>
      <c r="M988" s="74">
        <v>2.258431263</v>
      </c>
    </row>
    <row r="989">
      <c r="A989" s="1" t="s">
        <v>282</v>
      </c>
      <c r="B989" s="38">
        <v>656302.0</v>
      </c>
      <c r="C989" s="72">
        <v>45749.0</v>
      </c>
      <c r="D989" s="38">
        <v>92.0</v>
      </c>
      <c r="E989" s="73">
        <f>IFERROR(__xludf.DUMMYFUNCTION("average(filter('Appearance Sheet'!F:F,'Appearance Sheet'!G:G=B989,'Appearance Sheet'!A:A=C989))"),6.333333333333333)</f>
        <v>6.333333333</v>
      </c>
      <c r="F989" s="67">
        <v>5.284948691</v>
      </c>
      <c r="G989" s="40">
        <v>1.610619643</v>
      </c>
      <c r="H989" s="40">
        <f t="shared" si="1"/>
        <v>2.288775282</v>
      </c>
      <c r="I989" s="41">
        <v>0.543478261</v>
      </c>
      <c r="J989" s="41">
        <v>0.119565217</v>
      </c>
      <c r="K989" s="41">
        <v>0.336956522</v>
      </c>
      <c r="L989" s="41">
        <f t="shared" si="2"/>
        <v>0.206521739</v>
      </c>
      <c r="M989" s="74">
        <v>0.934223739</v>
      </c>
    </row>
    <row r="990">
      <c r="A990" s="1" t="s">
        <v>153</v>
      </c>
      <c r="B990" s="38">
        <v>669302.0</v>
      </c>
      <c r="C990" s="72">
        <v>45824.0</v>
      </c>
      <c r="D990" s="38">
        <v>80.0</v>
      </c>
      <c r="E990" s="73">
        <f>IFERROR(__xludf.DUMMYFUNCTION("average(filter('Appearance Sheet'!F:F,'Appearance Sheet'!G:G=B990,'Appearance Sheet'!A:A=C990))"),5.0)</f>
        <v>5</v>
      </c>
      <c r="F990" s="67">
        <v>5.284923833</v>
      </c>
      <c r="G990" s="40">
        <v>1.372170071</v>
      </c>
      <c r="H990" s="40">
        <f t="shared" si="1"/>
        <v>2.469906128</v>
      </c>
      <c r="I990" s="41">
        <v>0.525</v>
      </c>
      <c r="J990" s="41">
        <v>0.2</v>
      </c>
      <c r="K990" s="41">
        <v>0.275</v>
      </c>
      <c r="L990" s="41">
        <f t="shared" si="2"/>
        <v>0.25</v>
      </c>
      <c r="M990" s="74">
        <v>1.035851876</v>
      </c>
    </row>
    <row r="991">
      <c r="A991" s="1" t="s">
        <v>354</v>
      </c>
      <c r="B991" s="38">
        <v>669022.0</v>
      </c>
      <c r="C991" s="72">
        <v>45911.0</v>
      </c>
      <c r="D991" s="38">
        <v>74.0</v>
      </c>
      <c r="E991" s="73" t="str">
        <f>IFERROR(__xludf.DUMMYFUNCTION("average(filter('Appearance Sheet'!F:F,'Appearance Sheet'!G:G=B991,'Appearance Sheet'!A:A=C991))"),"#N/A")</f>
        <v>#N/A</v>
      </c>
      <c r="F991" s="67">
        <v>5.284722766</v>
      </c>
      <c r="G991" s="40">
        <v>1.267983507</v>
      </c>
      <c r="H991" s="40" t="str">
        <f t="shared" si="1"/>
        <v>#N/A</v>
      </c>
      <c r="I991" s="41">
        <v>0.594594595</v>
      </c>
      <c r="J991" s="41">
        <v>0.135135135</v>
      </c>
      <c r="K991" s="41">
        <v>0.27027027</v>
      </c>
      <c r="L991" s="41">
        <f t="shared" si="2"/>
        <v>0.324324325</v>
      </c>
      <c r="M991" s="74">
        <v>-0.856757698</v>
      </c>
    </row>
    <row r="992">
      <c r="A992" s="1" t="s">
        <v>277</v>
      </c>
      <c r="B992" s="38">
        <v>677952.0</v>
      </c>
      <c r="C992" s="72">
        <v>45925.0</v>
      </c>
      <c r="D992" s="38">
        <v>66.0</v>
      </c>
      <c r="E992" s="73" t="str">
        <f>IFERROR(__xludf.DUMMYFUNCTION("average(filter('Appearance Sheet'!F:F,'Appearance Sheet'!G:G=B992,'Appearance Sheet'!A:A=C992))"),"#N/A")</f>
        <v>#N/A</v>
      </c>
      <c r="F992" s="67">
        <v>5.284664709</v>
      </c>
      <c r="G992" s="40">
        <v>1.147592775</v>
      </c>
      <c r="H992" s="40" t="str">
        <f t="shared" si="1"/>
        <v>#N/A</v>
      </c>
      <c r="I992" s="41">
        <v>0.484848485</v>
      </c>
      <c r="J992" s="41">
        <v>0.151515152</v>
      </c>
      <c r="K992" s="41">
        <v>0.363636364</v>
      </c>
      <c r="L992" s="41">
        <f t="shared" si="2"/>
        <v>0.121212121</v>
      </c>
      <c r="M992" s="74">
        <v>-2.391101046</v>
      </c>
    </row>
    <row r="993">
      <c r="A993" s="1" t="s">
        <v>133</v>
      </c>
      <c r="B993" s="38">
        <v>663978.0</v>
      </c>
      <c r="C993" s="72">
        <v>45832.0</v>
      </c>
      <c r="D993" s="38">
        <v>77.0</v>
      </c>
      <c r="E993" s="73">
        <f>IFERROR(__xludf.DUMMYFUNCTION("average(filter('Appearance Sheet'!F:F,'Appearance Sheet'!G:G=B993,'Appearance Sheet'!A:A=C993))"),5.0)</f>
        <v>5</v>
      </c>
      <c r="F993" s="67">
        <v>5.284556082</v>
      </c>
      <c r="G993" s="40">
        <v>1.350352928</v>
      </c>
      <c r="H993" s="40">
        <f t="shared" si="1"/>
        <v>2.43063527</v>
      </c>
      <c r="I993" s="41">
        <v>0.506493506</v>
      </c>
      <c r="J993" s="41">
        <v>0.168831169</v>
      </c>
      <c r="K993" s="41">
        <v>0.324675325</v>
      </c>
      <c r="L993" s="41">
        <f t="shared" si="2"/>
        <v>0.181818181</v>
      </c>
      <c r="M993" s="74">
        <v>-0.791785358</v>
      </c>
    </row>
    <row r="994">
      <c r="A994" s="1" t="s">
        <v>207</v>
      </c>
      <c r="B994" s="38">
        <v>650633.0</v>
      </c>
      <c r="C994" s="72">
        <v>45748.0</v>
      </c>
      <c r="D994" s="38">
        <v>87.0</v>
      </c>
      <c r="E994" s="73">
        <f>IFERROR(__xludf.DUMMYFUNCTION("average(filter('Appearance Sheet'!F:F,'Appearance Sheet'!G:G=B994,'Appearance Sheet'!A:A=C994))"),5.0)</f>
        <v>5</v>
      </c>
      <c r="F994" s="67">
        <v>5.284175263</v>
      </c>
      <c r="G994" s="40">
        <v>1.474903424</v>
      </c>
      <c r="H994" s="40">
        <f t="shared" si="1"/>
        <v>2.654826163</v>
      </c>
      <c r="I994" s="41">
        <v>0.517241379</v>
      </c>
      <c r="J994" s="41">
        <v>0.114942529</v>
      </c>
      <c r="K994" s="41">
        <v>0.367816092</v>
      </c>
      <c r="L994" s="41">
        <f t="shared" si="2"/>
        <v>0.149425287</v>
      </c>
      <c r="M994" s="74">
        <v>1.918809557</v>
      </c>
    </row>
    <row r="995">
      <c r="A995" s="1" t="s">
        <v>472</v>
      </c>
      <c r="B995" s="38">
        <v>675911.0</v>
      </c>
      <c r="C995" s="72">
        <v>45842.0</v>
      </c>
      <c r="D995" s="38">
        <v>96.0</v>
      </c>
      <c r="E995" s="73">
        <f>IFERROR(__xludf.DUMMYFUNCTION("average(filter('Appearance Sheet'!F:F,'Appearance Sheet'!G:G=B995,'Appearance Sheet'!A:A=C995))"),6.0)</f>
        <v>6</v>
      </c>
      <c r="F995" s="67">
        <v>5.284105963</v>
      </c>
      <c r="G995" s="40">
        <v>1.683298919</v>
      </c>
      <c r="H995" s="40">
        <f t="shared" si="1"/>
        <v>2.524948379</v>
      </c>
      <c r="I995" s="41">
        <v>0.447916667</v>
      </c>
      <c r="J995" s="41">
        <v>0.333333333</v>
      </c>
      <c r="K995" s="41">
        <v>0.21875</v>
      </c>
      <c r="L995" s="41">
        <f t="shared" si="2"/>
        <v>0.229166667</v>
      </c>
      <c r="M995" s="74">
        <v>-1.064631655</v>
      </c>
    </row>
    <row r="996">
      <c r="A996" s="1" t="s">
        <v>166</v>
      </c>
      <c r="B996" s="38">
        <v>608331.0</v>
      </c>
      <c r="C996" s="72">
        <v>45790.0</v>
      </c>
      <c r="D996" s="38">
        <v>89.0</v>
      </c>
      <c r="E996" s="73">
        <f>IFERROR(__xludf.DUMMYFUNCTION("average(filter('Appearance Sheet'!F:F,'Appearance Sheet'!G:G=B996,'Appearance Sheet'!A:A=C996))"),5.0)</f>
        <v>5</v>
      </c>
      <c r="F996" s="67">
        <v>5.283879953</v>
      </c>
      <c r="G996" s="40">
        <v>1.519182756</v>
      </c>
      <c r="H996" s="40">
        <f t="shared" si="1"/>
        <v>2.734528961</v>
      </c>
      <c r="I996" s="41">
        <v>0.528089888</v>
      </c>
      <c r="J996" s="41">
        <v>0.146067416</v>
      </c>
      <c r="K996" s="41">
        <v>0.325842697</v>
      </c>
      <c r="L996" s="41">
        <f t="shared" si="2"/>
        <v>0.202247191</v>
      </c>
      <c r="M996" s="74">
        <v>2.803169058</v>
      </c>
    </row>
    <row r="997">
      <c r="A997" s="1" t="s">
        <v>169</v>
      </c>
      <c r="B997" s="38">
        <v>671096.0</v>
      </c>
      <c r="C997" s="72">
        <v>45801.0</v>
      </c>
      <c r="D997" s="38">
        <v>81.0</v>
      </c>
      <c r="E997" s="73">
        <f>IFERROR(__xludf.DUMMYFUNCTION("average(filter('Appearance Sheet'!F:F,'Appearance Sheet'!G:G=B997,'Appearance Sheet'!A:A=C997))"),5.666666666666667)</f>
        <v>5.666666667</v>
      </c>
      <c r="F997" s="67">
        <v>5.283447244</v>
      </c>
      <c r="G997" s="40">
        <v>1.42756389</v>
      </c>
      <c r="H997" s="40">
        <f t="shared" si="1"/>
        <v>2.267307355</v>
      </c>
      <c r="I997" s="41">
        <v>0.543209877</v>
      </c>
      <c r="J997" s="41">
        <v>0.197530864</v>
      </c>
      <c r="K997" s="41">
        <v>0.259259259</v>
      </c>
      <c r="L997" s="41">
        <f t="shared" si="2"/>
        <v>0.283950618</v>
      </c>
      <c r="M997" s="74">
        <v>0.113006199</v>
      </c>
    </row>
    <row r="998">
      <c r="A998" s="1" t="s">
        <v>287</v>
      </c>
      <c r="B998" s="38">
        <v>571945.0</v>
      </c>
      <c r="C998" s="72">
        <v>45805.0</v>
      </c>
      <c r="D998" s="38">
        <v>71.0</v>
      </c>
      <c r="E998" s="73">
        <f>IFERROR(__xludf.DUMMYFUNCTION("average(filter('Appearance Sheet'!F:F,'Appearance Sheet'!G:G=B998,'Appearance Sheet'!A:A=C998))"),4.0)</f>
        <v>4</v>
      </c>
      <c r="F998" s="67">
        <v>5.283342246</v>
      </c>
      <c r="G998" s="40">
        <v>1.260936437</v>
      </c>
      <c r="H998" s="40">
        <f t="shared" si="1"/>
        <v>2.837106983</v>
      </c>
      <c r="I998" s="41">
        <v>0.408450704</v>
      </c>
      <c r="J998" s="41">
        <v>0.281690141</v>
      </c>
      <c r="K998" s="41">
        <v>0.309859155</v>
      </c>
      <c r="L998" s="41">
        <f t="shared" si="2"/>
        <v>0.098591549</v>
      </c>
      <c r="M998" s="74">
        <v>-2.607429371</v>
      </c>
    </row>
    <row r="999">
      <c r="A999" s="1" t="s">
        <v>398</v>
      </c>
      <c r="B999" s="38">
        <v>676282.0</v>
      </c>
      <c r="C999" s="72">
        <v>45921.0</v>
      </c>
      <c r="D999" s="38">
        <v>73.0</v>
      </c>
      <c r="E999" s="73" t="str">
        <f>IFERROR(__xludf.DUMMYFUNCTION("average(filter('Appearance Sheet'!F:F,'Appearance Sheet'!G:G=B999,'Appearance Sheet'!A:A=C999))"),"#N/A")</f>
        <v>#N/A</v>
      </c>
      <c r="F999" s="67">
        <v>5.282735193</v>
      </c>
      <c r="G999" s="40">
        <v>1.254741855</v>
      </c>
      <c r="H999" s="40" t="str">
        <f t="shared" si="1"/>
        <v>#N/A</v>
      </c>
      <c r="I999" s="41">
        <v>0.547945205</v>
      </c>
      <c r="J999" s="41">
        <v>0.123287671</v>
      </c>
      <c r="K999" s="41">
        <v>0.328767123</v>
      </c>
      <c r="L999" s="41">
        <f t="shared" si="2"/>
        <v>0.219178082</v>
      </c>
      <c r="M999" s="74">
        <v>0.062374011</v>
      </c>
    </row>
    <row r="1000">
      <c r="A1000" s="1" t="s">
        <v>169</v>
      </c>
      <c r="B1000" s="38">
        <v>671096.0</v>
      </c>
      <c r="C1000" s="72">
        <v>45875.0</v>
      </c>
      <c r="D1000" s="38">
        <v>92.0</v>
      </c>
      <c r="E1000" s="73" t="str">
        <f>IFERROR(__xludf.DUMMYFUNCTION("average(filter('Appearance Sheet'!F:F,'Appearance Sheet'!G:G=B1000,'Appearance Sheet'!A:A=C1000))"),"#N/A")</f>
        <v>#N/A</v>
      </c>
      <c r="F1000" s="67">
        <v>5.282475324</v>
      </c>
      <c r="G1000" s="40">
        <v>1.629469495</v>
      </c>
      <c r="H1000" s="40" t="str">
        <f t="shared" si="1"/>
        <v>#N/A</v>
      </c>
      <c r="I1000" s="41">
        <v>0.543478261</v>
      </c>
      <c r="J1000" s="41">
        <v>0.130434783</v>
      </c>
      <c r="K1000" s="41">
        <v>0.326086957</v>
      </c>
      <c r="L1000" s="41">
        <f t="shared" si="2"/>
        <v>0.217391304</v>
      </c>
      <c r="M1000" s="74">
        <v>-1.185274774</v>
      </c>
    </row>
    <row r="1001">
      <c r="A1001" s="1" t="s">
        <v>366</v>
      </c>
      <c r="B1001" s="38">
        <v>656550.0</v>
      </c>
      <c r="C1001" s="72">
        <v>45839.0</v>
      </c>
      <c r="D1001" s="38">
        <v>106.0</v>
      </c>
      <c r="E1001" s="73">
        <f>IFERROR(__xludf.DUMMYFUNCTION("average(filter('Appearance Sheet'!F:F,'Appearance Sheet'!G:G=B1001,'Appearance Sheet'!A:A=C1001))"),6.0)</f>
        <v>6</v>
      </c>
      <c r="F1001" s="67">
        <v>5.282375876</v>
      </c>
      <c r="G1001" s="40">
        <v>1.830628375</v>
      </c>
      <c r="H1001" s="40">
        <f t="shared" si="1"/>
        <v>2.745942563</v>
      </c>
      <c r="I1001" s="41">
        <v>0.518867925</v>
      </c>
      <c r="J1001" s="41">
        <v>0.179245283</v>
      </c>
      <c r="K1001" s="41">
        <v>0.301886792</v>
      </c>
      <c r="L1001" s="41">
        <f t="shared" si="2"/>
        <v>0.216981133</v>
      </c>
      <c r="M1001" s="74">
        <v>3.150396966</v>
      </c>
    </row>
    <row r="1002">
      <c r="A1002" s="1" t="s">
        <v>95</v>
      </c>
      <c r="B1002" s="38">
        <v>543243.0</v>
      </c>
      <c r="C1002" s="72">
        <v>45814.0</v>
      </c>
      <c r="D1002" s="38">
        <v>88.0</v>
      </c>
      <c r="E1002" s="73">
        <f>IFERROR(__xludf.DUMMYFUNCTION("average(filter('Appearance Sheet'!F:F,'Appearance Sheet'!G:G=B1002,'Appearance Sheet'!A:A=C1002))"),6.333333333333333)</f>
        <v>6.333333333</v>
      </c>
      <c r="F1002" s="67">
        <v>5.282301426</v>
      </c>
      <c r="G1002" s="40">
        <v>1.556508766</v>
      </c>
      <c r="H1002" s="40">
        <f t="shared" si="1"/>
        <v>2.211880878</v>
      </c>
      <c r="I1002" s="41">
        <v>0.556818182</v>
      </c>
      <c r="J1002" s="41">
        <v>0.147727273</v>
      </c>
      <c r="K1002" s="41">
        <v>0.295454545</v>
      </c>
      <c r="L1002" s="41">
        <f t="shared" si="2"/>
        <v>0.261363637</v>
      </c>
      <c r="M1002" s="74">
        <v>-2.144252886</v>
      </c>
    </row>
    <row r="1003">
      <c r="A1003" s="1" t="s">
        <v>251</v>
      </c>
      <c r="B1003" s="38">
        <v>676664.0</v>
      </c>
      <c r="C1003" s="72">
        <v>45770.0</v>
      </c>
      <c r="D1003" s="38">
        <v>82.0</v>
      </c>
      <c r="E1003" s="73">
        <f>IFERROR(__xludf.DUMMYFUNCTION("average(filter('Appearance Sheet'!F:F,'Appearance Sheet'!G:G=B1003,'Appearance Sheet'!A:A=C1003))"),5.0)</f>
        <v>5</v>
      </c>
      <c r="F1003" s="67">
        <v>5.282294973</v>
      </c>
      <c r="G1003" s="40">
        <v>1.44977</v>
      </c>
      <c r="H1003" s="40">
        <f t="shared" si="1"/>
        <v>2.609586</v>
      </c>
      <c r="I1003" s="41">
        <v>0.536585366</v>
      </c>
      <c r="J1003" s="41">
        <v>0.146341463</v>
      </c>
      <c r="K1003" s="41">
        <v>0.317073171</v>
      </c>
      <c r="L1003" s="41">
        <f t="shared" si="2"/>
        <v>0.219512195</v>
      </c>
      <c r="M1003" s="74">
        <v>-0.15480637</v>
      </c>
    </row>
    <row r="1004">
      <c r="A1004" s="1" t="s">
        <v>232</v>
      </c>
      <c r="B1004" s="38">
        <v>579328.0</v>
      </c>
      <c r="C1004" s="72">
        <v>45828.0</v>
      </c>
      <c r="D1004" s="38">
        <v>100.0</v>
      </c>
      <c r="E1004" s="73">
        <f>IFERROR(__xludf.DUMMYFUNCTION("average(filter('Appearance Sheet'!F:F,'Appearance Sheet'!G:G=B1004,'Appearance Sheet'!A:A=C1004))"),7.0)</f>
        <v>7</v>
      </c>
      <c r="F1004" s="67">
        <v>5.282102165</v>
      </c>
      <c r="G1004" s="40">
        <v>1.756805199</v>
      </c>
      <c r="H1004" s="40">
        <f t="shared" si="1"/>
        <v>2.258749542</v>
      </c>
      <c r="I1004" s="41">
        <v>0.48</v>
      </c>
      <c r="J1004" s="41">
        <v>0.19</v>
      </c>
      <c r="K1004" s="41">
        <v>0.33</v>
      </c>
      <c r="L1004" s="41">
        <f t="shared" si="2"/>
        <v>0.15</v>
      </c>
      <c r="M1004" s="74">
        <v>-0.046871796</v>
      </c>
    </row>
    <row r="1005">
      <c r="A1005" s="1" t="s">
        <v>220</v>
      </c>
      <c r="B1005" s="38">
        <v>663559.0</v>
      </c>
      <c r="C1005" s="72">
        <v>45780.0</v>
      </c>
      <c r="D1005" s="38">
        <v>88.0</v>
      </c>
      <c r="E1005" s="73">
        <f>IFERROR(__xludf.DUMMYFUNCTION("average(filter('Appearance Sheet'!F:F,'Appearance Sheet'!G:G=B1005,'Appearance Sheet'!A:A=C1005))"),7.0)</f>
        <v>7</v>
      </c>
      <c r="F1005" s="67">
        <v>5.281999658</v>
      </c>
      <c r="G1005" s="40">
        <v>1.552891024</v>
      </c>
      <c r="H1005" s="40">
        <f t="shared" si="1"/>
        <v>1.996574174</v>
      </c>
      <c r="I1005" s="41">
        <v>0.625</v>
      </c>
      <c r="J1005" s="41">
        <v>0.113636364</v>
      </c>
      <c r="K1005" s="41">
        <v>0.261363636</v>
      </c>
      <c r="L1005" s="41">
        <f t="shared" si="2"/>
        <v>0.363636364</v>
      </c>
      <c r="M1005" s="74">
        <v>2.810642191</v>
      </c>
    </row>
    <row r="1006">
      <c r="A1006" s="1" t="s">
        <v>285</v>
      </c>
      <c r="B1006" s="38">
        <v>607074.0</v>
      </c>
      <c r="C1006" s="72">
        <v>45849.0</v>
      </c>
      <c r="D1006" s="38">
        <v>108.0</v>
      </c>
      <c r="E1006" s="73" t="str">
        <f>IFERROR(__xludf.DUMMYFUNCTION("average(filter('Appearance Sheet'!F:F,'Appearance Sheet'!G:G=B1006,'Appearance Sheet'!A:A=C1006))"),"#N/A")</f>
        <v>#N/A</v>
      </c>
      <c r="F1006" s="67">
        <v>5.281491212</v>
      </c>
      <c r="G1006" s="40">
        <v>1.858818676</v>
      </c>
      <c r="H1006" s="40" t="str">
        <f t="shared" si="1"/>
        <v>#N/A</v>
      </c>
      <c r="I1006" s="41">
        <v>0.537037037</v>
      </c>
      <c r="J1006" s="41">
        <v>0.185185185</v>
      </c>
      <c r="K1006" s="41">
        <v>0.277777778</v>
      </c>
      <c r="L1006" s="41">
        <f t="shared" si="2"/>
        <v>0.259259259</v>
      </c>
      <c r="M1006" s="74">
        <v>0.808616505</v>
      </c>
    </row>
    <row r="1007">
      <c r="A1007" s="1" t="s">
        <v>571</v>
      </c>
      <c r="B1007" s="38">
        <v>660604.0</v>
      </c>
      <c r="C1007" s="72">
        <v>45835.0</v>
      </c>
      <c r="D1007" s="38">
        <v>71.0</v>
      </c>
      <c r="E1007" s="73">
        <f>IFERROR(__xludf.DUMMYFUNCTION("average(filter('Appearance Sheet'!F:F,'Appearance Sheet'!G:G=B1007,'Appearance Sheet'!A:A=C1007))"),5.0)</f>
        <v>5</v>
      </c>
      <c r="F1007" s="67">
        <v>5.281356588</v>
      </c>
      <c r="G1007" s="40">
        <v>1.265419337</v>
      </c>
      <c r="H1007" s="40">
        <f t="shared" si="1"/>
        <v>2.277754807</v>
      </c>
      <c r="I1007" s="41">
        <v>0.478873239</v>
      </c>
      <c r="J1007" s="41">
        <v>0.211267606</v>
      </c>
      <c r="K1007" s="41">
        <v>0.309859155</v>
      </c>
      <c r="L1007" s="41">
        <f t="shared" si="2"/>
        <v>0.169014084</v>
      </c>
      <c r="M1007" s="74">
        <v>-2.041006213</v>
      </c>
    </row>
    <row r="1008">
      <c r="A1008" s="1" t="s">
        <v>113</v>
      </c>
      <c r="B1008" s="38">
        <v>664285.0</v>
      </c>
      <c r="C1008" s="72">
        <v>45743.0</v>
      </c>
      <c r="D1008" s="38">
        <v>89.0</v>
      </c>
      <c r="E1008" s="73">
        <f>IFERROR(__xludf.DUMMYFUNCTION("average(filter('Appearance Sheet'!F:F,'Appearance Sheet'!G:G=B1008,'Appearance Sheet'!A:A=C1008))"),7.0)</f>
        <v>7</v>
      </c>
      <c r="F1008" s="67">
        <v>5.281104873</v>
      </c>
      <c r="G1008" s="40">
        <v>1.530360461</v>
      </c>
      <c r="H1008" s="40">
        <f t="shared" si="1"/>
        <v>1.967606307</v>
      </c>
      <c r="I1008" s="41">
        <v>0.528089888</v>
      </c>
      <c r="J1008" s="41">
        <v>0.157303371</v>
      </c>
      <c r="K1008" s="41">
        <v>0.314606742</v>
      </c>
      <c r="L1008" s="41">
        <f t="shared" si="2"/>
        <v>0.213483146</v>
      </c>
      <c r="M1008" s="74">
        <v>1.081972738</v>
      </c>
    </row>
    <row r="1009">
      <c r="A1009" s="1" t="s">
        <v>197</v>
      </c>
      <c r="B1009" s="38">
        <v>676467.0</v>
      </c>
      <c r="C1009" s="72">
        <v>45814.0</v>
      </c>
      <c r="D1009" s="38">
        <v>71.0</v>
      </c>
      <c r="E1009" s="73">
        <f>IFERROR(__xludf.DUMMYFUNCTION("average(filter('Appearance Sheet'!F:F,'Appearance Sheet'!G:G=B1009,'Appearance Sheet'!A:A=C1009))"),5.0)</f>
        <v>5</v>
      </c>
      <c r="F1009" s="67">
        <v>5.280331116</v>
      </c>
      <c r="G1009" s="40">
        <v>1.221311569</v>
      </c>
      <c r="H1009" s="40">
        <f t="shared" si="1"/>
        <v>2.198360824</v>
      </c>
      <c r="I1009" s="41">
        <v>0.464788732</v>
      </c>
      <c r="J1009" s="41">
        <v>0.154929577</v>
      </c>
      <c r="K1009" s="41">
        <v>0.38028169</v>
      </c>
      <c r="L1009" s="41">
        <f t="shared" si="2"/>
        <v>0.084507042</v>
      </c>
      <c r="M1009" s="74">
        <v>-2.123335621</v>
      </c>
    </row>
    <row r="1010">
      <c r="A1010" s="1" t="s">
        <v>115</v>
      </c>
      <c r="B1010" s="38">
        <v>543135.0</v>
      </c>
      <c r="C1010" s="72">
        <v>45868.0</v>
      </c>
      <c r="D1010" s="38">
        <v>91.0</v>
      </c>
      <c r="E1010" s="73" t="str">
        <f>IFERROR(__xludf.DUMMYFUNCTION("average(filter('Appearance Sheet'!F:F,'Appearance Sheet'!G:G=B1010,'Appearance Sheet'!A:A=C1010))"),"#N/A")</f>
        <v>#N/A</v>
      </c>
      <c r="F1010" s="67">
        <v>5.280172923</v>
      </c>
      <c r="G1010" s="40">
        <v>1.618543717</v>
      </c>
      <c r="H1010" s="40" t="str">
        <f t="shared" si="1"/>
        <v>#N/A</v>
      </c>
      <c r="I1010" s="41">
        <v>0.527472527</v>
      </c>
      <c r="J1010" s="41">
        <v>0.197802198</v>
      </c>
      <c r="K1010" s="41">
        <v>0.274725275</v>
      </c>
      <c r="L1010" s="41">
        <f t="shared" si="2"/>
        <v>0.252747252</v>
      </c>
      <c r="M1010" s="74">
        <v>0.395558629</v>
      </c>
    </row>
    <row r="1011">
      <c r="A1011" s="1" t="s">
        <v>171</v>
      </c>
      <c r="B1011" s="38">
        <v>665795.0</v>
      </c>
      <c r="C1011" s="72">
        <v>45781.0</v>
      </c>
      <c r="D1011" s="38">
        <v>84.0</v>
      </c>
      <c r="E1011" s="73">
        <f>IFERROR(__xludf.DUMMYFUNCTION("average(filter('Appearance Sheet'!F:F,'Appearance Sheet'!G:G=B1011,'Appearance Sheet'!A:A=C1011))"),5.666666666666667)</f>
        <v>5.666666667</v>
      </c>
      <c r="F1011" s="67">
        <v>5.279962397</v>
      </c>
      <c r="G1011" s="40">
        <v>1.487753666</v>
      </c>
      <c r="H1011" s="40">
        <f t="shared" si="1"/>
        <v>2.362902881</v>
      </c>
      <c r="I1011" s="41">
        <v>0.523809524</v>
      </c>
      <c r="J1011" s="41">
        <v>0.166666667</v>
      </c>
      <c r="K1011" s="41">
        <v>0.30952381</v>
      </c>
      <c r="L1011" s="41">
        <f t="shared" si="2"/>
        <v>0.214285714</v>
      </c>
      <c r="M1011" s="74">
        <v>-0.697918366</v>
      </c>
    </row>
    <row r="1012">
      <c r="A1012" s="1" t="s">
        <v>423</v>
      </c>
      <c r="B1012" s="38">
        <v>656605.0</v>
      </c>
      <c r="C1012" s="72">
        <v>45744.0</v>
      </c>
      <c r="D1012" s="38">
        <v>84.0</v>
      </c>
      <c r="E1012" s="73">
        <f>IFERROR(__xludf.DUMMYFUNCTION("average(filter('Appearance Sheet'!F:F,'Appearance Sheet'!G:G=B1012,'Appearance Sheet'!A:A=C1012))"),6.0)</f>
        <v>6</v>
      </c>
      <c r="F1012" s="67">
        <v>5.279673029</v>
      </c>
      <c r="G1012" s="40">
        <v>1.485385214</v>
      </c>
      <c r="H1012" s="40">
        <f t="shared" si="1"/>
        <v>2.228077821</v>
      </c>
      <c r="I1012" s="41">
        <v>0.5</v>
      </c>
      <c r="J1012" s="41">
        <v>0.226190476</v>
      </c>
      <c r="K1012" s="41">
        <v>0.273809524</v>
      </c>
      <c r="L1012" s="41">
        <f t="shared" si="2"/>
        <v>0.226190476</v>
      </c>
      <c r="M1012" s="74">
        <v>0.079664374</v>
      </c>
    </row>
    <row r="1013">
      <c r="A1013" s="1" t="s">
        <v>331</v>
      </c>
      <c r="B1013" s="38">
        <v>672456.0</v>
      </c>
      <c r="C1013" s="72">
        <v>45927.0</v>
      </c>
      <c r="D1013" s="38">
        <v>73.0</v>
      </c>
      <c r="E1013" s="73" t="str">
        <f>IFERROR(__xludf.DUMMYFUNCTION("average(filter('Appearance Sheet'!F:F,'Appearance Sheet'!G:G=B1013,'Appearance Sheet'!A:A=C1013))"),"#N/A")</f>
        <v>#N/A</v>
      </c>
      <c r="F1013" s="67">
        <v>5.279520074</v>
      </c>
      <c r="G1013" s="40">
        <v>1.253175521</v>
      </c>
      <c r="H1013" s="40" t="str">
        <f t="shared" si="1"/>
        <v>#N/A</v>
      </c>
      <c r="I1013" s="41">
        <v>0.493150685</v>
      </c>
      <c r="J1013" s="41">
        <v>0.178082192</v>
      </c>
      <c r="K1013" s="41">
        <v>0.328767123</v>
      </c>
      <c r="L1013" s="41">
        <f t="shared" si="2"/>
        <v>0.164383562</v>
      </c>
      <c r="M1013" s="74">
        <v>0.295187475</v>
      </c>
    </row>
    <row r="1014">
      <c r="A1014" s="1" t="s">
        <v>267</v>
      </c>
      <c r="B1014" s="38">
        <v>669387.0</v>
      </c>
      <c r="C1014" s="72">
        <v>45788.0</v>
      </c>
      <c r="D1014" s="38">
        <v>79.0</v>
      </c>
      <c r="E1014" s="73">
        <f>IFERROR(__xludf.DUMMYFUNCTION("average(filter('Appearance Sheet'!F:F,'Appearance Sheet'!G:G=B1014,'Appearance Sheet'!A:A=C1014))"),5.666666666666667)</f>
        <v>5.666666667</v>
      </c>
      <c r="F1014" s="67">
        <v>5.279179651</v>
      </c>
      <c r="G1014" s="40">
        <v>1.387068587</v>
      </c>
      <c r="H1014" s="40">
        <f t="shared" si="1"/>
        <v>2.202991285</v>
      </c>
      <c r="I1014" s="41">
        <v>0.544303797</v>
      </c>
      <c r="J1014" s="41">
        <v>0.215189873</v>
      </c>
      <c r="K1014" s="41">
        <v>0.240506329</v>
      </c>
      <c r="L1014" s="41">
        <f t="shared" si="2"/>
        <v>0.303797468</v>
      </c>
      <c r="M1014" s="74">
        <v>1.515262909</v>
      </c>
    </row>
    <row r="1015">
      <c r="A1015" s="1" t="s">
        <v>143</v>
      </c>
      <c r="B1015" s="38">
        <v>690928.0</v>
      </c>
      <c r="C1015" s="72">
        <v>45791.0</v>
      </c>
      <c r="D1015" s="38">
        <v>88.0</v>
      </c>
      <c r="E1015" s="73">
        <f>IFERROR(__xludf.DUMMYFUNCTION("average(filter('Appearance Sheet'!F:F,'Appearance Sheet'!G:G=B1015,'Appearance Sheet'!A:A=C1015))"),5.0)</f>
        <v>5</v>
      </c>
      <c r="F1015" s="67">
        <v>5.279140253</v>
      </c>
      <c r="G1015" s="40">
        <v>1.556929203</v>
      </c>
      <c r="H1015" s="40">
        <f t="shared" si="1"/>
        <v>2.802472565</v>
      </c>
      <c r="I1015" s="41">
        <v>0.534090909</v>
      </c>
      <c r="J1015" s="41">
        <v>0.113636364</v>
      </c>
      <c r="K1015" s="41">
        <v>0.352272727</v>
      </c>
      <c r="L1015" s="41">
        <f t="shared" si="2"/>
        <v>0.181818182</v>
      </c>
      <c r="M1015" s="74">
        <v>-3.56145855</v>
      </c>
    </row>
    <row r="1016">
      <c r="A1016" s="1" t="s">
        <v>423</v>
      </c>
      <c r="B1016" s="38">
        <v>656605.0</v>
      </c>
      <c r="C1016" s="72">
        <v>45801.0</v>
      </c>
      <c r="D1016" s="38">
        <v>90.0</v>
      </c>
      <c r="E1016" s="73">
        <f>IFERROR(__xludf.DUMMYFUNCTION("average(filter('Appearance Sheet'!F:F,'Appearance Sheet'!G:G=B1016,'Appearance Sheet'!A:A=C1016))"),6.0)</f>
        <v>6</v>
      </c>
      <c r="F1016" s="67">
        <v>5.278961655</v>
      </c>
      <c r="G1016" s="40">
        <v>1.567797764</v>
      </c>
      <c r="H1016" s="40">
        <f t="shared" si="1"/>
        <v>2.351696646</v>
      </c>
      <c r="I1016" s="41">
        <v>0.522222222</v>
      </c>
      <c r="J1016" s="41">
        <v>0.155555556</v>
      </c>
      <c r="K1016" s="41">
        <v>0.322222222</v>
      </c>
      <c r="L1016" s="41">
        <f t="shared" si="2"/>
        <v>0.2</v>
      </c>
      <c r="M1016" s="74">
        <v>-1.354704621</v>
      </c>
    </row>
    <row r="1017">
      <c r="A1017" s="1" t="s">
        <v>562</v>
      </c>
      <c r="B1017" s="38">
        <v>669713.0</v>
      </c>
      <c r="C1017" s="72">
        <v>45754.0</v>
      </c>
      <c r="D1017" s="38">
        <v>80.0</v>
      </c>
      <c r="E1017" s="73">
        <f>IFERROR(__xludf.DUMMYFUNCTION("average(filter('Appearance Sheet'!F:F,'Appearance Sheet'!G:G=B1017,'Appearance Sheet'!A:A=C1017))"),7.0)</f>
        <v>7</v>
      </c>
      <c r="F1017" s="67">
        <v>5.278874981</v>
      </c>
      <c r="G1017" s="40">
        <v>1.410353831</v>
      </c>
      <c r="H1017" s="40">
        <f t="shared" si="1"/>
        <v>1.813312068</v>
      </c>
      <c r="I1017" s="41">
        <v>0.5</v>
      </c>
      <c r="J1017" s="41">
        <v>0.225</v>
      </c>
      <c r="K1017" s="41">
        <v>0.275</v>
      </c>
      <c r="L1017" s="41">
        <f t="shared" si="2"/>
        <v>0.225</v>
      </c>
      <c r="M1017" s="74">
        <v>2.018096678</v>
      </c>
    </row>
    <row r="1018">
      <c r="A1018" s="1" t="s">
        <v>224</v>
      </c>
      <c r="B1018" s="38">
        <v>686701.0</v>
      </c>
      <c r="C1018" s="72">
        <v>45874.0</v>
      </c>
      <c r="D1018" s="38">
        <v>84.0</v>
      </c>
      <c r="E1018" s="73" t="str">
        <f>IFERROR(__xludf.DUMMYFUNCTION("average(filter('Appearance Sheet'!F:F,'Appearance Sheet'!G:G=B1018,'Appearance Sheet'!A:A=C1018))"),"#N/A")</f>
        <v>#N/A</v>
      </c>
      <c r="F1018" s="67">
        <v>5.278857658</v>
      </c>
      <c r="G1018" s="40">
        <v>1.448598704</v>
      </c>
      <c r="H1018" s="40" t="str">
        <f t="shared" si="1"/>
        <v>#N/A</v>
      </c>
      <c r="I1018" s="41">
        <v>0.535714286</v>
      </c>
      <c r="J1018" s="41">
        <v>0.214285714</v>
      </c>
      <c r="K1018" s="41">
        <v>0.25</v>
      </c>
      <c r="L1018" s="41">
        <f t="shared" si="2"/>
        <v>0.285714286</v>
      </c>
      <c r="M1018" s="74">
        <v>2.922275249</v>
      </c>
    </row>
    <row r="1019">
      <c r="A1019" s="1" t="s">
        <v>256</v>
      </c>
      <c r="B1019" s="38">
        <v>571760.0</v>
      </c>
      <c r="C1019" s="72">
        <v>45798.0</v>
      </c>
      <c r="D1019" s="38">
        <v>93.0</v>
      </c>
      <c r="E1019" s="73">
        <f>IFERROR(__xludf.DUMMYFUNCTION("average(filter('Appearance Sheet'!F:F,'Appearance Sheet'!G:G=B1019,'Appearance Sheet'!A:A=C1019))"),5.0)</f>
        <v>5</v>
      </c>
      <c r="F1019" s="67">
        <v>5.278846389</v>
      </c>
      <c r="G1019" s="40">
        <v>1.604996447</v>
      </c>
      <c r="H1019" s="40">
        <f t="shared" si="1"/>
        <v>2.888993605</v>
      </c>
      <c r="I1019" s="41">
        <v>0.548387097</v>
      </c>
      <c r="J1019" s="41">
        <v>0.204301075</v>
      </c>
      <c r="K1019" s="41">
        <v>0.247311828</v>
      </c>
      <c r="L1019" s="41">
        <f t="shared" si="2"/>
        <v>0.301075269</v>
      </c>
      <c r="M1019" s="74">
        <v>2.475707786</v>
      </c>
    </row>
    <row r="1020">
      <c r="A1020" s="1" t="s">
        <v>368</v>
      </c>
      <c r="B1020" s="38">
        <v>593958.0</v>
      </c>
      <c r="C1020" s="72">
        <v>45916.0</v>
      </c>
      <c r="D1020" s="38">
        <v>81.0</v>
      </c>
      <c r="E1020" s="73" t="str">
        <f>IFERROR(__xludf.DUMMYFUNCTION("average(filter('Appearance Sheet'!F:F,'Appearance Sheet'!G:G=B1020,'Appearance Sheet'!A:A=C1020))"),"#N/A")</f>
        <v>#N/A</v>
      </c>
      <c r="F1020" s="67">
        <v>5.278528143</v>
      </c>
      <c r="G1020" s="40">
        <v>1.434611709</v>
      </c>
      <c r="H1020" s="40" t="str">
        <f t="shared" si="1"/>
        <v>#N/A</v>
      </c>
      <c r="I1020" s="41">
        <v>0.543209877</v>
      </c>
      <c r="J1020" s="41">
        <v>0.185185185</v>
      </c>
      <c r="K1020" s="41">
        <v>0.271604938</v>
      </c>
      <c r="L1020" s="41">
        <f t="shared" si="2"/>
        <v>0.271604939</v>
      </c>
      <c r="M1020" s="74">
        <v>-2.173840013</v>
      </c>
    </row>
    <row r="1021">
      <c r="A1021" s="1" t="s">
        <v>220</v>
      </c>
      <c r="B1021" s="38">
        <v>663559.0</v>
      </c>
      <c r="C1021" s="72">
        <v>45797.0</v>
      </c>
      <c r="D1021" s="38">
        <v>75.0</v>
      </c>
      <c r="E1021" s="73">
        <f>IFERROR(__xludf.DUMMYFUNCTION("average(filter('Appearance Sheet'!F:F,'Appearance Sheet'!G:G=B1021,'Appearance Sheet'!A:A=C1021))"),7.0)</f>
        <v>7</v>
      </c>
      <c r="F1021" s="67">
        <v>5.277936821</v>
      </c>
      <c r="G1021" s="40">
        <v>1.332316514</v>
      </c>
      <c r="H1021" s="40">
        <f t="shared" si="1"/>
        <v>1.712978375</v>
      </c>
      <c r="I1021" s="41">
        <v>0.56</v>
      </c>
      <c r="J1021" s="41">
        <v>0.106666667</v>
      </c>
      <c r="K1021" s="41">
        <v>0.333333333</v>
      </c>
      <c r="L1021" s="41">
        <f t="shared" si="2"/>
        <v>0.226666667</v>
      </c>
      <c r="M1021" s="74">
        <v>0.833476116</v>
      </c>
    </row>
    <row r="1022">
      <c r="A1022" s="1" t="s">
        <v>450</v>
      </c>
      <c r="B1022" s="38">
        <v>682990.0</v>
      </c>
      <c r="C1022" s="72">
        <v>45807.0</v>
      </c>
      <c r="D1022" s="38">
        <v>71.0</v>
      </c>
      <c r="E1022" s="73">
        <f>IFERROR(__xludf.DUMMYFUNCTION("average(filter('Appearance Sheet'!F:F,'Appearance Sheet'!G:G=B1022,'Appearance Sheet'!A:A=C1022))"),6.0)</f>
        <v>6</v>
      </c>
      <c r="F1022" s="67">
        <v>5.277800993</v>
      </c>
      <c r="G1022" s="40">
        <v>1.276440271</v>
      </c>
      <c r="H1022" s="40">
        <f t="shared" si="1"/>
        <v>1.914660407</v>
      </c>
      <c r="I1022" s="41">
        <v>0.478873239</v>
      </c>
      <c r="J1022" s="41">
        <v>0.211267606</v>
      </c>
      <c r="K1022" s="41">
        <v>0.309859155</v>
      </c>
      <c r="L1022" s="41">
        <f t="shared" si="2"/>
        <v>0.169014084</v>
      </c>
      <c r="M1022" s="74">
        <v>0.666457599</v>
      </c>
    </row>
    <row r="1023">
      <c r="A1023" s="1" t="s">
        <v>147</v>
      </c>
      <c r="B1023" s="38">
        <v>608379.0</v>
      </c>
      <c r="C1023" s="72">
        <v>45767.0</v>
      </c>
      <c r="D1023" s="38">
        <v>87.0</v>
      </c>
      <c r="E1023" s="73">
        <f>IFERROR(__xludf.DUMMYFUNCTION("average(filter('Appearance Sheet'!F:F,'Appearance Sheet'!G:G=B1023,'Appearance Sheet'!A:A=C1023))"),5.333333333333333)</f>
        <v>5.333333333</v>
      </c>
      <c r="F1023" s="67">
        <v>5.277780029</v>
      </c>
      <c r="G1023" s="40">
        <v>1.530790042</v>
      </c>
      <c r="H1023" s="40">
        <f t="shared" si="1"/>
        <v>2.583208196</v>
      </c>
      <c r="I1023" s="41">
        <v>0.482758621</v>
      </c>
      <c r="J1023" s="41">
        <v>0.229885057</v>
      </c>
      <c r="K1023" s="41">
        <v>0.287356322</v>
      </c>
      <c r="L1023" s="41">
        <f t="shared" si="2"/>
        <v>0.195402299</v>
      </c>
      <c r="M1023" s="74">
        <v>-1.984890637</v>
      </c>
    </row>
    <row r="1024">
      <c r="A1024" s="1" t="s">
        <v>44</v>
      </c>
      <c r="B1024" s="38">
        <v>650911.0</v>
      </c>
      <c r="C1024" s="72">
        <v>45866.0</v>
      </c>
      <c r="D1024" s="38">
        <v>85.0</v>
      </c>
      <c r="E1024" s="73" t="str">
        <f>IFERROR(__xludf.DUMMYFUNCTION("average(filter('Appearance Sheet'!F:F,'Appearance Sheet'!G:G=B1024,'Appearance Sheet'!A:A=C1024))"),"#N/A")</f>
        <v>#N/A</v>
      </c>
      <c r="F1024" s="67">
        <v>5.277607188</v>
      </c>
      <c r="G1024" s="40">
        <v>1.494986721</v>
      </c>
      <c r="H1024" s="40" t="str">
        <f t="shared" si="1"/>
        <v>#N/A</v>
      </c>
      <c r="I1024" s="41">
        <v>0.482352941</v>
      </c>
      <c r="J1024" s="41">
        <v>0.235294118</v>
      </c>
      <c r="K1024" s="41">
        <v>0.282352941</v>
      </c>
      <c r="L1024" s="41">
        <f t="shared" si="2"/>
        <v>0.2</v>
      </c>
      <c r="M1024" s="74">
        <v>0.627482728</v>
      </c>
    </row>
    <row r="1025">
      <c r="A1025" s="1" t="s">
        <v>290</v>
      </c>
      <c r="B1025" s="38">
        <v>669461.0</v>
      </c>
      <c r="C1025" s="72">
        <v>45760.0</v>
      </c>
      <c r="D1025" s="38">
        <v>83.0</v>
      </c>
      <c r="E1025" s="73">
        <f>IFERROR(__xludf.DUMMYFUNCTION("average(filter('Appearance Sheet'!F:F,'Appearance Sheet'!G:G=B1025,'Appearance Sheet'!A:A=C1025))"),6.0)</f>
        <v>6</v>
      </c>
      <c r="F1025" s="67">
        <v>5.277298167</v>
      </c>
      <c r="G1025" s="40">
        <v>1.424822757</v>
      </c>
      <c r="H1025" s="40">
        <f t="shared" si="1"/>
        <v>2.137234136</v>
      </c>
      <c r="I1025" s="41">
        <v>0.457831325</v>
      </c>
      <c r="J1025" s="41">
        <v>0.204819277</v>
      </c>
      <c r="K1025" s="41">
        <v>0.337349398</v>
      </c>
      <c r="L1025" s="41">
        <f t="shared" si="2"/>
        <v>0.120481927</v>
      </c>
      <c r="M1025" s="74">
        <v>1.608797293</v>
      </c>
    </row>
    <row r="1026">
      <c r="A1026" s="1" t="s">
        <v>148</v>
      </c>
      <c r="B1026" s="38">
        <v>592866.0</v>
      </c>
      <c r="C1026" s="72">
        <v>45770.0</v>
      </c>
      <c r="D1026" s="38">
        <v>97.0</v>
      </c>
      <c r="E1026" s="73">
        <f>IFERROR(__xludf.DUMMYFUNCTION("average(filter('Appearance Sheet'!F:F,'Appearance Sheet'!G:G=B1026,'Appearance Sheet'!A:A=C1026))"),5.0)</f>
        <v>5</v>
      </c>
      <c r="F1026" s="67">
        <v>5.277177927</v>
      </c>
      <c r="G1026" s="40">
        <v>1.668456838</v>
      </c>
      <c r="H1026" s="40">
        <f t="shared" si="1"/>
        <v>3.003222308</v>
      </c>
      <c r="I1026" s="41">
        <v>0.505154639</v>
      </c>
      <c r="J1026" s="41">
        <v>0.206185567</v>
      </c>
      <c r="K1026" s="41">
        <v>0.288659794</v>
      </c>
      <c r="L1026" s="41">
        <f t="shared" si="2"/>
        <v>0.216494845</v>
      </c>
      <c r="M1026" s="74">
        <v>-0.313506682</v>
      </c>
    </row>
    <row r="1027">
      <c r="A1027" s="1" t="s">
        <v>118</v>
      </c>
      <c r="B1027" s="38">
        <v>695505.0</v>
      </c>
      <c r="C1027" s="72">
        <v>45849.0</v>
      </c>
      <c r="D1027" s="38">
        <v>92.0</v>
      </c>
      <c r="E1027" s="73" t="str">
        <f>IFERROR(__xludf.DUMMYFUNCTION("average(filter('Appearance Sheet'!F:F,'Appearance Sheet'!G:G=B1027,'Appearance Sheet'!A:A=C1027))"),"#N/A")</f>
        <v>#N/A</v>
      </c>
      <c r="F1027" s="67">
        <v>5.277123097</v>
      </c>
      <c r="G1027" s="40">
        <v>1.622572721</v>
      </c>
      <c r="H1027" s="40" t="str">
        <f t="shared" si="1"/>
        <v>#N/A</v>
      </c>
      <c r="I1027" s="41">
        <v>0.52173913</v>
      </c>
      <c r="J1027" s="41">
        <v>0.206521739</v>
      </c>
      <c r="K1027" s="41">
        <v>0.27173913</v>
      </c>
      <c r="L1027" s="41">
        <f t="shared" si="2"/>
        <v>0.25</v>
      </c>
      <c r="M1027" s="74">
        <v>1.335683375</v>
      </c>
    </row>
    <row r="1028">
      <c r="A1028" s="1" t="s">
        <v>232</v>
      </c>
      <c r="B1028" s="38">
        <v>579328.0</v>
      </c>
      <c r="C1028" s="72">
        <v>45845.0</v>
      </c>
      <c r="D1028" s="38">
        <v>96.0</v>
      </c>
      <c r="E1028" s="73" t="str">
        <f>IFERROR(__xludf.DUMMYFUNCTION("average(filter('Appearance Sheet'!F:F,'Appearance Sheet'!G:G=B1028,'Appearance Sheet'!A:A=C1028))"),"#N/A")</f>
        <v>#N/A</v>
      </c>
      <c r="F1028" s="67">
        <v>5.277100805</v>
      </c>
      <c r="G1028" s="40">
        <v>1.659189796</v>
      </c>
      <c r="H1028" s="40" t="str">
        <f t="shared" si="1"/>
        <v>#N/A</v>
      </c>
      <c r="I1028" s="41">
        <v>0.520833333</v>
      </c>
      <c r="J1028" s="41">
        <v>0.177083333</v>
      </c>
      <c r="K1028" s="41">
        <v>0.302083333</v>
      </c>
      <c r="L1028" s="41">
        <f t="shared" si="2"/>
        <v>0.21875</v>
      </c>
      <c r="M1028" s="74">
        <v>-1.222903946</v>
      </c>
    </row>
    <row r="1029">
      <c r="A1029" s="1" t="s">
        <v>222</v>
      </c>
      <c r="B1029" s="38">
        <v>518876.0</v>
      </c>
      <c r="C1029" s="72">
        <v>45864.0</v>
      </c>
      <c r="D1029" s="38">
        <v>99.0</v>
      </c>
      <c r="E1029" s="73" t="str">
        <f>IFERROR(__xludf.DUMMYFUNCTION("average(filter('Appearance Sheet'!F:F,'Appearance Sheet'!G:G=B1029,'Appearance Sheet'!A:A=C1029))"),"#N/A")</f>
        <v>#N/A</v>
      </c>
      <c r="F1029" s="67">
        <v>5.27692937</v>
      </c>
      <c r="G1029" s="40">
        <v>1.769330664</v>
      </c>
      <c r="H1029" s="40" t="str">
        <f t="shared" si="1"/>
        <v>#N/A</v>
      </c>
      <c r="I1029" s="41">
        <v>0.545454545</v>
      </c>
      <c r="J1029" s="41">
        <v>0.111111111</v>
      </c>
      <c r="K1029" s="41">
        <v>0.343434343</v>
      </c>
      <c r="L1029" s="41">
        <f t="shared" si="2"/>
        <v>0.202020202</v>
      </c>
      <c r="M1029" s="74">
        <v>1.480676584</v>
      </c>
    </row>
    <row r="1030">
      <c r="A1030" s="1" t="s">
        <v>194</v>
      </c>
      <c r="B1030" s="38">
        <v>666157.0</v>
      </c>
      <c r="C1030" s="72">
        <v>45785.0</v>
      </c>
      <c r="D1030" s="38">
        <v>92.0</v>
      </c>
      <c r="E1030" s="73">
        <f>IFERROR(__xludf.DUMMYFUNCTION("average(filter('Appearance Sheet'!F:F,'Appearance Sheet'!G:G=B1030,'Appearance Sheet'!A:A=C1030))"),6.0)</f>
        <v>6</v>
      </c>
      <c r="F1030" s="67">
        <v>5.2768552</v>
      </c>
      <c r="G1030" s="40">
        <v>1.593915192</v>
      </c>
      <c r="H1030" s="40">
        <f t="shared" si="1"/>
        <v>2.390872788</v>
      </c>
      <c r="I1030" s="41">
        <v>0.47826087</v>
      </c>
      <c r="J1030" s="41">
        <v>0.141304348</v>
      </c>
      <c r="K1030" s="41">
        <v>0.380434783</v>
      </c>
      <c r="L1030" s="41">
        <f t="shared" si="2"/>
        <v>0.097826087</v>
      </c>
      <c r="M1030" s="74">
        <v>0.987448628</v>
      </c>
    </row>
    <row r="1031">
      <c r="A1031" s="1" t="s">
        <v>195</v>
      </c>
      <c r="B1031" s="38">
        <v>668678.0</v>
      </c>
      <c r="C1031" s="72">
        <v>45833.0</v>
      </c>
      <c r="D1031" s="38">
        <v>85.0</v>
      </c>
      <c r="E1031" s="73">
        <f>IFERROR(__xludf.DUMMYFUNCTION("average(filter('Appearance Sheet'!F:F,'Appearance Sheet'!G:G=B1031,'Appearance Sheet'!A:A=C1031))"),5.333333333333333)</f>
        <v>5.333333333</v>
      </c>
      <c r="F1031" s="67">
        <v>5.27663381</v>
      </c>
      <c r="G1031" s="40">
        <v>1.480542852</v>
      </c>
      <c r="H1031" s="40">
        <f t="shared" si="1"/>
        <v>2.498416063</v>
      </c>
      <c r="I1031" s="41">
        <v>0.447058824</v>
      </c>
      <c r="J1031" s="41">
        <v>0.258823529</v>
      </c>
      <c r="K1031" s="41">
        <v>0.294117647</v>
      </c>
      <c r="L1031" s="41">
        <f t="shared" si="2"/>
        <v>0.152941177</v>
      </c>
      <c r="M1031" s="74">
        <v>-2.921964776</v>
      </c>
    </row>
    <row r="1032">
      <c r="A1032" s="1" t="s">
        <v>382</v>
      </c>
      <c r="B1032" s="38">
        <v>656288.0</v>
      </c>
      <c r="C1032" s="72">
        <v>45745.0</v>
      </c>
      <c r="D1032" s="38">
        <v>80.0</v>
      </c>
      <c r="E1032" s="73">
        <f>IFERROR(__xludf.DUMMYFUNCTION("average(filter('Appearance Sheet'!F:F,'Appearance Sheet'!G:G=B1032,'Appearance Sheet'!A:A=C1032))"),5.666666666666667)</f>
        <v>5.666666667</v>
      </c>
      <c r="F1032" s="67">
        <v>5.276186072</v>
      </c>
      <c r="G1032" s="40">
        <v>1.39063037</v>
      </c>
      <c r="H1032" s="40">
        <f t="shared" si="1"/>
        <v>2.208648235</v>
      </c>
      <c r="I1032" s="41">
        <v>0.5625</v>
      </c>
      <c r="J1032" s="41">
        <v>0.075</v>
      </c>
      <c r="K1032" s="41">
        <v>0.3625</v>
      </c>
      <c r="L1032" s="41">
        <f t="shared" si="2"/>
        <v>0.2</v>
      </c>
      <c r="M1032" s="74">
        <v>0.691507129</v>
      </c>
    </row>
    <row r="1033">
      <c r="A1033" s="1" t="s">
        <v>97</v>
      </c>
      <c r="B1033" s="38">
        <v>656876.0</v>
      </c>
      <c r="C1033" s="72">
        <v>45860.0</v>
      </c>
      <c r="D1033" s="38">
        <v>71.0</v>
      </c>
      <c r="E1033" s="73" t="str">
        <f>IFERROR(__xludf.DUMMYFUNCTION("average(filter('Appearance Sheet'!F:F,'Appearance Sheet'!G:G=B1033,'Appearance Sheet'!A:A=C1033))"),"#N/A")</f>
        <v>#N/A</v>
      </c>
      <c r="F1033" s="67">
        <v>5.276160312</v>
      </c>
      <c r="G1033" s="40">
        <v>1.230902548</v>
      </c>
      <c r="H1033" s="40" t="str">
        <f t="shared" si="1"/>
        <v>#N/A</v>
      </c>
      <c r="I1033" s="41">
        <v>0.577464789</v>
      </c>
      <c r="J1033" s="41">
        <v>0.112676056</v>
      </c>
      <c r="K1033" s="41">
        <v>0.309859155</v>
      </c>
      <c r="L1033" s="41">
        <f t="shared" si="2"/>
        <v>0.267605634</v>
      </c>
      <c r="M1033" s="74">
        <v>1.300098659</v>
      </c>
    </row>
    <row r="1034">
      <c r="A1034" s="1" t="s">
        <v>232</v>
      </c>
      <c r="B1034" s="38">
        <v>579328.0</v>
      </c>
      <c r="C1034" s="72">
        <v>45789.0</v>
      </c>
      <c r="D1034" s="38">
        <v>96.0</v>
      </c>
      <c r="E1034" s="73">
        <f>IFERROR(__xludf.DUMMYFUNCTION("average(filter('Appearance Sheet'!F:F,'Appearance Sheet'!G:G=B1034,'Appearance Sheet'!A:A=C1034))"),6.0)</f>
        <v>6</v>
      </c>
      <c r="F1034" s="67">
        <v>5.276113388</v>
      </c>
      <c r="G1034" s="40">
        <v>1.670853823</v>
      </c>
      <c r="H1034" s="40">
        <f t="shared" si="1"/>
        <v>2.506280735</v>
      </c>
      <c r="I1034" s="41">
        <v>0.541666667</v>
      </c>
      <c r="J1034" s="41">
        <v>0.135416667</v>
      </c>
      <c r="K1034" s="41">
        <v>0.322916667</v>
      </c>
      <c r="L1034" s="41">
        <f t="shared" si="2"/>
        <v>0.21875</v>
      </c>
      <c r="M1034" s="74">
        <v>-1.52993016</v>
      </c>
    </row>
    <row r="1035">
      <c r="A1035" s="1" t="s">
        <v>263</v>
      </c>
      <c r="B1035" s="38">
        <v>694297.0</v>
      </c>
      <c r="C1035" s="72">
        <v>45900.0</v>
      </c>
      <c r="D1035" s="38">
        <v>92.0</v>
      </c>
      <c r="E1035" s="73" t="str">
        <f>IFERROR(__xludf.DUMMYFUNCTION("average(filter('Appearance Sheet'!F:F,'Appearance Sheet'!G:G=B1035,'Appearance Sheet'!A:A=C1035))"),"#N/A")</f>
        <v>#N/A</v>
      </c>
      <c r="F1035" s="67">
        <v>5.275953792</v>
      </c>
      <c r="G1035" s="40">
        <v>1.605953087</v>
      </c>
      <c r="H1035" s="40" t="str">
        <f t="shared" si="1"/>
        <v>#N/A</v>
      </c>
      <c r="I1035" s="41">
        <v>0.52173913</v>
      </c>
      <c r="J1035" s="41">
        <v>0.152173913</v>
      </c>
      <c r="K1035" s="41">
        <v>0.326086957</v>
      </c>
      <c r="L1035" s="41">
        <f t="shared" si="2"/>
        <v>0.195652173</v>
      </c>
      <c r="M1035" s="74">
        <v>-1.832708869</v>
      </c>
    </row>
    <row r="1036">
      <c r="A1036" s="1" t="s">
        <v>88</v>
      </c>
      <c r="B1036" s="38">
        <v>694973.0</v>
      </c>
      <c r="C1036" s="72">
        <v>45849.0</v>
      </c>
      <c r="D1036" s="38">
        <v>72.0</v>
      </c>
      <c r="E1036" s="73" t="str">
        <f>IFERROR(__xludf.DUMMYFUNCTION("average(filter('Appearance Sheet'!F:F,'Appearance Sheet'!G:G=B1036,'Appearance Sheet'!A:A=C1036))"),"#N/A")</f>
        <v>#N/A</v>
      </c>
      <c r="F1036" s="67">
        <v>5.275821217</v>
      </c>
      <c r="G1036" s="40">
        <v>1.250297875</v>
      </c>
      <c r="H1036" s="40" t="str">
        <f t="shared" si="1"/>
        <v>#N/A</v>
      </c>
      <c r="I1036" s="41">
        <v>0.486111111</v>
      </c>
      <c r="J1036" s="41">
        <v>0.194444444</v>
      </c>
      <c r="K1036" s="41">
        <v>0.319444444</v>
      </c>
      <c r="L1036" s="41">
        <f t="shared" si="2"/>
        <v>0.166666667</v>
      </c>
      <c r="M1036" s="74">
        <v>-0.530364592</v>
      </c>
    </row>
    <row r="1037">
      <c r="A1037" s="1" t="s">
        <v>192</v>
      </c>
      <c r="B1037" s="38">
        <v>642232.0</v>
      </c>
      <c r="C1037" s="72">
        <v>45905.0</v>
      </c>
      <c r="D1037" s="38">
        <v>73.0</v>
      </c>
      <c r="E1037" s="73" t="str">
        <f>IFERROR(__xludf.DUMMYFUNCTION("average(filter('Appearance Sheet'!F:F,'Appearance Sheet'!G:G=B1037,'Appearance Sheet'!A:A=C1037))"),"#N/A")</f>
        <v>#N/A</v>
      </c>
      <c r="F1037" s="67">
        <v>5.27572014</v>
      </c>
      <c r="G1037" s="40">
        <v>1.272847671</v>
      </c>
      <c r="H1037" s="40" t="str">
        <f t="shared" si="1"/>
        <v>#N/A</v>
      </c>
      <c r="I1037" s="41">
        <v>0.465753425</v>
      </c>
      <c r="J1037" s="41">
        <v>0.232876712</v>
      </c>
      <c r="K1037" s="41">
        <v>0.301369863</v>
      </c>
      <c r="L1037" s="41">
        <f t="shared" si="2"/>
        <v>0.164383562</v>
      </c>
      <c r="M1037" s="74">
        <v>2.492153094</v>
      </c>
    </row>
    <row r="1038">
      <c r="A1038" s="1" t="s">
        <v>158</v>
      </c>
      <c r="B1038" s="38">
        <v>608372.0</v>
      </c>
      <c r="C1038" s="72">
        <v>45811.0</v>
      </c>
      <c r="D1038" s="38">
        <v>86.0</v>
      </c>
      <c r="E1038" s="73">
        <f>IFERROR(__xludf.DUMMYFUNCTION("average(filter('Appearance Sheet'!F:F,'Appearance Sheet'!G:G=B1038,'Appearance Sheet'!A:A=C1038))"),7.0)</f>
        <v>7</v>
      </c>
      <c r="F1038" s="67">
        <v>5.275670593</v>
      </c>
      <c r="G1038" s="40">
        <v>1.536160814</v>
      </c>
      <c r="H1038" s="40">
        <f t="shared" si="1"/>
        <v>1.975063904</v>
      </c>
      <c r="I1038" s="41">
        <v>0.511627907</v>
      </c>
      <c r="J1038" s="41">
        <v>0.174418605</v>
      </c>
      <c r="K1038" s="41">
        <v>0.313953488</v>
      </c>
      <c r="L1038" s="41">
        <f t="shared" si="2"/>
        <v>0.197674419</v>
      </c>
      <c r="M1038" s="74">
        <v>-0.264135328</v>
      </c>
    </row>
    <row r="1039">
      <c r="A1039" s="1" t="s">
        <v>85</v>
      </c>
      <c r="B1039" s="38">
        <v>808967.0</v>
      </c>
      <c r="C1039" s="72">
        <v>45925.0</v>
      </c>
      <c r="D1039" s="38">
        <v>86.0</v>
      </c>
      <c r="E1039" s="73" t="str">
        <f>IFERROR(__xludf.DUMMYFUNCTION("average(filter('Appearance Sheet'!F:F,'Appearance Sheet'!G:G=B1039,'Appearance Sheet'!A:A=C1039))"),"#N/A")</f>
        <v>#N/A</v>
      </c>
      <c r="F1039" s="67">
        <v>5.275641586</v>
      </c>
      <c r="G1039" s="40">
        <v>1.540600215</v>
      </c>
      <c r="H1039" s="40" t="str">
        <f t="shared" si="1"/>
        <v>#N/A</v>
      </c>
      <c r="I1039" s="41">
        <v>0.476744186</v>
      </c>
      <c r="J1039" s="41">
        <v>0.244186047</v>
      </c>
      <c r="K1039" s="41">
        <v>0.279069767</v>
      </c>
      <c r="L1039" s="41">
        <f t="shared" si="2"/>
        <v>0.197674419</v>
      </c>
      <c r="M1039" s="74">
        <v>1.888121576</v>
      </c>
    </row>
    <row r="1040">
      <c r="A1040" s="1" t="s">
        <v>115</v>
      </c>
      <c r="B1040" s="38">
        <v>543135.0</v>
      </c>
      <c r="C1040" s="72">
        <v>45851.0</v>
      </c>
      <c r="D1040" s="38">
        <v>99.0</v>
      </c>
      <c r="E1040" s="73" t="str">
        <f>IFERROR(__xludf.DUMMYFUNCTION("average(filter('Appearance Sheet'!F:F,'Appearance Sheet'!G:G=B1040,'Appearance Sheet'!A:A=C1040))"),"#N/A")</f>
        <v>#N/A</v>
      </c>
      <c r="F1040" s="67">
        <v>5.275505943</v>
      </c>
      <c r="G1040" s="40">
        <v>1.747672257</v>
      </c>
      <c r="H1040" s="40" t="str">
        <f t="shared" si="1"/>
        <v>#N/A</v>
      </c>
      <c r="I1040" s="41">
        <v>0.515151515</v>
      </c>
      <c r="J1040" s="41">
        <v>0.181818182</v>
      </c>
      <c r="K1040" s="41">
        <v>0.303030303</v>
      </c>
      <c r="L1040" s="41">
        <f t="shared" si="2"/>
        <v>0.212121212</v>
      </c>
      <c r="M1040" s="74">
        <v>1.9842034</v>
      </c>
    </row>
    <row r="1041">
      <c r="A1041" s="1" t="s">
        <v>358</v>
      </c>
      <c r="B1041" s="38">
        <v>434378.0</v>
      </c>
      <c r="C1041" s="72">
        <v>45745.0</v>
      </c>
      <c r="D1041" s="38">
        <v>81.0</v>
      </c>
      <c r="E1041" s="73">
        <f>IFERROR(__xludf.DUMMYFUNCTION("average(filter('Appearance Sheet'!F:F,'Appearance Sheet'!G:G=B1041,'Appearance Sheet'!A:A=C1041))"),5.0)</f>
        <v>5</v>
      </c>
      <c r="F1041" s="67">
        <v>5.27527259</v>
      </c>
      <c r="G1041" s="40">
        <v>1.430564751</v>
      </c>
      <c r="H1041" s="40">
        <f t="shared" si="1"/>
        <v>2.575016552</v>
      </c>
      <c r="I1041" s="41">
        <v>0.469135802</v>
      </c>
      <c r="J1041" s="41">
        <v>0.160493827</v>
      </c>
      <c r="K1041" s="41">
        <v>0.37037037</v>
      </c>
      <c r="L1041" s="41">
        <f t="shared" si="2"/>
        <v>0.098765432</v>
      </c>
      <c r="M1041" s="74">
        <v>-0.751628208</v>
      </c>
    </row>
    <row r="1042">
      <c r="A1042" s="1" t="s">
        <v>485</v>
      </c>
      <c r="B1042" s="38">
        <v>701519.0</v>
      </c>
      <c r="C1042" s="72">
        <v>45850.0</v>
      </c>
      <c r="D1042" s="38">
        <v>65.0</v>
      </c>
      <c r="E1042" s="73" t="str">
        <f>IFERROR(__xludf.DUMMYFUNCTION("average(filter('Appearance Sheet'!F:F,'Appearance Sheet'!G:G=B1042,'Appearance Sheet'!A:A=C1042))"),"#N/A")</f>
        <v>#N/A</v>
      </c>
      <c r="F1042" s="67">
        <v>5.275146615</v>
      </c>
      <c r="G1042" s="40">
        <v>1.140196572</v>
      </c>
      <c r="H1042" s="40" t="str">
        <f t="shared" si="1"/>
        <v>#N/A</v>
      </c>
      <c r="I1042" s="41">
        <v>0.476923077</v>
      </c>
      <c r="J1042" s="41">
        <v>0.215384615</v>
      </c>
      <c r="K1042" s="41">
        <v>0.307692308</v>
      </c>
      <c r="L1042" s="41">
        <f t="shared" si="2"/>
        <v>0.169230769</v>
      </c>
      <c r="M1042" s="74">
        <v>2.791841576</v>
      </c>
    </row>
    <row r="1043">
      <c r="A1043" s="1" t="s">
        <v>99</v>
      </c>
      <c r="B1043" s="38">
        <v>592791.0</v>
      </c>
      <c r="C1043" s="72">
        <v>45803.0</v>
      </c>
      <c r="D1043" s="38">
        <v>80.0</v>
      </c>
      <c r="E1043" s="73">
        <f>IFERROR(__xludf.DUMMYFUNCTION("average(filter('Appearance Sheet'!F:F,'Appearance Sheet'!G:G=B1043,'Appearance Sheet'!A:A=C1043))"),6.333333333333333)</f>
        <v>6.333333333</v>
      </c>
      <c r="F1043" s="67">
        <v>5.274714579</v>
      </c>
      <c r="G1043" s="40">
        <v>1.392319152</v>
      </c>
      <c r="H1043" s="40">
        <f t="shared" si="1"/>
        <v>1.978558795</v>
      </c>
      <c r="I1043" s="41">
        <v>0.4875</v>
      </c>
      <c r="J1043" s="41">
        <v>0.2125</v>
      </c>
      <c r="K1043" s="41">
        <v>0.3</v>
      </c>
      <c r="L1043" s="41">
        <f t="shared" si="2"/>
        <v>0.1875</v>
      </c>
      <c r="M1043" s="74">
        <v>0.480762772</v>
      </c>
    </row>
    <row r="1044">
      <c r="A1044" s="1" t="s">
        <v>35</v>
      </c>
      <c r="B1044" s="38">
        <v>676083.0</v>
      </c>
      <c r="C1044" s="72">
        <v>45850.0</v>
      </c>
      <c r="D1044" s="38">
        <v>82.0</v>
      </c>
      <c r="E1044" s="73" t="str">
        <f>IFERROR(__xludf.DUMMYFUNCTION("average(filter('Appearance Sheet'!F:F,'Appearance Sheet'!G:G=B1044,'Appearance Sheet'!A:A=C1044))"),"#N/A")</f>
        <v>#N/A</v>
      </c>
      <c r="F1044" s="67">
        <v>5.274511835</v>
      </c>
      <c r="G1044" s="40">
        <v>1.462481979</v>
      </c>
      <c r="H1044" s="40" t="str">
        <f t="shared" si="1"/>
        <v>#N/A</v>
      </c>
      <c r="I1044" s="41">
        <v>0.5</v>
      </c>
      <c r="J1044" s="41">
        <v>0.207317073</v>
      </c>
      <c r="K1044" s="41">
        <v>0.292682927</v>
      </c>
      <c r="L1044" s="41">
        <f t="shared" si="2"/>
        <v>0.207317073</v>
      </c>
      <c r="M1044" s="74">
        <v>0.50318989</v>
      </c>
    </row>
    <row r="1045">
      <c r="A1045" s="1" t="s">
        <v>450</v>
      </c>
      <c r="B1045" s="38">
        <v>682990.0</v>
      </c>
      <c r="C1045" s="72">
        <v>45830.0</v>
      </c>
      <c r="D1045" s="38">
        <v>73.0</v>
      </c>
      <c r="E1045" s="73">
        <f>IFERROR(__xludf.DUMMYFUNCTION("average(filter('Appearance Sheet'!F:F,'Appearance Sheet'!G:G=B1045,'Appearance Sheet'!A:A=C1045))"),3.3333333333333335)</f>
        <v>3.333333333</v>
      </c>
      <c r="F1045" s="67">
        <v>5.274484565</v>
      </c>
      <c r="G1045" s="40">
        <v>1.289734573</v>
      </c>
      <c r="H1045" s="40">
        <f t="shared" si="1"/>
        <v>3.482283347</v>
      </c>
      <c r="I1045" s="41">
        <v>0.493150685</v>
      </c>
      <c r="J1045" s="41">
        <v>0.219178082</v>
      </c>
      <c r="K1045" s="41">
        <v>0.287671233</v>
      </c>
      <c r="L1045" s="41">
        <f t="shared" si="2"/>
        <v>0.205479452</v>
      </c>
      <c r="M1045" s="74">
        <v>-2.679069516</v>
      </c>
    </row>
    <row r="1046">
      <c r="A1046" s="1" t="s">
        <v>129</v>
      </c>
      <c r="B1046" s="38">
        <v>686752.0</v>
      </c>
      <c r="C1046" s="72">
        <v>45802.0</v>
      </c>
      <c r="D1046" s="38">
        <v>90.0</v>
      </c>
      <c r="E1046" s="73">
        <f>IFERROR(__xludf.DUMMYFUNCTION("average(filter('Appearance Sheet'!F:F,'Appearance Sheet'!G:G=B1046,'Appearance Sheet'!A:A=C1046))"),7.0)</f>
        <v>7</v>
      </c>
      <c r="F1046" s="67">
        <v>5.274259232</v>
      </c>
      <c r="G1046" s="40">
        <v>1.574769265</v>
      </c>
      <c r="H1046" s="40">
        <f t="shared" si="1"/>
        <v>2.024703341</v>
      </c>
      <c r="I1046" s="41">
        <v>0.511111111</v>
      </c>
      <c r="J1046" s="41">
        <v>0.177777778</v>
      </c>
      <c r="K1046" s="41">
        <v>0.311111111</v>
      </c>
      <c r="L1046" s="41">
        <f t="shared" si="2"/>
        <v>0.2</v>
      </c>
      <c r="M1046" s="74">
        <v>2.815942361</v>
      </c>
    </row>
    <row r="1047">
      <c r="A1047" s="1" t="s">
        <v>195</v>
      </c>
      <c r="B1047" s="38">
        <v>668678.0</v>
      </c>
      <c r="C1047" s="72">
        <v>45766.0</v>
      </c>
      <c r="D1047" s="38">
        <v>102.0</v>
      </c>
      <c r="E1047" s="73">
        <f>IFERROR(__xludf.DUMMYFUNCTION("average(filter('Appearance Sheet'!F:F,'Appearance Sheet'!G:G=B1047,'Appearance Sheet'!A:A=C1047))"),6.0)</f>
        <v>6</v>
      </c>
      <c r="F1047" s="67">
        <v>5.274212953</v>
      </c>
      <c r="G1047" s="40">
        <v>1.79040757</v>
      </c>
      <c r="H1047" s="40">
        <f t="shared" si="1"/>
        <v>2.685611355</v>
      </c>
      <c r="I1047" s="41">
        <v>0.558823529</v>
      </c>
      <c r="J1047" s="41">
        <v>0.107843137</v>
      </c>
      <c r="K1047" s="41">
        <v>0.333333333</v>
      </c>
      <c r="L1047" s="41">
        <f t="shared" si="2"/>
        <v>0.225490196</v>
      </c>
      <c r="M1047" s="74">
        <v>-1.344235066</v>
      </c>
    </row>
    <row r="1048">
      <c r="A1048" s="1" t="s">
        <v>143</v>
      </c>
      <c r="B1048" s="38">
        <v>690928.0</v>
      </c>
      <c r="C1048" s="72">
        <v>45822.0</v>
      </c>
      <c r="D1048" s="38">
        <v>77.0</v>
      </c>
      <c r="E1048" s="73">
        <f>IFERROR(__xludf.DUMMYFUNCTION("average(filter('Appearance Sheet'!F:F,'Appearance Sheet'!G:G=B1048,'Appearance Sheet'!A:A=C1048))"),6.0)</f>
        <v>6</v>
      </c>
      <c r="F1048" s="67">
        <v>5.273983841</v>
      </c>
      <c r="G1048" s="40">
        <v>1.357493882</v>
      </c>
      <c r="H1048" s="40">
        <f t="shared" si="1"/>
        <v>2.036240823</v>
      </c>
      <c r="I1048" s="41">
        <v>0.558441558</v>
      </c>
      <c r="J1048" s="41">
        <v>0.077922078</v>
      </c>
      <c r="K1048" s="41">
        <v>0.363636364</v>
      </c>
      <c r="L1048" s="41">
        <f t="shared" si="2"/>
        <v>0.194805194</v>
      </c>
      <c r="M1048" s="74">
        <v>2.607457548</v>
      </c>
    </row>
    <row r="1049">
      <c r="A1049" s="1" t="s">
        <v>129</v>
      </c>
      <c r="B1049" s="38">
        <v>686752.0</v>
      </c>
      <c r="C1049" s="72">
        <v>45813.0</v>
      </c>
      <c r="D1049" s="38">
        <v>95.0</v>
      </c>
      <c r="E1049" s="73">
        <f>IFERROR(__xludf.DUMMYFUNCTION("average(filter('Appearance Sheet'!F:F,'Appearance Sheet'!G:G=B1049,'Appearance Sheet'!A:A=C1049))"),6.0)</f>
        <v>6</v>
      </c>
      <c r="F1049" s="67">
        <v>5.27388716</v>
      </c>
      <c r="G1049" s="40">
        <v>1.641253087</v>
      </c>
      <c r="H1049" s="40">
        <f t="shared" si="1"/>
        <v>2.461879631</v>
      </c>
      <c r="I1049" s="41">
        <v>0.515789474</v>
      </c>
      <c r="J1049" s="41">
        <v>0.126315789</v>
      </c>
      <c r="K1049" s="41">
        <v>0.357894737</v>
      </c>
      <c r="L1049" s="41">
        <f t="shared" si="2"/>
        <v>0.157894737</v>
      </c>
      <c r="M1049" s="74">
        <v>1.700631546</v>
      </c>
    </row>
    <row r="1050">
      <c r="A1050" s="1" t="s">
        <v>423</v>
      </c>
      <c r="B1050" s="38">
        <v>656605.0</v>
      </c>
      <c r="C1050" s="72">
        <v>45840.0</v>
      </c>
      <c r="D1050" s="38">
        <v>89.0</v>
      </c>
      <c r="E1050" s="73">
        <f>IFERROR(__xludf.DUMMYFUNCTION("average(filter('Appearance Sheet'!F:F,'Appearance Sheet'!G:G=B1050,'Appearance Sheet'!A:A=C1050))"),7.0)</f>
        <v>7</v>
      </c>
      <c r="F1050" s="67">
        <v>5.273875143</v>
      </c>
      <c r="G1050" s="40">
        <v>1.563594846</v>
      </c>
      <c r="H1050" s="40">
        <f t="shared" si="1"/>
        <v>2.010336231</v>
      </c>
      <c r="I1050" s="41">
        <v>0.494382022</v>
      </c>
      <c r="J1050" s="41">
        <v>0.168539326</v>
      </c>
      <c r="K1050" s="41">
        <v>0.337078652</v>
      </c>
      <c r="L1050" s="41">
        <f t="shared" si="2"/>
        <v>0.15730337</v>
      </c>
      <c r="M1050" s="74">
        <v>0.508874342</v>
      </c>
    </row>
    <row r="1051">
      <c r="A1051" s="1" t="s">
        <v>77</v>
      </c>
      <c r="B1051" s="38">
        <v>657277.0</v>
      </c>
      <c r="C1051" s="72">
        <v>45857.0</v>
      </c>
      <c r="D1051" s="38">
        <v>74.0</v>
      </c>
      <c r="E1051" s="73" t="str">
        <f>IFERROR(__xludf.DUMMYFUNCTION("average(filter('Appearance Sheet'!F:F,'Appearance Sheet'!G:G=B1051,'Appearance Sheet'!A:A=C1051))"),"#N/A")</f>
        <v>#N/A</v>
      </c>
      <c r="F1051" s="67">
        <v>5.273606656</v>
      </c>
      <c r="G1051" s="40">
        <v>1.312438113</v>
      </c>
      <c r="H1051" s="40" t="str">
        <f t="shared" si="1"/>
        <v>#N/A</v>
      </c>
      <c r="I1051" s="41">
        <v>0.5</v>
      </c>
      <c r="J1051" s="41">
        <v>0.216216216</v>
      </c>
      <c r="K1051" s="41">
        <v>0.283783784</v>
      </c>
      <c r="L1051" s="41">
        <f t="shared" si="2"/>
        <v>0.216216216</v>
      </c>
      <c r="M1051" s="74">
        <v>-7.214418367</v>
      </c>
    </row>
    <row r="1052">
      <c r="A1052" s="1" t="s">
        <v>354</v>
      </c>
      <c r="B1052" s="38">
        <v>669022.0</v>
      </c>
      <c r="C1052" s="72">
        <v>45879.0</v>
      </c>
      <c r="D1052" s="38">
        <v>94.0</v>
      </c>
      <c r="E1052" s="73" t="str">
        <f>IFERROR(__xludf.DUMMYFUNCTION("average(filter('Appearance Sheet'!F:F,'Appearance Sheet'!G:G=B1052,'Appearance Sheet'!A:A=C1052))"),"#N/A")</f>
        <v>#N/A</v>
      </c>
      <c r="F1052" s="67">
        <v>5.273559927</v>
      </c>
      <c r="G1052" s="40">
        <v>1.630190241</v>
      </c>
      <c r="H1052" s="40" t="str">
        <f t="shared" si="1"/>
        <v>#N/A</v>
      </c>
      <c r="I1052" s="41">
        <v>0.563829787</v>
      </c>
      <c r="J1052" s="41">
        <v>0.170212766</v>
      </c>
      <c r="K1052" s="41">
        <v>0.265957447</v>
      </c>
      <c r="L1052" s="41">
        <f t="shared" si="2"/>
        <v>0.29787234</v>
      </c>
      <c r="M1052" s="74">
        <v>2.628753643</v>
      </c>
    </row>
    <row r="1053">
      <c r="A1053" s="1" t="s">
        <v>558</v>
      </c>
      <c r="B1053" s="38">
        <v>596271.0</v>
      </c>
      <c r="C1053" s="72">
        <v>45772.0</v>
      </c>
      <c r="D1053" s="38">
        <v>82.0</v>
      </c>
      <c r="E1053" s="73">
        <f>IFERROR(__xludf.DUMMYFUNCTION("average(filter('Appearance Sheet'!F:F,'Appearance Sheet'!G:G=B1053,'Appearance Sheet'!A:A=C1053))"),5.0)</f>
        <v>5</v>
      </c>
      <c r="F1053" s="67">
        <v>5.27338759</v>
      </c>
      <c r="G1053" s="40">
        <v>1.447076297</v>
      </c>
      <c r="H1053" s="40">
        <f t="shared" si="1"/>
        <v>2.604737335</v>
      </c>
      <c r="I1053" s="41">
        <v>0.524390244</v>
      </c>
      <c r="J1053" s="41">
        <v>0.109756098</v>
      </c>
      <c r="K1053" s="41">
        <v>0.365853659</v>
      </c>
      <c r="L1053" s="41">
        <f t="shared" si="2"/>
        <v>0.158536585</v>
      </c>
      <c r="M1053" s="74">
        <v>-4.294381945</v>
      </c>
    </row>
    <row r="1054">
      <c r="A1054" s="1" t="s">
        <v>474</v>
      </c>
      <c r="B1054" s="38">
        <v>450203.0</v>
      </c>
      <c r="C1054" s="72">
        <v>45827.0</v>
      </c>
      <c r="D1054" s="38">
        <v>80.0</v>
      </c>
      <c r="E1054" s="73">
        <f>IFERROR(__xludf.DUMMYFUNCTION("average(filter('Appearance Sheet'!F:F,'Appearance Sheet'!G:G=B1054,'Appearance Sheet'!A:A=C1054))"),6.0)</f>
        <v>6</v>
      </c>
      <c r="F1054" s="67">
        <v>5.273104044</v>
      </c>
      <c r="G1054" s="40">
        <v>1.394600216</v>
      </c>
      <c r="H1054" s="40">
        <f t="shared" si="1"/>
        <v>2.091900324</v>
      </c>
      <c r="I1054" s="41">
        <v>0.5625</v>
      </c>
      <c r="J1054" s="41">
        <v>0.125</v>
      </c>
      <c r="K1054" s="41">
        <v>0.3125</v>
      </c>
      <c r="L1054" s="41">
        <f t="shared" si="2"/>
        <v>0.25</v>
      </c>
      <c r="M1054" s="74">
        <v>-1.44411609</v>
      </c>
    </row>
    <row r="1055">
      <c r="A1055" s="1" t="s">
        <v>105</v>
      </c>
      <c r="B1055" s="38">
        <v>624133.0</v>
      </c>
      <c r="C1055" s="72">
        <v>45915.0</v>
      </c>
      <c r="D1055" s="38">
        <v>87.0</v>
      </c>
      <c r="E1055" s="73" t="str">
        <f>IFERROR(__xludf.DUMMYFUNCTION("average(filter('Appearance Sheet'!F:F,'Appearance Sheet'!G:G=B1055,'Appearance Sheet'!A:A=C1055))"),"#N/A")</f>
        <v>#N/A</v>
      </c>
      <c r="F1055" s="67">
        <v>5.272987882</v>
      </c>
      <c r="G1055" s="40">
        <v>1.540470807</v>
      </c>
      <c r="H1055" s="40" t="str">
        <f t="shared" si="1"/>
        <v>#N/A</v>
      </c>
      <c r="I1055" s="41">
        <v>0.540229885</v>
      </c>
      <c r="J1055" s="41">
        <v>0.183908046</v>
      </c>
      <c r="K1055" s="41">
        <v>0.275862069</v>
      </c>
      <c r="L1055" s="41">
        <f t="shared" si="2"/>
        <v>0.264367816</v>
      </c>
      <c r="M1055" s="74">
        <v>-0.41949617</v>
      </c>
    </row>
    <row r="1056">
      <c r="A1056" s="1" t="s">
        <v>374</v>
      </c>
      <c r="B1056" s="38">
        <v>683004.0</v>
      </c>
      <c r="C1056" s="72">
        <v>45844.0</v>
      </c>
      <c r="D1056" s="38">
        <v>83.0</v>
      </c>
      <c r="E1056" s="73" t="str">
        <f>IFERROR(__xludf.DUMMYFUNCTION("average(filter('Appearance Sheet'!F:F,'Appearance Sheet'!G:G=B1056,'Appearance Sheet'!A:A=C1056))"),"#N/A")</f>
        <v>#N/A</v>
      </c>
      <c r="F1056" s="67">
        <v>5.272947144</v>
      </c>
      <c r="G1056" s="40">
        <v>1.427467155</v>
      </c>
      <c r="H1056" s="40" t="str">
        <f t="shared" si="1"/>
        <v>#N/A</v>
      </c>
      <c r="I1056" s="41">
        <v>0.518072289</v>
      </c>
      <c r="J1056" s="41">
        <v>0.156626506</v>
      </c>
      <c r="K1056" s="41">
        <v>0.325301205</v>
      </c>
      <c r="L1056" s="41">
        <f t="shared" si="2"/>
        <v>0.192771084</v>
      </c>
      <c r="M1056" s="74">
        <v>-0.977803485</v>
      </c>
    </row>
    <row r="1057">
      <c r="A1057" s="1" t="s">
        <v>191</v>
      </c>
      <c r="B1057" s="38">
        <v>687064.0</v>
      </c>
      <c r="C1057" s="72">
        <v>45851.0</v>
      </c>
      <c r="D1057" s="38">
        <v>73.0</v>
      </c>
      <c r="E1057" s="73" t="str">
        <f>IFERROR(__xludf.DUMMYFUNCTION("average(filter('Appearance Sheet'!F:F,'Appearance Sheet'!G:G=B1057,'Appearance Sheet'!A:A=C1057))"),"#N/A")</f>
        <v>#N/A</v>
      </c>
      <c r="F1057" s="67">
        <v>5.271988941</v>
      </c>
      <c r="G1057" s="40">
        <v>1.301875739</v>
      </c>
      <c r="H1057" s="40" t="str">
        <f t="shared" si="1"/>
        <v>#N/A</v>
      </c>
      <c r="I1057" s="41">
        <v>0.534246575</v>
      </c>
      <c r="J1057" s="41">
        <v>0.164383562</v>
      </c>
      <c r="K1057" s="41">
        <v>0.301369863</v>
      </c>
      <c r="L1057" s="41">
        <f t="shared" si="2"/>
        <v>0.232876712</v>
      </c>
      <c r="M1057" s="74">
        <v>-4.780478602</v>
      </c>
    </row>
    <row r="1058">
      <c r="A1058" s="1" t="s">
        <v>88</v>
      </c>
      <c r="B1058" s="38">
        <v>694973.0</v>
      </c>
      <c r="C1058" s="72">
        <v>45761.0</v>
      </c>
      <c r="D1058" s="38">
        <v>98.0</v>
      </c>
      <c r="E1058" s="73">
        <f>IFERROR(__xludf.DUMMYFUNCTION("average(filter('Appearance Sheet'!F:F,'Appearance Sheet'!G:G=B1058,'Appearance Sheet'!A:A=C1058))"),6.0)</f>
        <v>6</v>
      </c>
      <c r="F1058" s="67">
        <v>5.271913101</v>
      </c>
      <c r="G1058" s="40">
        <v>1.699638823</v>
      </c>
      <c r="H1058" s="40">
        <f t="shared" si="1"/>
        <v>2.549458235</v>
      </c>
      <c r="I1058" s="41">
        <v>0.479591837</v>
      </c>
      <c r="J1058" s="41">
        <v>0.224489796</v>
      </c>
      <c r="K1058" s="41">
        <v>0.295918367</v>
      </c>
      <c r="L1058" s="41">
        <f t="shared" si="2"/>
        <v>0.18367347</v>
      </c>
      <c r="M1058" s="74">
        <v>2.634614232</v>
      </c>
    </row>
    <row r="1059">
      <c r="A1059" s="1" t="s">
        <v>269</v>
      </c>
      <c r="B1059" s="38">
        <v>605280.0</v>
      </c>
      <c r="C1059" s="72">
        <v>45874.0</v>
      </c>
      <c r="D1059" s="38">
        <v>70.0</v>
      </c>
      <c r="E1059" s="73" t="str">
        <f>IFERROR(__xludf.DUMMYFUNCTION("average(filter('Appearance Sheet'!F:F,'Appearance Sheet'!G:G=B1059,'Appearance Sheet'!A:A=C1059))"),"#N/A")</f>
        <v>#N/A</v>
      </c>
      <c r="F1059" s="67">
        <v>5.271880768</v>
      </c>
      <c r="G1059" s="40">
        <v>1.217995949</v>
      </c>
      <c r="H1059" s="40" t="str">
        <f t="shared" si="1"/>
        <v>#N/A</v>
      </c>
      <c r="I1059" s="41">
        <v>0.557142857</v>
      </c>
      <c r="J1059" s="41">
        <v>0.128571429</v>
      </c>
      <c r="K1059" s="41">
        <v>0.314285714</v>
      </c>
      <c r="L1059" s="41">
        <f t="shared" si="2"/>
        <v>0.242857143</v>
      </c>
      <c r="M1059" s="74">
        <v>0.710501969</v>
      </c>
    </row>
    <row r="1060">
      <c r="A1060" s="1" t="s">
        <v>316</v>
      </c>
      <c r="B1060" s="38">
        <v>656427.0</v>
      </c>
      <c r="C1060" s="72">
        <v>45751.0</v>
      </c>
      <c r="D1060" s="38">
        <v>89.0</v>
      </c>
      <c r="E1060" s="73">
        <f>IFERROR(__xludf.DUMMYFUNCTION("average(filter('Appearance Sheet'!F:F,'Appearance Sheet'!G:G=B1060,'Appearance Sheet'!A:A=C1060))"),5.666666666666667)</f>
        <v>5.666666667</v>
      </c>
      <c r="F1060" s="67">
        <v>5.271709856</v>
      </c>
      <c r="G1060" s="40">
        <v>1.552687089</v>
      </c>
      <c r="H1060" s="40">
        <f t="shared" si="1"/>
        <v>2.466032435</v>
      </c>
      <c r="I1060" s="41">
        <v>0.516853933</v>
      </c>
      <c r="J1060" s="41">
        <v>0.202247191</v>
      </c>
      <c r="K1060" s="41">
        <v>0.280898876</v>
      </c>
      <c r="L1060" s="41">
        <f t="shared" si="2"/>
        <v>0.235955057</v>
      </c>
      <c r="M1060" s="74">
        <v>3.804183164</v>
      </c>
    </row>
    <row r="1061">
      <c r="A1061" s="1" t="s">
        <v>294</v>
      </c>
      <c r="B1061" s="38">
        <v>665152.0</v>
      </c>
      <c r="C1061" s="72">
        <v>45849.0</v>
      </c>
      <c r="D1061" s="38">
        <v>96.0</v>
      </c>
      <c r="E1061" s="73" t="str">
        <f>IFERROR(__xludf.DUMMYFUNCTION("average(filter('Appearance Sheet'!F:F,'Appearance Sheet'!G:G=B1061,'Appearance Sheet'!A:A=C1061))"),"#N/A")</f>
        <v>#N/A</v>
      </c>
      <c r="F1061" s="67">
        <v>5.271610861</v>
      </c>
      <c r="G1061" s="40">
        <v>1.68103154</v>
      </c>
      <c r="H1061" s="40" t="str">
        <f t="shared" si="1"/>
        <v>#N/A</v>
      </c>
      <c r="I1061" s="41">
        <v>0.520833333</v>
      </c>
      <c r="J1061" s="41">
        <v>0.145833333</v>
      </c>
      <c r="K1061" s="41">
        <v>0.333333333</v>
      </c>
      <c r="L1061" s="41">
        <f t="shared" si="2"/>
        <v>0.1875</v>
      </c>
      <c r="M1061" s="74">
        <v>3.318244429</v>
      </c>
    </row>
    <row r="1062">
      <c r="A1062" s="1" t="s">
        <v>57</v>
      </c>
      <c r="B1062" s="38">
        <v>594798.0</v>
      </c>
      <c r="C1062" s="72">
        <v>45866.0</v>
      </c>
      <c r="D1062" s="38">
        <v>89.0</v>
      </c>
      <c r="E1062" s="73" t="str">
        <f>IFERROR(__xludf.DUMMYFUNCTION("average(filter('Appearance Sheet'!F:F,'Appearance Sheet'!G:G=B1062,'Appearance Sheet'!A:A=C1062))"),"#N/A")</f>
        <v>#N/A</v>
      </c>
      <c r="F1062" s="67">
        <v>5.271543582</v>
      </c>
      <c r="G1062" s="40">
        <v>1.569608386</v>
      </c>
      <c r="H1062" s="40" t="str">
        <f t="shared" si="1"/>
        <v>#N/A</v>
      </c>
      <c r="I1062" s="41">
        <v>0.471910112</v>
      </c>
      <c r="J1062" s="41">
        <v>0.146067416</v>
      </c>
      <c r="K1062" s="41">
        <v>0.382022472</v>
      </c>
      <c r="L1062" s="41">
        <f t="shared" si="2"/>
        <v>0.08988764</v>
      </c>
      <c r="M1062" s="74">
        <v>-2.706985049</v>
      </c>
    </row>
    <row r="1063">
      <c r="A1063" s="1" t="s">
        <v>424</v>
      </c>
      <c r="B1063" s="38">
        <v>667755.0</v>
      </c>
      <c r="C1063" s="72">
        <v>45911.0</v>
      </c>
      <c r="D1063" s="38">
        <v>94.0</v>
      </c>
      <c r="E1063" s="73" t="str">
        <f>IFERROR(__xludf.DUMMYFUNCTION("average(filter('Appearance Sheet'!F:F,'Appearance Sheet'!G:G=B1063,'Appearance Sheet'!A:A=C1063))"),"#N/A")</f>
        <v>#N/A</v>
      </c>
      <c r="F1063" s="67">
        <v>5.271531111</v>
      </c>
      <c r="G1063" s="40">
        <v>1.622660673</v>
      </c>
      <c r="H1063" s="40" t="str">
        <f t="shared" si="1"/>
        <v>#N/A</v>
      </c>
      <c r="I1063" s="41">
        <v>0.510638298</v>
      </c>
      <c r="J1063" s="41">
        <v>0.223404255</v>
      </c>
      <c r="K1063" s="41">
        <v>0.265957447</v>
      </c>
      <c r="L1063" s="41">
        <f t="shared" si="2"/>
        <v>0.244680851</v>
      </c>
      <c r="M1063" s="74">
        <v>1.417579978</v>
      </c>
    </row>
    <row r="1064">
      <c r="A1064" s="1" t="s">
        <v>287</v>
      </c>
      <c r="B1064" s="38">
        <v>571945.0</v>
      </c>
      <c r="C1064" s="72">
        <v>45914.0</v>
      </c>
      <c r="D1064" s="38">
        <v>88.0</v>
      </c>
      <c r="E1064" s="73" t="str">
        <f>IFERROR(__xludf.DUMMYFUNCTION("average(filter('Appearance Sheet'!F:F,'Appearance Sheet'!G:G=B1064,'Appearance Sheet'!A:A=C1064))"),"#N/A")</f>
        <v>#N/A</v>
      </c>
      <c r="F1064" s="67">
        <v>5.271467799</v>
      </c>
      <c r="G1064" s="40">
        <v>1.531735818</v>
      </c>
      <c r="H1064" s="40" t="str">
        <f t="shared" si="1"/>
        <v>#N/A</v>
      </c>
      <c r="I1064" s="41">
        <v>0.488636364</v>
      </c>
      <c r="J1064" s="41">
        <v>0.238636364</v>
      </c>
      <c r="K1064" s="41">
        <v>0.272727273</v>
      </c>
      <c r="L1064" s="41">
        <f t="shared" si="2"/>
        <v>0.215909091</v>
      </c>
      <c r="M1064" s="74">
        <v>1.624528984</v>
      </c>
    </row>
    <row r="1065">
      <c r="A1065" s="1" t="s">
        <v>176</v>
      </c>
      <c r="B1065" s="38">
        <v>686218.0</v>
      </c>
      <c r="C1065" s="72">
        <v>45881.0</v>
      </c>
      <c r="D1065" s="38">
        <v>88.0</v>
      </c>
      <c r="E1065" s="73" t="str">
        <f>IFERROR(__xludf.DUMMYFUNCTION("average(filter('Appearance Sheet'!F:F,'Appearance Sheet'!G:G=B1065,'Appearance Sheet'!A:A=C1065))"),"#N/A")</f>
        <v>#N/A</v>
      </c>
      <c r="F1065" s="67">
        <v>5.271282842</v>
      </c>
      <c r="G1065" s="40">
        <v>1.53968219</v>
      </c>
      <c r="H1065" s="40" t="str">
        <f t="shared" si="1"/>
        <v>#N/A</v>
      </c>
      <c r="I1065" s="41">
        <v>0.556818182</v>
      </c>
      <c r="J1065" s="41">
        <v>0.079545455</v>
      </c>
      <c r="K1065" s="41">
        <v>0.363636364</v>
      </c>
      <c r="L1065" s="41">
        <f t="shared" si="2"/>
        <v>0.193181818</v>
      </c>
      <c r="M1065" s="74">
        <v>-0.477868767</v>
      </c>
    </row>
    <row r="1066">
      <c r="A1066" s="1" t="s">
        <v>456</v>
      </c>
      <c r="B1066" s="38">
        <v>605135.0</v>
      </c>
      <c r="C1066" s="72">
        <v>45769.0</v>
      </c>
      <c r="D1066" s="38">
        <v>93.0</v>
      </c>
      <c r="E1066" s="73">
        <f>IFERROR(__xludf.DUMMYFUNCTION("average(filter('Appearance Sheet'!F:F,'Appearance Sheet'!G:G=B1066,'Appearance Sheet'!A:A=C1066))"),5.333333333333333)</f>
        <v>5.333333333</v>
      </c>
      <c r="F1066" s="67">
        <v>5.271197889</v>
      </c>
      <c r="G1066" s="40">
        <v>1.608391568</v>
      </c>
      <c r="H1066" s="40">
        <f t="shared" si="1"/>
        <v>2.714160771</v>
      </c>
      <c r="I1066" s="41">
        <v>0.47311828</v>
      </c>
      <c r="J1066" s="41">
        <v>0.258064516</v>
      </c>
      <c r="K1066" s="41">
        <v>0.268817204</v>
      </c>
      <c r="L1066" s="41">
        <f t="shared" si="2"/>
        <v>0.204301076</v>
      </c>
      <c r="M1066" s="74">
        <v>-1.256547762</v>
      </c>
    </row>
    <row r="1067">
      <c r="A1067" s="1" t="s">
        <v>129</v>
      </c>
      <c r="B1067" s="38">
        <v>686752.0</v>
      </c>
      <c r="C1067" s="72">
        <v>45869.0</v>
      </c>
      <c r="D1067" s="38">
        <v>86.0</v>
      </c>
      <c r="E1067" s="73" t="str">
        <f>IFERROR(__xludf.DUMMYFUNCTION("average(filter('Appearance Sheet'!F:F,'Appearance Sheet'!G:G=B1067,'Appearance Sheet'!A:A=C1067))"),"#N/A")</f>
        <v>#N/A</v>
      </c>
      <c r="F1067" s="67">
        <v>5.271147275</v>
      </c>
      <c r="G1067" s="40">
        <v>1.473009909</v>
      </c>
      <c r="H1067" s="40" t="str">
        <f t="shared" si="1"/>
        <v>#N/A</v>
      </c>
      <c r="I1067" s="41">
        <v>0.5</v>
      </c>
      <c r="J1067" s="41">
        <v>0.23255814</v>
      </c>
      <c r="K1067" s="41">
        <v>0.26744186</v>
      </c>
      <c r="L1067" s="41">
        <f t="shared" si="2"/>
        <v>0.23255814</v>
      </c>
      <c r="M1067" s="74">
        <v>-1.351170403</v>
      </c>
    </row>
    <row r="1068">
      <c r="A1068" s="1" t="s">
        <v>164</v>
      </c>
      <c r="B1068" s="38">
        <v>669923.0</v>
      </c>
      <c r="C1068" s="72">
        <v>45920.0</v>
      </c>
      <c r="D1068" s="38">
        <v>96.0</v>
      </c>
      <c r="E1068" s="73" t="str">
        <f>IFERROR(__xludf.DUMMYFUNCTION("average(filter('Appearance Sheet'!F:F,'Appearance Sheet'!G:G=B1068,'Appearance Sheet'!A:A=C1068))"),"#N/A")</f>
        <v>#N/A</v>
      </c>
      <c r="F1068" s="67">
        <v>5.270903823</v>
      </c>
      <c r="G1068" s="40">
        <v>1.628904895</v>
      </c>
      <c r="H1068" s="40" t="str">
        <f t="shared" si="1"/>
        <v>#N/A</v>
      </c>
      <c r="I1068" s="41">
        <v>0.5</v>
      </c>
      <c r="J1068" s="41">
        <v>0.15625</v>
      </c>
      <c r="K1068" s="41">
        <v>0.34375</v>
      </c>
      <c r="L1068" s="41">
        <f t="shared" si="2"/>
        <v>0.15625</v>
      </c>
      <c r="M1068" s="74">
        <v>-0.558989339</v>
      </c>
    </row>
    <row r="1069">
      <c r="A1069" s="1" t="s">
        <v>251</v>
      </c>
      <c r="B1069" s="38">
        <v>676664.0</v>
      </c>
      <c r="C1069" s="72">
        <v>45873.0</v>
      </c>
      <c r="D1069" s="38">
        <v>89.0</v>
      </c>
      <c r="E1069" s="73" t="str">
        <f>IFERROR(__xludf.DUMMYFUNCTION("average(filter('Appearance Sheet'!F:F,'Appearance Sheet'!G:G=B1069,'Appearance Sheet'!A:A=C1069))"),"#N/A")</f>
        <v>#N/A</v>
      </c>
      <c r="F1069" s="67">
        <v>5.270788181</v>
      </c>
      <c r="G1069" s="40">
        <v>1.578232989</v>
      </c>
      <c r="H1069" s="40" t="str">
        <f t="shared" si="1"/>
        <v>#N/A</v>
      </c>
      <c r="I1069" s="41">
        <v>0.573033708</v>
      </c>
      <c r="J1069" s="41">
        <v>0.146067416</v>
      </c>
      <c r="K1069" s="41">
        <v>0.280898876</v>
      </c>
      <c r="L1069" s="41">
        <f t="shared" si="2"/>
        <v>0.292134832</v>
      </c>
      <c r="M1069" s="74">
        <v>-4.119548197</v>
      </c>
    </row>
    <row r="1070">
      <c r="A1070" s="1" t="s">
        <v>393</v>
      </c>
      <c r="B1070" s="38">
        <v>690953.0</v>
      </c>
      <c r="C1070" s="72">
        <v>45829.0</v>
      </c>
      <c r="D1070" s="38">
        <v>72.0</v>
      </c>
      <c r="E1070" s="73">
        <f>IFERROR(__xludf.DUMMYFUNCTION("average(filter('Appearance Sheet'!F:F,'Appearance Sheet'!G:G=B1070,'Appearance Sheet'!A:A=C1070))"),3.0)</f>
        <v>3</v>
      </c>
      <c r="F1070" s="67">
        <v>5.270687405</v>
      </c>
      <c r="G1070" s="40">
        <v>1.283011426</v>
      </c>
      <c r="H1070" s="40">
        <f t="shared" si="1"/>
        <v>3.849034278</v>
      </c>
      <c r="I1070" s="41">
        <v>0.472222222</v>
      </c>
      <c r="J1070" s="41">
        <v>0.222222222</v>
      </c>
      <c r="K1070" s="41">
        <v>0.305555556</v>
      </c>
      <c r="L1070" s="41">
        <f t="shared" si="2"/>
        <v>0.166666666</v>
      </c>
      <c r="M1070" s="74">
        <v>-1.841570549</v>
      </c>
    </row>
    <row r="1071">
      <c r="A1071" s="1" t="s">
        <v>189</v>
      </c>
      <c r="B1071" s="38">
        <v>607536.0</v>
      </c>
      <c r="C1071" s="72">
        <v>45749.0</v>
      </c>
      <c r="D1071" s="38">
        <v>90.0</v>
      </c>
      <c r="E1071" s="73">
        <f>IFERROR(__xludf.DUMMYFUNCTION("average(filter('Appearance Sheet'!F:F,'Appearance Sheet'!G:G=B1071,'Appearance Sheet'!A:A=C1071))"),6.666666666666667)</f>
        <v>6.666666667</v>
      </c>
      <c r="F1071" s="67">
        <v>5.270540069</v>
      </c>
      <c r="G1071" s="40">
        <v>1.592862333</v>
      </c>
      <c r="H1071" s="40">
        <f t="shared" si="1"/>
        <v>2.15036415</v>
      </c>
      <c r="I1071" s="41">
        <v>0.511111111</v>
      </c>
      <c r="J1071" s="41">
        <v>0.2</v>
      </c>
      <c r="K1071" s="41">
        <v>0.288888889</v>
      </c>
      <c r="L1071" s="41">
        <f t="shared" si="2"/>
        <v>0.222222222</v>
      </c>
      <c r="M1071" s="74">
        <v>-3.550531042</v>
      </c>
    </row>
    <row r="1072">
      <c r="A1072" s="1" t="s">
        <v>377</v>
      </c>
      <c r="B1072" s="38">
        <v>695549.0</v>
      </c>
      <c r="C1072" s="72">
        <v>45753.0</v>
      </c>
      <c r="D1072" s="38">
        <v>84.0</v>
      </c>
      <c r="E1072" s="73">
        <f>IFERROR(__xludf.DUMMYFUNCTION("average(filter('Appearance Sheet'!F:F,'Appearance Sheet'!G:G=B1072,'Appearance Sheet'!A:A=C1072))"),5.0)</f>
        <v>5</v>
      </c>
      <c r="F1072" s="67">
        <v>5.270522879</v>
      </c>
      <c r="G1072" s="40">
        <v>1.478672683</v>
      </c>
      <c r="H1072" s="40">
        <f t="shared" si="1"/>
        <v>2.661610829</v>
      </c>
      <c r="I1072" s="41">
        <v>0.523809524</v>
      </c>
      <c r="J1072" s="41">
        <v>0.178571429</v>
      </c>
      <c r="K1072" s="41">
        <v>0.297619048</v>
      </c>
      <c r="L1072" s="41">
        <f t="shared" si="2"/>
        <v>0.226190476</v>
      </c>
      <c r="M1072" s="74">
        <v>0.751029361</v>
      </c>
    </row>
    <row r="1073">
      <c r="A1073" s="1" t="s">
        <v>65</v>
      </c>
      <c r="B1073" s="38">
        <v>680885.0</v>
      </c>
      <c r="C1073" s="72">
        <v>45785.0</v>
      </c>
      <c r="D1073" s="38">
        <v>88.0</v>
      </c>
      <c r="E1073" s="73">
        <f>IFERROR(__xludf.DUMMYFUNCTION("average(filter('Appearance Sheet'!F:F,'Appearance Sheet'!G:G=B1073,'Appearance Sheet'!A:A=C1073))"),6.0)</f>
        <v>6</v>
      </c>
      <c r="F1073" s="67">
        <v>5.270357431</v>
      </c>
      <c r="G1073" s="40">
        <v>1.542104321</v>
      </c>
      <c r="H1073" s="40">
        <f t="shared" si="1"/>
        <v>2.313156482</v>
      </c>
      <c r="I1073" s="41">
        <v>0.545454545</v>
      </c>
      <c r="J1073" s="41">
        <v>0.193181818</v>
      </c>
      <c r="K1073" s="41">
        <v>0.261363636</v>
      </c>
      <c r="L1073" s="41">
        <f t="shared" si="2"/>
        <v>0.284090909</v>
      </c>
      <c r="M1073" s="74">
        <v>2.326575276</v>
      </c>
    </row>
    <row r="1074">
      <c r="A1074" s="1" t="s">
        <v>127</v>
      </c>
      <c r="B1074" s="38">
        <v>687765.0</v>
      </c>
      <c r="C1074" s="72">
        <v>45835.0</v>
      </c>
      <c r="D1074" s="38">
        <v>88.0</v>
      </c>
      <c r="E1074" s="73">
        <f>IFERROR(__xludf.DUMMYFUNCTION("average(filter('Appearance Sheet'!F:F,'Appearance Sheet'!G:G=B1074,'Appearance Sheet'!A:A=C1074))"),5.0)</f>
        <v>5</v>
      </c>
      <c r="F1074" s="67">
        <v>5.270279136</v>
      </c>
      <c r="G1074" s="40">
        <v>1.539077621</v>
      </c>
      <c r="H1074" s="40">
        <f t="shared" si="1"/>
        <v>2.770339718</v>
      </c>
      <c r="I1074" s="41">
        <v>0.545454545</v>
      </c>
      <c r="J1074" s="41">
        <v>0.125</v>
      </c>
      <c r="K1074" s="41">
        <v>0.329545455</v>
      </c>
      <c r="L1074" s="41">
        <f t="shared" si="2"/>
        <v>0.21590909</v>
      </c>
      <c r="M1074" s="74">
        <v>1.300078249</v>
      </c>
    </row>
    <row r="1075">
      <c r="A1075" s="1" t="s">
        <v>332</v>
      </c>
      <c r="B1075" s="38">
        <v>641778.0</v>
      </c>
      <c r="C1075" s="72">
        <v>45896.0</v>
      </c>
      <c r="D1075" s="38">
        <v>95.0</v>
      </c>
      <c r="E1075" s="73" t="str">
        <f>IFERROR(__xludf.DUMMYFUNCTION("average(filter('Appearance Sheet'!F:F,'Appearance Sheet'!G:G=B1075,'Appearance Sheet'!A:A=C1075))"),"#N/A")</f>
        <v>#N/A</v>
      </c>
      <c r="F1075" s="67">
        <v>5.270257816</v>
      </c>
      <c r="G1075" s="40">
        <v>1.689138771</v>
      </c>
      <c r="H1075" s="40" t="str">
        <f t="shared" si="1"/>
        <v>#N/A</v>
      </c>
      <c r="I1075" s="41">
        <v>0.463157895</v>
      </c>
      <c r="J1075" s="41">
        <v>0.242105263</v>
      </c>
      <c r="K1075" s="41">
        <v>0.294736842</v>
      </c>
      <c r="L1075" s="41">
        <f t="shared" si="2"/>
        <v>0.168421053</v>
      </c>
      <c r="M1075" s="74">
        <v>-1.750110392</v>
      </c>
    </row>
    <row r="1076">
      <c r="A1076" s="1" t="s">
        <v>118</v>
      </c>
      <c r="B1076" s="38">
        <v>695505.0</v>
      </c>
      <c r="C1076" s="72">
        <v>45844.0</v>
      </c>
      <c r="D1076" s="38">
        <v>88.0</v>
      </c>
      <c r="E1076" s="73" t="str">
        <f>IFERROR(__xludf.DUMMYFUNCTION("average(filter('Appearance Sheet'!F:F,'Appearance Sheet'!G:G=B1076,'Appearance Sheet'!A:A=C1076))"),"#N/A")</f>
        <v>#N/A</v>
      </c>
      <c r="F1076" s="67">
        <v>5.270227714</v>
      </c>
      <c r="G1076" s="40">
        <v>1.534350775</v>
      </c>
      <c r="H1076" s="40" t="str">
        <f t="shared" si="1"/>
        <v>#N/A</v>
      </c>
      <c r="I1076" s="41">
        <v>0.579545455</v>
      </c>
      <c r="J1076" s="41">
        <v>0.113636364</v>
      </c>
      <c r="K1076" s="41">
        <v>0.306818182</v>
      </c>
      <c r="L1076" s="41">
        <f t="shared" si="2"/>
        <v>0.272727273</v>
      </c>
      <c r="M1076" s="74">
        <v>2.448199377</v>
      </c>
    </row>
    <row r="1077">
      <c r="A1077" s="1" t="s">
        <v>209</v>
      </c>
      <c r="B1077" s="38">
        <v>694738.0</v>
      </c>
      <c r="C1077" s="72">
        <v>45829.0</v>
      </c>
      <c r="D1077" s="38">
        <v>88.0</v>
      </c>
      <c r="E1077" s="73">
        <f>IFERROR(__xludf.DUMMYFUNCTION("average(filter('Appearance Sheet'!F:F,'Appearance Sheet'!G:G=B1077,'Appearance Sheet'!A:A=C1077))"),6.0)</f>
        <v>6</v>
      </c>
      <c r="F1077" s="67">
        <v>5.27019619</v>
      </c>
      <c r="G1077" s="40">
        <v>1.54272583</v>
      </c>
      <c r="H1077" s="40">
        <f t="shared" si="1"/>
        <v>2.314088745</v>
      </c>
      <c r="I1077" s="41">
        <v>0.465909091</v>
      </c>
      <c r="J1077" s="41">
        <v>0.204545455</v>
      </c>
      <c r="K1077" s="41">
        <v>0.329545455</v>
      </c>
      <c r="L1077" s="41">
        <f t="shared" si="2"/>
        <v>0.136363636</v>
      </c>
      <c r="M1077" s="74">
        <v>2.841289334</v>
      </c>
    </row>
    <row r="1078">
      <c r="A1078" s="1" t="s">
        <v>77</v>
      </c>
      <c r="B1078" s="38">
        <v>657277.0</v>
      </c>
      <c r="C1078" s="72">
        <v>45798.0</v>
      </c>
      <c r="D1078" s="38">
        <v>75.0</v>
      </c>
      <c r="E1078" s="73">
        <f>IFERROR(__xludf.DUMMYFUNCTION("average(filter('Appearance Sheet'!F:F,'Appearance Sheet'!G:G=B1078,'Appearance Sheet'!A:A=C1078))"),4.0)</f>
        <v>4</v>
      </c>
      <c r="F1078" s="67">
        <v>5.269968274</v>
      </c>
      <c r="G1078" s="40">
        <v>1.333258654</v>
      </c>
      <c r="H1078" s="40">
        <f t="shared" si="1"/>
        <v>2.999831972</v>
      </c>
      <c r="I1078" s="41">
        <v>0.466666667</v>
      </c>
      <c r="J1078" s="41">
        <v>0.293333333</v>
      </c>
      <c r="K1078" s="41">
        <v>0.24</v>
      </c>
      <c r="L1078" s="41">
        <f t="shared" si="2"/>
        <v>0.226666667</v>
      </c>
      <c r="M1078" s="74">
        <v>-6.040069669</v>
      </c>
    </row>
    <row r="1079">
      <c r="A1079" s="1" t="s">
        <v>474</v>
      </c>
      <c r="B1079" s="38">
        <v>450203.0</v>
      </c>
      <c r="C1079" s="72">
        <v>45794.0</v>
      </c>
      <c r="D1079" s="38">
        <v>62.0</v>
      </c>
      <c r="E1079" s="73">
        <f>IFERROR(__xludf.DUMMYFUNCTION("average(filter('Appearance Sheet'!F:F,'Appearance Sheet'!G:G=B1079,'Appearance Sheet'!A:A=C1079))"),4.333333333333333)</f>
        <v>4.333333333</v>
      </c>
      <c r="F1079" s="67">
        <v>5.269844168</v>
      </c>
      <c r="G1079" s="40">
        <v>1.090848671</v>
      </c>
      <c r="H1079" s="40">
        <f t="shared" si="1"/>
        <v>2.265608778</v>
      </c>
      <c r="I1079" s="41">
        <v>0.532258065</v>
      </c>
      <c r="J1079" s="41">
        <v>0.177419355</v>
      </c>
      <c r="K1079" s="41">
        <v>0.290322581</v>
      </c>
      <c r="L1079" s="41">
        <f t="shared" si="2"/>
        <v>0.241935484</v>
      </c>
      <c r="M1079" s="74">
        <v>1.457999923</v>
      </c>
    </row>
    <row r="1080">
      <c r="A1080" s="1" t="s">
        <v>166</v>
      </c>
      <c r="B1080" s="38">
        <v>608331.0</v>
      </c>
      <c r="C1080" s="72">
        <v>45807.0</v>
      </c>
      <c r="D1080" s="38">
        <v>73.0</v>
      </c>
      <c r="E1080" s="73">
        <f>IFERROR(__xludf.DUMMYFUNCTION("average(filter('Appearance Sheet'!F:F,'Appearance Sheet'!G:G=B1080,'Appearance Sheet'!A:A=C1080))"),5.0)</f>
        <v>5</v>
      </c>
      <c r="F1080" s="67">
        <v>5.269587968</v>
      </c>
      <c r="G1080" s="40">
        <v>1.324350593</v>
      </c>
      <c r="H1080" s="40">
        <f t="shared" si="1"/>
        <v>2.383831067</v>
      </c>
      <c r="I1080" s="41">
        <v>0.493150685</v>
      </c>
      <c r="J1080" s="41">
        <v>0.150684932</v>
      </c>
      <c r="K1080" s="41">
        <v>0.356164384</v>
      </c>
      <c r="L1080" s="41">
        <f t="shared" si="2"/>
        <v>0.136986301</v>
      </c>
      <c r="M1080" s="74">
        <v>-2.956721216</v>
      </c>
    </row>
    <row r="1081">
      <c r="A1081" s="1" t="s">
        <v>173</v>
      </c>
      <c r="B1081" s="38">
        <v>641927.0</v>
      </c>
      <c r="C1081" s="72">
        <v>45895.0</v>
      </c>
      <c r="D1081" s="38">
        <v>95.0</v>
      </c>
      <c r="E1081" s="73" t="str">
        <f>IFERROR(__xludf.DUMMYFUNCTION("average(filter('Appearance Sheet'!F:F,'Appearance Sheet'!G:G=B1081,'Appearance Sheet'!A:A=C1081))"),"#N/A")</f>
        <v>#N/A</v>
      </c>
      <c r="F1081" s="67">
        <v>5.269532372</v>
      </c>
      <c r="G1081" s="40">
        <v>1.671709119</v>
      </c>
      <c r="H1081" s="40" t="str">
        <f t="shared" si="1"/>
        <v>#N/A</v>
      </c>
      <c r="I1081" s="41">
        <v>0.536842105</v>
      </c>
      <c r="J1081" s="41">
        <v>0.210526316</v>
      </c>
      <c r="K1081" s="41">
        <v>0.252631579</v>
      </c>
      <c r="L1081" s="41">
        <f t="shared" si="2"/>
        <v>0.284210526</v>
      </c>
      <c r="M1081" s="74">
        <v>-4.242497152</v>
      </c>
    </row>
    <row r="1082">
      <c r="A1082" s="1" t="s">
        <v>150</v>
      </c>
      <c r="B1082" s="38">
        <v>657746.0</v>
      </c>
      <c r="C1082" s="72">
        <v>45858.0</v>
      </c>
      <c r="D1082" s="38">
        <v>87.0</v>
      </c>
      <c r="E1082" s="73" t="str">
        <f>IFERROR(__xludf.DUMMYFUNCTION("average(filter('Appearance Sheet'!F:F,'Appearance Sheet'!G:G=B1082,'Appearance Sheet'!A:A=C1082))"),"#N/A")</f>
        <v>#N/A</v>
      </c>
      <c r="F1082" s="67">
        <v>5.269321653</v>
      </c>
      <c r="G1082" s="40">
        <v>1.556491064</v>
      </c>
      <c r="H1082" s="40" t="str">
        <f t="shared" si="1"/>
        <v>#N/A</v>
      </c>
      <c r="I1082" s="41">
        <v>0.505747126</v>
      </c>
      <c r="J1082" s="41">
        <v>0.195402299</v>
      </c>
      <c r="K1082" s="41">
        <v>0.298850575</v>
      </c>
      <c r="L1082" s="41">
        <f t="shared" si="2"/>
        <v>0.206896551</v>
      </c>
      <c r="M1082" s="74">
        <v>-0.024492444</v>
      </c>
    </row>
    <row r="1083">
      <c r="A1083" s="1" t="s">
        <v>296</v>
      </c>
      <c r="B1083" s="38">
        <v>669372.0</v>
      </c>
      <c r="C1083" s="72">
        <v>45894.0</v>
      </c>
      <c r="D1083" s="38">
        <v>83.0</v>
      </c>
      <c r="E1083" s="73" t="str">
        <f>IFERROR(__xludf.DUMMYFUNCTION("average(filter('Appearance Sheet'!F:F,'Appearance Sheet'!G:G=B1083,'Appearance Sheet'!A:A=C1083))"),"#N/A")</f>
        <v>#N/A</v>
      </c>
      <c r="F1083" s="67">
        <v>5.269022753</v>
      </c>
      <c r="G1083" s="40">
        <v>1.455920567</v>
      </c>
      <c r="H1083" s="40" t="str">
        <f t="shared" si="1"/>
        <v>#N/A</v>
      </c>
      <c r="I1083" s="41">
        <v>0.506024096</v>
      </c>
      <c r="J1083" s="41">
        <v>0.144578313</v>
      </c>
      <c r="K1083" s="41">
        <v>0.34939759</v>
      </c>
      <c r="L1083" s="41">
        <f t="shared" si="2"/>
        <v>0.156626506</v>
      </c>
      <c r="M1083" s="74">
        <v>-1.557694976</v>
      </c>
    </row>
    <row r="1084">
      <c r="A1084" s="1" t="s">
        <v>470</v>
      </c>
      <c r="B1084" s="38">
        <v>681343.0</v>
      </c>
      <c r="C1084" s="72">
        <v>45787.0</v>
      </c>
      <c r="D1084" s="38">
        <v>81.0</v>
      </c>
      <c r="E1084" s="73">
        <f>IFERROR(__xludf.DUMMYFUNCTION("average(filter('Appearance Sheet'!F:F,'Appearance Sheet'!G:G=B1084,'Appearance Sheet'!A:A=C1084))"),6.0)</f>
        <v>6</v>
      </c>
      <c r="F1084" s="67">
        <v>5.268761883</v>
      </c>
      <c r="G1084" s="40">
        <v>1.433367635</v>
      </c>
      <c r="H1084" s="40">
        <f t="shared" si="1"/>
        <v>2.150051453</v>
      </c>
      <c r="I1084" s="41">
        <v>0.543209877</v>
      </c>
      <c r="J1084" s="41">
        <v>0.185185185</v>
      </c>
      <c r="K1084" s="41">
        <v>0.271604938</v>
      </c>
      <c r="L1084" s="41">
        <f t="shared" si="2"/>
        <v>0.271604939</v>
      </c>
      <c r="M1084" s="74">
        <v>1.292073248</v>
      </c>
    </row>
    <row r="1085">
      <c r="A1085" s="1" t="s">
        <v>251</v>
      </c>
      <c r="B1085" s="38">
        <v>676664.0</v>
      </c>
      <c r="C1085" s="72">
        <v>45889.0</v>
      </c>
      <c r="D1085" s="38">
        <v>93.0</v>
      </c>
      <c r="E1085" s="73" t="str">
        <f>IFERROR(__xludf.DUMMYFUNCTION("average(filter('Appearance Sheet'!F:F,'Appearance Sheet'!G:G=B1085,'Appearance Sheet'!A:A=C1085))"),"#N/A")</f>
        <v>#N/A</v>
      </c>
      <c r="F1085" s="67">
        <v>5.268751407</v>
      </c>
      <c r="G1085" s="40">
        <v>1.629192866</v>
      </c>
      <c r="H1085" s="40" t="str">
        <f t="shared" si="1"/>
        <v>#N/A</v>
      </c>
      <c r="I1085" s="41">
        <v>0.505376344</v>
      </c>
      <c r="J1085" s="41">
        <v>0.129032258</v>
      </c>
      <c r="K1085" s="41">
        <v>0.365591398</v>
      </c>
      <c r="L1085" s="41">
        <f t="shared" si="2"/>
        <v>0.139784946</v>
      </c>
      <c r="M1085" s="74">
        <v>0.858684362</v>
      </c>
    </row>
    <row r="1086">
      <c r="A1086" s="1" t="s">
        <v>90</v>
      </c>
      <c r="B1086" s="38">
        <v>693433.0</v>
      </c>
      <c r="C1086" s="72">
        <v>45765.0</v>
      </c>
      <c r="D1086" s="38">
        <v>95.0</v>
      </c>
      <c r="E1086" s="73">
        <f>IFERROR(__xludf.DUMMYFUNCTION("average(filter('Appearance Sheet'!F:F,'Appearance Sheet'!G:G=B1086,'Appearance Sheet'!A:A=C1086))"),7.0)</f>
        <v>7</v>
      </c>
      <c r="F1086" s="67">
        <v>5.26870709</v>
      </c>
      <c r="G1086" s="40">
        <v>1.691620881</v>
      </c>
      <c r="H1086" s="40">
        <f t="shared" si="1"/>
        <v>2.174941133</v>
      </c>
      <c r="I1086" s="41">
        <v>0.536842105</v>
      </c>
      <c r="J1086" s="41">
        <v>0.210526316</v>
      </c>
      <c r="K1086" s="41">
        <v>0.252631579</v>
      </c>
      <c r="L1086" s="41">
        <f t="shared" si="2"/>
        <v>0.284210526</v>
      </c>
      <c r="M1086" s="74">
        <v>-0.850013663</v>
      </c>
    </row>
    <row r="1087">
      <c r="A1087" s="1" t="s">
        <v>354</v>
      </c>
      <c r="B1087" s="38">
        <v>669022.0</v>
      </c>
      <c r="C1087" s="72">
        <v>45806.0</v>
      </c>
      <c r="D1087" s="38">
        <v>92.0</v>
      </c>
      <c r="E1087" s="73">
        <f>IFERROR(__xludf.DUMMYFUNCTION("average(filter('Appearance Sheet'!F:F,'Appearance Sheet'!G:G=B1087,'Appearance Sheet'!A:A=C1087))"),6.0)</f>
        <v>6</v>
      </c>
      <c r="F1087" s="67">
        <v>5.268581226</v>
      </c>
      <c r="G1087" s="40">
        <v>1.62987803</v>
      </c>
      <c r="H1087" s="40">
        <f t="shared" si="1"/>
        <v>2.444817045</v>
      </c>
      <c r="I1087" s="41">
        <v>0.52173913</v>
      </c>
      <c r="J1087" s="41">
        <v>0.152173913</v>
      </c>
      <c r="K1087" s="41">
        <v>0.326086957</v>
      </c>
      <c r="L1087" s="41">
        <f t="shared" si="2"/>
        <v>0.195652173</v>
      </c>
      <c r="M1087" s="74">
        <v>0.201947626</v>
      </c>
    </row>
    <row r="1088">
      <c r="A1088" s="1" t="s">
        <v>394</v>
      </c>
      <c r="B1088" s="38">
        <v>621121.0</v>
      </c>
      <c r="C1088" s="72">
        <v>45799.0</v>
      </c>
      <c r="D1088" s="38">
        <v>89.0</v>
      </c>
      <c r="E1088" s="73">
        <f>IFERROR(__xludf.DUMMYFUNCTION("average(filter('Appearance Sheet'!F:F,'Appearance Sheet'!G:G=B1088,'Appearance Sheet'!A:A=C1088))"),4.333333333333333)</f>
        <v>4.333333333</v>
      </c>
      <c r="F1088" s="67">
        <v>5.268402517</v>
      </c>
      <c r="G1088" s="40">
        <v>1.540840885</v>
      </c>
      <c r="H1088" s="40">
        <f t="shared" si="1"/>
        <v>3.200207992</v>
      </c>
      <c r="I1088" s="41">
        <v>0.516853933</v>
      </c>
      <c r="J1088" s="41">
        <v>0.08988764</v>
      </c>
      <c r="K1088" s="41">
        <v>0.393258427</v>
      </c>
      <c r="L1088" s="41">
        <f t="shared" si="2"/>
        <v>0.123595506</v>
      </c>
      <c r="M1088" s="74">
        <v>-0.81897518</v>
      </c>
    </row>
    <row r="1089">
      <c r="A1089" s="1" t="s">
        <v>133</v>
      </c>
      <c r="B1089" s="38">
        <v>663978.0</v>
      </c>
      <c r="C1089" s="72">
        <v>45776.0</v>
      </c>
      <c r="D1089" s="38">
        <v>73.0</v>
      </c>
      <c r="E1089" s="73">
        <f>IFERROR(__xludf.DUMMYFUNCTION("average(filter('Appearance Sheet'!F:F,'Appearance Sheet'!G:G=B1089,'Appearance Sheet'!A:A=C1089))"),5.0)</f>
        <v>5</v>
      </c>
      <c r="F1089" s="67">
        <v>5.268341394</v>
      </c>
      <c r="G1089" s="40">
        <v>1.28493135</v>
      </c>
      <c r="H1089" s="40">
        <f t="shared" si="1"/>
        <v>2.31287643</v>
      </c>
      <c r="I1089" s="41">
        <v>0.547945205</v>
      </c>
      <c r="J1089" s="41">
        <v>0.082191781</v>
      </c>
      <c r="K1089" s="41">
        <v>0.369863014</v>
      </c>
      <c r="L1089" s="41">
        <f t="shared" si="2"/>
        <v>0.178082191</v>
      </c>
      <c r="M1089" s="74">
        <v>0.10540151</v>
      </c>
    </row>
    <row r="1090">
      <c r="A1090" s="1" t="s">
        <v>195</v>
      </c>
      <c r="B1090" s="38">
        <v>668678.0</v>
      </c>
      <c r="C1090" s="72">
        <v>45920.0</v>
      </c>
      <c r="D1090" s="38">
        <v>103.0</v>
      </c>
      <c r="E1090" s="73" t="str">
        <f>IFERROR(__xludf.DUMMYFUNCTION("average(filter('Appearance Sheet'!F:F,'Appearance Sheet'!G:G=B1090,'Appearance Sheet'!A:A=C1090))"),"#N/A")</f>
        <v>#N/A</v>
      </c>
      <c r="F1090" s="67">
        <v>5.267546978</v>
      </c>
      <c r="G1090" s="40">
        <v>1.784089046</v>
      </c>
      <c r="H1090" s="40" t="str">
        <f t="shared" si="1"/>
        <v>#N/A</v>
      </c>
      <c r="I1090" s="41">
        <v>0.524271845</v>
      </c>
      <c r="J1090" s="41">
        <v>0.184466019</v>
      </c>
      <c r="K1090" s="41">
        <v>0.291262136</v>
      </c>
      <c r="L1090" s="41">
        <f t="shared" si="2"/>
        <v>0.233009709</v>
      </c>
      <c r="M1090" s="74">
        <v>0.980375849</v>
      </c>
    </row>
    <row r="1091">
      <c r="A1091" s="1" t="s">
        <v>554</v>
      </c>
      <c r="B1091" s="38">
        <v>663795.0</v>
      </c>
      <c r="C1091" s="72">
        <v>45842.0</v>
      </c>
      <c r="D1091" s="38">
        <v>73.0</v>
      </c>
      <c r="E1091" s="73">
        <f>IFERROR(__xludf.DUMMYFUNCTION("average(filter('Appearance Sheet'!F:F,'Appearance Sheet'!G:G=B1091,'Appearance Sheet'!A:A=C1091))"),4.333333333333333)</f>
        <v>4.333333333</v>
      </c>
      <c r="F1091" s="67">
        <v>5.267217448</v>
      </c>
      <c r="G1091" s="40">
        <v>1.265645785</v>
      </c>
      <c r="H1091" s="40">
        <f t="shared" si="1"/>
        <v>2.628648938</v>
      </c>
      <c r="I1091" s="41">
        <v>0.493150685</v>
      </c>
      <c r="J1091" s="41">
        <v>0.164383562</v>
      </c>
      <c r="K1091" s="41">
        <v>0.342465753</v>
      </c>
      <c r="L1091" s="41">
        <f t="shared" si="2"/>
        <v>0.150684932</v>
      </c>
      <c r="M1091" s="74">
        <v>-1.264530294</v>
      </c>
    </row>
    <row r="1092">
      <c r="A1092" s="1" t="s">
        <v>384</v>
      </c>
      <c r="B1092" s="38">
        <v>666214.0</v>
      </c>
      <c r="C1092" s="72">
        <v>45914.0</v>
      </c>
      <c r="D1092" s="38">
        <v>92.0</v>
      </c>
      <c r="E1092" s="73" t="str">
        <f>IFERROR(__xludf.DUMMYFUNCTION("average(filter('Appearance Sheet'!F:F,'Appearance Sheet'!G:G=B1092,'Appearance Sheet'!A:A=C1092))"),"#N/A")</f>
        <v>#N/A</v>
      </c>
      <c r="F1092" s="67">
        <v>5.267073737</v>
      </c>
      <c r="G1092" s="40">
        <v>1.555272202</v>
      </c>
      <c r="H1092" s="40" t="str">
        <f t="shared" si="1"/>
        <v>#N/A</v>
      </c>
      <c r="I1092" s="41">
        <v>0.467391304</v>
      </c>
      <c r="J1092" s="41">
        <v>0.282608696</v>
      </c>
      <c r="K1092" s="41">
        <v>0.25</v>
      </c>
      <c r="L1092" s="41">
        <f t="shared" si="2"/>
        <v>0.217391304</v>
      </c>
      <c r="M1092" s="74">
        <v>-1.081368568</v>
      </c>
    </row>
    <row r="1093">
      <c r="A1093" s="1" t="s">
        <v>158</v>
      </c>
      <c r="B1093" s="38">
        <v>608372.0</v>
      </c>
      <c r="C1093" s="72">
        <v>45840.0</v>
      </c>
      <c r="D1093" s="38">
        <v>76.0</v>
      </c>
      <c r="E1093" s="73">
        <f>IFERROR(__xludf.DUMMYFUNCTION("average(filter('Appearance Sheet'!F:F,'Appearance Sheet'!G:G=B1093,'Appearance Sheet'!A:A=C1093))"),4.666666666666667)</f>
        <v>4.666666667</v>
      </c>
      <c r="F1093" s="67">
        <v>5.267067543</v>
      </c>
      <c r="G1093" s="40">
        <v>1.368714992</v>
      </c>
      <c r="H1093" s="40">
        <f t="shared" si="1"/>
        <v>2.639664627</v>
      </c>
      <c r="I1093" s="41">
        <v>0.539473684</v>
      </c>
      <c r="J1093" s="41">
        <v>0.184210526</v>
      </c>
      <c r="K1093" s="41">
        <v>0.276315789</v>
      </c>
      <c r="L1093" s="41">
        <f t="shared" si="2"/>
        <v>0.263157895</v>
      </c>
      <c r="M1093" s="74">
        <v>-4.776178779</v>
      </c>
    </row>
    <row r="1094">
      <c r="A1094" s="1" t="s">
        <v>282</v>
      </c>
      <c r="B1094" s="38">
        <v>656302.0</v>
      </c>
      <c r="C1094" s="72">
        <v>45919.0</v>
      </c>
      <c r="D1094" s="38">
        <v>98.0</v>
      </c>
      <c r="E1094" s="73" t="str">
        <f>IFERROR(__xludf.DUMMYFUNCTION("average(filter('Appearance Sheet'!F:F,'Appearance Sheet'!G:G=B1094,'Appearance Sheet'!A:A=C1094))"),"#N/A")</f>
        <v>#N/A</v>
      </c>
      <c r="F1094" s="67">
        <v>5.2670374</v>
      </c>
      <c r="G1094" s="40">
        <v>1.708675916</v>
      </c>
      <c r="H1094" s="40" t="str">
        <f t="shared" si="1"/>
        <v>#N/A</v>
      </c>
      <c r="I1094" s="41">
        <v>0.469387755</v>
      </c>
      <c r="J1094" s="41">
        <v>0.265306122</v>
      </c>
      <c r="K1094" s="41">
        <v>0.265306122</v>
      </c>
      <c r="L1094" s="41">
        <f t="shared" si="2"/>
        <v>0.204081633</v>
      </c>
      <c r="M1094" s="74">
        <v>1.229406815</v>
      </c>
    </row>
    <row r="1095">
      <c r="A1095" s="1" t="s">
        <v>428</v>
      </c>
      <c r="B1095" s="38">
        <v>670102.0</v>
      </c>
      <c r="C1095" s="72">
        <v>45781.0</v>
      </c>
      <c r="D1095" s="38">
        <v>75.0</v>
      </c>
      <c r="E1095" s="73">
        <f>IFERROR(__xludf.DUMMYFUNCTION("average(filter('Appearance Sheet'!F:F,'Appearance Sheet'!G:G=B1095,'Appearance Sheet'!A:A=C1095))"),4.333333333333333)</f>
        <v>4.333333333</v>
      </c>
      <c r="F1095" s="67">
        <v>5.26695107</v>
      </c>
      <c r="G1095" s="40">
        <v>1.314493429</v>
      </c>
      <c r="H1095" s="40">
        <f t="shared" si="1"/>
        <v>2.730101737</v>
      </c>
      <c r="I1095" s="41">
        <v>0.546666667</v>
      </c>
      <c r="J1095" s="41">
        <v>0.146666667</v>
      </c>
      <c r="K1095" s="41">
        <v>0.306666667</v>
      </c>
      <c r="L1095" s="41">
        <f t="shared" si="2"/>
        <v>0.24</v>
      </c>
      <c r="M1095" s="74">
        <v>-1.306000918</v>
      </c>
    </row>
    <row r="1096">
      <c r="A1096" s="1" t="s">
        <v>224</v>
      </c>
      <c r="B1096" s="38">
        <v>686701.0</v>
      </c>
      <c r="C1096" s="72">
        <v>45827.0</v>
      </c>
      <c r="D1096" s="38">
        <v>71.0</v>
      </c>
      <c r="E1096" s="73">
        <f>IFERROR(__xludf.DUMMYFUNCTION("average(filter('Appearance Sheet'!F:F,'Appearance Sheet'!G:G=B1096,'Appearance Sheet'!A:A=C1096))"),4.666666666666667)</f>
        <v>4.666666667</v>
      </c>
      <c r="F1096" s="67">
        <v>5.266770416</v>
      </c>
      <c r="G1096" s="40">
        <v>1.273103221</v>
      </c>
      <c r="H1096" s="40">
        <f t="shared" si="1"/>
        <v>2.455270498</v>
      </c>
      <c r="I1096" s="41">
        <v>0.450704225</v>
      </c>
      <c r="J1096" s="41">
        <v>0.281690141</v>
      </c>
      <c r="K1096" s="41">
        <v>0.267605634</v>
      </c>
      <c r="L1096" s="41">
        <f t="shared" si="2"/>
        <v>0.183098591</v>
      </c>
      <c r="M1096" s="74">
        <v>1.085604039</v>
      </c>
    </row>
    <row r="1097">
      <c r="A1097" s="1" t="s">
        <v>55</v>
      </c>
      <c r="B1097" s="38">
        <v>641816.0</v>
      </c>
      <c r="C1097" s="72">
        <v>45919.0</v>
      </c>
      <c r="D1097" s="38">
        <v>68.0</v>
      </c>
      <c r="E1097" s="73" t="str">
        <f>IFERROR(__xludf.DUMMYFUNCTION("average(filter('Appearance Sheet'!F:F,'Appearance Sheet'!G:G=B1097,'Appearance Sheet'!A:A=C1097))"),"#N/A")</f>
        <v>#N/A</v>
      </c>
      <c r="F1097" s="67">
        <v>5.266382474</v>
      </c>
      <c r="G1097" s="40">
        <v>1.200711251</v>
      </c>
      <c r="H1097" s="40" t="str">
        <f t="shared" si="1"/>
        <v>#N/A</v>
      </c>
      <c r="I1097" s="41">
        <v>0.529411765</v>
      </c>
      <c r="J1097" s="41">
        <v>0.147058824</v>
      </c>
      <c r="K1097" s="41">
        <v>0.323529412</v>
      </c>
      <c r="L1097" s="41">
        <f t="shared" si="2"/>
        <v>0.205882353</v>
      </c>
      <c r="M1097" s="74">
        <v>-0.601229622</v>
      </c>
    </row>
    <row r="1098">
      <c r="A1098" s="1" t="s">
        <v>282</v>
      </c>
      <c r="B1098" s="38">
        <v>656302.0</v>
      </c>
      <c r="C1098" s="72">
        <v>45856.0</v>
      </c>
      <c r="D1098" s="38">
        <v>92.0</v>
      </c>
      <c r="E1098" s="73" t="str">
        <f>IFERROR(__xludf.DUMMYFUNCTION("average(filter('Appearance Sheet'!F:F,'Appearance Sheet'!G:G=B1098,'Appearance Sheet'!A:A=C1098))"),"#N/A")</f>
        <v>#N/A</v>
      </c>
      <c r="F1098" s="67">
        <v>5.266293403</v>
      </c>
      <c r="G1098" s="40">
        <v>1.600696712</v>
      </c>
      <c r="H1098" s="40" t="str">
        <f t="shared" si="1"/>
        <v>#N/A</v>
      </c>
      <c r="I1098" s="41">
        <v>0.510869565</v>
      </c>
      <c r="J1098" s="41">
        <v>0.130434783</v>
      </c>
      <c r="K1098" s="41">
        <v>0.358695652</v>
      </c>
      <c r="L1098" s="41">
        <f t="shared" si="2"/>
        <v>0.152173913</v>
      </c>
      <c r="M1098" s="74">
        <v>-0.314751819</v>
      </c>
    </row>
    <row r="1099">
      <c r="A1099" s="1" t="s">
        <v>216</v>
      </c>
      <c r="B1099" s="38">
        <v>621107.0</v>
      </c>
      <c r="C1099" s="72">
        <v>45866.0</v>
      </c>
      <c r="D1099" s="38">
        <v>78.0</v>
      </c>
      <c r="E1099" s="73" t="str">
        <f>IFERROR(__xludf.DUMMYFUNCTION("average(filter('Appearance Sheet'!F:F,'Appearance Sheet'!G:G=B1099,'Appearance Sheet'!A:A=C1099))"),"#N/A")</f>
        <v>#N/A</v>
      </c>
      <c r="F1099" s="67">
        <v>5.266076377</v>
      </c>
      <c r="G1099" s="40">
        <v>1.392023935</v>
      </c>
      <c r="H1099" s="40" t="str">
        <f t="shared" si="1"/>
        <v>#N/A</v>
      </c>
      <c r="I1099" s="41">
        <v>0.461538462</v>
      </c>
      <c r="J1099" s="41">
        <v>0.192307692</v>
      </c>
      <c r="K1099" s="41">
        <v>0.346153846</v>
      </c>
      <c r="L1099" s="41">
        <f t="shared" si="2"/>
        <v>0.115384616</v>
      </c>
      <c r="M1099" s="74">
        <v>-2.952874162</v>
      </c>
    </row>
    <row r="1100">
      <c r="A1100" s="1" t="s">
        <v>341</v>
      </c>
      <c r="B1100" s="38">
        <v>676962.0</v>
      </c>
      <c r="C1100" s="72">
        <v>45790.0</v>
      </c>
      <c r="D1100" s="38">
        <v>72.0</v>
      </c>
      <c r="E1100" s="73">
        <f>IFERROR(__xludf.DUMMYFUNCTION("average(filter('Appearance Sheet'!F:F,'Appearance Sheet'!G:G=B1100,'Appearance Sheet'!A:A=C1100))"),5.333333333333333)</f>
        <v>5.333333333</v>
      </c>
      <c r="F1100" s="67">
        <v>5.26567511</v>
      </c>
      <c r="G1100" s="40">
        <v>1.307949929</v>
      </c>
      <c r="H1100" s="40">
        <f t="shared" si="1"/>
        <v>2.207165505</v>
      </c>
      <c r="I1100" s="41">
        <v>0.458333333</v>
      </c>
      <c r="J1100" s="41">
        <v>0.277777778</v>
      </c>
      <c r="K1100" s="41">
        <v>0.263888889</v>
      </c>
      <c r="L1100" s="41">
        <f t="shared" si="2"/>
        <v>0.194444444</v>
      </c>
      <c r="M1100" s="74">
        <v>-0.413000123</v>
      </c>
    </row>
    <row r="1101">
      <c r="A1101" s="1" t="s">
        <v>245</v>
      </c>
      <c r="B1101" s="38">
        <v>571578.0</v>
      </c>
      <c r="C1101" s="72">
        <v>45861.0</v>
      </c>
      <c r="D1101" s="38">
        <v>65.0</v>
      </c>
      <c r="E1101" s="73" t="str">
        <f>IFERROR(__xludf.DUMMYFUNCTION("average(filter('Appearance Sheet'!F:F,'Appearance Sheet'!G:G=B1101,'Appearance Sheet'!A:A=C1101))"),"#N/A")</f>
        <v>#N/A</v>
      </c>
      <c r="F1101" s="67">
        <v>5.2655972</v>
      </c>
      <c r="G1101" s="40">
        <v>1.166197289</v>
      </c>
      <c r="H1101" s="40" t="str">
        <f t="shared" si="1"/>
        <v>#N/A</v>
      </c>
      <c r="I1101" s="41">
        <v>0.461538462</v>
      </c>
      <c r="J1101" s="41">
        <v>0.153846154</v>
      </c>
      <c r="K1101" s="41">
        <v>0.384615385</v>
      </c>
      <c r="L1101" s="41">
        <f t="shared" si="2"/>
        <v>0.076923077</v>
      </c>
      <c r="M1101" s="74">
        <v>-0.829744153</v>
      </c>
    </row>
    <row r="1102">
      <c r="A1102" s="1" t="s">
        <v>325</v>
      </c>
      <c r="B1102" s="38">
        <v>676917.0</v>
      </c>
      <c r="C1102" s="72">
        <v>45902.0</v>
      </c>
      <c r="D1102" s="38">
        <v>71.0</v>
      </c>
      <c r="E1102" s="73" t="str">
        <f>IFERROR(__xludf.DUMMYFUNCTION("average(filter('Appearance Sheet'!F:F,'Appearance Sheet'!G:G=B1102,'Appearance Sheet'!A:A=C1102))"),"#N/A")</f>
        <v>#N/A</v>
      </c>
      <c r="F1102" s="67">
        <v>5.265235763</v>
      </c>
      <c r="G1102" s="40">
        <v>1.248139925</v>
      </c>
      <c r="H1102" s="40" t="str">
        <f t="shared" si="1"/>
        <v>#N/A</v>
      </c>
      <c r="I1102" s="41">
        <v>0.535211268</v>
      </c>
      <c r="J1102" s="41">
        <v>0.197183099</v>
      </c>
      <c r="K1102" s="41">
        <v>0.267605634</v>
      </c>
      <c r="L1102" s="41">
        <f t="shared" si="2"/>
        <v>0.267605634</v>
      </c>
      <c r="M1102" s="74">
        <v>0.752902766</v>
      </c>
    </row>
    <row r="1103">
      <c r="A1103" s="1" t="s">
        <v>296</v>
      </c>
      <c r="B1103" s="38">
        <v>669372.0</v>
      </c>
      <c r="C1103" s="72">
        <v>45796.0</v>
      </c>
      <c r="D1103" s="38">
        <v>78.0</v>
      </c>
      <c r="E1103" s="73">
        <f>IFERROR(__xludf.DUMMYFUNCTION("average(filter('Appearance Sheet'!F:F,'Appearance Sheet'!G:G=B1103,'Appearance Sheet'!A:A=C1103))"),4.0)</f>
        <v>4</v>
      </c>
      <c r="F1103" s="67">
        <v>5.265144883</v>
      </c>
      <c r="G1103" s="40">
        <v>1.368859474</v>
      </c>
      <c r="H1103" s="40">
        <f t="shared" si="1"/>
        <v>3.079933817</v>
      </c>
      <c r="I1103" s="41">
        <v>0.512820513</v>
      </c>
      <c r="J1103" s="41">
        <v>0.141025641</v>
      </c>
      <c r="K1103" s="41">
        <v>0.346153846</v>
      </c>
      <c r="L1103" s="41">
        <f t="shared" si="2"/>
        <v>0.166666667</v>
      </c>
      <c r="M1103" s="74">
        <v>-0.955024124</v>
      </c>
    </row>
    <row r="1104">
      <c r="A1104" s="1" t="s">
        <v>93</v>
      </c>
      <c r="B1104" s="38">
        <v>669194.0</v>
      </c>
      <c r="C1104" s="72">
        <v>45832.0</v>
      </c>
      <c r="D1104" s="38">
        <v>87.0</v>
      </c>
      <c r="E1104" s="73">
        <f>IFERROR(__xludf.DUMMYFUNCTION("average(filter('Appearance Sheet'!F:F,'Appearance Sheet'!G:G=B1104,'Appearance Sheet'!A:A=C1104))"),5.0)</f>
        <v>5</v>
      </c>
      <c r="F1104" s="67">
        <v>5.26497823</v>
      </c>
      <c r="G1104" s="40">
        <v>1.534653746</v>
      </c>
      <c r="H1104" s="40">
        <f t="shared" si="1"/>
        <v>2.762376743</v>
      </c>
      <c r="I1104" s="41">
        <v>0.528735632</v>
      </c>
      <c r="J1104" s="41">
        <v>0.16091954</v>
      </c>
      <c r="K1104" s="41">
        <v>0.310344828</v>
      </c>
      <c r="L1104" s="41">
        <f t="shared" si="2"/>
        <v>0.218390804</v>
      </c>
      <c r="M1104" s="74">
        <v>3.420932908</v>
      </c>
    </row>
    <row r="1105">
      <c r="A1105" s="1" t="s">
        <v>77</v>
      </c>
      <c r="B1105" s="38">
        <v>657277.0</v>
      </c>
      <c r="C1105" s="72">
        <v>45748.0</v>
      </c>
      <c r="D1105" s="38">
        <v>97.0</v>
      </c>
      <c r="E1105" s="73">
        <f>IFERROR(__xludf.DUMMYFUNCTION("average(filter('Appearance Sheet'!F:F,'Appearance Sheet'!G:G=B1105,'Appearance Sheet'!A:A=C1105))"),7.0)</f>
        <v>7</v>
      </c>
      <c r="F1105" s="67">
        <v>5.264863885</v>
      </c>
      <c r="G1105" s="40">
        <v>1.660784936</v>
      </c>
      <c r="H1105" s="40">
        <f t="shared" si="1"/>
        <v>2.135294918</v>
      </c>
      <c r="I1105" s="41">
        <v>0.443298969</v>
      </c>
      <c r="J1105" s="41">
        <v>0.216494845</v>
      </c>
      <c r="K1105" s="41">
        <v>0.340206186</v>
      </c>
      <c r="L1105" s="41">
        <f t="shared" si="2"/>
        <v>0.103092783</v>
      </c>
      <c r="M1105" s="74">
        <v>0.303061116</v>
      </c>
    </row>
    <row r="1106">
      <c r="A1106" s="1" t="s">
        <v>197</v>
      </c>
      <c r="B1106" s="38">
        <v>676467.0</v>
      </c>
      <c r="C1106" s="72">
        <v>45808.0</v>
      </c>
      <c r="D1106" s="38">
        <v>73.0</v>
      </c>
      <c r="E1106" s="73">
        <f>IFERROR(__xludf.DUMMYFUNCTION("average(filter('Appearance Sheet'!F:F,'Appearance Sheet'!G:G=B1106,'Appearance Sheet'!A:A=C1106))"),5.0)</f>
        <v>5</v>
      </c>
      <c r="F1106" s="67">
        <v>5.26461247</v>
      </c>
      <c r="G1106" s="40">
        <v>1.286141524</v>
      </c>
      <c r="H1106" s="40">
        <f t="shared" si="1"/>
        <v>2.315054743</v>
      </c>
      <c r="I1106" s="41">
        <v>0.438356164</v>
      </c>
      <c r="J1106" s="41">
        <v>0.328767123</v>
      </c>
      <c r="K1106" s="41">
        <v>0.232876712</v>
      </c>
      <c r="L1106" s="41">
        <f t="shared" si="2"/>
        <v>0.205479452</v>
      </c>
      <c r="M1106" s="74">
        <v>0.014203367</v>
      </c>
    </row>
    <row r="1107">
      <c r="A1107" s="1" t="s">
        <v>216</v>
      </c>
      <c r="B1107" s="38">
        <v>621107.0</v>
      </c>
      <c r="C1107" s="72">
        <v>45788.0</v>
      </c>
      <c r="D1107" s="38">
        <v>82.0</v>
      </c>
      <c r="E1107" s="73">
        <f>IFERROR(__xludf.DUMMYFUNCTION("average(filter('Appearance Sheet'!F:F,'Appearance Sheet'!G:G=B1107,'Appearance Sheet'!A:A=C1107))"),5.0)</f>
        <v>5</v>
      </c>
      <c r="F1107" s="67">
        <v>5.264457138</v>
      </c>
      <c r="G1107" s="40">
        <v>1.481788073</v>
      </c>
      <c r="H1107" s="40">
        <f t="shared" si="1"/>
        <v>2.667218531</v>
      </c>
      <c r="I1107" s="41">
        <v>0.536585366</v>
      </c>
      <c r="J1107" s="41">
        <v>0.195121951</v>
      </c>
      <c r="K1107" s="41">
        <v>0.268292683</v>
      </c>
      <c r="L1107" s="41">
        <f t="shared" si="2"/>
        <v>0.268292683</v>
      </c>
      <c r="M1107" s="74">
        <v>0.391641228</v>
      </c>
    </row>
    <row r="1108">
      <c r="A1108" s="1" t="s">
        <v>189</v>
      </c>
      <c r="B1108" s="38">
        <v>607536.0</v>
      </c>
      <c r="C1108" s="72">
        <v>45755.0</v>
      </c>
      <c r="D1108" s="38">
        <v>97.0</v>
      </c>
      <c r="E1108" s="73">
        <f>IFERROR(__xludf.DUMMYFUNCTION("average(filter('Appearance Sheet'!F:F,'Appearance Sheet'!G:G=B1108,'Appearance Sheet'!A:A=C1108))"),6.333333333333333)</f>
        <v>6.333333333</v>
      </c>
      <c r="F1108" s="67">
        <v>5.264139434</v>
      </c>
      <c r="G1108" s="40">
        <v>1.716307327</v>
      </c>
      <c r="H1108" s="40">
        <f t="shared" si="1"/>
        <v>2.438963044</v>
      </c>
      <c r="I1108" s="41">
        <v>0.494845361</v>
      </c>
      <c r="J1108" s="41">
        <v>0.18556701</v>
      </c>
      <c r="K1108" s="41">
        <v>0.319587629</v>
      </c>
      <c r="L1108" s="41">
        <f t="shared" si="2"/>
        <v>0.175257732</v>
      </c>
      <c r="M1108" s="74">
        <v>-1.736508803</v>
      </c>
    </row>
    <row r="1109">
      <c r="A1109" s="1" t="s">
        <v>134</v>
      </c>
      <c r="B1109" s="38">
        <v>677161.0</v>
      </c>
      <c r="C1109" s="72">
        <v>45903.0</v>
      </c>
      <c r="D1109" s="38">
        <v>63.0</v>
      </c>
      <c r="E1109" s="73" t="str">
        <f>IFERROR(__xludf.DUMMYFUNCTION("average(filter('Appearance Sheet'!F:F,'Appearance Sheet'!G:G=B1109,'Appearance Sheet'!A:A=C1109))"),"#N/A")</f>
        <v>#N/A</v>
      </c>
      <c r="F1109" s="67">
        <v>5.263884951</v>
      </c>
      <c r="G1109" s="40">
        <v>1.064756255</v>
      </c>
      <c r="H1109" s="40" t="str">
        <f t="shared" si="1"/>
        <v>#N/A</v>
      </c>
      <c r="I1109" s="41">
        <v>0.523809524</v>
      </c>
      <c r="J1109" s="41">
        <v>0.174603175</v>
      </c>
      <c r="K1109" s="41">
        <v>0.301587302</v>
      </c>
      <c r="L1109" s="41">
        <f t="shared" si="2"/>
        <v>0.222222222</v>
      </c>
      <c r="M1109" s="74">
        <v>1.779485128</v>
      </c>
    </row>
    <row r="1110">
      <c r="A1110" s="1" t="s">
        <v>96</v>
      </c>
      <c r="B1110" s="38">
        <v>690986.0</v>
      </c>
      <c r="C1110" s="72">
        <v>45926.0</v>
      </c>
      <c r="D1110" s="38">
        <v>65.0</v>
      </c>
      <c r="E1110" s="73" t="str">
        <f>IFERROR(__xludf.DUMMYFUNCTION("average(filter('Appearance Sheet'!F:F,'Appearance Sheet'!G:G=B1110,'Appearance Sheet'!A:A=C1110))"),"#N/A")</f>
        <v>#N/A</v>
      </c>
      <c r="F1110" s="67">
        <v>5.263761465</v>
      </c>
      <c r="G1110" s="40">
        <v>1.139326754</v>
      </c>
      <c r="H1110" s="40" t="str">
        <f t="shared" si="1"/>
        <v>#N/A</v>
      </c>
      <c r="I1110" s="41">
        <v>0.507692308</v>
      </c>
      <c r="J1110" s="41">
        <v>0.169230769</v>
      </c>
      <c r="K1110" s="41">
        <v>0.323076923</v>
      </c>
      <c r="L1110" s="41">
        <f t="shared" si="2"/>
        <v>0.184615385</v>
      </c>
      <c r="M1110" s="74">
        <v>-4.612310411</v>
      </c>
    </row>
    <row r="1111">
      <c r="A1111" s="1" t="s">
        <v>308</v>
      </c>
      <c r="B1111" s="38">
        <v>676440.0</v>
      </c>
      <c r="C1111" s="72">
        <v>45888.0</v>
      </c>
      <c r="D1111" s="38">
        <v>90.0</v>
      </c>
      <c r="E1111" s="73" t="str">
        <f>IFERROR(__xludf.DUMMYFUNCTION("average(filter('Appearance Sheet'!F:F,'Appearance Sheet'!G:G=B1111,'Appearance Sheet'!A:A=C1111))"),"#N/A")</f>
        <v>#N/A</v>
      </c>
      <c r="F1111" s="67">
        <v>5.263736136</v>
      </c>
      <c r="G1111" s="40">
        <v>1.584221988</v>
      </c>
      <c r="H1111" s="40" t="str">
        <f t="shared" si="1"/>
        <v>#N/A</v>
      </c>
      <c r="I1111" s="41">
        <v>0.5</v>
      </c>
      <c r="J1111" s="41">
        <v>0.233333333</v>
      </c>
      <c r="K1111" s="41">
        <v>0.266666667</v>
      </c>
      <c r="L1111" s="41">
        <f t="shared" si="2"/>
        <v>0.233333333</v>
      </c>
      <c r="M1111" s="74">
        <v>-1.440254221</v>
      </c>
    </row>
    <row r="1112">
      <c r="A1112" s="1" t="s">
        <v>371</v>
      </c>
      <c r="B1112" s="38">
        <v>681293.0</v>
      </c>
      <c r="C1112" s="72">
        <v>45875.0</v>
      </c>
      <c r="D1112" s="38">
        <v>82.0</v>
      </c>
      <c r="E1112" s="73" t="str">
        <f>IFERROR(__xludf.DUMMYFUNCTION("average(filter('Appearance Sheet'!F:F,'Appearance Sheet'!G:G=B1112,'Appearance Sheet'!A:A=C1112))"),"#N/A")</f>
        <v>#N/A</v>
      </c>
      <c r="F1112" s="67">
        <v>5.263660058</v>
      </c>
      <c r="G1112" s="40">
        <v>1.466582501</v>
      </c>
      <c r="H1112" s="40" t="str">
        <f t="shared" si="1"/>
        <v>#N/A</v>
      </c>
      <c r="I1112" s="41">
        <v>0.475609756</v>
      </c>
      <c r="J1112" s="41">
        <v>0.195121951</v>
      </c>
      <c r="K1112" s="41">
        <v>0.329268293</v>
      </c>
      <c r="L1112" s="41">
        <f t="shared" si="2"/>
        <v>0.146341463</v>
      </c>
      <c r="M1112" s="74">
        <v>-7.343047937</v>
      </c>
    </row>
    <row r="1113">
      <c r="A1113" s="1" t="s">
        <v>220</v>
      </c>
      <c r="B1113" s="38">
        <v>663559.0</v>
      </c>
      <c r="C1113" s="72">
        <v>45763.0</v>
      </c>
      <c r="D1113" s="38">
        <v>78.0</v>
      </c>
      <c r="E1113" s="73">
        <f>IFERROR(__xludf.DUMMYFUNCTION("average(filter('Appearance Sheet'!F:F,'Appearance Sheet'!G:G=B1113,'Appearance Sheet'!A:A=C1113))"),7.0)</f>
        <v>7</v>
      </c>
      <c r="F1113" s="67">
        <v>5.263580776</v>
      </c>
      <c r="G1113" s="40">
        <v>1.396328069</v>
      </c>
      <c r="H1113" s="40">
        <f t="shared" si="1"/>
        <v>1.795278946</v>
      </c>
      <c r="I1113" s="41">
        <v>0.538461538</v>
      </c>
      <c r="J1113" s="41">
        <v>0.166666667</v>
      </c>
      <c r="K1113" s="41">
        <v>0.294871795</v>
      </c>
      <c r="L1113" s="41">
        <f t="shared" si="2"/>
        <v>0.243589743</v>
      </c>
      <c r="M1113" s="74">
        <v>2.397087872</v>
      </c>
    </row>
    <row r="1114">
      <c r="A1114" s="1" t="s">
        <v>113</v>
      </c>
      <c r="B1114" s="38">
        <v>664285.0</v>
      </c>
      <c r="C1114" s="72">
        <v>45896.0</v>
      </c>
      <c r="D1114" s="38">
        <v>95.0</v>
      </c>
      <c r="E1114" s="73" t="str">
        <f>IFERROR(__xludf.DUMMYFUNCTION("average(filter('Appearance Sheet'!F:F,'Appearance Sheet'!G:G=B1114,'Appearance Sheet'!A:A=C1114))"),"#N/A")</f>
        <v>#N/A</v>
      </c>
      <c r="F1114" s="67">
        <v>5.263496529</v>
      </c>
      <c r="G1114" s="40">
        <v>1.671254521</v>
      </c>
      <c r="H1114" s="40" t="str">
        <f t="shared" si="1"/>
        <v>#N/A</v>
      </c>
      <c r="I1114" s="41">
        <v>0.494736842</v>
      </c>
      <c r="J1114" s="41">
        <v>0.168421053</v>
      </c>
      <c r="K1114" s="41">
        <v>0.336842105</v>
      </c>
      <c r="L1114" s="41">
        <f t="shared" si="2"/>
        <v>0.157894737</v>
      </c>
      <c r="M1114" s="74">
        <v>2.395779359</v>
      </c>
    </row>
    <row r="1115">
      <c r="A1115" s="1" t="s">
        <v>171</v>
      </c>
      <c r="B1115" s="38">
        <v>665795.0</v>
      </c>
      <c r="C1115" s="72">
        <v>45839.0</v>
      </c>
      <c r="D1115" s="38">
        <v>87.0</v>
      </c>
      <c r="E1115" s="73">
        <f>IFERROR(__xludf.DUMMYFUNCTION("average(filter('Appearance Sheet'!F:F,'Appearance Sheet'!G:G=B1115,'Appearance Sheet'!A:A=C1115))"),7.0)</f>
        <v>7</v>
      </c>
      <c r="F1115" s="67">
        <v>5.263336899</v>
      </c>
      <c r="G1115" s="40">
        <v>1.554696833</v>
      </c>
      <c r="H1115" s="40">
        <f t="shared" si="1"/>
        <v>1.998895928</v>
      </c>
      <c r="I1115" s="41">
        <v>0.505747126</v>
      </c>
      <c r="J1115" s="41">
        <v>0.195402299</v>
      </c>
      <c r="K1115" s="41">
        <v>0.298850575</v>
      </c>
      <c r="L1115" s="41">
        <f t="shared" si="2"/>
        <v>0.206896551</v>
      </c>
      <c r="M1115" s="74">
        <v>3.076198806</v>
      </c>
    </row>
    <row r="1116">
      <c r="A1116" s="1" t="s">
        <v>192</v>
      </c>
      <c r="B1116" s="38">
        <v>642232.0</v>
      </c>
      <c r="C1116" s="72">
        <v>45809.0</v>
      </c>
      <c r="D1116" s="38">
        <v>89.0</v>
      </c>
      <c r="E1116" s="73">
        <f>IFERROR(__xludf.DUMMYFUNCTION("average(filter('Appearance Sheet'!F:F,'Appearance Sheet'!G:G=B1116,'Appearance Sheet'!A:A=C1116))"),6.0)</f>
        <v>6</v>
      </c>
      <c r="F1116" s="67">
        <v>5.262848692</v>
      </c>
      <c r="G1116" s="40">
        <v>1.573546693</v>
      </c>
      <c r="H1116" s="40">
        <f t="shared" si="1"/>
        <v>2.36032004</v>
      </c>
      <c r="I1116" s="41">
        <v>0.516853933</v>
      </c>
      <c r="J1116" s="41">
        <v>0.191011236</v>
      </c>
      <c r="K1116" s="41">
        <v>0.292134831</v>
      </c>
      <c r="L1116" s="41">
        <f t="shared" si="2"/>
        <v>0.224719102</v>
      </c>
      <c r="M1116" s="74">
        <v>1.755578394</v>
      </c>
    </row>
    <row r="1117">
      <c r="A1117" s="1" t="s">
        <v>100</v>
      </c>
      <c r="B1117" s="38">
        <v>676979.0</v>
      </c>
      <c r="C1117" s="72">
        <v>45914.0</v>
      </c>
      <c r="D1117" s="38">
        <v>94.0</v>
      </c>
      <c r="E1117" s="73" t="str">
        <f>IFERROR(__xludf.DUMMYFUNCTION("average(filter('Appearance Sheet'!F:F,'Appearance Sheet'!G:G=B1117,'Appearance Sheet'!A:A=C1117))"),"#N/A")</f>
        <v>#N/A</v>
      </c>
      <c r="F1117" s="67">
        <v>5.262681503</v>
      </c>
      <c r="G1117" s="40">
        <v>1.669102602</v>
      </c>
      <c r="H1117" s="40" t="str">
        <f t="shared" si="1"/>
        <v>#N/A</v>
      </c>
      <c r="I1117" s="41">
        <v>0.5</v>
      </c>
      <c r="J1117" s="41">
        <v>0.170212766</v>
      </c>
      <c r="K1117" s="41">
        <v>0.329787234</v>
      </c>
      <c r="L1117" s="41">
        <f t="shared" si="2"/>
        <v>0.170212766</v>
      </c>
      <c r="M1117" s="74">
        <v>-0.188432845</v>
      </c>
    </row>
    <row r="1118">
      <c r="A1118" s="1" t="s">
        <v>224</v>
      </c>
      <c r="B1118" s="38">
        <v>686701.0</v>
      </c>
      <c r="C1118" s="72">
        <v>45896.0</v>
      </c>
      <c r="D1118" s="38">
        <v>93.0</v>
      </c>
      <c r="E1118" s="73" t="str">
        <f>IFERROR(__xludf.DUMMYFUNCTION("average(filter('Appearance Sheet'!F:F,'Appearance Sheet'!G:G=B1118,'Appearance Sheet'!A:A=C1118))"),"#N/A")</f>
        <v>#N/A</v>
      </c>
      <c r="F1118" s="67">
        <v>5.261932109</v>
      </c>
      <c r="G1118" s="40">
        <v>1.662773138</v>
      </c>
      <c r="H1118" s="40" t="str">
        <f t="shared" si="1"/>
        <v>#N/A</v>
      </c>
      <c r="I1118" s="41">
        <v>0.537634409</v>
      </c>
      <c r="J1118" s="41">
        <v>0.193548387</v>
      </c>
      <c r="K1118" s="41">
        <v>0.268817204</v>
      </c>
      <c r="L1118" s="41">
        <f t="shared" si="2"/>
        <v>0.268817205</v>
      </c>
      <c r="M1118" s="74">
        <v>-0.178897792</v>
      </c>
    </row>
    <row r="1119">
      <c r="A1119" s="1" t="s">
        <v>303</v>
      </c>
      <c r="B1119" s="38">
        <v>592662.0</v>
      </c>
      <c r="C1119" s="72">
        <v>45796.0</v>
      </c>
      <c r="D1119" s="38">
        <v>92.0</v>
      </c>
      <c r="E1119" s="73">
        <f>IFERROR(__xludf.DUMMYFUNCTION("average(filter('Appearance Sheet'!F:F,'Appearance Sheet'!G:G=B1119,'Appearance Sheet'!A:A=C1119))"),7.0)</f>
        <v>7</v>
      </c>
      <c r="F1119" s="67">
        <v>5.261899801</v>
      </c>
      <c r="G1119" s="40">
        <v>1.630302596</v>
      </c>
      <c r="H1119" s="40">
        <f t="shared" si="1"/>
        <v>2.096103338</v>
      </c>
      <c r="I1119" s="41">
        <v>0.52173913</v>
      </c>
      <c r="J1119" s="41">
        <v>0.195652174</v>
      </c>
      <c r="K1119" s="41">
        <v>0.282608696</v>
      </c>
      <c r="L1119" s="41">
        <f t="shared" si="2"/>
        <v>0.239130434</v>
      </c>
      <c r="M1119" s="74">
        <v>0.236447917</v>
      </c>
    </row>
    <row r="1120">
      <c r="A1120" s="1" t="s">
        <v>424</v>
      </c>
      <c r="B1120" s="38">
        <v>667755.0</v>
      </c>
      <c r="C1120" s="72">
        <v>45886.0</v>
      </c>
      <c r="D1120" s="38">
        <v>98.0</v>
      </c>
      <c r="E1120" s="73" t="str">
        <f>IFERROR(__xludf.DUMMYFUNCTION("average(filter('Appearance Sheet'!F:F,'Appearance Sheet'!G:G=B1120,'Appearance Sheet'!A:A=C1120))"),"#N/A")</f>
        <v>#N/A</v>
      </c>
      <c r="F1120" s="67">
        <v>5.261851957</v>
      </c>
      <c r="G1120" s="40">
        <v>1.741389488</v>
      </c>
      <c r="H1120" s="40" t="str">
        <f t="shared" si="1"/>
        <v>#N/A</v>
      </c>
      <c r="I1120" s="41">
        <v>0.469387755</v>
      </c>
      <c r="J1120" s="41">
        <v>0.183673469</v>
      </c>
      <c r="K1120" s="41">
        <v>0.346938776</v>
      </c>
      <c r="L1120" s="41">
        <f t="shared" si="2"/>
        <v>0.122448979</v>
      </c>
      <c r="M1120" s="74">
        <v>0.64703604</v>
      </c>
    </row>
    <row r="1121">
      <c r="A1121" s="1" t="s">
        <v>335</v>
      </c>
      <c r="B1121" s="38">
        <v>663436.0</v>
      </c>
      <c r="C1121" s="72">
        <v>45791.0</v>
      </c>
      <c r="D1121" s="38">
        <v>91.0</v>
      </c>
      <c r="E1121" s="73">
        <f>IFERROR(__xludf.DUMMYFUNCTION("average(filter('Appearance Sheet'!F:F,'Appearance Sheet'!G:G=B1121,'Appearance Sheet'!A:A=C1121))"),6.666666666666667)</f>
        <v>6.666666667</v>
      </c>
      <c r="F1121" s="67">
        <v>5.261106703</v>
      </c>
      <c r="G1121" s="40">
        <v>1.619458688</v>
      </c>
      <c r="H1121" s="40">
        <f t="shared" si="1"/>
        <v>2.186269229</v>
      </c>
      <c r="I1121" s="41">
        <v>0.450549451</v>
      </c>
      <c r="J1121" s="41">
        <v>0.230769231</v>
      </c>
      <c r="K1121" s="41">
        <v>0.318681319</v>
      </c>
      <c r="L1121" s="41">
        <f t="shared" si="2"/>
        <v>0.131868132</v>
      </c>
      <c r="M1121" s="74">
        <v>-0.999907876</v>
      </c>
    </row>
    <row r="1122">
      <c r="A1122" s="1" t="s">
        <v>572</v>
      </c>
      <c r="B1122" s="38">
        <v>669330.0</v>
      </c>
      <c r="C1122" s="72">
        <v>45902.0</v>
      </c>
      <c r="D1122" s="38">
        <v>80.0</v>
      </c>
      <c r="E1122" s="73" t="str">
        <f>IFERROR(__xludf.DUMMYFUNCTION("average(filter('Appearance Sheet'!F:F,'Appearance Sheet'!G:G=B1122,'Appearance Sheet'!A:A=C1122))"),"#N/A")</f>
        <v>#N/A</v>
      </c>
      <c r="F1122" s="67">
        <v>5.261090021</v>
      </c>
      <c r="G1122" s="40">
        <v>1.413683595</v>
      </c>
      <c r="H1122" s="40" t="str">
        <f t="shared" si="1"/>
        <v>#N/A</v>
      </c>
      <c r="I1122" s="41">
        <v>0.5125</v>
      </c>
      <c r="J1122" s="41">
        <v>0.2</v>
      </c>
      <c r="K1122" s="41">
        <v>0.2875</v>
      </c>
      <c r="L1122" s="41">
        <f t="shared" si="2"/>
        <v>0.225</v>
      </c>
      <c r="M1122" s="74">
        <v>1.560385012</v>
      </c>
    </row>
    <row r="1123">
      <c r="A1123" s="1" t="s">
        <v>179</v>
      </c>
      <c r="B1123" s="38">
        <v>663568.0</v>
      </c>
      <c r="C1123" s="72">
        <v>45804.0</v>
      </c>
      <c r="D1123" s="38">
        <v>93.0</v>
      </c>
      <c r="E1123" s="73">
        <f>IFERROR(__xludf.DUMMYFUNCTION("average(filter('Appearance Sheet'!F:F,'Appearance Sheet'!G:G=B1123,'Appearance Sheet'!A:A=C1123))"),5.333333333333333)</f>
        <v>5.333333333</v>
      </c>
      <c r="F1123" s="67">
        <v>5.260801105</v>
      </c>
      <c r="G1123" s="40">
        <v>1.653034461</v>
      </c>
      <c r="H1123" s="40">
        <f t="shared" si="1"/>
        <v>2.789495653</v>
      </c>
      <c r="I1123" s="41">
        <v>0.537634409</v>
      </c>
      <c r="J1123" s="41">
        <v>0.129032258</v>
      </c>
      <c r="K1123" s="41">
        <v>0.333333333</v>
      </c>
      <c r="L1123" s="41">
        <f t="shared" si="2"/>
        <v>0.204301076</v>
      </c>
      <c r="M1123" s="74">
        <v>-0.698303808</v>
      </c>
    </row>
    <row r="1124">
      <c r="A1124" s="1" t="s">
        <v>109</v>
      </c>
      <c r="B1124" s="38">
        <v>601713.0</v>
      </c>
      <c r="C1124" s="72">
        <v>45893.0</v>
      </c>
      <c r="D1124" s="38">
        <v>93.0</v>
      </c>
      <c r="E1124" s="73" t="str">
        <f>IFERROR(__xludf.DUMMYFUNCTION("average(filter('Appearance Sheet'!F:F,'Appearance Sheet'!G:G=B1124,'Appearance Sheet'!A:A=C1124))"),"#N/A")</f>
        <v>#N/A</v>
      </c>
      <c r="F1124" s="67">
        <v>5.260744629</v>
      </c>
      <c r="G1124" s="40">
        <v>1.67345637</v>
      </c>
      <c r="H1124" s="40" t="str">
        <f t="shared" si="1"/>
        <v>#N/A</v>
      </c>
      <c r="I1124" s="41">
        <v>0.52688172</v>
      </c>
      <c r="J1124" s="41">
        <v>0.11827957</v>
      </c>
      <c r="K1124" s="41">
        <v>0.35483871</v>
      </c>
      <c r="L1124" s="41">
        <f t="shared" si="2"/>
        <v>0.17204301</v>
      </c>
      <c r="M1124" s="74">
        <v>2.750423122</v>
      </c>
    </row>
    <row r="1125">
      <c r="A1125" s="1" t="s">
        <v>133</v>
      </c>
      <c r="B1125" s="38">
        <v>663978.0</v>
      </c>
      <c r="C1125" s="72">
        <v>45803.0</v>
      </c>
      <c r="D1125" s="38">
        <v>89.0</v>
      </c>
      <c r="E1125" s="73">
        <f>IFERROR(__xludf.DUMMYFUNCTION("average(filter('Appearance Sheet'!F:F,'Appearance Sheet'!G:G=B1125,'Appearance Sheet'!A:A=C1125))"),5.333333333333333)</f>
        <v>5.333333333</v>
      </c>
      <c r="F1125" s="67">
        <v>5.260653859</v>
      </c>
      <c r="G1125" s="40">
        <v>1.587250611</v>
      </c>
      <c r="H1125" s="40">
        <f t="shared" si="1"/>
        <v>2.678485406</v>
      </c>
      <c r="I1125" s="41">
        <v>0.505617978</v>
      </c>
      <c r="J1125" s="41">
        <v>0.191011236</v>
      </c>
      <c r="K1125" s="41">
        <v>0.303370787</v>
      </c>
      <c r="L1125" s="41">
        <f t="shared" si="2"/>
        <v>0.202247191</v>
      </c>
      <c r="M1125" s="74">
        <v>0.92118463</v>
      </c>
    </row>
    <row r="1126">
      <c r="A1126" s="1" t="s">
        <v>324</v>
      </c>
      <c r="B1126" s="38">
        <v>471911.0</v>
      </c>
      <c r="C1126" s="72">
        <v>45876.0</v>
      </c>
      <c r="D1126" s="38">
        <v>85.0</v>
      </c>
      <c r="E1126" s="73" t="str">
        <f>IFERROR(__xludf.DUMMYFUNCTION("average(filter('Appearance Sheet'!F:F,'Appearance Sheet'!G:G=B1126,'Appearance Sheet'!A:A=C1126))"),"#N/A")</f>
        <v>#N/A</v>
      </c>
      <c r="F1126" s="67">
        <v>5.260612928</v>
      </c>
      <c r="G1126" s="40">
        <v>1.558114296</v>
      </c>
      <c r="H1126" s="40" t="str">
        <f t="shared" si="1"/>
        <v>#N/A</v>
      </c>
      <c r="I1126" s="41">
        <v>0.505882353</v>
      </c>
      <c r="J1126" s="41">
        <v>0.105882353</v>
      </c>
      <c r="K1126" s="41">
        <v>0.388235294</v>
      </c>
      <c r="L1126" s="41">
        <f t="shared" si="2"/>
        <v>0.117647059</v>
      </c>
      <c r="M1126" s="74">
        <v>-1.253750166</v>
      </c>
    </row>
    <row r="1127">
      <c r="A1127" s="1" t="s">
        <v>130</v>
      </c>
      <c r="B1127" s="38">
        <v>666200.0</v>
      </c>
      <c r="C1127" s="72">
        <v>45819.0</v>
      </c>
      <c r="D1127" s="38">
        <v>97.0</v>
      </c>
      <c r="E1127" s="73">
        <f>IFERROR(__xludf.DUMMYFUNCTION("average(filter('Appearance Sheet'!F:F,'Appearance Sheet'!G:G=B1127,'Appearance Sheet'!A:A=C1127))"),6.0)</f>
        <v>6</v>
      </c>
      <c r="F1127" s="67">
        <v>5.260536422</v>
      </c>
      <c r="G1127" s="40">
        <v>1.72522968</v>
      </c>
      <c r="H1127" s="40">
        <f t="shared" si="1"/>
        <v>2.58784452</v>
      </c>
      <c r="I1127" s="41">
        <v>0.484536082</v>
      </c>
      <c r="J1127" s="41">
        <v>0.24742268</v>
      </c>
      <c r="K1127" s="41">
        <v>0.268041237</v>
      </c>
      <c r="L1127" s="41">
        <f t="shared" si="2"/>
        <v>0.216494845</v>
      </c>
      <c r="M1127" s="74">
        <v>0.657059191</v>
      </c>
    </row>
    <row r="1128">
      <c r="A1128" s="1" t="s">
        <v>302</v>
      </c>
      <c r="B1128" s="38">
        <v>681190.0</v>
      </c>
      <c r="C1128" s="72">
        <v>45842.0</v>
      </c>
      <c r="D1128" s="38">
        <v>90.0</v>
      </c>
      <c r="E1128" s="73">
        <f>IFERROR(__xludf.DUMMYFUNCTION("average(filter('Appearance Sheet'!F:F,'Appearance Sheet'!G:G=B1128,'Appearance Sheet'!A:A=C1128))"),6.0)</f>
        <v>6</v>
      </c>
      <c r="F1128" s="67">
        <v>5.26050151</v>
      </c>
      <c r="G1128" s="40">
        <v>1.598678235</v>
      </c>
      <c r="H1128" s="40">
        <f t="shared" si="1"/>
        <v>2.398017353</v>
      </c>
      <c r="I1128" s="41">
        <v>0.511111111</v>
      </c>
      <c r="J1128" s="41">
        <v>0.222222222</v>
      </c>
      <c r="K1128" s="41">
        <v>0.266666667</v>
      </c>
      <c r="L1128" s="41">
        <f t="shared" si="2"/>
        <v>0.244444444</v>
      </c>
      <c r="M1128" s="74">
        <v>2.377458625</v>
      </c>
    </row>
    <row r="1129">
      <c r="A1129" s="1" t="s">
        <v>329</v>
      </c>
      <c r="B1129" s="38">
        <v>669160.0</v>
      </c>
      <c r="C1129" s="72">
        <v>45899.0</v>
      </c>
      <c r="D1129" s="38">
        <v>94.0</v>
      </c>
      <c r="E1129" s="73" t="str">
        <f>IFERROR(__xludf.DUMMYFUNCTION("average(filter('Appearance Sheet'!F:F,'Appearance Sheet'!G:G=B1129,'Appearance Sheet'!A:A=C1129))"),"#N/A")</f>
        <v>#N/A</v>
      </c>
      <c r="F1129" s="67">
        <v>5.260386663</v>
      </c>
      <c r="G1129" s="40">
        <v>1.665816424</v>
      </c>
      <c r="H1129" s="40" t="str">
        <f t="shared" si="1"/>
        <v>#N/A</v>
      </c>
      <c r="I1129" s="41">
        <v>0.585106383</v>
      </c>
      <c r="J1129" s="41">
        <v>0.117021277</v>
      </c>
      <c r="K1129" s="41">
        <v>0.29787234</v>
      </c>
      <c r="L1129" s="41">
        <f t="shared" si="2"/>
        <v>0.287234043</v>
      </c>
      <c r="M1129" s="74">
        <v>-2.681061691</v>
      </c>
    </row>
    <row r="1130">
      <c r="A1130" s="1" t="s">
        <v>242</v>
      </c>
      <c r="B1130" s="38">
        <v>669358.0</v>
      </c>
      <c r="C1130" s="72">
        <v>45823.0</v>
      </c>
      <c r="D1130" s="38">
        <v>106.0</v>
      </c>
      <c r="E1130" s="73">
        <f>IFERROR(__xludf.DUMMYFUNCTION("average(filter('Appearance Sheet'!F:F,'Appearance Sheet'!G:G=B1130,'Appearance Sheet'!A:A=C1130))"),6.666666666666667)</f>
        <v>6.666666667</v>
      </c>
      <c r="F1130" s="67">
        <v>5.260368676</v>
      </c>
      <c r="G1130" s="40">
        <v>1.907967335</v>
      </c>
      <c r="H1130" s="40">
        <f t="shared" si="1"/>
        <v>2.575755902</v>
      </c>
      <c r="I1130" s="41">
        <v>0.5</v>
      </c>
      <c r="J1130" s="41">
        <v>0.150943396</v>
      </c>
      <c r="K1130" s="41">
        <v>0.349056604</v>
      </c>
      <c r="L1130" s="41">
        <f t="shared" si="2"/>
        <v>0.150943396</v>
      </c>
      <c r="M1130" s="74">
        <v>2.233856056</v>
      </c>
    </row>
    <row r="1131">
      <c r="A1131" s="1" t="s">
        <v>150</v>
      </c>
      <c r="B1131" s="38">
        <v>657746.0</v>
      </c>
      <c r="C1131" s="72">
        <v>45828.0</v>
      </c>
      <c r="D1131" s="38">
        <v>97.0</v>
      </c>
      <c r="E1131" s="73">
        <f>IFERROR(__xludf.DUMMYFUNCTION("average(filter('Appearance Sheet'!F:F,'Appearance Sheet'!G:G=B1131,'Appearance Sheet'!A:A=C1131))"),5.333333333333333)</f>
        <v>5.333333333</v>
      </c>
      <c r="F1131" s="67">
        <v>5.2602824</v>
      </c>
      <c r="G1131" s="40">
        <v>1.692829242</v>
      </c>
      <c r="H1131" s="40">
        <f t="shared" si="1"/>
        <v>2.856649346</v>
      </c>
      <c r="I1131" s="41">
        <v>0.484536082</v>
      </c>
      <c r="J1131" s="41">
        <v>0.206185567</v>
      </c>
      <c r="K1131" s="41">
        <v>0.309278351</v>
      </c>
      <c r="L1131" s="41">
        <f t="shared" si="2"/>
        <v>0.175257731</v>
      </c>
      <c r="M1131" s="74">
        <v>1.641849469</v>
      </c>
    </row>
    <row r="1132">
      <c r="A1132" s="1" t="s">
        <v>194</v>
      </c>
      <c r="B1132" s="38">
        <v>666157.0</v>
      </c>
      <c r="C1132" s="72">
        <v>45914.0</v>
      </c>
      <c r="D1132" s="38">
        <v>89.0</v>
      </c>
      <c r="E1132" s="73" t="str">
        <f>IFERROR(__xludf.DUMMYFUNCTION("average(filter('Appearance Sheet'!F:F,'Appearance Sheet'!G:G=B1132,'Appearance Sheet'!A:A=C1132))"),"#N/A")</f>
        <v>#N/A</v>
      </c>
      <c r="F1132" s="67">
        <v>5.259932253</v>
      </c>
      <c r="G1132" s="40">
        <v>1.587567797</v>
      </c>
      <c r="H1132" s="40" t="str">
        <f t="shared" si="1"/>
        <v>#N/A</v>
      </c>
      <c r="I1132" s="41">
        <v>0.516853933</v>
      </c>
      <c r="J1132" s="41">
        <v>0.134831461</v>
      </c>
      <c r="K1132" s="41">
        <v>0.348314607</v>
      </c>
      <c r="L1132" s="41">
        <f t="shared" si="2"/>
        <v>0.168539326</v>
      </c>
      <c r="M1132" s="74">
        <v>-2.314063413</v>
      </c>
    </row>
    <row r="1133">
      <c r="A1133" s="1" t="s">
        <v>100</v>
      </c>
      <c r="B1133" s="38">
        <v>676979.0</v>
      </c>
      <c r="C1133" s="72">
        <v>45924.0</v>
      </c>
      <c r="D1133" s="38">
        <v>98.0</v>
      </c>
      <c r="E1133" s="73" t="str">
        <f>IFERROR(__xludf.DUMMYFUNCTION("average(filter('Appearance Sheet'!F:F,'Appearance Sheet'!G:G=B1133,'Appearance Sheet'!A:A=C1133))"),"#N/A")</f>
        <v>#N/A</v>
      </c>
      <c r="F1133" s="67">
        <v>5.259637892</v>
      </c>
      <c r="G1133" s="40">
        <v>1.757249584</v>
      </c>
      <c r="H1133" s="40" t="str">
        <f t="shared" si="1"/>
        <v>#N/A</v>
      </c>
      <c r="I1133" s="41">
        <v>0.5</v>
      </c>
      <c r="J1133" s="41">
        <v>0.183673469</v>
      </c>
      <c r="K1133" s="41">
        <v>0.316326531</v>
      </c>
      <c r="L1133" s="41">
        <f t="shared" si="2"/>
        <v>0.183673469</v>
      </c>
      <c r="M1133" s="74">
        <v>3.598815681</v>
      </c>
    </row>
    <row r="1134">
      <c r="A1134" s="1" t="s">
        <v>562</v>
      </c>
      <c r="B1134" s="38">
        <v>669713.0</v>
      </c>
      <c r="C1134" s="72">
        <v>45783.0</v>
      </c>
      <c r="D1134" s="38">
        <v>79.0</v>
      </c>
      <c r="E1134" s="73">
        <f>IFERROR(__xludf.DUMMYFUNCTION("average(filter('Appearance Sheet'!F:F,'Appearance Sheet'!G:G=B1134,'Appearance Sheet'!A:A=C1134))"),4.0)</f>
        <v>4</v>
      </c>
      <c r="F1134" s="67">
        <v>5.259498073</v>
      </c>
      <c r="G1134" s="40">
        <v>1.400788111</v>
      </c>
      <c r="H1134" s="40">
        <f t="shared" si="1"/>
        <v>3.15177325</v>
      </c>
      <c r="I1134" s="41">
        <v>0.556962025</v>
      </c>
      <c r="J1134" s="41">
        <v>0.151898734</v>
      </c>
      <c r="K1134" s="41">
        <v>0.291139241</v>
      </c>
      <c r="L1134" s="41">
        <f t="shared" si="2"/>
        <v>0.265822784</v>
      </c>
      <c r="M1134" s="74">
        <v>0.607617988</v>
      </c>
    </row>
    <row r="1135">
      <c r="A1135" s="1" t="s">
        <v>544</v>
      </c>
      <c r="B1135" s="38">
        <v>805123.0</v>
      </c>
      <c r="C1135" s="72">
        <v>45892.0</v>
      </c>
      <c r="D1135" s="38">
        <v>63.0</v>
      </c>
      <c r="E1135" s="73" t="str">
        <f>IFERROR(__xludf.DUMMYFUNCTION("average(filter('Appearance Sheet'!F:F,'Appearance Sheet'!G:G=B1135,'Appearance Sheet'!A:A=C1135))"),"#N/A")</f>
        <v>#N/A</v>
      </c>
      <c r="F1135" s="67">
        <v>5.259365237</v>
      </c>
      <c r="G1135" s="40">
        <v>1.108419207</v>
      </c>
      <c r="H1135" s="40" t="str">
        <f t="shared" si="1"/>
        <v>#N/A</v>
      </c>
      <c r="I1135" s="41">
        <v>0.523809524</v>
      </c>
      <c r="J1135" s="41">
        <v>0.174603175</v>
      </c>
      <c r="K1135" s="41">
        <v>0.301587302</v>
      </c>
      <c r="L1135" s="41">
        <f t="shared" si="2"/>
        <v>0.222222222</v>
      </c>
      <c r="M1135" s="74">
        <v>-0.375092597</v>
      </c>
    </row>
    <row r="1136">
      <c r="A1136" s="1" t="s">
        <v>181</v>
      </c>
      <c r="B1136" s="38">
        <v>641154.0</v>
      </c>
      <c r="C1136" s="72">
        <v>45749.0</v>
      </c>
      <c r="D1136" s="38">
        <v>92.0</v>
      </c>
      <c r="E1136" s="73">
        <f>IFERROR(__xludf.DUMMYFUNCTION("average(filter('Appearance Sheet'!F:F,'Appearance Sheet'!G:G=B1136,'Appearance Sheet'!A:A=C1136))"),7.0)</f>
        <v>7</v>
      </c>
      <c r="F1136" s="67">
        <v>5.258998331</v>
      </c>
      <c r="G1136" s="40">
        <v>1.670365482</v>
      </c>
      <c r="H1136" s="40">
        <f t="shared" si="1"/>
        <v>2.147612763</v>
      </c>
      <c r="I1136" s="41">
        <v>0.445652174</v>
      </c>
      <c r="J1136" s="41">
        <v>0.315217391</v>
      </c>
      <c r="K1136" s="41">
        <v>0.239130435</v>
      </c>
      <c r="L1136" s="41">
        <f t="shared" si="2"/>
        <v>0.206521739</v>
      </c>
      <c r="M1136" s="74">
        <v>3.628631888</v>
      </c>
    </row>
    <row r="1137">
      <c r="A1137" s="1" t="s">
        <v>394</v>
      </c>
      <c r="B1137" s="38">
        <v>621121.0</v>
      </c>
      <c r="C1137" s="72">
        <v>45805.0</v>
      </c>
      <c r="D1137" s="38">
        <v>101.0</v>
      </c>
      <c r="E1137" s="73">
        <f>IFERROR(__xludf.DUMMYFUNCTION("average(filter('Appearance Sheet'!F:F,'Appearance Sheet'!G:G=B1137,'Appearance Sheet'!A:A=C1137))"),6.0)</f>
        <v>6</v>
      </c>
      <c r="F1137" s="67">
        <v>5.258938673</v>
      </c>
      <c r="G1137" s="40">
        <v>1.790221846</v>
      </c>
      <c r="H1137" s="40">
        <f t="shared" si="1"/>
        <v>2.685332769</v>
      </c>
      <c r="I1137" s="41">
        <v>0.504950495</v>
      </c>
      <c r="J1137" s="41">
        <v>0.178217822</v>
      </c>
      <c r="K1137" s="41">
        <v>0.316831683</v>
      </c>
      <c r="L1137" s="41">
        <f t="shared" si="2"/>
        <v>0.188118812</v>
      </c>
      <c r="M1137" s="74">
        <v>-0.364467117</v>
      </c>
    </row>
    <row r="1138">
      <c r="A1138" s="1" t="s">
        <v>147</v>
      </c>
      <c r="B1138" s="38">
        <v>608379.0</v>
      </c>
      <c r="C1138" s="72">
        <v>45789.0</v>
      </c>
      <c r="D1138" s="38">
        <v>84.0</v>
      </c>
      <c r="E1138" s="73">
        <f>IFERROR(__xludf.DUMMYFUNCTION("average(filter('Appearance Sheet'!F:F,'Appearance Sheet'!G:G=B1138,'Appearance Sheet'!A:A=C1138))"),6.333333333333333)</f>
        <v>6.333333333</v>
      </c>
      <c r="F1138" s="67">
        <v>5.258674006</v>
      </c>
      <c r="G1138" s="40">
        <v>1.519413822</v>
      </c>
      <c r="H1138" s="40">
        <f t="shared" si="1"/>
        <v>2.15916701</v>
      </c>
      <c r="I1138" s="41">
        <v>0.511904762</v>
      </c>
      <c r="J1138" s="41">
        <v>0.178571429</v>
      </c>
      <c r="K1138" s="41">
        <v>0.30952381</v>
      </c>
      <c r="L1138" s="41">
        <f t="shared" si="2"/>
        <v>0.202380952</v>
      </c>
      <c r="M1138" s="74">
        <v>-4.045989038</v>
      </c>
    </row>
    <row r="1139">
      <c r="A1139" s="1" t="s">
        <v>544</v>
      </c>
      <c r="B1139" s="38">
        <v>805123.0</v>
      </c>
      <c r="C1139" s="72">
        <v>45777.0</v>
      </c>
      <c r="D1139" s="38">
        <v>83.0</v>
      </c>
      <c r="E1139" s="73">
        <f>IFERROR(__xludf.DUMMYFUNCTION("average(filter('Appearance Sheet'!F:F,'Appearance Sheet'!G:G=B1139,'Appearance Sheet'!A:A=C1139))"),4.0)</f>
        <v>4</v>
      </c>
      <c r="F1139" s="67">
        <v>5.258288941</v>
      </c>
      <c r="G1139" s="40">
        <v>1.430187115</v>
      </c>
      <c r="H1139" s="40">
        <f t="shared" si="1"/>
        <v>3.217921009</v>
      </c>
      <c r="I1139" s="41">
        <v>0.530120482</v>
      </c>
      <c r="J1139" s="41">
        <v>0.13253012</v>
      </c>
      <c r="K1139" s="41">
        <v>0.337349398</v>
      </c>
      <c r="L1139" s="41">
        <f t="shared" si="2"/>
        <v>0.192771084</v>
      </c>
      <c r="M1139" s="74">
        <v>-1.430873835</v>
      </c>
    </row>
    <row r="1140">
      <c r="A1140" s="1" t="s">
        <v>115</v>
      </c>
      <c r="B1140" s="38">
        <v>543135.0</v>
      </c>
      <c r="C1140" s="72">
        <v>45886.0</v>
      </c>
      <c r="D1140" s="38">
        <v>96.0</v>
      </c>
      <c r="E1140" s="73" t="str">
        <f>IFERROR(__xludf.DUMMYFUNCTION("average(filter('Appearance Sheet'!F:F,'Appearance Sheet'!G:G=B1140,'Appearance Sheet'!A:A=C1140))"),"#N/A")</f>
        <v>#N/A</v>
      </c>
      <c r="F1140" s="67">
        <v>5.258212683</v>
      </c>
      <c r="G1140" s="40">
        <v>1.7384508</v>
      </c>
      <c r="H1140" s="40" t="str">
        <f t="shared" si="1"/>
        <v>#N/A</v>
      </c>
      <c r="I1140" s="41">
        <v>0.489583333</v>
      </c>
      <c r="J1140" s="41">
        <v>0.166666667</v>
      </c>
      <c r="K1140" s="41">
        <v>0.34375</v>
      </c>
      <c r="L1140" s="41">
        <f t="shared" si="2"/>
        <v>0.145833333</v>
      </c>
      <c r="M1140" s="74">
        <v>0.885213522</v>
      </c>
    </row>
    <row r="1141">
      <c r="A1141" s="1" t="s">
        <v>164</v>
      </c>
      <c r="B1141" s="38">
        <v>669923.0</v>
      </c>
      <c r="C1141" s="72">
        <v>45805.0</v>
      </c>
      <c r="D1141" s="38">
        <v>76.0</v>
      </c>
      <c r="E1141" s="73">
        <f>IFERROR(__xludf.DUMMYFUNCTION("average(filter('Appearance Sheet'!F:F,'Appearance Sheet'!G:G=B1141,'Appearance Sheet'!A:A=C1141))"),5.0)</f>
        <v>5</v>
      </c>
      <c r="F1141" s="67">
        <v>5.258118856</v>
      </c>
      <c r="G1141" s="40">
        <v>1.37077256</v>
      </c>
      <c r="H1141" s="40">
        <f t="shared" si="1"/>
        <v>2.467390608</v>
      </c>
      <c r="I1141" s="41">
        <v>0.539473684</v>
      </c>
      <c r="J1141" s="41">
        <v>0.171052632</v>
      </c>
      <c r="K1141" s="41">
        <v>0.289473684</v>
      </c>
      <c r="L1141" s="41">
        <f t="shared" si="2"/>
        <v>0.25</v>
      </c>
      <c r="M1141" s="74">
        <v>-1.844708418</v>
      </c>
    </row>
    <row r="1142">
      <c r="A1142" s="1" t="s">
        <v>269</v>
      </c>
      <c r="B1142" s="38">
        <v>605280.0</v>
      </c>
      <c r="C1142" s="72">
        <v>45903.0</v>
      </c>
      <c r="D1142" s="38">
        <v>82.0</v>
      </c>
      <c r="E1142" s="73" t="str">
        <f>IFERROR(__xludf.DUMMYFUNCTION("average(filter('Appearance Sheet'!F:F,'Appearance Sheet'!G:G=B1142,'Appearance Sheet'!A:A=C1142))"),"#N/A")</f>
        <v>#N/A</v>
      </c>
      <c r="F1142" s="67">
        <v>5.258037734</v>
      </c>
      <c r="G1142" s="40">
        <v>1.426701401</v>
      </c>
      <c r="H1142" s="40" t="str">
        <f t="shared" si="1"/>
        <v>#N/A</v>
      </c>
      <c r="I1142" s="41">
        <v>0.463414634</v>
      </c>
      <c r="J1142" s="41">
        <v>0.195121951</v>
      </c>
      <c r="K1142" s="41">
        <v>0.341463415</v>
      </c>
      <c r="L1142" s="41">
        <f t="shared" si="2"/>
        <v>0.121951219</v>
      </c>
      <c r="M1142" s="74">
        <v>-0.369051409</v>
      </c>
    </row>
    <row r="1143">
      <c r="A1143" s="1" t="s">
        <v>65</v>
      </c>
      <c r="B1143" s="38">
        <v>680885.0</v>
      </c>
      <c r="C1143" s="72">
        <v>45762.0</v>
      </c>
      <c r="D1143" s="38">
        <v>83.0</v>
      </c>
      <c r="E1143" s="73">
        <f>IFERROR(__xludf.DUMMYFUNCTION("average(filter('Appearance Sheet'!F:F,'Appearance Sheet'!G:G=B1143,'Appearance Sheet'!A:A=C1143))"),4.666666666666667)</f>
        <v>4.666666667</v>
      </c>
      <c r="F1143" s="67">
        <v>5.257964279</v>
      </c>
      <c r="G1143" s="40">
        <v>1.488209326</v>
      </c>
      <c r="H1143" s="40">
        <f t="shared" si="1"/>
        <v>2.870117986</v>
      </c>
      <c r="I1143" s="41">
        <v>0.506024096</v>
      </c>
      <c r="J1143" s="41">
        <v>0.204819277</v>
      </c>
      <c r="K1143" s="41">
        <v>0.289156627</v>
      </c>
      <c r="L1143" s="41">
        <f t="shared" si="2"/>
        <v>0.216867469</v>
      </c>
      <c r="M1143" s="74">
        <v>-0.684334597</v>
      </c>
    </row>
    <row r="1144">
      <c r="A1144" s="1" t="s">
        <v>153</v>
      </c>
      <c r="B1144" s="38">
        <v>669302.0</v>
      </c>
      <c r="C1144" s="72">
        <v>45760.0</v>
      </c>
      <c r="D1144" s="38">
        <v>90.0</v>
      </c>
      <c r="E1144" s="73">
        <f>IFERROR(__xludf.DUMMYFUNCTION("average(filter('Appearance Sheet'!F:F,'Appearance Sheet'!G:G=B1144,'Appearance Sheet'!A:A=C1144))"),5.0)</f>
        <v>5</v>
      </c>
      <c r="F1144" s="67">
        <v>5.25777149</v>
      </c>
      <c r="G1144" s="40">
        <v>1.584699738</v>
      </c>
      <c r="H1144" s="40">
        <f t="shared" si="1"/>
        <v>2.852459528</v>
      </c>
      <c r="I1144" s="41">
        <v>0.477777778</v>
      </c>
      <c r="J1144" s="41">
        <v>0.233333333</v>
      </c>
      <c r="K1144" s="41">
        <v>0.288888889</v>
      </c>
      <c r="L1144" s="41">
        <f t="shared" si="2"/>
        <v>0.188888889</v>
      </c>
      <c r="M1144" s="74">
        <v>2.97851395</v>
      </c>
    </row>
    <row r="1145">
      <c r="A1145" s="1" t="s">
        <v>336</v>
      </c>
      <c r="B1145" s="38">
        <v>605488.0</v>
      </c>
      <c r="C1145" s="72">
        <v>45851.0</v>
      </c>
      <c r="D1145" s="38">
        <v>89.0</v>
      </c>
      <c r="E1145" s="73" t="str">
        <f>IFERROR(__xludf.DUMMYFUNCTION("average(filter('Appearance Sheet'!F:F,'Appearance Sheet'!G:G=B1145,'Appearance Sheet'!A:A=C1145))"),"#N/A")</f>
        <v>#N/A</v>
      </c>
      <c r="F1145" s="67">
        <v>5.25730811</v>
      </c>
      <c r="G1145" s="40">
        <v>1.590384997</v>
      </c>
      <c r="H1145" s="40" t="str">
        <f t="shared" si="1"/>
        <v>#N/A</v>
      </c>
      <c r="I1145" s="41">
        <v>0.494382022</v>
      </c>
      <c r="J1145" s="41">
        <v>0.146067416</v>
      </c>
      <c r="K1145" s="41">
        <v>0.359550562</v>
      </c>
      <c r="L1145" s="41">
        <f t="shared" si="2"/>
        <v>0.13483146</v>
      </c>
      <c r="M1145" s="74">
        <v>3.043331041</v>
      </c>
    </row>
    <row r="1146">
      <c r="A1146" s="1" t="s">
        <v>290</v>
      </c>
      <c r="B1146" s="38">
        <v>669461.0</v>
      </c>
      <c r="C1146" s="72">
        <v>45898.0</v>
      </c>
      <c r="D1146" s="38">
        <v>87.0</v>
      </c>
      <c r="E1146" s="73" t="str">
        <f>IFERROR(__xludf.DUMMYFUNCTION("average(filter('Appearance Sheet'!F:F,'Appearance Sheet'!G:G=B1146,'Appearance Sheet'!A:A=C1146))"),"#N/A")</f>
        <v>#N/A</v>
      </c>
      <c r="F1146" s="67">
        <v>5.257166747</v>
      </c>
      <c r="G1146" s="40">
        <v>1.609532031</v>
      </c>
      <c r="H1146" s="40" t="str">
        <f t="shared" si="1"/>
        <v>#N/A</v>
      </c>
      <c r="I1146" s="41">
        <v>0.482758621</v>
      </c>
      <c r="J1146" s="41">
        <v>0.229885057</v>
      </c>
      <c r="K1146" s="41">
        <v>0.287356322</v>
      </c>
      <c r="L1146" s="41">
        <f t="shared" si="2"/>
        <v>0.195402299</v>
      </c>
      <c r="M1146" s="74">
        <v>-2.347612018</v>
      </c>
    </row>
    <row r="1147">
      <c r="A1147" s="1" t="s">
        <v>492</v>
      </c>
      <c r="B1147" s="38">
        <v>671212.0</v>
      </c>
      <c r="C1147" s="72">
        <v>45915.0</v>
      </c>
      <c r="D1147" s="38">
        <v>77.0</v>
      </c>
      <c r="E1147" s="73" t="str">
        <f>IFERROR(__xludf.DUMMYFUNCTION("average(filter('Appearance Sheet'!F:F,'Appearance Sheet'!G:G=B1147,'Appearance Sheet'!A:A=C1147))"),"#N/A")</f>
        <v>#N/A</v>
      </c>
      <c r="F1147" s="67">
        <v>5.257116587</v>
      </c>
      <c r="G1147" s="40">
        <v>1.375928836</v>
      </c>
      <c r="H1147" s="40" t="str">
        <f t="shared" si="1"/>
        <v>#N/A</v>
      </c>
      <c r="I1147" s="41">
        <v>0.506493506</v>
      </c>
      <c r="J1147" s="41">
        <v>0.194805195</v>
      </c>
      <c r="K1147" s="41">
        <v>0.298701299</v>
      </c>
      <c r="L1147" s="41">
        <f t="shared" si="2"/>
        <v>0.207792207</v>
      </c>
      <c r="M1147" s="74">
        <v>0.734130542</v>
      </c>
    </row>
    <row r="1148">
      <c r="A1148" s="1" t="s">
        <v>314</v>
      </c>
      <c r="B1148" s="38">
        <v>669854.0</v>
      </c>
      <c r="C1148" s="72">
        <v>45788.0</v>
      </c>
      <c r="D1148" s="38">
        <v>100.0</v>
      </c>
      <c r="E1148" s="73">
        <f>IFERROR(__xludf.DUMMYFUNCTION("average(filter('Appearance Sheet'!F:F,'Appearance Sheet'!G:G=B1148,'Appearance Sheet'!A:A=C1148))"),8.0)</f>
        <v>8</v>
      </c>
      <c r="F1148" s="67">
        <v>5.256980694</v>
      </c>
      <c r="G1148" s="40">
        <v>1.790881021</v>
      </c>
      <c r="H1148" s="40">
        <f t="shared" si="1"/>
        <v>2.014741149</v>
      </c>
      <c r="I1148" s="41">
        <v>0.5</v>
      </c>
      <c r="J1148" s="41">
        <v>0.23</v>
      </c>
      <c r="K1148" s="41">
        <v>0.27</v>
      </c>
      <c r="L1148" s="41">
        <f t="shared" si="2"/>
        <v>0.23</v>
      </c>
      <c r="M1148" s="74">
        <v>2.851983661</v>
      </c>
    </row>
    <row r="1149">
      <c r="A1149" s="1" t="s">
        <v>398</v>
      </c>
      <c r="B1149" s="38">
        <v>676282.0</v>
      </c>
      <c r="C1149" s="72">
        <v>45927.0</v>
      </c>
      <c r="D1149" s="38">
        <v>77.0</v>
      </c>
      <c r="E1149" s="73" t="str">
        <f>IFERROR(__xludf.DUMMYFUNCTION("average(filter('Appearance Sheet'!F:F,'Appearance Sheet'!G:G=B1149,'Appearance Sheet'!A:A=C1149))"),"#N/A")</f>
        <v>#N/A</v>
      </c>
      <c r="F1149" s="67">
        <v>5.256690974</v>
      </c>
      <c r="G1149" s="40">
        <v>1.389422471</v>
      </c>
      <c r="H1149" s="40" t="str">
        <f t="shared" si="1"/>
        <v>#N/A</v>
      </c>
      <c r="I1149" s="41">
        <v>0.519480519</v>
      </c>
      <c r="J1149" s="41">
        <v>0.142857143</v>
      </c>
      <c r="K1149" s="41">
        <v>0.337662338</v>
      </c>
      <c r="L1149" s="41">
        <f t="shared" si="2"/>
        <v>0.181818181</v>
      </c>
      <c r="M1149" s="74">
        <v>1.351747073</v>
      </c>
    </row>
    <row r="1150">
      <c r="A1150" s="1" t="s">
        <v>256</v>
      </c>
      <c r="B1150" s="38">
        <v>571760.0</v>
      </c>
      <c r="C1150" s="72">
        <v>45776.0</v>
      </c>
      <c r="D1150" s="38">
        <v>70.0</v>
      </c>
      <c r="E1150" s="73">
        <f>IFERROR(__xludf.DUMMYFUNCTION("average(filter('Appearance Sheet'!F:F,'Appearance Sheet'!G:G=B1150,'Appearance Sheet'!A:A=C1150))"),4.666666666666667)</f>
        <v>4.666666667</v>
      </c>
      <c r="F1150" s="67">
        <v>5.256640187</v>
      </c>
      <c r="G1150" s="40">
        <v>1.261833709</v>
      </c>
      <c r="H1150" s="40">
        <f t="shared" si="1"/>
        <v>2.433536439</v>
      </c>
      <c r="I1150" s="41">
        <v>0.571428571</v>
      </c>
      <c r="J1150" s="41">
        <v>0.171428571</v>
      </c>
      <c r="K1150" s="41">
        <v>0.257142857</v>
      </c>
      <c r="L1150" s="41">
        <f t="shared" si="2"/>
        <v>0.314285714</v>
      </c>
      <c r="M1150" s="74">
        <v>-1.385384976</v>
      </c>
    </row>
    <row r="1151">
      <c r="A1151" s="1" t="s">
        <v>166</v>
      </c>
      <c r="B1151" s="38">
        <v>608331.0</v>
      </c>
      <c r="C1151" s="72">
        <v>45756.0</v>
      </c>
      <c r="D1151" s="38">
        <v>95.0</v>
      </c>
      <c r="E1151" s="73">
        <f>IFERROR(__xludf.DUMMYFUNCTION("average(filter('Appearance Sheet'!F:F,'Appearance Sheet'!G:G=B1151,'Appearance Sheet'!A:A=C1151))"),7.0)</f>
        <v>7</v>
      </c>
      <c r="F1151" s="67">
        <v>5.256448407</v>
      </c>
      <c r="G1151" s="40">
        <v>1.717702168</v>
      </c>
      <c r="H1151" s="40">
        <f t="shared" si="1"/>
        <v>2.208474216</v>
      </c>
      <c r="I1151" s="41">
        <v>0.473684211</v>
      </c>
      <c r="J1151" s="41">
        <v>0.178947368</v>
      </c>
      <c r="K1151" s="41">
        <v>0.347368421</v>
      </c>
      <c r="L1151" s="41">
        <f t="shared" si="2"/>
        <v>0.12631579</v>
      </c>
      <c r="M1151" s="74">
        <v>1.534975491</v>
      </c>
    </row>
    <row r="1152">
      <c r="A1152" s="1" t="s">
        <v>356</v>
      </c>
      <c r="B1152" s="38">
        <v>680732.0</v>
      </c>
      <c r="C1152" s="72">
        <v>45778.0</v>
      </c>
      <c r="D1152" s="38">
        <v>91.0</v>
      </c>
      <c r="E1152" s="73">
        <f>IFERROR(__xludf.DUMMYFUNCTION("average(filter('Appearance Sheet'!F:F,'Appearance Sheet'!G:G=B1152,'Appearance Sheet'!A:A=C1152))"),6.0)</f>
        <v>6</v>
      </c>
      <c r="F1152" s="67">
        <v>5.256357142</v>
      </c>
      <c r="G1152" s="40">
        <v>1.600147281</v>
      </c>
      <c r="H1152" s="40">
        <f t="shared" si="1"/>
        <v>2.400220922</v>
      </c>
      <c r="I1152" s="41">
        <v>0.527472527</v>
      </c>
      <c r="J1152" s="41">
        <v>0.208791209</v>
      </c>
      <c r="K1152" s="41">
        <v>0.263736264</v>
      </c>
      <c r="L1152" s="41">
        <f t="shared" si="2"/>
        <v>0.263736263</v>
      </c>
      <c r="M1152" s="74">
        <v>3.112447837</v>
      </c>
    </row>
    <row r="1153">
      <c r="A1153" s="1" t="s">
        <v>155</v>
      </c>
      <c r="B1153" s="38">
        <v>592332.0</v>
      </c>
      <c r="C1153" s="72">
        <v>45905.0</v>
      </c>
      <c r="D1153" s="38">
        <v>105.0</v>
      </c>
      <c r="E1153" s="73" t="str">
        <f>IFERROR(__xludf.DUMMYFUNCTION("average(filter('Appearance Sheet'!F:F,'Appearance Sheet'!G:G=B1153,'Appearance Sheet'!A:A=C1153))"),"#N/A")</f>
        <v>#N/A</v>
      </c>
      <c r="F1153" s="67">
        <v>5.255926968</v>
      </c>
      <c r="G1153" s="40">
        <v>1.90104339</v>
      </c>
      <c r="H1153" s="40" t="str">
        <f t="shared" si="1"/>
        <v>#N/A</v>
      </c>
      <c r="I1153" s="41">
        <v>0.580952381</v>
      </c>
      <c r="J1153" s="41">
        <v>0.104761905</v>
      </c>
      <c r="K1153" s="41">
        <v>0.314285714</v>
      </c>
      <c r="L1153" s="41">
        <f t="shared" si="2"/>
        <v>0.266666667</v>
      </c>
      <c r="M1153" s="74">
        <v>1.634551699</v>
      </c>
    </row>
    <row r="1154">
      <c r="A1154" s="1" t="s">
        <v>290</v>
      </c>
      <c r="B1154" s="38">
        <v>669461.0</v>
      </c>
      <c r="C1154" s="72">
        <v>45748.0</v>
      </c>
      <c r="D1154" s="38">
        <v>75.0</v>
      </c>
      <c r="E1154" s="73">
        <f>IFERROR(__xludf.DUMMYFUNCTION("average(filter('Appearance Sheet'!F:F,'Appearance Sheet'!G:G=B1154,'Appearance Sheet'!A:A=C1154))"),6.0)</f>
        <v>6</v>
      </c>
      <c r="F1154" s="67">
        <v>5.255873402</v>
      </c>
      <c r="G1154" s="40">
        <v>1.3522271</v>
      </c>
      <c r="H1154" s="40">
        <f t="shared" si="1"/>
        <v>2.02834065</v>
      </c>
      <c r="I1154" s="41">
        <v>0.44</v>
      </c>
      <c r="J1154" s="41">
        <v>0.266666667</v>
      </c>
      <c r="K1154" s="41">
        <v>0.293333333</v>
      </c>
      <c r="L1154" s="41">
        <f t="shared" si="2"/>
        <v>0.146666667</v>
      </c>
      <c r="M1154" s="74">
        <v>-1.051889162</v>
      </c>
    </row>
    <row r="1155">
      <c r="A1155" s="1" t="s">
        <v>218</v>
      </c>
      <c r="B1155" s="38">
        <v>669432.0</v>
      </c>
      <c r="C1155" s="72">
        <v>45801.0</v>
      </c>
      <c r="D1155" s="38">
        <v>82.0</v>
      </c>
      <c r="E1155" s="73">
        <f>IFERROR(__xludf.DUMMYFUNCTION("average(filter('Appearance Sheet'!F:F,'Appearance Sheet'!G:G=B1155,'Appearance Sheet'!A:A=C1155))"),6.333333333333333)</f>
        <v>6.333333333</v>
      </c>
      <c r="F1155" s="67">
        <v>5.255563752</v>
      </c>
      <c r="G1155" s="40">
        <v>1.483557626</v>
      </c>
      <c r="H1155" s="40">
        <f t="shared" si="1"/>
        <v>2.108213469</v>
      </c>
      <c r="I1155" s="41">
        <v>0.426829268</v>
      </c>
      <c r="J1155" s="41">
        <v>0.195121951</v>
      </c>
      <c r="K1155" s="41">
        <v>0.37804878</v>
      </c>
      <c r="L1155" s="41">
        <f t="shared" si="2"/>
        <v>0.048780488</v>
      </c>
      <c r="M1155" s="74">
        <v>3.181121505</v>
      </c>
    </row>
    <row r="1156">
      <c r="A1156" s="1" t="s">
        <v>339</v>
      </c>
      <c r="B1156" s="38">
        <v>686613.0</v>
      </c>
      <c r="C1156" s="72">
        <v>45895.0</v>
      </c>
      <c r="D1156" s="38">
        <v>85.0</v>
      </c>
      <c r="E1156" s="73" t="str">
        <f>IFERROR(__xludf.DUMMYFUNCTION("average(filter('Appearance Sheet'!F:F,'Appearance Sheet'!G:G=B1156,'Appearance Sheet'!A:A=C1156))"),"#N/A")</f>
        <v>#N/A</v>
      </c>
      <c r="F1156" s="67">
        <v>5.255560762</v>
      </c>
      <c r="G1156" s="40">
        <v>1.547440768</v>
      </c>
      <c r="H1156" s="40" t="str">
        <f t="shared" si="1"/>
        <v>#N/A</v>
      </c>
      <c r="I1156" s="41">
        <v>0.482352941</v>
      </c>
      <c r="J1156" s="41">
        <v>0.2</v>
      </c>
      <c r="K1156" s="41">
        <v>0.317647059</v>
      </c>
      <c r="L1156" s="41">
        <f t="shared" si="2"/>
        <v>0.164705882</v>
      </c>
      <c r="M1156" s="74">
        <v>-0.769655844</v>
      </c>
    </row>
    <row r="1157">
      <c r="A1157" s="1" t="s">
        <v>229</v>
      </c>
      <c r="B1157" s="38">
        <v>645261.0</v>
      </c>
      <c r="C1157" s="72">
        <v>45811.0</v>
      </c>
      <c r="D1157" s="38">
        <v>67.0</v>
      </c>
      <c r="E1157" s="73">
        <f>IFERROR(__xludf.DUMMYFUNCTION("average(filter('Appearance Sheet'!F:F,'Appearance Sheet'!G:G=B1157,'Appearance Sheet'!A:A=C1157))"),6.0)</f>
        <v>6</v>
      </c>
      <c r="F1157" s="67">
        <v>5.255325475</v>
      </c>
      <c r="G1157" s="40">
        <v>1.245694642</v>
      </c>
      <c r="H1157" s="40">
        <f t="shared" si="1"/>
        <v>1.868541963</v>
      </c>
      <c r="I1157" s="41">
        <v>0.507462687</v>
      </c>
      <c r="J1157" s="41">
        <v>0.268656716</v>
      </c>
      <c r="K1157" s="41">
        <v>0.223880597</v>
      </c>
      <c r="L1157" s="41">
        <f t="shared" si="2"/>
        <v>0.28358209</v>
      </c>
      <c r="M1157" s="74">
        <v>0.317213684</v>
      </c>
    </row>
    <row r="1158">
      <c r="A1158" s="1" t="s">
        <v>97</v>
      </c>
      <c r="B1158" s="38">
        <v>656876.0</v>
      </c>
      <c r="C1158" s="72">
        <v>45896.0</v>
      </c>
      <c r="D1158" s="38">
        <v>82.0</v>
      </c>
      <c r="E1158" s="73" t="str">
        <f>IFERROR(__xludf.DUMMYFUNCTION("average(filter('Appearance Sheet'!F:F,'Appearance Sheet'!G:G=B1158,'Appearance Sheet'!A:A=C1158))"),"#N/A")</f>
        <v>#N/A</v>
      </c>
      <c r="F1158" s="67">
        <v>5.255284873</v>
      </c>
      <c r="G1158" s="40">
        <v>1.446786056</v>
      </c>
      <c r="H1158" s="40" t="str">
        <f t="shared" si="1"/>
        <v>#N/A</v>
      </c>
      <c r="I1158" s="41">
        <v>0.463414634</v>
      </c>
      <c r="J1158" s="41">
        <v>0.280487805</v>
      </c>
      <c r="K1158" s="41">
        <v>0.256097561</v>
      </c>
      <c r="L1158" s="41">
        <f t="shared" si="2"/>
        <v>0.207317073</v>
      </c>
      <c r="M1158" s="74">
        <v>0.610688071</v>
      </c>
    </row>
    <row r="1159">
      <c r="A1159" s="1" t="s">
        <v>79</v>
      </c>
      <c r="B1159" s="38">
        <v>554430.0</v>
      </c>
      <c r="C1159" s="72">
        <v>45788.0</v>
      </c>
      <c r="D1159" s="38">
        <v>88.0</v>
      </c>
      <c r="E1159" s="73">
        <f>IFERROR(__xludf.DUMMYFUNCTION("average(filter('Appearance Sheet'!F:F,'Appearance Sheet'!G:G=B1159,'Appearance Sheet'!A:A=C1159))"),7.0)</f>
        <v>7</v>
      </c>
      <c r="F1159" s="67">
        <v>5.255187672</v>
      </c>
      <c r="G1159" s="40">
        <v>1.577915154</v>
      </c>
      <c r="H1159" s="40">
        <f t="shared" si="1"/>
        <v>2.028748055</v>
      </c>
      <c r="I1159" s="41">
        <v>0.477272727</v>
      </c>
      <c r="J1159" s="41">
        <v>0.159090909</v>
      </c>
      <c r="K1159" s="41">
        <v>0.363636364</v>
      </c>
      <c r="L1159" s="41">
        <f t="shared" si="2"/>
        <v>0.113636363</v>
      </c>
      <c r="M1159" s="74">
        <v>2.066619431</v>
      </c>
    </row>
    <row r="1160">
      <c r="A1160" s="1" t="s">
        <v>158</v>
      </c>
      <c r="B1160" s="38">
        <v>608372.0</v>
      </c>
      <c r="C1160" s="72">
        <v>45816.0</v>
      </c>
      <c r="D1160" s="38">
        <v>84.0</v>
      </c>
      <c r="E1160" s="73">
        <f>IFERROR(__xludf.DUMMYFUNCTION("average(filter('Appearance Sheet'!F:F,'Appearance Sheet'!G:G=B1160,'Appearance Sheet'!A:A=C1160))"),4.333333333333333)</f>
        <v>4.333333333</v>
      </c>
      <c r="F1160" s="67">
        <v>5.255092482</v>
      </c>
      <c r="G1160" s="40">
        <v>1.484127867</v>
      </c>
      <c r="H1160" s="40">
        <f t="shared" si="1"/>
        <v>3.082419416</v>
      </c>
      <c r="I1160" s="41">
        <v>0.547619048</v>
      </c>
      <c r="J1160" s="41">
        <v>0.178571429</v>
      </c>
      <c r="K1160" s="41">
        <v>0.273809524</v>
      </c>
      <c r="L1160" s="41">
        <f t="shared" si="2"/>
        <v>0.273809524</v>
      </c>
      <c r="M1160" s="74">
        <v>-2.443497314</v>
      </c>
    </row>
    <row r="1161">
      <c r="A1161" s="1" t="s">
        <v>220</v>
      </c>
      <c r="B1161" s="38">
        <v>663559.0</v>
      </c>
      <c r="C1161" s="72">
        <v>45814.0</v>
      </c>
      <c r="D1161" s="38">
        <v>64.0</v>
      </c>
      <c r="E1161" s="73">
        <f>IFERROR(__xludf.DUMMYFUNCTION("average(filter('Appearance Sheet'!F:F,'Appearance Sheet'!G:G=B1161,'Appearance Sheet'!A:A=C1161))"),3.6666666666666665)</f>
        <v>3.666666667</v>
      </c>
      <c r="F1161" s="67">
        <v>5.254952632</v>
      </c>
      <c r="G1161" s="40">
        <v>1.143650686</v>
      </c>
      <c r="H1161" s="40">
        <f t="shared" si="1"/>
        <v>2.807142593</v>
      </c>
      <c r="I1161" s="41">
        <v>0.53125</v>
      </c>
      <c r="J1161" s="41">
        <v>0.171875</v>
      </c>
      <c r="K1161" s="41">
        <v>0.296875</v>
      </c>
      <c r="L1161" s="41">
        <f t="shared" si="2"/>
        <v>0.234375</v>
      </c>
      <c r="M1161" s="74">
        <v>-1.419312956</v>
      </c>
    </row>
    <row r="1162">
      <c r="A1162" s="1" t="s">
        <v>105</v>
      </c>
      <c r="B1162" s="38">
        <v>624133.0</v>
      </c>
      <c r="C1162" s="72">
        <v>45870.0</v>
      </c>
      <c r="D1162" s="38">
        <v>90.0</v>
      </c>
      <c r="E1162" s="73" t="str">
        <f>IFERROR(__xludf.DUMMYFUNCTION("average(filter('Appearance Sheet'!F:F,'Appearance Sheet'!G:G=B1162,'Appearance Sheet'!A:A=C1162))"),"#N/A")</f>
        <v>#N/A</v>
      </c>
      <c r="F1162" s="67">
        <v>5.254557917</v>
      </c>
      <c r="G1162" s="40">
        <v>1.636891044</v>
      </c>
      <c r="H1162" s="40" t="str">
        <f t="shared" si="1"/>
        <v>#N/A</v>
      </c>
      <c r="I1162" s="41">
        <v>0.522222222</v>
      </c>
      <c r="J1162" s="41">
        <v>0.166666667</v>
      </c>
      <c r="K1162" s="41">
        <v>0.311111111</v>
      </c>
      <c r="L1162" s="41">
        <f t="shared" si="2"/>
        <v>0.211111111</v>
      </c>
      <c r="M1162" s="74">
        <v>2.480983714</v>
      </c>
    </row>
    <row r="1163">
      <c r="A1163" s="1" t="s">
        <v>239</v>
      </c>
      <c r="B1163" s="38">
        <v>806960.0</v>
      </c>
      <c r="C1163" s="72">
        <v>45901.0</v>
      </c>
      <c r="D1163" s="38">
        <v>89.0</v>
      </c>
      <c r="E1163" s="73" t="str">
        <f>IFERROR(__xludf.DUMMYFUNCTION("average(filter('Appearance Sheet'!F:F,'Appearance Sheet'!G:G=B1163,'Appearance Sheet'!A:A=C1163))"),"#N/A")</f>
        <v>#N/A</v>
      </c>
      <c r="F1163" s="67">
        <v>5.254245247</v>
      </c>
      <c r="G1163" s="40">
        <v>1.616768275</v>
      </c>
      <c r="H1163" s="40" t="str">
        <f t="shared" si="1"/>
        <v>#N/A</v>
      </c>
      <c r="I1163" s="41">
        <v>0.539325843</v>
      </c>
      <c r="J1163" s="41">
        <v>0.157303371</v>
      </c>
      <c r="K1163" s="41">
        <v>0.303370787</v>
      </c>
      <c r="L1163" s="41">
        <f t="shared" si="2"/>
        <v>0.235955056</v>
      </c>
      <c r="M1163" s="74">
        <v>-0.500308106</v>
      </c>
    </row>
    <row r="1164">
      <c r="A1164" s="1" t="s">
        <v>398</v>
      </c>
      <c r="B1164" s="38">
        <v>676282.0</v>
      </c>
      <c r="C1164" s="72">
        <v>45872.0</v>
      </c>
      <c r="D1164" s="38">
        <v>90.0</v>
      </c>
      <c r="E1164" s="73" t="str">
        <f>IFERROR(__xludf.DUMMYFUNCTION("average(filter('Appearance Sheet'!F:F,'Appearance Sheet'!G:G=B1164,'Appearance Sheet'!A:A=C1164))"),"#N/A")</f>
        <v>#N/A</v>
      </c>
      <c r="F1164" s="67">
        <v>5.253767297</v>
      </c>
      <c r="G1164" s="40">
        <v>1.636952709</v>
      </c>
      <c r="H1164" s="40" t="str">
        <f t="shared" si="1"/>
        <v>#N/A</v>
      </c>
      <c r="I1164" s="41">
        <v>0.533333333</v>
      </c>
      <c r="J1164" s="41">
        <v>0.1</v>
      </c>
      <c r="K1164" s="41">
        <v>0.366666667</v>
      </c>
      <c r="L1164" s="41">
        <f t="shared" si="2"/>
        <v>0.166666666</v>
      </c>
      <c r="M1164" s="74">
        <v>-0.723471676</v>
      </c>
    </row>
    <row r="1165">
      <c r="A1165" s="1" t="s">
        <v>169</v>
      </c>
      <c r="B1165" s="38">
        <v>671096.0</v>
      </c>
      <c r="C1165" s="72">
        <v>45921.0</v>
      </c>
      <c r="D1165" s="38">
        <v>86.0</v>
      </c>
      <c r="E1165" s="73" t="str">
        <f>IFERROR(__xludf.DUMMYFUNCTION("average(filter('Appearance Sheet'!F:F,'Appearance Sheet'!G:G=B1165,'Appearance Sheet'!A:A=C1165))"),"#N/A")</f>
        <v>#N/A</v>
      </c>
      <c r="F1165" s="67">
        <v>5.253607979</v>
      </c>
      <c r="G1165" s="40">
        <v>1.574554278</v>
      </c>
      <c r="H1165" s="40" t="str">
        <f t="shared" si="1"/>
        <v>#N/A</v>
      </c>
      <c r="I1165" s="41">
        <v>0.476744186</v>
      </c>
      <c r="J1165" s="41">
        <v>0.162790698</v>
      </c>
      <c r="K1165" s="41">
        <v>0.360465116</v>
      </c>
      <c r="L1165" s="41">
        <f t="shared" si="2"/>
        <v>0.11627907</v>
      </c>
      <c r="M1165" s="74">
        <v>-0.459708105</v>
      </c>
    </row>
    <row r="1166">
      <c r="A1166" s="1" t="s">
        <v>251</v>
      </c>
      <c r="B1166" s="38">
        <v>676664.0</v>
      </c>
      <c r="C1166" s="72">
        <v>45764.0</v>
      </c>
      <c r="D1166" s="38">
        <v>99.0</v>
      </c>
      <c r="E1166" s="73">
        <f>IFERROR(__xludf.DUMMYFUNCTION("average(filter('Appearance Sheet'!F:F,'Appearance Sheet'!G:G=B1166,'Appearance Sheet'!A:A=C1166))"),6.0)</f>
        <v>6</v>
      </c>
      <c r="F1166" s="67">
        <v>5.253564352</v>
      </c>
      <c r="G1166" s="40">
        <v>1.780732902</v>
      </c>
      <c r="H1166" s="40">
        <f t="shared" si="1"/>
        <v>2.671099353</v>
      </c>
      <c r="I1166" s="41">
        <v>0.464646465</v>
      </c>
      <c r="J1166" s="41">
        <v>0.292929293</v>
      </c>
      <c r="K1166" s="41">
        <v>0.242424242</v>
      </c>
      <c r="L1166" s="41">
        <f t="shared" si="2"/>
        <v>0.222222223</v>
      </c>
      <c r="M1166" s="74">
        <v>2.349035047</v>
      </c>
    </row>
    <row r="1167">
      <c r="A1167" s="1" t="s">
        <v>300</v>
      </c>
      <c r="B1167" s="38">
        <v>506433.0</v>
      </c>
      <c r="C1167" s="72">
        <v>45857.0</v>
      </c>
      <c r="D1167" s="38">
        <v>67.0</v>
      </c>
      <c r="E1167" s="73" t="str">
        <f>IFERROR(__xludf.DUMMYFUNCTION("average(filter('Appearance Sheet'!F:F,'Appearance Sheet'!G:G=B1167,'Appearance Sheet'!A:A=C1167))"),"#N/A")</f>
        <v>#N/A</v>
      </c>
      <c r="F1167" s="67">
        <v>5.253554989</v>
      </c>
      <c r="G1167" s="40">
        <v>1.23533877</v>
      </c>
      <c r="H1167" s="40" t="str">
        <f t="shared" si="1"/>
        <v>#N/A</v>
      </c>
      <c r="I1167" s="41">
        <v>0.552238806</v>
      </c>
      <c r="J1167" s="41">
        <v>0.119402985</v>
      </c>
      <c r="K1167" s="41">
        <v>0.328358209</v>
      </c>
      <c r="L1167" s="41">
        <f t="shared" si="2"/>
        <v>0.223880597</v>
      </c>
      <c r="M1167" s="74">
        <v>-0.732175256</v>
      </c>
    </row>
    <row r="1168">
      <c r="A1168" s="1" t="s">
        <v>152</v>
      </c>
      <c r="B1168" s="38">
        <v>690916.0</v>
      </c>
      <c r="C1168" s="72">
        <v>45759.0</v>
      </c>
      <c r="D1168" s="38">
        <v>75.0</v>
      </c>
      <c r="E1168" s="73">
        <f>IFERROR(__xludf.DUMMYFUNCTION("average(filter('Appearance Sheet'!F:F,'Appearance Sheet'!G:G=B1168,'Appearance Sheet'!A:A=C1168))"),5.0)</f>
        <v>5</v>
      </c>
      <c r="F1168" s="67">
        <v>5.253429833</v>
      </c>
      <c r="G1168" s="40">
        <v>1.36078616</v>
      </c>
      <c r="H1168" s="40">
        <f t="shared" si="1"/>
        <v>2.449415088</v>
      </c>
      <c r="I1168" s="41">
        <v>0.453333333</v>
      </c>
      <c r="J1168" s="41">
        <v>0.24</v>
      </c>
      <c r="K1168" s="41">
        <v>0.306666667</v>
      </c>
      <c r="L1168" s="41">
        <f t="shared" si="2"/>
        <v>0.146666666</v>
      </c>
      <c r="M1168" s="74">
        <v>2.355638028</v>
      </c>
    </row>
    <row r="1169">
      <c r="A1169" s="1" t="s">
        <v>119</v>
      </c>
      <c r="B1169" s="38">
        <v>669456.0</v>
      </c>
      <c r="C1169" s="72">
        <v>45903.0</v>
      </c>
      <c r="D1169" s="38">
        <v>95.0</v>
      </c>
      <c r="E1169" s="73" t="str">
        <f>IFERROR(__xludf.DUMMYFUNCTION("average(filter('Appearance Sheet'!F:F,'Appearance Sheet'!G:G=B1169,'Appearance Sheet'!A:A=C1169))"),"#N/A")</f>
        <v>#N/A</v>
      </c>
      <c r="F1169" s="67">
        <v>5.25299803</v>
      </c>
      <c r="G1169" s="40">
        <v>1.672680218</v>
      </c>
      <c r="H1169" s="40" t="str">
        <f t="shared" si="1"/>
        <v>#N/A</v>
      </c>
      <c r="I1169" s="41">
        <v>0.547368421</v>
      </c>
      <c r="J1169" s="41">
        <v>0.094736842</v>
      </c>
      <c r="K1169" s="41">
        <v>0.357894737</v>
      </c>
      <c r="L1169" s="41">
        <f t="shared" si="2"/>
        <v>0.189473684</v>
      </c>
      <c r="M1169" s="74">
        <v>-0.152004728</v>
      </c>
    </row>
    <row r="1170">
      <c r="A1170" s="1" t="s">
        <v>73</v>
      </c>
      <c r="B1170" s="38">
        <v>668881.0</v>
      </c>
      <c r="C1170" s="72">
        <v>45811.0</v>
      </c>
      <c r="D1170" s="38">
        <v>80.0</v>
      </c>
      <c r="E1170" s="73">
        <f>IFERROR(__xludf.DUMMYFUNCTION("average(filter('Appearance Sheet'!F:F,'Appearance Sheet'!G:G=B1170,'Appearance Sheet'!A:A=C1170))"),5.0)</f>
        <v>5</v>
      </c>
      <c r="F1170" s="67">
        <v>5.252470995</v>
      </c>
      <c r="G1170" s="40">
        <v>1.453145057</v>
      </c>
      <c r="H1170" s="40">
        <f t="shared" si="1"/>
        <v>2.615661103</v>
      </c>
      <c r="I1170" s="41">
        <v>0.525</v>
      </c>
      <c r="J1170" s="41">
        <v>0.225</v>
      </c>
      <c r="K1170" s="41">
        <v>0.25</v>
      </c>
      <c r="L1170" s="41">
        <f t="shared" si="2"/>
        <v>0.275</v>
      </c>
      <c r="M1170" s="74">
        <v>-1.06750846</v>
      </c>
    </row>
    <row r="1171">
      <c r="A1171" s="1" t="s">
        <v>282</v>
      </c>
      <c r="B1171" s="38">
        <v>656302.0</v>
      </c>
      <c r="C1171" s="72">
        <v>45924.0</v>
      </c>
      <c r="D1171" s="38">
        <v>99.0</v>
      </c>
      <c r="E1171" s="73" t="str">
        <f>IFERROR(__xludf.DUMMYFUNCTION("average(filter('Appearance Sheet'!F:F,'Appearance Sheet'!G:G=B1171,'Appearance Sheet'!A:A=C1171))"),"#N/A")</f>
        <v>#N/A</v>
      </c>
      <c r="F1171" s="67">
        <v>5.252366301</v>
      </c>
      <c r="G1171" s="40">
        <v>1.755722149</v>
      </c>
      <c r="H1171" s="40" t="str">
        <f t="shared" si="1"/>
        <v>#N/A</v>
      </c>
      <c r="I1171" s="41">
        <v>0.525252525</v>
      </c>
      <c r="J1171" s="41">
        <v>0.121212121</v>
      </c>
      <c r="K1171" s="41">
        <v>0.353535354</v>
      </c>
      <c r="L1171" s="41">
        <f t="shared" si="2"/>
        <v>0.171717171</v>
      </c>
      <c r="M1171" s="74">
        <v>-1.469729076</v>
      </c>
    </row>
    <row r="1172">
      <c r="A1172" s="1" t="s">
        <v>374</v>
      </c>
      <c r="B1172" s="38">
        <v>683004.0</v>
      </c>
      <c r="C1172" s="72">
        <v>45920.0</v>
      </c>
      <c r="D1172" s="38">
        <v>92.0</v>
      </c>
      <c r="E1172" s="73" t="str">
        <f>IFERROR(__xludf.DUMMYFUNCTION("average(filter('Appearance Sheet'!F:F,'Appearance Sheet'!G:G=B1172,'Appearance Sheet'!A:A=C1172))"),"#N/A")</f>
        <v>#N/A</v>
      </c>
      <c r="F1172" s="67">
        <v>5.25234586</v>
      </c>
      <c r="G1172" s="40">
        <v>1.675601029</v>
      </c>
      <c r="H1172" s="40" t="str">
        <f t="shared" si="1"/>
        <v>#N/A</v>
      </c>
      <c r="I1172" s="41">
        <v>0.52173913</v>
      </c>
      <c r="J1172" s="41">
        <v>0.184782609</v>
      </c>
      <c r="K1172" s="41">
        <v>0.293478261</v>
      </c>
      <c r="L1172" s="41">
        <f t="shared" si="2"/>
        <v>0.228260869</v>
      </c>
      <c r="M1172" s="74">
        <v>-2.275705855</v>
      </c>
    </row>
    <row r="1173">
      <c r="A1173" s="1" t="s">
        <v>73</v>
      </c>
      <c r="B1173" s="38">
        <v>668881.0</v>
      </c>
      <c r="C1173" s="72">
        <v>45743.0</v>
      </c>
      <c r="D1173" s="38">
        <v>82.0</v>
      </c>
      <c r="E1173" s="73">
        <f>IFERROR(__xludf.DUMMYFUNCTION("average(filter('Appearance Sheet'!F:F,'Appearance Sheet'!G:G=B1173,'Appearance Sheet'!A:A=C1173))"),5.0)</f>
        <v>5</v>
      </c>
      <c r="F1173" s="67">
        <v>5.252108066</v>
      </c>
      <c r="G1173" s="40">
        <v>1.457355125</v>
      </c>
      <c r="H1173" s="40">
        <f t="shared" si="1"/>
        <v>2.623239225</v>
      </c>
      <c r="I1173" s="41">
        <v>0.585365854</v>
      </c>
      <c r="J1173" s="41">
        <v>0.134146341</v>
      </c>
      <c r="K1173" s="41">
        <v>0.280487805</v>
      </c>
      <c r="L1173" s="41">
        <f t="shared" si="2"/>
        <v>0.304878049</v>
      </c>
      <c r="M1173" s="74">
        <v>1.291812188</v>
      </c>
    </row>
    <row r="1174">
      <c r="A1174" s="1" t="s">
        <v>269</v>
      </c>
      <c r="B1174" s="38">
        <v>605280.0</v>
      </c>
      <c r="C1174" s="72">
        <v>45761.0</v>
      </c>
      <c r="D1174" s="38">
        <v>84.0</v>
      </c>
      <c r="E1174" s="73">
        <f>IFERROR(__xludf.DUMMYFUNCTION("average(filter('Appearance Sheet'!F:F,'Appearance Sheet'!G:G=B1174,'Appearance Sheet'!A:A=C1174))"),5.0)</f>
        <v>5</v>
      </c>
      <c r="F1174" s="67">
        <v>5.252068242</v>
      </c>
      <c r="G1174" s="40">
        <v>1.512170538</v>
      </c>
      <c r="H1174" s="40">
        <f t="shared" si="1"/>
        <v>2.721906968</v>
      </c>
      <c r="I1174" s="41">
        <v>0.511904762</v>
      </c>
      <c r="J1174" s="41">
        <v>0.202380952</v>
      </c>
      <c r="K1174" s="41">
        <v>0.285714286</v>
      </c>
      <c r="L1174" s="41">
        <f t="shared" si="2"/>
        <v>0.226190476</v>
      </c>
      <c r="M1174" s="74">
        <v>3.237425808</v>
      </c>
    </row>
    <row r="1175">
      <c r="A1175" s="1" t="s">
        <v>120</v>
      </c>
      <c r="B1175" s="38">
        <v>800048.0</v>
      </c>
      <c r="C1175" s="72">
        <v>45901.0</v>
      </c>
      <c r="D1175" s="38">
        <v>79.0</v>
      </c>
      <c r="E1175" s="73" t="str">
        <f>IFERROR(__xludf.DUMMYFUNCTION("average(filter('Appearance Sheet'!F:F,'Appearance Sheet'!G:G=B1175,'Appearance Sheet'!A:A=C1175))"),"#N/A")</f>
        <v>#N/A</v>
      </c>
      <c r="F1175" s="67">
        <v>5.251955131</v>
      </c>
      <c r="G1175" s="40">
        <v>1.423715171</v>
      </c>
      <c r="H1175" s="40" t="str">
        <f t="shared" si="1"/>
        <v>#N/A</v>
      </c>
      <c r="I1175" s="41">
        <v>0.53164557</v>
      </c>
      <c r="J1175" s="41">
        <v>0.126582278</v>
      </c>
      <c r="K1175" s="41">
        <v>0.341772152</v>
      </c>
      <c r="L1175" s="41">
        <f t="shared" si="2"/>
        <v>0.189873418</v>
      </c>
      <c r="M1175" s="74">
        <v>-4.044079798</v>
      </c>
    </row>
    <row r="1176">
      <c r="A1176" s="1" t="s">
        <v>480</v>
      </c>
      <c r="B1176" s="38">
        <v>647336.0</v>
      </c>
      <c r="C1176" s="72">
        <v>45747.0</v>
      </c>
      <c r="D1176" s="38">
        <v>79.0</v>
      </c>
      <c r="E1176" s="73">
        <f>IFERROR(__xludf.DUMMYFUNCTION("average(filter('Appearance Sheet'!F:F,'Appearance Sheet'!G:G=B1176,'Appearance Sheet'!A:A=C1176))"),5.0)</f>
        <v>5</v>
      </c>
      <c r="F1176" s="67">
        <v>5.251884038</v>
      </c>
      <c r="G1176" s="40">
        <v>1.445564164</v>
      </c>
      <c r="H1176" s="40">
        <f t="shared" si="1"/>
        <v>2.602015495</v>
      </c>
      <c r="I1176" s="41">
        <v>0.556962025</v>
      </c>
      <c r="J1176" s="41">
        <v>0.151898734</v>
      </c>
      <c r="K1176" s="41">
        <v>0.291139241</v>
      </c>
      <c r="L1176" s="41">
        <f t="shared" si="2"/>
        <v>0.265822784</v>
      </c>
      <c r="M1176" s="74">
        <v>0.405068548</v>
      </c>
    </row>
    <row r="1177">
      <c r="A1177" s="1" t="s">
        <v>99</v>
      </c>
      <c r="B1177" s="38">
        <v>592791.0</v>
      </c>
      <c r="C1177" s="72">
        <v>45749.0</v>
      </c>
      <c r="D1177" s="38">
        <v>91.0</v>
      </c>
      <c r="E1177" s="73">
        <f>IFERROR(__xludf.DUMMYFUNCTION("average(filter('Appearance Sheet'!F:F,'Appearance Sheet'!G:G=B1177,'Appearance Sheet'!A:A=C1177))"),6.0)</f>
        <v>6</v>
      </c>
      <c r="F1177" s="67">
        <v>5.251504328</v>
      </c>
      <c r="G1177" s="40">
        <v>1.644032162</v>
      </c>
      <c r="H1177" s="40">
        <f t="shared" si="1"/>
        <v>2.466048243</v>
      </c>
      <c r="I1177" s="41">
        <v>0.450549451</v>
      </c>
      <c r="J1177" s="41">
        <v>0.241758242</v>
      </c>
      <c r="K1177" s="41">
        <v>0.307692308</v>
      </c>
      <c r="L1177" s="41">
        <f t="shared" si="2"/>
        <v>0.142857143</v>
      </c>
      <c r="M1177" s="74">
        <v>0.801643496</v>
      </c>
    </row>
    <row r="1178">
      <c r="A1178" s="1" t="s">
        <v>232</v>
      </c>
      <c r="B1178" s="38">
        <v>579328.0</v>
      </c>
      <c r="C1178" s="72">
        <v>45840.0</v>
      </c>
      <c r="D1178" s="38">
        <v>99.0</v>
      </c>
      <c r="E1178" s="73">
        <f>IFERROR(__xludf.DUMMYFUNCTION("average(filter('Appearance Sheet'!F:F,'Appearance Sheet'!G:G=B1178,'Appearance Sheet'!A:A=C1178))"),5.666666666666667)</f>
        <v>5.666666667</v>
      </c>
      <c r="F1178" s="67">
        <v>5.251440408</v>
      </c>
      <c r="G1178" s="40">
        <v>1.793860224</v>
      </c>
      <c r="H1178" s="40">
        <f t="shared" si="1"/>
        <v>2.84907212</v>
      </c>
      <c r="I1178" s="41">
        <v>0.494949495</v>
      </c>
      <c r="J1178" s="41">
        <v>0.181818182</v>
      </c>
      <c r="K1178" s="41">
        <v>0.323232323</v>
      </c>
      <c r="L1178" s="41">
        <f t="shared" si="2"/>
        <v>0.171717172</v>
      </c>
      <c r="M1178" s="74">
        <v>0.714244382</v>
      </c>
    </row>
    <row r="1179">
      <c r="A1179" s="1" t="s">
        <v>98</v>
      </c>
      <c r="B1179" s="38">
        <v>605400.0</v>
      </c>
      <c r="C1179" s="72">
        <v>45758.0</v>
      </c>
      <c r="D1179" s="38">
        <v>90.0</v>
      </c>
      <c r="E1179" s="73">
        <f>IFERROR(__xludf.DUMMYFUNCTION("average(filter('Appearance Sheet'!F:F,'Appearance Sheet'!G:G=B1179,'Appearance Sheet'!A:A=C1179))"),5.0)</f>
        <v>5</v>
      </c>
      <c r="F1179" s="67">
        <v>5.251177205</v>
      </c>
      <c r="G1179" s="40">
        <v>1.606003526</v>
      </c>
      <c r="H1179" s="40">
        <f t="shared" si="1"/>
        <v>2.890806347</v>
      </c>
      <c r="I1179" s="41">
        <v>0.455555556</v>
      </c>
      <c r="J1179" s="41">
        <v>0.222222222</v>
      </c>
      <c r="K1179" s="41">
        <v>0.322222222</v>
      </c>
      <c r="L1179" s="41">
        <f t="shared" si="2"/>
        <v>0.133333334</v>
      </c>
      <c r="M1179" s="74">
        <v>-0.263130158</v>
      </c>
    </row>
    <row r="1180">
      <c r="A1180" s="1" t="s">
        <v>143</v>
      </c>
      <c r="B1180" s="38">
        <v>690928.0</v>
      </c>
      <c r="C1180" s="72">
        <v>45796.0</v>
      </c>
      <c r="D1180" s="38">
        <v>63.0</v>
      </c>
      <c r="E1180" s="73">
        <f>IFERROR(__xludf.DUMMYFUNCTION("average(filter('Appearance Sheet'!F:F,'Appearance Sheet'!G:G=B1180,'Appearance Sheet'!A:A=C1180))"),4.666666666666667)</f>
        <v>4.666666667</v>
      </c>
      <c r="F1180" s="67">
        <v>5.251076279</v>
      </c>
      <c r="G1180" s="40">
        <v>1.150311694</v>
      </c>
      <c r="H1180" s="40">
        <f t="shared" si="1"/>
        <v>2.218458267</v>
      </c>
      <c r="I1180" s="41">
        <v>0.492063492</v>
      </c>
      <c r="J1180" s="41">
        <v>0.158730159</v>
      </c>
      <c r="K1180" s="41">
        <v>0.349206349</v>
      </c>
      <c r="L1180" s="41">
        <f t="shared" si="2"/>
        <v>0.142857143</v>
      </c>
      <c r="M1180" s="74">
        <v>-1.626705111</v>
      </c>
    </row>
    <row r="1181">
      <c r="A1181" s="1" t="s">
        <v>130</v>
      </c>
      <c r="B1181" s="38">
        <v>666200.0</v>
      </c>
      <c r="C1181" s="72">
        <v>45825.0</v>
      </c>
      <c r="D1181" s="38">
        <v>100.0</v>
      </c>
      <c r="E1181" s="73">
        <f>IFERROR(__xludf.DUMMYFUNCTION("average(filter('Appearance Sheet'!F:F,'Appearance Sheet'!G:G=B1181,'Appearance Sheet'!A:A=C1181))"),5.0)</f>
        <v>5</v>
      </c>
      <c r="F1181" s="67">
        <v>5.251067558</v>
      </c>
      <c r="G1181" s="40">
        <v>1.761362971</v>
      </c>
      <c r="H1181" s="40">
        <f t="shared" si="1"/>
        <v>3.170453348</v>
      </c>
      <c r="I1181" s="41">
        <v>0.51</v>
      </c>
      <c r="J1181" s="41">
        <v>0.21</v>
      </c>
      <c r="K1181" s="41">
        <v>0.28</v>
      </c>
      <c r="L1181" s="41">
        <f t="shared" si="2"/>
        <v>0.23</v>
      </c>
      <c r="M1181" s="74">
        <v>-0.102261548</v>
      </c>
    </row>
    <row r="1182">
      <c r="A1182" s="1" t="s">
        <v>150</v>
      </c>
      <c r="B1182" s="38">
        <v>657746.0</v>
      </c>
      <c r="C1182" s="72">
        <v>45750.0</v>
      </c>
      <c r="D1182" s="38">
        <v>79.0</v>
      </c>
      <c r="E1182" s="73">
        <f>IFERROR(__xludf.DUMMYFUNCTION("average(filter('Appearance Sheet'!F:F,'Appearance Sheet'!G:G=B1182,'Appearance Sheet'!A:A=C1182))"),5.0)</f>
        <v>5</v>
      </c>
      <c r="F1182" s="67">
        <v>5.250940716</v>
      </c>
      <c r="G1182" s="40">
        <v>1.445399356</v>
      </c>
      <c r="H1182" s="40">
        <f t="shared" si="1"/>
        <v>2.601718841</v>
      </c>
      <c r="I1182" s="41">
        <v>0.544303797</v>
      </c>
      <c r="J1182" s="41">
        <v>0.075949367</v>
      </c>
      <c r="K1182" s="41">
        <v>0.379746835</v>
      </c>
      <c r="L1182" s="41">
        <f t="shared" si="2"/>
        <v>0.164556962</v>
      </c>
      <c r="M1182" s="74">
        <v>-1.902178528</v>
      </c>
    </row>
    <row r="1183">
      <c r="A1183" s="1" t="s">
        <v>354</v>
      </c>
      <c r="B1183" s="38">
        <v>669022.0</v>
      </c>
      <c r="C1183" s="72">
        <v>45766.0</v>
      </c>
      <c r="D1183" s="38">
        <v>103.0</v>
      </c>
      <c r="E1183" s="73">
        <f>IFERROR(__xludf.DUMMYFUNCTION("average(filter('Appearance Sheet'!F:F,'Appearance Sheet'!G:G=B1183,'Appearance Sheet'!A:A=C1183))"),6.0)</f>
        <v>6</v>
      </c>
      <c r="F1183" s="67">
        <v>5.250514106</v>
      </c>
      <c r="G1183" s="40">
        <v>1.843299328</v>
      </c>
      <c r="H1183" s="40">
        <f t="shared" si="1"/>
        <v>2.764948992</v>
      </c>
      <c r="I1183" s="41">
        <v>0.485436893</v>
      </c>
      <c r="J1183" s="41">
        <v>0.184466019</v>
      </c>
      <c r="K1183" s="41">
        <v>0.330097087</v>
      </c>
      <c r="L1183" s="41">
        <f t="shared" si="2"/>
        <v>0.155339806</v>
      </c>
      <c r="M1183" s="74">
        <v>0.845723759</v>
      </c>
    </row>
    <row r="1184">
      <c r="A1184" s="1" t="s">
        <v>323</v>
      </c>
      <c r="B1184" s="38">
        <v>691587.0</v>
      </c>
      <c r="C1184" s="72">
        <v>45846.0</v>
      </c>
      <c r="D1184" s="38">
        <v>87.0</v>
      </c>
      <c r="E1184" s="73" t="str">
        <f>IFERROR(__xludf.DUMMYFUNCTION("average(filter('Appearance Sheet'!F:F,'Appearance Sheet'!G:G=B1184,'Appearance Sheet'!A:A=C1184))"),"#N/A")</f>
        <v>#N/A</v>
      </c>
      <c r="F1184" s="67">
        <v>5.250287842</v>
      </c>
      <c r="G1184" s="40">
        <v>1.542828791</v>
      </c>
      <c r="H1184" s="40" t="str">
        <f t="shared" si="1"/>
        <v>#N/A</v>
      </c>
      <c r="I1184" s="41">
        <v>0.540229885</v>
      </c>
      <c r="J1184" s="41">
        <v>0.137931034</v>
      </c>
      <c r="K1184" s="41">
        <v>0.32183908</v>
      </c>
      <c r="L1184" s="41">
        <f t="shared" si="2"/>
        <v>0.218390805</v>
      </c>
      <c r="M1184" s="74">
        <v>2.655940794</v>
      </c>
    </row>
    <row r="1185">
      <c r="A1185" s="1" t="s">
        <v>173</v>
      </c>
      <c r="B1185" s="38">
        <v>641927.0</v>
      </c>
      <c r="C1185" s="72">
        <v>45814.0</v>
      </c>
      <c r="D1185" s="38">
        <v>81.0</v>
      </c>
      <c r="E1185" s="73">
        <f>IFERROR(__xludf.DUMMYFUNCTION("average(filter('Appearance Sheet'!F:F,'Appearance Sheet'!G:G=B1185,'Appearance Sheet'!A:A=C1185))"),7.0)</f>
        <v>7</v>
      </c>
      <c r="F1185" s="67">
        <v>5.250262181</v>
      </c>
      <c r="G1185" s="40">
        <v>1.463814218</v>
      </c>
      <c r="H1185" s="40">
        <f t="shared" si="1"/>
        <v>1.882046852</v>
      </c>
      <c r="I1185" s="41">
        <v>0.50617284</v>
      </c>
      <c r="J1185" s="41">
        <v>0.234567901</v>
      </c>
      <c r="K1185" s="41">
        <v>0.259259259</v>
      </c>
      <c r="L1185" s="41">
        <f t="shared" si="2"/>
        <v>0.246913581</v>
      </c>
      <c r="M1185" s="74">
        <v>-0.340277186</v>
      </c>
    </row>
    <row r="1186">
      <c r="A1186" s="1" t="s">
        <v>109</v>
      </c>
      <c r="B1186" s="38">
        <v>601713.0</v>
      </c>
      <c r="C1186" s="72">
        <v>45840.0</v>
      </c>
      <c r="D1186" s="38">
        <v>88.0</v>
      </c>
      <c r="E1186" s="73">
        <f>IFERROR(__xludf.DUMMYFUNCTION("average(filter('Appearance Sheet'!F:F,'Appearance Sheet'!G:G=B1186,'Appearance Sheet'!A:A=C1186))"),6.0)</f>
        <v>6</v>
      </c>
      <c r="F1186" s="67">
        <v>5.249834988</v>
      </c>
      <c r="G1186" s="40">
        <v>1.575658493</v>
      </c>
      <c r="H1186" s="40">
        <f t="shared" si="1"/>
        <v>2.36348774</v>
      </c>
      <c r="I1186" s="41">
        <v>0.511363636</v>
      </c>
      <c r="J1186" s="41">
        <v>0.181818182</v>
      </c>
      <c r="K1186" s="41">
        <v>0.306818182</v>
      </c>
      <c r="L1186" s="41">
        <f t="shared" si="2"/>
        <v>0.204545454</v>
      </c>
      <c r="M1186" s="74">
        <v>-1.840507145</v>
      </c>
    </row>
    <row r="1187">
      <c r="A1187" s="1" t="s">
        <v>155</v>
      </c>
      <c r="B1187" s="38">
        <v>592332.0</v>
      </c>
      <c r="C1187" s="72">
        <v>45780.0</v>
      </c>
      <c r="D1187" s="38">
        <v>94.0</v>
      </c>
      <c r="E1187" s="73">
        <f>IFERROR(__xludf.DUMMYFUNCTION("average(filter('Appearance Sheet'!F:F,'Appearance Sheet'!G:G=B1187,'Appearance Sheet'!A:A=C1187))"),6.0)</f>
        <v>6</v>
      </c>
      <c r="F1187" s="67">
        <v>5.249770286</v>
      </c>
      <c r="G1187" s="40">
        <v>1.678861103</v>
      </c>
      <c r="H1187" s="40">
        <f t="shared" si="1"/>
        <v>2.518291655</v>
      </c>
      <c r="I1187" s="41">
        <v>0.510638298</v>
      </c>
      <c r="J1187" s="41">
        <v>0.244680851</v>
      </c>
      <c r="K1187" s="41">
        <v>0.244680851</v>
      </c>
      <c r="L1187" s="41">
        <f t="shared" si="2"/>
        <v>0.265957447</v>
      </c>
      <c r="M1187" s="74">
        <v>4.323898804</v>
      </c>
    </row>
    <row r="1188">
      <c r="A1188" s="1" t="s">
        <v>161</v>
      </c>
      <c r="B1188" s="38">
        <v>702070.0</v>
      </c>
      <c r="C1188" s="72">
        <v>45871.0</v>
      </c>
      <c r="D1188" s="38">
        <v>84.0</v>
      </c>
      <c r="E1188" s="73" t="str">
        <f>IFERROR(__xludf.DUMMYFUNCTION("average(filter('Appearance Sheet'!F:F,'Appearance Sheet'!G:G=B1188,'Appearance Sheet'!A:A=C1188))"),"#N/A")</f>
        <v>#N/A</v>
      </c>
      <c r="F1188" s="67">
        <v>5.249727419</v>
      </c>
      <c r="G1188" s="40">
        <v>1.504782256</v>
      </c>
      <c r="H1188" s="40" t="str">
        <f t="shared" si="1"/>
        <v>#N/A</v>
      </c>
      <c r="I1188" s="41">
        <v>0.5</v>
      </c>
      <c r="J1188" s="41">
        <v>0.130952381</v>
      </c>
      <c r="K1188" s="41">
        <v>0.369047619</v>
      </c>
      <c r="L1188" s="41">
        <f t="shared" si="2"/>
        <v>0.130952381</v>
      </c>
      <c r="M1188" s="74">
        <v>0.57594017</v>
      </c>
    </row>
    <row r="1189">
      <c r="A1189" s="1" t="s">
        <v>243</v>
      </c>
      <c r="B1189" s="38">
        <v>680684.0</v>
      </c>
      <c r="C1189" s="72">
        <v>45784.0</v>
      </c>
      <c r="D1189" s="38">
        <v>97.0</v>
      </c>
      <c r="E1189" s="73">
        <f>IFERROR(__xludf.DUMMYFUNCTION("average(filter('Appearance Sheet'!F:F,'Appearance Sheet'!G:G=B1189,'Appearance Sheet'!A:A=C1189))"),5.333333333333333)</f>
        <v>5.333333333</v>
      </c>
      <c r="F1189" s="67">
        <v>5.249596554</v>
      </c>
      <c r="G1189" s="40">
        <v>1.757500618</v>
      </c>
      <c r="H1189" s="40">
        <f t="shared" si="1"/>
        <v>2.965782293</v>
      </c>
      <c r="I1189" s="41">
        <v>0.494845361</v>
      </c>
      <c r="J1189" s="41">
        <v>0.216494845</v>
      </c>
      <c r="K1189" s="41">
        <v>0.288659794</v>
      </c>
      <c r="L1189" s="41">
        <f t="shared" si="2"/>
        <v>0.206185567</v>
      </c>
      <c r="M1189" s="74">
        <v>1.058972685</v>
      </c>
    </row>
    <row r="1190">
      <c r="A1190" s="1" t="s">
        <v>147</v>
      </c>
      <c r="B1190" s="38">
        <v>608379.0</v>
      </c>
      <c r="C1190" s="72">
        <v>45833.0</v>
      </c>
      <c r="D1190" s="38">
        <v>90.0</v>
      </c>
      <c r="E1190" s="73">
        <f>IFERROR(__xludf.DUMMYFUNCTION("average(filter('Appearance Sheet'!F:F,'Appearance Sheet'!G:G=B1190,'Appearance Sheet'!A:A=C1190))"),6.0)</f>
        <v>6</v>
      </c>
      <c r="F1190" s="67">
        <v>5.249084953</v>
      </c>
      <c r="G1190" s="40">
        <v>1.645622954</v>
      </c>
      <c r="H1190" s="40">
        <f t="shared" si="1"/>
        <v>2.468434431</v>
      </c>
      <c r="I1190" s="41">
        <v>0.5</v>
      </c>
      <c r="J1190" s="41">
        <v>0.166666667</v>
      </c>
      <c r="K1190" s="41">
        <v>0.333333333</v>
      </c>
      <c r="L1190" s="41">
        <f t="shared" si="2"/>
        <v>0.166666667</v>
      </c>
      <c r="M1190" s="74">
        <v>-3.423516273</v>
      </c>
    </row>
    <row r="1191">
      <c r="A1191" s="1" t="s">
        <v>329</v>
      </c>
      <c r="B1191" s="38">
        <v>669160.0</v>
      </c>
      <c r="C1191" s="72">
        <v>45787.0</v>
      </c>
      <c r="D1191" s="38">
        <v>88.0</v>
      </c>
      <c r="E1191" s="73">
        <f>IFERROR(__xludf.DUMMYFUNCTION("average(filter('Appearance Sheet'!F:F,'Appearance Sheet'!G:G=B1191,'Appearance Sheet'!A:A=C1191))"),6.666666666666667)</f>
        <v>6.666666667</v>
      </c>
      <c r="F1191" s="67">
        <v>5.248875659</v>
      </c>
      <c r="G1191" s="40">
        <v>1.587583588</v>
      </c>
      <c r="H1191" s="40">
        <f t="shared" si="1"/>
        <v>2.143237844</v>
      </c>
      <c r="I1191" s="41">
        <v>0.545454545</v>
      </c>
      <c r="J1191" s="41">
        <v>0.090909091</v>
      </c>
      <c r="K1191" s="41">
        <v>0.363636364</v>
      </c>
      <c r="L1191" s="41">
        <f t="shared" si="2"/>
        <v>0.181818181</v>
      </c>
      <c r="M1191" s="74">
        <v>-2.133815939</v>
      </c>
    </row>
    <row r="1192">
      <c r="A1192" s="1" t="s">
        <v>105</v>
      </c>
      <c r="B1192" s="38">
        <v>624133.0</v>
      </c>
      <c r="C1192" s="72">
        <v>45821.0</v>
      </c>
      <c r="D1192" s="38">
        <v>91.0</v>
      </c>
      <c r="E1192" s="73">
        <f>IFERROR(__xludf.DUMMYFUNCTION("average(filter('Appearance Sheet'!F:F,'Appearance Sheet'!G:G=B1192,'Appearance Sheet'!A:A=C1192))"),7.0)</f>
        <v>7</v>
      </c>
      <c r="F1192" s="67">
        <v>5.248791516</v>
      </c>
      <c r="G1192" s="40">
        <v>1.665719222</v>
      </c>
      <c r="H1192" s="40">
        <f t="shared" si="1"/>
        <v>2.141639</v>
      </c>
      <c r="I1192" s="41">
        <v>0.472527473</v>
      </c>
      <c r="J1192" s="41">
        <v>0.186813187</v>
      </c>
      <c r="K1192" s="41">
        <v>0.340659341</v>
      </c>
      <c r="L1192" s="41">
        <f t="shared" si="2"/>
        <v>0.131868132</v>
      </c>
      <c r="M1192" s="74">
        <v>1.939509402</v>
      </c>
    </row>
    <row r="1193">
      <c r="A1193" s="1" t="s">
        <v>396</v>
      </c>
      <c r="B1193" s="38">
        <v>663623.0</v>
      </c>
      <c r="C1193" s="72">
        <v>45762.0</v>
      </c>
      <c r="D1193" s="38">
        <v>84.0</v>
      </c>
      <c r="E1193" s="73">
        <f>IFERROR(__xludf.DUMMYFUNCTION("average(filter('Appearance Sheet'!F:F,'Appearance Sheet'!G:G=B1193,'Appearance Sheet'!A:A=C1193))"),7.0)</f>
        <v>7</v>
      </c>
      <c r="F1193" s="67">
        <v>5.24813719</v>
      </c>
      <c r="G1193" s="40">
        <v>1.535604383</v>
      </c>
      <c r="H1193" s="40">
        <f t="shared" si="1"/>
        <v>1.974348492</v>
      </c>
      <c r="I1193" s="41">
        <v>0.55952381</v>
      </c>
      <c r="J1193" s="41">
        <v>0.214285714</v>
      </c>
      <c r="K1193" s="41">
        <v>0.226190476</v>
      </c>
      <c r="L1193" s="41">
        <f t="shared" si="2"/>
        <v>0.333333334</v>
      </c>
      <c r="M1193" s="74">
        <v>2.489317909</v>
      </c>
    </row>
    <row r="1194">
      <c r="A1194" s="1" t="s">
        <v>212</v>
      </c>
      <c r="B1194" s="38">
        <v>805673.0</v>
      </c>
      <c r="C1194" s="72">
        <v>45885.0</v>
      </c>
      <c r="D1194" s="38">
        <v>92.0</v>
      </c>
      <c r="E1194" s="73" t="str">
        <f>IFERROR(__xludf.DUMMYFUNCTION("average(filter('Appearance Sheet'!F:F,'Appearance Sheet'!G:G=B1194,'Appearance Sheet'!A:A=C1194))"),"#N/A")</f>
        <v>#N/A</v>
      </c>
      <c r="F1194" s="67">
        <v>5.248125053</v>
      </c>
      <c r="G1194" s="40">
        <v>1.655851524</v>
      </c>
      <c r="H1194" s="40" t="str">
        <f t="shared" si="1"/>
        <v>#N/A</v>
      </c>
      <c r="I1194" s="41">
        <v>0.52173913</v>
      </c>
      <c r="J1194" s="41">
        <v>0.097826087</v>
      </c>
      <c r="K1194" s="41">
        <v>0.380434783</v>
      </c>
      <c r="L1194" s="41">
        <f t="shared" si="2"/>
        <v>0.141304347</v>
      </c>
      <c r="M1194" s="74">
        <v>-0.908415897</v>
      </c>
    </row>
    <row r="1195">
      <c r="A1195" s="1" t="s">
        <v>372</v>
      </c>
      <c r="B1195" s="38">
        <v>671106.0</v>
      </c>
      <c r="C1195" s="72">
        <v>45843.0</v>
      </c>
      <c r="D1195" s="38">
        <v>91.0</v>
      </c>
      <c r="E1195" s="73" t="str">
        <f>IFERROR(__xludf.DUMMYFUNCTION("average(filter('Appearance Sheet'!F:F,'Appearance Sheet'!G:G=B1195,'Appearance Sheet'!A:A=C1195))"),"#N/A")</f>
        <v>#N/A</v>
      </c>
      <c r="F1195" s="67">
        <v>5.24804847</v>
      </c>
      <c r="G1195" s="40">
        <v>1.649225547</v>
      </c>
      <c r="H1195" s="40" t="str">
        <f t="shared" si="1"/>
        <v>#N/A</v>
      </c>
      <c r="I1195" s="41">
        <v>0.505494505</v>
      </c>
      <c r="J1195" s="41">
        <v>0.175824176</v>
      </c>
      <c r="K1195" s="41">
        <v>0.318681319</v>
      </c>
      <c r="L1195" s="41">
        <f t="shared" si="2"/>
        <v>0.186813186</v>
      </c>
      <c r="M1195" s="74">
        <v>4.278961812</v>
      </c>
    </row>
    <row r="1196">
      <c r="A1196" s="1" t="s">
        <v>242</v>
      </c>
      <c r="B1196" s="38">
        <v>669358.0</v>
      </c>
      <c r="C1196" s="72">
        <v>45859.0</v>
      </c>
      <c r="D1196" s="38">
        <v>87.0</v>
      </c>
      <c r="E1196" s="73" t="str">
        <f>IFERROR(__xludf.DUMMYFUNCTION("average(filter('Appearance Sheet'!F:F,'Appearance Sheet'!G:G=B1196,'Appearance Sheet'!A:A=C1196))"),"#N/A")</f>
        <v>#N/A</v>
      </c>
      <c r="F1196" s="67">
        <v>5.247661865</v>
      </c>
      <c r="G1196" s="40">
        <v>1.558806567</v>
      </c>
      <c r="H1196" s="40" t="str">
        <f t="shared" si="1"/>
        <v>#N/A</v>
      </c>
      <c r="I1196" s="41">
        <v>0.482758621</v>
      </c>
      <c r="J1196" s="41">
        <v>0.206896552</v>
      </c>
      <c r="K1196" s="41">
        <v>0.310344828</v>
      </c>
      <c r="L1196" s="41">
        <f t="shared" si="2"/>
        <v>0.172413793</v>
      </c>
      <c r="M1196" s="74">
        <v>-3.608121732</v>
      </c>
    </row>
    <row r="1197">
      <c r="A1197" s="1" t="s">
        <v>133</v>
      </c>
      <c r="B1197" s="38">
        <v>663978.0</v>
      </c>
      <c r="C1197" s="72">
        <v>45842.0</v>
      </c>
      <c r="D1197" s="38">
        <v>84.0</v>
      </c>
      <c r="E1197" s="73">
        <f>IFERROR(__xludf.DUMMYFUNCTION("average(filter('Appearance Sheet'!F:F,'Appearance Sheet'!G:G=B1197,'Appearance Sheet'!A:A=C1197))"),5.0)</f>
        <v>5</v>
      </c>
      <c r="F1197" s="67">
        <v>5.24764298</v>
      </c>
      <c r="G1197" s="40">
        <v>1.520125442</v>
      </c>
      <c r="H1197" s="40">
        <f t="shared" si="1"/>
        <v>2.736225796</v>
      </c>
      <c r="I1197" s="41">
        <v>0.523809524</v>
      </c>
      <c r="J1197" s="41">
        <v>0.154761905</v>
      </c>
      <c r="K1197" s="41">
        <v>0.321428571</v>
      </c>
      <c r="L1197" s="41">
        <f t="shared" si="2"/>
        <v>0.202380953</v>
      </c>
      <c r="M1197" s="74">
        <v>-0.053433136</v>
      </c>
    </row>
    <row r="1198">
      <c r="A1198" s="1" t="s">
        <v>379</v>
      </c>
      <c r="B1198" s="38">
        <v>593423.0</v>
      </c>
      <c r="C1198" s="72">
        <v>45860.0</v>
      </c>
      <c r="D1198" s="38">
        <v>87.0</v>
      </c>
      <c r="E1198" s="73" t="str">
        <f>IFERROR(__xludf.DUMMYFUNCTION("average(filter('Appearance Sheet'!F:F,'Appearance Sheet'!G:G=B1198,'Appearance Sheet'!A:A=C1198))"),"#N/A")</f>
        <v>#N/A</v>
      </c>
      <c r="F1198" s="67">
        <v>5.247615189</v>
      </c>
      <c r="G1198" s="40">
        <v>1.602385204</v>
      </c>
      <c r="H1198" s="40" t="str">
        <f t="shared" si="1"/>
        <v>#N/A</v>
      </c>
      <c r="I1198" s="41">
        <v>0.459770115</v>
      </c>
      <c r="J1198" s="41">
        <v>0.183908046</v>
      </c>
      <c r="K1198" s="41">
        <v>0.356321839</v>
      </c>
      <c r="L1198" s="41">
        <f t="shared" si="2"/>
        <v>0.103448276</v>
      </c>
      <c r="M1198" s="74">
        <v>-2.449206045</v>
      </c>
    </row>
    <row r="1199">
      <c r="A1199" s="1" t="s">
        <v>150</v>
      </c>
      <c r="B1199" s="38">
        <v>657746.0</v>
      </c>
      <c r="C1199" s="72">
        <v>45745.0</v>
      </c>
      <c r="D1199" s="38">
        <v>80.0</v>
      </c>
      <c r="E1199" s="73">
        <f>IFERROR(__xludf.DUMMYFUNCTION("average(filter('Appearance Sheet'!F:F,'Appearance Sheet'!G:G=B1199,'Appearance Sheet'!A:A=C1199))"),5.0)</f>
        <v>5</v>
      </c>
      <c r="F1199" s="67">
        <v>5.247599819</v>
      </c>
      <c r="G1199" s="40">
        <v>1.465793708</v>
      </c>
      <c r="H1199" s="40">
        <f t="shared" si="1"/>
        <v>2.638428674</v>
      </c>
      <c r="I1199" s="41">
        <v>0.55</v>
      </c>
      <c r="J1199" s="41">
        <v>0.175</v>
      </c>
      <c r="K1199" s="41">
        <v>0.275</v>
      </c>
      <c r="L1199" s="41">
        <f t="shared" si="2"/>
        <v>0.275</v>
      </c>
      <c r="M1199" s="74">
        <v>-0.413223995</v>
      </c>
    </row>
    <row r="1200">
      <c r="A1200" s="1" t="s">
        <v>148</v>
      </c>
      <c r="B1200" s="38">
        <v>592866.0</v>
      </c>
      <c r="C1200" s="72">
        <v>45748.0</v>
      </c>
      <c r="D1200" s="38">
        <v>84.0</v>
      </c>
      <c r="E1200" s="73">
        <f>IFERROR(__xludf.DUMMYFUNCTION("average(filter('Appearance Sheet'!F:F,'Appearance Sheet'!G:G=B1200,'Appearance Sheet'!A:A=C1200))"),5.0)</f>
        <v>5</v>
      </c>
      <c r="F1200" s="67">
        <v>5.247511882</v>
      </c>
      <c r="G1200" s="40">
        <v>1.544789061</v>
      </c>
      <c r="H1200" s="40">
        <f t="shared" si="1"/>
        <v>2.78062031</v>
      </c>
      <c r="I1200" s="41">
        <v>0.428571429</v>
      </c>
      <c r="J1200" s="41">
        <v>0.238095238</v>
      </c>
      <c r="K1200" s="41">
        <v>0.333333333</v>
      </c>
      <c r="L1200" s="41">
        <f t="shared" si="2"/>
        <v>0.095238096</v>
      </c>
      <c r="M1200" s="74">
        <v>-6.019307553</v>
      </c>
    </row>
    <row r="1201">
      <c r="A1201" s="1" t="s">
        <v>336</v>
      </c>
      <c r="B1201" s="38">
        <v>605488.0</v>
      </c>
      <c r="C1201" s="72">
        <v>45801.0</v>
      </c>
      <c r="D1201" s="38">
        <v>104.0</v>
      </c>
      <c r="E1201" s="73">
        <f>IFERROR(__xludf.DUMMYFUNCTION("average(filter('Appearance Sheet'!F:F,'Appearance Sheet'!G:G=B1201,'Appearance Sheet'!A:A=C1201))"),6.0)</f>
        <v>6</v>
      </c>
      <c r="F1201" s="67">
        <v>5.246910236</v>
      </c>
      <c r="G1201" s="40">
        <v>1.853457441</v>
      </c>
      <c r="H1201" s="40">
        <f t="shared" si="1"/>
        <v>2.780186162</v>
      </c>
      <c r="I1201" s="41">
        <v>0.528846154</v>
      </c>
      <c r="J1201" s="41">
        <v>0.115384615</v>
      </c>
      <c r="K1201" s="41">
        <v>0.355769231</v>
      </c>
      <c r="L1201" s="41">
        <f t="shared" si="2"/>
        <v>0.173076923</v>
      </c>
      <c r="M1201" s="74">
        <v>2.129338158</v>
      </c>
    </row>
    <row r="1202">
      <c r="A1202" s="1" t="s">
        <v>226</v>
      </c>
      <c r="B1202" s="38">
        <v>607259.0</v>
      </c>
      <c r="C1202" s="72">
        <v>45821.0</v>
      </c>
      <c r="D1202" s="38">
        <v>84.0</v>
      </c>
      <c r="E1202" s="73">
        <f>IFERROR(__xludf.DUMMYFUNCTION("average(filter('Appearance Sheet'!F:F,'Appearance Sheet'!G:G=B1202,'Appearance Sheet'!A:A=C1202))"),5.0)</f>
        <v>5</v>
      </c>
      <c r="F1202" s="67">
        <v>5.24674134</v>
      </c>
      <c r="G1202" s="40">
        <v>1.558239333</v>
      </c>
      <c r="H1202" s="40">
        <f t="shared" si="1"/>
        <v>2.804830799</v>
      </c>
      <c r="I1202" s="41">
        <v>0.523809524</v>
      </c>
      <c r="J1202" s="41">
        <v>0.142857143</v>
      </c>
      <c r="K1202" s="41">
        <v>0.333333333</v>
      </c>
      <c r="L1202" s="41">
        <f t="shared" si="2"/>
        <v>0.190476191</v>
      </c>
      <c r="M1202" s="74">
        <v>-3.046529456</v>
      </c>
    </row>
    <row r="1203">
      <c r="A1203" s="1" t="s">
        <v>313</v>
      </c>
      <c r="B1203" s="38">
        <v>607067.0</v>
      </c>
      <c r="C1203" s="72">
        <v>45807.0</v>
      </c>
      <c r="D1203" s="38">
        <v>87.0</v>
      </c>
      <c r="E1203" s="73">
        <f>IFERROR(__xludf.DUMMYFUNCTION("average(filter('Appearance Sheet'!F:F,'Appearance Sheet'!G:G=B1203,'Appearance Sheet'!A:A=C1203))"),5.666666666666667)</f>
        <v>5.666666667</v>
      </c>
      <c r="F1203" s="67">
        <v>5.24669008</v>
      </c>
      <c r="G1203" s="40">
        <v>1.617720132</v>
      </c>
      <c r="H1203" s="40">
        <f t="shared" si="1"/>
        <v>2.56932021</v>
      </c>
      <c r="I1203" s="41">
        <v>0.459770115</v>
      </c>
      <c r="J1203" s="41">
        <v>0.298850575</v>
      </c>
      <c r="K1203" s="41">
        <v>0.24137931</v>
      </c>
      <c r="L1203" s="41">
        <f t="shared" si="2"/>
        <v>0.218390805</v>
      </c>
      <c r="M1203" s="74">
        <v>-3.857467587</v>
      </c>
    </row>
    <row r="1204">
      <c r="A1204" s="1" t="s">
        <v>85</v>
      </c>
      <c r="B1204" s="38">
        <v>808967.0</v>
      </c>
      <c r="C1204" s="72">
        <v>45918.0</v>
      </c>
      <c r="D1204" s="38">
        <v>108.0</v>
      </c>
      <c r="E1204" s="73" t="str">
        <f>IFERROR(__xludf.DUMMYFUNCTION("average(filter('Appearance Sheet'!F:F,'Appearance Sheet'!G:G=B1204,'Appearance Sheet'!A:A=C1204))"),"#N/A")</f>
        <v>#N/A</v>
      </c>
      <c r="F1204" s="67">
        <v>5.246597481</v>
      </c>
      <c r="G1204" s="40">
        <v>1.912172174</v>
      </c>
      <c r="H1204" s="40" t="str">
        <f t="shared" si="1"/>
        <v>#N/A</v>
      </c>
      <c r="I1204" s="41">
        <v>0.574074074</v>
      </c>
      <c r="J1204" s="41">
        <v>0.12962963</v>
      </c>
      <c r="K1204" s="41">
        <v>0.296296296</v>
      </c>
      <c r="L1204" s="41">
        <f t="shared" si="2"/>
        <v>0.277777778</v>
      </c>
      <c r="M1204" s="74">
        <v>5.351291594</v>
      </c>
    </row>
    <row r="1205">
      <c r="A1205" s="1" t="s">
        <v>239</v>
      </c>
      <c r="B1205" s="38">
        <v>806960.0</v>
      </c>
      <c r="C1205" s="72">
        <v>45896.0</v>
      </c>
      <c r="D1205" s="38">
        <v>89.0</v>
      </c>
      <c r="E1205" s="73" t="str">
        <f>IFERROR(__xludf.DUMMYFUNCTION("average(filter('Appearance Sheet'!F:F,'Appearance Sheet'!G:G=B1205,'Appearance Sheet'!A:A=C1205))"),"#N/A")</f>
        <v>#N/A</v>
      </c>
      <c r="F1205" s="67">
        <v>5.246563353</v>
      </c>
      <c r="G1205" s="40">
        <v>1.621290387</v>
      </c>
      <c r="H1205" s="40" t="str">
        <f t="shared" si="1"/>
        <v>#N/A</v>
      </c>
      <c r="I1205" s="41">
        <v>0.483146067</v>
      </c>
      <c r="J1205" s="41">
        <v>0.191011236</v>
      </c>
      <c r="K1205" s="41">
        <v>0.325842697</v>
      </c>
      <c r="L1205" s="41">
        <f t="shared" si="2"/>
        <v>0.15730337</v>
      </c>
      <c r="M1205" s="74">
        <v>2.136182906</v>
      </c>
    </row>
    <row r="1206">
      <c r="A1206" s="1" t="s">
        <v>156</v>
      </c>
      <c r="B1206" s="38">
        <v>519242.0</v>
      </c>
      <c r="C1206" s="72">
        <v>45788.0</v>
      </c>
      <c r="D1206" s="38">
        <v>96.0</v>
      </c>
      <c r="E1206" s="73">
        <f>IFERROR(__xludf.DUMMYFUNCTION("average(filter('Appearance Sheet'!F:F,'Appearance Sheet'!G:G=B1206,'Appearance Sheet'!A:A=C1206))"),5.666666666666667)</f>
        <v>5.666666667</v>
      </c>
      <c r="F1206" s="67">
        <v>5.245662955</v>
      </c>
      <c r="G1206" s="40">
        <v>1.745105486</v>
      </c>
      <c r="H1206" s="40">
        <f t="shared" si="1"/>
        <v>2.771638125</v>
      </c>
      <c r="I1206" s="41">
        <v>0.572916667</v>
      </c>
      <c r="J1206" s="41">
        <v>0.135416667</v>
      </c>
      <c r="K1206" s="41">
        <v>0.291666667</v>
      </c>
      <c r="L1206" s="41">
        <f t="shared" si="2"/>
        <v>0.28125</v>
      </c>
      <c r="M1206" s="74">
        <v>-3.128612135</v>
      </c>
    </row>
    <row r="1207">
      <c r="A1207" s="1" t="s">
        <v>177</v>
      </c>
      <c r="B1207" s="38">
        <v>641793.0</v>
      </c>
      <c r="C1207" s="72">
        <v>45863.0</v>
      </c>
      <c r="D1207" s="38">
        <v>93.0</v>
      </c>
      <c r="E1207" s="73" t="str">
        <f>IFERROR(__xludf.DUMMYFUNCTION("average(filter('Appearance Sheet'!F:F,'Appearance Sheet'!G:G=B1207,'Appearance Sheet'!A:A=C1207))"),"#N/A")</f>
        <v>#N/A</v>
      </c>
      <c r="F1207" s="67">
        <v>5.245633411</v>
      </c>
      <c r="G1207" s="40">
        <v>1.73154816</v>
      </c>
      <c r="H1207" s="40" t="str">
        <f t="shared" si="1"/>
        <v>#N/A</v>
      </c>
      <c r="I1207" s="41">
        <v>0.47311828</v>
      </c>
      <c r="J1207" s="41">
        <v>0.215053763</v>
      </c>
      <c r="K1207" s="41">
        <v>0.311827957</v>
      </c>
      <c r="L1207" s="41">
        <f t="shared" si="2"/>
        <v>0.161290323</v>
      </c>
      <c r="M1207" s="74">
        <v>-2.698746726</v>
      </c>
    </row>
    <row r="1208">
      <c r="A1208" s="1" t="s">
        <v>163</v>
      </c>
      <c r="B1208" s="38">
        <v>663460.0</v>
      </c>
      <c r="C1208" s="72">
        <v>45802.0</v>
      </c>
      <c r="D1208" s="38">
        <v>90.0</v>
      </c>
      <c r="E1208" s="73">
        <f>IFERROR(__xludf.DUMMYFUNCTION("average(filter('Appearance Sheet'!F:F,'Appearance Sheet'!G:G=B1208,'Appearance Sheet'!A:A=C1208))"),7.0)</f>
        <v>7</v>
      </c>
      <c r="F1208" s="67">
        <v>5.245631116</v>
      </c>
      <c r="G1208" s="40">
        <v>1.658040596</v>
      </c>
      <c r="H1208" s="40">
        <f t="shared" si="1"/>
        <v>2.131766481</v>
      </c>
      <c r="I1208" s="41">
        <v>0.522222222</v>
      </c>
      <c r="J1208" s="41">
        <v>0.133333333</v>
      </c>
      <c r="K1208" s="41">
        <v>0.344444444</v>
      </c>
      <c r="L1208" s="41">
        <f t="shared" si="2"/>
        <v>0.177777778</v>
      </c>
      <c r="M1208" s="74">
        <v>3.122038067</v>
      </c>
    </row>
    <row r="1209">
      <c r="A1209" s="1" t="s">
        <v>465</v>
      </c>
      <c r="B1209" s="38">
        <v>641672.0</v>
      </c>
      <c r="C1209" s="72">
        <v>45886.0</v>
      </c>
      <c r="D1209" s="38">
        <v>81.0</v>
      </c>
      <c r="E1209" s="73" t="str">
        <f>IFERROR(__xludf.DUMMYFUNCTION("average(filter('Appearance Sheet'!F:F,'Appearance Sheet'!G:G=B1209,'Appearance Sheet'!A:A=C1209))"),"#N/A")</f>
        <v>#N/A</v>
      </c>
      <c r="F1209" s="67">
        <v>5.245557537</v>
      </c>
      <c r="G1209" s="40">
        <v>1.481572332</v>
      </c>
      <c r="H1209" s="40" t="str">
        <f t="shared" si="1"/>
        <v>#N/A</v>
      </c>
      <c r="I1209" s="41">
        <v>0.49382716</v>
      </c>
      <c r="J1209" s="41">
        <v>0.135802469</v>
      </c>
      <c r="K1209" s="41">
        <v>0.37037037</v>
      </c>
      <c r="L1209" s="41">
        <f t="shared" si="2"/>
        <v>0.12345679</v>
      </c>
      <c r="M1209" s="74">
        <v>2.014954395</v>
      </c>
    </row>
    <row r="1210">
      <c r="A1210" s="1" t="s">
        <v>570</v>
      </c>
      <c r="B1210" s="38">
        <v>813349.0</v>
      </c>
      <c r="C1210" s="72">
        <v>45927.0</v>
      </c>
      <c r="D1210" s="38">
        <v>80.0</v>
      </c>
      <c r="E1210" s="73" t="str">
        <f>IFERROR(__xludf.DUMMYFUNCTION("average(filter('Appearance Sheet'!F:F,'Appearance Sheet'!G:G=B1210,'Appearance Sheet'!A:A=C1210))"),"#N/A")</f>
        <v>#N/A</v>
      </c>
      <c r="F1210" s="67">
        <v>5.245276504</v>
      </c>
      <c r="G1210" s="40">
        <v>1.43877973</v>
      </c>
      <c r="H1210" s="40" t="str">
        <f t="shared" si="1"/>
        <v>#N/A</v>
      </c>
      <c r="I1210" s="41">
        <v>0.5625</v>
      </c>
      <c r="J1210" s="41">
        <v>0.1625</v>
      </c>
      <c r="K1210" s="41">
        <v>0.275</v>
      </c>
      <c r="L1210" s="41">
        <f t="shared" si="2"/>
        <v>0.2875</v>
      </c>
      <c r="M1210" s="74">
        <v>0.055082372</v>
      </c>
    </row>
    <row r="1211">
      <c r="A1211" s="1" t="s">
        <v>85</v>
      </c>
      <c r="B1211" s="38">
        <v>808967.0</v>
      </c>
      <c r="C1211" s="72">
        <v>45765.0</v>
      </c>
      <c r="D1211" s="38">
        <v>99.0</v>
      </c>
      <c r="E1211" s="73">
        <f>IFERROR(__xludf.DUMMYFUNCTION("average(filter('Appearance Sheet'!F:F,'Appearance Sheet'!G:G=B1211,'Appearance Sheet'!A:A=C1211))"),7.0)</f>
        <v>7</v>
      </c>
      <c r="F1211" s="67">
        <v>5.24515375</v>
      </c>
      <c r="G1211" s="40">
        <v>1.788183331</v>
      </c>
      <c r="H1211" s="40">
        <f t="shared" si="1"/>
        <v>2.299092854</v>
      </c>
      <c r="I1211" s="41">
        <v>0.545454545</v>
      </c>
      <c r="J1211" s="41">
        <v>0.121212121</v>
      </c>
      <c r="K1211" s="41">
        <v>0.333333333</v>
      </c>
      <c r="L1211" s="41">
        <f t="shared" si="2"/>
        <v>0.212121212</v>
      </c>
      <c r="M1211" s="74">
        <v>-0.059916935</v>
      </c>
    </row>
    <row r="1212">
      <c r="A1212" s="1" t="s">
        <v>285</v>
      </c>
      <c r="B1212" s="38">
        <v>607074.0</v>
      </c>
      <c r="C1212" s="72">
        <v>45865.0</v>
      </c>
      <c r="D1212" s="38">
        <v>89.0</v>
      </c>
      <c r="E1212" s="73" t="str">
        <f>IFERROR(__xludf.DUMMYFUNCTION("average(filter('Appearance Sheet'!F:F,'Appearance Sheet'!G:G=B1212,'Appearance Sheet'!A:A=C1212))"),"#N/A")</f>
        <v>#N/A</v>
      </c>
      <c r="F1212" s="67">
        <v>5.244967808</v>
      </c>
      <c r="G1212" s="40">
        <v>1.586534683</v>
      </c>
      <c r="H1212" s="40" t="str">
        <f t="shared" si="1"/>
        <v>#N/A</v>
      </c>
      <c r="I1212" s="41">
        <v>0.528089888</v>
      </c>
      <c r="J1212" s="41">
        <v>0.157303371</v>
      </c>
      <c r="K1212" s="41">
        <v>0.314606742</v>
      </c>
      <c r="L1212" s="41">
        <f t="shared" si="2"/>
        <v>0.213483146</v>
      </c>
      <c r="M1212" s="74">
        <v>0.761759132</v>
      </c>
    </row>
    <row r="1213">
      <c r="A1213" s="1" t="s">
        <v>232</v>
      </c>
      <c r="B1213" s="38">
        <v>579328.0</v>
      </c>
      <c r="C1213" s="72">
        <v>45924.0</v>
      </c>
      <c r="D1213" s="38">
        <v>62.0</v>
      </c>
      <c r="E1213" s="73" t="str">
        <f>IFERROR(__xludf.DUMMYFUNCTION("average(filter('Appearance Sheet'!F:F,'Appearance Sheet'!G:G=B1213,'Appearance Sheet'!A:A=C1213))"),"#N/A")</f>
        <v>#N/A</v>
      </c>
      <c r="F1213" s="67">
        <v>5.244372888</v>
      </c>
      <c r="G1213" s="40">
        <v>1.118297637</v>
      </c>
      <c r="H1213" s="40" t="str">
        <f t="shared" si="1"/>
        <v>#N/A</v>
      </c>
      <c r="I1213" s="41">
        <v>0.483870968</v>
      </c>
      <c r="J1213" s="41">
        <v>0.209677419</v>
      </c>
      <c r="K1213" s="41">
        <v>0.306451613</v>
      </c>
      <c r="L1213" s="41">
        <f t="shared" si="2"/>
        <v>0.177419355</v>
      </c>
      <c r="M1213" s="74">
        <v>2.124406558</v>
      </c>
    </row>
    <row r="1214">
      <c r="A1214" s="1" t="s">
        <v>313</v>
      </c>
      <c r="B1214" s="38">
        <v>607067.0</v>
      </c>
      <c r="C1214" s="72">
        <v>45765.0</v>
      </c>
      <c r="D1214" s="38">
        <v>68.0</v>
      </c>
      <c r="E1214" s="73">
        <f>IFERROR(__xludf.DUMMYFUNCTION("average(filter('Appearance Sheet'!F:F,'Appearance Sheet'!G:G=B1214,'Appearance Sheet'!A:A=C1214))"),4.666666666666667)</f>
        <v>4.666666667</v>
      </c>
      <c r="F1214" s="67">
        <v>5.244348112</v>
      </c>
      <c r="G1214" s="40">
        <v>1.244519917</v>
      </c>
      <c r="H1214" s="40">
        <f t="shared" si="1"/>
        <v>2.400145554</v>
      </c>
      <c r="I1214" s="41">
        <v>0.485294118</v>
      </c>
      <c r="J1214" s="41">
        <v>0.235294118</v>
      </c>
      <c r="K1214" s="41">
        <v>0.279411765</v>
      </c>
      <c r="L1214" s="41">
        <f t="shared" si="2"/>
        <v>0.205882353</v>
      </c>
      <c r="M1214" s="74">
        <v>-0.540584548</v>
      </c>
    </row>
    <row r="1215">
      <c r="A1215" s="1" t="s">
        <v>425</v>
      </c>
      <c r="B1215" s="38">
        <v>621244.0</v>
      </c>
      <c r="C1215" s="72">
        <v>45840.0</v>
      </c>
      <c r="D1215" s="38">
        <v>82.0</v>
      </c>
      <c r="E1215" s="73">
        <f>IFERROR(__xludf.DUMMYFUNCTION("average(filter('Appearance Sheet'!F:F,'Appearance Sheet'!G:G=B1215,'Appearance Sheet'!A:A=C1215))"),4.333333333333333)</f>
        <v>4.333333333</v>
      </c>
      <c r="F1215" s="67">
        <v>5.244165477</v>
      </c>
      <c r="G1215" s="40">
        <v>1.478967978</v>
      </c>
      <c r="H1215" s="40">
        <f t="shared" si="1"/>
        <v>3.071702724</v>
      </c>
      <c r="I1215" s="41">
        <v>0.475609756</v>
      </c>
      <c r="J1215" s="41">
        <v>0.207317073</v>
      </c>
      <c r="K1215" s="41">
        <v>0.317073171</v>
      </c>
      <c r="L1215" s="41">
        <f t="shared" si="2"/>
        <v>0.158536585</v>
      </c>
      <c r="M1215" s="74">
        <v>-3.554618103</v>
      </c>
    </row>
    <row r="1216">
      <c r="A1216" s="1" t="s">
        <v>253</v>
      </c>
      <c r="B1216" s="38">
        <v>701581.0</v>
      </c>
      <c r="C1216" s="72">
        <v>45847.0</v>
      </c>
      <c r="D1216" s="38">
        <v>70.0</v>
      </c>
      <c r="E1216" s="73" t="str">
        <f>IFERROR(__xludf.DUMMYFUNCTION("average(filter('Appearance Sheet'!F:F,'Appearance Sheet'!G:G=B1216,'Appearance Sheet'!A:A=C1216))"),"#N/A")</f>
        <v>#N/A</v>
      </c>
      <c r="F1216" s="67">
        <v>5.244006778</v>
      </c>
      <c r="G1216" s="40">
        <v>1.27207911</v>
      </c>
      <c r="H1216" s="40" t="str">
        <f t="shared" si="1"/>
        <v>#N/A</v>
      </c>
      <c r="I1216" s="41">
        <v>0.471428571</v>
      </c>
      <c r="J1216" s="41">
        <v>0.228571429</v>
      </c>
      <c r="K1216" s="41">
        <v>0.3</v>
      </c>
      <c r="L1216" s="41">
        <f t="shared" si="2"/>
        <v>0.171428571</v>
      </c>
      <c r="M1216" s="74">
        <v>1.287865003</v>
      </c>
    </row>
    <row r="1217">
      <c r="A1217" s="1" t="s">
        <v>222</v>
      </c>
      <c r="B1217" s="38">
        <v>518876.0</v>
      </c>
      <c r="C1217" s="72">
        <v>45899.0</v>
      </c>
      <c r="D1217" s="38">
        <v>79.0</v>
      </c>
      <c r="E1217" s="73" t="str">
        <f>IFERROR(__xludf.DUMMYFUNCTION("average(filter('Appearance Sheet'!F:F,'Appearance Sheet'!G:G=B1217,'Appearance Sheet'!A:A=C1217))"),"#N/A")</f>
        <v>#N/A</v>
      </c>
      <c r="F1217" s="67">
        <v>5.243902821</v>
      </c>
      <c r="G1217" s="40">
        <v>1.449189706</v>
      </c>
      <c r="H1217" s="40" t="str">
        <f t="shared" si="1"/>
        <v>#N/A</v>
      </c>
      <c r="I1217" s="41">
        <v>0.493670886</v>
      </c>
      <c r="J1217" s="41">
        <v>0.253164557</v>
      </c>
      <c r="K1217" s="41">
        <v>0.253164557</v>
      </c>
      <c r="L1217" s="41">
        <f t="shared" si="2"/>
        <v>0.240506329</v>
      </c>
      <c r="M1217" s="74">
        <v>-0.509592866</v>
      </c>
    </row>
    <row r="1218">
      <c r="A1218" s="1" t="s">
        <v>344</v>
      </c>
      <c r="B1218" s="38">
        <v>701542.0</v>
      </c>
      <c r="C1218" s="72">
        <v>45903.0</v>
      </c>
      <c r="D1218" s="38">
        <v>63.0</v>
      </c>
      <c r="E1218" s="73" t="str">
        <f>IFERROR(__xludf.DUMMYFUNCTION("average(filter('Appearance Sheet'!F:F,'Appearance Sheet'!G:G=B1218,'Appearance Sheet'!A:A=C1218))"),"#N/A")</f>
        <v>#N/A</v>
      </c>
      <c r="F1218" s="67">
        <v>5.243875294</v>
      </c>
      <c r="G1218" s="40">
        <v>1.160025284</v>
      </c>
      <c r="H1218" s="40" t="str">
        <f t="shared" si="1"/>
        <v>#N/A</v>
      </c>
      <c r="I1218" s="41">
        <v>0.53968254</v>
      </c>
      <c r="J1218" s="41">
        <v>0.174603175</v>
      </c>
      <c r="K1218" s="41">
        <v>0.285714286</v>
      </c>
      <c r="L1218" s="41">
        <f t="shared" si="2"/>
        <v>0.253968254</v>
      </c>
      <c r="M1218" s="74">
        <v>-0.729723235</v>
      </c>
    </row>
    <row r="1219">
      <c r="A1219" s="1" t="s">
        <v>229</v>
      </c>
      <c r="B1219" s="38">
        <v>645261.0</v>
      </c>
      <c r="C1219" s="72">
        <v>45889.0</v>
      </c>
      <c r="D1219" s="38">
        <v>112.0</v>
      </c>
      <c r="E1219" s="73" t="str">
        <f>IFERROR(__xludf.DUMMYFUNCTION("average(filter('Appearance Sheet'!F:F,'Appearance Sheet'!G:G=B1219,'Appearance Sheet'!A:A=C1219))"),"#N/A")</f>
        <v>#N/A</v>
      </c>
      <c r="F1219" s="67">
        <v>5.243652093</v>
      </c>
      <c r="G1219" s="40">
        <v>2.043345949</v>
      </c>
      <c r="H1219" s="40" t="str">
        <f t="shared" si="1"/>
        <v>#N/A</v>
      </c>
      <c r="I1219" s="41">
        <v>0.419642857</v>
      </c>
      <c r="J1219" s="41">
        <v>0.3125</v>
      </c>
      <c r="K1219" s="41">
        <v>0.267857143</v>
      </c>
      <c r="L1219" s="41">
        <f t="shared" si="2"/>
        <v>0.151785714</v>
      </c>
      <c r="M1219" s="74">
        <v>2.75470724</v>
      </c>
    </row>
    <row r="1220">
      <c r="A1220" s="1" t="s">
        <v>189</v>
      </c>
      <c r="B1220" s="38">
        <v>607536.0</v>
      </c>
      <c r="C1220" s="72">
        <v>45887.0</v>
      </c>
      <c r="D1220" s="38">
        <v>69.0</v>
      </c>
      <c r="E1220" s="73" t="str">
        <f>IFERROR(__xludf.DUMMYFUNCTION("average(filter('Appearance Sheet'!F:F,'Appearance Sheet'!G:G=B1220,'Appearance Sheet'!A:A=C1220))"),"#N/A")</f>
        <v>#N/A</v>
      </c>
      <c r="F1220" s="67">
        <v>5.243297368</v>
      </c>
      <c r="G1220" s="40">
        <v>1.262050736</v>
      </c>
      <c r="H1220" s="40" t="str">
        <f t="shared" si="1"/>
        <v>#N/A</v>
      </c>
      <c r="I1220" s="41">
        <v>0.579710145</v>
      </c>
      <c r="J1220" s="41">
        <v>0.15942029</v>
      </c>
      <c r="K1220" s="41">
        <v>0.260869565</v>
      </c>
      <c r="L1220" s="41">
        <f t="shared" si="2"/>
        <v>0.31884058</v>
      </c>
      <c r="M1220" s="74">
        <v>-1.330934697</v>
      </c>
    </row>
    <row r="1221">
      <c r="A1221" s="1" t="s">
        <v>570</v>
      </c>
      <c r="B1221" s="38">
        <v>813349.0</v>
      </c>
      <c r="C1221" s="72">
        <v>45909.0</v>
      </c>
      <c r="D1221" s="38">
        <v>85.0</v>
      </c>
      <c r="E1221" s="73" t="str">
        <f>IFERROR(__xludf.DUMMYFUNCTION("average(filter('Appearance Sheet'!F:F,'Appearance Sheet'!G:G=B1221,'Appearance Sheet'!A:A=C1221))"),"#N/A")</f>
        <v>#N/A</v>
      </c>
      <c r="F1221" s="67">
        <v>5.242948358</v>
      </c>
      <c r="G1221" s="40">
        <v>1.550114815</v>
      </c>
      <c r="H1221" s="40" t="str">
        <f t="shared" si="1"/>
        <v>#N/A</v>
      </c>
      <c r="I1221" s="41">
        <v>0.505882353</v>
      </c>
      <c r="J1221" s="41">
        <v>0.188235294</v>
      </c>
      <c r="K1221" s="41">
        <v>0.305882353</v>
      </c>
      <c r="L1221" s="41">
        <f t="shared" si="2"/>
        <v>0.2</v>
      </c>
      <c r="M1221" s="74">
        <v>0.201623636</v>
      </c>
    </row>
    <row r="1222">
      <c r="A1222" s="1" t="s">
        <v>389</v>
      </c>
      <c r="B1222" s="38">
        <v>682052.0</v>
      </c>
      <c r="C1222" s="72">
        <v>45822.0</v>
      </c>
      <c r="D1222" s="38">
        <v>94.0</v>
      </c>
      <c r="E1222" s="73">
        <f>IFERROR(__xludf.DUMMYFUNCTION("average(filter('Appearance Sheet'!F:F,'Appearance Sheet'!G:G=B1222,'Appearance Sheet'!A:A=C1222))"),6.0)</f>
        <v>6</v>
      </c>
      <c r="F1222" s="67">
        <v>5.242887725</v>
      </c>
      <c r="G1222" s="40">
        <v>1.683103663</v>
      </c>
      <c r="H1222" s="40">
        <f t="shared" si="1"/>
        <v>2.524655495</v>
      </c>
      <c r="I1222" s="41">
        <v>0.489361702</v>
      </c>
      <c r="J1222" s="41">
        <v>0.234042553</v>
      </c>
      <c r="K1222" s="41">
        <v>0.276595745</v>
      </c>
      <c r="L1222" s="41">
        <f t="shared" si="2"/>
        <v>0.212765957</v>
      </c>
      <c r="M1222" s="74">
        <v>1.926529526</v>
      </c>
    </row>
    <row r="1223">
      <c r="A1223" s="1" t="s">
        <v>65</v>
      </c>
      <c r="B1223" s="38">
        <v>680885.0</v>
      </c>
      <c r="C1223" s="72">
        <v>45757.0</v>
      </c>
      <c r="D1223" s="38">
        <v>79.0</v>
      </c>
      <c r="E1223" s="73">
        <f>IFERROR(__xludf.DUMMYFUNCTION("average(filter('Appearance Sheet'!F:F,'Appearance Sheet'!G:G=B1223,'Appearance Sheet'!A:A=C1223))"),6.0)</f>
        <v>6</v>
      </c>
      <c r="F1223" s="67">
        <v>5.242730673</v>
      </c>
      <c r="G1223" s="40">
        <v>1.46171333</v>
      </c>
      <c r="H1223" s="40">
        <f t="shared" si="1"/>
        <v>2.192569995</v>
      </c>
      <c r="I1223" s="41">
        <v>0.417721519</v>
      </c>
      <c r="J1223" s="41">
        <v>0.265822785</v>
      </c>
      <c r="K1223" s="41">
        <v>0.316455696</v>
      </c>
      <c r="L1223" s="41">
        <f t="shared" si="2"/>
        <v>0.101265823</v>
      </c>
      <c r="M1223" s="74">
        <v>-1.607131649</v>
      </c>
    </row>
    <row r="1224">
      <c r="A1224" s="1" t="s">
        <v>313</v>
      </c>
      <c r="B1224" s="38">
        <v>607067.0</v>
      </c>
      <c r="C1224" s="72">
        <v>45836.0</v>
      </c>
      <c r="D1224" s="38">
        <v>78.0</v>
      </c>
      <c r="E1224" s="73">
        <f>IFERROR(__xludf.DUMMYFUNCTION("average(filter('Appearance Sheet'!F:F,'Appearance Sheet'!G:G=B1224,'Appearance Sheet'!A:A=C1224))"),5.0)</f>
        <v>5</v>
      </c>
      <c r="F1224" s="67">
        <v>5.242678558</v>
      </c>
      <c r="G1224" s="40">
        <v>1.409362964</v>
      </c>
      <c r="H1224" s="40">
        <f t="shared" si="1"/>
        <v>2.536853335</v>
      </c>
      <c r="I1224" s="41">
        <v>0.525641026</v>
      </c>
      <c r="J1224" s="41">
        <v>0.115384615</v>
      </c>
      <c r="K1224" s="41">
        <v>0.358974359</v>
      </c>
      <c r="L1224" s="41">
        <f t="shared" si="2"/>
        <v>0.166666667</v>
      </c>
      <c r="M1224" s="74">
        <v>-0.645741068</v>
      </c>
    </row>
    <row r="1225">
      <c r="A1225" s="1" t="s">
        <v>344</v>
      </c>
      <c r="B1225" s="38">
        <v>701542.0</v>
      </c>
      <c r="C1225" s="72">
        <v>45769.0</v>
      </c>
      <c r="D1225" s="38">
        <v>82.0</v>
      </c>
      <c r="E1225" s="73">
        <f>IFERROR(__xludf.DUMMYFUNCTION("average(filter('Appearance Sheet'!F:F,'Appearance Sheet'!G:G=B1225,'Appearance Sheet'!A:A=C1225))"),5.0)</f>
        <v>5</v>
      </c>
      <c r="F1225" s="67">
        <v>5.242562226</v>
      </c>
      <c r="G1225" s="40">
        <v>1.468528227</v>
      </c>
      <c r="H1225" s="40">
        <f t="shared" si="1"/>
        <v>2.643350809</v>
      </c>
      <c r="I1225" s="41">
        <v>0.5</v>
      </c>
      <c r="J1225" s="41">
        <v>0.170731707</v>
      </c>
      <c r="K1225" s="41">
        <v>0.329268293</v>
      </c>
      <c r="L1225" s="41">
        <f t="shared" si="2"/>
        <v>0.170731707</v>
      </c>
      <c r="M1225" s="74">
        <v>1.636246408</v>
      </c>
    </row>
    <row r="1226">
      <c r="A1226" s="1" t="s">
        <v>198</v>
      </c>
      <c r="B1226" s="38">
        <v>680736.0</v>
      </c>
      <c r="C1226" s="72">
        <v>45821.0</v>
      </c>
      <c r="D1226" s="38">
        <v>65.0</v>
      </c>
      <c r="E1226" s="73">
        <f>IFERROR(__xludf.DUMMYFUNCTION("average(filter('Appearance Sheet'!F:F,'Appearance Sheet'!G:G=B1226,'Appearance Sheet'!A:A=C1226))"),4.333333333333333)</f>
        <v>4.333333333</v>
      </c>
      <c r="F1226" s="67">
        <v>5.242542977</v>
      </c>
      <c r="G1226" s="40">
        <v>1.180920659</v>
      </c>
      <c r="H1226" s="40">
        <f t="shared" si="1"/>
        <v>2.452681369</v>
      </c>
      <c r="I1226" s="41">
        <v>0.492307692</v>
      </c>
      <c r="J1226" s="41">
        <v>0.246153846</v>
      </c>
      <c r="K1226" s="41">
        <v>0.261538462</v>
      </c>
      <c r="L1226" s="41">
        <f t="shared" si="2"/>
        <v>0.23076923</v>
      </c>
      <c r="M1226" s="74">
        <v>0.366787997</v>
      </c>
    </row>
    <row r="1227">
      <c r="A1227" s="1" t="s">
        <v>100</v>
      </c>
      <c r="B1227" s="38">
        <v>676979.0</v>
      </c>
      <c r="C1227" s="72">
        <v>45838.0</v>
      </c>
      <c r="D1227" s="38">
        <v>88.0</v>
      </c>
      <c r="E1227" s="73">
        <f>IFERROR(__xludf.DUMMYFUNCTION("average(filter('Appearance Sheet'!F:F,'Appearance Sheet'!G:G=B1227,'Appearance Sheet'!A:A=C1227))"),6.0)</f>
        <v>6</v>
      </c>
      <c r="F1227" s="67">
        <v>5.242234116</v>
      </c>
      <c r="G1227" s="40">
        <v>1.620761993</v>
      </c>
      <c r="H1227" s="40">
        <f t="shared" si="1"/>
        <v>2.43114299</v>
      </c>
      <c r="I1227" s="41">
        <v>0.534090909</v>
      </c>
      <c r="J1227" s="41">
        <v>0.193181818</v>
      </c>
      <c r="K1227" s="41">
        <v>0.272727273</v>
      </c>
      <c r="L1227" s="41">
        <f t="shared" si="2"/>
        <v>0.261363636</v>
      </c>
      <c r="M1227" s="74">
        <v>-2.694202854</v>
      </c>
    </row>
    <row r="1228">
      <c r="A1228" s="1" t="s">
        <v>143</v>
      </c>
      <c r="B1228" s="38">
        <v>690928.0</v>
      </c>
      <c r="C1228" s="72">
        <v>45765.0</v>
      </c>
      <c r="D1228" s="38">
        <v>78.0</v>
      </c>
      <c r="E1228" s="73">
        <f>IFERROR(__xludf.DUMMYFUNCTION("average(filter('Appearance Sheet'!F:F,'Appearance Sheet'!G:G=B1228,'Appearance Sheet'!A:A=C1228))"),6.0)</f>
        <v>6</v>
      </c>
      <c r="F1228" s="67">
        <v>5.242122853</v>
      </c>
      <c r="G1228" s="40">
        <v>1.405370165</v>
      </c>
      <c r="H1228" s="40">
        <f t="shared" si="1"/>
        <v>2.108055248</v>
      </c>
      <c r="I1228" s="41">
        <v>0.551282051</v>
      </c>
      <c r="J1228" s="41">
        <v>0.166666667</v>
      </c>
      <c r="K1228" s="41">
        <v>0.282051282</v>
      </c>
      <c r="L1228" s="41">
        <f t="shared" si="2"/>
        <v>0.269230769</v>
      </c>
      <c r="M1228" s="74">
        <v>1.061669352</v>
      </c>
    </row>
    <row r="1229">
      <c r="A1229" s="1" t="s">
        <v>251</v>
      </c>
      <c r="B1229" s="38">
        <v>676664.0</v>
      </c>
      <c r="C1229" s="72">
        <v>45866.0</v>
      </c>
      <c r="D1229" s="38">
        <v>86.0</v>
      </c>
      <c r="E1229" s="73" t="str">
        <f>IFERROR(__xludf.DUMMYFUNCTION("average(filter('Appearance Sheet'!F:F,'Appearance Sheet'!G:G=B1229,'Appearance Sheet'!A:A=C1229))"),"#N/A")</f>
        <v>#N/A</v>
      </c>
      <c r="F1229" s="67">
        <v>5.24178223</v>
      </c>
      <c r="G1229" s="40">
        <v>1.511624244</v>
      </c>
      <c r="H1229" s="40" t="str">
        <f t="shared" si="1"/>
        <v>#N/A</v>
      </c>
      <c r="I1229" s="41">
        <v>0.488372093</v>
      </c>
      <c r="J1229" s="41">
        <v>0.162790698</v>
      </c>
      <c r="K1229" s="41">
        <v>0.348837209</v>
      </c>
      <c r="L1229" s="41">
        <f t="shared" si="2"/>
        <v>0.139534884</v>
      </c>
      <c r="M1229" s="74">
        <v>0.284366766</v>
      </c>
    </row>
    <row r="1230">
      <c r="A1230" s="1" t="s">
        <v>398</v>
      </c>
      <c r="B1230" s="38">
        <v>676282.0</v>
      </c>
      <c r="C1230" s="72">
        <v>45846.0</v>
      </c>
      <c r="D1230" s="38">
        <v>77.0</v>
      </c>
      <c r="E1230" s="73" t="str">
        <f>IFERROR(__xludf.DUMMYFUNCTION("average(filter('Appearance Sheet'!F:F,'Appearance Sheet'!G:G=B1230,'Appearance Sheet'!A:A=C1230))"),"#N/A")</f>
        <v>#N/A</v>
      </c>
      <c r="F1230" s="67">
        <v>5.241756069</v>
      </c>
      <c r="G1230" s="40">
        <v>1.375034608</v>
      </c>
      <c r="H1230" s="40" t="str">
        <f t="shared" si="1"/>
        <v>#N/A</v>
      </c>
      <c r="I1230" s="41">
        <v>0.584415584</v>
      </c>
      <c r="J1230" s="41">
        <v>0.155844156</v>
      </c>
      <c r="K1230" s="41">
        <v>0.25974026</v>
      </c>
      <c r="L1230" s="41">
        <f t="shared" si="2"/>
        <v>0.324675324</v>
      </c>
      <c r="M1230" s="74">
        <v>0.068334179</v>
      </c>
    </row>
    <row r="1231">
      <c r="A1231" s="1" t="s">
        <v>180</v>
      </c>
      <c r="B1231" s="38">
        <v>642547.0</v>
      </c>
      <c r="C1231" s="72">
        <v>45789.0</v>
      </c>
      <c r="D1231" s="38">
        <v>93.0</v>
      </c>
      <c r="E1231" s="73">
        <f>IFERROR(__xludf.DUMMYFUNCTION("average(filter('Appearance Sheet'!F:F,'Appearance Sheet'!G:G=B1231,'Appearance Sheet'!A:A=C1231))"),5.333333333333333)</f>
        <v>5.333333333</v>
      </c>
      <c r="F1231" s="67">
        <v>5.241684724</v>
      </c>
      <c r="G1231" s="40">
        <v>1.654148545</v>
      </c>
      <c r="H1231" s="40">
        <f t="shared" si="1"/>
        <v>2.79137567</v>
      </c>
      <c r="I1231" s="41">
        <v>0.52688172</v>
      </c>
      <c r="J1231" s="41">
        <v>0.129032258</v>
      </c>
      <c r="K1231" s="41">
        <v>0.344086022</v>
      </c>
      <c r="L1231" s="41">
        <f t="shared" si="2"/>
        <v>0.182795698</v>
      </c>
      <c r="M1231" s="74">
        <v>0.131941305</v>
      </c>
    </row>
    <row r="1232">
      <c r="A1232" s="1" t="s">
        <v>176</v>
      </c>
      <c r="B1232" s="38">
        <v>686218.0</v>
      </c>
      <c r="C1232" s="72">
        <v>45857.0</v>
      </c>
      <c r="D1232" s="38">
        <v>64.0</v>
      </c>
      <c r="E1232" s="73" t="str">
        <f>IFERROR(__xludf.DUMMYFUNCTION("average(filter('Appearance Sheet'!F:F,'Appearance Sheet'!G:G=B1232,'Appearance Sheet'!A:A=C1232))"),"#N/A")</f>
        <v>#N/A</v>
      </c>
      <c r="F1232" s="67">
        <v>5.24166922</v>
      </c>
      <c r="G1232" s="40">
        <v>1.165680077</v>
      </c>
      <c r="H1232" s="40" t="str">
        <f t="shared" si="1"/>
        <v>#N/A</v>
      </c>
      <c r="I1232" s="41">
        <v>0.46875</v>
      </c>
      <c r="J1232" s="41">
        <v>0.203125</v>
      </c>
      <c r="K1232" s="41">
        <v>0.328125</v>
      </c>
      <c r="L1232" s="41">
        <f t="shared" si="2"/>
        <v>0.140625</v>
      </c>
      <c r="M1232" s="74">
        <v>-4.009659188</v>
      </c>
    </row>
    <row r="1233">
      <c r="A1233" s="1" t="s">
        <v>335</v>
      </c>
      <c r="B1233" s="38">
        <v>663436.0</v>
      </c>
      <c r="C1233" s="72">
        <v>45780.0</v>
      </c>
      <c r="D1233" s="38">
        <v>84.0</v>
      </c>
      <c r="E1233" s="73">
        <f>IFERROR(__xludf.DUMMYFUNCTION("average(filter('Appearance Sheet'!F:F,'Appearance Sheet'!G:G=B1233,'Appearance Sheet'!A:A=C1233))"),5.0)</f>
        <v>5</v>
      </c>
      <c r="F1233" s="67">
        <v>5.241630208</v>
      </c>
      <c r="G1233" s="40">
        <v>1.513139935</v>
      </c>
      <c r="H1233" s="40">
        <f t="shared" si="1"/>
        <v>2.723651883</v>
      </c>
      <c r="I1233" s="41">
        <v>0.452380952</v>
      </c>
      <c r="J1233" s="41">
        <v>0.214285714</v>
      </c>
      <c r="K1233" s="41">
        <v>0.333333333</v>
      </c>
      <c r="L1233" s="41">
        <f t="shared" si="2"/>
        <v>0.119047619</v>
      </c>
      <c r="M1233" s="74">
        <v>-1.505468838</v>
      </c>
    </row>
    <row r="1234">
      <c r="A1234" s="1" t="s">
        <v>263</v>
      </c>
      <c r="B1234" s="38">
        <v>694297.0</v>
      </c>
      <c r="C1234" s="72">
        <v>45895.0</v>
      </c>
      <c r="D1234" s="38">
        <v>78.0</v>
      </c>
      <c r="E1234" s="73" t="str">
        <f>IFERROR(__xludf.DUMMYFUNCTION("average(filter('Appearance Sheet'!F:F,'Appearance Sheet'!G:G=B1234,'Appearance Sheet'!A:A=C1234))"),"#N/A")</f>
        <v>#N/A</v>
      </c>
      <c r="F1234" s="67">
        <v>5.240969465</v>
      </c>
      <c r="G1234" s="40">
        <v>1.403303203</v>
      </c>
      <c r="H1234" s="40" t="str">
        <f t="shared" si="1"/>
        <v>#N/A</v>
      </c>
      <c r="I1234" s="41">
        <v>0.512820513</v>
      </c>
      <c r="J1234" s="41">
        <v>0.179487179</v>
      </c>
      <c r="K1234" s="41">
        <v>0.307692308</v>
      </c>
      <c r="L1234" s="41">
        <f t="shared" si="2"/>
        <v>0.205128205</v>
      </c>
      <c r="M1234" s="74">
        <v>-2.970384233</v>
      </c>
    </row>
    <row r="1235">
      <c r="A1235" s="1" t="s">
        <v>387</v>
      </c>
      <c r="B1235" s="38">
        <v>669060.0</v>
      </c>
      <c r="C1235" s="72">
        <v>45801.0</v>
      </c>
      <c r="D1235" s="38">
        <v>94.0</v>
      </c>
      <c r="E1235" s="73">
        <f>IFERROR(__xludf.DUMMYFUNCTION("average(filter('Appearance Sheet'!F:F,'Appearance Sheet'!G:G=B1235,'Appearance Sheet'!A:A=C1235))"),4.0)</f>
        <v>4</v>
      </c>
      <c r="F1235" s="67">
        <v>5.240774955</v>
      </c>
      <c r="G1235" s="40">
        <v>1.68090642</v>
      </c>
      <c r="H1235" s="40">
        <f t="shared" si="1"/>
        <v>3.782039445</v>
      </c>
      <c r="I1235" s="41">
        <v>0.5</v>
      </c>
      <c r="J1235" s="41">
        <v>0.20212766</v>
      </c>
      <c r="K1235" s="41">
        <v>0.29787234</v>
      </c>
      <c r="L1235" s="41">
        <f t="shared" si="2"/>
        <v>0.20212766</v>
      </c>
      <c r="M1235" s="74">
        <v>1.524333518</v>
      </c>
    </row>
    <row r="1236">
      <c r="A1236" s="1" t="s">
        <v>198</v>
      </c>
      <c r="B1236" s="38">
        <v>680736.0</v>
      </c>
      <c r="C1236" s="72">
        <v>45826.0</v>
      </c>
      <c r="D1236" s="38">
        <v>73.0</v>
      </c>
      <c r="E1236" s="73">
        <f>IFERROR(__xludf.DUMMYFUNCTION("average(filter('Appearance Sheet'!F:F,'Appearance Sheet'!G:G=B1236,'Appearance Sheet'!A:A=C1236))"),5.0)</f>
        <v>5</v>
      </c>
      <c r="F1236" s="67">
        <v>5.240736951</v>
      </c>
      <c r="G1236" s="40">
        <v>1.335100988</v>
      </c>
      <c r="H1236" s="40">
        <f t="shared" si="1"/>
        <v>2.403181778</v>
      </c>
      <c r="I1236" s="41">
        <v>0.479452055</v>
      </c>
      <c r="J1236" s="41">
        <v>0.205479452</v>
      </c>
      <c r="K1236" s="41">
        <v>0.315068493</v>
      </c>
      <c r="L1236" s="41">
        <f t="shared" si="2"/>
        <v>0.164383562</v>
      </c>
      <c r="M1236" s="74">
        <v>1.284260826</v>
      </c>
    </row>
    <row r="1237">
      <c r="A1237" s="1" t="s">
        <v>171</v>
      </c>
      <c r="B1237" s="38">
        <v>665795.0</v>
      </c>
      <c r="C1237" s="72">
        <v>45802.0</v>
      </c>
      <c r="D1237" s="38">
        <v>86.0</v>
      </c>
      <c r="E1237" s="73">
        <f>IFERROR(__xludf.DUMMYFUNCTION("average(filter('Appearance Sheet'!F:F,'Appearance Sheet'!G:G=B1237,'Appearance Sheet'!A:A=C1237))"),5.666666666666667)</f>
        <v>5.666666667</v>
      </c>
      <c r="F1237" s="67">
        <v>5.240701418</v>
      </c>
      <c r="G1237" s="40">
        <v>1.572334601</v>
      </c>
      <c r="H1237" s="40">
        <f t="shared" si="1"/>
        <v>2.497237307</v>
      </c>
      <c r="I1237" s="41">
        <v>0.5</v>
      </c>
      <c r="J1237" s="41">
        <v>0.209302326</v>
      </c>
      <c r="K1237" s="41">
        <v>0.290697674</v>
      </c>
      <c r="L1237" s="41">
        <f t="shared" si="2"/>
        <v>0.209302326</v>
      </c>
      <c r="M1237" s="74">
        <v>1.734986977</v>
      </c>
    </row>
    <row r="1238">
      <c r="A1238" s="1" t="s">
        <v>331</v>
      </c>
      <c r="B1238" s="38">
        <v>672456.0</v>
      </c>
      <c r="C1238" s="72">
        <v>45790.0</v>
      </c>
      <c r="D1238" s="38">
        <v>62.0</v>
      </c>
      <c r="E1238" s="73">
        <f>IFERROR(__xludf.DUMMYFUNCTION("average(filter('Appearance Sheet'!F:F,'Appearance Sheet'!G:G=B1238,'Appearance Sheet'!A:A=C1238))"),3.3333333333333335)</f>
        <v>3.333333333</v>
      </c>
      <c r="F1238" s="67">
        <v>5.240351159</v>
      </c>
      <c r="G1238" s="40">
        <v>1.126338512</v>
      </c>
      <c r="H1238" s="40">
        <f t="shared" si="1"/>
        <v>3.041113982</v>
      </c>
      <c r="I1238" s="41">
        <v>0.516129032</v>
      </c>
      <c r="J1238" s="41">
        <v>0.177419355</v>
      </c>
      <c r="K1238" s="41">
        <v>0.306451613</v>
      </c>
      <c r="L1238" s="41">
        <f t="shared" si="2"/>
        <v>0.209677419</v>
      </c>
      <c r="M1238" s="74">
        <v>-1.72738439</v>
      </c>
    </row>
    <row r="1239">
      <c r="A1239" s="1" t="s">
        <v>229</v>
      </c>
      <c r="B1239" s="38">
        <v>645261.0</v>
      </c>
      <c r="C1239" s="72">
        <v>45800.0</v>
      </c>
      <c r="D1239" s="38">
        <v>98.0</v>
      </c>
      <c r="E1239" s="73">
        <f>IFERROR(__xludf.DUMMYFUNCTION("average(filter('Appearance Sheet'!F:F,'Appearance Sheet'!G:G=B1239,'Appearance Sheet'!A:A=C1239))"),5.333333333333333)</f>
        <v>5.333333333</v>
      </c>
      <c r="F1239" s="67">
        <v>5.240321781</v>
      </c>
      <c r="G1239" s="40">
        <v>1.777407173</v>
      </c>
      <c r="H1239" s="40">
        <f t="shared" si="1"/>
        <v>2.999374604</v>
      </c>
      <c r="I1239" s="41">
        <v>0.448979592</v>
      </c>
      <c r="J1239" s="41">
        <v>0.234693878</v>
      </c>
      <c r="K1239" s="41">
        <v>0.316326531</v>
      </c>
      <c r="L1239" s="41">
        <f t="shared" si="2"/>
        <v>0.132653061</v>
      </c>
      <c r="M1239" s="74">
        <v>0.925976135</v>
      </c>
    </row>
    <row r="1240">
      <c r="A1240" s="1" t="s">
        <v>303</v>
      </c>
      <c r="B1240" s="38">
        <v>592662.0</v>
      </c>
      <c r="C1240" s="72">
        <v>45909.0</v>
      </c>
      <c r="D1240" s="38">
        <v>93.0</v>
      </c>
      <c r="E1240" s="73" t="str">
        <f>IFERROR(__xludf.DUMMYFUNCTION("average(filter('Appearance Sheet'!F:F,'Appearance Sheet'!G:G=B1240,'Appearance Sheet'!A:A=C1240))"),"#N/A")</f>
        <v>#N/A</v>
      </c>
      <c r="F1240" s="67">
        <v>5.240189466</v>
      </c>
      <c r="G1240" s="40">
        <v>1.662547359</v>
      </c>
      <c r="H1240" s="40" t="str">
        <f t="shared" si="1"/>
        <v>#N/A</v>
      </c>
      <c r="I1240" s="41">
        <v>0.483870968</v>
      </c>
      <c r="J1240" s="41">
        <v>0.161290323</v>
      </c>
      <c r="K1240" s="41">
        <v>0.35483871</v>
      </c>
      <c r="L1240" s="41">
        <f t="shared" si="2"/>
        <v>0.129032258</v>
      </c>
      <c r="M1240" s="74">
        <v>1.304864921</v>
      </c>
    </row>
    <row r="1241">
      <c r="A1241" s="1" t="s">
        <v>115</v>
      </c>
      <c r="B1241" s="38">
        <v>543135.0</v>
      </c>
      <c r="C1241" s="72">
        <v>45840.0</v>
      </c>
      <c r="D1241" s="38">
        <v>70.0</v>
      </c>
      <c r="E1241" s="73">
        <f>IFERROR(__xludf.DUMMYFUNCTION("average(filter('Appearance Sheet'!F:F,'Appearance Sheet'!G:G=B1241,'Appearance Sheet'!A:A=C1241))"),5.0)</f>
        <v>5</v>
      </c>
      <c r="F1241" s="67">
        <v>5.239970627</v>
      </c>
      <c r="G1241" s="40">
        <v>1.270911248</v>
      </c>
      <c r="H1241" s="40">
        <f t="shared" si="1"/>
        <v>2.287640246</v>
      </c>
      <c r="I1241" s="41">
        <v>0.514285714</v>
      </c>
      <c r="J1241" s="41">
        <v>0.2</v>
      </c>
      <c r="K1241" s="41">
        <v>0.285714286</v>
      </c>
      <c r="L1241" s="41">
        <f t="shared" si="2"/>
        <v>0.228571428</v>
      </c>
      <c r="M1241" s="74">
        <v>3.080286877</v>
      </c>
    </row>
    <row r="1242">
      <c r="A1242" s="1" t="s">
        <v>481</v>
      </c>
      <c r="B1242" s="38">
        <v>622608.0</v>
      </c>
      <c r="C1242" s="72">
        <v>45756.0</v>
      </c>
      <c r="D1242" s="38">
        <v>76.0</v>
      </c>
      <c r="E1242" s="73">
        <f>IFERROR(__xludf.DUMMYFUNCTION("average(filter('Appearance Sheet'!F:F,'Appearance Sheet'!G:G=B1242,'Appearance Sheet'!A:A=C1242))"),4.333333333333333)</f>
        <v>4.333333333</v>
      </c>
      <c r="F1242" s="67">
        <v>5.239798048</v>
      </c>
      <c r="G1242" s="40">
        <v>1.373360435</v>
      </c>
      <c r="H1242" s="40">
        <f t="shared" si="1"/>
        <v>2.85236398</v>
      </c>
      <c r="I1242" s="41">
        <v>0.526315789</v>
      </c>
      <c r="J1242" s="41">
        <v>0.171052632</v>
      </c>
      <c r="K1242" s="41">
        <v>0.302631579</v>
      </c>
      <c r="L1242" s="41">
        <f t="shared" si="2"/>
        <v>0.22368421</v>
      </c>
      <c r="M1242" s="74">
        <v>-3.128371009</v>
      </c>
    </row>
    <row r="1243">
      <c r="A1243" s="1" t="s">
        <v>255</v>
      </c>
      <c r="B1243" s="38">
        <v>688138.0</v>
      </c>
      <c r="C1243" s="72">
        <v>45798.0</v>
      </c>
      <c r="D1243" s="38">
        <v>89.0</v>
      </c>
      <c r="E1243" s="73">
        <f>IFERROR(__xludf.DUMMYFUNCTION("average(filter('Appearance Sheet'!F:F,'Appearance Sheet'!G:G=B1243,'Appearance Sheet'!A:A=C1243))"),6.0)</f>
        <v>6</v>
      </c>
      <c r="F1243" s="67">
        <v>5.239588414</v>
      </c>
      <c r="G1243" s="40">
        <v>1.628370161</v>
      </c>
      <c r="H1243" s="40">
        <f t="shared" si="1"/>
        <v>2.442555242</v>
      </c>
      <c r="I1243" s="41">
        <v>0.528089888</v>
      </c>
      <c r="J1243" s="41">
        <v>0.146067416</v>
      </c>
      <c r="K1243" s="41">
        <v>0.325842697</v>
      </c>
      <c r="L1243" s="41">
        <f t="shared" si="2"/>
        <v>0.202247191</v>
      </c>
      <c r="M1243" s="74">
        <v>-0.991915058</v>
      </c>
    </row>
    <row r="1244">
      <c r="A1244" s="1" t="s">
        <v>272</v>
      </c>
      <c r="B1244" s="38">
        <v>622491.0</v>
      </c>
      <c r="C1244" s="72">
        <v>45871.0</v>
      </c>
      <c r="D1244" s="38">
        <v>83.0</v>
      </c>
      <c r="E1244" s="73" t="str">
        <f>IFERROR(__xludf.DUMMYFUNCTION("average(filter('Appearance Sheet'!F:F,'Appearance Sheet'!G:G=B1244,'Appearance Sheet'!A:A=C1244))"),"#N/A")</f>
        <v>#N/A</v>
      </c>
      <c r="F1244" s="67">
        <v>5.239443047</v>
      </c>
      <c r="G1244" s="40">
        <v>1.493365441</v>
      </c>
      <c r="H1244" s="40" t="str">
        <f t="shared" si="1"/>
        <v>#N/A</v>
      </c>
      <c r="I1244" s="41">
        <v>0.530120482</v>
      </c>
      <c r="J1244" s="41">
        <v>0.144578313</v>
      </c>
      <c r="K1244" s="41">
        <v>0.325301205</v>
      </c>
      <c r="L1244" s="41">
        <f t="shared" si="2"/>
        <v>0.204819277</v>
      </c>
      <c r="M1244" s="74">
        <v>0.919357348</v>
      </c>
    </row>
    <row r="1245">
      <c r="A1245" s="1" t="s">
        <v>269</v>
      </c>
      <c r="B1245" s="38">
        <v>605280.0</v>
      </c>
      <c r="C1245" s="72">
        <v>45797.0</v>
      </c>
      <c r="D1245" s="38">
        <v>89.0</v>
      </c>
      <c r="E1245" s="73">
        <f>IFERROR(__xludf.DUMMYFUNCTION("average(filter('Appearance Sheet'!F:F,'Appearance Sheet'!G:G=B1245,'Appearance Sheet'!A:A=C1245))"),6.0)</f>
        <v>6</v>
      </c>
      <c r="F1245" s="67">
        <v>5.239346794</v>
      </c>
      <c r="G1245" s="40">
        <v>1.622116443</v>
      </c>
      <c r="H1245" s="40">
        <f t="shared" si="1"/>
        <v>2.433174665</v>
      </c>
      <c r="I1245" s="41">
        <v>0.550561798</v>
      </c>
      <c r="J1245" s="41">
        <v>0.123595506</v>
      </c>
      <c r="K1245" s="41">
        <v>0.325842697</v>
      </c>
      <c r="L1245" s="41">
        <f t="shared" si="2"/>
        <v>0.224719101</v>
      </c>
      <c r="M1245" s="74">
        <v>0.793676472</v>
      </c>
    </row>
    <row r="1246">
      <c r="A1246" s="1" t="s">
        <v>272</v>
      </c>
      <c r="B1246" s="38">
        <v>622491.0</v>
      </c>
      <c r="C1246" s="72">
        <v>45924.0</v>
      </c>
      <c r="D1246" s="38">
        <v>89.0</v>
      </c>
      <c r="E1246" s="73" t="str">
        <f>IFERROR(__xludf.DUMMYFUNCTION("average(filter('Appearance Sheet'!F:F,'Appearance Sheet'!G:G=B1246,'Appearance Sheet'!A:A=C1246))"),"#N/A")</f>
        <v>#N/A</v>
      </c>
      <c r="F1246" s="67">
        <v>5.239238432</v>
      </c>
      <c r="G1246" s="40">
        <v>1.627800175</v>
      </c>
      <c r="H1246" s="40" t="str">
        <f t="shared" si="1"/>
        <v>#N/A</v>
      </c>
      <c r="I1246" s="41">
        <v>0.483146067</v>
      </c>
      <c r="J1246" s="41">
        <v>0.224719101</v>
      </c>
      <c r="K1246" s="41">
        <v>0.292134831</v>
      </c>
      <c r="L1246" s="41">
        <f t="shared" si="2"/>
        <v>0.191011236</v>
      </c>
      <c r="M1246" s="74">
        <v>4.23666345</v>
      </c>
    </row>
    <row r="1247">
      <c r="A1247" s="1" t="s">
        <v>216</v>
      </c>
      <c r="B1247" s="38">
        <v>621107.0</v>
      </c>
      <c r="C1247" s="72">
        <v>45749.0</v>
      </c>
      <c r="D1247" s="38">
        <v>85.0</v>
      </c>
      <c r="E1247" s="73">
        <f>IFERROR(__xludf.DUMMYFUNCTION("average(filter('Appearance Sheet'!F:F,'Appearance Sheet'!G:G=B1247,'Appearance Sheet'!A:A=C1247))"),6.0)</f>
        <v>6</v>
      </c>
      <c r="F1247" s="67">
        <v>5.239142635</v>
      </c>
      <c r="G1247" s="40">
        <v>1.584113057</v>
      </c>
      <c r="H1247" s="40">
        <f t="shared" si="1"/>
        <v>2.376169586</v>
      </c>
      <c r="I1247" s="41">
        <v>0.494117647</v>
      </c>
      <c r="J1247" s="41">
        <v>0.141176471</v>
      </c>
      <c r="K1247" s="41">
        <v>0.364705882</v>
      </c>
      <c r="L1247" s="41">
        <f t="shared" si="2"/>
        <v>0.129411765</v>
      </c>
      <c r="M1247" s="74">
        <v>-1.364081645</v>
      </c>
    </row>
    <row r="1248">
      <c r="A1248" s="1" t="s">
        <v>147</v>
      </c>
      <c r="B1248" s="38">
        <v>608379.0</v>
      </c>
      <c r="C1248" s="72">
        <v>45773.0</v>
      </c>
      <c r="D1248" s="38">
        <v>90.0</v>
      </c>
      <c r="E1248" s="73">
        <f>IFERROR(__xludf.DUMMYFUNCTION("average(filter('Appearance Sheet'!F:F,'Appearance Sheet'!G:G=B1248,'Appearance Sheet'!A:A=C1248))"),6.0)</f>
        <v>6</v>
      </c>
      <c r="F1248" s="67">
        <v>5.239081594</v>
      </c>
      <c r="G1248" s="40">
        <v>1.664829729</v>
      </c>
      <c r="H1248" s="40">
        <f t="shared" si="1"/>
        <v>2.497244594</v>
      </c>
      <c r="I1248" s="41">
        <v>0.455555556</v>
      </c>
      <c r="J1248" s="41">
        <v>0.2</v>
      </c>
      <c r="K1248" s="41">
        <v>0.344444444</v>
      </c>
      <c r="L1248" s="41">
        <f t="shared" si="2"/>
        <v>0.111111112</v>
      </c>
      <c r="M1248" s="74">
        <v>1.59657664</v>
      </c>
    </row>
    <row r="1249">
      <c r="A1249" s="1" t="s">
        <v>85</v>
      </c>
      <c r="B1249" s="38">
        <v>808967.0</v>
      </c>
      <c r="C1249" s="72">
        <v>45880.0</v>
      </c>
      <c r="D1249" s="38">
        <v>95.0</v>
      </c>
      <c r="E1249" s="73" t="str">
        <f>IFERROR(__xludf.DUMMYFUNCTION("average(filter('Appearance Sheet'!F:F,'Appearance Sheet'!G:G=B1249,'Appearance Sheet'!A:A=C1249))"),"#N/A")</f>
        <v>#N/A</v>
      </c>
      <c r="F1249" s="67">
        <v>5.239009162</v>
      </c>
      <c r="G1249" s="40">
        <v>1.71782465</v>
      </c>
      <c r="H1249" s="40" t="str">
        <f t="shared" si="1"/>
        <v>#N/A</v>
      </c>
      <c r="I1249" s="41">
        <v>0.473684211</v>
      </c>
      <c r="J1249" s="41">
        <v>0.242105263</v>
      </c>
      <c r="K1249" s="41">
        <v>0.284210526</v>
      </c>
      <c r="L1249" s="41">
        <f t="shared" si="2"/>
        <v>0.189473685</v>
      </c>
      <c r="M1249" s="74">
        <v>-0.944102072</v>
      </c>
    </row>
    <row r="1250">
      <c r="A1250" s="1" t="s">
        <v>77</v>
      </c>
      <c r="B1250" s="38">
        <v>657277.0</v>
      </c>
      <c r="C1250" s="72">
        <v>45880.0</v>
      </c>
      <c r="D1250" s="38">
        <v>95.0</v>
      </c>
      <c r="E1250" s="73" t="str">
        <f>IFERROR(__xludf.DUMMYFUNCTION("average(filter('Appearance Sheet'!F:F,'Appearance Sheet'!G:G=B1250,'Appearance Sheet'!A:A=C1250))"),"#N/A")</f>
        <v>#N/A</v>
      </c>
      <c r="F1250" s="67">
        <v>5.238988619</v>
      </c>
      <c r="G1250" s="40">
        <v>1.714464237</v>
      </c>
      <c r="H1250" s="40" t="str">
        <f t="shared" si="1"/>
        <v>#N/A</v>
      </c>
      <c r="I1250" s="41">
        <v>0.515789474</v>
      </c>
      <c r="J1250" s="41">
        <v>0.136842105</v>
      </c>
      <c r="K1250" s="41">
        <v>0.347368421</v>
      </c>
      <c r="L1250" s="41">
        <f t="shared" si="2"/>
        <v>0.168421053</v>
      </c>
      <c r="M1250" s="74">
        <v>-1.321811425</v>
      </c>
    </row>
    <row r="1251">
      <c r="A1251" s="1" t="s">
        <v>278</v>
      </c>
      <c r="B1251" s="38">
        <v>542881.0</v>
      </c>
      <c r="C1251" s="72">
        <v>45747.0</v>
      </c>
      <c r="D1251" s="38">
        <v>85.0</v>
      </c>
      <c r="E1251" s="73">
        <f>IFERROR(__xludf.DUMMYFUNCTION("average(filter('Appearance Sheet'!F:F,'Appearance Sheet'!G:G=B1251,'Appearance Sheet'!A:A=C1251))"),5.0)</f>
        <v>5</v>
      </c>
      <c r="F1251" s="67">
        <v>5.238795984</v>
      </c>
      <c r="G1251" s="40">
        <v>1.533570767</v>
      </c>
      <c r="H1251" s="40">
        <f t="shared" si="1"/>
        <v>2.760427381</v>
      </c>
      <c r="I1251" s="41">
        <v>0.576470588</v>
      </c>
      <c r="J1251" s="41">
        <v>0.094117647</v>
      </c>
      <c r="K1251" s="41">
        <v>0.329411765</v>
      </c>
      <c r="L1251" s="41">
        <f t="shared" si="2"/>
        <v>0.247058823</v>
      </c>
      <c r="M1251" s="74">
        <v>-0.185814559</v>
      </c>
    </row>
    <row r="1252">
      <c r="A1252" s="1" t="s">
        <v>267</v>
      </c>
      <c r="B1252" s="38">
        <v>669387.0</v>
      </c>
      <c r="C1252" s="72">
        <v>45765.0</v>
      </c>
      <c r="D1252" s="38">
        <v>64.0</v>
      </c>
      <c r="E1252" s="73">
        <f>IFERROR(__xludf.DUMMYFUNCTION("average(filter('Appearance Sheet'!F:F,'Appearance Sheet'!G:G=B1252,'Appearance Sheet'!A:A=C1252))"),4.0)</f>
        <v>4</v>
      </c>
      <c r="F1252" s="67">
        <v>5.238677163</v>
      </c>
      <c r="G1252" s="40">
        <v>1.183591934</v>
      </c>
      <c r="H1252" s="40">
        <f t="shared" si="1"/>
        <v>2.663081852</v>
      </c>
      <c r="I1252" s="41">
        <v>0.4375</v>
      </c>
      <c r="J1252" s="41">
        <v>0.265625</v>
      </c>
      <c r="K1252" s="41">
        <v>0.296875</v>
      </c>
      <c r="L1252" s="41">
        <f t="shared" si="2"/>
        <v>0.140625</v>
      </c>
      <c r="M1252" s="74">
        <v>-4.871811633</v>
      </c>
    </row>
    <row r="1253">
      <c r="A1253" s="1" t="s">
        <v>67</v>
      </c>
      <c r="B1253" s="38">
        <v>684007.0</v>
      </c>
      <c r="C1253" s="72">
        <v>45840.0</v>
      </c>
      <c r="D1253" s="38">
        <v>81.0</v>
      </c>
      <c r="E1253" s="73">
        <f>IFERROR(__xludf.DUMMYFUNCTION("average(filter('Appearance Sheet'!F:F,'Appearance Sheet'!G:G=B1253,'Appearance Sheet'!A:A=C1253))"),5.333333333333333)</f>
        <v>5.333333333</v>
      </c>
      <c r="F1253" s="67">
        <v>5.238150604</v>
      </c>
      <c r="G1253" s="40">
        <v>1.48929488</v>
      </c>
      <c r="H1253" s="40">
        <f t="shared" si="1"/>
        <v>2.51318511</v>
      </c>
      <c r="I1253" s="41">
        <v>0.50617284</v>
      </c>
      <c r="J1253" s="41">
        <v>0.135802469</v>
      </c>
      <c r="K1253" s="41">
        <v>0.358024691</v>
      </c>
      <c r="L1253" s="41">
        <f t="shared" si="2"/>
        <v>0.148148149</v>
      </c>
      <c r="M1253" s="74">
        <v>0.99727254</v>
      </c>
    </row>
    <row r="1254">
      <c r="A1254" s="1" t="s">
        <v>129</v>
      </c>
      <c r="B1254" s="38">
        <v>686752.0</v>
      </c>
      <c r="C1254" s="72">
        <v>45874.0</v>
      </c>
      <c r="D1254" s="38">
        <v>81.0</v>
      </c>
      <c r="E1254" s="73" t="str">
        <f>IFERROR(__xludf.DUMMYFUNCTION("average(filter('Appearance Sheet'!F:F,'Appearance Sheet'!G:G=B1254,'Appearance Sheet'!A:A=C1254))"),"#N/A")</f>
        <v>#N/A</v>
      </c>
      <c r="F1254" s="67">
        <v>5.237781297</v>
      </c>
      <c r="G1254" s="40">
        <v>1.491853378</v>
      </c>
      <c r="H1254" s="40" t="str">
        <f t="shared" si="1"/>
        <v>#N/A</v>
      </c>
      <c r="I1254" s="41">
        <v>0.555555556</v>
      </c>
      <c r="J1254" s="41">
        <v>0.148148148</v>
      </c>
      <c r="K1254" s="41">
        <v>0.296296296</v>
      </c>
      <c r="L1254" s="41">
        <f t="shared" si="2"/>
        <v>0.25925926</v>
      </c>
      <c r="M1254" s="74">
        <v>-1.058909326</v>
      </c>
    </row>
    <row r="1255">
      <c r="A1255" s="1" t="s">
        <v>303</v>
      </c>
      <c r="B1255" s="38">
        <v>592662.0</v>
      </c>
      <c r="C1255" s="72">
        <v>45813.0</v>
      </c>
      <c r="D1255" s="38">
        <v>98.0</v>
      </c>
      <c r="E1255" s="73">
        <f>IFERROR(__xludf.DUMMYFUNCTION("average(filter('Appearance Sheet'!F:F,'Appearance Sheet'!G:G=B1255,'Appearance Sheet'!A:A=C1255))"),7.0)</f>
        <v>7</v>
      </c>
      <c r="F1255" s="67">
        <v>5.237364421</v>
      </c>
      <c r="G1255" s="40">
        <v>1.808602726</v>
      </c>
      <c r="H1255" s="40">
        <f t="shared" si="1"/>
        <v>2.325346362</v>
      </c>
      <c r="I1255" s="41">
        <v>0.520408163</v>
      </c>
      <c r="J1255" s="41">
        <v>0.173469388</v>
      </c>
      <c r="K1255" s="41">
        <v>0.306122449</v>
      </c>
      <c r="L1255" s="41">
        <f t="shared" si="2"/>
        <v>0.214285714</v>
      </c>
      <c r="M1255" s="74">
        <v>1.677891035</v>
      </c>
    </row>
    <row r="1256">
      <c r="A1256" s="1" t="s">
        <v>195</v>
      </c>
      <c r="B1256" s="38">
        <v>668678.0</v>
      </c>
      <c r="C1256" s="72">
        <v>45794.0</v>
      </c>
      <c r="D1256" s="38">
        <v>84.0</v>
      </c>
      <c r="E1256" s="73">
        <f>IFERROR(__xludf.DUMMYFUNCTION("average(filter('Appearance Sheet'!F:F,'Appearance Sheet'!G:G=B1256,'Appearance Sheet'!A:A=C1256))"),5.0)</f>
        <v>5</v>
      </c>
      <c r="F1256" s="67">
        <v>5.237044029</v>
      </c>
      <c r="G1256" s="40">
        <v>1.567237264</v>
      </c>
      <c r="H1256" s="40">
        <f t="shared" si="1"/>
        <v>2.821027075</v>
      </c>
      <c r="I1256" s="41">
        <v>0.535714286</v>
      </c>
      <c r="J1256" s="41">
        <v>0.142857143</v>
      </c>
      <c r="K1256" s="41">
        <v>0.321428571</v>
      </c>
      <c r="L1256" s="41">
        <f t="shared" si="2"/>
        <v>0.214285715</v>
      </c>
      <c r="M1256" s="74">
        <v>-3.191813936</v>
      </c>
    </row>
    <row r="1257">
      <c r="A1257" s="1" t="s">
        <v>573</v>
      </c>
      <c r="B1257" s="38">
        <v>686930.0</v>
      </c>
      <c r="C1257" s="72">
        <v>45899.0</v>
      </c>
      <c r="D1257" s="38">
        <v>66.0</v>
      </c>
      <c r="E1257" s="73" t="str">
        <f>IFERROR(__xludf.DUMMYFUNCTION("average(filter('Appearance Sheet'!F:F,'Appearance Sheet'!G:G=B1257,'Appearance Sheet'!A:A=C1257))"),"#N/A")</f>
        <v>#N/A</v>
      </c>
      <c r="F1257" s="67">
        <v>5.236876888</v>
      </c>
      <c r="G1257" s="40">
        <v>1.244714211</v>
      </c>
      <c r="H1257" s="40" t="str">
        <f t="shared" si="1"/>
        <v>#N/A</v>
      </c>
      <c r="I1257" s="41">
        <v>0.515151515</v>
      </c>
      <c r="J1257" s="41">
        <v>0.181818182</v>
      </c>
      <c r="K1257" s="41">
        <v>0.303030303</v>
      </c>
      <c r="L1257" s="41">
        <f t="shared" si="2"/>
        <v>0.212121212</v>
      </c>
      <c r="M1257" s="74">
        <v>-4.712935309</v>
      </c>
    </row>
    <row r="1258">
      <c r="A1258" s="1" t="s">
        <v>218</v>
      </c>
      <c r="B1258" s="38">
        <v>669432.0</v>
      </c>
      <c r="C1258" s="72">
        <v>45870.0</v>
      </c>
      <c r="D1258" s="38">
        <v>81.0</v>
      </c>
      <c r="E1258" s="73" t="str">
        <f>IFERROR(__xludf.DUMMYFUNCTION("average(filter('Appearance Sheet'!F:F,'Appearance Sheet'!G:G=B1258,'Appearance Sheet'!A:A=C1258))"),"#N/A")</f>
        <v>#N/A</v>
      </c>
      <c r="F1258" s="67">
        <v>5.236857016</v>
      </c>
      <c r="G1258" s="40">
        <v>1.514791105</v>
      </c>
      <c r="H1258" s="40" t="str">
        <f t="shared" si="1"/>
        <v>#N/A</v>
      </c>
      <c r="I1258" s="41">
        <v>0.50617284</v>
      </c>
      <c r="J1258" s="41">
        <v>0.172839506</v>
      </c>
      <c r="K1258" s="41">
        <v>0.320987654</v>
      </c>
      <c r="L1258" s="41">
        <f t="shared" si="2"/>
        <v>0.185185186</v>
      </c>
      <c r="M1258" s="74">
        <v>1.806140289</v>
      </c>
    </row>
    <row r="1259">
      <c r="A1259" s="1" t="s">
        <v>95</v>
      </c>
      <c r="B1259" s="38">
        <v>543243.0</v>
      </c>
      <c r="C1259" s="72">
        <v>45867.0</v>
      </c>
      <c r="D1259" s="38">
        <v>87.0</v>
      </c>
      <c r="E1259" s="73" t="str">
        <f>IFERROR(__xludf.DUMMYFUNCTION("average(filter('Appearance Sheet'!F:F,'Appearance Sheet'!G:G=B1259,'Appearance Sheet'!A:A=C1259))"),"#N/A")</f>
        <v>#N/A</v>
      </c>
      <c r="F1259" s="67">
        <v>5.236812604</v>
      </c>
      <c r="G1259" s="40">
        <v>1.609924412</v>
      </c>
      <c r="H1259" s="40" t="str">
        <f t="shared" si="1"/>
        <v>#N/A</v>
      </c>
      <c r="I1259" s="41">
        <v>0.482758621</v>
      </c>
      <c r="J1259" s="41">
        <v>0.183908046</v>
      </c>
      <c r="K1259" s="41">
        <v>0.333333333</v>
      </c>
      <c r="L1259" s="41">
        <f t="shared" si="2"/>
        <v>0.149425288</v>
      </c>
      <c r="M1259" s="74">
        <v>-2.150562654</v>
      </c>
    </row>
    <row r="1260">
      <c r="A1260" s="1" t="s">
        <v>130</v>
      </c>
      <c r="B1260" s="38">
        <v>666200.0</v>
      </c>
      <c r="C1260" s="72">
        <v>45745.0</v>
      </c>
      <c r="D1260" s="38">
        <v>90.0</v>
      </c>
      <c r="E1260" s="73">
        <f>IFERROR(__xludf.DUMMYFUNCTION("average(filter('Appearance Sheet'!F:F,'Appearance Sheet'!G:G=B1260,'Appearance Sheet'!A:A=C1260))"),5.0)</f>
        <v>5</v>
      </c>
      <c r="F1260" s="67">
        <v>5.236549567</v>
      </c>
      <c r="G1260" s="40">
        <v>1.617383602</v>
      </c>
      <c r="H1260" s="40">
        <f t="shared" si="1"/>
        <v>2.911290484</v>
      </c>
      <c r="I1260" s="41">
        <v>0.544444444</v>
      </c>
      <c r="J1260" s="41">
        <v>0.144444444</v>
      </c>
      <c r="K1260" s="41">
        <v>0.311111111</v>
      </c>
      <c r="L1260" s="41">
        <f t="shared" si="2"/>
        <v>0.233333333</v>
      </c>
      <c r="M1260" s="74">
        <v>-0.356821329</v>
      </c>
    </row>
    <row r="1261">
      <c r="A1261" s="1" t="s">
        <v>100</v>
      </c>
      <c r="B1261" s="38">
        <v>676979.0</v>
      </c>
      <c r="C1261" s="72">
        <v>45776.0</v>
      </c>
      <c r="D1261" s="38">
        <v>88.0</v>
      </c>
      <c r="E1261" s="73">
        <f>IFERROR(__xludf.DUMMYFUNCTION("average(filter('Appearance Sheet'!F:F,'Appearance Sheet'!G:G=B1261,'Appearance Sheet'!A:A=C1261))"),7.0)</f>
        <v>7</v>
      </c>
      <c r="F1261" s="67">
        <v>5.236413838</v>
      </c>
      <c r="G1261" s="40">
        <v>1.647824074</v>
      </c>
      <c r="H1261" s="40">
        <f t="shared" si="1"/>
        <v>2.118630952</v>
      </c>
      <c r="I1261" s="41">
        <v>0.522727273</v>
      </c>
      <c r="J1261" s="41">
        <v>0.181818182</v>
      </c>
      <c r="K1261" s="41">
        <v>0.295454545</v>
      </c>
      <c r="L1261" s="41">
        <f t="shared" si="2"/>
        <v>0.227272728</v>
      </c>
      <c r="M1261" s="74">
        <v>0.747395954</v>
      </c>
    </row>
    <row r="1262">
      <c r="A1262" s="1" t="s">
        <v>229</v>
      </c>
      <c r="B1262" s="38">
        <v>645261.0</v>
      </c>
      <c r="C1262" s="72">
        <v>45895.0</v>
      </c>
      <c r="D1262" s="38">
        <v>96.0</v>
      </c>
      <c r="E1262" s="73" t="str">
        <f>IFERROR(__xludf.DUMMYFUNCTION("average(filter('Appearance Sheet'!F:F,'Appearance Sheet'!G:G=B1262,'Appearance Sheet'!A:A=C1262))"),"#N/A")</f>
        <v>#N/A</v>
      </c>
      <c r="F1262" s="67">
        <v>5.236291872</v>
      </c>
      <c r="G1262" s="40">
        <v>1.762621913</v>
      </c>
      <c r="H1262" s="40" t="str">
        <f t="shared" si="1"/>
        <v>#N/A</v>
      </c>
      <c r="I1262" s="41">
        <v>0.520833333</v>
      </c>
      <c r="J1262" s="41">
        <v>0.197916667</v>
      </c>
      <c r="K1262" s="41">
        <v>0.28125</v>
      </c>
      <c r="L1262" s="41">
        <f t="shared" si="2"/>
        <v>0.239583333</v>
      </c>
      <c r="M1262" s="74">
        <v>2.597478451</v>
      </c>
    </row>
    <row r="1263">
      <c r="A1263" s="1" t="s">
        <v>55</v>
      </c>
      <c r="B1263" s="38">
        <v>641816.0</v>
      </c>
      <c r="C1263" s="72">
        <v>45767.0</v>
      </c>
      <c r="D1263" s="38">
        <v>84.0</v>
      </c>
      <c r="E1263" s="73">
        <f>IFERROR(__xludf.DUMMYFUNCTION("average(filter('Appearance Sheet'!F:F,'Appearance Sheet'!G:G=B1263,'Appearance Sheet'!A:A=C1263))"),7.0)</f>
        <v>7</v>
      </c>
      <c r="F1263" s="67">
        <v>5.236208133</v>
      </c>
      <c r="G1263" s="40">
        <v>1.551180476</v>
      </c>
      <c r="H1263" s="40">
        <f t="shared" si="1"/>
        <v>1.994374898</v>
      </c>
      <c r="I1263" s="41">
        <v>0.511904762</v>
      </c>
      <c r="J1263" s="41">
        <v>0.166666667</v>
      </c>
      <c r="K1263" s="41">
        <v>0.321428571</v>
      </c>
      <c r="L1263" s="41">
        <f t="shared" si="2"/>
        <v>0.190476191</v>
      </c>
      <c r="M1263" s="74">
        <v>2.085908825</v>
      </c>
    </row>
    <row r="1264">
      <c r="A1264" s="1" t="s">
        <v>161</v>
      </c>
      <c r="B1264" s="38">
        <v>702070.0</v>
      </c>
      <c r="C1264" s="72">
        <v>45859.0</v>
      </c>
      <c r="D1264" s="38">
        <v>95.0</v>
      </c>
      <c r="E1264" s="73" t="str">
        <f>IFERROR(__xludf.DUMMYFUNCTION("average(filter('Appearance Sheet'!F:F,'Appearance Sheet'!G:G=B1264,'Appearance Sheet'!A:A=C1264))"),"#N/A")</f>
        <v>#N/A</v>
      </c>
      <c r="F1264" s="67">
        <v>5.236198237</v>
      </c>
      <c r="G1264" s="40">
        <v>1.745973548</v>
      </c>
      <c r="H1264" s="40" t="str">
        <f t="shared" si="1"/>
        <v>#N/A</v>
      </c>
      <c r="I1264" s="41">
        <v>0.463157895</v>
      </c>
      <c r="J1264" s="41">
        <v>0.126315789</v>
      </c>
      <c r="K1264" s="41">
        <v>0.410526316</v>
      </c>
      <c r="L1264" s="41">
        <f t="shared" si="2"/>
        <v>0.052631579</v>
      </c>
      <c r="M1264" s="74">
        <v>-1.362214176</v>
      </c>
    </row>
    <row r="1265">
      <c r="A1265" s="1" t="s">
        <v>148</v>
      </c>
      <c r="B1265" s="38">
        <v>592866.0</v>
      </c>
      <c r="C1265" s="72">
        <v>45811.0</v>
      </c>
      <c r="D1265" s="38">
        <v>72.0</v>
      </c>
      <c r="E1265" s="73">
        <f>IFERROR(__xludf.DUMMYFUNCTION("average(filter('Appearance Sheet'!F:F,'Appearance Sheet'!G:G=B1265,'Appearance Sheet'!A:A=C1265))"),4.333333333333333)</f>
        <v>4.333333333</v>
      </c>
      <c r="F1265" s="67">
        <v>5.236189586</v>
      </c>
      <c r="G1265" s="40">
        <v>1.333174691</v>
      </c>
      <c r="H1265" s="40">
        <f t="shared" si="1"/>
        <v>2.768901281</v>
      </c>
      <c r="I1265" s="41">
        <v>0.527777778</v>
      </c>
      <c r="J1265" s="41">
        <v>0.180555556</v>
      </c>
      <c r="K1265" s="41">
        <v>0.291666667</v>
      </c>
      <c r="L1265" s="41">
        <f t="shared" si="2"/>
        <v>0.236111111</v>
      </c>
      <c r="M1265" s="74">
        <v>-1.220057962</v>
      </c>
    </row>
    <row r="1266">
      <c r="A1266" s="1" t="s">
        <v>57</v>
      </c>
      <c r="B1266" s="38">
        <v>594798.0</v>
      </c>
      <c r="C1266" s="72">
        <v>45833.0</v>
      </c>
      <c r="D1266" s="38">
        <v>87.0</v>
      </c>
      <c r="E1266" s="73">
        <f>IFERROR(__xludf.DUMMYFUNCTION("average(filter('Appearance Sheet'!F:F,'Appearance Sheet'!G:G=B1266,'Appearance Sheet'!A:A=C1266))"),7.0)</f>
        <v>7</v>
      </c>
      <c r="F1266" s="67">
        <v>5.236149295</v>
      </c>
      <c r="G1266" s="40">
        <v>1.589370958</v>
      </c>
      <c r="H1266" s="40">
        <f t="shared" si="1"/>
        <v>2.043476946</v>
      </c>
      <c r="I1266" s="41">
        <v>0.505747126</v>
      </c>
      <c r="J1266" s="41">
        <v>0.275862069</v>
      </c>
      <c r="K1266" s="41">
        <v>0.218390805</v>
      </c>
      <c r="L1266" s="41">
        <f t="shared" si="2"/>
        <v>0.287356321</v>
      </c>
      <c r="M1266" s="74">
        <v>3.509435099</v>
      </c>
    </row>
    <row r="1267">
      <c r="A1267" s="1" t="s">
        <v>156</v>
      </c>
      <c r="B1267" s="38">
        <v>519242.0</v>
      </c>
      <c r="C1267" s="72">
        <v>45817.0</v>
      </c>
      <c r="D1267" s="38">
        <v>102.0</v>
      </c>
      <c r="E1267" s="73">
        <f>IFERROR(__xludf.DUMMYFUNCTION("average(filter('Appearance Sheet'!F:F,'Appearance Sheet'!G:G=B1267,'Appearance Sheet'!A:A=C1267))"),7.0)</f>
        <v>7</v>
      </c>
      <c r="F1267" s="67">
        <v>5.235830557</v>
      </c>
      <c r="G1267" s="40">
        <v>1.887034072</v>
      </c>
      <c r="H1267" s="40">
        <f t="shared" si="1"/>
        <v>2.426186664</v>
      </c>
      <c r="I1267" s="41">
        <v>0.509803922</v>
      </c>
      <c r="J1267" s="41">
        <v>0.166666667</v>
      </c>
      <c r="K1267" s="41">
        <v>0.323529412</v>
      </c>
      <c r="L1267" s="41">
        <f t="shared" si="2"/>
        <v>0.18627451</v>
      </c>
      <c r="M1267" s="74">
        <v>0.650155036</v>
      </c>
    </row>
    <row r="1268">
      <c r="A1268" s="1" t="s">
        <v>496</v>
      </c>
      <c r="B1268" s="38">
        <v>694477.0</v>
      </c>
      <c r="C1268" s="72">
        <v>45783.0</v>
      </c>
      <c r="D1268" s="38">
        <v>89.0</v>
      </c>
      <c r="E1268" s="73">
        <f>IFERROR(__xludf.DUMMYFUNCTION("average(filter('Appearance Sheet'!F:F,'Appearance Sheet'!G:G=B1268,'Appearance Sheet'!A:A=C1268))"),6.666666666666667)</f>
        <v>6.666666667</v>
      </c>
      <c r="F1268" s="67">
        <v>5.235704623</v>
      </c>
      <c r="G1268" s="40">
        <v>1.636834706</v>
      </c>
      <c r="H1268" s="40">
        <f t="shared" si="1"/>
        <v>2.209726853</v>
      </c>
      <c r="I1268" s="41">
        <v>0.494382022</v>
      </c>
      <c r="J1268" s="41">
        <v>0.168539326</v>
      </c>
      <c r="K1268" s="41">
        <v>0.337078652</v>
      </c>
      <c r="L1268" s="41">
        <f t="shared" si="2"/>
        <v>0.15730337</v>
      </c>
      <c r="M1268" s="74">
        <v>0.425182334</v>
      </c>
    </row>
    <row r="1269">
      <c r="A1269" s="1" t="s">
        <v>364</v>
      </c>
      <c r="B1269" s="38">
        <v>693855.0</v>
      </c>
      <c r="C1269" s="72">
        <v>45923.0</v>
      </c>
      <c r="D1269" s="38">
        <v>83.0</v>
      </c>
      <c r="E1269" s="73" t="str">
        <f>IFERROR(__xludf.DUMMYFUNCTION("average(filter('Appearance Sheet'!F:F,'Appearance Sheet'!G:G=B1269,'Appearance Sheet'!A:A=C1269))"),"#N/A")</f>
        <v>#N/A</v>
      </c>
      <c r="F1269" s="67">
        <v>5.235639842</v>
      </c>
      <c r="G1269" s="40">
        <v>1.473029012</v>
      </c>
      <c r="H1269" s="40" t="str">
        <f t="shared" si="1"/>
        <v>#N/A</v>
      </c>
      <c r="I1269" s="41">
        <v>0.506024096</v>
      </c>
      <c r="J1269" s="41">
        <v>0.156626506</v>
      </c>
      <c r="K1269" s="41">
        <v>0.337349398</v>
      </c>
      <c r="L1269" s="41">
        <f t="shared" si="2"/>
        <v>0.168674698</v>
      </c>
      <c r="M1269" s="74">
        <v>0.962278397</v>
      </c>
    </row>
    <row r="1270">
      <c r="A1270" s="1" t="s">
        <v>158</v>
      </c>
      <c r="B1270" s="38">
        <v>608372.0</v>
      </c>
      <c r="C1270" s="72">
        <v>45835.0</v>
      </c>
      <c r="D1270" s="38">
        <v>84.0</v>
      </c>
      <c r="E1270" s="73">
        <f>IFERROR(__xludf.DUMMYFUNCTION("average(filter('Appearance Sheet'!F:F,'Appearance Sheet'!G:G=B1270,'Appearance Sheet'!A:A=C1270))"),5.0)</f>
        <v>5</v>
      </c>
      <c r="F1270" s="67">
        <v>5.23561991</v>
      </c>
      <c r="G1270" s="40">
        <v>1.557976215</v>
      </c>
      <c r="H1270" s="40">
        <f t="shared" si="1"/>
        <v>2.804357187</v>
      </c>
      <c r="I1270" s="41">
        <v>0.511904762</v>
      </c>
      <c r="J1270" s="41">
        <v>0.142857143</v>
      </c>
      <c r="K1270" s="41">
        <v>0.345238095</v>
      </c>
      <c r="L1270" s="41">
        <f t="shared" si="2"/>
        <v>0.166666667</v>
      </c>
      <c r="M1270" s="74">
        <v>-4.393308606</v>
      </c>
    </row>
    <row r="1271">
      <c r="A1271" s="1" t="s">
        <v>98</v>
      </c>
      <c r="B1271" s="38">
        <v>605400.0</v>
      </c>
      <c r="C1271" s="72">
        <v>45780.0</v>
      </c>
      <c r="D1271" s="38">
        <v>105.0</v>
      </c>
      <c r="E1271" s="73">
        <f>IFERROR(__xludf.DUMMYFUNCTION("average(filter('Appearance Sheet'!F:F,'Appearance Sheet'!G:G=B1271,'Appearance Sheet'!A:A=C1271))"),6.0)</f>
        <v>6</v>
      </c>
      <c r="F1271" s="67">
        <v>5.235545553</v>
      </c>
      <c r="G1271" s="40">
        <v>1.842158305</v>
      </c>
      <c r="H1271" s="40">
        <f t="shared" si="1"/>
        <v>2.763237458</v>
      </c>
      <c r="I1271" s="41">
        <v>0.523809524</v>
      </c>
      <c r="J1271" s="41">
        <v>0.171428571</v>
      </c>
      <c r="K1271" s="41">
        <v>0.304761905</v>
      </c>
      <c r="L1271" s="41">
        <f t="shared" si="2"/>
        <v>0.219047619</v>
      </c>
      <c r="M1271" s="74">
        <v>1.545542374</v>
      </c>
    </row>
    <row r="1272">
      <c r="A1272" s="1" t="s">
        <v>169</v>
      </c>
      <c r="B1272" s="38">
        <v>671096.0</v>
      </c>
      <c r="C1272" s="72">
        <v>45825.0</v>
      </c>
      <c r="D1272" s="38">
        <v>84.0</v>
      </c>
      <c r="E1272" s="73">
        <f>IFERROR(__xludf.DUMMYFUNCTION("average(filter('Appearance Sheet'!F:F,'Appearance Sheet'!G:G=B1272,'Appearance Sheet'!A:A=C1272))"),5.666666666666667)</f>
        <v>5.666666667</v>
      </c>
      <c r="F1272" s="67">
        <v>5.235508043</v>
      </c>
      <c r="G1272" s="40">
        <v>1.544250053</v>
      </c>
      <c r="H1272" s="40">
        <f t="shared" si="1"/>
        <v>2.452632437</v>
      </c>
      <c r="I1272" s="41">
        <v>0.464285714</v>
      </c>
      <c r="J1272" s="41">
        <v>0.25</v>
      </c>
      <c r="K1272" s="41">
        <v>0.285714286</v>
      </c>
      <c r="L1272" s="41">
        <f t="shared" si="2"/>
        <v>0.178571428</v>
      </c>
      <c r="M1272" s="74">
        <v>-3.250112028</v>
      </c>
    </row>
    <row r="1273">
      <c r="A1273" s="1" t="s">
        <v>457</v>
      </c>
      <c r="B1273" s="38">
        <v>477132.0</v>
      </c>
      <c r="C1273" s="72">
        <v>45822.0</v>
      </c>
      <c r="D1273" s="38">
        <v>75.0</v>
      </c>
      <c r="E1273" s="73">
        <f>IFERROR(__xludf.DUMMYFUNCTION("average(filter('Appearance Sheet'!F:F,'Appearance Sheet'!G:G=B1273,'Appearance Sheet'!A:A=C1273))"),7.0)</f>
        <v>7</v>
      </c>
      <c r="F1273" s="67">
        <v>5.235358369</v>
      </c>
      <c r="G1273" s="40">
        <v>1.405248946</v>
      </c>
      <c r="H1273" s="40">
        <f t="shared" si="1"/>
        <v>1.806748645</v>
      </c>
      <c r="I1273" s="41">
        <v>0.493333333</v>
      </c>
      <c r="J1273" s="41">
        <v>0.213333333</v>
      </c>
      <c r="K1273" s="41">
        <v>0.293333333</v>
      </c>
      <c r="L1273" s="41">
        <f t="shared" si="2"/>
        <v>0.2</v>
      </c>
      <c r="M1273" s="74">
        <v>3.07800841</v>
      </c>
    </row>
    <row r="1274">
      <c r="A1274" s="1" t="s">
        <v>161</v>
      </c>
      <c r="B1274" s="38">
        <v>702070.0</v>
      </c>
      <c r="C1274" s="72">
        <v>45914.0</v>
      </c>
      <c r="D1274" s="38">
        <v>92.0</v>
      </c>
      <c r="E1274" s="73" t="str">
        <f>IFERROR(__xludf.DUMMYFUNCTION("average(filter('Appearance Sheet'!F:F,'Appearance Sheet'!G:G=B1274,'Appearance Sheet'!A:A=C1274))"),"#N/A")</f>
        <v>#N/A</v>
      </c>
      <c r="F1274" s="67">
        <v>5.235013019</v>
      </c>
      <c r="G1274" s="40">
        <v>1.693476145</v>
      </c>
      <c r="H1274" s="40" t="str">
        <f t="shared" si="1"/>
        <v>#N/A</v>
      </c>
      <c r="I1274" s="41">
        <v>0.5</v>
      </c>
      <c r="J1274" s="41">
        <v>0.206521739</v>
      </c>
      <c r="K1274" s="41">
        <v>0.293478261</v>
      </c>
      <c r="L1274" s="41">
        <f t="shared" si="2"/>
        <v>0.206521739</v>
      </c>
      <c r="M1274" s="74">
        <v>1.649719174</v>
      </c>
    </row>
    <row r="1275">
      <c r="A1275" s="1" t="s">
        <v>242</v>
      </c>
      <c r="B1275" s="38">
        <v>669358.0</v>
      </c>
      <c r="C1275" s="72">
        <v>45806.0</v>
      </c>
      <c r="D1275" s="38">
        <v>81.0</v>
      </c>
      <c r="E1275" s="73">
        <f>IFERROR(__xludf.DUMMYFUNCTION("average(filter('Appearance Sheet'!F:F,'Appearance Sheet'!G:G=B1275,'Appearance Sheet'!A:A=C1275))"),5.666666666666667)</f>
        <v>5.666666667</v>
      </c>
      <c r="F1275" s="67">
        <v>5.235007512</v>
      </c>
      <c r="G1275" s="40">
        <v>1.48170803</v>
      </c>
      <c r="H1275" s="40">
        <f t="shared" si="1"/>
        <v>2.353300989</v>
      </c>
      <c r="I1275" s="41">
        <v>0.469135802</v>
      </c>
      <c r="J1275" s="41">
        <v>0.185185185</v>
      </c>
      <c r="K1275" s="41">
        <v>0.345679012</v>
      </c>
      <c r="L1275" s="41">
        <f t="shared" si="2"/>
        <v>0.12345679</v>
      </c>
      <c r="M1275" s="74">
        <v>-2.991434056</v>
      </c>
    </row>
    <row r="1276">
      <c r="A1276" s="1" t="s">
        <v>453</v>
      </c>
      <c r="B1276" s="38">
        <v>592836.0</v>
      </c>
      <c r="C1276" s="72">
        <v>45761.0</v>
      </c>
      <c r="D1276" s="38">
        <v>94.0</v>
      </c>
      <c r="E1276" s="73">
        <f>IFERROR(__xludf.DUMMYFUNCTION("average(filter('Appearance Sheet'!F:F,'Appearance Sheet'!G:G=B1276,'Appearance Sheet'!A:A=C1276))"),5.0)</f>
        <v>5</v>
      </c>
      <c r="F1276" s="67">
        <v>5.234797597</v>
      </c>
      <c r="G1276" s="40">
        <v>1.736528048</v>
      </c>
      <c r="H1276" s="40">
        <f t="shared" si="1"/>
        <v>3.125750486</v>
      </c>
      <c r="I1276" s="41">
        <v>0.478723404</v>
      </c>
      <c r="J1276" s="41">
        <v>0.180851064</v>
      </c>
      <c r="K1276" s="41">
        <v>0.340425532</v>
      </c>
      <c r="L1276" s="41">
        <f t="shared" si="2"/>
        <v>0.138297872</v>
      </c>
      <c r="M1276" s="74">
        <v>0.07521291</v>
      </c>
    </row>
    <row r="1277">
      <c r="A1277" s="1" t="s">
        <v>245</v>
      </c>
      <c r="B1277" s="38">
        <v>571578.0</v>
      </c>
      <c r="C1277" s="72">
        <v>45797.0</v>
      </c>
      <c r="D1277" s="38">
        <v>86.0</v>
      </c>
      <c r="E1277" s="73">
        <f>IFERROR(__xludf.DUMMYFUNCTION("average(filter('Appearance Sheet'!F:F,'Appearance Sheet'!G:G=B1277,'Appearance Sheet'!A:A=C1277))"),5.0)</f>
        <v>5</v>
      </c>
      <c r="F1277" s="67">
        <v>5.234790749</v>
      </c>
      <c r="G1277" s="40">
        <v>1.561471858</v>
      </c>
      <c r="H1277" s="40">
        <f t="shared" si="1"/>
        <v>2.810649344</v>
      </c>
      <c r="I1277" s="41">
        <v>0.465116279</v>
      </c>
      <c r="J1277" s="41">
        <v>0.255813953</v>
      </c>
      <c r="K1277" s="41">
        <v>0.279069767</v>
      </c>
      <c r="L1277" s="41">
        <f t="shared" si="2"/>
        <v>0.186046512</v>
      </c>
      <c r="M1277" s="74">
        <v>0.066980621</v>
      </c>
    </row>
    <row r="1278">
      <c r="A1278" s="1" t="s">
        <v>99</v>
      </c>
      <c r="B1278" s="38">
        <v>592791.0</v>
      </c>
      <c r="C1278" s="72">
        <v>45761.0</v>
      </c>
      <c r="D1278" s="38">
        <v>85.0</v>
      </c>
      <c r="E1278" s="73">
        <f>IFERROR(__xludf.DUMMYFUNCTION("average(filter('Appearance Sheet'!F:F,'Appearance Sheet'!G:G=B1278,'Appearance Sheet'!A:A=C1278))"),5.333333333333333)</f>
        <v>5.333333333</v>
      </c>
      <c r="F1278" s="67">
        <v>5.234689722</v>
      </c>
      <c r="G1278" s="40">
        <v>1.536831739</v>
      </c>
      <c r="H1278" s="40">
        <f t="shared" si="1"/>
        <v>2.59340356</v>
      </c>
      <c r="I1278" s="41">
        <v>0.447058824</v>
      </c>
      <c r="J1278" s="41">
        <v>0.211764706</v>
      </c>
      <c r="K1278" s="41">
        <v>0.341176471</v>
      </c>
      <c r="L1278" s="41">
        <f t="shared" si="2"/>
        <v>0.105882353</v>
      </c>
      <c r="M1278" s="74">
        <v>0.978503296</v>
      </c>
    </row>
    <row r="1279">
      <c r="A1279" s="1" t="s">
        <v>368</v>
      </c>
      <c r="B1279" s="38">
        <v>593958.0</v>
      </c>
      <c r="C1279" s="72">
        <v>45764.0</v>
      </c>
      <c r="D1279" s="38">
        <v>91.0</v>
      </c>
      <c r="E1279" s="73">
        <f>IFERROR(__xludf.DUMMYFUNCTION("average(filter('Appearance Sheet'!F:F,'Appearance Sheet'!G:G=B1279,'Appearance Sheet'!A:A=C1279))"),5.333333333333333)</f>
        <v>5.333333333</v>
      </c>
      <c r="F1279" s="67">
        <v>5.234671908</v>
      </c>
      <c r="G1279" s="40">
        <v>1.697214336</v>
      </c>
      <c r="H1279" s="40">
        <f t="shared" si="1"/>
        <v>2.864049192</v>
      </c>
      <c r="I1279" s="41">
        <v>0.494505495</v>
      </c>
      <c r="J1279" s="41">
        <v>0.164835165</v>
      </c>
      <c r="K1279" s="41">
        <v>0.340659341</v>
      </c>
      <c r="L1279" s="41">
        <f t="shared" si="2"/>
        <v>0.153846154</v>
      </c>
      <c r="M1279" s="74">
        <v>-4.446955778</v>
      </c>
    </row>
    <row r="1280">
      <c r="A1280" s="1" t="s">
        <v>98</v>
      </c>
      <c r="B1280" s="38">
        <v>605400.0</v>
      </c>
      <c r="C1280" s="72">
        <v>45920.0</v>
      </c>
      <c r="D1280" s="38">
        <v>81.0</v>
      </c>
      <c r="E1280" s="73" t="str">
        <f>IFERROR(__xludf.DUMMYFUNCTION("average(filter('Appearance Sheet'!F:F,'Appearance Sheet'!G:G=B1280,'Appearance Sheet'!A:A=C1280))"),"#N/A")</f>
        <v>#N/A</v>
      </c>
      <c r="F1280" s="67">
        <v>5.234561335</v>
      </c>
      <c r="G1280" s="40">
        <v>1.480225645</v>
      </c>
      <c r="H1280" s="40" t="str">
        <f t="shared" si="1"/>
        <v>#N/A</v>
      </c>
      <c r="I1280" s="41">
        <v>0.567901235</v>
      </c>
      <c r="J1280" s="41">
        <v>0.111111111</v>
      </c>
      <c r="K1280" s="41">
        <v>0.320987654</v>
      </c>
      <c r="L1280" s="41">
        <f t="shared" si="2"/>
        <v>0.246913581</v>
      </c>
      <c r="M1280" s="74">
        <v>-3.208065264</v>
      </c>
    </row>
    <row r="1281">
      <c r="A1281" s="1" t="s">
        <v>191</v>
      </c>
      <c r="B1281" s="38">
        <v>687064.0</v>
      </c>
      <c r="C1281" s="72">
        <v>45839.0</v>
      </c>
      <c r="D1281" s="38">
        <v>71.0</v>
      </c>
      <c r="E1281" s="73">
        <f>IFERROR(__xludf.DUMMYFUNCTION("average(filter('Appearance Sheet'!F:F,'Appearance Sheet'!G:G=B1281,'Appearance Sheet'!A:A=C1281))"),4.0)</f>
        <v>4</v>
      </c>
      <c r="F1281" s="67">
        <v>5.234533874</v>
      </c>
      <c r="G1281" s="40">
        <v>1.298354337</v>
      </c>
      <c r="H1281" s="40">
        <f t="shared" si="1"/>
        <v>2.921297258</v>
      </c>
      <c r="I1281" s="41">
        <v>0.450704225</v>
      </c>
      <c r="J1281" s="41">
        <v>0.211267606</v>
      </c>
      <c r="K1281" s="41">
        <v>0.338028169</v>
      </c>
      <c r="L1281" s="41">
        <f t="shared" si="2"/>
        <v>0.112676056</v>
      </c>
      <c r="M1281" s="74">
        <v>-2.597874931</v>
      </c>
    </row>
    <row r="1282">
      <c r="A1282" s="1" t="s">
        <v>85</v>
      </c>
      <c r="B1282" s="38">
        <v>808967.0</v>
      </c>
      <c r="C1282" s="72">
        <v>45779.0</v>
      </c>
      <c r="D1282" s="38">
        <v>88.0</v>
      </c>
      <c r="E1282" s="73">
        <f>IFERROR(__xludf.DUMMYFUNCTION("average(filter('Appearance Sheet'!F:F,'Appearance Sheet'!G:G=B1282,'Appearance Sheet'!A:A=C1282))"),6.0)</f>
        <v>6</v>
      </c>
      <c r="F1282" s="67">
        <v>5.234483491</v>
      </c>
      <c r="G1282" s="40">
        <v>1.603253016</v>
      </c>
      <c r="H1282" s="40">
        <f t="shared" si="1"/>
        <v>2.404879524</v>
      </c>
      <c r="I1282" s="41">
        <v>0.511363636</v>
      </c>
      <c r="J1282" s="41">
        <v>0.170454545</v>
      </c>
      <c r="K1282" s="41">
        <v>0.318181818</v>
      </c>
      <c r="L1282" s="41">
        <f t="shared" si="2"/>
        <v>0.193181818</v>
      </c>
      <c r="M1282" s="74">
        <v>3.899175041</v>
      </c>
    </row>
    <row r="1283">
      <c r="A1283" s="1" t="s">
        <v>99</v>
      </c>
      <c r="B1283" s="38">
        <v>592791.0</v>
      </c>
      <c r="C1283" s="72">
        <v>45910.0</v>
      </c>
      <c r="D1283" s="38">
        <v>79.0</v>
      </c>
      <c r="E1283" s="73" t="str">
        <f>IFERROR(__xludf.DUMMYFUNCTION("average(filter('Appearance Sheet'!F:F,'Appearance Sheet'!G:G=B1283,'Appearance Sheet'!A:A=C1283))"),"#N/A")</f>
        <v>#N/A</v>
      </c>
      <c r="F1283" s="67">
        <v>5.234304354</v>
      </c>
      <c r="G1283" s="40">
        <v>1.451992382</v>
      </c>
      <c r="H1283" s="40" t="str">
        <f t="shared" si="1"/>
        <v>#N/A</v>
      </c>
      <c r="I1283" s="41">
        <v>0.493670886</v>
      </c>
      <c r="J1283" s="41">
        <v>0.215189873</v>
      </c>
      <c r="K1283" s="41">
        <v>0.291139241</v>
      </c>
      <c r="L1283" s="41">
        <f t="shared" si="2"/>
        <v>0.202531645</v>
      </c>
      <c r="M1283" s="74">
        <v>-0.463630423</v>
      </c>
    </row>
    <row r="1284">
      <c r="A1284" s="1" t="s">
        <v>344</v>
      </c>
      <c r="B1284" s="38">
        <v>701542.0</v>
      </c>
      <c r="C1284" s="72">
        <v>45786.0</v>
      </c>
      <c r="D1284" s="38">
        <v>82.0</v>
      </c>
      <c r="E1284" s="73">
        <f>IFERROR(__xludf.DUMMYFUNCTION("average(filter('Appearance Sheet'!F:F,'Appearance Sheet'!G:G=B1284,'Appearance Sheet'!A:A=C1284))"),7.333333333333333)</f>
        <v>7.333333333</v>
      </c>
      <c r="F1284" s="67">
        <v>5.234121492</v>
      </c>
      <c r="G1284" s="40">
        <v>1.496740114</v>
      </c>
      <c r="H1284" s="40">
        <f t="shared" si="1"/>
        <v>1.836908322</v>
      </c>
      <c r="I1284" s="41">
        <v>0.573170732</v>
      </c>
      <c r="J1284" s="41">
        <v>0.109756098</v>
      </c>
      <c r="K1284" s="41">
        <v>0.317073171</v>
      </c>
      <c r="L1284" s="41">
        <f t="shared" si="2"/>
        <v>0.256097561</v>
      </c>
      <c r="M1284" s="74">
        <v>0.090569378</v>
      </c>
    </row>
    <row r="1285">
      <c r="A1285" s="1" t="s">
        <v>67</v>
      </c>
      <c r="B1285" s="38">
        <v>684007.0</v>
      </c>
      <c r="C1285" s="72">
        <v>45908.0</v>
      </c>
      <c r="D1285" s="38">
        <v>79.0</v>
      </c>
      <c r="E1285" s="73" t="str">
        <f>IFERROR(__xludf.DUMMYFUNCTION("average(filter('Appearance Sheet'!F:F,'Appearance Sheet'!G:G=B1285,'Appearance Sheet'!A:A=C1285))"),"#N/A")</f>
        <v>#N/A</v>
      </c>
      <c r="F1285" s="67">
        <v>5.233516465</v>
      </c>
      <c r="G1285" s="40">
        <v>1.473543501</v>
      </c>
      <c r="H1285" s="40" t="str">
        <f t="shared" si="1"/>
        <v>#N/A</v>
      </c>
      <c r="I1285" s="41">
        <v>0.455696203</v>
      </c>
      <c r="J1285" s="41">
        <v>0.189873418</v>
      </c>
      <c r="K1285" s="41">
        <v>0.35443038</v>
      </c>
      <c r="L1285" s="41">
        <f t="shared" si="2"/>
        <v>0.101265823</v>
      </c>
      <c r="M1285" s="74">
        <v>0.728354151</v>
      </c>
    </row>
    <row r="1286">
      <c r="A1286" s="1" t="s">
        <v>495</v>
      </c>
      <c r="B1286" s="38">
        <v>801403.0</v>
      </c>
      <c r="C1286" s="72">
        <v>45880.0</v>
      </c>
      <c r="D1286" s="38">
        <v>88.0</v>
      </c>
      <c r="E1286" s="73" t="str">
        <f>IFERROR(__xludf.DUMMYFUNCTION("average(filter('Appearance Sheet'!F:F,'Appearance Sheet'!G:G=B1286,'Appearance Sheet'!A:A=C1286))"),"#N/A")</f>
        <v>#N/A</v>
      </c>
      <c r="F1286" s="67">
        <v>5.233335237</v>
      </c>
      <c r="G1286" s="40">
        <v>1.615050944</v>
      </c>
      <c r="H1286" s="40" t="str">
        <f t="shared" si="1"/>
        <v>#N/A</v>
      </c>
      <c r="I1286" s="41">
        <v>0.5</v>
      </c>
      <c r="J1286" s="41">
        <v>0.215909091</v>
      </c>
      <c r="K1286" s="41">
        <v>0.284090909</v>
      </c>
      <c r="L1286" s="41">
        <f t="shared" si="2"/>
        <v>0.215909091</v>
      </c>
      <c r="M1286" s="74">
        <v>-0.373281884</v>
      </c>
    </row>
    <row r="1287">
      <c r="A1287" s="1" t="s">
        <v>555</v>
      </c>
      <c r="B1287" s="38">
        <v>701656.0</v>
      </c>
      <c r="C1287" s="72">
        <v>45767.0</v>
      </c>
      <c r="D1287" s="38">
        <v>79.0</v>
      </c>
      <c r="E1287" s="73">
        <f>IFERROR(__xludf.DUMMYFUNCTION("average(filter('Appearance Sheet'!F:F,'Appearance Sheet'!G:G=B1287,'Appearance Sheet'!A:A=C1287))"),6.0)</f>
        <v>6</v>
      </c>
      <c r="F1287" s="67">
        <v>5.23303663</v>
      </c>
      <c r="G1287" s="40">
        <v>1.460063403</v>
      </c>
      <c r="H1287" s="40">
        <f t="shared" si="1"/>
        <v>2.190095105</v>
      </c>
      <c r="I1287" s="41">
        <v>0.53164557</v>
      </c>
      <c r="J1287" s="41">
        <v>0.151898734</v>
      </c>
      <c r="K1287" s="41">
        <v>0.316455696</v>
      </c>
      <c r="L1287" s="41">
        <f t="shared" si="2"/>
        <v>0.215189874</v>
      </c>
      <c r="M1287" s="74">
        <v>0.96527664</v>
      </c>
    </row>
    <row r="1288">
      <c r="A1288" s="1" t="s">
        <v>189</v>
      </c>
      <c r="B1288" s="38">
        <v>607536.0</v>
      </c>
      <c r="C1288" s="72">
        <v>45856.0</v>
      </c>
      <c r="D1288" s="38">
        <v>90.0</v>
      </c>
      <c r="E1288" s="73" t="str">
        <f>IFERROR(__xludf.DUMMYFUNCTION("average(filter('Appearance Sheet'!F:F,'Appearance Sheet'!G:G=B1288,'Appearance Sheet'!A:A=C1288))"),"#N/A")</f>
        <v>#N/A</v>
      </c>
      <c r="F1288" s="67">
        <v>5.232906629</v>
      </c>
      <c r="G1288" s="40">
        <v>1.665891445</v>
      </c>
      <c r="H1288" s="40" t="str">
        <f t="shared" si="1"/>
        <v>#N/A</v>
      </c>
      <c r="I1288" s="41">
        <v>0.477777778</v>
      </c>
      <c r="J1288" s="41">
        <v>0.233333333</v>
      </c>
      <c r="K1288" s="41">
        <v>0.288888889</v>
      </c>
      <c r="L1288" s="41">
        <f t="shared" si="2"/>
        <v>0.188888889</v>
      </c>
      <c r="M1288" s="74">
        <v>1.860669708</v>
      </c>
    </row>
    <row r="1289">
      <c r="A1289" s="1" t="s">
        <v>153</v>
      </c>
      <c r="B1289" s="38">
        <v>669302.0</v>
      </c>
      <c r="C1289" s="72">
        <v>45882.0</v>
      </c>
      <c r="D1289" s="38">
        <v>69.0</v>
      </c>
      <c r="E1289" s="73" t="str">
        <f>IFERROR(__xludf.DUMMYFUNCTION("average(filter('Appearance Sheet'!F:F,'Appearance Sheet'!G:G=B1289,'Appearance Sheet'!A:A=C1289))"),"#N/A")</f>
        <v>#N/A</v>
      </c>
      <c r="F1289" s="67">
        <v>5.232500354</v>
      </c>
      <c r="G1289" s="40">
        <v>1.310262904</v>
      </c>
      <c r="H1289" s="40" t="str">
        <f t="shared" si="1"/>
        <v>#N/A</v>
      </c>
      <c r="I1289" s="41">
        <v>0.594202899</v>
      </c>
      <c r="J1289" s="41">
        <v>0.15942029</v>
      </c>
      <c r="K1289" s="41">
        <v>0.246376812</v>
      </c>
      <c r="L1289" s="41">
        <f t="shared" si="2"/>
        <v>0.347826087</v>
      </c>
      <c r="M1289" s="74">
        <v>-0.055214051</v>
      </c>
    </row>
    <row r="1290">
      <c r="A1290" s="1" t="s">
        <v>452</v>
      </c>
      <c r="B1290" s="38">
        <v>607625.0</v>
      </c>
      <c r="C1290" s="72">
        <v>45814.0</v>
      </c>
      <c r="D1290" s="38">
        <v>94.0</v>
      </c>
      <c r="E1290" s="73">
        <f>IFERROR(__xludf.DUMMYFUNCTION("average(filter('Appearance Sheet'!F:F,'Appearance Sheet'!G:G=B1290,'Appearance Sheet'!A:A=C1290))"),5.0)</f>
        <v>5</v>
      </c>
      <c r="F1290" s="67">
        <v>5.232400964</v>
      </c>
      <c r="G1290" s="40">
        <v>1.716486187</v>
      </c>
      <c r="H1290" s="40">
        <f t="shared" si="1"/>
        <v>3.089675137</v>
      </c>
      <c r="I1290" s="41">
        <v>0.510638298</v>
      </c>
      <c r="J1290" s="41">
        <v>0.191489362</v>
      </c>
      <c r="K1290" s="41">
        <v>0.29787234</v>
      </c>
      <c r="L1290" s="41">
        <f t="shared" si="2"/>
        <v>0.212765958</v>
      </c>
      <c r="M1290" s="74">
        <v>1.415583217</v>
      </c>
    </row>
    <row r="1291">
      <c r="A1291" s="1" t="s">
        <v>192</v>
      </c>
      <c r="B1291" s="38">
        <v>642232.0</v>
      </c>
      <c r="C1291" s="72">
        <v>45803.0</v>
      </c>
      <c r="D1291" s="38">
        <v>87.0</v>
      </c>
      <c r="E1291" s="73">
        <f>IFERROR(__xludf.DUMMYFUNCTION("average(filter('Appearance Sheet'!F:F,'Appearance Sheet'!G:G=B1291,'Appearance Sheet'!A:A=C1291))"),6.0)</f>
        <v>6</v>
      </c>
      <c r="F1291" s="67">
        <v>5.232351031</v>
      </c>
      <c r="G1291" s="40">
        <v>1.564374372</v>
      </c>
      <c r="H1291" s="40">
        <f t="shared" si="1"/>
        <v>2.346561558</v>
      </c>
      <c r="I1291" s="41">
        <v>0.482758621</v>
      </c>
      <c r="J1291" s="41">
        <v>0.149425287</v>
      </c>
      <c r="K1291" s="41">
        <v>0.367816092</v>
      </c>
      <c r="L1291" s="41">
        <f t="shared" si="2"/>
        <v>0.114942529</v>
      </c>
      <c r="M1291" s="74">
        <v>3.020214726</v>
      </c>
    </row>
    <row r="1292">
      <c r="A1292" s="1" t="s">
        <v>361</v>
      </c>
      <c r="B1292" s="38">
        <v>686563.0</v>
      </c>
      <c r="C1292" s="72">
        <v>45757.0</v>
      </c>
      <c r="D1292" s="38">
        <v>98.0</v>
      </c>
      <c r="E1292" s="73">
        <f>IFERROR(__xludf.DUMMYFUNCTION("average(filter('Appearance Sheet'!F:F,'Appearance Sheet'!G:G=B1292,'Appearance Sheet'!A:A=C1292))"),5.333333333333333)</f>
        <v>5.333333333</v>
      </c>
      <c r="F1292" s="67">
        <v>5.232330053</v>
      </c>
      <c r="G1292" s="40">
        <v>1.807175414</v>
      </c>
      <c r="H1292" s="40">
        <f t="shared" si="1"/>
        <v>3.049608511</v>
      </c>
      <c r="I1292" s="41">
        <v>0.489795918</v>
      </c>
      <c r="J1292" s="41">
        <v>0.183673469</v>
      </c>
      <c r="K1292" s="41">
        <v>0.326530612</v>
      </c>
      <c r="L1292" s="41">
        <f t="shared" si="2"/>
        <v>0.163265306</v>
      </c>
      <c r="M1292" s="74">
        <v>-0.668934959</v>
      </c>
    </row>
    <row r="1293">
      <c r="A1293" s="1" t="s">
        <v>226</v>
      </c>
      <c r="B1293" s="38">
        <v>607259.0</v>
      </c>
      <c r="C1293" s="72">
        <v>45756.0</v>
      </c>
      <c r="D1293" s="38">
        <v>91.0</v>
      </c>
      <c r="E1293" s="73">
        <f>IFERROR(__xludf.DUMMYFUNCTION("average(filter('Appearance Sheet'!F:F,'Appearance Sheet'!G:G=B1293,'Appearance Sheet'!A:A=C1293))"),5.666666666666667)</f>
        <v>5.666666667</v>
      </c>
      <c r="F1293" s="67">
        <v>5.23228895</v>
      </c>
      <c r="G1293" s="40">
        <v>1.707322475</v>
      </c>
      <c r="H1293" s="40">
        <f t="shared" si="1"/>
        <v>2.711629813</v>
      </c>
      <c r="I1293" s="41">
        <v>0.450549451</v>
      </c>
      <c r="J1293" s="41">
        <v>0.21978022</v>
      </c>
      <c r="K1293" s="41">
        <v>0.32967033</v>
      </c>
      <c r="L1293" s="41">
        <f t="shared" si="2"/>
        <v>0.120879121</v>
      </c>
      <c r="M1293" s="74">
        <v>-0.891924238</v>
      </c>
    </row>
    <row r="1294">
      <c r="A1294" s="1" t="s">
        <v>320</v>
      </c>
      <c r="B1294" s="38">
        <v>681347.0</v>
      </c>
      <c r="C1294" s="72">
        <v>45822.0</v>
      </c>
      <c r="D1294" s="38">
        <v>81.0</v>
      </c>
      <c r="E1294" s="73">
        <f>IFERROR(__xludf.DUMMYFUNCTION("average(filter('Appearance Sheet'!F:F,'Appearance Sheet'!G:G=B1294,'Appearance Sheet'!A:A=C1294))"),5.333333333333333)</f>
        <v>5.333333333</v>
      </c>
      <c r="F1294" s="67">
        <v>5.232130317</v>
      </c>
      <c r="G1294" s="40">
        <v>1.524264528</v>
      </c>
      <c r="H1294" s="40">
        <f t="shared" si="1"/>
        <v>2.572196391</v>
      </c>
      <c r="I1294" s="41">
        <v>0.432098765</v>
      </c>
      <c r="J1294" s="41">
        <v>0.259259259</v>
      </c>
      <c r="K1294" s="41">
        <v>0.308641975</v>
      </c>
      <c r="L1294" s="41">
        <f t="shared" si="2"/>
        <v>0.12345679</v>
      </c>
      <c r="M1294" s="74">
        <v>0.36533194</v>
      </c>
    </row>
    <row r="1295">
      <c r="A1295" s="1" t="s">
        <v>177</v>
      </c>
      <c r="B1295" s="38">
        <v>641793.0</v>
      </c>
      <c r="C1295" s="72">
        <v>45745.0</v>
      </c>
      <c r="D1295" s="38">
        <v>87.0</v>
      </c>
      <c r="E1295" s="73">
        <f>IFERROR(__xludf.DUMMYFUNCTION("average(filter('Appearance Sheet'!F:F,'Appearance Sheet'!G:G=B1295,'Appearance Sheet'!A:A=C1295))"),6.0)</f>
        <v>6</v>
      </c>
      <c r="F1295" s="67">
        <v>5.231787176</v>
      </c>
      <c r="G1295" s="40">
        <v>1.585494515</v>
      </c>
      <c r="H1295" s="40">
        <f t="shared" si="1"/>
        <v>2.378241773</v>
      </c>
      <c r="I1295" s="41">
        <v>0.494252874</v>
      </c>
      <c r="J1295" s="41">
        <v>0.206896552</v>
      </c>
      <c r="K1295" s="41">
        <v>0.298850575</v>
      </c>
      <c r="L1295" s="41">
        <f t="shared" si="2"/>
        <v>0.195402299</v>
      </c>
      <c r="M1295" s="74">
        <v>2.080484971</v>
      </c>
    </row>
    <row r="1296">
      <c r="A1296" s="1" t="s">
        <v>264</v>
      </c>
      <c r="B1296" s="38">
        <v>669920.0</v>
      </c>
      <c r="C1296" s="72">
        <v>45862.0</v>
      </c>
      <c r="D1296" s="38">
        <v>96.0</v>
      </c>
      <c r="E1296" s="73" t="str">
        <f>IFERROR(__xludf.DUMMYFUNCTION("average(filter('Appearance Sheet'!F:F,'Appearance Sheet'!G:G=B1296,'Appearance Sheet'!A:A=C1296))"),"#N/A")</f>
        <v>#N/A</v>
      </c>
      <c r="F1296" s="67">
        <v>5.231679312</v>
      </c>
      <c r="G1296" s="40">
        <v>1.763350356</v>
      </c>
      <c r="H1296" s="40" t="str">
        <f t="shared" si="1"/>
        <v>#N/A</v>
      </c>
      <c r="I1296" s="41">
        <v>0.489583333</v>
      </c>
      <c r="J1296" s="41">
        <v>0.177083333</v>
      </c>
      <c r="K1296" s="41">
        <v>0.333333333</v>
      </c>
      <c r="L1296" s="41">
        <f t="shared" si="2"/>
        <v>0.15625</v>
      </c>
      <c r="M1296" s="74">
        <v>-5.383331786</v>
      </c>
    </row>
    <row r="1297">
      <c r="A1297" s="1" t="s">
        <v>245</v>
      </c>
      <c r="B1297" s="38">
        <v>571578.0</v>
      </c>
      <c r="C1297" s="72">
        <v>45873.0</v>
      </c>
      <c r="D1297" s="38">
        <v>70.0</v>
      </c>
      <c r="E1297" s="73" t="str">
        <f>IFERROR(__xludf.DUMMYFUNCTION("average(filter('Appearance Sheet'!F:F,'Appearance Sheet'!G:G=B1297,'Appearance Sheet'!A:A=C1297))"),"#N/A")</f>
        <v>#N/A</v>
      </c>
      <c r="F1297" s="67">
        <v>5.231542186</v>
      </c>
      <c r="G1297" s="40">
        <v>1.261252841</v>
      </c>
      <c r="H1297" s="40" t="str">
        <f t="shared" si="1"/>
        <v>#N/A</v>
      </c>
      <c r="I1297" s="41">
        <v>0.457142857</v>
      </c>
      <c r="J1297" s="41">
        <v>0.242857143</v>
      </c>
      <c r="K1297" s="41">
        <v>0.3</v>
      </c>
      <c r="L1297" s="41">
        <f t="shared" si="2"/>
        <v>0.157142857</v>
      </c>
      <c r="M1297" s="74">
        <v>-2.482190135</v>
      </c>
    </row>
    <row r="1298">
      <c r="A1298" s="1" t="s">
        <v>212</v>
      </c>
      <c r="B1298" s="38">
        <v>805673.0</v>
      </c>
      <c r="C1298" s="72">
        <v>45801.0</v>
      </c>
      <c r="D1298" s="38">
        <v>81.0</v>
      </c>
      <c r="E1298" s="73">
        <f>IFERROR(__xludf.DUMMYFUNCTION("average(filter('Appearance Sheet'!F:F,'Appearance Sheet'!G:G=B1298,'Appearance Sheet'!A:A=C1298))"),4.0)</f>
        <v>4</v>
      </c>
      <c r="F1298" s="67">
        <v>5.231498915</v>
      </c>
      <c r="G1298" s="40">
        <v>1.500143113</v>
      </c>
      <c r="H1298" s="40">
        <f t="shared" si="1"/>
        <v>3.375322004</v>
      </c>
      <c r="I1298" s="41">
        <v>0.50617284</v>
      </c>
      <c r="J1298" s="41">
        <v>0.160493827</v>
      </c>
      <c r="K1298" s="41">
        <v>0.333333333</v>
      </c>
      <c r="L1298" s="41">
        <f t="shared" si="2"/>
        <v>0.172839507</v>
      </c>
      <c r="M1298" s="74">
        <v>-0.981363532</v>
      </c>
    </row>
    <row r="1299">
      <c r="A1299" s="1" t="s">
        <v>372</v>
      </c>
      <c r="B1299" s="38">
        <v>671106.0</v>
      </c>
      <c r="C1299" s="72">
        <v>45857.0</v>
      </c>
      <c r="D1299" s="38">
        <v>76.0</v>
      </c>
      <c r="E1299" s="73" t="str">
        <f>IFERROR(__xludf.DUMMYFUNCTION("average(filter('Appearance Sheet'!F:F,'Appearance Sheet'!G:G=B1299,'Appearance Sheet'!A:A=C1299))"),"#N/A")</f>
        <v>#N/A</v>
      </c>
      <c r="F1299" s="67">
        <v>5.231461855</v>
      </c>
      <c r="G1299" s="40">
        <v>1.410968669</v>
      </c>
      <c r="H1299" s="40" t="str">
        <f t="shared" si="1"/>
        <v>#N/A</v>
      </c>
      <c r="I1299" s="41">
        <v>0.5</v>
      </c>
      <c r="J1299" s="41">
        <v>0.236842105</v>
      </c>
      <c r="K1299" s="41">
        <v>0.263157895</v>
      </c>
      <c r="L1299" s="41">
        <f t="shared" si="2"/>
        <v>0.236842105</v>
      </c>
      <c r="M1299" s="74">
        <v>-2.808042221</v>
      </c>
    </row>
    <row r="1300">
      <c r="A1300" s="1" t="s">
        <v>79</v>
      </c>
      <c r="B1300" s="38">
        <v>554430.0</v>
      </c>
      <c r="C1300" s="72">
        <v>45776.0</v>
      </c>
      <c r="D1300" s="38">
        <v>103.0</v>
      </c>
      <c r="E1300" s="73">
        <f>IFERROR(__xludf.DUMMYFUNCTION("average(filter('Appearance Sheet'!F:F,'Appearance Sheet'!G:G=B1300,'Appearance Sheet'!A:A=C1300))"),6.666666666666667)</f>
        <v>6.666666667</v>
      </c>
      <c r="F1300" s="67">
        <v>5.23139397</v>
      </c>
      <c r="G1300" s="40">
        <v>1.86147649</v>
      </c>
      <c r="H1300" s="40">
        <f t="shared" si="1"/>
        <v>2.512993262</v>
      </c>
      <c r="I1300" s="41">
        <v>0.524271845</v>
      </c>
      <c r="J1300" s="41">
        <v>0.203883495</v>
      </c>
      <c r="K1300" s="41">
        <v>0.27184466</v>
      </c>
      <c r="L1300" s="41">
        <f t="shared" si="2"/>
        <v>0.252427185</v>
      </c>
      <c r="M1300" s="74">
        <v>0.586151701</v>
      </c>
    </row>
    <row r="1301">
      <c r="A1301" s="1" t="s">
        <v>269</v>
      </c>
      <c r="B1301" s="38">
        <v>605280.0</v>
      </c>
      <c r="C1301" s="72">
        <v>45749.0</v>
      </c>
      <c r="D1301" s="38">
        <v>85.0</v>
      </c>
      <c r="E1301" s="73">
        <f>IFERROR(__xludf.DUMMYFUNCTION("average(filter('Appearance Sheet'!F:F,'Appearance Sheet'!G:G=B1301,'Appearance Sheet'!A:A=C1301))"),4.666666666666667)</f>
        <v>4.666666667</v>
      </c>
      <c r="F1301" s="67">
        <v>5.231392869</v>
      </c>
      <c r="G1301" s="40">
        <v>1.551540578</v>
      </c>
      <c r="H1301" s="40">
        <f t="shared" si="1"/>
        <v>2.992256829</v>
      </c>
      <c r="I1301" s="41">
        <v>0.552941176</v>
      </c>
      <c r="J1301" s="41">
        <v>0.141176471</v>
      </c>
      <c r="K1301" s="41">
        <v>0.305882353</v>
      </c>
      <c r="L1301" s="41">
        <f t="shared" si="2"/>
        <v>0.247058823</v>
      </c>
      <c r="M1301" s="74">
        <v>-0.843235247</v>
      </c>
    </row>
    <row r="1302">
      <c r="A1302" s="1" t="s">
        <v>133</v>
      </c>
      <c r="B1302" s="38">
        <v>663978.0</v>
      </c>
      <c r="C1302" s="72">
        <v>45747.0</v>
      </c>
      <c r="D1302" s="38">
        <v>88.0</v>
      </c>
      <c r="E1302" s="73">
        <f>IFERROR(__xludf.DUMMYFUNCTION("average(filter('Appearance Sheet'!F:F,'Appearance Sheet'!G:G=B1302,'Appearance Sheet'!A:A=C1302))"),3.3333333333333335)</f>
        <v>3.333333333</v>
      </c>
      <c r="F1302" s="67">
        <v>5.231388618</v>
      </c>
      <c r="G1302" s="40">
        <v>1.579294691</v>
      </c>
      <c r="H1302" s="40">
        <f t="shared" si="1"/>
        <v>4.264095666</v>
      </c>
      <c r="I1302" s="41">
        <v>0.522727273</v>
      </c>
      <c r="J1302" s="41">
        <v>0.159090909</v>
      </c>
      <c r="K1302" s="41">
        <v>0.318181818</v>
      </c>
      <c r="L1302" s="41">
        <f t="shared" si="2"/>
        <v>0.204545455</v>
      </c>
      <c r="M1302" s="74">
        <v>-1.735296752</v>
      </c>
    </row>
    <row r="1303">
      <c r="A1303" s="1" t="s">
        <v>393</v>
      </c>
      <c r="B1303" s="38">
        <v>690953.0</v>
      </c>
      <c r="C1303" s="72">
        <v>45824.0</v>
      </c>
      <c r="D1303" s="38">
        <v>76.0</v>
      </c>
      <c r="E1303" s="73">
        <f>IFERROR(__xludf.DUMMYFUNCTION("average(filter('Appearance Sheet'!F:F,'Appearance Sheet'!G:G=B1303,'Appearance Sheet'!A:A=C1303))"),5.0)</f>
        <v>5</v>
      </c>
      <c r="F1303" s="67">
        <v>5.231286891</v>
      </c>
      <c r="G1303" s="40">
        <v>1.405362319</v>
      </c>
      <c r="H1303" s="40">
        <f t="shared" si="1"/>
        <v>2.529652174</v>
      </c>
      <c r="I1303" s="41">
        <v>0.526315789</v>
      </c>
      <c r="J1303" s="41">
        <v>0.118421053</v>
      </c>
      <c r="K1303" s="41">
        <v>0.355263158</v>
      </c>
      <c r="L1303" s="41">
        <f t="shared" si="2"/>
        <v>0.171052631</v>
      </c>
      <c r="M1303" s="74">
        <v>2.12340102</v>
      </c>
    </row>
    <row r="1304">
      <c r="A1304" s="1" t="s">
        <v>191</v>
      </c>
      <c r="B1304" s="38">
        <v>687064.0</v>
      </c>
      <c r="C1304" s="72">
        <v>45867.0</v>
      </c>
      <c r="D1304" s="38">
        <v>84.0</v>
      </c>
      <c r="E1304" s="73" t="str">
        <f>IFERROR(__xludf.DUMMYFUNCTION("average(filter('Appearance Sheet'!F:F,'Appearance Sheet'!G:G=B1304,'Appearance Sheet'!A:A=C1304))"),"#N/A")</f>
        <v>#N/A</v>
      </c>
      <c r="F1304" s="67">
        <v>5.231202865</v>
      </c>
      <c r="G1304" s="40">
        <v>1.586135848</v>
      </c>
      <c r="H1304" s="40" t="str">
        <f t="shared" si="1"/>
        <v>#N/A</v>
      </c>
      <c r="I1304" s="41">
        <v>0.44047619</v>
      </c>
      <c r="J1304" s="41">
        <v>0.273809524</v>
      </c>
      <c r="K1304" s="41">
        <v>0.285714286</v>
      </c>
      <c r="L1304" s="41">
        <f t="shared" si="2"/>
        <v>0.154761904</v>
      </c>
      <c r="M1304" s="74">
        <v>0.089561809</v>
      </c>
    </row>
    <row r="1305">
      <c r="A1305" s="1" t="s">
        <v>191</v>
      </c>
      <c r="B1305" s="38">
        <v>687064.0</v>
      </c>
      <c r="C1305" s="72">
        <v>45833.0</v>
      </c>
      <c r="D1305" s="38">
        <v>60.0</v>
      </c>
      <c r="E1305" s="73">
        <f>IFERROR(__xludf.DUMMYFUNCTION("average(filter('Appearance Sheet'!F:F,'Appearance Sheet'!G:G=B1305,'Appearance Sheet'!A:A=C1305))"),4.0)</f>
        <v>4</v>
      </c>
      <c r="F1305" s="67">
        <v>5.231059868</v>
      </c>
      <c r="G1305" s="40">
        <v>1.105632332</v>
      </c>
      <c r="H1305" s="40">
        <f t="shared" si="1"/>
        <v>2.487672747</v>
      </c>
      <c r="I1305" s="41">
        <v>0.5</v>
      </c>
      <c r="J1305" s="41">
        <v>0.083333333</v>
      </c>
      <c r="K1305" s="41">
        <v>0.416666667</v>
      </c>
      <c r="L1305" s="41">
        <f t="shared" si="2"/>
        <v>0.083333333</v>
      </c>
      <c r="M1305" s="74">
        <v>-1.71261127</v>
      </c>
    </row>
    <row r="1306">
      <c r="A1306" s="1" t="s">
        <v>308</v>
      </c>
      <c r="B1306" s="38">
        <v>676440.0</v>
      </c>
      <c r="C1306" s="72">
        <v>45804.0</v>
      </c>
      <c r="D1306" s="38">
        <v>95.0</v>
      </c>
      <c r="E1306" s="73">
        <f>IFERROR(__xludf.DUMMYFUNCTION("average(filter('Appearance Sheet'!F:F,'Appearance Sheet'!G:G=B1306,'Appearance Sheet'!A:A=C1306))"),5.0)</f>
        <v>5</v>
      </c>
      <c r="F1306" s="67">
        <v>5.231021191</v>
      </c>
      <c r="G1306" s="40">
        <v>1.756567497</v>
      </c>
      <c r="H1306" s="40">
        <f t="shared" si="1"/>
        <v>3.161821495</v>
      </c>
      <c r="I1306" s="41">
        <v>0.473684211</v>
      </c>
      <c r="J1306" s="41">
        <v>0.210526316</v>
      </c>
      <c r="K1306" s="41">
        <v>0.315789474</v>
      </c>
      <c r="L1306" s="41">
        <f t="shared" si="2"/>
        <v>0.157894737</v>
      </c>
      <c r="M1306" s="74">
        <v>-0.776688962</v>
      </c>
    </row>
    <row r="1307">
      <c r="A1307" s="1" t="s">
        <v>133</v>
      </c>
      <c r="B1307" s="38">
        <v>663978.0</v>
      </c>
      <c r="C1307" s="72">
        <v>45868.0</v>
      </c>
      <c r="D1307" s="38">
        <v>76.0</v>
      </c>
      <c r="E1307" s="73" t="str">
        <f>IFERROR(__xludf.DUMMYFUNCTION("average(filter('Appearance Sheet'!F:F,'Appearance Sheet'!G:G=B1307,'Appearance Sheet'!A:A=C1307))"),"#N/A")</f>
        <v>#N/A</v>
      </c>
      <c r="F1307" s="67">
        <v>5.230841223</v>
      </c>
      <c r="G1307" s="40">
        <v>1.409283346</v>
      </c>
      <c r="H1307" s="40" t="str">
        <f t="shared" si="1"/>
        <v>#N/A</v>
      </c>
      <c r="I1307" s="41">
        <v>0.447368421</v>
      </c>
      <c r="J1307" s="41">
        <v>0.236842105</v>
      </c>
      <c r="K1307" s="41">
        <v>0.315789474</v>
      </c>
      <c r="L1307" s="41">
        <f t="shared" si="2"/>
        <v>0.131578947</v>
      </c>
      <c r="M1307" s="74">
        <v>2.699495066</v>
      </c>
    </row>
    <row r="1308">
      <c r="A1308" s="1" t="s">
        <v>251</v>
      </c>
      <c r="B1308" s="38">
        <v>676664.0</v>
      </c>
      <c r="C1308" s="72">
        <v>45861.0</v>
      </c>
      <c r="D1308" s="38">
        <v>78.0</v>
      </c>
      <c r="E1308" s="73" t="str">
        <f>IFERROR(__xludf.DUMMYFUNCTION("average(filter('Appearance Sheet'!F:F,'Appearance Sheet'!G:G=B1308,'Appearance Sheet'!A:A=C1308))"),"#N/A")</f>
        <v>#N/A</v>
      </c>
      <c r="F1308" s="67">
        <v>5.230626331</v>
      </c>
      <c r="G1308" s="40">
        <v>1.427225909</v>
      </c>
      <c r="H1308" s="40" t="str">
        <f t="shared" si="1"/>
        <v>#N/A</v>
      </c>
      <c r="I1308" s="41">
        <v>0.5</v>
      </c>
      <c r="J1308" s="41">
        <v>0.166666667</v>
      </c>
      <c r="K1308" s="41">
        <v>0.333333333</v>
      </c>
      <c r="L1308" s="41">
        <f t="shared" si="2"/>
        <v>0.166666667</v>
      </c>
      <c r="M1308" s="74">
        <v>1.326106557</v>
      </c>
    </row>
    <row r="1309">
      <c r="A1309" s="1" t="s">
        <v>79</v>
      </c>
      <c r="B1309" s="38">
        <v>554430.0</v>
      </c>
      <c r="C1309" s="72">
        <v>45806.0</v>
      </c>
      <c r="D1309" s="38">
        <v>105.0</v>
      </c>
      <c r="E1309" s="73">
        <f>IFERROR(__xludf.DUMMYFUNCTION("average(filter('Appearance Sheet'!F:F,'Appearance Sheet'!G:G=B1309,'Appearance Sheet'!A:A=C1309))"),5.333333333333333)</f>
        <v>5.333333333</v>
      </c>
      <c r="F1309" s="67">
        <v>5.229960113</v>
      </c>
      <c r="G1309" s="40">
        <v>1.906621199</v>
      </c>
      <c r="H1309" s="40">
        <f t="shared" si="1"/>
        <v>3.217423273</v>
      </c>
      <c r="I1309" s="41">
        <v>0.552380952</v>
      </c>
      <c r="J1309" s="41">
        <v>0.095238095</v>
      </c>
      <c r="K1309" s="41">
        <v>0.352380952</v>
      </c>
      <c r="L1309" s="41">
        <f t="shared" si="2"/>
        <v>0.2</v>
      </c>
      <c r="M1309" s="74">
        <v>0.762169643</v>
      </c>
    </row>
    <row r="1310">
      <c r="A1310" s="1" t="s">
        <v>356</v>
      </c>
      <c r="B1310" s="38">
        <v>680732.0</v>
      </c>
      <c r="C1310" s="72">
        <v>45807.0</v>
      </c>
      <c r="D1310" s="38">
        <v>88.0</v>
      </c>
      <c r="E1310" s="73">
        <f>IFERROR(__xludf.DUMMYFUNCTION("average(filter('Appearance Sheet'!F:F,'Appearance Sheet'!G:G=B1310,'Appearance Sheet'!A:A=C1310))"),6.0)</f>
        <v>6</v>
      </c>
      <c r="F1310" s="67">
        <v>5.228966673</v>
      </c>
      <c r="G1310" s="40">
        <v>1.618603754</v>
      </c>
      <c r="H1310" s="40">
        <f t="shared" si="1"/>
        <v>2.427905631</v>
      </c>
      <c r="I1310" s="41">
        <v>0.488636364</v>
      </c>
      <c r="J1310" s="41">
        <v>0.147727273</v>
      </c>
      <c r="K1310" s="41">
        <v>0.363636364</v>
      </c>
      <c r="L1310" s="41">
        <f t="shared" si="2"/>
        <v>0.125</v>
      </c>
      <c r="M1310" s="74">
        <v>-0.618911575</v>
      </c>
    </row>
    <row r="1311">
      <c r="A1311" s="1" t="s">
        <v>245</v>
      </c>
      <c r="B1311" s="38">
        <v>571578.0</v>
      </c>
      <c r="C1311" s="72">
        <v>45848.0</v>
      </c>
      <c r="D1311" s="38">
        <v>86.0</v>
      </c>
      <c r="E1311" s="73" t="str">
        <f>IFERROR(__xludf.DUMMYFUNCTION("average(filter('Appearance Sheet'!F:F,'Appearance Sheet'!G:G=B1311,'Appearance Sheet'!A:A=C1311))"),"#N/A")</f>
        <v>#N/A</v>
      </c>
      <c r="F1311" s="67">
        <v>5.22873068</v>
      </c>
      <c r="G1311" s="40">
        <v>1.590056534</v>
      </c>
      <c r="H1311" s="40" t="str">
        <f t="shared" si="1"/>
        <v>#N/A</v>
      </c>
      <c r="I1311" s="41">
        <v>0.453488372</v>
      </c>
      <c r="J1311" s="41">
        <v>0.26744186</v>
      </c>
      <c r="K1311" s="41">
        <v>0.279069767</v>
      </c>
      <c r="L1311" s="41">
        <f t="shared" si="2"/>
        <v>0.174418605</v>
      </c>
      <c r="M1311" s="74">
        <v>-1.967375897</v>
      </c>
    </row>
    <row r="1312">
      <c r="A1312" s="1" t="s">
        <v>354</v>
      </c>
      <c r="B1312" s="38">
        <v>669022.0</v>
      </c>
      <c r="C1312" s="72">
        <v>45776.0</v>
      </c>
      <c r="D1312" s="38">
        <v>93.0</v>
      </c>
      <c r="E1312" s="73">
        <f>IFERROR(__xludf.DUMMYFUNCTION("average(filter('Appearance Sheet'!F:F,'Appearance Sheet'!G:G=B1312,'Appearance Sheet'!A:A=C1312))"),6.0)</f>
        <v>6</v>
      </c>
      <c r="F1312" s="67">
        <v>5.228669237</v>
      </c>
      <c r="G1312" s="40">
        <v>1.682190534</v>
      </c>
      <c r="H1312" s="40">
        <f t="shared" si="1"/>
        <v>2.523285801</v>
      </c>
      <c r="I1312" s="41">
        <v>0.451612903</v>
      </c>
      <c r="J1312" s="41">
        <v>0.225806452</v>
      </c>
      <c r="K1312" s="41">
        <v>0.322580645</v>
      </c>
      <c r="L1312" s="41">
        <f t="shared" si="2"/>
        <v>0.129032258</v>
      </c>
      <c r="M1312" s="74">
        <v>-0.721925385</v>
      </c>
    </row>
    <row r="1313">
      <c r="A1313" s="1" t="s">
        <v>100</v>
      </c>
      <c r="B1313" s="38">
        <v>676979.0</v>
      </c>
      <c r="C1313" s="72">
        <v>45886.0</v>
      </c>
      <c r="D1313" s="38">
        <v>94.0</v>
      </c>
      <c r="E1313" s="73" t="str">
        <f>IFERROR(__xludf.DUMMYFUNCTION("average(filter('Appearance Sheet'!F:F,'Appearance Sheet'!G:G=B1313,'Appearance Sheet'!A:A=C1313))"),"#N/A")</f>
        <v>#N/A</v>
      </c>
      <c r="F1313" s="67">
        <v>5.22827076</v>
      </c>
      <c r="G1313" s="40">
        <v>1.782613877</v>
      </c>
      <c r="H1313" s="40" t="str">
        <f t="shared" si="1"/>
        <v>#N/A</v>
      </c>
      <c r="I1313" s="41">
        <v>0.457446809</v>
      </c>
      <c r="J1313" s="41">
        <v>0.212765957</v>
      </c>
      <c r="K1313" s="41">
        <v>0.329787234</v>
      </c>
      <c r="L1313" s="41">
        <f t="shared" si="2"/>
        <v>0.127659575</v>
      </c>
      <c r="M1313" s="74">
        <v>2.350696709</v>
      </c>
    </row>
    <row r="1314">
      <c r="A1314" s="1" t="s">
        <v>115</v>
      </c>
      <c r="B1314" s="38">
        <v>543135.0</v>
      </c>
      <c r="C1314" s="72">
        <v>45891.0</v>
      </c>
      <c r="D1314" s="38">
        <v>101.0</v>
      </c>
      <c r="E1314" s="73" t="str">
        <f>IFERROR(__xludf.DUMMYFUNCTION("average(filter('Appearance Sheet'!F:F,'Appearance Sheet'!G:G=B1314,'Appearance Sheet'!A:A=C1314))"),"#N/A")</f>
        <v>#N/A</v>
      </c>
      <c r="F1314" s="67">
        <v>5.228171869</v>
      </c>
      <c r="G1314" s="40">
        <v>1.842950064</v>
      </c>
      <c r="H1314" s="40" t="str">
        <f t="shared" si="1"/>
        <v>#N/A</v>
      </c>
      <c r="I1314" s="41">
        <v>0.475247525</v>
      </c>
      <c r="J1314" s="41">
        <v>0.217821782</v>
      </c>
      <c r="K1314" s="41">
        <v>0.306930693</v>
      </c>
      <c r="L1314" s="41">
        <f t="shared" si="2"/>
        <v>0.168316832</v>
      </c>
      <c r="M1314" s="74">
        <v>3.052220369</v>
      </c>
    </row>
    <row r="1315">
      <c r="A1315" s="1" t="s">
        <v>85</v>
      </c>
      <c r="B1315" s="38">
        <v>808967.0</v>
      </c>
      <c r="C1315" s="72">
        <v>45827.0</v>
      </c>
      <c r="D1315" s="38">
        <v>99.0</v>
      </c>
      <c r="E1315" s="73">
        <f>IFERROR(__xludf.DUMMYFUNCTION("average(filter('Appearance Sheet'!F:F,'Appearance Sheet'!G:G=B1315,'Appearance Sheet'!A:A=C1315))"),6.333333333333333)</f>
        <v>6.333333333</v>
      </c>
      <c r="F1315" s="67">
        <v>5.228074293</v>
      </c>
      <c r="G1315" s="40">
        <v>1.813243473</v>
      </c>
      <c r="H1315" s="40">
        <f t="shared" si="1"/>
        <v>2.576714409</v>
      </c>
      <c r="I1315" s="41">
        <v>0.484848485</v>
      </c>
      <c r="J1315" s="41">
        <v>0.202020202</v>
      </c>
      <c r="K1315" s="41">
        <v>0.313131313</v>
      </c>
      <c r="L1315" s="41">
        <f t="shared" si="2"/>
        <v>0.171717172</v>
      </c>
      <c r="M1315" s="74">
        <v>-0.868719612</v>
      </c>
    </row>
    <row r="1316">
      <c r="A1316" s="1" t="s">
        <v>405</v>
      </c>
      <c r="B1316" s="38">
        <v>621111.0</v>
      </c>
      <c r="C1316" s="72">
        <v>45814.0</v>
      </c>
      <c r="D1316" s="38">
        <v>64.0</v>
      </c>
      <c r="E1316" s="73">
        <f>IFERROR(__xludf.DUMMYFUNCTION("average(filter('Appearance Sheet'!F:F,'Appearance Sheet'!G:G=B1316,'Appearance Sheet'!A:A=C1316))"),2.0)</f>
        <v>2</v>
      </c>
      <c r="F1316" s="67">
        <v>5.22801906</v>
      </c>
      <c r="G1316" s="40">
        <v>1.182605655</v>
      </c>
      <c r="H1316" s="40">
        <f t="shared" si="1"/>
        <v>5.321725448</v>
      </c>
      <c r="I1316" s="41">
        <v>0.5</v>
      </c>
      <c r="J1316" s="41">
        <v>0.25</v>
      </c>
      <c r="K1316" s="41">
        <v>0.25</v>
      </c>
      <c r="L1316" s="41">
        <f t="shared" si="2"/>
        <v>0.25</v>
      </c>
      <c r="M1316" s="74">
        <v>-3.153687407</v>
      </c>
    </row>
    <row r="1317">
      <c r="A1317" s="1" t="s">
        <v>232</v>
      </c>
      <c r="B1317" s="38">
        <v>579328.0</v>
      </c>
      <c r="C1317" s="72">
        <v>45850.0</v>
      </c>
      <c r="D1317" s="38">
        <v>87.0</v>
      </c>
      <c r="E1317" s="73" t="str">
        <f>IFERROR(__xludf.DUMMYFUNCTION("average(filter('Appearance Sheet'!F:F,'Appearance Sheet'!G:G=B1317,'Appearance Sheet'!A:A=C1317))"),"#N/A")</f>
        <v>#N/A</v>
      </c>
      <c r="F1317" s="67">
        <v>5.227858642</v>
      </c>
      <c r="G1317" s="40">
        <v>1.607344868</v>
      </c>
      <c r="H1317" s="40" t="str">
        <f t="shared" si="1"/>
        <v>#N/A</v>
      </c>
      <c r="I1317" s="41">
        <v>0.517241379</v>
      </c>
      <c r="J1317" s="41">
        <v>0.206896552</v>
      </c>
      <c r="K1317" s="41">
        <v>0.275862069</v>
      </c>
      <c r="L1317" s="41">
        <f t="shared" si="2"/>
        <v>0.24137931</v>
      </c>
      <c r="M1317" s="74">
        <v>-0.559884302</v>
      </c>
    </row>
    <row r="1318">
      <c r="A1318" s="1" t="s">
        <v>100</v>
      </c>
      <c r="B1318" s="38">
        <v>676979.0</v>
      </c>
      <c r="C1318" s="72">
        <v>45815.0</v>
      </c>
      <c r="D1318" s="38">
        <v>93.0</v>
      </c>
      <c r="E1318" s="73">
        <f>IFERROR(__xludf.DUMMYFUNCTION("average(filter('Appearance Sheet'!F:F,'Appearance Sheet'!G:G=B1318,'Appearance Sheet'!A:A=C1318))"),6.0)</f>
        <v>6</v>
      </c>
      <c r="F1318" s="67">
        <v>5.227846142</v>
      </c>
      <c r="G1318" s="40">
        <v>1.726100333</v>
      </c>
      <c r="H1318" s="40">
        <f t="shared" si="1"/>
        <v>2.5891505</v>
      </c>
      <c r="I1318" s="41">
        <v>0.505376344</v>
      </c>
      <c r="J1318" s="41">
        <v>0.204301075</v>
      </c>
      <c r="K1318" s="41">
        <v>0.290322581</v>
      </c>
      <c r="L1318" s="41">
        <f t="shared" si="2"/>
        <v>0.215053763</v>
      </c>
      <c r="M1318" s="74">
        <v>-1.174840567</v>
      </c>
    </row>
    <row r="1319">
      <c r="A1319" s="1" t="s">
        <v>88</v>
      </c>
      <c r="B1319" s="38">
        <v>694973.0</v>
      </c>
      <c r="C1319" s="72">
        <v>45910.0</v>
      </c>
      <c r="D1319" s="38">
        <v>62.0</v>
      </c>
      <c r="E1319" s="73" t="str">
        <f>IFERROR(__xludf.DUMMYFUNCTION("average(filter('Appearance Sheet'!F:F,'Appearance Sheet'!G:G=B1319,'Appearance Sheet'!A:A=C1319))"),"#N/A")</f>
        <v>#N/A</v>
      </c>
      <c r="F1319" s="67">
        <v>5.227618036</v>
      </c>
      <c r="G1319" s="40">
        <v>1.147142075</v>
      </c>
      <c r="H1319" s="40" t="str">
        <f t="shared" si="1"/>
        <v>#N/A</v>
      </c>
      <c r="I1319" s="41">
        <v>0.516129032</v>
      </c>
      <c r="J1319" s="41">
        <v>0.096774194</v>
      </c>
      <c r="K1319" s="41">
        <v>0.387096774</v>
      </c>
      <c r="L1319" s="41">
        <f t="shared" si="2"/>
        <v>0.129032258</v>
      </c>
      <c r="M1319" s="74">
        <v>1.227936864</v>
      </c>
    </row>
    <row r="1320">
      <c r="A1320" s="1" t="s">
        <v>354</v>
      </c>
      <c r="B1320" s="38">
        <v>669022.0</v>
      </c>
      <c r="C1320" s="72">
        <v>45760.0</v>
      </c>
      <c r="D1320" s="38">
        <v>102.0</v>
      </c>
      <c r="E1320" s="73">
        <f>IFERROR(__xludf.DUMMYFUNCTION("average(filter('Appearance Sheet'!F:F,'Appearance Sheet'!G:G=B1320,'Appearance Sheet'!A:A=C1320))"),6.0)</f>
        <v>6</v>
      </c>
      <c r="F1320" s="67">
        <v>5.227406055</v>
      </c>
      <c r="G1320" s="40">
        <v>1.866168705</v>
      </c>
      <c r="H1320" s="40">
        <f t="shared" si="1"/>
        <v>2.799253058</v>
      </c>
      <c r="I1320" s="41">
        <v>0.480392157</v>
      </c>
      <c r="J1320" s="41">
        <v>0.166666667</v>
      </c>
      <c r="K1320" s="41">
        <v>0.352941176</v>
      </c>
      <c r="L1320" s="41">
        <f t="shared" si="2"/>
        <v>0.127450981</v>
      </c>
      <c r="M1320" s="74">
        <v>-3.612064923</v>
      </c>
    </row>
    <row r="1321">
      <c r="A1321" s="1" t="s">
        <v>368</v>
      </c>
      <c r="B1321" s="38">
        <v>593958.0</v>
      </c>
      <c r="C1321" s="72">
        <v>45927.0</v>
      </c>
      <c r="D1321" s="38">
        <v>93.0</v>
      </c>
      <c r="E1321" s="73" t="str">
        <f>IFERROR(__xludf.DUMMYFUNCTION("average(filter('Appearance Sheet'!F:F,'Appearance Sheet'!G:G=B1321,'Appearance Sheet'!A:A=C1321))"),"#N/A")</f>
        <v>#N/A</v>
      </c>
      <c r="F1321" s="67">
        <v>5.227387491</v>
      </c>
      <c r="G1321" s="40">
        <v>1.726800525</v>
      </c>
      <c r="H1321" s="40" t="str">
        <f t="shared" si="1"/>
        <v>#N/A</v>
      </c>
      <c r="I1321" s="41">
        <v>0.494623656</v>
      </c>
      <c r="J1321" s="41">
        <v>0.204301075</v>
      </c>
      <c r="K1321" s="41">
        <v>0.301075269</v>
      </c>
      <c r="L1321" s="41">
        <f t="shared" si="2"/>
        <v>0.193548387</v>
      </c>
      <c r="M1321" s="74">
        <v>-0.711478299</v>
      </c>
    </row>
    <row r="1322">
      <c r="A1322" s="1" t="s">
        <v>232</v>
      </c>
      <c r="B1322" s="38">
        <v>579328.0</v>
      </c>
      <c r="C1322" s="72">
        <v>45901.0</v>
      </c>
      <c r="D1322" s="38">
        <v>97.0</v>
      </c>
      <c r="E1322" s="73" t="str">
        <f>IFERROR(__xludf.DUMMYFUNCTION("average(filter('Appearance Sheet'!F:F,'Appearance Sheet'!G:G=B1322,'Appearance Sheet'!A:A=C1322))"),"#N/A")</f>
        <v>#N/A</v>
      </c>
      <c r="F1322" s="67">
        <v>5.227287819</v>
      </c>
      <c r="G1322" s="40">
        <v>1.795339618</v>
      </c>
      <c r="H1322" s="40" t="str">
        <f t="shared" si="1"/>
        <v>#N/A</v>
      </c>
      <c r="I1322" s="41">
        <v>0.463917526</v>
      </c>
      <c r="J1322" s="41">
        <v>0.257731959</v>
      </c>
      <c r="K1322" s="41">
        <v>0.278350515</v>
      </c>
      <c r="L1322" s="41">
        <f t="shared" si="2"/>
        <v>0.185567011</v>
      </c>
      <c r="M1322" s="74">
        <v>-3.390270907</v>
      </c>
    </row>
    <row r="1323">
      <c r="A1323" s="1" t="s">
        <v>386</v>
      </c>
      <c r="B1323" s="38">
        <v>656731.0</v>
      </c>
      <c r="C1323" s="72">
        <v>45798.0</v>
      </c>
      <c r="D1323" s="38">
        <v>82.0</v>
      </c>
      <c r="E1323" s="73">
        <f>IFERROR(__xludf.DUMMYFUNCTION("average(filter('Appearance Sheet'!F:F,'Appearance Sheet'!G:G=B1323,'Appearance Sheet'!A:A=C1323))"),4.666666666666667)</f>
        <v>4.666666667</v>
      </c>
      <c r="F1323" s="67">
        <v>5.227032483</v>
      </c>
      <c r="G1323" s="40">
        <v>1.502693586</v>
      </c>
      <c r="H1323" s="40">
        <f t="shared" si="1"/>
        <v>2.898051916</v>
      </c>
      <c r="I1323" s="41">
        <v>0.426829268</v>
      </c>
      <c r="J1323" s="41">
        <v>0.256097561</v>
      </c>
      <c r="K1323" s="41">
        <v>0.317073171</v>
      </c>
      <c r="L1323" s="41">
        <f t="shared" si="2"/>
        <v>0.109756097</v>
      </c>
      <c r="M1323" s="74">
        <v>0.37496829</v>
      </c>
    </row>
    <row r="1324">
      <c r="A1324" s="1" t="s">
        <v>347</v>
      </c>
      <c r="B1324" s="38">
        <v>700249.0</v>
      </c>
      <c r="C1324" s="72">
        <v>45873.0</v>
      </c>
      <c r="D1324" s="38">
        <v>84.0</v>
      </c>
      <c r="E1324" s="73" t="str">
        <f>IFERROR(__xludf.DUMMYFUNCTION("average(filter('Appearance Sheet'!F:F,'Appearance Sheet'!G:G=B1324,'Appearance Sheet'!A:A=C1324))"),"#N/A")</f>
        <v>#N/A</v>
      </c>
      <c r="F1324" s="67">
        <v>5.227003841</v>
      </c>
      <c r="G1324" s="40">
        <v>1.54182489</v>
      </c>
      <c r="H1324" s="40" t="str">
        <f t="shared" si="1"/>
        <v>#N/A</v>
      </c>
      <c r="I1324" s="41">
        <v>0.511904762</v>
      </c>
      <c r="J1324" s="41">
        <v>0.178571429</v>
      </c>
      <c r="K1324" s="41">
        <v>0.30952381</v>
      </c>
      <c r="L1324" s="41">
        <f t="shared" si="2"/>
        <v>0.202380952</v>
      </c>
      <c r="M1324" s="74">
        <v>0.360156692</v>
      </c>
    </row>
    <row r="1325">
      <c r="A1325" s="1" t="s">
        <v>256</v>
      </c>
      <c r="B1325" s="38">
        <v>571760.0</v>
      </c>
      <c r="C1325" s="72">
        <v>45809.0</v>
      </c>
      <c r="D1325" s="38">
        <v>87.0</v>
      </c>
      <c r="E1325" s="73">
        <f>IFERROR(__xludf.DUMMYFUNCTION("average(filter('Appearance Sheet'!F:F,'Appearance Sheet'!G:G=B1325,'Appearance Sheet'!A:A=C1325))"),5.666666666666667)</f>
        <v>5.666666667</v>
      </c>
      <c r="F1325" s="67">
        <v>5.22699856</v>
      </c>
      <c r="G1325" s="40">
        <v>1.632243686</v>
      </c>
      <c r="H1325" s="40">
        <f t="shared" si="1"/>
        <v>2.592387031</v>
      </c>
      <c r="I1325" s="41">
        <v>0.494252874</v>
      </c>
      <c r="J1325" s="41">
        <v>0.172413793</v>
      </c>
      <c r="K1325" s="41">
        <v>0.333333333</v>
      </c>
      <c r="L1325" s="41">
        <f t="shared" si="2"/>
        <v>0.160919541</v>
      </c>
      <c r="M1325" s="74">
        <v>0.420894097</v>
      </c>
    </row>
    <row r="1326">
      <c r="A1326" s="1" t="s">
        <v>574</v>
      </c>
      <c r="B1326" s="38">
        <v>694918.0</v>
      </c>
      <c r="C1326" s="72">
        <v>45840.0</v>
      </c>
      <c r="D1326" s="38">
        <v>74.0</v>
      </c>
      <c r="E1326" s="73">
        <f>IFERROR(__xludf.DUMMYFUNCTION("average(filter('Appearance Sheet'!F:F,'Appearance Sheet'!G:G=B1326,'Appearance Sheet'!A:A=C1326))"),4.333333333333333)</f>
        <v>4.333333333</v>
      </c>
      <c r="F1326" s="67">
        <v>5.226932209</v>
      </c>
      <c r="G1326" s="40">
        <v>1.374893792</v>
      </c>
      <c r="H1326" s="40">
        <f t="shared" si="1"/>
        <v>2.855548645</v>
      </c>
      <c r="I1326" s="41">
        <v>0.486486486</v>
      </c>
      <c r="J1326" s="41">
        <v>0.175675676</v>
      </c>
      <c r="K1326" s="41">
        <v>0.337837838</v>
      </c>
      <c r="L1326" s="41">
        <f t="shared" si="2"/>
        <v>0.148648648</v>
      </c>
      <c r="M1326" s="74">
        <v>-0.684211172</v>
      </c>
    </row>
    <row r="1327">
      <c r="A1327" s="1" t="s">
        <v>133</v>
      </c>
      <c r="B1327" s="38">
        <v>663978.0</v>
      </c>
      <c r="C1327" s="72">
        <v>45880.0</v>
      </c>
      <c r="D1327" s="38">
        <v>74.0</v>
      </c>
      <c r="E1327" s="73" t="str">
        <f>IFERROR(__xludf.DUMMYFUNCTION("average(filter('Appearance Sheet'!F:F,'Appearance Sheet'!G:G=B1327,'Appearance Sheet'!A:A=C1327))"),"#N/A")</f>
        <v>#N/A</v>
      </c>
      <c r="F1327" s="67">
        <v>5.226793479</v>
      </c>
      <c r="G1327" s="40">
        <v>1.350393197</v>
      </c>
      <c r="H1327" s="40" t="str">
        <f t="shared" si="1"/>
        <v>#N/A</v>
      </c>
      <c r="I1327" s="41">
        <v>0.472972973</v>
      </c>
      <c r="J1327" s="41">
        <v>0.256756757</v>
      </c>
      <c r="K1327" s="41">
        <v>0.27027027</v>
      </c>
      <c r="L1327" s="41">
        <f t="shared" si="2"/>
        <v>0.202702703</v>
      </c>
      <c r="M1327" s="74">
        <v>1.242229196</v>
      </c>
    </row>
    <row r="1328">
      <c r="A1328" s="1" t="s">
        <v>347</v>
      </c>
      <c r="B1328" s="38">
        <v>700249.0</v>
      </c>
      <c r="C1328" s="72">
        <v>45753.0</v>
      </c>
      <c r="D1328" s="38">
        <v>84.0</v>
      </c>
      <c r="E1328" s="73">
        <f>IFERROR(__xludf.DUMMYFUNCTION("average(filter('Appearance Sheet'!F:F,'Appearance Sheet'!G:G=B1328,'Appearance Sheet'!A:A=C1328))"),6.0)</f>
        <v>6</v>
      </c>
      <c r="F1328" s="67">
        <v>5.226746445</v>
      </c>
      <c r="G1328" s="40">
        <v>1.591355722</v>
      </c>
      <c r="H1328" s="40">
        <f t="shared" si="1"/>
        <v>2.387033583</v>
      </c>
      <c r="I1328" s="41">
        <v>0.535714286</v>
      </c>
      <c r="J1328" s="41">
        <v>0.154761905</v>
      </c>
      <c r="K1328" s="41">
        <v>0.30952381</v>
      </c>
      <c r="L1328" s="41">
        <f t="shared" si="2"/>
        <v>0.226190476</v>
      </c>
      <c r="M1328" s="74">
        <v>-5.753411123</v>
      </c>
    </row>
    <row r="1329">
      <c r="A1329" s="1" t="s">
        <v>166</v>
      </c>
      <c r="B1329" s="38">
        <v>608331.0</v>
      </c>
      <c r="C1329" s="72">
        <v>45833.0</v>
      </c>
      <c r="D1329" s="38">
        <v>99.0</v>
      </c>
      <c r="E1329" s="73">
        <f>IFERROR(__xludf.DUMMYFUNCTION("average(filter('Appearance Sheet'!F:F,'Appearance Sheet'!G:G=B1329,'Appearance Sheet'!A:A=C1329))"),7.0)</f>
        <v>7</v>
      </c>
      <c r="F1329" s="67">
        <v>5.226692551</v>
      </c>
      <c r="G1329" s="40">
        <v>1.793520887</v>
      </c>
      <c r="H1329" s="40">
        <f t="shared" si="1"/>
        <v>2.305955426</v>
      </c>
      <c r="I1329" s="41">
        <v>0.464646465</v>
      </c>
      <c r="J1329" s="41">
        <v>0.151515152</v>
      </c>
      <c r="K1329" s="41">
        <v>0.383838384</v>
      </c>
      <c r="L1329" s="41">
        <f t="shared" si="2"/>
        <v>0.080808081</v>
      </c>
      <c r="M1329" s="74">
        <v>1.771599521</v>
      </c>
    </row>
    <row r="1330">
      <c r="A1330" s="1" t="s">
        <v>368</v>
      </c>
      <c r="B1330" s="38">
        <v>593958.0</v>
      </c>
      <c r="C1330" s="72">
        <v>45758.0</v>
      </c>
      <c r="D1330" s="38">
        <v>92.0</v>
      </c>
      <c r="E1330" s="73">
        <f>IFERROR(__xludf.DUMMYFUNCTION("average(filter('Appearance Sheet'!F:F,'Appearance Sheet'!G:G=B1330,'Appearance Sheet'!A:A=C1330))"),6.333333333333333)</f>
        <v>6.333333333</v>
      </c>
      <c r="F1330" s="67">
        <v>5.226556494</v>
      </c>
      <c r="G1330" s="40">
        <v>1.692163295</v>
      </c>
      <c r="H1330" s="40">
        <f t="shared" si="1"/>
        <v>2.404653103</v>
      </c>
      <c r="I1330" s="41">
        <v>0.532608696</v>
      </c>
      <c r="J1330" s="41">
        <v>0.217391304</v>
      </c>
      <c r="K1330" s="41">
        <v>0.25</v>
      </c>
      <c r="L1330" s="41">
        <f t="shared" si="2"/>
        <v>0.282608696</v>
      </c>
      <c r="M1330" s="74">
        <v>-0.154752623</v>
      </c>
    </row>
    <row r="1331">
      <c r="A1331" s="1" t="s">
        <v>246</v>
      </c>
      <c r="B1331" s="38">
        <v>571510.0</v>
      </c>
      <c r="C1331" s="72">
        <v>45839.0</v>
      </c>
      <c r="D1331" s="38">
        <v>86.0</v>
      </c>
      <c r="E1331" s="73">
        <f>IFERROR(__xludf.DUMMYFUNCTION("average(filter('Appearance Sheet'!F:F,'Appearance Sheet'!G:G=B1331,'Appearance Sheet'!A:A=C1331))"),7.0)</f>
        <v>7</v>
      </c>
      <c r="F1331" s="67">
        <v>5.226551106</v>
      </c>
      <c r="G1331" s="40">
        <v>1.60786013</v>
      </c>
      <c r="H1331" s="40">
        <f t="shared" si="1"/>
        <v>2.067248739</v>
      </c>
      <c r="I1331" s="41">
        <v>0.523255814</v>
      </c>
      <c r="J1331" s="41">
        <v>0.186046512</v>
      </c>
      <c r="K1331" s="41">
        <v>0.290697674</v>
      </c>
      <c r="L1331" s="41">
        <f t="shared" si="2"/>
        <v>0.23255814</v>
      </c>
      <c r="M1331" s="74">
        <v>0.674903156</v>
      </c>
    </row>
    <row r="1332">
      <c r="A1332" s="1" t="s">
        <v>166</v>
      </c>
      <c r="B1332" s="38">
        <v>608331.0</v>
      </c>
      <c r="C1332" s="72">
        <v>45844.0</v>
      </c>
      <c r="D1332" s="38">
        <v>97.0</v>
      </c>
      <c r="E1332" s="73" t="str">
        <f>IFERROR(__xludf.DUMMYFUNCTION("average(filter('Appearance Sheet'!F:F,'Appearance Sheet'!G:G=B1332,'Appearance Sheet'!A:A=C1332))"),"#N/A")</f>
        <v>#N/A</v>
      </c>
      <c r="F1332" s="67">
        <v>5.226549123</v>
      </c>
      <c r="G1332" s="40">
        <v>1.760603293</v>
      </c>
      <c r="H1332" s="40" t="str">
        <f t="shared" si="1"/>
        <v>#N/A</v>
      </c>
      <c r="I1332" s="41">
        <v>0.494845361</v>
      </c>
      <c r="J1332" s="41">
        <v>0.18556701</v>
      </c>
      <c r="K1332" s="41">
        <v>0.319587629</v>
      </c>
      <c r="L1332" s="41">
        <f t="shared" si="2"/>
        <v>0.175257732</v>
      </c>
      <c r="M1332" s="74">
        <v>-1.236280725</v>
      </c>
    </row>
    <row r="1333">
      <c r="A1333" s="1" t="s">
        <v>372</v>
      </c>
      <c r="B1333" s="38">
        <v>671106.0</v>
      </c>
      <c r="C1333" s="72">
        <v>45862.0</v>
      </c>
      <c r="D1333" s="38">
        <v>89.0</v>
      </c>
      <c r="E1333" s="73" t="str">
        <f>IFERROR(__xludf.DUMMYFUNCTION("average(filter('Appearance Sheet'!F:F,'Appearance Sheet'!G:G=B1333,'Appearance Sheet'!A:A=C1333))"),"#N/A")</f>
        <v>#N/A</v>
      </c>
      <c r="F1333" s="67">
        <v>5.226476972</v>
      </c>
      <c r="G1333" s="40">
        <v>1.661784496</v>
      </c>
      <c r="H1333" s="40" t="str">
        <f t="shared" si="1"/>
        <v>#N/A</v>
      </c>
      <c r="I1333" s="41">
        <v>0.438202247</v>
      </c>
      <c r="J1333" s="41">
        <v>0.258426966</v>
      </c>
      <c r="K1333" s="41">
        <v>0.303370787</v>
      </c>
      <c r="L1333" s="41">
        <f t="shared" si="2"/>
        <v>0.13483146</v>
      </c>
      <c r="M1333" s="74">
        <v>-2.047272444</v>
      </c>
    </row>
    <row r="1334">
      <c r="A1334" s="1" t="s">
        <v>373</v>
      </c>
      <c r="B1334" s="38">
        <v>640455.0</v>
      </c>
      <c r="C1334" s="72">
        <v>45884.0</v>
      </c>
      <c r="D1334" s="38">
        <v>80.0</v>
      </c>
      <c r="E1334" s="73" t="str">
        <f>IFERROR(__xludf.DUMMYFUNCTION("average(filter('Appearance Sheet'!F:F,'Appearance Sheet'!G:G=B1334,'Appearance Sheet'!A:A=C1334))"),"#N/A")</f>
        <v>#N/A</v>
      </c>
      <c r="F1334" s="67">
        <v>5.226434273</v>
      </c>
      <c r="G1334" s="40">
        <v>1.497454754</v>
      </c>
      <c r="H1334" s="40" t="str">
        <f t="shared" si="1"/>
        <v>#N/A</v>
      </c>
      <c r="I1334" s="41">
        <v>0.5375</v>
      </c>
      <c r="J1334" s="41">
        <v>0.1125</v>
      </c>
      <c r="K1334" s="41">
        <v>0.35</v>
      </c>
      <c r="L1334" s="41">
        <f t="shared" si="2"/>
        <v>0.1875</v>
      </c>
      <c r="M1334" s="74">
        <v>-2.000251359</v>
      </c>
    </row>
    <row r="1335">
      <c r="A1335" s="1" t="s">
        <v>226</v>
      </c>
      <c r="B1335" s="38">
        <v>607259.0</v>
      </c>
      <c r="C1335" s="72">
        <v>45751.0</v>
      </c>
      <c r="D1335" s="38">
        <v>90.0</v>
      </c>
      <c r="E1335" s="73">
        <f>IFERROR(__xludf.DUMMYFUNCTION("average(filter('Appearance Sheet'!F:F,'Appearance Sheet'!G:G=B1335,'Appearance Sheet'!A:A=C1335))"),4.666666666666667)</f>
        <v>4.666666667</v>
      </c>
      <c r="F1335" s="67">
        <v>5.225806305</v>
      </c>
      <c r="G1335" s="40">
        <v>1.689273188</v>
      </c>
      <c r="H1335" s="40">
        <f t="shared" si="1"/>
        <v>3.257884005</v>
      </c>
      <c r="I1335" s="41">
        <v>0.488888889</v>
      </c>
      <c r="J1335" s="41">
        <v>0.188888889</v>
      </c>
      <c r="K1335" s="41">
        <v>0.322222222</v>
      </c>
      <c r="L1335" s="41">
        <f t="shared" si="2"/>
        <v>0.166666667</v>
      </c>
      <c r="M1335" s="74">
        <v>0.838275997</v>
      </c>
    </row>
    <row r="1336">
      <c r="A1336" s="1" t="s">
        <v>171</v>
      </c>
      <c r="B1336" s="38">
        <v>665795.0</v>
      </c>
      <c r="C1336" s="72">
        <v>45894.0</v>
      </c>
      <c r="D1336" s="38">
        <v>99.0</v>
      </c>
      <c r="E1336" s="73" t="str">
        <f>IFERROR(__xludf.DUMMYFUNCTION("average(filter('Appearance Sheet'!F:F,'Appearance Sheet'!G:G=B1336,'Appearance Sheet'!A:A=C1336))"),"#N/A")</f>
        <v>#N/A</v>
      </c>
      <c r="F1336" s="67">
        <v>5.225620869</v>
      </c>
      <c r="G1336" s="40">
        <v>1.815973146</v>
      </c>
      <c r="H1336" s="40" t="str">
        <f t="shared" si="1"/>
        <v>#N/A</v>
      </c>
      <c r="I1336" s="41">
        <v>0.525252525</v>
      </c>
      <c r="J1336" s="41">
        <v>0.141414141</v>
      </c>
      <c r="K1336" s="41">
        <v>0.333333333</v>
      </c>
      <c r="L1336" s="41">
        <f t="shared" si="2"/>
        <v>0.191919192</v>
      </c>
      <c r="M1336" s="74">
        <v>3.746778226</v>
      </c>
    </row>
    <row r="1337">
      <c r="A1337" s="1" t="s">
        <v>307</v>
      </c>
      <c r="B1337" s="38">
        <v>656849.0</v>
      </c>
      <c r="C1337" s="72">
        <v>45835.0</v>
      </c>
      <c r="D1337" s="38">
        <v>89.0</v>
      </c>
      <c r="E1337" s="73">
        <f>IFERROR(__xludf.DUMMYFUNCTION("average(filter('Appearance Sheet'!F:F,'Appearance Sheet'!G:G=B1337,'Appearance Sheet'!A:A=C1337))"),4.666666666666667)</f>
        <v>4.666666667</v>
      </c>
      <c r="F1337" s="67">
        <v>5.225262558</v>
      </c>
      <c r="G1337" s="40">
        <v>1.668014846</v>
      </c>
      <c r="H1337" s="40">
        <f t="shared" si="1"/>
        <v>3.216885774</v>
      </c>
      <c r="I1337" s="41">
        <v>0.494382022</v>
      </c>
      <c r="J1337" s="41">
        <v>0.179775281</v>
      </c>
      <c r="K1337" s="41">
        <v>0.325842697</v>
      </c>
      <c r="L1337" s="41">
        <f t="shared" si="2"/>
        <v>0.168539325</v>
      </c>
      <c r="M1337" s="74">
        <v>-1.110746319</v>
      </c>
    </row>
    <row r="1338">
      <c r="A1338" s="1" t="s">
        <v>344</v>
      </c>
      <c r="B1338" s="38">
        <v>701542.0</v>
      </c>
      <c r="C1338" s="72">
        <v>45868.0</v>
      </c>
      <c r="D1338" s="38">
        <v>100.0</v>
      </c>
      <c r="E1338" s="73" t="str">
        <f>IFERROR(__xludf.DUMMYFUNCTION("average(filter('Appearance Sheet'!F:F,'Appearance Sheet'!G:G=B1338,'Appearance Sheet'!A:A=C1338))"),"#N/A")</f>
        <v>#N/A</v>
      </c>
      <c r="F1338" s="67">
        <v>5.225052484</v>
      </c>
      <c r="G1338" s="40">
        <v>1.804880253</v>
      </c>
      <c r="H1338" s="40" t="str">
        <f t="shared" si="1"/>
        <v>#N/A</v>
      </c>
      <c r="I1338" s="41">
        <v>0.5</v>
      </c>
      <c r="J1338" s="41">
        <v>0.16</v>
      </c>
      <c r="K1338" s="41">
        <v>0.34</v>
      </c>
      <c r="L1338" s="41">
        <f t="shared" si="2"/>
        <v>0.16</v>
      </c>
      <c r="M1338" s="74">
        <v>-0.403566065</v>
      </c>
    </row>
    <row r="1339">
      <c r="A1339" s="1" t="s">
        <v>272</v>
      </c>
      <c r="B1339" s="38">
        <v>622491.0</v>
      </c>
      <c r="C1339" s="72">
        <v>45821.0</v>
      </c>
      <c r="D1339" s="38">
        <v>98.0</v>
      </c>
      <c r="E1339" s="73">
        <f>IFERROR(__xludf.DUMMYFUNCTION("average(filter('Appearance Sheet'!F:F,'Appearance Sheet'!G:G=B1339,'Appearance Sheet'!A:A=C1339))"),6.0)</f>
        <v>6</v>
      </c>
      <c r="F1339" s="67">
        <v>5.224809284</v>
      </c>
      <c r="G1339" s="40">
        <v>1.852293865</v>
      </c>
      <c r="H1339" s="40">
        <f t="shared" si="1"/>
        <v>2.778440798</v>
      </c>
      <c r="I1339" s="41">
        <v>0.510204082</v>
      </c>
      <c r="J1339" s="41">
        <v>0.193877551</v>
      </c>
      <c r="K1339" s="41">
        <v>0.295918367</v>
      </c>
      <c r="L1339" s="41">
        <f t="shared" si="2"/>
        <v>0.214285715</v>
      </c>
      <c r="M1339" s="74">
        <v>2.697202957</v>
      </c>
    </row>
    <row r="1340">
      <c r="A1340" s="1" t="s">
        <v>363</v>
      </c>
      <c r="B1340" s="38">
        <v>693645.0</v>
      </c>
      <c r="C1340" s="72">
        <v>45882.0</v>
      </c>
      <c r="D1340" s="38">
        <v>86.0</v>
      </c>
      <c r="E1340" s="73" t="str">
        <f>IFERROR(__xludf.DUMMYFUNCTION("average(filter('Appearance Sheet'!F:F,'Appearance Sheet'!G:G=B1340,'Appearance Sheet'!A:A=C1340))"),"#N/A")</f>
        <v>#N/A</v>
      </c>
      <c r="F1340" s="67">
        <v>5.224762159</v>
      </c>
      <c r="G1340" s="40">
        <v>1.604323517</v>
      </c>
      <c r="H1340" s="40" t="str">
        <f t="shared" si="1"/>
        <v>#N/A</v>
      </c>
      <c r="I1340" s="41">
        <v>0.534883721</v>
      </c>
      <c r="J1340" s="41">
        <v>0.127906977</v>
      </c>
      <c r="K1340" s="41">
        <v>0.337209302</v>
      </c>
      <c r="L1340" s="41">
        <f t="shared" si="2"/>
        <v>0.197674419</v>
      </c>
      <c r="M1340" s="74">
        <v>2.881706807</v>
      </c>
    </row>
    <row r="1341">
      <c r="A1341" s="1" t="s">
        <v>164</v>
      </c>
      <c r="B1341" s="38">
        <v>669923.0</v>
      </c>
      <c r="C1341" s="72">
        <v>45844.0</v>
      </c>
      <c r="D1341" s="38">
        <v>90.0</v>
      </c>
      <c r="E1341" s="73" t="str">
        <f>IFERROR(__xludf.DUMMYFUNCTION("average(filter('Appearance Sheet'!F:F,'Appearance Sheet'!G:G=B1341,'Appearance Sheet'!A:A=C1341))"),"#N/A")</f>
        <v>#N/A</v>
      </c>
      <c r="F1341" s="67">
        <v>5.224635424</v>
      </c>
      <c r="G1341" s="40">
        <v>1.636588771</v>
      </c>
      <c r="H1341" s="40" t="str">
        <f t="shared" si="1"/>
        <v>#N/A</v>
      </c>
      <c r="I1341" s="41">
        <v>0.544444444</v>
      </c>
      <c r="J1341" s="41">
        <v>0.177777778</v>
      </c>
      <c r="K1341" s="41">
        <v>0.277777778</v>
      </c>
      <c r="L1341" s="41">
        <f t="shared" si="2"/>
        <v>0.266666666</v>
      </c>
      <c r="M1341" s="74">
        <v>0.877810053</v>
      </c>
    </row>
    <row r="1342">
      <c r="A1342" s="1" t="s">
        <v>176</v>
      </c>
      <c r="B1342" s="38">
        <v>686218.0</v>
      </c>
      <c r="C1342" s="72">
        <v>45888.0</v>
      </c>
      <c r="D1342" s="38">
        <v>89.0</v>
      </c>
      <c r="E1342" s="73" t="str">
        <f>IFERROR(__xludf.DUMMYFUNCTION("average(filter('Appearance Sheet'!F:F,'Appearance Sheet'!G:G=B1342,'Appearance Sheet'!A:A=C1342))"),"#N/A")</f>
        <v>#N/A</v>
      </c>
      <c r="F1342" s="67">
        <v>5.224589037</v>
      </c>
      <c r="G1342" s="40">
        <v>1.628722262</v>
      </c>
      <c r="H1342" s="40" t="str">
        <f t="shared" si="1"/>
        <v>#N/A</v>
      </c>
      <c r="I1342" s="41">
        <v>0.550561798</v>
      </c>
      <c r="J1342" s="41">
        <v>0.112359551</v>
      </c>
      <c r="K1342" s="41">
        <v>0.337078652</v>
      </c>
      <c r="L1342" s="41">
        <f t="shared" si="2"/>
        <v>0.213483146</v>
      </c>
      <c r="M1342" s="74">
        <v>-1.805629498</v>
      </c>
    </row>
    <row r="1343">
      <c r="A1343" s="1" t="s">
        <v>109</v>
      </c>
      <c r="B1343" s="38">
        <v>601713.0</v>
      </c>
      <c r="C1343" s="72">
        <v>45888.0</v>
      </c>
      <c r="D1343" s="38">
        <v>108.0</v>
      </c>
      <c r="E1343" s="73" t="str">
        <f>IFERROR(__xludf.DUMMYFUNCTION("average(filter('Appearance Sheet'!F:F,'Appearance Sheet'!G:G=B1343,'Appearance Sheet'!A:A=C1343))"),"#N/A")</f>
        <v>#N/A</v>
      </c>
      <c r="F1343" s="67">
        <v>5.22440009</v>
      </c>
      <c r="G1343" s="40">
        <v>1.969670827</v>
      </c>
      <c r="H1343" s="40" t="str">
        <f t="shared" si="1"/>
        <v>#N/A</v>
      </c>
      <c r="I1343" s="41">
        <v>0.509259259</v>
      </c>
      <c r="J1343" s="41">
        <v>0.138888889</v>
      </c>
      <c r="K1343" s="41">
        <v>0.351851852</v>
      </c>
      <c r="L1343" s="41">
        <f t="shared" si="2"/>
        <v>0.157407407</v>
      </c>
      <c r="M1343" s="74">
        <v>3.48434953</v>
      </c>
    </row>
    <row r="1344">
      <c r="A1344" s="1" t="s">
        <v>177</v>
      </c>
      <c r="B1344" s="38">
        <v>641793.0</v>
      </c>
      <c r="C1344" s="72">
        <v>45797.0</v>
      </c>
      <c r="D1344" s="38">
        <v>99.0</v>
      </c>
      <c r="E1344" s="73">
        <f>IFERROR(__xludf.DUMMYFUNCTION("average(filter('Appearance Sheet'!F:F,'Appearance Sheet'!G:G=B1344,'Appearance Sheet'!A:A=C1344))"),5.0)</f>
        <v>5</v>
      </c>
      <c r="F1344" s="67">
        <v>5.224266756</v>
      </c>
      <c r="G1344" s="40">
        <v>1.811598645</v>
      </c>
      <c r="H1344" s="40">
        <f t="shared" si="1"/>
        <v>3.260877561</v>
      </c>
      <c r="I1344" s="41">
        <v>0.484848485</v>
      </c>
      <c r="J1344" s="41">
        <v>0.151515152</v>
      </c>
      <c r="K1344" s="41">
        <v>0.363636364</v>
      </c>
      <c r="L1344" s="41">
        <f t="shared" si="2"/>
        <v>0.121212121</v>
      </c>
      <c r="M1344" s="74">
        <v>-0.105332666</v>
      </c>
    </row>
    <row r="1345">
      <c r="A1345" s="1" t="s">
        <v>156</v>
      </c>
      <c r="B1345" s="38">
        <v>519242.0</v>
      </c>
      <c r="C1345" s="72">
        <v>45755.0</v>
      </c>
      <c r="D1345" s="38">
        <v>86.0</v>
      </c>
      <c r="E1345" s="73">
        <f>IFERROR(__xludf.DUMMYFUNCTION("average(filter('Appearance Sheet'!F:F,'Appearance Sheet'!G:G=B1345,'Appearance Sheet'!A:A=C1345))"),4.666666666666667)</f>
        <v>4.666666667</v>
      </c>
      <c r="F1345" s="67">
        <v>5.224233426</v>
      </c>
      <c r="G1345" s="40">
        <v>1.610769458</v>
      </c>
      <c r="H1345" s="40">
        <f t="shared" si="1"/>
        <v>3.106483955</v>
      </c>
      <c r="I1345" s="41">
        <v>0.476744186</v>
      </c>
      <c r="J1345" s="41">
        <v>0.197674419</v>
      </c>
      <c r="K1345" s="41">
        <v>0.325581395</v>
      </c>
      <c r="L1345" s="41">
        <f t="shared" si="2"/>
        <v>0.151162791</v>
      </c>
      <c r="M1345" s="74">
        <v>-3.785395661</v>
      </c>
    </row>
    <row r="1346">
      <c r="A1346" s="1" t="s">
        <v>163</v>
      </c>
      <c r="B1346" s="38">
        <v>663460.0</v>
      </c>
      <c r="C1346" s="72">
        <v>45832.0</v>
      </c>
      <c r="D1346" s="38">
        <v>86.0</v>
      </c>
      <c r="E1346" s="73">
        <f>IFERROR(__xludf.DUMMYFUNCTION("average(filter('Appearance Sheet'!F:F,'Appearance Sheet'!G:G=B1346,'Appearance Sheet'!A:A=C1346))"),6.0)</f>
        <v>6</v>
      </c>
      <c r="F1346" s="67">
        <v>5.224078528</v>
      </c>
      <c r="G1346" s="40">
        <v>1.645833516</v>
      </c>
      <c r="H1346" s="40">
        <f t="shared" si="1"/>
        <v>2.468750274</v>
      </c>
      <c r="I1346" s="41">
        <v>0.511627907</v>
      </c>
      <c r="J1346" s="41">
        <v>0.162790698</v>
      </c>
      <c r="K1346" s="41">
        <v>0.325581395</v>
      </c>
      <c r="L1346" s="41">
        <f t="shared" si="2"/>
        <v>0.186046512</v>
      </c>
      <c r="M1346" s="74">
        <v>-1.655277086</v>
      </c>
    </row>
    <row r="1347">
      <c r="A1347" s="1" t="s">
        <v>189</v>
      </c>
      <c r="B1347" s="38">
        <v>607536.0</v>
      </c>
      <c r="C1347" s="72">
        <v>45927.0</v>
      </c>
      <c r="D1347" s="38">
        <v>75.0</v>
      </c>
      <c r="E1347" s="73" t="str">
        <f>IFERROR(__xludf.DUMMYFUNCTION("average(filter('Appearance Sheet'!F:F,'Appearance Sheet'!G:G=B1347,'Appearance Sheet'!A:A=C1347))"),"#N/A")</f>
        <v>#N/A</v>
      </c>
      <c r="F1347" s="67">
        <v>5.223959421</v>
      </c>
      <c r="G1347" s="40">
        <v>1.412695585</v>
      </c>
      <c r="H1347" s="40" t="str">
        <f t="shared" si="1"/>
        <v>#N/A</v>
      </c>
      <c r="I1347" s="41">
        <v>0.493333333</v>
      </c>
      <c r="J1347" s="41">
        <v>0.213333333</v>
      </c>
      <c r="K1347" s="41">
        <v>0.293333333</v>
      </c>
      <c r="L1347" s="41">
        <f t="shared" si="2"/>
        <v>0.2</v>
      </c>
      <c r="M1347" s="74">
        <v>2.852944542</v>
      </c>
    </row>
    <row r="1348">
      <c r="A1348" s="1" t="s">
        <v>321</v>
      </c>
      <c r="B1348" s="38">
        <v>607200.0</v>
      </c>
      <c r="C1348" s="72">
        <v>45833.0</v>
      </c>
      <c r="D1348" s="38">
        <v>74.0</v>
      </c>
      <c r="E1348" s="73">
        <f>IFERROR(__xludf.DUMMYFUNCTION("average(filter('Appearance Sheet'!F:F,'Appearance Sheet'!G:G=B1348,'Appearance Sheet'!A:A=C1348))"),3.6666666666666665)</f>
        <v>3.666666667</v>
      </c>
      <c r="F1348" s="67">
        <v>5.223892512</v>
      </c>
      <c r="G1348" s="40">
        <v>1.370756737</v>
      </c>
      <c r="H1348" s="40">
        <f t="shared" si="1"/>
        <v>3.364584718</v>
      </c>
      <c r="I1348" s="41">
        <v>0.554054054</v>
      </c>
      <c r="J1348" s="41">
        <v>0.135135135</v>
      </c>
      <c r="K1348" s="41">
        <v>0.310810811</v>
      </c>
      <c r="L1348" s="41">
        <f t="shared" si="2"/>
        <v>0.243243243</v>
      </c>
      <c r="M1348" s="74">
        <v>-3.735743379</v>
      </c>
    </row>
    <row r="1349">
      <c r="A1349" s="1" t="s">
        <v>282</v>
      </c>
      <c r="B1349" s="38">
        <v>656302.0</v>
      </c>
      <c r="C1349" s="72">
        <v>45813.0</v>
      </c>
      <c r="D1349" s="38">
        <v>90.0</v>
      </c>
      <c r="E1349" s="73">
        <f>IFERROR(__xludf.DUMMYFUNCTION("average(filter('Appearance Sheet'!F:F,'Appearance Sheet'!G:G=B1349,'Appearance Sheet'!A:A=C1349))"),5.0)</f>
        <v>5</v>
      </c>
      <c r="F1349" s="67">
        <v>5.223673584</v>
      </c>
      <c r="G1349" s="40">
        <v>1.643234216</v>
      </c>
      <c r="H1349" s="40">
        <f t="shared" si="1"/>
        <v>2.957821589</v>
      </c>
      <c r="I1349" s="41">
        <v>0.533333333</v>
      </c>
      <c r="J1349" s="41">
        <v>0.177777778</v>
      </c>
      <c r="K1349" s="41">
        <v>0.288888889</v>
      </c>
      <c r="L1349" s="41">
        <f t="shared" si="2"/>
        <v>0.244444444</v>
      </c>
      <c r="M1349" s="74">
        <v>0.145357435</v>
      </c>
    </row>
    <row r="1350">
      <c r="A1350" s="1" t="s">
        <v>353</v>
      </c>
      <c r="B1350" s="38">
        <v>663903.0</v>
      </c>
      <c r="C1350" s="72">
        <v>45798.0</v>
      </c>
      <c r="D1350" s="38">
        <v>100.0</v>
      </c>
      <c r="E1350" s="73">
        <f>IFERROR(__xludf.DUMMYFUNCTION("average(filter('Appearance Sheet'!F:F,'Appearance Sheet'!G:G=B1350,'Appearance Sheet'!A:A=C1350))"),5.0)</f>
        <v>5</v>
      </c>
      <c r="F1350" s="67">
        <v>5.223658859</v>
      </c>
      <c r="G1350" s="40">
        <v>1.841937427</v>
      </c>
      <c r="H1350" s="40">
        <f t="shared" si="1"/>
        <v>3.315487369</v>
      </c>
      <c r="I1350" s="41">
        <v>0.47</v>
      </c>
      <c r="J1350" s="41">
        <v>0.22</v>
      </c>
      <c r="K1350" s="41">
        <v>0.31</v>
      </c>
      <c r="L1350" s="41">
        <f t="shared" si="2"/>
        <v>0.16</v>
      </c>
      <c r="M1350" s="74">
        <v>0.71092979</v>
      </c>
    </row>
    <row r="1351">
      <c r="A1351" s="1" t="s">
        <v>90</v>
      </c>
      <c r="B1351" s="38">
        <v>693433.0</v>
      </c>
      <c r="C1351" s="72">
        <v>45746.0</v>
      </c>
      <c r="D1351" s="38">
        <v>75.0</v>
      </c>
      <c r="E1351" s="73">
        <f>IFERROR(__xludf.DUMMYFUNCTION("average(filter('Appearance Sheet'!F:F,'Appearance Sheet'!G:G=B1351,'Appearance Sheet'!A:A=C1351))"),6.0)</f>
        <v>6</v>
      </c>
      <c r="F1351" s="67">
        <v>5.223249323</v>
      </c>
      <c r="G1351" s="40">
        <v>1.410773669</v>
      </c>
      <c r="H1351" s="40">
        <f t="shared" si="1"/>
        <v>2.116160504</v>
      </c>
      <c r="I1351" s="41">
        <v>0.533333333</v>
      </c>
      <c r="J1351" s="41">
        <v>0.16</v>
      </c>
      <c r="K1351" s="41">
        <v>0.306666667</v>
      </c>
      <c r="L1351" s="41">
        <f t="shared" si="2"/>
        <v>0.226666666</v>
      </c>
      <c r="M1351" s="74">
        <v>1.233955304</v>
      </c>
    </row>
    <row r="1352">
      <c r="A1352" s="1" t="s">
        <v>278</v>
      </c>
      <c r="B1352" s="38">
        <v>542881.0</v>
      </c>
      <c r="C1352" s="72">
        <v>45777.0</v>
      </c>
      <c r="D1352" s="38">
        <v>96.0</v>
      </c>
      <c r="E1352" s="73">
        <f>IFERROR(__xludf.DUMMYFUNCTION("average(filter('Appearance Sheet'!F:F,'Appearance Sheet'!G:G=B1352,'Appearance Sheet'!A:A=C1352))"),6.0)</f>
        <v>6</v>
      </c>
      <c r="F1352" s="67">
        <v>5.22324147</v>
      </c>
      <c r="G1352" s="40">
        <v>1.768103868</v>
      </c>
      <c r="H1352" s="40">
        <f t="shared" si="1"/>
        <v>2.652155802</v>
      </c>
      <c r="I1352" s="41">
        <v>0.458333333</v>
      </c>
      <c r="J1352" s="41">
        <v>0.1875</v>
      </c>
      <c r="K1352" s="41">
        <v>0.354166667</v>
      </c>
      <c r="L1352" s="41">
        <f t="shared" si="2"/>
        <v>0.104166666</v>
      </c>
      <c r="M1352" s="74">
        <v>1.404376393</v>
      </c>
    </row>
    <row r="1353">
      <c r="A1353" s="1" t="s">
        <v>353</v>
      </c>
      <c r="B1353" s="38">
        <v>663903.0</v>
      </c>
      <c r="C1353" s="72">
        <v>45828.0</v>
      </c>
      <c r="D1353" s="38">
        <v>101.0</v>
      </c>
      <c r="E1353" s="73">
        <f>IFERROR(__xludf.DUMMYFUNCTION("average(filter('Appearance Sheet'!F:F,'Appearance Sheet'!G:G=B1353,'Appearance Sheet'!A:A=C1353))"),6.0)</f>
        <v>6</v>
      </c>
      <c r="F1353" s="67">
        <v>5.223007388</v>
      </c>
      <c r="G1353" s="40">
        <v>1.845079301</v>
      </c>
      <c r="H1353" s="40">
        <f t="shared" si="1"/>
        <v>2.767618952</v>
      </c>
      <c r="I1353" s="41">
        <v>0.524752475</v>
      </c>
      <c r="J1353" s="41">
        <v>0.138613861</v>
      </c>
      <c r="K1353" s="41">
        <v>0.336633663</v>
      </c>
      <c r="L1353" s="41">
        <f t="shared" si="2"/>
        <v>0.188118812</v>
      </c>
      <c r="M1353" s="74">
        <v>2.272118869</v>
      </c>
    </row>
    <row r="1354">
      <c r="A1354" s="1" t="s">
        <v>344</v>
      </c>
      <c r="B1354" s="38">
        <v>701542.0</v>
      </c>
      <c r="C1354" s="72">
        <v>45909.0</v>
      </c>
      <c r="D1354" s="38">
        <v>87.0</v>
      </c>
      <c r="E1354" s="73" t="str">
        <f>IFERROR(__xludf.DUMMYFUNCTION("average(filter('Appearance Sheet'!F:F,'Appearance Sheet'!G:G=B1354,'Appearance Sheet'!A:A=C1354))"),"#N/A")</f>
        <v>#N/A</v>
      </c>
      <c r="F1354" s="67">
        <v>5.222994062</v>
      </c>
      <c r="G1354" s="40">
        <v>1.586361485</v>
      </c>
      <c r="H1354" s="40" t="str">
        <f t="shared" si="1"/>
        <v>#N/A</v>
      </c>
      <c r="I1354" s="41">
        <v>0.482758621</v>
      </c>
      <c r="J1354" s="41">
        <v>0.16091954</v>
      </c>
      <c r="K1354" s="41">
        <v>0.356321839</v>
      </c>
      <c r="L1354" s="41">
        <f t="shared" si="2"/>
        <v>0.126436782</v>
      </c>
      <c r="M1354" s="74">
        <v>1.864572956</v>
      </c>
    </row>
    <row r="1355">
      <c r="A1355" s="1" t="s">
        <v>353</v>
      </c>
      <c r="B1355" s="38">
        <v>663903.0</v>
      </c>
      <c r="C1355" s="72">
        <v>45752.0</v>
      </c>
      <c r="D1355" s="38">
        <v>90.0</v>
      </c>
      <c r="E1355" s="73">
        <f>IFERROR(__xludf.DUMMYFUNCTION("average(filter('Appearance Sheet'!F:F,'Appearance Sheet'!G:G=B1355,'Appearance Sheet'!A:A=C1355))"),5.0)</f>
        <v>5</v>
      </c>
      <c r="F1355" s="67">
        <v>5.222965354</v>
      </c>
      <c r="G1355" s="40">
        <v>1.68062956</v>
      </c>
      <c r="H1355" s="40">
        <f t="shared" si="1"/>
        <v>3.025133208</v>
      </c>
      <c r="I1355" s="41">
        <v>0.5</v>
      </c>
      <c r="J1355" s="41">
        <v>0.255555556</v>
      </c>
      <c r="K1355" s="41">
        <v>0.244444444</v>
      </c>
      <c r="L1355" s="41">
        <f t="shared" si="2"/>
        <v>0.255555556</v>
      </c>
      <c r="M1355" s="74">
        <v>-4.309178846</v>
      </c>
    </row>
    <row r="1356">
      <c r="A1356" s="1" t="s">
        <v>181</v>
      </c>
      <c r="B1356" s="38">
        <v>641154.0</v>
      </c>
      <c r="C1356" s="72">
        <v>45912.0</v>
      </c>
      <c r="D1356" s="38">
        <v>98.0</v>
      </c>
      <c r="E1356" s="73" t="str">
        <f>IFERROR(__xludf.DUMMYFUNCTION("average(filter('Appearance Sheet'!F:F,'Appearance Sheet'!G:G=B1356,'Appearance Sheet'!A:A=C1356))"),"#N/A")</f>
        <v>#N/A</v>
      </c>
      <c r="F1356" s="67">
        <v>5.222892085</v>
      </c>
      <c r="G1356" s="40">
        <v>1.808774877</v>
      </c>
      <c r="H1356" s="40" t="str">
        <f t="shared" si="1"/>
        <v>#N/A</v>
      </c>
      <c r="I1356" s="41">
        <v>0.56122449</v>
      </c>
      <c r="J1356" s="41">
        <v>0.12244898</v>
      </c>
      <c r="K1356" s="41">
        <v>0.316326531</v>
      </c>
      <c r="L1356" s="41">
        <f t="shared" si="2"/>
        <v>0.244897959</v>
      </c>
      <c r="M1356" s="74">
        <v>2.266747507</v>
      </c>
    </row>
    <row r="1357">
      <c r="A1357" s="1" t="s">
        <v>344</v>
      </c>
      <c r="B1357" s="38">
        <v>701542.0</v>
      </c>
      <c r="C1357" s="72">
        <v>45880.0</v>
      </c>
      <c r="D1357" s="38">
        <v>84.0</v>
      </c>
      <c r="E1357" s="73" t="str">
        <f>IFERROR(__xludf.DUMMYFUNCTION("average(filter('Appearance Sheet'!F:F,'Appearance Sheet'!G:G=B1357,'Appearance Sheet'!A:A=C1357))"),"#N/A")</f>
        <v>#N/A</v>
      </c>
      <c r="F1357" s="67">
        <v>5.222623945</v>
      </c>
      <c r="G1357" s="40">
        <v>1.537066437</v>
      </c>
      <c r="H1357" s="40" t="str">
        <f t="shared" si="1"/>
        <v>#N/A</v>
      </c>
      <c r="I1357" s="41">
        <v>0.535714286</v>
      </c>
      <c r="J1357" s="41">
        <v>0.154761905</v>
      </c>
      <c r="K1357" s="41">
        <v>0.30952381</v>
      </c>
      <c r="L1357" s="41">
        <f t="shared" si="2"/>
        <v>0.226190476</v>
      </c>
      <c r="M1357" s="74">
        <v>1.411390988</v>
      </c>
    </row>
    <row r="1358">
      <c r="A1358" s="1" t="s">
        <v>180</v>
      </c>
      <c r="B1358" s="38">
        <v>642547.0</v>
      </c>
      <c r="C1358" s="72">
        <v>45904.0</v>
      </c>
      <c r="D1358" s="38">
        <v>91.0</v>
      </c>
      <c r="E1358" s="73" t="str">
        <f>IFERROR(__xludf.DUMMYFUNCTION("average(filter('Appearance Sheet'!F:F,'Appearance Sheet'!G:G=B1358,'Appearance Sheet'!A:A=C1358))"),"#N/A")</f>
        <v>#N/A</v>
      </c>
      <c r="F1358" s="67">
        <v>5.222324594</v>
      </c>
      <c r="G1358" s="40">
        <v>1.656227626</v>
      </c>
      <c r="H1358" s="40" t="str">
        <f t="shared" si="1"/>
        <v>#N/A</v>
      </c>
      <c r="I1358" s="41">
        <v>0.56043956</v>
      </c>
      <c r="J1358" s="41">
        <v>0.120879121</v>
      </c>
      <c r="K1358" s="41">
        <v>0.318681319</v>
      </c>
      <c r="L1358" s="41">
        <f t="shared" si="2"/>
        <v>0.241758241</v>
      </c>
      <c r="M1358" s="74">
        <v>2.562694339</v>
      </c>
    </row>
    <row r="1359">
      <c r="A1359" s="1" t="s">
        <v>161</v>
      </c>
      <c r="B1359" s="38">
        <v>702070.0</v>
      </c>
      <c r="C1359" s="72">
        <v>45904.0</v>
      </c>
      <c r="D1359" s="38">
        <v>92.0</v>
      </c>
      <c r="E1359" s="73" t="str">
        <f>IFERROR(__xludf.DUMMYFUNCTION("average(filter('Appearance Sheet'!F:F,'Appearance Sheet'!G:G=B1359,'Appearance Sheet'!A:A=C1359))"),"#N/A")</f>
        <v>#N/A</v>
      </c>
      <c r="F1359" s="67">
        <v>5.222199159</v>
      </c>
      <c r="G1359" s="40">
        <v>1.70955797</v>
      </c>
      <c r="H1359" s="40" t="str">
        <f t="shared" si="1"/>
        <v>#N/A</v>
      </c>
      <c r="I1359" s="41">
        <v>0.565217391</v>
      </c>
      <c r="J1359" s="41">
        <v>0.141304348</v>
      </c>
      <c r="K1359" s="41">
        <v>0.293478261</v>
      </c>
      <c r="L1359" s="41">
        <f t="shared" si="2"/>
        <v>0.27173913</v>
      </c>
      <c r="M1359" s="74">
        <v>-0.449933168</v>
      </c>
    </row>
    <row r="1360">
      <c r="A1360" s="1" t="s">
        <v>329</v>
      </c>
      <c r="B1360" s="38">
        <v>669160.0</v>
      </c>
      <c r="C1360" s="72">
        <v>45804.0</v>
      </c>
      <c r="D1360" s="38">
        <v>89.0</v>
      </c>
      <c r="E1360" s="73">
        <f>IFERROR(__xludf.DUMMYFUNCTION("average(filter('Appearance Sheet'!F:F,'Appearance Sheet'!G:G=B1360,'Appearance Sheet'!A:A=C1360))"),5.0)</f>
        <v>5</v>
      </c>
      <c r="F1360" s="67">
        <v>5.221581472</v>
      </c>
      <c r="G1360" s="40">
        <v>1.599350784</v>
      </c>
      <c r="H1360" s="40">
        <f t="shared" si="1"/>
        <v>2.878831411</v>
      </c>
      <c r="I1360" s="41">
        <v>0.516853933</v>
      </c>
      <c r="J1360" s="41">
        <v>0.157303371</v>
      </c>
      <c r="K1360" s="41">
        <v>0.325842697</v>
      </c>
      <c r="L1360" s="41">
        <f t="shared" si="2"/>
        <v>0.191011236</v>
      </c>
      <c r="M1360" s="74">
        <v>0.296988428</v>
      </c>
    </row>
    <row r="1361">
      <c r="A1361" s="1" t="s">
        <v>35</v>
      </c>
      <c r="B1361" s="38">
        <v>676083.0</v>
      </c>
      <c r="C1361" s="72">
        <v>45925.0</v>
      </c>
      <c r="D1361" s="38">
        <v>61.0</v>
      </c>
      <c r="E1361" s="73" t="str">
        <f>IFERROR(__xludf.DUMMYFUNCTION("average(filter('Appearance Sheet'!F:F,'Appearance Sheet'!G:G=B1361,'Appearance Sheet'!A:A=C1361))"),"#N/A")</f>
        <v>#N/A</v>
      </c>
      <c r="F1361" s="67">
        <v>5.221490957</v>
      </c>
      <c r="G1361" s="40">
        <v>1.161951402</v>
      </c>
      <c r="H1361" s="40" t="str">
        <f t="shared" si="1"/>
        <v>#N/A</v>
      </c>
      <c r="I1361" s="41">
        <v>0.442622951</v>
      </c>
      <c r="J1361" s="41">
        <v>0.229508197</v>
      </c>
      <c r="K1361" s="41">
        <v>0.327868852</v>
      </c>
      <c r="L1361" s="41">
        <f t="shared" si="2"/>
        <v>0.114754099</v>
      </c>
      <c r="M1361" s="74">
        <v>-1.447716224</v>
      </c>
    </row>
    <row r="1362">
      <c r="A1362" s="1" t="s">
        <v>368</v>
      </c>
      <c r="B1362" s="38">
        <v>593958.0</v>
      </c>
      <c r="C1362" s="72">
        <v>45819.0</v>
      </c>
      <c r="D1362" s="38">
        <v>78.0</v>
      </c>
      <c r="E1362" s="73">
        <f>IFERROR(__xludf.DUMMYFUNCTION("average(filter('Appearance Sheet'!F:F,'Appearance Sheet'!G:G=B1362,'Appearance Sheet'!A:A=C1362))"),6.333333333333333)</f>
        <v>6.333333333</v>
      </c>
      <c r="F1362" s="67">
        <v>5.221472029</v>
      </c>
      <c r="G1362" s="40">
        <v>1.48085659</v>
      </c>
      <c r="H1362" s="40">
        <f t="shared" si="1"/>
        <v>2.104375154</v>
      </c>
      <c r="I1362" s="41">
        <v>0.487179487</v>
      </c>
      <c r="J1362" s="41">
        <v>0.141025641</v>
      </c>
      <c r="K1362" s="41">
        <v>0.371794872</v>
      </c>
      <c r="L1362" s="41">
        <f t="shared" si="2"/>
        <v>0.115384615</v>
      </c>
      <c r="M1362" s="74">
        <v>-1.060071736</v>
      </c>
    </row>
    <row r="1363">
      <c r="A1363" s="1" t="s">
        <v>455</v>
      </c>
      <c r="B1363" s="38">
        <v>570632.0</v>
      </c>
      <c r="C1363" s="72">
        <v>45917.0</v>
      </c>
      <c r="D1363" s="38">
        <v>69.0</v>
      </c>
      <c r="E1363" s="73" t="str">
        <f>IFERROR(__xludf.DUMMYFUNCTION("average(filter('Appearance Sheet'!F:F,'Appearance Sheet'!G:G=B1363,'Appearance Sheet'!A:A=C1363))"),"#N/A")</f>
        <v>#N/A</v>
      </c>
      <c r="F1363" s="67">
        <v>5.221429814</v>
      </c>
      <c r="G1363" s="40">
        <v>1.263782561</v>
      </c>
      <c r="H1363" s="40" t="str">
        <f t="shared" si="1"/>
        <v>#N/A</v>
      </c>
      <c r="I1363" s="41">
        <v>0.449275362</v>
      </c>
      <c r="J1363" s="41">
        <v>0.15942029</v>
      </c>
      <c r="K1363" s="41">
        <v>0.391304348</v>
      </c>
      <c r="L1363" s="41">
        <f t="shared" si="2"/>
        <v>0.057971014</v>
      </c>
      <c r="M1363" s="74">
        <v>1.740761576</v>
      </c>
    </row>
    <row r="1364">
      <c r="A1364" s="1" t="s">
        <v>474</v>
      </c>
      <c r="B1364" s="38">
        <v>450203.0</v>
      </c>
      <c r="C1364" s="72">
        <v>45809.0</v>
      </c>
      <c r="D1364" s="38">
        <v>96.0</v>
      </c>
      <c r="E1364" s="73">
        <f>IFERROR(__xludf.DUMMYFUNCTION("average(filter('Appearance Sheet'!F:F,'Appearance Sheet'!G:G=B1364,'Appearance Sheet'!A:A=C1364))"),6.666666666666667)</f>
        <v>6.666666667</v>
      </c>
      <c r="F1364" s="67">
        <v>5.221399664</v>
      </c>
      <c r="G1364" s="40">
        <v>1.801541523</v>
      </c>
      <c r="H1364" s="40">
        <f t="shared" si="1"/>
        <v>2.432081056</v>
      </c>
      <c r="I1364" s="41">
        <v>0.520833333</v>
      </c>
      <c r="J1364" s="41">
        <v>0.1875</v>
      </c>
      <c r="K1364" s="41">
        <v>0.291666667</v>
      </c>
      <c r="L1364" s="41">
        <f t="shared" si="2"/>
        <v>0.229166666</v>
      </c>
      <c r="M1364" s="74">
        <v>-0.432595767</v>
      </c>
    </row>
    <row r="1365">
      <c r="A1365" s="1" t="s">
        <v>515</v>
      </c>
      <c r="B1365" s="38">
        <v>678906.0</v>
      </c>
      <c r="C1365" s="72">
        <v>45901.0</v>
      </c>
      <c r="D1365" s="38">
        <v>81.0</v>
      </c>
      <c r="E1365" s="73" t="str">
        <f>IFERROR(__xludf.DUMMYFUNCTION("average(filter('Appearance Sheet'!F:F,'Appearance Sheet'!G:G=B1365,'Appearance Sheet'!A:A=C1365))"),"#N/A")</f>
        <v>#N/A</v>
      </c>
      <c r="F1365" s="67">
        <v>5.22074711</v>
      </c>
      <c r="G1365" s="40">
        <v>1.506066707</v>
      </c>
      <c r="H1365" s="40" t="str">
        <f t="shared" si="1"/>
        <v>#N/A</v>
      </c>
      <c r="I1365" s="41">
        <v>0.543209877</v>
      </c>
      <c r="J1365" s="41">
        <v>0.086419753</v>
      </c>
      <c r="K1365" s="41">
        <v>0.37037037</v>
      </c>
      <c r="L1365" s="41">
        <f t="shared" si="2"/>
        <v>0.172839507</v>
      </c>
      <c r="M1365" s="74">
        <v>-4.555044003</v>
      </c>
    </row>
    <row r="1366">
      <c r="A1366" s="1" t="s">
        <v>105</v>
      </c>
      <c r="B1366" s="38">
        <v>624133.0</v>
      </c>
      <c r="C1366" s="72">
        <v>45781.0</v>
      </c>
      <c r="D1366" s="38">
        <v>80.0</v>
      </c>
      <c r="E1366" s="73">
        <f>IFERROR(__xludf.DUMMYFUNCTION("average(filter('Appearance Sheet'!F:F,'Appearance Sheet'!G:G=B1366,'Appearance Sheet'!A:A=C1366))"),3.6666666666666665)</f>
        <v>3.666666667</v>
      </c>
      <c r="F1366" s="67">
        <v>5.220431551</v>
      </c>
      <c r="G1366" s="40">
        <v>1.492839735</v>
      </c>
      <c r="H1366" s="40">
        <f t="shared" si="1"/>
        <v>3.664242986</v>
      </c>
      <c r="I1366" s="41">
        <v>0.5</v>
      </c>
      <c r="J1366" s="41">
        <v>0.2</v>
      </c>
      <c r="K1366" s="41">
        <v>0.3</v>
      </c>
      <c r="L1366" s="41">
        <f t="shared" si="2"/>
        <v>0.2</v>
      </c>
      <c r="M1366" s="74">
        <v>-1.203201973</v>
      </c>
    </row>
    <row r="1367">
      <c r="A1367" s="1" t="s">
        <v>432</v>
      </c>
      <c r="B1367" s="38">
        <v>669467.0</v>
      </c>
      <c r="C1367" s="72">
        <v>45764.0</v>
      </c>
      <c r="D1367" s="38">
        <v>89.0</v>
      </c>
      <c r="E1367" s="73">
        <f>IFERROR(__xludf.DUMMYFUNCTION("average(filter('Appearance Sheet'!F:F,'Appearance Sheet'!G:G=B1367,'Appearance Sheet'!A:A=C1367))"),6.0)</f>
        <v>6</v>
      </c>
      <c r="F1367" s="67">
        <v>5.220406207</v>
      </c>
      <c r="G1367" s="40">
        <v>1.677073117</v>
      </c>
      <c r="H1367" s="40">
        <f t="shared" si="1"/>
        <v>2.515609676</v>
      </c>
      <c r="I1367" s="41">
        <v>0.494382022</v>
      </c>
      <c r="J1367" s="41">
        <v>0.146067416</v>
      </c>
      <c r="K1367" s="41">
        <v>0.359550562</v>
      </c>
      <c r="L1367" s="41">
        <f t="shared" si="2"/>
        <v>0.13483146</v>
      </c>
      <c r="M1367" s="74">
        <v>-0.377644491</v>
      </c>
    </row>
    <row r="1368">
      <c r="A1368" s="1" t="s">
        <v>155</v>
      </c>
      <c r="B1368" s="38">
        <v>592332.0</v>
      </c>
      <c r="C1368" s="72">
        <v>45887.0</v>
      </c>
      <c r="D1368" s="38">
        <v>95.0</v>
      </c>
      <c r="E1368" s="73" t="str">
        <f>IFERROR(__xludf.DUMMYFUNCTION("average(filter('Appearance Sheet'!F:F,'Appearance Sheet'!G:G=B1368,'Appearance Sheet'!A:A=C1368))"),"#N/A")</f>
        <v>#N/A</v>
      </c>
      <c r="F1368" s="67">
        <v>5.220348851</v>
      </c>
      <c r="G1368" s="40">
        <v>1.74263325</v>
      </c>
      <c r="H1368" s="40" t="str">
        <f t="shared" si="1"/>
        <v>#N/A</v>
      </c>
      <c r="I1368" s="41">
        <v>0.463157895</v>
      </c>
      <c r="J1368" s="41">
        <v>0.210526316</v>
      </c>
      <c r="K1368" s="41">
        <v>0.326315789</v>
      </c>
      <c r="L1368" s="41">
        <f t="shared" si="2"/>
        <v>0.136842106</v>
      </c>
      <c r="M1368" s="74">
        <v>0.062530767</v>
      </c>
    </row>
    <row r="1369">
      <c r="A1369" s="1" t="s">
        <v>35</v>
      </c>
      <c r="B1369" s="38">
        <v>676083.0</v>
      </c>
      <c r="C1369" s="72">
        <v>45913.0</v>
      </c>
      <c r="D1369" s="38">
        <v>87.0</v>
      </c>
      <c r="E1369" s="73" t="str">
        <f>IFERROR(__xludf.DUMMYFUNCTION("average(filter('Appearance Sheet'!F:F,'Appearance Sheet'!G:G=B1369,'Appearance Sheet'!A:A=C1369))"),"#N/A")</f>
        <v>#N/A</v>
      </c>
      <c r="F1369" s="67">
        <v>5.22027513</v>
      </c>
      <c r="G1369" s="40">
        <v>1.631992549</v>
      </c>
      <c r="H1369" s="40" t="str">
        <f t="shared" si="1"/>
        <v>#N/A</v>
      </c>
      <c r="I1369" s="41">
        <v>0.517241379</v>
      </c>
      <c r="J1369" s="41">
        <v>0.206896552</v>
      </c>
      <c r="K1369" s="41">
        <v>0.275862069</v>
      </c>
      <c r="L1369" s="41">
        <f t="shared" si="2"/>
        <v>0.24137931</v>
      </c>
      <c r="M1369" s="74">
        <v>-2.356334473</v>
      </c>
    </row>
    <row r="1370">
      <c r="A1370" s="1" t="s">
        <v>232</v>
      </c>
      <c r="B1370" s="38">
        <v>579328.0</v>
      </c>
      <c r="C1370" s="72">
        <v>45756.0</v>
      </c>
      <c r="D1370" s="38">
        <v>102.0</v>
      </c>
      <c r="E1370" s="73">
        <f>IFERROR(__xludf.DUMMYFUNCTION("average(filter('Appearance Sheet'!F:F,'Appearance Sheet'!G:G=B1370,'Appearance Sheet'!A:A=C1370))"),6.0)</f>
        <v>6</v>
      </c>
      <c r="F1370" s="67">
        <v>5.219888286</v>
      </c>
      <c r="G1370" s="40">
        <v>1.915981844</v>
      </c>
      <c r="H1370" s="40">
        <f t="shared" si="1"/>
        <v>2.873972766</v>
      </c>
      <c r="I1370" s="41">
        <v>0.480392157</v>
      </c>
      <c r="J1370" s="41">
        <v>0.284313725</v>
      </c>
      <c r="K1370" s="41">
        <v>0.235294118</v>
      </c>
      <c r="L1370" s="41">
        <f t="shared" si="2"/>
        <v>0.245098039</v>
      </c>
      <c r="M1370" s="74">
        <v>-0.010677249</v>
      </c>
    </row>
    <row r="1371">
      <c r="A1371" s="1" t="s">
        <v>221</v>
      </c>
      <c r="B1371" s="38">
        <v>668964.0</v>
      </c>
      <c r="C1371" s="72">
        <v>45878.0</v>
      </c>
      <c r="D1371" s="38">
        <v>63.0</v>
      </c>
      <c r="E1371" s="73" t="str">
        <f>IFERROR(__xludf.DUMMYFUNCTION("average(filter('Appearance Sheet'!F:F,'Appearance Sheet'!G:G=B1371,'Appearance Sheet'!A:A=C1371))"),"#N/A")</f>
        <v>#N/A</v>
      </c>
      <c r="F1371" s="67">
        <v>5.219704758</v>
      </c>
      <c r="G1371" s="40">
        <v>1.157221159</v>
      </c>
      <c r="H1371" s="40" t="str">
        <f t="shared" si="1"/>
        <v>#N/A</v>
      </c>
      <c r="I1371" s="41">
        <v>0.476190476</v>
      </c>
      <c r="J1371" s="41">
        <v>0.206349206</v>
      </c>
      <c r="K1371" s="41">
        <v>0.317460317</v>
      </c>
      <c r="L1371" s="41">
        <f t="shared" si="2"/>
        <v>0.158730159</v>
      </c>
      <c r="M1371" s="74">
        <v>-1.850116752</v>
      </c>
    </row>
    <row r="1372">
      <c r="A1372" s="1" t="s">
        <v>85</v>
      </c>
      <c r="B1372" s="38">
        <v>808967.0</v>
      </c>
      <c r="C1372" s="72">
        <v>45758.0</v>
      </c>
      <c r="D1372" s="38">
        <v>100.0</v>
      </c>
      <c r="E1372" s="73">
        <f>IFERROR(__xludf.DUMMYFUNCTION("average(filter('Appearance Sheet'!F:F,'Appearance Sheet'!G:G=B1372,'Appearance Sheet'!A:A=C1372))"),6.0)</f>
        <v>6</v>
      </c>
      <c r="F1372" s="67">
        <v>5.219392816</v>
      </c>
      <c r="G1372" s="40">
        <v>1.809618159</v>
      </c>
      <c r="H1372" s="40">
        <f t="shared" si="1"/>
        <v>2.714427239</v>
      </c>
      <c r="I1372" s="41">
        <v>0.46</v>
      </c>
      <c r="J1372" s="41">
        <v>0.18</v>
      </c>
      <c r="K1372" s="41">
        <v>0.36</v>
      </c>
      <c r="L1372" s="41">
        <f t="shared" si="2"/>
        <v>0.1</v>
      </c>
      <c r="M1372" s="74">
        <v>3.038061114</v>
      </c>
    </row>
    <row r="1373">
      <c r="A1373" s="1" t="s">
        <v>452</v>
      </c>
      <c r="B1373" s="38">
        <v>607625.0</v>
      </c>
      <c r="C1373" s="72">
        <v>45772.0</v>
      </c>
      <c r="D1373" s="38">
        <v>92.0</v>
      </c>
      <c r="E1373" s="73">
        <f>IFERROR(__xludf.DUMMYFUNCTION("average(filter('Appearance Sheet'!F:F,'Appearance Sheet'!G:G=B1373,'Appearance Sheet'!A:A=C1373))"),8.0)</f>
        <v>8</v>
      </c>
      <c r="F1373" s="67">
        <v>5.219386245</v>
      </c>
      <c r="G1373" s="40">
        <v>1.738403685</v>
      </c>
      <c r="H1373" s="40">
        <f t="shared" si="1"/>
        <v>1.955704146</v>
      </c>
      <c r="I1373" s="41">
        <v>0.489130435</v>
      </c>
      <c r="J1373" s="41">
        <v>0.206521739</v>
      </c>
      <c r="K1373" s="41">
        <v>0.304347826</v>
      </c>
      <c r="L1373" s="41">
        <f t="shared" si="2"/>
        <v>0.184782609</v>
      </c>
      <c r="M1373" s="74">
        <v>3.187547029</v>
      </c>
    </row>
    <row r="1374">
      <c r="A1374" s="1" t="s">
        <v>85</v>
      </c>
      <c r="B1374" s="38">
        <v>808967.0</v>
      </c>
      <c r="C1374" s="72">
        <v>45887.0</v>
      </c>
      <c r="D1374" s="38">
        <v>102.0</v>
      </c>
      <c r="E1374" s="73" t="str">
        <f>IFERROR(__xludf.DUMMYFUNCTION("average(filter('Appearance Sheet'!F:F,'Appearance Sheet'!G:G=B1374,'Appearance Sheet'!A:A=C1374))"),"#N/A")</f>
        <v>#N/A</v>
      </c>
      <c r="F1374" s="67">
        <v>5.219258422</v>
      </c>
      <c r="G1374" s="40">
        <v>1.902387749</v>
      </c>
      <c r="H1374" s="40" t="str">
        <f t="shared" si="1"/>
        <v>#N/A</v>
      </c>
      <c r="I1374" s="41">
        <v>0.519607843</v>
      </c>
      <c r="J1374" s="41">
        <v>0.166666667</v>
      </c>
      <c r="K1374" s="41">
        <v>0.31372549</v>
      </c>
      <c r="L1374" s="41">
        <f t="shared" si="2"/>
        <v>0.205882353</v>
      </c>
      <c r="M1374" s="74">
        <v>1.922564079</v>
      </c>
    </row>
    <row r="1375">
      <c r="A1375" s="1" t="s">
        <v>198</v>
      </c>
      <c r="B1375" s="38">
        <v>680736.0</v>
      </c>
      <c r="C1375" s="72">
        <v>45843.0</v>
      </c>
      <c r="D1375" s="38">
        <v>82.0</v>
      </c>
      <c r="E1375" s="73" t="str">
        <f>IFERROR(__xludf.DUMMYFUNCTION("average(filter('Appearance Sheet'!F:F,'Appearance Sheet'!G:G=B1375,'Appearance Sheet'!A:A=C1375))"),"#N/A")</f>
        <v>#N/A</v>
      </c>
      <c r="F1375" s="67">
        <v>5.219241038</v>
      </c>
      <c r="G1375" s="40">
        <v>1.537782397</v>
      </c>
      <c r="H1375" s="40" t="str">
        <f t="shared" si="1"/>
        <v>#N/A</v>
      </c>
      <c r="I1375" s="41">
        <v>0.512195122</v>
      </c>
      <c r="J1375" s="41">
        <v>0.182926829</v>
      </c>
      <c r="K1375" s="41">
        <v>0.304878049</v>
      </c>
      <c r="L1375" s="41">
        <f t="shared" si="2"/>
        <v>0.207317073</v>
      </c>
      <c r="M1375" s="74">
        <v>-2.31622232</v>
      </c>
    </row>
    <row r="1376">
      <c r="A1376" s="1" t="s">
        <v>137</v>
      </c>
      <c r="B1376" s="38">
        <v>453286.0</v>
      </c>
      <c r="C1376" s="72">
        <v>45907.0</v>
      </c>
      <c r="D1376" s="38">
        <v>93.0</v>
      </c>
      <c r="E1376" s="73" t="str">
        <f>IFERROR(__xludf.DUMMYFUNCTION("average(filter('Appearance Sheet'!F:F,'Appearance Sheet'!G:G=B1376,'Appearance Sheet'!A:A=C1376))"),"#N/A")</f>
        <v>#N/A</v>
      </c>
      <c r="F1376" s="67">
        <v>5.21922896</v>
      </c>
      <c r="G1376" s="40">
        <v>1.727173287</v>
      </c>
      <c r="H1376" s="40" t="str">
        <f t="shared" si="1"/>
        <v>#N/A</v>
      </c>
      <c r="I1376" s="41">
        <v>0.569892473</v>
      </c>
      <c r="J1376" s="41">
        <v>0.129032258</v>
      </c>
      <c r="K1376" s="41">
        <v>0.301075269</v>
      </c>
      <c r="L1376" s="41">
        <f t="shared" si="2"/>
        <v>0.268817204</v>
      </c>
      <c r="M1376" s="74">
        <v>1.804129767</v>
      </c>
    </row>
    <row r="1377">
      <c r="A1377" s="1" t="s">
        <v>282</v>
      </c>
      <c r="B1377" s="38">
        <v>656302.0</v>
      </c>
      <c r="C1377" s="72">
        <v>45879.0</v>
      </c>
      <c r="D1377" s="38">
        <v>84.0</v>
      </c>
      <c r="E1377" s="73" t="str">
        <f>IFERROR(__xludf.DUMMYFUNCTION("average(filter('Appearance Sheet'!F:F,'Appearance Sheet'!G:G=B1377,'Appearance Sheet'!A:A=C1377))"),"#N/A")</f>
        <v>#N/A</v>
      </c>
      <c r="F1377" s="67">
        <v>5.218901661</v>
      </c>
      <c r="G1377" s="40">
        <v>1.561966843</v>
      </c>
      <c r="H1377" s="40" t="str">
        <f t="shared" si="1"/>
        <v>#N/A</v>
      </c>
      <c r="I1377" s="41">
        <v>0.535714286</v>
      </c>
      <c r="J1377" s="41">
        <v>0.142857143</v>
      </c>
      <c r="K1377" s="41">
        <v>0.321428571</v>
      </c>
      <c r="L1377" s="41">
        <f t="shared" si="2"/>
        <v>0.214285715</v>
      </c>
      <c r="M1377" s="74">
        <v>0.136681577</v>
      </c>
    </row>
    <row r="1378">
      <c r="A1378" s="1" t="s">
        <v>316</v>
      </c>
      <c r="B1378" s="38">
        <v>656427.0</v>
      </c>
      <c r="C1378" s="72">
        <v>45793.0</v>
      </c>
      <c r="D1378" s="38">
        <v>85.0</v>
      </c>
      <c r="E1378" s="73">
        <f>IFERROR(__xludf.DUMMYFUNCTION("average(filter('Appearance Sheet'!F:F,'Appearance Sheet'!G:G=B1378,'Appearance Sheet'!A:A=C1378))"),5.666666666666667)</f>
        <v>5.666666667</v>
      </c>
      <c r="F1378" s="67">
        <v>5.218690641</v>
      </c>
      <c r="G1378" s="40">
        <v>1.579304615</v>
      </c>
      <c r="H1378" s="40">
        <f t="shared" si="1"/>
        <v>2.50830733</v>
      </c>
      <c r="I1378" s="41">
        <v>0.505882353</v>
      </c>
      <c r="J1378" s="41">
        <v>0.117647059</v>
      </c>
      <c r="K1378" s="41">
        <v>0.376470588</v>
      </c>
      <c r="L1378" s="41">
        <f t="shared" si="2"/>
        <v>0.129411765</v>
      </c>
      <c r="M1378" s="74">
        <v>0.001866119</v>
      </c>
    </row>
    <row r="1379">
      <c r="A1379" s="1" t="s">
        <v>212</v>
      </c>
      <c r="B1379" s="38">
        <v>805673.0</v>
      </c>
      <c r="C1379" s="72">
        <v>45874.0</v>
      </c>
      <c r="D1379" s="38">
        <v>85.0</v>
      </c>
      <c r="E1379" s="73" t="str">
        <f>IFERROR(__xludf.DUMMYFUNCTION("average(filter('Appearance Sheet'!F:F,'Appearance Sheet'!G:G=B1379,'Appearance Sheet'!A:A=C1379))"),"#N/A")</f>
        <v>#N/A</v>
      </c>
      <c r="F1379" s="67">
        <v>5.218634759</v>
      </c>
      <c r="G1379" s="40">
        <v>1.589831317</v>
      </c>
      <c r="H1379" s="40" t="str">
        <f t="shared" si="1"/>
        <v>#N/A</v>
      </c>
      <c r="I1379" s="41">
        <v>0.494117647</v>
      </c>
      <c r="J1379" s="41">
        <v>0.223529412</v>
      </c>
      <c r="K1379" s="41">
        <v>0.282352941</v>
      </c>
      <c r="L1379" s="41">
        <f t="shared" si="2"/>
        <v>0.211764706</v>
      </c>
      <c r="M1379" s="74">
        <v>-0.118711447</v>
      </c>
    </row>
    <row r="1380">
      <c r="A1380" s="1" t="s">
        <v>159</v>
      </c>
      <c r="B1380" s="38">
        <v>605483.0</v>
      </c>
      <c r="C1380" s="72">
        <v>45749.0</v>
      </c>
      <c r="D1380" s="38">
        <v>77.0</v>
      </c>
      <c r="E1380" s="73">
        <f>IFERROR(__xludf.DUMMYFUNCTION("average(filter('Appearance Sheet'!F:F,'Appearance Sheet'!G:G=B1380,'Appearance Sheet'!A:A=C1380))"),4.0)</f>
        <v>4</v>
      </c>
      <c r="F1380" s="67">
        <v>5.218514217</v>
      </c>
      <c r="G1380" s="40">
        <v>1.450302502</v>
      </c>
      <c r="H1380" s="40">
        <f t="shared" si="1"/>
        <v>3.26318063</v>
      </c>
      <c r="I1380" s="41">
        <v>0.519480519</v>
      </c>
      <c r="J1380" s="41">
        <v>0.155844156</v>
      </c>
      <c r="K1380" s="41">
        <v>0.324675325</v>
      </c>
      <c r="L1380" s="41">
        <f t="shared" si="2"/>
        <v>0.194805194</v>
      </c>
      <c r="M1380" s="74">
        <v>-1.214968492</v>
      </c>
    </row>
    <row r="1381">
      <c r="A1381" s="1" t="s">
        <v>434</v>
      </c>
      <c r="B1381" s="38">
        <v>690990.0</v>
      </c>
      <c r="C1381" s="72">
        <v>45903.0</v>
      </c>
      <c r="D1381" s="38">
        <v>73.0</v>
      </c>
      <c r="E1381" s="73" t="str">
        <f>IFERROR(__xludf.DUMMYFUNCTION("average(filter('Appearance Sheet'!F:F,'Appearance Sheet'!G:G=B1381,'Appearance Sheet'!A:A=C1381))"),"#N/A")</f>
        <v>#N/A</v>
      </c>
      <c r="F1381" s="67">
        <v>5.218421413</v>
      </c>
      <c r="G1381" s="40">
        <v>1.333600685</v>
      </c>
      <c r="H1381" s="40" t="str">
        <f t="shared" si="1"/>
        <v>#N/A</v>
      </c>
      <c r="I1381" s="41">
        <v>0.479452055</v>
      </c>
      <c r="J1381" s="41">
        <v>0.191780822</v>
      </c>
      <c r="K1381" s="41">
        <v>0.328767123</v>
      </c>
      <c r="L1381" s="41">
        <f t="shared" si="2"/>
        <v>0.150684932</v>
      </c>
      <c r="M1381" s="74">
        <v>4.653352014</v>
      </c>
    </row>
    <row r="1382">
      <c r="A1382" s="1" t="s">
        <v>416</v>
      </c>
      <c r="B1382" s="38">
        <v>608337.0</v>
      </c>
      <c r="C1382" s="72">
        <v>45777.0</v>
      </c>
      <c r="D1382" s="38">
        <v>88.0</v>
      </c>
      <c r="E1382" s="73">
        <f>IFERROR(__xludf.DUMMYFUNCTION("average(filter('Appearance Sheet'!F:F,'Appearance Sheet'!G:G=B1382,'Appearance Sheet'!A:A=C1382))"),6.0)</f>
        <v>6</v>
      </c>
      <c r="F1382" s="67">
        <v>5.218214551</v>
      </c>
      <c r="G1382" s="40">
        <v>1.646290979</v>
      </c>
      <c r="H1382" s="40">
        <f t="shared" si="1"/>
        <v>2.469436469</v>
      </c>
      <c r="I1382" s="41">
        <v>0.545454545</v>
      </c>
      <c r="J1382" s="41">
        <v>0.125</v>
      </c>
      <c r="K1382" s="41">
        <v>0.329545455</v>
      </c>
      <c r="L1382" s="41">
        <f t="shared" si="2"/>
        <v>0.21590909</v>
      </c>
      <c r="M1382" s="74">
        <v>0.910981552</v>
      </c>
    </row>
    <row r="1383">
      <c r="A1383" s="1" t="s">
        <v>330</v>
      </c>
      <c r="B1383" s="38">
        <v>680730.0</v>
      </c>
      <c r="C1383" s="72">
        <v>45769.0</v>
      </c>
      <c r="D1383" s="38">
        <v>98.0</v>
      </c>
      <c r="E1383" s="73">
        <f>IFERROR(__xludf.DUMMYFUNCTION("average(filter('Appearance Sheet'!F:F,'Appearance Sheet'!G:G=B1383,'Appearance Sheet'!A:A=C1383))"),8.0)</f>
        <v>8</v>
      </c>
      <c r="F1383" s="67">
        <v>5.218190849</v>
      </c>
      <c r="G1383" s="40">
        <v>1.850072888</v>
      </c>
      <c r="H1383" s="40">
        <f t="shared" si="1"/>
        <v>2.081331999</v>
      </c>
      <c r="I1383" s="41">
        <v>0.510204082</v>
      </c>
      <c r="J1383" s="41">
        <v>0.163265306</v>
      </c>
      <c r="K1383" s="41">
        <v>0.326530612</v>
      </c>
      <c r="L1383" s="41">
        <f t="shared" si="2"/>
        <v>0.18367347</v>
      </c>
      <c r="M1383" s="74">
        <v>3.822584892</v>
      </c>
    </row>
    <row r="1384">
      <c r="A1384" s="1" t="s">
        <v>341</v>
      </c>
      <c r="B1384" s="38">
        <v>676962.0</v>
      </c>
      <c r="C1384" s="72">
        <v>45814.0</v>
      </c>
      <c r="D1384" s="38">
        <v>87.0</v>
      </c>
      <c r="E1384" s="73">
        <f>IFERROR(__xludf.DUMMYFUNCTION("average(filter('Appearance Sheet'!F:F,'Appearance Sheet'!G:G=B1384,'Appearance Sheet'!A:A=C1384))"),7.0)</f>
        <v>7</v>
      </c>
      <c r="F1384" s="67">
        <v>5.217998406</v>
      </c>
      <c r="G1384" s="40">
        <v>1.665148074</v>
      </c>
      <c r="H1384" s="40">
        <f t="shared" si="1"/>
        <v>2.140904667</v>
      </c>
      <c r="I1384" s="41">
        <v>0.574712644</v>
      </c>
      <c r="J1384" s="41">
        <v>0.114942529</v>
      </c>
      <c r="K1384" s="41">
        <v>0.310344828</v>
      </c>
      <c r="L1384" s="41">
        <f t="shared" si="2"/>
        <v>0.264367816</v>
      </c>
      <c r="M1384" s="74">
        <v>-2.331968745</v>
      </c>
    </row>
    <row r="1385">
      <c r="A1385" s="1" t="s">
        <v>246</v>
      </c>
      <c r="B1385" s="38">
        <v>571510.0</v>
      </c>
      <c r="C1385" s="72">
        <v>45850.0</v>
      </c>
      <c r="D1385" s="38">
        <v>84.0</v>
      </c>
      <c r="E1385" s="73" t="str">
        <f>IFERROR(__xludf.DUMMYFUNCTION("average(filter('Appearance Sheet'!F:F,'Appearance Sheet'!G:G=B1385,'Appearance Sheet'!A:A=C1385))"),"#N/A")</f>
        <v>#N/A</v>
      </c>
      <c r="F1385" s="67">
        <v>5.217562371</v>
      </c>
      <c r="G1385" s="40">
        <v>1.597772536</v>
      </c>
      <c r="H1385" s="40" t="str">
        <f t="shared" si="1"/>
        <v>#N/A</v>
      </c>
      <c r="I1385" s="41">
        <v>0.476190476</v>
      </c>
      <c r="J1385" s="41">
        <v>0.214285714</v>
      </c>
      <c r="K1385" s="41">
        <v>0.30952381</v>
      </c>
      <c r="L1385" s="41">
        <f t="shared" si="2"/>
        <v>0.166666666</v>
      </c>
      <c r="M1385" s="74">
        <v>1.040108522</v>
      </c>
    </row>
    <row r="1386">
      <c r="A1386" s="1" t="s">
        <v>194</v>
      </c>
      <c r="B1386" s="38">
        <v>666157.0</v>
      </c>
      <c r="C1386" s="72">
        <v>45925.0</v>
      </c>
      <c r="D1386" s="38">
        <v>71.0</v>
      </c>
      <c r="E1386" s="73" t="str">
        <f>IFERROR(__xludf.DUMMYFUNCTION("average(filter('Appearance Sheet'!F:F,'Appearance Sheet'!G:G=B1386,'Appearance Sheet'!A:A=C1386))"),"#N/A")</f>
        <v>#N/A</v>
      </c>
      <c r="F1386" s="67">
        <v>5.217519347</v>
      </c>
      <c r="G1386" s="40">
        <v>1.342531689</v>
      </c>
      <c r="H1386" s="40" t="str">
        <f t="shared" si="1"/>
        <v>#N/A</v>
      </c>
      <c r="I1386" s="41">
        <v>0.478873239</v>
      </c>
      <c r="J1386" s="41">
        <v>0.197183099</v>
      </c>
      <c r="K1386" s="41">
        <v>0.323943662</v>
      </c>
      <c r="L1386" s="41">
        <f t="shared" si="2"/>
        <v>0.154929577</v>
      </c>
      <c r="M1386" s="74">
        <v>1.242732557</v>
      </c>
    </row>
    <row r="1387">
      <c r="A1387" s="1" t="s">
        <v>229</v>
      </c>
      <c r="B1387" s="38">
        <v>645261.0</v>
      </c>
      <c r="C1387" s="72">
        <v>45906.0</v>
      </c>
      <c r="D1387" s="38">
        <v>102.0</v>
      </c>
      <c r="E1387" s="73" t="str">
        <f>IFERROR(__xludf.DUMMYFUNCTION("average(filter('Appearance Sheet'!F:F,'Appearance Sheet'!G:G=B1387,'Appearance Sheet'!A:A=C1387))"),"#N/A")</f>
        <v>#N/A</v>
      </c>
      <c r="F1387" s="67">
        <v>5.217105191</v>
      </c>
      <c r="G1387" s="40">
        <v>1.928953314</v>
      </c>
      <c r="H1387" s="40" t="str">
        <f t="shared" si="1"/>
        <v>#N/A</v>
      </c>
      <c r="I1387" s="41">
        <v>0.450980392</v>
      </c>
      <c r="J1387" s="41">
        <v>0.254901961</v>
      </c>
      <c r="K1387" s="41">
        <v>0.294117647</v>
      </c>
      <c r="L1387" s="41">
        <f t="shared" si="2"/>
        <v>0.156862745</v>
      </c>
      <c r="M1387" s="74">
        <v>-0.924422108</v>
      </c>
    </row>
    <row r="1388">
      <c r="A1388" s="1" t="s">
        <v>303</v>
      </c>
      <c r="B1388" s="38">
        <v>592662.0</v>
      </c>
      <c r="C1388" s="72">
        <v>45841.0</v>
      </c>
      <c r="D1388" s="38">
        <v>95.0</v>
      </c>
      <c r="E1388" s="73">
        <f>IFERROR(__xludf.DUMMYFUNCTION("average(filter('Appearance Sheet'!F:F,'Appearance Sheet'!G:G=B1388,'Appearance Sheet'!A:A=C1388))"),9.0)</f>
        <v>9</v>
      </c>
      <c r="F1388" s="67">
        <v>5.217104023</v>
      </c>
      <c r="G1388" s="40">
        <v>1.805674554</v>
      </c>
      <c r="H1388" s="40">
        <f t="shared" si="1"/>
        <v>1.805674554</v>
      </c>
      <c r="I1388" s="41">
        <v>0.494736842</v>
      </c>
      <c r="J1388" s="41">
        <v>0.189473684</v>
      </c>
      <c r="K1388" s="41">
        <v>0.315789474</v>
      </c>
      <c r="L1388" s="41">
        <f t="shared" si="2"/>
        <v>0.178947368</v>
      </c>
      <c r="M1388" s="74">
        <v>2.243356759</v>
      </c>
    </row>
    <row r="1389">
      <c r="A1389" s="1" t="s">
        <v>152</v>
      </c>
      <c r="B1389" s="38">
        <v>690916.0</v>
      </c>
      <c r="C1389" s="72">
        <v>45746.0</v>
      </c>
      <c r="D1389" s="38">
        <v>68.0</v>
      </c>
      <c r="E1389" s="73">
        <f>IFERROR(__xludf.DUMMYFUNCTION("average(filter('Appearance Sheet'!F:F,'Appearance Sheet'!G:G=B1389,'Appearance Sheet'!A:A=C1389))"),6.0)</f>
        <v>6</v>
      </c>
      <c r="F1389" s="67">
        <v>5.216869625</v>
      </c>
      <c r="G1389" s="40">
        <v>1.330541455</v>
      </c>
      <c r="H1389" s="40">
        <f t="shared" si="1"/>
        <v>1.995812183</v>
      </c>
      <c r="I1389" s="41">
        <v>0.470588235</v>
      </c>
      <c r="J1389" s="41">
        <v>0.161764706</v>
      </c>
      <c r="K1389" s="41">
        <v>0.367647059</v>
      </c>
      <c r="L1389" s="41">
        <f t="shared" si="2"/>
        <v>0.102941176</v>
      </c>
      <c r="M1389" s="74">
        <v>-1.791186776</v>
      </c>
    </row>
    <row r="1390">
      <c r="A1390" s="1" t="s">
        <v>158</v>
      </c>
      <c r="B1390" s="38">
        <v>608372.0</v>
      </c>
      <c r="C1390" s="72">
        <v>45927.0</v>
      </c>
      <c r="D1390" s="38">
        <v>73.0</v>
      </c>
      <c r="E1390" s="73" t="str">
        <f>IFERROR(__xludf.DUMMYFUNCTION("average(filter('Appearance Sheet'!F:F,'Appearance Sheet'!G:G=B1390,'Appearance Sheet'!A:A=C1390))"),"#N/A")</f>
        <v>#N/A</v>
      </c>
      <c r="F1390" s="67">
        <v>5.216736869</v>
      </c>
      <c r="G1390" s="40">
        <v>1.361700162</v>
      </c>
      <c r="H1390" s="40" t="str">
        <f t="shared" si="1"/>
        <v>#N/A</v>
      </c>
      <c r="I1390" s="41">
        <v>0.465753425</v>
      </c>
      <c r="J1390" s="41">
        <v>0.191780822</v>
      </c>
      <c r="K1390" s="41">
        <v>0.342465753</v>
      </c>
      <c r="L1390" s="41">
        <f t="shared" si="2"/>
        <v>0.123287672</v>
      </c>
      <c r="M1390" s="74">
        <v>-0.028365524</v>
      </c>
    </row>
    <row r="1391">
      <c r="A1391" s="1" t="s">
        <v>331</v>
      </c>
      <c r="B1391" s="38">
        <v>672456.0</v>
      </c>
      <c r="C1391" s="72">
        <v>45845.0</v>
      </c>
      <c r="D1391" s="38">
        <v>68.0</v>
      </c>
      <c r="E1391" s="73" t="str">
        <f>IFERROR(__xludf.DUMMYFUNCTION("average(filter('Appearance Sheet'!F:F,'Appearance Sheet'!G:G=B1391,'Appearance Sheet'!A:A=C1391))"),"#N/A")</f>
        <v>#N/A</v>
      </c>
      <c r="F1391" s="67">
        <v>5.216723836</v>
      </c>
      <c r="G1391" s="40">
        <v>1.295749498</v>
      </c>
      <c r="H1391" s="40" t="str">
        <f t="shared" si="1"/>
        <v>#N/A</v>
      </c>
      <c r="I1391" s="41">
        <v>0.5</v>
      </c>
      <c r="J1391" s="41">
        <v>0.191176471</v>
      </c>
      <c r="K1391" s="41">
        <v>0.308823529</v>
      </c>
      <c r="L1391" s="41">
        <f t="shared" si="2"/>
        <v>0.191176471</v>
      </c>
      <c r="M1391" s="74">
        <v>0.315268509</v>
      </c>
    </row>
    <row r="1392">
      <c r="A1392" s="1" t="s">
        <v>351</v>
      </c>
      <c r="B1392" s="38">
        <v>689017.0</v>
      </c>
      <c r="C1392" s="72">
        <v>45802.0</v>
      </c>
      <c r="D1392" s="38">
        <v>83.0</v>
      </c>
      <c r="E1392" s="73">
        <f>IFERROR(__xludf.DUMMYFUNCTION("average(filter('Appearance Sheet'!F:F,'Appearance Sheet'!G:G=B1392,'Appearance Sheet'!A:A=C1392))"),6.0)</f>
        <v>6</v>
      </c>
      <c r="F1392" s="67">
        <v>5.216366316</v>
      </c>
      <c r="G1392" s="40">
        <v>1.55143044</v>
      </c>
      <c r="H1392" s="40">
        <f t="shared" si="1"/>
        <v>2.32714566</v>
      </c>
      <c r="I1392" s="41">
        <v>0.469879518</v>
      </c>
      <c r="J1392" s="41">
        <v>0.204819277</v>
      </c>
      <c r="K1392" s="41">
        <v>0.325301205</v>
      </c>
      <c r="L1392" s="41">
        <f t="shared" si="2"/>
        <v>0.144578313</v>
      </c>
      <c r="M1392" s="74">
        <v>0.539896952</v>
      </c>
    </row>
    <row r="1393">
      <c r="A1393" s="1" t="s">
        <v>275</v>
      </c>
      <c r="B1393" s="38">
        <v>693821.0</v>
      </c>
      <c r="C1393" s="72">
        <v>45749.0</v>
      </c>
      <c r="D1393" s="38">
        <v>69.0</v>
      </c>
      <c r="E1393" s="73">
        <f>IFERROR(__xludf.DUMMYFUNCTION("average(filter('Appearance Sheet'!F:F,'Appearance Sheet'!G:G=B1393,'Appearance Sheet'!A:A=C1393))"),4.0)</f>
        <v>4</v>
      </c>
      <c r="F1393" s="67">
        <v>5.216331793</v>
      </c>
      <c r="G1393" s="40">
        <v>1.26291619</v>
      </c>
      <c r="H1393" s="40">
        <f t="shared" si="1"/>
        <v>2.841561428</v>
      </c>
      <c r="I1393" s="41">
        <v>0.492753623</v>
      </c>
      <c r="J1393" s="41">
        <v>0.101449275</v>
      </c>
      <c r="K1393" s="41">
        <v>0.405797101</v>
      </c>
      <c r="L1393" s="41">
        <f t="shared" si="2"/>
        <v>0.086956522</v>
      </c>
      <c r="M1393" s="74">
        <v>1.032346836</v>
      </c>
    </row>
    <row r="1394">
      <c r="A1394" s="1" t="s">
        <v>321</v>
      </c>
      <c r="B1394" s="38">
        <v>607200.0</v>
      </c>
      <c r="C1394" s="72">
        <v>45821.0</v>
      </c>
      <c r="D1394" s="38">
        <v>80.0</v>
      </c>
      <c r="E1394" s="73">
        <f>IFERROR(__xludf.DUMMYFUNCTION("average(filter('Appearance Sheet'!F:F,'Appearance Sheet'!G:G=B1394,'Appearance Sheet'!A:A=C1394))"),5.333333333333333)</f>
        <v>5.333333333</v>
      </c>
      <c r="F1394" s="67">
        <v>5.216142964</v>
      </c>
      <c r="G1394" s="40">
        <v>1.476612079</v>
      </c>
      <c r="H1394" s="40">
        <f t="shared" si="1"/>
        <v>2.491782883</v>
      </c>
      <c r="I1394" s="41">
        <v>0.4875</v>
      </c>
      <c r="J1394" s="41">
        <v>0.1625</v>
      </c>
      <c r="K1394" s="41">
        <v>0.35</v>
      </c>
      <c r="L1394" s="41">
        <f t="shared" si="2"/>
        <v>0.1375</v>
      </c>
      <c r="M1394" s="74">
        <v>1.758738411</v>
      </c>
    </row>
    <row r="1395">
      <c r="A1395" s="1" t="s">
        <v>209</v>
      </c>
      <c r="B1395" s="38">
        <v>694738.0</v>
      </c>
      <c r="C1395" s="72">
        <v>45884.0</v>
      </c>
      <c r="D1395" s="38">
        <v>63.0</v>
      </c>
      <c r="E1395" s="73" t="str">
        <f>IFERROR(__xludf.DUMMYFUNCTION("average(filter('Appearance Sheet'!F:F,'Appearance Sheet'!G:G=B1395,'Appearance Sheet'!A:A=C1395))"),"#N/A")</f>
        <v>#N/A</v>
      </c>
      <c r="F1395" s="67">
        <v>5.215996807</v>
      </c>
      <c r="G1395" s="40">
        <v>1.180602889</v>
      </c>
      <c r="H1395" s="40" t="str">
        <f t="shared" si="1"/>
        <v>#N/A</v>
      </c>
      <c r="I1395" s="41">
        <v>0.492063492</v>
      </c>
      <c r="J1395" s="41">
        <v>0.206349206</v>
      </c>
      <c r="K1395" s="41">
        <v>0.301587302</v>
      </c>
      <c r="L1395" s="41">
        <f t="shared" si="2"/>
        <v>0.19047619</v>
      </c>
      <c r="M1395" s="74">
        <v>0.13055816</v>
      </c>
    </row>
    <row r="1396">
      <c r="A1396" s="1" t="s">
        <v>302</v>
      </c>
      <c r="B1396" s="38">
        <v>681190.0</v>
      </c>
      <c r="C1396" s="72">
        <v>45871.0</v>
      </c>
      <c r="D1396" s="38">
        <v>69.0</v>
      </c>
      <c r="E1396" s="73" t="str">
        <f>IFERROR(__xludf.DUMMYFUNCTION("average(filter('Appearance Sheet'!F:F,'Appearance Sheet'!G:G=B1396,'Appearance Sheet'!A:A=C1396))"),"#N/A")</f>
        <v>#N/A</v>
      </c>
      <c r="F1396" s="67">
        <v>5.215977174</v>
      </c>
      <c r="G1396" s="40">
        <v>1.304272693</v>
      </c>
      <c r="H1396" s="40" t="str">
        <f t="shared" si="1"/>
        <v>#N/A</v>
      </c>
      <c r="I1396" s="41">
        <v>0.47826087</v>
      </c>
      <c r="J1396" s="41">
        <v>0.188405797</v>
      </c>
      <c r="K1396" s="41">
        <v>0.333333333</v>
      </c>
      <c r="L1396" s="41">
        <f t="shared" si="2"/>
        <v>0.144927537</v>
      </c>
      <c r="M1396" s="74">
        <v>-3.061291676</v>
      </c>
    </row>
    <row r="1397">
      <c r="A1397" s="1" t="s">
        <v>195</v>
      </c>
      <c r="B1397" s="38">
        <v>668678.0</v>
      </c>
      <c r="C1397" s="72">
        <v>45909.0</v>
      </c>
      <c r="D1397" s="38">
        <v>98.0</v>
      </c>
      <c r="E1397" s="73" t="str">
        <f>IFERROR(__xludf.DUMMYFUNCTION("average(filter('Appearance Sheet'!F:F,'Appearance Sheet'!G:G=B1397,'Appearance Sheet'!A:A=C1397))"),"#N/A")</f>
        <v>#N/A</v>
      </c>
      <c r="F1397" s="67">
        <v>5.215841453</v>
      </c>
      <c r="G1397" s="40">
        <v>1.797521346</v>
      </c>
      <c r="H1397" s="40" t="str">
        <f t="shared" si="1"/>
        <v>#N/A</v>
      </c>
      <c r="I1397" s="41">
        <v>0.489795918</v>
      </c>
      <c r="J1397" s="41">
        <v>0.163265306</v>
      </c>
      <c r="K1397" s="41">
        <v>0.346938776</v>
      </c>
      <c r="L1397" s="41">
        <f t="shared" si="2"/>
        <v>0.142857142</v>
      </c>
      <c r="M1397" s="74">
        <v>-0.675641996</v>
      </c>
    </row>
    <row r="1398">
      <c r="A1398" s="1" t="s">
        <v>93</v>
      </c>
      <c r="B1398" s="38">
        <v>669194.0</v>
      </c>
      <c r="C1398" s="72">
        <v>45863.0</v>
      </c>
      <c r="D1398" s="38">
        <v>86.0</v>
      </c>
      <c r="E1398" s="73" t="str">
        <f>IFERROR(__xludf.DUMMYFUNCTION("average(filter('Appearance Sheet'!F:F,'Appearance Sheet'!G:G=B1398,'Appearance Sheet'!A:A=C1398))"),"#N/A")</f>
        <v>#N/A</v>
      </c>
      <c r="F1398" s="67">
        <v>5.215827266</v>
      </c>
      <c r="G1398" s="40">
        <v>1.621872409</v>
      </c>
      <c r="H1398" s="40" t="str">
        <f t="shared" si="1"/>
        <v>#N/A</v>
      </c>
      <c r="I1398" s="41">
        <v>0.534883721</v>
      </c>
      <c r="J1398" s="41">
        <v>0.104651163</v>
      </c>
      <c r="K1398" s="41">
        <v>0.360465116</v>
      </c>
      <c r="L1398" s="41">
        <f t="shared" si="2"/>
        <v>0.174418605</v>
      </c>
      <c r="M1398" s="74">
        <v>3.043502456</v>
      </c>
    </row>
    <row r="1399">
      <c r="A1399" s="1" t="s">
        <v>113</v>
      </c>
      <c r="B1399" s="38">
        <v>664285.0</v>
      </c>
      <c r="C1399" s="72">
        <v>45784.0</v>
      </c>
      <c r="D1399" s="38">
        <v>98.0</v>
      </c>
      <c r="E1399" s="73">
        <f>IFERROR(__xludf.DUMMYFUNCTION("average(filter('Appearance Sheet'!F:F,'Appearance Sheet'!G:G=B1399,'Appearance Sheet'!A:A=C1399))"),7.0)</f>
        <v>7</v>
      </c>
      <c r="F1399" s="67">
        <v>5.215825787</v>
      </c>
      <c r="G1399" s="40">
        <v>1.820504082</v>
      </c>
      <c r="H1399" s="40">
        <f t="shared" si="1"/>
        <v>2.340648105</v>
      </c>
      <c r="I1399" s="41">
        <v>0.520408163</v>
      </c>
      <c r="J1399" s="41">
        <v>0.142857143</v>
      </c>
      <c r="K1399" s="41">
        <v>0.336734694</v>
      </c>
      <c r="L1399" s="41">
        <f t="shared" si="2"/>
        <v>0.183673469</v>
      </c>
      <c r="M1399" s="74">
        <v>2.724347717</v>
      </c>
    </row>
    <row r="1400">
      <c r="A1400" s="1" t="s">
        <v>341</v>
      </c>
      <c r="B1400" s="38">
        <v>676962.0</v>
      </c>
      <c r="C1400" s="72">
        <v>45808.0</v>
      </c>
      <c r="D1400" s="38">
        <v>76.0</v>
      </c>
      <c r="E1400" s="73">
        <f>IFERROR(__xludf.DUMMYFUNCTION("average(filter('Appearance Sheet'!F:F,'Appearance Sheet'!G:G=B1400,'Appearance Sheet'!A:A=C1400))"),6.0)</f>
        <v>6</v>
      </c>
      <c r="F1400" s="67">
        <v>5.21581793</v>
      </c>
      <c r="G1400" s="40">
        <v>1.428400289</v>
      </c>
      <c r="H1400" s="40">
        <f t="shared" si="1"/>
        <v>2.142600434</v>
      </c>
      <c r="I1400" s="41">
        <v>0.5</v>
      </c>
      <c r="J1400" s="41">
        <v>0.197368421</v>
      </c>
      <c r="K1400" s="41">
        <v>0.302631579</v>
      </c>
      <c r="L1400" s="41">
        <f t="shared" si="2"/>
        <v>0.197368421</v>
      </c>
      <c r="M1400" s="74">
        <v>3.628245661</v>
      </c>
    </row>
    <row r="1401">
      <c r="A1401" s="1" t="s">
        <v>155</v>
      </c>
      <c r="B1401" s="38">
        <v>592332.0</v>
      </c>
      <c r="C1401" s="72">
        <v>45768.0</v>
      </c>
      <c r="D1401" s="38">
        <v>89.0</v>
      </c>
      <c r="E1401" s="73">
        <f>IFERROR(__xludf.DUMMYFUNCTION("average(filter('Appearance Sheet'!F:F,'Appearance Sheet'!G:G=B1401,'Appearance Sheet'!A:A=C1401))"),6.0)</f>
        <v>6</v>
      </c>
      <c r="F1401" s="67">
        <v>5.215753375</v>
      </c>
      <c r="G1401" s="40">
        <v>1.641334248</v>
      </c>
      <c r="H1401" s="40">
        <f t="shared" si="1"/>
        <v>2.462001372</v>
      </c>
      <c r="I1401" s="41">
        <v>0.516853933</v>
      </c>
      <c r="J1401" s="41">
        <v>0.101123596</v>
      </c>
      <c r="K1401" s="41">
        <v>0.382022472</v>
      </c>
      <c r="L1401" s="41">
        <f t="shared" si="2"/>
        <v>0.134831461</v>
      </c>
      <c r="M1401" s="74">
        <v>-0.913262592</v>
      </c>
    </row>
    <row r="1402">
      <c r="A1402" s="1" t="s">
        <v>323</v>
      </c>
      <c r="B1402" s="38">
        <v>691587.0</v>
      </c>
      <c r="C1402" s="72">
        <v>45841.0</v>
      </c>
      <c r="D1402" s="38">
        <v>75.0</v>
      </c>
      <c r="E1402" s="73">
        <f>IFERROR(__xludf.DUMMYFUNCTION("average(filter('Appearance Sheet'!F:F,'Appearance Sheet'!G:G=B1402,'Appearance Sheet'!A:A=C1402))"),6.0)</f>
        <v>6</v>
      </c>
      <c r="F1402" s="67">
        <v>5.215289491</v>
      </c>
      <c r="G1402" s="40">
        <v>1.404412649</v>
      </c>
      <c r="H1402" s="40">
        <f t="shared" si="1"/>
        <v>2.106618974</v>
      </c>
      <c r="I1402" s="41">
        <v>0.546666667</v>
      </c>
      <c r="J1402" s="41">
        <v>0.12</v>
      </c>
      <c r="K1402" s="41">
        <v>0.333333333</v>
      </c>
      <c r="L1402" s="41">
        <f t="shared" si="2"/>
        <v>0.213333334</v>
      </c>
      <c r="M1402" s="74">
        <v>2.34985484</v>
      </c>
    </row>
    <row r="1403">
      <c r="A1403" s="1" t="s">
        <v>490</v>
      </c>
      <c r="B1403" s="38">
        <v>680573.0</v>
      </c>
      <c r="C1403" s="72">
        <v>45851.0</v>
      </c>
      <c r="D1403" s="38">
        <v>77.0</v>
      </c>
      <c r="E1403" s="73" t="str">
        <f>IFERROR(__xludf.DUMMYFUNCTION("average(filter('Appearance Sheet'!F:F,'Appearance Sheet'!G:G=B1403,'Appearance Sheet'!A:A=C1403))"),"#N/A")</f>
        <v>#N/A</v>
      </c>
      <c r="F1403" s="67">
        <v>5.21514769</v>
      </c>
      <c r="G1403" s="40">
        <v>1.440681343</v>
      </c>
      <c r="H1403" s="40" t="str">
        <f t="shared" si="1"/>
        <v>#N/A</v>
      </c>
      <c r="I1403" s="41">
        <v>0.454545455</v>
      </c>
      <c r="J1403" s="41">
        <v>0.311688312</v>
      </c>
      <c r="K1403" s="41">
        <v>0.233766234</v>
      </c>
      <c r="L1403" s="41">
        <f t="shared" si="2"/>
        <v>0.220779221</v>
      </c>
      <c r="M1403" s="74">
        <v>-1.337398034</v>
      </c>
    </row>
    <row r="1404">
      <c r="A1404" s="1" t="s">
        <v>158</v>
      </c>
      <c r="B1404" s="38">
        <v>608372.0</v>
      </c>
      <c r="C1404" s="72">
        <v>45752.0</v>
      </c>
      <c r="D1404" s="38">
        <v>88.0</v>
      </c>
      <c r="E1404" s="73">
        <f>IFERROR(__xludf.DUMMYFUNCTION("average(filter('Appearance Sheet'!F:F,'Appearance Sheet'!G:G=B1404,'Appearance Sheet'!A:A=C1404))"),5.333333333333333)</f>
        <v>5.333333333</v>
      </c>
      <c r="F1404" s="67">
        <v>5.215101156</v>
      </c>
      <c r="G1404" s="40">
        <v>1.670519515</v>
      </c>
      <c r="H1404" s="40">
        <f t="shared" si="1"/>
        <v>2.819001682</v>
      </c>
      <c r="I1404" s="41">
        <v>0.5</v>
      </c>
      <c r="J1404" s="41">
        <v>0.159090909</v>
      </c>
      <c r="K1404" s="41">
        <v>0.340909091</v>
      </c>
      <c r="L1404" s="41">
        <f t="shared" si="2"/>
        <v>0.159090909</v>
      </c>
      <c r="M1404" s="74">
        <v>0.00266524</v>
      </c>
    </row>
    <row r="1405">
      <c r="A1405" s="1" t="s">
        <v>147</v>
      </c>
      <c r="B1405" s="38">
        <v>608379.0</v>
      </c>
      <c r="C1405" s="72">
        <v>45864.0</v>
      </c>
      <c r="D1405" s="38">
        <v>74.0</v>
      </c>
      <c r="E1405" s="73" t="str">
        <f>IFERROR(__xludf.DUMMYFUNCTION("average(filter('Appearance Sheet'!F:F,'Appearance Sheet'!G:G=B1405,'Appearance Sheet'!A:A=C1405))"),"#N/A")</f>
        <v>#N/A</v>
      </c>
      <c r="F1405" s="67">
        <v>5.214881878</v>
      </c>
      <c r="G1405" s="40">
        <v>1.40061829</v>
      </c>
      <c r="H1405" s="40" t="str">
        <f t="shared" si="1"/>
        <v>#N/A</v>
      </c>
      <c r="I1405" s="41">
        <v>0.5</v>
      </c>
      <c r="J1405" s="41">
        <v>0.189189189</v>
      </c>
      <c r="K1405" s="41">
        <v>0.310810811</v>
      </c>
      <c r="L1405" s="41">
        <f t="shared" si="2"/>
        <v>0.189189189</v>
      </c>
      <c r="M1405" s="74">
        <v>2.635773487</v>
      </c>
    </row>
    <row r="1406">
      <c r="A1406" s="1" t="s">
        <v>177</v>
      </c>
      <c r="B1406" s="38">
        <v>641793.0</v>
      </c>
      <c r="C1406" s="72">
        <v>45751.0</v>
      </c>
      <c r="D1406" s="38">
        <v>81.0</v>
      </c>
      <c r="E1406" s="73">
        <f>IFERROR(__xludf.DUMMYFUNCTION("average(filter('Appearance Sheet'!F:F,'Appearance Sheet'!G:G=B1406,'Appearance Sheet'!A:A=C1406))"),7.0)</f>
        <v>7</v>
      </c>
      <c r="F1406" s="67">
        <v>5.214475211</v>
      </c>
      <c r="G1406" s="40">
        <v>1.543758687</v>
      </c>
      <c r="H1406" s="40">
        <f t="shared" si="1"/>
        <v>1.984832598</v>
      </c>
      <c r="I1406" s="41">
        <v>0.469135802</v>
      </c>
      <c r="J1406" s="41">
        <v>0.234567901</v>
      </c>
      <c r="K1406" s="41">
        <v>0.296296296</v>
      </c>
      <c r="L1406" s="41">
        <f t="shared" si="2"/>
        <v>0.172839506</v>
      </c>
      <c r="M1406" s="74">
        <v>-0.810145555</v>
      </c>
    </row>
    <row r="1407">
      <c r="A1407" s="1" t="s">
        <v>95</v>
      </c>
      <c r="B1407" s="38">
        <v>543243.0</v>
      </c>
      <c r="C1407" s="72">
        <v>45749.0</v>
      </c>
      <c r="D1407" s="38">
        <v>82.0</v>
      </c>
      <c r="E1407" s="73">
        <f>IFERROR(__xludf.DUMMYFUNCTION("average(filter('Appearance Sheet'!F:F,'Appearance Sheet'!G:G=B1407,'Appearance Sheet'!A:A=C1407))"),6.0)</f>
        <v>6</v>
      </c>
      <c r="F1407" s="67">
        <v>5.214470029</v>
      </c>
      <c r="G1407" s="40">
        <v>1.528342851</v>
      </c>
      <c r="H1407" s="40">
        <f t="shared" si="1"/>
        <v>2.292514277</v>
      </c>
      <c r="I1407" s="41">
        <v>0.487804878</v>
      </c>
      <c r="J1407" s="41">
        <v>0.146341463</v>
      </c>
      <c r="K1407" s="41">
        <v>0.365853659</v>
      </c>
      <c r="L1407" s="41">
        <f t="shared" si="2"/>
        <v>0.121951219</v>
      </c>
      <c r="M1407" s="74">
        <v>-0.310968014</v>
      </c>
    </row>
    <row r="1408">
      <c r="A1408" s="1" t="s">
        <v>423</v>
      </c>
      <c r="B1408" s="38">
        <v>656605.0</v>
      </c>
      <c r="C1408" s="72">
        <v>45807.0</v>
      </c>
      <c r="D1408" s="38">
        <v>78.0</v>
      </c>
      <c r="E1408" s="73">
        <f>IFERROR(__xludf.DUMMYFUNCTION("average(filter('Appearance Sheet'!F:F,'Appearance Sheet'!G:G=B1408,'Appearance Sheet'!A:A=C1408))"),6.0)</f>
        <v>6</v>
      </c>
      <c r="F1408" s="67">
        <v>5.213870654</v>
      </c>
      <c r="G1408" s="40">
        <v>1.499930134</v>
      </c>
      <c r="H1408" s="40">
        <f t="shared" si="1"/>
        <v>2.249895201</v>
      </c>
      <c r="I1408" s="41">
        <v>0.487179487</v>
      </c>
      <c r="J1408" s="41">
        <v>0.179487179</v>
      </c>
      <c r="K1408" s="41">
        <v>0.333333333</v>
      </c>
      <c r="L1408" s="41">
        <f t="shared" si="2"/>
        <v>0.153846154</v>
      </c>
      <c r="M1408" s="74">
        <v>2.183088309</v>
      </c>
    </row>
    <row r="1409">
      <c r="A1409" s="1" t="s">
        <v>126</v>
      </c>
      <c r="B1409" s="38">
        <v>701487.0</v>
      </c>
      <c r="C1409" s="72">
        <v>45867.0</v>
      </c>
      <c r="D1409" s="38">
        <v>68.0</v>
      </c>
      <c r="E1409" s="73" t="str">
        <f>IFERROR(__xludf.DUMMYFUNCTION("average(filter('Appearance Sheet'!F:F,'Appearance Sheet'!G:G=B1409,'Appearance Sheet'!A:A=C1409))"),"#N/A")</f>
        <v>#N/A</v>
      </c>
      <c r="F1409" s="67">
        <v>5.213817277</v>
      </c>
      <c r="G1409" s="40">
        <v>1.281928433</v>
      </c>
      <c r="H1409" s="40" t="str">
        <f t="shared" si="1"/>
        <v>#N/A</v>
      </c>
      <c r="I1409" s="41">
        <v>0.441176471</v>
      </c>
      <c r="J1409" s="41">
        <v>0.205882353</v>
      </c>
      <c r="K1409" s="41">
        <v>0.352941176</v>
      </c>
      <c r="L1409" s="41">
        <f t="shared" si="2"/>
        <v>0.088235295</v>
      </c>
      <c r="M1409" s="74">
        <v>-0.866490249</v>
      </c>
    </row>
    <row r="1410">
      <c r="A1410" s="1" t="s">
        <v>105</v>
      </c>
      <c r="B1410" s="38">
        <v>624133.0</v>
      </c>
      <c r="C1410" s="72">
        <v>45787.0</v>
      </c>
      <c r="D1410" s="38">
        <v>79.0</v>
      </c>
      <c r="E1410" s="73">
        <f>IFERROR(__xludf.DUMMYFUNCTION("average(filter('Appearance Sheet'!F:F,'Appearance Sheet'!G:G=B1410,'Appearance Sheet'!A:A=C1410))"),7.0)</f>
        <v>7</v>
      </c>
      <c r="F1410" s="67">
        <v>5.21363943</v>
      </c>
      <c r="G1410" s="40">
        <v>1.483208574</v>
      </c>
      <c r="H1410" s="40">
        <f t="shared" si="1"/>
        <v>1.906982452</v>
      </c>
      <c r="I1410" s="41">
        <v>0.481012658</v>
      </c>
      <c r="J1410" s="41">
        <v>0.151898734</v>
      </c>
      <c r="K1410" s="41">
        <v>0.367088608</v>
      </c>
      <c r="L1410" s="41">
        <f t="shared" si="2"/>
        <v>0.11392405</v>
      </c>
      <c r="M1410" s="74">
        <v>1.50868156</v>
      </c>
    </row>
    <row r="1411">
      <c r="A1411" s="1" t="s">
        <v>420</v>
      </c>
      <c r="B1411" s="38">
        <v>547179.0</v>
      </c>
      <c r="C1411" s="72">
        <v>45754.0</v>
      </c>
      <c r="D1411" s="38">
        <v>86.0</v>
      </c>
      <c r="E1411" s="73">
        <f>IFERROR(__xludf.DUMMYFUNCTION("average(filter('Appearance Sheet'!F:F,'Appearance Sheet'!G:G=B1411,'Appearance Sheet'!A:A=C1411))"),6.0)</f>
        <v>6</v>
      </c>
      <c r="F1411" s="67">
        <v>5.213247937</v>
      </c>
      <c r="G1411" s="40">
        <v>1.623287927</v>
      </c>
      <c r="H1411" s="40">
        <f t="shared" si="1"/>
        <v>2.434931891</v>
      </c>
      <c r="I1411" s="41">
        <v>0.453488372</v>
      </c>
      <c r="J1411" s="41">
        <v>0.139534884</v>
      </c>
      <c r="K1411" s="41">
        <v>0.406976744</v>
      </c>
      <c r="L1411" s="41">
        <f t="shared" si="2"/>
        <v>0.046511628</v>
      </c>
      <c r="M1411" s="74">
        <v>0.200690036</v>
      </c>
    </row>
    <row r="1412">
      <c r="A1412" s="1" t="s">
        <v>379</v>
      </c>
      <c r="B1412" s="38">
        <v>593423.0</v>
      </c>
      <c r="C1412" s="72">
        <v>45843.0</v>
      </c>
      <c r="D1412" s="38">
        <v>76.0</v>
      </c>
      <c r="E1412" s="73" t="str">
        <f>IFERROR(__xludf.DUMMYFUNCTION("average(filter('Appearance Sheet'!F:F,'Appearance Sheet'!G:G=B1412,'Appearance Sheet'!A:A=C1412))"),"#N/A")</f>
        <v>#N/A</v>
      </c>
      <c r="F1412" s="67">
        <v>5.212887111</v>
      </c>
      <c r="G1412" s="40">
        <v>1.433012961</v>
      </c>
      <c r="H1412" s="40" t="str">
        <f t="shared" si="1"/>
        <v>#N/A</v>
      </c>
      <c r="I1412" s="41">
        <v>0.421052632</v>
      </c>
      <c r="J1412" s="41">
        <v>0.315789474</v>
      </c>
      <c r="K1412" s="41">
        <v>0.263157895</v>
      </c>
      <c r="L1412" s="41">
        <f t="shared" si="2"/>
        <v>0.157894737</v>
      </c>
      <c r="M1412" s="74">
        <v>-0.454532306</v>
      </c>
    </row>
    <row r="1413">
      <c r="A1413" s="1" t="s">
        <v>67</v>
      </c>
      <c r="B1413" s="38">
        <v>684007.0</v>
      </c>
      <c r="C1413" s="72">
        <v>45885.0</v>
      </c>
      <c r="D1413" s="38">
        <v>82.0</v>
      </c>
      <c r="E1413" s="73" t="str">
        <f>IFERROR(__xludf.DUMMYFUNCTION("average(filter('Appearance Sheet'!F:F,'Appearance Sheet'!G:G=B1413,'Appearance Sheet'!A:A=C1413))"),"#N/A")</f>
        <v>#N/A</v>
      </c>
      <c r="F1413" s="67">
        <v>5.212561122</v>
      </c>
      <c r="G1413" s="40">
        <v>1.560916081</v>
      </c>
      <c r="H1413" s="40" t="str">
        <f t="shared" si="1"/>
        <v>#N/A</v>
      </c>
      <c r="I1413" s="41">
        <v>0.573170732</v>
      </c>
      <c r="J1413" s="41">
        <v>0.195121951</v>
      </c>
      <c r="K1413" s="41">
        <v>0.231707317</v>
      </c>
      <c r="L1413" s="41">
        <f t="shared" si="2"/>
        <v>0.341463415</v>
      </c>
      <c r="M1413" s="74">
        <v>1.706427958</v>
      </c>
    </row>
    <row r="1414">
      <c r="A1414" s="1" t="s">
        <v>256</v>
      </c>
      <c r="B1414" s="38">
        <v>571760.0</v>
      </c>
      <c r="C1414" s="72">
        <v>45864.0</v>
      </c>
      <c r="D1414" s="38">
        <v>71.0</v>
      </c>
      <c r="E1414" s="73" t="str">
        <f>IFERROR(__xludf.DUMMYFUNCTION("average(filter('Appearance Sheet'!F:F,'Appearance Sheet'!G:G=B1414,'Appearance Sheet'!A:A=C1414))"),"#N/A")</f>
        <v>#N/A</v>
      </c>
      <c r="F1414" s="67">
        <v>5.212510493</v>
      </c>
      <c r="G1414" s="40">
        <v>1.344821442</v>
      </c>
      <c r="H1414" s="40" t="str">
        <f t="shared" si="1"/>
        <v>#N/A</v>
      </c>
      <c r="I1414" s="41">
        <v>0.507042254</v>
      </c>
      <c r="J1414" s="41">
        <v>0.154929577</v>
      </c>
      <c r="K1414" s="41">
        <v>0.338028169</v>
      </c>
      <c r="L1414" s="41">
        <f t="shared" si="2"/>
        <v>0.169014085</v>
      </c>
      <c r="M1414" s="74">
        <v>2.613535624</v>
      </c>
    </row>
    <row r="1415">
      <c r="A1415" s="1" t="s">
        <v>195</v>
      </c>
      <c r="B1415" s="38">
        <v>668678.0</v>
      </c>
      <c r="C1415" s="72">
        <v>45839.0</v>
      </c>
      <c r="D1415" s="38">
        <v>99.0</v>
      </c>
      <c r="E1415" s="73">
        <f>IFERROR(__xludf.DUMMYFUNCTION("average(filter('Appearance Sheet'!F:F,'Appearance Sheet'!G:G=B1415,'Appearance Sheet'!A:A=C1415))"),7.0)</f>
        <v>7</v>
      </c>
      <c r="F1415" s="67">
        <v>5.212495862</v>
      </c>
      <c r="G1415" s="40">
        <v>1.862042719</v>
      </c>
      <c r="H1415" s="40">
        <f t="shared" si="1"/>
        <v>2.394054924</v>
      </c>
      <c r="I1415" s="41">
        <v>0.494949495</v>
      </c>
      <c r="J1415" s="41">
        <v>0.161616162</v>
      </c>
      <c r="K1415" s="41">
        <v>0.343434343</v>
      </c>
      <c r="L1415" s="41">
        <f t="shared" si="2"/>
        <v>0.151515152</v>
      </c>
      <c r="M1415" s="74">
        <v>0.44942309</v>
      </c>
    </row>
    <row r="1416">
      <c r="A1416" s="1" t="s">
        <v>159</v>
      </c>
      <c r="B1416" s="38">
        <v>605483.0</v>
      </c>
      <c r="C1416" s="72">
        <v>45891.0</v>
      </c>
      <c r="D1416" s="38">
        <v>95.0</v>
      </c>
      <c r="E1416" s="73" t="str">
        <f>IFERROR(__xludf.DUMMYFUNCTION("average(filter('Appearance Sheet'!F:F,'Appearance Sheet'!G:G=B1416,'Appearance Sheet'!A:A=C1416))"),"#N/A")</f>
        <v>#N/A</v>
      </c>
      <c r="F1416" s="67">
        <v>5.212395305</v>
      </c>
      <c r="G1416" s="40">
        <v>1.806183433</v>
      </c>
      <c r="H1416" s="40" t="str">
        <f t="shared" si="1"/>
        <v>#N/A</v>
      </c>
      <c r="I1416" s="41">
        <v>0.494736842</v>
      </c>
      <c r="J1416" s="41">
        <v>0.136842105</v>
      </c>
      <c r="K1416" s="41">
        <v>0.368421053</v>
      </c>
      <c r="L1416" s="41">
        <f t="shared" si="2"/>
        <v>0.126315789</v>
      </c>
      <c r="M1416" s="74">
        <v>-1.38225937</v>
      </c>
    </row>
    <row r="1417">
      <c r="A1417" s="1" t="s">
        <v>147</v>
      </c>
      <c r="B1417" s="38">
        <v>608379.0</v>
      </c>
      <c r="C1417" s="72">
        <v>45815.0</v>
      </c>
      <c r="D1417" s="38">
        <v>95.0</v>
      </c>
      <c r="E1417" s="73">
        <f>IFERROR(__xludf.DUMMYFUNCTION("average(filter('Appearance Sheet'!F:F,'Appearance Sheet'!G:G=B1417,'Appearance Sheet'!A:A=C1417))"),6.0)</f>
        <v>6</v>
      </c>
      <c r="F1417" s="67">
        <v>5.212383151</v>
      </c>
      <c r="G1417" s="40">
        <v>1.742239814</v>
      </c>
      <c r="H1417" s="40">
        <f t="shared" si="1"/>
        <v>2.613359721</v>
      </c>
      <c r="I1417" s="41">
        <v>0.515789474</v>
      </c>
      <c r="J1417" s="41">
        <v>0.136842105</v>
      </c>
      <c r="K1417" s="41">
        <v>0.347368421</v>
      </c>
      <c r="L1417" s="41">
        <f t="shared" si="2"/>
        <v>0.168421053</v>
      </c>
      <c r="M1417" s="74">
        <v>-0.802193761</v>
      </c>
    </row>
    <row r="1418">
      <c r="A1418" s="1" t="s">
        <v>84</v>
      </c>
      <c r="B1418" s="38">
        <v>669373.0</v>
      </c>
      <c r="C1418" s="72">
        <v>45837.0</v>
      </c>
      <c r="D1418" s="38">
        <v>90.0</v>
      </c>
      <c r="E1418" s="73">
        <f>IFERROR(__xludf.DUMMYFUNCTION("average(filter('Appearance Sheet'!F:F,'Appearance Sheet'!G:G=B1418,'Appearance Sheet'!A:A=C1418))"),7.0)</f>
        <v>7</v>
      </c>
      <c r="F1418" s="67">
        <v>5.212116612</v>
      </c>
      <c r="G1418" s="40">
        <v>1.699027892</v>
      </c>
      <c r="H1418" s="40">
        <f t="shared" si="1"/>
        <v>2.184464433</v>
      </c>
      <c r="I1418" s="41">
        <v>0.5</v>
      </c>
      <c r="J1418" s="41">
        <v>0.211111111</v>
      </c>
      <c r="K1418" s="41">
        <v>0.288888889</v>
      </c>
      <c r="L1418" s="41">
        <f t="shared" si="2"/>
        <v>0.211111111</v>
      </c>
      <c r="M1418" s="74">
        <v>4.071715296</v>
      </c>
    </row>
    <row r="1419">
      <c r="A1419" s="1" t="s">
        <v>405</v>
      </c>
      <c r="B1419" s="38">
        <v>621111.0</v>
      </c>
      <c r="C1419" s="72">
        <v>45919.0</v>
      </c>
      <c r="D1419" s="38">
        <v>60.0</v>
      </c>
      <c r="E1419" s="73" t="str">
        <f>IFERROR(__xludf.DUMMYFUNCTION("average(filter('Appearance Sheet'!F:F,'Appearance Sheet'!G:G=B1419,'Appearance Sheet'!A:A=C1419))"),"#N/A")</f>
        <v>#N/A</v>
      </c>
      <c r="F1419" s="67">
        <v>5.211879358</v>
      </c>
      <c r="G1419" s="40">
        <v>1.139429047</v>
      </c>
      <c r="H1419" s="40" t="str">
        <f t="shared" si="1"/>
        <v>#N/A</v>
      </c>
      <c r="I1419" s="41">
        <v>0.5</v>
      </c>
      <c r="J1419" s="41">
        <v>0.2</v>
      </c>
      <c r="K1419" s="41">
        <v>0.3</v>
      </c>
      <c r="L1419" s="41">
        <f t="shared" si="2"/>
        <v>0.2</v>
      </c>
      <c r="M1419" s="74">
        <v>1.507073741</v>
      </c>
    </row>
    <row r="1420">
      <c r="A1420" s="1" t="s">
        <v>355</v>
      </c>
      <c r="B1420" s="38">
        <v>670912.0</v>
      </c>
      <c r="C1420" s="72">
        <v>45911.0</v>
      </c>
      <c r="D1420" s="38">
        <v>81.0</v>
      </c>
      <c r="E1420" s="73" t="str">
        <f>IFERROR(__xludf.DUMMYFUNCTION("average(filter('Appearance Sheet'!F:F,'Appearance Sheet'!G:G=B1420,'Appearance Sheet'!A:A=C1420))"),"#N/A")</f>
        <v>#N/A</v>
      </c>
      <c r="F1420" s="67">
        <v>5.211878594</v>
      </c>
      <c r="G1420" s="40">
        <v>1.544653046</v>
      </c>
      <c r="H1420" s="40" t="str">
        <f t="shared" si="1"/>
        <v>#N/A</v>
      </c>
      <c r="I1420" s="41">
        <v>0.49382716</v>
      </c>
      <c r="J1420" s="41">
        <v>0.209876543</v>
      </c>
      <c r="K1420" s="41">
        <v>0.296296296</v>
      </c>
      <c r="L1420" s="41">
        <f t="shared" si="2"/>
        <v>0.197530864</v>
      </c>
      <c r="M1420" s="74">
        <v>-1.404879368</v>
      </c>
    </row>
    <row r="1421">
      <c r="A1421" s="1" t="s">
        <v>374</v>
      </c>
      <c r="B1421" s="38">
        <v>683004.0</v>
      </c>
      <c r="C1421" s="72">
        <v>45926.0</v>
      </c>
      <c r="D1421" s="38">
        <v>92.0</v>
      </c>
      <c r="E1421" s="73" t="str">
        <f>IFERROR(__xludf.DUMMYFUNCTION("average(filter('Appearance Sheet'!F:F,'Appearance Sheet'!G:G=B1421,'Appearance Sheet'!A:A=C1421))"),"#N/A")</f>
        <v>#N/A</v>
      </c>
      <c r="F1421" s="67">
        <v>5.211379164</v>
      </c>
      <c r="G1421" s="40">
        <v>1.723790375</v>
      </c>
      <c r="H1421" s="40" t="str">
        <f t="shared" si="1"/>
        <v>#N/A</v>
      </c>
      <c r="I1421" s="41">
        <v>0.554347826</v>
      </c>
      <c r="J1421" s="41">
        <v>0.097826087</v>
      </c>
      <c r="K1421" s="41">
        <v>0.347826087</v>
      </c>
      <c r="L1421" s="41">
        <f t="shared" si="2"/>
        <v>0.206521739</v>
      </c>
      <c r="M1421" s="74">
        <v>0.747425175</v>
      </c>
    </row>
    <row r="1422">
      <c r="A1422" s="1" t="s">
        <v>300</v>
      </c>
      <c r="B1422" s="38">
        <v>506433.0</v>
      </c>
      <c r="C1422" s="72">
        <v>45891.0</v>
      </c>
      <c r="D1422" s="38">
        <v>71.0</v>
      </c>
      <c r="E1422" s="73" t="str">
        <f>IFERROR(__xludf.DUMMYFUNCTION("average(filter('Appearance Sheet'!F:F,'Appearance Sheet'!G:G=B1422,'Appearance Sheet'!A:A=C1422))"),"#N/A")</f>
        <v>#N/A</v>
      </c>
      <c r="F1422" s="67">
        <v>5.211237805</v>
      </c>
      <c r="G1422" s="40">
        <v>1.353733438</v>
      </c>
      <c r="H1422" s="40" t="str">
        <f t="shared" si="1"/>
        <v>#N/A</v>
      </c>
      <c r="I1422" s="41">
        <v>0.563380282</v>
      </c>
      <c r="J1422" s="41">
        <v>0.154929577</v>
      </c>
      <c r="K1422" s="41">
        <v>0.281690141</v>
      </c>
      <c r="L1422" s="41">
        <f t="shared" si="2"/>
        <v>0.281690141</v>
      </c>
      <c r="M1422" s="74">
        <v>3.241994636</v>
      </c>
    </row>
    <row r="1423">
      <c r="A1423" s="1" t="s">
        <v>109</v>
      </c>
      <c r="B1423" s="38">
        <v>601713.0</v>
      </c>
      <c r="C1423" s="72">
        <v>45899.0</v>
      </c>
      <c r="D1423" s="38">
        <v>83.0</v>
      </c>
      <c r="E1423" s="73" t="str">
        <f>IFERROR(__xludf.DUMMYFUNCTION("average(filter('Appearance Sheet'!F:F,'Appearance Sheet'!G:G=B1423,'Appearance Sheet'!A:A=C1423))"),"#N/A")</f>
        <v>#N/A</v>
      </c>
      <c r="F1423" s="67">
        <v>5.210799326</v>
      </c>
      <c r="G1423" s="40">
        <v>1.568548873</v>
      </c>
      <c r="H1423" s="40" t="str">
        <f t="shared" si="1"/>
        <v>#N/A</v>
      </c>
      <c r="I1423" s="41">
        <v>0.493975904</v>
      </c>
      <c r="J1423" s="41">
        <v>0.204819277</v>
      </c>
      <c r="K1423" s="41">
        <v>0.301204819</v>
      </c>
      <c r="L1423" s="41">
        <f t="shared" si="2"/>
        <v>0.192771085</v>
      </c>
      <c r="M1423" s="74">
        <v>1.003251935</v>
      </c>
    </row>
    <row r="1424">
      <c r="A1424" s="1" t="s">
        <v>555</v>
      </c>
      <c r="B1424" s="38">
        <v>701656.0</v>
      </c>
      <c r="C1424" s="72">
        <v>45791.0</v>
      </c>
      <c r="D1424" s="38">
        <v>69.0</v>
      </c>
      <c r="E1424" s="73">
        <f>IFERROR(__xludf.DUMMYFUNCTION("average(filter('Appearance Sheet'!F:F,'Appearance Sheet'!G:G=B1424,'Appearance Sheet'!A:A=C1424))"),5.0)</f>
        <v>5</v>
      </c>
      <c r="F1424" s="67">
        <v>5.210784472</v>
      </c>
      <c r="G1424" s="40">
        <v>1.293184869</v>
      </c>
      <c r="H1424" s="40">
        <f t="shared" si="1"/>
        <v>2.327732764</v>
      </c>
      <c r="I1424" s="41">
        <v>0.507246377</v>
      </c>
      <c r="J1424" s="41">
        <v>0.188405797</v>
      </c>
      <c r="K1424" s="41">
        <v>0.304347826</v>
      </c>
      <c r="L1424" s="41">
        <f t="shared" si="2"/>
        <v>0.202898551</v>
      </c>
      <c r="M1424" s="74">
        <v>-0.578460294</v>
      </c>
    </row>
    <row r="1425">
      <c r="A1425" s="1" t="s">
        <v>176</v>
      </c>
      <c r="B1425" s="38">
        <v>686218.0</v>
      </c>
      <c r="C1425" s="72">
        <v>45868.0</v>
      </c>
      <c r="D1425" s="38">
        <v>69.0</v>
      </c>
      <c r="E1425" s="73" t="str">
        <f>IFERROR(__xludf.DUMMYFUNCTION("average(filter('Appearance Sheet'!F:F,'Appearance Sheet'!G:G=B1425,'Appearance Sheet'!A:A=C1425))"),"#N/A")</f>
        <v>#N/A</v>
      </c>
      <c r="F1425" s="67">
        <v>5.210595181</v>
      </c>
      <c r="G1425" s="40">
        <v>1.274407303</v>
      </c>
      <c r="H1425" s="40" t="str">
        <f t="shared" si="1"/>
        <v>#N/A</v>
      </c>
      <c r="I1425" s="41">
        <v>0.463768116</v>
      </c>
      <c r="J1425" s="41">
        <v>0.173913043</v>
      </c>
      <c r="K1425" s="41">
        <v>0.362318841</v>
      </c>
      <c r="L1425" s="41">
        <f t="shared" si="2"/>
        <v>0.101449275</v>
      </c>
      <c r="M1425" s="74">
        <v>2.347782469</v>
      </c>
    </row>
    <row r="1426">
      <c r="A1426" s="1" t="s">
        <v>490</v>
      </c>
      <c r="B1426" s="38">
        <v>680573.0</v>
      </c>
      <c r="C1426" s="72">
        <v>45928.0</v>
      </c>
      <c r="D1426" s="38">
        <v>77.0</v>
      </c>
      <c r="E1426" s="73" t="str">
        <f>IFERROR(__xludf.DUMMYFUNCTION("average(filter('Appearance Sheet'!F:F,'Appearance Sheet'!G:G=B1426,'Appearance Sheet'!A:A=C1426))"),"#N/A")</f>
        <v>#N/A</v>
      </c>
      <c r="F1426" s="67">
        <v>5.210589212</v>
      </c>
      <c r="G1426" s="40">
        <v>1.467305415</v>
      </c>
      <c r="H1426" s="40" t="str">
        <f t="shared" si="1"/>
        <v>#N/A</v>
      </c>
      <c r="I1426" s="41">
        <v>0.415584416</v>
      </c>
      <c r="J1426" s="41">
        <v>0.298701299</v>
      </c>
      <c r="K1426" s="41">
        <v>0.285714286</v>
      </c>
      <c r="L1426" s="41">
        <f t="shared" si="2"/>
        <v>0.12987013</v>
      </c>
      <c r="M1426" s="74">
        <v>4.571587637</v>
      </c>
    </row>
    <row r="1427">
      <c r="A1427" s="1" t="s">
        <v>364</v>
      </c>
      <c r="B1427" s="38">
        <v>693855.0</v>
      </c>
      <c r="C1427" s="72">
        <v>45894.0</v>
      </c>
      <c r="D1427" s="38">
        <v>66.0</v>
      </c>
      <c r="E1427" s="73" t="str">
        <f>IFERROR(__xludf.DUMMYFUNCTION("average(filter('Appearance Sheet'!F:F,'Appearance Sheet'!G:G=B1427,'Appearance Sheet'!A:A=C1427))"),"#N/A")</f>
        <v>#N/A</v>
      </c>
      <c r="F1427" s="67">
        <v>5.210357559</v>
      </c>
      <c r="G1427" s="40">
        <v>1.242890126</v>
      </c>
      <c r="H1427" s="40" t="str">
        <f t="shared" si="1"/>
        <v>#N/A</v>
      </c>
      <c r="I1427" s="41">
        <v>0.575757576</v>
      </c>
      <c r="J1427" s="41">
        <v>0.136363636</v>
      </c>
      <c r="K1427" s="41">
        <v>0.287878788</v>
      </c>
      <c r="L1427" s="41">
        <f t="shared" si="2"/>
        <v>0.287878788</v>
      </c>
      <c r="M1427" s="74">
        <v>3.051114619</v>
      </c>
    </row>
    <row r="1428">
      <c r="A1428" s="1" t="s">
        <v>341</v>
      </c>
      <c r="B1428" s="38">
        <v>676962.0</v>
      </c>
      <c r="C1428" s="72">
        <v>45796.0</v>
      </c>
      <c r="D1428" s="38">
        <v>81.0</v>
      </c>
      <c r="E1428" s="73">
        <f>IFERROR(__xludf.DUMMYFUNCTION("average(filter('Appearance Sheet'!F:F,'Appearance Sheet'!G:G=B1428,'Appearance Sheet'!A:A=C1428))"),4.666666666666667)</f>
        <v>4.666666667</v>
      </c>
      <c r="F1428" s="67">
        <v>5.210301623</v>
      </c>
      <c r="G1428" s="40">
        <v>1.525050553</v>
      </c>
      <c r="H1428" s="40">
        <f t="shared" si="1"/>
        <v>2.941168924</v>
      </c>
      <c r="I1428" s="41">
        <v>0.469135802</v>
      </c>
      <c r="J1428" s="41">
        <v>0.234567901</v>
      </c>
      <c r="K1428" s="41">
        <v>0.296296296</v>
      </c>
      <c r="L1428" s="41">
        <f t="shared" si="2"/>
        <v>0.172839506</v>
      </c>
      <c r="M1428" s="74">
        <v>-2.165135947</v>
      </c>
    </row>
    <row r="1429">
      <c r="A1429" s="1" t="s">
        <v>303</v>
      </c>
      <c r="B1429" s="38">
        <v>592662.0</v>
      </c>
      <c r="C1429" s="72">
        <v>45870.0</v>
      </c>
      <c r="D1429" s="38">
        <v>99.0</v>
      </c>
      <c r="E1429" s="73" t="str">
        <f>IFERROR(__xludf.DUMMYFUNCTION("average(filter('Appearance Sheet'!F:F,'Appearance Sheet'!G:G=B1429,'Appearance Sheet'!A:A=C1429))"),"#N/A")</f>
        <v>#N/A</v>
      </c>
      <c r="F1429" s="67">
        <v>5.210114274</v>
      </c>
      <c r="G1429" s="40">
        <v>1.868989362</v>
      </c>
      <c r="H1429" s="40" t="str">
        <f t="shared" si="1"/>
        <v>#N/A</v>
      </c>
      <c r="I1429" s="41">
        <v>0.454545455</v>
      </c>
      <c r="J1429" s="41">
        <v>0.212121212</v>
      </c>
      <c r="K1429" s="41">
        <v>0.333333333</v>
      </c>
      <c r="L1429" s="41">
        <f t="shared" si="2"/>
        <v>0.121212122</v>
      </c>
      <c r="M1429" s="74">
        <v>0.585829835</v>
      </c>
    </row>
    <row r="1430">
      <c r="A1430" s="1" t="s">
        <v>419</v>
      </c>
      <c r="B1430" s="38">
        <v>681857.0</v>
      </c>
      <c r="C1430" s="72">
        <v>45770.0</v>
      </c>
      <c r="D1430" s="38">
        <v>82.0</v>
      </c>
      <c r="E1430" s="73">
        <f>IFERROR(__xludf.DUMMYFUNCTION("average(filter('Appearance Sheet'!F:F,'Appearance Sheet'!G:G=B1430,'Appearance Sheet'!A:A=C1430))"),7.333333333333333)</f>
        <v>7.333333333</v>
      </c>
      <c r="F1430" s="67">
        <v>5.209809546</v>
      </c>
      <c r="G1430" s="40">
        <v>1.571517117</v>
      </c>
      <c r="H1430" s="40">
        <f t="shared" si="1"/>
        <v>1.928680098</v>
      </c>
      <c r="I1430" s="41">
        <v>0.475609756</v>
      </c>
      <c r="J1430" s="41">
        <v>0.280487805</v>
      </c>
      <c r="K1430" s="41">
        <v>0.243902439</v>
      </c>
      <c r="L1430" s="41">
        <f t="shared" si="2"/>
        <v>0.231707317</v>
      </c>
      <c r="M1430" s="74">
        <v>2.478486671</v>
      </c>
    </row>
    <row r="1431">
      <c r="A1431" s="1" t="s">
        <v>153</v>
      </c>
      <c r="B1431" s="38">
        <v>669302.0</v>
      </c>
      <c r="C1431" s="72">
        <v>45754.0</v>
      </c>
      <c r="D1431" s="38">
        <v>96.0</v>
      </c>
      <c r="E1431" s="73">
        <f>IFERROR(__xludf.DUMMYFUNCTION("average(filter('Appearance Sheet'!F:F,'Appearance Sheet'!G:G=B1431,'Appearance Sheet'!A:A=C1431))"),5.666666666666667)</f>
        <v>5.666666667</v>
      </c>
      <c r="F1431" s="67">
        <v>5.209802888</v>
      </c>
      <c r="G1431" s="40">
        <v>1.760277968</v>
      </c>
      <c r="H1431" s="40">
        <f t="shared" si="1"/>
        <v>2.795735596</v>
      </c>
      <c r="I1431" s="41">
        <v>0.46875</v>
      </c>
      <c r="J1431" s="41">
        <v>0.21875</v>
      </c>
      <c r="K1431" s="41">
        <v>0.3125</v>
      </c>
      <c r="L1431" s="41">
        <f t="shared" si="2"/>
        <v>0.15625</v>
      </c>
      <c r="M1431" s="74">
        <v>3.593344987</v>
      </c>
    </row>
    <row r="1432">
      <c r="A1432" s="1" t="s">
        <v>263</v>
      </c>
      <c r="B1432" s="38">
        <v>694297.0</v>
      </c>
      <c r="C1432" s="72">
        <v>45830.0</v>
      </c>
      <c r="D1432" s="38">
        <v>80.0</v>
      </c>
      <c r="E1432" s="73">
        <f>IFERROR(__xludf.DUMMYFUNCTION("average(filter('Appearance Sheet'!F:F,'Appearance Sheet'!G:G=B1432,'Appearance Sheet'!A:A=C1432))"),5.0)</f>
        <v>5</v>
      </c>
      <c r="F1432" s="67">
        <v>5.209659583</v>
      </c>
      <c r="G1432" s="40">
        <v>1.531321003</v>
      </c>
      <c r="H1432" s="40">
        <f t="shared" si="1"/>
        <v>2.756377805</v>
      </c>
      <c r="I1432" s="41">
        <v>0.5</v>
      </c>
      <c r="J1432" s="41">
        <v>0.175</v>
      </c>
      <c r="K1432" s="41">
        <v>0.325</v>
      </c>
      <c r="L1432" s="41">
        <f t="shared" si="2"/>
        <v>0.175</v>
      </c>
      <c r="M1432" s="74">
        <v>-0.655183421</v>
      </c>
    </row>
    <row r="1433">
      <c r="A1433" s="1" t="s">
        <v>282</v>
      </c>
      <c r="B1433" s="38">
        <v>656302.0</v>
      </c>
      <c r="C1433" s="72">
        <v>45895.0</v>
      </c>
      <c r="D1433" s="38">
        <v>85.0</v>
      </c>
      <c r="E1433" s="73" t="str">
        <f>IFERROR(__xludf.DUMMYFUNCTION("average(filter('Appearance Sheet'!F:F,'Appearance Sheet'!G:G=B1433,'Appearance Sheet'!A:A=C1433))"),"#N/A")</f>
        <v>#N/A</v>
      </c>
      <c r="F1433" s="67">
        <v>5.209643163</v>
      </c>
      <c r="G1433" s="40">
        <v>1.599987693</v>
      </c>
      <c r="H1433" s="40" t="str">
        <f t="shared" si="1"/>
        <v>#N/A</v>
      </c>
      <c r="I1433" s="41">
        <v>0.447058824</v>
      </c>
      <c r="J1433" s="41">
        <v>0.141176471</v>
      </c>
      <c r="K1433" s="41">
        <v>0.411764706</v>
      </c>
      <c r="L1433" s="41">
        <f t="shared" si="2"/>
        <v>0.035294118</v>
      </c>
      <c r="M1433" s="74">
        <v>-0.631379763</v>
      </c>
    </row>
    <row r="1434">
      <c r="A1434" s="1" t="s">
        <v>179</v>
      </c>
      <c r="B1434" s="38">
        <v>663568.0</v>
      </c>
      <c r="C1434" s="72">
        <v>45860.0</v>
      </c>
      <c r="D1434" s="38">
        <v>80.0</v>
      </c>
      <c r="E1434" s="73" t="str">
        <f>IFERROR(__xludf.DUMMYFUNCTION("average(filter('Appearance Sheet'!F:F,'Appearance Sheet'!G:G=B1434,'Appearance Sheet'!A:A=C1434))"),"#N/A")</f>
        <v>#N/A</v>
      </c>
      <c r="F1434" s="67">
        <v>5.209428914</v>
      </c>
      <c r="G1434" s="40">
        <v>1.540601712</v>
      </c>
      <c r="H1434" s="40" t="str">
        <f t="shared" si="1"/>
        <v>#N/A</v>
      </c>
      <c r="I1434" s="41">
        <v>0.5</v>
      </c>
      <c r="J1434" s="41">
        <v>0.25</v>
      </c>
      <c r="K1434" s="41">
        <v>0.25</v>
      </c>
      <c r="L1434" s="41">
        <f t="shared" si="2"/>
        <v>0.25</v>
      </c>
      <c r="M1434" s="74">
        <v>-2.564738323</v>
      </c>
    </row>
    <row r="1435">
      <c r="A1435" s="1" t="s">
        <v>376</v>
      </c>
      <c r="B1435" s="38">
        <v>668909.0</v>
      </c>
      <c r="C1435" s="72">
        <v>45844.0</v>
      </c>
      <c r="D1435" s="38">
        <v>93.0</v>
      </c>
      <c r="E1435" s="73" t="str">
        <f>IFERROR(__xludf.DUMMYFUNCTION("average(filter('Appearance Sheet'!F:F,'Appearance Sheet'!G:G=B1435,'Appearance Sheet'!A:A=C1435))"),"#N/A")</f>
        <v>#N/A</v>
      </c>
      <c r="F1435" s="67">
        <v>5.209297024</v>
      </c>
      <c r="G1435" s="40">
        <v>1.721883818</v>
      </c>
      <c r="H1435" s="40" t="str">
        <f t="shared" si="1"/>
        <v>#N/A</v>
      </c>
      <c r="I1435" s="41">
        <v>0.494623656</v>
      </c>
      <c r="J1435" s="41">
        <v>0.258064516</v>
      </c>
      <c r="K1435" s="41">
        <v>0.247311828</v>
      </c>
      <c r="L1435" s="41">
        <f t="shared" si="2"/>
        <v>0.247311828</v>
      </c>
      <c r="M1435" s="74">
        <v>4.101620513</v>
      </c>
    </row>
    <row r="1436">
      <c r="A1436" s="1" t="s">
        <v>470</v>
      </c>
      <c r="B1436" s="38">
        <v>681343.0</v>
      </c>
      <c r="C1436" s="72">
        <v>45811.0</v>
      </c>
      <c r="D1436" s="38">
        <v>81.0</v>
      </c>
      <c r="E1436" s="73">
        <f>IFERROR(__xludf.DUMMYFUNCTION("average(filter('Appearance Sheet'!F:F,'Appearance Sheet'!G:G=B1436,'Appearance Sheet'!A:A=C1436))"),5.333333333333333)</f>
        <v>5.333333333</v>
      </c>
      <c r="F1436" s="67">
        <v>5.209257409</v>
      </c>
      <c r="G1436" s="40">
        <v>1.531364127</v>
      </c>
      <c r="H1436" s="40">
        <f t="shared" si="1"/>
        <v>2.584176964</v>
      </c>
      <c r="I1436" s="41">
        <v>0.395061728</v>
      </c>
      <c r="J1436" s="41">
        <v>0.320987654</v>
      </c>
      <c r="K1436" s="41">
        <v>0.283950617</v>
      </c>
      <c r="L1436" s="41">
        <f t="shared" si="2"/>
        <v>0.111111111</v>
      </c>
      <c r="M1436" s="74">
        <v>2.43119597</v>
      </c>
    </row>
    <row r="1437">
      <c r="A1437" s="1" t="s">
        <v>260</v>
      </c>
      <c r="B1437" s="38">
        <v>694462.0</v>
      </c>
      <c r="C1437" s="72">
        <v>45884.0</v>
      </c>
      <c r="D1437" s="38">
        <v>88.0</v>
      </c>
      <c r="E1437" s="73" t="str">
        <f>IFERROR(__xludf.DUMMYFUNCTION("average(filter('Appearance Sheet'!F:F,'Appearance Sheet'!G:G=B1437,'Appearance Sheet'!A:A=C1437))"),"#N/A")</f>
        <v>#N/A</v>
      </c>
      <c r="F1437" s="67">
        <v>5.209217876</v>
      </c>
      <c r="G1437" s="40">
        <v>1.653970647</v>
      </c>
      <c r="H1437" s="40" t="str">
        <f t="shared" si="1"/>
        <v>#N/A</v>
      </c>
      <c r="I1437" s="41">
        <v>0.488636364</v>
      </c>
      <c r="J1437" s="41">
        <v>0.136363636</v>
      </c>
      <c r="K1437" s="41">
        <v>0.375</v>
      </c>
      <c r="L1437" s="41">
        <f t="shared" si="2"/>
        <v>0.113636364</v>
      </c>
      <c r="M1437" s="74">
        <v>3.783725729</v>
      </c>
    </row>
    <row r="1438">
      <c r="A1438" s="1" t="s">
        <v>242</v>
      </c>
      <c r="B1438" s="38">
        <v>669358.0</v>
      </c>
      <c r="C1438" s="72">
        <v>45906.0</v>
      </c>
      <c r="D1438" s="38">
        <v>79.0</v>
      </c>
      <c r="E1438" s="73" t="str">
        <f>IFERROR(__xludf.DUMMYFUNCTION("average(filter('Appearance Sheet'!F:F,'Appearance Sheet'!G:G=B1438,'Appearance Sheet'!A:A=C1438))"),"#N/A")</f>
        <v>#N/A</v>
      </c>
      <c r="F1438" s="67">
        <v>5.209081364</v>
      </c>
      <c r="G1438" s="40">
        <v>1.514699827</v>
      </c>
      <c r="H1438" s="40" t="str">
        <f t="shared" si="1"/>
        <v>#N/A</v>
      </c>
      <c r="I1438" s="41">
        <v>0.518987342</v>
      </c>
      <c r="J1438" s="41">
        <v>0.126582278</v>
      </c>
      <c r="K1438" s="41">
        <v>0.35443038</v>
      </c>
      <c r="L1438" s="41">
        <f t="shared" si="2"/>
        <v>0.164556962</v>
      </c>
      <c r="M1438" s="74">
        <v>-1.12829764</v>
      </c>
    </row>
    <row r="1439">
      <c r="A1439" s="1" t="s">
        <v>55</v>
      </c>
      <c r="B1439" s="38">
        <v>641816.0</v>
      </c>
      <c r="C1439" s="72">
        <v>45800.0</v>
      </c>
      <c r="D1439" s="38">
        <v>87.0</v>
      </c>
      <c r="E1439" s="73">
        <f>IFERROR(__xludf.DUMMYFUNCTION("average(filter('Appearance Sheet'!F:F,'Appearance Sheet'!G:G=B1439,'Appearance Sheet'!A:A=C1439))"),5.0)</f>
        <v>5</v>
      </c>
      <c r="F1439" s="67">
        <v>5.209022389</v>
      </c>
      <c r="G1439" s="40">
        <v>1.646134514</v>
      </c>
      <c r="H1439" s="40">
        <f t="shared" si="1"/>
        <v>2.963042125</v>
      </c>
      <c r="I1439" s="41">
        <v>0.517241379</v>
      </c>
      <c r="J1439" s="41">
        <v>0.114942529</v>
      </c>
      <c r="K1439" s="41">
        <v>0.367816092</v>
      </c>
      <c r="L1439" s="41">
        <f t="shared" si="2"/>
        <v>0.149425287</v>
      </c>
      <c r="M1439" s="74">
        <v>-0.778518564</v>
      </c>
    </row>
    <row r="1440">
      <c r="A1440" s="1" t="s">
        <v>358</v>
      </c>
      <c r="B1440" s="38">
        <v>434378.0</v>
      </c>
      <c r="C1440" s="72">
        <v>45885.0</v>
      </c>
      <c r="D1440" s="38">
        <v>86.0</v>
      </c>
      <c r="E1440" s="73" t="str">
        <f>IFERROR(__xludf.DUMMYFUNCTION("average(filter('Appearance Sheet'!F:F,'Appearance Sheet'!G:G=B1440,'Appearance Sheet'!A:A=C1440))"),"#N/A")</f>
        <v>#N/A</v>
      </c>
      <c r="F1440" s="67">
        <v>5.208927622</v>
      </c>
      <c r="G1440" s="40">
        <v>1.651499486</v>
      </c>
      <c r="H1440" s="40" t="str">
        <f t="shared" si="1"/>
        <v>#N/A</v>
      </c>
      <c r="I1440" s="41">
        <v>0.488372093</v>
      </c>
      <c r="J1440" s="41">
        <v>0.186046512</v>
      </c>
      <c r="K1440" s="41">
        <v>0.325581395</v>
      </c>
      <c r="L1440" s="41">
        <f t="shared" si="2"/>
        <v>0.162790698</v>
      </c>
      <c r="M1440" s="74">
        <v>3.500682229</v>
      </c>
    </row>
    <row r="1441">
      <c r="A1441" s="1" t="s">
        <v>282</v>
      </c>
      <c r="B1441" s="38">
        <v>656302.0</v>
      </c>
      <c r="C1441" s="72">
        <v>45901.0</v>
      </c>
      <c r="D1441" s="38">
        <v>85.0</v>
      </c>
      <c r="E1441" s="73" t="str">
        <f>IFERROR(__xludf.DUMMYFUNCTION("average(filter('Appearance Sheet'!F:F,'Appearance Sheet'!G:G=B1441,'Appearance Sheet'!A:A=C1441))"),"#N/A")</f>
        <v>#N/A</v>
      </c>
      <c r="F1441" s="67">
        <v>5.208694892</v>
      </c>
      <c r="G1441" s="40">
        <v>1.572370177</v>
      </c>
      <c r="H1441" s="40" t="str">
        <f t="shared" si="1"/>
        <v>#N/A</v>
      </c>
      <c r="I1441" s="41">
        <v>0.529411765</v>
      </c>
      <c r="J1441" s="41">
        <v>0.152941176</v>
      </c>
      <c r="K1441" s="41">
        <v>0.317647059</v>
      </c>
      <c r="L1441" s="41">
        <f t="shared" si="2"/>
        <v>0.211764706</v>
      </c>
      <c r="M1441" s="74">
        <v>-0.591687888</v>
      </c>
    </row>
    <row r="1442">
      <c r="A1442" s="1" t="s">
        <v>453</v>
      </c>
      <c r="B1442" s="38">
        <v>592836.0</v>
      </c>
      <c r="C1442" s="72">
        <v>45913.0</v>
      </c>
      <c r="D1442" s="38">
        <v>81.0</v>
      </c>
      <c r="E1442" s="73" t="str">
        <f>IFERROR(__xludf.DUMMYFUNCTION("average(filter('Appearance Sheet'!F:F,'Appearance Sheet'!G:G=B1442,'Appearance Sheet'!A:A=C1442))"),"#N/A")</f>
        <v>#N/A</v>
      </c>
      <c r="F1442" s="67">
        <v>5.208336345</v>
      </c>
      <c r="G1442" s="40">
        <v>1.518970271</v>
      </c>
      <c r="H1442" s="40" t="str">
        <f t="shared" si="1"/>
        <v>#N/A</v>
      </c>
      <c r="I1442" s="41">
        <v>0.580246914</v>
      </c>
      <c r="J1442" s="41">
        <v>0.12345679</v>
      </c>
      <c r="K1442" s="41">
        <v>0.296296296</v>
      </c>
      <c r="L1442" s="41">
        <f t="shared" si="2"/>
        <v>0.283950618</v>
      </c>
      <c r="M1442" s="74">
        <v>-1.757694533</v>
      </c>
    </row>
    <row r="1443">
      <c r="A1443" s="1" t="s">
        <v>105</v>
      </c>
      <c r="B1443" s="38">
        <v>624133.0</v>
      </c>
      <c r="C1443" s="72">
        <v>45826.0</v>
      </c>
      <c r="D1443" s="38">
        <v>94.0</v>
      </c>
      <c r="E1443" s="73">
        <f>IFERROR(__xludf.DUMMYFUNCTION("average(filter('Appearance Sheet'!F:F,'Appearance Sheet'!G:G=B1443,'Appearance Sheet'!A:A=C1443))"),7.0)</f>
        <v>7</v>
      </c>
      <c r="F1443" s="67">
        <v>5.208221022</v>
      </c>
      <c r="G1443" s="40">
        <v>1.807481551</v>
      </c>
      <c r="H1443" s="40">
        <f t="shared" si="1"/>
        <v>2.323904851</v>
      </c>
      <c r="I1443" s="41">
        <v>0.478723404</v>
      </c>
      <c r="J1443" s="41">
        <v>0.212765957</v>
      </c>
      <c r="K1443" s="41">
        <v>0.308510638</v>
      </c>
      <c r="L1443" s="41">
        <f t="shared" si="2"/>
        <v>0.170212766</v>
      </c>
      <c r="M1443" s="74">
        <v>2.901335513</v>
      </c>
    </row>
    <row r="1444">
      <c r="A1444" s="1" t="s">
        <v>306</v>
      </c>
      <c r="B1444" s="38">
        <v>677944.0</v>
      </c>
      <c r="C1444" s="72">
        <v>45891.0</v>
      </c>
      <c r="D1444" s="38">
        <v>90.0</v>
      </c>
      <c r="E1444" s="73" t="str">
        <f>IFERROR(__xludf.DUMMYFUNCTION("average(filter('Appearance Sheet'!F:F,'Appearance Sheet'!G:G=B1444,'Appearance Sheet'!A:A=C1444))"),"#N/A")</f>
        <v>#N/A</v>
      </c>
      <c r="F1444" s="67">
        <v>5.207778184</v>
      </c>
      <c r="G1444" s="40">
        <v>1.698576446</v>
      </c>
      <c r="H1444" s="40" t="str">
        <f t="shared" si="1"/>
        <v>#N/A</v>
      </c>
      <c r="I1444" s="41">
        <v>0.466666667</v>
      </c>
      <c r="J1444" s="41">
        <v>0.188888889</v>
      </c>
      <c r="K1444" s="41">
        <v>0.344444444</v>
      </c>
      <c r="L1444" s="41">
        <f t="shared" si="2"/>
        <v>0.122222223</v>
      </c>
      <c r="M1444" s="74">
        <v>1.721675992</v>
      </c>
    </row>
    <row r="1445">
      <c r="A1445" s="1" t="s">
        <v>434</v>
      </c>
      <c r="B1445" s="38">
        <v>690990.0</v>
      </c>
      <c r="C1445" s="72">
        <v>45793.0</v>
      </c>
      <c r="D1445" s="38">
        <v>78.0</v>
      </c>
      <c r="E1445" s="73">
        <f>IFERROR(__xludf.DUMMYFUNCTION("average(filter('Appearance Sheet'!F:F,'Appearance Sheet'!G:G=B1445,'Appearance Sheet'!A:A=C1445))"),5.0)</f>
        <v>5</v>
      </c>
      <c r="F1445" s="67">
        <v>5.207758403</v>
      </c>
      <c r="G1445" s="40">
        <v>1.485895094</v>
      </c>
      <c r="H1445" s="40">
        <f t="shared" si="1"/>
        <v>2.674611169</v>
      </c>
      <c r="I1445" s="41">
        <v>0.423076923</v>
      </c>
      <c r="J1445" s="41">
        <v>0.320512821</v>
      </c>
      <c r="K1445" s="41">
        <v>0.256410256</v>
      </c>
      <c r="L1445" s="41">
        <f t="shared" si="2"/>
        <v>0.166666667</v>
      </c>
      <c r="M1445" s="74">
        <v>-2.109395744</v>
      </c>
    </row>
    <row r="1446">
      <c r="A1446" s="1" t="s">
        <v>302</v>
      </c>
      <c r="B1446" s="38">
        <v>681190.0</v>
      </c>
      <c r="C1446" s="72">
        <v>45798.0</v>
      </c>
      <c r="D1446" s="38">
        <v>71.0</v>
      </c>
      <c r="E1446" s="73">
        <f>IFERROR(__xludf.DUMMYFUNCTION("average(filter('Appearance Sheet'!F:F,'Appearance Sheet'!G:G=B1446,'Appearance Sheet'!A:A=C1446))"),4.666666666666667)</f>
        <v>4.666666667</v>
      </c>
      <c r="F1446" s="67">
        <v>5.207716041</v>
      </c>
      <c r="G1446" s="40">
        <v>1.362334835</v>
      </c>
      <c r="H1446" s="40">
        <f t="shared" si="1"/>
        <v>2.627360039</v>
      </c>
      <c r="I1446" s="41">
        <v>0.478873239</v>
      </c>
      <c r="J1446" s="41">
        <v>0.169014085</v>
      </c>
      <c r="K1446" s="41">
        <v>0.352112676</v>
      </c>
      <c r="L1446" s="41">
        <f t="shared" si="2"/>
        <v>0.126760563</v>
      </c>
      <c r="M1446" s="74">
        <v>0.068794546</v>
      </c>
    </row>
    <row r="1447">
      <c r="A1447" s="1" t="s">
        <v>384</v>
      </c>
      <c r="B1447" s="38">
        <v>666214.0</v>
      </c>
      <c r="C1447" s="72">
        <v>45920.0</v>
      </c>
      <c r="D1447" s="38">
        <v>78.0</v>
      </c>
      <c r="E1447" s="73" t="str">
        <f>IFERROR(__xludf.DUMMYFUNCTION("average(filter('Appearance Sheet'!F:F,'Appearance Sheet'!G:G=B1447,'Appearance Sheet'!A:A=C1447))"),"#N/A")</f>
        <v>#N/A</v>
      </c>
      <c r="F1447" s="67">
        <v>5.207440833</v>
      </c>
      <c r="G1447" s="40">
        <v>1.462236899</v>
      </c>
      <c r="H1447" s="40" t="str">
        <f t="shared" si="1"/>
        <v>#N/A</v>
      </c>
      <c r="I1447" s="41">
        <v>0.538461538</v>
      </c>
      <c r="J1447" s="41">
        <v>0.076923077</v>
      </c>
      <c r="K1447" s="41">
        <v>0.384615385</v>
      </c>
      <c r="L1447" s="41">
        <f t="shared" si="2"/>
        <v>0.153846153</v>
      </c>
      <c r="M1447" s="74">
        <v>-1.142952491</v>
      </c>
    </row>
    <row r="1448">
      <c r="A1448" s="1" t="s">
        <v>88</v>
      </c>
      <c r="B1448" s="38">
        <v>694973.0</v>
      </c>
      <c r="C1448" s="72">
        <v>45893.0</v>
      </c>
      <c r="D1448" s="38">
        <v>98.0</v>
      </c>
      <c r="E1448" s="73" t="str">
        <f>IFERROR(__xludf.DUMMYFUNCTION("average(filter('Appearance Sheet'!F:F,'Appearance Sheet'!G:G=B1448,'Appearance Sheet'!A:A=C1448))"),"#N/A")</f>
        <v>#N/A</v>
      </c>
      <c r="F1448" s="67">
        <v>5.207332762</v>
      </c>
      <c r="G1448" s="40">
        <v>1.824278944</v>
      </c>
      <c r="H1448" s="40" t="str">
        <f t="shared" si="1"/>
        <v>#N/A</v>
      </c>
      <c r="I1448" s="41">
        <v>0.530612245</v>
      </c>
      <c r="J1448" s="41">
        <v>0.12244898</v>
      </c>
      <c r="K1448" s="41">
        <v>0.346938776</v>
      </c>
      <c r="L1448" s="41">
        <f t="shared" si="2"/>
        <v>0.183673469</v>
      </c>
      <c r="M1448" s="74">
        <v>2.511796891</v>
      </c>
    </row>
    <row r="1449">
      <c r="A1449" s="1" t="s">
        <v>179</v>
      </c>
      <c r="B1449" s="38">
        <v>663568.0</v>
      </c>
      <c r="C1449" s="72">
        <v>45906.0</v>
      </c>
      <c r="D1449" s="38">
        <v>93.0</v>
      </c>
      <c r="E1449" s="73" t="str">
        <f>IFERROR(__xludf.DUMMYFUNCTION("average(filter('Appearance Sheet'!F:F,'Appearance Sheet'!G:G=B1449,'Appearance Sheet'!A:A=C1449))"),"#N/A")</f>
        <v>#N/A</v>
      </c>
      <c r="F1449" s="67">
        <v>5.207230324</v>
      </c>
      <c r="G1449" s="40">
        <v>1.821044392</v>
      </c>
      <c r="H1449" s="40" t="str">
        <f t="shared" si="1"/>
        <v>#N/A</v>
      </c>
      <c r="I1449" s="41">
        <v>0.462365591</v>
      </c>
      <c r="J1449" s="41">
        <v>0.247311828</v>
      </c>
      <c r="K1449" s="41">
        <v>0.290322581</v>
      </c>
      <c r="L1449" s="41">
        <f t="shared" si="2"/>
        <v>0.17204301</v>
      </c>
      <c r="M1449" s="74">
        <v>0.331325979</v>
      </c>
    </row>
    <row r="1450">
      <c r="A1450" s="1" t="s">
        <v>145</v>
      </c>
      <c r="B1450" s="38">
        <v>700241.0</v>
      </c>
      <c r="C1450" s="72">
        <v>45905.0</v>
      </c>
      <c r="D1450" s="38">
        <v>74.0</v>
      </c>
      <c r="E1450" s="73" t="str">
        <f>IFERROR(__xludf.DUMMYFUNCTION("average(filter('Appearance Sheet'!F:F,'Appearance Sheet'!G:G=B1450,'Appearance Sheet'!A:A=C1450))"),"#N/A")</f>
        <v>#N/A</v>
      </c>
      <c r="F1450" s="67">
        <v>5.207070455</v>
      </c>
      <c r="G1450" s="40">
        <v>1.456872223</v>
      </c>
      <c r="H1450" s="40" t="str">
        <f t="shared" si="1"/>
        <v>#N/A</v>
      </c>
      <c r="I1450" s="41">
        <v>0.418918919</v>
      </c>
      <c r="J1450" s="41">
        <v>0.256756757</v>
      </c>
      <c r="K1450" s="41">
        <v>0.324324324</v>
      </c>
      <c r="L1450" s="41">
        <f t="shared" si="2"/>
        <v>0.094594595</v>
      </c>
      <c r="M1450" s="74">
        <v>-4.134445337</v>
      </c>
    </row>
    <row r="1451">
      <c r="A1451" s="1" t="s">
        <v>191</v>
      </c>
      <c r="B1451" s="38">
        <v>687064.0</v>
      </c>
      <c r="C1451" s="72">
        <v>45890.0</v>
      </c>
      <c r="D1451" s="38">
        <v>83.0</v>
      </c>
      <c r="E1451" s="73" t="str">
        <f>IFERROR(__xludf.DUMMYFUNCTION("average(filter('Appearance Sheet'!F:F,'Appearance Sheet'!G:G=B1451,'Appearance Sheet'!A:A=C1451))"),"#N/A")</f>
        <v>#N/A</v>
      </c>
      <c r="F1451" s="67">
        <v>5.207058285</v>
      </c>
      <c r="G1451" s="40">
        <v>1.594036742</v>
      </c>
      <c r="H1451" s="40" t="str">
        <f t="shared" si="1"/>
        <v>#N/A</v>
      </c>
      <c r="I1451" s="41">
        <v>0.518072289</v>
      </c>
      <c r="J1451" s="41">
        <v>0.120481928</v>
      </c>
      <c r="K1451" s="41">
        <v>0.361445783</v>
      </c>
      <c r="L1451" s="41">
        <f t="shared" si="2"/>
        <v>0.156626506</v>
      </c>
      <c r="M1451" s="74">
        <v>-4.651238457</v>
      </c>
    </row>
    <row r="1452">
      <c r="A1452" s="1" t="s">
        <v>177</v>
      </c>
      <c r="B1452" s="38">
        <v>641793.0</v>
      </c>
      <c r="C1452" s="72">
        <v>45879.0</v>
      </c>
      <c r="D1452" s="38">
        <v>80.0</v>
      </c>
      <c r="E1452" s="73" t="str">
        <f>IFERROR(__xludf.DUMMYFUNCTION("average(filter('Appearance Sheet'!F:F,'Appearance Sheet'!G:G=B1452,'Appearance Sheet'!A:A=C1452))"),"#N/A")</f>
        <v>#N/A</v>
      </c>
      <c r="F1452" s="67">
        <v>5.206741284</v>
      </c>
      <c r="G1452" s="40">
        <v>1.540815798</v>
      </c>
      <c r="H1452" s="40" t="str">
        <f t="shared" si="1"/>
        <v>#N/A</v>
      </c>
      <c r="I1452" s="41">
        <v>0.5375</v>
      </c>
      <c r="J1452" s="41">
        <v>0.15</v>
      </c>
      <c r="K1452" s="41">
        <v>0.3125</v>
      </c>
      <c r="L1452" s="41">
        <f t="shared" si="2"/>
        <v>0.225</v>
      </c>
      <c r="M1452" s="74">
        <v>-3.029444408</v>
      </c>
    </row>
    <row r="1453">
      <c r="A1453" s="1" t="s">
        <v>263</v>
      </c>
      <c r="B1453" s="38">
        <v>694297.0</v>
      </c>
      <c r="C1453" s="72">
        <v>45847.0</v>
      </c>
      <c r="D1453" s="38">
        <v>98.0</v>
      </c>
      <c r="E1453" s="73" t="str">
        <f>IFERROR(__xludf.DUMMYFUNCTION("average(filter('Appearance Sheet'!F:F,'Appearance Sheet'!G:G=B1453,'Appearance Sheet'!A:A=C1453))"),"#N/A")</f>
        <v>#N/A</v>
      </c>
      <c r="F1453" s="67">
        <v>5.206721831</v>
      </c>
      <c r="G1453" s="40">
        <v>1.861664021</v>
      </c>
      <c r="H1453" s="40" t="str">
        <f t="shared" si="1"/>
        <v>#N/A</v>
      </c>
      <c r="I1453" s="41">
        <v>0.448979592</v>
      </c>
      <c r="J1453" s="41">
        <v>0.153061224</v>
      </c>
      <c r="K1453" s="41">
        <v>0.397959184</v>
      </c>
      <c r="L1453" s="41">
        <f t="shared" si="2"/>
        <v>0.051020408</v>
      </c>
      <c r="M1453" s="74">
        <v>1.727861672</v>
      </c>
    </row>
    <row r="1454">
      <c r="A1454" s="1" t="s">
        <v>166</v>
      </c>
      <c r="B1454" s="38">
        <v>608331.0</v>
      </c>
      <c r="C1454" s="72">
        <v>45918.0</v>
      </c>
      <c r="D1454" s="38">
        <v>85.0</v>
      </c>
      <c r="E1454" s="73" t="str">
        <f>IFERROR(__xludf.DUMMYFUNCTION("average(filter('Appearance Sheet'!F:F,'Appearance Sheet'!G:G=B1454,'Appearance Sheet'!A:A=C1454))"),"#N/A")</f>
        <v>#N/A</v>
      </c>
      <c r="F1454" s="67">
        <v>5.206669933</v>
      </c>
      <c r="G1454" s="40">
        <v>1.628385705</v>
      </c>
      <c r="H1454" s="40" t="str">
        <f t="shared" si="1"/>
        <v>#N/A</v>
      </c>
      <c r="I1454" s="41">
        <v>0.470588235</v>
      </c>
      <c r="J1454" s="41">
        <v>0.188235294</v>
      </c>
      <c r="K1454" s="41">
        <v>0.341176471</v>
      </c>
      <c r="L1454" s="41">
        <f t="shared" si="2"/>
        <v>0.129411764</v>
      </c>
      <c r="M1454" s="74">
        <v>1.618400637</v>
      </c>
    </row>
    <row r="1455">
      <c r="A1455" s="1" t="s">
        <v>410</v>
      </c>
      <c r="B1455" s="38">
        <v>678394.0</v>
      </c>
      <c r="C1455" s="72">
        <v>45851.0</v>
      </c>
      <c r="D1455" s="38">
        <v>103.0</v>
      </c>
      <c r="E1455" s="73" t="str">
        <f>IFERROR(__xludf.DUMMYFUNCTION("average(filter('Appearance Sheet'!F:F,'Appearance Sheet'!G:G=B1455,'Appearance Sheet'!A:A=C1455))"),"#N/A")</f>
        <v>#N/A</v>
      </c>
      <c r="F1455" s="67">
        <v>5.206528931</v>
      </c>
      <c r="G1455" s="40">
        <v>1.947533904</v>
      </c>
      <c r="H1455" s="40" t="str">
        <f t="shared" si="1"/>
        <v>#N/A</v>
      </c>
      <c r="I1455" s="41">
        <v>0.466019417</v>
      </c>
      <c r="J1455" s="41">
        <v>0.242718447</v>
      </c>
      <c r="K1455" s="41">
        <v>0.291262136</v>
      </c>
      <c r="L1455" s="41">
        <f t="shared" si="2"/>
        <v>0.174757281</v>
      </c>
      <c r="M1455" s="74">
        <v>1.094702449</v>
      </c>
    </row>
    <row r="1456">
      <c r="A1456" s="1" t="s">
        <v>263</v>
      </c>
      <c r="B1456" s="38">
        <v>694297.0</v>
      </c>
      <c r="C1456" s="72">
        <v>45745.0</v>
      </c>
      <c r="D1456" s="38">
        <v>74.0</v>
      </c>
      <c r="E1456" s="73">
        <f>IFERROR(__xludf.DUMMYFUNCTION("average(filter('Appearance Sheet'!F:F,'Appearance Sheet'!G:G=B1456,'Appearance Sheet'!A:A=C1456))"),6.0)</f>
        <v>6</v>
      </c>
      <c r="F1456" s="67">
        <v>5.206160659</v>
      </c>
      <c r="G1456" s="40">
        <v>1.434094054</v>
      </c>
      <c r="H1456" s="40">
        <f t="shared" si="1"/>
        <v>2.151141081</v>
      </c>
      <c r="I1456" s="41">
        <v>0.486486486</v>
      </c>
      <c r="J1456" s="41">
        <v>0.256756757</v>
      </c>
      <c r="K1456" s="41">
        <v>0.256756757</v>
      </c>
      <c r="L1456" s="41">
        <f t="shared" si="2"/>
        <v>0.229729729</v>
      </c>
      <c r="M1456" s="74">
        <v>-1.32958637</v>
      </c>
    </row>
    <row r="1457">
      <c r="A1457" s="1" t="s">
        <v>366</v>
      </c>
      <c r="B1457" s="38">
        <v>656550.0</v>
      </c>
      <c r="C1457" s="72">
        <v>45801.0</v>
      </c>
      <c r="D1457" s="38">
        <v>90.0</v>
      </c>
      <c r="E1457" s="73">
        <f>IFERROR(__xludf.DUMMYFUNCTION("average(filter('Appearance Sheet'!F:F,'Appearance Sheet'!G:G=B1457,'Appearance Sheet'!A:A=C1457))"),7.0)</f>
        <v>7</v>
      </c>
      <c r="F1457" s="67">
        <v>5.206074819</v>
      </c>
      <c r="G1457" s="40">
        <v>1.719304505</v>
      </c>
      <c r="H1457" s="40">
        <f t="shared" si="1"/>
        <v>2.210534364</v>
      </c>
      <c r="I1457" s="41">
        <v>0.511111111</v>
      </c>
      <c r="J1457" s="41">
        <v>0.266666667</v>
      </c>
      <c r="K1457" s="41">
        <v>0.222222222</v>
      </c>
      <c r="L1457" s="41">
        <f t="shared" si="2"/>
        <v>0.288888889</v>
      </c>
      <c r="M1457" s="74">
        <v>-1.084491246</v>
      </c>
    </row>
    <row r="1458">
      <c r="A1458" s="1" t="s">
        <v>278</v>
      </c>
      <c r="B1458" s="38">
        <v>542881.0</v>
      </c>
      <c r="C1458" s="72">
        <v>45859.0</v>
      </c>
      <c r="D1458" s="38">
        <v>81.0</v>
      </c>
      <c r="E1458" s="73" t="str">
        <f>IFERROR(__xludf.DUMMYFUNCTION("average(filter('Appearance Sheet'!F:F,'Appearance Sheet'!G:G=B1458,'Appearance Sheet'!A:A=C1458))"),"#N/A")</f>
        <v>#N/A</v>
      </c>
      <c r="F1458" s="67">
        <v>5.206058684</v>
      </c>
      <c r="G1458" s="40">
        <v>1.561544888</v>
      </c>
      <c r="H1458" s="40" t="str">
        <f t="shared" si="1"/>
        <v>#N/A</v>
      </c>
      <c r="I1458" s="41">
        <v>0.567901235</v>
      </c>
      <c r="J1458" s="41">
        <v>0.098765432</v>
      </c>
      <c r="K1458" s="41">
        <v>0.333333333</v>
      </c>
      <c r="L1458" s="41">
        <f t="shared" si="2"/>
        <v>0.234567902</v>
      </c>
      <c r="M1458" s="74">
        <v>0.735832638</v>
      </c>
    </row>
    <row r="1459">
      <c r="A1459" s="1" t="s">
        <v>416</v>
      </c>
      <c r="B1459" s="38">
        <v>608337.0</v>
      </c>
      <c r="C1459" s="72">
        <v>45895.0</v>
      </c>
      <c r="D1459" s="38">
        <v>98.0</v>
      </c>
      <c r="E1459" s="73" t="str">
        <f>IFERROR(__xludf.DUMMYFUNCTION("average(filter('Appearance Sheet'!F:F,'Appearance Sheet'!G:G=B1459,'Appearance Sheet'!A:A=C1459))"),"#N/A")</f>
        <v>#N/A</v>
      </c>
      <c r="F1459" s="67">
        <v>5.205764174</v>
      </c>
      <c r="G1459" s="40">
        <v>1.851150042</v>
      </c>
      <c r="H1459" s="40" t="str">
        <f t="shared" si="1"/>
        <v>#N/A</v>
      </c>
      <c r="I1459" s="41">
        <v>0.448979592</v>
      </c>
      <c r="J1459" s="41">
        <v>0.193877551</v>
      </c>
      <c r="K1459" s="41">
        <v>0.357142857</v>
      </c>
      <c r="L1459" s="41">
        <f t="shared" si="2"/>
        <v>0.091836735</v>
      </c>
      <c r="M1459" s="74">
        <v>2.128024408</v>
      </c>
    </row>
    <row r="1460">
      <c r="A1460" s="1" t="s">
        <v>575</v>
      </c>
      <c r="B1460" s="38">
        <v>687075.0</v>
      </c>
      <c r="C1460" s="72">
        <v>45913.0</v>
      </c>
      <c r="D1460" s="38">
        <v>70.0</v>
      </c>
      <c r="E1460" s="73" t="str">
        <f>IFERROR(__xludf.DUMMYFUNCTION("average(filter('Appearance Sheet'!F:F,'Appearance Sheet'!G:G=B1460,'Appearance Sheet'!A:A=C1460))"),"#N/A")</f>
        <v>#N/A</v>
      </c>
      <c r="F1460" s="67">
        <v>5.205739435</v>
      </c>
      <c r="G1460" s="40">
        <v>1.356212693</v>
      </c>
      <c r="H1460" s="40" t="str">
        <f t="shared" si="1"/>
        <v>#N/A</v>
      </c>
      <c r="I1460" s="41">
        <v>0.542857143</v>
      </c>
      <c r="J1460" s="41">
        <v>0.2</v>
      </c>
      <c r="K1460" s="41">
        <v>0.257142857</v>
      </c>
      <c r="L1460" s="41">
        <f t="shared" si="2"/>
        <v>0.285714286</v>
      </c>
      <c r="M1460" s="74">
        <v>-0.655127029</v>
      </c>
    </row>
    <row r="1461">
      <c r="A1461" s="1" t="s">
        <v>421</v>
      </c>
      <c r="B1461" s="38">
        <v>607192.0</v>
      </c>
      <c r="C1461" s="72">
        <v>45886.0</v>
      </c>
      <c r="D1461" s="38">
        <v>90.0</v>
      </c>
      <c r="E1461" s="73" t="str">
        <f>IFERROR(__xludf.DUMMYFUNCTION("average(filter('Appearance Sheet'!F:F,'Appearance Sheet'!G:G=B1461,'Appearance Sheet'!A:A=C1461))"),"#N/A")</f>
        <v>#N/A</v>
      </c>
      <c r="F1461" s="67">
        <v>5.205013816</v>
      </c>
      <c r="G1461" s="40">
        <v>1.678851055</v>
      </c>
      <c r="H1461" s="40" t="str">
        <f t="shared" si="1"/>
        <v>#N/A</v>
      </c>
      <c r="I1461" s="41">
        <v>0.455555556</v>
      </c>
      <c r="J1461" s="41">
        <v>0.277777778</v>
      </c>
      <c r="K1461" s="41">
        <v>0.266666667</v>
      </c>
      <c r="L1461" s="41">
        <f t="shared" si="2"/>
        <v>0.188888889</v>
      </c>
      <c r="M1461" s="74">
        <v>-0.864156889</v>
      </c>
    </row>
    <row r="1462">
      <c r="A1462" s="1" t="s">
        <v>105</v>
      </c>
      <c r="B1462" s="38">
        <v>624133.0</v>
      </c>
      <c r="C1462" s="72">
        <v>45898.0</v>
      </c>
      <c r="D1462" s="38">
        <v>92.0</v>
      </c>
      <c r="E1462" s="73" t="str">
        <f>IFERROR(__xludf.DUMMYFUNCTION("average(filter('Appearance Sheet'!F:F,'Appearance Sheet'!G:G=B1462,'Appearance Sheet'!A:A=C1462))"),"#N/A")</f>
        <v>#N/A</v>
      </c>
      <c r="F1462" s="67">
        <v>5.205003783</v>
      </c>
      <c r="G1462" s="40">
        <v>1.733241663</v>
      </c>
      <c r="H1462" s="40" t="str">
        <f t="shared" si="1"/>
        <v>#N/A</v>
      </c>
      <c r="I1462" s="41">
        <v>0.52173913</v>
      </c>
      <c r="J1462" s="41">
        <v>0.163043478</v>
      </c>
      <c r="K1462" s="41">
        <v>0.315217391</v>
      </c>
      <c r="L1462" s="41">
        <f t="shared" si="2"/>
        <v>0.206521739</v>
      </c>
      <c r="M1462" s="74">
        <v>-4.0969981</v>
      </c>
    </row>
    <row r="1463">
      <c r="A1463" s="1" t="s">
        <v>195</v>
      </c>
      <c r="B1463" s="38">
        <v>668678.0</v>
      </c>
      <c r="C1463" s="72">
        <v>45865.0</v>
      </c>
      <c r="D1463" s="38">
        <v>83.0</v>
      </c>
      <c r="E1463" s="73" t="str">
        <f>IFERROR(__xludf.DUMMYFUNCTION("average(filter('Appearance Sheet'!F:F,'Appearance Sheet'!G:G=B1463,'Appearance Sheet'!A:A=C1463))"),"#N/A")</f>
        <v>#N/A</v>
      </c>
      <c r="F1463" s="67">
        <v>5.204247041</v>
      </c>
      <c r="G1463" s="40">
        <v>1.598236593</v>
      </c>
      <c r="H1463" s="40" t="str">
        <f t="shared" si="1"/>
        <v>#N/A</v>
      </c>
      <c r="I1463" s="41">
        <v>0.493975904</v>
      </c>
      <c r="J1463" s="41">
        <v>0.240963855</v>
      </c>
      <c r="K1463" s="41">
        <v>0.265060241</v>
      </c>
      <c r="L1463" s="41">
        <f t="shared" si="2"/>
        <v>0.228915663</v>
      </c>
      <c r="M1463" s="74">
        <v>0.534462888</v>
      </c>
    </row>
    <row r="1464">
      <c r="A1464" s="1" t="s">
        <v>67</v>
      </c>
      <c r="B1464" s="38">
        <v>684007.0</v>
      </c>
      <c r="C1464" s="72">
        <v>45890.0</v>
      </c>
      <c r="D1464" s="38">
        <v>96.0</v>
      </c>
      <c r="E1464" s="73" t="str">
        <f>IFERROR(__xludf.DUMMYFUNCTION("average(filter('Appearance Sheet'!F:F,'Appearance Sheet'!G:G=B1464,'Appearance Sheet'!A:A=C1464))"),"#N/A")</f>
        <v>#N/A</v>
      </c>
      <c r="F1464" s="67">
        <v>5.204111818</v>
      </c>
      <c r="G1464" s="40">
        <v>1.827496551</v>
      </c>
      <c r="H1464" s="40" t="str">
        <f t="shared" si="1"/>
        <v>#N/A</v>
      </c>
      <c r="I1464" s="41">
        <v>0.53125</v>
      </c>
      <c r="J1464" s="41">
        <v>0.166666667</v>
      </c>
      <c r="K1464" s="41">
        <v>0.302083333</v>
      </c>
      <c r="L1464" s="41">
        <f t="shared" si="2"/>
        <v>0.229166667</v>
      </c>
      <c r="M1464" s="74">
        <v>2.294453223</v>
      </c>
    </row>
    <row r="1465">
      <c r="A1465" s="1" t="s">
        <v>150</v>
      </c>
      <c r="B1465" s="38">
        <v>657746.0</v>
      </c>
      <c r="C1465" s="72">
        <v>45767.0</v>
      </c>
      <c r="D1465" s="38">
        <v>92.0</v>
      </c>
      <c r="E1465" s="73">
        <f>IFERROR(__xludf.DUMMYFUNCTION("average(filter('Appearance Sheet'!F:F,'Appearance Sheet'!G:G=B1465,'Appearance Sheet'!A:A=C1465))"),5.0)</f>
        <v>5</v>
      </c>
      <c r="F1465" s="67">
        <v>5.203980418</v>
      </c>
      <c r="G1465" s="40">
        <v>1.742714504</v>
      </c>
      <c r="H1465" s="40">
        <f t="shared" si="1"/>
        <v>3.136886107</v>
      </c>
      <c r="I1465" s="41">
        <v>0.565217391</v>
      </c>
      <c r="J1465" s="41">
        <v>0.141304348</v>
      </c>
      <c r="K1465" s="41">
        <v>0.293478261</v>
      </c>
      <c r="L1465" s="41">
        <f t="shared" si="2"/>
        <v>0.27173913</v>
      </c>
      <c r="M1465" s="74">
        <v>-2.771364257</v>
      </c>
    </row>
    <row r="1466">
      <c r="A1466" s="1" t="s">
        <v>224</v>
      </c>
      <c r="B1466" s="38">
        <v>686701.0</v>
      </c>
      <c r="C1466" s="72">
        <v>45867.0</v>
      </c>
      <c r="D1466" s="38">
        <v>82.0</v>
      </c>
      <c r="E1466" s="73" t="str">
        <f>IFERROR(__xludf.DUMMYFUNCTION("average(filter('Appearance Sheet'!F:F,'Appearance Sheet'!G:G=B1466,'Appearance Sheet'!A:A=C1466))"),"#N/A")</f>
        <v>#N/A</v>
      </c>
      <c r="F1466" s="67">
        <v>5.203867975</v>
      </c>
      <c r="G1466" s="40">
        <v>1.548765815</v>
      </c>
      <c r="H1466" s="40" t="str">
        <f t="shared" si="1"/>
        <v>#N/A</v>
      </c>
      <c r="I1466" s="41">
        <v>0.475609756</v>
      </c>
      <c r="J1466" s="41">
        <v>0.158536585</v>
      </c>
      <c r="K1466" s="41">
        <v>0.365853659</v>
      </c>
      <c r="L1466" s="41">
        <f t="shared" si="2"/>
        <v>0.109756097</v>
      </c>
      <c r="M1466" s="74">
        <v>1.703349855</v>
      </c>
    </row>
    <row r="1467">
      <c r="A1467" s="1" t="s">
        <v>287</v>
      </c>
      <c r="B1467" s="38">
        <v>571945.0</v>
      </c>
      <c r="C1467" s="72">
        <v>45868.0</v>
      </c>
      <c r="D1467" s="38">
        <v>83.0</v>
      </c>
      <c r="E1467" s="73" t="str">
        <f>IFERROR(__xludf.DUMMYFUNCTION("average(filter('Appearance Sheet'!F:F,'Appearance Sheet'!G:G=B1467,'Appearance Sheet'!A:A=C1467))"),"#N/A")</f>
        <v>#N/A</v>
      </c>
      <c r="F1467" s="67">
        <v>5.203816844</v>
      </c>
      <c r="G1467" s="40">
        <v>1.569417262</v>
      </c>
      <c r="H1467" s="40" t="str">
        <f t="shared" si="1"/>
        <v>#N/A</v>
      </c>
      <c r="I1467" s="41">
        <v>0.469879518</v>
      </c>
      <c r="J1467" s="41">
        <v>0.253012048</v>
      </c>
      <c r="K1467" s="41">
        <v>0.277108434</v>
      </c>
      <c r="L1467" s="41">
        <f t="shared" si="2"/>
        <v>0.192771084</v>
      </c>
      <c r="M1467" s="74">
        <v>0.521630041</v>
      </c>
    </row>
    <row r="1468">
      <c r="A1468" s="1" t="s">
        <v>339</v>
      </c>
      <c r="B1468" s="38">
        <v>686613.0</v>
      </c>
      <c r="C1468" s="72">
        <v>45877.0</v>
      </c>
      <c r="D1468" s="38">
        <v>87.0</v>
      </c>
      <c r="E1468" s="73" t="str">
        <f>IFERROR(__xludf.DUMMYFUNCTION("average(filter('Appearance Sheet'!F:F,'Appearance Sheet'!G:G=B1468,'Appearance Sheet'!A:A=C1468))"),"#N/A")</f>
        <v>#N/A</v>
      </c>
      <c r="F1468" s="67">
        <v>5.203446193</v>
      </c>
      <c r="G1468" s="40">
        <v>1.647849337</v>
      </c>
      <c r="H1468" s="40" t="str">
        <f t="shared" si="1"/>
        <v>#N/A</v>
      </c>
      <c r="I1468" s="41">
        <v>0.471264368</v>
      </c>
      <c r="J1468" s="41">
        <v>0.149425287</v>
      </c>
      <c r="K1468" s="41">
        <v>0.379310345</v>
      </c>
      <c r="L1468" s="41">
        <f t="shared" si="2"/>
        <v>0.091954023</v>
      </c>
      <c r="M1468" s="74">
        <v>0.786748421</v>
      </c>
    </row>
    <row r="1469">
      <c r="A1469" s="1" t="s">
        <v>339</v>
      </c>
      <c r="B1469" s="38">
        <v>686613.0</v>
      </c>
      <c r="C1469" s="72">
        <v>45762.0</v>
      </c>
      <c r="D1469" s="38">
        <v>96.0</v>
      </c>
      <c r="E1469" s="73">
        <f>IFERROR(__xludf.DUMMYFUNCTION("average(filter('Appearance Sheet'!F:F,'Appearance Sheet'!G:G=B1469,'Appearance Sheet'!A:A=C1469))"),6.0)</f>
        <v>6</v>
      </c>
      <c r="F1469" s="67">
        <v>5.203325382</v>
      </c>
      <c r="G1469" s="40">
        <v>1.841892548</v>
      </c>
      <c r="H1469" s="40">
        <f t="shared" si="1"/>
        <v>2.762838822</v>
      </c>
      <c r="I1469" s="41">
        <v>0.46875</v>
      </c>
      <c r="J1469" s="41">
        <v>0.21875</v>
      </c>
      <c r="K1469" s="41">
        <v>0.3125</v>
      </c>
      <c r="L1469" s="41">
        <f t="shared" si="2"/>
        <v>0.15625</v>
      </c>
      <c r="M1469" s="74">
        <v>1.412828093</v>
      </c>
    </row>
    <row r="1470">
      <c r="A1470" s="1" t="s">
        <v>576</v>
      </c>
      <c r="B1470" s="38">
        <v>660761.0</v>
      </c>
      <c r="C1470" s="72">
        <v>45916.0</v>
      </c>
      <c r="D1470" s="38">
        <v>94.0</v>
      </c>
      <c r="E1470" s="73" t="str">
        <f>IFERROR(__xludf.DUMMYFUNCTION("average(filter('Appearance Sheet'!F:F,'Appearance Sheet'!G:G=B1470,'Appearance Sheet'!A:A=C1470))"),"#N/A")</f>
        <v>#N/A</v>
      </c>
      <c r="F1470" s="67">
        <v>5.203303403</v>
      </c>
      <c r="G1470" s="40">
        <v>1.795089248</v>
      </c>
      <c r="H1470" s="40" t="str">
        <f t="shared" si="1"/>
        <v>#N/A</v>
      </c>
      <c r="I1470" s="41">
        <v>0.553191489</v>
      </c>
      <c r="J1470" s="41">
        <v>0.117021277</v>
      </c>
      <c r="K1470" s="41">
        <v>0.329787234</v>
      </c>
      <c r="L1470" s="41">
        <f t="shared" si="2"/>
        <v>0.223404255</v>
      </c>
      <c r="M1470" s="74">
        <v>-0.800697667</v>
      </c>
    </row>
    <row r="1471">
      <c r="A1471" s="1" t="s">
        <v>234</v>
      </c>
      <c r="B1471" s="38">
        <v>690997.0</v>
      </c>
      <c r="C1471" s="72">
        <v>45896.0</v>
      </c>
      <c r="D1471" s="38">
        <v>89.0</v>
      </c>
      <c r="E1471" s="73" t="str">
        <f>IFERROR(__xludf.DUMMYFUNCTION("average(filter('Appearance Sheet'!F:F,'Appearance Sheet'!G:G=B1471,'Appearance Sheet'!A:A=C1471))"),"#N/A")</f>
        <v>#N/A</v>
      </c>
      <c r="F1471" s="67">
        <v>5.203296757</v>
      </c>
      <c r="G1471" s="40">
        <v>1.698667621</v>
      </c>
      <c r="H1471" s="40" t="str">
        <f t="shared" si="1"/>
        <v>#N/A</v>
      </c>
      <c r="I1471" s="41">
        <v>0.494382022</v>
      </c>
      <c r="J1471" s="41">
        <v>0.179775281</v>
      </c>
      <c r="K1471" s="41">
        <v>0.325842697</v>
      </c>
      <c r="L1471" s="41">
        <f t="shared" si="2"/>
        <v>0.168539325</v>
      </c>
      <c r="M1471" s="74">
        <v>3.19339118</v>
      </c>
    </row>
    <row r="1472">
      <c r="A1472" s="1" t="s">
        <v>55</v>
      </c>
      <c r="B1472" s="38">
        <v>641816.0</v>
      </c>
      <c r="C1472" s="72">
        <v>45745.0</v>
      </c>
      <c r="D1472" s="38">
        <v>60.0</v>
      </c>
      <c r="E1472" s="73">
        <f>IFERROR(__xludf.DUMMYFUNCTION("average(filter('Appearance Sheet'!F:F,'Appearance Sheet'!G:G=B1472,'Appearance Sheet'!A:A=C1472))"),1.6666666666666665)</f>
        <v>1.666666667</v>
      </c>
      <c r="F1472" s="67">
        <v>5.202956894</v>
      </c>
      <c r="G1472" s="40">
        <v>1.117223257</v>
      </c>
      <c r="H1472" s="40">
        <f t="shared" si="1"/>
        <v>6.033005588</v>
      </c>
      <c r="I1472" s="41">
        <v>0.483333333</v>
      </c>
      <c r="J1472" s="41">
        <v>0.183333333</v>
      </c>
      <c r="K1472" s="41">
        <v>0.333333333</v>
      </c>
      <c r="L1472" s="41">
        <f t="shared" si="2"/>
        <v>0.15</v>
      </c>
      <c r="M1472" s="74">
        <v>0.762893886</v>
      </c>
    </row>
    <row r="1473">
      <c r="A1473" s="1" t="s">
        <v>222</v>
      </c>
      <c r="B1473" s="38">
        <v>518876.0</v>
      </c>
      <c r="C1473" s="72">
        <v>45801.0</v>
      </c>
      <c r="D1473" s="38">
        <v>98.0</v>
      </c>
      <c r="E1473" s="73">
        <f>IFERROR(__xludf.DUMMYFUNCTION("average(filter('Appearance Sheet'!F:F,'Appearance Sheet'!G:G=B1473,'Appearance Sheet'!A:A=C1473))"),6.0)</f>
        <v>6</v>
      </c>
      <c r="F1473" s="67">
        <v>5.202914858</v>
      </c>
      <c r="G1473" s="40">
        <v>1.812118705</v>
      </c>
      <c r="H1473" s="40">
        <f t="shared" si="1"/>
        <v>2.718178058</v>
      </c>
      <c r="I1473" s="41">
        <v>0.469387755</v>
      </c>
      <c r="J1473" s="41">
        <v>0.173469388</v>
      </c>
      <c r="K1473" s="41">
        <v>0.357142857</v>
      </c>
      <c r="L1473" s="41">
        <f t="shared" si="2"/>
        <v>0.112244898</v>
      </c>
      <c r="M1473" s="74">
        <v>-0.669799819</v>
      </c>
    </row>
    <row r="1474">
      <c r="A1474" s="1" t="s">
        <v>376</v>
      </c>
      <c r="B1474" s="38">
        <v>668909.0</v>
      </c>
      <c r="C1474" s="72">
        <v>45809.0</v>
      </c>
      <c r="D1474" s="38">
        <v>102.0</v>
      </c>
      <c r="E1474" s="73">
        <f>IFERROR(__xludf.DUMMYFUNCTION("average(filter('Appearance Sheet'!F:F,'Appearance Sheet'!G:G=B1474,'Appearance Sheet'!A:A=C1474))"),6.666666666666667)</f>
        <v>6.666666667</v>
      </c>
      <c r="F1474" s="67">
        <v>5.20264853</v>
      </c>
      <c r="G1474" s="40">
        <v>1.923603538</v>
      </c>
      <c r="H1474" s="40">
        <f t="shared" si="1"/>
        <v>2.596864776</v>
      </c>
      <c r="I1474" s="41">
        <v>0.539215686</v>
      </c>
      <c r="J1474" s="41">
        <v>0.137254902</v>
      </c>
      <c r="K1474" s="41">
        <v>0.323529412</v>
      </c>
      <c r="L1474" s="41">
        <f t="shared" si="2"/>
        <v>0.215686274</v>
      </c>
      <c r="M1474" s="74">
        <v>4.287099199</v>
      </c>
    </row>
    <row r="1475">
      <c r="A1475" s="1" t="s">
        <v>79</v>
      </c>
      <c r="B1475" s="38">
        <v>554430.0</v>
      </c>
      <c r="C1475" s="72">
        <v>45770.0</v>
      </c>
      <c r="D1475" s="38">
        <v>107.0</v>
      </c>
      <c r="E1475" s="73">
        <f>IFERROR(__xludf.DUMMYFUNCTION("average(filter('Appearance Sheet'!F:F,'Appearance Sheet'!G:G=B1475,'Appearance Sheet'!A:A=C1475))"),6.0)</f>
        <v>6</v>
      </c>
      <c r="F1475" s="67">
        <v>5.202572966</v>
      </c>
      <c r="G1475" s="40">
        <v>2.016592378</v>
      </c>
      <c r="H1475" s="40">
        <f t="shared" si="1"/>
        <v>3.024888567</v>
      </c>
      <c r="I1475" s="41">
        <v>0.551401869</v>
      </c>
      <c r="J1475" s="41">
        <v>0.112149533</v>
      </c>
      <c r="K1475" s="41">
        <v>0.336448598</v>
      </c>
      <c r="L1475" s="41">
        <f t="shared" si="2"/>
        <v>0.214953271</v>
      </c>
      <c r="M1475" s="74">
        <v>0.794780869</v>
      </c>
    </row>
    <row r="1476">
      <c r="A1476" s="1" t="s">
        <v>79</v>
      </c>
      <c r="B1476" s="38">
        <v>554430.0</v>
      </c>
      <c r="C1476" s="72">
        <v>45760.0</v>
      </c>
      <c r="D1476" s="38">
        <v>86.0</v>
      </c>
      <c r="E1476" s="73">
        <f>IFERROR(__xludf.DUMMYFUNCTION("average(filter('Appearance Sheet'!F:F,'Appearance Sheet'!G:G=B1476,'Appearance Sheet'!A:A=C1476))"),6.0)</f>
        <v>6</v>
      </c>
      <c r="F1476" s="67">
        <v>5.202103643</v>
      </c>
      <c r="G1476" s="40">
        <v>1.667978367</v>
      </c>
      <c r="H1476" s="40">
        <f t="shared" si="1"/>
        <v>2.501967551</v>
      </c>
      <c r="I1476" s="41">
        <v>0.453488372</v>
      </c>
      <c r="J1476" s="41">
        <v>0.197674419</v>
      </c>
      <c r="K1476" s="41">
        <v>0.348837209</v>
      </c>
      <c r="L1476" s="41">
        <f t="shared" si="2"/>
        <v>0.104651163</v>
      </c>
      <c r="M1476" s="74">
        <v>-2.404555444</v>
      </c>
    </row>
    <row r="1477">
      <c r="A1477" s="1" t="s">
        <v>242</v>
      </c>
      <c r="B1477" s="38">
        <v>669358.0</v>
      </c>
      <c r="C1477" s="72">
        <v>45850.0</v>
      </c>
      <c r="D1477" s="38">
        <v>92.0</v>
      </c>
      <c r="E1477" s="73" t="str">
        <f>IFERROR(__xludf.DUMMYFUNCTION("average(filter('Appearance Sheet'!F:F,'Appearance Sheet'!G:G=B1477,'Appearance Sheet'!A:A=C1477))"),"#N/A")</f>
        <v>#N/A</v>
      </c>
      <c r="F1477" s="67">
        <v>5.201902422</v>
      </c>
      <c r="G1477" s="40">
        <v>1.728399604</v>
      </c>
      <c r="H1477" s="40" t="str">
        <f t="shared" si="1"/>
        <v>#N/A</v>
      </c>
      <c r="I1477" s="41">
        <v>0.5</v>
      </c>
      <c r="J1477" s="41">
        <v>0.184782609</v>
      </c>
      <c r="K1477" s="41">
        <v>0.315217391</v>
      </c>
      <c r="L1477" s="41">
        <f t="shared" si="2"/>
        <v>0.184782609</v>
      </c>
      <c r="M1477" s="74">
        <v>-0.292959243</v>
      </c>
    </row>
    <row r="1478">
      <c r="A1478" s="1" t="s">
        <v>577</v>
      </c>
      <c r="B1478" s="38">
        <v>687922.0</v>
      </c>
      <c r="C1478" s="72">
        <v>45755.0</v>
      </c>
      <c r="D1478" s="38">
        <v>79.0</v>
      </c>
      <c r="E1478" s="73">
        <f>IFERROR(__xludf.DUMMYFUNCTION("average(filter('Appearance Sheet'!F:F,'Appearance Sheet'!G:G=B1478,'Appearance Sheet'!A:A=C1478))"),5.333333333333333)</f>
        <v>5.333333333</v>
      </c>
      <c r="F1478" s="67">
        <v>5.201891549</v>
      </c>
      <c r="G1478" s="40">
        <v>1.500845645</v>
      </c>
      <c r="H1478" s="40">
        <f t="shared" si="1"/>
        <v>2.532677026</v>
      </c>
      <c r="I1478" s="41">
        <v>0.481012658</v>
      </c>
      <c r="J1478" s="41">
        <v>0.202531646</v>
      </c>
      <c r="K1478" s="41">
        <v>0.316455696</v>
      </c>
      <c r="L1478" s="41">
        <f t="shared" si="2"/>
        <v>0.164556962</v>
      </c>
      <c r="M1478" s="74">
        <v>1.100455083</v>
      </c>
    </row>
    <row r="1479">
      <c r="A1479" s="1" t="s">
        <v>171</v>
      </c>
      <c r="B1479" s="38">
        <v>665795.0</v>
      </c>
      <c r="C1479" s="72">
        <v>45775.0</v>
      </c>
      <c r="D1479" s="38">
        <v>93.0</v>
      </c>
      <c r="E1479" s="73">
        <f>IFERROR(__xludf.DUMMYFUNCTION("average(filter('Appearance Sheet'!F:F,'Appearance Sheet'!G:G=B1479,'Appearance Sheet'!A:A=C1479))"),4.0)</f>
        <v>4</v>
      </c>
      <c r="F1479" s="67">
        <v>5.201857413</v>
      </c>
      <c r="G1479" s="40">
        <v>1.755336558</v>
      </c>
      <c r="H1479" s="40">
        <f t="shared" si="1"/>
        <v>3.949507256</v>
      </c>
      <c r="I1479" s="41">
        <v>0.569892473</v>
      </c>
      <c r="J1479" s="41">
        <v>0.064516129</v>
      </c>
      <c r="K1479" s="41">
        <v>0.365591398</v>
      </c>
      <c r="L1479" s="41">
        <f t="shared" si="2"/>
        <v>0.204301075</v>
      </c>
      <c r="M1479" s="74">
        <v>-1.789874842</v>
      </c>
    </row>
    <row r="1480">
      <c r="A1480" s="1" t="s">
        <v>195</v>
      </c>
      <c r="B1480" s="38">
        <v>668678.0</v>
      </c>
      <c r="C1480" s="72">
        <v>45882.0</v>
      </c>
      <c r="D1480" s="38">
        <v>96.0</v>
      </c>
      <c r="E1480" s="73" t="str">
        <f>IFERROR(__xludf.DUMMYFUNCTION("average(filter('Appearance Sheet'!F:F,'Appearance Sheet'!G:G=B1480,'Appearance Sheet'!A:A=C1480))"),"#N/A")</f>
        <v>#N/A</v>
      </c>
      <c r="F1480" s="67">
        <v>5.201710078</v>
      </c>
      <c r="G1480" s="40">
        <v>1.788743806</v>
      </c>
      <c r="H1480" s="40" t="str">
        <f t="shared" si="1"/>
        <v>#N/A</v>
      </c>
      <c r="I1480" s="41">
        <v>0.520833333</v>
      </c>
      <c r="J1480" s="41">
        <v>0.104166667</v>
      </c>
      <c r="K1480" s="41">
        <v>0.375</v>
      </c>
      <c r="L1480" s="41">
        <f t="shared" si="2"/>
        <v>0.145833333</v>
      </c>
      <c r="M1480" s="74">
        <v>-0.689932753</v>
      </c>
    </row>
    <row r="1481">
      <c r="A1481" s="1" t="s">
        <v>578</v>
      </c>
      <c r="B1481" s="38">
        <v>592351.0</v>
      </c>
      <c r="C1481" s="72">
        <v>45873.0</v>
      </c>
      <c r="D1481" s="38">
        <v>65.0</v>
      </c>
      <c r="E1481" s="73" t="str">
        <f>IFERROR(__xludf.DUMMYFUNCTION("average(filter('Appearance Sheet'!F:F,'Appearance Sheet'!G:G=B1481,'Appearance Sheet'!A:A=C1481))"),"#N/A")</f>
        <v>#N/A</v>
      </c>
      <c r="F1481" s="67">
        <v>5.201534163</v>
      </c>
      <c r="G1481" s="40">
        <v>1.259431253</v>
      </c>
      <c r="H1481" s="40" t="str">
        <f t="shared" si="1"/>
        <v>#N/A</v>
      </c>
      <c r="I1481" s="41">
        <v>0.446153846</v>
      </c>
      <c r="J1481" s="41">
        <v>0.261538462</v>
      </c>
      <c r="K1481" s="41">
        <v>0.292307692</v>
      </c>
      <c r="L1481" s="41">
        <f t="shared" si="2"/>
        <v>0.153846154</v>
      </c>
      <c r="M1481" s="74">
        <v>1.743715541</v>
      </c>
    </row>
    <row r="1482">
      <c r="A1482" s="1" t="s">
        <v>282</v>
      </c>
      <c r="B1482" s="38">
        <v>656302.0</v>
      </c>
      <c r="C1482" s="72">
        <v>45784.0</v>
      </c>
      <c r="D1482" s="38">
        <v>88.0</v>
      </c>
      <c r="E1482" s="73">
        <f>IFERROR(__xludf.DUMMYFUNCTION("average(filter('Appearance Sheet'!F:F,'Appearance Sheet'!G:G=B1482,'Appearance Sheet'!A:A=C1482))"),6.666666666666667)</f>
        <v>6.666666667</v>
      </c>
      <c r="F1482" s="67">
        <v>5.201477468</v>
      </c>
      <c r="G1482" s="40">
        <v>1.713202574</v>
      </c>
      <c r="H1482" s="40">
        <f t="shared" si="1"/>
        <v>2.312823475</v>
      </c>
      <c r="I1482" s="41">
        <v>0.534090909</v>
      </c>
      <c r="J1482" s="41">
        <v>0.159090909</v>
      </c>
      <c r="K1482" s="41">
        <v>0.306818182</v>
      </c>
      <c r="L1482" s="41">
        <f t="shared" si="2"/>
        <v>0.227272727</v>
      </c>
      <c r="M1482" s="74">
        <v>3.248678118</v>
      </c>
    </row>
    <row r="1483">
      <c r="A1483" s="1" t="s">
        <v>153</v>
      </c>
      <c r="B1483" s="38">
        <v>669302.0</v>
      </c>
      <c r="C1483" s="72">
        <v>45905.0</v>
      </c>
      <c r="D1483" s="38">
        <v>86.0</v>
      </c>
      <c r="E1483" s="73" t="str">
        <f>IFERROR(__xludf.DUMMYFUNCTION("average(filter('Appearance Sheet'!F:F,'Appearance Sheet'!G:G=B1483,'Appearance Sheet'!A:A=C1483))"),"#N/A")</f>
        <v>#N/A</v>
      </c>
      <c r="F1483" s="67">
        <v>5.20138523</v>
      </c>
      <c r="G1483" s="40">
        <v>1.679813794</v>
      </c>
      <c r="H1483" s="40" t="str">
        <f t="shared" si="1"/>
        <v>#N/A</v>
      </c>
      <c r="I1483" s="41">
        <v>0.430232558</v>
      </c>
      <c r="J1483" s="41">
        <v>0.302325581</v>
      </c>
      <c r="K1483" s="41">
        <v>0.26744186</v>
      </c>
      <c r="L1483" s="41">
        <f t="shared" si="2"/>
        <v>0.162790698</v>
      </c>
      <c r="M1483" s="74">
        <v>-0.184493355</v>
      </c>
    </row>
    <row r="1484">
      <c r="A1484" s="1" t="s">
        <v>109</v>
      </c>
      <c r="B1484" s="38">
        <v>601713.0</v>
      </c>
      <c r="C1484" s="72">
        <v>45858.0</v>
      </c>
      <c r="D1484" s="38">
        <v>84.0</v>
      </c>
      <c r="E1484" s="73" t="str">
        <f>IFERROR(__xludf.DUMMYFUNCTION("average(filter('Appearance Sheet'!F:F,'Appearance Sheet'!G:G=B1484,'Appearance Sheet'!A:A=C1484))"),"#N/A")</f>
        <v>#N/A</v>
      </c>
      <c r="F1484" s="67">
        <v>5.200841916</v>
      </c>
      <c r="G1484" s="40">
        <v>1.616822466</v>
      </c>
      <c r="H1484" s="40" t="str">
        <f t="shared" si="1"/>
        <v>#N/A</v>
      </c>
      <c r="I1484" s="41">
        <v>0.44047619</v>
      </c>
      <c r="J1484" s="41">
        <v>0.238095238</v>
      </c>
      <c r="K1484" s="41">
        <v>0.321428571</v>
      </c>
      <c r="L1484" s="41">
        <f t="shared" si="2"/>
        <v>0.119047619</v>
      </c>
      <c r="M1484" s="74">
        <v>2.726335862</v>
      </c>
    </row>
    <row r="1485">
      <c r="A1485" s="1" t="s">
        <v>287</v>
      </c>
      <c r="B1485" s="38">
        <v>571945.0</v>
      </c>
      <c r="C1485" s="72">
        <v>45759.0</v>
      </c>
      <c r="D1485" s="38">
        <v>74.0</v>
      </c>
      <c r="E1485" s="73">
        <f>IFERROR(__xludf.DUMMYFUNCTION("average(filter('Appearance Sheet'!F:F,'Appearance Sheet'!G:G=B1485,'Appearance Sheet'!A:A=C1485))"),5.0)</f>
        <v>5</v>
      </c>
      <c r="F1485" s="67">
        <v>5.20081397</v>
      </c>
      <c r="G1485" s="40">
        <v>1.443370368</v>
      </c>
      <c r="H1485" s="40">
        <f t="shared" si="1"/>
        <v>2.598066662</v>
      </c>
      <c r="I1485" s="41">
        <v>0.445945946</v>
      </c>
      <c r="J1485" s="41">
        <v>0.22972973</v>
      </c>
      <c r="K1485" s="41">
        <v>0.324324324</v>
      </c>
      <c r="L1485" s="41">
        <f t="shared" si="2"/>
        <v>0.121621622</v>
      </c>
      <c r="M1485" s="74">
        <v>2.695677203</v>
      </c>
    </row>
    <row r="1486">
      <c r="A1486" s="1" t="s">
        <v>421</v>
      </c>
      <c r="B1486" s="38">
        <v>607192.0</v>
      </c>
      <c r="C1486" s="72">
        <v>45847.0</v>
      </c>
      <c r="D1486" s="38">
        <v>82.0</v>
      </c>
      <c r="E1486" s="73" t="str">
        <f>IFERROR(__xludf.DUMMYFUNCTION("average(filter('Appearance Sheet'!F:F,'Appearance Sheet'!G:G=B1486,'Appearance Sheet'!A:A=C1486))"),"#N/A")</f>
        <v>#N/A</v>
      </c>
      <c r="F1486" s="67">
        <v>5.200654025</v>
      </c>
      <c r="G1486" s="40">
        <v>1.559932684</v>
      </c>
      <c r="H1486" s="40" t="str">
        <f t="shared" si="1"/>
        <v>#N/A</v>
      </c>
      <c r="I1486" s="41">
        <v>0.524390244</v>
      </c>
      <c r="J1486" s="41">
        <v>0.195121951</v>
      </c>
      <c r="K1486" s="41">
        <v>0.280487805</v>
      </c>
      <c r="L1486" s="41">
        <f t="shared" si="2"/>
        <v>0.243902439</v>
      </c>
      <c r="M1486" s="74">
        <v>3.070854907</v>
      </c>
    </row>
    <row r="1487">
      <c r="A1487" s="1" t="s">
        <v>263</v>
      </c>
      <c r="B1487" s="38">
        <v>694297.0</v>
      </c>
      <c r="C1487" s="72">
        <v>45751.0</v>
      </c>
      <c r="D1487" s="38">
        <v>84.0</v>
      </c>
      <c r="E1487" s="73">
        <f>IFERROR(__xludf.DUMMYFUNCTION("average(filter('Appearance Sheet'!F:F,'Appearance Sheet'!G:G=B1487,'Appearance Sheet'!A:A=C1487))"),6.0)</f>
        <v>6</v>
      </c>
      <c r="F1487" s="67">
        <v>5.200651671</v>
      </c>
      <c r="G1487" s="40">
        <v>1.598105086</v>
      </c>
      <c r="H1487" s="40">
        <f t="shared" si="1"/>
        <v>2.397157629</v>
      </c>
      <c r="I1487" s="41">
        <v>0.476190476</v>
      </c>
      <c r="J1487" s="41">
        <v>0.202380952</v>
      </c>
      <c r="K1487" s="41">
        <v>0.321428571</v>
      </c>
      <c r="L1487" s="41">
        <f t="shared" si="2"/>
        <v>0.154761905</v>
      </c>
      <c r="M1487" s="74">
        <v>-1.618187332</v>
      </c>
    </row>
    <row r="1488">
      <c r="A1488" s="1" t="s">
        <v>180</v>
      </c>
      <c r="B1488" s="38">
        <v>642547.0</v>
      </c>
      <c r="C1488" s="72">
        <v>45765.0</v>
      </c>
      <c r="D1488" s="38">
        <v>89.0</v>
      </c>
      <c r="E1488" s="73">
        <f>IFERROR(__xludf.DUMMYFUNCTION("average(filter('Appearance Sheet'!F:F,'Appearance Sheet'!G:G=B1488,'Appearance Sheet'!A:A=C1488))"),5.0)</f>
        <v>5</v>
      </c>
      <c r="F1488" s="67">
        <v>5.200268915</v>
      </c>
      <c r="G1488" s="40">
        <v>1.666687263</v>
      </c>
      <c r="H1488" s="40">
        <f t="shared" si="1"/>
        <v>3.000037073</v>
      </c>
      <c r="I1488" s="41">
        <v>0.516853933</v>
      </c>
      <c r="J1488" s="41">
        <v>0.06741573</v>
      </c>
      <c r="K1488" s="41">
        <v>0.415730337</v>
      </c>
      <c r="L1488" s="41">
        <f t="shared" si="2"/>
        <v>0.101123596</v>
      </c>
      <c r="M1488" s="74">
        <v>-4.080634756</v>
      </c>
    </row>
    <row r="1489">
      <c r="A1489" s="1" t="s">
        <v>382</v>
      </c>
      <c r="B1489" s="38">
        <v>656288.0</v>
      </c>
      <c r="C1489" s="72">
        <v>45829.0</v>
      </c>
      <c r="D1489" s="38">
        <v>93.0</v>
      </c>
      <c r="E1489" s="73">
        <f>IFERROR(__xludf.DUMMYFUNCTION("average(filter('Appearance Sheet'!F:F,'Appearance Sheet'!G:G=B1489,'Appearance Sheet'!A:A=C1489))"),5.0)</f>
        <v>5</v>
      </c>
      <c r="F1489" s="67">
        <v>5.200082524</v>
      </c>
      <c r="G1489" s="40">
        <v>1.780608755</v>
      </c>
      <c r="H1489" s="40">
        <f t="shared" si="1"/>
        <v>3.205095759</v>
      </c>
      <c r="I1489" s="41">
        <v>0.408602151</v>
      </c>
      <c r="J1489" s="41">
        <v>0.268817204</v>
      </c>
      <c r="K1489" s="41">
        <v>0.322580645</v>
      </c>
      <c r="L1489" s="41">
        <f t="shared" si="2"/>
        <v>0.086021506</v>
      </c>
      <c r="M1489" s="74">
        <v>0.290706551</v>
      </c>
    </row>
    <row r="1490">
      <c r="A1490" s="1" t="s">
        <v>350</v>
      </c>
      <c r="B1490" s="38">
        <v>678022.0</v>
      </c>
      <c r="C1490" s="72">
        <v>45884.0</v>
      </c>
      <c r="D1490" s="38">
        <v>97.0</v>
      </c>
      <c r="E1490" s="73" t="str">
        <f>IFERROR(__xludf.DUMMYFUNCTION("average(filter('Appearance Sheet'!F:F,'Appearance Sheet'!G:G=B1490,'Appearance Sheet'!A:A=C1490))"),"#N/A")</f>
        <v>#N/A</v>
      </c>
      <c r="F1490" s="67">
        <v>5.200039845</v>
      </c>
      <c r="G1490" s="40">
        <v>1.800357631</v>
      </c>
      <c r="H1490" s="40" t="str">
        <f t="shared" si="1"/>
        <v>#N/A</v>
      </c>
      <c r="I1490" s="41">
        <v>0.484536082</v>
      </c>
      <c r="J1490" s="41">
        <v>0.154639175</v>
      </c>
      <c r="K1490" s="41">
        <v>0.360824742</v>
      </c>
      <c r="L1490" s="41">
        <f t="shared" si="2"/>
        <v>0.12371134</v>
      </c>
      <c r="M1490" s="74">
        <v>-0.113473357</v>
      </c>
    </row>
    <row r="1491">
      <c r="A1491" s="1" t="s">
        <v>192</v>
      </c>
      <c r="B1491" s="38">
        <v>642232.0</v>
      </c>
      <c r="C1491" s="72">
        <v>45826.0</v>
      </c>
      <c r="D1491" s="38">
        <v>67.0</v>
      </c>
      <c r="E1491" s="73">
        <f>IFERROR(__xludf.DUMMYFUNCTION("average(filter('Appearance Sheet'!F:F,'Appearance Sheet'!G:G=B1491,'Appearance Sheet'!A:A=C1491))"),5.333333333333333)</f>
        <v>5.333333333</v>
      </c>
      <c r="F1491" s="67">
        <v>5.199946484</v>
      </c>
      <c r="G1491" s="40">
        <v>1.282963814</v>
      </c>
      <c r="H1491" s="40">
        <f t="shared" si="1"/>
        <v>2.165001436</v>
      </c>
      <c r="I1491" s="41">
        <v>0.417910448</v>
      </c>
      <c r="J1491" s="41">
        <v>0.253731343</v>
      </c>
      <c r="K1491" s="41">
        <v>0.328358209</v>
      </c>
      <c r="L1491" s="41">
        <f t="shared" si="2"/>
        <v>0.089552239</v>
      </c>
      <c r="M1491" s="74">
        <v>-1.089637235</v>
      </c>
    </row>
    <row r="1492">
      <c r="A1492" s="1" t="s">
        <v>281</v>
      </c>
      <c r="B1492" s="38">
        <v>622663.0</v>
      </c>
      <c r="C1492" s="72">
        <v>45907.0</v>
      </c>
      <c r="D1492" s="38">
        <v>89.0</v>
      </c>
      <c r="E1492" s="73" t="str">
        <f>IFERROR(__xludf.DUMMYFUNCTION("average(filter('Appearance Sheet'!F:F,'Appearance Sheet'!G:G=B1492,'Appearance Sheet'!A:A=C1492))"),"#N/A")</f>
        <v>#N/A</v>
      </c>
      <c r="F1492" s="67">
        <v>5.19990668</v>
      </c>
      <c r="G1492" s="40">
        <v>1.689827451</v>
      </c>
      <c r="H1492" s="40" t="str">
        <f t="shared" si="1"/>
        <v>#N/A</v>
      </c>
      <c r="I1492" s="41">
        <v>0.415730337</v>
      </c>
      <c r="J1492" s="41">
        <v>0.337078652</v>
      </c>
      <c r="K1492" s="41">
        <v>0.247191011</v>
      </c>
      <c r="L1492" s="41">
        <f t="shared" si="2"/>
        <v>0.168539326</v>
      </c>
      <c r="M1492" s="74">
        <v>1.309972102</v>
      </c>
    </row>
    <row r="1493">
      <c r="A1493" s="1" t="s">
        <v>156</v>
      </c>
      <c r="B1493" s="38">
        <v>519242.0</v>
      </c>
      <c r="C1493" s="72">
        <v>45777.0</v>
      </c>
      <c r="D1493" s="38">
        <v>93.0</v>
      </c>
      <c r="E1493" s="73">
        <f>IFERROR(__xludf.DUMMYFUNCTION("average(filter('Appearance Sheet'!F:F,'Appearance Sheet'!G:G=B1493,'Appearance Sheet'!A:A=C1493))"),7.0)</f>
        <v>7</v>
      </c>
      <c r="F1493" s="67">
        <v>5.199836545</v>
      </c>
      <c r="G1493" s="40">
        <v>1.787869314</v>
      </c>
      <c r="H1493" s="40">
        <f t="shared" si="1"/>
        <v>2.298689118</v>
      </c>
      <c r="I1493" s="41">
        <v>0.451612903</v>
      </c>
      <c r="J1493" s="41">
        <v>0.258064516</v>
      </c>
      <c r="K1493" s="41">
        <v>0.290322581</v>
      </c>
      <c r="L1493" s="41">
        <f t="shared" si="2"/>
        <v>0.161290322</v>
      </c>
      <c r="M1493" s="74">
        <v>0.053149167</v>
      </c>
    </row>
    <row r="1494">
      <c r="A1494" s="1" t="s">
        <v>393</v>
      </c>
      <c r="B1494" s="38">
        <v>690953.0</v>
      </c>
      <c r="C1494" s="72">
        <v>45812.0</v>
      </c>
      <c r="D1494" s="38">
        <v>75.0</v>
      </c>
      <c r="E1494" s="73">
        <f>IFERROR(__xludf.DUMMYFUNCTION("average(filter('Appearance Sheet'!F:F,'Appearance Sheet'!G:G=B1494,'Appearance Sheet'!A:A=C1494))"),5.333333333333333)</f>
        <v>5.333333333</v>
      </c>
      <c r="F1494" s="67">
        <v>5.199826096</v>
      </c>
      <c r="G1494" s="40">
        <v>1.447504228</v>
      </c>
      <c r="H1494" s="40">
        <f t="shared" si="1"/>
        <v>2.442663385</v>
      </c>
      <c r="I1494" s="41">
        <v>0.586666667</v>
      </c>
      <c r="J1494" s="41">
        <v>0.093333333</v>
      </c>
      <c r="K1494" s="41">
        <v>0.32</v>
      </c>
      <c r="L1494" s="41">
        <f t="shared" si="2"/>
        <v>0.266666667</v>
      </c>
      <c r="M1494" s="74">
        <v>1.742196266</v>
      </c>
    </row>
    <row r="1495">
      <c r="A1495" s="1" t="s">
        <v>173</v>
      </c>
      <c r="B1495" s="38">
        <v>641927.0</v>
      </c>
      <c r="C1495" s="72">
        <v>45780.0</v>
      </c>
      <c r="D1495" s="38">
        <v>91.0</v>
      </c>
      <c r="E1495" s="73">
        <f>IFERROR(__xludf.DUMMYFUNCTION("average(filter('Appearance Sheet'!F:F,'Appearance Sheet'!G:G=B1495,'Appearance Sheet'!A:A=C1495))"),6.0)</f>
        <v>6</v>
      </c>
      <c r="F1495" s="67">
        <v>5.199704801</v>
      </c>
      <c r="G1495" s="40">
        <v>1.744314824</v>
      </c>
      <c r="H1495" s="40">
        <f t="shared" si="1"/>
        <v>2.616472236</v>
      </c>
      <c r="I1495" s="41">
        <v>0.428571429</v>
      </c>
      <c r="J1495" s="41">
        <v>0.186813187</v>
      </c>
      <c r="K1495" s="41">
        <v>0.384615385</v>
      </c>
      <c r="L1495" s="41">
        <f t="shared" si="2"/>
        <v>0.043956044</v>
      </c>
      <c r="M1495" s="74">
        <v>-1.260686659</v>
      </c>
    </row>
    <row r="1496">
      <c r="A1496" s="1" t="s">
        <v>331</v>
      </c>
      <c r="B1496" s="38">
        <v>672456.0</v>
      </c>
      <c r="C1496" s="72">
        <v>45821.0</v>
      </c>
      <c r="D1496" s="38">
        <v>82.0</v>
      </c>
      <c r="E1496" s="73">
        <f>IFERROR(__xludf.DUMMYFUNCTION("average(filter('Appearance Sheet'!F:F,'Appearance Sheet'!G:G=B1496,'Appearance Sheet'!A:A=C1496))"),5.0)</f>
        <v>5</v>
      </c>
      <c r="F1496" s="67">
        <v>5.199671938</v>
      </c>
      <c r="G1496" s="40">
        <v>1.595631772</v>
      </c>
      <c r="H1496" s="40">
        <f t="shared" si="1"/>
        <v>2.87213719</v>
      </c>
      <c r="I1496" s="41">
        <v>0.451219512</v>
      </c>
      <c r="J1496" s="41">
        <v>0.256097561</v>
      </c>
      <c r="K1496" s="41">
        <v>0.292682927</v>
      </c>
      <c r="L1496" s="41">
        <f t="shared" si="2"/>
        <v>0.158536585</v>
      </c>
      <c r="M1496" s="74">
        <v>-1.307881248</v>
      </c>
    </row>
    <row r="1497">
      <c r="A1497" s="1" t="s">
        <v>290</v>
      </c>
      <c r="B1497" s="38">
        <v>669461.0</v>
      </c>
      <c r="C1497" s="72">
        <v>45887.0</v>
      </c>
      <c r="D1497" s="38">
        <v>75.0</v>
      </c>
      <c r="E1497" s="73" t="str">
        <f>IFERROR(__xludf.DUMMYFUNCTION("average(filter('Appearance Sheet'!F:F,'Appearance Sheet'!G:G=B1497,'Appearance Sheet'!A:A=C1497))"),"#N/A")</f>
        <v>#N/A</v>
      </c>
      <c r="F1497" s="67">
        <v>5.199617683</v>
      </c>
      <c r="G1497" s="40">
        <v>1.4330637</v>
      </c>
      <c r="H1497" s="40" t="str">
        <f t="shared" si="1"/>
        <v>#N/A</v>
      </c>
      <c r="I1497" s="41">
        <v>0.493333333</v>
      </c>
      <c r="J1497" s="41">
        <v>0.16</v>
      </c>
      <c r="K1497" s="41">
        <v>0.346666667</v>
      </c>
      <c r="L1497" s="41">
        <f t="shared" si="2"/>
        <v>0.146666666</v>
      </c>
      <c r="M1497" s="74">
        <v>-0.735023583</v>
      </c>
    </row>
    <row r="1498">
      <c r="A1498" s="1" t="s">
        <v>308</v>
      </c>
      <c r="B1498" s="38">
        <v>676440.0</v>
      </c>
      <c r="C1498" s="72">
        <v>45816.0</v>
      </c>
      <c r="D1498" s="38">
        <v>87.0</v>
      </c>
      <c r="E1498" s="73">
        <f>IFERROR(__xludf.DUMMYFUNCTION("average(filter('Appearance Sheet'!F:F,'Appearance Sheet'!G:G=B1498,'Appearance Sheet'!A:A=C1498))"),6.333333333333333)</f>
        <v>6.333333333</v>
      </c>
      <c r="F1498" s="67">
        <v>5.199606657</v>
      </c>
      <c r="G1498" s="40">
        <v>1.6632771</v>
      </c>
      <c r="H1498" s="40">
        <f t="shared" si="1"/>
        <v>2.3636043</v>
      </c>
      <c r="I1498" s="41">
        <v>0.436781609</v>
      </c>
      <c r="J1498" s="41">
        <v>0.275862069</v>
      </c>
      <c r="K1498" s="41">
        <v>0.287356322</v>
      </c>
      <c r="L1498" s="41">
        <f t="shared" si="2"/>
        <v>0.149425287</v>
      </c>
      <c r="M1498" s="74">
        <v>0.51712117</v>
      </c>
    </row>
    <row r="1499">
      <c r="A1499" s="1" t="s">
        <v>202</v>
      </c>
      <c r="B1499" s="38">
        <v>677960.0</v>
      </c>
      <c r="C1499" s="72">
        <v>45791.0</v>
      </c>
      <c r="D1499" s="38">
        <v>72.0</v>
      </c>
      <c r="E1499" s="73">
        <f>IFERROR(__xludf.DUMMYFUNCTION("average(filter('Appearance Sheet'!F:F,'Appearance Sheet'!G:G=B1499,'Appearance Sheet'!A:A=C1499))"),5.0)</f>
        <v>5</v>
      </c>
      <c r="F1499" s="67">
        <v>5.199226348</v>
      </c>
      <c r="G1499" s="40">
        <v>1.378950771</v>
      </c>
      <c r="H1499" s="40">
        <f t="shared" si="1"/>
        <v>2.482111388</v>
      </c>
      <c r="I1499" s="41">
        <v>0.555555556</v>
      </c>
      <c r="J1499" s="41">
        <v>0.166666667</v>
      </c>
      <c r="K1499" s="41">
        <v>0.277777778</v>
      </c>
      <c r="L1499" s="41">
        <f t="shared" si="2"/>
        <v>0.277777778</v>
      </c>
      <c r="M1499" s="74">
        <v>1.917962697</v>
      </c>
    </row>
    <row r="1500">
      <c r="A1500" s="1" t="s">
        <v>63</v>
      </c>
      <c r="B1500" s="38">
        <v>687888.0</v>
      </c>
      <c r="C1500" s="72">
        <v>45823.0</v>
      </c>
      <c r="D1500" s="38">
        <v>95.0</v>
      </c>
      <c r="E1500" s="73">
        <f>IFERROR(__xludf.DUMMYFUNCTION("average(filter('Appearance Sheet'!F:F,'Appearance Sheet'!G:G=B1500,'Appearance Sheet'!A:A=C1500))"),6.666666666666667)</f>
        <v>6.666666667</v>
      </c>
      <c r="F1500" s="67">
        <v>5.199200646</v>
      </c>
      <c r="G1500" s="40">
        <v>1.818341964</v>
      </c>
      <c r="H1500" s="40">
        <f t="shared" si="1"/>
        <v>2.454761651</v>
      </c>
      <c r="I1500" s="41">
        <v>0.484210526</v>
      </c>
      <c r="J1500" s="41">
        <v>0.2</v>
      </c>
      <c r="K1500" s="41">
        <v>0.315789474</v>
      </c>
      <c r="L1500" s="41">
        <f t="shared" si="2"/>
        <v>0.168421052</v>
      </c>
      <c r="M1500" s="74">
        <v>0.458825984</v>
      </c>
    </row>
    <row r="1501">
      <c r="A1501" s="1" t="s">
        <v>155</v>
      </c>
      <c r="B1501" s="38">
        <v>592332.0</v>
      </c>
      <c r="C1501" s="72">
        <v>45827.0</v>
      </c>
      <c r="D1501" s="38">
        <v>80.0</v>
      </c>
      <c r="E1501" s="73">
        <f>IFERROR(__xludf.DUMMYFUNCTION("average(filter('Appearance Sheet'!F:F,'Appearance Sheet'!G:G=B1501,'Appearance Sheet'!A:A=C1501))"),4.333333333333333)</f>
        <v>4.333333333</v>
      </c>
      <c r="F1501" s="67">
        <v>5.19913733</v>
      </c>
      <c r="G1501" s="40">
        <v>1.520730641</v>
      </c>
      <c r="H1501" s="40">
        <f t="shared" si="1"/>
        <v>3.158440562</v>
      </c>
      <c r="I1501" s="41">
        <v>0.5875</v>
      </c>
      <c r="J1501" s="41">
        <v>0.1</v>
      </c>
      <c r="K1501" s="41">
        <v>0.3125</v>
      </c>
      <c r="L1501" s="41">
        <f t="shared" si="2"/>
        <v>0.275</v>
      </c>
      <c r="M1501" s="74">
        <v>-4.025304711</v>
      </c>
    </row>
    <row r="1502">
      <c r="A1502" s="1" t="s">
        <v>228</v>
      </c>
      <c r="B1502" s="38">
        <v>687473.0</v>
      </c>
      <c r="C1502" s="72">
        <v>45868.0</v>
      </c>
      <c r="D1502" s="38">
        <v>98.0</v>
      </c>
      <c r="E1502" s="73" t="str">
        <f>IFERROR(__xludf.DUMMYFUNCTION("average(filter('Appearance Sheet'!F:F,'Appearance Sheet'!G:G=B1502,'Appearance Sheet'!A:A=C1502))"),"#N/A")</f>
        <v>#N/A</v>
      </c>
      <c r="F1502" s="67">
        <v>5.199044405</v>
      </c>
      <c r="G1502" s="40">
        <v>1.871162639</v>
      </c>
      <c r="H1502" s="40" t="str">
        <f t="shared" si="1"/>
        <v>#N/A</v>
      </c>
      <c r="I1502" s="41">
        <v>0.530612245</v>
      </c>
      <c r="J1502" s="41">
        <v>0.132653061</v>
      </c>
      <c r="K1502" s="41">
        <v>0.336734694</v>
      </c>
      <c r="L1502" s="41">
        <f t="shared" si="2"/>
        <v>0.193877551</v>
      </c>
      <c r="M1502" s="74">
        <v>2.18215899</v>
      </c>
    </row>
    <row r="1503">
      <c r="A1503" s="1" t="s">
        <v>111</v>
      </c>
      <c r="B1503" s="38">
        <v>656641.0</v>
      </c>
      <c r="C1503" s="72">
        <v>45914.0</v>
      </c>
      <c r="D1503" s="38">
        <v>88.0</v>
      </c>
      <c r="E1503" s="73" t="str">
        <f>IFERROR(__xludf.DUMMYFUNCTION("average(filter('Appearance Sheet'!F:F,'Appearance Sheet'!G:G=B1503,'Appearance Sheet'!A:A=C1503))"),"#N/A")</f>
        <v>#N/A</v>
      </c>
      <c r="F1503" s="67">
        <v>5.198994367</v>
      </c>
      <c r="G1503" s="40">
        <v>1.652716934</v>
      </c>
      <c r="H1503" s="40" t="str">
        <f t="shared" si="1"/>
        <v>#N/A</v>
      </c>
      <c r="I1503" s="41">
        <v>0.511363636</v>
      </c>
      <c r="J1503" s="41">
        <v>0.147727273</v>
      </c>
      <c r="K1503" s="41">
        <v>0.340909091</v>
      </c>
      <c r="L1503" s="41">
        <f t="shared" si="2"/>
        <v>0.170454545</v>
      </c>
      <c r="M1503" s="74">
        <v>2.041223262</v>
      </c>
    </row>
    <row r="1504">
      <c r="A1504" s="1" t="s">
        <v>109</v>
      </c>
      <c r="B1504" s="38">
        <v>601713.0</v>
      </c>
      <c r="C1504" s="72">
        <v>45812.0</v>
      </c>
      <c r="D1504" s="38">
        <v>80.0</v>
      </c>
      <c r="E1504" s="73">
        <f>IFERROR(__xludf.DUMMYFUNCTION("average(filter('Appearance Sheet'!F:F,'Appearance Sheet'!G:G=B1504,'Appearance Sheet'!A:A=C1504))"),6.0)</f>
        <v>6</v>
      </c>
      <c r="F1504" s="67">
        <v>5.198895273</v>
      </c>
      <c r="G1504" s="40">
        <v>1.576867633</v>
      </c>
      <c r="H1504" s="40">
        <f t="shared" si="1"/>
        <v>2.36530145</v>
      </c>
      <c r="I1504" s="41">
        <v>0.5125</v>
      </c>
      <c r="J1504" s="41">
        <v>0.175</v>
      </c>
      <c r="K1504" s="41">
        <v>0.3125</v>
      </c>
      <c r="L1504" s="41">
        <f t="shared" si="2"/>
        <v>0.2</v>
      </c>
      <c r="M1504" s="74">
        <v>-1.036581048</v>
      </c>
    </row>
    <row r="1505">
      <c r="A1505" s="1" t="s">
        <v>171</v>
      </c>
      <c r="B1505" s="38">
        <v>665795.0</v>
      </c>
      <c r="C1505" s="72">
        <v>45787.0</v>
      </c>
      <c r="D1505" s="38">
        <v>82.0</v>
      </c>
      <c r="E1505" s="73">
        <f>IFERROR(__xludf.DUMMYFUNCTION("average(filter('Appearance Sheet'!F:F,'Appearance Sheet'!G:G=B1505,'Appearance Sheet'!A:A=C1505))"),5.0)</f>
        <v>5</v>
      </c>
      <c r="F1505" s="67">
        <v>5.198803499</v>
      </c>
      <c r="G1505" s="40">
        <v>1.525854545</v>
      </c>
      <c r="H1505" s="40">
        <f t="shared" si="1"/>
        <v>2.746538181</v>
      </c>
      <c r="I1505" s="41">
        <v>0.512195122</v>
      </c>
      <c r="J1505" s="41">
        <v>0.170731707</v>
      </c>
      <c r="K1505" s="41">
        <v>0.317073171</v>
      </c>
      <c r="L1505" s="41">
        <f t="shared" si="2"/>
        <v>0.195121951</v>
      </c>
      <c r="M1505" s="74">
        <v>2.780423082</v>
      </c>
    </row>
    <row r="1506">
      <c r="A1506" s="1" t="s">
        <v>229</v>
      </c>
      <c r="B1506" s="38">
        <v>645261.0</v>
      </c>
      <c r="C1506" s="72">
        <v>45861.0</v>
      </c>
      <c r="D1506" s="38">
        <v>96.0</v>
      </c>
      <c r="E1506" s="73" t="str">
        <f>IFERROR(__xludf.DUMMYFUNCTION("average(filter('Appearance Sheet'!F:F,'Appearance Sheet'!G:G=B1506,'Appearance Sheet'!A:A=C1506))"),"#N/A")</f>
        <v>#N/A</v>
      </c>
      <c r="F1506" s="67">
        <v>5.198797432</v>
      </c>
      <c r="G1506" s="40">
        <v>1.816552169</v>
      </c>
      <c r="H1506" s="40" t="str">
        <f t="shared" si="1"/>
        <v>#N/A</v>
      </c>
      <c r="I1506" s="41">
        <v>0.5</v>
      </c>
      <c r="J1506" s="41">
        <v>0.197916667</v>
      </c>
      <c r="K1506" s="41">
        <v>0.302083333</v>
      </c>
      <c r="L1506" s="41">
        <f t="shared" si="2"/>
        <v>0.197916667</v>
      </c>
      <c r="M1506" s="74">
        <v>3.247520386</v>
      </c>
    </row>
    <row r="1507">
      <c r="A1507" s="1" t="s">
        <v>296</v>
      </c>
      <c r="B1507" s="38">
        <v>669372.0</v>
      </c>
      <c r="C1507" s="72">
        <v>45900.0</v>
      </c>
      <c r="D1507" s="38">
        <v>88.0</v>
      </c>
      <c r="E1507" s="73" t="str">
        <f>IFERROR(__xludf.DUMMYFUNCTION("average(filter('Appearance Sheet'!F:F,'Appearance Sheet'!G:G=B1507,'Appearance Sheet'!A:A=C1507))"),"#N/A")</f>
        <v>#N/A</v>
      </c>
      <c r="F1507" s="67">
        <v>5.198766499</v>
      </c>
      <c r="G1507" s="40">
        <v>1.666546112</v>
      </c>
      <c r="H1507" s="40" t="str">
        <f t="shared" si="1"/>
        <v>#N/A</v>
      </c>
      <c r="I1507" s="41">
        <v>0.465909091</v>
      </c>
      <c r="J1507" s="41">
        <v>0.204545455</v>
      </c>
      <c r="K1507" s="41">
        <v>0.329545455</v>
      </c>
      <c r="L1507" s="41">
        <f t="shared" si="2"/>
        <v>0.136363636</v>
      </c>
      <c r="M1507" s="74">
        <v>0.671137903</v>
      </c>
    </row>
    <row r="1508">
      <c r="A1508" s="1" t="s">
        <v>372</v>
      </c>
      <c r="B1508" s="38">
        <v>671106.0</v>
      </c>
      <c r="C1508" s="72">
        <v>45756.0</v>
      </c>
      <c r="D1508" s="38">
        <v>82.0</v>
      </c>
      <c r="E1508" s="73">
        <f>IFERROR(__xludf.DUMMYFUNCTION("average(filter('Appearance Sheet'!F:F,'Appearance Sheet'!G:G=B1508,'Appearance Sheet'!A:A=C1508))"),4.666666666666667)</f>
        <v>4.666666667</v>
      </c>
      <c r="F1508" s="67">
        <v>5.198626889</v>
      </c>
      <c r="G1508" s="40">
        <v>1.576822226</v>
      </c>
      <c r="H1508" s="40">
        <f t="shared" si="1"/>
        <v>3.041014293</v>
      </c>
      <c r="I1508" s="41">
        <v>0.5</v>
      </c>
      <c r="J1508" s="41">
        <v>0.219512195</v>
      </c>
      <c r="K1508" s="41">
        <v>0.280487805</v>
      </c>
      <c r="L1508" s="41">
        <f t="shared" si="2"/>
        <v>0.219512195</v>
      </c>
      <c r="M1508" s="74">
        <v>0.500730449</v>
      </c>
    </row>
    <row r="1509">
      <c r="A1509" s="1" t="s">
        <v>124</v>
      </c>
      <c r="B1509" s="38">
        <v>663941.0</v>
      </c>
      <c r="C1509" s="72">
        <v>45899.0</v>
      </c>
      <c r="D1509" s="38">
        <v>60.0</v>
      </c>
      <c r="E1509" s="73" t="str">
        <f>IFERROR(__xludf.DUMMYFUNCTION("average(filter('Appearance Sheet'!F:F,'Appearance Sheet'!G:G=B1509,'Appearance Sheet'!A:A=C1509))"),"#N/A")</f>
        <v>#N/A</v>
      </c>
      <c r="F1509" s="67">
        <v>5.198275387</v>
      </c>
      <c r="G1509" s="40">
        <v>1.137523066</v>
      </c>
      <c r="H1509" s="40" t="str">
        <f t="shared" si="1"/>
        <v>#N/A</v>
      </c>
      <c r="I1509" s="41">
        <v>0.516666667</v>
      </c>
      <c r="J1509" s="41">
        <v>0.166666667</v>
      </c>
      <c r="K1509" s="41">
        <v>0.316666667</v>
      </c>
      <c r="L1509" s="41">
        <f t="shared" si="2"/>
        <v>0.2</v>
      </c>
      <c r="M1509" s="74">
        <v>-1.801846642</v>
      </c>
    </row>
    <row r="1510">
      <c r="A1510" s="1" t="s">
        <v>405</v>
      </c>
      <c r="B1510" s="38">
        <v>621111.0</v>
      </c>
      <c r="C1510" s="72">
        <v>45768.0</v>
      </c>
      <c r="D1510" s="38">
        <v>97.0</v>
      </c>
      <c r="E1510" s="73">
        <f>IFERROR(__xludf.DUMMYFUNCTION("average(filter('Appearance Sheet'!F:F,'Appearance Sheet'!G:G=B1510,'Appearance Sheet'!A:A=C1510))"),7.0)</f>
        <v>7</v>
      </c>
      <c r="F1510" s="67">
        <v>5.198086915</v>
      </c>
      <c r="G1510" s="40">
        <v>1.844624038</v>
      </c>
      <c r="H1510" s="40">
        <f t="shared" si="1"/>
        <v>2.371659477</v>
      </c>
      <c r="I1510" s="41">
        <v>0.505154639</v>
      </c>
      <c r="J1510" s="41">
        <v>0.195876289</v>
      </c>
      <c r="K1510" s="41">
        <v>0.298969072</v>
      </c>
      <c r="L1510" s="41">
        <f t="shared" si="2"/>
        <v>0.206185567</v>
      </c>
      <c r="M1510" s="74">
        <v>0.640276835</v>
      </c>
    </row>
    <row r="1511">
      <c r="A1511" s="1" t="s">
        <v>275</v>
      </c>
      <c r="B1511" s="38">
        <v>693821.0</v>
      </c>
      <c r="C1511" s="72">
        <v>45830.0</v>
      </c>
      <c r="D1511" s="38">
        <v>91.0</v>
      </c>
      <c r="E1511" s="73">
        <f>IFERROR(__xludf.DUMMYFUNCTION("average(filter('Appearance Sheet'!F:F,'Appearance Sheet'!G:G=B1511,'Appearance Sheet'!A:A=C1511))"),5.333333333333333)</f>
        <v>5.333333333</v>
      </c>
      <c r="F1511" s="67">
        <v>5.19768825</v>
      </c>
      <c r="G1511" s="40">
        <v>1.747977837</v>
      </c>
      <c r="H1511" s="40">
        <f t="shared" si="1"/>
        <v>2.9497126</v>
      </c>
      <c r="I1511" s="41">
        <v>0.483516484</v>
      </c>
      <c r="J1511" s="41">
        <v>0.230769231</v>
      </c>
      <c r="K1511" s="41">
        <v>0.285714286</v>
      </c>
      <c r="L1511" s="41">
        <f t="shared" si="2"/>
        <v>0.197802198</v>
      </c>
      <c r="M1511" s="74">
        <v>-4.761198561</v>
      </c>
    </row>
    <row r="1512">
      <c r="A1512" s="1" t="s">
        <v>129</v>
      </c>
      <c r="B1512" s="38">
        <v>686752.0</v>
      </c>
      <c r="C1512" s="72">
        <v>45749.0</v>
      </c>
      <c r="D1512" s="38">
        <v>88.0</v>
      </c>
      <c r="E1512" s="73">
        <f>IFERROR(__xludf.DUMMYFUNCTION("average(filter('Appearance Sheet'!F:F,'Appearance Sheet'!G:G=B1512,'Appearance Sheet'!A:A=C1512))"),5.0)</f>
        <v>5</v>
      </c>
      <c r="F1512" s="67">
        <v>5.197591112</v>
      </c>
      <c r="G1512" s="40">
        <v>1.678288066</v>
      </c>
      <c r="H1512" s="40">
        <f t="shared" si="1"/>
        <v>3.020918519</v>
      </c>
      <c r="I1512" s="41">
        <v>0.545454545</v>
      </c>
      <c r="J1512" s="41">
        <v>0.159090909</v>
      </c>
      <c r="K1512" s="41">
        <v>0.295454545</v>
      </c>
      <c r="L1512" s="41">
        <f t="shared" si="2"/>
        <v>0.25</v>
      </c>
      <c r="M1512" s="74">
        <v>-0.222687306</v>
      </c>
    </row>
    <row r="1513">
      <c r="A1513" s="1" t="s">
        <v>35</v>
      </c>
      <c r="B1513" s="38">
        <v>676083.0</v>
      </c>
      <c r="C1513" s="72">
        <v>45886.0</v>
      </c>
      <c r="D1513" s="38">
        <v>86.0</v>
      </c>
      <c r="E1513" s="73" t="str">
        <f>IFERROR(__xludf.DUMMYFUNCTION("average(filter('Appearance Sheet'!F:F,'Appearance Sheet'!G:G=B1513,'Appearance Sheet'!A:A=C1513))"),"#N/A")</f>
        <v>#N/A</v>
      </c>
      <c r="F1513" s="67">
        <v>5.197568173</v>
      </c>
      <c r="G1513" s="40">
        <v>1.671302186</v>
      </c>
      <c r="H1513" s="40" t="str">
        <f t="shared" si="1"/>
        <v>#N/A</v>
      </c>
      <c r="I1513" s="41">
        <v>0.476744186</v>
      </c>
      <c r="J1513" s="41">
        <v>0.151162791</v>
      </c>
      <c r="K1513" s="41">
        <v>0.372093023</v>
      </c>
      <c r="L1513" s="41">
        <f t="shared" si="2"/>
        <v>0.104651163</v>
      </c>
      <c r="M1513" s="74">
        <v>-1.318778083</v>
      </c>
    </row>
    <row r="1514">
      <c r="A1514" s="1" t="s">
        <v>264</v>
      </c>
      <c r="B1514" s="38">
        <v>669920.0</v>
      </c>
      <c r="C1514" s="72">
        <v>45890.0</v>
      </c>
      <c r="D1514" s="38">
        <v>90.0</v>
      </c>
      <c r="E1514" s="73" t="str">
        <f>IFERROR(__xludf.DUMMYFUNCTION("average(filter('Appearance Sheet'!F:F,'Appearance Sheet'!G:G=B1514,'Appearance Sheet'!A:A=C1514))"),"#N/A")</f>
        <v>#N/A</v>
      </c>
      <c r="F1514" s="67">
        <v>5.197559477</v>
      </c>
      <c r="G1514" s="40">
        <v>1.72660142</v>
      </c>
      <c r="H1514" s="40" t="str">
        <f t="shared" si="1"/>
        <v>#N/A</v>
      </c>
      <c r="I1514" s="41">
        <v>0.5</v>
      </c>
      <c r="J1514" s="41">
        <v>0.188888889</v>
      </c>
      <c r="K1514" s="41">
        <v>0.311111111</v>
      </c>
      <c r="L1514" s="41">
        <f t="shared" si="2"/>
        <v>0.188888889</v>
      </c>
      <c r="M1514" s="74">
        <v>-2.144713168</v>
      </c>
    </row>
    <row r="1515">
      <c r="A1515" s="1" t="s">
        <v>577</v>
      </c>
      <c r="B1515" s="38">
        <v>687922.0</v>
      </c>
      <c r="C1515" s="72">
        <v>45749.0</v>
      </c>
      <c r="D1515" s="38">
        <v>72.0</v>
      </c>
      <c r="E1515" s="73">
        <f>IFERROR(__xludf.DUMMYFUNCTION("average(filter('Appearance Sheet'!F:F,'Appearance Sheet'!G:G=B1515,'Appearance Sheet'!A:A=C1515))"),5.0)</f>
        <v>5</v>
      </c>
      <c r="F1515" s="67">
        <v>5.197449924</v>
      </c>
      <c r="G1515" s="40">
        <v>1.391852756</v>
      </c>
      <c r="H1515" s="40">
        <f t="shared" si="1"/>
        <v>2.505334961</v>
      </c>
      <c r="I1515" s="41">
        <v>0.513888889</v>
      </c>
      <c r="J1515" s="41">
        <v>0.125</v>
      </c>
      <c r="K1515" s="41">
        <v>0.361111111</v>
      </c>
      <c r="L1515" s="41">
        <f t="shared" si="2"/>
        <v>0.152777778</v>
      </c>
      <c r="M1515" s="74">
        <v>2.464768527</v>
      </c>
    </row>
    <row r="1516">
      <c r="A1516" s="1" t="s">
        <v>194</v>
      </c>
      <c r="B1516" s="38">
        <v>666157.0</v>
      </c>
      <c r="C1516" s="72">
        <v>45808.0</v>
      </c>
      <c r="D1516" s="38">
        <v>91.0</v>
      </c>
      <c r="E1516" s="73">
        <f>IFERROR(__xludf.DUMMYFUNCTION("average(filter('Appearance Sheet'!F:F,'Appearance Sheet'!G:G=B1516,'Appearance Sheet'!A:A=C1516))"),6.0)</f>
        <v>6</v>
      </c>
      <c r="F1516" s="67">
        <v>5.197152695</v>
      </c>
      <c r="G1516" s="40">
        <v>1.698839628</v>
      </c>
      <c r="H1516" s="40">
        <f t="shared" si="1"/>
        <v>2.548259442</v>
      </c>
      <c r="I1516" s="41">
        <v>0.527472527</v>
      </c>
      <c r="J1516" s="41">
        <v>0.087912088</v>
      </c>
      <c r="K1516" s="41">
        <v>0.384615385</v>
      </c>
      <c r="L1516" s="41">
        <f t="shared" si="2"/>
        <v>0.142857142</v>
      </c>
      <c r="M1516" s="74">
        <v>0.088585323</v>
      </c>
    </row>
    <row r="1517">
      <c r="A1517" s="1" t="s">
        <v>145</v>
      </c>
      <c r="B1517" s="38">
        <v>700241.0</v>
      </c>
      <c r="C1517" s="72">
        <v>45827.0</v>
      </c>
      <c r="D1517" s="38">
        <v>76.0</v>
      </c>
      <c r="E1517" s="73">
        <f>IFERROR(__xludf.DUMMYFUNCTION("average(filter('Appearance Sheet'!F:F,'Appearance Sheet'!G:G=B1517,'Appearance Sheet'!A:A=C1517))"),5.0)</f>
        <v>5</v>
      </c>
      <c r="F1517" s="67">
        <v>5.197150323</v>
      </c>
      <c r="G1517" s="40">
        <v>1.455831504</v>
      </c>
      <c r="H1517" s="40">
        <f t="shared" si="1"/>
        <v>2.620496707</v>
      </c>
      <c r="I1517" s="41">
        <v>0.473684211</v>
      </c>
      <c r="J1517" s="41">
        <v>0.236842105</v>
      </c>
      <c r="K1517" s="41">
        <v>0.289473684</v>
      </c>
      <c r="L1517" s="41">
        <f t="shared" si="2"/>
        <v>0.184210527</v>
      </c>
      <c r="M1517" s="74">
        <v>2.365494662</v>
      </c>
    </row>
    <row r="1518">
      <c r="A1518" s="1" t="s">
        <v>347</v>
      </c>
      <c r="B1518" s="38">
        <v>700249.0</v>
      </c>
      <c r="C1518" s="72">
        <v>45793.0</v>
      </c>
      <c r="D1518" s="38">
        <v>95.0</v>
      </c>
      <c r="E1518" s="73">
        <f>IFERROR(__xludf.DUMMYFUNCTION("average(filter('Appearance Sheet'!F:F,'Appearance Sheet'!G:G=B1518,'Appearance Sheet'!A:A=C1518))"),5.666666666666667)</f>
        <v>5.666666667</v>
      </c>
      <c r="F1518" s="67">
        <v>5.197132313</v>
      </c>
      <c r="G1518" s="40">
        <v>1.792204174</v>
      </c>
      <c r="H1518" s="40">
        <f t="shared" si="1"/>
        <v>2.846441923</v>
      </c>
      <c r="I1518" s="41">
        <v>0.452631579</v>
      </c>
      <c r="J1518" s="41">
        <v>0.2</v>
      </c>
      <c r="K1518" s="41">
        <v>0.347368421</v>
      </c>
      <c r="L1518" s="41">
        <f t="shared" si="2"/>
        <v>0.105263158</v>
      </c>
      <c r="M1518" s="74">
        <v>1.684894688</v>
      </c>
    </row>
    <row r="1519">
      <c r="A1519" s="1" t="s">
        <v>232</v>
      </c>
      <c r="B1519" s="38">
        <v>579328.0</v>
      </c>
      <c r="C1519" s="72">
        <v>45749.0</v>
      </c>
      <c r="D1519" s="38">
        <v>102.0</v>
      </c>
      <c r="E1519" s="73">
        <f>IFERROR(__xludf.DUMMYFUNCTION("average(filter('Appearance Sheet'!F:F,'Appearance Sheet'!G:G=B1519,'Appearance Sheet'!A:A=C1519))"),6.0)</f>
        <v>6</v>
      </c>
      <c r="F1519" s="67">
        <v>5.197105183</v>
      </c>
      <c r="G1519" s="40">
        <v>1.965636503</v>
      </c>
      <c r="H1519" s="40">
        <f t="shared" si="1"/>
        <v>2.948454755</v>
      </c>
      <c r="I1519" s="41">
        <v>0.578431373</v>
      </c>
      <c r="J1519" s="41">
        <v>0.088235294</v>
      </c>
      <c r="K1519" s="41">
        <v>0.333333333</v>
      </c>
      <c r="L1519" s="41">
        <f t="shared" si="2"/>
        <v>0.24509804</v>
      </c>
      <c r="M1519" s="74">
        <v>1.209425805</v>
      </c>
    </row>
    <row r="1520">
      <c r="A1520" s="1" t="s">
        <v>564</v>
      </c>
      <c r="B1520" s="38">
        <v>674841.0</v>
      </c>
      <c r="C1520" s="72">
        <v>45901.0</v>
      </c>
      <c r="D1520" s="38">
        <v>79.0</v>
      </c>
      <c r="E1520" s="73" t="str">
        <f>IFERROR(__xludf.DUMMYFUNCTION("average(filter('Appearance Sheet'!F:F,'Appearance Sheet'!G:G=B1520,'Appearance Sheet'!A:A=C1520))"),"#N/A")</f>
        <v>#N/A</v>
      </c>
      <c r="F1520" s="67">
        <v>5.196811987</v>
      </c>
      <c r="G1520" s="40">
        <v>1.493531277</v>
      </c>
      <c r="H1520" s="40" t="str">
        <f t="shared" si="1"/>
        <v>#N/A</v>
      </c>
      <c r="I1520" s="41">
        <v>0.544303797</v>
      </c>
      <c r="J1520" s="41">
        <v>0.164556962</v>
      </c>
      <c r="K1520" s="41">
        <v>0.291139241</v>
      </c>
      <c r="L1520" s="41">
        <f t="shared" si="2"/>
        <v>0.253164556</v>
      </c>
      <c r="M1520" s="74">
        <v>3.541120769</v>
      </c>
    </row>
    <row r="1521">
      <c r="A1521" s="1" t="s">
        <v>308</v>
      </c>
      <c r="B1521" s="38">
        <v>676440.0</v>
      </c>
      <c r="C1521" s="72">
        <v>45811.0</v>
      </c>
      <c r="D1521" s="38">
        <v>105.0</v>
      </c>
      <c r="E1521" s="73">
        <f>IFERROR(__xludf.DUMMYFUNCTION("average(filter('Appearance Sheet'!F:F,'Appearance Sheet'!G:G=B1521,'Appearance Sheet'!A:A=C1521))"),6.333333333333333)</f>
        <v>6.333333333</v>
      </c>
      <c r="F1521" s="67">
        <v>5.196802344</v>
      </c>
      <c r="G1521" s="40">
        <v>1.986789295</v>
      </c>
      <c r="H1521" s="40">
        <f t="shared" si="1"/>
        <v>2.823332156</v>
      </c>
      <c r="I1521" s="41">
        <v>0.533333333</v>
      </c>
      <c r="J1521" s="41">
        <v>0.152380952</v>
      </c>
      <c r="K1521" s="41">
        <v>0.314285714</v>
      </c>
      <c r="L1521" s="41">
        <f t="shared" si="2"/>
        <v>0.219047619</v>
      </c>
      <c r="M1521" s="74">
        <v>1.525818455</v>
      </c>
    </row>
    <row r="1522">
      <c r="A1522" s="1" t="s">
        <v>119</v>
      </c>
      <c r="B1522" s="38">
        <v>669456.0</v>
      </c>
      <c r="C1522" s="72">
        <v>45909.0</v>
      </c>
      <c r="D1522" s="38">
        <v>90.0</v>
      </c>
      <c r="E1522" s="73" t="str">
        <f>IFERROR(__xludf.DUMMYFUNCTION("average(filter('Appearance Sheet'!F:F,'Appearance Sheet'!G:G=B1522,'Appearance Sheet'!A:A=C1522))"),"#N/A")</f>
        <v>#N/A</v>
      </c>
      <c r="F1522" s="67">
        <v>5.196699868</v>
      </c>
      <c r="G1522" s="40">
        <v>1.755738165</v>
      </c>
      <c r="H1522" s="40" t="str">
        <f t="shared" si="1"/>
        <v>#N/A</v>
      </c>
      <c r="I1522" s="41">
        <v>0.466666667</v>
      </c>
      <c r="J1522" s="41">
        <v>0.166666667</v>
      </c>
      <c r="K1522" s="41">
        <v>0.366666667</v>
      </c>
      <c r="L1522" s="41">
        <f t="shared" si="2"/>
        <v>0.1</v>
      </c>
      <c r="M1522" s="74">
        <v>-5.082006336</v>
      </c>
    </row>
    <row r="1523">
      <c r="A1523" s="1" t="s">
        <v>137</v>
      </c>
      <c r="B1523" s="38">
        <v>453286.0</v>
      </c>
      <c r="C1523" s="72">
        <v>45900.0</v>
      </c>
      <c r="D1523" s="38">
        <v>67.0</v>
      </c>
      <c r="E1523" s="73" t="str">
        <f>IFERROR(__xludf.DUMMYFUNCTION("average(filter('Appearance Sheet'!F:F,'Appearance Sheet'!G:G=B1523,'Appearance Sheet'!A:A=C1523))"),"#N/A")</f>
        <v>#N/A</v>
      </c>
      <c r="F1523" s="67">
        <v>5.196511204</v>
      </c>
      <c r="G1523" s="40">
        <v>1.338350525</v>
      </c>
      <c r="H1523" s="40" t="str">
        <f t="shared" si="1"/>
        <v>#N/A</v>
      </c>
      <c r="I1523" s="41">
        <v>0.462686567</v>
      </c>
      <c r="J1523" s="41">
        <v>0.23880597</v>
      </c>
      <c r="K1523" s="41">
        <v>0.298507463</v>
      </c>
      <c r="L1523" s="41">
        <f t="shared" si="2"/>
        <v>0.164179104</v>
      </c>
      <c r="M1523" s="74">
        <v>-4.830273125</v>
      </c>
    </row>
    <row r="1524">
      <c r="A1524" s="1" t="s">
        <v>358</v>
      </c>
      <c r="B1524" s="38">
        <v>434378.0</v>
      </c>
      <c r="C1524" s="72">
        <v>45756.0</v>
      </c>
      <c r="D1524" s="38">
        <v>86.0</v>
      </c>
      <c r="E1524" s="73">
        <f>IFERROR(__xludf.DUMMYFUNCTION("average(filter('Appearance Sheet'!F:F,'Appearance Sheet'!G:G=B1524,'Appearance Sheet'!A:A=C1524))"),5.666666666666667)</f>
        <v>5.666666667</v>
      </c>
      <c r="F1524" s="67">
        <v>5.196355868</v>
      </c>
      <c r="G1524" s="40">
        <v>1.688319899</v>
      </c>
      <c r="H1524" s="40">
        <f t="shared" si="1"/>
        <v>2.681449251</v>
      </c>
      <c r="I1524" s="41">
        <v>0.546511628</v>
      </c>
      <c r="J1524" s="41">
        <v>0.23255814</v>
      </c>
      <c r="K1524" s="41">
        <v>0.220930233</v>
      </c>
      <c r="L1524" s="41">
        <f t="shared" si="2"/>
        <v>0.325581395</v>
      </c>
      <c r="M1524" s="74">
        <v>0.064751393</v>
      </c>
    </row>
    <row r="1525">
      <c r="A1525" s="1" t="s">
        <v>192</v>
      </c>
      <c r="B1525" s="38">
        <v>642232.0</v>
      </c>
      <c r="C1525" s="72">
        <v>45788.0</v>
      </c>
      <c r="D1525" s="38">
        <v>67.0</v>
      </c>
      <c r="E1525" s="73">
        <f>IFERROR(__xludf.DUMMYFUNCTION("average(filter('Appearance Sheet'!F:F,'Appearance Sheet'!G:G=B1525,'Appearance Sheet'!A:A=C1525))"),5.0)</f>
        <v>5</v>
      </c>
      <c r="F1525" s="67">
        <v>5.196239003</v>
      </c>
      <c r="G1525" s="40">
        <v>1.285975789</v>
      </c>
      <c r="H1525" s="40">
        <f t="shared" si="1"/>
        <v>2.31475642</v>
      </c>
      <c r="I1525" s="41">
        <v>0.462686567</v>
      </c>
      <c r="J1525" s="41">
        <v>0.179104478</v>
      </c>
      <c r="K1525" s="41">
        <v>0.358208955</v>
      </c>
      <c r="L1525" s="41">
        <f t="shared" si="2"/>
        <v>0.104477612</v>
      </c>
      <c r="M1525" s="74">
        <v>-2.33244618</v>
      </c>
    </row>
    <row r="1526">
      <c r="A1526" s="1" t="s">
        <v>159</v>
      </c>
      <c r="B1526" s="38">
        <v>605483.0</v>
      </c>
      <c r="C1526" s="72">
        <v>45878.0</v>
      </c>
      <c r="D1526" s="38">
        <v>86.0</v>
      </c>
      <c r="E1526" s="73" t="str">
        <f>IFERROR(__xludf.DUMMYFUNCTION("average(filter('Appearance Sheet'!F:F,'Appearance Sheet'!G:G=B1526,'Appearance Sheet'!A:A=C1526))"),"#N/A")</f>
        <v>#N/A</v>
      </c>
      <c r="F1526" s="67">
        <v>5.196122543</v>
      </c>
      <c r="G1526" s="40">
        <v>1.639010262</v>
      </c>
      <c r="H1526" s="40" t="str">
        <f t="shared" si="1"/>
        <v>#N/A</v>
      </c>
      <c r="I1526" s="41">
        <v>0.511627907</v>
      </c>
      <c r="J1526" s="41">
        <v>0.220930233</v>
      </c>
      <c r="K1526" s="41">
        <v>0.26744186</v>
      </c>
      <c r="L1526" s="41">
        <f t="shared" si="2"/>
        <v>0.244186047</v>
      </c>
      <c r="M1526" s="74">
        <v>2.221111029</v>
      </c>
    </row>
    <row r="1527">
      <c r="A1527" s="1" t="s">
        <v>129</v>
      </c>
      <c r="B1527" s="38">
        <v>686752.0</v>
      </c>
      <c r="C1527" s="72">
        <v>45829.0</v>
      </c>
      <c r="D1527" s="38">
        <v>94.0</v>
      </c>
      <c r="E1527" s="73">
        <f>IFERROR(__xludf.DUMMYFUNCTION("average(filter('Appearance Sheet'!F:F,'Appearance Sheet'!G:G=B1527,'Appearance Sheet'!A:A=C1527))"),5.0)</f>
        <v>5</v>
      </c>
      <c r="F1527" s="67">
        <v>5.196121218</v>
      </c>
      <c r="G1527" s="40">
        <v>1.801898802</v>
      </c>
      <c r="H1527" s="40">
        <f t="shared" si="1"/>
        <v>3.243417844</v>
      </c>
      <c r="I1527" s="41">
        <v>0.531914894</v>
      </c>
      <c r="J1527" s="41">
        <v>0.170212766</v>
      </c>
      <c r="K1527" s="41">
        <v>0.29787234</v>
      </c>
      <c r="L1527" s="41">
        <f t="shared" si="2"/>
        <v>0.234042554</v>
      </c>
      <c r="M1527" s="74">
        <v>2.296835795</v>
      </c>
    </row>
    <row r="1528">
      <c r="A1528" s="1" t="s">
        <v>336</v>
      </c>
      <c r="B1528" s="38">
        <v>605488.0</v>
      </c>
      <c r="C1528" s="72">
        <v>45909.0</v>
      </c>
      <c r="D1528" s="38">
        <v>91.0</v>
      </c>
      <c r="E1528" s="73" t="str">
        <f>IFERROR(__xludf.DUMMYFUNCTION("average(filter('Appearance Sheet'!F:F,'Appearance Sheet'!G:G=B1528,'Appearance Sheet'!A:A=C1528))"),"#N/A")</f>
        <v>#N/A</v>
      </c>
      <c r="F1528" s="67">
        <v>5.196074948</v>
      </c>
      <c r="G1528" s="40">
        <v>1.742858329</v>
      </c>
      <c r="H1528" s="40" t="str">
        <f t="shared" si="1"/>
        <v>#N/A</v>
      </c>
      <c r="I1528" s="41">
        <v>0.450549451</v>
      </c>
      <c r="J1528" s="41">
        <v>0.21978022</v>
      </c>
      <c r="K1528" s="41">
        <v>0.32967033</v>
      </c>
      <c r="L1528" s="41">
        <f t="shared" si="2"/>
        <v>0.120879121</v>
      </c>
      <c r="M1528" s="74">
        <v>-2.728904257</v>
      </c>
    </row>
    <row r="1529">
      <c r="A1529" s="1" t="s">
        <v>306</v>
      </c>
      <c r="B1529" s="38">
        <v>677944.0</v>
      </c>
      <c r="C1529" s="72">
        <v>45830.0</v>
      </c>
      <c r="D1529" s="38">
        <v>79.0</v>
      </c>
      <c r="E1529" s="73">
        <f>IFERROR(__xludf.DUMMYFUNCTION("average(filter('Appearance Sheet'!F:F,'Appearance Sheet'!G:G=B1529,'Appearance Sheet'!A:A=C1529))"),7.0)</f>
        <v>7</v>
      </c>
      <c r="F1529" s="67">
        <v>5.195749169</v>
      </c>
      <c r="G1529" s="40">
        <v>1.550656024</v>
      </c>
      <c r="H1529" s="40">
        <f t="shared" si="1"/>
        <v>1.993700602</v>
      </c>
      <c r="I1529" s="41">
        <v>0.405063291</v>
      </c>
      <c r="J1529" s="41">
        <v>0.316455696</v>
      </c>
      <c r="K1529" s="41">
        <v>0.278481013</v>
      </c>
      <c r="L1529" s="41">
        <f t="shared" si="2"/>
        <v>0.126582278</v>
      </c>
      <c r="M1529" s="74">
        <v>-0.842849222</v>
      </c>
    </row>
    <row r="1530">
      <c r="A1530" s="1" t="s">
        <v>383</v>
      </c>
      <c r="B1530" s="38">
        <v>573186.0</v>
      </c>
      <c r="C1530" s="72">
        <v>45746.0</v>
      </c>
      <c r="D1530" s="38">
        <v>79.0</v>
      </c>
      <c r="E1530" s="73">
        <f>IFERROR(__xludf.DUMMYFUNCTION("average(filter('Appearance Sheet'!F:F,'Appearance Sheet'!G:G=B1530,'Appearance Sheet'!A:A=C1530))"),4.666666666666667)</f>
        <v>4.666666667</v>
      </c>
      <c r="F1530" s="67">
        <v>5.195711486</v>
      </c>
      <c r="G1530" s="40">
        <v>1.508186505</v>
      </c>
      <c r="H1530" s="40">
        <f t="shared" si="1"/>
        <v>2.908645403</v>
      </c>
      <c r="I1530" s="41">
        <v>0.518987342</v>
      </c>
      <c r="J1530" s="41">
        <v>0.151898734</v>
      </c>
      <c r="K1530" s="41">
        <v>0.329113924</v>
      </c>
      <c r="L1530" s="41">
        <f t="shared" si="2"/>
        <v>0.189873418</v>
      </c>
      <c r="M1530" s="74">
        <v>-0.139045326</v>
      </c>
    </row>
    <row r="1531">
      <c r="A1531" s="1" t="s">
        <v>445</v>
      </c>
      <c r="B1531" s="38">
        <v>663855.0</v>
      </c>
      <c r="C1531" s="72">
        <v>45786.0</v>
      </c>
      <c r="D1531" s="38">
        <v>76.0</v>
      </c>
      <c r="E1531" s="73">
        <f>IFERROR(__xludf.DUMMYFUNCTION("average(filter('Appearance Sheet'!F:F,'Appearance Sheet'!G:G=B1531,'Appearance Sheet'!A:A=C1531))"),6.0)</f>
        <v>6</v>
      </c>
      <c r="F1531" s="67">
        <v>5.19561593</v>
      </c>
      <c r="G1531" s="40">
        <v>1.480461408</v>
      </c>
      <c r="H1531" s="40">
        <f t="shared" si="1"/>
        <v>2.220692112</v>
      </c>
      <c r="I1531" s="41">
        <v>0.526315789</v>
      </c>
      <c r="J1531" s="41">
        <v>0.131578947</v>
      </c>
      <c r="K1531" s="41">
        <v>0.342105263</v>
      </c>
      <c r="L1531" s="41">
        <f t="shared" si="2"/>
        <v>0.184210526</v>
      </c>
      <c r="M1531" s="74">
        <v>-2.800705181</v>
      </c>
    </row>
    <row r="1532">
      <c r="A1532" s="1" t="s">
        <v>380</v>
      </c>
      <c r="B1532" s="38">
        <v>661563.0</v>
      </c>
      <c r="C1532" s="72">
        <v>45878.0</v>
      </c>
      <c r="D1532" s="38">
        <v>89.0</v>
      </c>
      <c r="E1532" s="73" t="str">
        <f>IFERROR(__xludf.DUMMYFUNCTION("average(filter('Appearance Sheet'!F:F,'Appearance Sheet'!G:G=B1532,'Appearance Sheet'!A:A=C1532))"),"#N/A")</f>
        <v>#N/A</v>
      </c>
      <c r="F1532" s="67">
        <v>5.195439263</v>
      </c>
      <c r="G1532" s="40">
        <v>1.688758707</v>
      </c>
      <c r="H1532" s="40" t="str">
        <f t="shared" si="1"/>
        <v>#N/A</v>
      </c>
      <c r="I1532" s="41">
        <v>0.516853933</v>
      </c>
      <c r="J1532" s="41">
        <v>0.123595506</v>
      </c>
      <c r="K1532" s="41">
        <v>0.359550562</v>
      </c>
      <c r="L1532" s="41">
        <f t="shared" si="2"/>
        <v>0.157303371</v>
      </c>
      <c r="M1532" s="74">
        <v>-2.236491875</v>
      </c>
    </row>
    <row r="1533">
      <c r="A1533" s="1" t="s">
        <v>573</v>
      </c>
      <c r="B1533" s="38">
        <v>686930.0</v>
      </c>
      <c r="C1533" s="72">
        <v>45917.0</v>
      </c>
      <c r="D1533" s="38">
        <v>89.0</v>
      </c>
      <c r="E1533" s="73" t="str">
        <f>IFERROR(__xludf.DUMMYFUNCTION("average(filter('Appearance Sheet'!F:F,'Appearance Sheet'!G:G=B1533,'Appearance Sheet'!A:A=C1533))"),"#N/A")</f>
        <v>#N/A</v>
      </c>
      <c r="F1533" s="67">
        <v>5.195415368</v>
      </c>
      <c r="G1533" s="40">
        <v>1.673534529</v>
      </c>
      <c r="H1533" s="40" t="str">
        <f t="shared" si="1"/>
        <v>#N/A</v>
      </c>
      <c r="I1533" s="41">
        <v>0.561797753</v>
      </c>
      <c r="J1533" s="41">
        <v>0.112359551</v>
      </c>
      <c r="K1533" s="41">
        <v>0.325842697</v>
      </c>
      <c r="L1533" s="41">
        <f t="shared" si="2"/>
        <v>0.235955056</v>
      </c>
      <c r="M1533" s="74">
        <v>-0.478580483</v>
      </c>
    </row>
    <row r="1534">
      <c r="A1534" s="1" t="s">
        <v>256</v>
      </c>
      <c r="B1534" s="38">
        <v>571760.0</v>
      </c>
      <c r="C1534" s="72">
        <v>45753.0</v>
      </c>
      <c r="D1534" s="38">
        <v>97.0</v>
      </c>
      <c r="E1534" s="73">
        <f>IFERROR(__xludf.DUMMYFUNCTION("average(filter('Appearance Sheet'!F:F,'Appearance Sheet'!G:G=B1534,'Appearance Sheet'!A:A=C1534))"),7.0)</f>
        <v>7</v>
      </c>
      <c r="F1534" s="67">
        <v>5.195388021</v>
      </c>
      <c r="G1534" s="40">
        <v>1.879214536</v>
      </c>
      <c r="H1534" s="40">
        <f t="shared" si="1"/>
        <v>2.416132975</v>
      </c>
      <c r="I1534" s="41">
        <v>0.474226804</v>
      </c>
      <c r="J1534" s="41">
        <v>0.144329897</v>
      </c>
      <c r="K1534" s="41">
        <v>0.381443299</v>
      </c>
      <c r="L1534" s="41">
        <f t="shared" si="2"/>
        <v>0.092783505</v>
      </c>
      <c r="M1534" s="74">
        <v>-0.093230438</v>
      </c>
    </row>
    <row r="1535">
      <c r="A1535" s="1" t="s">
        <v>166</v>
      </c>
      <c r="B1535" s="38">
        <v>608331.0</v>
      </c>
      <c r="C1535" s="72">
        <v>45751.0</v>
      </c>
      <c r="D1535" s="38">
        <v>95.0</v>
      </c>
      <c r="E1535" s="73">
        <f>IFERROR(__xludf.DUMMYFUNCTION("average(filter('Appearance Sheet'!F:F,'Appearance Sheet'!G:G=B1535,'Appearance Sheet'!A:A=C1535))"),5.666666666666667)</f>
        <v>5.666666667</v>
      </c>
      <c r="F1535" s="67">
        <v>5.195132207</v>
      </c>
      <c r="G1535" s="40">
        <v>1.779261614</v>
      </c>
      <c r="H1535" s="40">
        <f t="shared" si="1"/>
        <v>2.825886093</v>
      </c>
      <c r="I1535" s="41">
        <v>0.505263158</v>
      </c>
      <c r="J1535" s="41">
        <v>0.178947368</v>
      </c>
      <c r="K1535" s="41">
        <v>0.315789474</v>
      </c>
      <c r="L1535" s="41">
        <f t="shared" si="2"/>
        <v>0.189473684</v>
      </c>
      <c r="M1535" s="74">
        <v>-0.255509188</v>
      </c>
    </row>
    <row r="1536">
      <c r="A1536" s="1" t="s">
        <v>77</v>
      </c>
      <c r="B1536" s="38">
        <v>657277.0</v>
      </c>
      <c r="C1536" s="72">
        <v>45902.0</v>
      </c>
      <c r="D1536" s="38">
        <v>85.0</v>
      </c>
      <c r="E1536" s="73" t="str">
        <f>IFERROR(__xludf.DUMMYFUNCTION("average(filter('Appearance Sheet'!F:F,'Appearance Sheet'!G:G=B1536,'Appearance Sheet'!A:A=C1536))"),"#N/A")</f>
        <v>#N/A</v>
      </c>
      <c r="F1536" s="67">
        <v>5.195113841</v>
      </c>
      <c r="G1536" s="40">
        <v>1.593319214</v>
      </c>
      <c r="H1536" s="40" t="str">
        <f t="shared" si="1"/>
        <v>#N/A</v>
      </c>
      <c r="I1536" s="41">
        <v>0.470588235</v>
      </c>
      <c r="J1536" s="41">
        <v>0.176470588</v>
      </c>
      <c r="K1536" s="41">
        <v>0.352941176</v>
      </c>
      <c r="L1536" s="41">
        <f t="shared" si="2"/>
        <v>0.117647059</v>
      </c>
      <c r="M1536" s="74">
        <v>-2.181886882</v>
      </c>
    </row>
    <row r="1537">
      <c r="A1537" s="1" t="s">
        <v>303</v>
      </c>
      <c r="B1537" s="38">
        <v>592662.0</v>
      </c>
      <c r="C1537" s="72">
        <v>45887.0</v>
      </c>
      <c r="D1537" s="38">
        <v>103.0</v>
      </c>
      <c r="E1537" s="73" t="str">
        <f>IFERROR(__xludf.DUMMYFUNCTION("average(filter('Appearance Sheet'!F:F,'Appearance Sheet'!G:G=B1537,'Appearance Sheet'!A:A=C1537))"),"#N/A")</f>
        <v>#N/A</v>
      </c>
      <c r="F1537" s="67">
        <v>5.194917539</v>
      </c>
      <c r="G1537" s="40">
        <v>1.99864795</v>
      </c>
      <c r="H1537" s="40" t="str">
        <f t="shared" si="1"/>
        <v>#N/A</v>
      </c>
      <c r="I1537" s="41">
        <v>0.475728155</v>
      </c>
      <c r="J1537" s="41">
        <v>0.203883495</v>
      </c>
      <c r="K1537" s="41">
        <v>0.32038835</v>
      </c>
      <c r="L1537" s="41">
        <f t="shared" si="2"/>
        <v>0.155339805</v>
      </c>
      <c r="M1537" s="74">
        <v>2.672975388</v>
      </c>
    </row>
    <row r="1538">
      <c r="A1538" s="1" t="s">
        <v>147</v>
      </c>
      <c r="B1538" s="38">
        <v>608379.0</v>
      </c>
      <c r="C1538" s="72">
        <v>45887.0</v>
      </c>
      <c r="D1538" s="38">
        <v>92.0</v>
      </c>
      <c r="E1538" s="73" t="str">
        <f>IFERROR(__xludf.DUMMYFUNCTION("average(filter('Appearance Sheet'!F:F,'Appearance Sheet'!G:G=B1538,'Appearance Sheet'!A:A=C1538))"),"#N/A")</f>
        <v>#N/A</v>
      </c>
      <c r="F1538" s="67">
        <v>5.194888928</v>
      </c>
      <c r="G1538" s="40">
        <v>1.743634261</v>
      </c>
      <c r="H1538" s="40" t="str">
        <f t="shared" si="1"/>
        <v>#N/A</v>
      </c>
      <c r="I1538" s="41">
        <v>0.467391304</v>
      </c>
      <c r="J1538" s="41">
        <v>0.25</v>
      </c>
      <c r="K1538" s="41">
        <v>0.282608696</v>
      </c>
      <c r="L1538" s="41">
        <f t="shared" si="2"/>
        <v>0.184782608</v>
      </c>
      <c r="M1538" s="74">
        <v>-2.991660578</v>
      </c>
    </row>
    <row r="1539">
      <c r="A1539" s="1" t="s">
        <v>285</v>
      </c>
      <c r="B1539" s="38">
        <v>607074.0</v>
      </c>
      <c r="C1539" s="72">
        <v>45776.0</v>
      </c>
      <c r="D1539" s="38">
        <v>89.0</v>
      </c>
      <c r="E1539" s="73">
        <f>IFERROR(__xludf.DUMMYFUNCTION("average(filter('Appearance Sheet'!F:F,'Appearance Sheet'!G:G=B1539,'Appearance Sheet'!A:A=C1539))"),6.0)</f>
        <v>6</v>
      </c>
      <c r="F1539" s="67">
        <v>5.194535173</v>
      </c>
      <c r="G1539" s="40">
        <v>1.696530994</v>
      </c>
      <c r="H1539" s="40">
        <f t="shared" si="1"/>
        <v>2.544796491</v>
      </c>
      <c r="I1539" s="41">
        <v>0.561797753</v>
      </c>
      <c r="J1539" s="41">
        <v>0.146067416</v>
      </c>
      <c r="K1539" s="41">
        <v>0.292134831</v>
      </c>
      <c r="L1539" s="41">
        <f t="shared" si="2"/>
        <v>0.269662922</v>
      </c>
      <c r="M1539" s="74">
        <v>2.759475577</v>
      </c>
    </row>
    <row r="1540">
      <c r="A1540" s="1" t="s">
        <v>79</v>
      </c>
      <c r="B1540" s="38">
        <v>554430.0</v>
      </c>
      <c r="C1540" s="72">
        <v>45749.0</v>
      </c>
      <c r="D1540" s="38">
        <v>103.0</v>
      </c>
      <c r="E1540" s="73">
        <f>IFERROR(__xludf.DUMMYFUNCTION("average(filter('Appearance Sheet'!F:F,'Appearance Sheet'!G:G=B1540,'Appearance Sheet'!A:A=C1540))"),7.0)</f>
        <v>7</v>
      </c>
      <c r="F1540" s="67">
        <v>5.194384676</v>
      </c>
      <c r="G1540" s="40">
        <v>1.944157823</v>
      </c>
      <c r="H1540" s="40">
        <f t="shared" si="1"/>
        <v>2.499631487</v>
      </c>
      <c r="I1540" s="41">
        <v>0.417475728</v>
      </c>
      <c r="J1540" s="41">
        <v>0.223300971</v>
      </c>
      <c r="K1540" s="41">
        <v>0.359223301</v>
      </c>
      <c r="L1540" s="41">
        <f t="shared" si="2"/>
        <v>0.058252427</v>
      </c>
      <c r="M1540" s="74">
        <v>2.214429097</v>
      </c>
    </row>
    <row r="1541">
      <c r="A1541" s="1" t="s">
        <v>195</v>
      </c>
      <c r="B1541" s="38">
        <v>668678.0</v>
      </c>
      <c r="C1541" s="72">
        <v>45805.0</v>
      </c>
      <c r="D1541" s="38">
        <v>92.0</v>
      </c>
      <c r="E1541" s="73">
        <f>IFERROR(__xludf.DUMMYFUNCTION("average(filter('Appearance Sheet'!F:F,'Appearance Sheet'!G:G=B1541,'Appearance Sheet'!A:A=C1541))"),5.0)</f>
        <v>5</v>
      </c>
      <c r="F1541" s="67">
        <v>5.194185031</v>
      </c>
      <c r="G1541" s="40">
        <v>1.757851261</v>
      </c>
      <c r="H1541" s="40">
        <f t="shared" si="1"/>
        <v>3.16413227</v>
      </c>
      <c r="I1541" s="41">
        <v>0.510869565</v>
      </c>
      <c r="J1541" s="41">
        <v>0.184782609</v>
      </c>
      <c r="K1541" s="41">
        <v>0.304347826</v>
      </c>
      <c r="L1541" s="41">
        <f t="shared" si="2"/>
        <v>0.206521739</v>
      </c>
      <c r="M1541" s="74">
        <v>-0.632273505</v>
      </c>
    </row>
    <row r="1542">
      <c r="A1542" s="1" t="s">
        <v>307</v>
      </c>
      <c r="B1542" s="38">
        <v>656849.0</v>
      </c>
      <c r="C1542" s="72">
        <v>45759.0</v>
      </c>
      <c r="D1542" s="38">
        <v>85.0</v>
      </c>
      <c r="E1542" s="73">
        <f>IFERROR(__xludf.DUMMYFUNCTION("average(filter('Appearance Sheet'!F:F,'Appearance Sheet'!G:G=B1542,'Appearance Sheet'!A:A=C1542))"),6.0)</f>
        <v>6</v>
      </c>
      <c r="F1542" s="67">
        <v>5.194175492</v>
      </c>
      <c r="G1542" s="40">
        <v>1.655052483</v>
      </c>
      <c r="H1542" s="40">
        <f t="shared" si="1"/>
        <v>2.482578725</v>
      </c>
      <c r="I1542" s="41">
        <v>0.447058824</v>
      </c>
      <c r="J1542" s="41">
        <v>0.294117647</v>
      </c>
      <c r="K1542" s="41">
        <v>0.258823529</v>
      </c>
      <c r="L1542" s="41">
        <f t="shared" si="2"/>
        <v>0.188235295</v>
      </c>
      <c r="M1542" s="74">
        <v>-0.6592225</v>
      </c>
    </row>
    <row r="1543">
      <c r="A1543" s="1" t="s">
        <v>97</v>
      </c>
      <c r="B1543" s="38">
        <v>656876.0</v>
      </c>
      <c r="C1543" s="72">
        <v>45771.0</v>
      </c>
      <c r="D1543" s="38">
        <v>78.0</v>
      </c>
      <c r="E1543" s="73">
        <f>IFERROR(__xludf.DUMMYFUNCTION("average(filter('Appearance Sheet'!F:F,'Appearance Sheet'!G:G=B1543,'Appearance Sheet'!A:A=C1543))"),5.0)</f>
        <v>5</v>
      </c>
      <c r="F1543" s="67">
        <v>5.19395867</v>
      </c>
      <c r="G1543" s="40">
        <v>1.51508609</v>
      </c>
      <c r="H1543" s="40">
        <f t="shared" si="1"/>
        <v>2.727154962</v>
      </c>
      <c r="I1543" s="41">
        <v>0.551282051</v>
      </c>
      <c r="J1543" s="41">
        <v>0.141025641</v>
      </c>
      <c r="K1543" s="41">
        <v>0.307692308</v>
      </c>
      <c r="L1543" s="41">
        <f t="shared" si="2"/>
        <v>0.243589743</v>
      </c>
      <c r="M1543" s="74">
        <v>1.590370651</v>
      </c>
    </row>
    <row r="1544">
      <c r="A1544" s="1" t="s">
        <v>77</v>
      </c>
      <c r="B1544" s="38">
        <v>657277.0</v>
      </c>
      <c r="C1544" s="72">
        <v>45787.0</v>
      </c>
      <c r="D1544" s="38">
        <v>99.0</v>
      </c>
      <c r="E1544" s="73">
        <f>IFERROR(__xludf.DUMMYFUNCTION("average(filter('Appearance Sheet'!F:F,'Appearance Sheet'!G:G=B1544,'Appearance Sheet'!A:A=C1544))"),7.0)</f>
        <v>7</v>
      </c>
      <c r="F1544" s="67">
        <v>5.193822957</v>
      </c>
      <c r="G1544" s="40">
        <v>1.855592256</v>
      </c>
      <c r="H1544" s="40">
        <f t="shared" si="1"/>
        <v>2.385761472</v>
      </c>
      <c r="I1544" s="41">
        <v>0.494949495</v>
      </c>
      <c r="J1544" s="41">
        <v>0.161616162</v>
      </c>
      <c r="K1544" s="41">
        <v>0.343434343</v>
      </c>
      <c r="L1544" s="41">
        <f t="shared" si="2"/>
        <v>0.151515152</v>
      </c>
      <c r="M1544" s="74">
        <v>-1.452680853</v>
      </c>
    </row>
    <row r="1545">
      <c r="A1545" s="1" t="s">
        <v>267</v>
      </c>
      <c r="B1545" s="38">
        <v>669387.0</v>
      </c>
      <c r="C1545" s="72">
        <v>45782.0</v>
      </c>
      <c r="D1545" s="38">
        <v>88.0</v>
      </c>
      <c r="E1545" s="73">
        <f>IFERROR(__xludf.DUMMYFUNCTION("average(filter('Appearance Sheet'!F:F,'Appearance Sheet'!G:G=B1545,'Appearance Sheet'!A:A=C1545))"),4.666666666666667)</f>
        <v>4.666666667</v>
      </c>
      <c r="F1545" s="67">
        <v>5.193585576</v>
      </c>
      <c r="G1545" s="40">
        <v>1.668219309</v>
      </c>
      <c r="H1545" s="40">
        <f t="shared" si="1"/>
        <v>3.217280096</v>
      </c>
      <c r="I1545" s="41">
        <v>0.488636364</v>
      </c>
      <c r="J1545" s="41">
        <v>0.193181818</v>
      </c>
      <c r="K1545" s="41">
        <v>0.318181818</v>
      </c>
      <c r="L1545" s="41">
        <f t="shared" si="2"/>
        <v>0.170454546</v>
      </c>
      <c r="M1545" s="74">
        <v>1.542521841</v>
      </c>
    </row>
    <row r="1546">
      <c r="A1546" s="1" t="s">
        <v>194</v>
      </c>
      <c r="B1546" s="38">
        <v>666157.0</v>
      </c>
      <c r="C1546" s="72">
        <v>45755.0</v>
      </c>
      <c r="D1546" s="38">
        <v>86.0</v>
      </c>
      <c r="E1546" s="73">
        <f>IFERROR(__xludf.DUMMYFUNCTION("average(filter('Appearance Sheet'!F:F,'Appearance Sheet'!G:G=B1546,'Appearance Sheet'!A:A=C1546))"),6.0)</f>
        <v>6</v>
      </c>
      <c r="F1546" s="67">
        <v>5.193390348</v>
      </c>
      <c r="G1546" s="40">
        <v>1.644370151</v>
      </c>
      <c r="H1546" s="40">
        <f t="shared" si="1"/>
        <v>2.466555227</v>
      </c>
      <c r="I1546" s="41">
        <v>0.488372093</v>
      </c>
      <c r="J1546" s="41">
        <v>0.186046512</v>
      </c>
      <c r="K1546" s="41">
        <v>0.325581395</v>
      </c>
      <c r="L1546" s="41">
        <f t="shared" si="2"/>
        <v>0.162790698</v>
      </c>
      <c r="M1546" s="74">
        <v>1.866906724</v>
      </c>
    </row>
    <row r="1547">
      <c r="A1547" s="1" t="s">
        <v>481</v>
      </c>
      <c r="B1547" s="38">
        <v>622608.0</v>
      </c>
      <c r="C1547" s="72">
        <v>45773.0</v>
      </c>
      <c r="D1547" s="38">
        <v>91.0</v>
      </c>
      <c r="E1547" s="73">
        <f>IFERROR(__xludf.DUMMYFUNCTION("average(filter('Appearance Sheet'!F:F,'Appearance Sheet'!G:G=B1547,'Appearance Sheet'!A:A=C1547))"),5.0)</f>
        <v>5</v>
      </c>
      <c r="F1547" s="67">
        <v>5.193216578</v>
      </c>
      <c r="G1547" s="40">
        <v>1.759721744</v>
      </c>
      <c r="H1547" s="40">
        <f t="shared" si="1"/>
        <v>3.167499139</v>
      </c>
      <c r="I1547" s="41">
        <v>0.472527473</v>
      </c>
      <c r="J1547" s="41">
        <v>0.186813187</v>
      </c>
      <c r="K1547" s="41">
        <v>0.340659341</v>
      </c>
      <c r="L1547" s="41">
        <f t="shared" si="2"/>
        <v>0.131868132</v>
      </c>
      <c r="M1547" s="74">
        <v>-1.487800665</v>
      </c>
    </row>
    <row r="1548">
      <c r="A1548" s="1" t="s">
        <v>272</v>
      </c>
      <c r="B1548" s="38">
        <v>622491.0</v>
      </c>
      <c r="C1548" s="72">
        <v>45780.0</v>
      </c>
      <c r="D1548" s="38">
        <v>85.0</v>
      </c>
      <c r="E1548" s="73">
        <f>IFERROR(__xludf.DUMMYFUNCTION("average(filter('Appearance Sheet'!F:F,'Appearance Sheet'!G:G=B1548,'Appearance Sheet'!A:A=C1548))"),6.0)</f>
        <v>6</v>
      </c>
      <c r="F1548" s="67">
        <v>5.192931614</v>
      </c>
      <c r="G1548" s="40">
        <v>1.657424092</v>
      </c>
      <c r="H1548" s="40">
        <f t="shared" si="1"/>
        <v>2.486136138</v>
      </c>
      <c r="I1548" s="41">
        <v>0.564705882</v>
      </c>
      <c r="J1548" s="41">
        <v>0.141176471</v>
      </c>
      <c r="K1548" s="41">
        <v>0.294117647</v>
      </c>
      <c r="L1548" s="41">
        <f t="shared" si="2"/>
        <v>0.270588235</v>
      </c>
      <c r="M1548" s="74">
        <v>2.572206978</v>
      </c>
    </row>
    <row r="1549">
      <c r="A1549" s="1" t="s">
        <v>398</v>
      </c>
      <c r="B1549" s="38">
        <v>676282.0</v>
      </c>
      <c r="C1549" s="72">
        <v>45851.0</v>
      </c>
      <c r="D1549" s="38">
        <v>88.0</v>
      </c>
      <c r="E1549" s="73" t="str">
        <f>IFERROR(__xludf.DUMMYFUNCTION("average(filter('Appearance Sheet'!F:F,'Appearance Sheet'!G:G=B1549,'Appearance Sheet'!A:A=C1549))"),"#N/A")</f>
        <v>#N/A</v>
      </c>
      <c r="F1549" s="67">
        <v>5.192827323</v>
      </c>
      <c r="G1549" s="40">
        <v>1.720229423</v>
      </c>
      <c r="H1549" s="40" t="str">
        <f t="shared" si="1"/>
        <v>#N/A</v>
      </c>
      <c r="I1549" s="41">
        <v>0.454545455</v>
      </c>
      <c r="J1549" s="41">
        <v>0.193181818</v>
      </c>
      <c r="K1549" s="41">
        <v>0.352272727</v>
      </c>
      <c r="L1549" s="41">
        <f t="shared" si="2"/>
        <v>0.102272728</v>
      </c>
      <c r="M1549" s="74">
        <v>-1.402575153</v>
      </c>
    </row>
    <row r="1550">
      <c r="A1550" s="1" t="s">
        <v>125</v>
      </c>
      <c r="B1550" s="38">
        <v>663554.0</v>
      </c>
      <c r="C1550" s="72">
        <v>45916.0</v>
      </c>
      <c r="D1550" s="38">
        <v>86.0</v>
      </c>
      <c r="E1550" s="73" t="str">
        <f>IFERROR(__xludf.DUMMYFUNCTION("average(filter('Appearance Sheet'!F:F,'Appearance Sheet'!G:G=B1550,'Appearance Sheet'!A:A=C1550))"),"#N/A")</f>
        <v>#N/A</v>
      </c>
      <c r="F1550" s="67">
        <v>5.192729463</v>
      </c>
      <c r="G1550" s="40">
        <v>1.672541908</v>
      </c>
      <c r="H1550" s="40" t="str">
        <f t="shared" si="1"/>
        <v>#N/A</v>
      </c>
      <c r="I1550" s="41">
        <v>0.5</v>
      </c>
      <c r="J1550" s="41">
        <v>0.197674419</v>
      </c>
      <c r="K1550" s="41">
        <v>0.302325581</v>
      </c>
      <c r="L1550" s="41">
        <f t="shared" si="2"/>
        <v>0.197674419</v>
      </c>
      <c r="M1550" s="74">
        <v>-2.307873128</v>
      </c>
    </row>
    <row r="1551">
      <c r="A1551" s="1" t="s">
        <v>156</v>
      </c>
      <c r="B1551" s="38">
        <v>519242.0</v>
      </c>
      <c r="C1551" s="72">
        <v>45783.0</v>
      </c>
      <c r="D1551" s="38">
        <v>110.0</v>
      </c>
      <c r="E1551" s="73">
        <f>IFERROR(__xludf.DUMMYFUNCTION("average(filter('Appearance Sheet'!F:F,'Appearance Sheet'!G:G=B1551,'Appearance Sheet'!A:A=C1551))"),6.666666666666667)</f>
        <v>6.666666667</v>
      </c>
      <c r="F1551" s="67">
        <v>5.192664826</v>
      </c>
      <c r="G1551" s="40">
        <v>2.071669481</v>
      </c>
      <c r="H1551" s="40">
        <f t="shared" si="1"/>
        <v>2.796753799</v>
      </c>
      <c r="I1551" s="41">
        <v>0.536363636</v>
      </c>
      <c r="J1551" s="41">
        <v>0.136363636</v>
      </c>
      <c r="K1551" s="41">
        <v>0.327272727</v>
      </c>
      <c r="L1551" s="41">
        <f t="shared" si="2"/>
        <v>0.209090909</v>
      </c>
      <c r="M1551" s="74">
        <v>0.915690589</v>
      </c>
    </row>
    <row r="1552">
      <c r="A1552" s="1" t="s">
        <v>180</v>
      </c>
      <c r="B1552" s="38">
        <v>642547.0</v>
      </c>
      <c r="C1552" s="72">
        <v>45840.0</v>
      </c>
      <c r="D1552" s="38">
        <v>98.0</v>
      </c>
      <c r="E1552" s="73">
        <f>IFERROR(__xludf.DUMMYFUNCTION("average(filter('Appearance Sheet'!F:F,'Appearance Sheet'!G:G=B1552,'Appearance Sheet'!A:A=C1552))"),6.0)</f>
        <v>6</v>
      </c>
      <c r="F1552" s="67">
        <v>5.192664452</v>
      </c>
      <c r="G1552" s="40">
        <v>1.838745418</v>
      </c>
      <c r="H1552" s="40">
        <f t="shared" si="1"/>
        <v>2.758118127</v>
      </c>
      <c r="I1552" s="41">
        <v>0.530612245</v>
      </c>
      <c r="J1552" s="41">
        <v>0.112244898</v>
      </c>
      <c r="K1552" s="41">
        <v>0.357142857</v>
      </c>
      <c r="L1552" s="41">
        <f t="shared" si="2"/>
        <v>0.173469388</v>
      </c>
      <c r="M1552" s="74">
        <v>3.041435164</v>
      </c>
    </row>
    <row r="1553">
      <c r="A1553" s="1" t="s">
        <v>368</v>
      </c>
      <c r="B1553" s="38">
        <v>593958.0</v>
      </c>
      <c r="C1553" s="72">
        <v>45776.0</v>
      </c>
      <c r="D1553" s="38">
        <v>67.0</v>
      </c>
      <c r="E1553" s="73">
        <f>IFERROR(__xludf.DUMMYFUNCTION("average(filter('Appearance Sheet'!F:F,'Appearance Sheet'!G:G=B1553,'Appearance Sheet'!A:A=C1553))"),4.0)</f>
        <v>4</v>
      </c>
      <c r="F1553" s="67">
        <v>5.191997748</v>
      </c>
      <c r="G1553" s="40">
        <v>1.305650585</v>
      </c>
      <c r="H1553" s="40">
        <f t="shared" si="1"/>
        <v>2.937713816</v>
      </c>
      <c r="I1553" s="41">
        <v>0.47761194</v>
      </c>
      <c r="J1553" s="41">
        <v>0.164179104</v>
      </c>
      <c r="K1553" s="41">
        <v>0.358208955</v>
      </c>
      <c r="L1553" s="41">
        <f t="shared" si="2"/>
        <v>0.119402985</v>
      </c>
      <c r="M1553" s="74">
        <v>-5.370049109</v>
      </c>
    </row>
    <row r="1554">
      <c r="A1554" s="1" t="s">
        <v>90</v>
      </c>
      <c r="B1554" s="38">
        <v>693433.0</v>
      </c>
      <c r="C1554" s="72">
        <v>45790.0</v>
      </c>
      <c r="D1554" s="38">
        <v>87.0</v>
      </c>
      <c r="E1554" s="73">
        <f>IFERROR(__xludf.DUMMYFUNCTION("average(filter('Appearance Sheet'!F:F,'Appearance Sheet'!G:G=B1554,'Appearance Sheet'!A:A=C1554))"),6.333333333333333)</f>
        <v>6.333333333</v>
      </c>
      <c r="F1554" s="67">
        <v>5.191783627</v>
      </c>
      <c r="G1554" s="40">
        <v>1.681255446</v>
      </c>
      <c r="H1554" s="40">
        <f t="shared" si="1"/>
        <v>2.389152476</v>
      </c>
      <c r="I1554" s="41">
        <v>0.540229885</v>
      </c>
      <c r="J1554" s="41">
        <v>0.114942529</v>
      </c>
      <c r="K1554" s="41">
        <v>0.344827586</v>
      </c>
      <c r="L1554" s="41">
        <f t="shared" si="2"/>
        <v>0.195402299</v>
      </c>
      <c r="M1554" s="74">
        <v>0.351661319</v>
      </c>
    </row>
    <row r="1555">
      <c r="A1555" s="1" t="s">
        <v>285</v>
      </c>
      <c r="B1555" s="38">
        <v>607074.0</v>
      </c>
      <c r="C1555" s="72">
        <v>45754.0</v>
      </c>
      <c r="D1555" s="38">
        <v>94.0</v>
      </c>
      <c r="E1555" s="73">
        <f>IFERROR(__xludf.DUMMYFUNCTION("average(filter('Appearance Sheet'!F:F,'Appearance Sheet'!G:G=B1555,'Appearance Sheet'!A:A=C1555))"),6.0)</f>
        <v>6</v>
      </c>
      <c r="F1555" s="67">
        <v>5.19168721</v>
      </c>
      <c r="G1555" s="40">
        <v>1.773260859</v>
      </c>
      <c r="H1555" s="40">
        <f t="shared" si="1"/>
        <v>2.659891289</v>
      </c>
      <c r="I1555" s="41">
        <v>0.489361702</v>
      </c>
      <c r="J1555" s="41">
        <v>0.14893617</v>
      </c>
      <c r="K1555" s="41">
        <v>0.361702128</v>
      </c>
      <c r="L1555" s="41">
        <f t="shared" si="2"/>
        <v>0.127659574</v>
      </c>
      <c r="M1555" s="74">
        <v>0.482544855</v>
      </c>
    </row>
    <row r="1556">
      <c r="A1556" s="1" t="s">
        <v>242</v>
      </c>
      <c r="B1556" s="38">
        <v>669358.0</v>
      </c>
      <c r="C1556" s="72">
        <v>45772.0</v>
      </c>
      <c r="D1556" s="38">
        <v>96.0</v>
      </c>
      <c r="E1556" s="73">
        <f>IFERROR(__xludf.DUMMYFUNCTION("average(filter('Appearance Sheet'!F:F,'Appearance Sheet'!G:G=B1556,'Appearance Sheet'!A:A=C1556))"),7.0)</f>
        <v>7</v>
      </c>
      <c r="F1556" s="67">
        <v>5.191645629</v>
      </c>
      <c r="G1556" s="40">
        <v>1.847380018</v>
      </c>
      <c r="H1556" s="40">
        <f t="shared" si="1"/>
        <v>2.37520288</v>
      </c>
      <c r="I1556" s="41">
        <v>0.520833333</v>
      </c>
      <c r="J1556" s="41">
        <v>0.177083333</v>
      </c>
      <c r="K1556" s="41">
        <v>0.302083333</v>
      </c>
      <c r="L1556" s="41">
        <f t="shared" si="2"/>
        <v>0.21875</v>
      </c>
      <c r="M1556" s="74">
        <v>1.830296339</v>
      </c>
    </row>
    <row r="1557">
      <c r="A1557" s="1" t="s">
        <v>337</v>
      </c>
      <c r="B1557" s="38">
        <v>700669.0</v>
      </c>
      <c r="C1557" s="72">
        <v>45777.0</v>
      </c>
      <c r="D1557" s="38">
        <v>69.0</v>
      </c>
      <c r="E1557" s="73">
        <f>IFERROR(__xludf.DUMMYFUNCTION("average(filter('Appearance Sheet'!F:F,'Appearance Sheet'!G:G=B1557,'Appearance Sheet'!A:A=C1557))"),5.0)</f>
        <v>5</v>
      </c>
      <c r="F1557" s="67">
        <v>5.191127822</v>
      </c>
      <c r="G1557" s="40">
        <v>1.314224299</v>
      </c>
      <c r="H1557" s="40">
        <f t="shared" si="1"/>
        <v>2.365603738</v>
      </c>
      <c r="I1557" s="41">
        <v>0.449275362</v>
      </c>
      <c r="J1557" s="41">
        <v>0.231884058</v>
      </c>
      <c r="K1557" s="41">
        <v>0.31884058</v>
      </c>
      <c r="L1557" s="41">
        <f t="shared" si="2"/>
        <v>0.130434782</v>
      </c>
      <c r="M1557" s="74">
        <v>2.373423264</v>
      </c>
    </row>
    <row r="1558">
      <c r="A1558" s="1" t="s">
        <v>352</v>
      </c>
      <c r="B1558" s="38">
        <v>685299.0</v>
      </c>
      <c r="C1558" s="72">
        <v>45895.0</v>
      </c>
      <c r="D1558" s="38">
        <v>87.0</v>
      </c>
      <c r="E1558" s="73" t="str">
        <f>IFERROR(__xludf.DUMMYFUNCTION("average(filter('Appearance Sheet'!F:F,'Appearance Sheet'!G:G=B1558,'Appearance Sheet'!A:A=C1558))"),"#N/A")</f>
        <v>#N/A</v>
      </c>
      <c r="F1558" s="67">
        <v>5.190896043</v>
      </c>
      <c r="G1558" s="40">
        <v>1.68926485</v>
      </c>
      <c r="H1558" s="40" t="str">
        <f t="shared" si="1"/>
        <v>#N/A</v>
      </c>
      <c r="I1558" s="41">
        <v>0.448275862</v>
      </c>
      <c r="J1558" s="41">
        <v>0.275862069</v>
      </c>
      <c r="K1558" s="41">
        <v>0.275862069</v>
      </c>
      <c r="L1558" s="41">
        <f t="shared" si="2"/>
        <v>0.172413793</v>
      </c>
      <c r="M1558" s="74">
        <v>0.021268302</v>
      </c>
    </row>
    <row r="1559">
      <c r="A1559" s="1" t="s">
        <v>55</v>
      </c>
      <c r="B1559" s="38">
        <v>641816.0</v>
      </c>
      <c r="C1559" s="72">
        <v>45789.0</v>
      </c>
      <c r="D1559" s="38">
        <v>87.0</v>
      </c>
      <c r="E1559" s="73">
        <f>IFERROR(__xludf.DUMMYFUNCTION("average(filter('Appearance Sheet'!F:F,'Appearance Sheet'!G:G=B1559,'Appearance Sheet'!A:A=C1559))"),6.333333333333333)</f>
        <v>6.333333333</v>
      </c>
      <c r="F1559" s="67">
        <v>5.190808822</v>
      </c>
      <c r="G1559" s="40">
        <v>1.683337534</v>
      </c>
      <c r="H1559" s="40">
        <f t="shared" si="1"/>
        <v>2.392111233</v>
      </c>
      <c r="I1559" s="41">
        <v>0.482758621</v>
      </c>
      <c r="J1559" s="41">
        <v>0.137931034</v>
      </c>
      <c r="K1559" s="41">
        <v>0.379310345</v>
      </c>
      <c r="L1559" s="41">
        <f t="shared" si="2"/>
        <v>0.103448276</v>
      </c>
      <c r="M1559" s="74">
        <v>1.194501854</v>
      </c>
    </row>
    <row r="1560">
      <c r="A1560" s="1" t="s">
        <v>358</v>
      </c>
      <c r="B1560" s="38">
        <v>434378.0</v>
      </c>
      <c r="C1560" s="72">
        <v>45917.0</v>
      </c>
      <c r="D1560" s="38">
        <v>104.0</v>
      </c>
      <c r="E1560" s="73" t="str">
        <f>IFERROR(__xludf.DUMMYFUNCTION("average(filter('Appearance Sheet'!F:F,'Appearance Sheet'!G:G=B1560,'Appearance Sheet'!A:A=C1560))"),"#N/A")</f>
        <v>#N/A</v>
      </c>
      <c r="F1560" s="67">
        <v>5.190801709</v>
      </c>
      <c r="G1560" s="40">
        <v>1.99608363</v>
      </c>
      <c r="H1560" s="40" t="str">
        <f t="shared" si="1"/>
        <v>#N/A</v>
      </c>
      <c r="I1560" s="41">
        <v>0.480769231</v>
      </c>
      <c r="J1560" s="41">
        <v>0.173076923</v>
      </c>
      <c r="K1560" s="41">
        <v>0.346153846</v>
      </c>
      <c r="L1560" s="41">
        <f t="shared" si="2"/>
        <v>0.134615385</v>
      </c>
      <c r="M1560" s="74">
        <v>3.301723662</v>
      </c>
    </row>
    <row r="1561">
      <c r="A1561" s="1" t="s">
        <v>299</v>
      </c>
      <c r="B1561" s="38">
        <v>621112.0</v>
      </c>
      <c r="C1561" s="72">
        <v>45816.0</v>
      </c>
      <c r="D1561" s="38">
        <v>70.0</v>
      </c>
      <c r="E1561" s="73">
        <f>IFERROR(__xludf.DUMMYFUNCTION("average(filter('Appearance Sheet'!F:F,'Appearance Sheet'!G:G=B1561,'Appearance Sheet'!A:A=C1561))"),4.0)</f>
        <v>4</v>
      </c>
      <c r="F1561" s="67">
        <v>5.190671894</v>
      </c>
      <c r="G1561" s="40">
        <v>1.346784334</v>
      </c>
      <c r="H1561" s="40">
        <f t="shared" si="1"/>
        <v>3.030264752</v>
      </c>
      <c r="I1561" s="41">
        <v>0.528571429</v>
      </c>
      <c r="J1561" s="41">
        <v>0.171428571</v>
      </c>
      <c r="K1561" s="41">
        <v>0.3</v>
      </c>
      <c r="L1561" s="41">
        <f t="shared" si="2"/>
        <v>0.228571429</v>
      </c>
      <c r="M1561" s="74">
        <v>-2.5398013</v>
      </c>
    </row>
    <row r="1562">
      <c r="A1562" s="1" t="s">
        <v>129</v>
      </c>
      <c r="B1562" s="38">
        <v>686752.0</v>
      </c>
      <c r="C1562" s="72">
        <v>45779.0</v>
      </c>
      <c r="D1562" s="38">
        <v>86.0</v>
      </c>
      <c r="E1562" s="73">
        <f>IFERROR(__xludf.DUMMYFUNCTION("average(filter('Appearance Sheet'!F:F,'Appearance Sheet'!G:G=B1562,'Appearance Sheet'!A:A=C1562))"),4.333333333333333)</f>
        <v>4.333333333</v>
      </c>
      <c r="F1562" s="67">
        <v>5.190625588</v>
      </c>
      <c r="G1562" s="40">
        <v>1.630332193</v>
      </c>
      <c r="H1562" s="40">
        <f t="shared" si="1"/>
        <v>3.386074555</v>
      </c>
      <c r="I1562" s="41">
        <v>0.511627907</v>
      </c>
      <c r="J1562" s="41">
        <v>0.151162791</v>
      </c>
      <c r="K1562" s="41">
        <v>0.337209302</v>
      </c>
      <c r="L1562" s="41">
        <f t="shared" si="2"/>
        <v>0.174418605</v>
      </c>
      <c r="M1562" s="74">
        <v>-0.175894367</v>
      </c>
    </row>
    <row r="1563">
      <c r="A1563" s="1" t="s">
        <v>306</v>
      </c>
      <c r="B1563" s="38">
        <v>677944.0</v>
      </c>
      <c r="C1563" s="72">
        <v>45808.0</v>
      </c>
      <c r="D1563" s="38">
        <v>94.0</v>
      </c>
      <c r="E1563" s="73">
        <f>IFERROR(__xludf.DUMMYFUNCTION("average(filter('Appearance Sheet'!F:F,'Appearance Sheet'!G:G=B1563,'Appearance Sheet'!A:A=C1563))"),4.333333333333333)</f>
        <v>4.333333333</v>
      </c>
      <c r="F1563" s="67">
        <v>5.190474188</v>
      </c>
      <c r="G1563" s="40">
        <v>1.80083147</v>
      </c>
      <c r="H1563" s="40">
        <f t="shared" si="1"/>
        <v>3.740188438</v>
      </c>
      <c r="I1563" s="41">
        <v>0.553191489</v>
      </c>
      <c r="J1563" s="41">
        <v>0.117021277</v>
      </c>
      <c r="K1563" s="41">
        <v>0.329787234</v>
      </c>
      <c r="L1563" s="41">
        <f t="shared" si="2"/>
        <v>0.223404255</v>
      </c>
      <c r="M1563" s="74">
        <v>-1.54028216</v>
      </c>
    </row>
    <row r="1564">
      <c r="A1564" s="1" t="s">
        <v>387</v>
      </c>
      <c r="B1564" s="38">
        <v>669060.0</v>
      </c>
      <c r="C1564" s="72">
        <v>45786.0</v>
      </c>
      <c r="D1564" s="38">
        <v>80.0</v>
      </c>
      <c r="E1564" s="73">
        <f>IFERROR(__xludf.DUMMYFUNCTION("average(filter('Appearance Sheet'!F:F,'Appearance Sheet'!G:G=B1564,'Appearance Sheet'!A:A=C1564))"),5.0)</f>
        <v>5</v>
      </c>
      <c r="F1564" s="67">
        <v>5.190457651</v>
      </c>
      <c r="G1564" s="40">
        <v>1.540335244</v>
      </c>
      <c r="H1564" s="40">
        <f t="shared" si="1"/>
        <v>2.772603439</v>
      </c>
      <c r="I1564" s="41">
        <v>0.4875</v>
      </c>
      <c r="J1564" s="41">
        <v>0.2375</v>
      </c>
      <c r="K1564" s="41">
        <v>0.275</v>
      </c>
      <c r="L1564" s="41">
        <f t="shared" si="2"/>
        <v>0.2125</v>
      </c>
      <c r="M1564" s="74">
        <v>2.257141875</v>
      </c>
    </row>
    <row r="1565">
      <c r="A1565" s="1" t="s">
        <v>242</v>
      </c>
      <c r="B1565" s="38">
        <v>669358.0</v>
      </c>
      <c r="C1565" s="72">
        <v>45865.0</v>
      </c>
      <c r="D1565" s="38">
        <v>94.0</v>
      </c>
      <c r="E1565" s="73" t="str">
        <f>IFERROR(__xludf.DUMMYFUNCTION("average(filter('Appearance Sheet'!F:F,'Appearance Sheet'!G:G=B1565,'Appearance Sheet'!A:A=C1565))"),"#N/A")</f>
        <v>#N/A</v>
      </c>
      <c r="F1565" s="67">
        <v>5.190431388</v>
      </c>
      <c r="G1565" s="40">
        <v>1.794677505</v>
      </c>
      <c r="H1565" s="40" t="str">
        <f t="shared" si="1"/>
        <v>#N/A</v>
      </c>
      <c r="I1565" s="41">
        <v>0.489361702</v>
      </c>
      <c r="J1565" s="41">
        <v>0.138297872</v>
      </c>
      <c r="K1565" s="41">
        <v>0.372340426</v>
      </c>
      <c r="L1565" s="41">
        <f t="shared" si="2"/>
        <v>0.117021276</v>
      </c>
      <c r="M1565" s="74">
        <v>-0.428980538</v>
      </c>
    </row>
    <row r="1566">
      <c r="A1566" s="1" t="s">
        <v>79</v>
      </c>
      <c r="B1566" s="38">
        <v>554430.0</v>
      </c>
      <c r="C1566" s="72">
        <v>45755.0</v>
      </c>
      <c r="D1566" s="38">
        <v>102.0</v>
      </c>
      <c r="E1566" s="73">
        <f>IFERROR(__xludf.DUMMYFUNCTION("average(filter('Appearance Sheet'!F:F,'Appearance Sheet'!G:G=B1566,'Appearance Sheet'!A:A=C1566))"),5.333333333333333)</f>
        <v>5.333333333</v>
      </c>
      <c r="F1566" s="67">
        <v>5.190094779</v>
      </c>
      <c r="G1566" s="40">
        <v>1.952898865</v>
      </c>
      <c r="H1566" s="40">
        <f t="shared" si="1"/>
        <v>3.295516835</v>
      </c>
      <c r="I1566" s="41">
        <v>0.539215686</v>
      </c>
      <c r="J1566" s="41">
        <v>0.147058824</v>
      </c>
      <c r="K1566" s="41">
        <v>0.31372549</v>
      </c>
      <c r="L1566" s="41">
        <f t="shared" si="2"/>
        <v>0.225490196</v>
      </c>
      <c r="M1566" s="74">
        <v>-1.305270151</v>
      </c>
    </row>
    <row r="1567">
      <c r="A1567" s="1" t="s">
        <v>97</v>
      </c>
      <c r="B1567" s="38">
        <v>656876.0</v>
      </c>
      <c r="C1567" s="72">
        <v>45765.0</v>
      </c>
      <c r="D1567" s="38">
        <v>82.0</v>
      </c>
      <c r="E1567" s="73">
        <f>IFERROR(__xludf.DUMMYFUNCTION("average(filter('Appearance Sheet'!F:F,'Appearance Sheet'!G:G=B1567,'Appearance Sheet'!A:A=C1567))"),5.666666666666667)</f>
        <v>5.666666667</v>
      </c>
      <c r="F1567" s="67">
        <v>5.189656085</v>
      </c>
      <c r="G1567" s="40">
        <v>1.577890111</v>
      </c>
      <c r="H1567" s="40">
        <f t="shared" si="1"/>
        <v>2.506060765</v>
      </c>
      <c r="I1567" s="41">
        <v>0.524390244</v>
      </c>
      <c r="J1567" s="41">
        <v>0.182926829</v>
      </c>
      <c r="K1567" s="41">
        <v>0.292682927</v>
      </c>
      <c r="L1567" s="41">
        <f t="shared" si="2"/>
        <v>0.231707317</v>
      </c>
      <c r="M1567" s="74">
        <v>2.538353961</v>
      </c>
    </row>
    <row r="1568">
      <c r="A1568" s="1" t="s">
        <v>44</v>
      </c>
      <c r="B1568" s="38">
        <v>650911.0</v>
      </c>
      <c r="C1568" s="72">
        <v>45851.0</v>
      </c>
      <c r="D1568" s="38">
        <v>85.0</v>
      </c>
      <c r="E1568" s="73" t="str">
        <f>IFERROR(__xludf.DUMMYFUNCTION("average(filter('Appearance Sheet'!F:F,'Appearance Sheet'!G:G=B1568,'Appearance Sheet'!A:A=C1568))"),"#N/A")</f>
        <v>#N/A</v>
      </c>
      <c r="F1568" s="67">
        <v>5.189453201</v>
      </c>
      <c r="G1568" s="40">
        <v>1.643524817</v>
      </c>
      <c r="H1568" s="40" t="str">
        <f t="shared" si="1"/>
        <v>#N/A</v>
      </c>
      <c r="I1568" s="41">
        <v>0.564705882</v>
      </c>
      <c r="J1568" s="41">
        <v>0.152941176</v>
      </c>
      <c r="K1568" s="41">
        <v>0.282352941</v>
      </c>
      <c r="L1568" s="41">
        <f t="shared" si="2"/>
        <v>0.282352941</v>
      </c>
      <c r="M1568" s="74">
        <v>-0.186097489</v>
      </c>
    </row>
    <row r="1569">
      <c r="A1569" s="1" t="s">
        <v>216</v>
      </c>
      <c r="B1569" s="38">
        <v>621107.0</v>
      </c>
      <c r="C1569" s="72">
        <v>45807.0</v>
      </c>
      <c r="D1569" s="38">
        <v>98.0</v>
      </c>
      <c r="E1569" s="73">
        <f>IFERROR(__xludf.DUMMYFUNCTION("average(filter('Appearance Sheet'!F:F,'Appearance Sheet'!G:G=B1569,'Appearance Sheet'!A:A=C1569))"),7.0)</f>
        <v>7</v>
      </c>
      <c r="F1569" s="67">
        <v>5.189369536</v>
      </c>
      <c r="G1569" s="40">
        <v>1.891701402</v>
      </c>
      <c r="H1569" s="40">
        <f t="shared" si="1"/>
        <v>2.432187517</v>
      </c>
      <c r="I1569" s="41">
        <v>0.530612245</v>
      </c>
      <c r="J1569" s="41">
        <v>0.163265306</v>
      </c>
      <c r="K1569" s="41">
        <v>0.306122449</v>
      </c>
      <c r="L1569" s="41">
        <f t="shared" si="2"/>
        <v>0.224489796</v>
      </c>
      <c r="M1569" s="74">
        <v>2.849600519</v>
      </c>
    </row>
    <row r="1570">
      <c r="A1570" s="1" t="s">
        <v>194</v>
      </c>
      <c r="B1570" s="38">
        <v>666157.0</v>
      </c>
      <c r="C1570" s="72">
        <v>45802.0</v>
      </c>
      <c r="D1570" s="38">
        <v>90.0</v>
      </c>
      <c r="E1570" s="73">
        <f>IFERROR(__xludf.DUMMYFUNCTION("average(filter('Appearance Sheet'!F:F,'Appearance Sheet'!G:G=B1570,'Appearance Sheet'!A:A=C1570))"),5.0)</f>
        <v>5</v>
      </c>
      <c r="F1570" s="67">
        <v>5.189331261</v>
      </c>
      <c r="G1570" s="40">
        <v>1.723384907</v>
      </c>
      <c r="H1570" s="40">
        <f t="shared" si="1"/>
        <v>3.102092833</v>
      </c>
      <c r="I1570" s="41">
        <v>0.511111111</v>
      </c>
      <c r="J1570" s="41">
        <v>0.133333333</v>
      </c>
      <c r="K1570" s="41">
        <v>0.355555556</v>
      </c>
      <c r="L1570" s="41">
        <f t="shared" si="2"/>
        <v>0.155555555</v>
      </c>
      <c r="M1570" s="74">
        <v>-0.061279788</v>
      </c>
    </row>
    <row r="1571">
      <c r="A1571" s="1" t="s">
        <v>232</v>
      </c>
      <c r="B1571" s="38">
        <v>579328.0</v>
      </c>
      <c r="C1571" s="72">
        <v>45833.0</v>
      </c>
      <c r="D1571" s="38">
        <v>103.0</v>
      </c>
      <c r="E1571" s="73">
        <f>IFERROR(__xludf.DUMMYFUNCTION("average(filter('Appearance Sheet'!F:F,'Appearance Sheet'!G:G=B1571,'Appearance Sheet'!A:A=C1571))"),7.0)</f>
        <v>7</v>
      </c>
      <c r="F1571" s="67">
        <v>5.18927267</v>
      </c>
      <c r="G1571" s="40">
        <v>1.979762553</v>
      </c>
      <c r="H1571" s="40">
        <f t="shared" si="1"/>
        <v>2.545408997</v>
      </c>
      <c r="I1571" s="41">
        <v>0.495145631</v>
      </c>
      <c r="J1571" s="41">
        <v>0.165048544</v>
      </c>
      <c r="K1571" s="41">
        <v>0.339805825</v>
      </c>
      <c r="L1571" s="41">
        <f t="shared" si="2"/>
        <v>0.155339806</v>
      </c>
      <c r="M1571" s="74">
        <v>2.848758134</v>
      </c>
    </row>
    <row r="1572">
      <c r="A1572" s="1" t="s">
        <v>361</v>
      </c>
      <c r="B1572" s="38">
        <v>686563.0</v>
      </c>
      <c r="C1572" s="72">
        <v>45867.0</v>
      </c>
      <c r="D1572" s="38">
        <v>83.0</v>
      </c>
      <c r="E1572" s="73" t="str">
        <f>IFERROR(__xludf.DUMMYFUNCTION("average(filter('Appearance Sheet'!F:F,'Appearance Sheet'!G:G=B1572,'Appearance Sheet'!A:A=C1572))"),"#N/A")</f>
        <v>#N/A</v>
      </c>
      <c r="F1572" s="67">
        <v>5.189206731</v>
      </c>
      <c r="G1572" s="40">
        <v>1.625468149</v>
      </c>
      <c r="H1572" s="40" t="str">
        <f t="shared" si="1"/>
        <v>#N/A</v>
      </c>
      <c r="I1572" s="41">
        <v>0.469879518</v>
      </c>
      <c r="J1572" s="41">
        <v>0.204819277</v>
      </c>
      <c r="K1572" s="41">
        <v>0.325301205</v>
      </c>
      <c r="L1572" s="41">
        <f t="shared" si="2"/>
        <v>0.144578313</v>
      </c>
      <c r="M1572" s="74">
        <v>-2.117231101</v>
      </c>
    </row>
    <row r="1573">
      <c r="A1573" s="1" t="s">
        <v>373</v>
      </c>
      <c r="B1573" s="38">
        <v>640455.0</v>
      </c>
      <c r="C1573" s="72">
        <v>45916.0</v>
      </c>
      <c r="D1573" s="38">
        <v>71.0</v>
      </c>
      <c r="E1573" s="73" t="str">
        <f>IFERROR(__xludf.DUMMYFUNCTION("average(filter('Appearance Sheet'!F:F,'Appearance Sheet'!G:G=B1573,'Appearance Sheet'!A:A=C1573))"),"#N/A")</f>
        <v>#N/A</v>
      </c>
      <c r="F1573" s="67">
        <v>5.189133483</v>
      </c>
      <c r="G1573" s="40">
        <v>1.373584836</v>
      </c>
      <c r="H1573" s="40" t="str">
        <f t="shared" si="1"/>
        <v>#N/A</v>
      </c>
      <c r="I1573" s="41">
        <v>0.464788732</v>
      </c>
      <c r="J1573" s="41">
        <v>0.211267606</v>
      </c>
      <c r="K1573" s="41">
        <v>0.323943662</v>
      </c>
      <c r="L1573" s="41">
        <f t="shared" si="2"/>
        <v>0.14084507</v>
      </c>
      <c r="M1573" s="74">
        <v>0.716999629</v>
      </c>
    </row>
    <row r="1574">
      <c r="A1574" s="1" t="s">
        <v>306</v>
      </c>
      <c r="B1574" s="38">
        <v>677944.0</v>
      </c>
      <c r="C1574" s="72">
        <v>45794.0</v>
      </c>
      <c r="D1574" s="38">
        <v>74.0</v>
      </c>
      <c r="E1574" s="73">
        <f>IFERROR(__xludf.DUMMYFUNCTION("average(filter('Appearance Sheet'!F:F,'Appearance Sheet'!G:G=B1574,'Appearance Sheet'!A:A=C1574))"),5.0)</f>
        <v>5</v>
      </c>
      <c r="F1574" s="67">
        <v>5.189072315</v>
      </c>
      <c r="G1574" s="40">
        <v>1.396499888</v>
      </c>
      <c r="H1574" s="40">
        <f t="shared" si="1"/>
        <v>2.513699798</v>
      </c>
      <c r="I1574" s="41">
        <v>0.472972973</v>
      </c>
      <c r="J1574" s="41">
        <v>0.256756757</v>
      </c>
      <c r="K1574" s="41">
        <v>0.27027027</v>
      </c>
      <c r="L1574" s="41">
        <f t="shared" si="2"/>
        <v>0.202702703</v>
      </c>
      <c r="M1574" s="74">
        <v>0.115030518</v>
      </c>
    </row>
    <row r="1575">
      <c r="A1575" s="1" t="s">
        <v>306</v>
      </c>
      <c r="B1575" s="38">
        <v>677944.0</v>
      </c>
      <c r="C1575" s="72">
        <v>45902.0</v>
      </c>
      <c r="D1575" s="38">
        <v>79.0</v>
      </c>
      <c r="E1575" s="73" t="str">
        <f>IFERROR(__xludf.DUMMYFUNCTION("average(filter('Appearance Sheet'!F:F,'Appearance Sheet'!G:G=B1575,'Appearance Sheet'!A:A=C1575))"),"#N/A")</f>
        <v>#N/A</v>
      </c>
      <c r="F1575" s="67">
        <v>5.188616628</v>
      </c>
      <c r="G1575" s="40">
        <v>1.575133199</v>
      </c>
      <c r="H1575" s="40" t="str">
        <f t="shared" si="1"/>
        <v>#N/A</v>
      </c>
      <c r="I1575" s="41">
        <v>0.443037975</v>
      </c>
      <c r="J1575" s="41">
        <v>0.303797468</v>
      </c>
      <c r="K1575" s="41">
        <v>0.253164557</v>
      </c>
      <c r="L1575" s="41">
        <f t="shared" si="2"/>
        <v>0.189873418</v>
      </c>
      <c r="M1575" s="74">
        <v>-6.009014892</v>
      </c>
    </row>
    <row r="1576">
      <c r="A1576" s="1" t="s">
        <v>226</v>
      </c>
      <c r="B1576" s="38">
        <v>607259.0</v>
      </c>
      <c r="C1576" s="72">
        <v>45803.0</v>
      </c>
      <c r="D1576" s="38">
        <v>78.0</v>
      </c>
      <c r="E1576" s="73">
        <f>IFERROR(__xludf.DUMMYFUNCTION("average(filter('Appearance Sheet'!F:F,'Appearance Sheet'!G:G=B1576,'Appearance Sheet'!A:A=C1576))"),7.0)</f>
        <v>7</v>
      </c>
      <c r="F1576" s="67">
        <v>5.18860755</v>
      </c>
      <c r="G1576" s="40">
        <v>1.54092517</v>
      </c>
      <c r="H1576" s="40">
        <f t="shared" si="1"/>
        <v>1.981189504</v>
      </c>
      <c r="I1576" s="41">
        <v>0.474358974</v>
      </c>
      <c r="J1576" s="41">
        <v>0.179487179</v>
      </c>
      <c r="K1576" s="41">
        <v>0.346153846</v>
      </c>
      <c r="L1576" s="41">
        <f t="shared" si="2"/>
        <v>0.128205128</v>
      </c>
      <c r="M1576" s="74">
        <v>-0.963103501</v>
      </c>
    </row>
    <row r="1577">
      <c r="A1577" s="1" t="s">
        <v>410</v>
      </c>
      <c r="B1577" s="38">
        <v>678394.0</v>
      </c>
      <c r="C1577" s="72">
        <v>45800.0</v>
      </c>
      <c r="D1577" s="38">
        <v>81.0</v>
      </c>
      <c r="E1577" s="73">
        <f>IFERROR(__xludf.DUMMYFUNCTION("average(filter('Appearance Sheet'!F:F,'Appearance Sheet'!G:G=B1577,'Appearance Sheet'!A:A=C1577))"),4.0)</f>
        <v>4</v>
      </c>
      <c r="F1577" s="67">
        <v>5.188601413</v>
      </c>
      <c r="G1577" s="40">
        <v>1.545132517</v>
      </c>
      <c r="H1577" s="40">
        <f t="shared" si="1"/>
        <v>3.476548163</v>
      </c>
      <c r="I1577" s="41">
        <v>0.444444444</v>
      </c>
      <c r="J1577" s="41">
        <v>0.222222222</v>
      </c>
      <c r="K1577" s="41">
        <v>0.333333333</v>
      </c>
      <c r="L1577" s="41">
        <f t="shared" si="2"/>
        <v>0.111111111</v>
      </c>
      <c r="M1577" s="74">
        <v>0.501508235</v>
      </c>
    </row>
    <row r="1578">
      <c r="A1578" s="1" t="s">
        <v>494</v>
      </c>
      <c r="B1578" s="38">
        <v>672782.0</v>
      </c>
      <c r="C1578" s="72">
        <v>45909.0</v>
      </c>
      <c r="D1578" s="38">
        <v>85.0</v>
      </c>
      <c r="E1578" s="73" t="str">
        <f>IFERROR(__xludf.DUMMYFUNCTION("average(filter('Appearance Sheet'!F:F,'Appearance Sheet'!G:G=B1578,'Appearance Sheet'!A:A=C1578))"),"#N/A")</f>
        <v>#N/A</v>
      </c>
      <c r="F1578" s="67">
        <v>5.188436474</v>
      </c>
      <c r="G1578" s="40">
        <v>1.645742108</v>
      </c>
      <c r="H1578" s="40" t="str">
        <f t="shared" si="1"/>
        <v>#N/A</v>
      </c>
      <c r="I1578" s="41">
        <v>0.494117647</v>
      </c>
      <c r="J1578" s="41">
        <v>0.211764706</v>
      </c>
      <c r="K1578" s="41">
        <v>0.294117647</v>
      </c>
      <c r="L1578" s="41">
        <f t="shared" si="2"/>
        <v>0.2</v>
      </c>
      <c r="M1578" s="74">
        <v>-0.164348254</v>
      </c>
    </row>
    <row r="1579">
      <c r="A1579" s="1" t="s">
        <v>169</v>
      </c>
      <c r="B1579" s="38">
        <v>671096.0</v>
      </c>
      <c r="C1579" s="72">
        <v>45812.0</v>
      </c>
      <c r="D1579" s="38">
        <v>98.0</v>
      </c>
      <c r="E1579" s="73">
        <f>IFERROR(__xludf.DUMMYFUNCTION("average(filter('Appearance Sheet'!F:F,'Appearance Sheet'!G:G=B1579,'Appearance Sheet'!A:A=C1579))"),6.0)</f>
        <v>6</v>
      </c>
      <c r="F1579" s="67">
        <v>5.188293779</v>
      </c>
      <c r="G1579" s="40">
        <v>1.8957989</v>
      </c>
      <c r="H1579" s="40">
        <f t="shared" si="1"/>
        <v>2.84369835</v>
      </c>
      <c r="I1579" s="41">
        <v>0.489795918</v>
      </c>
      <c r="J1579" s="41">
        <v>0.183673469</v>
      </c>
      <c r="K1579" s="41">
        <v>0.326530612</v>
      </c>
      <c r="L1579" s="41">
        <f t="shared" si="2"/>
        <v>0.163265306</v>
      </c>
      <c r="M1579" s="74">
        <v>-1.04505983</v>
      </c>
    </row>
    <row r="1580">
      <c r="A1580" s="1" t="s">
        <v>572</v>
      </c>
      <c r="B1580" s="38">
        <v>669330.0</v>
      </c>
      <c r="C1580" s="72">
        <v>45910.0</v>
      </c>
      <c r="D1580" s="38">
        <v>82.0</v>
      </c>
      <c r="E1580" s="73" t="str">
        <f>IFERROR(__xludf.DUMMYFUNCTION("average(filter('Appearance Sheet'!F:F,'Appearance Sheet'!G:G=B1580,'Appearance Sheet'!A:A=C1580))"),"#N/A")</f>
        <v>#N/A</v>
      </c>
      <c r="F1580" s="67">
        <v>5.18793627</v>
      </c>
      <c r="G1580" s="40">
        <v>1.555235214</v>
      </c>
      <c r="H1580" s="40" t="str">
        <f t="shared" si="1"/>
        <v>#N/A</v>
      </c>
      <c r="I1580" s="41">
        <v>0.463414634</v>
      </c>
      <c r="J1580" s="41">
        <v>0.243902439</v>
      </c>
      <c r="K1580" s="41">
        <v>0.292682927</v>
      </c>
      <c r="L1580" s="41">
        <f t="shared" si="2"/>
        <v>0.170731707</v>
      </c>
      <c r="M1580" s="74">
        <v>4.07106779</v>
      </c>
    </row>
    <row r="1581">
      <c r="A1581" s="1" t="s">
        <v>77</v>
      </c>
      <c r="B1581" s="38">
        <v>657277.0</v>
      </c>
      <c r="C1581" s="72">
        <v>45849.0</v>
      </c>
      <c r="D1581" s="38">
        <v>87.0</v>
      </c>
      <c r="E1581" s="73" t="str">
        <f>IFERROR(__xludf.DUMMYFUNCTION("average(filter('Appearance Sheet'!F:F,'Appearance Sheet'!G:G=B1581,'Appearance Sheet'!A:A=C1581))"),"#N/A")</f>
        <v>#N/A</v>
      </c>
      <c r="F1581" s="67">
        <v>5.187821701</v>
      </c>
      <c r="G1581" s="40">
        <v>1.634492878</v>
      </c>
      <c r="H1581" s="40" t="str">
        <f t="shared" si="1"/>
        <v>#N/A</v>
      </c>
      <c r="I1581" s="41">
        <v>0.540229885</v>
      </c>
      <c r="J1581" s="41">
        <v>0.137931034</v>
      </c>
      <c r="K1581" s="41">
        <v>0.32183908</v>
      </c>
      <c r="L1581" s="41">
        <f t="shared" si="2"/>
        <v>0.218390805</v>
      </c>
      <c r="M1581" s="74">
        <v>0.333869662</v>
      </c>
    </row>
    <row r="1582">
      <c r="A1582" s="1" t="s">
        <v>269</v>
      </c>
      <c r="B1582" s="38">
        <v>605280.0</v>
      </c>
      <c r="C1582" s="72">
        <v>45833.0</v>
      </c>
      <c r="D1582" s="38">
        <v>95.0</v>
      </c>
      <c r="E1582" s="73">
        <f>IFERROR(__xludf.DUMMYFUNCTION("average(filter('Appearance Sheet'!F:F,'Appearance Sheet'!G:G=B1582,'Appearance Sheet'!A:A=C1582))"),5.0)</f>
        <v>5</v>
      </c>
      <c r="F1582" s="67">
        <v>5.187810643</v>
      </c>
      <c r="G1582" s="40">
        <v>1.802157566</v>
      </c>
      <c r="H1582" s="40">
        <f t="shared" si="1"/>
        <v>3.243883619</v>
      </c>
      <c r="I1582" s="41">
        <v>0.515789474</v>
      </c>
      <c r="J1582" s="41">
        <v>0.147368421</v>
      </c>
      <c r="K1582" s="41">
        <v>0.336842105</v>
      </c>
      <c r="L1582" s="41">
        <f t="shared" si="2"/>
        <v>0.178947369</v>
      </c>
      <c r="M1582" s="74">
        <v>2.883723582</v>
      </c>
    </row>
    <row r="1583">
      <c r="A1583" s="1" t="s">
        <v>372</v>
      </c>
      <c r="B1583" s="38">
        <v>671106.0</v>
      </c>
      <c r="C1583" s="72">
        <v>45819.0</v>
      </c>
      <c r="D1583" s="38">
        <v>95.0</v>
      </c>
      <c r="E1583" s="73">
        <f>IFERROR(__xludf.DUMMYFUNCTION("average(filter('Appearance Sheet'!F:F,'Appearance Sheet'!G:G=B1583,'Appearance Sheet'!A:A=C1583))"),6.0)</f>
        <v>6</v>
      </c>
      <c r="F1583" s="67">
        <v>5.187760951</v>
      </c>
      <c r="G1583" s="40">
        <v>1.830258333</v>
      </c>
      <c r="H1583" s="40">
        <f t="shared" si="1"/>
        <v>2.7453875</v>
      </c>
      <c r="I1583" s="41">
        <v>0.463157895</v>
      </c>
      <c r="J1583" s="41">
        <v>0.2</v>
      </c>
      <c r="K1583" s="41">
        <v>0.336842105</v>
      </c>
      <c r="L1583" s="41">
        <f t="shared" si="2"/>
        <v>0.12631579</v>
      </c>
      <c r="M1583" s="74">
        <v>1.711455728</v>
      </c>
    </row>
    <row r="1584">
      <c r="A1584" s="1" t="s">
        <v>180</v>
      </c>
      <c r="B1584" s="38">
        <v>642547.0</v>
      </c>
      <c r="C1584" s="72">
        <v>45892.0</v>
      </c>
      <c r="D1584" s="38">
        <v>96.0</v>
      </c>
      <c r="E1584" s="73" t="str">
        <f>IFERROR(__xludf.DUMMYFUNCTION("average(filter('Appearance Sheet'!F:F,'Appearance Sheet'!G:G=B1584,'Appearance Sheet'!A:A=C1584))"),"#N/A")</f>
        <v>#N/A</v>
      </c>
      <c r="F1584" s="67">
        <v>5.187652829</v>
      </c>
      <c r="G1584" s="40">
        <v>1.831970231</v>
      </c>
      <c r="H1584" s="40" t="str">
        <f t="shared" si="1"/>
        <v>#N/A</v>
      </c>
      <c r="I1584" s="41">
        <v>0.5</v>
      </c>
      <c r="J1584" s="41">
        <v>0.145833333</v>
      </c>
      <c r="K1584" s="41">
        <v>0.354166667</v>
      </c>
      <c r="L1584" s="41">
        <f t="shared" si="2"/>
        <v>0.145833333</v>
      </c>
      <c r="M1584" s="74">
        <v>2.27325122</v>
      </c>
    </row>
    <row r="1585">
      <c r="A1585" s="1" t="s">
        <v>290</v>
      </c>
      <c r="B1585" s="38">
        <v>669461.0</v>
      </c>
      <c r="C1585" s="72">
        <v>45864.0</v>
      </c>
      <c r="D1585" s="38">
        <v>75.0</v>
      </c>
      <c r="E1585" s="73" t="str">
        <f>IFERROR(__xludf.DUMMYFUNCTION("average(filter('Appearance Sheet'!F:F,'Appearance Sheet'!G:G=B1585,'Appearance Sheet'!A:A=C1585))"),"#N/A")</f>
        <v>#N/A</v>
      </c>
      <c r="F1585" s="67">
        <v>5.18720419</v>
      </c>
      <c r="G1585" s="40">
        <v>1.449716261</v>
      </c>
      <c r="H1585" s="40" t="str">
        <f t="shared" si="1"/>
        <v>#N/A</v>
      </c>
      <c r="I1585" s="41">
        <v>0.506666667</v>
      </c>
      <c r="J1585" s="41">
        <v>0.186666667</v>
      </c>
      <c r="K1585" s="41">
        <v>0.306666667</v>
      </c>
      <c r="L1585" s="41">
        <f t="shared" si="2"/>
        <v>0.2</v>
      </c>
      <c r="M1585" s="74">
        <v>-2.172946951</v>
      </c>
    </row>
    <row r="1586">
      <c r="A1586" s="1" t="s">
        <v>242</v>
      </c>
      <c r="B1586" s="38">
        <v>669358.0</v>
      </c>
      <c r="C1586" s="72">
        <v>45895.0</v>
      </c>
      <c r="D1586" s="38">
        <v>88.0</v>
      </c>
      <c r="E1586" s="73" t="str">
        <f>IFERROR(__xludf.DUMMYFUNCTION("average(filter('Appearance Sheet'!F:F,'Appearance Sheet'!G:G=B1586,'Appearance Sheet'!A:A=C1586))"),"#N/A")</f>
        <v>#N/A</v>
      </c>
      <c r="F1586" s="67">
        <v>5.187184679</v>
      </c>
      <c r="G1586" s="40">
        <v>1.692156275</v>
      </c>
      <c r="H1586" s="40" t="str">
        <f t="shared" si="1"/>
        <v>#N/A</v>
      </c>
      <c r="I1586" s="41">
        <v>0.5</v>
      </c>
      <c r="J1586" s="41">
        <v>0.193181818</v>
      </c>
      <c r="K1586" s="41">
        <v>0.306818182</v>
      </c>
      <c r="L1586" s="41">
        <f t="shared" si="2"/>
        <v>0.193181818</v>
      </c>
      <c r="M1586" s="74">
        <v>1.550978649</v>
      </c>
    </row>
    <row r="1587">
      <c r="A1587" s="1" t="s">
        <v>306</v>
      </c>
      <c r="B1587" s="38">
        <v>677944.0</v>
      </c>
      <c r="C1587" s="72">
        <v>45813.0</v>
      </c>
      <c r="D1587" s="38">
        <v>71.0</v>
      </c>
      <c r="E1587" s="73">
        <f>IFERROR(__xludf.DUMMYFUNCTION("average(filter('Appearance Sheet'!F:F,'Appearance Sheet'!G:G=B1587,'Appearance Sheet'!A:A=C1587))"),5.0)</f>
        <v>5</v>
      </c>
      <c r="F1587" s="67">
        <v>5.186624944</v>
      </c>
      <c r="G1587" s="40">
        <v>1.412961042</v>
      </c>
      <c r="H1587" s="40">
        <f t="shared" si="1"/>
        <v>2.543329876</v>
      </c>
      <c r="I1587" s="41">
        <v>0.450704225</v>
      </c>
      <c r="J1587" s="41">
        <v>0.267605634</v>
      </c>
      <c r="K1587" s="41">
        <v>0.281690141</v>
      </c>
      <c r="L1587" s="41">
        <f t="shared" si="2"/>
        <v>0.169014084</v>
      </c>
      <c r="M1587" s="74">
        <v>-0.963147425</v>
      </c>
    </row>
    <row r="1588">
      <c r="A1588" s="1" t="s">
        <v>44</v>
      </c>
      <c r="B1588" s="38">
        <v>650911.0</v>
      </c>
      <c r="C1588" s="72">
        <v>45816.0</v>
      </c>
      <c r="D1588" s="38">
        <v>97.0</v>
      </c>
      <c r="E1588" s="73">
        <f>IFERROR(__xludf.DUMMYFUNCTION("average(filter('Appearance Sheet'!F:F,'Appearance Sheet'!G:G=B1588,'Appearance Sheet'!A:A=C1588))"),7.0)</f>
        <v>7</v>
      </c>
      <c r="F1588" s="67">
        <v>5.186611761</v>
      </c>
      <c r="G1588" s="40">
        <v>1.891068256</v>
      </c>
      <c r="H1588" s="40">
        <f t="shared" si="1"/>
        <v>2.431373472</v>
      </c>
      <c r="I1588" s="41">
        <v>0.494845361</v>
      </c>
      <c r="J1588" s="41">
        <v>0.175257732</v>
      </c>
      <c r="K1588" s="41">
        <v>0.329896907</v>
      </c>
      <c r="L1588" s="41">
        <f t="shared" si="2"/>
        <v>0.164948454</v>
      </c>
      <c r="M1588" s="74">
        <v>0.718606706</v>
      </c>
    </row>
    <row r="1589">
      <c r="A1589" s="1" t="s">
        <v>246</v>
      </c>
      <c r="B1589" s="38">
        <v>571510.0</v>
      </c>
      <c r="C1589" s="72">
        <v>45906.0</v>
      </c>
      <c r="D1589" s="38">
        <v>82.0</v>
      </c>
      <c r="E1589" s="73" t="str">
        <f>IFERROR(__xludf.DUMMYFUNCTION("average(filter('Appearance Sheet'!F:F,'Appearance Sheet'!G:G=B1589,'Appearance Sheet'!A:A=C1589))"),"#N/A")</f>
        <v>#N/A</v>
      </c>
      <c r="F1589" s="67">
        <v>5.186600391</v>
      </c>
      <c r="G1589" s="40">
        <v>1.613121163</v>
      </c>
      <c r="H1589" s="40" t="str">
        <f t="shared" si="1"/>
        <v>#N/A</v>
      </c>
      <c r="I1589" s="41">
        <v>0.475609756</v>
      </c>
      <c r="J1589" s="41">
        <v>0.182926829</v>
      </c>
      <c r="K1589" s="41">
        <v>0.341463415</v>
      </c>
      <c r="L1589" s="41">
        <f t="shared" si="2"/>
        <v>0.134146341</v>
      </c>
      <c r="M1589" s="74">
        <v>-1.759223271</v>
      </c>
    </row>
    <row r="1590">
      <c r="A1590" s="1" t="s">
        <v>323</v>
      </c>
      <c r="B1590" s="38">
        <v>691587.0</v>
      </c>
      <c r="C1590" s="72">
        <v>45882.0</v>
      </c>
      <c r="D1590" s="38">
        <v>89.0</v>
      </c>
      <c r="E1590" s="73" t="str">
        <f>IFERROR(__xludf.DUMMYFUNCTION("average(filter('Appearance Sheet'!F:F,'Appearance Sheet'!G:G=B1590,'Appearance Sheet'!A:A=C1590))"),"#N/A")</f>
        <v>#N/A</v>
      </c>
      <c r="F1590" s="67">
        <v>5.186388307</v>
      </c>
      <c r="G1590" s="40">
        <v>1.710941954</v>
      </c>
      <c r="H1590" s="40" t="str">
        <f t="shared" si="1"/>
        <v>#N/A</v>
      </c>
      <c r="I1590" s="41">
        <v>0.528089888</v>
      </c>
      <c r="J1590" s="41">
        <v>0.101123596</v>
      </c>
      <c r="K1590" s="41">
        <v>0.370786517</v>
      </c>
      <c r="L1590" s="41">
        <f t="shared" si="2"/>
        <v>0.157303371</v>
      </c>
      <c r="M1590" s="74">
        <v>1.23584385</v>
      </c>
    </row>
    <row r="1591">
      <c r="A1591" s="1" t="s">
        <v>420</v>
      </c>
      <c r="B1591" s="38">
        <v>547179.0</v>
      </c>
      <c r="C1591" s="72">
        <v>45748.0</v>
      </c>
      <c r="D1591" s="38">
        <v>95.0</v>
      </c>
      <c r="E1591" s="73">
        <f>IFERROR(__xludf.DUMMYFUNCTION("average(filter('Appearance Sheet'!F:F,'Appearance Sheet'!G:G=B1591,'Appearance Sheet'!A:A=C1591))"),5.333333333333333)</f>
        <v>5.333333333</v>
      </c>
      <c r="F1591" s="67">
        <v>5.18600749</v>
      </c>
      <c r="G1591" s="40">
        <v>1.812854092</v>
      </c>
      <c r="H1591" s="40">
        <f t="shared" si="1"/>
        <v>3.05919128</v>
      </c>
      <c r="I1591" s="41">
        <v>0.473684211</v>
      </c>
      <c r="J1591" s="41">
        <v>0.221052632</v>
      </c>
      <c r="K1591" s="41">
        <v>0.305263158</v>
      </c>
      <c r="L1591" s="41">
        <f t="shared" si="2"/>
        <v>0.168421053</v>
      </c>
      <c r="M1591" s="74">
        <v>1.515680906</v>
      </c>
    </row>
    <row r="1592">
      <c r="A1592" s="1" t="s">
        <v>316</v>
      </c>
      <c r="B1592" s="38">
        <v>656427.0</v>
      </c>
      <c r="C1592" s="72">
        <v>45756.0</v>
      </c>
      <c r="D1592" s="38">
        <v>91.0</v>
      </c>
      <c r="E1592" s="73">
        <f>IFERROR(__xludf.DUMMYFUNCTION("average(filter('Appearance Sheet'!F:F,'Appearance Sheet'!G:G=B1592,'Appearance Sheet'!A:A=C1592))"),5.333333333333333)</f>
        <v>5.333333333</v>
      </c>
      <c r="F1592" s="67">
        <v>5.185996414</v>
      </c>
      <c r="G1592" s="40">
        <v>1.726276863</v>
      </c>
      <c r="H1592" s="40">
        <f t="shared" si="1"/>
        <v>2.913092206</v>
      </c>
      <c r="I1592" s="41">
        <v>0.538461538</v>
      </c>
      <c r="J1592" s="41">
        <v>0.175824176</v>
      </c>
      <c r="K1592" s="41">
        <v>0.285714286</v>
      </c>
      <c r="L1592" s="41">
        <f t="shared" si="2"/>
        <v>0.252747252</v>
      </c>
      <c r="M1592" s="74">
        <v>1.156074149</v>
      </c>
    </row>
    <row r="1593">
      <c r="A1593" s="1" t="s">
        <v>195</v>
      </c>
      <c r="B1593" s="38">
        <v>668678.0</v>
      </c>
      <c r="C1593" s="72">
        <v>45828.0</v>
      </c>
      <c r="D1593" s="38">
        <v>89.0</v>
      </c>
      <c r="E1593" s="73">
        <f>IFERROR(__xludf.DUMMYFUNCTION("average(filter('Appearance Sheet'!F:F,'Appearance Sheet'!G:G=B1593,'Appearance Sheet'!A:A=C1593))"),5.0)</f>
        <v>5</v>
      </c>
      <c r="F1593" s="67">
        <v>5.185870727</v>
      </c>
      <c r="G1593" s="40">
        <v>1.721844792</v>
      </c>
      <c r="H1593" s="40">
        <f t="shared" si="1"/>
        <v>3.099320626</v>
      </c>
      <c r="I1593" s="41">
        <v>0.438202247</v>
      </c>
      <c r="J1593" s="41">
        <v>0.224719101</v>
      </c>
      <c r="K1593" s="41">
        <v>0.337078652</v>
      </c>
      <c r="L1593" s="41">
        <f t="shared" si="2"/>
        <v>0.101123595</v>
      </c>
      <c r="M1593" s="74">
        <v>-4.089601203</v>
      </c>
    </row>
    <row r="1594">
      <c r="A1594" s="1" t="s">
        <v>572</v>
      </c>
      <c r="B1594" s="38">
        <v>669330.0</v>
      </c>
      <c r="C1594" s="72">
        <v>45917.0</v>
      </c>
      <c r="D1594" s="38">
        <v>86.0</v>
      </c>
      <c r="E1594" s="73" t="str">
        <f>IFERROR(__xludf.DUMMYFUNCTION("average(filter('Appearance Sheet'!F:F,'Appearance Sheet'!G:G=B1594,'Appearance Sheet'!A:A=C1594))"),"#N/A")</f>
        <v>#N/A</v>
      </c>
      <c r="F1594" s="67">
        <v>5.185577388</v>
      </c>
      <c r="G1594" s="40">
        <v>1.645455166</v>
      </c>
      <c r="H1594" s="40" t="str">
        <f t="shared" si="1"/>
        <v>#N/A</v>
      </c>
      <c r="I1594" s="41">
        <v>0.441860465</v>
      </c>
      <c r="J1594" s="41">
        <v>0.255813953</v>
      </c>
      <c r="K1594" s="41">
        <v>0.302325581</v>
      </c>
      <c r="L1594" s="41">
        <f t="shared" si="2"/>
        <v>0.139534884</v>
      </c>
      <c r="M1594" s="74">
        <v>1.786247963</v>
      </c>
    </row>
    <row r="1595">
      <c r="A1595" s="1" t="s">
        <v>242</v>
      </c>
      <c r="B1595" s="38">
        <v>669358.0</v>
      </c>
      <c r="C1595" s="72">
        <v>45870.0</v>
      </c>
      <c r="D1595" s="38">
        <v>96.0</v>
      </c>
      <c r="E1595" s="73" t="str">
        <f>IFERROR(__xludf.DUMMYFUNCTION("average(filter('Appearance Sheet'!F:F,'Appearance Sheet'!G:G=B1595,'Appearance Sheet'!A:A=C1595))"),"#N/A")</f>
        <v>#N/A</v>
      </c>
      <c r="F1595" s="67">
        <v>5.185318614</v>
      </c>
      <c r="G1595" s="40">
        <v>1.892163093</v>
      </c>
      <c r="H1595" s="40" t="str">
        <f t="shared" si="1"/>
        <v>#N/A</v>
      </c>
      <c r="I1595" s="41">
        <v>0.479166667</v>
      </c>
      <c r="J1595" s="41">
        <v>0.239583333</v>
      </c>
      <c r="K1595" s="41">
        <v>0.28125</v>
      </c>
      <c r="L1595" s="41">
        <f t="shared" si="2"/>
        <v>0.197916667</v>
      </c>
      <c r="M1595" s="74">
        <v>-2.135087123</v>
      </c>
    </row>
    <row r="1596">
      <c r="A1596" s="1" t="s">
        <v>166</v>
      </c>
      <c r="B1596" s="38">
        <v>608331.0</v>
      </c>
      <c r="C1596" s="72">
        <v>45818.0</v>
      </c>
      <c r="D1596" s="38">
        <v>83.0</v>
      </c>
      <c r="E1596" s="73">
        <f>IFERROR(__xludf.DUMMYFUNCTION("average(filter('Appearance Sheet'!F:F,'Appearance Sheet'!G:G=B1596,'Appearance Sheet'!A:A=C1596))"),7.0)</f>
        <v>7</v>
      </c>
      <c r="F1596" s="67">
        <v>5.185299073</v>
      </c>
      <c r="G1596" s="40">
        <v>1.600379317</v>
      </c>
      <c r="H1596" s="40">
        <f t="shared" si="1"/>
        <v>2.05763055</v>
      </c>
      <c r="I1596" s="41">
        <v>0.493975904</v>
      </c>
      <c r="J1596" s="41">
        <v>0.168674699</v>
      </c>
      <c r="K1596" s="41">
        <v>0.337349398</v>
      </c>
      <c r="L1596" s="41">
        <f t="shared" si="2"/>
        <v>0.156626506</v>
      </c>
      <c r="M1596" s="74">
        <v>1.144639951</v>
      </c>
    </row>
    <row r="1597">
      <c r="A1597" s="1" t="s">
        <v>437</v>
      </c>
      <c r="B1597" s="38">
        <v>695418.0</v>
      </c>
      <c r="C1597" s="72">
        <v>45894.0</v>
      </c>
      <c r="D1597" s="38">
        <v>71.0</v>
      </c>
      <c r="E1597" s="73" t="str">
        <f>IFERROR(__xludf.DUMMYFUNCTION("average(filter('Appearance Sheet'!F:F,'Appearance Sheet'!G:G=B1597,'Appearance Sheet'!A:A=C1597))"),"#N/A")</f>
        <v>#N/A</v>
      </c>
      <c r="F1597" s="67">
        <v>5.185259644</v>
      </c>
      <c r="G1597" s="40">
        <v>1.401931318</v>
      </c>
      <c r="H1597" s="40" t="str">
        <f t="shared" si="1"/>
        <v>#N/A</v>
      </c>
      <c r="I1597" s="41">
        <v>0.492957746</v>
      </c>
      <c r="J1597" s="41">
        <v>0.183098592</v>
      </c>
      <c r="K1597" s="41">
        <v>0.323943662</v>
      </c>
      <c r="L1597" s="41">
        <f t="shared" si="2"/>
        <v>0.169014084</v>
      </c>
      <c r="M1597" s="74">
        <v>-2.907129287</v>
      </c>
    </row>
    <row r="1598">
      <c r="A1598" s="1" t="s">
        <v>90</v>
      </c>
      <c r="B1598" s="38">
        <v>693433.0</v>
      </c>
      <c r="C1598" s="72">
        <v>45819.0</v>
      </c>
      <c r="D1598" s="38">
        <v>77.0</v>
      </c>
      <c r="E1598" s="73">
        <f>IFERROR(__xludf.DUMMYFUNCTION("average(filter('Appearance Sheet'!F:F,'Appearance Sheet'!G:G=B1598,'Appearance Sheet'!A:A=C1598))"),6.0)</f>
        <v>6</v>
      </c>
      <c r="F1598" s="67">
        <v>5.185206093</v>
      </c>
      <c r="G1598" s="40">
        <v>1.537441675</v>
      </c>
      <c r="H1598" s="40">
        <f t="shared" si="1"/>
        <v>2.306162513</v>
      </c>
      <c r="I1598" s="41">
        <v>0.506493506</v>
      </c>
      <c r="J1598" s="41">
        <v>0.181818182</v>
      </c>
      <c r="K1598" s="41">
        <v>0.311688312</v>
      </c>
      <c r="L1598" s="41">
        <f t="shared" si="2"/>
        <v>0.194805194</v>
      </c>
      <c r="M1598" s="74">
        <v>-3.046393686</v>
      </c>
    </row>
    <row r="1599">
      <c r="A1599" s="1" t="s">
        <v>136</v>
      </c>
      <c r="B1599" s="38">
        <v>660271.0</v>
      </c>
      <c r="C1599" s="72">
        <v>45916.0</v>
      </c>
      <c r="D1599" s="38">
        <v>65.0</v>
      </c>
      <c r="E1599" s="73" t="str">
        <f>IFERROR(__xludf.DUMMYFUNCTION("average(filter('Appearance Sheet'!F:F,'Appearance Sheet'!G:G=B1599,'Appearance Sheet'!A:A=C1599))"),"#N/A")</f>
        <v>#N/A</v>
      </c>
      <c r="F1599" s="67">
        <v>5.185115782</v>
      </c>
      <c r="G1599" s="40">
        <v>1.263642321</v>
      </c>
      <c r="H1599" s="40" t="str">
        <f t="shared" si="1"/>
        <v>#N/A</v>
      </c>
      <c r="I1599" s="41">
        <v>0.523076923</v>
      </c>
      <c r="J1599" s="41">
        <v>0.107692308</v>
      </c>
      <c r="K1599" s="41">
        <v>0.369230769</v>
      </c>
      <c r="L1599" s="41">
        <f t="shared" si="2"/>
        <v>0.153846154</v>
      </c>
      <c r="M1599" s="74">
        <v>3.461164094</v>
      </c>
    </row>
    <row r="1600">
      <c r="A1600" s="1" t="s">
        <v>476</v>
      </c>
      <c r="B1600" s="38">
        <v>500779.0</v>
      </c>
      <c r="C1600" s="72">
        <v>45758.0</v>
      </c>
      <c r="D1600" s="38">
        <v>75.0</v>
      </c>
      <c r="E1600" s="73">
        <f>IFERROR(__xludf.DUMMYFUNCTION("average(filter('Appearance Sheet'!F:F,'Appearance Sheet'!G:G=B1600,'Appearance Sheet'!A:A=C1600))"),7.0)</f>
        <v>7</v>
      </c>
      <c r="F1600" s="67">
        <v>5.18505971</v>
      </c>
      <c r="G1600" s="40">
        <v>1.478619447</v>
      </c>
      <c r="H1600" s="40">
        <f t="shared" si="1"/>
        <v>1.901082146</v>
      </c>
      <c r="I1600" s="41">
        <v>0.506666667</v>
      </c>
      <c r="J1600" s="41">
        <v>0.106666667</v>
      </c>
      <c r="K1600" s="41">
        <v>0.386666667</v>
      </c>
      <c r="L1600" s="41">
        <f t="shared" si="2"/>
        <v>0.12</v>
      </c>
      <c r="M1600" s="74">
        <v>1.656518604</v>
      </c>
    </row>
    <row r="1601">
      <c r="A1601" s="1" t="s">
        <v>332</v>
      </c>
      <c r="B1601" s="38">
        <v>641778.0</v>
      </c>
      <c r="C1601" s="72">
        <v>45857.0</v>
      </c>
      <c r="D1601" s="38">
        <v>79.0</v>
      </c>
      <c r="E1601" s="73" t="str">
        <f>IFERROR(__xludf.DUMMYFUNCTION("average(filter('Appearance Sheet'!F:F,'Appearance Sheet'!G:G=B1601,'Appearance Sheet'!A:A=C1601))"),"#N/A")</f>
        <v>#N/A</v>
      </c>
      <c r="F1601" s="67">
        <v>5.184993004</v>
      </c>
      <c r="G1601" s="40">
        <v>1.535562787</v>
      </c>
      <c r="H1601" s="40" t="str">
        <f t="shared" si="1"/>
        <v>#N/A</v>
      </c>
      <c r="I1601" s="41">
        <v>0.481012658</v>
      </c>
      <c r="J1601" s="41">
        <v>0.189873418</v>
      </c>
      <c r="K1601" s="41">
        <v>0.329113924</v>
      </c>
      <c r="L1601" s="41">
        <f t="shared" si="2"/>
        <v>0.151898734</v>
      </c>
      <c r="M1601" s="74">
        <v>2.953712136</v>
      </c>
    </row>
    <row r="1602">
      <c r="A1602" s="1" t="s">
        <v>137</v>
      </c>
      <c r="B1602" s="38">
        <v>453286.0</v>
      </c>
      <c r="C1602" s="72">
        <v>45860.0</v>
      </c>
      <c r="D1602" s="38">
        <v>83.0</v>
      </c>
      <c r="E1602" s="73" t="str">
        <f>IFERROR(__xludf.DUMMYFUNCTION("average(filter('Appearance Sheet'!F:F,'Appearance Sheet'!G:G=B1602,'Appearance Sheet'!A:A=C1602))"),"#N/A")</f>
        <v>#N/A</v>
      </c>
      <c r="F1602" s="67">
        <v>5.184914942</v>
      </c>
      <c r="G1602" s="40">
        <v>1.60766465</v>
      </c>
      <c r="H1602" s="40" t="str">
        <f t="shared" si="1"/>
        <v>#N/A</v>
      </c>
      <c r="I1602" s="41">
        <v>0.506024096</v>
      </c>
      <c r="J1602" s="41">
        <v>0.13253012</v>
      </c>
      <c r="K1602" s="41">
        <v>0.361445783</v>
      </c>
      <c r="L1602" s="41">
        <f t="shared" si="2"/>
        <v>0.144578313</v>
      </c>
      <c r="M1602" s="74">
        <v>0.263192625</v>
      </c>
    </row>
    <row r="1603">
      <c r="A1603" s="1" t="s">
        <v>88</v>
      </c>
      <c r="B1603" s="38">
        <v>694973.0</v>
      </c>
      <c r="C1603" s="72">
        <v>45766.0</v>
      </c>
      <c r="D1603" s="38">
        <v>100.0</v>
      </c>
      <c r="E1603" s="73">
        <f>IFERROR(__xludf.DUMMYFUNCTION("average(filter('Appearance Sheet'!F:F,'Appearance Sheet'!G:G=B1603,'Appearance Sheet'!A:A=C1603))"),7.0)</f>
        <v>7</v>
      </c>
      <c r="F1603" s="67">
        <v>5.184561037</v>
      </c>
      <c r="G1603" s="40">
        <v>1.90168718</v>
      </c>
      <c r="H1603" s="40">
        <f t="shared" si="1"/>
        <v>2.445026374</v>
      </c>
      <c r="I1603" s="41">
        <v>0.43</v>
      </c>
      <c r="J1603" s="41">
        <v>0.24</v>
      </c>
      <c r="K1603" s="41">
        <v>0.33</v>
      </c>
      <c r="L1603" s="41">
        <f t="shared" si="2"/>
        <v>0.1</v>
      </c>
      <c r="M1603" s="74">
        <v>1.447457214</v>
      </c>
    </row>
    <row r="1604">
      <c r="A1604" s="1" t="s">
        <v>95</v>
      </c>
      <c r="B1604" s="38">
        <v>543243.0</v>
      </c>
      <c r="C1604" s="72">
        <v>45901.0</v>
      </c>
      <c r="D1604" s="38">
        <v>76.0</v>
      </c>
      <c r="E1604" s="73" t="str">
        <f>IFERROR(__xludf.DUMMYFUNCTION("average(filter('Appearance Sheet'!F:F,'Appearance Sheet'!G:G=B1604,'Appearance Sheet'!A:A=C1604))"),"#N/A")</f>
        <v>#N/A</v>
      </c>
      <c r="F1604" s="67">
        <v>5.184506858</v>
      </c>
      <c r="G1604" s="40">
        <v>1.504061944</v>
      </c>
      <c r="H1604" s="40" t="str">
        <f t="shared" si="1"/>
        <v>#N/A</v>
      </c>
      <c r="I1604" s="41">
        <v>0.605263158</v>
      </c>
      <c r="J1604" s="41">
        <v>0.131578947</v>
      </c>
      <c r="K1604" s="41">
        <v>0.263157895</v>
      </c>
      <c r="L1604" s="41">
        <f t="shared" si="2"/>
        <v>0.342105263</v>
      </c>
      <c r="M1604" s="74">
        <v>-5.962906709</v>
      </c>
    </row>
    <row r="1605">
      <c r="A1605" s="1" t="s">
        <v>188</v>
      </c>
      <c r="B1605" s="38">
        <v>694819.0</v>
      </c>
      <c r="C1605" s="72">
        <v>45820.0</v>
      </c>
      <c r="D1605" s="38">
        <v>78.0</v>
      </c>
      <c r="E1605" s="73">
        <f>IFERROR(__xludf.DUMMYFUNCTION("average(filter('Appearance Sheet'!F:F,'Appearance Sheet'!G:G=B1605,'Appearance Sheet'!A:A=C1605))"),5.0)</f>
        <v>5</v>
      </c>
      <c r="F1605" s="67">
        <v>5.184433026</v>
      </c>
      <c r="G1605" s="40">
        <v>1.482925425</v>
      </c>
      <c r="H1605" s="40">
        <f t="shared" si="1"/>
        <v>2.669265765</v>
      </c>
      <c r="I1605" s="41">
        <v>0.538461538</v>
      </c>
      <c r="J1605" s="41">
        <v>0.153846154</v>
      </c>
      <c r="K1605" s="41">
        <v>0.307692308</v>
      </c>
      <c r="L1605" s="41">
        <f t="shared" si="2"/>
        <v>0.23076923</v>
      </c>
      <c r="M1605" s="74">
        <v>3.961704816</v>
      </c>
    </row>
    <row r="1606">
      <c r="A1606" s="1" t="s">
        <v>269</v>
      </c>
      <c r="B1606" s="38">
        <v>605280.0</v>
      </c>
      <c r="C1606" s="72">
        <v>45892.0</v>
      </c>
      <c r="D1606" s="38">
        <v>90.0</v>
      </c>
      <c r="E1606" s="73" t="str">
        <f>IFERROR(__xludf.DUMMYFUNCTION("average(filter('Appearance Sheet'!F:F,'Appearance Sheet'!G:G=B1606,'Appearance Sheet'!A:A=C1606))"),"#N/A")</f>
        <v>#N/A</v>
      </c>
      <c r="F1606" s="67">
        <v>5.184168309</v>
      </c>
      <c r="G1606" s="40">
        <v>1.75450974</v>
      </c>
      <c r="H1606" s="40" t="str">
        <f t="shared" si="1"/>
        <v>#N/A</v>
      </c>
      <c r="I1606" s="41">
        <v>0.488888889</v>
      </c>
      <c r="J1606" s="41">
        <v>0.177777778</v>
      </c>
      <c r="K1606" s="41">
        <v>0.333333333</v>
      </c>
      <c r="L1606" s="41">
        <f t="shared" si="2"/>
        <v>0.155555556</v>
      </c>
      <c r="M1606" s="74">
        <v>2.417056893</v>
      </c>
    </row>
    <row r="1607">
      <c r="A1607" s="1" t="s">
        <v>180</v>
      </c>
      <c r="B1607" s="38">
        <v>642547.0</v>
      </c>
      <c r="C1607" s="72">
        <v>45760.0</v>
      </c>
      <c r="D1607" s="38">
        <v>102.0</v>
      </c>
      <c r="E1607" s="73">
        <f>IFERROR(__xludf.DUMMYFUNCTION("average(filter('Appearance Sheet'!F:F,'Appearance Sheet'!G:G=B1607,'Appearance Sheet'!A:A=C1607))"),5.333333333333333)</f>
        <v>5.333333333</v>
      </c>
      <c r="F1607" s="67">
        <v>5.183558935</v>
      </c>
      <c r="G1607" s="40">
        <v>1.938534998</v>
      </c>
      <c r="H1607" s="40">
        <f t="shared" si="1"/>
        <v>3.271277809</v>
      </c>
      <c r="I1607" s="41">
        <v>0.529411765</v>
      </c>
      <c r="J1607" s="41">
        <v>0.078431373</v>
      </c>
      <c r="K1607" s="41">
        <v>0.392156863</v>
      </c>
      <c r="L1607" s="41">
        <f t="shared" si="2"/>
        <v>0.137254902</v>
      </c>
      <c r="M1607" s="74">
        <v>-0.712055491</v>
      </c>
    </row>
    <row r="1608">
      <c r="A1608" s="1" t="s">
        <v>209</v>
      </c>
      <c r="B1608" s="38">
        <v>694738.0</v>
      </c>
      <c r="C1608" s="72">
        <v>45794.0</v>
      </c>
      <c r="D1608" s="38">
        <v>88.0</v>
      </c>
      <c r="E1608" s="73">
        <f>IFERROR(__xludf.DUMMYFUNCTION("average(filter('Appearance Sheet'!F:F,'Appearance Sheet'!G:G=B1608,'Appearance Sheet'!A:A=C1608))"),6.0)</f>
        <v>6</v>
      </c>
      <c r="F1608" s="67">
        <v>5.183552714</v>
      </c>
      <c r="G1608" s="40">
        <v>1.686142388</v>
      </c>
      <c r="H1608" s="40">
        <f t="shared" si="1"/>
        <v>2.529213582</v>
      </c>
      <c r="I1608" s="41">
        <v>0.556818182</v>
      </c>
      <c r="J1608" s="41">
        <v>0.090909091</v>
      </c>
      <c r="K1608" s="41">
        <v>0.352272727</v>
      </c>
      <c r="L1608" s="41">
        <f t="shared" si="2"/>
        <v>0.204545455</v>
      </c>
      <c r="M1608" s="74">
        <v>1.275481394</v>
      </c>
    </row>
    <row r="1609">
      <c r="A1609" s="1" t="s">
        <v>358</v>
      </c>
      <c r="B1609" s="38">
        <v>434378.0</v>
      </c>
      <c r="C1609" s="72">
        <v>45783.0</v>
      </c>
      <c r="D1609" s="38">
        <v>77.0</v>
      </c>
      <c r="E1609" s="73">
        <f>IFERROR(__xludf.DUMMYFUNCTION("average(filter('Appearance Sheet'!F:F,'Appearance Sheet'!G:G=B1609,'Appearance Sheet'!A:A=C1609))"),5.0)</f>
        <v>5</v>
      </c>
      <c r="F1609" s="67">
        <v>5.183520041</v>
      </c>
      <c r="G1609" s="40">
        <v>1.510063743</v>
      </c>
      <c r="H1609" s="40">
        <f t="shared" si="1"/>
        <v>2.718114737</v>
      </c>
      <c r="I1609" s="41">
        <v>0.519480519</v>
      </c>
      <c r="J1609" s="41">
        <v>0.181818182</v>
      </c>
      <c r="K1609" s="41">
        <v>0.298701299</v>
      </c>
      <c r="L1609" s="41">
        <f t="shared" si="2"/>
        <v>0.22077922</v>
      </c>
      <c r="M1609" s="74">
        <v>-0.376512148</v>
      </c>
    </row>
    <row r="1610">
      <c r="A1610" s="1" t="s">
        <v>332</v>
      </c>
      <c r="B1610" s="38">
        <v>641778.0</v>
      </c>
      <c r="C1610" s="72">
        <v>45826.0</v>
      </c>
      <c r="D1610" s="38">
        <v>73.0</v>
      </c>
      <c r="E1610" s="73">
        <f>IFERROR(__xludf.DUMMYFUNCTION("average(filter('Appearance Sheet'!F:F,'Appearance Sheet'!G:G=B1610,'Appearance Sheet'!A:A=C1610))"),5.0)</f>
        <v>5</v>
      </c>
      <c r="F1610" s="67">
        <v>5.183446141</v>
      </c>
      <c r="G1610" s="40">
        <v>1.419667021</v>
      </c>
      <c r="H1610" s="40">
        <f t="shared" si="1"/>
        <v>2.555400638</v>
      </c>
      <c r="I1610" s="41">
        <v>0.465753425</v>
      </c>
      <c r="J1610" s="41">
        <v>0.246575342</v>
      </c>
      <c r="K1610" s="41">
        <v>0.287671233</v>
      </c>
      <c r="L1610" s="41">
        <f t="shared" si="2"/>
        <v>0.178082192</v>
      </c>
      <c r="M1610" s="74">
        <v>0.265426492</v>
      </c>
    </row>
    <row r="1611">
      <c r="A1611" s="1" t="s">
        <v>474</v>
      </c>
      <c r="B1611" s="38">
        <v>450203.0</v>
      </c>
      <c r="C1611" s="72">
        <v>45832.0</v>
      </c>
      <c r="D1611" s="38">
        <v>99.0</v>
      </c>
      <c r="E1611" s="73">
        <f>IFERROR(__xludf.DUMMYFUNCTION("average(filter('Appearance Sheet'!F:F,'Appearance Sheet'!G:G=B1611,'Appearance Sheet'!A:A=C1611))"),5.0)</f>
        <v>5</v>
      </c>
      <c r="F1611" s="67">
        <v>5.183432489</v>
      </c>
      <c r="G1611" s="40">
        <v>1.890758594</v>
      </c>
      <c r="H1611" s="40">
        <f t="shared" si="1"/>
        <v>3.403365469</v>
      </c>
      <c r="I1611" s="41">
        <v>0.525252525</v>
      </c>
      <c r="J1611" s="41">
        <v>0.141414141</v>
      </c>
      <c r="K1611" s="41">
        <v>0.333333333</v>
      </c>
      <c r="L1611" s="41">
        <f t="shared" si="2"/>
        <v>0.191919192</v>
      </c>
      <c r="M1611" s="74">
        <v>2.144393377</v>
      </c>
    </row>
    <row r="1612">
      <c r="A1612" s="1" t="s">
        <v>156</v>
      </c>
      <c r="B1612" s="38">
        <v>519242.0</v>
      </c>
      <c r="C1612" s="72">
        <v>45899.0</v>
      </c>
      <c r="D1612" s="38">
        <v>75.0</v>
      </c>
      <c r="E1612" s="73" t="str">
        <f>IFERROR(__xludf.DUMMYFUNCTION("average(filter('Appearance Sheet'!F:F,'Appearance Sheet'!G:G=B1612,'Appearance Sheet'!A:A=C1612))"),"#N/A")</f>
        <v>#N/A</v>
      </c>
      <c r="F1612" s="67">
        <v>5.183392488</v>
      </c>
      <c r="G1612" s="40">
        <v>1.420236725</v>
      </c>
      <c r="H1612" s="40" t="str">
        <f t="shared" si="1"/>
        <v>#N/A</v>
      </c>
      <c r="I1612" s="41">
        <v>0.453333333</v>
      </c>
      <c r="J1612" s="41">
        <v>0.186666667</v>
      </c>
      <c r="K1612" s="41">
        <v>0.36</v>
      </c>
      <c r="L1612" s="41">
        <f t="shared" si="2"/>
        <v>0.093333333</v>
      </c>
      <c r="M1612" s="74">
        <v>1.588251589</v>
      </c>
    </row>
    <row r="1613">
      <c r="A1613" s="1" t="s">
        <v>308</v>
      </c>
      <c r="B1613" s="38">
        <v>676440.0</v>
      </c>
      <c r="C1613" s="72">
        <v>45752.0</v>
      </c>
      <c r="D1613" s="38">
        <v>87.0</v>
      </c>
      <c r="E1613" s="73">
        <f>IFERROR(__xludf.DUMMYFUNCTION("average(filter('Appearance Sheet'!F:F,'Appearance Sheet'!G:G=B1613,'Appearance Sheet'!A:A=C1613))"),4.0)</f>
        <v>4</v>
      </c>
      <c r="F1613" s="67">
        <v>5.183118008</v>
      </c>
      <c r="G1613" s="40">
        <v>1.696266715</v>
      </c>
      <c r="H1613" s="40">
        <f t="shared" si="1"/>
        <v>3.816600109</v>
      </c>
      <c r="I1613" s="41">
        <v>0.517241379</v>
      </c>
      <c r="J1613" s="41">
        <v>0.172413793</v>
      </c>
      <c r="K1613" s="41">
        <v>0.310344828</v>
      </c>
      <c r="L1613" s="41">
        <f t="shared" si="2"/>
        <v>0.206896551</v>
      </c>
      <c r="M1613" s="74">
        <v>-3.497340189</v>
      </c>
    </row>
    <row r="1614">
      <c r="A1614" s="1" t="s">
        <v>195</v>
      </c>
      <c r="B1614" s="38">
        <v>668678.0</v>
      </c>
      <c r="C1614" s="72">
        <v>45816.0</v>
      </c>
      <c r="D1614" s="38">
        <v>93.0</v>
      </c>
      <c r="E1614" s="73">
        <f>IFERROR(__xludf.DUMMYFUNCTION("average(filter('Appearance Sheet'!F:F,'Appearance Sheet'!G:G=B1614,'Appearance Sheet'!A:A=C1614))"),6.666666666666667)</f>
        <v>6.666666667</v>
      </c>
      <c r="F1614" s="67">
        <v>5.183103612</v>
      </c>
      <c r="G1614" s="40">
        <v>1.831197615</v>
      </c>
      <c r="H1614" s="40">
        <f t="shared" si="1"/>
        <v>2.47211678</v>
      </c>
      <c r="I1614" s="41">
        <v>0.516129032</v>
      </c>
      <c r="J1614" s="41">
        <v>0.225806452</v>
      </c>
      <c r="K1614" s="41">
        <v>0.258064516</v>
      </c>
      <c r="L1614" s="41">
        <f t="shared" si="2"/>
        <v>0.258064516</v>
      </c>
      <c r="M1614" s="74">
        <v>-0.368207124</v>
      </c>
    </row>
    <row r="1615">
      <c r="A1615" s="1" t="s">
        <v>255</v>
      </c>
      <c r="B1615" s="38">
        <v>688138.0</v>
      </c>
      <c r="C1615" s="72">
        <v>45872.0</v>
      </c>
      <c r="D1615" s="38">
        <v>80.0</v>
      </c>
      <c r="E1615" s="73" t="str">
        <f>IFERROR(__xludf.DUMMYFUNCTION("average(filter('Appearance Sheet'!F:F,'Appearance Sheet'!G:G=B1615,'Appearance Sheet'!A:A=C1615))"),"#N/A")</f>
        <v>#N/A</v>
      </c>
      <c r="F1615" s="67">
        <v>5.183045059</v>
      </c>
      <c r="G1615" s="40">
        <v>1.528408933</v>
      </c>
      <c r="H1615" s="40" t="str">
        <f t="shared" si="1"/>
        <v>#N/A</v>
      </c>
      <c r="I1615" s="41">
        <v>0.4375</v>
      </c>
      <c r="J1615" s="41">
        <v>0.25</v>
      </c>
      <c r="K1615" s="41">
        <v>0.3125</v>
      </c>
      <c r="L1615" s="41">
        <f t="shared" si="2"/>
        <v>0.125</v>
      </c>
      <c r="M1615" s="74">
        <v>0.126973206</v>
      </c>
    </row>
    <row r="1616">
      <c r="A1616" s="1" t="s">
        <v>163</v>
      </c>
      <c r="B1616" s="38">
        <v>663460.0</v>
      </c>
      <c r="C1616" s="72">
        <v>45842.0</v>
      </c>
      <c r="D1616" s="38">
        <v>95.0</v>
      </c>
      <c r="E1616" s="73">
        <f>IFERROR(__xludf.DUMMYFUNCTION("average(filter('Appearance Sheet'!F:F,'Appearance Sheet'!G:G=B1616,'Appearance Sheet'!A:A=C1616))"),7.0)</f>
        <v>7</v>
      </c>
      <c r="F1616" s="67">
        <v>5.182965817</v>
      </c>
      <c r="G1616" s="40">
        <v>1.869858973</v>
      </c>
      <c r="H1616" s="40">
        <f t="shared" si="1"/>
        <v>2.404104394</v>
      </c>
      <c r="I1616" s="41">
        <v>0.505263158</v>
      </c>
      <c r="J1616" s="41">
        <v>0.178947368</v>
      </c>
      <c r="K1616" s="41">
        <v>0.315789474</v>
      </c>
      <c r="L1616" s="41">
        <f t="shared" si="2"/>
        <v>0.189473684</v>
      </c>
      <c r="M1616" s="74">
        <v>-1.024001913</v>
      </c>
    </row>
    <row r="1617">
      <c r="A1617" s="1" t="s">
        <v>330</v>
      </c>
      <c r="B1617" s="38">
        <v>680730.0</v>
      </c>
      <c r="C1617" s="72">
        <v>45746.0</v>
      </c>
      <c r="D1617" s="38">
        <v>90.0</v>
      </c>
      <c r="E1617" s="73">
        <f>IFERROR(__xludf.DUMMYFUNCTION("average(filter('Appearance Sheet'!F:F,'Appearance Sheet'!G:G=B1617,'Appearance Sheet'!A:A=C1617))"),6.333333333333333)</f>
        <v>6.333333333</v>
      </c>
      <c r="F1617" s="67">
        <v>5.18283115</v>
      </c>
      <c r="G1617" s="40">
        <v>1.761332878</v>
      </c>
      <c r="H1617" s="40">
        <f t="shared" si="1"/>
        <v>2.502946721</v>
      </c>
      <c r="I1617" s="41">
        <v>0.466666667</v>
      </c>
      <c r="J1617" s="41">
        <v>0.2</v>
      </c>
      <c r="K1617" s="41">
        <v>0.333333333</v>
      </c>
      <c r="L1617" s="41">
        <f t="shared" si="2"/>
        <v>0.133333334</v>
      </c>
      <c r="M1617" s="74">
        <v>-1.480844117</v>
      </c>
    </row>
    <row r="1618">
      <c r="A1618" s="1" t="s">
        <v>77</v>
      </c>
      <c r="B1618" s="38">
        <v>657277.0</v>
      </c>
      <c r="C1618" s="72">
        <v>45838.0</v>
      </c>
      <c r="D1618" s="38">
        <v>103.0</v>
      </c>
      <c r="E1618" s="73">
        <f>IFERROR(__xludf.DUMMYFUNCTION("average(filter('Appearance Sheet'!F:F,'Appearance Sheet'!G:G=B1618,'Appearance Sheet'!A:A=C1618))"),6.333333333333333)</f>
        <v>6.333333333</v>
      </c>
      <c r="F1618" s="67">
        <v>5.182781457</v>
      </c>
      <c r="G1618" s="40">
        <v>1.969034259</v>
      </c>
      <c r="H1618" s="40">
        <f t="shared" si="1"/>
        <v>2.798101315</v>
      </c>
      <c r="I1618" s="41">
        <v>0.495145631</v>
      </c>
      <c r="J1618" s="41">
        <v>0.213592233</v>
      </c>
      <c r="K1618" s="41">
        <v>0.291262136</v>
      </c>
      <c r="L1618" s="41">
        <f t="shared" si="2"/>
        <v>0.203883495</v>
      </c>
      <c r="M1618" s="74">
        <v>-1.406736425</v>
      </c>
    </row>
    <row r="1619">
      <c r="A1619" s="1" t="s">
        <v>302</v>
      </c>
      <c r="B1619" s="38">
        <v>681190.0</v>
      </c>
      <c r="C1619" s="72">
        <v>45864.0</v>
      </c>
      <c r="D1619" s="38">
        <v>67.0</v>
      </c>
      <c r="E1619" s="73" t="str">
        <f>IFERROR(__xludf.DUMMYFUNCTION("average(filter('Appearance Sheet'!F:F,'Appearance Sheet'!G:G=B1619,'Appearance Sheet'!A:A=C1619))"),"#N/A")</f>
        <v>#N/A</v>
      </c>
      <c r="F1619" s="67">
        <v>5.182693516</v>
      </c>
      <c r="G1619" s="40">
        <v>1.332607769</v>
      </c>
      <c r="H1619" s="40" t="str">
        <f t="shared" si="1"/>
        <v>#N/A</v>
      </c>
      <c r="I1619" s="41">
        <v>0.417910448</v>
      </c>
      <c r="J1619" s="41">
        <v>0.223880597</v>
      </c>
      <c r="K1619" s="41">
        <v>0.358208955</v>
      </c>
      <c r="L1619" s="41">
        <f t="shared" si="2"/>
        <v>0.059701493</v>
      </c>
      <c r="M1619" s="74">
        <v>4.391694675</v>
      </c>
    </row>
    <row r="1620">
      <c r="A1620" s="1" t="s">
        <v>163</v>
      </c>
      <c r="B1620" s="38">
        <v>663460.0</v>
      </c>
      <c r="C1620" s="72">
        <v>45785.0</v>
      </c>
      <c r="D1620" s="38">
        <v>89.0</v>
      </c>
      <c r="E1620" s="73">
        <f>IFERROR(__xludf.DUMMYFUNCTION("average(filter('Appearance Sheet'!F:F,'Appearance Sheet'!G:G=B1620,'Appearance Sheet'!A:A=C1620))"),7.0)</f>
        <v>7</v>
      </c>
      <c r="F1620" s="67">
        <v>5.182620827</v>
      </c>
      <c r="G1620" s="40">
        <v>1.740218147</v>
      </c>
      <c r="H1620" s="40">
        <f t="shared" si="1"/>
        <v>2.237423332</v>
      </c>
      <c r="I1620" s="41">
        <v>0.539325843</v>
      </c>
      <c r="J1620" s="41">
        <v>0.179775281</v>
      </c>
      <c r="K1620" s="41">
        <v>0.280898876</v>
      </c>
      <c r="L1620" s="41">
        <f t="shared" si="2"/>
        <v>0.258426967</v>
      </c>
      <c r="M1620" s="74">
        <v>-0.46194112</v>
      </c>
    </row>
    <row r="1621">
      <c r="A1621" s="1" t="s">
        <v>281</v>
      </c>
      <c r="B1621" s="38">
        <v>622663.0</v>
      </c>
      <c r="C1621" s="72">
        <v>45843.0</v>
      </c>
      <c r="D1621" s="38">
        <v>90.0</v>
      </c>
      <c r="E1621" s="73" t="str">
        <f>IFERROR(__xludf.DUMMYFUNCTION("average(filter('Appearance Sheet'!F:F,'Appearance Sheet'!G:G=B1621,'Appearance Sheet'!A:A=C1621))"),"#N/A")</f>
        <v>#N/A</v>
      </c>
      <c r="F1621" s="67">
        <v>5.182582974</v>
      </c>
      <c r="G1621" s="40">
        <v>1.739709989</v>
      </c>
      <c r="H1621" s="40" t="str">
        <f t="shared" si="1"/>
        <v>#N/A</v>
      </c>
      <c r="I1621" s="41">
        <v>0.488888889</v>
      </c>
      <c r="J1621" s="41">
        <v>0.122222222</v>
      </c>
      <c r="K1621" s="41">
        <v>0.388888889</v>
      </c>
      <c r="L1621" s="41">
        <f t="shared" si="2"/>
        <v>0.1</v>
      </c>
      <c r="M1621" s="74">
        <v>0.855625126</v>
      </c>
    </row>
    <row r="1622">
      <c r="A1622" s="1" t="s">
        <v>263</v>
      </c>
      <c r="B1622" s="38">
        <v>694297.0</v>
      </c>
      <c r="C1622" s="72">
        <v>45879.0</v>
      </c>
      <c r="D1622" s="38">
        <v>77.0</v>
      </c>
      <c r="E1622" s="73" t="str">
        <f>IFERROR(__xludf.DUMMYFUNCTION("average(filter('Appearance Sheet'!F:F,'Appearance Sheet'!G:G=B1622,'Appearance Sheet'!A:A=C1622))"),"#N/A")</f>
        <v>#N/A</v>
      </c>
      <c r="F1622" s="67">
        <v>5.182469985</v>
      </c>
      <c r="G1622" s="40">
        <v>1.538571268</v>
      </c>
      <c r="H1622" s="40" t="str">
        <f t="shared" si="1"/>
        <v>#N/A</v>
      </c>
      <c r="I1622" s="41">
        <v>0.493506494</v>
      </c>
      <c r="J1622" s="41">
        <v>0.181818182</v>
      </c>
      <c r="K1622" s="41">
        <v>0.324675325</v>
      </c>
      <c r="L1622" s="41">
        <f t="shared" si="2"/>
        <v>0.168831169</v>
      </c>
      <c r="M1622" s="74">
        <v>-5.825044787</v>
      </c>
    </row>
    <row r="1623">
      <c r="A1623" s="1" t="s">
        <v>323</v>
      </c>
      <c r="B1623" s="38">
        <v>691587.0</v>
      </c>
      <c r="C1623" s="72">
        <v>45823.0</v>
      </c>
      <c r="D1623" s="38">
        <v>77.0</v>
      </c>
      <c r="E1623" s="73">
        <f>IFERROR(__xludf.DUMMYFUNCTION("average(filter('Appearance Sheet'!F:F,'Appearance Sheet'!G:G=B1623,'Appearance Sheet'!A:A=C1623))"),4.0)</f>
        <v>4</v>
      </c>
      <c r="F1623" s="67">
        <v>5.182249415</v>
      </c>
      <c r="G1623" s="40">
        <v>1.520125494</v>
      </c>
      <c r="H1623" s="40">
        <f t="shared" si="1"/>
        <v>3.420282362</v>
      </c>
      <c r="I1623" s="41">
        <v>0.493506494</v>
      </c>
      <c r="J1623" s="41">
        <v>0.207792208</v>
      </c>
      <c r="K1623" s="41">
        <v>0.298701299</v>
      </c>
      <c r="L1623" s="41">
        <f t="shared" si="2"/>
        <v>0.194805195</v>
      </c>
      <c r="M1623" s="74">
        <v>-0.121218369</v>
      </c>
    </row>
    <row r="1624">
      <c r="A1624" s="1" t="s">
        <v>419</v>
      </c>
      <c r="B1624" s="38">
        <v>681857.0</v>
      </c>
      <c r="C1624" s="72">
        <v>45842.0</v>
      </c>
      <c r="D1624" s="38">
        <v>80.0</v>
      </c>
      <c r="E1624" s="73">
        <f>IFERROR(__xludf.DUMMYFUNCTION("average(filter('Appearance Sheet'!F:F,'Appearance Sheet'!G:G=B1624,'Appearance Sheet'!A:A=C1624))"),4.333333333333333)</f>
        <v>4.333333333</v>
      </c>
      <c r="F1624" s="67">
        <v>5.18218755</v>
      </c>
      <c r="G1624" s="40">
        <v>1.519692106</v>
      </c>
      <c r="H1624" s="40">
        <f t="shared" si="1"/>
        <v>3.156283605</v>
      </c>
      <c r="I1624" s="41">
        <v>0.5375</v>
      </c>
      <c r="J1624" s="41">
        <v>0.1</v>
      </c>
      <c r="K1624" s="41">
        <v>0.3625</v>
      </c>
      <c r="L1624" s="41">
        <f t="shared" si="2"/>
        <v>0.175</v>
      </c>
      <c r="M1624" s="74">
        <v>-1.754905905</v>
      </c>
    </row>
    <row r="1625">
      <c r="A1625" s="1" t="s">
        <v>232</v>
      </c>
      <c r="B1625" s="38">
        <v>579328.0</v>
      </c>
      <c r="C1625" s="72">
        <v>45817.0</v>
      </c>
      <c r="D1625" s="38">
        <v>101.0</v>
      </c>
      <c r="E1625" s="73">
        <f>IFERROR(__xludf.DUMMYFUNCTION("average(filter('Appearance Sheet'!F:F,'Appearance Sheet'!G:G=B1625,'Appearance Sheet'!A:A=C1625))"),7.333333333333333)</f>
        <v>7.333333333</v>
      </c>
      <c r="F1625" s="67">
        <v>5.182036546</v>
      </c>
      <c r="G1625" s="40">
        <v>1.935481648</v>
      </c>
      <c r="H1625" s="40">
        <f t="shared" si="1"/>
        <v>2.375363841</v>
      </c>
      <c r="I1625" s="41">
        <v>0.475247525</v>
      </c>
      <c r="J1625" s="41">
        <v>0.138613861</v>
      </c>
      <c r="K1625" s="41">
        <v>0.386138614</v>
      </c>
      <c r="L1625" s="41">
        <f t="shared" si="2"/>
        <v>0.089108911</v>
      </c>
      <c r="M1625" s="74">
        <v>4.893439617</v>
      </c>
    </row>
    <row r="1626">
      <c r="A1626" s="1" t="s">
        <v>195</v>
      </c>
      <c r="B1626" s="38">
        <v>668678.0</v>
      </c>
      <c r="C1626" s="72">
        <v>45887.0</v>
      </c>
      <c r="D1626" s="38">
        <v>85.0</v>
      </c>
      <c r="E1626" s="73" t="str">
        <f>IFERROR(__xludf.DUMMYFUNCTION("average(filter('Appearance Sheet'!F:F,'Appearance Sheet'!G:G=B1626,'Appearance Sheet'!A:A=C1626))"),"#N/A")</f>
        <v>#N/A</v>
      </c>
      <c r="F1626" s="67">
        <v>5.181712225</v>
      </c>
      <c r="G1626" s="40">
        <v>1.659880743</v>
      </c>
      <c r="H1626" s="40" t="str">
        <f t="shared" si="1"/>
        <v>#N/A</v>
      </c>
      <c r="I1626" s="41">
        <v>0.411764706</v>
      </c>
      <c r="J1626" s="41">
        <v>0.247058824</v>
      </c>
      <c r="K1626" s="41">
        <v>0.341176471</v>
      </c>
      <c r="L1626" s="41">
        <f t="shared" si="2"/>
        <v>0.070588235</v>
      </c>
      <c r="M1626" s="74">
        <v>0.040381356</v>
      </c>
    </row>
    <row r="1627">
      <c r="A1627" s="1" t="s">
        <v>98</v>
      </c>
      <c r="B1627" s="38">
        <v>605400.0</v>
      </c>
      <c r="C1627" s="72">
        <v>45897.0</v>
      </c>
      <c r="D1627" s="38">
        <v>92.0</v>
      </c>
      <c r="E1627" s="73" t="str">
        <f>IFERROR(__xludf.DUMMYFUNCTION("average(filter('Appearance Sheet'!F:F,'Appearance Sheet'!G:G=B1627,'Appearance Sheet'!A:A=C1627))"),"#N/A")</f>
        <v>#N/A</v>
      </c>
      <c r="F1627" s="67">
        <v>5.181551165</v>
      </c>
      <c r="G1627" s="40">
        <v>1.775146967</v>
      </c>
      <c r="H1627" s="40" t="str">
        <f t="shared" si="1"/>
        <v>#N/A</v>
      </c>
      <c r="I1627" s="41">
        <v>0.52173913</v>
      </c>
      <c r="J1627" s="41">
        <v>0.119565217</v>
      </c>
      <c r="K1627" s="41">
        <v>0.358695652</v>
      </c>
      <c r="L1627" s="41">
        <f t="shared" si="2"/>
        <v>0.163043478</v>
      </c>
      <c r="M1627" s="74">
        <v>0.086689917</v>
      </c>
    </row>
    <row r="1628">
      <c r="A1628" s="1" t="s">
        <v>352</v>
      </c>
      <c r="B1628" s="38">
        <v>685299.0</v>
      </c>
      <c r="C1628" s="72">
        <v>45912.0</v>
      </c>
      <c r="D1628" s="38">
        <v>75.0</v>
      </c>
      <c r="E1628" s="73" t="str">
        <f>IFERROR(__xludf.DUMMYFUNCTION("average(filter('Appearance Sheet'!F:F,'Appearance Sheet'!G:G=B1628,'Appearance Sheet'!A:A=C1628))"),"#N/A")</f>
        <v>#N/A</v>
      </c>
      <c r="F1628" s="67">
        <v>5.181351991</v>
      </c>
      <c r="G1628" s="40">
        <v>1.461974254</v>
      </c>
      <c r="H1628" s="40" t="str">
        <f t="shared" si="1"/>
        <v>#N/A</v>
      </c>
      <c r="I1628" s="41">
        <v>0.48</v>
      </c>
      <c r="J1628" s="41">
        <v>0.226666667</v>
      </c>
      <c r="K1628" s="41">
        <v>0.293333333</v>
      </c>
      <c r="L1628" s="41">
        <f t="shared" si="2"/>
        <v>0.186666667</v>
      </c>
      <c r="M1628" s="74">
        <v>2.590752221</v>
      </c>
    </row>
    <row r="1629">
      <c r="A1629" s="1" t="s">
        <v>355</v>
      </c>
      <c r="B1629" s="38">
        <v>670912.0</v>
      </c>
      <c r="C1629" s="72">
        <v>45923.0</v>
      </c>
      <c r="D1629" s="38">
        <v>80.0</v>
      </c>
      <c r="E1629" s="73" t="str">
        <f>IFERROR(__xludf.DUMMYFUNCTION("average(filter('Appearance Sheet'!F:F,'Appearance Sheet'!G:G=B1629,'Appearance Sheet'!A:A=C1629))"),"#N/A")</f>
        <v>#N/A</v>
      </c>
      <c r="F1629" s="67">
        <v>5.181120013</v>
      </c>
      <c r="G1629" s="40">
        <v>1.563788406</v>
      </c>
      <c r="H1629" s="40" t="str">
        <f t="shared" si="1"/>
        <v>#N/A</v>
      </c>
      <c r="I1629" s="41">
        <v>0.525</v>
      </c>
      <c r="J1629" s="41">
        <v>0.125</v>
      </c>
      <c r="K1629" s="41">
        <v>0.35</v>
      </c>
      <c r="L1629" s="41">
        <f t="shared" si="2"/>
        <v>0.175</v>
      </c>
      <c r="M1629" s="74">
        <v>1.695251362</v>
      </c>
    </row>
    <row r="1630">
      <c r="A1630" s="1" t="s">
        <v>579</v>
      </c>
      <c r="B1630" s="38">
        <v>686730.0</v>
      </c>
      <c r="C1630" s="72">
        <v>45753.0</v>
      </c>
      <c r="D1630" s="38">
        <v>61.0</v>
      </c>
      <c r="E1630" s="73">
        <f>IFERROR(__xludf.DUMMYFUNCTION("average(filter('Appearance Sheet'!F:F,'Appearance Sheet'!G:G=B1630,'Appearance Sheet'!A:A=C1630))"),3.3333333333333335)</f>
        <v>3.333333333</v>
      </c>
      <c r="F1630" s="67">
        <v>5.181067744</v>
      </c>
      <c r="G1630" s="40">
        <v>1.164440984</v>
      </c>
      <c r="H1630" s="40">
        <f t="shared" si="1"/>
        <v>3.143990657</v>
      </c>
      <c r="I1630" s="41">
        <v>0.524590164</v>
      </c>
      <c r="J1630" s="41">
        <v>0.131147541</v>
      </c>
      <c r="K1630" s="41">
        <v>0.344262295</v>
      </c>
      <c r="L1630" s="41">
        <f t="shared" si="2"/>
        <v>0.180327869</v>
      </c>
      <c r="M1630" s="74">
        <v>-1.305651201</v>
      </c>
    </row>
    <row r="1631">
      <c r="A1631" s="1" t="s">
        <v>130</v>
      </c>
      <c r="B1631" s="38">
        <v>666200.0</v>
      </c>
      <c r="C1631" s="72">
        <v>45856.0</v>
      </c>
      <c r="D1631" s="38">
        <v>86.0</v>
      </c>
      <c r="E1631" s="73" t="str">
        <f>IFERROR(__xludf.DUMMYFUNCTION("average(filter('Appearance Sheet'!F:F,'Appearance Sheet'!G:G=B1631,'Appearance Sheet'!A:A=C1631))"),"#N/A")</f>
        <v>#N/A</v>
      </c>
      <c r="F1631" s="67">
        <v>5.180874122</v>
      </c>
      <c r="G1631" s="40">
        <v>1.663856038</v>
      </c>
      <c r="H1631" s="40" t="str">
        <f t="shared" si="1"/>
        <v>#N/A</v>
      </c>
      <c r="I1631" s="41">
        <v>0.5</v>
      </c>
      <c r="J1631" s="41">
        <v>0.139534884</v>
      </c>
      <c r="K1631" s="41">
        <v>0.360465116</v>
      </c>
      <c r="L1631" s="41">
        <f t="shared" si="2"/>
        <v>0.139534884</v>
      </c>
      <c r="M1631" s="74">
        <v>-2.921780098</v>
      </c>
    </row>
    <row r="1632">
      <c r="A1632" s="1" t="s">
        <v>159</v>
      </c>
      <c r="B1632" s="38">
        <v>605483.0</v>
      </c>
      <c r="C1632" s="72">
        <v>45885.0</v>
      </c>
      <c r="D1632" s="38">
        <v>96.0</v>
      </c>
      <c r="E1632" s="73" t="str">
        <f>IFERROR(__xludf.DUMMYFUNCTION("average(filter('Appearance Sheet'!F:F,'Appearance Sheet'!G:G=B1632,'Appearance Sheet'!A:A=C1632))"),"#N/A")</f>
        <v>#N/A</v>
      </c>
      <c r="F1632" s="67">
        <v>5.180747751</v>
      </c>
      <c r="G1632" s="40">
        <v>1.866073716</v>
      </c>
      <c r="H1632" s="40" t="str">
        <f t="shared" si="1"/>
        <v>#N/A</v>
      </c>
      <c r="I1632" s="41">
        <v>0.489583333</v>
      </c>
      <c r="J1632" s="41">
        <v>0.21875</v>
      </c>
      <c r="K1632" s="41">
        <v>0.291666667</v>
      </c>
      <c r="L1632" s="41">
        <f t="shared" si="2"/>
        <v>0.197916666</v>
      </c>
      <c r="M1632" s="74">
        <v>-0.560173068</v>
      </c>
    </row>
    <row r="1633">
      <c r="A1633" s="1" t="s">
        <v>129</v>
      </c>
      <c r="B1633" s="38">
        <v>686752.0</v>
      </c>
      <c r="C1633" s="72">
        <v>45858.0</v>
      </c>
      <c r="D1633" s="38">
        <v>92.0</v>
      </c>
      <c r="E1633" s="73" t="str">
        <f>IFERROR(__xludf.DUMMYFUNCTION("average(filter('Appearance Sheet'!F:F,'Appearance Sheet'!G:G=B1633,'Appearance Sheet'!A:A=C1633))"),"#N/A")</f>
        <v>#N/A</v>
      </c>
      <c r="F1633" s="67">
        <v>5.18066121</v>
      </c>
      <c r="G1633" s="40">
        <v>1.814081937</v>
      </c>
      <c r="H1633" s="40" t="str">
        <f t="shared" si="1"/>
        <v>#N/A</v>
      </c>
      <c r="I1633" s="41">
        <v>0.5</v>
      </c>
      <c r="J1633" s="41">
        <v>0.195652174</v>
      </c>
      <c r="K1633" s="41">
        <v>0.304347826</v>
      </c>
      <c r="L1633" s="41">
        <f t="shared" si="2"/>
        <v>0.195652174</v>
      </c>
      <c r="M1633" s="74">
        <v>-1.30640337</v>
      </c>
    </row>
    <row r="1634">
      <c r="A1634" s="1" t="s">
        <v>267</v>
      </c>
      <c r="B1634" s="38">
        <v>669387.0</v>
      </c>
      <c r="C1634" s="72">
        <v>45794.0</v>
      </c>
      <c r="D1634" s="38">
        <v>77.0</v>
      </c>
      <c r="E1634" s="73">
        <f>IFERROR(__xludf.DUMMYFUNCTION("average(filter('Appearance Sheet'!F:F,'Appearance Sheet'!G:G=B1634,'Appearance Sheet'!A:A=C1634))"),3.3333333333333335)</f>
        <v>3.333333333</v>
      </c>
      <c r="F1634" s="67">
        <v>5.180346083</v>
      </c>
      <c r="G1634" s="40">
        <v>1.49610427</v>
      </c>
      <c r="H1634" s="40">
        <f t="shared" si="1"/>
        <v>4.039481529</v>
      </c>
      <c r="I1634" s="41">
        <v>0.480519481</v>
      </c>
      <c r="J1634" s="41">
        <v>0.168831169</v>
      </c>
      <c r="K1634" s="41">
        <v>0.350649351</v>
      </c>
      <c r="L1634" s="41">
        <f t="shared" si="2"/>
        <v>0.12987013</v>
      </c>
      <c r="M1634" s="74">
        <v>-2.954895326</v>
      </c>
    </row>
    <row r="1635">
      <c r="A1635" s="1" t="s">
        <v>246</v>
      </c>
      <c r="B1635" s="38">
        <v>571510.0</v>
      </c>
      <c r="C1635" s="72">
        <v>45844.0</v>
      </c>
      <c r="D1635" s="38">
        <v>86.0</v>
      </c>
      <c r="E1635" s="73" t="str">
        <f>IFERROR(__xludf.DUMMYFUNCTION("average(filter('Appearance Sheet'!F:F,'Appearance Sheet'!G:G=B1635,'Appearance Sheet'!A:A=C1635))"),"#N/A")</f>
        <v>#N/A</v>
      </c>
      <c r="F1635" s="67">
        <v>5.179970603</v>
      </c>
      <c r="G1635" s="40">
        <v>1.665818309</v>
      </c>
      <c r="H1635" s="40" t="str">
        <f t="shared" si="1"/>
        <v>#N/A</v>
      </c>
      <c r="I1635" s="41">
        <v>0.5</v>
      </c>
      <c r="J1635" s="41">
        <v>0.139534884</v>
      </c>
      <c r="K1635" s="41">
        <v>0.360465116</v>
      </c>
      <c r="L1635" s="41">
        <f t="shared" si="2"/>
        <v>0.139534884</v>
      </c>
      <c r="M1635" s="74">
        <v>2.935179083</v>
      </c>
    </row>
    <row r="1636">
      <c r="A1636" s="1" t="s">
        <v>153</v>
      </c>
      <c r="B1636" s="38">
        <v>669302.0</v>
      </c>
      <c r="C1636" s="72">
        <v>45910.0</v>
      </c>
      <c r="D1636" s="38">
        <v>95.0</v>
      </c>
      <c r="E1636" s="73" t="str">
        <f>IFERROR(__xludf.DUMMYFUNCTION("average(filter('Appearance Sheet'!F:F,'Appearance Sheet'!G:G=B1636,'Appearance Sheet'!A:A=C1636))"),"#N/A")</f>
        <v>#N/A</v>
      </c>
      <c r="F1636" s="67">
        <v>5.179962141</v>
      </c>
      <c r="G1636" s="40">
        <v>1.858762448</v>
      </c>
      <c r="H1636" s="40" t="str">
        <f t="shared" si="1"/>
        <v>#N/A</v>
      </c>
      <c r="I1636" s="41">
        <v>0.410526316</v>
      </c>
      <c r="J1636" s="41">
        <v>0.284210526</v>
      </c>
      <c r="K1636" s="41">
        <v>0.305263158</v>
      </c>
      <c r="L1636" s="41">
        <f t="shared" si="2"/>
        <v>0.105263158</v>
      </c>
      <c r="M1636" s="74">
        <v>-0.034783659</v>
      </c>
    </row>
    <row r="1637">
      <c r="A1637" s="1" t="s">
        <v>105</v>
      </c>
      <c r="B1637" s="38">
        <v>624133.0</v>
      </c>
      <c r="C1637" s="72">
        <v>45881.0</v>
      </c>
      <c r="D1637" s="38">
        <v>92.0</v>
      </c>
      <c r="E1637" s="73" t="str">
        <f>IFERROR(__xludf.DUMMYFUNCTION("average(filter('Appearance Sheet'!F:F,'Appearance Sheet'!G:G=B1637,'Appearance Sheet'!A:A=C1637))"),"#N/A")</f>
        <v>#N/A</v>
      </c>
      <c r="F1637" s="67">
        <v>5.179958686</v>
      </c>
      <c r="G1637" s="40">
        <v>1.798089485</v>
      </c>
      <c r="H1637" s="40" t="str">
        <f t="shared" si="1"/>
        <v>#N/A</v>
      </c>
      <c r="I1637" s="41">
        <v>0.52173913</v>
      </c>
      <c r="J1637" s="41">
        <v>0.163043478</v>
      </c>
      <c r="K1637" s="41">
        <v>0.315217391</v>
      </c>
      <c r="L1637" s="41">
        <f t="shared" si="2"/>
        <v>0.206521739</v>
      </c>
      <c r="M1637" s="74">
        <v>-3.028704585</v>
      </c>
    </row>
    <row r="1638">
      <c r="A1638" s="1" t="s">
        <v>163</v>
      </c>
      <c r="B1638" s="38">
        <v>663460.0</v>
      </c>
      <c r="C1638" s="72">
        <v>45847.0</v>
      </c>
      <c r="D1638" s="38">
        <v>81.0</v>
      </c>
      <c r="E1638" s="73" t="str">
        <f>IFERROR(__xludf.DUMMYFUNCTION("average(filter('Appearance Sheet'!F:F,'Appearance Sheet'!G:G=B1638,'Appearance Sheet'!A:A=C1638))"),"#N/A")</f>
        <v>#N/A</v>
      </c>
      <c r="F1638" s="67">
        <v>5.179744144</v>
      </c>
      <c r="G1638" s="40">
        <v>1.572773079</v>
      </c>
      <c r="H1638" s="40" t="str">
        <f t="shared" si="1"/>
        <v>#N/A</v>
      </c>
      <c r="I1638" s="41">
        <v>0.543209877</v>
      </c>
      <c r="J1638" s="41">
        <v>0.160493827</v>
      </c>
      <c r="K1638" s="41">
        <v>0.296296296</v>
      </c>
      <c r="L1638" s="41">
        <f t="shared" si="2"/>
        <v>0.246913581</v>
      </c>
      <c r="M1638" s="74">
        <v>-0.885287646</v>
      </c>
    </row>
    <row r="1639">
      <c r="A1639" s="1" t="s">
        <v>275</v>
      </c>
      <c r="B1639" s="38">
        <v>693821.0</v>
      </c>
      <c r="C1639" s="72">
        <v>45870.0</v>
      </c>
      <c r="D1639" s="38">
        <v>82.0</v>
      </c>
      <c r="E1639" s="73" t="str">
        <f>IFERROR(__xludf.DUMMYFUNCTION("average(filter('Appearance Sheet'!F:F,'Appearance Sheet'!G:G=B1639,'Appearance Sheet'!A:A=C1639))"),"#N/A")</f>
        <v>#N/A</v>
      </c>
      <c r="F1639" s="67">
        <v>5.179461817</v>
      </c>
      <c r="G1639" s="40">
        <v>1.614018666</v>
      </c>
      <c r="H1639" s="40" t="str">
        <f t="shared" si="1"/>
        <v>#N/A</v>
      </c>
      <c r="I1639" s="41">
        <v>0.475609756</v>
      </c>
      <c r="J1639" s="41">
        <v>0.182926829</v>
      </c>
      <c r="K1639" s="41">
        <v>0.341463415</v>
      </c>
      <c r="L1639" s="41">
        <f t="shared" si="2"/>
        <v>0.134146341</v>
      </c>
      <c r="M1639" s="74">
        <v>1.54699783</v>
      </c>
    </row>
    <row r="1640">
      <c r="A1640" s="1" t="s">
        <v>88</v>
      </c>
      <c r="B1640" s="38">
        <v>694973.0</v>
      </c>
      <c r="C1640" s="72">
        <v>45859.0</v>
      </c>
      <c r="D1640" s="38">
        <v>85.0</v>
      </c>
      <c r="E1640" s="73" t="str">
        <f>IFERROR(__xludf.DUMMYFUNCTION("average(filter('Appearance Sheet'!F:F,'Appearance Sheet'!G:G=B1640,'Appearance Sheet'!A:A=C1640))"),"#N/A")</f>
        <v>#N/A</v>
      </c>
      <c r="F1640" s="67">
        <v>5.179321949</v>
      </c>
      <c r="G1640" s="40">
        <v>1.655554581</v>
      </c>
      <c r="H1640" s="40" t="str">
        <f t="shared" si="1"/>
        <v>#N/A</v>
      </c>
      <c r="I1640" s="41">
        <v>0.517647059</v>
      </c>
      <c r="J1640" s="41">
        <v>0.176470588</v>
      </c>
      <c r="K1640" s="41">
        <v>0.305882353</v>
      </c>
      <c r="L1640" s="41">
        <f t="shared" si="2"/>
        <v>0.211764706</v>
      </c>
      <c r="M1640" s="74">
        <v>1.389122</v>
      </c>
    </row>
    <row r="1641">
      <c r="A1641" s="1" t="s">
        <v>329</v>
      </c>
      <c r="B1641" s="38">
        <v>669160.0</v>
      </c>
      <c r="C1641" s="72">
        <v>45810.0</v>
      </c>
      <c r="D1641" s="38">
        <v>82.0</v>
      </c>
      <c r="E1641" s="73">
        <f>IFERROR(__xludf.DUMMYFUNCTION("average(filter('Appearance Sheet'!F:F,'Appearance Sheet'!G:G=B1641,'Appearance Sheet'!A:A=C1641))"),6.0)</f>
        <v>6</v>
      </c>
      <c r="F1641" s="67">
        <v>5.17927697</v>
      </c>
      <c r="G1641" s="40">
        <v>1.62199063</v>
      </c>
      <c r="H1641" s="40">
        <f t="shared" si="1"/>
        <v>2.432985945</v>
      </c>
      <c r="I1641" s="41">
        <v>0.43902439</v>
      </c>
      <c r="J1641" s="41">
        <v>0.231707317</v>
      </c>
      <c r="K1641" s="41">
        <v>0.329268293</v>
      </c>
      <c r="L1641" s="41">
        <f t="shared" si="2"/>
        <v>0.109756097</v>
      </c>
      <c r="M1641" s="74">
        <v>0.151997122</v>
      </c>
    </row>
    <row r="1642">
      <c r="A1642" s="1" t="s">
        <v>175</v>
      </c>
      <c r="B1642" s="38">
        <v>622503.0</v>
      </c>
      <c r="C1642" s="72">
        <v>45902.0</v>
      </c>
      <c r="D1642" s="38">
        <v>80.0</v>
      </c>
      <c r="E1642" s="73" t="str">
        <f>IFERROR(__xludf.DUMMYFUNCTION("average(filter('Appearance Sheet'!F:F,'Appearance Sheet'!G:G=B1642,'Appearance Sheet'!A:A=C1642))"),"#N/A")</f>
        <v>#N/A</v>
      </c>
      <c r="F1642" s="67">
        <v>5.179202198</v>
      </c>
      <c r="G1642" s="40">
        <v>1.589257202</v>
      </c>
      <c r="H1642" s="40" t="str">
        <f t="shared" si="1"/>
        <v>#N/A</v>
      </c>
      <c r="I1642" s="41">
        <v>0.4875</v>
      </c>
      <c r="J1642" s="41">
        <v>0.1875</v>
      </c>
      <c r="K1642" s="41">
        <v>0.325</v>
      </c>
      <c r="L1642" s="41">
        <f t="shared" si="2"/>
        <v>0.1625</v>
      </c>
      <c r="M1642" s="74">
        <v>-1.195591727</v>
      </c>
    </row>
    <row r="1643">
      <c r="A1643" s="1" t="s">
        <v>121</v>
      </c>
      <c r="B1643" s="38">
        <v>676974.0</v>
      </c>
      <c r="C1643" s="72">
        <v>45751.0</v>
      </c>
      <c r="D1643" s="38">
        <v>91.0</v>
      </c>
      <c r="E1643" s="73">
        <f>IFERROR(__xludf.DUMMYFUNCTION("average(filter('Appearance Sheet'!F:F,'Appearance Sheet'!G:G=B1643,'Appearance Sheet'!A:A=C1643))"),6.0)</f>
        <v>6</v>
      </c>
      <c r="F1643" s="67">
        <v>5.179076075</v>
      </c>
      <c r="G1643" s="40">
        <v>1.789724584</v>
      </c>
      <c r="H1643" s="40">
        <f t="shared" si="1"/>
        <v>2.684586876</v>
      </c>
      <c r="I1643" s="41">
        <v>0.483516484</v>
      </c>
      <c r="J1643" s="41">
        <v>0.230769231</v>
      </c>
      <c r="K1643" s="41">
        <v>0.285714286</v>
      </c>
      <c r="L1643" s="41">
        <f t="shared" si="2"/>
        <v>0.197802198</v>
      </c>
      <c r="M1643" s="74">
        <v>-2.899360755</v>
      </c>
    </row>
    <row r="1644">
      <c r="A1644" s="1" t="s">
        <v>428</v>
      </c>
      <c r="B1644" s="38">
        <v>670102.0</v>
      </c>
      <c r="C1644" s="72">
        <v>45787.0</v>
      </c>
      <c r="D1644" s="38">
        <v>86.0</v>
      </c>
      <c r="E1644" s="73">
        <f>IFERROR(__xludf.DUMMYFUNCTION("average(filter('Appearance Sheet'!F:F,'Appearance Sheet'!G:G=B1644,'Appearance Sheet'!A:A=C1644))"),6.666666666666667)</f>
        <v>6.666666667</v>
      </c>
      <c r="F1644" s="67">
        <v>5.178531975</v>
      </c>
      <c r="G1644" s="40">
        <v>1.696198578</v>
      </c>
      <c r="H1644" s="40">
        <f t="shared" si="1"/>
        <v>2.28986808</v>
      </c>
      <c r="I1644" s="41">
        <v>0.546511628</v>
      </c>
      <c r="J1644" s="41">
        <v>0.104651163</v>
      </c>
      <c r="K1644" s="41">
        <v>0.348837209</v>
      </c>
      <c r="L1644" s="41">
        <f t="shared" si="2"/>
        <v>0.197674419</v>
      </c>
      <c r="M1644" s="74">
        <v>-1.857848649</v>
      </c>
    </row>
    <row r="1645">
      <c r="A1645" s="1" t="s">
        <v>67</v>
      </c>
      <c r="B1645" s="38">
        <v>684007.0</v>
      </c>
      <c r="C1645" s="72">
        <v>45834.0</v>
      </c>
      <c r="D1645" s="38">
        <v>76.0</v>
      </c>
      <c r="E1645" s="73">
        <f>IFERROR(__xludf.DUMMYFUNCTION("average(filter('Appearance Sheet'!F:F,'Appearance Sheet'!G:G=B1645,'Appearance Sheet'!A:A=C1645))"),5.0)</f>
        <v>5</v>
      </c>
      <c r="F1645" s="67">
        <v>5.178465444</v>
      </c>
      <c r="G1645" s="40">
        <v>1.469991064</v>
      </c>
      <c r="H1645" s="40">
        <f t="shared" si="1"/>
        <v>2.645983915</v>
      </c>
      <c r="I1645" s="41">
        <v>0.5</v>
      </c>
      <c r="J1645" s="41">
        <v>0.184210526</v>
      </c>
      <c r="K1645" s="41">
        <v>0.315789474</v>
      </c>
      <c r="L1645" s="41">
        <f t="shared" si="2"/>
        <v>0.184210526</v>
      </c>
      <c r="M1645" s="74">
        <v>3.18761088</v>
      </c>
    </row>
    <row r="1646">
      <c r="A1646" s="1" t="s">
        <v>417</v>
      </c>
      <c r="B1646" s="38">
        <v>608718.0</v>
      </c>
      <c r="C1646" s="72">
        <v>45767.0</v>
      </c>
      <c r="D1646" s="38">
        <v>60.0</v>
      </c>
      <c r="E1646" s="73">
        <f>IFERROR(__xludf.DUMMYFUNCTION("average(filter('Appearance Sheet'!F:F,'Appearance Sheet'!G:G=B1646,'Appearance Sheet'!A:A=C1646))"),3.0)</f>
        <v>3</v>
      </c>
      <c r="F1646" s="67">
        <v>5.177851959</v>
      </c>
      <c r="G1646" s="40">
        <v>1.164952241</v>
      </c>
      <c r="H1646" s="40">
        <f t="shared" si="1"/>
        <v>3.494856723</v>
      </c>
      <c r="I1646" s="41">
        <v>0.483333333</v>
      </c>
      <c r="J1646" s="41">
        <v>0.15</v>
      </c>
      <c r="K1646" s="41">
        <v>0.366666667</v>
      </c>
      <c r="L1646" s="41">
        <f t="shared" si="2"/>
        <v>0.116666666</v>
      </c>
      <c r="M1646" s="74">
        <v>1.015564269</v>
      </c>
    </row>
    <row r="1647">
      <c r="A1647" s="1" t="s">
        <v>344</v>
      </c>
      <c r="B1647" s="38">
        <v>701542.0</v>
      </c>
      <c r="C1647" s="72">
        <v>45835.0</v>
      </c>
      <c r="D1647" s="38">
        <v>100.0</v>
      </c>
      <c r="E1647" s="73">
        <f>IFERROR(__xludf.DUMMYFUNCTION("average(filter('Appearance Sheet'!F:F,'Appearance Sheet'!G:G=B1647,'Appearance Sheet'!A:A=C1647))"),5.0)</f>
        <v>5</v>
      </c>
      <c r="F1647" s="67">
        <v>5.17773808</v>
      </c>
      <c r="G1647" s="40">
        <v>1.888394943</v>
      </c>
      <c r="H1647" s="40">
        <f t="shared" si="1"/>
        <v>3.399110897</v>
      </c>
      <c r="I1647" s="41">
        <v>0.5</v>
      </c>
      <c r="J1647" s="41">
        <v>0.15</v>
      </c>
      <c r="K1647" s="41">
        <v>0.35</v>
      </c>
      <c r="L1647" s="41">
        <f t="shared" si="2"/>
        <v>0.15</v>
      </c>
      <c r="M1647" s="74">
        <v>3.500325605</v>
      </c>
    </row>
    <row r="1648">
      <c r="A1648" s="1" t="s">
        <v>343</v>
      </c>
      <c r="B1648" s="38">
        <v>682243.0</v>
      </c>
      <c r="C1648" s="72">
        <v>45782.0</v>
      </c>
      <c r="D1648" s="38">
        <v>94.0</v>
      </c>
      <c r="E1648" s="73">
        <f>IFERROR(__xludf.DUMMYFUNCTION("average(filter('Appearance Sheet'!F:F,'Appearance Sheet'!G:G=B1648,'Appearance Sheet'!A:A=C1648))"),4.0)</f>
        <v>4</v>
      </c>
      <c r="F1648" s="67">
        <v>5.177319058</v>
      </c>
      <c r="G1648" s="40">
        <v>1.803588121</v>
      </c>
      <c r="H1648" s="40">
        <f t="shared" si="1"/>
        <v>4.058073272</v>
      </c>
      <c r="I1648" s="41">
        <v>0.457446809</v>
      </c>
      <c r="J1648" s="41">
        <v>0.170212766</v>
      </c>
      <c r="K1648" s="41">
        <v>0.372340426</v>
      </c>
      <c r="L1648" s="41">
        <f t="shared" si="2"/>
        <v>0.085106383</v>
      </c>
      <c r="M1648" s="74">
        <v>-0.745918529</v>
      </c>
    </row>
    <row r="1649">
      <c r="A1649" s="1" t="s">
        <v>336</v>
      </c>
      <c r="B1649" s="38">
        <v>605488.0</v>
      </c>
      <c r="C1649" s="72">
        <v>45744.0</v>
      </c>
      <c r="D1649" s="38">
        <v>83.0</v>
      </c>
      <c r="E1649" s="73">
        <f>IFERROR(__xludf.DUMMYFUNCTION("average(filter('Appearance Sheet'!F:F,'Appearance Sheet'!G:G=B1649,'Appearance Sheet'!A:A=C1649))"),6.0)</f>
        <v>6</v>
      </c>
      <c r="F1649" s="67">
        <v>5.177301287</v>
      </c>
      <c r="G1649" s="40">
        <v>1.618437199</v>
      </c>
      <c r="H1649" s="40">
        <f t="shared" si="1"/>
        <v>2.427655799</v>
      </c>
      <c r="I1649" s="41">
        <v>0.506024096</v>
      </c>
      <c r="J1649" s="41">
        <v>0.156626506</v>
      </c>
      <c r="K1649" s="41">
        <v>0.337349398</v>
      </c>
      <c r="L1649" s="41">
        <f t="shared" si="2"/>
        <v>0.168674698</v>
      </c>
      <c r="M1649" s="74">
        <v>1.434420763</v>
      </c>
    </row>
    <row r="1650">
      <c r="A1650" s="1" t="s">
        <v>561</v>
      </c>
      <c r="B1650" s="38">
        <v>687362.0</v>
      </c>
      <c r="C1650" s="72">
        <v>45749.0</v>
      </c>
      <c r="D1650" s="38">
        <v>72.0</v>
      </c>
      <c r="E1650" s="73">
        <f>IFERROR(__xludf.DUMMYFUNCTION("average(filter('Appearance Sheet'!F:F,'Appearance Sheet'!G:G=B1650,'Appearance Sheet'!A:A=C1650))"),5.0)</f>
        <v>5</v>
      </c>
      <c r="F1650" s="67">
        <v>5.177166495</v>
      </c>
      <c r="G1650" s="40">
        <v>1.405094761</v>
      </c>
      <c r="H1650" s="40">
        <f t="shared" si="1"/>
        <v>2.52917057</v>
      </c>
      <c r="I1650" s="41">
        <v>0.430555556</v>
      </c>
      <c r="J1650" s="41">
        <v>0.222222222</v>
      </c>
      <c r="K1650" s="41">
        <v>0.347222222</v>
      </c>
      <c r="L1650" s="41">
        <f t="shared" si="2"/>
        <v>0.083333334</v>
      </c>
      <c r="M1650" s="74">
        <v>0.120141647</v>
      </c>
    </row>
    <row r="1651">
      <c r="A1651" s="1" t="s">
        <v>264</v>
      </c>
      <c r="B1651" s="38">
        <v>669920.0</v>
      </c>
      <c r="C1651" s="72">
        <v>45910.0</v>
      </c>
      <c r="D1651" s="38">
        <v>85.0</v>
      </c>
      <c r="E1651" s="73" t="str">
        <f>IFERROR(__xludf.DUMMYFUNCTION("average(filter('Appearance Sheet'!F:F,'Appearance Sheet'!G:G=B1651,'Appearance Sheet'!A:A=C1651))"),"#N/A")</f>
        <v>#N/A</v>
      </c>
      <c r="F1651" s="67">
        <v>5.176990118</v>
      </c>
      <c r="G1651" s="40">
        <v>1.672205353</v>
      </c>
      <c r="H1651" s="40" t="str">
        <f t="shared" si="1"/>
        <v>#N/A</v>
      </c>
      <c r="I1651" s="41">
        <v>0.482352941</v>
      </c>
      <c r="J1651" s="41">
        <v>0.152941176</v>
      </c>
      <c r="K1651" s="41">
        <v>0.364705882</v>
      </c>
      <c r="L1651" s="41">
        <f t="shared" si="2"/>
        <v>0.117647059</v>
      </c>
      <c r="M1651" s="74">
        <v>2.664230665</v>
      </c>
    </row>
    <row r="1652">
      <c r="A1652" s="1" t="s">
        <v>351</v>
      </c>
      <c r="B1652" s="38">
        <v>689017.0</v>
      </c>
      <c r="C1652" s="72">
        <v>45762.0</v>
      </c>
      <c r="D1652" s="38">
        <v>63.0</v>
      </c>
      <c r="E1652" s="73">
        <f>IFERROR(__xludf.DUMMYFUNCTION("average(filter('Appearance Sheet'!F:F,'Appearance Sheet'!G:G=B1652,'Appearance Sheet'!A:A=C1652))"),4.333333333333333)</f>
        <v>4.333333333</v>
      </c>
      <c r="F1652" s="67">
        <v>5.176952975</v>
      </c>
      <c r="G1652" s="40">
        <v>1.233530755</v>
      </c>
      <c r="H1652" s="40">
        <f t="shared" si="1"/>
        <v>2.561948491</v>
      </c>
      <c r="I1652" s="41">
        <v>0.523809524</v>
      </c>
      <c r="J1652" s="41">
        <v>0.174603175</v>
      </c>
      <c r="K1652" s="41">
        <v>0.301587302</v>
      </c>
      <c r="L1652" s="41">
        <f t="shared" si="2"/>
        <v>0.222222222</v>
      </c>
      <c r="M1652" s="74">
        <v>-1.214257161</v>
      </c>
    </row>
    <row r="1653">
      <c r="A1653" s="1" t="s">
        <v>98</v>
      </c>
      <c r="B1653" s="38">
        <v>605400.0</v>
      </c>
      <c r="C1653" s="72">
        <v>45763.0</v>
      </c>
      <c r="D1653" s="38">
        <v>97.0</v>
      </c>
      <c r="E1653" s="73">
        <f>IFERROR(__xludf.DUMMYFUNCTION("average(filter('Appearance Sheet'!F:F,'Appearance Sheet'!G:G=B1653,'Appearance Sheet'!A:A=C1653))"),5.333333333333333)</f>
        <v>5.333333333</v>
      </c>
      <c r="F1653" s="67">
        <v>5.176942058</v>
      </c>
      <c r="G1653" s="40">
        <v>1.873436683</v>
      </c>
      <c r="H1653" s="40">
        <f t="shared" si="1"/>
        <v>3.161424403</v>
      </c>
      <c r="I1653" s="41">
        <v>0.515463918</v>
      </c>
      <c r="J1653" s="41">
        <v>0.134020619</v>
      </c>
      <c r="K1653" s="41">
        <v>0.350515464</v>
      </c>
      <c r="L1653" s="41">
        <f t="shared" si="2"/>
        <v>0.164948454</v>
      </c>
      <c r="M1653" s="74">
        <v>-1.373329081</v>
      </c>
    </row>
    <row r="1654">
      <c r="A1654" s="1" t="s">
        <v>323</v>
      </c>
      <c r="B1654" s="38">
        <v>691587.0</v>
      </c>
      <c r="C1654" s="72">
        <v>45871.0</v>
      </c>
      <c r="D1654" s="38">
        <v>81.0</v>
      </c>
      <c r="E1654" s="73" t="str">
        <f>IFERROR(__xludf.DUMMYFUNCTION("average(filter('Appearance Sheet'!F:F,'Appearance Sheet'!G:G=B1654,'Appearance Sheet'!A:A=C1654))"),"#N/A")</f>
        <v>#N/A</v>
      </c>
      <c r="F1654" s="67">
        <v>5.176839001</v>
      </c>
      <c r="G1654" s="40">
        <v>1.572180604</v>
      </c>
      <c r="H1654" s="40" t="str">
        <f t="shared" si="1"/>
        <v>#N/A</v>
      </c>
      <c r="I1654" s="41">
        <v>0.543209877</v>
      </c>
      <c r="J1654" s="41">
        <v>0.111111111</v>
      </c>
      <c r="K1654" s="41">
        <v>0.345679012</v>
      </c>
      <c r="L1654" s="41">
        <f t="shared" si="2"/>
        <v>0.197530865</v>
      </c>
      <c r="M1654" s="74">
        <v>1.132728169</v>
      </c>
    </row>
    <row r="1655">
      <c r="A1655" s="1" t="s">
        <v>396</v>
      </c>
      <c r="B1655" s="38">
        <v>663623.0</v>
      </c>
      <c r="C1655" s="72">
        <v>45899.0</v>
      </c>
      <c r="D1655" s="38">
        <v>83.0</v>
      </c>
      <c r="E1655" s="73" t="str">
        <f>IFERROR(__xludf.DUMMYFUNCTION("average(filter('Appearance Sheet'!F:F,'Appearance Sheet'!G:G=B1655,'Appearance Sheet'!A:A=C1655))"),"#N/A")</f>
        <v>#N/A</v>
      </c>
      <c r="F1655" s="67">
        <v>5.176770512</v>
      </c>
      <c r="G1655" s="40">
        <v>1.627000021</v>
      </c>
      <c r="H1655" s="40" t="str">
        <f t="shared" si="1"/>
        <v>#N/A</v>
      </c>
      <c r="I1655" s="41">
        <v>0.421686747</v>
      </c>
      <c r="J1655" s="41">
        <v>0.265060241</v>
      </c>
      <c r="K1655" s="41">
        <v>0.313253012</v>
      </c>
      <c r="L1655" s="41">
        <f t="shared" si="2"/>
        <v>0.108433735</v>
      </c>
      <c r="M1655" s="74">
        <v>-0.122219352</v>
      </c>
    </row>
    <row r="1656">
      <c r="A1656" s="1" t="s">
        <v>353</v>
      </c>
      <c r="B1656" s="38">
        <v>663903.0</v>
      </c>
      <c r="C1656" s="72">
        <v>45833.0</v>
      </c>
      <c r="D1656" s="38">
        <v>99.0</v>
      </c>
      <c r="E1656" s="73">
        <f>IFERROR(__xludf.DUMMYFUNCTION("average(filter('Appearance Sheet'!F:F,'Appearance Sheet'!G:G=B1656,'Appearance Sheet'!A:A=C1656))"),5.0)</f>
        <v>5</v>
      </c>
      <c r="F1656" s="67">
        <v>5.176664435</v>
      </c>
      <c r="G1656" s="40">
        <v>1.954950233</v>
      </c>
      <c r="H1656" s="40">
        <f t="shared" si="1"/>
        <v>3.518910419</v>
      </c>
      <c r="I1656" s="41">
        <v>0.505050505</v>
      </c>
      <c r="J1656" s="41">
        <v>0.151515152</v>
      </c>
      <c r="K1656" s="41">
        <v>0.343434343</v>
      </c>
      <c r="L1656" s="41">
        <f t="shared" si="2"/>
        <v>0.161616162</v>
      </c>
      <c r="M1656" s="74">
        <v>0.212477809</v>
      </c>
    </row>
    <row r="1657">
      <c r="A1657" s="1" t="s">
        <v>177</v>
      </c>
      <c r="B1657" s="38">
        <v>641793.0</v>
      </c>
      <c r="C1657" s="72">
        <v>45774.0</v>
      </c>
      <c r="D1657" s="38">
        <v>73.0</v>
      </c>
      <c r="E1657" s="73">
        <f>IFERROR(__xludf.DUMMYFUNCTION("average(filter('Appearance Sheet'!F:F,'Appearance Sheet'!G:G=B1657,'Appearance Sheet'!A:A=C1657))"),5.0)</f>
        <v>5</v>
      </c>
      <c r="F1657" s="67">
        <v>5.176596862</v>
      </c>
      <c r="G1657" s="40">
        <v>1.449541958</v>
      </c>
      <c r="H1657" s="40">
        <f t="shared" si="1"/>
        <v>2.609175524</v>
      </c>
      <c r="I1657" s="41">
        <v>0.452054795</v>
      </c>
      <c r="J1657" s="41">
        <v>0.191780822</v>
      </c>
      <c r="K1657" s="41">
        <v>0.356164384</v>
      </c>
      <c r="L1657" s="41">
        <f t="shared" si="2"/>
        <v>0.095890411</v>
      </c>
      <c r="M1657" s="74">
        <v>-0.219172373</v>
      </c>
    </row>
    <row r="1658">
      <c r="A1658" s="1" t="s">
        <v>195</v>
      </c>
      <c r="B1658" s="38">
        <v>668678.0</v>
      </c>
      <c r="C1658" s="72">
        <v>45893.0</v>
      </c>
      <c r="D1658" s="38">
        <v>93.0</v>
      </c>
      <c r="E1658" s="73" t="str">
        <f>IFERROR(__xludf.DUMMYFUNCTION("average(filter('Appearance Sheet'!F:F,'Appearance Sheet'!G:G=B1658,'Appearance Sheet'!A:A=C1658))"),"#N/A")</f>
        <v>#N/A</v>
      </c>
      <c r="F1658" s="67">
        <v>5.176484559</v>
      </c>
      <c r="G1658" s="40">
        <v>1.81192056</v>
      </c>
      <c r="H1658" s="40" t="str">
        <f t="shared" si="1"/>
        <v>#N/A</v>
      </c>
      <c r="I1658" s="41">
        <v>0.483870968</v>
      </c>
      <c r="J1658" s="41">
        <v>0.204301075</v>
      </c>
      <c r="K1658" s="41">
        <v>0.311827957</v>
      </c>
      <c r="L1658" s="41">
        <f t="shared" si="2"/>
        <v>0.172043011</v>
      </c>
      <c r="M1658" s="74">
        <v>0.725823947</v>
      </c>
    </row>
    <row r="1659">
      <c r="A1659" s="1" t="s">
        <v>408</v>
      </c>
      <c r="B1659" s="38">
        <v>657376.0</v>
      </c>
      <c r="C1659" s="72">
        <v>45768.0</v>
      </c>
      <c r="D1659" s="38">
        <v>80.0</v>
      </c>
      <c r="E1659" s="73">
        <f>IFERROR(__xludf.DUMMYFUNCTION("average(filter('Appearance Sheet'!F:F,'Appearance Sheet'!G:G=B1659,'Appearance Sheet'!A:A=C1659))"),4.0)</f>
        <v>4</v>
      </c>
      <c r="F1659" s="67">
        <v>5.176372805</v>
      </c>
      <c r="G1659" s="40">
        <v>1.588856328</v>
      </c>
      <c r="H1659" s="40">
        <f t="shared" si="1"/>
        <v>3.574926738</v>
      </c>
      <c r="I1659" s="41">
        <v>0.5375</v>
      </c>
      <c r="J1659" s="41">
        <v>0.1375</v>
      </c>
      <c r="K1659" s="41">
        <v>0.325</v>
      </c>
      <c r="L1659" s="41">
        <f t="shared" si="2"/>
        <v>0.2125</v>
      </c>
      <c r="M1659" s="74">
        <v>-2.191775921</v>
      </c>
    </row>
    <row r="1660">
      <c r="A1660" s="1" t="s">
        <v>242</v>
      </c>
      <c r="B1660" s="38">
        <v>669358.0</v>
      </c>
      <c r="C1660" s="72">
        <v>45784.0</v>
      </c>
      <c r="D1660" s="38">
        <v>81.0</v>
      </c>
      <c r="E1660" s="73">
        <f>IFERROR(__xludf.DUMMYFUNCTION("average(filter('Appearance Sheet'!F:F,'Appearance Sheet'!G:G=B1660,'Appearance Sheet'!A:A=C1660))"),3.3333333333333335)</f>
        <v>3.333333333</v>
      </c>
      <c r="F1660" s="67">
        <v>5.176277006</v>
      </c>
      <c r="G1660" s="40">
        <v>1.593470272</v>
      </c>
      <c r="H1660" s="40">
        <f t="shared" si="1"/>
        <v>4.302369734</v>
      </c>
      <c r="I1660" s="41">
        <v>0.518518519</v>
      </c>
      <c r="J1660" s="41">
        <v>0.209876543</v>
      </c>
      <c r="K1660" s="41">
        <v>0.271604938</v>
      </c>
      <c r="L1660" s="41">
        <f t="shared" si="2"/>
        <v>0.246913581</v>
      </c>
      <c r="M1660" s="74">
        <v>-3.042339844</v>
      </c>
    </row>
    <row r="1661">
      <c r="A1661" s="1" t="s">
        <v>153</v>
      </c>
      <c r="B1661" s="38">
        <v>669302.0</v>
      </c>
      <c r="C1661" s="72">
        <v>45899.0</v>
      </c>
      <c r="D1661" s="38">
        <v>93.0</v>
      </c>
      <c r="E1661" s="73" t="str">
        <f>IFERROR(__xludf.DUMMYFUNCTION("average(filter('Appearance Sheet'!F:F,'Appearance Sheet'!G:G=B1661,'Appearance Sheet'!A:A=C1661))"),"#N/A")</f>
        <v>#N/A</v>
      </c>
      <c r="F1661" s="67">
        <v>5.176248847</v>
      </c>
      <c r="G1661" s="40">
        <v>1.822985966</v>
      </c>
      <c r="H1661" s="40" t="str">
        <f t="shared" si="1"/>
        <v>#N/A</v>
      </c>
      <c r="I1661" s="41">
        <v>0.505376344</v>
      </c>
      <c r="J1661" s="41">
        <v>0.161290323</v>
      </c>
      <c r="K1661" s="41">
        <v>0.333333333</v>
      </c>
      <c r="L1661" s="41">
        <f t="shared" si="2"/>
        <v>0.172043011</v>
      </c>
      <c r="M1661" s="74">
        <v>2.423306029</v>
      </c>
    </row>
    <row r="1662">
      <c r="A1662" s="1" t="s">
        <v>332</v>
      </c>
      <c r="B1662" s="38">
        <v>641778.0</v>
      </c>
      <c r="C1662" s="72">
        <v>45837.0</v>
      </c>
      <c r="D1662" s="38">
        <v>84.0</v>
      </c>
      <c r="E1662" s="73">
        <f>IFERROR(__xludf.DUMMYFUNCTION("average(filter('Appearance Sheet'!F:F,'Appearance Sheet'!G:G=B1662,'Appearance Sheet'!A:A=C1662))"),4.333333333333333)</f>
        <v>4.333333333</v>
      </c>
      <c r="F1662" s="67">
        <v>5.175756052</v>
      </c>
      <c r="G1662" s="40">
        <v>1.641585821</v>
      </c>
      <c r="H1662" s="40">
        <f t="shared" si="1"/>
        <v>3.409447474</v>
      </c>
      <c r="I1662" s="41">
        <v>0.488095238</v>
      </c>
      <c r="J1662" s="41">
        <v>0.19047619</v>
      </c>
      <c r="K1662" s="41">
        <v>0.321428571</v>
      </c>
      <c r="L1662" s="41">
        <f t="shared" si="2"/>
        <v>0.166666667</v>
      </c>
      <c r="M1662" s="74">
        <v>-1.599498311</v>
      </c>
    </row>
    <row r="1663">
      <c r="A1663" s="1" t="s">
        <v>222</v>
      </c>
      <c r="B1663" s="38">
        <v>518876.0</v>
      </c>
      <c r="C1663" s="72">
        <v>45905.0</v>
      </c>
      <c r="D1663" s="38">
        <v>91.0</v>
      </c>
      <c r="E1663" s="73" t="str">
        <f>IFERROR(__xludf.DUMMYFUNCTION("average(filter('Appearance Sheet'!F:F,'Appearance Sheet'!G:G=B1663,'Appearance Sheet'!A:A=C1663))"),"#N/A")</f>
        <v>#N/A</v>
      </c>
      <c r="F1663" s="67">
        <v>5.175155841</v>
      </c>
      <c r="G1663" s="40">
        <v>1.796216587</v>
      </c>
      <c r="H1663" s="40" t="str">
        <f t="shared" si="1"/>
        <v>#N/A</v>
      </c>
      <c r="I1663" s="41">
        <v>0.505494505</v>
      </c>
      <c r="J1663" s="41">
        <v>0.186813187</v>
      </c>
      <c r="K1663" s="41">
        <v>0.307692308</v>
      </c>
      <c r="L1663" s="41">
        <f t="shared" si="2"/>
        <v>0.197802197</v>
      </c>
      <c r="M1663" s="74">
        <v>0.36747049</v>
      </c>
    </row>
    <row r="1664">
      <c r="A1664" s="1" t="s">
        <v>98</v>
      </c>
      <c r="B1664" s="38">
        <v>605400.0</v>
      </c>
      <c r="C1664" s="72">
        <v>45768.0</v>
      </c>
      <c r="D1664" s="38">
        <v>101.0</v>
      </c>
      <c r="E1664" s="73">
        <f>IFERROR(__xludf.DUMMYFUNCTION("average(filter('Appearance Sheet'!F:F,'Appearance Sheet'!G:G=B1664,'Appearance Sheet'!A:A=C1664))"),6.333333333333333)</f>
        <v>6.333333333</v>
      </c>
      <c r="F1664" s="67">
        <v>5.175059399</v>
      </c>
      <c r="G1664" s="40">
        <v>1.977479075</v>
      </c>
      <c r="H1664" s="40">
        <f t="shared" si="1"/>
        <v>2.810101843</v>
      </c>
      <c r="I1664" s="41">
        <v>0.504950495</v>
      </c>
      <c r="J1664" s="41">
        <v>0.168316832</v>
      </c>
      <c r="K1664" s="41">
        <v>0.326732673</v>
      </c>
      <c r="L1664" s="41">
        <f t="shared" si="2"/>
        <v>0.178217822</v>
      </c>
      <c r="M1664" s="74">
        <v>-1.985093251</v>
      </c>
    </row>
    <row r="1665">
      <c r="A1665" s="1" t="s">
        <v>226</v>
      </c>
      <c r="B1665" s="38">
        <v>607259.0</v>
      </c>
      <c r="C1665" s="72">
        <v>45746.0</v>
      </c>
      <c r="D1665" s="38">
        <v>81.0</v>
      </c>
      <c r="E1665" s="73">
        <f>IFERROR(__xludf.DUMMYFUNCTION("average(filter('Appearance Sheet'!F:F,'Appearance Sheet'!G:G=B1665,'Appearance Sheet'!A:A=C1665))"),6.0)</f>
        <v>6</v>
      </c>
      <c r="F1665" s="67">
        <v>5.174585023</v>
      </c>
      <c r="G1665" s="40">
        <v>1.573465706</v>
      </c>
      <c r="H1665" s="40">
        <f t="shared" si="1"/>
        <v>2.360198559</v>
      </c>
      <c r="I1665" s="41">
        <v>0.444444444</v>
      </c>
      <c r="J1665" s="41">
        <v>0.234567901</v>
      </c>
      <c r="K1665" s="41">
        <v>0.320987654</v>
      </c>
      <c r="L1665" s="41">
        <f t="shared" si="2"/>
        <v>0.12345679</v>
      </c>
      <c r="M1665" s="74">
        <v>0.906722129</v>
      </c>
    </row>
    <row r="1666">
      <c r="A1666" s="1" t="s">
        <v>113</v>
      </c>
      <c r="B1666" s="38">
        <v>664285.0</v>
      </c>
      <c r="C1666" s="72">
        <v>45813.0</v>
      </c>
      <c r="D1666" s="38">
        <v>98.0</v>
      </c>
      <c r="E1666" s="73">
        <f>IFERROR(__xludf.DUMMYFUNCTION("average(filter('Appearance Sheet'!F:F,'Appearance Sheet'!G:G=B1666,'Appearance Sheet'!A:A=C1666))"),7.0)</f>
        <v>7</v>
      </c>
      <c r="F1666" s="67">
        <v>5.174566356</v>
      </c>
      <c r="G1666" s="40">
        <v>1.901148979</v>
      </c>
      <c r="H1666" s="40">
        <f t="shared" si="1"/>
        <v>2.444334402</v>
      </c>
      <c r="I1666" s="41">
        <v>0.5</v>
      </c>
      <c r="J1666" s="41">
        <v>0.173469388</v>
      </c>
      <c r="K1666" s="41">
        <v>0.326530612</v>
      </c>
      <c r="L1666" s="41">
        <f t="shared" si="2"/>
        <v>0.173469388</v>
      </c>
      <c r="M1666" s="74">
        <v>1.591027339</v>
      </c>
    </row>
    <row r="1667">
      <c r="A1667" s="1" t="s">
        <v>358</v>
      </c>
      <c r="B1667" s="38">
        <v>434378.0</v>
      </c>
      <c r="C1667" s="72">
        <v>45867.0</v>
      </c>
      <c r="D1667" s="38">
        <v>90.0</v>
      </c>
      <c r="E1667" s="73" t="str">
        <f>IFERROR(__xludf.DUMMYFUNCTION("average(filter('Appearance Sheet'!F:F,'Appearance Sheet'!G:G=B1667,'Appearance Sheet'!A:A=C1667))"),"#N/A")</f>
        <v>#N/A</v>
      </c>
      <c r="F1667" s="67">
        <v>5.174395613</v>
      </c>
      <c r="G1667" s="40">
        <v>1.789673747</v>
      </c>
      <c r="H1667" s="40" t="str">
        <f t="shared" si="1"/>
        <v>#N/A</v>
      </c>
      <c r="I1667" s="41">
        <v>0.522222222</v>
      </c>
      <c r="J1667" s="41">
        <v>0.122222222</v>
      </c>
      <c r="K1667" s="41">
        <v>0.355555556</v>
      </c>
      <c r="L1667" s="41">
        <f t="shared" si="2"/>
        <v>0.166666666</v>
      </c>
      <c r="M1667" s="74">
        <v>0.590357066</v>
      </c>
    </row>
    <row r="1668">
      <c r="A1668" s="1" t="s">
        <v>303</v>
      </c>
      <c r="B1668" s="38">
        <v>592662.0</v>
      </c>
      <c r="C1668" s="72">
        <v>45893.0</v>
      </c>
      <c r="D1668" s="38">
        <v>80.0</v>
      </c>
      <c r="E1668" s="73" t="str">
        <f>IFERROR(__xludf.DUMMYFUNCTION("average(filter('Appearance Sheet'!F:F,'Appearance Sheet'!G:G=B1668,'Appearance Sheet'!A:A=C1668))"),"#N/A")</f>
        <v>#N/A</v>
      </c>
      <c r="F1668" s="67">
        <v>5.174378671</v>
      </c>
      <c r="G1668" s="40">
        <v>1.595142607</v>
      </c>
      <c r="H1668" s="40" t="str">
        <f t="shared" si="1"/>
        <v>#N/A</v>
      </c>
      <c r="I1668" s="41">
        <v>0.55</v>
      </c>
      <c r="J1668" s="41">
        <v>0.1625</v>
      </c>
      <c r="K1668" s="41">
        <v>0.2875</v>
      </c>
      <c r="L1668" s="41">
        <f t="shared" si="2"/>
        <v>0.2625</v>
      </c>
      <c r="M1668" s="74">
        <v>-1.801745761</v>
      </c>
    </row>
    <row r="1669">
      <c r="A1669" s="1" t="s">
        <v>73</v>
      </c>
      <c r="B1669" s="38">
        <v>668881.0</v>
      </c>
      <c r="C1669" s="72">
        <v>45749.0</v>
      </c>
      <c r="D1669" s="38">
        <v>88.0</v>
      </c>
      <c r="E1669" s="73">
        <f>IFERROR(__xludf.DUMMYFUNCTION("average(filter('Appearance Sheet'!F:F,'Appearance Sheet'!G:G=B1669,'Appearance Sheet'!A:A=C1669))"),7.0)</f>
        <v>7</v>
      </c>
      <c r="F1669" s="67">
        <v>5.174059736</v>
      </c>
      <c r="G1669" s="40">
        <v>1.734213998</v>
      </c>
      <c r="H1669" s="40">
        <f t="shared" si="1"/>
        <v>2.229703712</v>
      </c>
      <c r="I1669" s="41">
        <v>0.477272727</v>
      </c>
      <c r="J1669" s="41">
        <v>0.238636364</v>
      </c>
      <c r="K1669" s="41">
        <v>0.284090909</v>
      </c>
      <c r="L1669" s="41">
        <f t="shared" si="2"/>
        <v>0.193181818</v>
      </c>
      <c r="M1669" s="74">
        <v>4.135561064</v>
      </c>
    </row>
    <row r="1670">
      <c r="A1670" s="1" t="s">
        <v>361</v>
      </c>
      <c r="B1670" s="38">
        <v>686563.0</v>
      </c>
      <c r="C1670" s="72">
        <v>45856.0</v>
      </c>
      <c r="D1670" s="38">
        <v>86.0</v>
      </c>
      <c r="E1670" s="73" t="str">
        <f>IFERROR(__xludf.DUMMYFUNCTION("average(filter('Appearance Sheet'!F:F,'Appearance Sheet'!G:G=B1670,'Appearance Sheet'!A:A=C1670))"),"#N/A")</f>
        <v>#N/A</v>
      </c>
      <c r="F1670" s="67">
        <v>5.17404478</v>
      </c>
      <c r="G1670" s="40">
        <v>1.709141036</v>
      </c>
      <c r="H1670" s="40" t="str">
        <f t="shared" si="1"/>
        <v>#N/A</v>
      </c>
      <c r="I1670" s="41">
        <v>0.441860465</v>
      </c>
      <c r="J1670" s="41">
        <v>0.220930233</v>
      </c>
      <c r="K1670" s="41">
        <v>0.337209302</v>
      </c>
      <c r="L1670" s="41">
        <f t="shared" si="2"/>
        <v>0.104651163</v>
      </c>
      <c r="M1670" s="74">
        <v>1.2235046</v>
      </c>
    </row>
    <row r="1671">
      <c r="A1671" s="1" t="s">
        <v>335</v>
      </c>
      <c r="B1671" s="38">
        <v>663436.0</v>
      </c>
      <c r="C1671" s="72">
        <v>45785.0</v>
      </c>
      <c r="D1671" s="38">
        <v>83.0</v>
      </c>
      <c r="E1671" s="73">
        <f>IFERROR(__xludf.DUMMYFUNCTION("average(filter('Appearance Sheet'!F:F,'Appearance Sheet'!G:G=B1671,'Appearance Sheet'!A:A=C1671))"),4.333333333333333)</f>
        <v>4.333333333</v>
      </c>
      <c r="F1671" s="67">
        <v>5.173710208</v>
      </c>
      <c r="G1671" s="40">
        <v>1.63469253</v>
      </c>
      <c r="H1671" s="40">
        <f t="shared" si="1"/>
        <v>3.395130639</v>
      </c>
      <c r="I1671" s="41">
        <v>0.43373494</v>
      </c>
      <c r="J1671" s="41">
        <v>0.168674699</v>
      </c>
      <c r="K1671" s="41">
        <v>0.397590361</v>
      </c>
      <c r="L1671" s="41">
        <f t="shared" si="2"/>
        <v>0.036144579</v>
      </c>
      <c r="M1671" s="74">
        <v>-2.667084195</v>
      </c>
    </row>
    <row r="1672">
      <c r="A1672" s="1" t="s">
        <v>302</v>
      </c>
      <c r="B1672" s="38">
        <v>681190.0</v>
      </c>
      <c r="C1672" s="72">
        <v>45791.0</v>
      </c>
      <c r="D1672" s="38">
        <v>88.0</v>
      </c>
      <c r="E1672" s="73">
        <f>IFERROR(__xludf.DUMMYFUNCTION("average(filter('Appearance Sheet'!F:F,'Appearance Sheet'!G:G=B1672,'Appearance Sheet'!A:A=C1672))"),6.0)</f>
        <v>6</v>
      </c>
      <c r="F1672" s="67">
        <v>5.173662585</v>
      </c>
      <c r="G1672" s="40">
        <v>1.743049534</v>
      </c>
      <c r="H1672" s="40">
        <f t="shared" si="1"/>
        <v>2.614574301</v>
      </c>
      <c r="I1672" s="41">
        <v>0.397727273</v>
      </c>
      <c r="J1672" s="41">
        <v>0.272727273</v>
      </c>
      <c r="K1672" s="41">
        <v>0.329545455</v>
      </c>
      <c r="L1672" s="41">
        <f t="shared" si="2"/>
        <v>0.068181818</v>
      </c>
      <c r="M1672" s="74">
        <v>1.357351812</v>
      </c>
    </row>
    <row r="1673">
      <c r="A1673" s="1" t="s">
        <v>285</v>
      </c>
      <c r="B1673" s="38">
        <v>607074.0</v>
      </c>
      <c r="C1673" s="72">
        <v>45904.0</v>
      </c>
      <c r="D1673" s="38">
        <v>108.0</v>
      </c>
      <c r="E1673" s="73" t="str">
        <f>IFERROR(__xludf.DUMMYFUNCTION("average(filter('Appearance Sheet'!F:F,'Appearance Sheet'!G:G=B1673,'Appearance Sheet'!A:A=C1673))"),"#N/A")</f>
        <v>#N/A</v>
      </c>
      <c r="F1673" s="67">
        <v>5.173578408</v>
      </c>
      <c r="G1673" s="40">
        <v>2.069772098</v>
      </c>
      <c r="H1673" s="40" t="str">
        <f t="shared" si="1"/>
        <v>#N/A</v>
      </c>
      <c r="I1673" s="41">
        <v>0.490740741</v>
      </c>
      <c r="J1673" s="41">
        <v>0.185185185</v>
      </c>
      <c r="K1673" s="41">
        <v>0.324074074</v>
      </c>
      <c r="L1673" s="41">
        <f t="shared" si="2"/>
        <v>0.166666667</v>
      </c>
      <c r="M1673" s="74">
        <v>2.296997731</v>
      </c>
    </row>
    <row r="1674">
      <c r="A1674" s="1" t="s">
        <v>272</v>
      </c>
      <c r="B1674" s="38">
        <v>622491.0</v>
      </c>
      <c r="C1674" s="72">
        <v>45877.0</v>
      </c>
      <c r="D1674" s="38">
        <v>98.0</v>
      </c>
      <c r="E1674" s="73" t="str">
        <f>IFERROR(__xludf.DUMMYFUNCTION("average(filter('Appearance Sheet'!F:F,'Appearance Sheet'!G:G=B1674,'Appearance Sheet'!A:A=C1674))"),"#N/A")</f>
        <v>#N/A</v>
      </c>
      <c r="F1674" s="67">
        <v>5.173492076</v>
      </c>
      <c r="G1674" s="40">
        <v>1.905367119</v>
      </c>
      <c r="H1674" s="40" t="str">
        <f t="shared" si="1"/>
        <v>#N/A</v>
      </c>
      <c r="I1674" s="41">
        <v>0.459183673</v>
      </c>
      <c r="J1674" s="41">
        <v>0.224489796</v>
      </c>
      <c r="K1674" s="41">
        <v>0.316326531</v>
      </c>
      <c r="L1674" s="41">
        <f t="shared" si="2"/>
        <v>0.142857142</v>
      </c>
      <c r="M1674" s="74">
        <v>1.372582938</v>
      </c>
    </row>
    <row r="1675">
      <c r="A1675" s="1" t="s">
        <v>173</v>
      </c>
      <c r="B1675" s="38">
        <v>641927.0</v>
      </c>
      <c r="C1675" s="72">
        <v>45826.0</v>
      </c>
      <c r="D1675" s="38">
        <v>87.0</v>
      </c>
      <c r="E1675" s="73">
        <f>IFERROR(__xludf.DUMMYFUNCTION("average(filter('Appearance Sheet'!F:F,'Appearance Sheet'!G:G=B1675,'Appearance Sheet'!A:A=C1675))"),5.666666666666667)</f>
        <v>5.666666667</v>
      </c>
      <c r="F1675" s="67">
        <v>5.173427128</v>
      </c>
      <c r="G1675" s="40">
        <v>1.729344034</v>
      </c>
      <c r="H1675" s="40">
        <f t="shared" si="1"/>
        <v>2.74660523</v>
      </c>
      <c r="I1675" s="41">
        <v>0.436781609</v>
      </c>
      <c r="J1675" s="41">
        <v>0.264367816</v>
      </c>
      <c r="K1675" s="41">
        <v>0.298850575</v>
      </c>
      <c r="L1675" s="41">
        <f t="shared" si="2"/>
        <v>0.137931034</v>
      </c>
      <c r="M1675" s="74">
        <v>-3.073848172</v>
      </c>
    </row>
    <row r="1676">
      <c r="A1676" s="1" t="s">
        <v>171</v>
      </c>
      <c r="B1676" s="38">
        <v>665795.0</v>
      </c>
      <c r="C1676" s="72">
        <v>45827.0</v>
      </c>
      <c r="D1676" s="38">
        <v>77.0</v>
      </c>
      <c r="E1676" s="73">
        <f>IFERROR(__xludf.DUMMYFUNCTION("average(filter('Appearance Sheet'!F:F,'Appearance Sheet'!G:G=B1676,'Appearance Sheet'!A:A=C1676))"),6.333333333333333)</f>
        <v>6.333333333</v>
      </c>
      <c r="F1676" s="67">
        <v>5.173199767</v>
      </c>
      <c r="G1676" s="40">
        <v>1.532421821</v>
      </c>
      <c r="H1676" s="40">
        <f t="shared" si="1"/>
        <v>2.177652061</v>
      </c>
      <c r="I1676" s="41">
        <v>0.519480519</v>
      </c>
      <c r="J1676" s="41">
        <v>0.181818182</v>
      </c>
      <c r="K1676" s="41">
        <v>0.298701299</v>
      </c>
      <c r="L1676" s="41">
        <f t="shared" si="2"/>
        <v>0.22077922</v>
      </c>
      <c r="M1676" s="74">
        <v>2.038968198</v>
      </c>
    </row>
    <row r="1677">
      <c r="A1677" s="1" t="s">
        <v>282</v>
      </c>
      <c r="B1677" s="38">
        <v>656302.0</v>
      </c>
      <c r="C1677" s="72">
        <v>45824.0</v>
      </c>
      <c r="D1677" s="38">
        <v>100.0</v>
      </c>
      <c r="E1677" s="73">
        <f>IFERROR(__xludf.DUMMYFUNCTION("average(filter('Appearance Sheet'!F:F,'Appearance Sheet'!G:G=B1677,'Appearance Sheet'!A:A=C1677))"),5.0)</f>
        <v>5</v>
      </c>
      <c r="F1677" s="67">
        <v>5.173099422</v>
      </c>
      <c r="G1677" s="40">
        <v>1.952261915</v>
      </c>
      <c r="H1677" s="40">
        <f t="shared" si="1"/>
        <v>3.514071447</v>
      </c>
      <c r="I1677" s="41">
        <v>0.49</v>
      </c>
      <c r="J1677" s="41">
        <v>0.17</v>
      </c>
      <c r="K1677" s="41">
        <v>0.34</v>
      </c>
      <c r="L1677" s="41">
        <f t="shared" si="2"/>
        <v>0.15</v>
      </c>
      <c r="M1677" s="74">
        <v>-3.668900319</v>
      </c>
    </row>
    <row r="1678">
      <c r="A1678" s="1" t="s">
        <v>321</v>
      </c>
      <c r="B1678" s="38">
        <v>607200.0</v>
      </c>
      <c r="C1678" s="72">
        <v>45886.0</v>
      </c>
      <c r="D1678" s="38">
        <v>91.0</v>
      </c>
      <c r="E1678" s="73" t="str">
        <f>IFERROR(__xludf.DUMMYFUNCTION("average(filter('Appearance Sheet'!F:F,'Appearance Sheet'!G:G=B1678,'Appearance Sheet'!A:A=C1678))"),"#N/A")</f>
        <v>#N/A</v>
      </c>
      <c r="F1678" s="67">
        <v>5.172412395</v>
      </c>
      <c r="G1678" s="40">
        <v>1.757424451</v>
      </c>
      <c r="H1678" s="40" t="str">
        <f t="shared" si="1"/>
        <v>#N/A</v>
      </c>
      <c r="I1678" s="41">
        <v>0.505494505</v>
      </c>
      <c r="J1678" s="41">
        <v>0.142857143</v>
      </c>
      <c r="K1678" s="41">
        <v>0.351648352</v>
      </c>
      <c r="L1678" s="41">
        <f t="shared" si="2"/>
        <v>0.153846153</v>
      </c>
      <c r="M1678" s="74">
        <v>-1.52630501</v>
      </c>
    </row>
    <row r="1679">
      <c r="A1679" s="1" t="s">
        <v>229</v>
      </c>
      <c r="B1679" s="38">
        <v>645261.0</v>
      </c>
      <c r="C1679" s="72">
        <v>45856.0</v>
      </c>
      <c r="D1679" s="38">
        <v>97.0</v>
      </c>
      <c r="E1679" s="73" t="str">
        <f>IFERROR(__xludf.DUMMYFUNCTION("average(filter('Appearance Sheet'!F:F,'Appearance Sheet'!G:G=B1679,'Appearance Sheet'!A:A=C1679))"),"#N/A")</f>
        <v>#N/A</v>
      </c>
      <c r="F1679" s="67">
        <v>5.171984579</v>
      </c>
      <c r="G1679" s="40">
        <v>1.923825597</v>
      </c>
      <c r="H1679" s="40" t="str">
        <f t="shared" si="1"/>
        <v>#N/A</v>
      </c>
      <c r="I1679" s="41">
        <v>0.474226804</v>
      </c>
      <c r="J1679" s="41">
        <v>0.216494845</v>
      </c>
      <c r="K1679" s="41">
        <v>0.309278351</v>
      </c>
      <c r="L1679" s="41">
        <f t="shared" si="2"/>
        <v>0.164948453</v>
      </c>
      <c r="M1679" s="74">
        <v>-1.304438904</v>
      </c>
    </row>
    <row r="1680">
      <c r="A1680" s="1" t="s">
        <v>164</v>
      </c>
      <c r="B1680" s="38">
        <v>669923.0</v>
      </c>
      <c r="C1680" s="72">
        <v>45869.0</v>
      </c>
      <c r="D1680" s="38">
        <v>93.0</v>
      </c>
      <c r="E1680" s="73" t="str">
        <f>IFERROR(__xludf.DUMMYFUNCTION("average(filter('Appearance Sheet'!F:F,'Appearance Sheet'!G:G=B1680,'Appearance Sheet'!A:A=C1680))"),"#N/A")</f>
        <v>#N/A</v>
      </c>
      <c r="F1680" s="67">
        <v>5.171614375</v>
      </c>
      <c r="G1680" s="40">
        <v>1.814631232</v>
      </c>
      <c r="H1680" s="40" t="str">
        <f t="shared" si="1"/>
        <v>#N/A</v>
      </c>
      <c r="I1680" s="41">
        <v>0.494623656</v>
      </c>
      <c r="J1680" s="41">
        <v>0.172043011</v>
      </c>
      <c r="K1680" s="41">
        <v>0.333333333</v>
      </c>
      <c r="L1680" s="41">
        <f t="shared" si="2"/>
        <v>0.161290323</v>
      </c>
      <c r="M1680" s="74">
        <v>2.184931008</v>
      </c>
    </row>
    <row r="1681">
      <c r="A1681" s="1" t="s">
        <v>290</v>
      </c>
      <c r="B1681" s="38">
        <v>669461.0</v>
      </c>
      <c r="C1681" s="72">
        <v>45903.0</v>
      </c>
      <c r="D1681" s="38">
        <v>80.0</v>
      </c>
      <c r="E1681" s="73" t="str">
        <f>IFERROR(__xludf.DUMMYFUNCTION("average(filter('Appearance Sheet'!F:F,'Appearance Sheet'!G:G=B1681,'Appearance Sheet'!A:A=C1681))"),"#N/A")</f>
        <v>#N/A</v>
      </c>
      <c r="F1681" s="67">
        <v>5.170854334</v>
      </c>
      <c r="G1681" s="40">
        <v>1.582223474</v>
      </c>
      <c r="H1681" s="40" t="str">
        <f t="shared" si="1"/>
        <v>#N/A</v>
      </c>
      <c r="I1681" s="41">
        <v>0.475</v>
      </c>
      <c r="J1681" s="41">
        <v>0.175</v>
      </c>
      <c r="K1681" s="41">
        <v>0.35</v>
      </c>
      <c r="L1681" s="41">
        <f t="shared" si="2"/>
        <v>0.125</v>
      </c>
      <c r="M1681" s="74">
        <v>1.156422176</v>
      </c>
    </row>
    <row r="1682">
      <c r="A1682" s="1" t="s">
        <v>57</v>
      </c>
      <c r="B1682" s="38">
        <v>594798.0</v>
      </c>
      <c r="C1682" s="72">
        <v>45803.0</v>
      </c>
      <c r="D1682" s="38">
        <v>80.0</v>
      </c>
      <c r="E1682" s="73">
        <f>IFERROR(__xludf.DUMMYFUNCTION("average(filter('Appearance Sheet'!F:F,'Appearance Sheet'!G:G=B1682,'Appearance Sheet'!A:A=C1682))"),5.333333333333333)</f>
        <v>5.333333333</v>
      </c>
      <c r="F1682" s="67">
        <v>5.170843452</v>
      </c>
      <c r="G1682" s="40">
        <v>1.579306622</v>
      </c>
      <c r="H1682" s="40">
        <f t="shared" si="1"/>
        <v>2.665079925</v>
      </c>
      <c r="I1682" s="41">
        <v>0.5</v>
      </c>
      <c r="J1682" s="41">
        <v>0.1875</v>
      </c>
      <c r="K1682" s="41">
        <v>0.3125</v>
      </c>
      <c r="L1682" s="41">
        <f t="shared" si="2"/>
        <v>0.1875</v>
      </c>
      <c r="M1682" s="74">
        <v>-1.304543709</v>
      </c>
    </row>
    <row r="1683">
      <c r="A1683" s="1" t="s">
        <v>195</v>
      </c>
      <c r="B1683" s="38">
        <v>668678.0</v>
      </c>
      <c r="C1683" s="72">
        <v>45915.0</v>
      </c>
      <c r="D1683" s="38">
        <v>92.0</v>
      </c>
      <c r="E1683" s="73" t="str">
        <f>IFERROR(__xludf.DUMMYFUNCTION("average(filter('Appearance Sheet'!F:F,'Appearance Sheet'!G:G=B1683,'Appearance Sheet'!A:A=C1683))"),"#N/A")</f>
        <v>#N/A</v>
      </c>
      <c r="F1683" s="67">
        <v>5.170736324</v>
      </c>
      <c r="G1683" s="40">
        <v>1.744304349</v>
      </c>
      <c r="H1683" s="40" t="str">
        <f t="shared" si="1"/>
        <v>#N/A</v>
      </c>
      <c r="I1683" s="41">
        <v>0.456521739</v>
      </c>
      <c r="J1683" s="41">
        <v>0.206521739</v>
      </c>
      <c r="K1683" s="41">
        <v>0.336956522</v>
      </c>
      <c r="L1683" s="41">
        <f t="shared" si="2"/>
        <v>0.119565217</v>
      </c>
      <c r="M1683" s="74">
        <v>2.595491723</v>
      </c>
    </row>
    <row r="1684">
      <c r="A1684" s="1" t="s">
        <v>166</v>
      </c>
      <c r="B1684" s="38">
        <v>608331.0</v>
      </c>
      <c r="C1684" s="72">
        <v>45913.0</v>
      </c>
      <c r="D1684" s="38">
        <v>104.0</v>
      </c>
      <c r="E1684" s="73" t="str">
        <f>IFERROR(__xludf.DUMMYFUNCTION("average(filter('Appearance Sheet'!F:F,'Appearance Sheet'!G:G=B1684,'Appearance Sheet'!A:A=C1684))"),"#N/A")</f>
        <v>#N/A</v>
      </c>
      <c r="F1684" s="67">
        <v>5.170648066</v>
      </c>
      <c r="G1684" s="40">
        <v>2.064909501</v>
      </c>
      <c r="H1684" s="40" t="str">
        <f t="shared" si="1"/>
        <v>#N/A</v>
      </c>
      <c r="I1684" s="41">
        <v>0.5</v>
      </c>
      <c r="J1684" s="41">
        <v>0.173076923</v>
      </c>
      <c r="K1684" s="41">
        <v>0.326923077</v>
      </c>
      <c r="L1684" s="41">
        <f t="shared" si="2"/>
        <v>0.173076923</v>
      </c>
      <c r="M1684" s="74">
        <v>-1.18307416</v>
      </c>
    </row>
    <row r="1685">
      <c r="A1685" s="1" t="s">
        <v>228</v>
      </c>
      <c r="B1685" s="38">
        <v>687473.0</v>
      </c>
      <c r="C1685" s="72">
        <v>45863.0</v>
      </c>
      <c r="D1685" s="38">
        <v>78.0</v>
      </c>
      <c r="E1685" s="73" t="str">
        <f>IFERROR(__xludf.DUMMYFUNCTION("average(filter('Appearance Sheet'!F:F,'Appearance Sheet'!G:G=B1685,'Appearance Sheet'!A:A=C1685))"),"#N/A")</f>
        <v>#N/A</v>
      </c>
      <c r="F1685" s="67">
        <v>5.170560105</v>
      </c>
      <c r="G1685" s="40">
        <v>1.530814909</v>
      </c>
      <c r="H1685" s="40" t="str">
        <f t="shared" si="1"/>
        <v>#N/A</v>
      </c>
      <c r="I1685" s="41">
        <v>0.525641026</v>
      </c>
      <c r="J1685" s="41">
        <v>0.128205128</v>
      </c>
      <c r="K1685" s="41">
        <v>0.346153846</v>
      </c>
      <c r="L1685" s="41">
        <f t="shared" si="2"/>
        <v>0.17948718</v>
      </c>
      <c r="M1685" s="74">
        <v>-3.870147595</v>
      </c>
    </row>
    <row r="1686">
      <c r="A1686" s="1" t="s">
        <v>194</v>
      </c>
      <c r="B1686" s="38">
        <v>666157.0</v>
      </c>
      <c r="C1686" s="72">
        <v>45796.0</v>
      </c>
      <c r="D1686" s="38">
        <v>86.0</v>
      </c>
      <c r="E1686" s="73">
        <f>IFERROR(__xludf.DUMMYFUNCTION("average(filter('Appearance Sheet'!F:F,'Appearance Sheet'!G:G=B1686,'Appearance Sheet'!A:A=C1686))"),6.0)</f>
        <v>6</v>
      </c>
      <c r="F1686" s="67">
        <v>5.170516289</v>
      </c>
      <c r="G1686" s="40">
        <v>1.701763501</v>
      </c>
      <c r="H1686" s="40">
        <f t="shared" si="1"/>
        <v>2.552645252</v>
      </c>
      <c r="I1686" s="41">
        <v>0.38372093</v>
      </c>
      <c r="J1686" s="41">
        <v>0.348837209</v>
      </c>
      <c r="K1686" s="41">
        <v>0.26744186</v>
      </c>
      <c r="L1686" s="41">
        <f t="shared" si="2"/>
        <v>0.11627907</v>
      </c>
      <c r="M1686" s="74">
        <v>1.113993349</v>
      </c>
    </row>
    <row r="1687">
      <c r="A1687" s="1" t="s">
        <v>100</v>
      </c>
      <c r="B1687" s="38">
        <v>676979.0</v>
      </c>
      <c r="C1687" s="72">
        <v>45749.0</v>
      </c>
      <c r="D1687" s="38">
        <v>99.0</v>
      </c>
      <c r="E1687" s="73">
        <f>IFERROR(__xludf.DUMMYFUNCTION("average(filter('Appearance Sheet'!F:F,'Appearance Sheet'!G:G=B1687,'Appearance Sheet'!A:A=C1687))"),8.0)</f>
        <v>8</v>
      </c>
      <c r="F1687" s="67">
        <v>5.170382229</v>
      </c>
      <c r="G1687" s="40">
        <v>1.96471687</v>
      </c>
      <c r="H1687" s="40">
        <f t="shared" si="1"/>
        <v>2.210306479</v>
      </c>
      <c r="I1687" s="41">
        <v>0.494949495</v>
      </c>
      <c r="J1687" s="41">
        <v>0.161616162</v>
      </c>
      <c r="K1687" s="41">
        <v>0.343434343</v>
      </c>
      <c r="L1687" s="41">
        <f t="shared" si="2"/>
        <v>0.151515152</v>
      </c>
      <c r="M1687" s="74">
        <v>1.61287016</v>
      </c>
    </row>
    <row r="1688">
      <c r="A1688" s="1" t="s">
        <v>476</v>
      </c>
      <c r="B1688" s="38">
        <v>500779.0</v>
      </c>
      <c r="C1688" s="72">
        <v>45786.0</v>
      </c>
      <c r="D1688" s="38">
        <v>72.0</v>
      </c>
      <c r="E1688" s="73">
        <f>IFERROR(__xludf.DUMMYFUNCTION("average(filter('Appearance Sheet'!F:F,'Appearance Sheet'!G:G=B1688,'Appearance Sheet'!A:A=C1688))"),5.333333333333333)</f>
        <v>5.333333333</v>
      </c>
      <c r="F1688" s="67">
        <v>5.16998573</v>
      </c>
      <c r="G1688" s="40">
        <v>1.438142213</v>
      </c>
      <c r="H1688" s="40">
        <f t="shared" si="1"/>
        <v>2.426864984</v>
      </c>
      <c r="I1688" s="41">
        <v>0.5</v>
      </c>
      <c r="J1688" s="41">
        <v>0.138888889</v>
      </c>
      <c r="K1688" s="41">
        <v>0.361111111</v>
      </c>
      <c r="L1688" s="41">
        <f t="shared" si="2"/>
        <v>0.138888889</v>
      </c>
      <c r="M1688" s="74">
        <v>-0.632103557</v>
      </c>
    </row>
    <row r="1689">
      <c r="A1689" s="1" t="s">
        <v>308</v>
      </c>
      <c r="B1689" s="38">
        <v>676440.0</v>
      </c>
      <c r="C1689" s="72">
        <v>45864.0</v>
      </c>
      <c r="D1689" s="38">
        <v>89.0</v>
      </c>
      <c r="E1689" s="73" t="str">
        <f>IFERROR(__xludf.DUMMYFUNCTION("average(filter('Appearance Sheet'!F:F,'Appearance Sheet'!G:G=B1689,'Appearance Sheet'!A:A=C1689))"),"#N/A")</f>
        <v>#N/A</v>
      </c>
      <c r="F1689" s="67">
        <v>5.16973691</v>
      </c>
      <c r="G1689" s="40">
        <v>1.762079956</v>
      </c>
      <c r="H1689" s="40" t="str">
        <f t="shared" si="1"/>
        <v>#N/A</v>
      </c>
      <c r="I1689" s="41">
        <v>0.471910112</v>
      </c>
      <c r="J1689" s="41">
        <v>0.168539326</v>
      </c>
      <c r="K1689" s="41">
        <v>0.359550562</v>
      </c>
      <c r="L1689" s="41">
        <f t="shared" si="2"/>
        <v>0.11235955</v>
      </c>
      <c r="M1689" s="74">
        <v>0.765778741</v>
      </c>
    </row>
    <row r="1690">
      <c r="A1690" s="1" t="s">
        <v>329</v>
      </c>
      <c r="B1690" s="38">
        <v>669160.0</v>
      </c>
      <c r="C1690" s="72">
        <v>45893.0</v>
      </c>
      <c r="D1690" s="38">
        <v>70.0</v>
      </c>
      <c r="E1690" s="73" t="str">
        <f>IFERROR(__xludf.DUMMYFUNCTION("average(filter('Appearance Sheet'!F:F,'Appearance Sheet'!G:G=B1690,'Appearance Sheet'!A:A=C1690))"),"#N/A")</f>
        <v>#N/A</v>
      </c>
      <c r="F1690" s="67">
        <v>5.169696501</v>
      </c>
      <c r="G1690" s="40">
        <v>1.393546042</v>
      </c>
      <c r="H1690" s="40" t="str">
        <f t="shared" si="1"/>
        <v>#N/A</v>
      </c>
      <c r="I1690" s="41">
        <v>0.514285714</v>
      </c>
      <c r="J1690" s="41">
        <v>0.228571429</v>
      </c>
      <c r="K1690" s="41">
        <v>0.257142857</v>
      </c>
      <c r="L1690" s="41">
        <f t="shared" si="2"/>
        <v>0.257142857</v>
      </c>
      <c r="M1690" s="74">
        <v>-1.199010939</v>
      </c>
    </row>
    <row r="1691">
      <c r="A1691" s="1" t="s">
        <v>251</v>
      </c>
      <c r="B1691" s="38">
        <v>676664.0</v>
      </c>
      <c r="C1691" s="72">
        <v>45787.0</v>
      </c>
      <c r="D1691" s="38">
        <v>76.0</v>
      </c>
      <c r="E1691" s="73">
        <f>IFERROR(__xludf.DUMMYFUNCTION("average(filter('Appearance Sheet'!F:F,'Appearance Sheet'!G:G=B1691,'Appearance Sheet'!A:A=C1691))"),5.0)</f>
        <v>5</v>
      </c>
      <c r="F1691" s="67">
        <v>5.169561492</v>
      </c>
      <c r="G1691" s="40">
        <v>1.451316129</v>
      </c>
      <c r="H1691" s="40">
        <f t="shared" si="1"/>
        <v>2.612369032</v>
      </c>
      <c r="I1691" s="41">
        <v>0.552631579</v>
      </c>
      <c r="J1691" s="41">
        <v>0.118421053</v>
      </c>
      <c r="K1691" s="41">
        <v>0.328947368</v>
      </c>
      <c r="L1691" s="41">
        <f t="shared" si="2"/>
        <v>0.223684211</v>
      </c>
      <c r="M1691" s="74">
        <v>-0.20280149</v>
      </c>
    </row>
    <row r="1692">
      <c r="A1692" s="1" t="s">
        <v>133</v>
      </c>
      <c r="B1692" s="38">
        <v>663978.0</v>
      </c>
      <c r="C1692" s="72">
        <v>45827.0</v>
      </c>
      <c r="D1692" s="38">
        <v>79.0</v>
      </c>
      <c r="E1692" s="73">
        <f>IFERROR(__xludf.DUMMYFUNCTION("average(filter('Appearance Sheet'!F:F,'Appearance Sheet'!G:G=B1692,'Appearance Sheet'!A:A=C1692))"),5.0)</f>
        <v>5</v>
      </c>
      <c r="F1692" s="67">
        <v>5.169443334</v>
      </c>
      <c r="G1692" s="40">
        <v>1.569271555</v>
      </c>
      <c r="H1692" s="40">
        <f t="shared" si="1"/>
        <v>2.824688799</v>
      </c>
      <c r="I1692" s="41">
        <v>0.506329114</v>
      </c>
      <c r="J1692" s="41">
        <v>0.151898734</v>
      </c>
      <c r="K1692" s="41">
        <v>0.341772152</v>
      </c>
      <c r="L1692" s="41">
        <f t="shared" si="2"/>
        <v>0.164556962</v>
      </c>
      <c r="M1692" s="74">
        <v>-0.612697998</v>
      </c>
    </row>
    <row r="1693">
      <c r="A1693" s="1" t="s">
        <v>187</v>
      </c>
      <c r="B1693" s="38">
        <v>641302.0</v>
      </c>
      <c r="C1693" s="72">
        <v>45875.0</v>
      </c>
      <c r="D1693" s="38">
        <v>65.0</v>
      </c>
      <c r="E1693" s="73" t="str">
        <f>IFERROR(__xludf.DUMMYFUNCTION("average(filter('Appearance Sheet'!F:F,'Appearance Sheet'!G:G=B1693,'Appearance Sheet'!A:A=C1693))"),"#N/A")</f>
        <v>#N/A</v>
      </c>
      <c r="F1693" s="67">
        <v>5.169182542</v>
      </c>
      <c r="G1693" s="40">
        <v>1.252594047</v>
      </c>
      <c r="H1693" s="40" t="str">
        <f t="shared" si="1"/>
        <v>#N/A</v>
      </c>
      <c r="I1693" s="41">
        <v>0.523076923</v>
      </c>
      <c r="J1693" s="41">
        <v>0.138461538</v>
      </c>
      <c r="K1693" s="41">
        <v>0.338461538</v>
      </c>
      <c r="L1693" s="41">
        <f t="shared" si="2"/>
        <v>0.184615385</v>
      </c>
      <c r="M1693" s="74">
        <v>2.27792482</v>
      </c>
    </row>
    <row r="1694">
      <c r="A1694" s="1" t="s">
        <v>255</v>
      </c>
      <c r="B1694" s="38">
        <v>688138.0</v>
      </c>
      <c r="C1694" s="72">
        <v>45793.0</v>
      </c>
      <c r="D1694" s="38">
        <v>87.0</v>
      </c>
      <c r="E1694" s="73">
        <f>IFERROR(__xludf.DUMMYFUNCTION("average(filter('Appearance Sheet'!F:F,'Appearance Sheet'!G:G=B1694,'Appearance Sheet'!A:A=C1694))"),6.0)</f>
        <v>6</v>
      </c>
      <c r="F1694" s="67">
        <v>5.169121956</v>
      </c>
      <c r="G1694" s="40">
        <v>1.745141671</v>
      </c>
      <c r="H1694" s="40">
        <f t="shared" si="1"/>
        <v>2.617712507</v>
      </c>
      <c r="I1694" s="41">
        <v>0.482758621</v>
      </c>
      <c r="J1694" s="41">
        <v>0.218390805</v>
      </c>
      <c r="K1694" s="41">
        <v>0.298850575</v>
      </c>
      <c r="L1694" s="41">
        <f t="shared" si="2"/>
        <v>0.183908046</v>
      </c>
      <c r="M1694" s="74">
        <v>-1.785149829</v>
      </c>
    </row>
    <row r="1695">
      <c r="A1695" s="1" t="s">
        <v>95</v>
      </c>
      <c r="B1695" s="38">
        <v>543243.0</v>
      </c>
      <c r="C1695" s="72">
        <v>45907.0</v>
      </c>
      <c r="D1695" s="38">
        <v>91.0</v>
      </c>
      <c r="E1695" s="73" t="str">
        <f>IFERROR(__xludf.DUMMYFUNCTION("average(filter('Appearance Sheet'!F:F,'Appearance Sheet'!G:G=B1695,'Appearance Sheet'!A:A=C1695))"),"#N/A")</f>
        <v>#N/A</v>
      </c>
      <c r="F1695" s="67">
        <v>5.168747258</v>
      </c>
      <c r="G1695" s="40">
        <v>1.774739449</v>
      </c>
      <c r="H1695" s="40" t="str">
        <f t="shared" si="1"/>
        <v>#N/A</v>
      </c>
      <c r="I1695" s="41">
        <v>0.494505495</v>
      </c>
      <c r="J1695" s="41">
        <v>0.186813187</v>
      </c>
      <c r="K1695" s="41">
        <v>0.318681319</v>
      </c>
      <c r="L1695" s="41">
        <f t="shared" si="2"/>
        <v>0.175824176</v>
      </c>
      <c r="M1695" s="74">
        <v>1.747869052</v>
      </c>
    </row>
    <row r="1696">
      <c r="A1696" s="1" t="s">
        <v>450</v>
      </c>
      <c r="B1696" s="38">
        <v>682990.0</v>
      </c>
      <c r="C1696" s="72">
        <v>45823.0</v>
      </c>
      <c r="D1696" s="38">
        <v>88.0</v>
      </c>
      <c r="E1696" s="73">
        <f>IFERROR(__xludf.DUMMYFUNCTION("average(filter('Appearance Sheet'!F:F,'Appearance Sheet'!G:G=B1696,'Appearance Sheet'!A:A=C1696))"),6.0)</f>
        <v>6</v>
      </c>
      <c r="F1696" s="67">
        <v>5.168617823</v>
      </c>
      <c r="G1696" s="40">
        <v>1.746207886</v>
      </c>
      <c r="H1696" s="40">
        <f t="shared" si="1"/>
        <v>2.619311829</v>
      </c>
      <c r="I1696" s="41">
        <v>0.431818182</v>
      </c>
      <c r="J1696" s="41">
        <v>0.238636364</v>
      </c>
      <c r="K1696" s="41">
        <v>0.329545455</v>
      </c>
      <c r="L1696" s="41">
        <f t="shared" si="2"/>
        <v>0.102272727</v>
      </c>
      <c r="M1696" s="74">
        <v>2.413466262</v>
      </c>
    </row>
    <row r="1697">
      <c r="A1697" s="1" t="s">
        <v>153</v>
      </c>
      <c r="B1697" s="38">
        <v>669302.0</v>
      </c>
      <c r="C1697" s="72">
        <v>45921.0</v>
      </c>
      <c r="D1697" s="38">
        <v>89.0</v>
      </c>
      <c r="E1697" s="73" t="str">
        <f>IFERROR(__xludf.DUMMYFUNCTION("average(filter('Appearance Sheet'!F:F,'Appearance Sheet'!G:G=B1697,'Appearance Sheet'!A:A=C1697))"),"#N/A")</f>
        <v>#N/A</v>
      </c>
      <c r="F1697" s="67">
        <v>5.16861702</v>
      </c>
      <c r="G1697" s="40">
        <v>1.749830289</v>
      </c>
      <c r="H1697" s="40" t="str">
        <f t="shared" si="1"/>
        <v>#N/A</v>
      </c>
      <c r="I1697" s="41">
        <v>0.483146067</v>
      </c>
      <c r="J1697" s="41">
        <v>0.179775281</v>
      </c>
      <c r="K1697" s="41">
        <v>0.337078652</v>
      </c>
      <c r="L1697" s="41">
        <f t="shared" si="2"/>
        <v>0.146067415</v>
      </c>
      <c r="M1697" s="74">
        <v>1.774898093</v>
      </c>
    </row>
    <row r="1698">
      <c r="A1698" s="1" t="s">
        <v>580</v>
      </c>
      <c r="B1698" s="38">
        <v>676272.0</v>
      </c>
      <c r="C1698" s="72">
        <v>45763.0</v>
      </c>
      <c r="D1698" s="38">
        <v>84.0</v>
      </c>
      <c r="E1698" s="73">
        <f>IFERROR(__xludf.DUMMYFUNCTION("average(filter('Appearance Sheet'!F:F,'Appearance Sheet'!G:G=B1698,'Appearance Sheet'!A:A=C1698))"),3.0)</f>
        <v>3</v>
      </c>
      <c r="F1698" s="67">
        <v>5.168614062</v>
      </c>
      <c r="G1698" s="40">
        <v>1.632503292</v>
      </c>
      <c r="H1698" s="40">
        <f t="shared" si="1"/>
        <v>4.897509876</v>
      </c>
      <c r="I1698" s="41">
        <v>0.523809524</v>
      </c>
      <c r="J1698" s="41">
        <v>0.166666667</v>
      </c>
      <c r="K1698" s="41">
        <v>0.30952381</v>
      </c>
      <c r="L1698" s="41">
        <f t="shared" si="2"/>
        <v>0.214285714</v>
      </c>
      <c r="M1698" s="74">
        <v>-3.277204046</v>
      </c>
    </row>
    <row r="1699">
      <c r="A1699" s="1" t="s">
        <v>413</v>
      </c>
      <c r="B1699" s="38">
        <v>671737.0</v>
      </c>
      <c r="C1699" s="72">
        <v>45843.0</v>
      </c>
      <c r="D1699" s="38">
        <v>86.0</v>
      </c>
      <c r="E1699" s="73" t="str">
        <f>IFERROR(__xludf.DUMMYFUNCTION("average(filter('Appearance Sheet'!F:F,'Appearance Sheet'!G:G=B1699,'Appearance Sheet'!A:A=C1699))"),"#N/A")</f>
        <v>#N/A</v>
      </c>
      <c r="F1699" s="67">
        <v>5.168488401</v>
      </c>
      <c r="G1699" s="40">
        <v>1.696086173</v>
      </c>
      <c r="H1699" s="40" t="str">
        <f t="shared" si="1"/>
        <v>#N/A</v>
      </c>
      <c r="I1699" s="41">
        <v>0.465116279</v>
      </c>
      <c r="J1699" s="41">
        <v>0.174418605</v>
      </c>
      <c r="K1699" s="41">
        <v>0.360465116</v>
      </c>
      <c r="L1699" s="41">
        <f t="shared" si="2"/>
        <v>0.104651163</v>
      </c>
      <c r="M1699" s="74">
        <v>-1.219138283</v>
      </c>
    </row>
    <row r="1700">
      <c r="A1700" s="1" t="s">
        <v>150</v>
      </c>
      <c r="B1700" s="38">
        <v>657746.0</v>
      </c>
      <c r="C1700" s="72">
        <v>45804.0</v>
      </c>
      <c r="D1700" s="38">
        <v>83.0</v>
      </c>
      <c r="E1700" s="73">
        <f>IFERROR(__xludf.DUMMYFUNCTION("average(filter('Appearance Sheet'!F:F,'Appearance Sheet'!G:G=B1700,'Appearance Sheet'!A:A=C1700))"),6.0)</f>
        <v>6</v>
      </c>
      <c r="F1700" s="67">
        <v>5.168412393</v>
      </c>
      <c r="G1700" s="40">
        <v>1.648025332</v>
      </c>
      <c r="H1700" s="40">
        <f t="shared" si="1"/>
        <v>2.472037998</v>
      </c>
      <c r="I1700" s="41">
        <v>0.469879518</v>
      </c>
      <c r="J1700" s="41">
        <v>0.21686747</v>
      </c>
      <c r="K1700" s="41">
        <v>0.313253012</v>
      </c>
      <c r="L1700" s="41">
        <f t="shared" si="2"/>
        <v>0.156626506</v>
      </c>
      <c r="M1700" s="74">
        <v>-0.79059989</v>
      </c>
    </row>
    <row r="1701">
      <c r="A1701" s="1" t="s">
        <v>296</v>
      </c>
      <c r="B1701" s="38">
        <v>669372.0</v>
      </c>
      <c r="C1701" s="72">
        <v>45925.0</v>
      </c>
      <c r="D1701" s="38">
        <v>75.0</v>
      </c>
      <c r="E1701" s="73" t="str">
        <f>IFERROR(__xludf.DUMMYFUNCTION("average(filter('Appearance Sheet'!F:F,'Appearance Sheet'!G:G=B1701,'Appearance Sheet'!A:A=C1701))"),"#N/A")</f>
        <v>#N/A</v>
      </c>
      <c r="F1701" s="67">
        <v>5.16825114</v>
      </c>
      <c r="G1701" s="40">
        <v>1.46176715</v>
      </c>
      <c r="H1701" s="40" t="str">
        <f t="shared" si="1"/>
        <v>#N/A</v>
      </c>
      <c r="I1701" s="41">
        <v>0.4</v>
      </c>
      <c r="J1701" s="41">
        <v>0.213333333</v>
      </c>
      <c r="K1701" s="41">
        <v>0.386666667</v>
      </c>
      <c r="L1701" s="41">
        <f t="shared" si="2"/>
        <v>0.013333333</v>
      </c>
      <c r="M1701" s="74">
        <v>-1.6958912</v>
      </c>
    </row>
    <row r="1702">
      <c r="A1702" s="1" t="s">
        <v>272</v>
      </c>
      <c r="B1702" s="38">
        <v>622491.0</v>
      </c>
      <c r="C1702" s="72">
        <v>45755.0</v>
      </c>
      <c r="D1702" s="38">
        <v>100.0</v>
      </c>
      <c r="E1702" s="73">
        <f>IFERROR(__xludf.DUMMYFUNCTION("average(filter('Appearance Sheet'!F:F,'Appearance Sheet'!G:G=B1702,'Appearance Sheet'!A:A=C1702))"),5.0)</f>
        <v>5</v>
      </c>
      <c r="F1702" s="67">
        <v>5.167502787</v>
      </c>
      <c r="G1702" s="40">
        <v>1.947860121</v>
      </c>
      <c r="H1702" s="40">
        <f t="shared" si="1"/>
        <v>3.506148218</v>
      </c>
      <c r="I1702" s="41">
        <v>0.52</v>
      </c>
      <c r="J1702" s="41">
        <v>0.1</v>
      </c>
      <c r="K1702" s="41">
        <v>0.38</v>
      </c>
      <c r="L1702" s="41">
        <f t="shared" si="2"/>
        <v>0.14</v>
      </c>
      <c r="M1702" s="74">
        <v>0.395737961</v>
      </c>
    </row>
    <row r="1703">
      <c r="A1703" s="1" t="s">
        <v>425</v>
      </c>
      <c r="B1703" s="38">
        <v>621244.0</v>
      </c>
      <c r="C1703" s="72">
        <v>45835.0</v>
      </c>
      <c r="D1703" s="38">
        <v>89.0</v>
      </c>
      <c r="E1703" s="73">
        <f>IFERROR(__xludf.DUMMYFUNCTION("average(filter('Appearance Sheet'!F:F,'Appearance Sheet'!G:G=B1703,'Appearance Sheet'!A:A=C1703))"),7.0)</f>
        <v>7</v>
      </c>
      <c r="F1703" s="67">
        <v>5.167413063</v>
      </c>
      <c r="G1703" s="40">
        <v>1.761892152</v>
      </c>
      <c r="H1703" s="40">
        <f t="shared" si="1"/>
        <v>2.26528991</v>
      </c>
      <c r="I1703" s="41">
        <v>0.471910112</v>
      </c>
      <c r="J1703" s="41">
        <v>0.191011236</v>
      </c>
      <c r="K1703" s="41">
        <v>0.337078652</v>
      </c>
      <c r="L1703" s="41">
        <f t="shared" si="2"/>
        <v>0.13483146</v>
      </c>
      <c r="M1703" s="74">
        <v>1.7991304</v>
      </c>
    </row>
    <row r="1704">
      <c r="A1704" s="1" t="s">
        <v>111</v>
      </c>
      <c r="B1704" s="38">
        <v>656641.0</v>
      </c>
      <c r="C1704" s="72">
        <v>45927.0</v>
      </c>
      <c r="D1704" s="38">
        <v>81.0</v>
      </c>
      <c r="E1704" s="73" t="str">
        <f>IFERROR(__xludf.DUMMYFUNCTION("average(filter('Appearance Sheet'!F:F,'Appearance Sheet'!G:G=B1704,'Appearance Sheet'!A:A=C1704))"),"#N/A")</f>
        <v>#N/A</v>
      </c>
      <c r="F1704" s="67">
        <v>5.167379264</v>
      </c>
      <c r="G1704" s="40">
        <v>1.598420239</v>
      </c>
      <c r="H1704" s="40" t="str">
        <f t="shared" si="1"/>
        <v>#N/A</v>
      </c>
      <c r="I1704" s="41">
        <v>0.50617284</v>
      </c>
      <c r="J1704" s="41">
        <v>0.148148148</v>
      </c>
      <c r="K1704" s="41">
        <v>0.345679012</v>
      </c>
      <c r="L1704" s="41">
        <f t="shared" si="2"/>
        <v>0.160493828</v>
      </c>
      <c r="M1704" s="74">
        <v>-0.849285574</v>
      </c>
    </row>
    <row r="1705">
      <c r="A1705" s="1" t="s">
        <v>473</v>
      </c>
      <c r="B1705" s="38">
        <v>527048.0</v>
      </c>
      <c r="C1705" s="72">
        <v>45889.0</v>
      </c>
      <c r="D1705" s="38">
        <v>73.0</v>
      </c>
      <c r="E1705" s="73" t="str">
        <f>IFERROR(__xludf.DUMMYFUNCTION("average(filter('Appearance Sheet'!F:F,'Appearance Sheet'!G:G=B1705,'Appearance Sheet'!A:A=C1705))"),"#N/A")</f>
        <v>#N/A</v>
      </c>
      <c r="F1705" s="67">
        <v>5.167341722</v>
      </c>
      <c r="G1705" s="40">
        <v>1.450625277</v>
      </c>
      <c r="H1705" s="40" t="str">
        <f t="shared" si="1"/>
        <v>#N/A</v>
      </c>
      <c r="I1705" s="41">
        <v>0.452054795</v>
      </c>
      <c r="J1705" s="41">
        <v>0.205479452</v>
      </c>
      <c r="K1705" s="41">
        <v>0.342465753</v>
      </c>
      <c r="L1705" s="41">
        <f t="shared" si="2"/>
        <v>0.109589042</v>
      </c>
      <c r="M1705" s="74">
        <v>1.561023483</v>
      </c>
    </row>
    <row r="1706">
      <c r="A1706" s="1" t="s">
        <v>150</v>
      </c>
      <c r="B1706" s="38">
        <v>657746.0</v>
      </c>
      <c r="C1706" s="72">
        <v>45779.0</v>
      </c>
      <c r="D1706" s="38">
        <v>89.0</v>
      </c>
      <c r="E1706" s="73">
        <f>IFERROR(__xludf.DUMMYFUNCTION("average(filter('Appearance Sheet'!F:F,'Appearance Sheet'!G:G=B1706,'Appearance Sheet'!A:A=C1706))"),6.0)</f>
        <v>6</v>
      </c>
      <c r="F1706" s="67">
        <v>5.167294573</v>
      </c>
      <c r="G1706" s="40">
        <v>1.734481797</v>
      </c>
      <c r="H1706" s="40">
        <f t="shared" si="1"/>
        <v>2.601722696</v>
      </c>
      <c r="I1706" s="41">
        <v>0.561797753</v>
      </c>
      <c r="J1706" s="41">
        <v>0.134831461</v>
      </c>
      <c r="K1706" s="41">
        <v>0.303370787</v>
      </c>
      <c r="L1706" s="41">
        <f t="shared" si="2"/>
        <v>0.258426966</v>
      </c>
      <c r="M1706" s="74">
        <v>0.008813706</v>
      </c>
    </row>
    <row r="1707">
      <c r="A1707" s="1" t="s">
        <v>437</v>
      </c>
      <c r="B1707" s="38">
        <v>695418.0</v>
      </c>
      <c r="C1707" s="72">
        <v>45923.0</v>
      </c>
      <c r="D1707" s="38">
        <v>95.0</v>
      </c>
      <c r="E1707" s="73" t="str">
        <f>IFERROR(__xludf.DUMMYFUNCTION("average(filter('Appearance Sheet'!F:F,'Appearance Sheet'!G:G=B1707,'Appearance Sheet'!A:A=C1707))"),"#N/A")</f>
        <v>#N/A</v>
      </c>
      <c r="F1707" s="67">
        <v>5.167294423</v>
      </c>
      <c r="G1707" s="40">
        <v>1.89274921</v>
      </c>
      <c r="H1707" s="40" t="str">
        <f t="shared" si="1"/>
        <v>#N/A</v>
      </c>
      <c r="I1707" s="41">
        <v>0.484210526</v>
      </c>
      <c r="J1707" s="41">
        <v>0.189473684</v>
      </c>
      <c r="K1707" s="41">
        <v>0.326315789</v>
      </c>
      <c r="L1707" s="41">
        <f t="shared" si="2"/>
        <v>0.157894737</v>
      </c>
      <c r="M1707" s="74">
        <v>2.845592128</v>
      </c>
    </row>
    <row r="1708">
      <c r="A1708" s="1" t="s">
        <v>118</v>
      </c>
      <c r="B1708" s="38">
        <v>695505.0</v>
      </c>
      <c r="C1708" s="72">
        <v>45860.0</v>
      </c>
      <c r="D1708" s="38">
        <v>90.0</v>
      </c>
      <c r="E1708" s="73" t="str">
        <f>IFERROR(__xludf.DUMMYFUNCTION("average(filter('Appearance Sheet'!F:F,'Appearance Sheet'!G:G=B1708,'Appearance Sheet'!A:A=C1708))"),"#N/A")</f>
        <v>#N/A</v>
      </c>
      <c r="F1708" s="67">
        <v>5.167249497</v>
      </c>
      <c r="G1708" s="40">
        <v>1.779654245</v>
      </c>
      <c r="H1708" s="40" t="str">
        <f t="shared" si="1"/>
        <v>#N/A</v>
      </c>
      <c r="I1708" s="41">
        <v>0.555555556</v>
      </c>
      <c r="J1708" s="41">
        <v>0.155555556</v>
      </c>
      <c r="K1708" s="41">
        <v>0.288888889</v>
      </c>
      <c r="L1708" s="41">
        <f t="shared" si="2"/>
        <v>0.266666667</v>
      </c>
      <c r="M1708" s="74">
        <v>-1.787652716</v>
      </c>
    </row>
    <row r="1709">
      <c r="A1709" s="1" t="s">
        <v>386</v>
      </c>
      <c r="B1709" s="38">
        <v>656731.0</v>
      </c>
      <c r="C1709" s="72">
        <v>45762.0</v>
      </c>
      <c r="D1709" s="38">
        <v>91.0</v>
      </c>
      <c r="E1709" s="73">
        <f>IFERROR(__xludf.DUMMYFUNCTION("average(filter('Appearance Sheet'!F:F,'Appearance Sheet'!G:G=B1709,'Appearance Sheet'!A:A=C1709))"),5.0)</f>
        <v>5</v>
      </c>
      <c r="F1709" s="67">
        <v>5.167042646</v>
      </c>
      <c r="G1709" s="40">
        <v>1.789105059</v>
      </c>
      <c r="H1709" s="40">
        <f t="shared" si="1"/>
        <v>3.220389106</v>
      </c>
      <c r="I1709" s="41">
        <v>0.494505495</v>
      </c>
      <c r="J1709" s="41">
        <v>0.142857143</v>
      </c>
      <c r="K1709" s="41">
        <v>0.362637363</v>
      </c>
      <c r="L1709" s="41">
        <f t="shared" si="2"/>
        <v>0.131868132</v>
      </c>
      <c r="M1709" s="74">
        <v>-3.256804145</v>
      </c>
    </row>
    <row r="1710">
      <c r="A1710" s="1" t="s">
        <v>232</v>
      </c>
      <c r="B1710" s="38">
        <v>579328.0</v>
      </c>
      <c r="C1710" s="72">
        <v>45889.0</v>
      </c>
      <c r="D1710" s="38">
        <v>86.0</v>
      </c>
      <c r="E1710" s="73" t="str">
        <f>IFERROR(__xludf.DUMMYFUNCTION("average(filter('Appearance Sheet'!F:F,'Appearance Sheet'!G:G=B1710,'Appearance Sheet'!A:A=C1710))"),"#N/A")</f>
        <v>#N/A</v>
      </c>
      <c r="F1710" s="67">
        <v>5.166824312</v>
      </c>
      <c r="G1710" s="40">
        <v>1.733006686</v>
      </c>
      <c r="H1710" s="40" t="str">
        <f t="shared" si="1"/>
        <v>#N/A</v>
      </c>
      <c r="I1710" s="41">
        <v>0.5</v>
      </c>
      <c r="J1710" s="41">
        <v>0.151162791</v>
      </c>
      <c r="K1710" s="41">
        <v>0.348837209</v>
      </c>
      <c r="L1710" s="41">
        <f t="shared" si="2"/>
        <v>0.151162791</v>
      </c>
      <c r="M1710" s="74">
        <v>-2.343795778</v>
      </c>
    </row>
    <row r="1711">
      <c r="A1711" s="1" t="s">
        <v>477</v>
      </c>
      <c r="B1711" s="38">
        <v>677958.0</v>
      </c>
      <c r="C1711" s="72">
        <v>45764.0</v>
      </c>
      <c r="D1711" s="38">
        <v>74.0</v>
      </c>
      <c r="E1711" s="73">
        <f>IFERROR(__xludf.DUMMYFUNCTION("average(filter('Appearance Sheet'!F:F,'Appearance Sheet'!G:G=B1711,'Appearance Sheet'!A:A=C1711))"),7.0)</f>
        <v>7</v>
      </c>
      <c r="F1711" s="67">
        <v>5.166808542</v>
      </c>
      <c r="G1711" s="40">
        <v>1.488940062</v>
      </c>
      <c r="H1711" s="40">
        <f t="shared" si="1"/>
        <v>1.914351508</v>
      </c>
      <c r="I1711" s="41">
        <v>0.472972973</v>
      </c>
      <c r="J1711" s="41">
        <v>0.216216216</v>
      </c>
      <c r="K1711" s="41">
        <v>0.310810811</v>
      </c>
      <c r="L1711" s="41">
        <f t="shared" si="2"/>
        <v>0.162162162</v>
      </c>
      <c r="M1711" s="74">
        <v>-0.353279932</v>
      </c>
    </row>
    <row r="1712">
      <c r="A1712" s="1" t="s">
        <v>302</v>
      </c>
      <c r="B1712" s="38">
        <v>681190.0</v>
      </c>
      <c r="C1712" s="72">
        <v>45762.0</v>
      </c>
      <c r="D1712" s="38">
        <v>78.0</v>
      </c>
      <c r="E1712" s="73">
        <f>IFERROR(__xludf.DUMMYFUNCTION("average(filter('Appearance Sheet'!F:F,'Appearance Sheet'!G:G=B1712,'Appearance Sheet'!A:A=C1712))"),5.0)</f>
        <v>5</v>
      </c>
      <c r="F1712" s="67">
        <v>5.16669963</v>
      </c>
      <c r="G1712" s="40">
        <v>1.560044679</v>
      </c>
      <c r="H1712" s="40">
        <f t="shared" si="1"/>
        <v>2.808080422</v>
      </c>
      <c r="I1712" s="41">
        <v>0.5</v>
      </c>
      <c r="J1712" s="41">
        <v>0.205128205</v>
      </c>
      <c r="K1712" s="41">
        <v>0.294871795</v>
      </c>
      <c r="L1712" s="41">
        <f t="shared" si="2"/>
        <v>0.205128205</v>
      </c>
      <c r="M1712" s="74">
        <v>-2.283425231</v>
      </c>
    </row>
    <row r="1713">
      <c r="A1713" s="1" t="s">
        <v>105</v>
      </c>
      <c r="B1713" s="38">
        <v>624133.0</v>
      </c>
      <c r="C1713" s="72">
        <v>45799.0</v>
      </c>
      <c r="D1713" s="38">
        <v>98.0</v>
      </c>
      <c r="E1713" s="73">
        <f>IFERROR(__xludf.DUMMYFUNCTION("average(filter('Appearance Sheet'!F:F,'Appearance Sheet'!G:G=B1713,'Appearance Sheet'!A:A=C1713))"),6.666666666666667)</f>
        <v>6.666666667</v>
      </c>
      <c r="F1713" s="67">
        <v>5.16649739</v>
      </c>
      <c r="G1713" s="40">
        <v>1.95387441</v>
      </c>
      <c r="H1713" s="40">
        <f t="shared" si="1"/>
        <v>2.637730454</v>
      </c>
      <c r="I1713" s="41">
        <v>0.479591837</v>
      </c>
      <c r="J1713" s="41">
        <v>0.214285714</v>
      </c>
      <c r="K1713" s="41">
        <v>0.306122449</v>
      </c>
      <c r="L1713" s="41">
        <f t="shared" si="2"/>
        <v>0.173469388</v>
      </c>
      <c r="M1713" s="74">
        <v>-0.116123742</v>
      </c>
    </row>
    <row r="1714">
      <c r="A1714" s="1" t="s">
        <v>234</v>
      </c>
      <c r="B1714" s="38">
        <v>690997.0</v>
      </c>
      <c r="C1714" s="72">
        <v>45914.0</v>
      </c>
      <c r="D1714" s="38">
        <v>88.0</v>
      </c>
      <c r="E1714" s="73" t="str">
        <f>IFERROR(__xludf.DUMMYFUNCTION("average(filter('Appearance Sheet'!F:F,'Appearance Sheet'!G:G=B1714,'Appearance Sheet'!A:A=C1714))"),"#N/A")</f>
        <v>#N/A</v>
      </c>
      <c r="F1714" s="67">
        <v>5.166481268</v>
      </c>
      <c r="G1714" s="40">
        <v>1.725667855</v>
      </c>
      <c r="H1714" s="40" t="str">
        <f t="shared" si="1"/>
        <v>#N/A</v>
      </c>
      <c r="I1714" s="41">
        <v>0.522727273</v>
      </c>
      <c r="J1714" s="41">
        <v>0.147727273</v>
      </c>
      <c r="K1714" s="41">
        <v>0.329545455</v>
      </c>
      <c r="L1714" s="41">
        <f t="shared" si="2"/>
        <v>0.193181818</v>
      </c>
      <c r="M1714" s="74">
        <v>-0.064200989</v>
      </c>
    </row>
    <row r="1715">
      <c r="A1715" s="1" t="s">
        <v>84</v>
      </c>
      <c r="B1715" s="38">
        <v>669373.0</v>
      </c>
      <c r="C1715" s="72">
        <v>45844.0</v>
      </c>
      <c r="D1715" s="38">
        <v>93.0</v>
      </c>
      <c r="E1715" s="73" t="str">
        <f>IFERROR(__xludf.DUMMYFUNCTION("average(filter('Appearance Sheet'!F:F,'Appearance Sheet'!G:G=B1715,'Appearance Sheet'!A:A=C1715))"),"#N/A")</f>
        <v>#N/A</v>
      </c>
      <c r="F1715" s="67">
        <v>5.166456073</v>
      </c>
      <c r="G1715" s="40">
        <v>1.84699323</v>
      </c>
      <c r="H1715" s="40" t="str">
        <f t="shared" si="1"/>
        <v>#N/A</v>
      </c>
      <c r="I1715" s="41">
        <v>0.505376344</v>
      </c>
      <c r="J1715" s="41">
        <v>0.11827957</v>
      </c>
      <c r="K1715" s="41">
        <v>0.376344086</v>
      </c>
      <c r="L1715" s="41">
        <f t="shared" si="2"/>
        <v>0.129032258</v>
      </c>
      <c r="M1715" s="74">
        <v>2.902669049</v>
      </c>
    </row>
    <row r="1716">
      <c r="A1716" s="1" t="s">
        <v>147</v>
      </c>
      <c r="B1716" s="38">
        <v>608379.0</v>
      </c>
      <c r="C1716" s="72">
        <v>45892.0</v>
      </c>
      <c r="D1716" s="38">
        <v>107.0</v>
      </c>
      <c r="E1716" s="73" t="str">
        <f>IFERROR(__xludf.DUMMYFUNCTION("average(filter('Appearance Sheet'!F:F,'Appearance Sheet'!G:G=B1716,'Appearance Sheet'!A:A=C1716))"),"#N/A")</f>
        <v>#N/A</v>
      </c>
      <c r="F1716" s="67">
        <v>5.166153202</v>
      </c>
      <c r="G1716" s="40">
        <v>2.096722662</v>
      </c>
      <c r="H1716" s="40" t="str">
        <f t="shared" si="1"/>
        <v>#N/A</v>
      </c>
      <c r="I1716" s="41">
        <v>0.46728972</v>
      </c>
      <c r="J1716" s="41">
        <v>0.112149533</v>
      </c>
      <c r="K1716" s="41">
        <v>0.420560748</v>
      </c>
      <c r="L1716" s="41">
        <f t="shared" si="2"/>
        <v>0.046728972</v>
      </c>
      <c r="M1716" s="74">
        <v>-1.35651961</v>
      </c>
    </row>
    <row r="1717">
      <c r="A1717" s="1" t="s">
        <v>109</v>
      </c>
      <c r="B1717" s="38">
        <v>601713.0</v>
      </c>
      <c r="C1717" s="72">
        <v>45782.0</v>
      </c>
      <c r="D1717" s="38">
        <v>89.0</v>
      </c>
      <c r="E1717" s="73">
        <f>IFERROR(__xludf.DUMMYFUNCTION("average(filter('Appearance Sheet'!F:F,'Appearance Sheet'!G:G=B1717,'Appearance Sheet'!A:A=C1717))"),5.0)</f>
        <v>5</v>
      </c>
      <c r="F1717" s="67">
        <v>5.166072653</v>
      </c>
      <c r="G1717" s="40">
        <v>1.763139463</v>
      </c>
      <c r="H1717" s="40">
        <f t="shared" si="1"/>
        <v>3.173651033</v>
      </c>
      <c r="I1717" s="41">
        <v>0.539325843</v>
      </c>
      <c r="J1717" s="41">
        <v>0.157303371</v>
      </c>
      <c r="K1717" s="41">
        <v>0.303370787</v>
      </c>
      <c r="L1717" s="41">
        <f t="shared" si="2"/>
        <v>0.235955056</v>
      </c>
      <c r="M1717" s="74">
        <v>0.08603958</v>
      </c>
    </row>
    <row r="1718">
      <c r="A1718" s="1" t="s">
        <v>464</v>
      </c>
      <c r="B1718" s="38">
        <v>615698.0</v>
      </c>
      <c r="C1718" s="72">
        <v>45795.0</v>
      </c>
      <c r="D1718" s="38">
        <v>81.0</v>
      </c>
      <c r="E1718" s="73">
        <f>IFERROR(__xludf.DUMMYFUNCTION("average(filter('Appearance Sheet'!F:F,'Appearance Sheet'!G:G=B1718,'Appearance Sheet'!A:A=C1718))"),5.0)</f>
        <v>5</v>
      </c>
      <c r="F1718" s="67">
        <v>5.166069336</v>
      </c>
      <c r="G1718" s="40">
        <v>1.596196511</v>
      </c>
      <c r="H1718" s="40">
        <f t="shared" si="1"/>
        <v>2.87315372</v>
      </c>
      <c r="I1718" s="41">
        <v>0.518518519</v>
      </c>
      <c r="J1718" s="41">
        <v>0.135802469</v>
      </c>
      <c r="K1718" s="41">
        <v>0.345679012</v>
      </c>
      <c r="L1718" s="41">
        <f t="shared" si="2"/>
        <v>0.172839507</v>
      </c>
      <c r="M1718" s="74">
        <v>3.307041905</v>
      </c>
    </row>
    <row r="1719">
      <c r="A1719" s="1" t="s">
        <v>282</v>
      </c>
      <c r="B1719" s="38">
        <v>656302.0</v>
      </c>
      <c r="C1719" s="72">
        <v>45767.0</v>
      </c>
      <c r="D1719" s="38">
        <v>85.0</v>
      </c>
      <c r="E1719" s="73">
        <f>IFERROR(__xludf.DUMMYFUNCTION("average(filter('Appearance Sheet'!F:F,'Appearance Sheet'!G:G=B1719,'Appearance Sheet'!A:A=C1719))"),5.0)</f>
        <v>5</v>
      </c>
      <c r="F1719" s="67">
        <v>5.166028321</v>
      </c>
      <c r="G1719" s="40">
        <v>1.665965568</v>
      </c>
      <c r="H1719" s="40">
        <f t="shared" si="1"/>
        <v>2.998738022</v>
      </c>
      <c r="I1719" s="41">
        <v>0.505882353</v>
      </c>
      <c r="J1719" s="41">
        <v>0.164705882</v>
      </c>
      <c r="K1719" s="41">
        <v>0.329411765</v>
      </c>
      <c r="L1719" s="41">
        <f t="shared" si="2"/>
        <v>0.176470588</v>
      </c>
      <c r="M1719" s="74">
        <v>-2.175665142</v>
      </c>
    </row>
    <row r="1720">
      <c r="A1720" s="1" t="s">
        <v>432</v>
      </c>
      <c r="B1720" s="38">
        <v>669467.0</v>
      </c>
      <c r="C1720" s="72">
        <v>45861.0</v>
      </c>
      <c r="D1720" s="38">
        <v>90.0</v>
      </c>
      <c r="E1720" s="73" t="str">
        <f>IFERROR(__xludf.DUMMYFUNCTION("average(filter('Appearance Sheet'!F:F,'Appearance Sheet'!G:G=B1720,'Appearance Sheet'!A:A=C1720))"),"#N/A")</f>
        <v>#N/A</v>
      </c>
      <c r="F1720" s="67">
        <v>5.165893101</v>
      </c>
      <c r="G1720" s="40">
        <v>1.761270229</v>
      </c>
      <c r="H1720" s="40" t="str">
        <f t="shared" si="1"/>
        <v>#N/A</v>
      </c>
      <c r="I1720" s="41">
        <v>0.477777778</v>
      </c>
      <c r="J1720" s="41">
        <v>0.122222222</v>
      </c>
      <c r="K1720" s="41">
        <v>0.4</v>
      </c>
      <c r="L1720" s="41">
        <f t="shared" si="2"/>
        <v>0.077777778</v>
      </c>
      <c r="M1720" s="74">
        <v>-3.294397261</v>
      </c>
    </row>
    <row r="1721">
      <c r="A1721" s="1" t="s">
        <v>356</v>
      </c>
      <c r="B1721" s="38">
        <v>680732.0</v>
      </c>
      <c r="C1721" s="72">
        <v>45772.0</v>
      </c>
      <c r="D1721" s="38">
        <v>84.0</v>
      </c>
      <c r="E1721" s="73">
        <f>IFERROR(__xludf.DUMMYFUNCTION("average(filter('Appearance Sheet'!F:F,'Appearance Sheet'!G:G=B1721,'Appearance Sheet'!A:A=C1721))"),5.333333333333333)</f>
        <v>5.333333333</v>
      </c>
      <c r="F1721" s="67">
        <v>5.165820026</v>
      </c>
      <c r="G1721" s="40">
        <v>1.68548313</v>
      </c>
      <c r="H1721" s="40">
        <f t="shared" si="1"/>
        <v>2.844252782</v>
      </c>
      <c r="I1721" s="41">
        <v>0.523809524</v>
      </c>
      <c r="J1721" s="41">
        <v>0.107142857</v>
      </c>
      <c r="K1721" s="41">
        <v>0.369047619</v>
      </c>
      <c r="L1721" s="41">
        <f t="shared" si="2"/>
        <v>0.154761905</v>
      </c>
      <c r="M1721" s="74">
        <v>0.125628604</v>
      </c>
    </row>
    <row r="1722">
      <c r="A1722" s="1" t="s">
        <v>434</v>
      </c>
      <c r="B1722" s="38">
        <v>690990.0</v>
      </c>
      <c r="C1722" s="72">
        <v>45916.0</v>
      </c>
      <c r="D1722" s="38">
        <v>75.0</v>
      </c>
      <c r="E1722" s="73" t="str">
        <f>IFERROR(__xludf.DUMMYFUNCTION("average(filter('Appearance Sheet'!F:F,'Appearance Sheet'!G:G=B1722,'Appearance Sheet'!A:A=C1722))"),"#N/A")</f>
        <v>#N/A</v>
      </c>
      <c r="F1722" s="67">
        <v>5.165686685</v>
      </c>
      <c r="G1722" s="40">
        <v>1.470277941</v>
      </c>
      <c r="H1722" s="40" t="str">
        <f t="shared" si="1"/>
        <v>#N/A</v>
      </c>
      <c r="I1722" s="41">
        <v>0.466666667</v>
      </c>
      <c r="J1722" s="41">
        <v>0.186666667</v>
      </c>
      <c r="K1722" s="41">
        <v>0.346666667</v>
      </c>
      <c r="L1722" s="41">
        <f t="shared" si="2"/>
        <v>0.12</v>
      </c>
      <c r="M1722" s="74">
        <v>1.690433457</v>
      </c>
    </row>
    <row r="1723">
      <c r="A1723" s="1" t="s">
        <v>207</v>
      </c>
      <c r="B1723" s="38">
        <v>650633.0</v>
      </c>
      <c r="C1723" s="72">
        <v>45766.0</v>
      </c>
      <c r="D1723" s="38">
        <v>84.0</v>
      </c>
      <c r="E1723" s="73">
        <f>IFERROR(__xludf.DUMMYFUNCTION("average(filter('Appearance Sheet'!F:F,'Appearance Sheet'!G:G=B1723,'Appearance Sheet'!A:A=C1723))"),5.666666666666667)</f>
        <v>5.666666667</v>
      </c>
      <c r="F1723" s="67">
        <v>5.165522171</v>
      </c>
      <c r="G1723" s="40">
        <v>1.626821351</v>
      </c>
      <c r="H1723" s="40">
        <f t="shared" si="1"/>
        <v>2.583775087</v>
      </c>
      <c r="I1723" s="41">
        <v>0.476190476</v>
      </c>
      <c r="J1723" s="41">
        <v>0.226190476</v>
      </c>
      <c r="K1723" s="41">
        <v>0.297619048</v>
      </c>
      <c r="L1723" s="41">
        <f t="shared" si="2"/>
        <v>0.178571428</v>
      </c>
      <c r="M1723" s="74">
        <v>1.556457901</v>
      </c>
    </row>
    <row r="1724">
      <c r="A1724" s="1" t="s">
        <v>581</v>
      </c>
      <c r="B1724" s="38">
        <v>804636.0</v>
      </c>
      <c r="C1724" s="72">
        <v>45898.0</v>
      </c>
      <c r="D1724" s="38">
        <v>94.0</v>
      </c>
      <c r="E1724" s="73" t="str">
        <f>IFERROR(__xludf.DUMMYFUNCTION("average(filter('Appearance Sheet'!F:F,'Appearance Sheet'!G:G=B1724,'Appearance Sheet'!A:A=C1724))"),"#N/A")</f>
        <v>#N/A</v>
      </c>
      <c r="F1724" s="67">
        <v>5.165479561</v>
      </c>
      <c r="G1724" s="40">
        <v>1.828795501</v>
      </c>
      <c r="H1724" s="40" t="str">
        <f t="shared" si="1"/>
        <v>#N/A</v>
      </c>
      <c r="I1724" s="41">
        <v>0.510638298</v>
      </c>
      <c r="J1724" s="41">
        <v>0.138297872</v>
      </c>
      <c r="K1724" s="41">
        <v>0.35106383</v>
      </c>
      <c r="L1724" s="41">
        <f t="shared" si="2"/>
        <v>0.159574468</v>
      </c>
      <c r="M1724" s="74">
        <v>-1.964806473</v>
      </c>
    </row>
    <row r="1725">
      <c r="A1725" s="1" t="s">
        <v>303</v>
      </c>
      <c r="B1725" s="38">
        <v>592662.0</v>
      </c>
      <c r="C1725" s="72">
        <v>45864.0</v>
      </c>
      <c r="D1725" s="38">
        <v>98.0</v>
      </c>
      <c r="E1725" s="73" t="str">
        <f>IFERROR(__xludf.DUMMYFUNCTION("average(filter('Appearance Sheet'!F:F,'Appearance Sheet'!G:G=B1725,'Appearance Sheet'!A:A=C1725))"),"#N/A")</f>
        <v>#N/A</v>
      </c>
      <c r="F1725" s="67">
        <v>5.165418817</v>
      </c>
      <c r="G1725" s="40">
        <v>1.932432123</v>
      </c>
      <c r="H1725" s="40" t="str">
        <f t="shared" si="1"/>
        <v>#N/A</v>
      </c>
      <c r="I1725" s="41">
        <v>0.459183673</v>
      </c>
      <c r="J1725" s="41">
        <v>0.224489796</v>
      </c>
      <c r="K1725" s="41">
        <v>0.316326531</v>
      </c>
      <c r="L1725" s="41">
        <f t="shared" si="2"/>
        <v>0.142857142</v>
      </c>
      <c r="M1725" s="74">
        <v>-0.104027617</v>
      </c>
    </row>
    <row r="1726">
      <c r="A1726" s="1" t="s">
        <v>195</v>
      </c>
      <c r="B1726" s="38">
        <v>668678.0</v>
      </c>
      <c r="C1726" s="72">
        <v>45811.0</v>
      </c>
      <c r="D1726" s="38">
        <v>83.0</v>
      </c>
      <c r="E1726" s="73">
        <f>IFERROR(__xludf.DUMMYFUNCTION("average(filter('Appearance Sheet'!F:F,'Appearance Sheet'!G:G=B1726,'Appearance Sheet'!A:A=C1726))"),7.0)</f>
        <v>7</v>
      </c>
      <c r="F1726" s="67">
        <v>5.165397086</v>
      </c>
      <c r="G1726" s="40">
        <v>1.681361139</v>
      </c>
      <c r="H1726" s="40">
        <f t="shared" si="1"/>
        <v>2.161750036</v>
      </c>
      <c r="I1726" s="41">
        <v>0.506024096</v>
      </c>
      <c r="J1726" s="41">
        <v>0.180722892</v>
      </c>
      <c r="K1726" s="41">
        <v>0.313253012</v>
      </c>
      <c r="L1726" s="41">
        <f t="shared" si="2"/>
        <v>0.192771084</v>
      </c>
      <c r="M1726" s="74">
        <v>0.754757906</v>
      </c>
    </row>
    <row r="1727">
      <c r="A1727" s="1" t="s">
        <v>202</v>
      </c>
      <c r="B1727" s="38">
        <v>677960.0</v>
      </c>
      <c r="C1727" s="72">
        <v>45809.0</v>
      </c>
      <c r="D1727" s="38">
        <v>94.0</v>
      </c>
      <c r="E1727" s="73">
        <f>IFERROR(__xludf.DUMMYFUNCTION("average(filter('Appearance Sheet'!F:F,'Appearance Sheet'!G:G=B1727,'Appearance Sheet'!A:A=C1727))"),6.0)</f>
        <v>6</v>
      </c>
      <c r="F1727" s="67">
        <v>5.16538843</v>
      </c>
      <c r="G1727" s="40">
        <v>1.877368738</v>
      </c>
      <c r="H1727" s="40">
        <f t="shared" si="1"/>
        <v>2.816053107</v>
      </c>
      <c r="I1727" s="41">
        <v>0.531914894</v>
      </c>
      <c r="J1727" s="41">
        <v>0.180851064</v>
      </c>
      <c r="K1727" s="41">
        <v>0.287234043</v>
      </c>
      <c r="L1727" s="41">
        <f t="shared" si="2"/>
        <v>0.244680851</v>
      </c>
      <c r="M1727" s="74">
        <v>0.260497248</v>
      </c>
    </row>
    <row r="1728">
      <c r="A1728" s="1" t="s">
        <v>287</v>
      </c>
      <c r="B1728" s="38">
        <v>571945.0</v>
      </c>
      <c r="C1728" s="72">
        <v>45777.0</v>
      </c>
      <c r="D1728" s="38">
        <v>77.0</v>
      </c>
      <c r="E1728" s="73">
        <f>IFERROR(__xludf.DUMMYFUNCTION("average(filter('Appearance Sheet'!F:F,'Appearance Sheet'!G:G=B1728,'Appearance Sheet'!A:A=C1728))"),5.333333333333333)</f>
        <v>5.333333333</v>
      </c>
      <c r="F1728" s="67">
        <v>5.165380279</v>
      </c>
      <c r="G1728" s="40">
        <v>1.545823719</v>
      </c>
      <c r="H1728" s="40">
        <f t="shared" si="1"/>
        <v>2.608577526</v>
      </c>
      <c r="I1728" s="41">
        <v>0.467532468</v>
      </c>
      <c r="J1728" s="41">
        <v>0.168831169</v>
      </c>
      <c r="K1728" s="41">
        <v>0.363636364</v>
      </c>
      <c r="L1728" s="41">
        <f t="shared" si="2"/>
        <v>0.103896104</v>
      </c>
      <c r="M1728" s="74">
        <v>2.710414812</v>
      </c>
    </row>
    <row r="1729">
      <c r="A1729" s="1" t="s">
        <v>472</v>
      </c>
      <c r="B1729" s="38">
        <v>675911.0</v>
      </c>
      <c r="C1729" s="72">
        <v>45827.0</v>
      </c>
      <c r="D1729" s="38">
        <v>97.0</v>
      </c>
      <c r="E1729" s="73">
        <f>IFERROR(__xludf.DUMMYFUNCTION("average(filter('Appearance Sheet'!F:F,'Appearance Sheet'!G:G=B1729,'Appearance Sheet'!A:A=C1729))"),6.0)</f>
        <v>6</v>
      </c>
      <c r="F1729" s="67">
        <v>5.165074075</v>
      </c>
      <c r="G1729" s="40">
        <v>1.942598816</v>
      </c>
      <c r="H1729" s="40">
        <f t="shared" si="1"/>
        <v>2.913898224</v>
      </c>
      <c r="I1729" s="41">
        <v>0.453608247</v>
      </c>
      <c r="J1729" s="41">
        <v>0.216494845</v>
      </c>
      <c r="K1729" s="41">
        <v>0.329896907</v>
      </c>
      <c r="L1729" s="41">
        <f t="shared" si="2"/>
        <v>0.12371134</v>
      </c>
      <c r="M1729" s="74">
        <v>0.837704668</v>
      </c>
    </row>
    <row r="1730">
      <c r="A1730" s="1" t="s">
        <v>410</v>
      </c>
      <c r="B1730" s="38">
        <v>678394.0</v>
      </c>
      <c r="C1730" s="72">
        <v>45879.0</v>
      </c>
      <c r="D1730" s="38">
        <v>93.0</v>
      </c>
      <c r="E1730" s="73" t="str">
        <f>IFERROR(__xludf.DUMMYFUNCTION("average(filter('Appearance Sheet'!F:F,'Appearance Sheet'!G:G=B1730,'Appearance Sheet'!A:A=C1730))"),"#N/A")</f>
        <v>#N/A</v>
      </c>
      <c r="F1730" s="67">
        <v>5.165050195</v>
      </c>
      <c r="G1730" s="40">
        <v>1.849864823</v>
      </c>
      <c r="H1730" s="40" t="str">
        <f t="shared" si="1"/>
        <v>#N/A</v>
      </c>
      <c r="I1730" s="41">
        <v>0.483870968</v>
      </c>
      <c r="J1730" s="41">
        <v>0.247311828</v>
      </c>
      <c r="K1730" s="41">
        <v>0.268817204</v>
      </c>
      <c r="L1730" s="41">
        <f t="shared" si="2"/>
        <v>0.215053764</v>
      </c>
      <c r="M1730" s="74">
        <v>2.359917004</v>
      </c>
    </row>
    <row r="1731">
      <c r="A1731" s="1" t="s">
        <v>180</v>
      </c>
      <c r="B1731" s="38">
        <v>642547.0</v>
      </c>
      <c r="C1731" s="72">
        <v>45805.0</v>
      </c>
      <c r="D1731" s="38">
        <v>106.0</v>
      </c>
      <c r="E1731" s="73">
        <f>IFERROR(__xludf.DUMMYFUNCTION("average(filter('Appearance Sheet'!F:F,'Appearance Sheet'!G:G=B1731,'Appearance Sheet'!A:A=C1731))"),5.0)</f>
        <v>5</v>
      </c>
      <c r="F1731" s="67">
        <v>5.165041878</v>
      </c>
      <c r="G1731" s="40">
        <v>2.051242184</v>
      </c>
      <c r="H1731" s="40">
        <f t="shared" si="1"/>
        <v>3.692235931</v>
      </c>
      <c r="I1731" s="41">
        <v>0.509433962</v>
      </c>
      <c r="J1731" s="41">
        <v>0.160377358</v>
      </c>
      <c r="K1731" s="41">
        <v>0.330188679</v>
      </c>
      <c r="L1731" s="41">
        <f t="shared" si="2"/>
        <v>0.179245283</v>
      </c>
      <c r="M1731" s="74">
        <v>-1.610259992</v>
      </c>
    </row>
    <row r="1732">
      <c r="A1732" s="1" t="s">
        <v>582</v>
      </c>
      <c r="B1732" s="38">
        <v>680694.0</v>
      </c>
      <c r="C1732" s="72">
        <v>45901.0</v>
      </c>
      <c r="D1732" s="38">
        <v>80.0</v>
      </c>
      <c r="E1732" s="73" t="str">
        <f>IFERROR(__xludf.DUMMYFUNCTION("average(filter('Appearance Sheet'!F:F,'Appearance Sheet'!G:G=B1732,'Appearance Sheet'!A:A=C1732))"),"#N/A")</f>
        <v>#N/A</v>
      </c>
      <c r="F1732" s="67">
        <v>5.165031206</v>
      </c>
      <c r="G1732" s="40">
        <v>1.554696133</v>
      </c>
      <c r="H1732" s="40" t="str">
        <f t="shared" si="1"/>
        <v>#N/A</v>
      </c>
      <c r="I1732" s="41">
        <v>0.55</v>
      </c>
      <c r="J1732" s="41">
        <v>0.1125</v>
      </c>
      <c r="K1732" s="41">
        <v>0.3375</v>
      </c>
      <c r="L1732" s="41">
        <f t="shared" si="2"/>
        <v>0.2125</v>
      </c>
      <c r="M1732" s="74">
        <v>0.679628433</v>
      </c>
    </row>
    <row r="1733">
      <c r="A1733" s="1" t="s">
        <v>294</v>
      </c>
      <c r="B1733" s="38">
        <v>665152.0</v>
      </c>
      <c r="C1733" s="72">
        <v>45769.0</v>
      </c>
      <c r="D1733" s="38">
        <v>99.0</v>
      </c>
      <c r="E1733" s="73">
        <f>IFERROR(__xludf.DUMMYFUNCTION("average(filter('Appearance Sheet'!F:F,'Appearance Sheet'!G:G=B1733,'Appearance Sheet'!A:A=C1733))"),5.333333333333333)</f>
        <v>5.333333333</v>
      </c>
      <c r="F1733" s="67">
        <v>5.164853964</v>
      </c>
      <c r="G1733" s="40">
        <v>1.964990163</v>
      </c>
      <c r="H1733" s="40">
        <f t="shared" si="1"/>
        <v>3.3159209</v>
      </c>
      <c r="I1733" s="41">
        <v>0.454545455</v>
      </c>
      <c r="J1733" s="41">
        <v>0.232323232</v>
      </c>
      <c r="K1733" s="41">
        <v>0.313131313</v>
      </c>
      <c r="L1733" s="41">
        <f t="shared" si="2"/>
        <v>0.141414142</v>
      </c>
      <c r="M1733" s="74">
        <v>-4.336829423</v>
      </c>
    </row>
    <row r="1734">
      <c r="A1734" s="1" t="s">
        <v>35</v>
      </c>
      <c r="B1734" s="38">
        <v>676083.0</v>
      </c>
      <c r="C1734" s="72">
        <v>45845.0</v>
      </c>
      <c r="D1734" s="38">
        <v>77.0</v>
      </c>
      <c r="E1734" s="73" t="str">
        <f>IFERROR(__xludf.DUMMYFUNCTION("average(filter('Appearance Sheet'!F:F,'Appearance Sheet'!G:G=B1734,'Appearance Sheet'!A:A=C1734))"),"#N/A")</f>
        <v>#N/A</v>
      </c>
      <c r="F1734" s="67">
        <v>5.164716192</v>
      </c>
      <c r="G1734" s="40">
        <v>1.522896252</v>
      </c>
      <c r="H1734" s="40" t="str">
        <f t="shared" si="1"/>
        <v>#N/A</v>
      </c>
      <c r="I1734" s="41">
        <v>0.480519481</v>
      </c>
      <c r="J1734" s="41">
        <v>0.116883117</v>
      </c>
      <c r="K1734" s="41">
        <v>0.402597403</v>
      </c>
      <c r="L1734" s="41">
        <f t="shared" si="2"/>
        <v>0.077922078</v>
      </c>
      <c r="M1734" s="74">
        <v>3.026467834</v>
      </c>
    </row>
    <row r="1735">
      <c r="A1735" s="1" t="s">
        <v>251</v>
      </c>
      <c r="B1735" s="38">
        <v>676664.0</v>
      </c>
      <c r="C1735" s="72">
        <v>45793.0</v>
      </c>
      <c r="D1735" s="38">
        <v>92.0</v>
      </c>
      <c r="E1735" s="73">
        <f>IFERROR(__xludf.DUMMYFUNCTION("average(filter('Appearance Sheet'!F:F,'Appearance Sheet'!G:G=B1735,'Appearance Sheet'!A:A=C1735))"),4.0)</f>
        <v>4</v>
      </c>
      <c r="F1735" s="67">
        <v>5.164256199</v>
      </c>
      <c r="G1735" s="40">
        <v>1.784156414</v>
      </c>
      <c r="H1735" s="40">
        <f t="shared" si="1"/>
        <v>4.014351932</v>
      </c>
      <c r="I1735" s="41">
        <v>0.554347826</v>
      </c>
      <c r="J1735" s="41">
        <v>0.130434783</v>
      </c>
      <c r="K1735" s="41">
        <v>0.315217391</v>
      </c>
      <c r="L1735" s="41">
        <f t="shared" si="2"/>
        <v>0.239130435</v>
      </c>
      <c r="M1735" s="74">
        <v>-1.101077061</v>
      </c>
    </row>
    <row r="1736">
      <c r="A1736" s="1" t="s">
        <v>278</v>
      </c>
      <c r="B1736" s="38">
        <v>542881.0</v>
      </c>
      <c r="C1736" s="72">
        <v>45816.0</v>
      </c>
      <c r="D1736" s="38">
        <v>89.0</v>
      </c>
      <c r="E1736" s="73">
        <f>IFERROR(__xludf.DUMMYFUNCTION("average(filter('Appearance Sheet'!F:F,'Appearance Sheet'!G:G=B1736,'Appearance Sheet'!A:A=C1736))"),4.666666666666667)</f>
        <v>4.666666667</v>
      </c>
      <c r="F1736" s="67">
        <v>5.164158469</v>
      </c>
      <c r="G1736" s="40">
        <v>1.733947238</v>
      </c>
      <c r="H1736" s="40">
        <f t="shared" si="1"/>
        <v>3.344041102</v>
      </c>
      <c r="I1736" s="41">
        <v>0.494382022</v>
      </c>
      <c r="J1736" s="41">
        <v>0.213483146</v>
      </c>
      <c r="K1736" s="41">
        <v>0.292134831</v>
      </c>
      <c r="L1736" s="41">
        <f t="shared" si="2"/>
        <v>0.202247191</v>
      </c>
      <c r="M1736" s="74">
        <v>-2.445397798</v>
      </c>
    </row>
    <row r="1737">
      <c r="A1737" s="1" t="s">
        <v>153</v>
      </c>
      <c r="B1737" s="38">
        <v>669302.0</v>
      </c>
      <c r="C1737" s="72">
        <v>45927.0</v>
      </c>
      <c r="D1737" s="38">
        <v>71.0</v>
      </c>
      <c r="E1737" s="73" t="str">
        <f>IFERROR(__xludf.DUMMYFUNCTION("average(filter('Appearance Sheet'!F:F,'Appearance Sheet'!G:G=B1737,'Appearance Sheet'!A:A=C1737))"),"#N/A")</f>
        <v>#N/A</v>
      </c>
      <c r="F1737" s="67">
        <v>5.164154897</v>
      </c>
      <c r="G1737" s="40">
        <v>1.418650691</v>
      </c>
      <c r="H1737" s="40" t="str">
        <f t="shared" si="1"/>
        <v>#N/A</v>
      </c>
      <c r="I1737" s="41">
        <v>0.464788732</v>
      </c>
      <c r="J1737" s="41">
        <v>0.183098592</v>
      </c>
      <c r="K1737" s="41">
        <v>0.352112676</v>
      </c>
      <c r="L1737" s="41">
        <f t="shared" si="2"/>
        <v>0.112676056</v>
      </c>
      <c r="M1737" s="74">
        <v>1.091040701</v>
      </c>
    </row>
    <row r="1738">
      <c r="A1738" s="1" t="s">
        <v>84</v>
      </c>
      <c r="B1738" s="38">
        <v>669373.0</v>
      </c>
      <c r="C1738" s="72">
        <v>45900.0</v>
      </c>
      <c r="D1738" s="38">
        <v>91.0</v>
      </c>
      <c r="E1738" s="73" t="str">
        <f>IFERROR(__xludf.DUMMYFUNCTION("average(filter('Appearance Sheet'!F:F,'Appearance Sheet'!G:G=B1738,'Appearance Sheet'!A:A=C1738))"),"#N/A")</f>
        <v>#N/A</v>
      </c>
      <c r="F1738" s="67">
        <v>5.164053382</v>
      </c>
      <c r="G1738" s="40">
        <v>1.824723398</v>
      </c>
      <c r="H1738" s="40" t="str">
        <f t="shared" si="1"/>
        <v>#N/A</v>
      </c>
      <c r="I1738" s="41">
        <v>0.505494505</v>
      </c>
      <c r="J1738" s="41">
        <v>0.131868132</v>
      </c>
      <c r="K1738" s="41">
        <v>0.362637363</v>
      </c>
      <c r="L1738" s="41">
        <f t="shared" si="2"/>
        <v>0.142857142</v>
      </c>
      <c r="M1738" s="74">
        <v>2.465225354</v>
      </c>
    </row>
    <row r="1739">
      <c r="A1739" s="1" t="s">
        <v>44</v>
      </c>
      <c r="B1739" s="38">
        <v>650911.0</v>
      </c>
      <c r="C1739" s="72">
        <v>45759.0</v>
      </c>
      <c r="D1739" s="38">
        <v>94.0</v>
      </c>
      <c r="E1739" s="73">
        <f>IFERROR(__xludf.DUMMYFUNCTION("average(filter('Appearance Sheet'!F:F,'Appearance Sheet'!G:G=B1739,'Appearance Sheet'!A:A=C1739))"),6.333333333333333)</f>
        <v>6.333333333</v>
      </c>
      <c r="F1739" s="67">
        <v>5.163609554</v>
      </c>
      <c r="G1739" s="40">
        <v>1.853381391</v>
      </c>
      <c r="H1739" s="40">
        <f t="shared" si="1"/>
        <v>2.633752503</v>
      </c>
      <c r="I1739" s="41">
        <v>0.510638298</v>
      </c>
      <c r="J1739" s="41">
        <v>0.191489362</v>
      </c>
      <c r="K1739" s="41">
        <v>0.29787234</v>
      </c>
      <c r="L1739" s="41">
        <f t="shared" si="2"/>
        <v>0.212765958</v>
      </c>
      <c r="M1739" s="74">
        <v>-1.856858444</v>
      </c>
    </row>
    <row r="1740">
      <c r="A1740" s="1" t="s">
        <v>263</v>
      </c>
      <c r="B1740" s="38">
        <v>694297.0</v>
      </c>
      <c r="C1740" s="72">
        <v>45836.0</v>
      </c>
      <c r="D1740" s="38">
        <v>84.0</v>
      </c>
      <c r="E1740" s="73">
        <f>IFERROR(__xludf.DUMMYFUNCTION("average(filter('Appearance Sheet'!F:F,'Appearance Sheet'!G:G=B1740,'Appearance Sheet'!A:A=C1740))"),5.0)</f>
        <v>5</v>
      </c>
      <c r="F1740" s="67">
        <v>5.163588677</v>
      </c>
      <c r="G1740" s="40">
        <v>1.672502557</v>
      </c>
      <c r="H1740" s="40">
        <f t="shared" si="1"/>
        <v>3.010504603</v>
      </c>
      <c r="I1740" s="41">
        <v>0.488095238</v>
      </c>
      <c r="J1740" s="41">
        <v>0.226190476</v>
      </c>
      <c r="K1740" s="41">
        <v>0.285714286</v>
      </c>
      <c r="L1740" s="41">
        <f t="shared" si="2"/>
        <v>0.202380952</v>
      </c>
      <c r="M1740" s="74">
        <v>0.565158715</v>
      </c>
    </row>
    <row r="1741">
      <c r="A1741" s="1" t="s">
        <v>566</v>
      </c>
      <c r="B1741" s="38">
        <v>687830.0</v>
      </c>
      <c r="C1741" s="72">
        <v>45829.0</v>
      </c>
      <c r="D1741" s="38">
        <v>65.0</v>
      </c>
      <c r="E1741" s="73">
        <f>IFERROR(__xludf.DUMMYFUNCTION("average(filter('Appearance Sheet'!F:F,'Appearance Sheet'!G:G=B1741,'Appearance Sheet'!A:A=C1741))"),6.333333333333333)</f>
        <v>6.333333333</v>
      </c>
      <c r="F1741" s="67">
        <v>5.163518653</v>
      </c>
      <c r="G1741" s="40">
        <v>1.323900961</v>
      </c>
      <c r="H1741" s="40">
        <f t="shared" si="1"/>
        <v>1.881332945</v>
      </c>
      <c r="I1741" s="41">
        <v>0.492307692</v>
      </c>
      <c r="J1741" s="41">
        <v>0.153846154</v>
      </c>
      <c r="K1741" s="41">
        <v>0.353846154</v>
      </c>
      <c r="L1741" s="41">
        <f t="shared" si="2"/>
        <v>0.138461538</v>
      </c>
      <c r="M1741" s="74">
        <v>-1.483451854</v>
      </c>
    </row>
    <row r="1742">
      <c r="A1742" s="1" t="s">
        <v>424</v>
      </c>
      <c r="B1742" s="38">
        <v>667755.0</v>
      </c>
      <c r="C1742" s="72">
        <v>45894.0</v>
      </c>
      <c r="D1742" s="38">
        <v>85.0</v>
      </c>
      <c r="E1742" s="73" t="str">
        <f>IFERROR(__xludf.DUMMYFUNCTION("average(filter('Appearance Sheet'!F:F,'Appearance Sheet'!G:G=B1742,'Appearance Sheet'!A:A=C1742))"),"#N/A")</f>
        <v>#N/A</v>
      </c>
      <c r="F1742" s="67">
        <v>5.163128589</v>
      </c>
      <c r="G1742" s="40">
        <v>1.674160557</v>
      </c>
      <c r="H1742" s="40" t="str">
        <f t="shared" si="1"/>
        <v>#N/A</v>
      </c>
      <c r="I1742" s="41">
        <v>0.494117647</v>
      </c>
      <c r="J1742" s="41">
        <v>0.152941176</v>
      </c>
      <c r="K1742" s="41">
        <v>0.352941176</v>
      </c>
      <c r="L1742" s="41">
        <f t="shared" si="2"/>
        <v>0.141176471</v>
      </c>
      <c r="M1742" s="74">
        <v>2.717629026</v>
      </c>
    </row>
    <row r="1743">
      <c r="A1743" s="1" t="s">
        <v>216</v>
      </c>
      <c r="B1743" s="38">
        <v>621107.0</v>
      </c>
      <c r="C1743" s="72">
        <v>45743.0</v>
      </c>
      <c r="D1743" s="38">
        <v>78.0</v>
      </c>
      <c r="E1743" s="73">
        <f>IFERROR(__xludf.DUMMYFUNCTION("average(filter('Appearance Sheet'!F:F,'Appearance Sheet'!G:G=B1743,'Appearance Sheet'!A:A=C1743))"),6.0)</f>
        <v>6</v>
      </c>
      <c r="F1743" s="67">
        <v>5.162927665</v>
      </c>
      <c r="G1743" s="40">
        <v>1.568131691</v>
      </c>
      <c r="H1743" s="40">
        <f t="shared" si="1"/>
        <v>2.352197537</v>
      </c>
      <c r="I1743" s="41">
        <v>0.525641026</v>
      </c>
      <c r="J1743" s="41">
        <v>0.166666667</v>
      </c>
      <c r="K1743" s="41">
        <v>0.307692308</v>
      </c>
      <c r="L1743" s="41">
        <f t="shared" si="2"/>
        <v>0.217948718</v>
      </c>
      <c r="M1743" s="74">
        <v>3.134215785</v>
      </c>
    </row>
    <row r="1744">
      <c r="A1744" s="1" t="s">
        <v>473</v>
      </c>
      <c r="B1744" s="38">
        <v>527048.0</v>
      </c>
      <c r="C1744" s="72">
        <v>45753.0</v>
      </c>
      <c r="D1744" s="38">
        <v>80.0</v>
      </c>
      <c r="E1744" s="73">
        <f>IFERROR(__xludf.DUMMYFUNCTION("average(filter('Appearance Sheet'!F:F,'Appearance Sheet'!G:G=B1744,'Appearance Sheet'!A:A=C1744))"),6.333333333333333)</f>
        <v>6.333333333</v>
      </c>
      <c r="F1744" s="67">
        <v>5.162920592</v>
      </c>
      <c r="G1744" s="40">
        <v>1.576013542</v>
      </c>
      <c r="H1744" s="40">
        <f t="shared" si="1"/>
        <v>2.239598191</v>
      </c>
      <c r="I1744" s="41">
        <v>0.4625</v>
      </c>
      <c r="J1744" s="41">
        <v>0.175</v>
      </c>
      <c r="K1744" s="41">
        <v>0.3625</v>
      </c>
      <c r="L1744" s="41">
        <f t="shared" si="2"/>
        <v>0.1</v>
      </c>
      <c r="M1744" s="74">
        <v>1.248232902</v>
      </c>
    </row>
    <row r="1745">
      <c r="A1745" s="1" t="s">
        <v>470</v>
      </c>
      <c r="B1745" s="38">
        <v>681343.0</v>
      </c>
      <c r="C1745" s="72">
        <v>45928.0</v>
      </c>
      <c r="D1745" s="38">
        <v>72.0</v>
      </c>
      <c r="E1745" s="73" t="str">
        <f>IFERROR(__xludf.DUMMYFUNCTION("average(filter('Appearance Sheet'!F:F,'Appearance Sheet'!G:G=B1745,'Appearance Sheet'!A:A=C1745))"),"#N/A")</f>
        <v>#N/A</v>
      </c>
      <c r="F1745" s="67">
        <v>5.162756656</v>
      </c>
      <c r="G1745" s="40">
        <v>1.425016253</v>
      </c>
      <c r="H1745" s="40" t="str">
        <f t="shared" si="1"/>
        <v>#N/A</v>
      </c>
      <c r="I1745" s="41">
        <v>0.555555556</v>
      </c>
      <c r="J1745" s="41">
        <v>0.125</v>
      </c>
      <c r="K1745" s="41">
        <v>0.319444444</v>
      </c>
      <c r="L1745" s="41">
        <f t="shared" si="2"/>
        <v>0.236111112</v>
      </c>
      <c r="M1745" s="74">
        <v>3.759906659</v>
      </c>
    </row>
    <row r="1746">
      <c r="A1746" s="1" t="s">
        <v>272</v>
      </c>
      <c r="B1746" s="38">
        <v>622491.0</v>
      </c>
      <c r="C1746" s="72">
        <v>45791.0</v>
      </c>
      <c r="D1746" s="38">
        <v>89.0</v>
      </c>
      <c r="E1746" s="73">
        <f>IFERROR(__xludf.DUMMYFUNCTION("average(filter('Appearance Sheet'!F:F,'Appearance Sheet'!G:G=B1746,'Appearance Sheet'!A:A=C1746))"),6.0)</f>
        <v>6</v>
      </c>
      <c r="F1746" s="67">
        <v>5.162562733</v>
      </c>
      <c r="G1746" s="40">
        <v>1.747739014</v>
      </c>
      <c r="H1746" s="40">
        <f t="shared" si="1"/>
        <v>2.621608521</v>
      </c>
      <c r="I1746" s="41">
        <v>0.505617978</v>
      </c>
      <c r="J1746" s="41">
        <v>0.191011236</v>
      </c>
      <c r="K1746" s="41">
        <v>0.303370787</v>
      </c>
      <c r="L1746" s="41">
        <f t="shared" si="2"/>
        <v>0.202247191</v>
      </c>
      <c r="M1746" s="74">
        <v>0.630745702</v>
      </c>
    </row>
    <row r="1747">
      <c r="A1747" s="1" t="s">
        <v>303</v>
      </c>
      <c r="B1747" s="38">
        <v>592662.0</v>
      </c>
      <c r="C1747" s="72">
        <v>45846.0</v>
      </c>
      <c r="D1747" s="38">
        <v>95.0</v>
      </c>
      <c r="E1747" s="73" t="str">
        <f>IFERROR(__xludf.DUMMYFUNCTION("average(filter('Appearance Sheet'!F:F,'Appearance Sheet'!G:G=B1747,'Appearance Sheet'!A:A=C1747))"),"#N/A")</f>
        <v>#N/A</v>
      </c>
      <c r="F1747" s="67">
        <v>5.162359808</v>
      </c>
      <c r="G1747" s="40">
        <v>1.872757271</v>
      </c>
      <c r="H1747" s="40" t="str">
        <f t="shared" si="1"/>
        <v>#N/A</v>
      </c>
      <c r="I1747" s="41">
        <v>0.463157895</v>
      </c>
      <c r="J1747" s="41">
        <v>0.157894737</v>
      </c>
      <c r="K1747" s="41">
        <v>0.378947368</v>
      </c>
      <c r="L1747" s="41">
        <f t="shared" si="2"/>
        <v>0.084210527</v>
      </c>
      <c r="M1747" s="74">
        <v>1.025505032</v>
      </c>
    </row>
    <row r="1748">
      <c r="A1748" s="1" t="s">
        <v>278</v>
      </c>
      <c r="B1748" s="38">
        <v>542881.0</v>
      </c>
      <c r="C1748" s="72">
        <v>45839.0</v>
      </c>
      <c r="D1748" s="38">
        <v>86.0</v>
      </c>
      <c r="E1748" s="73">
        <f>IFERROR(__xludf.DUMMYFUNCTION("average(filter('Appearance Sheet'!F:F,'Appearance Sheet'!G:G=B1748,'Appearance Sheet'!A:A=C1748))"),6.0)</f>
        <v>6</v>
      </c>
      <c r="F1748" s="67">
        <v>5.162218157</v>
      </c>
      <c r="G1748" s="40">
        <v>1.713209089</v>
      </c>
      <c r="H1748" s="40">
        <f t="shared" si="1"/>
        <v>2.569813634</v>
      </c>
      <c r="I1748" s="41">
        <v>0.569767442</v>
      </c>
      <c r="J1748" s="41">
        <v>0.104651163</v>
      </c>
      <c r="K1748" s="41">
        <v>0.325581395</v>
      </c>
      <c r="L1748" s="41">
        <f t="shared" si="2"/>
        <v>0.244186047</v>
      </c>
      <c r="M1748" s="74">
        <v>0.976256272</v>
      </c>
    </row>
    <row r="1749">
      <c r="A1749" s="1" t="s">
        <v>136</v>
      </c>
      <c r="B1749" s="38">
        <v>660271.0</v>
      </c>
      <c r="C1749" s="72">
        <v>45889.0</v>
      </c>
      <c r="D1749" s="38">
        <v>64.0</v>
      </c>
      <c r="E1749" s="73" t="str">
        <f>IFERROR(__xludf.DUMMYFUNCTION("average(filter('Appearance Sheet'!F:F,'Appearance Sheet'!G:G=B1749,'Appearance Sheet'!A:A=C1749))"),"#N/A")</f>
        <v>#N/A</v>
      </c>
      <c r="F1749" s="67">
        <v>5.162198461</v>
      </c>
      <c r="G1749" s="40">
        <v>1.297976491</v>
      </c>
      <c r="H1749" s="40" t="str">
        <f t="shared" si="1"/>
        <v>#N/A</v>
      </c>
      <c r="I1749" s="41">
        <v>0.453125</v>
      </c>
      <c r="J1749" s="41">
        <v>0.21875</v>
      </c>
      <c r="K1749" s="41">
        <v>0.328125</v>
      </c>
      <c r="L1749" s="41">
        <f t="shared" si="2"/>
        <v>0.125</v>
      </c>
      <c r="M1749" s="74">
        <v>-3.385470929</v>
      </c>
    </row>
    <row r="1750">
      <c r="A1750" s="1" t="s">
        <v>472</v>
      </c>
      <c r="B1750" s="38">
        <v>675911.0</v>
      </c>
      <c r="C1750" s="72">
        <v>45804.0</v>
      </c>
      <c r="D1750" s="38">
        <v>87.0</v>
      </c>
      <c r="E1750" s="73">
        <f>IFERROR(__xludf.DUMMYFUNCTION("average(filter('Appearance Sheet'!F:F,'Appearance Sheet'!G:G=B1750,'Appearance Sheet'!A:A=C1750))"),4.666666666666667)</f>
        <v>4.666666667</v>
      </c>
      <c r="F1750" s="67">
        <v>5.162051577</v>
      </c>
      <c r="G1750" s="40">
        <v>1.717520237</v>
      </c>
      <c r="H1750" s="40">
        <f t="shared" si="1"/>
        <v>3.312360457</v>
      </c>
      <c r="I1750" s="41">
        <v>0.505747126</v>
      </c>
      <c r="J1750" s="41">
        <v>0.16091954</v>
      </c>
      <c r="K1750" s="41">
        <v>0.333333333</v>
      </c>
      <c r="L1750" s="41">
        <f t="shared" si="2"/>
        <v>0.172413793</v>
      </c>
      <c r="M1750" s="74">
        <v>2.631736298</v>
      </c>
    </row>
    <row r="1751">
      <c r="A1751" s="1" t="s">
        <v>394</v>
      </c>
      <c r="B1751" s="38">
        <v>621121.0</v>
      </c>
      <c r="C1751" s="72">
        <v>45857.0</v>
      </c>
      <c r="D1751" s="38">
        <v>74.0</v>
      </c>
      <c r="E1751" s="73" t="str">
        <f>IFERROR(__xludf.DUMMYFUNCTION("average(filter('Appearance Sheet'!F:F,'Appearance Sheet'!G:G=B1751,'Appearance Sheet'!A:A=C1751))"),"#N/A")</f>
        <v>#N/A</v>
      </c>
      <c r="F1751" s="67">
        <v>5.161986936</v>
      </c>
      <c r="G1751" s="40">
        <v>1.445679259</v>
      </c>
      <c r="H1751" s="40" t="str">
        <f t="shared" si="1"/>
        <v>#N/A</v>
      </c>
      <c r="I1751" s="41">
        <v>0.486486486</v>
      </c>
      <c r="J1751" s="41">
        <v>0.135135135</v>
      </c>
      <c r="K1751" s="41">
        <v>0.378378378</v>
      </c>
      <c r="L1751" s="41">
        <f t="shared" si="2"/>
        <v>0.108108108</v>
      </c>
      <c r="M1751" s="74">
        <v>-1.829582504</v>
      </c>
    </row>
    <row r="1752">
      <c r="A1752" s="1" t="s">
        <v>245</v>
      </c>
      <c r="B1752" s="38">
        <v>571578.0</v>
      </c>
      <c r="C1752" s="72">
        <v>45907.0</v>
      </c>
      <c r="D1752" s="38">
        <v>81.0</v>
      </c>
      <c r="E1752" s="73" t="str">
        <f>IFERROR(__xludf.DUMMYFUNCTION("average(filter('Appearance Sheet'!F:F,'Appearance Sheet'!G:G=B1752,'Appearance Sheet'!A:A=C1752))"),"#N/A")</f>
        <v>#N/A</v>
      </c>
      <c r="F1752" s="67">
        <v>5.161795329</v>
      </c>
      <c r="G1752" s="40">
        <v>1.579394059</v>
      </c>
      <c r="H1752" s="40" t="str">
        <f t="shared" si="1"/>
        <v>#N/A</v>
      </c>
      <c r="I1752" s="41">
        <v>0.407407407</v>
      </c>
      <c r="J1752" s="41">
        <v>0.209876543</v>
      </c>
      <c r="K1752" s="41">
        <v>0.382716049</v>
      </c>
      <c r="L1752" s="41">
        <f t="shared" si="2"/>
        <v>0.024691358</v>
      </c>
      <c r="M1752" s="74">
        <v>1.324027279</v>
      </c>
    </row>
    <row r="1753">
      <c r="A1753" s="1" t="s">
        <v>376</v>
      </c>
      <c r="B1753" s="38">
        <v>668909.0</v>
      </c>
      <c r="C1753" s="72">
        <v>45768.0</v>
      </c>
      <c r="D1753" s="38">
        <v>100.0</v>
      </c>
      <c r="E1753" s="73">
        <f>IFERROR(__xludf.DUMMYFUNCTION("average(filter('Appearance Sheet'!F:F,'Appearance Sheet'!G:G=B1753,'Appearance Sheet'!A:A=C1753))"),6.333333333333333)</f>
        <v>6.333333333</v>
      </c>
      <c r="F1753" s="67">
        <v>5.161744017</v>
      </c>
      <c r="G1753" s="40">
        <v>1.998805682</v>
      </c>
      <c r="H1753" s="40">
        <f t="shared" si="1"/>
        <v>2.840408074</v>
      </c>
      <c r="I1753" s="41">
        <v>0.5</v>
      </c>
      <c r="J1753" s="41">
        <v>0.22</v>
      </c>
      <c r="K1753" s="41">
        <v>0.28</v>
      </c>
      <c r="L1753" s="41">
        <f t="shared" si="2"/>
        <v>0.22</v>
      </c>
      <c r="M1753" s="74">
        <v>-0.513321847</v>
      </c>
    </row>
    <row r="1754">
      <c r="A1754" s="1" t="s">
        <v>356</v>
      </c>
      <c r="B1754" s="38">
        <v>680732.0</v>
      </c>
      <c r="C1754" s="72">
        <v>45743.0</v>
      </c>
      <c r="D1754" s="38">
        <v>71.0</v>
      </c>
      <c r="E1754" s="73">
        <f>IFERROR(__xludf.DUMMYFUNCTION("average(filter('Appearance Sheet'!F:F,'Appearance Sheet'!G:G=B1754,'Appearance Sheet'!A:A=C1754))"),6.0)</f>
        <v>6</v>
      </c>
      <c r="F1754" s="67">
        <v>5.161619557</v>
      </c>
      <c r="G1754" s="40">
        <v>1.434118191</v>
      </c>
      <c r="H1754" s="40">
        <f t="shared" si="1"/>
        <v>2.151177287</v>
      </c>
      <c r="I1754" s="41">
        <v>0.521126761</v>
      </c>
      <c r="J1754" s="41">
        <v>0.169014085</v>
      </c>
      <c r="K1754" s="41">
        <v>0.309859155</v>
      </c>
      <c r="L1754" s="41">
        <f t="shared" si="2"/>
        <v>0.211267606</v>
      </c>
      <c r="M1754" s="74">
        <v>0.631033109</v>
      </c>
    </row>
    <row r="1755">
      <c r="A1755" s="1" t="s">
        <v>246</v>
      </c>
      <c r="B1755" s="38">
        <v>571510.0</v>
      </c>
      <c r="C1755" s="72">
        <v>45794.0</v>
      </c>
      <c r="D1755" s="38">
        <v>91.0</v>
      </c>
      <c r="E1755" s="73">
        <f>IFERROR(__xludf.DUMMYFUNCTION("average(filter('Appearance Sheet'!F:F,'Appearance Sheet'!G:G=B1755,'Appearance Sheet'!A:A=C1755))"),6.0)</f>
        <v>6</v>
      </c>
      <c r="F1755" s="67">
        <v>5.161585178</v>
      </c>
      <c r="G1755" s="40">
        <v>1.819796044</v>
      </c>
      <c r="H1755" s="40">
        <f t="shared" si="1"/>
        <v>2.729694066</v>
      </c>
      <c r="I1755" s="41">
        <v>0.43956044</v>
      </c>
      <c r="J1755" s="41">
        <v>0.21978022</v>
      </c>
      <c r="K1755" s="41">
        <v>0.340659341</v>
      </c>
      <c r="L1755" s="41">
        <f t="shared" si="2"/>
        <v>0.098901099</v>
      </c>
      <c r="M1755" s="74">
        <v>1.816256811</v>
      </c>
    </row>
    <row r="1756">
      <c r="A1756" s="1" t="s">
        <v>164</v>
      </c>
      <c r="B1756" s="38">
        <v>669923.0</v>
      </c>
      <c r="C1756" s="72">
        <v>45838.0</v>
      </c>
      <c r="D1756" s="38">
        <v>82.0</v>
      </c>
      <c r="E1756" s="73">
        <f>IFERROR(__xludf.DUMMYFUNCTION("average(filter('Appearance Sheet'!F:F,'Appearance Sheet'!G:G=B1756,'Appearance Sheet'!A:A=C1756))"),6.0)</f>
        <v>6</v>
      </c>
      <c r="F1756" s="67">
        <v>5.161406317</v>
      </c>
      <c r="G1756" s="40">
        <v>1.58074585</v>
      </c>
      <c r="H1756" s="40">
        <f t="shared" si="1"/>
        <v>2.371118775</v>
      </c>
      <c r="I1756" s="41">
        <v>0.43902439</v>
      </c>
      <c r="J1756" s="41">
        <v>0.182926829</v>
      </c>
      <c r="K1756" s="41">
        <v>0.37804878</v>
      </c>
      <c r="L1756" s="41">
        <f t="shared" si="2"/>
        <v>0.06097561</v>
      </c>
      <c r="M1756" s="74">
        <v>1.0448149</v>
      </c>
    </row>
    <row r="1757">
      <c r="A1757" s="1" t="s">
        <v>413</v>
      </c>
      <c r="B1757" s="38">
        <v>671737.0</v>
      </c>
      <c r="C1757" s="72">
        <v>45770.0</v>
      </c>
      <c r="D1757" s="38">
        <v>100.0</v>
      </c>
      <c r="E1757" s="73">
        <f>IFERROR(__xludf.DUMMYFUNCTION("average(filter('Appearance Sheet'!F:F,'Appearance Sheet'!G:G=B1757,'Appearance Sheet'!A:A=C1757))"),6.0)</f>
        <v>6</v>
      </c>
      <c r="F1757" s="67">
        <v>5.16139288</v>
      </c>
      <c r="G1757" s="40">
        <v>1.95844962</v>
      </c>
      <c r="H1757" s="40">
        <f t="shared" si="1"/>
        <v>2.93767443</v>
      </c>
      <c r="I1757" s="41">
        <v>0.47</v>
      </c>
      <c r="J1757" s="41">
        <v>0.21</v>
      </c>
      <c r="K1757" s="41">
        <v>0.32</v>
      </c>
      <c r="L1757" s="41">
        <f t="shared" si="2"/>
        <v>0.15</v>
      </c>
      <c r="M1757" s="74">
        <v>-0.809383795</v>
      </c>
    </row>
    <row r="1758">
      <c r="A1758" s="1" t="s">
        <v>191</v>
      </c>
      <c r="B1758" s="38">
        <v>687064.0</v>
      </c>
      <c r="C1758" s="72">
        <v>45773.0</v>
      </c>
      <c r="D1758" s="38">
        <v>93.0</v>
      </c>
      <c r="E1758" s="73">
        <f>IFERROR(__xludf.DUMMYFUNCTION("average(filter('Appearance Sheet'!F:F,'Appearance Sheet'!G:G=B1758,'Appearance Sheet'!A:A=C1758))"),4.666666666666667)</f>
        <v>4.666666667</v>
      </c>
      <c r="F1758" s="67">
        <v>5.161347284</v>
      </c>
      <c r="G1758" s="40">
        <v>1.847996223</v>
      </c>
      <c r="H1758" s="40">
        <f t="shared" si="1"/>
        <v>3.563992716</v>
      </c>
      <c r="I1758" s="41">
        <v>0.52688172</v>
      </c>
      <c r="J1758" s="41">
        <v>0.129032258</v>
      </c>
      <c r="K1758" s="41">
        <v>0.344086022</v>
      </c>
      <c r="L1758" s="41">
        <f t="shared" si="2"/>
        <v>0.182795698</v>
      </c>
      <c r="M1758" s="74">
        <v>1.45845427</v>
      </c>
    </row>
    <row r="1759">
      <c r="A1759" s="1" t="s">
        <v>308</v>
      </c>
      <c r="B1759" s="38">
        <v>676440.0</v>
      </c>
      <c r="C1759" s="72">
        <v>45859.0</v>
      </c>
      <c r="D1759" s="38">
        <v>84.0</v>
      </c>
      <c r="E1759" s="73" t="str">
        <f>IFERROR(__xludf.DUMMYFUNCTION("average(filter('Appearance Sheet'!F:F,'Appearance Sheet'!G:G=B1759,'Appearance Sheet'!A:A=C1759))"),"#N/A")</f>
        <v>#N/A</v>
      </c>
      <c r="F1759" s="67">
        <v>5.16116424</v>
      </c>
      <c r="G1759" s="40">
        <v>1.70527069</v>
      </c>
      <c r="H1759" s="40" t="str">
        <f t="shared" si="1"/>
        <v>#N/A</v>
      </c>
      <c r="I1759" s="41">
        <v>0.476190476</v>
      </c>
      <c r="J1759" s="41">
        <v>0.166666667</v>
      </c>
      <c r="K1759" s="41">
        <v>0.357142857</v>
      </c>
      <c r="L1759" s="41">
        <f t="shared" si="2"/>
        <v>0.119047619</v>
      </c>
      <c r="M1759" s="74">
        <v>-0.112605951</v>
      </c>
    </row>
    <row r="1760">
      <c r="A1760" s="1" t="s">
        <v>198</v>
      </c>
      <c r="B1760" s="38">
        <v>680736.0</v>
      </c>
      <c r="C1760" s="72">
        <v>45755.0</v>
      </c>
      <c r="D1760" s="38">
        <v>83.0</v>
      </c>
      <c r="E1760" s="73">
        <f>IFERROR(__xludf.DUMMYFUNCTION("average(filter('Appearance Sheet'!F:F,'Appearance Sheet'!G:G=B1760,'Appearance Sheet'!A:A=C1760))"),5.0)</f>
        <v>5</v>
      </c>
      <c r="F1760" s="67">
        <v>5.16107666</v>
      </c>
      <c r="G1760" s="40">
        <v>1.688104696</v>
      </c>
      <c r="H1760" s="40">
        <f t="shared" si="1"/>
        <v>3.038588453</v>
      </c>
      <c r="I1760" s="41">
        <v>0.518072289</v>
      </c>
      <c r="J1760" s="41">
        <v>0.180722892</v>
      </c>
      <c r="K1760" s="41">
        <v>0.301204819</v>
      </c>
      <c r="L1760" s="41">
        <f t="shared" si="2"/>
        <v>0.21686747</v>
      </c>
      <c r="M1760" s="74">
        <v>-3.366395415</v>
      </c>
    </row>
    <row r="1761">
      <c r="A1761" s="1" t="s">
        <v>269</v>
      </c>
      <c r="B1761" s="38">
        <v>605280.0</v>
      </c>
      <c r="C1761" s="72">
        <v>45755.0</v>
      </c>
      <c r="D1761" s="38">
        <v>86.0</v>
      </c>
      <c r="E1761" s="73">
        <f>IFERROR(__xludf.DUMMYFUNCTION("average(filter('Appearance Sheet'!F:F,'Appearance Sheet'!G:G=B1761,'Appearance Sheet'!A:A=C1761))"),5.333333333333333)</f>
        <v>5.333333333</v>
      </c>
      <c r="F1761" s="67">
        <v>5.161021381</v>
      </c>
      <c r="G1761" s="40">
        <v>1.70347563</v>
      </c>
      <c r="H1761" s="40">
        <f t="shared" si="1"/>
        <v>2.874615126</v>
      </c>
      <c r="I1761" s="41">
        <v>0.523255814</v>
      </c>
      <c r="J1761" s="41">
        <v>0.151162791</v>
      </c>
      <c r="K1761" s="41">
        <v>0.325581395</v>
      </c>
      <c r="L1761" s="41">
        <f t="shared" si="2"/>
        <v>0.197674419</v>
      </c>
      <c r="M1761" s="74">
        <v>0.042684003</v>
      </c>
    </row>
    <row r="1762">
      <c r="A1762" s="1" t="s">
        <v>125</v>
      </c>
      <c r="B1762" s="38">
        <v>663554.0</v>
      </c>
      <c r="C1762" s="72">
        <v>45801.0</v>
      </c>
      <c r="D1762" s="38">
        <v>76.0</v>
      </c>
      <c r="E1762" s="73">
        <f>IFERROR(__xludf.DUMMYFUNCTION("average(filter('Appearance Sheet'!F:F,'Appearance Sheet'!G:G=B1762,'Appearance Sheet'!A:A=C1762))"),5.0)</f>
        <v>5</v>
      </c>
      <c r="F1762" s="67">
        <v>5.160808055</v>
      </c>
      <c r="G1762" s="40">
        <v>1.524035085</v>
      </c>
      <c r="H1762" s="40">
        <f t="shared" si="1"/>
        <v>2.743263153</v>
      </c>
      <c r="I1762" s="41">
        <v>0.565789474</v>
      </c>
      <c r="J1762" s="41">
        <v>0.157894737</v>
      </c>
      <c r="K1762" s="41">
        <v>0.276315789</v>
      </c>
      <c r="L1762" s="41">
        <f t="shared" si="2"/>
        <v>0.289473685</v>
      </c>
      <c r="M1762" s="74">
        <v>0.505733194</v>
      </c>
    </row>
    <row r="1763">
      <c r="A1763" s="1" t="s">
        <v>376</v>
      </c>
      <c r="B1763" s="38">
        <v>668909.0</v>
      </c>
      <c r="C1763" s="72">
        <v>45839.0</v>
      </c>
      <c r="D1763" s="38">
        <v>94.0</v>
      </c>
      <c r="E1763" s="73">
        <f>IFERROR(__xludf.DUMMYFUNCTION("average(filter('Appearance Sheet'!F:F,'Appearance Sheet'!G:G=B1763,'Appearance Sheet'!A:A=C1763))"),5.666666666666667)</f>
        <v>5.666666667</v>
      </c>
      <c r="F1763" s="67">
        <v>5.160684389</v>
      </c>
      <c r="G1763" s="40">
        <v>1.870467254</v>
      </c>
      <c r="H1763" s="40">
        <f t="shared" si="1"/>
        <v>2.970742109</v>
      </c>
      <c r="I1763" s="41">
        <v>0.5</v>
      </c>
      <c r="J1763" s="41">
        <v>0.20212766</v>
      </c>
      <c r="K1763" s="41">
        <v>0.29787234</v>
      </c>
      <c r="L1763" s="41">
        <f t="shared" si="2"/>
        <v>0.20212766</v>
      </c>
      <c r="M1763" s="74">
        <v>-2.038470531</v>
      </c>
    </row>
    <row r="1764">
      <c r="A1764" s="1" t="s">
        <v>560</v>
      </c>
      <c r="B1764" s="38">
        <v>660730.0</v>
      </c>
      <c r="C1764" s="72">
        <v>45761.0</v>
      </c>
      <c r="D1764" s="38">
        <v>65.0</v>
      </c>
      <c r="E1764" s="73">
        <f>IFERROR(__xludf.DUMMYFUNCTION("average(filter('Appearance Sheet'!F:F,'Appearance Sheet'!G:G=B1764,'Appearance Sheet'!A:A=C1764))"),5.0)</f>
        <v>5</v>
      </c>
      <c r="F1764" s="67">
        <v>5.160639283</v>
      </c>
      <c r="G1764" s="40">
        <v>1.299033692</v>
      </c>
      <c r="H1764" s="40">
        <f t="shared" si="1"/>
        <v>2.338260646</v>
      </c>
      <c r="I1764" s="41">
        <v>0.461538462</v>
      </c>
      <c r="J1764" s="41">
        <v>0.215384615</v>
      </c>
      <c r="K1764" s="41">
        <v>0.323076923</v>
      </c>
      <c r="L1764" s="41">
        <f t="shared" si="2"/>
        <v>0.138461539</v>
      </c>
      <c r="M1764" s="74">
        <v>-0.321299546</v>
      </c>
    </row>
    <row r="1765">
      <c r="A1765" s="1" t="s">
        <v>363</v>
      </c>
      <c r="B1765" s="38">
        <v>693645.0</v>
      </c>
      <c r="C1765" s="72">
        <v>45911.0</v>
      </c>
      <c r="D1765" s="38">
        <v>95.0</v>
      </c>
      <c r="E1765" s="73" t="str">
        <f>IFERROR(__xludf.DUMMYFUNCTION("average(filter('Appearance Sheet'!F:F,'Appearance Sheet'!G:G=B1765,'Appearance Sheet'!A:A=C1765))"),"#N/A")</f>
        <v>#N/A</v>
      </c>
      <c r="F1765" s="67">
        <v>5.160494333</v>
      </c>
      <c r="G1765" s="40">
        <v>1.91505457</v>
      </c>
      <c r="H1765" s="40" t="str">
        <f t="shared" si="1"/>
        <v>#N/A</v>
      </c>
      <c r="I1765" s="41">
        <v>0.494736842</v>
      </c>
      <c r="J1765" s="41">
        <v>0.263157895</v>
      </c>
      <c r="K1765" s="41">
        <v>0.242105263</v>
      </c>
      <c r="L1765" s="41">
        <f t="shared" si="2"/>
        <v>0.252631579</v>
      </c>
      <c r="M1765" s="74">
        <v>0.538983172</v>
      </c>
    </row>
    <row r="1766">
      <c r="A1766" s="1" t="s">
        <v>411</v>
      </c>
      <c r="B1766" s="38">
        <v>605288.0</v>
      </c>
      <c r="C1766" s="72">
        <v>45885.0</v>
      </c>
      <c r="D1766" s="38">
        <v>69.0</v>
      </c>
      <c r="E1766" s="73" t="str">
        <f>IFERROR(__xludf.DUMMYFUNCTION("average(filter('Appearance Sheet'!F:F,'Appearance Sheet'!G:G=B1766,'Appearance Sheet'!A:A=C1766))"),"#N/A")</f>
        <v>#N/A</v>
      </c>
      <c r="F1766" s="67">
        <v>5.160207007</v>
      </c>
      <c r="G1766" s="40">
        <v>1.380453965</v>
      </c>
      <c r="H1766" s="40" t="str">
        <f t="shared" si="1"/>
        <v>#N/A</v>
      </c>
      <c r="I1766" s="41">
        <v>0.420289855</v>
      </c>
      <c r="J1766" s="41">
        <v>0.202898551</v>
      </c>
      <c r="K1766" s="41">
        <v>0.376811594</v>
      </c>
      <c r="L1766" s="41">
        <f t="shared" si="2"/>
        <v>0.043478261</v>
      </c>
      <c r="M1766" s="74">
        <v>0.635560118</v>
      </c>
    </row>
    <row r="1767">
      <c r="A1767" s="1" t="s">
        <v>109</v>
      </c>
      <c r="B1767" s="38">
        <v>601713.0</v>
      </c>
      <c r="C1767" s="72">
        <v>45870.0</v>
      </c>
      <c r="D1767" s="38">
        <v>83.0</v>
      </c>
      <c r="E1767" s="73" t="str">
        <f>IFERROR(__xludf.DUMMYFUNCTION("average(filter('Appearance Sheet'!F:F,'Appearance Sheet'!G:G=B1767,'Appearance Sheet'!A:A=C1767))"),"#N/A")</f>
        <v>#N/A</v>
      </c>
      <c r="F1767" s="67">
        <v>5.160050627</v>
      </c>
      <c r="G1767" s="40">
        <v>1.639411576</v>
      </c>
      <c r="H1767" s="40" t="str">
        <f t="shared" si="1"/>
        <v>#N/A</v>
      </c>
      <c r="I1767" s="41">
        <v>0.506024096</v>
      </c>
      <c r="J1767" s="41">
        <v>0.156626506</v>
      </c>
      <c r="K1767" s="41">
        <v>0.337349398</v>
      </c>
      <c r="L1767" s="41">
        <f t="shared" si="2"/>
        <v>0.168674698</v>
      </c>
      <c r="M1767" s="74">
        <v>3.739626565</v>
      </c>
    </row>
    <row r="1768">
      <c r="A1768" s="1" t="s">
        <v>301</v>
      </c>
      <c r="B1768" s="38">
        <v>656557.0</v>
      </c>
      <c r="C1768" s="72">
        <v>45784.0</v>
      </c>
      <c r="D1768" s="38">
        <v>85.0</v>
      </c>
      <c r="E1768" s="73">
        <f>IFERROR(__xludf.DUMMYFUNCTION("average(filter('Appearance Sheet'!F:F,'Appearance Sheet'!G:G=B1768,'Appearance Sheet'!A:A=C1768))"),4.666666666666667)</f>
        <v>4.666666667</v>
      </c>
      <c r="F1768" s="67">
        <v>5.160026482</v>
      </c>
      <c r="G1768" s="40">
        <v>1.67345516</v>
      </c>
      <c r="H1768" s="40">
        <f t="shared" si="1"/>
        <v>3.227377809</v>
      </c>
      <c r="I1768" s="41">
        <v>0.482352941</v>
      </c>
      <c r="J1768" s="41">
        <v>0.2</v>
      </c>
      <c r="K1768" s="41">
        <v>0.317647059</v>
      </c>
      <c r="L1768" s="41">
        <f t="shared" si="2"/>
        <v>0.164705882</v>
      </c>
      <c r="M1768" s="74">
        <v>-1.827682961</v>
      </c>
    </row>
    <row r="1769">
      <c r="A1769" s="1" t="s">
        <v>513</v>
      </c>
      <c r="B1769" s="38">
        <v>608566.0</v>
      </c>
      <c r="C1769" s="72">
        <v>45832.0</v>
      </c>
      <c r="D1769" s="38">
        <v>67.0</v>
      </c>
      <c r="E1769" s="73">
        <f>IFERROR(__xludf.DUMMYFUNCTION("average(filter('Appearance Sheet'!F:F,'Appearance Sheet'!G:G=B1769,'Appearance Sheet'!A:A=C1769))"),4.0)</f>
        <v>4</v>
      </c>
      <c r="F1769" s="67">
        <v>5.159889243</v>
      </c>
      <c r="G1769" s="40">
        <v>1.367380387</v>
      </c>
      <c r="H1769" s="40">
        <f t="shared" si="1"/>
        <v>3.076605871</v>
      </c>
      <c r="I1769" s="41">
        <v>0.417910448</v>
      </c>
      <c r="J1769" s="41">
        <v>0.223880597</v>
      </c>
      <c r="K1769" s="41">
        <v>0.358208955</v>
      </c>
      <c r="L1769" s="41">
        <f t="shared" si="2"/>
        <v>0.059701493</v>
      </c>
      <c r="M1769" s="74">
        <v>-0.882638355</v>
      </c>
    </row>
    <row r="1770">
      <c r="A1770" s="1" t="s">
        <v>247</v>
      </c>
      <c r="B1770" s="38">
        <v>605540.0</v>
      </c>
      <c r="C1770" s="72">
        <v>45906.0</v>
      </c>
      <c r="D1770" s="38">
        <v>85.0</v>
      </c>
      <c r="E1770" s="73" t="str">
        <f>IFERROR(__xludf.DUMMYFUNCTION("average(filter('Appearance Sheet'!F:F,'Appearance Sheet'!G:G=B1770,'Appearance Sheet'!A:A=C1770))"),"#N/A")</f>
        <v>#N/A</v>
      </c>
      <c r="F1770" s="67">
        <v>5.159500735</v>
      </c>
      <c r="G1770" s="40">
        <v>1.687324645</v>
      </c>
      <c r="H1770" s="40" t="str">
        <f t="shared" si="1"/>
        <v>#N/A</v>
      </c>
      <c r="I1770" s="41">
        <v>0.423529412</v>
      </c>
      <c r="J1770" s="41">
        <v>0.270588235</v>
      </c>
      <c r="K1770" s="41">
        <v>0.305882353</v>
      </c>
      <c r="L1770" s="41">
        <f t="shared" si="2"/>
        <v>0.117647059</v>
      </c>
      <c r="M1770" s="74">
        <v>4.209433762</v>
      </c>
    </row>
    <row r="1771">
      <c r="A1771" s="1" t="s">
        <v>194</v>
      </c>
      <c r="B1771" s="38">
        <v>666157.0</v>
      </c>
      <c r="C1771" s="72">
        <v>45819.0</v>
      </c>
      <c r="D1771" s="38">
        <v>73.0</v>
      </c>
      <c r="E1771" s="73">
        <f>IFERROR(__xludf.DUMMYFUNCTION("average(filter('Appearance Sheet'!F:F,'Appearance Sheet'!G:G=B1771,'Appearance Sheet'!A:A=C1771))"),3.3333333333333335)</f>
        <v>3.333333333</v>
      </c>
      <c r="F1771" s="67">
        <v>5.159439223</v>
      </c>
      <c r="G1771" s="40">
        <v>1.389873459</v>
      </c>
      <c r="H1771" s="40">
        <f t="shared" si="1"/>
        <v>3.752658339</v>
      </c>
      <c r="I1771" s="41">
        <v>0.520547945</v>
      </c>
      <c r="J1771" s="41">
        <v>0.095890411</v>
      </c>
      <c r="K1771" s="41">
        <v>0.383561644</v>
      </c>
      <c r="L1771" s="41">
        <f t="shared" si="2"/>
        <v>0.136986301</v>
      </c>
      <c r="M1771" s="74">
        <v>-1.349926459</v>
      </c>
    </row>
    <row r="1772">
      <c r="A1772" s="1" t="s">
        <v>574</v>
      </c>
      <c r="B1772" s="38">
        <v>694918.0</v>
      </c>
      <c r="C1772" s="72">
        <v>45835.0</v>
      </c>
      <c r="D1772" s="38">
        <v>69.0</v>
      </c>
      <c r="E1772" s="73">
        <f>IFERROR(__xludf.DUMMYFUNCTION("average(filter('Appearance Sheet'!F:F,'Appearance Sheet'!G:G=B1772,'Appearance Sheet'!A:A=C1772))"),3.3333333333333335)</f>
        <v>3.333333333</v>
      </c>
      <c r="F1772" s="67">
        <v>5.159437249</v>
      </c>
      <c r="G1772" s="40">
        <v>1.378626591</v>
      </c>
      <c r="H1772" s="40">
        <f t="shared" si="1"/>
        <v>3.722291796</v>
      </c>
      <c r="I1772" s="41">
        <v>0.507246377</v>
      </c>
      <c r="J1772" s="41">
        <v>0.217391304</v>
      </c>
      <c r="K1772" s="41">
        <v>0.275362319</v>
      </c>
      <c r="L1772" s="41">
        <f t="shared" si="2"/>
        <v>0.231884058</v>
      </c>
      <c r="M1772" s="74">
        <v>-0.091602467</v>
      </c>
    </row>
    <row r="1773">
      <c r="A1773" s="1" t="s">
        <v>145</v>
      </c>
      <c r="B1773" s="38">
        <v>700241.0</v>
      </c>
      <c r="C1773" s="72">
        <v>45899.0</v>
      </c>
      <c r="D1773" s="38">
        <v>91.0</v>
      </c>
      <c r="E1773" s="73" t="str">
        <f>IFERROR(__xludf.DUMMYFUNCTION("average(filter('Appearance Sheet'!F:F,'Appearance Sheet'!G:G=B1773,'Appearance Sheet'!A:A=C1773))"),"#N/A")</f>
        <v>#N/A</v>
      </c>
      <c r="F1773" s="67">
        <v>5.159378716</v>
      </c>
      <c r="G1773" s="40">
        <v>1.806137152</v>
      </c>
      <c r="H1773" s="40" t="str">
        <f t="shared" si="1"/>
        <v>#N/A</v>
      </c>
      <c r="I1773" s="41">
        <v>0.516483516</v>
      </c>
      <c r="J1773" s="41">
        <v>0.142857143</v>
      </c>
      <c r="K1773" s="41">
        <v>0.340659341</v>
      </c>
      <c r="L1773" s="41">
        <f t="shared" si="2"/>
        <v>0.175824175</v>
      </c>
      <c r="M1773" s="74">
        <v>1.173266839</v>
      </c>
    </row>
    <row r="1774">
      <c r="A1774" s="1" t="s">
        <v>358</v>
      </c>
      <c r="B1774" s="38">
        <v>434378.0</v>
      </c>
      <c r="C1774" s="72">
        <v>45906.0</v>
      </c>
      <c r="D1774" s="38">
        <v>86.0</v>
      </c>
      <c r="E1774" s="73" t="str">
        <f>IFERROR(__xludf.DUMMYFUNCTION("average(filter('Appearance Sheet'!F:F,'Appearance Sheet'!G:G=B1774,'Appearance Sheet'!A:A=C1774))"),"#N/A")</f>
        <v>#N/A</v>
      </c>
      <c r="F1774" s="67">
        <v>5.159316172</v>
      </c>
      <c r="G1774" s="40">
        <v>1.725587234</v>
      </c>
      <c r="H1774" s="40" t="str">
        <f t="shared" si="1"/>
        <v>#N/A</v>
      </c>
      <c r="I1774" s="41">
        <v>0.430232558</v>
      </c>
      <c r="J1774" s="41">
        <v>0.23255814</v>
      </c>
      <c r="K1774" s="41">
        <v>0.337209302</v>
      </c>
      <c r="L1774" s="41">
        <f t="shared" si="2"/>
        <v>0.093023256</v>
      </c>
      <c r="M1774" s="74">
        <v>3.123754093</v>
      </c>
    </row>
    <row r="1775">
      <c r="A1775" s="1" t="s">
        <v>373</v>
      </c>
      <c r="B1775" s="38">
        <v>640455.0</v>
      </c>
      <c r="C1775" s="72">
        <v>45879.0</v>
      </c>
      <c r="D1775" s="38">
        <v>81.0</v>
      </c>
      <c r="E1775" s="73" t="str">
        <f>IFERROR(__xludf.DUMMYFUNCTION("average(filter('Appearance Sheet'!F:F,'Appearance Sheet'!G:G=B1775,'Appearance Sheet'!A:A=C1775))"),"#N/A")</f>
        <v>#N/A</v>
      </c>
      <c r="F1775" s="67">
        <v>5.159083673</v>
      </c>
      <c r="G1775" s="40">
        <v>1.631118414</v>
      </c>
      <c r="H1775" s="40" t="str">
        <f t="shared" si="1"/>
        <v>#N/A</v>
      </c>
      <c r="I1775" s="41">
        <v>0.50617284</v>
      </c>
      <c r="J1775" s="41">
        <v>0.197530864</v>
      </c>
      <c r="K1775" s="41">
        <v>0.296296296</v>
      </c>
      <c r="L1775" s="41">
        <f t="shared" si="2"/>
        <v>0.209876544</v>
      </c>
      <c r="M1775" s="74">
        <v>-0.823476507</v>
      </c>
    </row>
    <row r="1776">
      <c r="A1776" s="1" t="s">
        <v>226</v>
      </c>
      <c r="B1776" s="38">
        <v>607259.0</v>
      </c>
      <c r="C1776" s="72">
        <v>45763.0</v>
      </c>
      <c r="D1776" s="38">
        <v>82.0</v>
      </c>
      <c r="E1776" s="73">
        <f>IFERROR(__xludf.DUMMYFUNCTION("average(filter('Appearance Sheet'!F:F,'Appearance Sheet'!G:G=B1776,'Appearance Sheet'!A:A=C1776))"),4.666666666666667)</f>
        <v>4.666666667</v>
      </c>
      <c r="F1776" s="67">
        <v>5.158721364</v>
      </c>
      <c r="G1776" s="40">
        <v>1.647349713</v>
      </c>
      <c r="H1776" s="40">
        <f t="shared" si="1"/>
        <v>3.177031589</v>
      </c>
      <c r="I1776" s="41">
        <v>0.43902439</v>
      </c>
      <c r="J1776" s="41">
        <v>0.268292683</v>
      </c>
      <c r="K1776" s="41">
        <v>0.292682927</v>
      </c>
      <c r="L1776" s="41">
        <f t="shared" si="2"/>
        <v>0.146341463</v>
      </c>
      <c r="M1776" s="74">
        <v>-1.875042524</v>
      </c>
    </row>
    <row r="1777">
      <c r="A1777" s="1" t="s">
        <v>155</v>
      </c>
      <c r="B1777" s="38">
        <v>592332.0</v>
      </c>
      <c r="C1777" s="72">
        <v>45859.0</v>
      </c>
      <c r="D1777" s="38">
        <v>82.0</v>
      </c>
      <c r="E1777" s="73" t="str">
        <f>IFERROR(__xludf.DUMMYFUNCTION("average(filter('Appearance Sheet'!F:F,'Appearance Sheet'!G:G=B1777,'Appearance Sheet'!A:A=C1777))"),"#N/A")</f>
        <v>#N/A</v>
      </c>
      <c r="F1777" s="67">
        <v>5.158711179</v>
      </c>
      <c r="G1777" s="40">
        <v>1.648420785</v>
      </c>
      <c r="H1777" s="40" t="str">
        <f t="shared" si="1"/>
        <v>#N/A</v>
      </c>
      <c r="I1777" s="41">
        <v>0.548780488</v>
      </c>
      <c r="J1777" s="41">
        <v>0.146341463</v>
      </c>
      <c r="K1777" s="41">
        <v>0.304878049</v>
      </c>
      <c r="L1777" s="41">
        <f t="shared" si="2"/>
        <v>0.243902439</v>
      </c>
      <c r="M1777" s="74">
        <v>0.463919122</v>
      </c>
    </row>
    <row r="1778">
      <c r="A1778" s="1" t="s">
        <v>495</v>
      </c>
      <c r="B1778" s="38">
        <v>801403.0</v>
      </c>
      <c r="C1778" s="72">
        <v>45753.0</v>
      </c>
      <c r="D1778" s="38">
        <v>78.0</v>
      </c>
      <c r="E1778" s="73">
        <f>IFERROR(__xludf.DUMMYFUNCTION("average(filter('Appearance Sheet'!F:F,'Appearance Sheet'!G:G=B1778,'Appearance Sheet'!A:A=C1778))"),5.0)</f>
        <v>5</v>
      </c>
      <c r="F1778" s="67">
        <v>5.158667711</v>
      </c>
      <c r="G1778" s="40">
        <v>1.576426253</v>
      </c>
      <c r="H1778" s="40">
        <f t="shared" si="1"/>
        <v>2.837567255</v>
      </c>
      <c r="I1778" s="41">
        <v>0.487179487</v>
      </c>
      <c r="J1778" s="41">
        <v>0.141025641</v>
      </c>
      <c r="K1778" s="41">
        <v>0.371794872</v>
      </c>
      <c r="L1778" s="41">
        <f t="shared" si="2"/>
        <v>0.115384615</v>
      </c>
      <c r="M1778" s="74">
        <v>-2.371786361</v>
      </c>
    </row>
    <row r="1779">
      <c r="A1779" s="1" t="s">
        <v>323</v>
      </c>
      <c r="B1779" s="38">
        <v>691587.0</v>
      </c>
      <c r="C1779" s="72">
        <v>45876.0</v>
      </c>
      <c r="D1779" s="38">
        <v>75.0</v>
      </c>
      <c r="E1779" s="73" t="str">
        <f>IFERROR(__xludf.DUMMYFUNCTION("average(filter('Appearance Sheet'!F:F,'Appearance Sheet'!G:G=B1779,'Appearance Sheet'!A:A=C1779))"),"#N/A")</f>
        <v>#N/A</v>
      </c>
      <c r="F1779" s="67">
        <v>5.158477069</v>
      </c>
      <c r="G1779" s="40">
        <v>1.507237801</v>
      </c>
      <c r="H1779" s="40" t="str">
        <f t="shared" si="1"/>
        <v>#N/A</v>
      </c>
      <c r="I1779" s="41">
        <v>0.493333333</v>
      </c>
      <c r="J1779" s="41">
        <v>0.173333333</v>
      </c>
      <c r="K1779" s="41">
        <v>0.333333333</v>
      </c>
      <c r="L1779" s="41">
        <f t="shared" si="2"/>
        <v>0.16</v>
      </c>
      <c r="M1779" s="74">
        <v>-0.975718458</v>
      </c>
    </row>
    <row r="1780">
      <c r="A1780" s="1" t="s">
        <v>428</v>
      </c>
      <c r="B1780" s="38">
        <v>670102.0</v>
      </c>
      <c r="C1780" s="72">
        <v>45759.0</v>
      </c>
      <c r="D1780" s="38">
        <v>95.0</v>
      </c>
      <c r="E1780" s="73">
        <f>IFERROR(__xludf.DUMMYFUNCTION("average(filter('Appearance Sheet'!F:F,'Appearance Sheet'!G:G=B1780,'Appearance Sheet'!A:A=C1780))"),5.666666666666667)</f>
        <v>5.666666667</v>
      </c>
      <c r="F1780" s="67">
        <v>5.158118299</v>
      </c>
      <c r="G1780" s="40">
        <v>1.890625739</v>
      </c>
      <c r="H1780" s="40">
        <f t="shared" si="1"/>
        <v>3.002758527</v>
      </c>
      <c r="I1780" s="41">
        <v>0.526315789</v>
      </c>
      <c r="J1780" s="41">
        <v>0.126315789</v>
      </c>
      <c r="K1780" s="41">
        <v>0.347368421</v>
      </c>
      <c r="L1780" s="41">
        <f t="shared" si="2"/>
        <v>0.178947368</v>
      </c>
      <c r="M1780" s="74">
        <v>1.207605723</v>
      </c>
    </row>
    <row r="1781">
      <c r="A1781" s="1" t="s">
        <v>416</v>
      </c>
      <c r="B1781" s="38">
        <v>608337.0</v>
      </c>
      <c r="C1781" s="72">
        <v>45836.0</v>
      </c>
      <c r="D1781" s="38">
        <v>100.0</v>
      </c>
      <c r="E1781" s="73">
        <f>IFERROR(__xludf.DUMMYFUNCTION("average(filter('Appearance Sheet'!F:F,'Appearance Sheet'!G:G=B1781,'Appearance Sheet'!A:A=C1781))"),7.0)</f>
        <v>7</v>
      </c>
      <c r="F1781" s="67">
        <v>5.158026561</v>
      </c>
      <c r="G1781" s="40">
        <v>2.039145734</v>
      </c>
      <c r="H1781" s="40">
        <f t="shared" si="1"/>
        <v>2.621758801</v>
      </c>
      <c r="I1781" s="41">
        <v>0.45</v>
      </c>
      <c r="J1781" s="41">
        <v>0.21</v>
      </c>
      <c r="K1781" s="41">
        <v>0.34</v>
      </c>
      <c r="L1781" s="41">
        <f t="shared" si="2"/>
        <v>0.11</v>
      </c>
      <c r="M1781" s="74">
        <v>0.429376503</v>
      </c>
    </row>
    <row r="1782">
      <c r="A1782" s="1" t="s">
        <v>202</v>
      </c>
      <c r="B1782" s="38">
        <v>677960.0</v>
      </c>
      <c r="C1782" s="72">
        <v>45917.0</v>
      </c>
      <c r="D1782" s="38">
        <v>76.0</v>
      </c>
      <c r="E1782" s="73" t="str">
        <f>IFERROR(__xludf.DUMMYFUNCTION("average(filter('Appearance Sheet'!F:F,'Appearance Sheet'!G:G=B1782,'Appearance Sheet'!A:A=C1782))"),"#N/A")</f>
        <v>#N/A</v>
      </c>
      <c r="F1782" s="67">
        <v>5.15801962</v>
      </c>
      <c r="G1782" s="40">
        <v>1.542539449</v>
      </c>
      <c r="H1782" s="40" t="str">
        <f t="shared" si="1"/>
        <v>#N/A</v>
      </c>
      <c r="I1782" s="41">
        <v>0.421052632</v>
      </c>
      <c r="J1782" s="41">
        <v>0.236842105</v>
      </c>
      <c r="K1782" s="41">
        <v>0.342105263</v>
      </c>
      <c r="L1782" s="41">
        <f t="shared" si="2"/>
        <v>0.078947369</v>
      </c>
      <c r="M1782" s="74">
        <v>-2.593749538</v>
      </c>
    </row>
    <row r="1783">
      <c r="A1783" s="1" t="s">
        <v>278</v>
      </c>
      <c r="B1783" s="38">
        <v>542881.0</v>
      </c>
      <c r="C1783" s="72">
        <v>45827.0</v>
      </c>
      <c r="D1783" s="38">
        <v>93.0</v>
      </c>
      <c r="E1783" s="73">
        <f>IFERROR(__xludf.DUMMYFUNCTION("average(filter('Appearance Sheet'!F:F,'Appearance Sheet'!G:G=B1783,'Appearance Sheet'!A:A=C1783))"),6.0)</f>
        <v>6</v>
      </c>
      <c r="F1783" s="67">
        <v>5.157949184</v>
      </c>
      <c r="G1783" s="40">
        <v>1.845225919</v>
      </c>
      <c r="H1783" s="40">
        <f t="shared" si="1"/>
        <v>2.767838879</v>
      </c>
      <c r="I1783" s="41">
        <v>0.47311828</v>
      </c>
      <c r="J1783" s="41">
        <v>0.182795699</v>
      </c>
      <c r="K1783" s="41">
        <v>0.344086022</v>
      </c>
      <c r="L1783" s="41">
        <f t="shared" si="2"/>
        <v>0.129032258</v>
      </c>
      <c r="M1783" s="74">
        <v>-2.506914402</v>
      </c>
    </row>
    <row r="1784">
      <c r="A1784" s="1" t="s">
        <v>354</v>
      </c>
      <c r="B1784" s="38">
        <v>669022.0</v>
      </c>
      <c r="C1784" s="72">
        <v>45771.0</v>
      </c>
      <c r="D1784" s="38">
        <v>94.0</v>
      </c>
      <c r="E1784" s="73">
        <f>IFERROR(__xludf.DUMMYFUNCTION("average(filter('Appearance Sheet'!F:F,'Appearance Sheet'!G:G=B1784,'Appearance Sheet'!A:A=C1784))"),6.0)</f>
        <v>6</v>
      </c>
      <c r="F1784" s="67">
        <v>5.157887723</v>
      </c>
      <c r="G1784" s="40">
        <v>1.848279693</v>
      </c>
      <c r="H1784" s="40">
        <f t="shared" si="1"/>
        <v>2.77241954</v>
      </c>
      <c r="I1784" s="41">
        <v>0.436170213</v>
      </c>
      <c r="J1784" s="41">
        <v>0.265957447</v>
      </c>
      <c r="K1784" s="41">
        <v>0.29787234</v>
      </c>
      <c r="L1784" s="41">
        <f t="shared" si="2"/>
        <v>0.138297873</v>
      </c>
      <c r="M1784" s="74">
        <v>0.989507565</v>
      </c>
    </row>
    <row r="1785">
      <c r="A1785" s="1" t="s">
        <v>194</v>
      </c>
      <c r="B1785" s="38">
        <v>666157.0</v>
      </c>
      <c r="C1785" s="72">
        <v>45826.0</v>
      </c>
      <c r="D1785" s="38">
        <v>87.0</v>
      </c>
      <c r="E1785" s="73">
        <f>IFERROR(__xludf.DUMMYFUNCTION("average(filter('Appearance Sheet'!F:F,'Appearance Sheet'!G:G=B1785,'Appearance Sheet'!A:A=C1785))"),6.0)</f>
        <v>6</v>
      </c>
      <c r="F1785" s="67">
        <v>5.157837917</v>
      </c>
      <c r="G1785" s="40">
        <v>1.71512063</v>
      </c>
      <c r="H1785" s="40">
        <f t="shared" si="1"/>
        <v>2.572680945</v>
      </c>
      <c r="I1785" s="41">
        <v>0.482758621</v>
      </c>
      <c r="J1785" s="41">
        <v>0.195402299</v>
      </c>
      <c r="K1785" s="41">
        <v>0.32183908</v>
      </c>
      <c r="L1785" s="41">
        <f t="shared" si="2"/>
        <v>0.160919541</v>
      </c>
      <c r="M1785" s="74">
        <v>1.938461284</v>
      </c>
    </row>
    <row r="1786">
      <c r="A1786" s="1" t="s">
        <v>285</v>
      </c>
      <c r="B1786" s="38">
        <v>607074.0</v>
      </c>
      <c r="C1786" s="72">
        <v>45822.0</v>
      </c>
      <c r="D1786" s="38">
        <v>91.0</v>
      </c>
      <c r="E1786" s="73">
        <f>IFERROR(__xludf.DUMMYFUNCTION("average(filter('Appearance Sheet'!F:F,'Appearance Sheet'!G:G=B1786,'Appearance Sheet'!A:A=C1786))"),5.0)</f>
        <v>5</v>
      </c>
      <c r="F1786" s="67">
        <v>5.15776764</v>
      </c>
      <c r="G1786" s="40">
        <v>1.807139449</v>
      </c>
      <c r="H1786" s="40">
        <f t="shared" si="1"/>
        <v>3.252851008</v>
      </c>
      <c r="I1786" s="41">
        <v>0.472527473</v>
      </c>
      <c r="J1786" s="41">
        <v>0.186813187</v>
      </c>
      <c r="K1786" s="41">
        <v>0.340659341</v>
      </c>
      <c r="L1786" s="41">
        <f t="shared" si="2"/>
        <v>0.131868132</v>
      </c>
      <c r="M1786" s="74">
        <v>-1.117360596</v>
      </c>
    </row>
    <row r="1787">
      <c r="A1787" s="1" t="s">
        <v>336</v>
      </c>
      <c r="B1787" s="38">
        <v>605488.0</v>
      </c>
      <c r="C1787" s="72">
        <v>45823.0</v>
      </c>
      <c r="D1787" s="38">
        <v>85.0</v>
      </c>
      <c r="E1787" s="73">
        <f>IFERROR(__xludf.DUMMYFUNCTION("average(filter('Appearance Sheet'!F:F,'Appearance Sheet'!G:G=B1787,'Appearance Sheet'!A:A=C1787))"),6.0)</f>
        <v>6</v>
      </c>
      <c r="F1787" s="67">
        <v>5.15773059</v>
      </c>
      <c r="G1787" s="40">
        <v>1.698241325</v>
      </c>
      <c r="H1787" s="40">
        <f t="shared" si="1"/>
        <v>2.547361988</v>
      </c>
      <c r="I1787" s="41">
        <v>0.517647059</v>
      </c>
      <c r="J1787" s="41">
        <v>0.176470588</v>
      </c>
      <c r="K1787" s="41">
        <v>0.305882353</v>
      </c>
      <c r="L1787" s="41">
        <f t="shared" si="2"/>
        <v>0.211764706</v>
      </c>
      <c r="M1787" s="74">
        <v>-1.256296577</v>
      </c>
    </row>
    <row r="1788">
      <c r="A1788" s="1" t="s">
        <v>399</v>
      </c>
      <c r="B1788" s="38">
        <v>543294.0</v>
      </c>
      <c r="C1788" s="72">
        <v>45888.0</v>
      </c>
      <c r="D1788" s="38">
        <v>89.0</v>
      </c>
      <c r="E1788" s="73" t="str">
        <f>IFERROR(__xludf.DUMMYFUNCTION("average(filter('Appearance Sheet'!F:F,'Appearance Sheet'!G:G=B1788,'Appearance Sheet'!A:A=C1788))"),"#N/A")</f>
        <v>#N/A</v>
      </c>
      <c r="F1788" s="67">
        <v>5.157609151</v>
      </c>
      <c r="G1788" s="40">
        <v>1.77284493</v>
      </c>
      <c r="H1788" s="40" t="str">
        <f t="shared" si="1"/>
        <v>#N/A</v>
      </c>
      <c r="I1788" s="41">
        <v>0.483146067</v>
      </c>
      <c r="J1788" s="41">
        <v>0.168539326</v>
      </c>
      <c r="K1788" s="41">
        <v>0.348314607</v>
      </c>
      <c r="L1788" s="41">
        <f t="shared" si="2"/>
        <v>0.13483146</v>
      </c>
      <c r="M1788" s="74">
        <v>-2.384553168</v>
      </c>
    </row>
    <row r="1789">
      <c r="A1789" s="1" t="s">
        <v>177</v>
      </c>
      <c r="B1789" s="38">
        <v>641793.0</v>
      </c>
      <c r="C1789" s="72">
        <v>45874.0</v>
      </c>
      <c r="D1789" s="38">
        <v>90.0</v>
      </c>
      <c r="E1789" s="73" t="str">
        <f>IFERROR(__xludf.DUMMYFUNCTION("average(filter('Appearance Sheet'!F:F,'Appearance Sheet'!G:G=B1789,'Appearance Sheet'!A:A=C1789))"),"#N/A")</f>
        <v>#N/A</v>
      </c>
      <c r="F1789" s="67">
        <v>5.157245493</v>
      </c>
      <c r="G1789" s="40">
        <v>1.799662503</v>
      </c>
      <c r="H1789" s="40" t="str">
        <f t="shared" si="1"/>
        <v>#N/A</v>
      </c>
      <c r="I1789" s="41">
        <v>0.5</v>
      </c>
      <c r="J1789" s="41">
        <v>0.188888889</v>
      </c>
      <c r="K1789" s="41">
        <v>0.311111111</v>
      </c>
      <c r="L1789" s="41">
        <f t="shared" si="2"/>
        <v>0.188888889</v>
      </c>
      <c r="M1789" s="74">
        <v>2.558437614</v>
      </c>
    </row>
    <row r="1790">
      <c r="A1790" s="1" t="s">
        <v>65</v>
      </c>
      <c r="B1790" s="38">
        <v>680885.0</v>
      </c>
      <c r="C1790" s="72">
        <v>45795.0</v>
      </c>
      <c r="D1790" s="38">
        <v>81.0</v>
      </c>
      <c r="E1790" s="73">
        <f>IFERROR(__xludf.DUMMYFUNCTION("average(filter('Appearance Sheet'!F:F,'Appearance Sheet'!G:G=B1790,'Appearance Sheet'!A:A=C1790))"),7.0)</f>
        <v>7</v>
      </c>
      <c r="F1790" s="67">
        <v>5.157179616</v>
      </c>
      <c r="G1790" s="40">
        <v>1.66901808</v>
      </c>
      <c r="H1790" s="40">
        <f t="shared" si="1"/>
        <v>2.145880389</v>
      </c>
      <c r="I1790" s="41">
        <v>0.543209877</v>
      </c>
      <c r="J1790" s="41">
        <v>0.185185185</v>
      </c>
      <c r="K1790" s="41">
        <v>0.271604938</v>
      </c>
      <c r="L1790" s="41">
        <f t="shared" si="2"/>
        <v>0.271604939</v>
      </c>
      <c r="M1790" s="74">
        <v>-0.682412911</v>
      </c>
    </row>
    <row r="1791">
      <c r="A1791" s="1" t="s">
        <v>161</v>
      </c>
      <c r="B1791" s="38">
        <v>702070.0</v>
      </c>
      <c r="C1791" s="72">
        <v>45845.0</v>
      </c>
      <c r="D1791" s="38">
        <v>105.0</v>
      </c>
      <c r="E1791" s="73" t="str">
        <f>IFERROR(__xludf.DUMMYFUNCTION("average(filter('Appearance Sheet'!F:F,'Appearance Sheet'!G:G=B1791,'Appearance Sheet'!A:A=C1791))"),"#N/A")</f>
        <v>#N/A</v>
      </c>
      <c r="F1791" s="67">
        <v>5.157006966</v>
      </c>
      <c r="G1791" s="40">
        <v>2.113572954</v>
      </c>
      <c r="H1791" s="40" t="str">
        <f t="shared" si="1"/>
        <v>#N/A</v>
      </c>
      <c r="I1791" s="41">
        <v>0.457142857</v>
      </c>
      <c r="J1791" s="41">
        <v>0.133333333</v>
      </c>
      <c r="K1791" s="41">
        <v>0.40952381</v>
      </c>
      <c r="L1791" s="41">
        <f t="shared" si="2"/>
        <v>0.047619047</v>
      </c>
      <c r="M1791" s="74">
        <v>2.802684397</v>
      </c>
    </row>
    <row r="1792">
      <c r="A1792" s="1" t="s">
        <v>269</v>
      </c>
      <c r="B1792" s="38">
        <v>605280.0</v>
      </c>
      <c r="C1792" s="72">
        <v>45791.0</v>
      </c>
      <c r="D1792" s="38">
        <v>87.0</v>
      </c>
      <c r="E1792" s="73">
        <f>IFERROR(__xludf.DUMMYFUNCTION("average(filter('Appearance Sheet'!F:F,'Appearance Sheet'!G:G=B1792,'Appearance Sheet'!A:A=C1792))"),6.0)</f>
        <v>6</v>
      </c>
      <c r="F1792" s="67">
        <v>5.15690883</v>
      </c>
      <c r="G1792" s="40">
        <v>1.748602487</v>
      </c>
      <c r="H1792" s="40">
        <f t="shared" si="1"/>
        <v>2.622903731</v>
      </c>
      <c r="I1792" s="41">
        <v>0.528735632</v>
      </c>
      <c r="J1792" s="41">
        <v>0.206896552</v>
      </c>
      <c r="K1792" s="41">
        <v>0.264367816</v>
      </c>
      <c r="L1792" s="41">
        <f t="shared" si="2"/>
        <v>0.264367816</v>
      </c>
      <c r="M1792" s="74">
        <v>-0.871811384</v>
      </c>
    </row>
    <row r="1793">
      <c r="A1793" s="1" t="s">
        <v>434</v>
      </c>
      <c r="B1793" s="38">
        <v>690990.0</v>
      </c>
      <c r="C1793" s="72">
        <v>45811.0</v>
      </c>
      <c r="D1793" s="38">
        <v>77.0</v>
      </c>
      <c r="E1793" s="73">
        <f>IFERROR(__xludf.DUMMYFUNCTION("average(filter('Appearance Sheet'!F:F,'Appearance Sheet'!G:G=B1793,'Appearance Sheet'!A:A=C1793))"),5.333333333333333)</f>
        <v>5.333333333</v>
      </c>
      <c r="F1793" s="67">
        <v>5.156458589</v>
      </c>
      <c r="G1793" s="40">
        <v>1.574738449</v>
      </c>
      <c r="H1793" s="40">
        <f t="shared" si="1"/>
        <v>2.657371133</v>
      </c>
      <c r="I1793" s="41">
        <v>0.493506494</v>
      </c>
      <c r="J1793" s="41">
        <v>0.116883117</v>
      </c>
      <c r="K1793" s="41">
        <v>0.38961039</v>
      </c>
      <c r="L1793" s="41">
        <f t="shared" si="2"/>
        <v>0.103896104</v>
      </c>
      <c r="M1793" s="74">
        <v>-0.565072035</v>
      </c>
    </row>
    <row r="1794">
      <c r="A1794" s="1" t="s">
        <v>473</v>
      </c>
      <c r="B1794" s="38">
        <v>527048.0</v>
      </c>
      <c r="C1794" s="72">
        <v>45895.0</v>
      </c>
      <c r="D1794" s="38">
        <v>84.0</v>
      </c>
      <c r="E1794" s="73" t="str">
        <f>IFERROR(__xludf.DUMMYFUNCTION("average(filter('Appearance Sheet'!F:F,'Appearance Sheet'!G:G=B1794,'Appearance Sheet'!A:A=C1794))"),"#N/A")</f>
        <v>#N/A</v>
      </c>
      <c r="F1794" s="67">
        <v>5.15629163</v>
      </c>
      <c r="G1794" s="40">
        <v>1.698575437</v>
      </c>
      <c r="H1794" s="40" t="str">
        <f t="shared" si="1"/>
        <v>#N/A</v>
      </c>
      <c r="I1794" s="41">
        <v>0.416666667</v>
      </c>
      <c r="J1794" s="41">
        <v>0.202380952</v>
      </c>
      <c r="K1794" s="41">
        <v>0.380952381</v>
      </c>
      <c r="L1794" s="41">
        <f t="shared" si="2"/>
        <v>0.035714286</v>
      </c>
      <c r="M1794" s="74">
        <v>4.708910317</v>
      </c>
    </row>
    <row r="1795">
      <c r="A1795" s="1" t="s">
        <v>352</v>
      </c>
      <c r="B1795" s="38">
        <v>685299.0</v>
      </c>
      <c r="C1795" s="72">
        <v>45879.0</v>
      </c>
      <c r="D1795" s="38">
        <v>76.0</v>
      </c>
      <c r="E1795" s="73" t="str">
        <f>IFERROR(__xludf.DUMMYFUNCTION("average(filter('Appearance Sheet'!F:F,'Appearance Sheet'!G:G=B1795,'Appearance Sheet'!A:A=C1795))"),"#N/A")</f>
        <v>#N/A</v>
      </c>
      <c r="F1795" s="67">
        <v>5.15621019</v>
      </c>
      <c r="G1795" s="40">
        <v>1.589350163</v>
      </c>
      <c r="H1795" s="40" t="str">
        <f t="shared" si="1"/>
        <v>#N/A</v>
      </c>
      <c r="I1795" s="41">
        <v>0.460526316</v>
      </c>
      <c r="J1795" s="41">
        <v>0.25</v>
      </c>
      <c r="K1795" s="41">
        <v>0.289473684</v>
      </c>
      <c r="L1795" s="41">
        <f t="shared" si="2"/>
        <v>0.171052632</v>
      </c>
      <c r="M1795" s="74">
        <v>-7.013386263</v>
      </c>
    </row>
    <row r="1796">
      <c r="A1796" s="1" t="s">
        <v>263</v>
      </c>
      <c r="B1796" s="38">
        <v>694297.0</v>
      </c>
      <c r="C1796" s="72">
        <v>45928.0</v>
      </c>
      <c r="D1796" s="38">
        <v>71.0</v>
      </c>
      <c r="E1796" s="73" t="str">
        <f>IFERROR(__xludf.DUMMYFUNCTION("average(filter('Appearance Sheet'!F:F,'Appearance Sheet'!G:G=B1796,'Appearance Sheet'!A:A=C1796))"),"#N/A")</f>
        <v>#N/A</v>
      </c>
      <c r="F1796" s="67">
        <v>5.156097851</v>
      </c>
      <c r="G1796" s="40">
        <v>1.396146651</v>
      </c>
      <c r="H1796" s="40" t="str">
        <f t="shared" si="1"/>
        <v>#N/A</v>
      </c>
      <c r="I1796" s="41">
        <v>0.492957746</v>
      </c>
      <c r="J1796" s="41">
        <v>0.169014085</v>
      </c>
      <c r="K1796" s="41">
        <v>0.338028169</v>
      </c>
      <c r="L1796" s="41">
        <f t="shared" si="2"/>
        <v>0.154929577</v>
      </c>
      <c r="M1796" s="74">
        <v>-2.060511536</v>
      </c>
    </row>
    <row r="1797">
      <c r="A1797" s="1" t="s">
        <v>275</v>
      </c>
      <c r="B1797" s="38">
        <v>693821.0</v>
      </c>
      <c r="C1797" s="72">
        <v>45847.0</v>
      </c>
      <c r="D1797" s="38">
        <v>99.0</v>
      </c>
      <c r="E1797" s="73" t="str">
        <f>IFERROR(__xludf.DUMMYFUNCTION("average(filter('Appearance Sheet'!F:F,'Appearance Sheet'!G:G=B1797,'Appearance Sheet'!A:A=C1797))"),"#N/A")</f>
        <v>#N/A</v>
      </c>
      <c r="F1797" s="67">
        <v>5.156067684</v>
      </c>
      <c r="G1797" s="40">
        <v>1.97837026</v>
      </c>
      <c r="H1797" s="40" t="str">
        <f t="shared" si="1"/>
        <v>#N/A</v>
      </c>
      <c r="I1797" s="41">
        <v>0.464646465</v>
      </c>
      <c r="J1797" s="41">
        <v>0.191919192</v>
      </c>
      <c r="K1797" s="41">
        <v>0.343434343</v>
      </c>
      <c r="L1797" s="41">
        <f t="shared" si="2"/>
        <v>0.121212122</v>
      </c>
      <c r="M1797" s="74">
        <v>-1.82072719</v>
      </c>
    </row>
    <row r="1798">
      <c r="A1798" s="1" t="s">
        <v>456</v>
      </c>
      <c r="B1798" s="38">
        <v>605135.0</v>
      </c>
      <c r="C1798" s="72">
        <v>45802.0</v>
      </c>
      <c r="D1798" s="38">
        <v>74.0</v>
      </c>
      <c r="E1798" s="73">
        <f>IFERROR(__xludf.DUMMYFUNCTION("average(filter('Appearance Sheet'!F:F,'Appearance Sheet'!G:G=B1798,'Appearance Sheet'!A:A=C1798))"),4.0)</f>
        <v>4</v>
      </c>
      <c r="F1798" s="67">
        <v>5.156033648</v>
      </c>
      <c r="G1798" s="40">
        <v>1.490203122</v>
      </c>
      <c r="H1798" s="40">
        <f t="shared" si="1"/>
        <v>3.352957025</v>
      </c>
      <c r="I1798" s="41">
        <v>0.5</v>
      </c>
      <c r="J1798" s="41">
        <v>0.216216216</v>
      </c>
      <c r="K1798" s="41">
        <v>0.283783784</v>
      </c>
      <c r="L1798" s="41">
        <f t="shared" si="2"/>
        <v>0.216216216</v>
      </c>
      <c r="M1798" s="74">
        <v>-3.453955317</v>
      </c>
    </row>
    <row r="1799">
      <c r="A1799" s="1" t="s">
        <v>278</v>
      </c>
      <c r="B1799" s="38">
        <v>542881.0</v>
      </c>
      <c r="C1799" s="72">
        <v>45849.0</v>
      </c>
      <c r="D1799" s="38">
        <v>77.0</v>
      </c>
      <c r="E1799" s="73" t="str">
        <f>IFERROR(__xludf.DUMMYFUNCTION("average(filter('Appearance Sheet'!F:F,'Appearance Sheet'!G:G=B1799,'Appearance Sheet'!A:A=C1799))"),"#N/A")</f>
        <v>#N/A</v>
      </c>
      <c r="F1799" s="67">
        <v>5.155952614</v>
      </c>
      <c r="G1799" s="40">
        <v>1.538762855</v>
      </c>
      <c r="H1799" s="40" t="str">
        <f t="shared" si="1"/>
        <v>#N/A</v>
      </c>
      <c r="I1799" s="41">
        <v>0.480519481</v>
      </c>
      <c r="J1799" s="41">
        <v>0.181818182</v>
      </c>
      <c r="K1799" s="41">
        <v>0.337662338</v>
      </c>
      <c r="L1799" s="41">
        <f t="shared" si="2"/>
        <v>0.142857143</v>
      </c>
      <c r="M1799" s="74">
        <v>-1.55850352</v>
      </c>
    </row>
    <row r="1800">
      <c r="A1800" s="1" t="s">
        <v>514</v>
      </c>
      <c r="B1800" s="38">
        <v>806185.0</v>
      </c>
      <c r="C1800" s="72">
        <v>45797.0</v>
      </c>
      <c r="D1800" s="38">
        <v>79.0</v>
      </c>
      <c r="E1800" s="73">
        <f>IFERROR(__xludf.DUMMYFUNCTION("average(filter('Appearance Sheet'!F:F,'Appearance Sheet'!G:G=B1800,'Appearance Sheet'!A:A=C1800))"),5.0)</f>
        <v>5</v>
      </c>
      <c r="F1800" s="67">
        <v>5.155463626</v>
      </c>
      <c r="G1800" s="40">
        <v>1.570980383</v>
      </c>
      <c r="H1800" s="40">
        <f t="shared" si="1"/>
        <v>2.827764689</v>
      </c>
      <c r="I1800" s="41">
        <v>0.46835443</v>
      </c>
      <c r="J1800" s="41">
        <v>0.189873418</v>
      </c>
      <c r="K1800" s="41">
        <v>0.341772152</v>
      </c>
      <c r="L1800" s="41">
        <f t="shared" si="2"/>
        <v>0.126582278</v>
      </c>
      <c r="M1800" s="74">
        <v>-0.396989203</v>
      </c>
    </row>
    <row r="1801">
      <c r="A1801" s="1" t="s">
        <v>300</v>
      </c>
      <c r="B1801" s="38">
        <v>506433.0</v>
      </c>
      <c r="C1801" s="72">
        <v>45896.0</v>
      </c>
      <c r="D1801" s="38">
        <v>68.0</v>
      </c>
      <c r="E1801" s="73" t="str">
        <f>IFERROR(__xludf.DUMMYFUNCTION("average(filter('Appearance Sheet'!F:F,'Appearance Sheet'!G:G=B1801,'Appearance Sheet'!A:A=C1801))"),"#N/A")</f>
        <v>#N/A</v>
      </c>
      <c r="F1801" s="67">
        <v>5.155397615</v>
      </c>
      <c r="G1801" s="40">
        <v>1.356621801</v>
      </c>
      <c r="H1801" s="40" t="str">
        <f t="shared" si="1"/>
        <v>#N/A</v>
      </c>
      <c r="I1801" s="41">
        <v>0.441176471</v>
      </c>
      <c r="J1801" s="41">
        <v>0.132352941</v>
      </c>
      <c r="K1801" s="41">
        <v>0.426470588</v>
      </c>
      <c r="L1801" s="41">
        <f t="shared" si="2"/>
        <v>0.014705883</v>
      </c>
      <c r="M1801" s="74">
        <v>-0.144382799</v>
      </c>
    </row>
    <row r="1802">
      <c r="A1802" s="1" t="s">
        <v>339</v>
      </c>
      <c r="B1802" s="38">
        <v>686613.0</v>
      </c>
      <c r="C1802" s="72">
        <v>45870.0</v>
      </c>
      <c r="D1802" s="38">
        <v>92.0</v>
      </c>
      <c r="E1802" s="73" t="str">
        <f>IFERROR(__xludf.DUMMYFUNCTION("average(filter('Appearance Sheet'!F:F,'Appearance Sheet'!G:G=B1802,'Appearance Sheet'!A:A=C1802))"),"#N/A")</f>
        <v>#N/A</v>
      </c>
      <c r="F1802" s="67">
        <v>5.155192984</v>
      </c>
      <c r="G1802" s="40">
        <v>1.847601684</v>
      </c>
      <c r="H1802" s="40" t="str">
        <f t="shared" si="1"/>
        <v>#N/A</v>
      </c>
      <c r="I1802" s="41">
        <v>0.510869565</v>
      </c>
      <c r="J1802" s="41">
        <v>0.22826087</v>
      </c>
      <c r="K1802" s="41">
        <v>0.260869565</v>
      </c>
      <c r="L1802" s="41">
        <f t="shared" si="2"/>
        <v>0.25</v>
      </c>
      <c r="M1802" s="74">
        <v>1.413716457</v>
      </c>
    </row>
    <row r="1803">
      <c r="A1803" s="1" t="s">
        <v>423</v>
      </c>
      <c r="B1803" s="38">
        <v>656605.0</v>
      </c>
      <c r="C1803" s="72">
        <v>45796.0</v>
      </c>
      <c r="D1803" s="38">
        <v>91.0</v>
      </c>
      <c r="E1803" s="73">
        <f>IFERROR(__xludf.DUMMYFUNCTION("average(filter('Appearance Sheet'!F:F,'Appearance Sheet'!G:G=B1803,'Appearance Sheet'!A:A=C1803))"),6.0)</f>
        <v>6</v>
      </c>
      <c r="F1803" s="67">
        <v>5.155094478</v>
      </c>
      <c r="G1803" s="40">
        <v>1.828185285</v>
      </c>
      <c r="H1803" s="40">
        <f t="shared" si="1"/>
        <v>2.742277928</v>
      </c>
      <c r="I1803" s="41">
        <v>0.505494505</v>
      </c>
      <c r="J1803" s="41">
        <v>0.142857143</v>
      </c>
      <c r="K1803" s="41">
        <v>0.351648352</v>
      </c>
      <c r="L1803" s="41">
        <f t="shared" si="2"/>
        <v>0.153846153</v>
      </c>
      <c r="M1803" s="74">
        <v>-0.01899769</v>
      </c>
    </row>
    <row r="1804">
      <c r="A1804" s="1" t="s">
        <v>366</v>
      </c>
      <c r="B1804" s="38">
        <v>656550.0</v>
      </c>
      <c r="C1804" s="72">
        <v>45818.0</v>
      </c>
      <c r="D1804" s="38">
        <v>95.0</v>
      </c>
      <c r="E1804" s="73">
        <f>IFERROR(__xludf.DUMMYFUNCTION("average(filter('Appearance Sheet'!F:F,'Appearance Sheet'!G:G=B1804,'Appearance Sheet'!A:A=C1804))"),5.333333333333333)</f>
        <v>5.333333333</v>
      </c>
      <c r="F1804" s="67">
        <v>5.155021457</v>
      </c>
      <c r="G1804" s="40">
        <v>1.884879899</v>
      </c>
      <c r="H1804" s="40">
        <f t="shared" si="1"/>
        <v>3.18073483</v>
      </c>
      <c r="I1804" s="41">
        <v>0.505263158</v>
      </c>
      <c r="J1804" s="41">
        <v>0.157894737</v>
      </c>
      <c r="K1804" s="41">
        <v>0.336842105</v>
      </c>
      <c r="L1804" s="41">
        <f t="shared" si="2"/>
        <v>0.168421053</v>
      </c>
      <c r="M1804" s="74">
        <v>-0.017242157</v>
      </c>
    </row>
    <row r="1805">
      <c r="A1805" s="1" t="s">
        <v>415</v>
      </c>
      <c r="B1805" s="38">
        <v>656794.0</v>
      </c>
      <c r="C1805" s="72">
        <v>45795.0</v>
      </c>
      <c r="D1805" s="38">
        <v>78.0</v>
      </c>
      <c r="E1805" s="73">
        <f>IFERROR(__xludf.DUMMYFUNCTION("average(filter('Appearance Sheet'!F:F,'Appearance Sheet'!G:G=B1805,'Appearance Sheet'!A:A=C1805))"),4.666666666666667)</f>
        <v>4.666666667</v>
      </c>
      <c r="F1805" s="67">
        <v>5.154845527</v>
      </c>
      <c r="G1805" s="40">
        <v>1.545627488</v>
      </c>
      <c r="H1805" s="40">
        <f t="shared" si="1"/>
        <v>2.980853013</v>
      </c>
      <c r="I1805" s="41">
        <v>0.512820513</v>
      </c>
      <c r="J1805" s="41">
        <v>0.179487179</v>
      </c>
      <c r="K1805" s="41">
        <v>0.307692308</v>
      </c>
      <c r="L1805" s="41">
        <f t="shared" si="2"/>
        <v>0.205128205</v>
      </c>
      <c r="M1805" s="74">
        <v>-1.272246086</v>
      </c>
    </row>
    <row r="1806">
      <c r="A1806" s="1" t="s">
        <v>209</v>
      </c>
      <c r="B1806" s="38">
        <v>694738.0</v>
      </c>
      <c r="C1806" s="72">
        <v>45816.0</v>
      </c>
      <c r="D1806" s="38">
        <v>92.0</v>
      </c>
      <c r="E1806" s="73">
        <f>IFERROR(__xludf.DUMMYFUNCTION("average(filter('Appearance Sheet'!F:F,'Appearance Sheet'!G:G=B1806,'Appearance Sheet'!A:A=C1806))"),6.0)</f>
        <v>6</v>
      </c>
      <c r="F1806" s="67">
        <v>5.154738419</v>
      </c>
      <c r="G1806" s="40">
        <v>1.819651175</v>
      </c>
      <c r="H1806" s="40">
        <f t="shared" si="1"/>
        <v>2.729476763</v>
      </c>
      <c r="I1806" s="41">
        <v>0.5</v>
      </c>
      <c r="J1806" s="41">
        <v>0.163043478</v>
      </c>
      <c r="K1806" s="41">
        <v>0.336956522</v>
      </c>
      <c r="L1806" s="41">
        <f t="shared" si="2"/>
        <v>0.163043478</v>
      </c>
      <c r="M1806" s="74">
        <v>-1.010021096</v>
      </c>
    </row>
    <row r="1807">
      <c r="A1807" s="1" t="s">
        <v>228</v>
      </c>
      <c r="B1807" s="38">
        <v>687473.0</v>
      </c>
      <c r="C1807" s="72">
        <v>45800.0</v>
      </c>
      <c r="D1807" s="38">
        <v>75.0</v>
      </c>
      <c r="E1807" s="73">
        <f>IFERROR(__xludf.DUMMYFUNCTION("average(filter('Appearance Sheet'!F:F,'Appearance Sheet'!G:G=B1807,'Appearance Sheet'!A:A=C1807))"),4.333333333333333)</f>
        <v>4.333333333</v>
      </c>
      <c r="F1807" s="67">
        <v>5.154717745</v>
      </c>
      <c r="G1807" s="40">
        <v>1.490499209</v>
      </c>
      <c r="H1807" s="40">
        <f t="shared" si="1"/>
        <v>3.095652203</v>
      </c>
      <c r="I1807" s="41">
        <v>0.533333333</v>
      </c>
      <c r="J1807" s="41">
        <v>0.2</v>
      </c>
      <c r="K1807" s="41">
        <v>0.266666667</v>
      </c>
      <c r="L1807" s="41">
        <f t="shared" si="2"/>
        <v>0.266666666</v>
      </c>
      <c r="M1807" s="74">
        <v>0.529675343</v>
      </c>
    </row>
    <row r="1808">
      <c r="A1808" s="1" t="s">
        <v>35</v>
      </c>
      <c r="B1808" s="38">
        <v>676083.0</v>
      </c>
      <c r="C1808" s="72">
        <v>45881.0</v>
      </c>
      <c r="D1808" s="38">
        <v>82.0</v>
      </c>
      <c r="E1808" s="73" t="str">
        <f>IFERROR(__xludf.DUMMYFUNCTION("average(filter('Appearance Sheet'!F:F,'Appearance Sheet'!G:G=B1808,'Appearance Sheet'!A:A=C1808))"),"#N/A")</f>
        <v>#N/A</v>
      </c>
      <c r="F1808" s="67">
        <v>5.154566207</v>
      </c>
      <c r="G1808" s="40">
        <v>1.643216504</v>
      </c>
      <c r="H1808" s="40" t="str">
        <f t="shared" si="1"/>
        <v>#N/A</v>
      </c>
      <c r="I1808" s="41">
        <v>0.5</v>
      </c>
      <c r="J1808" s="41">
        <v>0.158536585</v>
      </c>
      <c r="K1808" s="41">
        <v>0.341463415</v>
      </c>
      <c r="L1808" s="41">
        <f t="shared" si="2"/>
        <v>0.158536585</v>
      </c>
      <c r="M1808" s="74">
        <v>-1.580515587</v>
      </c>
    </row>
    <row r="1809">
      <c r="A1809" s="1" t="s">
        <v>243</v>
      </c>
      <c r="B1809" s="38">
        <v>680684.0</v>
      </c>
      <c r="C1809" s="72">
        <v>45797.0</v>
      </c>
      <c r="D1809" s="38">
        <v>86.0</v>
      </c>
      <c r="E1809" s="73">
        <f>IFERROR(__xludf.DUMMYFUNCTION("average(filter('Appearance Sheet'!F:F,'Appearance Sheet'!G:G=B1809,'Appearance Sheet'!A:A=C1809))"),4.666666666666667)</f>
        <v>4.666666667</v>
      </c>
      <c r="F1809" s="67">
        <v>5.154516407</v>
      </c>
      <c r="G1809" s="40">
        <v>1.710745212</v>
      </c>
      <c r="H1809" s="40">
        <f t="shared" si="1"/>
        <v>3.299294337</v>
      </c>
      <c r="I1809" s="41">
        <v>0.488372093</v>
      </c>
      <c r="J1809" s="41">
        <v>0.139534884</v>
      </c>
      <c r="K1809" s="41">
        <v>0.372093023</v>
      </c>
      <c r="L1809" s="41">
        <f t="shared" si="2"/>
        <v>0.11627907</v>
      </c>
      <c r="M1809" s="74">
        <v>-0.2012046</v>
      </c>
    </row>
    <row r="1810">
      <c r="A1810" s="1" t="s">
        <v>351</v>
      </c>
      <c r="B1810" s="38">
        <v>689017.0</v>
      </c>
      <c r="C1810" s="72">
        <v>45784.0</v>
      </c>
      <c r="D1810" s="38">
        <v>73.0</v>
      </c>
      <c r="E1810" s="73">
        <f>IFERROR(__xludf.DUMMYFUNCTION("average(filter('Appearance Sheet'!F:F,'Appearance Sheet'!G:G=B1810,'Appearance Sheet'!A:A=C1810))"),5.0)</f>
        <v>5</v>
      </c>
      <c r="F1810" s="67">
        <v>5.154388803</v>
      </c>
      <c r="G1810" s="40">
        <v>1.439808345</v>
      </c>
      <c r="H1810" s="40">
        <f t="shared" si="1"/>
        <v>2.591655021</v>
      </c>
      <c r="I1810" s="41">
        <v>0.561643836</v>
      </c>
      <c r="J1810" s="41">
        <v>0.082191781</v>
      </c>
      <c r="K1810" s="41">
        <v>0.356164384</v>
      </c>
      <c r="L1810" s="41">
        <f t="shared" si="2"/>
        <v>0.205479452</v>
      </c>
      <c r="M1810" s="74">
        <v>-0.519651691</v>
      </c>
    </row>
    <row r="1811">
      <c r="A1811" s="1" t="s">
        <v>376</v>
      </c>
      <c r="B1811" s="38">
        <v>668909.0</v>
      </c>
      <c r="C1811" s="72">
        <v>45917.0</v>
      </c>
      <c r="D1811" s="38">
        <v>96.0</v>
      </c>
      <c r="E1811" s="73" t="str">
        <f>IFERROR(__xludf.DUMMYFUNCTION("average(filter('Appearance Sheet'!F:F,'Appearance Sheet'!G:G=B1811,'Appearance Sheet'!A:A=C1811))"),"#N/A")</f>
        <v>#N/A</v>
      </c>
      <c r="F1811" s="67">
        <v>5.154139256</v>
      </c>
      <c r="G1811" s="40">
        <v>1.878062583</v>
      </c>
      <c r="H1811" s="40" t="str">
        <f t="shared" si="1"/>
        <v>#N/A</v>
      </c>
      <c r="I1811" s="41">
        <v>0.5</v>
      </c>
      <c r="J1811" s="41">
        <v>0.208333333</v>
      </c>
      <c r="K1811" s="41">
        <v>0.291666667</v>
      </c>
      <c r="L1811" s="41">
        <f t="shared" si="2"/>
        <v>0.208333333</v>
      </c>
      <c r="M1811" s="74">
        <v>3.544433778</v>
      </c>
    </row>
    <row r="1812">
      <c r="A1812" s="1" t="s">
        <v>339</v>
      </c>
      <c r="B1812" s="38">
        <v>686613.0</v>
      </c>
      <c r="C1812" s="72">
        <v>45804.0</v>
      </c>
      <c r="D1812" s="38">
        <v>79.0</v>
      </c>
      <c r="E1812" s="73">
        <f>IFERROR(__xludf.DUMMYFUNCTION("average(filter('Appearance Sheet'!F:F,'Appearance Sheet'!G:G=B1812,'Appearance Sheet'!A:A=C1812))"),6.0)</f>
        <v>6</v>
      </c>
      <c r="F1812" s="67">
        <v>5.153895586</v>
      </c>
      <c r="G1812" s="40">
        <v>1.561215239</v>
      </c>
      <c r="H1812" s="40">
        <f t="shared" si="1"/>
        <v>2.341822859</v>
      </c>
      <c r="I1812" s="41">
        <v>0.46835443</v>
      </c>
      <c r="J1812" s="41">
        <v>0.17721519</v>
      </c>
      <c r="K1812" s="41">
        <v>0.35443038</v>
      </c>
      <c r="L1812" s="41">
        <f t="shared" si="2"/>
        <v>0.11392405</v>
      </c>
      <c r="M1812" s="74">
        <v>-0.529244794</v>
      </c>
    </row>
    <row r="1813">
      <c r="A1813" s="1" t="s">
        <v>461</v>
      </c>
      <c r="B1813" s="38">
        <v>673540.0</v>
      </c>
      <c r="C1813" s="72">
        <v>45796.0</v>
      </c>
      <c r="D1813" s="38">
        <v>97.0</v>
      </c>
      <c r="E1813" s="73">
        <f>IFERROR(__xludf.DUMMYFUNCTION("average(filter('Appearance Sheet'!F:F,'Appearance Sheet'!G:G=B1813,'Appearance Sheet'!A:A=C1813))"),6.0)</f>
        <v>6</v>
      </c>
      <c r="F1813" s="67">
        <v>5.153866716</v>
      </c>
      <c r="G1813" s="40">
        <v>1.932191085</v>
      </c>
      <c r="H1813" s="40">
        <f t="shared" si="1"/>
        <v>2.898286628</v>
      </c>
      <c r="I1813" s="41">
        <v>0.494845361</v>
      </c>
      <c r="J1813" s="41">
        <v>0.18556701</v>
      </c>
      <c r="K1813" s="41">
        <v>0.319587629</v>
      </c>
      <c r="L1813" s="41">
        <f t="shared" si="2"/>
        <v>0.175257732</v>
      </c>
      <c r="M1813" s="74">
        <v>-0.878234831</v>
      </c>
    </row>
    <row r="1814">
      <c r="A1814" s="1" t="s">
        <v>490</v>
      </c>
      <c r="B1814" s="38">
        <v>680573.0</v>
      </c>
      <c r="C1814" s="72">
        <v>45773.0</v>
      </c>
      <c r="D1814" s="38">
        <v>85.0</v>
      </c>
      <c r="E1814" s="73">
        <f>IFERROR(__xludf.DUMMYFUNCTION("average(filter('Appearance Sheet'!F:F,'Appearance Sheet'!G:G=B1814,'Appearance Sheet'!A:A=C1814))"),5.333333333333333)</f>
        <v>5.333333333</v>
      </c>
      <c r="F1814" s="67">
        <v>5.153822926</v>
      </c>
      <c r="G1814" s="40">
        <v>1.71874403</v>
      </c>
      <c r="H1814" s="40">
        <f t="shared" si="1"/>
        <v>2.900380551</v>
      </c>
      <c r="I1814" s="41">
        <v>0.411764706</v>
      </c>
      <c r="J1814" s="41">
        <v>0.235294118</v>
      </c>
      <c r="K1814" s="41">
        <v>0.352941176</v>
      </c>
      <c r="L1814" s="41">
        <f t="shared" si="2"/>
        <v>0.05882353</v>
      </c>
      <c r="M1814" s="74">
        <v>0.616560181</v>
      </c>
    </row>
    <row r="1815">
      <c r="A1815" s="1" t="s">
        <v>269</v>
      </c>
      <c r="B1815" s="38">
        <v>605280.0</v>
      </c>
      <c r="C1815" s="72">
        <v>45815.0</v>
      </c>
      <c r="D1815" s="38">
        <v>94.0</v>
      </c>
      <c r="E1815" s="73">
        <f>IFERROR(__xludf.DUMMYFUNCTION("average(filter('Appearance Sheet'!F:F,'Appearance Sheet'!G:G=B1815,'Appearance Sheet'!A:A=C1815))"),6.0)</f>
        <v>6</v>
      </c>
      <c r="F1815" s="67">
        <v>5.153473871</v>
      </c>
      <c r="G1815" s="40">
        <v>1.905319312</v>
      </c>
      <c r="H1815" s="40">
        <f t="shared" si="1"/>
        <v>2.857978968</v>
      </c>
      <c r="I1815" s="41">
        <v>0.425531915</v>
      </c>
      <c r="J1815" s="41">
        <v>0.265957447</v>
      </c>
      <c r="K1815" s="41">
        <v>0.308510638</v>
      </c>
      <c r="L1815" s="41">
        <f t="shared" si="2"/>
        <v>0.117021277</v>
      </c>
      <c r="M1815" s="74">
        <v>-2.869682928</v>
      </c>
    </row>
    <row r="1816">
      <c r="A1816" s="1" t="s">
        <v>325</v>
      </c>
      <c r="B1816" s="38">
        <v>676917.0</v>
      </c>
      <c r="C1816" s="72">
        <v>45875.0</v>
      </c>
      <c r="D1816" s="38">
        <v>84.0</v>
      </c>
      <c r="E1816" s="73" t="str">
        <f>IFERROR(__xludf.DUMMYFUNCTION("average(filter('Appearance Sheet'!F:F,'Appearance Sheet'!G:G=B1816,'Appearance Sheet'!A:A=C1816))"),"#N/A")</f>
        <v>#N/A</v>
      </c>
      <c r="F1816" s="67">
        <v>5.153424515</v>
      </c>
      <c r="G1816" s="40">
        <v>1.659980507</v>
      </c>
      <c r="H1816" s="40" t="str">
        <f t="shared" si="1"/>
        <v>#N/A</v>
      </c>
      <c r="I1816" s="41">
        <v>0.476190476</v>
      </c>
      <c r="J1816" s="41">
        <v>0.178571429</v>
      </c>
      <c r="K1816" s="41">
        <v>0.345238095</v>
      </c>
      <c r="L1816" s="41">
        <f t="shared" si="2"/>
        <v>0.130952381</v>
      </c>
      <c r="M1816" s="74">
        <v>3.028402238</v>
      </c>
    </row>
    <row r="1817">
      <c r="A1817" s="1" t="s">
        <v>419</v>
      </c>
      <c r="B1817" s="38">
        <v>681857.0</v>
      </c>
      <c r="C1817" s="72">
        <v>45847.0</v>
      </c>
      <c r="D1817" s="38">
        <v>83.0</v>
      </c>
      <c r="E1817" s="73" t="str">
        <f>IFERROR(__xludf.DUMMYFUNCTION("average(filter('Appearance Sheet'!F:F,'Appearance Sheet'!G:G=B1817,'Appearance Sheet'!A:A=C1817))"),"#N/A")</f>
        <v>#N/A</v>
      </c>
      <c r="F1817" s="67">
        <v>5.15338327</v>
      </c>
      <c r="G1817" s="40">
        <v>1.640005923</v>
      </c>
      <c r="H1817" s="40" t="str">
        <f t="shared" si="1"/>
        <v>#N/A</v>
      </c>
      <c r="I1817" s="41">
        <v>0.457831325</v>
      </c>
      <c r="J1817" s="41">
        <v>0.204819277</v>
      </c>
      <c r="K1817" s="41">
        <v>0.337349398</v>
      </c>
      <c r="L1817" s="41">
        <f t="shared" si="2"/>
        <v>0.120481927</v>
      </c>
      <c r="M1817" s="74">
        <v>-1.301330847</v>
      </c>
    </row>
    <row r="1818">
      <c r="A1818" s="1" t="s">
        <v>177</v>
      </c>
      <c r="B1818" s="38">
        <v>641793.0</v>
      </c>
      <c r="C1818" s="72">
        <v>45920.0</v>
      </c>
      <c r="D1818" s="38">
        <v>70.0</v>
      </c>
      <c r="E1818" s="73" t="str">
        <f>IFERROR(__xludf.DUMMYFUNCTION("average(filter('Appearance Sheet'!F:F,'Appearance Sheet'!G:G=B1818,'Appearance Sheet'!A:A=C1818))"),"#N/A")</f>
        <v>#N/A</v>
      </c>
      <c r="F1818" s="67">
        <v>5.1531739</v>
      </c>
      <c r="G1818" s="40">
        <v>1.404864777</v>
      </c>
      <c r="H1818" s="40" t="str">
        <f t="shared" si="1"/>
        <v>#N/A</v>
      </c>
      <c r="I1818" s="41">
        <v>0.485714286</v>
      </c>
      <c r="J1818" s="41">
        <v>0.128571429</v>
      </c>
      <c r="K1818" s="41">
        <v>0.385714286</v>
      </c>
      <c r="L1818" s="41">
        <f t="shared" si="2"/>
        <v>0.1</v>
      </c>
      <c r="M1818" s="74">
        <v>1.242869002</v>
      </c>
    </row>
    <row r="1819">
      <c r="A1819" s="1" t="s">
        <v>356</v>
      </c>
      <c r="B1819" s="38">
        <v>680732.0</v>
      </c>
      <c r="C1819" s="72">
        <v>45865.0</v>
      </c>
      <c r="D1819" s="38">
        <v>89.0</v>
      </c>
      <c r="E1819" s="73" t="str">
        <f>IFERROR(__xludf.DUMMYFUNCTION("average(filter('Appearance Sheet'!F:F,'Appearance Sheet'!G:G=B1819,'Appearance Sheet'!A:A=C1819))"),"#N/A")</f>
        <v>#N/A</v>
      </c>
      <c r="F1819" s="67">
        <v>5.153070553</v>
      </c>
      <c r="G1819" s="40">
        <v>1.785098016</v>
      </c>
      <c r="H1819" s="40" t="str">
        <f t="shared" si="1"/>
        <v>#N/A</v>
      </c>
      <c r="I1819" s="41">
        <v>0.449438202</v>
      </c>
      <c r="J1819" s="41">
        <v>0.280898876</v>
      </c>
      <c r="K1819" s="41">
        <v>0.269662921</v>
      </c>
      <c r="L1819" s="41">
        <f t="shared" si="2"/>
        <v>0.179775281</v>
      </c>
      <c r="M1819" s="74">
        <v>0.401845849</v>
      </c>
    </row>
    <row r="1820">
      <c r="A1820" s="1" t="s">
        <v>179</v>
      </c>
      <c r="B1820" s="38">
        <v>663568.0</v>
      </c>
      <c r="C1820" s="72">
        <v>45924.0</v>
      </c>
      <c r="D1820" s="38">
        <v>92.0</v>
      </c>
      <c r="E1820" s="73" t="str">
        <f>IFERROR(__xludf.DUMMYFUNCTION("average(filter('Appearance Sheet'!F:F,'Appearance Sheet'!G:G=B1820,'Appearance Sheet'!A:A=C1820))"),"#N/A")</f>
        <v>#N/A</v>
      </c>
      <c r="F1820" s="67">
        <v>5.153067497</v>
      </c>
      <c r="G1820" s="40">
        <v>1.858217491</v>
      </c>
      <c r="H1820" s="40" t="str">
        <f t="shared" si="1"/>
        <v>#N/A</v>
      </c>
      <c r="I1820" s="41">
        <v>0.47826087</v>
      </c>
      <c r="J1820" s="41">
        <v>0.152173913</v>
      </c>
      <c r="K1820" s="41">
        <v>0.369565217</v>
      </c>
      <c r="L1820" s="41">
        <f t="shared" si="2"/>
        <v>0.108695653</v>
      </c>
      <c r="M1820" s="74">
        <v>1.770657194</v>
      </c>
    </row>
    <row r="1821">
      <c r="A1821" s="1" t="s">
        <v>73</v>
      </c>
      <c r="B1821" s="38">
        <v>668881.0</v>
      </c>
      <c r="C1821" s="72">
        <v>45754.0</v>
      </c>
      <c r="D1821" s="38">
        <v>98.0</v>
      </c>
      <c r="E1821" s="73">
        <f>IFERROR(__xludf.DUMMYFUNCTION("average(filter('Appearance Sheet'!F:F,'Appearance Sheet'!G:G=B1821,'Appearance Sheet'!A:A=C1821))"),8.666666666666666)</f>
        <v>8.666666667</v>
      </c>
      <c r="F1821" s="67">
        <v>5.153026308</v>
      </c>
      <c r="G1821" s="40">
        <v>1.978258521</v>
      </c>
      <c r="H1821" s="40">
        <f t="shared" si="1"/>
        <v>2.054345387</v>
      </c>
      <c r="I1821" s="41">
        <v>0.520408163</v>
      </c>
      <c r="J1821" s="41">
        <v>0.163265306</v>
      </c>
      <c r="K1821" s="41">
        <v>0.316326531</v>
      </c>
      <c r="L1821" s="41">
        <f t="shared" si="2"/>
        <v>0.204081632</v>
      </c>
      <c r="M1821" s="74">
        <v>0.811499324</v>
      </c>
    </row>
    <row r="1822">
      <c r="A1822" s="1" t="s">
        <v>413</v>
      </c>
      <c r="B1822" s="38">
        <v>671737.0</v>
      </c>
      <c r="C1822" s="72">
        <v>45798.0</v>
      </c>
      <c r="D1822" s="38">
        <v>82.0</v>
      </c>
      <c r="E1822" s="73">
        <f>IFERROR(__xludf.DUMMYFUNCTION("average(filter('Appearance Sheet'!F:F,'Appearance Sheet'!G:G=B1822,'Appearance Sheet'!A:A=C1822))"),6.0)</f>
        <v>6</v>
      </c>
      <c r="F1822" s="67">
        <v>5.152293838</v>
      </c>
      <c r="G1822" s="40">
        <v>1.675299458</v>
      </c>
      <c r="H1822" s="40">
        <f t="shared" si="1"/>
        <v>2.512949187</v>
      </c>
      <c r="I1822" s="41">
        <v>0.463414634</v>
      </c>
      <c r="J1822" s="41">
        <v>0.109756098</v>
      </c>
      <c r="K1822" s="41">
        <v>0.426829268</v>
      </c>
      <c r="L1822" s="41">
        <f t="shared" si="2"/>
        <v>0.036585366</v>
      </c>
      <c r="M1822" s="74">
        <v>0.188629425</v>
      </c>
    </row>
    <row r="1823">
      <c r="A1823" s="1" t="s">
        <v>423</v>
      </c>
      <c r="B1823" s="38">
        <v>656605.0</v>
      </c>
      <c r="C1823" s="72">
        <v>45900.0</v>
      </c>
      <c r="D1823" s="38">
        <v>89.0</v>
      </c>
      <c r="E1823" s="73" t="str">
        <f>IFERROR(__xludf.DUMMYFUNCTION("average(filter('Appearance Sheet'!F:F,'Appearance Sheet'!G:G=B1823,'Appearance Sheet'!A:A=C1823))"),"#N/A")</f>
        <v>#N/A</v>
      </c>
      <c r="F1823" s="67">
        <v>5.152237459</v>
      </c>
      <c r="G1823" s="40">
        <v>1.794413104</v>
      </c>
      <c r="H1823" s="40" t="str">
        <f t="shared" si="1"/>
        <v>#N/A</v>
      </c>
      <c r="I1823" s="41">
        <v>0.505617978</v>
      </c>
      <c r="J1823" s="41">
        <v>0.213483146</v>
      </c>
      <c r="K1823" s="41">
        <v>0.280898876</v>
      </c>
      <c r="L1823" s="41">
        <f t="shared" si="2"/>
        <v>0.224719102</v>
      </c>
      <c r="M1823" s="74">
        <v>1.427913024</v>
      </c>
    </row>
    <row r="1824">
      <c r="A1824" s="1" t="s">
        <v>294</v>
      </c>
      <c r="B1824" s="38">
        <v>665152.0</v>
      </c>
      <c r="C1824" s="72">
        <v>45751.0</v>
      </c>
      <c r="D1824" s="38">
        <v>87.0</v>
      </c>
      <c r="E1824" s="73">
        <f>IFERROR(__xludf.DUMMYFUNCTION("average(filter('Appearance Sheet'!F:F,'Appearance Sheet'!G:G=B1824,'Appearance Sheet'!A:A=C1824))"),4.333333333333333)</f>
        <v>4.333333333</v>
      </c>
      <c r="F1824" s="67">
        <v>5.152088406</v>
      </c>
      <c r="G1824" s="40">
        <v>1.745378726</v>
      </c>
      <c r="H1824" s="40">
        <f t="shared" si="1"/>
        <v>3.625017354</v>
      </c>
      <c r="I1824" s="41">
        <v>0.482758621</v>
      </c>
      <c r="J1824" s="41">
        <v>0.264367816</v>
      </c>
      <c r="K1824" s="41">
        <v>0.252873563</v>
      </c>
      <c r="L1824" s="41">
        <f t="shared" si="2"/>
        <v>0.229885058</v>
      </c>
      <c r="M1824" s="74">
        <v>-2.565422792</v>
      </c>
    </row>
    <row r="1825">
      <c r="A1825" s="1" t="s">
        <v>374</v>
      </c>
      <c r="B1825" s="38">
        <v>683004.0</v>
      </c>
      <c r="C1825" s="72">
        <v>45909.0</v>
      </c>
      <c r="D1825" s="38">
        <v>87.0</v>
      </c>
      <c r="E1825" s="73" t="str">
        <f>IFERROR(__xludf.DUMMYFUNCTION("average(filter('Appearance Sheet'!F:F,'Appearance Sheet'!G:G=B1825,'Appearance Sheet'!A:A=C1825))"),"#N/A")</f>
        <v>#N/A</v>
      </c>
      <c r="F1825" s="67">
        <v>5.151996795</v>
      </c>
      <c r="G1825" s="40">
        <v>1.767820479</v>
      </c>
      <c r="H1825" s="40" t="str">
        <f t="shared" si="1"/>
        <v>#N/A</v>
      </c>
      <c r="I1825" s="41">
        <v>0.540229885</v>
      </c>
      <c r="J1825" s="41">
        <v>0.126436782</v>
      </c>
      <c r="K1825" s="41">
        <v>0.333333333</v>
      </c>
      <c r="L1825" s="41">
        <f t="shared" si="2"/>
        <v>0.206896552</v>
      </c>
      <c r="M1825" s="74">
        <v>-2.110831524</v>
      </c>
    </row>
    <row r="1826">
      <c r="A1826" s="1" t="s">
        <v>376</v>
      </c>
      <c r="B1826" s="38">
        <v>668909.0</v>
      </c>
      <c r="C1826" s="72">
        <v>45899.0</v>
      </c>
      <c r="D1826" s="38">
        <v>93.0</v>
      </c>
      <c r="E1826" s="73" t="str">
        <f>IFERROR(__xludf.DUMMYFUNCTION("average(filter('Appearance Sheet'!F:F,'Appearance Sheet'!G:G=B1826,'Appearance Sheet'!A:A=C1826))"),"#N/A")</f>
        <v>#N/A</v>
      </c>
      <c r="F1826" s="67">
        <v>5.151962617</v>
      </c>
      <c r="G1826" s="40">
        <v>1.898032715</v>
      </c>
      <c r="H1826" s="40" t="str">
        <f t="shared" si="1"/>
        <v>#N/A</v>
      </c>
      <c r="I1826" s="41">
        <v>0.505376344</v>
      </c>
      <c r="J1826" s="41">
        <v>0.193548387</v>
      </c>
      <c r="K1826" s="41">
        <v>0.301075269</v>
      </c>
      <c r="L1826" s="41">
        <f t="shared" si="2"/>
        <v>0.204301075</v>
      </c>
      <c r="M1826" s="74">
        <v>2.051367034</v>
      </c>
    </row>
    <row r="1827">
      <c r="A1827" s="1" t="s">
        <v>287</v>
      </c>
      <c r="B1827" s="38">
        <v>571945.0</v>
      </c>
      <c r="C1827" s="72">
        <v>45897.0</v>
      </c>
      <c r="D1827" s="38">
        <v>89.0</v>
      </c>
      <c r="E1827" s="73" t="str">
        <f>IFERROR(__xludf.DUMMYFUNCTION("average(filter('Appearance Sheet'!F:F,'Appearance Sheet'!G:G=B1827,'Appearance Sheet'!A:A=C1827))"),"#N/A")</f>
        <v>#N/A</v>
      </c>
      <c r="F1827" s="67">
        <v>5.151740245</v>
      </c>
      <c r="G1827" s="40">
        <v>1.757725312</v>
      </c>
      <c r="H1827" s="40" t="str">
        <f t="shared" si="1"/>
        <v>#N/A</v>
      </c>
      <c r="I1827" s="41">
        <v>0.404494382</v>
      </c>
      <c r="J1827" s="41">
        <v>0.269662921</v>
      </c>
      <c r="K1827" s="41">
        <v>0.325842697</v>
      </c>
      <c r="L1827" s="41">
        <f t="shared" si="2"/>
        <v>0.078651685</v>
      </c>
      <c r="M1827" s="74">
        <v>2.458504068</v>
      </c>
    </row>
    <row r="1828">
      <c r="A1828" s="1" t="s">
        <v>133</v>
      </c>
      <c r="B1828" s="38">
        <v>663978.0</v>
      </c>
      <c r="C1828" s="72">
        <v>45809.0</v>
      </c>
      <c r="D1828" s="38">
        <v>105.0</v>
      </c>
      <c r="E1828" s="73">
        <f>IFERROR(__xludf.DUMMYFUNCTION("average(filter('Appearance Sheet'!F:F,'Appearance Sheet'!G:G=B1828,'Appearance Sheet'!A:A=C1828))"),8.0)</f>
        <v>8</v>
      </c>
      <c r="F1828" s="67">
        <v>5.151614341</v>
      </c>
      <c r="G1828" s="40">
        <v>2.104618886</v>
      </c>
      <c r="H1828" s="40">
        <f t="shared" si="1"/>
        <v>2.367696247</v>
      </c>
      <c r="I1828" s="41">
        <v>0.485714286</v>
      </c>
      <c r="J1828" s="41">
        <v>0.180952381</v>
      </c>
      <c r="K1828" s="41">
        <v>0.333333333</v>
      </c>
      <c r="L1828" s="41">
        <f t="shared" si="2"/>
        <v>0.152380953</v>
      </c>
      <c r="M1828" s="74">
        <v>4.534913408</v>
      </c>
    </row>
    <row r="1829">
      <c r="A1829" s="1" t="s">
        <v>285</v>
      </c>
      <c r="B1829" s="38">
        <v>607074.0</v>
      </c>
      <c r="C1829" s="72">
        <v>45920.0</v>
      </c>
      <c r="D1829" s="38">
        <v>96.0</v>
      </c>
      <c r="E1829" s="73" t="str">
        <f>IFERROR(__xludf.DUMMYFUNCTION("average(filter('Appearance Sheet'!F:F,'Appearance Sheet'!G:G=B1829,'Appearance Sheet'!A:A=C1829))"),"#N/A")</f>
        <v>#N/A</v>
      </c>
      <c r="F1829" s="67">
        <v>5.151484812</v>
      </c>
      <c r="G1829" s="40">
        <v>1.912849345</v>
      </c>
      <c r="H1829" s="40" t="str">
        <f t="shared" si="1"/>
        <v>#N/A</v>
      </c>
      <c r="I1829" s="41">
        <v>0.520833333</v>
      </c>
      <c r="J1829" s="41">
        <v>0.104166667</v>
      </c>
      <c r="K1829" s="41">
        <v>0.375</v>
      </c>
      <c r="L1829" s="41">
        <f t="shared" si="2"/>
        <v>0.145833333</v>
      </c>
      <c r="M1829" s="74">
        <v>0.744853355</v>
      </c>
    </row>
    <row r="1830">
      <c r="A1830" s="1" t="s">
        <v>376</v>
      </c>
      <c r="B1830" s="38">
        <v>668909.0</v>
      </c>
      <c r="C1830" s="72">
        <v>45791.0</v>
      </c>
      <c r="D1830" s="38">
        <v>92.0</v>
      </c>
      <c r="E1830" s="73">
        <f>IFERROR(__xludf.DUMMYFUNCTION("average(filter('Appearance Sheet'!F:F,'Appearance Sheet'!G:G=B1830,'Appearance Sheet'!A:A=C1830))"),5.0)</f>
        <v>5</v>
      </c>
      <c r="F1830" s="67">
        <v>5.151453792</v>
      </c>
      <c r="G1830" s="40">
        <v>1.821976801</v>
      </c>
      <c r="H1830" s="40">
        <f t="shared" si="1"/>
        <v>3.279558242</v>
      </c>
      <c r="I1830" s="41">
        <v>0.445652174</v>
      </c>
      <c r="J1830" s="41">
        <v>0.195652174</v>
      </c>
      <c r="K1830" s="41">
        <v>0.358695652</v>
      </c>
      <c r="L1830" s="41">
        <f t="shared" si="2"/>
        <v>0.086956522</v>
      </c>
      <c r="M1830" s="74">
        <v>1.902486846</v>
      </c>
    </row>
    <row r="1831">
      <c r="A1831" s="1" t="s">
        <v>125</v>
      </c>
      <c r="B1831" s="38">
        <v>663554.0</v>
      </c>
      <c r="C1831" s="72">
        <v>45885.0</v>
      </c>
      <c r="D1831" s="38">
        <v>89.0</v>
      </c>
      <c r="E1831" s="73" t="str">
        <f>IFERROR(__xludf.DUMMYFUNCTION("average(filter('Appearance Sheet'!F:F,'Appearance Sheet'!G:G=B1831,'Appearance Sheet'!A:A=C1831))"),"#N/A")</f>
        <v>#N/A</v>
      </c>
      <c r="F1831" s="67">
        <v>5.151372672</v>
      </c>
      <c r="G1831" s="40">
        <v>1.801314437</v>
      </c>
      <c r="H1831" s="40" t="str">
        <f t="shared" si="1"/>
        <v>#N/A</v>
      </c>
      <c r="I1831" s="41">
        <v>0.449438202</v>
      </c>
      <c r="J1831" s="41">
        <v>0.202247191</v>
      </c>
      <c r="K1831" s="41">
        <v>0.348314607</v>
      </c>
      <c r="L1831" s="41">
        <f t="shared" si="2"/>
        <v>0.101123595</v>
      </c>
      <c r="M1831" s="74">
        <v>1.317162962</v>
      </c>
    </row>
    <row r="1832">
      <c r="A1832" s="1" t="s">
        <v>366</v>
      </c>
      <c r="B1832" s="38">
        <v>656550.0</v>
      </c>
      <c r="C1832" s="72">
        <v>45784.0</v>
      </c>
      <c r="D1832" s="38">
        <v>87.0</v>
      </c>
      <c r="E1832" s="73">
        <f>IFERROR(__xludf.DUMMYFUNCTION("average(filter('Appearance Sheet'!F:F,'Appearance Sheet'!G:G=B1832,'Appearance Sheet'!A:A=C1832))"),5.333333333333333)</f>
        <v>5.333333333</v>
      </c>
      <c r="F1832" s="67">
        <v>5.151296031</v>
      </c>
      <c r="G1832" s="40">
        <v>1.765693094</v>
      </c>
      <c r="H1832" s="40">
        <f t="shared" si="1"/>
        <v>2.979607096</v>
      </c>
      <c r="I1832" s="41">
        <v>0.448275862</v>
      </c>
      <c r="J1832" s="41">
        <v>0.24137931</v>
      </c>
      <c r="K1832" s="41">
        <v>0.310344828</v>
      </c>
      <c r="L1832" s="41">
        <f t="shared" si="2"/>
        <v>0.137931034</v>
      </c>
      <c r="M1832" s="74">
        <v>-1.533678866</v>
      </c>
    </row>
    <row r="1833">
      <c r="A1833" s="1" t="s">
        <v>347</v>
      </c>
      <c r="B1833" s="38">
        <v>700249.0</v>
      </c>
      <c r="C1833" s="72">
        <v>45925.0</v>
      </c>
      <c r="D1833" s="38">
        <v>86.0</v>
      </c>
      <c r="E1833" s="73" t="str">
        <f>IFERROR(__xludf.DUMMYFUNCTION("average(filter('Appearance Sheet'!F:F,'Appearance Sheet'!G:G=B1833,'Appearance Sheet'!A:A=C1833))"),"#N/A")</f>
        <v>#N/A</v>
      </c>
      <c r="F1833" s="67">
        <v>5.151208273</v>
      </c>
      <c r="G1833" s="40">
        <v>1.703200087</v>
      </c>
      <c r="H1833" s="40" t="str">
        <f t="shared" si="1"/>
        <v>#N/A</v>
      </c>
      <c r="I1833" s="41">
        <v>0.523255814</v>
      </c>
      <c r="J1833" s="41">
        <v>0.186046512</v>
      </c>
      <c r="K1833" s="41">
        <v>0.290697674</v>
      </c>
      <c r="L1833" s="41">
        <f t="shared" si="2"/>
        <v>0.23255814</v>
      </c>
      <c r="M1833" s="74">
        <v>-3.315223857</v>
      </c>
    </row>
    <row r="1834">
      <c r="A1834" s="1" t="s">
        <v>194</v>
      </c>
      <c r="B1834" s="38">
        <v>666157.0</v>
      </c>
      <c r="C1834" s="72">
        <v>45861.0</v>
      </c>
      <c r="D1834" s="38">
        <v>104.0</v>
      </c>
      <c r="E1834" s="73" t="str">
        <f>IFERROR(__xludf.DUMMYFUNCTION("average(filter('Appearance Sheet'!F:F,'Appearance Sheet'!G:G=B1834,'Appearance Sheet'!A:A=C1834))"),"#N/A")</f>
        <v>#N/A</v>
      </c>
      <c r="F1834" s="67">
        <v>5.151201279</v>
      </c>
      <c r="G1834" s="40">
        <v>2.106485188</v>
      </c>
      <c r="H1834" s="40" t="str">
        <f t="shared" si="1"/>
        <v>#N/A</v>
      </c>
      <c r="I1834" s="41">
        <v>0.442307692</v>
      </c>
      <c r="J1834" s="41">
        <v>0.240384615</v>
      </c>
      <c r="K1834" s="41">
        <v>0.317307692</v>
      </c>
      <c r="L1834" s="41">
        <f t="shared" si="2"/>
        <v>0.125</v>
      </c>
      <c r="M1834" s="74">
        <v>2.945803481</v>
      </c>
    </row>
    <row r="1835">
      <c r="A1835" s="1" t="s">
        <v>457</v>
      </c>
      <c r="B1835" s="38">
        <v>477132.0</v>
      </c>
      <c r="C1835" s="72">
        <v>45895.0</v>
      </c>
      <c r="D1835" s="38">
        <v>71.0</v>
      </c>
      <c r="E1835" s="73" t="str">
        <f>IFERROR(__xludf.DUMMYFUNCTION("average(filter('Appearance Sheet'!F:F,'Appearance Sheet'!G:G=B1835,'Appearance Sheet'!A:A=C1835))"),"#N/A")</f>
        <v>#N/A</v>
      </c>
      <c r="F1835" s="67">
        <v>5.15062152</v>
      </c>
      <c r="G1835" s="40">
        <v>1.429192957</v>
      </c>
      <c r="H1835" s="40" t="str">
        <f t="shared" si="1"/>
        <v>#N/A</v>
      </c>
      <c r="I1835" s="41">
        <v>0.464788732</v>
      </c>
      <c r="J1835" s="41">
        <v>0.197183099</v>
      </c>
      <c r="K1835" s="41">
        <v>0.338028169</v>
      </c>
      <c r="L1835" s="41">
        <f t="shared" si="2"/>
        <v>0.126760563</v>
      </c>
      <c r="M1835" s="74">
        <v>2.738497111</v>
      </c>
    </row>
    <row r="1836">
      <c r="A1836" s="1" t="s">
        <v>125</v>
      </c>
      <c r="B1836" s="38">
        <v>663554.0</v>
      </c>
      <c r="C1836" s="72">
        <v>45909.0</v>
      </c>
      <c r="D1836" s="38">
        <v>86.0</v>
      </c>
      <c r="E1836" s="73" t="str">
        <f>IFERROR(__xludf.DUMMYFUNCTION("average(filter('Appearance Sheet'!F:F,'Appearance Sheet'!G:G=B1836,'Appearance Sheet'!A:A=C1836))"),"#N/A")</f>
        <v>#N/A</v>
      </c>
      <c r="F1836" s="67">
        <v>5.15056947</v>
      </c>
      <c r="G1836" s="40">
        <v>1.729776879</v>
      </c>
      <c r="H1836" s="40" t="str">
        <f t="shared" si="1"/>
        <v>#N/A</v>
      </c>
      <c r="I1836" s="41">
        <v>0.488372093</v>
      </c>
      <c r="J1836" s="41">
        <v>0.151162791</v>
      </c>
      <c r="K1836" s="41">
        <v>0.360465116</v>
      </c>
      <c r="L1836" s="41">
        <f t="shared" si="2"/>
        <v>0.127906977</v>
      </c>
      <c r="M1836" s="74">
        <v>0.644913917</v>
      </c>
    </row>
    <row r="1837">
      <c r="A1837" s="1" t="s">
        <v>188</v>
      </c>
      <c r="B1837" s="38">
        <v>694819.0</v>
      </c>
      <c r="C1837" s="72">
        <v>45913.0</v>
      </c>
      <c r="D1837" s="38">
        <v>74.0</v>
      </c>
      <c r="E1837" s="73" t="str">
        <f>IFERROR(__xludf.DUMMYFUNCTION("average(filter('Appearance Sheet'!F:F,'Appearance Sheet'!G:G=B1837,'Appearance Sheet'!A:A=C1837))"),"#N/A")</f>
        <v>#N/A</v>
      </c>
      <c r="F1837" s="67">
        <v>5.150467882</v>
      </c>
      <c r="G1837" s="40">
        <v>1.48931149</v>
      </c>
      <c r="H1837" s="40" t="str">
        <f t="shared" si="1"/>
        <v>#N/A</v>
      </c>
      <c r="I1837" s="41">
        <v>0.567567568</v>
      </c>
      <c r="J1837" s="41">
        <v>0.121621622</v>
      </c>
      <c r="K1837" s="41">
        <v>0.310810811</v>
      </c>
      <c r="L1837" s="41">
        <f t="shared" si="2"/>
        <v>0.256756757</v>
      </c>
      <c r="M1837" s="74">
        <v>-3.071316815</v>
      </c>
    </row>
    <row r="1838">
      <c r="A1838" s="1" t="s">
        <v>399</v>
      </c>
      <c r="B1838" s="38">
        <v>543294.0</v>
      </c>
      <c r="C1838" s="72">
        <v>45780.0</v>
      </c>
      <c r="D1838" s="38">
        <v>99.0</v>
      </c>
      <c r="E1838" s="73">
        <f>IFERROR(__xludf.DUMMYFUNCTION("average(filter('Appearance Sheet'!F:F,'Appearance Sheet'!G:G=B1838,'Appearance Sheet'!A:A=C1838))"),7.666666666666667)</f>
        <v>7.666666667</v>
      </c>
      <c r="F1838" s="67">
        <v>5.150454044</v>
      </c>
      <c r="G1838" s="40">
        <v>1.958946946</v>
      </c>
      <c r="H1838" s="40">
        <f t="shared" si="1"/>
        <v>2.299633371</v>
      </c>
      <c r="I1838" s="41">
        <v>0.464646465</v>
      </c>
      <c r="J1838" s="41">
        <v>0.161616162</v>
      </c>
      <c r="K1838" s="41">
        <v>0.373737374</v>
      </c>
      <c r="L1838" s="41">
        <f t="shared" si="2"/>
        <v>0.090909091</v>
      </c>
      <c r="M1838" s="74">
        <v>3.077408621</v>
      </c>
    </row>
    <row r="1839">
      <c r="A1839" s="1" t="s">
        <v>166</v>
      </c>
      <c r="B1839" s="38">
        <v>608331.0</v>
      </c>
      <c r="C1839" s="72">
        <v>45907.0</v>
      </c>
      <c r="D1839" s="38">
        <v>100.0</v>
      </c>
      <c r="E1839" s="73" t="str">
        <f>IFERROR(__xludf.DUMMYFUNCTION("average(filter('Appearance Sheet'!F:F,'Appearance Sheet'!G:G=B1839,'Appearance Sheet'!A:A=C1839))"),"#N/A")</f>
        <v>#N/A</v>
      </c>
      <c r="F1839" s="67">
        <v>5.15000472</v>
      </c>
      <c r="G1839" s="40">
        <v>2.011775786</v>
      </c>
      <c r="H1839" s="40" t="str">
        <f t="shared" si="1"/>
        <v>#N/A</v>
      </c>
      <c r="I1839" s="41">
        <v>0.52</v>
      </c>
      <c r="J1839" s="41">
        <v>0.15</v>
      </c>
      <c r="K1839" s="41">
        <v>0.33</v>
      </c>
      <c r="L1839" s="41">
        <f t="shared" si="2"/>
        <v>0.19</v>
      </c>
      <c r="M1839" s="74">
        <v>0.322933328</v>
      </c>
    </row>
    <row r="1840">
      <c r="A1840" s="1" t="s">
        <v>100</v>
      </c>
      <c r="B1840" s="38">
        <v>676979.0</v>
      </c>
      <c r="C1840" s="72">
        <v>45803.0</v>
      </c>
      <c r="D1840" s="38">
        <v>99.0</v>
      </c>
      <c r="E1840" s="73">
        <f>IFERROR(__xludf.DUMMYFUNCTION("average(filter('Appearance Sheet'!F:F,'Appearance Sheet'!G:G=B1840,'Appearance Sheet'!A:A=C1840))"),6.666666666666667)</f>
        <v>6.666666667</v>
      </c>
      <c r="F1840" s="67">
        <v>5.149821799</v>
      </c>
      <c r="G1840" s="40">
        <v>2.002083138</v>
      </c>
      <c r="H1840" s="40">
        <f t="shared" si="1"/>
        <v>2.702812236</v>
      </c>
      <c r="I1840" s="41">
        <v>0.525252525</v>
      </c>
      <c r="J1840" s="41">
        <v>0.141414141</v>
      </c>
      <c r="K1840" s="41">
        <v>0.333333333</v>
      </c>
      <c r="L1840" s="41">
        <f t="shared" si="2"/>
        <v>0.191919192</v>
      </c>
      <c r="M1840" s="74">
        <v>0.913806958</v>
      </c>
    </row>
    <row r="1841">
      <c r="A1841" s="1" t="s">
        <v>316</v>
      </c>
      <c r="B1841" s="38">
        <v>656427.0</v>
      </c>
      <c r="C1841" s="72">
        <v>45875.0</v>
      </c>
      <c r="D1841" s="38">
        <v>80.0</v>
      </c>
      <c r="E1841" s="73" t="str">
        <f>IFERROR(__xludf.DUMMYFUNCTION("average(filter('Appearance Sheet'!F:F,'Appearance Sheet'!G:G=B1841,'Appearance Sheet'!A:A=C1841))"),"#N/A")</f>
        <v>#N/A</v>
      </c>
      <c r="F1841" s="67">
        <v>5.14966083</v>
      </c>
      <c r="G1841" s="40">
        <v>1.630850415</v>
      </c>
      <c r="H1841" s="40" t="str">
        <f t="shared" si="1"/>
        <v>#N/A</v>
      </c>
      <c r="I1841" s="41">
        <v>0.525</v>
      </c>
      <c r="J1841" s="41">
        <v>0.15</v>
      </c>
      <c r="K1841" s="41">
        <v>0.325</v>
      </c>
      <c r="L1841" s="41">
        <f t="shared" si="2"/>
        <v>0.2</v>
      </c>
      <c r="M1841" s="74">
        <v>-4.164685792</v>
      </c>
    </row>
    <row r="1842">
      <c r="A1842" s="1" t="s">
        <v>55</v>
      </c>
      <c r="B1842" s="38">
        <v>641816.0</v>
      </c>
      <c r="C1842" s="72">
        <v>45811.0</v>
      </c>
      <c r="D1842" s="38">
        <v>84.0</v>
      </c>
      <c r="E1842" s="73">
        <f>IFERROR(__xludf.DUMMYFUNCTION("average(filter('Appearance Sheet'!F:F,'Appearance Sheet'!G:G=B1842,'Appearance Sheet'!A:A=C1842))"),5.333333333333333)</f>
        <v>5.333333333</v>
      </c>
      <c r="F1842" s="67">
        <v>5.149647331</v>
      </c>
      <c r="G1842" s="40">
        <v>1.68170142</v>
      </c>
      <c r="H1842" s="40">
        <f t="shared" si="1"/>
        <v>2.837871146</v>
      </c>
      <c r="I1842" s="41">
        <v>0.488095238</v>
      </c>
      <c r="J1842" s="41">
        <v>0.154761905</v>
      </c>
      <c r="K1842" s="41">
        <v>0.357142857</v>
      </c>
      <c r="L1842" s="41">
        <f t="shared" si="2"/>
        <v>0.130952381</v>
      </c>
      <c r="M1842" s="74">
        <v>-0.057809975</v>
      </c>
    </row>
    <row r="1843">
      <c r="A1843" s="1" t="s">
        <v>424</v>
      </c>
      <c r="B1843" s="38">
        <v>667755.0</v>
      </c>
      <c r="C1843" s="72">
        <v>45779.0</v>
      </c>
      <c r="D1843" s="38">
        <v>88.0</v>
      </c>
      <c r="E1843" s="73">
        <f>IFERROR(__xludf.DUMMYFUNCTION("average(filter('Appearance Sheet'!F:F,'Appearance Sheet'!G:G=B1843,'Appearance Sheet'!A:A=C1843))"),6.0)</f>
        <v>6</v>
      </c>
      <c r="F1843" s="67">
        <v>5.149633244</v>
      </c>
      <c r="G1843" s="40">
        <v>1.74292783</v>
      </c>
      <c r="H1843" s="40">
        <f t="shared" si="1"/>
        <v>2.614391745</v>
      </c>
      <c r="I1843" s="41">
        <v>0.5</v>
      </c>
      <c r="J1843" s="41">
        <v>0.147727273</v>
      </c>
      <c r="K1843" s="41">
        <v>0.352272727</v>
      </c>
      <c r="L1843" s="41">
        <f t="shared" si="2"/>
        <v>0.147727273</v>
      </c>
      <c r="M1843" s="74">
        <v>-0.383167887</v>
      </c>
    </row>
    <row r="1844">
      <c r="A1844" s="1" t="s">
        <v>99</v>
      </c>
      <c r="B1844" s="38">
        <v>592791.0</v>
      </c>
      <c r="C1844" s="72">
        <v>45780.0</v>
      </c>
      <c r="D1844" s="38">
        <v>88.0</v>
      </c>
      <c r="E1844" s="73">
        <f>IFERROR(__xludf.DUMMYFUNCTION("average(filter('Appearance Sheet'!F:F,'Appearance Sheet'!G:G=B1844,'Appearance Sheet'!A:A=C1844))"),6.0)</f>
        <v>6</v>
      </c>
      <c r="F1844" s="67">
        <v>5.149600176</v>
      </c>
      <c r="G1844" s="40">
        <v>1.786887161</v>
      </c>
      <c r="H1844" s="40">
        <f t="shared" si="1"/>
        <v>2.680330742</v>
      </c>
      <c r="I1844" s="41">
        <v>0.477272727</v>
      </c>
      <c r="J1844" s="41">
        <v>0.227272727</v>
      </c>
      <c r="K1844" s="41">
        <v>0.295454545</v>
      </c>
      <c r="L1844" s="41">
        <f t="shared" si="2"/>
        <v>0.181818182</v>
      </c>
      <c r="M1844" s="74">
        <v>2.90833877</v>
      </c>
    </row>
    <row r="1845">
      <c r="A1845" s="1" t="s">
        <v>470</v>
      </c>
      <c r="B1845" s="38">
        <v>681343.0</v>
      </c>
      <c r="C1845" s="72">
        <v>45899.0</v>
      </c>
      <c r="D1845" s="38">
        <v>96.0</v>
      </c>
      <c r="E1845" s="73" t="str">
        <f>IFERROR(__xludf.DUMMYFUNCTION("average(filter('Appearance Sheet'!F:F,'Appearance Sheet'!G:G=B1845,'Appearance Sheet'!A:A=C1845))"),"#N/A")</f>
        <v>#N/A</v>
      </c>
      <c r="F1845" s="67">
        <v>5.149600115</v>
      </c>
      <c r="G1845" s="40">
        <v>1.955836825</v>
      </c>
      <c r="H1845" s="40" t="str">
        <f t="shared" si="1"/>
        <v>#N/A</v>
      </c>
      <c r="I1845" s="41">
        <v>0.489583333</v>
      </c>
      <c r="J1845" s="41">
        <v>0.177083333</v>
      </c>
      <c r="K1845" s="41">
        <v>0.333333333</v>
      </c>
      <c r="L1845" s="41">
        <f t="shared" si="2"/>
        <v>0.15625</v>
      </c>
      <c r="M1845" s="74">
        <v>2.530936535</v>
      </c>
    </row>
    <row r="1846">
      <c r="A1846" s="1" t="s">
        <v>316</v>
      </c>
      <c r="B1846" s="38">
        <v>656427.0</v>
      </c>
      <c r="C1846" s="72">
        <v>45899.0</v>
      </c>
      <c r="D1846" s="38">
        <v>99.0</v>
      </c>
      <c r="E1846" s="73" t="str">
        <f>IFERROR(__xludf.DUMMYFUNCTION("average(filter('Appearance Sheet'!F:F,'Appearance Sheet'!G:G=B1846,'Appearance Sheet'!A:A=C1846))"),"#N/A")</f>
        <v>#N/A</v>
      </c>
      <c r="F1846" s="67">
        <v>5.149323687</v>
      </c>
      <c r="G1846" s="40">
        <v>1.949021454</v>
      </c>
      <c r="H1846" s="40" t="str">
        <f t="shared" si="1"/>
        <v>#N/A</v>
      </c>
      <c r="I1846" s="41">
        <v>0.474747475</v>
      </c>
      <c r="J1846" s="41">
        <v>0.232323232</v>
      </c>
      <c r="K1846" s="41">
        <v>0.292929293</v>
      </c>
      <c r="L1846" s="41">
        <f t="shared" si="2"/>
        <v>0.181818182</v>
      </c>
      <c r="M1846" s="74">
        <v>0.670629892</v>
      </c>
    </row>
    <row r="1847">
      <c r="A1847" s="1" t="s">
        <v>282</v>
      </c>
      <c r="B1847" s="38">
        <v>656302.0</v>
      </c>
      <c r="C1847" s="72">
        <v>45866.0</v>
      </c>
      <c r="D1847" s="38">
        <v>99.0</v>
      </c>
      <c r="E1847" s="73" t="str">
        <f>IFERROR(__xludf.DUMMYFUNCTION("average(filter('Appearance Sheet'!F:F,'Appearance Sheet'!G:G=B1847,'Appearance Sheet'!A:A=C1847))"),"#N/A")</f>
        <v>#N/A</v>
      </c>
      <c r="F1847" s="67">
        <v>5.149177544</v>
      </c>
      <c r="G1847" s="40">
        <v>1.957235173</v>
      </c>
      <c r="H1847" s="40" t="str">
        <f t="shared" si="1"/>
        <v>#N/A</v>
      </c>
      <c r="I1847" s="41">
        <v>0.494949495</v>
      </c>
      <c r="J1847" s="41">
        <v>0.151515152</v>
      </c>
      <c r="K1847" s="41">
        <v>0.353535354</v>
      </c>
      <c r="L1847" s="41">
        <f t="shared" si="2"/>
        <v>0.141414141</v>
      </c>
      <c r="M1847" s="74">
        <v>-0.927681751</v>
      </c>
    </row>
    <row r="1848">
      <c r="A1848" s="1" t="s">
        <v>374</v>
      </c>
      <c r="B1848" s="38">
        <v>683004.0</v>
      </c>
      <c r="C1848" s="72">
        <v>45830.0</v>
      </c>
      <c r="D1848" s="38">
        <v>87.0</v>
      </c>
      <c r="E1848" s="73">
        <f>IFERROR(__xludf.DUMMYFUNCTION("average(filter('Appearance Sheet'!F:F,'Appearance Sheet'!G:G=B1848,'Appearance Sheet'!A:A=C1848))"),4.0)</f>
        <v>4</v>
      </c>
      <c r="F1848" s="67">
        <v>5.149099485</v>
      </c>
      <c r="G1848" s="40">
        <v>1.722692971</v>
      </c>
      <c r="H1848" s="40">
        <f t="shared" si="1"/>
        <v>3.876059185</v>
      </c>
      <c r="I1848" s="41">
        <v>0.459770115</v>
      </c>
      <c r="J1848" s="41">
        <v>0.206896552</v>
      </c>
      <c r="K1848" s="41">
        <v>0.333333333</v>
      </c>
      <c r="L1848" s="41">
        <f t="shared" si="2"/>
        <v>0.126436782</v>
      </c>
      <c r="M1848" s="74">
        <v>-0.649427887</v>
      </c>
    </row>
    <row r="1849">
      <c r="A1849" s="1" t="s">
        <v>399</v>
      </c>
      <c r="B1849" s="38">
        <v>543294.0</v>
      </c>
      <c r="C1849" s="72">
        <v>45871.0</v>
      </c>
      <c r="D1849" s="38">
        <v>72.0</v>
      </c>
      <c r="E1849" s="73" t="str">
        <f>IFERROR(__xludf.DUMMYFUNCTION("average(filter('Appearance Sheet'!F:F,'Appearance Sheet'!G:G=B1849,'Appearance Sheet'!A:A=C1849))"),"#N/A")</f>
        <v>#N/A</v>
      </c>
      <c r="F1849" s="67">
        <v>5.148940211</v>
      </c>
      <c r="G1849" s="40">
        <v>1.427766816</v>
      </c>
      <c r="H1849" s="40" t="str">
        <f t="shared" si="1"/>
        <v>#N/A</v>
      </c>
      <c r="I1849" s="41">
        <v>0.444444444</v>
      </c>
      <c r="J1849" s="41">
        <v>0.277777778</v>
      </c>
      <c r="K1849" s="41">
        <v>0.277777778</v>
      </c>
      <c r="L1849" s="41">
        <f t="shared" si="2"/>
        <v>0.166666666</v>
      </c>
      <c r="M1849" s="74">
        <v>1.456562583</v>
      </c>
    </row>
    <row r="1850">
      <c r="A1850" s="1" t="s">
        <v>148</v>
      </c>
      <c r="B1850" s="38">
        <v>592866.0</v>
      </c>
      <c r="C1850" s="72">
        <v>45759.0</v>
      </c>
      <c r="D1850" s="38">
        <v>80.0</v>
      </c>
      <c r="E1850" s="73">
        <f>IFERROR(__xludf.DUMMYFUNCTION("average(filter('Appearance Sheet'!F:F,'Appearance Sheet'!G:G=B1850,'Appearance Sheet'!A:A=C1850))"),4.666666666666667)</f>
        <v>4.666666667</v>
      </c>
      <c r="F1850" s="67">
        <v>5.148832192</v>
      </c>
      <c r="G1850" s="40">
        <v>1.622767684</v>
      </c>
      <c r="H1850" s="40">
        <f t="shared" si="1"/>
        <v>3.129623391</v>
      </c>
      <c r="I1850" s="41">
        <v>0.45</v>
      </c>
      <c r="J1850" s="41">
        <v>0.2125</v>
      </c>
      <c r="K1850" s="41">
        <v>0.3375</v>
      </c>
      <c r="L1850" s="41">
        <f t="shared" si="2"/>
        <v>0.1125</v>
      </c>
      <c r="M1850" s="74">
        <v>-4.161281952</v>
      </c>
    </row>
    <row r="1851">
      <c r="A1851" s="1" t="s">
        <v>115</v>
      </c>
      <c r="B1851" s="38">
        <v>543135.0</v>
      </c>
      <c r="C1851" s="72">
        <v>45772.0</v>
      </c>
      <c r="D1851" s="38">
        <v>98.0</v>
      </c>
      <c r="E1851" s="73">
        <f>IFERROR(__xludf.DUMMYFUNCTION("average(filter('Appearance Sheet'!F:F,'Appearance Sheet'!G:G=B1851,'Appearance Sheet'!A:A=C1851))"),6.0)</f>
        <v>6</v>
      </c>
      <c r="F1851" s="67">
        <v>5.14882336</v>
      </c>
      <c r="G1851" s="40">
        <v>1.969235713</v>
      </c>
      <c r="H1851" s="40">
        <f t="shared" si="1"/>
        <v>2.95385357</v>
      </c>
      <c r="I1851" s="41">
        <v>0.5</v>
      </c>
      <c r="J1851" s="41">
        <v>0.173469388</v>
      </c>
      <c r="K1851" s="41">
        <v>0.326530612</v>
      </c>
      <c r="L1851" s="41">
        <f t="shared" si="2"/>
        <v>0.173469388</v>
      </c>
      <c r="M1851" s="74">
        <v>3.279783731</v>
      </c>
    </row>
    <row r="1852">
      <c r="A1852" s="1" t="s">
        <v>424</v>
      </c>
      <c r="B1852" s="38">
        <v>667755.0</v>
      </c>
      <c r="C1852" s="72">
        <v>45790.0</v>
      </c>
      <c r="D1852" s="38">
        <v>106.0</v>
      </c>
      <c r="E1852" s="73">
        <f>IFERROR(__xludf.DUMMYFUNCTION("average(filter('Appearance Sheet'!F:F,'Appearance Sheet'!G:G=B1852,'Appearance Sheet'!A:A=C1852))"),7.0)</f>
        <v>7</v>
      </c>
      <c r="F1852" s="67">
        <v>5.148776544</v>
      </c>
      <c r="G1852" s="40">
        <v>2.140460677</v>
      </c>
      <c r="H1852" s="40">
        <f t="shared" si="1"/>
        <v>2.75202087</v>
      </c>
      <c r="I1852" s="41">
        <v>0.528301887</v>
      </c>
      <c r="J1852" s="41">
        <v>0.141509434</v>
      </c>
      <c r="K1852" s="41">
        <v>0.330188679</v>
      </c>
      <c r="L1852" s="41">
        <f t="shared" si="2"/>
        <v>0.198113208</v>
      </c>
      <c r="M1852" s="74">
        <v>2.613505386</v>
      </c>
    </row>
    <row r="1853">
      <c r="A1853" s="1" t="s">
        <v>421</v>
      </c>
      <c r="B1853" s="38">
        <v>607192.0</v>
      </c>
      <c r="C1853" s="72">
        <v>45856.0</v>
      </c>
      <c r="D1853" s="38">
        <v>86.0</v>
      </c>
      <c r="E1853" s="73" t="str">
        <f>IFERROR(__xludf.DUMMYFUNCTION("average(filter('Appearance Sheet'!F:F,'Appearance Sheet'!G:G=B1853,'Appearance Sheet'!A:A=C1853))"),"#N/A")</f>
        <v>#N/A</v>
      </c>
      <c r="F1853" s="67">
        <v>5.148477342</v>
      </c>
      <c r="G1853" s="40">
        <v>1.758409658</v>
      </c>
      <c r="H1853" s="40" t="str">
        <f t="shared" si="1"/>
        <v>#N/A</v>
      </c>
      <c r="I1853" s="41">
        <v>0.488372093</v>
      </c>
      <c r="J1853" s="41">
        <v>0.174418605</v>
      </c>
      <c r="K1853" s="41">
        <v>0.337209302</v>
      </c>
      <c r="L1853" s="41">
        <f t="shared" si="2"/>
        <v>0.151162791</v>
      </c>
      <c r="M1853" s="74">
        <v>1.270576812</v>
      </c>
    </row>
    <row r="1854">
      <c r="A1854" s="1" t="s">
        <v>450</v>
      </c>
      <c r="B1854" s="38">
        <v>682990.0</v>
      </c>
      <c r="C1854" s="72">
        <v>45885.0</v>
      </c>
      <c r="D1854" s="38">
        <v>83.0</v>
      </c>
      <c r="E1854" s="73" t="str">
        <f>IFERROR(__xludf.DUMMYFUNCTION("average(filter('Appearance Sheet'!F:F,'Appearance Sheet'!G:G=B1854,'Appearance Sheet'!A:A=C1854))"),"#N/A")</f>
        <v>#N/A</v>
      </c>
      <c r="F1854" s="67">
        <v>5.148467393</v>
      </c>
      <c r="G1854" s="40">
        <v>1.665202799</v>
      </c>
      <c r="H1854" s="40" t="str">
        <f t="shared" si="1"/>
        <v>#N/A</v>
      </c>
      <c r="I1854" s="41">
        <v>0.445783133</v>
      </c>
      <c r="J1854" s="41">
        <v>0.192771084</v>
      </c>
      <c r="K1854" s="41">
        <v>0.361445783</v>
      </c>
      <c r="L1854" s="41">
        <f t="shared" si="2"/>
        <v>0.08433735</v>
      </c>
      <c r="M1854" s="74">
        <v>-0.119669477</v>
      </c>
    </row>
    <row r="1855">
      <c r="A1855" s="1" t="s">
        <v>358</v>
      </c>
      <c r="B1855" s="38">
        <v>434378.0</v>
      </c>
      <c r="C1855" s="72">
        <v>45873.0</v>
      </c>
      <c r="D1855" s="38">
        <v>99.0</v>
      </c>
      <c r="E1855" s="73" t="str">
        <f>IFERROR(__xludf.DUMMYFUNCTION("average(filter('Appearance Sheet'!F:F,'Appearance Sheet'!G:G=B1855,'Appearance Sheet'!A:A=C1855))"),"#N/A")</f>
        <v>#N/A</v>
      </c>
      <c r="F1855" s="67">
        <v>5.148261455</v>
      </c>
      <c r="G1855" s="40">
        <v>1.990094979</v>
      </c>
      <c r="H1855" s="40" t="str">
        <f t="shared" si="1"/>
        <v>#N/A</v>
      </c>
      <c r="I1855" s="41">
        <v>0.515151515</v>
      </c>
      <c r="J1855" s="41">
        <v>0.121212121</v>
      </c>
      <c r="K1855" s="41">
        <v>0.363636364</v>
      </c>
      <c r="L1855" s="41">
        <f t="shared" si="2"/>
        <v>0.151515151</v>
      </c>
      <c r="M1855" s="74">
        <v>2.759241848</v>
      </c>
    </row>
    <row r="1856">
      <c r="A1856" s="1" t="s">
        <v>224</v>
      </c>
      <c r="B1856" s="38">
        <v>686701.0</v>
      </c>
      <c r="C1856" s="72">
        <v>45903.0</v>
      </c>
      <c r="D1856" s="38">
        <v>87.0</v>
      </c>
      <c r="E1856" s="73" t="str">
        <f>IFERROR(__xludf.DUMMYFUNCTION("average(filter('Appearance Sheet'!F:F,'Appearance Sheet'!G:G=B1856,'Appearance Sheet'!A:A=C1856))"),"#N/A")</f>
        <v>#N/A</v>
      </c>
      <c r="F1856" s="67">
        <v>5.148204766</v>
      </c>
      <c r="G1856" s="40">
        <v>1.726481444</v>
      </c>
      <c r="H1856" s="40" t="str">
        <f t="shared" si="1"/>
        <v>#N/A</v>
      </c>
      <c r="I1856" s="41">
        <v>0.494252874</v>
      </c>
      <c r="J1856" s="41">
        <v>0.206896552</v>
      </c>
      <c r="K1856" s="41">
        <v>0.298850575</v>
      </c>
      <c r="L1856" s="41">
        <f t="shared" si="2"/>
        <v>0.195402299</v>
      </c>
      <c r="M1856" s="74">
        <v>3.105330245</v>
      </c>
    </row>
    <row r="1857">
      <c r="A1857" s="1" t="s">
        <v>335</v>
      </c>
      <c r="B1857" s="38">
        <v>663436.0</v>
      </c>
      <c r="C1857" s="72">
        <v>45796.0</v>
      </c>
      <c r="D1857" s="38">
        <v>89.0</v>
      </c>
      <c r="E1857" s="73">
        <f>IFERROR(__xludf.DUMMYFUNCTION("average(filter('Appearance Sheet'!F:F,'Appearance Sheet'!G:G=B1857,'Appearance Sheet'!A:A=C1857))"),7.333333333333333)</f>
        <v>7.333333333</v>
      </c>
      <c r="F1857" s="67">
        <v>5.148120059</v>
      </c>
      <c r="G1857" s="40">
        <v>1.816534066</v>
      </c>
      <c r="H1857" s="40">
        <f t="shared" si="1"/>
        <v>2.229382717</v>
      </c>
      <c r="I1857" s="41">
        <v>0.539325843</v>
      </c>
      <c r="J1857" s="41">
        <v>0.112359551</v>
      </c>
      <c r="K1857" s="41">
        <v>0.348314607</v>
      </c>
      <c r="L1857" s="41">
        <f t="shared" si="2"/>
        <v>0.191011236</v>
      </c>
      <c r="M1857" s="74">
        <v>1.971652466</v>
      </c>
    </row>
    <row r="1858">
      <c r="A1858" s="1" t="s">
        <v>459</v>
      </c>
      <c r="B1858" s="38">
        <v>664062.0</v>
      </c>
      <c r="C1858" s="72">
        <v>45812.0</v>
      </c>
      <c r="D1858" s="38">
        <v>86.0</v>
      </c>
      <c r="E1858" s="73">
        <f>IFERROR(__xludf.DUMMYFUNCTION("average(filter('Appearance Sheet'!F:F,'Appearance Sheet'!G:G=B1858,'Appearance Sheet'!A:A=C1858))"),5.0)</f>
        <v>5</v>
      </c>
      <c r="F1858" s="67">
        <v>5.148089433</v>
      </c>
      <c r="G1858" s="40">
        <v>1.735709479</v>
      </c>
      <c r="H1858" s="40">
        <f t="shared" si="1"/>
        <v>3.124277062</v>
      </c>
      <c r="I1858" s="41">
        <v>0.476744186</v>
      </c>
      <c r="J1858" s="41">
        <v>0.244186047</v>
      </c>
      <c r="K1858" s="41">
        <v>0.279069767</v>
      </c>
      <c r="L1858" s="41">
        <f t="shared" si="2"/>
        <v>0.197674419</v>
      </c>
      <c r="M1858" s="74">
        <v>2.240035593</v>
      </c>
    </row>
    <row r="1859">
      <c r="A1859" s="1" t="s">
        <v>180</v>
      </c>
      <c r="B1859" s="38">
        <v>642547.0</v>
      </c>
      <c r="C1859" s="72">
        <v>45874.0</v>
      </c>
      <c r="D1859" s="38">
        <v>108.0</v>
      </c>
      <c r="E1859" s="73" t="str">
        <f>IFERROR(__xludf.DUMMYFUNCTION("average(filter('Appearance Sheet'!F:F,'Appearance Sheet'!G:G=B1859,'Appearance Sheet'!A:A=C1859))"),"#N/A")</f>
        <v>#N/A</v>
      </c>
      <c r="F1859" s="67">
        <v>5.147688505</v>
      </c>
      <c r="G1859" s="40">
        <v>2.151819401</v>
      </c>
      <c r="H1859" s="40" t="str">
        <f t="shared" si="1"/>
        <v>#N/A</v>
      </c>
      <c r="I1859" s="41">
        <v>0.518518519</v>
      </c>
      <c r="J1859" s="41">
        <v>0.092592593</v>
      </c>
      <c r="K1859" s="41">
        <v>0.388888889</v>
      </c>
      <c r="L1859" s="41">
        <f t="shared" si="2"/>
        <v>0.12962963</v>
      </c>
      <c r="M1859" s="74">
        <v>0.523505023</v>
      </c>
    </row>
    <row r="1860">
      <c r="A1860" s="1" t="s">
        <v>156</v>
      </c>
      <c r="B1860" s="38">
        <v>519242.0</v>
      </c>
      <c r="C1860" s="72">
        <v>45800.0</v>
      </c>
      <c r="D1860" s="38">
        <v>94.0</v>
      </c>
      <c r="E1860" s="73">
        <f>IFERROR(__xludf.DUMMYFUNCTION("average(filter('Appearance Sheet'!F:F,'Appearance Sheet'!G:G=B1860,'Appearance Sheet'!A:A=C1860))"),7.0)</f>
        <v>7</v>
      </c>
      <c r="F1860" s="67">
        <v>5.147345213</v>
      </c>
      <c r="G1860" s="40">
        <v>1.888524083</v>
      </c>
      <c r="H1860" s="40">
        <f t="shared" si="1"/>
        <v>2.428102392</v>
      </c>
      <c r="I1860" s="41">
        <v>0.489361702</v>
      </c>
      <c r="J1860" s="41">
        <v>0.138297872</v>
      </c>
      <c r="K1860" s="41">
        <v>0.372340426</v>
      </c>
      <c r="L1860" s="41">
        <f t="shared" si="2"/>
        <v>0.117021276</v>
      </c>
      <c r="M1860" s="74">
        <v>-0.249615256</v>
      </c>
    </row>
    <row r="1861">
      <c r="A1861" s="1" t="s">
        <v>424</v>
      </c>
      <c r="B1861" s="38">
        <v>667755.0</v>
      </c>
      <c r="C1861" s="72">
        <v>45824.0</v>
      </c>
      <c r="D1861" s="38">
        <v>98.0</v>
      </c>
      <c r="E1861" s="73">
        <f>IFERROR(__xludf.DUMMYFUNCTION("average(filter('Appearance Sheet'!F:F,'Appearance Sheet'!G:G=B1861,'Appearance Sheet'!A:A=C1861))"),7.0)</f>
        <v>7</v>
      </c>
      <c r="F1861" s="67">
        <v>5.147297184</v>
      </c>
      <c r="G1861" s="40">
        <v>1.965951588</v>
      </c>
      <c r="H1861" s="40">
        <f t="shared" si="1"/>
        <v>2.527652042</v>
      </c>
      <c r="I1861" s="41">
        <v>0.459183673</v>
      </c>
      <c r="J1861" s="41">
        <v>0.173469388</v>
      </c>
      <c r="K1861" s="41">
        <v>0.367346939</v>
      </c>
      <c r="L1861" s="41">
        <f t="shared" si="2"/>
        <v>0.091836734</v>
      </c>
      <c r="M1861" s="74">
        <v>0.585998597</v>
      </c>
    </row>
    <row r="1862">
      <c r="A1862" s="1" t="s">
        <v>308</v>
      </c>
      <c r="B1862" s="38">
        <v>676440.0</v>
      </c>
      <c r="C1862" s="72">
        <v>45787.0</v>
      </c>
      <c r="D1862" s="38">
        <v>94.0</v>
      </c>
      <c r="E1862" s="73">
        <f>IFERROR(__xludf.DUMMYFUNCTION("average(filter('Appearance Sheet'!F:F,'Appearance Sheet'!G:G=B1862,'Appearance Sheet'!A:A=C1862))"),7.0)</f>
        <v>7</v>
      </c>
      <c r="F1862" s="67">
        <v>5.147187691</v>
      </c>
      <c r="G1862" s="40">
        <v>1.882835151</v>
      </c>
      <c r="H1862" s="40">
        <f t="shared" si="1"/>
        <v>2.420788051</v>
      </c>
      <c r="I1862" s="41">
        <v>0.425531915</v>
      </c>
      <c r="J1862" s="41">
        <v>0.212765957</v>
      </c>
      <c r="K1862" s="41">
        <v>0.361702128</v>
      </c>
      <c r="L1862" s="41">
        <f t="shared" si="2"/>
        <v>0.063829787</v>
      </c>
      <c r="M1862" s="74">
        <v>1.082364234</v>
      </c>
    </row>
    <row r="1863">
      <c r="A1863" s="1" t="s">
        <v>180</v>
      </c>
      <c r="B1863" s="38">
        <v>642547.0</v>
      </c>
      <c r="C1863" s="72">
        <v>45898.0</v>
      </c>
      <c r="D1863" s="38">
        <v>91.0</v>
      </c>
      <c r="E1863" s="73" t="str">
        <f>IFERROR(__xludf.DUMMYFUNCTION("average(filter('Appearance Sheet'!F:F,'Appearance Sheet'!G:G=B1863,'Appearance Sheet'!A:A=C1863))"),"#N/A")</f>
        <v>#N/A</v>
      </c>
      <c r="F1863" s="67">
        <v>5.14718119</v>
      </c>
      <c r="G1863" s="40">
        <v>1.834700496</v>
      </c>
      <c r="H1863" s="40" t="str">
        <f t="shared" si="1"/>
        <v>#N/A</v>
      </c>
      <c r="I1863" s="41">
        <v>0.549450549</v>
      </c>
      <c r="J1863" s="41">
        <v>0.142857143</v>
      </c>
      <c r="K1863" s="41">
        <v>0.307692308</v>
      </c>
      <c r="L1863" s="41">
        <f t="shared" si="2"/>
        <v>0.241758241</v>
      </c>
      <c r="M1863" s="74">
        <v>2.990721226</v>
      </c>
    </row>
    <row r="1864">
      <c r="A1864" s="1" t="s">
        <v>490</v>
      </c>
      <c r="B1864" s="38">
        <v>680573.0</v>
      </c>
      <c r="C1864" s="72">
        <v>45784.0</v>
      </c>
      <c r="D1864" s="38">
        <v>61.0</v>
      </c>
      <c r="E1864" s="73">
        <f>IFERROR(__xludf.DUMMYFUNCTION("average(filter('Appearance Sheet'!F:F,'Appearance Sheet'!G:G=B1864,'Appearance Sheet'!A:A=C1864))"),4.666666666666667)</f>
        <v>4.666666667</v>
      </c>
      <c r="F1864" s="67">
        <v>5.146853768</v>
      </c>
      <c r="G1864" s="40">
        <v>1.264034416</v>
      </c>
      <c r="H1864" s="40">
        <f t="shared" si="1"/>
        <v>2.437780659</v>
      </c>
      <c r="I1864" s="41">
        <v>0.475409836</v>
      </c>
      <c r="J1864" s="41">
        <v>0.180327869</v>
      </c>
      <c r="K1864" s="41">
        <v>0.344262295</v>
      </c>
      <c r="L1864" s="41">
        <f t="shared" si="2"/>
        <v>0.131147541</v>
      </c>
      <c r="M1864" s="74">
        <v>-2.298592424</v>
      </c>
    </row>
    <row r="1865">
      <c r="A1865" s="1" t="s">
        <v>308</v>
      </c>
      <c r="B1865" s="38">
        <v>676440.0</v>
      </c>
      <c r="C1865" s="72">
        <v>45769.0</v>
      </c>
      <c r="D1865" s="38">
        <v>104.0</v>
      </c>
      <c r="E1865" s="73">
        <f>IFERROR(__xludf.DUMMYFUNCTION("average(filter('Appearance Sheet'!F:F,'Appearance Sheet'!G:G=B1865,'Appearance Sheet'!A:A=C1865))"),6.0)</f>
        <v>6</v>
      </c>
      <c r="F1865" s="67">
        <v>5.146834871</v>
      </c>
      <c r="G1865" s="40">
        <v>2.062286313</v>
      </c>
      <c r="H1865" s="40">
        <f t="shared" si="1"/>
        <v>3.09342947</v>
      </c>
      <c r="I1865" s="41">
        <v>0.451923077</v>
      </c>
      <c r="J1865" s="41">
        <v>0.259615385</v>
      </c>
      <c r="K1865" s="41">
        <v>0.288461538</v>
      </c>
      <c r="L1865" s="41">
        <f t="shared" si="2"/>
        <v>0.163461539</v>
      </c>
      <c r="M1865" s="74">
        <v>1.869551437</v>
      </c>
    </row>
    <row r="1866">
      <c r="A1866" s="1" t="s">
        <v>119</v>
      </c>
      <c r="B1866" s="38">
        <v>669456.0</v>
      </c>
      <c r="C1866" s="72">
        <v>45926.0</v>
      </c>
      <c r="D1866" s="38">
        <v>83.0</v>
      </c>
      <c r="E1866" s="73" t="str">
        <f>IFERROR(__xludf.DUMMYFUNCTION("average(filter('Appearance Sheet'!F:F,'Appearance Sheet'!G:G=B1866,'Appearance Sheet'!A:A=C1866))"),"#N/A")</f>
        <v>#N/A</v>
      </c>
      <c r="F1866" s="67">
        <v>5.146811175</v>
      </c>
      <c r="G1866" s="40">
        <v>1.676308038</v>
      </c>
      <c r="H1866" s="40" t="str">
        <f t="shared" si="1"/>
        <v>#N/A</v>
      </c>
      <c r="I1866" s="41">
        <v>0.481927711</v>
      </c>
      <c r="J1866" s="41">
        <v>0.168674699</v>
      </c>
      <c r="K1866" s="41">
        <v>0.34939759</v>
      </c>
      <c r="L1866" s="41">
        <f t="shared" si="2"/>
        <v>0.132530121</v>
      </c>
      <c r="M1866" s="74">
        <v>0.132502457</v>
      </c>
    </row>
    <row r="1867">
      <c r="A1867" s="1" t="s">
        <v>90</v>
      </c>
      <c r="B1867" s="38">
        <v>693433.0</v>
      </c>
      <c r="C1867" s="72">
        <v>45807.0</v>
      </c>
      <c r="D1867" s="38">
        <v>94.0</v>
      </c>
      <c r="E1867" s="73">
        <f>IFERROR(__xludf.DUMMYFUNCTION("average(filter('Appearance Sheet'!F:F,'Appearance Sheet'!G:G=B1867,'Appearance Sheet'!A:A=C1867))"),6.666666666666667)</f>
        <v>6.666666667</v>
      </c>
      <c r="F1867" s="67">
        <v>5.146755596</v>
      </c>
      <c r="G1867" s="40">
        <v>1.927300231</v>
      </c>
      <c r="H1867" s="40">
        <f t="shared" si="1"/>
        <v>2.601855312</v>
      </c>
      <c r="I1867" s="41">
        <v>0.510638298</v>
      </c>
      <c r="J1867" s="41">
        <v>0.191489362</v>
      </c>
      <c r="K1867" s="41">
        <v>0.29787234</v>
      </c>
      <c r="L1867" s="41">
        <f t="shared" si="2"/>
        <v>0.212765958</v>
      </c>
      <c r="M1867" s="74">
        <v>-0.74263631</v>
      </c>
    </row>
    <row r="1868">
      <c r="A1868" s="1" t="s">
        <v>263</v>
      </c>
      <c r="B1868" s="38">
        <v>694297.0</v>
      </c>
      <c r="C1868" s="72">
        <v>45856.0</v>
      </c>
      <c r="D1868" s="38">
        <v>86.0</v>
      </c>
      <c r="E1868" s="73" t="str">
        <f>IFERROR(__xludf.DUMMYFUNCTION("average(filter('Appearance Sheet'!F:F,'Appearance Sheet'!G:G=B1868,'Appearance Sheet'!A:A=C1868))"),"#N/A")</f>
        <v>#N/A</v>
      </c>
      <c r="F1868" s="67">
        <v>5.146651887</v>
      </c>
      <c r="G1868" s="40">
        <v>1.770710218</v>
      </c>
      <c r="H1868" s="40" t="str">
        <f t="shared" si="1"/>
        <v>#N/A</v>
      </c>
      <c r="I1868" s="41">
        <v>0.476744186</v>
      </c>
      <c r="J1868" s="41">
        <v>0.209302326</v>
      </c>
      <c r="K1868" s="41">
        <v>0.313953488</v>
      </c>
      <c r="L1868" s="41">
        <f t="shared" si="2"/>
        <v>0.162790698</v>
      </c>
      <c r="M1868" s="74">
        <v>2.468199937</v>
      </c>
    </row>
    <row r="1869">
      <c r="A1869" s="1" t="s">
        <v>85</v>
      </c>
      <c r="B1869" s="38">
        <v>808967.0</v>
      </c>
      <c r="C1869" s="72">
        <v>45803.0</v>
      </c>
      <c r="D1869" s="38">
        <v>87.0</v>
      </c>
      <c r="E1869" s="73">
        <f>IFERROR(__xludf.DUMMYFUNCTION("average(filter('Appearance Sheet'!F:F,'Appearance Sheet'!G:G=B1869,'Appearance Sheet'!A:A=C1869))"),6.0)</f>
        <v>6</v>
      </c>
      <c r="F1869" s="67">
        <v>5.146307861</v>
      </c>
      <c r="G1869" s="40">
        <v>1.745636089</v>
      </c>
      <c r="H1869" s="40">
        <f t="shared" si="1"/>
        <v>2.618454134</v>
      </c>
      <c r="I1869" s="41">
        <v>0.517241379</v>
      </c>
      <c r="J1869" s="41">
        <v>0.16091954</v>
      </c>
      <c r="K1869" s="41">
        <v>0.32183908</v>
      </c>
      <c r="L1869" s="41">
        <f t="shared" si="2"/>
        <v>0.195402299</v>
      </c>
      <c r="M1869" s="74">
        <v>0.854970116</v>
      </c>
    </row>
    <row r="1870">
      <c r="A1870" s="1" t="s">
        <v>44</v>
      </c>
      <c r="B1870" s="38">
        <v>650911.0</v>
      </c>
      <c r="C1870" s="72">
        <v>45928.0</v>
      </c>
      <c r="D1870" s="38">
        <v>60.0</v>
      </c>
      <c r="E1870" s="73" t="str">
        <f>IFERROR(__xludf.DUMMYFUNCTION("average(filter('Appearance Sheet'!F:F,'Appearance Sheet'!G:G=B1870,'Appearance Sheet'!A:A=C1870))"),"#N/A")</f>
        <v>#N/A</v>
      </c>
      <c r="F1870" s="67">
        <v>5.146201268</v>
      </c>
      <c r="G1870" s="40">
        <v>1.207834593</v>
      </c>
      <c r="H1870" s="40" t="str">
        <f t="shared" si="1"/>
        <v>#N/A</v>
      </c>
      <c r="I1870" s="41">
        <v>0.533333333</v>
      </c>
      <c r="J1870" s="41">
        <v>0.1</v>
      </c>
      <c r="K1870" s="41">
        <v>0.366666667</v>
      </c>
      <c r="L1870" s="41">
        <f t="shared" si="2"/>
        <v>0.166666666</v>
      </c>
      <c r="M1870" s="74">
        <v>2.272321652</v>
      </c>
    </row>
    <row r="1871">
      <c r="A1871" s="1" t="s">
        <v>245</v>
      </c>
      <c r="B1871" s="38">
        <v>571578.0</v>
      </c>
      <c r="C1871" s="72">
        <v>45755.0</v>
      </c>
      <c r="D1871" s="38">
        <v>72.0</v>
      </c>
      <c r="E1871" s="73">
        <f>IFERROR(__xludf.DUMMYFUNCTION("average(filter('Appearance Sheet'!F:F,'Appearance Sheet'!G:G=B1871,'Appearance Sheet'!A:A=C1871))"),4.0)</f>
        <v>4</v>
      </c>
      <c r="F1871" s="67">
        <v>5.146041449</v>
      </c>
      <c r="G1871" s="40">
        <v>1.454001442</v>
      </c>
      <c r="H1871" s="40">
        <f t="shared" si="1"/>
        <v>3.271503245</v>
      </c>
      <c r="I1871" s="41">
        <v>0.5</v>
      </c>
      <c r="J1871" s="41">
        <v>0.166666667</v>
      </c>
      <c r="K1871" s="41">
        <v>0.333333333</v>
      </c>
      <c r="L1871" s="41">
        <f t="shared" si="2"/>
        <v>0.166666667</v>
      </c>
      <c r="M1871" s="74">
        <v>-1.139748697</v>
      </c>
    </row>
    <row r="1872">
      <c r="A1872" s="1" t="s">
        <v>389</v>
      </c>
      <c r="B1872" s="38">
        <v>682052.0</v>
      </c>
      <c r="C1872" s="72">
        <v>45870.0</v>
      </c>
      <c r="D1872" s="38">
        <v>93.0</v>
      </c>
      <c r="E1872" s="73" t="str">
        <f>IFERROR(__xludf.DUMMYFUNCTION("average(filter('Appearance Sheet'!F:F,'Appearance Sheet'!G:G=B1872,'Appearance Sheet'!A:A=C1872))"),"#N/A")</f>
        <v>#N/A</v>
      </c>
      <c r="F1872" s="67">
        <v>5.145822044</v>
      </c>
      <c r="G1872" s="40">
        <v>1.86847807</v>
      </c>
      <c r="H1872" s="40" t="str">
        <f t="shared" si="1"/>
        <v>#N/A</v>
      </c>
      <c r="I1872" s="41">
        <v>0.494623656</v>
      </c>
      <c r="J1872" s="41">
        <v>0.193548387</v>
      </c>
      <c r="K1872" s="41">
        <v>0.311827957</v>
      </c>
      <c r="L1872" s="41">
        <f t="shared" si="2"/>
        <v>0.182795699</v>
      </c>
      <c r="M1872" s="74">
        <v>0.579510821</v>
      </c>
    </row>
    <row r="1873">
      <c r="A1873" s="1" t="s">
        <v>423</v>
      </c>
      <c r="B1873" s="38">
        <v>656605.0</v>
      </c>
      <c r="C1873" s="72">
        <v>45767.0</v>
      </c>
      <c r="D1873" s="38">
        <v>100.0</v>
      </c>
      <c r="E1873" s="73">
        <f>IFERROR(__xludf.DUMMYFUNCTION("average(filter('Appearance Sheet'!F:F,'Appearance Sheet'!G:G=B1873,'Appearance Sheet'!A:A=C1873))"),5.0)</f>
        <v>5</v>
      </c>
      <c r="F1873" s="67">
        <v>5.145705998</v>
      </c>
      <c r="G1873" s="40">
        <v>2.011885892</v>
      </c>
      <c r="H1873" s="40">
        <f t="shared" si="1"/>
        <v>3.621394606</v>
      </c>
      <c r="I1873" s="41">
        <v>0.47</v>
      </c>
      <c r="J1873" s="41">
        <v>0.2</v>
      </c>
      <c r="K1873" s="41">
        <v>0.33</v>
      </c>
      <c r="L1873" s="41">
        <f t="shared" si="2"/>
        <v>0.14</v>
      </c>
      <c r="M1873" s="74">
        <v>1.357609509</v>
      </c>
    </row>
    <row r="1874">
      <c r="A1874" s="1" t="s">
        <v>294</v>
      </c>
      <c r="B1874" s="38">
        <v>665152.0</v>
      </c>
      <c r="C1874" s="72">
        <v>45923.0</v>
      </c>
      <c r="D1874" s="38">
        <v>95.0</v>
      </c>
      <c r="E1874" s="73" t="str">
        <f>IFERROR(__xludf.DUMMYFUNCTION("average(filter('Appearance Sheet'!F:F,'Appearance Sheet'!G:G=B1874,'Appearance Sheet'!A:A=C1874))"),"#N/A")</f>
        <v>#N/A</v>
      </c>
      <c r="F1874" s="67">
        <v>5.14562661</v>
      </c>
      <c r="G1874" s="40">
        <v>1.899930414</v>
      </c>
      <c r="H1874" s="40" t="str">
        <f t="shared" si="1"/>
        <v>#N/A</v>
      </c>
      <c r="I1874" s="41">
        <v>0.452631579</v>
      </c>
      <c r="J1874" s="41">
        <v>0.178947368</v>
      </c>
      <c r="K1874" s="41">
        <v>0.368421053</v>
      </c>
      <c r="L1874" s="41">
        <f t="shared" si="2"/>
        <v>0.084210526</v>
      </c>
      <c r="M1874" s="74">
        <v>4.950547008</v>
      </c>
    </row>
    <row r="1875">
      <c r="A1875" s="1" t="s">
        <v>308</v>
      </c>
      <c r="B1875" s="38">
        <v>676440.0</v>
      </c>
      <c r="C1875" s="72">
        <v>45918.0</v>
      </c>
      <c r="D1875" s="38">
        <v>97.0</v>
      </c>
      <c r="E1875" s="73" t="str">
        <f>IFERROR(__xludf.DUMMYFUNCTION("average(filter('Appearance Sheet'!F:F,'Appearance Sheet'!G:G=B1875,'Appearance Sheet'!A:A=C1875))"),"#N/A")</f>
        <v>#N/A</v>
      </c>
      <c r="F1875" s="67">
        <v>5.145455508</v>
      </c>
      <c r="G1875" s="40">
        <v>1.9524602</v>
      </c>
      <c r="H1875" s="40" t="str">
        <f t="shared" si="1"/>
        <v>#N/A</v>
      </c>
      <c r="I1875" s="41">
        <v>0.494845361</v>
      </c>
      <c r="J1875" s="41">
        <v>0.12371134</v>
      </c>
      <c r="K1875" s="41">
        <v>0.381443299</v>
      </c>
      <c r="L1875" s="41">
        <f t="shared" si="2"/>
        <v>0.113402062</v>
      </c>
      <c r="M1875" s="74">
        <v>1.042961225</v>
      </c>
    </row>
    <row r="1876">
      <c r="A1876" s="1" t="s">
        <v>147</v>
      </c>
      <c r="B1876" s="38">
        <v>608379.0</v>
      </c>
      <c r="C1876" s="72">
        <v>45905.0</v>
      </c>
      <c r="D1876" s="38">
        <v>80.0</v>
      </c>
      <c r="E1876" s="73" t="str">
        <f>IFERROR(__xludf.DUMMYFUNCTION("average(filter('Appearance Sheet'!F:F,'Appearance Sheet'!G:G=B1876,'Appearance Sheet'!A:A=C1876))"),"#N/A")</f>
        <v>#N/A</v>
      </c>
      <c r="F1876" s="67">
        <v>5.145284028</v>
      </c>
      <c r="G1876" s="40">
        <v>1.624781398</v>
      </c>
      <c r="H1876" s="40" t="str">
        <f t="shared" si="1"/>
        <v>#N/A</v>
      </c>
      <c r="I1876" s="41">
        <v>0.475</v>
      </c>
      <c r="J1876" s="41">
        <v>0.175</v>
      </c>
      <c r="K1876" s="41">
        <v>0.35</v>
      </c>
      <c r="L1876" s="41">
        <f t="shared" si="2"/>
        <v>0.125</v>
      </c>
      <c r="M1876" s="74">
        <v>0.794385963</v>
      </c>
    </row>
    <row r="1877">
      <c r="A1877" s="1" t="s">
        <v>125</v>
      </c>
      <c r="B1877" s="38">
        <v>663554.0</v>
      </c>
      <c r="C1877" s="72">
        <v>45766.0</v>
      </c>
      <c r="D1877" s="38">
        <v>86.0</v>
      </c>
      <c r="E1877" s="73">
        <f>IFERROR(__xludf.DUMMYFUNCTION("average(filter('Appearance Sheet'!F:F,'Appearance Sheet'!G:G=B1877,'Appearance Sheet'!A:A=C1877))"),7.0)</f>
        <v>7</v>
      </c>
      <c r="F1877" s="67">
        <v>5.145268083</v>
      </c>
      <c r="G1877" s="40">
        <v>1.77305593</v>
      </c>
      <c r="H1877" s="40">
        <f t="shared" si="1"/>
        <v>2.279643339</v>
      </c>
      <c r="I1877" s="41">
        <v>0.488372093</v>
      </c>
      <c r="J1877" s="41">
        <v>0.209302326</v>
      </c>
      <c r="K1877" s="41">
        <v>0.302325581</v>
      </c>
      <c r="L1877" s="41">
        <f t="shared" si="2"/>
        <v>0.186046512</v>
      </c>
      <c r="M1877" s="74">
        <v>1.800388241</v>
      </c>
    </row>
    <row r="1878">
      <c r="A1878" s="1" t="s">
        <v>369</v>
      </c>
      <c r="B1878" s="38">
        <v>596295.0</v>
      </c>
      <c r="C1878" s="72">
        <v>45834.0</v>
      </c>
      <c r="D1878" s="38">
        <v>71.0</v>
      </c>
      <c r="E1878" s="73">
        <f>IFERROR(__xludf.DUMMYFUNCTION("average(filter('Appearance Sheet'!F:F,'Appearance Sheet'!G:G=B1878,'Appearance Sheet'!A:A=C1878))"),5.0)</f>
        <v>5</v>
      </c>
      <c r="F1878" s="67">
        <v>5.145134703</v>
      </c>
      <c r="G1878" s="40">
        <v>1.434418646</v>
      </c>
      <c r="H1878" s="40">
        <f t="shared" si="1"/>
        <v>2.581953563</v>
      </c>
      <c r="I1878" s="41">
        <v>0.478873239</v>
      </c>
      <c r="J1878" s="41">
        <v>0.14084507</v>
      </c>
      <c r="K1878" s="41">
        <v>0.38028169</v>
      </c>
      <c r="L1878" s="41">
        <f t="shared" si="2"/>
        <v>0.098591549</v>
      </c>
      <c r="M1878" s="74">
        <v>1.270803549</v>
      </c>
    </row>
    <row r="1879">
      <c r="A1879" s="1" t="s">
        <v>316</v>
      </c>
      <c r="B1879" s="38">
        <v>656427.0</v>
      </c>
      <c r="C1879" s="72">
        <v>45887.0</v>
      </c>
      <c r="D1879" s="38">
        <v>88.0</v>
      </c>
      <c r="E1879" s="73" t="str">
        <f>IFERROR(__xludf.DUMMYFUNCTION("average(filter('Appearance Sheet'!F:F,'Appearance Sheet'!G:G=B1879,'Appearance Sheet'!A:A=C1879))"),"#N/A")</f>
        <v>#N/A</v>
      </c>
      <c r="F1879" s="67">
        <v>5.145047637</v>
      </c>
      <c r="G1879" s="40">
        <v>1.788255653</v>
      </c>
      <c r="H1879" s="40" t="str">
        <f t="shared" si="1"/>
        <v>#N/A</v>
      </c>
      <c r="I1879" s="41">
        <v>0.511363636</v>
      </c>
      <c r="J1879" s="41">
        <v>0.136363636</v>
      </c>
      <c r="K1879" s="41">
        <v>0.352272727</v>
      </c>
      <c r="L1879" s="41">
        <f t="shared" si="2"/>
        <v>0.159090909</v>
      </c>
      <c r="M1879" s="74">
        <v>2.081828199</v>
      </c>
    </row>
    <row r="1880">
      <c r="A1880" s="1" t="s">
        <v>364</v>
      </c>
      <c r="B1880" s="38">
        <v>693855.0</v>
      </c>
      <c r="C1880" s="72">
        <v>45884.0</v>
      </c>
      <c r="D1880" s="38">
        <v>63.0</v>
      </c>
      <c r="E1880" s="73" t="str">
        <f>IFERROR(__xludf.DUMMYFUNCTION("average(filter('Appearance Sheet'!F:F,'Appearance Sheet'!G:G=B1880,'Appearance Sheet'!A:A=C1880))"),"#N/A")</f>
        <v>#N/A</v>
      </c>
      <c r="F1880" s="67">
        <v>5.145026587</v>
      </c>
      <c r="G1880" s="40">
        <v>1.260425533</v>
      </c>
      <c r="H1880" s="40" t="str">
        <f t="shared" si="1"/>
        <v>#N/A</v>
      </c>
      <c r="I1880" s="41">
        <v>0.46031746</v>
      </c>
      <c r="J1880" s="41">
        <v>0.158730159</v>
      </c>
      <c r="K1880" s="41">
        <v>0.380952381</v>
      </c>
      <c r="L1880" s="41">
        <f t="shared" si="2"/>
        <v>0.079365079</v>
      </c>
      <c r="M1880" s="74">
        <v>0.284583582</v>
      </c>
    </row>
    <row r="1881">
      <c r="A1881" s="1" t="s">
        <v>405</v>
      </c>
      <c r="B1881" s="38">
        <v>621111.0</v>
      </c>
      <c r="C1881" s="72">
        <v>45773.0</v>
      </c>
      <c r="D1881" s="38">
        <v>82.0</v>
      </c>
      <c r="E1881" s="73">
        <f>IFERROR(__xludf.DUMMYFUNCTION("average(filter('Appearance Sheet'!F:F,'Appearance Sheet'!G:G=B1881,'Appearance Sheet'!A:A=C1881))"),6.0)</f>
        <v>6</v>
      </c>
      <c r="F1881" s="67">
        <v>5.144917089</v>
      </c>
      <c r="G1881" s="40">
        <v>1.67630285</v>
      </c>
      <c r="H1881" s="40">
        <f t="shared" si="1"/>
        <v>2.514454275</v>
      </c>
      <c r="I1881" s="41">
        <v>0.512195122</v>
      </c>
      <c r="J1881" s="41">
        <v>0.195121951</v>
      </c>
      <c r="K1881" s="41">
        <v>0.292682927</v>
      </c>
      <c r="L1881" s="41">
        <f t="shared" si="2"/>
        <v>0.219512195</v>
      </c>
      <c r="M1881" s="74">
        <v>-2.043040761</v>
      </c>
    </row>
    <row r="1882">
      <c r="A1882" s="1" t="s">
        <v>136</v>
      </c>
      <c r="B1882" s="38">
        <v>660271.0</v>
      </c>
      <c r="C1882" s="72">
        <v>45896.0</v>
      </c>
      <c r="D1882" s="38">
        <v>84.0</v>
      </c>
      <c r="E1882" s="73" t="str">
        <f>IFERROR(__xludf.DUMMYFUNCTION("average(filter('Appearance Sheet'!F:F,'Appearance Sheet'!G:G=B1882,'Appearance Sheet'!A:A=C1882))"),"#N/A")</f>
        <v>#N/A</v>
      </c>
      <c r="F1882" s="67">
        <v>5.144140839</v>
      </c>
      <c r="G1882" s="40">
        <v>1.697554527</v>
      </c>
      <c r="H1882" s="40" t="str">
        <f t="shared" si="1"/>
        <v>#N/A</v>
      </c>
      <c r="I1882" s="41">
        <v>0.488095238</v>
      </c>
      <c r="J1882" s="41">
        <v>0.166666667</v>
      </c>
      <c r="K1882" s="41">
        <v>0.345238095</v>
      </c>
      <c r="L1882" s="41">
        <f t="shared" si="2"/>
        <v>0.142857143</v>
      </c>
      <c r="M1882" s="74">
        <v>4.060151827</v>
      </c>
    </row>
    <row r="1883">
      <c r="A1883" s="1" t="s">
        <v>316</v>
      </c>
      <c r="B1883" s="38">
        <v>656427.0</v>
      </c>
      <c r="C1883" s="72">
        <v>45840.0</v>
      </c>
      <c r="D1883" s="38">
        <v>97.0</v>
      </c>
      <c r="E1883" s="73">
        <f>IFERROR(__xludf.DUMMYFUNCTION("average(filter('Appearance Sheet'!F:F,'Appearance Sheet'!G:G=B1883,'Appearance Sheet'!A:A=C1883))"),5.0)</f>
        <v>5</v>
      </c>
      <c r="F1883" s="67">
        <v>5.144075487</v>
      </c>
      <c r="G1883" s="40">
        <v>1.967983056</v>
      </c>
      <c r="H1883" s="40">
        <f t="shared" si="1"/>
        <v>3.542369501</v>
      </c>
      <c r="I1883" s="41">
        <v>0.453608247</v>
      </c>
      <c r="J1883" s="41">
        <v>0.237113402</v>
      </c>
      <c r="K1883" s="41">
        <v>0.309278351</v>
      </c>
      <c r="L1883" s="41">
        <f t="shared" si="2"/>
        <v>0.144329896</v>
      </c>
      <c r="M1883" s="74">
        <v>0.876335494</v>
      </c>
    </row>
    <row r="1884">
      <c r="A1884" s="1" t="s">
        <v>63</v>
      </c>
      <c r="B1884" s="38">
        <v>687888.0</v>
      </c>
      <c r="C1884" s="72">
        <v>45841.0</v>
      </c>
      <c r="D1884" s="38">
        <v>90.0</v>
      </c>
      <c r="E1884" s="73">
        <f>IFERROR(__xludf.DUMMYFUNCTION("average(filter('Appearance Sheet'!F:F,'Appearance Sheet'!G:G=B1884,'Appearance Sheet'!A:A=C1884))"),5.0)</f>
        <v>5</v>
      </c>
      <c r="F1884" s="67">
        <v>5.143890158</v>
      </c>
      <c r="G1884" s="40">
        <v>1.829758986</v>
      </c>
      <c r="H1884" s="40">
        <f t="shared" si="1"/>
        <v>3.293566175</v>
      </c>
      <c r="I1884" s="41">
        <v>0.466666667</v>
      </c>
      <c r="J1884" s="41">
        <v>0.155555556</v>
      </c>
      <c r="K1884" s="41">
        <v>0.377777778</v>
      </c>
      <c r="L1884" s="41">
        <f t="shared" si="2"/>
        <v>0.088888889</v>
      </c>
      <c r="M1884" s="74">
        <v>-0.96703095</v>
      </c>
    </row>
    <row r="1885">
      <c r="A1885" s="1" t="s">
        <v>229</v>
      </c>
      <c r="B1885" s="38">
        <v>645261.0</v>
      </c>
      <c r="C1885" s="72">
        <v>45884.0</v>
      </c>
      <c r="D1885" s="38">
        <v>85.0</v>
      </c>
      <c r="E1885" s="73" t="str">
        <f>IFERROR(__xludf.DUMMYFUNCTION("average(filter('Appearance Sheet'!F:F,'Appearance Sheet'!G:G=B1885,'Appearance Sheet'!A:A=C1885))"),"#N/A")</f>
        <v>#N/A</v>
      </c>
      <c r="F1885" s="67">
        <v>5.143847052</v>
      </c>
      <c r="G1885" s="40">
        <v>1.715966333</v>
      </c>
      <c r="H1885" s="40" t="str">
        <f t="shared" si="1"/>
        <v>#N/A</v>
      </c>
      <c r="I1885" s="41">
        <v>0.458823529</v>
      </c>
      <c r="J1885" s="41">
        <v>0.2</v>
      </c>
      <c r="K1885" s="41">
        <v>0.341176471</v>
      </c>
      <c r="L1885" s="41">
        <f t="shared" si="2"/>
        <v>0.117647058</v>
      </c>
      <c r="M1885" s="74">
        <v>4.203097928</v>
      </c>
    </row>
    <row r="1886">
      <c r="A1886" s="1" t="s">
        <v>455</v>
      </c>
      <c r="B1886" s="38">
        <v>570632.0</v>
      </c>
      <c r="C1886" s="72">
        <v>45775.0</v>
      </c>
      <c r="D1886" s="38">
        <v>68.0</v>
      </c>
      <c r="E1886" s="73">
        <f>IFERROR(__xludf.DUMMYFUNCTION("average(filter('Appearance Sheet'!F:F,'Appearance Sheet'!G:G=B1886,'Appearance Sheet'!A:A=C1886))"),3.0)</f>
        <v>3</v>
      </c>
      <c r="F1886" s="67">
        <v>5.143802376</v>
      </c>
      <c r="G1886" s="40">
        <v>1.376971855</v>
      </c>
      <c r="H1886" s="40">
        <f t="shared" si="1"/>
        <v>4.130915565</v>
      </c>
      <c r="I1886" s="41">
        <v>0.426470588</v>
      </c>
      <c r="J1886" s="41">
        <v>0.235294118</v>
      </c>
      <c r="K1886" s="41">
        <v>0.338235294</v>
      </c>
      <c r="L1886" s="41">
        <f t="shared" si="2"/>
        <v>0.088235294</v>
      </c>
      <c r="M1886" s="74">
        <v>-2.016933839</v>
      </c>
    </row>
    <row r="1887">
      <c r="A1887" s="1" t="s">
        <v>472</v>
      </c>
      <c r="B1887" s="38">
        <v>675911.0</v>
      </c>
      <c r="C1887" s="72">
        <v>45822.0</v>
      </c>
      <c r="D1887" s="38">
        <v>84.0</v>
      </c>
      <c r="E1887" s="73">
        <f>IFERROR(__xludf.DUMMYFUNCTION("average(filter('Appearance Sheet'!F:F,'Appearance Sheet'!G:G=B1887,'Appearance Sheet'!A:A=C1887))"),6.0)</f>
        <v>6</v>
      </c>
      <c r="F1887" s="67">
        <v>5.143584911</v>
      </c>
      <c r="G1887" s="40">
        <v>1.694483093</v>
      </c>
      <c r="H1887" s="40">
        <f t="shared" si="1"/>
        <v>2.54172464</v>
      </c>
      <c r="I1887" s="41">
        <v>0.464285714</v>
      </c>
      <c r="J1887" s="41">
        <v>0.226190476</v>
      </c>
      <c r="K1887" s="41">
        <v>0.30952381</v>
      </c>
      <c r="L1887" s="41">
        <f t="shared" si="2"/>
        <v>0.154761904</v>
      </c>
      <c r="M1887" s="74">
        <v>1.321952615</v>
      </c>
    </row>
    <row r="1888">
      <c r="A1888" s="1" t="s">
        <v>226</v>
      </c>
      <c r="B1888" s="38">
        <v>607259.0</v>
      </c>
      <c r="C1888" s="72">
        <v>45792.0</v>
      </c>
      <c r="D1888" s="38">
        <v>94.0</v>
      </c>
      <c r="E1888" s="73">
        <f>IFERROR(__xludf.DUMMYFUNCTION("average(filter('Appearance Sheet'!F:F,'Appearance Sheet'!G:G=B1888,'Appearance Sheet'!A:A=C1888))"),7.0)</f>
        <v>7</v>
      </c>
      <c r="F1888" s="67">
        <v>5.143513019</v>
      </c>
      <c r="G1888" s="40">
        <v>1.926064485</v>
      </c>
      <c r="H1888" s="40">
        <f t="shared" si="1"/>
        <v>2.476368624</v>
      </c>
      <c r="I1888" s="41">
        <v>0.446808511</v>
      </c>
      <c r="J1888" s="41">
        <v>0.244680851</v>
      </c>
      <c r="K1888" s="41">
        <v>0.308510638</v>
      </c>
      <c r="L1888" s="41">
        <f t="shared" si="2"/>
        <v>0.138297873</v>
      </c>
      <c r="M1888" s="74">
        <v>5.177379546</v>
      </c>
    </row>
    <row r="1889">
      <c r="A1889" s="1" t="s">
        <v>339</v>
      </c>
      <c r="B1889" s="38">
        <v>686613.0</v>
      </c>
      <c r="C1889" s="72">
        <v>45864.0</v>
      </c>
      <c r="D1889" s="38">
        <v>97.0</v>
      </c>
      <c r="E1889" s="73" t="str">
        <f>IFERROR(__xludf.DUMMYFUNCTION("average(filter('Appearance Sheet'!F:F,'Appearance Sheet'!G:G=B1889,'Appearance Sheet'!A:A=C1889))"),"#N/A")</f>
        <v>#N/A</v>
      </c>
      <c r="F1889" s="67">
        <v>5.143211113</v>
      </c>
      <c r="G1889" s="40">
        <v>1.94112471</v>
      </c>
      <c r="H1889" s="40" t="str">
        <f t="shared" si="1"/>
        <v>#N/A</v>
      </c>
      <c r="I1889" s="41">
        <v>0.463917526</v>
      </c>
      <c r="J1889" s="41">
        <v>0.164948454</v>
      </c>
      <c r="K1889" s="41">
        <v>0.371134021</v>
      </c>
      <c r="L1889" s="41">
        <f t="shared" si="2"/>
        <v>0.092783505</v>
      </c>
      <c r="M1889" s="74">
        <v>1.41835678</v>
      </c>
    </row>
    <row r="1890">
      <c r="A1890" s="1" t="s">
        <v>251</v>
      </c>
      <c r="B1890" s="38">
        <v>676664.0</v>
      </c>
      <c r="C1890" s="72">
        <v>45804.0</v>
      </c>
      <c r="D1890" s="38">
        <v>89.0</v>
      </c>
      <c r="E1890" s="73">
        <f>IFERROR(__xludf.DUMMYFUNCTION("average(filter('Appearance Sheet'!F:F,'Appearance Sheet'!G:G=B1890,'Appearance Sheet'!A:A=C1890))"),3.3333333333333335)</f>
        <v>3.333333333</v>
      </c>
      <c r="F1890" s="67">
        <v>5.143171227</v>
      </c>
      <c r="G1890" s="40">
        <v>1.779872914</v>
      </c>
      <c r="H1890" s="40">
        <f t="shared" si="1"/>
        <v>4.805656868</v>
      </c>
      <c r="I1890" s="41">
        <v>0.460674157</v>
      </c>
      <c r="J1890" s="41">
        <v>0.202247191</v>
      </c>
      <c r="K1890" s="41">
        <v>0.337078652</v>
      </c>
      <c r="L1890" s="41">
        <f t="shared" si="2"/>
        <v>0.123595505</v>
      </c>
      <c r="M1890" s="74">
        <v>-3.889519868</v>
      </c>
    </row>
    <row r="1891">
      <c r="A1891" s="1" t="s">
        <v>222</v>
      </c>
      <c r="B1891" s="38">
        <v>518876.0</v>
      </c>
      <c r="C1891" s="72">
        <v>45750.0</v>
      </c>
      <c r="D1891" s="38">
        <v>76.0</v>
      </c>
      <c r="E1891" s="73">
        <f>IFERROR(__xludf.DUMMYFUNCTION("average(filter('Appearance Sheet'!F:F,'Appearance Sheet'!G:G=B1891,'Appearance Sheet'!A:A=C1891))"),3.6666666666666665)</f>
        <v>3.666666667</v>
      </c>
      <c r="F1891" s="67">
        <v>5.143079521</v>
      </c>
      <c r="G1891" s="40">
        <v>1.543425933</v>
      </c>
      <c r="H1891" s="40">
        <f t="shared" si="1"/>
        <v>3.788409108</v>
      </c>
      <c r="I1891" s="41">
        <v>0.526315789</v>
      </c>
      <c r="J1891" s="41">
        <v>0.157894737</v>
      </c>
      <c r="K1891" s="41">
        <v>0.315789474</v>
      </c>
      <c r="L1891" s="41">
        <f t="shared" si="2"/>
        <v>0.210526315</v>
      </c>
      <c r="M1891" s="74">
        <v>-3.700839141</v>
      </c>
    </row>
    <row r="1892">
      <c r="A1892" s="1" t="s">
        <v>243</v>
      </c>
      <c r="B1892" s="38">
        <v>680684.0</v>
      </c>
      <c r="C1892" s="72">
        <v>45802.0</v>
      </c>
      <c r="D1892" s="38">
        <v>91.0</v>
      </c>
      <c r="E1892" s="73">
        <f>IFERROR(__xludf.DUMMYFUNCTION("average(filter('Appearance Sheet'!F:F,'Appearance Sheet'!G:G=B1892,'Appearance Sheet'!A:A=C1892))"),5.0)</f>
        <v>5</v>
      </c>
      <c r="F1892" s="67">
        <v>5.143016706</v>
      </c>
      <c r="G1892" s="40">
        <v>1.84795812</v>
      </c>
      <c r="H1892" s="40">
        <f t="shared" si="1"/>
        <v>3.326324616</v>
      </c>
      <c r="I1892" s="41">
        <v>0.461538462</v>
      </c>
      <c r="J1892" s="41">
        <v>0.21978022</v>
      </c>
      <c r="K1892" s="41">
        <v>0.318681319</v>
      </c>
      <c r="L1892" s="41">
        <f t="shared" si="2"/>
        <v>0.142857143</v>
      </c>
      <c r="M1892" s="74">
        <v>2.753624958</v>
      </c>
    </row>
    <row r="1893">
      <c r="A1893" s="1" t="s">
        <v>287</v>
      </c>
      <c r="B1893" s="38">
        <v>571945.0</v>
      </c>
      <c r="C1893" s="72">
        <v>45788.0</v>
      </c>
      <c r="D1893" s="38">
        <v>69.0</v>
      </c>
      <c r="E1893" s="73">
        <f>IFERROR(__xludf.DUMMYFUNCTION("average(filter('Appearance Sheet'!F:F,'Appearance Sheet'!G:G=B1893,'Appearance Sheet'!A:A=C1893))"),5.333333333333333)</f>
        <v>5.333333333</v>
      </c>
      <c r="F1893" s="67">
        <v>5.143011772</v>
      </c>
      <c r="G1893" s="40">
        <v>1.420665289</v>
      </c>
      <c r="H1893" s="40">
        <f t="shared" si="1"/>
        <v>2.397372675</v>
      </c>
      <c r="I1893" s="41">
        <v>0.47826087</v>
      </c>
      <c r="J1893" s="41">
        <v>0.202898551</v>
      </c>
      <c r="K1893" s="41">
        <v>0.31884058</v>
      </c>
      <c r="L1893" s="41">
        <f t="shared" si="2"/>
        <v>0.15942029</v>
      </c>
      <c r="M1893" s="74">
        <v>0.562505795</v>
      </c>
    </row>
    <row r="1894">
      <c r="A1894" s="1" t="s">
        <v>158</v>
      </c>
      <c r="B1894" s="38">
        <v>608372.0</v>
      </c>
      <c r="C1894" s="72">
        <v>45780.0</v>
      </c>
      <c r="D1894" s="38">
        <v>77.0</v>
      </c>
      <c r="E1894" s="73">
        <f>IFERROR(__xludf.DUMMYFUNCTION("average(filter('Appearance Sheet'!F:F,'Appearance Sheet'!G:G=B1894,'Appearance Sheet'!A:A=C1894))"),6.0)</f>
        <v>6</v>
      </c>
      <c r="F1894" s="67">
        <v>5.142868192</v>
      </c>
      <c r="G1894" s="40">
        <v>1.574846606</v>
      </c>
      <c r="H1894" s="40">
        <f t="shared" si="1"/>
        <v>2.362269909</v>
      </c>
      <c r="I1894" s="41">
        <v>0.467532468</v>
      </c>
      <c r="J1894" s="41">
        <v>0.207792208</v>
      </c>
      <c r="K1894" s="41">
        <v>0.324675325</v>
      </c>
      <c r="L1894" s="41">
        <f t="shared" si="2"/>
        <v>0.142857143</v>
      </c>
      <c r="M1894" s="74">
        <v>0.678332622</v>
      </c>
    </row>
    <row r="1895">
      <c r="A1895" s="1" t="s">
        <v>413</v>
      </c>
      <c r="B1895" s="38">
        <v>671737.0</v>
      </c>
      <c r="C1895" s="72">
        <v>45809.0</v>
      </c>
      <c r="D1895" s="38">
        <v>100.0</v>
      </c>
      <c r="E1895" s="73">
        <f>IFERROR(__xludf.DUMMYFUNCTION("average(filter('Appearance Sheet'!F:F,'Appearance Sheet'!G:G=B1895,'Appearance Sheet'!A:A=C1895))"),7.0)</f>
        <v>7</v>
      </c>
      <c r="F1895" s="67">
        <v>5.142726504</v>
      </c>
      <c r="G1895" s="40">
        <v>2.032954905</v>
      </c>
      <c r="H1895" s="40">
        <f t="shared" si="1"/>
        <v>2.613799164</v>
      </c>
      <c r="I1895" s="41">
        <v>0.51</v>
      </c>
      <c r="J1895" s="41">
        <v>0.07</v>
      </c>
      <c r="K1895" s="41">
        <v>0.42</v>
      </c>
      <c r="L1895" s="41">
        <f t="shared" si="2"/>
        <v>0.09</v>
      </c>
      <c r="M1895" s="74">
        <v>2.707358982</v>
      </c>
    </row>
    <row r="1896">
      <c r="A1896" s="1" t="s">
        <v>104</v>
      </c>
      <c r="B1896" s="38">
        <v>676508.0</v>
      </c>
      <c r="C1896" s="72">
        <v>45836.0</v>
      </c>
      <c r="D1896" s="38">
        <v>75.0</v>
      </c>
      <c r="E1896" s="73">
        <f>IFERROR(__xludf.DUMMYFUNCTION("average(filter('Appearance Sheet'!F:F,'Appearance Sheet'!G:G=B1896,'Appearance Sheet'!A:A=C1896))"),4.0)</f>
        <v>4</v>
      </c>
      <c r="F1896" s="67">
        <v>5.142694937</v>
      </c>
      <c r="G1896" s="40">
        <v>1.540874324</v>
      </c>
      <c r="H1896" s="40">
        <f t="shared" si="1"/>
        <v>3.466967229</v>
      </c>
      <c r="I1896" s="41">
        <v>0.4</v>
      </c>
      <c r="J1896" s="41">
        <v>0.28</v>
      </c>
      <c r="K1896" s="41">
        <v>0.32</v>
      </c>
      <c r="L1896" s="41">
        <f t="shared" si="2"/>
        <v>0.08</v>
      </c>
      <c r="M1896" s="74">
        <v>-3.879846065</v>
      </c>
    </row>
    <row r="1897">
      <c r="A1897" s="1" t="s">
        <v>246</v>
      </c>
      <c r="B1897" s="38">
        <v>571510.0</v>
      </c>
      <c r="C1897" s="72">
        <v>45917.0</v>
      </c>
      <c r="D1897" s="38">
        <v>81.0</v>
      </c>
      <c r="E1897" s="73" t="str">
        <f>IFERROR(__xludf.DUMMYFUNCTION("average(filter('Appearance Sheet'!F:F,'Appearance Sheet'!G:G=B1897,'Appearance Sheet'!A:A=C1897))"),"#N/A")</f>
        <v>#N/A</v>
      </c>
      <c r="F1897" s="67">
        <v>5.142673707</v>
      </c>
      <c r="G1897" s="40">
        <v>1.674159545</v>
      </c>
      <c r="H1897" s="40" t="str">
        <f t="shared" si="1"/>
        <v>#N/A</v>
      </c>
      <c r="I1897" s="41">
        <v>0.49382716</v>
      </c>
      <c r="J1897" s="41">
        <v>0.172839506</v>
      </c>
      <c r="K1897" s="41">
        <v>0.333333333</v>
      </c>
      <c r="L1897" s="41">
        <f t="shared" si="2"/>
        <v>0.160493827</v>
      </c>
      <c r="M1897" s="74">
        <v>-0.874058694</v>
      </c>
    </row>
    <row r="1898">
      <c r="A1898" s="1" t="s">
        <v>169</v>
      </c>
      <c r="B1898" s="38">
        <v>671096.0</v>
      </c>
      <c r="C1898" s="72">
        <v>45790.0</v>
      </c>
      <c r="D1898" s="38">
        <v>92.0</v>
      </c>
      <c r="E1898" s="73">
        <f>IFERROR(__xludf.DUMMYFUNCTION("average(filter('Appearance Sheet'!F:F,'Appearance Sheet'!G:G=B1898,'Appearance Sheet'!A:A=C1898))"),6.0)</f>
        <v>6</v>
      </c>
      <c r="F1898" s="67">
        <v>5.142390048</v>
      </c>
      <c r="G1898" s="40">
        <v>1.878755367</v>
      </c>
      <c r="H1898" s="40">
        <f t="shared" si="1"/>
        <v>2.818133051</v>
      </c>
      <c r="I1898" s="41">
        <v>0.47826087</v>
      </c>
      <c r="J1898" s="41">
        <v>0.195652174</v>
      </c>
      <c r="K1898" s="41">
        <v>0.326086957</v>
      </c>
      <c r="L1898" s="41">
        <f t="shared" si="2"/>
        <v>0.152173913</v>
      </c>
      <c r="M1898" s="74">
        <v>1.973623903</v>
      </c>
    </row>
    <row r="1899">
      <c r="A1899" s="1" t="s">
        <v>356</v>
      </c>
      <c r="B1899" s="38">
        <v>680732.0</v>
      </c>
      <c r="C1899" s="72">
        <v>45800.0</v>
      </c>
      <c r="D1899" s="38">
        <v>87.0</v>
      </c>
      <c r="E1899" s="73">
        <f>IFERROR(__xludf.DUMMYFUNCTION("average(filter('Appearance Sheet'!F:F,'Appearance Sheet'!G:G=B1899,'Appearance Sheet'!A:A=C1899))"),6.0)</f>
        <v>6</v>
      </c>
      <c r="F1899" s="67">
        <v>5.142175402</v>
      </c>
      <c r="G1899" s="40">
        <v>1.745863808</v>
      </c>
      <c r="H1899" s="40">
        <f t="shared" si="1"/>
        <v>2.618795712</v>
      </c>
      <c r="I1899" s="41">
        <v>0.494252874</v>
      </c>
      <c r="J1899" s="41">
        <v>0.149425287</v>
      </c>
      <c r="K1899" s="41">
        <v>0.356321839</v>
      </c>
      <c r="L1899" s="41">
        <f t="shared" si="2"/>
        <v>0.137931035</v>
      </c>
      <c r="M1899" s="74">
        <v>1.543908048</v>
      </c>
    </row>
    <row r="1900">
      <c r="A1900" s="1" t="s">
        <v>316</v>
      </c>
      <c r="B1900" s="38">
        <v>656427.0</v>
      </c>
      <c r="C1900" s="72">
        <v>45917.0</v>
      </c>
      <c r="D1900" s="38">
        <v>93.0</v>
      </c>
      <c r="E1900" s="73" t="str">
        <f>IFERROR(__xludf.DUMMYFUNCTION("average(filter('Appearance Sheet'!F:F,'Appearance Sheet'!G:G=B1900,'Appearance Sheet'!A:A=C1900))"),"#N/A")</f>
        <v>#N/A</v>
      </c>
      <c r="F1900" s="67">
        <v>5.142101692</v>
      </c>
      <c r="G1900" s="40">
        <v>1.825674663</v>
      </c>
      <c r="H1900" s="40" t="str">
        <f t="shared" si="1"/>
        <v>#N/A</v>
      </c>
      <c r="I1900" s="41">
        <v>0.494623656</v>
      </c>
      <c r="J1900" s="41">
        <v>0.150537634</v>
      </c>
      <c r="K1900" s="41">
        <v>0.35483871</v>
      </c>
      <c r="L1900" s="41">
        <f t="shared" si="2"/>
        <v>0.139784946</v>
      </c>
      <c r="M1900" s="74">
        <v>1.017181566</v>
      </c>
    </row>
    <row r="1901">
      <c r="A1901" s="1" t="s">
        <v>332</v>
      </c>
      <c r="B1901" s="38">
        <v>641778.0</v>
      </c>
      <c r="C1901" s="72">
        <v>45819.0</v>
      </c>
      <c r="D1901" s="38">
        <v>71.0</v>
      </c>
      <c r="E1901" s="73">
        <f>IFERROR(__xludf.DUMMYFUNCTION("average(filter('Appearance Sheet'!F:F,'Appearance Sheet'!G:G=B1901,'Appearance Sheet'!A:A=C1901))"),4.333333333333333)</f>
        <v>4.333333333</v>
      </c>
      <c r="F1901" s="67">
        <v>5.142061387</v>
      </c>
      <c r="G1901" s="40">
        <v>1.444467767</v>
      </c>
      <c r="H1901" s="40">
        <f t="shared" si="1"/>
        <v>3.000048439</v>
      </c>
      <c r="I1901" s="41">
        <v>0.507042254</v>
      </c>
      <c r="J1901" s="41">
        <v>0.211267606</v>
      </c>
      <c r="K1901" s="41">
        <v>0.281690141</v>
      </c>
      <c r="L1901" s="41">
        <f t="shared" si="2"/>
        <v>0.225352113</v>
      </c>
      <c r="M1901" s="74">
        <v>1.221733079</v>
      </c>
    </row>
    <row r="1902">
      <c r="A1902" s="1" t="s">
        <v>432</v>
      </c>
      <c r="B1902" s="38">
        <v>669467.0</v>
      </c>
      <c r="C1902" s="72">
        <v>45811.0</v>
      </c>
      <c r="D1902" s="38">
        <v>70.0</v>
      </c>
      <c r="E1902" s="73">
        <f>IFERROR(__xludf.DUMMYFUNCTION("average(filter('Appearance Sheet'!F:F,'Appearance Sheet'!G:G=B1902,'Appearance Sheet'!A:A=C1902))"),4.333333333333333)</f>
        <v>4.333333333</v>
      </c>
      <c r="F1902" s="67">
        <v>5.142030622</v>
      </c>
      <c r="G1902" s="40">
        <v>1.439765576</v>
      </c>
      <c r="H1902" s="40">
        <f t="shared" si="1"/>
        <v>2.99028235</v>
      </c>
      <c r="I1902" s="41">
        <v>0.414285714</v>
      </c>
      <c r="J1902" s="41">
        <v>0.271428571</v>
      </c>
      <c r="K1902" s="41">
        <v>0.314285714</v>
      </c>
      <c r="L1902" s="41">
        <f t="shared" si="2"/>
        <v>0.1</v>
      </c>
      <c r="M1902" s="74">
        <v>-1.615378858</v>
      </c>
    </row>
    <row r="1903">
      <c r="A1903" s="1" t="s">
        <v>581</v>
      </c>
      <c r="B1903" s="38">
        <v>804636.0</v>
      </c>
      <c r="C1903" s="72">
        <v>45918.0</v>
      </c>
      <c r="D1903" s="38">
        <v>81.0</v>
      </c>
      <c r="E1903" s="73" t="str">
        <f>IFERROR(__xludf.DUMMYFUNCTION("average(filter('Appearance Sheet'!F:F,'Appearance Sheet'!G:G=B1903,'Appearance Sheet'!A:A=C1903))"),"#N/A")</f>
        <v>#N/A</v>
      </c>
      <c r="F1903" s="67">
        <v>5.141940552</v>
      </c>
      <c r="G1903" s="40">
        <v>1.634010993</v>
      </c>
      <c r="H1903" s="40" t="str">
        <f t="shared" si="1"/>
        <v>#N/A</v>
      </c>
      <c r="I1903" s="41">
        <v>0.518518519</v>
      </c>
      <c r="J1903" s="41">
        <v>0.111111111</v>
      </c>
      <c r="K1903" s="41">
        <v>0.37037037</v>
      </c>
      <c r="L1903" s="41">
        <f t="shared" si="2"/>
        <v>0.148148149</v>
      </c>
      <c r="M1903" s="74">
        <v>0.838923378</v>
      </c>
    </row>
    <row r="1904">
      <c r="A1904" s="1" t="s">
        <v>336</v>
      </c>
      <c r="B1904" s="38">
        <v>605488.0</v>
      </c>
      <c r="C1904" s="72">
        <v>45898.0</v>
      </c>
      <c r="D1904" s="38">
        <v>91.0</v>
      </c>
      <c r="E1904" s="73" t="str">
        <f>IFERROR(__xludf.DUMMYFUNCTION("average(filter('Appearance Sheet'!F:F,'Appearance Sheet'!G:G=B1904,'Appearance Sheet'!A:A=C1904))"),"#N/A")</f>
        <v>#N/A</v>
      </c>
      <c r="F1904" s="67">
        <v>5.141648383</v>
      </c>
      <c r="G1904" s="40">
        <v>1.832169761</v>
      </c>
      <c r="H1904" s="40" t="str">
        <f t="shared" si="1"/>
        <v>#N/A</v>
      </c>
      <c r="I1904" s="41">
        <v>0.494505495</v>
      </c>
      <c r="J1904" s="41">
        <v>0.142857143</v>
      </c>
      <c r="K1904" s="41">
        <v>0.362637363</v>
      </c>
      <c r="L1904" s="41">
        <f t="shared" si="2"/>
        <v>0.131868132</v>
      </c>
      <c r="M1904" s="74">
        <v>-1.909680667</v>
      </c>
    </row>
    <row r="1905">
      <c r="A1905" s="1" t="s">
        <v>354</v>
      </c>
      <c r="B1905" s="38">
        <v>669022.0</v>
      </c>
      <c r="C1905" s="72">
        <v>45868.0</v>
      </c>
      <c r="D1905" s="38">
        <v>95.0</v>
      </c>
      <c r="E1905" s="73" t="str">
        <f>IFERROR(__xludf.DUMMYFUNCTION("average(filter('Appearance Sheet'!F:F,'Appearance Sheet'!G:G=B1905,'Appearance Sheet'!A:A=C1905))"),"#N/A")</f>
        <v>#N/A</v>
      </c>
      <c r="F1905" s="67">
        <v>5.141627655</v>
      </c>
      <c r="G1905" s="40">
        <v>1.920704677</v>
      </c>
      <c r="H1905" s="40" t="str">
        <f t="shared" si="1"/>
        <v>#N/A</v>
      </c>
      <c r="I1905" s="41">
        <v>0.536842105</v>
      </c>
      <c r="J1905" s="41">
        <v>0.136842105</v>
      </c>
      <c r="K1905" s="41">
        <v>0.326315789</v>
      </c>
      <c r="L1905" s="41">
        <f t="shared" si="2"/>
        <v>0.210526316</v>
      </c>
      <c r="M1905" s="74">
        <v>-3.078695132</v>
      </c>
    </row>
    <row r="1906">
      <c r="A1906" s="1" t="s">
        <v>93</v>
      </c>
      <c r="B1906" s="38">
        <v>669194.0</v>
      </c>
      <c r="C1906" s="72">
        <v>45827.0</v>
      </c>
      <c r="D1906" s="38">
        <v>79.0</v>
      </c>
      <c r="E1906" s="73">
        <f>IFERROR(__xludf.DUMMYFUNCTION("average(filter('Appearance Sheet'!F:F,'Appearance Sheet'!G:G=B1906,'Appearance Sheet'!A:A=C1906))"),5.666666666666667)</f>
        <v>5.666666667</v>
      </c>
      <c r="F1906" s="67">
        <v>5.141603684</v>
      </c>
      <c r="G1906" s="40">
        <v>1.592492605</v>
      </c>
      <c r="H1906" s="40">
        <f t="shared" si="1"/>
        <v>2.529252961</v>
      </c>
      <c r="I1906" s="41">
        <v>0.506329114</v>
      </c>
      <c r="J1906" s="41">
        <v>0.189873418</v>
      </c>
      <c r="K1906" s="41">
        <v>0.303797468</v>
      </c>
      <c r="L1906" s="41">
        <f t="shared" si="2"/>
        <v>0.202531646</v>
      </c>
      <c r="M1906" s="74">
        <v>2.007449685</v>
      </c>
    </row>
    <row r="1907">
      <c r="A1907" s="1" t="s">
        <v>282</v>
      </c>
      <c r="B1907" s="38">
        <v>656302.0</v>
      </c>
      <c r="C1907" s="72">
        <v>45861.0</v>
      </c>
      <c r="D1907" s="38">
        <v>95.0</v>
      </c>
      <c r="E1907" s="73" t="str">
        <f>IFERROR(__xludf.DUMMYFUNCTION("average(filter('Appearance Sheet'!F:F,'Appearance Sheet'!G:G=B1907,'Appearance Sheet'!A:A=C1907))"),"#N/A")</f>
        <v>#N/A</v>
      </c>
      <c r="F1907" s="67">
        <v>5.141104388</v>
      </c>
      <c r="G1907" s="40">
        <v>1.90820704</v>
      </c>
      <c r="H1907" s="40" t="str">
        <f t="shared" si="1"/>
        <v>#N/A</v>
      </c>
      <c r="I1907" s="41">
        <v>0.473684211</v>
      </c>
      <c r="J1907" s="41">
        <v>0.105263158</v>
      </c>
      <c r="K1907" s="41">
        <v>0.421052632</v>
      </c>
      <c r="L1907" s="41">
        <f t="shared" si="2"/>
        <v>0.052631579</v>
      </c>
      <c r="M1907" s="74">
        <v>0.050166144</v>
      </c>
    </row>
    <row r="1908">
      <c r="A1908" s="1" t="s">
        <v>465</v>
      </c>
      <c r="B1908" s="38">
        <v>641672.0</v>
      </c>
      <c r="C1908" s="72">
        <v>45906.0</v>
      </c>
      <c r="D1908" s="38">
        <v>66.0</v>
      </c>
      <c r="E1908" s="73" t="str">
        <f>IFERROR(__xludf.DUMMYFUNCTION("average(filter('Appearance Sheet'!F:F,'Appearance Sheet'!G:G=B1908,'Appearance Sheet'!A:A=C1908))"),"#N/A")</f>
        <v>#N/A</v>
      </c>
      <c r="F1908" s="67">
        <v>5.141080855</v>
      </c>
      <c r="G1908" s="40">
        <v>1.342667072</v>
      </c>
      <c r="H1908" s="40" t="str">
        <f t="shared" si="1"/>
        <v>#N/A</v>
      </c>
      <c r="I1908" s="41">
        <v>0.46969697</v>
      </c>
      <c r="J1908" s="41">
        <v>0.166666667</v>
      </c>
      <c r="K1908" s="41">
        <v>0.363636364</v>
      </c>
      <c r="L1908" s="41">
        <f t="shared" si="2"/>
        <v>0.106060606</v>
      </c>
      <c r="M1908" s="74">
        <v>-1.698963113</v>
      </c>
    </row>
    <row r="1909">
      <c r="A1909" s="1" t="s">
        <v>242</v>
      </c>
      <c r="B1909" s="38">
        <v>669358.0</v>
      </c>
      <c r="C1909" s="72">
        <v>45748.0</v>
      </c>
      <c r="D1909" s="38">
        <v>90.0</v>
      </c>
      <c r="E1909" s="73">
        <f>IFERROR(__xludf.DUMMYFUNCTION("average(filter('Appearance Sheet'!F:F,'Appearance Sheet'!G:G=B1909,'Appearance Sheet'!A:A=C1909))"),6.0)</f>
        <v>6</v>
      </c>
      <c r="F1909" s="67">
        <v>5.140801656</v>
      </c>
      <c r="G1909" s="40">
        <v>1.839611638</v>
      </c>
      <c r="H1909" s="40">
        <f t="shared" si="1"/>
        <v>2.759417457</v>
      </c>
      <c r="I1909" s="41">
        <v>0.433333333</v>
      </c>
      <c r="J1909" s="41">
        <v>0.222222222</v>
      </c>
      <c r="K1909" s="41">
        <v>0.344444444</v>
      </c>
      <c r="L1909" s="41">
        <f t="shared" si="2"/>
        <v>0.088888889</v>
      </c>
      <c r="M1909" s="74">
        <v>-0.458121815</v>
      </c>
    </row>
    <row r="1910">
      <c r="A1910" s="1" t="s">
        <v>477</v>
      </c>
      <c r="B1910" s="38">
        <v>677958.0</v>
      </c>
      <c r="C1910" s="72">
        <v>45857.0</v>
      </c>
      <c r="D1910" s="38">
        <v>91.0</v>
      </c>
      <c r="E1910" s="73" t="str">
        <f>IFERROR(__xludf.DUMMYFUNCTION("average(filter('Appearance Sheet'!F:F,'Appearance Sheet'!G:G=B1910,'Appearance Sheet'!A:A=C1910))"),"#N/A")</f>
        <v>#N/A</v>
      </c>
      <c r="F1910" s="67">
        <v>5.140527796</v>
      </c>
      <c r="G1910" s="40">
        <v>1.840712085</v>
      </c>
      <c r="H1910" s="40" t="str">
        <f t="shared" si="1"/>
        <v>#N/A</v>
      </c>
      <c r="I1910" s="41">
        <v>0.417582418</v>
      </c>
      <c r="J1910" s="41">
        <v>0.274725275</v>
      </c>
      <c r="K1910" s="41">
        <v>0.307692308</v>
      </c>
      <c r="L1910" s="41">
        <f t="shared" si="2"/>
        <v>0.10989011</v>
      </c>
      <c r="M1910" s="74">
        <v>4.923515371</v>
      </c>
    </row>
    <row r="1911">
      <c r="A1911" s="1" t="s">
        <v>456</v>
      </c>
      <c r="B1911" s="38">
        <v>605135.0</v>
      </c>
      <c r="C1911" s="72">
        <v>45825.0</v>
      </c>
      <c r="D1911" s="38">
        <v>93.0</v>
      </c>
      <c r="E1911" s="73">
        <f>IFERROR(__xludf.DUMMYFUNCTION("average(filter('Appearance Sheet'!F:F,'Appearance Sheet'!G:G=B1911,'Appearance Sheet'!A:A=C1911))"),6.0)</f>
        <v>6</v>
      </c>
      <c r="F1911" s="67">
        <v>5.140244684</v>
      </c>
      <c r="G1911" s="40">
        <v>1.879811418</v>
      </c>
      <c r="H1911" s="40">
        <f t="shared" si="1"/>
        <v>2.819717127</v>
      </c>
      <c r="I1911" s="41">
        <v>0.494623656</v>
      </c>
      <c r="J1911" s="41">
        <v>0.161290323</v>
      </c>
      <c r="K1911" s="41">
        <v>0.344086022</v>
      </c>
      <c r="L1911" s="41">
        <f t="shared" si="2"/>
        <v>0.150537634</v>
      </c>
      <c r="M1911" s="74">
        <v>0.042322033</v>
      </c>
    </row>
    <row r="1912">
      <c r="A1912" s="1" t="s">
        <v>130</v>
      </c>
      <c r="B1912" s="38">
        <v>666200.0</v>
      </c>
      <c r="C1912" s="72">
        <v>45883.0</v>
      </c>
      <c r="D1912" s="38">
        <v>93.0</v>
      </c>
      <c r="E1912" s="73" t="str">
        <f>IFERROR(__xludf.DUMMYFUNCTION("average(filter('Appearance Sheet'!F:F,'Appearance Sheet'!G:G=B1912,'Appearance Sheet'!A:A=C1912))"),"#N/A")</f>
        <v>#N/A</v>
      </c>
      <c r="F1912" s="67">
        <v>5.140218085</v>
      </c>
      <c r="G1912" s="40">
        <v>1.876568131</v>
      </c>
      <c r="H1912" s="40" t="str">
        <f t="shared" si="1"/>
        <v>#N/A</v>
      </c>
      <c r="I1912" s="41">
        <v>0.494623656</v>
      </c>
      <c r="J1912" s="41">
        <v>0.215053763</v>
      </c>
      <c r="K1912" s="41">
        <v>0.290322581</v>
      </c>
      <c r="L1912" s="41">
        <f t="shared" si="2"/>
        <v>0.204301075</v>
      </c>
      <c r="M1912" s="74">
        <v>1.480922514</v>
      </c>
    </row>
    <row r="1913">
      <c r="A1913" s="1" t="s">
        <v>361</v>
      </c>
      <c r="B1913" s="38">
        <v>686563.0</v>
      </c>
      <c r="C1913" s="72">
        <v>45745.0</v>
      </c>
      <c r="D1913" s="38">
        <v>81.0</v>
      </c>
      <c r="E1913" s="73">
        <f>IFERROR(__xludf.DUMMYFUNCTION("average(filter('Appearance Sheet'!F:F,'Appearance Sheet'!G:G=B1913,'Appearance Sheet'!A:A=C1913))"),5.0)</f>
        <v>5</v>
      </c>
      <c r="F1913" s="67">
        <v>5.140185259</v>
      </c>
      <c r="G1913" s="40">
        <v>1.61913902</v>
      </c>
      <c r="H1913" s="40">
        <f t="shared" si="1"/>
        <v>2.914450236</v>
      </c>
      <c r="I1913" s="41">
        <v>0.49382716</v>
      </c>
      <c r="J1913" s="41">
        <v>0.135802469</v>
      </c>
      <c r="K1913" s="41">
        <v>0.37037037</v>
      </c>
      <c r="L1913" s="41">
        <f t="shared" si="2"/>
        <v>0.12345679</v>
      </c>
      <c r="M1913" s="74">
        <v>2.360435058</v>
      </c>
    </row>
    <row r="1914">
      <c r="A1914" s="1" t="s">
        <v>129</v>
      </c>
      <c r="B1914" s="38">
        <v>686752.0</v>
      </c>
      <c r="C1914" s="72">
        <v>45886.0</v>
      </c>
      <c r="D1914" s="38">
        <v>92.0</v>
      </c>
      <c r="E1914" s="73" t="str">
        <f>IFERROR(__xludf.DUMMYFUNCTION("average(filter('Appearance Sheet'!F:F,'Appearance Sheet'!G:G=B1914,'Appearance Sheet'!A:A=C1914))"),"#N/A")</f>
        <v>#N/A</v>
      </c>
      <c r="F1914" s="67">
        <v>5.140168763</v>
      </c>
      <c r="G1914" s="40">
        <v>1.870788851</v>
      </c>
      <c r="H1914" s="40" t="str">
        <f t="shared" si="1"/>
        <v>#N/A</v>
      </c>
      <c r="I1914" s="41">
        <v>0.5</v>
      </c>
      <c r="J1914" s="41">
        <v>0.119565217</v>
      </c>
      <c r="K1914" s="41">
        <v>0.380434783</v>
      </c>
      <c r="L1914" s="41">
        <f t="shared" si="2"/>
        <v>0.119565217</v>
      </c>
      <c r="M1914" s="74">
        <v>-1.080551289</v>
      </c>
    </row>
    <row r="1915">
      <c r="A1915" s="1" t="s">
        <v>376</v>
      </c>
      <c r="B1915" s="38">
        <v>668909.0</v>
      </c>
      <c r="C1915" s="72">
        <v>45803.0</v>
      </c>
      <c r="D1915" s="38">
        <v>106.0</v>
      </c>
      <c r="E1915" s="73">
        <f>IFERROR(__xludf.DUMMYFUNCTION("average(filter('Appearance Sheet'!F:F,'Appearance Sheet'!G:G=B1915,'Appearance Sheet'!A:A=C1915))"),4.666666666666667)</f>
        <v>4.666666667</v>
      </c>
      <c r="F1915" s="67">
        <v>5.139986224</v>
      </c>
      <c r="G1915" s="40">
        <v>2.139807151</v>
      </c>
      <c r="H1915" s="40">
        <f t="shared" si="1"/>
        <v>4.126770934</v>
      </c>
      <c r="I1915" s="41">
        <v>0.490566038</v>
      </c>
      <c r="J1915" s="41">
        <v>0.216981132</v>
      </c>
      <c r="K1915" s="41">
        <v>0.29245283</v>
      </c>
      <c r="L1915" s="41">
        <f t="shared" si="2"/>
        <v>0.198113208</v>
      </c>
      <c r="M1915" s="74">
        <v>2.364367791</v>
      </c>
    </row>
    <row r="1916">
      <c r="A1916" s="1" t="s">
        <v>376</v>
      </c>
      <c r="B1916" s="38">
        <v>668909.0</v>
      </c>
      <c r="C1916" s="72">
        <v>45893.0</v>
      </c>
      <c r="D1916" s="38">
        <v>86.0</v>
      </c>
      <c r="E1916" s="73" t="str">
        <f>IFERROR(__xludf.DUMMYFUNCTION("average(filter('Appearance Sheet'!F:F,'Appearance Sheet'!G:G=B1916,'Appearance Sheet'!A:A=C1916))"),"#N/A")</f>
        <v>#N/A</v>
      </c>
      <c r="F1916" s="67">
        <v>5.139674453</v>
      </c>
      <c r="G1916" s="40">
        <v>1.715485942</v>
      </c>
      <c r="H1916" s="40" t="str">
        <f t="shared" si="1"/>
        <v>#N/A</v>
      </c>
      <c r="I1916" s="41">
        <v>0.488372093</v>
      </c>
      <c r="J1916" s="41">
        <v>0.127906977</v>
      </c>
      <c r="K1916" s="41">
        <v>0.38372093</v>
      </c>
      <c r="L1916" s="41">
        <f t="shared" si="2"/>
        <v>0.104651163</v>
      </c>
      <c r="M1916" s="74">
        <v>2.120503996</v>
      </c>
    </row>
    <row r="1917">
      <c r="A1917" s="1" t="s">
        <v>583</v>
      </c>
      <c r="B1917" s="38">
        <v>696131.0</v>
      </c>
      <c r="C1917" s="72">
        <v>45842.0</v>
      </c>
      <c r="D1917" s="38">
        <v>70.0</v>
      </c>
      <c r="E1917" s="73" t="str">
        <f>IFERROR(__xludf.DUMMYFUNCTION("average(filter('Appearance Sheet'!F:F,'Appearance Sheet'!G:G=B1917,'Appearance Sheet'!A:A=C1917))"),"#N/A")</f>
        <v>#N/A</v>
      </c>
      <c r="F1917" s="67">
        <v>5.139640779</v>
      </c>
      <c r="G1917" s="40">
        <v>1.432224041</v>
      </c>
      <c r="H1917" s="40" t="str">
        <f t="shared" si="1"/>
        <v>#N/A</v>
      </c>
      <c r="I1917" s="41">
        <v>0.442857143</v>
      </c>
      <c r="J1917" s="41">
        <v>0.171428571</v>
      </c>
      <c r="K1917" s="41">
        <v>0.385714286</v>
      </c>
      <c r="L1917" s="41">
        <f t="shared" si="2"/>
        <v>0.057142857</v>
      </c>
      <c r="M1917" s="74">
        <v>-0.499211772</v>
      </c>
    </row>
    <row r="1918">
      <c r="A1918" s="1" t="s">
        <v>313</v>
      </c>
      <c r="B1918" s="38">
        <v>607067.0</v>
      </c>
      <c r="C1918" s="72">
        <v>45801.0</v>
      </c>
      <c r="D1918" s="38">
        <v>102.0</v>
      </c>
      <c r="E1918" s="73">
        <f>IFERROR(__xludf.DUMMYFUNCTION("average(filter('Appearance Sheet'!F:F,'Appearance Sheet'!G:G=B1918,'Appearance Sheet'!A:A=C1918))"),5.0)</f>
        <v>5</v>
      </c>
      <c r="F1918" s="67">
        <v>5.139245082</v>
      </c>
      <c r="G1918" s="40">
        <v>2.04255101</v>
      </c>
      <c r="H1918" s="40">
        <f t="shared" si="1"/>
        <v>3.676591818</v>
      </c>
      <c r="I1918" s="41">
        <v>0.460784314</v>
      </c>
      <c r="J1918" s="41">
        <v>0.245098039</v>
      </c>
      <c r="K1918" s="41">
        <v>0.294117647</v>
      </c>
      <c r="L1918" s="41">
        <f t="shared" si="2"/>
        <v>0.166666667</v>
      </c>
      <c r="M1918" s="74">
        <v>-0.435427707</v>
      </c>
    </row>
    <row r="1919">
      <c r="A1919" s="1" t="s">
        <v>408</v>
      </c>
      <c r="B1919" s="38">
        <v>657376.0</v>
      </c>
      <c r="C1919" s="72">
        <v>45763.0</v>
      </c>
      <c r="D1919" s="38">
        <v>72.0</v>
      </c>
      <c r="E1919" s="73">
        <f>IFERROR(__xludf.DUMMYFUNCTION("average(filter('Appearance Sheet'!F:F,'Appearance Sheet'!G:G=B1919,'Appearance Sheet'!A:A=C1919))"),5.666666666666667)</f>
        <v>5.666666667</v>
      </c>
      <c r="F1919" s="67">
        <v>5.139230096</v>
      </c>
      <c r="G1919" s="40">
        <v>1.488111902</v>
      </c>
      <c r="H1919" s="40">
        <f t="shared" si="1"/>
        <v>2.363471844</v>
      </c>
      <c r="I1919" s="41">
        <v>0.486111111</v>
      </c>
      <c r="J1919" s="41">
        <v>0.194444444</v>
      </c>
      <c r="K1919" s="41">
        <v>0.319444444</v>
      </c>
      <c r="L1919" s="41">
        <f t="shared" si="2"/>
        <v>0.166666667</v>
      </c>
      <c r="M1919" s="74">
        <v>0.603654056</v>
      </c>
    </row>
    <row r="1920">
      <c r="A1920" s="1" t="s">
        <v>129</v>
      </c>
      <c r="B1920" s="38">
        <v>686752.0</v>
      </c>
      <c r="C1920" s="72">
        <v>45796.0</v>
      </c>
      <c r="D1920" s="38">
        <v>85.0</v>
      </c>
      <c r="E1920" s="73">
        <f>IFERROR(__xludf.DUMMYFUNCTION("average(filter('Appearance Sheet'!F:F,'Appearance Sheet'!G:G=B1920,'Appearance Sheet'!A:A=C1920))"),6.0)</f>
        <v>6</v>
      </c>
      <c r="F1920" s="67">
        <v>5.139120449</v>
      </c>
      <c r="G1920" s="40">
        <v>1.773794768</v>
      </c>
      <c r="H1920" s="40">
        <f t="shared" si="1"/>
        <v>2.660692152</v>
      </c>
      <c r="I1920" s="41">
        <v>0.470588235</v>
      </c>
      <c r="J1920" s="41">
        <v>0.211764706</v>
      </c>
      <c r="K1920" s="41">
        <v>0.317647059</v>
      </c>
      <c r="L1920" s="41">
        <f t="shared" si="2"/>
        <v>0.152941176</v>
      </c>
      <c r="M1920" s="74">
        <v>-3.361967887</v>
      </c>
    </row>
    <row r="1921">
      <c r="A1921" s="1" t="s">
        <v>256</v>
      </c>
      <c r="B1921" s="38">
        <v>571760.0</v>
      </c>
      <c r="C1921" s="72">
        <v>45870.0</v>
      </c>
      <c r="D1921" s="38">
        <v>73.0</v>
      </c>
      <c r="E1921" s="73" t="str">
        <f>IFERROR(__xludf.DUMMYFUNCTION("average(filter('Appearance Sheet'!F:F,'Appearance Sheet'!G:G=B1921,'Appearance Sheet'!A:A=C1921))"),"#N/A")</f>
        <v>#N/A</v>
      </c>
      <c r="F1921" s="67">
        <v>5.138879562</v>
      </c>
      <c r="G1921" s="40">
        <v>1.466824053</v>
      </c>
      <c r="H1921" s="40" t="str">
        <f t="shared" si="1"/>
        <v>#N/A</v>
      </c>
      <c r="I1921" s="41">
        <v>0.424657534</v>
      </c>
      <c r="J1921" s="41">
        <v>0.232876712</v>
      </c>
      <c r="K1921" s="41">
        <v>0.342465753</v>
      </c>
      <c r="L1921" s="41">
        <f t="shared" si="2"/>
        <v>0.082191781</v>
      </c>
      <c r="M1921" s="74">
        <v>-2.015615415</v>
      </c>
    </row>
    <row r="1922">
      <c r="A1922" s="1" t="s">
        <v>421</v>
      </c>
      <c r="B1922" s="38">
        <v>607192.0</v>
      </c>
      <c r="C1922" s="72">
        <v>45861.0</v>
      </c>
      <c r="D1922" s="38">
        <v>103.0</v>
      </c>
      <c r="E1922" s="73" t="str">
        <f>IFERROR(__xludf.DUMMYFUNCTION("average(filter('Appearance Sheet'!F:F,'Appearance Sheet'!G:G=B1922,'Appearance Sheet'!A:A=C1922))"),"#N/A")</f>
        <v>#N/A</v>
      </c>
      <c r="F1922" s="67">
        <v>5.138667205</v>
      </c>
      <c r="G1922" s="40">
        <v>2.085794289</v>
      </c>
      <c r="H1922" s="40" t="str">
        <f t="shared" si="1"/>
        <v>#N/A</v>
      </c>
      <c r="I1922" s="41">
        <v>0.446601942</v>
      </c>
      <c r="J1922" s="41">
        <v>0.262135922</v>
      </c>
      <c r="K1922" s="41">
        <v>0.291262136</v>
      </c>
      <c r="L1922" s="41">
        <f t="shared" si="2"/>
        <v>0.155339806</v>
      </c>
      <c r="M1922" s="74">
        <v>2.820638831</v>
      </c>
    </row>
    <row r="1923">
      <c r="A1923" s="1" t="s">
        <v>216</v>
      </c>
      <c r="B1923" s="38">
        <v>621107.0</v>
      </c>
      <c r="C1923" s="72">
        <v>45754.0</v>
      </c>
      <c r="D1923" s="38">
        <v>70.0</v>
      </c>
      <c r="E1923" s="73">
        <f>IFERROR(__xludf.DUMMYFUNCTION("average(filter('Appearance Sheet'!F:F,'Appearance Sheet'!G:G=B1923,'Appearance Sheet'!A:A=C1923))"),6.0)</f>
        <v>6</v>
      </c>
      <c r="F1923" s="67">
        <v>5.138594499</v>
      </c>
      <c r="G1923" s="40">
        <v>1.467180055</v>
      </c>
      <c r="H1923" s="40">
        <f t="shared" si="1"/>
        <v>2.200770083</v>
      </c>
      <c r="I1923" s="41">
        <v>0.528571429</v>
      </c>
      <c r="J1923" s="41">
        <v>0.142857143</v>
      </c>
      <c r="K1923" s="41">
        <v>0.328571429</v>
      </c>
      <c r="L1923" s="41">
        <f t="shared" si="2"/>
        <v>0.2</v>
      </c>
      <c r="M1923" s="74">
        <v>0.813599334</v>
      </c>
    </row>
    <row r="1924">
      <c r="A1924" s="1" t="s">
        <v>461</v>
      </c>
      <c r="B1924" s="38">
        <v>673540.0</v>
      </c>
      <c r="C1924" s="72">
        <v>45808.0</v>
      </c>
      <c r="D1924" s="38">
        <v>86.0</v>
      </c>
      <c r="E1924" s="73">
        <f>IFERROR(__xludf.DUMMYFUNCTION("average(filter('Appearance Sheet'!F:F,'Appearance Sheet'!G:G=B1924,'Appearance Sheet'!A:A=C1924))"),6.333333333333333)</f>
        <v>6.333333333</v>
      </c>
      <c r="F1924" s="67">
        <v>5.138539138</v>
      </c>
      <c r="G1924" s="40">
        <v>1.758914158</v>
      </c>
      <c r="H1924" s="40">
        <f t="shared" si="1"/>
        <v>2.499509593</v>
      </c>
      <c r="I1924" s="41">
        <v>0.476744186</v>
      </c>
      <c r="J1924" s="41">
        <v>0.162790698</v>
      </c>
      <c r="K1924" s="41">
        <v>0.360465116</v>
      </c>
      <c r="L1924" s="41">
        <f t="shared" si="2"/>
        <v>0.11627907</v>
      </c>
      <c r="M1924" s="74">
        <v>2.825517705</v>
      </c>
    </row>
    <row r="1925">
      <c r="A1925" s="1" t="s">
        <v>474</v>
      </c>
      <c r="B1925" s="38">
        <v>450203.0</v>
      </c>
      <c r="C1925" s="72">
        <v>45867.0</v>
      </c>
      <c r="D1925" s="38">
        <v>96.0</v>
      </c>
      <c r="E1925" s="73" t="str">
        <f>IFERROR(__xludf.DUMMYFUNCTION("average(filter('Appearance Sheet'!F:F,'Appearance Sheet'!G:G=B1925,'Appearance Sheet'!A:A=C1925))"),"#N/A")</f>
        <v>#N/A</v>
      </c>
      <c r="F1925" s="67">
        <v>5.138341282</v>
      </c>
      <c r="G1925" s="40">
        <v>1.98023308</v>
      </c>
      <c r="H1925" s="40" t="str">
        <f t="shared" si="1"/>
        <v>#N/A</v>
      </c>
      <c r="I1925" s="41">
        <v>0.510416667</v>
      </c>
      <c r="J1925" s="41">
        <v>0.166666667</v>
      </c>
      <c r="K1925" s="41">
        <v>0.322916667</v>
      </c>
      <c r="L1925" s="41">
        <f t="shared" si="2"/>
        <v>0.1875</v>
      </c>
      <c r="M1925" s="74">
        <v>-1.043601305</v>
      </c>
    </row>
    <row r="1926">
      <c r="A1926" s="1" t="s">
        <v>220</v>
      </c>
      <c r="B1926" s="38">
        <v>663559.0</v>
      </c>
      <c r="C1926" s="72">
        <v>45745.0</v>
      </c>
      <c r="D1926" s="38">
        <v>86.0</v>
      </c>
      <c r="E1926" s="73">
        <f>IFERROR(__xludf.DUMMYFUNCTION("average(filter('Appearance Sheet'!F:F,'Appearance Sheet'!G:G=B1926,'Appearance Sheet'!A:A=C1926))"),6.0)</f>
        <v>6</v>
      </c>
      <c r="F1926" s="67">
        <v>5.138285433</v>
      </c>
      <c r="G1926" s="40">
        <v>1.792218574</v>
      </c>
      <c r="H1926" s="40">
        <f t="shared" si="1"/>
        <v>2.688327861</v>
      </c>
      <c r="I1926" s="41">
        <v>0.5</v>
      </c>
      <c r="J1926" s="41">
        <v>0.162790698</v>
      </c>
      <c r="K1926" s="41">
        <v>0.337209302</v>
      </c>
      <c r="L1926" s="41">
        <f t="shared" si="2"/>
        <v>0.162790698</v>
      </c>
      <c r="M1926" s="74">
        <v>-2.565062705</v>
      </c>
    </row>
    <row r="1927">
      <c r="A1927" s="1" t="s">
        <v>344</v>
      </c>
      <c r="B1927" s="38">
        <v>701542.0</v>
      </c>
      <c r="C1927" s="72">
        <v>45926.0</v>
      </c>
      <c r="D1927" s="38">
        <v>81.0</v>
      </c>
      <c r="E1927" s="73" t="str">
        <f>IFERROR(__xludf.DUMMYFUNCTION("average(filter('Appearance Sheet'!F:F,'Appearance Sheet'!G:G=B1927,'Appearance Sheet'!A:A=C1927))"),"#N/A")</f>
        <v>#N/A</v>
      </c>
      <c r="F1927" s="67">
        <v>5.138189245</v>
      </c>
      <c r="G1927" s="40">
        <v>1.66846019</v>
      </c>
      <c r="H1927" s="40" t="str">
        <f t="shared" si="1"/>
        <v>#N/A</v>
      </c>
      <c r="I1927" s="41">
        <v>0.481481481</v>
      </c>
      <c r="J1927" s="41">
        <v>0.185185185</v>
      </c>
      <c r="K1927" s="41">
        <v>0.333333333</v>
      </c>
      <c r="L1927" s="41">
        <f t="shared" si="2"/>
        <v>0.148148148</v>
      </c>
      <c r="M1927" s="74">
        <v>-1.856946004</v>
      </c>
    </row>
    <row r="1928">
      <c r="A1928" s="1" t="s">
        <v>445</v>
      </c>
      <c r="B1928" s="38">
        <v>663855.0</v>
      </c>
      <c r="C1928" s="72">
        <v>45774.0</v>
      </c>
      <c r="D1928" s="38">
        <v>81.0</v>
      </c>
      <c r="E1928" s="73">
        <f>IFERROR(__xludf.DUMMYFUNCTION("average(filter('Appearance Sheet'!F:F,'Appearance Sheet'!G:G=B1928,'Appearance Sheet'!A:A=C1928))"),5.0)</f>
        <v>5</v>
      </c>
      <c r="F1928" s="67">
        <v>5.13816935</v>
      </c>
      <c r="G1928" s="40">
        <v>1.653548668</v>
      </c>
      <c r="H1928" s="40">
        <f t="shared" si="1"/>
        <v>2.976387602</v>
      </c>
      <c r="I1928" s="41">
        <v>0.432098765</v>
      </c>
      <c r="J1928" s="41">
        <v>0.234567901</v>
      </c>
      <c r="K1928" s="41">
        <v>0.333333333</v>
      </c>
      <c r="L1928" s="41">
        <f t="shared" si="2"/>
        <v>0.098765432</v>
      </c>
      <c r="M1928" s="74">
        <v>-1.206920088</v>
      </c>
    </row>
    <row r="1929">
      <c r="A1929" s="1" t="s">
        <v>456</v>
      </c>
      <c r="B1929" s="38">
        <v>605135.0</v>
      </c>
      <c r="C1929" s="72">
        <v>45918.0</v>
      </c>
      <c r="D1929" s="38">
        <v>88.0</v>
      </c>
      <c r="E1929" s="73" t="str">
        <f>IFERROR(__xludf.DUMMYFUNCTION("average(filter('Appearance Sheet'!F:F,'Appearance Sheet'!G:G=B1929,'Appearance Sheet'!A:A=C1929))"),"#N/A")</f>
        <v>#N/A</v>
      </c>
      <c r="F1929" s="67">
        <v>5.137310239</v>
      </c>
      <c r="G1929" s="40">
        <v>1.7604939</v>
      </c>
      <c r="H1929" s="40" t="str">
        <f t="shared" si="1"/>
        <v>#N/A</v>
      </c>
      <c r="I1929" s="41">
        <v>0.454545455</v>
      </c>
      <c r="J1929" s="41">
        <v>0.147727273</v>
      </c>
      <c r="K1929" s="41">
        <v>0.397727273</v>
      </c>
      <c r="L1929" s="41">
        <f t="shared" si="2"/>
        <v>0.056818182</v>
      </c>
      <c r="M1929" s="74">
        <v>-2.910804715</v>
      </c>
    </row>
    <row r="1930">
      <c r="A1930" s="1" t="s">
        <v>470</v>
      </c>
      <c r="B1930" s="38">
        <v>681343.0</v>
      </c>
      <c r="C1930" s="72">
        <v>45766.0</v>
      </c>
      <c r="D1930" s="38">
        <v>70.0</v>
      </c>
      <c r="E1930" s="73">
        <f>IFERROR(__xludf.DUMMYFUNCTION("average(filter('Appearance Sheet'!F:F,'Appearance Sheet'!G:G=B1930,'Appearance Sheet'!A:A=C1930))"),4.666666666666667)</f>
        <v>4.666666667</v>
      </c>
      <c r="F1930" s="67">
        <v>5.137152358</v>
      </c>
      <c r="G1930" s="40">
        <v>1.451266437</v>
      </c>
      <c r="H1930" s="40">
        <f t="shared" si="1"/>
        <v>2.798870986</v>
      </c>
      <c r="I1930" s="41">
        <v>0.557142857</v>
      </c>
      <c r="J1930" s="41">
        <v>0.114285714</v>
      </c>
      <c r="K1930" s="41">
        <v>0.328571429</v>
      </c>
      <c r="L1930" s="41">
        <f t="shared" si="2"/>
        <v>0.228571428</v>
      </c>
      <c r="M1930" s="74">
        <v>-0.338210943</v>
      </c>
    </row>
    <row r="1931">
      <c r="A1931" s="1" t="s">
        <v>495</v>
      </c>
      <c r="B1931" s="38">
        <v>801403.0</v>
      </c>
      <c r="C1931" s="72">
        <v>45789.0</v>
      </c>
      <c r="D1931" s="38">
        <v>80.0</v>
      </c>
      <c r="E1931" s="73">
        <f>IFERROR(__xludf.DUMMYFUNCTION("average(filter('Appearance Sheet'!F:F,'Appearance Sheet'!G:G=B1931,'Appearance Sheet'!A:A=C1931))"),6.0)</f>
        <v>6</v>
      </c>
      <c r="F1931" s="67">
        <v>5.136874372</v>
      </c>
      <c r="G1931" s="40">
        <v>1.630998821</v>
      </c>
      <c r="H1931" s="40">
        <f t="shared" si="1"/>
        <v>2.446498232</v>
      </c>
      <c r="I1931" s="41">
        <v>0.55</v>
      </c>
      <c r="J1931" s="41">
        <v>0.125</v>
      </c>
      <c r="K1931" s="41">
        <v>0.325</v>
      </c>
      <c r="L1931" s="41">
        <f t="shared" si="2"/>
        <v>0.225</v>
      </c>
      <c r="M1931" s="74">
        <v>2.785966605</v>
      </c>
    </row>
    <row r="1932">
      <c r="A1932" s="1" t="s">
        <v>287</v>
      </c>
      <c r="B1932" s="38">
        <v>571945.0</v>
      </c>
      <c r="C1932" s="72">
        <v>45753.0</v>
      </c>
      <c r="D1932" s="38">
        <v>80.0</v>
      </c>
      <c r="E1932" s="73">
        <f>IFERROR(__xludf.DUMMYFUNCTION("average(filter('Appearance Sheet'!F:F,'Appearance Sheet'!G:G=B1932,'Appearance Sheet'!A:A=C1932))"),2.6666666666666665)</f>
        <v>2.666666667</v>
      </c>
      <c r="F1932" s="67">
        <v>5.136844944</v>
      </c>
      <c r="G1932" s="40">
        <v>1.624113513</v>
      </c>
      <c r="H1932" s="40">
        <f t="shared" si="1"/>
        <v>5.481383106</v>
      </c>
      <c r="I1932" s="41">
        <v>0.4625</v>
      </c>
      <c r="J1932" s="41">
        <v>0.1875</v>
      </c>
      <c r="K1932" s="41">
        <v>0.35</v>
      </c>
      <c r="L1932" s="41">
        <f t="shared" si="2"/>
        <v>0.1125</v>
      </c>
      <c r="M1932" s="74">
        <v>-5.601825641</v>
      </c>
    </row>
    <row r="1933">
      <c r="A1933" s="1" t="s">
        <v>306</v>
      </c>
      <c r="B1933" s="38">
        <v>677944.0</v>
      </c>
      <c r="C1933" s="72">
        <v>45914.0</v>
      </c>
      <c r="D1933" s="38">
        <v>87.0</v>
      </c>
      <c r="E1933" s="73" t="str">
        <f>IFERROR(__xludf.DUMMYFUNCTION("average(filter('Appearance Sheet'!F:F,'Appearance Sheet'!G:G=B1933,'Appearance Sheet'!A:A=C1933))"),"#N/A")</f>
        <v>#N/A</v>
      </c>
      <c r="F1933" s="67">
        <v>5.136654811</v>
      </c>
      <c r="G1933" s="40">
        <v>1.79204515</v>
      </c>
      <c r="H1933" s="40" t="str">
        <f t="shared" si="1"/>
        <v>#N/A</v>
      </c>
      <c r="I1933" s="41">
        <v>0.425287356</v>
      </c>
      <c r="J1933" s="41">
        <v>0.252873563</v>
      </c>
      <c r="K1933" s="41">
        <v>0.32183908</v>
      </c>
      <c r="L1933" s="41">
        <f t="shared" si="2"/>
        <v>0.103448276</v>
      </c>
      <c r="M1933" s="74">
        <v>2.409453206</v>
      </c>
    </row>
    <row r="1934">
      <c r="A1934" s="1" t="s">
        <v>294</v>
      </c>
      <c r="B1934" s="38">
        <v>665152.0</v>
      </c>
      <c r="C1934" s="72">
        <v>45785.0</v>
      </c>
      <c r="D1934" s="38">
        <v>83.0</v>
      </c>
      <c r="E1934" s="73">
        <f>IFERROR(__xludf.DUMMYFUNCTION("average(filter('Appearance Sheet'!F:F,'Appearance Sheet'!G:G=B1934,'Appearance Sheet'!A:A=C1934))"),7.0)</f>
        <v>7</v>
      </c>
      <c r="F1934" s="67">
        <v>5.136548578</v>
      </c>
      <c r="G1934" s="40">
        <v>1.710795346</v>
      </c>
      <c r="H1934" s="40">
        <f t="shared" si="1"/>
        <v>2.199594016</v>
      </c>
      <c r="I1934" s="41">
        <v>0.518072289</v>
      </c>
      <c r="J1934" s="41">
        <v>0.21686747</v>
      </c>
      <c r="K1934" s="41">
        <v>0.265060241</v>
      </c>
      <c r="L1934" s="41">
        <f t="shared" si="2"/>
        <v>0.253012048</v>
      </c>
      <c r="M1934" s="74">
        <v>1.590836245</v>
      </c>
    </row>
    <row r="1935">
      <c r="A1935" s="1" t="s">
        <v>218</v>
      </c>
      <c r="B1935" s="38">
        <v>669432.0</v>
      </c>
      <c r="C1935" s="72">
        <v>45858.0</v>
      </c>
      <c r="D1935" s="38">
        <v>90.0</v>
      </c>
      <c r="E1935" s="73" t="str">
        <f>IFERROR(__xludf.DUMMYFUNCTION("average(filter('Appearance Sheet'!F:F,'Appearance Sheet'!G:G=B1935,'Appearance Sheet'!A:A=C1935))"),"#N/A")</f>
        <v>#N/A</v>
      </c>
      <c r="F1935" s="67">
        <v>5.136449095</v>
      </c>
      <c r="G1935" s="40">
        <v>1.853938209</v>
      </c>
      <c r="H1935" s="40" t="str">
        <f t="shared" si="1"/>
        <v>#N/A</v>
      </c>
      <c r="I1935" s="41">
        <v>0.455555556</v>
      </c>
      <c r="J1935" s="41">
        <v>0.188888889</v>
      </c>
      <c r="K1935" s="41">
        <v>0.355555556</v>
      </c>
      <c r="L1935" s="41">
        <f t="shared" si="2"/>
        <v>0.1</v>
      </c>
      <c r="M1935" s="74">
        <v>1.096588169</v>
      </c>
    </row>
    <row r="1936">
      <c r="A1936" s="1" t="s">
        <v>245</v>
      </c>
      <c r="B1936" s="38">
        <v>571578.0</v>
      </c>
      <c r="C1936" s="72">
        <v>45780.0</v>
      </c>
      <c r="D1936" s="38">
        <v>81.0</v>
      </c>
      <c r="E1936" s="73">
        <f>IFERROR(__xludf.DUMMYFUNCTION("average(filter('Appearance Sheet'!F:F,'Appearance Sheet'!G:G=B1936,'Appearance Sheet'!A:A=C1936))"),5.666666666666667)</f>
        <v>5.666666667</v>
      </c>
      <c r="F1936" s="67">
        <v>5.136405985</v>
      </c>
      <c r="G1936" s="40">
        <v>1.649367309</v>
      </c>
      <c r="H1936" s="40">
        <f t="shared" si="1"/>
        <v>2.619583373</v>
      </c>
      <c r="I1936" s="41">
        <v>0.444444444</v>
      </c>
      <c r="J1936" s="41">
        <v>0.185185185</v>
      </c>
      <c r="K1936" s="41">
        <v>0.37037037</v>
      </c>
      <c r="L1936" s="41">
        <f t="shared" si="2"/>
        <v>0.074074074</v>
      </c>
      <c r="M1936" s="74">
        <v>0.943454783</v>
      </c>
    </row>
    <row r="1937">
      <c r="A1937" s="1" t="s">
        <v>130</v>
      </c>
      <c r="B1937" s="38">
        <v>666200.0</v>
      </c>
      <c r="C1937" s="72">
        <v>45751.0</v>
      </c>
      <c r="D1937" s="38">
        <v>93.0</v>
      </c>
      <c r="E1937" s="73">
        <f>IFERROR(__xludf.DUMMYFUNCTION("average(filter('Appearance Sheet'!F:F,'Appearance Sheet'!G:G=B1937,'Appearance Sheet'!A:A=C1937))"),7.0)</f>
        <v>7</v>
      </c>
      <c r="F1937" s="67">
        <v>5.136329743</v>
      </c>
      <c r="G1937" s="40">
        <v>1.897302741</v>
      </c>
      <c r="H1937" s="40">
        <f t="shared" si="1"/>
        <v>2.439389238</v>
      </c>
      <c r="I1937" s="41">
        <v>0.516129032</v>
      </c>
      <c r="J1937" s="41">
        <v>0.139784946</v>
      </c>
      <c r="K1937" s="41">
        <v>0.344086022</v>
      </c>
      <c r="L1937" s="41">
        <f t="shared" si="2"/>
        <v>0.17204301</v>
      </c>
      <c r="M1937" s="74">
        <v>2.650577597</v>
      </c>
    </row>
    <row r="1938">
      <c r="A1938" s="1" t="s">
        <v>272</v>
      </c>
      <c r="B1938" s="38">
        <v>622491.0</v>
      </c>
      <c r="C1938" s="72">
        <v>45849.0</v>
      </c>
      <c r="D1938" s="38">
        <v>99.0</v>
      </c>
      <c r="E1938" s="73" t="str">
        <f>IFERROR(__xludf.DUMMYFUNCTION("average(filter('Appearance Sheet'!F:F,'Appearance Sheet'!G:G=B1938,'Appearance Sheet'!A:A=C1938))"),"#N/A")</f>
        <v>#N/A</v>
      </c>
      <c r="F1938" s="67">
        <v>5.136302577</v>
      </c>
      <c r="G1938" s="40">
        <v>2.00274134</v>
      </c>
      <c r="H1938" s="40" t="str">
        <f t="shared" si="1"/>
        <v>#N/A</v>
      </c>
      <c r="I1938" s="41">
        <v>0.525252525</v>
      </c>
      <c r="J1938" s="41">
        <v>0.131313131</v>
      </c>
      <c r="K1938" s="41">
        <v>0.343434343</v>
      </c>
      <c r="L1938" s="41">
        <f t="shared" si="2"/>
        <v>0.181818182</v>
      </c>
      <c r="M1938" s="74">
        <v>-0.44511062</v>
      </c>
    </row>
    <row r="1939">
      <c r="A1939" s="1" t="s">
        <v>564</v>
      </c>
      <c r="B1939" s="38">
        <v>674841.0</v>
      </c>
      <c r="C1939" s="72">
        <v>45924.0</v>
      </c>
      <c r="D1939" s="38">
        <v>81.0</v>
      </c>
      <c r="E1939" s="73" t="str">
        <f>IFERROR(__xludf.DUMMYFUNCTION("average(filter('Appearance Sheet'!F:F,'Appearance Sheet'!G:G=B1939,'Appearance Sheet'!A:A=C1939))"),"#N/A")</f>
        <v>#N/A</v>
      </c>
      <c r="F1939" s="67">
        <v>5.1362526</v>
      </c>
      <c r="G1939" s="40">
        <v>1.643369666</v>
      </c>
      <c r="H1939" s="40" t="str">
        <f t="shared" si="1"/>
        <v>#N/A</v>
      </c>
      <c r="I1939" s="41">
        <v>0.530864198</v>
      </c>
      <c r="J1939" s="41">
        <v>0.135802469</v>
      </c>
      <c r="K1939" s="41">
        <v>0.333333333</v>
      </c>
      <c r="L1939" s="41">
        <f t="shared" si="2"/>
        <v>0.197530865</v>
      </c>
      <c r="M1939" s="74">
        <v>2.071804388</v>
      </c>
    </row>
    <row r="1940">
      <c r="A1940" s="1" t="s">
        <v>125</v>
      </c>
      <c r="B1940" s="38">
        <v>663554.0</v>
      </c>
      <c r="C1940" s="72">
        <v>45891.0</v>
      </c>
      <c r="D1940" s="38">
        <v>87.0</v>
      </c>
      <c r="E1940" s="73" t="str">
        <f>IFERROR(__xludf.DUMMYFUNCTION("average(filter('Appearance Sheet'!F:F,'Appearance Sheet'!G:G=B1940,'Appearance Sheet'!A:A=C1940))"),"#N/A")</f>
        <v>#N/A</v>
      </c>
      <c r="F1940" s="67">
        <v>5.1361493</v>
      </c>
      <c r="G1940" s="40">
        <v>1.831808753</v>
      </c>
      <c r="H1940" s="40" t="str">
        <f t="shared" si="1"/>
        <v>#N/A</v>
      </c>
      <c r="I1940" s="41">
        <v>0.448275862</v>
      </c>
      <c r="J1940" s="41">
        <v>0.137931034</v>
      </c>
      <c r="K1940" s="41">
        <v>0.413793103</v>
      </c>
      <c r="L1940" s="41">
        <f t="shared" si="2"/>
        <v>0.034482759</v>
      </c>
      <c r="M1940" s="74">
        <v>-3.498998155</v>
      </c>
    </row>
    <row r="1941">
      <c r="A1941" s="1" t="s">
        <v>222</v>
      </c>
      <c r="B1941" s="38">
        <v>518876.0</v>
      </c>
      <c r="C1941" s="72">
        <v>45893.0</v>
      </c>
      <c r="D1941" s="38">
        <v>92.0</v>
      </c>
      <c r="E1941" s="73" t="str">
        <f>IFERROR(__xludf.DUMMYFUNCTION("average(filter('Appearance Sheet'!F:F,'Appearance Sheet'!G:G=B1941,'Appearance Sheet'!A:A=C1941))"),"#N/A")</f>
        <v>#N/A</v>
      </c>
      <c r="F1941" s="67">
        <v>5.135872508</v>
      </c>
      <c r="G1941" s="40">
        <v>1.843163898</v>
      </c>
      <c r="H1941" s="40" t="str">
        <f t="shared" si="1"/>
        <v>#N/A</v>
      </c>
      <c r="I1941" s="41">
        <v>0.510869565</v>
      </c>
      <c r="J1941" s="41">
        <v>0.184782609</v>
      </c>
      <c r="K1941" s="41">
        <v>0.304347826</v>
      </c>
      <c r="L1941" s="41">
        <f t="shared" si="2"/>
        <v>0.206521739</v>
      </c>
      <c r="M1941" s="74">
        <v>1.65213579</v>
      </c>
    </row>
    <row r="1942">
      <c r="A1942" s="1" t="s">
        <v>453</v>
      </c>
      <c r="B1942" s="38">
        <v>592836.0</v>
      </c>
      <c r="C1942" s="72">
        <v>45874.0</v>
      </c>
      <c r="D1942" s="38">
        <v>80.0</v>
      </c>
      <c r="E1942" s="73" t="str">
        <f>IFERROR(__xludf.DUMMYFUNCTION("average(filter('Appearance Sheet'!F:F,'Appearance Sheet'!G:G=B1942,'Appearance Sheet'!A:A=C1942))"),"#N/A")</f>
        <v>#N/A</v>
      </c>
      <c r="F1942" s="67">
        <v>5.135808076</v>
      </c>
      <c r="G1942" s="40">
        <v>1.640495155</v>
      </c>
      <c r="H1942" s="40" t="str">
        <f t="shared" si="1"/>
        <v>#N/A</v>
      </c>
      <c r="I1942" s="41">
        <v>0.4375</v>
      </c>
      <c r="J1942" s="41">
        <v>0.25</v>
      </c>
      <c r="K1942" s="41">
        <v>0.3125</v>
      </c>
      <c r="L1942" s="41">
        <f t="shared" si="2"/>
        <v>0.125</v>
      </c>
      <c r="M1942" s="74">
        <v>0.974846923</v>
      </c>
    </row>
    <row r="1943">
      <c r="A1943" s="1" t="s">
        <v>222</v>
      </c>
      <c r="B1943" s="38">
        <v>518876.0</v>
      </c>
      <c r="C1943" s="72">
        <v>45817.0</v>
      </c>
      <c r="D1943" s="38">
        <v>89.0</v>
      </c>
      <c r="E1943" s="73">
        <f>IFERROR(__xludf.DUMMYFUNCTION("average(filter('Appearance Sheet'!F:F,'Appearance Sheet'!G:G=B1943,'Appearance Sheet'!A:A=C1943))"),6.0)</f>
        <v>6</v>
      </c>
      <c r="F1943" s="67">
        <v>5.135744276</v>
      </c>
      <c r="G1943" s="40">
        <v>1.805837759</v>
      </c>
      <c r="H1943" s="40">
        <f t="shared" si="1"/>
        <v>2.708756639</v>
      </c>
      <c r="I1943" s="41">
        <v>0.449438202</v>
      </c>
      <c r="J1943" s="41">
        <v>0.213483146</v>
      </c>
      <c r="K1943" s="41">
        <v>0.337078652</v>
      </c>
      <c r="L1943" s="41">
        <f t="shared" si="2"/>
        <v>0.11235955</v>
      </c>
      <c r="M1943" s="74">
        <v>1.396454472</v>
      </c>
    </row>
    <row r="1944">
      <c r="A1944" s="1" t="s">
        <v>147</v>
      </c>
      <c r="B1944" s="38">
        <v>608379.0</v>
      </c>
      <c r="C1944" s="72">
        <v>45779.0</v>
      </c>
      <c r="D1944" s="38">
        <v>78.0</v>
      </c>
      <c r="E1944" s="73">
        <f>IFERROR(__xludf.DUMMYFUNCTION("average(filter('Appearance Sheet'!F:F,'Appearance Sheet'!G:G=B1944,'Appearance Sheet'!A:A=C1944))"),6.333333333333333)</f>
        <v>6.333333333</v>
      </c>
      <c r="F1944" s="67">
        <v>5.135733149</v>
      </c>
      <c r="G1944" s="40">
        <v>1.629748202</v>
      </c>
      <c r="H1944" s="40">
        <f t="shared" si="1"/>
        <v>2.315957971</v>
      </c>
      <c r="I1944" s="41">
        <v>0.423076923</v>
      </c>
      <c r="J1944" s="41">
        <v>0.205128205</v>
      </c>
      <c r="K1944" s="41">
        <v>0.371794872</v>
      </c>
      <c r="L1944" s="41">
        <f t="shared" si="2"/>
        <v>0.051282051</v>
      </c>
      <c r="M1944" s="74">
        <v>-2.049171008</v>
      </c>
    </row>
    <row r="1945">
      <c r="A1945" s="1" t="s">
        <v>410</v>
      </c>
      <c r="B1945" s="38">
        <v>678394.0</v>
      </c>
      <c r="C1945" s="72">
        <v>45817.0</v>
      </c>
      <c r="D1945" s="38">
        <v>82.0</v>
      </c>
      <c r="E1945" s="73">
        <f>IFERROR(__xludf.DUMMYFUNCTION("average(filter('Appearance Sheet'!F:F,'Appearance Sheet'!G:G=B1945,'Appearance Sheet'!A:A=C1945))"),6.333333333333333)</f>
        <v>6.333333333</v>
      </c>
      <c r="F1945" s="67">
        <v>5.135708657</v>
      </c>
      <c r="G1945" s="40">
        <v>1.670553958</v>
      </c>
      <c r="H1945" s="40">
        <f t="shared" si="1"/>
        <v>2.373945098</v>
      </c>
      <c r="I1945" s="41">
        <v>0.548780488</v>
      </c>
      <c r="J1945" s="41">
        <v>0.219512195</v>
      </c>
      <c r="K1945" s="41">
        <v>0.231707317</v>
      </c>
      <c r="L1945" s="41">
        <f t="shared" si="2"/>
        <v>0.317073171</v>
      </c>
      <c r="M1945" s="74">
        <v>-2.238508996</v>
      </c>
    </row>
    <row r="1946">
      <c r="A1946" s="1" t="s">
        <v>369</v>
      </c>
      <c r="B1946" s="38">
        <v>596295.0</v>
      </c>
      <c r="C1946" s="72">
        <v>45845.0</v>
      </c>
      <c r="D1946" s="38">
        <v>86.0</v>
      </c>
      <c r="E1946" s="73" t="str">
        <f>IFERROR(__xludf.DUMMYFUNCTION("average(filter('Appearance Sheet'!F:F,'Appearance Sheet'!G:G=B1946,'Appearance Sheet'!A:A=C1946))"),"#N/A")</f>
        <v>#N/A</v>
      </c>
      <c r="F1946" s="67">
        <v>5.135625505</v>
      </c>
      <c r="G1946" s="40">
        <v>1.73848215</v>
      </c>
      <c r="H1946" s="40" t="str">
        <f t="shared" si="1"/>
        <v>#N/A</v>
      </c>
      <c r="I1946" s="41">
        <v>0.465116279</v>
      </c>
      <c r="J1946" s="41">
        <v>0.23255814</v>
      </c>
      <c r="K1946" s="41">
        <v>0.302325581</v>
      </c>
      <c r="L1946" s="41">
        <f t="shared" si="2"/>
        <v>0.162790698</v>
      </c>
      <c r="M1946" s="74">
        <v>-1.637228777</v>
      </c>
    </row>
    <row r="1947">
      <c r="A1947" s="1" t="s">
        <v>166</v>
      </c>
      <c r="B1947" s="38">
        <v>608331.0</v>
      </c>
      <c r="C1947" s="72">
        <v>45839.0</v>
      </c>
      <c r="D1947" s="38">
        <v>99.0</v>
      </c>
      <c r="E1947" s="73">
        <f>IFERROR(__xludf.DUMMYFUNCTION("average(filter('Appearance Sheet'!F:F,'Appearance Sheet'!G:G=B1947,'Appearance Sheet'!A:A=C1947))"),6.0)</f>
        <v>6</v>
      </c>
      <c r="F1947" s="67">
        <v>5.135467449</v>
      </c>
      <c r="G1947" s="40">
        <v>1.993603926</v>
      </c>
      <c r="H1947" s="40">
        <f t="shared" si="1"/>
        <v>2.990405889</v>
      </c>
      <c r="I1947" s="41">
        <v>0.434343434</v>
      </c>
      <c r="J1947" s="41">
        <v>0.232323232</v>
      </c>
      <c r="K1947" s="41">
        <v>0.333333333</v>
      </c>
      <c r="L1947" s="41">
        <f t="shared" si="2"/>
        <v>0.101010101</v>
      </c>
      <c r="M1947" s="74">
        <v>2.799034925</v>
      </c>
    </row>
    <row r="1948">
      <c r="A1948" s="1" t="s">
        <v>147</v>
      </c>
      <c r="B1948" s="38">
        <v>608379.0</v>
      </c>
      <c r="C1948" s="72">
        <v>45746.0</v>
      </c>
      <c r="D1948" s="38">
        <v>81.0</v>
      </c>
      <c r="E1948" s="73">
        <f>IFERROR(__xludf.DUMMYFUNCTION("average(filter('Appearance Sheet'!F:F,'Appearance Sheet'!G:G=B1948,'Appearance Sheet'!A:A=C1948))"),4.0)</f>
        <v>4</v>
      </c>
      <c r="F1948" s="67">
        <v>5.135410208</v>
      </c>
      <c r="G1948" s="40">
        <v>1.633372217</v>
      </c>
      <c r="H1948" s="40">
        <f t="shared" si="1"/>
        <v>3.675087488</v>
      </c>
      <c r="I1948" s="41">
        <v>0.50617284</v>
      </c>
      <c r="J1948" s="41">
        <v>0.160493827</v>
      </c>
      <c r="K1948" s="41">
        <v>0.333333333</v>
      </c>
      <c r="L1948" s="41">
        <f t="shared" si="2"/>
        <v>0.172839507</v>
      </c>
      <c r="M1948" s="74">
        <v>0.532189859</v>
      </c>
    </row>
    <row r="1949">
      <c r="A1949" s="1" t="s">
        <v>97</v>
      </c>
      <c r="B1949" s="38">
        <v>656876.0</v>
      </c>
      <c r="C1949" s="72">
        <v>45759.0</v>
      </c>
      <c r="D1949" s="38">
        <v>75.0</v>
      </c>
      <c r="E1949" s="73">
        <f>IFERROR(__xludf.DUMMYFUNCTION("average(filter('Appearance Sheet'!F:F,'Appearance Sheet'!G:G=B1949,'Appearance Sheet'!A:A=C1949))"),5.0)</f>
        <v>5</v>
      </c>
      <c r="F1949" s="67">
        <v>5.135241695</v>
      </c>
      <c r="G1949" s="40">
        <v>1.538506926</v>
      </c>
      <c r="H1949" s="40">
        <f t="shared" si="1"/>
        <v>2.769312467</v>
      </c>
      <c r="I1949" s="41">
        <v>0.52</v>
      </c>
      <c r="J1949" s="41">
        <v>0.186666667</v>
      </c>
      <c r="K1949" s="41">
        <v>0.293333333</v>
      </c>
      <c r="L1949" s="41">
        <f t="shared" si="2"/>
        <v>0.226666667</v>
      </c>
      <c r="M1949" s="74">
        <v>0.629608184</v>
      </c>
    </row>
    <row r="1950">
      <c r="A1950" s="1" t="s">
        <v>300</v>
      </c>
      <c r="B1950" s="38">
        <v>506433.0</v>
      </c>
      <c r="C1950" s="72">
        <v>45880.0</v>
      </c>
      <c r="D1950" s="38">
        <v>81.0</v>
      </c>
      <c r="E1950" s="73" t="str">
        <f>IFERROR(__xludf.DUMMYFUNCTION("average(filter('Appearance Sheet'!F:F,'Appearance Sheet'!G:G=B1950,'Appearance Sheet'!A:A=C1950))"),"#N/A")</f>
        <v>#N/A</v>
      </c>
      <c r="F1950" s="67">
        <v>5.134976873</v>
      </c>
      <c r="G1950" s="40">
        <v>1.660180684</v>
      </c>
      <c r="H1950" s="40" t="str">
        <f t="shared" si="1"/>
        <v>#N/A</v>
      </c>
      <c r="I1950" s="41">
        <v>0.49382716</v>
      </c>
      <c r="J1950" s="41">
        <v>0.222222222</v>
      </c>
      <c r="K1950" s="41">
        <v>0.283950617</v>
      </c>
      <c r="L1950" s="41">
        <f t="shared" si="2"/>
        <v>0.209876543</v>
      </c>
      <c r="M1950" s="74">
        <v>0.887564839</v>
      </c>
    </row>
    <row r="1951">
      <c r="A1951" s="1" t="s">
        <v>79</v>
      </c>
      <c r="B1951" s="38">
        <v>554430.0</v>
      </c>
      <c r="C1951" s="72">
        <v>45800.0</v>
      </c>
      <c r="D1951" s="38">
        <v>108.0</v>
      </c>
      <c r="E1951" s="73">
        <f>IFERROR(__xludf.DUMMYFUNCTION("average(filter('Appearance Sheet'!F:F,'Appearance Sheet'!G:G=B1951,'Appearance Sheet'!A:A=C1951))"),6.666666666666667)</f>
        <v>6.666666667</v>
      </c>
      <c r="F1951" s="67">
        <v>5.134915559</v>
      </c>
      <c r="G1951" s="40">
        <v>2.192175838</v>
      </c>
      <c r="H1951" s="40">
        <f t="shared" si="1"/>
        <v>2.959437381</v>
      </c>
      <c r="I1951" s="41">
        <v>0.5</v>
      </c>
      <c r="J1951" s="41">
        <v>0.166666667</v>
      </c>
      <c r="K1951" s="41">
        <v>0.333333333</v>
      </c>
      <c r="L1951" s="41">
        <f t="shared" si="2"/>
        <v>0.166666667</v>
      </c>
      <c r="M1951" s="74">
        <v>2.682414212</v>
      </c>
    </row>
    <row r="1952">
      <c r="A1952" s="1" t="s">
        <v>332</v>
      </c>
      <c r="B1952" s="38">
        <v>641778.0</v>
      </c>
      <c r="C1952" s="72">
        <v>45867.0</v>
      </c>
      <c r="D1952" s="38">
        <v>74.0</v>
      </c>
      <c r="E1952" s="73" t="str">
        <f>IFERROR(__xludf.DUMMYFUNCTION("average(filter('Appearance Sheet'!F:F,'Appearance Sheet'!G:G=B1952,'Appearance Sheet'!A:A=C1952))"),"#N/A")</f>
        <v>#N/A</v>
      </c>
      <c r="F1952" s="67">
        <v>5.134731045</v>
      </c>
      <c r="G1952" s="40">
        <v>1.511297611</v>
      </c>
      <c r="H1952" s="40" t="str">
        <f t="shared" si="1"/>
        <v>#N/A</v>
      </c>
      <c r="I1952" s="41">
        <v>0.486486486</v>
      </c>
      <c r="J1952" s="41">
        <v>0.256756757</v>
      </c>
      <c r="K1952" s="41">
        <v>0.256756757</v>
      </c>
      <c r="L1952" s="41">
        <f t="shared" si="2"/>
        <v>0.229729729</v>
      </c>
      <c r="M1952" s="74">
        <v>-0.617618204</v>
      </c>
    </row>
    <row r="1953">
      <c r="A1953" s="1" t="s">
        <v>90</v>
      </c>
      <c r="B1953" s="38">
        <v>693433.0</v>
      </c>
      <c r="C1953" s="72">
        <v>45891.0</v>
      </c>
      <c r="D1953" s="38">
        <v>87.0</v>
      </c>
      <c r="E1953" s="73" t="str">
        <f>IFERROR(__xludf.DUMMYFUNCTION("average(filter('Appearance Sheet'!F:F,'Appearance Sheet'!G:G=B1953,'Appearance Sheet'!A:A=C1953))"),"#N/A")</f>
        <v>#N/A</v>
      </c>
      <c r="F1953" s="67">
        <v>5.134612905</v>
      </c>
      <c r="G1953" s="40">
        <v>1.763757229</v>
      </c>
      <c r="H1953" s="40" t="str">
        <f t="shared" si="1"/>
        <v>#N/A</v>
      </c>
      <c r="I1953" s="41">
        <v>0.528735632</v>
      </c>
      <c r="J1953" s="41">
        <v>0.137931034</v>
      </c>
      <c r="K1953" s="41">
        <v>0.333333333</v>
      </c>
      <c r="L1953" s="41">
        <f t="shared" si="2"/>
        <v>0.195402299</v>
      </c>
      <c r="M1953" s="74">
        <v>3.563896393</v>
      </c>
    </row>
    <row r="1954">
      <c r="A1954" s="1" t="s">
        <v>368</v>
      </c>
      <c r="B1954" s="38">
        <v>593958.0</v>
      </c>
      <c r="C1954" s="72">
        <v>45752.0</v>
      </c>
      <c r="D1954" s="38">
        <v>90.0</v>
      </c>
      <c r="E1954" s="73">
        <f>IFERROR(__xludf.DUMMYFUNCTION("average(filter('Appearance Sheet'!F:F,'Appearance Sheet'!G:G=B1954,'Appearance Sheet'!A:A=C1954))"),5.0)</f>
        <v>5</v>
      </c>
      <c r="F1954" s="67">
        <v>5.134495456</v>
      </c>
      <c r="G1954" s="40">
        <v>1.837095163</v>
      </c>
      <c r="H1954" s="40">
        <f t="shared" si="1"/>
        <v>3.306771293</v>
      </c>
      <c r="I1954" s="41">
        <v>0.444444444</v>
      </c>
      <c r="J1954" s="41">
        <v>0.244444444</v>
      </c>
      <c r="K1954" s="41">
        <v>0.311111111</v>
      </c>
      <c r="L1954" s="41">
        <f t="shared" si="2"/>
        <v>0.133333333</v>
      </c>
      <c r="M1954" s="74">
        <v>0.839917694</v>
      </c>
    </row>
    <row r="1955">
      <c r="A1955" s="1" t="s">
        <v>133</v>
      </c>
      <c r="B1955" s="38">
        <v>663978.0</v>
      </c>
      <c r="C1955" s="72">
        <v>45771.0</v>
      </c>
      <c r="D1955" s="38">
        <v>95.0</v>
      </c>
      <c r="E1955" s="73">
        <f>IFERROR(__xludf.DUMMYFUNCTION("average(filter('Appearance Sheet'!F:F,'Appearance Sheet'!G:G=B1955,'Appearance Sheet'!A:A=C1955))"),5.0)</f>
        <v>5</v>
      </c>
      <c r="F1955" s="67">
        <v>5.13430259</v>
      </c>
      <c r="G1955" s="40">
        <v>1.974473346</v>
      </c>
      <c r="H1955" s="40">
        <f t="shared" si="1"/>
        <v>3.554052023</v>
      </c>
      <c r="I1955" s="41">
        <v>0.515789474</v>
      </c>
      <c r="J1955" s="41">
        <v>0.126315789</v>
      </c>
      <c r="K1955" s="41">
        <v>0.357894737</v>
      </c>
      <c r="L1955" s="41">
        <f t="shared" si="2"/>
        <v>0.157894737</v>
      </c>
      <c r="M1955" s="74">
        <v>-0.459987647</v>
      </c>
    </row>
    <row r="1956">
      <c r="A1956" s="1" t="s">
        <v>281</v>
      </c>
      <c r="B1956" s="38">
        <v>622663.0</v>
      </c>
      <c r="C1956" s="72">
        <v>45874.0</v>
      </c>
      <c r="D1956" s="38">
        <v>97.0</v>
      </c>
      <c r="E1956" s="73" t="str">
        <f>IFERROR(__xludf.DUMMYFUNCTION("average(filter('Appearance Sheet'!F:F,'Appearance Sheet'!G:G=B1956,'Appearance Sheet'!A:A=C1956))"),"#N/A")</f>
        <v>#N/A</v>
      </c>
      <c r="F1956" s="67">
        <v>5.134126497</v>
      </c>
      <c r="G1956" s="40">
        <v>1.96347278</v>
      </c>
      <c r="H1956" s="40" t="str">
        <f t="shared" si="1"/>
        <v>#N/A</v>
      </c>
      <c r="I1956" s="41">
        <v>0.577319588</v>
      </c>
      <c r="J1956" s="41">
        <v>0.072164948</v>
      </c>
      <c r="K1956" s="41">
        <v>0.350515464</v>
      </c>
      <c r="L1956" s="41">
        <f t="shared" si="2"/>
        <v>0.226804124</v>
      </c>
      <c r="M1956" s="74">
        <v>-0.530339656</v>
      </c>
    </row>
    <row r="1957">
      <c r="A1957" s="1" t="s">
        <v>77</v>
      </c>
      <c r="B1957" s="38">
        <v>657277.0</v>
      </c>
      <c r="C1957" s="72">
        <v>45928.0</v>
      </c>
      <c r="D1957" s="38">
        <v>74.0</v>
      </c>
      <c r="E1957" s="73" t="str">
        <f>IFERROR(__xludf.DUMMYFUNCTION("average(filter('Appearance Sheet'!F:F,'Appearance Sheet'!G:G=B1957,'Appearance Sheet'!A:A=C1957))"),"#N/A")</f>
        <v>#N/A</v>
      </c>
      <c r="F1957" s="67">
        <v>5.134053267</v>
      </c>
      <c r="G1957" s="40">
        <v>1.496013221</v>
      </c>
      <c r="H1957" s="40" t="str">
        <f t="shared" si="1"/>
        <v>#N/A</v>
      </c>
      <c r="I1957" s="41">
        <v>0.432432432</v>
      </c>
      <c r="J1957" s="41">
        <v>0.189189189</v>
      </c>
      <c r="K1957" s="41">
        <v>0.378378378</v>
      </c>
      <c r="L1957" s="41">
        <f t="shared" si="2"/>
        <v>0.054054054</v>
      </c>
      <c r="M1957" s="74">
        <v>-0.128223031</v>
      </c>
    </row>
    <row r="1958">
      <c r="A1958" s="1" t="s">
        <v>147</v>
      </c>
      <c r="B1958" s="38">
        <v>608379.0</v>
      </c>
      <c r="C1958" s="72">
        <v>45795.0</v>
      </c>
      <c r="D1958" s="38">
        <v>81.0</v>
      </c>
      <c r="E1958" s="73">
        <f>IFERROR(__xludf.DUMMYFUNCTION("average(filter('Appearance Sheet'!F:F,'Appearance Sheet'!G:G=B1958,'Appearance Sheet'!A:A=C1958))"),5.0)</f>
        <v>5</v>
      </c>
      <c r="F1958" s="67">
        <v>5.133960264</v>
      </c>
      <c r="G1958" s="40">
        <v>1.650158525</v>
      </c>
      <c r="H1958" s="40">
        <f t="shared" si="1"/>
        <v>2.970285345</v>
      </c>
      <c r="I1958" s="41">
        <v>0.49382716</v>
      </c>
      <c r="J1958" s="41">
        <v>0.185185185</v>
      </c>
      <c r="K1958" s="41">
        <v>0.320987654</v>
      </c>
      <c r="L1958" s="41">
        <f t="shared" si="2"/>
        <v>0.172839506</v>
      </c>
      <c r="M1958" s="74">
        <v>-3.075890625</v>
      </c>
    </row>
    <row r="1959">
      <c r="A1959" s="1" t="s">
        <v>285</v>
      </c>
      <c r="B1959" s="38">
        <v>607074.0</v>
      </c>
      <c r="C1959" s="72">
        <v>45881.0</v>
      </c>
      <c r="D1959" s="38">
        <v>94.0</v>
      </c>
      <c r="E1959" s="73" t="str">
        <f>IFERROR(__xludf.DUMMYFUNCTION("average(filter('Appearance Sheet'!F:F,'Appearance Sheet'!G:G=B1959,'Appearance Sheet'!A:A=C1959))"),"#N/A")</f>
        <v>#N/A</v>
      </c>
      <c r="F1959" s="67">
        <v>5.133825167</v>
      </c>
      <c r="G1959" s="40">
        <v>1.931424915</v>
      </c>
      <c r="H1959" s="40" t="str">
        <f t="shared" si="1"/>
        <v>#N/A</v>
      </c>
      <c r="I1959" s="41">
        <v>0.468085106</v>
      </c>
      <c r="J1959" s="41">
        <v>0.223404255</v>
      </c>
      <c r="K1959" s="41">
        <v>0.308510638</v>
      </c>
      <c r="L1959" s="41">
        <f t="shared" si="2"/>
        <v>0.159574468</v>
      </c>
      <c r="M1959" s="74">
        <v>3.592864857</v>
      </c>
    </row>
    <row r="1960">
      <c r="A1960" s="1" t="s">
        <v>285</v>
      </c>
      <c r="B1960" s="38">
        <v>607074.0</v>
      </c>
      <c r="C1960" s="72">
        <v>45804.0</v>
      </c>
      <c r="D1960" s="38">
        <v>102.0</v>
      </c>
      <c r="E1960" s="73">
        <f>IFERROR(__xludf.DUMMYFUNCTION("average(filter('Appearance Sheet'!F:F,'Appearance Sheet'!G:G=B1960,'Appearance Sheet'!A:A=C1960))"),7.0)</f>
        <v>7</v>
      </c>
      <c r="F1960" s="67">
        <v>5.133342559</v>
      </c>
      <c r="G1960" s="40">
        <v>2.059538406</v>
      </c>
      <c r="H1960" s="40">
        <f t="shared" si="1"/>
        <v>2.647977951</v>
      </c>
      <c r="I1960" s="41">
        <v>0.460784314</v>
      </c>
      <c r="J1960" s="41">
        <v>0.166666667</v>
      </c>
      <c r="K1960" s="41">
        <v>0.37254902</v>
      </c>
      <c r="L1960" s="41">
        <f t="shared" si="2"/>
        <v>0.088235294</v>
      </c>
      <c r="M1960" s="74">
        <v>0.693434766</v>
      </c>
    </row>
    <row r="1961">
      <c r="A1961" s="1" t="s">
        <v>130</v>
      </c>
      <c r="B1961" s="38">
        <v>666200.0</v>
      </c>
      <c r="C1961" s="72">
        <v>45762.0</v>
      </c>
      <c r="D1961" s="38">
        <v>87.0</v>
      </c>
      <c r="E1961" s="73">
        <f>IFERROR(__xludf.DUMMYFUNCTION("average(filter('Appearance Sheet'!F:F,'Appearance Sheet'!G:G=B1961,'Appearance Sheet'!A:A=C1961))"),5.333333333333333)</f>
        <v>5.333333333</v>
      </c>
      <c r="F1961" s="67">
        <v>5.13333494</v>
      </c>
      <c r="G1961" s="40">
        <v>1.79806801</v>
      </c>
      <c r="H1961" s="40">
        <f t="shared" si="1"/>
        <v>3.034239767</v>
      </c>
      <c r="I1961" s="41">
        <v>0.517241379</v>
      </c>
      <c r="J1961" s="41">
        <v>0.16091954</v>
      </c>
      <c r="K1961" s="41">
        <v>0.32183908</v>
      </c>
      <c r="L1961" s="41">
        <f t="shared" si="2"/>
        <v>0.195402299</v>
      </c>
      <c r="M1961" s="74">
        <v>0.682449884</v>
      </c>
    </row>
    <row r="1962">
      <c r="A1962" s="1" t="s">
        <v>434</v>
      </c>
      <c r="B1962" s="38">
        <v>690990.0</v>
      </c>
      <c r="C1962" s="72">
        <v>45821.0</v>
      </c>
      <c r="D1962" s="38">
        <v>73.0</v>
      </c>
      <c r="E1962" s="73">
        <f>IFERROR(__xludf.DUMMYFUNCTION("average(filter('Appearance Sheet'!F:F,'Appearance Sheet'!G:G=B1962,'Appearance Sheet'!A:A=C1962))"),5.666666666666667)</f>
        <v>5.666666667</v>
      </c>
      <c r="F1962" s="67">
        <v>5.13324756</v>
      </c>
      <c r="G1962" s="40">
        <v>1.496790431</v>
      </c>
      <c r="H1962" s="40">
        <f t="shared" si="1"/>
        <v>2.37725539</v>
      </c>
      <c r="I1962" s="41">
        <v>0.493150685</v>
      </c>
      <c r="J1962" s="41">
        <v>0.150684932</v>
      </c>
      <c r="K1962" s="41">
        <v>0.356164384</v>
      </c>
      <c r="L1962" s="41">
        <f t="shared" si="2"/>
        <v>0.136986301</v>
      </c>
      <c r="M1962" s="74">
        <v>0.301111241</v>
      </c>
    </row>
    <row r="1963">
      <c r="A1963" s="1" t="s">
        <v>145</v>
      </c>
      <c r="B1963" s="38">
        <v>700241.0</v>
      </c>
      <c r="C1963" s="72">
        <v>45910.0</v>
      </c>
      <c r="D1963" s="38">
        <v>79.0</v>
      </c>
      <c r="E1963" s="73" t="str">
        <f>IFERROR(__xludf.DUMMYFUNCTION("average(filter('Appearance Sheet'!F:F,'Appearance Sheet'!G:G=B1963,'Appearance Sheet'!A:A=C1963))"),"#N/A")</f>
        <v>#N/A</v>
      </c>
      <c r="F1963" s="67">
        <v>5.133169028</v>
      </c>
      <c r="G1963" s="40">
        <v>1.597204836</v>
      </c>
      <c r="H1963" s="40" t="str">
        <f t="shared" si="1"/>
        <v>#N/A</v>
      </c>
      <c r="I1963" s="41">
        <v>0.405063291</v>
      </c>
      <c r="J1963" s="41">
        <v>0.240506329</v>
      </c>
      <c r="K1963" s="41">
        <v>0.35443038</v>
      </c>
      <c r="L1963" s="41">
        <f t="shared" si="2"/>
        <v>0.050632911</v>
      </c>
      <c r="M1963" s="74">
        <v>-0.936012905</v>
      </c>
    </row>
    <row r="1964">
      <c r="A1964" s="1" t="s">
        <v>352</v>
      </c>
      <c r="B1964" s="38">
        <v>685299.0</v>
      </c>
      <c r="C1964" s="72">
        <v>45785.0</v>
      </c>
      <c r="D1964" s="38">
        <v>88.0</v>
      </c>
      <c r="E1964" s="73">
        <f>IFERROR(__xludf.DUMMYFUNCTION("average(filter('Appearance Sheet'!F:F,'Appearance Sheet'!G:G=B1964,'Appearance Sheet'!A:A=C1964))"),6.333333333333333)</f>
        <v>6.333333333</v>
      </c>
      <c r="F1964" s="67">
        <v>5.133168711</v>
      </c>
      <c r="G1964" s="40">
        <v>1.864472131</v>
      </c>
      <c r="H1964" s="40">
        <f t="shared" si="1"/>
        <v>2.649513028</v>
      </c>
      <c r="I1964" s="41">
        <v>0.443181818</v>
      </c>
      <c r="J1964" s="41">
        <v>0.238636364</v>
      </c>
      <c r="K1964" s="41">
        <v>0.318181818</v>
      </c>
      <c r="L1964" s="41">
        <f t="shared" si="2"/>
        <v>0.125</v>
      </c>
      <c r="M1964" s="74">
        <v>-2.507404772</v>
      </c>
    </row>
    <row r="1965">
      <c r="A1965" s="1" t="s">
        <v>399</v>
      </c>
      <c r="B1965" s="38">
        <v>543294.0</v>
      </c>
      <c r="C1965" s="72">
        <v>45819.0</v>
      </c>
      <c r="D1965" s="38">
        <v>88.0</v>
      </c>
      <c r="E1965" s="73">
        <f>IFERROR(__xludf.DUMMYFUNCTION("average(filter('Appearance Sheet'!F:F,'Appearance Sheet'!G:G=B1965,'Appearance Sheet'!A:A=C1965))"),6.0)</f>
        <v>6</v>
      </c>
      <c r="F1965" s="67">
        <v>5.133110958</v>
      </c>
      <c r="G1965" s="40">
        <v>1.803420779</v>
      </c>
      <c r="H1965" s="40">
        <f t="shared" si="1"/>
        <v>2.705131169</v>
      </c>
      <c r="I1965" s="41">
        <v>0.511363636</v>
      </c>
      <c r="J1965" s="41">
        <v>0.181818182</v>
      </c>
      <c r="K1965" s="41">
        <v>0.306818182</v>
      </c>
      <c r="L1965" s="41">
        <f t="shared" si="2"/>
        <v>0.204545454</v>
      </c>
      <c r="M1965" s="74">
        <v>-0.399324868</v>
      </c>
    </row>
    <row r="1966">
      <c r="A1966" s="1" t="s">
        <v>339</v>
      </c>
      <c r="B1966" s="38">
        <v>686613.0</v>
      </c>
      <c r="C1966" s="72">
        <v>45906.0</v>
      </c>
      <c r="D1966" s="38">
        <v>101.0</v>
      </c>
      <c r="E1966" s="73" t="str">
        <f>IFERROR(__xludf.DUMMYFUNCTION("average(filter('Appearance Sheet'!F:F,'Appearance Sheet'!G:G=B1966,'Appearance Sheet'!A:A=C1966))"),"#N/A")</f>
        <v>#N/A</v>
      </c>
      <c r="F1966" s="67">
        <v>5.133102279</v>
      </c>
      <c r="G1966" s="40">
        <v>2.061819212</v>
      </c>
      <c r="H1966" s="40" t="str">
        <f t="shared" si="1"/>
        <v>#N/A</v>
      </c>
      <c r="I1966" s="41">
        <v>0.504950495</v>
      </c>
      <c r="J1966" s="41">
        <v>0.138613861</v>
      </c>
      <c r="K1966" s="41">
        <v>0.356435644</v>
      </c>
      <c r="L1966" s="41">
        <f t="shared" si="2"/>
        <v>0.148514851</v>
      </c>
      <c r="M1966" s="74">
        <v>1.65139416</v>
      </c>
    </row>
    <row r="1967">
      <c r="A1967" s="1" t="s">
        <v>294</v>
      </c>
      <c r="B1967" s="38">
        <v>665152.0</v>
      </c>
      <c r="C1967" s="72">
        <v>45745.0</v>
      </c>
      <c r="D1967" s="38">
        <v>80.0</v>
      </c>
      <c r="E1967" s="73">
        <f>IFERROR(__xludf.DUMMYFUNCTION("average(filter('Appearance Sheet'!F:F,'Appearance Sheet'!G:G=B1967,'Appearance Sheet'!A:A=C1967))"),5.333333333333333)</f>
        <v>5.333333333</v>
      </c>
      <c r="F1967" s="67">
        <v>5.133018154</v>
      </c>
      <c r="G1967" s="40">
        <v>1.662425292</v>
      </c>
      <c r="H1967" s="40">
        <f t="shared" si="1"/>
        <v>2.80534268</v>
      </c>
      <c r="I1967" s="41">
        <v>0.5</v>
      </c>
      <c r="J1967" s="41">
        <v>0.1625</v>
      </c>
      <c r="K1967" s="41">
        <v>0.3375</v>
      </c>
      <c r="L1967" s="41">
        <f t="shared" si="2"/>
        <v>0.1625</v>
      </c>
      <c r="M1967" s="74">
        <v>-0.843666588</v>
      </c>
    </row>
    <row r="1968">
      <c r="A1968" s="1" t="s">
        <v>354</v>
      </c>
      <c r="B1968" s="38">
        <v>669022.0</v>
      </c>
      <c r="C1968" s="72">
        <v>45749.0</v>
      </c>
      <c r="D1968" s="38">
        <v>89.0</v>
      </c>
      <c r="E1968" s="73">
        <f>IFERROR(__xludf.DUMMYFUNCTION("average(filter('Appearance Sheet'!F:F,'Appearance Sheet'!G:G=B1968,'Appearance Sheet'!A:A=C1968))"),5.0)</f>
        <v>5</v>
      </c>
      <c r="F1968" s="67">
        <v>5.133010371</v>
      </c>
      <c r="G1968" s="40">
        <v>1.808898892</v>
      </c>
      <c r="H1968" s="40">
        <f t="shared" si="1"/>
        <v>3.256018006</v>
      </c>
      <c r="I1968" s="41">
        <v>0.471910112</v>
      </c>
      <c r="J1968" s="41">
        <v>0.202247191</v>
      </c>
      <c r="K1968" s="41">
        <v>0.325842697</v>
      </c>
      <c r="L1968" s="41">
        <f t="shared" si="2"/>
        <v>0.146067415</v>
      </c>
      <c r="M1968" s="74">
        <v>-4.771896567</v>
      </c>
    </row>
    <row r="1969">
      <c r="A1969" s="1" t="s">
        <v>84</v>
      </c>
      <c r="B1969" s="38">
        <v>669373.0</v>
      </c>
      <c r="C1969" s="72">
        <v>45767.0</v>
      </c>
      <c r="D1969" s="38">
        <v>90.0</v>
      </c>
      <c r="E1969" s="73">
        <f>IFERROR(__xludf.DUMMYFUNCTION("average(filter('Appearance Sheet'!F:F,'Appearance Sheet'!G:G=B1969,'Appearance Sheet'!A:A=C1969))"),5.0)</f>
        <v>5</v>
      </c>
      <c r="F1969" s="67">
        <v>5.133006391</v>
      </c>
      <c r="G1969" s="40">
        <v>1.826619018</v>
      </c>
      <c r="H1969" s="40">
        <f t="shared" si="1"/>
        <v>3.287914232</v>
      </c>
      <c r="I1969" s="41">
        <v>0.477777778</v>
      </c>
      <c r="J1969" s="41">
        <v>0.233333333</v>
      </c>
      <c r="K1969" s="41">
        <v>0.288888889</v>
      </c>
      <c r="L1969" s="41">
        <f t="shared" si="2"/>
        <v>0.188888889</v>
      </c>
      <c r="M1969" s="74">
        <v>-1.306585748</v>
      </c>
    </row>
    <row r="1970">
      <c r="A1970" s="1" t="s">
        <v>416</v>
      </c>
      <c r="B1970" s="38">
        <v>608337.0</v>
      </c>
      <c r="C1970" s="72">
        <v>45872.0</v>
      </c>
      <c r="D1970" s="38">
        <v>101.0</v>
      </c>
      <c r="E1970" s="73" t="str">
        <f>IFERROR(__xludf.DUMMYFUNCTION("average(filter('Appearance Sheet'!F:F,'Appearance Sheet'!G:G=B1970,'Appearance Sheet'!A:A=C1970))"),"#N/A")</f>
        <v>#N/A</v>
      </c>
      <c r="F1970" s="67">
        <v>5.132905223</v>
      </c>
      <c r="G1970" s="40">
        <v>2.073938915</v>
      </c>
      <c r="H1970" s="40" t="str">
        <f t="shared" si="1"/>
        <v>#N/A</v>
      </c>
      <c r="I1970" s="41">
        <v>0.524752475</v>
      </c>
      <c r="J1970" s="41">
        <v>0.138613861</v>
      </c>
      <c r="K1970" s="41">
        <v>0.336633663</v>
      </c>
      <c r="L1970" s="41">
        <f t="shared" si="2"/>
        <v>0.188118812</v>
      </c>
      <c r="M1970" s="74">
        <v>2.803807576</v>
      </c>
    </row>
    <row r="1971">
      <c r="A1971" s="1" t="s">
        <v>150</v>
      </c>
      <c r="B1971" s="38">
        <v>657746.0</v>
      </c>
      <c r="C1971" s="72">
        <v>45913.0</v>
      </c>
      <c r="D1971" s="38">
        <v>92.0</v>
      </c>
      <c r="E1971" s="73" t="str">
        <f>IFERROR(__xludf.DUMMYFUNCTION("average(filter('Appearance Sheet'!F:F,'Appearance Sheet'!G:G=B1971,'Appearance Sheet'!A:A=C1971))"),"#N/A")</f>
        <v>#N/A</v>
      </c>
      <c r="F1971" s="67">
        <v>5.132670465</v>
      </c>
      <c r="G1971" s="40">
        <v>1.85507066</v>
      </c>
      <c r="H1971" s="40" t="str">
        <f t="shared" si="1"/>
        <v>#N/A</v>
      </c>
      <c r="I1971" s="41">
        <v>0.5</v>
      </c>
      <c r="J1971" s="41">
        <v>0.097826087</v>
      </c>
      <c r="K1971" s="41">
        <v>0.402173913</v>
      </c>
      <c r="L1971" s="41">
        <f t="shared" si="2"/>
        <v>0.097826087</v>
      </c>
      <c r="M1971" s="74">
        <v>0.665560337</v>
      </c>
    </row>
    <row r="1972">
      <c r="A1972" s="1" t="s">
        <v>137</v>
      </c>
      <c r="B1972" s="38">
        <v>453286.0</v>
      </c>
      <c r="C1972" s="72">
        <v>45833.0</v>
      </c>
      <c r="D1972" s="38">
        <v>81.0</v>
      </c>
      <c r="E1972" s="73">
        <f>IFERROR(__xludf.DUMMYFUNCTION("average(filter('Appearance Sheet'!F:F,'Appearance Sheet'!G:G=B1972,'Appearance Sheet'!A:A=C1972))"),5.0)</f>
        <v>5</v>
      </c>
      <c r="F1972" s="67">
        <v>5.132651003</v>
      </c>
      <c r="G1972" s="40">
        <v>1.63879982</v>
      </c>
      <c r="H1972" s="40">
        <f t="shared" si="1"/>
        <v>2.949839676</v>
      </c>
      <c r="I1972" s="41">
        <v>0.530864198</v>
      </c>
      <c r="J1972" s="41">
        <v>0.209876543</v>
      </c>
      <c r="K1972" s="41">
        <v>0.259259259</v>
      </c>
      <c r="L1972" s="41">
        <f t="shared" si="2"/>
        <v>0.271604939</v>
      </c>
      <c r="M1972" s="74">
        <v>-1.590050193</v>
      </c>
    </row>
    <row r="1973">
      <c r="A1973" s="1" t="s">
        <v>147</v>
      </c>
      <c r="B1973" s="38">
        <v>608379.0</v>
      </c>
      <c r="C1973" s="72">
        <v>45900.0</v>
      </c>
      <c r="D1973" s="38">
        <v>71.0</v>
      </c>
      <c r="E1973" s="73" t="str">
        <f>IFERROR(__xludf.DUMMYFUNCTION("average(filter('Appearance Sheet'!F:F,'Appearance Sheet'!G:G=B1973,'Appearance Sheet'!A:A=C1973))"),"#N/A")</f>
        <v>#N/A</v>
      </c>
      <c r="F1973" s="67">
        <v>5.13260538</v>
      </c>
      <c r="G1973" s="40">
        <v>1.477507588</v>
      </c>
      <c r="H1973" s="40" t="str">
        <f t="shared" si="1"/>
        <v>#N/A</v>
      </c>
      <c r="I1973" s="41">
        <v>0.492957746</v>
      </c>
      <c r="J1973" s="41">
        <v>0.225352113</v>
      </c>
      <c r="K1973" s="41">
        <v>0.281690141</v>
      </c>
      <c r="L1973" s="41">
        <f t="shared" si="2"/>
        <v>0.211267605</v>
      </c>
      <c r="M1973" s="74">
        <v>-0.129884468</v>
      </c>
    </row>
    <row r="1974">
      <c r="A1974" s="1" t="s">
        <v>335</v>
      </c>
      <c r="B1974" s="38">
        <v>663436.0</v>
      </c>
      <c r="C1974" s="72">
        <v>45814.0</v>
      </c>
      <c r="D1974" s="38">
        <v>90.0</v>
      </c>
      <c r="E1974" s="73">
        <f>IFERROR(__xludf.DUMMYFUNCTION("average(filter('Appearance Sheet'!F:F,'Appearance Sheet'!G:G=B1974,'Appearance Sheet'!A:A=C1974))"),6.0)</f>
        <v>6</v>
      </c>
      <c r="F1974" s="67">
        <v>5.132588897</v>
      </c>
      <c r="G1974" s="40">
        <v>1.872476988</v>
      </c>
      <c r="H1974" s="40">
        <f t="shared" si="1"/>
        <v>2.808715482</v>
      </c>
      <c r="I1974" s="41">
        <v>0.488888889</v>
      </c>
      <c r="J1974" s="41">
        <v>0.2</v>
      </c>
      <c r="K1974" s="41">
        <v>0.311111111</v>
      </c>
      <c r="L1974" s="41">
        <f t="shared" si="2"/>
        <v>0.177777778</v>
      </c>
      <c r="M1974" s="74">
        <v>0.139815521</v>
      </c>
    </row>
    <row r="1975">
      <c r="A1975" s="1" t="s">
        <v>245</v>
      </c>
      <c r="B1975" s="38">
        <v>571578.0</v>
      </c>
      <c r="C1975" s="72">
        <v>45763.0</v>
      </c>
      <c r="D1975" s="38">
        <v>83.0</v>
      </c>
      <c r="E1975" s="73">
        <f>IFERROR(__xludf.DUMMYFUNCTION("average(filter('Appearance Sheet'!F:F,'Appearance Sheet'!G:G=B1975,'Appearance Sheet'!A:A=C1975))"),5.333333333333333)</f>
        <v>5.333333333</v>
      </c>
      <c r="F1975" s="67">
        <v>5.132579565</v>
      </c>
      <c r="G1975" s="40">
        <v>1.692093398</v>
      </c>
      <c r="H1975" s="40">
        <f t="shared" si="1"/>
        <v>2.855407609</v>
      </c>
      <c r="I1975" s="41">
        <v>0.43373494</v>
      </c>
      <c r="J1975" s="41">
        <v>0.180722892</v>
      </c>
      <c r="K1975" s="41">
        <v>0.385542169</v>
      </c>
      <c r="L1975" s="41">
        <f t="shared" si="2"/>
        <v>0.048192771</v>
      </c>
      <c r="M1975" s="74">
        <v>0.172294161</v>
      </c>
    </row>
    <row r="1976">
      <c r="A1976" s="1" t="s">
        <v>384</v>
      </c>
      <c r="B1976" s="38">
        <v>666214.0</v>
      </c>
      <c r="C1976" s="72">
        <v>45907.0</v>
      </c>
      <c r="D1976" s="38">
        <v>60.0</v>
      </c>
      <c r="E1976" s="73" t="str">
        <f>IFERROR(__xludf.DUMMYFUNCTION("average(filter('Appearance Sheet'!F:F,'Appearance Sheet'!G:G=B1976,'Appearance Sheet'!A:A=C1976))"),"#N/A")</f>
        <v>#N/A</v>
      </c>
      <c r="F1976" s="67">
        <v>5.132521513</v>
      </c>
      <c r="G1976" s="40">
        <v>1.241833742</v>
      </c>
      <c r="H1976" s="40" t="str">
        <f t="shared" si="1"/>
        <v>#N/A</v>
      </c>
      <c r="I1976" s="41">
        <v>0.483333333</v>
      </c>
      <c r="J1976" s="41">
        <v>0.216666667</v>
      </c>
      <c r="K1976" s="41">
        <v>0.3</v>
      </c>
      <c r="L1976" s="41">
        <f t="shared" si="2"/>
        <v>0.183333333</v>
      </c>
      <c r="M1976" s="74">
        <v>-3.764965383</v>
      </c>
    </row>
    <row r="1977">
      <c r="A1977" s="1" t="s">
        <v>278</v>
      </c>
      <c r="B1977" s="38">
        <v>542881.0</v>
      </c>
      <c r="C1977" s="72">
        <v>45765.0</v>
      </c>
      <c r="D1977" s="38">
        <v>91.0</v>
      </c>
      <c r="E1977" s="73">
        <f>IFERROR(__xludf.DUMMYFUNCTION("average(filter('Appearance Sheet'!F:F,'Appearance Sheet'!G:G=B1977,'Appearance Sheet'!A:A=C1977))"),6.0)</f>
        <v>6</v>
      </c>
      <c r="F1977" s="67">
        <v>5.132332162</v>
      </c>
      <c r="G1977" s="40">
        <v>1.814430203</v>
      </c>
      <c r="H1977" s="40">
        <f t="shared" si="1"/>
        <v>2.721645305</v>
      </c>
      <c r="I1977" s="41">
        <v>0.472527473</v>
      </c>
      <c r="J1977" s="41">
        <v>0.186813187</v>
      </c>
      <c r="K1977" s="41">
        <v>0.340659341</v>
      </c>
      <c r="L1977" s="41">
        <f t="shared" si="2"/>
        <v>0.131868132</v>
      </c>
      <c r="M1977" s="74">
        <v>1.74846885</v>
      </c>
    </row>
    <row r="1978">
      <c r="A1978" s="1" t="s">
        <v>272</v>
      </c>
      <c r="B1978" s="38">
        <v>622491.0</v>
      </c>
      <c r="C1978" s="72">
        <v>45837.0</v>
      </c>
      <c r="D1978" s="38">
        <v>102.0</v>
      </c>
      <c r="E1978" s="73">
        <f>IFERROR(__xludf.DUMMYFUNCTION("average(filter('Appearance Sheet'!F:F,'Appearance Sheet'!G:G=B1978,'Appearance Sheet'!A:A=C1978))"),6.0)</f>
        <v>6</v>
      </c>
      <c r="F1978" s="67">
        <v>5.132212852</v>
      </c>
      <c r="G1978" s="40">
        <v>2.099974247</v>
      </c>
      <c r="H1978" s="40">
        <f t="shared" si="1"/>
        <v>3.149961371</v>
      </c>
      <c r="I1978" s="41">
        <v>0.450980392</v>
      </c>
      <c r="J1978" s="41">
        <v>0.196078431</v>
      </c>
      <c r="K1978" s="41">
        <v>0.352941176</v>
      </c>
      <c r="L1978" s="41">
        <f t="shared" si="2"/>
        <v>0.098039216</v>
      </c>
      <c r="M1978" s="74">
        <v>-0.552664421</v>
      </c>
    </row>
    <row r="1979">
      <c r="A1979" s="1" t="s">
        <v>100</v>
      </c>
      <c r="B1979" s="38">
        <v>676979.0</v>
      </c>
      <c r="C1979" s="72">
        <v>45760.0</v>
      </c>
      <c r="D1979" s="38">
        <v>91.0</v>
      </c>
      <c r="E1979" s="73">
        <f>IFERROR(__xludf.DUMMYFUNCTION("average(filter('Appearance Sheet'!F:F,'Appearance Sheet'!G:G=B1979,'Appearance Sheet'!A:A=C1979))"),7.333333333333333)</f>
        <v>7.333333333</v>
      </c>
      <c r="F1979" s="67">
        <v>5.132154238</v>
      </c>
      <c r="G1979" s="40">
        <v>1.865069831</v>
      </c>
      <c r="H1979" s="40">
        <f t="shared" si="1"/>
        <v>2.288949338</v>
      </c>
      <c r="I1979" s="41">
        <v>0.494505495</v>
      </c>
      <c r="J1979" s="41">
        <v>0.175824176</v>
      </c>
      <c r="K1979" s="41">
        <v>0.32967033</v>
      </c>
      <c r="L1979" s="41">
        <f t="shared" si="2"/>
        <v>0.164835165</v>
      </c>
      <c r="M1979" s="74">
        <v>4.044783279</v>
      </c>
    </row>
    <row r="1980">
      <c r="A1980" s="1" t="s">
        <v>405</v>
      </c>
      <c r="B1980" s="38">
        <v>621111.0</v>
      </c>
      <c r="C1980" s="72">
        <v>45859.0</v>
      </c>
      <c r="D1980" s="38">
        <v>88.0</v>
      </c>
      <c r="E1980" s="73" t="str">
        <f>IFERROR(__xludf.DUMMYFUNCTION("average(filter('Appearance Sheet'!F:F,'Appearance Sheet'!G:G=B1980,'Appearance Sheet'!A:A=C1980))"),"#N/A")</f>
        <v>#N/A</v>
      </c>
      <c r="F1980" s="67">
        <v>5.132099768</v>
      </c>
      <c r="G1980" s="40">
        <v>1.838124125</v>
      </c>
      <c r="H1980" s="40" t="str">
        <f t="shared" si="1"/>
        <v>#N/A</v>
      </c>
      <c r="I1980" s="41">
        <v>0.534090909</v>
      </c>
      <c r="J1980" s="41">
        <v>0.159090909</v>
      </c>
      <c r="K1980" s="41">
        <v>0.306818182</v>
      </c>
      <c r="L1980" s="41">
        <f t="shared" si="2"/>
        <v>0.227272727</v>
      </c>
      <c r="M1980" s="74">
        <v>-0.534487247</v>
      </c>
    </row>
    <row r="1981">
      <c r="A1981" s="1" t="s">
        <v>339</v>
      </c>
      <c r="B1981" s="38">
        <v>686613.0</v>
      </c>
      <c r="C1981" s="72">
        <v>45792.0</v>
      </c>
      <c r="D1981" s="38">
        <v>87.0</v>
      </c>
      <c r="E1981" s="73">
        <f>IFERROR(__xludf.DUMMYFUNCTION("average(filter('Appearance Sheet'!F:F,'Appearance Sheet'!G:G=B1981,'Appearance Sheet'!A:A=C1981))"),8.0)</f>
        <v>8</v>
      </c>
      <c r="F1981" s="67">
        <v>5.131639571</v>
      </c>
      <c r="G1981" s="40">
        <v>1.804688125</v>
      </c>
      <c r="H1981" s="40">
        <f t="shared" si="1"/>
        <v>2.030274141</v>
      </c>
      <c r="I1981" s="41">
        <v>0.459770115</v>
      </c>
      <c r="J1981" s="41">
        <v>0.275862069</v>
      </c>
      <c r="K1981" s="41">
        <v>0.264367816</v>
      </c>
      <c r="L1981" s="41">
        <f t="shared" si="2"/>
        <v>0.195402299</v>
      </c>
      <c r="M1981" s="74">
        <v>2.076149907</v>
      </c>
    </row>
    <row r="1982">
      <c r="A1982" s="1" t="s">
        <v>313</v>
      </c>
      <c r="B1982" s="38">
        <v>607067.0</v>
      </c>
      <c r="C1982" s="72">
        <v>45878.0</v>
      </c>
      <c r="D1982" s="38">
        <v>91.0</v>
      </c>
      <c r="E1982" s="73" t="str">
        <f>IFERROR(__xludf.DUMMYFUNCTION("average(filter('Appearance Sheet'!F:F,'Appearance Sheet'!G:G=B1982,'Appearance Sheet'!A:A=C1982))"),"#N/A")</f>
        <v>#N/A</v>
      </c>
      <c r="F1982" s="67">
        <v>5.13131207</v>
      </c>
      <c r="G1982" s="40">
        <v>1.831531368</v>
      </c>
      <c r="H1982" s="40" t="str">
        <f t="shared" si="1"/>
        <v>#N/A</v>
      </c>
      <c r="I1982" s="41">
        <v>0.43956044</v>
      </c>
      <c r="J1982" s="41">
        <v>0.208791209</v>
      </c>
      <c r="K1982" s="41">
        <v>0.351648352</v>
      </c>
      <c r="L1982" s="41">
        <f t="shared" si="2"/>
        <v>0.087912088</v>
      </c>
      <c r="M1982" s="74">
        <v>1.655791931</v>
      </c>
    </row>
    <row r="1983">
      <c r="A1983" s="1" t="s">
        <v>232</v>
      </c>
      <c r="B1983" s="38">
        <v>579328.0</v>
      </c>
      <c r="C1983" s="72">
        <v>45884.0</v>
      </c>
      <c r="D1983" s="38">
        <v>90.0</v>
      </c>
      <c r="E1983" s="73" t="str">
        <f>IFERROR(__xludf.DUMMYFUNCTION("average(filter('Appearance Sheet'!F:F,'Appearance Sheet'!G:G=B1983,'Appearance Sheet'!A:A=C1983))"),"#N/A")</f>
        <v>#N/A</v>
      </c>
      <c r="F1983" s="67">
        <v>5.131221776</v>
      </c>
      <c r="G1983" s="40">
        <v>1.805313472</v>
      </c>
      <c r="H1983" s="40" t="str">
        <f t="shared" si="1"/>
        <v>#N/A</v>
      </c>
      <c r="I1983" s="41">
        <v>0.466666667</v>
      </c>
      <c r="J1983" s="41">
        <v>0.166666667</v>
      </c>
      <c r="K1983" s="41">
        <v>0.366666667</v>
      </c>
      <c r="L1983" s="41">
        <f t="shared" si="2"/>
        <v>0.1</v>
      </c>
      <c r="M1983" s="74">
        <v>-0.20433551</v>
      </c>
    </row>
    <row r="1984">
      <c r="A1984" s="1" t="s">
        <v>352</v>
      </c>
      <c r="B1984" s="38">
        <v>685299.0</v>
      </c>
      <c r="C1984" s="72">
        <v>45900.0</v>
      </c>
      <c r="D1984" s="38">
        <v>77.0</v>
      </c>
      <c r="E1984" s="73" t="str">
        <f>IFERROR(__xludf.DUMMYFUNCTION("average(filter('Appearance Sheet'!F:F,'Appearance Sheet'!G:G=B1984,'Appearance Sheet'!A:A=C1984))"),"#N/A")</f>
        <v>#N/A</v>
      </c>
      <c r="F1984" s="67">
        <v>5.131105892</v>
      </c>
      <c r="G1984" s="40">
        <v>1.600676022</v>
      </c>
      <c r="H1984" s="40" t="str">
        <f t="shared" si="1"/>
        <v>#N/A</v>
      </c>
      <c r="I1984" s="41">
        <v>0.415584416</v>
      </c>
      <c r="J1984" s="41">
        <v>0.298701299</v>
      </c>
      <c r="K1984" s="41">
        <v>0.285714286</v>
      </c>
      <c r="L1984" s="41">
        <f t="shared" si="2"/>
        <v>0.12987013</v>
      </c>
      <c r="M1984" s="74">
        <v>0.58455277</v>
      </c>
    </row>
    <row r="1985">
      <c r="A1985" s="1" t="s">
        <v>412</v>
      </c>
      <c r="B1985" s="38">
        <v>641482.0</v>
      </c>
      <c r="C1985" s="72">
        <v>45881.0</v>
      </c>
      <c r="D1985" s="38">
        <v>79.0</v>
      </c>
      <c r="E1985" s="73" t="str">
        <f>IFERROR(__xludf.DUMMYFUNCTION("average(filter('Appearance Sheet'!F:F,'Appearance Sheet'!G:G=B1985,'Appearance Sheet'!A:A=C1985))"),"#N/A")</f>
        <v>#N/A</v>
      </c>
      <c r="F1985" s="67">
        <v>5.131016948</v>
      </c>
      <c r="G1985" s="40">
        <v>1.615437797</v>
      </c>
      <c r="H1985" s="40" t="str">
        <f t="shared" si="1"/>
        <v>#N/A</v>
      </c>
      <c r="I1985" s="41">
        <v>0.518987342</v>
      </c>
      <c r="J1985" s="41">
        <v>0.126582278</v>
      </c>
      <c r="K1985" s="41">
        <v>0.35443038</v>
      </c>
      <c r="L1985" s="41">
        <f t="shared" si="2"/>
        <v>0.164556962</v>
      </c>
      <c r="M1985" s="74">
        <v>-1.492230757</v>
      </c>
    </row>
    <row r="1986">
      <c r="A1986" s="1" t="s">
        <v>300</v>
      </c>
      <c r="B1986" s="38">
        <v>506433.0</v>
      </c>
      <c r="C1986" s="72">
        <v>45908.0</v>
      </c>
      <c r="D1986" s="38">
        <v>89.0</v>
      </c>
      <c r="E1986" s="73" t="str">
        <f>IFERROR(__xludf.DUMMYFUNCTION("average(filter('Appearance Sheet'!F:F,'Appearance Sheet'!G:G=B1986,'Appearance Sheet'!A:A=C1986))"),"#N/A")</f>
        <v>#N/A</v>
      </c>
      <c r="F1986" s="67">
        <v>5.130945469</v>
      </c>
      <c r="G1986" s="40">
        <v>1.829671396</v>
      </c>
      <c r="H1986" s="40" t="str">
        <f t="shared" si="1"/>
        <v>#N/A</v>
      </c>
      <c r="I1986" s="41">
        <v>0.483146067</v>
      </c>
      <c r="J1986" s="41">
        <v>0.157303371</v>
      </c>
      <c r="K1986" s="41">
        <v>0.359550562</v>
      </c>
      <c r="L1986" s="41">
        <f t="shared" si="2"/>
        <v>0.123595505</v>
      </c>
      <c r="M1986" s="74">
        <v>-0.71260133</v>
      </c>
    </row>
    <row r="1987">
      <c r="A1987" s="1" t="s">
        <v>437</v>
      </c>
      <c r="B1987" s="38">
        <v>695418.0</v>
      </c>
      <c r="C1987" s="72">
        <v>45889.0</v>
      </c>
      <c r="D1987" s="38">
        <v>92.0</v>
      </c>
      <c r="E1987" s="73" t="str">
        <f>IFERROR(__xludf.DUMMYFUNCTION("average(filter('Appearance Sheet'!F:F,'Appearance Sheet'!G:G=B1987,'Appearance Sheet'!A:A=C1987))"),"#N/A")</f>
        <v>#N/A</v>
      </c>
      <c r="F1987" s="67">
        <v>5.13087373</v>
      </c>
      <c r="G1987" s="40">
        <v>1.916506006</v>
      </c>
      <c r="H1987" s="40" t="str">
        <f t="shared" si="1"/>
        <v>#N/A</v>
      </c>
      <c r="I1987" s="41">
        <v>0.52173913</v>
      </c>
      <c r="J1987" s="41">
        <v>0.119565217</v>
      </c>
      <c r="K1987" s="41">
        <v>0.358695652</v>
      </c>
      <c r="L1987" s="41">
        <f t="shared" si="2"/>
        <v>0.163043478</v>
      </c>
      <c r="M1987" s="74">
        <v>-0.288330011</v>
      </c>
    </row>
    <row r="1988">
      <c r="A1988" s="1" t="s">
        <v>377</v>
      </c>
      <c r="B1988" s="38">
        <v>695549.0</v>
      </c>
      <c r="C1988" s="72">
        <v>45765.0</v>
      </c>
      <c r="D1988" s="38">
        <v>84.0</v>
      </c>
      <c r="E1988" s="73">
        <f>IFERROR(__xludf.DUMMYFUNCTION("average(filter('Appearance Sheet'!F:F,'Appearance Sheet'!G:G=B1988,'Appearance Sheet'!A:A=C1988))"),5.0)</f>
        <v>5</v>
      </c>
      <c r="F1988" s="67">
        <v>5.130665293</v>
      </c>
      <c r="G1988" s="40">
        <v>1.731058711</v>
      </c>
      <c r="H1988" s="40">
        <f t="shared" si="1"/>
        <v>3.11590568</v>
      </c>
      <c r="I1988" s="41">
        <v>0.547619048</v>
      </c>
      <c r="J1988" s="41">
        <v>0.119047619</v>
      </c>
      <c r="K1988" s="41">
        <v>0.333333333</v>
      </c>
      <c r="L1988" s="41">
        <f t="shared" si="2"/>
        <v>0.214285715</v>
      </c>
      <c r="M1988" s="74">
        <v>-0.136003653</v>
      </c>
    </row>
    <row r="1989">
      <c r="A1989" s="1" t="s">
        <v>278</v>
      </c>
      <c r="B1989" s="38">
        <v>542881.0</v>
      </c>
      <c r="C1989" s="72">
        <v>45810.0</v>
      </c>
      <c r="D1989" s="38">
        <v>91.0</v>
      </c>
      <c r="E1989" s="73">
        <f>IFERROR(__xludf.DUMMYFUNCTION("average(filter('Appearance Sheet'!F:F,'Appearance Sheet'!G:G=B1989,'Appearance Sheet'!A:A=C1989))"),4.333333333333333)</f>
        <v>4.333333333</v>
      </c>
      <c r="F1989" s="67">
        <v>5.130580183</v>
      </c>
      <c r="G1989" s="40">
        <v>1.843370729</v>
      </c>
      <c r="H1989" s="40">
        <f t="shared" si="1"/>
        <v>3.828539206</v>
      </c>
      <c r="I1989" s="41">
        <v>0.450549451</v>
      </c>
      <c r="J1989" s="41">
        <v>0.197802198</v>
      </c>
      <c r="K1989" s="41">
        <v>0.351648352</v>
      </c>
      <c r="L1989" s="41">
        <f t="shared" si="2"/>
        <v>0.098901099</v>
      </c>
      <c r="M1989" s="74">
        <v>-2.112491154</v>
      </c>
    </row>
    <row r="1990">
      <c r="A1990" s="1" t="s">
        <v>303</v>
      </c>
      <c r="B1990" s="38">
        <v>592662.0</v>
      </c>
      <c r="C1990" s="72">
        <v>45825.0</v>
      </c>
      <c r="D1990" s="38">
        <v>96.0</v>
      </c>
      <c r="E1990" s="73">
        <f>IFERROR(__xludf.DUMMYFUNCTION("average(filter('Appearance Sheet'!F:F,'Appearance Sheet'!G:G=B1990,'Appearance Sheet'!A:A=C1990))"),6.0)</f>
        <v>6</v>
      </c>
      <c r="F1990" s="67">
        <v>5.130542058</v>
      </c>
      <c r="G1990" s="40">
        <v>1.982269367</v>
      </c>
      <c r="H1990" s="40">
        <f t="shared" si="1"/>
        <v>2.973404051</v>
      </c>
      <c r="I1990" s="41">
        <v>0.5</v>
      </c>
      <c r="J1990" s="41">
        <v>0.135416667</v>
      </c>
      <c r="K1990" s="41">
        <v>0.364583333</v>
      </c>
      <c r="L1990" s="41">
        <f t="shared" si="2"/>
        <v>0.135416667</v>
      </c>
      <c r="M1990" s="74">
        <v>-0.759749347</v>
      </c>
    </row>
    <row r="1991">
      <c r="A1991" s="1" t="s">
        <v>450</v>
      </c>
      <c r="B1991" s="38">
        <v>682990.0</v>
      </c>
      <c r="C1991" s="72">
        <v>45926.0</v>
      </c>
      <c r="D1991" s="38">
        <v>84.0</v>
      </c>
      <c r="E1991" s="73" t="str">
        <f>IFERROR(__xludf.DUMMYFUNCTION("average(filter('Appearance Sheet'!F:F,'Appearance Sheet'!G:G=B1991,'Appearance Sheet'!A:A=C1991))"),"#N/A")</f>
        <v>#N/A</v>
      </c>
      <c r="F1991" s="67">
        <v>5.130392997</v>
      </c>
      <c r="G1991" s="40">
        <v>1.720807805</v>
      </c>
      <c r="H1991" s="40" t="str">
        <f t="shared" si="1"/>
        <v>#N/A</v>
      </c>
      <c r="I1991" s="41">
        <v>0.5</v>
      </c>
      <c r="J1991" s="41">
        <v>0.154761905</v>
      </c>
      <c r="K1991" s="41">
        <v>0.345238095</v>
      </c>
      <c r="L1991" s="41">
        <f t="shared" si="2"/>
        <v>0.154761905</v>
      </c>
      <c r="M1991" s="74">
        <v>-2.919986006</v>
      </c>
    </row>
    <row r="1992">
      <c r="A1992" s="1" t="s">
        <v>195</v>
      </c>
      <c r="B1992" s="38">
        <v>668678.0</v>
      </c>
      <c r="C1992" s="72">
        <v>45859.0</v>
      </c>
      <c r="D1992" s="38">
        <v>84.0</v>
      </c>
      <c r="E1992" s="73" t="str">
        <f>IFERROR(__xludf.DUMMYFUNCTION("average(filter('Appearance Sheet'!F:F,'Appearance Sheet'!G:G=B1992,'Appearance Sheet'!A:A=C1992))"),"#N/A")</f>
        <v>#N/A</v>
      </c>
      <c r="F1992" s="67">
        <v>5.130373104</v>
      </c>
      <c r="G1992" s="40">
        <v>1.729175598</v>
      </c>
      <c r="H1992" s="40" t="str">
        <f t="shared" si="1"/>
        <v>#N/A</v>
      </c>
      <c r="I1992" s="41">
        <v>0.5</v>
      </c>
      <c r="J1992" s="41">
        <v>0.19047619</v>
      </c>
      <c r="K1992" s="41">
        <v>0.30952381</v>
      </c>
      <c r="L1992" s="41">
        <f t="shared" si="2"/>
        <v>0.19047619</v>
      </c>
      <c r="M1992" s="74">
        <v>-1.897424532</v>
      </c>
    </row>
    <row r="1993">
      <c r="A1993" s="1" t="s">
        <v>335</v>
      </c>
      <c r="B1993" s="38">
        <v>663436.0</v>
      </c>
      <c r="C1993" s="72">
        <v>45886.0</v>
      </c>
      <c r="D1993" s="38">
        <v>86.0</v>
      </c>
      <c r="E1993" s="73" t="str">
        <f>IFERROR(__xludf.DUMMYFUNCTION("average(filter('Appearance Sheet'!F:F,'Appearance Sheet'!G:G=B1993,'Appearance Sheet'!A:A=C1993))"),"#N/A")</f>
        <v>#N/A</v>
      </c>
      <c r="F1993" s="67">
        <v>5.130356519</v>
      </c>
      <c r="G1993" s="40">
        <v>1.742912409</v>
      </c>
      <c r="H1993" s="40" t="str">
        <f t="shared" si="1"/>
        <v>#N/A</v>
      </c>
      <c r="I1993" s="41">
        <v>0.534883721</v>
      </c>
      <c r="J1993" s="41">
        <v>0.11627907</v>
      </c>
      <c r="K1993" s="41">
        <v>0.348837209</v>
      </c>
      <c r="L1993" s="41">
        <f t="shared" si="2"/>
        <v>0.186046512</v>
      </c>
      <c r="M1993" s="74">
        <v>3.919467748</v>
      </c>
    </row>
    <row r="1994">
      <c r="A1994" s="1" t="s">
        <v>413</v>
      </c>
      <c r="B1994" s="38">
        <v>671737.0</v>
      </c>
      <c r="C1994" s="72">
        <v>45746.0</v>
      </c>
      <c r="D1994" s="38">
        <v>78.0</v>
      </c>
      <c r="E1994" s="73">
        <f>IFERROR(__xludf.DUMMYFUNCTION("average(filter('Appearance Sheet'!F:F,'Appearance Sheet'!G:G=B1994,'Appearance Sheet'!A:A=C1994))"),6.0)</f>
        <v>6</v>
      </c>
      <c r="F1994" s="67">
        <v>5.130343379</v>
      </c>
      <c r="G1994" s="40">
        <v>1.612995309</v>
      </c>
      <c r="H1994" s="40">
        <f t="shared" si="1"/>
        <v>2.419492964</v>
      </c>
      <c r="I1994" s="41">
        <v>0.512820513</v>
      </c>
      <c r="J1994" s="41">
        <v>0.128205128</v>
      </c>
      <c r="K1994" s="41">
        <v>0.358974359</v>
      </c>
      <c r="L1994" s="41">
        <f t="shared" si="2"/>
        <v>0.153846154</v>
      </c>
      <c r="M1994" s="74">
        <v>-1.094004977</v>
      </c>
    </row>
    <row r="1995">
      <c r="A1995" s="1" t="s">
        <v>343</v>
      </c>
      <c r="B1995" s="38">
        <v>682243.0</v>
      </c>
      <c r="C1995" s="72">
        <v>45900.0</v>
      </c>
      <c r="D1995" s="38">
        <v>72.0</v>
      </c>
      <c r="E1995" s="73" t="str">
        <f>IFERROR(__xludf.DUMMYFUNCTION("average(filter('Appearance Sheet'!F:F,'Appearance Sheet'!G:G=B1995,'Appearance Sheet'!A:A=C1995))"),"#N/A")</f>
        <v>#N/A</v>
      </c>
      <c r="F1995" s="67">
        <v>5.129283837</v>
      </c>
      <c r="G1995" s="40">
        <v>1.500848753</v>
      </c>
      <c r="H1995" s="40" t="str">
        <f t="shared" si="1"/>
        <v>#N/A</v>
      </c>
      <c r="I1995" s="41">
        <v>0.569444444</v>
      </c>
      <c r="J1995" s="41">
        <v>0.069444444</v>
      </c>
      <c r="K1995" s="41">
        <v>0.361111111</v>
      </c>
      <c r="L1995" s="41">
        <f t="shared" si="2"/>
        <v>0.208333333</v>
      </c>
      <c r="M1995" s="74">
        <v>2.093246161</v>
      </c>
    </row>
    <row r="1996">
      <c r="A1996" s="1" t="s">
        <v>285</v>
      </c>
      <c r="B1996" s="38">
        <v>607074.0</v>
      </c>
      <c r="C1996" s="72">
        <v>45827.0</v>
      </c>
      <c r="D1996" s="38">
        <v>89.0</v>
      </c>
      <c r="E1996" s="73">
        <f>IFERROR(__xludf.DUMMYFUNCTION("average(filter('Appearance Sheet'!F:F,'Appearance Sheet'!G:G=B1996,'Appearance Sheet'!A:A=C1996))"),6.0)</f>
        <v>6</v>
      </c>
      <c r="F1996" s="67">
        <v>5.128899944</v>
      </c>
      <c r="G1996" s="40">
        <v>1.798212863</v>
      </c>
      <c r="H1996" s="40">
        <f t="shared" si="1"/>
        <v>2.697319295</v>
      </c>
      <c r="I1996" s="41">
        <v>0.449438202</v>
      </c>
      <c r="J1996" s="41">
        <v>0.168539326</v>
      </c>
      <c r="K1996" s="41">
        <v>0.382022472</v>
      </c>
      <c r="L1996" s="41">
        <f t="shared" si="2"/>
        <v>0.06741573</v>
      </c>
      <c r="M1996" s="74">
        <v>-0.501479779</v>
      </c>
    </row>
    <row r="1997">
      <c r="A1997" s="1" t="s">
        <v>323</v>
      </c>
      <c r="B1997" s="38">
        <v>691587.0</v>
      </c>
      <c r="C1997" s="72">
        <v>45887.0</v>
      </c>
      <c r="D1997" s="38">
        <v>83.0</v>
      </c>
      <c r="E1997" s="73" t="str">
        <f>IFERROR(__xludf.DUMMYFUNCTION("average(filter('Appearance Sheet'!F:F,'Appearance Sheet'!G:G=B1997,'Appearance Sheet'!A:A=C1997))"),"#N/A")</f>
        <v>#N/A</v>
      </c>
      <c r="F1997" s="67">
        <v>5.128874956</v>
      </c>
      <c r="G1997" s="40">
        <v>1.692792859</v>
      </c>
      <c r="H1997" s="40" t="str">
        <f t="shared" si="1"/>
        <v>#N/A</v>
      </c>
      <c r="I1997" s="41">
        <v>0.530120482</v>
      </c>
      <c r="J1997" s="41">
        <v>0.180722892</v>
      </c>
      <c r="K1997" s="41">
        <v>0.289156627</v>
      </c>
      <c r="L1997" s="41">
        <f t="shared" si="2"/>
        <v>0.240963855</v>
      </c>
      <c r="M1997" s="74">
        <v>1.60632338</v>
      </c>
    </row>
    <row r="1998">
      <c r="A1998" s="1" t="s">
        <v>137</v>
      </c>
      <c r="B1998" s="38">
        <v>453286.0</v>
      </c>
      <c r="C1998" s="72">
        <v>45888.0</v>
      </c>
      <c r="D1998" s="38">
        <v>96.0</v>
      </c>
      <c r="E1998" s="73" t="str">
        <f>IFERROR(__xludf.DUMMYFUNCTION("average(filter('Appearance Sheet'!F:F,'Appearance Sheet'!G:G=B1998,'Appearance Sheet'!A:A=C1998))"),"#N/A")</f>
        <v>#N/A</v>
      </c>
      <c r="F1998" s="67">
        <v>5.128726147</v>
      </c>
      <c r="G1998" s="40">
        <v>1.950423084</v>
      </c>
      <c r="H1998" s="40" t="str">
        <f t="shared" si="1"/>
        <v>#N/A</v>
      </c>
      <c r="I1998" s="41">
        <v>0.458333333</v>
      </c>
      <c r="J1998" s="41">
        <v>0.21875</v>
      </c>
      <c r="K1998" s="41">
        <v>0.322916667</v>
      </c>
      <c r="L1998" s="41">
        <f t="shared" si="2"/>
        <v>0.135416666</v>
      </c>
      <c r="M1998" s="74">
        <v>2.983679879</v>
      </c>
    </row>
    <row r="1999">
      <c r="A1999" s="1" t="s">
        <v>245</v>
      </c>
      <c r="B1999" s="38">
        <v>571578.0</v>
      </c>
      <c r="C1999" s="72">
        <v>45814.0</v>
      </c>
      <c r="D1999" s="38">
        <v>89.0</v>
      </c>
      <c r="E1999" s="73">
        <f>IFERROR(__xludf.DUMMYFUNCTION("average(filter('Appearance Sheet'!F:F,'Appearance Sheet'!G:G=B1999,'Appearance Sheet'!A:A=C1999))"),8.0)</f>
        <v>8</v>
      </c>
      <c r="F1999" s="67">
        <v>5.128694248</v>
      </c>
      <c r="G1999" s="40">
        <v>1.853835886</v>
      </c>
      <c r="H1999" s="40">
        <f t="shared" si="1"/>
        <v>2.085565372</v>
      </c>
      <c r="I1999" s="41">
        <v>0.516853933</v>
      </c>
      <c r="J1999" s="41">
        <v>0.168539326</v>
      </c>
      <c r="K1999" s="41">
        <v>0.314606742</v>
      </c>
      <c r="L1999" s="41">
        <f t="shared" si="2"/>
        <v>0.202247191</v>
      </c>
      <c r="M1999" s="74">
        <v>0.870304022</v>
      </c>
    </row>
    <row r="2000">
      <c r="A2000" s="1" t="s">
        <v>432</v>
      </c>
      <c r="B2000" s="38">
        <v>669467.0</v>
      </c>
      <c r="C2000" s="72">
        <v>45847.0</v>
      </c>
      <c r="D2000" s="38">
        <v>99.0</v>
      </c>
      <c r="E2000" s="73" t="str">
        <f>IFERROR(__xludf.DUMMYFUNCTION("average(filter('Appearance Sheet'!F:F,'Appearance Sheet'!G:G=B2000,'Appearance Sheet'!A:A=C2000))"),"#N/A")</f>
        <v>#N/A</v>
      </c>
      <c r="F2000" s="67">
        <v>5.128677569</v>
      </c>
      <c r="G2000" s="40">
        <v>2.04494874</v>
      </c>
      <c r="H2000" s="40" t="str">
        <f t="shared" si="1"/>
        <v>#N/A</v>
      </c>
      <c r="I2000" s="41">
        <v>0.484848485</v>
      </c>
      <c r="J2000" s="41">
        <v>0.191919192</v>
      </c>
      <c r="K2000" s="41">
        <v>0.323232323</v>
      </c>
      <c r="L2000" s="41">
        <f t="shared" si="2"/>
        <v>0.161616162</v>
      </c>
      <c r="M2000" s="74">
        <v>-0.212570113</v>
      </c>
    </row>
    <row r="2001">
      <c r="A2001" s="1" t="s">
        <v>179</v>
      </c>
      <c r="B2001" s="38">
        <v>663568.0</v>
      </c>
      <c r="C2001" s="72">
        <v>45815.0</v>
      </c>
      <c r="D2001" s="38">
        <v>84.0</v>
      </c>
      <c r="E2001" s="73">
        <f>IFERROR(__xludf.DUMMYFUNCTION("average(filter('Appearance Sheet'!F:F,'Appearance Sheet'!G:G=B2001,'Appearance Sheet'!A:A=C2001))"),5.666666666666667)</f>
        <v>5.666666667</v>
      </c>
      <c r="F2001" s="67">
        <v>5.128645607</v>
      </c>
      <c r="G2001" s="40">
        <v>1.747017068</v>
      </c>
      <c r="H2001" s="40">
        <f t="shared" si="1"/>
        <v>2.774674167</v>
      </c>
      <c r="I2001" s="41">
        <v>0.476190476</v>
      </c>
      <c r="J2001" s="41">
        <v>0.238095238</v>
      </c>
      <c r="K2001" s="41">
        <v>0.285714286</v>
      </c>
      <c r="L2001" s="41">
        <f t="shared" si="2"/>
        <v>0.19047619</v>
      </c>
      <c r="M2001" s="74">
        <v>2.899289944</v>
      </c>
    </row>
    <row r="2002">
      <c r="A2002" s="1" t="s">
        <v>113</v>
      </c>
      <c r="B2002" s="38">
        <v>664285.0</v>
      </c>
      <c r="C2002" s="72">
        <v>45860.0</v>
      </c>
      <c r="D2002" s="38">
        <v>93.0</v>
      </c>
      <c r="E2002" s="73" t="str">
        <f>IFERROR(__xludf.DUMMYFUNCTION("average(filter('Appearance Sheet'!F:F,'Appearance Sheet'!G:G=B2002,'Appearance Sheet'!A:A=C2002))"),"#N/A")</f>
        <v>#N/A</v>
      </c>
      <c r="F2002" s="67">
        <v>5.128292435</v>
      </c>
      <c r="G2002" s="40">
        <v>1.928985753</v>
      </c>
      <c r="H2002" s="40" t="str">
        <f t="shared" si="1"/>
        <v>#N/A</v>
      </c>
      <c r="I2002" s="41">
        <v>0.505376344</v>
      </c>
      <c r="J2002" s="41">
        <v>0.129032258</v>
      </c>
      <c r="K2002" s="41">
        <v>0.365591398</v>
      </c>
      <c r="L2002" s="41">
        <f t="shared" si="2"/>
        <v>0.139784946</v>
      </c>
      <c r="M2002" s="74">
        <v>-0.683462648</v>
      </c>
    </row>
    <row r="2003">
      <c r="A2003" s="1" t="s">
        <v>148</v>
      </c>
      <c r="B2003" s="38">
        <v>592866.0</v>
      </c>
      <c r="C2003" s="72">
        <v>45799.0</v>
      </c>
      <c r="D2003" s="38">
        <v>82.0</v>
      </c>
      <c r="E2003" s="73">
        <f>IFERROR(__xludf.DUMMYFUNCTION("average(filter('Appearance Sheet'!F:F,'Appearance Sheet'!G:G=B2003,'Appearance Sheet'!A:A=C2003))"),3.6666666666666665)</f>
        <v>3.666666667</v>
      </c>
      <c r="F2003" s="67">
        <v>5.128176104</v>
      </c>
      <c r="G2003" s="40">
        <v>1.678924919</v>
      </c>
      <c r="H2003" s="40">
        <f t="shared" si="1"/>
        <v>4.120997528</v>
      </c>
      <c r="I2003" s="41">
        <v>0.414634146</v>
      </c>
      <c r="J2003" s="41">
        <v>0.219512195</v>
      </c>
      <c r="K2003" s="41">
        <v>0.365853659</v>
      </c>
      <c r="L2003" s="41">
        <f t="shared" si="2"/>
        <v>0.048780487</v>
      </c>
      <c r="M2003" s="74">
        <v>0.121346619</v>
      </c>
    </row>
    <row r="2004">
      <c r="A2004" s="1" t="s">
        <v>232</v>
      </c>
      <c r="B2004" s="38">
        <v>579328.0</v>
      </c>
      <c r="C2004" s="72">
        <v>45800.0</v>
      </c>
      <c r="D2004" s="38">
        <v>107.0</v>
      </c>
      <c r="E2004" s="73">
        <f>IFERROR(__xludf.DUMMYFUNCTION("average(filter('Appearance Sheet'!F:F,'Appearance Sheet'!G:G=B2004,'Appearance Sheet'!A:A=C2004))"),5.666666666666667)</f>
        <v>5.666666667</v>
      </c>
      <c r="F2004" s="67">
        <v>5.128055489</v>
      </c>
      <c r="G2004" s="40">
        <v>2.1677885</v>
      </c>
      <c r="H2004" s="40">
        <f t="shared" si="1"/>
        <v>3.442958206</v>
      </c>
      <c r="I2004" s="41">
        <v>0.448598131</v>
      </c>
      <c r="J2004" s="41">
        <v>0.177570093</v>
      </c>
      <c r="K2004" s="41">
        <v>0.373831776</v>
      </c>
      <c r="L2004" s="41">
        <f t="shared" si="2"/>
        <v>0.074766355</v>
      </c>
      <c r="M2004" s="74">
        <v>-1.432656236</v>
      </c>
    </row>
    <row r="2005">
      <c r="A2005" s="1" t="s">
        <v>148</v>
      </c>
      <c r="B2005" s="38">
        <v>592866.0</v>
      </c>
      <c r="C2005" s="72">
        <v>45787.0</v>
      </c>
      <c r="D2005" s="38">
        <v>87.0</v>
      </c>
      <c r="E2005" s="73">
        <f>IFERROR(__xludf.DUMMYFUNCTION("average(filter('Appearance Sheet'!F:F,'Appearance Sheet'!G:G=B2005,'Appearance Sheet'!A:A=C2005))"),6.0)</f>
        <v>6</v>
      </c>
      <c r="F2005" s="67">
        <v>5.127888068</v>
      </c>
      <c r="G2005" s="40">
        <v>1.792393486</v>
      </c>
      <c r="H2005" s="40">
        <f t="shared" si="1"/>
        <v>2.688590229</v>
      </c>
      <c r="I2005" s="41">
        <v>0.482758621</v>
      </c>
      <c r="J2005" s="41">
        <v>0.16091954</v>
      </c>
      <c r="K2005" s="41">
        <v>0.356321839</v>
      </c>
      <c r="L2005" s="41">
        <f t="shared" si="2"/>
        <v>0.126436782</v>
      </c>
      <c r="M2005" s="74">
        <v>-1.955770371</v>
      </c>
    </row>
    <row r="2006">
      <c r="A2006" s="1" t="s">
        <v>287</v>
      </c>
      <c r="B2006" s="38">
        <v>571945.0</v>
      </c>
      <c r="C2006" s="72">
        <v>45880.0</v>
      </c>
      <c r="D2006" s="38">
        <v>74.0</v>
      </c>
      <c r="E2006" s="73" t="str">
        <f>IFERROR(__xludf.DUMMYFUNCTION("average(filter('Appearance Sheet'!F:F,'Appearance Sheet'!G:G=B2006,'Appearance Sheet'!A:A=C2006))"),"#N/A")</f>
        <v>#N/A</v>
      </c>
      <c r="F2006" s="67">
        <v>5.127867276</v>
      </c>
      <c r="G2006" s="40">
        <v>1.530479689</v>
      </c>
      <c r="H2006" s="40" t="str">
        <f t="shared" si="1"/>
        <v>#N/A</v>
      </c>
      <c r="I2006" s="41">
        <v>0.459459459</v>
      </c>
      <c r="J2006" s="41">
        <v>0.216216216</v>
      </c>
      <c r="K2006" s="41">
        <v>0.324324324</v>
      </c>
      <c r="L2006" s="41">
        <f t="shared" si="2"/>
        <v>0.135135135</v>
      </c>
      <c r="M2006" s="74">
        <v>1.870528304</v>
      </c>
    </row>
    <row r="2007">
      <c r="A2007" s="1" t="s">
        <v>423</v>
      </c>
      <c r="B2007" s="38">
        <v>656605.0</v>
      </c>
      <c r="C2007" s="72">
        <v>45906.0</v>
      </c>
      <c r="D2007" s="38">
        <v>92.0</v>
      </c>
      <c r="E2007" s="73" t="str">
        <f>IFERROR(__xludf.DUMMYFUNCTION("average(filter('Appearance Sheet'!F:F,'Appearance Sheet'!G:G=B2007,'Appearance Sheet'!A:A=C2007))"),"#N/A")</f>
        <v>#N/A</v>
      </c>
      <c r="F2007" s="67">
        <v>5.127835246</v>
      </c>
      <c r="G2007" s="40">
        <v>1.874890994</v>
      </c>
      <c r="H2007" s="40" t="str">
        <f t="shared" si="1"/>
        <v>#N/A</v>
      </c>
      <c r="I2007" s="41">
        <v>0.456521739</v>
      </c>
      <c r="J2007" s="41">
        <v>0.195652174</v>
      </c>
      <c r="K2007" s="41">
        <v>0.347826087</v>
      </c>
      <c r="L2007" s="41">
        <f t="shared" si="2"/>
        <v>0.108695652</v>
      </c>
      <c r="M2007" s="74">
        <v>0.270691648</v>
      </c>
    </row>
    <row r="2008">
      <c r="A2008" s="1" t="s">
        <v>100</v>
      </c>
      <c r="B2008" s="38">
        <v>676979.0</v>
      </c>
      <c r="C2008" s="72">
        <v>45880.0</v>
      </c>
      <c r="D2008" s="38">
        <v>82.0</v>
      </c>
      <c r="E2008" s="73" t="str">
        <f>IFERROR(__xludf.DUMMYFUNCTION("average(filter('Appearance Sheet'!F:F,'Appearance Sheet'!G:G=B2008,'Appearance Sheet'!A:A=C2008))"),"#N/A")</f>
        <v>#N/A</v>
      </c>
      <c r="F2008" s="67">
        <v>5.127608571</v>
      </c>
      <c r="G2008" s="40">
        <v>1.650861585</v>
      </c>
      <c r="H2008" s="40" t="str">
        <f t="shared" si="1"/>
        <v>#N/A</v>
      </c>
      <c r="I2008" s="41">
        <v>0.487804878</v>
      </c>
      <c r="J2008" s="41">
        <v>0.207317073</v>
      </c>
      <c r="K2008" s="41">
        <v>0.304878049</v>
      </c>
      <c r="L2008" s="41">
        <f t="shared" si="2"/>
        <v>0.182926829</v>
      </c>
      <c r="M2008" s="74">
        <v>-2.253056506</v>
      </c>
    </row>
    <row r="2009">
      <c r="A2009" s="1" t="s">
        <v>282</v>
      </c>
      <c r="B2009" s="38">
        <v>656302.0</v>
      </c>
      <c r="C2009" s="72">
        <v>45840.0</v>
      </c>
      <c r="D2009" s="38">
        <v>101.0</v>
      </c>
      <c r="E2009" s="73">
        <f>IFERROR(__xludf.DUMMYFUNCTION("average(filter('Appearance Sheet'!F:F,'Appearance Sheet'!G:G=B2009,'Appearance Sheet'!A:A=C2009))"),6.0)</f>
        <v>6</v>
      </c>
      <c r="F2009" s="67">
        <v>5.127588895</v>
      </c>
      <c r="G2009" s="40">
        <v>2.081287539</v>
      </c>
      <c r="H2009" s="40">
        <f t="shared" si="1"/>
        <v>3.121931309</v>
      </c>
      <c r="I2009" s="41">
        <v>0.485148515</v>
      </c>
      <c r="J2009" s="41">
        <v>0.128712871</v>
      </c>
      <c r="K2009" s="41">
        <v>0.386138614</v>
      </c>
      <c r="L2009" s="41">
        <f t="shared" si="2"/>
        <v>0.099009901</v>
      </c>
      <c r="M2009" s="74">
        <v>-3.095068948</v>
      </c>
    </row>
    <row r="2010">
      <c r="A2010" s="1" t="s">
        <v>90</v>
      </c>
      <c r="B2010" s="38">
        <v>693433.0</v>
      </c>
      <c r="C2010" s="72">
        <v>45919.0</v>
      </c>
      <c r="D2010" s="38">
        <v>67.0</v>
      </c>
      <c r="E2010" s="73" t="str">
        <f>IFERROR(__xludf.DUMMYFUNCTION("average(filter('Appearance Sheet'!F:F,'Appearance Sheet'!G:G=B2010,'Appearance Sheet'!A:A=C2010))"),"#N/A")</f>
        <v>#N/A</v>
      </c>
      <c r="F2010" s="67">
        <v>5.127520938</v>
      </c>
      <c r="G2010" s="40">
        <v>1.377915246</v>
      </c>
      <c r="H2010" s="40" t="str">
        <f t="shared" si="1"/>
        <v>#N/A</v>
      </c>
      <c r="I2010" s="41">
        <v>0.537313433</v>
      </c>
      <c r="J2010" s="41">
        <v>0.119402985</v>
      </c>
      <c r="K2010" s="41">
        <v>0.343283582</v>
      </c>
      <c r="L2010" s="41">
        <f t="shared" si="2"/>
        <v>0.194029851</v>
      </c>
      <c r="M2010" s="74">
        <v>1.418386006</v>
      </c>
    </row>
    <row r="2011">
      <c r="A2011" s="1" t="s">
        <v>161</v>
      </c>
      <c r="B2011" s="38">
        <v>702070.0</v>
      </c>
      <c r="C2011" s="72">
        <v>45840.0</v>
      </c>
      <c r="D2011" s="38">
        <v>79.0</v>
      </c>
      <c r="E2011" s="73">
        <f>IFERROR(__xludf.DUMMYFUNCTION("average(filter('Appearance Sheet'!F:F,'Appearance Sheet'!G:G=B2011,'Appearance Sheet'!A:A=C2011))"),4.666666666666667)</f>
        <v>4.666666667</v>
      </c>
      <c r="F2011" s="67">
        <v>5.127389293</v>
      </c>
      <c r="G2011" s="40">
        <v>1.611554838</v>
      </c>
      <c r="H2011" s="40">
        <f t="shared" si="1"/>
        <v>3.107998616</v>
      </c>
      <c r="I2011" s="41">
        <v>0.455696203</v>
      </c>
      <c r="J2011" s="41">
        <v>0.227848101</v>
      </c>
      <c r="K2011" s="41">
        <v>0.316455696</v>
      </c>
      <c r="L2011" s="41">
        <f t="shared" si="2"/>
        <v>0.139240507</v>
      </c>
      <c r="M2011" s="74">
        <v>0.465492171</v>
      </c>
    </row>
    <row r="2012">
      <c r="A2012" s="1" t="s">
        <v>171</v>
      </c>
      <c r="B2012" s="38">
        <v>665795.0</v>
      </c>
      <c r="C2012" s="72">
        <v>45860.0</v>
      </c>
      <c r="D2012" s="38">
        <v>83.0</v>
      </c>
      <c r="E2012" s="73" t="str">
        <f>IFERROR(__xludf.DUMMYFUNCTION("average(filter('Appearance Sheet'!F:F,'Appearance Sheet'!G:G=B2012,'Appearance Sheet'!A:A=C2012))"),"#N/A")</f>
        <v>#N/A</v>
      </c>
      <c r="F2012" s="67">
        <v>5.12700608</v>
      </c>
      <c r="G2012" s="40">
        <v>1.722550942</v>
      </c>
      <c r="H2012" s="40" t="str">
        <f t="shared" si="1"/>
        <v>#N/A</v>
      </c>
      <c r="I2012" s="41">
        <v>0.506024096</v>
      </c>
      <c r="J2012" s="41">
        <v>0.120481928</v>
      </c>
      <c r="K2012" s="41">
        <v>0.373493976</v>
      </c>
      <c r="L2012" s="41">
        <f t="shared" si="2"/>
        <v>0.13253012</v>
      </c>
      <c r="M2012" s="74">
        <v>-0.586830273</v>
      </c>
    </row>
    <row r="2013">
      <c r="A2013" s="1" t="s">
        <v>90</v>
      </c>
      <c r="B2013" s="38">
        <v>693433.0</v>
      </c>
      <c r="C2013" s="72">
        <v>45784.0</v>
      </c>
      <c r="D2013" s="38">
        <v>98.0</v>
      </c>
      <c r="E2013" s="73">
        <f>IFERROR(__xludf.DUMMYFUNCTION("average(filter('Appearance Sheet'!F:F,'Appearance Sheet'!G:G=B2013,'Appearance Sheet'!A:A=C2013))"),6.0)</f>
        <v>6</v>
      </c>
      <c r="F2013" s="67">
        <v>5.126779765</v>
      </c>
      <c r="G2013" s="40">
        <v>2.018796696</v>
      </c>
      <c r="H2013" s="40">
        <f t="shared" si="1"/>
        <v>3.028195044</v>
      </c>
      <c r="I2013" s="41">
        <v>0.469387755</v>
      </c>
      <c r="J2013" s="41">
        <v>0.173469388</v>
      </c>
      <c r="K2013" s="41">
        <v>0.357142857</v>
      </c>
      <c r="L2013" s="41">
        <f t="shared" si="2"/>
        <v>0.112244898</v>
      </c>
      <c r="M2013" s="74">
        <v>-2.337139504</v>
      </c>
    </row>
    <row r="2014">
      <c r="A2014" s="1" t="s">
        <v>267</v>
      </c>
      <c r="B2014" s="38">
        <v>669387.0</v>
      </c>
      <c r="C2014" s="72">
        <v>45747.0</v>
      </c>
      <c r="D2014" s="38">
        <v>62.0</v>
      </c>
      <c r="E2014" s="73">
        <f>IFERROR(__xludf.DUMMYFUNCTION("average(filter('Appearance Sheet'!F:F,'Appearance Sheet'!G:G=B2014,'Appearance Sheet'!A:A=C2014))"),3.6666666666666665)</f>
        <v>3.666666667</v>
      </c>
      <c r="F2014" s="67">
        <v>5.126773565</v>
      </c>
      <c r="G2014" s="40">
        <v>1.282049434</v>
      </c>
      <c r="H2014" s="40">
        <f t="shared" si="1"/>
        <v>3.146848611</v>
      </c>
      <c r="I2014" s="41">
        <v>0.483870968</v>
      </c>
      <c r="J2014" s="41">
        <v>0.193548387</v>
      </c>
      <c r="K2014" s="41">
        <v>0.322580645</v>
      </c>
      <c r="L2014" s="41">
        <f t="shared" si="2"/>
        <v>0.161290323</v>
      </c>
      <c r="M2014" s="74">
        <v>-1.607934434</v>
      </c>
    </row>
    <row r="2015">
      <c r="A2015" s="1" t="s">
        <v>256</v>
      </c>
      <c r="B2015" s="38">
        <v>571760.0</v>
      </c>
      <c r="C2015" s="72">
        <v>45875.0</v>
      </c>
      <c r="D2015" s="38">
        <v>75.0</v>
      </c>
      <c r="E2015" s="73" t="str">
        <f>IFERROR(__xludf.DUMMYFUNCTION("average(filter('Appearance Sheet'!F:F,'Appearance Sheet'!G:G=B2015,'Appearance Sheet'!A:A=C2015))"),"#N/A")</f>
        <v>#N/A</v>
      </c>
      <c r="F2015" s="67">
        <v>5.126756017</v>
      </c>
      <c r="G2015" s="40">
        <v>1.544871764</v>
      </c>
      <c r="H2015" s="40" t="str">
        <f t="shared" si="1"/>
        <v>#N/A</v>
      </c>
      <c r="I2015" s="41">
        <v>0.48</v>
      </c>
      <c r="J2015" s="41">
        <v>0.146666667</v>
      </c>
      <c r="K2015" s="41">
        <v>0.373333333</v>
      </c>
      <c r="L2015" s="41">
        <f t="shared" si="2"/>
        <v>0.106666667</v>
      </c>
      <c r="M2015" s="74">
        <v>1.429782256</v>
      </c>
    </row>
    <row r="2016">
      <c r="A2016" s="1" t="s">
        <v>125</v>
      </c>
      <c r="B2016" s="38">
        <v>663554.0</v>
      </c>
      <c r="C2016" s="72">
        <v>45896.0</v>
      </c>
      <c r="D2016" s="38">
        <v>73.0</v>
      </c>
      <c r="E2016" s="73" t="str">
        <f>IFERROR(__xludf.DUMMYFUNCTION("average(filter('Appearance Sheet'!F:F,'Appearance Sheet'!G:G=B2016,'Appearance Sheet'!A:A=C2016))"),"#N/A")</f>
        <v>#N/A</v>
      </c>
      <c r="F2016" s="67">
        <v>5.126746396</v>
      </c>
      <c r="G2016" s="40">
        <v>1.478717564</v>
      </c>
      <c r="H2016" s="40" t="str">
        <f t="shared" si="1"/>
        <v>#N/A</v>
      </c>
      <c r="I2016" s="41">
        <v>0.452054795</v>
      </c>
      <c r="J2016" s="41">
        <v>0.219178082</v>
      </c>
      <c r="K2016" s="41">
        <v>0.328767123</v>
      </c>
      <c r="L2016" s="41">
        <f t="shared" si="2"/>
        <v>0.123287672</v>
      </c>
      <c r="M2016" s="74">
        <v>-1.810622013</v>
      </c>
    </row>
    <row r="2017">
      <c r="A2017" s="1" t="s">
        <v>278</v>
      </c>
      <c r="B2017" s="38">
        <v>542881.0</v>
      </c>
      <c r="C2017" s="72">
        <v>45832.0</v>
      </c>
      <c r="D2017" s="38">
        <v>79.0</v>
      </c>
      <c r="E2017" s="73">
        <f>IFERROR(__xludf.DUMMYFUNCTION("average(filter('Appearance Sheet'!F:F,'Appearance Sheet'!G:G=B2017,'Appearance Sheet'!A:A=C2017))"),4.666666666666667)</f>
        <v>4.666666667</v>
      </c>
      <c r="F2017" s="67">
        <v>5.126705225</v>
      </c>
      <c r="G2017" s="40">
        <v>1.596914036</v>
      </c>
      <c r="H2017" s="40">
        <f t="shared" si="1"/>
        <v>3.079762784</v>
      </c>
      <c r="I2017" s="41">
        <v>0.506329114</v>
      </c>
      <c r="J2017" s="41">
        <v>0.126582278</v>
      </c>
      <c r="K2017" s="41">
        <v>0.367088608</v>
      </c>
      <c r="L2017" s="41">
        <f t="shared" si="2"/>
        <v>0.139240506</v>
      </c>
      <c r="M2017" s="74">
        <v>2.605927763</v>
      </c>
    </row>
    <row r="2018">
      <c r="A2018" s="1" t="s">
        <v>202</v>
      </c>
      <c r="B2018" s="38">
        <v>677960.0</v>
      </c>
      <c r="C2018" s="72">
        <v>45803.0</v>
      </c>
      <c r="D2018" s="38">
        <v>89.0</v>
      </c>
      <c r="E2018" s="73">
        <f>IFERROR(__xludf.DUMMYFUNCTION("average(filter('Appearance Sheet'!F:F,'Appearance Sheet'!G:G=B2018,'Appearance Sheet'!A:A=C2018))"),5.666666666666667)</f>
        <v>5.666666667</v>
      </c>
      <c r="F2018" s="67">
        <v>5.126064676</v>
      </c>
      <c r="G2018" s="40">
        <v>1.844363974</v>
      </c>
      <c r="H2018" s="40">
        <f t="shared" si="1"/>
        <v>2.929283959</v>
      </c>
      <c r="I2018" s="41">
        <v>0.561797753</v>
      </c>
      <c r="J2018" s="41">
        <v>0.157303371</v>
      </c>
      <c r="K2018" s="41">
        <v>0.280898876</v>
      </c>
      <c r="L2018" s="41">
        <f t="shared" si="2"/>
        <v>0.280898877</v>
      </c>
      <c r="M2018" s="74">
        <v>3.004107551</v>
      </c>
    </row>
    <row r="2019">
      <c r="A2019" s="1" t="s">
        <v>358</v>
      </c>
      <c r="B2019" s="38">
        <v>434378.0</v>
      </c>
      <c r="C2019" s="72">
        <v>45879.0</v>
      </c>
      <c r="D2019" s="38">
        <v>95.0</v>
      </c>
      <c r="E2019" s="73" t="str">
        <f>IFERROR(__xludf.DUMMYFUNCTION("average(filter('Appearance Sheet'!F:F,'Appearance Sheet'!G:G=B2019,'Appearance Sheet'!A:A=C2019))"),"#N/A")</f>
        <v>#N/A</v>
      </c>
      <c r="F2019" s="67">
        <v>5.125994002</v>
      </c>
      <c r="G2019" s="40">
        <v>1.984494196</v>
      </c>
      <c r="H2019" s="40" t="str">
        <f t="shared" si="1"/>
        <v>#N/A</v>
      </c>
      <c r="I2019" s="41">
        <v>0.526315789</v>
      </c>
      <c r="J2019" s="41">
        <v>0.147368421</v>
      </c>
      <c r="K2019" s="41">
        <v>0.326315789</v>
      </c>
      <c r="L2019" s="41">
        <f t="shared" si="2"/>
        <v>0.2</v>
      </c>
      <c r="M2019" s="74">
        <v>-4.909319699</v>
      </c>
    </row>
    <row r="2020">
      <c r="A2020" s="1" t="s">
        <v>181</v>
      </c>
      <c r="B2020" s="38">
        <v>641154.0</v>
      </c>
      <c r="C2020" s="72">
        <v>45783.0</v>
      </c>
      <c r="D2020" s="38">
        <v>94.0</v>
      </c>
      <c r="E2020" s="73">
        <f>IFERROR(__xludf.DUMMYFUNCTION("average(filter('Appearance Sheet'!F:F,'Appearance Sheet'!G:G=B2020,'Appearance Sheet'!A:A=C2020))"),5.0)</f>
        <v>5</v>
      </c>
      <c r="F2020" s="67">
        <v>5.125769321</v>
      </c>
      <c r="G2020" s="40">
        <v>1.911643416</v>
      </c>
      <c r="H2020" s="40">
        <f t="shared" si="1"/>
        <v>3.440958149</v>
      </c>
      <c r="I2020" s="41">
        <v>0.457446809</v>
      </c>
      <c r="J2020" s="41">
        <v>0.20212766</v>
      </c>
      <c r="K2020" s="41">
        <v>0.340425532</v>
      </c>
      <c r="L2020" s="41">
        <f t="shared" si="2"/>
        <v>0.117021277</v>
      </c>
      <c r="M2020" s="74">
        <v>3.849380929</v>
      </c>
    </row>
    <row r="2021">
      <c r="A2021" s="1" t="s">
        <v>177</v>
      </c>
      <c r="B2021" s="38">
        <v>641793.0</v>
      </c>
      <c r="C2021" s="72">
        <v>45792.0</v>
      </c>
      <c r="D2021" s="38">
        <v>83.0</v>
      </c>
      <c r="E2021" s="73">
        <f>IFERROR(__xludf.DUMMYFUNCTION("average(filter('Appearance Sheet'!F:F,'Appearance Sheet'!G:G=B2021,'Appearance Sheet'!A:A=C2021))"),7.333333333333333)</f>
        <v>7.333333333</v>
      </c>
      <c r="F2021" s="67">
        <v>5.125426777</v>
      </c>
      <c r="G2021" s="40">
        <v>1.76591174</v>
      </c>
      <c r="H2021" s="40">
        <f t="shared" si="1"/>
        <v>2.167255317</v>
      </c>
      <c r="I2021" s="41">
        <v>0.43373494</v>
      </c>
      <c r="J2021" s="41">
        <v>0.240963855</v>
      </c>
      <c r="K2021" s="41">
        <v>0.325301205</v>
      </c>
      <c r="L2021" s="41">
        <f t="shared" si="2"/>
        <v>0.108433735</v>
      </c>
      <c r="M2021" s="74">
        <v>-2.009892302</v>
      </c>
    </row>
    <row r="2022">
      <c r="A2022" s="1" t="s">
        <v>224</v>
      </c>
      <c r="B2022" s="38">
        <v>686701.0</v>
      </c>
      <c r="C2022" s="72">
        <v>45886.0</v>
      </c>
      <c r="D2022" s="38">
        <v>95.0</v>
      </c>
      <c r="E2022" s="73" t="str">
        <f>IFERROR(__xludf.DUMMYFUNCTION("average(filter('Appearance Sheet'!F:F,'Appearance Sheet'!G:G=B2022,'Appearance Sheet'!A:A=C2022))"),"#N/A")</f>
        <v>#N/A</v>
      </c>
      <c r="F2022" s="67">
        <v>5.12539762</v>
      </c>
      <c r="G2022" s="40">
        <v>1.965484193</v>
      </c>
      <c r="H2022" s="40" t="str">
        <f t="shared" si="1"/>
        <v>#N/A</v>
      </c>
      <c r="I2022" s="41">
        <v>0.515789474</v>
      </c>
      <c r="J2022" s="41">
        <v>0.094736842</v>
      </c>
      <c r="K2022" s="41">
        <v>0.389473684</v>
      </c>
      <c r="L2022" s="41">
        <f t="shared" si="2"/>
        <v>0.12631579</v>
      </c>
      <c r="M2022" s="74">
        <v>-0.585084981</v>
      </c>
    </row>
    <row r="2023">
      <c r="A2023" s="1" t="s">
        <v>224</v>
      </c>
      <c r="B2023" s="38">
        <v>686701.0</v>
      </c>
      <c r="C2023" s="72">
        <v>45849.0</v>
      </c>
      <c r="D2023" s="38">
        <v>80.0</v>
      </c>
      <c r="E2023" s="73" t="str">
        <f>IFERROR(__xludf.DUMMYFUNCTION("average(filter('Appearance Sheet'!F:F,'Appearance Sheet'!G:G=B2023,'Appearance Sheet'!A:A=C2023))"),"#N/A")</f>
        <v>#N/A</v>
      </c>
      <c r="F2023" s="67">
        <v>5.125112062</v>
      </c>
      <c r="G2023" s="40">
        <v>1.634418456</v>
      </c>
      <c r="H2023" s="40" t="str">
        <f t="shared" si="1"/>
        <v>#N/A</v>
      </c>
      <c r="I2023" s="41">
        <v>0.4375</v>
      </c>
      <c r="J2023" s="41">
        <v>0.2125</v>
      </c>
      <c r="K2023" s="41">
        <v>0.35</v>
      </c>
      <c r="L2023" s="41">
        <f t="shared" si="2"/>
        <v>0.0875</v>
      </c>
      <c r="M2023" s="74">
        <v>1.078753445</v>
      </c>
    </row>
    <row r="2024">
      <c r="A2024" s="1" t="s">
        <v>57</v>
      </c>
      <c r="B2024" s="38">
        <v>594798.0</v>
      </c>
      <c r="C2024" s="72">
        <v>45850.0</v>
      </c>
      <c r="D2024" s="38">
        <v>87.0</v>
      </c>
      <c r="E2024" s="73" t="str">
        <f>IFERROR(__xludf.DUMMYFUNCTION("average(filter('Appearance Sheet'!F:F,'Appearance Sheet'!G:G=B2024,'Appearance Sheet'!A:A=C2024))"),"#N/A")</f>
        <v>#N/A</v>
      </c>
      <c r="F2024" s="67">
        <v>5.125029975</v>
      </c>
      <c r="G2024" s="40">
        <v>1.787133392</v>
      </c>
      <c r="H2024" s="40" t="str">
        <f t="shared" si="1"/>
        <v>#N/A</v>
      </c>
      <c r="I2024" s="41">
        <v>0.505747126</v>
      </c>
      <c r="J2024" s="41">
        <v>0.149425287</v>
      </c>
      <c r="K2024" s="41">
        <v>0.344827586</v>
      </c>
      <c r="L2024" s="41">
        <f t="shared" si="2"/>
        <v>0.16091954</v>
      </c>
      <c r="M2024" s="74">
        <v>0.059212075</v>
      </c>
    </row>
    <row r="2025">
      <c r="A2025" s="1" t="s">
        <v>356</v>
      </c>
      <c r="B2025" s="38">
        <v>680732.0</v>
      </c>
      <c r="C2025" s="72">
        <v>45885.0</v>
      </c>
      <c r="D2025" s="38">
        <v>81.0</v>
      </c>
      <c r="E2025" s="73" t="str">
        <f>IFERROR(__xludf.DUMMYFUNCTION("average(filter('Appearance Sheet'!F:F,'Appearance Sheet'!G:G=B2025,'Appearance Sheet'!A:A=C2025))"),"#N/A")</f>
        <v>#N/A</v>
      </c>
      <c r="F2025" s="67">
        <v>5.124907779</v>
      </c>
      <c r="G2025" s="40">
        <v>1.661959422</v>
      </c>
      <c r="H2025" s="40" t="str">
        <f t="shared" si="1"/>
        <v>#N/A</v>
      </c>
      <c r="I2025" s="41">
        <v>0.481481481</v>
      </c>
      <c r="J2025" s="41">
        <v>0.172839506</v>
      </c>
      <c r="K2025" s="41">
        <v>0.345679012</v>
      </c>
      <c r="L2025" s="41">
        <f t="shared" si="2"/>
        <v>0.135802469</v>
      </c>
      <c r="M2025" s="74">
        <v>1.365710641</v>
      </c>
    </row>
    <row r="2026">
      <c r="A2026" s="1" t="s">
        <v>150</v>
      </c>
      <c r="B2026" s="38">
        <v>657746.0</v>
      </c>
      <c r="C2026" s="72">
        <v>45926.0</v>
      </c>
      <c r="D2026" s="38">
        <v>87.0</v>
      </c>
      <c r="E2026" s="73" t="str">
        <f>IFERROR(__xludf.DUMMYFUNCTION("average(filter('Appearance Sheet'!F:F,'Appearance Sheet'!G:G=B2026,'Appearance Sheet'!A:A=C2026))"),"#N/A")</f>
        <v>#N/A</v>
      </c>
      <c r="F2026" s="67">
        <v>5.124904172</v>
      </c>
      <c r="G2026" s="40">
        <v>1.772352873</v>
      </c>
      <c r="H2026" s="40" t="str">
        <f t="shared" si="1"/>
        <v>#N/A</v>
      </c>
      <c r="I2026" s="41">
        <v>0.528735632</v>
      </c>
      <c r="J2026" s="41">
        <v>0.149425287</v>
      </c>
      <c r="K2026" s="41">
        <v>0.32183908</v>
      </c>
      <c r="L2026" s="41">
        <f t="shared" si="2"/>
        <v>0.206896552</v>
      </c>
      <c r="M2026" s="74">
        <v>-0.182029531</v>
      </c>
    </row>
    <row r="2027">
      <c r="A2027" s="1" t="s">
        <v>298</v>
      </c>
      <c r="B2027" s="38">
        <v>594902.0</v>
      </c>
      <c r="C2027" s="72">
        <v>45766.0</v>
      </c>
      <c r="D2027" s="38">
        <v>85.0</v>
      </c>
      <c r="E2027" s="73">
        <f>IFERROR(__xludf.DUMMYFUNCTION("average(filter('Appearance Sheet'!F:F,'Appearance Sheet'!G:G=B2027,'Appearance Sheet'!A:A=C2027))"),5.333333333333333)</f>
        <v>5.333333333</v>
      </c>
      <c r="F2027" s="67">
        <v>5.12484365</v>
      </c>
      <c r="G2027" s="40">
        <v>1.725054451</v>
      </c>
      <c r="H2027" s="40">
        <f t="shared" si="1"/>
        <v>2.911029386</v>
      </c>
      <c r="I2027" s="41">
        <v>0.482352941</v>
      </c>
      <c r="J2027" s="41">
        <v>0.129411765</v>
      </c>
      <c r="K2027" s="41">
        <v>0.388235294</v>
      </c>
      <c r="L2027" s="41">
        <f t="shared" si="2"/>
        <v>0.094117647</v>
      </c>
      <c r="M2027" s="74">
        <v>0.919781141</v>
      </c>
    </row>
    <row r="2028">
      <c r="A2028" s="1" t="s">
        <v>510</v>
      </c>
      <c r="B2028" s="38">
        <v>702674.0</v>
      </c>
      <c r="C2028" s="72">
        <v>45927.0</v>
      </c>
      <c r="D2028" s="38">
        <v>89.0</v>
      </c>
      <c r="E2028" s="73" t="str">
        <f>IFERROR(__xludf.DUMMYFUNCTION("average(filter('Appearance Sheet'!F:F,'Appearance Sheet'!G:G=B2028,'Appearance Sheet'!A:A=C2028))"),"#N/A")</f>
        <v>#N/A</v>
      </c>
      <c r="F2028" s="67">
        <v>5.124809184</v>
      </c>
      <c r="G2028" s="40">
        <v>1.833777894</v>
      </c>
      <c r="H2028" s="40" t="str">
        <f t="shared" si="1"/>
        <v>#N/A</v>
      </c>
      <c r="I2028" s="41">
        <v>0.404494382</v>
      </c>
      <c r="J2028" s="41">
        <v>0.314606742</v>
      </c>
      <c r="K2028" s="41">
        <v>0.280898876</v>
      </c>
      <c r="L2028" s="41">
        <f t="shared" si="2"/>
        <v>0.123595506</v>
      </c>
      <c r="M2028" s="74">
        <v>0.557001902</v>
      </c>
    </row>
    <row r="2029">
      <c r="A2029" s="1" t="s">
        <v>287</v>
      </c>
      <c r="B2029" s="38">
        <v>571945.0</v>
      </c>
      <c r="C2029" s="72">
        <v>45765.0</v>
      </c>
      <c r="D2029" s="38">
        <v>68.0</v>
      </c>
      <c r="E2029" s="73">
        <f>IFERROR(__xludf.DUMMYFUNCTION("average(filter('Appearance Sheet'!F:F,'Appearance Sheet'!G:G=B2029,'Appearance Sheet'!A:A=C2029))"),4.666666666666667)</f>
        <v>4.666666667</v>
      </c>
      <c r="F2029" s="67">
        <v>5.124604065</v>
      </c>
      <c r="G2029" s="40">
        <v>1.429938513</v>
      </c>
      <c r="H2029" s="40">
        <f t="shared" si="1"/>
        <v>2.757738561</v>
      </c>
      <c r="I2029" s="41">
        <v>0.5</v>
      </c>
      <c r="J2029" s="41">
        <v>0.176470588</v>
      </c>
      <c r="K2029" s="41">
        <v>0.323529412</v>
      </c>
      <c r="L2029" s="41">
        <f t="shared" si="2"/>
        <v>0.176470588</v>
      </c>
      <c r="M2029" s="74">
        <v>-0.251350866</v>
      </c>
    </row>
    <row r="2030">
      <c r="A2030" s="1" t="s">
        <v>368</v>
      </c>
      <c r="B2030" s="38">
        <v>593958.0</v>
      </c>
      <c r="C2030" s="72">
        <v>45826.0</v>
      </c>
      <c r="D2030" s="38">
        <v>93.0</v>
      </c>
      <c r="E2030" s="73">
        <f>IFERROR(__xludf.DUMMYFUNCTION("average(filter('Appearance Sheet'!F:F,'Appearance Sheet'!G:G=B2030,'Appearance Sheet'!A:A=C2030))"),4.666666666666667)</f>
        <v>4.666666667</v>
      </c>
      <c r="F2030" s="67">
        <v>5.124569882</v>
      </c>
      <c r="G2030" s="40">
        <v>1.891020165</v>
      </c>
      <c r="H2030" s="40">
        <f t="shared" si="1"/>
        <v>3.646967461</v>
      </c>
      <c r="I2030" s="41">
        <v>0.462365591</v>
      </c>
      <c r="J2030" s="41">
        <v>0.172043011</v>
      </c>
      <c r="K2030" s="41">
        <v>0.365591398</v>
      </c>
      <c r="L2030" s="41">
        <f t="shared" si="2"/>
        <v>0.096774193</v>
      </c>
      <c r="M2030" s="74">
        <v>0.086242347</v>
      </c>
    </row>
    <row r="2031">
      <c r="A2031" s="1" t="s">
        <v>450</v>
      </c>
      <c r="B2031" s="38">
        <v>682990.0</v>
      </c>
      <c r="C2031" s="72">
        <v>45801.0</v>
      </c>
      <c r="D2031" s="38">
        <v>81.0</v>
      </c>
      <c r="E2031" s="73">
        <f>IFERROR(__xludf.DUMMYFUNCTION("average(filter('Appearance Sheet'!F:F,'Appearance Sheet'!G:G=B2031,'Appearance Sheet'!A:A=C2031))"),6.0)</f>
        <v>6</v>
      </c>
      <c r="F2031" s="67">
        <v>5.124544846</v>
      </c>
      <c r="G2031" s="40">
        <v>1.695177564</v>
      </c>
      <c r="H2031" s="40">
        <f t="shared" si="1"/>
        <v>2.542766346</v>
      </c>
      <c r="I2031" s="41">
        <v>0.395061728</v>
      </c>
      <c r="J2031" s="41">
        <v>0.24691358</v>
      </c>
      <c r="K2031" s="41">
        <v>0.358024691</v>
      </c>
      <c r="L2031" s="41">
        <f t="shared" si="2"/>
        <v>0.037037037</v>
      </c>
      <c r="M2031" s="74">
        <v>-0.808378474</v>
      </c>
    </row>
    <row r="2032">
      <c r="A2032" s="1" t="s">
        <v>281</v>
      </c>
      <c r="B2032" s="38">
        <v>622663.0</v>
      </c>
      <c r="C2032" s="72">
        <v>45760.0</v>
      </c>
      <c r="D2032" s="38">
        <v>103.0</v>
      </c>
      <c r="E2032" s="73">
        <f>IFERROR(__xludf.DUMMYFUNCTION("average(filter('Appearance Sheet'!F:F,'Appearance Sheet'!G:G=B2032,'Appearance Sheet'!A:A=C2032))"),5.666666666666667)</f>
        <v>5.666666667</v>
      </c>
      <c r="F2032" s="67">
        <v>5.124336444</v>
      </c>
      <c r="G2032" s="40">
        <v>2.097200755</v>
      </c>
      <c r="H2032" s="40">
        <f t="shared" si="1"/>
        <v>3.330848258</v>
      </c>
      <c r="I2032" s="41">
        <v>0.45631068</v>
      </c>
      <c r="J2032" s="41">
        <v>0.203883495</v>
      </c>
      <c r="K2032" s="41">
        <v>0.339805825</v>
      </c>
      <c r="L2032" s="41">
        <f t="shared" si="2"/>
        <v>0.116504855</v>
      </c>
      <c r="M2032" s="74">
        <v>1.121092</v>
      </c>
    </row>
    <row r="2033">
      <c r="A2033" s="1" t="s">
        <v>256</v>
      </c>
      <c r="B2033" s="38">
        <v>571760.0</v>
      </c>
      <c r="C2033" s="72">
        <v>45759.0</v>
      </c>
      <c r="D2033" s="38">
        <v>80.0</v>
      </c>
      <c r="E2033" s="73">
        <f>IFERROR(__xludf.DUMMYFUNCTION("average(filter('Appearance Sheet'!F:F,'Appearance Sheet'!G:G=B2033,'Appearance Sheet'!A:A=C2033))"),6.0)</f>
        <v>6</v>
      </c>
      <c r="F2033" s="67">
        <v>5.124060616</v>
      </c>
      <c r="G2033" s="40">
        <v>1.642458698</v>
      </c>
      <c r="H2033" s="40">
        <f t="shared" si="1"/>
        <v>2.463688047</v>
      </c>
      <c r="I2033" s="41">
        <v>0.55</v>
      </c>
      <c r="J2033" s="41">
        <v>0.0625</v>
      </c>
      <c r="K2033" s="41">
        <v>0.3875</v>
      </c>
      <c r="L2033" s="41">
        <f t="shared" si="2"/>
        <v>0.1625</v>
      </c>
      <c r="M2033" s="74">
        <v>1.381986975</v>
      </c>
    </row>
    <row r="2034">
      <c r="A2034" s="1" t="s">
        <v>472</v>
      </c>
      <c r="B2034" s="38">
        <v>675911.0</v>
      </c>
      <c r="C2034" s="72">
        <v>45875.0</v>
      </c>
      <c r="D2034" s="38">
        <v>91.0</v>
      </c>
      <c r="E2034" s="73" t="str">
        <f>IFERROR(__xludf.DUMMYFUNCTION("average(filter('Appearance Sheet'!F:F,'Appearance Sheet'!G:G=B2034,'Appearance Sheet'!A:A=C2034))"),"#N/A")</f>
        <v>#N/A</v>
      </c>
      <c r="F2034" s="67">
        <v>5.123921045</v>
      </c>
      <c r="G2034" s="40">
        <v>1.913995179</v>
      </c>
      <c r="H2034" s="40" t="str">
        <f t="shared" si="1"/>
        <v>#N/A</v>
      </c>
      <c r="I2034" s="41">
        <v>0.428571429</v>
      </c>
      <c r="J2034" s="41">
        <v>0.263736264</v>
      </c>
      <c r="K2034" s="41">
        <v>0.307692308</v>
      </c>
      <c r="L2034" s="41">
        <f t="shared" si="2"/>
        <v>0.120879121</v>
      </c>
      <c r="M2034" s="74">
        <v>-6.341734746</v>
      </c>
    </row>
    <row r="2035">
      <c r="A2035" s="1" t="s">
        <v>382</v>
      </c>
      <c r="B2035" s="38">
        <v>656288.0</v>
      </c>
      <c r="C2035" s="72">
        <v>45764.0</v>
      </c>
      <c r="D2035" s="38">
        <v>95.0</v>
      </c>
      <c r="E2035" s="73">
        <f>IFERROR(__xludf.DUMMYFUNCTION("average(filter('Appearance Sheet'!F:F,'Appearance Sheet'!G:G=B2035,'Appearance Sheet'!A:A=C2035))"),6.0)</f>
        <v>6</v>
      </c>
      <c r="F2035" s="67">
        <v>5.123900296</v>
      </c>
      <c r="G2035" s="40">
        <v>1.974707417</v>
      </c>
      <c r="H2035" s="40">
        <f t="shared" si="1"/>
        <v>2.962061126</v>
      </c>
      <c r="I2035" s="41">
        <v>0.494736842</v>
      </c>
      <c r="J2035" s="41">
        <v>0.189473684</v>
      </c>
      <c r="K2035" s="41">
        <v>0.315789474</v>
      </c>
      <c r="L2035" s="41">
        <f t="shared" si="2"/>
        <v>0.178947368</v>
      </c>
      <c r="M2035" s="74">
        <v>3.418219474</v>
      </c>
    </row>
    <row r="2036">
      <c r="A2036" s="1" t="s">
        <v>428</v>
      </c>
      <c r="B2036" s="38">
        <v>670102.0</v>
      </c>
      <c r="C2036" s="72">
        <v>45793.0</v>
      </c>
      <c r="D2036" s="38">
        <v>93.0</v>
      </c>
      <c r="E2036" s="73">
        <f>IFERROR(__xludf.DUMMYFUNCTION("average(filter('Appearance Sheet'!F:F,'Appearance Sheet'!G:G=B2036,'Appearance Sheet'!A:A=C2036))"),4.666666666666667)</f>
        <v>4.666666667</v>
      </c>
      <c r="F2036" s="67">
        <v>5.123875877</v>
      </c>
      <c r="G2036" s="40">
        <v>1.934881436</v>
      </c>
      <c r="H2036" s="40">
        <f t="shared" si="1"/>
        <v>3.731557055</v>
      </c>
      <c r="I2036" s="41">
        <v>0.516129032</v>
      </c>
      <c r="J2036" s="41">
        <v>0.161290323</v>
      </c>
      <c r="K2036" s="41">
        <v>0.322580645</v>
      </c>
      <c r="L2036" s="41">
        <f t="shared" si="2"/>
        <v>0.193548387</v>
      </c>
      <c r="M2036" s="74">
        <v>-3.309629775</v>
      </c>
    </row>
    <row r="2037">
      <c r="A2037" s="1" t="s">
        <v>313</v>
      </c>
      <c r="B2037" s="38">
        <v>607067.0</v>
      </c>
      <c r="C2037" s="72">
        <v>45896.0</v>
      </c>
      <c r="D2037" s="38">
        <v>85.0</v>
      </c>
      <c r="E2037" s="73" t="str">
        <f>IFERROR(__xludf.DUMMYFUNCTION("average(filter('Appearance Sheet'!F:F,'Appearance Sheet'!G:G=B2037,'Appearance Sheet'!A:A=C2037))"),"#N/A")</f>
        <v>#N/A</v>
      </c>
      <c r="F2037" s="67">
        <v>5.123571469</v>
      </c>
      <c r="G2037" s="40">
        <v>1.783952023</v>
      </c>
      <c r="H2037" s="40" t="str">
        <f t="shared" si="1"/>
        <v>#N/A</v>
      </c>
      <c r="I2037" s="41">
        <v>0.494117647</v>
      </c>
      <c r="J2037" s="41">
        <v>0.2</v>
      </c>
      <c r="K2037" s="41">
        <v>0.305882353</v>
      </c>
      <c r="L2037" s="41">
        <f t="shared" si="2"/>
        <v>0.188235294</v>
      </c>
      <c r="M2037" s="74">
        <v>-1.641195119</v>
      </c>
    </row>
    <row r="2038">
      <c r="A2038" s="1" t="s">
        <v>424</v>
      </c>
      <c r="B2038" s="38">
        <v>667755.0</v>
      </c>
      <c r="C2038" s="72">
        <v>45900.0</v>
      </c>
      <c r="D2038" s="38">
        <v>93.0</v>
      </c>
      <c r="E2038" s="73" t="str">
        <f>IFERROR(__xludf.DUMMYFUNCTION("average(filter('Appearance Sheet'!F:F,'Appearance Sheet'!G:G=B2038,'Appearance Sheet'!A:A=C2038))"),"#N/A")</f>
        <v>#N/A</v>
      </c>
      <c r="F2038" s="67">
        <v>5.123535688</v>
      </c>
      <c r="G2038" s="40">
        <v>1.914059023</v>
      </c>
      <c r="H2038" s="40" t="str">
        <f t="shared" si="1"/>
        <v>#N/A</v>
      </c>
      <c r="I2038" s="41">
        <v>0.462365591</v>
      </c>
      <c r="J2038" s="41">
        <v>0.150537634</v>
      </c>
      <c r="K2038" s="41">
        <v>0.387096774</v>
      </c>
      <c r="L2038" s="41">
        <f t="shared" si="2"/>
        <v>0.075268817</v>
      </c>
      <c r="M2038" s="74">
        <v>4.405440487</v>
      </c>
    </row>
    <row r="2039">
      <c r="A2039" s="1" t="s">
        <v>431</v>
      </c>
      <c r="B2039" s="38">
        <v>669203.0</v>
      </c>
      <c r="C2039" s="72">
        <v>45765.0</v>
      </c>
      <c r="D2039" s="38">
        <v>97.0</v>
      </c>
      <c r="E2039" s="73">
        <f>IFERROR(__xludf.DUMMYFUNCTION("average(filter('Appearance Sheet'!F:F,'Appearance Sheet'!G:G=B2039,'Appearance Sheet'!A:A=C2039))"),6.0)</f>
        <v>6</v>
      </c>
      <c r="F2039" s="67">
        <v>5.123529646</v>
      </c>
      <c r="G2039" s="40">
        <v>1.984013788</v>
      </c>
      <c r="H2039" s="40">
        <f t="shared" si="1"/>
        <v>2.976020682</v>
      </c>
      <c r="I2039" s="41">
        <v>0.432989691</v>
      </c>
      <c r="J2039" s="41">
        <v>0.18556701</v>
      </c>
      <c r="K2039" s="41">
        <v>0.381443299</v>
      </c>
      <c r="L2039" s="41">
        <f t="shared" si="2"/>
        <v>0.051546392</v>
      </c>
      <c r="M2039" s="74">
        <v>0.142178942</v>
      </c>
    </row>
    <row r="2040">
      <c r="A2040" s="1" t="s">
        <v>504</v>
      </c>
      <c r="B2040" s="38">
        <v>663372.0</v>
      </c>
      <c r="C2040" s="72">
        <v>45757.0</v>
      </c>
      <c r="D2040" s="38">
        <v>85.0</v>
      </c>
      <c r="E2040" s="73">
        <f>IFERROR(__xludf.DUMMYFUNCTION("average(filter('Appearance Sheet'!F:F,'Appearance Sheet'!G:G=B2040,'Appearance Sheet'!A:A=C2040))"),6.0)</f>
        <v>6</v>
      </c>
      <c r="F2040" s="67">
        <v>5.123279817</v>
      </c>
      <c r="G2040" s="40">
        <v>1.755378082</v>
      </c>
      <c r="H2040" s="40">
        <f t="shared" si="1"/>
        <v>2.633067123</v>
      </c>
      <c r="I2040" s="41">
        <v>0.552941176</v>
      </c>
      <c r="J2040" s="41">
        <v>0.105882353</v>
      </c>
      <c r="K2040" s="41">
        <v>0.341176471</v>
      </c>
      <c r="L2040" s="41">
        <f t="shared" si="2"/>
        <v>0.211764705</v>
      </c>
      <c r="M2040" s="74">
        <v>2.297390093</v>
      </c>
    </row>
    <row r="2041">
      <c r="A2041" s="1" t="s">
        <v>495</v>
      </c>
      <c r="B2041" s="38">
        <v>801403.0</v>
      </c>
      <c r="C2041" s="72">
        <v>45766.0</v>
      </c>
      <c r="D2041" s="38">
        <v>77.0</v>
      </c>
      <c r="E2041" s="73">
        <f>IFERROR(__xludf.DUMMYFUNCTION("average(filter('Appearance Sheet'!F:F,'Appearance Sheet'!G:G=B2041,'Appearance Sheet'!A:A=C2041))"),4.0)</f>
        <v>4</v>
      </c>
      <c r="F2041" s="67">
        <v>5.123194615</v>
      </c>
      <c r="G2041" s="40">
        <v>1.613363716</v>
      </c>
      <c r="H2041" s="40">
        <f t="shared" si="1"/>
        <v>3.630068361</v>
      </c>
      <c r="I2041" s="41">
        <v>0.493506494</v>
      </c>
      <c r="J2041" s="41">
        <v>0.155844156</v>
      </c>
      <c r="K2041" s="41">
        <v>0.350649351</v>
      </c>
      <c r="L2041" s="41">
        <f t="shared" si="2"/>
        <v>0.142857143</v>
      </c>
      <c r="M2041" s="74">
        <v>-3.635704408</v>
      </c>
    </row>
    <row r="2042">
      <c r="A2042" s="1" t="s">
        <v>496</v>
      </c>
      <c r="B2042" s="38">
        <v>694477.0</v>
      </c>
      <c r="C2042" s="72">
        <v>45772.0</v>
      </c>
      <c r="D2042" s="38">
        <v>68.0</v>
      </c>
      <c r="E2042" s="73">
        <f>IFERROR(__xludf.DUMMYFUNCTION("average(filter('Appearance Sheet'!F:F,'Appearance Sheet'!G:G=B2042,'Appearance Sheet'!A:A=C2042))"),4.333333333333333)</f>
        <v>4.333333333</v>
      </c>
      <c r="F2042" s="67">
        <v>5.123173126</v>
      </c>
      <c r="G2042" s="40">
        <v>1.420562569</v>
      </c>
      <c r="H2042" s="40">
        <f t="shared" si="1"/>
        <v>2.950399182</v>
      </c>
      <c r="I2042" s="41">
        <v>0.544117647</v>
      </c>
      <c r="J2042" s="41">
        <v>0.132352941</v>
      </c>
      <c r="K2042" s="41">
        <v>0.323529412</v>
      </c>
      <c r="L2042" s="41">
        <f t="shared" si="2"/>
        <v>0.220588235</v>
      </c>
      <c r="M2042" s="74">
        <v>-0.071338157</v>
      </c>
    </row>
    <row r="2043">
      <c r="A2043" s="1" t="s">
        <v>432</v>
      </c>
      <c r="B2043" s="38">
        <v>669467.0</v>
      </c>
      <c r="C2043" s="72">
        <v>45912.0</v>
      </c>
      <c r="D2043" s="38">
        <v>62.0</v>
      </c>
      <c r="E2043" s="73" t="str">
        <f>IFERROR(__xludf.DUMMYFUNCTION("average(filter('Appearance Sheet'!F:F,'Appearance Sheet'!G:G=B2043,'Appearance Sheet'!A:A=C2043))"),"#N/A")</f>
        <v>#N/A</v>
      </c>
      <c r="F2043" s="67">
        <v>5.123139681</v>
      </c>
      <c r="G2043" s="40">
        <v>1.286220085</v>
      </c>
      <c r="H2043" s="40" t="str">
        <f t="shared" si="1"/>
        <v>#N/A</v>
      </c>
      <c r="I2043" s="41">
        <v>0.467741935</v>
      </c>
      <c r="J2043" s="41">
        <v>0.209677419</v>
      </c>
      <c r="K2043" s="41">
        <v>0.322580645</v>
      </c>
      <c r="L2043" s="41">
        <f t="shared" si="2"/>
        <v>0.14516129</v>
      </c>
      <c r="M2043" s="74">
        <v>0.530284056</v>
      </c>
    </row>
    <row r="2044">
      <c r="A2044" s="1" t="s">
        <v>88</v>
      </c>
      <c r="B2044" s="38">
        <v>694973.0</v>
      </c>
      <c r="C2044" s="72">
        <v>45916.0</v>
      </c>
      <c r="D2044" s="38">
        <v>92.0</v>
      </c>
      <c r="E2044" s="73" t="str">
        <f>IFERROR(__xludf.DUMMYFUNCTION("average(filter('Appearance Sheet'!F:F,'Appearance Sheet'!G:G=B2044,'Appearance Sheet'!A:A=C2044))"),"#N/A")</f>
        <v>#N/A</v>
      </c>
      <c r="F2044" s="67">
        <v>5.123032912</v>
      </c>
      <c r="G2044" s="40">
        <v>1.873621636</v>
      </c>
      <c r="H2044" s="40" t="str">
        <f t="shared" si="1"/>
        <v>#N/A</v>
      </c>
      <c r="I2044" s="41">
        <v>0.532608696</v>
      </c>
      <c r="J2044" s="41">
        <v>0.152173913</v>
      </c>
      <c r="K2044" s="41">
        <v>0.315217391</v>
      </c>
      <c r="L2044" s="41">
        <f t="shared" si="2"/>
        <v>0.217391305</v>
      </c>
      <c r="M2044" s="74">
        <v>-2.597604131</v>
      </c>
    </row>
    <row r="2045">
      <c r="A2045" s="1" t="s">
        <v>584</v>
      </c>
      <c r="B2045" s="38">
        <v>657006.0</v>
      </c>
      <c r="C2045" s="72">
        <v>45743.0</v>
      </c>
      <c r="D2045" s="38">
        <v>75.0</v>
      </c>
      <c r="E2045" s="73">
        <f>IFERROR(__xludf.DUMMYFUNCTION("average(filter('Appearance Sheet'!F:F,'Appearance Sheet'!G:G=B2045,'Appearance Sheet'!A:A=C2045))"),5.0)</f>
        <v>5</v>
      </c>
      <c r="F2045" s="67">
        <v>5.122853757</v>
      </c>
      <c r="G2045" s="40">
        <v>1.570570526</v>
      </c>
      <c r="H2045" s="40">
        <f t="shared" si="1"/>
        <v>2.827026947</v>
      </c>
      <c r="I2045" s="41">
        <v>0.466666667</v>
      </c>
      <c r="J2045" s="41">
        <v>0.28</v>
      </c>
      <c r="K2045" s="41">
        <v>0.253333333</v>
      </c>
      <c r="L2045" s="41">
        <f t="shared" si="2"/>
        <v>0.213333334</v>
      </c>
      <c r="M2045" s="74">
        <v>-0.709561062</v>
      </c>
    </row>
    <row r="2046">
      <c r="A2046" s="1" t="s">
        <v>582</v>
      </c>
      <c r="B2046" s="38">
        <v>680694.0</v>
      </c>
      <c r="C2046" s="72">
        <v>45928.0</v>
      </c>
      <c r="D2046" s="38">
        <v>66.0</v>
      </c>
      <c r="E2046" s="73" t="str">
        <f>IFERROR(__xludf.DUMMYFUNCTION("average(filter('Appearance Sheet'!F:F,'Appearance Sheet'!G:G=B2046,'Appearance Sheet'!A:A=C2046))"),"#N/A")</f>
        <v>#N/A</v>
      </c>
      <c r="F2046" s="67">
        <v>5.122850418</v>
      </c>
      <c r="G2046" s="40">
        <v>1.358919947</v>
      </c>
      <c r="H2046" s="40" t="str">
        <f t="shared" si="1"/>
        <v>#N/A</v>
      </c>
      <c r="I2046" s="41">
        <v>0.424242424</v>
      </c>
      <c r="J2046" s="41">
        <v>0.212121212</v>
      </c>
      <c r="K2046" s="41">
        <v>0.363636364</v>
      </c>
      <c r="L2046" s="41">
        <f t="shared" si="2"/>
        <v>0.06060606</v>
      </c>
      <c r="M2046" s="74">
        <v>-1.097504093</v>
      </c>
    </row>
    <row r="2047">
      <c r="A2047" s="1" t="s">
        <v>57</v>
      </c>
      <c r="B2047" s="38">
        <v>594798.0</v>
      </c>
      <c r="C2047" s="72">
        <v>45884.0</v>
      </c>
      <c r="D2047" s="38">
        <v>83.0</v>
      </c>
      <c r="E2047" s="73" t="str">
        <f>IFERROR(__xludf.DUMMYFUNCTION("average(filter('Appearance Sheet'!F:F,'Appearance Sheet'!G:G=B2047,'Appearance Sheet'!A:A=C2047))"),"#N/A")</f>
        <v>#N/A</v>
      </c>
      <c r="F2047" s="67">
        <v>5.122778466</v>
      </c>
      <c r="G2047" s="40">
        <v>1.683736793</v>
      </c>
      <c r="H2047" s="40" t="str">
        <f t="shared" si="1"/>
        <v>#N/A</v>
      </c>
      <c r="I2047" s="41">
        <v>0.506024096</v>
      </c>
      <c r="J2047" s="41">
        <v>0.144578313</v>
      </c>
      <c r="K2047" s="41">
        <v>0.34939759</v>
      </c>
      <c r="L2047" s="41">
        <f t="shared" si="2"/>
        <v>0.156626506</v>
      </c>
      <c r="M2047" s="74">
        <v>2.304230356</v>
      </c>
    </row>
    <row r="2048">
      <c r="A2048" s="1" t="s">
        <v>176</v>
      </c>
      <c r="B2048" s="38">
        <v>686218.0</v>
      </c>
      <c r="C2048" s="72">
        <v>45844.0</v>
      </c>
      <c r="D2048" s="38">
        <v>79.0</v>
      </c>
      <c r="E2048" s="73" t="str">
        <f>IFERROR(__xludf.DUMMYFUNCTION("average(filter('Appearance Sheet'!F:F,'Appearance Sheet'!G:G=B2048,'Appearance Sheet'!A:A=C2048))"),"#N/A")</f>
        <v>#N/A</v>
      </c>
      <c r="F2048" s="67">
        <v>5.122485683</v>
      </c>
      <c r="G2048" s="40">
        <v>1.644772642</v>
      </c>
      <c r="H2048" s="40" t="str">
        <f t="shared" si="1"/>
        <v>#N/A</v>
      </c>
      <c r="I2048" s="41">
        <v>0.46835443</v>
      </c>
      <c r="J2048" s="41">
        <v>0.151898734</v>
      </c>
      <c r="K2048" s="41">
        <v>0.379746835</v>
      </c>
      <c r="L2048" s="41">
        <f t="shared" si="2"/>
        <v>0.088607595</v>
      </c>
      <c r="M2048" s="74">
        <v>-1.857684562</v>
      </c>
    </row>
    <row r="2049">
      <c r="A2049" s="1" t="s">
        <v>189</v>
      </c>
      <c r="B2049" s="38">
        <v>607536.0</v>
      </c>
      <c r="C2049" s="72">
        <v>45772.0</v>
      </c>
      <c r="D2049" s="38">
        <v>85.0</v>
      </c>
      <c r="E2049" s="73">
        <f>IFERROR(__xludf.DUMMYFUNCTION("average(filter('Appearance Sheet'!F:F,'Appearance Sheet'!G:G=B2049,'Appearance Sheet'!A:A=C2049))"),4.333333333333333)</f>
        <v>4.333333333</v>
      </c>
      <c r="F2049" s="67">
        <v>5.122471543</v>
      </c>
      <c r="G2049" s="40">
        <v>1.782598773</v>
      </c>
      <c r="H2049" s="40">
        <f t="shared" si="1"/>
        <v>3.702320529</v>
      </c>
      <c r="I2049" s="41">
        <v>0.435294118</v>
      </c>
      <c r="J2049" s="41">
        <v>0.235294118</v>
      </c>
      <c r="K2049" s="41">
        <v>0.329411765</v>
      </c>
      <c r="L2049" s="41">
        <f t="shared" si="2"/>
        <v>0.105882353</v>
      </c>
      <c r="M2049" s="74">
        <v>-4.010171124</v>
      </c>
    </row>
    <row r="2050">
      <c r="A2050" s="1" t="s">
        <v>368</v>
      </c>
      <c r="B2050" s="38">
        <v>593958.0</v>
      </c>
      <c r="C2050" s="72">
        <v>45815.0</v>
      </c>
      <c r="D2050" s="38">
        <v>71.0</v>
      </c>
      <c r="E2050" s="73">
        <f>IFERROR(__xludf.DUMMYFUNCTION("average(filter('Appearance Sheet'!F:F,'Appearance Sheet'!G:G=B2050,'Appearance Sheet'!A:A=C2050))"),5.0)</f>
        <v>5</v>
      </c>
      <c r="F2050" s="67">
        <v>5.122229879</v>
      </c>
      <c r="G2050" s="40">
        <v>1.480719042</v>
      </c>
      <c r="H2050" s="40">
        <f t="shared" si="1"/>
        <v>2.665294276</v>
      </c>
      <c r="I2050" s="41">
        <v>0.492957746</v>
      </c>
      <c r="J2050" s="41">
        <v>0.14084507</v>
      </c>
      <c r="K2050" s="41">
        <v>0.366197183</v>
      </c>
      <c r="L2050" s="41">
        <f t="shared" si="2"/>
        <v>0.126760563</v>
      </c>
      <c r="M2050" s="74">
        <v>-0.985807019</v>
      </c>
    </row>
    <row r="2051">
      <c r="A2051" s="1" t="s">
        <v>88</v>
      </c>
      <c r="B2051" s="38">
        <v>694973.0</v>
      </c>
      <c r="C2051" s="72">
        <v>45743.0</v>
      </c>
      <c r="D2051" s="38">
        <v>89.0</v>
      </c>
      <c r="E2051" s="73">
        <f>IFERROR(__xludf.DUMMYFUNCTION("average(filter('Appearance Sheet'!F:F,'Appearance Sheet'!G:G=B2051,'Appearance Sheet'!A:A=C2051))"),5.333333333333333)</f>
        <v>5.333333333</v>
      </c>
      <c r="F2051" s="67">
        <v>5.122101719</v>
      </c>
      <c r="G2051" s="40">
        <v>1.815056958</v>
      </c>
      <c r="H2051" s="40">
        <f t="shared" si="1"/>
        <v>3.062908617</v>
      </c>
      <c r="I2051" s="41">
        <v>0.494382022</v>
      </c>
      <c r="J2051" s="41">
        <v>0.146067416</v>
      </c>
      <c r="K2051" s="41">
        <v>0.359550562</v>
      </c>
      <c r="L2051" s="41">
        <f t="shared" si="2"/>
        <v>0.13483146</v>
      </c>
      <c r="M2051" s="74">
        <v>3.11015623</v>
      </c>
    </row>
    <row r="2052">
      <c r="A2052" s="1" t="s">
        <v>396</v>
      </c>
      <c r="B2052" s="38">
        <v>663623.0</v>
      </c>
      <c r="C2052" s="72">
        <v>45835.0</v>
      </c>
      <c r="D2052" s="38">
        <v>87.0</v>
      </c>
      <c r="E2052" s="73">
        <f>IFERROR(__xludf.DUMMYFUNCTION("average(filter('Appearance Sheet'!F:F,'Appearance Sheet'!G:G=B2052,'Appearance Sheet'!A:A=C2052))"),4.333333333333333)</f>
        <v>4.333333333</v>
      </c>
      <c r="F2052" s="67">
        <v>5.122044238</v>
      </c>
      <c r="G2052" s="40">
        <v>1.825869502</v>
      </c>
      <c r="H2052" s="40">
        <f t="shared" si="1"/>
        <v>3.792190504</v>
      </c>
      <c r="I2052" s="41">
        <v>0.402298851</v>
      </c>
      <c r="J2052" s="41">
        <v>0.275862069</v>
      </c>
      <c r="K2052" s="41">
        <v>0.32183908</v>
      </c>
      <c r="L2052" s="41">
        <f t="shared" si="2"/>
        <v>0.080459771</v>
      </c>
      <c r="M2052" s="74">
        <v>-1.304154127</v>
      </c>
    </row>
    <row r="2053">
      <c r="A2053" s="1" t="s">
        <v>93</v>
      </c>
      <c r="B2053" s="38">
        <v>669194.0</v>
      </c>
      <c r="C2053" s="72">
        <v>45891.0</v>
      </c>
      <c r="D2053" s="38">
        <v>85.0</v>
      </c>
      <c r="E2053" s="73" t="str">
        <f>IFERROR(__xludf.DUMMYFUNCTION("average(filter('Appearance Sheet'!F:F,'Appearance Sheet'!G:G=B2053,'Appearance Sheet'!A:A=C2053))"),"#N/A")</f>
        <v>#N/A</v>
      </c>
      <c r="F2053" s="67">
        <v>5.121896615</v>
      </c>
      <c r="G2053" s="40">
        <v>1.796480368</v>
      </c>
      <c r="H2053" s="40" t="str">
        <f t="shared" si="1"/>
        <v>#N/A</v>
      </c>
      <c r="I2053" s="41">
        <v>0.482352941</v>
      </c>
      <c r="J2053" s="41">
        <v>0.176470588</v>
      </c>
      <c r="K2053" s="41">
        <v>0.341176471</v>
      </c>
      <c r="L2053" s="41">
        <f t="shared" si="2"/>
        <v>0.14117647</v>
      </c>
      <c r="M2053" s="74">
        <v>0.768765385</v>
      </c>
    </row>
    <row r="2054">
      <c r="A2054" s="1" t="s">
        <v>67</v>
      </c>
      <c r="B2054" s="38">
        <v>684007.0</v>
      </c>
      <c r="C2054" s="72">
        <v>45846.0</v>
      </c>
      <c r="D2054" s="38">
        <v>82.0</v>
      </c>
      <c r="E2054" s="73" t="str">
        <f>IFERROR(__xludf.DUMMYFUNCTION("average(filter('Appearance Sheet'!F:F,'Appearance Sheet'!G:G=B2054,'Appearance Sheet'!A:A=C2054))"),"#N/A")</f>
        <v>#N/A</v>
      </c>
      <c r="F2054" s="67">
        <v>5.121812026</v>
      </c>
      <c r="G2054" s="40">
        <v>1.72658913</v>
      </c>
      <c r="H2054" s="40" t="str">
        <f t="shared" si="1"/>
        <v>#N/A</v>
      </c>
      <c r="I2054" s="41">
        <v>0.487804878</v>
      </c>
      <c r="J2054" s="41">
        <v>0.219512195</v>
      </c>
      <c r="K2054" s="41">
        <v>0.292682927</v>
      </c>
      <c r="L2054" s="41">
        <f t="shared" si="2"/>
        <v>0.195121951</v>
      </c>
      <c r="M2054" s="74">
        <v>0.634587832</v>
      </c>
    </row>
    <row r="2055">
      <c r="A2055" s="1" t="s">
        <v>373</v>
      </c>
      <c r="B2055" s="38">
        <v>640455.0</v>
      </c>
      <c r="C2055" s="72">
        <v>45909.0</v>
      </c>
      <c r="D2055" s="38">
        <v>93.0</v>
      </c>
      <c r="E2055" s="73" t="str">
        <f>IFERROR(__xludf.DUMMYFUNCTION("average(filter('Appearance Sheet'!F:F,'Appearance Sheet'!G:G=B2055,'Appearance Sheet'!A:A=C2055))"),"#N/A")</f>
        <v>#N/A</v>
      </c>
      <c r="F2055" s="67">
        <v>5.121795674</v>
      </c>
      <c r="G2055" s="40">
        <v>1.884973595</v>
      </c>
      <c r="H2055" s="40" t="str">
        <f t="shared" si="1"/>
        <v>#N/A</v>
      </c>
      <c r="I2055" s="41">
        <v>0.462365591</v>
      </c>
      <c r="J2055" s="41">
        <v>0.215053763</v>
      </c>
      <c r="K2055" s="41">
        <v>0.322580645</v>
      </c>
      <c r="L2055" s="41">
        <f t="shared" si="2"/>
        <v>0.139784946</v>
      </c>
      <c r="M2055" s="74">
        <v>0.810767577</v>
      </c>
    </row>
    <row r="2056">
      <c r="A2056" s="1" t="s">
        <v>290</v>
      </c>
      <c r="B2056" s="38">
        <v>669461.0</v>
      </c>
      <c r="C2056" s="72">
        <v>45921.0</v>
      </c>
      <c r="D2056" s="38">
        <v>80.0</v>
      </c>
      <c r="E2056" s="73" t="str">
        <f>IFERROR(__xludf.DUMMYFUNCTION("average(filter('Appearance Sheet'!F:F,'Appearance Sheet'!G:G=B2056,'Appearance Sheet'!A:A=C2056))"),"#N/A")</f>
        <v>#N/A</v>
      </c>
      <c r="F2056" s="67">
        <v>5.121626905</v>
      </c>
      <c r="G2056" s="40">
        <v>1.669958007</v>
      </c>
      <c r="H2056" s="40" t="str">
        <f t="shared" si="1"/>
        <v>#N/A</v>
      </c>
      <c r="I2056" s="41">
        <v>0.45</v>
      </c>
      <c r="J2056" s="41">
        <v>0.2125</v>
      </c>
      <c r="K2056" s="41">
        <v>0.3375</v>
      </c>
      <c r="L2056" s="41">
        <f t="shared" si="2"/>
        <v>0.1125</v>
      </c>
      <c r="M2056" s="74">
        <v>-0.371953971</v>
      </c>
    </row>
    <row r="2057">
      <c r="A2057" s="1" t="s">
        <v>226</v>
      </c>
      <c r="B2057" s="38">
        <v>607259.0</v>
      </c>
      <c r="C2057" s="72">
        <v>45868.0</v>
      </c>
      <c r="D2057" s="38">
        <v>101.0</v>
      </c>
      <c r="E2057" s="73" t="str">
        <f>IFERROR(__xludf.DUMMYFUNCTION("average(filter('Appearance Sheet'!F:F,'Appearance Sheet'!G:G=B2057,'Appearance Sheet'!A:A=C2057))"),"#N/A")</f>
        <v>#N/A</v>
      </c>
      <c r="F2057" s="67">
        <v>5.121417418</v>
      </c>
      <c r="G2057" s="40">
        <v>2.064888803</v>
      </c>
      <c r="H2057" s="40" t="str">
        <f t="shared" si="1"/>
        <v>#N/A</v>
      </c>
      <c r="I2057" s="41">
        <v>0.445544554</v>
      </c>
      <c r="J2057" s="41">
        <v>0.257425743</v>
      </c>
      <c r="K2057" s="41">
        <v>0.297029703</v>
      </c>
      <c r="L2057" s="41">
        <f t="shared" si="2"/>
        <v>0.148514851</v>
      </c>
      <c r="M2057" s="74">
        <v>3.439333388</v>
      </c>
    </row>
    <row r="2058">
      <c r="A2058" s="1" t="s">
        <v>272</v>
      </c>
      <c r="B2058" s="38">
        <v>622491.0</v>
      </c>
      <c r="C2058" s="72">
        <v>45907.0</v>
      </c>
      <c r="D2058" s="38">
        <v>78.0</v>
      </c>
      <c r="E2058" s="73" t="str">
        <f>IFERROR(__xludf.DUMMYFUNCTION("average(filter('Appearance Sheet'!F:F,'Appearance Sheet'!G:G=B2058,'Appearance Sheet'!A:A=C2058))"),"#N/A")</f>
        <v>#N/A</v>
      </c>
      <c r="F2058" s="67">
        <v>5.121362093</v>
      </c>
      <c r="G2058" s="40">
        <v>1.625629092</v>
      </c>
      <c r="H2058" s="40" t="str">
        <f t="shared" si="1"/>
        <v>#N/A</v>
      </c>
      <c r="I2058" s="41">
        <v>0.435897436</v>
      </c>
      <c r="J2058" s="41">
        <v>0.205128205</v>
      </c>
      <c r="K2058" s="41">
        <v>0.358974359</v>
      </c>
      <c r="L2058" s="41">
        <f t="shared" si="2"/>
        <v>0.076923077</v>
      </c>
      <c r="M2058" s="74">
        <v>0.829191835</v>
      </c>
    </row>
    <row r="2059">
      <c r="A2059" s="1" t="s">
        <v>85</v>
      </c>
      <c r="B2059" s="38">
        <v>808967.0</v>
      </c>
      <c r="C2059" s="72">
        <v>45751.0</v>
      </c>
      <c r="D2059" s="38">
        <v>95.0</v>
      </c>
      <c r="E2059" s="73">
        <f>IFERROR(__xludf.DUMMYFUNCTION("average(filter('Appearance Sheet'!F:F,'Appearance Sheet'!G:G=B2059,'Appearance Sheet'!A:A=C2059))"),6.0)</f>
        <v>6</v>
      </c>
      <c r="F2059" s="67">
        <v>5.121087789</v>
      </c>
      <c r="G2059" s="40">
        <v>1.930234788</v>
      </c>
      <c r="H2059" s="40">
        <f t="shared" si="1"/>
        <v>2.895352182</v>
      </c>
      <c r="I2059" s="41">
        <v>0.484210526</v>
      </c>
      <c r="J2059" s="41">
        <v>0.147368421</v>
      </c>
      <c r="K2059" s="41">
        <v>0.368421053</v>
      </c>
      <c r="L2059" s="41">
        <f t="shared" si="2"/>
        <v>0.115789473</v>
      </c>
      <c r="M2059" s="74">
        <v>1.981843193</v>
      </c>
    </row>
    <row r="2060">
      <c r="A2060" s="1" t="s">
        <v>425</v>
      </c>
      <c r="B2060" s="38">
        <v>621244.0</v>
      </c>
      <c r="C2060" s="72">
        <v>45760.0</v>
      </c>
      <c r="D2060" s="38">
        <v>83.0</v>
      </c>
      <c r="E2060" s="73">
        <f>IFERROR(__xludf.DUMMYFUNCTION("average(filter('Appearance Sheet'!F:F,'Appearance Sheet'!G:G=B2060,'Appearance Sheet'!A:A=C2060))"),5.0)</f>
        <v>5</v>
      </c>
      <c r="F2060" s="67">
        <v>5.120746824</v>
      </c>
      <c r="G2060" s="40">
        <v>1.687503491</v>
      </c>
      <c r="H2060" s="40">
        <f t="shared" si="1"/>
        <v>3.037506284</v>
      </c>
      <c r="I2060" s="41">
        <v>0.530120482</v>
      </c>
      <c r="J2060" s="41">
        <v>0.120481928</v>
      </c>
      <c r="K2060" s="41">
        <v>0.34939759</v>
      </c>
      <c r="L2060" s="41">
        <f t="shared" si="2"/>
        <v>0.180722892</v>
      </c>
      <c r="M2060" s="74">
        <v>-3.07643976</v>
      </c>
    </row>
    <row r="2061">
      <c r="A2061" s="1" t="s">
        <v>90</v>
      </c>
      <c r="B2061" s="38">
        <v>693433.0</v>
      </c>
      <c r="C2061" s="72">
        <v>45848.0</v>
      </c>
      <c r="D2061" s="38">
        <v>102.0</v>
      </c>
      <c r="E2061" s="73" t="str">
        <f>IFERROR(__xludf.DUMMYFUNCTION("average(filter('Appearance Sheet'!F:F,'Appearance Sheet'!G:G=B2061,'Appearance Sheet'!A:A=C2061))"),"#N/A")</f>
        <v>#N/A</v>
      </c>
      <c r="F2061" s="67">
        <v>5.120518767</v>
      </c>
      <c r="G2061" s="40">
        <v>2.123931382</v>
      </c>
      <c r="H2061" s="40" t="str">
        <f t="shared" si="1"/>
        <v>#N/A</v>
      </c>
      <c r="I2061" s="41">
        <v>0.470588235</v>
      </c>
      <c r="J2061" s="41">
        <v>0.235294118</v>
      </c>
      <c r="K2061" s="41">
        <v>0.294117647</v>
      </c>
      <c r="L2061" s="41">
        <f t="shared" si="2"/>
        <v>0.176470588</v>
      </c>
      <c r="M2061" s="74">
        <v>4.826742305</v>
      </c>
    </row>
    <row r="2062">
      <c r="A2062" s="1" t="s">
        <v>245</v>
      </c>
      <c r="B2062" s="38">
        <v>571578.0</v>
      </c>
      <c r="C2062" s="72">
        <v>45838.0</v>
      </c>
      <c r="D2062" s="38">
        <v>109.0</v>
      </c>
      <c r="E2062" s="73">
        <f>IFERROR(__xludf.DUMMYFUNCTION("average(filter('Appearance Sheet'!F:F,'Appearance Sheet'!G:G=B2062,'Appearance Sheet'!A:A=C2062))"),6.0)</f>
        <v>6</v>
      </c>
      <c r="F2062" s="67">
        <v>5.120460887</v>
      </c>
      <c r="G2062" s="40">
        <v>2.251395405</v>
      </c>
      <c r="H2062" s="40">
        <f t="shared" si="1"/>
        <v>3.377093108</v>
      </c>
      <c r="I2062" s="41">
        <v>0.458715596</v>
      </c>
      <c r="J2062" s="41">
        <v>0.174311927</v>
      </c>
      <c r="K2062" s="41">
        <v>0.366972477</v>
      </c>
      <c r="L2062" s="41">
        <f t="shared" si="2"/>
        <v>0.091743119</v>
      </c>
      <c r="M2062" s="74">
        <v>-1.339749671</v>
      </c>
    </row>
    <row r="2063">
      <c r="A2063" s="1" t="s">
        <v>228</v>
      </c>
      <c r="B2063" s="38">
        <v>687473.0</v>
      </c>
      <c r="C2063" s="72">
        <v>45806.0</v>
      </c>
      <c r="D2063" s="38">
        <v>82.0</v>
      </c>
      <c r="E2063" s="73">
        <f>IFERROR(__xludf.DUMMYFUNCTION("average(filter('Appearance Sheet'!F:F,'Appearance Sheet'!G:G=B2063,'Appearance Sheet'!A:A=C2063))"),3.6666666666666665)</f>
        <v>3.666666667</v>
      </c>
      <c r="F2063" s="67">
        <v>5.120372241</v>
      </c>
      <c r="G2063" s="40">
        <v>1.686103747</v>
      </c>
      <c r="H2063" s="40">
        <f t="shared" si="1"/>
        <v>4.138618288</v>
      </c>
      <c r="I2063" s="41">
        <v>0.512195122</v>
      </c>
      <c r="J2063" s="41">
        <v>0.170731707</v>
      </c>
      <c r="K2063" s="41">
        <v>0.317073171</v>
      </c>
      <c r="L2063" s="41">
        <f t="shared" si="2"/>
        <v>0.195121951</v>
      </c>
      <c r="M2063" s="74">
        <v>0.777216763</v>
      </c>
    </row>
    <row r="2064">
      <c r="A2064" s="1" t="s">
        <v>294</v>
      </c>
      <c r="B2064" s="38">
        <v>665152.0</v>
      </c>
      <c r="C2064" s="72">
        <v>45808.0</v>
      </c>
      <c r="D2064" s="38">
        <v>100.0</v>
      </c>
      <c r="E2064" s="73">
        <f>IFERROR(__xludf.DUMMYFUNCTION("average(filter('Appearance Sheet'!F:F,'Appearance Sheet'!G:G=B2064,'Appearance Sheet'!A:A=C2064))"),6.0)</f>
        <v>6</v>
      </c>
      <c r="F2064" s="67">
        <v>5.120365397</v>
      </c>
      <c r="G2064" s="40">
        <v>2.068123704</v>
      </c>
      <c r="H2064" s="40">
        <f t="shared" si="1"/>
        <v>3.102185556</v>
      </c>
      <c r="I2064" s="41">
        <v>0.5</v>
      </c>
      <c r="J2064" s="41">
        <v>0.15</v>
      </c>
      <c r="K2064" s="41">
        <v>0.35</v>
      </c>
      <c r="L2064" s="41">
        <f t="shared" si="2"/>
        <v>0.15</v>
      </c>
      <c r="M2064" s="74">
        <v>-0.051317013</v>
      </c>
    </row>
    <row r="2065">
      <c r="A2065" s="1" t="s">
        <v>267</v>
      </c>
      <c r="B2065" s="38">
        <v>669387.0</v>
      </c>
      <c r="C2065" s="72">
        <v>45760.0</v>
      </c>
      <c r="D2065" s="38">
        <v>71.0</v>
      </c>
      <c r="E2065" s="73">
        <f>IFERROR(__xludf.DUMMYFUNCTION("average(filter('Appearance Sheet'!F:F,'Appearance Sheet'!G:G=B2065,'Appearance Sheet'!A:A=C2065))"),4.333333333333333)</f>
        <v>4.333333333</v>
      </c>
      <c r="F2065" s="67">
        <v>5.120323041</v>
      </c>
      <c r="G2065" s="40">
        <v>1.483350786</v>
      </c>
      <c r="H2065" s="40">
        <f t="shared" si="1"/>
        <v>3.080805479</v>
      </c>
      <c r="I2065" s="41">
        <v>0.478873239</v>
      </c>
      <c r="J2065" s="41">
        <v>0.154929577</v>
      </c>
      <c r="K2065" s="41">
        <v>0.366197183</v>
      </c>
      <c r="L2065" s="41">
        <f t="shared" si="2"/>
        <v>0.112676056</v>
      </c>
      <c r="M2065" s="74">
        <v>-0.469203188</v>
      </c>
    </row>
    <row r="2066">
      <c r="A2066" s="1" t="s">
        <v>195</v>
      </c>
      <c r="B2066" s="38">
        <v>668678.0</v>
      </c>
      <c r="C2066" s="72">
        <v>45754.0</v>
      </c>
      <c r="D2066" s="38">
        <v>94.0</v>
      </c>
      <c r="E2066" s="73">
        <f>IFERROR(__xludf.DUMMYFUNCTION("average(filter('Appearance Sheet'!F:F,'Appearance Sheet'!G:G=B2066,'Appearance Sheet'!A:A=C2066))"),4.666666666666667)</f>
        <v>4.666666667</v>
      </c>
      <c r="F2066" s="67">
        <v>5.120312819</v>
      </c>
      <c r="G2066" s="40">
        <v>1.934039204</v>
      </c>
      <c r="H2066" s="40">
        <f t="shared" si="1"/>
        <v>3.729932751</v>
      </c>
      <c r="I2066" s="41">
        <v>0.468085106</v>
      </c>
      <c r="J2066" s="41">
        <v>0.14893617</v>
      </c>
      <c r="K2066" s="41">
        <v>0.382978723</v>
      </c>
      <c r="L2066" s="41">
        <f t="shared" si="2"/>
        <v>0.085106383</v>
      </c>
      <c r="M2066" s="74">
        <v>-2.999796907</v>
      </c>
    </row>
    <row r="2067">
      <c r="A2067" s="1" t="s">
        <v>356</v>
      </c>
      <c r="B2067" s="38">
        <v>680732.0</v>
      </c>
      <c r="C2067" s="72">
        <v>45850.0</v>
      </c>
      <c r="D2067" s="38">
        <v>94.0</v>
      </c>
      <c r="E2067" s="73" t="str">
        <f>IFERROR(__xludf.DUMMYFUNCTION("average(filter('Appearance Sheet'!F:F,'Appearance Sheet'!G:G=B2067,'Appearance Sheet'!A:A=C2067))"),"#N/A")</f>
        <v>#N/A</v>
      </c>
      <c r="F2067" s="67">
        <v>5.12023606</v>
      </c>
      <c r="G2067" s="40">
        <v>1.916463222</v>
      </c>
      <c r="H2067" s="40" t="str">
        <f t="shared" si="1"/>
        <v>#N/A</v>
      </c>
      <c r="I2067" s="41">
        <v>0.489361702</v>
      </c>
      <c r="J2067" s="41">
        <v>0.180851064</v>
      </c>
      <c r="K2067" s="41">
        <v>0.329787234</v>
      </c>
      <c r="L2067" s="41">
        <f t="shared" si="2"/>
        <v>0.159574468</v>
      </c>
      <c r="M2067" s="74">
        <v>2.68093075</v>
      </c>
    </row>
    <row r="2068">
      <c r="A2068" s="1" t="s">
        <v>495</v>
      </c>
      <c r="B2068" s="38">
        <v>801403.0</v>
      </c>
      <c r="C2068" s="72">
        <v>45844.0</v>
      </c>
      <c r="D2068" s="38">
        <v>91.0</v>
      </c>
      <c r="E2068" s="73" t="str">
        <f>IFERROR(__xludf.DUMMYFUNCTION("average(filter('Appearance Sheet'!F:F,'Appearance Sheet'!G:G=B2068,'Appearance Sheet'!A:A=C2068))"),"#N/A")</f>
        <v>#N/A</v>
      </c>
      <c r="F2068" s="67">
        <v>5.120157142</v>
      </c>
      <c r="G2068" s="40">
        <v>1.888774276</v>
      </c>
      <c r="H2068" s="40" t="str">
        <f t="shared" si="1"/>
        <v>#N/A</v>
      </c>
      <c r="I2068" s="41">
        <v>0.43956044</v>
      </c>
      <c r="J2068" s="41">
        <v>0.252747253</v>
      </c>
      <c r="K2068" s="41">
        <v>0.307692308</v>
      </c>
      <c r="L2068" s="41">
        <f t="shared" si="2"/>
        <v>0.131868132</v>
      </c>
      <c r="M2068" s="74">
        <v>1.608997886</v>
      </c>
    </row>
    <row r="2069">
      <c r="A2069" s="1" t="s">
        <v>275</v>
      </c>
      <c r="B2069" s="38">
        <v>693821.0</v>
      </c>
      <c r="C2069" s="72">
        <v>45903.0</v>
      </c>
      <c r="D2069" s="38">
        <v>92.0</v>
      </c>
      <c r="E2069" s="73" t="str">
        <f>IFERROR(__xludf.DUMMYFUNCTION("average(filter('Appearance Sheet'!F:F,'Appearance Sheet'!G:G=B2069,'Appearance Sheet'!A:A=C2069))"),"#N/A")</f>
        <v>#N/A</v>
      </c>
      <c r="F2069" s="67">
        <v>5.120115242</v>
      </c>
      <c r="G2069" s="40">
        <v>1.920627688</v>
      </c>
      <c r="H2069" s="40" t="str">
        <f t="shared" si="1"/>
        <v>#N/A</v>
      </c>
      <c r="I2069" s="41">
        <v>0.510869565</v>
      </c>
      <c r="J2069" s="41">
        <v>0.173913043</v>
      </c>
      <c r="K2069" s="41">
        <v>0.315217391</v>
      </c>
      <c r="L2069" s="41">
        <f t="shared" si="2"/>
        <v>0.195652174</v>
      </c>
      <c r="M2069" s="74">
        <v>2.241395869</v>
      </c>
    </row>
    <row r="2070">
      <c r="A2070" s="1" t="s">
        <v>229</v>
      </c>
      <c r="B2070" s="38">
        <v>645261.0</v>
      </c>
      <c r="C2070" s="72">
        <v>45770.0</v>
      </c>
      <c r="D2070" s="38">
        <v>101.0</v>
      </c>
      <c r="E2070" s="73">
        <f>IFERROR(__xludf.DUMMYFUNCTION("average(filter('Appearance Sheet'!F:F,'Appearance Sheet'!G:G=B2070,'Appearance Sheet'!A:A=C2070))"),6.0)</f>
        <v>6</v>
      </c>
      <c r="F2070" s="67">
        <v>5.120023351</v>
      </c>
      <c r="G2070" s="40">
        <v>2.062219507</v>
      </c>
      <c r="H2070" s="40">
        <f t="shared" si="1"/>
        <v>3.093329261</v>
      </c>
      <c r="I2070" s="41">
        <v>0.554455446</v>
      </c>
      <c r="J2070" s="41">
        <v>0.138613861</v>
      </c>
      <c r="K2070" s="41">
        <v>0.306930693</v>
      </c>
      <c r="L2070" s="41">
        <f t="shared" si="2"/>
        <v>0.247524753</v>
      </c>
      <c r="M2070" s="74">
        <v>1.864327228</v>
      </c>
    </row>
    <row r="2071">
      <c r="A2071" s="1" t="s">
        <v>99</v>
      </c>
      <c r="B2071" s="38">
        <v>592791.0</v>
      </c>
      <c r="C2071" s="72">
        <v>45797.0</v>
      </c>
      <c r="D2071" s="38">
        <v>84.0</v>
      </c>
      <c r="E2071" s="73">
        <f>IFERROR(__xludf.DUMMYFUNCTION("average(filter('Appearance Sheet'!F:F,'Appearance Sheet'!G:G=B2071,'Appearance Sheet'!A:A=C2071))"),7.0)</f>
        <v>7</v>
      </c>
      <c r="F2071" s="67">
        <v>5.11985759</v>
      </c>
      <c r="G2071" s="40">
        <v>1.746312326</v>
      </c>
      <c r="H2071" s="40">
        <f t="shared" si="1"/>
        <v>2.245258705</v>
      </c>
      <c r="I2071" s="41">
        <v>0.523809524</v>
      </c>
      <c r="J2071" s="41">
        <v>0.154761905</v>
      </c>
      <c r="K2071" s="41">
        <v>0.321428571</v>
      </c>
      <c r="L2071" s="41">
        <f t="shared" si="2"/>
        <v>0.202380953</v>
      </c>
      <c r="M2071" s="74">
        <v>0.69077033</v>
      </c>
    </row>
    <row r="2072">
      <c r="A2072" s="1" t="s">
        <v>294</v>
      </c>
      <c r="B2072" s="38">
        <v>665152.0</v>
      </c>
      <c r="C2072" s="72">
        <v>45774.0</v>
      </c>
      <c r="D2072" s="38">
        <v>97.0</v>
      </c>
      <c r="E2072" s="73">
        <f>IFERROR(__xludf.DUMMYFUNCTION("average(filter('Appearance Sheet'!F:F,'Appearance Sheet'!G:G=B2072,'Appearance Sheet'!A:A=C2072))"),5.666666666666667)</f>
        <v>5.666666667</v>
      </c>
      <c r="F2072" s="67">
        <v>5.119591162</v>
      </c>
      <c r="G2072" s="40">
        <v>1.997345747</v>
      </c>
      <c r="H2072" s="40">
        <f t="shared" si="1"/>
        <v>3.17225501</v>
      </c>
      <c r="I2072" s="41">
        <v>0.525773196</v>
      </c>
      <c r="J2072" s="41">
        <v>0.134020619</v>
      </c>
      <c r="K2072" s="41">
        <v>0.340206186</v>
      </c>
      <c r="L2072" s="41">
        <f t="shared" si="2"/>
        <v>0.18556701</v>
      </c>
      <c r="M2072" s="74">
        <v>0.277938901</v>
      </c>
    </row>
    <row r="2073">
      <c r="A2073" s="1" t="s">
        <v>150</v>
      </c>
      <c r="B2073" s="38">
        <v>657746.0</v>
      </c>
      <c r="C2073" s="72">
        <v>45798.0</v>
      </c>
      <c r="D2073" s="38">
        <v>87.0</v>
      </c>
      <c r="E2073" s="73">
        <f>IFERROR(__xludf.DUMMYFUNCTION("average(filter('Appearance Sheet'!F:F,'Appearance Sheet'!G:G=B2073,'Appearance Sheet'!A:A=C2073))"),5.0)</f>
        <v>5</v>
      </c>
      <c r="F2073" s="67">
        <v>5.119582812</v>
      </c>
      <c r="G2073" s="40">
        <v>1.8055718</v>
      </c>
      <c r="H2073" s="40">
        <f t="shared" si="1"/>
        <v>3.25002924</v>
      </c>
      <c r="I2073" s="41">
        <v>0.517241379</v>
      </c>
      <c r="J2073" s="41">
        <v>0.114942529</v>
      </c>
      <c r="K2073" s="41">
        <v>0.367816092</v>
      </c>
      <c r="L2073" s="41">
        <f t="shared" si="2"/>
        <v>0.149425287</v>
      </c>
      <c r="M2073" s="74">
        <v>1.651545567</v>
      </c>
    </row>
    <row r="2074">
      <c r="A2074" s="1" t="s">
        <v>147</v>
      </c>
      <c r="B2074" s="38">
        <v>608379.0</v>
      </c>
      <c r="C2074" s="72">
        <v>45784.0</v>
      </c>
      <c r="D2074" s="38">
        <v>82.0</v>
      </c>
      <c r="E2074" s="73">
        <f>IFERROR(__xludf.DUMMYFUNCTION("average(filter('Appearance Sheet'!F:F,'Appearance Sheet'!G:G=B2074,'Appearance Sheet'!A:A=C2074))"),7.0)</f>
        <v>7</v>
      </c>
      <c r="F2074" s="67">
        <v>5.119359302</v>
      </c>
      <c r="G2074" s="40">
        <v>1.730597099</v>
      </c>
      <c r="H2074" s="40">
        <f t="shared" si="1"/>
        <v>2.225053413</v>
      </c>
      <c r="I2074" s="41">
        <v>0.426829268</v>
      </c>
      <c r="J2074" s="41">
        <v>0.280487805</v>
      </c>
      <c r="K2074" s="41">
        <v>0.292682927</v>
      </c>
      <c r="L2074" s="41">
        <f t="shared" si="2"/>
        <v>0.134146341</v>
      </c>
      <c r="M2074" s="74">
        <v>3.109545488</v>
      </c>
    </row>
    <row r="2075">
      <c r="A2075" s="1" t="s">
        <v>109</v>
      </c>
      <c r="B2075" s="38">
        <v>601713.0</v>
      </c>
      <c r="C2075" s="72">
        <v>45882.0</v>
      </c>
      <c r="D2075" s="38">
        <v>99.0</v>
      </c>
      <c r="E2075" s="73" t="str">
        <f>IFERROR(__xludf.DUMMYFUNCTION("average(filter('Appearance Sheet'!F:F,'Appearance Sheet'!G:G=B2075,'Appearance Sheet'!A:A=C2075))"),"#N/A")</f>
        <v>#N/A</v>
      </c>
      <c r="F2075" s="67">
        <v>5.118953311</v>
      </c>
      <c r="G2075" s="40">
        <v>2.060386585</v>
      </c>
      <c r="H2075" s="40" t="str">
        <f t="shared" si="1"/>
        <v>#N/A</v>
      </c>
      <c r="I2075" s="41">
        <v>0.464646465</v>
      </c>
      <c r="J2075" s="41">
        <v>0.242424242</v>
      </c>
      <c r="K2075" s="41">
        <v>0.292929293</v>
      </c>
      <c r="L2075" s="41">
        <f t="shared" si="2"/>
        <v>0.171717172</v>
      </c>
      <c r="M2075" s="74">
        <v>0.719380584</v>
      </c>
    </row>
    <row r="2076">
      <c r="A2076" s="1" t="s">
        <v>368</v>
      </c>
      <c r="B2076" s="38">
        <v>593958.0</v>
      </c>
      <c r="C2076" s="72">
        <v>45770.0</v>
      </c>
      <c r="D2076" s="38">
        <v>87.0</v>
      </c>
      <c r="E2076" s="73">
        <f>IFERROR(__xludf.DUMMYFUNCTION("average(filter('Appearance Sheet'!F:F,'Appearance Sheet'!G:G=B2076,'Appearance Sheet'!A:A=C2076))"),6.666666666666667)</f>
        <v>6.666666667</v>
      </c>
      <c r="F2076" s="67">
        <v>5.118763292</v>
      </c>
      <c r="G2076" s="40">
        <v>1.848544803</v>
      </c>
      <c r="H2076" s="40">
        <f t="shared" si="1"/>
        <v>2.495535484</v>
      </c>
      <c r="I2076" s="41">
        <v>0.436781609</v>
      </c>
      <c r="J2076" s="41">
        <v>0.206896552</v>
      </c>
      <c r="K2076" s="41">
        <v>0.356321839</v>
      </c>
      <c r="L2076" s="41">
        <f t="shared" si="2"/>
        <v>0.08045977</v>
      </c>
      <c r="M2076" s="74">
        <v>-1.152726092</v>
      </c>
    </row>
    <row r="2077">
      <c r="A2077" s="1" t="s">
        <v>105</v>
      </c>
      <c r="B2077" s="38">
        <v>624133.0</v>
      </c>
      <c r="C2077" s="72">
        <v>45864.0</v>
      </c>
      <c r="D2077" s="38">
        <v>107.0</v>
      </c>
      <c r="E2077" s="73" t="str">
        <f>IFERROR(__xludf.DUMMYFUNCTION("average(filter('Appearance Sheet'!F:F,'Appearance Sheet'!G:G=B2077,'Appearance Sheet'!A:A=C2077))"),"#N/A")</f>
        <v>#N/A</v>
      </c>
      <c r="F2077" s="67">
        <v>5.118575433</v>
      </c>
      <c r="G2077" s="40">
        <v>2.208401955</v>
      </c>
      <c r="H2077" s="40" t="str">
        <f t="shared" si="1"/>
        <v>#N/A</v>
      </c>
      <c r="I2077" s="41">
        <v>0.485981308</v>
      </c>
      <c r="J2077" s="41">
        <v>0.158878505</v>
      </c>
      <c r="K2077" s="41">
        <v>0.355140187</v>
      </c>
      <c r="L2077" s="41">
        <f t="shared" si="2"/>
        <v>0.130841121</v>
      </c>
      <c r="M2077" s="74">
        <v>-0.59269123</v>
      </c>
    </row>
    <row r="2078">
      <c r="A2078" s="1" t="s">
        <v>84</v>
      </c>
      <c r="B2078" s="38">
        <v>669373.0</v>
      </c>
      <c r="C2078" s="72">
        <v>45888.0</v>
      </c>
      <c r="D2078" s="38">
        <v>92.0</v>
      </c>
      <c r="E2078" s="73" t="str">
        <f>IFERROR(__xludf.DUMMYFUNCTION("average(filter('Appearance Sheet'!F:F,'Appearance Sheet'!G:G=B2078,'Appearance Sheet'!A:A=C2078))"),"#N/A")</f>
        <v>#N/A</v>
      </c>
      <c r="F2078" s="67">
        <v>5.118409677</v>
      </c>
      <c r="G2078" s="40">
        <v>1.901080963</v>
      </c>
      <c r="H2078" s="40" t="str">
        <f t="shared" si="1"/>
        <v>#N/A</v>
      </c>
      <c r="I2078" s="41">
        <v>0.5</v>
      </c>
      <c r="J2078" s="41">
        <v>0.173913043</v>
      </c>
      <c r="K2078" s="41">
        <v>0.326086957</v>
      </c>
      <c r="L2078" s="41">
        <f t="shared" si="2"/>
        <v>0.173913043</v>
      </c>
      <c r="M2078" s="74">
        <v>2.267655415</v>
      </c>
    </row>
    <row r="2079">
      <c r="A2079" s="1" t="s">
        <v>176</v>
      </c>
      <c r="B2079" s="38">
        <v>686218.0</v>
      </c>
      <c r="C2079" s="72">
        <v>45915.0</v>
      </c>
      <c r="D2079" s="38">
        <v>93.0</v>
      </c>
      <c r="E2079" s="73" t="str">
        <f>IFERROR(__xludf.DUMMYFUNCTION("average(filter('Appearance Sheet'!F:F,'Appearance Sheet'!G:G=B2079,'Appearance Sheet'!A:A=C2079))"),"#N/A")</f>
        <v>#N/A</v>
      </c>
      <c r="F2079" s="67">
        <v>5.118246404</v>
      </c>
      <c r="G2079" s="40">
        <v>1.91207905</v>
      </c>
      <c r="H2079" s="40" t="str">
        <f t="shared" si="1"/>
        <v>#N/A</v>
      </c>
      <c r="I2079" s="41">
        <v>0.516129032</v>
      </c>
      <c r="J2079" s="41">
        <v>0.150537634</v>
      </c>
      <c r="K2079" s="41">
        <v>0.333333333</v>
      </c>
      <c r="L2079" s="41">
        <f t="shared" si="2"/>
        <v>0.182795699</v>
      </c>
      <c r="M2079" s="74">
        <v>3.045316022</v>
      </c>
    </row>
    <row r="2080">
      <c r="A2080" s="1" t="s">
        <v>374</v>
      </c>
      <c r="B2080" s="38">
        <v>683004.0</v>
      </c>
      <c r="C2080" s="72">
        <v>45825.0</v>
      </c>
      <c r="D2080" s="38">
        <v>92.0</v>
      </c>
      <c r="E2080" s="73">
        <f>IFERROR(__xludf.DUMMYFUNCTION("average(filter('Appearance Sheet'!F:F,'Appearance Sheet'!G:G=B2080,'Appearance Sheet'!A:A=C2080))"),5.666666666666667)</f>
        <v>5.666666667</v>
      </c>
      <c r="F2080" s="67">
        <v>5.118103676</v>
      </c>
      <c r="G2080" s="40">
        <v>1.937105818</v>
      </c>
      <c r="H2080" s="40">
        <f t="shared" si="1"/>
        <v>3.076579829</v>
      </c>
      <c r="I2080" s="41">
        <v>0.510869565</v>
      </c>
      <c r="J2080" s="41">
        <v>0.141304348</v>
      </c>
      <c r="K2080" s="41">
        <v>0.347826087</v>
      </c>
      <c r="L2080" s="41">
        <f t="shared" si="2"/>
        <v>0.163043478</v>
      </c>
      <c r="M2080" s="74">
        <v>-3.579100274</v>
      </c>
    </row>
    <row r="2081">
      <c r="A2081" s="1" t="s">
        <v>573</v>
      </c>
      <c r="B2081" s="38">
        <v>686930.0</v>
      </c>
      <c r="C2081" s="72">
        <v>45910.0</v>
      </c>
      <c r="D2081" s="38">
        <v>76.0</v>
      </c>
      <c r="E2081" s="73" t="str">
        <f>IFERROR(__xludf.DUMMYFUNCTION("average(filter('Appearance Sheet'!F:F,'Appearance Sheet'!G:G=B2081,'Appearance Sheet'!A:A=C2081))"),"#N/A")</f>
        <v>#N/A</v>
      </c>
      <c r="F2081" s="67">
        <v>5.11806214</v>
      </c>
      <c r="G2081" s="40">
        <v>1.588176049</v>
      </c>
      <c r="H2081" s="40" t="str">
        <f t="shared" si="1"/>
        <v>#N/A</v>
      </c>
      <c r="I2081" s="41">
        <v>0.552631579</v>
      </c>
      <c r="J2081" s="41">
        <v>0.118421053</v>
      </c>
      <c r="K2081" s="41">
        <v>0.328947368</v>
      </c>
      <c r="L2081" s="41">
        <f t="shared" si="2"/>
        <v>0.223684211</v>
      </c>
      <c r="M2081" s="74">
        <v>-3.033623545</v>
      </c>
    </row>
    <row r="2082">
      <c r="A2082" s="1" t="s">
        <v>159</v>
      </c>
      <c r="B2082" s="38">
        <v>605483.0</v>
      </c>
      <c r="C2082" s="72">
        <v>45904.0</v>
      </c>
      <c r="D2082" s="38">
        <v>85.0</v>
      </c>
      <c r="E2082" s="73" t="str">
        <f>IFERROR(__xludf.DUMMYFUNCTION("average(filter('Appearance Sheet'!F:F,'Appearance Sheet'!G:G=B2082,'Appearance Sheet'!A:A=C2082))"),"#N/A")</f>
        <v>#N/A</v>
      </c>
      <c r="F2082" s="67">
        <v>5.117611036</v>
      </c>
      <c r="G2082" s="40">
        <v>1.774662511</v>
      </c>
      <c r="H2082" s="40" t="str">
        <f t="shared" si="1"/>
        <v>#N/A</v>
      </c>
      <c r="I2082" s="41">
        <v>0.541176471</v>
      </c>
      <c r="J2082" s="41">
        <v>0.2</v>
      </c>
      <c r="K2082" s="41">
        <v>0.258823529</v>
      </c>
      <c r="L2082" s="41">
        <f t="shared" si="2"/>
        <v>0.282352942</v>
      </c>
      <c r="M2082" s="74">
        <v>-3.079771712</v>
      </c>
    </row>
    <row r="2083">
      <c r="A2083" s="1" t="s">
        <v>166</v>
      </c>
      <c r="B2083" s="38">
        <v>608331.0</v>
      </c>
      <c r="C2083" s="72">
        <v>45823.0</v>
      </c>
      <c r="D2083" s="38">
        <v>105.0</v>
      </c>
      <c r="E2083" s="73">
        <f>IFERROR(__xludf.DUMMYFUNCTION("average(filter('Appearance Sheet'!F:F,'Appearance Sheet'!G:G=B2083,'Appearance Sheet'!A:A=C2083))"),7.0)</f>
        <v>7</v>
      </c>
      <c r="F2083" s="67">
        <v>5.117604732</v>
      </c>
      <c r="G2083" s="40">
        <v>2.158007106</v>
      </c>
      <c r="H2083" s="40">
        <f t="shared" si="1"/>
        <v>2.774580565</v>
      </c>
      <c r="I2083" s="41">
        <v>0.476190476</v>
      </c>
      <c r="J2083" s="41">
        <v>0.2</v>
      </c>
      <c r="K2083" s="41">
        <v>0.323809524</v>
      </c>
      <c r="L2083" s="41">
        <f t="shared" si="2"/>
        <v>0.152380952</v>
      </c>
      <c r="M2083" s="74">
        <v>0.763698876</v>
      </c>
    </row>
    <row r="2084">
      <c r="A2084" s="1" t="s">
        <v>256</v>
      </c>
      <c r="B2084" s="38">
        <v>571760.0</v>
      </c>
      <c r="C2084" s="72">
        <v>45832.0</v>
      </c>
      <c r="D2084" s="38">
        <v>83.0</v>
      </c>
      <c r="E2084" s="73">
        <f>IFERROR(__xludf.DUMMYFUNCTION("average(filter('Appearance Sheet'!F:F,'Appearance Sheet'!G:G=B2084,'Appearance Sheet'!A:A=C2084))"),4.0)</f>
        <v>4</v>
      </c>
      <c r="F2084" s="67">
        <v>5.117397879</v>
      </c>
      <c r="G2084" s="40">
        <v>1.722738858</v>
      </c>
      <c r="H2084" s="40">
        <f t="shared" si="1"/>
        <v>3.876162431</v>
      </c>
      <c r="I2084" s="41">
        <v>0.554216867</v>
      </c>
      <c r="J2084" s="41">
        <v>0.072289157</v>
      </c>
      <c r="K2084" s="41">
        <v>0.373493976</v>
      </c>
      <c r="L2084" s="41">
        <f t="shared" si="2"/>
        <v>0.180722891</v>
      </c>
      <c r="M2084" s="74">
        <v>-3.059548702</v>
      </c>
    </row>
    <row r="2085">
      <c r="A2085" s="1" t="s">
        <v>281</v>
      </c>
      <c r="B2085" s="38">
        <v>622663.0</v>
      </c>
      <c r="C2085" s="72">
        <v>45826.0</v>
      </c>
      <c r="D2085" s="38">
        <v>93.0</v>
      </c>
      <c r="E2085" s="73">
        <f>IFERROR(__xludf.DUMMYFUNCTION("average(filter('Appearance Sheet'!F:F,'Appearance Sheet'!G:G=B2085,'Appearance Sheet'!A:A=C2085))"),5.0)</f>
        <v>5</v>
      </c>
      <c r="F2085" s="67">
        <v>5.117358487</v>
      </c>
      <c r="G2085" s="40">
        <v>1.938096947</v>
      </c>
      <c r="H2085" s="40">
        <f t="shared" si="1"/>
        <v>3.488574505</v>
      </c>
      <c r="I2085" s="41">
        <v>0.462365591</v>
      </c>
      <c r="J2085" s="41">
        <v>0.225806452</v>
      </c>
      <c r="K2085" s="41">
        <v>0.311827957</v>
      </c>
      <c r="L2085" s="41">
        <f t="shared" si="2"/>
        <v>0.150537634</v>
      </c>
      <c r="M2085" s="74">
        <v>-2.231838854</v>
      </c>
    </row>
    <row r="2086">
      <c r="A2086" s="1" t="s">
        <v>396</v>
      </c>
      <c r="B2086" s="38">
        <v>663623.0</v>
      </c>
      <c r="C2086" s="72">
        <v>45829.0</v>
      </c>
      <c r="D2086" s="38">
        <v>90.0</v>
      </c>
      <c r="E2086" s="73">
        <f>IFERROR(__xludf.DUMMYFUNCTION("average(filter('Appearance Sheet'!F:F,'Appearance Sheet'!G:G=B2086,'Appearance Sheet'!A:A=C2086))"),5.333333333333333)</f>
        <v>5.333333333</v>
      </c>
      <c r="F2086" s="67">
        <v>5.117211625</v>
      </c>
      <c r="G2086" s="40">
        <v>1.868876764</v>
      </c>
      <c r="H2086" s="40">
        <f t="shared" si="1"/>
        <v>3.153729539</v>
      </c>
      <c r="I2086" s="41">
        <v>0.444444444</v>
      </c>
      <c r="J2086" s="41">
        <v>0.188888889</v>
      </c>
      <c r="K2086" s="41">
        <v>0.366666667</v>
      </c>
      <c r="L2086" s="41">
        <f t="shared" si="2"/>
        <v>0.077777777</v>
      </c>
      <c r="M2086" s="74">
        <v>-0.375498702</v>
      </c>
    </row>
    <row r="2087">
      <c r="A2087" s="1" t="s">
        <v>253</v>
      </c>
      <c r="B2087" s="38">
        <v>701581.0</v>
      </c>
      <c r="C2087" s="72">
        <v>45758.0</v>
      </c>
      <c r="D2087" s="38">
        <v>64.0</v>
      </c>
      <c r="E2087" s="73">
        <f>IFERROR(__xludf.DUMMYFUNCTION("average(filter('Appearance Sheet'!F:F,'Appearance Sheet'!G:G=B2087,'Appearance Sheet'!A:A=C2087))"),4.666666666666667)</f>
        <v>4.666666667</v>
      </c>
      <c r="F2087" s="67">
        <v>5.117084228</v>
      </c>
      <c r="G2087" s="40">
        <v>1.358481408</v>
      </c>
      <c r="H2087" s="40">
        <f t="shared" si="1"/>
        <v>2.61992843</v>
      </c>
      <c r="I2087" s="41">
        <v>0.5</v>
      </c>
      <c r="J2087" s="41">
        <v>0.15625</v>
      </c>
      <c r="K2087" s="41">
        <v>0.34375</v>
      </c>
      <c r="L2087" s="41">
        <f t="shared" si="2"/>
        <v>0.15625</v>
      </c>
      <c r="M2087" s="74">
        <v>0.250138967</v>
      </c>
    </row>
    <row r="2088">
      <c r="A2088" s="1" t="s">
        <v>179</v>
      </c>
      <c r="B2088" s="38">
        <v>663568.0</v>
      </c>
      <c r="C2088" s="72">
        <v>45810.0</v>
      </c>
      <c r="D2088" s="38">
        <v>97.0</v>
      </c>
      <c r="E2088" s="73">
        <f>IFERROR(__xludf.DUMMYFUNCTION("average(filter('Appearance Sheet'!F:F,'Appearance Sheet'!G:G=B2088,'Appearance Sheet'!A:A=C2088))"),5.666666666666667)</f>
        <v>5.666666667</v>
      </c>
      <c r="F2088" s="67">
        <v>5.117023381</v>
      </c>
      <c r="G2088" s="40">
        <v>2.0202044</v>
      </c>
      <c r="H2088" s="40">
        <f t="shared" si="1"/>
        <v>3.208559929</v>
      </c>
      <c r="I2088" s="41">
        <v>0.505154639</v>
      </c>
      <c r="J2088" s="41">
        <v>0.144329897</v>
      </c>
      <c r="K2088" s="41">
        <v>0.350515464</v>
      </c>
      <c r="L2088" s="41">
        <f t="shared" si="2"/>
        <v>0.154639175</v>
      </c>
      <c r="M2088" s="74">
        <v>3.072682227</v>
      </c>
    </row>
    <row r="2089">
      <c r="A2089" s="1" t="s">
        <v>90</v>
      </c>
      <c r="B2089" s="38">
        <v>693433.0</v>
      </c>
      <c r="C2089" s="72">
        <v>45868.0</v>
      </c>
      <c r="D2089" s="38">
        <v>82.0</v>
      </c>
      <c r="E2089" s="73" t="str">
        <f>IFERROR(__xludf.DUMMYFUNCTION("average(filter('Appearance Sheet'!F:F,'Appearance Sheet'!G:G=B2089,'Appearance Sheet'!A:A=C2089))"),"#N/A")</f>
        <v>#N/A</v>
      </c>
      <c r="F2089" s="67">
        <v>5.116429864</v>
      </c>
      <c r="G2089" s="40">
        <v>1.740737242</v>
      </c>
      <c r="H2089" s="40" t="str">
        <f t="shared" si="1"/>
        <v>#N/A</v>
      </c>
      <c r="I2089" s="41">
        <v>0.426829268</v>
      </c>
      <c r="J2089" s="41">
        <v>0.243902439</v>
      </c>
      <c r="K2089" s="41">
        <v>0.329268293</v>
      </c>
      <c r="L2089" s="41">
        <f t="shared" si="2"/>
        <v>0.097560975</v>
      </c>
      <c r="M2089" s="74">
        <v>-2.957078466</v>
      </c>
    </row>
    <row r="2090">
      <c r="A2090" s="1" t="s">
        <v>336</v>
      </c>
      <c r="B2090" s="38">
        <v>605488.0</v>
      </c>
      <c r="C2090" s="72">
        <v>45783.0</v>
      </c>
      <c r="D2090" s="38">
        <v>94.0</v>
      </c>
      <c r="E2090" s="73">
        <f>IFERROR(__xludf.DUMMYFUNCTION("average(filter('Appearance Sheet'!F:F,'Appearance Sheet'!G:G=B2090,'Appearance Sheet'!A:A=C2090))"),5.0)</f>
        <v>5</v>
      </c>
      <c r="F2090" s="67">
        <v>5.11640912</v>
      </c>
      <c r="G2090" s="40">
        <v>1.950936772</v>
      </c>
      <c r="H2090" s="40">
        <f t="shared" si="1"/>
        <v>3.51168619</v>
      </c>
      <c r="I2090" s="41">
        <v>0.457446809</v>
      </c>
      <c r="J2090" s="41">
        <v>0.191489362</v>
      </c>
      <c r="K2090" s="41">
        <v>0.35106383</v>
      </c>
      <c r="L2090" s="41">
        <f t="shared" si="2"/>
        <v>0.106382979</v>
      </c>
      <c r="M2090" s="74">
        <v>0.345141657</v>
      </c>
    </row>
    <row r="2091">
      <c r="A2091" s="1" t="s">
        <v>189</v>
      </c>
      <c r="B2091" s="38">
        <v>607536.0</v>
      </c>
      <c r="C2091" s="72">
        <v>45744.0</v>
      </c>
      <c r="D2091" s="38">
        <v>66.0</v>
      </c>
      <c r="E2091" s="73">
        <f>IFERROR(__xludf.DUMMYFUNCTION("average(filter('Appearance Sheet'!F:F,'Appearance Sheet'!G:G=B2091,'Appearance Sheet'!A:A=C2091))"),6.0)</f>
        <v>6</v>
      </c>
      <c r="F2091" s="67">
        <v>5.116219538</v>
      </c>
      <c r="G2091" s="40">
        <v>1.400809408</v>
      </c>
      <c r="H2091" s="40">
        <f t="shared" si="1"/>
        <v>2.101214112</v>
      </c>
      <c r="I2091" s="41">
        <v>0.46969697</v>
      </c>
      <c r="J2091" s="41">
        <v>0.212121212</v>
      </c>
      <c r="K2091" s="41">
        <v>0.318181818</v>
      </c>
      <c r="L2091" s="41">
        <f t="shared" si="2"/>
        <v>0.151515152</v>
      </c>
      <c r="M2091" s="74">
        <v>2.880318987</v>
      </c>
    </row>
    <row r="2092">
      <c r="A2092" s="1" t="s">
        <v>150</v>
      </c>
      <c r="B2092" s="38">
        <v>657746.0</v>
      </c>
      <c r="C2092" s="72">
        <v>45864.0</v>
      </c>
      <c r="D2092" s="38">
        <v>87.0</v>
      </c>
      <c r="E2092" s="73" t="str">
        <f>IFERROR(__xludf.DUMMYFUNCTION("average(filter('Appearance Sheet'!F:F,'Appearance Sheet'!G:G=B2092,'Appearance Sheet'!A:A=C2092))"),"#N/A")</f>
        <v>#N/A</v>
      </c>
      <c r="F2092" s="67">
        <v>5.116209583</v>
      </c>
      <c r="G2092" s="40">
        <v>1.813508975</v>
      </c>
      <c r="H2092" s="40" t="str">
        <f t="shared" si="1"/>
        <v>#N/A</v>
      </c>
      <c r="I2092" s="41">
        <v>0.436781609</v>
      </c>
      <c r="J2092" s="41">
        <v>0.229885057</v>
      </c>
      <c r="K2092" s="41">
        <v>0.333333333</v>
      </c>
      <c r="L2092" s="41">
        <f t="shared" si="2"/>
        <v>0.103448276</v>
      </c>
      <c r="M2092" s="74">
        <v>-0.849324418</v>
      </c>
    </row>
    <row r="2093">
      <c r="A2093" s="1" t="s">
        <v>148</v>
      </c>
      <c r="B2093" s="38">
        <v>592866.0</v>
      </c>
      <c r="C2093" s="72">
        <v>45780.0</v>
      </c>
      <c r="D2093" s="38">
        <v>86.0</v>
      </c>
      <c r="E2093" s="73">
        <f>IFERROR(__xludf.DUMMYFUNCTION("average(filter('Appearance Sheet'!F:F,'Appearance Sheet'!G:G=B2093,'Appearance Sheet'!A:A=C2093))"),5.333333333333333)</f>
        <v>5.333333333</v>
      </c>
      <c r="F2093" s="67">
        <v>5.116128672</v>
      </c>
      <c r="G2093" s="40">
        <v>1.797522224</v>
      </c>
      <c r="H2093" s="40">
        <f t="shared" si="1"/>
        <v>3.033318753</v>
      </c>
      <c r="I2093" s="41">
        <v>0.476744186</v>
      </c>
      <c r="J2093" s="41">
        <v>0.186046512</v>
      </c>
      <c r="K2093" s="41">
        <v>0.337209302</v>
      </c>
      <c r="L2093" s="41">
        <f t="shared" si="2"/>
        <v>0.139534884</v>
      </c>
      <c r="M2093" s="74">
        <v>-3.640274315</v>
      </c>
    </row>
    <row r="2094">
      <c r="A2094" s="1" t="s">
        <v>212</v>
      </c>
      <c r="B2094" s="38">
        <v>805673.0</v>
      </c>
      <c r="C2094" s="72">
        <v>45880.0</v>
      </c>
      <c r="D2094" s="38">
        <v>96.0</v>
      </c>
      <c r="E2094" s="73" t="str">
        <f>IFERROR(__xludf.DUMMYFUNCTION("average(filter('Appearance Sheet'!F:F,'Appearance Sheet'!G:G=B2094,'Appearance Sheet'!A:A=C2094))"),"#N/A")</f>
        <v>#N/A</v>
      </c>
      <c r="F2094" s="67">
        <v>5.1160815</v>
      </c>
      <c r="G2094" s="40">
        <v>2.019586162</v>
      </c>
      <c r="H2094" s="40" t="str">
        <f t="shared" si="1"/>
        <v>#N/A</v>
      </c>
      <c r="I2094" s="41">
        <v>0.458333333</v>
      </c>
      <c r="J2094" s="41">
        <v>0.197916667</v>
      </c>
      <c r="K2094" s="41">
        <v>0.34375</v>
      </c>
      <c r="L2094" s="41">
        <f t="shared" si="2"/>
        <v>0.114583333</v>
      </c>
      <c r="M2094" s="74">
        <v>0.636580025</v>
      </c>
    </row>
    <row r="2095">
      <c r="A2095" s="1" t="s">
        <v>413</v>
      </c>
      <c r="B2095" s="38">
        <v>671737.0</v>
      </c>
      <c r="C2095" s="72">
        <v>45917.0</v>
      </c>
      <c r="D2095" s="38">
        <v>89.0</v>
      </c>
      <c r="E2095" s="73" t="str">
        <f>IFERROR(__xludf.DUMMYFUNCTION("average(filter('Appearance Sheet'!F:F,'Appearance Sheet'!G:G=B2095,'Appearance Sheet'!A:A=C2095))"),"#N/A")</f>
        <v>#N/A</v>
      </c>
      <c r="F2095" s="67">
        <v>5.116066011</v>
      </c>
      <c r="G2095" s="40">
        <v>1.82429302</v>
      </c>
      <c r="H2095" s="40" t="str">
        <f t="shared" si="1"/>
        <v>#N/A</v>
      </c>
      <c r="I2095" s="41">
        <v>0.516853933</v>
      </c>
      <c r="J2095" s="41">
        <v>0.123595506</v>
      </c>
      <c r="K2095" s="41">
        <v>0.359550562</v>
      </c>
      <c r="L2095" s="41">
        <f t="shared" si="2"/>
        <v>0.157303371</v>
      </c>
      <c r="M2095" s="74">
        <v>-3.575904901</v>
      </c>
    </row>
    <row r="2096">
      <c r="A2096" s="1" t="s">
        <v>453</v>
      </c>
      <c r="B2096" s="38">
        <v>592836.0</v>
      </c>
      <c r="C2096" s="72">
        <v>45880.0</v>
      </c>
      <c r="D2096" s="38">
        <v>89.0</v>
      </c>
      <c r="E2096" s="73" t="str">
        <f>IFERROR(__xludf.DUMMYFUNCTION("average(filter('Appearance Sheet'!F:F,'Appearance Sheet'!G:G=B2096,'Appearance Sheet'!A:A=C2096))"),"#N/A")</f>
        <v>#N/A</v>
      </c>
      <c r="F2096" s="67">
        <v>5.116037129</v>
      </c>
      <c r="G2096" s="40">
        <v>1.872190728</v>
      </c>
      <c r="H2096" s="40" t="str">
        <f t="shared" si="1"/>
        <v>#N/A</v>
      </c>
      <c r="I2096" s="41">
        <v>0.528089888</v>
      </c>
      <c r="J2096" s="41">
        <v>0.123595506</v>
      </c>
      <c r="K2096" s="41">
        <v>0.348314607</v>
      </c>
      <c r="L2096" s="41">
        <f t="shared" si="2"/>
        <v>0.179775281</v>
      </c>
      <c r="M2096" s="74">
        <v>0.088131503</v>
      </c>
    </row>
    <row r="2097">
      <c r="A2097" s="1" t="s">
        <v>396</v>
      </c>
      <c r="B2097" s="38">
        <v>663623.0</v>
      </c>
      <c r="C2097" s="72">
        <v>45794.0</v>
      </c>
      <c r="D2097" s="38">
        <v>95.0</v>
      </c>
      <c r="E2097" s="73">
        <f>IFERROR(__xludf.DUMMYFUNCTION("average(filter('Appearance Sheet'!F:F,'Appearance Sheet'!G:G=B2097,'Appearance Sheet'!A:A=C2097))"),6.333333333333333)</f>
        <v>6.333333333</v>
      </c>
      <c r="F2097" s="67">
        <v>5.115929241</v>
      </c>
      <c r="G2097" s="40">
        <v>1.998512553</v>
      </c>
      <c r="H2097" s="40">
        <f t="shared" si="1"/>
        <v>2.839991523</v>
      </c>
      <c r="I2097" s="41">
        <v>0.421052632</v>
      </c>
      <c r="J2097" s="41">
        <v>0.252631579</v>
      </c>
      <c r="K2097" s="41">
        <v>0.326315789</v>
      </c>
      <c r="L2097" s="41">
        <f t="shared" si="2"/>
        <v>0.094736843</v>
      </c>
      <c r="M2097" s="74">
        <v>2.143839725</v>
      </c>
    </row>
    <row r="2098">
      <c r="A2098" s="1" t="s">
        <v>105</v>
      </c>
      <c r="B2098" s="38">
        <v>624133.0</v>
      </c>
      <c r="C2098" s="72">
        <v>45849.0</v>
      </c>
      <c r="D2098" s="38">
        <v>92.0</v>
      </c>
      <c r="E2098" s="73" t="str">
        <f>IFERROR(__xludf.DUMMYFUNCTION("average(filter('Appearance Sheet'!F:F,'Appearance Sheet'!G:G=B2098,'Appearance Sheet'!A:A=C2098))"),"#N/A")</f>
        <v>#N/A</v>
      </c>
      <c r="F2098" s="67">
        <v>5.115865464</v>
      </c>
      <c r="G2098" s="40">
        <v>1.94650302</v>
      </c>
      <c r="H2098" s="40" t="str">
        <f t="shared" si="1"/>
        <v>#N/A</v>
      </c>
      <c r="I2098" s="41">
        <v>0.456521739</v>
      </c>
      <c r="J2098" s="41">
        <v>0.22826087</v>
      </c>
      <c r="K2098" s="41">
        <v>0.315217391</v>
      </c>
      <c r="L2098" s="41">
        <f t="shared" si="2"/>
        <v>0.141304348</v>
      </c>
      <c r="M2098" s="74">
        <v>-0.941237019</v>
      </c>
    </row>
    <row r="2099">
      <c r="A2099" s="1" t="s">
        <v>396</v>
      </c>
      <c r="B2099" s="38">
        <v>663623.0</v>
      </c>
      <c r="C2099" s="72">
        <v>45756.0</v>
      </c>
      <c r="D2099" s="38">
        <v>103.0</v>
      </c>
      <c r="E2099" s="73">
        <f>IFERROR(__xludf.DUMMYFUNCTION("average(filter('Appearance Sheet'!F:F,'Appearance Sheet'!G:G=B2099,'Appearance Sheet'!A:A=C2099))"),6.0)</f>
        <v>6</v>
      </c>
      <c r="F2099" s="67">
        <v>5.115794529</v>
      </c>
      <c r="G2099" s="40">
        <v>2.147188561</v>
      </c>
      <c r="H2099" s="40">
        <f t="shared" si="1"/>
        <v>3.220782842</v>
      </c>
      <c r="I2099" s="41">
        <v>0.504854369</v>
      </c>
      <c r="J2099" s="41">
        <v>0.116504854</v>
      </c>
      <c r="K2099" s="41">
        <v>0.378640777</v>
      </c>
      <c r="L2099" s="41">
        <f t="shared" si="2"/>
        <v>0.126213592</v>
      </c>
      <c r="M2099" s="74">
        <v>2.997486791</v>
      </c>
    </row>
    <row r="2100">
      <c r="A2100" s="1" t="s">
        <v>410</v>
      </c>
      <c r="B2100" s="38">
        <v>678394.0</v>
      </c>
      <c r="C2100" s="72">
        <v>45840.0</v>
      </c>
      <c r="D2100" s="38">
        <v>62.0</v>
      </c>
      <c r="E2100" s="73">
        <f>IFERROR(__xludf.DUMMYFUNCTION("average(filter('Appearance Sheet'!F:F,'Appearance Sheet'!G:G=B2100,'Appearance Sheet'!A:A=C2100))"),5.0)</f>
        <v>5</v>
      </c>
      <c r="F2100" s="67">
        <v>5.11573399</v>
      </c>
      <c r="G2100" s="40">
        <v>1.294243726</v>
      </c>
      <c r="H2100" s="40">
        <f t="shared" si="1"/>
        <v>2.329638707</v>
      </c>
      <c r="I2100" s="41">
        <v>0.532258065</v>
      </c>
      <c r="J2100" s="41">
        <v>0.161290323</v>
      </c>
      <c r="K2100" s="41">
        <v>0.306451613</v>
      </c>
      <c r="L2100" s="41">
        <f t="shared" si="2"/>
        <v>0.225806452</v>
      </c>
      <c r="M2100" s="74">
        <v>2.481820059</v>
      </c>
    </row>
    <row r="2101">
      <c r="A2101" s="1" t="s">
        <v>411</v>
      </c>
      <c r="B2101" s="38">
        <v>605288.0</v>
      </c>
      <c r="C2101" s="72">
        <v>45914.0</v>
      </c>
      <c r="D2101" s="38">
        <v>89.0</v>
      </c>
      <c r="E2101" s="73" t="str">
        <f>IFERROR(__xludf.DUMMYFUNCTION("average(filter('Appearance Sheet'!F:F,'Appearance Sheet'!G:G=B2101,'Appearance Sheet'!A:A=C2101))"),"#N/A")</f>
        <v>#N/A</v>
      </c>
      <c r="F2101" s="67">
        <v>5.115630529</v>
      </c>
      <c r="G2101" s="40">
        <v>1.847247754</v>
      </c>
      <c r="H2101" s="40" t="str">
        <f t="shared" si="1"/>
        <v>#N/A</v>
      </c>
      <c r="I2101" s="41">
        <v>0.516853933</v>
      </c>
      <c r="J2101" s="41">
        <v>0.157303371</v>
      </c>
      <c r="K2101" s="41">
        <v>0.325842697</v>
      </c>
      <c r="L2101" s="41">
        <f t="shared" si="2"/>
        <v>0.191011236</v>
      </c>
      <c r="M2101" s="74">
        <v>-0.403764253</v>
      </c>
    </row>
    <row r="2102">
      <c r="A2102" s="1" t="s">
        <v>419</v>
      </c>
      <c r="B2102" s="38">
        <v>681857.0</v>
      </c>
      <c r="C2102" s="72">
        <v>45788.0</v>
      </c>
      <c r="D2102" s="38">
        <v>82.0</v>
      </c>
      <c r="E2102" s="73">
        <f>IFERROR(__xludf.DUMMYFUNCTION("average(filter('Appearance Sheet'!F:F,'Appearance Sheet'!G:G=B2102,'Appearance Sheet'!A:A=C2102))"),4.0)</f>
        <v>4</v>
      </c>
      <c r="F2102" s="67">
        <v>5.115487137</v>
      </c>
      <c r="G2102" s="40">
        <v>1.722238246</v>
      </c>
      <c r="H2102" s="40">
        <f t="shared" si="1"/>
        <v>3.875036054</v>
      </c>
      <c r="I2102" s="41">
        <v>0.451219512</v>
      </c>
      <c r="J2102" s="41">
        <v>0.195121951</v>
      </c>
      <c r="K2102" s="41">
        <v>0.353658537</v>
      </c>
      <c r="L2102" s="41">
        <f t="shared" si="2"/>
        <v>0.097560975</v>
      </c>
      <c r="M2102" s="74">
        <v>-2.448956502</v>
      </c>
    </row>
    <row r="2103">
      <c r="A2103" s="1" t="s">
        <v>77</v>
      </c>
      <c r="B2103" s="38">
        <v>657277.0</v>
      </c>
      <c r="C2103" s="72">
        <v>45863.0</v>
      </c>
      <c r="D2103" s="38">
        <v>80.0</v>
      </c>
      <c r="E2103" s="73" t="str">
        <f>IFERROR(__xludf.DUMMYFUNCTION("average(filter('Appearance Sheet'!F:F,'Appearance Sheet'!G:G=B2103,'Appearance Sheet'!A:A=C2103))"),"#N/A")</f>
        <v>#N/A</v>
      </c>
      <c r="F2103" s="67">
        <v>5.115434358</v>
      </c>
      <c r="G2103" s="40">
        <v>1.63381168</v>
      </c>
      <c r="H2103" s="40" t="str">
        <f t="shared" si="1"/>
        <v>#N/A</v>
      </c>
      <c r="I2103" s="41">
        <v>0.475</v>
      </c>
      <c r="J2103" s="41">
        <v>0.175</v>
      </c>
      <c r="K2103" s="41">
        <v>0.35</v>
      </c>
      <c r="L2103" s="41">
        <f t="shared" si="2"/>
        <v>0.125</v>
      </c>
      <c r="M2103" s="74">
        <v>-3.470987197</v>
      </c>
    </row>
    <row r="2104">
      <c r="A2104" s="1" t="s">
        <v>574</v>
      </c>
      <c r="B2104" s="38">
        <v>694918.0</v>
      </c>
      <c r="C2104" s="72">
        <v>45828.0</v>
      </c>
      <c r="D2104" s="38">
        <v>71.0</v>
      </c>
      <c r="E2104" s="73">
        <f>IFERROR(__xludf.DUMMYFUNCTION("average(filter('Appearance Sheet'!F:F,'Appearance Sheet'!G:G=B2104,'Appearance Sheet'!A:A=C2104))"),3.6666666666666665)</f>
        <v>3.666666667</v>
      </c>
      <c r="F2104" s="67">
        <v>5.115264992</v>
      </c>
      <c r="G2104" s="40">
        <v>1.471345682</v>
      </c>
      <c r="H2104" s="40">
        <f t="shared" si="1"/>
        <v>3.611484856</v>
      </c>
      <c r="I2104" s="41">
        <v>0.507042254</v>
      </c>
      <c r="J2104" s="41">
        <v>0.197183099</v>
      </c>
      <c r="K2104" s="41">
        <v>0.295774648</v>
      </c>
      <c r="L2104" s="41">
        <f t="shared" si="2"/>
        <v>0.211267606</v>
      </c>
      <c r="M2104" s="74">
        <v>0.73407436</v>
      </c>
    </row>
    <row r="2105">
      <c r="A2105" s="1" t="s">
        <v>296</v>
      </c>
      <c r="B2105" s="38">
        <v>669372.0</v>
      </c>
      <c r="C2105" s="72">
        <v>45877.0</v>
      </c>
      <c r="D2105" s="38">
        <v>78.0</v>
      </c>
      <c r="E2105" s="73" t="str">
        <f>IFERROR(__xludf.DUMMYFUNCTION("average(filter('Appearance Sheet'!F:F,'Appearance Sheet'!G:G=B2105,'Appearance Sheet'!A:A=C2105))"),"#N/A")</f>
        <v>#N/A</v>
      </c>
      <c r="F2105" s="67">
        <v>5.115150181</v>
      </c>
      <c r="G2105" s="40">
        <v>1.600845281</v>
      </c>
      <c r="H2105" s="40" t="str">
        <f t="shared" si="1"/>
        <v>#N/A</v>
      </c>
      <c r="I2105" s="41">
        <v>0.461538462</v>
      </c>
      <c r="J2105" s="41">
        <v>0.192307692</v>
      </c>
      <c r="K2105" s="41">
        <v>0.346153846</v>
      </c>
      <c r="L2105" s="41">
        <f t="shared" si="2"/>
        <v>0.115384616</v>
      </c>
      <c r="M2105" s="74">
        <v>2.534726784</v>
      </c>
    </row>
    <row r="2106">
      <c r="A2106" s="1" t="s">
        <v>408</v>
      </c>
      <c r="B2106" s="38">
        <v>657376.0</v>
      </c>
      <c r="C2106" s="72">
        <v>45824.0</v>
      </c>
      <c r="D2106" s="38">
        <v>92.0</v>
      </c>
      <c r="E2106" s="73">
        <f>IFERROR(__xludf.DUMMYFUNCTION("average(filter('Appearance Sheet'!F:F,'Appearance Sheet'!G:G=B2106,'Appearance Sheet'!A:A=C2106))"),7.666666666666667)</f>
        <v>7.666666667</v>
      </c>
      <c r="F2106" s="67">
        <v>5.114884203</v>
      </c>
      <c r="G2106" s="40">
        <v>1.924207287</v>
      </c>
      <c r="H2106" s="40">
        <f t="shared" si="1"/>
        <v>2.258852033</v>
      </c>
      <c r="I2106" s="41">
        <v>0.445652174</v>
      </c>
      <c r="J2106" s="41">
        <v>0.163043478</v>
      </c>
      <c r="K2106" s="41">
        <v>0.391304348</v>
      </c>
      <c r="L2106" s="41">
        <f t="shared" si="2"/>
        <v>0.054347826</v>
      </c>
      <c r="M2106" s="74">
        <v>2.058624212</v>
      </c>
    </row>
    <row r="2107">
      <c r="A2107" s="1" t="s">
        <v>432</v>
      </c>
      <c r="B2107" s="38">
        <v>669467.0</v>
      </c>
      <c r="C2107" s="72">
        <v>45828.0</v>
      </c>
      <c r="D2107" s="38">
        <v>86.0</v>
      </c>
      <c r="E2107" s="73">
        <f>IFERROR(__xludf.DUMMYFUNCTION("average(filter('Appearance Sheet'!F:F,'Appearance Sheet'!G:G=B2107,'Appearance Sheet'!A:A=C2107))"),6.0)</f>
        <v>6</v>
      </c>
      <c r="F2107" s="67">
        <v>5.114878106</v>
      </c>
      <c r="G2107" s="40">
        <v>1.766481406</v>
      </c>
      <c r="H2107" s="40">
        <f t="shared" si="1"/>
        <v>2.649722109</v>
      </c>
      <c r="I2107" s="41">
        <v>0.523255814</v>
      </c>
      <c r="J2107" s="41">
        <v>0.162790698</v>
      </c>
      <c r="K2107" s="41">
        <v>0.313953488</v>
      </c>
      <c r="L2107" s="41">
        <f t="shared" si="2"/>
        <v>0.209302326</v>
      </c>
      <c r="M2107" s="74">
        <v>3.176354874</v>
      </c>
    </row>
    <row r="2108">
      <c r="A2108" s="1" t="s">
        <v>259</v>
      </c>
      <c r="B2108" s="38">
        <v>663465.0</v>
      </c>
      <c r="C2108" s="72">
        <v>45805.0</v>
      </c>
      <c r="D2108" s="38">
        <v>60.0</v>
      </c>
      <c r="E2108" s="73">
        <f>IFERROR(__xludf.DUMMYFUNCTION("average(filter('Appearance Sheet'!F:F,'Appearance Sheet'!G:G=B2108,'Appearance Sheet'!A:A=C2108))"),4.0)</f>
        <v>4</v>
      </c>
      <c r="F2108" s="67">
        <v>5.114645332</v>
      </c>
      <c r="G2108" s="40">
        <v>1.251260179</v>
      </c>
      <c r="H2108" s="40">
        <f t="shared" si="1"/>
        <v>2.815335403</v>
      </c>
      <c r="I2108" s="41">
        <v>0.45</v>
      </c>
      <c r="J2108" s="41">
        <v>0.216666667</v>
      </c>
      <c r="K2108" s="41">
        <v>0.333333333</v>
      </c>
      <c r="L2108" s="41">
        <f t="shared" si="2"/>
        <v>0.116666667</v>
      </c>
      <c r="M2108" s="74">
        <v>0.043355768</v>
      </c>
    </row>
    <row r="2109">
      <c r="A2109" s="1" t="s">
        <v>484</v>
      </c>
      <c r="B2109" s="38">
        <v>682847.0</v>
      </c>
      <c r="C2109" s="72">
        <v>45759.0</v>
      </c>
      <c r="D2109" s="38">
        <v>98.0</v>
      </c>
      <c r="E2109" s="73">
        <f>IFERROR(__xludf.DUMMYFUNCTION("average(filter('Appearance Sheet'!F:F,'Appearance Sheet'!G:G=B2109,'Appearance Sheet'!A:A=C2109))"),5.666666666666667)</f>
        <v>5.666666667</v>
      </c>
      <c r="F2109" s="67">
        <v>5.11456497</v>
      </c>
      <c r="G2109" s="40">
        <v>2.008002919</v>
      </c>
      <c r="H2109" s="40">
        <f t="shared" si="1"/>
        <v>3.189181107</v>
      </c>
      <c r="I2109" s="41">
        <v>0.5</v>
      </c>
      <c r="J2109" s="41">
        <v>0.193877551</v>
      </c>
      <c r="K2109" s="41">
        <v>0.306122449</v>
      </c>
      <c r="L2109" s="41">
        <f t="shared" si="2"/>
        <v>0.193877551</v>
      </c>
      <c r="M2109" s="74">
        <v>4.52833474</v>
      </c>
    </row>
    <row r="2110">
      <c r="A2110" s="1" t="s">
        <v>374</v>
      </c>
      <c r="B2110" s="38">
        <v>683004.0</v>
      </c>
      <c r="C2110" s="72">
        <v>45795.0</v>
      </c>
      <c r="D2110" s="38">
        <v>87.0</v>
      </c>
      <c r="E2110" s="73">
        <f>IFERROR(__xludf.DUMMYFUNCTION("average(filter('Appearance Sheet'!F:F,'Appearance Sheet'!G:G=B2110,'Appearance Sheet'!A:A=C2110))"),7.0)</f>
        <v>7</v>
      </c>
      <c r="F2110" s="67">
        <v>5.114546984</v>
      </c>
      <c r="G2110" s="40">
        <v>1.815319101</v>
      </c>
      <c r="H2110" s="40">
        <f t="shared" si="1"/>
        <v>2.333981701</v>
      </c>
      <c r="I2110" s="41">
        <v>0.563218391</v>
      </c>
      <c r="J2110" s="41">
        <v>0.126436782</v>
      </c>
      <c r="K2110" s="41">
        <v>0.310344828</v>
      </c>
      <c r="L2110" s="41">
        <f t="shared" si="2"/>
        <v>0.252873563</v>
      </c>
      <c r="M2110" s="74">
        <v>2.137792062</v>
      </c>
    </row>
    <row r="2111">
      <c r="A2111" s="1" t="s">
        <v>197</v>
      </c>
      <c r="B2111" s="38">
        <v>676467.0</v>
      </c>
      <c r="C2111" s="72">
        <v>45791.0</v>
      </c>
      <c r="D2111" s="38">
        <v>82.0</v>
      </c>
      <c r="E2111" s="73">
        <f>IFERROR(__xludf.DUMMYFUNCTION("average(filter('Appearance Sheet'!F:F,'Appearance Sheet'!G:G=B2111,'Appearance Sheet'!A:A=C2111))"),4.333333333333333)</f>
        <v>4.333333333</v>
      </c>
      <c r="F2111" s="67">
        <v>5.11453928</v>
      </c>
      <c r="G2111" s="40">
        <v>1.736274243</v>
      </c>
      <c r="H2111" s="40">
        <f t="shared" si="1"/>
        <v>3.606108043</v>
      </c>
      <c r="I2111" s="41">
        <v>0.487804878</v>
      </c>
      <c r="J2111" s="41">
        <v>0.219512195</v>
      </c>
      <c r="K2111" s="41">
        <v>0.292682927</v>
      </c>
      <c r="L2111" s="41">
        <f t="shared" si="2"/>
        <v>0.195121951</v>
      </c>
      <c r="M2111" s="74">
        <v>-1.255871791</v>
      </c>
    </row>
    <row r="2112">
      <c r="A2112" s="1" t="s">
        <v>177</v>
      </c>
      <c r="B2112" s="38">
        <v>641793.0</v>
      </c>
      <c r="C2112" s="72">
        <v>45830.0</v>
      </c>
      <c r="D2112" s="38">
        <v>68.0</v>
      </c>
      <c r="E2112" s="73">
        <f>IFERROR(__xludf.DUMMYFUNCTION("average(filter('Appearance Sheet'!F:F,'Appearance Sheet'!G:G=B2112,'Appearance Sheet'!A:A=C2112))"),5.0)</f>
        <v>5</v>
      </c>
      <c r="F2112" s="67">
        <v>5.114534257</v>
      </c>
      <c r="G2112" s="40">
        <v>1.424991856</v>
      </c>
      <c r="H2112" s="40">
        <f t="shared" si="1"/>
        <v>2.564985341</v>
      </c>
      <c r="I2112" s="41">
        <v>0.485294118</v>
      </c>
      <c r="J2112" s="41">
        <v>0.220588235</v>
      </c>
      <c r="K2112" s="41">
        <v>0.294117647</v>
      </c>
      <c r="L2112" s="41">
        <f t="shared" si="2"/>
        <v>0.191176471</v>
      </c>
      <c r="M2112" s="74">
        <v>1.116525137</v>
      </c>
    </row>
    <row r="2113">
      <c r="A2113" s="1" t="s">
        <v>356</v>
      </c>
      <c r="B2113" s="38">
        <v>680732.0</v>
      </c>
      <c r="C2113" s="72">
        <v>45921.0</v>
      </c>
      <c r="D2113" s="38">
        <v>62.0</v>
      </c>
      <c r="E2113" s="73" t="str">
        <f>IFERROR(__xludf.DUMMYFUNCTION("average(filter('Appearance Sheet'!F:F,'Appearance Sheet'!G:G=B2113,'Appearance Sheet'!A:A=C2113))"),"#N/A")</f>
        <v>#N/A</v>
      </c>
      <c r="F2113" s="67">
        <v>5.114416865</v>
      </c>
      <c r="G2113" s="40">
        <v>1.279837055</v>
      </c>
      <c r="H2113" s="40" t="str">
        <f t="shared" si="1"/>
        <v>#N/A</v>
      </c>
      <c r="I2113" s="41">
        <v>0.467741935</v>
      </c>
      <c r="J2113" s="41">
        <v>0.193548387</v>
      </c>
      <c r="K2113" s="41">
        <v>0.338709677</v>
      </c>
      <c r="L2113" s="41">
        <f t="shared" si="2"/>
        <v>0.129032258</v>
      </c>
      <c r="M2113" s="74">
        <v>-2.587238878</v>
      </c>
    </row>
    <row r="2114">
      <c r="A2114" s="1" t="s">
        <v>449</v>
      </c>
      <c r="B2114" s="38">
        <v>687223.0</v>
      </c>
      <c r="C2114" s="72">
        <v>45803.0</v>
      </c>
      <c r="D2114" s="38">
        <v>91.0</v>
      </c>
      <c r="E2114" s="73">
        <f>IFERROR(__xludf.DUMMYFUNCTION("average(filter('Appearance Sheet'!F:F,'Appearance Sheet'!G:G=B2114,'Appearance Sheet'!A:A=C2114))"),5.0)</f>
        <v>5</v>
      </c>
      <c r="F2114" s="67">
        <v>5.114414453</v>
      </c>
      <c r="G2114" s="40">
        <v>1.912346036</v>
      </c>
      <c r="H2114" s="40">
        <f t="shared" si="1"/>
        <v>3.442222865</v>
      </c>
      <c r="I2114" s="41">
        <v>0.461538462</v>
      </c>
      <c r="J2114" s="41">
        <v>0.208791209</v>
      </c>
      <c r="K2114" s="41">
        <v>0.32967033</v>
      </c>
      <c r="L2114" s="41">
        <f t="shared" si="2"/>
        <v>0.131868132</v>
      </c>
      <c r="M2114" s="74">
        <v>2.270342388</v>
      </c>
    </row>
    <row r="2115">
      <c r="A2115" s="1" t="s">
        <v>99</v>
      </c>
      <c r="B2115" s="38">
        <v>592791.0</v>
      </c>
      <c r="C2115" s="72">
        <v>45820.0</v>
      </c>
      <c r="D2115" s="38">
        <v>87.0</v>
      </c>
      <c r="E2115" s="73">
        <f>IFERROR(__xludf.DUMMYFUNCTION("average(filter('Appearance Sheet'!F:F,'Appearance Sheet'!G:G=B2115,'Appearance Sheet'!A:A=C2115))"),6.333333333333333)</f>
        <v>6.333333333</v>
      </c>
      <c r="F2115" s="67">
        <v>5.114235017</v>
      </c>
      <c r="G2115" s="40">
        <v>1.798555847</v>
      </c>
      <c r="H2115" s="40">
        <f t="shared" si="1"/>
        <v>2.555842519</v>
      </c>
      <c r="I2115" s="41">
        <v>0.436781609</v>
      </c>
      <c r="J2115" s="41">
        <v>0.287356322</v>
      </c>
      <c r="K2115" s="41">
        <v>0.275862069</v>
      </c>
      <c r="L2115" s="41">
        <f t="shared" si="2"/>
        <v>0.16091954</v>
      </c>
      <c r="M2115" s="74">
        <v>0.723759844</v>
      </c>
    </row>
    <row r="2116">
      <c r="A2116" s="1" t="s">
        <v>339</v>
      </c>
      <c r="B2116" s="38">
        <v>686613.0</v>
      </c>
      <c r="C2116" s="72">
        <v>45750.0</v>
      </c>
      <c r="D2116" s="38">
        <v>87.0</v>
      </c>
      <c r="E2116" s="73">
        <f>IFERROR(__xludf.DUMMYFUNCTION("average(filter('Appearance Sheet'!F:F,'Appearance Sheet'!G:G=B2116,'Appearance Sheet'!A:A=C2116))"),6.0)</f>
        <v>6</v>
      </c>
      <c r="F2116" s="67">
        <v>5.114145689</v>
      </c>
      <c r="G2116" s="40">
        <v>1.80229626</v>
      </c>
      <c r="H2116" s="40">
        <f t="shared" si="1"/>
        <v>2.70344439</v>
      </c>
      <c r="I2116" s="41">
        <v>0.494252874</v>
      </c>
      <c r="J2116" s="41">
        <v>0.172413793</v>
      </c>
      <c r="K2116" s="41">
        <v>0.333333333</v>
      </c>
      <c r="L2116" s="41">
        <f t="shared" si="2"/>
        <v>0.160919541</v>
      </c>
      <c r="M2116" s="74">
        <v>0.71534313</v>
      </c>
    </row>
    <row r="2117">
      <c r="A2117" s="1" t="s">
        <v>256</v>
      </c>
      <c r="B2117" s="38">
        <v>571760.0</v>
      </c>
      <c r="C2117" s="72">
        <v>45787.0</v>
      </c>
      <c r="D2117" s="38">
        <v>77.0</v>
      </c>
      <c r="E2117" s="73">
        <f>IFERROR(__xludf.DUMMYFUNCTION("average(filter('Appearance Sheet'!F:F,'Appearance Sheet'!G:G=B2117,'Appearance Sheet'!A:A=C2117))"),6.0)</f>
        <v>6</v>
      </c>
      <c r="F2117" s="67">
        <v>5.113971289</v>
      </c>
      <c r="G2117" s="40">
        <v>1.645196272</v>
      </c>
      <c r="H2117" s="40">
        <f t="shared" si="1"/>
        <v>2.467794408</v>
      </c>
      <c r="I2117" s="41">
        <v>0.519480519</v>
      </c>
      <c r="J2117" s="41">
        <v>0.142857143</v>
      </c>
      <c r="K2117" s="41">
        <v>0.337662338</v>
      </c>
      <c r="L2117" s="41">
        <f t="shared" si="2"/>
        <v>0.181818181</v>
      </c>
      <c r="M2117" s="74">
        <v>1.387571547</v>
      </c>
    </row>
    <row r="2118">
      <c r="A2118" s="1" t="s">
        <v>173</v>
      </c>
      <c r="B2118" s="38">
        <v>641927.0</v>
      </c>
      <c r="C2118" s="72">
        <v>45785.0</v>
      </c>
      <c r="D2118" s="38">
        <v>91.0</v>
      </c>
      <c r="E2118" s="73">
        <f>IFERROR(__xludf.DUMMYFUNCTION("average(filter('Appearance Sheet'!F:F,'Appearance Sheet'!G:G=B2118,'Appearance Sheet'!A:A=C2118))"),5.0)</f>
        <v>5</v>
      </c>
      <c r="F2118" s="67">
        <v>5.11391221</v>
      </c>
      <c r="G2118" s="40">
        <v>1.922065857</v>
      </c>
      <c r="H2118" s="40">
        <f t="shared" si="1"/>
        <v>3.459718543</v>
      </c>
      <c r="I2118" s="41">
        <v>0.43956044</v>
      </c>
      <c r="J2118" s="41">
        <v>0.252747253</v>
      </c>
      <c r="K2118" s="41">
        <v>0.307692308</v>
      </c>
      <c r="L2118" s="41">
        <f t="shared" si="2"/>
        <v>0.131868132</v>
      </c>
      <c r="M2118" s="74">
        <v>-2.961740984</v>
      </c>
    </row>
    <row r="2119">
      <c r="A2119" s="1" t="s">
        <v>323</v>
      </c>
      <c r="B2119" s="38">
        <v>691587.0</v>
      </c>
      <c r="C2119" s="72">
        <v>45916.0</v>
      </c>
      <c r="D2119" s="38">
        <v>69.0</v>
      </c>
      <c r="E2119" s="73" t="str">
        <f>IFERROR(__xludf.DUMMYFUNCTION("average(filter('Appearance Sheet'!F:F,'Appearance Sheet'!G:G=B2119,'Appearance Sheet'!A:A=C2119))"),"#N/A")</f>
        <v>#N/A</v>
      </c>
      <c r="F2119" s="67">
        <v>5.11371511</v>
      </c>
      <c r="G2119" s="40">
        <v>1.4572326</v>
      </c>
      <c r="H2119" s="40" t="str">
        <f t="shared" si="1"/>
        <v>#N/A</v>
      </c>
      <c r="I2119" s="41">
        <v>0.463768116</v>
      </c>
      <c r="J2119" s="41">
        <v>0.202898551</v>
      </c>
      <c r="K2119" s="41">
        <v>0.333333333</v>
      </c>
      <c r="L2119" s="41">
        <f t="shared" si="2"/>
        <v>0.130434783</v>
      </c>
      <c r="M2119" s="74">
        <v>3.652991956</v>
      </c>
    </row>
    <row r="2120">
      <c r="A2120" s="1" t="s">
        <v>437</v>
      </c>
      <c r="B2120" s="38">
        <v>695418.0</v>
      </c>
      <c r="C2120" s="72">
        <v>45773.0</v>
      </c>
      <c r="D2120" s="38">
        <v>75.0</v>
      </c>
      <c r="E2120" s="73">
        <f>IFERROR(__xludf.DUMMYFUNCTION("average(filter('Appearance Sheet'!F:F,'Appearance Sheet'!G:G=B2120,'Appearance Sheet'!A:A=C2120))"),4.0)</f>
        <v>4</v>
      </c>
      <c r="F2120" s="67">
        <v>5.11370237</v>
      </c>
      <c r="G2120" s="40">
        <v>1.571155177</v>
      </c>
      <c r="H2120" s="40">
        <f t="shared" si="1"/>
        <v>3.535099148</v>
      </c>
      <c r="I2120" s="41">
        <v>0.413333333</v>
      </c>
      <c r="J2120" s="41">
        <v>0.213333333</v>
      </c>
      <c r="K2120" s="41">
        <v>0.373333333</v>
      </c>
      <c r="L2120" s="41">
        <f t="shared" si="2"/>
        <v>0.04</v>
      </c>
      <c r="M2120" s="74">
        <v>0.557931738</v>
      </c>
    </row>
    <row r="2121">
      <c r="A2121" s="1" t="s">
        <v>353</v>
      </c>
      <c r="B2121" s="38">
        <v>663903.0</v>
      </c>
      <c r="C2121" s="72">
        <v>45906.0</v>
      </c>
      <c r="D2121" s="38">
        <v>99.0</v>
      </c>
      <c r="E2121" s="73" t="str">
        <f>IFERROR(__xludf.DUMMYFUNCTION("average(filter('Appearance Sheet'!F:F,'Appearance Sheet'!G:G=B2121,'Appearance Sheet'!A:A=C2121))"),"#N/A")</f>
        <v>#N/A</v>
      </c>
      <c r="F2121" s="67">
        <v>5.113596037</v>
      </c>
      <c r="G2121" s="40">
        <v>2.027519576</v>
      </c>
      <c r="H2121" s="40" t="str">
        <f t="shared" si="1"/>
        <v>#N/A</v>
      </c>
      <c r="I2121" s="41">
        <v>0.535353535</v>
      </c>
      <c r="J2121" s="41">
        <v>0.141414141</v>
      </c>
      <c r="K2121" s="41">
        <v>0.323232323</v>
      </c>
      <c r="L2121" s="41">
        <f t="shared" si="2"/>
        <v>0.212121212</v>
      </c>
      <c r="M2121" s="74">
        <v>0.765477262</v>
      </c>
    </row>
    <row r="2122">
      <c r="A2122" s="1" t="s">
        <v>387</v>
      </c>
      <c r="B2122" s="38">
        <v>669060.0</v>
      </c>
      <c r="C2122" s="72">
        <v>45781.0</v>
      </c>
      <c r="D2122" s="38">
        <v>86.0</v>
      </c>
      <c r="E2122" s="73">
        <f>IFERROR(__xludf.DUMMYFUNCTION("average(filter('Appearance Sheet'!F:F,'Appearance Sheet'!G:G=B2122,'Appearance Sheet'!A:A=C2122))"),4.666666666666667)</f>
        <v>4.666666667</v>
      </c>
      <c r="F2122" s="67">
        <v>5.113515783</v>
      </c>
      <c r="G2122" s="40">
        <v>1.81620585</v>
      </c>
      <c r="H2122" s="40">
        <f t="shared" si="1"/>
        <v>3.502682711</v>
      </c>
      <c r="I2122" s="41">
        <v>0.523255814</v>
      </c>
      <c r="J2122" s="41">
        <v>0.162790698</v>
      </c>
      <c r="K2122" s="41">
        <v>0.313953488</v>
      </c>
      <c r="L2122" s="41">
        <f t="shared" si="2"/>
        <v>0.209302326</v>
      </c>
      <c r="M2122" s="74">
        <v>-2.433074626</v>
      </c>
    </row>
    <row r="2123">
      <c r="A2123" s="1" t="s">
        <v>181</v>
      </c>
      <c r="B2123" s="38">
        <v>641154.0</v>
      </c>
      <c r="C2123" s="72">
        <v>45800.0</v>
      </c>
      <c r="D2123" s="38">
        <v>101.0</v>
      </c>
      <c r="E2123" s="73">
        <f>IFERROR(__xludf.DUMMYFUNCTION("average(filter('Appearance Sheet'!F:F,'Appearance Sheet'!G:G=B2123,'Appearance Sheet'!A:A=C2123))"),5.666666666666667)</f>
        <v>5.666666667</v>
      </c>
      <c r="F2123" s="67">
        <v>5.113290451</v>
      </c>
      <c r="G2123" s="40">
        <v>2.083596542</v>
      </c>
      <c r="H2123" s="40">
        <f t="shared" si="1"/>
        <v>3.309241567</v>
      </c>
      <c r="I2123" s="41">
        <v>0.465346535</v>
      </c>
      <c r="J2123" s="41">
        <v>0.178217822</v>
      </c>
      <c r="K2123" s="41">
        <v>0.356435644</v>
      </c>
      <c r="L2123" s="41">
        <f t="shared" si="2"/>
        <v>0.108910891</v>
      </c>
      <c r="M2123" s="74">
        <v>-0.324748833</v>
      </c>
    </row>
    <row r="2124">
      <c r="A2124" s="1" t="s">
        <v>207</v>
      </c>
      <c r="B2124" s="38">
        <v>650633.0</v>
      </c>
      <c r="C2124" s="72">
        <v>45795.0</v>
      </c>
      <c r="D2124" s="38">
        <v>93.0</v>
      </c>
      <c r="E2124" s="73">
        <f>IFERROR(__xludf.DUMMYFUNCTION("average(filter('Appearance Sheet'!F:F,'Appearance Sheet'!G:G=B2124,'Appearance Sheet'!A:A=C2124))"),5.333333333333333)</f>
        <v>5.333333333</v>
      </c>
      <c r="F2124" s="67">
        <v>5.113103081</v>
      </c>
      <c r="G2124" s="40">
        <v>1.90897736</v>
      </c>
      <c r="H2124" s="40">
        <f t="shared" si="1"/>
        <v>3.221399295</v>
      </c>
      <c r="I2124" s="41">
        <v>0.483870968</v>
      </c>
      <c r="J2124" s="41">
        <v>0.225806452</v>
      </c>
      <c r="K2124" s="41">
        <v>0.290322581</v>
      </c>
      <c r="L2124" s="41">
        <f t="shared" si="2"/>
        <v>0.193548387</v>
      </c>
      <c r="M2124" s="74">
        <v>-0.218090307</v>
      </c>
    </row>
    <row r="2125">
      <c r="A2125" s="1" t="s">
        <v>339</v>
      </c>
      <c r="B2125" s="38">
        <v>686613.0</v>
      </c>
      <c r="C2125" s="72">
        <v>45786.0</v>
      </c>
      <c r="D2125" s="38">
        <v>101.0</v>
      </c>
      <c r="E2125" s="73">
        <f>IFERROR(__xludf.DUMMYFUNCTION("average(filter('Appearance Sheet'!F:F,'Appearance Sheet'!G:G=B2125,'Appearance Sheet'!A:A=C2125))"),5.666666666666667)</f>
        <v>5.666666667</v>
      </c>
      <c r="F2125" s="67">
        <v>5.113086489</v>
      </c>
      <c r="G2125" s="40">
        <v>2.081387096</v>
      </c>
      <c r="H2125" s="40">
        <f t="shared" si="1"/>
        <v>3.305732447</v>
      </c>
      <c r="I2125" s="41">
        <v>0.514851485</v>
      </c>
      <c r="J2125" s="41">
        <v>0.108910891</v>
      </c>
      <c r="K2125" s="41">
        <v>0.376237624</v>
      </c>
      <c r="L2125" s="41">
        <f t="shared" si="2"/>
        <v>0.138613861</v>
      </c>
      <c r="M2125" s="74">
        <v>2.897027251</v>
      </c>
    </row>
    <row r="2126">
      <c r="A2126" s="1" t="s">
        <v>476</v>
      </c>
      <c r="B2126" s="38">
        <v>500779.0</v>
      </c>
      <c r="C2126" s="72">
        <v>45841.0</v>
      </c>
      <c r="D2126" s="38">
        <v>76.0</v>
      </c>
      <c r="E2126" s="73">
        <f>IFERROR(__xludf.DUMMYFUNCTION("average(filter('Appearance Sheet'!F:F,'Appearance Sheet'!G:G=B2126,'Appearance Sheet'!A:A=C2126))"),5.333333333333333)</f>
        <v>5.333333333</v>
      </c>
      <c r="F2126" s="67">
        <v>5.11289992</v>
      </c>
      <c r="G2126" s="40">
        <v>1.60574272</v>
      </c>
      <c r="H2126" s="40">
        <f t="shared" si="1"/>
        <v>2.70969084</v>
      </c>
      <c r="I2126" s="41">
        <v>0.447368421</v>
      </c>
      <c r="J2126" s="41">
        <v>0.184210526</v>
      </c>
      <c r="K2126" s="41">
        <v>0.368421053</v>
      </c>
      <c r="L2126" s="41">
        <f t="shared" si="2"/>
        <v>0.078947368</v>
      </c>
      <c r="M2126" s="74">
        <v>-0.599086552</v>
      </c>
    </row>
    <row r="2127">
      <c r="A2127" s="1" t="s">
        <v>155</v>
      </c>
      <c r="B2127" s="38">
        <v>592332.0</v>
      </c>
      <c r="C2127" s="72">
        <v>45870.0</v>
      </c>
      <c r="D2127" s="38">
        <v>71.0</v>
      </c>
      <c r="E2127" s="73" t="str">
        <f>IFERROR(__xludf.DUMMYFUNCTION("average(filter('Appearance Sheet'!F:F,'Appearance Sheet'!G:G=B2127,'Appearance Sheet'!A:A=C2127))"),"#N/A")</f>
        <v>#N/A</v>
      </c>
      <c r="F2127" s="67">
        <v>5.112497448</v>
      </c>
      <c r="G2127" s="40">
        <v>1.484910392</v>
      </c>
      <c r="H2127" s="40" t="str">
        <f t="shared" si="1"/>
        <v>#N/A</v>
      </c>
      <c r="I2127" s="41">
        <v>0.436619718</v>
      </c>
      <c r="J2127" s="41">
        <v>0.253521127</v>
      </c>
      <c r="K2127" s="41">
        <v>0.309859155</v>
      </c>
      <c r="L2127" s="41">
        <f t="shared" si="2"/>
        <v>0.126760563</v>
      </c>
      <c r="M2127" s="74">
        <v>0.321974242</v>
      </c>
    </row>
    <row r="2128">
      <c r="A2128" s="1" t="s">
        <v>119</v>
      </c>
      <c r="B2128" s="38">
        <v>669456.0</v>
      </c>
      <c r="C2128" s="72">
        <v>45920.0</v>
      </c>
      <c r="D2128" s="38">
        <v>86.0</v>
      </c>
      <c r="E2128" s="73" t="str">
        <f>IFERROR(__xludf.DUMMYFUNCTION("average(filter('Appearance Sheet'!F:F,'Appearance Sheet'!G:G=B2128,'Appearance Sheet'!A:A=C2128))"),"#N/A")</f>
        <v>#N/A</v>
      </c>
      <c r="F2128" s="67">
        <v>5.112229089</v>
      </c>
      <c r="G2128" s="40">
        <v>1.826779274</v>
      </c>
      <c r="H2128" s="40" t="str">
        <f t="shared" si="1"/>
        <v>#N/A</v>
      </c>
      <c r="I2128" s="41">
        <v>0.465116279</v>
      </c>
      <c r="J2128" s="41">
        <v>0.220930233</v>
      </c>
      <c r="K2128" s="41">
        <v>0.313953488</v>
      </c>
      <c r="L2128" s="41">
        <f t="shared" si="2"/>
        <v>0.151162791</v>
      </c>
      <c r="M2128" s="74">
        <v>1.303450496</v>
      </c>
    </row>
    <row r="2129">
      <c r="A2129" s="1" t="s">
        <v>120</v>
      </c>
      <c r="B2129" s="38">
        <v>800048.0</v>
      </c>
      <c r="C2129" s="72">
        <v>45907.0</v>
      </c>
      <c r="D2129" s="38">
        <v>86.0</v>
      </c>
      <c r="E2129" s="73" t="str">
        <f>IFERROR(__xludf.DUMMYFUNCTION("average(filter('Appearance Sheet'!F:F,'Appearance Sheet'!G:G=B2129,'Appearance Sheet'!A:A=C2129))"),"#N/A")</f>
        <v>#N/A</v>
      </c>
      <c r="F2129" s="67">
        <v>5.11208465</v>
      </c>
      <c r="G2129" s="40">
        <v>1.816070218</v>
      </c>
      <c r="H2129" s="40" t="str">
        <f t="shared" si="1"/>
        <v>#N/A</v>
      </c>
      <c r="I2129" s="41">
        <v>0.465116279</v>
      </c>
      <c r="J2129" s="41">
        <v>0.162790698</v>
      </c>
      <c r="K2129" s="41">
        <v>0.372093023</v>
      </c>
      <c r="L2129" s="41">
        <f t="shared" si="2"/>
        <v>0.093023256</v>
      </c>
      <c r="M2129" s="74">
        <v>-1.832860349</v>
      </c>
    </row>
    <row r="2130">
      <c r="A2130" s="1" t="s">
        <v>321</v>
      </c>
      <c r="B2130" s="38">
        <v>607200.0</v>
      </c>
      <c r="C2130" s="72">
        <v>45774.0</v>
      </c>
      <c r="D2130" s="38">
        <v>103.0</v>
      </c>
      <c r="E2130" s="73">
        <f>IFERROR(__xludf.DUMMYFUNCTION("average(filter('Appearance Sheet'!F:F,'Appearance Sheet'!G:G=B2130,'Appearance Sheet'!A:A=C2130))"),5.666666666666667)</f>
        <v>5.666666667</v>
      </c>
      <c r="F2130" s="67">
        <v>5.112084171</v>
      </c>
      <c r="G2130" s="40">
        <v>2.175646944</v>
      </c>
      <c r="H2130" s="40">
        <f t="shared" si="1"/>
        <v>3.455439264</v>
      </c>
      <c r="I2130" s="41">
        <v>0.485436893</v>
      </c>
      <c r="J2130" s="41">
        <v>0.203883495</v>
      </c>
      <c r="K2130" s="41">
        <v>0.310679612</v>
      </c>
      <c r="L2130" s="41">
        <f t="shared" si="2"/>
        <v>0.174757281</v>
      </c>
      <c r="M2130" s="74">
        <v>-3.100319101</v>
      </c>
    </row>
    <row r="2131">
      <c r="A2131" s="1" t="s">
        <v>137</v>
      </c>
      <c r="B2131" s="38">
        <v>453286.0</v>
      </c>
      <c r="C2131" s="72">
        <v>45877.0</v>
      </c>
      <c r="D2131" s="38">
        <v>98.0</v>
      </c>
      <c r="E2131" s="73" t="str">
        <f>IFERROR(__xludf.DUMMYFUNCTION("average(filter('Appearance Sheet'!F:F,'Appearance Sheet'!G:G=B2131,'Appearance Sheet'!A:A=C2131))"),"#N/A")</f>
        <v>#N/A</v>
      </c>
      <c r="F2131" s="67">
        <v>5.111988556</v>
      </c>
      <c r="G2131" s="40">
        <v>2.043082953</v>
      </c>
      <c r="H2131" s="40" t="str">
        <f t="shared" si="1"/>
        <v>#N/A</v>
      </c>
      <c r="I2131" s="41">
        <v>0.489795918</v>
      </c>
      <c r="J2131" s="41">
        <v>0.132653061</v>
      </c>
      <c r="K2131" s="41">
        <v>0.37755102</v>
      </c>
      <c r="L2131" s="41">
        <f t="shared" si="2"/>
        <v>0.112244898</v>
      </c>
      <c r="M2131" s="74">
        <v>-0.982581063</v>
      </c>
    </row>
    <row r="2132">
      <c r="A2132" s="1" t="s">
        <v>209</v>
      </c>
      <c r="B2132" s="38">
        <v>694738.0</v>
      </c>
      <c r="C2132" s="72">
        <v>45845.0</v>
      </c>
      <c r="D2132" s="38">
        <v>97.0</v>
      </c>
      <c r="E2132" s="73" t="str">
        <f>IFERROR(__xludf.DUMMYFUNCTION("average(filter('Appearance Sheet'!F:F,'Appearance Sheet'!G:G=B2132,'Appearance Sheet'!A:A=C2132))"),"#N/A")</f>
        <v>#N/A</v>
      </c>
      <c r="F2132" s="67">
        <v>5.11185926</v>
      </c>
      <c r="G2132" s="40">
        <v>1.955777379</v>
      </c>
      <c r="H2132" s="40" t="str">
        <f t="shared" si="1"/>
        <v>#N/A</v>
      </c>
      <c r="I2132" s="41">
        <v>0.494845361</v>
      </c>
      <c r="J2132" s="41">
        <v>0.175257732</v>
      </c>
      <c r="K2132" s="41">
        <v>0.329896907</v>
      </c>
      <c r="L2132" s="41">
        <f t="shared" si="2"/>
        <v>0.164948454</v>
      </c>
      <c r="M2132" s="74">
        <v>3.182139915</v>
      </c>
    </row>
    <row r="2133">
      <c r="A2133" s="1" t="s">
        <v>88</v>
      </c>
      <c r="B2133" s="38">
        <v>694973.0</v>
      </c>
      <c r="C2133" s="72">
        <v>45887.0</v>
      </c>
      <c r="D2133" s="38">
        <v>95.0</v>
      </c>
      <c r="E2133" s="73" t="str">
        <f>IFERROR(__xludf.DUMMYFUNCTION("average(filter('Appearance Sheet'!F:F,'Appearance Sheet'!G:G=B2133,'Appearance Sheet'!A:A=C2133))"),"#N/A")</f>
        <v>#N/A</v>
      </c>
      <c r="F2133" s="67">
        <v>5.111709279</v>
      </c>
      <c r="G2133" s="40">
        <v>2.004149324</v>
      </c>
      <c r="H2133" s="40" t="str">
        <f t="shared" si="1"/>
        <v>#N/A</v>
      </c>
      <c r="I2133" s="41">
        <v>0.484210526</v>
      </c>
      <c r="J2133" s="41">
        <v>0.178947368</v>
      </c>
      <c r="K2133" s="41">
        <v>0.336842105</v>
      </c>
      <c r="L2133" s="41">
        <f t="shared" si="2"/>
        <v>0.147368421</v>
      </c>
      <c r="M2133" s="74">
        <v>0.657238314</v>
      </c>
    </row>
    <row r="2134">
      <c r="A2134" s="1" t="s">
        <v>454</v>
      </c>
      <c r="B2134" s="38">
        <v>674370.0</v>
      </c>
      <c r="C2134" s="72">
        <v>45756.0</v>
      </c>
      <c r="D2134" s="38">
        <v>81.0</v>
      </c>
      <c r="E2134" s="73">
        <f>IFERROR(__xludf.DUMMYFUNCTION("average(filter('Appearance Sheet'!F:F,'Appearance Sheet'!G:G=B2134,'Appearance Sheet'!A:A=C2134))"),5.0)</f>
        <v>5</v>
      </c>
      <c r="F2134" s="67">
        <v>5.111698214</v>
      </c>
      <c r="G2134" s="40">
        <v>1.746781355</v>
      </c>
      <c r="H2134" s="40">
        <f t="shared" si="1"/>
        <v>3.144206439</v>
      </c>
      <c r="I2134" s="41">
        <v>0.395061728</v>
      </c>
      <c r="J2134" s="41">
        <v>0.24691358</v>
      </c>
      <c r="K2134" s="41">
        <v>0.358024691</v>
      </c>
      <c r="L2134" s="41">
        <f t="shared" si="2"/>
        <v>0.037037037</v>
      </c>
      <c r="M2134" s="74">
        <v>-2.693947916</v>
      </c>
    </row>
    <row r="2135">
      <c r="A2135" s="1" t="s">
        <v>137</v>
      </c>
      <c r="B2135" s="38">
        <v>453286.0</v>
      </c>
      <c r="C2135" s="72">
        <v>45883.0</v>
      </c>
      <c r="D2135" s="38">
        <v>73.0</v>
      </c>
      <c r="E2135" s="73" t="str">
        <f>IFERROR(__xludf.DUMMYFUNCTION("average(filter('Appearance Sheet'!F:F,'Appearance Sheet'!G:G=B2135,'Appearance Sheet'!A:A=C2135))"),"#N/A")</f>
        <v>#N/A</v>
      </c>
      <c r="F2135" s="67">
        <v>5.111618836</v>
      </c>
      <c r="G2135" s="40">
        <v>1.545961461</v>
      </c>
      <c r="H2135" s="40" t="str">
        <f t="shared" si="1"/>
        <v>#N/A</v>
      </c>
      <c r="I2135" s="41">
        <v>0.506849315</v>
      </c>
      <c r="J2135" s="41">
        <v>0.178082192</v>
      </c>
      <c r="K2135" s="41">
        <v>0.315068493</v>
      </c>
      <c r="L2135" s="41">
        <f t="shared" si="2"/>
        <v>0.191780822</v>
      </c>
      <c r="M2135" s="74">
        <v>-0.890170592</v>
      </c>
    </row>
    <row r="2136">
      <c r="A2136" s="1" t="s">
        <v>323</v>
      </c>
      <c r="B2136" s="38">
        <v>691587.0</v>
      </c>
      <c r="C2136" s="72">
        <v>45851.0</v>
      </c>
      <c r="D2136" s="38">
        <v>83.0</v>
      </c>
      <c r="E2136" s="73" t="str">
        <f>IFERROR(__xludf.DUMMYFUNCTION("average(filter('Appearance Sheet'!F:F,'Appearance Sheet'!G:G=B2136,'Appearance Sheet'!A:A=C2136))"),"#N/A")</f>
        <v>#N/A</v>
      </c>
      <c r="F2136" s="67">
        <v>5.111580677</v>
      </c>
      <c r="G2136" s="40">
        <v>1.730511443</v>
      </c>
      <c r="H2136" s="40" t="str">
        <f t="shared" si="1"/>
        <v>#N/A</v>
      </c>
      <c r="I2136" s="41">
        <v>0.506024096</v>
      </c>
      <c r="J2136" s="41">
        <v>0.192771084</v>
      </c>
      <c r="K2136" s="41">
        <v>0.301204819</v>
      </c>
      <c r="L2136" s="41">
        <f t="shared" si="2"/>
        <v>0.204819277</v>
      </c>
      <c r="M2136" s="74">
        <v>1.005462252</v>
      </c>
    </row>
    <row r="2137">
      <c r="A2137" s="1" t="s">
        <v>569</v>
      </c>
      <c r="B2137" s="38">
        <v>669947.0</v>
      </c>
      <c r="C2137" s="72">
        <v>45925.0</v>
      </c>
      <c r="D2137" s="38">
        <v>89.0</v>
      </c>
      <c r="E2137" s="73" t="str">
        <f>IFERROR(__xludf.DUMMYFUNCTION("average(filter('Appearance Sheet'!F:F,'Appearance Sheet'!G:G=B2137,'Appearance Sheet'!A:A=C2137))"),"#N/A")</f>
        <v>#N/A</v>
      </c>
      <c r="F2137" s="67">
        <v>5.11156443</v>
      </c>
      <c r="G2137" s="40">
        <v>1.836149677</v>
      </c>
      <c r="H2137" s="40" t="str">
        <f t="shared" si="1"/>
        <v>#N/A</v>
      </c>
      <c r="I2137" s="41">
        <v>0.494382022</v>
      </c>
      <c r="J2137" s="41">
        <v>0.123595506</v>
      </c>
      <c r="K2137" s="41">
        <v>0.382022472</v>
      </c>
      <c r="L2137" s="41">
        <f t="shared" si="2"/>
        <v>0.11235955</v>
      </c>
      <c r="M2137" s="74">
        <v>0.490483442</v>
      </c>
    </row>
    <row r="2138">
      <c r="A2138" s="1" t="s">
        <v>329</v>
      </c>
      <c r="B2138" s="38">
        <v>669160.0</v>
      </c>
      <c r="C2138" s="72">
        <v>45841.0</v>
      </c>
      <c r="D2138" s="38">
        <v>85.0</v>
      </c>
      <c r="E2138" s="73">
        <f>IFERROR(__xludf.DUMMYFUNCTION("average(filter('Appearance Sheet'!F:F,'Appearance Sheet'!G:G=B2138,'Appearance Sheet'!A:A=C2138))"),7.0)</f>
        <v>7</v>
      </c>
      <c r="F2138" s="67">
        <v>5.111557759</v>
      </c>
      <c r="G2138" s="40">
        <v>1.776471255</v>
      </c>
      <c r="H2138" s="40">
        <f t="shared" si="1"/>
        <v>2.284034471</v>
      </c>
      <c r="I2138" s="41">
        <v>0.505882353</v>
      </c>
      <c r="J2138" s="41">
        <v>0.141176471</v>
      </c>
      <c r="K2138" s="41">
        <v>0.352941176</v>
      </c>
      <c r="L2138" s="41">
        <f t="shared" si="2"/>
        <v>0.152941177</v>
      </c>
      <c r="M2138" s="74">
        <v>0.397272133</v>
      </c>
    </row>
    <row r="2139">
      <c r="A2139" s="1" t="s">
        <v>307</v>
      </c>
      <c r="B2139" s="38">
        <v>656849.0</v>
      </c>
      <c r="C2139" s="72">
        <v>45875.0</v>
      </c>
      <c r="D2139" s="38">
        <v>85.0</v>
      </c>
      <c r="E2139" s="73" t="str">
        <f>IFERROR(__xludf.DUMMYFUNCTION("average(filter('Appearance Sheet'!F:F,'Appearance Sheet'!G:G=B2139,'Appearance Sheet'!A:A=C2139))"),"#N/A")</f>
        <v>#N/A</v>
      </c>
      <c r="F2139" s="67">
        <v>5.11128387</v>
      </c>
      <c r="G2139" s="40">
        <v>1.749904978</v>
      </c>
      <c r="H2139" s="40" t="str">
        <f t="shared" si="1"/>
        <v>#N/A</v>
      </c>
      <c r="I2139" s="41">
        <v>0.482352941</v>
      </c>
      <c r="J2139" s="41">
        <v>0.152941176</v>
      </c>
      <c r="K2139" s="41">
        <v>0.364705882</v>
      </c>
      <c r="L2139" s="41">
        <f t="shared" si="2"/>
        <v>0.117647059</v>
      </c>
      <c r="M2139" s="74">
        <v>-0.061508851</v>
      </c>
    </row>
    <row r="2140">
      <c r="A2140" s="1" t="s">
        <v>173</v>
      </c>
      <c r="B2140" s="38">
        <v>641927.0</v>
      </c>
      <c r="C2140" s="72">
        <v>45757.0</v>
      </c>
      <c r="D2140" s="38">
        <v>72.0</v>
      </c>
      <c r="E2140" s="73">
        <f>IFERROR(__xludf.DUMMYFUNCTION("average(filter('Appearance Sheet'!F:F,'Appearance Sheet'!G:G=B2140,'Appearance Sheet'!A:A=C2140))"),6.0)</f>
        <v>6</v>
      </c>
      <c r="F2140" s="67">
        <v>5.111050498</v>
      </c>
      <c r="G2140" s="40">
        <v>1.541781177</v>
      </c>
      <c r="H2140" s="40">
        <f t="shared" si="1"/>
        <v>2.312671766</v>
      </c>
      <c r="I2140" s="41">
        <v>0.458333333</v>
      </c>
      <c r="J2140" s="41">
        <v>0.194444444</v>
      </c>
      <c r="K2140" s="41">
        <v>0.347222222</v>
      </c>
      <c r="L2140" s="41">
        <f t="shared" si="2"/>
        <v>0.111111111</v>
      </c>
      <c r="M2140" s="74">
        <v>-0.102678325</v>
      </c>
    </row>
    <row r="2141">
      <c r="A2141" s="1" t="s">
        <v>169</v>
      </c>
      <c r="B2141" s="38">
        <v>671096.0</v>
      </c>
      <c r="C2141" s="72">
        <v>45830.0</v>
      </c>
      <c r="D2141" s="38">
        <v>93.0</v>
      </c>
      <c r="E2141" s="73">
        <f>IFERROR(__xludf.DUMMYFUNCTION("average(filter('Appearance Sheet'!F:F,'Appearance Sheet'!G:G=B2141,'Appearance Sheet'!A:A=C2141))"),7.0)</f>
        <v>7</v>
      </c>
      <c r="F2141" s="67">
        <v>5.110997625</v>
      </c>
      <c r="G2141" s="40">
        <v>1.923032449</v>
      </c>
      <c r="H2141" s="40">
        <f t="shared" si="1"/>
        <v>2.472470292</v>
      </c>
      <c r="I2141" s="41">
        <v>0.419354839</v>
      </c>
      <c r="J2141" s="41">
        <v>0.258064516</v>
      </c>
      <c r="K2141" s="41">
        <v>0.322580645</v>
      </c>
      <c r="L2141" s="41">
        <f t="shared" si="2"/>
        <v>0.096774194</v>
      </c>
      <c r="M2141" s="74">
        <v>1.807353053</v>
      </c>
    </row>
    <row r="2142">
      <c r="A2142" s="1" t="s">
        <v>323</v>
      </c>
      <c r="B2142" s="38">
        <v>691587.0</v>
      </c>
      <c r="C2142" s="72">
        <v>45921.0</v>
      </c>
      <c r="D2142" s="38">
        <v>87.0</v>
      </c>
      <c r="E2142" s="73" t="str">
        <f>IFERROR(__xludf.DUMMYFUNCTION("average(filter('Appearance Sheet'!F:F,'Appearance Sheet'!G:G=B2142,'Appearance Sheet'!A:A=C2142))"),"#N/A")</f>
        <v>#N/A</v>
      </c>
      <c r="F2142" s="67">
        <v>5.110781205</v>
      </c>
      <c r="G2142" s="40">
        <v>1.76836607</v>
      </c>
      <c r="H2142" s="40" t="str">
        <f t="shared" si="1"/>
        <v>#N/A</v>
      </c>
      <c r="I2142" s="41">
        <v>0.425287356</v>
      </c>
      <c r="J2142" s="41">
        <v>0.252873563</v>
      </c>
      <c r="K2142" s="41">
        <v>0.32183908</v>
      </c>
      <c r="L2142" s="41">
        <f t="shared" si="2"/>
        <v>0.103448276</v>
      </c>
      <c r="M2142" s="74">
        <v>2.61199235</v>
      </c>
    </row>
    <row r="2143">
      <c r="A2143" s="1" t="s">
        <v>453</v>
      </c>
      <c r="B2143" s="38">
        <v>592836.0</v>
      </c>
      <c r="C2143" s="72">
        <v>45868.0</v>
      </c>
      <c r="D2143" s="38">
        <v>77.0</v>
      </c>
      <c r="E2143" s="73" t="str">
        <f>IFERROR(__xludf.DUMMYFUNCTION("average(filter('Appearance Sheet'!F:F,'Appearance Sheet'!G:G=B2143,'Appearance Sheet'!A:A=C2143))"),"#N/A")</f>
        <v>#N/A</v>
      </c>
      <c r="F2143" s="67">
        <v>5.110774493</v>
      </c>
      <c r="G2143" s="40">
        <v>1.633455671</v>
      </c>
      <c r="H2143" s="40" t="str">
        <f t="shared" si="1"/>
        <v>#N/A</v>
      </c>
      <c r="I2143" s="41">
        <v>0.493506494</v>
      </c>
      <c r="J2143" s="41">
        <v>0.220779221</v>
      </c>
      <c r="K2143" s="41">
        <v>0.285714286</v>
      </c>
      <c r="L2143" s="41">
        <f t="shared" si="2"/>
        <v>0.207792208</v>
      </c>
      <c r="M2143" s="74">
        <v>0.287558722</v>
      </c>
    </row>
    <row r="2144">
      <c r="A2144" s="1" t="s">
        <v>336</v>
      </c>
      <c r="B2144" s="38">
        <v>605488.0</v>
      </c>
      <c r="C2144" s="72">
        <v>45875.0</v>
      </c>
      <c r="D2144" s="38">
        <v>91.0</v>
      </c>
      <c r="E2144" s="73" t="str">
        <f>IFERROR(__xludf.DUMMYFUNCTION("average(filter('Appearance Sheet'!F:F,'Appearance Sheet'!G:G=B2144,'Appearance Sheet'!A:A=C2144))"),"#N/A")</f>
        <v>#N/A</v>
      </c>
      <c r="F2144" s="67">
        <v>5.110741294</v>
      </c>
      <c r="G2144" s="40">
        <v>1.861322197</v>
      </c>
      <c r="H2144" s="40" t="str">
        <f t="shared" si="1"/>
        <v>#N/A</v>
      </c>
      <c r="I2144" s="41">
        <v>0.461538462</v>
      </c>
      <c r="J2144" s="41">
        <v>0.153846154</v>
      </c>
      <c r="K2144" s="41">
        <v>0.384615385</v>
      </c>
      <c r="L2144" s="41">
        <f t="shared" si="2"/>
        <v>0.076923077</v>
      </c>
      <c r="M2144" s="74">
        <v>4.284177673</v>
      </c>
    </row>
    <row r="2145">
      <c r="A2145" s="1" t="s">
        <v>356</v>
      </c>
      <c r="B2145" s="38">
        <v>680732.0</v>
      </c>
      <c r="C2145" s="72">
        <v>45827.0</v>
      </c>
      <c r="D2145" s="38">
        <v>96.0</v>
      </c>
      <c r="E2145" s="73">
        <f>IFERROR(__xludf.DUMMYFUNCTION("average(filter('Appearance Sheet'!F:F,'Appearance Sheet'!G:G=B2145,'Appearance Sheet'!A:A=C2145))"),5.333333333333333)</f>
        <v>5.333333333</v>
      </c>
      <c r="F2145" s="67">
        <v>5.110517944</v>
      </c>
      <c r="G2145" s="40">
        <v>2.004975098</v>
      </c>
      <c r="H2145" s="40">
        <f t="shared" si="1"/>
        <v>3.383395478</v>
      </c>
      <c r="I2145" s="41">
        <v>0.489583333</v>
      </c>
      <c r="J2145" s="41">
        <v>0.1875</v>
      </c>
      <c r="K2145" s="41">
        <v>0.322916667</v>
      </c>
      <c r="L2145" s="41">
        <f t="shared" si="2"/>
        <v>0.166666666</v>
      </c>
      <c r="M2145" s="74">
        <v>1.109029619</v>
      </c>
    </row>
    <row r="2146">
      <c r="A2146" s="1" t="s">
        <v>232</v>
      </c>
      <c r="B2146" s="38">
        <v>579328.0</v>
      </c>
      <c r="C2146" s="72">
        <v>45773.0</v>
      </c>
      <c r="D2146" s="38">
        <v>66.0</v>
      </c>
      <c r="E2146" s="73">
        <f>IFERROR(__xludf.DUMMYFUNCTION("average(filter('Appearance Sheet'!F:F,'Appearance Sheet'!G:G=B2146,'Appearance Sheet'!A:A=C2146))"),2.0)</f>
        <v>2</v>
      </c>
      <c r="F2146" s="67">
        <v>5.11030216</v>
      </c>
      <c r="G2146" s="40">
        <v>1.392688332</v>
      </c>
      <c r="H2146" s="40">
        <f t="shared" si="1"/>
        <v>6.267097494</v>
      </c>
      <c r="I2146" s="41">
        <v>0.560606061</v>
      </c>
      <c r="J2146" s="41">
        <v>0.106060606</v>
      </c>
      <c r="K2146" s="41">
        <v>0.333333333</v>
      </c>
      <c r="L2146" s="41">
        <f t="shared" si="2"/>
        <v>0.227272728</v>
      </c>
      <c r="M2146" s="74">
        <v>-5.996803937</v>
      </c>
    </row>
    <row r="2147">
      <c r="A2147" s="1" t="s">
        <v>456</v>
      </c>
      <c r="B2147" s="38">
        <v>605135.0</v>
      </c>
      <c r="C2147" s="72">
        <v>45779.0</v>
      </c>
      <c r="D2147" s="38">
        <v>96.0</v>
      </c>
      <c r="E2147" s="73">
        <f>IFERROR(__xludf.DUMMYFUNCTION("average(filter('Appearance Sheet'!F:F,'Appearance Sheet'!G:G=B2147,'Appearance Sheet'!A:A=C2147))"),5.333333333333333)</f>
        <v>5.333333333</v>
      </c>
      <c r="F2147" s="67">
        <v>5.110220975</v>
      </c>
      <c r="G2147" s="40">
        <v>1.987394358</v>
      </c>
      <c r="H2147" s="40">
        <f t="shared" si="1"/>
        <v>3.353727979</v>
      </c>
      <c r="I2147" s="41">
        <v>0.489583333</v>
      </c>
      <c r="J2147" s="41">
        <v>0.177083333</v>
      </c>
      <c r="K2147" s="41">
        <v>0.333333333</v>
      </c>
      <c r="L2147" s="41">
        <f t="shared" si="2"/>
        <v>0.15625</v>
      </c>
      <c r="M2147" s="74">
        <v>1.589751662</v>
      </c>
    </row>
    <row r="2148">
      <c r="A2148" s="1" t="s">
        <v>100</v>
      </c>
      <c r="B2148" s="38">
        <v>676979.0</v>
      </c>
      <c r="C2148" s="72">
        <v>45919.0</v>
      </c>
      <c r="D2148" s="38">
        <v>90.0</v>
      </c>
      <c r="E2148" s="73" t="str">
        <f>IFERROR(__xludf.DUMMYFUNCTION("average(filter('Appearance Sheet'!F:F,'Appearance Sheet'!G:G=B2148,'Appearance Sheet'!A:A=C2148))"),"#N/A")</f>
        <v>#N/A</v>
      </c>
      <c r="F2148" s="67">
        <v>5.109872983</v>
      </c>
      <c r="G2148" s="40">
        <v>1.847574426</v>
      </c>
      <c r="H2148" s="40" t="str">
        <f t="shared" si="1"/>
        <v>#N/A</v>
      </c>
      <c r="I2148" s="41">
        <v>0.477777778</v>
      </c>
      <c r="J2148" s="41">
        <v>0.133333333</v>
      </c>
      <c r="K2148" s="41">
        <v>0.388888889</v>
      </c>
      <c r="L2148" s="41">
        <f t="shared" si="2"/>
        <v>0.088888889</v>
      </c>
      <c r="M2148" s="74">
        <v>0.648916979</v>
      </c>
    </row>
    <row r="2149">
      <c r="A2149" s="1" t="s">
        <v>163</v>
      </c>
      <c r="B2149" s="38">
        <v>663460.0</v>
      </c>
      <c r="C2149" s="72">
        <v>45809.0</v>
      </c>
      <c r="D2149" s="38">
        <v>98.0</v>
      </c>
      <c r="E2149" s="73">
        <f>IFERROR(__xludf.DUMMYFUNCTION("average(filter('Appearance Sheet'!F:F,'Appearance Sheet'!G:G=B2149,'Appearance Sheet'!A:A=C2149))"),7.0)</f>
        <v>7</v>
      </c>
      <c r="F2149" s="67">
        <v>5.109569209</v>
      </c>
      <c r="G2149" s="40">
        <v>2.072925726</v>
      </c>
      <c r="H2149" s="40">
        <f t="shared" si="1"/>
        <v>2.665190219</v>
      </c>
      <c r="I2149" s="41">
        <v>0.428571429</v>
      </c>
      <c r="J2149" s="41">
        <v>0.244897959</v>
      </c>
      <c r="K2149" s="41">
        <v>0.326530612</v>
      </c>
      <c r="L2149" s="41">
        <f t="shared" si="2"/>
        <v>0.102040817</v>
      </c>
      <c r="M2149" s="74">
        <v>1.320646231</v>
      </c>
    </row>
    <row r="2150">
      <c r="A2150" s="1" t="s">
        <v>343</v>
      </c>
      <c r="B2150" s="38">
        <v>682243.0</v>
      </c>
      <c r="C2150" s="72">
        <v>45923.0</v>
      </c>
      <c r="D2150" s="38">
        <v>84.0</v>
      </c>
      <c r="E2150" s="73" t="str">
        <f>IFERROR(__xludf.DUMMYFUNCTION("average(filter('Appearance Sheet'!F:F,'Appearance Sheet'!G:G=B2150,'Appearance Sheet'!A:A=C2150))"),"#N/A")</f>
        <v>#N/A</v>
      </c>
      <c r="F2150" s="67">
        <v>5.109472222</v>
      </c>
      <c r="G2150" s="40">
        <v>1.764058879</v>
      </c>
      <c r="H2150" s="40" t="str">
        <f t="shared" si="1"/>
        <v>#N/A</v>
      </c>
      <c r="I2150" s="41">
        <v>0.488095238</v>
      </c>
      <c r="J2150" s="41">
        <v>0.202380952</v>
      </c>
      <c r="K2150" s="41">
        <v>0.30952381</v>
      </c>
      <c r="L2150" s="41">
        <f t="shared" si="2"/>
        <v>0.178571428</v>
      </c>
      <c r="M2150" s="74">
        <v>-0.285490832</v>
      </c>
    </row>
    <row r="2151">
      <c r="A2151" s="1" t="s">
        <v>173</v>
      </c>
      <c r="B2151" s="38">
        <v>641927.0</v>
      </c>
      <c r="C2151" s="72">
        <v>45883.0</v>
      </c>
      <c r="D2151" s="38">
        <v>86.0</v>
      </c>
      <c r="E2151" s="73" t="str">
        <f>IFERROR(__xludf.DUMMYFUNCTION("average(filter('Appearance Sheet'!F:F,'Appearance Sheet'!G:G=B2151,'Appearance Sheet'!A:A=C2151))"),"#N/A")</f>
        <v>#N/A</v>
      </c>
      <c r="F2151" s="67">
        <v>5.109194152</v>
      </c>
      <c r="G2151" s="40">
        <v>1.791340286</v>
      </c>
      <c r="H2151" s="40" t="str">
        <f t="shared" si="1"/>
        <v>#N/A</v>
      </c>
      <c r="I2151" s="41">
        <v>0.441860465</v>
      </c>
      <c r="J2151" s="41">
        <v>0.209302326</v>
      </c>
      <c r="K2151" s="41">
        <v>0.348837209</v>
      </c>
      <c r="L2151" s="41">
        <f t="shared" si="2"/>
        <v>0.093023256</v>
      </c>
      <c r="M2151" s="74">
        <v>2.059139845</v>
      </c>
    </row>
    <row r="2152">
      <c r="A2152" s="1" t="s">
        <v>376</v>
      </c>
      <c r="B2152" s="38">
        <v>668909.0</v>
      </c>
      <c r="C2152" s="72">
        <v>45858.0</v>
      </c>
      <c r="D2152" s="38">
        <v>95.0</v>
      </c>
      <c r="E2152" s="73" t="str">
        <f>IFERROR(__xludf.DUMMYFUNCTION("average(filter('Appearance Sheet'!F:F,'Appearance Sheet'!G:G=B2152,'Appearance Sheet'!A:A=C2152))"),"#N/A")</f>
        <v>#N/A</v>
      </c>
      <c r="F2152" s="67">
        <v>5.109101253</v>
      </c>
      <c r="G2152" s="40">
        <v>1.982706936</v>
      </c>
      <c r="H2152" s="40" t="str">
        <f t="shared" si="1"/>
        <v>#N/A</v>
      </c>
      <c r="I2152" s="41">
        <v>0.505263158</v>
      </c>
      <c r="J2152" s="41">
        <v>0.157894737</v>
      </c>
      <c r="K2152" s="41">
        <v>0.336842105</v>
      </c>
      <c r="L2152" s="41">
        <f t="shared" si="2"/>
        <v>0.168421053</v>
      </c>
      <c r="M2152" s="74">
        <v>1.513756022</v>
      </c>
    </row>
    <row r="2153">
      <c r="A2153" s="1" t="s">
        <v>410</v>
      </c>
      <c r="B2153" s="38">
        <v>678394.0</v>
      </c>
      <c r="C2153" s="72">
        <v>45857.0</v>
      </c>
      <c r="D2153" s="38">
        <v>92.0</v>
      </c>
      <c r="E2153" s="73" t="str">
        <f>IFERROR(__xludf.DUMMYFUNCTION("average(filter('Appearance Sheet'!F:F,'Appearance Sheet'!G:G=B2153,'Appearance Sheet'!A:A=C2153))"),"#N/A")</f>
        <v>#N/A</v>
      </c>
      <c r="F2153" s="67">
        <v>5.109093229</v>
      </c>
      <c r="G2153" s="40">
        <v>1.926123041</v>
      </c>
      <c r="H2153" s="40" t="str">
        <f t="shared" si="1"/>
        <v>#N/A</v>
      </c>
      <c r="I2153" s="41">
        <v>0.510869565</v>
      </c>
      <c r="J2153" s="41">
        <v>0.119565217</v>
      </c>
      <c r="K2153" s="41">
        <v>0.369565217</v>
      </c>
      <c r="L2153" s="41">
        <f t="shared" si="2"/>
        <v>0.141304348</v>
      </c>
      <c r="M2153" s="74">
        <v>-1.648124131</v>
      </c>
    </row>
    <row r="2154">
      <c r="A2154" s="1" t="s">
        <v>344</v>
      </c>
      <c r="B2154" s="38">
        <v>701542.0</v>
      </c>
      <c r="C2154" s="72">
        <v>45781.0</v>
      </c>
      <c r="D2154" s="38">
        <v>101.0</v>
      </c>
      <c r="E2154" s="73">
        <f>IFERROR(__xludf.DUMMYFUNCTION("average(filter('Appearance Sheet'!F:F,'Appearance Sheet'!G:G=B2154,'Appearance Sheet'!A:A=C2154))"),4.666666666666667)</f>
        <v>4.666666667</v>
      </c>
      <c r="F2154" s="67">
        <v>5.108818687</v>
      </c>
      <c r="G2154" s="40">
        <v>2.095495272</v>
      </c>
      <c r="H2154" s="40">
        <f t="shared" si="1"/>
        <v>4.04131231</v>
      </c>
      <c r="I2154" s="41">
        <v>0.495049505</v>
      </c>
      <c r="J2154" s="41">
        <v>0.217821782</v>
      </c>
      <c r="K2154" s="41">
        <v>0.287128713</v>
      </c>
      <c r="L2154" s="41">
        <f t="shared" si="2"/>
        <v>0.207920792</v>
      </c>
      <c r="M2154" s="74">
        <v>-0.716796704</v>
      </c>
    </row>
    <row r="2155">
      <c r="A2155" s="1" t="s">
        <v>84</v>
      </c>
      <c r="B2155" s="38">
        <v>669373.0</v>
      </c>
      <c r="C2155" s="72">
        <v>45871.0</v>
      </c>
      <c r="D2155" s="38">
        <v>97.0</v>
      </c>
      <c r="E2155" s="73" t="str">
        <f>IFERROR(__xludf.DUMMYFUNCTION("average(filter('Appearance Sheet'!F:F,'Appearance Sheet'!G:G=B2155,'Appearance Sheet'!A:A=C2155))"),"#N/A")</f>
        <v>#N/A</v>
      </c>
      <c r="F2155" s="67">
        <v>5.10836351</v>
      </c>
      <c r="G2155" s="40">
        <v>2.03280307</v>
      </c>
      <c r="H2155" s="40" t="str">
        <f t="shared" si="1"/>
        <v>#N/A</v>
      </c>
      <c r="I2155" s="41">
        <v>0.443298969</v>
      </c>
      <c r="J2155" s="41">
        <v>0.237113402</v>
      </c>
      <c r="K2155" s="41">
        <v>0.319587629</v>
      </c>
      <c r="L2155" s="41">
        <f t="shared" si="2"/>
        <v>0.12371134</v>
      </c>
      <c r="M2155" s="74">
        <v>1.48508502</v>
      </c>
    </row>
    <row r="2156">
      <c r="A2156" s="1" t="s">
        <v>281</v>
      </c>
      <c r="B2156" s="38">
        <v>622663.0</v>
      </c>
      <c r="C2156" s="72">
        <v>45815.0</v>
      </c>
      <c r="D2156" s="38">
        <v>104.0</v>
      </c>
      <c r="E2156" s="73">
        <f>IFERROR(__xludf.DUMMYFUNCTION("average(filter('Appearance Sheet'!F:F,'Appearance Sheet'!G:G=B2156,'Appearance Sheet'!A:A=C2156))"),5.666666666666667)</f>
        <v>5.666666667</v>
      </c>
      <c r="F2156" s="67">
        <v>5.10833891</v>
      </c>
      <c r="G2156" s="40">
        <v>2.171968689</v>
      </c>
      <c r="H2156" s="40">
        <f t="shared" si="1"/>
        <v>3.44959733</v>
      </c>
      <c r="I2156" s="41">
        <v>0.423076923</v>
      </c>
      <c r="J2156" s="41">
        <v>0.230769231</v>
      </c>
      <c r="K2156" s="41">
        <v>0.346153846</v>
      </c>
      <c r="L2156" s="41">
        <f t="shared" si="2"/>
        <v>0.076923077</v>
      </c>
      <c r="M2156" s="74">
        <v>-1.877476138</v>
      </c>
    </row>
    <row r="2157">
      <c r="A2157" s="1" t="s">
        <v>278</v>
      </c>
      <c r="B2157" s="38">
        <v>542881.0</v>
      </c>
      <c r="C2157" s="72">
        <v>45783.0</v>
      </c>
      <c r="D2157" s="38">
        <v>90.0</v>
      </c>
      <c r="E2157" s="73">
        <f>IFERROR(__xludf.DUMMYFUNCTION("average(filter('Appearance Sheet'!F:F,'Appearance Sheet'!G:G=B2157,'Appearance Sheet'!A:A=C2157))"),6.666666666666667)</f>
        <v>6.666666667</v>
      </c>
      <c r="F2157" s="67">
        <v>5.10802864</v>
      </c>
      <c r="G2157" s="40">
        <v>1.887882911</v>
      </c>
      <c r="H2157" s="40">
        <f t="shared" si="1"/>
        <v>2.54864193</v>
      </c>
      <c r="I2157" s="41">
        <v>0.4</v>
      </c>
      <c r="J2157" s="41">
        <v>0.188888889</v>
      </c>
      <c r="K2157" s="41">
        <v>0.411111111</v>
      </c>
      <c r="L2157" s="41">
        <f t="shared" si="2"/>
        <v>-0.011111111</v>
      </c>
      <c r="M2157" s="74">
        <v>-0.123095652</v>
      </c>
    </row>
    <row r="2158">
      <c r="A2158" s="1" t="s">
        <v>457</v>
      </c>
      <c r="B2158" s="38">
        <v>477132.0</v>
      </c>
      <c r="C2158" s="72">
        <v>45816.0</v>
      </c>
      <c r="D2158" s="38">
        <v>75.0</v>
      </c>
      <c r="E2158" s="73">
        <f>IFERROR(__xludf.DUMMYFUNCTION("average(filter('Appearance Sheet'!F:F,'Appearance Sheet'!G:G=B2158,'Appearance Sheet'!A:A=C2158))"),5.0)</f>
        <v>5</v>
      </c>
      <c r="F2158" s="67">
        <v>5.107957439</v>
      </c>
      <c r="G2158" s="40">
        <v>1.578440547</v>
      </c>
      <c r="H2158" s="40">
        <f t="shared" si="1"/>
        <v>2.841192985</v>
      </c>
      <c r="I2158" s="41">
        <v>0.48</v>
      </c>
      <c r="J2158" s="41">
        <v>0.2</v>
      </c>
      <c r="K2158" s="41">
        <v>0.32</v>
      </c>
      <c r="L2158" s="41">
        <f t="shared" si="2"/>
        <v>0.16</v>
      </c>
      <c r="M2158" s="74">
        <v>-2.110528749</v>
      </c>
    </row>
    <row r="2159">
      <c r="A2159" s="1" t="s">
        <v>218</v>
      </c>
      <c r="B2159" s="38">
        <v>669432.0</v>
      </c>
      <c r="C2159" s="72">
        <v>45887.0</v>
      </c>
      <c r="D2159" s="38">
        <v>97.0</v>
      </c>
      <c r="E2159" s="73" t="str">
        <f>IFERROR(__xludf.DUMMYFUNCTION("average(filter('Appearance Sheet'!F:F,'Appearance Sheet'!G:G=B2159,'Appearance Sheet'!A:A=C2159))"),"#N/A")</f>
        <v>#N/A</v>
      </c>
      <c r="F2159" s="67">
        <v>5.107892012</v>
      </c>
      <c r="G2159" s="40">
        <v>2.055938108</v>
      </c>
      <c r="H2159" s="40" t="str">
        <f t="shared" si="1"/>
        <v>#N/A</v>
      </c>
      <c r="I2159" s="41">
        <v>0.474226804</v>
      </c>
      <c r="J2159" s="41">
        <v>0.18556701</v>
      </c>
      <c r="K2159" s="41">
        <v>0.340206186</v>
      </c>
      <c r="L2159" s="41">
        <f t="shared" si="2"/>
        <v>0.134020618</v>
      </c>
      <c r="M2159" s="74">
        <v>3.353265591</v>
      </c>
    </row>
    <row r="2160">
      <c r="A2160" s="1" t="s">
        <v>450</v>
      </c>
      <c r="B2160" s="38">
        <v>682990.0</v>
      </c>
      <c r="C2160" s="72">
        <v>45856.0</v>
      </c>
      <c r="D2160" s="38">
        <v>74.0</v>
      </c>
      <c r="E2160" s="73" t="str">
        <f>IFERROR(__xludf.DUMMYFUNCTION("average(filter('Appearance Sheet'!F:F,'Appearance Sheet'!G:G=B2160,'Appearance Sheet'!A:A=C2160))"),"#N/A")</f>
        <v>#N/A</v>
      </c>
      <c r="F2160" s="67">
        <v>5.107696726</v>
      </c>
      <c r="G2160" s="40">
        <v>1.535244928</v>
      </c>
      <c r="H2160" s="40" t="str">
        <f t="shared" si="1"/>
        <v>#N/A</v>
      </c>
      <c r="I2160" s="41">
        <v>0.459459459</v>
      </c>
      <c r="J2160" s="41">
        <v>0.175675676</v>
      </c>
      <c r="K2160" s="41">
        <v>0.364864865</v>
      </c>
      <c r="L2160" s="41">
        <f t="shared" si="2"/>
        <v>0.094594594</v>
      </c>
      <c r="M2160" s="74">
        <v>1.448611496</v>
      </c>
    </row>
    <row r="2161">
      <c r="A2161" s="1" t="s">
        <v>269</v>
      </c>
      <c r="B2161" s="38">
        <v>605280.0</v>
      </c>
      <c r="C2161" s="72">
        <v>45846.0</v>
      </c>
      <c r="D2161" s="38">
        <v>85.0</v>
      </c>
      <c r="E2161" s="73" t="str">
        <f>IFERROR(__xludf.DUMMYFUNCTION("average(filter('Appearance Sheet'!F:F,'Appearance Sheet'!G:G=B2161,'Appearance Sheet'!A:A=C2161))"),"#N/A")</f>
        <v>#N/A</v>
      </c>
      <c r="F2161" s="67">
        <v>5.107611325</v>
      </c>
      <c r="G2161" s="40">
        <v>1.75538756</v>
      </c>
      <c r="H2161" s="40" t="str">
        <f t="shared" si="1"/>
        <v>#N/A</v>
      </c>
      <c r="I2161" s="41">
        <v>0.470588235</v>
      </c>
      <c r="J2161" s="41">
        <v>0.188235294</v>
      </c>
      <c r="K2161" s="41">
        <v>0.341176471</v>
      </c>
      <c r="L2161" s="41">
        <f t="shared" si="2"/>
        <v>0.129411764</v>
      </c>
      <c r="M2161" s="74">
        <v>-2.104548303</v>
      </c>
    </row>
    <row r="2162">
      <c r="A2162" s="1" t="s">
        <v>99</v>
      </c>
      <c r="B2162" s="38">
        <v>592791.0</v>
      </c>
      <c r="C2162" s="72">
        <v>45815.0</v>
      </c>
      <c r="D2162" s="38">
        <v>83.0</v>
      </c>
      <c r="E2162" s="73">
        <f>IFERROR(__xludf.DUMMYFUNCTION("average(filter('Appearance Sheet'!F:F,'Appearance Sheet'!G:G=B2162,'Appearance Sheet'!A:A=C2162))"),7.0)</f>
        <v>7</v>
      </c>
      <c r="F2162" s="67">
        <v>5.107552045</v>
      </c>
      <c r="G2162" s="40">
        <v>1.744919563</v>
      </c>
      <c r="H2162" s="40">
        <f t="shared" si="1"/>
        <v>2.24346801</v>
      </c>
      <c r="I2162" s="41">
        <v>0.457831325</v>
      </c>
      <c r="J2162" s="41">
        <v>0.180722892</v>
      </c>
      <c r="K2162" s="41">
        <v>0.361445783</v>
      </c>
      <c r="L2162" s="41">
        <f t="shared" si="2"/>
        <v>0.096385542</v>
      </c>
      <c r="M2162" s="74">
        <v>0.55691245</v>
      </c>
    </row>
    <row r="2163">
      <c r="A2163" s="1" t="s">
        <v>452</v>
      </c>
      <c r="B2163" s="38">
        <v>607625.0</v>
      </c>
      <c r="C2163" s="72">
        <v>45856.0</v>
      </c>
      <c r="D2163" s="38">
        <v>83.0</v>
      </c>
      <c r="E2163" s="73" t="str">
        <f>IFERROR(__xludf.DUMMYFUNCTION("average(filter('Appearance Sheet'!F:F,'Appearance Sheet'!G:G=B2163,'Appearance Sheet'!A:A=C2163))"),"#N/A")</f>
        <v>#N/A</v>
      </c>
      <c r="F2163" s="67">
        <v>5.107478704</v>
      </c>
      <c r="G2163" s="40">
        <v>1.750420906</v>
      </c>
      <c r="H2163" s="40" t="str">
        <f t="shared" si="1"/>
        <v>#N/A</v>
      </c>
      <c r="I2163" s="41">
        <v>0.457831325</v>
      </c>
      <c r="J2163" s="41">
        <v>0.180722892</v>
      </c>
      <c r="K2163" s="41">
        <v>0.361445783</v>
      </c>
      <c r="L2163" s="41">
        <f t="shared" si="2"/>
        <v>0.096385542</v>
      </c>
      <c r="M2163" s="74">
        <v>-3.008399249</v>
      </c>
    </row>
    <row r="2164">
      <c r="A2164" s="1" t="s">
        <v>336</v>
      </c>
      <c r="B2164" s="38">
        <v>605488.0</v>
      </c>
      <c r="C2164" s="72">
        <v>45863.0</v>
      </c>
      <c r="D2164" s="38">
        <v>87.0</v>
      </c>
      <c r="E2164" s="73" t="str">
        <f>IFERROR(__xludf.DUMMYFUNCTION("average(filter('Appearance Sheet'!F:F,'Appearance Sheet'!G:G=B2164,'Appearance Sheet'!A:A=C2164))"),"#N/A")</f>
        <v>#N/A</v>
      </c>
      <c r="F2164" s="67">
        <v>5.107344248</v>
      </c>
      <c r="G2164" s="40">
        <v>1.829807807</v>
      </c>
      <c r="H2164" s="40" t="str">
        <f t="shared" si="1"/>
        <v>#N/A</v>
      </c>
      <c r="I2164" s="41">
        <v>0.459770115</v>
      </c>
      <c r="J2164" s="41">
        <v>0.172413793</v>
      </c>
      <c r="K2164" s="41">
        <v>0.367816092</v>
      </c>
      <c r="L2164" s="41">
        <f t="shared" si="2"/>
        <v>0.091954023</v>
      </c>
      <c r="M2164" s="74">
        <v>1.311281923</v>
      </c>
    </row>
    <row r="2165">
      <c r="A2165" s="1" t="s">
        <v>79</v>
      </c>
      <c r="B2165" s="38">
        <v>554430.0</v>
      </c>
      <c r="C2165" s="72">
        <v>45859.0</v>
      </c>
      <c r="D2165" s="38">
        <v>100.0</v>
      </c>
      <c r="E2165" s="73" t="str">
        <f>IFERROR(__xludf.DUMMYFUNCTION("average(filter('Appearance Sheet'!F:F,'Appearance Sheet'!G:G=B2165,'Appearance Sheet'!A:A=C2165))"),"#N/A")</f>
        <v>#N/A</v>
      </c>
      <c r="F2165" s="67">
        <v>5.107259943</v>
      </c>
      <c r="G2165" s="40">
        <v>2.087686538</v>
      </c>
      <c r="H2165" s="40" t="str">
        <f t="shared" si="1"/>
        <v>#N/A</v>
      </c>
      <c r="I2165" s="41">
        <v>0.46</v>
      </c>
      <c r="J2165" s="41">
        <v>0.18</v>
      </c>
      <c r="K2165" s="41">
        <v>0.36</v>
      </c>
      <c r="L2165" s="41">
        <f t="shared" si="2"/>
        <v>0.1</v>
      </c>
      <c r="M2165" s="74">
        <v>-2.148367745</v>
      </c>
    </row>
    <row r="2166">
      <c r="A2166" s="1" t="s">
        <v>130</v>
      </c>
      <c r="B2166" s="38">
        <v>666200.0</v>
      </c>
      <c r="C2166" s="72">
        <v>45878.0</v>
      </c>
      <c r="D2166" s="38">
        <v>80.0</v>
      </c>
      <c r="E2166" s="73" t="str">
        <f>IFERROR(__xludf.DUMMYFUNCTION("average(filter('Appearance Sheet'!F:F,'Appearance Sheet'!G:G=B2166,'Appearance Sheet'!A:A=C2166))"),"#N/A")</f>
        <v>#N/A</v>
      </c>
      <c r="F2166" s="67">
        <v>5.107215032</v>
      </c>
      <c r="G2166" s="40">
        <v>1.686509419</v>
      </c>
      <c r="H2166" s="40" t="str">
        <f t="shared" si="1"/>
        <v>#N/A</v>
      </c>
      <c r="I2166" s="41">
        <v>0.45</v>
      </c>
      <c r="J2166" s="41">
        <v>0.2125</v>
      </c>
      <c r="K2166" s="41">
        <v>0.3375</v>
      </c>
      <c r="L2166" s="41">
        <f t="shared" si="2"/>
        <v>0.1125</v>
      </c>
      <c r="M2166" s="74">
        <v>-2.669685638</v>
      </c>
    </row>
    <row r="2167">
      <c r="A2167" s="1" t="s">
        <v>470</v>
      </c>
      <c r="B2167" s="38">
        <v>681343.0</v>
      </c>
      <c r="C2167" s="72">
        <v>45771.0</v>
      </c>
      <c r="D2167" s="38">
        <v>82.0</v>
      </c>
      <c r="E2167" s="73">
        <f>IFERROR(__xludf.DUMMYFUNCTION("average(filter('Appearance Sheet'!F:F,'Appearance Sheet'!G:G=B2167,'Appearance Sheet'!A:A=C2167))"),5.0)</f>
        <v>5</v>
      </c>
      <c r="F2167" s="67">
        <v>5.107109352</v>
      </c>
      <c r="G2167" s="40">
        <v>1.732152525</v>
      </c>
      <c r="H2167" s="40">
        <f t="shared" si="1"/>
        <v>3.117874545</v>
      </c>
      <c r="I2167" s="41">
        <v>0.487804878</v>
      </c>
      <c r="J2167" s="41">
        <v>0.134146341</v>
      </c>
      <c r="K2167" s="41">
        <v>0.37804878</v>
      </c>
      <c r="L2167" s="41">
        <f t="shared" si="2"/>
        <v>0.109756098</v>
      </c>
      <c r="M2167" s="74">
        <v>1.227310492</v>
      </c>
    </row>
    <row r="2168">
      <c r="A2168" s="1" t="s">
        <v>321</v>
      </c>
      <c r="B2168" s="38">
        <v>607200.0</v>
      </c>
      <c r="C2168" s="72">
        <v>45762.0</v>
      </c>
      <c r="D2168" s="38">
        <v>91.0</v>
      </c>
      <c r="E2168" s="73">
        <f>IFERROR(__xludf.DUMMYFUNCTION("average(filter('Appearance Sheet'!F:F,'Appearance Sheet'!G:G=B2168,'Appearance Sheet'!A:A=C2168))"),6.0)</f>
        <v>6</v>
      </c>
      <c r="F2168" s="67">
        <v>5.106965167</v>
      </c>
      <c r="G2168" s="40">
        <v>1.955485947</v>
      </c>
      <c r="H2168" s="40">
        <f t="shared" si="1"/>
        <v>2.933228921</v>
      </c>
      <c r="I2168" s="41">
        <v>0.461538462</v>
      </c>
      <c r="J2168" s="41">
        <v>0.197802198</v>
      </c>
      <c r="K2168" s="41">
        <v>0.340659341</v>
      </c>
      <c r="L2168" s="41">
        <f t="shared" si="2"/>
        <v>0.120879121</v>
      </c>
      <c r="M2168" s="74">
        <v>0.115275195</v>
      </c>
    </row>
    <row r="2169">
      <c r="A2169" s="1" t="s">
        <v>369</v>
      </c>
      <c r="B2169" s="38">
        <v>596295.0</v>
      </c>
      <c r="C2169" s="72">
        <v>45823.0</v>
      </c>
      <c r="D2169" s="38">
        <v>74.0</v>
      </c>
      <c r="E2169" s="73">
        <f>IFERROR(__xludf.DUMMYFUNCTION("average(filter('Appearance Sheet'!F:F,'Appearance Sheet'!G:G=B2169,'Appearance Sheet'!A:A=C2169))"),5.0)</f>
        <v>5</v>
      </c>
      <c r="F2169" s="67">
        <v>5.106846542</v>
      </c>
      <c r="G2169" s="40">
        <v>1.549438635</v>
      </c>
      <c r="H2169" s="40">
        <f t="shared" si="1"/>
        <v>2.788989543</v>
      </c>
      <c r="I2169" s="41">
        <v>0.513513514</v>
      </c>
      <c r="J2169" s="41">
        <v>0.135135135</v>
      </c>
      <c r="K2169" s="41">
        <v>0.351351351</v>
      </c>
      <c r="L2169" s="41">
        <f t="shared" si="2"/>
        <v>0.162162163</v>
      </c>
      <c r="M2169" s="74">
        <v>2.574241991</v>
      </c>
    </row>
    <row r="2170">
      <c r="A2170" s="1" t="s">
        <v>163</v>
      </c>
      <c r="B2170" s="38">
        <v>663460.0</v>
      </c>
      <c r="C2170" s="72">
        <v>45747.0</v>
      </c>
      <c r="D2170" s="38">
        <v>92.0</v>
      </c>
      <c r="E2170" s="73">
        <f>IFERROR(__xludf.DUMMYFUNCTION("average(filter('Appearance Sheet'!F:F,'Appearance Sheet'!G:G=B2170,'Appearance Sheet'!A:A=C2170))"),6.0)</f>
        <v>6</v>
      </c>
      <c r="F2170" s="67">
        <v>5.106605146</v>
      </c>
      <c r="G2170" s="40">
        <v>1.95253615</v>
      </c>
      <c r="H2170" s="40">
        <f t="shared" si="1"/>
        <v>2.928804225</v>
      </c>
      <c r="I2170" s="41">
        <v>0.467391304</v>
      </c>
      <c r="J2170" s="41">
        <v>0.173913043</v>
      </c>
      <c r="K2170" s="41">
        <v>0.358695652</v>
      </c>
      <c r="L2170" s="41">
        <f t="shared" si="2"/>
        <v>0.108695652</v>
      </c>
      <c r="M2170" s="74">
        <v>2.005674077</v>
      </c>
    </row>
    <row r="2171">
      <c r="A2171" s="1" t="s">
        <v>177</v>
      </c>
      <c r="B2171" s="38">
        <v>641793.0</v>
      </c>
      <c r="C2171" s="72">
        <v>45847.0</v>
      </c>
      <c r="D2171" s="38">
        <v>87.0</v>
      </c>
      <c r="E2171" s="73" t="str">
        <f>IFERROR(__xludf.DUMMYFUNCTION("average(filter('Appearance Sheet'!F:F,'Appearance Sheet'!G:G=B2171,'Appearance Sheet'!A:A=C2171))"),"#N/A")</f>
        <v>#N/A</v>
      </c>
      <c r="F2171" s="67">
        <v>5.106365323</v>
      </c>
      <c r="G2171" s="40">
        <v>1.83783739</v>
      </c>
      <c r="H2171" s="40" t="str">
        <f t="shared" si="1"/>
        <v>#N/A</v>
      </c>
      <c r="I2171" s="41">
        <v>0.494252874</v>
      </c>
      <c r="J2171" s="41">
        <v>0.137931034</v>
      </c>
      <c r="K2171" s="41">
        <v>0.367816092</v>
      </c>
      <c r="L2171" s="41">
        <f t="shared" si="2"/>
        <v>0.126436782</v>
      </c>
      <c r="M2171" s="74">
        <v>-0.016635765</v>
      </c>
    </row>
    <row r="2172">
      <c r="A2172" s="1" t="s">
        <v>153</v>
      </c>
      <c r="B2172" s="38">
        <v>669302.0</v>
      </c>
      <c r="C2172" s="72">
        <v>45876.0</v>
      </c>
      <c r="D2172" s="38">
        <v>89.0</v>
      </c>
      <c r="E2172" s="73" t="str">
        <f>IFERROR(__xludf.DUMMYFUNCTION("average(filter('Appearance Sheet'!F:F,'Appearance Sheet'!G:G=B2172,'Appearance Sheet'!A:A=C2172))"),"#N/A")</f>
        <v>#N/A</v>
      </c>
      <c r="F2172" s="67">
        <v>5.106249334</v>
      </c>
      <c r="G2172" s="40">
        <v>1.838016153</v>
      </c>
      <c r="H2172" s="40" t="str">
        <f t="shared" si="1"/>
        <v>#N/A</v>
      </c>
      <c r="I2172" s="41">
        <v>0.449438202</v>
      </c>
      <c r="J2172" s="41">
        <v>0.258426966</v>
      </c>
      <c r="K2172" s="41">
        <v>0.292134831</v>
      </c>
      <c r="L2172" s="41">
        <f t="shared" si="2"/>
        <v>0.157303371</v>
      </c>
      <c r="M2172" s="74">
        <v>3.434774967</v>
      </c>
    </row>
    <row r="2173">
      <c r="A2173" s="1" t="s">
        <v>399</v>
      </c>
      <c r="B2173" s="38">
        <v>543294.0</v>
      </c>
      <c r="C2173" s="72">
        <v>45842.0</v>
      </c>
      <c r="D2173" s="38">
        <v>77.0</v>
      </c>
      <c r="E2173" s="73">
        <f>IFERROR(__xludf.DUMMYFUNCTION("average(filter('Appearance Sheet'!F:F,'Appearance Sheet'!G:G=B2173,'Appearance Sheet'!A:A=C2173))"),5.333333333333333)</f>
        <v>5.333333333</v>
      </c>
      <c r="F2173" s="67">
        <v>5.106231818</v>
      </c>
      <c r="G2173" s="40">
        <v>1.616203691</v>
      </c>
      <c r="H2173" s="40">
        <f t="shared" si="1"/>
        <v>2.727343729</v>
      </c>
      <c r="I2173" s="41">
        <v>0.467532468</v>
      </c>
      <c r="J2173" s="41">
        <v>0.168831169</v>
      </c>
      <c r="K2173" s="41">
        <v>0.363636364</v>
      </c>
      <c r="L2173" s="41">
        <f t="shared" si="2"/>
        <v>0.103896104</v>
      </c>
      <c r="M2173" s="74">
        <v>1.557968648</v>
      </c>
    </row>
    <row r="2174">
      <c r="A2174" s="1" t="s">
        <v>464</v>
      </c>
      <c r="B2174" s="38">
        <v>615698.0</v>
      </c>
      <c r="C2174" s="72">
        <v>45783.0</v>
      </c>
      <c r="D2174" s="38">
        <v>78.0</v>
      </c>
      <c r="E2174" s="73">
        <f>IFERROR(__xludf.DUMMYFUNCTION("average(filter('Appearance Sheet'!F:F,'Appearance Sheet'!G:G=B2174,'Appearance Sheet'!A:A=C2174))"),5.0)</f>
        <v>5</v>
      </c>
      <c r="F2174" s="67">
        <v>5.105997429</v>
      </c>
      <c r="G2174" s="40">
        <v>1.650758241</v>
      </c>
      <c r="H2174" s="40">
        <f t="shared" si="1"/>
        <v>2.971364834</v>
      </c>
      <c r="I2174" s="41">
        <v>0.435897436</v>
      </c>
      <c r="J2174" s="41">
        <v>0.243589744</v>
      </c>
      <c r="K2174" s="41">
        <v>0.320512821</v>
      </c>
      <c r="L2174" s="41">
        <f t="shared" si="2"/>
        <v>0.115384615</v>
      </c>
      <c r="M2174" s="74">
        <v>1.371261046</v>
      </c>
    </row>
    <row r="2175">
      <c r="A2175" s="1" t="s">
        <v>485</v>
      </c>
      <c r="B2175" s="38">
        <v>701519.0</v>
      </c>
      <c r="C2175" s="72">
        <v>45843.0</v>
      </c>
      <c r="D2175" s="38">
        <v>66.0</v>
      </c>
      <c r="E2175" s="73" t="str">
        <f>IFERROR(__xludf.DUMMYFUNCTION("average(filter('Appearance Sheet'!F:F,'Appearance Sheet'!G:G=B2175,'Appearance Sheet'!A:A=C2175))"),"#N/A")</f>
        <v>#N/A</v>
      </c>
      <c r="F2175" s="67">
        <v>5.1059564</v>
      </c>
      <c r="G2175" s="40">
        <v>1.410185886</v>
      </c>
      <c r="H2175" s="40" t="str">
        <f t="shared" si="1"/>
        <v>#N/A</v>
      </c>
      <c r="I2175" s="41">
        <v>0.439393939</v>
      </c>
      <c r="J2175" s="41">
        <v>0.196969697</v>
      </c>
      <c r="K2175" s="41">
        <v>0.363636364</v>
      </c>
      <c r="L2175" s="41">
        <f t="shared" si="2"/>
        <v>0.075757575</v>
      </c>
      <c r="M2175" s="74">
        <v>-4.510763794</v>
      </c>
    </row>
    <row r="2176">
      <c r="A2176" s="1" t="s">
        <v>281</v>
      </c>
      <c r="B2176" s="38">
        <v>622663.0</v>
      </c>
      <c r="C2176" s="72">
        <v>45805.0</v>
      </c>
      <c r="D2176" s="38">
        <v>80.0</v>
      </c>
      <c r="E2176" s="73">
        <f>IFERROR(__xludf.DUMMYFUNCTION("average(filter('Appearance Sheet'!F:F,'Appearance Sheet'!G:G=B2176,'Appearance Sheet'!A:A=C2176))"),6.0)</f>
        <v>6</v>
      </c>
      <c r="F2176" s="67">
        <v>5.105634546</v>
      </c>
      <c r="G2176" s="40">
        <v>1.665498466</v>
      </c>
      <c r="H2176" s="40">
        <f t="shared" si="1"/>
        <v>2.498247699</v>
      </c>
      <c r="I2176" s="41">
        <v>0.45</v>
      </c>
      <c r="J2176" s="41">
        <v>0.1625</v>
      </c>
      <c r="K2176" s="41">
        <v>0.3875</v>
      </c>
      <c r="L2176" s="41">
        <f t="shared" si="2"/>
        <v>0.0625</v>
      </c>
      <c r="M2176" s="74">
        <v>0.690591677</v>
      </c>
    </row>
    <row r="2177">
      <c r="A2177" s="1" t="s">
        <v>481</v>
      </c>
      <c r="B2177" s="38">
        <v>622608.0</v>
      </c>
      <c r="C2177" s="72">
        <v>45750.0</v>
      </c>
      <c r="D2177" s="38">
        <v>90.0</v>
      </c>
      <c r="E2177" s="73">
        <f>IFERROR(__xludf.DUMMYFUNCTION("average(filter('Appearance Sheet'!F:F,'Appearance Sheet'!G:G=B2177,'Appearance Sheet'!A:A=C2177))"),5.333333333333333)</f>
        <v>5.333333333</v>
      </c>
      <c r="F2177" s="67">
        <v>5.105376884</v>
      </c>
      <c r="G2177" s="40">
        <v>1.910876718</v>
      </c>
      <c r="H2177" s="40">
        <f t="shared" si="1"/>
        <v>3.224604462</v>
      </c>
      <c r="I2177" s="41">
        <v>0.411111111</v>
      </c>
      <c r="J2177" s="41">
        <v>0.244444444</v>
      </c>
      <c r="K2177" s="41">
        <v>0.344444444</v>
      </c>
      <c r="L2177" s="41">
        <f t="shared" si="2"/>
        <v>0.066666667</v>
      </c>
      <c r="M2177" s="74">
        <v>-4.433074344</v>
      </c>
    </row>
    <row r="2178">
      <c r="A2178" s="1" t="s">
        <v>226</v>
      </c>
      <c r="B2178" s="38">
        <v>607259.0</v>
      </c>
      <c r="C2178" s="72">
        <v>45895.0</v>
      </c>
      <c r="D2178" s="38">
        <v>103.0</v>
      </c>
      <c r="E2178" s="73" t="str">
        <f>IFERROR(__xludf.DUMMYFUNCTION("average(filter('Appearance Sheet'!F:F,'Appearance Sheet'!G:G=B2178,'Appearance Sheet'!A:A=C2178))"),"#N/A")</f>
        <v>#N/A</v>
      </c>
      <c r="F2178" s="67">
        <v>5.105232707</v>
      </c>
      <c r="G2178" s="40">
        <v>2.166414346</v>
      </c>
      <c r="H2178" s="40" t="str">
        <f t="shared" si="1"/>
        <v>#N/A</v>
      </c>
      <c r="I2178" s="41">
        <v>0.427184466</v>
      </c>
      <c r="J2178" s="41">
        <v>0.281553398</v>
      </c>
      <c r="K2178" s="41">
        <v>0.291262136</v>
      </c>
      <c r="L2178" s="41">
        <f t="shared" si="2"/>
        <v>0.13592233</v>
      </c>
      <c r="M2178" s="74">
        <v>-0.270589595</v>
      </c>
    </row>
    <row r="2179">
      <c r="A2179" s="1" t="s">
        <v>271</v>
      </c>
      <c r="B2179" s="38">
        <v>606996.0</v>
      </c>
      <c r="C2179" s="72">
        <v>45747.0</v>
      </c>
      <c r="D2179" s="38">
        <v>79.0</v>
      </c>
      <c r="E2179" s="73">
        <f>IFERROR(__xludf.DUMMYFUNCTION("average(filter('Appearance Sheet'!F:F,'Appearance Sheet'!G:G=B2179,'Appearance Sheet'!A:A=C2179))"),5.0)</f>
        <v>5</v>
      </c>
      <c r="F2179" s="67">
        <v>5.105202529</v>
      </c>
      <c r="G2179" s="40">
        <v>1.649194862</v>
      </c>
      <c r="H2179" s="40">
        <f t="shared" si="1"/>
        <v>2.968550752</v>
      </c>
      <c r="I2179" s="41">
        <v>0.443037975</v>
      </c>
      <c r="J2179" s="41">
        <v>0.17721519</v>
      </c>
      <c r="K2179" s="41">
        <v>0.379746835</v>
      </c>
      <c r="L2179" s="41">
        <f t="shared" si="2"/>
        <v>0.06329114</v>
      </c>
      <c r="M2179" s="74">
        <v>-0.069377007</v>
      </c>
    </row>
    <row r="2180">
      <c r="A2180" s="1" t="s">
        <v>113</v>
      </c>
      <c r="B2180" s="38">
        <v>664285.0</v>
      </c>
      <c r="C2180" s="72">
        <v>45884.0</v>
      </c>
      <c r="D2180" s="38">
        <v>94.0</v>
      </c>
      <c r="E2180" s="73" t="str">
        <f>IFERROR(__xludf.DUMMYFUNCTION("average(filter('Appearance Sheet'!F:F,'Appearance Sheet'!G:G=B2180,'Appearance Sheet'!A:A=C2180))"),"#N/A")</f>
        <v>#N/A</v>
      </c>
      <c r="F2180" s="67">
        <v>5.105147031</v>
      </c>
      <c r="G2180" s="40">
        <v>1.998487266</v>
      </c>
      <c r="H2180" s="40" t="str">
        <f t="shared" si="1"/>
        <v>#N/A</v>
      </c>
      <c r="I2180" s="41">
        <v>0.521276596</v>
      </c>
      <c r="J2180" s="41">
        <v>0.127659574</v>
      </c>
      <c r="K2180" s="41">
        <v>0.35106383</v>
      </c>
      <c r="L2180" s="41">
        <f t="shared" si="2"/>
        <v>0.170212766</v>
      </c>
      <c r="M2180" s="74">
        <v>-3.068878673</v>
      </c>
    </row>
    <row r="2181">
      <c r="A2181" s="1" t="s">
        <v>424</v>
      </c>
      <c r="B2181" s="38">
        <v>667755.0</v>
      </c>
      <c r="C2181" s="72">
        <v>45751.0</v>
      </c>
      <c r="D2181" s="38">
        <v>86.0</v>
      </c>
      <c r="E2181" s="73">
        <f>IFERROR(__xludf.DUMMYFUNCTION("average(filter('Appearance Sheet'!F:F,'Appearance Sheet'!G:G=B2181,'Appearance Sheet'!A:A=C2181))"),5.333333333333333)</f>
        <v>5.333333333</v>
      </c>
      <c r="F2181" s="67">
        <v>5.105101943</v>
      </c>
      <c r="G2181" s="40">
        <v>1.792087519</v>
      </c>
      <c r="H2181" s="40">
        <f t="shared" si="1"/>
        <v>3.024147688</v>
      </c>
      <c r="I2181" s="41">
        <v>0.476744186</v>
      </c>
      <c r="J2181" s="41">
        <v>0.151162791</v>
      </c>
      <c r="K2181" s="41">
        <v>0.372093023</v>
      </c>
      <c r="L2181" s="41">
        <f t="shared" si="2"/>
        <v>0.104651163</v>
      </c>
      <c r="M2181" s="74">
        <v>1.110707871</v>
      </c>
    </row>
    <row r="2182">
      <c r="A2182" s="1" t="s">
        <v>263</v>
      </c>
      <c r="B2182" s="38">
        <v>694297.0</v>
      </c>
      <c r="C2182" s="72">
        <v>45818.0</v>
      </c>
      <c r="D2182" s="38">
        <v>96.0</v>
      </c>
      <c r="E2182" s="73">
        <f>IFERROR(__xludf.DUMMYFUNCTION("average(filter('Appearance Sheet'!F:F,'Appearance Sheet'!G:G=B2182,'Appearance Sheet'!A:A=C2182))"),5.0)</f>
        <v>5</v>
      </c>
      <c r="F2182" s="67">
        <v>5.104921771</v>
      </c>
      <c r="G2182" s="40">
        <v>2.010943543</v>
      </c>
      <c r="H2182" s="40">
        <f t="shared" si="1"/>
        <v>3.619698377</v>
      </c>
      <c r="I2182" s="41">
        <v>0.479166667</v>
      </c>
      <c r="J2182" s="41">
        <v>0.135416667</v>
      </c>
      <c r="K2182" s="41">
        <v>0.385416667</v>
      </c>
      <c r="L2182" s="41">
        <f t="shared" si="2"/>
        <v>0.09375</v>
      </c>
      <c r="M2182" s="74">
        <v>-2.27911542</v>
      </c>
    </row>
    <row r="2183">
      <c r="A2183" s="1" t="s">
        <v>461</v>
      </c>
      <c r="B2183" s="38">
        <v>673540.0</v>
      </c>
      <c r="C2183" s="72">
        <v>45754.0</v>
      </c>
      <c r="D2183" s="38">
        <v>76.0</v>
      </c>
      <c r="E2183" s="73">
        <f>IFERROR(__xludf.DUMMYFUNCTION("average(filter('Appearance Sheet'!F:F,'Appearance Sheet'!G:G=B2183,'Appearance Sheet'!A:A=C2183))"),5.0)</f>
        <v>5</v>
      </c>
      <c r="F2183" s="67">
        <v>5.104791323</v>
      </c>
      <c r="G2183" s="40">
        <v>1.588958104</v>
      </c>
      <c r="H2183" s="40">
        <f t="shared" si="1"/>
        <v>2.860124587</v>
      </c>
      <c r="I2183" s="41">
        <v>0.473684211</v>
      </c>
      <c r="J2183" s="41">
        <v>0.171052632</v>
      </c>
      <c r="K2183" s="41">
        <v>0.355263158</v>
      </c>
      <c r="L2183" s="41">
        <f t="shared" si="2"/>
        <v>0.118421053</v>
      </c>
      <c r="M2183" s="74">
        <v>-0.340525444</v>
      </c>
    </row>
    <row r="2184">
      <c r="A2184" s="1" t="s">
        <v>169</v>
      </c>
      <c r="B2184" s="38">
        <v>671096.0</v>
      </c>
      <c r="C2184" s="72">
        <v>45836.0</v>
      </c>
      <c r="D2184" s="38">
        <v>99.0</v>
      </c>
      <c r="E2184" s="73">
        <f>IFERROR(__xludf.DUMMYFUNCTION("average(filter('Appearance Sheet'!F:F,'Appearance Sheet'!G:G=B2184,'Appearance Sheet'!A:A=C2184))"),5.0)</f>
        <v>5</v>
      </c>
      <c r="F2184" s="67">
        <v>5.104773569</v>
      </c>
      <c r="G2184" s="40">
        <v>2.087556384</v>
      </c>
      <c r="H2184" s="40">
        <f t="shared" si="1"/>
        <v>3.757601491</v>
      </c>
      <c r="I2184" s="41">
        <v>0.515151515</v>
      </c>
      <c r="J2184" s="41">
        <v>0.161616162</v>
      </c>
      <c r="K2184" s="41">
        <v>0.323232323</v>
      </c>
      <c r="L2184" s="41">
        <f t="shared" si="2"/>
        <v>0.191919192</v>
      </c>
      <c r="M2184" s="74">
        <v>-1.601366766</v>
      </c>
    </row>
    <row r="2185">
      <c r="A2185" s="1" t="s">
        <v>159</v>
      </c>
      <c r="B2185" s="38">
        <v>605483.0</v>
      </c>
      <c r="C2185" s="72">
        <v>45743.0</v>
      </c>
      <c r="D2185" s="38">
        <v>91.0</v>
      </c>
      <c r="E2185" s="73">
        <f>IFERROR(__xludf.DUMMYFUNCTION("average(filter('Appearance Sheet'!F:F,'Appearance Sheet'!G:G=B2185,'Appearance Sheet'!A:A=C2185))"),5.0)</f>
        <v>5</v>
      </c>
      <c r="F2185" s="67">
        <v>5.104687691</v>
      </c>
      <c r="G2185" s="40">
        <v>1.91265813</v>
      </c>
      <c r="H2185" s="40">
        <f t="shared" si="1"/>
        <v>3.442784634</v>
      </c>
      <c r="I2185" s="41">
        <v>0.461538462</v>
      </c>
      <c r="J2185" s="41">
        <v>0.164835165</v>
      </c>
      <c r="K2185" s="41">
        <v>0.373626374</v>
      </c>
      <c r="L2185" s="41">
        <f t="shared" si="2"/>
        <v>0.087912088</v>
      </c>
      <c r="M2185" s="74">
        <v>-0.991135015</v>
      </c>
    </row>
    <row r="2186">
      <c r="A2186" s="1" t="s">
        <v>90</v>
      </c>
      <c r="B2186" s="38">
        <v>693433.0</v>
      </c>
      <c r="C2186" s="72">
        <v>45896.0</v>
      </c>
      <c r="D2186" s="38">
        <v>94.0</v>
      </c>
      <c r="E2186" s="73" t="str">
        <f>IFERROR(__xludf.DUMMYFUNCTION("average(filter('Appearance Sheet'!F:F,'Appearance Sheet'!G:G=B2186,'Appearance Sheet'!A:A=C2186))"),"#N/A")</f>
        <v>#N/A</v>
      </c>
      <c r="F2186" s="67">
        <v>5.104598945</v>
      </c>
      <c r="G2186" s="40">
        <v>1.971439454</v>
      </c>
      <c r="H2186" s="40" t="str">
        <f t="shared" si="1"/>
        <v>#N/A</v>
      </c>
      <c r="I2186" s="41">
        <v>0.510638298</v>
      </c>
      <c r="J2186" s="41">
        <v>0.223404255</v>
      </c>
      <c r="K2186" s="41">
        <v>0.265957447</v>
      </c>
      <c r="L2186" s="41">
        <f t="shared" si="2"/>
        <v>0.244680851</v>
      </c>
      <c r="M2186" s="74">
        <v>-0.788946285</v>
      </c>
    </row>
    <row r="2187">
      <c r="A2187" s="1" t="s">
        <v>85</v>
      </c>
      <c r="B2187" s="38">
        <v>808967.0</v>
      </c>
      <c r="C2187" s="72">
        <v>45785.0</v>
      </c>
      <c r="D2187" s="38">
        <v>86.0</v>
      </c>
      <c r="E2187" s="73">
        <f>IFERROR(__xludf.DUMMYFUNCTION("average(filter('Appearance Sheet'!F:F,'Appearance Sheet'!G:G=B2187,'Appearance Sheet'!A:A=C2187))"),5.0)</f>
        <v>5</v>
      </c>
      <c r="F2187" s="67">
        <v>5.104480545</v>
      </c>
      <c r="G2187" s="40">
        <v>1.8361554</v>
      </c>
      <c r="H2187" s="40">
        <f t="shared" si="1"/>
        <v>3.30507972</v>
      </c>
      <c r="I2187" s="41">
        <v>0.476744186</v>
      </c>
      <c r="J2187" s="41">
        <v>0.151162791</v>
      </c>
      <c r="K2187" s="41">
        <v>0.372093023</v>
      </c>
      <c r="L2187" s="41">
        <f t="shared" si="2"/>
        <v>0.104651163</v>
      </c>
      <c r="M2187" s="74">
        <v>-1.264025899</v>
      </c>
    </row>
    <row r="2188">
      <c r="A2188" s="1" t="s">
        <v>188</v>
      </c>
      <c r="B2188" s="38">
        <v>694819.0</v>
      </c>
      <c r="C2188" s="72">
        <v>45840.0</v>
      </c>
      <c r="D2188" s="38">
        <v>72.0</v>
      </c>
      <c r="E2188" s="73">
        <f>IFERROR(__xludf.DUMMYFUNCTION("average(filter('Appearance Sheet'!F:F,'Appearance Sheet'!G:G=B2188,'Appearance Sheet'!A:A=C2188))"),3.6666666666666665)</f>
        <v>3.666666667</v>
      </c>
      <c r="F2188" s="67">
        <v>5.104034734</v>
      </c>
      <c r="G2188" s="40">
        <v>1.524787106</v>
      </c>
      <c r="H2188" s="40">
        <f t="shared" si="1"/>
        <v>3.74265926</v>
      </c>
      <c r="I2188" s="41">
        <v>0.555555556</v>
      </c>
      <c r="J2188" s="41">
        <v>0.125</v>
      </c>
      <c r="K2188" s="41">
        <v>0.319444444</v>
      </c>
      <c r="L2188" s="41">
        <f t="shared" si="2"/>
        <v>0.236111112</v>
      </c>
      <c r="M2188" s="74">
        <v>-1.512775882</v>
      </c>
    </row>
    <row r="2189">
      <c r="A2189" s="1" t="s">
        <v>585</v>
      </c>
      <c r="B2189" s="38">
        <v>625643.0</v>
      </c>
      <c r="C2189" s="72">
        <v>45744.0</v>
      </c>
      <c r="D2189" s="38">
        <v>93.0</v>
      </c>
      <c r="E2189" s="73">
        <f>IFERROR(__xludf.DUMMYFUNCTION("average(filter('Appearance Sheet'!F:F,'Appearance Sheet'!G:G=B2189,'Appearance Sheet'!A:A=C2189))"),5.0)</f>
        <v>5</v>
      </c>
      <c r="F2189" s="67">
        <v>5.103997559</v>
      </c>
      <c r="G2189" s="40">
        <v>1.960547747</v>
      </c>
      <c r="H2189" s="40">
        <f t="shared" si="1"/>
        <v>3.528985945</v>
      </c>
      <c r="I2189" s="41">
        <v>0.548387097</v>
      </c>
      <c r="J2189" s="41">
        <v>0.107526882</v>
      </c>
      <c r="K2189" s="41">
        <v>0.344086022</v>
      </c>
      <c r="L2189" s="41">
        <f t="shared" si="2"/>
        <v>0.204301075</v>
      </c>
      <c r="M2189" s="74">
        <v>-4.670164655</v>
      </c>
    </row>
    <row r="2190">
      <c r="A2190" s="1" t="s">
        <v>421</v>
      </c>
      <c r="B2190" s="38">
        <v>607192.0</v>
      </c>
      <c r="C2190" s="72">
        <v>45899.0</v>
      </c>
      <c r="D2190" s="38">
        <v>100.0</v>
      </c>
      <c r="E2190" s="73" t="str">
        <f>IFERROR(__xludf.DUMMYFUNCTION("average(filter('Appearance Sheet'!F:F,'Appearance Sheet'!G:G=B2190,'Appearance Sheet'!A:A=C2190))"),"#N/A")</f>
        <v>#N/A</v>
      </c>
      <c r="F2190" s="67">
        <v>5.103798485</v>
      </c>
      <c r="G2190" s="40">
        <v>2.125464236</v>
      </c>
      <c r="H2190" s="40" t="str">
        <f t="shared" si="1"/>
        <v>#N/A</v>
      </c>
      <c r="I2190" s="41">
        <v>0.5</v>
      </c>
      <c r="J2190" s="41">
        <v>0.14</v>
      </c>
      <c r="K2190" s="41">
        <v>0.36</v>
      </c>
      <c r="L2190" s="41">
        <f t="shared" si="2"/>
        <v>0.14</v>
      </c>
      <c r="M2190" s="74">
        <v>1.472701682</v>
      </c>
    </row>
    <row r="2191">
      <c r="A2191" s="1" t="s">
        <v>410</v>
      </c>
      <c r="B2191" s="38">
        <v>678394.0</v>
      </c>
      <c r="C2191" s="72">
        <v>45823.0</v>
      </c>
      <c r="D2191" s="38">
        <v>112.0</v>
      </c>
      <c r="E2191" s="73">
        <f>IFERROR(__xludf.DUMMYFUNCTION("average(filter('Appearance Sheet'!F:F,'Appearance Sheet'!G:G=B2191,'Appearance Sheet'!A:A=C2191))"),7.0)</f>
        <v>7</v>
      </c>
      <c r="F2191" s="67">
        <v>5.103526101</v>
      </c>
      <c r="G2191" s="40">
        <v>2.322645404</v>
      </c>
      <c r="H2191" s="40">
        <f t="shared" si="1"/>
        <v>2.986258377</v>
      </c>
      <c r="I2191" s="41">
        <v>0.473214286</v>
      </c>
      <c r="J2191" s="41">
        <v>0.178571429</v>
      </c>
      <c r="K2191" s="41">
        <v>0.348214286</v>
      </c>
      <c r="L2191" s="41">
        <f t="shared" si="2"/>
        <v>0.125</v>
      </c>
      <c r="M2191" s="74">
        <v>3.954396298</v>
      </c>
    </row>
    <row r="2192">
      <c r="A2192" s="1" t="s">
        <v>229</v>
      </c>
      <c r="B2192" s="38">
        <v>645261.0</v>
      </c>
      <c r="C2192" s="72">
        <v>45830.0</v>
      </c>
      <c r="D2192" s="38">
        <v>93.0</v>
      </c>
      <c r="E2192" s="73">
        <f>IFERROR(__xludf.DUMMYFUNCTION("average(filter('Appearance Sheet'!F:F,'Appearance Sheet'!G:G=B2192,'Appearance Sheet'!A:A=C2192))"),6.0)</f>
        <v>6</v>
      </c>
      <c r="F2192" s="67">
        <v>5.103491875</v>
      </c>
      <c r="G2192" s="40">
        <v>1.994702177</v>
      </c>
      <c r="H2192" s="40">
        <f t="shared" si="1"/>
        <v>2.992053266</v>
      </c>
      <c r="I2192" s="41">
        <v>0.47311828</v>
      </c>
      <c r="J2192" s="41">
        <v>0.204301075</v>
      </c>
      <c r="K2192" s="41">
        <v>0.322580645</v>
      </c>
      <c r="L2192" s="41">
        <f t="shared" si="2"/>
        <v>0.150537635</v>
      </c>
      <c r="M2192" s="74">
        <v>-0.021878773</v>
      </c>
    </row>
    <row r="2193">
      <c r="A2193" s="1" t="s">
        <v>411</v>
      </c>
      <c r="B2193" s="38">
        <v>605288.0</v>
      </c>
      <c r="C2193" s="72">
        <v>45873.0</v>
      </c>
      <c r="D2193" s="38">
        <v>89.0</v>
      </c>
      <c r="E2193" s="73" t="str">
        <f>IFERROR(__xludf.DUMMYFUNCTION("average(filter('Appearance Sheet'!F:F,'Appearance Sheet'!G:G=B2193,'Appearance Sheet'!A:A=C2193))"),"#N/A")</f>
        <v>#N/A</v>
      </c>
      <c r="F2193" s="67">
        <v>5.103430281</v>
      </c>
      <c r="G2193" s="40">
        <v>1.902837677</v>
      </c>
      <c r="H2193" s="40" t="str">
        <f t="shared" si="1"/>
        <v>#N/A</v>
      </c>
      <c r="I2193" s="41">
        <v>0.471910112</v>
      </c>
      <c r="J2193" s="41">
        <v>0.146067416</v>
      </c>
      <c r="K2193" s="41">
        <v>0.382022472</v>
      </c>
      <c r="L2193" s="41">
        <f t="shared" si="2"/>
        <v>0.08988764</v>
      </c>
      <c r="M2193" s="74">
        <v>-3.294414165</v>
      </c>
    </row>
    <row r="2194">
      <c r="A2194" s="1" t="s">
        <v>372</v>
      </c>
      <c r="B2194" s="38">
        <v>671106.0</v>
      </c>
      <c r="C2194" s="72">
        <v>45832.0</v>
      </c>
      <c r="D2194" s="38">
        <v>102.0</v>
      </c>
      <c r="E2194" s="73">
        <f>IFERROR(__xludf.DUMMYFUNCTION("average(filter('Appearance Sheet'!F:F,'Appearance Sheet'!G:G=B2194,'Appearance Sheet'!A:A=C2194))"),5.666666666666667)</f>
        <v>5.666666667</v>
      </c>
      <c r="F2194" s="67">
        <v>5.103309963</v>
      </c>
      <c r="G2194" s="40">
        <v>2.146483251</v>
      </c>
      <c r="H2194" s="40">
        <f t="shared" si="1"/>
        <v>3.409120457</v>
      </c>
      <c r="I2194" s="41">
        <v>0.480392157</v>
      </c>
      <c r="J2194" s="41">
        <v>0.12745098</v>
      </c>
      <c r="K2194" s="41">
        <v>0.392156863</v>
      </c>
      <c r="L2194" s="41">
        <f t="shared" si="2"/>
        <v>0.088235294</v>
      </c>
      <c r="M2194" s="74">
        <v>-2.854941623</v>
      </c>
    </row>
    <row r="2195">
      <c r="A2195" s="1" t="s">
        <v>129</v>
      </c>
      <c r="B2195" s="38">
        <v>686752.0</v>
      </c>
      <c r="C2195" s="72">
        <v>45840.0</v>
      </c>
      <c r="D2195" s="38">
        <v>98.0</v>
      </c>
      <c r="E2195" s="73">
        <f>IFERROR(__xludf.DUMMYFUNCTION("average(filter('Appearance Sheet'!F:F,'Appearance Sheet'!G:G=B2195,'Appearance Sheet'!A:A=C2195))"),6.0)</f>
        <v>6</v>
      </c>
      <c r="F2195" s="67">
        <v>5.103267098</v>
      </c>
      <c r="G2195" s="40">
        <v>2.029320309</v>
      </c>
      <c r="H2195" s="40">
        <f t="shared" si="1"/>
        <v>3.043980464</v>
      </c>
      <c r="I2195" s="41">
        <v>0.459183673</v>
      </c>
      <c r="J2195" s="41">
        <v>0.173469388</v>
      </c>
      <c r="K2195" s="41">
        <v>0.367346939</v>
      </c>
      <c r="L2195" s="41">
        <f t="shared" si="2"/>
        <v>0.091836734</v>
      </c>
      <c r="M2195" s="74">
        <v>1.183739417</v>
      </c>
    </row>
    <row r="2196">
      <c r="A2196" s="1" t="s">
        <v>222</v>
      </c>
      <c r="B2196" s="38">
        <v>518876.0</v>
      </c>
      <c r="C2196" s="72">
        <v>45762.0</v>
      </c>
      <c r="D2196" s="38">
        <v>83.0</v>
      </c>
      <c r="E2196" s="73">
        <f>IFERROR(__xludf.DUMMYFUNCTION("average(filter('Appearance Sheet'!F:F,'Appearance Sheet'!G:G=B2196,'Appearance Sheet'!A:A=C2196))"),6.0)</f>
        <v>6</v>
      </c>
      <c r="F2196" s="67">
        <v>5.103069575</v>
      </c>
      <c r="G2196" s="40">
        <v>1.738967458</v>
      </c>
      <c r="H2196" s="40">
        <f t="shared" si="1"/>
        <v>2.608451187</v>
      </c>
      <c r="I2196" s="41">
        <v>0.469879518</v>
      </c>
      <c r="J2196" s="41">
        <v>0.156626506</v>
      </c>
      <c r="K2196" s="41">
        <v>0.373493976</v>
      </c>
      <c r="L2196" s="41">
        <f t="shared" si="2"/>
        <v>0.096385542</v>
      </c>
      <c r="M2196" s="74">
        <v>1.731133453</v>
      </c>
    </row>
    <row r="2197">
      <c r="A2197" s="1" t="s">
        <v>476</v>
      </c>
      <c r="B2197" s="38">
        <v>500779.0</v>
      </c>
      <c r="C2197" s="72">
        <v>45769.0</v>
      </c>
      <c r="D2197" s="38">
        <v>91.0</v>
      </c>
      <c r="E2197" s="73">
        <f>IFERROR(__xludf.DUMMYFUNCTION("average(filter('Appearance Sheet'!F:F,'Appearance Sheet'!G:G=B2197,'Appearance Sheet'!A:A=C2197))"),6.0)</f>
        <v>6</v>
      </c>
      <c r="F2197" s="67">
        <v>5.102898908</v>
      </c>
      <c r="G2197" s="40">
        <v>1.947595449</v>
      </c>
      <c r="H2197" s="40">
        <f t="shared" si="1"/>
        <v>2.921393174</v>
      </c>
      <c r="I2197" s="41">
        <v>0.505494505</v>
      </c>
      <c r="J2197" s="41">
        <v>0.175824176</v>
      </c>
      <c r="K2197" s="41">
        <v>0.318681319</v>
      </c>
      <c r="L2197" s="41">
        <f t="shared" si="2"/>
        <v>0.186813186</v>
      </c>
      <c r="M2197" s="74">
        <v>-0.608372084</v>
      </c>
    </row>
    <row r="2198">
      <c r="A2198" s="1" t="s">
        <v>390</v>
      </c>
      <c r="B2198" s="38">
        <v>669422.0</v>
      </c>
      <c r="C2198" s="72">
        <v>45776.0</v>
      </c>
      <c r="D2198" s="38">
        <v>77.0</v>
      </c>
      <c r="E2198" s="73">
        <f>IFERROR(__xludf.DUMMYFUNCTION("average(filter('Appearance Sheet'!F:F,'Appearance Sheet'!G:G=B2198,'Appearance Sheet'!A:A=C2198))"),5.0)</f>
        <v>5</v>
      </c>
      <c r="F2198" s="67">
        <v>5.102898652</v>
      </c>
      <c r="G2198" s="40">
        <v>1.612268919</v>
      </c>
      <c r="H2198" s="40">
        <f t="shared" si="1"/>
        <v>2.902084054</v>
      </c>
      <c r="I2198" s="41">
        <v>0.519480519</v>
      </c>
      <c r="J2198" s="41">
        <v>0.207792208</v>
      </c>
      <c r="K2198" s="41">
        <v>0.272727273</v>
      </c>
      <c r="L2198" s="41">
        <f t="shared" si="2"/>
        <v>0.246753246</v>
      </c>
      <c r="M2198" s="74">
        <v>0.333643219</v>
      </c>
    </row>
    <row r="2199">
      <c r="A2199" s="1" t="s">
        <v>113</v>
      </c>
      <c r="B2199" s="38">
        <v>664285.0</v>
      </c>
      <c r="C2199" s="72">
        <v>45843.0</v>
      </c>
      <c r="D2199" s="38">
        <v>98.0</v>
      </c>
      <c r="E2199" s="73" t="str">
        <f>IFERROR(__xludf.DUMMYFUNCTION("average(filter('Appearance Sheet'!F:F,'Appearance Sheet'!G:G=B2199,'Appearance Sheet'!A:A=C2199))"),"#N/A")</f>
        <v>#N/A</v>
      </c>
      <c r="F2199" s="67">
        <v>5.102791219</v>
      </c>
      <c r="G2199" s="40">
        <v>2.069352133</v>
      </c>
      <c r="H2199" s="40" t="str">
        <f t="shared" si="1"/>
        <v>#N/A</v>
      </c>
      <c r="I2199" s="41">
        <v>0.510204082</v>
      </c>
      <c r="J2199" s="41">
        <v>0.193877551</v>
      </c>
      <c r="K2199" s="41">
        <v>0.295918367</v>
      </c>
      <c r="L2199" s="41">
        <f t="shared" si="2"/>
        <v>0.214285715</v>
      </c>
      <c r="M2199" s="74">
        <v>0.954333021</v>
      </c>
    </row>
    <row r="2200">
      <c r="A2200" s="1" t="s">
        <v>290</v>
      </c>
      <c r="B2200" s="38">
        <v>669461.0</v>
      </c>
      <c r="C2200" s="72">
        <v>45754.0</v>
      </c>
      <c r="D2200" s="38">
        <v>85.0</v>
      </c>
      <c r="E2200" s="73">
        <f>IFERROR(__xludf.DUMMYFUNCTION("average(filter('Appearance Sheet'!F:F,'Appearance Sheet'!G:G=B2200,'Appearance Sheet'!A:A=C2200))"),6.333333333333333)</f>
        <v>6.333333333</v>
      </c>
      <c r="F2200" s="67">
        <v>5.102538374</v>
      </c>
      <c r="G2200" s="40">
        <v>1.816007419</v>
      </c>
      <c r="H2200" s="40">
        <f t="shared" si="1"/>
        <v>2.580642122</v>
      </c>
      <c r="I2200" s="41">
        <v>0.517647059</v>
      </c>
      <c r="J2200" s="41">
        <v>0.176470588</v>
      </c>
      <c r="K2200" s="41">
        <v>0.305882353</v>
      </c>
      <c r="L2200" s="41">
        <f t="shared" si="2"/>
        <v>0.211764706</v>
      </c>
      <c r="M2200" s="74">
        <v>-2.284585539</v>
      </c>
    </row>
    <row r="2201">
      <c r="A2201" s="1" t="s">
        <v>130</v>
      </c>
      <c r="B2201" s="38">
        <v>666200.0</v>
      </c>
      <c r="C2201" s="72">
        <v>45836.0</v>
      </c>
      <c r="D2201" s="38">
        <v>94.0</v>
      </c>
      <c r="E2201" s="73">
        <f>IFERROR(__xludf.DUMMYFUNCTION("average(filter('Appearance Sheet'!F:F,'Appearance Sheet'!G:G=B2201,'Appearance Sheet'!A:A=C2201))"),5.0)</f>
        <v>5</v>
      </c>
      <c r="F2201" s="67">
        <v>5.102517565</v>
      </c>
      <c r="G2201" s="40">
        <v>1.970895341</v>
      </c>
      <c r="H2201" s="40">
        <f t="shared" si="1"/>
        <v>3.547611614</v>
      </c>
      <c r="I2201" s="41">
        <v>0.489361702</v>
      </c>
      <c r="J2201" s="41">
        <v>0.180851064</v>
      </c>
      <c r="K2201" s="41">
        <v>0.329787234</v>
      </c>
      <c r="L2201" s="41">
        <f t="shared" si="2"/>
        <v>0.159574468</v>
      </c>
      <c r="M2201" s="74">
        <v>-1.896055572</v>
      </c>
    </row>
    <row r="2202">
      <c r="A2202" s="1" t="s">
        <v>474</v>
      </c>
      <c r="B2202" s="38">
        <v>450203.0</v>
      </c>
      <c r="C2202" s="72">
        <v>45889.0</v>
      </c>
      <c r="D2202" s="38">
        <v>86.0</v>
      </c>
      <c r="E2202" s="73" t="str">
        <f>IFERROR(__xludf.DUMMYFUNCTION("average(filter('Appearance Sheet'!F:F,'Appearance Sheet'!G:G=B2202,'Appearance Sheet'!A:A=C2202))"),"#N/A")</f>
        <v>#N/A</v>
      </c>
      <c r="F2202" s="67">
        <v>5.102391622</v>
      </c>
      <c r="G2202" s="40">
        <v>1.795458126</v>
      </c>
      <c r="H2202" s="40" t="str">
        <f t="shared" si="1"/>
        <v>#N/A</v>
      </c>
      <c r="I2202" s="41">
        <v>0.476744186</v>
      </c>
      <c r="J2202" s="41">
        <v>0.162790698</v>
      </c>
      <c r="K2202" s="41">
        <v>0.360465116</v>
      </c>
      <c r="L2202" s="41">
        <f t="shared" si="2"/>
        <v>0.11627907</v>
      </c>
      <c r="M2202" s="74">
        <v>0.898839835</v>
      </c>
    </row>
    <row r="2203">
      <c r="A2203" s="1" t="s">
        <v>480</v>
      </c>
      <c r="B2203" s="38">
        <v>647336.0</v>
      </c>
      <c r="C2203" s="72">
        <v>45808.0</v>
      </c>
      <c r="D2203" s="38">
        <v>93.0</v>
      </c>
      <c r="E2203" s="73">
        <f>IFERROR(__xludf.DUMMYFUNCTION("average(filter('Appearance Sheet'!F:F,'Appearance Sheet'!G:G=B2203,'Appearance Sheet'!A:A=C2203))"),5.333333333333333)</f>
        <v>5.333333333</v>
      </c>
      <c r="F2203" s="67">
        <v>5.102079489</v>
      </c>
      <c r="G2203" s="40">
        <v>1.959160504</v>
      </c>
      <c r="H2203" s="40">
        <f t="shared" si="1"/>
        <v>3.306083351</v>
      </c>
      <c r="I2203" s="41">
        <v>0.505376344</v>
      </c>
      <c r="J2203" s="41">
        <v>0.161290323</v>
      </c>
      <c r="K2203" s="41">
        <v>0.333333333</v>
      </c>
      <c r="L2203" s="41">
        <f t="shared" si="2"/>
        <v>0.172043011</v>
      </c>
      <c r="M2203" s="74">
        <v>-0.026417012</v>
      </c>
    </row>
    <row r="2204">
      <c r="A2204" s="1" t="s">
        <v>228</v>
      </c>
      <c r="B2204" s="38">
        <v>687473.0</v>
      </c>
      <c r="C2204" s="72">
        <v>45844.0</v>
      </c>
      <c r="D2204" s="38">
        <v>77.0</v>
      </c>
      <c r="E2204" s="73" t="str">
        <f>IFERROR(__xludf.DUMMYFUNCTION("average(filter('Appearance Sheet'!F:F,'Appearance Sheet'!G:G=B2204,'Appearance Sheet'!A:A=C2204))"),"#N/A")</f>
        <v>#N/A</v>
      </c>
      <c r="F2204" s="67">
        <v>5.102010226</v>
      </c>
      <c r="G2204" s="40">
        <v>1.638508077</v>
      </c>
      <c r="H2204" s="40" t="str">
        <f t="shared" si="1"/>
        <v>#N/A</v>
      </c>
      <c r="I2204" s="41">
        <v>0.519480519</v>
      </c>
      <c r="J2204" s="41">
        <v>0.12987013</v>
      </c>
      <c r="K2204" s="41">
        <v>0.350649351</v>
      </c>
      <c r="L2204" s="41">
        <f t="shared" si="2"/>
        <v>0.168831168</v>
      </c>
      <c r="M2204" s="74">
        <v>0.681231634</v>
      </c>
    </row>
    <row r="2205">
      <c r="A2205" s="1" t="s">
        <v>582</v>
      </c>
      <c r="B2205" s="38">
        <v>680694.0</v>
      </c>
      <c r="C2205" s="72">
        <v>45921.0</v>
      </c>
      <c r="D2205" s="38">
        <v>88.0</v>
      </c>
      <c r="E2205" s="73" t="str">
        <f>IFERROR(__xludf.DUMMYFUNCTION("average(filter('Appearance Sheet'!F:F,'Appearance Sheet'!G:G=B2205,'Appearance Sheet'!A:A=C2205))"),"#N/A")</f>
        <v>#N/A</v>
      </c>
      <c r="F2205" s="67">
        <v>5.101909771</v>
      </c>
      <c r="G2205" s="40">
        <v>1.82523886</v>
      </c>
      <c r="H2205" s="40" t="str">
        <f t="shared" si="1"/>
        <v>#N/A</v>
      </c>
      <c r="I2205" s="41">
        <v>0.511363636</v>
      </c>
      <c r="J2205" s="41">
        <v>0.125</v>
      </c>
      <c r="K2205" s="41">
        <v>0.363636364</v>
      </c>
      <c r="L2205" s="41">
        <f t="shared" si="2"/>
        <v>0.147727272</v>
      </c>
      <c r="M2205" s="74">
        <v>1.717715953</v>
      </c>
    </row>
    <row r="2206">
      <c r="A2206" s="1" t="s">
        <v>255</v>
      </c>
      <c r="B2206" s="38">
        <v>688138.0</v>
      </c>
      <c r="C2206" s="72">
        <v>45847.0</v>
      </c>
      <c r="D2206" s="38">
        <v>90.0</v>
      </c>
      <c r="E2206" s="73" t="str">
        <f>IFERROR(__xludf.DUMMYFUNCTION("average(filter('Appearance Sheet'!F:F,'Appearance Sheet'!G:G=B2206,'Appearance Sheet'!A:A=C2206))"),"#N/A")</f>
        <v>#N/A</v>
      </c>
      <c r="F2206" s="67">
        <v>5.101833996</v>
      </c>
      <c r="G2206" s="40">
        <v>1.892660502</v>
      </c>
      <c r="H2206" s="40" t="str">
        <f t="shared" si="1"/>
        <v>#N/A</v>
      </c>
      <c r="I2206" s="41">
        <v>0.477777778</v>
      </c>
      <c r="J2206" s="41">
        <v>0.188888889</v>
      </c>
      <c r="K2206" s="41">
        <v>0.333333333</v>
      </c>
      <c r="L2206" s="41">
        <f t="shared" si="2"/>
        <v>0.144444445</v>
      </c>
      <c r="M2206" s="74">
        <v>-3.76544403</v>
      </c>
    </row>
    <row r="2207">
      <c r="A2207" s="1" t="s">
        <v>173</v>
      </c>
      <c r="B2207" s="38">
        <v>641927.0</v>
      </c>
      <c r="C2207" s="72">
        <v>45914.0</v>
      </c>
      <c r="D2207" s="38">
        <v>99.0</v>
      </c>
      <c r="E2207" s="73" t="str">
        <f>IFERROR(__xludf.DUMMYFUNCTION("average(filter('Appearance Sheet'!F:F,'Appearance Sheet'!G:G=B2207,'Appearance Sheet'!A:A=C2207))"),"#N/A")</f>
        <v>#N/A</v>
      </c>
      <c r="F2207" s="67">
        <v>5.101808843</v>
      </c>
      <c r="G2207" s="40">
        <v>2.075159849</v>
      </c>
      <c r="H2207" s="40" t="str">
        <f t="shared" si="1"/>
        <v>#N/A</v>
      </c>
      <c r="I2207" s="41">
        <v>0.464646465</v>
      </c>
      <c r="J2207" s="41">
        <v>0.222222222</v>
      </c>
      <c r="K2207" s="41">
        <v>0.313131313</v>
      </c>
      <c r="L2207" s="41">
        <f t="shared" si="2"/>
        <v>0.151515152</v>
      </c>
      <c r="M2207" s="74">
        <v>1.964473928</v>
      </c>
    </row>
    <row r="2208">
      <c r="A2208" s="1" t="s">
        <v>245</v>
      </c>
      <c r="B2208" s="38">
        <v>571578.0</v>
      </c>
      <c r="C2208" s="72">
        <v>45890.0</v>
      </c>
      <c r="D2208" s="38">
        <v>70.0</v>
      </c>
      <c r="E2208" s="73" t="str">
        <f>IFERROR(__xludf.DUMMYFUNCTION("average(filter('Appearance Sheet'!F:F,'Appearance Sheet'!G:G=B2208,'Appearance Sheet'!A:A=C2208))"),"#N/A")</f>
        <v>#N/A</v>
      </c>
      <c r="F2208" s="67">
        <v>5.10160006</v>
      </c>
      <c r="G2208" s="40">
        <v>1.487755823</v>
      </c>
      <c r="H2208" s="40" t="str">
        <f t="shared" si="1"/>
        <v>#N/A</v>
      </c>
      <c r="I2208" s="41">
        <v>0.442857143</v>
      </c>
      <c r="J2208" s="41">
        <v>0.2</v>
      </c>
      <c r="K2208" s="41">
        <v>0.357142857</v>
      </c>
      <c r="L2208" s="41">
        <f t="shared" si="2"/>
        <v>0.085714286</v>
      </c>
      <c r="M2208" s="74">
        <v>-0.531591254</v>
      </c>
    </row>
    <row r="2209">
      <c r="A2209" s="1" t="s">
        <v>383</v>
      </c>
      <c r="B2209" s="38">
        <v>573186.0</v>
      </c>
      <c r="C2209" s="72">
        <v>45842.0</v>
      </c>
      <c r="D2209" s="38">
        <v>79.0</v>
      </c>
      <c r="E2209" s="73">
        <f>IFERROR(__xludf.DUMMYFUNCTION("average(filter('Appearance Sheet'!F:F,'Appearance Sheet'!G:G=B2209,'Appearance Sheet'!A:A=C2209))"),5.0)</f>
        <v>5</v>
      </c>
      <c r="F2209" s="67">
        <v>5.101312538</v>
      </c>
      <c r="G2209" s="40">
        <v>1.672977515</v>
      </c>
      <c r="H2209" s="40">
        <f t="shared" si="1"/>
        <v>3.011359527</v>
      </c>
      <c r="I2209" s="41">
        <v>0.455696203</v>
      </c>
      <c r="J2209" s="41">
        <v>0.202531646</v>
      </c>
      <c r="K2209" s="41">
        <v>0.341772152</v>
      </c>
      <c r="L2209" s="41">
        <f t="shared" si="2"/>
        <v>0.113924051</v>
      </c>
      <c r="M2209" s="74">
        <v>-2.209890875</v>
      </c>
    </row>
    <row r="2210">
      <c r="A2210" s="1" t="s">
        <v>125</v>
      </c>
      <c r="B2210" s="38">
        <v>663554.0</v>
      </c>
      <c r="C2210" s="72">
        <v>45760.0</v>
      </c>
      <c r="D2210" s="38">
        <v>73.0</v>
      </c>
      <c r="E2210" s="73">
        <f>IFERROR(__xludf.DUMMYFUNCTION("average(filter('Appearance Sheet'!F:F,'Appearance Sheet'!G:G=B2210,'Appearance Sheet'!A:A=C2210))"),5.666666666666667)</f>
        <v>5.666666667</v>
      </c>
      <c r="F2210" s="67">
        <v>5.101240198</v>
      </c>
      <c r="G2210" s="40">
        <v>1.599895385</v>
      </c>
      <c r="H2210" s="40">
        <f t="shared" si="1"/>
        <v>2.541010317</v>
      </c>
      <c r="I2210" s="41">
        <v>0.410958904</v>
      </c>
      <c r="J2210" s="41">
        <v>0.260273973</v>
      </c>
      <c r="K2210" s="41">
        <v>0.328767123</v>
      </c>
      <c r="L2210" s="41">
        <f t="shared" si="2"/>
        <v>0.082191781</v>
      </c>
      <c r="M2210" s="74">
        <v>-2.432661137</v>
      </c>
    </row>
    <row r="2211">
      <c r="A2211" s="1" t="s">
        <v>474</v>
      </c>
      <c r="B2211" s="38">
        <v>450203.0</v>
      </c>
      <c r="C2211" s="72">
        <v>45878.0</v>
      </c>
      <c r="D2211" s="38">
        <v>84.0</v>
      </c>
      <c r="E2211" s="73" t="str">
        <f>IFERROR(__xludf.DUMMYFUNCTION("average(filter('Appearance Sheet'!F:F,'Appearance Sheet'!G:G=B2211,'Appearance Sheet'!A:A=C2211))"),"#N/A")</f>
        <v>#N/A</v>
      </c>
      <c r="F2211" s="67">
        <v>5.101174919</v>
      </c>
      <c r="G2211" s="40">
        <v>1.763135209</v>
      </c>
      <c r="H2211" s="40" t="str">
        <f t="shared" si="1"/>
        <v>#N/A</v>
      </c>
      <c r="I2211" s="41">
        <v>0.464285714</v>
      </c>
      <c r="J2211" s="41">
        <v>0.226190476</v>
      </c>
      <c r="K2211" s="41">
        <v>0.30952381</v>
      </c>
      <c r="L2211" s="41">
        <f t="shared" si="2"/>
        <v>0.154761904</v>
      </c>
      <c r="M2211" s="74">
        <v>-2.020985477</v>
      </c>
    </row>
    <row r="2212">
      <c r="A2212" s="1" t="s">
        <v>84</v>
      </c>
      <c r="B2212" s="38">
        <v>669373.0</v>
      </c>
      <c r="C2212" s="72">
        <v>45743.0</v>
      </c>
      <c r="D2212" s="38">
        <v>79.0</v>
      </c>
      <c r="E2212" s="73">
        <f>IFERROR(__xludf.DUMMYFUNCTION("average(filter('Appearance Sheet'!F:F,'Appearance Sheet'!G:G=B2212,'Appearance Sheet'!A:A=C2212))"),5.0)</f>
        <v>5</v>
      </c>
      <c r="F2212" s="67">
        <v>5.101057081</v>
      </c>
      <c r="G2212" s="40">
        <v>1.692572174</v>
      </c>
      <c r="H2212" s="40">
        <f t="shared" si="1"/>
        <v>3.046629913</v>
      </c>
      <c r="I2212" s="41">
        <v>0.493670886</v>
      </c>
      <c r="J2212" s="41">
        <v>0.101265823</v>
      </c>
      <c r="K2212" s="41">
        <v>0.405063291</v>
      </c>
      <c r="L2212" s="41">
        <f t="shared" si="2"/>
        <v>0.088607595</v>
      </c>
      <c r="M2212" s="74">
        <v>-1.084137362</v>
      </c>
    </row>
    <row r="2213">
      <c r="A2213" s="1" t="s">
        <v>125</v>
      </c>
      <c r="B2213" s="38">
        <v>663554.0</v>
      </c>
      <c r="C2213" s="72">
        <v>45850.0</v>
      </c>
      <c r="D2213" s="38">
        <v>61.0</v>
      </c>
      <c r="E2213" s="73" t="str">
        <f>IFERROR(__xludf.DUMMYFUNCTION("average(filter('Appearance Sheet'!F:F,'Appearance Sheet'!G:G=B2213,'Appearance Sheet'!A:A=C2213))"),"#N/A")</f>
        <v>#N/A</v>
      </c>
      <c r="F2213" s="67">
        <v>5.100824114</v>
      </c>
      <c r="G2213" s="40">
        <v>1.291054609</v>
      </c>
      <c r="H2213" s="40" t="str">
        <f t="shared" si="1"/>
        <v>#N/A</v>
      </c>
      <c r="I2213" s="41">
        <v>0.426229508</v>
      </c>
      <c r="J2213" s="41">
        <v>0.229508197</v>
      </c>
      <c r="K2213" s="41">
        <v>0.344262295</v>
      </c>
      <c r="L2213" s="41">
        <f t="shared" si="2"/>
        <v>0.081967213</v>
      </c>
      <c r="M2213" s="74">
        <v>-1.870819943</v>
      </c>
    </row>
    <row r="2214">
      <c r="A2214" s="1" t="s">
        <v>399</v>
      </c>
      <c r="B2214" s="38">
        <v>543294.0</v>
      </c>
      <c r="C2214" s="72">
        <v>45877.0</v>
      </c>
      <c r="D2214" s="38">
        <v>61.0</v>
      </c>
      <c r="E2214" s="73" t="str">
        <f>IFERROR(__xludf.DUMMYFUNCTION("average(filter('Appearance Sheet'!F:F,'Appearance Sheet'!G:G=B2214,'Appearance Sheet'!A:A=C2214))"),"#N/A")</f>
        <v>#N/A</v>
      </c>
      <c r="F2214" s="67">
        <v>5.100664246</v>
      </c>
      <c r="G2214" s="40">
        <v>1.324583246</v>
      </c>
      <c r="H2214" s="40" t="str">
        <f t="shared" si="1"/>
        <v>#N/A</v>
      </c>
      <c r="I2214" s="41">
        <v>0.409836066</v>
      </c>
      <c r="J2214" s="41">
        <v>0.229508197</v>
      </c>
      <c r="K2214" s="41">
        <v>0.360655738</v>
      </c>
      <c r="L2214" s="41">
        <f t="shared" si="2"/>
        <v>0.049180328</v>
      </c>
      <c r="M2214" s="74">
        <v>0.573359761</v>
      </c>
    </row>
    <row r="2215">
      <c r="A2215" s="1" t="s">
        <v>133</v>
      </c>
      <c r="B2215" s="38">
        <v>663978.0</v>
      </c>
      <c r="C2215" s="72">
        <v>45886.0</v>
      </c>
      <c r="D2215" s="38">
        <v>89.0</v>
      </c>
      <c r="E2215" s="73" t="str">
        <f>IFERROR(__xludf.DUMMYFUNCTION("average(filter('Appearance Sheet'!F:F,'Appearance Sheet'!G:G=B2215,'Appearance Sheet'!A:A=C2215))"),"#N/A")</f>
        <v>#N/A</v>
      </c>
      <c r="F2215" s="67">
        <v>5.100574988</v>
      </c>
      <c r="G2215" s="40">
        <v>1.896787248</v>
      </c>
      <c r="H2215" s="40" t="str">
        <f t="shared" si="1"/>
        <v>#N/A</v>
      </c>
      <c r="I2215" s="41">
        <v>0.584269663</v>
      </c>
      <c r="J2215" s="41">
        <v>0.134831461</v>
      </c>
      <c r="K2215" s="41">
        <v>0.280898876</v>
      </c>
      <c r="L2215" s="41">
        <f t="shared" si="2"/>
        <v>0.303370787</v>
      </c>
      <c r="M2215" s="74">
        <v>-4.333403316</v>
      </c>
    </row>
    <row r="2216">
      <c r="A2216" s="1" t="s">
        <v>224</v>
      </c>
      <c r="B2216" s="38">
        <v>686701.0</v>
      </c>
      <c r="C2216" s="72">
        <v>45908.0</v>
      </c>
      <c r="D2216" s="38">
        <v>72.0</v>
      </c>
      <c r="E2216" s="73" t="str">
        <f>IFERROR(__xludf.DUMMYFUNCTION("average(filter('Appearance Sheet'!F:F,'Appearance Sheet'!G:G=B2216,'Appearance Sheet'!A:A=C2216))"),"#N/A")</f>
        <v>#N/A</v>
      </c>
      <c r="F2216" s="67">
        <v>5.100339294</v>
      </c>
      <c r="G2216" s="40">
        <v>1.555692809</v>
      </c>
      <c r="H2216" s="40" t="str">
        <f t="shared" si="1"/>
        <v>#N/A</v>
      </c>
      <c r="I2216" s="41">
        <v>0.486111111</v>
      </c>
      <c r="J2216" s="41">
        <v>0.152777778</v>
      </c>
      <c r="K2216" s="41">
        <v>0.361111111</v>
      </c>
      <c r="L2216" s="41">
        <f t="shared" si="2"/>
        <v>0.125</v>
      </c>
      <c r="M2216" s="74">
        <v>-6.990213292</v>
      </c>
    </row>
    <row r="2217">
      <c r="A2217" s="1" t="s">
        <v>358</v>
      </c>
      <c r="B2217" s="38">
        <v>434378.0</v>
      </c>
      <c r="C2217" s="72">
        <v>45922.0</v>
      </c>
      <c r="D2217" s="38">
        <v>79.0</v>
      </c>
      <c r="E2217" s="73" t="str">
        <f>IFERROR(__xludf.DUMMYFUNCTION("average(filter('Appearance Sheet'!F:F,'Appearance Sheet'!G:G=B2217,'Appearance Sheet'!A:A=C2217))"),"#N/A")</f>
        <v>#N/A</v>
      </c>
      <c r="F2217" s="67">
        <v>5.100280595</v>
      </c>
      <c r="G2217" s="40">
        <v>1.681700106</v>
      </c>
      <c r="H2217" s="40" t="str">
        <f t="shared" si="1"/>
        <v>#N/A</v>
      </c>
      <c r="I2217" s="41">
        <v>0.493670886</v>
      </c>
      <c r="J2217" s="41">
        <v>0.189873418</v>
      </c>
      <c r="K2217" s="41">
        <v>0.316455696</v>
      </c>
      <c r="L2217" s="41">
        <f t="shared" si="2"/>
        <v>0.17721519</v>
      </c>
      <c r="M2217" s="74">
        <v>-4.554009652</v>
      </c>
    </row>
    <row r="2218">
      <c r="A2218" s="1" t="s">
        <v>156</v>
      </c>
      <c r="B2218" s="38">
        <v>519242.0</v>
      </c>
      <c r="C2218" s="72">
        <v>45806.0</v>
      </c>
      <c r="D2218" s="38">
        <v>99.0</v>
      </c>
      <c r="E2218" s="73">
        <f>IFERROR(__xludf.DUMMYFUNCTION("average(filter('Appearance Sheet'!F:F,'Appearance Sheet'!G:G=B2218,'Appearance Sheet'!A:A=C2218))"),6.0)</f>
        <v>6</v>
      </c>
      <c r="F2218" s="67">
        <v>5.099660793</v>
      </c>
      <c r="G2218" s="40">
        <v>2.084543219</v>
      </c>
      <c r="H2218" s="40">
        <f t="shared" si="1"/>
        <v>3.126814829</v>
      </c>
      <c r="I2218" s="41">
        <v>0.515151515</v>
      </c>
      <c r="J2218" s="41">
        <v>0.171717172</v>
      </c>
      <c r="K2218" s="41">
        <v>0.313131313</v>
      </c>
      <c r="L2218" s="41">
        <f t="shared" si="2"/>
        <v>0.202020202</v>
      </c>
      <c r="M2218" s="74">
        <v>3.232251544</v>
      </c>
    </row>
    <row r="2219">
      <c r="A2219" s="1" t="s">
        <v>363</v>
      </c>
      <c r="B2219" s="38">
        <v>693645.0</v>
      </c>
      <c r="C2219" s="72">
        <v>45847.0</v>
      </c>
      <c r="D2219" s="38">
        <v>69.0</v>
      </c>
      <c r="E2219" s="73" t="str">
        <f>IFERROR(__xludf.DUMMYFUNCTION("average(filter('Appearance Sheet'!F:F,'Appearance Sheet'!G:G=B2219,'Appearance Sheet'!A:A=C2219))"),"#N/A")</f>
        <v>#N/A</v>
      </c>
      <c r="F2219" s="67">
        <v>5.099426175</v>
      </c>
      <c r="G2219" s="40">
        <v>1.487584317</v>
      </c>
      <c r="H2219" s="40" t="str">
        <f t="shared" si="1"/>
        <v>#N/A</v>
      </c>
      <c r="I2219" s="41">
        <v>0.507246377</v>
      </c>
      <c r="J2219" s="41">
        <v>0.173913043</v>
      </c>
      <c r="K2219" s="41">
        <v>0.31884058</v>
      </c>
      <c r="L2219" s="41">
        <f t="shared" si="2"/>
        <v>0.188405797</v>
      </c>
      <c r="M2219" s="74">
        <v>-0.522117792</v>
      </c>
    </row>
    <row r="2220">
      <c r="A2220" s="1" t="s">
        <v>577</v>
      </c>
      <c r="B2220" s="38">
        <v>687922.0</v>
      </c>
      <c r="C2220" s="72">
        <v>45808.0</v>
      </c>
      <c r="D2220" s="38">
        <v>68.0</v>
      </c>
      <c r="E2220" s="73">
        <f>IFERROR(__xludf.DUMMYFUNCTION("average(filter('Appearance Sheet'!F:F,'Appearance Sheet'!G:G=B2220,'Appearance Sheet'!A:A=C2220))"),4.666666666666667)</f>
        <v>4.666666667</v>
      </c>
      <c r="F2220" s="67">
        <v>5.099341226</v>
      </c>
      <c r="G2220" s="40">
        <v>1.43285571</v>
      </c>
      <c r="H2220" s="40">
        <f t="shared" si="1"/>
        <v>2.763364584</v>
      </c>
      <c r="I2220" s="41">
        <v>0.470588235</v>
      </c>
      <c r="J2220" s="41">
        <v>0.176470588</v>
      </c>
      <c r="K2220" s="41">
        <v>0.352941176</v>
      </c>
      <c r="L2220" s="41">
        <f t="shared" si="2"/>
        <v>0.117647059</v>
      </c>
      <c r="M2220" s="74">
        <v>0.502464556</v>
      </c>
    </row>
    <row r="2221">
      <c r="A2221" s="1" t="s">
        <v>358</v>
      </c>
      <c r="B2221" s="38">
        <v>434378.0</v>
      </c>
      <c r="C2221" s="72">
        <v>45751.0</v>
      </c>
      <c r="D2221" s="38">
        <v>63.0</v>
      </c>
      <c r="E2221" s="73">
        <f>IFERROR(__xludf.DUMMYFUNCTION("average(filter('Appearance Sheet'!F:F,'Appearance Sheet'!G:G=B2221,'Appearance Sheet'!A:A=C2221))"),2.3333333333333335)</f>
        <v>2.333333333</v>
      </c>
      <c r="F2221" s="67">
        <v>5.099328632</v>
      </c>
      <c r="G2221" s="40">
        <v>1.323433095</v>
      </c>
      <c r="H2221" s="40">
        <f t="shared" si="1"/>
        <v>5.104670509</v>
      </c>
      <c r="I2221" s="41">
        <v>0.46031746</v>
      </c>
      <c r="J2221" s="41">
        <v>0.19047619</v>
      </c>
      <c r="K2221" s="41">
        <v>0.349206349</v>
      </c>
      <c r="L2221" s="41">
        <f t="shared" si="2"/>
        <v>0.111111111</v>
      </c>
      <c r="M2221" s="74">
        <v>-1.056714493</v>
      </c>
    </row>
    <row r="2222">
      <c r="A2222" s="1" t="s">
        <v>390</v>
      </c>
      <c r="B2222" s="38">
        <v>669422.0</v>
      </c>
      <c r="C2222" s="72">
        <v>45792.0</v>
      </c>
      <c r="D2222" s="38">
        <v>66.0</v>
      </c>
      <c r="E2222" s="73">
        <f>IFERROR(__xludf.DUMMYFUNCTION("average(filter('Appearance Sheet'!F:F,'Appearance Sheet'!G:G=B2222,'Appearance Sheet'!A:A=C2222))"),4.0)</f>
        <v>4</v>
      </c>
      <c r="F2222" s="67">
        <v>5.099294132</v>
      </c>
      <c r="G2222" s="40">
        <v>1.373086436</v>
      </c>
      <c r="H2222" s="40">
        <f t="shared" si="1"/>
        <v>3.089444481</v>
      </c>
      <c r="I2222" s="41">
        <v>0.439393939</v>
      </c>
      <c r="J2222" s="41">
        <v>0.287878788</v>
      </c>
      <c r="K2222" s="41">
        <v>0.272727273</v>
      </c>
      <c r="L2222" s="41">
        <f t="shared" si="2"/>
        <v>0.166666666</v>
      </c>
      <c r="M2222" s="74">
        <v>2.127656738</v>
      </c>
    </row>
    <row r="2223">
      <c r="A2223" s="1" t="s">
        <v>93</v>
      </c>
      <c r="B2223" s="38">
        <v>669194.0</v>
      </c>
      <c r="C2223" s="72">
        <v>45913.0</v>
      </c>
      <c r="D2223" s="38">
        <v>88.0</v>
      </c>
      <c r="E2223" s="73" t="str">
        <f>IFERROR(__xludf.DUMMYFUNCTION("average(filter('Appearance Sheet'!F:F,'Appearance Sheet'!G:G=B2223,'Appearance Sheet'!A:A=C2223))"),"#N/A")</f>
        <v>#N/A</v>
      </c>
      <c r="F2223" s="67">
        <v>5.09904899</v>
      </c>
      <c r="G2223" s="40">
        <v>1.854905302</v>
      </c>
      <c r="H2223" s="40" t="str">
        <f t="shared" si="1"/>
        <v>#N/A</v>
      </c>
      <c r="I2223" s="41">
        <v>0.534090909</v>
      </c>
      <c r="J2223" s="41">
        <v>0.056818182</v>
      </c>
      <c r="K2223" s="41">
        <v>0.409090909</v>
      </c>
      <c r="L2223" s="41">
        <f t="shared" si="2"/>
        <v>0.125</v>
      </c>
      <c r="M2223" s="74">
        <v>0.305727815</v>
      </c>
    </row>
    <row r="2224">
      <c r="A2224" s="1" t="s">
        <v>176</v>
      </c>
      <c r="B2224" s="38">
        <v>686218.0</v>
      </c>
      <c r="C2224" s="72">
        <v>45826.0</v>
      </c>
      <c r="D2224" s="38">
        <v>64.0</v>
      </c>
      <c r="E2224" s="73">
        <f>IFERROR(__xludf.DUMMYFUNCTION("average(filter('Appearance Sheet'!F:F,'Appearance Sheet'!G:G=B2224,'Appearance Sheet'!A:A=C2224))"),4.0)</f>
        <v>4</v>
      </c>
      <c r="F2224" s="67">
        <v>5.098985026</v>
      </c>
      <c r="G2224" s="40">
        <v>1.363492548</v>
      </c>
      <c r="H2224" s="40">
        <f t="shared" si="1"/>
        <v>3.067858233</v>
      </c>
      <c r="I2224" s="41">
        <v>0.5</v>
      </c>
      <c r="J2224" s="41">
        <v>0.109375</v>
      </c>
      <c r="K2224" s="41">
        <v>0.390625</v>
      </c>
      <c r="L2224" s="41">
        <f t="shared" si="2"/>
        <v>0.109375</v>
      </c>
      <c r="M2224" s="74">
        <v>0.409847955</v>
      </c>
    </row>
    <row r="2225">
      <c r="A2225" s="1" t="s">
        <v>155</v>
      </c>
      <c r="B2225" s="38">
        <v>592332.0</v>
      </c>
      <c r="C2225" s="72">
        <v>45844.0</v>
      </c>
      <c r="D2225" s="38">
        <v>99.0</v>
      </c>
      <c r="E2225" s="73" t="str">
        <f>IFERROR(__xludf.DUMMYFUNCTION("average(filter('Appearance Sheet'!F:F,'Appearance Sheet'!G:G=B2225,'Appearance Sheet'!A:A=C2225))"),"#N/A")</f>
        <v>#N/A</v>
      </c>
      <c r="F2225" s="67">
        <v>5.09880473</v>
      </c>
      <c r="G2225" s="40">
        <v>2.077771206</v>
      </c>
      <c r="H2225" s="40" t="str">
        <f t="shared" si="1"/>
        <v>#N/A</v>
      </c>
      <c r="I2225" s="41">
        <v>0.474747475</v>
      </c>
      <c r="J2225" s="41">
        <v>0.191919192</v>
      </c>
      <c r="K2225" s="41">
        <v>0.333333333</v>
      </c>
      <c r="L2225" s="41">
        <f t="shared" si="2"/>
        <v>0.141414142</v>
      </c>
      <c r="M2225" s="74">
        <v>0.185766194</v>
      </c>
    </row>
    <row r="2226">
      <c r="A2226" s="1" t="s">
        <v>263</v>
      </c>
      <c r="B2226" s="38">
        <v>694297.0</v>
      </c>
      <c r="C2226" s="72">
        <v>45769.0</v>
      </c>
      <c r="D2226" s="38">
        <v>89.0</v>
      </c>
      <c r="E2226" s="73">
        <f>IFERROR(__xludf.DUMMYFUNCTION("average(filter('Appearance Sheet'!F:F,'Appearance Sheet'!G:G=B2226,'Appearance Sheet'!A:A=C2226))"),6.0)</f>
        <v>6</v>
      </c>
      <c r="F2226" s="67">
        <v>5.09879904</v>
      </c>
      <c r="G2226" s="40">
        <v>1.857519446</v>
      </c>
      <c r="H2226" s="40">
        <f t="shared" si="1"/>
        <v>2.786279169</v>
      </c>
      <c r="I2226" s="41">
        <v>0.494382022</v>
      </c>
      <c r="J2226" s="41">
        <v>0.191011236</v>
      </c>
      <c r="K2226" s="41">
        <v>0.314606742</v>
      </c>
      <c r="L2226" s="41">
        <f t="shared" si="2"/>
        <v>0.17977528</v>
      </c>
      <c r="M2226" s="74">
        <v>3.923212042</v>
      </c>
    </row>
    <row r="2227">
      <c r="A2227" s="1" t="s">
        <v>281</v>
      </c>
      <c r="B2227" s="38">
        <v>622663.0</v>
      </c>
      <c r="C2227" s="72">
        <v>45857.0</v>
      </c>
      <c r="D2227" s="38">
        <v>82.0</v>
      </c>
      <c r="E2227" s="73" t="str">
        <f>IFERROR(__xludf.DUMMYFUNCTION("average(filter('Appearance Sheet'!F:F,'Appearance Sheet'!G:G=B2227,'Appearance Sheet'!A:A=C2227))"),"#N/A")</f>
        <v>#N/A</v>
      </c>
      <c r="F2227" s="67">
        <v>5.098664361</v>
      </c>
      <c r="G2227" s="40">
        <v>1.744476933</v>
      </c>
      <c r="H2227" s="40" t="str">
        <f t="shared" si="1"/>
        <v>#N/A</v>
      </c>
      <c r="I2227" s="41">
        <v>0.463414634</v>
      </c>
      <c r="J2227" s="41">
        <v>0.207317073</v>
      </c>
      <c r="K2227" s="41">
        <v>0.329268293</v>
      </c>
      <c r="L2227" s="41">
        <f t="shared" si="2"/>
        <v>0.134146341</v>
      </c>
      <c r="M2227" s="74">
        <v>1.219430597</v>
      </c>
    </row>
    <row r="2228">
      <c r="A2228" s="1" t="s">
        <v>369</v>
      </c>
      <c r="B2228" s="38">
        <v>596295.0</v>
      </c>
      <c r="C2228" s="72">
        <v>45840.0</v>
      </c>
      <c r="D2228" s="38">
        <v>75.0</v>
      </c>
      <c r="E2228" s="73">
        <f>IFERROR(__xludf.DUMMYFUNCTION("average(filter('Appearance Sheet'!F:F,'Appearance Sheet'!G:G=B2228,'Appearance Sheet'!A:A=C2228))"),5.0)</f>
        <v>5</v>
      </c>
      <c r="F2228" s="67">
        <v>5.098657907</v>
      </c>
      <c r="G2228" s="40">
        <v>1.623463033</v>
      </c>
      <c r="H2228" s="40">
        <f t="shared" si="1"/>
        <v>2.922233459</v>
      </c>
      <c r="I2228" s="41">
        <v>0.44</v>
      </c>
      <c r="J2228" s="41">
        <v>0.253333333</v>
      </c>
      <c r="K2228" s="41">
        <v>0.306666667</v>
      </c>
      <c r="L2228" s="41">
        <f t="shared" si="2"/>
        <v>0.133333333</v>
      </c>
      <c r="M2228" s="74">
        <v>-1.326340524</v>
      </c>
    </row>
    <row r="2229">
      <c r="A2229" s="1" t="s">
        <v>188</v>
      </c>
      <c r="B2229" s="38">
        <v>694819.0</v>
      </c>
      <c r="C2229" s="72">
        <v>45889.0</v>
      </c>
      <c r="D2229" s="38">
        <v>77.0</v>
      </c>
      <c r="E2229" s="73" t="str">
        <f>IFERROR(__xludf.DUMMYFUNCTION("average(filter('Appearance Sheet'!F:F,'Appearance Sheet'!G:G=B2229,'Appearance Sheet'!A:A=C2229))"),"#N/A")</f>
        <v>#N/A</v>
      </c>
      <c r="F2229" s="67">
        <v>5.098648922</v>
      </c>
      <c r="G2229" s="40">
        <v>1.601037748</v>
      </c>
      <c r="H2229" s="40" t="str">
        <f t="shared" si="1"/>
        <v>#N/A</v>
      </c>
      <c r="I2229" s="41">
        <v>0.558441558</v>
      </c>
      <c r="J2229" s="41">
        <v>0.181818182</v>
      </c>
      <c r="K2229" s="41">
        <v>0.25974026</v>
      </c>
      <c r="L2229" s="41">
        <f t="shared" si="2"/>
        <v>0.298701298</v>
      </c>
      <c r="M2229" s="74">
        <v>4.136418777</v>
      </c>
    </row>
    <row r="2230">
      <c r="A2230" s="1" t="s">
        <v>98</v>
      </c>
      <c r="B2230" s="38">
        <v>605400.0</v>
      </c>
      <c r="C2230" s="72">
        <v>45903.0</v>
      </c>
      <c r="D2230" s="38">
        <v>91.0</v>
      </c>
      <c r="E2230" s="73" t="str">
        <f>IFERROR(__xludf.DUMMYFUNCTION("average(filter('Appearance Sheet'!F:F,'Appearance Sheet'!G:G=B2230,'Appearance Sheet'!A:A=C2230))"),"#N/A")</f>
        <v>#N/A</v>
      </c>
      <c r="F2230" s="67">
        <v>5.098573022</v>
      </c>
      <c r="G2230" s="40">
        <v>1.901690362</v>
      </c>
      <c r="H2230" s="40" t="str">
        <f t="shared" si="1"/>
        <v>#N/A</v>
      </c>
      <c r="I2230" s="41">
        <v>0.494505495</v>
      </c>
      <c r="J2230" s="41">
        <v>0.153846154</v>
      </c>
      <c r="K2230" s="41">
        <v>0.351648352</v>
      </c>
      <c r="L2230" s="41">
        <f t="shared" si="2"/>
        <v>0.142857143</v>
      </c>
      <c r="M2230" s="74">
        <v>-0.746285827</v>
      </c>
    </row>
    <row r="2231">
      <c r="A2231" s="1" t="s">
        <v>113</v>
      </c>
      <c r="B2231" s="38">
        <v>664285.0</v>
      </c>
      <c r="C2231" s="72">
        <v>45832.0</v>
      </c>
      <c r="D2231" s="38">
        <v>86.0</v>
      </c>
      <c r="E2231" s="73">
        <f>IFERROR(__xludf.DUMMYFUNCTION("average(filter('Appearance Sheet'!F:F,'Appearance Sheet'!G:G=B2231,'Appearance Sheet'!A:A=C2231))"),7.0)</f>
        <v>7</v>
      </c>
      <c r="F2231" s="67">
        <v>5.098434806</v>
      </c>
      <c r="G2231" s="40">
        <v>1.829328632</v>
      </c>
      <c r="H2231" s="40">
        <f t="shared" si="1"/>
        <v>2.351993955</v>
      </c>
      <c r="I2231" s="41">
        <v>0.441860465</v>
      </c>
      <c r="J2231" s="41">
        <v>0.151162791</v>
      </c>
      <c r="K2231" s="41">
        <v>0.406976744</v>
      </c>
      <c r="L2231" s="41">
        <f t="shared" si="2"/>
        <v>0.034883721</v>
      </c>
      <c r="M2231" s="74">
        <v>1.567724248</v>
      </c>
    </row>
    <row r="2232">
      <c r="A2232" s="1" t="s">
        <v>255</v>
      </c>
      <c r="B2232" s="38">
        <v>688138.0</v>
      </c>
      <c r="C2232" s="72">
        <v>45774.0</v>
      </c>
      <c r="D2232" s="38">
        <v>76.0</v>
      </c>
      <c r="E2232" s="73">
        <f>IFERROR(__xludf.DUMMYFUNCTION("average(filter('Appearance Sheet'!F:F,'Appearance Sheet'!G:G=B2232,'Appearance Sheet'!A:A=C2232))"),5.0)</f>
        <v>5</v>
      </c>
      <c r="F2232" s="67">
        <v>5.098405595</v>
      </c>
      <c r="G2232" s="40">
        <v>1.578347198</v>
      </c>
      <c r="H2232" s="40">
        <f t="shared" si="1"/>
        <v>2.841024956</v>
      </c>
      <c r="I2232" s="41">
        <v>0.5</v>
      </c>
      <c r="J2232" s="41">
        <v>0.171052632</v>
      </c>
      <c r="K2232" s="41">
        <v>0.328947368</v>
      </c>
      <c r="L2232" s="41">
        <f t="shared" si="2"/>
        <v>0.171052632</v>
      </c>
      <c r="M2232" s="74">
        <v>2.882922832</v>
      </c>
    </row>
    <row r="2233">
      <c r="A2233" s="1" t="s">
        <v>180</v>
      </c>
      <c r="B2233" s="38">
        <v>642547.0</v>
      </c>
      <c r="C2233" s="72">
        <v>45776.0</v>
      </c>
      <c r="D2233" s="38">
        <v>91.0</v>
      </c>
      <c r="E2233" s="73">
        <f>IFERROR(__xludf.DUMMYFUNCTION("average(filter('Appearance Sheet'!F:F,'Appearance Sheet'!G:G=B2233,'Appearance Sheet'!A:A=C2233))"),6.0)</f>
        <v>6</v>
      </c>
      <c r="F2233" s="67">
        <v>5.098366502</v>
      </c>
      <c r="G2233" s="40">
        <v>1.933978652</v>
      </c>
      <c r="H2233" s="40">
        <f t="shared" si="1"/>
        <v>2.900967978</v>
      </c>
      <c r="I2233" s="41">
        <v>0.538461538</v>
      </c>
      <c r="J2233" s="41">
        <v>0.10989011</v>
      </c>
      <c r="K2233" s="41">
        <v>0.351648352</v>
      </c>
      <c r="L2233" s="41">
        <f t="shared" si="2"/>
        <v>0.186813186</v>
      </c>
      <c r="M2233" s="74">
        <v>0.723991679</v>
      </c>
    </row>
    <row r="2234">
      <c r="A2234" s="1" t="s">
        <v>84</v>
      </c>
      <c r="B2234" s="38">
        <v>669373.0</v>
      </c>
      <c r="C2234" s="72">
        <v>45883.0</v>
      </c>
      <c r="D2234" s="38">
        <v>97.0</v>
      </c>
      <c r="E2234" s="73" t="str">
        <f>IFERROR(__xludf.DUMMYFUNCTION("average(filter('Appearance Sheet'!F:F,'Appearance Sheet'!G:G=B2234,'Appearance Sheet'!A:A=C2234))"),"#N/A")</f>
        <v>#N/A</v>
      </c>
      <c r="F2234" s="67">
        <v>5.098358122</v>
      </c>
      <c r="G2234" s="40">
        <v>2.067191225</v>
      </c>
      <c r="H2234" s="40" t="str">
        <f t="shared" si="1"/>
        <v>#N/A</v>
      </c>
      <c r="I2234" s="41">
        <v>0.484536082</v>
      </c>
      <c r="J2234" s="41">
        <v>0.154639175</v>
      </c>
      <c r="K2234" s="41">
        <v>0.360824742</v>
      </c>
      <c r="L2234" s="41">
        <f t="shared" si="2"/>
        <v>0.12371134</v>
      </c>
      <c r="M2234" s="74">
        <v>-0.94549768</v>
      </c>
    </row>
    <row r="2235">
      <c r="A2235" s="1" t="s">
        <v>586</v>
      </c>
      <c r="B2235" s="38">
        <v>669721.0</v>
      </c>
      <c r="C2235" s="72">
        <v>45860.0</v>
      </c>
      <c r="D2235" s="38">
        <v>92.0</v>
      </c>
      <c r="E2235" s="73" t="str">
        <f>IFERROR(__xludf.DUMMYFUNCTION("average(filter('Appearance Sheet'!F:F,'Appearance Sheet'!G:G=B2235,'Appearance Sheet'!A:A=C2235))"),"#N/A")</f>
        <v>#N/A</v>
      </c>
      <c r="F2235" s="67">
        <v>5.098162486</v>
      </c>
      <c r="G2235" s="40">
        <v>1.958961316</v>
      </c>
      <c r="H2235" s="40" t="str">
        <f t="shared" si="1"/>
        <v>#N/A</v>
      </c>
      <c r="I2235" s="41">
        <v>0.467391304</v>
      </c>
      <c r="J2235" s="41">
        <v>0.206521739</v>
      </c>
      <c r="K2235" s="41">
        <v>0.326086957</v>
      </c>
      <c r="L2235" s="41">
        <f t="shared" si="2"/>
        <v>0.141304347</v>
      </c>
      <c r="M2235" s="74">
        <v>-1.967631268</v>
      </c>
    </row>
    <row r="2236">
      <c r="A2236" s="1" t="s">
        <v>380</v>
      </c>
      <c r="B2236" s="38">
        <v>661563.0</v>
      </c>
      <c r="C2236" s="72">
        <v>45912.0</v>
      </c>
      <c r="D2236" s="38">
        <v>87.0</v>
      </c>
      <c r="E2236" s="73" t="str">
        <f>IFERROR(__xludf.DUMMYFUNCTION("average(filter('Appearance Sheet'!F:F,'Appearance Sheet'!G:G=B2236,'Appearance Sheet'!A:A=C2236))"),"#N/A")</f>
        <v>#N/A</v>
      </c>
      <c r="F2236" s="67">
        <v>5.09805166</v>
      </c>
      <c r="G2236" s="40">
        <v>1.837257332</v>
      </c>
      <c r="H2236" s="40" t="str">
        <f t="shared" si="1"/>
        <v>#N/A</v>
      </c>
      <c r="I2236" s="41">
        <v>0.494252874</v>
      </c>
      <c r="J2236" s="41">
        <v>0.137931034</v>
      </c>
      <c r="K2236" s="41">
        <v>0.367816092</v>
      </c>
      <c r="L2236" s="41">
        <f t="shared" si="2"/>
        <v>0.126436782</v>
      </c>
      <c r="M2236" s="74">
        <v>4.127265711</v>
      </c>
    </row>
    <row r="2237">
      <c r="A2237" s="1" t="s">
        <v>171</v>
      </c>
      <c r="B2237" s="38">
        <v>665795.0</v>
      </c>
      <c r="C2237" s="72">
        <v>45833.0</v>
      </c>
      <c r="D2237" s="38">
        <v>85.0</v>
      </c>
      <c r="E2237" s="73">
        <f>IFERROR(__xludf.DUMMYFUNCTION("average(filter('Appearance Sheet'!F:F,'Appearance Sheet'!G:G=B2237,'Appearance Sheet'!A:A=C2237))"),5.333333333333333)</f>
        <v>5.333333333</v>
      </c>
      <c r="F2237" s="67">
        <v>5.097915576</v>
      </c>
      <c r="G2237" s="40">
        <v>1.778667525</v>
      </c>
      <c r="H2237" s="40">
        <f t="shared" si="1"/>
        <v>3.001501448</v>
      </c>
      <c r="I2237" s="41">
        <v>0.482352941</v>
      </c>
      <c r="J2237" s="41">
        <v>0.188235294</v>
      </c>
      <c r="K2237" s="41">
        <v>0.329411765</v>
      </c>
      <c r="L2237" s="41">
        <f t="shared" si="2"/>
        <v>0.152941176</v>
      </c>
      <c r="M2237" s="74">
        <v>2.036865589</v>
      </c>
    </row>
    <row r="2238">
      <c r="A2238" s="1" t="s">
        <v>387</v>
      </c>
      <c r="B2238" s="38">
        <v>669060.0</v>
      </c>
      <c r="C2238" s="72">
        <v>45792.0</v>
      </c>
      <c r="D2238" s="38">
        <v>90.0</v>
      </c>
      <c r="E2238" s="73">
        <f>IFERROR(__xludf.DUMMYFUNCTION("average(filter('Appearance Sheet'!F:F,'Appearance Sheet'!G:G=B2238,'Appearance Sheet'!A:A=C2238))"),5.333333333333333)</f>
        <v>5.333333333</v>
      </c>
      <c r="F2238" s="67">
        <v>5.097641226</v>
      </c>
      <c r="G2238" s="40">
        <v>1.91841177</v>
      </c>
      <c r="H2238" s="40">
        <f t="shared" si="1"/>
        <v>3.237319862</v>
      </c>
      <c r="I2238" s="41">
        <v>0.555555556</v>
      </c>
      <c r="J2238" s="41">
        <v>0.1</v>
      </c>
      <c r="K2238" s="41">
        <v>0.344444444</v>
      </c>
      <c r="L2238" s="41">
        <f t="shared" si="2"/>
        <v>0.211111112</v>
      </c>
      <c r="M2238" s="74">
        <v>-4.443930054</v>
      </c>
    </row>
    <row r="2239">
      <c r="A2239" s="1" t="s">
        <v>457</v>
      </c>
      <c r="B2239" s="38">
        <v>477132.0</v>
      </c>
      <c r="C2239" s="72">
        <v>45846.0</v>
      </c>
      <c r="D2239" s="38">
        <v>82.0</v>
      </c>
      <c r="E2239" s="73" t="str">
        <f>IFERROR(__xludf.DUMMYFUNCTION("average(filter('Appearance Sheet'!F:F,'Appearance Sheet'!G:G=B2239,'Appearance Sheet'!A:A=C2239))"),"#N/A")</f>
        <v>#N/A</v>
      </c>
      <c r="F2239" s="67">
        <v>5.097586461</v>
      </c>
      <c r="G2239" s="40">
        <v>1.747795443</v>
      </c>
      <c r="H2239" s="40" t="str">
        <f t="shared" si="1"/>
        <v>#N/A</v>
      </c>
      <c r="I2239" s="41">
        <v>0.5</v>
      </c>
      <c r="J2239" s="41">
        <v>0.182926829</v>
      </c>
      <c r="K2239" s="41">
        <v>0.317073171</v>
      </c>
      <c r="L2239" s="41">
        <f t="shared" si="2"/>
        <v>0.182926829</v>
      </c>
      <c r="M2239" s="74">
        <v>-0.479933212</v>
      </c>
    </row>
    <row r="2240">
      <c r="A2240" s="1" t="s">
        <v>285</v>
      </c>
      <c r="B2240" s="38">
        <v>607074.0</v>
      </c>
      <c r="C2240" s="72">
        <v>45760.0</v>
      </c>
      <c r="D2240" s="38">
        <v>99.0</v>
      </c>
      <c r="E2240" s="73">
        <f>IFERROR(__xludf.DUMMYFUNCTION("average(filter('Appearance Sheet'!F:F,'Appearance Sheet'!G:G=B2240,'Appearance Sheet'!A:A=C2240))"),5.666666666666667)</f>
        <v>5.666666667</v>
      </c>
      <c r="F2240" s="67">
        <v>5.09753193</v>
      </c>
      <c r="G2240" s="40">
        <v>2.077040091</v>
      </c>
      <c r="H2240" s="40">
        <f t="shared" si="1"/>
        <v>3.29882838</v>
      </c>
      <c r="I2240" s="41">
        <v>0.555555556</v>
      </c>
      <c r="J2240" s="41">
        <v>0.161616162</v>
      </c>
      <c r="K2240" s="41">
        <v>0.282828283</v>
      </c>
      <c r="L2240" s="41">
        <f t="shared" si="2"/>
        <v>0.272727273</v>
      </c>
      <c r="M2240" s="74">
        <v>1.739015958</v>
      </c>
    </row>
    <row r="2241">
      <c r="A2241" s="1" t="s">
        <v>245</v>
      </c>
      <c r="B2241" s="38">
        <v>571578.0</v>
      </c>
      <c r="C2241" s="72">
        <v>45895.0</v>
      </c>
      <c r="D2241" s="38">
        <v>99.0</v>
      </c>
      <c r="E2241" s="73" t="str">
        <f>IFERROR(__xludf.DUMMYFUNCTION("average(filter('Appearance Sheet'!F:F,'Appearance Sheet'!G:G=B2241,'Appearance Sheet'!A:A=C2241))"),"#N/A")</f>
        <v>#N/A</v>
      </c>
      <c r="F2241" s="67">
        <v>5.097490969</v>
      </c>
      <c r="G2241" s="40">
        <v>2.119152286</v>
      </c>
      <c r="H2241" s="40" t="str">
        <f t="shared" si="1"/>
        <v>#N/A</v>
      </c>
      <c r="I2241" s="41">
        <v>0.454545455</v>
      </c>
      <c r="J2241" s="41">
        <v>0.171717172</v>
      </c>
      <c r="K2241" s="41">
        <v>0.373737374</v>
      </c>
      <c r="L2241" s="41">
        <f t="shared" si="2"/>
        <v>0.080808081</v>
      </c>
      <c r="M2241" s="74">
        <v>2.885146346</v>
      </c>
    </row>
    <row r="2242">
      <c r="A2242" s="1" t="s">
        <v>464</v>
      </c>
      <c r="B2242" s="38">
        <v>615698.0</v>
      </c>
      <c r="C2242" s="72">
        <v>45807.0</v>
      </c>
      <c r="D2242" s="38">
        <v>92.0</v>
      </c>
      <c r="E2242" s="73">
        <f>IFERROR(__xludf.DUMMYFUNCTION("average(filter('Appearance Sheet'!F:F,'Appearance Sheet'!G:G=B2242,'Appearance Sheet'!A:A=C2242))"),5.0)</f>
        <v>5</v>
      </c>
      <c r="F2242" s="67">
        <v>5.097313922</v>
      </c>
      <c r="G2242" s="40">
        <v>1.966936349</v>
      </c>
      <c r="H2242" s="40">
        <f t="shared" si="1"/>
        <v>3.540485428</v>
      </c>
      <c r="I2242" s="41">
        <v>0.489130435</v>
      </c>
      <c r="J2242" s="41">
        <v>0.152173913</v>
      </c>
      <c r="K2242" s="41">
        <v>0.358695652</v>
      </c>
      <c r="L2242" s="41">
        <f t="shared" si="2"/>
        <v>0.130434783</v>
      </c>
      <c r="M2242" s="74">
        <v>-2.029963324</v>
      </c>
    </row>
    <row r="2243">
      <c r="A2243" s="1" t="s">
        <v>166</v>
      </c>
      <c r="B2243" s="38">
        <v>608331.0</v>
      </c>
      <c r="C2243" s="72">
        <v>45902.0</v>
      </c>
      <c r="D2243" s="38">
        <v>85.0</v>
      </c>
      <c r="E2243" s="73" t="str">
        <f>IFERROR(__xludf.DUMMYFUNCTION("average(filter('Appearance Sheet'!F:F,'Appearance Sheet'!G:G=B2243,'Appearance Sheet'!A:A=C2243))"),"#N/A")</f>
        <v>#N/A</v>
      </c>
      <c r="F2243" s="67">
        <v>5.097237665</v>
      </c>
      <c r="G2243" s="40">
        <v>1.792260047</v>
      </c>
      <c r="H2243" s="40" t="str">
        <f t="shared" si="1"/>
        <v>#N/A</v>
      </c>
      <c r="I2243" s="41">
        <v>0.517647059</v>
      </c>
      <c r="J2243" s="41">
        <v>0.117647059</v>
      </c>
      <c r="K2243" s="41">
        <v>0.364705882</v>
      </c>
      <c r="L2243" s="41">
        <f t="shared" si="2"/>
        <v>0.152941177</v>
      </c>
      <c r="M2243" s="74">
        <v>0.421654744</v>
      </c>
    </row>
    <row r="2244">
      <c r="A2244" s="1" t="s">
        <v>130</v>
      </c>
      <c r="B2244" s="38">
        <v>666200.0</v>
      </c>
      <c r="C2244" s="72">
        <v>45861.0</v>
      </c>
      <c r="D2244" s="38">
        <v>87.0</v>
      </c>
      <c r="E2244" s="73" t="str">
        <f>IFERROR(__xludf.DUMMYFUNCTION("average(filter('Appearance Sheet'!F:F,'Appearance Sheet'!G:G=B2244,'Appearance Sheet'!A:A=C2244))"),"#N/A")</f>
        <v>#N/A</v>
      </c>
      <c r="F2244" s="67">
        <v>5.097146635</v>
      </c>
      <c r="G2244" s="40">
        <v>1.847794273</v>
      </c>
      <c r="H2244" s="40" t="str">
        <f t="shared" si="1"/>
        <v>#N/A</v>
      </c>
      <c r="I2244" s="41">
        <v>0.494252874</v>
      </c>
      <c r="J2244" s="41">
        <v>0.137931034</v>
      </c>
      <c r="K2244" s="41">
        <v>0.367816092</v>
      </c>
      <c r="L2244" s="41">
        <f t="shared" si="2"/>
        <v>0.126436782</v>
      </c>
      <c r="M2244" s="74">
        <v>2.394611934</v>
      </c>
    </row>
    <row r="2245">
      <c r="A2245" s="1" t="s">
        <v>371</v>
      </c>
      <c r="B2245" s="38">
        <v>681293.0</v>
      </c>
      <c r="C2245" s="72">
        <v>45893.0</v>
      </c>
      <c r="D2245" s="38">
        <v>97.0</v>
      </c>
      <c r="E2245" s="73" t="str">
        <f>IFERROR(__xludf.DUMMYFUNCTION("average(filter('Appearance Sheet'!F:F,'Appearance Sheet'!G:G=B2245,'Appearance Sheet'!A:A=C2245))"),"#N/A")</f>
        <v>#N/A</v>
      </c>
      <c r="F2245" s="67">
        <v>5.097135175</v>
      </c>
      <c r="G2245" s="40">
        <v>2.034708459</v>
      </c>
      <c r="H2245" s="40" t="str">
        <f t="shared" si="1"/>
        <v>#N/A</v>
      </c>
      <c r="I2245" s="41">
        <v>0.474226804</v>
      </c>
      <c r="J2245" s="41">
        <v>0.154639175</v>
      </c>
      <c r="K2245" s="41">
        <v>0.371134021</v>
      </c>
      <c r="L2245" s="41">
        <f t="shared" si="2"/>
        <v>0.103092783</v>
      </c>
      <c r="M2245" s="74">
        <v>0.475037777</v>
      </c>
    </row>
    <row r="2246">
      <c r="A2246" s="1" t="s">
        <v>339</v>
      </c>
      <c r="B2246" s="38">
        <v>686613.0</v>
      </c>
      <c r="C2246" s="72">
        <v>45756.0</v>
      </c>
      <c r="D2246" s="38">
        <v>91.0</v>
      </c>
      <c r="E2246" s="73">
        <f>IFERROR(__xludf.DUMMYFUNCTION("average(filter('Appearance Sheet'!F:F,'Appearance Sheet'!G:G=B2246,'Appearance Sheet'!A:A=C2246))"),6.0)</f>
        <v>6</v>
      </c>
      <c r="F2246" s="67">
        <v>5.09706815</v>
      </c>
      <c r="G2246" s="40">
        <v>1.909430418</v>
      </c>
      <c r="H2246" s="40">
        <f t="shared" si="1"/>
        <v>2.864145627</v>
      </c>
      <c r="I2246" s="41">
        <v>0.461538462</v>
      </c>
      <c r="J2246" s="41">
        <v>0.208791209</v>
      </c>
      <c r="K2246" s="41">
        <v>0.32967033</v>
      </c>
      <c r="L2246" s="41">
        <f t="shared" si="2"/>
        <v>0.131868132</v>
      </c>
      <c r="M2246" s="74">
        <v>3.89125147</v>
      </c>
    </row>
    <row r="2247">
      <c r="A2247" s="1" t="s">
        <v>398</v>
      </c>
      <c r="B2247" s="38">
        <v>676282.0</v>
      </c>
      <c r="C2247" s="72">
        <v>45860.0</v>
      </c>
      <c r="D2247" s="38">
        <v>90.0</v>
      </c>
      <c r="E2247" s="73" t="str">
        <f>IFERROR(__xludf.DUMMYFUNCTION("average(filter('Appearance Sheet'!F:F,'Appearance Sheet'!G:G=B2247,'Appearance Sheet'!A:A=C2247))"),"#N/A")</f>
        <v>#N/A</v>
      </c>
      <c r="F2247" s="67">
        <v>5.096949232</v>
      </c>
      <c r="G2247" s="40">
        <v>1.875243527</v>
      </c>
      <c r="H2247" s="40" t="str">
        <f t="shared" si="1"/>
        <v>#N/A</v>
      </c>
      <c r="I2247" s="41">
        <v>0.477777778</v>
      </c>
      <c r="J2247" s="41">
        <v>0.166666667</v>
      </c>
      <c r="K2247" s="41">
        <v>0.355555556</v>
      </c>
      <c r="L2247" s="41">
        <f t="shared" si="2"/>
        <v>0.122222222</v>
      </c>
      <c r="M2247" s="74">
        <v>3.215420173</v>
      </c>
    </row>
    <row r="2248">
      <c r="A2248" s="1" t="s">
        <v>320</v>
      </c>
      <c r="B2248" s="38">
        <v>681347.0</v>
      </c>
      <c r="C2248" s="72">
        <v>45857.0</v>
      </c>
      <c r="D2248" s="38">
        <v>76.0</v>
      </c>
      <c r="E2248" s="73" t="str">
        <f>IFERROR(__xludf.DUMMYFUNCTION("average(filter('Appearance Sheet'!F:F,'Appearance Sheet'!G:G=B2248,'Appearance Sheet'!A:A=C2248))"),"#N/A")</f>
        <v>#N/A</v>
      </c>
      <c r="F2248" s="67">
        <v>5.096853988</v>
      </c>
      <c r="G2248" s="40">
        <v>1.620652808</v>
      </c>
      <c r="H2248" s="40" t="str">
        <f t="shared" si="1"/>
        <v>#N/A</v>
      </c>
      <c r="I2248" s="41">
        <v>0.513157895</v>
      </c>
      <c r="J2248" s="41">
        <v>0.131578947</v>
      </c>
      <c r="K2248" s="41">
        <v>0.355263158</v>
      </c>
      <c r="L2248" s="41">
        <f t="shared" si="2"/>
        <v>0.157894737</v>
      </c>
      <c r="M2248" s="74">
        <v>1.066682401</v>
      </c>
    </row>
    <row r="2249">
      <c r="A2249" s="1" t="s">
        <v>344</v>
      </c>
      <c r="B2249" s="38">
        <v>701542.0</v>
      </c>
      <c r="C2249" s="72">
        <v>45830.0</v>
      </c>
      <c r="D2249" s="38">
        <v>80.0</v>
      </c>
      <c r="E2249" s="73">
        <f>IFERROR(__xludf.DUMMYFUNCTION("average(filter('Appearance Sheet'!F:F,'Appearance Sheet'!G:G=B2249,'Appearance Sheet'!A:A=C2249))"),6.333333333333333)</f>
        <v>6.333333333</v>
      </c>
      <c r="F2249" s="67">
        <v>5.096707486</v>
      </c>
      <c r="G2249" s="40">
        <v>1.704485973</v>
      </c>
      <c r="H2249" s="40">
        <f t="shared" si="1"/>
        <v>2.422164277</v>
      </c>
      <c r="I2249" s="41">
        <v>0.5625</v>
      </c>
      <c r="J2249" s="41">
        <v>0.1125</v>
      </c>
      <c r="K2249" s="41">
        <v>0.325</v>
      </c>
      <c r="L2249" s="41">
        <f t="shared" si="2"/>
        <v>0.2375</v>
      </c>
      <c r="M2249" s="74">
        <v>-1.929733835</v>
      </c>
    </row>
    <row r="2250">
      <c r="A2250" s="1" t="s">
        <v>584</v>
      </c>
      <c r="B2250" s="38">
        <v>657006.0</v>
      </c>
      <c r="C2250" s="72">
        <v>45754.0</v>
      </c>
      <c r="D2250" s="38">
        <v>86.0</v>
      </c>
      <c r="E2250" s="73">
        <f>IFERROR(__xludf.DUMMYFUNCTION("average(filter('Appearance Sheet'!F:F,'Appearance Sheet'!G:G=B2250,'Appearance Sheet'!A:A=C2250))"),7.0)</f>
        <v>7</v>
      </c>
      <c r="F2250" s="67">
        <v>5.096622703</v>
      </c>
      <c r="G2250" s="40">
        <v>1.815712039</v>
      </c>
      <c r="H2250" s="40">
        <f t="shared" si="1"/>
        <v>2.334486907</v>
      </c>
      <c r="I2250" s="41">
        <v>0.488372093</v>
      </c>
      <c r="J2250" s="41">
        <v>0.255813953</v>
      </c>
      <c r="K2250" s="41">
        <v>0.255813953</v>
      </c>
      <c r="L2250" s="41">
        <f t="shared" si="2"/>
        <v>0.23255814</v>
      </c>
      <c r="M2250" s="74">
        <v>2.204195517</v>
      </c>
    </row>
    <row r="2251">
      <c r="A2251" s="1" t="s">
        <v>416</v>
      </c>
      <c r="B2251" s="38">
        <v>608337.0</v>
      </c>
      <c r="C2251" s="72">
        <v>45794.0</v>
      </c>
      <c r="D2251" s="38">
        <v>86.0</v>
      </c>
      <c r="E2251" s="73">
        <f>IFERROR(__xludf.DUMMYFUNCTION("average(filter('Appearance Sheet'!F:F,'Appearance Sheet'!G:G=B2251,'Appearance Sheet'!A:A=C2251))"),4.0)</f>
        <v>4</v>
      </c>
      <c r="F2251" s="67">
        <v>5.096383325</v>
      </c>
      <c r="G2251" s="40">
        <v>1.865739769</v>
      </c>
      <c r="H2251" s="40">
        <f t="shared" si="1"/>
        <v>4.19791448</v>
      </c>
      <c r="I2251" s="41">
        <v>0.465116279</v>
      </c>
      <c r="J2251" s="41">
        <v>0.220930233</v>
      </c>
      <c r="K2251" s="41">
        <v>0.313953488</v>
      </c>
      <c r="L2251" s="41">
        <f t="shared" si="2"/>
        <v>0.151162791</v>
      </c>
      <c r="M2251" s="74">
        <v>-3.632938438</v>
      </c>
    </row>
    <row r="2252">
      <c r="A2252" s="1" t="s">
        <v>491</v>
      </c>
      <c r="B2252" s="38">
        <v>650644.0</v>
      </c>
      <c r="C2252" s="72">
        <v>45858.0</v>
      </c>
      <c r="D2252" s="38">
        <v>89.0</v>
      </c>
      <c r="E2252" s="73" t="str">
        <f>IFERROR(__xludf.DUMMYFUNCTION("average(filter('Appearance Sheet'!F:F,'Appearance Sheet'!G:G=B2252,'Appearance Sheet'!A:A=C2252))"),"#N/A")</f>
        <v>#N/A</v>
      </c>
      <c r="F2252" s="67">
        <v>5.096319593</v>
      </c>
      <c r="G2252" s="40">
        <v>1.90007066</v>
      </c>
      <c r="H2252" s="40" t="str">
        <f t="shared" si="1"/>
        <v>#N/A</v>
      </c>
      <c r="I2252" s="41">
        <v>0.404494382</v>
      </c>
      <c r="J2252" s="41">
        <v>0.235955056</v>
      </c>
      <c r="K2252" s="41">
        <v>0.359550562</v>
      </c>
      <c r="L2252" s="41">
        <f t="shared" si="2"/>
        <v>0.04494382</v>
      </c>
      <c r="M2252" s="74">
        <v>2.07957041</v>
      </c>
    </row>
    <row r="2253">
      <c r="A2253" s="1" t="s">
        <v>421</v>
      </c>
      <c r="B2253" s="38">
        <v>607192.0</v>
      </c>
      <c r="C2253" s="72">
        <v>45760.0</v>
      </c>
      <c r="D2253" s="38">
        <v>92.0</v>
      </c>
      <c r="E2253" s="73">
        <f>IFERROR(__xludf.DUMMYFUNCTION("average(filter('Appearance Sheet'!F:F,'Appearance Sheet'!G:G=B2253,'Appearance Sheet'!A:A=C2253))"),6.0)</f>
        <v>6</v>
      </c>
      <c r="F2253" s="67">
        <v>5.096224283</v>
      </c>
      <c r="G2253" s="40">
        <v>1.954736335</v>
      </c>
      <c r="H2253" s="40">
        <f t="shared" si="1"/>
        <v>2.932104503</v>
      </c>
      <c r="I2253" s="41">
        <v>0.456521739</v>
      </c>
      <c r="J2253" s="41">
        <v>0.130434783</v>
      </c>
      <c r="K2253" s="41">
        <v>0.413043478</v>
      </c>
      <c r="L2253" s="41">
        <f t="shared" si="2"/>
        <v>0.043478261</v>
      </c>
      <c r="M2253" s="74">
        <v>1.87754445</v>
      </c>
    </row>
    <row r="2254">
      <c r="A2254" s="1" t="s">
        <v>368</v>
      </c>
      <c r="B2254" s="38">
        <v>593958.0</v>
      </c>
      <c r="C2254" s="72">
        <v>45883.0</v>
      </c>
      <c r="D2254" s="38">
        <v>93.0</v>
      </c>
      <c r="E2254" s="73" t="str">
        <f>IFERROR(__xludf.DUMMYFUNCTION("average(filter('Appearance Sheet'!F:F,'Appearance Sheet'!G:G=B2254,'Appearance Sheet'!A:A=C2254))"),"#N/A")</f>
        <v>#N/A</v>
      </c>
      <c r="F2254" s="67">
        <v>5.095915033</v>
      </c>
      <c r="G2254" s="40">
        <v>1.997049465</v>
      </c>
      <c r="H2254" s="40" t="str">
        <f t="shared" si="1"/>
        <v>#N/A</v>
      </c>
      <c r="I2254" s="41">
        <v>0.483870968</v>
      </c>
      <c r="J2254" s="41">
        <v>0.193548387</v>
      </c>
      <c r="K2254" s="41">
        <v>0.322580645</v>
      </c>
      <c r="L2254" s="41">
        <f t="shared" si="2"/>
        <v>0.161290323</v>
      </c>
      <c r="M2254" s="74">
        <v>-0.134143596</v>
      </c>
    </row>
    <row r="2255">
      <c r="A2255" s="1" t="s">
        <v>175</v>
      </c>
      <c r="B2255" s="38">
        <v>622503.0</v>
      </c>
      <c r="C2255" s="72">
        <v>45897.0</v>
      </c>
      <c r="D2255" s="38">
        <v>84.0</v>
      </c>
      <c r="E2255" s="73" t="str">
        <f>IFERROR(__xludf.DUMMYFUNCTION("average(filter('Appearance Sheet'!F:F,'Appearance Sheet'!G:G=B2255,'Appearance Sheet'!A:A=C2255))"),"#N/A")</f>
        <v>#N/A</v>
      </c>
      <c r="F2255" s="67">
        <v>5.095870631</v>
      </c>
      <c r="G2255" s="40">
        <v>1.822184319</v>
      </c>
      <c r="H2255" s="40" t="str">
        <f t="shared" si="1"/>
        <v>#N/A</v>
      </c>
      <c r="I2255" s="41">
        <v>0.476190476</v>
      </c>
      <c r="J2255" s="41">
        <v>0.142857143</v>
      </c>
      <c r="K2255" s="41">
        <v>0.380952381</v>
      </c>
      <c r="L2255" s="41">
        <f t="shared" si="2"/>
        <v>0.095238095</v>
      </c>
      <c r="M2255" s="74">
        <v>-2.404255815</v>
      </c>
    </row>
    <row r="2256">
      <c r="A2256" s="1" t="s">
        <v>432</v>
      </c>
      <c r="B2256" s="38">
        <v>669467.0</v>
      </c>
      <c r="C2256" s="72">
        <v>45872.0</v>
      </c>
      <c r="D2256" s="38">
        <v>89.0</v>
      </c>
      <c r="E2256" s="73" t="str">
        <f>IFERROR(__xludf.DUMMYFUNCTION("average(filter('Appearance Sheet'!F:F,'Appearance Sheet'!G:G=B2256,'Appearance Sheet'!A:A=C2256))"),"#N/A")</f>
        <v>#N/A</v>
      </c>
      <c r="F2256" s="67">
        <v>5.095729585</v>
      </c>
      <c r="G2256" s="40">
        <v>1.867221012</v>
      </c>
      <c r="H2256" s="40" t="str">
        <f t="shared" si="1"/>
        <v>#N/A</v>
      </c>
      <c r="I2256" s="41">
        <v>0.449438202</v>
      </c>
      <c r="J2256" s="41">
        <v>0.168539326</v>
      </c>
      <c r="K2256" s="41">
        <v>0.382022472</v>
      </c>
      <c r="L2256" s="41">
        <f t="shared" si="2"/>
        <v>0.06741573</v>
      </c>
      <c r="M2256" s="74">
        <v>-0.433762707</v>
      </c>
    </row>
    <row r="2257">
      <c r="A2257" s="1" t="s">
        <v>171</v>
      </c>
      <c r="B2257" s="38">
        <v>665795.0</v>
      </c>
      <c r="C2257" s="72">
        <v>45888.0</v>
      </c>
      <c r="D2257" s="38">
        <v>98.0</v>
      </c>
      <c r="E2257" s="73" t="str">
        <f>IFERROR(__xludf.DUMMYFUNCTION("average(filter('Appearance Sheet'!F:F,'Appearance Sheet'!G:G=B2257,'Appearance Sheet'!A:A=C2257))"),"#N/A")</f>
        <v>#N/A</v>
      </c>
      <c r="F2257" s="67">
        <v>5.095723242</v>
      </c>
      <c r="G2257" s="40">
        <v>2.072016083</v>
      </c>
      <c r="H2257" s="40" t="str">
        <f t="shared" si="1"/>
        <v>#N/A</v>
      </c>
      <c r="I2257" s="41">
        <v>0.56122449</v>
      </c>
      <c r="J2257" s="41">
        <v>0.153061224</v>
      </c>
      <c r="K2257" s="41">
        <v>0.285714286</v>
      </c>
      <c r="L2257" s="41">
        <f t="shared" si="2"/>
        <v>0.275510204</v>
      </c>
      <c r="M2257" s="74">
        <v>-3.716520971</v>
      </c>
    </row>
    <row r="2258">
      <c r="A2258" s="1" t="s">
        <v>229</v>
      </c>
      <c r="B2258" s="38">
        <v>645261.0</v>
      </c>
      <c r="C2258" s="72">
        <v>45878.0</v>
      </c>
      <c r="D2258" s="38">
        <v>85.0</v>
      </c>
      <c r="E2258" s="73" t="str">
        <f>IFERROR(__xludf.DUMMYFUNCTION("average(filter('Appearance Sheet'!F:F,'Appearance Sheet'!G:G=B2258,'Appearance Sheet'!A:A=C2258))"),"#N/A")</f>
        <v>#N/A</v>
      </c>
      <c r="F2258" s="67">
        <v>5.095553665</v>
      </c>
      <c r="G2258" s="40">
        <v>1.818135912</v>
      </c>
      <c r="H2258" s="40" t="str">
        <f t="shared" si="1"/>
        <v>#N/A</v>
      </c>
      <c r="I2258" s="41">
        <v>0.423529412</v>
      </c>
      <c r="J2258" s="41">
        <v>0.258823529</v>
      </c>
      <c r="K2258" s="41">
        <v>0.317647059</v>
      </c>
      <c r="L2258" s="41">
        <f t="shared" si="2"/>
        <v>0.105882353</v>
      </c>
      <c r="M2258" s="74">
        <v>-0.787221131</v>
      </c>
    </row>
    <row r="2259">
      <c r="A2259" s="1" t="s">
        <v>490</v>
      </c>
      <c r="B2259" s="38">
        <v>680573.0</v>
      </c>
      <c r="C2259" s="72">
        <v>45840.0</v>
      </c>
      <c r="D2259" s="38">
        <v>74.0</v>
      </c>
      <c r="E2259" s="73">
        <f>IFERROR(__xludf.DUMMYFUNCTION("average(filter('Appearance Sheet'!F:F,'Appearance Sheet'!G:G=B2259,'Appearance Sheet'!A:A=C2259))"),5.0)</f>
        <v>5</v>
      </c>
      <c r="F2259" s="67">
        <v>5.095549701</v>
      </c>
      <c r="G2259" s="40">
        <v>1.585145862</v>
      </c>
      <c r="H2259" s="40">
        <f t="shared" si="1"/>
        <v>2.853262552</v>
      </c>
      <c r="I2259" s="41">
        <v>0.5</v>
      </c>
      <c r="J2259" s="41">
        <v>0.189189189</v>
      </c>
      <c r="K2259" s="41">
        <v>0.310810811</v>
      </c>
      <c r="L2259" s="41">
        <f t="shared" si="2"/>
        <v>0.189189189</v>
      </c>
      <c r="M2259" s="74">
        <v>1.752983993</v>
      </c>
    </row>
    <row r="2260">
      <c r="A2260" s="1" t="s">
        <v>253</v>
      </c>
      <c r="B2260" s="38">
        <v>701581.0</v>
      </c>
      <c r="C2260" s="72">
        <v>45830.0</v>
      </c>
      <c r="D2260" s="38">
        <v>95.0</v>
      </c>
      <c r="E2260" s="73">
        <f>IFERROR(__xludf.DUMMYFUNCTION("average(filter('Appearance Sheet'!F:F,'Appearance Sheet'!G:G=B2260,'Appearance Sheet'!A:A=C2260))"),4.666666666666667)</f>
        <v>4.666666667</v>
      </c>
      <c r="F2260" s="67">
        <v>5.095434146</v>
      </c>
      <c r="G2260" s="40">
        <v>2.050078444</v>
      </c>
      <c r="H2260" s="40">
        <f t="shared" si="1"/>
        <v>3.953722713</v>
      </c>
      <c r="I2260" s="41">
        <v>0.515789474</v>
      </c>
      <c r="J2260" s="41">
        <v>0.168421053</v>
      </c>
      <c r="K2260" s="41">
        <v>0.315789474</v>
      </c>
      <c r="L2260" s="41">
        <f t="shared" si="2"/>
        <v>0.2</v>
      </c>
      <c r="M2260" s="74">
        <v>-6.480608996</v>
      </c>
    </row>
    <row r="2261">
      <c r="A2261" s="1" t="s">
        <v>148</v>
      </c>
      <c r="B2261" s="38">
        <v>592866.0</v>
      </c>
      <c r="C2261" s="72">
        <v>45764.0</v>
      </c>
      <c r="D2261" s="38">
        <v>87.0</v>
      </c>
      <c r="E2261" s="73">
        <f>IFERROR(__xludf.DUMMYFUNCTION("average(filter('Appearance Sheet'!F:F,'Appearance Sheet'!G:G=B2261,'Appearance Sheet'!A:A=C2261))"),5.0)</f>
        <v>5</v>
      </c>
      <c r="F2261" s="67">
        <v>5.094966498</v>
      </c>
      <c r="G2261" s="40">
        <v>1.854630163</v>
      </c>
      <c r="H2261" s="40">
        <f t="shared" si="1"/>
        <v>3.338334293</v>
      </c>
      <c r="I2261" s="41">
        <v>0.425287356</v>
      </c>
      <c r="J2261" s="41">
        <v>0.195402299</v>
      </c>
      <c r="K2261" s="41">
        <v>0.379310345</v>
      </c>
      <c r="L2261" s="41">
        <f t="shared" si="2"/>
        <v>0.045977011</v>
      </c>
      <c r="M2261" s="74">
        <v>1.993442489</v>
      </c>
    </row>
    <row r="2262">
      <c r="A2262" s="1" t="s">
        <v>470</v>
      </c>
      <c r="B2262" s="38">
        <v>681343.0</v>
      </c>
      <c r="C2262" s="72">
        <v>45755.0</v>
      </c>
      <c r="D2262" s="38">
        <v>79.0</v>
      </c>
      <c r="E2262" s="73">
        <f>IFERROR(__xludf.DUMMYFUNCTION("average(filter('Appearance Sheet'!F:F,'Appearance Sheet'!G:G=B2262,'Appearance Sheet'!A:A=C2262))"),6.0)</f>
        <v>6</v>
      </c>
      <c r="F2262" s="67">
        <v>5.094925427</v>
      </c>
      <c r="G2262" s="40">
        <v>1.698306835</v>
      </c>
      <c r="H2262" s="40">
        <f t="shared" si="1"/>
        <v>2.547460253</v>
      </c>
      <c r="I2262" s="41">
        <v>0.430379747</v>
      </c>
      <c r="J2262" s="41">
        <v>0.113924051</v>
      </c>
      <c r="K2262" s="41">
        <v>0.455696203</v>
      </c>
      <c r="L2262" s="41">
        <f t="shared" si="2"/>
        <v>-0.025316456</v>
      </c>
      <c r="M2262" s="74">
        <v>2.539404512</v>
      </c>
    </row>
    <row r="2263">
      <c r="A2263" s="1" t="s">
        <v>336</v>
      </c>
      <c r="B2263" s="38">
        <v>605488.0</v>
      </c>
      <c r="C2263" s="72">
        <v>45817.0</v>
      </c>
      <c r="D2263" s="38">
        <v>83.0</v>
      </c>
      <c r="E2263" s="73">
        <f>IFERROR(__xludf.DUMMYFUNCTION("average(filter('Appearance Sheet'!F:F,'Appearance Sheet'!G:G=B2263,'Appearance Sheet'!A:A=C2263))"),6.0)</f>
        <v>6</v>
      </c>
      <c r="F2263" s="67">
        <v>5.094808762</v>
      </c>
      <c r="G2263" s="40">
        <v>1.765563246</v>
      </c>
      <c r="H2263" s="40">
        <f t="shared" si="1"/>
        <v>2.648344869</v>
      </c>
      <c r="I2263" s="41">
        <v>0.421686747</v>
      </c>
      <c r="J2263" s="41">
        <v>0.253012048</v>
      </c>
      <c r="K2263" s="41">
        <v>0.325301205</v>
      </c>
      <c r="L2263" s="41">
        <f t="shared" si="2"/>
        <v>0.096385542</v>
      </c>
      <c r="M2263" s="74">
        <v>1.151218804</v>
      </c>
    </row>
    <row r="2264">
      <c r="A2264" s="1" t="s">
        <v>269</v>
      </c>
      <c r="B2264" s="38">
        <v>605280.0</v>
      </c>
      <c r="C2264" s="72">
        <v>45881.0</v>
      </c>
      <c r="D2264" s="38">
        <v>83.0</v>
      </c>
      <c r="E2264" s="73" t="str">
        <f>IFERROR(__xludf.DUMMYFUNCTION("average(filter('Appearance Sheet'!F:F,'Appearance Sheet'!G:G=B2264,'Appearance Sheet'!A:A=C2264))"),"#N/A")</f>
        <v>#N/A</v>
      </c>
      <c r="F2264" s="67">
        <v>5.094546137</v>
      </c>
      <c r="G2264" s="40">
        <v>1.74754686</v>
      </c>
      <c r="H2264" s="40" t="str">
        <f t="shared" si="1"/>
        <v>#N/A</v>
      </c>
      <c r="I2264" s="41">
        <v>0.457831325</v>
      </c>
      <c r="J2264" s="41">
        <v>0.21686747</v>
      </c>
      <c r="K2264" s="41">
        <v>0.325301205</v>
      </c>
      <c r="L2264" s="41">
        <f t="shared" si="2"/>
        <v>0.13253012</v>
      </c>
      <c r="M2264" s="74">
        <v>-0.802126476</v>
      </c>
    </row>
    <row r="2265">
      <c r="A2265" s="1" t="s">
        <v>307</v>
      </c>
      <c r="B2265" s="38">
        <v>656849.0</v>
      </c>
      <c r="C2265" s="72">
        <v>45795.0</v>
      </c>
      <c r="D2265" s="38">
        <v>98.0</v>
      </c>
      <c r="E2265" s="73">
        <f>IFERROR(__xludf.DUMMYFUNCTION("average(filter('Appearance Sheet'!F:F,'Appearance Sheet'!G:G=B2265,'Appearance Sheet'!A:A=C2265))"),6.0)</f>
        <v>6</v>
      </c>
      <c r="F2265" s="67">
        <v>5.094488278</v>
      </c>
      <c r="G2265" s="40">
        <v>2.086632445</v>
      </c>
      <c r="H2265" s="40">
        <f t="shared" si="1"/>
        <v>3.129948668</v>
      </c>
      <c r="I2265" s="41">
        <v>0.469387755</v>
      </c>
      <c r="J2265" s="41">
        <v>0.142857143</v>
      </c>
      <c r="K2265" s="41">
        <v>0.387755102</v>
      </c>
      <c r="L2265" s="41">
        <f t="shared" si="2"/>
        <v>0.081632653</v>
      </c>
      <c r="M2265" s="74">
        <v>3.057978549</v>
      </c>
    </row>
    <row r="2266">
      <c r="A2266" s="1" t="s">
        <v>320</v>
      </c>
      <c r="B2266" s="38">
        <v>681347.0</v>
      </c>
      <c r="C2266" s="72">
        <v>45799.0</v>
      </c>
      <c r="D2266" s="38">
        <v>72.0</v>
      </c>
      <c r="E2266" s="73">
        <f>IFERROR(__xludf.DUMMYFUNCTION("average(filter('Appearance Sheet'!F:F,'Appearance Sheet'!G:G=B2266,'Appearance Sheet'!A:A=C2266))"),5.0)</f>
        <v>5</v>
      </c>
      <c r="F2266" s="67">
        <v>5.094224211</v>
      </c>
      <c r="G2266" s="40">
        <v>1.554660678</v>
      </c>
      <c r="H2266" s="40">
        <f t="shared" si="1"/>
        <v>2.79838922</v>
      </c>
      <c r="I2266" s="41">
        <v>0.472222222</v>
      </c>
      <c r="J2266" s="41">
        <v>0.180555556</v>
      </c>
      <c r="K2266" s="41">
        <v>0.347222222</v>
      </c>
      <c r="L2266" s="41">
        <f t="shared" si="2"/>
        <v>0.125</v>
      </c>
      <c r="M2266" s="74">
        <v>0.820812282</v>
      </c>
    </row>
    <row r="2267">
      <c r="A2267" s="1" t="s">
        <v>358</v>
      </c>
      <c r="B2267" s="38">
        <v>434378.0</v>
      </c>
      <c r="C2267" s="72">
        <v>45890.0</v>
      </c>
      <c r="D2267" s="38">
        <v>89.0</v>
      </c>
      <c r="E2267" s="73" t="str">
        <f>IFERROR(__xludf.DUMMYFUNCTION("average(filter('Appearance Sheet'!F:F,'Appearance Sheet'!G:G=B2267,'Appearance Sheet'!A:A=C2267))"),"#N/A")</f>
        <v>#N/A</v>
      </c>
      <c r="F2267" s="67">
        <v>5.094186149</v>
      </c>
      <c r="G2267" s="40">
        <v>1.876909946</v>
      </c>
      <c r="H2267" s="40" t="str">
        <f t="shared" si="1"/>
        <v>#N/A</v>
      </c>
      <c r="I2267" s="41">
        <v>0.426966292</v>
      </c>
      <c r="J2267" s="41">
        <v>0.179775281</v>
      </c>
      <c r="K2267" s="41">
        <v>0.393258427</v>
      </c>
      <c r="L2267" s="41">
        <f t="shared" si="2"/>
        <v>0.033707865</v>
      </c>
      <c r="M2267" s="74">
        <v>-1.194045653</v>
      </c>
    </row>
    <row r="2268">
      <c r="A2268" s="1" t="s">
        <v>97</v>
      </c>
      <c r="B2268" s="38">
        <v>656876.0</v>
      </c>
      <c r="C2268" s="72">
        <v>45889.0</v>
      </c>
      <c r="D2268" s="38">
        <v>90.0</v>
      </c>
      <c r="E2268" s="73" t="str">
        <f>IFERROR(__xludf.DUMMYFUNCTION("average(filter('Appearance Sheet'!F:F,'Appearance Sheet'!G:G=B2268,'Appearance Sheet'!A:A=C2268))"),"#N/A")</f>
        <v>#N/A</v>
      </c>
      <c r="F2268" s="67">
        <v>5.093993376</v>
      </c>
      <c r="G2268" s="40">
        <v>1.93405016</v>
      </c>
      <c r="H2268" s="40" t="str">
        <f t="shared" si="1"/>
        <v>#N/A</v>
      </c>
      <c r="I2268" s="41">
        <v>0.544444444</v>
      </c>
      <c r="J2268" s="41">
        <v>0.133333333</v>
      </c>
      <c r="K2268" s="41">
        <v>0.322222222</v>
      </c>
      <c r="L2268" s="41">
        <f t="shared" si="2"/>
        <v>0.222222222</v>
      </c>
      <c r="M2268" s="74">
        <v>0.265453033</v>
      </c>
    </row>
    <row r="2269">
      <c r="A2269" s="1" t="s">
        <v>278</v>
      </c>
      <c r="B2269" s="38">
        <v>542881.0</v>
      </c>
      <c r="C2269" s="72">
        <v>45898.0</v>
      </c>
      <c r="D2269" s="38">
        <v>85.0</v>
      </c>
      <c r="E2269" s="73" t="str">
        <f>IFERROR(__xludf.DUMMYFUNCTION("average(filter('Appearance Sheet'!F:F,'Appearance Sheet'!G:G=B2269,'Appearance Sheet'!A:A=C2269))"),"#N/A")</f>
        <v>#N/A</v>
      </c>
      <c r="F2269" s="67">
        <v>5.093881489</v>
      </c>
      <c r="G2269" s="40">
        <v>1.795019461</v>
      </c>
      <c r="H2269" s="40" t="str">
        <f t="shared" si="1"/>
        <v>#N/A</v>
      </c>
      <c r="I2269" s="41">
        <v>0.458823529</v>
      </c>
      <c r="J2269" s="41">
        <v>0.164705882</v>
      </c>
      <c r="K2269" s="41">
        <v>0.376470588</v>
      </c>
      <c r="L2269" s="41">
        <f t="shared" si="2"/>
        <v>0.082352941</v>
      </c>
      <c r="M2269" s="74">
        <v>-1.188409825</v>
      </c>
    </row>
    <row r="2270">
      <c r="A2270" s="1" t="s">
        <v>408</v>
      </c>
      <c r="B2270" s="38">
        <v>657376.0</v>
      </c>
      <c r="C2270" s="72">
        <v>45836.0</v>
      </c>
      <c r="D2270" s="38">
        <v>84.0</v>
      </c>
      <c r="E2270" s="73">
        <f>IFERROR(__xludf.DUMMYFUNCTION("average(filter('Appearance Sheet'!F:F,'Appearance Sheet'!G:G=B2270,'Appearance Sheet'!A:A=C2270))"),6.0)</f>
        <v>6</v>
      </c>
      <c r="F2270" s="67">
        <v>5.093590391</v>
      </c>
      <c r="G2270" s="40">
        <v>1.798055789</v>
      </c>
      <c r="H2270" s="40">
        <f t="shared" si="1"/>
        <v>2.697083684</v>
      </c>
      <c r="I2270" s="41">
        <v>0.488095238</v>
      </c>
      <c r="J2270" s="41">
        <v>0.202380952</v>
      </c>
      <c r="K2270" s="41">
        <v>0.30952381</v>
      </c>
      <c r="L2270" s="41">
        <f t="shared" si="2"/>
        <v>0.178571428</v>
      </c>
      <c r="M2270" s="74">
        <v>1.47646766</v>
      </c>
    </row>
    <row r="2271">
      <c r="A2271" s="1" t="s">
        <v>354</v>
      </c>
      <c r="B2271" s="38">
        <v>669022.0</v>
      </c>
      <c r="C2271" s="72">
        <v>45847.0</v>
      </c>
      <c r="D2271" s="38">
        <v>86.0</v>
      </c>
      <c r="E2271" s="73" t="str">
        <f>IFERROR(__xludf.DUMMYFUNCTION("average(filter('Appearance Sheet'!F:F,'Appearance Sheet'!G:G=B2271,'Appearance Sheet'!A:A=C2271))"),"#N/A")</f>
        <v>#N/A</v>
      </c>
      <c r="F2271" s="67">
        <v>5.093447255</v>
      </c>
      <c r="G2271" s="40">
        <v>1.826977763</v>
      </c>
      <c r="H2271" s="40" t="str">
        <f t="shared" si="1"/>
        <v>#N/A</v>
      </c>
      <c r="I2271" s="41">
        <v>0.569767442</v>
      </c>
      <c r="J2271" s="41">
        <v>0.11627907</v>
      </c>
      <c r="K2271" s="41">
        <v>0.313953488</v>
      </c>
      <c r="L2271" s="41">
        <f t="shared" si="2"/>
        <v>0.255813954</v>
      </c>
      <c r="M2271" s="74">
        <v>-1.052182483</v>
      </c>
    </row>
    <row r="2272">
      <c r="A2272" s="1" t="s">
        <v>302</v>
      </c>
      <c r="B2272" s="38">
        <v>681190.0</v>
      </c>
      <c r="C2272" s="72">
        <v>45745.0</v>
      </c>
      <c r="D2272" s="38">
        <v>87.0</v>
      </c>
      <c r="E2272" s="73">
        <f>IFERROR(__xludf.DUMMYFUNCTION("average(filter('Appearance Sheet'!F:F,'Appearance Sheet'!G:G=B2272,'Appearance Sheet'!A:A=C2272))"),6.0)</f>
        <v>6</v>
      </c>
      <c r="F2272" s="67">
        <v>5.092492161</v>
      </c>
      <c r="G2272" s="40">
        <v>1.837347406</v>
      </c>
      <c r="H2272" s="40">
        <f t="shared" si="1"/>
        <v>2.756021109</v>
      </c>
      <c r="I2272" s="41">
        <v>0.540229885</v>
      </c>
      <c r="J2272" s="41">
        <v>0.126436782</v>
      </c>
      <c r="K2272" s="41">
        <v>0.333333333</v>
      </c>
      <c r="L2272" s="41">
        <f t="shared" si="2"/>
        <v>0.206896552</v>
      </c>
      <c r="M2272" s="74">
        <v>1.100411072</v>
      </c>
    </row>
    <row r="2273">
      <c r="A2273" s="1" t="s">
        <v>456</v>
      </c>
      <c r="B2273" s="38">
        <v>605135.0</v>
      </c>
      <c r="C2273" s="72">
        <v>45785.0</v>
      </c>
      <c r="D2273" s="38">
        <v>99.0</v>
      </c>
      <c r="E2273" s="73">
        <f>IFERROR(__xludf.DUMMYFUNCTION("average(filter('Appearance Sheet'!F:F,'Appearance Sheet'!G:G=B2273,'Appearance Sheet'!A:A=C2273))"),6.0)</f>
        <v>6</v>
      </c>
      <c r="F2273" s="67">
        <v>5.092457057</v>
      </c>
      <c r="G2273" s="40">
        <v>2.120116101</v>
      </c>
      <c r="H2273" s="40">
        <f t="shared" si="1"/>
        <v>3.180174152</v>
      </c>
      <c r="I2273" s="41">
        <v>0.464646465</v>
      </c>
      <c r="J2273" s="41">
        <v>0.171717172</v>
      </c>
      <c r="K2273" s="41">
        <v>0.363636364</v>
      </c>
      <c r="L2273" s="41">
        <f t="shared" si="2"/>
        <v>0.101010101</v>
      </c>
      <c r="M2273" s="74">
        <v>-0.888369996</v>
      </c>
    </row>
    <row r="2274">
      <c r="A2274" s="1" t="s">
        <v>164</v>
      </c>
      <c r="B2274" s="38">
        <v>669923.0</v>
      </c>
      <c r="C2274" s="72">
        <v>45886.0</v>
      </c>
      <c r="D2274" s="38">
        <v>95.0</v>
      </c>
      <c r="E2274" s="73" t="str">
        <f>IFERROR(__xludf.DUMMYFUNCTION("average(filter('Appearance Sheet'!F:F,'Appearance Sheet'!G:G=B2274,'Appearance Sheet'!A:A=C2274))"),"#N/A")</f>
        <v>#N/A</v>
      </c>
      <c r="F2274" s="67">
        <v>5.092393356</v>
      </c>
      <c r="G2274" s="40">
        <v>2.018263738</v>
      </c>
      <c r="H2274" s="40" t="str">
        <f t="shared" si="1"/>
        <v>#N/A</v>
      </c>
      <c r="I2274" s="41">
        <v>0.494736842</v>
      </c>
      <c r="J2274" s="41">
        <v>0.147368421</v>
      </c>
      <c r="K2274" s="41">
        <v>0.357894737</v>
      </c>
      <c r="L2274" s="41">
        <f t="shared" si="2"/>
        <v>0.136842105</v>
      </c>
      <c r="M2274" s="74">
        <v>-8.106819508</v>
      </c>
    </row>
    <row r="2275">
      <c r="A2275" s="1" t="s">
        <v>216</v>
      </c>
      <c r="B2275" s="38">
        <v>621107.0</v>
      </c>
      <c r="C2275" s="72">
        <v>45829.0</v>
      </c>
      <c r="D2275" s="38">
        <v>87.0</v>
      </c>
      <c r="E2275" s="73">
        <f>IFERROR(__xludf.DUMMYFUNCTION("average(filter('Appearance Sheet'!F:F,'Appearance Sheet'!G:G=B2275,'Appearance Sheet'!A:A=C2275))"),3.0)</f>
        <v>3</v>
      </c>
      <c r="F2275" s="67">
        <v>5.092388507</v>
      </c>
      <c r="G2275" s="40">
        <v>1.841409985</v>
      </c>
      <c r="H2275" s="40">
        <f t="shared" si="1"/>
        <v>5.524229955</v>
      </c>
      <c r="I2275" s="41">
        <v>0.471264368</v>
      </c>
      <c r="J2275" s="41">
        <v>0.195402299</v>
      </c>
      <c r="K2275" s="41">
        <v>0.333333333</v>
      </c>
      <c r="L2275" s="41">
        <f t="shared" si="2"/>
        <v>0.137931035</v>
      </c>
      <c r="M2275" s="74">
        <v>-4.433985655</v>
      </c>
    </row>
    <row r="2276">
      <c r="A2276" s="1" t="s">
        <v>99</v>
      </c>
      <c r="B2276" s="38">
        <v>592791.0</v>
      </c>
      <c r="C2276" s="72">
        <v>45767.0</v>
      </c>
      <c r="D2276" s="38">
        <v>85.0</v>
      </c>
      <c r="E2276" s="73">
        <f>IFERROR(__xludf.DUMMYFUNCTION("average(filter('Appearance Sheet'!F:F,'Appearance Sheet'!G:G=B2276,'Appearance Sheet'!A:A=C2276))"),5.0)</f>
        <v>5</v>
      </c>
      <c r="F2276" s="67">
        <v>5.092345725</v>
      </c>
      <c r="G2276" s="40">
        <v>1.80459514</v>
      </c>
      <c r="H2276" s="40">
        <f t="shared" si="1"/>
        <v>3.248271252</v>
      </c>
      <c r="I2276" s="41">
        <v>0.482352941</v>
      </c>
      <c r="J2276" s="41">
        <v>0.211764706</v>
      </c>
      <c r="K2276" s="41">
        <v>0.305882353</v>
      </c>
      <c r="L2276" s="41">
        <f t="shared" si="2"/>
        <v>0.176470588</v>
      </c>
      <c r="M2276" s="74">
        <v>2.489902567</v>
      </c>
    </row>
    <row r="2277">
      <c r="A2277" s="1" t="s">
        <v>306</v>
      </c>
      <c r="B2277" s="38">
        <v>677944.0</v>
      </c>
      <c r="C2277" s="72">
        <v>45847.0</v>
      </c>
      <c r="D2277" s="38">
        <v>96.0</v>
      </c>
      <c r="E2277" s="73" t="str">
        <f>IFERROR(__xludf.DUMMYFUNCTION("average(filter('Appearance Sheet'!F:F,'Appearance Sheet'!G:G=B2277,'Appearance Sheet'!A:A=C2277))"),"#N/A")</f>
        <v>#N/A</v>
      </c>
      <c r="F2277" s="67">
        <v>5.092225783</v>
      </c>
      <c r="G2277" s="40">
        <v>2.028400132</v>
      </c>
      <c r="H2277" s="40" t="str">
        <f t="shared" si="1"/>
        <v>#N/A</v>
      </c>
      <c r="I2277" s="41">
        <v>0.46875</v>
      </c>
      <c r="J2277" s="41">
        <v>0.208333333</v>
      </c>
      <c r="K2277" s="41">
        <v>0.322916667</v>
      </c>
      <c r="L2277" s="41">
        <f t="shared" si="2"/>
        <v>0.145833333</v>
      </c>
      <c r="M2277" s="74">
        <v>0.937344463</v>
      </c>
    </row>
    <row r="2278">
      <c r="A2278" s="1" t="s">
        <v>129</v>
      </c>
      <c r="B2278" s="38">
        <v>686752.0</v>
      </c>
      <c r="C2278" s="72">
        <v>45846.0</v>
      </c>
      <c r="D2278" s="38">
        <v>91.0</v>
      </c>
      <c r="E2278" s="73" t="str">
        <f>IFERROR(__xludf.DUMMYFUNCTION("average(filter('Appearance Sheet'!F:F,'Appearance Sheet'!G:G=B2278,'Appearance Sheet'!A:A=C2278))"),"#N/A")</f>
        <v>#N/A</v>
      </c>
      <c r="F2278" s="67">
        <v>5.092194241</v>
      </c>
      <c r="G2278" s="40">
        <v>1.93078337</v>
      </c>
      <c r="H2278" s="40" t="str">
        <f t="shared" si="1"/>
        <v>#N/A</v>
      </c>
      <c r="I2278" s="41">
        <v>0.527472527</v>
      </c>
      <c r="J2278" s="41">
        <v>0.131868132</v>
      </c>
      <c r="K2278" s="41">
        <v>0.340659341</v>
      </c>
      <c r="L2278" s="41">
        <f t="shared" si="2"/>
        <v>0.186813186</v>
      </c>
      <c r="M2278" s="74">
        <v>2.081920789</v>
      </c>
    </row>
    <row r="2279">
      <c r="A2279" s="1" t="s">
        <v>232</v>
      </c>
      <c r="B2279" s="38">
        <v>579328.0</v>
      </c>
      <c r="C2279" s="72">
        <v>45912.0</v>
      </c>
      <c r="D2279" s="38">
        <v>95.0</v>
      </c>
      <c r="E2279" s="73" t="str">
        <f>IFERROR(__xludf.DUMMYFUNCTION("average(filter('Appearance Sheet'!F:F,'Appearance Sheet'!G:G=B2279,'Appearance Sheet'!A:A=C2279))"),"#N/A")</f>
        <v>#N/A</v>
      </c>
      <c r="F2279" s="67">
        <v>5.091933684</v>
      </c>
      <c r="G2279" s="40">
        <v>1.998380895</v>
      </c>
      <c r="H2279" s="40" t="str">
        <f t="shared" si="1"/>
        <v>#N/A</v>
      </c>
      <c r="I2279" s="41">
        <v>0.473684211</v>
      </c>
      <c r="J2279" s="41">
        <v>0.168421053</v>
      </c>
      <c r="K2279" s="41">
        <v>0.357894737</v>
      </c>
      <c r="L2279" s="41">
        <f t="shared" si="2"/>
        <v>0.115789474</v>
      </c>
      <c r="M2279" s="74">
        <v>1.327980843</v>
      </c>
    </row>
    <row r="2280">
      <c r="A2280" s="1" t="s">
        <v>105</v>
      </c>
      <c r="B2280" s="38">
        <v>624133.0</v>
      </c>
      <c r="C2280" s="72">
        <v>45875.0</v>
      </c>
      <c r="D2280" s="38">
        <v>95.0</v>
      </c>
      <c r="E2280" s="73" t="str">
        <f>IFERROR(__xludf.DUMMYFUNCTION("average(filter('Appearance Sheet'!F:F,'Appearance Sheet'!G:G=B2280,'Appearance Sheet'!A:A=C2280))"),"#N/A")</f>
        <v>#N/A</v>
      </c>
      <c r="F2280" s="67">
        <v>5.091735797</v>
      </c>
      <c r="G2280" s="40">
        <v>2.040285054</v>
      </c>
      <c r="H2280" s="40" t="str">
        <f t="shared" si="1"/>
        <v>#N/A</v>
      </c>
      <c r="I2280" s="41">
        <v>0.473684211</v>
      </c>
      <c r="J2280" s="41">
        <v>0.189473684</v>
      </c>
      <c r="K2280" s="41">
        <v>0.336842105</v>
      </c>
      <c r="L2280" s="41">
        <f t="shared" si="2"/>
        <v>0.136842106</v>
      </c>
      <c r="M2280" s="74">
        <v>-2.617301605</v>
      </c>
    </row>
    <row r="2281">
      <c r="A2281" s="1" t="s">
        <v>314</v>
      </c>
      <c r="B2281" s="38">
        <v>669854.0</v>
      </c>
      <c r="C2281" s="72">
        <v>45769.0</v>
      </c>
      <c r="D2281" s="38">
        <v>92.0</v>
      </c>
      <c r="E2281" s="73">
        <f>IFERROR(__xludf.DUMMYFUNCTION("average(filter('Appearance Sheet'!F:F,'Appearance Sheet'!G:G=B2281,'Appearance Sheet'!A:A=C2281))"),6.666666666666667)</f>
        <v>6.666666667</v>
      </c>
      <c r="F2281" s="67">
        <v>5.091566912</v>
      </c>
      <c r="G2281" s="40">
        <v>1.958410567</v>
      </c>
      <c r="H2281" s="40">
        <f t="shared" si="1"/>
        <v>2.643854265</v>
      </c>
      <c r="I2281" s="41">
        <v>0.47826087</v>
      </c>
      <c r="J2281" s="41">
        <v>0.184782609</v>
      </c>
      <c r="K2281" s="41">
        <v>0.336956522</v>
      </c>
      <c r="L2281" s="41">
        <f t="shared" si="2"/>
        <v>0.141304348</v>
      </c>
      <c r="M2281" s="74">
        <v>2.982757677</v>
      </c>
    </row>
    <row r="2282">
      <c r="A2282" s="1" t="s">
        <v>220</v>
      </c>
      <c r="B2282" s="38">
        <v>663559.0</v>
      </c>
      <c r="C2282" s="72">
        <v>45752.0</v>
      </c>
      <c r="D2282" s="38">
        <v>79.0</v>
      </c>
      <c r="E2282" s="73">
        <f>IFERROR(__xludf.DUMMYFUNCTION("average(filter('Appearance Sheet'!F:F,'Appearance Sheet'!G:G=B2282,'Appearance Sheet'!A:A=C2282))"),4.0)</f>
        <v>4</v>
      </c>
      <c r="F2282" s="67">
        <v>5.091450499</v>
      </c>
      <c r="G2282" s="40">
        <v>1.695843736</v>
      </c>
      <c r="H2282" s="40">
        <f t="shared" si="1"/>
        <v>3.815648406</v>
      </c>
      <c r="I2282" s="41">
        <v>0.46835443</v>
      </c>
      <c r="J2282" s="41">
        <v>0.17721519</v>
      </c>
      <c r="K2282" s="41">
        <v>0.35443038</v>
      </c>
      <c r="L2282" s="41">
        <f t="shared" si="2"/>
        <v>0.11392405</v>
      </c>
      <c r="M2282" s="74">
        <v>-2.396264697</v>
      </c>
    </row>
    <row r="2283">
      <c r="A2283" s="1" t="s">
        <v>356</v>
      </c>
      <c r="B2283" s="38">
        <v>680732.0</v>
      </c>
      <c r="C2283" s="72">
        <v>45872.0</v>
      </c>
      <c r="D2283" s="38">
        <v>84.0</v>
      </c>
      <c r="E2283" s="73" t="str">
        <f>IFERROR(__xludf.DUMMYFUNCTION("average(filter('Appearance Sheet'!F:F,'Appearance Sheet'!G:G=B2283,'Appearance Sheet'!A:A=C2283))"),"#N/A")</f>
        <v>#N/A</v>
      </c>
      <c r="F2283" s="67">
        <v>5.091176715</v>
      </c>
      <c r="G2283" s="40">
        <v>1.799531793</v>
      </c>
      <c r="H2283" s="40" t="str">
        <f t="shared" si="1"/>
        <v>#N/A</v>
      </c>
      <c r="I2283" s="41">
        <v>0.44047619</v>
      </c>
      <c r="J2283" s="41">
        <v>0.19047619</v>
      </c>
      <c r="K2283" s="41">
        <v>0.369047619</v>
      </c>
      <c r="L2283" s="41">
        <f t="shared" si="2"/>
        <v>0.071428571</v>
      </c>
      <c r="M2283" s="74">
        <v>-0.568404285</v>
      </c>
    </row>
    <row r="2284">
      <c r="A2284" s="1" t="s">
        <v>242</v>
      </c>
      <c r="B2284" s="38">
        <v>669358.0</v>
      </c>
      <c r="C2284" s="72">
        <v>45888.0</v>
      </c>
      <c r="D2284" s="38">
        <v>63.0</v>
      </c>
      <c r="E2284" s="73" t="str">
        <f>IFERROR(__xludf.DUMMYFUNCTION("average(filter('Appearance Sheet'!F:F,'Appearance Sheet'!G:G=B2284,'Appearance Sheet'!A:A=C2284))"),"#N/A")</f>
        <v>#N/A</v>
      </c>
      <c r="F2284" s="67">
        <v>5.091089295</v>
      </c>
      <c r="G2284" s="40">
        <v>1.364964343</v>
      </c>
      <c r="H2284" s="40" t="str">
        <f t="shared" si="1"/>
        <v>#N/A</v>
      </c>
      <c r="I2284" s="41">
        <v>0.507936508</v>
      </c>
      <c r="J2284" s="41">
        <v>0.222222222</v>
      </c>
      <c r="K2284" s="41">
        <v>0.26984127</v>
      </c>
      <c r="L2284" s="41">
        <f t="shared" si="2"/>
        <v>0.238095238</v>
      </c>
      <c r="M2284" s="74">
        <v>-3.1271019</v>
      </c>
    </row>
    <row r="2285">
      <c r="A2285" s="1" t="s">
        <v>587</v>
      </c>
      <c r="B2285" s="38">
        <v>692230.0</v>
      </c>
      <c r="C2285" s="72">
        <v>45892.0</v>
      </c>
      <c r="D2285" s="38">
        <v>63.0</v>
      </c>
      <c r="E2285" s="73" t="str">
        <f>IFERROR(__xludf.DUMMYFUNCTION("average(filter('Appearance Sheet'!F:F,'Appearance Sheet'!G:G=B2285,'Appearance Sheet'!A:A=C2285))"),"#N/A")</f>
        <v>#N/A</v>
      </c>
      <c r="F2285" s="67">
        <v>5.090953103</v>
      </c>
      <c r="G2285" s="40">
        <v>1.338536047</v>
      </c>
      <c r="H2285" s="40" t="str">
        <f t="shared" si="1"/>
        <v>#N/A</v>
      </c>
      <c r="I2285" s="41">
        <v>0.476190476</v>
      </c>
      <c r="J2285" s="41">
        <v>0.111111111</v>
      </c>
      <c r="K2285" s="41">
        <v>0.412698413</v>
      </c>
      <c r="L2285" s="41">
        <f t="shared" si="2"/>
        <v>0.063492063</v>
      </c>
      <c r="M2285" s="74">
        <v>-0.870349512</v>
      </c>
    </row>
    <row r="2286">
      <c r="A2286" s="1" t="s">
        <v>347</v>
      </c>
      <c r="B2286" s="38">
        <v>700249.0</v>
      </c>
      <c r="C2286" s="72">
        <v>45879.0</v>
      </c>
      <c r="D2286" s="38">
        <v>91.0</v>
      </c>
      <c r="E2286" s="73" t="str">
        <f>IFERROR(__xludf.DUMMYFUNCTION("average(filter('Appearance Sheet'!F:F,'Appearance Sheet'!G:G=B2286,'Appearance Sheet'!A:A=C2286))"),"#N/A")</f>
        <v>#N/A</v>
      </c>
      <c r="F2286" s="67">
        <v>5.090882133</v>
      </c>
      <c r="G2286" s="40">
        <v>1.940576099</v>
      </c>
      <c r="H2286" s="40" t="str">
        <f t="shared" si="1"/>
        <v>#N/A</v>
      </c>
      <c r="I2286" s="41">
        <v>0.472527473</v>
      </c>
      <c r="J2286" s="41">
        <v>0.153846154</v>
      </c>
      <c r="K2286" s="41">
        <v>0.373626374</v>
      </c>
      <c r="L2286" s="41">
        <f t="shared" si="2"/>
        <v>0.098901099</v>
      </c>
      <c r="M2286" s="74">
        <v>0.728655901</v>
      </c>
    </row>
    <row r="2287">
      <c r="A2287" s="1" t="s">
        <v>166</v>
      </c>
      <c r="B2287" s="38">
        <v>608331.0</v>
      </c>
      <c r="C2287" s="72">
        <v>45774.0</v>
      </c>
      <c r="D2287" s="38">
        <v>97.0</v>
      </c>
      <c r="E2287" s="73">
        <f>IFERROR(__xludf.DUMMYFUNCTION("average(filter('Appearance Sheet'!F:F,'Appearance Sheet'!G:G=B2287,'Appearance Sheet'!A:A=C2287))"),6.0)</f>
        <v>6</v>
      </c>
      <c r="F2287" s="67">
        <v>5.09067425</v>
      </c>
      <c r="G2287" s="40">
        <v>2.030093896</v>
      </c>
      <c r="H2287" s="40">
        <f t="shared" si="1"/>
        <v>3.045140844</v>
      </c>
      <c r="I2287" s="41">
        <v>0.484536082</v>
      </c>
      <c r="J2287" s="41">
        <v>0.134020619</v>
      </c>
      <c r="K2287" s="41">
        <v>0.381443299</v>
      </c>
      <c r="L2287" s="41">
        <f t="shared" si="2"/>
        <v>0.103092783</v>
      </c>
      <c r="M2287" s="74">
        <v>1.925946484</v>
      </c>
    </row>
    <row r="2288">
      <c r="A2288" s="1" t="s">
        <v>121</v>
      </c>
      <c r="B2288" s="38">
        <v>676974.0</v>
      </c>
      <c r="C2288" s="72">
        <v>45786.0</v>
      </c>
      <c r="D2288" s="38">
        <v>85.0</v>
      </c>
      <c r="E2288" s="73">
        <f>IFERROR(__xludf.DUMMYFUNCTION("average(filter('Appearance Sheet'!F:F,'Appearance Sheet'!G:G=B2288,'Appearance Sheet'!A:A=C2288))"),6.333333333333333)</f>
        <v>6.333333333</v>
      </c>
      <c r="F2288" s="67">
        <v>5.090640329</v>
      </c>
      <c r="G2288" s="40">
        <v>1.86222624</v>
      </c>
      <c r="H2288" s="40">
        <f t="shared" si="1"/>
        <v>2.646321499</v>
      </c>
      <c r="I2288" s="41">
        <v>0.482352941</v>
      </c>
      <c r="J2288" s="41">
        <v>0.211764706</v>
      </c>
      <c r="K2288" s="41">
        <v>0.305882353</v>
      </c>
      <c r="L2288" s="41">
        <f t="shared" si="2"/>
        <v>0.176470588</v>
      </c>
      <c r="M2288" s="74">
        <v>-0.120459306</v>
      </c>
    </row>
    <row r="2289">
      <c r="A2289" s="1" t="s">
        <v>57</v>
      </c>
      <c r="B2289" s="38">
        <v>594798.0</v>
      </c>
      <c r="C2289" s="72">
        <v>45828.0</v>
      </c>
      <c r="D2289" s="38">
        <v>81.0</v>
      </c>
      <c r="E2289" s="73">
        <f>IFERROR(__xludf.DUMMYFUNCTION("average(filter('Appearance Sheet'!F:F,'Appearance Sheet'!G:G=B2289,'Appearance Sheet'!A:A=C2289))"),6.0)</f>
        <v>6</v>
      </c>
      <c r="F2289" s="67">
        <v>5.090307056</v>
      </c>
      <c r="G2289" s="40">
        <v>1.756583391</v>
      </c>
      <c r="H2289" s="40">
        <f t="shared" si="1"/>
        <v>2.634875087</v>
      </c>
      <c r="I2289" s="41">
        <v>0.419753086</v>
      </c>
      <c r="J2289" s="41">
        <v>0.24691358</v>
      </c>
      <c r="K2289" s="41">
        <v>0.333333333</v>
      </c>
      <c r="L2289" s="41">
        <f t="shared" si="2"/>
        <v>0.086419753</v>
      </c>
      <c r="M2289" s="74">
        <v>-0.340403254</v>
      </c>
    </row>
    <row r="2290">
      <c r="A2290" s="1" t="s">
        <v>484</v>
      </c>
      <c r="B2290" s="38">
        <v>682847.0</v>
      </c>
      <c r="C2290" s="72">
        <v>45807.0</v>
      </c>
      <c r="D2290" s="38">
        <v>93.0</v>
      </c>
      <c r="E2290" s="73">
        <f>IFERROR(__xludf.DUMMYFUNCTION("average(filter('Appearance Sheet'!F:F,'Appearance Sheet'!G:G=B2290,'Appearance Sheet'!A:A=C2290))"),6.0)</f>
        <v>6</v>
      </c>
      <c r="F2290" s="67">
        <v>5.090278608</v>
      </c>
      <c r="G2290" s="40">
        <v>1.993247483</v>
      </c>
      <c r="H2290" s="40">
        <f t="shared" si="1"/>
        <v>2.989871225</v>
      </c>
      <c r="I2290" s="41">
        <v>0.430107527</v>
      </c>
      <c r="J2290" s="41">
        <v>0.23655914</v>
      </c>
      <c r="K2290" s="41">
        <v>0.333333333</v>
      </c>
      <c r="L2290" s="41">
        <f t="shared" si="2"/>
        <v>0.096774194</v>
      </c>
      <c r="M2290" s="74">
        <v>-0.763067068</v>
      </c>
    </row>
    <row r="2291">
      <c r="A2291" s="1" t="s">
        <v>457</v>
      </c>
      <c r="B2291" s="38">
        <v>477132.0</v>
      </c>
      <c r="C2291" s="72">
        <v>45877.0</v>
      </c>
      <c r="D2291" s="38">
        <v>70.0</v>
      </c>
      <c r="E2291" s="73" t="str">
        <f>IFERROR(__xludf.DUMMYFUNCTION("average(filter('Appearance Sheet'!F:F,'Appearance Sheet'!G:G=B2291,'Appearance Sheet'!A:A=C2291))"),"#N/A")</f>
        <v>#N/A</v>
      </c>
      <c r="F2291" s="67">
        <v>5.090097485</v>
      </c>
      <c r="G2291" s="40">
        <v>1.53639649</v>
      </c>
      <c r="H2291" s="40" t="str">
        <f t="shared" si="1"/>
        <v>#N/A</v>
      </c>
      <c r="I2291" s="41">
        <v>0.471428571</v>
      </c>
      <c r="J2291" s="41">
        <v>0.214285714</v>
      </c>
      <c r="K2291" s="41">
        <v>0.314285714</v>
      </c>
      <c r="L2291" s="41">
        <f t="shared" si="2"/>
        <v>0.157142857</v>
      </c>
      <c r="M2291" s="74">
        <v>-2.418956347</v>
      </c>
    </row>
    <row r="2292">
      <c r="A2292" s="1" t="s">
        <v>405</v>
      </c>
      <c r="B2292" s="38">
        <v>621111.0</v>
      </c>
      <c r="C2292" s="72">
        <v>45819.0</v>
      </c>
      <c r="D2292" s="38">
        <v>94.0</v>
      </c>
      <c r="E2292" s="73">
        <f>IFERROR(__xludf.DUMMYFUNCTION("average(filter('Appearance Sheet'!F:F,'Appearance Sheet'!G:G=B2292,'Appearance Sheet'!A:A=C2292))"),7.0)</f>
        <v>7</v>
      </c>
      <c r="F2292" s="67">
        <v>5.090079315</v>
      </c>
      <c r="G2292" s="40">
        <v>2.042405385</v>
      </c>
      <c r="H2292" s="40">
        <f t="shared" si="1"/>
        <v>2.625949781</v>
      </c>
      <c r="I2292" s="41">
        <v>0.478723404</v>
      </c>
      <c r="J2292" s="41">
        <v>0.159574468</v>
      </c>
      <c r="K2292" s="41">
        <v>0.361702128</v>
      </c>
      <c r="L2292" s="41">
        <f t="shared" si="2"/>
        <v>0.117021276</v>
      </c>
      <c r="M2292" s="74">
        <v>-0.692504296</v>
      </c>
    </row>
    <row r="2293">
      <c r="A2293" s="1" t="s">
        <v>588</v>
      </c>
      <c r="B2293" s="38">
        <v>502043.0</v>
      </c>
      <c r="C2293" s="72">
        <v>45781.0</v>
      </c>
      <c r="D2293" s="38">
        <v>80.0</v>
      </c>
      <c r="E2293" s="73">
        <f>IFERROR(__xludf.DUMMYFUNCTION("average(filter('Appearance Sheet'!F:F,'Appearance Sheet'!G:G=B2293,'Appearance Sheet'!A:A=C2293))"),4.0)</f>
        <v>4</v>
      </c>
      <c r="F2293" s="67">
        <v>5.090072987</v>
      </c>
      <c r="G2293" s="40">
        <v>1.672801495</v>
      </c>
      <c r="H2293" s="40">
        <f t="shared" si="1"/>
        <v>3.763803364</v>
      </c>
      <c r="I2293" s="41">
        <v>0.425</v>
      </c>
      <c r="J2293" s="41">
        <v>0.225</v>
      </c>
      <c r="K2293" s="41">
        <v>0.35</v>
      </c>
      <c r="L2293" s="41">
        <f t="shared" si="2"/>
        <v>0.075</v>
      </c>
      <c r="M2293" s="74">
        <v>-0.367403535</v>
      </c>
    </row>
    <row r="2294">
      <c r="A2294" s="1" t="s">
        <v>100</v>
      </c>
      <c r="B2294" s="38">
        <v>676979.0</v>
      </c>
      <c r="C2294" s="72">
        <v>45781.0</v>
      </c>
      <c r="D2294" s="38">
        <v>86.0</v>
      </c>
      <c r="E2294" s="73">
        <f>IFERROR(__xludf.DUMMYFUNCTION("average(filter('Appearance Sheet'!F:F,'Appearance Sheet'!G:G=B2294,'Appearance Sheet'!A:A=C2294))"),5.0)</f>
        <v>5</v>
      </c>
      <c r="F2294" s="67">
        <v>5.08976197</v>
      </c>
      <c r="G2294" s="40">
        <v>1.835490892</v>
      </c>
      <c r="H2294" s="40">
        <f t="shared" si="1"/>
        <v>3.303883606</v>
      </c>
      <c r="I2294" s="41">
        <v>0.511627907</v>
      </c>
      <c r="J2294" s="41">
        <v>0.11627907</v>
      </c>
      <c r="K2294" s="41">
        <v>0.372093023</v>
      </c>
      <c r="L2294" s="41">
        <f t="shared" si="2"/>
        <v>0.139534884</v>
      </c>
      <c r="M2294" s="74">
        <v>1.239155241</v>
      </c>
    </row>
    <row r="2295">
      <c r="A2295" s="1" t="s">
        <v>480</v>
      </c>
      <c r="B2295" s="38">
        <v>647336.0</v>
      </c>
      <c r="C2295" s="72">
        <v>45820.0</v>
      </c>
      <c r="D2295" s="38">
        <v>98.0</v>
      </c>
      <c r="E2295" s="73">
        <f>IFERROR(__xludf.DUMMYFUNCTION("average(filter('Appearance Sheet'!F:F,'Appearance Sheet'!G:G=B2295,'Appearance Sheet'!A:A=C2295))"),5.0)</f>
        <v>5</v>
      </c>
      <c r="F2295" s="67">
        <v>5.089598039</v>
      </c>
      <c r="G2295" s="40">
        <v>2.058392878</v>
      </c>
      <c r="H2295" s="40">
        <f t="shared" si="1"/>
        <v>3.70510718</v>
      </c>
      <c r="I2295" s="41">
        <v>0.530612245</v>
      </c>
      <c r="J2295" s="41">
        <v>0.12244898</v>
      </c>
      <c r="K2295" s="41">
        <v>0.346938776</v>
      </c>
      <c r="L2295" s="41">
        <f t="shared" si="2"/>
        <v>0.183673469</v>
      </c>
      <c r="M2295" s="74">
        <v>2.644277244</v>
      </c>
    </row>
    <row r="2296">
      <c r="A2296" s="1" t="s">
        <v>161</v>
      </c>
      <c r="B2296" s="38">
        <v>702070.0</v>
      </c>
      <c r="C2296" s="72">
        <v>45829.0</v>
      </c>
      <c r="D2296" s="38">
        <v>86.0</v>
      </c>
      <c r="E2296" s="73">
        <f>IFERROR(__xludf.DUMMYFUNCTION("average(filter('Appearance Sheet'!F:F,'Appearance Sheet'!G:G=B2296,'Appearance Sheet'!A:A=C2296))"),5.333333333333333)</f>
        <v>5.333333333</v>
      </c>
      <c r="F2296" s="67">
        <v>5.089450189</v>
      </c>
      <c r="G2296" s="40">
        <v>1.851906489</v>
      </c>
      <c r="H2296" s="40">
        <f t="shared" si="1"/>
        <v>3.1250922</v>
      </c>
      <c r="I2296" s="41">
        <v>0.5</v>
      </c>
      <c r="J2296" s="41">
        <v>0.139534884</v>
      </c>
      <c r="K2296" s="41">
        <v>0.360465116</v>
      </c>
      <c r="L2296" s="41">
        <f t="shared" si="2"/>
        <v>0.139534884</v>
      </c>
      <c r="M2296" s="74">
        <v>0.105550144</v>
      </c>
    </row>
    <row r="2297">
      <c r="A2297" s="1" t="s">
        <v>434</v>
      </c>
      <c r="B2297" s="38">
        <v>690990.0</v>
      </c>
      <c r="C2297" s="72">
        <v>45829.0</v>
      </c>
      <c r="D2297" s="38">
        <v>89.0</v>
      </c>
      <c r="E2297" s="73">
        <f>IFERROR(__xludf.DUMMYFUNCTION("average(filter('Appearance Sheet'!F:F,'Appearance Sheet'!G:G=B2297,'Appearance Sheet'!A:A=C2297))"),4.666666666666667)</f>
        <v>4.666666667</v>
      </c>
      <c r="F2297" s="67">
        <v>5.089184896</v>
      </c>
      <c r="G2297" s="40">
        <v>1.889830169</v>
      </c>
      <c r="H2297" s="40">
        <f t="shared" si="1"/>
        <v>3.644672469</v>
      </c>
      <c r="I2297" s="41">
        <v>0.426966292</v>
      </c>
      <c r="J2297" s="41">
        <v>0.292134831</v>
      </c>
      <c r="K2297" s="41">
        <v>0.280898876</v>
      </c>
      <c r="L2297" s="41">
        <f t="shared" si="2"/>
        <v>0.146067416</v>
      </c>
      <c r="M2297" s="74">
        <v>-1.405323052</v>
      </c>
    </row>
    <row r="2298">
      <c r="A2298" s="1" t="s">
        <v>145</v>
      </c>
      <c r="B2298" s="38">
        <v>700241.0</v>
      </c>
      <c r="C2298" s="72">
        <v>45859.0</v>
      </c>
      <c r="D2298" s="38">
        <v>90.0</v>
      </c>
      <c r="E2298" s="73" t="str">
        <f>IFERROR(__xludf.DUMMYFUNCTION("average(filter('Appearance Sheet'!F:F,'Appearance Sheet'!G:G=B2298,'Appearance Sheet'!A:A=C2298))"),"#N/A")</f>
        <v>#N/A</v>
      </c>
      <c r="F2298" s="67">
        <v>5.088958922</v>
      </c>
      <c r="G2298" s="40">
        <v>1.985885791</v>
      </c>
      <c r="H2298" s="40" t="str">
        <f t="shared" si="1"/>
        <v>#N/A</v>
      </c>
      <c r="I2298" s="41">
        <v>0.455555556</v>
      </c>
      <c r="J2298" s="41">
        <v>0.166666667</v>
      </c>
      <c r="K2298" s="41">
        <v>0.377777778</v>
      </c>
      <c r="L2298" s="41">
        <f t="shared" si="2"/>
        <v>0.077777778</v>
      </c>
      <c r="M2298" s="74">
        <v>-0.730367032</v>
      </c>
    </row>
    <row r="2299">
      <c r="A2299" s="1" t="s">
        <v>275</v>
      </c>
      <c r="B2299" s="38">
        <v>693821.0</v>
      </c>
      <c r="C2299" s="72">
        <v>45893.0</v>
      </c>
      <c r="D2299" s="38">
        <v>85.0</v>
      </c>
      <c r="E2299" s="73" t="str">
        <f>IFERROR(__xludf.DUMMYFUNCTION("average(filter('Appearance Sheet'!F:F,'Appearance Sheet'!G:G=B2299,'Appearance Sheet'!A:A=C2299))"),"#N/A")</f>
        <v>#N/A</v>
      </c>
      <c r="F2299" s="67">
        <v>5.088912275</v>
      </c>
      <c r="G2299" s="40">
        <v>1.793838178</v>
      </c>
      <c r="H2299" s="40" t="str">
        <f t="shared" si="1"/>
        <v>#N/A</v>
      </c>
      <c r="I2299" s="41">
        <v>0.482352941</v>
      </c>
      <c r="J2299" s="41">
        <v>0.164705882</v>
      </c>
      <c r="K2299" s="41">
        <v>0.352941176</v>
      </c>
      <c r="L2299" s="41">
        <f t="shared" si="2"/>
        <v>0.129411765</v>
      </c>
      <c r="M2299" s="74">
        <v>3.19076846</v>
      </c>
    </row>
    <row r="2300">
      <c r="A2300" s="1" t="s">
        <v>246</v>
      </c>
      <c r="B2300" s="38">
        <v>571510.0</v>
      </c>
      <c r="C2300" s="72">
        <v>45817.0</v>
      </c>
      <c r="D2300" s="38">
        <v>73.0</v>
      </c>
      <c r="E2300" s="73">
        <f>IFERROR(__xludf.DUMMYFUNCTION("average(filter('Appearance Sheet'!F:F,'Appearance Sheet'!G:G=B2300,'Appearance Sheet'!A:A=C2300))"),6.0)</f>
        <v>6</v>
      </c>
      <c r="F2300" s="67">
        <v>5.088907669</v>
      </c>
      <c r="G2300" s="40">
        <v>1.579233353</v>
      </c>
      <c r="H2300" s="40">
        <f t="shared" si="1"/>
        <v>2.36885003</v>
      </c>
      <c r="I2300" s="41">
        <v>0.493150685</v>
      </c>
      <c r="J2300" s="41">
        <v>0.150684932</v>
      </c>
      <c r="K2300" s="41">
        <v>0.356164384</v>
      </c>
      <c r="L2300" s="41">
        <f t="shared" si="2"/>
        <v>0.136986301</v>
      </c>
      <c r="M2300" s="74">
        <v>-3.798081477</v>
      </c>
    </row>
    <row r="2301">
      <c r="A2301" s="1" t="s">
        <v>399</v>
      </c>
      <c r="B2301" s="38">
        <v>543294.0</v>
      </c>
      <c r="C2301" s="72">
        <v>45748.0</v>
      </c>
      <c r="D2301" s="38">
        <v>92.0</v>
      </c>
      <c r="E2301" s="73">
        <f>IFERROR(__xludf.DUMMYFUNCTION("average(filter('Appearance Sheet'!F:F,'Appearance Sheet'!G:G=B2301,'Appearance Sheet'!A:A=C2301))"),6.0)</f>
        <v>6</v>
      </c>
      <c r="F2301" s="67">
        <v>5.088806471</v>
      </c>
      <c r="G2301" s="40">
        <v>1.958487597</v>
      </c>
      <c r="H2301" s="40">
        <f t="shared" si="1"/>
        <v>2.937731396</v>
      </c>
      <c r="I2301" s="41">
        <v>0.445652174</v>
      </c>
      <c r="J2301" s="41">
        <v>0.141304348</v>
      </c>
      <c r="K2301" s="41">
        <v>0.413043478</v>
      </c>
      <c r="L2301" s="41">
        <f t="shared" si="2"/>
        <v>0.032608696</v>
      </c>
      <c r="M2301" s="74">
        <v>-0.334400529</v>
      </c>
    </row>
    <row r="2302">
      <c r="A2302" s="1" t="s">
        <v>432</v>
      </c>
      <c r="B2302" s="38">
        <v>669467.0</v>
      </c>
      <c r="C2302" s="72">
        <v>45817.0</v>
      </c>
      <c r="D2302" s="38">
        <v>88.0</v>
      </c>
      <c r="E2302" s="73">
        <f>IFERROR(__xludf.DUMMYFUNCTION("average(filter('Appearance Sheet'!F:F,'Appearance Sheet'!G:G=B2302,'Appearance Sheet'!A:A=C2302))"),6.0)</f>
        <v>6</v>
      </c>
      <c r="F2302" s="67">
        <v>5.088483771</v>
      </c>
      <c r="G2302" s="40">
        <v>1.888708465</v>
      </c>
      <c r="H2302" s="40">
        <f t="shared" si="1"/>
        <v>2.833062698</v>
      </c>
      <c r="I2302" s="41">
        <v>0.363636364</v>
      </c>
      <c r="J2302" s="41">
        <v>0.318181818</v>
      </c>
      <c r="K2302" s="41">
        <v>0.318181818</v>
      </c>
      <c r="L2302" s="41">
        <f t="shared" si="2"/>
        <v>0.045454546</v>
      </c>
      <c r="M2302" s="74">
        <v>-1.181017855</v>
      </c>
    </row>
    <row r="2303">
      <c r="A2303" s="1" t="s">
        <v>300</v>
      </c>
      <c r="B2303" s="38">
        <v>506433.0</v>
      </c>
      <c r="C2303" s="72">
        <v>45914.0</v>
      </c>
      <c r="D2303" s="38">
        <v>82.0</v>
      </c>
      <c r="E2303" s="73" t="str">
        <f>IFERROR(__xludf.DUMMYFUNCTION("average(filter('Appearance Sheet'!F:F,'Appearance Sheet'!G:G=B2303,'Appearance Sheet'!A:A=C2303))"),"#N/A")</f>
        <v>#N/A</v>
      </c>
      <c r="F2303" s="67">
        <v>5.088463378</v>
      </c>
      <c r="G2303" s="40">
        <v>1.729133609</v>
      </c>
      <c r="H2303" s="40" t="str">
        <f t="shared" si="1"/>
        <v>#N/A</v>
      </c>
      <c r="I2303" s="41">
        <v>0.475609756</v>
      </c>
      <c r="J2303" s="41">
        <v>0.170731707</v>
      </c>
      <c r="K2303" s="41">
        <v>0.353658537</v>
      </c>
      <c r="L2303" s="41">
        <f t="shared" si="2"/>
        <v>0.121951219</v>
      </c>
      <c r="M2303" s="74">
        <v>0.748805025</v>
      </c>
    </row>
    <row r="2304">
      <c r="A2304" s="1" t="s">
        <v>559</v>
      </c>
      <c r="B2304" s="38">
        <v>686790.0</v>
      </c>
      <c r="C2304" s="72">
        <v>45921.0</v>
      </c>
      <c r="D2304" s="38">
        <v>89.0</v>
      </c>
      <c r="E2304" s="73" t="str">
        <f>IFERROR(__xludf.DUMMYFUNCTION("average(filter('Appearance Sheet'!F:F,'Appearance Sheet'!G:G=B2304,'Appearance Sheet'!A:A=C2304))"),"#N/A")</f>
        <v>#N/A</v>
      </c>
      <c r="F2304" s="67">
        <v>5.088437676</v>
      </c>
      <c r="G2304" s="40">
        <v>1.885560658</v>
      </c>
      <c r="H2304" s="40" t="str">
        <f t="shared" si="1"/>
        <v>#N/A</v>
      </c>
      <c r="I2304" s="41">
        <v>0.494382022</v>
      </c>
      <c r="J2304" s="41">
        <v>0.146067416</v>
      </c>
      <c r="K2304" s="41">
        <v>0.359550562</v>
      </c>
      <c r="L2304" s="41">
        <f t="shared" si="2"/>
        <v>0.13483146</v>
      </c>
      <c r="M2304" s="74">
        <v>-1.097495079</v>
      </c>
    </row>
    <row r="2305">
      <c r="A2305" s="1" t="s">
        <v>410</v>
      </c>
      <c r="B2305" s="38">
        <v>678394.0</v>
      </c>
      <c r="C2305" s="72">
        <v>45805.0</v>
      </c>
      <c r="D2305" s="38">
        <v>76.0</v>
      </c>
      <c r="E2305" s="73">
        <f>IFERROR(__xludf.DUMMYFUNCTION("average(filter('Appearance Sheet'!F:F,'Appearance Sheet'!G:G=B2305,'Appearance Sheet'!A:A=C2305))"),4.666666666666667)</f>
        <v>4.666666667</v>
      </c>
      <c r="F2305" s="67">
        <v>5.088345773</v>
      </c>
      <c r="G2305" s="40">
        <v>1.622905899</v>
      </c>
      <c r="H2305" s="40">
        <f t="shared" si="1"/>
        <v>3.129889948</v>
      </c>
      <c r="I2305" s="41">
        <v>0.5</v>
      </c>
      <c r="J2305" s="41">
        <v>0.144736842</v>
      </c>
      <c r="K2305" s="41">
        <v>0.355263158</v>
      </c>
      <c r="L2305" s="41">
        <f t="shared" si="2"/>
        <v>0.144736842</v>
      </c>
      <c r="M2305" s="74">
        <v>1.971352508</v>
      </c>
    </row>
    <row r="2306">
      <c r="A2306" s="1" t="s">
        <v>99</v>
      </c>
      <c r="B2306" s="38">
        <v>592791.0</v>
      </c>
      <c r="C2306" s="72">
        <v>45893.0</v>
      </c>
      <c r="D2306" s="38">
        <v>62.0</v>
      </c>
      <c r="E2306" s="73" t="str">
        <f>IFERROR(__xludf.DUMMYFUNCTION("average(filter('Appearance Sheet'!F:F,'Appearance Sheet'!G:G=B2306,'Appearance Sheet'!A:A=C2306))"),"#N/A")</f>
        <v>#N/A</v>
      </c>
      <c r="F2306" s="67">
        <v>5.088338021</v>
      </c>
      <c r="G2306" s="40">
        <v>1.355962227</v>
      </c>
      <c r="H2306" s="40" t="str">
        <f t="shared" si="1"/>
        <v>#N/A</v>
      </c>
      <c r="I2306" s="41">
        <v>0.467741935</v>
      </c>
      <c r="J2306" s="41">
        <v>0.177419355</v>
      </c>
      <c r="K2306" s="41">
        <v>0.35483871</v>
      </c>
      <c r="L2306" s="41">
        <f t="shared" si="2"/>
        <v>0.112903225</v>
      </c>
      <c r="M2306" s="74">
        <v>0.094125826</v>
      </c>
    </row>
    <row r="2307">
      <c r="A2307" s="1" t="s">
        <v>423</v>
      </c>
      <c r="B2307" s="38">
        <v>656605.0</v>
      </c>
      <c r="C2307" s="72">
        <v>45762.0</v>
      </c>
      <c r="D2307" s="38">
        <v>101.0</v>
      </c>
      <c r="E2307" s="73">
        <f>IFERROR(__xludf.DUMMYFUNCTION("average(filter('Appearance Sheet'!F:F,'Appearance Sheet'!G:G=B2307,'Appearance Sheet'!A:A=C2307))"),6.0)</f>
        <v>6</v>
      </c>
      <c r="F2307" s="67">
        <v>5.088189714</v>
      </c>
      <c r="G2307" s="40">
        <v>2.141555391</v>
      </c>
      <c r="H2307" s="40">
        <f t="shared" si="1"/>
        <v>3.212333087</v>
      </c>
      <c r="I2307" s="41">
        <v>0.495049505</v>
      </c>
      <c r="J2307" s="41">
        <v>0.217821782</v>
      </c>
      <c r="K2307" s="41">
        <v>0.287128713</v>
      </c>
      <c r="L2307" s="41">
        <f t="shared" si="2"/>
        <v>0.207920792</v>
      </c>
      <c r="M2307" s="74">
        <v>0.152304102</v>
      </c>
    </row>
    <row r="2308">
      <c r="A2308" s="1" t="s">
        <v>285</v>
      </c>
      <c r="B2308" s="38">
        <v>607074.0</v>
      </c>
      <c r="C2308" s="72">
        <v>45838.0</v>
      </c>
      <c r="D2308" s="38">
        <v>93.0</v>
      </c>
      <c r="E2308" s="73">
        <f>IFERROR(__xludf.DUMMYFUNCTION("average(filter('Appearance Sheet'!F:F,'Appearance Sheet'!G:G=B2308,'Appearance Sheet'!A:A=C2308))"),5.0)</f>
        <v>5</v>
      </c>
      <c r="F2308" s="67">
        <v>5.088155638</v>
      </c>
      <c r="G2308" s="40">
        <v>1.987177633</v>
      </c>
      <c r="H2308" s="40">
        <f t="shared" si="1"/>
        <v>3.576919739</v>
      </c>
      <c r="I2308" s="41">
        <v>0.462365591</v>
      </c>
      <c r="J2308" s="41">
        <v>0.161290323</v>
      </c>
      <c r="K2308" s="41">
        <v>0.376344086</v>
      </c>
      <c r="L2308" s="41">
        <f t="shared" si="2"/>
        <v>0.086021505</v>
      </c>
      <c r="M2308" s="74">
        <v>-0.88430635</v>
      </c>
    </row>
    <row r="2309">
      <c r="A2309" s="1" t="s">
        <v>100</v>
      </c>
      <c r="B2309" s="38">
        <v>676979.0</v>
      </c>
      <c r="C2309" s="72">
        <v>45743.0</v>
      </c>
      <c r="D2309" s="38">
        <v>81.0</v>
      </c>
      <c r="E2309" s="73">
        <f>IFERROR(__xludf.DUMMYFUNCTION("average(filter('Appearance Sheet'!F:F,'Appearance Sheet'!G:G=B2309,'Appearance Sheet'!A:A=C2309))"),5.0)</f>
        <v>5</v>
      </c>
      <c r="F2309" s="67">
        <v>5.088071689</v>
      </c>
      <c r="G2309" s="40">
        <v>1.713673009</v>
      </c>
      <c r="H2309" s="40">
        <f t="shared" si="1"/>
        <v>3.084611416</v>
      </c>
      <c r="I2309" s="41">
        <v>0.49382716</v>
      </c>
      <c r="J2309" s="41">
        <v>0.148148148</v>
      </c>
      <c r="K2309" s="41">
        <v>0.358024691</v>
      </c>
      <c r="L2309" s="41">
        <f t="shared" si="2"/>
        <v>0.135802469</v>
      </c>
      <c r="M2309" s="74">
        <v>2.209949079</v>
      </c>
    </row>
    <row r="2310">
      <c r="A2310" s="1" t="s">
        <v>281</v>
      </c>
      <c r="B2310" s="38">
        <v>622663.0</v>
      </c>
      <c r="C2310" s="72">
        <v>45913.0</v>
      </c>
      <c r="D2310" s="38">
        <v>77.0</v>
      </c>
      <c r="E2310" s="73" t="str">
        <f>IFERROR(__xludf.DUMMYFUNCTION("average(filter('Appearance Sheet'!F:F,'Appearance Sheet'!G:G=B2310,'Appearance Sheet'!A:A=C2310))"),"#N/A")</f>
        <v>#N/A</v>
      </c>
      <c r="F2310" s="67">
        <v>5.087961549</v>
      </c>
      <c r="G2310" s="40">
        <v>1.665096391</v>
      </c>
      <c r="H2310" s="40" t="str">
        <f t="shared" si="1"/>
        <v>#N/A</v>
      </c>
      <c r="I2310" s="41">
        <v>0.532467532</v>
      </c>
      <c r="J2310" s="41">
        <v>0.155844156</v>
      </c>
      <c r="K2310" s="41">
        <v>0.311688312</v>
      </c>
      <c r="L2310" s="41">
        <f t="shared" si="2"/>
        <v>0.22077922</v>
      </c>
      <c r="M2310" s="74">
        <v>-1.014715888</v>
      </c>
    </row>
    <row r="2311">
      <c r="A2311" s="1" t="s">
        <v>166</v>
      </c>
      <c r="B2311" s="38">
        <v>608331.0</v>
      </c>
      <c r="C2311" s="72">
        <v>45885.0</v>
      </c>
      <c r="D2311" s="38">
        <v>92.0</v>
      </c>
      <c r="E2311" s="73" t="str">
        <f>IFERROR(__xludf.DUMMYFUNCTION("average(filter('Appearance Sheet'!F:F,'Appearance Sheet'!G:G=B2311,'Appearance Sheet'!A:A=C2311))"),"#N/A")</f>
        <v>#N/A</v>
      </c>
      <c r="F2311" s="67">
        <v>5.087786547</v>
      </c>
      <c r="G2311" s="40">
        <v>1.935630069</v>
      </c>
      <c r="H2311" s="40" t="str">
        <f t="shared" si="1"/>
        <v>#N/A</v>
      </c>
      <c r="I2311" s="41">
        <v>0.456521739</v>
      </c>
      <c r="J2311" s="41">
        <v>0.173913043</v>
      </c>
      <c r="K2311" s="41">
        <v>0.369565217</v>
      </c>
      <c r="L2311" s="41">
        <f t="shared" si="2"/>
        <v>0.086956522</v>
      </c>
      <c r="M2311" s="74">
        <v>-1.70151297</v>
      </c>
    </row>
    <row r="2312">
      <c r="A2312" s="1" t="s">
        <v>321</v>
      </c>
      <c r="B2312" s="38">
        <v>607200.0</v>
      </c>
      <c r="C2312" s="72">
        <v>45745.0</v>
      </c>
      <c r="D2312" s="38">
        <v>72.0</v>
      </c>
      <c r="E2312" s="73">
        <f>IFERROR(__xludf.DUMMYFUNCTION("average(filter('Appearance Sheet'!F:F,'Appearance Sheet'!G:G=B2312,'Appearance Sheet'!A:A=C2312))"),6.0)</f>
        <v>6</v>
      </c>
      <c r="F2312" s="67">
        <v>5.087735991</v>
      </c>
      <c r="G2312" s="40">
        <v>1.539002178</v>
      </c>
      <c r="H2312" s="40">
        <f t="shared" si="1"/>
        <v>2.308503267</v>
      </c>
      <c r="I2312" s="41">
        <v>0.430555556</v>
      </c>
      <c r="J2312" s="41">
        <v>0.166666667</v>
      </c>
      <c r="K2312" s="41">
        <v>0.402777778</v>
      </c>
      <c r="L2312" s="41">
        <f t="shared" si="2"/>
        <v>0.027777778</v>
      </c>
      <c r="M2312" s="74">
        <v>2.0874093</v>
      </c>
    </row>
    <row r="2313">
      <c r="A2313" s="1" t="s">
        <v>105</v>
      </c>
      <c r="B2313" s="38">
        <v>624133.0</v>
      </c>
      <c r="C2313" s="72">
        <v>45837.0</v>
      </c>
      <c r="D2313" s="38">
        <v>91.0</v>
      </c>
      <c r="E2313" s="73">
        <f>IFERROR(__xludf.DUMMYFUNCTION("average(filter('Appearance Sheet'!F:F,'Appearance Sheet'!G:G=B2313,'Appearance Sheet'!A:A=C2313))"),7.0)</f>
        <v>7</v>
      </c>
      <c r="F2313" s="67">
        <v>5.087686964</v>
      </c>
      <c r="G2313" s="40">
        <v>1.927520676</v>
      </c>
      <c r="H2313" s="40">
        <f t="shared" si="1"/>
        <v>2.478240869</v>
      </c>
      <c r="I2313" s="41">
        <v>0.483516484</v>
      </c>
      <c r="J2313" s="41">
        <v>0.230769231</v>
      </c>
      <c r="K2313" s="41">
        <v>0.285714286</v>
      </c>
      <c r="L2313" s="41">
        <f t="shared" si="2"/>
        <v>0.197802198</v>
      </c>
      <c r="M2313" s="74">
        <v>1.638687435</v>
      </c>
    </row>
    <row r="2314">
      <c r="A2314" s="1" t="s">
        <v>329</v>
      </c>
      <c r="B2314" s="38">
        <v>669160.0</v>
      </c>
      <c r="C2314" s="72">
        <v>45887.0</v>
      </c>
      <c r="D2314" s="38">
        <v>97.0</v>
      </c>
      <c r="E2314" s="73" t="str">
        <f>IFERROR(__xludf.DUMMYFUNCTION("average(filter('Appearance Sheet'!F:F,'Appearance Sheet'!G:G=B2314,'Appearance Sheet'!A:A=C2314))"),"#N/A")</f>
        <v>#N/A</v>
      </c>
      <c r="F2314" s="67">
        <v>5.087351655</v>
      </c>
      <c r="G2314" s="40">
        <v>2.066924279</v>
      </c>
      <c r="H2314" s="40" t="str">
        <f t="shared" si="1"/>
        <v>#N/A</v>
      </c>
      <c r="I2314" s="41">
        <v>0.536082474</v>
      </c>
      <c r="J2314" s="41">
        <v>0.113402062</v>
      </c>
      <c r="K2314" s="41">
        <v>0.350515464</v>
      </c>
      <c r="L2314" s="41">
        <f t="shared" si="2"/>
        <v>0.18556701</v>
      </c>
      <c r="M2314" s="74">
        <v>-2.770215075</v>
      </c>
    </row>
    <row r="2315">
      <c r="A2315" s="1" t="s">
        <v>589</v>
      </c>
      <c r="B2315" s="38">
        <v>702056.0</v>
      </c>
      <c r="C2315" s="72">
        <v>45915.0</v>
      </c>
      <c r="D2315" s="38">
        <v>69.0</v>
      </c>
      <c r="E2315" s="73" t="str">
        <f>IFERROR(__xludf.DUMMYFUNCTION("average(filter('Appearance Sheet'!F:F,'Appearance Sheet'!G:G=B2315,'Appearance Sheet'!A:A=C2315))"),"#N/A")</f>
        <v>#N/A</v>
      </c>
      <c r="F2315" s="67">
        <v>5.087250838</v>
      </c>
      <c r="G2315" s="40">
        <v>1.500406402</v>
      </c>
      <c r="H2315" s="40" t="str">
        <f t="shared" si="1"/>
        <v>#N/A</v>
      </c>
      <c r="I2315" s="41">
        <v>0.507246377</v>
      </c>
      <c r="J2315" s="41">
        <v>0.173913043</v>
      </c>
      <c r="K2315" s="41">
        <v>0.31884058</v>
      </c>
      <c r="L2315" s="41">
        <f t="shared" si="2"/>
        <v>0.188405797</v>
      </c>
      <c r="M2315" s="74">
        <v>0.534234264</v>
      </c>
    </row>
    <row r="2316">
      <c r="A2316" s="1" t="s">
        <v>277</v>
      </c>
      <c r="B2316" s="38">
        <v>677952.0</v>
      </c>
      <c r="C2316" s="72">
        <v>45915.0</v>
      </c>
      <c r="D2316" s="38">
        <v>70.0</v>
      </c>
      <c r="E2316" s="73" t="str">
        <f>IFERROR(__xludf.DUMMYFUNCTION("average(filter('Appearance Sheet'!F:F,'Appearance Sheet'!G:G=B2316,'Appearance Sheet'!A:A=C2316))"),"#N/A")</f>
        <v>#N/A</v>
      </c>
      <c r="F2316" s="67">
        <v>5.086756426</v>
      </c>
      <c r="G2316" s="40">
        <v>1.510306486</v>
      </c>
      <c r="H2316" s="40" t="str">
        <f t="shared" si="1"/>
        <v>#N/A</v>
      </c>
      <c r="I2316" s="41">
        <v>0.442857143</v>
      </c>
      <c r="J2316" s="41">
        <v>0.242857143</v>
      </c>
      <c r="K2316" s="41">
        <v>0.314285714</v>
      </c>
      <c r="L2316" s="41">
        <f t="shared" si="2"/>
        <v>0.128571429</v>
      </c>
      <c r="M2316" s="74">
        <v>-1.547897572</v>
      </c>
    </row>
    <row r="2317">
      <c r="A2317" s="1" t="s">
        <v>125</v>
      </c>
      <c r="B2317" s="38">
        <v>663554.0</v>
      </c>
      <c r="C2317" s="72">
        <v>45748.0</v>
      </c>
      <c r="D2317" s="38">
        <v>75.0</v>
      </c>
      <c r="E2317" s="73">
        <f>IFERROR(__xludf.DUMMYFUNCTION("average(filter('Appearance Sheet'!F:F,'Appearance Sheet'!G:G=B2317,'Appearance Sheet'!A:A=C2317))"),5.666666666666667)</f>
        <v>5.666666667</v>
      </c>
      <c r="F2317" s="67">
        <v>5.086655549</v>
      </c>
      <c r="G2317" s="40">
        <v>1.581791569</v>
      </c>
      <c r="H2317" s="40">
        <f t="shared" si="1"/>
        <v>2.512257198</v>
      </c>
      <c r="I2317" s="41">
        <v>0.533333333</v>
      </c>
      <c r="J2317" s="41">
        <v>0.146666667</v>
      </c>
      <c r="K2317" s="41">
        <v>0.32</v>
      </c>
      <c r="L2317" s="41">
        <f t="shared" si="2"/>
        <v>0.213333333</v>
      </c>
      <c r="M2317" s="74">
        <v>2.213036575</v>
      </c>
    </row>
    <row r="2318">
      <c r="A2318" s="1" t="s">
        <v>285</v>
      </c>
      <c r="B2318" s="38">
        <v>607074.0</v>
      </c>
      <c r="C2318" s="72">
        <v>45925.0</v>
      </c>
      <c r="D2318" s="38">
        <v>79.0</v>
      </c>
      <c r="E2318" s="73" t="str">
        <f>IFERROR(__xludf.DUMMYFUNCTION("average(filter('Appearance Sheet'!F:F,'Appearance Sheet'!G:G=B2318,'Appearance Sheet'!A:A=C2318))"),"#N/A")</f>
        <v>#N/A</v>
      </c>
      <c r="F2318" s="67">
        <v>5.086636446</v>
      </c>
      <c r="G2318" s="40">
        <v>1.720040994</v>
      </c>
      <c r="H2318" s="40" t="str">
        <f t="shared" si="1"/>
        <v>#N/A</v>
      </c>
      <c r="I2318" s="41">
        <v>0.493670886</v>
      </c>
      <c r="J2318" s="41">
        <v>0.240506329</v>
      </c>
      <c r="K2318" s="41">
        <v>0.265822785</v>
      </c>
      <c r="L2318" s="41">
        <f t="shared" si="2"/>
        <v>0.227848101</v>
      </c>
      <c r="M2318" s="74">
        <v>0.611238826</v>
      </c>
    </row>
    <row r="2319">
      <c r="A2319" s="1" t="s">
        <v>582</v>
      </c>
      <c r="B2319" s="38">
        <v>680694.0</v>
      </c>
      <c r="C2319" s="72">
        <v>45915.0</v>
      </c>
      <c r="D2319" s="38">
        <v>81.0</v>
      </c>
      <c r="E2319" s="73" t="str">
        <f>IFERROR(__xludf.DUMMYFUNCTION("average(filter('Appearance Sheet'!F:F,'Appearance Sheet'!G:G=B2319,'Appearance Sheet'!A:A=C2319))"),"#N/A")</f>
        <v>#N/A</v>
      </c>
      <c r="F2319" s="67">
        <v>5.086548326</v>
      </c>
      <c r="G2319" s="40">
        <v>1.723166439</v>
      </c>
      <c r="H2319" s="40" t="str">
        <f t="shared" si="1"/>
        <v>#N/A</v>
      </c>
      <c r="I2319" s="41">
        <v>0.456790123</v>
      </c>
      <c r="J2319" s="41">
        <v>0.185185185</v>
      </c>
      <c r="K2319" s="41">
        <v>0.358024691</v>
      </c>
      <c r="L2319" s="41">
        <f t="shared" si="2"/>
        <v>0.098765432</v>
      </c>
      <c r="M2319" s="74">
        <v>2.303763197</v>
      </c>
    </row>
    <row r="2320">
      <c r="A2320" s="1" t="s">
        <v>220</v>
      </c>
      <c r="B2320" s="38">
        <v>663559.0</v>
      </c>
      <c r="C2320" s="72">
        <v>45758.0</v>
      </c>
      <c r="D2320" s="38">
        <v>77.0</v>
      </c>
      <c r="E2320" s="73">
        <f>IFERROR(__xludf.DUMMYFUNCTION("average(filter('Appearance Sheet'!F:F,'Appearance Sheet'!G:G=B2320,'Appearance Sheet'!A:A=C2320))"),5.0)</f>
        <v>5</v>
      </c>
      <c r="F2320" s="67">
        <v>5.086546984</v>
      </c>
      <c r="G2320" s="40">
        <v>1.653056186</v>
      </c>
      <c r="H2320" s="40">
        <f t="shared" si="1"/>
        <v>2.975501135</v>
      </c>
      <c r="I2320" s="41">
        <v>0.454545455</v>
      </c>
      <c r="J2320" s="41">
        <v>0.155844156</v>
      </c>
      <c r="K2320" s="41">
        <v>0.38961039</v>
      </c>
      <c r="L2320" s="41">
        <f t="shared" si="2"/>
        <v>0.064935065</v>
      </c>
      <c r="M2320" s="74">
        <v>0.532767019</v>
      </c>
    </row>
    <row r="2321">
      <c r="A2321" s="1" t="s">
        <v>302</v>
      </c>
      <c r="B2321" s="38">
        <v>681190.0</v>
      </c>
      <c r="C2321" s="72">
        <v>45809.0</v>
      </c>
      <c r="D2321" s="38">
        <v>78.0</v>
      </c>
      <c r="E2321" s="73">
        <f>IFERROR(__xludf.DUMMYFUNCTION("average(filter('Appearance Sheet'!F:F,'Appearance Sheet'!G:G=B2321,'Appearance Sheet'!A:A=C2321))"),3.3333333333333335)</f>
        <v>3.333333333</v>
      </c>
      <c r="F2321" s="67">
        <v>5.086490446</v>
      </c>
      <c r="G2321" s="40">
        <v>1.660660008</v>
      </c>
      <c r="H2321" s="40">
        <f t="shared" si="1"/>
        <v>4.483782022</v>
      </c>
      <c r="I2321" s="41">
        <v>0.461538462</v>
      </c>
      <c r="J2321" s="41">
        <v>0.243589744</v>
      </c>
      <c r="K2321" s="41">
        <v>0.294871795</v>
      </c>
      <c r="L2321" s="41">
        <f t="shared" si="2"/>
        <v>0.166666667</v>
      </c>
      <c r="M2321" s="74">
        <v>-0.237411901</v>
      </c>
    </row>
    <row r="2322">
      <c r="A2322" s="1" t="s">
        <v>163</v>
      </c>
      <c r="B2322" s="38">
        <v>663460.0</v>
      </c>
      <c r="C2322" s="72">
        <v>45837.0</v>
      </c>
      <c r="D2322" s="38">
        <v>88.0</v>
      </c>
      <c r="E2322" s="73">
        <f>IFERROR(__xludf.DUMMYFUNCTION("average(filter('Appearance Sheet'!F:F,'Appearance Sheet'!G:G=B2322,'Appearance Sheet'!A:A=C2322))"),5.0)</f>
        <v>5</v>
      </c>
      <c r="F2322" s="67">
        <v>5.086172233</v>
      </c>
      <c r="G2322" s="40">
        <v>1.858704569</v>
      </c>
      <c r="H2322" s="40">
        <f t="shared" si="1"/>
        <v>3.345668224</v>
      </c>
      <c r="I2322" s="41">
        <v>0.477272727</v>
      </c>
      <c r="J2322" s="41">
        <v>0.238636364</v>
      </c>
      <c r="K2322" s="41">
        <v>0.284090909</v>
      </c>
      <c r="L2322" s="41">
        <f t="shared" si="2"/>
        <v>0.193181818</v>
      </c>
      <c r="M2322" s="74">
        <v>1.305605026</v>
      </c>
    </row>
    <row r="2323">
      <c r="A2323" s="1" t="s">
        <v>476</v>
      </c>
      <c r="B2323" s="38">
        <v>500779.0</v>
      </c>
      <c r="C2323" s="72">
        <v>45780.0</v>
      </c>
      <c r="D2323" s="38">
        <v>91.0</v>
      </c>
      <c r="E2323" s="73">
        <f>IFERROR(__xludf.DUMMYFUNCTION("average(filter('Appearance Sheet'!F:F,'Appearance Sheet'!G:G=B2323,'Appearance Sheet'!A:A=C2323))"),5.0)</f>
        <v>5</v>
      </c>
      <c r="F2323" s="67">
        <v>5.086060616</v>
      </c>
      <c r="G2323" s="40">
        <v>1.94283728</v>
      </c>
      <c r="H2323" s="40">
        <f t="shared" si="1"/>
        <v>3.497107104</v>
      </c>
      <c r="I2323" s="41">
        <v>0.43956044</v>
      </c>
      <c r="J2323" s="41">
        <v>0.175824176</v>
      </c>
      <c r="K2323" s="41">
        <v>0.384615385</v>
      </c>
      <c r="L2323" s="41">
        <f t="shared" si="2"/>
        <v>0.054945055</v>
      </c>
      <c r="M2323" s="74">
        <v>-1.364628186</v>
      </c>
    </row>
    <row r="2324">
      <c r="A2324" s="1" t="s">
        <v>216</v>
      </c>
      <c r="B2324" s="38">
        <v>621107.0</v>
      </c>
      <c r="C2324" s="72">
        <v>45801.0</v>
      </c>
      <c r="D2324" s="38">
        <v>78.0</v>
      </c>
      <c r="E2324" s="73">
        <f>IFERROR(__xludf.DUMMYFUNCTION("average(filter('Appearance Sheet'!F:F,'Appearance Sheet'!G:G=B2324,'Appearance Sheet'!A:A=C2324))"),5.0)</f>
        <v>5</v>
      </c>
      <c r="F2324" s="67">
        <v>5.085999326</v>
      </c>
      <c r="G2324" s="40">
        <v>1.678871808</v>
      </c>
      <c r="H2324" s="40">
        <f t="shared" si="1"/>
        <v>3.021969254</v>
      </c>
      <c r="I2324" s="41">
        <v>0.461538462</v>
      </c>
      <c r="J2324" s="41">
        <v>0.153846154</v>
      </c>
      <c r="K2324" s="41">
        <v>0.384615385</v>
      </c>
      <c r="L2324" s="41">
        <f t="shared" si="2"/>
        <v>0.076923077</v>
      </c>
      <c r="M2324" s="74">
        <v>0.64435374</v>
      </c>
    </row>
    <row r="2325">
      <c r="A2325" s="1" t="s">
        <v>226</v>
      </c>
      <c r="B2325" s="38">
        <v>607259.0</v>
      </c>
      <c r="C2325" s="72">
        <v>45797.0</v>
      </c>
      <c r="D2325" s="38">
        <v>90.0</v>
      </c>
      <c r="E2325" s="73">
        <f>IFERROR(__xludf.DUMMYFUNCTION("average(filter('Appearance Sheet'!F:F,'Appearance Sheet'!G:G=B2325,'Appearance Sheet'!A:A=C2325))"),6.0)</f>
        <v>6</v>
      </c>
      <c r="F2325" s="67">
        <v>5.085851461</v>
      </c>
      <c r="G2325" s="40">
        <v>1.957197919</v>
      </c>
      <c r="H2325" s="40">
        <f t="shared" si="1"/>
        <v>2.935796879</v>
      </c>
      <c r="I2325" s="41">
        <v>0.488888889</v>
      </c>
      <c r="J2325" s="41">
        <v>0.2</v>
      </c>
      <c r="K2325" s="41">
        <v>0.311111111</v>
      </c>
      <c r="L2325" s="41">
        <f t="shared" si="2"/>
        <v>0.177777778</v>
      </c>
      <c r="M2325" s="74">
        <v>1.470735942</v>
      </c>
    </row>
    <row r="2326">
      <c r="A2326" s="1" t="s">
        <v>65</v>
      </c>
      <c r="B2326" s="38">
        <v>680885.0</v>
      </c>
      <c r="C2326" s="72">
        <v>45825.0</v>
      </c>
      <c r="D2326" s="38">
        <v>95.0</v>
      </c>
      <c r="E2326" s="73">
        <f>IFERROR(__xludf.DUMMYFUNCTION("average(filter('Appearance Sheet'!F:F,'Appearance Sheet'!G:G=B2326,'Appearance Sheet'!A:A=C2326))"),7.0)</f>
        <v>7</v>
      </c>
      <c r="F2326" s="67">
        <v>5.085758762</v>
      </c>
      <c r="G2326" s="40">
        <v>2.071460228</v>
      </c>
      <c r="H2326" s="40">
        <f t="shared" si="1"/>
        <v>2.663306007</v>
      </c>
      <c r="I2326" s="41">
        <v>0.494736842</v>
      </c>
      <c r="J2326" s="41">
        <v>0.252631579</v>
      </c>
      <c r="K2326" s="41">
        <v>0.252631579</v>
      </c>
      <c r="L2326" s="41">
        <f t="shared" si="2"/>
        <v>0.242105263</v>
      </c>
      <c r="M2326" s="74">
        <v>-0.285565001</v>
      </c>
    </row>
    <row r="2327">
      <c r="A2327" s="1" t="s">
        <v>189</v>
      </c>
      <c r="B2327" s="38">
        <v>607536.0</v>
      </c>
      <c r="C2327" s="72">
        <v>45863.0</v>
      </c>
      <c r="D2327" s="38">
        <v>89.0</v>
      </c>
      <c r="E2327" s="73" t="str">
        <f>IFERROR(__xludf.DUMMYFUNCTION("average(filter('Appearance Sheet'!F:F,'Appearance Sheet'!G:G=B2327,'Appearance Sheet'!A:A=C2327))"),"#N/A")</f>
        <v>#N/A</v>
      </c>
      <c r="F2327" s="67">
        <v>5.085665882</v>
      </c>
      <c r="G2327" s="40">
        <v>1.930785703</v>
      </c>
      <c r="H2327" s="40" t="str">
        <f t="shared" si="1"/>
        <v>#N/A</v>
      </c>
      <c r="I2327" s="41">
        <v>0.404494382</v>
      </c>
      <c r="J2327" s="41">
        <v>0.348314607</v>
      </c>
      <c r="K2327" s="41">
        <v>0.247191011</v>
      </c>
      <c r="L2327" s="41">
        <f t="shared" si="2"/>
        <v>0.157303371</v>
      </c>
      <c r="M2327" s="74">
        <v>-1.228572275</v>
      </c>
    </row>
    <row r="2328">
      <c r="A2328" s="1" t="s">
        <v>109</v>
      </c>
      <c r="B2328" s="38">
        <v>601713.0</v>
      </c>
      <c r="C2328" s="72">
        <v>45763.0</v>
      </c>
      <c r="D2328" s="38">
        <v>87.0</v>
      </c>
      <c r="E2328" s="73">
        <f>IFERROR(__xludf.DUMMYFUNCTION("average(filter('Appearance Sheet'!F:F,'Appearance Sheet'!G:G=B2328,'Appearance Sheet'!A:A=C2328))"),6.0)</f>
        <v>6</v>
      </c>
      <c r="F2328" s="67">
        <v>5.085591857</v>
      </c>
      <c r="G2328" s="40">
        <v>1.872046456</v>
      </c>
      <c r="H2328" s="40">
        <f t="shared" si="1"/>
        <v>2.808069684</v>
      </c>
      <c r="I2328" s="41">
        <v>0.436781609</v>
      </c>
      <c r="J2328" s="41">
        <v>0.229885057</v>
      </c>
      <c r="K2328" s="41">
        <v>0.333333333</v>
      </c>
      <c r="L2328" s="41">
        <f t="shared" si="2"/>
        <v>0.103448276</v>
      </c>
      <c r="M2328" s="74">
        <v>1.641004335</v>
      </c>
    </row>
    <row r="2329">
      <c r="A2329" s="1" t="s">
        <v>380</v>
      </c>
      <c r="B2329" s="38">
        <v>661563.0</v>
      </c>
      <c r="C2329" s="72">
        <v>45872.0</v>
      </c>
      <c r="D2329" s="38">
        <v>71.0</v>
      </c>
      <c r="E2329" s="73" t="str">
        <f>IFERROR(__xludf.DUMMYFUNCTION("average(filter('Appearance Sheet'!F:F,'Appearance Sheet'!G:G=B2329,'Appearance Sheet'!A:A=C2329))"),"#N/A")</f>
        <v>#N/A</v>
      </c>
      <c r="F2329" s="67">
        <v>5.085578269</v>
      </c>
      <c r="G2329" s="40">
        <v>1.515797909</v>
      </c>
      <c r="H2329" s="40" t="str">
        <f t="shared" si="1"/>
        <v>#N/A</v>
      </c>
      <c r="I2329" s="41">
        <v>0.563380282</v>
      </c>
      <c r="J2329" s="41">
        <v>0.028169014</v>
      </c>
      <c r="K2329" s="41">
        <v>0.408450704</v>
      </c>
      <c r="L2329" s="41">
        <f t="shared" si="2"/>
        <v>0.154929578</v>
      </c>
      <c r="M2329" s="74">
        <v>-1.673160937</v>
      </c>
    </row>
    <row r="2330">
      <c r="A2330" s="1" t="s">
        <v>169</v>
      </c>
      <c r="B2330" s="38">
        <v>671096.0</v>
      </c>
      <c r="C2330" s="72">
        <v>45847.0</v>
      </c>
      <c r="D2330" s="38">
        <v>98.0</v>
      </c>
      <c r="E2330" s="73" t="str">
        <f>IFERROR(__xludf.DUMMYFUNCTION("average(filter('Appearance Sheet'!F:F,'Appearance Sheet'!G:G=B2330,'Appearance Sheet'!A:A=C2330))"),"#N/A")</f>
        <v>#N/A</v>
      </c>
      <c r="F2330" s="67">
        <v>5.085442979</v>
      </c>
      <c r="G2330" s="40">
        <v>2.122542888</v>
      </c>
      <c r="H2330" s="40" t="str">
        <f t="shared" si="1"/>
        <v>#N/A</v>
      </c>
      <c r="I2330" s="41">
        <v>0.469387755</v>
      </c>
      <c r="J2330" s="41">
        <v>0.224489796</v>
      </c>
      <c r="K2330" s="41">
        <v>0.306122449</v>
      </c>
      <c r="L2330" s="41">
        <f t="shared" si="2"/>
        <v>0.163265306</v>
      </c>
      <c r="M2330" s="74">
        <v>0.14536133</v>
      </c>
    </row>
    <row r="2331">
      <c r="A2331" s="1" t="s">
        <v>396</v>
      </c>
      <c r="B2331" s="38">
        <v>663623.0</v>
      </c>
      <c r="C2331" s="72">
        <v>45877.0</v>
      </c>
      <c r="D2331" s="38">
        <v>84.0</v>
      </c>
      <c r="E2331" s="73" t="str">
        <f>IFERROR(__xludf.DUMMYFUNCTION("average(filter('Appearance Sheet'!F:F,'Appearance Sheet'!G:G=B2331,'Appearance Sheet'!A:A=C2331))"),"#N/A")</f>
        <v>#N/A</v>
      </c>
      <c r="F2331" s="67">
        <v>5.085343823</v>
      </c>
      <c r="G2331" s="40">
        <v>1.790853489</v>
      </c>
      <c r="H2331" s="40" t="str">
        <f t="shared" si="1"/>
        <v>#N/A</v>
      </c>
      <c r="I2331" s="41">
        <v>0.44047619</v>
      </c>
      <c r="J2331" s="41">
        <v>0.178571429</v>
      </c>
      <c r="K2331" s="41">
        <v>0.380952381</v>
      </c>
      <c r="L2331" s="41">
        <f t="shared" si="2"/>
        <v>0.059523809</v>
      </c>
      <c r="M2331" s="74">
        <v>-0.756333375</v>
      </c>
    </row>
    <row r="2332">
      <c r="A2332" s="1" t="s">
        <v>222</v>
      </c>
      <c r="B2332" s="38">
        <v>518876.0</v>
      </c>
      <c r="C2332" s="72">
        <v>45871.0</v>
      </c>
      <c r="D2332" s="38">
        <v>68.0</v>
      </c>
      <c r="E2332" s="73" t="str">
        <f>IFERROR(__xludf.DUMMYFUNCTION("average(filter('Appearance Sheet'!F:F,'Appearance Sheet'!G:G=B2332,'Appearance Sheet'!A:A=C2332))"),"#N/A")</f>
        <v>#N/A</v>
      </c>
      <c r="F2332" s="67">
        <v>5.085274418</v>
      </c>
      <c r="G2332" s="40">
        <v>1.477889344</v>
      </c>
      <c r="H2332" s="40" t="str">
        <f t="shared" si="1"/>
        <v>#N/A</v>
      </c>
      <c r="I2332" s="41">
        <v>0.455882353</v>
      </c>
      <c r="J2332" s="41">
        <v>0.191176471</v>
      </c>
      <c r="K2332" s="41">
        <v>0.352941176</v>
      </c>
      <c r="L2332" s="41">
        <f t="shared" si="2"/>
        <v>0.102941177</v>
      </c>
      <c r="M2332" s="74">
        <v>0.019285776</v>
      </c>
    </row>
    <row r="2333">
      <c r="A2333" s="1" t="s">
        <v>368</v>
      </c>
      <c r="B2333" s="38">
        <v>593958.0</v>
      </c>
      <c r="C2333" s="72">
        <v>45866.0</v>
      </c>
      <c r="D2333" s="38">
        <v>94.0</v>
      </c>
      <c r="E2333" s="73" t="str">
        <f>IFERROR(__xludf.DUMMYFUNCTION("average(filter('Appearance Sheet'!F:F,'Appearance Sheet'!G:G=B2333,'Appearance Sheet'!A:A=C2333))"),"#N/A")</f>
        <v>#N/A</v>
      </c>
      <c r="F2333" s="67">
        <v>5.085238372</v>
      </c>
      <c r="G2333" s="40">
        <v>2.023272614</v>
      </c>
      <c r="H2333" s="40" t="str">
        <f t="shared" si="1"/>
        <v>#N/A</v>
      </c>
      <c r="I2333" s="41">
        <v>0.489361702</v>
      </c>
      <c r="J2333" s="41">
        <v>0.14893617</v>
      </c>
      <c r="K2333" s="41">
        <v>0.361702128</v>
      </c>
      <c r="L2333" s="41">
        <f t="shared" si="2"/>
        <v>0.127659574</v>
      </c>
      <c r="M2333" s="74">
        <v>-2.044685191</v>
      </c>
    </row>
    <row r="2334">
      <c r="A2334" s="1" t="s">
        <v>425</v>
      </c>
      <c r="B2334" s="38">
        <v>621244.0</v>
      </c>
      <c r="C2334" s="72">
        <v>45743.0</v>
      </c>
      <c r="D2334" s="38">
        <v>89.0</v>
      </c>
      <c r="E2334" s="73">
        <f>IFERROR(__xludf.DUMMYFUNCTION("average(filter('Appearance Sheet'!F:F,'Appearance Sheet'!G:G=B2334,'Appearance Sheet'!A:A=C2334))"),5.0)</f>
        <v>5</v>
      </c>
      <c r="F2334" s="67">
        <v>5.085207331</v>
      </c>
      <c r="G2334" s="40">
        <v>1.915202064</v>
      </c>
      <c r="H2334" s="40">
        <f t="shared" si="1"/>
        <v>3.447363715</v>
      </c>
      <c r="I2334" s="41">
        <v>0.471910112</v>
      </c>
      <c r="J2334" s="41">
        <v>0.168539326</v>
      </c>
      <c r="K2334" s="41">
        <v>0.359550562</v>
      </c>
      <c r="L2334" s="41">
        <f t="shared" si="2"/>
        <v>0.11235955</v>
      </c>
      <c r="M2334" s="74">
        <v>-2.613936397</v>
      </c>
    </row>
    <row r="2335">
      <c r="A2335" s="1" t="s">
        <v>366</v>
      </c>
      <c r="B2335" s="38">
        <v>656550.0</v>
      </c>
      <c r="C2335" s="72">
        <v>45823.0</v>
      </c>
      <c r="D2335" s="38">
        <v>92.0</v>
      </c>
      <c r="E2335" s="73">
        <f>IFERROR(__xludf.DUMMYFUNCTION("average(filter('Appearance Sheet'!F:F,'Appearance Sheet'!G:G=B2335,'Appearance Sheet'!A:A=C2335))"),6.333333333333333)</f>
        <v>6.333333333</v>
      </c>
      <c r="F2335" s="67">
        <v>5.08486266</v>
      </c>
      <c r="G2335" s="40">
        <v>2.00539276</v>
      </c>
      <c r="H2335" s="40">
        <f t="shared" si="1"/>
        <v>2.849768659</v>
      </c>
      <c r="I2335" s="41">
        <v>0.380434783</v>
      </c>
      <c r="J2335" s="41">
        <v>0.347826087</v>
      </c>
      <c r="K2335" s="41">
        <v>0.27173913</v>
      </c>
      <c r="L2335" s="41">
        <f t="shared" si="2"/>
        <v>0.108695653</v>
      </c>
      <c r="M2335" s="74">
        <v>2.990339585</v>
      </c>
    </row>
    <row r="2336">
      <c r="A2336" s="1" t="s">
        <v>376</v>
      </c>
      <c r="B2336" s="38">
        <v>668909.0</v>
      </c>
      <c r="C2336" s="72">
        <v>45798.0</v>
      </c>
      <c r="D2336" s="38">
        <v>97.0</v>
      </c>
      <c r="E2336" s="73">
        <f>IFERROR(__xludf.DUMMYFUNCTION("average(filter('Appearance Sheet'!F:F,'Appearance Sheet'!G:G=B2336,'Appearance Sheet'!A:A=C2336))"),6.0)</f>
        <v>6</v>
      </c>
      <c r="F2336" s="67">
        <v>5.084842049</v>
      </c>
      <c r="G2336" s="40">
        <v>2.071118766</v>
      </c>
      <c r="H2336" s="40">
        <f t="shared" si="1"/>
        <v>3.106678149</v>
      </c>
      <c r="I2336" s="41">
        <v>0.474226804</v>
      </c>
      <c r="J2336" s="41">
        <v>0.175257732</v>
      </c>
      <c r="K2336" s="41">
        <v>0.350515464</v>
      </c>
      <c r="L2336" s="41">
        <f t="shared" si="2"/>
        <v>0.12371134</v>
      </c>
      <c r="M2336" s="74">
        <v>3.100391312</v>
      </c>
    </row>
    <row r="2337">
      <c r="A2337" s="1" t="s">
        <v>245</v>
      </c>
      <c r="B2337" s="38">
        <v>571578.0</v>
      </c>
      <c r="C2337" s="72">
        <v>45923.0</v>
      </c>
      <c r="D2337" s="38">
        <v>61.0</v>
      </c>
      <c r="E2337" s="73" t="str">
        <f>IFERROR(__xludf.DUMMYFUNCTION("average(filter('Appearance Sheet'!F:F,'Appearance Sheet'!G:G=B2337,'Appearance Sheet'!A:A=C2337))"),"#N/A")</f>
        <v>#N/A</v>
      </c>
      <c r="F2337" s="67">
        <v>5.084727197</v>
      </c>
      <c r="G2337" s="40">
        <v>1.29103242</v>
      </c>
      <c r="H2337" s="40" t="str">
        <f t="shared" si="1"/>
        <v>#N/A</v>
      </c>
      <c r="I2337" s="41">
        <v>0.459016393</v>
      </c>
      <c r="J2337" s="41">
        <v>0.131147541</v>
      </c>
      <c r="K2337" s="41">
        <v>0.409836066</v>
      </c>
      <c r="L2337" s="41">
        <f t="shared" si="2"/>
        <v>0.049180327</v>
      </c>
      <c r="M2337" s="74">
        <v>-1.813124656</v>
      </c>
    </row>
    <row r="2338">
      <c r="A2338" s="1" t="s">
        <v>316</v>
      </c>
      <c r="B2338" s="38">
        <v>656427.0</v>
      </c>
      <c r="C2338" s="72">
        <v>45775.0</v>
      </c>
      <c r="D2338" s="38">
        <v>86.0</v>
      </c>
      <c r="E2338" s="73">
        <f>IFERROR(__xludf.DUMMYFUNCTION("average(filter('Appearance Sheet'!F:F,'Appearance Sheet'!G:G=B2338,'Appearance Sheet'!A:A=C2338))"),5.0)</f>
        <v>5</v>
      </c>
      <c r="F2338" s="67">
        <v>5.084696853</v>
      </c>
      <c r="G2338" s="40">
        <v>1.811094862</v>
      </c>
      <c r="H2338" s="40">
        <f t="shared" si="1"/>
        <v>3.259970752</v>
      </c>
      <c r="I2338" s="41">
        <v>0.5</v>
      </c>
      <c r="J2338" s="41">
        <v>0.139534884</v>
      </c>
      <c r="K2338" s="41">
        <v>0.360465116</v>
      </c>
      <c r="L2338" s="41">
        <f t="shared" si="2"/>
        <v>0.139534884</v>
      </c>
      <c r="M2338" s="74">
        <v>-0.640541516</v>
      </c>
    </row>
    <row r="2339">
      <c r="A2339" s="1" t="s">
        <v>590</v>
      </c>
      <c r="B2339" s="38">
        <v>800049.0</v>
      </c>
      <c r="C2339" s="72">
        <v>45914.0</v>
      </c>
      <c r="D2339" s="38">
        <v>81.0</v>
      </c>
      <c r="E2339" s="73" t="str">
        <f>IFERROR(__xludf.DUMMYFUNCTION("average(filter('Appearance Sheet'!F:F,'Appearance Sheet'!G:G=B2339,'Appearance Sheet'!A:A=C2339))"),"#N/A")</f>
        <v>#N/A</v>
      </c>
      <c r="F2339" s="67">
        <v>5.084652783</v>
      </c>
      <c r="G2339" s="40">
        <v>1.751105045</v>
      </c>
      <c r="H2339" s="40" t="str">
        <f t="shared" si="1"/>
        <v>#N/A</v>
      </c>
      <c r="I2339" s="41">
        <v>0.456790123</v>
      </c>
      <c r="J2339" s="41">
        <v>0.259259259</v>
      </c>
      <c r="K2339" s="41">
        <v>0.283950617</v>
      </c>
      <c r="L2339" s="41">
        <f t="shared" si="2"/>
        <v>0.172839506</v>
      </c>
      <c r="M2339" s="74">
        <v>4.112582287</v>
      </c>
    </row>
    <row r="2340">
      <c r="A2340" s="1" t="s">
        <v>351</v>
      </c>
      <c r="B2340" s="38">
        <v>689017.0</v>
      </c>
      <c r="C2340" s="72">
        <v>45808.0</v>
      </c>
      <c r="D2340" s="38">
        <v>102.0</v>
      </c>
      <c r="E2340" s="73">
        <f>IFERROR(__xludf.DUMMYFUNCTION("average(filter('Appearance Sheet'!F:F,'Appearance Sheet'!G:G=B2340,'Appearance Sheet'!A:A=C2340))"),6.0)</f>
        <v>6</v>
      </c>
      <c r="F2340" s="67">
        <v>5.084612381</v>
      </c>
      <c r="G2340" s="40">
        <v>2.191357926</v>
      </c>
      <c r="H2340" s="40">
        <f t="shared" si="1"/>
        <v>3.287036889</v>
      </c>
      <c r="I2340" s="41">
        <v>0.568627451</v>
      </c>
      <c r="J2340" s="41">
        <v>0.137254902</v>
      </c>
      <c r="K2340" s="41">
        <v>0.294117647</v>
      </c>
      <c r="L2340" s="41">
        <f t="shared" si="2"/>
        <v>0.274509804</v>
      </c>
      <c r="M2340" s="74">
        <v>0.862948029</v>
      </c>
    </row>
    <row r="2341">
      <c r="A2341" s="1" t="s">
        <v>330</v>
      </c>
      <c r="B2341" s="38">
        <v>680730.0</v>
      </c>
      <c r="C2341" s="72">
        <v>45857.0</v>
      </c>
      <c r="D2341" s="38">
        <v>78.0</v>
      </c>
      <c r="E2341" s="73" t="str">
        <f>IFERROR(__xludf.DUMMYFUNCTION("average(filter('Appearance Sheet'!F:F,'Appearance Sheet'!G:G=B2341,'Appearance Sheet'!A:A=C2341))"),"#N/A")</f>
        <v>#N/A</v>
      </c>
      <c r="F2341" s="67">
        <v>5.084530875</v>
      </c>
      <c r="G2341" s="40">
        <v>1.710264733</v>
      </c>
      <c r="H2341" s="40" t="str">
        <f t="shared" si="1"/>
        <v>#N/A</v>
      </c>
      <c r="I2341" s="41">
        <v>0.512820513</v>
      </c>
      <c r="J2341" s="41">
        <v>0.205128205</v>
      </c>
      <c r="K2341" s="41">
        <v>0.282051282</v>
      </c>
      <c r="L2341" s="41">
        <f t="shared" si="2"/>
        <v>0.230769231</v>
      </c>
      <c r="M2341" s="74">
        <v>0.400127264</v>
      </c>
    </row>
    <row r="2342">
      <c r="A2342" s="1" t="s">
        <v>181</v>
      </c>
      <c r="B2342" s="38">
        <v>641154.0</v>
      </c>
      <c r="C2342" s="72">
        <v>45755.0</v>
      </c>
      <c r="D2342" s="38">
        <v>73.0</v>
      </c>
      <c r="E2342" s="73">
        <f>IFERROR(__xludf.DUMMYFUNCTION("average(filter('Appearance Sheet'!F:F,'Appearance Sheet'!G:G=B2342,'Appearance Sheet'!A:A=C2342))"),4.666666666666667)</f>
        <v>4.666666667</v>
      </c>
      <c r="F2342" s="67">
        <v>5.084273769</v>
      </c>
      <c r="G2342" s="40">
        <v>1.562513891</v>
      </c>
      <c r="H2342" s="40">
        <f t="shared" si="1"/>
        <v>3.013419647</v>
      </c>
      <c r="I2342" s="41">
        <v>0.452054795</v>
      </c>
      <c r="J2342" s="41">
        <v>0.260273973</v>
      </c>
      <c r="K2342" s="41">
        <v>0.287671233</v>
      </c>
      <c r="L2342" s="41">
        <f t="shared" si="2"/>
        <v>0.164383562</v>
      </c>
      <c r="M2342" s="74">
        <v>0.84264539</v>
      </c>
    </row>
    <row r="2343">
      <c r="A2343" s="1" t="s">
        <v>97</v>
      </c>
      <c r="B2343" s="38">
        <v>656876.0</v>
      </c>
      <c r="C2343" s="72">
        <v>45800.0</v>
      </c>
      <c r="D2343" s="38">
        <v>75.0</v>
      </c>
      <c r="E2343" s="73">
        <f>IFERROR(__xludf.DUMMYFUNCTION("average(filter('Appearance Sheet'!F:F,'Appearance Sheet'!G:G=B2343,'Appearance Sheet'!A:A=C2343))"),6.0)</f>
        <v>6</v>
      </c>
      <c r="F2343" s="67">
        <v>5.084109404</v>
      </c>
      <c r="G2343" s="40">
        <v>1.629594356</v>
      </c>
      <c r="H2343" s="40">
        <f t="shared" si="1"/>
        <v>2.444391534</v>
      </c>
      <c r="I2343" s="41">
        <v>0.48</v>
      </c>
      <c r="J2343" s="41">
        <v>0.186666667</v>
      </c>
      <c r="K2343" s="41">
        <v>0.333333333</v>
      </c>
      <c r="L2343" s="41">
        <f t="shared" si="2"/>
        <v>0.146666667</v>
      </c>
      <c r="M2343" s="74">
        <v>-0.356354754</v>
      </c>
    </row>
    <row r="2344">
      <c r="A2344" s="1" t="s">
        <v>161</v>
      </c>
      <c r="B2344" s="38">
        <v>702070.0</v>
      </c>
      <c r="C2344" s="72">
        <v>45920.0</v>
      </c>
      <c r="D2344" s="38">
        <v>94.0</v>
      </c>
      <c r="E2344" s="73" t="str">
        <f>IFERROR(__xludf.DUMMYFUNCTION("average(filter('Appearance Sheet'!F:F,'Appearance Sheet'!G:G=B2344,'Appearance Sheet'!A:A=C2344))"),"#N/A")</f>
        <v>#N/A</v>
      </c>
      <c r="F2344" s="67">
        <v>5.084012758</v>
      </c>
      <c r="G2344" s="40">
        <v>2.015886502</v>
      </c>
      <c r="H2344" s="40" t="str">
        <f t="shared" si="1"/>
        <v>#N/A</v>
      </c>
      <c r="I2344" s="41">
        <v>0.446808511</v>
      </c>
      <c r="J2344" s="41">
        <v>0.223404255</v>
      </c>
      <c r="K2344" s="41">
        <v>0.329787234</v>
      </c>
      <c r="L2344" s="41">
        <f t="shared" si="2"/>
        <v>0.117021277</v>
      </c>
      <c r="M2344" s="74">
        <v>3.837886902</v>
      </c>
    </row>
    <row r="2345">
      <c r="A2345" s="1" t="s">
        <v>320</v>
      </c>
      <c r="B2345" s="38">
        <v>681347.0</v>
      </c>
      <c r="C2345" s="72">
        <v>45828.0</v>
      </c>
      <c r="D2345" s="38">
        <v>88.0</v>
      </c>
      <c r="E2345" s="73">
        <f>IFERROR(__xludf.DUMMYFUNCTION("average(filter('Appearance Sheet'!F:F,'Appearance Sheet'!G:G=B2345,'Appearance Sheet'!A:A=C2345))"),4.666666666666667)</f>
        <v>4.666666667</v>
      </c>
      <c r="F2345" s="67">
        <v>5.08380117</v>
      </c>
      <c r="G2345" s="40">
        <v>1.917206923</v>
      </c>
      <c r="H2345" s="40">
        <f t="shared" si="1"/>
        <v>3.697470494</v>
      </c>
      <c r="I2345" s="41">
        <v>0.431818182</v>
      </c>
      <c r="J2345" s="41">
        <v>0.193181818</v>
      </c>
      <c r="K2345" s="41">
        <v>0.375</v>
      </c>
      <c r="L2345" s="41">
        <f t="shared" si="2"/>
        <v>0.056818182</v>
      </c>
      <c r="M2345" s="74">
        <v>-2.400215939</v>
      </c>
    </row>
    <row r="2346">
      <c r="A2346" s="1" t="s">
        <v>263</v>
      </c>
      <c r="B2346" s="38">
        <v>694297.0</v>
      </c>
      <c r="C2346" s="72">
        <v>45785.0</v>
      </c>
      <c r="D2346" s="38">
        <v>96.0</v>
      </c>
      <c r="E2346" s="73">
        <f>IFERROR(__xludf.DUMMYFUNCTION("average(filter('Appearance Sheet'!F:F,'Appearance Sheet'!G:G=B2346,'Appearance Sheet'!A:A=C2346))"),6.333333333333333)</f>
        <v>6.333333333</v>
      </c>
      <c r="F2346" s="67">
        <v>5.083632005</v>
      </c>
      <c r="G2346" s="40">
        <v>2.095506487</v>
      </c>
      <c r="H2346" s="40">
        <f t="shared" si="1"/>
        <v>2.977825008</v>
      </c>
      <c r="I2346" s="41">
        <v>0.46875</v>
      </c>
      <c r="J2346" s="41">
        <v>0.197916667</v>
      </c>
      <c r="K2346" s="41">
        <v>0.333333333</v>
      </c>
      <c r="L2346" s="41">
        <f t="shared" si="2"/>
        <v>0.135416667</v>
      </c>
      <c r="M2346" s="74">
        <v>1.824581807</v>
      </c>
    </row>
    <row r="2347">
      <c r="A2347" s="1" t="s">
        <v>476</v>
      </c>
      <c r="B2347" s="38">
        <v>500779.0</v>
      </c>
      <c r="C2347" s="72">
        <v>45880.0</v>
      </c>
      <c r="D2347" s="38">
        <v>87.0</v>
      </c>
      <c r="E2347" s="73" t="str">
        <f>IFERROR(__xludf.DUMMYFUNCTION("average(filter('Appearance Sheet'!F:F,'Appearance Sheet'!G:G=B2347,'Appearance Sheet'!A:A=C2347))"),"#N/A")</f>
        <v>#N/A</v>
      </c>
      <c r="F2347" s="67">
        <v>5.083590917</v>
      </c>
      <c r="G2347" s="40">
        <v>1.865732852</v>
      </c>
      <c r="H2347" s="40" t="str">
        <f t="shared" si="1"/>
        <v>#N/A</v>
      </c>
      <c r="I2347" s="41">
        <v>0.436781609</v>
      </c>
      <c r="J2347" s="41">
        <v>0.206896552</v>
      </c>
      <c r="K2347" s="41">
        <v>0.356321839</v>
      </c>
      <c r="L2347" s="41">
        <f t="shared" si="2"/>
        <v>0.08045977</v>
      </c>
      <c r="M2347" s="74">
        <v>3.378803461</v>
      </c>
    </row>
    <row r="2348">
      <c r="A2348" s="1" t="s">
        <v>111</v>
      </c>
      <c r="B2348" s="38">
        <v>656641.0</v>
      </c>
      <c r="C2348" s="72">
        <v>45902.0</v>
      </c>
      <c r="D2348" s="38">
        <v>71.0</v>
      </c>
      <c r="E2348" s="73" t="str">
        <f>IFERROR(__xludf.DUMMYFUNCTION("average(filter('Appearance Sheet'!F:F,'Appearance Sheet'!G:G=B2348,'Appearance Sheet'!A:A=C2348))"),"#N/A")</f>
        <v>#N/A</v>
      </c>
      <c r="F2348" s="67">
        <v>5.083581306</v>
      </c>
      <c r="G2348" s="40">
        <v>1.531340751</v>
      </c>
      <c r="H2348" s="40" t="str">
        <f t="shared" si="1"/>
        <v>#N/A</v>
      </c>
      <c r="I2348" s="41">
        <v>0.478873239</v>
      </c>
      <c r="J2348" s="41">
        <v>0.169014085</v>
      </c>
      <c r="K2348" s="41">
        <v>0.352112676</v>
      </c>
      <c r="L2348" s="41">
        <f t="shared" si="2"/>
        <v>0.126760563</v>
      </c>
      <c r="M2348" s="74">
        <v>-1.538038357</v>
      </c>
    </row>
    <row r="2349">
      <c r="A2349" s="1" t="s">
        <v>307</v>
      </c>
      <c r="B2349" s="38">
        <v>656849.0</v>
      </c>
      <c r="C2349" s="72">
        <v>45770.0</v>
      </c>
      <c r="D2349" s="38">
        <v>87.0</v>
      </c>
      <c r="E2349" s="73">
        <f>IFERROR(__xludf.DUMMYFUNCTION("average(filter('Appearance Sheet'!F:F,'Appearance Sheet'!G:G=B2349,'Appearance Sheet'!A:A=C2349))"),5.333333333333333)</f>
        <v>5.333333333</v>
      </c>
      <c r="F2349" s="67">
        <v>5.083342337</v>
      </c>
      <c r="G2349" s="40">
        <v>1.906282742</v>
      </c>
      <c r="H2349" s="40">
        <f t="shared" si="1"/>
        <v>3.216852127</v>
      </c>
      <c r="I2349" s="41">
        <v>0.471264368</v>
      </c>
      <c r="J2349" s="41">
        <v>0.183908046</v>
      </c>
      <c r="K2349" s="41">
        <v>0.344827586</v>
      </c>
      <c r="L2349" s="41">
        <f t="shared" si="2"/>
        <v>0.126436782</v>
      </c>
      <c r="M2349" s="74">
        <v>-1.290186705</v>
      </c>
    </row>
    <row r="2350">
      <c r="A2350" s="1" t="s">
        <v>209</v>
      </c>
      <c r="B2350" s="38">
        <v>694738.0</v>
      </c>
      <c r="C2350" s="72">
        <v>45788.0</v>
      </c>
      <c r="D2350" s="38">
        <v>75.0</v>
      </c>
      <c r="E2350" s="73">
        <f>IFERROR(__xludf.DUMMYFUNCTION("average(filter('Appearance Sheet'!F:F,'Appearance Sheet'!G:G=B2350,'Appearance Sheet'!A:A=C2350))"),5.0)</f>
        <v>5</v>
      </c>
      <c r="F2350" s="67">
        <v>5.083306993</v>
      </c>
      <c r="G2350" s="40">
        <v>1.61127204</v>
      </c>
      <c r="H2350" s="40">
        <f t="shared" si="1"/>
        <v>2.900289672</v>
      </c>
      <c r="I2350" s="41">
        <v>0.453333333</v>
      </c>
      <c r="J2350" s="41">
        <v>0.213333333</v>
      </c>
      <c r="K2350" s="41">
        <v>0.333333333</v>
      </c>
      <c r="L2350" s="41">
        <f t="shared" si="2"/>
        <v>0.12</v>
      </c>
      <c r="M2350" s="74">
        <v>-0.42024757</v>
      </c>
    </row>
    <row r="2351">
      <c r="A2351" s="1" t="s">
        <v>147</v>
      </c>
      <c r="B2351" s="38">
        <v>608379.0</v>
      </c>
      <c r="C2351" s="72">
        <v>45875.0</v>
      </c>
      <c r="D2351" s="38">
        <v>66.0</v>
      </c>
      <c r="E2351" s="73" t="str">
        <f>IFERROR(__xludf.DUMMYFUNCTION("average(filter('Appearance Sheet'!F:F,'Appearance Sheet'!G:G=B2351,'Appearance Sheet'!A:A=C2351))"),"#N/A")</f>
        <v>#N/A</v>
      </c>
      <c r="F2351" s="67">
        <v>5.083128747</v>
      </c>
      <c r="G2351" s="40">
        <v>1.428311771</v>
      </c>
      <c r="H2351" s="40" t="str">
        <f t="shared" si="1"/>
        <v>#N/A</v>
      </c>
      <c r="I2351" s="41">
        <v>0.424242424</v>
      </c>
      <c r="J2351" s="41">
        <v>0.242424242</v>
      </c>
      <c r="K2351" s="41">
        <v>0.333333333</v>
      </c>
      <c r="L2351" s="41">
        <f t="shared" si="2"/>
        <v>0.090909091</v>
      </c>
      <c r="M2351" s="74">
        <v>-1.432354809</v>
      </c>
    </row>
    <row r="2352">
      <c r="A2352" s="1" t="s">
        <v>408</v>
      </c>
      <c r="B2352" s="38">
        <v>657376.0</v>
      </c>
      <c r="C2352" s="72">
        <v>45805.0</v>
      </c>
      <c r="D2352" s="38">
        <v>99.0</v>
      </c>
      <c r="E2352" s="73">
        <f>IFERROR(__xludf.DUMMYFUNCTION("average(filter('Appearance Sheet'!F:F,'Appearance Sheet'!G:G=B2352,'Appearance Sheet'!A:A=C2352))"),6.0)</f>
        <v>6</v>
      </c>
      <c r="F2352" s="67">
        <v>5.082984462</v>
      </c>
      <c r="G2352" s="40">
        <v>2.09921037</v>
      </c>
      <c r="H2352" s="40">
        <f t="shared" si="1"/>
        <v>3.148815555</v>
      </c>
      <c r="I2352" s="41">
        <v>0.424242424</v>
      </c>
      <c r="J2352" s="41">
        <v>0.252525253</v>
      </c>
      <c r="K2352" s="41">
        <v>0.323232323</v>
      </c>
      <c r="L2352" s="41">
        <f t="shared" si="2"/>
        <v>0.101010101</v>
      </c>
      <c r="M2352" s="74">
        <v>2.894424235</v>
      </c>
    </row>
    <row r="2353">
      <c r="A2353" s="1" t="s">
        <v>590</v>
      </c>
      <c r="B2353" s="38">
        <v>800049.0</v>
      </c>
      <c r="C2353" s="72">
        <v>45826.0</v>
      </c>
      <c r="D2353" s="38">
        <v>96.0</v>
      </c>
      <c r="E2353" s="73">
        <f>IFERROR(__xludf.DUMMYFUNCTION("average(filter('Appearance Sheet'!F:F,'Appearance Sheet'!G:G=B2353,'Appearance Sheet'!A:A=C2353))"),5.666666666666667)</f>
        <v>5.666666667</v>
      </c>
      <c r="F2353" s="67">
        <v>5.082941386</v>
      </c>
      <c r="G2353" s="40">
        <v>2.064420367</v>
      </c>
      <c r="H2353" s="40">
        <f t="shared" si="1"/>
        <v>3.278785289</v>
      </c>
      <c r="I2353" s="41">
        <v>0.458333333</v>
      </c>
      <c r="J2353" s="41">
        <v>0.145833333</v>
      </c>
      <c r="K2353" s="41">
        <v>0.395833333</v>
      </c>
      <c r="L2353" s="41">
        <f t="shared" si="2"/>
        <v>0.0625</v>
      </c>
      <c r="M2353" s="74">
        <v>0.272138084</v>
      </c>
    </row>
    <row r="2354">
      <c r="A2354" s="1" t="s">
        <v>472</v>
      </c>
      <c r="B2354" s="38">
        <v>675911.0</v>
      </c>
      <c r="C2354" s="72">
        <v>45915.0</v>
      </c>
      <c r="D2354" s="38">
        <v>92.0</v>
      </c>
      <c r="E2354" s="73" t="str">
        <f>IFERROR(__xludf.DUMMYFUNCTION("average(filter('Appearance Sheet'!F:F,'Appearance Sheet'!G:G=B2354,'Appearance Sheet'!A:A=C2354))"),"#N/A")</f>
        <v>#N/A</v>
      </c>
      <c r="F2354" s="67">
        <v>5.082858591</v>
      </c>
      <c r="G2354" s="40">
        <v>1.992337074</v>
      </c>
      <c r="H2354" s="40" t="str">
        <f t="shared" si="1"/>
        <v>#N/A</v>
      </c>
      <c r="I2354" s="41">
        <v>0.456521739</v>
      </c>
      <c r="J2354" s="41">
        <v>0.217391304</v>
      </c>
      <c r="K2354" s="41">
        <v>0.326086957</v>
      </c>
      <c r="L2354" s="41">
        <f t="shared" si="2"/>
        <v>0.130434782</v>
      </c>
      <c r="M2354" s="74">
        <v>1.411514242</v>
      </c>
    </row>
    <row r="2355">
      <c r="A2355" s="1" t="s">
        <v>412</v>
      </c>
      <c r="B2355" s="38">
        <v>641482.0</v>
      </c>
      <c r="C2355" s="72">
        <v>45898.0</v>
      </c>
      <c r="D2355" s="38">
        <v>63.0</v>
      </c>
      <c r="E2355" s="73" t="str">
        <f>IFERROR(__xludf.DUMMYFUNCTION("average(filter('Appearance Sheet'!F:F,'Appearance Sheet'!G:G=B2355,'Appearance Sheet'!A:A=C2355))"),"#N/A")</f>
        <v>#N/A</v>
      </c>
      <c r="F2355" s="67">
        <v>5.082792501</v>
      </c>
      <c r="G2355" s="40">
        <v>1.369802934</v>
      </c>
      <c r="H2355" s="40" t="str">
        <f t="shared" si="1"/>
        <v>#N/A</v>
      </c>
      <c r="I2355" s="41">
        <v>0.507936508</v>
      </c>
      <c r="J2355" s="41">
        <v>0.158730159</v>
      </c>
      <c r="K2355" s="41">
        <v>0.333333333</v>
      </c>
      <c r="L2355" s="41">
        <f t="shared" si="2"/>
        <v>0.174603175</v>
      </c>
      <c r="M2355" s="74">
        <v>-1.591003595</v>
      </c>
    </row>
    <row r="2356">
      <c r="A2356" s="1" t="s">
        <v>353</v>
      </c>
      <c r="B2356" s="38">
        <v>663903.0</v>
      </c>
      <c r="C2356" s="72">
        <v>45887.0</v>
      </c>
      <c r="D2356" s="38">
        <v>87.0</v>
      </c>
      <c r="E2356" s="73" t="str">
        <f>IFERROR(__xludf.DUMMYFUNCTION("average(filter('Appearance Sheet'!F:F,'Appearance Sheet'!G:G=B2356,'Appearance Sheet'!A:A=C2356))"),"#N/A")</f>
        <v>#N/A</v>
      </c>
      <c r="F2356" s="67">
        <v>5.082659789</v>
      </c>
      <c r="G2356" s="40">
        <v>1.885120438</v>
      </c>
      <c r="H2356" s="40" t="str">
        <f t="shared" si="1"/>
        <v>#N/A</v>
      </c>
      <c r="I2356" s="41">
        <v>0.528735632</v>
      </c>
      <c r="J2356" s="41">
        <v>0.114942529</v>
      </c>
      <c r="K2356" s="41">
        <v>0.356321839</v>
      </c>
      <c r="L2356" s="41">
        <f t="shared" si="2"/>
        <v>0.172413793</v>
      </c>
      <c r="M2356" s="74">
        <v>0.228678648</v>
      </c>
    </row>
    <row r="2357">
      <c r="A2357" s="1" t="s">
        <v>368</v>
      </c>
      <c r="B2357" s="38">
        <v>593958.0</v>
      </c>
      <c r="C2357" s="72">
        <v>45910.0</v>
      </c>
      <c r="D2357" s="38">
        <v>92.0</v>
      </c>
      <c r="E2357" s="73" t="str">
        <f>IFERROR(__xludf.DUMMYFUNCTION("average(filter('Appearance Sheet'!F:F,'Appearance Sheet'!G:G=B2357,'Appearance Sheet'!A:A=C2357))"),"#N/A")</f>
        <v>#N/A</v>
      </c>
      <c r="F2357" s="67">
        <v>5.082556026</v>
      </c>
      <c r="G2357" s="40">
        <v>2.005469745</v>
      </c>
      <c r="H2357" s="40" t="str">
        <f t="shared" si="1"/>
        <v>#N/A</v>
      </c>
      <c r="I2357" s="41">
        <v>0.456521739</v>
      </c>
      <c r="J2357" s="41">
        <v>0.217391304</v>
      </c>
      <c r="K2357" s="41">
        <v>0.326086957</v>
      </c>
      <c r="L2357" s="41">
        <f t="shared" si="2"/>
        <v>0.130434782</v>
      </c>
      <c r="M2357" s="74">
        <v>4.71063136</v>
      </c>
    </row>
    <row r="2358">
      <c r="A2358" s="1" t="s">
        <v>413</v>
      </c>
      <c r="B2358" s="38">
        <v>671737.0</v>
      </c>
      <c r="C2358" s="72">
        <v>45910.0</v>
      </c>
      <c r="D2358" s="38">
        <v>96.0</v>
      </c>
      <c r="E2358" s="73" t="str">
        <f>IFERROR(__xludf.DUMMYFUNCTION("average(filter('Appearance Sheet'!F:F,'Appearance Sheet'!G:G=B2358,'Appearance Sheet'!A:A=C2358))"),"#N/A")</f>
        <v>#N/A</v>
      </c>
      <c r="F2358" s="67">
        <v>5.082514704</v>
      </c>
      <c r="G2358" s="40">
        <v>2.098527423</v>
      </c>
      <c r="H2358" s="40" t="str">
        <f t="shared" si="1"/>
        <v>#N/A</v>
      </c>
      <c r="I2358" s="41">
        <v>0.479166667</v>
      </c>
      <c r="J2358" s="41">
        <v>0.15625</v>
      </c>
      <c r="K2358" s="41">
        <v>0.364583333</v>
      </c>
      <c r="L2358" s="41">
        <f t="shared" si="2"/>
        <v>0.114583334</v>
      </c>
      <c r="M2358" s="74">
        <v>1.004434577</v>
      </c>
    </row>
    <row r="2359">
      <c r="A2359" s="1" t="s">
        <v>331</v>
      </c>
      <c r="B2359" s="38">
        <v>672456.0</v>
      </c>
      <c r="C2359" s="72">
        <v>45815.0</v>
      </c>
      <c r="D2359" s="38">
        <v>68.0</v>
      </c>
      <c r="E2359" s="73">
        <f>IFERROR(__xludf.DUMMYFUNCTION("average(filter('Appearance Sheet'!F:F,'Appearance Sheet'!G:G=B2359,'Appearance Sheet'!A:A=C2359))"),5.666666666666667)</f>
        <v>5.666666667</v>
      </c>
      <c r="F2359" s="67">
        <v>5.082364412</v>
      </c>
      <c r="G2359" s="40">
        <v>1.490743783</v>
      </c>
      <c r="H2359" s="40">
        <f t="shared" si="1"/>
        <v>2.367651891</v>
      </c>
      <c r="I2359" s="41">
        <v>0.470588235</v>
      </c>
      <c r="J2359" s="41">
        <v>0.191176471</v>
      </c>
      <c r="K2359" s="41">
        <v>0.338235294</v>
      </c>
      <c r="L2359" s="41">
        <f t="shared" si="2"/>
        <v>0.132352941</v>
      </c>
      <c r="M2359" s="74">
        <v>-1.354436903</v>
      </c>
    </row>
    <row r="2360">
      <c r="A2360" s="1" t="s">
        <v>269</v>
      </c>
      <c r="B2360" s="38">
        <v>605280.0</v>
      </c>
      <c r="C2360" s="72">
        <v>45857.0</v>
      </c>
      <c r="D2360" s="38">
        <v>90.0</v>
      </c>
      <c r="E2360" s="73" t="str">
        <f>IFERROR(__xludf.DUMMYFUNCTION("average(filter('Appearance Sheet'!F:F,'Appearance Sheet'!G:G=B2360,'Appearance Sheet'!A:A=C2360))"),"#N/A")</f>
        <v>#N/A</v>
      </c>
      <c r="F2360" s="67">
        <v>5.082274449</v>
      </c>
      <c r="G2360" s="40">
        <v>1.930395215</v>
      </c>
      <c r="H2360" s="40" t="str">
        <f t="shared" si="1"/>
        <v>#N/A</v>
      </c>
      <c r="I2360" s="41">
        <v>0.433333333</v>
      </c>
      <c r="J2360" s="41">
        <v>0.222222222</v>
      </c>
      <c r="K2360" s="41">
        <v>0.344444444</v>
      </c>
      <c r="L2360" s="41">
        <f t="shared" si="2"/>
        <v>0.088888889</v>
      </c>
      <c r="M2360" s="74">
        <v>-0.379630083</v>
      </c>
    </row>
    <row r="2361">
      <c r="A2361" s="1" t="s">
        <v>281</v>
      </c>
      <c r="B2361" s="38">
        <v>622663.0</v>
      </c>
      <c r="C2361" s="72">
        <v>45754.0</v>
      </c>
      <c r="D2361" s="38">
        <v>88.0</v>
      </c>
      <c r="E2361" s="73">
        <f>IFERROR(__xludf.DUMMYFUNCTION("average(filter('Appearance Sheet'!F:F,'Appearance Sheet'!G:G=B2361,'Appearance Sheet'!A:A=C2361))"),7.0)</f>
        <v>7</v>
      </c>
      <c r="F2361" s="67">
        <v>5.082080617</v>
      </c>
      <c r="G2361" s="40">
        <v>1.923822194</v>
      </c>
      <c r="H2361" s="40">
        <f t="shared" si="1"/>
        <v>2.473485678</v>
      </c>
      <c r="I2361" s="41">
        <v>0.443181818</v>
      </c>
      <c r="J2361" s="41">
        <v>0.204545455</v>
      </c>
      <c r="K2361" s="41">
        <v>0.352272727</v>
      </c>
      <c r="L2361" s="41">
        <f t="shared" si="2"/>
        <v>0.090909091</v>
      </c>
      <c r="M2361" s="74">
        <v>-2.646130034</v>
      </c>
    </row>
    <row r="2362">
      <c r="A2362" s="1" t="s">
        <v>246</v>
      </c>
      <c r="B2362" s="38">
        <v>571510.0</v>
      </c>
      <c r="C2362" s="72">
        <v>45888.0</v>
      </c>
      <c r="D2362" s="38">
        <v>89.0</v>
      </c>
      <c r="E2362" s="73" t="str">
        <f>IFERROR(__xludf.DUMMYFUNCTION("average(filter('Appearance Sheet'!F:F,'Appearance Sheet'!G:G=B2362,'Appearance Sheet'!A:A=C2362))"),"#N/A")</f>
        <v>#N/A</v>
      </c>
      <c r="F2362" s="67">
        <v>5.082079541</v>
      </c>
      <c r="G2362" s="40">
        <v>1.937419178</v>
      </c>
      <c r="H2362" s="40" t="str">
        <f t="shared" si="1"/>
        <v>#N/A</v>
      </c>
      <c r="I2362" s="41">
        <v>0.426966292</v>
      </c>
      <c r="J2362" s="41">
        <v>0.202247191</v>
      </c>
      <c r="K2362" s="41">
        <v>0.370786517</v>
      </c>
      <c r="L2362" s="41">
        <f t="shared" si="2"/>
        <v>0.056179775</v>
      </c>
      <c r="M2362" s="74">
        <v>0.136727595</v>
      </c>
    </row>
    <row r="2363">
      <c r="A2363" s="1" t="s">
        <v>377</v>
      </c>
      <c r="B2363" s="38">
        <v>695549.0</v>
      </c>
      <c r="C2363" s="72">
        <v>45805.0</v>
      </c>
      <c r="D2363" s="38">
        <v>94.0</v>
      </c>
      <c r="E2363" s="73">
        <f>IFERROR(__xludf.DUMMYFUNCTION("average(filter('Appearance Sheet'!F:F,'Appearance Sheet'!G:G=B2363,'Appearance Sheet'!A:A=C2363))"),4.666666666666667)</f>
        <v>4.666666667</v>
      </c>
      <c r="F2363" s="67">
        <v>5.081949417</v>
      </c>
      <c r="G2363" s="40">
        <v>2.006160814</v>
      </c>
      <c r="H2363" s="40">
        <f t="shared" si="1"/>
        <v>3.869024427</v>
      </c>
      <c r="I2363" s="41">
        <v>0.446808511</v>
      </c>
      <c r="J2363" s="41">
        <v>0.223404255</v>
      </c>
      <c r="K2363" s="41">
        <v>0.329787234</v>
      </c>
      <c r="L2363" s="41">
        <f t="shared" si="2"/>
        <v>0.117021277</v>
      </c>
      <c r="M2363" s="74">
        <v>-2.010724377</v>
      </c>
    </row>
    <row r="2364">
      <c r="A2364" s="1" t="s">
        <v>125</v>
      </c>
      <c r="B2364" s="38">
        <v>663554.0</v>
      </c>
      <c r="C2364" s="72">
        <v>45778.0</v>
      </c>
      <c r="D2364" s="38">
        <v>90.0</v>
      </c>
      <c r="E2364" s="73">
        <f>IFERROR(__xludf.DUMMYFUNCTION("average(filter('Appearance Sheet'!F:F,'Appearance Sheet'!G:G=B2364,'Appearance Sheet'!A:A=C2364))"),7.0)</f>
        <v>7</v>
      </c>
      <c r="F2364" s="67">
        <v>5.081759879</v>
      </c>
      <c r="G2364" s="40">
        <v>1.951465671</v>
      </c>
      <c r="H2364" s="40">
        <f t="shared" si="1"/>
        <v>2.509027291</v>
      </c>
      <c r="I2364" s="41">
        <v>0.444444444</v>
      </c>
      <c r="J2364" s="41">
        <v>0.2</v>
      </c>
      <c r="K2364" s="41">
        <v>0.355555556</v>
      </c>
      <c r="L2364" s="41">
        <f t="shared" si="2"/>
        <v>0.088888888</v>
      </c>
      <c r="M2364" s="74">
        <v>0.259635095</v>
      </c>
    </row>
    <row r="2365">
      <c r="A2365" s="1" t="s">
        <v>313</v>
      </c>
      <c r="B2365" s="38">
        <v>607067.0</v>
      </c>
      <c r="C2365" s="72">
        <v>45823.0</v>
      </c>
      <c r="D2365" s="38">
        <v>78.0</v>
      </c>
      <c r="E2365" s="73">
        <f>IFERROR(__xludf.DUMMYFUNCTION("average(filter('Appearance Sheet'!F:F,'Appearance Sheet'!G:G=B2365,'Appearance Sheet'!A:A=C2365))"),6.0)</f>
        <v>6</v>
      </c>
      <c r="F2365" s="67">
        <v>5.081540398</v>
      </c>
      <c r="G2365" s="40">
        <v>1.719050852</v>
      </c>
      <c r="H2365" s="40">
        <f t="shared" si="1"/>
        <v>2.578576278</v>
      </c>
      <c r="I2365" s="41">
        <v>0.397435897</v>
      </c>
      <c r="J2365" s="41">
        <v>0.282051282</v>
      </c>
      <c r="K2365" s="41">
        <v>0.320512821</v>
      </c>
      <c r="L2365" s="41">
        <f t="shared" si="2"/>
        <v>0.076923076</v>
      </c>
      <c r="M2365" s="74">
        <v>0.873817883</v>
      </c>
    </row>
    <row r="2366">
      <c r="A2366" s="1" t="s">
        <v>405</v>
      </c>
      <c r="B2366" s="38">
        <v>621111.0</v>
      </c>
      <c r="C2366" s="72">
        <v>45762.0</v>
      </c>
      <c r="D2366" s="38">
        <v>88.0</v>
      </c>
      <c r="E2366" s="73">
        <f>IFERROR(__xludf.DUMMYFUNCTION("average(filter('Appearance Sheet'!F:F,'Appearance Sheet'!G:G=B2366,'Appearance Sheet'!A:A=C2366))"),5.0)</f>
        <v>5</v>
      </c>
      <c r="F2366" s="67">
        <v>5.081517935</v>
      </c>
      <c r="G2366" s="40">
        <v>1.862387242</v>
      </c>
      <c r="H2366" s="40">
        <f t="shared" si="1"/>
        <v>3.352297036</v>
      </c>
      <c r="I2366" s="41">
        <v>0.465909091</v>
      </c>
      <c r="J2366" s="41">
        <v>0.215909091</v>
      </c>
      <c r="K2366" s="41">
        <v>0.318181818</v>
      </c>
      <c r="L2366" s="41">
        <f t="shared" si="2"/>
        <v>0.147727273</v>
      </c>
      <c r="M2366" s="74">
        <v>1.224484928</v>
      </c>
    </row>
    <row r="2367">
      <c r="A2367" s="1" t="s">
        <v>420</v>
      </c>
      <c r="B2367" s="38">
        <v>547179.0</v>
      </c>
      <c r="C2367" s="72">
        <v>45925.0</v>
      </c>
      <c r="D2367" s="38">
        <v>82.0</v>
      </c>
      <c r="E2367" s="73" t="str">
        <f>IFERROR(__xludf.DUMMYFUNCTION("average(filter('Appearance Sheet'!F:F,'Appearance Sheet'!G:G=B2367,'Appearance Sheet'!A:A=C2367))"),"#N/A")</f>
        <v>#N/A</v>
      </c>
      <c r="F2367" s="67">
        <v>5.081477567</v>
      </c>
      <c r="G2367" s="40">
        <v>1.766716415</v>
      </c>
      <c r="H2367" s="40" t="str">
        <f t="shared" si="1"/>
        <v>#N/A</v>
      </c>
      <c r="I2367" s="41">
        <v>0.463414634</v>
      </c>
      <c r="J2367" s="41">
        <v>0.182926829</v>
      </c>
      <c r="K2367" s="41">
        <v>0.353658537</v>
      </c>
      <c r="L2367" s="41">
        <f t="shared" si="2"/>
        <v>0.109756097</v>
      </c>
      <c r="M2367" s="74">
        <v>-0.409655782</v>
      </c>
    </row>
    <row r="2368">
      <c r="A2368" s="1" t="s">
        <v>330</v>
      </c>
      <c r="B2368" s="38">
        <v>680730.0</v>
      </c>
      <c r="C2368" s="72">
        <v>45758.0</v>
      </c>
      <c r="D2368" s="38">
        <v>92.0</v>
      </c>
      <c r="E2368" s="73">
        <f>IFERROR(__xludf.DUMMYFUNCTION("average(filter('Appearance Sheet'!F:F,'Appearance Sheet'!G:G=B2368,'Appearance Sheet'!A:A=C2368))"),6.0)</f>
        <v>6</v>
      </c>
      <c r="F2368" s="67">
        <v>5.081472103</v>
      </c>
      <c r="G2368" s="40">
        <v>1.990018455</v>
      </c>
      <c r="H2368" s="40">
        <f t="shared" si="1"/>
        <v>2.985027683</v>
      </c>
      <c r="I2368" s="41">
        <v>0.489130435</v>
      </c>
      <c r="J2368" s="41">
        <v>0.152173913</v>
      </c>
      <c r="K2368" s="41">
        <v>0.358695652</v>
      </c>
      <c r="L2368" s="41">
        <f t="shared" si="2"/>
        <v>0.130434783</v>
      </c>
      <c r="M2368" s="74">
        <v>0.533915651</v>
      </c>
    </row>
    <row r="2369">
      <c r="A2369" s="1" t="s">
        <v>220</v>
      </c>
      <c r="B2369" s="38">
        <v>663559.0</v>
      </c>
      <c r="C2369" s="72">
        <v>45786.0</v>
      </c>
      <c r="D2369" s="38">
        <v>86.0</v>
      </c>
      <c r="E2369" s="73">
        <f>IFERROR(__xludf.DUMMYFUNCTION("average(filter('Appearance Sheet'!F:F,'Appearance Sheet'!G:G=B2369,'Appearance Sheet'!A:A=C2369))"),6.0)</f>
        <v>6</v>
      </c>
      <c r="F2369" s="67">
        <v>5.081299867</v>
      </c>
      <c r="G2369" s="40">
        <v>1.835279775</v>
      </c>
      <c r="H2369" s="40">
        <f t="shared" si="1"/>
        <v>2.752919663</v>
      </c>
      <c r="I2369" s="41">
        <v>0.430232558</v>
      </c>
      <c r="J2369" s="41">
        <v>0.26744186</v>
      </c>
      <c r="K2369" s="41">
        <v>0.302325581</v>
      </c>
      <c r="L2369" s="41">
        <f t="shared" si="2"/>
        <v>0.127906977</v>
      </c>
      <c r="M2369" s="74">
        <v>2.478452042</v>
      </c>
    </row>
    <row r="2370">
      <c r="A2370" s="1" t="s">
        <v>164</v>
      </c>
      <c r="B2370" s="38">
        <v>669923.0</v>
      </c>
      <c r="C2370" s="72">
        <v>45892.0</v>
      </c>
      <c r="D2370" s="38">
        <v>96.0</v>
      </c>
      <c r="E2370" s="73" t="str">
        <f>IFERROR(__xludf.DUMMYFUNCTION("average(filter('Appearance Sheet'!F:F,'Appearance Sheet'!G:G=B2370,'Appearance Sheet'!A:A=C2370))"),"#N/A")</f>
        <v>#N/A</v>
      </c>
      <c r="F2370" s="67">
        <v>5.081145865</v>
      </c>
      <c r="G2370" s="40">
        <v>2.059984264</v>
      </c>
      <c r="H2370" s="40" t="str">
        <f t="shared" si="1"/>
        <v>#N/A</v>
      </c>
      <c r="I2370" s="41">
        <v>0.5</v>
      </c>
      <c r="J2370" s="41">
        <v>0.135416667</v>
      </c>
      <c r="K2370" s="41">
        <v>0.364583333</v>
      </c>
      <c r="L2370" s="41">
        <f t="shared" si="2"/>
        <v>0.135416667</v>
      </c>
      <c r="M2370" s="74">
        <v>1.176427447</v>
      </c>
    </row>
    <row r="2371">
      <c r="A2371" s="1" t="s">
        <v>376</v>
      </c>
      <c r="B2371" s="38">
        <v>668909.0</v>
      </c>
      <c r="C2371" s="72">
        <v>45821.0</v>
      </c>
      <c r="D2371" s="38">
        <v>88.0</v>
      </c>
      <c r="E2371" s="73">
        <f>IFERROR(__xludf.DUMMYFUNCTION("average(filter('Appearance Sheet'!F:F,'Appearance Sheet'!G:G=B2371,'Appearance Sheet'!A:A=C2371))"),4.0)</f>
        <v>4</v>
      </c>
      <c r="F2371" s="67">
        <v>5.081087426</v>
      </c>
      <c r="G2371" s="40">
        <v>1.880227088</v>
      </c>
      <c r="H2371" s="40">
        <f t="shared" si="1"/>
        <v>4.230510948</v>
      </c>
      <c r="I2371" s="41">
        <v>0.488636364</v>
      </c>
      <c r="J2371" s="41">
        <v>0.215909091</v>
      </c>
      <c r="K2371" s="41">
        <v>0.295454545</v>
      </c>
      <c r="L2371" s="41">
        <f t="shared" si="2"/>
        <v>0.193181819</v>
      </c>
      <c r="M2371" s="74">
        <v>-1.455394271</v>
      </c>
    </row>
    <row r="2372">
      <c r="A2372" s="1" t="s">
        <v>269</v>
      </c>
      <c r="B2372" s="38">
        <v>605280.0</v>
      </c>
      <c r="C2372" s="72">
        <v>45773.0</v>
      </c>
      <c r="D2372" s="38">
        <v>69.0</v>
      </c>
      <c r="E2372" s="73">
        <f>IFERROR(__xludf.DUMMYFUNCTION("average(filter('Appearance Sheet'!F:F,'Appearance Sheet'!G:G=B2372,'Appearance Sheet'!A:A=C2372))"),5.0)</f>
        <v>5</v>
      </c>
      <c r="F2372" s="67">
        <v>5.081049585</v>
      </c>
      <c r="G2372" s="40">
        <v>1.495790043</v>
      </c>
      <c r="H2372" s="40">
        <f t="shared" si="1"/>
        <v>2.692422077</v>
      </c>
      <c r="I2372" s="41">
        <v>0.492753623</v>
      </c>
      <c r="J2372" s="41">
        <v>0.130434783</v>
      </c>
      <c r="K2372" s="41">
        <v>0.376811594</v>
      </c>
      <c r="L2372" s="41">
        <f t="shared" si="2"/>
        <v>0.115942029</v>
      </c>
      <c r="M2372" s="74">
        <v>0.107232367</v>
      </c>
    </row>
    <row r="2373">
      <c r="A2373" s="1" t="s">
        <v>347</v>
      </c>
      <c r="B2373" s="38">
        <v>700249.0</v>
      </c>
      <c r="C2373" s="72">
        <v>45747.0</v>
      </c>
      <c r="D2373" s="38">
        <v>92.0</v>
      </c>
      <c r="E2373" s="73">
        <f>IFERROR(__xludf.DUMMYFUNCTION("average(filter('Appearance Sheet'!F:F,'Appearance Sheet'!G:G=B2373,'Appearance Sheet'!A:A=C2373))"),4.333333333333333)</f>
        <v>4.333333333</v>
      </c>
      <c r="F2373" s="67">
        <v>5.080859619</v>
      </c>
      <c r="G2373" s="40">
        <v>1.964096668</v>
      </c>
      <c r="H2373" s="40">
        <f t="shared" si="1"/>
        <v>4.079277695</v>
      </c>
      <c r="I2373" s="41">
        <v>0.489130435</v>
      </c>
      <c r="J2373" s="41">
        <v>0.173913043</v>
      </c>
      <c r="K2373" s="41">
        <v>0.336956522</v>
      </c>
      <c r="L2373" s="41">
        <f t="shared" si="2"/>
        <v>0.152173913</v>
      </c>
      <c r="M2373" s="74">
        <v>-0.153708258</v>
      </c>
    </row>
    <row r="2374">
      <c r="A2374" s="1" t="s">
        <v>177</v>
      </c>
      <c r="B2374" s="38">
        <v>641793.0</v>
      </c>
      <c r="C2374" s="72">
        <v>45763.0</v>
      </c>
      <c r="D2374" s="38">
        <v>81.0</v>
      </c>
      <c r="E2374" s="73">
        <f>IFERROR(__xludf.DUMMYFUNCTION("average(filter('Appearance Sheet'!F:F,'Appearance Sheet'!G:G=B2374,'Appearance Sheet'!A:A=C2374))"),6.0)</f>
        <v>6</v>
      </c>
      <c r="F2374" s="67">
        <v>5.080651825</v>
      </c>
      <c r="G2374" s="40">
        <v>1.762553922</v>
      </c>
      <c r="H2374" s="40">
        <f t="shared" si="1"/>
        <v>2.643830883</v>
      </c>
      <c r="I2374" s="41">
        <v>0.456790123</v>
      </c>
      <c r="J2374" s="41">
        <v>0.197530864</v>
      </c>
      <c r="K2374" s="41">
        <v>0.345679012</v>
      </c>
      <c r="L2374" s="41">
        <f t="shared" si="2"/>
        <v>0.111111111</v>
      </c>
      <c r="M2374" s="74">
        <v>1.260201851</v>
      </c>
    </row>
    <row r="2375">
      <c r="A2375" s="1" t="s">
        <v>300</v>
      </c>
      <c r="B2375" s="38">
        <v>506433.0</v>
      </c>
      <c r="C2375" s="72">
        <v>45920.0</v>
      </c>
      <c r="D2375" s="38">
        <v>76.0</v>
      </c>
      <c r="E2375" s="73" t="str">
        <f>IFERROR(__xludf.DUMMYFUNCTION("average(filter('Appearance Sheet'!F:F,'Appearance Sheet'!G:G=B2375,'Appearance Sheet'!A:A=C2375))"),"#N/A")</f>
        <v>#N/A</v>
      </c>
      <c r="F2375" s="67">
        <v>5.080528712</v>
      </c>
      <c r="G2375" s="40">
        <v>1.617697476</v>
      </c>
      <c r="H2375" s="40" t="str">
        <f t="shared" si="1"/>
        <v>#N/A</v>
      </c>
      <c r="I2375" s="41">
        <v>0.460526316</v>
      </c>
      <c r="J2375" s="41">
        <v>0.144736842</v>
      </c>
      <c r="K2375" s="41">
        <v>0.394736842</v>
      </c>
      <c r="L2375" s="41">
        <f t="shared" si="2"/>
        <v>0.065789474</v>
      </c>
      <c r="M2375" s="74">
        <v>-1.128786405</v>
      </c>
    </row>
    <row r="2376">
      <c r="A2376" s="1" t="s">
        <v>300</v>
      </c>
      <c r="B2376" s="38">
        <v>506433.0</v>
      </c>
      <c r="C2376" s="72">
        <v>45902.0</v>
      </c>
      <c r="D2376" s="38">
        <v>86.0</v>
      </c>
      <c r="E2376" s="73" t="str">
        <f>IFERROR(__xludf.DUMMYFUNCTION("average(filter('Appearance Sheet'!F:F,'Appearance Sheet'!G:G=B2376,'Appearance Sheet'!A:A=C2376))"),"#N/A")</f>
        <v>#N/A</v>
      </c>
      <c r="F2376" s="67">
        <v>5.080457915</v>
      </c>
      <c r="G2376" s="40">
        <v>1.839828712</v>
      </c>
      <c r="H2376" s="40" t="str">
        <f t="shared" si="1"/>
        <v>#N/A</v>
      </c>
      <c r="I2376" s="41">
        <v>0.488372093</v>
      </c>
      <c r="J2376" s="41">
        <v>0.162790698</v>
      </c>
      <c r="K2376" s="41">
        <v>0.348837209</v>
      </c>
      <c r="L2376" s="41">
        <f t="shared" si="2"/>
        <v>0.139534884</v>
      </c>
      <c r="M2376" s="74">
        <v>-0.704008116</v>
      </c>
    </row>
    <row r="2377">
      <c r="A2377" s="1" t="s">
        <v>330</v>
      </c>
      <c r="B2377" s="38">
        <v>680730.0</v>
      </c>
      <c r="C2377" s="72">
        <v>45786.0</v>
      </c>
      <c r="D2377" s="38">
        <v>89.0</v>
      </c>
      <c r="E2377" s="73">
        <f>IFERROR(__xludf.DUMMYFUNCTION("average(filter('Appearance Sheet'!F:F,'Appearance Sheet'!G:G=B2377,'Appearance Sheet'!A:A=C2377))"),4.0)</f>
        <v>4</v>
      </c>
      <c r="F2377" s="67">
        <v>5.08038215</v>
      </c>
      <c r="G2377" s="40">
        <v>1.874847822</v>
      </c>
      <c r="H2377" s="40">
        <f t="shared" si="1"/>
        <v>4.2184076</v>
      </c>
      <c r="I2377" s="41">
        <v>0.393258427</v>
      </c>
      <c r="J2377" s="41">
        <v>0.258426966</v>
      </c>
      <c r="K2377" s="41">
        <v>0.348314607</v>
      </c>
      <c r="L2377" s="41">
        <f t="shared" si="2"/>
        <v>0.04494382</v>
      </c>
      <c r="M2377" s="74">
        <v>-0.920368956</v>
      </c>
    </row>
    <row r="2378">
      <c r="A2378" s="1" t="s">
        <v>428</v>
      </c>
      <c r="B2378" s="38">
        <v>670102.0</v>
      </c>
      <c r="C2378" s="72">
        <v>45776.0</v>
      </c>
      <c r="D2378" s="38">
        <v>71.0</v>
      </c>
      <c r="E2378" s="73">
        <f>IFERROR(__xludf.DUMMYFUNCTION("average(filter('Appearance Sheet'!F:F,'Appearance Sheet'!G:G=B2378,'Appearance Sheet'!A:A=C2378))"),3.0)</f>
        <v>3</v>
      </c>
      <c r="F2378" s="67">
        <v>5.080177828</v>
      </c>
      <c r="G2378" s="40">
        <v>1.535627017</v>
      </c>
      <c r="H2378" s="40">
        <f t="shared" si="1"/>
        <v>4.606881051</v>
      </c>
      <c r="I2378" s="41">
        <v>0.408450704</v>
      </c>
      <c r="J2378" s="41">
        <v>0.197183099</v>
      </c>
      <c r="K2378" s="41">
        <v>0.394366197</v>
      </c>
      <c r="L2378" s="41">
        <f t="shared" si="2"/>
        <v>0.014084507</v>
      </c>
      <c r="M2378" s="74">
        <v>-3.007393814</v>
      </c>
    </row>
    <row r="2379">
      <c r="A2379" s="1" t="s">
        <v>461</v>
      </c>
      <c r="B2379" s="38">
        <v>673540.0</v>
      </c>
      <c r="C2379" s="72">
        <v>45760.0</v>
      </c>
      <c r="D2379" s="38">
        <v>74.0</v>
      </c>
      <c r="E2379" s="73">
        <f>IFERROR(__xludf.DUMMYFUNCTION("average(filter('Appearance Sheet'!F:F,'Appearance Sheet'!G:G=B2379,'Appearance Sheet'!A:A=C2379))"),7.0)</f>
        <v>7</v>
      </c>
      <c r="F2379" s="67">
        <v>5.080140695</v>
      </c>
      <c r="G2379" s="40">
        <v>1.64526613</v>
      </c>
      <c r="H2379" s="40">
        <f t="shared" si="1"/>
        <v>2.115342167</v>
      </c>
      <c r="I2379" s="41">
        <v>0.472972973</v>
      </c>
      <c r="J2379" s="41">
        <v>0.175675676</v>
      </c>
      <c r="K2379" s="41">
        <v>0.351351351</v>
      </c>
      <c r="L2379" s="41">
        <f t="shared" si="2"/>
        <v>0.121621622</v>
      </c>
      <c r="M2379" s="74">
        <v>-0.344058608</v>
      </c>
    </row>
    <row r="2380">
      <c r="A2380" s="1" t="s">
        <v>272</v>
      </c>
      <c r="B2380" s="38">
        <v>622491.0</v>
      </c>
      <c r="C2380" s="72">
        <v>45744.0</v>
      </c>
      <c r="D2380" s="38">
        <v>83.0</v>
      </c>
      <c r="E2380" s="73">
        <f>IFERROR(__xludf.DUMMYFUNCTION("average(filter('Appearance Sheet'!F:F,'Appearance Sheet'!G:G=B2380,'Appearance Sheet'!A:A=C2380))"),5.0)</f>
        <v>5</v>
      </c>
      <c r="F2380" s="67">
        <v>5.08007423</v>
      </c>
      <c r="G2380" s="40">
        <v>1.751305438</v>
      </c>
      <c r="H2380" s="40">
        <f t="shared" si="1"/>
        <v>3.152349788</v>
      </c>
      <c r="I2380" s="41">
        <v>0.518072289</v>
      </c>
      <c r="J2380" s="41">
        <v>0.13253012</v>
      </c>
      <c r="K2380" s="41">
        <v>0.34939759</v>
      </c>
      <c r="L2380" s="41">
        <f t="shared" si="2"/>
        <v>0.168674699</v>
      </c>
      <c r="M2380" s="74">
        <v>1.231732413</v>
      </c>
    </row>
    <row r="2381">
      <c r="A2381" s="1" t="s">
        <v>253</v>
      </c>
      <c r="B2381" s="38">
        <v>701581.0</v>
      </c>
      <c r="C2381" s="72">
        <v>45819.0</v>
      </c>
      <c r="D2381" s="38">
        <v>86.0</v>
      </c>
      <c r="E2381" s="73">
        <f>IFERROR(__xludf.DUMMYFUNCTION("average(filter('Appearance Sheet'!F:F,'Appearance Sheet'!G:G=B2381,'Appearance Sheet'!A:A=C2381))"),6.0)</f>
        <v>6</v>
      </c>
      <c r="F2381" s="67">
        <v>5.080047258</v>
      </c>
      <c r="G2381" s="40">
        <v>1.857781827</v>
      </c>
      <c r="H2381" s="40">
        <f t="shared" si="1"/>
        <v>2.786672741</v>
      </c>
      <c r="I2381" s="41">
        <v>0.441860465</v>
      </c>
      <c r="J2381" s="41">
        <v>0.220930233</v>
      </c>
      <c r="K2381" s="41">
        <v>0.337209302</v>
      </c>
      <c r="L2381" s="41">
        <f t="shared" si="2"/>
        <v>0.104651163</v>
      </c>
      <c r="M2381" s="74">
        <v>1.319942995</v>
      </c>
    </row>
    <row r="2382">
      <c r="A2382" s="1" t="s">
        <v>155</v>
      </c>
      <c r="B2382" s="38">
        <v>592332.0</v>
      </c>
      <c r="C2382" s="72">
        <v>45850.0</v>
      </c>
      <c r="D2382" s="38">
        <v>92.0</v>
      </c>
      <c r="E2382" s="73" t="str">
        <f>IFERROR(__xludf.DUMMYFUNCTION("average(filter('Appearance Sheet'!F:F,'Appearance Sheet'!G:G=B2382,'Appearance Sheet'!A:A=C2382))"),"#N/A")</f>
        <v>#N/A</v>
      </c>
      <c r="F2382" s="67">
        <v>5.080032207</v>
      </c>
      <c r="G2382" s="40">
        <v>1.955887735</v>
      </c>
      <c r="H2382" s="40" t="str">
        <f t="shared" si="1"/>
        <v>#N/A</v>
      </c>
      <c r="I2382" s="41">
        <v>0.445652174</v>
      </c>
      <c r="J2382" s="41">
        <v>0.239130435</v>
      </c>
      <c r="K2382" s="41">
        <v>0.315217391</v>
      </c>
      <c r="L2382" s="41">
        <f t="shared" si="2"/>
        <v>0.130434783</v>
      </c>
      <c r="M2382" s="74">
        <v>-0.358538895</v>
      </c>
    </row>
    <row r="2383">
      <c r="A2383" s="1" t="s">
        <v>421</v>
      </c>
      <c r="B2383" s="38">
        <v>607192.0</v>
      </c>
      <c r="C2383" s="72">
        <v>45873.0</v>
      </c>
      <c r="D2383" s="38">
        <v>99.0</v>
      </c>
      <c r="E2383" s="73" t="str">
        <f>IFERROR(__xludf.DUMMYFUNCTION("average(filter('Appearance Sheet'!F:F,'Appearance Sheet'!G:G=B2383,'Appearance Sheet'!A:A=C2383))"),"#N/A")</f>
        <v>#N/A</v>
      </c>
      <c r="F2383" s="67">
        <v>5.07999116</v>
      </c>
      <c r="G2383" s="40">
        <v>2.144718069</v>
      </c>
      <c r="H2383" s="40" t="str">
        <f t="shared" si="1"/>
        <v>#N/A</v>
      </c>
      <c r="I2383" s="41">
        <v>0.555555556</v>
      </c>
      <c r="J2383" s="41">
        <v>0.111111111</v>
      </c>
      <c r="K2383" s="41">
        <v>0.333333333</v>
      </c>
      <c r="L2383" s="41">
        <f t="shared" si="2"/>
        <v>0.222222223</v>
      </c>
      <c r="M2383" s="74">
        <v>2.131123031</v>
      </c>
    </row>
    <row r="2384">
      <c r="A2384" s="1" t="s">
        <v>189</v>
      </c>
      <c r="B2384" s="38">
        <v>607536.0</v>
      </c>
      <c r="C2384" s="72">
        <v>45910.0</v>
      </c>
      <c r="D2384" s="38">
        <v>82.0</v>
      </c>
      <c r="E2384" s="73" t="str">
        <f>IFERROR(__xludf.DUMMYFUNCTION("average(filter('Appearance Sheet'!F:F,'Appearance Sheet'!G:G=B2384,'Appearance Sheet'!A:A=C2384))"),"#N/A")</f>
        <v>#N/A</v>
      </c>
      <c r="F2384" s="67">
        <v>5.079970718</v>
      </c>
      <c r="G2384" s="40">
        <v>1.818576594</v>
      </c>
      <c r="H2384" s="40" t="str">
        <f t="shared" si="1"/>
        <v>#N/A</v>
      </c>
      <c r="I2384" s="41">
        <v>0.5</v>
      </c>
      <c r="J2384" s="41">
        <v>0.182926829</v>
      </c>
      <c r="K2384" s="41">
        <v>0.317073171</v>
      </c>
      <c r="L2384" s="41">
        <f t="shared" si="2"/>
        <v>0.182926829</v>
      </c>
      <c r="M2384" s="74">
        <v>-2.881383623</v>
      </c>
    </row>
    <row r="2385">
      <c r="A2385" s="1" t="s">
        <v>425</v>
      </c>
      <c r="B2385" s="38">
        <v>621244.0</v>
      </c>
      <c r="C2385" s="72">
        <v>45817.0</v>
      </c>
      <c r="D2385" s="38">
        <v>83.0</v>
      </c>
      <c r="E2385" s="73">
        <f>IFERROR(__xludf.DUMMYFUNCTION("average(filter('Appearance Sheet'!F:F,'Appearance Sheet'!G:G=B2385,'Appearance Sheet'!A:A=C2385))"),6.666666666666667)</f>
        <v>6.666666667</v>
      </c>
      <c r="F2385" s="67">
        <v>5.079565208</v>
      </c>
      <c r="G2385" s="40">
        <v>1.791438158</v>
      </c>
      <c r="H2385" s="40">
        <f t="shared" si="1"/>
        <v>2.418441513</v>
      </c>
      <c r="I2385" s="41">
        <v>0.469879518</v>
      </c>
      <c r="J2385" s="41">
        <v>0.204819277</v>
      </c>
      <c r="K2385" s="41">
        <v>0.325301205</v>
      </c>
      <c r="L2385" s="41">
        <f t="shared" si="2"/>
        <v>0.144578313</v>
      </c>
      <c r="M2385" s="74">
        <v>0.608985974</v>
      </c>
    </row>
    <row r="2386">
      <c r="A2386" s="1" t="s">
        <v>464</v>
      </c>
      <c r="B2386" s="38">
        <v>615698.0</v>
      </c>
      <c r="C2386" s="72">
        <v>45777.0</v>
      </c>
      <c r="D2386" s="38">
        <v>72.0</v>
      </c>
      <c r="E2386" s="73">
        <f>IFERROR(__xludf.DUMMYFUNCTION("average(filter('Appearance Sheet'!F:F,'Appearance Sheet'!G:G=B2386,'Appearance Sheet'!A:A=C2386))"),3.6666666666666665)</f>
        <v>3.666666667</v>
      </c>
      <c r="F2386" s="67">
        <v>5.079527799</v>
      </c>
      <c r="G2386" s="40">
        <v>1.570039945</v>
      </c>
      <c r="H2386" s="40">
        <f t="shared" si="1"/>
        <v>3.85373441</v>
      </c>
      <c r="I2386" s="41">
        <v>0.416666667</v>
      </c>
      <c r="J2386" s="41">
        <v>0.236111111</v>
      </c>
      <c r="K2386" s="41">
        <v>0.347222222</v>
      </c>
      <c r="L2386" s="41">
        <f t="shared" si="2"/>
        <v>0.069444445</v>
      </c>
      <c r="M2386" s="74">
        <v>-1.539044783</v>
      </c>
    </row>
    <row r="2387">
      <c r="A2387" s="1" t="s">
        <v>591</v>
      </c>
      <c r="B2387" s="38">
        <v>670810.0</v>
      </c>
      <c r="C2387" s="72">
        <v>45753.0</v>
      </c>
      <c r="D2387" s="38">
        <v>60.0</v>
      </c>
      <c r="E2387" s="73">
        <f>IFERROR(__xludf.DUMMYFUNCTION("average(filter('Appearance Sheet'!F:F,'Appearance Sheet'!G:G=B2387,'Appearance Sheet'!A:A=C2387))"),4.0)</f>
        <v>4</v>
      </c>
      <c r="F2387" s="67">
        <v>5.079421657</v>
      </c>
      <c r="G2387" s="40">
        <v>1.322479814</v>
      </c>
      <c r="H2387" s="40">
        <f t="shared" si="1"/>
        <v>2.975579582</v>
      </c>
      <c r="I2387" s="41">
        <v>0.416666667</v>
      </c>
      <c r="J2387" s="41">
        <v>0.216666667</v>
      </c>
      <c r="K2387" s="41">
        <v>0.366666667</v>
      </c>
      <c r="L2387" s="41">
        <f t="shared" si="2"/>
        <v>0.05</v>
      </c>
      <c r="M2387" s="74">
        <v>1.910797265</v>
      </c>
    </row>
    <row r="2388">
      <c r="A2388" s="1" t="s">
        <v>281</v>
      </c>
      <c r="B2388" s="38">
        <v>622663.0</v>
      </c>
      <c r="C2388" s="72">
        <v>45810.0</v>
      </c>
      <c r="D2388" s="38">
        <v>91.0</v>
      </c>
      <c r="E2388" s="73">
        <f>IFERROR(__xludf.DUMMYFUNCTION("average(filter('Appearance Sheet'!F:F,'Appearance Sheet'!G:G=B2388,'Appearance Sheet'!A:A=C2388))"),5.666666666666667)</f>
        <v>5.666666667</v>
      </c>
      <c r="F2388" s="67">
        <v>5.079151884</v>
      </c>
      <c r="G2388" s="40">
        <v>1.990571847</v>
      </c>
      <c r="H2388" s="40">
        <f t="shared" si="1"/>
        <v>3.161496463</v>
      </c>
      <c r="I2388" s="41">
        <v>0.494505495</v>
      </c>
      <c r="J2388" s="41">
        <v>0.164835165</v>
      </c>
      <c r="K2388" s="41">
        <v>0.340659341</v>
      </c>
      <c r="L2388" s="41">
        <f t="shared" si="2"/>
        <v>0.153846154</v>
      </c>
      <c r="M2388" s="74">
        <v>-2.740466965</v>
      </c>
    </row>
    <row r="2389">
      <c r="A2389" s="1" t="s">
        <v>171</v>
      </c>
      <c r="B2389" s="38">
        <v>665795.0</v>
      </c>
      <c r="C2389" s="72">
        <v>45928.0</v>
      </c>
      <c r="D2389" s="38">
        <v>83.0</v>
      </c>
      <c r="E2389" s="73" t="str">
        <f>IFERROR(__xludf.DUMMYFUNCTION("average(filter('Appearance Sheet'!F:F,'Appearance Sheet'!G:G=B2389,'Appearance Sheet'!A:A=C2389))"),"#N/A")</f>
        <v>#N/A</v>
      </c>
      <c r="F2389" s="67">
        <v>5.079097116</v>
      </c>
      <c r="G2389" s="40">
        <v>1.752769941</v>
      </c>
      <c r="H2389" s="40" t="str">
        <f t="shared" si="1"/>
        <v>#N/A</v>
      </c>
      <c r="I2389" s="41">
        <v>0.43373494</v>
      </c>
      <c r="J2389" s="41">
        <v>0.228915663</v>
      </c>
      <c r="K2389" s="41">
        <v>0.337349398</v>
      </c>
      <c r="L2389" s="41">
        <f t="shared" si="2"/>
        <v>0.096385542</v>
      </c>
      <c r="M2389" s="74">
        <v>2.015304656</v>
      </c>
    </row>
    <row r="2390">
      <c r="A2390" s="1" t="s">
        <v>513</v>
      </c>
      <c r="B2390" s="38">
        <v>608566.0</v>
      </c>
      <c r="C2390" s="72">
        <v>45788.0</v>
      </c>
      <c r="D2390" s="38">
        <v>78.0</v>
      </c>
      <c r="E2390" s="73">
        <f>IFERROR(__xludf.DUMMYFUNCTION("average(filter('Appearance Sheet'!F:F,'Appearance Sheet'!G:G=B2390,'Appearance Sheet'!A:A=C2390))"),7.0)</f>
        <v>7</v>
      </c>
      <c r="F2390" s="67">
        <v>5.078931904</v>
      </c>
      <c r="G2390" s="40">
        <v>1.717040137</v>
      </c>
      <c r="H2390" s="40">
        <f t="shared" si="1"/>
        <v>2.207623033</v>
      </c>
      <c r="I2390" s="41">
        <v>0.333333333</v>
      </c>
      <c r="J2390" s="41">
        <v>0.371794872</v>
      </c>
      <c r="K2390" s="41">
        <v>0.294871795</v>
      </c>
      <c r="L2390" s="41">
        <f t="shared" si="2"/>
        <v>0.038461538</v>
      </c>
      <c r="M2390" s="74">
        <v>2.247446208</v>
      </c>
    </row>
    <row r="2391">
      <c r="A2391" s="1" t="s">
        <v>177</v>
      </c>
      <c r="B2391" s="38">
        <v>641793.0</v>
      </c>
      <c r="C2391" s="72">
        <v>45786.0</v>
      </c>
      <c r="D2391" s="38">
        <v>86.0</v>
      </c>
      <c r="E2391" s="73">
        <f>IFERROR(__xludf.DUMMYFUNCTION("average(filter('Appearance Sheet'!F:F,'Appearance Sheet'!G:G=B2391,'Appearance Sheet'!A:A=C2391))"),6.0)</f>
        <v>6</v>
      </c>
      <c r="F2391" s="67">
        <v>5.078755858</v>
      </c>
      <c r="G2391" s="40">
        <v>1.898796998</v>
      </c>
      <c r="H2391" s="40">
        <f t="shared" si="1"/>
        <v>2.848195497</v>
      </c>
      <c r="I2391" s="41">
        <v>0.441860465</v>
      </c>
      <c r="J2391" s="41">
        <v>0.220930233</v>
      </c>
      <c r="K2391" s="41">
        <v>0.337209302</v>
      </c>
      <c r="L2391" s="41">
        <f t="shared" si="2"/>
        <v>0.104651163</v>
      </c>
      <c r="M2391" s="74">
        <v>0.479204872</v>
      </c>
    </row>
    <row r="2392">
      <c r="A2392" s="1" t="s">
        <v>308</v>
      </c>
      <c r="B2392" s="38">
        <v>676440.0</v>
      </c>
      <c r="C2392" s="72">
        <v>45828.0</v>
      </c>
      <c r="D2392" s="38">
        <v>104.0</v>
      </c>
      <c r="E2392" s="73">
        <f>IFERROR(__xludf.DUMMYFUNCTION("average(filter('Appearance Sheet'!F:F,'Appearance Sheet'!G:G=B2392,'Appearance Sheet'!A:A=C2392))"),8.0)</f>
        <v>8</v>
      </c>
      <c r="F2392" s="67">
        <v>5.078664792</v>
      </c>
      <c r="G2392" s="40">
        <v>2.279163237</v>
      </c>
      <c r="H2392" s="40">
        <f t="shared" si="1"/>
        <v>2.564058642</v>
      </c>
      <c r="I2392" s="41">
        <v>0.471153846</v>
      </c>
      <c r="J2392" s="41">
        <v>0.201923077</v>
      </c>
      <c r="K2392" s="41">
        <v>0.326923077</v>
      </c>
      <c r="L2392" s="41">
        <f t="shared" si="2"/>
        <v>0.144230769</v>
      </c>
      <c r="M2392" s="74">
        <v>-4.57161656</v>
      </c>
    </row>
    <row r="2393">
      <c r="A2393" s="1" t="s">
        <v>100</v>
      </c>
      <c r="B2393" s="38">
        <v>676979.0</v>
      </c>
      <c r="C2393" s="72">
        <v>45755.0</v>
      </c>
      <c r="D2393" s="38">
        <v>105.0</v>
      </c>
      <c r="E2393" s="73">
        <f>IFERROR(__xludf.DUMMYFUNCTION("average(filter('Appearance Sheet'!F:F,'Appearance Sheet'!G:G=B2393,'Appearance Sheet'!A:A=C2393))"),5.666666666666667)</f>
        <v>5.666666667</v>
      </c>
      <c r="F2393" s="67">
        <v>5.078392273</v>
      </c>
      <c r="G2393" s="40">
        <v>2.243983518</v>
      </c>
      <c r="H2393" s="40">
        <f t="shared" si="1"/>
        <v>3.563973823</v>
      </c>
      <c r="I2393" s="41">
        <v>0.466666667</v>
      </c>
      <c r="J2393" s="41">
        <v>0.19047619</v>
      </c>
      <c r="K2393" s="41">
        <v>0.342857143</v>
      </c>
      <c r="L2393" s="41">
        <f t="shared" si="2"/>
        <v>0.123809524</v>
      </c>
      <c r="M2393" s="74">
        <v>0.45330654</v>
      </c>
    </row>
    <row r="2394">
      <c r="A2394" s="1" t="s">
        <v>171</v>
      </c>
      <c r="B2394" s="38">
        <v>665795.0</v>
      </c>
      <c r="C2394" s="72">
        <v>45764.0</v>
      </c>
      <c r="D2394" s="38">
        <v>85.0</v>
      </c>
      <c r="E2394" s="73">
        <f>IFERROR(__xludf.DUMMYFUNCTION("average(filter('Appearance Sheet'!F:F,'Appearance Sheet'!G:G=B2394,'Appearance Sheet'!A:A=C2394))"),4.0)</f>
        <v>4</v>
      </c>
      <c r="F2394" s="67">
        <v>5.078270637</v>
      </c>
      <c r="G2394" s="40">
        <v>1.836196934</v>
      </c>
      <c r="H2394" s="40">
        <f t="shared" si="1"/>
        <v>4.131443102</v>
      </c>
      <c r="I2394" s="41">
        <v>0.552941176</v>
      </c>
      <c r="J2394" s="41">
        <v>0.188235294</v>
      </c>
      <c r="K2394" s="41">
        <v>0.258823529</v>
      </c>
      <c r="L2394" s="41">
        <f t="shared" si="2"/>
        <v>0.294117647</v>
      </c>
      <c r="M2394" s="74">
        <v>1.191239084</v>
      </c>
    </row>
    <row r="2395">
      <c r="A2395" s="1" t="s">
        <v>343</v>
      </c>
      <c r="B2395" s="38">
        <v>682243.0</v>
      </c>
      <c r="C2395" s="72">
        <v>45763.0</v>
      </c>
      <c r="D2395" s="38">
        <v>75.0</v>
      </c>
      <c r="E2395" s="73">
        <f>IFERROR(__xludf.DUMMYFUNCTION("average(filter('Appearance Sheet'!F:F,'Appearance Sheet'!G:G=B2395,'Appearance Sheet'!A:A=C2395))"),5.0)</f>
        <v>5</v>
      </c>
      <c r="F2395" s="67">
        <v>5.078169639</v>
      </c>
      <c r="G2395" s="40">
        <v>1.616698906</v>
      </c>
      <c r="H2395" s="40">
        <f t="shared" si="1"/>
        <v>2.910058031</v>
      </c>
      <c r="I2395" s="41">
        <v>0.533333333</v>
      </c>
      <c r="J2395" s="41">
        <v>0.106666667</v>
      </c>
      <c r="K2395" s="41">
        <v>0.36</v>
      </c>
      <c r="L2395" s="41">
        <f t="shared" si="2"/>
        <v>0.173333333</v>
      </c>
      <c r="M2395" s="74">
        <v>0.832734485</v>
      </c>
    </row>
    <row r="2396">
      <c r="A2396" s="1" t="s">
        <v>347</v>
      </c>
      <c r="B2396" s="38">
        <v>700249.0</v>
      </c>
      <c r="C2396" s="72">
        <v>45805.0</v>
      </c>
      <c r="D2396" s="38">
        <v>94.0</v>
      </c>
      <c r="E2396" s="73">
        <f>IFERROR(__xludf.DUMMYFUNCTION("average(filter('Appearance Sheet'!F:F,'Appearance Sheet'!G:G=B2396,'Appearance Sheet'!A:A=C2396))"),4.666666666666667)</f>
        <v>4.666666667</v>
      </c>
      <c r="F2396" s="67">
        <v>5.078161494</v>
      </c>
      <c r="G2396" s="40">
        <v>2.013683146</v>
      </c>
      <c r="H2396" s="40">
        <f t="shared" si="1"/>
        <v>3.883531782</v>
      </c>
      <c r="I2396" s="41">
        <v>0.542553191</v>
      </c>
      <c r="J2396" s="41">
        <v>0.127659574</v>
      </c>
      <c r="K2396" s="41">
        <v>0.329787234</v>
      </c>
      <c r="L2396" s="41">
        <f t="shared" si="2"/>
        <v>0.212765957</v>
      </c>
      <c r="M2396" s="74">
        <v>-3.576895315</v>
      </c>
    </row>
    <row r="2397">
      <c r="A2397" s="1" t="s">
        <v>159</v>
      </c>
      <c r="B2397" s="38">
        <v>605483.0</v>
      </c>
      <c r="C2397" s="72">
        <v>45924.0</v>
      </c>
      <c r="D2397" s="38">
        <v>92.0</v>
      </c>
      <c r="E2397" s="73" t="str">
        <f>IFERROR(__xludf.DUMMYFUNCTION("average(filter('Appearance Sheet'!F:F,'Appearance Sheet'!G:G=B2397,'Appearance Sheet'!A:A=C2397))"),"#N/A")</f>
        <v>#N/A</v>
      </c>
      <c r="F2397" s="67">
        <v>5.078125998</v>
      </c>
      <c r="G2397" s="40">
        <v>1.980172745</v>
      </c>
      <c r="H2397" s="40" t="str">
        <f t="shared" si="1"/>
        <v>#N/A</v>
      </c>
      <c r="I2397" s="41">
        <v>0.456521739</v>
      </c>
      <c r="J2397" s="41">
        <v>0.22826087</v>
      </c>
      <c r="K2397" s="41">
        <v>0.315217391</v>
      </c>
      <c r="L2397" s="41">
        <f t="shared" si="2"/>
        <v>0.141304348</v>
      </c>
      <c r="M2397" s="74">
        <v>-0.833950293</v>
      </c>
    </row>
    <row r="2398">
      <c r="A2398" s="1" t="s">
        <v>263</v>
      </c>
      <c r="B2398" s="38">
        <v>694297.0</v>
      </c>
      <c r="C2398" s="72">
        <v>45884.0</v>
      </c>
      <c r="D2398" s="38">
        <v>99.0</v>
      </c>
      <c r="E2398" s="73" t="str">
        <f>IFERROR(__xludf.DUMMYFUNCTION("average(filter('Appearance Sheet'!F:F,'Appearance Sheet'!G:G=B2398,'Appearance Sheet'!A:A=C2398))"),"#N/A")</f>
        <v>#N/A</v>
      </c>
      <c r="F2398" s="67">
        <v>5.077991785</v>
      </c>
      <c r="G2398" s="40">
        <v>2.118857082</v>
      </c>
      <c r="H2398" s="40" t="str">
        <f t="shared" si="1"/>
        <v>#N/A</v>
      </c>
      <c r="I2398" s="41">
        <v>0.383838384</v>
      </c>
      <c r="J2398" s="41">
        <v>0.232323232</v>
      </c>
      <c r="K2398" s="41">
        <v>0.383838384</v>
      </c>
      <c r="L2398" s="41">
        <f t="shared" si="2"/>
        <v>0</v>
      </c>
      <c r="M2398" s="74">
        <v>-2.067508296</v>
      </c>
    </row>
    <row r="2399">
      <c r="A2399" s="1" t="s">
        <v>484</v>
      </c>
      <c r="B2399" s="38">
        <v>682847.0</v>
      </c>
      <c r="C2399" s="72">
        <v>45753.0</v>
      </c>
      <c r="D2399" s="38">
        <v>80.0</v>
      </c>
      <c r="E2399" s="73">
        <f>IFERROR(__xludf.DUMMYFUNCTION("average(filter('Appearance Sheet'!F:F,'Appearance Sheet'!G:G=B2399,'Appearance Sheet'!A:A=C2399))"),6.0)</f>
        <v>6</v>
      </c>
      <c r="F2399" s="67">
        <v>5.077964559</v>
      </c>
      <c r="G2399" s="40">
        <v>1.750637171</v>
      </c>
      <c r="H2399" s="40">
        <f t="shared" si="1"/>
        <v>2.625955757</v>
      </c>
      <c r="I2399" s="41">
        <v>0.4875</v>
      </c>
      <c r="J2399" s="41">
        <v>0.1125</v>
      </c>
      <c r="K2399" s="41">
        <v>0.4</v>
      </c>
      <c r="L2399" s="41">
        <f t="shared" si="2"/>
        <v>0.0875</v>
      </c>
      <c r="M2399" s="74">
        <v>-1.749756228</v>
      </c>
    </row>
    <row r="2400">
      <c r="A2400" s="1" t="s">
        <v>155</v>
      </c>
      <c r="B2400" s="38">
        <v>592332.0</v>
      </c>
      <c r="C2400" s="72">
        <v>45882.0</v>
      </c>
      <c r="D2400" s="38">
        <v>78.0</v>
      </c>
      <c r="E2400" s="73" t="str">
        <f>IFERROR(__xludf.DUMMYFUNCTION("average(filter('Appearance Sheet'!F:F,'Appearance Sheet'!G:G=B2400,'Appearance Sheet'!A:A=C2400))"),"#N/A")</f>
        <v>#N/A</v>
      </c>
      <c r="F2400" s="67">
        <v>5.077696637</v>
      </c>
      <c r="G2400" s="40">
        <v>1.697592945</v>
      </c>
      <c r="H2400" s="40" t="str">
        <f t="shared" si="1"/>
        <v>#N/A</v>
      </c>
      <c r="I2400" s="41">
        <v>0.461538462</v>
      </c>
      <c r="J2400" s="41">
        <v>0.192307692</v>
      </c>
      <c r="K2400" s="41">
        <v>0.346153846</v>
      </c>
      <c r="L2400" s="41">
        <f t="shared" si="2"/>
        <v>0.115384616</v>
      </c>
      <c r="M2400" s="74">
        <v>1.381322281</v>
      </c>
    </row>
    <row r="2401">
      <c r="A2401" s="1" t="s">
        <v>113</v>
      </c>
      <c r="B2401" s="38">
        <v>664285.0</v>
      </c>
      <c r="C2401" s="72">
        <v>45767.0</v>
      </c>
      <c r="D2401" s="38">
        <v>82.0</v>
      </c>
      <c r="E2401" s="73">
        <f>IFERROR(__xludf.DUMMYFUNCTION("average(filter('Appearance Sheet'!F:F,'Appearance Sheet'!G:G=B2401,'Appearance Sheet'!A:A=C2401))"),6.0)</f>
        <v>6</v>
      </c>
      <c r="F2401" s="67">
        <v>5.077329265</v>
      </c>
      <c r="G2401" s="40">
        <v>1.780316115</v>
      </c>
      <c r="H2401" s="40">
        <f t="shared" si="1"/>
        <v>2.670474173</v>
      </c>
      <c r="I2401" s="41">
        <v>0.402439024</v>
      </c>
      <c r="J2401" s="41">
        <v>0.304878049</v>
      </c>
      <c r="K2401" s="41">
        <v>0.292682927</v>
      </c>
      <c r="L2401" s="41">
        <f t="shared" si="2"/>
        <v>0.109756097</v>
      </c>
      <c r="M2401" s="74">
        <v>0.258583728</v>
      </c>
    </row>
    <row r="2402">
      <c r="A2402" s="1" t="s">
        <v>125</v>
      </c>
      <c r="B2402" s="38">
        <v>663554.0</v>
      </c>
      <c r="C2402" s="72">
        <v>45813.0</v>
      </c>
      <c r="D2402" s="38">
        <v>90.0</v>
      </c>
      <c r="E2402" s="73">
        <f>IFERROR(__xludf.DUMMYFUNCTION("average(filter('Appearance Sheet'!F:F,'Appearance Sheet'!G:G=B2402,'Appearance Sheet'!A:A=C2402))"),4.666666666666667)</f>
        <v>4.666666667</v>
      </c>
      <c r="F2402" s="67">
        <v>5.07726305</v>
      </c>
      <c r="G2402" s="40">
        <v>1.94357284</v>
      </c>
      <c r="H2402" s="40">
        <f t="shared" si="1"/>
        <v>3.748319049</v>
      </c>
      <c r="I2402" s="41">
        <v>0.511111111</v>
      </c>
      <c r="J2402" s="41">
        <v>0.166666667</v>
      </c>
      <c r="K2402" s="41">
        <v>0.322222222</v>
      </c>
      <c r="L2402" s="41">
        <f t="shared" si="2"/>
        <v>0.188888889</v>
      </c>
      <c r="M2402" s="74">
        <v>1.307246928</v>
      </c>
    </row>
    <row r="2403">
      <c r="A2403" s="1" t="s">
        <v>368</v>
      </c>
      <c r="B2403" s="38">
        <v>593958.0</v>
      </c>
      <c r="C2403" s="72">
        <v>45746.0</v>
      </c>
      <c r="D2403" s="38">
        <v>80.0</v>
      </c>
      <c r="E2403" s="73">
        <f>IFERROR(__xludf.DUMMYFUNCTION("average(filter('Appearance Sheet'!F:F,'Appearance Sheet'!G:G=B2403,'Appearance Sheet'!A:A=C2403))"),5.333333333333333)</f>
        <v>5.333333333</v>
      </c>
      <c r="F2403" s="67">
        <v>5.077176457</v>
      </c>
      <c r="G2403" s="40">
        <v>1.71428074</v>
      </c>
      <c r="H2403" s="40">
        <f t="shared" si="1"/>
        <v>2.892848749</v>
      </c>
      <c r="I2403" s="41">
        <v>0.55</v>
      </c>
      <c r="J2403" s="41">
        <v>0.175</v>
      </c>
      <c r="K2403" s="41">
        <v>0.275</v>
      </c>
      <c r="L2403" s="41">
        <f t="shared" si="2"/>
        <v>0.275</v>
      </c>
      <c r="M2403" s="74">
        <v>1.033638226</v>
      </c>
    </row>
    <row r="2404">
      <c r="A2404" s="1" t="s">
        <v>209</v>
      </c>
      <c r="B2404" s="38">
        <v>694738.0</v>
      </c>
      <c r="C2404" s="72">
        <v>45800.0</v>
      </c>
      <c r="D2404" s="38">
        <v>76.0</v>
      </c>
      <c r="E2404" s="73">
        <f>IFERROR(__xludf.DUMMYFUNCTION("average(filter('Appearance Sheet'!F:F,'Appearance Sheet'!G:G=B2404,'Appearance Sheet'!A:A=C2404))"),6.0)</f>
        <v>6</v>
      </c>
      <c r="F2404" s="67">
        <v>5.077135902</v>
      </c>
      <c r="G2404" s="40">
        <v>1.641988413</v>
      </c>
      <c r="H2404" s="40">
        <f t="shared" si="1"/>
        <v>2.46298262</v>
      </c>
      <c r="I2404" s="41">
        <v>0.513157895</v>
      </c>
      <c r="J2404" s="41">
        <v>0.144736842</v>
      </c>
      <c r="K2404" s="41">
        <v>0.342105263</v>
      </c>
      <c r="L2404" s="41">
        <f t="shared" si="2"/>
        <v>0.171052632</v>
      </c>
      <c r="M2404" s="74">
        <v>-0.919063701</v>
      </c>
    </row>
    <row r="2405">
      <c r="A2405" s="1" t="s">
        <v>177</v>
      </c>
      <c r="B2405" s="38">
        <v>641793.0</v>
      </c>
      <c r="C2405" s="72">
        <v>45903.0</v>
      </c>
      <c r="D2405" s="38">
        <v>87.0</v>
      </c>
      <c r="E2405" s="73" t="str">
        <f>IFERROR(__xludf.DUMMYFUNCTION("average(filter('Appearance Sheet'!F:F,'Appearance Sheet'!G:G=B2405,'Appearance Sheet'!A:A=C2405))"),"#N/A")</f>
        <v>#N/A</v>
      </c>
      <c r="F2405" s="67">
        <v>5.076824483</v>
      </c>
      <c r="G2405" s="40">
        <v>1.90749435</v>
      </c>
      <c r="H2405" s="40" t="str">
        <f t="shared" si="1"/>
        <v>#N/A</v>
      </c>
      <c r="I2405" s="41">
        <v>0.482758621</v>
      </c>
      <c r="J2405" s="41">
        <v>0.183908046</v>
      </c>
      <c r="K2405" s="41">
        <v>0.333333333</v>
      </c>
      <c r="L2405" s="41">
        <f t="shared" si="2"/>
        <v>0.149425288</v>
      </c>
      <c r="M2405" s="74">
        <v>-1.441292709</v>
      </c>
    </row>
    <row r="2406">
      <c r="A2406" s="1" t="s">
        <v>278</v>
      </c>
      <c r="B2406" s="38">
        <v>542881.0</v>
      </c>
      <c r="C2406" s="72">
        <v>45759.0</v>
      </c>
      <c r="D2406" s="38">
        <v>94.0</v>
      </c>
      <c r="E2406" s="73">
        <f>IFERROR(__xludf.DUMMYFUNCTION("average(filter('Appearance Sheet'!F:F,'Appearance Sheet'!G:G=B2406,'Appearance Sheet'!A:A=C2406))"),5.666666666666667)</f>
        <v>5.666666667</v>
      </c>
      <c r="F2406" s="67">
        <v>5.076662661</v>
      </c>
      <c r="G2406" s="40">
        <v>2.005938715</v>
      </c>
      <c r="H2406" s="40">
        <f t="shared" si="1"/>
        <v>3.185902665</v>
      </c>
      <c r="I2406" s="41">
        <v>0.436170213</v>
      </c>
      <c r="J2406" s="41">
        <v>0.255319149</v>
      </c>
      <c r="K2406" s="41">
        <v>0.308510638</v>
      </c>
      <c r="L2406" s="41">
        <f t="shared" si="2"/>
        <v>0.127659575</v>
      </c>
      <c r="M2406" s="74">
        <v>3.947318322</v>
      </c>
    </row>
    <row r="2407">
      <c r="A2407" s="1" t="s">
        <v>423</v>
      </c>
      <c r="B2407" s="38">
        <v>656605.0</v>
      </c>
      <c r="C2407" s="72">
        <v>45790.0</v>
      </c>
      <c r="D2407" s="38">
        <v>94.0</v>
      </c>
      <c r="E2407" s="73">
        <f>IFERROR(__xludf.DUMMYFUNCTION("average(filter('Appearance Sheet'!F:F,'Appearance Sheet'!G:G=B2407,'Appearance Sheet'!A:A=C2407))"),7.0)</f>
        <v>7</v>
      </c>
      <c r="F2407" s="67">
        <v>5.076338284</v>
      </c>
      <c r="G2407" s="40">
        <v>2.085357066</v>
      </c>
      <c r="H2407" s="40">
        <f t="shared" si="1"/>
        <v>2.681173371</v>
      </c>
      <c r="I2407" s="41">
        <v>0.478723404</v>
      </c>
      <c r="J2407" s="41">
        <v>0.138297872</v>
      </c>
      <c r="K2407" s="41">
        <v>0.382978723</v>
      </c>
      <c r="L2407" s="41">
        <f t="shared" si="2"/>
        <v>0.095744681</v>
      </c>
      <c r="M2407" s="74">
        <v>1.083482191</v>
      </c>
    </row>
    <row r="2408">
      <c r="A2408" s="1" t="s">
        <v>282</v>
      </c>
      <c r="B2408" s="38">
        <v>656302.0</v>
      </c>
      <c r="C2408" s="72">
        <v>45835.0</v>
      </c>
      <c r="D2408" s="38">
        <v>91.0</v>
      </c>
      <c r="E2408" s="73">
        <f>IFERROR(__xludf.DUMMYFUNCTION("average(filter('Appearance Sheet'!F:F,'Appearance Sheet'!G:G=B2408,'Appearance Sheet'!A:A=C2408))"),4.0)</f>
        <v>4</v>
      </c>
      <c r="F2408" s="67">
        <v>5.076336601</v>
      </c>
      <c r="G2408" s="40">
        <v>1.950094211</v>
      </c>
      <c r="H2408" s="40">
        <f t="shared" si="1"/>
        <v>4.387711975</v>
      </c>
      <c r="I2408" s="41">
        <v>0.527472527</v>
      </c>
      <c r="J2408" s="41">
        <v>0.142857143</v>
      </c>
      <c r="K2408" s="41">
        <v>0.32967033</v>
      </c>
      <c r="L2408" s="41">
        <f t="shared" si="2"/>
        <v>0.197802197</v>
      </c>
      <c r="M2408" s="74">
        <v>-0.279378921</v>
      </c>
    </row>
    <row r="2409">
      <c r="A2409" s="1" t="s">
        <v>216</v>
      </c>
      <c r="B2409" s="38">
        <v>621107.0</v>
      </c>
      <c r="C2409" s="72">
        <v>45813.0</v>
      </c>
      <c r="D2409" s="38">
        <v>86.0</v>
      </c>
      <c r="E2409" s="73">
        <f>IFERROR(__xludf.DUMMYFUNCTION("average(filter('Appearance Sheet'!F:F,'Appearance Sheet'!G:G=B2409,'Appearance Sheet'!A:A=C2409))"),6.0)</f>
        <v>6</v>
      </c>
      <c r="F2409" s="67">
        <v>5.076232311</v>
      </c>
      <c r="G2409" s="40">
        <v>1.910312961</v>
      </c>
      <c r="H2409" s="40">
        <f t="shared" si="1"/>
        <v>2.865469442</v>
      </c>
      <c r="I2409" s="41">
        <v>0.406976744</v>
      </c>
      <c r="J2409" s="41">
        <v>0.174418605</v>
      </c>
      <c r="K2409" s="41">
        <v>0.418604651</v>
      </c>
      <c r="L2409" s="41">
        <f t="shared" si="2"/>
        <v>-0.011627907</v>
      </c>
      <c r="M2409" s="74">
        <v>-2.190244494</v>
      </c>
    </row>
    <row r="2410">
      <c r="A2410" s="1" t="s">
        <v>457</v>
      </c>
      <c r="B2410" s="38">
        <v>477132.0</v>
      </c>
      <c r="C2410" s="72">
        <v>45884.0</v>
      </c>
      <c r="D2410" s="38">
        <v>75.0</v>
      </c>
      <c r="E2410" s="73" t="str">
        <f>IFERROR(__xludf.DUMMYFUNCTION("average(filter('Appearance Sheet'!F:F,'Appearance Sheet'!G:G=B2410,'Appearance Sheet'!A:A=C2410))"),"#N/A")</f>
        <v>#N/A</v>
      </c>
      <c r="F2410" s="67">
        <v>5.076151191</v>
      </c>
      <c r="G2410" s="40">
        <v>1.676998356</v>
      </c>
      <c r="H2410" s="40" t="str">
        <f t="shared" si="1"/>
        <v>#N/A</v>
      </c>
      <c r="I2410" s="41">
        <v>0.413333333</v>
      </c>
      <c r="J2410" s="41">
        <v>0.253333333</v>
      </c>
      <c r="K2410" s="41">
        <v>0.333333333</v>
      </c>
      <c r="L2410" s="41">
        <f t="shared" si="2"/>
        <v>0.08</v>
      </c>
      <c r="M2410" s="74">
        <v>2.994533416</v>
      </c>
    </row>
    <row r="2411">
      <c r="A2411" s="1" t="s">
        <v>316</v>
      </c>
      <c r="B2411" s="38">
        <v>656427.0</v>
      </c>
      <c r="C2411" s="72">
        <v>45780.0</v>
      </c>
      <c r="D2411" s="38">
        <v>91.0</v>
      </c>
      <c r="E2411" s="73">
        <f>IFERROR(__xludf.DUMMYFUNCTION("average(filter('Appearance Sheet'!F:F,'Appearance Sheet'!G:G=B2411,'Appearance Sheet'!A:A=C2411))"),5.666666666666667)</f>
        <v>5.666666667</v>
      </c>
      <c r="F2411" s="67">
        <v>5.076149863</v>
      </c>
      <c r="G2411" s="40">
        <v>1.989354168</v>
      </c>
      <c r="H2411" s="40">
        <f t="shared" si="1"/>
        <v>3.159562502</v>
      </c>
      <c r="I2411" s="41">
        <v>0.472527473</v>
      </c>
      <c r="J2411" s="41">
        <v>0.175824176</v>
      </c>
      <c r="K2411" s="41">
        <v>0.351648352</v>
      </c>
      <c r="L2411" s="41">
        <f t="shared" si="2"/>
        <v>0.120879121</v>
      </c>
      <c r="M2411" s="74">
        <v>-3.499768879</v>
      </c>
    </row>
    <row r="2412">
      <c r="A2412" s="1" t="s">
        <v>466</v>
      </c>
      <c r="B2412" s="38">
        <v>687134.0</v>
      </c>
      <c r="C2412" s="72">
        <v>45878.0</v>
      </c>
      <c r="D2412" s="38">
        <v>95.0</v>
      </c>
      <c r="E2412" s="73" t="str">
        <f>IFERROR(__xludf.DUMMYFUNCTION("average(filter('Appearance Sheet'!F:F,'Appearance Sheet'!G:G=B2412,'Appearance Sheet'!A:A=C2412))"),"#N/A")</f>
        <v>#N/A</v>
      </c>
      <c r="F2412" s="67">
        <v>5.075931748</v>
      </c>
      <c r="G2412" s="40">
        <v>2.03237798</v>
      </c>
      <c r="H2412" s="40" t="str">
        <f t="shared" si="1"/>
        <v>#N/A</v>
      </c>
      <c r="I2412" s="41">
        <v>0.473684211</v>
      </c>
      <c r="J2412" s="41">
        <v>0.147368421</v>
      </c>
      <c r="K2412" s="41">
        <v>0.378947368</v>
      </c>
      <c r="L2412" s="41">
        <f t="shared" si="2"/>
        <v>0.094736843</v>
      </c>
      <c r="M2412" s="74">
        <v>-1.796021891</v>
      </c>
    </row>
    <row r="2413">
      <c r="A2413" s="1" t="s">
        <v>456</v>
      </c>
      <c r="B2413" s="38">
        <v>605135.0</v>
      </c>
      <c r="C2413" s="72">
        <v>45830.0</v>
      </c>
      <c r="D2413" s="38">
        <v>80.0</v>
      </c>
      <c r="E2413" s="73">
        <f>IFERROR(__xludf.DUMMYFUNCTION("average(filter('Appearance Sheet'!F:F,'Appearance Sheet'!G:G=B2413,'Appearance Sheet'!A:A=C2413))"),6.0)</f>
        <v>6</v>
      </c>
      <c r="F2413" s="67">
        <v>5.075833217</v>
      </c>
      <c r="G2413" s="40">
        <v>1.702921723</v>
      </c>
      <c r="H2413" s="40">
        <f t="shared" si="1"/>
        <v>2.554382585</v>
      </c>
      <c r="I2413" s="41">
        <v>0.4625</v>
      </c>
      <c r="J2413" s="41">
        <v>0.175</v>
      </c>
      <c r="K2413" s="41">
        <v>0.3625</v>
      </c>
      <c r="L2413" s="41">
        <f t="shared" si="2"/>
        <v>0.1</v>
      </c>
      <c r="M2413" s="74">
        <v>1.605617434</v>
      </c>
    </row>
    <row r="2414">
      <c r="A2414" s="1" t="s">
        <v>410</v>
      </c>
      <c r="B2414" s="38">
        <v>678394.0</v>
      </c>
      <c r="C2414" s="72">
        <v>45769.0</v>
      </c>
      <c r="D2414" s="38">
        <v>94.0</v>
      </c>
      <c r="E2414" s="73">
        <f>IFERROR(__xludf.DUMMYFUNCTION("average(filter('Appearance Sheet'!F:F,'Appearance Sheet'!G:G=B2414,'Appearance Sheet'!A:A=C2414))"),5.0)</f>
        <v>5</v>
      </c>
      <c r="F2414" s="67">
        <v>5.075803878</v>
      </c>
      <c r="G2414" s="40">
        <v>2.02453306</v>
      </c>
      <c r="H2414" s="40">
        <f t="shared" si="1"/>
        <v>3.644159508</v>
      </c>
      <c r="I2414" s="41">
        <v>0.468085106</v>
      </c>
      <c r="J2414" s="41">
        <v>0.138297872</v>
      </c>
      <c r="K2414" s="41">
        <v>0.393617021</v>
      </c>
      <c r="L2414" s="41">
        <f t="shared" si="2"/>
        <v>0.074468085</v>
      </c>
      <c r="M2414" s="74">
        <v>0.935733662</v>
      </c>
    </row>
    <row r="2415">
      <c r="A2415" s="1" t="s">
        <v>99</v>
      </c>
      <c r="B2415" s="38">
        <v>592791.0</v>
      </c>
      <c r="C2415" s="72">
        <v>45927.0</v>
      </c>
      <c r="D2415" s="38">
        <v>81.0</v>
      </c>
      <c r="E2415" s="73" t="str">
        <f>IFERROR(__xludf.DUMMYFUNCTION("average(filter('Appearance Sheet'!F:F,'Appearance Sheet'!G:G=B2415,'Appearance Sheet'!A:A=C2415))"),"#N/A")</f>
        <v>#N/A</v>
      </c>
      <c r="F2415" s="67">
        <v>5.075522232</v>
      </c>
      <c r="G2415" s="40">
        <v>1.735876536</v>
      </c>
      <c r="H2415" s="40" t="str">
        <f t="shared" si="1"/>
        <v>#N/A</v>
      </c>
      <c r="I2415" s="41">
        <v>0.432098765</v>
      </c>
      <c r="J2415" s="41">
        <v>0.296296296</v>
      </c>
      <c r="K2415" s="41">
        <v>0.271604938</v>
      </c>
      <c r="L2415" s="41">
        <f t="shared" si="2"/>
        <v>0.160493827</v>
      </c>
      <c r="M2415" s="74">
        <v>1.203839409</v>
      </c>
    </row>
    <row r="2416">
      <c r="A2416" s="1" t="s">
        <v>374</v>
      </c>
      <c r="B2416" s="38">
        <v>683004.0</v>
      </c>
      <c r="C2416" s="72">
        <v>45865.0</v>
      </c>
      <c r="D2416" s="38">
        <v>98.0</v>
      </c>
      <c r="E2416" s="73" t="str">
        <f>IFERROR(__xludf.DUMMYFUNCTION("average(filter('Appearance Sheet'!F:F,'Appearance Sheet'!G:G=B2416,'Appearance Sheet'!A:A=C2416))"),"#N/A")</f>
        <v>#N/A</v>
      </c>
      <c r="F2416" s="67">
        <v>5.075448656</v>
      </c>
      <c r="G2416" s="40">
        <v>2.114543438</v>
      </c>
      <c r="H2416" s="40" t="str">
        <f t="shared" si="1"/>
        <v>#N/A</v>
      </c>
      <c r="I2416" s="41">
        <v>0.510204082</v>
      </c>
      <c r="J2416" s="41">
        <v>0.112244898</v>
      </c>
      <c r="K2416" s="41">
        <v>0.37755102</v>
      </c>
      <c r="L2416" s="41">
        <f t="shared" si="2"/>
        <v>0.132653062</v>
      </c>
      <c r="M2416" s="74">
        <v>2.604321781</v>
      </c>
    </row>
    <row r="2417">
      <c r="A2417" s="1" t="s">
        <v>67</v>
      </c>
      <c r="B2417" s="38">
        <v>684007.0</v>
      </c>
      <c r="C2417" s="72">
        <v>45902.0</v>
      </c>
      <c r="D2417" s="38">
        <v>76.0</v>
      </c>
      <c r="E2417" s="73" t="str">
        <f>IFERROR(__xludf.DUMMYFUNCTION("average(filter('Appearance Sheet'!F:F,'Appearance Sheet'!G:G=B2417,'Appearance Sheet'!A:A=C2417))"),"#N/A")</f>
        <v>#N/A</v>
      </c>
      <c r="F2417" s="67">
        <v>5.075402366</v>
      </c>
      <c r="G2417" s="40">
        <v>1.678897226</v>
      </c>
      <c r="H2417" s="40" t="str">
        <f t="shared" si="1"/>
        <v>#N/A</v>
      </c>
      <c r="I2417" s="41">
        <v>0.421052632</v>
      </c>
      <c r="J2417" s="41">
        <v>0.197368421</v>
      </c>
      <c r="K2417" s="41">
        <v>0.381578947</v>
      </c>
      <c r="L2417" s="41">
        <f t="shared" si="2"/>
        <v>0.039473685</v>
      </c>
      <c r="M2417" s="74">
        <v>-0.999669283</v>
      </c>
    </row>
    <row r="2418">
      <c r="A2418" s="1" t="s">
        <v>242</v>
      </c>
      <c r="B2418" s="38">
        <v>669358.0</v>
      </c>
      <c r="C2418" s="72">
        <v>45918.0</v>
      </c>
      <c r="D2418" s="38">
        <v>74.0</v>
      </c>
      <c r="E2418" s="73" t="str">
        <f>IFERROR(__xludf.DUMMYFUNCTION("average(filter('Appearance Sheet'!F:F,'Appearance Sheet'!G:G=B2418,'Appearance Sheet'!A:A=C2418))"),"#N/A")</f>
        <v>#N/A</v>
      </c>
      <c r="F2418" s="67">
        <v>5.07538395</v>
      </c>
      <c r="G2418" s="40">
        <v>1.588441146</v>
      </c>
      <c r="H2418" s="40" t="str">
        <f t="shared" si="1"/>
        <v>#N/A</v>
      </c>
      <c r="I2418" s="41">
        <v>0.459459459</v>
      </c>
      <c r="J2418" s="41">
        <v>0.108108108</v>
      </c>
      <c r="K2418" s="41">
        <v>0.432432432</v>
      </c>
      <c r="L2418" s="41">
        <f t="shared" si="2"/>
        <v>0.027027027</v>
      </c>
      <c r="M2418" s="74">
        <v>1.926466697</v>
      </c>
    </row>
    <row r="2419">
      <c r="A2419" s="1" t="s">
        <v>384</v>
      </c>
      <c r="B2419" s="38">
        <v>666214.0</v>
      </c>
      <c r="C2419" s="72">
        <v>45863.0</v>
      </c>
      <c r="D2419" s="38">
        <v>80.0</v>
      </c>
      <c r="E2419" s="73" t="str">
        <f>IFERROR(__xludf.DUMMYFUNCTION("average(filter('Appearance Sheet'!F:F,'Appearance Sheet'!G:G=B2419,'Appearance Sheet'!A:A=C2419))"),"#N/A")</f>
        <v>#N/A</v>
      </c>
      <c r="F2419" s="67">
        <v>5.075304847</v>
      </c>
      <c r="G2419" s="40">
        <v>1.716191378</v>
      </c>
      <c r="H2419" s="40" t="str">
        <f t="shared" si="1"/>
        <v>#N/A</v>
      </c>
      <c r="I2419" s="41">
        <v>0.3875</v>
      </c>
      <c r="J2419" s="41">
        <v>0.3125</v>
      </c>
      <c r="K2419" s="41">
        <v>0.3</v>
      </c>
      <c r="L2419" s="41">
        <f t="shared" si="2"/>
        <v>0.0875</v>
      </c>
      <c r="M2419" s="74">
        <v>0.519389572</v>
      </c>
    </row>
    <row r="2420">
      <c r="A2420" s="1" t="s">
        <v>453</v>
      </c>
      <c r="B2420" s="38">
        <v>592836.0</v>
      </c>
      <c r="C2420" s="72">
        <v>45798.0</v>
      </c>
      <c r="D2420" s="38">
        <v>67.0</v>
      </c>
      <c r="E2420" s="73">
        <f>IFERROR(__xludf.DUMMYFUNCTION("average(filter('Appearance Sheet'!F:F,'Appearance Sheet'!G:G=B2420,'Appearance Sheet'!A:A=C2420))"),5.0)</f>
        <v>5</v>
      </c>
      <c r="F2420" s="67">
        <v>5.075302607</v>
      </c>
      <c r="G2420" s="40">
        <v>1.487191747</v>
      </c>
      <c r="H2420" s="40">
        <f t="shared" si="1"/>
        <v>2.676945145</v>
      </c>
      <c r="I2420" s="41">
        <v>0.507462687</v>
      </c>
      <c r="J2420" s="41">
        <v>0.164179104</v>
      </c>
      <c r="K2420" s="41">
        <v>0.328358209</v>
      </c>
      <c r="L2420" s="41">
        <f t="shared" si="2"/>
        <v>0.179104478</v>
      </c>
      <c r="M2420" s="74">
        <v>-1.350243705</v>
      </c>
    </row>
    <row r="2421">
      <c r="A2421" s="1" t="s">
        <v>163</v>
      </c>
      <c r="B2421" s="38">
        <v>663460.0</v>
      </c>
      <c r="C2421" s="72">
        <v>45763.0</v>
      </c>
      <c r="D2421" s="38">
        <v>92.0</v>
      </c>
      <c r="E2421" s="73">
        <f>IFERROR(__xludf.DUMMYFUNCTION("average(filter('Appearance Sheet'!F:F,'Appearance Sheet'!G:G=B2421,'Appearance Sheet'!A:A=C2421))"),5.333333333333333)</f>
        <v>5.333333333</v>
      </c>
      <c r="F2421" s="67">
        <v>5.07512162</v>
      </c>
      <c r="G2421" s="40">
        <v>1.998438552</v>
      </c>
      <c r="H2421" s="40">
        <f t="shared" si="1"/>
        <v>3.372365057</v>
      </c>
      <c r="I2421" s="41">
        <v>0.467391304</v>
      </c>
      <c r="J2421" s="41">
        <v>0.184782609</v>
      </c>
      <c r="K2421" s="41">
        <v>0.347826087</v>
      </c>
      <c r="L2421" s="41">
        <f t="shared" si="2"/>
        <v>0.119565217</v>
      </c>
      <c r="M2421" s="74">
        <v>-2.208623831</v>
      </c>
    </row>
    <row r="2422">
      <c r="A2422" s="1" t="s">
        <v>282</v>
      </c>
      <c r="B2422" s="38">
        <v>656302.0</v>
      </c>
      <c r="C2422" s="72">
        <v>45890.0</v>
      </c>
      <c r="D2422" s="38">
        <v>92.0</v>
      </c>
      <c r="E2422" s="73" t="str">
        <f>IFERROR(__xludf.DUMMYFUNCTION("average(filter('Appearance Sheet'!F:F,'Appearance Sheet'!G:G=B2422,'Appearance Sheet'!A:A=C2422))"),"#N/A")</f>
        <v>#N/A</v>
      </c>
      <c r="F2422" s="67">
        <v>5.07511636</v>
      </c>
      <c r="G2422" s="40">
        <v>1.972653094</v>
      </c>
      <c r="H2422" s="40" t="str">
        <f t="shared" si="1"/>
        <v>#N/A</v>
      </c>
      <c r="I2422" s="41">
        <v>0.423913043</v>
      </c>
      <c r="J2422" s="41">
        <v>0.217391304</v>
      </c>
      <c r="K2422" s="41">
        <v>0.358695652</v>
      </c>
      <c r="L2422" s="41">
        <f t="shared" si="2"/>
        <v>0.065217391</v>
      </c>
      <c r="M2422" s="74">
        <v>-1.771157804</v>
      </c>
    </row>
    <row r="2423">
      <c r="A2423" s="1" t="s">
        <v>399</v>
      </c>
      <c r="B2423" s="38">
        <v>543294.0</v>
      </c>
      <c r="C2423" s="72">
        <v>45860.0</v>
      </c>
      <c r="D2423" s="38">
        <v>64.0</v>
      </c>
      <c r="E2423" s="73" t="str">
        <f>IFERROR(__xludf.DUMMYFUNCTION("average(filter('Appearance Sheet'!F:F,'Appearance Sheet'!G:G=B2423,'Appearance Sheet'!A:A=C2423))"),"#N/A")</f>
        <v>#N/A</v>
      </c>
      <c r="F2423" s="67">
        <v>5.074968297</v>
      </c>
      <c r="G2423" s="40">
        <v>1.3928106</v>
      </c>
      <c r="H2423" s="40" t="str">
        <f t="shared" si="1"/>
        <v>#N/A</v>
      </c>
      <c r="I2423" s="41">
        <v>0.375</v>
      </c>
      <c r="J2423" s="41">
        <v>0.265625</v>
      </c>
      <c r="K2423" s="41">
        <v>0.359375</v>
      </c>
      <c r="L2423" s="41">
        <f t="shared" si="2"/>
        <v>0.015625</v>
      </c>
      <c r="M2423" s="74">
        <v>-0.075401655</v>
      </c>
    </row>
    <row r="2424">
      <c r="A2424" s="1" t="s">
        <v>155</v>
      </c>
      <c r="B2424" s="38">
        <v>592332.0</v>
      </c>
      <c r="C2424" s="72">
        <v>45917.0</v>
      </c>
      <c r="D2424" s="38">
        <v>91.0</v>
      </c>
      <c r="E2424" s="73" t="str">
        <f>IFERROR(__xludf.DUMMYFUNCTION("average(filter('Appearance Sheet'!F:F,'Appearance Sheet'!G:G=B2424,'Appearance Sheet'!A:A=C2424))"),"#N/A")</f>
        <v>#N/A</v>
      </c>
      <c r="F2424" s="67">
        <v>5.074874653</v>
      </c>
      <c r="G2424" s="40">
        <v>1.975907516</v>
      </c>
      <c r="H2424" s="40" t="str">
        <f t="shared" si="1"/>
        <v>#N/A</v>
      </c>
      <c r="I2424" s="41">
        <v>0.505494505</v>
      </c>
      <c r="J2424" s="41">
        <v>0.186813187</v>
      </c>
      <c r="K2424" s="41">
        <v>0.307692308</v>
      </c>
      <c r="L2424" s="41">
        <f t="shared" si="2"/>
        <v>0.197802197</v>
      </c>
      <c r="M2424" s="74">
        <v>0.912266778</v>
      </c>
    </row>
    <row r="2425">
      <c r="A2425" s="1" t="s">
        <v>308</v>
      </c>
      <c r="B2425" s="38">
        <v>676440.0</v>
      </c>
      <c r="C2425" s="72">
        <v>45906.0</v>
      </c>
      <c r="D2425" s="38">
        <v>92.0</v>
      </c>
      <c r="E2425" s="73" t="str">
        <f>IFERROR(__xludf.DUMMYFUNCTION("average(filter('Appearance Sheet'!F:F,'Appearance Sheet'!G:G=B2425,'Appearance Sheet'!A:A=C2425))"),"#N/A")</f>
        <v>#N/A</v>
      </c>
      <c r="F2425" s="67">
        <v>5.074788441</v>
      </c>
      <c r="G2425" s="40">
        <v>1.977390427</v>
      </c>
      <c r="H2425" s="40" t="str">
        <f t="shared" si="1"/>
        <v>#N/A</v>
      </c>
      <c r="I2425" s="41">
        <v>0.47826087</v>
      </c>
      <c r="J2425" s="41">
        <v>0.152173913</v>
      </c>
      <c r="K2425" s="41">
        <v>0.369565217</v>
      </c>
      <c r="L2425" s="41">
        <f t="shared" si="2"/>
        <v>0.108695653</v>
      </c>
      <c r="M2425" s="74">
        <v>0.475386072</v>
      </c>
    </row>
    <row r="2426">
      <c r="A2426" s="1" t="s">
        <v>470</v>
      </c>
      <c r="B2426" s="38">
        <v>681343.0</v>
      </c>
      <c r="C2426" s="72">
        <v>45760.0</v>
      </c>
      <c r="D2426" s="38">
        <v>74.0</v>
      </c>
      <c r="E2426" s="73">
        <f>IFERROR(__xludf.DUMMYFUNCTION("average(filter('Appearance Sheet'!F:F,'Appearance Sheet'!G:G=B2426,'Appearance Sheet'!A:A=C2426))"),6.0)</f>
        <v>6</v>
      </c>
      <c r="F2426" s="67">
        <v>5.074769652</v>
      </c>
      <c r="G2426" s="40">
        <v>1.661674737</v>
      </c>
      <c r="H2426" s="40">
        <f t="shared" si="1"/>
        <v>2.492512106</v>
      </c>
      <c r="I2426" s="41">
        <v>0.432432432</v>
      </c>
      <c r="J2426" s="41">
        <v>0.216216216</v>
      </c>
      <c r="K2426" s="41">
        <v>0.351351351</v>
      </c>
      <c r="L2426" s="41">
        <f t="shared" si="2"/>
        <v>0.081081081</v>
      </c>
      <c r="M2426" s="74">
        <v>-0.041262735</v>
      </c>
    </row>
    <row r="2427">
      <c r="A2427" s="1" t="s">
        <v>212</v>
      </c>
      <c r="B2427" s="38">
        <v>805673.0</v>
      </c>
      <c r="C2427" s="72">
        <v>45891.0</v>
      </c>
      <c r="D2427" s="38">
        <v>92.0</v>
      </c>
      <c r="E2427" s="73" t="str">
        <f>IFERROR(__xludf.DUMMYFUNCTION("average(filter('Appearance Sheet'!F:F,'Appearance Sheet'!G:G=B2427,'Appearance Sheet'!A:A=C2427))"),"#N/A")</f>
        <v>#N/A</v>
      </c>
      <c r="F2427" s="67">
        <v>5.074661074</v>
      </c>
      <c r="G2427" s="40">
        <v>1.988137157</v>
      </c>
      <c r="H2427" s="40" t="str">
        <f t="shared" si="1"/>
        <v>#N/A</v>
      </c>
      <c r="I2427" s="41">
        <v>0.47826087</v>
      </c>
      <c r="J2427" s="41">
        <v>0.184782609</v>
      </c>
      <c r="K2427" s="41">
        <v>0.336956522</v>
      </c>
      <c r="L2427" s="41">
        <f t="shared" si="2"/>
        <v>0.141304348</v>
      </c>
      <c r="M2427" s="74">
        <v>-2.88389593</v>
      </c>
    </row>
    <row r="2428">
      <c r="A2428" s="1" t="s">
        <v>358</v>
      </c>
      <c r="B2428" s="38">
        <v>434378.0</v>
      </c>
      <c r="C2428" s="72">
        <v>45762.0</v>
      </c>
      <c r="D2428" s="38">
        <v>102.0</v>
      </c>
      <c r="E2428" s="73">
        <f>IFERROR(__xludf.DUMMYFUNCTION("average(filter('Appearance Sheet'!F:F,'Appearance Sheet'!G:G=B2428,'Appearance Sheet'!A:A=C2428))"),5.666666666666667)</f>
        <v>5.666666667</v>
      </c>
      <c r="F2428" s="67">
        <v>5.074660402</v>
      </c>
      <c r="G2428" s="40">
        <v>2.23159239</v>
      </c>
      <c r="H2428" s="40">
        <f t="shared" si="1"/>
        <v>3.544293796</v>
      </c>
      <c r="I2428" s="41">
        <v>0.490196078</v>
      </c>
      <c r="J2428" s="41">
        <v>0.18627451</v>
      </c>
      <c r="K2428" s="41">
        <v>0.323529412</v>
      </c>
      <c r="L2428" s="41">
        <f t="shared" si="2"/>
        <v>0.166666666</v>
      </c>
      <c r="M2428" s="74">
        <v>-2.477519502</v>
      </c>
    </row>
    <row r="2429">
      <c r="A2429" s="1" t="s">
        <v>177</v>
      </c>
      <c r="B2429" s="38">
        <v>641793.0</v>
      </c>
      <c r="C2429" s="72">
        <v>45885.0</v>
      </c>
      <c r="D2429" s="38">
        <v>80.0</v>
      </c>
      <c r="E2429" s="73" t="str">
        <f>IFERROR(__xludf.DUMMYFUNCTION("average(filter('Appearance Sheet'!F:F,'Appearance Sheet'!G:G=B2429,'Appearance Sheet'!A:A=C2429))"),"#N/A")</f>
        <v>#N/A</v>
      </c>
      <c r="F2429" s="67">
        <v>5.074523708</v>
      </c>
      <c r="G2429" s="40">
        <v>1.755631709</v>
      </c>
      <c r="H2429" s="40" t="str">
        <f t="shared" si="1"/>
        <v>#N/A</v>
      </c>
      <c r="I2429" s="41">
        <v>0.4</v>
      </c>
      <c r="J2429" s="41">
        <v>0.2375</v>
      </c>
      <c r="K2429" s="41">
        <v>0.3625</v>
      </c>
      <c r="L2429" s="41">
        <f t="shared" si="2"/>
        <v>0.0375</v>
      </c>
      <c r="M2429" s="74">
        <v>0.884701608</v>
      </c>
    </row>
    <row r="2430">
      <c r="A2430" s="1" t="s">
        <v>251</v>
      </c>
      <c r="B2430" s="38">
        <v>676664.0</v>
      </c>
      <c r="C2430" s="72">
        <v>45819.0</v>
      </c>
      <c r="D2430" s="38">
        <v>74.0</v>
      </c>
      <c r="E2430" s="73">
        <f>IFERROR(__xludf.DUMMYFUNCTION("average(filter('Appearance Sheet'!F:F,'Appearance Sheet'!G:G=B2430,'Appearance Sheet'!A:A=C2430))"),5.333333333333333)</f>
        <v>5.333333333</v>
      </c>
      <c r="F2430" s="67">
        <v>5.074474098</v>
      </c>
      <c r="G2430" s="40">
        <v>1.619756763</v>
      </c>
      <c r="H2430" s="40">
        <f t="shared" si="1"/>
        <v>2.733339538</v>
      </c>
      <c r="I2430" s="41">
        <v>0.432432432</v>
      </c>
      <c r="J2430" s="41">
        <v>0.175675676</v>
      </c>
      <c r="K2430" s="41">
        <v>0.391891892</v>
      </c>
      <c r="L2430" s="41">
        <f t="shared" si="2"/>
        <v>0.04054054</v>
      </c>
      <c r="M2430" s="74">
        <v>1.752488843</v>
      </c>
    </row>
    <row r="2431">
      <c r="A2431" s="1" t="s">
        <v>285</v>
      </c>
      <c r="B2431" s="38">
        <v>607074.0</v>
      </c>
      <c r="C2431" s="72">
        <v>45888.0</v>
      </c>
      <c r="D2431" s="38">
        <v>101.0</v>
      </c>
      <c r="E2431" s="73" t="str">
        <f>IFERROR(__xludf.DUMMYFUNCTION("average(filter('Appearance Sheet'!F:F,'Appearance Sheet'!G:G=B2431,'Appearance Sheet'!A:A=C2431))"),"#N/A")</f>
        <v>#N/A</v>
      </c>
      <c r="F2431" s="67">
        <v>5.074440921</v>
      </c>
      <c r="G2431" s="40">
        <v>2.186057566</v>
      </c>
      <c r="H2431" s="40" t="str">
        <f t="shared" si="1"/>
        <v>#N/A</v>
      </c>
      <c r="I2431" s="41">
        <v>0.495049505</v>
      </c>
      <c r="J2431" s="41">
        <v>0.178217822</v>
      </c>
      <c r="K2431" s="41">
        <v>0.326732673</v>
      </c>
      <c r="L2431" s="41">
        <f t="shared" si="2"/>
        <v>0.168316832</v>
      </c>
      <c r="M2431" s="74">
        <v>0.435136833</v>
      </c>
    </row>
    <row r="2432">
      <c r="A2432" s="1" t="s">
        <v>205</v>
      </c>
      <c r="B2432" s="38">
        <v>666142.0</v>
      </c>
      <c r="C2432" s="72">
        <v>45787.0</v>
      </c>
      <c r="D2432" s="38">
        <v>92.0</v>
      </c>
      <c r="E2432" s="73">
        <f>IFERROR(__xludf.DUMMYFUNCTION("average(filter('Appearance Sheet'!F:F,'Appearance Sheet'!G:G=B2432,'Appearance Sheet'!A:A=C2432))"),5.0)</f>
        <v>5</v>
      </c>
      <c r="F2432" s="67">
        <v>5.074380739</v>
      </c>
      <c r="G2432" s="40">
        <v>1.962000354</v>
      </c>
      <c r="H2432" s="40">
        <f t="shared" si="1"/>
        <v>3.531600637</v>
      </c>
      <c r="I2432" s="41">
        <v>0.554347826</v>
      </c>
      <c r="J2432" s="41">
        <v>0.108695652</v>
      </c>
      <c r="K2432" s="41">
        <v>0.336956522</v>
      </c>
      <c r="L2432" s="41">
        <f t="shared" si="2"/>
        <v>0.217391304</v>
      </c>
      <c r="M2432" s="74">
        <v>-2.16625693</v>
      </c>
    </row>
    <row r="2433">
      <c r="A2433" s="1" t="s">
        <v>313</v>
      </c>
      <c r="B2433" s="38">
        <v>607067.0</v>
      </c>
      <c r="C2433" s="72">
        <v>45913.0</v>
      </c>
      <c r="D2433" s="38">
        <v>81.0</v>
      </c>
      <c r="E2433" s="73" t="str">
        <f>IFERROR(__xludf.DUMMYFUNCTION("average(filter('Appearance Sheet'!F:F,'Appearance Sheet'!G:G=B2433,'Appearance Sheet'!A:A=C2433))"),"#N/A")</f>
        <v>#N/A</v>
      </c>
      <c r="F2433" s="67">
        <v>5.073736691</v>
      </c>
      <c r="G2433" s="40">
        <v>1.746037073</v>
      </c>
      <c r="H2433" s="40" t="str">
        <f t="shared" si="1"/>
        <v>#N/A</v>
      </c>
      <c r="I2433" s="41">
        <v>0.469135802</v>
      </c>
      <c r="J2433" s="41">
        <v>0.209876543</v>
      </c>
      <c r="K2433" s="41">
        <v>0.320987654</v>
      </c>
      <c r="L2433" s="41">
        <f t="shared" si="2"/>
        <v>0.148148148</v>
      </c>
      <c r="M2433" s="74">
        <v>-1.847661813</v>
      </c>
    </row>
    <row r="2434">
      <c r="A2434" s="1" t="s">
        <v>330</v>
      </c>
      <c r="B2434" s="38">
        <v>680730.0</v>
      </c>
      <c r="C2434" s="72">
        <v>45815.0</v>
      </c>
      <c r="D2434" s="38">
        <v>80.0</v>
      </c>
      <c r="E2434" s="73">
        <f>IFERROR(__xludf.DUMMYFUNCTION("average(filter('Appearance Sheet'!F:F,'Appearance Sheet'!G:G=B2434,'Appearance Sheet'!A:A=C2434))"),6.0)</f>
        <v>6</v>
      </c>
      <c r="F2434" s="67">
        <v>5.073483129</v>
      </c>
      <c r="G2434" s="40">
        <v>1.73556572</v>
      </c>
      <c r="H2434" s="40">
        <f t="shared" si="1"/>
        <v>2.60334858</v>
      </c>
      <c r="I2434" s="41">
        <v>0.425</v>
      </c>
      <c r="J2434" s="41">
        <v>0.225</v>
      </c>
      <c r="K2434" s="41">
        <v>0.35</v>
      </c>
      <c r="L2434" s="41">
        <f t="shared" si="2"/>
        <v>0.075</v>
      </c>
      <c r="M2434" s="74">
        <v>0.60437842</v>
      </c>
    </row>
    <row r="2435">
      <c r="A2435" s="1" t="s">
        <v>242</v>
      </c>
      <c r="B2435" s="38">
        <v>669358.0</v>
      </c>
      <c r="C2435" s="72">
        <v>45875.0</v>
      </c>
      <c r="D2435" s="38">
        <v>78.0</v>
      </c>
      <c r="E2435" s="73" t="str">
        <f>IFERROR(__xludf.DUMMYFUNCTION("average(filter('Appearance Sheet'!F:F,'Appearance Sheet'!G:G=B2435,'Appearance Sheet'!A:A=C2435))"),"#N/A")</f>
        <v>#N/A</v>
      </c>
      <c r="F2435" s="67">
        <v>5.073478624</v>
      </c>
      <c r="G2435" s="40">
        <v>1.676198085</v>
      </c>
      <c r="H2435" s="40" t="str">
        <f t="shared" si="1"/>
        <v>#N/A</v>
      </c>
      <c r="I2435" s="41">
        <v>0.448717949</v>
      </c>
      <c r="J2435" s="41">
        <v>0.192307692</v>
      </c>
      <c r="K2435" s="41">
        <v>0.358974359</v>
      </c>
      <c r="L2435" s="41">
        <f t="shared" si="2"/>
        <v>0.08974359</v>
      </c>
      <c r="M2435" s="74">
        <v>-0.45113095</v>
      </c>
    </row>
    <row r="2436">
      <c r="A2436" s="1" t="s">
        <v>320</v>
      </c>
      <c r="B2436" s="38">
        <v>681347.0</v>
      </c>
      <c r="C2436" s="72">
        <v>45812.0</v>
      </c>
      <c r="D2436" s="38">
        <v>68.0</v>
      </c>
      <c r="E2436" s="73">
        <f>IFERROR(__xludf.DUMMYFUNCTION("average(filter('Appearance Sheet'!F:F,'Appearance Sheet'!G:G=B2436,'Appearance Sheet'!A:A=C2436))"),5.333333333333333)</f>
        <v>5.333333333</v>
      </c>
      <c r="F2436" s="67">
        <v>5.073236278</v>
      </c>
      <c r="G2436" s="40">
        <v>1.503580136</v>
      </c>
      <c r="H2436" s="40">
        <f t="shared" si="1"/>
        <v>2.53729148</v>
      </c>
      <c r="I2436" s="41">
        <v>0.441176471</v>
      </c>
      <c r="J2436" s="41">
        <v>0.205882353</v>
      </c>
      <c r="K2436" s="41">
        <v>0.352941176</v>
      </c>
      <c r="L2436" s="41">
        <f t="shared" si="2"/>
        <v>0.088235295</v>
      </c>
      <c r="M2436" s="74">
        <v>-1.396803096</v>
      </c>
    </row>
    <row r="2437">
      <c r="A2437" s="1" t="s">
        <v>449</v>
      </c>
      <c r="B2437" s="38">
        <v>687223.0</v>
      </c>
      <c r="C2437" s="72">
        <v>45809.0</v>
      </c>
      <c r="D2437" s="38">
        <v>88.0</v>
      </c>
      <c r="E2437" s="73">
        <f>IFERROR(__xludf.DUMMYFUNCTION("average(filter('Appearance Sheet'!F:F,'Appearance Sheet'!G:G=B2437,'Appearance Sheet'!A:A=C2437))"),4.666666666666667)</f>
        <v>4.666666667</v>
      </c>
      <c r="F2437" s="67">
        <v>5.073054938</v>
      </c>
      <c r="G2437" s="40">
        <v>1.914937461</v>
      </c>
      <c r="H2437" s="40">
        <f t="shared" si="1"/>
        <v>3.693093675</v>
      </c>
      <c r="I2437" s="41">
        <v>0.534090909</v>
      </c>
      <c r="J2437" s="41">
        <v>0.159090909</v>
      </c>
      <c r="K2437" s="41">
        <v>0.306818182</v>
      </c>
      <c r="L2437" s="41">
        <f t="shared" si="2"/>
        <v>0.227272727</v>
      </c>
      <c r="M2437" s="74">
        <v>0.926842943</v>
      </c>
    </row>
    <row r="2438">
      <c r="A2438" s="1" t="s">
        <v>394</v>
      </c>
      <c r="B2438" s="38">
        <v>621121.0</v>
      </c>
      <c r="C2438" s="72">
        <v>45849.0</v>
      </c>
      <c r="D2438" s="38">
        <v>79.0</v>
      </c>
      <c r="E2438" s="73" t="str">
        <f>IFERROR(__xludf.DUMMYFUNCTION("average(filter('Appearance Sheet'!F:F,'Appearance Sheet'!G:G=B2438,'Appearance Sheet'!A:A=C2438))"),"#N/A")</f>
        <v>#N/A</v>
      </c>
      <c r="F2438" s="67">
        <v>5.073016921</v>
      </c>
      <c r="G2438" s="40">
        <v>1.671158268</v>
      </c>
      <c r="H2438" s="40" t="str">
        <f t="shared" si="1"/>
        <v>#N/A</v>
      </c>
      <c r="I2438" s="41">
        <v>0.493670886</v>
      </c>
      <c r="J2438" s="41">
        <v>0.088607595</v>
      </c>
      <c r="K2438" s="41">
        <v>0.417721519</v>
      </c>
      <c r="L2438" s="41">
        <f t="shared" si="2"/>
        <v>0.075949367</v>
      </c>
      <c r="M2438" s="74">
        <v>-2.419424976</v>
      </c>
    </row>
    <row r="2439">
      <c r="A2439" s="1" t="s">
        <v>245</v>
      </c>
      <c r="B2439" s="38">
        <v>571578.0</v>
      </c>
      <c r="C2439" s="72">
        <v>45802.0</v>
      </c>
      <c r="D2439" s="38">
        <v>86.0</v>
      </c>
      <c r="E2439" s="73">
        <f>IFERROR(__xludf.DUMMYFUNCTION("average(filter('Appearance Sheet'!F:F,'Appearance Sheet'!G:G=B2439,'Appearance Sheet'!A:A=C2439))"),5.333333333333333)</f>
        <v>5.333333333</v>
      </c>
      <c r="F2439" s="67">
        <v>5.072698328</v>
      </c>
      <c r="G2439" s="40">
        <v>1.881009459</v>
      </c>
      <c r="H2439" s="40">
        <f t="shared" si="1"/>
        <v>3.174203462</v>
      </c>
      <c r="I2439" s="41">
        <v>0.488372093</v>
      </c>
      <c r="J2439" s="41">
        <v>0.162790698</v>
      </c>
      <c r="K2439" s="41">
        <v>0.348837209</v>
      </c>
      <c r="L2439" s="41">
        <f t="shared" si="2"/>
        <v>0.139534884</v>
      </c>
      <c r="M2439" s="74">
        <v>0.83296499</v>
      </c>
    </row>
    <row r="2440">
      <c r="A2440" s="1" t="s">
        <v>263</v>
      </c>
      <c r="B2440" s="38">
        <v>694297.0</v>
      </c>
      <c r="C2440" s="72">
        <v>45796.0</v>
      </c>
      <c r="D2440" s="38">
        <v>93.0</v>
      </c>
      <c r="E2440" s="73">
        <f>IFERROR(__xludf.DUMMYFUNCTION("average(filter('Appearance Sheet'!F:F,'Appearance Sheet'!G:G=B2440,'Appearance Sheet'!A:A=C2440))"),6.0)</f>
        <v>6</v>
      </c>
      <c r="F2440" s="67">
        <v>5.072663238</v>
      </c>
      <c r="G2440" s="40">
        <v>2.004232665</v>
      </c>
      <c r="H2440" s="40">
        <f t="shared" si="1"/>
        <v>3.006348998</v>
      </c>
      <c r="I2440" s="41">
        <v>0.47311828</v>
      </c>
      <c r="J2440" s="41">
        <v>0.161290323</v>
      </c>
      <c r="K2440" s="41">
        <v>0.365591398</v>
      </c>
      <c r="L2440" s="41">
        <f t="shared" si="2"/>
        <v>0.107526882</v>
      </c>
      <c r="M2440" s="74">
        <v>3.318132658</v>
      </c>
    </row>
    <row r="2441">
      <c r="A2441" s="1" t="s">
        <v>186</v>
      </c>
      <c r="B2441" s="38">
        <v>663399.0</v>
      </c>
      <c r="C2441" s="72">
        <v>45856.0</v>
      </c>
      <c r="D2441" s="38">
        <v>75.0</v>
      </c>
      <c r="E2441" s="73" t="str">
        <f>IFERROR(__xludf.DUMMYFUNCTION("average(filter('Appearance Sheet'!F:F,'Appearance Sheet'!G:G=B2441,'Appearance Sheet'!A:A=C2441))"),"#N/A")</f>
        <v>#N/A</v>
      </c>
      <c r="F2441" s="67">
        <v>5.072488262</v>
      </c>
      <c r="G2441" s="40">
        <v>1.624634396</v>
      </c>
      <c r="H2441" s="40" t="str">
        <f t="shared" si="1"/>
        <v>#N/A</v>
      </c>
      <c r="I2441" s="41">
        <v>0.48</v>
      </c>
      <c r="J2441" s="41">
        <v>0.106666667</v>
      </c>
      <c r="K2441" s="41">
        <v>0.413333333</v>
      </c>
      <c r="L2441" s="41">
        <f t="shared" si="2"/>
        <v>0.066666667</v>
      </c>
      <c r="M2441" s="74">
        <v>-0.500810119</v>
      </c>
    </row>
    <row r="2442">
      <c r="A2442" s="1" t="s">
        <v>166</v>
      </c>
      <c r="B2442" s="38">
        <v>608331.0</v>
      </c>
      <c r="C2442" s="72">
        <v>45762.0</v>
      </c>
      <c r="D2442" s="38">
        <v>89.0</v>
      </c>
      <c r="E2442" s="73">
        <f>IFERROR(__xludf.DUMMYFUNCTION("average(filter('Appearance Sheet'!F:F,'Appearance Sheet'!G:G=B2442,'Appearance Sheet'!A:A=C2442))"),6.666666666666667)</f>
        <v>6.666666667</v>
      </c>
      <c r="F2442" s="67">
        <v>5.072364836</v>
      </c>
      <c r="G2442" s="40">
        <v>1.930654235</v>
      </c>
      <c r="H2442" s="40">
        <f t="shared" si="1"/>
        <v>2.606383217</v>
      </c>
      <c r="I2442" s="41">
        <v>0.494382022</v>
      </c>
      <c r="J2442" s="41">
        <v>0.157303371</v>
      </c>
      <c r="K2442" s="41">
        <v>0.348314607</v>
      </c>
      <c r="L2442" s="41">
        <f t="shared" si="2"/>
        <v>0.146067415</v>
      </c>
      <c r="M2442" s="74">
        <v>-0.334088238</v>
      </c>
    </row>
    <row r="2443">
      <c r="A2443" s="1" t="s">
        <v>272</v>
      </c>
      <c r="B2443" s="38">
        <v>622491.0</v>
      </c>
      <c r="C2443" s="72">
        <v>45912.0</v>
      </c>
      <c r="D2443" s="38">
        <v>93.0</v>
      </c>
      <c r="E2443" s="73" t="str">
        <f>IFERROR(__xludf.DUMMYFUNCTION("average(filter('Appearance Sheet'!F:F,'Appearance Sheet'!G:G=B2443,'Appearance Sheet'!A:A=C2443))"),"#N/A")</f>
        <v>#N/A</v>
      </c>
      <c r="F2443" s="67">
        <v>5.0721499</v>
      </c>
      <c r="G2443" s="40">
        <v>2.020039022</v>
      </c>
      <c r="H2443" s="40" t="str">
        <f t="shared" si="1"/>
        <v>#N/A</v>
      </c>
      <c r="I2443" s="41">
        <v>0.440860215</v>
      </c>
      <c r="J2443" s="41">
        <v>0.215053763</v>
      </c>
      <c r="K2443" s="41">
        <v>0.344086022</v>
      </c>
      <c r="L2443" s="41">
        <f t="shared" si="2"/>
        <v>0.096774193</v>
      </c>
      <c r="M2443" s="74">
        <v>1.97629636</v>
      </c>
    </row>
    <row r="2444">
      <c r="A2444" s="1" t="s">
        <v>222</v>
      </c>
      <c r="B2444" s="38">
        <v>518876.0</v>
      </c>
      <c r="C2444" s="72">
        <v>45910.0</v>
      </c>
      <c r="D2444" s="38">
        <v>90.0</v>
      </c>
      <c r="E2444" s="73" t="str">
        <f>IFERROR(__xludf.DUMMYFUNCTION("average(filter('Appearance Sheet'!F:F,'Appearance Sheet'!G:G=B2444,'Appearance Sheet'!A:A=C2444))"),"#N/A")</f>
        <v>#N/A</v>
      </c>
      <c r="F2444" s="67">
        <v>5.072044494</v>
      </c>
      <c r="G2444" s="40">
        <v>1.98669211</v>
      </c>
      <c r="H2444" s="40" t="str">
        <f t="shared" si="1"/>
        <v>#N/A</v>
      </c>
      <c r="I2444" s="41">
        <v>0.411111111</v>
      </c>
      <c r="J2444" s="41">
        <v>0.244444444</v>
      </c>
      <c r="K2444" s="41">
        <v>0.344444444</v>
      </c>
      <c r="L2444" s="41">
        <f t="shared" si="2"/>
        <v>0.066666667</v>
      </c>
      <c r="M2444" s="74">
        <v>-3.671485345</v>
      </c>
    </row>
    <row r="2445">
      <c r="A2445" s="1" t="s">
        <v>452</v>
      </c>
      <c r="B2445" s="38">
        <v>607625.0</v>
      </c>
      <c r="C2445" s="72">
        <v>45877.0</v>
      </c>
      <c r="D2445" s="38">
        <v>78.0</v>
      </c>
      <c r="E2445" s="73" t="str">
        <f>IFERROR(__xludf.DUMMYFUNCTION("average(filter('Appearance Sheet'!F:F,'Appearance Sheet'!G:G=B2445,'Appearance Sheet'!A:A=C2445))"),"#N/A")</f>
        <v>#N/A</v>
      </c>
      <c r="F2445" s="67">
        <v>5.071995808</v>
      </c>
      <c r="G2445" s="40">
        <v>1.694018957</v>
      </c>
      <c r="H2445" s="40" t="str">
        <f t="shared" si="1"/>
        <v>#N/A</v>
      </c>
      <c r="I2445" s="41">
        <v>0.435897436</v>
      </c>
      <c r="J2445" s="41">
        <v>0.192307692</v>
      </c>
      <c r="K2445" s="41">
        <v>0.371794872</v>
      </c>
      <c r="L2445" s="41">
        <f t="shared" si="2"/>
        <v>0.064102564</v>
      </c>
      <c r="M2445" s="74">
        <v>-3.152740575</v>
      </c>
    </row>
    <row r="2446">
      <c r="A2446" s="1" t="s">
        <v>242</v>
      </c>
      <c r="B2446" s="38">
        <v>669358.0</v>
      </c>
      <c r="C2446" s="72">
        <v>45881.0</v>
      </c>
      <c r="D2446" s="38">
        <v>92.0</v>
      </c>
      <c r="E2446" s="73" t="str">
        <f>IFERROR(__xludf.DUMMYFUNCTION("average(filter('Appearance Sheet'!F:F,'Appearance Sheet'!G:G=B2446,'Appearance Sheet'!A:A=C2446))"),"#N/A")</f>
        <v>#N/A</v>
      </c>
      <c r="F2446" s="67">
        <v>5.071866638</v>
      </c>
      <c r="G2446" s="40">
        <v>2.030702734</v>
      </c>
      <c r="H2446" s="40" t="str">
        <f t="shared" si="1"/>
        <v>#N/A</v>
      </c>
      <c r="I2446" s="41">
        <v>0.5</v>
      </c>
      <c r="J2446" s="41">
        <v>0.184782609</v>
      </c>
      <c r="K2446" s="41">
        <v>0.315217391</v>
      </c>
      <c r="L2446" s="41">
        <f t="shared" si="2"/>
        <v>0.184782609</v>
      </c>
      <c r="M2446" s="74">
        <v>-0.571417152</v>
      </c>
    </row>
    <row r="2447">
      <c r="A2447" s="1" t="s">
        <v>389</v>
      </c>
      <c r="B2447" s="38">
        <v>682052.0</v>
      </c>
      <c r="C2447" s="72">
        <v>45850.0</v>
      </c>
      <c r="D2447" s="38">
        <v>83.0</v>
      </c>
      <c r="E2447" s="73" t="str">
        <f>IFERROR(__xludf.DUMMYFUNCTION("average(filter('Appearance Sheet'!F:F,'Appearance Sheet'!G:G=B2447,'Appearance Sheet'!A:A=C2447))"),"#N/A")</f>
        <v>#N/A</v>
      </c>
      <c r="F2447" s="67">
        <v>5.071551186</v>
      </c>
      <c r="G2447" s="40">
        <v>1.822991104</v>
      </c>
      <c r="H2447" s="40" t="str">
        <f t="shared" si="1"/>
        <v>#N/A</v>
      </c>
      <c r="I2447" s="41">
        <v>0.445783133</v>
      </c>
      <c r="J2447" s="41">
        <v>0.168674699</v>
      </c>
      <c r="K2447" s="41">
        <v>0.385542169</v>
      </c>
      <c r="L2447" s="41">
        <f t="shared" si="2"/>
        <v>0.060240964</v>
      </c>
      <c r="M2447" s="74">
        <v>1.042796332</v>
      </c>
    </row>
    <row r="2448">
      <c r="A2448" s="1" t="s">
        <v>399</v>
      </c>
      <c r="B2448" s="38">
        <v>543294.0</v>
      </c>
      <c r="C2448" s="72">
        <v>45825.0</v>
      </c>
      <c r="D2448" s="38">
        <v>98.0</v>
      </c>
      <c r="E2448" s="73">
        <f>IFERROR(__xludf.DUMMYFUNCTION("average(filter('Appearance Sheet'!F:F,'Appearance Sheet'!G:G=B2448,'Appearance Sheet'!A:A=C2448))"),6.0)</f>
        <v>6</v>
      </c>
      <c r="F2448" s="67">
        <v>5.071482095</v>
      </c>
      <c r="G2448" s="40">
        <v>2.093832009</v>
      </c>
      <c r="H2448" s="40">
        <f t="shared" si="1"/>
        <v>3.140748014</v>
      </c>
      <c r="I2448" s="41">
        <v>0.408163265</v>
      </c>
      <c r="J2448" s="41">
        <v>0.234693878</v>
      </c>
      <c r="K2448" s="41">
        <v>0.357142857</v>
      </c>
      <c r="L2448" s="41">
        <f t="shared" si="2"/>
        <v>0.051020408</v>
      </c>
      <c r="M2448" s="74">
        <v>2.949301231</v>
      </c>
    </row>
    <row r="2449">
      <c r="A2449" s="1" t="s">
        <v>411</v>
      </c>
      <c r="B2449" s="38">
        <v>605288.0</v>
      </c>
      <c r="C2449" s="72">
        <v>45803.0</v>
      </c>
      <c r="D2449" s="38">
        <v>99.0</v>
      </c>
      <c r="E2449" s="73">
        <f>IFERROR(__xludf.DUMMYFUNCTION("average(filter('Appearance Sheet'!F:F,'Appearance Sheet'!G:G=B2449,'Appearance Sheet'!A:A=C2449))"),6.0)</f>
        <v>6</v>
      </c>
      <c r="F2449" s="67">
        <v>5.071469103</v>
      </c>
      <c r="G2449" s="40">
        <v>2.120294959</v>
      </c>
      <c r="H2449" s="40">
        <f t="shared" si="1"/>
        <v>3.180442439</v>
      </c>
      <c r="I2449" s="41">
        <v>0.484848485</v>
      </c>
      <c r="J2449" s="41">
        <v>0.151515152</v>
      </c>
      <c r="K2449" s="41">
        <v>0.363636364</v>
      </c>
      <c r="L2449" s="41">
        <f t="shared" si="2"/>
        <v>0.121212121</v>
      </c>
      <c r="M2449" s="74">
        <v>3.428662811</v>
      </c>
    </row>
    <row r="2450">
      <c r="A2450" s="1" t="s">
        <v>234</v>
      </c>
      <c r="B2450" s="38">
        <v>690997.0</v>
      </c>
      <c r="C2450" s="72">
        <v>45902.0</v>
      </c>
      <c r="D2450" s="38">
        <v>85.0</v>
      </c>
      <c r="E2450" s="73" t="str">
        <f>IFERROR(__xludf.DUMMYFUNCTION("average(filter('Appearance Sheet'!F:F,'Appearance Sheet'!G:G=B2450,'Appearance Sheet'!A:A=C2450))"),"#N/A")</f>
        <v>#N/A</v>
      </c>
      <c r="F2450" s="67">
        <v>5.071084083</v>
      </c>
      <c r="G2450" s="40">
        <v>1.817331395</v>
      </c>
      <c r="H2450" s="40" t="str">
        <f t="shared" si="1"/>
        <v>#N/A</v>
      </c>
      <c r="I2450" s="41">
        <v>0.447058824</v>
      </c>
      <c r="J2450" s="41">
        <v>0.223529412</v>
      </c>
      <c r="K2450" s="41">
        <v>0.329411765</v>
      </c>
      <c r="L2450" s="41">
        <f t="shared" si="2"/>
        <v>0.117647059</v>
      </c>
      <c r="M2450" s="74">
        <v>2.036387411</v>
      </c>
    </row>
    <row r="2451">
      <c r="A2451" s="1" t="s">
        <v>188</v>
      </c>
      <c r="B2451" s="38">
        <v>694819.0</v>
      </c>
      <c r="C2451" s="72">
        <v>45828.0</v>
      </c>
      <c r="D2451" s="38">
        <v>84.0</v>
      </c>
      <c r="E2451" s="73">
        <f>IFERROR(__xludf.DUMMYFUNCTION("average(filter('Appearance Sheet'!F:F,'Appearance Sheet'!G:G=B2451,'Appearance Sheet'!A:A=C2451))"),6.0)</f>
        <v>6</v>
      </c>
      <c r="F2451" s="67">
        <v>5.071056453</v>
      </c>
      <c r="G2451" s="40">
        <v>1.786954857</v>
      </c>
      <c r="H2451" s="40">
        <f t="shared" si="1"/>
        <v>2.680432286</v>
      </c>
      <c r="I2451" s="41">
        <v>0.464285714</v>
      </c>
      <c r="J2451" s="41">
        <v>0.273809524</v>
      </c>
      <c r="K2451" s="41">
        <v>0.261904762</v>
      </c>
      <c r="L2451" s="41">
        <f t="shared" si="2"/>
        <v>0.202380952</v>
      </c>
      <c r="M2451" s="74">
        <v>3.853558148</v>
      </c>
    </row>
    <row r="2452">
      <c r="A2452" s="1" t="s">
        <v>147</v>
      </c>
      <c r="B2452" s="38">
        <v>608379.0</v>
      </c>
      <c r="C2452" s="72">
        <v>45838.0</v>
      </c>
      <c r="D2452" s="38">
        <v>92.0</v>
      </c>
      <c r="E2452" s="73">
        <f>IFERROR(__xludf.DUMMYFUNCTION("average(filter('Appearance Sheet'!F:F,'Appearance Sheet'!G:G=B2452,'Appearance Sheet'!A:A=C2452))"),5.0)</f>
        <v>5</v>
      </c>
      <c r="F2452" s="67">
        <v>5.071029329</v>
      </c>
      <c r="G2452" s="40">
        <v>1.988312525</v>
      </c>
      <c r="H2452" s="40">
        <f t="shared" si="1"/>
        <v>3.578962545</v>
      </c>
      <c r="I2452" s="41">
        <v>0.489130435</v>
      </c>
      <c r="J2452" s="41">
        <v>0.173913043</v>
      </c>
      <c r="K2452" s="41">
        <v>0.336956522</v>
      </c>
      <c r="L2452" s="41">
        <f t="shared" si="2"/>
        <v>0.152173913</v>
      </c>
      <c r="M2452" s="74">
        <v>-1.838339744</v>
      </c>
    </row>
    <row r="2453">
      <c r="A2453" s="1" t="s">
        <v>432</v>
      </c>
      <c r="B2453" s="38">
        <v>669467.0</v>
      </c>
      <c r="C2453" s="72">
        <v>45787.0</v>
      </c>
      <c r="D2453" s="38">
        <v>84.0</v>
      </c>
      <c r="E2453" s="73">
        <f>IFERROR(__xludf.DUMMYFUNCTION("average(filter('Appearance Sheet'!F:F,'Appearance Sheet'!G:G=B2453,'Appearance Sheet'!A:A=C2453))"),7.333333333333333)</f>
        <v>7.333333333</v>
      </c>
      <c r="F2453" s="67">
        <v>5.071020105</v>
      </c>
      <c r="G2453" s="40">
        <v>1.849138617</v>
      </c>
      <c r="H2453" s="40">
        <f t="shared" si="1"/>
        <v>2.269397394</v>
      </c>
      <c r="I2453" s="41">
        <v>0.5</v>
      </c>
      <c r="J2453" s="41">
        <v>0.154761905</v>
      </c>
      <c r="K2453" s="41">
        <v>0.345238095</v>
      </c>
      <c r="L2453" s="41">
        <f t="shared" si="2"/>
        <v>0.154761905</v>
      </c>
      <c r="M2453" s="74">
        <v>1.203039506</v>
      </c>
    </row>
    <row r="2454">
      <c r="A2454" s="1" t="s">
        <v>143</v>
      </c>
      <c r="B2454" s="38">
        <v>690928.0</v>
      </c>
      <c r="C2454" s="72">
        <v>45786.0</v>
      </c>
      <c r="D2454" s="38">
        <v>78.0</v>
      </c>
      <c r="E2454" s="73">
        <f>IFERROR(__xludf.DUMMYFUNCTION("average(filter('Appearance Sheet'!F:F,'Appearance Sheet'!G:G=B2454,'Appearance Sheet'!A:A=C2454))"),6.0)</f>
        <v>6</v>
      </c>
      <c r="F2454" s="67">
        <v>5.07092424</v>
      </c>
      <c r="G2454" s="40">
        <v>1.681383775</v>
      </c>
      <c r="H2454" s="40">
        <f t="shared" si="1"/>
        <v>2.522075663</v>
      </c>
      <c r="I2454" s="41">
        <v>0.448717949</v>
      </c>
      <c r="J2454" s="41">
        <v>0.217948718</v>
      </c>
      <c r="K2454" s="41">
        <v>0.333333333</v>
      </c>
      <c r="L2454" s="41">
        <f t="shared" si="2"/>
        <v>0.115384616</v>
      </c>
      <c r="M2454" s="74">
        <v>-1.006294161</v>
      </c>
    </row>
    <row r="2455">
      <c r="A2455" s="1" t="s">
        <v>307</v>
      </c>
      <c r="B2455" s="38">
        <v>656849.0</v>
      </c>
      <c r="C2455" s="72">
        <v>45813.0</v>
      </c>
      <c r="D2455" s="38">
        <v>88.0</v>
      </c>
      <c r="E2455" s="73">
        <f>IFERROR(__xludf.DUMMYFUNCTION("average(filter('Appearance Sheet'!F:F,'Appearance Sheet'!G:G=B2455,'Appearance Sheet'!A:A=C2455))"),7.0)</f>
        <v>7</v>
      </c>
      <c r="F2455" s="67">
        <v>5.070883312</v>
      </c>
      <c r="G2455" s="40">
        <v>1.91609263</v>
      </c>
      <c r="H2455" s="40">
        <f t="shared" si="1"/>
        <v>2.463547667</v>
      </c>
      <c r="I2455" s="41">
        <v>0.465909091</v>
      </c>
      <c r="J2455" s="41">
        <v>0.170454545</v>
      </c>
      <c r="K2455" s="41">
        <v>0.363636364</v>
      </c>
      <c r="L2455" s="41">
        <f t="shared" si="2"/>
        <v>0.102272727</v>
      </c>
      <c r="M2455" s="74">
        <v>-1.255154978</v>
      </c>
    </row>
    <row r="2456">
      <c r="A2456" s="1" t="s">
        <v>335</v>
      </c>
      <c r="B2456" s="38">
        <v>663436.0</v>
      </c>
      <c r="C2456" s="72">
        <v>45774.0</v>
      </c>
      <c r="D2456" s="38">
        <v>73.0</v>
      </c>
      <c r="E2456" s="73">
        <f>IFERROR(__xludf.DUMMYFUNCTION("average(filter('Appearance Sheet'!F:F,'Appearance Sheet'!G:G=B2456,'Appearance Sheet'!A:A=C2456))"),6.0)</f>
        <v>6</v>
      </c>
      <c r="F2456" s="67">
        <v>5.07075429</v>
      </c>
      <c r="G2456" s="40">
        <v>1.573157796</v>
      </c>
      <c r="H2456" s="40">
        <f t="shared" si="1"/>
        <v>2.359736694</v>
      </c>
      <c r="I2456" s="41">
        <v>0.520547945</v>
      </c>
      <c r="J2456" s="41">
        <v>0.136986301</v>
      </c>
      <c r="K2456" s="41">
        <v>0.342465753</v>
      </c>
      <c r="L2456" s="41">
        <f t="shared" si="2"/>
        <v>0.178082192</v>
      </c>
      <c r="M2456" s="74">
        <v>1.504153395</v>
      </c>
    </row>
    <row r="2457">
      <c r="A2457" s="1" t="s">
        <v>264</v>
      </c>
      <c r="B2457" s="38">
        <v>669920.0</v>
      </c>
      <c r="C2457" s="72">
        <v>45903.0</v>
      </c>
      <c r="D2457" s="38">
        <v>98.0</v>
      </c>
      <c r="E2457" s="73" t="str">
        <f>IFERROR(__xludf.DUMMYFUNCTION("average(filter('Appearance Sheet'!F:F,'Appearance Sheet'!G:G=B2457,'Appearance Sheet'!A:A=C2457))"),"#N/A")</f>
        <v>#N/A</v>
      </c>
      <c r="F2457" s="67">
        <v>5.070729189</v>
      </c>
      <c r="G2457" s="40">
        <v>2.127316233</v>
      </c>
      <c r="H2457" s="40" t="str">
        <f t="shared" si="1"/>
        <v>#N/A</v>
      </c>
      <c r="I2457" s="41">
        <v>0.459183673</v>
      </c>
      <c r="J2457" s="41">
        <v>0.173469388</v>
      </c>
      <c r="K2457" s="41">
        <v>0.367346939</v>
      </c>
      <c r="L2457" s="41">
        <f t="shared" si="2"/>
        <v>0.091836734</v>
      </c>
      <c r="M2457" s="74">
        <v>0.245174914</v>
      </c>
    </row>
    <row r="2458">
      <c r="A2458" s="1" t="s">
        <v>394</v>
      </c>
      <c r="B2458" s="38">
        <v>621121.0</v>
      </c>
      <c r="C2458" s="72">
        <v>45818.0</v>
      </c>
      <c r="D2458" s="38">
        <v>92.0</v>
      </c>
      <c r="E2458" s="73">
        <f>IFERROR(__xludf.DUMMYFUNCTION("average(filter('Appearance Sheet'!F:F,'Appearance Sheet'!G:G=B2458,'Appearance Sheet'!A:A=C2458))"),5.0)</f>
        <v>5</v>
      </c>
      <c r="F2458" s="67">
        <v>5.070594397</v>
      </c>
      <c r="G2458" s="40">
        <v>1.947294634</v>
      </c>
      <c r="H2458" s="40">
        <f t="shared" si="1"/>
        <v>3.505130341</v>
      </c>
      <c r="I2458" s="41">
        <v>0.489130435</v>
      </c>
      <c r="J2458" s="41">
        <v>0.141304348</v>
      </c>
      <c r="K2458" s="41">
        <v>0.369565217</v>
      </c>
      <c r="L2458" s="41">
        <f t="shared" si="2"/>
        <v>0.119565218</v>
      </c>
      <c r="M2458" s="74">
        <v>-0.193460683</v>
      </c>
    </row>
    <row r="2459">
      <c r="A2459" s="1" t="s">
        <v>197</v>
      </c>
      <c r="B2459" s="38">
        <v>676467.0</v>
      </c>
      <c r="C2459" s="72">
        <v>45821.0</v>
      </c>
      <c r="D2459" s="38">
        <v>102.0</v>
      </c>
      <c r="E2459" s="73">
        <f>IFERROR(__xludf.DUMMYFUNCTION("average(filter('Appearance Sheet'!F:F,'Appearance Sheet'!G:G=B2459,'Appearance Sheet'!A:A=C2459))"),6.0)</f>
        <v>6</v>
      </c>
      <c r="F2459" s="67">
        <v>5.070456898</v>
      </c>
      <c r="G2459" s="40">
        <v>2.210662378</v>
      </c>
      <c r="H2459" s="40">
        <f t="shared" si="1"/>
        <v>3.315993567</v>
      </c>
      <c r="I2459" s="41">
        <v>0.470588235</v>
      </c>
      <c r="J2459" s="41">
        <v>0.156862745</v>
      </c>
      <c r="K2459" s="41">
        <v>0.37254902</v>
      </c>
      <c r="L2459" s="41">
        <f t="shared" si="2"/>
        <v>0.098039215</v>
      </c>
      <c r="M2459" s="74">
        <v>-0.563809784</v>
      </c>
    </row>
    <row r="2460">
      <c r="A2460" s="1" t="s">
        <v>229</v>
      </c>
      <c r="B2460" s="38">
        <v>645261.0</v>
      </c>
      <c r="C2460" s="72">
        <v>45926.0</v>
      </c>
      <c r="D2460" s="38">
        <v>94.0</v>
      </c>
      <c r="E2460" s="73" t="str">
        <f>IFERROR(__xludf.DUMMYFUNCTION("average(filter('Appearance Sheet'!F:F,'Appearance Sheet'!G:G=B2460,'Appearance Sheet'!A:A=C2460))"),"#N/A")</f>
        <v>#N/A</v>
      </c>
      <c r="F2460" s="67">
        <v>5.07043297</v>
      </c>
      <c r="G2460" s="40">
        <v>2.089961861</v>
      </c>
      <c r="H2460" s="40" t="str">
        <f t="shared" si="1"/>
        <v>#N/A</v>
      </c>
      <c r="I2460" s="41">
        <v>0.436170213</v>
      </c>
      <c r="J2460" s="41">
        <v>0.223404255</v>
      </c>
      <c r="K2460" s="41">
        <v>0.340425532</v>
      </c>
      <c r="L2460" s="41">
        <f t="shared" si="2"/>
        <v>0.095744681</v>
      </c>
      <c r="M2460" s="74">
        <v>1.564193481</v>
      </c>
    </row>
    <row r="2461">
      <c r="A2461" s="1" t="s">
        <v>85</v>
      </c>
      <c r="B2461" s="38">
        <v>808967.0</v>
      </c>
      <c r="C2461" s="72">
        <v>45809.0</v>
      </c>
      <c r="D2461" s="38">
        <v>91.0</v>
      </c>
      <c r="E2461" s="73">
        <f>IFERROR(__xludf.DUMMYFUNCTION("average(filter('Appearance Sheet'!F:F,'Appearance Sheet'!G:G=B2461,'Appearance Sheet'!A:A=C2461))"),3.6666666666666665)</f>
        <v>3.666666667</v>
      </c>
      <c r="F2461" s="67">
        <v>5.070301791</v>
      </c>
      <c r="G2461" s="40">
        <v>1.95009264</v>
      </c>
      <c r="H2461" s="40">
        <f t="shared" si="1"/>
        <v>4.786591025</v>
      </c>
      <c r="I2461" s="41">
        <v>0.538461538</v>
      </c>
      <c r="J2461" s="41">
        <v>0.153846154</v>
      </c>
      <c r="K2461" s="41">
        <v>0.307692308</v>
      </c>
      <c r="L2461" s="41">
        <f t="shared" si="2"/>
        <v>0.23076923</v>
      </c>
      <c r="M2461" s="74">
        <v>-1.224610913</v>
      </c>
    </row>
    <row r="2462">
      <c r="A2462" s="1" t="s">
        <v>476</v>
      </c>
      <c r="B2462" s="38">
        <v>500779.0</v>
      </c>
      <c r="C2462" s="72">
        <v>45763.0</v>
      </c>
      <c r="D2462" s="38">
        <v>98.0</v>
      </c>
      <c r="E2462" s="73">
        <f>IFERROR(__xludf.DUMMYFUNCTION("average(filter('Appearance Sheet'!F:F,'Appearance Sheet'!G:G=B2462,'Appearance Sheet'!A:A=C2462))"),5.666666666666667)</f>
        <v>5.666666667</v>
      </c>
      <c r="F2462" s="67">
        <v>5.070227764</v>
      </c>
      <c r="G2462" s="40">
        <v>2.134207148</v>
      </c>
      <c r="H2462" s="40">
        <f t="shared" si="1"/>
        <v>3.389623117</v>
      </c>
      <c r="I2462" s="41">
        <v>0.418367347</v>
      </c>
      <c r="J2462" s="41">
        <v>0.244897959</v>
      </c>
      <c r="K2462" s="41">
        <v>0.336734694</v>
      </c>
      <c r="L2462" s="41">
        <f t="shared" si="2"/>
        <v>0.081632653</v>
      </c>
      <c r="M2462" s="74">
        <v>2.598349219</v>
      </c>
    </row>
    <row r="2463">
      <c r="A2463" s="1" t="s">
        <v>171</v>
      </c>
      <c r="B2463" s="38">
        <v>665795.0</v>
      </c>
      <c r="C2463" s="72">
        <v>45769.0</v>
      </c>
      <c r="D2463" s="38">
        <v>85.0</v>
      </c>
      <c r="E2463" s="73">
        <f>IFERROR(__xludf.DUMMYFUNCTION("average(filter('Appearance Sheet'!F:F,'Appearance Sheet'!G:G=B2463,'Appearance Sheet'!A:A=C2463))"),5.0)</f>
        <v>5</v>
      </c>
      <c r="F2463" s="67">
        <v>5.070078649</v>
      </c>
      <c r="G2463" s="40">
        <v>1.834699131</v>
      </c>
      <c r="H2463" s="40">
        <f t="shared" si="1"/>
        <v>3.302458436</v>
      </c>
      <c r="I2463" s="41">
        <v>0.435294118</v>
      </c>
      <c r="J2463" s="41">
        <v>0.152941176</v>
      </c>
      <c r="K2463" s="41">
        <v>0.411764706</v>
      </c>
      <c r="L2463" s="41">
        <f t="shared" si="2"/>
        <v>0.023529412</v>
      </c>
      <c r="M2463" s="74">
        <v>-0.427075823</v>
      </c>
    </row>
    <row r="2464">
      <c r="A2464" s="1" t="s">
        <v>155</v>
      </c>
      <c r="B2464" s="38">
        <v>592332.0</v>
      </c>
      <c r="C2464" s="72">
        <v>45821.0</v>
      </c>
      <c r="D2464" s="38">
        <v>94.0</v>
      </c>
      <c r="E2464" s="73">
        <f>IFERROR(__xludf.DUMMYFUNCTION("average(filter('Appearance Sheet'!F:F,'Appearance Sheet'!G:G=B2464,'Appearance Sheet'!A:A=C2464))"),5.0)</f>
        <v>5</v>
      </c>
      <c r="F2464" s="67">
        <v>5.07004403</v>
      </c>
      <c r="G2464" s="40">
        <v>1.990854166</v>
      </c>
      <c r="H2464" s="40">
        <f t="shared" si="1"/>
        <v>3.583537499</v>
      </c>
      <c r="I2464" s="41">
        <v>0.425531915</v>
      </c>
      <c r="J2464" s="41">
        <v>0.234042553</v>
      </c>
      <c r="K2464" s="41">
        <v>0.340425532</v>
      </c>
      <c r="L2464" s="41">
        <f t="shared" si="2"/>
        <v>0.085106383</v>
      </c>
      <c r="M2464" s="74">
        <v>2.152168127</v>
      </c>
    </row>
    <row r="2465">
      <c r="A2465" s="1" t="s">
        <v>369</v>
      </c>
      <c r="B2465" s="38">
        <v>596295.0</v>
      </c>
      <c r="C2465" s="72">
        <v>45888.0</v>
      </c>
      <c r="D2465" s="38">
        <v>74.0</v>
      </c>
      <c r="E2465" s="73" t="str">
        <f>IFERROR(__xludf.DUMMYFUNCTION("average(filter('Appearance Sheet'!F:F,'Appearance Sheet'!G:G=B2465,'Appearance Sheet'!A:A=C2465))"),"#N/A")</f>
        <v>#N/A</v>
      </c>
      <c r="F2465" s="67">
        <v>5.069862603</v>
      </c>
      <c r="G2465" s="40">
        <v>1.63763266</v>
      </c>
      <c r="H2465" s="40" t="str">
        <f t="shared" si="1"/>
        <v>#N/A</v>
      </c>
      <c r="I2465" s="41">
        <v>0.418918919</v>
      </c>
      <c r="J2465" s="41">
        <v>0.256756757</v>
      </c>
      <c r="K2465" s="41">
        <v>0.324324324</v>
      </c>
      <c r="L2465" s="41">
        <f t="shared" si="2"/>
        <v>0.094594595</v>
      </c>
      <c r="M2465" s="74">
        <v>-4.460017277</v>
      </c>
    </row>
    <row r="2466">
      <c r="A2466" s="1" t="s">
        <v>353</v>
      </c>
      <c r="B2466" s="38">
        <v>663903.0</v>
      </c>
      <c r="C2466" s="72">
        <v>45810.0</v>
      </c>
      <c r="D2466" s="38">
        <v>93.0</v>
      </c>
      <c r="E2466" s="73">
        <f>IFERROR(__xludf.DUMMYFUNCTION("average(filter('Appearance Sheet'!F:F,'Appearance Sheet'!G:G=B2466,'Appearance Sheet'!A:A=C2466))"),5.0)</f>
        <v>5</v>
      </c>
      <c r="F2466" s="67">
        <v>5.069846191</v>
      </c>
      <c r="G2466" s="40">
        <v>2.015519771</v>
      </c>
      <c r="H2466" s="40">
        <f t="shared" si="1"/>
        <v>3.627935588</v>
      </c>
      <c r="I2466" s="41">
        <v>0.451612903</v>
      </c>
      <c r="J2466" s="41">
        <v>0.172043011</v>
      </c>
      <c r="K2466" s="41">
        <v>0.376344086</v>
      </c>
      <c r="L2466" s="41">
        <f t="shared" si="2"/>
        <v>0.075268817</v>
      </c>
      <c r="M2466" s="74">
        <v>1.17117599</v>
      </c>
    </row>
    <row r="2467">
      <c r="A2467" s="1" t="s">
        <v>222</v>
      </c>
      <c r="B2467" s="38">
        <v>518876.0</v>
      </c>
      <c r="C2467" s="72">
        <v>45858.0</v>
      </c>
      <c r="D2467" s="38">
        <v>97.0</v>
      </c>
      <c r="E2467" s="73" t="str">
        <f>IFERROR(__xludf.DUMMYFUNCTION("average(filter('Appearance Sheet'!F:F,'Appearance Sheet'!G:G=B2467,'Appearance Sheet'!A:A=C2467))"),"#N/A")</f>
        <v>#N/A</v>
      </c>
      <c r="F2467" s="67">
        <v>5.069761642</v>
      </c>
      <c r="G2467" s="40">
        <v>2.094439149</v>
      </c>
      <c r="H2467" s="40" t="str">
        <f t="shared" si="1"/>
        <v>#N/A</v>
      </c>
      <c r="I2467" s="41">
        <v>0.484536082</v>
      </c>
      <c r="J2467" s="41">
        <v>0.195876289</v>
      </c>
      <c r="K2467" s="41">
        <v>0.319587629</v>
      </c>
      <c r="L2467" s="41">
        <f t="shared" si="2"/>
        <v>0.164948453</v>
      </c>
      <c r="M2467" s="74">
        <v>2.686961351</v>
      </c>
    </row>
    <row r="2468">
      <c r="A2468" s="1" t="s">
        <v>437</v>
      </c>
      <c r="B2468" s="38">
        <v>695418.0</v>
      </c>
      <c r="C2468" s="72">
        <v>45883.0</v>
      </c>
      <c r="D2468" s="38">
        <v>88.0</v>
      </c>
      <c r="E2468" s="73" t="str">
        <f>IFERROR(__xludf.DUMMYFUNCTION("average(filter('Appearance Sheet'!F:F,'Appearance Sheet'!G:G=B2468,'Appearance Sheet'!A:A=C2468))"),"#N/A")</f>
        <v>#N/A</v>
      </c>
      <c r="F2468" s="67">
        <v>5.069649748</v>
      </c>
      <c r="G2468" s="40">
        <v>1.924683185</v>
      </c>
      <c r="H2468" s="40" t="str">
        <f t="shared" si="1"/>
        <v>#N/A</v>
      </c>
      <c r="I2468" s="41">
        <v>0.465909091</v>
      </c>
      <c r="J2468" s="41">
        <v>0.204545455</v>
      </c>
      <c r="K2468" s="41">
        <v>0.329545455</v>
      </c>
      <c r="L2468" s="41">
        <f t="shared" si="2"/>
        <v>0.136363636</v>
      </c>
      <c r="M2468" s="74">
        <v>-1.248366692</v>
      </c>
    </row>
    <row r="2469">
      <c r="A2469" s="1" t="s">
        <v>294</v>
      </c>
      <c r="B2469" s="38">
        <v>665152.0</v>
      </c>
      <c r="C2469" s="72">
        <v>45863.0</v>
      </c>
      <c r="D2469" s="38">
        <v>91.0</v>
      </c>
      <c r="E2469" s="73" t="str">
        <f>IFERROR(__xludf.DUMMYFUNCTION("average(filter('Appearance Sheet'!F:F,'Appearance Sheet'!G:G=B2469,'Appearance Sheet'!A:A=C2469))"),"#N/A")</f>
        <v>#N/A</v>
      </c>
      <c r="F2469" s="67">
        <v>5.069638478</v>
      </c>
      <c r="G2469" s="40">
        <v>2.008943155</v>
      </c>
      <c r="H2469" s="40" t="str">
        <f t="shared" si="1"/>
        <v>#N/A</v>
      </c>
      <c r="I2469" s="41">
        <v>0.428571429</v>
      </c>
      <c r="J2469" s="41">
        <v>0.252747253</v>
      </c>
      <c r="K2469" s="41">
        <v>0.318681319</v>
      </c>
      <c r="L2469" s="41">
        <f t="shared" si="2"/>
        <v>0.10989011</v>
      </c>
      <c r="M2469" s="74">
        <v>-0.471509827</v>
      </c>
    </row>
    <row r="2470">
      <c r="A2470" s="1" t="s">
        <v>432</v>
      </c>
      <c r="B2470" s="38">
        <v>669467.0</v>
      </c>
      <c r="C2470" s="72">
        <v>45793.0</v>
      </c>
      <c r="D2470" s="38">
        <v>99.0</v>
      </c>
      <c r="E2470" s="73">
        <f>IFERROR(__xludf.DUMMYFUNCTION("average(filter('Appearance Sheet'!F:F,'Appearance Sheet'!G:G=B2470,'Appearance Sheet'!A:A=C2470))"),7.0)</f>
        <v>7</v>
      </c>
      <c r="F2470" s="67">
        <v>5.069590809</v>
      </c>
      <c r="G2470" s="40">
        <v>2.161851024</v>
      </c>
      <c r="H2470" s="40">
        <f t="shared" si="1"/>
        <v>2.779522745</v>
      </c>
      <c r="I2470" s="41">
        <v>0.444444444</v>
      </c>
      <c r="J2470" s="41">
        <v>0.232323232</v>
      </c>
      <c r="K2470" s="41">
        <v>0.323232323</v>
      </c>
      <c r="L2470" s="41">
        <f t="shared" si="2"/>
        <v>0.121212121</v>
      </c>
      <c r="M2470" s="74">
        <v>-0.042741997</v>
      </c>
    </row>
    <row r="2471">
      <c r="A2471" s="1" t="s">
        <v>189</v>
      </c>
      <c r="B2471" s="38">
        <v>607536.0</v>
      </c>
      <c r="C2471" s="72">
        <v>45897.0</v>
      </c>
      <c r="D2471" s="38">
        <v>88.0</v>
      </c>
      <c r="E2471" s="73" t="str">
        <f>IFERROR(__xludf.DUMMYFUNCTION("average(filter('Appearance Sheet'!F:F,'Appearance Sheet'!G:G=B2471,'Appearance Sheet'!A:A=C2471))"),"#N/A")</f>
        <v>#N/A</v>
      </c>
      <c r="F2471" s="67">
        <v>5.069552274</v>
      </c>
      <c r="G2471" s="40">
        <v>1.91617254</v>
      </c>
      <c r="H2471" s="40" t="str">
        <f t="shared" si="1"/>
        <v>#N/A</v>
      </c>
      <c r="I2471" s="41">
        <v>0.443181818</v>
      </c>
      <c r="J2471" s="41">
        <v>0.215909091</v>
      </c>
      <c r="K2471" s="41">
        <v>0.340909091</v>
      </c>
      <c r="L2471" s="41">
        <f t="shared" si="2"/>
        <v>0.102272727</v>
      </c>
      <c r="M2471" s="74">
        <v>-2.22411272</v>
      </c>
    </row>
    <row r="2472">
      <c r="A2472" s="1" t="s">
        <v>247</v>
      </c>
      <c r="B2472" s="38">
        <v>605540.0</v>
      </c>
      <c r="C2472" s="72">
        <v>45917.0</v>
      </c>
      <c r="D2472" s="38">
        <v>67.0</v>
      </c>
      <c r="E2472" s="73" t="str">
        <f>IFERROR(__xludf.DUMMYFUNCTION("average(filter('Appearance Sheet'!F:F,'Appearance Sheet'!G:G=B2472,'Appearance Sheet'!A:A=C2472))"),"#N/A")</f>
        <v>#N/A</v>
      </c>
      <c r="F2472" s="67">
        <v>5.06935995</v>
      </c>
      <c r="G2472" s="40">
        <v>1.489679421</v>
      </c>
      <c r="H2472" s="40" t="str">
        <f t="shared" si="1"/>
        <v>#N/A</v>
      </c>
      <c r="I2472" s="41">
        <v>0.462686567</v>
      </c>
      <c r="J2472" s="41">
        <v>0.28358209</v>
      </c>
      <c r="K2472" s="41">
        <v>0.253731343</v>
      </c>
      <c r="L2472" s="41">
        <f t="shared" si="2"/>
        <v>0.208955224</v>
      </c>
      <c r="M2472" s="74">
        <v>3.135101501</v>
      </c>
    </row>
    <row r="2473">
      <c r="A2473" s="1" t="s">
        <v>299</v>
      </c>
      <c r="B2473" s="38">
        <v>621112.0</v>
      </c>
      <c r="C2473" s="72">
        <v>45882.0</v>
      </c>
      <c r="D2473" s="38">
        <v>60.0</v>
      </c>
      <c r="E2473" s="73" t="str">
        <f>IFERROR(__xludf.DUMMYFUNCTION("average(filter('Appearance Sheet'!F:F,'Appearance Sheet'!G:G=B2473,'Appearance Sheet'!A:A=C2473))"),"#N/A")</f>
        <v>#N/A</v>
      </c>
      <c r="F2473" s="67">
        <v>5.069282756</v>
      </c>
      <c r="G2473" s="40">
        <v>1.325549638</v>
      </c>
      <c r="H2473" s="40" t="str">
        <f t="shared" si="1"/>
        <v>#N/A</v>
      </c>
      <c r="I2473" s="41">
        <v>0.45</v>
      </c>
      <c r="J2473" s="41">
        <v>0.183333333</v>
      </c>
      <c r="K2473" s="41">
        <v>0.366666667</v>
      </c>
      <c r="L2473" s="41">
        <f t="shared" si="2"/>
        <v>0.083333333</v>
      </c>
      <c r="M2473" s="74">
        <v>3.327588364</v>
      </c>
    </row>
    <row r="2474">
      <c r="A2474" s="1" t="s">
        <v>125</v>
      </c>
      <c r="B2474" s="38">
        <v>663554.0</v>
      </c>
      <c r="C2474" s="72">
        <v>45807.0</v>
      </c>
      <c r="D2474" s="38">
        <v>76.0</v>
      </c>
      <c r="E2474" s="73">
        <f>IFERROR(__xludf.DUMMYFUNCTION("average(filter('Appearance Sheet'!F:F,'Appearance Sheet'!G:G=B2474,'Appearance Sheet'!A:A=C2474))"),3.3333333333333335)</f>
        <v>3.333333333</v>
      </c>
      <c r="F2474" s="67">
        <v>5.069097585</v>
      </c>
      <c r="G2474" s="40">
        <v>1.639803925</v>
      </c>
      <c r="H2474" s="40">
        <f t="shared" si="1"/>
        <v>4.427470598</v>
      </c>
      <c r="I2474" s="41">
        <v>0.486842105</v>
      </c>
      <c r="J2474" s="41">
        <v>0.157894737</v>
      </c>
      <c r="K2474" s="41">
        <v>0.355263158</v>
      </c>
      <c r="L2474" s="41">
        <f t="shared" si="2"/>
        <v>0.131578947</v>
      </c>
      <c r="M2474" s="74">
        <v>-4.048994173</v>
      </c>
    </row>
    <row r="2475">
      <c r="A2475" s="1" t="s">
        <v>275</v>
      </c>
      <c r="B2475" s="38">
        <v>693821.0</v>
      </c>
      <c r="C2475" s="72">
        <v>45888.0</v>
      </c>
      <c r="D2475" s="38">
        <v>84.0</v>
      </c>
      <c r="E2475" s="73" t="str">
        <f>IFERROR(__xludf.DUMMYFUNCTION("average(filter('Appearance Sheet'!F:F,'Appearance Sheet'!G:G=B2475,'Appearance Sheet'!A:A=C2475))"),"#N/A")</f>
        <v>#N/A</v>
      </c>
      <c r="F2475" s="67">
        <v>5.069009293</v>
      </c>
      <c r="G2475" s="40">
        <v>1.842094405</v>
      </c>
      <c r="H2475" s="40" t="str">
        <f t="shared" si="1"/>
        <v>#N/A</v>
      </c>
      <c r="I2475" s="41">
        <v>0.380952381</v>
      </c>
      <c r="J2475" s="41">
        <v>0.321428571</v>
      </c>
      <c r="K2475" s="41">
        <v>0.297619048</v>
      </c>
      <c r="L2475" s="41">
        <f t="shared" si="2"/>
        <v>0.083333333</v>
      </c>
      <c r="M2475" s="74">
        <v>-3.362375883</v>
      </c>
    </row>
    <row r="2476">
      <c r="A2476" s="1" t="s">
        <v>191</v>
      </c>
      <c r="B2476" s="38">
        <v>687064.0</v>
      </c>
      <c r="C2476" s="72">
        <v>45860.0</v>
      </c>
      <c r="D2476" s="38">
        <v>70.0</v>
      </c>
      <c r="E2476" s="73" t="str">
        <f>IFERROR(__xludf.DUMMYFUNCTION("average(filter('Appearance Sheet'!F:F,'Appearance Sheet'!G:G=B2476,'Appearance Sheet'!A:A=C2476))"),"#N/A")</f>
        <v>#N/A</v>
      </c>
      <c r="F2476" s="67">
        <v>5.068786718</v>
      </c>
      <c r="G2476" s="40">
        <v>1.533503038</v>
      </c>
      <c r="H2476" s="40" t="str">
        <f t="shared" si="1"/>
        <v>#N/A</v>
      </c>
      <c r="I2476" s="41">
        <v>0.514285714</v>
      </c>
      <c r="J2476" s="41">
        <v>0.171428571</v>
      </c>
      <c r="K2476" s="41">
        <v>0.314285714</v>
      </c>
      <c r="L2476" s="41">
        <f t="shared" si="2"/>
        <v>0.2</v>
      </c>
      <c r="M2476" s="74">
        <v>0.833664823</v>
      </c>
    </row>
    <row r="2477">
      <c r="A2477" s="1" t="s">
        <v>67</v>
      </c>
      <c r="B2477" s="38">
        <v>684007.0</v>
      </c>
      <c r="C2477" s="72">
        <v>45925.0</v>
      </c>
      <c r="D2477" s="38">
        <v>85.0</v>
      </c>
      <c r="E2477" s="73" t="str">
        <f>IFERROR(__xludf.DUMMYFUNCTION("average(filter('Appearance Sheet'!F:F,'Appearance Sheet'!G:G=B2477,'Appearance Sheet'!A:A=C2477))"),"#N/A")</f>
        <v>#N/A</v>
      </c>
      <c r="F2477" s="67">
        <v>5.068265342</v>
      </c>
      <c r="G2477" s="40">
        <v>1.878440194</v>
      </c>
      <c r="H2477" s="40" t="str">
        <f t="shared" si="1"/>
        <v>#N/A</v>
      </c>
      <c r="I2477" s="41">
        <v>0.470588235</v>
      </c>
      <c r="J2477" s="41">
        <v>0.141176471</v>
      </c>
      <c r="K2477" s="41">
        <v>0.388235294</v>
      </c>
      <c r="L2477" s="41">
        <f t="shared" si="2"/>
        <v>0.082352941</v>
      </c>
      <c r="M2477" s="74">
        <v>-3.835987858</v>
      </c>
    </row>
    <row r="2478">
      <c r="A2478" s="1" t="s">
        <v>352</v>
      </c>
      <c r="B2478" s="38">
        <v>685299.0</v>
      </c>
      <c r="C2478" s="72">
        <v>45861.0</v>
      </c>
      <c r="D2478" s="38">
        <v>95.0</v>
      </c>
      <c r="E2478" s="73" t="str">
        <f>IFERROR(__xludf.DUMMYFUNCTION("average(filter('Appearance Sheet'!F:F,'Appearance Sheet'!G:G=B2478,'Appearance Sheet'!A:A=C2478))"),"#N/A")</f>
        <v>#N/A</v>
      </c>
      <c r="F2478" s="67">
        <v>5.068254651</v>
      </c>
      <c r="G2478" s="40">
        <v>2.055162044</v>
      </c>
      <c r="H2478" s="40" t="str">
        <f t="shared" si="1"/>
        <v>#N/A</v>
      </c>
      <c r="I2478" s="41">
        <v>0.463157895</v>
      </c>
      <c r="J2478" s="41">
        <v>0.168421053</v>
      </c>
      <c r="K2478" s="41">
        <v>0.368421053</v>
      </c>
      <c r="L2478" s="41">
        <f t="shared" si="2"/>
        <v>0.094736842</v>
      </c>
      <c r="M2478" s="74">
        <v>3.663402602</v>
      </c>
    </row>
    <row r="2479">
      <c r="A2479" s="1" t="s">
        <v>450</v>
      </c>
      <c r="B2479" s="38">
        <v>682990.0</v>
      </c>
      <c r="C2479" s="72">
        <v>45796.0</v>
      </c>
      <c r="D2479" s="38">
        <v>66.0</v>
      </c>
      <c r="E2479" s="73">
        <f>IFERROR(__xludf.DUMMYFUNCTION("average(filter('Appearance Sheet'!F:F,'Appearance Sheet'!G:G=B2479,'Appearance Sheet'!A:A=C2479))"),5.333333333333333)</f>
        <v>5.333333333</v>
      </c>
      <c r="F2479" s="67">
        <v>5.067871957</v>
      </c>
      <c r="G2479" s="40">
        <v>1.463392513</v>
      </c>
      <c r="H2479" s="40">
        <f t="shared" si="1"/>
        <v>2.469474866</v>
      </c>
      <c r="I2479" s="41">
        <v>0.46969697</v>
      </c>
      <c r="J2479" s="41">
        <v>0.227272727</v>
      </c>
      <c r="K2479" s="41">
        <v>0.303030303</v>
      </c>
      <c r="L2479" s="41">
        <f t="shared" si="2"/>
        <v>0.166666667</v>
      </c>
      <c r="M2479" s="74">
        <v>1.093142101</v>
      </c>
    </row>
    <row r="2480">
      <c r="A2480" s="1" t="s">
        <v>413</v>
      </c>
      <c r="B2480" s="38">
        <v>671737.0</v>
      </c>
      <c r="C2480" s="72">
        <v>45924.0</v>
      </c>
      <c r="D2480" s="38">
        <v>89.0</v>
      </c>
      <c r="E2480" s="73" t="str">
        <f>IFERROR(__xludf.DUMMYFUNCTION("average(filter('Appearance Sheet'!F:F,'Appearance Sheet'!G:G=B2480,'Appearance Sheet'!A:A=C2480))"),"#N/A")</f>
        <v>#N/A</v>
      </c>
      <c r="F2480" s="67">
        <v>5.067733149</v>
      </c>
      <c r="G2480" s="40">
        <v>1.938987282</v>
      </c>
      <c r="H2480" s="40" t="str">
        <f t="shared" si="1"/>
        <v>#N/A</v>
      </c>
      <c r="I2480" s="41">
        <v>0.483146067</v>
      </c>
      <c r="J2480" s="41">
        <v>0.191011236</v>
      </c>
      <c r="K2480" s="41">
        <v>0.325842697</v>
      </c>
      <c r="L2480" s="41">
        <f t="shared" si="2"/>
        <v>0.15730337</v>
      </c>
      <c r="M2480" s="74">
        <v>2.045991647</v>
      </c>
    </row>
    <row r="2481">
      <c r="A2481" s="1" t="s">
        <v>452</v>
      </c>
      <c r="B2481" s="38">
        <v>607625.0</v>
      </c>
      <c r="C2481" s="72">
        <v>45846.0</v>
      </c>
      <c r="D2481" s="38">
        <v>78.0</v>
      </c>
      <c r="E2481" s="73" t="str">
        <f>IFERROR(__xludf.DUMMYFUNCTION("average(filter('Appearance Sheet'!F:F,'Appearance Sheet'!G:G=B2481,'Appearance Sheet'!A:A=C2481))"),"#N/A")</f>
        <v>#N/A</v>
      </c>
      <c r="F2481" s="67">
        <v>5.067524127</v>
      </c>
      <c r="G2481" s="40">
        <v>1.719284645</v>
      </c>
      <c r="H2481" s="40" t="str">
        <f t="shared" si="1"/>
        <v>#N/A</v>
      </c>
      <c r="I2481" s="41">
        <v>0.487179487</v>
      </c>
      <c r="J2481" s="41">
        <v>0.192307692</v>
      </c>
      <c r="K2481" s="41">
        <v>0.320512821</v>
      </c>
      <c r="L2481" s="41">
        <f t="shared" si="2"/>
        <v>0.166666666</v>
      </c>
      <c r="M2481" s="74">
        <v>0.75504896</v>
      </c>
    </row>
    <row r="2482">
      <c r="A2482" s="1" t="s">
        <v>353</v>
      </c>
      <c r="B2482" s="38">
        <v>663903.0</v>
      </c>
      <c r="C2482" s="72">
        <v>45900.0</v>
      </c>
      <c r="D2482" s="38">
        <v>98.0</v>
      </c>
      <c r="E2482" s="73" t="str">
        <f>IFERROR(__xludf.DUMMYFUNCTION("average(filter('Appearance Sheet'!F:F,'Appearance Sheet'!G:G=B2482,'Appearance Sheet'!A:A=C2482))"),"#N/A")</f>
        <v>#N/A</v>
      </c>
      <c r="F2482" s="67">
        <v>5.067286954</v>
      </c>
      <c r="G2482" s="40">
        <v>2.116616889</v>
      </c>
      <c r="H2482" s="40" t="str">
        <f t="shared" si="1"/>
        <v>#N/A</v>
      </c>
      <c r="I2482" s="41">
        <v>0.479591837</v>
      </c>
      <c r="J2482" s="41">
        <v>0.255102041</v>
      </c>
      <c r="K2482" s="41">
        <v>0.265306122</v>
      </c>
      <c r="L2482" s="41">
        <f t="shared" si="2"/>
        <v>0.214285715</v>
      </c>
      <c r="M2482" s="74">
        <v>1.230420519</v>
      </c>
    </row>
    <row r="2483">
      <c r="A2483" s="1" t="s">
        <v>209</v>
      </c>
      <c r="B2483" s="38">
        <v>694738.0</v>
      </c>
      <c r="C2483" s="72">
        <v>45889.0</v>
      </c>
      <c r="D2483" s="38">
        <v>64.0</v>
      </c>
      <c r="E2483" s="73" t="str">
        <f>IFERROR(__xludf.DUMMYFUNCTION("average(filter('Appearance Sheet'!F:F,'Appearance Sheet'!G:G=B2483,'Appearance Sheet'!A:A=C2483))"),"#N/A")</f>
        <v>#N/A</v>
      </c>
      <c r="F2483" s="67">
        <v>5.067224881</v>
      </c>
      <c r="G2483" s="40">
        <v>1.354991057</v>
      </c>
      <c r="H2483" s="40" t="str">
        <f t="shared" si="1"/>
        <v>#N/A</v>
      </c>
      <c r="I2483" s="41">
        <v>0.484375</v>
      </c>
      <c r="J2483" s="41">
        <v>0.203125</v>
      </c>
      <c r="K2483" s="41">
        <v>0.3125</v>
      </c>
      <c r="L2483" s="41">
        <f t="shared" si="2"/>
        <v>0.171875</v>
      </c>
      <c r="M2483" s="74">
        <v>-1.305147774</v>
      </c>
    </row>
    <row r="2484">
      <c r="A2484" s="1" t="s">
        <v>67</v>
      </c>
      <c r="B2484" s="38">
        <v>684007.0</v>
      </c>
      <c r="C2484" s="72">
        <v>45857.0</v>
      </c>
      <c r="D2484" s="38">
        <v>93.0</v>
      </c>
      <c r="E2484" s="73" t="str">
        <f>IFERROR(__xludf.DUMMYFUNCTION("average(filter('Appearance Sheet'!F:F,'Appearance Sheet'!G:G=B2484,'Appearance Sheet'!A:A=C2484))"),"#N/A")</f>
        <v>#N/A</v>
      </c>
      <c r="F2484" s="67">
        <v>5.067066468</v>
      </c>
      <c r="G2484" s="40">
        <v>2.057365129</v>
      </c>
      <c r="H2484" s="40" t="str">
        <f t="shared" si="1"/>
        <v>#N/A</v>
      </c>
      <c r="I2484" s="41">
        <v>0.505376344</v>
      </c>
      <c r="J2484" s="41">
        <v>0.161290323</v>
      </c>
      <c r="K2484" s="41">
        <v>0.333333333</v>
      </c>
      <c r="L2484" s="41">
        <f t="shared" si="2"/>
        <v>0.172043011</v>
      </c>
      <c r="M2484" s="74">
        <v>-0.132654889</v>
      </c>
    </row>
    <row r="2485">
      <c r="A2485" s="1" t="s">
        <v>129</v>
      </c>
      <c r="B2485" s="38">
        <v>686752.0</v>
      </c>
      <c r="C2485" s="72">
        <v>45767.0</v>
      </c>
      <c r="D2485" s="38">
        <v>94.0</v>
      </c>
      <c r="E2485" s="73">
        <f>IFERROR(__xludf.DUMMYFUNCTION("average(filter('Appearance Sheet'!F:F,'Appearance Sheet'!G:G=B2485,'Appearance Sheet'!A:A=C2485))"),6.0)</f>
        <v>6</v>
      </c>
      <c r="F2485" s="67">
        <v>5.066998716</v>
      </c>
      <c r="G2485" s="40">
        <v>2.053774007</v>
      </c>
      <c r="H2485" s="40">
        <f t="shared" si="1"/>
        <v>3.080661011</v>
      </c>
      <c r="I2485" s="41">
        <v>0.457446809</v>
      </c>
      <c r="J2485" s="41">
        <v>0.180851064</v>
      </c>
      <c r="K2485" s="41">
        <v>0.361702128</v>
      </c>
      <c r="L2485" s="41">
        <f t="shared" si="2"/>
        <v>0.095744681</v>
      </c>
      <c r="M2485" s="74">
        <v>-0.241349736</v>
      </c>
    </row>
    <row r="2486">
      <c r="A2486" s="1" t="s">
        <v>514</v>
      </c>
      <c r="B2486" s="38">
        <v>806185.0</v>
      </c>
      <c r="C2486" s="72">
        <v>45820.0</v>
      </c>
      <c r="D2486" s="38">
        <v>101.0</v>
      </c>
      <c r="E2486" s="73">
        <f>IFERROR(__xludf.DUMMYFUNCTION("average(filter('Appearance Sheet'!F:F,'Appearance Sheet'!G:G=B2486,'Appearance Sheet'!A:A=C2486))"),6.0)</f>
        <v>6</v>
      </c>
      <c r="F2486" s="67">
        <v>5.066917412</v>
      </c>
      <c r="G2486" s="40">
        <v>2.218278932</v>
      </c>
      <c r="H2486" s="40">
        <f t="shared" si="1"/>
        <v>3.327418398</v>
      </c>
      <c r="I2486" s="41">
        <v>0.455445545</v>
      </c>
      <c r="J2486" s="41">
        <v>0.257425743</v>
      </c>
      <c r="K2486" s="41">
        <v>0.287128713</v>
      </c>
      <c r="L2486" s="41">
        <f t="shared" si="2"/>
        <v>0.168316832</v>
      </c>
      <c r="M2486" s="74">
        <v>1.223171466</v>
      </c>
    </row>
    <row r="2487">
      <c r="A2487" s="1" t="s">
        <v>189</v>
      </c>
      <c r="B2487" s="38">
        <v>607536.0</v>
      </c>
      <c r="C2487" s="72">
        <v>45778.0</v>
      </c>
      <c r="D2487" s="38">
        <v>86.0</v>
      </c>
      <c r="E2487" s="73">
        <f>IFERROR(__xludf.DUMMYFUNCTION("average(filter('Appearance Sheet'!F:F,'Appearance Sheet'!G:G=B2487,'Appearance Sheet'!A:A=C2487))"),6.0)</f>
        <v>6</v>
      </c>
      <c r="F2487" s="67">
        <v>5.066785081</v>
      </c>
      <c r="G2487" s="40">
        <v>1.905856426</v>
      </c>
      <c r="H2487" s="40">
        <f t="shared" si="1"/>
        <v>2.858784639</v>
      </c>
      <c r="I2487" s="41">
        <v>0.5</v>
      </c>
      <c r="J2487" s="41">
        <v>0.186046512</v>
      </c>
      <c r="K2487" s="41">
        <v>0.313953488</v>
      </c>
      <c r="L2487" s="41">
        <f t="shared" si="2"/>
        <v>0.186046512</v>
      </c>
      <c r="M2487" s="74">
        <v>-1.119297337</v>
      </c>
    </row>
    <row r="2488">
      <c r="A2488" s="1" t="s">
        <v>490</v>
      </c>
      <c r="B2488" s="38">
        <v>680573.0</v>
      </c>
      <c r="C2488" s="72">
        <v>45921.0</v>
      </c>
      <c r="D2488" s="38">
        <v>74.0</v>
      </c>
      <c r="E2488" s="73" t="str">
        <f>IFERROR(__xludf.DUMMYFUNCTION("average(filter('Appearance Sheet'!F:F,'Appearance Sheet'!G:G=B2488,'Appearance Sheet'!A:A=C2488))"),"#N/A")</f>
        <v>#N/A</v>
      </c>
      <c r="F2488" s="67">
        <v>5.06667793</v>
      </c>
      <c r="G2488" s="40">
        <v>1.621739168</v>
      </c>
      <c r="H2488" s="40" t="str">
        <f t="shared" si="1"/>
        <v>#N/A</v>
      </c>
      <c r="I2488" s="41">
        <v>0.5</v>
      </c>
      <c r="J2488" s="41">
        <v>0.175675676</v>
      </c>
      <c r="K2488" s="41">
        <v>0.324324324</v>
      </c>
      <c r="L2488" s="41">
        <f t="shared" si="2"/>
        <v>0.175675676</v>
      </c>
      <c r="M2488" s="74">
        <v>1.656311266</v>
      </c>
    </row>
    <row r="2489">
      <c r="A2489" s="1" t="s">
        <v>96</v>
      </c>
      <c r="B2489" s="38">
        <v>690986.0</v>
      </c>
      <c r="C2489" s="72">
        <v>45920.0</v>
      </c>
      <c r="D2489" s="38">
        <v>80.0</v>
      </c>
      <c r="E2489" s="73" t="str">
        <f>IFERROR(__xludf.DUMMYFUNCTION("average(filter('Appearance Sheet'!F:F,'Appearance Sheet'!G:G=B2489,'Appearance Sheet'!A:A=C2489))"),"#N/A")</f>
        <v>#N/A</v>
      </c>
      <c r="F2489" s="67">
        <v>5.066274028</v>
      </c>
      <c r="G2489" s="40">
        <v>1.786034122</v>
      </c>
      <c r="H2489" s="40" t="str">
        <f t="shared" si="1"/>
        <v>#N/A</v>
      </c>
      <c r="I2489" s="41">
        <v>0.4625</v>
      </c>
      <c r="J2489" s="41">
        <v>0.2625</v>
      </c>
      <c r="K2489" s="41">
        <v>0.275</v>
      </c>
      <c r="L2489" s="41">
        <f t="shared" si="2"/>
        <v>0.1875</v>
      </c>
      <c r="M2489" s="74">
        <v>0.237777812</v>
      </c>
    </row>
    <row r="2490">
      <c r="A2490" s="1" t="s">
        <v>434</v>
      </c>
      <c r="B2490" s="38">
        <v>690990.0</v>
      </c>
      <c r="C2490" s="72">
        <v>45804.0</v>
      </c>
      <c r="D2490" s="38">
        <v>83.0</v>
      </c>
      <c r="E2490" s="73">
        <f>IFERROR(__xludf.DUMMYFUNCTION("average(filter('Appearance Sheet'!F:F,'Appearance Sheet'!G:G=B2490,'Appearance Sheet'!A:A=C2490))"),6.0)</f>
        <v>6</v>
      </c>
      <c r="F2490" s="67">
        <v>5.065844713</v>
      </c>
      <c r="G2490" s="40">
        <v>1.816097368</v>
      </c>
      <c r="H2490" s="40">
        <f t="shared" si="1"/>
        <v>2.724146052</v>
      </c>
      <c r="I2490" s="41">
        <v>0.469879518</v>
      </c>
      <c r="J2490" s="41">
        <v>0.192771084</v>
      </c>
      <c r="K2490" s="41">
        <v>0.337349398</v>
      </c>
      <c r="L2490" s="41">
        <f t="shared" si="2"/>
        <v>0.13253012</v>
      </c>
      <c r="M2490" s="74">
        <v>0.209036505</v>
      </c>
    </row>
    <row r="2491">
      <c r="A2491" s="1" t="s">
        <v>410</v>
      </c>
      <c r="B2491" s="38">
        <v>678394.0</v>
      </c>
      <c r="C2491" s="72">
        <v>45774.0</v>
      </c>
      <c r="D2491" s="38">
        <v>99.0</v>
      </c>
      <c r="E2491" s="73">
        <f>IFERROR(__xludf.DUMMYFUNCTION("average(filter('Appearance Sheet'!F:F,'Appearance Sheet'!G:G=B2491,'Appearance Sheet'!A:A=C2491))"),6.0)</f>
        <v>6</v>
      </c>
      <c r="F2491" s="67">
        <v>5.065639778</v>
      </c>
      <c r="G2491" s="40">
        <v>2.11849406</v>
      </c>
      <c r="H2491" s="40">
        <f t="shared" si="1"/>
        <v>3.17774109</v>
      </c>
      <c r="I2491" s="41">
        <v>0.505050505</v>
      </c>
      <c r="J2491" s="41">
        <v>0.141414141</v>
      </c>
      <c r="K2491" s="41">
        <v>0.353535354</v>
      </c>
      <c r="L2491" s="41">
        <f t="shared" si="2"/>
        <v>0.151515151</v>
      </c>
      <c r="M2491" s="74">
        <v>-1.41117207</v>
      </c>
    </row>
    <row r="2492">
      <c r="A2492" s="1" t="s">
        <v>361</v>
      </c>
      <c r="B2492" s="38">
        <v>686563.0</v>
      </c>
      <c r="C2492" s="72">
        <v>45784.0</v>
      </c>
      <c r="D2492" s="38">
        <v>89.0</v>
      </c>
      <c r="E2492" s="73">
        <f>IFERROR(__xludf.DUMMYFUNCTION("average(filter('Appearance Sheet'!F:F,'Appearance Sheet'!G:G=B2492,'Appearance Sheet'!A:A=C2492))"),6.0)</f>
        <v>6</v>
      </c>
      <c r="F2492" s="67">
        <v>5.065606661</v>
      </c>
      <c r="G2492" s="40">
        <v>1.984263182</v>
      </c>
      <c r="H2492" s="40">
        <f t="shared" si="1"/>
        <v>2.976394773</v>
      </c>
      <c r="I2492" s="41">
        <v>0.460674157</v>
      </c>
      <c r="J2492" s="41">
        <v>0.235955056</v>
      </c>
      <c r="K2492" s="41">
        <v>0.303370787</v>
      </c>
      <c r="L2492" s="41">
        <f t="shared" si="2"/>
        <v>0.15730337</v>
      </c>
      <c r="M2492" s="74">
        <v>-3.494503829</v>
      </c>
    </row>
    <row r="2493">
      <c r="A2493" s="1" t="s">
        <v>287</v>
      </c>
      <c r="B2493" s="38">
        <v>571945.0</v>
      </c>
      <c r="C2493" s="72">
        <v>45902.0</v>
      </c>
      <c r="D2493" s="38">
        <v>64.0</v>
      </c>
      <c r="E2493" s="73" t="str">
        <f>IFERROR(__xludf.DUMMYFUNCTION("average(filter('Appearance Sheet'!F:F,'Appearance Sheet'!G:G=B2493,'Appearance Sheet'!A:A=C2493))"),"#N/A")</f>
        <v>#N/A</v>
      </c>
      <c r="F2493" s="67">
        <v>5.065554608</v>
      </c>
      <c r="G2493" s="40">
        <v>1.431395273</v>
      </c>
      <c r="H2493" s="40" t="str">
        <f t="shared" si="1"/>
        <v>#N/A</v>
      </c>
      <c r="I2493" s="41">
        <v>0.515625</v>
      </c>
      <c r="J2493" s="41">
        <v>0.140625</v>
      </c>
      <c r="K2493" s="41">
        <v>0.34375</v>
      </c>
      <c r="L2493" s="41">
        <f t="shared" si="2"/>
        <v>0.171875</v>
      </c>
      <c r="M2493" s="74">
        <v>0.324929187</v>
      </c>
    </row>
    <row r="2494">
      <c r="A2494" s="1" t="s">
        <v>57</v>
      </c>
      <c r="B2494" s="38">
        <v>594798.0</v>
      </c>
      <c r="C2494" s="72">
        <v>45894.0</v>
      </c>
      <c r="D2494" s="38">
        <v>90.0</v>
      </c>
      <c r="E2494" s="73" t="str">
        <f>IFERROR(__xludf.DUMMYFUNCTION("average(filter('Appearance Sheet'!F:F,'Appearance Sheet'!G:G=B2494,'Appearance Sheet'!A:A=C2494))"),"#N/A")</f>
        <v>#N/A</v>
      </c>
      <c r="F2494" s="67">
        <v>5.065278463</v>
      </c>
      <c r="G2494" s="40">
        <v>1.925068039</v>
      </c>
      <c r="H2494" s="40" t="str">
        <f t="shared" si="1"/>
        <v>#N/A</v>
      </c>
      <c r="I2494" s="41">
        <v>0.455555556</v>
      </c>
      <c r="J2494" s="41">
        <v>0.133333333</v>
      </c>
      <c r="K2494" s="41">
        <v>0.411111111</v>
      </c>
      <c r="L2494" s="41">
        <f t="shared" si="2"/>
        <v>0.044444445</v>
      </c>
      <c r="M2494" s="74">
        <v>1.260422567</v>
      </c>
    </row>
    <row r="2495">
      <c r="A2495" s="1" t="s">
        <v>194</v>
      </c>
      <c r="B2495" s="38">
        <v>666157.0</v>
      </c>
      <c r="C2495" s="72">
        <v>45856.0</v>
      </c>
      <c r="D2495" s="38">
        <v>95.0</v>
      </c>
      <c r="E2495" s="73" t="str">
        <f>IFERROR(__xludf.DUMMYFUNCTION("average(filter('Appearance Sheet'!F:F,'Appearance Sheet'!G:G=B2495,'Appearance Sheet'!A:A=C2495))"),"#N/A")</f>
        <v>#N/A</v>
      </c>
      <c r="F2495" s="67">
        <v>5.065152448</v>
      </c>
      <c r="G2495" s="40">
        <v>2.067968986</v>
      </c>
      <c r="H2495" s="40" t="str">
        <f t="shared" si="1"/>
        <v>#N/A</v>
      </c>
      <c r="I2495" s="41">
        <v>0.473684211</v>
      </c>
      <c r="J2495" s="41">
        <v>0.147368421</v>
      </c>
      <c r="K2495" s="41">
        <v>0.378947368</v>
      </c>
      <c r="L2495" s="41">
        <f t="shared" si="2"/>
        <v>0.094736843</v>
      </c>
      <c r="M2495" s="74">
        <v>0.640356488</v>
      </c>
    </row>
    <row r="2496">
      <c r="A2496" s="1" t="s">
        <v>352</v>
      </c>
      <c r="B2496" s="38">
        <v>685299.0</v>
      </c>
      <c r="C2496" s="72">
        <v>45907.0</v>
      </c>
      <c r="D2496" s="38">
        <v>90.0</v>
      </c>
      <c r="E2496" s="73" t="str">
        <f>IFERROR(__xludf.DUMMYFUNCTION("average(filter('Appearance Sheet'!F:F,'Appearance Sheet'!G:G=B2496,'Appearance Sheet'!A:A=C2496))"),"#N/A")</f>
        <v>#N/A</v>
      </c>
      <c r="F2496" s="67">
        <v>5.064822494</v>
      </c>
      <c r="G2496" s="40">
        <v>1.942432047</v>
      </c>
      <c r="H2496" s="40" t="str">
        <f t="shared" si="1"/>
        <v>#N/A</v>
      </c>
      <c r="I2496" s="41">
        <v>0.455555556</v>
      </c>
      <c r="J2496" s="41">
        <v>0.244444444</v>
      </c>
      <c r="K2496" s="41">
        <v>0.3</v>
      </c>
      <c r="L2496" s="41">
        <f t="shared" si="2"/>
        <v>0.155555556</v>
      </c>
      <c r="M2496" s="74">
        <v>0.530175559</v>
      </c>
    </row>
    <row r="2497">
      <c r="A2497" s="1" t="s">
        <v>316</v>
      </c>
      <c r="B2497" s="38">
        <v>656427.0</v>
      </c>
      <c r="C2497" s="72">
        <v>45799.0</v>
      </c>
      <c r="D2497" s="38">
        <v>103.0</v>
      </c>
      <c r="E2497" s="73">
        <f>IFERROR(__xludf.DUMMYFUNCTION("average(filter('Appearance Sheet'!F:F,'Appearance Sheet'!G:G=B2497,'Appearance Sheet'!A:A=C2497))"),6.666666666666667)</f>
        <v>6.666666667</v>
      </c>
      <c r="F2497" s="67">
        <v>5.064743087</v>
      </c>
      <c r="G2497" s="40">
        <v>2.245057064</v>
      </c>
      <c r="H2497" s="40">
        <f t="shared" si="1"/>
        <v>3.030827036</v>
      </c>
      <c r="I2497" s="41">
        <v>0.475728155</v>
      </c>
      <c r="J2497" s="41">
        <v>0.116504854</v>
      </c>
      <c r="K2497" s="41">
        <v>0.40776699</v>
      </c>
      <c r="L2497" s="41">
        <f t="shared" si="2"/>
        <v>0.067961165</v>
      </c>
      <c r="M2497" s="74">
        <v>2.150128952</v>
      </c>
    </row>
    <row r="2498">
      <c r="A2498" s="1" t="s">
        <v>466</v>
      </c>
      <c r="B2498" s="38">
        <v>687134.0</v>
      </c>
      <c r="C2498" s="72">
        <v>45866.0</v>
      </c>
      <c r="D2498" s="38">
        <v>78.0</v>
      </c>
      <c r="E2498" s="73" t="str">
        <f>IFERROR(__xludf.DUMMYFUNCTION("average(filter('Appearance Sheet'!F:F,'Appearance Sheet'!G:G=B2498,'Appearance Sheet'!A:A=C2498))"),"#N/A")</f>
        <v>#N/A</v>
      </c>
      <c r="F2498" s="67">
        <v>5.064622969</v>
      </c>
      <c r="G2498" s="40">
        <v>1.727554173</v>
      </c>
      <c r="H2498" s="40" t="str">
        <f t="shared" si="1"/>
        <v>#N/A</v>
      </c>
      <c r="I2498" s="41">
        <v>0.474358974</v>
      </c>
      <c r="J2498" s="41">
        <v>0.205128205</v>
      </c>
      <c r="K2498" s="41">
        <v>0.320512821</v>
      </c>
      <c r="L2498" s="41">
        <f t="shared" si="2"/>
        <v>0.153846153</v>
      </c>
      <c r="M2498" s="74">
        <v>-1.186502408</v>
      </c>
    </row>
    <row r="2499">
      <c r="A2499" s="1" t="s">
        <v>245</v>
      </c>
      <c r="B2499" s="38">
        <v>571578.0</v>
      </c>
      <c r="C2499" s="72">
        <v>45769.0</v>
      </c>
      <c r="D2499" s="38">
        <v>84.0</v>
      </c>
      <c r="E2499" s="73">
        <f>IFERROR(__xludf.DUMMYFUNCTION("average(filter('Appearance Sheet'!F:F,'Appearance Sheet'!G:G=B2499,'Appearance Sheet'!A:A=C2499))"),5.0)</f>
        <v>5</v>
      </c>
      <c r="F2499" s="67">
        <v>5.064555221</v>
      </c>
      <c r="G2499" s="40">
        <v>1.875302736</v>
      </c>
      <c r="H2499" s="40">
        <f t="shared" si="1"/>
        <v>3.375544925</v>
      </c>
      <c r="I2499" s="41">
        <v>0.464285714</v>
      </c>
      <c r="J2499" s="41">
        <v>0.178571429</v>
      </c>
      <c r="K2499" s="41">
        <v>0.357142857</v>
      </c>
      <c r="L2499" s="41">
        <f t="shared" si="2"/>
        <v>0.107142857</v>
      </c>
      <c r="M2499" s="74">
        <v>-1.698321945</v>
      </c>
    </row>
    <row r="2500">
      <c r="A2500" s="1" t="s">
        <v>136</v>
      </c>
      <c r="B2500" s="38">
        <v>660271.0</v>
      </c>
      <c r="C2500" s="72">
        <v>45905.0</v>
      </c>
      <c r="D2500" s="38">
        <v>67.0</v>
      </c>
      <c r="E2500" s="73" t="str">
        <f>IFERROR(__xludf.DUMMYFUNCTION("average(filter('Appearance Sheet'!F:F,'Appearance Sheet'!G:G=B2500,'Appearance Sheet'!A:A=C2500))"),"#N/A")</f>
        <v>#N/A</v>
      </c>
      <c r="F2500" s="67">
        <v>5.064477686</v>
      </c>
      <c r="G2500" s="40">
        <v>1.444318681</v>
      </c>
      <c r="H2500" s="40" t="str">
        <f t="shared" si="1"/>
        <v>#N/A</v>
      </c>
      <c r="I2500" s="41">
        <v>0.507462687</v>
      </c>
      <c r="J2500" s="41">
        <v>0.134328358</v>
      </c>
      <c r="K2500" s="41">
        <v>0.358208955</v>
      </c>
      <c r="L2500" s="41">
        <f t="shared" si="2"/>
        <v>0.149253732</v>
      </c>
      <c r="M2500" s="74">
        <v>0.692657186</v>
      </c>
    </row>
    <row r="2501">
      <c r="A2501" s="1" t="s">
        <v>229</v>
      </c>
      <c r="B2501" s="38">
        <v>645261.0</v>
      </c>
      <c r="C2501" s="72">
        <v>45743.0</v>
      </c>
      <c r="D2501" s="38">
        <v>89.0</v>
      </c>
      <c r="E2501" s="73">
        <f>IFERROR(__xludf.DUMMYFUNCTION("average(filter('Appearance Sheet'!F:F,'Appearance Sheet'!G:G=B2501,'Appearance Sheet'!A:A=C2501))"),4.666666666666667)</f>
        <v>4.666666667</v>
      </c>
      <c r="F2501" s="67">
        <v>5.064459845</v>
      </c>
      <c r="G2501" s="40">
        <v>1.913785575</v>
      </c>
      <c r="H2501" s="40">
        <f t="shared" si="1"/>
        <v>3.69087218</v>
      </c>
      <c r="I2501" s="41">
        <v>0.528089888</v>
      </c>
      <c r="J2501" s="41">
        <v>0.168539326</v>
      </c>
      <c r="K2501" s="41">
        <v>0.303370787</v>
      </c>
      <c r="L2501" s="41">
        <f t="shared" si="2"/>
        <v>0.224719101</v>
      </c>
      <c r="M2501" s="74">
        <v>3.22428444</v>
      </c>
    </row>
    <row r="2502">
      <c r="A2502" s="1" t="s">
        <v>109</v>
      </c>
      <c r="B2502" s="38">
        <v>601713.0</v>
      </c>
      <c r="C2502" s="72">
        <v>45877.0</v>
      </c>
      <c r="D2502" s="38">
        <v>101.0</v>
      </c>
      <c r="E2502" s="73" t="str">
        <f>IFERROR(__xludf.DUMMYFUNCTION("average(filter('Appearance Sheet'!F:F,'Appearance Sheet'!G:G=B2502,'Appearance Sheet'!A:A=C2502))"),"#N/A")</f>
        <v>#N/A</v>
      </c>
      <c r="F2502" s="67">
        <v>5.064417664</v>
      </c>
      <c r="G2502" s="40">
        <v>2.236059105</v>
      </c>
      <c r="H2502" s="40" t="str">
        <f t="shared" si="1"/>
        <v>#N/A</v>
      </c>
      <c r="I2502" s="41">
        <v>0.475247525</v>
      </c>
      <c r="J2502" s="41">
        <v>0.217821782</v>
      </c>
      <c r="K2502" s="41">
        <v>0.306930693</v>
      </c>
      <c r="L2502" s="41">
        <f t="shared" si="2"/>
        <v>0.168316832</v>
      </c>
      <c r="M2502" s="74">
        <v>0.272356875</v>
      </c>
    </row>
    <row r="2503">
      <c r="A2503" s="1" t="s">
        <v>287</v>
      </c>
      <c r="B2503" s="38">
        <v>571945.0</v>
      </c>
      <c r="C2503" s="72">
        <v>45818.0</v>
      </c>
      <c r="D2503" s="38">
        <v>77.0</v>
      </c>
      <c r="E2503" s="73">
        <f>IFERROR(__xludf.DUMMYFUNCTION("average(filter('Appearance Sheet'!F:F,'Appearance Sheet'!G:G=B2503,'Appearance Sheet'!A:A=C2503))"),5.0)</f>
        <v>5</v>
      </c>
      <c r="F2503" s="67">
        <v>5.064324263</v>
      </c>
      <c r="G2503" s="40">
        <v>1.731309551</v>
      </c>
      <c r="H2503" s="40">
        <f t="shared" si="1"/>
        <v>3.116357192</v>
      </c>
      <c r="I2503" s="41">
        <v>0.454545455</v>
      </c>
      <c r="J2503" s="41">
        <v>0.181818182</v>
      </c>
      <c r="K2503" s="41">
        <v>0.363636364</v>
      </c>
      <c r="L2503" s="41">
        <f t="shared" si="2"/>
        <v>0.090909091</v>
      </c>
      <c r="M2503" s="74">
        <v>-3.133343783</v>
      </c>
    </row>
    <row r="2504">
      <c r="A2504" s="1" t="s">
        <v>153</v>
      </c>
      <c r="B2504" s="38">
        <v>669302.0</v>
      </c>
      <c r="C2504" s="72">
        <v>45887.0</v>
      </c>
      <c r="D2504" s="38">
        <v>64.0</v>
      </c>
      <c r="E2504" s="73" t="str">
        <f>IFERROR(__xludf.DUMMYFUNCTION("average(filter('Appearance Sheet'!F:F,'Appearance Sheet'!G:G=B2504,'Appearance Sheet'!A:A=C2504))"),"#N/A")</f>
        <v>#N/A</v>
      </c>
      <c r="F2504" s="67">
        <v>5.064248811</v>
      </c>
      <c r="G2504" s="40">
        <v>1.39245578</v>
      </c>
      <c r="H2504" s="40" t="str">
        <f t="shared" si="1"/>
        <v>#N/A</v>
      </c>
      <c r="I2504" s="41">
        <v>0.484375</v>
      </c>
      <c r="J2504" s="41">
        <v>0.171875</v>
      </c>
      <c r="K2504" s="41">
        <v>0.34375</v>
      </c>
      <c r="L2504" s="41">
        <f t="shared" si="2"/>
        <v>0.140625</v>
      </c>
      <c r="M2504" s="74">
        <v>-4.548153207</v>
      </c>
    </row>
    <row r="2505">
      <c r="A2505" s="1" t="s">
        <v>313</v>
      </c>
      <c r="B2505" s="38">
        <v>607067.0</v>
      </c>
      <c r="C2505" s="72">
        <v>45842.0</v>
      </c>
      <c r="D2505" s="38">
        <v>96.0</v>
      </c>
      <c r="E2505" s="73">
        <f>IFERROR(__xludf.DUMMYFUNCTION("average(filter('Appearance Sheet'!F:F,'Appearance Sheet'!G:G=B2505,'Appearance Sheet'!A:A=C2505))"),6.666666666666667)</f>
        <v>6.666666667</v>
      </c>
      <c r="F2505" s="67">
        <v>5.064236476</v>
      </c>
      <c r="G2505" s="40">
        <v>2.123507428</v>
      </c>
      <c r="H2505" s="40">
        <f t="shared" si="1"/>
        <v>2.866735028</v>
      </c>
      <c r="I2505" s="41">
        <v>0.520833333</v>
      </c>
      <c r="J2505" s="41">
        <v>0.177083333</v>
      </c>
      <c r="K2505" s="41">
        <v>0.302083333</v>
      </c>
      <c r="L2505" s="41">
        <f t="shared" si="2"/>
        <v>0.21875</v>
      </c>
      <c r="M2505" s="74">
        <v>3.999796107</v>
      </c>
    </row>
    <row r="2506">
      <c r="A2506" s="1" t="s">
        <v>358</v>
      </c>
      <c r="B2506" s="38">
        <v>434378.0</v>
      </c>
      <c r="C2506" s="72">
        <v>45789.0</v>
      </c>
      <c r="D2506" s="38">
        <v>75.0</v>
      </c>
      <c r="E2506" s="73">
        <f>IFERROR(__xludf.DUMMYFUNCTION("average(filter('Appearance Sheet'!F:F,'Appearance Sheet'!G:G=B2506,'Appearance Sheet'!A:A=C2506))"),6.0)</f>
        <v>6</v>
      </c>
      <c r="F2506" s="67">
        <v>5.064138684</v>
      </c>
      <c r="G2506" s="40">
        <v>1.686120122</v>
      </c>
      <c r="H2506" s="40">
        <f t="shared" si="1"/>
        <v>2.529180183</v>
      </c>
      <c r="I2506" s="41">
        <v>0.466666667</v>
      </c>
      <c r="J2506" s="41">
        <v>0.253333333</v>
      </c>
      <c r="K2506" s="41">
        <v>0.28</v>
      </c>
      <c r="L2506" s="41">
        <f t="shared" si="2"/>
        <v>0.186666667</v>
      </c>
      <c r="M2506" s="74">
        <v>-3.871056938</v>
      </c>
    </row>
    <row r="2507">
      <c r="A2507" s="1" t="s">
        <v>290</v>
      </c>
      <c r="B2507" s="38">
        <v>669461.0</v>
      </c>
      <c r="C2507" s="72">
        <v>45831.0</v>
      </c>
      <c r="D2507" s="38">
        <v>82.0</v>
      </c>
      <c r="E2507" s="73">
        <f>IFERROR(__xludf.DUMMYFUNCTION("average(filter('Appearance Sheet'!F:F,'Appearance Sheet'!G:G=B2507,'Appearance Sheet'!A:A=C2507))"),7.0)</f>
        <v>7</v>
      </c>
      <c r="F2507" s="67">
        <v>5.064075468</v>
      </c>
      <c r="G2507" s="40">
        <v>1.852579475</v>
      </c>
      <c r="H2507" s="40">
        <f t="shared" si="1"/>
        <v>2.381887896</v>
      </c>
      <c r="I2507" s="41">
        <v>0.463414634</v>
      </c>
      <c r="J2507" s="41">
        <v>0.182926829</v>
      </c>
      <c r="K2507" s="41">
        <v>0.353658537</v>
      </c>
      <c r="L2507" s="41">
        <f t="shared" si="2"/>
        <v>0.109756097</v>
      </c>
      <c r="M2507" s="74">
        <v>-1.889762624</v>
      </c>
    </row>
    <row r="2508">
      <c r="A2508" s="1" t="s">
        <v>130</v>
      </c>
      <c r="B2508" s="38">
        <v>666200.0</v>
      </c>
      <c r="C2508" s="72">
        <v>45847.0</v>
      </c>
      <c r="D2508" s="38">
        <v>106.0</v>
      </c>
      <c r="E2508" s="73" t="str">
        <f>IFERROR(__xludf.DUMMYFUNCTION("average(filter('Appearance Sheet'!F:F,'Appearance Sheet'!G:G=B2508,'Appearance Sheet'!A:A=C2508))"),"#N/A")</f>
        <v>#N/A</v>
      </c>
      <c r="F2508" s="67">
        <v>5.0638585</v>
      </c>
      <c r="G2508" s="40">
        <v>2.321517018</v>
      </c>
      <c r="H2508" s="40" t="str">
        <f t="shared" si="1"/>
        <v>#N/A</v>
      </c>
      <c r="I2508" s="41">
        <v>0.518867925</v>
      </c>
      <c r="J2508" s="41">
        <v>0.122641509</v>
      </c>
      <c r="K2508" s="41">
        <v>0.358490566</v>
      </c>
      <c r="L2508" s="41">
        <f t="shared" si="2"/>
        <v>0.160377359</v>
      </c>
      <c r="M2508" s="74">
        <v>4.612623304</v>
      </c>
    </row>
    <row r="2509">
      <c r="A2509" s="1" t="s">
        <v>461</v>
      </c>
      <c r="B2509" s="38">
        <v>673540.0</v>
      </c>
      <c r="C2509" s="72">
        <v>45790.0</v>
      </c>
      <c r="D2509" s="38">
        <v>96.0</v>
      </c>
      <c r="E2509" s="73">
        <f>IFERROR(__xludf.DUMMYFUNCTION("average(filter('Appearance Sheet'!F:F,'Appearance Sheet'!G:G=B2509,'Appearance Sheet'!A:A=C2509))"),5.666666666666667)</f>
        <v>5.666666667</v>
      </c>
      <c r="F2509" s="67">
        <v>5.063615819</v>
      </c>
      <c r="G2509" s="40">
        <v>2.133344614</v>
      </c>
      <c r="H2509" s="40">
        <f t="shared" si="1"/>
        <v>3.38825321</v>
      </c>
      <c r="I2509" s="41">
        <v>0.458333333</v>
      </c>
      <c r="J2509" s="41">
        <v>0.208333333</v>
      </c>
      <c r="K2509" s="41">
        <v>0.333333333</v>
      </c>
      <c r="L2509" s="41">
        <f t="shared" si="2"/>
        <v>0.125</v>
      </c>
      <c r="M2509" s="74">
        <v>1.276626686</v>
      </c>
    </row>
    <row r="2510">
      <c r="A2510" s="1" t="s">
        <v>287</v>
      </c>
      <c r="B2510" s="38">
        <v>571945.0</v>
      </c>
      <c r="C2510" s="72">
        <v>45842.0</v>
      </c>
      <c r="D2510" s="38">
        <v>95.0</v>
      </c>
      <c r="E2510" s="73">
        <f>IFERROR(__xludf.DUMMYFUNCTION("average(filter('Appearance Sheet'!F:F,'Appearance Sheet'!G:G=B2510,'Appearance Sheet'!A:A=C2510))"),6.0)</f>
        <v>6</v>
      </c>
      <c r="F2510" s="67">
        <v>5.063276466</v>
      </c>
      <c r="G2510" s="40">
        <v>2.08813727</v>
      </c>
      <c r="H2510" s="40">
        <f t="shared" si="1"/>
        <v>3.132205905</v>
      </c>
      <c r="I2510" s="41">
        <v>0.431578947</v>
      </c>
      <c r="J2510" s="41">
        <v>0.210526316</v>
      </c>
      <c r="K2510" s="41">
        <v>0.357894737</v>
      </c>
      <c r="L2510" s="41">
        <f t="shared" si="2"/>
        <v>0.07368421</v>
      </c>
      <c r="M2510" s="74">
        <v>-3.49388936</v>
      </c>
    </row>
    <row r="2511">
      <c r="A2511" s="1" t="s">
        <v>222</v>
      </c>
      <c r="B2511" s="38">
        <v>518876.0</v>
      </c>
      <c r="C2511" s="72">
        <v>45888.0</v>
      </c>
      <c r="D2511" s="38">
        <v>69.0</v>
      </c>
      <c r="E2511" s="73" t="str">
        <f>IFERROR(__xludf.DUMMYFUNCTION("average(filter('Appearance Sheet'!F:F,'Appearance Sheet'!G:G=B2511,'Appearance Sheet'!A:A=C2511))"),"#N/A")</f>
        <v>#N/A</v>
      </c>
      <c r="F2511" s="67">
        <v>5.063260277</v>
      </c>
      <c r="G2511" s="40">
        <v>1.531989863</v>
      </c>
      <c r="H2511" s="40" t="str">
        <f t="shared" si="1"/>
        <v>#N/A</v>
      </c>
      <c r="I2511" s="41">
        <v>0.463768116</v>
      </c>
      <c r="J2511" s="41">
        <v>0.188405797</v>
      </c>
      <c r="K2511" s="41">
        <v>0.347826087</v>
      </c>
      <c r="L2511" s="41">
        <f t="shared" si="2"/>
        <v>0.115942029</v>
      </c>
      <c r="M2511" s="74">
        <v>3.028705458</v>
      </c>
    </row>
    <row r="2512">
      <c r="A2512" s="1" t="s">
        <v>303</v>
      </c>
      <c r="B2512" s="38">
        <v>592662.0</v>
      </c>
      <c r="C2512" s="72">
        <v>45903.0</v>
      </c>
      <c r="D2512" s="38">
        <v>94.0</v>
      </c>
      <c r="E2512" s="73" t="str">
        <f>IFERROR(__xludf.DUMMYFUNCTION("average(filter('Appearance Sheet'!F:F,'Appearance Sheet'!G:G=B2512,'Appearance Sheet'!A:A=C2512))"),"#N/A")</f>
        <v>#N/A</v>
      </c>
      <c r="F2512" s="67">
        <v>5.063252886</v>
      </c>
      <c r="G2512" s="40">
        <v>2.066968666</v>
      </c>
      <c r="H2512" s="40" t="str">
        <f t="shared" si="1"/>
        <v>#N/A</v>
      </c>
      <c r="I2512" s="41">
        <v>0.425531915</v>
      </c>
      <c r="J2512" s="41">
        <v>0.191489362</v>
      </c>
      <c r="K2512" s="41">
        <v>0.382978723</v>
      </c>
      <c r="L2512" s="41">
        <f t="shared" si="2"/>
        <v>0.042553192</v>
      </c>
      <c r="M2512" s="74">
        <v>-2.355696948</v>
      </c>
    </row>
    <row r="2513">
      <c r="A2513" s="1" t="s">
        <v>105</v>
      </c>
      <c r="B2513" s="38">
        <v>624133.0</v>
      </c>
      <c r="C2513" s="72">
        <v>45815.0</v>
      </c>
      <c r="D2513" s="38">
        <v>95.0</v>
      </c>
      <c r="E2513" s="73">
        <f>IFERROR(__xludf.DUMMYFUNCTION("average(filter('Appearance Sheet'!F:F,'Appearance Sheet'!G:G=B2513,'Appearance Sheet'!A:A=C2513))"),7.0)</f>
        <v>7</v>
      </c>
      <c r="F2513" s="67">
        <v>5.063192498</v>
      </c>
      <c r="G2513" s="40">
        <v>2.101747733</v>
      </c>
      <c r="H2513" s="40">
        <f t="shared" si="1"/>
        <v>2.702247085</v>
      </c>
      <c r="I2513" s="41">
        <v>0.442105263</v>
      </c>
      <c r="J2513" s="41">
        <v>0.178947368</v>
      </c>
      <c r="K2513" s="41">
        <v>0.378947368</v>
      </c>
      <c r="L2513" s="41">
        <f t="shared" si="2"/>
        <v>0.063157895</v>
      </c>
      <c r="M2513" s="74">
        <v>4.092457484</v>
      </c>
    </row>
    <row r="2514">
      <c r="A2514" s="1" t="s">
        <v>450</v>
      </c>
      <c r="B2514" s="38">
        <v>682990.0</v>
      </c>
      <c r="C2514" s="72">
        <v>45849.0</v>
      </c>
      <c r="D2514" s="38">
        <v>83.0</v>
      </c>
      <c r="E2514" s="73" t="str">
        <f>IFERROR(__xludf.DUMMYFUNCTION("average(filter('Appearance Sheet'!F:F,'Appearance Sheet'!G:G=B2514,'Appearance Sheet'!A:A=C2514))"),"#N/A")</f>
        <v>#N/A</v>
      </c>
      <c r="F2514" s="67">
        <v>5.062959687</v>
      </c>
      <c r="G2514" s="40">
        <v>1.845680446</v>
      </c>
      <c r="H2514" s="40" t="str">
        <f t="shared" si="1"/>
        <v>#N/A</v>
      </c>
      <c r="I2514" s="41">
        <v>0.445783133</v>
      </c>
      <c r="J2514" s="41">
        <v>0.192771084</v>
      </c>
      <c r="K2514" s="41">
        <v>0.361445783</v>
      </c>
      <c r="L2514" s="41">
        <f t="shared" si="2"/>
        <v>0.08433735</v>
      </c>
      <c r="M2514" s="74">
        <v>1.897387697</v>
      </c>
    </row>
    <row r="2515">
      <c r="A2515" s="1" t="s">
        <v>330</v>
      </c>
      <c r="B2515" s="38">
        <v>680730.0</v>
      </c>
      <c r="C2515" s="72">
        <v>45849.0</v>
      </c>
      <c r="D2515" s="38">
        <v>81.0</v>
      </c>
      <c r="E2515" s="73" t="str">
        <f>IFERROR(__xludf.DUMMYFUNCTION("average(filter('Appearance Sheet'!F:F,'Appearance Sheet'!G:G=B2515,'Appearance Sheet'!A:A=C2515))"),"#N/A")</f>
        <v>#N/A</v>
      </c>
      <c r="F2515" s="67">
        <v>5.062831645</v>
      </c>
      <c r="G2515" s="40">
        <v>1.806018734</v>
      </c>
      <c r="H2515" s="40" t="str">
        <f t="shared" si="1"/>
        <v>#N/A</v>
      </c>
      <c r="I2515" s="41">
        <v>0.481481481</v>
      </c>
      <c r="J2515" s="41">
        <v>0.135802469</v>
      </c>
      <c r="K2515" s="41">
        <v>0.382716049</v>
      </c>
      <c r="L2515" s="41">
        <f t="shared" si="2"/>
        <v>0.098765432</v>
      </c>
      <c r="M2515" s="74">
        <v>-3.19739216</v>
      </c>
    </row>
    <row r="2516">
      <c r="A2516" s="1" t="s">
        <v>464</v>
      </c>
      <c r="B2516" s="38">
        <v>615698.0</v>
      </c>
      <c r="C2516" s="72">
        <v>45752.0</v>
      </c>
      <c r="D2516" s="38">
        <v>65.0</v>
      </c>
      <c r="E2516" s="73">
        <f>IFERROR(__xludf.DUMMYFUNCTION("average(filter('Appearance Sheet'!F:F,'Appearance Sheet'!G:G=B2516,'Appearance Sheet'!A:A=C2516))"),5.0)</f>
        <v>5</v>
      </c>
      <c r="F2516" s="67">
        <v>5.062750878</v>
      </c>
      <c r="G2516" s="40">
        <v>1.414862971</v>
      </c>
      <c r="H2516" s="40">
        <f t="shared" si="1"/>
        <v>2.546753348</v>
      </c>
      <c r="I2516" s="41">
        <v>0.4</v>
      </c>
      <c r="J2516" s="41">
        <v>0.153846154</v>
      </c>
      <c r="K2516" s="41">
        <v>0.446153846</v>
      </c>
      <c r="L2516" s="41">
        <f t="shared" si="2"/>
        <v>-0.046153846</v>
      </c>
      <c r="M2516" s="74">
        <v>0.027620523</v>
      </c>
    </row>
    <row r="2517">
      <c r="A2517" s="1" t="s">
        <v>278</v>
      </c>
      <c r="B2517" s="38">
        <v>542881.0</v>
      </c>
      <c r="C2517" s="72">
        <v>45799.0</v>
      </c>
      <c r="D2517" s="38">
        <v>97.0</v>
      </c>
      <c r="E2517" s="73">
        <f>IFERROR(__xludf.DUMMYFUNCTION("average(filter('Appearance Sheet'!F:F,'Appearance Sheet'!G:G=B2517,'Appearance Sheet'!A:A=C2517))"),4.666666666666667)</f>
        <v>4.666666667</v>
      </c>
      <c r="F2517" s="67">
        <v>5.062384379</v>
      </c>
      <c r="G2517" s="40">
        <v>2.151540502</v>
      </c>
      <c r="H2517" s="40">
        <f t="shared" si="1"/>
        <v>4.14939954</v>
      </c>
      <c r="I2517" s="41">
        <v>0.463917526</v>
      </c>
      <c r="J2517" s="41">
        <v>0.144329897</v>
      </c>
      <c r="K2517" s="41">
        <v>0.391752577</v>
      </c>
      <c r="L2517" s="41">
        <f t="shared" si="2"/>
        <v>0.072164949</v>
      </c>
      <c r="M2517" s="74">
        <v>-2.348347659</v>
      </c>
    </row>
    <row r="2518">
      <c r="A2518" s="1" t="s">
        <v>491</v>
      </c>
      <c r="B2518" s="38">
        <v>650644.0</v>
      </c>
      <c r="C2518" s="72">
        <v>45871.0</v>
      </c>
      <c r="D2518" s="38">
        <v>92.0</v>
      </c>
      <c r="E2518" s="73" t="str">
        <f>IFERROR(__xludf.DUMMYFUNCTION("average(filter('Appearance Sheet'!F:F,'Appearance Sheet'!G:G=B2518,'Appearance Sheet'!A:A=C2518))"),"#N/A")</f>
        <v>#N/A</v>
      </c>
      <c r="F2518" s="67">
        <v>5.062253067</v>
      </c>
      <c r="G2518" s="40">
        <v>2.009277378</v>
      </c>
      <c r="H2518" s="40" t="str">
        <f t="shared" si="1"/>
        <v>#N/A</v>
      </c>
      <c r="I2518" s="41">
        <v>0.489130435</v>
      </c>
      <c r="J2518" s="41">
        <v>0.141304348</v>
      </c>
      <c r="K2518" s="41">
        <v>0.369565217</v>
      </c>
      <c r="L2518" s="41">
        <f t="shared" si="2"/>
        <v>0.119565218</v>
      </c>
      <c r="M2518" s="74">
        <v>4.267193954</v>
      </c>
    </row>
    <row r="2519">
      <c r="A2519" s="1" t="s">
        <v>290</v>
      </c>
      <c r="B2519" s="38">
        <v>669461.0</v>
      </c>
      <c r="C2519" s="72">
        <v>45801.0</v>
      </c>
      <c r="D2519" s="38">
        <v>83.0</v>
      </c>
      <c r="E2519" s="73">
        <f>IFERROR(__xludf.DUMMYFUNCTION("average(filter('Appearance Sheet'!F:F,'Appearance Sheet'!G:G=B2519,'Appearance Sheet'!A:A=C2519))"),7.0)</f>
        <v>7</v>
      </c>
      <c r="F2519" s="67">
        <v>5.061879858</v>
      </c>
      <c r="G2519" s="40">
        <v>1.86782553</v>
      </c>
      <c r="H2519" s="40">
        <f t="shared" si="1"/>
        <v>2.401489967</v>
      </c>
      <c r="I2519" s="41">
        <v>0.457831325</v>
      </c>
      <c r="J2519" s="41">
        <v>0.13253012</v>
      </c>
      <c r="K2519" s="41">
        <v>0.409638554</v>
      </c>
      <c r="L2519" s="41">
        <f t="shared" si="2"/>
        <v>0.048192771</v>
      </c>
      <c r="M2519" s="74">
        <v>-1.055248684</v>
      </c>
    </row>
    <row r="2520">
      <c r="A2520" s="1" t="s">
        <v>313</v>
      </c>
      <c r="B2520" s="38">
        <v>607067.0</v>
      </c>
      <c r="C2520" s="72">
        <v>45867.0</v>
      </c>
      <c r="D2520" s="38">
        <v>80.0</v>
      </c>
      <c r="E2520" s="73" t="str">
        <f>IFERROR(__xludf.DUMMYFUNCTION("average(filter('Appearance Sheet'!F:F,'Appearance Sheet'!G:G=B2520,'Appearance Sheet'!A:A=C2520))"),"#N/A")</f>
        <v>#N/A</v>
      </c>
      <c r="F2520" s="67">
        <v>5.06176722</v>
      </c>
      <c r="G2520" s="40">
        <v>1.759719782</v>
      </c>
      <c r="H2520" s="40" t="str">
        <f t="shared" si="1"/>
        <v>#N/A</v>
      </c>
      <c r="I2520" s="41">
        <v>0.475</v>
      </c>
      <c r="J2520" s="41">
        <v>0.2</v>
      </c>
      <c r="K2520" s="41">
        <v>0.325</v>
      </c>
      <c r="L2520" s="41">
        <f t="shared" si="2"/>
        <v>0.15</v>
      </c>
      <c r="M2520" s="74">
        <v>-2.819100471</v>
      </c>
    </row>
    <row r="2521">
      <c r="A2521" s="1" t="s">
        <v>229</v>
      </c>
      <c r="B2521" s="38">
        <v>645261.0</v>
      </c>
      <c r="C2521" s="72">
        <v>45824.0</v>
      </c>
      <c r="D2521" s="38">
        <v>99.0</v>
      </c>
      <c r="E2521" s="73">
        <f>IFERROR(__xludf.DUMMYFUNCTION("average(filter('Appearance Sheet'!F:F,'Appearance Sheet'!G:G=B2521,'Appearance Sheet'!A:A=C2521))"),5.0)</f>
        <v>5</v>
      </c>
      <c r="F2521" s="67">
        <v>5.061678744</v>
      </c>
      <c r="G2521" s="40">
        <v>2.123316111</v>
      </c>
      <c r="H2521" s="40">
        <f t="shared" si="1"/>
        <v>3.821969</v>
      </c>
      <c r="I2521" s="41">
        <v>0.393939394</v>
      </c>
      <c r="J2521" s="41">
        <v>0.202020202</v>
      </c>
      <c r="K2521" s="41">
        <v>0.404040404</v>
      </c>
      <c r="L2521" s="41">
        <f t="shared" si="2"/>
        <v>-0.01010101</v>
      </c>
      <c r="M2521" s="74">
        <v>2.432228466</v>
      </c>
    </row>
    <row r="2522">
      <c r="A2522" s="1" t="s">
        <v>105</v>
      </c>
      <c r="B2522" s="38">
        <v>624133.0</v>
      </c>
      <c r="C2522" s="72">
        <v>45832.0</v>
      </c>
      <c r="D2522" s="38">
        <v>94.0</v>
      </c>
      <c r="E2522" s="73">
        <f>IFERROR(__xludf.DUMMYFUNCTION("average(filter('Appearance Sheet'!F:F,'Appearance Sheet'!G:G=B2522,'Appearance Sheet'!A:A=C2522))"),7.666666666666667)</f>
        <v>7.666666667</v>
      </c>
      <c r="F2522" s="67">
        <v>5.061540765</v>
      </c>
      <c r="G2522" s="40">
        <v>2.063752601</v>
      </c>
      <c r="H2522" s="40">
        <f t="shared" si="1"/>
        <v>2.422666097</v>
      </c>
      <c r="I2522" s="41">
        <v>0.446808511</v>
      </c>
      <c r="J2522" s="41">
        <v>0.20212766</v>
      </c>
      <c r="K2522" s="41">
        <v>0.35106383</v>
      </c>
      <c r="L2522" s="41">
        <f t="shared" si="2"/>
        <v>0.095744681</v>
      </c>
      <c r="M2522" s="74">
        <v>1.663662246</v>
      </c>
    </row>
    <row r="2523">
      <c r="A2523" s="1" t="s">
        <v>490</v>
      </c>
      <c r="B2523" s="38">
        <v>680573.0</v>
      </c>
      <c r="C2523" s="72">
        <v>45915.0</v>
      </c>
      <c r="D2523" s="38">
        <v>89.0</v>
      </c>
      <c r="E2523" s="73" t="str">
        <f>IFERROR(__xludf.DUMMYFUNCTION("average(filter('Appearance Sheet'!F:F,'Appearance Sheet'!G:G=B2523,'Appearance Sheet'!A:A=C2523))"),"#N/A")</f>
        <v>#N/A</v>
      </c>
      <c r="F2523" s="67">
        <v>5.061491648</v>
      </c>
      <c r="G2523" s="40">
        <v>1.953326169</v>
      </c>
      <c r="H2523" s="40" t="str">
        <f t="shared" si="1"/>
        <v>#N/A</v>
      </c>
      <c r="I2523" s="41">
        <v>0.438202247</v>
      </c>
      <c r="J2523" s="41">
        <v>0.269662921</v>
      </c>
      <c r="K2523" s="41">
        <v>0.292134831</v>
      </c>
      <c r="L2523" s="41">
        <f t="shared" si="2"/>
        <v>0.146067416</v>
      </c>
      <c r="M2523" s="74">
        <v>2.861898739</v>
      </c>
    </row>
    <row r="2524">
      <c r="A2524" s="1" t="s">
        <v>376</v>
      </c>
      <c r="B2524" s="38">
        <v>668909.0</v>
      </c>
      <c r="C2524" s="72">
        <v>45875.0</v>
      </c>
      <c r="D2524" s="38">
        <v>115.0</v>
      </c>
      <c r="E2524" s="73" t="str">
        <f>IFERROR(__xludf.DUMMYFUNCTION("average(filter('Appearance Sheet'!F:F,'Appearance Sheet'!G:G=B2524,'Appearance Sheet'!A:A=C2524))"),"#N/A")</f>
        <v>#N/A</v>
      </c>
      <c r="F2524" s="67">
        <v>5.06128755</v>
      </c>
      <c r="G2524" s="40">
        <v>2.527247611</v>
      </c>
      <c r="H2524" s="40" t="str">
        <f t="shared" si="1"/>
        <v>#N/A</v>
      </c>
      <c r="I2524" s="41">
        <v>0.486956522</v>
      </c>
      <c r="J2524" s="41">
        <v>0.165217391</v>
      </c>
      <c r="K2524" s="41">
        <v>0.347826087</v>
      </c>
      <c r="L2524" s="41">
        <f t="shared" si="2"/>
        <v>0.139130435</v>
      </c>
      <c r="M2524" s="74">
        <v>4.728982394</v>
      </c>
    </row>
    <row r="2525">
      <c r="A2525" s="1" t="s">
        <v>564</v>
      </c>
      <c r="B2525" s="38">
        <v>674841.0</v>
      </c>
      <c r="C2525" s="72">
        <v>45919.0</v>
      </c>
      <c r="D2525" s="38">
        <v>81.0</v>
      </c>
      <c r="E2525" s="73" t="str">
        <f>IFERROR(__xludf.DUMMYFUNCTION("average(filter('Appearance Sheet'!F:F,'Appearance Sheet'!G:G=B2525,'Appearance Sheet'!A:A=C2525))"),"#N/A")</f>
        <v>#N/A</v>
      </c>
      <c r="F2525" s="67">
        <v>5.061008605</v>
      </c>
      <c r="G2525" s="40">
        <v>1.750755702</v>
      </c>
      <c r="H2525" s="40" t="str">
        <f t="shared" si="1"/>
        <v>#N/A</v>
      </c>
      <c r="I2525" s="41">
        <v>0.456790123</v>
      </c>
      <c r="J2525" s="41">
        <v>0.148148148</v>
      </c>
      <c r="K2525" s="41">
        <v>0.395061728</v>
      </c>
      <c r="L2525" s="41">
        <f t="shared" si="2"/>
        <v>0.061728395</v>
      </c>
      <c r="M2525" s="74">
        <v>-3.033017012</v>
      </c>
    </row>
    <row r="2526">
      <c r="A2526" s="1" t="s">
        <v>307</v>
      </c>
      <c r="B2526" s="38">
        <v>656849.0</v>
      </c>
      <c r="C2526" s="72">
        <v>45819.0</v>
      </c>
      <c r="D2526" s="38">
        <v>99.0</v>
      </c>
      <c r="E2526" s="73">
        <f>IFERROR(__xludf.DUMMYFUNCTION("average(filter('Appearance Sheet'!F:F,'Appearance Sheet'!G:G=B2526,'Appearance Sheet'!A:A=C2526))"),9.0)</f>
        <v>9</v>
      </c>
      <c r="F2526" s="67">
        <v>5.060947999</v>
      </c>
      <c r="G2526" s="40">
        <v>2.212933347</v>
      </c>
      <c r="H2526" s="40">
        <f t="shared" si="1"/>
        <v>2.212933347</v>
      </c>
      <c r="I2526" s="41">
        <v>0.474747475</v>
      </c>
      <c r="J2526" s="41">
        <v>0.151515152</v>
      </c>
      <c r="K2526" s="41">
        <v>0.373737374</v>
      </c>
      <c r="L2526" s="41">
        <f t="shared" si="2"/>
        <v>0.101010101</v>
      </c>
      <c r="M2526" s="74">
        <v>0.827630783</v>
      </c>
    </row>
    <row r="2527">
      <c r="A2527" s="1" t="s">
        <v>376</v>
      </c>
      <c r="B2527" s="38">
        <v>668909.0</v>
      </c>
      <c r="C2527" s="72">
        <v>45911.0</v>
      </c>
      <c r="D2527" s="38">
        <v>102.0</v>
      </c>
      <c r="E2527" s="73" t="str">
        <f>IFERROR(__xludf.DUMMYFUNCTION("average(filter('Appearance Sheet'!F:F,'Appearance Sheet'!G:G=B2527,'Appearance Sheet'!A:A=C2527))"),"#N/A")</f>
        <v>#N/A</v>
      </c>
      <c r="F2527" s="67">
        <v>5.060409338</v>
      </c>
      <c r="G2527" s="40">
        <v>2.203478119</v>
      </c>
      <c r="H2527" s="40" t="str">
        <f t="shared" si="1"/>
        <v>#N/A</v>
      </c>
      <c r="I2527" s="41">
        <v>0.5</v>
      </c>
      <c r="J2527" s="41">
        <v>0.18627451</v>
      </c>
      <c r="K2527" s="41">
        <v>0.31372549</v>
      </c>
      <c r="L2527" s="41">
        <f t="shared" si="2"/>
        <v>0.18627451</v>
      </c>
      <c r="M2527" s="74">
        <v>1.59740468</v>
      </c>
    </row>
    <row r="2528">
      <c r="A2528" s="1" t="s">
        <v>411</v>
      </c>
      <c r="B2528" s="38">
        <v>605288.0</v>
      </c>
      <c r="C2528" s="72">
        <v>45830.0</v>
      </c>
      <c r="D2528" s="38">
        <v>88.0</v>
      </c>
      <c r="E2528" s="73">
        <f>IFERROR(__xludf.DUMMYFUNCTION("average(filter('Appearance Sheet'!F:F,'Appearance Sheet'!G:G=B2528,'Appearance Sheet'!A:A=C2528))"),6.333333333333333)</f>
        <v>6.333333333</v>
      </c>
      <c r="F2528" s="67">
        <v>5.060346876</v>
      </c>
      <c r="G2528" s="40">
        <v>1.944362692</v>
      </c>
      <c r="H2528" s="40">
        <f t="shared" si="1"/>
        <v>2.76304172</v>
      </c>
      <c r="I2528" s="41">
        <v>0.443181818</v>
      </c>
      <c r="J2528" s="41">
        <v>0.204545455</v>
      </c>
      <c r="K2528" s="41">
        <v>0.352272727</v>
      </c>
      <c r="L2528" s="41">
        <f t="shared" si="2"/>
        <v>0.090909091</v>
      </c>
      <c r="M2528" s="74">
        <v>-1.877599302</v>
      </c>
    </row>
    <row r="2529">
      <c r="A2529" s="1" t="s">
        <v>163</v>
      </c>
      <c r="B2529" s="38">
        <v>663460.0</v>
      </c>
      <c r="C2529" s="72">
        <v>45774.0</v>
      </c>
      <c r="D2529" s="38">
        <v>93.0</v>
      </c>
      <c r="E2529" s="73">
        <f>IFERROR(__xludf.DUMMYFUNCTION("average(filter('Appearance Sheet'!F:F,'Appearance Sheet'!G:G=B2529,'Appearance Sheet'!A:A=C2529))"),5.0)</f>
        <v>5</v>
      </c>
      <c r="F2529" s="67">
        <v>5.060246945</v>
      </c>
      <c r="G2529" s="40">
        <v>1.997582331</v>
      </c>
      <c r="H2529" s="40">
        <f t="shared" si="1"/>
        <v>3.595648196</v>
      </c>
      <c r="I2529" s="41">
        <v>0.516129032</v>
      </c>
      <c r="J2529" s="41">
        <v>0.215053763</v>
      </c>
      <c r="K2529" s="41">
        <v>0.268817204</v>
      </c>
      <c r="L2529" s="41">
        <f t="shared" si="2"/>
        <v>0.247311828</v>
      </c>
      <c r="M2529" s="74">
        <v>-0.200572233</v>
      </c>
    </row>
    <row r="2530">
      <c r="A2530" s="1" t="s">
        <v>372</v>
      </c>
      <c r="B2530" s="38">
        <v>671106.0</v>
      </c>
      <c r="C2530" s="72">
        <v>45910.0</v>
      </c>
      <c r="D2530" s="38">
        <v>84.0</v>
      </c>
      <c r="E2530" s="73" t="str">
        <f>IFERROR(__xludf.DUMMYFUNCTION("average(filter('Appearance Sheet'!F:F,'Appearance Sheet'!G:G=B2530,'Appearance Sheet'!A:A=C2530))"),"#N/A")</f>
        <v>#N/A</v>
      </c>
      <c r="F2530" s="67">
        <v>5.06023175</v>
      </c>
      <c r="G2530" s="40">
        <v>1.837742287</v>
      </c>
      <c r="H2530" s="40" t="str">
        <f t="shared" si="1"/>
        <v>#N/A</v>
      </c>
      <c r="I2530" s="41">
        <v>0.464285714</v>
      </c>
      <c r="J2530" s="41">
        <v>0.154761905</v>
      </c>
      <c r="K2530" s="41">
        <v>0.380952381</v>
      </c>
      <c r="L2530" s="41">
        <f t="shared" si="2"/>
        <v>0.083333333</v>
      </c>
      <c r="M2530" s="74">
        <v>-0.85542471</v>
      </c>
    </row>
    <row r="2531">
      <c r="A2531" s="1" t="s">
        <v>88</v>
      </c>
      <c r="B2531" s="38">
        <v>694973.0</v>
      </c>
      <c r="C2531" s="72">
        <v>45871.0</v>
      </c>
      <c r="D2531" s="38">
        <v>93.0</v>
      </c>
      <c r="E2531" s="73" t="str">
        <f>IFERROR(__xludf.DUMMYFUNCTION("average(filter('Appearance Sheet'!F:F,'Appearance Sheet'!G:G=B2531,'Appearance Sheet'!A:A=C2531))"),"#N/A")</f>
        <v>#N/A</v>
      </c>
      <c r="F2531" s="67">
        <v>5.060011301</v>
      </c>
      <c r="G2531" s="40">
        <v>2.024108862</v>
      </c>
      <c r="H2531" s="40" t="str">
        <f t="shared" si="1"/>
        <v>#N/A</v>
      </c>
      <c r="I2531" s="41">
        <v>0.440860215</v>
      </c>
      <c r="J2531" s="41">
        <v>0.172043011</v>
      </c>
      <c r="K2531" s="41">
        <v>0.387096774</v>
      </c>
      <c r="L2531" s="41">
        <f t="shared" si="2"/>
        <v>0.053763441</v>
      </c>
      <c r="M2531" s="74">
        <v>-0.047932116</v>
      </c>
    </row>
    <row r="2532">
      <c r="A2532" s="1" t="s">
        <v>424</v>
      </c>
      <c r="B2532" s="38">
        <v>667755.0</v>
      </c>
      <c r="C2532" s="72">
        <v>45863.0</v>
      </c>
      <c r="D2532" s="38">
        <v>86.0</v>
      </c>
      <c r="E2532" s="73" t="str">
        <f>IFERROR(__xludf.DUMMYFUNCTION("average(filter('Appearance Sheet'!F:F,'Appearance Sheet'!G:G=B2532,'Appearance Sheet'!A:A=C2532))"),"#N/A")</f>
        <v>#N/A</v>
      </c>
      <c r="F2532" s="67">
        <v>5.059719808</v>
      </c>
      <c r="G2532" s="40">
        <v>1.886634491</v>
      </c>
      <c r="H2532" s="40" t="str">
        <f t="shared" si="1"/>
        <v>#N/A</v>
      </c>
      <c r="I2532" s="41">
        <v>0.476744186</v>
      </c>
      <c r="J2532" s="41">
        <v>0.151162791</v>
      </c>
      <c r="K2532" s="41">
        <v>0.372093023</v>
      </c>
      <c r="L2532" s="41">
        <f t="shared" si="2"/>
        <v>0.104651163</v>
      </c>
      <c r="M2532" s="74">
        <v>0.98345538</v>
      </c>
    </row>
    <row r="2533">
      <c r="A2533" s="1" t="s">
        <v>356</v>
      </c>
      <c r="B2533" s="38">
        <v>680732.0</v>
      </c>
      <c r="C2533" s="72">
        <v>45878.0</v>
      </c>
      <c r="D2533" s="38">
        <v>82.0</v>
      </c>
      <c r="E2533" s="73" t="str">
        <f>IFERROR(__xludf.DUMMYFUNCTION("average(filter('Appearance Sheet'!F:F,'Appearance Sheet'!G:G=B2533,'Appearance Sheet'!A:A=C2533))"),"#N/A")</f>
        <v>#N/A</v>
      </c>
      <c r="F2533" s="67">
        <v>5.059714497</v>
      </c>
      <c r="G2533" s="40">
        <v>1.777195136</v>
      </c>
      <c r="H2533" s="40" t="str">
        <f t="shared" si="1"/>
        <v>#N/A</v>
      </c>
      <c r="I2533" s="41">
        <v>0.512195122</v>
      </c>
      <c r="J2533" s="41">
        <v>0.207317073</v>
      </c>
      <c r="K2533" s="41">
        <v>0.280487805</v>
      </c>
      <c r="L2533" s="41">
        <f t="shared" si="2"/>
        <v>0.231707317</v>
      </c>
      <c r="M2533" s="74">
        <v>-0.852709889</v>
      </c>
    </row>
    <row r="2534">
      <c r="A2534" s="1" t="s">
        <v>420</v>
      </c>
      <c r="B2534" s="38">
        <v>547179.0</v>
      </c>
      <c r="C2534" s="72">
        <v>45786.0</v>
      </c>
      <c r="D2534" s="38">
        <v>86.0</v>
      </c>
      <c r="E2534" s="73">
        <f>IFERROR(__xludf.DUMMYFUNCTION("average(filter('Appearance Sheet'!F:F,'Appearance Sheet'!G:G=B2534,'Appearance Sheet'!A:A=C2534))"),7.0)</f>
        <v>7</v>
      </c>
      <c r="F2534" s="67">
        <v>5.059650586</v>
      </c>
      <c r="G2534" s="40">
        <v>1.918464972</v>
      </c>
      <c r="H2534" s="40">
        <f t="shared" si="1"/>
        <v>2.466597821</v>
      </c>
      <c r="I2534" s="41">
        <v>0.465116279</v>
      </c>
      <c r="J2534" s="41">
        <v>0.209302326</v>
      </c>
      <c r="K2534" s="41">
        <v>0.325581395</v>
      </c>
      <c r="L2534" s="41">
        <f t="shared" si="2"/>
        <v>0.139534884</v>
      </c>
      <c r="M2534" s="74">
        <v>1.555523867</v>
      </c>
    </row>
    <row r="2535">
      <c r="A2535" s="1" t="s">
        <v>95</v>
      </c>
      <c r="B2535" s="38">
        <v>543243.0</v>
      </c>
      <c r="C2535" s="72">
        <v>45846.0</v>
      </c>
      <c r="D2535" s="38">
        <v>70.0</v>
      </c>
      <c r="E2535" s="73" t="str">
        <f>IFERROR(__xludf.DUMMYFUNCTION("average(filter('Appearance Sheet'!F:F,'Appearance Sheet'!G:G=B2535,'Appearance Sheet'!A:A=C2535))"),"#N/A")</f>
        <v>#N/A</v>
      </c>
      <c r="F2535" s="67">
        <v>5.059600181</v>
      </c>
      <c r="G2535" s="40">
        <v>1.51135847</v>
      </c>
      <c r="H2535" s="40" t="str">
        <f t="shared" si="1"/>
        <v>#N/A</v>
      </c>
      <c r="I2535" s="41">
        <v>0.514285714</v>
      </c>
      <c r="J2535" s="41">
        <v>0.185714286</v>
      </c>
      <c r="K2535" s="41">
        <v>0.3</v>
      </c>
      <c r="L2535" s="41">
        <f t="shared" si="2"/>
        <v>0.214285714</v>
      </c>
      <c r="M2535" s="74">
        <v>-1.551446346</v>
      </c>
    </row>
    <row r="2536">
      <c r="A2536" s="1" t="s">
        <v>164</v>
      </c>
      <c r="B2536" s="38">
        <v>669923.0</v>
      </c>
      <c r="C2536" s="72">
        <v>45881.0</v>
      </c>
      <c r="D2536" s="38">
        <v>86.0</v>
      </c>
      <c r="E2536" s="73" t="str">
        <f>IFERROR(__xludf.DUMMYFUNCTION("average(filter('Appearance Sheet'!F:F,'Appearance Sheet'!G:G=B2536,'Appearance Sheet'!A:A=C2536))"),"#N/A")</f>
        <v>#N/A</v>
      </c>
      <c r="F2536" s="67">
        <v>5.059517686</v>
      </c>
      <c r="G2536" s="40">
        <v>1.90830862</v>
      </c>
      <c r="H2536" s="40" t="str">
        <f t="shared" si="1"/>
        <v>#N/A</v>
      </c>
      <c r="I2536" s="41">
        <v>0.406976744</v>
      </c>
      <c r="J2536" s="41">
        <v>0.174418605</v>
      </c>
      <c r="K2536" s="41">
        <v>0.418604651</v>
      </c>
      <c r="L2536" s="41">
        <f t="shared" si="2"/>
        <v>-0.011627907</v>
      </c>
      <c r="M2536" s="74">
        <v>1.512451058</v>
      </c>
    </row>
    <row r="2537">
      <c r="A2537" s="1" t="s">
        <v>93</v>
      </c>
      <c r="B2537" s="38">
        <v>669194.0</v>
      </c>
      <c r="C2537" s="72">
        <v>45885.0</v>
      </c>
      <c r="D2537" s="38">
        <v>83.0</v>
      </c>
      <c r="E2537" s="73" t="str">
        <f>IFERROR(__xludf.DUMMYFUNCTION("average(filter('Appearance Sheet'!F:F,'Appearance Sheet'!G:G=B2537,'Appearance Sheet'!A:A=C2537))"),"#N/A")</f>
        <v>#N/A</v>
      </c>
      <c r="F2537" s="67">
        <v>5.059325722</v>
      </c>
      <c r="G2537" s="40">
        <v>1.872135296</v>
      </c>
      <c r="H2537" s="40" t="str">
        <f t="shared" si="1"/>
        <v>#N/A</v>
      </c>
      <c r="I2537" s="41">
        <v>0.409638554</v>
      </c>
      <c r="J2537" s="41">
        <v>0.168674699</v>
      </c>
      <c r="K2537" s="41">
        <v>0.421686747</v>
      </c>
      <c r="L2537" s="41">
        <f t="shared" si="2"/>
        <v>-0.012048193</v>
      </c>
      <c r="M2537" s="74">
        <v>-2.709336468</v>
      </c>
    </row>
    <row r="2538">
      <c r="A2538" s="1" t="s">
        <v>364</v>
      </c>
      <c r="B2538" s="38">
        <v>693855.0</v>
      </c>
      <c r="C2538" s="72">
        <v>45917.0</v>
      </c>
      <c r="D2538" s="38">
        <v>96.0</v>
      </c>
      <c r="E2538" s="73" t="str">
        <f>IFERROR(__xludf.DUMMYFUNCTION("average(filter('Appearance Sheet'!F:F,'Appearance Sheet'!G:G=B2538,'Appearance Sheet'!A:A=C2538))"),"#N/A")</f>
        <v>#N/A</v>
      </c>
      <c r="F2538" s="67">
        <v>5.059085262</v>
      </c>
      <c r="G2538" s="40">
        <v>2.139836296</v>
      </c>
      <c r="H2538" s="40" t="str">
        <f t="shared" si="1"/>
        <v>#N/A</v>
      </c>
      <c r="I2538" s="41">
        <v>0.458333333</v>
      </c>
      <c r="J2538" s="41">
        <v>0.239583333</v>
      </c>
      <c r="K2538" s="41">
        <v>0.302083333</v>
      </c>
      <c r="L2538" s="41">
        <f t="shared" si="2"/>
        <v>0.15625</v>
      </c>
      <c r="M2538" s="74">
        <v>2.792448845</v>
      </c>
    </row>
    <row r="2539">
      <c r="A2539" s="1" t="s">
        <v>150</v>
      </c>
      <c r="B2539" s="38">
        <v>657746.0</v>
      </c>
      <c r="C2539" s="72">
        <v>45920.0</v>
      </c>
      <c r="D2539" s="38">
        <v>73.0</v>
      </c>
      <c r="E2539" s="73" t="str">
        <f>IFERROR(__xludf.DUMMYFUNCTION("average(filter('Appearance Sheet'!F:F,'Appearance Sheet'!G:G=B2539,'Appearance Sheet'!A:A=C2539))"),"#N/A")</f>
        <v>#N/A</v>
      </c>
      <c r="F2539" s="67">
        <v>5.059006014</v>
      </c>
      <c r="G2539" s="40">
        <v>1.633514853</v>
      </c>
      <c r="H2539" s="40" t="str">
        <f t="shared" si="1"/>
        <v>#N/A</v>
      </c>
      <c r="I2539" s="41">
        <v>0.506849315</v>
      </c>
      <c r="J2539" s="41">
        <v>0.191780822</v>
      </c>
      <c r="K2539" s="41">
        <v>0.301369863</v>
      </c>
      <c r="L2539" s="41">
        <f t="shared" si="2"/>
        <v>0.205479452</v>
      </c>
      <c r="M2539" s="74">
        <v>-2.719814618</v>
      </c>
    </row>
    <row r="2540">
      <c r="A2540" s="1" t="s">
        <v>425</v>
      </c>
      <c r="B2540" s="38">
        <v>621244.0</v>
      </c>
      <c r="C2540" s="72">
        <v>45881.0</v>
      </c>
      <c r="D2540" s="38">
        <v>87.0</v>
      </c>
      <c r="E2540" s="73" t="str">
        <f>IFERROR(__xludf.DUMMYFUNCTION("average(filter('Appearance Sheet'!F:F,'Appearance Sheet'!G:G=B2540,'Appearance Sheet'!A:A=C2540))"),"#N/A")</f>
        <v>#N/A</v>
      </c>
      <c r="F2540" s="67">
        <v>5.058750419</v>
      </c>
      <c r="G2540" s="40">
        <v>1.906375187</v>
      </c>
      <c r="H2540" s="40" t="str">
        <f t="shared" si="1"/>
        <v>#N/A</v>
      </c>
      <c r="I2540" s="41">
        <v>0.459770115</v>
      </c>
      <c r="J2540" s="41">
        <v>0.229885057</v>
      </c>
      <c r="K2540" s="41">
        <v>0.310344828</v>
      </c>
      <c r="L2540" s="41">
        <f t="shared" si="2"/>
        <v>0.149425287</v>
      </c>
      <c r="M2540" s="74">
        <v>3.64492255</v>
      </c>
    </row>
    <row r="2541">
      <c r="A2541" s="1" t="s">
        <v>321</v>
      </c>
      <c r="B2541" s="38">
        <v>607200.0</v>
      </c>
      <c r="C2541" s="72">
        <v>45781.0</v>
      </c>
      <c r="D2541" s="38">
        <v>101.0</v>
      </c>
      <c r="E2541" s="73">
        <f>IFERROR(__xludf.DUMMYFUNCTION("average(filter('Appearance Sheet'!F:F,'Appearance Sheet'!G:G=B2541,'Appearance Sheet'!A:A=C2541))"),5.0)</f>
        <v>5</v>
      </c>
      <c r="F2541" s="67">
        <v>5.058674878</v>
      </c>
      <c r="G2541" s="40">
        <v>2.181386927</v>
      </c>
      <c r="H2541" s="40">
        <f t="shared" si="1"/>
        <v>3.926496469</v>
      </c>
      <c r="I2541" s="41">
        <v>0.445544554</v>
      </c>
      <c r="J2541" s="41">
        <v>0.257425743</v>
      </c>
      <c r="K2541" s="41">
        <v>0.297029703</v>
      </c>
      <c r="L2541" s="41">
        <f t="shared" si="2"/>
        <v>0.148514851</v>
      </c>
      <c r="M2541" s="74">
        <v>-0.263629157</v>
      </c>
    </row>
    <row r="2542">
      <c r="A2542" s="1" t="s">
        <v>325</v>
      </c>
      <c r="B2542" s="38">
        <v>676917.0</v>
      </c>
      <c r="C2542" s="72">
        <v>45896.0</v>
      </c>
      <c r="D2542" s="38">
        <v>72.0</v>
      </c>
      <c r="E2542" s="73" t="str">
        <f>IFERROR(__xludf.DUMMYFUNCTION("average(filter('Appearance Sheet'!F:F,'Appearance Sheet'!G:G=B2542,'Appearance Sheet'!A:A=C2542))"),"#N/A")</f>
        <v>#N/A</v>
      </c>
      <c r="F2542" s="67">
        <v>5.058596256</v>
      </c>
      <c r="G2542" s="40">
        <v>1.576384804</v>
      </c>
      <c r="H2542" s="40" t="str">
        <f t="shared" si="1"/>
        <v>#N/A</v>
      </c>
      <c r="I2542" s="41">
        <v>0.458333333</v>
      </c>
      <c r="J2542" s="41">
        <v>0.194444444</v>
      </c>
      <c r="K2542" s="41">
        <v>0.347222222</v>
      </c>
      <c r="L2542" s="41">
        <f t="shared" si="2"/>
        <v>0.111111111</v>
      </c>
      <c r="M2542" s="74">
        <v>-4.057765059</v>
      </c>
    </row>
    <row r="2543">
      <c r="A2543" s="1" t="s">
        <v>354</v>
      </c>
      <c r="B2543" s="38">
        <v>669022.0</v>
      </c>
      <c r="C2543" s="72">
        <v>45884.0</v>
      </c>
      <c r="D2543" s="38">
        <v>88.0</v>
      </c>
      <c r="E2543" s="73" t="str">
        <f>IFERROR(__xludf.DUMMYFUNCTION("average(filter('Appearance Sheet'!F:F,'Appearance Sheet'!G:G=B2543,'Appearance Sheet'!A:A=C2543))"),"#N/A")</f>
        <v>#N/A</v>
      </c>
      <c r="F2543" s="67">
        <v>5.058544478</v>
      </c>
      <c r="G2543" s="40">
        <v>1.929461363</v>
      </c>
      <c r="H2543" s="40" t="str">
        <f t="shared" si="1"/>
        <v>#N/A</v>
      </c>
      <c r="I2543" s="41">
        <v>0.545454545</v>
      </c>
      <c r="J2543" s="41">
        <v>0.090909091</v>
      </c>
      <c r="K2543" s="41">
        <v>0.363636364</v>
      </c>
      <c r="L2543" s="41">
        <f t="shared" si="2"/>
        <v>0.181818181</v>
      </c>
      <c r="M2543" s="74">
        <v>0.425200217</v>
      </c>
    </row>
    <row r="2544">
      <c r="A2544" s="1" t="s">
        <v>424</v>
      </c>
      <c r="B2544" s="38">
        <v>667755.0</v>
      </c>
      <c r="C2544" s="72">
        <v>45868.0</v>
      </c>
      <c r="D2544" s="38">
        <v>93.0</v>
      </c>
      <c r="E2544" s="73" t="str">
        <f>IFERROR(__xludf.DUMMYFUNCTION("average(filter('Appearance Sheet'!F:F,'Appearance Sheet'!G:G=B2544,'Appearance Sheet'!A:A=C2544))"),"#N/A")</f>
        <v>#N/A</v>
      </c>
      <c r="F2544" s="67">
        <v>5.058005644</v>
      </c>
      <c r="G2544" s="40">
        <v>2.076173426</v>
      </c>
      <c r="H2544" s="40" t="str">
        <f t="shared" si="1"/>
        <v>#N/A</v>
      </c>
      <c r="I2544" s="41">
        <v>0.451612903</v>
      </c>
      <c r="J2544" s="41">
        <v>0.150537634</v>
      </c>
      <c r="K2544" s="41">
        <v>0.397849462</v>
      </c>
      <c r="L2544" s="41">
        <f t="shared" si="2"/>
        <v>0.053763441</v>
      </c>
      <c r="M2544" s="74">
        <v>0.73667553</v>
      </c>
    </row>
    <row r="2545">
      <c r="A2545" s="1" t="s">
        <v>246</v>
      </c>
      <c r="B2545" s="38">
        <v>571510.0</v>
      </c>
      <c r="C2545" s="72">
        <v>45788.0</v>
      </c>
      <c r="D2545" s="38">
        <v>83.0</v>
      </c>
      <c r="E2545" s="73">
        <f>IFERROR(__xludf.DUMMYFUNCTION("average(filter('Appearance Sheet'!F:F,'Appearance Sheet'!G:G=B2545,'Appearance Sheet'!A:A=C2545))"),6.0)</f>
        <v>6</v>
      </c>
      <c r="F2545" s="67">
        <v>5.057868326</v>
      </c>
      <c r="G2545" s="40">
        <v>1.828355215</v>
      </c>
      <c r="H2545" s="40">
        <f t="shared" si="1"/>
        <v>2.742532823</v>
      </c>
      <c r="I2545" s="41">
        <v>0.481927711</v>
      </c>
      <c r="J2545" s="41">
        <v>0.265060241</v>
      </c>
      <c r="K2545" s="41">
        <v>0.253012048</v>
      </c>
      <c r="L2545" s="41">
        <f t="shared" si="2"/>
        <v>0.228915663</v>
      </c>
      <c r="M2545" s="74">
        <v>-0.551676134</v>
      </c>
    </row>
    <row r="2546">
      <c r="A2546" s="1" t="s">
        <v>497</v>
      </c>
      <c r="B2546" s="38">
        <v>678024.0</v>
      </c>
      <c r="C2546" s="72">
        <v>45827.0</v>
      </c>
      <c r="D2546" s="38">
        <v>71.0</v>
      </c>
      <c r="E2546" s="73">
        <f>IFERROR(__xludf.DUMMYFUNCTION("average(filter('Appearance Sheet'!F:F,'Appearance Sheet'!G:G=B2546,'Appearance Sheet'!A:A=C2546))"),3.6666666666666665)</f>
        <v>3.666666667</v>
      </c>
      <c r="F2546" s="67">
        <v>5.057726039</v>
      </c>
      <c r="G2546" s="40">
        <v>1.559785248</v>
      </c>
      <c r="H2546" s="40">
        <f t="shared" si="1"/>
        <v>3.828563791</v>
      </c>
      <c r="I2546" s="41">
        <v>0.507042254</v>
      </c>
      <c r="J2546" s="41">
        <v>0.112676056</v>
      </c>
      <c r="K2546" s="41">
        <v>0.38028169</v>
      </c>
      <c r="L2546" s="41">
        <f t="shared" si="2"/>
        <v>0.126760564</v>
      </c>
      <c r="M2546" s="74">
        <v>-2.857509331</v>
      </c>
    </row>
    <row r="2547">
      <c r="A2547" s="1" t="s">
        <v>459</v>
      </c>
      <c r="B2547" s="38">
        <v>664062.0</v>
      </c>
      <c r="C2547" s="72">
        <v>45801.0</v>
      </c>
      <c r="D2547" s="38">
        <v>86.0</v>
      </c>
      <c r="E2547" s="73">
        <f>IFERROR(__xludf.DUMMYFUNCTION("average(filter('Appearance Sheet'!F:F,'Appearance Sheet'!G:G=B2547,'Appearance Sheet'!A:A=C2547))"),5.0)</f>
        <v>5</v>
      </c>
      <c r="F2547" s="67">
        <v>5.05733744</v>
      </c>
      <c r="G2547" s="40">
        <v>1.889175855</v>
      </c>
      <c r="H2547" s="40">
        <f t="shared" si="1"/>
        <v>3.400516539</v>
      </c>
      <c r="I2547" s="41">
        <v>0.5</v>
      </c>
      <c r="J2547" s="41">
        <v>0.186046512</v>
      </c>
      <c r="K2547" s="41">
        <v>0.313953488</v>
      </c>
      <c r="L2547" s="41">
        <f t="shared" si="2"/>
        <v>0.186046512</v>
      </c>
      <c r="M2547" s="74">
        <v>-2.68793699</v>
      </c>
    </row>
    <row r="2548">
      <c r="A2548" s="1" t="s">
        <v>339</v>
      </c>
      <c r="B2548" s="38">
        <v>686613.0</v>
      </c>
      <c r="C2548" s="72">
        <v>45822.0</v>
      </c>
      <c r="D2548" s="38">
        <v>94.0</v>
      </c>
      <c r="E2548" s="75"/>
      <c r="F2548" s="67">
        <v>5.05731138</v>
      </c>
      <c r="G2548" s="40">
        <v>2.06736105</v>
      </c>
      <c r="H2548" s="40"/>
      <c r="I2548" s="41">
        <v>0.5</v>
      </c>
      <c r="J2548" s="41">
        <v>0.138297872</v>
      </c>
      <c r="K2548" s="41">
        <v>0.361702128</v>
      </c>
      <c r="L2548" s="41"/>
      <c r="M2548" s="74">
        <v>1.122291276</v>
      </c>
    </row>
    <row r="2549">
      <c r="A2549" s="1" t="s">
        <v>287</v>
      </c>
      <c r="B2549" s="38">
        <v>571945.0</v>
      </c>
      <c r="C2549" s="72">
        <v>45874.0</v>
      </c>
      <c r="D2549" s="38">
        <v>66.0</v>
      </c>
      <c r="E2549" s="75"/>
      <c r="F2549" s="67">
        <v>5.057273265</v>
      </c>
      <c r="G2549" s="40">
        <v>1.450417541</v>
      </c>
      <c r="H2549" s="40"/>
      <c r="I2549" s="41">
        <v>0.439393939</v>
      </c>
      <c r="J2549" s="41">
        <v>0.212121212</v>
      </c>
      <c r="K2549" s="41">
        <v>0.348484848</v>
      </c>
      <c r="L2549" s="41"/>
      <c r="M2549" s="74">
        <v>-1.532510495</v>
      </c>
    </row>
    <row r="2550">
      <c r="A2550" s="1" t="s">
        <v>218</v>
      </c>
      <c r="B2550" s="38">
        <v>669432.0</v>
      </c>
      <c r="C2550" s="72">
        <v>45875.0</v>
      </c>
      <c r="D2550" s="38">
        <v>100.0</v>
      </c>
      <c r="E2550" s="75"/>
      <c r="F2550" s="67">
        <v>5.057168723</v>
      </c>
      <c r="G2550" s="40">
        <v>2.218111385</v>
      </c>
      <c r="H2550" s="40"/>
      <c r="I2550" s="41">
        <v>0.54</v>
      </c>
      <c r="J2550" s="41">
        <v>0.11</v>
      </c>
      <c r="K2550" s="41">
        <v>0.35</v>
      </c>
      <c r="L2550" s="41"/>
      <c r="M2550" s="74">
        <v>-1.424185366</v>
      </c>
    </row>
    <row r="2551">
      <c r="A2551" s="1" t="s">
        <v>90</v>
      </c>
      <c r="B2551" s="38">
        <v>693433.0</v>
      </c>
      <c r="C2551" s="72">
        <v>45902.0</v>
      </c>
      <c r="D2551" s="38">
        <v>83.0</v>
      </c>
      <c r="E2551" s="75"/>
      <c r="F2551" s="67">
        <v>5.057160513</v>
      </c>
      <c r="G2551" s="40">
        <v>1.822399881</v>
      </c>
      <c r="H2551" s="40"/>
      <c r="I2551" s="41">
        <v>0.481927711</v>
      </c>
      <c r="J2551" s="41">
        <v>0.180722892</v>
      </c>
      <c r="K2551" s="41">
        <v>0.337349398</v>
      </c>
      <c r="L2551" s="41"/>
      <c r="M2551" s="74">
        <v>0.235188504</v>
      </c>
    </row>
    <row r="2552">
      <c r="A2552" s="1" t="s">
        <v>408</v>
      </c>
      <c r="B2552" s="38">
        <v>657376.0</v>
      </c>
      <c r="C2552" s="72">
        <v>45819.0</v>
      </c>
      <c r="D2552" s="38">
        <v>91.0</v>
      </c>
      <c r="E2552" s="75"/>
      <c r="F2552" s="67">
        <v>5.057127223</v>
      </c>
      <c r="G2552" s="40">
        <v>1.997795157</v>
      </c>
      <c r="H2552" s="40"/>
      <c r="I2552" s="41">
        <v>0.472527473</v>
      </c>
      <c r="J2552" s="41">
        <v>0.164835165</v>
      </c>
      <c r="K2552" s="41">
        <v>0.362637363</v>
      </c>
      <c r="L2552" s="41"/>
      <c r="M2552" s="74">
        <v>2.73507942</v>
      </c>
    </row>
    <row r="2553">
      <c r="A2553" s="1" t="s">
        <v>354</v>
      </c>
      <c r="B2553" s="38">
        <v>669022.0</v>
      </c>
      <c r="C2553" s="72">
        <v>45800.0</v>
      </c>
      <c r="D2553" s="38">
        <v>89.0</v>
      </c>
      <c r="E2553" s="75"/>
      <c r="F2553" s="67">
        <v>5.057101634</v>
      </c>
      <c r="G2553" s="40">
        <v>1.902110391</v>
      </c>
      <c r="H2553" s="40"/>
      <c r="I2553" s="41">
        <v>0.460674157</v>
      </c>
      <c r="J2553" s="41">
        <v>0.202247191</v>
      </c>
      <c r="K2553" s="41">
        <v>0.337078652</v>
      </c>
      <c r="L2553" s="41"/>
      <c r="M2553" s="74">
        <v>2.04738702</v>
      </c>
    </row>
    <row r="2554">
      <c r="A2554" s="1" t="s">
        <v>161</v>
      </c>
      <c r="B2554" s="38">
        <v>702070.0</v>
      </c>
      <c r="C2554" s="72">
        <v>45865.0</v>
      </c>
      <c r="D2554" s="38">
        <v>81.0</v>
      </c>
      <c r="E2554" s="75"/>
      <c r="F2554" s="67">
        <v>5.057050128</v>
      </c>
      <c r="G2554" s="40">
        <v>1.769123689</v>
      </c>
      <c r="H2554" s="40"/>
      <c r="I2554" s="41">
        <v>0.481481481</v>
      </c>
      <c r="J2554" s="41">
        <v>0.135802469</v>
      </c>
      <c r="K2554" s="41">
        <v>0.382716049</v>
      </c>
      <c r="L2554" s="41"/>
      <c r="M2554" s="74">
        <v>1.159126547</v>
      </c>
    </row>
    <row r="2555">
      <c r="A2555" s="1" t="s">
        <v>220</v>
      </c>
      <c r="B2555" s="38">
        <v>663559.0</v>
      </c>
      <c r="C2555" s="72">
        <v>45802.0</v>
      </c>
      <c r="D2555" s="38">
        <v>84.0</v>
      </c>
      <c r="E2555" s="75"/>
      <c r="F2555" s="67">
        <v>5.057040045</v>
      </c>
      <c r="G2555" s="40">
        <v>1.915511385</v>
      </c>
      <c r="H2555" s="40"/>
      <c r="I2555" s="41">
        <v>0.452380952</v>
      </c>
      <c r="J2555" s="41">
        <v>0.285714286</v>
      </c>
      <c r="K2555" s="41">
        <v>0.261904762</v>
      </c>
      <c r="L2555" s="41"/>
      <c r="M2555" s="74">
        <v>1.217625393</v>
      </c>
    </row>
    <row r="2556">
      <c r="A2556" s="1" t="s">
        <v>329</v>
      </c>
      <c r="B2556" s="38">
        <v>669160.0</v>
      </c>
      <c r="C2556" s="72">
        <v>45798.0</v>
      </c>
      <c r="D2556" s="38">
        <v>87.0</v>
      </c>
      <c r="E2556" s="75"/>
      <c r="F2556" s="67">
        <v>5.056998889</v>
      </c>
      <c r="G2556" s="40">
        <v>1.910967746</v>
      </c>
      <c r="H2556" s="40"/>
      <c r="I2556" s="41">
        <v>0.517241379</v>
      </c>
      <c r="J2556" s="41">
        <v>0.149425287</v>
      </c>
      <c r="K2556" s="41">
        <v>0.333333333</v>
      </c>
      <c r="L2556" s="41"/>
      <c r="M2556" s="74">
        <v>-0.412668772</v>
      </c>
    </row>
    <row r="2557">
      <c r="A2557" s="1" t="s">
        <v>423</v>
      </c>
      <c r="B2557" s="38">
        <v>656605.0</v>
      </c>
      <c r="C2557" s="72">
        <v>45835.0</v>
      </c>
      <c r="D2557" s="38">
        <v>91.0</v>
      </c>
      <c r="E2557" s="75"/>
      <c r="F2557" s="67">
        <v>5.056955079</v>
      </c>
      <c r="G2557" s="40">
        <v>2.023491747</v>
      </c>
      <c r="H2557" s="40"/>
      <c r="I2557" s="41">
        <v>0.461538462</v>
      </c>
      <c r="J2557" s="41">
        <v>0.175824176</v>
      </c>
      <c r="K2557" s="41">
        <v>0.362637363</v>
      </c>
      <c r="L2557" s="41"/>
      <c r="M2557" s="74">
        <v>1.074861752</v>
      </c>
    </row>
    <row r="2558">
      <c r="A2558" s="1" t="s">
        <v>109</v>
      </c>
      <c r="B2558" s="38">
        <v>601713.0</v>
      </c>
      <c r="C2558" s="72">
        <v>45846.0</v>
      </c>
      <c r="D2558" s="38">
        <v>101.0</v>
      </c>
      <c r="E2558" s="75"/>
      <c r="F2558" s="67">
        <v>5.056922089</v>
      </c>
      <c r="G2558" s="40">
        <v>2.179025167</v>
      </c>
      <c r="H2558" s="40"/>
      <c r="I2558" s="41">
        <v>0.524752475</v>
      </c>
      <c r="J2558" s="41">
        <v>0.099009901</v>
      </c>
      <c r="K2558" s="41">
        <v>0.376237624</v>
      </c>
      <c r="L2558" s="41"/>
      <c r="M2558" s="74">
        <v>2.716052571</v>
      </c>
    </row>
    <row r="2559">
      <c r="A2559" s="1" t="s">
        <v>239</v>
      </c>
      <c r="B2559" s="38">
        <v>806960.0</v>
      </c>
      <c r="C2559" s="72">
        <v>45920.0</v>
      </c>
      <c r="D2559" s="38">
        <v>95.0</v>
      </c>
      <c r="E2559" s="75"/>
      <c r="F2559" s="67">
        <v>5.056783769</v>
      </c>
      <c r="G2559" s="40">
        <v>2.075347095</v>
      </c>
      <c r="H2559" s="40"/>
      <c r="I2559" s="41">
        <v>0.484210526</v>
      </c>
      <c r="J2559" s="41">
        <v>0.126315789</v>
      </c>
      <c r="K2559" s="41">
        <v>0.389473684</v>
      </c>
      <c r="L2559" s="41"/>
      <c r="M2559" s="74">
        <v>-0.944075281</v>
      </c>
    </row>
    <row r="2560">
      <c r="A2560" s="1" t="s">
        <v>93</v>
      </c>
      <c r="B2560" s="38">
        <v>669194.0</v>
      </c>
      <c r="C2560" s="72">
        <v>45907.0</v>
      </c>
      <c r="D2560" s="38">
        <v>105.0</v>
      </c>
      <c r="E2560" s="75"/>
      <c r="F2560" s="67">
        <v>5.056699843</v>
      </c>
      <c r="G2560" s="40">
        <v>2.271476535</v>
      </c>
      <c r="H2560" s="40"/>
      <c r="I2560" s="41">
        <v>0.457142857</v>
      </c>
      <c r="J2560" s="41">
        <v>0.20952381</v>
      </c>
      <c r="K2560" s="41">
        <v>0.333333333</v>
      </c>
      <c r="L2560" s="41"/>
      <c r="M2560" s="74">
        <v>2.728810129</v>
      </c>
    </row>
    <row r="2561">
      <c r="A2561" s="1" t="s">
        <v>457</v>
      </c>
      <c r="B2561" s="38">
        <v>477132.0</v>
      </c>
      <c r="C2561" s="72">
        <v>45794.0</v>
      </c>
      <c r="D2561" s="38">
        <v>79.0</v>
      </c>
      <c r="E2561" s="75"/>
      <c r="F2561" s="67">
        <v>5.056590705</v>
      </c>
      <c r="G2561" s="40">
        <v>1.738128598</v>
      </c>
      <c r="H2561" s="40"/>
      <c r="I2561" s="41">
        <v>0.430379747</v>
      </c>
      <c r="J2561" s="41">
        <v>0.17721519</v>
      </c>
      <c r="K2561" s="41">
        <v>0.392405063</v>
      </c>
      <c r="L2561" s="41"/>
      <c r="M2561" s="74">
        <v>-0.553115806</v>
      </c>
    </row>
    <row r="2562">
      <c r="A2562" s="1" t="s">
        <v>57</v>
      </c>
      <c r="B2562" s="38">
        <v>594798.0</v>
      </c>
      <c r="C2562" s="72">
        <v>45815.0</v>
      </c>
      <c r="D2562" s="38">
        <v>77.0</v>
      </c>
      <c r="E2562" s="75"/>
      <c r="F2562" s="67">
        <v>5.056521416</v>
      </c>
      <c r="G2562" s="40">
        <v>1.705214883</v>
      </c>
      <c r="H2562" s="40"/>
      <c r="I2562" s="41">
        <v>0.454545455</v>
      </c>
      <c r="J2562" s="41">
        <v>0.220779221</v>
      </c>
      <c r="K2562" s="41">
        <v>0.324675325</v>
      </c>
      <c r="L2562" s="41"/>
      <c r="M2562" s="74">
        <v>1.985355923</v>
      </c>
    </row>
    <row r="2563">
      <c r="A2563" s="1" t="s">
        <v>247</v>
      </c>
      <c r="B2563" s="38">
        <v>605540.0</v>
      </c>
      <c r="C2563" s="72">
        <v>45859.0</v>
      </c>
      <c r="D2563" s="38">
        <v>61.0</v>
      </c>
      <c r="E2563" s="75"/>
      <c r="F2563" s="67">
        <v>5.056515278</v>
      </c>
      <c r="G2563" s="40">
        <v>1.368751469</v>
      </c>
      <c r="H2563" s="40"/>
      <c r="I2563" s="41">
        <v>0.459016393</v>
      </c>
      <c r="J2563" s="41">
        <v>0.196721311</v>
      </c>
      <c r="K2563" s="41">
        <v>0.344262295</v>
      </c>
      <c r="L2563" s="41"/>
      <c r="M2563" s="74">
        <v>1.271756718</v>
      </c>
    </row>
    <row r="2564">
      <c r="A2564" s="1" t="s">
        <v>278</v>
      </c>
      <c r="B2564" s="38">
        <v>542881.0</v>
      </c>
      <c r="C2564" s="72">
        <v>45804.0</v>
      </c>
      <c r="D2564" s="38">
        <v>91.0</v>
      </c>
      <c r="E2564" s="75"/>
      <c r="F2564" s="67">
        <v>5.056494542</v>
      </c>
      <c r="G2564" s="40">
        <v>1.985612004</v>
      </c>
      <c r="H2564" s="40"/>
      <c r="I2564" s="41">
        <v>0.483516484</v>
      </c>
      <c r="J2564" s="41">
        <v>0.164835165</v>
      </c>
      <c r="K2564" s="41">
        <v>0.351648352</v>
      </c>
      <c r="L2564" s="41"/>
      <c r="M2564" s="74">
        <v>0.534321293</v>
      </c>
    </row>
    <row r="2565">
      <c r="A2565" s="1" t="s">
        <v>285</v>
      </c>
      <c r="B2565" s="38">
        <v>607074.0</v>
      </c>
      <c r="C2565" s="72">
        <v>45910.0</v>
      </c>
      <c r="D2565" s="38">
        <v>101.0</v>
      </c>
      <c r="E2565" s="75"/>
      <c r="F2565" s="67">
        <v>5.05648764</v>
      </c>
      <c r="G2565" s="40">
        <v>2.214857955</v>
      </c>
      <c r="H2565" s="40"/>
      <c r="I2565" s="41">
        <v>0.455445545</v>
      </c>
      <c r="J2565" s="41">
        <v>0.257425743</v>
      </c>
      <c r="K2565" s="41">
        <v>0.287128713</v>
      </c>
      <c r="L2565" s="41"/>
      <c r="M2565" s="74">
        <v>0.512513823</v>
      </c>
    </row>
    <row r="2566">
      <c r="A2566" s="1" t="s">
        <v>253</v>
      </c>
      <c r="B2566" s="38">
        <v>701581.0</v>
      </c>
      <c r="C2566" s="72">
        <v>45835.0</v>
      </c>
      <c r="D2566" s="38">
        <v>73.0</v>
      </c>
      <c r="E2566" s="75"/>
      <c r="F2566" s="67">
        <v>5.056447409</v>
      </c>
      <c r="G2566" s="40">
        <v>1.60530559</v>
      </c>
      <c r="H2566" s="40"/>
      <c r="I2566" s="41">
        <v>0.493150685</v>
      </c>
      <c r="J2566" s="41">
        <v>0.136986301</v>
      </c>
      <c r="K2566" s="41">
        <v>0.369863014</v>
      </c>
      <c r="L2566" s="41"/>
      <c r="M2566" s="74">
        <v>2.692484169</v>
      </c>
    </row>
    <row r="2567">
      <c r="A2567" s="1" t="s">
        <v>314</v>
      </c>
      <c r="B2567" s="38">
        <v>669854.0</v>
      </c>
      <c r="C2567" s="72">
        <v>45794.0</v>
      </c>
      <c r="D2567" s="38">
        <v>92.0</v>
      </c>
      <c r="E2567" s="75"/>
      <c r="F2567" s="67">
        <v>5.056391255</v>
      </c>
      <c r="G2567" s="40">
        <v>2.01875261</v>
      </c>
      <c r="H2567" s="40"/>
      <c r="I2567" s="41">
        <v>0.489130435</v>
      </c>
      <c r="J2567" s="41">
        <v>0.119565217</v>
      </c>
      <c r="K2567" s="41">
        <v>0.391304348</v>
      </c>
      <c r="L2567" s="41"/>
      <c r="M2567" s="74">
        <v>0.310837421</v>
      </c>
    </row>
    <row r="2568">
      <c r="A2568" s="1" t="s">
        <v>437</v>
      </c>
      <c r="B2568" s="38">
        <v>695418.0</v>
      </c>
      <c r="C2568" s="72">
        <v>45783.0</v>
      </c>
      <c r="D2568" s="38">
        <v>89.0</v>
      </c>
      <c r="E2568" s="75"/>
      <c r="F2568" s="67">
        <v>5.05598649</v>
      </c>
      <c r="G2568" s="40">
        <v>1.938316692</v>
      </c>
      <c r="H2568" s="40"/>
      <c r="I2568" s="41">
        <v>0.494382022</v>
      </c>
      <c r="J2568" s="41">
        <v>0.202247191</v>
      </c>
      <c r="K2568" s="41">
        <v>0.303370787</v>
      </c>
      <c r="L2568" s="41"/>
      <c r="M2568" s="74">
        <v>3.20427357</v>
      </c>
    </row>
    <row r="2569">
      <c r="A2569" s="1" t="s">
        <v>228</v>
      </c>
      <c r="B2569" s="38">
        <v>687473.0</v>
      </c>
      <c r="C2569" s="72">
        <v>45878.0</v>
      </c>
      <c r="D2569" s="38">
        <v>98.0</v>
      </c>
      <c r="E2569" s="75"/>
      <c r="F2569" s="67">
        <v>5.055895353</v>
      </c>
      <c r="G2569" s="40">
        <v>2.16309761</v>
      </c>
      <c r="H2569" s="40"/>
      <c r="I2569" s="41">
        <v>0.479591837</v>
      </c>
      <c r="J2569" s="41">
        <v>0.224489796</v>
      </c>
      <c r="K2569" s="41">
        <v>0.295918367</v>
      </c>
      <c r="L2569" s="41"/>
      <c r="M2569" s="74">
        <v>2.508284561</v>
      </c>
    </row>
    <row r="2570">
      <c r="A2570" s="1" t="s">
        <v>481</v>
      </c>
      <c r="B2570" s="38">
        <v>622608.0</v>
      </c>
      <c r="C2570" s="72">
        <v>45886.0</v>
      </c>
      <c r="D2570" s="38">
        <v>61.0</v>
      </c>
      <c r="E2570" s="75"/>
      <c r="F2570" s="67">
        <v>5.055814193</v>
      </c>
      <c r="G2570" s="40">
        <v>1.367241875</v>
      </c>
      <c r="H2570" s="40"/>
      <c r="I2570" s="41">
        <v>0.459016393</v>
      </c>
      <c r="J2570" s="41">
        <v>0.262295082</v>
      </c>
      <c r="K2570" s="41">
        <v>0.278688525</v>
      </c>
      <c r="L2570" s="41"/>
      <c r="M2570" s="74">
        <v>-0.372336111</v>
      </c>
    </row>
    <row r="2571">
      <c r="A2571" s="1" t="s">
        <v>278</v>
      </c>
      <c r="B2571" s="38">
        <v>542881.0</v>
      </c>
      <c r="C2571" s="72">
        <v>45794.0</v>
      </c>
      <c r="D2571" s="38">
        <v>103.0</v>
      </c>
      <c r="E2571" s="75"/>
      <c r="F2571" s="67">
        <v>5.055802961</v>
      </c>
      <c r="G2571" s="40">
        <v>2.233625964</v>
      </c>
      <c r="H2571" s="40"/>
      <c r="I2571" s="41">
        <v>0.475728155</v>
      </c>
      <c r="J2571" s="41">
        <v>0.155339806</v>
      </c>
      <c r="K2571" s="41">
        <v>0.368932039</v>
      </c>
      <c r="L2571" s="41"/>
      <c r="M2571" s="74">
        <v>-1.533876093</v>
      </c>
    </row>
    <row r="2572">
      <c r="A2572" s="1" t="s">
        <v>264</v>
      </c>
      <c r="B2572" s="38">
        <v>669920.0</v>
      </c>
      <c r="C2572" s="72">
        <v>45885.0</v>
      </c>
      <c r="D2572" s="38">
        <v>71.0</v>
      </c>
      <c r="E2572" s="75"/>
      <c r="F2572" s="67">
        <v>5.055684298</v>
      </c>
      <c r="G2572" s="40">
        <v>1.59278764</v>
      </c>
      <c r="H2572" s="40"/>
      <c r="I2572" s="41">
        <v>0.492957746</v>
      </c>
      <c r="J2572" s="41">
        <v>0.154929577</v>
      </c>
      <c r="K2572" s="41">
        <v>0.352112676</v>
      </c>
      <c r="L2572" s="41"/>
      <c r="M2572" s="74">
        <v>1.600950596</v>
      </c>
    </row>
    <row r="2573">
      <c r="A2573" s="1" t="s">
        <v>245</v>
      </c>
      <c r="B2573" s="38">
        <v>571578.0</v>
      </c>
      <c r="C2573" s="72">
        <v>45791.0</v>
      </c>
      <c r="D2573" s="38">
        <v>93.0</v>
      </c>
      <c r="E2573" s="75"/>
      <c r="F2573" s="67">
        <v>5.055666512</v>
      </c>
      <c r="G2573" s="40">
        <v>2.051639877</v>
      </c>
      <c r="H2573" s="40"/>
      <c r="I2573" s="41">
        <v>0.494623656</v>
      </c>
      <c r="J2573" s="41">
        <v>0.182795699</v>
      </c>
      <c r="K2573" s="41">
        <v>0.322580645</v>
      </c>
      <c r="L2573" s="41"/>
      <c r="M2573" s="74">
        <v>1.087351115</v>
      </c>
    </row>
    <row r="2574">
      <c r="A2574" s="1" t="s">
        <v>218</v>
      </c>
      <c r="B2574" s="38">
        <v>669432.0</v>
      </c>
      <c r="C2574" s="72">
        <v>45864.0</v>
      </c>
      <c r="D2574" s="38">
        <v>94.0</v>
      </c>
      <c r="E2574" s="75"/>
      <c r="F2574" s="67">
        <v>5.055647892</v>
      </c>
      <c r="G2574" s="40">
        <v>2.087717137</v>
      </c>
      <c r="H2574" s="40"/>
      <c r="I2574" s="41">
        <v>0.436170213</v>
      </c>
      <c r="J2574" s="41">
        <v>0.180851064</v>
      </c>
      <c r="K2574" s="41">
        <v>0.382978723</v>
      </c>
      <c r="L2574" s="41"/>
      <c r="M2574" s="74">
        <v>4.949697503</v>
      </c>
    </row>
    <row r="2575">
      <c r="A2575" s="1" t="s">
        <v>423</v>
      </c>
      <c r="B2575" s="38">
        <v>656605.0</v>
      </c>
      <c r="C2575" s="72">
        <v>45846.0</v>
      </c>
      <c r="D2575" s="38">
        <v>86.0</v>
      </c>
      <c r="E2575" s="75"/>
      <c r="F2575" s="67">
        <v>5.055266688</v>
      </c>
      <c r="G2575" s="40">
        <v>1.92518976</v>
      </c>
      <c r="H2575" s="40"/>
      <c r="I2575" s="41">
        <v>0.430232558</v>
      </c>
      <c r="J2575" s="41">
        <v>0.197674419</v>
      </c>
      <c r="K2575" s="41">
        <v>0.372093023</v>
      </c>
      <c r="L2575" s="41"/>
      <c r="M2575" s="74">
        <v>1.408906495</v>
      </c>
    </row>
    <row r="2576">
      <c r="A2576" s="1" t="s">
        <v>491</v>
      </c>
      <c r="B2576" s="38">
        <v>650644.0</v>
      </c>
      <c r="C2576" s="72">
        <v>45864.0</v>
      </c>
      <c r="D2576" s="38">
        <v>65.0</v>
      </c>
      <c r="E2576" s="75"/>
      <c r="F2576" s="67">
        <v>5.055181546</v>
      </c>
      <c r="G2576" s="40">
        <v>1.441676992</v>
      </c>
      <c r="H2576" s="40"/>
      <c r="I2576" s="41">
        <v>0.446153846</v>
      </c>
      <c r="J2576" s="41">
        <v>0.169230769</v>
      </c>
      <c r="K2576" s="41">
        <v>0.384615385</v>
      </c>
      <c r="L2576" s="41"/>
      <c r="M2576" s="74">
        <v>1.829361325</v>
      </c>
    </row>
    <row r="2577">
      <c r="A2577" s="1" t="s">
        <v>361</v>
      </c>
      <c r="B2577" s="38">
        <v>686563.0</v>
      </c>
      <c r="C2577" s="72">
        <v>45795.0</v>
      </c>
      <c r="D2577" s="38">
        <v>86.0</v>
      </c>
      <c r="E2577" s="75"/>
      <c r="F2577" s="67">
        <v>5.055037615</v>
      </c>
      <c r="G2577" s="40">
        <v>1.891527718</v>
      </c>
      <c r="H2577" s="40"/>
      <c r="I2577" s="41">
        <v>0.430232558</v>
      </c>
      <c r="J2577" s="41">
        <v>0.244186047</v>
      </c>
      <c r="K2577" s="41">
        <v>0.325581395</v>
      </c>
      <c r="L2577" s="41"/>
      <c r="M2577" s="74">
        <v>2.476122443</v>
      </c>
    </row>
    <row r="2578">
      <c r="A2578" s="1" t="s">
        <v>592</v>
      </c>
      <c r="B2578" s="38">
        <v>682989.0</v>
      </c>
      <c r="C2578" s="72">
        <v>45887.0</v>
      </c>
      <c r="D2578" s="38">
        <v>95.0</v>
      </c>
      <c r="E2578" s="75"/>
      <c r="F2578" s="67">
        <v>5.054926772</v>
      </c>
      <c r="G2578" s="40">
        <v>2.079177468</v>
      </c>
      <c r="H2578" s="40"/>
      <c r="I2578" s="41">
        <v>0.463157895</v>
      </c>
      <c r="J2578" s="41">
        <v>0.189473684</v>
      </c>
      <c r="K2578" s="41">
        <v>0.347368421</v>
      </c>
      <c r="L2578" s="41"/>
      <c r="M2578" s="74">
        <v>-3.593315287</v>
      </c>
    </row>
    <row r="2579">
      <c r="A2579" s="1" t="s">
        <v>189</v>
      </c>
      <c r="B2579" s="38">
        <v>607536.0</v>
      </c>
      <c r="C2579" s="72">
        <v>45796.0</v>
      </c>
      <c r="D2579" s="38">
        <v>91.0</v>
      </c>
      <c r="E2579" s="75"/>
      <c r="F2579" s="67">
        <v>5.054918979</v>
      </c>
      <c r="G2579" s="40">
        <v>2.019939359</v>
      </c>
      <c r="H2579" s="40"/>
      <c r="I2579" s="41">
        <v>0.43956044</v>
      </c>
      <c r="J2579" s="41">
        <v>0.208791209</v>
      </c>
      <c r="K2579" s="41">
        <v>0.351648352</v>
      </c>
      <c r="L2579" s="41"/>
      <c r="M2579" s="74">
        <v>-1.808787058</v>
      </c>
    </row>
    <row r="2580">
      <c r="A2580" s="1" t="s">
        <v>573</v>
      </c>
      <c r="B2580" s="38">
        <v>686930.0</v>
      </c>
      <c r="C2580" s="72">
        <v>45926.0</v>
      </c>
      <c r="D2580" s="38">
        <v>97.0</v>
      </c>
      <c r="E2580" s="75"/>
      <c r="F2580" s="67">
        <v>5.054872892</v>
      </c>
      <c r="G2580" s="40">
        <v>2.161743553</v>
      </c>
      <c r="H2580" s="40"/>
      <c r="I2580" s="41">
        <v>0.484536082</v>
      </c>
      <c r="J2580" s="41">
        <v>0.195876289</v>
      </c>
      <c r="K2580" s="41">
        <v>0.319587629</v>
      </c>
      <c r="L2580" s="41"/>
      <c r="M2580" s="74">
        <v>3.071475346</v>
      </c>
    </row>
    <row r="2581">
      <c r="A2581" s="1" t="s">
        <v>387</v>
      </c>
      <c r="B2581" s="38">
        <v>669060.0</v>
      </c>
      <c r="C2581" s="72">
        <v>45751.0</v>
      </c>
      <c r="D2581" s="38">
        <v>63.0</v>
      </c>
      <c r="E2581" s="75"/>
      <c r="F2581" s="67">
        <v>5.054786631</v>
      </c>
      <c r="G2581" s="40">
        <v>1.351703384</v>
      </c>
      <c r="H2581" s="40"/>
      <c r="I2581" s="41">
        <v>0.412698413</v>
      </c>
      <c r="J2581" s="41">
        <v>0.26984127</v>
      </c>
      <c r="K2581" s="41">
        <v>0.317460317</v>
      </c>
      <c r="L2581" s="41"/>
      <c r="M2581" s="74">
        <v>1.136218494</v>
      </c>
    </row>
    <row r="2582">
      <c r="A2582" s="1" t="s">
        <v>264</v>
      </c>
      <c r="B2582" s="38">
        <v>669920.0</v>
      </c>
      <c r="C2582" s="72">
        <v>45825.0</v>
      </c>
      <c r="D2582" s="38">
        <v>86.0</v>
      </c>
      <c r="E2582" s="75"/>
      <c r="F2582" s="67">
        <v>5.05471088</v>
      </c>
      <c r="G2582" s="40">
        <v>1.889413832</v>
      </c>
      <c r="H2582" s="40"/>
      <c r="I2582" s="41">
        <v>0.488372093</v>
      </c>
      <c r="J2582" s="41">
        <v>0.186046512</v>
      </c>
      <c r="K2582" s="41">
        <v>0.325581395</v>
      </c>
      <c r="L2582" s="41"/>
      <c r="M2582" s="74">
        <v>3.124160846</v>
      </c>
    </row>
    <row r="2583">
      <c r="A2583" s="1" t="s">
        <v>98</v>
      </c>
      <c r="B2583" s="38">
        <v>605400.0</v>
      </c>
      <c r="C2583" s="72">
        <v>45908.0</v>
      </c>
      <c r="D2583" s="38">
        <v>93.0</v>
      </c>
      <c r="E2583" s="75"/>
      <c r="F2583" s="67">
        <v>5.054557174</v>
      </c>
      <c r="G2583" s="40">
        <v>2.040943747</v>
      </c>
      <c r="H2583" s="40"/>
      <c r="I2583" s="41">
        <v>0.494623656</v>
      </c>
      <c r="J2583" s="41">
        <v>0.150537634</v>
      </c>
      <c r="K2583" s="41">
        <v>0.35483871</v>
      </c>
      <c r="L2583" s="41"/>
      <c r="M2583" s="74">
        <v>2.445775352</v>
      </c>
    </row>
    <row r="2584">
      <c r="A2584" s="1" t="s">
        <v>164</v>
      </c>
      <c r="B2584" s="38">
        <v>669923.0</v>
      </c>
      <c r="C2584" s="72">
        <v>45926.0</v>
      </c>
      <c r="D2584" s="38">
        <v>78.0</v>
      </c>
      <c r="E2584" s="75"/>
      <c r="F2584" s="67">
        <v>5.054459083</v>
      </c>
      <c r="G2584" s="40">
        <v>1.691557285</v>
      </c>
      <c r="H2584" s="40"/>
      <c r="I2584" s="41">
        <v>0.5</v>
      </c>
      <c r="J2584" s="41">
        <v>0.153846154</v>
      </c>
      <c r="K2584" s="41">
        <v>0.346153846</v>
      </c>
      <c r="L2584" s="41"/>
      <c r="M2584" s="74">
        <v>0.030463231</v>
      </c>
    </row>
    <row r="2585">
      <c r="A2585" s="1" t="s">
        <v>255</v>
      </c>
      <c r="B2585" s="38">
        <v>688138.0</v>
      </c>
      <c r="C2585" s="72">
        <v>45857.0</v>
      </c>
      <c r="D2585" s="38">
        <v>87.0</v>
      </c>
      <c r="E2585" s="75"/>
      <c r="F2585" s="67">
        <v>5.054435199</v>
      </c>
      <c r="G2585" s="40">
        <v>1.879400849</v>
      </c>
      <c r="H2585" s="40"/>
      <c r="I2585" s="41">
        <v>0.505747126</v>
      </c>
      <c r="J2585" s="41">
        <v>0.149425287</v>
      </c>
      <c r="K2585" s="41">
        <v>0.344827586</v>
      </c>
      <c r="L2585" s="41"/>
      <c r="M2585" s="74">
        <v>-1.653720115</v>
      </c>
    </row>
    <row r="2586">
      <c r="A2586" s="1" t="s">
        <v>330</v>
      </c>
      <c r="B2586" s="38">
        <v>680730.0</v>
      </c>
      <c r="C2586" s="72">
        <v>45826.0</v>
      </c>
      <c r="D2586" s="38">
        <v>84.0</v>
      </c>
      <c r="E2586" s="75"/>
      <c r="F2586" s="67">
        <v>5.054364911</v>
      </c>
      <c r="G2586" s="40">
        <v>1.876314332</v>
      </c>
      <c r="H2586" s="40"/>
      <c r="I2586" s="41">
        <v>0.428571429</v>
      </c>
      <c r="J2586" s="41">
        <v>0.214285714</v>
      </c>
      <c r="K2586" s="41">
        <v>0.357142857</v>
      </c>
      <c r="L2586" s="41"/>
      <c r="M2586" s="74">
        <v>-0.436618949</v>
      </c>
    </row>
    <row r="2587">
      <c r="A2587" s="1" t="s">
        <v>308</v>
      </c>
      <c r="B2587" s="38">
        <v>676440.0</v>
      </c>
      <c r="C2587" s="72">
        <v>45877.0</v>
      </c>
      <c r="D2587" s="38">
        <v>92.0</v>
      </c>
      <c r="E2587" s="75"/>
      <c r="F2587" s="67">
        <v>5.054261326</v>
      </c>
      <c r="G2587" s="40">
        <v>2.007916783</v>
      </c>
      <c r="H2587" s="40"/>
      <c r="I2587" s="41">
        <v>0.456521739</v>
      </c>
      <c r="J2587" s="41">
        <v>0.206521739</v>
      </c>
      <c r="K2587" s="41">
        <v>0.336956522</v>
      </c>
      <c r="L2587" s="41"/>
      <c r="M2587" s="74">
        <v>2.047466666</v>
      </c>
    </row>
    <row r="2588">
      <c r="A2588" s="1" t="s">
        <v>125</v>
      </c>
      <c r="B2588" s="38">
        <v>663554.0</v>
      </c>
      <c r="C2588" s="72">
        <v>45785.0</v>
      </c>
      <c r="D2588" s="38">
        <v>85.0</v>
      </c>
      <c r="E2588" s="75"/>
      <c r="F2588" s="67">
        <v>5.05416373</v>
      </c>
      <c r="G2588" s="40">
        <v>1.876497289</v>
      </c>
      <c r="H2588" s="40"/>
      <c r="I2588" s="41">
        <v>0.447058824</v>
      </c>
      <c r="J2588" s="41">
        <v>0.211764706</v>
      </c>
      <c r="K2588" s="41">
        <v>0.341176471</v>
      </c>
      <c r="L2588" s="41"/>
      <c r="M2588" s="74">
        <v>1.869941174</v>
      </c>
    </row>
    <row r="2589">
      <c r="A2589" s="1" t="s">
        <v>316</v>
      </c>
      <c r="B2589" s="38">
        <v>656427.0</v>
      </c>
      <c r="C2589" s="72">
        <v>45810.0</v>
      </c>
      <c r="D2589" s="38">
        <v>99.0</v>
      </c>
      <c r="E2589" s="75"/>
      <c r="F2589" s="67">
        <v>5.05407757</v>
      </c>
      <c r="G2589" s="40">
        <v>2.192170949</v>
      </c>
      <c r="H2589" s="40"/>
      <c r="I2589" s="41">
        <v>0.484848485</v>
      </c>
      <c r="J2589" s="41">
        <v>0.222222222</v>
      </c>
      <c r="K2589" s="41">
        <v>0.292929293</v>
      </c>
      <c r="L2589" s="41"/>
      <c r="M2589" s="74">
        <v>2.007613563</v>
      </c>
    </row>
    <row r="2590">
      <c r="A2590" s="1" t="s">
        <v>133</v>
      </c>
      <c r="B2590" s="38">
        <v>663978.0</v>
      </c>
      <c r="C2590" s="72">
        <v>45856.0</v>
      </c>
      <c r="D2590" s="38">
        <v>94.0</v>
      </c>
      <c r="E2590" s="75"/>
      <c r="F2590" s="67">
        <v>5.053959739</v>
      </c>
      <c r="G2590" s="40">
        <v>2.077722724</v>
      </c>
      <c r="H2590" s="40"/>
      <c r="I2590" s="41">
        <v>0.457446809</v>
      </c>
      <c r="J2590" s="41">
        <v>0.212765957</v>
      </c>
      <c r="K2590" s="41">
        <v>0.329787234</v>
      </c>
      <c r="L2590" s="41"/>
      <c r="M2590" s="74">
        <v>-2.317155093</v>
      </c>
    </row>
    <row r="2591">
      <c r="A2591" s="1" t="s">
        <v>302</v>
      </c>
      <c r="B2591" s="38">
        <v>681190.0</v>
      </c>
      <c r="C2591" s="72">
        <v>45848.0</v>
      </c>
      <c r="D2591" s="38">
        <v>83.0</v>
      </c>
      <c r="E2591" s="75"/>
      <c r="F2591" s="67">
        <v>5.053927087</v>
      </c>
      <c r="G2591" s="40">
        <v>1.836359218</v>
      </c>
      <c r="H2591" s="40"/>
      <c r="I2591" s="41">
        <v>0.457831325</v>
      </c>
      <c r="J2591" s="41">
        <v>0.204819277</v>
      </c>
      <c r="K2591" s="41">
        <v>0.337349398</v>
      </c>
      <c r="L2591" s="41"/>
      <c r="M2591" s="74">
        <v>1.603667626</v>
      </c>
    </row>
    <row r="2592">
      <c r="A2592" s="1" t="s">
        <v>287</v>
      </c>
      <c r="B2592" s="38">
        <v>571945.0</v>
      </c>
      <c r="C2592" s="72">
        <v>45823.0</v>
      </c>
      <c r="D2592" s="38">
        <v>88.0</v>
      </c>
      <c r="E2592" s="75"/>
      <c r="F2592" s="67">
        <v>5.053874593</v>
      </c>
      <c r="G2592" s="40">
        <v>1.950212716</v>
      </c>
      <c r="H2592" s="40"/>
      <c r="I2592" s="41">
        <v>0.443181818</v>
      </c>
      <c r="J2592" s="41">
        <v>0.25</v>
      </c>
      <c r="K2592" s="41">
        <v>0.306818182</v>
      </c>
      <c r="L2592" s="41"/>
      <c r="M2592" s="74">
        <v>0.181899916</v>
      </c>
    </row>
    <row r="2593">
      <c r="A2593" s="1" t="s">
        <v>380</v>
      </c>
      <c r="B2593" s="38">
        <v>661563.0</v>
      </c>
      <c r="C2593" s="72">
        <v>45917.0</v>
      </c>
      <c r="D2593" s="38">
        <v>85.0</v>
      </c>
      <c r="E2593" s="75"/>
      <c r="F2593" s="67">
        <v>5.053593341</v>
      </c>
      <c r="G2593" s="40">
        <v>1.891720746</v>
      </c>
      <c r="H2593" s="40"/>
      <c r="I2593" s="41">
        <v>0.529411765</v>
      </c>
      <c r="J2593" s="41">
        <v>0.141176471</v>
      </c>
      <c r="K2593" s="41">
        <v>0.329411765</v>
      </c>
      <c r="L2593" s="41"/>
      <c r="M2593" s="74">
        <v>-4.472341022</v>
      </c>
    </row>
    <row r="2594">
      <c r="A2594" s="1" t="s">
        <v>330</v>
      </c>
      <c r="B2594" s="38">
        <v>680730.0</v>
      </c>
      <c r="C2594" s="72">
        <v>45881.0</v>
      </c>
      <c r="D2594" s="38">
        <v>87.0</v>
      </c>
      <c r="E2594" s="75"/>
      <c r="F2594" s="67">
        <v>5.053569456</v>
      </c>
      <c r="G2594" s="40">
        <v>1.916604808</v>
      </c>
      <c r="H2594" s="40"/>
      <c r="I2594" s="41">
        <v>0.459770115</v>
      </c>
      <c r="J2594" s="41">
        <v>0.206896552</v>
      </c>
      <c r="K2594" s="41">
        <v>0.333333333</v>
      </c>
      <c r="L2594" s="41"/>
      <c r="M2594" s="74">
        <v>2.373521707</v>
      </c>
    </row>
    <row r="2595">
      <c r="A2595" s="1" t="s">
        <v>275</v>
      </c>
      <c r="B2595" s="38">
        <v>693821.0</v>
      </c>
      <c r="C2595" s="72">
        <v>45809.0</v>
      </c>
      <c r="D2595" s="38">
        <v>81.0</v>
      </c>
      <c r="E2595" s="75"/>
      <c r="F2595" s="67">
        <v>5.053559932</v>
      </c>
      <c r="G2595" s="40">
        <v>1.807591348</v>
      </c>
      <c r="H2595" s="40"/>
      <c r="I2595" s="41">
        <v>0.432098765</v>
      </c>
      <c r="J2595" s="41">
        <v>0.172839506</v>
      </c>
      <c r="K2595" s="41">
        <v>0.395061728</v>
      </c>
      <c r="L2595" s="41"/>
      <c r="M2595" s="74">
        <v>-1.798150109</v>
      </c>
    </row>
    <row r="2596">
      <c r="A2596" s="1" t="s">
        <v>290</v>
      </c>
      <c r="B2596" s="38">
        <v>669461.0</v>
      </c>
      <c r="C2596" s="72">
        <v>45795.0</v>
      </c>
      <c r="D2596" s="38">
        <v>92.0</v>
      </c>
      <c r="E2596" s="75"/>
      <c r="F2596" s="67">
        <v>5.053516381</v>
      </c>
      <c r="G2596" s="40">
        <v>2.034538238</v>
      </c>
      <c r="H2596" s="40"/>
      <c r="I2596" s="41">
        <v>0.47826087</v>
      </c>
      <c r="J2596" s="41">
        <v>0.141304348</v>
      </c>
      <c r="K2596" s="41">
        <v>0.380434783</v>
      </c>
      <c r="L2596" s="41"/>
      <c r="M2596" s="74">
        <v>-1.100432239</v>
      </c>
    </row>
    <row r="2597">
      <c r="A2597" s="1" t="s">
        <v>484</v>
      </c>
      <c r="B2597" s="38">
        <v>682847.0</v>
      </c>
      <c r="C2597" s="72">
        <v>45801.0</v>
      </c>
      <c r="D2597" s="38">
        <v>88.0</v>
      </c>
      <c r="E2597" s="75"/>
      <c r="F2597" s="67">
        <v>5.053473267</v>
      </c>
      <c r="G2597" s="40">
        <v>1.931897824</v>
      </c>
      <c r="H2597" s="40"/>
      <c r="I2597" s="41">
        <v>0.431818182</v>
      </c>
      <c r="J2597" s="41">
        <v>0.227272727</v>
      </c>
      <c r="K2597" s="41">
        <v>0.340909091</v>
      </c>
      <c r="L2597" s="41"/>
      <c r="M2597" s="74">
        <v>0.391810593</v>
      </c>
    </row>
    <row r="2598">
      <c r="A2598" s="1" t="s">
        <v>158</v>
      </c>
      <c r="B2598" s="38">
        <v>608372.0</v>
      </c>
      <c r="C2598" s="72">
        <v>45759.0</v>
      </c>
      <c r="D2598" s="38">
        <v>72.0</v>
      </c>
      <c r="E2598" s="75"/>
      <c r="F2598" s="67">
        <v>5.052981245</v>
      </c>
      <c r="G2598" s="40">
        <v>1.597958929</v>
      </c>
      <c r="H2598" s="40"/>
      <c r="I2598" s="41">
        <v>0.472222222</v>
      </c>
      <c r="J2598" s="41">
        <v>0.152777778</v>
      </c>
      <c r="K2598" s="41">
        <v>0.375</v>
      </c>
      <c r="L2598" s="41"/>
      <c r="M2598" s="74">
        <v>-3.84593958</v>
      </c>
    </row>
    <row r="2599">
      <c r="A2599" s="1" t="s">
        <v>166</v>
      </c>
      <c r="B2599" s="38">
        <v>608331.0</v>
      </c>
      <c r="C2599" s="72">
        <v>45861.0</v>
      </c>
      <c r="D2599" s="38">
        <v>86.0</v>
      </c>
      <c r="E2599" s="75"/>
      <c r="F2599" s="67">
        <v>5.052962844</v>
      </c>
      <c r="G2599" s="40">
        <v>1.887801342</v>
      </c>
      <c r="H2599" s="40"/>
      <c r="I2599" s="41">
        <v>0.430232558</v>
      </c>
      <c r="J2599" s="41">
        <v>0.174418605</v>
      </c>
      <c r="K2599" s="41">
        <v>0.395348837</v>
      </c>
      <c r="L2599" s="41"/>
      <c r="M2599" s="74">
        <v>-1.186273376</v>
      </c>
    </row>
    <row r="2600">
      <c r="A2600" s="1" t="s">
        <v>229</v>
      </c>
      <c r="B2600" s="38">
        <v>645261.0</v>
      </c>
      <c r="C2600" s="72">
        <v>45847.0</v>
      </c>
      <c r="D2600" s="38">
        <v>107.0</v>
      </c>
      <c r="E2600" s="75"/>
      <c r="F2600" s="67">
        <v>5.05260817</v>
      </c>
      <c r="G2600" s="40">
        <v>2.343199121</v>
      </c>
      <c r="H2600" s="40"/>
      <c r="I2600" s="41">
        <v>0.448598131</v>
      </c>
      <c r="J2600" s="41">
        <v>0.214953271</v>
      </c>
      <c r="K2600" s="41">
        <v>0.336448598</v>
      </c>
      <c r="L2600" s="41"/>
      <c r="M2600" s="74">
        <v>-0.622428979</v>
      </c>
    </row>
    <row r="2601">
      <c r="A2601" s="1" t="s">
        <v>321</v>
      </c>
      <c r="B2601" s="38">
        <v>607200.0</v>
      </c>
      <c r="C2601" s="72">
        <v>45860.0</v>
      </c>
      <c r="D2601" s="38">
        <v>60.0</v>
      </c>
      <c r="E2601" s="75"/>
      <c r="F2601" s="67">
        <v>5.052455435</v>
      </c>
      <c r="G2601" s="40">
        <v>1.3281682</v>
      </c>
      <c r="H2601" s="40"/>
      <c r="I2601" s="41">
        <v>0.383333333</v>
      </c>
      <c r="J2601" s="41">
        <v>0.25</v>
      </c>
      <c r="K2601" s="41">
        <v>0.366666667</v>
      </c>
      <c r="L2601" s="41"/>
      <c r="M2601" s="74">
        <v>-3.851693312</v>
      </c>
    </row>
    <row r="2602">
      <c r="A2602" s="1" t="s">
        <v>332</v>
      </c>
      <c r="B2602" s="38">
        <v>641778.0</v>
      </c>
      <c r="C2602" s="72">
        <v>45842.0</v>
      </c>
      <c r="D2602" s="38">
        <v>93.0</v>
      </c>
      <c r="E2602" s="75"/>
      <c r="F2602" s="67">
        <v>5.052419847</v>
      </c>
      <c r="G2602" s="40">
        <v>2.061658439</v>
      </c>
      <c r="H2602" s="40"/>
      <c r="I2602" s="41">
        <v>0.419354839</v>
      </c>
      <c r="J2602" s="41">
        <v>0.247311828</v>
      </c>
      <c r="K2602" s="41">
        <v>0.333333333</v>
      </c>
      <c r="L2602" s="41"/>
      <c r="M2602" s="74">
        <v>2.75508449</v>
      </c>
    </row>
    <row r="2603">
      <c r="A2603" s="1" t="s">
        <v>171</v>
      </c>
      <c r="B2603" s="38">
        <v>665795.0</v>
      </c>
      <c r="C2603" s="72">
        <v>45796.0</v>
      </c>
      <c r="D2603" s="38">
        <v>88.0</v>
      </c>
      <c r="E2603" s="75"/>
      <c r="F2603" s="67">
        <v>5.052355538</v>
      </c>
      <c r="G2603" s="40">
        <v>1.940044409</v>
      </c>
      <c r="H2603" s="40"/>
      <c r="I2603" s="41">
        <v>0.477272727</v>
      </c>
      <c r="J2603" s="41">
        <v>0.181818182</v>
      </c>
      <c r="K2603" s="41">
        <v>0.340909091</v>
      </c>
      <c r="L2603" s="41"/>
      <c r="M2603" s="74">
        <v>-0.217745429</v>
      </c>
    </row>
    <row r="2604">
      <c r="A2604" s="1" t="s">
        <v>424</v>
      </c>
      <c r="B2604" s="38">
        <v>667755.0</v>
      </c>
      <c r="C2604" s="72">
        <v>45785.0</v>
      </c>
      <c r="D2604" s="38">
        <v>89.0</v>
      </c>
      <c r="E2604" s="75"/>
      <c r="F2604" s="67">
        <v>5.052237757</v>
      </c>
      <c r="G2604" s="40">
        <v>1.970474559</v>
      </c>
      <c r="H2604" s="40"/>
      <c r="I2604" s="41">
        <v>0.494382022</v>
      </c>
      <c r="J2604" s="41">
        <v>0.191011236</v>
      </c>
      <c r="K2604" s="41">
        <v>0.314606742</v>
      </c>
      <c r="L2604" s="41"/>
      <c r="M2604" s="74">
        <v>-3.005205344</v>
      </c>
    </row>
    <row r="2605">
      <c r="A2605" s="1" t="s">
        <v>197</v>
      </c>
      <c r="B2605" s="38">
        <v>676467.0</v>
      </c>
      <c r="C2605" s="72">
        <v>45865.0</v>
      </c>
      <c r="D2605" s="38">
        <v>89.0</v>
      </c>
      <c r="E2605" s="75"/>
      <c r="F2605" s="67">
        <v>5.052041931</v>
      </c>
      <c r="G2605" s="40">
        <v>1.960292685</v>
      </c>
      <c r="H2605" s="40"/>
      <c r="I2605" s="41">
        <v>0.471910112</v>
      </c>
      <c r="J2605" s="41">
        <v>0.146067416</v>
      </c>
      <c r="K2605" s="41">
        <v>0.382022472</v>
      </c>
      <c r="L2605" s="41"/>
      <c r="M2605" s="74">
        <v>0.423534105</v>
      </c>
    </row>
    <row r="2606">
      <c r="A2606" s="1" t="s">
        <v>416</v>
      </c>
      <c r="B2606" s="38">
        <v>608337.0</v>
      </c>
      <c r="C2606" s="72">
        <v>45801.0</v>
      </c>
      <c r="D2606" s="38">
        <v>97.0</v>
      </c>
      <c r="E2606" s="75"/>
      <c r="F2606" s="67">
        <v>5.052005451</v>
      </c>
      <c r="G2606" s="40">
        <v>2.162137412</v>
      </c>
      <c r="H2606" s="40"/>
      <c r="I2606" s="41">
        <v>0.484536082</v>
      </c>
      <c r="J2606" s="41">
        <v>0.12371134</v>
      </c>
      <c r="K2606" s="41">
        <v>0.391752577</v>
      </c>
      <c r="L2606" s="41"/>
      <c r="M2606" s="74">
        <v>-1.069040573</v>
      </c>
    </row>
    <row r="2607">
      <c r="A2607" s="1" t="s">
        <v>137</v>
      </c>
      <c r="B2607" s="38">
        <v>453286.0</v>
      </c>
      <c r="C2607" s="72">
        <v>45843.0</v>
      </c>
      <c r="D2607" s="38">
        <v>72.0</v>
      </c>
      <c r="E2607" s="75"/>
      <c r="F2607" s="67">
        <v>5.051770095</v>
      </c>
      <c r="G2607" s="40">
        <v>1.598006427</v>
      </c>
      <c r="H2607" s="40"/>
      <c r="I2607" s="41">
        <v>0.486111111</v>
      </c>
      <c r="J2607" s="41">
        <v>0.277777778</v>
      </c>
      <c r="K2607" s="41">
        <v>0.236111111</v>
      </c>
      <c r="L2607" s="41"/>
      <c r="M2607" s="74">
        <v>-0.956376348</v>
      </c>
    </row>
    <row r="2608">
      <c r="A2608" s="1" t="s">
        <v>133</v>
      </c>
      <c r="B2608" s="38">
        <v>663978.0</v>
      </c>
      <c r="C2608" s="72">
        <v>45892.0</v>
      </c>
      <c r="D2608" s="38">
        <v>61.0</v>
      </c>
      <c r="E2608" s="75"/>
      <c r="F2608" s="67">
        <v>5.051653838</v>
      </c>
      <c r="G2608" s="40">
        <v>1.380560014</v>
      </c>
      <c r="H2608" s="40"/>
      <c r="I2608" s="41">
        <v>0.459016393</v>
      </c>
      <c r="J2608" s="41">
        <v>0.180327869</v>
      </c>
      <c r="K2608" s="41">
        <v>0.360655738</v>
      </c>
      <c r="L2608" s="41"/>
      <c r="M2608" s="74">
        <v>-1.227575183</v>
      </c>
    </row>
    <row r="2609">
      <c r="A2609" s="1" t="s">
        <v>593</v>
      </c>
      <c r="B2609" s="38">
        <v>669391.0</v>
      </c>
      <c r="C2609" s="72">
        <v>45819.0</v>
      </c>
      <c r="D2609" s="38">
        <v>68.0</v>
      </c>
      <c r="E2609" s="75"/>
      <c r="F2609" s="67">
        <v>5.051583376</v>
      </c>
      <c r="G2609" s="40">
        <v>1.509227322</v>
      </c>
      <c r="H2609" s="40"/>
      <c r="I2609" s="41">
        <v>0.514705882</v>
      </c>
      <c r="J2609" s="41">
        <v>0.147058824</v>
      </c>
      <c r="K2609" s="41">
        <v>0.338235294</v>
      </c>
      <c r="L2609" s="41"/>
      <c r="M2609" s="74">
        <v>-2.164306745</v>
      </c>
    </row>
    <row r="2610">
      <c r="A2610" s="1" t="s">
        <v>455</v>
      </c>
      <c r="B2610" s="38">
        <v>570632.0</v>
      </c>
      <c r="C2610" s="72">
        <v>45872.0</v>
      </c>
      <c r="D2610" s="38">
        <v>67.0</v>
      </c>
      <c r="E2610" s="75"/>
      <c r="F2610" s="67">
        <v>5.051543096</v>
      </c>
      <c r="G2610" s="40">
        <v>1.488840933</v>
      </c>
      <c r="H2610" s="40"/>
      <c r="I2610" s="41">
        <v>0.492537313</v>
      </c>
      <c r="J2610" s="41">
        <v>0.104477612</v>
      </c>
      <c r="K2610" s="41">
        <v>0.402985075</v>
      </c>
      <c r="L2610" s="41"/>
      <c r="M2610" s="74">
        <v>-0.804220218</v>
      </c>
    </row>
    <row r="2611">
      <c r="A2611" s="1" t="s">
        <v>222</v>
      </c>
      <c r="B2611" s="38">
        <v>518876.0</v>
      </c>
      <c r="C2611" s="72">
        <v>45921.0</v>
      </c>
      <c r="D2611" s="38">
        <v>67.0</v>
      </c>
      <c r="E2611" s="75"/>
      <c r="F2611" s="67">
        <v>5.051358542</v>
      </c>
      <c r="G2611" s="40">
        <v>1.511744815</v>
      </c>
      <c r="H2611" s="40"/>
      <c r="I2611" s="41">
        <v>0.402985075</v>
      </c>
      <c r="J2611" s="41">
        <v>0.268656716</v>
      </c>
      <c r="K2611" s="41">
        <v>0.328358209</v>
      </c>
      <c r="L2611" s="41"/>
      <c r="M2611" s="74">
        <v>-0.619620432</v>
      </c>
    </row>
    <row r="2612">
      <c r="A2612" s="1" t="s">
        <v>197</v>
      </c>
      <c r="B2612" s="38">
        <v>676467.0</v>
      </c>
      <c r="C2612" s="72">
        <v>45859.0</v>
      </c>
      <c r="D2612" s="38">
        <v>88.0</v>
      </c>
      <c r="E2612" s="75"/>
      <c r="F2612" s="67">
        <v>5.051344385</v>
      </c>
      <c r="G2612" s="40">
        <v>1.972001036</v>
      </c>
      <c r="H2612" s="40"/>
      <c r="I2612" s="41">
        <v>0.465909091</v>
      </c>
      <c r="J2612" s="41">
        <v>0.147727273</v>
      </c>
      <c r="K2612" s="41">
        <v>0.386363636</v>
      </c>
      <c r="L2612" s="41"/>
      <c r="M2612" s="74">
        <v>-1.972282742</v>
      </c>
    </row>
    <row r="2613">
      <c r="A2613" s="1" t="s">
        <v>195</v>
      </c>
      <c r="B2613" s="38">
        <v>668678.0</v>
      </c>
      <c r="C2613" s="72">
        <v>45850.0</v>
      </c>
      <c r="D2613" s="38">
        <v>87.0</v>
      </c>
      <c r="E2613" s="75"/>
      <c r="F2613" s="67">
        <v>5.051023523</v>
      </c>
      <c r="G2613" s="40">
        <v>1.953553661</v>
      </c>
      <c r="H2613" s="40"/>
      <c r="I2613" s="41">
        <v>0.459770115</v>
      </c>
      <c r="J2613" s="41">
        <v>0.206896552</v>
      </c>
      <c r="K2613" s="41">
        <v>0.333333333</v>
      </c>
      <c r="L2613" s="41"/>
      <c r="M2613" s="74">
        <v>-3.367828613</v>
      </c>
    </row>
    <row r="2614">
      <c r="A2614" s="1" t="s">
        <v>582</v>
      </c>
      <c r="B2614" s="38">
        <v>680694.0</v>
      </c>
      <c r="C2614" s="72">
        <v>45895.0</v>
      </c>
      <c r="D2614" s="38">
        <v>74.0</v>
      </c>
      <c r="E2614" s="75"/>
      <c r="F2614" s="67">
        <v>5.050678717</v>
      </c>
      <c r="G2614" s="40">
        <v>1.645335289</v>
      </c>
      <c r="H2614" s="40"/>
      <c r="I2614" s="41">
        <v>0.378378378</v>
      </c>
      <c r="J2614" s="41">
        <v>0.256756757</v>
      </c>
      <c r="K2614" s="41">
        <v>0.364864865</v>
      </c>
      <c r="L2614" s="41"/>
      <c r="M2614" s="74">
        <v>0.744773884</v>
      </c>
    </row>
    <row r="2615">
      <c r="A2615" s="1" t="s">
        <v>366</v>
      </c>
      <c r="B2615" s="38">
        <v>656550.0</v>
      </c>
      <c r="C2615" s="72">
        <v>45844.0</v>
      </c>
      <c r="D2615" s="38">
        <v>93.0</v>
      </c>
      <c r="E2615" s="75"/>
      <c r="F2615" s="67">
        <v>5.050533131</v>
      </c>
      <c r="G2615" s="40">
        <v>2.053136233</v>
      </c>
      <c r="H2615" s="40"/>
      <c r="I2615" s="41">
        <v>0.494623656</v>
      </c>
      <c r="J2615" s="41">
        <v>0.204301075</v>
      </c>
      <c r="K2615" s="41">
        <v>0.301075269</v>
      </c>
      <c r="L2615" s="41"/>
      <c r="M2615" s="74">
        <v>1.530271935</v>
      </c>
    </row>
    <row r="2616">
      <c r="A2616" s="1" t="s">
        <v>255</v>
      </c>
      <c r="B2616" s="38">
        <v>688138.0</v>
      </c>
      <c r="C2616" s="72">
        <v>45867.0</v>
      </c>
      <c r="D2616" s="38">
        <v>85.0</v>
      </c>
      <c r="E2616" s="75"/>
      <c r="F2616" s="67">
        <v>5.0503585</v>
      </c>
      <c r="G2616" s="40">
        <v>1.864004046</v>
      </c>
      <c r="H2616" s="40"/>
      <c r="I2616" s="41">
        <v>0.517647059</v>
      </c>
      <c r="J2616" s="41">
        <v>0.2</v>
      </c>
      <c r="K2616" s="41">
        <v>0.282352941</v>
      </c>
      <c r="L2616" s="41"/>
      <c r="M2616" s="74">
        <v>-1.520204598</v>
      </c>
    </row>
    <row r="2617">
      <c r="A2617" s="1" t="s">
        <v>294</v>
      </c>
      <c r="B2617" s="38">
        <v>665152.0</v>
      </c>
      <c r="C2617" s="72">
        <v>45779.0</v>
      </c>
      <c r="D2617" s="38">
        <v>80.0</v>
      </c>
      <c r="E2617" s="75"/>
      <c r="F2617" s="67">
        <v>5.050208569</v>
      </c>
      <c r="G2617" s="40">
        <v>1.807175548</v>
      </c>
      <c r="H2617" s="40"/>
      <c r="I2617" s="41">
        <v>0.425</v>
      </c>
      <c r="J2617" s="41">
        <v>0.0875</v>
      </c>
      <c r="K2617" s="41">
        <v>0.4875</v>
      </c>
      <c r="L2617" s="41"/>
      <c r="M2617" s="74">
        <v>2.781979566</v>
      </c>
    </row>
    <row r="2618">
      <c r="A2618" s="1" t="s">
        <v>344</v>
      </c>
      <c r="B2618" s="38">
        <v>701542.0</v>
      </c>
      <c r="C2618" s="72">
        <v>45748.0</v>
      </c>
      <c r="D2618" s="38">
        <v>84.0</v>
      </c>
      <c r="E2618" s="75"/>
      <c r="F2618" s="67">
        <v>5.049844814</v>
      </c>
      <c r="G2618" s="40">
        <v>1.852960154</v>
      </c>
      <c r="H2618" s="40"/>
      <c r="I2618" s="41">
        <v>0.511904762</v>
      </c>
      <c r="J2618" s="41">
        <v>0.095238095</v>
      </c>
      <c r="K2618" s="41">
        <v>0.392857143</v>
      </c>
      <c r="L2618" s="41"/>
      <c r="M2618" s="74">
        <v>3.19982508</v>
      </c>
    </row>
    <row r="2619">
      <c r="A2619" s="1" t="s">
        <v>494</v>
      </c>
      <c r="B2619" s="38">
        <v>672782.0</v>
      </c>
      <c r="C2619" s="72">
        <v>45887.0</v>
      </c>
      <c r="D2619" s="38">
        <v>89.0</v>
      </c>
      <c r="E2619" s="75"/>
      <c r="F2619" s="67">
        <v>5.048978864</v>
      </c>
      <c r="G2619" s="40">
        <v>1.96375789</v>
      </c>
      <c r="H2619" s="40"/>
      <c r="I2619" s="41">
        <v>0.505617978</v>
      </c>
      <c r="J2619" s="41">
        <v>0.168539326</v>
      </c>
      <c r="K2619" s="41">
        <v>0.325842697</v>
      </c>
      <c r="L2619" s="41"/>
      <c r="M2619" s="74">
        <v>-1.523635505</v>
      </c>
    </row>
    <row r="2620">
      <c r="A2620" s="1" t="s">
        <v>416</v>
      </c>
      <c r="B2620" s="38">
        <v>608337.0</v>
      </c>
      <c r="C2620" s="72">
        <v>45847.0</v>
      </c>
      <c r="D2620" s="38">
        <v>88.0</v>
      </c>
      <c r="E2620" s="75"/>
      <c r="F2620" s="67">
        <v>5.048891466</v>
      </c>
      <c r="G2620" s="40">
        <v>1.960110688</v>
      </c>
      <c r="H2620" s="40"/>
      <c r="I2620" s="41">
        <v>0.443181818</v>
      </c>
      <c r="J2620" s="41">
        <v>0.272727273</v>
      </c>
      <c r="K2620" s="41">
        <v>0.284090909</v>
      </c>
      <c r="L2620" s="41"/>
      <c r="M2620" s="74">
        <v>1.594056732</v>
      </c>
    </row>
    <row r="2621">
      <c r="A2621" s="1" t="s">
        <v>232</v>
      </c>
      <c r="B2621" s="38">
        <v>579328.0</v>
      </c>
      <c r="C2621" s="72">
        <v>45906.0</v>
      </c>
      <c r="D2621" s="38">
        <v>61.0</v>
      </c>
      <c r="E2621" s="75"/>
      <c r="F2621" s="67">
        <v>5.048845546</v>
      </c>
      <c r="G2621" s="40">
        <v>1.364435381</v>
      </c>
      <c r="H2621" s="40"/>
      <c r="I2621" s="41">
        <v>0.393442623</v>
      </c>
      <c r="J2621" s="41">
        <v>0.229508197</v>
      </c>
      <c r="K2621" s="41">
        <v>0.37704918</v>
      </c>
      <c r="L2621" s="41"/>
      <c r="M2621" s="74">
        <v>-3.149542887</v>
      </c>
    </row>
    <row r="2622">
      <c r="A2622" s="1" t="s">
        <v>353</v>
      </c>
      <c r="B2622" s="38">
        <v>663903.0</v>
      </c>
      <c r="C2622" s="72">
        <v>45865.0</v>
      </c>
      <c r="D2622" s="38">
        <v>96.0</v>
      </c>
      <c r="E2622" s="75"/>
      <c r="F2622" s="67">
        <v>5.048708921</v>
      </c>
      <c r="G2622" s="40">
        <v>2.143604801</v>
      </c>
      <c r="H2622" s="40"/>
      <c r="I2622" s="41">
        <v>0.489583333</v>
      </c>
      <c r="J2622" s="41">
        <v>0.104166667</v>
      </c>
      <c r="K2622" s="41">
        <v>0.40625</v>
      </c>
      <c r="L2622" s="41"/>
      <c r="M2622" s="74">
        <v>2.976130778</v>
      </c>
    </row>
    <row r="2623">
      <c r="A2623" s="1" t="s">
        <v>420</v>
      </c>
      <c r="B2623" s="38">
        <v>547179.0</v>
      </c>
      <c r="C2623" s="72">
        <v>45912.0</v>
      </c>
      <c r="D2623" s="38">
        <v>69.0</v>
      </c>
      <c r="E2623" s="75"/>
      <c r="F2623" s="67">
        <v>5.04831698</v>
      </c>
      <c r="G2623" s="40">
        <v>1.51131004</v>
      </c>
      <c r="H2623" s="40"/>
      <c r="I2623" s="41">
        <v>0.405797101</v>
      </c>
      <c r="J2623" s="41">
        <v>0.202898551</v>
      </c>
      <c r="K2623" s="41">
        <v>0.391304348</v>
      </c>
      <c r="L2623" s="41"/>
      <c r="M2623" s="74">
        <v>-5.856767455</v>
      </c>
    </row>
    <row r="2624">
      <c r="A2624" s="1" t="s">
        <v>352</v>
      </c>
      <c r="B2624" s="38">
        <v>685299.0</v>
      </c>
      <c r="C2624" s="72">
        <v>45918.0</v>
      </c>
      <c r="D2624" s="38">
        <v>96.0</v>
      </c>
      <c r="E2624" s="75"/>
      <c r="F2624" s="67">
        <v>5.048267805</v>
      </c>
      <c r="G2624" s="40">
        <v>2.135483936</v>
      </c>
      <c r="H2624" s="40"/>
      <c r="I2624" s="41">
        <v>0.375</v>
      </c>
      <c r="J2624" s="41">
        <v>0.260416667</v>
      </c>
      <c r="K2624" s="41">
        <v>0.364583333</v>
      </c>
      <c r="L2624" s="41"/>
      <c r="M2624" s="74">
        <v>2.2475866</v>
      </c>
    </row>
    <row r="2625">
      <c r="A2625" s="1" t="s">
        <v>500</v>
      </c>
      <c r="B2625" s="38">
        <v>665871.0</v>
      </c>
      <c r="C2625" s="72">
        <v>45891.0</v>
      </c>
      <c r="D2625" s="38">
        <v>70.0</v>
      </c>
      <c r="E2625" s="75"/>
      <c r="F2625" s="67">
        <v>5.048241174</v>
      </c>
      <c r="G2625" s="40">
        <v>1.557711203</v>
      </c>
      <c r="H2625" s="40"/>
      <c r="I2625" s="41">
        <v>0.457142857</v>
      </c>
      <c r="J2625" s="41">
        <v>0.185714286</v>
      </c>
      <c r="K2625" s="41">
        <v>0.357142857</v>
      </c>
      <c r="L2625" s="41"/>
      <c r="M2625" s="74">
        <v>1.872630235</v>
      </c>
    </row>
    <row r="2626">
      <c r="A2626" s="1" t="s">
        <v>158</v>
      </c>
      <c r="B2626" s="38">
        <v>608372.0</v>
      </c>
      <c r="C2626" s="72">
        <v>45877.0</v>
      </c>
      <c r="D2626" s="38">
        <v>82.0</v>
      </c>
      <c r="E2626" s="75"/>
      <c r="F2626" s="67">
        <v>5.04817951</v>
      </c>
      <c r="G2626" s="40">
        <v>1.83873134</v>
      </c>
      <c r="H2626" s="40"/>
      <c r="I2626" s="41">
        <v>0.475609756</v>
      </c>
      <c r="J2626" s="41">
        <v>0.182926829</v>
      </c>
      <c r="K2626" s="41">
        <v>0.341463415</v>
      </c>
      <c r="L2626" s="41"/>
      <c r="M2626" s="74">
        <v>-0.450904092</v>
      </c>
    </row>
    <row r="2627">
      <c r="A2627" s="1" t="s">
        <v>177</v>
      </c>
      <c r="B2627" s="38">
        <v>641793.0</v>
      </c>
      <c r="C2627" s="72">
        <v>45926.0</v>
      </c>
      <c r="D2627" s="38">
        <v>79.0</v>
      </c>
      <c r="E2627" s="75"/>
      <c r="F2627" s="67">
        <v>5.048133245</v>
      </c>
      <c r="G2627" s="40">
        <v>1.749412587</v>
      </c>
      <c r="H2627" s="40"/>
      <c r="I2627" s="41">
        <v>0.455696203</v>
      </c>
      <c r="J2627" s="41">
        <v>0.189873418</v>
      </c>
      <c r="K2627" s="41">
        <v>0.35443038</v>
      </c>
      <c r="L2627" s="41"/>
      <c r="M2627" s="74">
        <v>2.272899522</v>
      </c>
    </row>
    <row r="2628">
      <c r="A2628" s="1" t="s">
        <v>195</v>
      </c>
      <c r="B2628" s="38">
        <v>668678.0</v>
      </c>
      <c r="C2628" s="72">
        <v>45788.0</v>
      </c>
      <c r="D2628" s="38">
        <v>92.0</v>
      </c>
      <c r="E2628" s="75"/>
      <c r="F2628" s="67">
        <v>5.048058757</v>
      </c>
      <c r="G2628" s="40">
        <v>2.068969901</v>
      </c>
      <c r="H2628" s="40"/>
      <c r="I2628" s="41">
        <v>0.434782609</v>
      </c>
      <c r="J2628" s="41">
        <v>0.163043478</v>
      </c>
      <c r="K2628" s="41">
        <v>0.402173913</v>
      </c>
      <c r="L2628" s="41"/>
      <c r="M2628" s="74">
        <v>-4.881797698</v>
      </c>
    </row>
    <row r="2629">
      <c r="A2629" s="1" t="s">
        <v>461</v>
      </c>
      <c r="B2629" s="38">
        <v>673540.0</v>
      </c>
      <c r="C2629" s="72">
        <v>45820.0</v>
      </c>
      <c r="D2629" s="38">
        <v>75.0</v>
      </c>
      <c r="E2629" s="75"/>
      <c r="F2629" s="67">
        <v>5.047623861</v>
      </c>
      <c r="G2629" s="40">
        <v>1.674785912</v>
      </c>
      <c r="H2629" s="40"/>
      <c r="I2629" s="41">
        <v>0.453333333</v>
      </c>
      <c r="J2629" s="41">
        <v>0.16</v>
      </c>
      <c r="K2629" s="41">
        <v>0.386666667</v>
      </c>
      <c r="L2629" s="41"/>
      <c r="M2629" s="74">
        <v>2.991681352</v>
      </c>
    </row>
    <row r="2630">
      <c r="A2630" s="1" t="s">
        <v>307</v>
      </c>
      <c r="B2630" s="38">
        <v>656849.0</v>
      </c>
      <c r="C2630" s="72">
        <v>45888.0</v>
      </c>
      <c r="D2630" s="38">
        <v>96.0</v>
      </c>
      <c r="E2630" s="75"/>
      <c r="F2630" s="67">
        <v>5.047483907</v>
      </c>
      <c r="G2630" s="40">
        <v>2.126800665</v>
      </c>
      <c r="H2630" s="40"/>
      <c r="I2630" s="41">
        <v>0.427083333</v>
      </c>
      <c r="J2630" s="41">
        <v>0.239583333</v>
      </c>
      <c r="K2630" s="41">
        <v>0.333333333</v>
      </c>
      <c r="L2630" s="41"/>
      <c r="M2630" s="74">
        <v>2.710712862</v>
      </c>
    </row>
    <row r="2631">
      <c r="A2631" s="1" t="s">
        <v>137</v>
      </c>
      <c r="B2631" s="38">
        <v>453286.0</v>
      </c>
      <c r="C2631" s="72">
        <v>45849.0</v>
      </c>
      <c r="D2631" s="38">
        <v>87.0</v>
      </c>
      <c r="E2631" s="75"/>
      <c r="F2631" s="67">
        <v>5.047134755</v>
      </c>
      <c r="G2631" s="40">
        <v>1.951133504</v>
      </c>
      <c r="H2631" s="40"/>
      <c r="I2631" s="41">
        <v>0.471264368</v>
      </c>
      <c r="J2631" s="41">
        <v>0.16091954</v>
      </c>
      <c r="K2631" s="41">
        <v>0.367816092</v>
      </c>
      <c r="L2631" s="41"/>
      <c r="M2631" s="74">
        <v>-0.584277885</v>
      </c>
    </row>
    <row r="2632">
      <c r="A2632" s="1" t="s">
        <v>363</v>
      </c>
      <c r="B2632" s="38">
        <v>693645.0</v>
      </c>
      <c r="C2632" s="72">
        <v>45860.0</v>
      </c>
      <c r="D2632" s="38">
        <v>83.0</v>
      </c>
      <c r="E2632" s="75"/>
      <c r="F2632" s="67">
        <v>5.047124086</v>
      </c>
      <c r="G2632" s="40">
        <v>1.865533848</v>
      </c>
      <c r="H2632" s="40"/>
      <c r="I2632" s="41">
        <v>0.493975904</v>
      </c>
      <c r="J2632" s="41">
        <v>0.156626506</v>
      </c>
      <c r="K2632" s="41">
        <v>0.34939759</v>
      </c>
      <c r="L2632" s="41"/>
      <c r="M2632" s="74">
        <v>-2.6370672</v>
      </c>
    </row>
    <row r="2633">
      <c r="A2633" s="1" t="s">
        <v>113</v>
      </c>
      <c r="B2633" s="38">
        <v>664285.0</v>
      </c>
      <c r="C2633" s="72">
        <v>45749.0</v>
      </c>
      <c r="D2633" s="38">
        <v>87.0</v>
      </c>
      <c r="E2633" s="75"/>
      <c r="F2633" s="67">
        <v>5.047033878</v>
      </c>
      <c r="G2633" s="40">
        <v>1.903650126</v>
      </c>
      <c r="H2633" s="40"/>
      <c r="I2633" s="41">
        <v>0.459770115</v>
      </c>
      <c r="J2633" s="41">
        <v>0.218390805</v>
      </c>
      <c r="K2633" s="41">
        <v>0.32183908</v>
      </c>
      <c r="L2633" s="41"/>
      <c r="M2633" s="74">
        <v>1.179802973</v>
      </c>
    </row>
    <row r="2634">
      <c r="A2634" s="1" t="s">
        <v>492</v>
      </c>
      <c r="B2634" s="38">
        <v>671212.0</v>
      </c>
      <c r="C2634" s="72">
        <v>45867.0</v>
      </c>
      <c r="D2634" s="38">
        <v>77.0</v>
      </c>
      <c r="E2634" s="75"/>
      <c r="F2634" s="67">
        <v>5.046979631</v>
      </c>
      <c r="G2634" s="40">
        <v>1.725710502</v>
      </c>
      <c r="H2634" s="40"/>
      <c r="I2634" s="41">
        <v>0.493506494</v>
      </c>
      <c r="J2634" s="41">
        <v>0.181818182</v>
      </c>
      <c r="K2634" s="41">
        <v>0.324675325</v>
      </c>
      <c r="L2634" s="41"/>
      <c r="M2634" s="74">
        <v>0.237024303</v>
      </c>
    </row>
    <row r="2635">
      <c r="A2635" s="1" t="s">
        <v>253</v>
      </c>
      <c r="B2635" s="38">
        <v>701581.0</v>
      </c>
      <c r="C2635" s="72">
        <v>45859.0</v>
      </c>
      <c r="D2635" s="38">
        <v>78.0</v>
      </c>
      <c r="E2635" s="75"/>
      <c r="F2635" s="67">
        <v>5.046883922</v>
      </c>
      <c r="G2635" s="40">
        <v>1.752725196</v>
      </c>
      <c r="H2635" s="40"/>
      <c r="I2635" s="41">
        <v>0.448717949</v>
      </c>
      <c r="J2635" s="41">
        <v>0.153846154</v>
      </c>
      <c r="K2635" s="41">
        <v>0.397435897</v>
      </c>
      <c r="L2635" s="41"/>
      <c r="M2635" s="74">
        <v>0.755061802</v>
      </c>
    </row>
    <row r="2636">
      <c r="A2636" s="1" t="s">
        <v>481</v>
      </c>
      <c r="B2636" s="38">
        <v>622608.0</v>
      </c>
      <c r="C2636" s="72">
        <v>45761.0</v>
      </c>
      <c r="D2636" s="38">
        <v>89.0</v>
      </c>
      <c r="E2636" s="75"/>
      <c r="F2636" s="67">
        <v>5.046812357</v>
      </c>
      <c r="G2636" s="40">
        <v>2.003897565</v>
      </c>
      <c r="H2636" s="40"/>
      <c r="I2636" s="41">
        <v>0.438202247</v>
      </c>
      <c r="J2636" s="41">
        <v>0.157303371</v>
      </c>
      <c r="K2636" s="41">
        <v>0.404494382</v>
      </c>
      <c r="L2636" s="41"/>
      <c r="M2636" s="74">
        <v>-3.696395408</v>
      </c>
    </row>
    <row r="2637">
      <c r="A2637" s="1" t="s">
        <v>413</v>
      </c>
      <c r="B2637" s="38">
        <v>671737.0</v>
      </c>
      <c r="C2637" s="72">
        <v>45787.0</v>
      </c>
      <c r="D2637" s="38">
        <v>84.0</v>
      </c>
      <c r="E2637" s="75"/>
      <c r="F2637" s="67">
        <v>5.046755424</v>
      </c>
      <c r="G2637" s="40">
        <v>1.872928907</v>
      </c>
      <c r="H2637" s="40"/>
      <c r="I2637" s="41">
        <v>0.464285714</v>
      </c>
      <c r="J2637" s="41">
        <v>0.166666667</v>
      </c>
      <c r="K2637" s="41">
        <v>0.369047619</v>
      </c>
      <c r="L2637" s="41"/>
      <c r="M2637" s="74">
        <v>0.51240443</v>
      </c>
    </row>
    <row r="2638">
      <c r="A2638" s="1" t="s">
        <v>44</v>
      </c>
      <c r="B2638" s="38">
        <v>650911.0</v>
      </c>
      <c r="C2638" s="72">
        <v>45789.0</v>
      </c>
      <c r="D2638" s="38">
        <v>96.0</v>
      </c>
      <c r="E2638" s="75"/>
      <c r="F2638" s="67">
        <v>5.046686655</v>
      </c>
      <c r="G2638" s="40">
        <v>2.110967242</v>
      </c>
      <c r="H2638" s="40"/>
      <c r="I2638" s="41">
        <v>0.489583333</v>
      </c>
      <c r="J2638" s="41">
        <v>0.208333333</v>
      </c>
      <c r="K2638" s="41">
        <v>0.302083333</v>
      </c>
      <c r="L2638" s="41"/>
      <c r="M2638" s="74">
        <v>1.611210195</v>
      </c>
    </row>
    <row r="2639">
      <c r="A2639" s="1" t="s">
        <v>290</v>
      </c>
      <c r="B2639" s="38">
        <v>669461.0</v>
      </c>
      <c r="C2639" s="72">
        <v>45766.0</v>
      </c>
      <c r="D2639" s="38">
        <v>96.0</v>
      </c>
      <c r="E2639" s="75"/>
      <c r="F2639" s="67">
        <v>5.046589414</v>
      </c>
      <c r="G2639" s="40">
        <v>2.154710265</v>
      </c>
      <c r="H2639" s="40"/>
      <c r="I2639" s="41">
        <v>0.447916667</v>
      </c>
      <c r="J2639" s="41">
        <v>0.145833333</v>
      </c>
      <c r="K2639" s="41">
        <v>0.40625</v>
      </c>
      <c r="L2639" s="41"/>
      <c r="M2639" s="74">
        <v>-0.291745872</v>
      </c>
    </row>
    <row r="2640">
      <c r="A2640" s="1" t="s">
        <v>339</v>
      </c>
      <c r="B2640" s="38">
        <v>686613.0</v>
      </c>
      <c r="C2640" s="72">
        <v>45744.0</v>
      </c>
      <c r="D2640" s="38">
        <v>92.0</v>
      </c>
      <c r="E2640" s="75"/>
      <c r="F2640" s="67">
        <v>5.046542615</v>
      </c>
      <c r="G2640" s="40">
        <v>2.034920346</v>
      </c>
      <c r="H2640" s="40"/>
      <c r="I2640" s="41">
        <v>0.434782609</v>
      </c>
      <c r="J2640" s="41">
        <v>0.27173913</v>
      </c>
      <c r="K2640" s="41">
        <v>0.293478261</v>
      </c>
      <c r="L2640" s="41"/>
      <c r="M2640" s="74">
        <v>1.477301021</v>
      </c>
    </row>
    <row r="2641">
      <c r="A2641" s="1" t="s">
        <v>173</v>
      </c>
      <c r="B2641" s="38">
        <v>641927.0</v>
      </c>
      <c r="C2641" s="72">
        <v>45889.0</v>
      </c>
      <c r="D2641" s="38">
        <v>80.0</v>
      </c>
      <c r="E2641" s="75"/>
      <c r="F2641" s="67">
        <v>5.046534841</v>
      </c>
      <c r="G2641" s="40">
        <v>1.800790642</v>
      </c>
      <c r="H2641" s="40"/>
      <c r="I2641" s="41">
        <v>0.4625</v>
      </c>
      <c r="J2641" s="41">
        <v>0.1875</v>
      </c>
      <c r="K2641" s="41">
        <v>0.35</v>
      </c>
      <c r="L2641" s="41"/>
      <c r="M2641" s="74">
        <v>1.473834312</v>
      </c>
    </row>
    <row r="2642">
      <c r="A2642" s="1" t="s">
        <v>399</v>
      </c>
      <c r="B2642" s="38">
        <v>543294.0</v>
      </c>
      <c r="C2642" s="72">
        <v>45926.0</v>
      </c>
      <c r="D2642" s="38">
        <v>105.0</v>
      </c>
      <c r="E2642" s="75"/>
      <c r="F2642" s="67">
        <v>5.046506472</v>
      </c>
      <c r="G2642" s="40">
        <v>2.291830211</v>
      </c>
      <c r="H2642" s="40"/>
      <c r="I2642" s="41">
        <v>0.438095238</v>
      </c>
      <c r="J2642" s="41">
        <v>0.219047619</v>
      </c>
      <c r="K2642" s="41">
        <v>0.342857143</v>
      </c>
      <c r="L2642" s="41"/>
      <c r="M2642" s="74">
        <v>2.244234048</v>
      </c>
    </row>
    <row r="2643">
      <c r="A2643" s="1" t="s">
        <v>299</v>
      </c>
      <c r="B2643" s="38">
        <v>621112.0</v>
      </c>
      <c r="C2643" s="72">
        <v>45826.0</v>
      </c>
      <c r="D2643" s="38">
        <v>73.0</v>
      </c>
      <c r="E2643" s="75"/>
      <c r="F2643" s="67">
        <v>5.046388496</v>
      </c>
      <c r="G2643" s="40">
        <v>1.615174712</v>
      </c>
      <c r="H2643" s="40"/>
      <c r="I2643" s="41">
        <v>0.438356164</v>
      </c>
      <c r="J2643" s="41">
        <v>0.205479452</v>
      </c>
      <c r="K2643" s="41">
        <v>0.356164384</v>
      </c>
      <c r="L2643" s="41"/>
      <c r="M2643" s="74">
        <v>0.211324093</v>
      </c>
    </row>
    <row r="2644">
      <c r="A2644" s="1" t="s">
        <v>281</v>
      </c>
      <c r="B2644" s="38">
        <v>622663.0</v>
      </c>
      <c r="C2644" s="72">
        <v>45849.0</v>
      </c>
      <c r="D2644" s="38">
        <v>94.0</v>
      </c>
      <c r="E2644" s="75"/>
      <c r="F2644" s="67">
        <v>5.046287979</v>
      </c>
      <c r="G2644" s="40">
        <v>2.083793071</v>
      </c>
      <c r="H2644" s="40"/>
      <c r="I2644" s="41">
        <v>0.521276596</v>
      </c>
      <c r="J2644" s="41">
        <v>0.127659574</v>
      </c>
      <c r="K2644" s="41">
        <v>0.35106383</v>
      </c>
      <c r="L2644" s="41"/>
      <c r="M2644" s="74">
        <v>-1.594441223</v>
      </c>
    </row>
    <row r="2645">
      <c r="A2645" s="1" t="s">
        <v>432</v>
      </c>
      <c r="B2645" s="38">
        <v>669467.0</v>
      </c>
      <c r="C2645" s="72">
        <v>45889.0</v>
      </c>
      <c r="D2645" s="38">
        <v>90.0</v>
      </c>
      <c r="E2645" s="75"/>
      <c r="F2645" s="67">
        <v>5.046121498</v>
      </c>
      <c r="G2645" s="40">
        <v>2.010186823</v>
      </c>
      <c r="H2645" s="40"/>
      <c r="I2645" s="41">
        <v>0.444444444</v>
      </c>
      <c r="J2645" s="41">
        <v>0.233333333</v>
      </c>
      <c r="K2645" s="41">
        <v>0.322222222</v>
      </c>
      <c r="L2645" s="41"/>
      <c r="M2645" s="74">
        <v>-2.739687108</v>
      </c>
    </row>
    <row r="2646">
      <c r="A2646" s="1" t="s">
        <v>232</v>
      </c>
      <c r="B2646" s="38">
        <v>579328.0</v>
      </c>
      <c r="C2646" s="72">
        <v>45878.0</v>
      </c>
      <c r="D2646" s="38">
        <v>95.0</v>
      </c>
      <c r="E2646" s="75"/>
      <c r="F2646" s="67">
        <v>5.045937657</v>
      </c>
      <c r="G2646" s="40">
        <v>2.117393567</v>
      </c>
      <c r="H2646" s="40"/>
      <c r="I2646" s="41">
        <v>0.505263158</v>
      </c>
      <c r="J2646" s="41">
        <v>0.147368421</v>
      </c>
      <c r="K2646" s="41">
        <v>0.347368421</v>
      </c>
      <c r="L2646" s="41"/>
      <c r="M2646" s="74">
        <v>-3.414015733</v>
      </c>
    </row>
    <row r="2647">
      <c r="A2647" s="1" t="s">
        <v>130</v>
      </c>
      <c r="B2647" s="38">
        <v>666200.0</v>
      </c>
      <c r="C2647" s="72">
        <v>45867.0</v>
      </c>
      <c r="D2647" s="38">
        <v>86.0</v>
      </c>
      <c r="E2647" s="75"/>
      <c r="F2647" s="67">
        <v>5.04591057</v>
      </c>
      <c r="G2647" s="40">
        <v>1.944212788</v>
      </c>
      <c r="H2647" s="40"/>
      <c r="I2647" s="41">
        <v>0.534883721</v>
      </c>
      <c r="J2647" s="41">
        <v>0.139534884</v>
      </c>
      <c r="K2647" s="41">
        <v>0.325581395</v>
      </c>
      <c r="L2647" s="41"/>
      <c r="M2647" s="74">
        <v>3.788392522</v>
      </c>
    </row>
    <row r="2648">
      <c r="A2648" s="1" t="s">
        <v>509</v>
      </c>
      <c r="B2648" s="38">
        <v>676106.0</v>
      </c>
      <c r="C2648" s="72">
        <v>45777.0</v>
      </c>
      <c r="D2648" s="38">
        <v>99.0</v>
      </c>
      <c r="E2648" s="75"/>
      <c r="F2648" s="67">
        <v>5.045892231</v>
      </c>
      <c r="G2648" s="40">
        <v>2.216958208</v>
      </c>
      <c r="H2648" s="40"/>
      <c r="I2648" s="41">
        <v>0.434343434</v>
      </c>
      <c r="J2648" s="41">
        <v>0.202020202</v>
      </c>
      <c r="K2648" s="41">
        <v>0.363636364</v>
      </c>
      <c r="L2648" s="41"/>
      <c r="M2648" s="74">
        <v>-2.173482424</v>
      </c>
    </row>
    <row r="2649">
      <c r="A2649" s="1" t="s">
        <v>177</v>
      </c>
      <c r="B2649" s="38">
        <v>641793.0</v>
      </c>
      <c r="C2649" s="72">
        <v>45836.0</v>
      </c>
      <c r="D2649" s="38">
        <v>93.0</v>
      </c>
      <c r="E2649" s="75"/>
      <c r="F2649" s="67">
        <v>5.045735153</v>
      </c>
      <c r="G2649" s="40">
        <v>2.061335947</v>
      </c>
      <c r="H2649" s="40"/>
      <c r="I2649" s="41">
        <v>0.462365591</v>
      </c>
      <c r="J2649" s="41">
        <v>0.290322581</v>
      </c>
      <c r="K2649" s="41">
        <v>0.247311828</v>
      </c>
      <c r="L2649" s="41"/>
      <c r="M2649" s="74">
        <v>2.80190869</v>
      </c>
    </row>
    <row r="2650">
      <c r="A2650" s="1" t="s">
        <v>100</v>
      </c>
      <c r="B2650" s="38">
        <v>676979.0</v>
      </c>
      <c r="C2650" s="72">
        <v>45844.0</v>
      </c>
      <c r="D2650" s="38">
        <v>95.0</v>
      </c>
      <c r="E2650" s="75"/>
      <c r="F2650" s="67">
        <v>5.045492273</v>
      </c>
      <c r="G2650" s="40">
        <v>2.134754338</v>
      </c>
      <c r="H2650" s="40"/>
      <c r="I2650" s="41">
        <v>0.515789474</v>
      </c>
      <c r="J2650" s="41">
        <v>0.126315789</v>
      </c>
      <c r="K2650" s="41">
        <v>0.357894737</v>
      </c>
      <c r="L2650" s="41"/>
      <c r="M2650" s="74">
        <v>-3.324903802</v>
      </c>
    </row>
    <row r="2651">
      <c r="A2651" s="1" t="s">
        <v>232</v>
      </c>
      <c r="B2651" s="38">
        <v>579328.0</v>
      </c>
      <c r="C2651" s="72">
        <v>45857.0</v>
      </c>
      <c r="D2651" s="38">
        <v>85.0</v>
      </c>
      <c r="E2651" s="75"/>
      <c r="F2651" s="67">
        <v>5.045126278</v>
      </c>
      <c r="G2651" s="40">
        <v>1.881899515</v>
      </c>
      <c r="H2651" s="40"/>
      <c r="I2651" s="41">
        <v>0.494117647</v>
      </c>
      <c r="J2651" s="41">
        <v>0.129411765</v>
      </c>
      <c r="K2651" s="41">
        <v>0.376470588</v>
      </c>
      <c r="L2651" s="41"/>
      <c r="M2651" s="74">
        <v>-1.175886477</v>
      </c>
    </row>
    <row r="2652">
      <c r="A2652" s="1" t="s">
        <v>453</v>
      </c>
      <c r="B2652" s="38">
        <v>592836.0</v>
      </c>
      <c r="C2652" s="72">
        <v>45863.0</v>
      </c>
      <c r="D2652" s="38">
        <v>78.0</v>
      </c>
      <c r="E2652" s="75"/>
      <c r="F2652" s="67">
        <v>5.045118842</v>
      </c>
      <c r="G2652" s="40">
        <v>1.742635866</v>
      </c>
      <c r="H2652" s="40"/>
      <c r="I2652" s="41">
        <v>0.448717949</v>
      </c>
      <c r="J2652" s="41">
        <v>0.179487179</v>
      </c>
      <c r="K2652" s="41">
        <v>0.371794872</v>
      </c>
      <c r="L2652" s="41"/>
      <c r="M2652" s="74">
        <v>0.092350887</v>
      </c>
    </row>
    <row r="2653">
      <c r="A2653" s="1" t="s">
        <v>330</v>
      </c>
      <c r="B2653" s="38">
        <v>680730.0</v>
      </c>
      <c r="C2653" s="72">
        <v>45763.0</v>
      </c>
      <c r="D2653" s="38">
        <v>82.0</v>
      </c>
      <c r="E2653" s="75"/>
      <c r="F2653" s="67">
        <v>5.044986121</v>
      </c>
      <c r="G2653" s="40">
        <v>1.861946924</v>
      </c>
      <c r="H2653" s="40"/>
      <c r="I2653" s="41">
        <v>0.43902439</v>
      </c>
      <c r="J2653" s="41">
        <v>0.195121951</v>
      </c>
      <c r="K2653" s="41">
        <v>0.365853659</v>
      </c>
      <c r="L2653" s="41"/>
      <c r="M2653" s="74">
        <v>0.807298288</v>
      </c>
    </row>
    <row r="2654">
      <c r="A2654" s="1" t="s">
        <v>335</v>
      </c>
      <c r="B2654" s="38">
        <v>663436.0</v>
      </c>
      <c r="C2654" s="72">
        <v>45808.0</v>
      </c>
      <c r="D2654" s="38">
        <v>76.0</v>
      </c>
      <c r="E2654" s="75"/>
      <c r="F2654" s="67">
        <v>5.044700824</v>
      </c>
      <c r="G2654" s="40">
        <v>1.721198842</v>
      </c>
      <c r="H2654" s="40"/>
      <c r="I2654" s="41">
        <v>0.486842105</v>
      </c>
      <c r="J2654" s="41">
        <v>0.131578947</v>
      </c>
      <c r="K2654" s="41">
        <v>0.381578947</v>
      </c>
      <c r="L2654" s="41"/>
      <c r="M2654" s="74">
        <v>0.323937191</v>
      </c>
    </row>
    <row r="2655">
      <c r="A2655" s="1" t="s">
        <v>329</v>
      </c>
      <c r="B2655" s="38">
        <v>669160.0</v>
      </c>
      <c r="C2655" s="72">
        <v>45835.0</v>
      </c>
      <c r="D2655" s="38">
        <v>78.0</v>
      </c>
      <c r="E2655" s="75"/>
      <c r="F2655" s="67">
        <v>5.044639936</v>
      </c>
      <c r="G2655" s="40">
        <v>1.739119111</v>
      </c>
      <c r="H2655" s="40"/>
      <c r="I2655" s="41">
        <v>0.448717949</v>
      </c>
      <c r="J2655" s="41">
        <v>0.179487179</v>
      </c>
      <c r="K2655" s="41">
        <v>0.371794872</v>
      </c>
      <c r="L2655" s="41"/>
      <c r="M2655" s="74">
        <v>-1.273943589</v>
      </c>
    </row>
    <row r="2656">
      <c r="A2656" s="1" t="s">
        <v>479</v>
      </c>
      <c r="B2656" s="38">
        <v>664299.0</v>
      </c>
      <c r="C2656" s="72">
        <v>45904.0</v>
      </c>
      <c r="D2656" s="38">
        <v>77.0</v>
      </c>
      <c r="E2656" s="75"/>
      <c r="F2656" s="67">
        <v>5.044605078</v>
      </c>
      <c r="G2656" s="40">
        <v>1.746578376</v>
      </c>
      <c r="H2656" s="40"/>
      <c r="I2656" s="41">
        <v>0.480519481</v>
      </c>
      <c r="J2656" s="41">
        <v>0.168831169</v>
      </c>
      <c r="K2656" s="41">
        <v>0.350649351</v>
      </c>
      <c r="L2656" s="41"/>
      <c r="M2656" s="74">
        <v>-1.891544178</v>
      </c>
    </row>
    <row r="2657">
      <c r="A2657" s="1" t="s">
        <v>495</v>
      </c>
      <c r="B2657" s="38">
        <v>801403.0</v>
      </c>
      <c r="C2657" s="72">
        <v>45771.0</v>
      </c>
      <c r="D2657" s="38">
        <v>92.0</v>
      </c>
      <c r="E2657" s="75"/>
      <c r="F2657" s="67">
        <v>5.044588667</v>
      </c>
      <c r="G2657" s="40">
        <v>2.035415551</v>
      </c>
      <c r="H2657" s="40"/>
      <c r="I2657" s="41">
        <v>0.489130435</v>
      </c>
      <c r="J2657" s="41">
        <v>0.163043478</v>
      </c>
      <c r="K2657" s="41">
        <v>0.347826087</v>
      </c>
      <c r="L2657" s="41"/>
      <c r="M2657" s="74">
        <v>-2.728767833</v>
      </c>
    </row>
    <row r="2658">
      <c r="A2658" s="1" t="s">
        <v>389</v>
      </c>
      <c r="B2658" s="38">
        <v>682052.0</v>
      </c>
      <c r="C2658" s="72">
        <v>45816.0</v>
      </c>
      <c r="D2658" s="38">
        <v>89.0</v>
      </c>
      <c r="E2658" s="75"/>
      <c r="F2658" s="67">
        <v>5.044554332</v>
      </c>
      <c r="G2658" s="40">
        <v>1.957724727</v>
      </c>
      <c r="H2658" s="40"/>
      <c r="I2658" s="41">
        <v>0.494382022</v>
      </c>
      <c r="J2658" s="41">
        <v>0.179775281</v>
      </c>
      <c r="K2658" s="41">
        <v>0.325842697</v>
      </c>
      <c r="L2658" s="41"/>
      <c r="M2658" s="74">
        <v>1.1075879</v>
      </c>
    </row>
    <row r="2659">
      <c r="A2659" s="1" t="s">
        <v>449</v>
      </c>
      <c r="B2659" s="38">
        <v>687223.0</v>
      </c>
      <c r="C2659" s="72">
        <v>45818.0</v>
      </c>
      <c r="D2659" s="38">
        <v>93.0</v>
      </c>
      <c r="E2659" s="75"/>
      <c r="F2659" s="67">
        <v>5.044478573</v>
      </c>
      <c r="G2659" s="40">
        <v>2.068147994</v>
      </c>
      <c r="H2659" s="40"/>
      <c r="I2659" s="41">
        <v>0.419354839</v>
      </c>
      <c r="J2659" s="41">
        <v>0.215053763</v>
      </c>
      <c r="K2659" s="41">
        <v>0.365591398</v>
      </c>
      <c r="L2659" s="41"/>
      <c r="M2659" s="74">
        <v>0.614953199</v>
      </c>
    </row>
    <row r="2660">
      <c r="A2660" s="1" t="s">
        <v>84</v>
      </c>
      <c r="B2660" s="38">
        <v>669373.0</v>
      </c>
      <c r="C2660" s="72">
        <v>45814.0</v>
      </c>
      <c r="D2660" s="38">
        <v>92.0</v>
      </c>
      <c r="E2660" s="75"/>
      <c r="F2660" s="67">
        <v>5.044444018</v>
      </c>
      <c r="G2660" s="40">
        <v>2.116453451</v>
      </c>
      <c r="H2660" s="40"/>
      <c r="I2660" s="41">
        <v>0.391304348</v>
      </c>
      <c r="J2660" s="41">
        <v>0.25</v>
      </c>
      <c r="K2660" s="41">
        <v>0.358695652</v>
      </c>
      <c r="L2660" s="41"/>
      <c r="M2660" s="74">
        <v>-1.774968155</v>
      </c>
    </row>
    <row r="2661">
      <c r="A2661" s="1" t="s">
        <v>294</v>
      </c>
      <c r="B2661" s="38">
        <v>665152.0</v>
      </c>
      <c r="C2661" s="72">
        <v>45756.0</v>
      </c>
      <c r="D2661" s="38">
        <v>78.0</v>
      </c>
      <c r="E2661" s="75"/>
      <c r="F2661" s="67">
        <v>5.04434495</v>
      </c>
      <c r="G2661" s="40">
        <v>1.754147766</v>
      </c>
      <c r="H2661" s="40"/>
      <c r="I2661" s="41">
        <v>0.5</v>
      </c>
      <c r="J2661" s="41">
        <v>0.141025641</v>
      </c>
      <c r="K2661" s="41">
        <v>0.358974359</v>
      </c>
      <c r="L2661" s="41"/>
      <c r="M2661" s="74">
        <v>-3.352536668</v>
      </c>
    </row>
    <row r="2662">
      <c r="A2662" s="1" t="s">
        <v>191</v>
      </c>
      <c r="B2662" s="38">
        <v>687064.0</v>
      </c>
      <c r="C2662" s="72">
        <v>45766.0</v>
      </c>
      <c r="D2662" s="38">
        <v>78.0</v>
      </c>
      <c r="E2662" s="75"/>
      <c r="F2662" s="67">
        <v>5.044255938</v>
      </c>
      <c r="G2662" s="40">
        <v>1.731113845</v>
      </c>
      <c r="H2662" s="40"/>
      <c r="I2662" s="41">
        <v>0.397435897</v>
      </c>
      <c r="J2662" s="41">
        <v>0.205128205</v>
      </c>
      <c r="K2662" s="41">
        <v>0.397435897</v>
      </c>
      <c r="L2662" s="41"/>
      <c r="M2662" s="74">
        <v>-2.912484675</v>
      </c>
    </row>
    <row r="2663">
      <c r="A2663" s="1" t="s">
        <v>306</v>
      </c>
      <c r="B2663" s="38">
        <v>677944.0</v>
      </c>
      <c r="C2663" s="72">
        <v>45856.0</v>
      </c>
      <c r="D2663" s="38">
        <v>103.0</v>
      </c>
      <c r="E2663" s="75"/>
      <c r="F2663" s="67">
        <v>5.044158628</v>
      </c>
      <c r="G2663" s="40">
        <v>2.335452926</v>
      </c>
      <c r="H2663" s="40"/>
      <c r="I2663" s="41">
        <v>0.504854369</v>
      </c>
      <c r="J2663" s="41">
        <v>0.184466019</v>
      </c>
      <c r="K2663" s="41">
        <v>0.310679612</v>
      </c>
      <c r="L2663" s="41"/>
      <c r="M2663" s="74">
        <v>-0.027933316</v>
      </c>
    </row>
    <row r="2664">
      <c r="A2664" s="1" t="s">
        <v>285</v>
      </c>
      <c r="B2664" s="38">
        <v>607074.0</v>
      </c>
      <c r="C2664" s="72">
        <v>45793.0</v>
      </c>
      <c r="D2664" s="38">
        <v>100.0</v>
      </c>
      <c r="E2664" s="75"/>
      <c r="F2664" s="67">
        <v>5.044152425</v>
      </c>
      <c r="G2664" s="40">
        <v>2.197010996</v>
      </c>
      <c r="H2664" s="40"/>
      <c r="I2664" s="41">
        <v>0.52</v>
      </c>
      <c r="J2664" s="41">
        <v>0.11</v>
      </c>
      <c r="K2664" s="41">
        <v>0.37</v>
      </c>
      <c r="L2664" s="41"/>
      <c r="M2664" s="74">
        <v>2.365795965</v>
      </c>
    </row>
    <row r="2665">
      <c r="A2665" s="1" t="s">
        <v>399</v>
      </c>
      <c r="B2665" s="38">
        <v>543294.0</v>
      </c>
      <c r="C2665" s="72">
        <v>45772.0</v>
      </c>
      <c r="D2665" s="38">
        <v>88.0</v>
      </c>
      <c r="E2665" s="75"/>
      <c r="F2665" s="67">
        <v>5.043272751</v>
      </c>
      <c r="G2665" s="40">
        <v>1.941043231</v>
      </c>
      <c r="H2665" s="40"/>
      <c r="I2665" s="41">
        <v>0.409090909</v>
      </c>
      <c r="J2665" s="41">
        <v>0.204545455</v>
      </c>
      <c r="K2665" s="41">
        <v>0.386363636</v>
      </c>
      <c r="L2665" s="41"/>
      <c r="M2665" s="74">
        <v>2.738432498</v>
      </c>
    </row>
    <row r="2666">
      <c r="A2666" s="1" t="s">
        <v>343</v>
      </c>
      <c r="B2666" s="38">
        <v>682243.0</v>
      </c>
      <c r="C2666" s="72">
        <v>45808.0</v>
      </c>
      <c r="D2666" s="38">
        <v>67.0</v>
      </c>
      <c r="E2666" s="75"/>
      <c r="F2666" s="67">
        <v>5.043269415</v>
      </c>
      <c r="G2666" s="40">
        <v>1.521203579</v>
      </c>
      <c r="H2666" s="40"/>
      <c r="I2666" s="41">
        <v>0.432835821</v>
      </c>
      <c r="J2666" s="41">
        <v>0.208955224</v>
      </c>
      <c r="K2666" s="41">
        <v>0.358208955</v>
      </c>
      <c r="L2666" s="41"/>
      <c r="M2666" s="74">
        <v>-1.477844668</v>
      </c>
    </row>
    <row r="2667">
      <c r="A2667" s="1" t="s">
        <v>369</v>
      </c>
      <c r="B2667" s="38">
        <v>596295.0</v>
      </c>
      <c r="C2667" s="72">
        <v>45859.0</v>
      </c>
      <c r="D2667" s="38">
        <v>83.0</v>
      </c>
      <c r="E2667" s="75"/>
      <c r="F2667" s="67">
        <v>5.042946277</v>
      </c>
      <c r="G2667" s="40">
        <v>1.879655297</v>
      </c>
      <c r="H2667" s="40"/>
      <c r="I2667" s="41">
        <v>0.385542169</v>
      </c>
      <c r="J2667" s="41">
        <v>0.240963855</v>
      </c>
      <c r="K2667" s="41">
        <v>0.373493976</v>
      </c>
      <c r="L2667" s="41"/>
      <c r="M2667" s="74">
        <v>-5.292408515</v>
      </c>
    </row>
    <row r="2668">
      <c r="A2668" s="1" t="s">
        <v>166</v>
      </c>
      <c r="B2668" s="38">
        <v>608331.0</v>
      </c>
      <c r="C2668" s="72">
        <v>45767.0</v>
      </c>
      <c r="D2668" s="38">
        <v>98.0</v>
      </c>
      <c r="E2668" s="75"/>
      <c r="F2668" s="67">
        <v>5.042640284</v>
      </c>
      <c r="G2668" s="40">
        <v>2.181581802</v>
      </c>
      <c r="H2668" s="40"/>
      <c r="I2668" s="41">
        <v>0.459183673</v>
      </c>
      <c r="J2668" s="41">
        <v>0.173469388</v>
      </c>
      <c r="K2668" s="41">
        <v>0.367346939</v>
      </c>
      <c r="L2668" s="41"/>
      <c r="M2668" s="74">
        <v>4.568241417</v>
      </c>
    </row>
    <row r="2669">
      <c r="A2669" s="1" t="s">
        <v>396</v>
      </c>
      <c r="B2669" s="38">
        <v>663623.0</v>
      </c>
      <c r="C2669" s="72">
        <v>45916.0</v>
      </c>
      <c r="D2669" s="38">
        <v>99.0</v>
      </c>
      <c r="E2669" s="75"/>
      <c r="F2669" s="67">
        <v>5.042615168</v>
      </c>
      <c r="G2669" s="40">
        <v>2.217630526</v>
      </c>
      <c r="H2669" s="40"/>
      <c r="I2669" s="41">
        <v>0.545454545</v>
      </c>
      <c r="J2669" s="41">
        <v>0.121212121</v>
      </c>
      <c r="K2669" s="41">
        <v>0.333333333</v>
      </c>
      <c r="L2669" s="41"/>
      <c r="M2669" s="74">
        <v>-2.599896015</v>
      </c>
    </row>
    <row r="2670">
      <c r="A2670" s="1" t="s">
        <v>95</v>
      </c>
      <c r="B2670" s="38">
        <v>543243.0</v>
      </c>
      <c r="C2670" s="72">
        <v>45743.0</v>
      </c>
      <c r="D2670" s="38">
        <v>73.0</v>
      </c>
      <c r="E2670" s="75"/>
      <c r="F2670" s="67">
        <v>5.042498459</v>
      </c>
      <c r="G2670" s="40">
        <v>1.611957587</v>
      </c>
      <c r="H2670" s="40"/>
      <c r="I2670" s="41">
        <v>0.534246575</v>
      </c>
      <c r="J2670" s="41">
        <v>0.191780822</v>
      </c>
      <c r="K2670" s="41">
        <v>0.273972603</v>
      </c>
      <c r="L2670" s="41"/>
      <c r="M2670" s="74">
        <v>0.240560473</v>
      </c>
    </row>
    <row r="2671">
      <c r="A2671" s="1" t="s">
        <v>347</v>
      </c>
      <c r="B2671" s="38">
        <v>700249.0</v>
      </c>
      <c r="C2671" s="72">
        <v>45800.0</v>
      </c>
      <c r="D2671" s="38">
        <v>95.0</v>
      </c>
      <c r="E2671" s="75"/>
      <c r="F2671" s="67">
        <v>5.042480383</v>
      </c>
      <c r="G2671" s="40">
        <v>2.133102207</v>
      </c>
      <c r="H2671" s="40"/>
      <c r="I2671" s="41">
        <v>0.473684211</v>
      </c>
      <c r="J2671" s="41">
        <v>0.210526316</v>
      </c>
      <c r="K2671" s="41">
        <v>0.315789474</v>
      </c>
      <c r="L2671" s="41"/>
      <c r="M2671" s="74">
        <v>0.6003055</v>
      </c>
    </row>
    <row r="2672">
      <c r="A2672" s="1" t="s">
        <v>171</v>
      </c>
      <c r="B2672" s="38">
        <v>665795.0</v>
      </c>
      <c r="C2672" s="72">
        <v>45872.0</v>
      </c>
      <c r="D2672" s="38">
        <v>87.0</v>
      </c>
      <c r="E2672" s="75"/>
      <c r="F2672" s="67">
        <v>5.042030941</v>
      </c>
      <c r="G2672" s="40">
        <v>1.920519851</v>
      </c>
      <c r="H2672" s="40"/>
      <c r="I2672" s="41">
        <v>0.425287356</v>
      </c>
      <c r="J2672" s="41">
        <v>0.218390805</v>
      </c>
      <c r="K2672" s="41">
        <v>0.356321839</v>
      </c>
      <c r="L2672" s="41"/>
      <c r="M2672" s="74">
        <v>2.36775616</v>
      </c>
    </row>
    <row r="2673">
      <c r="A2673" s="1" t="s">
        <v>109</v>
      </c>
      <c r="B2673" s="38">
        <v>601713.0</v>
      </c>
      <c r="C2673" s="72">
        <v>45828.0</v>
      </c>
      <c r="D2673" s="38">
        <v>83.0</v>
      </c>
      <c r="E2673" s="75"/>
      <c r="F2673" s="67">
        <v>5.041920241</v>
      </c>
      <c r="G2673" s="40">
        <v>1.848746974</v>
      </c>
      <c r="H2673" s="40"/>
      <c r="I2673" s="41">
        <v>0.457831325</v>
      </c>
      <c r="J2673" s="41">
        <v>0.192771084</v>
      </c>
      <c r="K2673" s="41">
        <v>0.34939759</v>
      </c>
      <c r="L2673" s="41"/>
      <c r="M2673" s="74">
        <v>-1.472652947</v>
      </c>
    </row>
    <row r="2674">
      <c r="A2674" s="1" t="s">
        <v>278</v>
      </c>
      <c r="B2674" s="38">
        <v>542881.0</v>
      </c>
      <c r="C2674" s="72">
        <v>45870.0</v>
      </c>
      <c r="D2674" s="38">
        <v>84.0</v>
      </c>
      <c r="E2674" s="75"/>
      <c r="F2674" s="67">
        <v>5.041888372</v>
      </c>
      <c r="G2674" s="40">
        <v>1.886107009</v>
      </c>
      <c r="H2674" s="40"/>
      <c r="I2674" s="41">
        <v>0.452380952</v>
      </c>
      <c r="J2674" s="41">
        <v>0.226190476</v>
      </c>
      <c r="K2674" s="41">
        <v>0.321428571</v>
      </c>
      <c r="L2674" s="41"/>
      <c r="M2674" s="74">
        <v>-0.780561576</v>
      </c>
    </row>
    <row r="2675">
      <c r="A2675" s="1" t="s">
        <v>332</v>
      </c>
      <c r="B2675" s="38">
        <v>641778.0</v>
      </c>
      <c r="C2675" s="72">
        <v>45832.0</v>
      </c>
      <c r="D2675" s="38">
        <v>84.0</v>
      </c>
      <c r="E2675" s="75"/>
      <c r="F2675" s="67">
        <v>5.041685622</v>
      </c>
      <c r="G2675" s="40">
        <v>1.874757073</v>
      </c>
      <c r="H2675" s="40"/>
      <c r="I2675" s="41">
        <v>0.476190476</v>
      </c>
      <c r="J2675" s="41">
        <v>0.166666667</v>
      </c>
      <c r="K2675" s="41">
        <v>0.357142857</v>
      </c>
      <c r="L2675" s="41"/>
      <c r="M2675" s="74">
        <v>0.212564006</v>
      </c>
    </row>
    <row r="2676">
      <c r="A2676" s="1" t="s">
        <v>411</v>
      </c>
      <c r="B2676" s="38">
        <v>605288.0</v>
      </c>
      <c r="C2676" s="72">
        <v>45926.0</v>
      </c>
      <c r="D2676" s="38">
        <v>86.0</v>
      </c>
      <c r="E2676" s="75"/>
      <c r="F2676" s="67">
        <v>5.041469992</v>
      </c>
      <c r="G2676" s="40">
        <v>1.93653097</v>
      </c>
      <c r="H2676" s="40"/>
      <c r="I2676" s="41">
        <v>0.372093023</v>
      </c>
      <c r="J2676" s="41">
        <v>0.325581395</v>
      </c>
      <c r="K2676" s="41">
        <v>0.302325581</v>
      </c>
      <c r="L2676" s="41"/>
      <c r="M2676" s="74">
        <v>-0.93299883</v>
      </c>
    </row>
    <row r="2677">
      <c r="A2677" s="1" t="s">
        <v>57</v>
      </c>
      <c r="B2677" s="38">
        <v>594798.0</v>
      </c>
      <c r="C2677" s="72">
        <v>45746.0</v>
      </c>
      <c r="D2677" s="38">
        <v>71.0</v>
      </c>
      <c r="E2677" s="75"/>
      <c r="F2677" s="67">
        <v>5.041445899</v>
      </c>
      <c r="G2677" s="40">
        <v>1.590457886</v>
      </c>
      <c r="H2677" s="40"/>
      <c r="I2677" s="41">
        <v>0.492957746</v>
      </c>
      <c r="J2677" s="41">
        <v>0.112676056</v>
      </c>
      <c r="K2677" s="41">
        <v>0.394366197</v>
      </c>
      <c r="L2677" s="41"/>
      <c r="M2677" s="74">
        <v>1.902458867</v>
      </c>
    </row>
    <row r="2678">
      <c r="A2678" s="1" t="s">
        <v>282</v>
      </c>
      <c r="B2678" s="38">
        <v>656302.0</v>
      </c>
      <c r="C2678" s="72">
        <v>45818.0</v>
      </c>
      <c r="D2678" s="38">
        <v>98.0</v>
      </c>
      <c r="E2678" s="75"/>
      <c r="F2678" s="67">
        <v>5.041261767</v>
      </c>
      <c r="G2678" s="40">
        <v>2.180756148</v>
      </c>
      <c r="H2678" s="40"/>
      <c r="I2678" s="41">
        <v>0.479591837</v>
      </c>
      <c r="J2678" s="41">
        <v>0.234693878</v>
      </c>
      <c r="K2678" s="41">
        <v>0.285714286</v>
      </c>
      <c r="L2678" s="41"/>
      <c r="M2678" s="74">
        <v>1.45980376</v>
      </c>
    </row>
    <row r="2679">
      <c r="A2679" s="1" t="s">
        <v>356</v>
      </c>
      <c r="B2679" s="38">
        <v>680732.0</v>
      </c>
      <c r="C2679" s="72">
        <v>45840.0</v>
      </c>
      <c r="D2679" s="38">
        <v>84.0</v>
      </c>
      <c r="E2679" s="75"/>
      <c r="F2679" s="67">
        <v>5.04107626</v>
      </c>
      <c r="G2679" s="40">
        <v>1.894038673</v>
      </c>
      <c r="H2679" s="40"/>
      <c r="I2679" s="41">
        <v>0.488095238</v>
      </c>
      <c r="J2679" s="41">
        <v>0.178571429</v>
      </c>
      <c r="K2679" s="41">
        <v>0.333333333</v>
      </c>
      <c r="L2679" s="41"/>
      <c r="M2679" s="74">
        <v>-1.42218554</v>
      </c>
    </row>
    <row r="2680">
      <c r="A2680" s="1" t="s">
        <v>353</v>
      </c>
      <c r="B2680" s="38">
        <v>663903.0</v>
      </c>
      <c r="C2680" s="72">
        <v>45923.0</v>
      </c>
      <c r="D2680" s="38">
        <v>84.0</v>
      </c>
      <c r="E2680" s="75"/>
      <c r="F2680" s="67">
        <v>5.040722126</v>
      </c>
      <c r="G2680" s="40">
        <v>1.867643216</v>
      </c>
      <c r="H2680" s="40"/>
      <c r="I2680" s="41">
        <v>0.416666667</v>
      </c>
      <c r="J2680" s="41">
        <v>0.261904762</v>
      </c>
      <c r="K2680" s="41">
        <v>0.321428571</v>
      </c>
      <c r="L2680" s="41"/>
      <c r="M2680" s="74">
        <v>-0.224128296</v>
      </c>
    </row>
    <row r="2681">
      <c r="A2681" s="1" t="s">
        <v>147</v>
      </c>
      <c r="B2681" s="38">
        <v>608379.0</v>
      </c>
      <c r="C2681" s="72">
        <v>45857.0</v>
      </c>
      <c r="D2681" s="38">
        <v>76.0</v>
      </c>
      <c r="E2681" s="75"/>
      <c r="F2681" s="67">
        <v>5.040643675</v>
      </c>
      <c r="G2681" s="40">
        <v>1.700155134</v>
      </c>
      <c r="H2681" s="40"/>
      <c r="I2681" s="41">
        <v>0.447368421</v>
      </c>
      <c r="J2681" s="41">
        <v>0.197368421</v>
      </c>
      <c r="K2681" s="41">
        <v>0.355263158</v>
      </c>
      <c r="L2681" s="41"/>
      <c r="M2681" s="74">
        <v>1.231298849</v>
      </c>
    </row>
    <row r="2682">
      <c r="A2682" s="1" t="s">
        <v>424</v>
      </c>
      <c r="B2682" s="38">
        <v>667755.0</v>
      </c>
      <c r="C2682" s="72">
        <v>45774.0</v>
      </c>
      <c r="D2682" s="38">
        <v>82.0</v>
      </c>
      <c r="E2682" s="75"/>
      <c r="F2682" s="67">
        <v>5.040636838</v>
      </c>
      <c r="G2682" s="40">
        <v>1.808794799</v>
      </c>
      <c r="H2682" s="40"/>
      <c r="I2682" s="41">
        <v>0.451219512</v>
      </c>
      <c r="J2682" s="41">
        <v>0.182926829</v>
      </c>
      <c r="K2682" s="41">
        <v>0.365853659</v>
      </c>
      <c r="L2682" s="41"/>
      <c r="M2682" s="74">
        <v>0.840077472</v>
      </c>
    </row>
    <row r="2683">
      <c r="A2683" s="1" t="s">
        <v>421</v>
      </c>
      <c r="B2683" s="38">
        <v>607192.0</v>
      </c>
      <c r="C2683" s="72">
        <v>45908.0</v>
      </c>
      <c r="D2683" s="38">
        <v>102.0</v>
      </c>
      <c r="E2683" s="75"/>
      <c r="F2683" s="67">
        <v>5.040474056</v>
      </c>
      <c r="G2683" s="40">
        <v>2.282620277</v>
      </c>
      <c r="H2683" s="40"/>
      <c r="I2683" s="41">
        <v>0.460784314</v>
      </c>
      <c r="J2683" s="41">
        <v>0.156862745</v>
      </c>
      <c r="K2683" s="41">
        <v>0.382352941</v>
      </c>
      <c r="L2683" s="41"/>
      <c r="M2683" s="74">
        <v>5.151834322</v>
      </c>
    </row>
    <row r="2684">
      <c r="A2684" s="1" t="s">
        <v>226</v>
      </c>
      <c r="B2684" s="38">
        <v>607259.0</v>
      </c>
      <c r="C2684" s="72">
        <v>45846.0</v>
      </c>
      <c r="D2684" s="38">
        <v>83.0</v>
      </c>
      <c r="E2684" s="75"/>
      <c r="F2684" s="67">
        <v>5.040368828</v>
      </c>
      <c r="G2684" s="40">
        <v>1.862475833</v>
      </c>
      <c r="H2684" s="40"/>
      <c r="I2684" s="41">
        <v>0.43373494</v>
      </c>
      <c r="J2684" s="41">
        <v>0.228915663</v>
      </c>
      <c r="K2684" s="41">
        <v>0.337349398</v>
      </c>
      <c r="L2684" s="41"/>
      <c r="M2684" s="74">
        <v>-2.587300301</v>
      </c>
    </row>
    <row r="2685">
      <c r="A2685" s="1" t="s">
        <v>372</v>
      </c>
      <c r="B2685" s="38">
        <v>671106.0</v>
      </c>
      <c r="C2685" s="72">
        <v>45774.0</v>
      </c>
      <c r="D2685" s="38">
        <v>92.0</v>
      </c>
      <c r="E2685" s="75"/>
      <c r="F2685" s="67">
        <v>5.039953998</v>
      </c>
      <c r="G2685" s="40">
        <v>2.078312832</v>
      </c>
      <c r="H2685" s="40"/>
      <c r="I2685" s="41">
        <v>0.456521739</v>
      </c>
      <c r="J2685" s="41">
        <v>0.163043478</v>
      </c>
      <c r="K2685" s="41">
        <v>0.380434783</v>
      </c>
      <c r="L2685" s="41"/>
      <c r="M2685" s="74">
        <v>-3.385542856</v>
      </c>
    </row>
    <row r="2686">
      <c r="A2686" s="1" t="s">
        <v>513</v>
      </c>
      <c r="B2686" s="38">
        <v>608566.0</v>
      </c>
      <c r="C2686" s="72">
        <v>45771.0</v>
      </c>
      <c r="D2686" s="38">
        <v>76.0</v>
      </c>
      <c r="E2686" s="75"/>
      <c r="F2686" s="67">
        <v>5.03987416</v>
      </c>
      <c r="G2686" s="40">
        <v>1.722658405</v>
      </c>
      <c r="H2686" s="40"/>
      <c r="I2686" s="41">
        <v>0.434210526</v>
      </c>
      <c r="J2686" s="41">
        <v>0.197368421</v>
      </c>
      <c r="K2686" s="41">
        <v>0.368421053</v>
      </c>
      <c r="L2686" s="41"/>
      <c r="M2686" s="74">
        <v>-2.420699859</v>
      </c>
    </row>
    <row r="2687">
      <c r="A2687" s="1" t="s">
        <v>396</v>
      </c>
      <c r="B2687" s="38">
        <v>663623.0</v>
      </c>
      <c r="C2687" s="72">
        <v>45841.0</v>
      </c>
      <c r="D2687" s="38">
        <v>105.0</v>
      </c>
      <c r="E2687" s="75"/>
      <c r="F2687" s="67">
        <v>5.039868235</v>
      </c>
      <c r="G2687" s="40">
        <v>2.341332735</v>
      </c>
      <c r="H2687" s="40"/>
      <c r="I2687" s="41">
        <v>0.495238095</v>
      </c>
      <c r="J2687" s="41">
        <v>0.161904762</v>
      </c>
      <c r="K2687" s="41">
        <v>0.342857143</v>
      </c>
      <c r="L2687" s="41"/>
      <c r="M2687" s="74">
        <v>3.803868148</v>
      </c>
    </row>
    <row r="2688">
      <c r="A2688" s="1" t="s">
        <v>477</v>
      </c>
      <c r="B2688" s="38">
        <v>677958.0</v>
      </c>
      <c r="C2688" s="72">
        <v>45847.0</v>
      </c>
      <c r="D2688" s="38">
        <v>67.0</v>
      </c>
      <c r="E2688" s="75"/>
      <c r="F2688" s="67">
        <v>5.039804152</v>
      </c>
      <c r="G2688" s="40">
        <v>1.547953684</v>
      </c>
      <c r="H2688" s="40"/>
      <c r="I2688" s="41">
        <v>0.47761194</v>
      </c>
      <c r="J2688" s="41">
        <v>0.194029851</v>
      </c>
      <c r="K2688" s="41">
        <v>0.328358209</v>
      </c>
      <c r="L2688" s="41"/>
      <c r="M2688" s="74">
        <v>-2.274636619</v>
      </c>
    </row>
    <row r="2689">
      <c r="A2689" s="1" t="s">
        <v>452</v>
      </c>
      <c r="B2689" s="38">
        <v>607625.0</v>
      </c>
      <c r="C2689" s="72">
        <v>45766.0</v>
      </c>
      <c r="D2689" s="38">
        <v>101.0</v>
      </c>
      <c r="E2689" s="75"/>
      <c r="F2689" s="67">
        <v>5.039753456</v>
      </c>
      <c r="G2689" s="40">
        <v>2.244298349</v>
      </c>
      <c r="H2689" s="40"/>
      <c r="I2689" s="41">
        <v>0.465346535</v>
      </c>
      <c r="J2689" s="41">
        <v>0.158415842</v>
      </c>
      <c r="K2689" s="41">
        <v>0.376237624</v>
      </c>
      <c r="L2689" s="41"/>
      <c r="M2689" s="74">
        <v>1.697870016</v>
      </c>
    </row>
    <row r="2690">
      <c r="A2690" s="1" t="s">
        <v>137</v>
      </c>
      <c r="B2690" s="38">
        <v>453286.0</v>
      </c>
      <c r="C2690" s="72">
        <v>45913.0</v>
      </c>
      <c r="D2690" s="38">
        <v>89.0</v>
      </c>
      <c r="E2690" s="75"/>
      <c r="F2690" s="67">
        <v>5.039640637</v>
      </c>
      <c r="G2690" s="40">
        <v>1.992924301</v>
      </c>
      <c r="H2690" s="40"/>
      <c r="I2690" s="41">
        <v>0.505617978</v>
      </c>
      <c r="J2690" s="41">
        <v>0.168539326</v>
      </c>
      <c r="K2690" s="41">
        <v>0.325842697</v>
      </c>
      <c r="L2690" s="41"/>
      <c r="M2690" s="74">
        <v>2.323433652</v>
      </c>
    </row>
    <row r="2691">
      <c r="A2691" s="1" t="s">
        <v>133</v>
      </c>
      <c r="B2691" s="38">
        <v>663978.0</v>
      </c>
      <c r="C2691" s="72">
        <v>45821.0</v>
      </c>
      <c r="D2691" s="38">
        <v>84.0</v>
      </c>
      <c r="E2691" s="75"/>
      <c r="F2691" s="67">
        <v>5.039614855</v>
      </c>
      <c r="G2691" s="40">
        <v>1.841372425</v>
      </c>
      <c r="H2691" s="40"/>
      <c r="I2691" s="41">
        <v>0.476190476</v>
      </c>
      <c r="J2691" s="41">
        <v>0.142857143</v>
      </c>
      <c r="K2691" s="41">
        <v>0.380952381</v>
      </c>
      <c r="L2691" s="41"/>
      <c r="M2691" s="74">
        <v>-8.199208652</v>
      </c>
    </row>
    <row r="2692">
      <c r="A2692" s="1" t="s">
        <v>329</v>
      </c>
      <c r="B2692" s="38">
        <v>669160.0</v>
      </c>
      <c r="C2692" s="72">
        <v>45754.0</v>
      </c>
      <c r="D2692" s="38">
        <v>85.0</v>
      </c>
      <c r="E2692" s="75"/>
      <c r="F2692" s="67">
        <v>5.039609078</v>
      </c>
      <c r="G2692" s="40">
        <v>1.904833085</v>
      </c>
      <c r="H2692" s="40"/>
      <c r="I2692" s="41">
        <v>0.529411765</v>
      </c>
      <c r="J2692" s="41">
        <v>0.141176471</v>
      </c>
      <c r="K2692" s="41">
        <v>0.329411765</v>
      </c>
      <c r="L2692" s="41"/>
      <c r="M2692" s="74">
        <v>1.91464002</v>
      </c>
    </row>
    <row r="2693">
      <c r="A2693" s="1" t="s">
        <v>495</v>
      </c>
      <c r="B2693" s="38">
        <v>801403.0</v>
      </c>
      <c r="C2693" s="72">
        <v>45827.0</v>
      </c>
      <c r="D2693" s="38">
        <v>81.0</v>
      </c>
      <c r="E2693" s="75"/>
      <c r="F2693" s="67">
        <v>5.039096885</v>
      </c>
      <c r="G2693" s="40">
        <v>1.839096757</v>
      </c>
      <c r="H2693" s="40"/>
      <c r="I2693" s="41">
        <v>0.444444444</v>
      </c>
      <c r="J2693" s="41">
        <v>0.222222222</v>
      </c>
      <c r="K2693" s="41">
        <v>0.333333333</v>
      </c>
      <c r="L2693" s="41"/>
      <c r="M2693" s="74">
        <v>-0.405429665</v>
      </c>
    </row>
    <row r="2694">
      <c r="A2694" s="1" t="s">
        <v>347</v>
      </c>
      <c r="B2694" s="38">
        <v>700249.0</v>
      </c>
      <c r="C2694" s="72">
        <v>45777.0</v>
      </c>
      <c r="D2694" s="38">
        <v>80.0</v>
      </c>
      <c r="E2694" s="75"/>
      <c r="F2694" s="67">
        <v>5.038964269</v>
      </c>
      <c r="G2694" s="40">
        <v>1.825889099</v>
      </c>
      <c r="H2694" s="40"/>
      <c r="I2694" s="41">
        <v>0.525</v>
      </c>
      <c r="J2694" s="41">
        <v>0.15</v>
      </c>
      <c r="K2694" s="41">
        <v>0.325</v>
      </c>
      <c r="L2694" s="41"/>
      <c r="M2694" s="74">
        <v>1.667789657</v>
      </c>
    </row>
    <row r="2695">
      <c r="A2695" s="1" t="s">
        <v>330</v>
      </c>
      <c r="B2695" s="38">
        <v>680730.0</v>
      </c>
      <c r="C2695" s="72">
        <v>45797.0</v>
      </c>
      <c r="D2695" s="38">
        <v>73.0</v>
      </c>
      <c r="E2695" s="75"/>
      <c r="F2695" s="67">
        <v>5.03894052</v>
      </c>
      <c r="G2695" s="40">
        <v>1.674123241</v>
      </c>
      <c r="H2695" s="40"/>
      <c r="I2695" s="41">
        <v>0.438356164</v>
      </c>
      <c r="J2695" s="41">
        <v>0.232876712</v>
      </c>
      <c r="K2695" s="41">
        <v>0.328767123</v>
      </c>
      <c r="L2695" s="41"/>
      <c r="M2695" s="74">
        <v>-1.621801801</v>
      </c>
    </row>
    <row r="2696">
      <c r="A2696" s="1" t="s">
        <v>347</v>
      </c>
      <c r="B2696" s="38">
        <v>700249.0</v>
      </c>
      <c r="C2696" s="72">
        <v>45885.0</v>
      </c>
      <c r="D2696" s="38">
        <v>91.0</v>
      </c>
      <c r="E2696" s="75"/>
      <c r="F2696" s="67">
        <v>5.038926979</v>
      </c>
      <c r="G2696" s="40">
        <v>2.020660323</v>
      </c>
      <c r="H2696" s="40"/>
      <c r="I2696" s="41">
        <v>0.538461538</v>
      </c>
      <c r="J2696" s="41">
        <v>0.087912088</v>
      </c>
      <c r="K2696" s="41">
        <v>0.373626374</v>
      </c>
      <c r="L2696" s="41"/>
      <c r="M2696" s="74">
        <v>-0.973726886</v>
      </c>
    </row>
    <row r="2697">
      <c r="A2697" s="1" t="s">
        <v>281</v>
      </c>
      <c r="B2697" s="38">
        <v>622663.0</v>
      </c>
      <c r="C2697" s="72">
        <v>45777.0</v>
      </c>
      <c r="D2697" s="38">
        <v>91.0</v>
      </c>
      <c r="E2697" s="75"/>
      <c r="F2697" s="67">
        <v>5.038920339</v>
      </c>
      <c r="G2697" s="40">
        <v>2.064212569</v>
      </c>
      <c r="H2697" s="40"/>
      <c r="I2697" s="41">
        <v>0.461538462</v>
      </c>
      <c r="J2697" s="41">
        <v>0.197802198</v>
      </c>
      <c r="K2697" s="41">
        <v>0.340659341</v>
      </c>
      <c r="L2697" s="41"/>
      <c r="M2697" s="74">
        <v>-2.296193943</v>
      </c>
    </row>
    <row r="2698">
      <c r="A2698" s="1" t="s">
        <v>302</v>
      </c>
      <c r="B2698" s="38">
        <v>681190.0</v>
      </c>
      <c r="C2698" s="72">
        <v>45836.0</v>
      </c>
      <c r="D2698" s="38">
        <v>90.0</v>
      </c>
      <c r="E2698" s="75"/>
      <c r="F2698" s="67">
        <v>5.038751218</v>
      </c>
      <c r="G2698" s="40">
        <v>2.023908201</v>
      </c>
      <c r="H2698" s="40"/>
      <c r="I2698" s="41">
        <v>0.444444444</v>
      </c>
      <c r="J2698" s="41">
        <v>0.211111111</v>
      </c>
      <c r="K2698" s="41">
        <v>0.344444444</v>
      </c>
      <c r="L2698" s="41"/>
      <c r="M2698" s="74">
        <v>-1.0930346</v>
      </c>
    </row>
    <row r="2699">
      <c r="A2699" s="1" t="s">
        <v>344</v>
      </c>
      <c r="B2699" s="38">
        <v>701542.0</v>
      </c>
      <c r="C2699" s="72">
        <v>45797.0</v>
      </c>
      <c r="D2699" s="38">
        <v>99.0</v>
      </c>
      <c r="E2699" s="75"/>
      <c r="F2699" s="67">
        <v>5.03845533</v>
      </c>
      <c r="G2699" s="40">
        <v>2.178860875</v>
      </c>
      <c r="H2699" s="40"/>
      <c r="I2699" s="41">
        <v>0.434343434</v>
      </c>
      <c r="J2699" s="41">
        <v>0.171717172</v>
      </c>
      <c r="K2699" s="41">
        <v>0.393939394</v>
      </c>
      <c r="L2699" s="41"/>
      <c r="M2699" s="74">
        <v>-0.386777449</v>
      </c>
    </row>
    <row r="2700">
      <c r="A2700" s="1" t="s">
        <v>457</v>
      </c>
      <c r="B2700" s="38">
        <v>477132.0</v>
      </c>
      <c r="C2700" s="72">
        <v>45834.0</v>
      </c>
      <c r="D2700" s="38">
        <v>67.0</v>
      </c>
      <c r="E2700" s="75"/>
      <c r="F2700" s="67">
        <v>5.037777875</v>
      </c>
      <c r="G2700" s="40">
        <v>1.530485807</v>
      </c>
      <c r="H2700" s="40"/>
      <c r="I2700" s="41">
        <v>0.47761194</v>
      </c>
      <c r="J2700" s="41">
        <v>0.149253731</v>
      </c>
      <c r="K2700" s="41">
        <v>0.373134328</v>
      </c>
      <c r="L2700" s="41"/>
      <c r="M2700" s="74">
        <v>2.173916321</v>
      </c>
    </row>
    <row r="2701">
      <c r="A2701" s="1" t="s">
        <v>434</v>
      </c>
      <c r="B2701" s="38">
        <v>690990.0</v>
      </c>
      <c r="C2701" s="72">
        <v>45909.0</v>
      </c>
      <c r="D2701" s="38">
        <v>80.0</v>
      </c>
      <c r="E2701" s="75"/>
      <c r="F2701" s="67">
        <v>5.037585292</v>
      </c>
      <c r="G2701" s="40">
        <v>1.838464458</v>
      </c>
      <c r="H2701" s="40"/>
      <c r="I2701" s="41">
        <v>0.4625</v>
      </c>
      <c r="J2701" s="41">
        <v>0.1875</v>
      </c>
      <c r="K2701" s="41">
        <v>0.35</v>
      </c>
      <c r="L2701" s="41"/>
      <c r="M2701" s="74">
        <v>1.293072832</v>
      </c>
    </row>
    <row r="2702">
      <c r="A2702" s="1" t="s">
        <v>245</v>
      </c>
      <c r="B2702" s="38">
        <v>571578.0</v>
      </c>
      <c r="C2702" s="72">
        <v>45775.0</v>
      </c>
      <c r="D2702" s="38">
        <v>91.0</v>
      </c>
      <c r="E2702" s="75"/>
      <c r="F2702" s="67">
        <v>5.037421912</v>
      </c>
      <c r="G2702" s="40">
        <v>2.001199816</v>
      </c>
      <c r="H2702" s="40"/>
      <c r="I2702" s="41">
        <v>0.461538462</v>
      </c>
      <c r="J2702" s="41">
        <v>0.164835165</v>
      </c>
      <c r="K2702" s="41">
        <v>0.373626374</v>
      </c>
      <c r="L2702" s="41"/>
      <c r="M2702" s="74">
        <v>-2.372375581</v>
      </c>
    </row>
    <row r="2703">
      <c r="A2703" s="1" t="s">
        <v>158</v>
      </c>
      <c r="B2703" s="38">
        <v>608372.0</v>
      </c>
      <c r="C2703" s="72">
        <v>45848.0</v>
      </c>
      <c r="D2703" s="38">
        <v>93.0</v>
      </c>
      <c r="E2703" s="75"/>
      <c r="F2703" s="67">
        <v>5.037406187</v>
      </c>
      <c r="G2703" s="40">
        <v>2.102606869</v>
      </c>
      <c r="H2703" s="40"/>
      <c r="I2703" s="41">
        <v>0.451612903</v>
      </c>
      <c r="J2703" s="41">
        <v>0.150537634</v>
      </c>
      <c r="K2703" s="41">
        <v>0.397849462</v>
      </c>
      <c r="L2703" s="41"/>
      <c r="M2703" s="74">
        <v>2.247610839</v>
      </c>
    </row>
    <row r="2704">
      <c r="A2704" s="1" t="s">
        <v>335</v>
      </c>
      <c r="B2704" s="38">
        <v>663436.0</v>
      </c>
      <c r="C2704" s="72">
        <v>45902.0</v>
      </c>
      <c r="D2704" s="38">
        <v>87.0</v>
      </c>
      <c r="E2704" s="75"/>
      <c r="F2704" s="67">
        <v>5.03729267</v>
      </c>
      <c r="G2704" s="40">
        <v>1.997932577</v>
      </c>
      <c r="H2704" s="40"/>
      <c r="I2704" s="41">
        <v>0.505747126</v>
      </c>
      <c r="J2704" s="41">
        <v>0.137931034</v>
      </c>
      <c r="K2704" s="41">
        <v>0.356321839</v>
      </c>
      <c r="L2704" s="41"/>
      <c r="M2704" s="74">
        <v>-0.328892141</v>
      </c>
    </row>
    <row r="2705">
      <c r="A2705" s="1" t="s">
        <v>294</v>
      </c>
      <c r="B2705" s="38">
        <v>665152.0</v>
      </c>
      <c r="C2705" s="72">
        <v>45796.0</v>
      </c>
      <c r="D2705" s="38">
        <v>92.0</v>
      </c>
      <c r="E2705" s="75"/>
      <c r="F2705" s="67">
        <v>5.037218289</v>
      </c>
      <c r="G2705" s="40">
        <v>2.082928165</v>
      </c>
      <c r="H2705" s="40"/>
      <c r="I2705" s="41">
        <v>0.489130435</v>
      </c>
      <c r="J2705" s="41">
        <v>0.195652174</v>
      </c>
      <c r="K2705" s="41">
        <v>0.315217391</v>
      </c>
      <c r="L2705" s="41"/>
      <c r="M2705" s="74">
        <v>-3.115492556</v>
      </c>
    </row>
    <row r="2706">
      <c r="A2706" s="1" t="s">
        <v>339</v>
      </c>
      <c r="B2706" s="38">
        <v>686613.0</v>
      </c>
      <c r="C2706" s="72">
        <v>45846.0</v>
      </c>
      <c r="D2706" s="38">
        <v>83.0</v>
      </c>
      <c r="E2706" s="75"/>
      <c r="F2706" s="67">
        <v>5.037178629</v>
      </c>
      <c r="G2706" s="40">
        <v>1.884391582</v>
      </c>
      <c r="H2706" s="40"/>
      <c r="I2706" s="41">
        <v>0.457831325</v>
      </c>
      <c r="J2706" s="41">
        <v>0.156626506</v>
      </c>
      <c r="K2706" s="41">
        <v>0.385542169</v>
      </c>
      <c r="L2706" s="41"/>
      <c r="M2706" s="74">
        <v>-2.375191769</v>
      </c>
    </row>
    <row r="2707">
      <c r="A2707" s="1" t="s">
        <v>377</v>
      </c>
      <c r="B2707" s="38">
        <v>695549.0</v>
      </c>
      <c r="C2707" s="72">
        <v>45784.0</v>
      </c>
      <c r="D2707" s="38">
        <v>85.0</v>
      </c>
      <c r="E2707" s="75"/>
      <c r="F2707" s="67">
        <v>5.037094267</v>
      </c>
      <c r="G2707" s="40">
        <v>1.887691552</v>
      </c>
      <c r="H2707" s="40"/>
      <c r="I2707" s="41">
        <v>0.458823529</v>
      </c>
      <c r="J2707" s="41">
        <v>0.235294118</v>
      </c>
      <c r="K2707" s="41">
        <v>0.305882353</v>
      </c>
      <c r="L2707" s="41"/>
      <c r="M2707" s="74">
        <v>-2.874668958</v>
      </c>
    </row>
    <row r="2708">
      <c r="A2708" s="1" t="s">
        <v>372</v>
      </c>
      <c r="B2708" s="38">
        <v>671106.0</v>
      </c>
      <c r="C2708" s="72">
        <v>45874.0</v>
      </c>
      <c r="D2708" s="38">
        <v>86.0</v>
      </c>
      <c r="E2708" s="75"/>
      <c r="F2708" s="67">
        <v>5.0370599</v>
      </c>
      <c r="G2708" s="40">
        <v>1.914664881</v>
      </c>
      <c r="H2708" s="40"/>
      <c r="I2708" s="41">
        <v>0.523255814</v>
      </c>
      <c r="J2708" s="41">
        <v>0.174418605</v>
      </c>
      <c r="K2708" s="41">
        <v>0.302325581</v>
      </c>
      <c r="L2708" s="41"/>
      <c r="M2708" s="74">
        <v>0.112554083</v>
      </c>
    </row>
    <row r="2709">
      <c r="A2709" s="1" t="s">
        <v>320</v>
      </c>
      <c r="B2709" s="38">
        <v>681347.0</v>
      </c>
      <c r="C2709" s="72">
        <v>45921.0</v>
      </c>
      <c r="D2709" s="38">
        <v>72.0</v>
      </c>
      <c r="E2709" s="75"/>
      <c r="F2709" s="67">
        <v>5.03692104</v>
      </c>
      <c r="G2709" s="40">
        <v>1.622764531</v>
      </c>
      <c r="H2709" s="40"/>
      <c r="I2709" s="41">
        <v>0.402777778</v>
      </c>
      <c r="J2709" s="41">
        <v>0.208333333</v>
      </c>
      <c r="K2709" s="41">
        <v>0.388888889</v>
      </c>
      <c r="L2709" s="41"/>
      <c r="M2709" s="74">
        <v>-0.417490675</v>
      </c>
    </row>
    <row r="2710">
      <c r="A2710" s="1" t="s">
        <v>484</v>
      </c>
      <c r="B2710" s="38">
        <v>682847.0</v>
      </c>
      <c r="C2710" s="72">
        <v>45835.0</v>
      </c>
      <c r="D2710" s="38">
        <v>100.0</v>
      </c>
      <c r="E2710" s="75"/>
      <c r="F2710" s="67">
        <v>5.036686025</v>
      </c>
      <c r="G2710" s="40">
        <v>2.263169346</v>
      </c>
      <c r="H2710" s="40"/>
      <c r="I2710" s="41">
        <v>0.46</v>
      </c>
      <c r="J2710" s="41">
        <v>0.2</v>
      </c>
      <c r="K2710" s="41">
        <v>0.34</v>
      </c>
      <c r="L2710" s="41"/>
      <c r="M2710" s="74">
        <v>0.327718032</v>
      </c>
    </row>
    <row r="2711">
      <c r="A2711" s="1" t="s">
        <v>296</v>
      </c>
      <c r="B2711" s="38">
        <v>669372.0</v>
      </c>
      <c r="C2711" s="72">
        <v>45906.0</v>
      </c>
      <c r="D2711" s="38">
        <v>90.0</v>
      </c>
      <c r="E2711" s="75"/>
      <c r="F2711" s="67">
        <v>5.036497025</v>
      </c>
      <c r="G2711" s="40">
        <v>2.013388266</v>
      </c>
      <c r="H2711" s="40"/>
      <c r="I2711" s="41">
        <v>0.433333333</v>
      </c>
      <c r="J2711" s="41">
        <v>0.233333333</v>
      </c>
      <c r="K2711" s="41">
        <v>0.333333333</v>
      </c>
      <c r="L2711" s="41"/>
      <c r="M2711" s="74">
        <v>1.226110517</v>
      </c>
    </row>
    <row r="2712">
      <c r="A2712" s="1" t="s">
        <v>95</v>
      </c>
      <c r="B2712" s="38">
        <v>543243.0</v>
      </c>
      <c r="C2712" s="72">
        <v>45924.0</v>
      </c>
      <c r="D2712" s="38">
        <v>95.0</v>
      </c>
      <c r="E2712" s="75"/>
      <c r="F2712" s="67">
        <v>5.036280885</v>
      </c>
      <c r="G2712" s="40">
        <v>2.132941225</v>
      </c>
      <c r="H2712" s="40"/>
      <c r="I2712" s="41">
        <v>0.421052632</v>
      </c>
      <c r="J2712" s="41">
        <v>0.189473684</v>
      </c>
      <c r="K2712" s="41">
        <v>0.389473684</v>
      </c>
      <c r="L2712" s="41"/>
      <c r="M2712" s="74">
        <v>-1.750378448</v>
      </c>
    </row>
    <row r="2713">
      <c r="A2713" s="1" t="s">
        <v>281</v>
      </c>
      <c r="B2713" s="38">
        <v>622663.0</v>
      </c>
      <c r="C2713" s="72">
        <v>45743.0</v>
      </c>
      <c r="D2713" s="38">
        <v>98.0</v>
      </c>
      <c r="E2713" s="75"/>
      <c r="F2713" s="67">
        <v>5.036046247</v>
      </c>
      <c r="G2713" s="40">
        <v>2.195718463</v>
      </c>
      <c r="H2713" s="40"/>
      <c r="I2713" s="41">
        <v>0.5</v>
      </c>
      <c r="J2713" s="41">
        <v>0.163265306</v>
      </c>
      <c r="K2713" s="41">
        <v>0.336734694</v>
      </c>
      <c r="L2713" s="41"/>
      <c r="M2713" s="74">
        <v>1.818720159</v>
      </c>
    </row>
    <row r="2714">
      <c r="A2714" s="1" t="s">
        <v>374</v>
      </c>
      <c r="B2714" s="38">
        <v>683004.0</v>
      </c>
      <c r="C2714" s="72">
        <v>45774.0</v>
      </c>
      <c r="D2714" s="38">
        <v>74.0</v>
      </c>
      <c r="E2714" s="75"/>
      <c r="F2714" s="67">
        <v>5.03602463</v>
      </c>
      <c r="G2714" s="40">
        <v>1.636976574</v>
      </c>
      <c r="H2714" s="40"/>
      <c r="I2714" s="41">
        <v>0.513513514</v>
      </c>
      <c r="J2714" s="41">
        <v>0.148648649</v>
      </c>
      <c r="K2714" s="41">
        <v>0.337837838</v>
      </c>
      <c r="L2714" s="41"/>
      <c r="M2714" s="74">
        <v>1.479394683</v>
      </c>
    </row>
    <row r="2715">
      <c r="A2715" s="1" t="s">
        <v>220</v>
      </c>
      <c r="B2715" s="38">
        <v>663559.0</v>
      </c>
      <c r="C2715" s="72">
        <v>45873.0</v>
      </c>
      <c r="D2715" s="38">
        <v>87.0</v>
      </c>
      <c r="E2715" s="75"/>
      <c r="F2715" s="67">
        <v>5.035916128</v>
      </c>
      <c r="G2715" s="40">
        <v>1.95282757</v>
      </c>
      <c r="H2715" s="40"/>
      <c r="I2715" s="41">
        <v>0.390804598</v>
      </c>
      <c r="J2715" s="41">
        <v>0.218390805</v>
      </c>
      <c r="K2715" s="41">
        <v>0.390804598</v>
      </c>
      <c r="L2715" s="41"/>
      <c r="M2715" s="74">
        <v>-2.35834672</v>
      </c>
    </row>
    <row r="2716">
      <c r="A2716" s="1" t="s">
        <v>93</v>
      </c>
      <c r="B2716" s="38">
        <v>669194.0</v>
      </c>
      <c r="C2716" s="72">
        <v>45797.0</v>
      </c>
      <c r="D2716" s="38">
        <v>67.0</v>
      </c>
      <c r="E2716" s="75"/>
      <c r="F2716" s="67">
        <v>5.035849681</v>
      </c>
      <c r="G2716" s="40">
        <v>1.513965841</v>
      </c>
      <c r="H2716" s="40"/>
      <c r="I2716" s="41">
        <v>0.537313433</v>
      </c>
      <c r="J2716" s="41">
        <v>0.074626866</v>
      </c>
      <c r="K2716" s="41">
        <v>0.388059701</v>
      </c>
      <c r="L2716" s="41"/>
      <c r="M2716" s="74">
        <v>1.225059752</v>
      </c>
    </row>
    <row r="2717">
      <c r="A2717" s="1" t="s">
        <v>285</v>
      </c>
      <c r="B2717" s="38">
        <v>607074.0</v>
      </c>
      <c r="C2717" s="72">
        <v>45787.0</v>
      </c>
      <c r="D2717" s="38">
        <v>96.0</v>
      </c>
      <c r="E2717" s="75"/>
      <c r="F2717" s="67">
        <v>5.035650615</v>
      </c>
      <c r="G2717" s="40">
        <v>2.189646879</v>
      </c>
      <c r="H2717" s="40"/>
      <c r="I2717" s="41">
        <v>0.46875</v>
      </c>
      <c r="J2717" s="41">
        <v>0.1875</v>
      </c>
      <c r="K2717" s="41">
        <v>0.34375</v>
      </c>
      <c r="L2717" s="41"/>
      <c r="M2717" s="74">
        <v>-2.22047111</v>
      </c>
    </row>
    <row r="2718">
      <c r="A2718" s="1" t="s">
        <v>382</v>
      </c>
      <c r="B2718" s="38">
        <v>656288.0</v>
      </c>
      <c r="C2718" s="72">
        <v>45775.0</v>
      </c>
      <c r="D2718" s="38">
        <v>90.0</v>
      </c>
      <c r="E2718" s="75"/>
      <c r="F2718" s="67">
        <v>5.035524906</v>
      </c>
      <c r="G2718" s="40">
        <v>2.014734423</v>
      </c>
      <c r="H2718" s="40"/>
      <c r="I2718" s="41">
        <v>0.5</v>
      </c>
      <c r="J2718" s="41">
        <v>0.155555556</v>
      </c>
      <c r="K2718" s="41">
        <v>0.344444444</v>
      </c>
      <c r="L2718" s="41"/>
      <c r="M2718" s="74">
        <v>1.29289459</v>
      </c>
    </row>
    <row r="2719">
      <c r="A2719" s="1" t="s">
        <v>67</v>
      </c>
      <c r="B2719" s="38">
        <v>684007.0</v>
      </c>
      <c r="C2719" s="72">
        <v>45897.0</v>
      </c>
      <c r="D2719" s="38">
        <v>87.0</v>
      </c>
      <c r="E2719" s="75"/>
      <c r="F2719" s="67">
        <v>5.035354498</v>
      </c>
      <c r="G2719" s="40">
        <v>1.966161514</v>
      </c>
      <c r="H2719" s="40"/>
      <c r="I2719" s="41">
        <v>0.482758621</v>
      </c>
      <c r="J2719" s="41">
        <v>0.149425287</v>
      </c>
      <c r="K2719" s="41">
        <v>0.367816092</v>
      </c>
      <c r="L2719" s="41"/>
      <c r="M2719" s="74">
        <v>-0.852866994</v>
      </c>
    </row>
    <row r="2720">
      <c r="A2720" s="1" t="s">
        <v>166</v>
      </c>
      <c r="B2720" s="38">
        <v>608331.0</v>
      </c>
      <c r="C2720" s="72">
        <v>45850.0</v>
      </c>
      <c r="D2720" s="38">
        <v>71.0</v>
      </c>
      <c r="E2720" s="75"/>
      <c r="F2720" s="67">
        <v>5.035153393</v>
      </c>
      <c r="G2720" s="40">
        <v>1.587907237</v>
      </c>
      <c r="H2720" s="40"/>
      <c r="I2720" s="41">
        <v>0.436619718</v>
      </c>
      <c r="J2720" s="41">
        <v>0.154929577</v>
      </c>
      <c r="K2720" s="41">
        <v>0.408450704</v>
      </c>
      <c r="L2720" s="41"/>
      <c r="M2720" s="74">
        <v>-0.50762309</v>
      </c>
    </row>
    <row r="2721">
      <c r="A2721" s="1" t="s">
        <v>432</v>
      </c>
      <c r="B2721" s="38">
        <v>669467.0</v>
      </c>
      <c r="C2721" s="72">
        <v>45900.0</v>
      </c>
      <c r="D2721" s="38">
        <v>92.0</v>
      </c>
      <c r="E2721" s="75"/>
      <c r="F2721" s="67">
        <v>5.035120926</v>
      </c>
      <c r="G2721" s="40">
        <v>2.056818821</v>
      </c>
      <c r="H2721" s="40"/>
      <c r="I2721" s="41">
        <v>0.510869565</v>
      </c>
      <c r="J2721" s="41">
        <v>0.195652174</v>
      </c>
      <c r="K2721" s="41">
        <v>0.293478261</v>
      </c>
      <c r="L2721" s="41"/>
      <c r="M2721" s="74">
        <v>-0.797418706</v>
      </c>
    </row>
    <row r="2722">
      <c r="A2722" s="1" t="s">
        <v>228</v>
      </c>
      <c r="B2722" s="38">
        <v>687473.0</v>
      </c>
      <c r="C2722" s="72">
        <v>45849.0</v>
      </c>
      <c r="D2722" s="38">
        <v>67.0</v>
      </c>
      <c r="E2722" s="75"/>
      <c r="F2722" s="67">
        <v>5.034749351</v>
      </c>
      <c r="G2722" s="40">
        <v>1.495272906</v>
      </c>
      <c r="H2722" s="40"/>
      <c r="I2722" s="41">
        <v>0.432835821</v>
      </c>
      <c r="J2722" s="41">
        <v>0.28358209</v>
      </c>
      <c r="K2722" s="41">
        <v>0.28358209</v>
      </c>
      <c r="L2722" s="41"/>
      <c r="M2722" s="74">
        <v>-1.65065544</v>
      </c>
    </row>
    <row r="2723">
      <c r="A2723" s="1" t="s">
        <v>420</v>
      </c>
      <c r="B2723" s="38">
        <v>547179.0</v>
      </c>
      <c r="C2723" s="72">
        <v>45759.0</v>
      </c>
      <c r="D2723" s="38">
        <v>83.0</v>
      </c>
      <c r="E2723" s="75"/>
      <c r="F2723" s="67">
        <v>5.034476003</v>
      </c>
      <c r="G2723" s="40">
        <v>1.885044126</v>
      </c>
      <c r="H2723" s="40"/>
      <c r="I2723" s="41">
        <v>0.445783133</v>
      </c>
      <c r="J2723" s="41">
        <v>0.156626506</v>
      </c>
      <c r="K2723" s="41">
        <v>0.397590361</v>
      </c>
      <c r="L2723" s="41"/>
      <c r="M2723" s="74">
        <v>-2.00422004</v>
      </c>
    </row>
    <row r="2724">
      <c r="A2724" s="1" t="s">
        <v>253</v>
      </c>
      <c r="B2724" s="38">
        <v>701581.0</v>
      </c>
      <c r="C2724" s="72">
        <v>45770.0</v>
      </c>
      <c r="D2724" s="38">
        <v>81.0</v>
      </c>
      <c r="E2724" s="75"/>
      <c r="F2724" s="67">
        <v>5.034317665</v>
      </c>
      <c r="G2724" s="40">
        <v>1.810262148</v>
      </c>
      <c r="H2724" s="40"/>
      <c r="I2724" s="41">
        <v>0.444444444</v>
      </c>
      <c r="J2724" s="41">
        <v>0.222222222</v>
      </c>
      <c r="K2724" s="41">
        <v>0.333333333</v>
      </c>
      <c r="L2724" s="41"/>
      <c r="M2724" s="74">
        <v>0.636344261</v>
      </c>
    </row>
    <row r="2725">
      <c r="A2725" s="1" t="s">
        <v>330</v>
      </c>
      <c r="B2725" s="38">
        <v>680730.0</v>
      </c>
      <c r="C2725" s="72">
        <v>45809.0</v>
      </c>
      <c r="D2725" s="38">
        <v>62.0</v>
      </c>
      <c r="E2725" s="75"/>
      <c r="F2725" s="67">
        <v>5.033826928</v>
      </c>
      <c r="G2725" s="40">
        <v>1.435010244</v>
      </c>
      <c r="H2725" s="40"/>
      <c r="I2725" s="41">
        <v>0.483870968</v>
      </c>
      <c r="J2725" s="41">
        <v>0.177419355</v>
      </c>
      <c r="K2725" s="41">
        <v>0.338709677</v>
      </c>
      <c r="L2725" s="41"/>
      <c r="M2725" s="74">
        <v>0.314264786</v>
      </c>
    </row>
    <row r="2726">
      <c r="A2726" s="1" t="s">
        <v>218</v>
      </c>
      <c r="B2726" s="38">
        <v>669432.0</v>
      </c>
      <c r="C2726" s="72">
        <v>45919.0</v>
      </c>
      <c r="D2726" s="38">
        <v>105.0</v>
      </c>
      <c r="E2726" s="75"/>
      <c r="F2726" s="67">
        <v>5.033023163</v>
      </c>
      <c r="G2726" s="40">
        <v>2.313353486</v>
      </c>
      <c r="H2726" s="40"/>
      <c r="I2726" s="41">
        <v>0.466666667</v>
      </c>
      <c r="J2726" s="41">
        <v>0.228571429</v>
      </c>
      <c r="K2726" s="41">
        <v>0.304761905</v>
      </c>
      <c r="L2726" s="41"/>
      <c r="M2726" s="74">
        <v>5.666963806</v>
      </c>
    </row>
    <row r="2727">
      <c r="A2727" s="1" t="s">
        <v>491</v>
      </c>
      <c r="B2727" s="38">
        <v>650644.0</v>
      </c>
      <c r="C2727" s="72">
        <v>45896.0</v>
      </c>
      <c r="D2727" s="38">
        <v>81.0</v>
      </c>
      <c r="E2727" s="75"/>
      <c r="F2727" s="67">
        <v>5.032572935</v>
      </c>
      <c r="G2727" s="40">
        <v>1.79716023</v>
      </c>
      <c r="H2727" s="40"/>
      <c r="I2727" s="41">
        <v>0.358024691</v>
      </c>
      <c r="J2727" s="41">
        <v>0.308641975</v>
      </c>
      <c r="K2727" s="41">
        <v>0.333333333</v>
      </c>
      <c r="L2727" s="41"/>
      <c r="M2727" s="74">
        <v>0.486793327</v>
      </c>
    </row>
    <row r="2728">
      <c r="A2728" s="1" t="s">
        <v>437</v>
      </c>
      <c r="B2728" s="38">
        <v>695418.0</v>
      </c>
      <c r="C2728" s="72">
        <v>45778.0</v>
      </c>
      <c r="D2728" s="38">
        <v>66.0</v>
      </c>
      <c r="E2728" s="75"/>
      <c r="F2728" s="67">
        <v>5.032357695</v>
      </c>
      <c r="G2728" s="40">
        <v>1.514024522</v>
      </c>
      <c r="H2728" s="40"/>
      <c r="I2728" s="41">
        <v>0.409090909</v>
      </c>
      <c r="J2728" s="41">
        <v>0.272727273</v>
      </c>
      <c r="K2728" s="41">
        <v>0.318181818</v>
      </c>
      <c r="L2728" s="41"/>
      <c r="M2728" s="74">
        <v>-0.072909737</v>
      </c>
    </row>
    <row r="2729">
      <c r="A2729" s="1" t="s">
        <v>494</v>
      </c>
      <c r="B2729" s="38">
        <v>672782.0</v>
      </c>
      <c r="C2729" s="72">
        <v>45893.0</v>
      </c>
      <c r="D2729" s="38">
        <v>89.0</v>
      </c>
      <c r="E2729" s="75"/>
      <c r="F2729" s="67">
        <v>5.032186984</v>
      </c>
      <c r="G2729" s="40">
        <v>1.976209948</v>
      </c>
      <c r="H2729" s="40"/>
      <c r="I2729" s="41">
        <v>0.471910112</v>
      </c>
      <c r="J2729" s="41">
        <v>0.134831461</v>
      </c>
      <c r="K2729" s="41">
        <v>0.393258427</v>
      </c>
      <c r="L2729" s="41"/>
      <c r="M2729" s="74">
        <v>3.371405998</v>
      </c>
    </row>
    <row r="2730">
      <c r="A2730" s="1" t="s">
        <v>366</v>
      </c>
      <c r="B2730" s="38">
        <v>656550.0</v>
      </c>
      <c r="C2730" s="72">
        <v>45794.0</v>
      </c>
      <c r="D2730" s="38">
        <v>95.0</v>
      </c>
      <c r="E2730" s="75"/>
      <c r="F2730" s="67">
        <v>5.032176469</v>
      </c>
      <c r="G2730" s="40">
        <v>2.124601368</v>
      </c>
      <c r="H2730" s="40"/>
      <c r="I2730" s="41">
        <v>0.463157895</v>
      </c>
      <c r="J2730" s="41">
        <v>0.147368421</v>
      </c>
      <c r="K2730" s="41">
        <v>0.389473684</v>
      </c>
      <c r="L2730" s="41"/>
      <c r="M2730" s="74">
        <v>1.58867355</v>
      </c>
    </row>
    <row r="2731">
      <c r="A2731" s="1" t="s">
        <v>361</v>
      </c>
      <c r="B2731" s="38">
        <v>686563.0</v>
      </c>
      <c r="C2731" s="72">
        <v>45763.0</v>
      </c>
      <c r="D2731" s="38">
        <v>82.0</v>
      </c>
      <c r="E2731" s="75"/>
      <c r="F2731" s="67">
        <v>5.032035167</v>
      </c>
      <c r="G2731" s="40">
        <v>1.785956992</v>
      </c>
      <c r="H2731" s="40"/>
      <c r="I2731" s="41">
        <v>0.524390244</v>
      </c>
      <c r="J2731" s="41">
        <v>0.097560976</v>
      </c>
      <c r="K2731" s="41">
        <v>0.37804878</v>
      </c>
      <c r="L2731" s="41"/>
      <c r="M2731" s="74">
        <v>1.822811951</v>
      </c>
    </row>
    <row r="2732">
      <c r="A2732" s="1" t="s">
        <v>191</v>
      </c>
      <c r="B2732" s="38">
        <v>687064.0</v>
      </c>
      <c r="C2732" s="72">
        <v>45872.0</v>
      </c>
      <c r="D2732" s="38">
        <v>77.0</v>
      </c>
      <c r="E2732" s="75"/>
      <c r="F2732" s="67">
        <v>5.031961158</v>
      </c>
      <c r="G2732" s="40">
        <v>1.741541596</v>
      </c>
      <c r="H2732" s="40"/>
      <c r="I2732" s="41">
        <v>0.441558442</v>
      </c>
      <c r="J2732" s="41">
        <v>0.194805195</v>
      </c>
      <c r="K2732" s="41">
        <v>0.363636364</v>
      </c>
      <c r="L2732" s="41"/>
      <c r="M2732" s="74">
        <v>0.461999266</v>
      </c>
    </row>
    <row r="2733">
      <c r="A2733" s="1" t="s">
        <v>481</v>
      </c>
      <c r="B2733" s="38">
        <v>622608.0</v>
      </c>
      <c r="C2733" s="72">
        <v>45864.0</v>
      </c>
      <c r="D2733" s="38">
        <v>75.0</v>
      </c>
      <c r="E2733" s="75"/>
      <c r="F2733" s="67">
        <v>5.031924399</v>
      </c>
      <c r="G2733" s="40">
        <v>1.691617298</v>
      </c>
      <c r="H2733" s="40"/>
      <c r="I2733" s="41">
        <v>0.413333333</v>
      </c>
      <c r="J2733" s="41">
        <v>0.253333333</v>
      </c>
      <c r="K2733" s="41">
        <v>0.333333333</v>
      </c>
      <c r="L2733" s="41"/>
      <c r="M2733" s="74">
        <v>-0.839178649</v>
      </c>
    </row>
    <row r="2734">
      <c r="A2734" s="1" t="s">
        <v>164</v>
      </c>
      <c r="B2734" s="38">
        <v>669923.0</v>
      </c>
      <c r="C2734" s="72">
        <v>45822.0</v>
      </c>
      <c r="D2734" s="38">
        <v>100.0</v>
      </c>
      <c r="E2734" s="75"/>
      <c r="F2734" s="67">
        <v>5.031698</v>
      </c>
      <c r="G2734" s="40">
        <v>2.186320474</v>
      </c>
      <c r="H2734" s="40"/>
      <c r="I2734" s="41">
        <v>0.51</v>
      </c>
      <c r="J2734" s="41">
        <v>0.12</v>
      </c>
      <c r="K2734" s="41">
        <v>0.37</v>
      </c>
      <c r="L2734" s="41"/>
      <c r="M2734" s="74">
        <v>-0.018031903</v>
      </c>
    </row>
    <row r="2735">
      <c r="A2735" s="1" t="s">
        <v>423</v>
      </c>
      <c r="B2735" s="38">
        <v>656605.0</v>
      </c>
      <c r="C2735" s="72">
        <v>45818.0</v>
      </c>
      <c r="D2735" s="38">
        <v>96.0</v>
      </c>
      <c r="E2735" s="75"/>
      <c r="F2735" s="67">
        <v>5.031530049</v>
      </c>
      <c r="G2735" s="40">
        <v>2.186996276</v>
      </c>
      <c r="H2735" s="40"/>
      <c r="I2735" s="41">
        <v>0.427083333</v>
      </c>
      <c r="J2735" s="41">
        <v>0.166666667</v>
      </c>
      <c r="K2735" s="41">
        <v>0.40625</v>
      </c>
      <c r="L2735" s="41"/>
      <c r="M2735" s="74">
        <v>-1.574913346</v>
      </c>
    </row>
    <row r="2736">
      <c r="A2736" s="1" t="s">
        <v>425</v>
      </c>
      <c r="B2736" s="38">
        <v>621244.0</v>
      </c>
      <c r="C2736" s="72">
        <v>45801.0</v>
      </c>
      <c r="D2736" s="38">
        <v>92.0</v>
      </c>
      <c r="E2736" s="75"/>
      <c r="F2736" s="67">
        <v>5.031497192</v>
      </c>
      <c r="G2736" s="40">
        <v>2.056039401</v>
      </c>
      <c r="H2736" s="40"/>
      <c r="I2736" s="41">
        <v>0.445652174</v>
      </c>
      <c r="J2736" s="41">
        <v>0.217391304</v>
      </c>
      <c r="K2736" s="41">
        <v>0.336956522</v>
      </c>
      <c r="L2736" s="41"/>
      <c r="M2736" s="74">
        <v>2.187764402</v>
      </c>
    </row>
    <row r="2737">
      <c r="A2737" s="1" t="s">
        <v>561</v>
      </c>
      <c r="B2737" s="38">
        <v>687362.0</v>
      </c>
      <c r="C2737" s="72">
        <v>45767.0</v>
      </c>
      <c r="D2737" s="38">
        <v>90.0</v>
      </c>
      <c r="E2737" s="75"/>
      <c r="F2737" s="67">
        <v>5.031417844</v>
      </c>
      <c r="G2737" s="40">
        <v>2.033775849</v>
      </c>
      <c r="H2737" s="40"/>
      <c r="I2737" s="41">
        <v>0.544444444</v>
      </c>
      <c r="J2737" s="41">
        <v>0.144444444</v>
      </c>
      <c r="K2737" s="41">
        <v>0.311111111</v>
      </c>
      <c r="L2737" s="41"/>
      <c r="M2737" s="74">
        <v>-2.524413363</v>
      </c>
    </row>
    <row r="2738">
      <c r="A2738" s="1" t="s">
        <v>377</v>
      </c>
      <c r="B2738" s="38">
        <v>695549.0</v>
      </c>
      <c r="C2738" s="72">
        <v>45789.0</v>
      </c>
      <c r="D2738" s="38">
        <v>98.0</v>
      </c>
      <c r="E2738" s="75"/>
      <c r="F2738" s="67">
        <v>5.031118248</v>
      </c>
      <c r="G2738" s="40">
        <v>2.201965541</v>
      </c>
      <c r="H2738" s="40"/>
      <c r="I2738" s="41">
        <v>0.510204082</v>
      </c>
      <c r="J2738" s="41">
        <v>0.173469388</v>
      </c>
      <c r="K2738" s="41">
        <v>0.316326531</v>
      </c>
      <c r="L2738" s="41"/>
      <c r="M2738" s="74">
        <v>1.247552474</v>
      </c>
    </row>
    <row r="2739">
      <c r="A2739" s="1" t="s">
        <v>356</v>
      </c>
      <c r="B2739" s="38">
        <v>680732.0</v>
      </c>
      <c r="C2739" s="72">
        <v>45910.0</v>
      </c>
      <c r="D2739" s="38">
        <v>67.0</v>
      </c>
      <c r="E2739" s="75"/>
      <c r="F2739" s="67">
        <v>5.031017134</v>
      </c>
      <c r="G2739" s="40">
        <v>1.542821842</v>
      </c>
      <c r="H2739" s="40"/>
      <c r="I2739" s="41">
        <v>0.47761194</v>
      </c>
      <c r="J2739" s="41">
        <v>0.179104478</v>
      </c>
      <c r="K2739" s="41">
        <v>0.343283582</v>
      </c>
      <c r="L2739" s="41"/>
      <c r="M2739" s="74">
        <v>-2.069639799</v>
      </c>
    </row>
    <row r="2740">
      <c r="A2740" s="1" t="s">
        <v>496</v>
      </c>
      <c r="B2740" s="38">
        <v>694477.0</v>
      </c>
      <c r="C2740" s="72">
        <v>45837.0</v>
      </c>
      <c r="D2740" s="38">
        <v>97.0</v>
      </c>
      <c r="E2740" s="75"/>
      <c r="F2740" s="67">
        <v>5.030781774</v>
      </c>
      <c r="G2740" s="40">
        <v>2.160165322</v>
      </c>
      <c r="H2740" s="40"/>
      <c r="I2740" s="41">
        <v>0.443298969</v>
      </c>
      <c r="J2740" s="41">
        <v>0.12371134</v>
      </c>
      <c r="K2740" s="41">
        <v>0.432989691</v>
      </c>
      <c r="L2740" s="41"/>
      <c r="M2740" s="74">
        <v>1.217040424</v>
      </c>
    </row>
    <row r="2741">
      <c r="A2741" s="1" t="s">
        <v>218</v>
      </c>
      <c r="B2741" s="38">
        <v>669432.0</v>
      </c>
      <c r="C2741" s="72">
        <v>45826.0</v>
      </c>
      <c r="D2741" s="38">
        <v>70.0</v>
      </c>
      <c r="E2741" s="75"/>
      <c r="F2741" s="67">
        <v>5.030714381</v>
      </c>
      <c r="G2741" s="40">
        <v>1.575839104</v>
      </c>
      <c r="H2741" s="40"/>
      <c r="I2741" s="41">
        <v>0.485714286</v>
      </c>
      <c r="J2741" s="41">
        <v>0.142857143</v>
      </c>
      <c r="K2741" s="41">
        <v>0.371428571</v>
      </c>
      <c r="L2741" s="41"/>
      <c r="M2741" s="74">
        <v>-0.457123833</v>
      </c>
    </row>
    <row r="2742">
      <c r="A2742" s="1" t="s">
        <v>263</v>
      </c>
      <c r="B2742" s="38">
        <v>694297.0</v>
      </c>
      <c r="C2742" s="72">
        <v>45802.0</v>
      </c>
      <c r="D2742" s="38">
        <v>90.0</v>
      </c>
      <c r="E2742" s="75"/>
      <c r="F2742" s="67">
        <v>5.030556341</v>
      </c>
      <c r="G2742" s="40">
        <v>2.046727374</v>
      </c>
      <c r="H2742" s="40"/>
      <c r="I2742" s="41">
        <v>0.444444444</v>
      </c>
      <c r="J2742" s="41">
        <v>0.166666667</v>
      </c>
      <c r="K2742" s="41">
        <v>0.388888889</v>
      </c>
      <c r="L2742" s="41"/>
      <c r="M2742" s="74">
        <v>-0.528998049</v>
      </c>
    </row>
    <row r="2743">
      <c r="A2743" s="1" t="s">
        <v>119</v>
      </c>
      <c r="B2743" s="38">
        <v>669456.0</v>
      </c>
      <c r="C2743" s="72">
        <v>45914.0</v>
      </c>
      <c r="D2743" s="38">
        <v>95.0</v>
      </c>
      <c r="E2743" s="75"/>
      <c r="F2743" s="67">
        <v>5.030359831</v>
      </c>
      <c r="G2743" s="40">
        <v>2.111631958</v>
      </c>
      <c r="H2743" s="40"/>
      <c r="I2743" s="41">
        <v>0.431578947</v>
      </c>
      <c r="J2743" s="41">
        <v>0.2</v>
      </c>
      <c r="K2743" s="41">
        <v>0.368421053</v>
      </c>
      <c r="L2743" s="41"/>
      <c r="M2743" s="74">
        <v>1.542748177</v>
      </c>
    </row>
    <row r="2744">
      <c r="A2744" s="1" t="s">
        <v>353</v>
      </c>
      <c r="B2744" s="38">
        <v>663903.0</v>
      </c>
      <c r="C2744" s="72">
        <v>45764.0</v>
      </c>
      <c r="D2744" s="38">
        <v>92.0</v>
      </c>
      <c r="E2744" s="75"/>
      <c r="F2744" s="67">
        <v>5.030359336</v>
      </c>
      <c r="G2744" s="40">
        <v>2.053391231</v>
      </c>
      <c r="H2744" s="40"/>
      <c r="I2744" s="41">
        <v>0.489130435</v>
      </c>
      <c r="J2744" s="41">
        <v>0.130434783</v>
      </c>
      <c r="K2744" s="41">
        <v>0.380434783</v>
      </c>
      <c r="L2744" s="41"/>
      <c r="M2744" s="74">
        <v>-0.813145195</v>
      </c>
    </row>
    <row r="2745">
      <c r="A2745" s="1" t="s">
        <v>173</v>
      </c>
      <c r="B2745" s="38">
        <v>641927.0</v>
      </c>
      <c r="C2745" s="72">
        <v>45901.0</v>
      </c>
      <c r="D2745" s="38">
        <v>67.0</v>
      </c>
      <c r="E2745" s="75"/>
      <c r="F2745" s="67">
        <v>5.030155295</v>
      </c>
      <c r="G2745" s="40">
        <v>1.532553007</v>
      </c>
      <c r="H2745" s="40"/>
      <c r="I2745" s="41">
        <v>0.447761194</v>
      </c>
      <c r="J2745" s="41">
        <v>0.179104478</v>
      </c>
      <c r="K2745" s="41">
        <v>0.373134328</v>
      </c>
      <c r="L2745" s="41"/>
      <c r="M2745" s="74">
        <v>-2.219583656</v>
      </c>
    </row>
    <row r="2746">
      <c r="A2746" s="1" t="s">
        <v>372</v>
      </c>
      <c r="B2746" s="38">
        <v>671106.0</v>
      </c>
      <c r="C2746" s="72">
        <v>45867.0</v>
      </c>
      <c r="D2746" s="38">
        <v>111.0</v>
      </c>
      <c r="E2746" s="75"/>
      <c r="F2746" s="67">
        <v>5.029884244</v>
      </c>
      <c r="G2746" s="40">
        <v>2.511028211</v>
      </c>
      <c r="H2746" s="40"/>
      <c r="I2746" s="41">
        <v>0.459459459</v>
      </c>
      <c r="J2746" s="41">
        <v>0.18018018</v>
      </c>
      <c r="K2746" s="41">
        <v>0.36036036</v>
      </c>
      <c r="L2746" s="41"/>
      <c r="M2746" s="74">
        <v>-1.268117924</v>
      </c>
    </row>
    <row r="2747">
      <c r="A2747" s="1" t="s">
        <v>335</v>
      </c>
      <c r="B2747" s="38">
        <v>663436.0</v>
      </c>
      <c r="C2747" s="72">
        <v>45919.0</v>
      </c>
      <c r="D2747" s="38">
        <v>74.0</v>
      </c>
      <c r="E2747" s="75"/>
      <c r="F2747" s="67">
        <v>5.029863637</v>
      </c>
      <c r="G2747" s="40">
        <v>1.684271374</v>
      </c>
      <c r="H2747" s="40"/>
      <c r="I2747" s="41">
        <v>0.486486486</v>
      </c>
      <c r="J2747" s="41">
        <v>0.175675676</v>
      </c>
      <c r="K2747" s="41">
        <v>0.337837838</v>
      </c>
      <c r="L2747" s="41"/>
      <c r="M2747" s="74">
        <v>-0.221258978</v>
      </c>
    </row>
    <row r="2748">
      <c r="A2748" s="1" t="s">
        <v>325</v>
      </c>
      <c r="B2748" s="38">
        <v>676917.0</v>
      </c>
      <c r="C2748" s="72">
        <v>45920.0</v>
      </c>
      <c r="D2748" s="38">
        <v>74.0</v>
      </c>
      <c r="E2748" s="75"/>
      <c r="F2748" s="67">
        <v>5.029625502</v>
      </c>
      <c r="G2748" s="40">
        <v>1.679814211</v>
      </c>
      <c r="H2748" s="40"/>
      <c r="I2748" s="41">
        <v>0.459459459</v>
      </c>
      <c r="J2748" s="41">
        <v>0.216216216</v>
      </c>
      <c r="K2748" s="41">
        <v>0.324324324</v>
      </c>
      <c r="L2748" s="41"/>
      <c r="M2748" s="74">
        <v>0.470019743</v>
      </c>
    </row>
    <row r="2749">
      <c r="A2749" s="1" t="s">
        <v>376</v>
      </c>
      <c r="B2749" s="38">
        <v>668909.0</v>
      </c>
      <c r="C2749" s="72">
        <v>45815.0</v>
      </c>
      <c r="D2749" s="38">
        <v>86.0</v>
      </c>
      <c r="E2749" s="75"/>
      <c r="F2749" s="67">
        <v>5.029560266</v>
      </c>
      <c r="G2749" s="40">
        <v>1.954697741</v>
      </c>
      <c r="H2749" s="40"/>
      <c r="I2749" s="41">
        <v>0.406976744</v>
      </c>
      <c r="J2749" s="41">
        <v>0.209302326</v>
      </c>
      <c r="K2749" s="41">
        <v>0.38372093</v>
      </c>
      <c r="L2749" s="41"/>
      <c r="M2749" s="74">
        <v>-0.469347029</v>
      </c>
    </row>
    <row r="2750">
      <c r="A2750" s="1" t="s">
        <v>336</v>
      </c>
      <c r="B2750" s="38">
        <v>605488.0</v>
      </c>
      <c r="C2750" s="72">
        <v>45916.0</v>
      </c>
      <c r="D2750" s="38">
        <v>64.0</v>
      </c>
      <c r="E2750" s="75"/>
      <c r="F2750" s="67">
        <v>5.029463601</v>
      </c>
      <c r="G2750" s="40">
        <v>1.442236039</v>
      </c>
      <c r="H2750" s="40"/>
      <c r="I2750" s="41">
        <v>0.5</v>
      </c>
      <c r="J2750" s="41">
        <v>0.171875</v>
      </c>
      <c r="K2750" s="41">
        <v>0.328125</v>
      </c>
      <c r="L2750" s="41"/>
      <c r="M2750" s="74">
        <v>-2.1937939</v>
      </c>
    </row>
    <row r="2751">
      <c r="A2751" s="1" t="s">
        <v>450</v>
      </c>
      <c r="B2751" s="38">
        <v>682990.0</v>
      </c>
      <c r="C2751" s="72">
        <v>45762.0</v>
      </c>
      <c r="D2751" s="38">
        <v>83.0</v>
      </c>
      <c r="E2751" s="75"/>
      <c r="F2751" s="67">
        <v>5.029450547</v>
      </c>
      <c r="G2751" s="40">
        <v>1.830182577</v>
      </c>
      <c r="H2751" s="40"/>
      <c r="I2751" s="41">
        <v>0.493975904</v>
      </c>
      <c r="J2751" s="41">
        <v>0.144578313</v>
      </c>
      <c r="K2751" s="41">
        <v>0.361445783</v>
      </c>
      <c r="L2751" s="41"/>
      <c r="M2751" s="74">
        <v>5.142726149</v>
      </c>
    </row>
    <row r="2752">
      <c r="A2752" s="1" t="s">
        <v>416</v>
      </c>
      <c r="B2752" s="38">
        <v>608337.0</v>
      </c>
      <c r="C2752" s="72">
        <v>45884.0</v>
      </c>
      <c r="D2752" s="38">
        <v>87.0</v>
      </c>
      <c r="E2752" s="75"/>
      <c r="F2752" s="67">
        <v>5.029332633</v>
      </c>
      <c r="G2752" s="40">
        <v>1.969722197</v>
      </c>
      <c r="H2752" s="40"/>
      <c r="I2752" s="41">
        <v>0.448275862</v>
      </c>
      <c r="J2752" s="41">
        <v>0.195402299</v>
      </c>
      <c r="K2752" s="41">
        <v>0.356321839</v>
      </c>
      <c r="L2752" s="41"/>
      <c r="M2752" s="74">
        <v>-2.503338298</v>
      </c>
    </row>
    <row r="2753">
      <c r="A2753" s="1" t="s">
        <v>415</v>
      </c>
      <c r="B2753" s="38">
        <v>656794.0</v>
      </c>
      <c r="C2753" s="72">
        <v>45783.0</v>
      </c>
      <c r="D2753" s="38">
        <v>76.0</v>
      </c>
      <c r="E2753" s="75"/>
      <c r="F2753" s="67">
        <v>5.029243871</v>
      </c>
      <c r="G2753" s="40">
        <v>1.681357719</v>
      </c>
      <c r="H2753" s="40"/>
      <c r="I2753" s="41">
        <v>0.486842105</v>
      </c>
      <c r="J2753" s="41">
        <v>0.118421053</v>
      </c>
      <c r="K2753" s="41">
        <v>0.394736842</v>
      </c>
      <c r="L2753" s="41"/>
      <c r="M2753" s="74">
        <v>0.471779725</v>
      </c>
    </row>
    <row r="2754">
      <c r="A2754" s="1" t="s">
        <v>303</v>
      </c>
      <c r="B2754" s="38">
        <v>592662.0</v>
      </c>
      <c r="C2754" s="72">
        <v>45808.0</v>
      </c>
      <c r="D2754" s="38">
        <v>95.0</v>
      </c>
      <c r="E2754" s="75"/>
      <c r="F2754" s="67">
        <v>5.029229495</v>
      </c>
      <c r="G2754" s="40">
        <v>2.155981479</v>
      </c>
      <c r="H2754" s="40"/>
      <c r="I2754" s="41">
        <v>0.473684211</v>
      </c>
      <c r="J2754" s="41">
        <v>0.189473684</v>
      </c>
      <c r="K2754" s="41">
        <v>0.336842105</v>
      </c>
      <c r="L2754" s="41"/>
      <c r="M2754" s="74">
        <v>3.001650509</v>
      </c>
    </row>
    <row r="2755">
      <c r="A2755" s="1" t="s">
        <v>432</v>
      </c>
      <c r="B2755" s="38">
        <v>669467.0</v>
      </c>
      <c r="C2755" s="72">
        <v>45866.0</v>
      </c>
      <c r="D2755" s="38">
        <v>80.0</v>
      </c>
      <c r="E2755" s="75"/>
      <c r="F2755" s="67">
        <v>5.028782011</v>
      </c>
      <c r="G2755" s="40">
        <v>1.802519663</v>
      </c>
      <c r="H2755" s="40"/>
      <c r="I2755" s="41">
        <v>0.4125</v>
      </c>
      <c r="J2755" s="41">
        <v>0.2375</v>
      </c>
      <c r="K2755" s="41">
        <v>0.35</v>
      </c>
      <c r="L2755" s="41"/>
      <c r="M2755" s="74">
        <v>3.594753828</v>
      </c>
    </row>
    <row r="2756">
      <c r="A2756" s="1" t="s">
        <v>423</v>
      </c>
      <c r="B2756" s="38">
        <v>656605.0</v>
      </c>
      <c r="C2756" s="72">
        <v>45860.0</v>
      </c>
      <c r="D2756" s="38">
        <v>87.0</v>
      </c>
      <c r="E2756" s="75"/>
      <c r="F2756" s="67">
        <v>5.028702253</v>
      </c>
      <c r="G2756" s="40">
        <v>2.017976116</v>
      </c>
      <c r="H2756" s="40"/>
      <c r="I2756" s="41">
        <v>0.448275862</v>
      </c>
      <c r="J2756" s="41">
        <v>0.229885057</v>
      </c>
      <c r="K2756" s="41">
        <v>0.32183908</v>
      </c>
      <c r="L2756" s="41"/>
      <c r="M2756" s="74">
        <v>0.334674013</v>
      </c>
    </row>
    <row r="2757">
      <c r="A2757" s="1" t="s">
        <v>176</v>
      </c>
      <c r="B2757" s="38">
        <v>686218.0</v>
      </c>
      <c r="C2757" s="72">
        <v>45921.0</v>
      </c>
      <c r="D2757" s="38">
        <v>82.0</v>
      </c>
      <c r="E2757" s="75"/>
      <c r="F2757" s="67">
        <v>5.028620935</v>
      </c>
      <c r="G2757" s="40">
        <v>1.883063263</v>
      </c>
      <c r="H2757" s="40"/>
      <c r="I2757" s="41">
        <v>0.463414634</v>
      </c>
      <c r="J2757" s="41">
        <v>0.134146341</v>
      </c>
      <c r="K2757" s="41">
        <v>0.402439024</v>
      </c>
      <c r="L2757" s="41"/>
      <c r="M2757" s="74">
        <v>3.51076241</v>
      </c>
    </row>
    <row r="2758">
      <c r="A2758" s="1" t="s">
        <v>323</v>
      </c>
      <c r="B2758" s="38">
        <v>691587.0</v>
      </c>
      <c r="C2758" s="72">
        <v>45859.0</v>
      </c>
      <c r="D2758" s="38">
        <v>81.0</v>
      </c>
      <c r="E2758" s="75"/>
      <c r="F2758" s="67">
        <v>5.02858787</v>
      </c>
      <c r="G2758" s="40">
        <v>1.826243593</v>
      </c>
      <c r="H2758" s="40"/>
      <c r="I2758" s="41">
        <v>0.49382716</v>
      </c>
      <c r="J2758" s="41">
        <v>0.160493827</v>
      </c>
      <c r="K2758" s="41">
        <v>0.345679012</v>
      </c>
      <c r="L2758" s="41"/>
      <c r="M2758" s="74">
        <v>-1.595121017</v>
      </c>
    </row>
    <row r="2759">
      <c r="A2759" s="1" t="s">
        <v>302</v>
      </c>
      <c r="B2759" s="38">
        <v>681190.0</v>
      </c>
      <c r="C2759" s="72">
        <v>45786.0</v>
      </c>
      <c r="D2759" s="38">
        <v>93.0</v>
      </c>
      <c r="E2759" s="75"/>
      <c r="F2759" s="67">
        <v>5.028560318</v>
      </c>
      <c r="G2759" s="40">
        <v>2.107224405</v>
      </c>
      <c r="H2759" s="40"/>
      <c r="I2759" s="41">
        <v>0.462365591</v>
      </c>
      <c r="J2759" s="41">
        <v>0.161290323</v>
      </c>
      <c r="K2759" s="41">
        <v>0.376344086</v>
      </c>
      <c r="L2759" s="41"/>
      <c r="M2759" s="74">
        <v>0.948063382</v>
      </c>
    </row>
    <row r="2760">
      <c r="A2760" s="1" t="s">
        <v>336</v>
      </c>
      <c r="B2760" s="38">
        <v>605488.0</v>
      </c>
      <c r="C2760" s="72">
        <v>45846.0</v>
      </c>
      <c r="D2760" s="38">
        <v>87.0</v>
      </c>
      <c r="E2760" s="75"/>
      <c r="F2760" s="67">
        <v>5.02851387</v>
      </c>
      <c r="G2760" s="40">
        <v>1.948752651</v>
      </c>
      <c r="H2760" s="40"/>
      <c r="I2760" s="41">
        <v>0.482758621</v>
      </c>
      <c r="J2760" s="41">
        <v>0.126436782</v>
      </c>
      <c r="K2760" s="41">
        <v>0.390804598</v>
      </c>
      <c r="L2760" s="41"/>
      <c r="M2760" s="74">
        <v>0.086546283</v>
      </c>
    </row>
    <row r="2761">
      <c r="A2761" s="1" t="s">
        <v>195</v>
      </c>
      <c r="B2761" s="38">
        <v>668678.0</v>
      </c>
      <c r="C2761" s="72">
        <v>45772.0</v>
      </c>
      <c r="D2761" s="38">
        <v>101.0</v>
      </c>
      <c r="E2761" s="75"/>
      <c r="F2761" s="67">
        <v>5.027932818</v>
      </c>
      <c r="G2761" s="40">
        <v>2.283453427</v>
      </c>
      <c r="H2761" s="40"/>
      <c r="I2761" s="41">
        <v>0.445544554</v>
      </c>
      <c r="J2761" s="41">
        <v>0.227722772</v>
      </c>
      <c r="K2761" s="41">
        <v>0.326732673</v>
      </c>
      <c r="L2761" s="41"/>
      <c r="M2761" s="74">
        <v>2.072348356</v>
      </c>
    </row>
    <row r="2762">
      <c r="A2762" s="1" t="s">
        <v>95</v>
      </c>
      <c r="B2762" s="38">
        <v>543243.0</v>
      </c>
      <c r="C2762" s="72">
        <v>45913.0</v>
      </c>
      <c r="D2762" s="38">
        <v>94.0</v>
      </c>
      <c r="E2762" s="75"/>
      <c r="F2762" s="67">
        <v>5.027808843</v>
      </c>
      <c r="G2762" s="40">
        <v>2.088624045</v>
      </c>
      <c r="H2762" s="40"/>
      <c r="I2762" s="41">
        <v>0.468085106</v>
      </c>
      <c r="J2762" s="41">
        <v>0.191489362</v>
      </c>
      <c r="K2762" s="41">
        <v>0.340425532</v>
      </c>
      <c r="L2762" s="41"/>
      <c r="M2762" s="74">
        <v>1.165174597</v>
      </c>
    </row>
    <row r="2763">
      <c r="A2763" s="1" t="s">
        <v>129</v>
      </c>
      <c r="B2763" s="38">
        <v>686752.0</v>
      </c>
      <c r="C2763" s="72">
        <v>45893.0</v>
      </c>
      <c r="D2763" s="38">
        <v>63.0</v>
      </c>
      <c r="E2763" s="75"/>
      <c r="F2763" s="67">
        <v>5.027675237</v>
      </c>
      <c r="G2763" s="40">
        <v>1.435829961</v>
      </c>
      <c r="H2763" s="40"/>
      <c r="I2763" s="41">
        <v>0.492063492</v>
      </c>
      <c r="J2763" s="41">
        <v>0.158730159</v>
      </c>
      <c r="K2763" s="41">
        <v>0.349206349</v>
      </c>
      <c r="L2763" s="41"/>
      <c r="M2763" s="74">
        <v>2.390512685</v>
      </c>
    </row>
    <row r="2764">
      <c r="A2764" s="1" t="s">
        <v>180</v>
      </c>
      <c r="B2764" s="38">
        <v>642547.0</v>
      </c>
      <c r="C2764" s="72">
        <v>45881.0</v>
      </c>
      <c r="D2764" s="38">
        <v>89.0</v>
      </c>
      <c r="E2764" s="75"/>
      <c r="F2764" s="67">
        <v>5.027469016</v>
      </c>
      <c r="G2764" s="40">
        <v>1.989483577</v>
      </c>
      <c r="H2764" s="40"/>
      <c r="I2764" s="41">
        <v>0.449438202</v>
      </c>
      <c r="J2764" s="41">
        <v>0.146067416</v>
      </c>
      <c r="K2764" s="41">
        <v>0.404494382</v>
      </c>
      <c r="L2764" s="41"/>
      <c r="M2764" s="74">
        <v>0.965576372</v>
      </c>
    </row>
    <row r="2765">
      <c r="A2765" s="1" t="s">
        <v>307</v>
      </c>
      <c r="B2765" s="38">
        <v>656849.0</v>
      </c>
      <c r="C2765" s="72">
        <v>45905.0</v>
      </c>
      <c r="D2765" s="38">
        <v>89.0</v>
      </c>
      <c r="E2765" s="75"/>
      <c r="F2765" s="67">
        <v>5.027435847</v>
      </c>
      <c r="G2765" s="40">
        <v>1.996275531</v>
      </c>
      <c r="H2765" s="40"/>
      <c r="I2765" s="41">
        <v>0.426966292</v>
      </c>
      <c r="J2765" s="41">
        <v>0.213483146</v>
      </c>
      <c r="K2765" s="41">
        <v>0.359550562</v>
      </c>
      <c r="L2765" s="41"/>
      <c r="M2765" s="74">
        <v>-1.088710953</v>
      </c>
    </row>
    <row r="2766">
      <c r="A2766" s="1" t="s">
        <v>313</v>
      </c>
      <c r="B2766" s="38">
        <v>607067.0</v>
      </c>
      <c r="C2766" s="72">
        <v>45783.0</v>
      </c>
      <c r="D2766" s="38">
        <v>91.0</v>
      </c>
      <c r="E2766" s="75"/>
      <c r="F2766" s="67">
        <v>5.027375374</v>
      </c>
      <c r="G2766" s="40">
        <v>2.086049982</v>
      </c>
      <c r="H2766" s="40"/>
      <c r="I2766" s="41">
        <v>0.428571429</v>
      </c>
      <c r="J2766" s="41">
        <v>0.241758242</v>
      </c>
      <c r="K2766" s="41">
        <v>0.32967033</v>
      </c>
      <c r="L2766" s="41"/>
      <c r="M2766" s="74">
        <v>-2.146202632</v>
      </c>
    </row>
    <row r="2767">
      <c r="A2767" s="1" t="s">
        <v>330</v>
      </c>
      <c r="B2767" s="38">
        <v>680730.0</v>
      </c>
      <c r="C2767" s="72">
        <v>45915.0</v>
      </c>
      <c r="D2767" s="38">
        <v>84.0</v>
      </c>
      <c r="E2767" s="75"/>
      <c r="F2767" s="67">
        <v>5.027269049</v>
      </c>
      <c r="G2767" s="40">
        <v>1.882423969</v>
      </c>
      <c r="H2767" s="40"/>
      <c r="I2767" s="41">
        <v>0.416666667</v>
      </c>
      <c r="J2767" s="41">
        <v>0.19047619</v>
      </c>
      <c r="K2767" s="41">
        <v>0.392857143</v>
      </c>
      <c r="L2767" s="41"/>
      <c r="M2767" s="74">
        <v>-3.128100295</v>
      </c>
    </row>
    <row r="2768">
      <c r="A2768" s="1" t="s">
        <v>464</v>
      </c>
      <c r="B2768" s="38">
        <v>615698.0</v>
      </c>
      <c r="C2768" s="72">
        <v>45789.0</v>
      </c>
      <c r="D2768" s="38">
        <v>80.0</v>
      </c>
      <c r="E2768" s="75"/>
      <c r="F2768" s="67">
        <v>5.027009587</v>
      </c>
      <c r="G2768" s="40">
        <v>1.810588197</v>
      </c>
      <c r="H2768" s="40"/>
      <c r="I2768" s="41">
        <v>0.4</v>
      </c>
      <c r="J2768" s="41">
        <v>0.2625</v>
      </c>
      <c r="K2768" s="41">
        <v>0.3375</v>
      </c>
      <c r="L2768" s="41"/>
      <c r="M2768" s="74">
        <v>1.480119831</v>
      </c>
    </row>
    <row r="2769">
      <c r="A2769" s="1" t="s">
        <v>232</v>
      </c>
      <c r="B2769" s="38">
        <v>579328.0</v>
      </c>
      <c r="C2769" s="72">
        <v>45811.0</v>
      </c>
      <c r="D2769" s="38">
        <v>98.0</v>
      </c>
      <c r="E2769" s="75"/>
      <c r="F2769" s="67">
        <v>5.026984446</v>
      </c>
      <c r="G2769" s="40">
        <v>2.223580139</v>
      </c>
      <c r="H2769" s="40"/>
      <c r="I2769" s="41">
        <v>0.530612245</v>
      </c>
      <c r="J2769" s="41">
        <v>0.12244898</v>
      </c>
      <c r="K2769" s="41">
        <v>0.346938776</v>
      </c>
      <c r="L2769" s="41"/>
      <c r="M2769" s="74">
        <v>-3.859924808</v>
      </c>
    </row>
    <row r="2770">
      <c r="A2770" s="1" t="s">
        <v>161</v>
      </c>
      <c r="B2770" s="38">
        <v>702070.0</v>
      </c>
      <c r="C2770" s="72">
        <v>45926.0</v>
      </c>
      <c r="D2770" s="38">
        <v>90.0</v>
      </c>
      <c r="E2770" s="75"/>
      <c r="F2770" s="67">
        <v>5.026772536</v>
      </c>
      <c r="G2770" s="40">
        <v>2.025940222</v>
      </c>
      <c r="H2770" s="40"/>
      <c r="I2770" s="41">
        <v>0.433333333</v>
      </c>
      <c r="J2770" s="41">
        <v>0.155555556</v>
      </c>
      <c r="K2770" s="41">
        <v>0.411111111</v>
      </c>
      <c r="L2770" s="41"/>
      <c r="M2770" s="74">
        <v>0.41370708</v>
      </c>
    </row>
    <row r="2771">
      <c r="A2771" s="1" t="s">
        <v>260</v>
      </c>
      <c r="B2771" s="38">
        <v>694462.0</v>
      </c>
      <c r="C2771" s="72">
        <v>45900.0</v>
      </c>
      <c r="D2771" s="38">
        <v>100.0</v>
      </c>
      <c r="E2771" s="75"/>
      <c r="F2771" s="67">
        <v>5.026726185</v>
      </c>
      <c r="G2771" s="40">
        <v>2.252994131</v>
      </c>
      <c r="H2771" s="40"/>
      <c r="I2771" s="41">
        <v>0.44</v>
      </c>
      <c r="J2771" s="41">
        <v>0.19</v>
      </c>
      <c r="K2771" s="41">
        <v>0.37</v>
      </c>
      <c r="L2771" s="41"/>
      <c r="M2771" s="74">
        <v>2.010755811</v>
      </c>
    </row>
    <row r="2772">
      <c r="A2772" s="1" t="s">
        <v>147</v>
      </c>
      <c r="B2772" s="38">
        <v>608379.0</v>
      </c>
      <c r="C2772" s="72">
        <v>45757.0</v>
      </c>
      <c r="D2772" s="38">
        <v>87.0</v>
      </c>
      <c r="E2772" s="75"/>
      <c r="F2772" s="67">
        <v>5.026638799</v>
      </c>
      <c r="G2772" s="40">
        <v>1.981755798</v>
      </c>
      <c r="H2772" s="40"/>
      <c r="I2772" s="41">
        <v>0.471264368</v>
      </c>
      <c r="J2772" s="41">
        <v>0.149425287</v>
      </c>
      <c r="K2772" s="41">
        <v>0.379310345</v>
      </c>
      <c r="L2772" s="41"/>
      <c r="M2772" s="74">
        <v>1.739850665</v>
      </c>
    </row>
    <row r="2773">
      <c r="A2773" s="1" t="s">
        <v>434</v>
      </c>
      <c r="B2773" s="38">
        <v>690990.0</v>
      </c>
      <c r="C2773" s="72">
        <v>45847.0</v>
      </c>
      <c r="D2773" s="38">
        <v>93.0</v>
      </c>
      <c r="E2773" s="75"/>
      <c r="F2773" s="67">
        <v>5.026577942</v>
      </c>
      <c r="G2773" s="40">
        <v>2.11121335</v>
      </c>
      <c r="H2773" s="40"/>
      <c r="I2773" s="41">
        <v>0.440860215</v>
      </c>
      <c r="J2773" s="41">
        <v>0.225806452</v>
      </c>
      <c r="K2773" s="41">
        <v>0.333333333</v>
      </c>
      <c r="L2773" s="41"/>
      <c r="M2773" s="74">
        <v>-1.393058551</v>
      </c>
    </row>
    <row r="2774">
      <c r="A2774" s="1" t="s">
        <v>226</v>
      </c>
      <c r="B2774" s="38">
        <v>607259.0</v>
      </c>
      <c r="C2774" s="72">
        <v>45809.0</v>
      </c>
      <c r="D2774" s="38">
        <v>88.0</v>
      </c>
      <c r="E2774" s="75"/>
      <c r="F2774" s="67">
        <v>5.026503346</v>
      </c>
      <c r="G2774" s="40">
        <v>1.995173904</v>
      </c>
      <c r="H2774" s="40"/>
      <c r="I2774" s="41">
        <v>0.409090909</v>
      </c>
      <c r="J2774" s="41">
        <v>0.284090909</v>
      </c>
      <c r="K2774" s="41">
        <v>0.306818182</v>
      </c>
      <c r="L2774" s="41"/>
      <c r="M2774" s="74">
        <v>-0.875088875</v>
      </c>
    </row>
    <row r="2775">
      <c r="A2775" s="1" t="s">
        <v>303</v>
      </c>
      <c r="B2775" s="38">
        <v>592662.0</v>
      </c>
      <c r="C2775" s="72">
        <v>45875.0</v>
      </c>
      <c r="D2775" s="38">
        <v>102.0</v>
      </c>
      <c r="E2775" s="75"/>
      <c r="F2775" s="67">
        <v>5.026410835</v>
      </c>
      <c r="G2775" s="40">
        <v>2.316383463</v>
      </c>
      <c r="H2775" s="40"/>
      <c r="I2775" s="41">
        <v>0.460784314</v>
      </c>
      <c r="J2775" s="41">
        <v>0.147058824</v>
      </c>
      <c r="K2775" s="41">
        <v>0.392156863</v>
      </c>
      <c r="L2775" s="41"/>
      <c r="M2775" s="74">
        <v>-0.87067599</v>
      </c>
    </row>
    <row r="2776">
      <c r="A2776" s="1" t="s">
        <v>156</v>
      </c>
      <c r="B2776" s="38">
        <v>519242.0</v>
      </c>
      <c r="C2776" s="72">
        <v>45772.0</v>
      </c>
      <c r="D2776" s="38">
        <v>101.0</v>
      </c>
      <c r="E2776" s="75"/>
      <c r="F2776" s="67">
        <v>5.02605435</v>
      </c>
      <c r="G2776" s="40">
        <v>2.246872462</v>
      </c>
      <c r="H2776" s="40"/>
      <c r="I2776" s="41">
        <v>0.405940594</v>
      </c>
      <c r="J2776" s="41">
        <v>0.237623762</v>
      </c>
      <c r="K2776" s="41">
        <v>0.356435644</v>
      </c>
      <c r="L2776" s="41"/>
      <c r="M2776" s="74">
        <v>0.681328681</v>
      </c>
    </row>
    <row r="2777">
      <c r="A2777" s="1" t="s">
        <v>197</v>
      </c>
      <c r="B2777" s="38">
        <v>676467.0</v>
      </c>
      <c r="C2777" s="72">
        <v>45839.0</v>
      </c>
      <c r="D2777" s="38">
        <v>78.0</v>
      </c>
      <c r="E2777" s="75"/>
      <c r="F2777" s="67">
        <v>5.025926129</v>
      </c>
      <c r="G2777" s="40">
        <v>1.773543277</v>
      </c>
      <c r="H2777" s="40"/>
      <c r="I2777" s="41">
        <v>0.41025641</v>
      </c>
      <c r="J2777" s="41">
        <v>0.269230769</v>
      </c>
      <c r="K2777" s="41">
        <v>0.320512821</v>
      </c>
      <c r="L2777" s="41"/>
      <c r="M2777" s="74">
        <v>-2.859420513</v>
      </c>
    </row>
    <row r="2778">
      <c r="A2778" s="1" t="s">
        <v>222</v>
      </c>
      <c r="B2778" s="38">
        <v>518876.0</v>
      </c>
      <c r="C2778" s="72">
        <v>45807.0</v>
      </c>
      <c r="D2778" s="38">
        <v>90.0</v>
      </c>
      <c r="E2778" s="75"/>
      <c r="F2778" s="67">
        <v>5.025532341</v>
      </c>
      <c r="G2778" s="40">
        <v>2.018386362</v>
      </c>
      <c r="H2778" s="40"/>
      <c r="I2778" s="41">
        <v>0.522222222</v>
      </c>
      <c r="J2778" s="41">
        <v>0.133333333</v>
      </c>
      <c r="K2778" s="41">
        <v>0.344444444</v>
      </c>
      <c r="L2778" s="41"/>
      <c r="M2778" s="74">
        <v>-1.00713997</v>
      </c>
    </row>
    <row r="2779">
      <c r="A2779" s="1" t="s">
        <v>496</v>
      </c>
      <c r="B2779" s="38">
        <v>694477.0</v>
      </c>
      <c r="C2779" s="72">
        <v>45808.0</v>
      </c>
      <c r="D2779" s="38">
        <v>93.0</v>
      </c>
      <c r="E2779" s="75"/>
      <c r="F2779" s="67">
        <v>5.025265502</v>
      </c>
      <c r="G2779" s="40">
        <v>2.114827769</v>
      </c>
      <c r="H2779" s="40"/>
      <c r="I2779" s="41">
        <v>0.462365591</v>
      </c>
      <c r="J2779" s="41">
        <v>0.204301075</v>
      </c>
      <c r="K2779" s="41">
        <v>0.333333333</v>
      </c>
      <c r="L2779" s="41"/>
      <c r="M2779" s="74">
        <v>1.04524658</v>
      </c>
    </row>
    <row r="2780">
      <c r="A2780" s="1" t="s">
        <v>171</v>
      </c>
      <c r="B2780" s="38">
        <v>665795.0</v>
      </c>
      <c r="C2780" s="72">
        <v>45814.0</v>
      </c>
      <c r="D2780" s="38">
        <v>63.0</v>
      </c>
      <c r="E2780" s="75"/>
      <c r="F2780" s="67">
        <v>5.024904859</v>
      </c>
      <c r="G2780" s="40">
        <v>1.46277891</v>
      </c>
      <c r="H2780" s="40"/>
      <c r="I2780" s="41">
        <v>0.492063492</v>
      </c>
      <c r="J2780" s="41">
        <v>0.126984127</v>
      </c>
      <c r="K2780" s="41">
        <v>0.380952381</v>
      </c>
      <c r="L2780" s="41"/>
      <c r="M2780" s="74">
        <v>-2.413695882</v>
      </c>
    </row>
    <row r="2781">
      <c r="A2781" s="1" t="s">
        <v>150</v>
      </c>
      <c r="B2781" s="38">
        <v>657746.0</v>
      </c>
      <c r="C2781" s="72">
        <v>45816.0</v>
      </c>
      <c r="D2781" s="38">
        <v>90.0</v>
      </c>
      <c r="E2781" s="75"/>
      <c r="F2781" s="67">
        <v>5.024795471</v>
      </c>
      <c r="G2781" s="40">
        <v>2.038858097</v>
      </c>
      <c r="H2781" s="40"/>
      <c r="I2781" s="41">
        <v>0.488888889</v>
      </c>
      <c r="J2781" s="41">
        <v>0.188888889</v>
      </c>
      <c r="K2781" s="41">
        <v>0.322222222</v>
      </c>
      <c r="L2781" s="41"/>
      <c r="M2781" s="74">
        <v>1.400917071</v>
      </c>
    </row>
    <row r="2782">
      <c r="A2782" s="1" t="s">
        <v>77</v>
      </c>
      <c r="B2782" s="38">
        <v>657277.0</v>
      </c>
      <c r="C2782" s="72">
        <v>45923.0</v>
      </c>
      <c r="D2782" s="38">
        <v>92.0</v>
      </c>
      <c r="E2782" s="75"/>
      <c r="F2782" s="67">
        <v>5.024769381</v>
      </c>
      <c r="G2782" s="40">
        <v>2.071739596</v>
      </c>
      <c r="H2782" s="40"/>
      <c r="I2782" s="41">
        <v>0.467391304</v>
      </c>
      <c r="J2782" s="41">
        <v>0.163043478</v>
      </c>
      <c r="K2782" s="41">
        <v>0.369565217</v>
      </c>
      <c r="L2782" s="41"/>
      <c r="M2782" s="74">
        <v>-2.418035628</v>
      </c>
    </row>
    <row r="2783">
      <c r="A2783" s="1" t="s">
        <v>472</v>
      </c>
      <c r="B2783" s="38">
        <v>675911.0</v>
      </c>
      <c r="C2783" s="72">
        <v>45894.0</v>
      </c>
      <c r="D2783" s="38">
        <v>94.0</v>
      </c>
      <c r="E2783" s="75"/>
      <c r="F2783" s="67">
        <v>5.024701946</v>
      </c>
      <c r="G2783" s="40">
        <v>2.15669454</v>
      </c>
      <c r="H2783" s="40"/>
      <c r="I2783" s="41">
        <v>0.478723404</v>
      </c>
      <c r="J2783" s="41">
        <v>0.14893617</v>
      </c>
      <c r="K2783" s="41">
        <v>0.372340426</v>
      </c>
      <c r="L2783" s="41"/>
      <c r="M2783" s="74">
        <v>1.192183951</v>
      </c>
    </row>
    <row r="2784">
      <c r="A2784" s="1" t="s">
        <v>143</v>
      </c>
      <c r="B2784" s="38">
        <v>690928.0</v>
      </c>
      <c r="C2784" s="72">
        <v>45753.0</v>
      </c>
      <c r="D2784" s="38">
        <v>92.0</v>
      </c>
      <c r="E2784" s="75"/>
      <c r="F2784" s="67">
        <v>5.024581527</v>
      </c>
      <c r="G2784" s="40">
        <v>2.07734453</v>
      </c>
      <c r="H2784" s="40"/>
      <c r="I2784" s="41">
        <v>0.52173913</v>
      </c>
      <c r="J2784" s="41">
        <v>0.163043478</v>
      </c>
      <c r="K2784" s="41">
        <v>0.315217391</v>
      </c>
      <c r="L2784" s="41"/>
      <c r="M2784" s="74">
        <v>-3.15432075</v>
      </c>
    </row>
    <row r="2785">
      <c r="A2785" s="1" t="s">
        <v>298</v>
      </c>
      <c r="B2785" s="38">
        <v>594902.0</v>
      </c>
      <c r="C2785" s="72">
        <v>45755.0</v>
      </c>
      <c r="D2785" s="38">
        <v>76.0</v>
      </c>
      <c r="E2785" s="75"/>
      <c r="F2785" s="67">
        <v>5.024534139</v>
      </c>
      <c r="G2785" s="40">
        <v>1.682624435</v>
      </c>
      <c r="H2785" s="40"/>
      <c r="I2785" s="41">
        <v>0.486842105</v>
      </c>
      <c r="J2785" s="41">
        <v>0.157894737</v>
      </c>
      <c r="K2785" s="41">
        <v>0.355263158</v>
      </c>
      <c r="L2785" s="41"/>
      <c r="M2785" s="74">
        <v>2.016917899</v>
      </c>
    </row>
    <row r="2786">
      <c r="A2786" s="1" t="s">
        <v>125</v>
      </c>
      <c r="B2786" s="38">
        <v>663554.0</v>
      </c>
      <c r="C2786" s="72">
        <v>45860.0</v>
      </c>
      <c r="D2786" s="38">
        <v>85.0</v>
      </c>
      <c r="E2786" s="75"/>
      <c r="F2786" s="67">
        <v>5.02450028</v>
      </c>
      <c r="G2786" s="40">
        <v>1.962609938</v>
      </c>
      <c r="H2786" s="40"/>
      <c r="I2786" s="41">
        <v>0.376470588</v>
      </c>
      <c r="J2786" s="41">
        <v>0.282352941</v>
      </c>
      <c r="K2786" s="41">
        <v>0.341176471</v>
      </c>
      <c r="L2786" s="41"/>
      <c r="M2786" s="74">
        <v>-3.580798161</v>
      </c>
    </row>
    <row r="2787">
      <c r="A2787" s="1" t="s">
        <v>384</v>
      </c>
      <c r="B2787" s="38">
        <v>666214.0</v>
      </c>
      <c r="C2787" s="72">
        <v>45926.0</v>
      </c>
      <c r="D2787" s="38">
        <v>83.0</v>
      </c>
      <c r="E2787" s="75"/>
      <c r="F2787" s="67">
        <v>5.02440587</v>
      </c>
      <c r="G2787" s="40">
        <v>1.900202765</v>
      </c>
      <c r="H2787" s="40"/>
      <c r="I2787" s="41">
        <v>0.457831325</v>
      </c>
      <c r="J2787" s="41">
        <v>0.240963855</v>
      </c>
      <c r="K2787" s="41">
        <v>0.301204819</v>
      </c>
      <c r="L2787" s="41"/>
      <c r="M2787" s="74">
        <v>-3.535847414</v>
      </c>
    </row>
    <row r="2788">
      <c r="A2788" s="1" t="s">
        <v>379</v>
      </c>
      <c r="B2788" s="38">
        <v>593423.0</v>
      </c>
      <c r="C2788" s="72">
        <v>45837.0</v>
      </c>
      <c r="D2788" s="38">
        <v>80.0</v>
      </c>
      <c r="E2788" s="75"/>
      <c r="F2788" s="67">
        <v>5.024360744</v>
      </c>
      <c r="G2788" s="40">
        <v>1.802648379</v>
      </c>
      <c r="H2788" s="40"/>
      <c r="I2788" s="41">
        <v>0.4375</v>
      </c>
      <c r="J2788" s="41">
        <v>0.25</v>
      </c>
      <c r="K2788" s="41">
        <v>0.3125</v>
      </c>
      <c r="L2788" s="41"/>
      <c r="M2788" s="74">
        <v>-0.914158636</v>
      </c>
    </row>
    <row r="2789">
      <c r="A2789" s="1" t="s">
        <v>382</v>
      </c>
      <c r="B2789" s="38">
        <v>656288.0</v>
      </c>
      <c r="C2789" s="72">
        <v>45782.0</v>
      </c>
      <c r="D2789" s="38">
        <v>80.0</v>
      </c>
      <c r="E2789" s="75"/>
      <c r="F2789" s="67">
        <v>5.0240872</v>
      </c>
      <c r="G2789" s="40">
        <v>1.815463634</v>
      </c>
      <c r="H2789" s="40"/>
      <c r="I2789" s="41">
        <v>0.4375</v>
      </c>
      <c r="J2789" s="41">
        <v>0.2375</v>
      </c>
      <c r="K2789" s="41">
        <v>0.325</v>
      </c>
      <c r="L2789" s="41"/>
      <c r="M2789" s="74">
        <v>-1.09592278</v>
      </c>
    </row>
    <row r="2790">
      <c r="A2790" s="1" t="s">
        <v>492</v>
      </c>
      <c r="B2790" s="38">
        <v>671212.0</v>
      </c>
      <c r="C2790" s="72">
        <v>45872.0</v>
      </c>
      <c r="D2790" s="38">
        <v>67.0</v>
      </c>
      <c r="E2790" s="75"/>
      <c r="F2790" s="67">
        <v>5.023902476</v>
      </c>
      <c r="G2790" s="40">
        <v>1.539530772</v>
      </c>
      <c r="H2790" s="40"/>
      <c r="I2790" s="41">
        <v>0.507462687</v>
      </c>
      <c r="J2790" s="41">
        <v>0.119402985</v>
      </c>
      <c r="K2790" s="41">
        <v>0.373134328</v>
      </c>
      <c r="L2790" s="41"/>
      <c r="M2790" s="74">
        <v>1.124437645</v>
      </c>
    </row>
    <row r="2791">
      <c r="A2791" s="1" t="s">
        <v>245</v>
      </c>
      <c r="B2791" s="38">
        <v>571578.0</v>
      </c>
      <c r="C2791" s="72">
        <v>45808.0</v>
      </c>
      <c r="D2791" s="38">
        <v>82.0</v>
      </c>
      <c r="E2791" s="75"/>
      <c r="F2791" s="67">
        <v>5.023863103</v>
      </c>
      <c r="G2791" s="40">
        <v>1.876630244</v>
      </c>
      <c r="H2791" s="40"/>
      <c r="I2791" s="41">
        <v>0.414634146</v>
      </c>
      <c r="J2791" s="41">
        <v>0.231707317</v>
      </c>
      <c r="K2791" s="41">
        <v>0.353658537</v>
      </c>
      <c r="L2791" s="41"/>
      <c r="M2791" s="74">
        <v>1.743896075</v>
      </c>
    </row>
    <row r="2792">
      <c r="A2792" s="1" t="s">
        <v>434</v>
      </c>
      <c r="B2792" s="38">
        <v>690990.0</v>
      </c>
      <c r="C2792" s="72">
        <v>45864.0</v>
      </c>
      <c r="D2792" s="38">
        <v>83.0</v>
      </c>
      <c r="E2792" s="75"/>
      <c r="F2792" s="67">
        <v>5.02380931</v>
      </c>
      <c r="G2792" s="40">
        <v>1.884290711</v>
      </c>
      <c r="H2792" s="40"/>
      <c r="I2792" s="41">
        <v>0.445783133</v>
      </c>
      <c r="J2792" s="41">
        <v>0.228915663</v>
      </c>
      <c r="K2792" s="41">
        <v>0.325301205</v>
      </c>
      <c r="L2792" s="41"/>
      <c r="M2792" s="74">
        <v>1.717550509</v>
      </c>
    </row>
    <row r="2793">
      <c r="A2793" s="1" t="s">
        <v>321</v>
      </c>
      <c r="B2793" s="38">
        <v>607200.0</v>
      </c>
      <c r="C2793" s="72">
        <v>45827.0</v>
      </c>
      <c r="D2793" s="38">
        <v>80.0</v>
      </c>
      <c r="E2793" s="75"/>
      <c r="F2793" s="67">
        <v>5.023545406</v>
      </c>
      <c r="G2793" s="40">
        <v>1.810295706</v>
      </c>
      <c r="H2793" s="40"/>
      <c r="I2793" s="41">
        <v>0.525</v>
      </c>
      <c r="J2793" s="41">
        <v>0.1125</v>
      </c>
      <c r="K2793" s="41">
        <v>0.3625</v>
      </c>
      <c r="L2793" s="41"/>
      <c r="M2793" s="74">
        <v>-0.262799822</v>
      </c>
    </row>
    <row r="2794">
      <c r="A2794" s="1" t="s">
        <v>264</v>
      </c>
      <c r="B2794" s="38">
        <v>669920.0</v>
      </c>
      <c r="C2794" s="72">
        <v>45879.0</v>
      </c>
      <c r="D2794" s="38">
        <v>85.0</v>
      </c>
      <c r="E2794" s="75"/>
      <c r="F2794" s="67">
        <v>5.023104035</v>
      </c>
      <c r="G2794" s="40">
        <v>1.925124023</v>
      </c>
      <c r="H2794" s="40"/>
      <c r="I2794" s="41">
        <v>0.447058824</v>
      </c>
      <c r="J2794" s="41">
        <v>0.176470588</v>
      </c>
      <c r="K2794" s="41">
        <v>0.376470588</v>
      </c>
      <c r="L2794" s="41"/>
      <c r="M2794" s="74">
        <v>4.220665276</v>
      </c>
    </row>
    <row r="2795">
      <c r="A2795" s="1" t="s">
        <v>343</v>
      </c>
      <c r="B2795" s="38">
        <v>682243.0</v>
      </c>
      <c r="C2795" s="72">
        <v>45917.0</v>
      </c>
      <c r="D2795" s="38">
        <v>89.0</v>
      </c>
      <c r="E2795" s="75"/>
      <c r="F2795" s="67">
        <v>5.022968139</v>
      </c>
      <c r="G2795" s="40">
        <v>2.028632319</v>
      </c>
      <c r="H2795" s="40"/>
      <c r="I2795" s="41">
        <v>0.483146067</v>
      </c>
      <c r="J2795" s="41">
        <v>0.134831461</v>
      </c>
      <c r="K2795" s="41">
        <v>0.382022472</v>
      </c>
      <c r="L2795" s="41"/>
      <c r="M2795" s="74">
        <v>-3.805161543</v>
      </c>
    </row>
    <row r="2796">
      <c r="A2796" s="1" t="s">
        <v>264</v>
      </c>
      <c r="B2796" s="38">
        <v>669920.0</v>
      </c>
      <c r="C2796" s="72">
        <v>45873.0</v>
      </c>
      <c r="D2796" s="38">
        <v>92.0</v>
      </c>
      <c r="E2796" s="75"/>
      <c r="F2796" s="67">
        <v>5.022873922</v>
      </c>
      <c r="G2796" s="40">
        <v>2.063333939</v>
      </c>
      <c r="H2796" s="40"/>
      <c r="I2796" s="41">
        <v>0.445652174</v>
      </c>
      <c r="J2796" s="41">
        <v>0.217391304</v>
      </c>
      <c r="K2796" s="41">
        <v>0.336956522</v>
      </c>
      <c r="L2796" s="41"/>
      <c r="M2796" s="74">
        <v>1.996659592</v>
      </c>
    </row>
    <row r="2797">
      <c r="A2797" s="1" t="s">
        <v>180</v>
      </c>
      <c r="B2797" s="38">
        <v>642547.0</v>
      </c>
      <c r="C2797" s="72">
        <v>45827.0</v>
      </c>
      <c r="D2797" s="38">
        <v>84.0</v>
      </c>
      <c r="E2797" s="75"/>
      <c r="F2797" s="67">
        <v>5.022834844</v>
      </c>
      <c r="G2797" s="40">
        <v>1.872662987</v>
      </c>
      <c r="H2797" s="40"/>
      <c r="I2797" s="41">
        <v>0.523809524</v>
      </c>
      <c r="J2797" s="41">
        <v>0.142857143</v>
      </c>
      <c r="K2797" s="41">
        <v>0.333333333</v>
      </c>
      <c r="L2797" s="41"/>
      <c r="M2797" s="74">
        <v>1.844064704</v>
      </c>
    </row>
    <row r="2798">
      <c r="A2798" s="1" t="s">
        <v>470</v>
      </c>
      <c r="B2798" s="38">
        <v>681343.0</v>
      </c>
      <c r="C2798" s="72">
        <v>45793.0</v>
      </c>
      <c r="D2798" s="38">
        <v>83.0</v>
      </c>
      <c r="E2798" s="75"/>
      <c r="F2798" s="67">
        <v>5.022676987</v>
      </c>
      <c r="G2798" s="40">
        <v>1.912752803</v>
      </c>
      <c r="H2798" s="40"/>
      <c r="I2798" s="41">
        <v>0.43373494</v>
      </c>
      <c r="J2798" s="41">
        <v>0.192771084</v>
      </c>
      <c r="K2798" s="41">
        <v>0.373493976</v>
      </c>
      <c r="L2798" s="41"/>
      <c r="M2798" s="74">
        <v>0.75054098</v>
      </c>
    </row>
    <row r="2799">
      <c r="A2799" s="1" t="s">
        <v>306</v>
      </c>
      <c r="B2799" s="38">
        <v>677944.0</v>
      </c>
      <c r="C2799" s="72">
        <v>45908.0</v>
      </c>
      <c r="D2799" s="38">
        <v>90.0</v>
      </c>
      <c r="E2799" s="75"/>
      <c r="F2799" s="67">
        <v>5.022611575</v>
      </c>
      <c r="G2799" s="40">
        <v>2.089018492</v>
      </c>
      <c r="H2799" s="40"/>
      <c r="I2799" s="41">
        <v>0.433333333</v>
      </c>
      <c r="J2799" s="41">
        <v>0.177777778</v>
      </c>
      <c r="K2799" s="41">
        <v>0.388888889</v>
      </c>
      <c r="L2799" s="41"/>
      <c r="M2799" s="74">
        <v>3.861791184</v>
      </c>
    </row>
    <row r="2800">
      <c r="A2800" s="1" t="s">
        <v>220</v>
      </c>
      <c r="B2800" s="38">
        <v>663559.0</v>
      </c>
      <c r="C2800" s="72">
        <v>45774.0</v>
      </c>
      <c r="D2800" s="38">
        <v>80.0</v>
      </c>
      <c r="E2800" s="75"/>
      <c r="F2800" s="67">
        <v>5.022302908</v>
      </c>
      <c r="G2800" s="40">
        <v>1.830123116</v>
      </c>
      <c r="H2800" s="40"/>
      <c r="I2800" s="41">
        <v>0.4875</v>
      </c>
      <c r="J2800" s="41">
        <v>0.175</v>
      </c>
      <c r="K2800" s="41">
        <v>0.3375</v>
      </c>
      <c r="L2800" s="41"/>
      <c r="M2800" s="74">
        <v>-3.444280437</v>
      </c>
    </row>
    <row r="2801">
      <c r="A2801" s="1" t="s">
        <v>330</v>
      </c>
      <c r="B2801" s="38">
        <v>680730.0</v>
      </c>
      <c r="C2801" s="72">
        <v>45779.0</v>
      </c>
      <c r="D2801" s="38">
        <v>83.0</v>
      </c>
      <c r="E2801" s="75"/>
      <c r="F2801" s="67">
        <v>5.022243838</v>
      </c>
      <c r="G2801" s="40">
        <v>1.915786682</v>
      </c>
      <c r="H2801" s="40"/>
      <c r="I2801" s="41">
        <v>0.506024096</v>
      </c>
      <c r="J2801" s="41">
        <v>0.120481928</v>
      </c>
      <c r="K2801" s="41">
        <v>0.373493976</v>
      </c>
      <c r="L2801" s="41"/>
      <c r="M2801" s="74">
        <v>0.740463945</v>
      </c>
    </row>
    <row r="2802">
      <c r="A2802" s="1" t="s">
        <v>384</v>
      </c>
      <c r="B2802" s="38">
        <v>666214.0</v>
      </c>
      <c r="C2802" s="72">
        <v>45896.0</v>
      </c>
      <c r="D2802" s="38">
        <v>96.0</v>
      </c>
      <c r="E2802" s="75"/>
      <c r="F2802" s="67">
        <v>5.022175736</v>
      </c>
      <c r="G2802" s="40">
        <v>2.215229369</v>
      </c>
      <c r="H2802" s="40"/>
      <c r="I2802" s="41">
        <v>0.395833333</v>
      </c>
      <c r="J2802" s="41">
        <v>0.239583333</v>
      </c>
      <c r="K2802" s="41">
        <v>0.364583333</v>
      </c>
      <c r="L2802" s="41"/>
      <c r="M2802" s="74">
        <v>1.366185483</v>
      </c>
    </row>
    <row r="2803">
      <c r="A2803" s="1" t="s">
        <v>594</v>
      </c>
      <c r="B2803" s="38">
        <v>664141.0</v>
      </c>
      <c r="C2803" s="72">
        <v>45924.0</v>
      </c>
      <c r="D2803" s="38">
        <v>67.0</v>
      </c>
      <c r="E2803" s="75"/>
      <c r="F2803" s="67">
        <v>5.021798333</v>
      </c>
      <c r="G2803" s="40">
        <v>1.513992694</v>
      </c>
      <c r="H2803" s="40"/>
      <c r="I2803" s="41">
        <v>0.447761194</v>
      </c>
      <c r="J2803" s="41">
        <v>0.134328358</v>
      </c>
      <c r="K2803" s="41">
        <v>0.417910448</v>
      </c>
      <c r="L2803" s="41"/>
      <c r="M2803" s="74">
        <v>-0.201565157</v>
      </c>
    </row>
    <row r="2804">
      <c r="A2804" s="1" t="s">
        <v>332</v>
      </c>
      <c r="B2804" s="38">
        <v>641778.0</v>
      </c>
      <c r="C2804" s="72">
        <v>45788.0</v>
      </c>
      <c r="D2804" s="38">
        <v>62.0</v>
      </c>
      <c r="E2804" s="75"/>
      <c r="F2804" s="67">
        <v>5.021606592</v>
      </c>
      <c r="G2804" s="40">
        <v>1.398404921</v>
      </c>
      <c r="H2804" s="40"/>
      <c r="I2804" s="41">
        <v>0.435483871</v>
      </c>
      <c r="J2804" s="41">
        <v>0.129032258</v>
      </c>
      <c r="K2804" s="41">
        <v>0.435483871</v>
      </c>
      <c r="L2804" s="41"/>
      <c r="M2804" s="74">
        <v>2.100738044</v>
      </c>
    </row>
    <row r="2805">
      <c r="A2805" s="1" t="s">
        <v>321</v>
      </c>
      <c r="B2805" s="38">
        <v>607200.0</v>
      </c>
      <c r="C2805" s="72">
        <v>45786.0</v>
      </c>
      <c r="D2805" s="38">
        <v>109.0</v>
      </c>
      <c r="E2805" s="75"/>
      <c r="F2805" s="67">
        <v>5.021371093</v>
      </c>
      <c r="G2805" s="40">
        <v>2.514462538</v>
      </c>
      <c r="H2805" s="40"/>
      <c r="I2805" s="41">
        <v>0.357798165</v>
      </c>
      <c r="J2805" s="41">
        <v>0.220183486</v>
      </c>
      <c r="K2805" s="41">
        <v>0.422018349</v>
      </c>
      <c r="L2805" s="41"/>
      <c r="M2805" s="74">
        <v>0.01201084</v>
      </c>
    </row>
    <row r="2806">
      <c r="A2806" s="1" t="s">
        <v>121</v>
      </c>
      <c r="B2806" s="38">
        <v>676974.0</v>
      </c>
      <c r="C2806" s="72">
        <v>45810.0</v>
      </c>
      <c r="D2806" s="38">
        <v>73.0</v>
      </c>
      <c r="E2806" s="75"/>
      <c r="F2806" s="67">
        <v>5.02132005</v>
      </c>
      <c r="G2806" s="40">
        <v>1.695892761</v>
      </c>
      <c r="H2806" s="40"/>
      <c r="I2806" s="41">
        <v>0.438356164</v>
      </c>
      <c r="J2806" s="41">
        <v>0.232876712</v>
      </c>
      <c r="K2806" s="41">
        <v>0.328767123</v>
      </c>
      <c r="L2806" s="41"/>
      <c r="M2806" s="74">
        <v>-4.945408834</v>
      </c>
    </row>
    <row r="2807">
      <c r="A2807" s="1" t="s">
        <v>209</v>
      </c>
      <c r="B2807" s="38">
        <v>694738.0</v>
      </c>
      <c r="C2807" s="72">
        <v>45835.0</v>
      </c>
      <c r="D2807" s="38">
        <v>92.0</v>
      </c>
      <c r="E2807" s="75"/>
      <c r="F2807" s="67">
        <v>5.020912911</v>
      </c>
      <c r="G2807" s="40">
        <v>2.130404432</v>
      </c>
      <c r="H2807" s="40"/>
      <c r="I2807" s="41">
        <v>0.510869565</v>
      </c>
      <c r="J2807" s="41">
        <v>0.119565217</v>
      </c>
      <c r="K2807" s="41">
        <v>0.369565217</v>
      </c>
      <c r="L2807" s="41"/>
      <c r="M2807" s="74">
        <v>-1.664333397</v>
      </c>
    </row>
    <row r="2808">
      <c r="A2808" s="1" t="s">
        <v>590</v>
      </c>
      <c r="B2808" s="38">
        <v>800049.0</v>
      </c>
      <c r="C2808" s="72">
        <v>45902.0</v>
      </c>
      <c r="D2808" s="38">
        <v>89.0</v>
      </c>
      <c r="E2808" s="75"/>
      <c r="F2808" s="67">
        <v>5.020864214</v>
      </c>
      <c r="G2808" s="40">
        <v>2.04858193</v>
      </c>
      <c r="H2808" s="40"/>
      <c r="I2808" s="41">
        <v>0.415730337</v>
      </c>
      <c r="J2808" s="41">
        <v>0.202247191</v>
      </c>
      <c r="K2808" s="41">
        <v>0.382022472</v>
      </c>
      <c r="L2808" s="41"/>
      <c r="M2808" s="74">
        <v>-3.613296296</v>
      </c>
    </row>
    <row r="2809">
      <c r="A2809" s="1" t="s">
        <v>369</v>
      </c>
      <c r="B2809" s="38">
        <v>596295.0</v>
      </c>
      <c r="C2809" s="72">
        <v>45877.0</v>
      </c>
      <c r="D2809" s="38">
        <v>84.0</v>
      </c>
      <c r="E2809" s="75"/>
      <c r="F2809" s="67">
        <v>5.020719271</v>
      </c>
      <c r="G2809" s="40">
        <v>1.946476589</v>
      </c>
      <c r="H2809" s="40"/>
      <c r="I2809" s="41">
        <v>0.416666667</v>
      </c>
      <c r="J2809" s="41">
        <v>0.214285714</v>
      </c>
      <c r="K2809" s="41">
        <v>0.369047619</v>
      </c>
      <c r="L2809" s="41"/>
      <c r="M2809" s="74">
        <v>1.406780326</v>
      </c>
    </row>
    <row r="2810">
      <c r="A2810" s="1" t="s">
        <v>308</v>
      </c>
      <c r="B2810" s="38">
        <v>676440.0</v>
      </c>
      <c r="C2810" s="72">
        <v>45845.0</v>
      </c>
      <c r="D2810" s="38">
        <v>83.0</v>
      </c>
      <c r="E2810" s="75"/>
      <c r="F2810" s="67">
        <v>5.020673538</v>
      </c>
      <c r="G2810" s="40">
        <v>1.854329107</v>
      </c>
      <c r="H2810" s="40"/>
      <c r="I2810" s="41">
        <v>0.445783133</v>
      </c>
      <c r="J2810" s="41">
        <v>0.180722892</v>
      </c>
      <c r="K2810" s="41">
        <v>0.373493976</v>
      </c>
      <c r="L2810" s="41"/>
      <c r="M2810" s="74">
        <v>1.510850753</v>
      </c>
    </row>
    <row r="2811">
      <c r="A2811" s="1" t="s">
        <v>313</v>
      </c>
      <c r="B2811" s="38">
        <v>607067.0</v>
      </c>
      <c r="C2811" s="72">
        <v>45901.0</v>
      </c>
      <c r="D2811" s="38">
        <v>73.0</v>
      </c>
      <c r="E2811" s="75"/>
      <c r="F2811" s="67">
        <v>5.020190701</v>
      </c>
      <c r="G2811" s="40">
        <v>1.664407006</v>
      </c>
      <c r="H2811" s="40"/>
      <c r="I2811" s="41">
        <v>0.479452055</v>
      </c>
      <c r="J2811" s="41">
        <v>0.191780822</v>
      </c>
      <c r="K2811" s="41">
        <v>0.328767123</v>
      </c>
      <c r="L2811" s="41"/>
      <c r="M2811" s="74">
        <v>-0.60282541</v>
      </c>
    </row>
    <row r="2812">
      <c r="A2812" s="1" t="s">
        <v>472</v>
      </c>
      <c r="B2812" s="38">
        <v>675911.0</v>
      </c>
      <c r="C2812" s="72">
        <v>45887.0</v>
      </c>
      <c r="D2812" s="38">
        <v>65.0</v>
      </c>
      <c r="E2812" s="75"/>
      <c r="F2812" s="67">
        <v>5.020026852</v>
      </c>
      <c r="G2812" s="40">
        <v>1.497094271</v>
      </c>
      <c r="H2812" s="40"/>
      <c r="I2812" s="41">
        <v>0.446153846</v>
      </c>
      <c r="J2812" s="41">
        <v>0.138461538</v>
      </c>
      <c r="K2812" s="41">
        <v>0.415384615</v>
      </c>
      <c r="L2812" s="41"/>
      <c r="M2812" s="74">
        <v>-4.555493031</v>
      </c>
    </row>
    <row r="2813">
      <c r="A2813" s="1" t="s">
        <v>234</v>
      </c>
      <c r="B2813" s="38">
        <v>690997.0</v>
      </c>
      <c r="C2813" s="72">
        <v>45891.0</v>
      </c>
      <c r="D2813" s="38">
        <v>88.0</v>
      </c>
      <c r="E2813" s="75"/>
      <c r="F2813" s="67">
        <v>5.019957417</v>
      </c>
      <c r="G2813" s="40">
        <v>2.034826307</v>
      </c>
      <c r="H2813" s="40"/>
      <c r="I2813" s="41">
        <v>0.511363636</v>
      </c>
      <c r="J2813" s="41">
        <v>0.181818182</v>
      </c>
      <c r="K2813" s="41">
        <v>0.306818182</v>
      </c>
      <c r="L2813" s="41"/>
      <c r="M2813" s="74">
        <v>1.519225005</v>
      </c>
    </row>
    <row r="2814">
      <c r="A2814" s="1" t="s">
        <v>428</v>
      </c>
      <c r="B2814" s="38">
        <v>670102.0</v>
      </c>
      <c r="C2814" s="72">
        <v>45799.0</v>
      </c>
      <c r="D2814" s="38">
        <v>76.0</v>
      </c>
      <c r="E2814" s="75"/>
      <c r="F2814" s="67">
        <v>5.019904052</v>
      </c>
      <c r="G2814" s="40">
        <v>1.722822094</v>
      </c>
      <c r="H2814" s="40"/>
      <c r="I2814" s="41">
        <v>0.486842105</v>
      </c>
      <c r="J2814" s="41">
        <v>0.171052632</v>
      </c>
      <c r="K2814" s="41">
        <v>0.342105263</v>
      </c>
      <c r="L2814" s="41"/>
      <c r="M2814" s="74">
        <v>0.771535551</v>
      </c>
    </row>
    <row r="2815">
      <c r="A2815" s="1" t="s">
        <v>221</v>
      </c>
      <c r="B2815" s="38">
        <v>668964.0</v>
      </c>
      <c r="C2815" s="72">
        <v>45787.0</v>
      </c>
      <c r="D2815" s="38">
        <v>72.0</v>
      </c>
      <c r="E2815" s="75"/>
      <c r="F2815" s="67">
        <v>5.019779287</v>
      </c>
      <c r="G2815" s="40">
        <v>1.630391608</v>
      </c>
      <c r="H2815" s="40"/>
      <c r="I2815" s="41">
        <v>0.444444444</v>
      </c>
      <c r="J2815" s="41">
        <v>0.25</v>
      </c>
      <c r="K2815" s="41">
        <v>0.305555556</v>
      </c>
      <c r="L2815" s="41"/>
      <c r="M2815" s="74">
        <v>0.684695327</v>
      </c>
    </row>
    <row r="2816">
      <c r="A2816" s="1" t="s">
        <v>386</v>
      </c>
      <c r="B2816" s="38">
        <v>656731.0</v>
      </c>
      <c r="C2816" s="72">
        <v>45768.0</v>
      </c>
      <c r="D2816" s="38">
        <v>90.0</v>
      </c>
      <c r="E2816" s="75"/>
      <c r="F2816" s="67">
        <v>5.019599807</v>
      </c>
      <c r="G2816" s="40">
        <v>2.058418605</v>
      </c>
      <c r="H2816" s="40"/>
      <c r="I2816" s="41">
        <v>0.488888889</v>
      </c>
      <c r="J2816" s="41">
        <v>0.222222222</v>
      </c>
      <c r="K2816" s="41">
        <v>0.288888889</v>
      </c>
      <c r="L2816" s="41"/>
      <c r="M2816" s="74">
        <v>3.467263316</v>
      </c>
    </row>
    <row r="2817">
      <c r="A2817" s="1" t="s">
        <v>285</v>
      </c>
      <c r="B2817" s="38">
        <v>607074.0</v>
      </c>
      <c r="C2817" s="72">
        <v>45832.0</v>
      </c>
      <c r="D2817" s="38">
        <v>82.0</v>
      </c>
      <c r="E2817" s="75"/>
      <c r="F2817" s="67">
        <v>5.019547182</v>
      </c>
      <c r="G2817" s="40">
        <v>1.846106758</v>
      </c>
      <c r="H2817" s="40"/>
      <c r="I2817" s="41">
        <v>0.487804878</v>
      </c>
      <c r="J2817" s="41">
        <v>0.170731707</v>
      </c>
      <c r="K2817" s="41">
        <v>0.341463415</v>
      </c>
      <c r="L2817" s="41"/>
      <c r="M2817" s="74">
        <v>-0.343590952</v>
      </c>
    </row>
    <row r="2818">
      <c r="A2818" s="1" t="s">
        <v>99</v>
      </c>
      <c r="B2818" s="38">
        <v>592791.0</v>
      </c>
      <c r="C2818" s="72">
        <v>45832.0</v>
      </c>
      <c r="D2818" s="38">
        <v>80.0</v>
      </c>
      <c r="E2818" s="75"/>
      <c r="F2818" s="67">
        <v>5.019380483</v>
      </c>
      <c r="G2818" s="40">
        <v>1.824509281</v>
      </c>
      <c r="H2818" s="40"/>
      <c r="I2818" s="41">
        <v>0.4375</v>
      </c>
      <c r="J2818" s="41">
        <v>0.1875</v>
      </c>
      <c r="K2818" s="41">
        <v>0.375</v>
      </c>
      <c r="L2818" s="41"/>
      <c r="M2818" s="74">
        <v>-3.271221504</v>
      </c>
    </row>
    <row r="2819">
      <c r="A2819" s="1" t="s">
        <v>490</v>
      </c>
      <c r="B2819" s="38">
        <v>680573.0</v>
      </c>
      <c r="C2819" s="72">
        <v>45766.0</v>
      </c>
      <c r="D2819" s="38">
        <v>83.0</v>
      </c>
      <c r="E2819" s="75"/>
      <c r="F2819" s="67">
        <v>5.019346439</v>
      </c>
      <c r="G2819" s="40">
        <v>1.914472316</v>
      </c>
      <c r="H2819" s="40"/>
      <c r="I2819" s="41">
        <v>0.469879518</v>
      </c>
      <c r="J2819" s="41">
        <v>0.156626506</v>
      </c>
      <c r="K2819" s="41">
        <v>0.373493976</v>
      </c>
      <c r="L2819" s="41"/>
      <c r="M2819" s="74">
        <v>-2.182946424</v>
      </c>
    </row>
    <row r="2820">
      <c r="A2820" s="1" t="s">
        <v>65</v>
      </c>
      <c r="B2820" s="38">
        <v>680885.0</v>
      </c>
      <c r="C2820" s="72">
        <v>45745.0</v>
      </c>
      <c r="D2820" s="38">
        <v>85.0</v>
      </c>
      <c r="E2820" s="75"/>
      <c r="F2820" s="67">
        <v>5.019275469</v>
      </c>
      <c r="G2820" s="40">
        <v>1.899394411</v>
      </c>
      <c r="H2820" s="40"/>
      <c r="I2820" s="41">
        <v>0.482352941</v>
      </c>
      <c r="J2820" s="41">
        <v>0.152941176</v>
      </c>
      <c r="K2820" s="41">
        <v>0.364705882</v>
      </c>
      <c r="L2820" s="41"/>
      <c r="M2820" s="74">
        <v>3.972503785</v>
      </c>
    </row>
    <row r="2821">
      <c r="A2821" s="1" t="s">
        <v>189</v>
      </c>
      <c r="B2821" s="38">
        <v>607536.0</v>
      </c>
      <c r="C2821" s="72">
        <v>45841.0</v>
      </c>
      <c r="D2821" s="38">
        <v>88.0</v>
      </c>
      <c r="E2821" s="75"/>
      <c r="F2821" s="67">
        <v>5.019230459</v>
      </c>
      <c r="G2821" s="40">
        <v>2.029625223</v>
      </c>
      <c r="H2821" s="40"/>
      <c r="I2821" s="41">
        <v>0.375</v>
      </c>
      <c r="J2821" s="41">
        <v>0.284090909</v>
      </c>
      <c r="K2821" s="41">
        <v>0.340909091</v>
      </c>
      <c r="L2821" s="41"/>
      <c r="M2821" s="74">
        <v>0.279258418</v>
      </c>
    </row>
    <row r="2822">
      <c r="A2822" s="1" t="s">
        <v>394</v>
      </c>
      <c r="B2822" s="38">
        <v>621121.0</v>
      </c>
      <c r="C2822" s="72">
        <v>45781.0</v>
      </c>
      <c r="D2822" s="38">
        <v>85.0</v>
      </c>
      <c r="E2822" s="75"/>
      <c r="F2822" s="67">
        <v>5.018900648</v>
      </c>
      <c r="G2822" s="40">
        <v>1.908549271</v>
      </c>
      <c r="H2822" s="40"/>
      <c r="I2822" s="41">
        <v>0.541176471</v>
      </c>
      <c r="J2822" s="41">
        <v>0.117647059</v>
      </c>
      <c r="K2822" s="41">
        <v>0.341176471</v>
      </c>
      <c r="L2822" s="41"/>
      <c r="M2822" s="74">
        <v>1.738463202</v>
      </c>
    </row>
    <row r="2823">
      <c r="A2823" s="1" t="s">
        <v>55</v>
      </c>
      <c r="B2823" s="38">
        <v>641816.0</v>
      </c>
      <c r="C2823" s="72">
        <v>45925.0</v>
      </c>
      <c r="D2823" s="38">
        <v>76.0</v>
      </c>
      <c r="E2823" s="75"/>
      <c r="F2823" s="67">
        <v>5.018759528</v>
      </c>
      <c r="G2823" s="40">
        <v>1.723773593</v>
      </c>
      <c r="H2823" s="40"/>
      <c r="I2823" s="41">
        <v>0.434210526</v>
      </c>
      <c r="J2823" s="41">
        <v>0.210526316</v>
      </c>
      <c r="K2823" s="41">
        <v>0.355263158</v>
      </c>
      <c r="L2823" s="41"/>
      <c r="M2823" s="74">
        <v>0.024591379</v>
      </c>
    </row>
    <row r="2824">
      <c r="A2824" s="1" t="s">
        <v>158</v>
      </c>
      <c r="B2824" s="38">
        <v>608372.0</v>
      </c>
      <c r="C2824" s="72">
        <v>45828.0</v>
      </c>
      <c r="D2824" s="38">
        <v>86.0</v>
      </c>
      <c r="E2824" s="75"/>
      <c r="F2824" s="67">
        <v>5.01872578</v>
      </c>
      <c r="G2824" s="40">
        <v>1.947630549</v>
      </c>
      <c r="H2824" s="40"/>
      <c r="I2824" s="41">
        <v>0.453488372</v>
      </c>
      <c r="J2824" s="41">
        <v>0.186046512</v>
      </c>
      <c r="K2824" s="41">
        <v>0.360465116</v>
      </c>
      <c r="L2824" s="41"/>
      <c r="M2824" s="74">
        <v>-1.065997525</v>
      </c>
    </row>
    <row r="2825">
      <c r="A2825" s="1" t="s">
        <v>209</v>
      </c>
      <c r="B2825" s="38">
        <v>694738.0</v>
      </c>
      <c r="C2825" s="72">
        <v>45749.0</v>
      </c>
      <c r="D2825" s="38">
        <v>83.0</v>
      </c>
      <c r="E2825" s="75"/>
      <c r="F2825" s="67">
        <v>5.018698545</v>
      </c>
      <c r="G2825" s="40">
        <v>1.866321739</v>
      </c>
      <c r="H2825" s="40"/>
      <c r="I2825" s="41">
        <v>0.493975904</v>
      </c>
      <c r="J2825" s="41">
        <v>0.13253012</v>
      </c>
      <c r="K2825" s="41">
        <v>0.373493976</v>
      </c>
      <c r="L2825" s="41"/>
      <c r="M2825" s="74">
        <v>-0.719112346</v>
      </c>
    </row>
    <row r="2826">
      <c r="A2826" s="1" t="s">
        <v>355</v>
      </c>
      <c r="B2826" s="38">
        <v>670912.0</v>
      </c>
      <c r="C2826" s="72">
        <v>45917.0</v>
      </c>
      <c r="D2826" s="38">
        <v>98.0</v>
      </c>
      <c r="E2826" s="75"/>
      <c r="F2826" s="67">
        <v>5.018542229</v>
      </c>
      <c r="G2826" s="40">
        <v>2.226252027</v>
      </c>
      <c r="H2826" s="40"/>
      <c r="I2826" s="41">
        <v>0.43877551</v>
      </c>
      <c r="J2826" s="41">
        <v>0.183673469</v>
      </c>
      <c r="K2826" s="41">
        <v>0.37755102</v>
      </c>
      <c r="L2826" s="41"/>
      <c r="M2826" s="74">
        <v>-0.398719175</v>
      </c>
    </row>
    <row r="2827">
      <c r="A2827" s="1" t="s">
        <v>177</v>
      </c>
      <c r="B2827" s="38">
        <v>641793.0</v>
      </c>
      <c r="C2827" s="72">
        <v>45757.0</v>
      </c>
      <c r="D2827" s="38">
        <v>76.0</v>
      </c>
      <c r="E2827" s="75"/>
      <c r="F2827" s="67">
        <v>5.018431687</v>
      </c>
      <c r="G2827" s="40">
        <v>1.766391943</v>
      </c>
      <c r="H2827" s="40"/>
      <c r="I2827" s="41">
        <v>0.421052632</v>
      </c>
      <c r="J2827" s="41">
        <v>0.328947368</v>
      </c>
      <c r="K2827" s="41">
        <v>0.25</v>
      </c>
      <c r="L2827" s="41"/>
      <c r="M2827" s="74">
        <v>-2.559577249</v>
      </c>
    </row>
    <row r="2828">
      <c r="A2828" s="1" t="s">
        <v>177</v>
      </c>
      <c r="B2828" s="38">
        <v>641793.0</v>
      </c>
      <c r="C2828" s="72">
        <v>45868.0</v>
      </c>
      <c r="D2828" s="38">
        <v>93.0</v>
      </c>
      <c r="E2828" s="75"/>
      <c r="F2828" s="67">
        <v>5.018248081</v>
      </c>
      <c r="G2828" s="40">
        <v>2.110338528</v>
      </c>
      <c r="H2828" s="40"/>
      <c r="I2828" s="41">
        <v>0.451612903</v>
      </c>
      <c r="J2828" s="41">
        <v>0.150537634</v>
      </c>
      <c r="K2828" s="41">
        <v>0.397849462</v>
      </c>
      <c r="L2828" s="41"/>
      <c r="M2828" s="74">
        <v>3.826760571</v>
      </c>
    </row>
    <row r="2829">
      <c r="A2829" s="1" t="s">
        <v>285</v>
      </c>
      <c r="B2829" s="38">
        <v>607074.0</v>
      </c>
      <c r="C2829" s="72">
        <v>45915.0</v>
      </c>
      <c r="D2829" s="38">
        <v>92.0</v>
      </c>
      <c r="E2829" s="75"/>
      <c r="F2829" s="67">
        <v>5.018223887</v>
      </c>
      <c r="G2829" s="40">
        <v>2.102735434</v>
      </c>
      <c r="H2829" s="40"/>
      <c r="I2829" s="41">
        <v>0.467391304</v>
      </c>
      <c r="J2829" s="41">
        <v>0.163043478</v>
      </c>
      <c r="K2829" s="41">
        <v>0.369565217</v>
      </c>
      <c r="L2829" s="41"/>
      <c r="M2829" s="74">
        <v>0.77041893</v>
      </c>
    </row>
    <row r="2830">
      <c r="A2830" s="1" t="s">
        <v>281</v>
      </c>
      <c r="B2830" s="38">
        <v>622663.0</v>
      </c>
      <c r="C2830" s="72">
        <v>45782.0</v>
      </c>
      <c r="D2830" s="38">
        <v>100.0</v>
      </c>
      <c r="E2830" s="75"/>
      <c r="F2830" s="67">
        <v>5.01816812</v>
      </c>
      <c r="G2830" s="40">
        <v>2.312460826</v>
      </c>
      <c r="H2830" s="40"/>
      <c r="I2830" s="41">
        <v>0.5</v>
      </c>
      <c r="J2830" s="41">
        <v>0.18</v>
      </c>
      <c r="K2830" s="41">
        <v>0.32</v>
      </c>
      <c r="L2830" s="41"/>
      <c r="M2830" s="74">
        <v>0.337974593</v>
      </c>
    </row>
    <row r="2831">
      <c r="A2831" s="1" t="s">
        <v>339</v>
      </c>
      <c r="B2831" s="38">
        <v>686613.0</v>
      </c>
      <c r="C2831" s="72">
        <v>45780.0</v>
      </c>
      <c r="D2831" s="38">
        <v>98.0</v>
      </c>
      <c r="E2831" s="75"/>
      <c r="F2831" s="67">
        <v>5.01813552</v>
      </c>
      <c r="G2831" s="40">
        <v>2.243432041</v>
      </c>
      <c r="H2831" s="40"/>
      <c r="I2831" s="41">
        <v>0.459183673</v>
      </c>
      <c r="J2831" s="41">
        <v>0.193877551</v>
      </c>
      <c r="K2831" s="41">
        <v>0.346938776</v>
      </c>
      <c r="L2831" s="41"/>
      <c r="M2831" s="74">
        <v>1.778084232</v>
      </c>
    </row>
    <row r="2832">
      <c r="A2832" s="1" t="s">
        <v>561</v>
      </c>
      <c r="B2832" s="38">
        <v>687362.0</v>
      </c>
      <c r="C2832" s="72">
        <v>45744.0</v>
      </c>
      <c r="D2832" s="38">
        <v>84.0</v>
      </c>
      <c r="E2832" s="75"/>
      <c r="F2832" s="67">
        <v>5.017952398</v>
      </c>
      <c r="G2832" s="40">
        <v>1.906843207</v>
      </c>
      <c r="H2832" s="40"/>
      <c r="I2832" s="41">
        <v>0.452380952</v>
      </c>
      <c r="J2832" s="41">
        <v>0.261904762</v>
      </c>
      <c r="K2832" s="41">
        <v>0.285714286</v>
      </c>
      <c r="L2832" s="41"/>
      <c r="M2832" s="74">
        <v>0.072676016</v>
      </c>
    </row>
    <row r="2833">
      <c r="A2833" s="1" t="s">
        <v>308</v>
      </c>
      <c r="B2833" s="38">
        <v>676440.0</v>
      </c>
      <c r="C2833" s="72">
        <v>45781.0</v>
      </c>
      <c r="D2833" s="38">
        <v>82.0</v>
      </c>
      <c r="E2833" s="75"/>
      <c r="F2833" s="67">
        <v>5.017944054</v>
      </c>
      <c r="G2833" s="40">
        <v>1.861295742</v>
      </c>
      <c r="H2833" s="40"/>
      <c r="I2833" s="41">
        <v>0.536585366</v>
      </c>
      <c r="J2833" s="41">
        <v>0.146341463</v>
      </c>
      <c r="K2833" s="41">
        <v>0.317073171</v>
      </c>
      <c r="L2833" s="41"/>
      <c r="M2833" s="74">
        <v>0.361079308</v>
      </c>
    </row>
    <row r="2834">
      <c r="A2834" s="1" t="s">
        <v>420</v>
      </c>
      <c r="B2834" s="38">
        <v>547179.0</v>
      </c>
      <c r="C2834" s="72">
        <v>45895.0</v>
      </c>
      <c r="D2834" s="38">
        <v>76.0</v>
      </c>
      <c r="E2834" s="75"/>
      <c r="F2834" s="67">
        <v>5.017936142</v>
      </c>
      <c r="G2834" s="40">
        <v>1.738818497</v>
      </c>
      <c r="H2834" s="40"/>
      <c r="I2834" s="41">
        <v>0.486842105</v>
      </c>
      <c r="J2834" s="41">
        <v>0.144736842</v>
      </c>
      <c r="K2834" s="41">
        <v>0.368421053</v>
      </c>
      <c r="L2834" s="41"/>
      <c r="M2834" s="74">
        <v>-2.807548499</v>
      </c>
    </row>
    <row r="2835">
      <c r="A2835" s="1" t="s">
        <v>264</v>
      </c>
      <c r="B2835" s="38">
        <v>669920.0</v>
      </c>
      <c r="C2835" s="72">
        <v>45915.0</v>
      </c>
      <c r="D2835" s="38">
        <v>82.0</v>
      </c>
      <c r="E2835" s="75"/>
      <c r="F2835" s="67">
        <v>5.017830461</v>
      </c>
      <c r="G2835" s="40">
        <v>1.875755106</v>
      </c>
      <c r="H2835" s="40"/>
      <c r="I2835" s="41">
        <v>0.426829268</v>
      </c>
      <c r="J2835" s="41">
        <v>0.170731707</v>
      </c>
      <c r="K2835" s="41">
        <v>0.402439024</v>
      </c>
      <c r="L2835" s="41"/>
      <c r="M2835" s="74">
        <v>-0.113684637</v>
      </c>
    </row>
    <row r="2836">
      <c r="A2836" s="1" t="s">
        <v>353</v>
      </c>
      <c r="B2836" s="38">
        <v>663903.0</v>
      </c>
      <c r="C2836" s="72">
        <v>45816.0</v>
      </c>
      <c r="D2836" s="38">
        <v>76.0</v>
      </c>
      <c r="E2836" s="75"/>
      <c r="F2836" s="67">
        <v>5.017788748</v>
      </c>
      <c r="G2836" s="40">
        <v>1.728169287</v>
      </c>
      <c r="H2836" s="40"/>
      <c r="I2836" s="41">
        <v>0.473684211</v>
      </c>
      <c r="J2836" s="41">
        <v>0.210526316</v>
      </c>
      <c r="K2836" s="41">
        <v>0.315789474</v>
      </c>
      <c r="L2836" s="41"/>
      <c r="M2836" s="74">
        <v>0.147028476</v>
      </c>
    </row>
    <row r="2837">
      <c r="A2837" s="1" t="s">
        <v>432</v>
      </c>
      <c r="B2837" s="38">
        <v>669467.0</v>
      </c>
      <c r="C2837" s="72">
        <v>45895.0</v>
      </c>
      <c r="D2837" s="38">
        <v>88.0</v>
      </c>
      <c r="E2837" s="75"/>
      <c r="F2837" s="67">
        <v>5.017618226</v>
      </c>
      <c r="G2837" s="40">
        <v>2.014702748</v>
      </c>
      <c r="H2837" s="40"/>
      <c r="I2837" s="41">
        <v>0.477272727</v>
      </c>
      <c r="J2837" s="41">
        <v>0.181818182</v>
      </c>
      <c r="K2837" s="41">
        <v>0.340909091</v>
      </c>
      <c r="L2837" s="41"/>
      <c r="M2837" s="74">
        <v>-2.000427973</v>
      </c>
    </row>
    <row r="2838">
      <c r="A2838" s="1" t="s">
        <v>145</v>
      </c>
      <c r="B2838" s="38">
        <v>700241.0</v>
      </c>
      <c r="C2838" s="72">
        <v>45882.0</v>
      </c>
      <c r="D2838" s="38">
        <v>69.0</v>
      </c>
      <c r="E2838" s="75"/>
      <c r="F2838" s="67">
        <v>5.017503458</v>
      </c>
      <c r="G2838" s="40">
        <v>1.618247314</v>
      </c>
      <c r="H2838" s="40"/>
      <c r="I2838" s="41">
        <v>0.463768116</v>
      </c>
      <c r="J2838" s="41">
        <v>0.188405797</v>
      </c>
      <c r="K2838" s="41">
        <v>0.347826087</v>
      </c>
      <c r="L2838" s="41"/>
      <c r="M2838" s="74">
        <v>-1.951700997</v>
      </c>
    </row>
    <row r="2839">
      <c r="A2839" s="1" t="s">
        <v>189</v>
      </c>
      <c r="B2839" s="38">
        <v>607536.0</v>
      </c>
      <c r="C2839" s="72">
        <v>45892.0</v>
      </c>
      <c r="D2839" s="38">
        <v>87.0</v>
      </c>
      <c r="E2839" s="75"/>
      <c r="F2839" s="67">
        <v>5.017336263</v>
      </c>
      <c r="G2839" s="40">
        <v>1.981258068</v>
      </c>
      <c r="H2839" s="40"/>
      <c r="I2839" s="41">
        <v>0.425287356</v>
      </c>
      <c r="J2839" s="41">
        <v>0.218390805</v>
      </c>
      <c r="K2839" s="41">
        <v>0.356321839</v>
      </c>
      <c r="L2839" s="41"/>
      <c r="M2839" s="74">
        <v>0.472655906</v>
      </c>
    </row>
    <row r="2840">
      <c r="A2840" s="1" t="s">
        <v>272</v>
      </c>
      <c r="B2840" s="38">
        <v>622491.0</v>
      </c>
      <c r="C2840" s="72">
        <v>45809.0</v>
      </c>
      <c r="D2840" s="38">
        <v>96.0</v>
      </c>
      <c r="E2840" s="75"/>
      <c r="F2840" s="67">
        <v>5.017041921</v>
      </c>
      <c r="G2840" s="40">
        <v>2.198032362</v>
      </c>
      <c r="H2840" s="40"/>
      <c r="I2840" s="41">
        <v>0.479166667</v>
      </c>
      <c r="J2840" s="41">
        <v>0.1875</v>
      </c>
      <c r="K2840" s="41">
        <v>0.333333333</v>
      </c>
      <c r="L2840" s="41"/>
      <c r="M2840" s="74">
        <v>0.899865168</v>
      </c>
    </row>
    <row r="2841">
      <c r="A2841" s="1" t="s">
        <v>473</v>
      </c>
      <c r="B2841" s="38">
        <v>527048.0</v>
      </c>
      <c r="C2841" s="72">
        <v>45900.0</v>
      </c>
      <c r="D2841" s="38">
        <v>98.0</v>
      </c>
      <c r="E2841" s="75"/>
      <c r="F2841" s="67">
        <v>5.016959803</v>
      </c>
      <c r="G2841" s="40">
        <v>2.258547779</v>
      </c>
      <c r="H2841" s="40"/>
      <c r="I2841" s="41">
        <v>0.489795918</v>
      </c>
      <c r="J2841" s="41">
        <v>0.132653061</v>
      </c>
      <c r="K2841" s="41">
        <v>0.37755102</v>
      </c>
      <c r="L2841" s="41"/>
      <c r="M2841" s="74">
        <v>0.770006931</v>
      </c>
    </row>
    <row r="2842">
      <c r="A2842" s="1" t="s">
        <v>161</v>
      </c>
      <c r="B2842" s="38">
        <v>702070.0</v>
      </c>
      <c r="C2842" s="72">
        <v>45794.0</v>
      </c>
      <c r="D2842" s="38">
        <v>80.0</v>
      </c>
      <c r="E2842" s="75"/>
      <c r="F2842" s="67">
        <v>5.016809832</v>
      </c>
      <c r="G2842" s="40">
        <v>1.834201848</v>
      </c>
      <c r="H2842" s="40"/>
      <c r="I2842" s="41">
        <v>0.45</v>
      </c>
      <c r="J2842" s="41">
        <v>0.1125</v>
      </c>
      <c r="K2842" s="41">
        <v>0.4375</v>
      </c>
      <c r="L2842" s="41"/>
      <c r="M2842" s="74">
        <v>3.214082124</v>
      </c>
    </row>
    <row r="2843">
      <c r="A2843" s="1" t="s">
        <v>335</v>
      </c>
      <c r="B2843" s="38">
        <v>663436.0</v>
      </c>
      <c r="C2843" s="72">
        <v>45802.0</v>
      </c>
      <c r="D2843" s="38">
        <v>99.0</v>
      </c>
      <c r="E2843" s="75"/>
      <c r="F2843" s="67">
        <v>5.016788178</v>
      </c>
      <c r="G2843" s="40">
        <v>2.279518033</v>
      </c>
      <c r="H2843" s="40"/>
      <c r="I2843" s="41">
        <v>0.383838384</v>
      </c>
      <c r="J2843" s="41">
        <v>0.212121212</v>
      </c>
      <c r="K2843" s="41">
        <v>0.404040404</v>
      </c>
      <c r="L2843" s="41"/>
      <c r="M2843" s="74">
        <v>2.532445247</v>
      </c>
    </row>
    <row r="2844">
      <c r="A2844" s="1" t="s">
        <v>396</v>
      </c>
      <c r="B2844" s="38">
        <v>663623.0</v>
      </c>
      <c r="C2844" s="72">
        <v>45927.0</v>
      </c>
      <c r="D2844" s="38">
        <v>70.0</v>
      </c>
      <c r="E2844" s="75"/>
      <c r="F2844" s="67">
        <v>5.016605649</v>
      </c>
      <c r="G2844" s="40">
        <v>1.633665307</v>
      </c>
      <c r="H2844" s="40"/>
      <c r="I2844" s="41">
        <v>0.457142857</v>
      </c>
      <c r="J2844" s="41">
        <v>0.228571429</v>
      </c>
      <c r="K2844" s="41">
        <v>0.314285714</v>
      </c>
      <c r="L2844" s="41"/>
      <c r="M2844" s="74">
        <v>-1.1974981</v>
      </c>
    </row>
    <row r="2845">
      <c r="A2845" s="1" t="s">
        <v>177</v>
      </c>
      <c r="B2845" s="38">
        <v>641793.0</v>
      </c>
      <c r="C2845" s="72">
        <v>45891.0</v>
      </c>
      <c r="D2845" s="38">
        <v>73.0</v>
      </c>
      <c r="E2845" s="75"/>
      <c r="F2845" s="67">
        <v>5.016279602</v>
      </c>
      <c r="G2845" s="40">
        <v>1.664326363</v>
      </c>
      <c r="H2845" s="40"/>
      <c r="I2845" s="41">
        <v>0.397260274</v>
      </c>
      <c r="J2845" s="41">
        <v>0.219178082</v>
      </c>
      <c r="K2845" s="41">
        <v>0.383561644</v>
      </c>
      <c r="L2845" s="41"/>
      <c r="M2845" s="74">
        <v>0.875426351</v>
      </c>
    </row>
    <row r="2846">
      <c r="A2846" s="1" t="s">
        <v>431</v>
      </c>
      <c r="B2846" s="38">
        <v>669203.0</v>
      </c>
      <c r="C2846" s="72">
        <v>45798.0</v>
      </c>
      <c r="D2846" s="38">
        <v>96.0</v>
      </c>
      <c r="E2846" s="75"/>
      <c r="F2846" s="67">
        <v>5.016249413</v>
      </c>
      <c r="G2846" s="40">
        <v>2.209929444</v>
      </c>
      <c r="H2846" s="40"/>
      <c r="I2846" s="41">
        <v>0.40625</v>
      </c>
      <c r="J2846" s="41">
        <v>0.239583333</v>
      </c>
      <c r="K2846" s="41">
        <v>0.354166667</v>
      </c>
      <c r="L2846" s="41"/>
      <c r="M2846" s="74">
        <v>2.629704738</v>
      </c>
    </row>
    <row r="2847">
      <c r="A2847" s="1" t="s">
        <v>456</v>
      </c>
      <c r="B2847" s="38">
        <v>605135.0</v>
      </c>
      <c r="C2847" s="72">
        <v>45774.0</v>
      </c>
      <c r="D2847" s="38">
        <v>91.0</v>
      </c>
      <c r="E2847" s="75"/>
      <c r="F2847" s="67">
        <v>5.016200541</v>
      </c>
      <c r="G2847" s="40">
        <v>2.07660815</v>
      </c>
      <c r="H2847" s="40"/>
      <c r="I2847" s="41">
        <v>0.450549451</v>
      </c>
      <c r="J2847" s="41">
        <v>0.175824176</v>
      </c>
      <c r="K2847" s="41">
        <v>0.373626374</v>
      </c>
      <c r="L2847" s="41"/>
      <c r="M2847" s="74">
        <v>-0.0457709</v>
      </c>
    </row>
    <row r="2848">
      <c r="A2848" s="1" t="s">
        <v>411</v>
      </c>
      <c r="B2848" s="38">
        <v>605288.0</v>
      </c>
      <c r="C2848" s="72">
        <v>45891.0</v>
      </c>
      <c r="D2848" s="38">
        <v>89.0</v>
      </c>
      <c r="E2848" s="75"/>
      <c r="F2848" s="67">
        <v>5.015919681</v>
      </c>
      <c r="G2848" s="40">
        <v>2.05957347</v>
      </c>
      <c r="H2848" s="40"/>
      <c r="I2848" s="41">
        <v>0.449438202</v>
      </c>
      <c r="J2848" s="41">
        <v>0.213483146</v>
      </c>
      <c r="K2848" s="41">
        <v>0.337078652</v>
      </c>
      <c r="L2848" s="41"/>
      <c r="M2848" s="74">
        <v>1.35045948</v>
      </c>
    </row>
    <row r="2849">
      <c r="A2849" s="1" t="s">
        <v>497</v>
      </c>
      <c r="B2849" s="38">
        <v>678024.0</v>
      </c>
      <c r="C2849" s="72">
        <v>45832.0</v>
      </c>
      <c r="D2849" s="38">
        <v>64.0</v>
      </c>
      <c r="E2849" s="75"/>
      <c r="F2849" s="67">
        <v>5.015782836</v>
      </c>
      <c r="G2849" s="40">
        <v>1.499350094</v>
      </c>
      <c r="H2849" s="40"/>
      <c r="I2849" s="41">
        <v>0.375</v>
      </c>
      <c r="J2849" s="41">
        <v>0.234375</v>
      </c>
      <c r="K2849" s="41">
        <v>0.390625</v>
      </c>
      <c r="L2849" s="41"/>
      <c r="M2849" s="74">
        <v>1.713985408</v>
      </c>
    </row>
    <row r="2850">
      <c r="A2850" s="1" t="s">
        <v>232</v>
      </c>
      <c r="B2850" s="38">
        <v>579328.0</v>
      </c>
      <c r="C2850" s="72">
        <v>45895.0</v>
      </c>
      <c r="D2850" s="38">
        <v>78.0</v>
      </c>
      <c r="E2850" s="75"/>
      <c r="F2850" s="67">
        <v>5.015669112</v>
      </c>
      <c r="G2850" s="40">
        <v>1.800026316</v>
      </c>
      <c r="H2850" s="40"/>
      <c r="I2850" s="41">
        <v>0.564102564</v>
      </c>
      <c r="J2850" s="41">
        <v>0.08974359</v>
      </c>
      <c r="K2850" s="41">
        <v>0.346153846</v>
      </c>
      <c r="L2850" s="41"/>
      <c r="M2850" s="74">
        <v>-0.06150274</v>
      </c>
    </row>
    <row r="2851">
      <c r="A2851" s="1" t="s">
        <v>269</v>
      </c>
      <c r="B2851" s="38">
        <v>605280.0</v>
      </c>
      <c r="C2851" s="72">
        <v>45809.0</v>
      </c>
      <c r="D2851" s="38">
        <v>81.0</v>
      </c>
      <c r="E2851" s="75"/>
      <c r="F2851" s="67">
        <v>5.01565667</v>
      </c>
      <c r="G2851" s="40">
        <v>1.857388214</v>
      </c>
      <c r="H2851" s="40"/>
      <c r="I2851" s="41">
        <v>0.456790123</v>
      </c>
      <c r="J2851" s="41">
        <v>0.135802469</v>
      </c>
      <c r="K2851" s="41">
        <v>0.407407407</v>
      </c>
      <c r="L2851" s="41"/>
      <c r="M2851" s="74">
        <v>2.248367641</v>
      </c>
    </row>
    <row r="2852">
      <c r="A2852" s="1" t="s">
        <v>413</v>
      </c>
      <c r="B2852" s="38">
        <v>671737.0</v>
      </c>
      <c r="C2852" s="72">
        <v>45776.0</v>
      </c>
      <c r="D2852" s="38">
        <v>100.0</v>
      </c>
      <c r="E2852" s="75"/>
      <c r="F2852" s="67">
        <v>5.015393169</v>
      </c>
      <c r="G2852" s="40">
        <v>2.306737953</v>
      </c>
      <c r="H2852" s="40"/>
      <c r="I2852" s="41">
        <v>0.47</v>
      </c>
      <c r="J2852" s="41">
        <v>0.2</v>
      </c>
      <c r="K2852" s="41">
        <v>0.33</v>
      </c>
      <c r="L2852" s="41"/>
      <c r="M2852" s="74">
        <v>1.271031527</v>
      </c>
    </row>
    <row r="2853">
      <c r="A2853" s="1" t="s">
        <v>247</v>
      </c>
      <c r="B2853" s="38">
        <v>605540.0</v>
      </c>
      <c r="C2853" s="72">
        <v>45871.0</v>
      </c>
      <c r="D2853" s="38">
        <v>83.0</v>
      </c>
      <c r="E2853" s="75"/>
      <c r="F2853" s="67">
        <v>5.015364792</v>
      </c>
      <c r="G2853" s="40">
        <v>1.901844077</v>
      </c>
      <c r="H2853" s="40"/>
      <c r="I2853" s="41">
        <v>0.481927711</v>
      </c>
      <c r="J2853" s="41">
        <v>0.168674699</v>
      </c>
      <c r="K2853" s="41">
        <v>0.34939759</v>
      </c>
      <c r="L2853" s="41"/>
      <c r="M2853" s="74">
        <v>4.791855452</v>
      </c>
    </row>
    <row r="2854">
      <c r="A2854" s="1" t="s">
        <v>325</v>
      </c>
      <c r="B2854" s="38">
        <v>676917.0</v>
      </c>
      <c r="C2854" s="72">
        <v>45926.0</v>
      </c>
      <c r="D2854" s="38">
        <v>70.0</v>
      </c>
      <c r="E2854" s="75"/>
      <c r="F2854" s="67">
        <v>5.015321093</v>
      </c>
      <c r="G2854" s="40">
        <v>1.616768904</v>
      </c>
      <c r="H2854" s="40"/>
      <c r="I2854" s="41">
        <v>0.442857143</v>
      </c>
      <c r="J2854" s="41">
        <v>0.242857143</v>
      </c>
      <c r="K2854" s="41">
        <v>0.314285714</v>
      </c>
      <c r="L2854" s="41"/>
      <c r="M2854" s="74">
        <v>-1.79662784</v>
      </c>
    </row>
    <row r="2855">
      <c r="A2855" s="1" t="s">
        <v>316</v>
      </c>
      <c r="B2855" s="38">
        <v>656427.0</v>
      </c>
      <c r="C2855" s="72">
        <v>45870.0</v>
      </c>
      <c r="D2855" s="38">
        <v>93.0</v>
      </c>
      <c r="E2855" s="75"/>
      <c r="F2855" s="67">
        <v>5.015168378</v>
      </c>
      <c r="G2855" s="40">
        <v>2.102946261</v>
      </c>
      <c r="H2855" s="40"/>
      <c r="I2855" s="41">
        <v>0.483870968</v>
      </c>
      <c r="J2855" s="41">
        <v>0.182795699</v>
      </c>
      <c r="K2855" s="41">
        <v>0.333333333</v>
      </c>
      <c r="L2855" s="41"/>
      <c r="M2855" s="74">
        <v>2.513108076</v>
      </c>
    </row>
    <row r="2856">
      <c r="A2856" s="1" t="s">
        <v>188</v>
      </c>
      <c r="B2856" s="38">
        <v>694819.0</v>
      </c>
      <c r="C2856" s="72">
        <v>45919.0</v>
      </c>
      <c r="D2856" s="38">
        <v>77.0</v>
      </c>
      <c r="E2856" s="75"/>
      <c r="F2856" s="67">
        <v>5.014922366</v>
      </c>
      <c r="G2856" s="40">
        <v>1.74735028</v>
      </c>
      <c r="H2856" s="40"/>
      <c r="I2856" s="41">
        <v>0.467532468</v>
      </c>
      <c r="J2856" s="41">
        <v>0.207792208</v>
      </c>
      <c r="K2856" s="41">
        <v>0.324675325</v>
      </c>
      <c r="L2856" s="41"/>
      <c r="M2856" s="74">
        <v>-1.61927319</v>
      </c>
    </row>
    <row r="2857">
      <c r="A2857" s="1" t="s">
        <v>424</v>
      </c>
      <c r="B2857" s="38">
        <v>667755.0</v>
      </c>
      <c r="C2857" s="72">
        <v>45858.0</v>
      </c>
      <c r="D2857" s="38">
        <v>93.0</v>
      </c>
      <c r="E2857" s="75"/>
      <c r="F2857" s="67">
        <v>5.014908942</v>
      </c>
      <c r="G2857" s="40">
        <v>2.107647058</v>
      </c>
      <c r="H2857" s="40"/>
      <c r="I2857" s="41">
        <v>0.47311828</v>
      </c>
      <c r="J2857" s="41">
        <v>0.204301075</v>
      </c>
      <c r="K2857" s="41">
        <v>0.322580645</v>
      </c>
      <c r="L2857" s="41"/>
      <c r="M2857" s="74">
        <v>0.555161811</v>
      </c>
    </row>
    <row r="2858">
      <c r="A2858" s="1" t="s">
        <v>509</v>
      </c>
      <c r="B2858" s="38">
        <v>676106.0</v>
      </c>
      <c r="C2858" s="72">
        <v>45823.0</v>
      </c>
      <c r="D2858" s="38">
        <v>82.0</v>
      </c>
      <c r="E2858" s="75"/>
      <c r="F2858" s="67">
        <v>5.014745225</v>
      </c>
      <c r="G2858" s="40">
        <v>1.891216688</v>
      </c>
      <c r="H2858" s="40"/>
      <c r="I2858" s="41">
        <v>0.451219512</v>
      </c>
      <c r="J2858" s="41">
        <v>0.231707317</v>
      </c>
      <c r="K2858" s="41">
        <v>0.317073171</v>
      </c>
      <c r="L2858" s="41"/>
      <c r="M2858" s="74">
        <v>2.765176367</v>
      </c>
    </row>
    <row r="2859">
      <c r="A2859" s="1" t="s">
        <v>336</v>
      </c>
      <c r="B2859" s="38">
        <v>605488.0</v>
      </c>
      <c r="C2859" s="72">
        <v>45773.0</v>
      </c>
      <c r="D2859" s="38">
        <v>95.0</v>
      </c>
      <c r="E2859" s="75"/>
      <c r="F2859" s="67">
        <v>5.014651996</v>
      </c>
      <c r="G2859" s="40">
        <v>2.218464542</v>
      </c>
      <c r="H2859" s="40"/>
      <c r="I2859" s="41">
        <v>0.473684211</v>
      </c>
      <c r="J2859" s="41">
        <v>0.178947368</v>
      </c>
      <c r="K2859" s="41">
        <v>0.347368421</v>
      </c>
      <c r="L2859" s="41"/>
      <c r="M2859" s="74">
        <v>-1.303881323</v>
      </c>
    </row>
    <row r="2860">
      <c r="A2860" s="1" t="s">
        <v>147</v>
      </c>
      <c r="B2860" s="38">
        <v>608379.0</v>
      </c>
      <c r="C2860" s="72">
        <v>45843.0</v>
      </c>
      <c r="D2860" s="38">
        <v>95.0</v>
      </c>
      <c r="E2860" s="75"/>
      <c r="F2860" s="67">
        <v>5.014225973</v>
      </c>
      <c r="G2860" s="40">
        <v>2.155238895</v>
      </c>
      <c r="H2860" s="40"/>
      <c r="I2860" s="41">
        <v>0.463157895</v>
      </c>
      <c r="J2860" s="41">
        <v>0.157894737</v>
      </c>
      <c r="K2860" s="41">
        <v>0.378947368</v>
      </c>
      <c r="L2860" s="41"/>
      <c r="M2860" s="74">
        <v>1.288324696</v>
      </c>
    </row>
    <row r="2861">
      <c r="A2861" s="1" t="s">
        <v>336</v>
      </c>
      <c r="B2861" s="38">
        <v>605488.0</v>
      </c>
      <c r="C2861" s="72">
        <v>45767.0</v>
      </c>
      <c r="D2861" s="38">
        <v>66.0</v>
      </c>
      <c r="E2861" s="75"/>
      <c r="F2861" s="67">
        <v>5.014033789</v>
      </c>
      <c r="G2861" s="40">
        <v>1.512025707</v>
      </c>
      <c r="H2861" s="40"/>
      <c r="I2861" s="41">
        <v>0.575757576</v>
      </c>
      <c r="J2861" s="41">
        <v>0.075757576</v>
      </c>
      <c r="K2861" s="41">
        <v>0.348484848</v>
      </c>
      <c r="L2861" s="41"/>
      <c r="M2861" s="74">
        <v>-1.292540712</v>
      </c>
    </row>
    <row r="2862">
      <c r="A2862" s="1" t="s">
        <v>356</v>
      </c>
      <c r="B2862" s="38">
        <v>680732.0</v>
      </c>
      <c r="C2862" s="72">
        <v>45819.0</v>
      </c>
      <c r="D2862" s="38">
        <v>67.0</v>
      </c>
      <c r="E2862" s="75"/>
      <c r="F2862" s="67">
        <v>5.013898517</v>
      </c>
      <c r="G2862" s="40">
        <v>1.524993134</v>
      </c>
      <c r="H2862" s="40"/>
      <c r="I2862" s="41">
        <v>0.432835821</v>
      </c>
      <c r="J2862" s="41">
        <v>0.208955224</v>
      </c>
      <c r="K2862" s="41">
        <v>0.358208955</v>
      </c>
      <c r="L2862" s="41"/>
      <c r="M2862" s="74">
        <v>-3.33593812</v>
      </c>
    </row>
    <row r="2863">
      <c r="A2863" s="1" t="s">
        <v>341</v>
      </c>
      <c r="B2863" s="38">
        <v>676962.0</v>
      </c>
      <c r="C2863" s="72">
        <v>45802.0</v>
      </c>
      <c r="D2863" s="38">
        <v>85.0</v>
      </c>
      <c r="E2863" s="75"/>
      <c r="F2863" s="67">
        <v>5.013828644</v>
      </c>
      <c r="G2863" s="40">
        <v>1.966703606</v>
      </c>
      <c r="H2863" s="40"/>
      <c r="I2863" s="41">
        <v>0.470588235</v>
      </c>
      <c r="J2863" s="41">
        <v>0.176470588</v>
      </c>
      <c r="K2863" s="41">
        <v>0.352941176</v>
      </c>
      <c r="L2863" s="41"/>
      <c r="M2863" s="74">
        <v>-2.497481594</v>
      </c>
    </row>
    <row r="2864">
      <c r="A2864" s="1" t="s">
        <v>351</v>
      </c>
      <c r="B2864" s="38">
        <v>689017.0</v>
      </c>
      <c r="C2864" s="72">
        <v>45790.0</v>
      </c>
      <c r="D2864" s="38">
        <v>91.0</v>
      </c>
      <c r="E2864" s="75"/>
      <c r="F2864" s="67">
        <v>5.013783272</v>
      </c>
      <c r="G2864" s="40">
        <v>2.086969057</v>
      </c>
      <c r="H2864" s="40"/>
      <c r="I2864" s="41">
        <v>0.450549451</v>
      </c>
      <c r="J2864" s="41">
        <v>0.153846154</v>
      </c>
      <c r="K2864" s="41">
        <v>0.395604396</v>
      </c>
      <c r="L2864" s="41"/>
      <c r="M2864" s="74">
        <v>-2.776903314</v>
      </c>
    </row>
    <row r="2865">
      <c r="A2865" s="1" t="s">
        <v>224</v>
      </c>
      <c r="B2865" s="38">
        <v>686701.0</v>
      </c>
      <c r="C2865" s="72">
        <v>45811.0</v>
      </c>
      <c r="D2865" s="38">
        <v>83.0</v>
      </c>
      <c r="E2865" s="75"/>
      <c r="F2865" s="67">
        <v>5.013586307</v>
      </c>
      <c r="G2865" s="40">
        <v>1.921361197</v>
      </c>
      <c r="H2865" s="40"/>
      <c r="I2865" s="41">
        <v>0.469879518</v>
      </c>
      <c r="J2865" s="41">
        <v>0.144578313</v>
      </c>
      <c r="K2865" s="41">
        <v>0.385542169</v>
      </c>
      <c r="L2865" s="41"/>
      <c r="M2865" s="74">
        <v>-1.170476276</v>
      </c>
    </row>
    <row r="2866">
      <c r="A2866" s="1" t="s">
        <v>476</v>
      </c>
      <c r="B2866" s="38">
        <v>500779.0</v>
      </c>
      <c r="C2866" s="72">
        <v>45870.0</v>
      </c>
      <c r="D2866" s="38">
        <v>89.0</v>
      </c>
      <c r="E2866" s="75"/>
      <c r="F2866" s="67">
        <v>5.013564513</v>
      </c>
      <c r="G2866" s="40">
        <v>2.034234446</v>
      </c>
      <c r="H2866" s="40"/>
      <c r="I2866" s="41">
        <v>0.382022472</v>
      </c>
      <c r="J2866" s="41">
        <v>0.179775281</v>
      </c>
      <c r="K2866" s="41">
        <v>0.438202247</v>
      </c>
      <c r="L2866" s="41"/>
      <c r="M2866" s="74">
        <v>-0.630454453</v>
      </c>
    </row>
    <row r="2867">
      <c r="A2867" s="1" t="s">
        <v>88</v>
      </c>
      <c r="B2867" s="38">
        <v>694973.0</v>
      </c>
      <c r="C2867" s="72">
        <v>45881.0</v>
      </c>
      <c r="D2867" s="38">
        <v>89.0</v>
      </c>
      <c r="E2867" s="75"/>
      <c r="F2867" s="67">
        <v>5.013343104</v>
      </c>
      <c r="G2867" s="40">
        <v>2.027260872</v>
      </c>
      <c r="H2867" s="40"/>
      <c r="I2867" s="41">
        <v>0.516853933</v>
      </c>
      <c r="J2867" s="41">
        <v>0.134831461</v>
      </c>
      <c r="K2867" s="41">
        <v>0.348314607</v>
      </c>
      <c r="L2867" s="41"/>
      <c r="M2867" s="74">
        <v>0.292995222</v>
      </c>
    </row>
    <row r="2868">
      <c r="A2868" s="1" t="s">
        <v>115</v>
      </c>
      <c r="B2868" s="38">
        <v>543135.0</v>
      </c>
      <c r="C2868" s="72">
        <v>45760.0</v>
      </c>
      <c r="D2868" s="38">
        <v>87.0</v>
      </c>
      <c r="E2868" s="75"/>
      <c r="F2868" s="67">
        <v>5.013225719</v>
      </c>
      <c r="G2868" s="40">
        <v>1.988984345</v>
      </c>
      <c r="H2868" s="40"/>
      <c r="I2868" s="41">
        <v>0.505747126</v>
      </c>
      <c r="J2868" s="41">
        <v>0.16091954</v>
      </c>
      <c r="K2868" s="41">
        <v>0.333333333</v>
      </c>
      <c r="L2868" s="41"/>
      <c r="M2868" s="74">
        <v>1.442017019</v>
      </c>
    </row>
    <row r="2869">
      <c r="A2869" s="1" t="s">
        <v>100</v>
      </c>
      <c r="B2869" s="38">
        <v>676979.0</v>
      </c>
      <c r="C2869" s="72">
        <v>45858.0</v>
      </c>
      <c r="D2869" s="38">
        <v>98.0</v>
      </c>
      <c r="E2869" s="75"/>
      <c r="F2869" s="67">
        <v>5.01312719</v>
      </c>
      <c r="G2869" s="40">
        <v>2.25096927</v>
      </c>
      <c r="H2869" s="40"/>
      <c r="I2869" s="41">
        <v>0.469387755</v>
      </c>
      <c r="J2869" s="41">
        <v>0.214285714</v>
      </c>
      <c r="K2869" s="41">
        <v>0.316326531</v>
      </c>
      <c r="L2869" s="41"/>
      <c r="M2869" s="74">
        <v>-2.042059376</v>
      </c>
    </row>
    <row r="2870">
      <c r="A2870" s="1" t="s">
        <v>399</v>
      </c>
      <c r="B2870" s="38">
        <v>543294.0</v>
      </c>
      <c r="C2870" s="72">
        <v>45836.0</v>
      </c>
      <c r="D2870" s="38">
        <v>73.0</v>
      </c>
      <c r="E2870" s="75"/>
      <c r="F2870" s="67">
        <v>5.012992387</v>
      </c>
      <c r="G2870" s="40">
        <v>1.677165789</v>
      </c>
      <c r="H2870" s="40"/>
      <c r="I2870" s="41">
        <v>0.397260274</v>
      </c>
      <c r="J2870" s="41">
        <v>0.232876712</v>
      </c>
      <c r="K2870" s="41">
        <v>0.369863014</v>
      </c>
      <c r="L2870" s="41"/>
      <c r="M2870" s="74">
        <v>1.54736397</v>
      </c>
    </row>
    <row r="2871">
      <c r="A2871" s="1" t="s">
        <v>480</v>
      </c>
      <c r="B2871" s="38">
        <v>647336.0</v>
      </c>
      <c r="C2871" s="72">
        <v>45790.0</v>
      </c>
      <c r="D2871" s="38">
        <v>78.0</v>
      </c>
      <c r="E2871" s="75"/>
      <c r="F2871" s="67">
        <v>5.012894689</v>
      </c>
      <c r="G2871" s="40">
        <v>1.805117315</v>
      </c>
      <c r="H2871" s="40"/>
      <c r="I2871" s="41">
        <v>0.525641026</v>
      </c>
      <c r="J2871" s="41">
        <v>0.115384615</v>
      </c>
      <c r="K2871" s="41">
        <v>0.358974359</v>
      </c>
      <c r="L2871" s="41"/>
      <c r="M2871" s="74">
        <v>2.26314855</v>
      </c>
    </row>
    <row r="2872">
      <c r="A2872" s="1" t="s">
        <v>513</v>
      </c>
      <c r="B2872" s="38">
        <v>608566.0</v>
      </c>
      <c r="C2872" s="72">
        <v>45804.0</v>
      </c>
      <c r="D2872" s="38">
        <v>84.0</v>
      </c>
      <c r="E2872" s="75"/>
      <c r="F2872" s="67">
        <v>5.012835576</v>
      </c>
      <c r="G2872" s="40">
        <v>1.973466697</v>
      </c>
      <c r="H2872" s="40"/>
      <c r="I2872" s="41">
        <v>0.404761905</v>
      </c>
      <c r="J2872" s="41">
        <v>0.273809524</v>
      </c>
      <c r="K2872" s="41">
        <v>0.321428571</v>
      </c>
      <c r="L2872" s="41"/>
      <c r="M2872" s="74">
        <v>-1.444356257</v>
      </c>
    </row>
    <row r="2873">
      <c r="A2873" s="1" t="s">
        <v>423</v>
      </c>
      <c r="B2873" s="38">
        <v>656605.0</v>
      </c>
      <c r="C2873" s="72">
        <v>45851.0</v>
      </c>
      <c r="D2873" s="38">
        <v>81.0</v>
      </c>
      <c r="E2873" s="75"/>
      <c r="F2873" s="67">
        <v>5.012584488</v>
      </c>
      <c r="G2873" s="40">
        <v>1.864676924</v>
      </c>
      <c r="H2873" s="40"/>
      <c r="I2873" s="41">
        <v>0.358024691</v>
      </c>
      <c r="J2873" s="41">
        <v>0.271604938</v>
      </c>
      <c r="K2873" s="41">
        <v>0.37037037</v>
      </c>
      <c r="L2873" s="41"/>
      <c r="M2873" s="74">
        <v>2.801903271</v>
      </c>
    </row>
    <row r="2874">
      <c r="A2874" s="1" t="s">
        <v>296</v>
      </c>
      <c r="B2874" s="38">
        <v>669372.0</v>
      </c>
      <c r="C2874" s="72">
        <v>45918.0</v>
      </c>
      <c r="D2874" s="38">
        <v>96.0</v>
      </c>
      <c r="E2874" s="75"/>
      <c r="F2874" s="67">
        <v>5.01255605</v>
      </c>
      <c r="G2874" s="40">
        <v>2.17717078</v>
      </c>
      <c r="H2874" s="40"/>
      <c r="I2874" s="41">
        <v>0.447916667</v>
      </c>
      <c r="J2874" s="41">
        <v>0.229166667</v>
      </c>
      <c r="K2874" s="41">
        <v>0.322916667</v>
      </c>
      <c r="L2874" s="41"/>
      <c r="M2874" s="74">
        <v>0.937519894</v>
      </c>
    </row>
    <row r="2875">
      <c r="A2875" s="1" t="s">
        <v>166</v>
      </c>
      <c r="B2875" s="38">
        <v>608331.0</v>
      </c>
      <c r="C2875" s="72">
        <v>45828.0</v>
      </c>
      <c r="D2875" s="38">
        <v>100.0</v>
      </c>
      <c r="E2875" s="75"/>
      <c r="F2875" s="67">
        <v>5.012289957</v>
      </c>
      <c r="G2875" s="40">
        <v>2.279170024</v>
      </c>
      <c r="H2875" s="40"/>
      <c r="I2875" s="41">
        <v>0.52</v>
      </c>
      <c r="J2875" s="41">
        <v>0.12</v>
      </c>
      <c r="K2875" s="41">
        <v>0.36</v>
      </c>
      <c r="L2875" s="41"/>
      <c r="M2875" s="74">
        <v>0.258984444</v>
      </c>
    </row>
    <row r="2876">
      <c r="A2876" s="1" t="s">
        <v>130</v>
      </c>
      <c r="B2876" s="38">
        <v>666200.0</v>
      </c>
      <c r="C2876" s="72">
        <v>45773.0</v>
      </c>
      <c r="D2876" s="38">
        <v>100.0</v>
      </c>
      <c r="E2876" s="75"/>
      <c r="F2876" s="67">
        <v>5.012218567</v>
      </c>
      <c r="G2876" s="40">
        <v>2.284722262</v>
      </c>
      <c r="H2876" s="40"/>
      <c r="I2876" s="41">
        <v>0.46</v>
      </c>
      <c r="J2876" s="41">
        <v>0.19</v>
      </c>
      <c r="K2876" s="41">
        <v>0.35</v>
      </c>
      <c r="L2876" s="41"/>
      <c r="M2876" s="74">
        <v>1.892447499</v>
      </c>
    </row>
    <row r="2877">
      <c r="A2877" s="1" t="s">
        <v>371</v>
      </c>
      <c r="B2877" s="38">
        <v>681293.0</v>
      </c>
      <c r="C2877" s="72">
        <v>45752.0</v>
      </c>
      <c r="D2877" s="38">
        <v>67.0</v>
      </c>
      <c r="E2877" s="75"/>
      <c r="F2877" s="67">
        <v>5.011664286</v>
      </c>
      <c r="G2877" s="40">
        <v>1.516367847</v>
      </c>
      <c r="H2877" s="40"/>
      <c r="I2877" s="41">
        <v>0.567164179</v>
      </c>
      <c r="J2877" s="41">
        <v>0.044776119</v>
      </c>
      <c r="K2877" s="41">
        <v>0.388059701</v>
      </c>
      <c r="L2877" s="41"/>
      <c r="M2877" s="74">
        <v>-0.170466019</v>
      </c>
    </row>
    <row r="2878">
      <c r="A2878" s="1" t="s">
        <v>194</v>
      </c>
      <c r="B2878" s="38">
        <v>666157.0</v>
      </c>
      <c r="C2878" s="72">
        <v>45896.0</v>
      </c>
      <c r="D2878" s="38">
        <v>75.0</v>
      </c>
      <c r="E2878" s="75"/>
      <c r="F2878" s="67">
        <v>5.011558352</v>
      </c>
      <c r="G2878" s="40">
        <v>1.719756326</v>
      </c>
      <c r="H2878" s="40"/>
      <c r="I2878" s="41">
        <v>0.466666667</v>
      </c>
      <c r="J2878" s="41">
        <v>0.226666667</v>
      </c>
      <c r="K2878" s="41">
        <v>0.306666667</v>
      </c>
      <c r="L2878" s="41"/>
      <c r="M2878" s="74">
        <v>0.627391299</v>
      </c>
    </row>
    <row r="2879">
      <c r="A2879" s="1" t="s">
        <v>363</v>
      </c>
      <c r="B2879" s="38">
        <v>693645.0</v>
      </c>
      <c r="C2879" s="72">
        <v>45877.0</v>
      </c>
      <c r="D2879" s="38">
        <v>97.0</v>
      </c>
      <c r="E2879" s="75"/>
      <c r="F2879" s="67">
        <v>5.011519247</v>
      </c>
      <c r="G2879" s="40">
        <v>2.218445921</v>
      </c>
      <c r="H2879" s="40"/>
      <c r="I2879" s="41">
        <v>0.391752577</v>
      </c>
      <c r="J2879" s="41">
        <v>0.257731959</v>
      </c>
      <c r="K2879" s="41">
        <v>0.350515464</v>
      </c>
      <c r="L2879" s="41"/>
      <c r="M2879" s="74">
        <v>-1.683736944</v>
      </c>
    </row>
    <row r="2880">
      <c r="A2880" s="1" t="s">
        <v>371</v>
      </c>
      <c r="B2880" s="38">
        <v>681293.0</v>
      </c>
      <c r="C2880" s="72">
        <v>45881.0</v>
      </c>
      <c r="D2880" s="38">
        <v>86.0</v>
      </c>
      <c r="E2880" s="75"/>
      <c r="F2880" s="67">
        <v>5.011474104</v>
      </c>
      <c r="G2880" s="40">
        <v>1.970017499</v>
      </c>
      <c r="H2880" s="40"/>
      <c r="I2880" s="41">
        <v>0.534883721</v>
      </c>
      <c r="J2880" s="41">
        <v>0.151162791</v>
      </c>
      <c r="K2880" s="41">
        <v>0.313953488</v>
      </c>
      <c r="L2880" s="41"/>
      <c r="M2880" s="74">
        <v>2.992088884</v>
      </c>
    </row>
    <row r="2881">
      <c r="A2881" s="1" t="s">
        <v>335</v>
      </c>
      <c r="B2881" s="38">
        <v>663436.0</v>
      </c>
      <c r="C2881" s="72">
        <v>45897.0</v>
      </c>
      <c r="D2881" s="38">
        <v>78.0</v>
      </c>
      <c r="E2881" s="75"/>
      <c r="F2881" s="67">
        <v>5.011455442</v>
      </c>
      <c r="G2881" s="40">
        <v>1.810733312</v>
      </c>
      <c r="H2881" s="40"/>
      <c r="I2881" s="41">
        <v>0.474358974</v>
      </c>
      <c r="J2881" s="41">
        <v>0.153846154</v>
      </c>
      <c r="K2881" s="41">
        <v>0.371794872</v>
      </c>
      <c r="L2881" s="41"/>
      <c r="M2881" s="74">
        <v>1.453635377</v>
      </c>
    </row>
    <row r="2882">
      <c r="A2882" s="1" t="s">
        <v>220</v>
      </c>
      <c r="B2882" s="38">
        <v>663559.0</v>
      </c>
      <c r="C2882" s="72">
        <v>45819.0</v>
      </c>
      <c r="D2882" s="38">
        <v>71.0</v>
      </c>
      <c r="E2882" s="75"/>
      <c r="F2882" s="67">
        <v>5.011228969</v>
      </c>
      <c r="G2882" s="40">
        <v>1.652259661</v>
      </c>
      <c r="H2882" s="40"/>
      <c r="I2882" s="41">
        <v>0.464788732</v>
      </c>
      <c r="J2882" s="41">
        <v>0.169014085</v>
      </c>
      <c r="K2882" s="41">
        <v>0.366197183</v>
      </c>
      <c r="L2882" s="41"/>
      <c r="M2882" s="74">
        <v>-1.210601688</v>
      </c>
    </row>
    <row r="2883">
      <c r="A2883" s="1" t="s">
        <v>396</v>
      </c>
      <c r="B2883" s="38">
        <v>663623.0</v>
      </c>
      <c r="C2883" s="72">
        <v>45767.0</v>
      </c>
      <c r="D2883" s="38">
        <v>82.0</v>
      </c>
      <c r="E2883" s="75"/>
      <c r="F2883" s="67">
        <v>5.011038929</v>
      </c>
      <c r="G2883" s="40">
        <v>1.905654638</v>
      </c>
      <c r="H2883" s="40"/>
      <c r="I2883" s="41">
        <v>0.463414634</v>
      </c>
      <c r="J2883" s="41">
        <v>0.146341463</v>
      </c>
      <c r="K2883" s="41">
        <v>0.390243902</v>
      </c>
      <c r="L2883" s="41"/>
      <c r="M2883" s="74">
        <v>2.524955518</v>
      </c>
    </row>
    <row r="2884">
      <c r="A2884" s="1" t="s">
        <v>308</v>
      </c>
      <c r="B2884" s="38">
        <v>676440.0</v>
      </c>
      <c r="C2884" s="72">
        <v>45793.0</v>
      </c>
      <c r="D2884" s="38">
        <v>102.0</v>
      </c>
      <c r="E2884" s="75"/>
      <c r="F2884" s="67">
        <v>5.010842271</v>
      </c>
      <c r="G2884" s="40">
        <v>2.348322886</v>
      </c>
      <c r="H2884" s="40"/>
      <c r="I2884" s="41">
        <v>0.441176471</v>
      </c>
      <c r="J2884" s="41">
        <v>0.166666667</v>
      </c>
      <c r="K2884" s="41">
        <v>0.392156863</v>
      </c>
      <c r="L2884" s="41"/>
      <c r="M2884" s="74">
        <v>-3.843259142</v>
      </c>
    </row>
    <row r="2885">
      <c r="A2885" s="1" t="s">
        <v>341</v>
      </c>
      <c r="B2885" s="38">
        <v>676962.0</v>
      </c>
      <c r="C2885" s="72">
        <v>45734.0</v>
      </c>
      <c r="D2885" s="38">
        <v>64.0</v>
      </c>
      <c r="E2885" s="75"/>
      <c r="F2885" s="67">
        <v>5.010449422</v>
      </c>
      <c r="G2885" s="40">
        <v>1.456173402</v>
      </c>
      <c r="H2885" s="40"/>
      <c r="I2885" s="41">
        <v>0.5</v>
      </c>
      <c r="J2885" s="41">
        <v>0.078125</v>
      </c>
      <c r="K2885" s="41">
        <v>0.421875</v>
      </c>
      <c r="L2885" s="41"/>
      <c r="M2885" s="74">
        <v>-1.50818926</v>
      </c>
    </row>
    <row r="2886">
      <c r="A2886" s="1" t="s">
        <v>296</v>
      </c>
      <c r="B2886" s="38">
        <v>669372.0</v>
      </c>
      <c r="C2886" s="72">
        <v>45889.0</v>
      </c>
      <c r="D2886" s="38">
        <v>78.0</v>
      </c>
      <c r="E2886" s="75"/>
      <c r="F2886" s="67">
        <v>5.010388494</v>
      </c>
      <c r="G2886" s="40">
        <v>1.842193899</v>
      </c>
      <c r="H2886" s="40"/>
      <c r="I2886" s="41">
        <v>0.41025641</v>
      </c>
      <c r="J2886" s="41">
        <v>0.243589744</v>
      </c>
      <c r="K2886" s="41">
        <v>0.346153846</v>
      </c>
      <c r="L2886" s="41"/>
      <c r="M2886" s="74">
        <v>-2.058545308</v>
      </c>
    </row>
    <row r="2887">
      <c r="A2887" s="1" t="s">
        <v>399</v>
      </c>
      <c r="B2887" s="38">
        <v>543294.0</v>
      </c>
      <c r="C2887" s="72">
        <v>45847.0</v>
      </c>
      <c r="D2887" s="38">
        <v>77.0</v>
      </c>
      <c r="E2887" s="75"/>
      <c r="F2887" s="67">
        <v>5.010013637</v>
      </c>
      <c r="G2887" s="40">
        <v>1.785762146</v>
      </c>
      <c r="H2887" s="40"/>
      <c r="I2887" s="41">
        <v>0.350649351</v>
      </c>
      <c r="J2887" s="41">
        <v>0.246753247</v>
      </c>
      <c r="K2887" s="41">
        <v>0.402597403</v>
      </c>
      <c r="L2887" s="41"/>
      <c r="M2887" s="74">
        <v>-0.186904936</v>
      </c>
    </row>
    <row r="2888">
      <c r="A2888" s="1" t="s">
        <v>424</v>
      </c>
      <c r="B2888" s="38">
        <v>667755.0</v>
      </c>
      <c r="C2888" s="72">
        <v>45763.0</v>
      </c>
      <c r="D2888" s="38">
        <v>87.0</v>
      </c>
      <c r="E2888" s="75"/>
      <c r="F2888" s="67">
        <v>5.009990364</v>
      </c>
      <c r="G2888" s="40">
        <v>2.042633548</v>
      </c>
      <c r="H2888" s="40"/>
      <c r="I2888" s="41">
        <v>0.436781609</v>
      </c>
      <c r="J2888" s="41">
        <v>0.206896552</v>
      </c>
      <c r="K2888" s="41">
        <v>0.356321839</v>
      </c>
      <c r="L2888" s="41"/>
      <c r="M2888" s="74">
        <v>-3.886352978</v>
      </c>
    </row>
    <row r="2889">
      <c r="A2889" s="1" t="s">
        <v>420</v>
      </c>
      <c r="B2889" s="38">
        <v>547179.0</v>
      </c>
      <c r="C2889" s="72">
        <v>45828.0</v>
      </c>
      <c r="D2889" s="38">
        <v>88.0</v>
      </c>
      <c r="E2889" s="75"/>
      <c r="F2889" s="67">
        <v>5.009893748</v>
      </c>
      <c r="G2889" s="40">
        <v>1.986169657</v>
      </c>
      <c r="H2889" s="40"/>
      <c r="I2889" s="41">
        <v>0.454545455</v>
      </c>
      <c r="J2889" s="41">
        <v>0.227272727</v>
      </c>
      <c r="K2889" s="41">
        <v>0.318181818</v>
      </c>
      <c r="L2889" s="41"/>
      <c r="M2889" s="74">
        <v>0.11778305</v>
      </c>
    </row>
    <row r="2890">
      <c r="A2890" s="1" t="s">
        <v>285</v>
      </c>
      <c r="B2890" s="38">
        <v>607074.0</v>
      </c>
      <c r="C2890" s="72">
        <v>45898.0</v>
      </c>
      <c r="D2890" s="38">
        <v>95.0</v>
      </c>
      <c r="E2890" s="75"/>
      <c r="F2890" s="67">
        <v>5.00936377</v>
      </c>
      <c r="G2890" s="40">
        <v>2.181818435</v>
      </c>
      <c r="H2890" s="40"/>
      <c r="I2890" s="41">
        <v>0.536842105</v>
      </c>
      <c r="J2890" s="41">
        <v>0.136842105</v>
      </c>
      <c r="K2890" s="41">
        <v>0.326315789</v>
      </c>
      <c r="L2890" s="41"/>
      <c r="M2890" s="74">
        <v>-1.395358383</v>
      </c>
    </row>
    <row r="2891">
      <c r="A2891" s="1" t="s">
        <v>464</v>
      </c>
      <c r="B2891" s="38">
        <v>615698.0</v>
      </c>
      <c r="C2891" s="72">
        <v>45857.0</v>
      </c>
      <c r="D2891" s="38">
        <v>69.0</v>
      </c>
      <c r="E2891" s="75"/>
      <c r="F2891" s="67">
        <v>5.009294149</v>
      </c>
      <c r="G2891" s="40">
        <v>1.602143133</v>
      </c>
      <c r="H2891" s="40"/>
      <c r="I2891" s="41">
        <v>0.492753623</v>
      </c>
      <c r="J2891" s="41">
        <v>0.15942029</v>
      </c>
      <c r="K2891" s="41">
        <v>0.347826087</v>
      </c>
      <c r="L2891" s="41"/>
      <c r="M2891" s="74">
        <v>2.974857597</v>
      </c>
    </row>
    <row r="2892">
      <c r="A2892" s="1" t="s">
        <v>379</v>
      </c>
      <c r="B2892" s="38">
        <v>593423.0</v>
      </c>
      <c r="C2892" s="72">
        <v>45872.0</v>
      </c>
      <c r="D2892" s="38">
        <v>89.0</v>
      </c>
      <c r="E2892" s="75"/>
      <c r="F2892" s="67">
        <v>5.009122071</v>
      </c>
      <c r="G2892" s="40">
        <v>2.041531271</v>
      </c>
      <c r="H2892" s="40"/>
      <c r="I2892" s="41">
        <v>0.404494382</v>
      </c>
      <c r="J2892" s="41">
        <v>0.202247191</v>
      </c>
      <c r="K2892" s="41">
        <v>0.393258427</v>
      </c>
      <c r="L2892" s="41"/>
      <c r="M2892" s="74">
        <v>-1.428858422</v>
      </c>
    </row>
    <row r="2893">
      <c r="A2893" s="1" t="s">
        <v>156</v>
      </c>
      <c r="B2893" s="38">
        <v>519242.0</v>
      </c>
      <c r="C2893" s="72">
        <v>45812.0</v>
      </c>
      <c r="D2893" s="38">
        <v>100.0</v>
      </c>
      <c r="E2893" s="75"/>
      <c r="F2893" s="67">
        <v>5.00911855</v>
      </c>
      <c r="G2893" s="40">
        <v>2.269945578</v>
      </c>
      <c r="H2893" s="40"/>
      <c r="I2893" s="41">
        <v>0.52</v>
      </c>
      <c r="J2893" s="41">
        <v>0.16</v>
      </c>
      <c r="K2893" s="41">
        <v>0.32</v>
      </c>
      <c r="L2893" s="41"/>
      <c r="M2893" s="74">
        <v>1.769306565</v>
      </c>
    </row>
    <row r="2894">
      <c r="A2894" s="1" t="s">
        <v>73</v>
      </c>
      <c r="B2894" s="38">
        <v>668881.0</v>
      </c>
      <c r="C2894" s="72">
        <v>45805.0</v>
      </c>
      <c r="D2894" s="38">
        <v>85.0</v>
      </c>
      <c r="E2894" s="75"/>
      <c r="F2894" s="67">
        <v>5.009096092</v>
      </c>
      <c r="G2894" s="40">
        <v>1.955227608</v>
      </c>
      <c r="H2894" s="40"/>
      <c r="I2894" s="41">
        <v>0.435294118</v>
      </c>
      <c r="J2894" s="41">
        <v>0.2</v>
      </c>
      <c r="K2894" s="41">
        <v>0.364705882</v>
      </c>
      <c r="L2894" s="41"/>
      <c r="M2894" s="74">
        <v>-2.46273436</v>
      </c>
    </row>
    <row r="2895">
      <c r="A2895" s="1" t="s">
        <v>416</v>
      </c>
      <c r="B2895" s="38">
        <v>608337.0</v>
      </c>
      <c r="C2895" s="72">
        <v>45856.0</v>
      </c>
      <c r="D2895" s="38">
        <v>94.0</v>
      </c>
      <c r="E2895" s="75"/>
      <c r="F2895" s="67">
        <v>5.009092762</v>
      </c>
      <c r="G2895" s="40">
        <v>2.15532435</v>
      </c>
      <c r="H2895" s="40"/>
      <c r="I2895" s="41">
        <v>0.468085106</v>
      </c>
      <c r="J2895" s="41">
        <v>0.191489362</v>
      </c>
      <c r="K2895" s="41">
        <v>0.340425532</v>
      </c>
      <c r="L2895" s="41"/>
      <c r="M2895" s="74">
        <v>0.519426647</v>
      </c>
    </row>
    <row r="2896">
      <c r="A2896" s="1" t="s">
        <v>100</v>
      </c>
      <c r="B2896" s="38">
        <v>676979.0</v>
      </c>
      <c r="C2896" s="72">
        <v>45766.0</v>
      </c>
      <c r="D2896" s="38">
        <v>95.0</v>
      </c>
      <c r="E2896" s="75"/>
      <c r="F2896" s="67">
        <v>5.009006835</v>
      </c>
      <c r="G2896" s="40">
        <v>2.180616931</v>
      </c>
      <c r="H2896" s="40"/>
      <c r="I2896" s="41">
        <v>0.494736842</v>
      </c>
      <c r="J2896" s="41">
        <v>0.136842105</v>
      </c>
      <c r="K2896" s="41">
        <v>0.368421053</v>
      </c>
      <c r="L2896" s="41"/>
      <c r="M2896" s="74">
        <v>1.22927183</v>
      </c>
    </row>
    <row r="2897">
      <c r="A2897" s="1" t="s">
        <v>470</v>
      </c>
      <c r="B2897" s="38">
        <v>681343.0</v>
      </c>
      <c r="C2897" s="72">
        <v>45839.0</v>
      </c>
      <c r="D2897" s="38">
        <v>95.0</v>
      </c>
      <c r="E2897" s="75"/>
      <c r="F2897" s="67">
        <v>5.008913619</v>
      </c>
      <c r="G2897" s="40">
        <v>2.197914557</v>
      </c>
      <c r="H2897" s="40"/>
      <c r="I2897" s="41">
        <v>0.494736842</v>
      </c>
      <c r="J2897" s="41">
        <v>0.147368421</v>
      </c>
      <c r="K2897" s="41">
        <v>0.357894737</v>
      </c>
      <c r="L2897" s="41"/>
      <c r="M2897" s="74">
        <v>-0.188517523</v>
      </c>
    </row>
    <row r="2898">
      <c r="A2898" s="1" t="s">
        <v>336</v>
      </c>
      <c r="B2898" s="38">
        <v>605488.0</v>
      </c>
      <c r="C2898" s="72">
        <v>45778.0</v>
      </c>
      <c r="D2898" s="38">
        <v>64.0</v>
      </c>
      <c r="E2898" s="75"/>
      <c r="F2898" s="67">
        <v>5.008910309</v>
      </c>
      <c r="G2898" s="40">
        <v>1.504042265</v>
      </c>
      <c r="H2898" s="40"/>
      <c r="I2898" s="41">
        <v>0.4375</v>
      </c>
      <c r="J2898" s="41">
        <v>0.1875</v>
      </c>
      <c r="K2898" s="41">
        <v>0.375</v>
      </c>
      <c r="L2898" s="41"/>
      <c r="M2898" s="74">
        <v>1.9992029</v>
      </c>
    </row>
    <row r="2899">
      <c r="A2899" s="1" t="s">
        <v>454</v>
      </c>
      <c r="B2899" s="38">
        <v>674370.0</v>
      </c>
      <c r="C2899" s="72">
        <v>45751.0</v>
      </c>
      <c r="D2899" s="38">
        <v>84.0</v>
      </c>
      <c r="E2899" s="75"/>
      <c r="F2899" s="67">
        <v>5.008751427</v>
      </c>
      <c r="G2899" s="40">
        <v>1.957456318</v>
      </c>
      <c r="H2899" s="40"/>
      <c r="I2899" s="41">
        <v>0.428571429</v>
      </c>
      <c r="J2899" s="41">
        <v>0.25</v>
      </c>
      <c r="K2899" s="41">
        <v>0.321428571</v>
      </c>
      <c r="L2899" s="41"/>
      <c r="M2899" s="74">
        <v>-0.245524826</v>
      </c>
    </row>
    <row r="2900">
      <c r="A2900" s="1" t="s">
        <v>150</v>
      </c>
      <c r="B2900" s="38">
        <v>657746.0</v>
      </c>
      <c r="C2900" s="72">
        <v>45877.0</v>
      </c>
      <c r="D2900" s="38">
        <v>71.0</v>
      </c>
      <c r="E2900" s="75"/>
      <c r="F2900" s="67">
        <v>5.008740009</v>
      </c>
      <c r="G2900" s="40">
        <v>1.598792955</v>
      </c>
      <c r="H2900" s="40"/>
      <c r="I2900" s="41">
        <v>0.492957746</v>
      </c>
      <c r="J2900" s="41">
        <v>0.154929577</v>
      </c>
      <c r="K2900" s="41">
        <v>0.352112676</v>
      </c>
      <c r="L2900" s="41"/>
      <c r="M2900" s="74">
        <v>-0.147902281</v>
      </c>
    </row>
    <row r="2901">
      <c r="A2901" s="1" t="s">
        <v>169</v>
      </c>
      <c r="B2901" s="38">
        <v>671096.0</v>
      </c>
      <c r="C2901" s="72">
        <v>45759.0</v>
      </c>
      <c r="D2901" s="38">
        <v>76.0</v>
      </c>
      <c r="E2901" s="75"/>
      <c r="F2901" s="67">
        <v>5.008735742</v>
      </c>
      <c r="G2901" s="40">
        <v>1.749324278</v>
      </c>
      <c r="H2901" s="40"/>
      <c r="I2901" s="41">
        <v>0.486842105</v>
      </c>
      <c r="J2901" s="41">
        <v>0.157894737</v>
      </c>
      <c r="K2901" s="41">
        <v>0.355263158</v>
      </c>
      <c r="L2901" s="41"/>
      <c r="M2901" s="74">
        <v>1.768774189</v>
      </c>
    </row>
    <row r="2902">
      <c r="A2902" s="1" t="s">
        <v>95</v>
      </c>
      <c r="B2902" s="38">
        <v>543243.0</v>
      </c>
      <c r="C2902" s="72">
        <v>45890.0</v>
      </c>
      <c r="D2902" s="38">
        <v>88.0</v>
      </c>
      <c r="E2902" s="75"/>
      <c r="F2902" s="67">
        <v>5.008692068</v>
      </c>
      <c r="G2902" s="40">
        <v>2.009465648</v>
      </c>
      <c r="H2902" s="40"/>
      <c r="I2902" s="41">
        <v>0.431818182</v>
      </c>
      <c r="J2902" s="41">
        <v>0.227272727</v>
      </c>
      <c r="K2902" s="41">
        <v>0.340909091</v>
      </c>
      <c r="L2902" s="41"/>
      <c r="M2902" s="74">
        <v>-0.360381276</v>
      </c>
    </row>
    <row r="2903">
      <c r="A2903" s="1" t="s">
        <v>164</v>
      </c>
      <c r="B2903" s="38">
        <v>669923.0</v>
      </c>
      <c r="C2903" s="72">
        <v>45909.0</v>
      </c>
      <c r="D2903" s="38">
        <v>80.0</v>
      </c>
      <c r="E2903" s="75"/>
      <c r="F2903" s="67">
        <v>5.008454856</v>
      </c>
      <c r="G2903" s="40">
        <v>1.847223571</v>
      </c>
      <c r="H2903" s="40"/>
      <c r="I2903" s="41">
        <v>0.4875</v>
      </c>
      <c r="J2903" s="41">
        <v>0.1625</v>
      </c>
      <c r="K2903" s="41">
        <v>0.35</v>
      </c>
      <c r="L2903" s="41"/>
      <c r="M2903" s="74">
        <v>-1.285115985</v>
      </c>
    </row>
    <row r="2904">
      <c r="A2904" s="1" t="s">
        <v>121</v>
      </c>
      <c r="B2904" s="38">
        <v>676974.0</v>
      </c>
      <c r="C2904" s="72">
        <v>45780.0</v>
      </c>
      <c r="D2904" s="38">
        <v>80.0</v>
      </c>
      <c r="E2904" s="75"/>
      <c r="F2904" s="67">
        <v>5.008450118</v>
      </c>
      <c r="G2904" s="40">
        <v>1.88255036</v>
      </c>
      <c r="H2904" s="40"/>
      <c r="I2904" s="41">
        <v>0.45</v>
      </c>
      <c r="J2904" s="41">
        <v>0.1625</v>
      </c>
      <c r="K2904" s="41">
        <v>0.3875</v>
      </c>
      <c r="L2904" s="41"/>
      <c r="M2904" s="74">
        <v>-4.336513686</v>
      </c>
    </row>
    <row r="2905">
      <c r="A2905" s="1" t="s">
        <v>125</v>
      </c>
      <c r="B2905" s="38">
        <v>663554.0</v>
      </c>
      <c r="C2905" s="72">
        <v>45836.0</v>
      </c>
      <c r="D2905" s="38">
        <v>90.0</v>
      </c>
      <c r="E2905" s="75"/>
      <c r="F2905" s="67">
        <v>5.008136109</v>
      </c>
      <c r="G2905" s="40">
        <v>2.085111302</v>
      </c>
      <c r="H2905" s="40"/>
      <c r="I2905" s="41">
        <v>0.433333333</v>
      </c>
      <c r="J2905" s="41">
        <v>0.277777778</v>
      </c>
      <c r="K2905" s="41">
        <v>0.288888889</v>
      </c>
      <c r="L2905" s="41"/>
      <c r="M2905" s="74">
        <v>1.102013254</v>
      </c>
    </row>
    <row r="2906">
      <c r="A2906" s="1" t="s">
        <v>335</v>
      </c>
      <c r="B2906" s="38">
        <v>663436.0</v>
      </c>
      <c r="C2906" s="72">
        <v>45758.0</v>
      </c>
      <c r="D2906" s="38">
        <v>85.0</v>
      </c>
      <c r="E2906" s="75"/>
      <c r="F2906" s="67">
        <v>5.008055639</v>
      </c>
      <c r="G2906" s="40">
        <v>1.982987236</v>
      </c>
      <c r="H2906" s="40"/>
      <c r="I2906" s="41">
        <v>0.494117647</v>
      </c>
      <c r="J2906" s="41">
        <v>0.211764706</v>
      </c>
      <c r="K2906" s="41">
        <v>0.294117647</v>
      </c>
      <c r="L2906" s="41"/>
      <c r="M2906" s="74">
        <v>-0.14319042</v>
      </c>
    </row>
    <row r="2907">
      <c r="A2907" s="1" t="s">
        <v>287</v>
      </c>
      <c r="B2907" s="38">
        <v>571945.0</v>
      </c>
      <c r="C2907" s="72">
        <v>45800.0</v>
      </c>
      <c r="D2907" s="38">
        <v>80.0</v>
      </c>
      <c r="E2907" s="75"/>
      <c r="F2907" s="67">
        <v>5.007975257</v>
      </c>
      <c r="G2907" s="40">
        <v>1.882365387</v>
      </c>
      <c r="H2907" s="40"/>
      <c r="I2907" s="41">
        <v>0.425</v>
      </c>
      <c r="J2907" s="41">
        <v>0.1625</v>
      </c>
      <c r="K2907" s="41">
        <v>0.4125</v>
      </c>
      <c r="L2907" s="41"/>
      <c r="M2907" s="74">
        <v>1.323663416</v>
      </c>
    </row>
    <row r="2908">
      <c r="A2908" s="1" t="s">
        <v>496</v>
      </c>
      <c r="B2908" s="38">
        <v>694477.0</v>
      </c>
      <c r="C2908" s="72">
        <v>45766.0</v>
      </c>
      <c r="D2908" s="38">
        <v>89.0</v>
      </c>
      <c r="E2908" s="75"/>
      <c r="F2908" s="67">
        <v>5.00797059</v>
      </c>
      <c r="G2908" s="40">
        <v>2.060898451</v>
      </c>
      <c r="H2908" s="40"/>
      <c r="I2908" s="41">
        <v>0.404494382</v>
      </c>
      <c r="J2908" s="41">
        <v>0.224719101</v>
      </c>
      <c r="K2908" s="41">
        <v>0.370786517</v>
      </c>
      <c r="L2908" s="41"/>
      <c r="M2908" s="74">
        <v>-1.580445796</v>
      </c>
    </row>
    <row r="2909">
      <c r="A2909" s="1" t="s">
        <v>216</v>
      </c>
      <c r="B2909" s="38">
        <v>621107.0</v>
      </c>
      <c r="C2909" s="72">
        <v>45861.0</v>
      </c>
      <c r="D2909" s="38">
        <v>83.0</v>
      </c>
      <c r="E2909" s="75"/>
      <c r="F2909" s="67">
        <v>5.007720163</v>
      </c>
      <c r="G2909" s="40">
        <v>1.880202801</v>
      </c>
      <c r="H2909" s="40"/>
      <c r="I2909" s="41">
        <v>0.409638554</v>
      </c>
      <c r="J2909" s="41">
        <v>0.228915663</v>
      </c>
      <c r="K2909" s="41">
        <v>0.361445783</v>
      </c>
      <c r="L2909" s="41"/>
      <c r="M2909" s="74">
        <v>3.043305342</v>
      </c>
    </row>
    <row r="2910">
      <c r="A2910" s="1" t="s">
        <v>226</v>
      </c>
      <c r="B2910" s="38">
        <v>607259.0</v>
      </c>
      <c r="C2910" s="72">
        <v>45835.0</v>
      </c>
      <c r="D2910" s="38">
        <v>109.0</v>
      </c>
      <c r="E2910" s="75"/>
      <c r="F2910" s="67">
        <v>5.007715972</v>
      </c>
      <c r="G2910" s="40">
        <v>2.52202623</v>
      </c>
      <c r="H2910" s="40"/>
      <c r="I2910" s="41">
        <v>0.431192661</v>
      </c>
      <c r="J2910" s="41">
        <v>0.247706422</v>
      </c>
      <c r="K2910" s="41">
        <v>0.321100917</v>
      </c>
      <c r="L2910" s="41"/>
      <c r="M2910" s="74">
        <v>6.85360644</v>
      </c>
    </row>
    <row r="2911">
      <c r="A2911" s="1" t="s">
        <v>179</v>
      </c>
      <c r="B2911" s="38">
        <v>663568.0</v>
      </c>
      <c r="C2911" s="72">
        <v>45821.0</v>
      </c>
      <c r="D2911" s="38">
        <v>79.0</v>
      </c>
      <c r="E2911" s="75"/>
      <c r="F2911" s="67">
        <v>5.007563265</v>
      </c>
      <c r="G2911" s="40">
        <v>1.832705328</v>
      </c>
      <c r="H2911" s="40"/>
      <c r="I2911" s="41">
        <v>0.46835443</v>
      </c>
      <c r="J2911" s="41">
        <v>0.164556962</v>
      </c>
      <c r="K2911" s="41">
        <v>0.367088608</v>
      </c>
      <c r="L2911" s="41"/>
      <c r="M2911" s="74">
        <v>-2.239098954</v>
      </c>
    </row>
    <row r="2912">
      <c r="A2912" s="1" t="s">
        <v>313</v>
      </c>
      <c r="B2912" s="38">
        <v>607067.0</v>
      </c>
      <c r="C2912" s="72">
        <v>45818.0</v>
      </c>
      <c r="D2912" s="38">
        <v>79.0</v>
      </c>
      <c r="E2912" s="75"/>
      <c r="F2912" s="67">
        <v>5.007275561</v>
      </c>
      <c r="G2912" s="40">
        <v>1.781445508</v>
      </c>
      <c r="H2912" s="40"/>
      <c r="I2912" s="41">
        <v>0.481012658</v>
      </c>
      <c r="J2912" s="41">
        <v>0.189873418</v>
      </c>
      <c r="K2912" s="41">
        <v>0.329113924</v>
      </c>
      <c r="L2912" s="41"/>
      <c r="M2912" s="74">
        <v>-1.246722233</v>
      </c>
    </row>
    <row r="2913">
      <c r="A2913" s="1" t="s">
        <v>354</v>
      </c>
      <c r="B2913" s="38">
        <v>669022.0</v>
      </c>
      <c r="C2913" s="72">
        <v>45788.0</v>
      </c>
      <c r="D2913" s="38">
        <v>98.0</v>
      </c>
      <c r="E2913" s="75"/>
      <c r="F2913" s="67">
        <v>5.006827352</v>
      </c>
      <c r="G2913" s="40">
        <v>2.262761487</v>
      </c>
      <c r="H2913" s="40"/>
      <c r="I2913" s="41">
        <v>0.459183673</v>
      </c>
      <c r="J2913" s="41">
        <v>0.204081633</v>
      </c>
      <c r="K2913" s="41">
        <v>0.336734694</v>
      </c>
      <c r="L2913" s="41"/>
      <c r="M2913" s="74">
        <v>-0.429480119</v>
      </c>
    </row>
    <row r="2914">
      <c r="A2914" s="1" t="s">
        <v>352</v>
      </c>
      <c r="B2914" s="38">
        <v>685299.0</v>
      </c>
      <c r="C2914" s="72">
        <v>45805.0</v>
      </c>
      <c r="D2914" s="38">
        <v>77.0</v>
      </c>
      <c r="E2914" s="75"/>
      <c r="F2914" s="67">
        <v>5.00671053</v>
      </c>
      <c r="G2914" s="40">
        <v>1.751787384</v>
      </c>
      <c r="H2914" s="40"/>
      <c r="I2914" s="41">
        <v>0.428571429</v>
      </c>
      <c r="J2914" s="41">
        <v>0.233766234</v>
      </c>
      <c r="K2914" s="41">
        <v>0.337662338</v>
      </c>
      <c r="L2914" s="41"/>
      <c r="M2914" s="74">
        <v>-0.645900844</v>
      </c>
    </row>
    <row r="2915">
      <c r="A2915" s="1" t="s">
        <v>179</v>
      </c>
      <c r="B2915" s="38">
        <v>663568.0</v>
      </c>
      <c r="C2915" s="72">
        <v>45781.0</v>
      </c>
      <c r="D2915" s="38">
        <v>83.0</v>
      </c>
      <c r="E2915" s="75"/>
      <c r="F2915" s="67">
        <v>5.006491461</v>
      </c>
      <c r="G2915" s="40">
        <v>1.915879695</v>
      </c>
      <c r="H2915" s="40"/>
      <c r="I2915" s="41">
        <v>0.409638554</v>
      </c>
      <c r="J2915" s="41">
        <v>0.21686747</v>
      </c>
      <c r="K2915" s="41">
        <v>0.373493976</v>
      </c>
      <c r="L2915" s="41"/>
      <c r="M2915" s="74">
        <v>1.850225111</v>
      </c>
    </row>
    <row r="2916">
      <c r="A2916" s="1" t="s">
        <v>302</v>
      </c>
      <c r="B2916" s="38">
        <v>681190.0</v>
      </c>
      <c r="C2916" s="72">
        <v>45825.0</v>
      </c>
      <c r="D2916" s="38">
        <v>67.0</v>
      </c>
      <c r="E2916" s="75"/>
      <c r="F2916" s="67">
        <v>5.006220291</v>
      </c>
      <c r="G2916" s="40">
        <v>1.566688731</v>
      </c>
      <c r="H2916" s="40"/>
      <c r="I2916" s="41">
        <v>0.492537313</v>
      </c>
      <c r="J2916" s="41">
        <v>0.104477612</v>
      </c>
      <c r="K2916" s="41">
        <v>0.402985075</v>
      </c>
      <c r="L2916" s="41"/>
      <c r="M2916" s="74">
        <v>0.037663534</v>
      </c>
    </row>
    <row r="2917">
      <c r="A2917" s="1" t="s">
        <v>382</v>
      </c>
      <c r="B2917" s="38">
        <v>656288.0</v>
      </c>
      <c r="C2917" s="72">
        <v>45788.0</v>
      </c>
      <c r="D2917" s="38">
        <v>91.0</v>
      </c>
      <c r="E2917" s="75"/>
      <c r="F2917" s="67">
        <v>5.006154371</v>
      </c>
      <c r="G2917" s="40">
        <v>2.086471325</v>
      </c>
      <c r="H2917" s="40"/>
      <c r="I2917" s="41">
        <v>0.384615385</v>
      </c>
      <c r="J2917" s="41">
        <v>0.241758242</v>
      </c>
      <c r="K2917" s="41">
        <v>0.373626374</v>
      </c>
      <c r="L2917" s="41"/>
      <c r="M2917" s="74">
        <v>2.965541507</v>
      </c>
    </row>
    <row r="2918">
      <c r="A2918" s="1" t="s">
        <v>424</v>
      </c>
      <c r="B2918" s="38">
        <v>667755.0</v>
      </c>
      <c r="C2918" s="72">
        <v>45801.0</v>
      </c>
      <c r="D2918" s="38">
        <v>97.0</v>
      </c>
      <c r="E2918" s="75"/>
      <c r="F2918" s="67">
        <v>5.005330734</v>
      </c>
      <c r="G2918" s="40">
        <v>2.219055378</v>
      </c>
      <c r="H2918" s="40"/>
      <c r="I2918" s="41">
        <v>0.474226804</v>
      </c>
      <c r="J2918" s="41">
        <v>0.12371134</v>
      </c>
      <c r="K2918" s="41">
        <v>0.402061856</v>
      </c>
      <c r="L2918" s="41"/>
      <c r="M2918" s="74">
        <v>-1.038207261</v>
      </c>
    </row>
    <row r="2919">
      <c r="A2919" s="1" t="s">
        <v>308</v>
      </c>
      <c r="B2919" s="38">
        <v>676440.0</v>
      </c>
      <c r="C2919" s="72">
        <v>45894.0</v>
      </c>
      <c r="D2919" s="38">
        <v>98.0</v>
      </c>
      <c r="E2919" s="75"/>
      <c r="F2919" s="67">
        <v>5.00531378</v>
      </c>
      <c r="G2919" s="40">
        <v>2.270848712</v>
      </c>
      <c r="H2919" s="40"/>
      <c r="I2919" s="41">
        <v>0.510204082</v>
      </c>
      <c r="J2919" s="41">
        <v>0.12244898</v>
      </c>
      <c r="K2919" s="41">
        <v>0.367346939</v>
      </c>
      <c r="L2919" s="41"/>
      <c r="M2919" s="74">
        <v>-2.328932447</v>
      </c>
    </row>
    <row r="2920">
      <c r="A2920" s="1" t="s">
        <v>513</v>
      </c>
      <c r="B2920" s="38">
        <v>608566.0</v>
      </c>
      <c r="C2920" s="72">
        <v>45747.0</v>
      </c>
      <c r="D2920" s="38">
        <v>79.0</v>
      </c>
      <c r="E2920" s="75"/>
      <c r="F2920" s="67">
        <v>5.005198072</v>
      </c>
      <c r="G2920" s="40">
        <v>1.839846425</v>
      </c>
      <c r="H2920" s="40"/>
      <c r="I2920" s="41">
        <v>0.405063291</v>
      </c>
      <c r="J2920" s="41">
        <v>0.227848101</v>
      </c>
      <c r="K2920" s="41">
        <v>0.367088608</v>
      </c>
      <c r="L2920" s="41"/>
      <c r="M2920" s="74">
        <v>0.705003507</v>
      </c>
    </row>
    <row r="2921">
      <c r="A2921" s="1" t="s">
        <v>476</v>
      </c>
      <c r="B2921" s="38">
        <v>500779.0</v>
      </c>
      <c r="C2921" s="72">
        <v>45774.0</v>
      </c>
      <c r="D2921" s="38">
        <v>93.0</v>
      </c>
      <c r="E2921" s="75"/>
      <c r="F2921" s="67">
        <v>5.005010258</v>
      </c>
      <c r="G2921" s="40">
        <v>2.131451741</v>
      </c>
      <c r="H2921" s="40"/>
      <c r="I2921" s="41">
        <v>0.47311828</v>
      </c>
      <c r="J2921" s="41">
        <v>0.193548387</v>
      </c>
      <c r="K2921" s="41">
        <v>0.333333333</v>
      </c>
      <c r="L2921" s="41"/>
      <c r="M2921" s="74">
        <v>1.321711059</v>
      </c>
    </row>
    <row r="2922">
      <c r="A2922" s="1" t="s">
        <v>176</v>
      </c>
      <c r="B2922" s="38">
        <v>686218.0</v>
      </c>
      <c r="C2922" s="72">
        <v>45874.0</v>
      </c>
      <c r="D2922" s="38">
        <v>76.0</v>
      </c>
      <c r="E2922" s="75"/>
      <c r="F2922" s="67">
        <v>5.005004198</v>
      </c>
      <c r="G2922" s="40">
        <v>1.760738675</v>
      </c>
      <c r="H2922" s="40"/>
      <c r="I2922" s="41">
        <v>0.5</v>
      </c>
      <c r="J2922" s="41">
        <v>0.052631579</v>
      </c>
      <c r="K2922" s="41">
        <v>0.447368421</v>
      </c>
      <c r="L2922" s="41"/>
      <c r="M2922" s="74">
        <v>0.082851303</v>
      </c>
    </row>
    <row r="2923">
      <c r="A2923" s="1" t="s">
        <v>314</v>
      </c>
      <c r="B2923" s="38">
        <v>669854.0</v>
      </c>
      <c r="C2923" s="72">
        <v>45758.0</v>
      </c>
      <c r="D2923" s="38">
        <v>81.0</v>
      </c>
      <c r="E2923" s="75"/>
      <c r="F2923" s="67">
        <v>5.004830836</v>
      </c>
      <c r="G2923" s="40">
        <v>1.862800139</v>
      </c>
      <c r="H2923" s="40"/>
      <c r="I2923" s="41">
        <v>0.419753086</v>
      </c>
      <c r="J2923" s="41">
        <v>0.259259259</v>
      </c>
      <c r="K2923" s="41">
        <v>0.320987654</v>
      </c>
      <c r="L2923" s="41"/>
      <c r="M2923" s="74">
        <v>-1.186041045</v>
      </c>
    </row>
    <row r="2924">
      <c r="A2924" s="1" t="s">
        <v>396</v>
      </c>
      <c r="B2924" s="38">
        <v>663623.0</v>
      </c>
      <c r="C2924" s="72">
        <v>45801.0</v>
      </c>
      <c r="D2924" s="38">
        <v>92.0</v>
      </c>
      <c r="E2924" s="75"/>
      <c r="F2924" s="67">
        <v>5.004516329</v>
      </c>
      <c r="G2924" s="40">
        <v>2.165246305</v>
      </c>
      <c r="H2924" s="40"/>
      <c r="I2924" s="41">
        <v>0.456521739</v>
      </c>
      <c r="J2924" s="41">
        <v>0.217391304</v>
      </c>
      <c r="K2924" s="41">
        <v>0.326086957</v>
      </c>
      <c r="L2924" s="41"/>
      <c r="M2924" s="74">
        <v>3.684101289</v>
      </c>
    </row>
    <row r="2925">
      <c r="A2925" s="1" t="s">
        <v>431</v>
      </c>
      <c r="B2925" s="38">
        <v>669203.0</v>
      </c>
      <c r="C2925" s="72">
        <v>45809.0</v>
      </c>
      <c r="D2925" s="38">
        <v>64.0</v>
      </c>
      <c r="E2925" s="75"/>
      <c r="F2925" s="67">
        <v>5.004511721</v>
      </c>
      <c r="G2925" s="40">
        <v>1.460130472</v>
      </c>
      <c r="H2925" s="40"/>
      <c r="I2925" s="41">
        <v>0.5</v>
      </c>
      <c r="J2925" s="41">
        <v>0.171875</v>
      </c>
      <c r="K2925" s="41">
        <v>0.328125</v>
      </c>
      <c r="L2925" s="41"/>
      <c r="M2925" s="74">
        <v>-0.8589339</v>
      </c>
    </row>
    <row r="2926">
      <c r="A2926" s="1" t="s">
        <v>425</v>
      </c>
      <c r="B2926" s="38">
        <v>621244.0</v>
      </c>
      <c r="C2926" s="72">
        <v>45910.0</v>
      </c>
      <c r="D2926" s="38">
        <v>81.0</v>
      </c>
      <c r="E2926" s="75"/>
      <c r="F2926" s="67">
        <v>5.003628248</v>
      </c>
      <c r="G2926" s="40">
        <v>1.879239001</v>
      </c>
      <c r="H2926" s="40"/>
      <c r="I2926" s="41">
        <v>0.469135802</v>
      </c>
      <c r="J2926" s="41">
        <v>0.197530864</v>
      </c>
      <c r="K2926" s="41">
        <v>0.333333333</v>
      </c>
      <c r="L2926" s="41"/>
      <c r="M2926" s="74">
        <v>0.050413291</v>
      </c>
    </row>
    <row r="2927">
      <c r="A2927" s="1" t="s">
        <v>95</v>
      </c>
      <c r="B2927" s="38">
        <v>543243.0</v>
      </c>
      <c r="C2927" s="72">
        <v>45857.0</v>
      </c>
      <c r="D2927" s="38">
        <v>61.0</v>
      </c>
      <c r="E2927" s="75"/>
      <c r="F2927" s="67">
        <v>5.003492932</v>
      </c>
      <c r="G2927" s="40">
        <v>1.420574466</v>
      </c>
      <c r="H2927" s="40"/>
      <c r="I2927" s="41">
        <v>0.426229508</v>
      </c>
      <c r="J2927" s="41">
        <v>0.229508197</v>
      </c>
      <c r="K2927" s="41">
        <v>0.344262295</v>
      </c>
      <c r="L2927" s="41"/>
      <c r="M2927" s="74">
        <v>-6.968153127</v>
      </c>
    </row>
    <row r="2928">
      <c r="A2928" s="1" t="s">
        <v>125</v>
      </c>
      <c r="B2928" s="38">
        <v>663554.0</v>
      </c>
      <c r="C2928" s="72">
        <v>45843.0</v>
      </c>
      <c r="D2928" s="38">
        <v>101.0</v>
      </c>
      <c r="E2928" s="75"/>
      <c r="F2928" s="67">
        <v>5.00325959</v>
      </c>
      <c r="G2928" s="40">
        <v>2.333493749</v>
      </c>
      <c r="H2928" s="40"/>
      <c r="I2928" s="41">
        <v>0.455445545</v>
      </c>
      <c r="J2928" s="41">
        <v>0.247524752</v>
      </c>
      <c r="K2928" s="41">
        <v>0.297029703</v>
      </c>
      <c r="L2928" s="41"/>
      <c r="M2928" s="74">
        <v>2.208371948</v>
      </c>
    </row>
    <row r="2929">
      <c r="A2929" s="1" t="s">
        <v>256</v>
      </c>
      <c r="B2929" s="38">
        <v>571760.0</v>
      </c>
      <c r="C2929" s="72">
        <v>45858.0</v>
      </c>
      <c r="D2929" s="38">
        <v>80.0</v>
      </c>
      <c r="E2929" s="75"/>
      <c r="F2929" s="67">
        <v>5.003194468</v>
      </c>
      <c r="G2929" s="40">
        <v>1.865124201</v>
      </c>
      <c r="H2929" s="40"/>
      <c r="I2929" s="41">
        <v>0.4875</v>
      </c>
      <c r="J2929" s="41">
        <v>0.1625</v>
      </c>
      <c r="K2929" s="41">
        <v>0.35</v>
      </c>
      <c r="L2929" s="41"/>
      <c r="M2929" s="74">
        <v>-4.361767661</v>
      </c>
    </row>
    <row r="2930">
      <c r="A2930" s="1" t="s">
        <v>410</v>
      </c>
      <c r="B2930" s="38">
        <v>678394.0</v>
      </c>
      <c r="C2930" s="72">
        <v>45891.0</v>
      </c>
      <c r="D2930" s="38">
        <v>92.0</v>
      </c>
      <c r="E2930" s="75"/>
      <c r="F2930" s="67">
        <v>5.002989997</v>
      </c>
      <c r="G2930" s="40">
        <v>2.150739974</v>
      </c>
      <c r="H2930" s="40"/>
      <c r="I2930" s="41">
        <v>0.423913043</v>
      </c>
      <c r="J2930" s="41">
        <v>0.195652174</v>
      </c>
      <c r="K2930" s="41">
        <v>0.380434783</v>
      </c>
      <c r="L2930" s="41"/>
      <c r="M2930" s="74">
        <v>3.000699954</v>
      </c>
    </row>
    <row r="2931">
      <c r="A2931" s="1" t="s">
        <v>171</v>
      </c>
      <c r="B2931" s="38">
        <v>665795.0</v>
      </c>
      <c r="C2931" s="72">
        <v>45758.0</v>
      </c>
      <c r="D2931" s="38">
        <v>77.0</v>
      </c>
      <c r="E2931" s="75"/>
      <c r="F2931" s="67">
        <v>5.002912293</v>
      </c>
      <c r="G2931" s="40">
        <v>1.787921835</v>
      </c>
      <c r="H2931" s="40"/>
      <c r="I2931" s="41">
        <v>0.441558442</v>
      </c>
      <c r="J2931" s="41">
        <v>0.207792208</v>
      </c>
      <c r="K2931" s="41">
        <v>0.350649351</v>
      </c>
      <c r="L2931" s="41"/>
      <c r="M2931" s="74">
        <v>-0.132954754</v>
      </c>
    </row>
    <row r="2932">
      <c r="A2932" s="1" t="s">
        <v>180</v>
      </c>
      <c r="B2932" s="38">
        <v>642547.0</v>
      </c>
      <c r="C2932" s="72">
        <v>45770.0</v>
      </c>
      <c r="D2932" s="38">
        <v>95.0</v>
      </c>
      <c r="E2932" s="75"/>
      <c r="F2932" s="67">
        <v>5.002821027</v>
      </c>
      <c r="G2932" s="40">
        <v>2.186479098</v>
      </c>
      <c r="H2932" s="40"/>
      <c r="I2932" s="41">
        <v>0.515789474</v>
      </c>
      <c r="J2932" s="41">
        <v>0.063157895</v>
      </c>
      <c r="K2932" s="41">
        <v>0.421052632</v>
      </c>
      <c r="L2932" s="41"/>
      <c r="M2932" s="74">
        <v>-1.413466603</v>
      </c>
    </row>
    <row r="2933">
      <c r="A2933" s="1" t="s">
        <v>161</v>
      </c>
      <c r="B2933" s="38">
        <v>702070.0</v>
      </c>
      <c r="C2933" s="72">
        <v>45889.0</v>
      </c>
      <c r="D2933" s="38">
        <v>88.0</v>
      </c>
      <c r="E2933" s="75"/>
      <c r="F2933" s="67">
        <v>5.002275559</v>
      </c>
      <c r="G2933" s="40">
        <v>2.02165226</v>
      </c>
      <c r="H2933" s="40"/>
      <c r="I2933" s="41">
        <v>0.477272727</v>
      </c>
      <c r="J2933" s="41">
        <v>0.159090909</v>
      </c>
      <c r="K2933" s="41">
        <v>0.363636364</v>
      </c>
      <c r="L2933" s="41"/>
      <c r="M2933" s="74">
        <v>2.170863461</v>
      </c>
    </row>
    <row r="2934">
      <c r="A2934" s="1" t="s">
        <v>399</v>
      </c>
      <c r="B2934" s="38">
        <v>543294.0</v>
      </c>
      <c r="C2934" s="72">
        <v>45909.0</v>
      </c>
      <c r="D2934" s="38">
        <v>78.0</v>
      </c>
      <c r="E2934" s="75"/>
      <c r="F2934" s="67">
        <v>5.002080177</v>
      </c>
      <c r="G2934" s="40">
        <v>1.836638414</v>
      </c>
      <c r="H2934" s="40"/>
      <c r="I2934" s="41">
        <v>0.384615385</v>
      </c>
      <c r="J2934" s="41">
        <v>0.256410256</v>
      </c>
      <c r="K2934" s="41">
        <v>0.358974359</v>
      </c>
      <c r="L2934" s="41"/>
      <c r="M2934" s="74">
        <v>2.103129259</v>
      </c>
    </row>
    <row r="2935">
      <c r="A2935" s="1" t="s">
        <v>343</v>
      </c>
      <c r="B2935" s="38">
        <v>682243.0</v>
      </c>
      <c r="C2935" s="72">
        <v>45758.0</v>
      </c>
      <c r="D2935" s="38">
        <v>98.0</v>
      </c>
      <c r="E2935" s="75"/>
      <c r="F2935" s="67">
        <v>5.001899496</v>
      </c>
      <c r="G2935" s="40">
        <v>2.250647834</v>
      </c>
      <c r="H2935" s="40"/>
      <c r="I2935" s="41">
        <v>0.479591837</v>
      </c>
      <c r="J2935" s="41">
        <v>0.173469388</v>
      </c>
      <c r="K2935" s="41">
        <v>0.346938776</v>
      </c>
      <c r="L2935" s="41"/>
      <c r="M2935" s="74">
        <v>3.13529637</v>
      </c>
    </row>
    <row r="2936">
      <c r="A2936" s="1" t="s">
        <v>341</v>
      </c>
      <c r="B2936" s="38">
        <v>676962.0</v>
      </c>
      <c r="C2936" s="72">
        <v>45759.0</v>
      </c>
      <c r="D2936" s="38">
        <v>83.0</v>
      </c>
      <c r="E2936" s="75"/>
      <c r="F2936" s="67">
        <v>5.001833518</v>
      </c>
      <c r="G2936" s="40">
        <v>1.942590449</v>
      </c>
      <c r="H2936" s="40"/>
      <c r="I2936" s="41">
        <v>0.397590361</v>
      </c>
      <c r="J2936" s="41">
        <v>0.204819277</v>
      </c>
      <c r="K2936" s="41">
        <v>0.397590361</v>
      </c>
      <c r="L2936" s="41"/>
      <c r="M2936" s="74">
        <v>0.784978615</v>
      </c>
    </row>
    <row r="2937">
      <c r="A2937" s="1" t="s">
        <v>344</v>
      </c>
      <c r="B2937" s="38">
        <v>701542.0</v>
      </c>
      <c r="C2937" s="72">
        <v>45863.0</v>
      </c>
      <c r="D2937" s="38">
        <v>83.0</v>
      </c>
      <c r="E2937" s="75"/>
      <c r="F2937" s="67">
        <v>5.001751448</v>
      </c>
      <c r="G2937" s="40">
        <v>1.900742986</v>
      </c>
      <c r="H2937" s="40"/>
      <c r="I2937" s="41">
        <v>0.469879518</v>
      </c>
      <c r="J2937" s="41">
        <v>0.144578313</v>
      </c>
      <c r="K2937" s="41">
        <v>0.385542169</v>
      </c>
      <c r="L2937" s="41"/>
      <c r="M2937" s="74">
        <v>-1.258805168</v>
      </c>
    </row>
    <row r="2938">
      <c r="A2938" s="1" t="s">
        <v>189</v>
      </c>
      <c r="B2938" s="38">
        <v>607536.0</v>
      </c>
      <c r="C2938" s="72">
        <v>45846.0</v>
      </c>
      <c r="D2938" s="38">
        <v>88.0</v>
      </c>
      <c r="E2938" s="75"/>
      <c r="F2938" s="67">
        <v>5.001596108</v>
      </c>
      <c r="G2938" s="40">
        <v>2.043253463</v>
      </c>
      <c r="H2938" s="40"/>
      <c r="I2938" s="41">
        <v>0.465909091</v>
      </c>
      <c r="J2938" s="41">
        <v>0.159090909</v>
      </c>
      <c r="K2938" s="41">
        <v>0.375</v>
      </c>
      <c r="L2938" s="41"/>
      <c r="M2938" s="74">
        <v>1.065920615</v>
      </c>
    </row>
    <row r="2939">
      <c r="A2939" s="1" t="s">
        <v>232</v>
      </c>
      <c r="B2939" s="38">
        <v>579328.0</v>
      </c>
      <c r="C2939" s="72">
        <v>45795.0</v>
      </c>
      <c r="D2939" s="38">
        <v>96.0</v>
      </c>
      <c r="E2939" s="75"/>
      <c r="F2939" s="67">
        <v>5.001330897</v>
      </c>
      <c r="G2939" s="40">
        <v>2.230909599</v>
      </c>
      <c r="H2939" s="40"/>
      <c r="I2939" s="41">
        <v>0.5</v>
      </c>
      <c r="J2939" s="41">
        <v>0.145833333</v>
      </c>
      <c r="K2939" s="41">
        <v>0.354166667</v>
      </c>
      <c r="L2939" s="41"/>
      <c r="M2939" s="74">
        <v>1.642785653</v>
      </c>
    </row>
    <row r="2940">
      <c r="A2940" s="1" t="s">
        <v>480</v>
      </c>
      <c r="B2940" s="38">
        <v>647336.0</v>
      </c>
      <c r="C2940" s="72">
        <v>45814.0</v>
      </c>
      <c r="D2940" s="38">
        <v>84.0</v>
      </c>
      <c r="E2940" s="75"/>
      <c r="F2940" s="67">
        <v>5.001303343</v>
      </c>
      <c r="G2940" s="40">
        <v>1.948324775</v>
      </c>
      <c r="H2940" s="40"/>
      <c r="I2940" s="41">
        <v>0.452380952</v>
      </c>
      <c r="J2940" s="41">
        <v>0.202380952</v>
      </c>
      <c r="K2940" s="41">
        <v>0.345238095</v>
      </c>
      <c r="L2940" s="41"/>
      <c r="M2940" s="74">
        <v>2.395260368</v>
      </c>
    </row>
    <row r="2941">
      <c r="A2941" s="1" t="s">
        <v>177</v>
      </c>
      <c r="B2941" s="38">
        <v>641793.0</v>
      </c>
      <c r="C2941" s="72">
        <v>45915.0</v>
      </c>
      <c r="D2941" s="38">
        <v>83.0</v>
      </c>
      <c r="E2941" s="75"/>
      <c r="F2941" s="67">
        <v>5.000999867</v>
      </c>
      <c r="G2941" s="40">
        <v>1.957349804</v>
      </c>
      <c r="H2941" s="40"/>
      <c r="I2941" s="41">
        <v>0.457831325</v>
      </c>
      <c r="J2941" s="41">
        <v>0.204819277</v>
      </c>
      <c r="K2941" s="41">
        <v>0.337349398</v>
      </c>
      <c r="L2941" s="41"/>
      <c r="M2941" s="74">
        <v>1.123895228</v>
      </c>
    </row>
    <row r="2942">
      <c r="A2942" s="1" t="s">
        <v>308</v>
      </c>
      <c r="B2942" s="38">
        <v>676440.0</v>
      </c>
      <c r="C2942" s="72">
        <v>45924.0</v>
      </c>
      <c r="D2942" s="38">
        <v>92.0</v>
      </c>
      <c r="E2942" s="75"/>
      <c r="F2942" s="67">
        <v>5.000964534</v>
      </c>
      <c r="G2942" s="40">
        <v>2.131420726</v>
      </c>
      <c r="H2942" s="40"/>
      <c r="I2942" s="41">
        <v>0.467391304</v>
      </c>
      <c r="J2942" s="41">
        <v>0.195652174</v>
      </c>
      <c r="K2942" s="41">
        <v>0.336956522</v>
      </c>
      <c r="L2942" s="41"/>
      <c r="M2942" s="74">
        <v>1.872975716</v>
      </c>
    </row>
    <row r="2943">
      <c r="A2943" s="1" t="s">
        <v>177</v>
      </c>
      <c r="B2943" s="38">
        <v>641793.0</v>
      </c>
      <c r="C2943" s="72">
        <v>45808.0</v>
      </c>
      <c r="D2943" s="38">
        <v>113.0</v>
      </c>
      <c r="E2943" s="75"/>
      <c r="F2943" s="67">
        <v>5.000815925</v>
      </c>
      <c r="G2943" s="40">
        <v>2.66476095</v>
      </c>
      <c r="H2943" s="40"/>
      <c r="I2943" s="41">
        <v>0.433628319</v>
      </c>
      <c r="J2943" s="41">
        <v>0.238938053</v>
      </c>
      <c r="K2943" s="41">
        <v>0.327433628</v>
      </c>
      <c r="L2943" s="41"/>
      <c r="M2943" s="74">
        <v>-2.659442483</v>
      </c>
    </row>
    <row r="2944">
      <c r="A2944" s="1" t="s">
        <v>366</v>
      </c>
      <c r="B2944" s="38">
        <v>656550.0</v>
      </c>
      <c r="C2944" s="72">
        <v>45779.0</v>
      </c>
      <c r="D2944" s="38">
        <v>92.0</v>
      </c>
      <c r="E2944" s="75"/>
      <c r="F2944" s="67">
        <v>5.00077638</v>
      </c>
      <c r="G2944" s="40">
        <v>2.138930853</v>
      </c>
      <c r="H2944" s="40"/>
      <c r="I2944" s="41">
        <v>0.434782609</v>
      </c>
      <c r="J2944" s="41">
        <v>0.22826087</v>
      </c>
      <c r="K2944" s="41">
        <v>0.336956522</v>
      </c>
      <c r="L2944" s="41"/>
      <c r="M2944" s="74">
        <v>2.399157661</v>
      </c>
    </row>
    <row r="2945">
      <c r="A2945" s="1" t="s">
        <v>150</v>
      </c>
      <c r="B2945" s="38">
        <v>657746.0</v>
      </c>
      <c r="C2945" s="72">
        <v>45822.0</v>
      </c>
      <c r="D2945" s="38">
        <v>92.0</v>
      </c>
      <c r="E2945" s="75"/>
      <c r="F2945" s="67">
        <v>5.000692304</v>
      </c>
      <c r="G2945" s="40">
        <v>2.102903114</v>
      </c>
      <c r="H2945" s="40"/>
      <c r="I2945" s="41">
        <v>0.445652174</v>
      </c>
      <c r="J2945" s="41">
        <v>0.141304348</v>
      </c>
      <c r="K2945" s="41">
        <v>0.413043478</v>
      </c>
      <c r="L2945" s="41"/>
      <c r="M2945" s="74">
        <v>2.137804486</v>
      </c>
    </row>
    <row r="2946">
      <c r="A2946" s="1" t="s">
        <v>425</v>
      </c>
      <c r="B2946" s="38">
        <v>621244.0</v>
      </c>
      <c r="C2946" s="72">
        <v>45858.0</v>
      </c>
      <c r="D2946" s="38">
        <v>89.0</v>
      </c>
      <c r="E2946" s="75"/>
      <c r="F2946" s="67">
        <v>5.000640484</v>
      </c>
      <c r="G2946" s="40">
        <v>2.055780997</v>
      </c>
      <c r="H2946" s="40"/>
      <c r="I2946" s="41">
        <v>0.449438202</v>
      </c>
      <c r="J2946" s="41">
        <v>0.157303371</v>
      </c>
      <c r="K2946" s="41">
        <v>0.393258427</v>
      </c>
      <c r="L2946" s="41"/>
      <c r="M2946" s="74">
        <v>-3.10703214</v>
      </c>
    </row>
    <row r="2947">
      <c r="A2947" s="1" t="s">
        <v>192</v>
      </c>
      <c r="B2947" s="38">
        <v>642232.0</v>
      </c>
      <c r="C2947" s="72">
        <v>45815.0</v>
      </c>
      <c r="D2947" s="38">
        <v>65.0</v>
      </c>
      <c r="E2947" s="75"/>
      <c r="F2947" s="67">
        <v>5.000137948</v>
      </c>
      <c r="G2947" s="40">
        <v>1.523947308</v>
      </c>
      <c r="H2947" s="40"/>
      <c r="I2947" s="41">
        <v>0.507692308</v>
      </c>
      <c r="J2947" s="41">
        <v>0.153846154</v>
      </c>
      <c r="K2947" s="41">
        <v>0.338461538</v>
      </c>
      <c r="L2947" s="41"/>
      <c r="M2947" s="74">
        <v>-4.968216698</v>
      </c>
    </row>
    <row r="2948">
      <c r="A2948" s="1" t="s">
        <v>301</v>
      </c>
      <c r="B2948" s="38">
        <v>656557.0</v>
      </c>
      <c r="C2948" s="72">
        <v>45778.0</v>
      </c>
      <c r="D2948" s="38">
        <v>84.0</v>
      </c>
      <c r="E2948" s="75"/>
      <c r="F2948" s="67">
        <v>5.00013125</v>
      </c>
      <c r="G2948" s="40">
        <v>1.957174673</v>
      </c>
      <c r="H2948" s="40"/>
      <c r="I2948" s="41">
        <v>0.476190476</v>
      </c>
      <c r="J2948" s="41">
        <v>0.142857143</v>
      </c>
      <c r="K2948" s="41">
        <v>0.380952381</v>
      </c>
      <c r="L2948" s="41"/>
      <c r="M2948" s="74">
        <v>1.379281984</v>
      </c>
    </row>
    <row r="2949">
      <c r="A2949" s="1" t="s">
        <v>198</v>
      </c>
      <c r="B2949" s="38">
        <v>680736.0</v>
      </c>
      <c r="C2949" s="72">
        <v>45832.0</v>
      </c>
      <c r="D2949" s="38">
        <v>82.0</v>
      </c>
      <c r="E2949" s="75"/>
      <c r="F2949" s="67">
        <v>5.000054358</v>
      </c>
      <c r="G2949" s="40">
        <v>1.923263988</v>
      </c>
      <c r="H2949" s="40"/>
      <c r="I2949" s="41">
        <v>0.426829268</v>
      </c>
      <c r="J2949" s="41">
        <v>0.280487805</v>
      </c>
      <c r="K2949" s="41">
        <v>0.292682927</v>
      </c>
      <c r="L2949" s="41"/>
      <c r="M2949" s="74">
        <v>0.19464624</v>
      </c>
    </row>
    <row r="2950">
      <c r="A2950" s="1" t="s">
        <v>386</v>
      </c>
      <c r="B2950" s="38">
        <v>656731.0</v>
      </c>
      <c r="C2950" s="72">
        <v>45774.0</v>
      </c>
      <c r="D2950" s="38">
        <v>104.0</v>
      </c>
      <c r="E2950" s="75"/>
      <c r="F2950" s="67">
        <v>4.999831343</v>
      </c>
      <c r="G2950" s="40">
        <v>2.371272777</v>
      </c>
      <c r="H2950" s="40"/>
      <c r="I2950" s="41">
        <v>0.451923077</v>
      </c>
      <c r="J2950" s="41">
        <v>0.192307692</v>
      </c>
      <c r="K2950" s="41">
        <v>0.355769231</v>
      </c>
      <c r="L2950" s="41"/>
      <c r="M2950" s="74">
        <v>2.928838752</v>
      </c>
    </row>
    <row r="2951">
      <c r="A2951" s="1" t="s">
        <v>164</v>
      </c>
      <c r="B2951" s="38">
        <v>669923.0</v>
      </c>
      <c r="C2951" s="72">
        <v>45850.0</v>
      </c>
      <c r="D2951" s="38">
        <v>95.0</v>
      </c>
      <c r="E2951" s="75"/>
      <c r="F2951" s="67">
        <v>4.999689423</v>
      </c>
      <c r="G2951" s="40">
        <v>2.187872646</v>
      </c>
      <c r="H2951" s="40"/>
      <c r="I2951" s="41">
        <v>0.484210526</v>
      </c>
      <c r="J2951" s="41">
        <v>0.2</v>
      </c>
      <c r="K2951" s="41">
        <v>0.315789474</v>
      </c>
      <c r="L2951" s="41"/>
      <c r="M2951" s="74">
        <v>0.143174403</v>
      </c>
    </row>
    <row r="2952">
      <c r="A2952" s="1" t="s">
        <v>464</v>
      </c>
      <c r="B2952" s="38">
        <v>615698.0</v>
      </c>
      <c r="C2952" s="72">
        <v>45812.0</v>
      </c>
      <c r="D2952" s="38">
        <v>86.0</v>
      </c>
      <c r="E2952" s="75"/>
      <c r="F2952" s="67">
        <v>4.999661188</v>
      </c>
      <c r="G2952" s="40">
        <v>1.96777714</v>
      </c>
      <c r="H2952" s="40"/>
      <c r="I2952" s="41">
        <v>0.325581395</v>
      </c>
      <c r="J2952" s="41">
        <v>0.325581395</v>
      </c>
      <c r="K2952" s="41">
        <v>0.348837209</v>
      </c>
      <c r="L2952" s="41"/>
      <c r="M2952" s="74">
        <v>-0.236702851</v>
      </c>
    </row>
    <row r="2953">
      <c r="A2953" s="1" t="s">
        <v>457</v>
      </c>
      <c r="B2953" s="38">
        <v>477132.0</v>
      </c>
      <c r="C2953" s="72">
        <v>45828.0</v>
      </c>
      <c r="D2953" s="38">
        <v>78.0</v>
      </c>
      <c r="E2953" s="75"/>
      <c r="F2953" s="67">
        <v>4.999645837</v>
      </c>
      <c r="G2953" s="40">
        <v>1.857509715</v>
      </c>
      <c r="H2953" s="40"/>
      <c r="I2953" s="41">
        <v>0.346153846</v>
      </c>
      <c r="J2953" s="41">
        <v>0.320512821</v>
      </c>
      <c r="K2953" s="41">
        <v>0.333333333</v>
      </c>
      <c r="L2953" s="41"/>
      <c r="M2953" s="74">
        <v>-0.967694863</v>
      </c>
    </row>
    <row r="2954">
      <c r="A2954" s="1" t="s">
        <v>476</v>
      </c>
      <c r="B2954" s="38">
        <v>500779.0</v>
      </c>
      <c r="C2954" s="72">
        <v>45914.0</v>
      </c>
      <c r="D2954" s="38">
        <v>64.0</v>
      </c>
      <c r="E2954" s="75"/>
      <c r="F2954" s="67">
        <v>4.999645582</v>
      </c>
      <c r="G2954" s="40">
        <v>1.479942482</v>
      </c>
      <c r="H2954" s="40"/>
      <c r="I2954" s="41">
        <v>0.5</v>
      </c>
      <c r="J2954" s="41">
        <v>0.140625</v>
      </c>
      <c r="K2954" s="41">
        <v>0.359375</v>
      </c>
      <c r="L2954" s="41"/>
      <c r="M2954" s="74">
        <v>1.041190729</v>
      </c>
    </row>
    <row r="2955">
      <c r="A2955" s="1" t="s">
        <v>285</v>
      </c>
      <c r="B2955" s="38">
        <v>607074.0</v>
      </c>
      <c r="C2955" s="72">
        <v>45782.0</v>
      </c>
      <c r="D2955" s="38">
        <v>94.0</v>
      </c>
      <c r="E2955" s="75"/>
      <c r="F2955" s="67">
        <v>4.999615515</v>
      </c>
      <c r="G2955" s="40">
        <v>2.164766372</v>
      </c>
      <c r="H2955" s="40"/>
      <c r="I2955" s="41">
        <v>0.510638298</v>
      </c>
      <c r="J2955" s="41">
        <v>0.127659574</v>
      </c>
      <c r="K2955" s="41">
        <v>0.361702128</v>
      </c>
      <c r="L2955" s="41"/>
      <c r="M2955" s="74">
        <v>1.895004754</v>
      </c>
    </row>
    <row r="2956">
      <c r="A2956" s="1" t="s">
        <v>158</v>
      </c>
      <c r="B2956" s="38">
        <v>608372.0</v>
      </c>
      <c r="C2956" s="72">
        <v>45865.0</v>
      </c>
      <c r="D2956" s="38">
        <v>82.0</v>
      </c>
      <c r="E2956" s="75"/>
      <c r="F2956" s="67">
        <v>4.99958551</v>
      </c>
      <c r="G2956" s="40">
        <v>1.900983159</v>
      </c>
      <c r="H2956" s="40"/>
      <c r="I2956" s="41">
        <v>0.43902439</v>
      </c>
      <c r="J2956" s="41">
        <v>0.207317073</v>
      </c>
      <c r="K2956" s="41">
        <v>0.353658537</v>
      </c>
      <c r="L2956" s="41"/>
      <c r="M2956" s="74">
        <v>0.731782912</v>
      </c>
    </row>
    <row r="2957">
      <c r="A2957" s="1" t="s">
        <v>423</v>
      </c>
      <c r="B2957" s="38">
        <v>656605.0</v>
      </c>
      <c r="C2957" s="72">
        <v>45813.0</v>
      </c>
      <c r="D2957" s="38">
        <v>83.0</v>
      </c>
      <c r="E2957" s="75"/>
      <c r="F2957" s="67">
        <v>4.999526842</v>
      </c>
      <c r="G2957" s="40">
        <v>1.944061092</v>
      </c>
      <c r="H2957" s="40"/>
      <c r="I2957" s="41">
        <v>0.43373494</v>
      </c>
      <c r="J2957" s="41">
        <v>0.21686747</v>
      </c>
      <c r="K2957" s="41">
        <v>0.34939759</v>
      </c>
      <c r="L2957" s="41"/>
      <c r="M2957" s="74">
        <v>-0.223955479</v>
      </c>
    </row>
    <row r="2958">
      <c r="A2958" s="1" t="s">
        <v>453</v>
      </c>
      <c r="B2958" s="38">
        <v>592836.0</v>
      </c>
      <c r="C2958" s="72">
        <v>45891.0</v>
      </c>
      <c r="D2958" s="38">
        <v>74.0</v>
      </c>
      <c r="E2958" s="75"/>
      <c r="F2958" s="67">
        <v>4.998922696</v>
      </c>
      <c r="G2958" s="40">
        <v>1.710374675</v>
      </c>
      <c r="H2958" s="40"/>
      <c r="I2958" s="41">
        <v>0.486486486</v>
      </c>
      <c r="J2958" s="41">
        <v>0.175675676</v>
      </c>
      <c r="K2958" s="41">
        <v>0.337837838</v>
      </c>
      <c r="L2958" s="41"/>
      <c r="M2958" s="74">
        <v>1.552039426</v>
      </c>
    </row>
    <row r="2959">
      <c r="A2959" s="1" t="s">
        <v>321</v>
      </c>
      <c r="B2959" s="38">
        <v>607200.0</v>
      </c>
      <c r="C2959" s="72">
        <v>45791.0</v>
      </c>
      <c r="D2959" s="38">
        <v>91.0</v>
      </c>
      <c r="E2959" s="75"/>
      <c r="F2959" s="67">
        <v>4.998494346</v>
      </c>
      <c r="G2959" s="40">
        <v>2.095441558</v>
      </c>
      <c r="H2959" s="40"/>
      <c r="I2959" s="41">
        <v>0.43956044</v>
      </c>
      <c r="J2959" s="41">
        <v>0.164835165</v>
      </c>
      <c r="K2959" s="41">
        <v>0.395604396</v>
      </c>
      <c r="L2959" s="41"/>
      <c r="M2959" s="74">
        <v>1.804701243</v>
      </c>
    </row>
    <row r="2960">
      <c r="A2960" s="1" t="s">
        <v>491</v>
      </c>
      <c r="B2960" s="38">
        <v>650644.0</v>
      </c>
      <c r="C2960" s="72">
        <v>45829.0</v>
      </c>
      <c r="D2960" s="38">
        <v>93.0</v>
      </c>
      <c r="E2960" s="75"/>
      <c r="F2960" s="67">
        <v>4.998480242</v>
      </c>
      <c r="G2960" s="40">
        <v>2.191058557</v>
      </c>
      <c r="H2960" s="40"/>
      <c r="I2960" s="41">
        <v>0.494623656</v>
      </c>
      <c r="J2960" s="41">
        <v>0.150537634</v>
      </c>
      <c r="K2960" s="41">
        <v>0.35483871</v>
      </c>
      <c r="L2960" s="41"/>
      <c r="M2960" s="74">
        <v>-3.179639029</v>
      </c>
    </row>
    <row r="2961">
      <c r="A2961" s="1" t="s">
        <v>589</v>
      </c>
      <c r="B2961" s="38">
        <v>702056.0</v>
      </c>
      <c r="C2961" s="72">
        <v>45927.0</v>
      </c>
      <c r="D2961" s="38">
        <v>88.0</v>
      </c>
      <c r="E2961" s="75"/>
      <c r="F2961" s="67">
        <v>4.998412464</v>
      </c>
      <c r="G2961" s="40">
        <v>2.035806531</v>
      </c>
      <c r="H2961" s="40"/>
      <c r="I2961" s="41">
        <v>0.443181818</v>
      </c>
      <c r="J2961" s="41">
        <v>0.181818182</v>
      </c>
      <c r="K2961" s="41">
        <v>0.375</v>
      </c>
      <c r="L2961" s="41"/>
      <c r="M2961" s="74">
        <v>1.557853808</v>
      </c>
    </row>
    <row r="2962">
      <c r="A2962" s="1" t="s">
        <v>161</v>
      </c>
      <c r="B2962" s="38">
        <v>702070.0</v>
      </c>
      <c r="C2962" s="72">
        <v>45777.0</v>
      </c>
      <c r="D2962" s="38">
        <v>79.0</v>
      </c>
      <c r="E2962" s="75"/>
      <c r="F2962" s="67">
        <v>4.997917122</v>
      </c>
      <c r="G2962" s="40">
        <v>1.870720816</v>
      </c>
      <c r="H2962" s="40"/>
      <c r="I2962" s="41">
        <v>0.430379747</v>
      </c>
      <c r="J2962" s="41">
        <v>0.215189873</v>
      </c>
      <c r="K2962" s="41">
        <v>0.35443038</v>
      </c>
      <c r="L2962" s="41"/>
      <c r="M2962" s="74">
        <v>3.786669607</v>
      </c>
    </row>
    <row r="2963">
      <c r="A2963" s="1" t="s">
        <v>105</v>
      </c>
      <c r="B2963" s="38">
        <v>624133.0</v>
      </c>
      <c r="C2963" s="72">
        <v>45804.0</v>
      </c>
      <c r="D2963" s="38">
        <v>100.0</v>
      </c>
      <c r="E2963" s="75"/>
      <c r="F2963" s="67">
        <v>4.997911631</v>
      </c>
      <c r="G2963" s="40">
        <v>2.313744203</v>
      </c>
      <c r="H2963" s="40"/>
      <c r="I2963" s="41">
        <v>0.49</v>
      </c>
      <c r="J2963" s="41">
        <v>0.09</v>
      </c>
      <c r="K2963" s="41">
        <v>0.42</v>
      </c>
      <c r="L2963" s="41"/>
      <c r="M2963" s="74">
        <v>2.69153266</v>
      </c>
    </row>
    <row r="2964">
      <c r="A2964" s="1" t="s">
        <v>105</v>
      </c>
      <c r="B2964" s="38">
        <v>624133.0</v>
      </c>
      <c r="C2964" s="72">
        <v>45904.0</v>
      </c>
      <c r="D2964" s="38">
        <v>88.0</v>
      </c>
      <c r="E2964" s="75"/>
      <c r="F2964" s="67">
        <v>4.997858989</v>
      </c>
      <c r="G2964" s="40">
        <v>2.061390455</v>
      </c>
      <c r="H2964" s="40"/>
      <c r="I2964" s="41">
        <v>0.454545455</v>
      </c>
      <c r="J2964" s="41">
        <v>0.261363636</v>
      </c>
      <c r="K2964" s="41">
        <v>0.284090909</v>
      </c>
      <c r="L2964" s="41"/>
      <c r="M2964" s="74">
        <v>0.460728801</v>
      </c>
    </row>
    <row r="2965">
      <c r="A2965" s="1" t="s">
        <v>358</v>
      </c>
      <c r="B2965" s="38">
        <v>434378.0</v>
      </c>
      <c r="C2965" s="72">
        <v>45837.0</v>
      </c>
      <c r="D2965" s="38">
        <v>84.0</v>
      </c>
      <c r="E2965" s="75"/>
      <c r="F2965" s="67">
        <v>4.997836517</v>
      </c>
      <c r="G2965" s="40">
        <v>1.967937496</v>
      </c>
      <c r="H2965" s="40"/>
      <c r="I2965" s="41">
        <v>0.464285714</v>
      </c>
      <c r="J2965" s="41">
        <v>0.226190476</v>
      </c>
      <c r="K2965" s="41">
        <v>0.30952381</v>
      </c>
      <c r="L2965" s="41"/>
      <c r="M2965" s="74">
        <v>-0.573812095</v>
      </c>
    </row>
    <row r="2966">
      <c r="A2966" s="1" t="s">
        <v>97</v>
      </c>
      <c r="B2966" s="38">
        <v>656876.0</v>
      </c>
      <c r="C2966" s="72">
        <v>45788.0</v>
      </c>
      <c r="D2966" s="38">
        <v>70.0</v>
      </c>
      <c r="E2966" s="75"/>
      <c r="F2966" s="67">
        <v>4.997518384</v>
      </c>
      <c r="G2966" s="40">
        <v>1.67047834</v>
      </c>
      <c r="H2966" s="40"/>
      <c r="I2966" s="41">
        <v>0.471428571</v>
      </c>
      <c r="J2966" s="41">
        <v>0.171428571</v>
      </c>
      <c r="K2966" s="41">
        <v>0.357142857</v>
      </c>
      <c r="L2966" s="41"/>
      <c r="M2966" s="74">
        <v>2.060738557</v>
      </c>
    </row>
    <row r="2967">
      <c r="A2967" s="1" t="s">
        <v>256</v>
      </c>
      <c r="B2967" s="38">
        <v>571760.0</v>
      </c>
      <c r="C2967" s="72">
        <v>45880.0</v>
      </c>
      <c r="D2967" s="38">
        <v>88.0</v>
      </c>
      <c r="E2967" s="75"/>
      <c r="F2967" s="67">
        <v>4.997255433</v>
      </c>
      <c r="G2967" s="40">
        <v>2.054068856</v>
      </c>
      <c r="H2967" s="40"/>
      <c r="I2967" s="41">
        <v>0.511363636</v>
      </c>
      <c r="J2967" s="41">
        <v>0.125</v>
      </c>
      <c r="K2967" s="41">
        <v>0.363636364</v>
      </c>
      <c r="L2967" s="41"/>
      <c r="M2967" s="74">
        <v>-4.247883666</v>
      </c>
    </row>
    <row r="2968">
      <c r="A2968" s="1" t="s">
        <v>500</v>
      </c>
      <c r="B2968" s="38">
        <v>665871.0</v>
      </c>
      <c r="C2968" s="72">
        <v>45881.0</v>
      </c>
      <c r="D2968" s="38">
        <v>69.0</v>
      </c>
      <c r="E2968" s="75"/>
      <c r="F2968" s="67">
        <v>4.997129989</v>
      </c>
      <c r="G2968" s="40">
        <v>1.618343379</v>
      </c>
      <c r="H2968" s="40"/>
      <c r="I2968" s="41">
        <v>0.449275362</v>
      </c>
      <c r="J2968" s="41">
        <v>0.188405797</v>
      </c>
      <c r="K2968" s="41">
        <v>0.362318841</v>
      </c>
      <c r="L2968" s="41"/>
      <c r="M2968" s="74">
        <v>-3.509218767</v>
      </c>
    </row>
    <row r="2969">
      <c r="A2969" s="1" t="s">
        <v>331</v>
      </c>
      <c r="B2969" s="38">
        <v>672456.0</v>
      </c>
      <c r="C2969" s="72">
        <v>45796.0</v>
      </c>
      <c r="D2969" s="38">
        <v>91.0</v>
      </c>
      <c r="E2969" s="75"/>
      <c r="F2969" s="67">
        <v>4.997054802</v>
      </c>
      <c r="G2969" s="40">
        <v>2.145970651</v>
      </c>
      <c r="H2969" s="40"/>
      <c r="I2969" s="41">
        <v>0.428571429</v>
      </c>
      <c r="J2969" s="41">
        <v>0.263736264</v>
      </c>
      <c r="K2969" s="41">
        <v>0.307692308</v>
      </c>
      <c r="L2969" s="41"/>
      <c r="M2969" s="74">
        <v>-1.143199259</v>
      </c>
    </row>
    <row r="2970">
      <c r="A2970" s="1" t="s">
        <v>464</v>
      </c>
      <c r="B2970" s="38">
        <v>615698.0</v>
      </c>
      <c r="C2970" s="72">
        <v>45825.0</v>
      </c>
      <c r="D2970" s="38">
        <v>72.0</v>
      </c>
      <c r="E2970" s="75"/>
      <c r="F2970" s="67">
        <v>4.996770642</v>
      </c>
      <c r="G2970" s="40">
        <v>1.684044409</v>
      </c>
      <c r="H2970" s="40"/>
      <c r="I2970" s="41">
        <v>0.361111111</v>
      </c>
      <c r="J2970" s="41">
        <v>0.263888889</v>
      </c>
      <c r="K2970" s="41">
        <v>0.375</v>
      </c>
      <c r="L2970" s="41"/>
      <c r="M2970" s="74">
        <v>0.310784329</v>
      </c>
    </row>
    <row r="2971">
      <c r="A2971" s="1" t="s">
        <v>495</v>
      </c>
      <c r="B2971" s="38">
        <v>801403.0</v>
      </c>
      <c r="C2971" s="72">
        <v>45885.0</v>
      </c>
      <c r="D2971" s="38">
        <v>91.0</v>
      </c>
      <c r="E2971" s="75"/>
      <c r="F2971" s="67">
        <v>4.996760845</v>
      </c>
      <c r="G2971" s="40">
        <v>2.124382855</v>
      </c>
      <c r="H2971" s="40"/>
      <c r="I2971" s="41">
        <v>0.428571429</v>
      </c>
      <c r="J2971" s="41">
        <v>0.230769231</v>
      </c>
      <c r="K2971" s="41">
        <v>0.340659341</v>
      </c>
      <c r="L2971" s="41"/>
      <c r="M2971" s="74">
        <v>-0.164552482</v>
      </c>
    </row>
    <row r="2972">
      <c r="A2972" s="1" t="s">
        <v>164</v>
      </c>
      <c r="B2972" s="38">
        <v>669923.0</v>
      </c>
      <c r="C2972" s="72">
        <v>45828.0</v>
      </c>
      <c r="D2972" s="38">
        <v>83.0</v>
      </c>
      <c r="E2972" s="75"/>
      <c r="F2972" s="67">
        <v>4.996702283</v>
      </c>
      <c r="G2972" s="40">
        <v>1.942949889</v>
      </c>
      <c r="H2972" s="40"/>
      <c r="I2972" s="41">
        <v>0.493975904</v>
      </c>
      <c r="J2972" s="41">
        <v>0.156626506</v>
      </c>
      <c r="K2972" s="41">
        <v>0.34939759</v>
      </c>
      <c r="L2972" s="41"/>
      <c r="M2972" s="74">
        <v>-1.750300367</v>
      </c>
    </row>
    <row r="2973">
      <c r="A2973" s="1" t="s">
        <v>287</v>
      </c>
      <c r="B2973" s="38">
        <v>571945.0</v>
      </c>
      <c r="C2973" s="72">
        <v>45747.0</v>
      </c>
      <c r="D2973" s="38">
        <v>78.0</v>
      </c>
      <c r="E2973" s="75"/>
      <c r="F2973" s="67">
        <v>4.99662385</v>
      </c>
      <c r="G2973" s="40">
        <v>1.798960678</v>
      </c>
      <c r="H2973" s="40"/>
      <c r="I2973" s="41">
        <v>0.423076923</v>
      </c>
      <c r="J2973" s="41">
        <v>0.179487179</v>
      </c>
      <c r="K2973" s="41">
        <v>0.397435897</v>
      </c>
      <c r="L2973" s="41"/>
      <c r="M2973" s="74">
        <v>2.525518427</v>
      </c>
    </row>
    <row r="2974">
      <c r="A2974" s="1" t="s">
        <v>382</v>
      </c>
      <c r="B2974" s="38">
        <v>656288.0</v>
      </c>
      <c r="C2974" s="72">
        <v>45794.0</v>
      </c>
      <c r="D2974" s="38">
        <v>91.0</v>
      </c>
      <c r="E2974" s="75"/>
      <c r="F2974" s="67">
        <v>4.996022424</v>
      </c>
      <c r="G2974" s="40">
        <v>2.135919213</v>
      </c>
      <c r="H2974" s="40"/>
      <c r="I2974" s="41">
        <v>0.384615385</v>
      </c>
      <c r="J2974" s="41">
        <v>0.296703297</v>
      </c>
      <c r="K2974" s="41">
        <v>0.318681319</v>
      </c>
      <c r="L2974" s="41"/>
      <c r="M2974" s="74">
        <v>-0.461406081</v>
      </c>
    </row>
    <row r="2975">
      <c r="A2975" s="1" t="s">
        <v>352</v>
      </c>
      <c r="B2975" s="38">
        <v>685299.0</v>
      </c>
      <c r="C2975" s="72">
        <v>45884.0</v>
      </c>
      <c r="D2975" s="38">
        <v>76.0</v>
      </c>
      <c r="E2975" s="75"/>
      <c r="F2975" s="67">
        <v>4.995986842</v>
      </c>
      <c r="G2975" s="40">
        <v>1.810539736</v>
      </c>
      <c r="H2975" s="40"/>
      <c r="I2975" s="41">
        <v>0.381578947</v>
      </c>
      <c r="J2975" s="41">
        <v>0.263157895</v>
      </c>
      <c r="K2975" s="41">
        <v>0.355263158</v>
      </c>
      <c r="L2975" s="41"/>
      <c r="M2975" s="74">
        <v>0.464492311</v>
      </c>
    </row>
    <row r="2976">
      <c r="A2976" s="1" t="s">
        <v>516</v>
      </c>
      <c r="B2976" s="38">
        <v>700363.0</v>
      </c>
      <c r="C2976" s="72">
        <v>45759.0</v>
      </c>
      <c r="D2976" s="38">
        <v>84.0</v>
      </c>
      <c r="E2976" s="75"/>
      <c r="F2976" s="67">
        <v>4.995834631</v>
      </c>
      <c r="G2976" s="40">
        <v>1.945350686</v>
      </c>
      <c r="H2976" s="40"/>
      <c r="I2976" s="41">
        <v>0.464285714</v>
      </c>
      <c r="J2976" s="41">
        <v>0.178571429</v>
      </c>
      <c r="K2976" s="41">
        <v>0.357142857</v>
      </c>
      <c r="L2976" s="41"/>
      <c r="M2976" s="74">
        <v>0.231700511</v>
      </c>
    </row>
    <row r="2977">
      <c r="A2977" s="1" t="s">
        <v>285</v>
      </c>
      <c r="B2977" s="38">
        <v>607074.0</v>
      </c>
      <c r="C2977" s="72">
        <v>45749.0</v>
      </c>
      <c r="D2977" s="38">
        <v>93.0</v>
      </c>
      <c r="E2977" s="75"/>
      <c r="F2977" s="67">
        <v>4.995753617</v>
      </c>
      <c r="G2977" s="40">
        <v>2.149149431</v>
      </c>
      <c r="H2977" s="40"/>
      <c r="I2977" s="41">
        <v>0.483870968</v>
      </c>
      <c r="J2977" s="41">
        <v>0.11827957</v>
      </c>
      <c r="K2977" s="41">
        <v>0.397849462</v>
      </c>
      <c r="L2977" s="41"/>
      <c r="M2977" s="74">
        <v>1.659653998</v>
      </c>
    </row>
    <row r="2978">
      <c r="A2978" s="1" t="s">
        <v>301</v>
      </c>
      <c r="B2978" s="38">
        <v>656557.0</v>
      </c>
      <c r="C2978" s="72">
        <v>45744.0</v>
      </c>
      <c r="D2978" s="38">
        <v>89.0</v>
      </c>
      <c r="E2978" s="75"/>
      <c r="F2978" s="67">
        <v>4.995598182</v>
      </c>
      <c r="G2978" s="40">
        <v>2.047769652</v>
      </c>
      <c r="H2978" s="40"/>
      <c r="I2978" s="41">
        <v>0.471910112</v>
      </c>
      <c r="J2978" s="41">
        <v>0.146067416</v>
      </c>
      <c r="K2978" s="41">
        <v>0.382022472</v>
      </c>
      <c r="L2978" s="41"/>
      <c r="M2978" s="74">
        <v>-1.580219883</v>
      </c>
    </row>
    <row r="2979">
      <c r="A2979" s="1" t="s">
        <v>496</v>
      </c>
      <c r="B2979" s="38">
        <v>694477.0</v>
      </c>
      <c r="C2979" s="72">
        <v>45843.0</v>
      </c>
      <c r="D2979" s="38">
        <v>72.0</v>
      </c>
      <c r="E2979" s="75"/>
      <c r="F2979" s="67">
        <v>4.995493635</v>
      </c>
      <c r="G2979" s="40">
        <v>1.687710938</v>
      </c>
      <c r="H2979" s="40"/>
      <c r="I2979" s="41">
        <v>0.416666667</v>
      </c>
      <c r="J2979" s="41">
        <v>0.208333333</v>
      </c>
      <c r="K2979" s="41">
        <v>0.375</v>
      </c>
      <c r="L2979" s="41"/>
      <c r="M2979" s="74">
        <v>0.185605444</v>
      </c>
    </row>
    <row r="2980">
      <c r="A2980" s="1" t="s">
        <v>425</v>
      </c>
      <c r="B2980" s="38">
        <v>621244.0</v>
      </c>
      <c r="C2980" s="72">
        <v>45784.0</v>
      </c>
      <c r="D2980" s="38">
        <v>88.0</v>
      </c>
      <c r="E2980" s="75"/>
      <c r="F2980" s="67">
        <v>4.995345358</v>
      </c>
      <c r="G2980" s="40">
        <v>2.023312598</v>
      </c>
      <c r="H2980" s="40"/>
      <c r="I2980" s="41">
        <v>0.488636364</v>
      </c>
      <c r="J2980" s="41">
        <v>0.159090909</v>
      </c>
      <c r="K2980" s="41">
        <v>0.352272727</v>
      </c>
      <c r="L2980" s="41"/>
      <c r="M2980" s="74">
        <v>0.190237278</v>
      </c>
    </row>
    <row r="2981">
      <c r="A2981" s="1" t="s">
        <v>413</v>
      </c>
      <c r="B2981" s="38">
        <v>671737.0</v>
      </c>
      <c r="C2981" s="72">
        <v>45856.0</v>
      </c>
      <c r="D2981" s="38">
        <v>86.0</v>
      </c>
      <c r="E2981" s="75"/>
      <c r="F2981" s="67">
        <v>4.9951113</v>
      </c>
      <c r="G2981" s="40">
        <v>2.007725898</v>
      </c>
      <c r="H2981" s="40"/>
      <c r="I2981" s="41">
        <v>0.465116279</v>
      </c>
      <c r="J2981" s="41">
        <v>0.127906977</v>
      </c>
      <c r="K2981" s="41">
        <v>0.406976744</v>
      </c>
      <c r="L2981" s="41"/>
      <c r="M2981" s="74">
        <v>1.156746504</v>
      </c>
    </row>
    <row r="2982">
      <c r="A2982" s="1" t="s">
        <v>287</v>
      </c>
      <c r="B2982" s="38">
        <v>571945.0</v>
      </c>
      <c r="C2982" s="72">
        <v>45794.0</v>
      </c>
      <c r="D2982" s="38">
        <v>76.0</v>
      </c>
      <c r="E2982" s="75"/>
      <c r="F2982" s="67">
        <v>4.995009679</v>
      </c>
      <c r="G2982" s="40">
        <v>1.803978553</v>
      </c>
      <c r="H2982" s="40"/>
      <c r="I2982" s="41">
        <v>0.407894737</v>
      </c>
      <c r="J2982" s="41">
        <v>0.223684211</v>
      </c>
      <c r="K2982" s="41">
        <v>0.368421053</v>
      </c>
      <c r="L2982" s="41"/>
      <c r="M2982" s="74">
        <v>3.048686623</v>
      </c>
    </row>
    <row r="2983">
      <c r="A2983" s="1" t="s">
        <v>495</v>
      </c>
      <c r="B2983" s="38">
        <v>801403.0</v>
      </c>
      <c r="C2983" s="72">
        <v>45816.0</v>
      </c>
      <c r="D2983" s="38">
        <v>76.0</v>
      </c>
      <c r="E2983" s="75"/>
      <c r="F2983" s="67">
        <v>4.99494561</v>
      </c>
      <c r="G2983" s="40">
        <v>1.783226472</v>
      </c>
      <c r="H2983" s="40"/>
      <c r="I2983" s="41">
        <v>0.447368421</v>
      </c>
      <c r="J2983" s="41">
        <v>0.184210526</v>
      </c>
      <c r="K2983" s="41">
        <v>0.368421053</v>
      </c>
      <c r="L2983" s="41"/>
      <c r="M2983" s="74">
        <v>-2.850565601</v>
      </c>
    </row>
    <row r="2984">
      <c r="A2984" s="1" t="s">
        <v>152</v>
      </c>
      <c r="B2984" s="38">
        <v>690916.0</v>
      </c>
      <c r="C2984" s="72">
        <v>45894.0</v>
      </c>
      <c r="D2984" s="38">
        <v>68.0</v>
      </c>
      <c r="E2984" s="75"/>
      <c r="F2984" s="67">
        <v>4.994856081</v>
      </c>
      <c r="G2984" s="40">
        <v>1.575291777</v>
      </c>
      <c r="H2984" s="40"/>
      <c r="I2984" s="41">
        <v>0.455882353</v>
      </c>
      <c r="J2984" s="41">
        <v>0.235294118</v>
      </c>
      <c r="K2984" s="41">
        <v>0.308823529</v>
      </c>
      <c r="L2984" s="41"/>
      <c r="M2984" s="74">
        <v>1.197909873</v>
      </c>
    </row>
    <row r="2985">
      <c r="A2985" s="1" t="s">
        <v>394</v>
      </c>
      <c r="B2985" s="38">
        <v>621121.0</v>
      </c>
      <c r="C2985" s="72">
        <v>45842.0</v>
      </c>
      <c r="D2985" s="38">
        <v>85.0</v>
      </c>
      <c r="E2985" s="75"/>
      <c r="F2985" s="67">
        <v>4.994680662</v>
      </c>
      <c r="G2985" s="40">
        <v>1.989437013</v>
      </c>
      <c r="H2985" s="40"/>
      <c r="I2985" s="41">
        <v>0.458823529</v>
      </c>
      <c r="J2985" s="41">
        <v>0.152941176</v>
      </c>
      <c r="K2985" s="41">
        <v>0.388235294</v>
      </c>
      <c r="L2985" s="41"/>
      <c r="M2985" s="74">
        <v>0.300711881</v>
      </c>
    </row>
    <row r="2986">
      <c r="A2986" s="1" t="s">
        <v>125</v>
      </c>
      <c r="B2986" s="38">
        <v>663554.0</v>
      </c>
      <c r="C2986" s="72">
        <v>45754.0</v>
      </c>
      <c r="D2986" s="38">
        <v>88.0</v>
      </c>
      <c r="E2986" s="75"/>
      <c r="F2986" s="67">
        <v>4.994670601</v>
      </c>
      <c r="G2986" s="40">
        <v>2.080393592</v>
      </c>
      <c r="H2986" s="40"/>
      <c r="I2986" s="41">
        <v>0.477272727</v>
      </c>
      <c r="J2986" s="41">
        <v>0.227272727</v>
      </c>
      <c r="K2986" s="41">
        <v>0.295454545</v>
      </c>
      <c r="L2986" s="41"/>
      <c r="M2986" s="74">
        <v>0.770471184</v>
      </c>
    </row>
    <row r="2987">
      <c r="A2987" s="1" t="s">
        <v>353</v>
      </c>
      <c r="B2987" s="38">
        <v>663903.0</v>
      </c>
      <c r="C2987" s="72">
        <v>45928.0</v>
      </c>
      <c r="D2987" s="38">
        <v>71.0</v>
      </c>
      <c r="E2987" s="75"/>
      <c r="F2987" s="67">
        <v>4.994131828</v>
      </c>
      <c r="G2987" s="40">
        <v>1.621639736</v>
      </c>
      <c r="H2987" s="40"/>
      <c r="I2987" s="41">
        <v>0.492957746</v>
      </c>
      <c r="J2987" s="41">
        <v>0.154929577</v>
      </c>
      <c r="K2987" s="41">
        <v>0.352112676</v>
      </c>
      <c r="L2987" s="41"/>
      <c r="M2987" s="74">
        <v>-1.460422539</v>
      </c>
    </row>
    <row r="2988">
      <c r="A2988" s="1" t="s">
        <v>491</v>
      </c>
      <c r="B2988" s="38">
        <v>650644.0</v>
      </c>
      <c r="C2988" s="72">
        <v>45877.0</v>
      </c>
      <c r="D2988" s="38">
        <v>71.0</v>
      </c>
      <c r="E2988" s="75"/>
      <c r="F2988" s="67">
        <v>4.994106785</v>
      </c>
      <c r="G2988" s="40">
        <v>1.645728221</v>
      </c>
      <c r="H2988" s="40"/>
      <c r="I2988" s="41">
        <v>0.507042254</v>
      </c>
      <c r="J2988" s="41">
        <v>0.126760563</v>
      </c>
      <c r="K2988" s="41">
        <v>0.366197183</v>
      </c>
      <c r="L2988" s="41"/>
      <c r="M2988" s="74">
        <v>-2.936341026</v>
      </c>
    </row>
    <row r="2989">
      <c r="A2989" s="1" t="s">
        <v>343</v>
      </c>
      <c r="B2989" s="38">
        <v>682243.0</v>
      </c>
      <c r="C2989" s="72">
        <v>45894.0</v>
      </c>
      <c r="D2989" s="38">
        <v>80.0</v>
      </c>
      <c r="E2989" s="75"/>
      <c r="F2989" s="67">
        <v>4.99405913</v>
      </c>
      <c r="G2989" s="40">
        <v>1.864848022</v>
      </c>
      <c r="H2989" s="40"/>
      <c r="I2989" s="41">
        <v>0.5</v>
      </c>
      <c r="J2989" s="41">
        <v>0.175</v>
      </c>
      <c r="K2989" s="41">
        <v>0.325</v>
      </c>
      <c r="L2989" s="41"/>
      <c r="M2989" s="74">
        <v>-0.866497746</v>
      </c>
    </row>
    <row r="2990">
      <c r="A2990" s="1" t="s">
        <v>278</v>
      </c>
      <c r="B2990" s="38">
        <v>542881.0</v>
      </c>
      <c r="C2990" s="72">
        <v>45844.0</v>
      </c>
      <c r="D2990" s="38">
        <v>90.0</v>
      </c>
      <c r="E2990" s="75"/>
      <c r="F2990" s="67">
        <v>4.993821534</v>
      </c>
      <c r="G2990" s="40">
        <v>2.10092874</v>
      </c>
      <c r="H2990" s="40"/>
      <c r="I2990" s="41">
        <v>0.444444444</v>
      </c>
      <c r="J2990" s="41">
        <v>0.188888889</v>
      </c>
      <c r="K2990" s="41">
        <v>0.366666667</v>
      </c>
      <c r="L2990" s="41"/>
      <c r="M2990" s="74">
        <v>-3.484710933</v>
      </c>
    </row>
    <row r="2991">
      <c r="A2991" s="1" t="s">
        <v>425</v>
      </c>
      <c r="B2991" s="38">
        <v>621244.0</v>
      </c>
      <c r="C2991" s="72">
        <v>45845.0</v>
      </c>
      <c r="D2991" s="38">
        <v>76.0</v>
      </c>
      <c r="E2991" s="75"/>
      <c r="F2991" s="67">
        <v>4.993543618</v>
      </c>
      <c r="G2991" s="40">
        <v>1.777414128</v>
      </c>
      <c r="H2991" s="40"/>
      <c r="I2991" s="41">
        <v>0.486842105</v>
      </c>
      <c r="J2991" s="41">
        <v>0.171052632</v>
      </c>
      <c r="K2991" s="41">
        <v>0.342105263</v>
      </c>
      <c r="L2991" s="41"/>
      <c r="M2991" s="74">
        <v>3.245771375</v>
      </c>
    </row>
    <row r="2992">
      <c r="A2992" s="1" t="s">
        <v>411</v>
      </c>
      <c r="B2992" s="38">
        <v>605288.0</v>
      </c>
      <c r="C2992" s="72">
        <v>45797.0</v>
      </c>
      <c r="D2992" s="38">
        <v>88.0</v>
      </c>
      <c r="E2992" s="75"/>
      <c r="F2992" s="67">
        <v>4.99321528</v>
      </c>
      <c r="G2992" s="40">
        <v>2.030996283</v>
      </c>
      <c r="H2992" s="40"/>
      <c r="I2992" s="41">
        <v>0.454545455</v>
      </c>
      <c r="J2992" s="41">
        <v>0.125</v>
      </c>
      <c r="K2992" s="41">
        <v>0.420454545</v>
      </c>
      <c r="L2992" s="41"/>
      <c r="M2992" s="74">
        <v>3.350531704</v>
      </c>
    </row>
    <row r="2993">
      <c r="A2993" s="1" t="s">
        <v>595</v>
      </c>
      <c r="B2993" s="38">
        <v>677651.0</v>
      </c>
      <c r="C2993" s="72">
        <v>45901.0</v>
      </c>
      <c r="D2993" s="38">
        <v>78.0</v>
      </c>
      <c r="E2993" s="75"/>
      <c r="F2993" s="67">
        <v>4.993179966</v>
      </c>
      <c r="G2993" s="40">
        <v>1.825535919</v>
      </c>
      <c r="H2993" s="40"/>
      <c r="I2993" s="41">
        <v>0.397435897</v>
      </c>
      <c r="J2993" s="41">
        <v>0.256410256</v>
      </c>
      <c r="K2993" s="41">
        <v>0.346153846</v>
      </c>
      <c r="L2993" s="41"/>
      <c r="M2993" s="74">
        <v>0.68798513</v>
      </c>
    </row>
    <row r="2994">
      <c r="A2994" s="1" t="s">
        <v>358</v>
      </c>
      <c r="B2994" s="38">
        <v>434378.0</v>
      </c>
      <c r="C2994" s="72">
        <v>45895.0</v>
      </c>
      <c r="D2994" s="38">
        <v>99.0</v>
      </c>
      <c r="E2994" s="75"/>
      <c r="F2994" s="67">
        <v>4.992878173</v>
      </c>
      <c r="G2994" s="40">
        <v>2.318632399</v>
      </c>
      <c r="H2994" s="40"/>
      <c r="I2994" s="41">
        <v>0.454545455</v>
      </c>
      <c r="J2994" s="41">
        <v>0.232323232</v>
      </c>
      <c r="K2994" s="41">
        <v>0.313131313</v>
      </c>
      <c r="L2994" s="41"/>
      <c r="M2994" s="74">
        <v>-1.130783711</v>
      </c>
    </row>
    <row r="2995">
      <c r="A2995" s="1" t="s">
        <v>100</v>
      </c>
      <c r="B2995" s="38">
        <v>676979.0</v>
      </c>
      <c r="C2995" s="72">
        <v>45787.0</v>
      </c>
      <c r="D2995" s="38">
        <v>106.0</v>
      </c>
      <c r="E2995" s="75"/>
      <c r="F2995" s="67">
        <v>4.992742501</v>
      </c>
      <c r="G2995" s="40">
        <v>2.505499499</v>
      </c>
      <c r="H2995" s="40"/>
      <c r="I2995" s="41">
        <v>0.509433962</v>
      </c>
      <c r="J2995" s="41">
        <v>0.169811321</v>
      </c>
      <c r="K2995" s="41">
        <v>0.320754717</v>
      </c>
      <c r="L2995" s="41"/>
      <c r="M2995" s="74">
        <v>-0.897702845</v>
      </c>
    </row>
    <row r="2996">
      <c r="A2996" s="1" t="s">
        <v>411</v>
      </c>
      <c r="B2996" s="38">
        <v>605288.0</v>
      </c>
      <c r="C2996" s="72">
        <v>45847.0</v>
      </c>
      <c r="D2996" s="38">
        <v>94.0</v>
      </c>
      <c r="E2996" s="75"/>
      <c r="F2996" s="67">
        <v>4.9927191</v>
      </c>
      <c r="G2996" s="40">
        <v>2.220438648</v>
      </c>
      <c r="H2996" s="40"/>
      <c r="I2996" s="41">
        <v>0.382978723</v>
      </c>
      <c r="J2996" s="41">
        <v>0.265957447</v>
      </c>
      <c r="K2996" s="41">
        <v>0.35106383</v>
      </c>
      <c r="L2996" s="41"/>
      <c r="M2996" s="74">
        <v>0.649632137</v>
      </c>
    </row>
    <row r="2997">
      <c r="A2997" s="1" t="s">
        <v>481</v>
      </c>
      <c r="B2997" s="38">
        <v>622608.0</v>
      </c>
      <c r="C2997" s="72">
        <v>45847.0</v>
      </c>
      <c r="D2997" s="38">
        <v>75.0</v>
      </c>
      <c r="E2997" s="75"/>
      <c r="F2997" s="67">
        <v>4.992688993</v>
      </c>
      <c r="G2997" s="40">
        <v>1.796631529</v>
      </c>
      <c r="H2997" s="40"/>
      <c r="I2997" s="41">
        <v>0.4</v>
      </c>
      <c r="J2997" s="41">
        <v>0.266666667</v>
      </c>
      <c r="K2997" s="41">
        <v>0.333333333</v>
      </c>
      <c r="L2997" s="41"/>
      <c r="M2997" s="74">
        <v>-2.774339417</v>
      </c>
    </row>
    <row r="2998">
      <c r="A2998" s="1" t="s">
        <v>264</v>
      </c>
      <c r="B2998" s="38">
        <v>669920.0</v>
      </c>
      <c r="C2998" s="72">
        <v>45897.0</v>
      </c>
      <c r="D2998" s="38">
        <v>83.0</v>
      </c>
      <c r="E2998" s="75"/>
      <c r="F2998" s="67">
        <v>4.992670417</v>
      </c>
      <c r="G2998" s="40">
        <v>1.916846637</v>
      </c>
      <c r="H2998" s="40"/>
      <c r="I2998" s="41">
        <v>0.43373494</v>
      </c>
      <c r="J2998" s="41">
        <v>0.228915663</v>
      </c>
      <c r="K2998" s="41">
        <v>0.337349398</v>
      </c>
      <c r="L2998" s="41"/>
      <c r="M2998" s="74">
        <v>-1.916664354</v>
      </c>
    </row>
    <row r="2999">
      <c r="A2999" s="1" t="s">
        <v>287</v>
      </c>
      <c r="B2999" s="38">
        <v>571945.0</v>
      </c>
      <c r="C2999" s="72">
        <v>45848.0</v>
      </c>
      <c r="D2999" s="38">
        <v>69.0</v>
      </c>
      <c r="E2999" s="75"/>
      <c r="F2999" s="67">
        <v>4.992455859</v>
      </c>
      <c r="G2999" s="40">
        <v>1.583601073</v>
      </c>
      <c r="H2999" s="40"/>
      <c r="I2999" s="41">
        <v>0.434782609</v>
      </c>
      <c r="J2999" s="41">
        <v>0.202898551</v>
      </c>
      <c r="K2999" s="41">
        <v>0.362318841</v>
      </c>
      <c r="L2999" s="41"/>
      <c r="M2999" s="74">
        <v>2.207290028</v>
      </c>
    </row>
    <row r="3000">
      <c r="A3000" s="1" t="s">
        <v>155</v>
      </c>
      <c r="B3000" s="38">
        <v>592332.0</v>
      </c>
      <c r="C3000" s="72">
        <v>45834.0</v>
      </c>
      <c r="D3000" s="38">
        <v>104.0</v>
      </c>
      <c r="E3000" s="75"/>
      <c r="F3000" s="67">
        <v>4.992115807</v>
      </c>
      <c r="G3000" s="40">
        <v>2.424988011</v>
      </c>
      <c r="H3000" s="40"/>
      <c r="I3000" s="41">
        <v>0.451923077</v>
      </c>
      <c r="J3000" s="41">
        <v>0.230769231</v>
      </c>
      <c r="K3000" s="41">
        <v>0.317307692</v>
      </c>
      <c r="L3000" s="41"/>
      <c r="M3000" s="74">
        <v>4.335206515</v>
      </c>
    </row>
    <row r="3001">
      <c r="A3001" s="1" t="s">
        <v>491</v>
      </c>
      <c r="B3001" s="38">
        <v>650644.0</v>
      </c>
      <c r="C3001" s="72">
        <v>45823.0</v>
      </c>
      <c r="D3001" s="38">
        <v>100.0</v>
      </c>
      <c r="E3001" s="75"/>
      <c r="F3001" s="67">
        <v>4.991974728</v>
      </c>
      <c r="G3001" s="40">
        <v>2.339033419</v>
      </c>
      <c r="H3001" s="40"/>
      <c r="I3001" s="41">
        <v>0.47</v>
      </c>
      <c r="J3001" s="41">
        <v>0.14</v>
      </c>
      <c r="K3001" s="41">
        <v>0.39</v>
      </c>
      <c r="L3001" s="41"/>
      <c r="M3001" s="74">
        <v>1.511626813</v>
      </c>
    </row>
    <row r="3002">
      <c r="A3002" s="1" t="s">
        <v>420</v>
      </c>
      <c r="B3002" s="38">
        <v>547179.0</v>
      </c>
      <c r="C3002" s="72">
        <v>45776.0</v>
      </c>
      <c r="D3002" s="38">
        <v>85.0</v>
      </c>
      <c r="E3002" s="75"/>
      <c r="F3002" s="67">
        <v>4.991958337</v>
      </c>
      <c r="G3002" s="40">
        <v>1.969374753</v>
      </c>
      <c r="H3002" s="40"/>
      <c r="I3002" s="41">
        <v>0.494117647</v>
      </c>
      <c r="J3002" s="41">
        <v>0.211764706</v>
      </c>
      <c r="K3002" s="41">
        <v>0.294117647</v>
      </c>
      <c r="L3002" s="41"/>
      <c r="M3002" s="74">
        <v>2.501352138</v>
      </c>
    </row>
    <row r="3003">
      <c r="A3003" s="1" t="s">
        <v>410</v>
      </c>
      <c r="B3003" s="38">
        <v>678394.0</v>
      </c>
      <c r="C3003" s="72">
        <v>45863.0</v>
      </c>
      <c r="D3003" s="38">
        <v>96.0</v>
      </c>
      <c r="E3003" s="75"/>
      <c r="F3003" s="67">
        <v>4.991727024</v>
      </c>
      <c r="G3003" s="40">
        <v>2.214369734</v>
      </c>
      <c r="H3003" s="40"/>
      <c r="I3003" s="41">
        <v>0.510416667</v>
      </c>
      <c r="J3003" s="41">
        <v>0.177083333</v>
      </c>
      <c r="K3003" s="41">
        <v>0.3125</v>
      </c>
      <c r="L3003" s="41"/>
      <c r="M3003" s="74">
        <v>-0.279253833</v>
      </c>
    </row>
    <row r="3004">
      <c r="A3004" s="1" t="s">
        <v>307</v>
      </c>
      <c r="B3004" s="38">
        <v>656849.0</v>
      </c>
      <c r="C3004" s="72">
        <v>45858.0</v>
      </c>
      <c r="D3004" s="38">
        <v>89.0</v>
      </c>
      <c r="E3004" s="75"/>
      <c r="F3004" s="67">
        <v>4.991723104</v>
      </c>
      <c r="G3004" s="40">
        <v>2.073654875</v>
      </c>
      <c r="H3004" s="40"/>
      <c r="I3004" s="41">
        <v>0.449438202</v>
      </c>
      <c r="J3004" s="41">
        <v>0.213483146</v>
      </c>
      <c r="K3004" s="41">
        <v>0.337078652</v>
      </c>
      <c r="L3004" s="41"/>
      <c r="M3004" s="74">
        <v>2.004752837</v>
      </c>
    </row>
    <row r="3005">
      <c r="A3005" s="1" t="s">
        <v>301</v>
      </c>
      <c r="B3005" s="38">
        <v>656557.0</v>
      </c>
      <c r="C3005" s="72">
        <v>45756.0</v>
      </c>
      <c r="D3005" s="38">
        <v>89.0</v>
      </c>
      <c r="E3005" s="75"/>
      <c r="F3005" s="67">
        <v>4.991568115</v>
      </c>
      <c r="G3005" s="40">
        <v>2.091525247</v>
      </c>
      <c r="H3005" s="40"/>
      <c r="I3005" s="41">
        <v>0.426966292</v>
      </c>
      <c r="J3005" s="41">
        <v>0.191011236</v>
      </c>
      <c r="K3005" s="41">
        <v>0.382022472</v>
      </c>
      <c r="L3005" s="41"/>
      <c r="M3005" s="74">
        <v>0.685278296</v>
      </c>
    </row>
    <row r="3006">
      <c r="A3006" s="1" t="s">
        <v>363</v>
      </c>
      <c r="B3006" s="38">
        <v>693645.0</v>
      </c>
      <c r="C3006" s="72">
        <v>45899.0</v>
      </c>
      <c r="D3006" s="38">
        <v>99.0</v>
      </c>
      <c r="E3006" s="75"/>
      <c r="F3006" s="67">
        <v>4.991449179</v>
      </c>
      <c r="G3006" s="40">
        <v>2.351425505</v>
      </c>
      <c r="H3006" s="40"/>
      <c r="I3006" s="41">
        <v>0.464646465</v>
      </c>
      <c r="J3006" s="41">
        <v>0.171717172</v>
      </c>
      <c r="K3006" s="41">
        <v>0.363636364</v>
      </c>
      <c r="L3006" s="41"/>
      <c r="M3006" s="74">
        <v>2.249386683</v>
      </c>
    </row>
    <row r="3007">
      <c r="A3007" s="1" t="s">
        <v>263</v>
      </c>
      <c r="B3007" s="38">
        <v>694297.0</v>
      </c>
      <c r="C3007" s="72">
        <v>45841.0</v>
      </c>
      <c r="D3007" s="38">
        <v>94.0</v>
      </c>
      <c r="E3007" s="75"/>
      <c r="F3007" s="67">
        <v>4.991338608</v>
      </c>
      <c r="G3007" s="40">
        <v>2.208558058</v>
      </c>
      <c r="H3007" s="40"/>
      <c r="I3007" s="41">
        <v>0.446808511</v>
      </c>
      <c r="J3007" s="41">
        <v>0.234042553</v>
      </c>
      <c r="K3007" s="41">
        <v>0.319148936</v>
      </c>
      <c r="L3007" s="41"/>
      <c r="M3007" s="74">
        <v>0.855973237</v>
      </c>
    </row>
    <row r="3008">
      <c r="A3008" s="1" t="s">
        <v>158</v>
      </c>
      <c r="B3008" s="38">
        <v>608372.0</v>
      </c>
      <c r="C3008" s="72">
        <v>45883.0</v>
      </c>
      <c r="D3008" s="38">
        <v>76.0</v>
      </c>
      <c r="E3008" s="75"/>
      <c r="F3008" s="67">
        <v>4.990978552</v>
      </c>
      <c r="G3008" s="40">
        <v>1.793898663</v>
      </c>
      <c r="H3008" s="40"/>
      <c r="I3008" s="41">
        <v>0.434210526</v>
      </c>
      <c r="J3008" s="41">
        <v>0.131578947</v>
      </c>
      <c r="K3008" s="41">
        <v>0.434210526</v>
      </c>
      <c r="L3008" s="41"/>
      <c r="M3008" s="74">
        <v>1.949499716</v>
      </c>
    </row>
    <row r="3009">
      <c r="A3009" s="1" t="s">
        <v>166</v>
      </c>
      <c r="B3009" s="38">
        <v>608331.0</v>
      </c>
      <c r="C3009" s="72">
        <v>45745.0</v>
      </c>
      <c r="D3009" s="38">
        <v>91.0</v>
      </c>
      <c r="E3009" s="75"/>
      <c r="F3009" s="67">
        <v>4.990743093</v>
      </c>
      <c r="G3009" s="40">
        <v>2.145597502</v>
      </c>
      <c r="H3009" s="40"/>
      <c r="I3009" s="41">
        <v>0.450549451</v>
      </c>
      <c r="J3009" s="41">
        <v>0.186813187</v>
      </c>
      <c r="K3009" s="41">
        <v>0.362637363</v>
      </c>
      <c r="L3009" s="41"/>
      <c r="M3009" s="74">
        <v>-2.147898248</v>
      </c>
    </row>
    <row r="3010">
      <c r="A3010" s="1" t="s">
        <v>246</v>
      </c>
      <c r="B3010" s="38">
        <v>571510.0</v>
      </c>
      <c r="C3010" s="72">
        <v>45828.0</v>
      </c>
      <c r="D3010" s="38">
        <v>75.0</v>
      </c>
      <c r="E3010" s="75"/>
      <c r="F3010" s="67">
        <v>4.990565386</v>
      </c>
      <c r="G3010" s="40">
        <v>1.754688031</v>
      </c>
      <c r="H3010" s="40"/>
      <c r="I3010" s="41">
        <v>0.453333333</v>
      </c>
      <c r="J3010" s="41">
        <v>0.2</v>
      </c>
      <c r="K3010" s="41">
        <v>0.346666667</v>
      </c>
      <c r="L3010" s="41"/>
      <c r="M3010" s="74">
        <v>2.423985561</v>
      </c>
    </row>
    <row r="3011">
      <c r="A3011" s="1" t="s">
        <v>490</v>
      </c>
      <c r="B3011" s="38">
        <v>680573.0</v>
      </c>
      <c r="C3011" s="72">
        <v>45908.0</v>
      </c>
      <c r="D3011" s="38">
        <v>85.0</v>
      </c>
      <c r="E3011" s="75"/>
      <c r="F3011" s="67">
        <v>4.990331846</v>
      </c>
      <c r="G3011" s="40">
        <v>2.009613422</v>
      </c>
      <c r="H3011" s="40"/>
      <c r="I3011" s="41">
        <v>0.4</v>
      </c>
      <c r="J3011" s="41">
        <v>0.188235294</v>
      </c>
      <c r="K3011" s="41">
        <v>0.411764706</v>
      </c>
      <c r="L3011" s="41"/>
      <c r="M3011" s="74">
        <v>-0.56537611</v>
      </c>
    </row>
    <row r="3012">
      <c r="A3012" s="1" t="s">
        <v>164</v>
      </c>
      <c r="B3012" s="38">
        <v>669923.0</v>
      </c>
      <c r="C3012" s="72">
        <v>45875.0</v>
      </c>
      <c r="D3012" s="38">
        <v>103.0</v>
      </c>
      <c r="E3012" s="75"/>
      <c r="F3012" s="67">
        <v>4.990272151</v>
      </c>
      <c r="G3012" s="40">
        <v>2.398277196</v>
      </c>
      <c r="H3012" s="40"/>
      <c r="I3012" s="41">
        <v>0.427184466</v>
      </c>
      <c r="J3012" s="41">
        <v>0.281553398</v>
      </c>
      <c r="K3012" s="41">
        <v>0.291262136</v>
      </c>
      <c r="L3012" s="41"/>
      <c r="M3012" s="74">
        <v>0.883625495</v>
      </c>
    </row>
    <row r="3013">
      <c r="A3013" s="1" t="s">
        <v>425</v>
      </c>
      <c r="B3013" s="38">
        <v>621244.0</v>
      </c>
      <c r="C3013" s="72">
        <v>45754.0</v>
      </c>
      <c r="D3013" s="38">
        <v>81.0</v>
      </c>
      <c r="E3013" s="75"/>
      <c r="F3013" s="67">
        <v>4.990043665</v>
      </c>
      <c r="G3013" s="40">
        <v>1.900140355</v>
      </c>
      <c r="H3013" s="40"/>
      <c r="I3013" s="41">
        <v>0.530864198</v>
      </c>
      <c r="J3013" s="41">
        <v>0.172839506</v>
      </c>
      <c r="K3013" s="41">
        <v>0.296296296</v>
      </c>
      <c r="L3013" s="41"/>
      <c r="M3013" s="74">
        <v>0.342330714</v>
      </c>
    </row>
    <row r="3014">
      <c r="A3014" s="1" t="s">
        <v>176</v>
      </c>
      <c r="B3014" s="38">
        <v>686218.0</v>
      </c>
      <c r="C3014" s="72">
        <v>45909.0</v>
      </c>
      <c r="D3014" s="38">
        <v>92.0</v>
      </c>
      <c r="E3014" s="75"/>
      <c r="F3014" s="67">
        <v>4.989757065</v>
      </c>
      <c r="G3014" s="40">
        <v>2.150901253</v>
      </c>
      <c r="H3014" s="40"/>
      <c r="I3014" s="41">
        <v>0.434782609</v>
      </c>
      <c r="J3014" s="41">
        <v>0.206521739</v>
      </c>
      <c r="K3014" s="41">
        <v>0.358695652</v>
      </c>
      <c r="L3014" s="41"/>
      <c r="M3014" s="74">
        <v>2.090838397</v>
      </c>
    </row>
    <row r="3015">
      <c r="A3015" s="1" t="s">
        <v>218</v>
      </c>
      <c r="B3015" s="38">
        <v>669432.0</v>
      </c>
      <c r="C3015" s="72">
        <v>45838.0</v>
      </c>
      <c r="D3015" s="38">
        <v>90.0</v>
      </c>
      <c r="E3015" s="75"/>
      <c r="F3015" s="67">
        <v>4.989725587</v>
      </c>
      <c r="G3015" s="40">
        <v>2.108641108</v>
      </c>
      <c r="H3015" s="40"/>
      <c r="I3015" s="41">
        <v>0.466666667</v>
      </c>
      <c r="J3015" s="41">
        <v>0.1</v>
      </c>
      <c r="K3015" s="41">
        <v>0.433333333</v>
      </c>
      <c r="L3015" s="41"/>
      <c r="M3015" s="74">
        <v>1.677292481</v>
      </c>
    </row>
    <row r="3016">
      <c r="A3016" s="1" t="s">
        <v>330</v>
      </c>
      <c r="B3016" s="38">
        <v>680730.0</v>
      </c>
      <c r="C3016" s="72">
        <v>45831.0</v>
      </c>
      <c r="D3016" s="38">
        <v>94.0</v>
      </c>
      <c r="E3016" s="75"/>
      <c r="F3016" s="67">
        <v>4.989548245</v>
      </c>
      <c r="G3016" s="40">
        <v>2.205447974</v>
      </c>
      <c r="H3016" s="40"/>
      <c r="I3016" s="41">
        <v>0.457446809</v>
      </c>
      <c r="J3016" s="41">
        <v>0.191489362</v>
      </c>
      <c r="K3016" s="41">
        <v>0.35106383</v>
      </c>
      <c r="L3016" s="41"/>
      <c r="M3016" s="74">
        <v>0.015570078</v>
      </c>
    </row>
    <row r="3017">
      <c r="A3017" s="1" t="s">
        <v>256</v>
      </c>
      <c r="B3017" s="38">
        <v>571760.0</v>
      </c>
      <c r="C3017" s="72">
        <v>45793.0</v>
      </c>
      <c r="D3017" s="38">
        <v>89.0</v>
      </c>
      <c r="E3017" s="75"/>
      <c r="F3017" s="67">
        <v>4.989403704</v>
      </c>
      <c r="G3017" s="40">
        <v>2.067635791</v>
      </c>
      <c r="H3017" s="40"/>
      <c r="I3017" s="41">
        <v>0.438202247</v>
      </c>
      <c r="J3017" s="41">
        <v>0.202247191</v>
      </c>
      <c r="K3017" s="41">
        <v>0.359550562</v>
      </c>
      <c r="L3017" s="41"/>
      <c r="M3017" s="74">
        <v>0.340966378</v>
      </c>
    </row>
    <row r="3018">
      <c r="A3018" s="1" t="s">
        <v>584</v>
      </c>
      <c r="B3018" s="38">
        <v>657006.0</v>
      </c>
      <c r="C3018" s="72">
        <v>45748.0</v>
      </c>
      <c r="D3018" s="38">
        <v>77.0</v>
      </c>
      <c r="E3018" s="75"/>
      <c r="F3018" s="67">
        <v>4.98937499</v>
      </c>
      <c r="G3018" s="40">
        <v>1.852801167</v>
      </c>
      <c r="H3018" s="40"/>
      <c r="I3018" s="41">
        <v>0.441558442</v>
      </c>
      <c r="J3018" s="41">
        <v>0.194805195</v>
      </c>
      <c r="K3018" s="41">
        <v>0.363636364</v>
      </c>
      <c r="L3018" s="41"/>
      <c r="M3018" s="74">
        <v>-1.551407198</v>
      </c>
    </row>
    <row r="3019">
      <c r="A3019" s="1" t="s">
        <v>560</v>
      </c>
      <c r="B3019" s="38">
        <v>660730.0</v>
      </c>
      <c r="C3019" s="72">
        <v>45752.0</v>
      </c>
      <c r="D3019" s="38">
        <v>75.0</v>
      </c>
      <c r="E3019" s="75"/>
      <c r="F3019" s="67">
        <v>4.989368838</v>
      </c>
      <c r="G3019" s="40">
        <v>1.786320938</v>
      </c>
      <c r="H3019" s="40"/>
      <c r="I3019" s="41">
        <v>0.48</v>
      </c>
      <c r="J3019" s="41">
        <v>0.146666667</v>
      </c>
      <c r="K3019" s="41">
        <v>0.373333333</v>
      </c>
      <c r="L3019" s="41"/>
      <c r="M3019" s="74">
        <v>-4.558555412</v>
      </c>
    </row>
    <row r="3020">
      <c r="A3020" s="1" t="s">
        <v>380</v>
      </c>
      <c r="B3020" s="38">
        <v>661563.0</v>
      </c>
      <c r="C3020" s="72">
        <v>45895.0</v>
      </c>
      <c r="D3020" s="38">
        <v>90.0</v>
      </c>
      <c r="E3020" s="75"/>
      <c r="F3020" s="67">
        <v>4.989253914</v>
      </c>
      <c r="G3020" s="40">
        <v>2.070061756</v>
      </c>
      <c r="H3020" s="40"/>
      <c r="I3020" s="41">
        <v>0.533333333</v>
      </c>
      <c r="J3020" s="41">
        <v>0.088888889</v>
      </c>
      <c r="K3020" s="41">
        <v>0.377777778</v>
      </c>
      <c r="L3020" s="41"/>
      <c r="M3020" s="74">
        <v>-0.8488023</v>
      </c>
    </row>
    <row r="3021">
      <c r="A3021" s="1" t="s">
        <v>302</v>
      </c>
      <c r="B3021" s="38">
        <v>681190.0</v>
      </c>
      <c r="C3021" s="72">
        <v>45819.0</v>
      </c>
      <c r="D3021" s="38">
        <v>66.0</v>
      </c>
      <c r="E3021" s="75"/>
      <c r="F3021" s="67">
        <v>4.989243032</v>
      </c>
      <c r="G3021" s="40">
        <v>1.536842323</v>
      </c>
      <c r="H3021" s="40"/>
      <c r="I3021" s="41">
        <v>0.46969697</v>
      </c>
      <c r="J3021" s="41">
        <v>0.196969697</v>
      </c>
      <c r="K3021" s="41">
        <v>0.333333333</v>
      </c>
      <c r="L3021" s="41"/>
      <c r="M3021" s="74">
        <v>2.358729386</v>
      </c>
    </row>
    <row r="3022">
      <c r="A3022" s="1" t="s">
        <v>97</v>
      </c>
      <c r="B3022" s="38">
        <v>656876.0</v>
      </c>
      <c r="C3022" s="72">
        <v>45913.0</v>
      </c>
      <c r="D3022" s="38">
        <v>78.0</v>
      </c>
      <c r="E3022" s="75"/>
      <c r="F3022" s="67">
        <v>4.989205385</v>
      </c>
      <c r="G3022" s="40">
        <v>1.828870376</v>
      </c>
      <c r="H3022" s="40"/>
      <c r="I3022" s="41">
        <v>0.435897436</v>
      </c>
      <c r="J3022" s="41">
        <v>0.217948718</v>
      </c>
      <c r="K3022" s="41">
        <v>0.346153846</v>
      </c>
      <c r="L3022" s="41"/>
      <c r="M3022" s="74">
        <v>0.172676618</v>
      </c>
    </row>
    <row r="3023">
      <c r="A3023" s="1" t="s">
        <v>410</v>
      </c>
      <c r="B3023" s="38">
        <v>678394.0</v>
      </c>
      <c r="C3023" s="72">
        <v>45790.0</v>
      </c>
      <c r="D3023" s="38">
        <v>86.0</v>
      </c>
      <c r="E3023" s="75"/>
      <c r="F3023" s="67">
        <v>4.988581871</v>
      </c>
      <c r="G3023" s="40">
        <v>2.023390703</v>
      </c>
      <c r="H3023" s="40"/>
      <c r="I3023" s="41">
        <v>0.465116279</v>
      </c>
      <c r="J3023" s="41">
        <v>0.151162791</v>
      </c>
      <c r="K3023" s="41">
        <v>0.38372093</v>
      </c>
      <c r="L3023" s="41"/>
      <c r="M3023" s="74">
        <v>-0.623551779</v>
      </c>
    </row>
    <row r="3024">
      <c r="A3024" s="1" t="s">
        <v>492</v>
      </c>
      <c r="B3024" s="38">
        <v>671212.0</v>
      </c>
      <c r="C3024" s="72">
        <v>45844.0</v>
      </c>
      <c r="D3024" s="38">
        <v>95.0</v>
      </c>
      <c r="E3024" s="75"/>
      <c r="F3024" s="67">
        <v>4.988576723</v>
      </c>
      <c r="G3024" s="40">
        <v>2.221912334</v>
      </c>
      <c r="H3024" s="40"/>
      <c r="I3024" s="41">
        <v>0.452631579</v>
      </c>
      <c r="J3024" s="41">
        <v>0.189473684</v>
      </c>
      <c r="K3024" s="41">
        <v>0.357894737</v>
      </c>
      <c r="L3024" s="41"/>
      <c r="M3024" s="74">
        <v>3.479135943</v>
      </c>
    </row>
    <row r="3025">
      <c r="A3025" s="1" t="s">
        <v>197</v>
      </c>
      <c r="B3025" s="38">
        <v>676467.0</v>
      </c>
      <c r="C3025" s="72">
        <v>45871.0</v>
      </c>
      <c r="D3025" s="38">
        <v>79.0</v>
      </c>
      <c r="E3025" s="75"/>
      <c r="F3025" s="67">
        <v>4.988548835</v>
      </c>
      <c r="G3025" s="40">
        <v>1.854145577</v>
      </c>
      <c r="H3025" s="40"/>
      <c r="I3025" s="41">
        <v>0.481012658</v>
      </c>
      <c r="J3025" s="41">
        <v>0.151898734</v>
      </c>
      <c r="K3025" s="41">
        <v>0.367088608</v>
      </c>
      <c r="L3025" s="41"/>
      <c r="M3025" s="74">
        <v>-3.207246173</v>
      </c>
    </row>
    <row r="3026">
      <c r="A3026" s="1" t="s">
        <v>343</v>
      </c>
      <c r="B3026" s="38">
        <v>682243.0</v>
      </c>
      <c r="C3026" s="72">
        <v>45788.0</v>
      </c>
      <c r="D3026" s="38">
        <v>90.0</v>
      </c>
      <c r="E3026" s="75"/>
      <c r="F3026" s="67">
        <v>4.988502161</v>
      </c>
      <c r="G3026" s="40">
        <v>2.105913554</v>
      </c>
      <c r="H3026" s="40"/>
      <c r="I3026" s="41">
        <v>0.488888889</v>
      </c>
      <c r="J3026" s="41">
        <v>0.155555556</v>
      </c>
      <c r="K3026" s="41">
        <v>0.355555556</v>
      </c>
      <c r="L3026" s="41"/>
      <c r="M3026" s="74">
        <v>-2.985953907</v>
      </c>
    </row>
    <row r="3027">
      <c r="A3027" s="1" t="s">
        <v>158</v>
      </c>
      <c r="B3027" s="38">
        <v>608372.0</v>
      </c>
      <c r="C3027" s="72">
        <v>45822.0</v>
      </c>
      <c r="D3027" s="38">
        <v>80.0</v>
      </c>
      <c r="E3027" s="75"/>
      <c r="F3027" s="67">
        <v>4.988426747</v>
      </c>
      <c r="G3027" s="40">
        <v>1.88180088</v>
      </c>
      <c r="H3027" s="40"/>
      <c r="I3027" s="41">
        <v>0.475</v>
      </c>
      <c r="J3027" s="41">
        <v>0.1625</v>
      </c>
      <c r="K3027" s="41">
        <v>0.3625</v>
      </c>
      <c r="L3027" s="41"/>
      <c r="M3027" s="74">
        <v>-1.856997384</v>
      </c>
    </row>
    <row r="3028">
      <c r="A3028" s="1" t="s">
        <v>596</v>
      </c>
      <c r="B3028" s="38">
        <v>674072.0</v>
      </c>
      <c r="C3028" s="72">
        <v>45813.0</v>
      </c>
      <c r="D3028" s="38">
        <v>69.0</v>
      </c>
      <c r="E3028" s="75"/>
      <c r="F3028" s="67">
        <v>4.988256363</v>
      </c>
      <c r="G3028" s="40">
        <v>1.622854606</v>
      </c>
      <c r="H3028" s="40"/>
      <c r="I3028" s="41">
        <v>0.405797101</v>
      </c>
      <c r="J3028" s="41">
        <v>0.246376812</v>
      </c>
      <c r="K3028" s="41">
        <v>0.347826087</v>
      </c>
      <c r="L3028" s="41"/>
      <c r="M3028" s="74">
        <v>-0.924393493</v>
      </c>
    </row>
    <row r="3029">
      <c r="A3029" s="1" t="s">
        <v>67</v>
      </c>
      <c r="B3029" s="38">
        <v>684007.0</v>
      </c>
      <c r="C3029" s="72">
        <v>45851.0</v>
      </c>
      <c r="D3029" s="38">
        <v>90.0</v>
      </c>
      <c r="E3029" s="75"/>
      <c r="F3029" s="67">
        <v>4.98824798</v>
      </c>
      <c r="G3029" s="40">
        <v>2.109543133</v>
      </c>
      <c r="H3029" s="40"/>
      <c r="I3029" s="41">
        <v>0.466666667</v>
      </c>
      <c r="J3029" s="41">
        <v>0.088888889</v>
      </c>
      <c r="K3029" s="41">
        <v>0.444444444</v>
      </c>
      <c r="L3029" s="41"/>
      <c r="M3029" s="74">
        <v>2.110696912</v>
      </c>
    </row>
    <row r="3030">
      <c r="A3030" s="1" t="s">
        <v>408</v>
      </c>
      <c r="B3030" s="38">
        <v>657376.0</v>
      </c>
      <c r="C3030" s="72">
        <v>45783.0</v>
      </c>
      <c r="D3030" s="38">
        <v>81.0</v>
      </c>
      <c r="E3030" s="75"/>
      <c r="F3030" s="67">
        <v>4.988243812</v>
      </c>
      <c r="G3030" s="40">
        <v>1.891966587</v>
      </c>
      <c r="H3030" s="40"/>
      <c r="I3030" s="41">
        <v>0.469135802</v>
      </c>
      <c r="J3030" s="41">
        <v>0.111111111</v>
      </c>
      <c r="K3030" s="41">
        <v>0.419753086</v>
      </c>
      <c r="L3030" s="41"/>
      <c r="M3030" s="74">
        <v>-2.818571464</v>
      </c>
    </row>
    <row r="3031">
      <c r="A3031" s="1" t="s">
        <v>320</v>
      </c>
      <c r="B3031" s="38">
        <v>681347.0</v>
      </c>
      <c r="C3031" s="72">
        <v>45914.0</v>
      </c>
      <c r="D3031" s="38">
        <v>61.0</v>
      </c>
      <c r="E3031" s="75"/>
      <c r="F3031" s="67">
        <v>4.988119873</v>
      </c>
      <c r="G3031" s="40">
        <v>1.45361292</v>
      </c>
      <c r="H3031" s="40"/>
      <c r="I3031" s="41">
        <v>0.442622951</v>
      </c>
      <c r="J3031" s="41">
        <v>0.147540984</v>
      </c>
      <c r="K3031" s="41">
        <v>0.409836066</v>
      </c>
      <c r="L3031" s="41"/>
      <c r="M3031" s="74">
        <v>-0.908776102</v>
      </c>
    </row>
    <row r="3032">
      <c r="A3032" s="1" t="s">
        <v>347</v>
      </c>
      <c r="B3032" s="38">
        <v>700249.0</v>
      </c>
      <c r="C3032" s="72">
        <v>45911.0</v>
      </c>
      <c r="D3032" s="38">
        <v>92.0</v>
      </c>
      <c r="E3032" s="75"/>
      <c r="F3032" s="67">
        <v>4.987766378</v>
      </c>
      <c r="G3032" s="40">
        <v>2.112469662</v>
      </c>
      <c r="H3032" s="40"/>
      <c r="I3032" s="41">
        <v>0.467391304</v>
      </c>
      <c r="J3032" s="41">
        <v>0.22826087</v>
      </c>
      <c r="K3032" s="41">
        <v>0.304347826</v>
      </c>
      <c r="L3032" s="41"/>
      <c r="M3032" s="74">
        <v>0.292136821</v>
      </c>
    </row>
    <row r="3033">
      <c r="A3033" s="1" t="s">
        <v>496</v>
      </c>
      <c r="B3033" s="38">
        <v>694477.0</v>
      </c>
      <c r="C3033" s="72">
        <v>45788.0</v>
      </c>
      <c r="D3033" s="38">
        <v>80.0</v>
      </c>
      <c r="E3033" s="75"/>
      <c r="F3033" s="67">
        <v>4.98747594</v>
      </c>
      <c r="G3033" s="40">
        <v>1.873095258</v>
      </c>
      <c r="H3033" s="40"/>
      <c r="I3033" s="41">
        <v>0.5125</v>
      </c>
      <c r="J3033" s="41">
        <v>0.1125</v>
      </c>
      <c r="K3033" s="41">
        <v>0.375</v>
      </c>
      <c r="L3033" s="41"/>
      <c r="M3033" s="74">
        <v>-1.235984374</v>
      </c>
    </row>
    <row r="3034">
      <c r="A3034" s="1" t="s">
        <v>396</v>
      </c>
      <c r="B3034" s="38">
        <v>663623.0</v>
      </c>
      <c r="C3034" s="72">
        <v>45777.0</v>
      </c>
      <c r="D3034" s="38">
        <v>90.0</v>
      </c>
      <c r="E3034" s="75"/>
      <c r="F3034" s="67">
        <v>4.987230872</v>
      </c>
      <c r="G3034" s="40">
        <v>2.134256779</v>
      </c>
      <c r="H3034" s="40"/>
      <c r="I3034" s="41">
        <v>0.411111111</v>
      </c>
      <c r="J3034" s="41">
        <v>0.233333333</v>
      </c>
      <c r="K3034" s="41">
        <v>0.355555556</v>
      </c>
      <c r="L3034" s="41"/>
      <c r="M3034" s="74">
        <v>-2.048374909</v>
      </c>
    </row>
    <row r="3035">
      <c r="A3035" s="1" t="s">
        <v>296</v>
      </c>
      <c r="B3035" s="38">
        <v>669372.0</v>
      </c>
      <c r="C3035" s="72">
        <v>45871.0</v>
      </c>
      <c r="D3035" s="38">
        <v>83.0</v>
      </c>
      <c r="E3035" s="75"/>
      <c r="F3035" s="67">
        <v>4.987166126</v>
      </c>
      <c r="G3035" s="40">
        <v>1.939831032</v>
      </c>
      <c r="H3035" s="40"/>
      <c r="I3035" s="41">
        <v>0.493975904</v>
      </c>
      <c r="J3035" s="41">
        <v>0.096385542</v>
      </c>
      <c r="K3035" s="41">
        <v>0.409638554</v>
      </c>
      <c r="L3035" s="41"/>
      <c r="M3035" s="74">
        <v>0.362089488</v>
      </c>
    </row>
    <row r="3036">
      <c r="A3036" s="1" t="s">
        <v>408</v>
      </c>
      <c r="B3036" s="38">
        <v>657376.0</v>
      </c>
      <c r="C3036" s="72">
        <v>45800.0</v>
      </c>
      <c r="D3036" s="38">
        <v>94.0</v>
      </c>
      <c r="E3036" s="75"/>
      <c r="F3036" s="67">
        <v>4.987007305</v>
      </c>
      <c r="G3036" s="40">
        <v>2.194183204</v>
      </c>
      <c r="H3036" s="40"/>
      <c r="I3036" s="41">
        <v>0.446808511</v>
      </c>
      <c r="J3036" s="41">
        <v>0.20212766</v>
      </c>
      <c r="K3036" s="41">
        <v>0.35106383</v>
      </c>
      <c r="L3036" s="41"/>
      <c r="M3036" s="74">
        <v>-1.045959153</v>
      </c>
    </row>
    <row r="3037">
      <c r="A3037" s="1" t="s">
        <v>421</v>
      </c>
      <c r="B3037" s="38">
        <v>607192.0</v>
      </c>
      <c r="C3037" s="72">
        <v>45747.0</v>
      </c>
      <c r="D3037" s="38">
        <v>77.0</v>
      </c>
      <c r="E3037" s="75"/>
      <c r="F3037" s="67">
        <v>4.986921341</v>
      </c>
      <c r="G3037" s="40">
        <v>1.826778832</v>
      </c>
      <c r="H3037" s="40"/>
      <c r="I3037" s="41">
        <v>0.415584416</v>
      </c>
      <c r="J3037" s="41">
        <v>0.246753247</v>
      </c>
      <c r="K3037" s="41">
        <v>0.337662338</v>
      </c>
      <c r="L3037" s="41"/>
      <c r="M3037" s="74">
        <v>2.280983392</v>
      </c>
    </row>
    <row r="3038">
      <c r="A3038" s="1" t="s">
        <v>491</v>
      </c>
      <c r="B3038" s="38">
        <v>650644.0</v>
      </c>
      <c r="C3038" s="72">
        <v>45884.0</v>
      </c>
      <c r="D3038" s="38">
        <v>93.0</v>
      </c>
      <c r="E3038" s="75"/>
      <c r="F3038" s="67">
        <v>4.986800376</v>
      </c>
      <c r="G3038" s="40">
        <v>2.184043513</v>
      </c>
      <c r="H3038" s="40"/>
      <c r="I3038" s="41">
        <v>0.462365591</v>
      </c>
      <c r="J3038" s="41">
        <v>0.193548387</v>
      </c>
      <c r="K3038" s="41">
        <v>0.344086022</v>
      </c>
      <c r="L3038" s="41"/>
      <c r="M3038" s="74">
        <v>-2.310387259</v>
      </c>
    </row>
    <row r="3039">
      <c r="A3039" s="1" t="s">
        <v>226</v>
      </c>
      <c r="B3039" s="38">
        <v>607259.0</v>
      </c>
      <c r="C3039" s="72">
        <v>45775.0</v>
      </c>
      <c r="D3039" s="38">
        <v>71.0</v>
      </c>
      <c r="E3039" s="75"/>
      <c r="F3039" s="67">
        <v>4.986712047</v>
      </c>
      <c r="G3039" s="40">
        <v>1.696184643</v>
      </c>
      <c r="H3039" s="40"/>
      <c r="I3039" s="41">
        <v>0.422535211</v>
      </c>
      <c r="J3039" s="41">
        <v>0.23943662</v>
      </c>
      <c r="K3039" s="41">
        <v>0.338028169</v>
      </c>
      <c r="L3039" s="41"/>
      <c r="M3039" s="74">
        <v>-1.026466717</v>
      </c>
    </row>
    <row r="3040">
      <c r="A3040" s="1" t="s">
        <v>130</v>
      </c>
      <c r="B3040" s="38">
        <v>666200.0</v>
      </c>
      <c r="C3040" s="72">
        <v>45808.0</v>
      </c>
      <c r="D3040" s="38">
        <v>73.0</v>
      </c>
      <c r="E3040" s="75"/>
      <c r="F3040" s="67">
        <v>4.986686295</v>
      </c>
      <c r="G3040" s="40">
        <v>1.736282053</v>
      </c>
      <c r="H3040" s="40"/>
      <c r="I3040" s="41">
        <v>0.479452055</v>
      </c>
      <c r="J3040" s="41">
        <v>0.205479452</v>
      </c>
      <c r="K3040" s="41">
        <v>0.315068493</v>
      </c>
      <c r="L3040" s="41"/>
      <c r="M3040" s="74">
        <v>-6.512871445</v>
      </c>
    </row>
    <row r="3041">
      <c r="A3041" s="1" t="s">
        <v>302</v>
      </c>
      <c r="B3041" s="38">
        <v>681190.0</v>
      </c>
      <c r="C3041" s="72">
        <v>45923.0</v>
      </c>
      <c r="D3041" s="38">
        <v>84.0</v>
      </c>
      <c r="E3041" s="75"/>
      <c r="F3041" s="67">
        <v>4.986587224</v>
      </c>
      <c r="G3041" s="40">
        <v>1.967765722</v>
      </c>
      <c r="H3041" s="40"/>
      <c r="I3041" s="41">
        <v>0.392857143</v>
      </c>
      <c r="J3041" s="41">
        <v>0.273809524</v>
      </c>
      <c r="K3041" s="41">
        <v>0.333333333</v>
      </c>
      <c r="L3041" s="41"/>
      <c r="M3041" s="74">
        <v>4.938185394</v>
      </c>
    </row>
    <row r="3042">
      <c r="A3042" s="1" t="s">
        <v>361</v>
      </c>
      <c r="B3042" s="38">
        <v>686563.0</v>
      </c>
      <c r="C3042" s="72">
        <v>45804.0</v>
      </c>
      <c r="D3042" s="38">
        <v>94.0</v>
      </c>
      <c r="E3042" s="75"/>
      <c r="F3042" s="67">
        <v>4.986354936</v>
      </c>
      <c r="G3042" s="40">
        <v>2.24087225</v>
      </c>
      <c r="H3042" s="40"/>
      <c r="I3042" s="41">
        <v>0.468085106</v>
      </c>
      <c r="J3042" s="41">
        <v>0.191489362</v>
      </c>
      <c r="K3042" s="41">
        <v>0.340425532</v>
      </c>
      <c r="L3042" s="41"/>
      <c r="M3042" s="74">
        <v>-3.122155431</v>
      </c>
    </row>
    <row r="3043">
      <c r="A3043" s="1" t="s">
        <v>290</v>
      </c>
      <c r="B3043" s="38">
        <v>669461.0</v>
      </c>
      <c r="C3043" s="72">
        <v>45772.0</v>
      </c>
      <c r="D3043" s="38">
        <v>85.0</v>
      </c>
      <c r="E3043" s="75"/>
      <c r="F3043" s="67">
        <v>4.986172606</v>
      </c>
      <c r="G3043" s="40">
        <v>2.047275221</v>
      </c>
      <c r="H3043" s="40"/>
      <c r="I3043" s="41">
        <v>0.376470588</v>
      </c>
      <c r="J3043" s="41">
        <v>0.211764706</v>
      </c>
      <c r="K3043" s="41">
        <v>0.411764706</v>
      </c>
      <c r="L3043" s="41"/>
      <c r="M3043" s="74">
        <v>1.080540362</v>
      </c>
    </row>
    <row r="3044">
      <c r="A3044" s="1" t="s">
        <v>396</v>
      </c>
      <c r="B3044" s="38">
        <v>663623.0</v>
      </c>
      <c r="C3044" s="72">
        <v>45772.0</v>
      </c>
      <c r="D3044" s="38">
        <v>95.0</v>
      </c>
      <c r="E3044" s="75"/>
      <c r="F3044" s="67">
        <v>4.986127707</v>
      </c>
      <c r="G3044" s="40">
        <v>2.243621691</v>
      </c>
      <c r="H3044" s="40"/>
      <c r="I3044" s="41">
        <v>0.421052632</v>
      </c>
      <c r="J3044" s="41">
        <v>0.231578947</v>
      </c>
      <c r="K3044" s="41">
        <v>0.347368421</v>
      </c>
      <c r="L3044" s="41"/>
      <c r="M3044" s="74">
        <v>2.242230953</v>
      </c>
    </row>
    <row r="3045">
      <c r="A3045" s="1" t="s">
        <v>290</v>
      </c>
      <c r="B3045" s="38">
        <v>669461.0</v>
      </c>
      <c r="C3045" s="72">
        <v>45819.0</v>
      </c>
      <c r="D3045" s="38">
        <v>89.0</v>
      </c>
      <c r="E3045" s="75"/>
      <c r="F3045" s="67">
        <v>4.985878462</v>
      </c>
      <c r="G3045" s="40">
        <v>2.099627392</v>
      </c>
      <c r="H3045" s="40"/>
      <c r="I3045" s="41">
        <v>0.438202247</v>
      </c>
      <c r="J3045" s="41">
        <v>0.168539326</v>
      </c>
      <c r="K3045" s="41">
        <v>0.393258427</v>
      </c>
      <c r="L3045" s="41"/>
      <c r="M3045" s="74">
        <v>-3.749049832</v>
      </c>
    </row>
    <row r="3046">
      <c r="A3046" s="1" t="s">
        <v>155</v>
      </c>
      <c r="B3046" s="38">
        <v>592332.0</v>
      </c>
      <c r="C3046" s="72">
        <v>45839.0</v>
      </c>
      <c r="D3046" s="38">
        <v>93.0</v>
      </c>
      <c r="E3046" s="75"/>
      <c r="F3046" s="67">
        <v>4.9857574</v>
      </c>
      <c r="G3046" s="40">
        <v>2.213180057</v>
      </c>
      <c r="H3046" s="40"/>
      <c r="I3046" s="41">
        <v>0.440860215</v>
      </c>
      <c r="J3046" s="41">
        <v>0.215053763</v>
      </c>
      <c r="K3046" s="41">
        <v>0.344086022</v>
      </c>
      <c r="L3046" s="41"/>
      <c r="M3046" s="74">
        <v>-0.837021938</v>
      </c>
    </row>
    <row r="3047">
      <c r="A3047" s="1" t="s">
        <v>73</v>
      </c>
      <c r="B3047" s="38">
        <v>668881.0</v>
      </c>
      <c r="C3047" s="72">
        <v>45766.0</v>
      </c>
      <c r="D3047" s="38">
        <v>75.0</v>
      </c>
      <c r="E3047" s="75"/>
      <c r="F3047" s="67">
        <v>4.985590857</v>
      </c>
      <c r="G3047" s="40">
        <v>1.74379502</v>
      </c>
      <c r="H3047" s="40"/>
      <c r="I3047" s="41">
        <v>0.506666667</v>
      </c>
      <c r="J3047" s="41">
        <v>0.173333333</v>
      </c>
      <c r="K3047" s="41">
        <v>0.32</v>
      </c>
      <c r="L3047" s="41"/>
      <c r="M3047" s="74">
        <v>-2.497242831</v>
      </c>
    </row>
    <row r="3048">
      <c r="A3048" s="1" t="s">
        <v>420</v>
      </c>
      <c r="B3048" s="38">
        <v>547179.0</v>
      </c>
      <c r="C3048" s="72">
        <v>45803.0</v>
      </c>
      <c r="D3048" s="38">
        <v>100.0</v>
      </c>
      <c r="E3048" s="75"/>
      <c r="F3048" s="67">
        <v>4.985265869</v>
      </c>
      <c r="G3048" s="40">
        <v>2.352277159</v>
      </c>
      <c r="H3048" s="40"/>
      <c r="I3048" s="41">
        <v>0.49</v>
      </c>
      <c r="J3048" s="41">
        <v>0.11</v>
      </c>
      <c r="K3048" s="41">
        <v>0.4</v>
      </c>
      <c r="L3048" s="41"/>
      <c r="M3048" s="74">
        <v>-5.749588387</v>
      </c>
    </row>
    <row r="3049">
      <c r="A3049" s="1" t="s">
        <v>476</v>
      </c>
      <c r="B3049" s="38">
        <v>500779.0</v>
      </c>
      <c r="C3049" s="72">
        <v>45886.0</v>
      </c>
      <c r="D3049" s="38">
        <v>95.0</v>
      </c>
      <c r="E3049" s="75"/>
      <c r="F3049" s="67">
        <v>4.985166709</v>
      </c>
      <c r="G3049" s="40">
        <v>2.231583055</v>
      </c>
      <c r="H3049" s="40"/>
      <c r="I3049" s="41">
        <v>0.368421053</v>
      </c>
      <c r="J3049" s="41">
        <v>0.284210526</v>
      </c>
      <c r="K3049" s="41">
        <v>0.347368421</v>
      </c>
      <c r="L3049" s="41"/>
      <c r="M3049" s="74">
        <v>1.373756486</v>
      </c>
    </row>
    <row r="3050">
      <c r="A3050" s="1" t="s">
        <v>263</v>
      </c>
      <c r="B3050" s="38">
        <v>694297.0</v>
      </c>
      <c r="C3050" s="72">
        <v>45912.0</v>
      </c>
      <c r="D3050" s="38">
        <v>74.0</v>
      </c>
      <c r="E3050" s="75"/>
      <c r="F3050" s="67">
        <v>4.985149185</v>
      </c>
      <c r="G3050" s="40">
        <v>1.746195002</v>
      </c>
      <c r="H3050" s="40"/>
      <c r="I3050" s="41">
        <v>0.445945946</v>
      </c>
      <c r="J3050" s="41">
        <v>0.256756757</v>
      </c>
      <c r="K3050" s="41">
        <v>0.297297297</v>
      </c>
      <c r="L3050" s="41"/>
      <c r="M3050" s="74">
        <v>-2.692674722</v>
      </c>
    </row>
    <row r="3051">
      <c r="A3051" s="1" t="s">
        <v>150</v>
      </c>
      <c r="B3051" s="38">
        <v>657746.0</v>
      </c>
      <c r="C3051" s="72">
        <v>45793.0</v>
      </c>
      <c r="D3051" s="38">
        <v>99.0</v>
      </c>
      <c r="E3051" s="75"/>
      <c r="F3051" s="67">
        <v>4.984926676</v>
      </c>
      <c r="G3051" s="40">
        <v>2.315384695</v>
      </c>
      <c r="H3051" s="40"/>
      <c r="I3051" s="41">
        <v>0.545454545</v>
      </c>
      <c r="J3051" s="41">
        <v>0.111111111</v>
      </c>
      <c r="K3051" s="41">
        <v>0.343434343</v>
      </c>
      <c r="L3051" s="41"/>
      <c r="M3051" s="74">
        <v>3.133878207</v>
      </c>
    </row>
    <row r="3052">
      <c r="A3052" s="1" t="s">
        <v>267</v>
      </c>
      <c r="B3052" s="38">
        <v>669387.0</v>
      </c>
      <c r="C3052" s="72">
        <v>45754.0</v>
      </c>
      <c r="D3052" s="38">
        <v>87.0</v>
      </c>
      <c r="E3052" s="75"/>
      <c r="F3052" s="67">
        <v>4.984641054</v>
      </c>
      <c r="G3052" s="40">
        <v>2.045464853</v>
      </c>
      <c r="H3052" s="40"/>
      <c r="I3052" s="41">
        <v>0.448275862</v>
      </c>
      <c r="J3052" s="41">
        <v>0.126436782</v>
      </c>
      <c r="K3052" s="41">
        <v>0.425287356</v>
      </c>
      <c r="L3052" s="41"/>
      <c r="M3052" s="74">
        <v>0.39574472</v>
      </c>
    </row>
    <row r="3053">
      <c r="A3053" s="1" t="s">
        <v>477</v>
      </c>
      <c r="B3053" s="38">
        <v>677958.0</v>
      </c>
      <c r="C3053" s="72">
        <v>45770.0</v>
      </c>
      <c r="D3053" s="38">
        <v>62.0</v>
      </c>
      <c r="E3053" s="75"/>
      <c r="F3053" s="67">
        <v>4.984509836</v>
      </c>
      <c r="G3053" s="40">
        <v>1.439472365</v>
      </c>
      <c r="H3053" s="40"/>
      <c r="I3053" s="41">
        <v>0.483870968</v>
      </c>
      <c r="J3053" s="41">
        <v>0.129032258</v>
      </c>
      <c r="K3053" s="41">
        <v>0.387096774</v>
      </c>
      <c r="L3053" s="41"/>
      <c r="M3053" s="74">
        <v>-2.12299536</v>
      </c>
    </row>
    <row r="3054">
      <c r="A3054" s="1" t="s">
        <v>222</v>
      </c>
      <c r="B3054" s="38">
        <v>518876.0</v>
      </c>
      <c r="C3054" s="72">
        <v>45882.0</v>
      </c>
      <c r="D3054" s="38">
        <v>97.0</v>
      </c>
      <c r="E3054" s="75"/>
      <c r="F3054" s="67">
        <v>4.984470643</v>
      </c>
      <c r="G3054" s="40">
        <v>2.271932748</v>
      </c>
      <c r="H3054" s="40"/>
      <c r="I3054" s="41">
        <v>0.453608247</v>
      </c>
      <c r="J3054" s="41">
        <v>0.154639175</v>
      </c>
      <c r="K3054" s="41">
        <v>0.391752577</v>
      </c>
      <c r="L3054" s="41"/>
      <c r="M3054" s="74">
        <v>-0.440900081</v>
      </c>
    </row>
    <row r="3055">
      <c r="A3055" s="1" t="s">
        <v>549</v>
      </c>
      <c r="B3055" s="38">
        <v>685326.0</v>
      </c>
      <c r="C3055" s="72">
        <v>45928.0</v>
      </c>
      <c r="D3055" s="38">
        <v>61.0</v>
      </c>
      <c r="E3055" s="75"/>
      <c r="F3055" s="67">
        <v>4.984264315</v>
      </c>
      <c r="G3055" s="40">
        <v>1.447090016</v>
      </c>
      <c r="H3055" s="40"/>
      <c r="I3055" s="41">
        <v>0.426229508</v>
      </c>
      <c r="J3055" s="41">
        <v>0.213114754</v>
      </c>
      <c r="K3055" s="41">
        <v>0.360655738</v>
      </c>
      <c r="L3055" s="41"/>
      <c r="M3055" s="74">
        <v>-0.181093034</v>
      </c>
    </row>
    <row r="3056">
      <c r="A3056" s="1" t="s">
        <v>222</v>
      </c>
      <c r="B3056" s="38">
        <v>518876.0</v>
      </c>
      <c r="C3056" s="72">
        <v>45789.0</v>
      </c>
      <c r="D3056" s="38">
        <v>93.0</v>
      </c>
      <c r="E3056" s="75"/>
      <c r="F3056" s="67">
        <v>4.984221241</v>
      </c>
      <c r="G3056" s="40">
        <v>2.172053639</v>
      </c>
      <c r="H3056" s="40"/>
      <c r="I3056" s="41">
        <v>0.397849462</v>
      </c>
      <c r="J3056" s="41">
        <v>0.193548387</v>
      </c>
      <c r="K3056" s="41">
        <v>0.408602151</v>
      </c>
      <c r="L3056" s="41"/>
      <c r="M3056" s="74">
        <v>-0.076914862</v>
      </c>
    </row>
    <row r="3057">
      <c r="A3057" s="1" t="s">
        <v>396</v>
      </c>
      <c r="B3057" s="38">
        <v>663623.0</v>
      </c>
      <c r="C3057" s="72">
        <v>45859.0</v>
      </c>
      <c r="D3057" s="38">
        <v>71.0</v>
      </c>
      <c r="E3057" s="75"/>
      <c r="F3057" s="67">
        <v>4.983724456</v>
      </c>
      <c r="G3057" s="40">
        <v>1.7024727</v>
      </c>
      <c r="H3057" s="40"/>
      <c r="I3057" s="41">
        <v>0.478873239</v>
      </c>
      <c r="J3057" s="41">
        <v>0.211267606</v>
      </c>
      <c r="K3057" s="41">
        <v>0.309859155</v>
      </c>
      <c r="L3057" s="41"/>
      <c r="M3057" s="74">
        <v>-1.639601938</v>
      </c>
    </row>
    <row r="3058">
      <c r="A3058" s="1" t="s">
        <v>456</v>
      </c>
      <c r="B3058" s="38">
        <v>605135.0</v>
      </c>
      <c r="C3058" s="72">
        <v>45746.0</v>
      </c>
      <c r="D3058" s="38">
        <v>102.0</v>
      </c>
      <c r="E3058" s="75"/>
      <c r="F3058" s="67">
        <v>4.983650275</v>
      </c>
      <c r="G3058" s="40">
        <v>2.368403079</v>
      </c>
      <c r="H3058" s="40"/>
      <c r="I3058" s="41">
        <v>0.5</v>
      </c>
      <c r="J3058" s="41">
        <v>0.137254902</v>
      </c>
      <c r="K3058" s="41">
        <v>0.362745098</v>
      </c>
      <c r="L3058" s="41"/>
      <c r="M3058" s="74">
        <v>-0.916549571</v>
      </c>
    </row>
    <row r="3059">
      <c r="A3059" s="1" t="s">
        <v>253</v>
      </c>
      <c r="B3059" s="38">
        <v>701581.0</v>
      </c>
      <c r="C3059" s="72">
        <v>45825.0</v>
      </c>
      <c r="D3059" s="38">
        <v>70.0</v>
      </c>
      <c r="E3059" s="75"/>
      <c r="F3059" s="67">
        <v>4.983588999</v>
      </c>
      <c r="G3059" s="40">
        <v>1.676760978</v>
      </c>
      <c r="H3059" s="40"/>
      <c r="I3059" s="41">
        <v>0.5</v>
      </c>
      <c r="J3059" s="41">
        <v>0.114285714</v>
      </c>
      <c r="K3059" s="41">
        <v>0.385714286</v>
      </c>
      <c r="L3059" s="41"/>
      <c r="M3059" s="74">
        <v>2.757824111</v>
      </c>
    </row>
    <row r="3060">
      <c r="A3060" s="1" t="s">
        <v>316</v>
      </c>
      <c r="B3060" s="38">
        <v>656427.0</v>
      </c>
      <c r="C3060" s="72">
        <v>45822.0</v>
      </c>
      <c r="D3060" s="38">
        <v>93.0</v>
      </c>
      <c r="E3060" s="75"/>
      <c r="F3060" s="67">
        <v>4.983564361</v>
      </c>
      <c r="G3060" s="40">
        <v>2.187952927</v>
      </c>
      <c r="H3060" s="40"/>
      <c r="I3060" s="41">
        <v>0.451612903</v>
      </c>
      <c r="J3060" s="41">
        <v>0.204301075</v>
      </c>
      <c r="K3060" s="41">
        <v>0.344086022</v>
      </c>
      <c r="L3060" s="41"/>
      <c r="M3060" s="74">
        <v>-0.2146345</v>
      </c>
    </row>
    <row r="3061">
      <c r="A3061" s="1" t="s">
        <v>484</v>
      </c>
      <c r="B3061" s="38">
        <v>682847.0</v>
      </c>
      <c r="C3061" s="72">
        <v>45795.0</v>
      </c>
      <c r="D3061" s="38">
        <v>97.0</v>
      </c>
      <c r="E3061" s="75"/>
      <c r="F3061" s="67">
        <v>4.983537686</v>
      </c>
      <c r="G3061" s="40">
        <v>2.253220232</v>
      </c>
      <c r="H3061" s="40"/>
      <c r="I3061" s="41">
        <v>0.391752577</v>
      </c>
      <c r="J3061" s="41">
        <v>0.226804124</v>
      </c>
      <c r="K3061" s="41">
        <v>0.381443299</v>
      </c>
      <c r="L3061" s="41"/>
      <c r="M3061" s="74">
        <v>0.676017825</v>
      </c>
    </row>
    <row r="3062">
      <c r="A3062" s="1" t="s">
        <v>129</v>
      </c>
      <c r="B3062" s="38">
        <v>686752.0</v>
      </c>
      <c r="C3062" s="72">
        <v>45899.0</v>
      </c>
      <c r="D3062" s="38">
        <v>93.0</v>
      </c>
      <c r="E3062" s="75"/>
      <c r="F3062" s="67">
        <v>4.983483215</v>
      </c>
      <c r="G3062" s="40">
        <v>2.155227486</v>
      </c>
      <c r="H3062" s="40"/>
      <c r="I3062" s="41">
        <v>0.47311828</v>
      </c>
      <c r="J3062" s="41">
        <v>0.129032258</v>
      </c>
      <c r="K3062" s="41">
        <v>0.397849462</v>
      </c>
      <c r="L3062" s="41"/>
      <c r="M3062" s="74">
        <v>3.641440239</v>
      </c>
    </row>
    <row r="3063">
      <c r="A3063" s="1" t="s">
        <v>282</v>
      </c>
      <c r="B3063" s="38">
        <v>656302.0</v>
      </c>
      <c r="C3063" s="72">
        <v>45913.0</v>
      </c>
      <c r="D3063" s="38">
        <v>106.0</v>
      </c>
      <c r="E3063" s="75"/>
      <c r="F3063" s="67">
        <v>4.983048521</v>
      </c>
      <c r="G3063" s="40">
        <v>2.478728567</v>
      </c>
      <c r="H3063" s="40"/>
      <c r="I3063" s="41">
        <v>0.443396226</v>
      </c>
      <c r="J3063" s="41">
        <v>0.169811321</v>
      </c>
      <c r="K3063" s="41">
        <v>0.386792453</v>
      </c>
      <c r="L3063" s="41"/>
      <c r="M3063" s="74">
        <v>0.670013149</v>
      </c>
    </row>
    <row r="3064">
      <c r="A3064" s="1" t="s">
        <v>224</v>
      </c>
      <c r="B3064" s="38">
        <v>686701.0</v>
      </c>
      <c r="C3064" s="72">
        <v>45832.0</v>
      </c>
      <c r="D3064" s="38">
        <v>65.0</v>
      </c>
      <c r="E3064" s="75"/>
      <c r="F3064" s="67">
        <v>4.982972179</v>
      </c>
      <c r="G3064" s="40">
        <v>1.540166004</v>
      </c>
      <c r="H3064" s="40"/>
      <c r="I3064" s="41">
        <v>0.492307692</v>
      </c>
      <c r="J3064" s="41">
        <v>0.215384615</v>
      </c>
      <c r="K3064" s="41">
        <v>0.292307692</v>
      </c>
      <c r="L3064" s="41"/>
      <c r="M3064" s="74">
        <v>-1.75515339</v>
      </c>
    </row>
    <row r="3065">
      <c r="A3065" s="1" t="s">
        <v>509</v>
      </c>
      <c r="B3065" s="38">
        <v>676106.0</v>
      </c>
      <c r="C3065" s="72">
        <v>45800.0</v>
      </c>
      <c r="D3065" s="38">
        <v>90.0</v>
      </c>
      <c r="E3065" s="75"/>
      <c r="F3065" s="67">
        <v>4.982426077</v>
      </c>
      <c r="G3065" s="40">
        <v>2.150838725</v>
      </c>
      <c r="H3065" s="40"/>
      <c r="I3065" s="41">
        <v>0.466666667</v>
      </c>
      <c r="J3065" s="41">
        <v>0.122222222</v>
      </c>
      <c r="K3065" s="41">
        <v>0.411111111</v>
      </c>
      <c r="L3065" s="41"/>
      <c r="M3065" s="74">
        <v>-3.669742528</v>
      </c>
    </row>
    <row r="3066">
      <c r="A3066" s="1" t="s">
        <v>382</v>
      </c>
      <c r="B3066" s="38">
        <v>656288.0</v>
      </c>
      <c r="C3066" s="72">
        <v>45805.0</v>
      </c>
      <c r="D3066" s="38">
        <v>76.0</v>
      </c>
      <c r="E3066" s="75"/>
      <c r="F3066" s="67">
        <v>4.982113983</v>
      </c>
      <c r="G3066" s="40">
        <v>1.778314959</v>
      </c>
      <c r="H3066" s="40"/>
      <c r="I3066" s="41">
        <v>0.486842105</v>
      </c>
      <c r="J3066" s="41">
        <v>0.131578947</v>
      </c>
      <c r="K3066" s="41">
        <v>0.381578947</v>
      </c>
      <c r="L3066" s="41"/>
      <c r="M3066" s="74">
        <v>-0.203763164</v>
      </c>
    </row>
    <row r="3067">
      <c r="A3067" s="1" t="s">
        <v>246</v>
      </c>
      <c r="B3067" s="38">
        <v>571510.0</v>
      </c>
      <c r="C3067" s="72">
        <v>45822.0</v>
      </c>
      <c r="D3067" s="38">
        <v>91.0</v>
      </c>
      <c r="E3067" s="75"/>
      <c r="F3067" s="67">
        <v>4.981908236</v>
      </c>
      <c r="G3067" s="40">
        <v>2.128548885</v>
      </c>
      <c r="H3067" s="40"/>
      <c r="I3067" s="41">
        <v>0.428571429</v>
      </c>
      <c r="J3067" s="41">
        <v>0.208791209</v>
      </c>
      <c r="K3067" s="41">
        <v>0.362637363</v>
      </c>
      <c r="L3067" s="41"/>
      <c r="M3067" s="74">
        <v>6.61429575</v>
      </c>
    </row>
    <row r="3068">
      <c r="A3068" s="1" t="s">
        <v>253</v>
      </c>
      <c r="B3068" s="38">
        <v>701581.0</v>
      </c>
      <c r="C3068" s="72">
        <v>45841.0</v>
      </c>
      <c r="D3068" s="38">
        <v>86.0</v>
      </c>
      <c r="E3068" s="75"/>
      <c r="F3068" s="67">
        <v>4.981757592</v>
      </c>
      <c r="G3068" s="40">
        <v>2.075299566</v>
      </c>
      <c r="H3068" s="40"/>
      <c r="I3068" s="41">
        <v>0.395348837</v>
      </c>
      <c r="J3068" s="41">
        <v>0.255813953</v>
      </c>
      <c r="K3068" s="41">
        <v>0.348837209</v>
      </c>
      <c r="L3068" s="41"/>
      <c r="M3068" s="74">
        <v>-0.569017498</v>
      </c>
    </row>
    <row r="3069">
      <c r="A3069" s="1" t="s">
        <v>396</v>
      </c>
      <c r="B3069" s="38">
        <v>663623.0</v>
      </c>
      <c r="C3069" s="72">
        <v>45745.0</v>
      </c>
      <c r="D3069" s="38">
        <v>82.0</v>
      </c>
      <c r="E3069" s="75"/>
      <c r="F3069" s="67">
        <v>4.981542445</v>
      </c>
      <c r="G3069" s="40">
        <v>1.947695136</v>
      </c>
      <c r="H3069" s="40"/>
      <c r="I3069" s="41">
        <v>0.426829268</v>
      </c>
      <c r="J3069" s="41">
        <v>0.182926829</v>
      </c>
      <c r="K3069" s="41">
        <v>0.390243902</v>
      </c>
      <c r="L3069" s="41"/>
      <c r="M3069" s="74">
        <v>-1.956113992</v>
      </c>
    </row>
    <row r="3070">
      <c r="A3070" s="1" t="s">
        <v>464</v>
      </c>
      <c r="B3070" s="38">
        <v>615698.0</v>
      </c>
      <c r="C3070" s="72">
        <v>45874.0</v>
      </c>
      <c r="D3070" s="38">
        <v>74.0</v>
      </c>
      <c r="E3070" s="75"/>
      <c r="F3070" s="67">
        <v>4.981402717</v>
      </c>
      <c r="G3070" s="40">
        <v>1.771463755</v>
      </c>
      <c r="H3070" s="40"/>
      <c r="I3070" s="41">
        <v>0.527027027</v>
      </c>
      <c r="J3070" s="41">
        <v>0.081081081</v>
      </c>
      <c r="K3070" s="41">
        <v>0.391891892</v>
      </c>
      <c r="L3070" s="41"/>
      <c r="M3070" s="74">
        <v>-4.128800895</v>
      </c>
    </row>
    <row r="3071">
      <c r="A3071" s="1" t="s">
        <v>306</v>
      </c>
      <c r="B3071" s="38">
        <v>677944.0</v>
      </c>
      <c r="C3071" s="72">
        <v>45920.0</v>
      </c>
      <c r="D3071" s="38">
        <v>94.0</v>
      </c>
      <c r="E3071" s="75"/>
      <c r="F3071" s="67">
        <v>4.981247399</v>
      </c>
      <c r="G3071" s="40">
        <v>2.245892407</v>
      </c>
      <c r="H3071" s="40"/>
      <c r="I3071" s="41">
        <v>0.29787234</v>
      </c>
      <c r="J3071" s="41">
        <v>0.308510638</v>
      </c>
      <c r="K3071" s="41">
        <v>0.393617021</v>
      </c>
      <c r="L3071" s="41"/>
      <c r="M3071" s="74">
        <v>3.681478524</v>
      </c>
    </row>
    <row r="3072">
      <c r="A3072" s="1" t="s">
        <v>353</v>
      </c>
      <c r="B3072" s="38">
        <v>663903.0</v>
      </c>
      <c r="C3072" s="72">
        <v>45876.0</v>
      </c>
      <c r="D3072" s="38">
        <v>82.0</v>
      </c>
      <c r="E3072" s="75"/>
      <c r="F3072" s="67">
        <v>4.981234356</v>
      </c>
      <c r="G3072" s="40">
        <v>1.945845966</v>
      </c>
      <c r="H3072" s="40"/>
      <c r="I3072" s="41">
        <v>0.451219512</v>
      </c>
      <c r="J3072" s="41">
        <v>0.207317073</v>
      </c>
      <c r="K3072" s="41">
        <v>0.341463415</v>
      </c>
      <c r="L3072" s="41"/>
      <c r="M3072" s="74">
        <v>-0.616046223</v>
      </c>
    </row>
    <row r="3073">
      <c r="A3073" s="1" t="s">
        <v>220</v>
      </c>
      <c r="B3073" s="38">
        <v>663559.0</v>
      </c>
      <c r="C3073" s="72">
        <v>45880.0</v>
      </c>
      <c r="D3073" s="38">
        <v>74.0</v>
      </c>
      <c r="E3073" s="75"/>
      <c r="F3073" s="67">
        <v>4.981140077</v>
      </c>
      <c r="G3073" s="40">
        <v>1.747487136</v>
      </c>
      <c r="H3073" s="40"/>
      <c r="I3073" s="41">
        <v>0.5</v>
      </c>
      <c r="J3073" s="41">
        <v>0.094594595</v>
      </c>
      <c r="K3073" s="41">
        <v>0.405405405</v>
      </c>
      <c r="L3073" s="41"/>
      <c r="M3073" s="74">
        <v>0.621317313</v>
      </c>
    </row>
    <row r="3074">
      <c r="A3074" s="1" t="s">
        <v>481</v>
      </c>
      <c r="B3074" s="38">
        <v>622608.0</v>
      </c>
      <c r="C3074" s="72">
        <v>45802.0</v>
      </c>
      <c r="D3074" s="38">
        <v>73.0</v>
      </c>
      <c r="E3074" s="75"/>
      <c r="F3074" s="67">
        <v>4.981066301</v>
      </c>
      <c r="G3074" s="40">
        <v>1.718575758</v>
      </c>
      <c r="H3074" s="40"/>
      <c r="I3074" s="41">
        <v>0.424657534</v>
      </c>
      <c r="J3074" s="41">
        <v>0.232876712</v>
      </c>
      <c r="K3074" s="41">
        <v>0.342465753</v>
      </c>
      <c r="L3074" s="41"/>
      <c r="M3074" s="74">
        <v>-0.967740012</v>
      </c>
    </row>
    <row r="3075">
      <c r="A3075" s="1" t="s">
        <v>303</v>
      </c>
      <c r="B3075" s="38">
        <v>592662.0</v>
      </c>
      <c r="C3075" s="72">
        <v>45830.0</v>
      </c>
      <c r="D3075" s="38">
        <v>84.0</v>
      </c>
      <c r="E3075" s="75"/>
      <c r="F3075" s="67">
        <v>4.981047778</v>
      </c>
      <c r="G3075" s="40">
        <v>1.994104186</v>
      </c>
      <c r="H3075" s="40"/>
      <c r="I3075" s="41">
        <v>0.428571429</v>
      </c>
      <c r="J3075" s="41">
        <v>0.238095238</v>
      </c>
      <c r="K3075" s="41">
        <v>0.333333333</v>
      </c>
      <c r="L3075" s="41"/>
      <c r="M3075" s="74">
        <v>-3.390720125</v>
      </c>
    </row>
    <row r="3076">
      <c r="A3076" s="1" t="s">
        <v>272</v>
      </c>
      <c r="B3076" s="38">
        <v>622491.0</v>
      </c>
      <c r="C3076" s="72">
        <v>45767.0</v>
      </c>
      <c r="D3076" s="38">
        <v>102.0</v>
      </c>
      <c r="E3076" s="75"/>
      <c r="F3076" s="67">
        <v>4.981002398</v>
      </c>
      <c r="G3076" s="40">
        <v>2.417847758</v>
      </c>
      <c r="H3076" s="40"/>
      <c r="I3076" s="41">
        <v>0.450980392</v>
      </c>
      <c r="J3076" s="41">
        <v>0.215686275</v>
      </c>
      <c r="K3076" s="41">
        <v>0.333333333</v>
      </c>
      <c r="L3076" s="41"/>
      <c r="M3076" s="74">
        <v>-4.105842484</v>
      </c>
    </row>
    <row r="3077">
      <c r="A3077" s="1" t="s">
        <v>263</v>
      </c>
      <c r="B3077" s="38">
        <v>694297.0</v>
      </c>
      <c r="C3077" s="72">
        <v>45889.0</v>
      </c>
      <c r="D3077" s="38">
        <v>95.0</v>
      </c>
      <c r="E3077" s="75"/>
      <c r="F3077" s="67">
        <v>4.980946584</v>
      </c>
      <c r="G3077" s="40">
        <v>2.251019543</v>
      </c>
      <c r="H3077" s="40"/>
      <c r="I3077" s="41">
        <v>0.494736842</v>
      </c>
      <c r="J3077" s="41">
        <v>0.147368421</v>
      </c>
      <c r="K3077" s="41">
        <v>0.357894737</v>
      </c>
      <c r="L3077" s="41"/>
      <c r="M3077" s="74">
        <v>0.731747567</v>
      </c>
    </row>
    <row r="3078">
      <c r="A3078" s="1" t="s">
        <v>229</v>
      </c>
      <c r="B3078" s="38">
        <v>645261.0</v>
      </c>
      <c r="C3078" s="72">
        <v>45867.0</v>
      </c>
      <c r="D3078" s="38">
        <v>89.0</v>
      </c>
      <c r="E3078" s="75"/>
      <c r="F3078" s="67">
        <v>4.980665427</v>
      </c>
      <c r="G3078" s="40">
        <v>2.056832428</v>
      </c>
      <c r="H3078" s="40"/>
      <c r="I3078" s="41">
        <v>0.415730337</v>
      </c>
      <c r="J3078" s="41">
        <v>0.213483146</v>
      </c>
      <c r="K3078" s="41">
        <v>0.370786517</v>
      </c>
      <c r="L3078" s="41"/>
      <c r="M3078" s="74">
        <v>2.75959781</v>
      </c>
    </row>
    <row r="3079">
      <c r="A3079" s="1" t="s">
        <v>597</v>
      </c>
      <c r="B3079" s="38">
        <v>687931.0</v>
      </c>
      <c r="C3079" s="72">
        <v>45872.0</v>
      </c>
      <c r="D3079" s="38">
        <v>70.0</v>
      </c>
      <c r="E3079" s="75"/>
      <c r="F3079" s="67">
        <v>4.980568317</v>
      </c>
      <c r="G3079" s="40">
        <v>1.665007656</v>
      </c>
      <c r="H3079" s="40"/>
      <c r="I3079" s="41">
        <v>0.514285714</v>
      </c>
      <c r="J3079" s="41">
        <v>0.142857143</v>
      </c>
      <c r="K3079" s="41">
        <v>0.342857143</v>
      </c>
      <c r="L3079" s="41"/>
      <c r="M3079" s="74">
        <v>0.876065398</v>
      </c>
    </row>
    <row r="3080">
      <c r="A3080" s="1" t="s">
        <v>590</v>
      </c>
      <c r="B3080" s="38">
        <v>800049.0</v>
      </c>
      <c r="C3080" s="72">
        <v>45909.0</v>
      </c>
      <c r="D3080" s="38">
        <v>92.0</v>
      </c>
      <c r="E3080" s="75"/>
      <c r="F3080" s="67">
        <v>4.980304278</v>
      </c>
      <c r="G3080" s="40">
        <v>2.197058661</v>
      </c>
      <c r="H3080" s="40"/>
      <c r="I3080" s="41">
        <v>0.47826087</v>
      </c>
      <c r="J3080" s="41">
        <v>0.152173913</v>
      </c>
      <c r="K3080" s="41">
        <v>0.369565217</v>
      </c>
      <c r="L3080" s="41"/>
      <c r="M3080" s="74">
        <v>-2.611335262</v>
      </c>
    </row>
    <row r="3081">
      <c r="A3081" s="1" t="s">
        <v>420</v>
      </c>
      <c r="B3081" s="38">
        <v>547179.0</v>
      </c>
      <c r="C3081" s="72">
        <v>45816.0</v>
      </c>
      <c r="D3081" s="38">
        <v>89.0</v>
      </c>
      <c r="E3081" s="75"/>
      <c r="F3081" s="67">
        <v>4.980198165</v>
      </c>
      <c r="G3081" s="40">
        <v>2.128930467</v>
      </c>
      <c r="H3081" s="40"/>
      <c r="I3081" s="41">
        <v>0.460674157</v>
      </c>
      <c r="J3081" s="41">
        <v>0.157303371</v>
      </c>
      <c r="K3081" s="41">
        <v>0.382022472</v>
      </c>
      <c r="L3081" s="41"/>
      <c r="M3081" s="74">
        <v>5.331567598</v>
      </c>
    </row>
    <row r="3082">
      <c r="A3082" s="1" t="s">
        <v>79</v>
      </c>
      <c r="B3082" s="38">
        <v>554430.0</v>
      </c>
      <c r="C3082" s="72">
        <v>45879.0</v>
      </c>
      <c r="D3082" s="38">
        <v>81.0</v>
      </c>
      <c r="E3082" s="75"/>
      <c r="F3082" s="67">
        <v>4.980163204</v>
      </c>
      <c r="G3082" s="40">
        <v>1.891720468</v>
      </c>
      <c r="H3082" s="40"/>
      <c r="I3082" s="41">
        <v>0.432098765</v>
      </c>
      <c r="J3082" s="41">
        <v>0.160493827</v>
      </c>
      <c r="K3082" s="41">
        <v>0.407407407</v>
      </c>
      <c r="L3082" s="41"/>
      <c r="M3082" s="74">
        <v>0.778291163</v>
      </c>
    </row>
    <row r="3083">
      <c r="A3083" s="1" t="s">
        <v>65</v>
      </c>
      <c r="B3083" s="38">
        <v>680885.0</v>
      </c>
      <c r="C3083" s="72">
        <v>45780.0</v>
      </c>
      <c r="D3083" s="38">
        <v>88.0</v>
      </c>
      <c r="E3083" s="75"/>
      <c r="F3083" s="67">
        <v>4.980155791</v>
      </c>
      <c r="G3083" s="40">
        <v>2.074262009</v>
      </c>
      <c r="H3083" s="40"/>
      <c r="I3083" s="41">
        <v>0.454545455</v>
      </c>
      <c r="J3083" s="41">
        <v>0.238636364</v>
      </c>
      <c r="K3083" s="41">
        <v>0.306818182</v>
      </c>
      <c r="L3083" s="41"/>
      <c r="M3083" s="74">
        <v>-3.017511017</v>
      </c>
    </row>
    <row r="3084">
      <c r="A3084" s="1" t="s">
        <v>522</v>
      </c>
      <c r="B3084" s="38">
        <v>808963.0</v>
      </c>
      <c r="C3084" s="72">
        <v>45766.0</v>
      </c>
      <c r="D3084" s="38">
        <v>75.0</v>
      </c>
      <c r="E3084" s="75"/>
      <c r="F3084" s="67">
        <v>4.980151626</v>
      </c>
      <c r="G3084" s="40">
        <v>1.792559156</v>
      </c>
      <c r="H3084" s="40"/>
      <c r="I3084" s="41">
        <v>0.453333333</v>
      </c>
      <c r="J3084" s="41">
        <v>0.213333333</v>
      </c>
      <c r="K3084" s="41">
        <v>0.333333333</v>
      </c>
      <c r="L3084" s="41"/>
      <c r="M3084" s="74">
        <v>2.198547967</v>
      </c>
    </row>
    <row r="3085">
      <c r="A3085" s="1" t="s">
        <v>363</v>
      </c>
      <c r="B3085" s="38">
        <v>693645.0</v>
      </c>
      <c r="C3085" s="72">
        <v>45889.0</v>
      </c>
      <c r="D3085" s="38">
        <v>94.0</v>
      </c>
      <c r="E3085" s="75"/>
      <c r="F3085" s="67">
        <v>4.979978636</v>
      </c>
      <c r="G3085" s="40">
        <v>2.238440095</v>
      </c>
      <c r="H3085" s="40"/>
      <c r="I3085" s="41">
        <v>0.436170213</v>
      </c>
      <c r="J3085" s="41">
        <v>0.223404255</v>
      </c>
      <c r="K3085" s="41">
        <v>0.340425532</v>
      </c>
      <c r="L3085" s="41"/>
      <c r="M3085" s="74">
        <v>4.817958061</v>
      </c>
    </row>
    <row r="3086">
      <c r="A3086" s="1" t="s">
        <v>57</v>
      </c>
      <c r="B3086" s="38">
        <v>594798.0</v>
      </c>
      <c r="C3086" s="72">
        <v>45906.0</v>
      </c>
      <c r="D3086" s="38">
        <v>95.0</v>
      </c>
      <c r="E3086" s="75"/>
      <c r="F3086" s="67">
        <v>4.979799344</v>
      </c>
      <c r="G3086" s="40">
        <v>2.227073846</v>
      </c>
      <c r="H3086" s="40"/>
      <c r="I3086" s="41">
        <v>0.473684211</v>
      </c>
      <c r="J3086" s="41">
        <v>0.094736842</v>
      </c>
      <c r="K3086" s="41">
        <v>0.431578947</v>
      </c>
      <c r="L3086" s="41"/>
      <c r="M3086" s="74">
        <v>-0.753934081</v>
      </c>
    </row>
    <row r="3087">
      <c r="A3087" s="1" t="s">
        <v>260</v>
      </c>
      <c r="B3087" s="38">
        <v>694462.0</v>
      </c>
      <c r="C3087" s="72">
        <v>45878.0</v>
      </c>
      <c r="D3087" s="38">
        <v>87.0</v>
      </c>
      <c r="E3087" s="75"/>
      <c r="F3087" s="67">
        <v>4.979415665</v>
      </c>
      <c r="G3087" s="40">
        <v>2.043009131</v>
      </c>
      <c r="H3087" s="40"/>
      <c r="I3087" s="41">
        <v>0.471264368</v>
      </c>
      <c r="J3087" s="41">
        <v>0.183908046</v>
      </c>
      <c r="K3087" s="41">
        <v>0.344827586</v>
      </c>
      <c r="L3087" s="41"/>
      <c r="M3087" s="74">
        <v>1.506022454</v>
      </c>
    </row>
    <row r="3088">
      <c r="A3088" s="1" t="s">
        <v>166</v>
      </c>
      <c r="B3088" s="38">
        <v>608331.0</v>
      </c>
      <c r="C3088" s="72">
        <v>45873.0</v>
      </c>
      <c r="D3088" s="38">
        <v>105.0</v>
      </c>
      <c r="E3088" s="75"/>
      <c r="F3088" s="67">
        <v>4.979231298</v>
      </c>
      <c r="G3088" s="40">
        <v>2.418658866</v>
      </c>
      <c r="H3088" s="40"/>
      <c r="I3088" s="41">
        <v>0.419047619</v>
      </c>
      <c r="J3088" s="41">
        <v>0.19047619</v>
      </c>
      <c r="K3088" s="41">
        <v>0.39047619</v>
      </c>
      <c r="L3088" s="41"/>
      <c r="M3088" s="74">
        <v>-1.415931586</v>
      </c>
    </row>
    <row r="3089">
      <c r="A3089" s="1" t="s">
        <v>363</v>
      </c>
      <c r="B3089" s="38">
        <v>693645.0</v>
      </c>
      <c r="C3089" s="72">
        <v>45894.0</v>
      </c>
      <c r="D3089" s="38">
        <v>94.0</v>
      </c>
      <c r="E3089" s="75"/>
      <c r="F3089" s="67">
        <v>4.979106765</v>
      </c>
      <c r="G3089" s="40">
        <v>2.22191266</v>
      </c>
      <c r="H3089" s="40"/>
      <c r="I3089" s="41">
        <v>0.5</v>
      </c>
      <c r="J3089" s="41">
        <v>0.180851064</v>
      </c>
      <c r="K3089" s="41">
        <v>0.319148936</v>
      </c>
      <c r="L3089" s="41"/>
      <c r="M3089" s="74">
        <v>0.982462872</v>
      </c>
    </row>
    <row r="3090">
      <c r="A3090" s="1" t="s">
        <v>314</v>
      </c>
      <c r="B3090" s="38">
        <v>669854.0</v>
      </c>
      <c r="C3090" s="72">
        <v>45775.0</v>
      </c>
      <c r="D3090" s="38">
        <v>83.0</v>
      </c>
      <c r="E3090" s="75"/>
      <c r="F3090" s="67">
        <v>4.979013529</v>
      </c>
      <c r="G3090" s="40">
        <v>1.951465541</v>
      </c>
      <c r="H3090" s="40"/>
      <c r="I3090" s="41">
        <v>0.445783133</v>
      </c>
      <c r="J3090" s="41">
        <v>0.180722892</v>
      </c>
      <c r="K3090" s="41">
        <v>0.373493976</v>
      </c>
      <c r="L3090" s="41"/>
      <c r="M3090" s="74">
        <v>1.330428743</v>
      </c>
    </row>
    <row r="3091">
      <c r="A3091" s="1" t="s">
        <v>372</v>
      </c>
      <c r="B3091" s="38">
        <v>671106.0</v>
      </c>
      <c r="C3091" s="72">
        <v>45898.0</v>
      </c>
      <c r="D3091" s="38">
        <v>93.0</v>
      </c>
      <c r="E3091" s="75"/>
      <c r="F3091" s="67">
        <v>4.978955835</v>
      </c>
      <c r="G3091" s="40">
        <v>2.203111319</v>
      </c>
      <c r="H3091" s="40"/>
      <c r="I3091" s="41">
        <v>0.419354839</v>
      </c>
      <c r="J3091" s="41">
        <v>0.204301075</v>
      </c>
      <c r="K3091" s="41">
        <v>0.376344086</v>
      </c>
      <c r="L3091" s="41"/>
      <c r="M3091" s="74">
        <v>-1.156594066</v>
      </c>
    </row>
    <row r="3092">
      <c r="A3092" s="1" t="s">
        <v>598</v>
      </c>
      <c r="B3092" s="38">
        <v>686826.0</v>
      </c>
      <c r="C3092" s="72">
        <v>45894.0</v>
      </c>
      <c r="D3092" s="38">
        <v>85.0</v>
      </c>
      <c r="E3092" s="75"/>
      <c r="F3092" s="67">
        <v>4.978826887</v>
      </c>
      <c r="G3092" s="40">
        <v>2.031191633</v>
      </c>
      <c r="H3092" s="40"/>
      <c r="I3092" s="41">
        <v>0.423529412</v>
      </c>
      <c r="J3092" s="41">
        <v>0.176470588</v>
      </c>
      <c r="K3092" s="41">
        <v>0.4</v>
      </c>
      <c r="L3092" s="41"/>
      <c r="M3092" s="74">
        <v>2.588492484</v>
      </c>
    </row>
    <row r="3093">
      <c r="A3093" s="1" t="s">
        <v>95</v>
      </c>
      <c r="B3093" s="38">
        <v>543243.0</v>
      </c>
      <c r="C3093" s="72">
        <v>45885.0</v>
      </c>
      <c r="D3093" s="38">
        <v>88.0</v>
      </c>
      <c r="E3093" s="75"/>
      <c r="F3093" s="67">
        <v>4.978767324</v>
      </c>
      <c r="G3093" s="40">
        <v>2.073580873</v>
      </c>
      <c r="H3093" s="40"/>
      <c r="I3093" s="41">
        <v>0.534090909</v>
      </c>
      <c r="J3093" s="41">
        <v>0.113636364</v>
      </c>
      <c r="K3093" s="41">
        <v>0.352272727</v>
      </c>
      <c r="L3093" s="41"/>
      <c r="M3093" s="74">
        <v>-4.802560332</v>
      </c>
    </row>
    <row r="3094">
      <c r="A3094" s="1" t="s">
        <v>562</v>
      </c>
      <c r="B3094" s="38">
        <v>669713.0</v>
      </c>
      <c r="C3094" s="72">
        <v>45748.0</v>
      </c>
      <c r="D3094" s="38">
        <v>87.0</v>
      </c>
      <c r="E3094" s="75"/>
      <c r="F3094" s="67">
        <v>4.978756979</v>
      </c>
      <c r="G3094" s="40">
        <v>2.048901347</v>
      </c>
      <c r="H3094" s="40"/>
      <c r="I3094" s="41">
        <v>0.482758621</v>
      </c>
      <c r="J3094" s="41">
        <v>0.172413793</v>
      </c>
      <c r="K3094" s="41">
        <v>0.344827586</v>
      </c>
      <c r="L3094" s="41"/>
      <c r="M3094" s="74">
        <v>4.619861383</v>
      </c>
    </row>
    <row r="3095">
      <c r="A3095" s="1" t="s">
        <v>161</v>
      </c>
      <c r="B3095" s="38">
        <v>702070.0</v>
      </c>
      <c r="C3095" s="72">
        <v>45813.0</v>
      </c>
      <c r="D3095" s="38">
        <v>78.0</v>
      </c>
      <c r="E3095" s="75"/>
      <c r="F3095" s="67">
        <v>4.978288164</v>
      </c>
      <c r="G3095" s="40">
        <v>1.851104419</v>
      </c>
      <c r="H3095" s="40"/>
      <c r="I3095" s="41">
        <v>0.423076923</v>
      </c>
      <c r="J3095" s="41">
        <v>0.192307692</v>
      </c>
      <c r="K3095" s="41">
        <v>0.384615385</v>
      </c>
      <c r="L3095" s="41"/>
      <c r="M3095" s="74">
        <v>1.987212089</v>
      </c>
    </row>
    <row r="3096">
      <c r="A3096" s="1" t="s">
        <v>57</v>
      </c>
      <c r="B3096" s="38">
        <v>594798.0</v>
      </c>
      <c r="C3096" s="72">
        <v>45860.0</v>
      </c>
      <c r="D3096" s="38">
        <v>86.0</v>
      </c>
      <c r="E3096" s="75"/>
      <c r="F3096" s="67">
        <v>4.978050414</v>
      </c>
      <c r="G3096" s="40">
        <v>2.013895426</v>
      </c>
      <c r="H3096" s="40"/>
      <c r="I3096" s="41">
        <v>0.453488372</v>
      </c>
      <c r="J3096" s="41">
        <v>0.174418605</v>
      </c>
      <c r="K3096" s="41">
        <v>0.372093023</v>
      </c>
      <c r="L3096" s="41"/>
      <c r="M3096" s="74">
        <v>1.160035485</v>
      </c>
    </row>
    <row r="3097">
      <c r="A3097" s="1" t="s">
        <v>99</v>
      </c>
      <c r="B3097" s="38">
        <v>592791.0</v>
      </c>
      <c r="C3097" s="72">
        <v>45888.0</v>
      </c>
      <c r="D3097" s="38">
        <v>91.0</v>
      </c>
      <c r="E3097" s="75"/>
      <c r="F3097" s="67">
        <v>4.978032029</v>
      </c>
      <c r="G3097" s="40">
        <v>2.193405375</v>
      </c>
      <c r="H3097" s="40"/>
      <c r="I3097" s="41">
        <v>0.43956044</v>
      </c>
      <c r="J3097" s="41">
        <v>0.208791209</v>
      </c>
      <c r="K3097" s="41">
        <v>0.351648352</v>
      </c>
      <c r="L3097" s="41"/>
      <c r="M3097" s="74">
        <v>1.402235636</v>
      </c>
    </row>
    <row r="3098">
      <c r="A3098" s="1" t="s">
        <v>456</v>
      </c>
      <c r="B3098" s="38">
        <v>605135.0</v>
      </c>
      <c r="C3098" s="72">
        <v>45878.0</v>
      </c>
      <c r="D3098" s="38">
        <v>63.0</v>
      </c>
      <c r="E3098" s="75"/>
      <c r="F3098" s="67">
        <v>4.978001199</v>
      </c>
      <c r="G3098" s="40">
        <v>1.516332043</v>
      </c>
      <c r="H3098" s="40"/>
      <c r="I3098" s="41">
        <v>0.492063492</v>
      </c>
      <c r="J3098" s="41">
        <v>0.174603175</v>
      </c>
      <c r="K3098" s="41">
        <v>0.333333333</v>
      </c>
      <c r="L3098" s="41"/>
      <c r="M3098" s="74">
        <v>-1.890921528</v>
      </c>
    </row>
    <row r="3099">
      <c r="A3099" s="1" t="s">
        <v>247</v>
      </c>
      <c r="B3099" s="38">
        <v>605540.0</v>
      </c>
      <c r="C3099" s="72">
        <v>45888.0</v>
      </c>
      <c r="D3099" s="38">
        <v>93.0</v>
      </c>
      <c r="E3099" s="75"/>
      <c r="F3099" s="67">
        <v>4.977702956</v>
      </c>
      <c r="G3099" s="40">
        <v>2.18442519</v>
      </c>
      <c r="H3099" s="40"/>
      <c r="I3099" s="41">
        <v>0.451612903</v>
      </c>
      <c r="J3099" s="41">
        <v>0.150537634</v>
      </c>
      <c r="K3099" s="41">
        <v>0.397849462</v>
      </c>
      <c r="L3099" s="41"/>
      <c r="M3099" s="74">
        <v>0.921462656</v>
      </c>
    </row>
    <row r="3100">
      <c r="A3100" s="1" t="s">
        <v>453</v>
      </c>
      <c r="B3100" s="38">
        <v>592836.0</v>
      </c>
      <c r="C3100" s="72">
        <v>45772.0</v>
      </c>
      <c r="D3100" s="38">
        <v>82.0</v>
      </c>
      <c r="E3100" s="75"/>
      <c r="F3100" s="67">
        <v>4.977642948</v>
      </c>
      <c r="G3100" s="40">
        <v>1.922867613</v>
      </c>
      <c r="H3100" s="40"/>
      <c r="I3100" s="41">
        <v>0.426829268</v>
      </c>
      <c r="J3100" s="41">
        <v>0.170731707</v>
      </c>
      <c r="K3100" s="41">
        <v>0.402439024</v>
      </c>
      <c r="L3100" s="41"/>
      <c r="M3100" s="74">
        <v>-0.177070134</v>
      </c>
    </row>
    <row r="3101">
      <c r="A3101" s="1" t="s">
        <v>425</v>
      </c>
      <c r="B3101" s="38">
        <v>621244.0</v>
      </c>
      <c r="C3101" s="72">
        <v>45868.0</v>
      </c>
      <c r="D3101" s="38">
        <v>71.0</v>
      </c>
      <c r="E3101" s="75"/>
      <c r="F3101" s="67">
        <v>4.977636051</v>
      </c>
      <c r="G3101" s="40">
        <v>1.678419465</v>
      </c>
      <c r="H3101" s="40"/>
      <c r="I3101" s="41">
        <v>0.450704225</v>
      </c>
      <c r="J3101" s="41">
        <v>0.23943662</v>
      </c>
      <c r="K3101" s="41">
        <v>0.309859155</v>
      </c>
      <c r="L3101" s="41"/>
      <c r="M3101" s="74">
        <v>-1.895497464</v>
      </c>
    </row>
    <row r="3102">
      <c r="A3102" s="1" t="s">
        <v>344</v>
      </c>
      <c r="B3102" s="38">
        <v>701542.0</v>
      </c>
      <c r="C3102" s="72">
        <v>45753.0</v>
      </c>
      <c r="D3102" s="38">
        <v>84.0</v>
      </c>
      <c r="E3102" s="75"/>
      <c r="F3102" s="67">
        <v>4.977523809</v>
      </c>
      <c r="G3102" s="40">
        <v>1.934477195</v>
      </c>
      <c r="H3102" s="40"/>
      <c r="I3102" s="41">
        <v>0.416666667</v>
      </c>
      <c r="J3102" s="41">
        <v>0.154761905</v>
      </c>
      <c r="K3102" s="41">
        <v>0.428571429</v>
      </c>
      <c r="L3102" s="41"/>
      <c r="M3102" s="74">
        <v>-0.421728861</v>
      </c>
    </row>
    <row r="3103">
      <c r="A3103" s="1" t="s">
        <v>212</v>
      </c>
      <c r="B3103" s="38">
        <v>805673.0</v>
      </c>
      <c r="C3103" s="72">
        <v>45909.0</v>
      </c>
      <c r="D3103" s="38">
        <v>93.0</v>
      </c>
      <c r="E3103" s="75"/>
      <c r="F3103" s="67">
        <v>4.977473044</v>
      </c>
      <c r="G3103" s="40">
        <v>2.194436591</v>
      </c>
      <c r="H3103" s="40"/>
      <c r="I3103" s="41">
        <v>0.397849462</v>
      </c>
      <c r="J3103" s="41">
        <v>0.225806452</v>
      </c>
      <c r="K3103" s="41">
        <v>0.376344086</v>
      </c>
      <c r="L3103" s="41"/>
      <c r="M3103" s="74">
        <v>-1.827062624</v>
      </c>
    </row>
    <row r="3104">
      <c r="A3104" s="1" t="s">
        <v>586</v>
      </c>
      <c r="B3104" s="38">
        <v>669721.0</v>
      </c>
      <c r="C3104" s="72">
        <v>45851.0</v>
      </c>
      <c r="D3104" s="38">
        <v>72.0</v>
      </c>
      <c r="E3104" s="75"/>
      <c r="F3104" s="67">
        <v>4.977286375</v>
      </c>
      <c r="G3104" s="40">
        <v>1.729515991</v>
      </c>
      <c r="H3104" s="40"/>
      <c r="I3104" s="41">
        <v>0.430555556</v>
      </c>
      <c r="J3104" s="41">
        <v>0.180555556</v>
      </c>
      <c r="K3104" s="41">
        <v>0.388888889</v>
      </c>
      <c r="L3104" s="41"/>
      <c r="M3104" s="74">
        <v>2.617604451</v>
      </c>
    </row>
    <row r="3105">
      <c r="A3105" s="1" t="s">
        <v>457</v>
      </c>
      <c r="B3105" s="38">
        <v>477132.0</v>
      </c>
      <c r="C3105" s="72">
        <v>45928.0</v>
      </c>
      <c r="D3105" s="38">
        <v>87.0</v>
      </c>
      <c r="E3105" s="75"/>
      <c r="F3105" s="67">
        <v>4.977157248</v>
      </c>
      <c r="G3105" s="40">
        <v>2.038427043</v>
      </c>
      <c r="H3105" s="40"/>
      <c r="I3105" s="41">
        <v>0.459770115</v>
      </c>
      <c r="J3105" s="41">
        <v>0.195402299</v>
      </c>
      <c r="K3105" s="41">
        <v>0.344827586</v>
      </c>
      <c r="L3105" s="41"/>
      <c r="M3105" s="74">
        <v>0.830030286</v>
      </c>
    </row>
    <row r="3106">
      <c r="A3106" s="1" t="s">
        <v>389</v>
      </c>
      <c r="B3106" s="38">
        <v>682052.0</v>
      </c>
      <c r="C3106" s="72">
        <v>45776.0</v>
      </c>
      <c r="D3106" s="38">
        <v>78.0</v>
      </c>
      <c r="E3106" s="75"/>
      <c r="F3106" s="67">
        <v>4.977016043</v>
      </c>
      <c r="G3106" s="40">
        <v>1.843638734</v>
      </c>
      <c r="H3106" s="40"/>
      <c r="I3106" s="41">
        <v>0.435897436</v>
      </c>
      <c r="J3106" s="41">
        <v>0.166666667</v>
      </c>
      <c r="K3106" s="41">
        <v>0.397435897</v>
      </c>
      <c r="L3106" s="41"/>
      <c r="M3106" s="74">
        <v>-1.005471908</v>
      </c>
    </row>
    <row r="3107">
      <c r="A3107" s="1" t="s">
        <v>473</v>
      </c>
      <c r="B3107" s="38">
        <v>527048.0</v>
      </c>
      <c r="C3107" s="72">
        <v>45917.0</v>
      </c>
      <c r="D3107" s="38">
        <v>72.0</v>
      </c>
      <c r="E3107" s="75"/>
      <c r="F3107" s="67">
        <v>4.976629902</v>
      </c>
      <c r="G3107" s="40">
        <v>1.722111576</v>
      </c>
      <c r="H3107" s="40"/>
      <c r="I3107" s="41">
        <v>0.402777778</v>
      </c>
      <c r="J3107" s="41">
        <v>0.291666667</v>
      </c>
      <c r="K3107" s="41">
        <v>0.305555556</v>
      </c>
      <c r="L3107" s="41"/>
      <c r="M3107" s="74">
        <v>-0.23670344</v>
      </c>
    </row>
    <row r="3108">
      <c r="A3108" s="1" t="s">
        <v>341</v>
      </c>
      <c r="B3108" s="38">
        <v>676962.0</v>
      </c>
      <c r="C3108" s="72">
        <v>45819.0</v>
      </c>
      <c r="D3108" s="38">
        <v>99.0</v>
      </c>
      <c r="E3108" s="75"/>
      <c r="F3108" s="67">
        <v>4.976413475</v>
      </c>
      <c r="G3108" s="40">
        <v>2.380555465</v>
      </c>
      <c r="H3108" s="40"/>
      <c r="I3108" s="41">
        <v>0.404040404</v>
      </c>
      <c r="J3108" s="41">
        <v>0.212121212</v>
      </c>
      <c r="K3108" s="41">
        <v>0.383838384</v>
      </c>
      <c r="L3108" s="41"/>
      <c r="M3108" s="74">
        <v>-2.83941069</v>
      </c>
    </row>
    <row r="3109">
      <c r="A3109" s="1" t="s">
        <v>445</v>
      </c>
      <c r="B3109" s="38">
        <v>663855.0</v>
      </c>
      <c r="C3109" s="72">
        <v>45753.0</v>
      </c>
      <c r="D3109" s="38">
        <v>83.0</v>
      </c>
      <c r="E3109" s="75"/>
      <c r="F3109" s="67">
        <v>4.976295302</v>
      </c>
      <c r="G3109" s="40">
        <v>1.977788048</v>
      </c>
      <c r="H3109" s="40"/>
      <c r="I3109" s="41">
        <v>0.469879518</v>
      </c>
      <c r="J3109" s="41">
        <v>0.096385542</v>
      </c>
      <c r="K3109" s="41">
        <v>0.43373494</v>
      </c>
      <c r="L3109" s="41"/>
      <c r="M3109" s="74">
        <v>-1.388215811</v>
      </c>
    </row>
    <row r="3110">
      <c r="A3110" s="1" t="s">
        <v>313</v>
      </c>
      <c r="B3110" s="38">
        <v>607067.0</v>
      </c>
      <c r="C3110" s="72">
        <v>45848.0</v>
      </c>
      <c r="D3110" s="38">
        <v>92.0</v>
      </c>
      <c r="E3110" s="75"/>
      <c r="F3110" s="67">
        <v>4.976081544</v>
      </c>
      <c r="G3110" s="40">
        <v>2.20733311</v>
      </c>
      <c r="H3110" s="40"/>
      <c r="I3110" s="41">
        <v>0.423913043</v>
      </c>
      <c r="J3110" s="41">
        <v>0.184782609</v>
      </c>
      <c r="K3110" s="41">
        <v>0.391304348</v>
      </c>
      <c r="L3110" s="41"/>
      <c r="M3110" s="74">
        <v>2.489945328</v>
      </c>
    </row>
    <row r="3111">
      <c r="A3111" s="1" t="s">
        <v>90</v>
      </c>
      <c r="B3111" s="38">
        <v>693433.0</v>
      </c>
      <c r="C3111" s="72">
        <v>45836.0</v>
      </c>
      <c r="D3111" s="38">
        <v>97.0</v>
      </c>
      <c r="E3111" s="75"/>
      <c r="F3111" s="67">
        <v>4.976051758</v>
      </c>
      <c r="G3111" s="40">
        <v>2.303603236</v>
      </c>
      <c r="H3111" s="40"/>
      <c r="I3111" s="41">
        <v>0.474226804</v>
      </c>
      <c r="J3111" s="41">
        <v>0.18556701</v>
      </c>
      <c r="K3111" s="41">
        <v>0.340206186</v>
      </c>
      <c r="L3111" s="41"/>
      <c r="M3111" s="74">
        <v>-0.333654361</v>
      </c>
    </row>
    <row r="3112">
      <c r="A3112" s="1" t="s">
        <v>599</v>
      </c>
      <c r="B3112" s="38">
        <v>669145.0</v>
      </c>
      <c r="C3112" s="72">
        <v>45923.0</v>
      </c>
      <c r="D3112" s="38">
        <v>85.0</v>
      </c>
      <c r="E3112" s="75"/>
      <c r="F3112" s="67">
        <v>4.975717462</v>
      </c>
      <c r="G3112" s="40">
        <v>2.030009864</v>
      </c>
      <c r="H3112" s="40"/>
      <c r="I3112" s="41">
        <v>0.447058824</v>
      </c>
      <c r="J3112" s="41">
        <v>0.235294118</v>
      </c>
      <c r="K3112" s="41">
        <v>0.317647059</v>
      </c>
      <c r="L3112" s="41"/>
      <c r="M3112" s="74">
        <v>-2.048032717</v>
      </c>
    </row>
    <row r="3113">
      <c r="A3113" s="1" t="s">
        <v>275</v>
      </c>
      <c r="B3113" s="38">
        <v>693821.0</v>
      </c>
      <c r="C3113" s="72">
        <v>45781.0</v>
      </c>
      <c r="D3113" s="38">
        <v>84.0</v>
      </c>
      <c r="E3113" s="75"/>
      <c r="F3113" s="67">
        <v>4.975683225</v>
      </c>
      <c r="G3113" s="40">
        <v>1.961065342</v>
      </c>
      <c r="H3113" s="40"/>
      <c r="I3113" s="41">
        <v>0.416666667</v>
      </c>
      <c r="J3113" s="41">
        <v>0.178571429</v>
      </c>
      <c r="K3113" s="41">
        <v>0.404761905</v>
      </c>
      <c r="L3113" s="41"/>
      <c r="M3113" s="74">
        <v>0.962390662</v>
      </c>
    </row>
    <row r="3114">
      <c r="A3114" s="1" t="s">
        <v>281</v>
      </c>
      <c r="B3114" s="38">
        <v>622663.0</v>
      </c>
      <c r="C3114" s="72">
        <v>45919.0</v>
      </c>
      <c r="D3114" s="38">
        <v>93.0</v>
      </c>
      <c r="E3114" s="75"/>
      <c r="F3114" s="67">
        <v>4.975644405</v>
      </c>
      <c r="G3114" s="40">
        <v>2.181401322</v>
      </c>
      <c r="H3114" s="40"/>
      <c r="I3114" s="41">
        <v>0.505376344</v>
      </c>
      <c r="J3114" s="41">
        <v>0.11827957</v>
      </c>
      <c r="K3114" s="41">
        <v>0.376344086</v>
      </c>
      <c r="L3114" s="41"/>
      <c r="M3114" s="74">
        <v>-0.418925317</v>
      </c>
    </row>
    <row r="3115">
      <c r="A3115" s="1" t="s">
        <v>453</v>
      </c>
      <c r="B3115" s="38">
        <v>592836.0</v>
      </c>
      <c r="C3115" s="72">
        <v>45896.0</v>
      </c>
      <c r="D3115" s="38">
        <v>93.0</v>
      </c>
      <c r="E3115" s="75"/>
      <c r="F3115" s="67">
        <v>4.975610617</v>
      </c>
      <c r="G3115" s="40">
        <v>2.214112663</v>
      </c>
      <c r="H3115" s="40"/>
      <c r="I3115" s="41">
        <v>0.451612903</v>
      </c>
      <c r="J3115" s="41">
        <v>0.150537634</v>
      </c>
      <c r="K3115" s="41">
        <v>0.397849462</v>
      </c>
      <c r="L3115" s="41"/>
      <c r="M3115" s="74">
        <v>-3.266470129</v>
      </c>
    </row>
    <row r="3116">
      <c r="A3116" s="1" t="s">
        <v>366</v>
      </c>
      <c r="B3116" s="38">
        <v>656550.0</v>
      </c>
      <c r="C3116" s="72">
        <v>45767.0</v>
      </c>
      <c r="D3116" s="38">
        <v>104.0</v>
      </c>
      <c r="E3116" s="75"/>
      <c r="F3116" s="67">
        <v>4.975546675</v>
      </c>
      <c r="G3116" s="40">
        <v>2.430764966</v>
      </c>
      <c r="H3116" s="40"/>
      <c r="I3116" s="41">
        <v>0.461538462</v>
      </c>
      <c r="J3116" s="41">
        <v>0.201923077</v>
      </c>
      <c r="K3116" s="41">
        <v>0.336538462</v>
      </c>
      <c r="L3116" s="41"/>
      <c r="M3116" s="74">
        <v>2.726453786</v>
      </c>
    </row>
    <row r="3117">
      <c r="A3117" s="1" t="s">
        <v>452</v>
      </c>
      <c r="B3117" s="38">
        <v>607625.0</v>
      </c>
      <c r="C3117" s="72">
        <v>45788.0</v>
      </c>
      <c r="D3117" s="38">
        <v>93.0</v>
      </c>
      <c r="E3117" s="75"/>
      <c r="F3117" s="67">
        <v>4.97551658</v>
      </c>
      <c r="G3117" s="40">
        <v>2.168733706</v>
      </c>
      <c r="H3117" s="40"/>
      <c r="I3117" s="41">
        <v>0.47311828</v>
      </c>
      <c r="J3117" s="41">
        <v>0.129032258</v>
      </c>
      <c r="K3117" s="41">
        <v>0.397849462</v>
      </c>
      <c r="L3117" s="41"/>
      <c r="M3117" s="74">
        <v>-0.458899186</v>
      </c>
    </row>
    <row r="3118">
      <c r="A3118" s="1" t="s">
        <v>372</v>
      </c>
      <c r="B3118" s="38">
        <v>671106.0</v>
      </c>
      <c r="C3118" s="72">
        <v>45762.0</v>
      </c>
      <c r="D3118" s="38">
        <v>93.0</v>
      </c>
      <c r="E3118" s="75"/>
      <c r="F3118" s="67">
        <v>4.975457972</v>
      </c>
      <c r="G3118" s="40">
        <v>2.175887505</v>
      </c>
      <c r="H3118" s="40"/>
      <c r="I3118" s="41">
        <v>0.505376344</v>
      </c>
      <c r="J3118" s="41">
        <v>0.11827957</v>
      </c>
      <c r="K3118" s="41">
        <v>0.376344086</v>
      </c>
      <c r="L3118" s="41"/>
      <c r="M3118" s="74">
        <v>2.031846951</v>
      </c>
    </row>
    <row r="3119">
      <c r="A3119" s="1" t="s">
        <v>173</v>
      </c>
      <c r="B3119" s="38">
        <v>641927.0</v>
      </c>
      <c r="C3119" s="72">
        <v>45791.0</v>
      </c>
      <c r="D3119" s="38">
        <v>99.0</v>
      </c>
      <c r="E3119" s="75"/>
      <c r="F3119" s="67">
        <v>4.975454899</v>
      </c>
      <c r="G3119" s="40">
        <v>2.328310549</v>
      </c>
      <c r="H3119" s="40"/>
      <c r="I3119" s="41">
        <v>0.434343434</v>
      </c>
      <c r="J3119" s="41">
        <v>0.202020202</v>
      </c>
      <c r="K3119" s="41">
        <v>0.363636364</v>
      </c>
      <c r="L3119" s="41"/>
      <c r="M3119" s="74">
        <v>3.299303821</v>
      </c>
    </row>
    <row r="3120">
      <c r="A3120" s="1" t="s">
        <v>290</v>
      </c>
      <c r="B3120" s="38">
        <v>669461.0</v>
      </c>
      <c r="C3120" s="72">
        <v>45915.0</v>
      </c>
      <c r="D3120" s="38">
        <v>76.0</v>
      </c>
      <c r="E3120" s="75"/>
      <c r="F3120" s="67">
        <v>4.975385249</v>
      </c>
      <c r="G3120" s="40">
        <v>1.819333346</v>
      </c>
      <c r="H3120" s="40"/>
      <c r="I3120" s="41">
        <v>0.434210526</v>
      </c>
      <c r="J3120" s="41">
        <v>0.171052632</v>
      </c>
      <c r="K3120" s="41">
        <v>0.394736842</v>
      </c>
      <c r="L3120" s="41"/>
      <c r="M3120" s="74">
        <v>-0.028333076</v>
      </c>
    </row>
    <row r="3121">
      <c r="A3121" s="1" t="s">
        <v>344</v>
      </c>
      <c r="B3121" s="38">
        <v>701542.0</v>
      </c>
      <c r="C3121" s="72">
        <v>45919.0</v>
      </c>
      <c r="D3121" s="38">
        <v>83.0</v>
      </c>
      <c r="E3121" s="75"/>
      <c r="F3121" s="67">
        <v>4.975274659</v>
      </c>
      <c r="G3121" s="40">
        <v>1.980422625</v>
      </c>
      <c r="H3121" s="40"/>
      <c r="I3121" s="41">
        <v>0.397590361</v>
      </c>
      <c r="J3121" s="41">
        <v>0.21686747</v>
      </c>
      <c r="K3121" s="41">
        <v>0.385542169</v>
      </c>
      <c r="L3121" s="41"/>
      <c r="M3121" s="74">
        <v>0.12147657</v>
      </c>
    </row>
    <row r="3122">
      <c r="A3122" s="1" t="s">
        <v>155</v>
      </c>
      <c r="B3122" s="38">
        <v>592332.0</v>
      </c>
      <c r="C3122" s="72">
        <v>45774.0</v>
      </c>
      <c r="D3122" s="38">
        <v>66.0</v>
      </c>
      <c r="E3122" s="75"/>
      <c r="F3122" s="67">
        <v>4.975149444</v>
      </c>
      <c r="G3122" s="40">
        <v>1.539712712</v>
      </c>
      <c r="H3122" s="40"/>
      <c r="I3122" s="41">
        <v>0.46969697</v>
      </c>
      <c r="J3122" s="41">
        <v>0.257575758</v>
      </c>
      <c r="K3122" s="41">
        <v>0.272727273</v>
      </c>
      <c r="L3122" s="41"/>
      <c r="M3122" s="74">
        <v>0.014036691</v>
      </c>
    </row>
    <row r="3123">
      <c r="A3123" s="1" t="s">
        <v>481</v>
      </c>
      <c r="B3123" s="38">
        <v>622608.0</v>
      </c>
      <c r="C3123" s="72">
        <v>45808.0</v>
      </c>
      <c r="D3123" s="38">
        <v>82.0</v>
      </c>
      <c r="E3123" s="75"/>
      <c r="F3123" s="67">
        <v>4.975012395</v>
      </c>
      <c r="G3123" s="40">
        <v>1.988529494</v>
      </c>
      <c r="H3123" s="40"/>
      <c r="I3123" s="41">
        <v>0.475609756</v>
      </c>
      <c r="J3123" s="41">
        <v>0.158536585</v>
      </c>
      <c r="K3123" s="41">
        <v>0.365853659</v>
      </c>
      <c r="L3123" s="41"/>
      <c r="M3123" s="74">
        <v>-2.351208286</v>
      </c>
    </row>
    <row r="3124">
      <c r="A3124" s="1" t="s">
        <v>272</v>
      </c>
      <c r="B3124" s="38">
        <v>622491.0</v>
      </c>
      <c r="C3124" s="72">
        <v>45901.0</v>
      </c>
      <c r="D3124" s="38">
        <v>77.0</v>
      </c>
      <c r="E3124" s="75"/>
      <c r="F3124" s="67">
        <v>4.974860075</v>
      </c>
      <c r="G3124" s="40">
        <v>1.816306374</v>
      </c>
      <c r="H3124" s="40"/>
      <c r="I3124" s="41">
        <v>0.376623377</v>
      </c>
      <c r="J3124" s="41">
        <v>0.246753247</v>
      </c>
      <c r="K3124" s="41">
        <v>0.376623377</v>
      </c>
      <c r="L3124" s="41"/>
      <c r="M3124" s="74">
        <v>-1.999247021</v>
      </c>
    </row>
    <row r="3125">
      <c r="A3125" s="1" t="s">
        <v>416</v>
      </c>
      <c r="B3125" s="38">
        <v>608337.0</v>
      </c>
      <c r="C3125" s="72">
        <v>45830.0</v>
      </c>
      <c r="D3125" s="38">
        <v>82.0</v>
      </c>
      <c r="E3125" s="75"/>
      <c r="F3125" s="67">
        <v>4.974719478</v>
      </c>
      <c r="G3125" s="40">
        <v>1.963851954</v>
      </c>
      <c r="H3125" s="40"/>
      <c r="I3125" s="41">
        <v>0.390243902</v>
      </c>
      <c r="J3125" s="41">
        <v>0.243902439</v>
      </c>
      <c r="K3125" s="41">
        <v>0.365853659</v>
      </c>
      <c r="L3125" s="41"/>
      <c r="M3125" s="74">
        <v>0.513247388</v>
      </c>
    </row>
    <row r="3126">
      <c r="A3126" s="1" t="s">
        <v>331</v>
      </c>
      <c r="B3126" s="38">
        <v>672456.0</v>
      </c>
      <c r="C3126" s="72">
        <v>45803.0</v>
      </c>
      <c r="D3126" s="38">
        <v>76.0</v>
      </c>
      <c r="E3126" s="75"/>
      <c r="F3126" s="67">
        <v>4.974438476</v>
      </c>
      <c r="G3126" s="40">
        <v>1.807876005</v>
      </c>
      <c r="H3126" s="40"/>
      <c r="I3126" s="41">
        <v>0.486842105</v>
      </c>
      <c r="J3126" s="41">
        <v>0.157894737</v>
      </c>
      <c r="K3126" s="41">
        <v>0.355263158</v>
      </c>
      <c r="L3126" s="41"/>
      <c r="M3126" s="74">
        <v>4.005910495</v>
      </c>
    </row>
    <row r="3127">
      <c r="A3127" s="1" t="s">
        <v>344</v>
      </c>
      <c r="B3127" s="38">
        <v>701542.0</v>
      </c>
      <c r="C3127" s="72">
        <v>45775.0</v>
      </c>
      <c r="D3127" s="38">
        <v>70.0</v>
      </c>
      <c r="E3127" s="75"/>
      <c r="F3127" s="67">
        <v>4.974387016</v>
      </c>
      <c r="G3127" s="40">
        <v>1.65819086</v>
      </c>
      <c r="H3127" s="40"/>
      <c r="I3127" s="41">
        <v>0.4</v>
      </c>
      <c r="J3127" s="41">
        <v>0.328571429</v>
      </c>
      <c r="K3127" s="41">
        <v>0.271428571</v>
      </c>
      <c r="L3127" s="41"/>
      <c r="M3127" s="74">
        <v>-1.596049585</v>
      </c>
    </row>
    <row r="3128">
      <c r="A3128" s="1" t="s">
        <v>479</v>
      </c>
      <c r="B3128" s="38">
        <v>664299.0</v>
      </c>
      <c r="C3128" s="72">
        <v>45923.0</v>
      </c>
      <c r="D3128" s="38">
        <v>75.0</v>
      </c>
      <c r="E3128" s="75"/>
      <c r="F3128" s="67">
        <v>4.974146385</v>
      </c>
      <c r="G3128" s="40">
        <v>1.78570495</v>
      </c>
      <c r="H3128" s="40"/>
      <c r="I3128" s="41">
        <v>0.386666667</v>
      </c>
      <c r="J3128" s="41">
        <v>0.24</v>
      </c>
      <c r="K3128" s="41">
        <v>0.373333333</v>
      </c>
      <c r="L3128" s="41"/>
      <c r="M3128" s="74">
        <v>-2.151564684</v>
      </c>
    </row>
    <row r="3129">
      <c r="A3129" s="1" t="s">
        <v>521</v>
      </c>
      <c r="B3129" s="38">
        <v>686799.0</v>
      </c>
      <c r="C3129" s="72">
        <v>45746.0</v>
      </c>
      <c r="D3129" s="38">
        <v>62.0</v>
      </c>
      <c r="E3129" s="75"/>
      <c r="F3129" s="67">
        <v>4.973988295</v>
      </c>
      <c r="G3129" s="40">
        <v>1.487523651</v>
      </c>
      <c r="H3129" s="40"/>
      <c r="I3129" s="41">
        <v>0.435483871</v>
      </c>
      <c r="J3129" s="41">
        <v>0.193548387</v>
      </c>
      <c r="K3129" s="41">
        <v>0.370967742</v>
      </c>
      <c r="L3129" s="41"/>
      <c r="M3129" s="74">
        <v>0.724370482</v>
      </c>
    </row>
    <row r="3130">
      <c r="A3130" s="1" t="s">
        <v>113</v>
      </c>
      <c r="B3130" s="38">
        <v>664285.0</v>
      </c>
      <c r="C3130" s="72">
        <v>45914.0</v>
      </c>
      <c r="D3130" s="38">
        <v>74.0</v>
      </c>
      <c r="E3130" s="75"/>
      <c r="F3130" s="67">
        <v>4.973987334</v>
      </c>
      <c r="G3130" s="40">
        <v>1.760536055</v>
      </c>
      <c r="H3130" s="40"/>
      <c r="I3130" s="41">
        <v>0.486486486</v>
      </c>
      <c r="J3130" s="41">
        <v>0.189189189</v>
      </c>
      <c r="K3130" s="41">
        <v>0.324324324</v>
      </c>
      <c r="L3130" s="41"/>
      <c r="M3130" s="74">
        <v>-1.797955769</v>
      </c>
    </row>
    <row r="3131">
      <c r="A3131" s="1" t="s">
        <v>145</v>
      </c>
      <c r="B3131" s="38">
        <v>700241.0</v>
      </c>
      <c r="C3131" s="72">
        <v>45916.0</v>
      </c>
      <c r="D3131" s="38">
        <v>91.0</v>
      </c>
      <c r="E3131" s="75"/>
      <c r="F3131" s="67">
        <v>4.97397347</v>
      </c>
      <c r="G3131" s="40">
        <v>2.172227353</v>
      </c>
      <c r="H3131" s="40"/>
      <c r="I3131" s="41">
        <v>0.461538462</v>
      </c>
      <c r="J3131" s="41">
        <v>0.175824176</v>
      </c>
      <c r="K3131" s="41">
        <v>0.362637363</v>
      </c>
      <c r="L3131" s="41"/>
      <c r="M3131" s="74">
        <v>2.905167076</v>
      </c>
    </row>
    <row r="3132">
      <c r="A3132" s="1" t="s">
        <v>353</v>
      </c>
      <c r="B3132" s="38">
        <v>663903.0</v>
      </c>
      <c r="C3132" s="72">
        <v>45845.0</v>
      </c>
      <c r="D3132" s="38">
        <v>95.0</v>
      </c>
      <c r="E3132" s="75"/>
      <c r="F3132" s="67">
        <v>4.973945179</v>
      </c>
      <c r="G3132" s="40">
        <v>2.279415273</v>
      </c>
      <c r="H3132" s="40"/>
      <c r="I3132" s="41">
        <v>0.421052632</v>
      </c>
      <c r="J3132" s="41">
        <v>0.189473684</v>
      </c>
      <c r="K3132" s="41">
        <v>0.389473684</v>
      </c>
      <c r="L3132" s="41"/>
      <c r="M3132" s="74">
        <v>-0.673254589</v>
      </c>
    </row>
    <row r="3133">
      <c r="A3133" s="1" t="s">
        <v>358</v>
      </c>
      <c r="B3133" s="38">
        <v>434378.0</v>
      </c>
      <c r="C3133" s="72">
        <v>45778.0</v>
      </c>
      <c r="D3133" s="38">
        <v>82.0</v>
      </c>
      <c r="E3133" s="75"/>
      <c r="F3133" s="67">
        <v>4.973852092</v>
      </c>
      <c r="G3133" s="40">
        <v>1.989341583</v>
      </c>
      <c r="H3133" s="40"/>
      <c r="I3133" s="41">
        <v>0.426829268</v>
      </c>
      <c r="J3133" s="41">
        <v>0.207317073</v>
      </c>
      <c r="K3133" s="41">
        <v>0.365853659</v>
      </c>
      <c r="L3133" s="41"/>
      <c r="M3133" s="74">
        <v>-0.177180867</v>
      </c>
    </row>
    <row r="3134">
      <c r="A3134" s="1" t="s">
        <v>449</v>
      </c>
      <c r="B3134" s="38">
        <v>687223.0</v>
      </c>
      <c r="C3134" s="72">
        <v>45824.0</v>
      </c>
      <c r="D3134" s="38">
        <v>87.0</v>
      </c>
      <c r="E3134" s="75"/>
      <c r="F3134" s="67">
        <v>4.973534975</v>
      </c>
      <c r="G3134" s="40">
        <v>2.039932847</v>
      </c>
      <c r="H3134" s="40"/>
      <c r="I3134" s="41">
        <v>0.505747126</v>
      </c>
      <c r="J3134" s="41">
        <v>0.195402299</v>
      </c>
      <c r="K3134" s="41">
        <v>0.298850575</v>
      </c>
      <c r="L3134" s="41"/>
      <c r="M3134" s="74">
        <v>0.195118893</v>
      </c>
    </row>
    <row r="3135">
      <c r="A3135" s="1" t="s">
        <v>452</v>
      </c>
      <c r="B3135" s="38">
        <v>607625.0</v>
      </c>
      <c r="C3135" s="72">
        <v>45761.0</v>
      </c>
      <c r="D3135" s="38">
        <v>97.0</v>
      </c>
      <c r="E3135" s="75"/>
      <c r="F3135" s="67">
        <v>4.973332289</v>
      </c>
      <c r="G3135" s="40">
        <v>2.320510062</v>
      </c>
      <c r="H3135" s="40"/>
      <c r="I3135" s="41">
        <v>0.453608247</v>
      </c>
      <c r="J3135" s="41">
        <v>0.134020619</v>
      </c>
      <c r="K3135" s="41">
        <v>0.412371134</v>
      </c>
      <c r="L3135" s="41"/>
      <c r="M3135" s="74">
        <v>-1.265064223</v>
      </c>
    </row>
    <row r="3136">
      <c r="A3136" s="1" t="s">
        <v>600</v>
      </c>
      <c r="B3136" s="38">
        <v>670174.0</v>
      </c>
      <c r="C3136" s="72">
        <v>45770.0</v>
      </c>
      <c r="D3136" s="38">
        <v>76.0</v>
      </c>
      <c r="E3136" s="75"/>
      <c r="F3136" s="67">
        <v>4.973292881</v>
      </c>
      <c r="G3136" s="40">
        <v>1.761076755</v>
      </c>
      <c r="H3136" s="40"/>
      <c r="I3136" s="41">
        <v>0.447368421</v>
      </c>
      <c r="J3136" s="41">
        <v>0.184210526</v>
      </c>
      <c r="K3136" s="41">
        <v>0.368421053</v>
      </c>
      <c r="L3136" s="41"/>
      <c r="M3136" s="74">
        <v>0.967886618</v>
      </c>
    </row>
    <row r="3137">
      <c r="A3137" s="1" t="s">
        <v>376</v>
      </c>
      <c r="B3137" s="38">
        <v>668909.0</v>
      </c>
      <c r="C3137" s="72">
        <v>45864.0</v>
      </c>
      <c r="D3137" s="38">
        <v>74.0</v>
      </c>
      <c r="E3137" s="75"/>
      <c r="F3137" s="67">
        <v>4.973262215</v>
      </c>
      <c r="G3137" s="40">
        <v>1.766051161</v>
      </c>
      <c r="H3137" s="40"/>
      <c r="I3137" s="41">
        <v>0.459459459</v>
      </c>
      <c r="J3137" s="41">
        <v>0.202702703</v>
      </c>
      <c r="K3137" s="41">
        <v>0.337837838</v>
      </c>
      <c r="L3137" s="41"/>
      <c r="M3137" s="74">
        <v>-0.346891069</v>
      </c>
    </row>
    <row r="3138">
      <c r="A3138" s="1" t="s">
        <v>180</v>
      </c>
      <c r="B3138" s="38">
        <v>642547.0</v>
      </c>
      <c r="C3138" s="72">
        <v>45795.0</v>
      </c>
      <c r="D3138" s="38">
        <v>85.0</v>
      </c>
      <c r="E3138" s="75"/>
      <c r="F3138" s="67">
        <v>4.973096002</v>
      </c>
      <c r="G3138" s="40">
        <v>2.002398493</v>
      </c>
      <c r="H3138" s="40"/>
      <c r="I3138" s="41">
        <v>0.505882353</v>
      </c>
      <c r="J3138" s="41">
        <v>0.117647059</v>
      </c>
      <c r="K3138" s="41">
        <v>0.376470588</v>
      </c>
      <c r="L3138" s="41"/>
      <c r="M3138" s="74">
        <v>-0.193260379</v>
      </c>
    </row>
    <row r="3139">
      <c r="A3139" s="1" t="s">
        <v>275</v>
      </c>
      <c r="B3139" s="38">
        <v>693821.0</v>
      </c>
      <c r="C3139" s="72">
        <v>45835.0</v>
      </c>
      <c r="D3139" s="38">
        <v>64.0</v>
      </c>
      <c r="E3139" s="75"/>
      <c r="F3139" s="67">
        <v>4.972826607</v>
      </c>
      <c r="G3139" s="40">
        <v>1.540360705</v>
      </c>
      <c r="H3139" s="40"/>
      <c r="I3139" s="41">
        <v>0.484375</v>
      </c>
      <c r="J3139" s="41">
        <v>0.140625</v>
      </c>
      <c r="K3139" s="41">
        <v>0.375</v>
      </c>
      <c r="L3139" s="41"/>
      <c r="M3139" s="74">
        <v>-4.287844064</v>
      </c>
    </row>
    <row r="3140">
      <c r="A3140" s="1" t="s">
        <v>245</v>
      </c>
      <c r="B3140" s="38">
        <v>571578.0</v>
      </c>
      <c r="C3140" s="72">
        <v>45928.0</v>
      </c>
      <c r="D3140" s="38">
        <v>89.0</v>
      </c>
      <c r="E3140" s="75"/>
      <c r="F3140" s="67">
        <v>4.972774334</v>
      </c>
      <c r="G3140" s="40">
        <v>2.112455519</v>
      </c>
      <c r="H3140" s="40"/>
      <c r="I3140" s="41">
        <v>0.404494382</v>
      </c>
      <c r="J3140" s="41">
        <v>0.191011236</v>
      </c>
      <c r="K3140" s="41">
        <v>0.404494382</v>
      </c>
      <c r="L3140" s="41"/>
      <c r="M3140" s="74">
        <v>0.305180203</v>
      </c>
    </row>
    <row r="3141">
      <c r="A3141" s="1" t="s">
        <v>330</v>
      </c>
      <c r="B3141" s="38">
        <v>680730.0</v>
      </c>
      <c r="C3141" s="72">
        <v>45804.0</v>
      </c>
      <c r="D3141" s="38">
        <v>83.0</v>
      </c>
      <c r="E3141" s="75"/>
      <c r="F3141" s="67">
        <v>4.972382853</v>
      </c>
      <c r="G3141" s="40">
        <v>1.976558086</v>
      </c>
      <c r="H3141" s="40"/>
      <c r="I3141" s="41">
        <v>0.397590361</v>
      </c>
      <c r="J3141" s="41">
        <v>0.180722892</v>
      </c>
      <c r="K3141" s="41">
        <v>0.421686747</v>
      </c>
      <c r="L3141" s="41"/>
      <c r="M3141" s="74">
        <v>-0.466087442</v>
      </c>
    </row>
    <row r="3142">
      <c r="A3142" s="1" t="s">
        <v>331</v>
      </c>
      <c r="B3142" s="38">
        <v>672456.0</v>
      </c>
      <c r="C3142" s="72">
        <v>45773.0</v>
      </c>
      <c r="D3142" s="38">
        <v>73.0</v>
      </c>
      <c r="E3142" s="75"/>
      <c r="F3142" s="67">
        <v>4.972308642</v>
      </c>
      <c r="G3142" s="40">
        <v>1.770050761</v>
      </c>
      <c r="H3142" s="40"/>
      <c r="I3142" s="41">
        <v>0.424657534</v>
      </c>
      <c r="J3142" s="41">
        <v>0.191780822</v>
      </c>
      <c r="K3142" s="41">
        <v>0.383561644</v>
      </c>
      <c r="L3142" s="41"/>
      <c r="M3142" s="74">
        <v>1.652400334</v>
      </c>
    </row>
    <row r="3143">
      <c r="A3143" s="1" t="s">
        <v>490</v>
      </c>
      <c r="B3143" s="38">
        <v>680573.0</v>
      </c>
      <c r="C3143" s="72">
        <v>45829.0</v>
      </c>
      <c r="D3143" s="38">
        <v>91.0</v>
      </c>
      <c r="E3143" s="75"/>
      <c r="F3143" s="67">
        <v>4.972232161</v>
      </c>
      <c r="G3143" s="40">
        <v>2.182969979</v>
      </c>
      <c r="H3143" s="40"/>
      <c r="I3143" s="41">
        <v>0.450549451</v>
      </c>
      <c r="J3143" s="41">
        <v>0.164835165</v>
      </c>
      <c r="K3143" s="41">
        <v>0.384615385</v>
      </c>
      <c r="L3143" s="41"/>
      <c r="M3143" s="74">
        <v>1.170408321</v>
      </c>
    </row>
    <row r="3144">
      <c r="A3144" s="1" t="s">
        <v>242</v>
      </c>
      <c r="B3144" s="38">
        <v>669358.0</v>
      </c>
      <c r="C3144" s="72">
        <v>45795.0</v>
      </c>
      <c r="D3144" s="38">
        <v>94.0</v>
      </c>
      <c r="E3144" s="75"/>
      <c r="F3144" s="67">
        <v>4.972222504</v>
      </c>
      <c r="G3144" s="40">
        <v>2.238486628</v>
      </c>
      <c r="H3144" s="40"/>
      <c r="I3144" s="41">
        <v>0.478723404</v>
      </c>
      <c r="J3144" s="41">
        <v>0.138297872</v>
      </c>
      <c r="K3144" s="41">
        <v>0.382978723</v>
      </c>
      <c r="L3144" s="41"/>
      <c r="M3144" s="74">
        <v>-4.53647035</v>
      </c>
    </row>
    <row r="3145">
      <c r="A3145" s="1" t="s">
        <v>251</v>
      </c>
      <c r="B3145" s="38">
        <v>676664.0</v>
      </c>
      <c r="C3145" s="72">
        <v>45856.0</v>
      </c>
      <c r="D3145" s="38">
        <v>71.0</v>
      </c>
      <c r="E3145" s="75"/>
      <c r="F3145" s="67">
        <v>4.972088447</v>
      </c>
      <c r="G3145" s="40">
        <v>1.703852697</v>
      </c>
      <c r="H3145" s="40"/>
      <c r="I3145" s="41">
        <v>0.422535211</v>
      </c>
      <c r="J3145" s="41">
        <v>0.225352113</v>
      </c>
      <c r="K3145" s="41">
        <v>0.352112676</v>
      </c>
      <c r="L3145" s="41"/>
      <c r="M3145" s="74">
        <v>-1.974036211</v>
      </c>
    </row>
    <row r="3146">
      <c r="A3146" s="1" t="s">
        <v>247</v>
      </c>
      <c r="B3146" s="38">
        <v>605540.0</v>
      </c>
      <c r="C3146" s="72">
        <v>45877.0</v>
      </c>
      <c r="D3146" s="38">
        <v>75.0</v>
      </c>
      <c r="E3146" s="75"/>
      <c r="F3146" s="67">
        <v>4.972082358</v>
      </c>
      <c r="G3146" s="40">
        <v>1.805330956</v>
      </c>
      <c r="H3146" s="40"/>
      <c r="I3146" s="41">
        <v>0.413333333</v>
      </c>
      <c r="J3146" s="41">
        <v>0.24</v>
      </c>
      <c r="K3146" s="41">
        <v>0.346666667</v>
      </c>
      <c r="L3146" s="41"/>
      <c r="M3146" s="74">
        <v>2.325173642</v>
      </c>
    </row>
    <row r="3147">
      <c r="A3147" s="1" t="s">
        <v>601</v>
      </c>
      <c r="B3147" s="38">
        <v>642216.0</v>
      </c>
      <c r="C3147" s="72">
        <v>45831.0</v>
      </c>
      <c r="D3147" s="38">
        <v>60.0</v>
      </c>
      <c r="E3147" s="75"/>
      <c r="F3147" s="67">
        <v>4.971658965</v>
      </c>
      <c r="G3147" s="40">
        <v>1.444001937</v>
      </c>
      <c r="H3147" s="40"/>
      <c r="I3147" s="41">
        <v>0.483333333</v>
      </c>
      <c r="J3147" s="41">
        <v>0.183333333</v>
      </c>
      <c r="K3147" s="41">
        <v>0.333333333</v>
      </c>
      <c r="L3147" s="41"/>
      <c r="M3147" s="74">
        <v>-0.629919118</v>
      </c>
    </row>
    <row r="3148">
      <c r="A3148" s="1" t="s">
        <v>413</v>
      </c>
      <c r="B3148" s="38">
        <v>671737.0</v>
      </c>
      <c r="C3148" s="72">
        <v>45893.0</v>
      </c>
      <c r="D3148" s="38">
        <v>82.0</v>
      </c>
      <c r="E3148" s="75"/>
      <c r="F3148" s="67">
        <v>4.97162329</v>
      </c>
      <c r="G3148" s="40">
        <v>1.971859166</v>
      </c>
      <c r="H3148" s="40"/>
      <c r="I3148" s="41">
        <v>0.43902439</v>
      </c>
      <c r="J3148" s="41">
        <v>0.146341463</v>
      </c>
      <c r="K3148" s="41">
        <v>0.414634146</v>
      </c>
      <c r="L3148" s="41"/>
      <c r="M3148" s="74">
        <v>-3.525934567</v>
      </c>
    </row>
    <row r="3149">
      <c r="A3149" s="1" t="s">
        <v>147</v>
      </c>
      <c r="B3149" s="38">
        <v>608379.0</v>
      </c>
      <c r="C3149" s="72">
        <v>45762.0</v>
      </c>
      <c r="D3149" s="38">
        <v>74.0</v>
      </c>
      <c r="E3149" s="75"/>
      <c r="F3149" s="67">
        <v>4.971599254</v>
      </c>
      <c r="G3149" s="40">
        <v>1.811953453</v>
      </c>
      <c r="H3149" s="40"/>
      <c r="I3149" s="41">
        <v>0.432432432</v>
      </c>
      <c r="J3149" s="41">
        <v>0.175675676</v>
      </c>
      <c r="K3149" s="41">
        <v>0.391891892</v>
      </c>
      <c r="L3149" s="41"/>
      <c r="M3149" s="74">
        <v>0.782997843</v>
      </c>
    </row>
    <row r="3150">
      <c r="A3150" s="1" t="s">
        <v>412</v>
      </c>
      <c r="B3150" s="38">
        <v>641482.0</v>
      </c>
      <c r="C3150" s="72">
        <v>45750.0</v>
      </c>
      <c r="D3150" s="38">
        <v>85.0</v>
      </c>
      <c r="E3150" s="75"/>
      <c r="F3150" s="67">
        <v>4.971339958</v>
      </c>
      <c r="G3150" s="40">
        <v>2.012609621</v>
      </c>
      <c r="H3150" s="40"/>
      <c r="I3150" s="41">
        <v>0.458823529</v>
      </c>
      <c r="J3150" s="41">
        <v>0.141176471</v>
      </c>
      <c r="K3150" s="41">
        <v>0.4</v>
      </c>
      <c r="L3150" s="41"/>
      <c r="M3150" s="74">
        <v>3.374580657</v>
      </c>
    </row>
    <row r="3151">
      <c r="A3151" s="1" t="s">
        <v>399</v>
      </c>
      <c r="B3151" s="38">
        <v>543294.0</v>
      </c>
      <c r="C3151" s="72">
        <v>45791.0</v>
      </c>
      <c r="D3151" s="38">
        <v>77.0</v>
      </c>
      <c r="E3151" s="75"/>
      <c r="F3151" s="67">
        <v>4.971330965</v>
      </c>
      <c r="G3151" s="40">
        <v>1.865050536</v>
      </c>
      <c r="H3151" s="40"/>
      <c r="I3151" s="41">
        <v>0.467532468</v>
      </c>
      <c r="J3151" s="41">
        <v>0.155844156</v>
      </c>
      <c r="K3151" s="41">
        <v>0.376623377</v>
      </c>
      <c r="L3151" s="41"/>
      <c r="M3151" s="74">
        <v>0.546436343</v>
      </c>
    </row>
    <row r="3152">
      <c r="A3152" s="1" t="s">
        <v>405</v>
      </c>
      <c r="B3152" s="38">
        <v>621111.0</v>
      </c>
      <c r="C3152" s="72">
        <v>45871.0</v>
      </c>
      <c r="D3152" s="38">
        <v>80.0</v>
      </c>
      <c r="E3152" s="75"/>
      <c r="F3152" s="67">
        <v>4.971161387</v>
      </c>
      <c r="G3152" s="40">
        <v>1.934836959</v>
      </c>
      <c r="H3152" s="40"/>
      <c r="I3152" s="41">
        <v>0.4375</v>
      </c>
      <c r="J3152" s="41">
        <v>0.2125</v>
      </c>
      <c r="K3152" s="41">
        <v>0.35</v>
      </c>
      <c r="L3152" s="41"/>
      <c r="M3152" s="74">
        <v>-4.229525415</v>
      </c>
    </row>
    <row r="3153">
      <c r="A3153" s="1" t="s">
        <v>368</v>
      </c>
      <c r="B3153" s="38">
        <v>593958.0</v>
      </c>
      <c r="C3153" s="72">
        <v>45831.0</v>
      </c>
      <c r="D3153" s="38">
        <v>90.0</v>
      </c>
      <c r="E3153" s="75"/>
      <c r="F3153" s="67">
        <v>4.971012812</v>
      </c>
      <c r="G3153" s="40">
        <v>2.156983819</v>
      </c>
      <c r="H3153" s="40"/>
      <c r="I3153" s="41">
        <v>0.411111111</v>
      </c>
      <c r="J3153" s="41">
        <v>0.266666667</v>
      </c>
      <c r="K3153" s="41">
        <v>0.322222222</v>
      </c>
      <c r="L3153" s="41"/>
      <c r="M3153" s="74">
        <v>1.77049592</v>
      </c>
    </row>
    <row r="3154">
      <c r="A3154" s="1" t="s">
        <v>490</v>
      </c>
      <c r="B3154" s="38">
        <v>680573.0</v>
      </c>
      <c r="C3154" s="72">
        <v>45760.0</v>
      </c>
      <c r="D3154" s="38">
        <v>75.0</v>
      </c>
      <c r="E3154" s="75"/>
      <c r="F3154" s="67">
        <v>4.970629288</v>
      </c>
      <c r="G3154" s="40">
        <v>1.816860917</v>
      </c>
      <c r="H3154" s="40"/>
      <c r="I3154" s="41">
        <v>0.44</v>
      </c>
      <c r="J3154" s="41">
        <v>0.253333333</v>
      </c>
      <c r="K3154" s="41">
        <v>0.306666667</v>
      </c>
      <c r="L3154" s="41"/>
      <c r="M3154" s="74">
        <v>-0.283026137</v>
      </c>
    </row>
    <row r="3155">
      <c r="A3155" s="1" t="s">
        <v>228</v>
      </c>
      <c r="B3155" s="38">
        <v>687473.0</v>
      </c>
      <c r="C3155" s="72">
        <v>45789.0</v>
      </c>
      <c r="D3155" s="38">
        <v>68.0</v>
      </c>
      <c r="E3155" s="75"/>
      <c r="F3155" s="67">
        <v>4.970501741</v>
      </c>
      <c r="G3155" s="40">
        <v>1.61637905</v>
      </c>
      <c r="H3155" s="40"/>
      <c r="I3155" s="41">
        <v>0.529411765</v>
      </c>
      <c r="J3155" s="41">
        <v>0.117647059</v>
      </c>
      <c r="K3155" s="41">
        <v>0.352941176</v>
      </c>
      <c r="L3155" s="41"/>
      <c r="M3155" s="74">
        <v>-4.338472849</v>
      </c>
    </row>
    <row r="3156">
      <c r="A3156" s="1" t="s">
        <v>330</v>
      </c>
      <c r="B3156" s="38">
        <v>680730.0</v>
      </c>
      <c r="C3156" s="72">
        <v>45837.0</v>
      </c>
      <c r="D3156" s="38">
        <v>76.0</v>
      </c>
      <c r="E3156" s="75"/>
      <c r="F3156" s="67">
        <v>4.970364105</v>
      </c>
      <c r="G3156" s="40">
        <v>1.819913165</v>
      </c>
      <c r="H3156" s="40"/>
      <c r="I3156" s="41">
        <v>0.447368421</v>
      </c>
      <c r="J3156" s="41">
        <v>0.223684211</v>
      </c>
      <c r="K3156" s="41">
        <v>0.328947368</v>
      </c>
      <c r="L3156" s="41"/>
      <c r="M3156" s="74">
        <v>-1.620027913</v>
      </c>
    </row>
    <row r="3157">
      <c r="A3157" s="1" t="s">
        <v>504</v>
      </c>
      <c r="B3157" s="38">
        <v>663372.0</v>
      </c>
      <c r="C3157" s="72">
        <v>45769.0</v>
      </c>
      <c r="D3157" s="38">
        <v>86.0</v>
      </c>
      <c r="E3157" s="75"/>
      <c r="F3157" s="67">
        <v>4.970314266</v>
      </c>
      <c r="G3157" s="40">
        <v>2.075504152</v>
      </c>
      <c r="H3157" s="40"/>
      <c r="I3157" s="41">
        <v>0.453488372</v>
      </c>
      <c r="J3157" s="41">
        <v>0.186046512</v>
      </c>
      <c r="K3157" s="41">
        <v>0.360465116</v>
      </c>
      <c r="L3157" s="41"/>
      <c r="M3157" s="74">
        <v>2.017018092</v>
      </c>
    </row>
    <row r="3158">
      <c r="A3158" s="1" t="s">
        <v>477</v>
      </c>
      <c r="B3158" s="38">
        <v>677958.0</v>
      </c>
      <c r="C3158" s="72">
        <v>45829.0</v>
      </c>
      <c r="D3158" s="38">
        <v>88.0</v>
      </c>
      <c r="E3158" s="75"/>
      <c r="F3158" s="67">
        <v>4.970029624</v>
      </c>
      <c r="G3158" s="40">
        <v>2.065595397</v>
      </c>
      <c r="H3158" s="40"/>
      <c r="I3158" s="41">
        <v>0.431818182</v>
      </c>
      <c r="J3158" s="41">
        <v>0.204545455</v>
      </c>
      <c r="K3158" s="41">
        <v>0.363636364</v>
      </c>
      <c r="L3158" s="41"/>
      <c r="M3158" s="74">
        <v>0.348069137</v>
      </c>
    </row>
    <row r="3159">
      <c r="A3159" s="1" t="s">
        <v>336</v>
      </c>
      <c r="B3159" s="38">
        <v>605488.0</v>
      </c>
      <c r="C3159" s="72">
        <v>45790.0</v>
      </c>
      <c r="D3159" s="38">
        <v>101.0</v>
      </c>
      <c r="E3159" s="75"/>
      <c r="F3159" s="67">
        <v>4.969957784</v>
      </c>
      <c r="G3159" s="40">
        <v>2.4056059</v>
      </c>
      <c r="H3159" s="40"/>
      <c r="I3159" s="41">
        <v>0.495049505</v>
      </c>
      <c r="J3159" s="41">
        <v>0.128712871</v>
      </c>
      <c r="K3159" s="41">
        <v>0.376237624</v>
      </c>
      <c r="L3159" s="41"/>
      <c r="M3159" s="74">
        <v>-0.683780092</v>
      </c>
    </row>
    <row r="3160">
      <c r="A3160" s="1" t="s">
        <v>332</v>
      </c>
      <c r="B3160" s="38">
        <v>641778.0</v>
      </c>
      <c r="C3160" s="72">
        <v>45862.0</v>
      </c>
      <c r="D3160" s="38">
        <v>92.0</v>
      </c>
      <c r="E3160" s="75"/>
      <c r="F3160" s="67">
        <v>4.969948813</v>
      </c>
      <c r="G3160" s="40">
        <v>2.218032919</v>
      </c>
      <c r="H3160" s="40"/>
      <c r="I3160" s="41">
        <v>0.380434783</v>
      </c>
      <c r="J3160" s="41">
        <v>0.27173913</v>
      </c>
      <c r="K3160" s="41">
        <v>0.347826087</v>
      </c>
      <c r="L3160" s="41"/>
      <c r="M3160" s="74">
        <v>0.230030847</v>
      </c>
    </row>
    <row r="3161">
      <c r="A3161" s="1" t="s">
        <v>173</v>
      </c>
      <c r="B3161" s="38">
        <v>641927.0</v>
      </c>
      <c r="C3161" s="72">
        <v>45907.0</v>
      </c>
      <c r="D3161" s="38">
        <v>83.0</v>
      </c>
      <c r="E3161" s="75"/>
      <c r="F3161" s="67">
        <v>4.969711815</v>
      </c>
      <c r="G3161" s="40">
        <v>1.969186053</v>
      </c>
      <c r="H3161" s="40"/>
      <c r="I3161" s="41">
        <v>0.43373494</v>
      </c>
      <c r="J3161" s="41">
        <v>0.144578313</v>
      </c>
      <c r="K3161" s="41">
        <v>0.421686747</v>
      </c>
      <c r="L3161" s="41"/>
      <c r="M3161" s="74">
        <v>1.029751906</v>
      </c>
    </row>
    <row r="3162">
      <c r="A3162" s="1" t="s">
        <v>421</v>
      </c>
      <c r="B3162" s="38">
        <v>607192.0</v>
      </c>
      <c r="C3162" s="72">
        <v>45879.0</v>
      </c>
      <c r="D3162" s="38">
        <v>85.0</v>
      </c>
      <c r="E3162" s="75"/>
      <c r="F3162" s="67">
        <v>4.969486637</v>
      </c>
      <c r="G3162" s="40">
        <v>2.025625501</v>
      </c>
      <c r="H3162" s="40"/>
      <c r="I3162" s="41">
        <v>0.529411765</v>
      </c>
      <c r="J3162" s="41">
        <v>0.141176471</v>
      </c>
      <c r="K3162" s="41">
        <v>0.329411765</v>
      </c>
      <c r="L3162" s="41"/>
      <c r="M3162" s="74">
        <v>0.103072006</v>
      </c>
    </row>
    <row r="3163">
      <c r="A3163" s="1" t="s">
        <v>432</v>
      </c>
      <c r="B3163" s="38">
        <v>669467.0</v>
      </c>
      <c r="C3163" s="72">
        <v>45758.0</v>
      </c>
      <c r="D3163" s="38">
        <v>93.0</v>
      </c>
      <c r="E3163" s="75"/>
      <c r="F3163" s="67">
        <v>4.96928362</v>
      </c>
      <c r="G3163" s="40">
        <v>2.279935581</v>
      </c>
      <c r="H3163" s="40"/>
      <c r="I3163" s="41">
        <v>0.387096774</v>
      </c>
      <c r="J3163" s="41">
        <v>0.290322581</v>
      </c>
      <c r="K3163" s="41">
        <v>0.322580645</v>
      </c>
      <c r="L3163" s="41"/>
      <c r="M3163" s="74">
        <v>4.848010756</v>
      </c>
    </row>
    <row r="3164">
      <c r="A3164" s="1" t="s">
        <v>306</v>
      </c>
      <c r="B3164" s="38">
        <v>677944.0</v>
      </c>
      <c r="C3164" s="72">
        <v>45842.0</v>
      </c>
      <c r="D3164" s="38">
        <v>94.0</v>
      </c>
      <c r="E3164" s="75"/>
      <c r="F3164" s="67">
        <v>4.969224645</v>
      </c>
      <c r="G3164" s="40">
        <v>2.255605108</v>
      </c>
      <c r="H3164" s="40"/>
      <c r="I3164" s="41">
        <v>0.446808511</v>
      </c>
      <c r="J3164" s="41">
        <v>0.180851064</v>
      </c>
      <c r="K3164" s="41">
        <v>0.372340426</v>
      </c>
      <c r="L3164" s="41"/>
      <c r="M3164" s="74">
        <v>1.92407138</v>
      </c>
    </row>
    <row r="3165">
      <c r="A3165" s="1" t="s">
        <v>99</v>
      </c>
      <c r="B3165" s="38">
        <v>592791.0</v>
      </c>
      <c r="C3165" s="72">
        <v>45827.0</v>
      </c>
      <c r="D3165" s="38">
        <v>67.0</v>
      </c>
      <c r="E3165" s="75"/>
      <c r="F3165" s="67">
        <v>4.969098376</v>
      </c>
      <c r="G3165" s="40">
        <v>1.625235783</v>
      </c>
      <c r="H3165" s="40"/>
      <c r="I3165" s="41">
        <v>0.388059701</v>
      </c>
      <c r="J3165" s="41">
        <v>0.328358209</v>
      </c>
      <c r="K3165" s="41">
        <v>0.28358209</v>
      </c>
      <c r="L3165" s="41"/>
      <c r="M3165" s="74">
        <v>-3.666302063</v>
      </c>
    </row>
    <row r="3166">
      <c r="A3166" s="1" t="s">
        <v>256</v>
      </c>
      <c r="B3166" s="38">
        <v>571760.0</v>
      </c>
      <c r="C3166" s="72">
        <v>45781.0</v>
      </c>
      <c r="D3166" s="38">
        <v>98.0</v>
      </c>
      <c r="E3166" s="75"/>
      <c r="F3166" s="67">
        <v>4.968992749</v>
      </c>
      <c r="G3166" s="40">
        <v>2.30933485</v>
      </c>
      <c r="H3166" s="40"/>
      <c r="I3166" s="41">
        <v>0.459183673</v>
      </c>
      <c r="J3166" s="41">
        <v>0.193877551</v>
      </c>
      <c r="K3166" s="41">
        <v>0.346938776</v>
      </c>
      <c r="L3166" s="41"/>
      <c r="M3166" s="74">
        <v>-2.545105244</v>
      </c>
    </row>
    <row r="3167">
      <c r="A3167" s="1" t="s">
        <v>480</v>
      </c>
      <c r="B3167" s="38">
        <v>647336.0</v>
      </c>
      <c r="C3167" s="72">
        <v>45802.0</v>
      </c>
      <c r="D3167" s="38">
        <v>90.0</v>
      </c>
      <c r="E3167" s="75"/>
      <c r="F3167" s="67">
        <v>4.968838144</v>
      </c>
      <c r="G3167" s="40">
        <v>2.185148837</v>
      </c>
      <c r="H3167" s="40"/>
      <c r="I3167" s="41">
        <v>0.511111111</v>
      </c>
      <c r="J3167" s="41">
        <v>0.133333333</v>
      </c>
      <c r="K3167" s="41">
        <v>0.355555556</v>
      </c>
      <c r="L3167" s="41"/>
      <c r="M3167" s="74">
        <v>1.481126325</v>
      </c>
    </row>
    <row r="3168">
      <c r="A3168" s="1" t="s">
        <v>145</v>
      </c>
      <c r="B3168" s="38">
        <v>700241.0</v>
      </c>
      <c r="C3168" s="72">
        <v>45871.0</v>
      </c>
      <c r="D3168" s="38">
        <v>85.0</v>
      </c>
      <c r="E3168" s="75"/>
      <c r="F3168" s="67">
        <v>4.968725814</v>
      </c>
      <c r="G3168" s="40">
        <v>2.031906548</v>
      </c>
      <c r="H3168" s="40"/>
      <c r="I3168" s="41">
        <v>0.435294118</v>
      </c>
      <c r="J3168" s="41">
        <v>0.152941176</v>
      </c>
      <c r="K3168" s="41">
        <v>0.411764706</v>
      </c>
      <c r="L3168" s="41"/>
      <c r="M3168" s="74">
        <v>-1.425663295</v>
      </c>
    </row>
    <row r="3169">
      <c r="A3169" s="1" t="s">
        <v>320</v>
      </c>
      <c r="B3169" s="38">
        <v>681347.0</v>
      </c>
      <c r="C3169" s="72">
        <v>45874.0</v>
      </c>
      <c r="D3169" s="38">
        <v>77.0</v>
      </c>
      <c r="E3169" s="75"/>
      <c r="F3169" s="67">
        <v>4.968683885</v>
      </c>
      <c r="G3169" s="40">
        <v>1.838603676</v>
      </c>
      <c r="H3169" s="40"/>
      <c r="I3169" s="41">
        <v>0.558441558</v>
      </c>
      <c r="J3169" s="41">
        <v>0.12987013</v>
      </c>
      <c r="K3169" s="41">
        <v>0.311688312</v>
      </c>
      <c r="L3169" s="41"/>
      <c r="M3169" s="74">
        <v>0.098754707</v>
      </c>
    </row>
    <row r="3170">
      <c r="A3170" s="1" t="s">
        <v>354</v>
      </c>
      <c r="B3170" s="38">
        <v>669022.0</v>
      </c>
      <c r="C3170" s="72">
        <v>45823.0</v>
      </c>
      <c r="D3170" s="38">
        <v>88.0</v>
      </c>
      <c r="E3170" s="75"/>
      <c r="F3170" s="67">
        <v>4.968515262</v>
      </c>
      <c r="G3170" s="40">
        <v>2.124271051</v>
      </c>
      <c r="H3170" s="40"/>
      <c r="I3170" s="41">
        <v>0.431818182</v>
      </c>
      <c r="J3170" s="41">
        <v>0.147727273</v>
      </c>
      <c r="K3170" s="41">
        <v>0.420454545</v>
      </c>
      <c r="L3170" s="41"/>
      <c r="M3170" s="74">
        <v>-3.414963228</v>
      </c>
    </row>
    <row r="3171">
      <c r="A3171" s="1" t="s">
        <v>372</v>
      </c>
      <c r="B3171" s="38">
        <v>671106.0</v>
      </c>
      <c r="C3171" s="72">
        <v>45837.0</v>
      </c>
      <c r="D3171" s="38">
        <v>97.0</v>
      </c>
      <c r="E3171" s="75"/>
      <c r="F3171" s="67">
        <v>4.968500136</v>
      </c>
      <c r="G3171" s="40">
        <v>2.306128637</v>
      </c>
      <c r="H3171" s="40"/>
      <c r="I3171" s="41">
        <v>0.443298969</v>
      </c>
      <c r="J3171" s="41">
        <v>0.144329897</v>
      </c>
      <c r="K3171" s="41">
        <v>0.412371134</v>
      </c>
      <c r="L3171" s="41"/>
      <c r="M3171" s="74">
        <v>-0.383595023</v>
      </c>
    </row>
    <row r="3172">
      <c r="A3172" s="1" t="s">
        <v>492</v>
      </c>
      <c r="B3172" s="38">
        <v>671212.0</v>
      </c>
      <c r="C3172" s="72">
        <v>45890.0</v>
      </c>
      <c r="D3172" s="38">
        <v>90.0</v>
      </c>
      <c r="E3172" s="75"/>
      <c r="F3172" s="67">
        <v>4.968477369</v>
      </c>
      <c r="G3172" s="40">
        <v>2.177218667</v>
      </c>
      <c r="H3172" s="40"/>
      <c r="I3172" s="41">
        <v>0.411111111</v>
      </c>
      <c r="J3172" s="41">
        <v>0.222222222</v>
      </c>
      <c r="K3172" s="41">
        <v>0.366666667</v>
      </c>
      <c r="L3172" s="41"/>
      <c r="M3172" s="74">
        <v>-4.031821828</v>
      </c>
    </row>
    <row r="3173">
      <c r="A3173" s="1" t="s">
        <v>522</v>
      </c>
      <c r="B3173" s="38">
        <v>808963.0</v>
      </c>
      <c r="C3173" s="72">
        <v>45759.0</v>
      </c>
      <c r="D3173" s="38">
        <v>80.0</v>
      </c>
      <c r="E3173" s="75"/>
      <c r="F3173" s="67">
        <v>4.968321821</v>
      </c>
      <c r="G3173" s="40">
        <v>1.946163537</v>
      </c>
      <c r="H3173" s="40"/>
      <c r="I3173" s="41">
        <v>0.3625</v>
      </c>
      <c r="J3173" s="41">
        <v>0.275</v>
      </c>
      <c r="K3173" s="41">
        <v>0.3625</v>
      </c>
      <c r="L3173" s="41"/>
      <c r="M3173" s="74">
        <v>1.416425867</v>
      </c>
    </row>
    <row r="3174">
      <c r="A3174" s="1" t="s">
        <v>85</v>
      </c>
      <c r="B3174" s="38">
        <v>808967.0</v>
      </c>
      <c r="C3174" s="72">
        <v>45791.0</v>
      </c>
      <c r="D3174" s="38">
        <v>86.0</v>
      </c>
      <c r="E3174" s="75"/>
      <c r="F3174" s="67">
        <v>4.968137658</v>
      </c>
      <c r="G3174" s="40">
        <v>2.072408274</v>
      </c>
      <c r="H3174" s="40"/>
      <c r="I3174" s="41">
        <v>0.465116279</v>
      </c>
      <c r="J3174" s="41">
        <v>0.174418605</v>
      </c>
      <c r="K3174" s="41">
        <v>0.360465116</v>
      </c>
      <c r="L3174" s="41"/>
      <c r="M3174" s="74">
        <v>0.639165582</v>
      </c>
    </row>
    <row r="3175">
      <c r="A3175" s="1" t="s">
        <v>272</v>
      </c>
      <c r="B3175" s="38">
        <v>622491.0</v>
      </c>
      <c r="C3175" s="72">
        <v>45866.0</v>
      </c>
      <c r="D3175" s="38">
        <v>87.0</v>
      </c>
      <c r="E3175" s="75"/>
      <c r="F3175" s="67">
        <v>4.967901459</v>
      </c>
      <c r="G3175" s="40">
        <v>2.119845578</v>
      </c>
      <c r="H3175" s="40"/>
      <c r="I3175" s="41">
        <v>0.436781609</v>
      </c>
      <c r="J3175" s="41">
        <v>0.195402299</v>
      </c>
      <c r="K3175" s="41">
        <v>0.367816092</v>
      </c>
      <c r="L3175" s="41"/>
      <c r="M3175" s="74">
        <v>1.04164948</v>
      </c>
    </row>
    <row r="3176">
      <c r="A3176" s="1" t="s">
        <v>307</v>
      </c>
      <c r="B3176" s="38">
        <v>656849.0</v>
      </c>
      <c r="C3176" s="72">
        <v>45801.0</v>
      </c>
      <c r="D3176" s="38">
        <v>96.0</v>
      </c>
      <c r="E3176" s="75"/>
      <c r="F3176" s="67">
        <v>4.967653345</v>
      </c>
      <c r="G3176" s="40">
        <v>2.285579319</v>
      </c>
      <c r="H3176" s="40"/>
      <c r="I3176" s="41">
        <v>0.458333333</v>
      </c>
      <c r="J3176" s="41">
        <v>0.166666667</v>
      </c>
      <c r="K3176" s="41">
        <v>0.375</v>
      </c>
      <c r="L3176" s="41"/>
      <c r="M3176" s="74">
        <v>0.740421504</v>
      </c>
    </row>
    <row r="3177">
      <c r="A3177" s="1" t="s">
        <v>425</v>
      </c>
      <c r="B3177" s="38">
        <v>621244.0</v>
      </c>
      <c r="C3177" s="72">
        <v>45766.0</v>
      </c>
      <c r="D3177" s="38">
        <v>78.0</v>
      </c>
      <c r="E3177" s="75"/>
      <c r="F3177" s="67">
        <v>4.967621387</v>
      </c>
      <c r="G3177" s="40">
        <v>1.878537471</v>
      </c>
      <c r="H3177" s="40"/>
      <c r="I3177" s="41">
        <v>0.512820513</v>
      </c>
      <c r="J3177" s="41">
        <v>0.179487179</v>
      </c>
      <c r="K3177" s="41">
        <v>0.307692308</v>
      </c>
      <c r="L3177" s="41"/>
      <c r="M3177" s="74">
        <v>0.926268734</v>
      </c>
    </row>
    <row r="3178">
      <c r="A3178" s="1" t="s">
        <v>77</v>
      </c>
      <c r="B3178" s="38">
        <v>657277.0</v>
      </c>
      <c r="C3178" s="72">
        <v>45760.0</v>
      </c>
      <c r="D3178" s="38">
        <v>96.0</v>
      </c>
      <c r="E3178" s="75"/>
      <c r="F3178" s="67">
        <v>4.967607826</v>
      </c>
      <c r="G3178" s="40">
        <v>2.270421951</v>
      </c>
      <c r="H3178" s="40"/>
      <c r="I3178" s="41">
        <v>0.489583333</v>
      </c>
      <c r="J3178" s="41">
        <v>0.09375</v>
      </c>
      <c r="K3178" s="41">
        <v>0.416666667</v>
      </c>
      <c r="L3178" s="41"/>
      <c r="M3178" s="74">
        <v>-0.416024802</v>
      </c>
    </row>
    <row r="3179">
      <c r="A3179" s="1" t="s">
        <v>410</v>
      </c>
      <c r="B3179" s="38">
        <v>678394.0</v>
      </c>
      <c r="C3179" s="72">
        <v>45907.0</v>
      </c>
      <c r="D3179" s="38">
        <v>90.0</v>
      </c>
      <c r="E3179" s="75"/>
      <c r="F3179" s="67">
        <v>4.967495825</v>
      </c>
      <c r="G3179" s="40">
        <v>2.131329095</v>
      </c>
      <c r="H3179" s="40"/>
      <c r="I3179" s="41">
        <v>0.411111111</v>
      </c>
      <c r="J3179" s="41">
        <v>0.188888889</v>
      </c>
      <c r="K3179" s="41">
        <v>0.4</v>
      </c>
      <c r="L3179" s="41"/>
      <c r="M3179" s="74">
        <v>1.055169973</v>
      </c>
    </row>
    <row r="3180">
      <c r="A3180" s="1" t="s">
        <v>202</v>
      </c>
      <c r="B3180" s="38">
        <v>677960.0</v>
      </c>
      <c r="C3180" s="72">
        <v>45924.0</v>
      </c>
      <c r="D3180" s="38">
        <v>87.0</v>
      </c>
      <c r="E3180" s="75"/>
      <c r="F3180" s="67">
        <v>4.967280125</v>
      </c>
      <c r="G3180" s="40">
        <v>2.058236363</v>
      </c>
      <c r="H3180" s="40"/>
      <c r="I3180" s="41">
        <v>0.459770115</v>
      </c>
      <c r="J3180" s="41">
        <v>0.229885057</v>
      </c>
      <c r="K3180" s="41">
        <v>0.310344828</v>
      </c>
      <c r="L3180" s="41"/>
      <c r="M3180" s="74">
        <v>-1.141437716</v>
      </c>
    </row>
    <row r="3181">
      <c r="A3181" s="1" t="s">
        <v>335</v>
      </c>
      <c r="B3181" s="38">
        <v>663436.0</v>
      </c>
      <c r="C3181" s="72">
        <v>45769.0</v>
      </c>
      <c r="D3181" s="38">
        <v>86.0</v>
      </c>
      <c r="E3181" s="75"/>
      <c r="F3181" s="67">
        <v>4.967078032</v>
      </c>
      <c r="G3181" s="40">
        <v>2.066069375</v>
      </c>
      <c r="H3181" s="40"/>
      <c r="I3181" s="41">
        <v>0.406976744</v>
      </c>
      <c r="J3181" s="41">
        <v>0.220930233</v>
      </c>
      <c r="K3181" s="41">
        <v>0.372093023</v>
      </c>
      <c r="L3181" s="41"/>
      <c r="M3181" s="74">
        <v>2.876216116</v>
      </c>
    </row>
    <row r="3182">
      <c r="A3182" s="1" t="s">
        <v>88</v>
      </c>
      <c r="B3182" s="38">
        <v>694973.0</v>
      </c>
      <c r="C3182" s="72">
        <v>45783.0</v>
      </c>
      <c r="D3182" s="38">
        <v>101.0</v>
      </c>
      <c r="E3182" s="75"/>
      <c r="F3182" s="67">
        <v>4.966843913</v>
      </c>
      <c r="G3182" s="40">
        <v>2.375556517</v>
      </c>
      <c r="H3182" s="40"/>
      <c r="I3182" s="41">
        <v>0.495049505</v>
      </c>
      <c r="J3182" s="41">
        <v>0.168316832</v>
      </c>
      <c r="K3182" s="41">
        <v>0.336633663</v>
      </c>
      <c r="L3182" s="41"/>
      <c r="M3182" s="74">
        <v>2.803341852</v>
      </c>
    </row>
    <row r="3183">
      <c r="A3183" s="1" t="s">
        <v>386</v>
      </c>
      <c r="B3183" s="38">
        <v>656731.0</v>
      </c>
      <c r="C3183" s="72">
        <v>45756.0</v>
      </c>
      <c r="D3183" s="38">
        <v>88.0</v>
      </c>
      <c r="E3183" s="75"/>
      <c r="F3183" s="67">
        <v>4.96681467</v>
      </c>
      <c r="G3183" s="40">
        <v>2.05423179</v>
      </c>
      <c r="H3183" s="40"/>
      <c r="I3183" s="41">
        <v>0.522727273</v>
      </c>
      <c r="J3183" s="41">
        <v>0.113636364</v>
      </c>
      <c r="K3183" s="41">
        <v>0.363636364</v>
      </c>
      <c r="L3183" s="41"/>
      <c r="M3183" s="74">
        <v>-1.506847009</v>
      </c>
    </row>
    <row r="3184">
      <c r="A3184" s="1" t="s">
        <v>445</v>
      </c>
      <c r="B3184" s="38">
        <v>663855.0</v>
      </c>
      <c r="C3184" s="72">
        <v>45764.0</v>
      </c>
      <c r="D3184" s="38">
        <v>103.0</v>
      </c>
      <c r="E3184" s="75"/>
      <c r="F3184" s="67">
        <v>4.966717495</v>
      </c>
      <c r="G3184" s="40">
        <v>2.477547307</v>
      </c>
      <c r="H3184" s="40"/>
      <c r="I3184" s="41">
        <v>0.475728155</v>
      </c>
      <c r="J3184" s="41">
        <v>0.155339806</v>
      </c>
      <c r="K3184" s="41">
        <v>0.368932039</v>
      </c>
      <c r="L3184" s="41"/>
      <c r="M3184" s="74">
        <v>-0.448468463</v>
      </c>
    </row>
    <row r="3185">
      <c r="A3185" s="1" t="s">
        <v>431</v>
      </c>
      <c r="B3185" s="38">
        <v>669203.0</v>
      </c>
      <c r="C3185" s="72">
        <v>45793.0</v>
      </c>
      <c r="D3185" s="38">
        <v>90.0</v>
      </c>
      <c r="E3185" s="75"/>
      <c r="F3185" s="67">
        <v>4.966610088</v>
      </c>
      <c r="G3185" s="40">
        <v>2.149223457</v>
      </c>
      <c r="H3185" s="40"/>
      <c r="I3185" s="41">
        <v>0.522222222</v>
      </c>
      <c r="J3185" s="41">
        <v>0.155555556</v>
      </c>
      <c r="K3185" s="41">
        <v>0.322222222</v>
      </c>
      <c r="L3185" s="41"/>
      <c r="M3185" s="74">
        <v>3.833710658</v>
      </c>
    </row>
    <row r="3186">
      <c r="A3186" s="1" t="s">
        <v>339</v>
      </c>
      <c r="B3186" s="38">
        <v>686613.0</v>
      </c>
      <c r="C3186" s="72">
        <v>45913.0</v>
      </c>
      <c r="D3186" s="38">
        <v>108.0</v>
      </c>
      <c r="E3186" s="75"/>
      <c r="F3186" s="67">
        <v>4.966572427</v>
      </c>
      <c r="G3186" s="40">
        <v>2.587220323</v>
      </c>
      <c r="H3186" s="40"/>
      <c r="I3186" s="41">
        <v>0.472222222</v>
      </c>
      <c r="J3186" s="41">
        <v>0.148148148</v>
      </c>
      <c r="K3186" s="41">
        <v>0.37962963</v>
      </c>
      <c r="L3186" s="41"/>
      <c r="M3186" s="74">
        <v>2.905929099</v>
      </c>
    </row>
    <row r="3187">
      <c r="A3187" s="1" t="s">
        <v>207</v>
      </c>
      <c r="B3187" s="38">
        <v>650633.0</v>
      </c>
      <c r="C3187" s="72">
        <v>45777.0</v>
      </c>
      <c r="D3187" s="38">
        <v>89.0</v>
      </c>
      <c r="E3187" s="75"/>
      <c r="F3187" s="67">
        <v>4.966552242</v>
      </c>
      <c r="G3187" s="40">
        <v>2.118431467</v>
      </c>
      <c r="H3187" s="40"/>
      <c r="I3187" s="41">
        <v>0.449438202</v>
      </c>
      <c r="J3187" s="41">
        <v>0.168539326</v>
      </c>
      <c r="K3187" s="41">
        <v>0.382022472</v>
      </c>
      <c r="L3187" s="41"/>
      <c r="M3187" s="74">
        <v>1.197779076</v>
      </c>
    </row>
    <row r="3188">
      <c r="A3188" s="1" t="s">
        <v>474</v>
      </c>
      <c r="B3188" s="38">
        <v>450203.0</v>
      </c>
      <c r="C3188" s="72">
        <v>45821.0</v>
      </c>
      <c r="D3188" s="38">
        <v>78.0</v>
      </c>
      <c r="E3188" s="75"/>
      <c r="F3188" s="67">
        <v>4.966330134</v>
      </c>
      <c r="G3188" s="40">
        <v>1.873660201</v>
      </c>
      <c r="H3188" s="40"/>
      <c r="I3188" s="41">
        <v>0.448717949</v>
      </c>
      <c r="J3188" s="41">
        <v>0.205128205</v>
      </c>
      <c r="K3188" s="41">
        <v>0.346153846</v>
      </c>
      <c r="L3188" s="41"/>
      <c r="M3188" s="74">
        <v>0.255833841</v>
      </c>
    </row>
    <row r="3189">
      <c r="A3189" s="1" t="s">
        <v>234</v>
      </c>
      <c r="B3189" s="38">
        <v>690997.0</v>
      </c>
      <c r="C3189" s="72">
        <v>45920.0</v>
      </c>
      <c r="D3189" s="38">
        <v>90.0</v>
      </c>
      <c r="E3189" s="75"/>
      <c r="F3189" s="67">
        <v>4.966155558</v>
      </c>
      <c r="G3189" s="40">
        <v>2.152432259</v>
      </c>
      <c r="H3189" s="40"/>
      <c r="I3189" s="41">
        <v>0.5</v>
      </c>
      <c r="J3189" s="41">
        <v>0.144444444</v>
      </c>
      <c r="K3189" s="41">
        <v>0.355555556</v>
      </c>
      <c r="L3189" s="41"/>
      <c r="M3189" s="74">
        <v>1.740266057</v>
      </c>
    </row>
    <row r="3190">
      <c r="A3190" s="1" t="s">
        <v>479</v>
      </c>
      <c r="B3190" s="38">
        <v>664299.0</v>
      </c>
      <c r="C3190" s="72">
        <v>45911.0</v>
      </c>
      <c r="D3190" s="38">
        <v>85.0</v>
      </c>
      <c r="E3190" s="75"/>
      <c r="F3190" s="67">
        <v>4.965913599</v>
      </c>
      <c r="G3190" s="40">
        <v>2.039329323</v>
      </c>
      <c r="H3190" s="40"/>
      <c r="I3190" s="41">
        <v>0.423529412</v>
      </c>
      <c r="J3190" s="41">
        <v>0.152941176</v>
      </c>
      <c r="K3190" s="41">
        <v>0.423529412</v>
      </c>
      <c r="L3190" s="41"/>
      <c r="M3190" s="74">
        <v>-0.547116217</v>
      </c>
    </row>
    <row r="3191">
      <c r="A3191" s="1" t="s">
        <v>216</v>
      </c>
      <c r="B3191" s="38">
        <v>621107.0</v>
      </c>
      <c r="C3191" s="72">
        <v>45795.0</v>
      </c>
      <c r="D3191" s="38">
        <v>89.0</v>
      </c>
      <c r="E3191" s="75"/>
      <c r="F3191" s="67">
        <v>4.965806242</v>
      </c>
      <c r="G3191" s="40">
        <v>2.125624482</v>
      </c>
      <c r="H3191" s="40"/>
      <c r="I3191" s="41">
        <v>0.426966292</v>
      </c>
      <c r="J3191" s="41">
        <v>0.157303371</v>
      </c>
      <c r="K3191" s="41">
        <v>0.415730337</v>
      </c>
      <c r="L3191" s="41"/>
      <c r="M3191" s="74">
        <v>-3.808650026</v>
      </c>
    </row>
    <row r="3192">
      <c r="A3192" s="1" t="s">
        <v>366</v>
      </c>
      <c r="B3192" s="38">
        <v>656550.0</v>
      </c>
      <c r="C3192" s="72">
        <v>45789.0</v>
      </c>
      <c r="D3192" s="38">
        <v>79.0</v>
      </c>
      <c r="E3192" s="75"/>
      <c r="F3192" s="67">
        <v>4.965348289</v>
      </c>
      <c r="G3192" s="40">
        <v>1.913066126</v>
      </c>
      <c r="H3192" s="40"/>
      <c r="I3192" s="41">
        <v>0.443037975</v>
      </c>
      <c r="J3192" s="41">
        <v>0.17721519</v>
      </c>
      <c r="K3192" s="41">
        <v>0.379746835</v>
      </c>
      <c r="L3192" s="41"/>
      <c r="M3192" s="74">
        <v>-0.11176708</v>
      </c>
    </row>
    <row r="3193">
      <c r="A3193" s="1" t="s">
        <v>180</v>
      </c>
      <c r="B3193" s="38">
        <v>642547.0</v>
      </c>
      <c r="C3193" s="72">
        <v>45811.0</v>
      </c>
      <c r="D3193" s="38">
        <v>101.0</v>
      </c>
      <c r="E3193" s="75"/>
      <c r="F3193" s="67">
        <v>4.965339624</v>
      </c>
      <c r="G3193" s="40">
        <v>2.411434288</v>
      </c>
      <c r="H3193" s="40"/>
      <c r="I3193" s="41">
        <v>0.485148515</v>
      </c>
      <c r="J3193" s="41">
        <v>0.148514851</v>
      </c>
      <c r="K3193" s="41">
        <v>0.366336634</v>
      </c>
      <c r="L3193" s="41"/>
      <c r="M3193" s="74">
        <v>-2.660099794</v>
      </c>
    </row>
    <row r="3194">
      <c r="A3194" s="1" t="s">
        <v>363</v>
      </c>
      <c r="B3194" s="38">
        <v>693645.0</v>
      </c>
      <c r="C3194" s="72">
        <v>45921.0</v>
      </c>
      <c r="D3194" s="38">
        <v>87.0</v>
      </c>
      <c r="E3194" s="75"/>
      <c r="F3194" s="67">
        <v>4.965267486</v>
      </c>
      <c r="G3194" s="40">
        <v>2.085092307</v>
      </c>
      <c r="H3194" s="40"/>
      <c r="I3194" s="41">
        <v>0.505747126</v>
      </c>
      <c r="J3194" s="41">
        <v>0.114942529</v>
      </c>
      <c r="K3194" s="41">
        <v>0.379310345</v>
      </c>
      <c r="L3194" s="41"/>
      <c r="M3194" s="74">
        <v>1.630084125</v>
      </c>
    </row>
    <row r="3195">
      <c r="A3195" s="1" t="s">
        <v>129</v>
      </c>
      <c r="B3195" s="38">
        <v>686752.0</v>
      </c>
      <c r="C3195" s="72">
        <v>45851.0</v>
      </c>
      <c r="D3195" s="38">
        <v>86.0</v>
      </c>
      <c r="E3195" s="75"/>
      <c r="F3195" s="67">
        <v>4.965204533</v>
      </c>
      <c r="G3195" s="40">
        <v>2.079140067</v>
      </c>
      <c r="H3195" s="40"/>
      <c r="I3195" s="41">
        <v>0.5</v>
      </c>
      <c r="J3195" s="41">
        <v>0.151162791</v>
      </c>
      <c r="K3195" s="41">
        <v>0.348837209</v>
      </c>
      <c r="L3195" s="41"/>
      <c r="M3195" s="74">
        <v>-2.253908481</v>
      </c>
    </row>
    <row r="3196">
      <c r="A3196" s="1" t="s">
        <v>169</v>
      </c>
      <c r="B3196" s="38">
        <v>671096.0</v>
      </c>
      <c r="C3196" s="72">
        <v>45765.0</v>
      </c>
      <c r="D3196" s="38">
        <v>92.0</v>
      </c>
      <c r="E3196" s="75"/>
      <c r="F3196" s="67">
        <v>4.965201688</v>
      </c>
      <c r="G3196" s="40">
        <v>2.177276595</v>
      </c>
      <c r="H3196" s="40"/>
      <c r="I3196" s="41">
        <v>0.434782609</v>
      </c>
      <c r="J3196" s="41">
        <v>0.184782609</v>
      </c>
      <c r="K3196" s="41">
        <v>0.380434783</v>
      </c>
      <c r="L3196" s="41"/>
      <c r="M3196" s="74">
        <v>2.579846408</v>
      </c>
    </row>
    <row r="3197">
      <c r="A3197" s="1" t="s">
        <v>218</v>
      </c>
      <c r="B3197" s="38">
        <v>669432.0</v>
      </c>
      <c r="C3197" s="72">
        <v>45893.0</v>
      </c>
      <c r="D3197" s="38">
        <v>90.0</v>
      </c>
      <c r="E3197" s="75"/>
      <c r="F3197" s="67">
        <v>4.964573672</v>
      </c>
      <c r="G3197" s="40">
        <v>2.214824846</v>
      </c>
      <c r="H3197" s="40"/>
      <c r="I3197" s="41">
        <v>0.422222222</v>
      </c>
      <c r="J3197" s="41">
        <v>0.255555556</v>
      </c>
      <c r="K3197" s="41">
        <v>0.322222222</v>
      </c>
      <c r="L3197" s="41"/>
      <c r="M3197" s="74">
        <v>1.263317562</v>
      </c>
    </row>
    <row r="3198">
      <c r="A3198" s="1" t="s">
        <v>432</v>
      </c>
      <c r="B3198" s="38">
        <v>669467.0</v>
      </c>
      <c r="C3198" s="72">
        <v>45839.0</v>
      </c>
      <c r="D3198" s="38">
        <v>93.0</v>
      </c>
      <c r="E3198" s="75"/>
      <c r="F3198" s="67">
        <v>4.964480506</v>
      </c>
      <c r="G3198" s="40">
        <v>2.245412414</v>
      </c>
      <c r="H3198" s="40"/>
      <c r="I3198" s="41">
        <v>0.387096774</v>
      </c>
      <c r="J3198" s="41">
        <v>0.215053763</v>
      </c>
      <c r="K3198" s="41">
        <v>0.397849462</v>
      </c>
      <c r="L3198" s="41"/>
      <c r="M3198" s="74">
        <v>5.534245541</v>
      </c>
    </row>
    <row r="3199">
      <c r="A3199" s="1" t="s">
        <v>189</v>
      </c>
      <c r="B3199" s="38">
        <v>607536.0</v>
      </c>
      <c r="C3199" s="72">
        <v>45875.0</v>
      </c>
      <c r="D3199" s="38">
        <v>74.0</v>
      </c>
      <c r="E3199" s="75"/>
      <c r="F3199" s="67">
        <v>4.964219565</v>
      </c>
      <c r="G3199" s="40">
        <v>1.80538051</v>
      </c>
      <c r="H3199" s="40"/>
      <c r="I3199" s="41">
        <v>0.405405405</v>
      </c>
      <c r="J3199" s="41">
        <v>0.283783784</v>
      </c>
      <c r="K3199" s="41">
        <v>0.310810811</v>
      </c>
      <c r="L3199" s="41"/>
      <c r="M3199" s="74">
        <v>-2.311692763</v>
      </c>
    </row>
    <row r="3200">
      <c r="A3200" s="1" t="s">
        <v>272</v>
      </c>
      <c r="B3200" s="38">
        <v>622491.0</v>
      </c>
      <c r="C3200" s="72">
        <v>45832.0</v>
      </c>
      <c r="D3200" s="38">
        <v>90.0</v>
      </c>
      <c r="E3200" s="75"/>
      <c r="F3200" s="67">
        <v>4.964116428</v>
      </c>
      <c r="G3200" s="40">
        <v>2.140647042</v>
      </c>
      <c r="H3200" s="40"/>
      <c r="I3200" s="41">
        <v>0.466666667</v>
      </c>
      <c r="J3200" s="41">
        <v>0.166666667</v>
      </c>
      <c r="K3200" s="41">
        <v>0.366666667</v>
      </c>
      <c r="L3200" s="41"/>
      <c r="M3200" s="74">
        <v>-1.494532867</v>
      </c>
    </row>
    <row r="3201">
      <c r="A3201" s="1" t="s">
        <v>358</v>
      </c>
      <c r="B3201" s="38">
        <v>434378.0</v>
      </c>
      <c r="C3201" s="72">
        <v>45772.0</v>
      </c>
      <c r="D3201" s="38">
        <v>85.0</v>
      </c>
      <c r="E3201" s="75"/>
      <c r="F3201" s="67">
        <v>4.963831231</v>
      </c>
      <c r="G3201" s="40">
        <v>2.042997785</v>
      </c>
      <c r="H3201" s="40"/>
      <c r="I3201" s="41">
        <v>0.423529412</v>
      </c>
      <c r="J3201" s="41">
        <v>0.211764706</v>
      </c>
      <c r="K3201" s="41">
        <v>0.364705882</v>
      </c>
      <c r="L3201" s="41"/>
      <c r="M3201" s="74">
        <v>2.245511003</v>
      </c>
    </row>
    <row r="3202">
      <c r="A3202" s="1" t="s">
        <v>285</v>
      </c>
      <c r="B3202" s="38">
        <v>607074.0</v>
      </c>
      <c r="C3202" s="72">
        <v>45843.0</v>
      </c>
      <c r="D3202" s="38">
        <v>92.0</v>
      </c>
      <c r="E3202" s="75"/>
      <c r="F3202" s="67">
        <v>4.963765192</v>
      </c>
      <c r="G3202" s="40">
        <v>2.196516175</v>
      </c>
      <c r="H3202" s="40"/>
      <c r="I3202" s="41">
        <v>0.510869565</v>
      </c>
      <c r="J3202" s="41">
        <v>0.119565217</v>
      </c>
      <c r="K3202" s="41">
        <v>0.369565217</v>
      </c>
      <c r="L3202" s="41"/>
      <c r="M3202" s="74">
        <v>-0.500321236</v>
      </c>
    </row>
    <row r="3203">
      <c r="A3203" s="1" t="s">
        <v>343</v>
      </c>
      <c r="B3203" s="38">
        <v>682243.0</v>
      </c>
      <c r="C3203" s="72">
        <v>45776.0</v>
      </c>
      <c r="D3203" s="38">
        <v>82.0</v>
      </c>
      <c r="E3203" s="75"/>
      <c r="F3203" s="67">
        <v>4.963739471</v>
      </c>
      <c r="G3203" s="40">
        <v>1.97213598</v>
      </c>
      <c r="H3203" s="40"/>
      <c r="I3203" s="41">
        <v>0.5</v>
      </c>
      <c r="J3203" s="41">
        <v>0.134146341</v>
      </c>
      <c r="K3203" s="41">
        <v>0.365853659</v>
      </c>
      <c r="L3203" s="41"/>
      <c r="M3203" s="74">
        <v>1.943515148</v>
      </c>
    </row>
    <row r="3204">
      <c r="A3204" s="1" t="s">
        <v>423</v>
      </c>
      <c r="B3204" s="38">
        <v>656605.0</v>
      </c>
      <c r="C3204" s="72">
        <v>45779.0</v>
      </c>
      <c r="D3204" s="38">
        <v>88.0</v>
      </c>
      <c r="E3204" s="75"/>
      <c r="F3204" s="67">
        <v>4.963379728</v>
      </c>
      <c r="G3204" s="40">
        <v>2.10970901</v>
      </c>
      <c r="H3204" s="40"/>
      <c r="I3204" s="41">
        <v>0.420454545</v>
      </c>
      <c r="J3204" s="41">
        <v>0.25</v>
      </c>
      <c r="K3204" s="41">
        <v>0.329545455</v>
      </c>
      <c r="L3204" s="41"/>
      <c r="M3204" s="74">
        <v>-1.96926781</v>
      </c>
    </row>
    <row r="3205">
      <c r="A3205" s="1" t="s">
        <v>377</v>
      </c>
      <c r="B3205" s="38">
        <v>695549.0</v>
      </c>
      <c r="C3205" s="72">
        <v>45800.0</v>
      </c>
      <c r="D3205" s="38">
        <v>87.0</v>
      </c>
      <c r="E3205" s="75"/>
      <c r="F3205" s="67">
        <v>4.963365369</v>
      </c>
      <c r="G3205" s="40">
        <v>2.091098154</v>
      </c>
      <c r="H3205" s="40"/>
      <c r="I3205" s="41">
        <v>0.528735632</v>
      </c>
      <c r="J3205" s="41">
        <v>0.114942529</v>
      </c>
      <c r="K3205" s="41">
        <v>0.356321839</v>
      </c>
      <c r="L3205" s="41"/>
      <c r="M3205" s="74">
        <v>-0.172930019</v>
      </c>
    </row>
    <row r="3206">
      <c r="A3206" s="1" t="s">
        <v>171</v>
      </c>
      <c r="B3206" s="38">
        <v>665795.0</v>
      </c>
      <c r="C3206" s="72">
        <v>45821.0</v>
      </c>
      <c r="D3206" s="38">
        <v>63.0</v>
      </c>
      <c r="E3206" s="75"/>
      <c r="F3206" s="67">
        <v>4.963226586</v>
      </c>
      <c r="G3206" s="40">
        <v>1.477807392</v>
      </c>
      <c r="H3206" s="40"/>
      <c r="I3206" s="41">
        <v>0.476190476</v>
      </c>
      <c r="J3206" s="41">
        <v>0.174603175</v>
      </c>
      <c r="K3206" s="41">
        <v>0.349206349</v>
      </c>
      <c r="L3206" s="41"/>
      <c r="M3206" s="74">
        <v>1.749562359</v>
      </c>
    </row>
    <row r="3207">
      <c r="A3207" s="1" t="s">
        <v>220</v>
      </c>
      <c r="B3207" s="38">
        <v>663559.0</v>
      </c>
      <c r="C3207" s="72">
        <v>45847.0</v>
      </c>
      <c r="D3207" s="38">
        <v>71.0</v>
      </c>
      <c r="E3207" s="75"/>
      <c r="F3207" s="67">
        <v>4.963120794</v>
      </c>
      <c r="G3207" s="40">
        <v>1.713864817</v>
      </c>
      <c r="H3207" s="40"/>
      <c r="I3207" s="41">
        <v>0.422535211</v>
      </c>
      <c r="J3207" s="41">
        <v>0.253521127</v>
      </c>
      <c r="K3207" s="41">
        <v>0.323943662</v>
      </c>
      <c r="L3207" s="41"/>
      <c r="M3207" s="74">
        <v>-1.614692915</v>
      </c>
    </row>
    <row r="3208">
      <c r="A3208" s="1" t="s">
        <v>115</v>
      </c>
      <c r="B3208" s="38">
        <v>543135.0</v>
      </c>
      <c r="C3208" s="72">
        <v>45793.0</v>
      </c>
      <c r="D3208" s="38">
        <v>89.0</v>
      </c>
      <c r="E3208" s="75"/>
      <c r="F3208" s="67">
        <v>4.96306874</v>
      </c>
      <c r="G3208" s="40">
        <v>2.132414473</v>
      </c>
      <c r="H3208" s="40"/>
      <c r="I3208" s="41">
        <v>0.516853933</v>
      </c>
      <c r="J3208" s="41">
        <v>0.146067416</v>
      </c>
      <c r="K3208" s="41">
        <v>0.337078652</v>
      </c>
      <c r="L3208" s="41"/>
      <c r="M3208" s="74">
        <v>2.896488218</v>
      </c>
    </row>
    <row r="3209">
      <c r="A3209" s="1" t="s">
        <v>67</v>
      </c>
      <c r="B3209" s="38">
        <v>684007.0</v>
      </c>
      <c r="C3209" s="72">
        <v>45863.0</v>
      </c>
      <c r="D3209" s="38">
        <v>84.0</v>
      </c>
      <c r="E3209" s="75"/>
      <c r="F3209" s="67">
        <v>4.963045424</v>
      </c>
      <c r="G3209" s="40">
        <v>2.007857444</v>
      </c>
      <c r="H3209" s="40"/>
      <c r="I3209" s="41">
        <v>0.428571429</v>
      </c>
      <c r="J3209" s="41">
        <v>0.202380952</v>
      </c>
      <c r="K3209" s="41">
        <v>0.369047619</v>
      </c>
      <c r="L3209" s="41"/>
      <c r="M3209" s="74">
        <v>-6.086544907</v>
      </c>
    </row>
    <row r="3210">
      <c r="A3210" s="1" t="s">
        <v>298</v>
      </c>
      <c r="B3210" s="38">
        <v>594902.0</v>
      </c>
      <c r="C3210" s="72">
        <v>45760.0</v>
      </c>
      <c r="D3210" s="38">
        <v>85.0</v>
      </c>
      <c r="E3210" s="75"/>
      <c r="F3210" s="67">
        <v>4.962895204</v>
      </c>
      <c r="G3210" s="40">
        <v>2.045981365</v>
      </c>
      <c r="H3210" s="40"/>
      <c r="I3210" s="41">
        <v>0.482352941</v>
      </c>
      <c r="J3210" s="41">
        <v>0.188235294</v>
      </c>
      <c r="K3210" s="41">
        <v>0.329411765</v>
      </c>
      <c r="L3210" s="41"/>
      <c r="M3210" s="74">
        <v>-2.272558655</v>
      </c>
    </row>
    <row r="3211">
      <c r="A3211" s="1" t="s">
        <v>298</v>
      </c>
      <c r="B3211" s="38">
        <v>594902.0</v>
      </c>
      <c r="C3211" s="72">
        <v>45773.0</v>
      </c>
      <c r="D3211" s="38">
        <v>102.0</v>
      </c>
      <c r="E3211" s="75"/>
      <c r="F3211" s="67">
        <v>4.962618374</v>
      </c>
      <c r="G3211" s="40">
        <v>2.443872875</v>
      </c>
      <c r="H3211" s="40"/>
      <c r="I3211" s="41">
        <v>0.470588235</v>
      </c>
      <c r="J3211" s="41">
        <v>0.147058824</v>
      </c>
      <c r="K3211" s="41">
        <v>0.382352941</v>
      </c>
      <c r="L3211" s="41"/>
      <c r="M3211" s="74">
        <v>0.506983118</v>
      </c>
    </row>
    <row r="3212">
      <c r="A3212" s="1" t="s">
        <v>515</v>
      </c>
      <c r="B3212" s="38">
        <v>678906.0</v>
      </c>
      <c r="C3212" s="72">
        <v>45871.0</v>
      </c>
      <c r="D3212" s="38">
        <v>63.0</v>
      </c>
      <c r="E3212" s="75"/>
      <c r="F3212" s="67">
        <v>4.962526334</v>
      </c>
      <c r="G3212" s="40">
        <v>1.508427099</v>
      </c>
      <c r="H3212" s="40"/>
      <c r="I3212" s="41">
        <v>0.507936508</v>
      </c>
      <c r="J3212" s="41">
        <v>0.158730159</v>
      </c>
      <c r="K3212" s="41">
        <v>0.333333333</v>
      </c>
      <c r="L3212" s="41"/>
      <c r="M3212" s="74">
        <v>-0.963974174</v>
      </c>
    </row>
    <row r="3213">
      <c r="A3213" s="1" t="s">
        <v>322</v>
      </c>
      <c r="B3213" s="38">
        <v>678368.0</v>
      </c>
      <c r="C3213" s="72">
        <v>45754.0</v>
      </c>
      <c r="D3213" s="38">
        <v>74.0</v>
      </c>
      <c r="E3213" s="75"/>
      <c r="F3213" s="67">
        <v>4.962473238</v>
      </c>
      <c r="G3213" s="40">
        <v>1.753598845</v>
      </c>
      <c r="H3213" s="40"/>
      <c r="I3213" s="41">
        <v>0.5</v>
      </c>
      <c r="J3213" s="41">
        <v>0.162162162</v>
      </c>
      <c r="K3213" s="41">
        <v>0.337837838</v>
      </c>
      <c r="L3213" s="41"/>
      <c r="M3213" s="74">
        <v>-0.737762883</v>
      </c>
    </row>
    <row r="3214">
      <c r="A3214" s="1" t="s">
        <v>278</v>
      </c>
      <c r="B3214" s="38">
        <v>542881.0</v>
      </c>
      <c r="C3214" s="72">
        <v>45885.0</v>
      </c>
      <c r="D3214" s="38">
        <v>82.0</v>
      </c>
      <c r="E3214" s="75"/>
      <c r="F3214" s="67">
        <v>4.962265981</v>
      </c>
      <c r="G3214" s="40">
        <v>1.925595197</v>
      </c>
      <c r="H3214" s="40"/>
      <c r="I3214" s="41">
        <v>0.414634146</v>
      </c>
      <c r="J3214" s="41">
        <v>0.195121951</v>
      </c>
      <c r="K3214" s="41">
        <v>0.390243902</v>
      </c>
      <c r="L3214" s="41"/>
      <c r="M3214" s="74">
        <v>0.649111425</v>
      </c>
    </row>
    <row r="3215">
      <c r="A3215" s="1" t="s">
        <v>163</v>
      </c>
      <c r="B3215" s="38">
        <v>663460.0</v>
      </c>
      <c r="C3215" s="72">
        <v>45758.0</v>
      </c>
      <c r="D3215" s="38">
        <v>87.0</v>
      </c>
      <c r="E3215" s="75"/>
      <c r="F3215" s="67">
        <v>4.962159448</v>
      </c>
      <c r="G3215" s="40">
        <v>2.096951773</v>
      </c>
      <c r="H3215" s="40"/>
      <c r="I3215" s="41">
        <v>0.448275862</v>
      </c>
      <c r="J3215" s="41">
        <v>0.172413793</v>
      </c>
      <c r="K3215" s="41">
        <v>0.379310345</v>
      </c>
      <c r="L3215" s="41"/>
      <c r="M3215" s="74">
        <v>0.026725949</v>
      </c>
    </row>
    <row r="3216">
      <c r="A3216" s="1" t="s">
        <v>97</v>
      </c>
      <c r="B3216" s="38">
        <v>656876.0</v>
      </c>
      <c r="C3216" s="72">
        <v>45827.0</v>
      </c>
      <c r="D3216" s="38">
        <v>88.0</v>
      </c>
      <c r="E3216" s="75"/>
      <c r="F3216" s="67">
        <v>4.962117019</v>
      </c>
      <c r="G3216" s="40">
        <v>2.097586609</v>
      </c>
      <c r="H3216" s="40"/>
      <c r="I3216" s="41">
        <v>0.431818182</v>
      </c>
      <c r="J3216" s="41">
        <v>0.204545455</v>
      </c>
      <c r="K3216" s="41">
        <v>0.363636364</v>
      </c>
      <c r="L3216" s="41"/>
      <c r="M3216" s="74">
        <v>0.953902655</v>
      </c>
    </row>
    <row r="3217">
      <c r="A3217" s="1" t="s">
        <v>271</v>
      </c>
      <c r="B3217" s="38">
        <v>606996.0</v>
      </c>
      <c r="C3217" s="72">
        <v>45759.0</v>
      </c>
      <c r="D3217" s="38">
        <v>67.0</v>
      </c>
      <c r="E3217" s="75"/>
      <c r="F3217" s="67">
        <v>4.962086415</v>
      </c>
      <c r="G3217" s="40">
        <v>1.588990878</v>
      </c>
      <c r="H3217" s="40"/>
      <c r="I3217" s="41">
        <v>0.417910448</v>
      </c>
      <c r="J3217" s="41">
        <v>0.134328358</v>
      </c>
      <c r="K3217" s="41">
        <v>0.447761194</v>
      </c>
      <c r="L3217" s="41"/>
      <c r="M3217" s="74">
        <v>2.897634314</v>
      </c>
    </row>
    <row r="3218">
      <c r="A3218" s="1" t="s">
        <v>454</v>
      </c>
      <c r="B3218" s="38">
        <v>674370.0</v>
      </c>
      <c r="C3218" s="72">
        <v>45786.0</v>
      </c>
      <c r="D3218" s="38">
        <v>92.0</v>
      </c>
      <c r="E3218" s="75"/>
      <c r="F3218" s="67">
        <v>4.962025816</v>
      </c>
      <c r="G3218" s="40">
        <v>2.268317347</v>
      </c>
      <c r="H3218" s="40"/>
      <c r="I3218" s="41">
        <v>0.423913043</v>
      </c>
      <c r="J3218" s="41">
        <v>0.304347826</v>
      </c>
      <c r="K3218" s="41">
        <v>0.27173913</v>
      </c>
      <c r="L3218" s="41"/>
      <c r="M3218" s="74">
        <v>-0.204275528</v>
      </c>
    </row>
    <row r="3219">
      <c r="A3219" s="1" t="s">
        <v>368</v>
      </c>
      <c r="B3219" s="38">
        <v>593958.0</v>
      </c>
      <c r="C3219" s="72">
        <v>45905.0</v>
      </c>
      <c r="D3219" s="38">
        <v>93.0</v>
      </c>
      <c r="E3219" s="75"/>
      <c r="F3219" s="67">
        <v>4.961953362</v>
      </c>
      <c r="G3219" s="40">
        <v>2.221087621</v>
      </c>
      <c r="H3219" s="40"/>
      <c r="I3219" s="41">
        <v>0.483870968</v>
      </c>
      <c r="J3219" s="41">
        <v>0.139784946</v>
      </c>
      <c r="K3219" s="41">
        <v>0.376344086</v>
      </c>
      <c r="L3219" s="41"/>
      <c r="M3219" s="74">
        <v>1.795488254</v>
      </c>
    </row>
    <row r="3220">
      <c r="A3220" s="1" t="s">
        <v>457</v>
      </c>
      <c r="B3220" s="38">
        <v>477132.0</v>
      </c>
      <c r="C3220" s="72">
        <v>45870.0</v>
      </c>
      <c r="D3220" s="38">
        <v>83.0</v>
      </c>
      <c r="E3220" s="75"/>
      <c r="F3220" s="67">
        <v>4.961939644</v>
      </c>
      <c r="G3220" s="40">
        <v>2.000824696</v>
      </c>
      <c r="H3220" s="40"/>
      <c r="I3220" s="41">
        <v>0.457831325</v>
      </c>
      <c r="J3220" s="41">
        <v>0.156626506</v>
      </c>
      <c r="K3220" s="41">
        <v>0.385542169</v>
      </c>
      <c r="L3220" s="41"/>
      <c r="M3220" s="74">
        <v>0.422379459</v>
      </c>
    </row>
    <row r="3221">
      <c r="A3221" s="1" t="s">
        <v>602</v>
      </c>
      <c r="B3221" s="38">
        <v>695534.0</v>
      </c>
      <c r="C3221" s="72">
        <v>45788.0</v>
      </c>
      <c r="D3221" s="38">
        <v>85.0</v>
      </c>
      <c r="E3221" s="75"/>
      <c r="F3221" s="67">
        <v>4.961910752</v>
      </c>
      <c r="G3221" s="40">
        <v>1.999447012</v>
      </c>
      <c r="H3221" s="40"/>
      <c r="I3221" s="41">
        <v>0.482352941</v>
      </c>
      <c r="J3221" s="41">
        <v>0.129411765</v>
      </c>
      <c r="K3221" s="41">
        <v>0.388235294</v>
      </c>
      <c r="L3221" s="41"/>
      <c r="M3221" s="74">
        <v>-2.472383741</v>
      </c>
    </row>
    <row r="3222">
      <c r="A3222" s="1" t="s">
        <v>281</v>
      </c>
      <c r="B3222" s="38">
        <v>622663.0</v>
      </c>
      <c r="C3222" s="72">
        <v>45772.0</v>
      </c>
      <c r="D3222" s="38">
        <v>83.0</v>
      </c>
      <c r="E3222" s="75"/>
      <c r="F3222" s="67">
        <v>4.961843365</v>
      </c>
      <c r="G3222" s="40">
        <v>2.032870293</v>
      </c>
      <c r="H3222" s="40"/>
      <c r="I3222" s="41">
        <v>0.457831325</v>
      </c>
      <c r="J3222" s="41">
        <v>0.180722892</v>
      </c>
      <c r="K3222" s="41">
        <v>0.361445783</v>
      </c>
      <c r="L3222" s="41"/>
      <c r="M3222" s="74">
        <v>-1.547080165</v>
      </c>
    </row>
    <row r="3223">
      <c r="A3223" s="1" t="s">
        <v>303</v>
      </c>
      <c r="B3223" s="38">
        <v>592662.0</v>
      </c>
      <c r="C3223" s="72">
        <v>45790.0</v>
      </c>
      <c r="D3223" s="38">
        <v>105.0</v>
      </c>
      <c r="E3223" s="75"/>
      <c r="F3223" s="67">
        <v>4.961635388</v>
      </c>
      <c r="G3223" s="40">
        <v>2.522612527</v>
      </c>
      <c r="H3223" s="40"/>
      <c r="I3223" s="41">
        <v>0.495238095</v>
      </c>
      <c r="J3223" s="41">
        <v>0.133333333</v>
      </c>
      <c r="K3223" s="41">
        <v>0.371428571</v>
      </c>
      <c r="L3223" s="41"/>
      <c r="M3223" s="74">
        <v>-1.260767396</v>
      </c>
    </row>
    <row r="3224">
      <c r="A3224" s="1" t="s">
        <v>474</v>
      </c>
      <c r="B3224" s="38">
        <v>450203.0</v>
      </c>
      <c r="C3224" s="72">
        <v>45750.0</v>
      </c>
      <c r="D3224" s="38">
        <v>96.0</v>
      </c>
      <c r="E3224" s="75"/>
      <c r="F3224" s="67">
        <v>4.961617209</v>
      </c>
      <c r="G3224" s="40">
        <v>2.28126031</v>
      </c>
      <c r="H3224" s="40"/>
      <c r="I3224" s="41">
        <v>0.458333333</v>
      </c>
      <c r="J3224" s="41">
        <v>0.1875</v>
      </c>
      <c r="K3224" s="41">
        <v>0.354166667</v>
      </c>
      <c r="L3224" s="41"/>
      <c r="M3224" s="74">
        <v>-1.2717953</v>
      </c>
    </row>
    <row r="3225">
      <c r="A3225" s="1" t="s">
        <v>77</v>
      </c>
      <c r="B3225" s="38">
        <v>657277.0</v>
      </c>
      <c r="C3225" s="72">
        <v>45892.0</v>
      </c>
      <c r="D3225" s="38">
        <v>92.0</v>
      </c>
      <c r="E3225" s="75"/>
      <c r="F3225" s="67">
        <v>4.961543272</v>
      </c>
      <c r="G3225" s="40">
        <v>2.219090284</v>
      </c>
      <c r="H3225" s="40"/>
      <c r="I3225" s="41">
        <v>0.5</v>
      </c>
      <c r="J3225" s="41">
        <v>0.163043478</v>
      </c>
      <c r="K3225" s="41">
        <v>0.336956522</v>
      </c>
      <c r="L3225" s="41"/>
      <c r="M3225" s="74">
        <v>1.609674539</v>
      </c>
    </row>
    <row r="3226">
      <c r="A3226" s="1" t="s">
        <v>246</v>
      </c>
      <c r="B3226" s="38">
        <v>571510.0</v>
      </c>
      <c r="C3226" s="72">
        <v>45805.0</v>
      </c>
      <c r="D3226" s="38">
        <v>92.0</v>
      </c>
      <c r="E3226" s="75"/>
      <c r="F3226" s="67">
        <v>4.961505813</v>
      </c>
      <c r="G3226" s="40">
        <v>2.206589939</v>
      </c>
      <c r="H3226" s="40"/>
      <c r="I3226" s="41">
        <v>0.423913043</v>
      </c>
      <c r="J3226" s="41">
        <v>0.22826087</v>
      </c>
      <c r="K3226" s="41">
        <v>0.347826087</v>
      </c>
      <c r="L3226" s="41"/>
      <c r="M3226" s="74">
        <v>1.444368039</v>
      </c>
    </row>
    <row r="3227">
      <c r="A3227" s="1" t="s">
        <v>57</v>
      </c>
      <c r="B3227" s="38">
        <v>594798.0</v>
      </c>
      <c r="C3227" s="72">
        <v>45924.0</v>
      </c>
      <c r="D3227" s="38">
        <v>74.0</v>
      </c>
      <c r="E3227" s="75"/>
      <c r="F3227" s="67">
        <v>4.961484846</v>
      </c>
      <c r="G3227" s="40">
        <v>1.729403984</v>
      </c>
      <c r="H3227" s="40"/>
      <c r="I3227" s="41">
        <v>0.5</v>
      </c>
      <c r="J3227" s="41">
        <v>0.108108108</v>
      </c>
      <c r="K3227" s="41">
        <v>0.391891892</v>
      </c>
      <c r="L3227" s="41"/>
      <c r="M3227" s="74">
        <v>1.250284583</v>
      </c>
    </row>
    <row r="3228">
      <c r="A3228" s="1" t="s">
        <v>584</v>
      </c>
      <c r="B3228" s="38">
        <v>657006.0</v>
      </c>
      <c r="C3228" s="72">
        <v>45735.0</v>
      </c>
      <c r="D3228" s="38">
        <v>63.0</v>
      </c>
      <c r="E3228" s="75"/>
      <c r="F3228" s="67">
        <v>4.961252537</v>
      </c>
      <c r="G3228" s="40">
        <v>1.511731385</v>
      </c>
      <c r="H3228" s="40"/>
      <c r="I3228" s="41">
        <v>0.444444444</v>
      </c>
      <c r="J3228" s="41">
        <v>0.238095238</v>
      </c>
      <c r="K3228" s="41">
        <v>0.317460317</v>
      </c>
      <c r="L3228" s="41"/>
      <c r="M3228" s="74">
        <v>-0.906761092</v>
      </c>
    </row>
    <row r="3229">
      <c r="A3229" s="1" t="s">
        <v>294</v>
      </c>
      <c r="B3229" s="38">
        <v>665152.0</v>
      </c>
      <c r="C3229" s="72">
        <v>45791.0</v>
      </c>
      <c r="D3229" s="38">
        <v>93.0</v>
      </c>
      <c r="E3229" s="75"/>
      <c r="F3229" s="67">
        <v>4.961017597</v>
      </c>
      <c r="G3229" s="40">
        <v>2.222839504</v>
      </c>
      <c r="H3229" s="40"/>
      <c r="I3229" s="41">
        <v>0.451612903</v>
      </c>
      <c r="J3229" s="41">
        <v>0.247311828</v>
      </c>
      <c r="K3229" s="41">
        <v>0.301075269</v>
      </c>
      <c r="L3229" s="41"/>
      <c r="M3229" s="74">
        <v>-0.627528878</v>
      </c>
    </row>
    <row r="3230">
      <c r="A3230" s="1" t="s">
        <v>416</v>
      </c>
      <c r="B3230" s="38">
        <v>608337.0</v>
      </c>
      <c r="C3230" s="72">
        <v>45900.0</v>
      </c>
      <c r="D3230" s="38">
        <v>90.0</v>
      </c>
      <c r="E3230" s="75"/>
      <c r="F3230" s="67">
        <v>4.960927607</v>
      </c>
      <c r="G3230" s="40">
        <v>2.173481929</v>
      </c>
      <c r="H3230" s="40"/>
      <c r="I3230" s="41">
        <v>0.411111111</v>
      </c>
      <c r="J3230" s="41">
        <v>0.177777778</v>
      </c>
      <c r="K3230" s="41">
        <v>0.411111111</v>
      </c>
      <c r="L3230" s="41"/>
      <c r="M3230" s="74">
        <v>1.315733486</v>
      </c>
    </row>
    <row r="3231">
      <c r="A3231" s="1" t="s">
        <v>454</v>
      </c>
      <c r="B3231" s="38">
        <v>674370.0</v>
      </c>
      <c r="C3231" s="72">
        <v>45769.0</v>
      </c>
      <c r="D3231" s="38">
        <v>90.0</v>
      </c>
      <c r="E3231" s="75"/>
      <c r="F3231" s="67">
        <v>4.960564708</v>
      </c>
      <c r="G3231" s="40">
        <v>2.178235304</v>
      </c>
      <c r="H3231" s="40"/>
      <c r="I3231" s="41">
        <v>0.433333333</v>
      </c>
      <c r="J3231" s="41">
        <v>0.2</v>
      </c>
      <c r="K3231" s="41">
        <v>0.366666667</v>
      </c>
      <c r="L3231" s="41"/>
      <c r="M3231" s="74">
        <v>-2.209554934</v>
      </c>
    </row>
    <row r="3232">
      <c r="A3232" s="1" t="s">
        <v>275</v>
      </c>
      <c r="B3232" s="38">
        <v>693821.0</v>
      </c>
      <c r="C3232" s="72">
        <v>45877.0</v>
      </c>
      <c r="D3232" s="38">
        <v>97.0</v>
      </c>
      <c r="E3232" s="75"/>
      <c r="F3232" s="67">
        <v>4.96041712</v>
      </c>
      <c r="G3232" s="40">
        <v>2.358669779</v>
      </c>
      <c r="H3232" s="40"/>
      <c r="I3232" s="41">
        <v>0.412371134</v>
      </c>
      <c r="J3232" s="41">
        <v>0.175257732</v>
      </c>
      <c r="K3232" s="41">
        <v>0.412371134</v>
      </c>
      <c r="L3232" s="41"/>
      <c r="M3232" s="74">
        <v>-0.96648851</v>
      </c>
    </row>
    <row r="3233">
      <c r="A3233" s="1" t="s">
        <v>256</v>
      </c>
      <c r="B3233" s="38">
        <v>571760.0</v>
      </c>
      <c r="C3233" s="72">
        <v>45803.0</v>
      </c>
      <c r="D3233" s="38">
        <v>73.0</v>
      </c>
      <c r="E3233" s="75"/>
      <c r="F3233" s="67">
        <v>4.960322986</v>
      </c>
      <c r="G3233" s="40">
        <v>1.799407509</v>
      </c>
      <c r="H3233" s="40"/>
      <c r="I3233" s="41">
        <v>0.493150685</v>
      </c>
      <c r="J3233" s="41">
        <v>0.178082192</v>
      </c>
      <c r="K3233" s="41">
        <v>0.328767123</v>
      </c>
      <c r="L3233" s="41"/>
      <c r="M3233" s="74">
        <v>-3.937751344</v>
      </c>
    </row>
    <row r="3234">
      <c r="A3234" s="1" t="s">
        <v>376</v>
      </c>
      <c r="B3234" s="38">
        <v>668909.0</v>
      </c>
      <c r="C3234" s="72">
        <v>45923.0</v>
      </c>
      <c r="D3234" s="38">
        <v>88.0</v>
      </c>
      <c r="E3234" s="75"/>
      <c r="F3234" s="67">
        <v>4.960271089</v>
      </c>
      <c r="G3234" s="40">
        <v>2.11174463</v>
      </c>
      <c r="H3234" s="40"/>
      <c r="I3234" s="41">
        <v>0.443181818</v>
      </c>
      <c r="J3234" s="41">
        <v>0.204545455</v>
      </c>
      <c r="K3234" s="41">
        <v>0.352272727</v>
      </c>
      <c r="L3234" s="41"/>
      <c r="M3234" s="74">
        <v>0.69963847</v>
      </c>
    </row>
    <row r="3235">
      <c r="A3235" s="1" t="s">
        <v>290</v>
      </c>
      <c r="B3235" s="38">
        <v>669461.0</v>
      </c>
      <c r="C3235" s="72">
        <v>45843.0</v>
      </c>
      <c r="D3235" s="38">
        <v>91.0</v>
      </c>
      <c r="E3235" s="75"/>
      <c r="F3235" s="67">
        <v>4.959891493</v>
      </c>
      <c r="G3235" s="40">
        <v>2.176942918</v>
      </c>
      <c r="H3235" s="40"/>
      <c r="I3235" s="41">
        <v>0.417582418</v>
      </c>
      <c r="J3235" s="41">
        <v>0.120879121</v>
      </c>
      <c r="K3235" s="41">
        <v>0.461538462</v>
      </c>
      <c r="L3235" s="41"/>
      <c r="M3235" s="74">
        <v>0.180600183</v>
      </c>
    </row>
    <row r="3236">
      <c r="A3236" s="1" t="s">
        <v>209</v>
      </c>
      <c r="B3236" s="38">
        <v>694738.0</v>
      </c>
      <c r="C3236" s="72">
        <v>45840.0</v>
      </c>
      <c r="D3236" s="38">
        <v>78.0</v>
      </c>
      <c r="E3236" s="75"/>
      <c r="F3236" s="67">
        <v>4.959878618</v>
      </c>
      <c r="G3236" s="40">
        <v>1.827535996</v>
      </c>
      <c r="H3236" s="40"/>
      <c r="I3236" s="41">
        <v>0.435897436</v>
      </c>
      <c r="J3236" s="41">
        <v>0.256410256</v>
      </c>
      <c r="K3236" s="41">
        <v>0.307692308</v>
      </c>
      <c r="L3236" s="41"/>
      <c r="M3236" s="74">
        <v>-0.262305261</v>
      </c>
    </row>
    <row r="3237">
      <c r="A3237" s="1" t="s">
        <v>272</v>
      </c>
      <c r="B3237" s="38">
        <v>622491.0</v>
      </c>
      <c r="C3237" s="72">
        <v>45861.0</v>
      </c>
      <c r="D3237" s="38">
        <v>88.0</v>
      </c>
      <c r="E3237" s="75"/>
      <c r="F3237" s="67">
        <v>4.959772675</v>
      </c>
      <c r="G3237" s="40">
        <v>2.140936072</v>
      </c>
      <c r="H3237" s="40"/>
      <c r="I3237" s="41">
        <v>0.465909091</v>
      </c>
      <c r="J3237" s="41">
        <v>0.136363636</v>
      </c>
      <c r="K3237" s="41">
        <v>0.397727273</v>
      </c>
      <c r="L3237" s="41"/>
      <c r="M3237" s="74">
        <v>-4.214791607</v>
      </c>
    </row>
    <row r="3238">
      <c r="A3238" s="1" t="s">
        <v>416</v>
      </c>
      <c r="B3238" s="38">
        <v>608337.0</v>
      </c>
      <c r="C3238" s="72">
        <v>45788.0</v>
      </c>
      <c r="D3238" s="38">
        <v>83.0</v>
      </c>
      <c r="E3238" s="75"/>
      <c r="F3238" s="67">
        <v>4.959633652</v>
      </c>
      <c r="G3238" s="40">
        <v>2.004311835</v>
      </c>
      <c r="H3238" s="40"/>
      <c r="I3238" s="41">
        <v>0.493975904</v>
      </c>
      <c r="J3238" s="41">
        <v>0.120481928</v>
      </c>
      <c r="K3238" s="41">
        <v>0.385542169</v>
      </c>
      <c r="L3238" s="41"/>
      <c r="M3238" s="74">
        <v>2.047973469</v>
      </c>
    </row>
    <row r="3239">
      <c r="A3239" s="1" t="s">
        <v>354</v>
      </c>
      <c r="B3239" s="38">
        <v>669022.0</v>
      </c>
      <c r="C3239" s="72">
        <v>45781.0</v>
      </c>
      <c r="D3239" s="38">
        <v>98.0</v>
      </c>
      <c r="E3239" s="75"/>
      <c r="F3239" s="67">
        <v>4.959238363</v>
      </c>
      <c r="G3239" s="40">
        <v>2.345814426</v>
      </c>
      <c r="H3239" s="40"/>
      <c r="I3239" s="41">
        <v>0.479591837</v>
      </c>
      <c r="J3239" s="41">
        <v>0.193877551</v>
      </c>
      <c r="K3239" s="41">
        <v>0.326530612</v>
      </c>
      <c r="L3239" s="41"/>
      <c r="M3239" s="74">
        <v>0.627915676</v>
      </c>
    </row>
    <row r="3240">
      <c r="A3240" s="1" t="s">
        <v>428</v>
      </c>
      <c r="B3240" s="38">
        <v>670102.0</v>
      </c>
      <c r="C3240" s="72">
        <v>45765.0</v>
      </c>
      <c r="D3240" s="38">
        <v>77.0</v>
      </c>
      <c r="E3240" s="75"/>
      <c r="F3240" s="67">
        <v>4.959202325</v>
      </c>
      <c r="G3240" s="40">
        <v>1.865465324</v>
      </c>
      <c r="H3240" s="40"/>
      <c r="I3240" s="41">
        <v>0.493506494</v>
      </c>
      <c r="J3240" s="41">
        <v>0.12987013</v>
      </c>
      <c r="K3240" s="41">
        <v>0.376623377</v>
      </c>
      <c r="L3240" s="41"/>
      <c r="M3240" s="74">
        <v>-0.711252169</v>
      </c>
    </row>
    <row r="3241">
      <c r="A3241" s="1" t="s">
        <v>100</v>
      </c>
      <c r="B3241" s="38">
        <v>676979.0</v>
      </c>
      <c r="C3241" s="72">
        <v>45864.0</v>
      </c>
      <c r="D3241" s="38">
        <v>99.0</v>
      </c>
      <c r="E3241" s="75"/>
      <c r="F3241" s="67">
        <v>4.95915481</v>
      </c>
      <c r="G3241" s="40">
        <v>2.391949182</v>
      </c>
      <c r="H3241" s="40"/>
      <c r="I3241" s="41">
        <v>0.505050505</v>
      </c>
      <c r="J3241" s="41">
        <v>0.161616162</v>
      </c>
      <c r="K3241" s="41">
        <v>0.333333333</v>
      </c>
      <c r="L3241" s="41"/>
      <c r="M3241" s="74">
        <v>-2.944459974</v>
      </c>
    </row>
    <row r="3242">
      <c r="A3242" s="1" t="s">
        <v>145</v>
      </c>
      <c r="B3242" s="38">
        <v>700241.0</v>
      </c>
      <c r="C3242" s="72">
        <v>45865.0</v>
      </c>
      <c r="D3242" s="38">
        <v>95.0</v>
      </c>
      <c r="E3242" s="75"/>
      <c r="F3242" s="67">
        <v>4.959120283</v>
      </c>
      <c r="G3242" s="40">
        <v>2.301043381</v>
      </c>
      <c r="H3242" s="40"/>
      <c r="I3242" s="41">
        <v>0.368421053</v>
      </c>
      <c r="J3242" s="41">
        <v>0.252631579</v>
      </c>
      <c r="K3242" s="41">
        <v>0.378947368</v>
      </c>
      <c r="L3242" s="41"/>
      <c r="M3242" s="74">
        <v>-3.120312299</v>
      </c>
    </row>
    <row r="3243">
      <c r="A3243" s="1" t="s">
        <v>176</v>
      </c>
      <c r="B3243" s="38">
        <v>686218.0</v>
      </c>
      <c r="C3243" s="72">
        <v>45863.0</v>
      </c>
      <c r="D3243" s="38">
        <v>75.0</v>
      </c>
      <c r="E3243" s="75"/>
      <c r="F3243" s="67">
        <v>4.958666799</v>
      </c>
      <c r="G3243" s="40">
        <v>1.772716148</v>
      </c>
      <c r="H3243" s="40"/>
      <c r="I3243" s="41">
        <v>0.48</v>
      </c>
      <c r="J3243" s="41">
        <v>0.106666667</v>
      </c>
      <c r="K3243" s="41">
        <v>0.413333333</v>
      </c>
      <c r="L3243" s="41"/>
      <c r="M3243" s="74">
        <v>0.305557453</v>
      </c>
    </row>
    <row r="3244">
      <c r="A3244" s="1" t="s">
        <v>588</v>
      </c>
      <c r="B3244" s="38">
        <v>502043.0</v>
      </c>
      <c r="C3244" s="72">
        <v>45776.0</v>
      </c>
      <c r="D3244" s="38">
        <v>72.0</v>
      </c>
      <c r="E3244" s="75"/>
      <c r="F3244" s="67">
        <v>4.958382899</v>
      </c>
      <c r="G3244" s="40">
        <v>1.764396085</v>
      </c>
      <c r="H3244" s="40"/>
      <c r="I3244" s="41">
        <v>0.472222222</v>
      </c>
      <c r="J3244" s="41">
        <v>0.138888889</v>
      </c>
      <c r="K3244" s="41">
        <v>0.388888889</v>
      </c>
      <c r="L3244" s="41"/>
      <c r="M3244" s="74">
        <v>-6.87750382</v>
      </c>
    </row>
    <row r="3245">
      <c r="A3245" s="1" t="s">
        <v>331</v>
      </c>
      <c r="B3245" s="38">
        <v>672456.0</v>
      </c>
      <c r="C3245" s="72">
        <v>45920.0</v>
      </c>
      <c r="D3245" s="38">
        <v>67.0</v>
      </c>
      <c r="E3245" s="75"/>
      <c r="F3245" s="67">
        <v>4.958319464</v>
      </c>
      <c r="G3245" s="40">
        <v>1.572363786</v>
      </c>
      <c r="H3245" s="40"/>
      <c r="I3245" s="41">
        <v>0.492537313</v>
      </c>
      <c r="J3245" s="41">
        <v>0.149253731</v>
      </c>
      <c r="K3245" s="41">
        <v>0.358208955</v>
      </c>
      <c r="L3245" s="41"/>
      <c r="M3245" s="74">
        <v>1.253321792</v>
      </c>
    </row>
    <row r="3246">
      <c r="A3246" s="1" t="s">
        <v>99</v>
      </c>
      <c r="B3246" s="38">
        <v>592791.0</v>
      </c>
      <c r="C3246" s="72">
        <v>45915.0</v>
      </c>
      <c r="D3246" s="38">
        <v>87.0</v>
      </c>
      <c r="E3246" s="75"/>
      <c r="F3246" s="67">
        <v>4.958193998</v>
      </c>
      <c r="G3246" s="40">
        <v>2.106502074</v>
      </c>
      <c r="H3246" s="40"/>
      <c r="I3246" s="41">
        <v>0.425287356</v>
      </c>
      <c r="J3246" s="41">
        <v>0.229885057</v>
      </c>
      <c r="K3246" s="41">
        <v>0.344827586</v>
      </c>
      <c r="L3246" s="41"/>
      <c r="M3246" s="74">
        <v>4.428576989</v>
      </c>
    </row>
    <row r="3247">
      <c r="A3247" s="1" t="s">
        <v>366</v>
      </c>
      <c r="B3247" s="38">
        <v>656550.0</v>
      </c>
      <c r="C3247" s="72">
        <v>45849.0</v>
      </c>
      <c r="D3247" s="38">
        <v>82.0</v>
      </c>
      <c r="E3247" s="75"/>
      <c r="F3247" s="67">
        <v>4.958189826</v>
      </c>
      <c r="G3247" s="40">
        <v>1.976971846</v>
      </c>
      <c r="H3247" s="40"/>
      <c r="I3247" s="41">
        <v>0.426829268</v>
      </c>
      <c r="J3247" s="41">
        <v>0.146341463</v>
      </c>
      <c r="K3247" s="41">
        <v>0.426829268</v>
      </c>
      <c r="L3247" s="41"/>
      <c r="M3247" s="74">
        <v>-3.482773862</v>
      </c>
    </row>
    <row r="3248">
      <c r="A3248" s="1" t="s">
        <v>290</v>
      </c>
      <c r="B3248" s="38">
        <v>669461.0</v>
      </c>
      <c r="C3248" s="72">
        <v>45849.0</v>
      </c>
      <c r="D3248" s="38">
        <v>69.0</v>
      </c>
      <c r="E3248" s="75"/>
      <c r="F3248" s="67">
        <v>4.957895963</v>
      </c>
      <c r="G3248" s="40">
        <v>1.678338809</v>
      </c>
      <c r="H3248" s="40"/>
      <c r="I3248" s="41">
        <v>0.405797101</v>
      </c>
      <c r="J3248" s="41">
        <v>0.217391304</v>
      </c>
      <c r="K3248" s="41">
        <v>0.376811594</v>
      </c>
      <c r="L3248" s="41"/>
      <c r="M3248" s="74">
        <v>-4.077294175</v>
      </c>
    </row>
    <row r="3249">
      <c r="A3249" s="1" t="s">
        <v>477</v>
      </c>
      <c r="B3249" s="38">
        <v>677958.0</v>
      </c>
      <c r="C3249" s="72">
        <v>45864.0</v>
      </c>
      <c r="D3249" s="38">
        <v>94.0</v>
      </c>
      <c r="E3249" s="75"/>
      <c r="F3249" s="67">
        <v>4.957881247</v>
      </c>
      <c r="G3249" s="40">
        <v>2.264808376</v>
      </c>
      <c r="H3249" s="40"/>
      <c r="I3249" s="41">
        <v>0.382978723</v>
      </c>
      <c r="J3249" s="41">
        <v>0.20212766</v>
      </c>
      <c r="K3249" s="41">
        <v>0.414893617</v>
      </c>
      <c r="L3249" s="41"/>
      <c r="M3249" s="74">
        <v>1.605802493</v>
      </c>
    </row>
    <row r="3250">
      <c r="A3250" s="1" t="s">
        <v>209</v>
      </c>
      <c r="B3250" s="38">
        <v>694738.0</v>
      </c>
      <c r="C3250" s="72">
        <v>45777.0</v>
      </c>
      <c r="D3250" s="38">
        <v>88.0</v>
      </c>
      <c r="E3250" s="75"/>
      <c r="F3250" s="67">
        <v>4.957877317</v>
      </c>
      <c r="G3250" s="40">
        <v>2.098432476</v>
      </c>
      <c r="H3250" s="40"/>
      <c r="I3250" s="41">
        <v>0.431818182</v>
      </c>
      <c r="J3250" s="41">
        <v>0.204545455</v>
      </c>
      <c r="K3250" s="41">
        <v>0.363636364</v>
      </c>
      <c r="L3250" s="41"/>
      <c r="M3250" s="74">
        <v>-1.818450783</v>
      </c>
    </row>
    <row r="3251">
      <c r="A3251" s="1" t="s">
        <v>251</v>
      </c>
      <c r="B3251" s="38">
        <v>676664.0</v>
      </c>
      <c r="C3251" s="72">
        <v>45825.0</v>
      </c>
      <c r="D3251" s="38">
        <v>73.0</v>
      </c>
      <c r="E3251" s="75"/>
      <c r="F3251" s="67">
        <v>4.957549006</v>
      </c>
      <c r="G3251" s="40">
        <v>1.781612549</v>
      </c>
      <c r="H3251" s="40"/>
      <c r="I3251" s="41">
        <v>0.410958904</v>
      </c>
      <c r="J3251" s="41">
        <v>0.136986301</v>
      </c>
      <c r="K3251" s="41">
        <v>0.452054795</v>
      </c>
      <c r="L3251" s="41"/>
      <c r="M3251" s="74">
        <v>-0.520744611</v>
      </c>
    </row>
    <row r="3252">
      <c r="A3252" s="1" t="s">
        <v>450</v>
      </c>
      <c r="B3252" s="38">
        <v>682990.0</v>
      </c>
      <c r="C3252" s="72">
        <v>45918.0</v>
      </c>
      <c r="D3252" s="38">
        <v>89.0</v>
      </c>
      <c r="E3252" s="75"/>
      <c r="F3252" s="67">
        <v>4.957489941</v>
      </c>
      <c r="G3252" s="40">
        <v>2.134860502</v>
      </c>
      <c r="H3252" s="40"/>
      <c r="I3252" s="41">
        <v>0.426966292</v>
      </c>
      <c r="J3252" s="41">
        <v>0.146067416</v>
      </c>
      <c r="K3252" s="41">
        <v>0.426966292</v>
      </c>
      <c r="L3252" s="41"/>
      <c r="M3252" s="74">
        <v>1.595658404</v>
      </c>
    </row>
    <row r="3253">
      <c r="A3253" s="1" t="s">
        <v>461</v>
      </c>
      <c r="B3253" s="38">
        <v>673540.0</v>
      </c>
      <c r="C3253" s="72">
        <v>45802.0</v>
      </c>
      <c r="D3253" s="38">
        <v>101.0</v>
      </c>
      <c r="E3253" s="75"/>
      <c r="F3253" s="67">
        <v>4.957376766</v>
      </c>
      <c r="G3253" s="40">
        <v>2.411282182</v>
      </c>
      <c r="H3253" s="40"/>
      <c r="I3253" s="41">
        <v>0.495049505</v>
      </c>
      <c r="J3253" s="41">
        <v>0.148514851</v>
      </c>
      <c r="K3253" s="41">
        <v>0.356435644</v>
      </c>
      <c r="L3253" s="41"/>
      <c r="M3253" s="74">
        <v>0.556604018</v>
      </c>
    </row>
    <row r="3254">
      <c r="A3254" s="1" t="s">
        <v>147</v>
      </c>
      <c r="B3254" s="38">
        <v>608379.0</v>
      </c>
      <c r="C3254" s="72">
        <v>45821.0</v>
      </c>
      <c r="D3254" s="38">
        <v>93.0</v>
      </c>
      <c r="E3254" s="75"/>
      <c r="F3254" s="67">
        <v>4.957375883</v>
      </c>
      <c r="G3254" s="40">
        <v>2.257618344</v>
      </c>
      <c r="H3254" s="40"/>
      <c r="I3254" s="41">
        <v>0.483870968</v>
      </c>
      <c r="J3254" s="41">
        <v>0.129032258</v>
      </c>
      <c r="K3254" s="41">
        <v>0.387096774</v>
      </c>
      <c r="L3254" s="41"/>
      <c r="M3254" s="74">
        <v>-3.928439516</v>
      </c>
    </row>
    <row r="3255">
      <c r="A3255" s="1" t="s">
        <v>294</v>
      </c>
      <c r="B3255" s="38">
        <v>665152.0</v>
      </c>
      <c r="C3255" s="72">
        <v>45825.0</v>
      </c>
      <c r="D3255" s="38">
        <v>76.0</v>
      </c>
      <c r="E3255" s="75"/>
      <c r="F3255" s="67">
        <v>4.957337309</v>
      </c>
      <c r="G3255" s="40">
        <v>1.806736073</v>
      </c>
      <c r="H3255" s="40"/>
      <c r="I3255" s="41">
        <v>0.434210526</v>
      </c>
      <c r="J3255" s="41">
        <v>0.171052632</v>
      </c>
      <c r="K3255" s="41">
        <v>0.394736842</v>
      </c>
      <c r="L3255" s="41"/>
      <c r="M3255" s="74">
        <v>1.442255994</v>
      </c>
    </row>
    <row r="3256">
      <c r="A3256" s="1" t="s">
        <v>456</v>
      </c>
      <c r="B3256" s="38">
        <v>605135.0</v>
      </c>
      <c r="C3256" s="72">
        <v>45866.0</v>
      </c>
      <c r="D3256" s="38">
        <v>69.0</v>
      </c>
      <c r="E3256" s="75"/>
      <c r="F3256" s="67">
        <v>4.957256443</v>
      </c>
      <c r="G3256" s="40">
        <v>1.634768742</v>
      </c>
      <c r="H3256" s="40"/>
      <c r="I3256" s="41">
        <v>0.420289855</v>
      </c>
      <c r="J3256" s="41">
        <v>0.217391304</v>
      </c>
      <c r="K3256" s="41">
        <v>0.362318841</v>
      </c>
      <c r="L3256" s="41"/>
      <c r="M3256" s="74">
        <v>-2.460665536</v>
      </c>
    </row>
    <row r="3257">
      <c r="A3257" s="1" t="s">
        <v>361</v>
      </c>
      <c r="B3257" s="38">
        <v>686563.0</v>
      </c>
      <c r="C3257" s="72">
        <v>45768.0</v>
      </c>
      <c r="D3257" s="38">
        <v>87.0</v>
      </c>
      <c r="E3257" s="75"/>
      <c r="F3257" s="67">
        <v>4.957182641</v>
      </c>
      <c r="G3257" s="40">
        <v>2.122062508</v>
      </c>
      <c r="H3257" s="40"/>
      <c r="I3257" s="41">
        <v>0.482758621</v>
      </c>
      <c r="J3257" s="41">
        <v>0.195402299</v>
      </c>
      <c r="K3257" s="41">
        <v>0.32183908</v>
      </c>
      <c r="L3257" s="41"/>
      <c r="M3257" s="74">
        <v>-1.093147384</v>
      </c>
    </row>
    <row r="3258">
      <c r="A3258" s="1" t="s">
        <v>330</v>
      </c>
      <c r="B3258" s="38">
        <v>680730.0</v>
      </c>
      <c r="C3258" s="72">
        <v>45864.0</v>
      </c>
      <c r="D3258" s="38">
        <v>93.0</v>
      </c>
      <c r="E3258" s="75"/>
      <c r="F3258" s="67">
        <v>4.957142406</v>
      </c>
      <c r="G3258" s="40">
        <v>2.248504948</v>
      </c>
      <c r="H3258" s="40"/>
      <c r="I3258" s="41">
        <v>0.494623656</v>
      </c>
      <c r="J3258" s="41">
        <v>0.161290323</v>
      </c>
      <c r="K3258" s="41">
        <v>0.344086022</v>
      </c>
      <c r="L3258" s="41"/>
      <c r="M3258" s="74">
        <v>-1.058284344</v>
      </c>
    </row>
    <row r="3259">
      <c r="A3259" s="1" t="s">
        <v>299</v>
      </c>
      <c r="B3259" s="38">
        <v>621112.0</v>
      </c>
      <c r="C3259" s="72">
        <v>45892.0</v>
      </c>
      <c r="D3259" s="38">
        <v>70.0</v>
      </c>
      <c r="E3259" s="75"/>
      <c r="F3259" s="67">
        <v>4.957099645</v>
      </c>
      <c r="G3259" s="40">
        <v>1.681433951</v>
      </c>
      <c r="H3259" s="40"/>
      <c r="I3259" s="41">
        <v>0.5</v>
      </c>
      <c r="J3259" s="41">
        <v>0.1</v>
      </c>
      <c r="K3259" s="41">
        <v>0.4</v>
      </c>
      <c r="L3259" s="41"/>
      <c r="M3259" s="74">
        <v>-3.835225123</v>
      </c>
    </row>
    <row r="3260">
      <c r="A3260" s="1" t="s">
        <v>115</v>
      </c>
      <c r="B3260" s="38">
        <v>543135.0</v>
      </c>
      <c r="C3260" s="72">
        <v>45880.0</v>
      </c>
      <c r="D3260" s="38">
        <v>81.0</v>
      </c>
      <c r="E3260" s="75"/>
      <c r="F3260" s="67">
        <v>4.957050161</v>
      </c>
      <c r="G3260" s="40">
        <v>1.975013299</v>
      </c>
      <c r="H3260" s="40"/>
      <c r="I3260" s="41">
        <v>0.444444444</v>
      </c>
      <c r="J3260" s="41">
        <v>0.209876543</v>
      </c>
      <c r="K3260" s="41">
        <v>0.345679012</v>
      </c>
      <c r="L3260" s="41"/>
      <c r="M3260" s="74">
        <v>-1.929697843</v>
      </c>
    </row>
    <row r="3261">
      <c r="A3261" s="1" t="s">
        <v>521</v>
      </c>
      <c r="B3261" s="38">
        <v>686799.0</v>
      </c>
      <c r="C3261" s="72">
        <v>45781.0</v>
      </c>
      <c r="D3261" s="38">
        <v>73.0</v>
      </c>
      <c r="E3261" s="75"/>
      <c r="F3261" s="67">
        <v>4.956848046</v>
      </c>
      <c r="G3261" s="40">
        <v>1.762571235</v>
      </c>
      <c r="H3261" s="40"/>
      <c r="I3261" s="41">
        <v>0.479452055</v>
      </c>
      <c r="J3261" s="41">
        <v>0.178082192</v>
      </c>
      <c r="K3261" s="41">
        <v>0.342465753</v>
      </c>
      <c r="L3261" s="41"/>
      <c r="M3261" s="74">
        <v>-2.646357783</v>
      </c>
    </row>
    <row r="3262">
      <c r="A3262" s="1" t="s">
        <v>272</v>
      </c>
      <c r="B3262" s="38">
        <v>622491.0</v>
      </c>
      <c r="C3262" s="72">
        <v>45856.0</v>
      </c>
      <c r="D3262" s="38">
        <v>99.0</v>
      </c>
      <c r="E3262" s="75"/>
      <c r="F3262" s="67">
        <v>4.956692583</v>
      </c>
      <c r="G3262" s="40">
        <v>2.381971012</v>
      </c>
      <c r="H3262" s="40"/>
      <c r="I3262" s="41">
        <v>0.464646465</v>
      </c>
      <c r="J3262" s="41">
        <v>0.222222222</v>
      </c>
      <c r="K3262" s="41">
        <v>0.313131313</v>
      </c>
      <c r="L3262" s="41"/>
      <c r="M3262" s="74">
        <v>3.201610762</v>
      </c>
    </row>
    <row r="3263">
      <c r="A3263" s="1" t="s">
        <v>133</v>
      </c>
      <c r="B3263" s="38">
        <v>663978.0</v>
      </c>
      <c r="C3263" s="72">
        <v>45792.0</v>
      </c>
      <c r="D3263" s="38">
        <v>87.0</v>
      </c>
      <c r="E3263" s="75"/>
      <c r="F3263" s="67">
        <v>4.956359116</v>
      </c>
      <c r="G3263" s="40">
        <v>2.07929813</v>
      </c>
      <c r="H3263" s="40"/>
      <c r="I3263" s="41">
        <v>0.448275862</v>
      </c>
      <c r="J3263" s="41">
        <v>0.287356322</v>
      </c>
      <c r="K3263" s="41">
        <v>0.264367816</v>
      </c>
      <c r="L3263" s="41"/>
      <c r="M3263" s="74">
        <v>1.773223733</v>
      </c>
    </row>
    <row r="3264">
      <c r="A3264" s="1" t="s">
        <v>323</v>
      </c>
      <c r="B3264" s="38">
        <v>691587.0</v>
      </c>
      <c r="C3264" s="72">
        <v>45927.0</v>
      </c>
      <c r="D3264" s="38">
        <v>100.0</v>
      </c>
      <c r="E3264" s="75"/>
      <c r="F3264" s="67">
        <v>4.956343499</v>
      </c>
      <c r="G3264" s="40">
        <v>2.391571764</v>
      </c>
      <c r="H3264" s="40"/>
      <c r="I3264" s="41">
        <v>0.48</v>
      </c>
      <c r="J3264" s="41">
        <v>0.12</v>
      </c>
      <c r="K3264" s="41">
        <v>0.4</v>
      </c>
      <c r="L3264" s="41"/>
      <c r="M3264" s="74">
        <v>0.712592573</v>
      </c>
    </row>
    <row r="3265">
      <c r="A3265" s="1" t="s">
        <v>452</v>
      </c>
      <c r="B3265" s="38">
        <v>607625.0</v>
      </c>
      <c r="C3265" s="72">
        <v>45867.0</v>
      </c>
      <c r="D3265" s="38">
        <v>91.0</v>
      </c>
      <c r="E3265" s="75"/>
      <c r="F3265" s="67">
        <v>4.955948059</v>
      </c>
      <c r="G3265" s="40">
        <v>2.192303602</v>
      </c>
      <c r="H3265" s="40"/>
      <c r="I3265" s="41">
        <v>0.428571429</v>
      </c>
      <c r="J3265" s="41">
        <v>0.230769231</v>
      </c>
      <c r="K3265" s="41">
        <v>0.340659341</v>
      </c>
      <c r="L3265" s="41"/>
      <c r="M3265" s="74">
        <v>-1.861841144</v>
      </c>
    </row>
    <row r="3266">
      <c r="A3266" s="1" t="s">
        <v>282</v>
      </c>
      <c r="B3266" s="38">
        <v>656302.0</v>
      </c>
      <c r="C3266" s="72">
        <v>45802.0</v>
      </c>
      <c r="D3266" s="38">
        <v>87.0</v>
      </c>
      <c r="E3266" s="75"/>
      <c r="F3266" s="67">
        <v>4.95587544</v>
      </c>
      <c r="G3266" s="40">
        <v>2.06547333</v>
      </c>
      <c r="H3266" s="40"/>
      <c r="I3266" s="41">
        <v>0.436781609</v>
      </c>
      <c r="J3266" s="41">
        <v>0.103448276</v>
      </c>
      <c r="K3266" s="41">
        <v>0.459770115</v>
      </c>
      <c r="L3266" s="41"/>
      <c r="M3266" s="74">
        <v>-2.2422577</v>
      </c>
    </row>
    <row r="3267">
      <c r="A3267" s="1" t="s">
        <v>450</v>
      </c>
      <c r="B3267" s="38">
        <v>682990.0</v>
      </c>
      <c r="C3267" s="72">
        <v>45836.0</v>
      </c>
      <c r="D3267" s="38">
        <v>91.0</v>
      </c>
      <c r="E3267" s="75"/>
      <c r="F3267" s="67">
        <v>4.955870419</v>
      </c>
      <c r="G3267" s="40">
        <v>2.213526644</v>
      </c>
      <c r="H3267" s="40"/>
      <c r="I3267" s="41">
        <v>0.406593407</v>
      </c>
      <c r="J3267" s="41">
        <v>0.21978022</v>
      </c>
      <c r="K3267" s="41">
        <v>0.373626374</v>
      </c>
      <c r="L3267" s="41"/>
      <c r="M3267" s="74">
        <v>4.941759281</v>
      </c>
    </row>
    <row r="3268">
      <c r="A3268" s="1" t="s">
        <v>592</v>
      </c>
      <c r="B3268" s="38">
        <v>682989.0</v>
      </c>
      <c r="C3268" s="72">
        <v>45892.0</v>
      </c>
      <c r="D3268" s="38">
        <v>67.0</v>
      </c>
      <c r="E3268" s="75"/>
      <c r="F3268" s="67">
        <v>4.955653564</v>
      </c>
      <c r="G3268" s="40">
        <v>1.612431614</v>
      </c>
      <c r="H3268" s="40"/>
      <c r="I3268" s="41">
        <v>0.447761194</v>
      </c>
      <c r="J3268" s="41">
        <v>0.149253731</v>
      </c>
      <c r="K3268" s="41">
        <v>0.402985075</v>
      </c>
      <c r="L3268" s="41"/>
      <c r="M3268" s="74">
        <v>0.105340944</v>
      </c>
    </row>
    <row r="3269">
      <c r="A3269" s="1" t="s">
        <v>453</v>
      </c>
      <c r="B3269" s="38">
        <v>592836.0</v>
      </c>
      <c r="C3269" s="72">
        <v>45885.0</v>
      </c>
      <c r="D3269" s="38">
        <v>92.0</v>
      </c>
      <c r="E3269" s="75"/>
      <c r="F3269" s="67">
        <v>4.955204065</v>
      </c>
      <c r="G3269" s="40">
        <v>2.245984095</v>
      </c>
      <c r="H3269" s="40"/>
      <c r="I3269" s="41">
        <v>0.391304348</v>
      </c>
      <c r="J3269" s="41">
        <v>0.239130435</v>
      </c>
      <c r="K3269" s="41">
        <v>0.369565217</v>
      </c>
      <c r="L3269" s="41"/>
      <c r="M3269" s="74">
        <v>1.066111809</v>
      </c>
    </row>
    <row r="3270">
      <c r="A3270" s="1" t="s">
        <v>329</v>
      </c>
      <c r="B3270" s="38">
        <v>669160.0</v>
      </c>
      <c r="C3270" s="72">
        <v>45829.0</v>
      </c>
      <c r="D3270" s="38">
        <v>83.0</v>
      </c>
      <c r="E3270" s="75"/>
      <c r="F3270" s="67">
        <v>4.955019245</v>
      </c>
      <c r="G3270" s="40">
        <v>1.98601524</v>
      </c>
      <c r="H3270" s="40"/>
      <c r="I3270" s="41">
        <v>0.493975904</v>
      </c>
      <c r="J3270" s="41">
        <v>0.120481928</v>
      </c>
      <c r="K3270" s="41">
        <v>0.385542169</v>
      </c>
      <c r="L3270" s="41"/>
      <c r="M3270" s="74">
        <v>-1.162565517</v>
      </c>
    </row>
    <row r="3271">
      <c r="A3271" s="1" t="s">
        <v>228</v>
      </c>
      <c r="B3271" s="38">
        <v>687473.0</v>
      </c>
      <c r="C3271" s="72">
        <v>45896.0</v>
      </c>
      <c r="D3271" s="38">
        <v>92.0</v>
      </c>
      <c r="E3271" s="75"/>
      <c r="F3271" s="67">
        <v>4.955017694</v>
      </c>
      <c r="G3271" s="40">
        <v>2.231319446</v>
      </c>
      <c r="H3271" s="40"/>
      <c r="I3271" s="41">
        <v>0.489130435</v>
      </c>
      <c r="J3271" s="41">
        <v>0.119565217</v>
      </c>
      <c r="K3271" s="41">
        <v>0.391304348</v>
      </c>
      <c r="L3271" s="41"/>
      <c r="M3271" s="74">
        <v>-0.42089068</v>
      </c>
    </row>
    <row r="3272">
      <c r="A3272" s="1" t="s">
        <v>473</v>
      </c>
      <c r="B3272" s="38">
        <v>527048.0</v>
      </c>
      <c r="C3272" s="72">
        <v>45912.0</v>
      </c>
      <c r="D3272" s="38">
        <v>96.0</v>
      </c>
      <c r="E3272" s="75"/>
      <c r="F3272" s="67">
        <v>4.954929533</v>
      </c>
      <c r="G3272" s="40">
        <v>2.300532324</v>
      </c>
      <c r="H3272" s="40"/>
      <c r="I3272" s="41">
        <v>0.416666667</v>
      </c>
      <c r="J3272" s="41">
        <v>0.166666667</v>
      </c>
      <c r="K3272" s="41">
        <v>0.416666667</v>
      </c>
      <c r="L3272" s="41"/>
      <c r="M3272" s="74">
        <v>1.123769841</v>
      </c>
    </row>
    <row r="3273">
      <c r="A3273" s="1" t="s">
        <v>481</v>
      </c>
      <c r="B3273" s="38">
        <v>622608.0</v>
      </c>
      <c r="C3273" s="72">
        <v>45745.0</v>
      </c>
      <c r="D3273" s="38">
        <v>72.0</v>
      </c>
      <c r="E3273" s="75"/>
      <c r="F3273" s="67">
        <v>4.954917038</v>
      </c>
      <c r="G3273" s="40">
        <v>1.764470656</v>
      </c>
      <c r="H3273" s="40"/>
      <c r="I3273" s="41">
        <v>0.444444444</v>
      </c>
      <c r="J3273" s="41">
        <v>0.180555556</v>
      </c>
      <c r="K3273" s="41">
        <v>0.375</v>
      </c>
      <c r="L3273" s="41"/>
      <c r="M3273" s="74">
        <v>-4.096898325</v>
      </c>
    </row>
    <row r="3274">
      <c r="A3274" s="1" t="s">
        <v>308</v>
      </c>
      <c r="B3274" s="38">
        <v>676440.0</v>
      </c>
      <c r="C3274" s="72">
        <v>45912.0</v>
      </c>
      <c r="D3274" s="38">
        <v>101.0</v>
      </c>
      <c r="E3274" s="75"/>
      <c r="F3274" s="67">
        <v>4.954655236</v>
      </c>
      <c r="G3274" s="40">
        <v>2.464761725</v>
      </c>
      <c r="H3274" s="40"/>
      <c r="I3274" s="41">
        <v>0.435643564</v>
      </c>
      <c r="J3274" s="41">
        <v>0.198019802</v>
      </c>
      <c r="K3274" s="41">
        <v>0.366336634</v>
      </c>
      <c r="L3274" s="41"/>
      <c r="M3274" s="74">
        <v>3.825998156</v>
      </c>
    </row>
    <row r="3275">
      <c r="A3275" s="1" t="s">
        <v>175</v>
      </c>
      <c r="B3275" s="38">
        <v>622503.0</v>
      </c>
      <c r="C3275" s="72">
        <v>45925.0</v>
      </c>
      <c r="D3275" s="38">
        <v>68.0</v>
      </c>
      <c r="E3275" s="75"/>
      <c r="F3275" s="67">
        <v>4.954474021</v>
      </c>
      <c r="G3275" s="40">
        <v>1.664090571</v>
      </c>
      <c r="H3275" s="40"/>
      <c r="I3275" s="41">
        <v>0.426470588</v>
      </c>
      <c r="J3275" s="41">
        <v>0.147058824</v>
      </c>
      <c r="K3275" s="41">
        <v>0.426470588</v>
      </c>
      <c r="L3275" s="41"/>
      <c r="M3275" s="74">
        <v>-2.077125995</v>
      </c>
    </row>
    <row r="3276">
      <c r="A3276" s="1" t="s">
        <v>307</v>
      </c>
      <c r="B3276" s="38">
        <v>656849.0</v>
      </c>
      <c r="C3276" s="72">
        <v>45825.0</v>
      </c>
      <c r="D3276" s="38">
        <v>90.0</v>
      </c>
      <c r="E3276" s="75"/>
      <c r="F3276" s="67">
        <v>4.954356323</v>
      </c>
      <c r="G3276" s="40">
        <v>2.206483229</v>
      </c>
      <c r="H3276" s="40"/>
      <c r="I3276" s="41">
        <v>0.466666667</v>
      </c>
      <c r="J3276" s="41">
        <v>0.144444444</v>
      </c>
      <c r="K3276" s="41">
        <v>0.388888889</v>
      </c>
      <c r="L3276" s="41"/>
      <c r="M3276" s="74">
        <v>0.226105143</v>
      </c>
    </row>
    <row r="3277">
      <c r="A3277" s="1" t="s">
        <v>331</v>
      </c>
      <c r="B3277" s="38">
        <v>672456.0</v>
      </c>
      <c r="C3277" s="72">
        <v>45763.0</v>
      </c>
      <c r="D3277" s="38">
        <v>83.0</v>
      </c>
      <c r="E3277" s="75"/>
      <c r="F3277" s="67">
        <v>4.954302596</v>
      </c>
      <c r="G3277" s="40">
        <v>2.010490853</v>
      </c>
      <c r="H3277" s="40"/>
      <c r="I3277" s="41">
        <v>0.397590361</v>
      </c>
      <c r="J3277" s="41">
        <v>0.228915663</v>
      </c>
      <c r="K3277" s="41">
        <v>0.373493976</v>
      </c>
      <c r="L3277" s="41"/>
      <c r="M3277" s="74">
        <v>-3.256491905</v>
      </c>
    </row>
    <row r="3278">
      <c r="A3278" s="1" t="s">
        <v>603</v>
      </c>
      <c r="B3278" s="38">
        <v>608334.0</v>
      </c>
      <c r="C3278" s="72">
        <v>45848.0</v>
      </c>
      <c r="D3278" s="38">
        <v>88.0</v>
      </c>
      <c r="E3278" s="75"/>
      <c r="F3278" s="67">
        <v>4.95409828</v>
      </c>
      <c r="G3278" s="40">
        <v>2.127571271</v>
      </c>
      <c r="H3278" s="40"/>
      <c r="I3278" s="41">
        <v>0.488636364</v>
      </c>
      <c r="J3278" s="41">
        <v>0.102272727</v>
      </c>
      <c r="K3278" s="41">
        <v>0.409090909</v>
      </c>
      <c r="L3278" s="41"/>
      <c r="M3278" s="74">
        <v>-0.289269334</v>
      </c>
    </row>
    <row r="3279">
      <c r="A3279" s="1" t="s">
        <v>296</v>
      </c>
      <c r="B3279" s="38">
        <v>669372.0</v>
      </c>
      <c r="C3279" s="72">
        <v>45759.0</v>
      </c>
      <c r="D3279" s="38">
        <v>88.0</v>
      </c>
      <c r="E3279" s="75"/>
      <c r="F3279" s="67">
        <v>4.953638492</v>
      </c>
      <c r="G3279" s="40">
        <v>2.120071257</v>
      </c>
      <c r="H3279" s="40"/>
      <c r="I3279" s="41">
        <v>0.465909091</v>
      </c>
      <c r="J3279" s="41">
        <v>0.147727273</v>
      </c>
      <c r="K3279" s="41">
        <v>0.386363636</v>
      </c>
      <c r="L3279" s="41"/>
      <c r="M3279" s="74">
        <v>0.396142037</v>
      </c>
    </row>
    <row r="3280">
      <c r="A3280" s="1" t="s">
        <v>374</v>
      </c>
      <c r="B3280" s="38">
        <v>683004.0</v>
      </c>
      <c r="C3280" s="72">
        <v>45837.0</v>
      </c>
      <c r="D3280" s="38">
        <v>81.0</v>
      </c>
      <c r="E3280" s="75"/>
      <c r="F3280" s="67">
        <v>4.95361705</v>
      </c>
      <c r="G3280" s="40">
        <v>1.972637695</v>
      </c>
      <c r="H3280" s="40"/>
      <c r="I3280" s="41">
        <v>0.395061728</v>
      </c>
      <c r="J3280" s="41">
        <v>0.172839506</v>
      </c>
      <c r="K3280" s="41">
        <v>0.432098765</v>
      </c>
      <c r="L3280" s="41"/>
      <c r="M3280" s="74">
        <v>-2.259300579</v>
      </c>
    </row>
    <row r="3281">
      <c r="A3281" s="1" t="s">
        <v>424</v>
      </c>
      <c r="B3281" s="38">
        <v>667755.0</v>
      </c>
      <c r="C3281" s="72">
        <v>45880.0</v>
      </c>
      <c r="D3281" s="38">
        <v>91.0</v>
      </c>
      <c r="E3281" s="75"/>
      <c r="F3281" s="67">
        <v>4.953513076</v>
      </c>
      <c r="G3281" s="40">
        <v>2.198783539</v>
      </c>
      <c r="H3281" s="40"/>
      <c r="I3281" s="41">
        <v>0.450549451</v>
      </c>
      <c r="J3281" s="41">
        <v>0.153846154</v>
      </c>
      <c r="K3281" s="41">
        <v>0.395604396</v>
      </c>
      <c r="L3281" s="41"/>
      <c r="M3281" s="74">
        <v>4.093954342</v>
      </c>
    </row>
    <row r="3282">
      <c r="A3282" s="1" t="s">
        <v>461</v>
      </c>
      <c r="B3282" s="38">
        <v>673540.0</v>
      </c>
      <c r="C3282" s="72">
        <v>45849.0</v>
      </c>
      <c r="D3282" s="38">
        <v>65.0</v>
      </c>
      <c r="E3282" s="75"/>
      <c r="F3282" s="67">
        <v>4.953228144</v>
      </c>
      <c r="G3282" s="40">
        <v>1.572945887</v>
      </c>
      <c r="H3282" s="40"/>
      <c r="I3282" s="41">
        <v>0.4</v>
      </c>
      <c r="J3282" s="41">
        <v>0.184615385</v>
      </c>
      <c r="K3282" s="41">
        <v>0.415384615</v>
      </c>
      <c r="L3282" s="41"/>
      <c r="M3282" s="74">
        <v>-0.499791625</v>
      </c>
    </row>
    <row r="3283">
      <c r="A3283" s="1" t="s">
        <v>320</v>
      </c>
      <c r="B3283" s="38">
        <v>681347.0</v>
      </c>
      <c r="C3283" s="72">
        <v>45863.0</v>
      </c>
      <c r="D3283" s="38">
        <v>82.0</v>
      </c>
      <c r="E3283" s="75"/>
      <c r="F3283" s="67">
        <v>4.9532229</v>
      </c>
      <c r="G3283" s="40">
        <v>1.983558493</v>
      </c>
      <c r="H3283" s="40"/>
      <c r="I3283" s="41">
        <v>0.365853659</v>
      </c>
      <c r="J3283" s="41">
        <v>0.207317073</v>
      </c>
      <c r="K3283" s="41">
        <v>0.426829268</v>
      </c>
      <c r="L3283" s="41"/>
      <c r="M3283" s="74">
        <v>2.309840752</v>
      </c>
    </row>
    <row r="3284">
      <c r="A3284" s="1" t="s">
        <v>218</v>
      </c>
      <c r="B3284" s="38">
        <v>669432.0</v>
      </c>
      <c r="C3284" s="72">
        <v>45831.0</v>
      </c>
      <c r="D3284" s="38">
        <v>99.0</v>
      </c>
      <c r="E3284" s="75"/>
      <c r="F3284" s="67">
        <v>4.953208167</v>
      </c>
      <c r="G3284" s="40">
        <v>2.381501794</v>
      </c>
      <c r="H3284" s="40"/>
      <c r="I3284" s="41">
        <v>0.414141414</v>
      </c>
      <c r="J3284" s="41">
        <v>0.222222222</v>
      </c>
      <c r="K3284" s="41">
        <v>0.363636364</v>
      </c>
      <c r="L3284" s="41"/>
      <c r="M3284" s="74">
        <v>4.557779058</v>
      </c>
    </row>
    <row r="3285">
      <c r="A3285" s="1" t="s">
        <v>197</v>
      </c>
      <c r="B3285" s="38">
        <v>676467.0</v>
      </c>
      <c r="C3285" s="72">
        <v>45905.0</v>
      </c>
      <c r="D3285" s="38">
        <v>71.0</v>
      </c>
      <c r="E3285" s="75"/>
      <c r="F3285" s="67">
        <v>4.953014366</v>
      </c>
      <c r="G3285" s="40">
        <v>1.736359552</v>
      </c>
      <c r="H3285" s="40"/>
      <c r="I3285" s="41">
        <v>0.450704225</v>
      </c>
      <c r="J3285" s="41">
        <v>0.197183099</v>
      </c>
      <c r="K3285" s="41">
        <v>0.352112676</v>
      </c>
      <c r="L3285" s="41"/>
      <c r="M3285" s="74">
        <v>-0.30380458</v>
      </c>
    </row>
    <row r="3286">
      <c r="A3286" s="1" t="s">
        <v>424</v>
      </c>
      <c r="B3286" s="38">
        <v>667755.0</v>
      </c>
      <c r="C3286" s="72">
        <v>45846.0</v>
      </c>
      <c r="D3286" s="38">
        <v>79.0</v>
      </c>
      <c r="E3286" s="75"/>
      <c r="F3286" s="67">
        <v>4.952990762</v>
      </c>
      <c r="G3286" s="40">
        <v>1.900836291</v>
      </c>
      <c r="H3286" s="40"/>
      <c r="I3286" s="41">
        <v>0.417721519</v>
      </c>
      <c r="J3286" s="41">
        <v>0.164556962</v>
      </c>
      <c r="K3286" s="41">
        <v>0.417721519</v>
      </c>
      <c r="L3286" s="41"/>
      <c r="M3286" s="74">
        <v>1.858428903</v>
      </c>
    </row>
    <row r="3287">
      <c r="A3287" s="1" t="s">
        <v>477</v>
      </c>
      <c r="B3287" s="38">
        <v>677958.0</v>
      </c>
      <c r="C3287" s="72">
        <v>45869.0</v>
      </c>
      <c r="D3287" s="38">
        <v>90.0</v>
      </c>
      <c r="E3287" s="75"/>
      <c r="F3287" s="67">
        <v>4.952970848</v>
      </c>
      <c r="G3287" s="40">
        <v>2.16284955</v>
      </c>
      <c r="H3287" s="40"/>
      <c r="I3287" s="41">
        <v>0.422222222</v>
      </c>
      <c r="J3287" s="41">
        <v>0.188888889</v>
      </c>
      <c r="K3287" s="41">
        <v>0.388888889</v>
      </c>
      <c r="L3287" s="41"/>
      <c r="M3287" s="74">
        <v>-0.129534088</v>
      </c>
    </row>
    <row r="3288">
      <c r="A3288" s="1" t="s">
        <v>153</v>
      </c>
      <c r="B3288" s="38">
        <v>669302.0</v>
      </c>
      <c r="C3288" s="72">
        <v>45851.0</v>
      </c>
      <c r="D3288" s="38">
        <v>90.0</v>
      </c>
      <c r="E3288" s="75"/>
      <c r="F3288" s="67">
        <v>4.95288089</v>
      </c>
      <c r="G3288" s="40">
        <v>2.183675784</v>
      </c>
      <c r="H3288" s="40"/>
      <c r="I3288" s="41">
        <v>0.488888889</v>
      </c>
      <c r="J3288" s="41">
        <v>0.144444444</v>
      </c>
      <c r="K3288" s="41">
        <v>0.366666667</v>
      </c>
      <c r="L3288" s="41"/>
      <c r="M3288" s="74">
        <v>-0.883887477</v>
      </c>
    </row>
    <row r="3289">
      <c r="A3289" s="1" t="s">
        <v>246</v>
      </c>
      <c r="B3289" s="38">
        <v>571510.0</v>
      </c>
      <c r="C3289" s="72">
        <v>45877.0</v>
      </c>
      <c r="D3289" s="38">
        <v>89.0</v>
      </c>
      <c r="E3289" s="75"/>
      <c r="F3289" s="67">
        <v>4.952643505</v>
      </c>
      <c r="G3289" s="40">
        <v>2.148057385</v>
      </c>
      <c r="H3289" s="40"/>
      <c r="I3289" s="41">
        <v>0.438202247</v>
      </c>
      <c r="J3289" s="41">
        <v>0.191011236</v>
      </c>
      <c r="K3289" s="41">
        <v>0.370786517</v>
      </c>
      <c r="L3289" s="41"/>
      <c r="M3289" s="74">
        <v>-0.537225781</v>
      </c>
    </row>
    <row r="3290">
      <c r="A3290" s="1" t="s">
        <v>177</v>
      </c>
      <c r="B3290" s="38">
        <v>641793.0</v>
      </c>
      <c r="C3290" s="72">
        <v>45898.0</v>
      </c>
      <c r="D3290" s="38">
        <v>92.0</v>
      </c>
      <c r="E3290" s="75"/>
      <c r="F3290" s="67">
        <v>4.952516485</v>
      </c>
      <c r="G3290" s="40">
        <v>2.242529375</v>
      </c>
      <c r="H3290" s="40"/>
      <c r="I3290" s="41">
        <v>0.326086957</v>
      </c>
      <c r="J3290" s="41">
        <v>0.326086957</v>
      </c>
      <c r="K3290" s="41">
        <v>0.347826087</v>
      </c>
      <c r="L3290" s="41"/>
      <c r="M3290" s="74">
        <v>0.44880972</v>
      </c>
    </row>
    <row r="3291">
      <c r="A3291" s="1" t="s">
        <v>194</v>
      </c>
      <c r="B3291" s="38">
        <v>666157.0</v>
      </c>
      <c r="C3291" s="72">
        <v>45867.0</v>
      </c>
      <c r="D3291" s="38">
        <v>92.0</v>
      </c>
      <c r="E3291" s="75"/>
      <c r="F3291" s="67">
        <v>4.952106163</v>
      </c>
      <c r="G3291" s="40">
        <v>2.21818548</v>
      </c>
      <c r="H3291" s="40"/>
      <c r="I3291" s="41">
        <v>0.434782609</v>
      </c>
      <c r="J3291" s="41">
        <v>0.239130435</v>
      </c>
      <c r="K3291" s="41">
        <v>0.326086957</v>
      </c>
      <c r="L3291" s="41"/>
      <c r="M3291" s="74">
        <v>-0.533421301</v>
      </c>
    </row>
    <row r="3292">
      <c r="A3292" s="1" t="s">
        <v>344</v>
      </c>
      <c r="B3292" s="38">
        <v>701542.0</v>
      </c>
      <c r="C3292" s="72">
        <v>45840.0</v>
      </c>
      <c r="D3292" s="38">
        <v>98.0</v>
      </c>
      <c r="E3292" s="75"/>
      <c r="F3292" s="67">
        <v>4.952012603</v>
      </c>
      <c r="G3292" s="40">
        <v>2.336413455</v>
      </c>
      <c r="H3292" s="40"/>
      <c r="I3292" s="41">
        <v>0.479591837</v>
      </c>
      <c r="J3292" s="41">
        <v>0.081632653</v>
      </c>
      <c r="K3292" s="41">
        <v>0.43877551</v>
      </c>
      <c r="L3292" s="41"/>
      <c r="M3292" s="74">
        <v>-5.488164039</v>
      </c>
    </row>
    <row r="3293">
      <c r="A3293" s="1" t="s">
        <v>413</v>
      </c>
      <c r="B3293" s="38">
        <v>671737.0</v>
      </c>
      <c r="C3293" s="72">
        <v>45804.0</v>
      </c>
      <c r="D3293" s="38">
        <v>91.0</v>
      </c>
      <c r="E3293" s="75"/>
      <c r="F3293" s="67">
        <v>4.95187353</v>
      </c>
      <c r="G3293" s="40">
        <v>2.230758723</v>
      </c>
      <c r="H3293" s="40"/>
      <c r="I3293" s="41">
        <v>0.494505495</v>
      </c>
      <c r="J3293" s="41">
        <v>0.142857143</v>
      </c>
      <c r="K3293" s="41">
        <v>0.362637363</v>
      </c>
      <c r="L3293" s="41"/>
      <c r="M3293" s="74">
        <v>0.503508868</v>
      </c>
    </row>
    <row r="3294">
      <c r="A3294" s="1" t="s">
        <v>434</v>
      </c>
      <c r="B3294" s="38">
        <v>690990.0</v>
      </c>
      <c r="C3294" s="72">
        <v>45816.0</v>
      </c>
      <c r="D3294" s="38">
        <v>83.0</v>
      </c>
      <c r="E3294" s="75"/>
      <c r="F3294" s="67">
        <v>4.951819411</v>
      </c>
      <c r="G3294" s="40">
        <v>2.021801333</v>
      </c>
      <c r="H3294" s="40"/>
      <c r="I3294" s="41">
        <v>0.421686747</v>
      </c>
      <c r="J3294" s="41">
        <v>0.228915663</v>
      </c>
      <c r="K3294" s="41">
        <v>0.34939759</v>
      </c>
      <c r="L3294" s="41"/>
      <c r="M3294" s="74">
        <v>-2.328928294</v>
      </c>
    </row>
    <row r="3295">
      <c r="A3295" s="1" t="s">
        <v>344</v>
      </c>
      <c r="B3295" s="38">
        <v>701542.0</v>
      </c>
      <c r="C3295" s="72">
        <v>45914.0</v>
      </c>
      <c r="D3295" s="38">
        <v>89.0</v>
      </c>
      <c r="E3295" s="75"/>
      <c r="F3295" s="67">
        <v>4.951702613</v>
      </c>
      <c r="G3295" s="40">
        <v>2.15585622</v>
      </c>
      <c r="H3295" s="40"/>
      <c r="I3295" s="41">
        <v>0.438202247</v>
      </c>
      <c r="J3295" s="41">
        <v>0.224719101</v>
      </c>
      <c r="K3295" s="41">
        <v>0.337078652</v>
      </c>
      <c r="L3295" s="41"/>
      <c r="M3295" s="74">
        <v>-5.650049504</v>
      </c>
    </row>
    <row r="3296">
      <c r="A3296" s="1" t="s">
        <v>275</v>
      </c>
      <c r="B3296" s="38">
        <v>693821.0</v>
      </c>
      <c r="C3296" s="72">
        <v>45924.0</v>
      </c>
      <c r="D3296" s="38">
        <v>84.0</v>
      </c>
      <c r="E3296" s="75"/>
      <c r="F3296" s="67">
        <v>4.951533718</v>
      </c>
      <c r="G3296" s="40">
        <v>2.043857065</v>
      </c>
      <c r="H3296" s="40"/>
      <c r="I3296" s="41">
        <v>0.357142857</v>
      </c>
      <c r="J3296" s="41">
        <v>0.238095238</v>
      </c>
      <c r="K3296" s="41">
        <v>0.404761905</v>
      </c>
      <c r="L3296" s="41"/>
      <c r="M3296" s="74">
        <v>-0.055362981</v>
      </c>
    </row>
    <row r="3297">
      <c r="A3297" s="1" t="s">
        <v>380</v>
      </c>
      <c r="B3297" s="38">
        <v>661563.0</v>
      </c>
      <c r="C3297" s="72">
        <v>45884.0</v>
      </c>
      <c r="D3297" s="38">
        <v>80.0</v>
      </c>
      <c r="E3297" s="75"/>
      <c r="F3297" s="67">
        <v>4.95122337</v>
      </c>
      <c r="G3297" s="40">
        <v>1.935583867</v>
      </c>
      <c r="H3297" s="40"/>
      <c r="I3297" s="41">
        <v>0.475</v>
      </c>
      <c r="J3297" s="41">
        <v>0.15</v>
      </c>
      <c r="K3297" s="41">
        <v>0.375</v>
      </c>
      <c r="L3297" s="41"/>
      <c r="M3297" s="74">
        <v>0.012472557</v>
      </c>
    </row>
    <row r="3298">
      <c r="A3298" s="1" t="s">
        <v>189</v>
      </c>
      <c r="B3298" s="38">
        <v>607536.0</v>
      </c>
      <c r="C3298" s="72">
        <v>45819.0</v>
      </c>
      <c r="D3298" s="38">
        <v>86.0</v>
      </c>
      <c r="E3298" s="75"/>
      <c r="F3298" s="67">
        <v>4.951055166</v>
      </c>
      <c r="G3298" s="40">
        <v>2.086921087</v>
      </c>
      <c r="H3298" s="40"/>
      <c r="I3298" s="41">
        <v>0.395348837</v>
      </c>
      <c r="J3298" s="41">
        <v>0.255813953</v>
      </c>
      <c r="K3298" s="41">
        <v>0.348837209</v>
      </c>
      <c r="L3298" s="41"/>
      <c r="M3298" s="74">
        <v>-1.762080279</v>
      </c>
    </row>
    <row r="3299">
      <c r="A3299" s="1" t="s">
        <v>243</v>
      </c>
      <c r="B3299" s="38">
        <v>680684.0</v>
      </c>
      <c r="C3299" s="72">
        <v>45791.0</v>
      </c>
      <c r="D3299" s="38">
        <v>91.0</v>
      </c>
      <c r="E3299" s="75"/>
      <c r="F3299" s="67">
        <v>4.950983155</v>
      </c>
      <c r="G3299" s="40">
        <v>2.224185825</v>
      </c>
      <c r="H3299" s="40"/>
      <c r="I3299" s="41">
        <v>0.461538462</v>
      </c>
      <c r="J3299" s="41">
        <v>0.197802198</v>
      </c>
      <c r="K3299" s="41">
        <v>0.340659341</v>
      </c>
      <c r="L3299" s="41"/>
      <c r="M3299" s="74">
        <v>-1.929879971</v>
      </c>
    </row>
    <row r="3300">
      <c r="A3300" s="1" t="s">
        <v>455</v>
      </c>
      <c r="B3300" s="38">
        <v>570632.0</v>
      </c>
      <c r="C3300" s="72">
        <v>45879.0</v>
      </c>
      <c r="D3300" s="38">
        <v>72.0</v>
      </c>
      <c r="E3300" s="75"/>
      <c r="F3300" s="67">
        <v>4.95096211</v>
      </c>
      <c r="G3300" s="40">
        <v>1.723710958</v>
      </c>
      <c r="H3300" s="40"/>
      <c r="I3300" s="41">
        <v>0.527777778</v>
      </c>
      <c r="J3300" s="41">
        <v>0.055555556</v>
      </c>
      <c r="K3300" s="41">
        <v>0.416666667</v>
      </c>
      <c r="L3300" s="41"/>
      <c r="M3300" s="74">
        <v>0.965591917</v>
      </c>
    </row>
    <row r="3301">
      <c r="A3301" s="1" t="s">
        <v>287</v>
      </c>
      <c r="B3301" s="38">
        <v>571945.0</v>
      </c>
      <c r="C3301" s="72">
        <v>45836.0</v>
      </c>
      <c r="D3301" s="38">
        <v>74.0</v>
      </c>
      <c r="E3301" s="75"/>
      <c r="F3301" s="67">
        <v>4.950551813</v>
      </c>
      <c r="G3301" s="40">
        <v>1.823985469</v>
      </c>
      <c r="H3301" s="40"/>
      <c r="I3301" s="41">
        <v>0.432432432</v>
      </c>
      <c r="J3301" s="41">
        <v>0.256756757</v>
      </c>
      <c r="K3301" s="41">
        <v>0.310810811</v>
      </c>
      <c r="L3301" s="41"/>
      <c r="M3301" s="74">
        <v>-2.198376252</v>
      </c>
    </row>
    <row r="3302">
      <c r="A3302" s="1" t="s">
        <v>335</v>
      </c>
      <c r="B3302" s="38">
        <v>663436.0</v>
      </c>
      <c r="C3302" s="72">
        <v>45866.0</v>
      </c>
      <c r="D3302" s="38">
        <v>91.0</v>
      </c>
      <c r="E3302" s="75"/>
      <c r="F3302" s="67">
        <v>4.9503655</v>
      </c>
      <c r="G3302" s="40">
        <v>2.201920776</v>
      </c>
      <c r="H3302" s="40"/>
      <c r="I3302" s="41">
        <v>0.428571429</v>
      </c>
      <c r="J3302" s="41">
        <v>0.197802198</v>
      </c>
      <c r="K3302" s="41">
        <v>0.373626374</v>
      </c>
      <c r="L3302" s="41"/>
      <c r="M3302" s="74">
        <v>-0.403143264</v>
      </c>
    </row>
    <row r="3303">
      <c r="A3303" s="1" t="s">
        <v>521</v>
      </c>
      <c r="B3303" s="38">
        <v>686799.0</v>
      </c>
      <c r="C3303" s="72">
        <v>45764.0</v>
      </c>
      <c r="D3303" s="38">
        <v>70.0</v>
      </c>
      <c r="E3303" s="75"/>
      <c r="F3303" s="67">
        <v>4.950072696</v>
      </c>
      <c r="G3303" s="40">
        <v>1.697588118</v>
      </c>
      <c r="H3303" s="40"/>
      <c r="I3303" s="41">
        <v>0.414285714</v>
      </c>
      <c r="J3303" s="41">
        <v>0.214285714</v>
      </c>
      <c r="K3303" s="41">
        <v>0.371428571</v>
      </c>
      <c r="L3303" s="41"/>
      <c r="M3303" s="74">
        <v>-2.734514865</v>
      </c>
    </row>
    <row r="3304">
      <c r="A3304" s="1" t="s">
        <v>572</v>
      </c>
      <c r="B3304" s="38">
        <v>669330.0</v>
      </c>
      <c r="C3304" s="72">
        <v>45924.0</v>
      </c>
      <c r="D3304" s="38">
        <v>77.0</v>
      </c>
      <c r="E3304" s="75"/>
      <c r="F3304" s="67">
        <v>4.949925449</v>
      </c>
      <c r="G3304" s="40">
        <v>1.886785505</v>
      </c>
      <c r="H3304" s="40"/>
      <c r="I3304" s="41">
        <v>0.454545455</v>
      </c>
      <c r="J3304" s="41">
        <v>0.155844156</v>
      </c>
      <c r="K3304" s="41">
        <v>0.38961039</v>
      </c>
      <c r="L3304" s="41"/>
      <c r="M3304" s="74">
        <v>-2.119680428</v>
      </c>
    </row>
    <row r="3305">
      <c r="A3305" s="1" t="s">
        <v>218</v>
      </c>
      <c r="B3305" s="38">
        <v>669432.0</v>
      </c>
      <c r="C3305" s="72">
        <v>45850.0</v>
      </c>
      <c r="D3305" s="38">
        <v>97.0</v>
      </c>
      <c r="E3305" s="75"/>
      <c r="F3305" s="67">
        <v>4.949698763</v>
      </c>
      <c r="G3305" s="40">
        <v>2.332327567</v>
      </c>
      <c r="H3305" s="40"/>
      <c r="I3305" s="41">
        <v>0.453608247</v>
      </c>
      <c r="J3305" s="41">
        <v>0.154639175</v>
      </c>
      <c r="K3305" s="41">
        <v>0.391752577</v>
      </c>
      <c r="L3305" s="41"/>
      <c r="M3305" s="74">
        <v>4.335310012</v>
      </c>
    </row>
    <row r="3306">
      <c r="A3306" s="1" t="s">
        <v>180</v>
      </c>
      <c r="B3306" s="38">
        <v>642547.0</v>
      </c>
      <c r="C3306" s="72">
        <v>45857.0</v>
      </c>
      <c r="D3306" s="38">
        <v>93.0</v>
      </c>
      <c r="E3306" s="75"/>
      <c r="F3306" s="67">
        <v>4.949472809</v>
      </c>
      <c r="G3306" s="40">
        <v>2.24254832</v>
      </c>
      <c r="H3306" s="40"/>
      <c r="I3306" s="41">
        <v>0.47311828</v>
      </c>
      <c r="J3306" s="41">
        <v>0.161290323</v>
      </c>
      <c r="K3306" s="41">
        <v>0.365591398</v>
      </c>
      <c r="L3306" s="41"/>
      <c r="M3306" s="74">
        <v>-0.879833005</v>
      </c>
    </row>
    <row r="3307">
      <c r="A3307" s="1" t="s">
        <v>374</v>
      </c>
      <c r="B3307" s="38">
        <v>683004.0</v>
      </c>
      <c r="C3307" s="72">
        <v>45801.0</v>
      </c>
      <c r="D3307" s="38">
        <v>94.0</v>
      </c>
      <c r="E3307" s="75"/>
      <c r="F3307" s="67">
        <v>4.949310218</v>
      </c>
      <c r="G3307" s="40">
        <v>2.294755725</v>
      </c>
      <c r="H3307" s="40"/>
      <c r="I3307" s="41">
        <v>0.5</v>
      </c>
      <c r="J3307" s="41">
        <v>0.117021277</v>
      </c>
      <c r="K3307" s="41">
        <v>0.382978723</v>
      </c>
      <c r="L3307" s="41"/>
      <c r="M3307" s="74">
        <v>-1.939932422</v>
      </c>
    </row>
    <row r="3308">
      <c r="A3308" s="1" t="s">
        <v>353</v>
      </c>
      <c r="B3308" s="38">
        <v>663903.0</v>
      </c>
      <c r="C3308" s="72">
        <v>45804.0</v>
      </c>
      <c r="D3308" s="38">
        <v>93.0</v>
      </c>
      <c r="E3308" s="75"/>
      <c r="F3308" s="67">
        <v>4.94928026</v>
      </c>
      <c r="G3308" s="40">
        <v>2.266633342</v>
      </c>
      <c r="H3308" s="40"/>
      <c r="I3308" s="41">
        <v>0.408602151</v>
      </c>
      <c r="J3308" s="41">
        <v>0.258064516</v>
      </c>
      <c r="K3308" s="41">
        <v>0.333333333</v>
      </c>
      <c r="L3308" s="41"/>
      <c r="M3308" s="74">
        <v>-2.012339395</v>
      </c>
    </row>
    <row r="3309">
      <c r="A3309" s="1" t="s">
        <v>269</v>
      </c>
      <c r="B3309" s="38">
        <v>605280.0</v>
      </c>
      <c r="C3309" s="72">
        <v>45821.0</v>
      </c>
      <c r="D3309" s="38">
        <v>73.0</v>
      </c>
      <c r="E3309" s="75"/>
      <c r="F3309" s="67">
        <v>4.949243201</v>
      </c>
      <c r="G3309" s="40">
        <v>1.756332511</v>
      </c>
      <c r="H3309" s="40"/>
      <c r="I3309" s="41">
        <v>0.479452055</v>
      </c>
      <c r="J3309" s="41">
        <v>0.205479452</v>
      </c>
      <c r="K3309" s="41">
        <v>0.315068493</v>
      </c>
      <c r="L3309" s="41"/>
      <c r="M3309" s="74">
        <v>2.709080128</v>
      </c>
    </row>
    <row r="3310">
      <c r="A3310" s="1" t="s">
        <v>191</v>
      </c>
      <c r="B3310" s="38">
        <v>687064.0</v>
      </c>
      <c r="C3310" s="72">
        <v>45878.0</v>
      </c>
      <c r="D3310" s="38">
        <v>73.0</v>
      </c>
      <c r="E3310" s="75"/>
      <c r="F3310" s="67">
        <v>4.949204095</v>
      </c>
      <c r="G3310" s="40">
        <v>1.741472655</v>
      </c>
      <c r="H3310" s="40"/>
      <c r="I3310" s="41">
        <v>0.479452055</v>
      </c>
      <c r="J3310" s="41">
        <v>0.178082192</v>
      </c>
      <c r="K3310" s="41">
        <v>0.342465753</v>
      </c>
      <c r="L3310" s="41"/>
      <c r="M3310" s="74">
        <v>-1.964801469</v>
      </c>
    </row>
    <row r="3311">
      <c r="A3311" s="1" t="s">
        <v>246</v>
      </c>
      <c r="B3311" s="38">
        <v>571510.0</v>
      </c>
      <c r="C3311" s="72">
        <v>45812.0</v>
      </c>
      <c r="D3311" s="38">
        <v>89.0</v>
      </c>
      <c r="E3311" s="75"/>
      <c r="F3311" s="67">
        <v>4.949120757</v>
      </c>
      <c r="G3311" s="40">
        <v>2.168824807</v>
      </c>
      <c r="H3311" s="40"/>
      <c r="I3311" s="41">
        <v>0.438202247</v>
      </c>
      <c r="J3311" s="41">
        <v>0.168539326</v>
      </c>
      <c r="K3311" s="41">
        <v>0.393258427</v>
      </c>
      <c r="L3311" s="41"/>
      <c r="M3311" s="74">
        <v>1.834368157</v>
      </c>
    </row>
    <row r="3312">
      <c r="A3312" s="1" t="s">
        <v>166</v>
      </c>
      <c r="B3312" s="38">
        <v>608331.0</v>
      </c>
      <c r="C3312" s="72">
        <v>45801.0</v>
      </c>
      <c r="D3312" s="38">
        <v>80.0</v>
      </c>
      <c r="E3312" s="75"/>
      <c r="F3312" s="67">
        <v>4.94893717</v>
      </c>
      <c r="G3312" s="40">
        <v>1.978123305</v>
      </c>
      <c r="H3312" s="40"/>
      <c r="I3312" s="41">
        <v>0.4375</v>
      </c>
      <c r="J3312" s="41">
        <v>0.1625</v>
      </c>
      <c r="K3312" s="41">
        <v>0.4</v>
      </c>
      <c r="L3312" s="41"/>
      <c r="M3312" s="74">
        <v>-1.16627879</v>
      </c>
    </row>
    <row r="3313">
      <c r="A3313" s="1" t="s">
        <v>396</v>
      </c>
      <c r="B3313" s="38">
        <v>663623.0</v>
      </c>
      <c r="C3313" s="72">
        <v>45921.0</v>
      </c>
      <c r="D3313" s="38">
        <v>86.0</v>
      </c>
      <c r="E3313" s="75"/>
      <c r="F3313" s="67">
        <v>4.948449871</v>
      </c>
      <c r="G3313" s="40">
        <v>2.068723251</v>
      </c>
      <c r="H3313" s="40"/>
      <c r="I3313" s="41">
        <v>0.511627907</v>
      </c>
      <c r="J3313" s="41">
        <v>0.139534884</v>
      </c>
      <c r="K3313" s="41">
        <v>0.348837209</v>
      </c>
      <c r="L3313" s="41"/>
      <c r="M3313" s="74">
        <v>0.092482436</v>
      </c>
    </row>
    <row r="3314">
      <c r="A3314" s="1" t="s">
        <v>398</v>
      </c>
      <c r="B3314" s="38">
        <v>676282.0</v>
      </c>
      <c r="C3314" s="72">
        <v>45916.0</v>
      </c>
      <c r="D3314" s="38">
        <v>87.0</v>
      </c>
      <c r="E3314" s="75"/>
      <c r="F3314" s="67">
        <v>4.948227103</v>
      </c>
      <c r="G3314" s="40">
        <v>2.11305666</v>
      </c>
      <c r="H3314" s="40"/>
      <c r="I3314" s="41">
        <v>0.448275862</v>
      </c>
      <c r="J3314" s="41">
        <v>0.172413793</v>
      </c>
      <c r="K3314" s="41">
        <v>0.379310345</v>
      </c>
      <c r="L3314" s="41"/>
      <c r="M3314" s="74">
        <v>0.924934706</v>
      </c>
    </row>
    <row r="3315">
      <c r="A3315" s="1" t="s">
        <v>306</v>
      </c>
      <c r="B3315" s="38">
        <v>677944.0</v>
      </c>
      <c r="C3315" s="72">
        <v>45873.0</v>
      </c>
      <c r="D3315" s="38">
        <v>90.0</v>
      </c>
      <c r="E3315" s="75"/>
      <c r="F3315" s="67">
        <v>4.947967245</v>
      </c>
      <c r="G3315" s="40">
        <v>2.212450211</v>
      </c>
      <c r="H3315" s="40"/>
      <c r="I3315" s="41">
        <v>0.444444444</v>
      </c>
      <c r="J3315" s="41">
        <v>0.188888889</v>
      </c>
      <c r="K3315" s="41">
        <v>0.366666667</v>
      </c>
      <c r="L3315" s="41"/>
      <c r="M3315" s="74">
        <v>2.473389542</v>
      </c>
    </row>
    <row r="3316">
      <c r="A3316" s="1" t="s">
        <v>372</v>
      </c>
      <c r="B3316" s="38">
        <v>671106.0</v>
      </c>
      <c r="C3316" s="72">
        <v>45849.0</v>
      </c>
      <c r="D3316" s="38">
        <v>92.0</v>
      </c>
      <c r="E3316" s="75"/>
      <c r="F3316" s="67">
        <v>4.947900231</v>
      </c>
      <c r="G3316" s="40">
        <v>2.231841713</v>
      </c>
      <c r="H3316" s="40"/>
      <c r="I3316" s="41">
        <v>0.434782609</v>
      </c>
      <c r="J3316" s="41">
        <v>0.22826087</v>
      </c>
      <c r="K3316" s="41">
        <v>0.336956522</v>
      </c>
      <c r="L3316" s="41"/>
      <c r="M3316" s="74">
        <v>4.34607008</v>
      </c>
    </row>
    <row r="3317">
      <c r="A3317" s="1" t="s">
        <v>480</v>
      </c>
      <c r="B3317" s="38">
        <v>647336.0</v>
      </c>
      <c r="C3317" s="72">
        <v>45867.0</v>
      </c>
      <c r="D3317" s="38">
        <v>73.0</v>
      </c>
      <c r="E3317" s="75"/>
      <c r="F3317" s="67">
        <v>4.947790862</v>
      </c>
      <c r="G3317" s="40">
        <v>1.73127161</v>
      </c>
      <c r="H3317" s="40"/>
      <c r="I3317" s="41">
        <v>0.438356164</v>
      </c>
      <c r="J3317" s="41">
        <v>0.178082192</v>
      </c>
      <c r="K3317" s="41">
        <v>0.383561644</v>
      </c>
      <c r="L3317" s="41"/>
      <c r="M3317" s="74">
        <v>0.709032412</v>
      </c>
    </row>
    <row r="3318">
      <c r="A3318" s="1" t="s">
        <v>255</v>
      </c>
      <c r="B3318" s="38">
        <v>688138.0</v>
      </c>
      <c r="C3318" s="72">
        <v>45781.0</v>
      </c>
      <c r="D3318" s="38">
        <v>89.0</v>
      </c>
      <c r="E3318" s="75"/>
      <c r="F3318" s="67">
        <v>4.947672293</v>
      </c>
      <c r="G3318" s="40">
        <v>2.16896129</v>
      </c>
      <c r="H3318" s="40"/>
      <c r="I3318" s="41">
        <v>0.460674157</v>
      </c>
      <c r="J3318" s="41">
        <v>0.168539326</v>
      </c>
      <c r="K3318" s="41">
        <v>0.370786517</v>
      </c>
      <c r="L3318" s="41"/>
      <c r="M3318" s="74">
        <v>-4.452625732</v>
      </c>
    </row>
    <row r="3319">
      <c r="A3319" s="1" t="s">
        <v>275</v>
      </c>
      <c r="B3319" s="38">
        <v>693821.0</v>
      </c>
      <c r="C3319" s="72">
        <v>45908.0</v>
      </c>
      <c r="D3319" s="38">
        <v>89.0</v>
      </c>
      <c r="E3319" s="75"/>
      <c r="F3319" s="67">
        <v>4.947579531</v>
      </c>
      <c r="G3319" s="40">
        <v>2.174876155</v>
      </c>
      <c r="H3319" s="40"/>
      <c r="I3319" s="41">
        <v>0.404494382</v>
      </c>
      <c r="J3319" s="41">
        <v>0.258426966</v>
      </c>
      <c r="K3319" s="41">
        <v>0.337078652</v>
      </c>
      <c r="L3319" s="41"/>
      <c r="M3319" s="74">
        <v>1.124130458</v>
      </c>
    </row>
    <row r="3320">
      <c r="A3320" s="1" t="s">
        <v>158</v>
      </c>
      <c r="B3320" s="38">
        <v>608372.0</v>
      </c>
      <c r="C3320" s="72">
        <v>45792.0</v>
      </c>
      <c r="D3320" s="38">
        <v>101.0</v>
      </c>
      <c r="E3320" s="75"/>
      <c r="F3320" s="67">
        <v>4.947329226</v>
      </c>
      <c r="G3320" s="40">
        <v>2.442473157</v>
      </c>
      <c r="H3320" s="40"/>
      <c r="I3320" s="41">
        <v>0.396039604</v>
      </c>
      <c r="J3320" s="41">
        <v>0.217821782</v>
      </c>
      <c r="K3320" s="41">
        <v>0.386138614</v>
      </c>
      <c r="L3320" s="41"/>
      <c r="M3320" s="74">
        <v>-0.704915417</v>
      </c>
    </row>
    <row r="3321">
      <c r="A3321" s="1" t="s">
        <v>336</v>
      </c>
      <c r="B3321" s="38">
        <v>605488.0</v>
      </c>
      <c r="C3321" s="72">
        <v>45923.0</v>
      </c>
      <c r="D3321" s="38">
        <v>71.0</v>
      </c>
      <c r="E3321" s="75"/>
      <c r="F3321" s="67">
        <v>4.947146666</v>
      </c>
      <c r="G3321" s="40">
        <v>1.727815924</v>
      </c>
      <c r="H3321" s="40"/>
      <c r="I3321" s="41">
        <v>0.394366197</v>
      </c>
      <c r="J3321" s="41">
        <v>0.225352113</v>
      </c>
      <c r="K3321" s="41">
        <v>0.38028169</v>
      </c>
      <c r="L3321" s="41"/>
      <c r="M3321" s="74">
        <v>1.017484482</v>
      </c>
    </row>
    <row r="3322">
      <c r="A3322" s="1" t="s">
        <v>466</v>
      </c>
      <c r="B3322" s="38">
        <v>687134.0</v>
      </c>
      <c r="C3322" s="72">
        <v>45913.0</v>
      </c>
      <c r="D3322" s="38">
        <v>68.0</v>
      </c>
      <c r="E3322" s="75"/>
      <c r="F3322" s="67">
        <v>4.947120905</v>
      </c>
      <c r="G3322" s="40">
        <v>1.623310747</v>
      </c>
      <c r="H3322" s="40"/>
      <c r="I3322" s="41">
        <v>0.5</v>
      </c>
      <c r="J3322" s="41">
        <v>0.132352941</v>
      </c>
      <c r="K3322" s="41">
        <v>0.367647059</v>
      </c>
      <c r="L3322" s="41"/>
      <c r="M3322" s="74">
        <v>-1.394778859</v>
      </c>
    </row>
    <row r="3323">
      <c r="A3323" s="1" t="s">
        <v>251</v>
      </c>
      <c r="B3323" s="38">
        <v>676664.0</v>
      </c>
      <c r="C3323" s="72">
        <v>45752.0</v>
      </c>
      <c r="D3323" s="38">
        <v>87.0</v>
      </c>
      <c r="E3323" s="75"/>
      <c r="F3323" s="67">
        <v>4.947049413</v>
      </c>
      <c r="G3323" s="40">
        <v>2.143149632</v>
      </c>
      <c r="H3323" s="40"/>
      <c r="I3323" s="41">
        <v>0.390804598</v>
      </c>
      <c r="J3323" s="41">
        <v>0.229885057</v>
      </c>
      <c r="K3323" s="41">
        <v>0.379310345</v>
      </c>
      <c r="L3323" s="41"/>
      <c r="M3323" s="74">
        <v>-1.181203977</v>
      </c>
    </row>
    <row r="3324">
      <c r="A3324" s="1" t="s">
        <v>368</v>
      </c>
      <c r="B3324" s="38">
        <v>593958.0</v>
      </c>
      <c r="C3324" s="72">
        <v>45860.0</v>
      </c>
      <c r="D3324" s="38">
        <v>89.0</v>
      </c>
      <c r="E3324" s="75"/>
      <c r="F3324" s="67">
        <v>4.946924416</v>
      </c>
      <c r="G3324" s="40">
        <v>2.183332817</v>
      </c>
      <c r="H3324" s="40"/>
      <c r="I3324" s="41">
        <v>0.415730337</v>
      </c>
      <c r="J3324" s="41">
        <v>0.157303371</v>
      </c>
      <c r="K3324" s="41">
        <v>0.426966292</v>
      </c>
      <c r="L3324" s="41"/>
      <c r="M3324" s="74">
        <v>-1.667192181</v>
      </c>
    </row>
    <row r="3325">
      <c r="A3325" s="1" t="s">
        <v>166</v>
      </c>
      <c r="B3325" s="38">
        <v>608331.0</v>
      </c>
      <c r="C3325" s="72">
        <v>45779.0</v>
      </c>
      <c r="D3325" s="38">
        <v>91.0</v>
      </c>
      <c r="E3325" s="75"/>
      <c r="F3325" s="67">
        <v>4.946923256</v>
      </c>
      <c r="G3325" s="40">
        <v>2.228766901</v>
      </c>
      <c r="H3325" s="40"/>
      <c r="I3325" s="41">
        <v>0.461538462</v>
      </c>
      <c r="J3325" s="41">
        <v>0.263736264</v>
      </c>
      <c r="K3325" s="41">
        <v>0.274725275</v>
      </c>
      <c r="L3325" s="41"/>
      <c r="M3325" s="74">
        <v>4.85335378</v>
      </c>
    </row>
    <row r="3326">
      <c r="A3326" s="1" t="s">
        <v>413</v>
      </c>
      <c r="B3326" s="38">
        <v>671737.0</v>
      </c>
      <c r="C3326" s="72">
        <v>45793.0</v>
      </c>
      <c r="D3326" s="38">
        <v>81.0</v>
      </c>
      <c r="E3326" s="75"/>
      <c r="F3326" s="67">
        <v>4.946764057</v>
      </c>
      <c r="G3326" s="40">
        <v>1.977535533</v>
      </c>
      <c r="H3326" s="40"/>
      <c r="I3326" s="41">
        <v>0.407407407</v>
      </c>
      <c r="J3326" s="41">
        <v>0.222222222</v>
      </c>
      <c r="K3326" s="41">
        <v>0.37037037</v>
      </c>
      <c r="L3326" s="41"/>
      <c r="M3326" s="74">
        <v>-2.0046557</v>
      </c>
    </row>
    <row r="3327">
      <c r="A3327" s="1" t="s">
        <v>95</v>
      </c>
      <c r="B3327" s="38">
        <v>543243.0</v>
      </c>
      <c r="C3327" s="72">
        <v>45767.0</v>
      </c>
      <c r="D3327" s="38">
        <v>97.0</v>
      </c>
      <c r="E3327" s="75"/>
      <c r="F3327" s="67">
        <v>4.946751291</v>
      </c>
      <c r="G3327" s="40">
        <v>2.354946388</v>
      </c>
      <c r="H3327" s="40"/>
      <c r="I3327" s="41">
        <v>0.443298969</v>
      </c>
      <c r="J3327" s="41">
        <v>0.12371134</v>
      </c>
      <c r="K3327" s="41">
        <v>0.432989691</v>
      </c>
      <c r="L3327" s="41"/>
      <c r="M3327" s="74">
        <v>-1.020218502</v>
      </c>
    </row>
    <row r="3328">
      <c r="A3328" s="1" t="s">
        <v>344</v>
      </c>
      <c r="B3328" s="38">
        <v>701542.0</v>
      </c>
      <c r="C3328" s="72">
        <v>45814.0</v>
      </c>
      <c r="D3328" s="38">
        <v>82.0</v>
      </c>
      <c r="E3328" s="75"/>
      <c r="F3328" s="67">
        <v>4.946429435</v>
      </c>
      <c r="G3328" s="40">
        <v>1.986250076</v>
      </c>
      <c r="H3328" s="40"/>
      <c r="I3328" s="41">
        <v>0.463414634</v>
      </c>
      <c r="J3328" s="41">
        <v>0.158536585</v>
      </c>
      <c r="K3328" s="41">
        <v>0.37804878</v>
      </c>
      <c r="L3328" s="41"/>
      <c r="M3328" s="74">
        <v>0.983601841</v>
      </c>
    </row>
    <row r="3329">
      <c r="A3329" s="1" t="s">
        <v>398</v>
      </c>
      <c r="B3329" s="38">
        <v>676282.0</v>
      </c>
      <c r="C3329" s="72">
        <v>45884.0</v>
      </c>
      <c r="D3329" s="38">
        <v>94.0</v>
      </c>
      <c r="E3329" s="75"/>
      <c r="F3329" s="67">
        <v>4.94602161</v>
      </c>
      <c r="G3329" s="40">
        <v>2.294050429</v>
      </c>
      <c r="H3329" s="40"/>
      <c r="I3329" s="41">
        <v>0.489361702</v>
      </c>
      <c r="J3329" s="41">
        <v>0.191489362</v>
      </c>
      <c r="K3329" s="41">
        <v>0.319148936</v>
      </c>
      <c r="L3329" s="41"/>
      <c r="M3329" s="74">
        <v>2.225139587</v>
      </c>
    </row>
    <row r="3330">
      <c r="A3330" s="1" t="s">
        <v>373</v>
      </c>
      <c r="B3330" s="38">
        <v>640455.0</v>
      </c>
      <c r="C3330" s="72">
        <v>45873.0</v>
      </c>
      <c r="D3330" s="38">
        <v>78.0</v>
      </c>
      <c r="E3330" s="75"/>
      <c r="F3330" s="67">
        <v>4.94600472</v>
      </c>
      <c r="G3330" s="40">
        <v>1.92589531</v>
      </c>
      <c r="H3330" s="40"/>
      <c r="I3330" s="41">
        <v>0.448717949</v>
      </c>
      <c r="J3330" s="41">
        <v>0.141025641</v>
      </c>
      <c r="K3330" s="41">
        <v>0.41025641</v>
      </c>
      <c r="L3330" s="41"/>
      <c r="M3330" s="74">
        <v>-1.766321261</v>
      </c>
    </row>
    <row r="3331">
      <c r="A3331" s="1" t="s">
        <v>405</v>
      </c>
      <c r="B3331" s="38">
        <v>621111.0</v>
      </c>
      <c r="C3331" s="72">
        <v>45825.0</v>
      </c>
      <c r="D3331" s="38">
        <v>88.0</v>
      </c>
      <c r="E3331" s="75"/>
      <c r="F3331" s="67">
        <v>4.945949349</v>
      </c>
      <c r="G3331" s="40">
        <v>2.123317435</v>
      </c>
      <c r="H3331" s="40"/>
      <c r="I3331" s="41">
        <v>0.511363636</v>
      </c>
      <c r="J3331" s="41">
        <v>0.147727273</v>
      </c>
      <c r="K3331" s="41">
        <v>0.340909091</v>
      </c>
      <c r="L3331" s="41"/>
      <c r="M3331" s="74">
        <v>-3.783361077</v>
      </c>
    </row>
    <row r="3332">
      <c r="A3332" s="1" t="s">
        <v>175</v>
      </c>
      <c r="B3332" s="38">
        <v>622503.0</v>
      </c>
      <c r="C3332" s="72">
        <v>45892.0</v>
      </c>
      <c r="D3332" s="38">
        <v>79.0</v>
      </c>
      <c r="E3332" s="75"/>
      <c r="F3332" s="67">
        <v>4.945794298</v>
      </c>
      <c r="G3332" s="40">
        <v>1.902033926</v>
      </c>
      <c r="H3332" s="40"/>
      <c r="I3332" s="41">
        <v>0.481012658</v>
      </c>
      <c r="J3332" s="41">
        <v>0.164556962</v>
      </c>
      <c r="K3332" s="41">
        <v>0.35443038</v>
      </c>
      <c r="L3332" s="41"/>
      <c r="M3332" s="74">
        <v>0.461931029</v>
      </c>
    </row>
    <row r="3333">
      <c r="A3333" s="1" t="s">
        <v>355</v>
      </c>
      <c r="B3333" s="38">
        <v>670912.0</v>
      </c>
      <c r="C3333" s="72">
        <v>45899.0</v>
      </c>
      <c r="D3333" s="38">
        <v>76.0</v>
      </c>
      <c r="E3333" s="75"/>
      <c r="F3333" s="67">
        <v>4.94565494</v>
      </c>
      <c r="G3333" s="40">
        <v>1.835232165</v>
      </c>
      <c r="H3333" s="40"/>
      <c r="I3333" s="41">
        <v>0.539473684</v>
      </c>
      <c r="J3333" s="41">
        <v>0.157894737</v>
      </c>
      <c r="K3333" s="41">
        <v>0.302631579</v>
      </c>
      <c r="L3333" s="41"/>
      <c r="M3333" s="74">
        <v>1.524443263</v>
      </c>
    </row>
    <row r="3334">
      <c r="A3334" s="1" t="s">
        <v>352</v>
      </c>
      <c r="B3334" s="38">
        <v>685299.0</v>
      </c>
      <c r="C3334" s="72">
        <v>45873.0</v>
      </c>
      <c r="D3334" s="38">
        <v>60.0</v>
      </c>
      <c r="E3334" s="75"/>
      <c r="F3334" s="67">
        <v>4.945308646</v>
      </c>
      <c r="G3334" s="40">
        <v>1.475834261</v>
      </c>
      <c r="H3334" s="40"/>
      <c r="I3334" s="41">
        <v>0.3</v>
      </c>
      <c r="J3334" s="41">
        <v>0.35</v>
      </c>
      <c r="K3334" s="41">
        <v>0.35</v>
      </c>
      <c r="L3334" s="41"/>
      <c r="M3334" s="74">
        <v>-6.376874457</v>
      </c>
    </row>
    <row r="3335">
      <c r="A3335" s="1" t="s">
        <v>152</v>
      </c>
      <c r="B3335" s="38">
        <v>690916.0</v>
      </c>
      <c r="C3335" s="72">
        <v>45754.0</v>
      </c>
      <c r="D3335" s="38">
        <v>101.0</v>
      </c>
      <c r="E3335" s="75"/>
      <c r="F3335" s="67">
        <v>4.945163628</v>
      </c>
      <c r="G3335" s="40">
        <v>2.457278935</v>
      </c>
      <c r="H3335" s="40"/>
      <c r="I3335" s="41">
        <v>0.485148515</v>
      </c>
      <c r="J3335" s="41">
        <v>0.178217822</v>
      </c>
      <c r="K3335" s="41">
        <v>0.336633663</v>
      </c>
      <c r="L3335" s="41"/>
      <c r="M3335" s="74">
        <v>-0.457476077</v>
      </c>
    </row>
    <row r="3336">
      <c r="A3336" s="1" t="s">
        <v>377</v>
      </c>
      <c r="B3336" s="38">
        <v>695549.0</v>
      </c>
      <c r="C3336" s="72">
        <v>45777.0</v>
      </c>
      <c r="D3336" s="38">
        <v>75.0</v>
      </c>
      <c r="E3336" s="75"/>
      <c r="F3336" s="67">
        <v>4.945134342</v>
      </c>
      <c r="G3336" s="40">
        <v>1.81140192</v>
      </c>
      <c r="H3336" s="40"/>
      <c r="I3336" s="41">
        <v>0.48</v>
      </c>
      <c r="J3336" s="41">
        <v>0.24</v>
      </c>
      <c r="K3336" s="41">
        <v>0.28</v>
      </c>
      <c r="L3336" s="41"/>
      <c r="M3336" s="74">
        <v>-0.033363829</v>
      </c>
    </row>
    <row r="3337">
      <c r="A3337" s="1" t="s">
        <v>321</v>
      </c>
      <c r="B3337" s="38">
        <v>607200.0</v>
      </c>
      <c r="C3337" s="72">
        <v>45815.0</v>
      </c>
      <c r="D3337" s="38">
        <v>97.0</v>
      </c>
      <c r="E3337" s="75"/>
      <c r="F3337" s="67">
        <v>4.945123549</v>
      </c>
      <c r="G3337" s="40">
        <v>2.354428791</v>
      </c>
      <c r="H3337" s="40"/>
      <c r="I3337" s="41">
        <v>0.412371134</v>
      </c>
      <c r="J3337" s="41">
        <v>0.195876289</v>
      </c>
      <c r="K3337" s="41">
        <v>0.391752577</v>
      </c>
      <c r="L3337" s="41"/>
      <c r="M3337" s="74">
        <v>1.20564262</v>
      </c>
    </row>
    <row r="3338">
      <c r="A3338" s="1" t="s">
        <v>111</v>
      </c>
      <c r="B3338" s="38">
        <v>656641.0</v>
      </c>
      <c r="C3338" s="72">
        <v>45858.0</v>
      </c>
      <c r="D3338" s="38">
        <v>81.0</v>
      </c>
      <c r="E3338" s="75"/>
      <c r="F3338" s="67">
        <v>4.945081436</v>
      </c>
      <c r="G3338" s="40">
        <v>1.939202504</v>
      </c>
      <c r="H3338" s="40"/>
      <c r="I3338" s="41">
        <v>0.469135802</v>
      </c>
      <c r="J3338" s="41">
        <v>0.086419753</v>
      </c>
      <c r="K3338" s="41">
        <v>0.444444444</v>
      </c>
      <c r="L3338" s="41"/>
      <c r="M3338" s="74">
        <v>-1.174487869</v>
      </c>
    </row>
    <row r="3339">
      <c r="A3339" s="1" t="s">
        <v>413</v>
      </c>
      <c r="B3339" s="38">
        <v>671737.0</v>
      </c>
      <c r="C3339" s="72">
        <v>45848.0</v>
      </c>
      <c r="D3339" s="38">
        <v>88.0</v>
      </c>
      <c r="E3339" s="75"/>
      <c r="F3339" s="67">
        <v>4.945049358</v>
      </c>
      <c r="G3339" s="40">
        <v>2.167563273</v>
      </c>
      <c r="H3339" s="40"/>
      <c r="I3339" s="41">
        <v>0.443181818</v>
      </c>
      <c r="J3339" s="41">
        <v>0.125</v>
      </c>
      <c r="K3339" s="41">
        <v>0.431818182</v>
      </c>
      <c r="L3339" s="41"/>
      <c r="M3339" s="74">
        <v>2.273247007</v>
      </c>
    </row>
    <row r="3340">
      <c r="A3340" s="1" t="s">
        <v>384</v>
      </c>
      <c r="B3340" s="38">
        <v>666214.0</v>
      </c>
      <c r="C3340" s="72">
        <v>45874.0</v>
      </c>
      <c r="D3340" s="38">
        <v>91.0</v>
      </c>
      <c r="E3340" s="75"/>
      <c r="F3340" s="67">
        <v>4.944902432</v>
      </c>
      <c r="G3340" s="40">
        <v>2.221161494</v>
      </c>
      <c r="H3340" s="40"/>
      <c r="I3340" s="41">
        <v>0.472527473</v>
      </c>
      <c r="J3340" s="41">
        <v>0.120879121</v>
      </c>
      <c r="K3340" s="41">
        <v>0.406593407</v>
      </c>
      <c r="L3340" s="41"/>
      <c r="M3340" s="74">
        <v>-1.472170542</v>
      </c>
    </row>
    <row r="3341">
      <c r="A3341" s="1" t="s">
        <v>339</v>
      </c>
      <c r="B3341" s="38">
        <v>686613.0</v>
      </c>
      <c r="C3341" s="72">
        <v>45851.0</v>
      </c>
      <c r="D3341" s="38">
        <v>88.0</v>
      </c>
      <c r="E3341" s="75"/>
      <c r="F3341" s="67">
        <v>4.944746034</v>
      </c>
      <c r="G3341" s="40">
        <v>2.126234961</v>
      </c>
      <c r="H3341" s="40"/>
      <c r="I3341" s="41">
        <v>0.397727273</v>
      </c>
      <c r="J3341" s="41">
        <v>0.215909091</v>
      </c>
      <c r="K3341" s="41">
        <v>0.386363636</v>
      </c>
      <c r="L3341" s="41"/>
      <c r="M3341" s="74">
        <v>0.863389064</v>
      </c>
    </row>
    <row r="3342">
      <c r="A3342" s="1" t="s">
        <v>450</v>
      </c>
      <c r="B3342" s="38">
        <v>682990.0</v>
      </c>
      <c r="C3342" s="72">
        <v>45912.0</v>
      </c>
      <c r="D3342" s="38">
        <v>88.0</v>
      </c>
      <c r="E3342" s="75"/>
      <c r="F3342" s="67">
        <v>4.944736653</v>
      </c>
      <c r="G3342" s="40">
        <v>2.139247865</v>
      </c>
      <c r="H3342" s="40"/>
      <c r="I3342" s="41">
        <v>0.352272727</v>
      </c>
      <c r="J3342" s="41">
        <v>0.227272727</v>
      </c>
      <c r="K3342" s="41">
        <v>0.420454545</v>
      </c>
      <c r="L3342" s="41"/>
      <c r="M3342" s="74">
        <v>0.834119404</v>
      </c>
    </row>
    <row r="3343">
      <c r="A3343" s="1" t="s">
        <v>336</v>
      </c>
      <c r="B3343" s="38">
        <v>605488.0</v>
      </c>
      <c r="C3343" s="72">
        <v>45868.0</v>
      </c>
      <c r="D3343" s="38">
        <v>87.0</v>
      </c>
      <c r="E3343" s="75"/>
      <c r="F3343" s="67">
        <v>4.944733393</v>
      </c>
      <c r="G3343" s="40">
        <v>2.080926601</v>
      </c>
      <c r="H3343" s="40"/>
      <c r="I3343" s="41">
        <v>0.448275862</v>
      </c>
      <c r="J3343" s="41">
        <v>0.16091954</v>
      </c>
      <c r="K3343" s="41">
        <v>0.390804598</v>
      </c>
      <c r="L3343" s="41"/>
      <c r="M3343" s="74">
        <v>2.337199207</v>
      </c>
    </row>
    <row r="3344">
      <c r="A3344" s="1" t="s">
        <v>484</v>
      </c>
      <c r="B3344" s="38">
        <v>682847.0</v>
      </c>
      <c r="C3344" s="72">
        <v>45788.0</v>
      </c>
      <c r="D3344" s="38">
        <v>88.0</v>
      </c>
      <c r="E3344" s="75"/>
      <c r="F3344" s="67">
        <v>4.944584989</v>
      </c>
      <c r="G3344" s="40">
        <v>2.11618013</v>
      </c>
      <c r="H3344" s="40"/>
      <c r="I3344" s="41">
        <v>0.454545455</v>
      </c>
      <c r="J3344" s="41">
        <v>0.113636364</v>
      </c>
      <c r="K3344" s="41">
        <v>0.431818182</v>
      </c>
      <c r="L3344" s="41"/>
      <c r="M3344" s="74">
        <v>0.574280604</v>
      </c>
    </row>
    <row r="3345">
      <c r="A3345" s="1" t="s">
        <v>67</v>
      </c>
      <c r="B3345" s="38">
        <v>684007.0</v>
      </c>
      <c r="C3345" s="72">
        <v>45919.0</v>
      </c>
      <c r="D3345" s="38">
        <v>83.0</v>
      </c>
      <c r="E3345" s="75"/>
      <c r="F3345" s="67">
        <v>4.944478074</v>
      </c>
      <c r="G3345" s="40">
        <v>1.990560071</v>
      </c>
      <c r="H3345" s="40"/>
      <c r="I3345" s="41">
        <v>0.457831325</v>
      </c>
      <c r="J3345" s="41">
        <v>0.13253012</v>
      </c>
      <c r="K3345" s="41">
        <v>0.409638554</v>
      </c>
      <c r="L3345" s="41"/>
      <c r="M3345" s="74">
        <v>-0.286609601</v>
      </c>
    </row>
    <row r="3346">
      <c r="A3346" s="1" t="s">
        <v>224</v>
      </c>
      <c r="B3346" s="38">
        <v>686701.0</v>
      </c>
      <c r="C3346" s="72">
        <v>45913.0</v>
      </c>
      <c r="D3346" s="38">
        <v>75.0</v>
      </c>
      <c r="E3346" s="75"/>
      <c r="F3346" s="67">
        <v>4.944465341</v>
      </c>
      <c r="G3346" s="40">
        <v>1.829466388</v>
      </c>
      <c r="H3346" s="40"/>
      <c r="I3346" s="41">
        <v>0.466666667</v>
      </c>
      <c r="J3346" s="41">
        <v>0.133333333</v>
      </c>
      <c r="K3346" s="41">
        <v>0.4</v>
      </c>
      <c r="L3346" s="41"/>
      <c r="M3346" s="74">
        <v>-1.146534791</v>
      </c>
    </row>
    <row r="3347">
      <c r="A3347" s="1" t="s">
        <v>77</v>
      </c>
      <c r="B3347" s="38">
        <v>657277.0</v>
      </c>
      <c r="C3347" s="72">
        <v>45793.0</v>
      </c>
      <c r="D3347" s="38">
        <v>105.0</v>
      </c>
      <c r="E3347" s="75"/>
      <c r="F3347" s="67">
        <v>4.944248331</v>
      </c>
      <c r="G3347" s="40">
        <v>2.534422929</v>
      </c>
      <c r="H3347" s="40"/>
      <c r="I3347" s="41">
        <v>0.419047619</v>
      </c>
      <c r="J3347" s="41">
        <v>0.20952381</v>
      </c>
      <c r="K3347" s="41">
        <v>0.371428571</v>
      </c>
      <c r="L3347" s="41"/>
      <c r="M3347" s="74">
        <v>1.083876061</v>
      </c>
    </row>
    <row r="3348">
      <c r="A3348" s="1" t="s">
        <v>413</v>
      </c>
      <c r="B3348" s="38">
        <v>671737.0</v>
      </c>
      <c r="C3348" s="72">
        <v>45832.0</v>
      </c>
      <c r="D3348" s="38">
        <v>86.0</v>
      </c>
      <c r="E3348" s="75"/>
      <c r="F3348" s="67">
        <v>4.944186282</v>
      </c>
      <c r="G3348" s="40">
        <v>2.113724172</v>
      </c>
      <c r="H3348" s="40"/>
      <c r="I3348" s="41">
        <v>0.406976744</v>
      </c>
      <c r="J3348" s="41">
        <v>0.279069767</v>
      </c>
      <c r="K3348" s="41">
        <v>0.313953488</v>
      </c>
      <c r="L3348" s="41"/>
      <c r="M3348" s="74">
        <v>2.509713743</v>
      </c>
    </row>
    <row r="3349">
      <c r="A3349" s="1" t="s">
        <v>376</v>
      </c>
      <c r="B3349" s="38">
        <v>668909.0</v>
      </c>
      <c r="C3349" s="72">
        <v>45905.0</v>
      </c>
      <c r="D3349" s="38">
        <v>91.0</v>
      </c>
      <c r="E3349" s="75"/>
      <c r="F3349" s="67">
        <v>4.944082623</v>
      </c>
      <c r="G3349" s="40">
        <v>2.240703072</v>
      </c>
      <c r="H3349" s="40"/>
      <c r="I3349" s="41">
        <v>0.417582418</v>
      </c>
      <c r="J3349" s="41">
        <v>0.186813187</v>
      </c>
      <c r="K3349" s="41">
        <v>0.395604396</v>
      </c>
      <c r="L3349" s="41"/>
      <c r="M3349" s="74">
        <v>-2.463551176</v>
      </c>
    </row>
    <row r="3350">
      <c r="A3350" s="1" t="s">
        <v>133</v>
      </c>
      <c r="B3350" s="38">
        <v>663978.0</v>
      </c>
      <c r="C3350" s="72">
        <v>45781.0</v>
      </c>
      <c r="D3350" s="38">
        <v>87.0</v>
      </c>
      <c r="E3350" s="75"/>
      <c r="F3350" s="67">
        <v>4.943956633</v>
      </c>
      <c r="G3350" s="40">
        <v>2.110603263</v>
      </c>
      <c r="H3350" s="40"/>
      <c r="I3350" s="41">
        <v>0.448275862</v>
      </c>
      <c r="J3350" s="41">
        <v>0.206896552</v>
      </c>
      <c r="K3350" s="41">
        <v>0.344827586</v>
      </c>
      <c r="L3350" s="41"/>
      <c r="M3350" s="74">
        <v>0.433652492</v>
      </c>
    </row>
    <row r="3351">
      <c r="A3351" s="1" t="s">
        <v>263</v>
      </c>
      <c r="B3351" s="38">
        <v>694297.0</v>
      </c>
      <c r="C3351" s="72">
        <v>45790.0</v>
      </c>
      <c r="D3351" s="38">
        <v>95.0</v>
      </c>
      <c r="E3351" s="75"/>
      <c r="F3351" s="67">
        <v>4.943879984</v>
      </c>
      <c r="G3351" s="40">
        <v>2.267110151</v>
      </c>
      <c r="H3351" s="40"/>
      <c r="I3351" s="41">
        <v>0.452631579</v>
      </c>
      <c r="J3351" s="41">
        <v>0.136842105</v>
      </c>
      <c r="K3351" s="41">
        <v>0.410526316</v>
      </c>
      <c r="L3351" s="41"/>
      <c r="M3351" s="74">
        <v>-0.122142786</v>
      </c>
    </row>
    <row r="3352">
      <c r="A3352" s="1" t="s">
        <v>320</v>
      </c>
      <c r="B3352" s="38">
        <v>681347.0</v>
      </c>
      <c r="C3352" s="72">
        <v>45804.0</v>
      </c>
      <c r="D3352" s="38">
        <v>74.0</v>
      </c>
      <c r="E3352" s="75"/>
      <c r="F3352" s="67">
        <v>4.943244124</v>
      </c>
      <c r="G3352" s="40">
        <v>1.809788273</v>
      </c>
      <c r="H3352" s="40"/>
      <c r="I3352" s="41">
        <v>0.418918919</v>
      </c>
      <c r="J3352" s="41">
        <v>0.135135135</v>
      </c>
      <c r="K3352" s="41">
        <v>0.445945946</v>
      </c>
      <c r="L3352" s="41"/>
      <c r="M3352" s="74">
        <v>-0.775177852</v>
      </c>
    </row>
    <row r="3353">
      <c r="A3353" s="1" t="s">
        <v>129</v>
      </c>
      <c r="B3353" s="38">
        <v>686752.0</v>
      </c>
      <c r="C3353" s="72">
        <v>45880.0</v>
      </c>
      <c r="D3353" s="38">
        <v>85.0</v>
      </c>
      <c r="E3353" s="75"/>
      <c r="F3353" s="67">
        <v>4.943074911</v>
      </c>
      <c r="G3353" s="40">
        <v>2.112139264</v>
      </c>
      <c r="H3353" s="40"/>
      <c r="I3353" s="41">
        <v>0.435294118</v>
      </c>
      <c r="J3353" s="41">
        <v>0.247058824</v>
      </c>
      <c r="K3353" s="41">
        <v>0.317647059</v>
      </c>
      <c r="L3353" s="41"/>
      <c r="M3353" s="74">
        <v>-0.163685822</v>
      </c>
    </row>
    <row r="3354">
      <c r="A3354" s="1" t="s">
        <v>456</v>
      </c>
      <c r="B3354" s="38">
        <v>605135.0</v>
      </c>
      <c r="C3354" s="72">
        <v>45872.0</v>
      </c>
      <c r="D3354" s="38">
        <v>86.0</v>
      </c>
      <c r="E3354" s="75"/>
      <c r="F3354" s="67">
        <v>4.943035156</v>
      </c>
      <c r="G3354" s="40">
        <v>2.083795336</v>
      </c>
      <c r="H3354" s="40"/>
      <c r="I3354" s="41">
        <v>0.453488372</v>
      </c>
      <c r="J3354" s="41">
        <v>0.139534884</v>
      </c>
      <c r="K3354" s="41">
        <v>0.406976744</v>
      </c>
      <c r="L3354" s="41"/>
      <c r="M3354" s="74">
        <v>5.069187543</v>
      </c>
    </row>
    <row r="3355">
      <c r="A3355" s="1" t="s">
        <v>399</v>
      </c>
      <c r="B3355" s="38">
        <v>543294.0</v>
      </c>
      <c r="C3355" s="72">
        <v>45814.0</v>
      </c>
      <c r="D3355" s="38">
        <v>81.0</v>
      </c>
      <c r="E3355" s="75"/>
      <c r="F3355" s="67">
        <v>4.942859671</v>
      </c>
      <c r="G3355" s="40">
        <v>2.007307693</v>
      </c>
      <c r="H3355" s="40"/>
      <c r="I3355" s="41">
        <v>0.481481481</v>
      </c>
      <c r="J3355" s="41">
        <v>0.185185185</v>
      </c>
      <c r="K3355" s="41">
        <v>0.333333333</v>
      </c>
      <c r="L3355" s="41"/>
      <c r="M3355" s="74">
        <v>-1.916742477</v>
      </c>
    </row>
    <row r="3356">
      <c r="A3356" s="1" t="s">
        <v>420</v>
      </c>
      <c r="B3356" s="38">
        <v>547179.0</v>
      </c>
      <c r="C3356" s="72">
        <v>45811.0</v>
      </c>
      <c r="D3356" s="38">
        <v>74.0</v>
      </c>
      <c r="E3356" s="75"/>
      <c r="F3356" s="67">
        <v>4.942775268</v>
      </c>
      <c r="G3356" s="40">
        <v>1.791239965</v>
      </c>
      <c r="H3356" s="40"/>
      <c r="I3356" s="41">
        <v>0.418918919</v>
      </c>
      <c r="J3356" s="41">
        <v>0.216216216</v>
      </c>
      <c r="K3356" s="41">
        <v>0.364864865</v>
      </c>
      <c r="L3356" s="41"/>
      <c r="M3356" s="74">
        <v>-2.100865052</v>
      </c>
    </row>
    <row r="3357">
      <c r="A3357" s="1" t="s">
        <v>366</v>
      </c>
      <c r="B3357" s="38">
        <v>656550.0</v>
      </c>
      <c r="C3357" s="72">
        <v>45761.0</v>
      </c>
      <c r="D3357" s="38">
        <v>86.0</v>
      </c>
      <c r="E3357" s="75"/>
      <c r="F3357" s="67">
        <v>4.942733036</v>
      </c>
      <c r="G3357" s="40">
        <v>2.121493067</v>
      </c>
      <c r="H3357" s="40"/>
      <c r="I3357" s="41">
        <v>0.441860465</v>
      </c>
      <c r="J3357" s="41">
        <v>0.23255814</v>
      </c>
      <c r="K3357" s="41">
        <v>0.325581395</v>
      </c>
      <c r="L3357" s="41"/>
      <c r="M3357" s="74">
        <v>2.799557287</v>
      </c>
    </row>
    <row r="3358">
      <c r="A3358" s="1" t="s">
        <v>44</v>
      </c>
      <c r="B3358" s="38">
        <v>650911.0</v>
      </c>
      <c r="C3358" s="72">
        <v>45753.0</v>
      </c>
      <c r="D3358" s="38">
        <v>85.0</v>
      </c>
      <c r="E3358" s="75"/>
      <c r="F3358" s="67">
        <v>4.942730055</v>
      </c>
      <c r="G3358" s="40">
        <v>2.081413374</v>
      </c>
      <c r="H3358" s="40"/>
      <c r="I3358" s="41">
        <v>0.517647059</v>
      </c>
      <c r="J3358" s="41">
        <v>0.129411765</v>
      </c>
      <c r="K3358" s="41">
        <v>0.352941176</v>
      </c>
      <c r="L3358" s="41"/>
      <c r="M3358" s="74">
        <v>-1.100388074</v>
      </c>
    </row>
    <row r="3359">
      <c r="A3359" s="1" t="s">
        <v>472</v>
      </c>
      <c r="B3359" s="38">
        <v>675911.0</v>
      </c>
      <c r="C3359" s="72">
        <v>45856.0</v>
      </c>
      <c r="D3359" s="38">
        <v>96.0</v>
      </c>
      <c r="E3359" s="75"/>
      <c r="F3359" s="67">
        <v>4.942520008</v>
      </c>
      <c r="G3359" s="40">
        <v>2.350603205</v>
      </c>
      <c r="H3359" s="40"/>
      <c r="I3359" s="41">
        <v>0.4375</v>
      </c>
      <c r="J3359" s="41">
        <v>0.177083333</v>
      </c>
      <c r="K3359" s="41">
        <v>0.385416667</v>
      </c>
      <c r="L3359" s="41"/>
      <c r="M3359" s="74">
        <v>2.096782022</v>
      </c>
    </row>
    <row r="3360">
      <c r="A3360" s="1" t="s">
        <v>396</v>
      </c>
      <c r="B3360" s="38">
        <v>663623.0</v>
      </c>
      <c r="C3360" s="72">
        <v>45789.0</v>
      </c>
      <c r="D3360" s="38">
        <v>78.0</v>
      </c>
      <c r="E3360" s="75"/>
      <c r="F3360" s="67">
        <v>4.942452762</v>
      </c>
      <c r="G3360" s="40">
        <v>1.941183771</v>
      </c>
      <c r="H3360" s="40"/>
      <c r="I3360" s="41">
        <v>0.397435897</v>
      </c>
      <c r="J3360" s="41">
        <v>0.217948718</v>
      </c>
      <c r="K3360" s="41">
        <v>0.384615385</v>
      </c>
      <c r="L3360" s="41"/>
      <c r="M3360" s="74">
        <v>-1.504935411</v>
      </c>
    </row>
    <row r="3361">
      <c r="A3361" s="1" t="s">
        <v>513</v>
      </c>
      <c r="B3361" s="38">
        <v>608566.0</v>
      </c>
      <c r="C3361" s="72">
        <v>45914.0</v>
      </c>
      <c r="D3361" s="38">
        <v>73.0</v>
      </c>
      <c r="E3361" s="75"/>
      <c r="F3361" s="67">
        <v>4.94218255</v>
      </c>
      <c r="G3361" s="40">
        <v>1.789762978</v>
      </c>
      <c r="H3361" s="40"/>
      <c r="I3361" s="41">
        <v>0.534246575</v>
      </c>
      <c r="J3361" s="41">
        <v>0.109589041</v>
      </c>
      <c r="K3361" s="41">
        <v>0.356164384</v>
      </c>
      <c r="L3361" s="41"/>
      <c r="M3361" s="74">
        <v>-5.681836787</v>
      </c>
    </row>
    <row r="3362">
      <c r="A3362" s="1" t="s">
        <v>285</v>
      </c>
      <c r="B3362" s="38">
        <v>607074.0</v>
      </c>
      <c r="C3362" s="72">
        <v>45770.0</v>
      </c>
      <c r="D3362" s="38">
        <v>87.0</v>
      </c>
      <c r="E3362" s="75"/>
      <c r="F3362" s="67">
        <v>4.942160314</v>
      </c>
      <c r="G3362" s="40">
        <v>2.152905971</v>
      </c>
      <c r="H3362" s="40"/>
      <c r="I3362" s="41">
        <v>0.448275862</v>
      </c>
      <c r="J3362" s="41">
        <v>0.126436782</v>
      </c>
      <c r="K3362" s="41">
        <v>0.425287356</v>
      </c>
      <c r="L3362" s="41"/>
      <c r="M3362" s="74">
        <v>1.090250278</v>
      </c>
    </row>
    <row r="3363">
      <c r="A3363" s="1" t="s">
        <v>420</v>
      </c>
      <c r="B3363" s="38">
        <v>547179.0</v>
      </c>
      <c r="C3363" s="72">
        <v>45764.0</v>
      </c>
      <c r="D3363" s="38">
        <v>94.0</v>
      </c>
      <c r="E3363" s="75"/>
      <c r="F3363" s="67">
        <v>4.942022582</v>
      </c>
      <c r="G3363" s="40">
        <v>2.276489349</v>
      </c>
      <c r="H3363" s="40"/>
      <c r="I3363" s="41">
        <v>0.414893617</v>
      </c>
      <c r="J3363" s="41">
        <v>0.14893617</v>
      </c>
      <c r="K3363" s="41">
        <v>0.436170213</v>
      </c>
      <c r="L3363" s="41"/>
      <c r="M3363" s="74">
        <v>-0.603547458</v>
      </c>
    </row>
    <row r="3364">
      <c r="A3364" s="1" t="s">
        <v>147</v>
      </c>
      <c r="B3364" s="38">
        <v>608379.0</v>
      </c>
      <c r="C3364" s="72">
        <v>45881.0</v>
      </c>
      <c r="D3364" s="38">
        <v>75.0</v>
      </c>
      <c r="E3364" s="75"/>
      <c r="F3364" s="67">
        <v>4.941659859</v>
      </c>
      <c r="G3364" s="40">
        <v>1.865343217</v>
      </c>
      <c r="H3364" s="40"/>
      <c r="I3364" s="41">
        <v>0.44</v>
      </c>
      <c r="J3364" s="41">
        <v>0.226666667</v>
      </c>
      <c r="K3364" s="41">
        <v>0.333333333</v>
      </c>
      <c r="L3364" s="41"/>
      <c r="M3364" s="74">
        <v>-0.470430285</v>
      </c>
    </row>
    <row r="3365">
      <c r="A3365" s="1" t="s">
        <v>372</v>
      </c>
      <c r="B3365" s="38">
        <v>671106.0</v>
      </c>
      <c r="C3365" s="72">
        <v>45826.0</v>
      </c>
      <c r="D3365" s="38">
        <v>88.0</v>
      </c>
      <c r="E3365" s="75"/>
      <c r="F3365" s="67">
        <v>4.941630227</v>
      </c>
      <c r="G3365" s="40">
        <v>2.13276143</v>
      </c>
      <c r="H3365" s="40"/>
      <c r="I3365" s="41">
        <v>0.477272727</v>
      </c>
      <c r="J3365" s="41">
        <v>0.170454545</v>
      </c>
      <c r="K3365" s="41">
        <v>0.352272727</v>
      </c>
      <c r="L3365" s="41"/>
      <c r="M3365" s="74">
        <v>1.336726725</v>
      </c>
    </row>
    <row r="3366">
      <c r="A3366" s="1" t="s">
        <v>269</v>
      </c>
      <c r="B3366" s="38">
        <v>605280.0</v>
      </c>
      <c r="C3366" s="72">
        <v>45927.0</v>
      </c>
      <c r="D3366" s="38">
        <v>77.0</v>
      </c>
      <c r="E3366" s="75"/>
      <c r="F3366" s="67">
        <v>4.941619471</v>
      </c>
      <c r="G3366" s="40">
        <v>1.901758994</v>
      </c>
      <c r="H3366" s="40"/>
      <c r="I3366" s="41">
        <v>0.454545455</v>
      </c>
      <c r="J3366" s="41">
        <v>0.155844156</v>
      </c>
      <c r="K3366" s="41">
        <v>0.38961039</v>
      </c>
      <c r="L3366" s="41"/>
      <c r="M3366" s="74">
        <v>3.857429131</v>
      </c>
    </row>
    <row r="3367">
      <c r="A3367" s="1" t="s">
        <v>303</v>
      </c>
      <c r="B3367" s="38">
        <v>592662.0</v>
      </c>
      <c r="C3367" s="72">
        <v>45773.0</v>
      </c>
      <c r="D3367" s="38">
        <v>95.0</v>
      </c>
      <c r="E3367" s="75"/>
      <c r="F3367" s="67">
        <v>4.941595463</v>
      </c>
      <c r="G3367" s="40">
        <v>2.355668842</v>
      </c>
      <c r="H3367" s="40"/>
      <c r="I3367" s="41">
        <v>0.442105263</v>
      </c>
      <c r="J3367" s="41">
        <v>0.221052632</v>
      </c>
      <c r="K3367" s="41">
        <v>0.336842105</v>
      </c>
      <c r="L3367" s="41"/>
      <c r="M3367" s="74">
        <v>-0.220955909</v>
      </c>
    </row>
    <row r="3368">
      <c r="A3368" s="1" t="s">
        <v>331</v>
      </c>
      <c r="B3368" s="38">
        <v>672456.0</v>
      </c>
      <c r="C3368" s="72">
        <v>45809.0</v>
      </c>
      <c r="D3368" s="38">
        <v>72.0</v>
      </c>
      <c r="E3368" s="75"/>
      <c r="F3368" s="67">
        <v>4.941265658</v>
      </c>
      <c r="G3368" s="40">
        <v>1.766235988</v>
      </c>
      <c r="H3368" s="40"/>
      <c r="I3368" s="41">
        <v>0.402777778</v>
      </c>
      <c r="J3368" s="41">
        <v>0.25</v>
      </c>
      <c r="K3368" s="41">
        <v>0.347222222</v>
      </c>
      <c r="L3368" s="41"/>
      <c r="M3368" s="74">
        <v>-2.353029907</v>
      </c>
    </row>
    <row r="3369">
      <c r="A3369" s="1" t="s">
        <v>130</v>
      </c>
      <c r="B3369" s="38">
        <v>666200.0</v>
      </c>
      <c r="C3369" s="72">
        <v>45830.0</v>
      </c>
      <c r="D3369" s="38">
        <v>100.0</v>
      </c>
      <c r="E3369" s="75"/>
      <c r="F3369" s="67">
        <v>4.941115262</v>
      </c>
      <c r="G3369" s="40">
        <v>2.406229799</v>
      </c>
      <c r="H3369" s="40"/>
      <c r="I3369" s="41">
        <v>0.48</v>
      </c>
      <c r="J3369" s="41">
        <v>0.15</v>
      </c>
      <c r="K3369" s="41">
        <v>0.37</v>
      </c>
      <c r="L3369" s="41"/>
      <c r="M3369" s="74">
        <v>3.000661281</v>
      </c>
    </row>
    <row r="3370">
      <c r="A3370" s="1" t="s">
        <v>247</v>
      </c>
      <c r="B3370" s="38">
        <v>605540.0</v>
      </c>
      <c r="C3370" s="72">
        <v>45850.0</v>
      </c>
      <c r="D3370" s="38">
        <v>79.0</v>
      </c>
      <c r="E3370" s="75"/>
      <c r="F3370" s="67">
        <v>4.940935931</v>
      </c>
      <c r="G3370" s="40">
        <v>1.940997797</v>
      </c>
      <c r="H3370" s="40"/>
      <c r="I3370" s="41">
        <v>0.443037975</v>
      </c>
      <c r="J3370" s="41">
        <v>0.126582278</v>
      </c>
      <c r="K3370" s="41">
        <v>0.430379747</v>
      </c>
      <c r="L3370" s="41"/>
      <c r="M3370" s="74">
        <v>0.916321254</v>
      </c>
    </row>
    <row r="3371">
      <c r="A3371" s="1" t="s">
        <v>287</v>
      </c>
      <c r="B3371" s="38">
        <v>571945.0</v>
      </c>
      <c r="C3371" s="72">
        <v>45926.0</v>
      </c>
      <c r="D3371" s="38">
        <v>72.0</v>
      </c>
      <c r="E3371" s="75"/>
      <c r="F3371" s="67">
        <v>4.940905861</v>
      </c>
      <c r="G3371" s="40">
        <v>1.761991321</v>
      </c>
      <c r="H3371" s="40"/>
      <c r="I3371" s="41">
        <v>0.472222222</v>
      </c>
      <c r="J3371" s="41">
        <v>0.166666667</v>
      </c>
      <c r="K3371" s="41">
        <v>0.361111111</v>
      </c>
      <c r="L3371" s="41"/>
      <c r="M3371" s="74">
        <v>1.186643217</v>
      </c>
    </row>
    <row r="3372">
      <c r="A3372" s="1" t="s">
        <v>263</v>
      </c>
      <c r="B3372" s="38">
        <v>694297.0</v>
      </c>
      <c r="C3372" s="72">
        <v>45906.0</v>
      </c>
      <c r="D3372" s="38">
        <v>92.0</v>
      </c>
      <c r="E3372" s="75"/>
      <c r="F3372" s="67">
        <v>4.940893839</v>
      </c>
      <c r="G3372" s="40">
        <v>2.281878602</v>
      </c>
      <c r="H3372" s="40"/>
      <c r="I3372" s="41">
        <v>0.391304348</v>
      </c>
      <c r="J3372" s="41">
        <v>0.25</v>
      </c>
      <c r="K3372" s="41">
        <v>0.358695652</v>
      </c>
      <c r="L3372" s="41"/>
      <c r="M3372" s="74">
        <v>0.802590726</v>
      </c>
    </row>
    <row r="3373">
      <c r="A3373" s="1" t="s">
        <v>509</v>
      </c>
      <c r="B3373" s="38">
        <v>676106.0</v>
      </c>
      <c r="C3373" s="72">
        <v>45783.0</v>
      </c>
      <c r="D3373" s="38">
        <v>67.0</v>
      </c>
      <c r="E3373" s="75"/>
      <c r="F3373" s="67">
        <v>4.940821662</v>
      </c>
      <c r="G3373" s="40">
        <v>1.653456197</v>
      </c>
      <c r="H3373" s="40"/>
      <c r="I3373" s="41">
        <v>0.462686567</v>
      </c>
      <c r="J3373" s="41">
        <v>0.164179104</v>
      </c>
      <c r="K3373" s="41">
        <v>0.373134328</v>
      </c>
      <c r="L3373" s="41"/>
      <c r="M3373" s="74">
        <v>1.255551015</v>
      </c>
    </row>
    <row r="3374">
      <c r="A3374" s="1" t="s">
        <v>415</v>
      </c>
      <c r="B3374" s="38">
        <v>656794.0</v>
      </c>
      <c r="C3374" s="72">
        <v>45770.0</v>
      </c>
      <c r="D3374" s="38">
        <v>94.0</v>
      </c>
      <c r="E3374" s="75"/>
      <c r="F3374" s="67">
        <v>4.940603237</v>
      </c>
      <c r="G3374" s="40">
        <v>2.281303311</v>
      </c>
      <c r="H3374" s="40"/>
      <c r="I3374" s="41">
        <v>0.436170213</v>
      </c>
      <c r="J3374" s="41">
        <v>0.159574468</v>
      </c>
      <c r="K3374" s="41">
        <v>0.404255319</v>
      </c>
      <c r="L3374" s="41"/>
      <c r="M3374" s="74">
        <v>-2.415147432</v>
      </c>
    </row>
    <row r="3375">
      <c r="A3375" s="1" t="s">
        <v>411</v>
      </c>
      <c r="B3375" s="38">
        <v>605288.0</v>
      </c>
      <c r="C3375" s="72">
        <v>45863.0</v>
      </c>
      <c r="D3375" s="38">
        <v>82.0</v>
      </c>
      <c r="E3375" s="75"/>
      <c r="F3375" s="67">
        <v>4.940582752</v>
      </c>
      <c r="G3375" s="40">
        <v>2.019328075</v>
      </c>
      <c r="H3375" s="40"/>
      <c r="I3375" s="41">
        <v>0.5</v>
      </c>
      <c r="J3375" s="41">
        <v>0.195121951</v>
      </c>
      <c r="K3375" s="41">
        <v>0.304878049</v>
      </c>
      <c r="L3375" s="41"/>
      <c r="M3375" s="74">
        <v>0.042962892</v>
      </c>
    </row>
    <row r="3376">
      <c r="A3376" s="1" t="s">
        <v>437</v>
      </c>
      <c r="B3376" s="38">
        <v>695418.0</v>
      </c>
      <c r="C3376" s="72">
        <v>45878.0</v>
      </c>
      <c r="D3376" s="38">
        <v>82.0</v>
      </c>
      <c r="E3376" s="75"/>
      <c r="F3376" s="67">
        <v>4.940542814</v>
      </c>
      <c r="G3376" s="40">
        <v>2.034544646</v>
      </c>
      <c r="H3376" s="40"/>
      <c r="I3376" s="41">
        <v>0.402439024</v>
      </c>
      <c r="J3376" s="41">
        <v>0.219512195</v>
      </c>
      <c r="K3376" s="41">
        <v>0.37804878</v>
      </c>
      <c r="L3376" s="41"/>
      <c r="M3376" s="74">
        <v>2.458985567</v>
      </c>
    </row>
    <row r="3377">
      <c r="A3377" s="1" t="s">
        <v>411</v>
      </c>
      <c r="B3377" s="38">
        <v>605288.0</v>
      </c>
      <c r="C3377" s="72">
        <v>45842.0</v>
      </c>
      <c r="D3377" s="38">
        <v>94.0</v>
      </c>
      <c r="E3377" s="75"/>
      <c r="F3377" s="67">
        <v>4.940541772</v>
      </c>
      <c r="G3377" s="40">
        <v>2.341274252</v>
      </c>
      <c r="H3377" s="40"/>
      <c r="I3377" s="41">
        <v>0.436170213</v>
      </c>
      <c r="J3377" s="41">
        <v>0.170212766</v>
      </c>
      <c r="K3377" s="41">
        <v>0.393617021</v>
      </c>
      <c r="L3377" s="41"/>
      <c r="M3377" s="74">
        <v>2.691661943</v>
      </c>
    </row>
    <row r="3378">
      <c r="A3378" s="1" t="s">
        <v>330</v>
      </c>
      <c r="B3378" s="38">
        <v>680730.0</v>
      </c>
      <c r="C3378" s="72">
        <v>45909.0</v>
      </c>
      <c r="D3378" s="38">
        <v>95.0</v>
      </c>
      <c r="E3378" s="75"/>
      <c r="F3378" s="67">
        <v>4.940250972</v>
      </c>
      <c r="G3378" s="40">
        <v>2.34726462</v>
      </c>
      <c r="H3378" s="40"/>
      <c r="I3378" s="41">
        <v>0.431578947</v>
      </c>
      <c r="J3378" s="41">
        <v>0.221052632</v>
      </c>
      <c r="K3378" s="41">
        <v>0.347368421</v>
      </c>
      <c r="L3378" s="41"/>
      <c r="M3378" s="74">
        <v>1.085435001</v>
      </c>
    </row>
    <row r="3379">
      <c r="A3379" s="1" t="s">
        <v>308</v>
      </c>
      <c r="B3379" s="38">
        <v>676440.0</v>
      </c>
      <c r="C3379" s="72">
        <v>45834.0</v>
      </c>
      <c r="D3379" s="38">
        <v>96.0</v>
      </c>
      <c r="E3379" s="75"/>
      <c r="F3379" s="67">
        <v>4.940198136</v>
      </c>
      <c r="G3379" s="40">
        <v>2.350382072</v>
      </c>
      <c r="H3379" s="40"/>
      <c r="I3379" s="41">
        <v>0.416666667</v>
      </c>
      <c r="J3379" s="41">
        <v>0.208333333</v>
      </c>
      <c r="K3379" s="41">
        <v>0.375</v>
      </c>
      <c r="L3379" s="41"/>
      <c r="M3379" s="74">
        <v>2.703776418</v>
      </c>
    </row>
    <row r="3380">
      <c r="A3380" s="1" t="s">
        <v>481</v>
      </c>
      <c r="B3380" s="38">
        <v>622608.0</v>
      </c>
      <c r="C3380" s="72">
        <v>45791.0</v>
      </c>
      <c r="D3380" s="38">
        <v>95.0</v>
      </c>
      <c r="E3380" s="75"/>
      <c r="F3380" s="67">
        <v>4.940068854</v>
      </c>
      <c r="G3380" s="40">
        <v>2.310462722</v>
      </c>
      <c r="H3380" s="40"/>
      <c r="I3380" s="41">
        <v>0.378947368</v>
      </c>
      <c r="J3380" s="41">
        <v>0.2</v>
      </c>
      <c r="K3380" s="41">
        <v>0.421052632</v>
      </c>
      <c r="L3380" s="41"/>
      <c r="M3380" s="74">
        <v>-1.614868685</v>
      </c>
    </row>
    <row r="3381">
      <c r="A3381" s="1" t="s">
        <v>383</v>
      </c>
      <c r="B3381" s="38">
        <v>573186.0</v>
      </c>
      <c r="C3381" s="72">
        <v>45848.0</v>
      </c>
      <c r="D3381" s="38">
        <v>87.0</v>
      </c>
      <c r="E3381" s="75"/>
      <c r="F3381" s="67">
        <v>4.939985225</v>
      </c>
      <c r="G3381" s="40">
        <v>2.140720367</v>
      </c>
      <c r="H3381" s="40"/>
      <c r="I3381" s="41">
        <v>0.471264368</v>
      </c>
      <c r="J3381" s="41">
        <v>0.183908046</v>
      </c>
      <c r="K3381" s="41">
        <v>0.344827586</v>
      </c>
      <c r="L3381" s="41"/>
      <c r="M3381" s="74">
        <v>0.164022696</v>
      </c>
    </row>
    <row r="3382">
      <c r="A3382" s="1" t="s">
        <v>411</v>
      </c>
      <c r="B3382" s="38">
        <v>605288.0</v>
      </c>
      <c r="C3382" s="72">
        <v>45903.0</v>
      </c>
      <c r="D3382" s="38">
        <v>87.0</v>
      </c>
      <c r="E3382" s="75"/>
      <c r="F3382" s="67">
        <v>4.939422206</v>
      </c>
      <c r="G3382" s="40">
        <v>2.126400393</v>
      </c>
      <c r="H3382" s="40"/>
      <c r="I3382" s="41">
        <v>0.402298851</v>
      </c>
      <c r="J3382" s="41">
        <v>0.287356322</v>
      </c>
      <c r="K3382" s="41">
        <v>0.310344828</v>
      </c>
      <c r="L3382" s="41"/>
      <c r="M3382" s="74">
        <v>1.690596654</v>
      </c>
    </row>
    <row r="3383">
      <c r="A3383" s="1" t="s">
        <v>382</v>
      </c>
      <c r="B3383" s="38">
        <v>656288.0</v>
      </c>
      <c r="C3383" s="72">
        <v>45752.0</v>
      </c>
      <c r="D3383" s="38">
        <v>85.0</v>
      </c>
      <c r="E3383" s="75"/>
      <c r="F3383" s="67">
        <v>4.939396288</v>
      </c>
      <c r="G3383" s="40">
        <v>2.054754452</v>
      </c>
      <c r="H3383" s="40"/>
      <c r="I3383" s="41">
        <v>0.482352941</v>
      </c>
      <c r="J3383" s="41">
        <v>0.176470588</v>
      </c>
      <c r="K3383" s="41">
        <v>0.341176471</v>
      </c>
      <c r="L3383" s="41"/>
      <c r="M3383" s="74">
        <v>2.016295192</v>
      </c>
    </row>
    <row r="3384">
      <c r="A3384" s="1" t="s">
        <v>177</v>
      </c>
      <c r="B3384" s="38">
        <v>641793.0</v>
      </c>
      <c r="C3384" s="72">
        <v>45769.0</v>
      </c>
      <c r="D3384" s="38">
        <v>93.0</v>
      </c>
      <c r="E3384" s="75"/>
      <c r="F3384" s="67">
        <v>4.939267212</v>
      </c>
      <c r="G3384" s="40">
        <v>2.282849274</v>
      </c>
      <c r="H3384" s="40"/>
      <c r="I3384" s="41">
        <v>0.397849462</v>
      </c>
      <c r="J3384" s="41">
        <v>0.193548387</v>
      </c>
      <c r="K3384" s="41">
        <v>0.408602151</v>
      </c>
      <c r="L3384" s="41"/>
      <c r="M3384" s="74">
        <v>-0.441078646</v>
      </c>
    </row>
    <row r="3385">
      <c r="A3385" s="1" t="s">
        <v>416</v>
      </c>
      <c r="B3385" s="38">
        <v>608337.0</v>
      </c>
      <c r="C3385" s="72">
        <v>45842.0</v>
      </c>
      <c r="D3385" s="38">
        <v>105.0</v>
      </c>
      <c r="E3385" s="75"/>
      <c r="F3385" s="67">
        <v>4.93922341</v>
      </c>
      <c r="G3385" s="40">
        <v>2.609246135</v>
      </c>
      <c r="H3385" s="40"/>
      <c r="I3385" s="41">
        <v>0.466666667</v>
      </c>
      <c r="J3385" s="41">
        <v>0.180952381</v>
      </c>
      <c r="K3385" s="41">
        <v>0.352380952</v>
      </c>
      <c r="L3385" s="41"/>
      <c r="M3385" s="74">
        <v>3.483774974</v>
      </c>
    </row>
    <row r="3386">
      <c r="A3386" s="1" t="s">
        <v>95</v>
      </c>
      <c r="B3386" s="38">
        <v>543243.0</v>
      </c>
      <c r="C3386" s="72">
        <v>45829.0</v>
      </c>
      <c r="D3386" s="38">
        <v>77.0</v>
      </c>
      <c r="E3386" s="75"/>
      <c r="F3386" s="67">
        <v>4.938777492</v>
      </c>
      <c r="G3386" s="40">
        <v>1.887447351</v>
      </c>
      <c r="H3386" s="40"/>
      <c r="I3386" s="41">
        <v>0.467532468</v>
      </c>
      <c r="J3386" s="41">
        <v>0.142857143</v>
      </c>
      <c r="K3386" s="41">
        <v>0.38961039</v>
      </c>
      <c r="L3386" s="41"/>
      <c r="M3386" s="74">
        <v>-0.98494218</v>
      </c>
    </row>
    <row r="3387">
      <c r="A3387" s="1" t="s">
        <v>303</v>
      </c>
      <c r="B3387" s="38">
        <v>592662.0</v>
      </c>
      <c r="C3387" s="72">
        <v>45881.0</v>
      </c>
      <c r="D3387" s="38">
        <v>110.0</v>
      </c>
      <c r="E3387" s="75"/>
      <c r="F3387" s="67">
        <v>4.938737993</v>
      </c>
      <c r="G3387" s="40">
        <v>2.626872862</v>
      </c>
      <c r="H3387" s="40"/>
      <c r="I3387" s="41">
        <v>0.490909091</v>
      </c>
      <c r="J3387" s="41">
        <v>0.109090909</v>
      </c>
      <c r="K3387" s="41">
        <v>0.4</v>
      </c>
      <c r="L3387" s="41"/>
      <c r="M3387" s="74">
        <v>-1.679274491</v>
      </c>
    </row>
    <row r="3388">
      <c r="A3388" s="1" t="s">
        <v>604</v>
      </c>
      <c r="B3388" s="38">
        <v>671109.0</v>
      </c>
      <c r="C3388" s="72">
        <v>45861.0</v>
      </c>
      <c r="D3388" s="38">
        <v>87.0</v>
      </c>
      <c r="E3388" s="75"/>
      <c r="F3388" s="67">
        <v>4.938517208</v>
      </c>
      <c r="G3388" s="40">
        <v>2.178075509</v>
      </c>
      <c r="H3388" s="40"/>
      <c r="I3388" s="41">
        <v>0.459770115</v>
      </c>
      <c r="J3388" s="41">
        <v>0.16091954</v>
      </c>
      <c r="K3388" s="41">
        <v>0.379310345</v>
      </c>
      <c r="L3388" s="41"/>
      <c r="M3388" s="74">
        <v>-1.636727305</v>
      </c>
    </row>
    <row r="3389">
      <c r="A3389" s="1" t="s">
        <v>105</v>
      </c>
      <c r="B3389" s="38">
        <v>624133.0</v>
      </c>
      <c r="C3389" s="72">
        <v>45858.0</v>
      </c>
      <c r="D3389" s="38">
        <v>99.0</v>
      </c>
      <c r="E3389" s="75"/>
      <c r="F3389" s="67">
        <v>4.938480089</v>
      </c>
      <c r="G3389" s="40">
        <v>2.401159765</v>
      </c>
      <c r="H3389" s="40"/>
      <c r="I3389" s="41">
        <v>0.444444444</v>
      </c>
      <c r="J3389" s="41">
        <v>0.202020202</v>
      </c>
      <c r="K3389" s="41">
        <v>0.353535354</v>
      </c>
      <c r="L3389" s="41"/>
      <c r="M3389" s="74">
        <v>-2.611939289</v>
      </c>
    </row>
    <row r="3390">
      <c r="A3390" s="1" t="s">
        <v>155</v>
      </c>
      <c r="B3390" s="38">
        <v>592332.0</v>
      </c>
      <c r="C3390" s="72">
        <v>45815.0</v>
      </c>
      <c r="D3390" s="38">
        <v>101.0</v>
      </c>
      <c r="E3390" s="75"/>
      <c r="F3390" s="67">
        <v>4.93844636</v>
      </c>
      <c r="G3390" s="40">
        <v>2.470234646</v>
      </c>
      <c r="H3390" s="40"/>
      <c r="I3390" s="41">
        <v>0.455445545</v>
      </c>
      <c r="J3390" s="41">
        <v>0.198019802</v>
      </c>
      <c r="K3390" s="41">
        <v>0.346534653</v>
      </c>
      <c r="L3390" s="41"/>
      <c r="M3390" s="74">
        <v>2.459202625</v>
      </c>
    </row>
    <row r="3391">
      <c r="A3391" s="1" t="s">
        <v>320</v>
      </c>
      <c r="B3391" s="38">
        <v>681347.0</v>
      </c>
      <c r="C3391" s="72">
        <v>45843.0</v>
      </c>
      <c r="D3391" s="38">
        <v>82.0</v>
      </c>
      <c r="E3391" s="75"/>
      <c r="F3391" s="67">
        <v>4.938334673</v>
      </c>
      <c r="G3391" s="40">
        <v>2.011861594</v>
      </c>
      <c r="H3391" s="40"/>
      <c r="I3391" s="41">
        <v>0.451219512</v>
      </c>
      <c r="J3391" s="41">
        <v>0.170731707</v>
      </c>
      <c r="K3391" s="41">
        <v>0.37804878</v>
      </c>
      <c r="L3391" s="41"/>
      <c r="M3391" s="74">
        <v>1.655569219</v>
      </c>
    </row>
    <row r="3392">
      <c r="A3392" s="1" t="s">
        <v>445</v>
      </c>
      <c r="B3392" s="38">
        <v>663855.0</v>
      </c>
      <c r="C3392" s="72">
        <v>45759.0</v>
      </c>
      <c r="D3392" s="38">
        <v>93.0</v>
      </c>
      <c r="E3392" s="75"/>
      <c r="F3392" s="67">
        <v>4.938298239</v>
      </c>
      <c r="G3392" s="40">
        <v>2.279616953</v>
      </c>
      <c r="H3392" s="40"/>
      <c r="I3392" s="41">
        <v>0.47311828</v>
      </c>
      <c r="J3392" s="41">
        <v>0.193548387</v>
      </c>
      <c r="K3392" s="41">
        <v>0.333333333</v>
      </c>
      <c r="L3392" s="41"/>
      <c r="M3392" s="74">
        <v>-2.506717106</v>
      </c>
    </row>
    <row r="3393">
      <c r="A3393" s="1" t="s">
        <v>582</v>
      </c>
      <c r="B3393" s="38">
        <v>680694.0</v>
      </c>
      <c r="C3393" s="72">
        <v>45909.0</v>
      </c>
      <c r="D3393" s="38">
        <v>79.0</v>
      </c>
      <c r="E3393" s="75"/>
      <c r="F3393" s="67">
        <v>4.938248062</v>
      </c>
      <c r="G3393" s="40">
        <v>1.9760622</v>
      </c>
      <c r="H3393" s="40"/>
      <c r="I3393" s="41">
        <v>0.405063291</v>
      </c>
      <c r="J3393" s="41">
        <v>0.215189873</v>
      </c>
      <c r="K3393" s="41">
        <v>0.379746835</v>
      </c>
      <c r="L3393" s="41"/>
      <c r="M3393" s="74">
        <v>1.426686321</v>
      </c>
    </row>
    <row r="3394">
      <c r="A3394" s="1" t="s">
        <v>145</v>
      </c>
      <c r="B3394" s="38">
        <v>700241.0</v>
      </c>
      <c r="C3394" s="72">
        <v>45894.0</v>
      </c>
      <c r="D3394" s="38">
        <v>91.0</v>
      </c>
      <c r="E3394" s="75"/>
      <c r="F3394" s="67">
        <v>4.938094708</v>
      </c>
      <c r="G3394" s="40">
        <v>2.235985349</v>
      </c>
      <c r="H3394" s="40"/>
      <c r="I3394" s="41">
        <v>0.428571429</v>
      </c>
      <c r="J3394" s="41">
        <v>0.175824176</v>
      </c>
      <c r="K3394" s="41">
        <v>0.395604396</v>
      </c>
      <c r="L3394" s="41"/>
      <c r="M3394" s="74">
        <v>0.125618383</v>
      </c>
    </row>
    <row r="3395">
      <c r="A3395" s="1" t="s">
        <v>44</v>
      </c>
      <c r="B3395" s="38">
        <v>650911.0</v>
      </c>
      <c r="C3395" s="72">
        <v>45796.0</v>
      </c>
      <c r="D3395" s="38">
        <v>86.0</v>
      </c>
      <c r="E3395" s="75"/>
      <c r="F3395" s="67">
        <v>4.938082423</v>
      </c>
      <c r="G3395" s="40">
        <v>2.104881987</v>
      </c>
      <c r="H3395" s="40"/>
      <c r="I3395" s="41">
        <v>0.395348837</v>
      </c>
      <c r="J3395" s="41">
        <v>0.26744186</v>
      </c>
      <c r="K3395" s="41">
        <v>0.337209302</v>
      </c>
      <c r="L3395" s="41"/>
      <c r="M3395" s="74">
        <v>1.167008821</v>
      </c>
    </row>
    <row r="3396">
      <c r="A3396" s="1" t="s">
        <v>396</v>
      </c>
      <c r="B3396" s="38">
        <v>663623.0</v>
      </c>
      <c r="C3396" s="72">
        <v>45751.0</v>
      </c>
      <c r="D3396" s="38">
        <v>85.0</v>
      </c>
      <c r="E3396" s="75"/>
      <c r="F3396" s="67">
        <v>4.938068479</v>
      </c>
      <c r="G3396" s="40">
        <v>2.090751739</v>
      </c>
      <c r="H3396" s="40"/>
      <c r="I3396" s="41">
        <v>0.4</v>
      </c>
      <c r="J3396" s="41">
        <v>0.235294118</v>
      </c>
      <c r="K3396" s="41">
        <v>0.364705882</v>
      </c>
      <c r="L3396" s="41"/>
      <c r="M3396" s="74">
        <v>-1.11775498</v>
      </c>
    </row>
    <row r="3397">
      <c r="A3397" s="1" t="s">
        <v>222</v>
      </c>
      <c r="B3397" s="38">
        <v>518876.0</v>
      </c>
      <c r="C3397" s="72">
        <v>45823.0</v>
      </c>
      <c r="D3397" s="38">
        <v>92.0</v>
      </c>
      <c r="E3397" s="75"/>
      <c r="F3397" s="67">
        <v>4.938030354</v>
      </c>
      <c r="G3397" s="40">
        <v>2.26597532</v>
      </c>
      <c r="H3397" s="40"/>
      <c r="I3397" s="41">
        <v>0.413043478</v>
      </c>
      <c r="J3397" s="41">
        <v>0.239130435</v>
      </c>
      <c r="K3397" s="41">
        <v>0.347826087</v>
      </c>
      <c r="L3397" s="41"/>
      <c r="M3397" s="74">
        <v>-1.23971508</v>
      </c>
    </row>
    <row r="3398">
      <c r="A3398" s="1" t="s">
        <v>398</v>
      </c>
      <c r="B3398" s="38">
        <v>676282.0</v>
      </c>
      <c r="C3398" s="72">
        <v>45903.0</v>
      </c>
      <c r="D3398" s="38">
        <v>101.0</v>
      </c>
      <c r="E3398" s="75"/>
      <c r="F3398" s="67">
        <v>4.937920345</v>
      </c>
      <c r="G3398" s="40">
        <v>2.444709556</v>
      </c>
      <c r="H3398" s="40"/>
      <c r="I3398" s="41">
        <v>0.435643564</v>
      </c>
      <c r="J3398" s="41">
        <v>0.227722772</v>
      </c>
      <c r="K3398" s="41">
        <v>0.336633663</v>
      </c>
      <c r="L3398" s="41"/>
      <c r="M3398" s="74">
        <v>1.430510159</v>
      </c>
    </row>
    <row r="3399">
      <c r="A3399" s="1" t="s">
        <v>466</v>
      </c>
      <c r="B3399" s="38">
        <v>687134.0</v>
      </c>
      <c r="C3399" s="72">
        <v>45787.0</v>
      </c>
      <c r="D3399" s="38">
        <v>84.0</v>
      </c>
      <c r="E3399" s="75"/>
      <c r="F3399" s="67">
        <v>4.937872465</v>
      </c>
      <c r="G3399" s="40">
        <v>2.094215766</v>
      </c>
      <c r="H3399" s="40"/>
      <c r="I3399" s="41">
        <v>0.452380952</v>
      </c>
      <c r="J3399" s="41">
        <v>0.130952381</v>
      </c>
      <c r="K3399" s="41">
        <v>0.416666667</v>
      </c>
      <c r="L3399" s="41"/>
      <c r="M3399" s="74">
        <v>-8.437831466</v>
      </c>
    </row>
    <row r="3400">
      <c r="A3400" s="1" t="s">
        <v>416</v>
      </c>
      <c r="B3400" s="38">
        <v>608337.0</v>
      </c>
      <c r="C3400" s="72">
        <v>45818.0</v>
      </c>
      <c r="D3400" s="38">
        <v>95.0</v>
      </c>
      <c r="E3400" s="75"/>
      <c r="F3400" s="67">
        <v>4.937810481</v>
      </c>
      <c r="G3400" s="40">
        <v>2.328646975</v>
      </c>
      <c r="H3400" s="40"/>
      <c r="I3400" s="41">
        <v>0.4</v>
      </c>
      <c r="J3400" s="41">
        <v>0.178947368</v>
      </c>
      <c r="K3400" s="41">
        <v>0.421052632</v>
      </c>
      <c r="L3400" s="41"/>
      <c r="M3400" s="74">
        <v>1.723008374</v>
      </c>
    </row>
    <row r="3401">
      <c r="A3401" s="1" t="s">
        <v>410</v>
      </c>
      <c r="B3401" s="38">
        <v>678394.0</v>
      </c>
      <c r="C3401" s="72">
        <v>45918.0</v>
      </c>
      <c r="D3401" s="38">
        <v>70.0</v>
      </c>
      <c r="E3401" s="75"/>
      <c r="F3401" s="67">
        <v>4.937684037</v>
      </c>
      <c r="G3401" s="40">
        <v>1.709976718</v>
      </c>
      <c r="H3401" s="40"/>
      <c r="I3401" s="41">
        <v>0.414285714</v>
      </c>
      <c r="J3401" s="41">
        <v>0.2</v>
      </c>
      <c r="K3401" s="41">
        <v>0.385714286</v>
      </c>
      <c r="L3401" s="41"/>
      <c r="M3401" s="74">
        <v>-0.413674532</v>
      </c>
    </row>
    <row r="3402">
      <c r="A3402" s="1" t="s">
        <v>466</v>
      </c>
      <c r="B3402" s="38">
        <v>687134.0</v>
      </c>
      <c r="C3402" s="72">
        <v>45925.0</v>
      </c>
      <c r="D3402" s="38">
        <v>71.0</v>
      </c>
      <c r="E3402" s="75"/>
      <c r="F3402" s="67">
        <v>4.937424059</v>
      </c>
      <c r="G3402" s="40">
        <v>1.742262589</v>
      </c>
      <c r="H3402" s="40"/>
      <c r="I3402" s="41">
        <v>0.521126761</v>
      </c>
      <c r="J3402" s="41">
        <v>0.098591549</v>
      </c>
      <c r="K3402" s="41">
        <v>0.38028169</v>
      </c>
      <c r="L3402" s="41"/>
      <c r="M3402" s="74">
        <v>-2.973236025</v>
      </c>
    </row>
    <row r="3403">
      <c r="A3403" s="1" t="s">
        <v>243</v>
      </c>
      <c r="B3403" s="38">
        <v>680684.0</v>
      </c>
      <c r="C3403" s="72">
        <v>45808.0</v>
      </c>
      <c r="D3403" s="38">
        <v>87.0</v>
      </c>
      <c r="E3403" s="75"/>
      <c r="F3403" s="67">
        <v>4.937388735</v>
      </c>
      <c r="G3403" s="40">
        <v>2.164378335</v>
      </c>
      <c r="H3403" s="40"/>
      <c r="I3403" s="41">
        <v>0.459770115</v>
      </c>
      <c r="J3403" s="41">
        <v>0.149425287</v>
      </c>
      <c r="K3403" s="41">
        <v>0.390804598</v>
      </c>
      <c r="L3403" s="41"/>
      <c r="M3403" s="74">
        <v>-4.976546244</v>
      </c>
    </row>
    <row r="3404">
      <c r="A3404" s="1" t="s">
        <v>408</v>
      </c>
      <c r="B3404" s="38">
        <v>657376.0</v>
      </c>
      <c r="C3404" s="72">
        <v>45829.0</v>
      </c>
      <c r="D3404" s="38">
        <v>101.0</v>
      </c>
      <c r="E3404" s="75"/>
      <c r="F3404" s="67">
        <v>4.937299206</v>
      </c>
      <c r="G3404" s="40">
        <v>2.457263695</v>
      </c>
      <c r="H3404" s="40"/>
      <c r="I3404" s="41">
        <v>0.445544554</v>
      </c>
      <c r="J3404" s="41">
        <v>0.188118812</v>
      </c>
      <c r="K3404" s="41">
        <v>0.366336634</v>
      </c>
      <c r="L3404" s="41"/>
      <c r="M3404" s="74">
        <v>6.273516365</v>
      </c>
    </row>
    <row r="3405">
      <c r="A3405" s="1" t="s">
        <v>389</v>
      </c>
      <c r="B3405" s="38">
        <v>682052.0</v>
      </c>
      <c r="C3405" s="72">
        <v>45800.0</v>
      </c>
      <c r="D3405" s="38">
        <v>89.0</v>
      </c>
      <c r="E3405" s="75"/>
      <c r="F3405" s="67">
        <v>4.937188044</v>
      </c>
      <c r="G3405" s="40">
        <v>2.198986558</v>
      </c>
      <c r="H3405" s="40"/>
      <c r="I3405" s="41">
        <v>0.483146067</v>
      </c>
      <c r="J3405" s="41">
        <v>0.08988764</v>
      </c>
      <c r="K3405" s="41">
        <v>0.426966292</v>
      </c>
      <c r="L3405" s="41"/>
      <c r="M3405" s="74">
        <v>1.313247801</v>
      </c>
    </row>
    <row r="3406">
      <c r="A3406" s="1" t="s">
        <v>226</v>
      </c>
      <c r="B3406" s="38">
        <v>607259.0</v>
      </c>
      <c r="C3406" s="72">
        <v>45840.0</v>
      </c>
      <c r="D3406" s="38">
        <v>89.0</v>
      </c>
      <c r="E3406" s="75"/>
      <c r="F3406" s="67">
        <v>4.936972403</v>
      </c>
      <c r="G3406" s="40">
        <v>2.220521462</v>
      </c>
      <c r="H3406" s="40"/>
      <c r="I3406" s="41">
        <v>0.415730337</v>
      </c>
      <c r="J3406" s="41">
        <v>0.213483146</v>
      </c>
      <c r="K3406" s="41">
        <v>0.370786517</v>
      </c>
      <c r="L3406" s="41"/>
      <c r="M3406" s="74">
        <v>-2.82331751</v>
      </c>
    </row>
    <row r="3407">
      <c r="A3407" s="1" t="s">
        <v>143</v>
      </c>
      <c r="B3407" s="38">
        <v>690928.0</v>
      </c>
      <c r="C3407" s="72">
        <v>45780.0</v>
      </c>
      <c r="D3407" s="38">
        <v>89.0</v>
      </c>
      <c r="E3407" s="75"/>
      <c r="F3407" s="67">
        <v>4.936952258</v>
      </c>
      <c r="G3407" s="40">
        <v>2.213481967</v>
      </c>
      <c r="H3407" s="40"/>
      <c r="I3407" s="41">
        <v>0.438202247</v>
      </c>
      <c r="J3407" s="41">
        <v>0.202247191</v>
      </c>
      <c r="K3407" s="41">
        <v>0.359550562</v>
      </c>
      <c r="L3407" s="41"/>
      <c r="M3407" s="74">
        <v>-1.105570396</v>
      </c>
    </row>
    <row r="3408">
      <c r="A3408" s="1" t="s">
        <v>166</v>
      </c>
      <c r="B3408" s="38">
        <v>608331.0</v>
      </c>
      <c r="C3408" s="72">
        <v>45879.0</v>
      </c>
      <c r="D3408" s="38">
        <v>92.0</v>
      </c>
      <c r="E3408" s="75"/>
      <c r="F3408" s="67">
        <v>4.936777833</v>
      </c>
      <c r="G3408" s="40">
        <v>2.26053933</v>
      </c>
      <c r="H3408" s="40"/>
      <c r="I3408" s="41">
        <v>0.467391304</v>
      </c>
      <c r="J3408" s="41">
        <v>0.206521739</v>
      </c>
      <c r="K3408" s="41">
        <v>0.326086957</v>
      </c>
      <c r="L3408" s="41"/>
      <c r="M3408" s="74">
        <v>-1.837765221</v>
      </c>
    </row>
    <row r="3409">
      <c r="A3409" s="1" t="s">
        <v>173</v>
      </c>
      <c r="B3409" s="38">
        <v>641927.0</v>
      </c>
      <c r="C3409" s="72">
        <v>45752.0</v>
      </c>
      <c r="D3409" s="38">
        <v>83.0</v>
      </c>
      <c r="E3409" s="75"/>
      <c r="F3409" s="67">
        <v>4.936770962</v>
      </c>
      <c r="G3409" s="40">
        <v>1.99415256</v>
      </c>
      <c r="H3409" s="40"/>
      <c r="I3409" s="41">
        <v>0.445783133</v>
      </c>
      <c r="J3409" s="41">
        <v>0.144578313</v>
      </c>
      <c r="K3409" s="41">
        <v>0.409638554</v>
      </c>
      <c r="L3409" s="41"/>
      <c r="M3409" s="74">
        <v>2.101912923</v>
      </c>
    </row>
    <row r="3410">
      <c r="A3410" s="1" t="s">
        <v>354</v>
      </c>
      <c r="B3410" s="38">
        <v>669022.0</v>
      </c>
      <c r="C3410" s="72">
        <v>45840.0</v>
      </c>
      <c r="D3410" s="38">
        <v>108.0</v>
      </c>
      <c r="E3410" s="75"/>
      <c r="F3410" s="67">
        <v>4.936707009</v>
      </c>
      <c r="G3410" s="40">
        <v>2.621709251</v>
      </c>
      <c r="H3410" s="40"/>
      <c r="I3410" s="41">
        <v>0.490740741</v>
      </c>
      <c r="J3410" s="41">
        <v>0.111111111</v>
      </c>
      <c r="K3410" s="41">
        <v>0.398148148</v>
      </c>
      <c r="L3410" s="41"/>
      <c r="M3410" s="74">
        <v>2.23952854</v>
      </c>
    </row>
    <row r="3411">
      <c r="A3411" s="1" t="s">
        <v>290</v>
      </c>
      <c r="B3411" s="38">
        <v>669461.0</v>
      </c>
      <c r="C3411" s="72">
        <v>45875.0</v>
      </c>
      <c r="D3411" s="38">
        <v>71.0</v>
      </c>
      <c r="E3411" s="75"/>
      <c r="F3411" s="67">
        <v>4.93657047</v>
      </c>
      <c r="G3411" s="40">
        <v>1.746933588</v>
      </c>
      <c r="H3411" s="40"/>
      <c r="I3411" s="41">
        <v>0.422535211</v>
      </c>
      <c r="J3411" s="41">
        <v>0.197183099</v>
      </c>
      <c r="K3411" s="41">
        <v>0.38028169</v>
      </c>
      <c r="L3411" s="41"/>
      <c r="M3411" s="74">
        <v>-1.231167583</v>
      </c>
    </row>
    <row r="3412">
      <c r="A3412" s="1" t="s">
        <v>456</v>
      </c>
      <c r="B3412" s="38">
        <v>605135.0</v>
      </c>
      <c r="C3412" s="72">
        <v>45841.0</v>
      </c>
      <c r="D3412" s="38">
        <v>112.0</v>
      </c>
      <c r="E3412" s="75"/>
      <c r="F3412" s="67">
        <v>4.936428829</v>
      </c>
      <c r="G3412" s="40">
        <v>2.714708045</v>
      </c>
      <c r="H3412" s="40"/>
      <c r="I3412" s="41">
        <v>0.473214286</v>
      </c>
      <c r="J3412" s="41">
        <v>0.089285714</v>
      </c>
      <c r="K3412" s="41">
        <v>0.4375</v>
      </c>
      <c r="L3412" s="41"/>
      <c r="M3412" s="74">
        <v>-2.023663191</v>
      </c>
    </row>
    <row r="3413">
      <c r="A3413" s="1" t="s">
        <v>239</v>
      </c>
      <c r="B3413" s="38">
        <v>806960.0</v>
      </c>
      <c r="C3413" s="72">
        <v>45927.0</v>
      </c>
      <c r="D3413" s="38">
        <v>90.0</v>
      </c>
      <c r="E3413" s="75"/>
      <c r="F3413" s="67">
        <v>4.936127791</v>
      </c>
      <c r="G3413" s="40">
        <v>2.175305476</v>
      </c>
      <c r="H3413" s="40"/>
      <c r="I3413" s="41">
        <v>0.455555556</v>
      </c>
      <c r="J3413" s="41">
        <v>0.133333333</v>
      </c>
      <c r="K3413" s="41">
        <v>0.411111111</v>
      </c>
      <c r="L3413" s="41"/>
      <c r="M3413" s="74">
        <v>0.098835461</v>
      </c>
    </row>
    <row r="3414">
      <c r="A3414" s="1" t="s">
        <v>330</v>
      </c>
      <c r="B3414" s="38">
        <v>680730.0</v>
      </c>
      <c r="C3414" s="72">
        <v>45843.0</v>
      </c>
      <c r="D3414" s="38">
        <v>91.0</v>
      </c>
      <c r="E3414" s="75"/>
      <c r="F3414" s="67">
        <v>4.936090344</v>
      </c>
      <c r="G3414" s="40">
        <v>2.261471362</v>
      </c>
      <c r="H3414" s="40"/>
      <c r="I3414" s="41">
        <v>0.362637363</v>
      </c>
      <c r="J3414" s="41">
        <v>0.252747253</v>
      </c>
      <c r="K3414" s="41">
        <v>0.384615385</v>
      </c>
      <c r="L3414" s="41"/>
      <c r="M3414" s="74">
        <v>-5.228110526</v>
      </c>
    </row>
    <row r="3415">
      <c r="A3415" s="1" t="s">
        <v>456</v>
      </c>
      <c r="B3415" s="38">
        <v>605135.0</v>
      </c>
      <c r="C3415" s="72">
        <v>45846.0</v>
      </c>
      <c r="D3415" s="38">
        <v>75.0</v>
      </c>
      <c r="E3415" s="75"/>
      <c r="F3415" s="67">
        <v>4.936046695</v>
      </c>
      <c r="G3415" s="40">
        <v>1.874836336</v>
      </c>
      <c r="H3415" s="40"/>
      <c r="I3415" s="41">
        <v>0.466666667</v>
      </c>
      <c r="J3415" s="41">
        <v>0.133333333</v>
      </c>
      <c r="K3415" s="41">
        <v>0.4</v>
      </c>
      <c r="L3415" s="41"/>
      <c r="M3415" s="74">
        <v>1.413982303</v>
      </c>
    </row>
    <row r="3416">
      <c r="A3416" s="1" t="s">
        <v>476</v>
      </c>
      <c r="B3416" s="38">
        <v>500779.0</v>
      </c>
      <c r="C3416" s="72">
        <v>45875.0</v>
      </c>
      <c r="D3416" s="38">
        <v>93.0</v>
      </c>
      <c r="E3416" s="75"/>
      <c r="F3416" s="67">
        <v>4.936017323</v>
      </c>
      <c r="G3416" s="40">
        <v>2.299250018</v>
      </c>
      <c r="H3416" s="40"/>
      <c r="I3416" s="41">
        <v>0.408602151</v>
      </c>
      <c r="J3416" s="41">
        <v>0.182795699</v>
      </c>
      <c r="K3416" s="41">
        <v>0.408602151</v>
      </c>
      <c r="L3416" s="41"/>
      <c r="M3416" s="74">
        <v>-1.487467679</v>
      </c>
    </row>
    <row r="3417">
      <c r="A3417" s="1" t="s">
        <v>356</v>
      </c>
      <c r="B3417" s="38">
        <v>680732.0</v>
      </c>
      <c r="C3417" s="72">
        <v>45915.0</v>
      </c>
      <c r="D3417" s="38">
        <v>79.0</v>
      </c>
      <c r="E3417" s="75"/>
      <c r="F3417" s="67">
        <v>4.93596743</v>
      </c>
      <c r="G3417" s="40">
        <v>1.927345379</v>
      </c>
      <c r="H3417" s="40"/>
      <c r="I3417" s="41">
        <v>0.455696203</v>
      </c>
      <c r="J3417" s="41">
        <v>0.17721519</v>
      </c>
      <c r="K3417" s="41">
        <v>0.367088608</v>
      </c>
      <c r="L3417" s="41"/>
      <c r="M3417" s="74">
        <v>2.364554617</v>
      </c>
    </row>
    <row r="3418">
      <c r="A3418" s="1" t="s">
        <v>605</v>
      </c>
      <c r="B3418" s="38">
        <v>489119.0</v>
      </c>
      <c r="C3418" s="72">
        <v>45823.0</v>
      </c>
      <c r="D3418" s="38">
        <v>86.0</v>
      </c>
      <c r="E3418" s="75"/>
      <c r="F3418" s="67">
        <v>4.935965746</v>
      </c>
      <c r="G3418" s="40">
        <v>2.106924354</v>
      </c>
      <c r="H3418" s="40"/>
      <c r="I3418" s="41">
        <v>0.418604651</v>
      </c>
      <c r="J3418" s="41">
        <v>0.209302326</v>
      </c>
      <c r="K3418" s="41">
        <v>0.372093023</v>
      </c>
      <c r="L3418" s="41"/>
      <c r="M3418" s="74">
        <v>1.51037295</v>
      </c>
    </row>
    <row r="3419">
      <c r="A3419" s="1" t="s">
        <v>313</v>
      </c>
      <c r="B3419" s="38">
        <v>607067.0</v>
      </c>
      <c r="C3419" s="72">
        <v>45830.0</v>
      </c>
      <c r="D3419" s="38">
        <v>84.0</v>
      </c>
      <c r="E3419" s="75"/>
      <c r="F3419" s="67">
        <v>4.935615685</v>
      </c>
      <c r="G3419" s="40">
        <v>2.093814498</v>
      </c>
      <c r="H3419" s="40"/>
      <c r="I3419" s="41">
        <v>0.44047619</v>
      </c>
      <c r="J3419" s="41">
        <v>0.178571429</v>
      </c>
      <c r="K3419" s="41">
        <v>0.380952381</v>
      </c>
      <c r="L3419" s="41"/>
      <c r="M3419" s="74">
        <v>-3.809170544</v>
      </c>
    </row>
    <row r="3420">
      <c r="A3420" s="1" t="s">
        <v>474</v>
      </c>
      <c r="B3420" s="38">
        <v>450203.0</v>
      </c>
      <c r="C3420" s="72">
        <v>45842.0</v>
      </c>
      <c r="D3420" s="38">
        <v>97.0</v>
      </c>
      <c r="E3420" s="75"/>
      <c r="F3420" s="67">
        <v>4.935549305</v>
      </c>
      <c r="G3420" s="40">
        <v>2.370289601</v>
      </c>
      <c r="H3420" s="40"/>
      <c r="I3420" s="41">
        <v>0.422680412</v>
      </c>
      <c r="J3420" s="41">
        <v>0.24742268</v>
      </c>
      <c r="K3420" s="41">
        <v>0.329896907</v>
      </c>
      <c r="L3420" s="41"/>
      <c r="M3420" s="74">
        <v>0.184311103</v>
      </c>
    </row>
    <row r="3421">
      <c r="A3421" s="1" t="s">
        <v>313</v>
      </c>
      <c r="B3421" s="38">
        <v>607067.0</v>
      </c>
      <c r="C3421" s="72">
        <v>45778.0</v>
      </c>
      <c r="D3421" s="38">
        <v>73.0</v>
      </c>
      <c r="E3421" s="75"/>
      <c r="F3421" s="67">
        <v>4.93547431</v>
      </c>
      <c r="G3421" s="40">
        <v>1.828167677</v>
      </c>
      <c r="H3421" s="40"/>
      <c r="I3421" s="41">
        <v>0.397260274</v>
      </c>
      <c r="J3421" s="41">
        <v>0.219178082</v>
      </c>
      <c r="K3421" s="41">
        <v>0.383561644</v>
      </c>
      <c r="L3421" s="41"/>
      <c r="M3421" s="74">
        <v>1.207556763</v>
      </c>
    </row>
    <row r="3422">
      <c r="A3422" s="1" t="s">
        <v>474</v>
      </c>
      <c r="B3422" s="38">
        <v>450203.0</v>
      </c>
      <c r="C3422" s="72">
        <v>45848.0</v>
      </c>
      <c r="D3422" s="38">
        <v>104.0</v>
      </c>
      <c r="E3422" s="75"/>
      <c r="F3422" s="67">
        <v>4.935452482</v>
      </c>
      <c r="G3422" s="40">
        <v>2.540176101</v>
      </c>
      <c r="H3422" s="40"/>
      <c r="I3422" s="41">
        <v>0.490384615</v>
      </c>
      <c r="J3422" s="41">
        <v>0.115384615</v>
      </c>
      <c r="K3422" s="41">
        <v>0.394230769</v>
      </c>
      <c r="L3422" s="41"/>
      <c r="M3422" s="74">
        <v>2.150246775</v>
      </c>
    </row>
    <row r="3423">
      <c r="A3423" s="1" t="s">
        <v>355</v>
      </c>
      <c r="B3423" s="38">
        <v>670912.0</v>
      </c>
      <c r="C3423" s="72">
        <v>45905.0</v>
      </c>
      <c r="D3423" s="38">
        <v>74.0</v>
      </c>
      <c r="E3423" s="75"/>
      <c r="F3423" s="67">
        <v>4.934971685</v>
      </c>
      <c r="G3423" s="40">
        <v>1.821678868</v>
      </c>
      <c r="H3423" s="40"/>
      <c r="I3423" s="41">
        <v>0.5</v>
      </c>
      <c r="J3423" s="41">
        <v>0.121621622</v>
      </c>
      <c r="K3423" s="41">
        <v>0.378378378</v>
      </c>
      <c r="L3423" s="41"/>
      <c r="M3423" s="74">
        <v>2.517261475</v>
      </c>
    </row>
    <row r="3424">
      <c r="A3424" s="1" t="s">
        <v>374</v>
      </c>
      <c r="B3424" s="38">
        <v>683004.0</v>
      </c>
      <c r="C3424" s="72">
        <v>45790.0</v>
      </c>
      <c r="D3424" s="38">
        <v>88.0</v>
      </c>
      <c r="E3424" s="75"/>
      <c r="F3424" s="67">
        <v>4.934906482</v>
      </c>
      <c r="G3424" s="40">
        <v>2.139339895</v>
      </c>
      <c r="H3424" s="40"/>
      <c r="I3424" s="41">
        <v>0.477272727</v>
      </c>
      <c r="J3424" s="41">
        <v>0.147727273</v>
      </c>
      <c r="K3424" s="41">
        <v>0.375</v>
      </c>
      <c r="L3424" s="41"/>
      <c r="M3424" s="74">
        <v>2.732797449</v>
      </c>
    </row>
    <row r="3425">
      <c r="A3425" s="1" t="s">
        <v>428</v>
      </c>
      <c r="B3425" s="38">
        <v>670102.0</v>
      </c>
      <c r="C3425" s="72">
        <v>45804.0</v>
      </c>
      <c r="D3425" s="38">
        <v>71.0</v>
      </c>
      <c r="E3425" s="75"/>
      <c r="F3425" s="67">
        <v>4.934865058</v>
      </c>
      <c r="G3425" s="40">
        <v>1.734814745</v>
      </c>
      <c r="H3425" s="40"/>
      <c r="I3425" s="41">
        <v>0.464788732</v>
      </c>
      <c r="J3425" s="41">
        <v>0.154929577</v>
      </c>
      <c r="K3425" s="41">
        <v>0.38028169</v>
      </c>
      <c r="L3425" s="41"/>
      <c r="M3425" s="74">
        <v>1.696529855</v>
      </c>
    </row>
    <row r="3426">
      <c r="A3426" s="1" t="s">
        <v>500</v>
      </c>
      <c r="B3426" s="38">
        <v>665871.0</v>
      </c>
      <c r="C3426" s="72">
        <v>45928.0</v>
      </c>
      <c r="D3426" s="38">
        <v>75.0</v>
      </c>
      <c r="E3426" s="75"/>
      <c r="F3426" s="67">
        <v>4.93481256</v>
      </c>
      <c r="G3426" s="40">
        <v>1.842650097</v>
      </c>
      <c r="H3426" s="40"/>
      <c r="I3426" s="41">
        <v>0.346666667</v>
      </c>
      <c r="J3426" s="41">
        <v>0.32</v>
      </c>
      <c r="K3426" s="41">
        <v>0.333333333</v>
      </c>
      <c r="L3426" s="41"/>
      <c r="M3426" s="74">
        <v>2.336233717</v>
      </c>
    </row>
    <row r="3427">
      <c r="A3427" s="1" t="s">
        <v>343</v>
      </c>
      <c r="B3427" s="38">
        <v>682243.0</v>
      </c>
      <c r="C3427" s="72">
        <v>45769.0</v>
      </c>
      <c r="D3427" s="38">
        <v>98.0</v>
      </c>
      <c r="E3427" s="75"/>
      <c r="F3427" s="67">
        <v>4.934692002</v>
      </c>
      <c r="G3427" s="40">
        <v>2.370420015</v>
      </c>
      <c r="H3427" s="40"/>
      <c r="I3427" s="41">
        <v>0.43877551</v>
      </c>
      <c r="J3427" s="41">
        <v>0.204081633</v>
      </c>
      <c r="K3427" s="41">
        <v>0.357142857</v>
      </c>
      <c r="L3427" s="41"/>
      <c r="M3427" s="74">
        <v>0.458783313</v>
      </c>
    </row>
    <row r="3428">
      <c r="A3428" s="1" t="s">
        <v>245</v>
      </c>
      <c r="B3428" s="38">
        <v>571578.0</v>
      </c>
      <c r="C3428" s="72">
        <v>45867.0</v>
      </c>
      <c r="D3428" s="38">
        <v>95.0</v>
      </c>
      <c r="E3428" s="75"/>
      <c r="F3428" s="67">
        <v>4.934638116</v>
      </c>
      <c r="G3428" s="40">
        <v>2.306128116</v>
      </c>
      <c r="H3428" s="40"/>
      <c r="I3428" s="41">
        <v>0.473684211</v>
      </c>
      <c r="J3428" s="41">
        <v>0.147368421</v>
      </c>
      <c r="K3428" s="41">
        <v>0.378947368</v>
      </c>
      <c r="L3428" s="41"/>
      <c r="M3428" s="74">
        <v>2.007180418</v>
      </c>
    </row>
    <row r="3429">
      <c r="A3429" s="1" t="s">
        <v>504</v>
      </c>
      <c r="B3429" s="38">
        <v>663372.0</v>
      </c>
      <c r="C3429" s="72">
        <v>45746.0</v>
      </c>
      <c r="D3429" s="38">
        <v>82.0</v>
      </c>
      <c r="E3429" s="75"/>
      <c r="F3429" s="67">
        <v>4.934566979</v>
      </c>
      <c r="G3429" s="40">
        <v>2.009771517</v>
      </c>
      <c r="H3429" s="40"/>
      <c r="I3429" s="41">
        <v>0.426829268</v>
      </c>
      <c r="J3429" s="41">
        <v>0.170731707</v>
      </c>
      <c r="K3429" s="41">
        <v>0.402439024</v>
      </c>
      <c r="L3429" s="41"/>
      <c r="M3429" s="74">
        <v>0.578131235</v>
      </c>
    </row>
    <row r="3430">
      <c r="A3430" s="1" t="s">
        <v>336</v>
      </c>
      <c r="B3430" s="38">
        <v>605488.0</v>
      </c>
      <c r="C3430" s="72">
        <v>45755.0</v>
      </c>
      <c r="D3430" s="38">
        <v>101.0</v>
      </c>
      <c r="E3430" s="75"/>
      <c r="F3430" s="67">
        <v>4.934433589</v>
      </c>
      <c r="G3430" s="40">
        <v>2.470202963</v>
      </c>
      <c r="H3430" s="40"/>
      <c r="I3430" s="41">
        <v>0.475247525</v>
      </c>
      <c r="J3430" s="41">
        <v>0.168316832</v>
      </c>
      <c r="K3430" s="41">
        <v>0.356435644</v>
      </c>
      <c r="L3430" s="41"/>
      <c r="M3430" s="74">
        <v>-2.386601793</v>
      </c>
    </row>
    <row r="3431">
      <c r="A3431" s="1" t="s">
        <v>150</v>
      </c>
      <c r="B3431" s="38">
        <v>657746.0</v>
      </c>
      <c r="C3431" s="72">
        <v>45906.0</v>
      </c>
      <c r="D3431" s="38">
        <v>62.0</v>
      </c>
      <c r="E3431" s="75"/>
      <c r="F3431" s="67">
        <v>4.934259524</v>
      </c>
      <c r="G3431" s="40">
        <v>1.484263981</v>
      </c>
      <c r="H3431" s="40"/>
      <c r="I3431" s="41">
        <v>0.516129032</v>
      </c>
      <c r="J3431" s="41">
        <v>0.129032258</v>
      </c>
      <c r="K3431" s="41">
        <v>0.35483871</v>
      </c>
      <c r="L3431" s="41"/>
      <c r="M3431" s="74">
        <v>-0.742469117</v>
      </c>
    </row>
    <row r="3432">
      <c r="A3432" s="1" t="s">
        <v>275</v>
      </c>
      <c r="B3432" s="38">
        <v>693821.0</v>
      </c>
      <c r="C3432" s="72">
        <v>45770.0</v>
      </c>
      <c r="D3432" s="38">
        <v>97.0</v>
      </c>
      <c r="E3432" s="75"/>
      <c r="F3432" s="67">
        <v>4.934080873</v>
      </c>
      <c r="G3432" s="40">
        <v>2.363291076</v>
      </c>
      <c r="H3432" s="40"/>
      <c r="I3432" s="41">
        <v>0.443298969</v>
      </c>
      <c r="J3432" s="41">
        <v>0.216494845</v>
      </c>
      <c r="K3432" s="41">
        <v>0.340206186</v>
      </c>
      <c r="L3432" s="41"/>
      <c r="M3432" s="74">
        <v>0.745467886</v>
      </c>
    </row>
    <row r="3433">
      <c r="A3433" s="1" t="s">
        <v>294</v>
      </c>
      <c r="B3433" s="38">
        <v>665152.0</v>
      </c>
      <c r="C3433" s="72">
        <v>45763.0</v>
      </c>
      <c r="D3433" s="38">
        <v>93.0</v>
      </c>
      <c r="E3433" s="75"/>
      <c r="F3433" s="67">
        <v>4.933862096</v>
      </c>
      <c r="G3433" s="40">
        <v>2.259286127</v>
      </c>
      <c r="H3433" s="40"/>
      <c r="I3433" s="41">
        <v>0.462365591</v>
      </c>
      <c r="J3433" s="41">
        <v>0.225806452</v>
      </c>
      <c r="K3433" s="41">
        <v>0.311827957</v>
      </c>
      <c r="L3433" s="41"/>
      <c r="M3433" s="74">
        <v>1.428417234</v>
      </c>
    </row>
    <row r="3434">
      <c r="A3434" s="1" t="s">
        <v>282</v>
      </c>
      <c r="B3434" s="38">
        <v>656302.0</v>
      </c>
      <c r="C3434" s="72">
        <v>45755.0</v>
      </c>
      <c r="D3434" s="38">
        <v>77.0</v>
      </c>
      <c r="E3434" s="75"/>
      <c r="F3434" s="67">
        <v>4.933664474</v>
      </c>
      <c r="G3434" s="40">
        <v>1.902716788</v>
      </c>
      <c r="H3434" s="40"/>
      <c r="I3434" s="41">
        <v>0.402597403</v>
      </c>
      <c r="J3434" s="41">
        <v>0.233766234</v>
      </c>
      <c r="K3434" s="41">
        <v>0.363636364</v>
      </c>
      <c r="L3434" s="41"/>
      <c r="M3434" s="74">
        <v>-5.021292188</v>
      </c>
    </row>
    <row r="3435">
      <c r="A3435" s="1" t="s">
        <v>470</v>
      </c>
      <c r="B3435" s="38">
        <v>681343.0</v>
      </c>
      <c r="C3435" s="72">
        <v>45894.0</v>
      </c>
      <c r="D3435" s="38">
        <v>79.0</v>
      </c>
      <c r="E3435" s="75"/>
      <c r="F3435" s="67">
        <v>4.933638935</v>
      </c>
      <c r="G3435" s="40">
        <v>1.985665601</v>
      </c>
      <c r="H3435" s="40"/>
      <c r="I3435" s="41">
        <v>0.46835443</v>
      </c>
      <c r="J3435" s="41">
        <v>0.189873418</v>
      </c>
      <c r="K3435" s="41">
        <v>0.341772152</v>
      </c>
      <c r="L3435" s="41"/>
      <c r="M3435" s="74">
        <v>4.764655299</v>
      </c>
    </row>
    <row r="3436">
      <c r="A3436" s="1" t="s">
        <v>457</v>
      </c>
      <c r="B3436" s="38">
        <v>477132.0</v>
      </c>
      <c r="C3436" s="72">
        <v>45907.0</v>
      </c>
      <c r="D3436" s="38">
        <v>81.0</v>
      </c>
      <c r="E3436" s="75"/>
      <c r="F3436" s="67">
        <v>4.933569278</v>
      </c>
      <c r="G3436" s="40">
        <v>1.989891241</v>
      </c>
      <c r="H3436" s="40"/>
      <c r="I3436" s="41">
        <v>0.469135802</v>
      </c>
      <c r="J3436" s="41">
        <v>0.111111111</v>
      </c>
      <c r="K3436" s="41">
        <v>0.419753086</v>
      </c>
      <c r="L3436" s="41"/>
      <c r="M3436" s="74">
        <v>-0.193666742</v>
      </c>
    </row>
    <row r="3437">
      <c r="A3437" s="1" t="s">
        <v>347</v>
      </c>
      <c r="B3437" s="38">
        <v>700249.0</v>
      </c>
      <c r="C3437" s="72">
        <v>45903.0</v>
      </c>
      <c r="D3437" s="38">
        <v>83.0</v>
      </c>
      <c r="E3437" s="75"/>
      <c r="F3437" s="67">
        <v>4.933539866</v>
      </c>
      <c r="G3437" s="40">
        <v>2.056361665</v>
      </c>
      <c r="H3437" s="40"/>
      <c r="I3437" s="41">
        <v>0.518072289</v>
      </c>
      <c r="J3437" s="41">
        <v>0.084337349</v>
      </c>
      <c r="K3437" s="41">
        <v>0.397590361</v>
      </c>
      <c r="L3437" s="41"/>
      <c r="M3437" s="74">
        <v>-2.642885637</v>
      </c>
    </row>
    <row r="3438">
      <c r="A3438" s="1" t="s">
        <v>294</v>
      </c>
      <c r="B3438" s="38">
        <v>665152.0</v>
      </c>
      <c r="C3438" s="72">
        <v>45874.0</v>
      </c>
      <c r="D3438" s="38">
        <v>95.0</v>
      </c>
      <c r="E3438" s="75"/>
      <c r="F3438" s="67">
        <v>4.933029134</v>
      </c>
      <c r="G3438" s="40">
        <v>2.325903772</v>
      </c>
      <c r="H3438" s="40"/>
      <c r="I3438" s="41">
        <v>0.378947368</v>
      </c>
      <c r="J3438" s="41">
        <v>0.221052632</v>
      </c>
      <c r="K3438" s="41">
        <v>0.4</v>
      </c>
      <c r="L3438" s="41"/>
      <c r="M3438" s="74">
        <v>-1.616721884</v>
      </c>
    </row>
    <row r="3439">
      <c r="A3439" s="1" t="s">
        <v>356</v>
      </c>
      <c r="B3439" s="38">
        <v>680732.0</v>
      </c>
      <c r="C3439" s="72">
        <v>45783.0</v>
      </c>
      <c r="D3439" s="38">
        <v>76.0</v>
      </c>
      <c r="E3439" s="75"/>
      <c r="F3439" s="67">
        <v>4.932702972</v>
      </c>
      <c r="G3439" s="40">
        <v>1.905699699</v>
      </c>
      <c r="H3439" s="40"/>
      <c r="I3439" s="41">
        <v>0.447368421</v>
      </c>
      <c r="J3439" s="41">
        <v>0.210526316</v>
      </c>
      <c r="K3439" s="41">
        <v>0.342105263</v>
      </c>
      <c r="L3439" s="41"/>
      <c r="M3439" s="74">
        <v>-0.277292105</v>
      </c>
    </row>
    <row r="3440">
      <c r="A3440" s="1" t="s">
        <v>382</v>
      </c>
      <c r="B3440" s="38">
        <v>656288.0</v>
      </c>
      <c r="C3440" s="72">
        <v>45812.0</v>
      </c>
      <c r="D3440" s="38">
        <v>97.0</v>
      </c>
      <c r="E3440" s="75"/>
      <c r="F3440" s="67">
        <v>4.93186674</v>
      </c>
      <c r="G3440" s="40">
        <v>2.366670804</v>
      </c>
      <c r="H3440" s="40"/>
      <c r="I3440" s="41">
        <v>0.443298969</v>
      </c>
      <c r="J3440" s="41">
        <v>0.175257732</v>
      </c>
      <c r="K3440" s="41">
        <v>0.381443299</v>
      </c>
      <c r="L3440" s="41"/>
      <c r="M3440" s="74">
        <v>3.749060495</v>
      </c>
    </row>
    <row r="3441">
      <c r="A3441" s="1" t="s">
        <v>459</v>
      </c>
      <c r="B3441" s="38">
        <v>664062.0</v>
      </c>
      <c r="C3441" s="72">
        <v>45783.0</v>
      </c>
      <c r="D3441" s="38">
        <v>81.0</v>
      </c>
      <c r="E3441" s="75"/>
      <c r="F3441" s="67">
        <v>4.931828843</v>
      </c>
      <c r="G3441" s="40">
        <v>1.966830094</v>
      </c>
      <c r="H3441" s="40"/>
      <c r="I3441" s="41">
        <v>0.456790123</v>
      </c>
      <c r="J3441" s="41">
        <v>0.222222222</v>
      </c>
      <c r="K3441" s="41">
        <v>0.320987654</v>
      </c>
      <c r="L3441" s="41"/>
      <c r="M3441" s="74">
        <v>0.379329445</v>
      </c>
    </row>
    <row r="3442">
      <c r="A3442" s="1" t="s">
        <v>410</v>
      </c>
      <c r="B3442" s="38">
        <v>678394.0</v>
      </c>
      <c r="C3442" s="72">
        <v>45896.0</v>
      </c>
      <c r="D3442" s="38">
        <v>87.0</v>
      </c>
      <c r="E3442" s="75"/>
      <c r="F3442" s="67">
        <v>4.931771445</v>
      </c>
      <c r="G3442" s="40">
        <v>2.170336812</v>
      </c>
      <c r="H3442" s="40"/>
      <c r="I3442" s="41">
        <v>0.413793103</v>
      </c>
      <c r="J3442" s="41">
        <v>0.24137931</v>
      </c>
      <c r="K3442" s="41">
        <v>0.344827586</v>
      </c>
      <c r="L3442" s="41"/>
      <c r="M3442" s="74">
        <v>1.486795704</v>
      </c>
    </row>
    <row r="3443">
      <c r="A3443" s="1" t="s">
        <v>490</v>
      </c>
      <c r="B3443" s="38">
        <v>680573.0</v>
      </c>
      <c r="C3443" s="72">
        <v>45791.0</v>
      </c>
      <c r="D3443" s="38">
        <v>86.0</v>
      </c>
      <c r="E3443" s="75"/>
      <c r="F3443" s="67">
        <v>4.930599433</v>
      </c>
      <c r="G3443" s="40">
        <v>2.137860559</v>
      </c>
      <c r="H3443" s="40"/>
      <c r="I3443" s="41">
        <v>0.430232558</v>
      </c>
      <c r="J3443" s="41">
        <v>0.127906977</v>
      </c>
      <c r="K3443" s="41">
        <v>0.441860465</v>
      </c>
      <c r="L3443" s="41"/>
      <c r="M3443" s="74">
        <v>-2.805874919</v>
      </c>
    </row>
    <row r="3444">
      <c r="A3444" s="1" t="s">
        <v>424</v>
      </c>
      <c r="B3444" s="38">
        <v>667755.0</v>
      </c>
      <c r="C3444" s="72">
        <v>45818.0</v>
      </c>
      <c r="D3444" s="38">
        <v>102.0</v>
      </c>
      <c r="E3444" s="75"/>
      <c r="F3444" s="67">
        <v>4.930316928</v>
      </c>
      <c r="G3444" s="40">
        <v>2.4635075</v>
      </c>
      <c r="H3444" s="40"/>
      <c r="I3444" s="41">
        <v>0.490196078</v>
      </c>
      <c r="J3444" s="41">
        <v>0.098039216</v>
      </c>
      <c r="K3444" s="41">
        <v>0.411764706</v>
      </c>
      <c r="L3444" s="41"/>
      <c r="M3444" s="74">
        <v>5.051691825</v>
      </c>
    </row>
    <row r="3445">
      <c r="A3445" s="1" t="s">
        <v>226</v>
      </c>
      <c r="B3445" s="38">
        <v>607259.0</v>
      </c>
      <c r="C3445" s="72">
        <v>45851.0</v>
      </c>
      <c r="D3445" s="38">
        <v>80.0</v>
      </c>
      <c r="E3445" s="75"/>
      <c r="F3445" s="67">
        <v>4.930107864</v>
      </c>
      <c r="G3445" s="40">
        <v>1.997298494</v>
      </c>
      <c r="H3445" s="40"/>
      <c r="I3445" s="41">
        <v>0.4</v>
      </c>
      <c r="J3445" s="41">
        <v>0.2</v>
      </c>
      <c r="K3445" s="41">
        <v>0.4</v>
      </c>
      <c r="L3445" s="41"/>
      <c r="M3445" s="74">
        <v>2.37763558</v>
      </c>
    </row>
    <row r="3446">
      <c r="A3446" s="1" t="s">
        <v>335</v>
      </c>
      <c r="B3446" s="38">
        <v>663436.0</v>
      </c>
      <c r="C3446" s="72">
        <v>45820.0</v>
      </c>
      <c r="D3446" s="38">
        <v>92.0</v>
      </c>
      <c r="E3446" s="75"/>
      <c r="F3446" s="67">
        <v>4.930048297</v>
      </c>
      <c r="G3446" s="40">
        <v>2.256568826</v>
      </c>
      <c r="H3446" s="40"/>
      <c r="I3446" s="41">
        <v>0.445652174</v>
      </c>
      <c r="J3446" s="41">
        <v>0.108695652</v>
      </c>
      <c r="K3446" s="41">
        <v>0.445652174</v>
      </c>
      <c r="L3446" s="41"/>
      <c r="M3446" s="74">
        <v>-0.784473082</v>
      </c>
    </row>
    <row r="3447">
      <c r="A3447" s="1" t="s">
        <v>194</v>
      </c>
      <c r="B3447" s="38">
        <v>666157.0</v>
      </c>
      <c r="C3447" s="72">
        <v>45762.0</v>
      </c>
      <c r="D3447" s="38">
        <v>90.0</v>
      </c>
      <c r="E3447" s="75"/>
      <c r="F3447" s="67">
        <v>4.930004926</v>
      </c>
      <c r="G3447" s="40">
        <v>2.173752377</v>
      </c>
      <c r="H3447" s="40"/>
      <c r="I3447" s="41">
        <v>0.488888889</v>
      </c>
      <c r="J3447" s="41">
        <v>0.166666667</v>
      </c>
      <c r="K3447" s="41">
        <v>0.344444444</v>
      </c>
      <c r="L3447" s="41"/>
      <c r="M3447" s="74">
        <v>0.672064383</v>
      </c>
    </row>
    <row r="3448">
      <c r="A3448" s="1" t="s">
        <v>513</v>
      </c>
      <c r="B3448" s="38">
        <v>608566.0</v>
      </c>
      <c r="C3448" s="72">
        <v>45781.0</v>
      </c>
      <c r="D3448" s="38">
        <v>68.0</v>
      </c>
      <c r="E3448" s="75"/>
      <c r="F3448" s="67">
        <v>4.929987733</v>
      </c>
      <c r="G3448" s="40">
        <v>1.685559784</v>
      </c>
      <c r="H3448" s="40"/>
      <c r="I3448" s="41">
        <v>0.382352941</v>
      </c>
      <c r="J3448" s="41">
        <v>0.205882353</v>
      </c>
      <c r="K3448" s="41">
        <v>0.411764706</v>
      </c>
      <c r="L3448" s="41"/>
      <c r="M3448" s="74">
        <v>-2.052636944</v>
      </c>
    </row>
    <row r="3449">
      <c r="A3449" s="1" t="s">
        <v>428</v>
      </c>
      <c r="B3449" s="38">
        <v>670102.0</v>
      </c>
      <c r="C3449" s="72">
        <v>45753.0</v>
      </c>
      <c r="D3449" s="38">
        <v>90.0</v>
      </c>
      <c r="E3449" s="75"/>
      <c r="F3449" s="67">
        <v>4.929848746</v>
      </c>
      <c r="G3449" s="40">
        <v>2.242610847</v>
      </c>
      <c r="H3449" s="40"/>
      <c r="I3449" s="41">
        <v>0.477777778</v>
      </c>
      <c r="J3449" s="41">
        <v>0.122222222</v>
      </c>
      <c r="K3449" s="41">
        <v>0.4</v>
      </c>
      <c r="L3449" s="41"/>
      <c r="M3449" s="74">
        <v>-0.877979208</v>
      </c>
    </row>
    <row r="3450">
      <c r="A3450" s="1" t="s">
        <v>373</v>
      </c>
      <c r="B3450" s="38">
        <v>640455.0</v>
      </c>
      <c r="C3450" s="72">
        <v>45861.0</v>
      </c>
      <c r="D3450" s="38">
        <v>82.0</v>
      </c>
      <c r="E3450" s="75"/>
      <c r="F3450" s="67">
        <v>4.929796118</v>
      </c>
      <c r="G3450" s="40">
        <v>2.05477851</v>
      </c>
      <c r="H3450" s="40"/>
      <c r="I3450" s="41">
        <v>0.390243902</v>
      </c>
      <c r="J3450" s="41">
        <v>0.219512195</v>
      </c>
      <c r="K3450" s="41">
        <v>0.390243902</v>
      </c>
      <c r="L3450" s="41"/>
      <c r="M3450" s="74">
        <v>3.888096721</v>
      </c>
    </row>
    <row r="3451">
      <c r="A3451" s="1" t="s">
        <v>164</v>
      </c>
      <c r="B3451" s="38">
        <v>669923.0</v>
      </c>
      <c r="C3451" s="72">
        <v>45799.0</v>
      </c>
      <c r="D3451" s="38">
        <v>70.0</v>
      </c>
      <c r="E3451" s="75"/>
      <c r="F3451" s="67">
        <v>4.9297845</v>
      </c>
      <c r="G3451" s="40">
        <v>1.708019787</v>
      </c>
      <c r="H3451" s="40"/>
      <c r="I3451" s="41">
        <v>0.485714286</v>
      </c>
      <c r="J3451" s="41">
        <v>0.128571429</v>
      </c>
      <c r="K3451" s="41">
        <v>0.385714286</v>
      </c>
      <c r="L3451" s="41"/>
      <c r="M3451" s="74">
        <v>-2.57647056</v>
      </c>
    </row>
    <row r="3452">
      <c r="A3452" s="1" t="s">
        <v>425</v>
      </c>
      <c r="B3452" s="38">
        <v>621244.0</v>
      </c>
      <c r="C3452" s="72">
        <v>45886.0</v>
      </c>
      <c r="D3452" s="38">
        <v>86.0</v>
      </c>
      <c r="E3452" s="75"/>
      <c r="F3452" s="67">
        <v>4.92971897</v>
      </c>
      <c r="G3452" s="40">
        <v>2.118516231</v>
      </c>
      <c r="H3452" s="40"/>
      <c r="I3452" s="41">
        <v>0.38372093</v>
      </c>
      <c r="J3452" s="41">
        <v>0.197674419</v>
      </c>
      <c r="K3452" s="41">
        <v>0.418604651</v>
      </c>
      <c r="L3452" s="41"/>
      <c r="M3452" s="74">
        <v>-5.223042698</v>
      </c>
    </row>
    <row r="3453">
      <c r="A3453" s="1" t="s">
        <v>323</v>
      </c>
      <c r="B3453" s="38">
        <v>691587.0</v>
      </c>
      <c r="C3453" s="72">
        <v>45903.0</v>
      </c>
      <c r="D3453" s="38">
        <v>75.0</v>
      </c>
      <c r="E3453" s="75"/>
      <c r="F3453" s="67">
        <v>4.929295859</v>
      </c>
      <c r="G3453" s="40">
        <v>1.873436618</v>
      </c>
      <c r="H3453" s="40"/>
      <c r="I3453" s="41">
        <v>0.44</v>
      </c>
      <c r="J3453" s="41">
        <v>0.173333333</v>
      </c>
      <c r="K3453" s="41">
        <v>0.386666667</v>
      </c>
      <c r="L3453" s="41"/>
      <c r="M3453" s="74">
        <v>-3.813200306</v>
      </c>
    </row>
    <row r="3454">
      <c r="A3454" s="1" t="s">
        <v>344</v>
      </c>
      <c r="B3454" s="38">
        <v>701542.0</v>
      </c>
      <c r="C3454" s="72">
        <v>45846.0</v>
      </c>
      <c r="D3454" s="38">
        <v>81.0</v>
      </c>
      <c r="E3454" s="75"/>
      <c r="F3454" s="67">
        <v>4.92927485</v>
      </c>
      <c r="G3454" s="40">
        <v>2.004278354</v>
      </c>
      <c r="H3454" s="40"/>
      <c r="I3454" s="41">
        <v>0.469135802</v>
      </c>
      <c r="J3454" s="41">
        <v>0.172839506</v>
      </c>
      <c r="K3454" s="41">
        <v>0.358024691</v>
      </c>
      <c r="L3454" s="41"/>
      <c r="M3454" s="74">
        <v>0.886580802</v>
      </c>
    </row>
    <row r="3455">
      <c r="A3455" s="1" t="s">
        <v>251</v>
      </c>
      <c r="B3455" s="38">
        <v>676664.0</v>
      </c>
      <c r="C3455" s="72">
        <v>45814.0</v>
      </c>
      <c r="D3455" s="38">
        <v>78.0</v>
      </c>
      <c r="E3455" s="75"/>
      <c r="F3455" s="67">
        <v>4.929028694</v>
      </c>
      <c r="G3455" s="40">
        <v>1.928395732</v>
      </c>
      <c r="H3455" s="40"/>
      <c r="I3455" s="41">
        <v>0.487179487</v>
      </c>
      <c r="J3455" s="41">
        <v>0.128205128</v>
      </c>
      <c r="K3455" s="41">
        <v>0.384615385</v>
      </c>
      <c r="L3455" s="41"/>
      <c r="M3455" s="74">
        <v>-0.452466322</v>
      </c>
    </row>
    <row r="3456">
      <c r="A3456" s="1" t="s">
        <v>161</v>
      </c>
      <c r="B3456" s="38">
        <v>702070.0</v>
      </c>
      <c r="C3456" s="72">
        <v>45835.0</v>
      </c>
      <c r="D3456" s="38">
        <v>82.0</v>
      </c>
      <c r="E3456" s="75"/>
      <c r="F3456" s="67">
        <v>4.928960884</v>
      </c>
      <c r="G3456" s="40">
        <v>2.030028392</v>
      </c>
      <c r="H3456" s="40"/>
      <c r="I3456" s="41">
        <v>0.426829268</v>
      </c>
      <c r="J3456" s="41">
        <v>0.170731707</v>
      </c>
      <c r="K3456" s="41">
        <v>0.402439024</v>
      </c>
      <c r="L3456" s="41"/>
      <c r="M3456" s="74">
        <v>2.161488022</v>
      </c>
    </row>
    <row r="3457">
      <c r="A3457" s="1" t="s">
        <v>500</v>
      </c>
      <c r="B3457" s="38">
        <v>665871.0</v>
      </c>
      <c r="C3457" s="72">
        <v>45899.0</v>
      </c>
      <c r="D3457" s="38">
        <v>79.0</v>
      </c>
      <c r="E3457" s="75"/>
      <c r="F3457" s="67">
        <v>4.928922562</v>
      </c>
      <c r="G3457" s="40">
        <v>1.980249888</v>
      </c>
      <c r="H3457" s="40"/>
      <c r="I3457" s="41">
        <v>0.506329114</v>
      </c>
      <c r="J3457" s="41">
        <v>0.113924051</v>
      </c>
      <c r="K3457" s="41">
        <v>0.379746835</v>
      </c>
      <c r="L3457" s="41"/>
      <c r="M3457" s="74">
        <v>-1.638351869</v>
      </c>
    </row>
    <row r="3458">
      <c r="A3458" s="1" t="s">
        <v>229</v>
      </c>
      <c r="B3458" s="38">
        <v>645261.0</v>
      </c>
      <c r="C3458" s="72">
        <v>45788.0</v>
      </c>
      <c r="D3458" s="38">
        <v>107.0</v>
      </c>
      <c r="E3458" s="75"/>
      <c r="F3458" s="67">
        <v>4.928746369</v>
      </c>
      <c r="G3458" s="40">
        <v>2.630176025</v>
      </c>
      <c r="H3458" s="40"/>
      <c r="I3458" s="41">
        <v>0.401869159</v>
      </c>
      <c r="J3458" s="41">
        <v>0.186915888</v>
      </c>
      <c r="K3458" s="41">
        <v>0.411214953</v>
      </c>
      <c r="L3458" s="41"/>
      <c r="M3458" s="74">
        <v>-0.191700408</v>
      </c>
    </row>
    <row r="3459">
      <c r="A3459" s="1" t="s">
        <v>416</v>
      </c>
      <c r="B3459" s="38">
        <v>608337.0</v>
      </c>
      <c r="C3459" s="72">
        <v>45912.0</v>
      </c>
      <c r="D3459" s="38">
        <v>96.0</v>
      </c>
      <c r="E3459" s="75"/>
      <c r="F3459" s="67">
        <v>4.928739743</v>
      </c>
      <c r="G3459" s="40">
        <v>2.376330423</v>
      </c>
      <c r="H3459" s="40"/>
      <c r="I3459" s="41">
        <v>0.416666667</v>
      </c>
      <c r="J3459" s="41">
        <v>0.114583333</v>
      </c>
      <c r="K3459" s="41">
        <v>0.46875</v>
      </c>
      <c r="L3459" s="41"/>
      <c r="M3459" s="74">
        <v>0.157595508</v>
      </c>
    </row>
    <row r="3460">
      <c r="A3460" s="1" t="s">
        <v>275</v>
      </c>
      <c r="B3460" s="38">
        <v>693821.0</v>
      </c>
      <c r="C3460" s="72">
        <v>45865.0</v>
      </c>
      <c r="D3460" s="38">
        <v>62.0</v>
      </c>
      <c r="E3460" s="75"/>
      <c r="F3460" s="67">
        <v>4.928655703</v>
      </c>
      <c r="G3460" s="40">
        <v>1.518584035</v>
      </c>
      <c r="H3460" s="40"/>
      <c r="I3460" s="41">
        <v>0.467741935</v>
      </c>
      <c r="J3460" s="41">
        <v>0.209677419</v>
      </c>
      <c r="K3460" s="41">
        <v>0.322580645</v>
      </c>
      <c r="L3460" s="41"/>
      <c r="M3460" s="74">
        <v>-2.092991625</v>
      </c>
    </row>
    <row r="3461">
      <c r="A3461" s="1" t="s">
        <v>307</v>
      </c>
      <c r="B3461" s="38">
        <v>656849.0</v>
      </c>
      <c r="C3461" s="72">
        <v>45807.0</v>
      </c>
      <c r="D3461" s="38">
        <v>88.0</v>
      </c>
      <c r="E3461" s="75"/>
      <c r="F3461" s="67">
        <v>4.928584332</v>
      </c>
      <c r="G3461" s="40">
        <v>2.201217491</v>
      </c>
      <c r="H3461" s="40"/>
      <c r="I3461" s="41">
        <v>0.386363636</v>
      </c>
      <c r="J3461" s="41">
        <v>0.215909091</v>
      </c>
      <c r="K3461" s="41">
        <v>0.397727273</v>
      </c>
      <c r="L3461" s="41"/>
      <c r="M3461" s="74">
        <v>0.651444642</v>
      </c>
    </row>
    <row r="3462">
      <c r="A3462" s="1" t="s">
        <v>179</v>
      </c>
      <c r="B3462" s="38">
        <v>663568.0</v>
      </c>
      <c r="C3462" s="72">
        <v>45911.0</v>
      </c>
      <c r="D3462" s="38">
        <v>97.0</v>
      </c>
      <c r="E3462" s="75"/>
      <c r="F3462" s="67">
        <v>4.928547788</v>
      </c>
      <c r="G3462" s="40">
        <v>2.405348376</v>
      </c>
      <c r="H3462" s="40"/>
      <c r="I3462" s="41">
        <v>0.402061856</v>
      </c>
      <c r="J3462" s="41">
        <v>0.164948454</v>
      </c>
      <c r="K3462" s="41">
        <v>0.432989691</v>
      </c>
      <c r="L3462" s="41"/>
      <c r="M3462" s="74">
        <v>4.317269487</v>
      </c>
    </row>
    <row r="3463">
      <c r="A3463" s="1" t="s">
        <v>322</v>
      </c>
      <c r="B3463" s="38">
        <v>678368.0</v>
      </c>
      <c r="C3463" s="72">
        <v>45790.0</v>
      </c>
      <c r="D3463" s="38">
        <v>71.0</v>
      </c>
      <c r="E3463" s="75"/>
      <c r="F3463" s="67">
        <v>4.928498951</v>
      </c>
      <c r="G3463" s="40">
        <v>1.744992974</v>
      </c>
      <c r="H3463" s="40"/>
      <c r="I3463" s="41">
        <v>0.38028169</v>
      </c>
      <c r="J3463" s="41">
        <v>0.267605634</v>
      </c>
      <c r="K3463" s="41">
        <v>0.352112676</v>
      </c>
      <c r="L3463" s="41"/>
      <c r="M3463" s="74">
        <v>0.845695561</v>
      </c>
    </row>
    <row r="3464">
      <c r="A3464" s="1" t="s">
        <v>564</v>
      </c>
      <c r="B3464" s="38">
        <v>674841.0</v>
      </c>
      <c r="C3464" s="72">
        <v>45913.0</v>
      </c>
      <c r="D3464" s="38">
        <v>83.0</v>
      </c>
      <c r="E3464" s="75"/>
      <c r="F3464" s="67">
        <v>4.928431405</v>
      </c>
      <c r="G3464" s="40">
        <v>2.07497759</v>
      </c>
      <c r="H3464" s="40"/>
      <c r="I3464" s="41">
        <v>0.373493976</v>
      </c>
      <c r="J3464" s="41">
        <v>0.289156627</v>
      </c>
      <c r="K3464" s="41">
        <v>0.337349398</v>
      </c>
      <c r="L3464" s="41"/>
      <c r="M3464" s="74">
        <v>2.171255059</v>
      </c>
    </row>
    <row r="3465">
      <c r="A3465" s="1" t="s">
        <v>453</v>
      </c>
      <c r="B3465" s="38">
        <v>592836.0</v>
      </c>
      <c r="C3465" s="72">
        <v>45901.0</v>
      </c>
      <c r="D3465" s="38">
        <v>80.0</v>
      </c>
      <c r="E3465" s="75"/>
      <c r="F3465" s="67">
        <v>4.928426575</v>
      </c>
      <c r="G3465" s="40">
        <v>1.976236897</v>
      </c>
      <c r="H3465" s="40"/>
      <c r="I3465" s="41">
        <v>0.4125</v>
      </c>
      <c r="J3465" s="41">
        <v>0.175</v>
      </c>
      <c r="K3465" s="41">
        <v>0.4125</v>
      </c>
      <c r="L3465" s="41"/>
      <c r="M3465" s="74">
        <v>-1.192652715</v>
      </c>
    </row>
    <row r="3466">
      <c r="A3466" s="1" t="s">
        <v>368</v>
      </c>
      <c r="B3466" s="38">
        <v>593958.0</v>
      </c>
      <c r="C3466" s="72">
        <v>45888.0</v>
      </c>
      <c r="D3466" s="38">
        <v>96.0</v>
      </c>
      <c r="E3466" s="75"/>
      <c r="F3466" s="67">
        <v>4.928414719</v>
      </c>
      <c r="G3466" s="40">
        <v>2.384923066</v>
      </c>
      <c r="H3466" s="40"/>
      <c r="I3466" s="41">
        <v>0.4375</v>
      </c>
      <c r="J3466" s="41">
        <v>0.25</v>
      </c>
      <c r="K3466" s="41">
        <v>0.3125</v>
      </c>
      <c r="L3466" s="41"/>
      <c r="M3466" s="74">
        <v>0.201696029</v>
      </c>
    </row>
    <row r="3467">
      <c r="A3467" s="1" t="s">
        <v>242</v>
      </c>
      <c r="B3467" s="38">
        <v>669358.0</v>
      </c>
      <c r="C3467" s="72">
        <v>45778.0</v>
      </c>
      <c r="D3467" s="38">
        <v>88.0</v>
      </c>
      <c r="E3467" s="75"/>
      <c r="F3467" s="67">
        <v>4.928234419</v>
      </c>
      <c r="G3467" s="40">
        <v>2.189638512</v>
      </c>
      <c r="H3467" s="40"/>
      <c r="I3467" s="41">
        <v>0.420454545</v>
      </c>
      <c r="J3467" s="41">
        <v>0.215909091</v>
      </c>
      <c r="K3467" s="41">
        <v>0.363636364</v>
      </c>
      <c r="L3467" s="41"/>
      <c r="M3467" s="74">
        <v>-3.525174734</v>
      </c>
    </row>
    <row r="3468">
      <c r="A3468" s="1" t="s">
        <v>371</v>
      </c>
      <c r="B3468" s="38">
        <v>681293.0</v>
      </c>
      <c r="C3468" s="72">
        <v>45887.0</v>
      </c>
      <c r="D3468" s="38">
        <v>86.0</v>
      </c>
      <c r="E3468" s="75"/>
      <c r="F3468" s="67">
        <v>4.928120327</v>
      </c>
      <c r="G3468" s="40">
        <v>2.133394346</v>
      </c>
      <c r="H3468" s="40"/>
      <c r="I3468" s="41">
        <v>0.476744186</v>
      </c>
      <c r="J3468" s="41">
        <v>0.139534884</v>
      </c>
      <c r="K3468" s="41">
        <v>0.38372093</v>
      </c>
      <c r="L3468" s="41"/>
      <c r="M3468" s="74">
        <v>-2.371253657</v>
      </c>
    </row>
    <row r="3469">
      <c r="A3469" s="1" t="s">
        <v>173</v>
      </c>
      <c r="B3469" s="38">
        <v>641927.0</v>
      </c>
      <c r="C3469" s="72">
        <v>45920.0</v>
      </c>
      <c r="D3469" s="38">
        <v>89.0</v>
      </c>
      <c r="E3469" s="75"/>
      <c r="F3469" s="67">
        <v>4.928042799</v>
      </c>
      <c r="G3469" s="40">
        <v>2.211511806</v>
      </c>
      <c r="H3469" s="40"/>
      <c r="I3469" s="41">
        <v>0.404494382</v>
      </c>
      <c r="J3469" s="41">
        <v>0.213483146</v>
      </c>
      <c r="K3469" s="41">
        <v>0.382022472</v>
      </c>
      <c r="L3469" s="41"/>
      <c r="M3469" s="74">
        <v>-3.060936932</v>
      </c>
    </row>
    <row r="3470">
      <c r="A3470" s="1" t="s">
        <v>84</v>
      </c>
      <c r="B3470" s="38">
        <v>669373.0</v>
      </c>
      <c r="C3470" s="72">
        <v>45864.0</v>
      </c>
      <c r="D3470" s="38">
        <v>90.0</v>
      </c>
      <c r="E3470" s="75"/>
      <c r="F3470" s="67">
        <v>4.927915434</v>
      </c>
      <c r="G3470" s="40">
        <v>2.236502627</v>
      </c>
      <c r="H3470" s="40"/>
      <c r="I3470" s="41">
        <v>0.444444444</v>
      </c>
      <c r="J3470" s="41">
        <v>0.144444444</v>
      </c>
      <c r="K3470" s="41">
        <v>0.411111111</v>
      </c>
      <c r="L3470" s="41"/>
      <c r="M3470" s="74">
        <v>0.645541352</v>
      </c>
    </row>
    <row r="3471">
      <c r="A3471" s="1" t="s">
        <v>411</v>
      </c>
      <c r="B3471" s="38">
        <v>605288.0</v>
      </c>
      <c r="C3471" s="72">
        <v>45898.0</v>
      </c>
      <c r="D3471" s="38">
        <v>84.0</v>
      </c>
      <c r="E3471" s="75"/>
      <c r="F3471" s="67">
        <v>4.927874521</v>
      </c>
      <c r="G3471" s="40">
        <v>2.058494644</v>
      </c>
      <c r="H3471" s="40"/>
      <c r="I3471" s="41">
        <v>0.452380952</v>
      </c>
      <c r="J3471" s="41">
        <v>0.178571429</v>
      </c>
      <c r="K3471" s="41">
        <v>0.369047619</v>
      </c>
      <c r="L3471" s="41"/>
      <c r="M3471" s="74">
        <v>-0.664874404</v>
      </c>
    </row>
    <row r="3472">
      <c r="A3472" s="1" t="s">
        <v>189</v>
      </c>
      <c r="B3472" s="38">
        <v>607536.0</v>
      </c>
      <c r="C3472" s="72">
        <v>45916.0</v>
      </c>
      <c r="D3472" s="38">
        <v>66.0</v>
      </c>
      <c r="E3472" s="75"/>
      <c r="F3472" s="67">
        <v>4.927279682</v>
      </c>
      <c r="G3472" s="40">
        <v>1.671379537</v>
      </c>
      <c r="H3472" s="40"/>
      <c r="I3472" s="41">
        <v>0.378787879</v>
      </c>
      <c r="J3472" s="41">
        <v>0.257575758</v>
      </c>
      <c r="K3472" s="41">
        <v>0.363636364</v>
      </c>
      <c r="L3472" s="41"/>
      <c r="M3472" s="74">
        <v>-0.09611387</v>
      </c>
    </row>
    <row r="3473">
      <c r="A3473" s="1" t="s">
        <v>171</v>
      </c>
      <c r="B3473" s="38">
        <v>665795.0</v>
      </c>
      <c r="C3473" s="72">
        <v>45866.0</v>
      </c>
      <c r="D3473" s="38">
        <v>94.0</v>
      </c>
      <c r="E3473" s="75"/>
      <c r="F3473" s="67">
        <v>4.927056386</v>
      </c>
      <c r="G3473" s="40">
        <v>2.332716632</v>
      </c>
      <c r="H3473" s="40"/>
      <c r="I3473" s="41">
        <v>0.436170213</v>
      </c>
      <c r="J3473" s="41">
        <v>0.138297872</v>
      </c>
      <c r="K3473" s="41">
        <v>0.425531915</v>
      </c>
      <c r="L3473" s="41"/>
      <c r="M3473" s="74">
        <v>1.306525645</v>
      </c>
    </row>
    <row r="3474">
      <c r="A3474" s="1" t="s">
        <v>474</v>
      </c>
      <c r="B3474" s="38">
        <v>450203.0</v>
      </c>
      <c r="C3474" s="72">
        <v>45856.0</v>
      </c>
      <c r="D3474" s="38">
        <v>83.0</v>
      </c>
      <c r="E3474" s="75"/>
      <c r="F3474" s="67">
        <v>4.926965348</v>
      </c>
      <c r="G3474" s="40">
        <v>2.050460224</v>
      </c>
      <c r="H3474" s="40"/>
      <c r="I3474" s="41">
        <v>0.457831325</v>
      </c>
      <c r="J3474" s="41">
        <v>0.156626506</v>
      </c>
      <c r="K3474" s="41">
        <v>0.385542169</v>
      </c>
      <c r="L3474" s="41"/>
      <c r="M3474" s="74">
        <v>-3.556587817</v>
      </c>
    </row>
    <row r="3475">
      <c r="A3475" s="1" t="s">
        <v>260</v>
      </c>
      <c r="B3475" s="38">
        <v>694462.0</v>
      </c>
      <c r="C3475" s="72">
        <v>45895.0</v>
      </c>
      <c r="D3475" s="38">
        <v>83.0</v>
      </c>
      <c r="E3475" s="75"/>
      <c r="F3475" s="67">
        <v>4.926493698</v>
      </c>
      <c r="G3475" s="40">
        <v>2.067809555</v>
      </c>
      <c r="H3475" s="40"/>
      <c r="I3475" s="41">
        <v>0.445783133</v>
      </c>
      <c r="J3475" s="41">
        <v>0.168674699</v>
      </c>
      <c r="K3475" s="41">
        <v>0.385542169</v>
      </c>
      <c r="L3475" s="41"/>
      <c r="M3475" s="74">
        <v>-2.342688354</v>
      </c>
    </row>
    <row r="3476">
      <c r="A3476" s="1" t="s">
        <v>212</v>
      </c>
      <c r="B3476" s="38">
        <v>805673.0</v>
      </c>
      <c r="C3476" s="72">
        <v>45812.0</v>
      </c>
      <c r="D3476" s="38">
        <v>77.0</v>
      </c>
      <c r="E3476" s="75"/>
      <c r="F3476" s="67">
        <v>4.926408642</v>
      </c>
      <c r="G3476" s="40">
        <v>1.934939103</v>
      </c>
      <c r="H3476" s="40"/>
      <c r="I3476" s="41">
        <v>0.480519481</v>
      </c>
      <c r="J3476" s="41">
        <v>0.181818182</v>
      </c>
      <c r="K3476" s="41">
        <v>0.337662338</v>
      </c>
      <c r="L3476" s="41"/>
      <c r="M3476" s="74">
        <v>0.227692485</v>
      </c>
    </row>
    <row r="3477">
      <c r="A3477" s="1" t="s">
        <v>321</v>
      </c>
      <c r="B3477" s="38">
        <v>607200.0</v>
      </c>
      <c r="C3477" s="72">
        <v>45751.0</v>
      </c>
      <c r="D3477" s="38">
        <v>65.0</v>
      </c>
      <c r="E3477" s="75"/>
      <c r="F3477" s="67">
        <v>4.926288352</v>
      </c>
      <c r="G3477" s="40">
        <v>1.593801315</v>
      </c>
      <c r="H3477" s="40"/>
      <c r="I3477" s="41">
        <v>0.476923077</v>
      </c>
      <c r="J3477" s="41">
        <v>0.184615385</v>
      </c>
      <c r="K3477" s="41">
        <v>0.338461538</v>
      </c>
      <c r="L3477" s="41"/>
      <c r="M3477" s="74">
        <v>-0.984507615</v>
      </c>
    </row>
    <row r="3478">
      <c r="A3478" s="1" t="s">
        <v>335</v>
      </c>
      <c r="B3478" s="38">
        <v>663436.0</v>
      </c>
      <c r="C3478" s="72">
        <v>45892.0</v>
      </c>
      <c r="D3478" s="38">
        <v>85.0</v>
      </c>
      <c r="E3478" s="75"/>
      <c r="F3478" s="67">
        <v>4.926231129</v>
      </c>
      <c r="G3478" s="40">
        <v>2.101798665</v>
      </c>
      <c r="H3478" s="40"/>
      <c r="I3478" s="41">
        <v>0.364705882</v>
      </c>
      <c r="J3478" s="41">
        <v>0.235294118</v>
      </c>
      <c r="K3478" s="41">
        <v>0.4</v>
      </c>
      <c r="L3478" s="41"/>
      <c r="M3478" s="74">
        <v>0.762171297</v>
      </c>
    </row>
    <row r="3479">
      <c r="A3479" s="1" t="s">
        <v>290</v>
      </c>
      <c r="B3479" s="38">
        <v>669461.0</v>
      </c>
      <c r="C3479" s="72">
        <v>45807.0</v>
      </c>
      <c r="D3479" s="38">
        <v>85.0</v>
      </c>
      <c r="E3479" s="75"/>
      <c r="F3479" s="67">
        <v>4.925936943</v>
      </c>
      <c r="G3479" s="40">
        <v>2.129356167</v>
      </c>
      <c r="H3479" s="40"/>
      <c r="I3479" s="41">
        <v>0.458823529</v>
      </c>
      <c r="J3479" s="41">
        <v>0.164705882</v>
      </c>
      <c r="K3479" s="41">
        <v>0.376470588</v>
      </c>
      <c r="L3479" s="41"/>
      <c r="M3479" s="74">
        <v>-2.022234657</v>
      </c>
    </row>
    <row r="3480">
      <c r="A3480" s="1" t="s">
        <v>316</v>
      </c>
      <c r="B3480" s="38">
        <v>656427.0</v>
      </c>
      <c r="C3480" s="72">
        <v>45833.0</v>
      </c>
      <c r="D3480" s="38">
        <v>86.0</v>
      </c>
      <c r="E3480" s="75"/>
      <c r="F3480" s="67">
        <v>4.925935188</v>
      </c>
      <c r="G3480" s="40">
        <v>2.154242181</v>
      </c>
      <c r="H3480" s="40"/>
      <c r="I3480" s="41">
        <v>0.430232558</v>
      </c>
      <c r="J3480" s="41">
        <v>0.162790698</v>
      </c>
      <c r="K3480" s="41">
        <v>0.406976744</v>
      </c>
      <c r="L3480" s="41"/>
      <c r="M3480" s="74">
        <v>-1.441193497</v>
      </c>
    </row>
    <row r="3481">
      <c r="A3481" s="1" t="s">
        <v>226</v>
      </c>
      <c r="B3481" s="38">
        <v>607259.0</v>
      </c>
      <c r="C3481" s="72">
        <v>45863.0</v>
      </c>
      <c r="D3481" s="38">
        <v>93.0</v>
      </c>
      <c r="E3481" s="75"/>
      <c r="F3481" s="67">
        <v>4.925765252</v>
      </c>
      <c r="G3481" s="40">
        <v>2.311185272</v>
      </c>
      <c r="H3481" s="40"/>
      <c r="I3481" s="41">
        <v>0.387096774</v>
      </c>
      <c r="J3481" s="41">
        <v>0.23655914</v>
      </c>
      <c r="K3481" s="41">
        <v>0.376344086</v>
      </c>
      <c r="L3481" s="41"/>
      <c r="M3481" s="74">
        <v>2.305863154</v>
      </c>
    </row>
    <row r="3482">
      <c r="A3482" s="1" t="s">
        <v>158</v>
      </c>
      <c r="B3482" s="38">
        <v>608372.0</v>
      </c>
      <c r="C3482" s="72">
        <v>45894.0</v>
      </c>
      <c r="D3482" s="38">
        <v>86.0</v>
      </c>
      <c r="E3482" s="75"/>
      <c r="F3482" s="67">
        <v>4.925762593</v>
      </c>
      <c r="G3482" s="40">
        <v>2.147314541</v>
      </c>
      <c r="H3482" s="40"/>
      <c r="I3482" s="41">
        <v>0.5</v>
      </c>
      <c r="J3482" s="41">
        <v>0.174418605</v>
      </c>
      <c r="K3482" s="41">
        <v>0.325581395</v>
      </c>
      <c r="L3482" s="41"/>
      <c r="M3482" s="74">
        <v>-1.418270206</v>
      </c>
    </row>
    <row r="3483">
      <c r="A3483" s="1" t="s">
        <v>177</v>
      </c>
      <c r="B3483" s="38">
        <v>641793.0</v>
      </c>
      <c r="C3483" s="72">
        <v>45814.0</v>
      </c>
      <c r="D3483" s="38">
        <v>68.0</v>
      </c>
      <c r="E3483" s="75"/>
      <c r="F3483" s="67">
        <v>4.925702317</v>
      </c>
      <c r="G3483" s="40">
        <v>1.714839256</v>
      </c>
      <c r="H3483" s="40"/>
      <c r="I3483" s="41">
        <v>0.352941176</v>
      </c>
      <c r="J3483" s="41">
        <v>0.279411765</v>
      </c>
      <c r="K3483" s="41">
        <v>0.367647059</v>
      </c>
      <c r="L3483" s="41"/>
      <c r="M3483" s="74">
        <v>-0.028986999</v>
      </c>
    </row>
    <row r="3484">
      <c r="A3484" s="1" t="s">
        <v>386</v>
      </c>
      <c r="B3484" s="38">
        <v>656731.0</v>
      </c>
      <c r="C3484" s="72">
        <v>45793.0</v>
      </c>
      <c r="D3484" s="38">
        <v>70.0</v>
      </c>
      <c r="E3484" s="75"/>
      <c r="F3484" s="67">
        <v>4.925605587</v>
      </c>
      <c r="G3484" s="40">
        <v>1.728435767</v>
      </c>
      <c r="H3484" s="40"/>
      <c r="I3484" s="41">
        <v>0.5</v>
      </c>
      <c r="J3484" s="41">
        <v>0.114285714</v>
      </c>
      <c r="K3484" s="41">
        <v>0.385714286</v>
      </c>
      <c r="L3484" s="41"/>
      <c r="M3484" s="74">
        <v>-0.93303333</v>
      </c>
    </row>
    <row r="3485">
      <c r="A3485" s="1" t="s">
        <v>232</v>
      </c>
      <c r="B3485" s="38">
        <v>579328.0</v>
      </c>
      <c r="C3485" s="72">
        <v>45823.0</v>
      </c>
      <c r="D3485" s="38">
        <v>90.0</v>
      </c>
      <c r="E3485" s="75"/>
      <c r="F3485" s="67">
        <v>4.925575065</v>
      </c>
      <c r="G3485" s="40">
        <v>2.222274462</v>
      </c>
      <c r="H3485" s="40"/>
      <c r="I3485" s="41">
        <v>0.388888889</v>
      </c>
      <c r="J3485" s="41">
        <v>0.188888889</v>
      </c>
      <c r="K3485" s="41">
        <v>0.422222222</v>
      </c>
      <c r="L3485" s="41"/>
      <c r="M3485" s="74">
        <v>-1.913616391</v>
      </c>
    </row>
    <row r="3486">
      <c r="A3486" s="1" t="s">
        <v>336</v>
      </c>
      <c r="B3486" s="38">
        <v>605488.0</v>
      </c>
      <c r="C3486" s="72">
        <v>45839.0</v>
      </c>
      <c r="D3486" s="38">
        <v>96.0</v>
      </c>
      <c r="E3486" s="75"/>
      <c r="F3486" s="67">
        <v>4.925304162</v>
      </c>
      <c r="G3486" s="40">
        <v>2.362257825</v>
      </c>
      <c r="H3486" s="40"/>
      <c r="I3486" s="41">
        <v>0.458333333</v>
      </c>
      <c r="J3486" s="41">
        <v>0.114583333</v>
      </c>
      <c r="K3486" s="41">
        <v>0.427083333</v>
      </c>
      <c r="L3486" s="41"/>
      <c r="M3486" s="74">
        <v>1.179637548</v>
      </c>
    </row>
    <row r="3487">
      <c r="A3487" s="1" t="s">
        <v>97</v>
      </c>
      <c r="B3487" s="38">
        <v>656876.0</v>
      </c>
      <c r="C3487" s="72">
        <v>45783.0</v>
      </c>
      <c r="D3487" s="38">
        <v>86.0</v>
      </c>
      <c r="E3487" s="75"/>
      <c r="F3487" s="67">
        <v>4.925271082</v>
      </c>
      <c r="G3487" s="40">
        <v>2.136495442</v>
      </c>
      <c r="H3487" s="40"/>
      <c r="I3487" s="41">
        <v>0.441860465</v>
      </c>
      <c r="J3487" s="41">
        <v>0.26744186</v>
      </c>
      <c r="K3487" s="41">
        <v>0.290697674</v>
      </c>
      <c r="L3487" s="41"/>
      <c r="M3487" s="74">
        <v>-0.241210191</v>
      </c>
    </row>
    <row r="3488">
      <c r="A3488" s="1" t="s">
        <v>281</v>
      </c>
      <c r="B3488" s="38">
        <v>622663.0</v>
      </c>
      <c r="C3488" s="72">
        <v>45748.0</v>
      </c>
      <c r="D3488" s="38">
        <v>104.0</v>
      </c>
      <c r="E3488" s="75"/>
      <c r="F3488" s="67">
        <v>4.925270002</v>
      </c>
      <c r="G3488" s="40">
        <v>2.587650639</v>
      </c>
      <c r="H3488" s="40"/>
      <c r="I3488" s="41">
        <v>0.423076923</v>
      </c>
      <c r="J3488" s="41">
        <v>0.173076923</v>
      </c>
      <c r="K3488" s="41">
        <v>0.403846154</v>
      </c>
      <c r="L3488" s="41"/>
      <c r="M3488" s="74">
        <v>0.387227324</v>
      </c>
    </row>
    <row r="3489">
      <c r="A3489" s="1" t="s">
        <v>396</v>
      </c>
      <c r="B3489" s="38">
        <v>663623.0</v>
      </c>
      <c r="C3489" s="72">
        <v>45846.0</v>
      </c>
      <c r="D3489" s="38">
        <v>95.0</v>
      </c>
      <c r="E3489" s="75"/>
      <c r="F3489" s="67">
        <v>4.925250527</v>
      </c>
      <c r="G3489" s="40">
        <v>2.395439231</v>
      </c>
      <c r="H3489" s="40"/>
      <c r="I3489" s="41">
        <v>0.452631579</v>
      </c>
      <c r="J3489" s="41">
        <v>0.189473684</v>
      </c>
      <c r="K3489" s="41">
        <v>0.357894737</v>
      </c>
      <c r="L3489" s="41"/>
      <c r="M3489" s="74">
        <v>0.562849434</v>
      </c>
    </row>
    <row r="3490">
      <c r="A3490" s="1" t="s">
        <v>353</v>
      </c>
      <c r="B3490" s="38">
        <v>663903.0</v>
      </c>
      <c r="C3490" s="72">
        <v>45758.0</v>
      </c>
      <c r="D3490" s="38">
        <v>86.0</v>
      </c>
      <c r="E3490" s="75"/>
      <c r="F3490" s="67">
        <v>4.925221024</v>
      </c>
      <c r="G3490" s="40">
        <v>2.118907435</v>
      </c>
      <c r="H3490" s="40"/>
      <c r="I3490" s="41">
        <v>0.453488372</v>
      </c>
      <c r="J3490" s="41">
        <v>0.162790698</v>
      </c>
      <c r="K3490" s="41">
        <v>0.38372093</v>
      </c>
      <c r="L3490" s="41"/>
      <c r="M3490" s="74">
        <v>2.432541932</v>
      </c>
    </row>
    <row r="3491">
      <c r="A3491" s="1" t="s">
        <v>316</v>
      </c>
      <c r="B3491" s="38">
        <v>656427.0</v>
      </c>
      <c r="C3491" s="72">
        <v>45762.0</v>
      </c>
      <c r="D3491" s="38">
        <v>97.0</v>
      </c>
      <c r="E3491" s="75"/>
      <c r="F3491" s="67">
        <v>4.925174551</v>
      </c>
      <c r="G3491" s="40">
        <v>2.392931714</v>
      </c>
      <c r="H3491" s="40"/>
      <c r="I3491" s="41">
        <v>0.505154639</v>
      </c>
      <c r="J3491" s="41">
        <v>0.113402062</v>
      </c>
      <c r="K3491" s="41">
        <v>0.381443299</v>
      </c>
      <c r="L3491" s="41"/>
      <c r="M3491" s="74">
        <v>-0.109735889</v>
      </c>
    </row>
    <row r="3492">
      <c r="A3492" s="1" t="s">
        <v>272</v>
      </c>
      <c r="B3492" s="38">
        <v>622491.0</v>
      </c>
      <c r="C3492" s="72">
        <v>45889.0</v>
      </c>
      <c r="D3492" s="38">
        <v>88.0</v>
      </c>
      <c r="E3492" s="75"/>
      <c r="F3492" s="67">
        <v>4.925085399</v>
      </c>
      <c r="G3492" s="40">
        <v>2.163597262</v>
      </c>
      <c r="H3492" s="40"/>
      <c r="I3492" s="41">
        <v>0.477272727</v>
      </c>
      <c r="J3492" s="41">
        <v>0.181818182</v>
      </c>
      <c r="K3492" s="41">
        <v>0.340909091</v>
      </c>
      <c r="L3492" s="41"/>
      <c r="M3492" s="74">
        <v>-5.38735261</v>
      </c>
    </row>
    <row r="3493">
      <c r="A3493" s="1" t="s">
        <v>476</v>
      </c>
      <c r="B3493" s="38">
        <v>500779.0</v>
      </c>
      <c r="C3493" s="72">
        <v>45858.0</v>
      </c>
      <c r="D3493" s="38">
        <v>83.0</v>
      </c>
      <c r="E3493" s="75"/>
      <c r="F3493" s="67">
        <v>4.925058686</v>
      </c>
      <c r="G3493" s="40">
        <v>2.057174183</v>
      </c>
      <c r="H3493" s="40"/>
      <c r="I3493" s="41">
        <v>0.43373494</v>
      </c>
      <c r="J3493" s="41">
        <v>0.144578313</v>
      </c>
      <c r="K3493" s="41">
        <v>0.421686747</v>
      </c>
      <c r="L3493" s="41"/>
      <c r="M3493" s="74">
        <v>0.904625568</v>
      </c>
    </row>
    <row r="3494">
      <c r="A3494" s="1" t="s">
        <v>332</v>
      </c>
      <c r="B3494" s="38">
        <v>641778.0</v>
      </c>
      <c r="C3494" s="72">
        <v>45847.0</v>
      </c>
      <c r="D3494" s="38">
        <v>67.0</v>
      </c>
      <c r="E3494" s="75"/>
      <c r="F3494" s="67">
        <v>4.924855179</v>
      </c>
      <c r="G3494" s="40">
        <v>1.653246899</v>
      </c>
      <c r="H3494" s="40"/>
      <c r="I3494" s="41">
        <v>0.417910448</v>
      </c>
      <c r="J3494" s="41">
        <v>0.208955224</v>
      </c>
      <c r="K3494" s="41">
        <v>0.373134328</v>
      </c>
      <c r="L3494" s="41"/>
      <c r="M3494" s="74">
        <v>0.171495888</v>
      </c>
    </row>
    <row r="3495">
      <c r="A3495" s="1" t="s">
        <v>425</v>
      </c>
      <c r="B3495" s="38">
        <v>621244.0</v>
      </c>
      <c r="C3495" s="72">
        <v>45812.0</v>
      </c>
      <c r="D3495" s="38">
        <v>84.0</v>
      </c>
      <c r="E3495" s="75"/>
      <c r="F3495" s="67">
        <v>4.924675325</v>
      </c>
      <c r="G3495" s="40">
        <v>2.054365258</v>
      </c>
      <c r="H3495" s="40"/>
      <c r="I3495" s="41">
        <v>0.44047619</v>
      </c>
      <c r="J3495" s="41">
        <v>0.19047619</v>
      </c>
      <c r="K3495" s="41">
        <v>0.369047619</v>
      </c>
      <c r="L3495" s="41"/>
      <c r="M3495" s="74">
        <v>0.228479428</v>
      </c>
    </row>
    <row r="3496">
      <c r="A3496" s="1" t="s">
        <v>275</v>
      </c>
      <c r="B3496" s="38">
        <v>693821.0</v>
      </c>
      <c r="C3496" s="72">
        <v>45859.0</v>
      </c>
      <c r="D3496" s="38">
        <v>101.0</v>
      </c>
      <c r="E3496" s="75"/>
      <c r="F3496" s="67">
        <v>4.924640072</v>
      </c>
      <c r="G3496" s="40">
        <v>2.496397103</v>
      </c>
      <c r="H3496" s="40"/>
      <c r="I3496" s="41">
        <v>0.485148515</v>
      </c>
      <c r="J3496" s="41">
        <v>0.178217822</v>
      </c>
      <c r="K3496" s="41">
        <v>0.336633663</v>
      </c>
      <c r="L3496" s="41"/>
      <c r="M3496" s="74">
        <v>-0.038671284</v>
      </c>
    </row>
    <row r="3497">
      <c r="A3497" s="1" t="s">
        <v>307</v>
      </c>
      <c r="B3497" s="38">
        <v>656849.0</v>
      </c>
      <c r="C3497" s="72">
        <v>45917.0</v>
      </c>
      <c r="D3497" s="38">
        <v>85.0</v>
      </c>
      <c r="E3497" s="75"/>
      <c r="F3497" s="67">
        <v>4.92445309</v>
      </c>
      <c r="G3497" s="40">
        <v>2.092750486</v>
      </c>
      <c r="H3497" s="40"/>
      <c r="I3497" s="41">
        <v>0.447058824</v>
      </c>
      <c r="J3497" s="41">
        <v>0.164705882</v>
      </c>
      <c r="K3497" s="41">
        <v>0.388235294</v>
      </c>
      <c r="L3497" s="41"/>
      <c r="M3497" s="74">
        <v>-0.914485247</v>
      </c>
    </row>
    <row r="3498">
      <c r="A3498" s="1" t="s">
        <v>281</v>
      </c>
      <c r="B3498" s="38">
        <v>622663.0</v>
      </c>
      <c r="C3498" s="72">
        <v>45821.0</v>
      </c>
      <c r="D3498" s="38">
        <v>98.0</v>
      </c>
      <c r="E3498" s="75"/>
      <c r="F3498" s="67">
        <v>4.923933117</v>
      </c>
      <c r="G3498" s="40">
        <v>2.460217001</v>
      </c>
      <c r="H3498" s="40"/>
      <c r="I3498" s="41">
        <v>0.397959184</v>
      </c>
      <c r="J3498" s="41">
        <v>0.234693878</v>
      </c>
      <c r="K3498" s="41">
        <v>0.367346939</v>
      </c>
      <c r="L3498" s="41"/>
      <c r="M3498" s="74">
        <v>-0.865821138</v>
      </c>
    </row>
    <row r="3499">
      <c r="A3499" s="1" t="s">
        <v>216</v>
      </c>
      <c r="B3499" s="38">
        <v>621107.0</v>
      </c>
      <c r="C3499" s="72">
        <v>45824.0</v>
      </c>
      <c r="D3499" s="38">
        <v>75.0</v>
      </c>
      <c r="E3499" s="75"/>
      <c r="F3499" s="67">
        <v>4.92384413</v>
      </c>
      <c r="G3499" s="40">
        <v>1.895166348</v>
      </c>
      <c r="H3499" s="40"/>
      <c r="I3499" s="41">
        <v>0.533333333</v>
      </c>
      <c r="J3499" s="41">
        <v>0.106666667</v>
      </c>
      <c r="K3499" s="41">
        <v>0.36</v>
      </c>
      <c r="L3499" s="41"/>
      <c r="M3499" s="74">
        <v>-7.422255979</v>
      </c>
    </row>
    <row r="3500">
      <c r="A3500" s="1" t="s">
        <v>212</v>
      </c>
      <c r="B3500" s="38">
        <v>805673.0</v>
      </c>
      <c r="C3500" s="72">
        <v>45857.0</v>
      </c>
      <c r="D3500" s="38">
        <v>76.0</v>
      </c>
      <c r="E3500" s="75"/>
      <c r="F3500" s="67">
        <v>4.923263593</v>
      </c>
      <c r="G3500" s="40">
        <v>1.922598805</v>
      </c>
      <c r="H3500" s="40"/>
      <c r="I3500" s="41">
        <v>0.407894737</v>
      </c>
      <c r="J3500" s="41">
        <v>0.25</v>
      </c>
      <c r="K3500" s="41">
        <v>0.342105263</v>
      </c>
      <c r="L3500" s="41"/>
      <c r="M3500" s="74">
        <v>-2.190644117</v>
      </c>
    </row>
    <row r="3501">
      <c r="A3501" s="1" t="s">
        <v>324</v>
      </c>
      <c r="B3501" s="38">
        <v>471911.0</v>
      </c>
      <c r="C3501" s="72">
        <v>45766.0</v>
      </c>
      <c r="D3501" s="38">
        <v>71.0</v>
      </c>
      <c r="E3501" s="75"/>
      <c r="F3501" s="67">
        <v>4.923252369</v>
      </c>
      <c r="G3501" s="40">
        <v>1.785702434</v>
      </c>
      <c r="H3501" s="40"/>
      <c r="I3501" s="41">
        <v>0.422535211</v>
      </c>
      <c r="J3501" s="41">
        <v>0.126760563</v>
      </c>
      <c r="K3501" s="41">
        <v>0.450704225</v>
      </c>
      <c r="L3501" s="41"/>
      <c r="M3501" s="74">
        <v>-1.877559164</v>
      </c>
    </row>
    <row r="3502">
      <c r="A3502" s="1" t="s">
        <v>457</v>
      </c>
      <c r="B3502" s="38">
        <v>477132.0</v>
      </c>
      <c r="C3502" s="72">
        <v>45811.0</v>
      </c>
      <c r="D3502" s="38">
        <v>91.0</v>
      </c>
      <c r="E3502" s="75"/>
      <c r="F3502" s="67">
        <v>4.923214727</v>
      </c>
      <c r="G3502" s="40">
        <v>2.255414462</v>
      </c>
      <c r="H3502" s="40"/>
      <c r="I3502" s="41">
        <v>0.43956044</v>
      </c>
      <c r="J3502" s="41">
        <v>0.186813187</v>
      </c>
      <c r="K3502" s="41">
        <v>0.373626374</v>
      </c>
      <c r="L3502" s="41"/>
      <c r="M3502" s="74">
        <v>-0.03457268</v>
      </c>
    </row>
    <row r="3503">
      <c r="A3503" s="1" t="s">
        <v>453</v>
      </c>
      <c r="B3503" s="38">
        <v>592836.0</v>
      </c>
      <c r="C3503" s="72">
        <v>45778.0</v>
      </c>
      <c r="D3503" s="38">
        <v>81.0</v>
      </c>
      <c r="E3503" s="75"/>
      <c r="F3503" s="67">
        <v>4.923032838</v>
      </c>
      <c r="G3503" s="40">
        <v>2.059023767</v>
      </c>
      <c r="H3503" s="40"/>
      <c r="I3503" s="41">
        <v>0.481481481</v>
      </c>
      <c r="J3503" s="41">
        <v>0.098765432</v>
      </c>
      <c r="K3503" s="41">
        <v>0.419753086</v>
      </c>
      <c r="L3503" s="41"/>
      <c r="M3503" s="74">
        <v>1.371528786</v>
      </c>
    </row>
    <row r="3504">
      <c r="A3504" s="1" t="s">
        <v>179</v>
      </c>
      <c r="B3504" s="38">
        <v>663568.0</v>
      </c>
      <c r="C3504" s="72">
        <v>45799.0</v>
      </c>
      <c r="D3504" s="38">
        <v>88.0</v>
      </c>
      <c r="E3504" s="75"/>
      <c r="F3504" s="67">
        <v>4.922865802</v>
      </c>
      <c r="G3504" s="40">
        <v>2.181698612</v>
      </c>
      <c r="H3504" s="40"/>
      <c r="I3504" s="41">
        <v>0.477272727</v>
      </c>
      <c r="J3504" s="41">
        <v>0.181818182</v>
      </c>
      <c r="K3504" s="41">
        <v>0.340909091</v>
      </c>
      <c r="L3504" s="41"/>
      <c r="M3504" s="74">
        <v>-0.095913521</v>
      </c>
    </row>
    <row r="3505">
      <c r="A3505" s="1" t="s">
        <v>275</v>
      </c>
      <c r="B3505" s="38">
        <v>693821.0</v>
      </c>
      <c r="C3505" s="72">
        <v>45791.0</v>
      </c>
      <c r="D3505" s="38">
        <v>81.0</v>
      </c>
      <c r="E3505" s="75"/>
      <c r="F3505" s="67">
        <v>4.922845813</v>
      </c>
      <c r="G3505" s="40">
        <v>2.01368779</v>
      </c>
      <c r="H3505" s="40"/>
      <c r="I3505" s="41">
        <v>0.49382716</v>
      </c>
      <c r="J3505" s="41">
        <v>0.086419753</v>
      </c>
      <c r="K3505" s="41">
        <v>0.419753086</v>
      </c>
      <c r="L3505" s="41"/>
      <c r="M3505" s="74">
        <v>-0.083815088</v>
      </c>
    </row>
    <row r="3506">
      <c r="A3506" s="1" t="s">
        <v>90</v>
      </c>
      <c r="B3506" s="38">
        <v>693433.0</v>
      </c>
      <c r="C3506" s="72">
        <v>45771.0</v>
      </c>
      <c r="D3506" s="38">
        <v>89.0</v>
      </c>
      <c r="E3506" s="75"/>
      <c r="F3506" s="67">
        <v>4.922803645</v>
      </c>
      <c r="G3506" s="40">
        <v>2.230477322</v>
      </c>
      <c r="H3506" s="40"/>
      <c r="I3506" s="41">
        <v>0.483146067</v>
      </c>
      <c r="J3506" s="41">
        <v>0.179775281</v>
      </c>
      <c r="K3506" s="41">
        <v>0.337078652</v>
      </c>
      <c r="L3506" s="41"/>
      <c r="M3506" s="74">
        <v>1.84705107</v>
      </c>
    </row>
    <row r="3507">
      <c r="A3507" s="1" t="s">
        <v>161</v>
      </c>
      <c r="B3507" s="38">
        <v>702070.0</v>
      </c>
      <c r="C3507" s="72">
        <v>45878.0</v>
      </c>
      <c r="D3507" s="38">
        <v>89.0</v>
      </c>
      <c r="E3507" s="75"/>
      <c r="F3507" s="67">
        <v>4.92278261</v>
      </c>
      <c r="G3507" s="40">
        <v>2.235222622</v>
      </c>
      <c r="H3507" s="40"/>
      <c r="I3507" s="41">
        <v>0.449438202</v>
      </c>
      <c r="J3507" s="41">
        <v>0.191011236</v>
      </c>
      <c r="K3507" s="41">
        <v>0.359550562</v>
      </c>
      <c r="L3507" s="41"/>
      <c r="M3507" s="74">
        <v>-1.343728027</v>
      </c>
    </row>
    <row r="3508">
      <c r="A3508" s="1" t="s">
        <v>484</v>
      </c>
      <c r="B3508" s="38">
        <v>682847.0</v>
      </c>
      <c r="C3508" s="72">
        <v>45812.0</v>
      </c>
      <c r="D3508" s="38">
        <v>92.0</v>
      </c>
      <c r="E3508" s="75"/>
      <c r="F3508" s="67">
        <v>4.922665529</v>
      </c>
      <c r="G3508" s="40">
        <v>2.23433899</v>
      </c>
      <c r="H3508" s="40"/>
      <c r="I3508" s="41">
        <v>0.456521739</v>
      </c>
      <c r="J3508" s="41">
        <v>0.184782609</v>
      </c>
      <c r="K3508" s="41">
        <v>0.358695652</v>
      </c>
      <c r="L3508" s="41"/>
      <c r="M3508" s="74">
        <v>2.386669924</v>
      </c>
    </row>
    <row r="3509">
      <c r="A3509" s="1" t="s">
        <v>464</v>
      </c>
      <c r="B3509" s="38">
        <v>615698.0</v>
      </c>
      <c r="C3509" s="72">
        <v>45868.0</v>
      </c>
      <c r="D3509" s="38">
        <v>71.0</v>
      </c>
      <c r="E3509" s="75"/>
      <c r="F3509" s="67">
        <v>4.922656279</v>
      </c>
      <c r="G3509" s="40">
        <v>1.774297342</v>
      </c>
      <c r="H3509" s="40"/>
      <c r="I3509" s="41">
        <v>0.408450704</v>
      </c>
      <c r="J3509" s="41">
        <v>0.183098592</v>
      </c>
      <c r="K3509" s="41">
        <v>0.408450704</v>
      </c>
      <c r="L3509" s="41"/>
      <c r="M3509" s="74">
        <v>1.715081452</v>
      </c>
    </row>
    <row r="3510">
      <c r="A3510" s="1" t="s">
        <v>303</v>
      </c>
      <c r="B3510" s="38">
        <v>592662.0</v>
      </c>
      <c r="C3510" s="72">
        <v>45851.0</v>
      </c>
      <c r="D3510" s="38">
        <v>89.0</v>
      </c>
      <c r="E3510" s="75"/>
      <c r="F3510" s="67">
        <v>4.922479605</v>
      </c>
      <c r="G3510" s="40">
        <v>2.229444404</v>
      </c>
      <c r="H3510" s="40"/>
      <c r="I3510" s="41">
        <v>0.438202247</v>
      </c>
      <c r="J3510" s="41">
        <v>0.168539326</v>
      </c>
      <c r="K3510" s="41">
        <v>0.393258427</v>
      </c>
      <c r="L3510" s="41"/>
      <c r="M3510" s="74">
        <v>1.348288895</v>
      </c>
    </row>
    <row r="3511">
      <c r="A3511" s="1" t="s">
        <v>513</v>
      </c>
      <c r="B3511" s="38">
        <v>608566.0</v>
      </c>
      <c r="C3511" s="72">
        <v>45821.0</v>
      </c>
      <c r="D3511" s="38">
        <v>74.0</v>
      </c>
      <c r="E3511" s="75"/>
      <c r="F3511" s="67">
        <v>4.922246622</v>
      </c>
      <c r="G3511" s="40">
        <v>1.843503242</v>
      </c>
      <c r="H3511" s="40"/>
      <c r="I3511" s="41">
        <v>0.364864865</v>
      </c>
      <c r="J3511" s="41">
        <v>0.216216216</v>
      </c>
      <c r="K3511" s="41">
        <v>0.418918919</v>
      </c>
      <c r="L3511" s="41"/>
      <c r="M3511" s="74">
        <v>0.526301128</v>
      </c>
    </row>
    <row r="3512">
      <c r="A3512" s="1" t="s">
        <v>423</v>
      </c>
      <c r="B3512" s="38">
        <v>656605.0</v>
      </c>
      <c r="C3512" s="72">
        <v>45784.0</v>
      </c>
      <c r="D3512" s="38">
        <v>94.0</v>
      </c>
      <c r="E3512" s="75"/>
      <c r="F3512" s="67">
        <v>4.921890677</v>
      </c>
      <c r="G3512" s="40">
        <v>2.342276509</v>
      </c>
      <c r="H3512" s="40"/>
      <c r="I3512" s="41">
        <v>0.489361702</v>
      </c>
      <c r="J3512" s="41">
        <v>0.159574468</v>
      </c>
      <c r="K3512" s="41">
        <v>0.35106383</v>
      </c>
      <c r="L3512" s="41"/>
      <c r="M3512" s="74">
        <v>-1.402243335</v>
      </c>
    </row>
    <row r="3513">
      <c r="A3513" s="1" t="s">
        <v>324</v>
      </c>
      <c r="B3513" s="38">
        <v>471911.0</v>
      </c>
      <c r="C3513" s="72">
        <v>45761.0</v>
      </c>
      <c r="D3513" s="38">
        <v>74.0</v>
      </c>
      <c r="E3513" s="75"/>
      <c r="F3513" s="67">
        <v>4.921678211</v>
      </c>
      <c r="G3513" s="40">
        <v>1.821114161</v>
      </c>
      <c r="H3513" s="40"/>
      <c r="I3513" s="41">
        <v>0.432432432</v>
      </c>
      <c r="J3513" s="41">
        <v>0.148648649</v>
      </c>
      <c r="K3513" s="41">
        <v>0.418918919</v>
      </c>
      <c r="L3513" s="41"/>
      <c r="M3513" s="74">
        <v>2.67067675</v>
      </c>
    </row>
    <row r="3514">
      <c r="A3514" s="1" t="s">
        <v>374</v>
      </c>
      <c r="B3514" s="38">
        <v>683004.0</v>
      </c>
      <c r="C3514" s="72">
        <v>45915.0</v>
      </c>
      <c r="D3514" s="38">
        <v>99.0</v>
      </c>
      <c r="E3514" s="75"/>
      <c r="F3514" s="67">
        <v>4.921670097</v>
      </c>
      <c r="G3514" s="40">
        <v>2.446043979</v>
      </c>
      <c r="H3514" s="40"/>
      <c r="I3514" s="41">
        <v>0.434343434</v>
      </c>
      <c r="J3514" s="41">
        <v>0.191919192</v>
      </c>
      <c r="K3514" s="41">
        <v>0.373737374</v>
      </c>
      <c r="L3514" s="41"/>
      <c r="M3514" s="74">
        <v>0.362328833</v>
      </c>
    </row>
    <row r="3515">
      <c r="A3515" s="1" t="s">
        <v>377</v>
      </c>
      <c r="B3515" s="38">
        <v>695549.0</v>
      </c>
      <c r="C3515" s="72">
        <v>45759.0</v>
      </c>
      <c r="D3515" s="38">
        <v>86.0</v>
      </c>
      <c r="E3515" s="75"/>
      <c r="F3515" s="67">
        <v>4.921376543</v>
      </c>
      <c r="G3515" s="40">
        <v>2.118236717</v>
      </c>
      <c r="H3515" s="40"/>
      <c r="I3515" s="41">
        <v>0.441860465</v>
      </c>
      <c r="J3515" s="41">
        <v>0.186046512</v>
      </c>
      <c r="K3515" s="41">
        <v>0.372093023</v>
      </c>
      <c r="L3515" s="41"/>
      <c r="M3515" s="74">
        <v>3.349298272</v>
      </c>
    </row>
    <row r="3516">
      <c r="A3516" s="1" t="s">
        <v>320</v>
      </c>
      <c r="B3516" s="38">
        <v>681347.0</v>
      </c>
      <c r="C3516" s="72">
        <v>45885.0</v>
      </c>
      <c r="D3516" s="38">
        <v>67.0</v>
      </c>
      <c r="E3516" s="75"/>
      <c r="F3516" s="67">
        <v>4.921253324</v>
      </c>
      <c r="G3516" s="40">
        <v>1.674102142</v>
      </c>
      <c r="H3516" s="40"/>
      <c r="I3516" s="41">
        <v>0.388059701</v>
      </c>
      <c r="J3516" s="41">
        <v>0.223880597</v>
      </c>
      <c r="K3516" s="41">
        <v>0.388059701</v>
      </c>
      <c r="L3516" s="41"/>
      <c r="M3516" s="74">
        <v>0.110295926</v>
      </c>
    </row>
    <row r="3517">
      <c r="A3517" s="1" t="s">
        <v>205</v>
      </c>
      <c r="B3517" s="38">
        <v>666142.0</v>
      </c>
      <c r="C3517" s="72">
        <v>45771.0</v>
      </c>
      <c r="D3517" s="38">
        <v>61.0</v>
      </c>
      <c r="E3517" s="75"/>
      <c r="F3517" s="67">
        <v>4.920816757</v>
      </c>
      <c r="G3517" s="40">
        <v>1.493583241</v>
      </c>
      <c r="H3517" s="40"/>
      <c r="I3517" s="41">
        <v>0.475409836</v>
      </c>
      <c r="J3517" s="41">
        <v>0.131147541</v>
      </c>
      <c r="K3517" s="41">
        <v>0.393442623</v>
      </c>
      <c r="L3517" s="41"/>
      <c r="M3517" s="74">
        <v>-0.733186258</v>
      </c>
    </row>
    <row r="3518">
      <c r="A3518" s="1" t="s">
        <v>226</v>
      </c>
      <c r="B3518" s="38">
        <v>607259.0</v>
      </c>
      <c r="C3518" s="72">
        <v>45878.0</v>
      </c>
      <c r="D3518" s="38">
        <v>91.0</v>
      </c>
      <c r="E3518" s="75"/>
      <c r="F3518" s="67">
        <v>4.920670381</v>
      </c>
      <c r="G3518" s="40">
        <v>2.28470101</v>
      </c>
      <c r="H3518" s="40"/>
      <c r="I3518" s="41">
        <v>0.406593407</v>
      </c>
      <c r="J3518" s="41">
        <v>0.21978022</v>
      </c>
      <c r="K3518" s="41">
        <v>0.373626374</v>
      </c>
      <c r="L3518" s="41"/>
      <c r="M3518" s="74">
        <v>1.853091862</v>
      </c>
    </row>
    <row r="3519">
      <c r="A3519" s="1" t="s">
        <v>472</v>
      </c>
      <c r="B3519" s="38">
        <v>675911.0</v>
      </c>
      <c r="C3519" s="72">
        <v>45848.0</v>
      </c>
      <c r="D3519" s="38">
        <v>98.0</v>
      </c>
      <c r="E3519" s="75"/>
      <c r="F3519" s="67">
        <v>4.920422954</v>
      </c>
      <c r="G3519" s="40">
        <v>2.440405627</v>
      </c>
      <c r="H3519" s="40"/>
      <c r="I3519" s="41">
        <v>0.387755102</v>
      </c>
      <c r="J3519" s="41">
        <v>0.224489796</v>
      </c>
      <c r="K3519" s="41">
        <v>0.387755102</v>
      </c>
      <c r="L3519" s="41"/>
      <c r="M3519" s="74">
        <v>-0.756113231</v>
      </c>
    </row>
    <row r="3520">
      <c r="A3520" s="1" t="s">
        <v>434</v>
      </c>
      <c r="B3520" s="38">
        <v>690990.0</v>
      </c>
      <c r="C3520" s="72">
        <v>45875.0</v>
      </c>
      <c r="D3520" s="38">
        <v>65.0</v>
      </c>
      <c r="E3520" s="75"/>
      <c r="F3520" s="67">
        <v>4.919921566</v>
      </c>
      <c r="G3520" s="40">
        <v>1.650287757</v>
      </c>
      <c r="H3520" s="40"/>
      <c r="I3520" s="41">
        <v>0.369230769</v>
      </c>
      <c r="J3520" s="41">
        <v>0.246153846</v>
      </c>
      <c r="K3520" s="41">
        <v>0.384615385</v>
      </c>
      <c r="L3520" s="41"/>
      <c r="M3520" s="74">
        <v>3.376618987</v>
      </c>
    </row>
    <row r="3521">
      <c r="A3521" s="1" t="s">
        <v>325</v>
      </c>
      <c r="B3521" s="38">
        <v>676917.0</v>
      </c>
      <c r="C3521" s="72">
        <v>45908.0</v>
      </c>
      <c r="D3521" s="38">
        <v>61.0</v>
      </c>
      <c r="E3521" s="75"/>
      <c r="F3521" s="67">
        <v>4.919250467</v>
      </c>
      <c r="G3521" s="40">
        <v>1.544466604</v>
      </c>
      <c r="H3521" s="40"/>
      <c r="I3521" s="41">
        <v>0.508196721</v>
      </c>
      <c r="J3521" s="41">
        <v>0.114754098</v>
      </c>
      <c r="K3521" s="41">
        <v>0.37704918</v>
      </c>
      <c r="L3521" s="41"/>
      <c r="M3521" s="74">
        <v>-2.290775239</v>
      </c>
    </row>
    <row r="3522">
      <c r="A3522" s="1" t="s">
        <v>496</v>
      </c>
      <c r="B3522" s="38">
        <v>694477.0</v>
      </c>
      <c r="C3522" s="72">
        <v>45778.0</v>
      </c>
      <c r="D3522" s="38">
        <v>102.0</v>
      </c>
      <c r="E3522" s="75"/>
      <c r="F3522" s="67">
        <v>4.919233074</v>
      </c>
      <c r="G3522" s="40">
        <v>2.547561713</v>
      </c>
      <c r="H3522" s="40"/>
      <c r="I3522" s="41">
        <v>0.401960784</v>
      </c>
      <c r="J3522" s="41">
        <v>0.225490196</v>
      </c>
      <c r="K3522" s="41">
        <v>0.37254902</v>
      </c>
      <c r="L3522" s="41"/>
      <c r="M3522" s="74">
        <v>1.212887649</v>
      </c>
    </row>
    <row r="3523">
      <c r="A3523" s="1" t="s">
        <v>308</v>
      </c>
      <c r="B3523" s="38">
        <v>676440.0</v>
      </c>
      <c r="C3523" s="72">
        <v>45900.0</v>
      </c>
      <c r="D3523" s="38">
        <v>91.0</v>
      </c>
      <c r="E3523" s="75"/>
      <c r="F3523" s="67">
        <v>4.919197441</v>
      </c>
      <c r="G3523" s="40">
        <v>2.270802664</v>
      </c>
      <c r="H3523" s="40"/>
      <c r="I3523" s="41">
        <v>0.417582418</v>
      </c>
      <c r="J3523" s="41">
        <v>0.164835165</v>
      </c>
      <c r="K3523" s="41">
        <v>0.417582418</v>
      </c>
      <c r="L3523" s="41"/>
      <c r="M3523" s="74">
        <v>-1.213578572</v>
      </c>
    </row>
    <row r="3524">
      <c r="A3524" s="1" t="s">
        <v>336</v>
      </c>
      <c r="B3524" s="38">
        <v>605488.0</v>
      </c>
      <c r="C3524" s="72">
        <v>45880.0</v>
      </c>
      <c r="D3524" s="38">
        <v>86.0</v>
      </c>
      <c r="E3524" s="75"/>
      <c r="F3524" s="67">
        <v>4.919189782</v>
      </c>
      <c r="G3524" s="40">
        <v>2.120026742</v>
      </c>
      <c r="H3524" s="40"/>
      <c r="I3524" s="41">
        <v>0.465116279</v>
      </c>
      <c r="J3524" s="41">
        <v>0.151162791</v>
      </c>
      <c r="K3524" s="41">
        <v>0.38372093</v>
      </c>
      <c r="L3524" s="41"/>
      <c r="M3524" s="74">
        <v>-2.505700839</v>
      </c>
    </row>
    <row r="3525">
      <c r="A3525" s="1" t="s">
        <v>394</v>
      </c>
      <c r="B3525" s="38">
        <v>621121.0</v>
      </c>
      <c r="C3525" s="72">
        <v>45793.0</v>
      </c>
      <c r="D3525" s="38">
        <v>80.0</v>
      </c>
      <c r="E3525" s="75"/>
      <c r="F3525" s="67">
        <v>4.919122313</v>
      </c>
      <c r="G3525" s="40">
        <v>1.968794439</v>
      </c>
      <c r="H3525" s="40"/>
      <c r="I3525" s="41">
        <v>0.3375</v>
      </c>
      <c r="J3525" s="41">
        <v>0.325</v>
      </c>
      <c r="K3525" s="41">
        <v>0.3375</v>
      </c>
      <c r="L3525" s="41"/>
      <c r="M3525" s="74">
        <v>1.720995234</v>
      </c>
    </row>
    <row r="3526">
      <c r="A3526" s="1" t="s">
        <v>269</v>
      </c>
      <c r="B3526" s="38">
        <v>605280.0</v>
      </c>
      <c r="C3526" s="72">
        <v>45743.0</v>
      </c>
      <c r="D3526" s="38">
        <v>86.0</v>
      </c>
      <c r="E3526" s="75"/>
      <c r="F3526" s="67">
        <v>4.918826038</v>
      </c>
      <c r="G3526" s="40">
        <v>2.108721194</v>
      </c>
      <c r="H3526" s="40"/>
      <c r="I3526" s="41">
        <v>0.5</v>
      </c>
      <c r="J3526" s="41">
        <v>0.151162791</v>
      </c>
      <c r="K3526" s="41">
        <v>0.348837209</v>
      </c>
      <c r="L3526" s="41"/>
      <c r="M3526" s="74">
        <v>0.121608394</v>
      </c>
    </row>
    <row r="3527">
      <c r="A3527" s="1" t="s">
        <v>408</v>
      </c>
      <c r="B3527" s="38">
        <v>657376.0</v>
      </c>
      <c r="C3527" s="72">
        <v>45789.0</v>
      </c>
      <c r="D3527" s="38">
        <v>84.0</v>
      </c>
      <c r="E3527" s="75"/>
      <c r="F3527" s="67">
        <v>4.918808767</v>
      </c>
      <c r="G3527" s="40">
        <v>2.089865357</v>
      </c>
      <c r="H3527" s="40"/>
      <c r="I3527" s="41">
        <v>0.428571429</v>
      </c>
      <c r="J3527" s="41">
        <v>0.226190476</v>
      </c>
      <c r="K3527" s="41">
        <v>0.345238095</v>
      </c>
      <c r="L3527" s="41"/>
      <c r="M3527" s="74">
        <v>2.090924381</v>
      </c>
    </row>
    <row r="3528">
      <c r="A3528" s="1" t="s">
        <v>344</v>
      </c>
      <c r="B3528" s="38">
        <v>701542.0</v>
      </c>
      <c r="C3528" s="72">
        <v>45791.0</v>
      </c>
      <c r="D3528" s="38">
        <v>84.0</v>
      </c>
      <c r="E3528" s="75"/>
      <c r="F3528" s="67">
        <v>4.918465179</v>
      </c>
      <c r="G3528" s="40">
        <v>2.040958459</v>
      </c>
      <c r="H3528" s="40"/>
      <c r="I3528" s="41">
        <v>0.44047619</v>
      </c>
      <c r="J3528" s="41">
        <v>0.142857143</v>
      </c>
      <c r="K3528" s="41">
        <v>0.416666667</v>
      </c>
      <c r="L3528" s="41"/>
      <c r="M3528" s="74">
        <v>-0.695006413</v>
      </c>
    </row>
    <row r="3529">
      <c r="A3529" s="1" t="s">
        <v>105</v>
      </c>
      <c r="B3529" s="38">
        <v>624133.0</v>
      </c>
      <c r="C3529" s="72">
        <v>45921.0</v>
      </c>
      <c r="D3529" s="38">
        <v>79.0</v>
      </c>
      <c r="E3529" s="75"/>
      <c r="F3529" s="67">
        <v>4.9184291</v>
      </c>
      <c r="G3529" s="40">
        <v>1.993795487</v>
      </c>
      <c r="H3529" s="40"/>
      <c r="I3529" s="41">
        <v>0.367088608</v>
      </c>
      <c r="J3529" s="41">
        <v>0.240506329</v>
      </c>
      <c r="K3529" s="41">
        <v>0.392405063</v>
      </c>
      <c r="L3529" s="41"/>
      <c r="M3529" s="74">
        <v>-2.126929278</v>
      </c>
    </row>
    <row r="3530">
      <c r="A3530" s="1" t="s">
        <v>290</v>
      </c>
      <c r="B3530" s="38">
        <v>669461.0</v>
      </c>
      <c r="C3530" s="72">
        <v>45893.0</v>
      </c>
      <c r="D3530" s="38">
        <v>69.0</v>
      </c>
      <c r="E3530" s="75"/>
      <c r="F3530" s="67">
        <v>4.917539231</v>
      </c>
      <c r="G3530" s="40">
        <v>1.725097442</v>
      </c>
      <c r="H3530" s="40"/>
      <c r="I3530" s="41">
        <v>0.449275362</v>
      </c>
      <c r="J3530" s="41">
        <v>0.173913043</v>
      </c>
      <c r="K3530" s="41">
        <v>0.376811594</v>
      </c>
      <c r="L3530" s="41"/>
      <c r="M3530" s="74">
        <v>0.45635782</v>
      </c>
    </row>
    <row r="3531">
      <c r="A3531" s="1" t="s">
        <v>379</v>
      </c>
      <c r="B3531" s="38">
        <v>593423.0</v>
      </c>
      <c r="C3531" s="72">
        <v>45850.0</v>
      </c>
      <c r="D3531" s="38">
        <v>81.0</v>
      </c>
      <c r="E3531" s="75"/>
      <c r="F3531" s="67">
        <v>4.916816968</v>
      </c>
      <c r="G3531" s="40">
        <v>2.000048177</v>
      </c>
      <c r="H3531" s="40"/>
      <c r="I3531" s="41">
        <v>0.345679012</v>
      </c>
      <c r="J3531" s="41">
        <v>0.283950617</v>
      </c>
      <c r="K3531" s="41">
        <v>0.37037037</v>
      </c>
      <c r="L3531" s="41"/>
      <c r="M3531" s="74">
        <v>0.972819042</v>
      </c>
    </row>
    <row r="3532">
      <c r="A3532" s="1" t="s">
        <v>195</v>
      </c>
      <c r="B3532" s="38">
        <v>668678.0</v>
      </c>
      <c r="C3532" s="72">
        <v>45778.0</v>
      </c>
      <c r="D3532" s="38">
        <v>86.0</v>
      </c>
      <c r="E3532" s="75"/>
      <c r="F3532" s="67">
        <v>4.916808178</v>
      </c>
      <c r="G3532" s="40">
        <v>2.157385275</v>
      </c>
      <c r="H3532" s="40"/>
      <c r="I3532" s="41">
        <v>0.476744186</v>
      </c>
      <c r="J3532" s="41">
        <v>0.151162791</v>
      </c>
      <c r="K3532" s="41">
        <v>0.372093023</v>
      </c>
      <c r="L3532" s="41"/>
      <c r="M3532" s="74">
        <v>3.130176378</v>
      </c>
    </row>
    <row r="3533">
      <c r="A3533" s="1" t="s">
        <v>425</v>
      </c>
      <c r="B3533" s="38">
        <v>621244.0</v>
      </c>
      <c r="C3533" s="72">
        <v>45795.0</v>
      </c>
      <c r="D3533" s="38">
        <v>77.0</v>
      </c>
      <c r="E3533" s="75"/>
      <c r="F3533" s="67">
        <v>4.916660136</v>
      </c>
      <c r="G3533" s="40">
        <v>1.964172357</v>
      </c>
      <c r="H3533" s="40"/>
      <c r="I3533" s="41">
        <v>0.506493506</v>
      </c>
      <c r="J3533" s="41">
        <v>0.155844156</v>
      </c>
      <c r="K3533" s="41">
        <v>0.337662338</v>
      </c>
      <c r="L3533" s="41"/>
      <c r="M3533" s="74">
        <v>-3.164320168</v>
      </c>
    </row>
    <row r="3534">
      <c r="A3534" s="1" t="s">
        <v>173</v>
      </c>
      <c r="B3534" s="38">
        <v>641927.0</v>
      </c>
      <c r="C3534" s="72">
        <v>45878.0</v>
      </c>
      <c r="D3534" s="38">
        <v>85.0</v>
      </c>
      <c r="E3534" s="75"/>
      <c r="F3534" s="67">
        <v>4.916551856</v>
      </c>
      <c r="G3534" s="40">
        <v>2.111781315</v>
      </c>
      <c r="H3534" s="40"/>
      <c r="I3534" s="41">
        <v>0.376470588</v>
      </c>
      <c r="J3534" s="41">
        <v>0.247058824</v>
      </c>
      <c r="K3534" s="41">
        <v>0.376470588</v>
      </c>
      <c r="L3534" s="41"/>
      <c r="M3534" s="74">
        <v>0.731694858</v>
      </c>
    </row>
    <row r="3535">
      <c r="A3535" s="1" t="s">
        <v>457</v>
      </c>
      <c r="B3535" s="38">
        <v>477132.0</v>
      </c>
      <c r="C3535" s="72">
        <v>45840.0</v>
      </c>
      <c r="D3535" s="38">
        <v>96.0</v>
      </c>
      <c r="E3535" s="75"/>
      <c r="F3535" s="67">
        <v>4.916181712</v>
      </c>
      <c r="G3535" s="40">
        <v>2.401233146</v>
      </c>
      <c r="H3535" s="40"/>
      <c r="I3535" s="41">
        <v>0.4375</v>
      </c>
      <c r="J3535" s="41">
        <v>0.208333333</v>
      </c>
      <c r="K3535" s="41">
        <v>0.354166667</v>
      </c>
      <c r="L3535" s="41"/>
      <c r="M3535" s="74">
        <v>-2.451799959</v>
      </c>
    </row>
    <row r="3536">
      <c r="A3536" s="1" t="s">
        <v>145</v>
      </c>
      <c r="B3536" s="38">
        <v>700241.0</v>
      </c>
      <c r="C3536" s="72">
        <v>45922.0</v>
      </c>
      <c r="D3536" s="38">
        <v>88.0</v>
      </c>
      <c r="E3536" s="75"/>
      <c r="F3536" s="67">
        <v>4.916156643</v>
      </c>
      <c r="G3536" s="40">
        <v>2.220393569</v>
      </c>
      <c r="H3536" s="40"/>
      <c r="I3536" s="41">
        <v>0.363636364</v>
      </c>
      <c r="J3536" s="41">
        <v>0.238636364</v>
      </c>
      <c r="K3536" s="41">
        <v>0.397727273</v>
      </c>
      <c r="L3536" s="41"/>
      <c r="M3536" s="74">
        <v>-0.925101672</v>
      </c>
    </row>
    <row r="3537">
      <c r="A3537" s="1" t="s">
        <v>364</v>
      </c>
      <c r="B3537" s="38">
        <v>693855.0</v>
      </c>
      <c r="C3537" s="72">
        <v>45911.0</v>
      </c>
      <c r="D3537" s="38">
        <v>89.0</v>
      </c>
      <c r="E3537" s="75"/>
      <c r="F3537" s="67">
        <v>4.916046812</v>
      </c>
      <c r="G3537" s="40">
        <v>2.224652603</v>
      </c>
      <c r="H3537" s="40"/>
      <c r="I3537" s="41">
        <v>0.382022472</v>
      </c>
      <c r="J3537" s="41">
        <v>0.191011236</v>
      </c>
      <c r="K3537" s="41">
        <v>0.426966292</v>
      </c>
      <c r="L3537" s="41"/>
      <c r="M3537" s="74">
        <v>2.570275048</v>
      </c>
    </row>
    <row r="3538">
      <c r="A3538" s="1" t="s">
        <v>405</v>
      </c>
      <c r="B3538" s="38">
        <v>621111.0</v>
      </c>
      <c r="C3538" s="72">
        <v>45745.0</v>
      </c>
      <c r="D3538" s="38">
        <v>76.0</v>
      </c>
      <c r="E3538" s="75"/>
      <c r="F3538" s="67">
        <v>4.915957162</v>
      </c>
      <c r="G3538" s="40">
        <v>1.880048889</v>
      </c>
      <c r="H3538" s="40"/>
      <c r="I3538" s="41">
        <v>0.460526316</v>
      </c>
      <c r="J3538" s="41">
        <v>0.157894737</v>
      </c>
      <c r="K3538" s="41">
        <v>0.381578947</v>
      </c>
      <c r="L3538" s="41"/>
      <c r="M3538" s="74">
        <v>-1.78663518</v>
      </c>
    </row>
    <row r="3539">
      <c r="A3539" s="1" t="s">
        <v>412</v>
      </c>
      <c r="B3539" s="38">
        <v>641482.0</v>
      </c>
      <c r="C3539" s="72">
        <v>45745.0</v>
      </c>
      <c r="D3539" s="38">
        <v>63.0</v>
      </c>
      <c r="E3539" s="75"/>
      <c r="F3539" s="67">
        <v>4.915648647</v>
      </c>
      <c r="G3539" s="40">
        <v>1.559028215</v>
      </c>
      <c r="H3539" s="40"/>
      <c r="I3539" s="41">
        <v>0.428571429</v>
      </c>
      <c r="J3539" s="41">
        <v>0.19047619</v>
      </c>
      <c r="K3539" s="41">
        <v>0.380952381</v>
      </c>
      <c r="L3539" s="41"/>
      <c r="M3539" s="74">
        <v>-3.185836919</v>
      </c>
    </row>
    <row r="3540">
      <c r="A3540" s="1" t="s">
        <v>405</v>
      </c>
      <c r="B3540" s="38">
        <v>621111.0</v>
      </c>
      <c r="C3540" s="72">
        <v>45808.0</v>
      </c>
      <c r="D3540" s="38">
        <v>104.0</v>
      </c>
      <c r="E3540" s="75"/>
      <c r="F3540" s="67">
        <v>4.915600158</v>
      </c>
      <c r="G3540" s="40">
        <v>2.597087827</v>
      </c>
      <c r="H3540" s="40"/>
      <c r="I3540" s="41">
        <v>0.413461538</v>
      </c>
      <c r="J3540" s="41">
        <v>0.192307692</v>
      </c>
      <c r="K3540" s="41">
        <v>0.394230769</v>
      </c>
      <c r="L3540" s="41"/>
      <c r="M3540" s="74">
        <v>-2.410504594</v>
      </c>
    </row>
    <row r="3541">
      <c r="A3541" s="1" t="s">
        <v>452</v>
      </c>
      <c r="B3541" s="38">
        <v>607625.0</v>
      </c>
      <c r="C3541" s="72">
        <v>45783.0</v>
      </c>
      <c r="D3541" s="38">
        <v>94.0</v>
      </c>
      <c r="E3541" s="75"/>
      <c r="F3541" s="67">
        <v>4.915397552</v>
      </c>
      <c r="G3541" s="40">
        <v>2.375944436</v>
      </c>
      <c r="H3541" s="40"/>
      <c r="I3541" s="41">
        <v>0.468085106</v>
      </c>
      <c r="J3541" s="41">
        <v>0.180851064</v>
      </c>
      <c r="K3541" s="41">
        <v>0.35106383</v>
      </c>
      <c r="L3541" s="41"/>
      <c r="M3541" s="74">
        <v>-1.483303542</v>
      </c>
    </row>
    <row r="3542">
      <c r="A3542" s="1" t="s">
        <v>597</v>
      </c>
      <c r="B3542" s="38">
        <v>687931.0</v>
      </c>
      <c r="C3542" s="72">
        <v>45896.0</v>
      </c>
      <c r="D3542" s="38">
        <v>78.0</v>
      </c>
      <c r="E3542" s="75"/>
      <c r="F3542" s="67">
        <v>4.915296663</v>
      </c>
      <c r="G3542" s="40">
        <v>1.969874474</v>
      </c>
      <c r="H3542" s="40"/>
      <c r="I3542" s="41">
        <v>0.448717949</v>
      </c>
      <c r="J3542" s="41">
        <v>0.230769231</v>
      </c>
      <c r="K3542" s="41">
        <v>0.320512821</v>
      </c>
      <c r="L3542" s="41"/>
      <c r="M3542" s="74">
        <v>0.178582412</v>
      </c>
    </row>
    <row r="3543">
      <c r="A3543" s="1" t="s">
        <v>302</v>
      </c>
      <c r="B3543" s="38">
        <v>681190.0</v>
      </c>
      <c r="C3543" s="72">
        <v>45756.0</v>
      </c>
      <c r="D3543" s="38">
        <v>61.0</v>
      </c>
      <c r="E3543" s="75"/>
      <c r="F3543" s="67">
        <v>4.915287942</v>
      </c>
      <c r="G3543" s="40">
        <v>1.525370009</v>
      </c>
      <c r="H3543" s="40"/>
      <c r="I3543" s="41">
        <v>0.475409836</v>
      </c>
      <c r="J3543" s="41">
        <v>0.180327869</v>
      </c>
      <c r="K3543" s="41">
        <v>0.344262295</v>
      </c>
      <c r="L3543" s="41"/>
      <c r="M3543" s="74">
        <v>2.457571733</v>
      </c>
    </row>
    <row r="3544">
      <c r="A3544" s="1" t="s">
        <v>180</v>
      </c>
      <c r="B3544" s="38">
        <v>642547.0</v>
      </c>
      <c r="C3544" s="72">
        <v>45887.0</v>
      </c>
      <c r="D3544" s="38">
        <v>94.0</v>
      </c>
      <c r="E3544" s="75"/>
      <c r="F3544" s="67">
        <v>4.915257527</v>
      </c>
      <c r="G3544" s="40">
        <v>2.315591626</v>
      </c>
      <c r="H3544" s="40"/>
      <c r="I3544" s="41">
        <v>0.489361702</v>
      </c>
      <c r="J3544" s="41">
        <v>0.095744681</v>
      </c>
      <c r="K3544" s="41">
        <v>0.414893617</v>
      </c>
      <c r="L3544" s="41"/>
      <c r="M3544" s="74">
        <v>4.084186031</v>
      </c>
    </row>
    <row r="3545">
      <c r="A3545" s="1" t="s">
        <v>93</v>
      </c>
      <c r="B3545" s="38">
        <v>669194.0</v>
      </c>
      <c r="C3545" s="72">
        <v>45815.0</v>
      </c>
      <c r="D3545" s="38">
        <v>75.0</v>
      </c>
      <c r="E3545" s="75"/>
      <c r="F3545" s="67">
        <v>4.915102811</v>
      </c>
      <c r="G3545" s="40">
        <v>1.859602513</v>
      </c>
      <c r="H3545" s="40"/>
      <c r="I3545" s="41">
        <v>0.44</v>
      </c>
      <c r="J3545" s="41">
        <v>0.2</v>
      </c>
      <c r="K3545" s="41">
        <v>0.36</v>
      </c>
      <c r="L3545" s="41"/>
      <c r="M3545" s="74">
        <v>0.99054905</v>
      </c>
    </row>
    <row r="3546">
      <c r="A3546" s="1" t="s">
        <v>264</v>
      </c>
      <c r="B3546" s="38">
        <v>669920.0</v>
      </c>
      <c r="C3546" s="72">
        <v>45867.0</v>
      </c>
      <c r="D3546" s="38">
        <v>79.0</v>
      </c>
      <c r="E3546" s="75"/>
      <c r="F3546" s="67">
        <v>4.914997253</v>
      </c>
      <c r="G3546" s="40">
        <v>1.939866673</v>
      </c>
      <c r="H3546" s="40"/>
      <c r="I3546" s="41">
        <v>0.481012658</v>
      </c>
      <c r="J3546" s="41">
        <v>0.164556962</v>
      </c>
      <c r="K3546" s="41">
        <v>0.35443038</v>
      </c>
      <c r="L3546" s="41"/>
      <c r="M3546" s="74">
        <v>-0.965712959</v>
      </c>
    </row>
    <row r="3547">
      <c r="A3547" s="1" t="s">
        <v>330</v>
      </c>
      <c r="B3547" s="38">
        <v>680730.0</v>
      </c>
      <c r="C3547" s="72">
        <v>45752.0</v>
      </c>
      <c r="D3547" s="38">
        <v>82.0</v>
      </c>
      <c r="E3547" s="75"/>
      <c r="F3547" s="67">
        <v>4.914907987</v>
      </c>
      <c r="G3547" s="40">
        <v>2.063649777</v>
      </c>
      <c r="H3547" s="40"/>
      <c r="I3547" s="41">
        <v>0.463414634</v>
      </c>
      <c r="J3547" s="41">
        <v>0.146341463</v>
      </c>
      <c r="K3547" s="41">
        <v>0.390243902</v>
      </c>
      <c r="L3547" s="41"/>
      <c r="M3547" s="74">
        <v>1.736395868</v>
      </c>
    </row>
    <row r="3548">
      <c r="A3548" s="1" t="s">
        <v>189</v>
      </c>
      <c r="B3548" s="38">
        <v>607536.0</v>
      </c>
      <c r="C3548" s="72">
        <v>45835.0</v>
      </c>
      <c r="D3548" s="38">
        <v>66.0</v>
      </c>
      <c r="E3548" s="75"/>
      <c r="F3548" s="67">
        <v>4.914666385</v>
      </c>
      <c r="G3548" s="40">
        <v>1.666312073</v>
      </c>
      <c r="H3548" s="40"/>
      <c r="I3548" s="41">
        <v>0.439393939</v>
      </c>
      <c r="J3548" s="41">
        <v>0.227272727</v>
      </c>
      <c r="K3548" s="41">
        <v>0.333333333</v>
      </c>
      <c r="L3548" s="41"/>
      <c r="M3548" s="74">
        <v>-3.637240412</v>
      </c>
    </row>
    <row r="3549">
      <c r="A3549" s="1" t="s">
        <v>321</v>
      </c>
      <c r="B3549" s="38">
        <v>607200.0</v>
      </c>
      <c r="C3549" s="72">
        <v>45891.0</v>
      </c>
      <c r="D3549" s="38">
        <v>89.0</v>
      </c>
      <c r="E3549" s="75"/>
      <c r="F3549" s="67">
        <v>4.914443211</v>
      </c>
      <c r="G3549" s="40">
        <v>2.235167761</v>
      </c>
      <c r="H3549" s="40"/>
      <c r="I3549" s="41">
        <v>0.415730337</v>
      </c>
      <c r="J3549" s="41">
        <v>0.179775281</v>
      </c>
      <c r="K3549" s="41">
        <v>0.404494382</v>
      </c>
      <c r="L3549" s="41"/>
      <c r="M3549" s="74">
        <v>-4.379078948</v>
      </c>
    </row>
    <row r="3550">
      <c r="A3550" s="1" t="s">
        <v>355</v>
      </c>
      <c r="B3550" s="38">
        <v>670912.0</v>
      </c>
      <c r="C3550" s="72">
        <v>45889.0</v>
      </c>
      <c r="D3550" s="38">
        <v>72.0</v>
      </c>
      <c r="E3550" s="75"/>
      <c r="F3550" s="67">
        <v>4.914406967</v>
      </c>
      <c r="G3550" s="40">
        <v>1.782697772</v>
      </c>
      <c r="H3550" s="40"/>
      <c r="I3550" s="41">
        <v>0.486111111</v>
      </c>
      <c r="J3550" s="41">
        <v>0.138888889</v>
      </c>
      <c r="K3550" s="41">
        <v>0.375</v>
      </c>
      <c r="L3550" s="41"/>
      <c r="M3550" s="74">
        <v>1.473688838</v>
      </c>
    </row>
    <row r="3551">
      <c r="A3551" s="1" t="s">
        <v>205</v>
      </c>
      <c r="B3551" s="38">
        <v>666142.0</v>
      </c>
      <c r="C3551" s="72">
        <v>45765.0</v>
      </c>
      <c r="D3551" s="38">
        <v>95.0</v>
      </c>
      <c r="E3551" s="75"/>
      <c r="F3551" s="67">
        <v>4.914370728</v>
      </c>
      <c r="G3551" s="40">
        <v>2.344793495</v>
      </c>
      <c r="H3551" s="40"/>
      <c r="I3551" s="41">
        <v>0.494736842</v>
      </c>
      <c r="J3551" s="41">
        <v>0.126315789</v>
      </c>
      <c r="K3551" s="41">
        <v>0.378947368</v>
      </c>
      <c r="L3551" s="41"/>
      <c r="M3551" s="74">
        <v>-1.419037352</v>
      </c>
    </row>
    <row r="3552">
      <c r="A3552" s="1" t="s">
        <v>169</v>
      </c>
      <c r="B3552" s="38">
        <v>671096.0</v>
      </c>
      <c r="C3552" s="72">
        <v>45899.0</v>
      </c>
      <c r="D3552" s="38">
        <v>94.0</v>
      </c>
      <c r="E3552" s="75"/>
      <c r="F3552" s="67">
        <v>4.913557285</v>
      </c>
      <c r="G3552" s="40">
        <v>2.337394074</v>
      </c>
      <c r="H3552" s="40"/>
      <c r="I3552" s="41">
        <v>0.457446809</v>
      </c>
      <c r="J3552" s="41">
        <v>0.138297872</v>
      </c>
      <c r="K3552" s="41">
        <v>0.404255319</v>
      </c>
      <c r="L3552" s="41"/>
      <c r="M3552" s="74">
        <v>1.533209842</v>
      </c>
    </row>
    <row r="3553">
      <c r="A3553" s="1" t="s">
        <v>77</v>
      </c>
      <c r="B3553" s="38">
        <v>657277.0</v>
      </c>
      <c r="C3553" s="72">
        <v>45843.0</v>
      </c>
      <c r="D3553" s="38">
        <v>108.0</v>
      </c>
      <c r="E3553" s="75"/>
      <c r="F3553" s="67">
        <v>4.913554141</v>
      </c>
      <c r="G3553" s="40">
        <v>2.665228421</v>
      </c>
      <c r="H3553" s="40"/>
      <c r="I3553" s="41">
        <v>0.490740741</v>
      </c>
      <c r="J3553" s="41">
        <v>0.138888889</v>
      </c>
      <c r="K3553" s="41">
        <v>0.37037037</v>
      </c>
      <c r="L3553" s="41"/>
      <c r="M3553" s="74">
        <v>-0.875955233</v>
      </c>
    </row>
    <row r="3554">
      <c r="A3554" s="1" t="s">
        <v>335</v>
      </c>
      <c r="B3554" s="38">
        <v>663436.0</v>
      </c>
      <c r="C3554" s="72">
        <v>45752.0</v>
      </c>
      <c r="D3554" s="38">
        <v>88.0</v>
      </c>
      <c r="E3554" s="75"/>
      <c r="F3554" s="67">
        <v>4.913467663</v>
      </c>
      <c r="G3554" s="40">
        <v>2.205485345</v>
      </c>
      <c r="H3554" s="40"/>
      <c r="I3554" s="41">
        <v>0.409090909</v>
      </c>
      <c r="J3554" s="41">
        <v>0.215909091</v>
      </c>
      <c r="K3554" s="41">
        <v>0.375</v>
      </c>
      <c r="L3554" s="41"/>
      <c r="M3554" s="74">
        <v>-4.064164312</v>
      </c>
    </row>
    <row r="3555">
      <c r="A3555" s="1" t="s">
        <v>96</v>
      </c>
      <c r="B3555" s="38">
        <v>690986.0</v>
      </c>
      <c r="C3555" s="72">
        <v>45818.0</v>
      </c>
      <c r="D3555" s="38">
        <v>85.0</v>
      </c>
      <c r="E3555" s="75"/>
      <c r="F3555" s="67">
        <v>4.91326271</v>
      </c>
      <c r="G3555" s="40">
        <v>2.090313278</v>
      </c>
      <c r="H3555" s="40"/>
      <c r="I3555" s="41">
        <v>0.376470588</v>
      </c>
      <c r="J3555" s="41">
        <v>0.223529412</v>
      </c>
      <c r="K3555" s="41">
        <v>0.4</v>
      </c>
      <c r="L3555" s="41"/>
      <c r="M3555" s="74">
        <v>1.100299027</v>
      </c>
    </row>
    <row r="3556">
      <c r="A3556" s="1" t="s">
        <v>450</v>
      </c>
      <c r="B3556" s="38">
        <v>682990.0</v>
      </c>
      <c r="C3556" s="72">
        <v>45861.0</v>
      </c>
      <c r="D3556" s="38">
        <v>95.0</v>
      </c>
      <c r="E3556" s="75"/>
      <c r="F3556" s="67">
        <v>4.913213117</v>
      </c>
      <c r="G3556" s="40">
        <v>2.413601836</v>
      </c>
      <c r="H3556" s="40"/>
      <c r="I3556" s="41">
        <v>0.452631579</v>
      </c>
      <c r="J3556" s="41">
        <v>0.178947368</v>
      </c>
      <c r="K3556" s="41">
        <v>0.368421053</v>
      </c>
      <c r="L3556" s="41"/>
      <c r="M3556" s="74">
        <v>0.357675125</v>
      </c>
    </row>
    <row r="3557">
      <c r="A3557" s="1" t="s">
        <v>516</v>
      </c>
      <c r="B3557" s="38">
        <v>700363.0</v>
      </c>
      <c r="C3557" s="72">
        <v>45787.0</v>
      </c>
      <c r="D3557" s="38">
        <v>96.0</v>
      </c>
      <c r="E3557" s="75"/>
      <c r="F3557" s="67">
        <v>4.913052433</v>
      </c>
      <c r="G3557" s="40">
        <v>2.380558731</v>
      </c>
      <c r="H3557" s="40"/>
      <c r="I3557" s="41">
        <v>0.416666667</v>
      </c>
      <c r="J3557" s="41">
        <v>0.177083333</v>
      </c>
      <c r="K3557" s="41">
        <v>0.40625</v>
      </c>
      <c r="L3557" s="41"/>
      <c r="M3557" s="74">
        <v>0.109999836</v>
      </c>
    </row>
    <row r="3558">
      <c r="A3558" s="1" t="s">
        <v>454</v>
      </c>
      <c r="B3558" s="38">
        <v>674370.0</v>
      </c>
      <c r="C3558" s="72">
        <v>45921.0</v>
      </c>
      <c r="D3558" s="38">
        <v>61.0</v>
      </c>
      <c r="E3558" s="75"/>
      <c r="F3558" s="67">
        <v>4.91244115</v>
      </c>
      <c r="G3558" s="40">
        <v>1.514716868</v>
      </c>
      <c r="H3558" s="40"/>
      <c r="I3558" s="41">
        <v>0.360655738</v>
      </c>
      <c r="J3558" s="41">
        <v>0.229508197</v>
      </c>
      <c r="K3558" s="41">
        <v>0.409836066</v>
      </c>
      <c r="L3558" s="41"/>
      <c r="M3558" s="74">
        <v>-0.650074027</v>
      </c>
    </row>
    <row r="3559">
      <c r="A3559" s="1" t="s">
        <v>513</v>
      </c>
      <c r="B3559" s="38">
        <v>608566.0</v>
      </c>
      <c r="C3559" s="72">
        <v>45794.0</v>
      </c>
      <c r="D3559" s="38">
        <v>81.0</v>
      </c>
      <c r="E3559" s="75"/>
      <c r="F3559" s="67">
        <v>4.912323373</v>
      </c>
      <c r="G3559" s="40">
        <v>2.042106761</v>
      </c>
      <c r="H3559" s="40"/>
      <c r="I3559" s="41">
        <v>0.481481481</v>
      </c>
      <c r="J3559" s="41">
        <v>0.172839506</v>
      </c>
      <c r="K3559" s="41">
        <v>0.345679012</v>
      </c>
      <c r="L3559" s="41"/>
      <c r="M3559" s="74">
        <v>-1.810211269</v>
      </c>
    </row>
    <row r="3560">
      <c r="A3560" s="1" t="s">
        <v>222</v>
      </c>
      <c r="B3560" s="38">
        <v>518876.0</v>
      </c>
      <c r="C3560" s="72">
        <v>45840.0</v>
      </c>
      <c r="D3560" s="38">
        <v>90.0</v>
      </c>
      <c r="E3560" s="75"/>
      <c r="F3560" s="67">
        <v>4.912285131</v>
      </c>
      <c r="G3560" s="40">
        <v>2.243755205</v>
      </c>
      <c r="H3560" s="40"/>
      <c r="I3560" s="41">
        <v>0.422222222</v>
      </c>
      <c r="J3560" s="41">
        <v>0.2</v>
      </c>
      <c r="K3560" s="41">
        <v>0.377777778</v>
      </c>
      <c r="L3560" s="41"/>
      <c r="M3560" s="74">
        <v>0.209163522</v>
      </c>
    </row>
    <row r="3561">
      <c r="A3561" s="1" t="s">
        <v>325</v>
      </c>
      <c r="B3561" s="38">
        <v>676917.0</v>
      </c>
      <c r="C3561" s="72">
        <v>45880.0</v>
      </c>
      <c r="D3561" s="38">
        <v>88.0</v>
      </c>
      <c r="E3561" s="75"/>
      <c r="F3561" s="67">
        <v>4.91202493</v>
      </c>
      <c r="G3561" s="40">
        <v>2.218095806</v>
      </c>
      <c r="H3561" s="40"/>
      <c r="I3561" s="41">
        <v>0.477272727</v>
      </c>
      <c r="J3561" s="41">
        <v>0.079545455</v>
      </c>
      <c r="K3561" s="41">
        <v>0.443181818</v>
      </c>
      <c r="L3561" s="41"/>
      <c r="M3561" s="74">
        <v>-2.845891362</v>
      </c>
    </row>
    <row r="3562">
      <c r="A3562" s="1" t="s">
        <v>287</v>
      </c>
      <c r="B3562" s="38">
        <v>571945.0</v>
      </c>
      <c r="C3562" s="72">
        <v>45770.0</v>
      </c>
      <c r="D3562" s="38">
        <v>85.0</v>
      </c>
      <c r="E3562" s="75"/>
      <c r="F3562" s="67">
        <v>4.911801938</v>
      </c>
      <c r="G3562" s="40">
        <v>2.134753691</v>
      </c>
      <c r="H3562" s="40"/>
      <c r="I3562" s="41">
        <v>0.435294118</v>
      </c>
      <c r="J3562" s="41">
        <v>0.211764706</v>
      </c>
      <c r="K3562" s="41">
        <v>0.352941176</v>
      </c>
      <c r="L3562" s="41"/>
      <c r="M3562" s="74">
        <v>-0.765272027</v>
      </c>
    </row>
    <row r="3563">
      <c r="A3563" s="1" t="s">
        <v>169</v>
      </c>
      <c r="B3563" s="38">
        <v>671096.0</v>
      </c>
      <c r="C3563" s="72">
        <v>45864.0</v>
      </c>
      <c r="D3563" s="38">
        <v>93.0</v>
      </c>
      <c r="E3563" s="75"/>
      <c r="F3563" s="67">
        <v>4.911702911</v>
      </c>
      <c r="G3563" s="40">
        <v>2.314206784</v>
      </c>
      <c r="H3563" s="40"/>
      <c r="I3563" s="41">
        <v>0.376344086</v>
      </c>
      <c r="J3563" s="41">
        <v>0.225806452</v>
      </c>
      <c r="K3563" s="41">
        <v>0.397849462</v>
      </c>
      <c r="L3563" s="41"/>
      <c r="M3563" s="74">
        <v>3.179755869</v>
      </c>
    </row>
    <row r="3564">
      <c r="A3564" s="1" t="s">
        <v>363</v>
      </c>
      <c r="B3564" s="38">
        <v>693645.0</v>
      </c>
      <c r="C3564" s="72">
        <v>45927.0</v>
      </c>
      <c r="D3564" s="38">
        <v>89.0</v>
      </c>
      <c r="E3564" s="75"/>
      <c r="F3564" s="67">
        <v>4.911509496</v>
      </c>
      <c r="G3564" s="40">
        <v>2.252644183</v>
      </c>
      <c r="H3564" s="40"/>
      <c r="I3564" s="41">
        <v>0.483146067</v>
      </c>
      <c r="J3564" s="41">
        <v>0.112359551</v>
      </c>
      <c r="K3564" s="41">
        <v>0.404494382</v>
      </c>
      <c r="L3564" s="41"/>
      <c r="M3564" s="74">
        <v>2.552754126</v>
      </c>
    </row>
    <row r="3565">
      <c r="A3565" s="1" t="s">
        <v>353</v>
      </c>
      <c r="B3565" s="38">
        <v>663903.0</v>
      </c>
      <c r="C3565" s="72">
        <v>45850.0</v>
      </c>
      <c r="D3565" s="38">
        <v>91.0</v>
      </c>
      <c r="E3565" s="75"/>
      <c r="F3565" s="67">
        <v>4.911484293</v>
      </c>
      <c r="G3565" s="40">
        <v>2.280632559</v>
      </c>
      <c r="H3565" s="40"/>
      <c r="I3565" s="41">
        <v>0.417582418</v>
      </c>
      <c r="J3565" s="41">
        <v>0.197802198</v>
      </c>
      <c r="K3565" s="41">
        <v>0.384615385</v>
      </c>
      <c r="L3565" s="41"/>
      <c r="M3565" s="74">
        <v>-2.336838574</v>
      </c>
    </row>
    <row r="3566">
      <c r="A3566" s="1" t="s">
        <v>437</v>
      </c>
      <c r="B3566" s="38">
        <v>695418.0</v>
      </c>
      <c r="C3566" s="72">
        <v>45928.0</v>
      </c>
      <c r="D3566" s="38">
        <v>76.0</v>
      </c>
      <c r="E3566" s="75"/>
      <c r="F3566" s="67">
        <v>4.911126185</v>
      </c>
      <c r="G3566" s="40">
        <v>1.894465018</v>
      </c>
      <c r="H3566" s="40"/>
      <c r="I3566" s="41">
        <v>0.394736842</v>
      </c>
      <c r="J3566" s="41">
        <v>0.263157895</v>
      </c>
      <c r="K3566" s="41">
        <v>0.342105263</v>
      </c>
      <c r="L3566" s="41"/>
      <c r="M3566" s="74">
        <v>0.122116603</v>
      </c>
    </row>
    <row r="3567">
      <c r="A3567" s="1" t="s">
        <v>303</v>
      </c>
      <c r="B3567" s="38">
        <v>592662.0</v>
      </c>
      <c r="C3567" s="72">
        <v>45898.0</v>
      </c>
      <c r="D3567" s="38">
        <v>90.0</v>
      </c>
      <c r="E3567" s="75"/>
      <c r="F3567" s="67">
        <v>4.911125922</v>
      </c>
      <c r="G3567" s="40">
        <v>2.262091689</v>
      </c>
      <c r="H3567" s="40"/>
      <c r="I3567" s="41">
        <v>0.422222222</v>
      </c>
      <c r="J3567" s="41">
        <v>0.177777778</v>
      </c>
      <c r="K3567" s="41">
        <v>0.4</v>
      </c>
      <c r="L3567" s="41"/>
      <c r="M3567" s="74">
        <v>-2.393951318</v>
      </c>
    </row>
    <row r="3568">
      <c r="A3568" s="1" t="s">
        <v>307</v>
      </c>
      <c r="B3568" s="38">
        <v>656849.0</v>
      </c>
      <c r="C3568" s="72">
        <v>45893.0</v>
      </c>
      <c r="D3568" s="38">
        <v>89.0</v>
      </c>
      <c r="E3568" s="75"/>
      <c r="F3568" s="67">
        <v>4.91079883</v>
      </c>
      <c r="G3568" s="40">
        <v>2.230507189</v>
      </c>
      <c r="H3568" s="40"/>
      <c r="I3568" s="41">
        <v>0.404494382</v>
      </c>
      <c r="J3568" s="41">
        <v>0.258426966</v>
      </c>
      <c r="K3568" s="41">
        <v>0.337078652</v>
      </c>
      <c r="L3568" s="41"/>
      <c r="M3568" s="74">
        <v>0.307024717</v>
      </c>
    </row>
    <row r="3569">
      <c r="A3569" s="1" t="s">
        <v>473</v>
      </c>
      <c r="B3569" s="38">
        <v>527048.0</v>
      </c>
      <c r="C3569" s="72">
        <v>45906.0</v>
      </c>
      <c r="D3569" s="38">
        <v>88.0</v>
      </c>
      <c r="E3569" s="75"/>
      <c r="F3569" s="67">
        <v>4.91074821</v>
      </c>
      <c r="G3569" s="40">
        <v>2.197045167</v>
      </c>
      <c r="H3569" s="40"/>
      <c r="I3569" s="41">
        <v>0.477272727</v>
      </c>
      <c r="J3569" s="41">
        <v>0.170454545</v>
      </c>
      <c r="K3569" s="41">
        <v>0.352272727</v>
      </c>
      <c r="L3569" s="41"/>
      <c r="M3569" s="74">
        <v>0.538353093</v>
      </c>
    </row>
    <row r="3570">
      <c r="A3570" s="1" t="s">
        <v>516</v>
      </c>
      <c r="B3570" s="38">
        <v>700363.0</v>
      </c>
      <c r="C3570" s="72">
        <v>45799.0</v>
      </c>
      <c r="D3570" s="38">
        <v>80.0</v>
      </c>
      <c r="E3570" s="75"/>
      <c r="F3570" s="67">
        <v>4.910435563</v>
      </c>
      <c r="G3570" s="40">
        <v>1.980692856</v>
      </c>
      <c r="H3570" s="40"/>
      <c r="I3570" s="41">
        <v>0.425</v>
      </c>
      <c r="J3570" s="41">
        <v>0.2</v>
      </c>
      <c r="K3570" s="41">
        <v>0.375</v>
      </c>
      <c r="L3570" s="41"/>
      <c r="M3570" s="74">
        <v>-3.386799487</v>
      </c>
    </row>
    <row r="3571">
      <c r="A3571" s="1" t="s">
        <v>194</v>
      </c>
      <c r="B3571" s="38">
        <v>666157.0</v>
      </c>
      <c r="C3571" s="72">
        <v>45768.0</v>
      </c>
      <c r="D3571" s="38">
        <v>95.0</v>
      </c>
      <c r="E3571" s="75"/>
      <c r="F3571" s="67">
        <v>4.910267039</v>
      </c>
      <c r="G3571" s="40">
        <v>2.370253185</v>
      </c>
      <c r="H3571" s="40"/>
      <c r="I3571" s="41">
        <v>0.421052632</v>
      </c>
      <c r="J3571" s="41">
        <v>0.221052632</v>
      </c>
      <c r="K3571" s="41">
        <v>0.357894737</v>
      </c>
      <c r="L3571" s="41"/>
      <c r="M3571" s="74">
        <v>-1.487555423</v>
      </c>
    </row>
    <row r="3572">
      <c r="A3572" s="1" t="s">
        <v>480</v>
      </c>
      <c r="B3572" s="38">
        <v>647336.0</v>
      </c>
      <c r="C3572" s="72">
        <v>45836.0</v>
      </c>
      <c r="D3572" s="38">
        <v>84.0</v>
      </c>
      <c r="E3572" s="75"/>
      <c r="F3572" s="67">
        <v>4.9101815</v>
      </c>
      <c r="G3572" s="40">
        <v>2.107996209</v>
      </c>
      <c r="H3572" s="40"/>
      <c r="I3572" s="41">
        <v>0.488095238</v>
      </c>
      <c r="J3572" s="41">
        <v>0.130952381</v>
      </c>
      <c r="K3572" s="41">
        <v>0.380952381</v>
      </c>
      <c r="L3572" s="41"/>
      <c r="M3572" s="74">
        <v>2.582033927</v>
      </c>
    </row>
    <row r="3573">
      <c r="A3573" s="1" t="s">
        <v>386</v>
      </c>
      <c r="B3573" s="38">
        <v>656731.0</v>
      </c>
      <c r="C3573" s="72">
        <v>45751.0</v>
      </c>
      <c r="D3573" s="38">
        <v>82.0</v>
      </c>
      <c r="E3573" s="75"/>
      <c r="F3573" s="67">
        <v>4.910124881</v>
      </c>
      <c r="G3573" s="40">
        <v>2.066136571</v>
      </c>
      <c r="H3573" s="40"/>
      <c r="I3573" s="41">
        <v>0.475609756</v>
      </c>
      <c r="J3573" s="41">
        <v>0.097560976</v>
      </c>
      <c r="K3573" s="41">
        <v>0.426829268</v>
      </c>
      <c r="L3573" s="41"/>
      <c r="M3573" s="74">
        <v>1.909522525</v>
      </c>
    </row>
    <row r="3574">
      <c r="A3574" s="1" t="s">
        <v>410</v>
      </c>
      <c r="B3574" s="38">
        <v>678394.0</v>
      </c>
      <c r="C3574" s="72">
        <v>45846.0</v>
      </c>
      <c r="D3574" s="38">
        <v>104.0</v>
      </c>
      <c r="E3574" s="75"/>
      <c r="F3574" s="67">
        <v>4.909936113</v>
      </c>
      <c r="G3574" s="40">
        <v>2.630117892</v>
      </c>
      <c r="H3574" s="40"/>
      <c r="I3574" s="41">
        <v>0.413461538</v>
      </c>
      <c r="J3574" s="41">
        <v>0.259615385</v>
      </c>
      <c r="K3574" s="41">
        <v>0.326923077</v>
      </c>
      <c r="L3574" s="41"/>
      <c r="M3574" s="74">
        <v>1.613290607</v>
      </c>
    </row>
    <row r="3575">
      <c r="A3575" s="1" t="s">
        <v>341</v>
      </c>
      <c r="B3575" s="38">
        <v>676962.0</v>
      </c>
      <c r="C3575" s="72">
        <v>45784.0</v>
      </c>
      <c r="D3575" s="38">
        <v>100.0</v>
      </c>
      <c r="E3575" s="75"/>
      <c r="F3575" s="67">
        <v>4.909856573</v>
      </c>
      <c r="G3575" s="40">
        <v>2.513066077</v>
      </c>
      <c r="H3575" s="40"/>
      <c r="I3575" s="41">
        <v>0.46</v>
      </c>
      <c r="J3575" s="41">
        <v>0.2</v>
      </c>
      <c r="K3575" s="41">
        <v>0.34</v>
      </c>
      <c r="L3575" s="41"/>
      <c r="M3575" s="74">
        <v>0.859189061</v>
      </c>
    </row>
    <row r="3576">
      <c r="A3576" s="1" t="s">
        <v>90</v>
      </c>
      <c r="B3576" s="38">
        <v>693433.0</v>
      </c>
      <c r="C3576" s="72">
        <v>45885.0</v>
      </c>
      <c r="D3576" s="38">
        <v>101.0</v>
      </c>
      <c r="E3576" s="75"/>
      <c r="F3576" s="67">
        <v>4.909492223</v>
      </c>
      <c r="G3576" s="40">
        <v>2.539058321</v>
      </c>
      <c r="H3576" s="40"/>
      <c r="I3576" s="41">
        <v>0.445544554</v>
      </c>
      <c r="J3576" s="41">
        <v>0.168316832</v>
      </c>
      <c r="K3576" s="41">
        <v>0.386138614</v>
      </c>
      <c r="L3576" s="41"/>
      <c r="M3576" s="74">
        <v>-1.519216571</v>
      </c>
    </row>
    <row r="3577">
      <c r="A3577" s="1" t="s">
        <v>341</v>
      </c>
      <c r="B3577" s="38">
        <v>676962.0</v>
      </c>
      <c r="C3577" s="72">
        <v>45831.0</v>
      </c>
      <c r="D3577" s="38">
        <v>80.0</v>
      </c>
      <c r="E3577" s="75"/>
      <c r="F3577" s="67">
        <v>4.908979193</v>
      </c>
      <c r="G3577" s="40">
        <v>2.036687302</v>
      </c>
      <c r="H3577" s="40"/>
      <c r="I3577" s="41">
        <v>0.4125</v>
      </c>
      <c r="J3577" s="41">
        <v>0.25</v>
      </c>
      <c r="K3577" s="41">
        <v>0.3375</v>
      </c>
      <c r="L3577" s="41"/>
      <c r="M3577" s="74">
        <v>-3.335290706</v>
      </c>
    </row>
    <row r="3578">
      <c r="A3578" s="1" t="s">
        <v>156</v>
      </c>
      <c r="B3578" s="38">
        <v>519242.0</v>
      </c>
      <c r="C3578" s="72">
        <v>45748.0</v>
      </c>
      <c r="D3578" s="38">
        <v>85.0</v>
      </c>
      <c r="E3578" s="75"/>
      <c r="F3578" s="67">
        <v>4.908616655</v>
      </c>
      <c r="G3578" s="40">
        <v>2.113262467</v>
      </c>
      <c r="H3578" s="40"/>
      <c r="I3578" s="41">
        <v>0.458823529</v>
      </c>
      <c r="J3578" s="41">
        <v>0.176470588</v>
      </c>
      <c r="K3578" s="41">
        <v>0.364705882</v>
      </c>
      <c r="L3578" s="41"/>
      <c r="M3578" s="74">
        <v>1.125134028</v>
      </c>
    </row>
    <row r="3579">
      <c r="A3579" s="1" t="s">
        <v>461</v>
      </c>
      <c r="B3579" s="38">
        <v>673540.0</v>
      </c>
      <c r="C3579" s="72">
        <v>45900.0</v>
      </c>
      <c r="D3579" s="38">
        <v>73.0</v>
      </c>
      <c r="E3579" s="75"/>
      <c r="F3579" s="67">
        <v>4.908580664</v>
      </c>
      <c r="G3579" s="40">
        <v>1.834973026</v>
      </c>
      <c r="H3579" s="40"/>
      <c r="I3579" s="41">
        <v>0.465753425</v>
      </c>
      <c r="J3579" s="41">
        <v>0.095890411</v>
      </c>
      <c r="K3579" s="41">
        <v>0.438356164</v>
      </c>
      <c r="L3579" s="41"/>
      <c r="M3579" s="74">
        <v>-3.804641177</v>
      </c>
    </row>
    <row r="3580">
      <c r="A3580" s="1" t="s">
        <v>88</v>
      </c>
      <c r="B3580" s="38">
        <v>694973.0</v>
      </c>
      <c r="C3580" s="72">
        <v>45865.0</v>
      </c>
      <c r="D3580" s="38">
        <v>97.0</v>
      </c>
      <c r="E3580" s="75"/>
      <c r="F3580" s="67">
        <v>4.90831526</v>
      </c>
      <c r="G3580" s="40">
        <v>2.443116487</v>
      </c>
      <c r="H3580" s="40"/>
      <c r="I3580" s="41">
        <v>0.402061856</v>
      </c>
      <c r="J3580" s="41">
        <v>0.206185567</v>
      </c>
      <c r="K3580" s="41">
        <v>0.391752577</v>
      </c>
      <c r="L3580" s="41"/>
      <c r="M3580" s="74">
        <v>2.790325702</v>
      </c>
    </row>
    <row r="3581">
      <c r="A3581" s="1" t="s">
        <v>562</v>
      </c>
      <c r="B3581" s="38">
        <v>669713.0</v>
      </c>
      <c r="C3581" s="72">
        <v>45766.0</v>
      </c>
      <c r="D3581" s="38">
        <v>82.0</v>
      </c>
      <c r="E3581" s="75"/>
      <c r="F3581" s="67">
        <v>4.908020711</v>
      </c>
      <c r="G3581" s="40">
        <v>2.076401873</v>
      </c>
      <c r="H3581" s="40"/>
      <c r="I3581" s="41">
        <v>0.402439024</v>
      </c>
      <c r="J3581" s="41">
        <v>0.256097561</v>
      </c>
      <c r="K3581" s="41">
        <v>0.341463415</v>
      </c>
      <c r="L3581" s="41"/>
      <c r="M3581" s="74">
        <v>-0.446464147</v>
      </c>
    </row>
    <row r="3582">
      <c r="A3582" s="1" t="s">
        <v>432</v>
      </c>
      <c r="B3582" s="38">
        <v>669467.0</v>
      </c>
      <c r="C3582" s="72">
        <v>45775.0</v>
      </c>
      <c r="D3582" s="38">
        <v>81.0</v>
      </c>
      <c r="E3582" s="75"/>
      <c r="F3582" s="67">
        <v>4.907873265</v>
      </c>
      <c r="G3582" s="40">
        <v>2.047881543</v>
      </c>
      <c r="H3582" s="40"/>
      <c r="I3582" s="41">
        <v>0.419753086</v>
      </c>
      <c r="J3582" s="41">
        <v>0.209876543</v>
      </c>
      <c r="K3582" s="41">
        <v>0.37037037</v>
      </c>
      <c r="L3582" s="41"/>
      <c r="M3582" s="74">
        <v>-0.416532697</v>
      </c>
    </row>
    <row r="3583">
      <c r="A3583" s="1" t="s">
        <v>245</v>
      </c>
      <c r="B3583" s="38">
        <v>571578.0</v>
      </c>
      <c r="C3583" s="72">
        <v>45820.0</v>
      </c>
      <c r="D3583" s="38">
        <v>91.0</v>
      </c>
      <c r="E3583" s="75"/>
      <c r="F3583" s="67">
        <v>4.907745425</v>
      </c>
      <c r="G3583" s="40">
        <v>2.309606768</v>
      </c>
      <c r="H3583" s="40"/>
      <c r="I3583" s="41">
        <v>0.406593407</v>
      </c>
      <c r="J3583" s="41">
        <v>0.21978022</v>
      </c>
      <c r="K3583" s="41">
        <v>0.373626374</v>
      </c>
      <c r="L3583" s="41"/>
      <c r="M3583" s="74">
        <v>0.091631874</v>
      </c>
    </row>
    <row r="3584">
      <c r="A3584" s="1" t="s">
        <v>476</v>
      </c>
      <c r="B3584" s="38">
        <v>500779.0</v>
      </c>
      <c r="C3584" s="72">
        <v>45815.0</v>
      </c>
      <c r="D3584" s="38">
        <v>100.0</v>
      </c>
      <c r="E3584" s="75"/>
      <c r="F3584" s="67">
        <v>4.907663285</v>
      </c>
      <c r="G3584" s="40">
        <v>2.51482259</v>
      </c>
      <c r="H3584" s="40"/>
      <c r="I3584" s="41">
        <v>0.45</v>
      </c>
      <c r="J3584" s="41">
        <v>0.14</v>
      </c>
      <c r="K3584" s="41">
        <v>0.41</v>
      </c>
      <c r="L3584" s="41"/>
      <c r="M3584" s="74">
        <v>0.591709487</v>
      </c>
    </row>
    <row r="3585">
      <c r="A3585" s="1" t="s">
        <v>301</v>
      </c>
      <c r="B3585" s="38">
        <v>656557.0</v>
      </c>
      <c r="C3585" s="72">
        <v>45750.0</v>
      </c>
      <c r="D3585" s="38">
        <v>79.0</v>
      </c>
      <c r="E3585" s="75"/>
      <c r="F3585" s="67">
        <v>4.907549903</v>
      </c>
      <c r="G3585" s="40">
        <v>1.947681013</v>
      </c>
      <c r="H3585" s="40"/>
      <c r="I3585" s="41">
        <v>0.506329114</v>
      </c>
      <c r="J3585" s="41">
        <v>0.063291139</v>
      </c>
      <c r="K3585" s="41">
        <v>0.430379747</v>
      </c>
      <c r="L3585" s="41"/>
      <c r="M3585" s="74">
        <v>-1.066771767</v>
      </c>
    </row>
    <row r="3586">
      <c r="A3586" s="1" t="s">
        <v>416</v>
      </c>
      <c r="B3586" s="38">
        <v>608337.0</v>
      </c>
      <c r="C3586" s="72">
        <v>45867.0</v>
      </c>
      <c r="D3586" s="38">
        <v>96.0</v>
      </c>
      <c r="E3586" s="75"/>
      <c r="F3586" s="67">
        <v>4.907539578</v>
      </c>
      <c r="G3586" s="40">
        <v>2.423703159</v>
      </c>
      <c r="H3586" s="40"/>
      <c r="I3586" s="41">
        <v>0.4375</v>
      </c>
      <c r="J3586" s="41">
        <v>0.197916667</v>
      </c>
      <c r="K3586" s="41">
        <v>0.364583333</v>
      </c>
      <c r="L3586" s="41"/>
      <c r="M3586" s="74">
        <v>0.576389367</v>
      </c>
    </row>
    <row r="3587">
      <c r="A3587" s="1" t="s">
        <v>480</v>
      </c>
      <c r="B3587" s="38">
        <v>647336.0</v>
      </c>
      <c r="C3587" s="72">
        <v>45856.0</v>
      </c>
      <c r="D3587" s="38">
        <v>84.0</v>
      </c>
      <c r="E3587" s="75"/>
      <c r="F3587" s="67">
        <v>4.907485753</v>
      </c>
      <c r="G3587" s="40">
        <v>2.11519867</v>
      </c>
      <c r="H3587" s="40"/>
      <c r="I3587" s="41">
        <v>0.416666667</v>
      </c>
      <c r="J3587" s="41">
        <v>0.166666667</v>
      </c>
      <c r="K3587" s="41">
        <v>0.416666667</v>
      </c>
      <c r="L3587" s="41"/>
      <c r="M3587" s="74">
        <v>2.889418888</v>
      </c>
    </row>
    <row r="3588">
      <c r="A3588" s="1" t="s">
        <v>606</v>
      </c>
      <c r="B3588" s="38">
        <v>448179.0</v>
      </c>
      <c r="C3588" s="72">
        <v>45860.0</v>
      </c>
      <c r="D3588" s="38">
        <v>88.0</v>
      </c>
      <c r="E3588" s="75"/>
      <c r="F3588" s="67">
        <v>4.907443851</v>
      </c>
      <c r="G3588" s="40">
        <v>2.206991706</v>
      </c>
      <c r="H3588" s="40"/>
      <c r="I3588" s="41">
        <v>0.363636364</v>
      </c>
      <c r="J3588" s="41">
        <v>0.272727273</v>
      </c>
      <c r="K3588" s="41">
        <v>0.363636364</v>
      </c>
      <c r="L3588" s="41"/>
      <c r="M3588" s="74">
        <v>-1.000258089</v>
      </c>
    </row>
    <row r="3589">
      <c r="A3589" s="1" t="s">
        <v>413</v>
      </c>
      <c r="B3589" s="38">
        <v>671737.0</v>
      </c>
      <c r="C3589" s="72">
        <v>45815.0</v>
      </c>
      <c r="D3589" s="38">
        <v>75.0</v>
      </c>
      <c r="E3589" s="75"/>
      <c r="F3589" s="67">
        <v>4.907068782</v>
      </c>
      <c r="G3589" s="40">
        <v>1.875678308</v>
      </c>
      <c r="H3589" s="40"/>
      <c r="I3589" s="41">
        <v>0.426666667</v>
      </c>
      <c r="J3589" s="41">
        <v>0.186666667</v>
      </c>
      <c r="K3589" s="41">
        <v>0.386666667</v>
      </c>
      <c r="L3589" s="41"/>
      <c r="M3589" s="74">
        <v>-0.969460127</v>
      </c>
    </row>
    <row r="3590">
      <c r="A3590" s="1" t="s">
        <v>454</v>
      </c>
      <c r="B3590" s="38">
        <v>674370.0</v>
      </c>
      <c r="C3590" s="72">
        <v>45895.0</v>
      </c>
      <c r="D3590" s="38">
        <v>63.0</v>
      </c>
      <c r="E3590" s="75"/>
      <c r="F3590" s="67">
        <v>4.907060729</v>
      </c>
      <c r="G3590" s="40">
        <v>1.574014553</v>
      </c>
      <c r="H3590" s="40"/>
      <c r="I3590" s="41">
        <v>0.444444444</v>
      </c>
      <c r="J3590" s="41">
        <v>0.158730159</v>
      </c>
      <c r="K3590" s="41">
        <v>0.396825397</v>
      </c>
      <c r="L3590" s="41"/>
      <c r="M3590" s="74">
        <v>0.822446189</v>
      </c>
    </row>
    <row r="3591">
      <c r="A3591" s="1" t="s">
        <v>566</v>
      </c>
      <c r="B3591" s="38">
        <v>687830.0</v>
      </c>
      <c r="C3591" s="72">
        <v>45902.0</v>
      </c>
      <c r="D3591" s="38">
        <v>67.0</v>
      </c>
      <c r="E3591" s="75"/>
      <c r="F3591" s="67">
        <v>4.906926609</v>
      </c>
      <c r="G3591" s="40">
        <v>1.693293003</v>
      </c>
      <c r="H3591" s="40"/>
      <c r="I3591" s="41">
        <v>0.388059701</v>
      </c>
      <c r="J3591" s="41">
        <v>0.23880597</v>
      </c>
      <c r="K3591" s="41">
        <v>0.373134328</v>
      </c>
      <c r="L3591" s="41"/>
      <c r="M3591" s="74">
        <v>-1.114750076</v>
      </c>
    </row>
    <row r="3592">
      <c r="A3592" s="1" t="s">
        <v>97</v>
      </c>
      <c r="B3592" s="38">
        <v>656876.0</v>
      </c>
      <c r="C3592" s="72">
        <v>45805.0</v>
      </c>
      <c r="D3592" s="38">
        <v>72.0</v>
      </c>
      <c r="E3592" s="75"/>
      <c r="F3592" s="67">
        <v>4.906275249</v>
      </c>
      <c r="G3592" s="40">
        <v>1.814530129</v>
      </c>
      <c r="H3592" s="40"/>
      <c r="I3592" s="41">
        <v>0.416666667</v>
      </c>
      <c r="J3592" s="41">
        <v>0.180555556</v>
      </c>
      <c r="K3592" s="41">
        <v>0.402777778</v>
      </c>
      <c r="L3592" s="41"/>
      <c r="M3592" s="74">
        <v>3.641080719</v>
      </c>
    </row>
    <row r="3593">
      <c r="A3593" s="1" t="s">
        <v>496</v>
      </c>
      <c r="B3593" s="38">
        <v>694477.0</v>
      </c>
      <c r="C3593" s="72">
        <v>45831.0</v>
      </c>
      <c r="D3593" s="38">
        <v>97.0</v>
      </c>
      <c r="E3593" s="75"/>
      <c r="F3593" s="67">
        <v>4.90559518</v>
      </c>
      <c r="G3593" s="40">
        <v>2.434964641</v>
      </c>
      <c r="H3593" s="40"/>
      <c r="I3593" s="41">
        <v>0.463917526</v>
      </c>
      <c r="J3593" s="41">
        <v>0.113402062</v>
      </c>
      <c r="K3593" s="41">
        <v>0.422680412</v>
      </c>
      <c r="L3593" s="41"/>
      <c r="M3593" s="74">
        <v>-3.426074948</v>
      </c>
    </row>
    <row r="3594">
      <c r="A3594" s="1" t="s">
        <v>93</v>
      </c>
      <c r="B3594" s="38">
        <v>669194.0</v>
      </c>
      <c r="C3594" s="72">
        <v>45849.0</v>
      </c>
      <c r="D3594" s="38">
        <v>81.0</v>
      </c>
      <c r="E3594" s="75"/>
      <c r="F3594" s="67">
        <v>4.905388947</v>
      </c>
      <c r="G3594" s="40">
        <v>2.046196423</v>
      </c>
      <c r="H3594" s="40"/>
      <c r="I3594" s="41">
        <v>0.481481481</v>
      </c>
      <c r="J3594" s="41">
        <v>0.111111111</v>
      </c>
      <c r="K3594" s="41">
        <v>0.407407407</v>
      </c>
      <c r="L3594" s="41"/>
      <c r="M3594" s="74">
        <v>-2.189925482</v>
      </c>
    </row>
    <row r="3595">
      <c r="A3595" s="1" t="s">
        <v>335</v>
      </c>
      <c r="B3595" s="38">
        <v>663436.0</v>
      </c>
      <c r="C3595" s="72">
        <v>45925.0</v>
      </c>
      <c r="D3595" s="38">
        <v>81.0</v>
      </c>
      <c r="E3595" s="75"/>
      <c r="F3595" s="67">
        <v>4.905253142</v>
      </c>
      <c r="G3595" s="40">
        <v>2.028831194</v>
      </c>
      <c r="H3595" s="40"/>
      <c r="I3595" s="41">
        <v>0.382716049</v>
      </c>
      <c r="J3595" s="41">
        <v>0.234567901</v>
      </c>
      <c r="K3595" s="41">
        <v>0.382716049</v>
      </c>
      <c r="L3595" s="41"/>
      <c r="M3595" s="74">
        <v>-0.884694931</v>
      </c>
    </row>
    <row r="3596">
      <c r="A3596" s="1" t="s">
        <v>120</v>
      </c>
      <c r="B3596" s="38">
        <v>800048.0</v>
      </c>
      <c r="C3596" s="72">
        <v>45913.0</v>
      </c>
      <c r="D3596" s="38">
        <v>90.0</v>
      </c>
      <c r="E3596" s="75"/>
      <c r="F3596" s="67">
        <v>4.905122708</v>
      </c>
      <c r="G3596" s="40">
        <v>2.286937313</v>
      </c>
      <c r="H3596" s="40"/>
      <c r="I3596" s="41">
        <v>0.411111111</v>
      </c>
      <c r="J3596" s="41">
        <v>0.211111111</v>
      </c>
      <c r="K3596" s="41">
        <v>0.377777778</v>
      </c>
      <c r="L3596" s="41"/>
      <c r="M3596" s="74">
        <v>-1.148853755</v>
      </c>
    </row>
    <row r="3597">
      <c r="A3597" s="1" t="s">
        <v>437</v>
      </c>
      <c r="B3597" s="38">
        <v>695418.0</v>
      </c>
      <c r="C3597" s="72">
        <v>45917.0</v>
      </c>
      <c r="D3597" s="38">
        <v>96.0</v>
      </c>
      <c r="E3597" s="75"/>
      <c r="F3597" s="67">
        <v>4.905036786</v>
      </c>
      <c r="G3597" s="40">
        <v>2.369718774</v>
      </c>
      <c r="H3597" s="40"/>
      <c r="I3597" s="41">
        <v>0.416666667</v>
      </c>
      <c r="J3597" s="41">
        <v>0.177083333</v>
      </c>
      <c r="K3597" s="41">
        <v>0.40625</v>
      </c>
      <c r="L3597" s="41"/>
      <c r="M3597" s="74">
        <v>0.96134531</v>
      </c>
    </row>
    <row r="3598">
      <c r="A3598" s="1" t="s">
        <v>479</v>
      </c>
      <c r="B3598" s="38">
        <v>664299.0</v>
      </c>
      <c r="C3598" s="72">
        <v>45880.0</v>
      </c>
      <c r="D3598" s="38">
        <v>79.0</v>
      </c>
      <c r="E3598" s="75"/>
      <c r="F3598" s="67">
        <v>4.904902231</v>
      </c>
      <c r="G3598" s="40">
        <v>1.969943565</v>
      </c>
      <c r="H3598" s="40"/>
      <c r="I3598" s="41">
        <v>0.493670886</v>
      </c>
      <c r="J3598" s="41">
        <v>0.126582278</v>
      </c>
      <c r="K3598" s="41">
        <v>0.379746835</v>
      </c>
      <c r="L3598" s="41"/>
      <c r="M3598" s="74">
        <v>0.975243039</v>
      </c>
    </row>
    <row r="3599">
      <c r="A3599" s="1" t="s">
        <v>425</v>
      </c>
      <c r="B3599" s="38">
        <v>621244.0</v>
      </c>
      <c r="C3599" s="72">
        <v>45902.0</v>
      </c>
      <c r="D3599" s="38">
        <v>65.0</v>
      </c>
      <c r="E3599" s="75"/>
      <c r="F3599" s="67">
        <v>4.904733409</v>
      </c>
      <c r="G3599" s="40">
        <v>1.589265654</v>
      </c>
      <c r="H3599" s="40"/>
      <c r="I3599" s="41">
        <v>0.523076923</v>
      </c>
      <c r="J3599" s="41">
        <v>0.046153846</v>
      </c>
      <c r="K3599" s="41">
        <v>0.430769231</v>
      </c>
      <c r="L3599" s="41"/>
      <c r="M3599" s="74">
        <v>-1.396535858</v>
      </c>
    </row>
    <row r="3600">
      <c r="A3600" s="1" t="s">
        <v>484</v>
      </c>
      <c r="B3600" s="38">
        <v>682847.0</v>
      </c>
      <c r="C3600" s="72">
        <v>45765.0</v>
      </c>
      <c r="D3600" s="38">
        <v>89.0</v>
      </c>
      <c r="E3600" s="75"/>
      <c r="F3600" s="67">
        <v>4.904554409</v>
      </c>
      <c r="G3600" s="40">
        <v>2.221160298</v>
      </c>
      <c r="H3600" s="40"/>
      <c r="I3600" s="41">
        <v>0.415730337</v>
      </c>
      <c r="J3600" s="41">
        <v>0.179775281</v>
      </c>
      <c r="K3600" s="41">
        <v>0.404494382</v>
      </c>
      <c r="L3600" s="41"/>
      <c r="M3600" s="74">
        <v>1.766975759</v>
      </c>
    </row>
    <row r="3601">
      <c r="A3601" s="1" t="s">
        <v>425</v>
      </c>
      <c r="B3601" s="38">
        <v>621244.0</v>
      </c>
      <c r="C3601" s="72">
        <v>45916.0</v>
      </c>
      <c r="D3601" s="38">
        <v>77.0</v>
      </c>
      <c r="E3601" s="75"/>
      <c r="F3601" s="67">
        <v>4.904520592</v>
      </c>
      <c r="G3601" s="40">
        <v>1.955491216</v>
      </c>
      <c r="H3601" s="40"/>
      <c r="I3601" s="41">
        <v>0.454545455</v>
      </c>
      <c r="J3601" s="41">
        <v>0.207792208</v>
      </c>
      <c r="K3601" s="41">
        <v>0.337662338</v>
      </c>
      <c r="L3601" s="41"/>
      <c r="M3601" s="74">
        <v>2.425968255</v>
      </c>
    </row>
    <row r="3602">
      <c r="A3602" s="1" t="s">
        <v>513</v>
      </c>
      <c r="B3602" s="38">
        <v>608566.0</v>
      </c>
      <c r="C3602" s="72">
        <v>45843.0</v>
      </c>
      <c r="D3602" s="38">
        <v>90.0</v>
      </c>
      <c r="E3602" s="75"/>
      <c r="F3602" s="67">
        <v>4.904013266</v>
      </c>
      <c r="G3602" s="40">
        <v>2.331849257</v>
      </c>
      <c r="H3602" s="40"/>
      <c r="I3602" s="41">
        <v>0.411111111</v>
      </c>
      <c r="J3602" s="41">
        <v>0.233333333</v>
      </c>
      <c r="K3602" s="41">
        <v>0.355555556</v>
      </c>
      <c r="L3602" s="41"/>
      <c r="M3602" s="74">
        <v>-4.471714288</v>
      </c>
    </row>
    <row r="3603">
      <c r="A3603" s="1" t="s">
        <v>405</v>
      </c>
      <c r="B3603" s="38">
        <v>621111.0</v>
      </c>
      <c r="C3603" s="72">
        <v>45877.0</v>
      </c>
      <c r="D3603" s="38">
        <v>94.0</v>
      </c>
      <c r="E3603" s="75"/>
      <c r="F3603" s="67">
        <v>4.903946735</v>
      </c>
      <c r="G3603" s="40">
        <v>2.402840266</v>
      </c>
      <c r="H3603" s="40"/>
      <c r="I3603" s="41">
        <v>0.478723404</v>
      </c>
      <c r="J3603" s="41">
        <v>0.138297872</v>
      </c>
      <c r="K3603" s="41">
        <v>0.382978723</v>
      </c>
      <c r="L3603" s="41"/>
      <c r="M3603" s="74">
        <v>0.888006793</v>
      </c>
    </row>
    <row r="3604">
      <c r="A3604" s="1" t="s">
        <v>420</v>
      </c>
      <c r="B3604" s="38">
        <v>547179.0</v>
      </c>
      <c r="C3604" s="72">
        <v>45902.0</v>
      </c>
      <c r="D3604" s="38">
        <v>95.0</v>
      </c>
      <c r="E3604" s="75"/>
      <c r="F3604" s="67">
        <v>4.903907127</v>
      </c>
      <c r="G3604" s="40">
        <v>2.409249323</v>
      </c>
      <c r="H3604" s="40"/>
      <c r="I3604" s="41">
        <v>0.410526316</v>
      </c>
      <c r="J3604" s="41">
        <v>0.221052632</v>
      </c>
      <c r="K3604" s="41">
        <v>0.368421053</v>
      </c>
      <c r="L3604" s="41"/>
      <c r="M3604" s="74">
        <v>1.121298521</v>
      </c>
    </row>
    <row r="3605">
      <c r="A3605" s="1" t="s">
        <v>415</v>
      </c>
      <c r="B3605" s="38">
        <v>656794.0</v>
      </c>
      <c r="C3605" s="72">
        <v>45789.0</v>
      </c>
      <c r="D3605" s="38">
        <v>95.0</v>
      </c>
      <c r="E3605" s="75"/>
      <c r="F3605" s="67">
        <v>4.903891641</v>
      </c>
      <c r="G3605" s="40">
        <v>2.405740643</v>
      </c>
      <c r="H3605" s="40"/>
      <c r="I3605" s="41">
        <v>0.4</v>
      </c>
      <c r="J3605" s="41">
        <v>0.178947368</v>
      </c>
      <c r="K3605" s="41">
        <v>0.421052632</v>
      </c>
      <c r="L3605" s="41"/>
      <c r="M3605" s="74">
        <v>-2.643329567</v>
      </c>
    </row>
    <row r="3606">
      <c r="A3606" s="1" t="s">
        <v>354</v>
      </c>
      <c r="B3606" s="38">
        <v>669022.0</v>
      </c>
      <c r="C3606" s="72">
        <v>45833.0</v>
      </c>
      <c r="D3606" s="38">
        <v>102.0</v>
      </c>
      <c r="E3606" s="75"/>
      <c r="F3606" s="67">
        <v>4.903792299</v>
      </c>
      <c r="G3606" s="40">
        <v>2.577808276</v>
      </c>
      <c r="H3606" s="40"/>
      <c r="I3606" s="41">
        <v>0.460784314</v>
      </c>
      <c r="J3606" s="41">
        <v>0.156862745</v>
      </c>
      <c r="K3606" s="41">
        <v>0.382352941</v>
      </c>
      <c r="L3606" s="41"/>
      <c r="M3606" s="74">
        <v>-1.119389005</v>
      </c>
    </row>
    <row r="3607">
      <c r="A3607" s="1" t="s">
        <v>296</v>
      </c>
      <c r="B3607" s="38">
        <v>669372.0</v>
      </c>
      <c r="C3607" s="72">
        <v>45771.0</v>
      </c>
      <c r="D3607" s="38">
        <v>71.0</v>
      </c>
      <c r="E3607" s="75"/>
      <c r="F3607" s="67">
        <v>4.903754684</v>
      </c>
      <c r="G3607" s="40">
        <v>1.80638925</v>
      </c>
      <c r="H3607" s="40"/>
      <c r="I3607" s="41">
        <v>0.450704225</v>
      </c>
      <c r="J3607" s="41">
        <v>0.169014085</v>
      </c>
      <c r="K3607" s="41">
        <v>0.38028169</v>
      </c>
      <c r="L3607" s="41"/>
      <c r="M3607" s="74">
        <v>-1.715087012</v>
      </c>
    </row>
    <row r="3608">
      <c r="A3608" s="1" t="s">
        <v>372</v>
      </c>
      <c r="B3608" s="38">
        <v>671106.0</v>
      </c>
      <c r="C3608" s="72">
        <v>45779.0</v>
      </c>
      <c r="D3608" s="38">
        <v>103.0</v>
      </c>
      <c r="E3608" s="75"/>
      <c r="F3608" s="67">
        <v>4.903718478</v>
      </c>
      <c r="G3608" s="40">
        <v>2.567054998</v>
      </c>
      <c r="H3608" s="40"/>
      <c r="I3608" s="41">
        <v>0.417475728</v>
      </c>
      <c r="J3608" s="41">
        <v>0.174757282</v>
      </c>
      <c r="K3608" s="41">
        <v>0.40776699</v>
      </c>
      <c r="L3608" s="41"/>
      <c r="M3608" s="74">
        <v>-1.394897164</v>
      </c>
    </row>
    <row r="3609">
      <c r="A3609" s="1" t="s">
        <v>307</v>
      </c>
      <c r="B3609" s="38">
        <v>656849.0</v>
      </c>
      <c r="C3609" s="72">
        <v>45747.0</v>
      </c>
      <c r="D3609" s="38">
        <v>88.0</v>
      </c>
      <c r="E3609" s="75"/>
      <c r="F3609" s="67">
        <v>4.902895827</v>
      </c>
      <c r="G3609" s="40">
        <v>2.242260832</v>
      </c>
      <c r="H3609" s="40"/>
      <c r="I3609" s="41">
        <v>0.465909091</v>
      </c>
      <c r="J3609" s="41">
        <v>0.159090909</v>
      </c>
      <c r="K3609" s="41">
        <v>0.375</v>
      </c>
      <c r="L3609" s="41"/>
      <c r="M3609" s="74">
        <v>0.273872966</v>
      </c>
    </row>
    <row r="3610">
      <c r="A3610" s="1" t="s">
        <v>166</v>
      </c>
      <c r="B3610" s="38">
        <v>608331.0</v>
      </c>
      <c r="C3610" s="72">
        <v>45924.0</v>
      </c>
      <c r="D3610" s="38">
        <v>106.0</v>
      </c>
      <c r="E3610" s="75"/>
      <c r="F3610" s="67">
        <v>4.90285852</v>
      </c>
      <c r="G3610" s="40">
        <v>2.653372846</v>
      </c>
      <c r="H3610" s="40"/>
      <c r="I3610" s="41">
        <v>0.433962264</v>
      </c>
      <c r="J3610" s="41">
        <v>0.141509434</v>
      </c>
      <c r="K3610" s="41">
        <v>0.424528302</v>
      </c>
      <c r="L3610" s="41"/>
      <c r="M3610" s="74">
        <v>1.776069222</v>
      </c>
    </row>
    <row r="3611">
      <c r="A3611" s="1" t="s">
        <v>393</v>
      </c>
      <c r="B3611" s="38">
        <v>690953.0</v>
      </c>
      <c r="C3611" s="72">
        <v>45892.0</v>
      </c>
      <c r="D3611" s="38">
        <v>60.0</v>
      </c>
      <c r="E3611" s="75"/>
      <c r="F3611" s="67">
        <v>4.902689765</v>
      </c>
      <c r="G3611" s="40">
        <v>1.524076277</v>
      </c>
      <c r="H3611" s="40"/>
      <c r="I3611" s="41">
        <v>0.483333333</v>
      </c>
      <c r="J3611" s="41">
        <v>0.183333333</v>
      </c>
      <c r="K3611" s="41">
        <v>0.333333333</v>
      </c>
      <c r="L3611" s="41"/>
      <c r="M3611" s="74">
        <v>-2.20665634</v>
      </c>
    </row>
    <row r="3612">
      <c r="A3612" s="1" t="s">
        <v>307</v>
      </c>
      <c r="B3612" s="38">
        <v>656849.0</v>
      </c>
      <c r="C3612" s="72">
        <v>45899.0</v>
      </c>
      <c r="D3612" s="38">
        <v>63.0</v>
      </c>
      <c r="E3612" s="75"/>
      <c r="F3612" s="67">
        <v>4.902362411</v>
      </c>
      <c r="G3612" s="40">
        <v>1.576871831</v>
      </c>
      <c r="H3612" s="40"/>
      <c r="I3612" s="41">
        <v>0.412698413</v>
      </c>
      <c r="J3612" s="41">
        <v>0.158730159</v>
      </c>
      <c r="K3612" s="41">
        <v>0.428571429</v>
      </c>
      <c r="L3612" s="41"/>
      <c r="M3612" s="74">
        <v>-4.283650414</v>
      </c>
    </row>
    <row r="3613">
      <c r="A3613" s="1" t="s">
        <v>303</v>
      </c>
      <c r="B3613" s="38">
        <v>592662.0</v>
      </c>
      <c r="C3613" s="72">
        <v>45746.0</v>
      </c>
      <c r="D3613" s="38">
        <v>75.0</v>
      </c>
      <c r="E3613" s="75"/>
      <c r="F3613" s="67">
        <v>4.901882341</v>
      </c>
      <c r="G3613" s="40">
        <v>1.924840845</v>
      </c>
      <c r="H3613" s="40"/>
      <c r="I3613" s="41">
        <v>0.426666667</v>
      </c>
      <c r="J3613" s="41">
        <v>0.133333333</v>
      </c>
      <c r="K3613" s="41">
        <v>0.44</v>
      </c>
      <c r="L3613" s="41"/>
      <c r="M3613" s="74">
        <v>-0.543350401</v>
      </c>
    </row>
    <row r="3614">
      <c r="A3614" s="1" t="s">
        <v>602</v>
      </c>
      <c r="B3614" s="38">
        <v>695534.0</v>
      </c>
      <c r="C3614" s="72">
        <v>45777.0</v>
      </c>
      <c r="D3614" s="38">
        <v>69.0</v>
      </c>
      <c r="E3614" s="75"/>
      <c r="F3614" s="67">
        <v>4.90139155</v>
      </c>
      <c r="G3614" s="40">
        <v>1.712537777</v>
      </c>
      <c r="H3614" s="40"/>
      <c r="I3614" s="41">
        <v>0.420289855</v>
      </c>
      <c r="J3614" s="41">
        <v>0.231884058</v>
      </c>
      <c r="K3614" s="41">
        <v>0.347826087</v>
      </c>
      <c r="L3614" s="41"/>
      <c r="M3614" s="74">
        <v>-2.877350447</v>
      </c>
    </row>
    <row r="3615">
      <c r="A3615" s="1" t="s">
        <v>513</v>
      </c>
      <c r="B3615" s="38">
        <v>608566.0</v>
      </c>
      <c r="C3615" s="72">
        <v>45849.0</v>
      </c>
      <c r="D3615" s="38">
        <v>89.0</v>
      </c>
      <c r="E3615" s="75"/>
      <c r="F3615" s="67">
        <v>4.901266256</v>
      </c>
      <c r="G3615" s="40">
        <v>2.245435938</v>
      </c>
      <c r="H3615" s="40"/>
      <c r="I3615" s="41">
        <v>0.359550562</v>
      </c>
      <c r="J3615" s="41">
        <v>0.280898876</v>
      </c>
      <c r="K3615" s="41">
        <v>0.359550562</v>
      </c>
      <c r="L3615" s="41"/>
      <c r="M3615" s="74">
        <v>1.316877203</v>
      </c>
    </row>
    <row r="3616">
      <c r="A3616" s="1" t="s">
        <v>607</v>
      </c>
      <c r="B3616" s="38">
        <v>815083.0</v>
      </c>
      <c r="C3616" s="72">
        <v>45907.0</v>
      </c>
      <c r="D3616" s="38">
        <v>75.0</v>
      </c>
      <c r="E3616" s="75"/>
      <c r="F3616" s="67">
        <v>4.901220163</v>
      </c>
      <c r="G3616" s="40">
        <v>1.93520493</v>
      </c>
      <c r="H3616" s="40"/>
      <c r="I3616" s="41">
        <v>0.4</v>
      </c>
      <c r="J3616" s="41">
        <v>0.173333333</v>
      </c>
      <c r="K3616" s="41">
        <v>0.426666667</v>
      </c>
      <c r="L3616" s="41"/>
      <c r="M3616" s="74">
        <v>2.4071279</v>
      </c>
    </row>
    <row r="3617">
      <c r="A3617" s="1" t="s">
        <v>374</v>
      </c>
      <c r="B3617" s="38">
        <v>683004.0</v>
      </c>
      <c r="C3617" s="72">
        <v>45881.0</v>
      </c>
      <c r="D3617" s="38">
        <v>89.0</v>
      </c>
      <c r="E3617" s="75"/>
      <c r="F3617" s="67">
        <v>4.900976627</v>
      </c>
      <c r="G3617" s="40">
        <v>2.25942808</v>
      </c>
      <c r="H3617" s="40"/>
      <c r="I3617" s="41">
        <v>0.494382022</v>
      </c>
      <c r="J3617" s="41">
        <v>0.157303371</v>
      </c>
      <c r="K3617" s="41">
        <v>0.348314607</v>
      </c>
      <c r="L3617" s="41"/>
      <c r="M3617" s="74">
        <v>0.455651874</v>
      </c>
    </row>
    <row r="3618">
      <c r="A3618" s="1" t="s">
        <v>607</v>
      </c>
      <c r="B3618" s="38">
        <v>815083.0</v>
      </c>
      <c r="C3618" s="72">
        <v>45902.0</v>
      </c>
      <c r="D3618" s="38">
        <v>67.0</v>
      </c>
      <c r="E3618" s="75"/>
      <c r="F3618" s="67">
        <v>4.900795099</v>
      </c>
      <c r="G3618" s="40">
        <v>1.67084971</v>
      </c>
      <c r="H3618" s="40"/>
      <c r="I3618" s="41">
        <v>0.47761194</v>
      </c>
      <c r="J3618" s="41">
        <v>0.149253731</v>
      </c>
      <c r="K3618" s="41">
        <v>0.373134328</v>
      </c>
      <c r="L3618" s="41"/>
      <c r="M3618" s="74">
        <v>0.156430619</v>
      </c>
    </row>
    <row r="3619">
      <c r="A3619" s="1" t="s">
        <v>189</v>
      </c>
      <c r="B3619" s="38">
        <v>607536.0</v>
      </c>
      <c r="C3619" s="72">
        <v>45785.0</v>
      </c>
      <c r="D3619" s="38">
        <v>62.0</v>
      </c>
      <c r="E3619" s="75"/>
      <c r="F3619" s="67">
        <v>4.90077468</v>
      </c>
      <c r="G3619" s="40">
        <v>1.595347141</v>
      </c>
      <c r="H3619" s="40"/>
      <c r="I3619" s="41">
        <v>0.370967742</v>
      </c>
      <c r="J3619" s="41">
        <v>0.209677419</v>
      </c>
      <c r="K3619" s="41">
        <v>0.419354839</v>
      </c>
      <c r="L3619" s="41"/>
      <c r="M3619" s="74">
        <v>-6.671363572</v>
      </c>
    </row>
    <row r="3620">
      <c r="A3620" s="1" t="s">
        <v>366</v>
      </c>
      <c r="B3620" s="38">
        <v>656550.0</v>
      </c>
      <c r="C3620" s="72">
        <v>45858.0</v>
      </c>
      <c r="D3620" s="38">
        <v>99.0</v>
      </c>
      <c r="E3620" s="75"/>
      <c r="F3620" s="67">
        <v>4.900750083</v>
      </c>
      <c r="G3620" s="40">
        <v>2.545491522</v>
      </c>
      <c r="H3620" s="40"/>
      <c r="I3620" s="41">
        <v>0.373737374</v>
      </c>
      <c r="J3620" s="41">
        <v>0.303030303</v>
      </c>
      <c r="K3620" s="41">
        <v>0.323232323</v>
      </c>
      <c r="L3620" s="41"/>
      <c r="M3620" s="74">
        <v>0.230863784</v>
      </c>
    </row>
    <row r="3621">
      <c r="A3621" s="1" t="s">
        <v>376</v>
      </c>
      <c r="B3621" s="38">
        <v>668909.0</v>
      </c>
      <c r="C3621" s="72">
        <v>45763.0</v>
      </c>
      <c r="D3621" s="38">
        <v>99.0</v>
      </c>
      <c r="E3621" s="75"/>
      <c r="F3621" s="67">
        <v>4.900329931</v>
      </c>
      <c r="G3621" s="40">
        <v>2.543429913</v>
      </c>
      <c r="H3621" s="40"/>
      <c r="I3621" s="41">
        <v>0.424242424</v>
      </c>
      <c r="J3621" s="41">
        <v>0.222222222</v>
      </c>
      <c r="K3621" s="41">
        <v>0.353535354</v>
      </c>
      <c r="L3621" s="41"/>
      <c r="M3621" s="74">
        <v>1.388248539</v>
      </c>
    </row>
    <row r="3622">
      <c r="A3622" s="1" t="s">
        <v>450</v>
      </c>
      <c r="B3622" s="38">
        <v>682990.0</v>
      </c>
      <c r="C3622" s="72">
        <v>45812.0</v>
      </c>
      <c r="D3622" s="38">
        <v>83.0</v>
      </c>
      <c r="E3622" s="75"/>
      <c r="F3622" s="67">
        <v>4.900005417</v>
      </c>
      <c r="G3622" s="40">
        <v>2.046834206</v>
      </c>
      <c r="H3622" s="40"/>
      <c r="I3622" s="41">
        <v>0.361445783</v>
      </c>
      <c r="J3622" s="41">
        <v>0.180722892</v>
      </c>
      <c r="K3622" s="41">
        <v>0.457831325</v>
      </c>
      <c r="L3622" s="41"/>
      <c r="M3622" s="74">
        <v>2.886676656</v>
      </c>
    </row>
    <row r="3623">
      <c r="A3623" s="1" t="s">
        <v>509</v>
      </c>
      <c r="B3623" s="38">
        <v>676106.0</v>
      </c>
      <c r="C3623" s="72">
        <v>45764.0</v>
      </c>
      <c r="D3623" s="38">
        <v>71.0</v>
      </c>
      <c r="E3623" s="75"/>
      <c r="F3623" s="67">
        <v>4.899933243</v>
      </c>
      <c r="G3623" s="40">
        <v>1.795711662</v>
      </c>
      <c r="H3623" s="40"/>
      <c r="I3623" s="41">
        <v>0.436619718</v>
      </c>
      <c r="J3623" s="41">
        <v>0.169014085</v>
      </c>
      <c r="K3623" s="41">
        <v>0.394366197</v>
      </c>
      <c r="L3623" s="41"/>
      <c r="M3623" s="74">
        <v>-0.147650045</v>
      </c>
    </row>
    <row r="3624">
      <c r="A3624" s="1" t="s">
        <v>479</v>
      </c>
      <c r="B3624" s="38">
        <v>664299.0</v>
      </c>
      <c r="C3624" s="72">
        <v>45917.0</v>
      </c>
      <c r="D3624" s="38">
        <v>84.0</v>
      </c>
      <c r="E3624" s="75"/>
      <c r="F3624" s="67">
        <v>4.899899581</v>
      </c>
      <c r="G3624" s="40">
        <v>2.121785531</v>
      </c>
      <c r="H3624" s="40"/>
      <c r="I3624" s="41">
        <v>0.44047619</v>
      </c>
      <c r="J3624" s="41">
        <v>0.154761905</v>
      </c>
      <c r="K3624" s="41">
        <v>0.404761905</v>
      </c>
      <c r="L3624" s="41"/>
      <c r="M3624" s="74">
        <v>-0.786344613</v>
      </c>
    </row>
    <row r="3625">
      <c r="A3625" s="1" t="s">
        <v>481</v>
      </c>
      <c r="B3625" s="38">
        <v>622608.0</v>
      </c>
      <c r="C3625" s="72">
        <v>45842.0</v>
      </c>
      <c r="D3625" s="38">
        <v>89.0</v>
      </c>
      <c r="E3625" s="75"/>
      <c r="F3625" s="67">
        <v>4.899856338</v>
      </c>
      <c r="G3625" s="40">
        <v>2.274742427</v>
      </c>
      <c r="H3625" s="40"/>
      <c r="I3625" s="41">
        <v>0.370786517</v>
      </c>
      <c r="J3625" s="41">
        <v>0.303370787</v>
      </c>
      <c r="K3625" s="41">
        <v>0.325842697</v>
      </c>
      <c r="L3625" s="41"/>
      <c r="M3625" s="74">
        <v>-0.15979114</v>
      </c>
    </row>
    <row r="3626">
      <c r="A3626" s="1" t="s">
        <v>98</v>
      </c>
      <c r="B3626" s="38">
        <v>605400.0</v>
      </c>
      <c r="C3626" s="72">
        <v>45786.0</v>
      </c>
      <c r="D3626" s="38">
        <v>85.0</v>
      </c>
      <c r="E3626" s="75"/>
      <c r="F3626" s="67">
        <v>4.899704261</v>
      </c>
      <c r="G3626" s="40">
        <v>2.150765228</v>
      </c>
      <c r="H3626" s="40"/>
      <c r="I3626" s="41">
        <v>0.505882353</v>
      </c>
      <c r="J3626" s="41">
        <v>0.188235294</v>
      </c>
      <c r="K3626" s="41">
        <v>0.305882353</v>
      </c>
      <c r="L3626" s="41"/>
      <c r="M3626" s="74">
        <v>-1.838500413</v>
      </c>
    </row>
    <row r="3627">
      <c r="A3627" s="1" t="s">
        <v>302</v>
      </c>
      <c r="B3627" s="38">
        <v>681190.0</v>
      </c>
      <c r="C3627" s="72">
        <v>45906.0</v>
      </c>
      <c r="D3627" s="38">
        <v>77.0</v>
      </c>
      <c r="E3627" s="75"/>
      <c r="F3627" s="67">
        <v>4.899685764</v>
      </c>
      <c r="G3627" s="40">
        <v>1.965979761</v>
      </c>
      <c r="H3627" s="40"/>
      <c r="I3627" s="41">
        <v>0.415584416</v>
      </c>
      <c r="J3627" s="41">
        <v>0.25974026</v>
      </c>
      <c r="K3627" s="41">
        <v>0.324675325</v>
      </c>
      <c r="L3627" s="41"/>
      <c r="M3627" s="74">
        <v>-1.857032666</v>
      </c>
    </row>
    <row r="3628">
      <c r="A3628" s="1" t="s">
        <v>434</v>
      </c>
      <c r="B3628" s="38">
        <v>690990.0</v>
      </c>
      <c r="C3628" s="72">
        <v>45882.0</v>
      </c>
      <c r="D3628" s="38">
        <v>75.0</v>
      </c>
      <c r="E3628" s="75"/>
      <c r="F3628" s="67">
        <v>4.899331359</v>
      </c>
      <c r="G3628" s="40">
        <v>1.898977903</v>
      </c>
      <c r="H3628" s="40"/>
      <c r="I3628" s="41">
        <v>0.44</v>
      </c>
      <c r="J3628" s="41">
        <v>0.146666667</v>
      </c>
      <c r="K3628" s="41">
        <v>0.413333333</v>
      </c>
      <c r="L3628" s="41"/>
      <c r="M3628" s="74">
        <v>3.086589283</v>
      </c>
    </row>
    <row r="3629">
      <c r="A3629" s="1" t="s">
        <v>561</v>
      </c>
      <c r="B3629" s="38">
        <v>687362.0</v>
      </c>
      <c r="C3629" s="72">
        <v>45755.0</v>
      </c>
      <c r="D3629" s="38">
        <v>73.0</v>
      </c>
      <c r="E3629" s="75"/>
      <c r="F3629" s="67">
        <v>4.899289956</v>
      </c>
      <c r="G3629" s="40">
        <v>1.831635464</v>
      </c>
      <c r="H3629" s="40"/>
      <c r="I3629" s="41">
        <v>0.506849315</v>
      </c>
      <c r="J3629" s="41">
        <v>0.068493151</v>
      </c>
      <c r="K3629" s="41">
        <v>0.424657534</v>
      </c>
      <c r="L3629" s="41"/>
      <c r="M3629" s="74">
        <v>0.5109333</v>
      </c>
    </row>
    <row r="3630">
      <c r="A3630" s="1" t="s">
        <v>296</v>
      </c>
      <c r="B3630" s="38">
        <v>669372.0</v>
      </c>
      <c r="C3630" s="72">
        <v>45912.0</v>
      </c>
      <c r="D3630" s="38">
        <v>86.0</v>
      </c>
      <c r="E3630" s="75"/>
      <c r="F3630" s="67">
        <v>4.89909296</v>
      </c>
      <c r="G3630" s="40">
        <v>2.166041963</v>
      </c>
      <c r="H3630" s="40"/>
      <c r="I3630" s="41">
        <v>0.488372093</v>
      </c>
      <c r="J3630" s="41">
        <v>0.104651163</v>
      </c>
      <c r="K3630" s="41">
        <v>0.406976744</v>
      </c>
      <c r="L3630" s="41"/>
      <c r="M3630" s="74">
        <v>2.766279825</v>
      </c>
    </row>
    <row r="3631">
      <c r="A3631" s="1" t="s">
        <v>222</v>
      </c>
      <c r="B3631" s="38">
        <v>518876.0</v>
      </c>
      <c r="C3631" s="72">
        <v>45877.0</v>
      </c>
      <c r="D3631" s="38">
        <v>93.0</v>
      </c>
      <c r="E3631" s="75"/>
      <c r="F3631" s="67">
        <v>4.898966194</v>
      </c>
      <c r="G3631" s="40">
        <v>2.294909456</v>
      </c>
      <c r="H3631" s="40"/>
      <c r="I3631" s="41">
        <v>0.419354839</v>
      </c>
      <c r="J3631" s="41">
        <v>0.172043011</v>
      </c>
      <c r="K3631" s="41">
        <v>0.408602151</v>
      </c>
      <c r="L3631" s="41"/>
      <c r="M3631" s="74">
        <v>-0.030722755</v>
      </c>
    </row>
    <row r="3632">
      <c r="A3632" s="1" t="s">
        <v>156</v>
      </c>
      <c r="B3632" s="38">
        <v>519242.0</v>
      </c>
      <c r="C3632" s="72">
        <v>45766.0</v>
      </c>
      <c r="D3632" s="38">
        <v>95.0</v>
      </c>
      <c r="E3632" s="75"/>
      <c r="F3632" s="67">
        <v>4.89857683</v>
      </c>
      <c r="G3632" s="40">
        <v>2.370855896</v>
      </c>
      <c r="H3632" s="40"/>
      <c r="I3632" s="41">
        <v>0.484210526</v>
      </c>
      <c r="J3632" s="41">
        <v>0.147368421</v>
      </c>
      <c r="K3632" s="41">
        <v>0.368421053</v>
      </c>
      <c r="L3632" s="41"/>
      <c r="M3632" s="74">
        <v>0.171481541</v>
      </c>
    </row>
    <row r="3633">
      <c r="A3633" s="1" t="s">
        <v>590</v>
      </c>
      <c r="B3633" s="38">
        <v>800049.0</v>
      </c>
      <c r="C3633" s="72">
        <v>45920.0</v>
      </c>
      <c r="D3633" s="38">
        <v>63.0</v>
      </c>
      <c r="E3633" s="75"/>
      <c r="F3633" s="67">
        <v>4.898437249</v>
      </c>
      <c r="G3633" s="40">
        <v>1.606270066</v>
      </c>
      <c r="H3633" s="40"/>
      <c r="I3633" s="41">
        <v>0.444444444</v>
      </c>
      <c r="J3633" s="41">
        <v>0.19047619</v>
      </c>
      <c r="K3633" s="41">
        <v>0.365079365</v>
      </c>
      <c r="L3633" s="41"/>
      <c r="M3633" s="74">
        <v>-1.456498228</v>
      </c>
    </row>
    <row r="3634">
      <c r="A3634" s="1" t="s">
        <v>420</v>
      </c>
      <c r="B3634" s="38">
        <v>547179.0</v>
      </c>
      <c r="C3634" s="72">
        <v>45781.0</v>
      </c>
      <c r="D3634" s="38">
        <v>83.0</v>
      </c>
      <c r="E3634" s="75"/>
      <c r="F3634" s="67">
        <v>4.898332996</v>
      </c>
      <c r="G3634" s="40">
        <v>2.081621783</v>
      </c>
      <c r="H3634" s="40"/>
      <c r="I3634" s="41">
        <v>0.409638554</v>
      </c>
      <c r="J3634" s="41">
        <v>0.21686747</v>
      </c>
      <c r="K3634" s="41">
        <v>0.373493976</v>
      </c>
      <c r="L3634" s="41"/>
      <c r="M3634" s="74">
        <v>-2.500183676</v>
      </c>
    </row>
    <row r="3635">
      <c r="A3635" s="1" t="s">
        <v>466</v>
      </c>
      <c r="B3635" s="38">
        <v>687134.0</v>
      </c>
      <c r="C3635" s="72">
        <v>45860.0</v>
      </c>
      <c r="D3635" s="38">
        <v>73.0</v>
      </c>
      <c r="E3635" s="75"/>
      <c r="F3635" s="67">
        <v>4.898128952</v>
      </c>
      <c r="G3635" s="40">
        <v>1.871235608</v>
      </c>
      <c r="H3635" s="40"/>
      <c r="I3635" s="41">
        <v>0.424657534</v>
      </c>
      <c r="J3635" s="41">
        <v>0.191780822</v>
      </c>
      <c r="K3635" s="41">
        <v>0.383561644</v>
      </c>
      <c r="L3635" s="41"/>
      <c r="M3635" s="74">
        <v>-3.840690212</v>
      </c>
    </row>
    <row r="3636">
      <c r="A3636" s="1" t="s">
        <v>366</v>
      </c>
      <c r="B3636" s="38">
        <v>656550.0</v>
      </c>
      <c r="C3636" s="72">
        <v>45834.0</v>
      </c>
      <c r="D3636" s="38">
        <v>93.0</v>
      </c>
      <c r="E3636" s="75"/>
      <c r="F3636" s="67">
        <v>4.898042396</v>
      </c>
      <c r="G3636" s="40">
        <v>2.35652692</v>
      </c>
      <c r="H3636" s="40"/>
      <c r="I3636" s="41">
        <v>0.440860215</v>
      </c>
      <c r="J3636" s="41">
        <v>0.204301075</v>
      </c>
      <c r="K3636" s="41">
        <v>0.35483871</v>
      </c>
      <c r="L3636" s="41"/>
      <c r="M3636" s="74">
        <v>-0.167937549</v>
      </c>
    </row>
    <row r="3637">
      <c r="A3637" s="1" t="s">
        <v>194</v>
      </c>
      <c r="B3637" s="38">
        <v>666157.0</v>
      </c>
      <c r="C3637" s="72">
        <v>45791.0</v>
      </c>
      <c r="D3637" s="38">
        <v>92.0</v>
      </c>
      <c r="E3637" s="75"/>
      <c r="F3637" s="67">
        <v>4.897529769</v>
      </c>
      <c r="G3637" s="40">
        <v>2.323133547</v>
      </c>
      <c r="H3637" s="40"/>
      <c r="I3637" s="41">
        <v>0.369565217</v>
      </c>
      <c r="J3637" s="41">
        <v>0.22826087</v>
      </c>
      <c r="K3637" s="41">
        <v>0.402173913</v>
      </c>
      <c r="L3637" s="41"/>
      <c r="M3637" s="74">
        <v>-1.682758629</v>
      </c>
    </row>
    <row r="3638">
      <c r="A3638" s="1" t="s">
        <v>321</v>
      </c>
      <c r="B3638" s="38">
        <v>607200.0</v>
      </c>
      <c r="C3638" s="72">
        <v>45809.0</v>
      </c>
      <c r="D3638" s="38">
        <v>89.0</v>
      </c>
      <c r="E3638" s="75"/>
      <c r="F3638" s="67">
        <v>4.897379433</v>
      </c>
      <c r="G3638" s="40">
        <v>2.27033699</v>
      </c>
      <c r="H3638" s="40"/>
      <c r="I3638" s="41">
        <v>0.359550562</v>
      </c>
      <c r="J3638" s="41">
        <v>0.224719101</v>
      </c>
      <c r="K3638" s="41">
        <v>0.415730337</v>
      </c>
      <c r="L3638" s="41"/>
      <c r="M3638" s="74">
        <v>3.023713852</v>
      </c>
    </row>
    <row r="3639">
      <c r="A3639" s="1" t="s">
        <v>163</v>
      </c>
      <c r="B3639" s="38">
        <v>663460.0</v>
      </c>
      <c r="C3639" s="72">
        <v>45858.0</v>
      </c>
      <c r="D3639" s="38">
        <v>63.0</v>
      </c>
      <c r="E3639" s="75"/>
      <c r="F3639" s="67">
        <v>4.897163942</v>
      </c>
      <c r="G3639" s="40">
        <v>1.602095228</v>
      </c>
      <c r="H3639" s="40"/>
      <c r="I3639" s="41">
        <v>0.476190476</v>
      </c>
      <c r="J3639" s="41">
        <v>0.111111111</v>
      </c>
      <c r="K3639" s="41">
        <v>0.412698413</v>
      </c>
      <c r="L3639" s="41"/>
      <c r="M3639" s="74">
        <v>0.185139368</v>
      </c>
    </row>
    <row r="3640">
      <c r="A3640" s="1" t="s">
        <v>399</v>
      </c>
      <c r="B3640" s="38">
        <v>543294.0</v>
      </c>
      <c r="C3640" s="72">
        <v>45882.0</v>
      </c>
      <c r="D3640" s="38">
        <v>79.0</v>
      </c>
      <c r="E3640" s="75"/>
      <c r="F3640" s="67">
        <v>4.896775687</v>
      </c>
      <c r="G3640" s="40">
        <v>1.956994106</v>
      </c>
      <c r="H3640" s="40"/>
      <c r="I3640" s="41">
        <v>0.443037975</v>
      </c>
      <c r="J3640" s="41">
        <v>0.126582278</v>
      </c>
      <c r="K3640" s="41">
        <v>0.430379747</v>
      </c>
      <c r="L3640" s="41"/>
      <c r="M3640" s="74">
        <v>-1.217726499</v>
      </c>
    </row>
    <row r="3641">
      <c r="A3641" s="1" t="s">
        <v>321</v>
      </c>
      <c r="B3641" s="38">
        <v>607200.0</v>
      </c>
      <c r="C3641" s="72">
        <v>45756.0</v>
      </c>
      <c r="D3641" s="38">
        <v>88.0</v>
      </c>
      <c r="E3641" s="75"/>
      <c r="F3641" s="67">
        <v>4.896744603</v>
      </c>
      <c r="G3641" s="40">
        <v>2.231379487</v>
      </c>
      <c r="H3641" s="40"/>
      <c r="I3641" s="41">
        <v>0.420454545</v>
      </c>
      <c r="J3641" s="41">
        <v>0.193181818</v>
      </c>
      <c r="K3641" s="41">
        <v>0.386363636</v>
      </c>
      <c r="L3641" s="41"/>
      <c r="M3641" s="74">
        <v>5.361201997</v>
      </c>
    </row>
    <row r="3642">
      <c r="A3642" s="1" t="s">
        <v>207</v>
      </c>
      <c r="B3642" s="38">
        <v>650633.0</v>
      </c>
      <c r="C3642" s="72">
        <v>45743.0</v>
      </c>
      <c r="D3642" s="38">
        <v>72.0</v>
      </c>
      <c r="E3642" s="75"/>
      <c r="F3642" s="67">
        <v>4.896573849</v>
      </c>
      <c r="G3642" s="40">
        <v>1.796051873</v>
      </c>
      <c r="H3642" s="40"/>
      <c r="I3642" s="41">
        <v>0.416666667</v>
      </c>
      <c r="J3642" s="41">
        <v>0.194444444</v>
      </c>
      <c r="K3642" s="41">
        <v>0.388888889</v>
      </c>
      <c r="L3642" s="41"/>
      <c r="M3642" s="74">
        <v>-1.089065832</v>
      </c>
    </row>
    <row r="3643">
      <c r="A3643" s="1" t="s">
        <v>127</v>
      </c>
      <c r="B3643" s="38">
        <v>687765.0</v>
      </c>
      <c r="C3643" s="72">
        <v>45847.0</v>
      </c>
      <c r="D3643" s="38">
        <v>76.0</v>
      </c>
      <c r="E3643" s="75"/>
      <c r="F3643" s="67">
        <v>4.896572935</v>
      </c>
      <c r="G3643" s="40">
        <v>1.964368294</v>
      </c>
      <c r="H3643" s="40"/>
      <c r="I3643" s="41">
        <v>0.434210526</v>
      </c>
      <c r="J3643" s="41">
        <v>0.184210526</v>
      </c>
      <c r="K3643" s="41">
        <v>0.381578947</v>
      </c>
      <c r="L3643" s="41"/>
      <c r="M3643" s="74">
        <v>-2.313227375</v>
      </c>
    </row>
    <row r="3644">
      <c r="A3644" s="1" t="s">
        <v>481</v>
      </c>
      <c r="B3644" s="38">
        <v>622608.0</v>
      </c>
      <c r="C3644" s="72">
        <v>45797.0</v>
      </c>
      <c r="D3644" s="38">
        <v>80.0</v>
      </c>
      <c r="E3644" s="75"/>
      <c r="F3644" s="67">
        <v>4.896345013</v>
      </c>
      <c r="G3644" s="40">
        <v>2.042768734</v>
      </c>
      <c r="H3644" s="40"/>
      <c r="I3644" s="41">
        <v>0.4625</v>
      </c>
      <c r="J3644" s="41">
        <v>0.1875</v>
      </c>
      <c r="K3644" s="41">
        <v>0.35</v>
      </c>
      <c r="L3644" s="41"/>
      <c r="M3644" s="74">
        <v>-4.354403732</v>
      </c>
    </row>
    <row r="3645">
      <c r="A3645" s="1" t="s">
        <v>113</v>
      </c>
      <c r="B3645" s="38">
        <v>664285.0</v>
      </c>
      <c r="C3645" s="72">
        <v>45872.0</v>
      </c>
      <c r="D3645" s="38">
        <v>86.0</v>
      </c>
      <c r="E3645" s="75"/>
      <c r="F3645" s="67">
        <v>4.896111641</v>
      </c>
      <c r="G3645" s="40">
        <v>2.165129785</v>
      </c>
      <c r="H3645" s="40"/>
      <c r="I3645" s="41">
        <v>0.441860465</v>
      </c>
      <c r="J3645" s="41">
        <v>0.23255814</v>
      </c>
      <c r="K3645" s="41">
        <v>0.325581395</v>
      </c>
      <c r="L3645" s="41"/>
      <c r="M3645" s="74">
        <v>-1.068403741</v>
      </c>
    </row>
    <row r="3646">
      <c r="A3646" s="1" t="s">
        <v>329</v>
      </c>
      <c r="B3646" s="38">
        <v>669160.0</v>
      </c>
      <c r="C3646" s="72">
        <v>45769.0</v>
      </c>
      <c r="D3646" s="38">
        <v>94.0</v>
      </c>
      <c r="E3646" s="75"/>
      <c r="F3646" s="67">
        <v>4.89599731</v>
      </c>
      <c r="G3646" s="40">
        <v>2.370594778</v>
      </c>
      <c r="H3646" s="40"/>
      <c r="I3646" s="41">
        <v>0.436170213</v>
      </c>
      <c r="J3646" s="41">
        <v>0.138297872</v>
      </c>
      <c r="K3646" s="41">
        <v>0.425531915</v>
      </c>
      <c r="L3646" s="41"/>
      <c r="M3646" s="74">
        <v>-5.419573347</v>
      </c>
    </row>
    <row r="3647">
      <c r="A3647" s="1" t="s">
        <v>416</v>
      </c>
      <c r="B3647" s="38">
        <v>608337.0</v>
      </c>
      <c r="C3647" s="72">
        <v>45824.0</v>
      </c>
      <c r="D3647" s="38">
        <v>90.0</v>
      </c>
      <c r="E3647" s="75"/>
      <c r="F3647" s="67">
        <v>4.895924522</v>
      </c>
      <c r="G3647" s="40">
        <v>2.265206591</v>
      </c>
      <c r="H3647" s="40"/>
      <c r="I3647" s="41">
        <v>0.444444444</v>
      </c>
      <c r="J3647" s="41">
        <v>0.122222222</v>
      </c>
      <c r="K3647" s="41">
        <v>0.433333333</v>
      </c>
      <c r="L3647" s="41"/>
      <c r="M3647" s="74">
        <v>1.409611008</v>
      </c>
    </row>
    <row r="3648">
      <c r="A3648" s="1" t="s">
        <v>354</v>
      </c>
      <c r="B3648" s="38">
        <v>669022.0</v>
      </c>
      <c r="C3648" s="72">
        <v>45828.0</v>
      </c>
      <c r="D3648" s="38">
        <v>99.0</v>
      </c>
      <c r="E3648" s="75"/>
      <c r="F3648" s="67">
        <v>4.895652339</v>
      </c>
      <c r="G3648" s="40">
        <v>2.487933835</v>
      </c>
      <c r="H3648" s="40"/>
      <c r="I3648" s="41">
        <v>0.474747475</v>
      </c>
      <c r="J3648" s="41">
        <v>0.121212121</v>
      </c>
      <c r="K3648" s="41">
        <v>0.404040404</v>
      </c>
      <c r="L3648" s="41"/>
      <c r="M3648" s="74">
        <v>-2.620813784</v>
      </c>
    </row>
    <row r="3649">
      <c r="A3649" s="1" t="s">
        <v>63</v>
      </c>
      <c r="B3649" s="38">
        <v>687888.0</v>
      </c>
      <c r="C3649" s="72">
        <v>45829.0</v>
      </c>
      <c r="D3649" s="38">
        <v>96.0</v>
      </c>
      <c r="E3649" s="75"/>
      <c r="F3649" s="67">
        <v>4.895631978</v>
      </c>
      <c r="G3649" s="40">
        <v>2.483598325</v>
      </c>
      <c r="H3649" s="40"/>
      <c r="I3649" s="41">
        <v>0.395833333</v>
      </c>
      <c r="J3649" s="41">
        <v>0.208333333</v>
      </c>
      <c r="K3649" s="41">
        <v>0.395833333</v>
      </c>
      <c r="L3649" s="41"/>
      <c r="M3649" s="74">
        <v>-3.197893753</v>
      </c>
    </row>
    <row r="3650">
      <c r="A3650" s="1" t="s">
        <v>384</v>
      </c>
      <c r="B3650" s="38">
        <v>666214.0</v>
      </c>
      <c r="C3650" s="72">
        <v>45868.0</v>
      </c>
      <c r="D3650" s="38">
        <v>90.0</v>
      </c>
      <c r="E3650" s="75"/>
      <c r="F3650" s="67">
        <v>4.895351796</v>
      </c>
      <c r="G3650" s="40">
        <v>2.273150396</v>
      </c>
      <c r="H3650" s="40"/>
      <c r="I3650" s="41">
        <v>0.433333333</v>
      </c>
      <c r="J3650" s="41">
        <v>0.233333333</v>
      </c>
      <c r="K3650" s="41">
        <v>0.333333333</v>
      </c>
      <c r="L3650" s="41"/>
      <c r="M3650" s="74">
        <v>4.083624237</v>
      </c>
    </row>
    <row r="3651">
      <c r="A3651" s="1" t="s">
        <v>207</v>
      </c>
      <c r="B3651" s="38">
        <v>650633.0</v>
      </c>
      <c r="C3651" s="72">
        <v>45783.0</v>
      </c>
      <c r="D3651" s="38">
        <v>90.0</v>
      </c>
      <c r="E3651" s="75"/>
      <c r="F3651" s="67">
        <v>4.895186871</v>
      </c>
      <c r="G3651" s="40">
        <v>2.26169437</v>
      </c>
      <c r="H3651" s="40"/>
      <c r="I3651" s="41">
        <v>0.433333333</v>
      </c>
      <c r="J3651" s="41">
        <v>0.155555556</v>
      </c>
      <c r="K3651" s="41">
        <v>0.411111111</v>
      </c>
      <c r="L3651" s="41"/>
      <c r="M3651" s="74">
        <v>1.619095386</v>
      </c>
    </row>
    <row r="3652">
      <c r="A3652" s="1" t="s">
        <v>177</v>
      </c>
      <c r="B3652" s="38">
        <v>641793.0</v>
      </c>
      <c r="C3652" s="72">
        <v>45909.0</v>
      </c>
      <c r="D3652" s="38">
        <v>87.0</v>
      </c>
      <c r="E3652" s="75"/>
      <c r="F3652" s="67">
        <v>4.895107527</v>
      </c>
      <c r="G3652" s="40">
        <v>2.192443615</v>
      </c>
      <c r="H3652" s="40"/>
      <c r="I3652" s="41">
        <v>0.505747126</v>
      </c>
      <c r="J3652" s="41">
        <v>0.16091954</v>
      </c>
      <c r="K3652" s="41">
        <v>0.333333333</v>
      </c>
      <c r="L3652" s="41"/>
      <c r="M3652" s="74">
        <v>3.354396285</v>
      </c>
    </row>
    <row r="3653">
      <c r="A3653" s="1" t="s">
        <v>121</v>
      </c>
      <c r="B3653" s="38">
        <v>676974.0</v>
      </c>
      <c r="C3653" s="72">
        <v>45804.0</v>
      </c>
      <c r="D3653" s="38">
        <v>72.0</v>
      </c>
      <c r="E3653" s="75"/>
      <c r="F3653" s="67">
        <v>4.895020801</v>
      </c>
      <c r="G3653" s="40">
        <v>1.847741148</v>
      </c>
      <c r="H3653" s="40"/>
      <c r="I3653" s="41">
        <v>0.444444444</v>
      </c>
      <c r="J3653" s="41">
        <v>0.180555556</v>
      </c>
      <c r="K3653" s="41">
        <v>0.375</v>
      </c>
      <c r="L3653" s="41"/>
      <c r="M3653" s="74">
        <v>-2.38889432</v>
      </c>
    </row>
    <row r="3654">
      <c r="A3654" s="1" t="s">
        <v>470</v>
      </c>
      <c r="B3654" s="38">
        <v>681343.0</v>
      </c>
      <c r="C3654" s="72">
        <v>45825.0</v>
      </c>
      <c r="D3654" s="38">
        <v>81.0</v>
      </c>
      <c r="E3654" s="75"/>
      <c r="F3654" s="67">
        <v>4.894954422</v>
      </c>
      <c r="G3654" s="40">
        <v>2.081559986</v>
      </c>
      <c r="H3654" s="40"/>
      <c r="I3654" s="41">
        <v>0.37037037</v>
      </c>
      <c r="J3654" s="41">
        <v>0.24691358</v>
      </c>
      <c r="K3654" s="41">
        <v>0.382716049</v>
      </c>
      <c r="L3654" s="41"/>
      <c r="M3654" s="74">
        <v>-0.340813956</v>
      </c>
    </row>
    <row r="3655">
      <c r="A3655" s="1" t="s">
        <v>513</v>
      </c>
      <c r="B3655" s="38">
        <v>608566.0</v>
      </c>
      <c r="C3655" s="72">
        <v>45758.0</v>
      </c>
      <c r="D3655" s="38">
        <v>67.0</v>
      </c>
      <c r="E3655" s="75"/>
      <c r="F3655" s="67">
        <v>4.894798039</v>
      </c>
      <c r="G3655" s="40">
        <v>1.712450533</v>
      </c>
      <c r="H3655" s="40"/>
      <c r="I3655" s="41">
        <v>0.462686567</v>
      </c>
      <c r="J3655" s="41">
        <v>0.149253731</v>
      </c>
      <c r="K3655" s="41">
        <v>0.388059701</v>
      </c>
      <c r="L3655" s="41"/>
      <c r="M3655" s="74">
        <v>-4.372966942</v>
      </c>
    </row>
    <row r="3656">
      <c r="A3656" s="1" t="s">
        <v>361</v>
      </c>
      <c r="B3656" s="38">
        <v>686563.0</v>
      </c>
      <c r="C3656" s="72">
        <v>45837.0</v>
      </c>
      <c r="D3656" s="38">
        <v>68.0</v>
      </c>
      <c r="E3656" s="75"/>
      <c r="F3656" s="67">
        <v>4.894753856</v>
      </c>
      <c r="G3656" s="40">
        <v>1.695323838</v>
      </c>
      <c r="H3656" s="40"/>
      <c r="I3656" s="41">
        <v>0.441176471</v>
      </c>
      <c r="J3656" s="41">
        <v>0.088235294</v>
      </c>
      <c r="K3656" s="41">
        <v>0.470588235</v>
      </c>
      <c r="L3656" s="41"/>
      <c r="M3656" s="74">
        <v>0.838262726</v>
      </c>
    </row>
    <row r="3657">
      <c r="A3657" s="1" t="s">
        <v>247</v>
      </c>
      <c r="B3657" s="38">
        <v>605540.0</v>
      </c>
      <c r="C3657" s="72">
        <v>45900.0</v>
      </c>
      <c r="D3657" s="38">
        <v>84.0</v>
      </c>
      <c r="E3657" s="75"/>
      <c r="F3657" s="67">
        <v>4.894632073</v>
      </c>
      <c r="G3657" s="40">
        <v>2.172102273</v>
      </c>
      <c r="H3657" s="40"/>
      <c r="I3657" s="41">
        <v>0.44047619</v>
      </c>
      <c r="J3657" s="41">
        <v>0.214285714</v>
      </c>
      <c r="K3657" s="41">
        <v>0.345238095</v>
      </c>
      <c r="L3657" s="41"/>
      <c r="M3657" s="74">
        <v>-4.471201055</v>
      </c>
    </row>
    <row r="3658">
      <c r="A3658" s="1" t="s">
        <v>256</v>
      </c>
      <c r="B3658" s="38">
        <v>571760.0</v>
      </c>
      <c r="C3658" s="72">
        <v>45827.0</v>
      </c>
      <c r="D3658" s="38">
        <v>83.0</v>
      </c>
      <c r="E3658" s="75"/>
      <c r="F3658" s="67">
        <v>4.894592496</v>
      </c>
      <c r="G3658" s="40">
        <v>2.105314006</v>
      </c>
      <c r="H3658" s="40"/>
      <c r="I3658" s="41">
        <v>0.542168675</v>
      </c>
      <c r="J3658" s="41">
        <v>0.096385542</v>
      </c>
      <c r="K3658" s="41">
        <v>0.361445783</v>
      </c>
      <c r="L3658" s="41"/>
      <c r="M3658" s="74">
        <v>-4.506620581</v>
      </c>
    </row>
    <row r="3659">
      <c r="A3659" s="1" t="s">
        <v>553</v>
      </c>
      <c r="B3659" s="38">
        <v>800311.0</v>
      </c>
      <c r="C3659" s="72">
        <v>45840.0</v>
      </c>
      <c r="D3659" s="38">
        <v>92.0</v>
      </c>
      <c r="E3659" s="75"/>
      <c r="F3659" s="67">
        <v>4.894584885</v>
      </c>
      <c r="G3659" s="40">
        <v>2.286470678</v>
      </c>
      <c r="H3659" s="40"/>
      <c r="I3659" s="41">
        <v>0.434782609</v>
      </c>
      <c r="J3659" s="41">
        <v>0.163043478</v>
      </c>
      <c r="K3659" s="41">
        <v>0.402173913</v>
      </c>
      <c r="L3659" s="41"/>
      <c r="M3659" s="74">
        <v>0.517722077</v>
      </c>
    </row>
    <row r="3660">
      <c r="A3660" s="1" t="s">
        <v>423</v>
      </c>
      <c r="B3660" s="38">
        <v>656605.0</v>
      </c>
      <c r="C3660" s="72">
        <v>45877.0</v>
      </c>
      <c r="D3660" s="38">
        <v>95.0</v>
      </c>
      <c r="E3660" s="75"/>
      <c r="F3660" s="67">
        <v>4.894551915</v>
      </c>
      <c r="G3660" s="40">
        <v>2.370200452</v>
      </c>
      <c r="H3660" s="40"/>
      <c r="I3660" s="41">
        <v>0.452631579</v>
      </c>
      <c r="J3660" s="41">
        <v>0.2</v>
      </c>
      <c r="K3660" s="41">
        <v>0.347368421</v>
      </c>
      <c r="L3660" s="41"/>
      <c r="M3660" s="74">
        <v>-1.313327437</v>
      </c>
    </row>
    <row r="3661">
      <c r="A3661" s="1" t="s">
        <v>452</v>
      </c>
      <c r="B3661" s="38">
        <v>607625.0</v>
      </c>
      <c r="C3661" s="72">
        <v>45888.0</v>
      </c>
      <c r="D3661" s="38">
        <v>101.0</v>
      </c>
      <c r="E3661" s="75"/>
      <c r="F3661" s="67">
        <v>4.894541136</v>
      </c>
      <c r="G3661" s="40">
        <v>2.568327513</v>
      </c>
      <c r="H3661" s="40"/>
      <c r="I3661" s="41">
        <v>0.405940594</v>
      </c>
      <c r="J3661" s="41">
        <v>0.198019802</v>
      </c>
      <c r="K3661" s="41">
        <v>0.396039604</v>
      </c>
      <c r="L3661" s="41"/>
      <c r="M3661" s="74">
        <v>2.049985269</v>
      </c>
    </row>
    <row r="3662">
      <c r="A3662" s="1" t="s">
        <v>306</v>
      </c>
      <c r="B3662" s="38">
        <v>677944.0</v>
      </c>
      <c r="C3662" s="72">
        <v>45836.0</v>
      </c>
      <c r="D3662" s="38">
        <v>88.0</v>
      </c>
      <c r="E3662" s="75"/>
      <c r="F3662" s="67">
        <v>4.894392036</v>
      </c>
      <c r="G3662" s="40">
        <v>2.229148123</v>
      </c>
      <c r="H3662" s="40"/>
      <c r="I3662" s="41">
        <v>0.420454545</v>
      </c>
      <c r="J3662" s="41">
        <v>0.204545455</v>
      </c>
      <c r="K3662" s="41">
        <v>0.375</v>
      </c>
      <c r="L3662" s="41"/>
      <c r="M3662" s="74">
        <v>0.202630954</v>
      </c>
    </row>
    <row r="3663">
      <c r="A3663" s="1" t="s">
        <v>464</v>
      </c>
      <c r="B3663" s="38">
        <v>615698.0</v>
      </c>
      <c r="C3663" s="72">
        <v>45837.0</v>
      </c>
      <c r="D3663" s="38">
        <v>86.0</v>
      </c>
      <c r="E3663" s="75"/>
      <c r="F3663" s="67">
        <v>4.894386544</v>
      </c>
      <c r="G3663" s="40">
        <v>2.197667322</v>
      </c>
      <c r="H3663" s="40"/>
      <c r="I3663" s="41">
        <v>0.348837209</v>
      </c>
      <c r="J3663" s="41">
        <v>0.302325581</v>
      </c>
      <c r="K3663" s="41">
        <v>0.348837209</v>
      </c>
      <c r="L3663" s="41"/>
      <c r="M3663" s="74">
        <v>1.97215378</v>
      </c>
    </row>
    <row r="3664">
      <c r="A3664" s="1" t="s">
        <v>399</v>
      </c>
      <c r="B3664" s="38">
        <v>543294.0</v>
      </c>
      <c r="C3664" s="72">
        <v>45893.0</v>
      </c>
      <c r="D3664" s="38">
        <v>74.0</v>
      </c>
      <c r="E3664" s="75"/>
      <c r="F3664" s="67">
        <v>4.894094613</v>
      </c>
      <c r="G3664" s="40">
        <v>1.901219954</v>
      </c>
      <c r="H3664" s="40"/>
      <c r="I3664" s="41">
        <v>0.432432432</v>
      </c>
      <c r="J3664" s="41">
        <v>0.135135135</v>
      </c>
      <c r="K3664" s="41">
        <v>0.432432432</v>
      </c>
      <c r="L3664" s="41"/>
      <c r="M3664" s="74">
        <v>0.375077055</v>
      </c>
    </row>
    <row r="3665">
      <c r="A3665" s="1" t="s">
        <v>470</v>
      </c>
      <c r="B3665" s="38">
        <v>681343.0</v>
      </c>
      <c r="C3665" s="72">
        <v>45748.0</v>
      </c>
      <c r="D3665" s="38">
        <v>73.0</v>
      </c>
      <c r="E3665" s="75"/>
      <c r="F3665" s="67">
        <v>4.89406723</v>
      </c>
      <c r="G3665" s="40">
        <v>1.903617091</v>
      </c>
      <c r="H3665" s="40"/>
      <c r="I3665" s="41">
        <v>0.452054795</v>
      </c>
      <c r="J3665" s="41">
        <v>0.164383562</v>
      </c>
      <c r="K3665" s="41">
        <v>0.383561644</v>
      </c>
      <c r="L3665" s="41"/>
      <c r="M3665" s="74">
        <v>2.224600488</v>
      </c>
    </row>
    <row r="3666">
      <c r="A3666" s="1" t="s">
        <v>405</v>
      </c>
      <c r="B3666" s="38">
        <v>621111.0</v>
      </c>
      <c r="C3666" s="72">
        <v>45882.0</v>
      </c>
      <c r="D3666" s="38">
        <v>94.0</v>
      </c>
      <c r="E3666" s="75"/>
      <c r="F3666" s="67">
        <v>4.893858461</v>
      </c>
      <c r="G3666" s="40">
        <v>2.410955757</v>
      </c>
      <c r="H3666" s="40"/>
      <c r="I3666" s="41">
        <v>0.489361702</v>
      </c>
      <c r="J3666" s="41">
        <v>0.14893617</v>
      </c>
      <c r="K3666" s="41">
        <v>0.361702128</v>
      </c>
      <c r="L3666" s="41"/>
      <c r="M3666" s="74">
        <v>1.469690335</v>
      </c>
    </row>
    <row r="3667">
      <c r="A3667" s="1" t="s">
        <v>408</v>
      </c>
      <c r="B3667" s="38">
        <v>657376.0</v>
      </c>
      <c r="C3667" s="72">
        <v>45812.0</v>
      </c>
      <c r="D3667" s="38">
        <v>89.0</v>
      </c>
      <c r="E3667" s="75"/>
      <c r="F3667" s="67">
        <v>4.893802635</v>
      </c>
      <c r="G3667" s="40">
        <v>2.257135109</v>
      </c>
      <c r="H3667" s="40"/>
      <c r="I3667" s="41">
        <v>0.393258427</v>
      </c>
      <c r="J3667" s="41">
        <v>0.224719101</v>
      </c>
      <c r="K3667" s="41">
        <v>0.382022472</v>
      </c>
      <c r="L3667" s="41"/>
      <c r="M3667" s="74">
        <v>-1.058781502</v>
      </c>
    </row>
    <row r="3668">
      <c r="A3668" s="1" t="s">
        <v>303</v>
      </c>
      <c r="B3668" s="38">
        <v>592662.0</v>
      </c>
      <c r="C3668" s="72">
        <v>45819.0</v>
      </c>
      <c r="D3668" s="38">
        <v>86.0</v>
      </c>
      <c r="E3668" s="75"/>
      <c r="F3668" s="67">
        <v>4.893663094</v>
      </c>
      <c r="G3668" s="40">
        <v>2.187723258</v>
      </c>
      <c r="H3668" s="40"/>
      <c r="I3668" s="41">
        <v>0.453488372</v>
      </c>
      <c r="J3668" s="41">
        <v>0.220930233</v>
      </c>
      <c r="K3668" s="41">
        <v>0.325581395</v>
      </c>
      <c r="L3668" s="41"/>
      <c r="M3668" s="74">
        <v>-1.820045186</v>
      </c>
    </row>
    <row r="3669">
      <c r="A3669" s="1" t="s">
        <v>85</v>
      </c>
      <c r="B3669" s="38">
        <v>808967.0</v>
      </c>
      <c r="C3669" s="72">
        <v>45797.0</v>
      </c>
      <c r="D3669" s="38">
        <v>108.0</v>
      </c>
      <c r="E3669" s="75"/>
      <c r="F3669" s="67">
        <v>4.89346694</v>
      </c>
      <c r="G3669" s="40">
        <v>2.6987343</v>
      </c>
      <c r="H3669" s="40"/>
      <c r="I3669" s="41">
        <v>0.425925926</v>
      </c>
      <c r="J3669" s="41">
        <v>0.12962963</v>
      </c>
      <c r="K3669" s="41">
        <v>0.444444444</v>
      </c>
      <c r="L3669" s="41"/>
      <c r="M3669" s="74">
        <v>3.988258878</v>
      </c>
    </row>
    <row r="3670">
      <c r="A3670" s="1" t="s">
        <v>296</v>
      </c>
      <c r="B3670" s="38">
        <v>669372.0</v>
      </c>
      <c r="C3670" s="72">
        <v>45765.0</v>
      </c>
      <c r="D3670" s="38">
        <v>93.0</v>
      </c>
      <c r="E3670" s="75"/>
      <c r="F3670" s="67">
        <v>4.893403999</v>
      </c>
      <c r="G3670" s="40">
        <v>2.288089673</v>
      </c>
      <c r="H3670" s="40"/>
      <c r="I3670" s="41">
        <v>0.397849462</v>
      </c>
      <c r="J3670" s="41">
        <v>0.182795699</v>
      </c>
      <c r="K3670" s="41">
        <v>0.419354839</v>
      </c>
      <c r="L3670" s="41"/>
      <c r="M3670" s="74">
        <v>0.636832362</v>
      </c>
    </row>
    <row r="3671">
      <c r="A3671" s="1" t="s">
        <v>218</v>
      </c>
      <c r="B3671" s="38">
        <v>669432.0</v>
      </c>
      <c r="C3671" s="72">
        <v>45844.0</v>
      </c>
      <c r="D3671" s="38">
        <v>86.0</v>
      </c>
      <c r="E3671" s="75"/>
      <c r="F3671" s="67">
        <v>4.893400401</v>
      </c>
      <c r="G3671" s="40">
        <v>2.19711188</v>
      </c>
      <c r="H3671" s="40"/>
      <c r="I3671" s="41">
        <v>0.418604651</v>
      </c>
      <c r="J3671" s="41">
        <v>0.209302326</v>
      </c>
      <c r="K3671" s="41">
        <v>0.372093023</v>
      </c>
      <c r="L3671" s="41"/>
      <c r="M3671" s="74">
        <v>2.372834526</v>
      </c>
    </row>
    <row r="3672">
      <c r="A3672" s="1" t="s">
        <v>246</v>
      </c>
      <c r="B3672" s="38">
        <v>571510.0</v>
      </c>
      <c r="C3672" s="72">
        <v>45763.0</v>
      </c>
      <c r="D3672" s="38">
        <v>93.0</v>
      </c>
      <c r="E3672" s="75"/>
      <c r="F3672" s="67">
        <v>4.893280119</v>
      </c>
      <c r="G3672" s="40">
        <v>2.36800658</v>
      </c>
      <c r="H3672" s="40"/>
      <c r="I3672" s="41">
        <v>0.419354839</v>
      </c>
      <c r="J3672" s="41">
        <v>0.193548387</v>
      </c>
      <c r="K3672" s="41">
        <v>0.387096774</v>
      </c>
      <c r="L3672" s="41"/>
      <c r="M3672" s="74">
        <v>-0.409572586</v>
      </c>
    </row>
    <row r="3673">
      <c r="A3673" s="1" t="s">
        <v>374</v>
      </c>
      <c r="B3673" s="38">
        <v>683004.0</v>
      </c>
      <c r="C3673" s="72">
        <v>45849.0</v>
      </c>
      <c r="D3673" s="38">
        <v>86.0</v>
      </c>
      <c r="E3673" s="75"/>
      <c r="F3673" s="67">
        <v>4.89312772</v>
      </c>
      <c r="G3673" s="40">
        <v>2.190092138</v>
      </c>
      <c r="H3673" s="40"/>
      <c r="I3673" s="41">
        <v>0.465116279</v>
      </c>
      <c r="J3673" s="41">
        <v>0.174418605</v>
      </c>
      <c r="K3673" s="41">
        <v>0.360465116</v>
      </c>
      <c r="L3673" s="41"/>
      <c r="M3673" s="74">
        <v>-0.519241122</v>
      </c>
    </row>
    <row r="3674">
      <c r="A3674" s="1" t="s">
        <v>474</v>
      </c>
      <c r="B3674" s="38">
        <v>450203.0</v>
      </c>
      <c r="C3674" s="72">
        <v>45767.0</v>
      </c>
      <c r="D3674" s="38">
        <v>66.0</v>
      </c>
      <c r="E3674" s="75"/>
      <c r="F3674" s="67">
        <v>4.893023601</v>
      </c>
      <c r="G3674" s="40">
        <v>1.691679049</v>
      </c>
      <c r="H3674" s="40"/>
      <c r="I3674" s="41">
        <v>0.53030303</v>
      </c>
      <c r="J3674" s="41">
        <v>0.090909091</v>
      </c>
      <c r="K3674" s="41">
        <v>0.378787879</v>
      </c>
      <c r="L3674" s="41"/>
      <c r="M3674" s="74">
        <v>-2.942010783</v>
      </c>
    </row>
    <row r="3675">
      <c r="A3675" s="1" t="s">
        <v>495</v>
      </c>
      <c r="B3675" s="38">
        <v>801403.0</v>
      </c>
      <c r="C3675" s="72">
        <v>45833.0</v>
      </c>
      <c r="D3675" s="38">
        <v>77.0</v>
      </c>
      <c r="E3675" s="75"/>
      <c r="F3675" s="67">
        <v>4.892787443</v>
      </c>
      <c r="G3675" s="40">
        <v>1.970099168</v>
      </c>
      <c r="H3675" s="40"/>
      <c r="I3675" s="41">
        <v>0.506493506</v>
      </c>
      <c r="J3675" s="41">
        <v>0.116883117</v>
      </c>
      <c r="K3675" s="41">
        <v>0.376623377</v>
      </c>
      <c r="L3675" s="41"/>
      <c r="M3675" s="74">
        <v>1.343488209</v>
      </c>
    </row>
    <row r="3676">
      <c r="A3676" s="1" t="s">
        <v>351</v>
      </c>
      <c r="B3676" s="38">
        <v>689017.0</v>
      </c>
      <c r="C3676" s="72">
        <v>45756.0</v>
      </c>
      <c r="D3676" s="38">
        <v>65.0</v>
      </c>
      <c r="E3676" s="75"/>
      <c r="F3676" s="67">
        <v>4.892736393</v>
      </c>
      <c r="G3676" s="40">
        <v>1.646262303</v>
      </c>
      <c r="H3676" s="40"/>
      <c r="I3676" s="41">
        <v>0.476923077</v>
      </c>
      <c r="J3676" s="41">
        <v>0.092307692</v>
      </c>
      <c r="K3676" s="41">
        <v>0.430769231</v>
      </c>
      <c r="L3676" s="41"/>
      <c r="M3676" s="74">
        <v>-1.266135803</v>
      </c>
    </row>
    <row r="3677">
      <c r="A3677" s="1" t="s">
        <v>354</v>
      </c>
      <c r="B3677" s="38">
        <v>669022.0</v>
      </c>
      <c r="C3677" s="72">
        <v>45858.0</v>
      </c>
      <c r="D3677" s="38">
        <v>72.0</v>
      </c>
      <c r="E3677" s="75"/>
      <c r="F3677" s="67">
        <v>4.892635485</v>
      </c>
      <c r="G3677" s="40">
        <v>1.81876948</v>
      </c>
      <c r="H3677" s="40"/>
      <c r="I3677" s="41">
        <v>0.486111111</v>
      </c>
      <c r="J3677" s="41">
        <v>0.125</v>
      </c>
      <c r="K3677" s="41">
        <v>0.388888889</v>
      </c>
      <c r="L3677" s="41"/>
      <c r="M3677" s="74">
        <v>-4.290957049</v>
      </c>
    </row>
    <row r="3678">
      <c r="A3678" s="1" t="s">
        <v>456</v>
      </c>
      <c r="B3678" s="38">
        <v>605135.0</v>
      </c>
      <c r="C3678" s="72">
        <v>45757.0</v>
      </c>
      <c r="D3678" s="38">
        <v>82.0</v>
      </c>
      <c r="E3678" s="75"/>
      <c r="F3678" s="67">
        <v>4.892600949</v>
      </c>
      <c r="G3678" s="40">
        <v>2.065910655</v>
      </c>
      <c r="H3678" s="40"/>
      <c r="I3678" s="41">
        <v>0.37804878</v>
      </c>
      <c r="J3678" s="41">
        <v>0.195121951</v>
      </c>
      <c r="K3678" s="41">
        <v>0.426829268</v>
      </c>
      <c r="L3678" s="41"/>
      <c r="M3678" s="74">
        <v>0.273687629</v>
      </c>
    </row>
    <row r="3679">
      <c r="A3679" s="1" t="s">
        <v>474</v>
      </c>
      <c r="B3679" s="38">
        <v>450203.0</v>
      </c>
      <c r="C3679" s="72">
        <v>45884.0</v>
      </c>
      <c r="D3679" s="38">
        <v>91.0</v>
      </c>
      <c r="E3679" s="75"/>
      <c r="F3679" s="67">
        <v>4.892108285</v>
      </c>
      <c r="G3679" s="40">
        <v>2.277141676</v>
      </c>
      <c r="H3679" s="40"/>
      <c r="I3679" s="41">
        <v>0.472527473</v>
      </c>
      <c r="J3679" s="41">
        <v>0.142857143</v>
      </c>
      <c r="K3679" s="41">
        <v>0.384615385</v>
      </c>
      <c r="L3679" s="41"/>
      <c r="M3679" s="74">
        <v>2.337577813</v>
      </c>
    </row>
    <row r="3680">
      <c r="A3680" s="1" t="s">
        <v>424</v>
      </c>
      <c r="B3680" s="38">
        <v>667755.0</v>
      </c>
      <c r="C3680" s="72">
        <v>45812.0</v>
      </c>
      <c r="D3680" s="38">
        <v>97.0</v>
      </c>
      <c r="E3680" s="75"/>
      <c r="F3680" s="67">
        <v>4.891964026</v>
      </c>
      <c r="G3680" s="40">
        <v>2.450940713</v>
      </c>
      <c r="H3680" s="40"/>
      <c r="I3680" s="41">
        <v>0.432989691</v>
      </c>
      <c r="J3680" s="41">
        <v>0.18556701</v>
      </c>
      <c r="K3680" s="41">
        <v>0.381443299</v>
      </c>
      <c r="L3680" s="41"/>
      <c r="M3680" s="74">
        <v>-1.337219041</v>
      </c>
    </row>
    <row r="3681">
      <c r="A3681" s="1" t="s">
        <v>399</v>
      </c>
      <c r="B3681" s="38">
        <v>543294.0</v>
      </c>
      <c r="C3681" s="72">
        <v>45830.0</v>
      </c>
      <c r="D3681" s="38">
        <v>65.0</v>
      </c>
      <c r="E3681" s="75"/>
      <c r="F3681" s="67">
        <v>4.891949612</v>
      </c>
      <c r="G3681" s="40">
        <v>1.695434474</v>
      </c>
      <c r="H3681" s="40"/>
      <c r="I3681" s="41">
        <v>0.415384615</v>
      </c>
      <c r="J3681" s="41">
        <v>0.169230769</v>
      </c>
      <c r="K3681" s="41">
        <v>0.415384615</v>
      </c>
      <c r="L3681" s="41"/>
      <c r="M3681" s="74">
        <v>-2.252411287</v>
      </c>
    </row>
    <row r="3682">
      <c r="A3682" s="1" t="s">
        <v>232</v>
      </c>
      <c r="B3682" s="38">
        <v>579328.0</v>
      </c>
      <c r="C3682" s="72">
        <v>45805.0</v>
      </c>
      <c r="D3682" s="38">
        <v>91.0</v>
      </c>
      <c r="E3682" s="75"/>
      <c r="F3682" s="67">
        <v>4.891870139</v>
      </c>
      <c r="G3682" s="40">
        <v>2.314760945</v>
      </c>
      <c r="H3682" s="40"/>
      <c r="I3682" s="41">
        <v>0.472527473</v>
      </c>
      <c r="J3682" s="41">
        <v>0.076923077</v>
      </c>
      <c r="K3682" s="41">
        <v>0.450549451</v>
      </c>
      <c r="L3682" s="41"/>
      <c r="M3682" s="74">
        <v>0.212473088</v>
      </c>
    </row>
    <row r="3683">
      <c r="A3683" s="1" t="s">
        <v>608</v>
      </c>
      <c r="B3683" s="38">
        <v>547001.0</v>
      </c>
      <c r="C3683" s="72">
        <v>45767.0</v>
      </c>
      <c r="D3683" s="38">
        <v>62.0</v>
      </c>
      <c r="E3683" s="75"/>
      <c r="F3683" s="67">
        <v>4.891695468</v>
      </c>
      <c r="G3683" s="40">
        <v>1.583698646</v>
      </c>
      <c r="H3683" s="40"/>
      <c r="I3683" s="41">
        <v>0.419354839</v>
      </c>
      <c r="J3683" s="41">
        <v>0.225806452</v>
      </c>
      <c r="K3683" s="41">
        <v>0.35483871</v>
      </c>
      <c r="L3683" s="41"/>
      <c r="M3683" s="74">
        <v>-1.834122306</v>
      </c>
    </row>
    <row r="3684">
      <c r="A3684" s="1" t="s">
        <v>396</v>
      </c>
      <c r="B3684" s="38">
        <v>663623.0</v>
      </c>
      <c r="C3684" s="72">
        <v>45893.0</v>
      </c>
      <c r="D3684" s="38">
        <v>67.0</v>
      </c>
      <c r="E3684" s="75"/>
      <c r="F3684" s="67">
        <v>4.891653395</v>
      </c>
      <c r="G3684" s="40">
        <v>1.696351829</v>
      </c>
      <c r="H3684" s="40"/>
      <c r="I3684" s="41">
        <v>0.343283582</v>
      </c>
      <c r="J3684" s="41">
        <v>0.253731343</v>
      </c>
      <c r="K3684" s="41">
        <v>0.402985075</v>
      </c>
      <c r="L3684" s="41"/>
      <c r="M3684" s="74">
        <v>-2.085450218</v>
      </c>
    </row>
    <row r="3685">
      <c r="A3685" s="1" t="s">
        <v>321</v>
      </c>
      <c r="B3685" s="38">
        <v>607200.0</v>
      </c>
      <c r="C3685" s="72">
        <v>45838.0</v>
      </c>
      <c r="D3685" s="38">
        <v>79.0</v>
      </c>
      <c r="E3685" s="75"/>
      <c r="F3685" s="67">
        <v>4.89158721</v>
      </c>
      <c r="G3685" s="40">
        <v>2.025262472</v>
      </c>
      <c r="H3685" s="40"/>
      <c r="I3685" s="41">
        <v>0.417721519</v>
      </c>
      <c r="J3685" s="41">
        <v>0.139240506</v>
      </c>
      <c r="K3685" s="41">
        <v>0.443037975</v>
      </c>
      <c r="L3685" s="41"/>
      <c r="M3685" s="74">
        <v>-5.18147406</v>
      </c>
    </row>
    <row r="3686">
      <c r="A3686" s="1" t="s">
        <v>221</v>
      </c>
      <c r="B3686" s="38">
        <v>668964.0</v>
      </c>
      <c r="C3686" s="72">
        <v>45771.0</v>
      </c>
      <c r="D3686" s="38">
        <v>82.0</v>
      </c>
      <c r="E3686" s="75"/>
      <c r="F3686" s="67">
        <v>4.891570893</v>
      </c>
      <c r="G3686" s="40">
        <v>2.090316381</v>
      </c>
      <c r="H3686" s="40"/>
      <c r="I3686" s="41">
        <v>0.5</v>
      </c>
      <c r="J3686" s="41">
        <v>0.085365854</v>
      </c>
      <c r="K3686" s="41">
        <v>0.414634146</v>
      </c>
      <c r="L3686" s="41"/>
      <c r="M3686" s="74">
        <v>0.132580769</v>
      </c>
    </row>
    <row r="3687">
      <c r="A3687" s="1" t="s">
        <v>84</v>
      </c>
      <c r="B3687" s="38">
        <v>669373.0</v>
      </c>
      <c r="C3687" s="72">
        <v>45849.0</v>
      </c>
      <c r="D3687" s="38">
        <v>83.0</v>
      </c>
      <c r="E3687" s="75"/>
      <c r="F3687" s="67">
        <v>4.891326974</v>
      </c>
      <c r="G3687" s="40">
        <v>2.122382381</v>
      </c>
      <c r="H3687" s="40"/>
      <c r="I3687" s="41">
        <v>0.457831325</v>
      </c>
      <c r="J3687" s="41">
        <v>0.108433735</v>
      </c>
      <c r="K3687" s="41">
        <v>0.43373494</v>
      </c>
      <c r="L3687" s="41"/>
      <c r="M3687" s="74">
        <v>1.417953331</v>
      </c>
    </row>
    <row r="3688">
      <c r="A3688" s="1" t="s">
        <v>299</v>
      </c>
      <c r="B3688" s="38">
        <v>621112.0</v>
      </c>
      <c r="C3688" s="72">
        <v>45831.0</v>
      </c>
      <c r="D3688" s="38">
        <v>87.0</v>
      </c>
      <c r="E3688" s="75"/>
      <c r="F3688" s="67">
        <v>4.891175799</v>
      </c>
      <c r="G3688" s="40">
        <v>2.203904156</v>
      </c>
      <c r="H3688" s="40"/>
      <c r="I3688" s="41">
        <v>0.448275862</v>
      </c>
      <c r="J3688" s="41">
        <v>0.149425287</v>
      </c>
      <c r="K3688" s="41">
        <v>0.402298851</v>
      </c>
      <c r="L3688" s="41"/>
      <c r="M3688" s="74">
        <v>-1.597030045</v>
      </c>
    </row>
    <row r="3689">
      <c r="A3689" s="1" t="s">
        <v>366</v>
      </c>
      <c r="B3689" s="38">
        <v>656550.0</v>
      </c>
      <c r="C3689" s="72">
        <v>45829.0</v>
      </c>
      <c r="D3689" s="38">
        <v>93.0</v>
      </c>
      <c r="E3689" s="75"/>
      <c r="F3689" s="67">
        <v>4.891082557</v>
      </c>
      <c r="G3689" s="40">
        <v>2.360570219</v>
      </c>
      <c r="H3689" s="40"/>
      <c r="I3689" s="41">
        <v>0.494623656</v>
      </c>
      <c r="J3689" s="41">
        <v>0.172043011</v>
      </c>
      <c r="K3689" s="41">
        <v>0.333333333</v>
      </c>
      <c r="L3689" s="41"/>
      <c r="M3689" s="74">
        <v>1.057653632</v>
      </c>
    </row>
    <row r="3690">
      <c r="A3690" s="1" t="s">
        <v>129</v>
      </c>
      <c r="B3690" s="38">
        <v>686752.0</v>
      </c>
      <c r="C3690" s="72">
        <v>45864.0</v>
      </c>
      <c r="D3690" s="38">
        <v>84.0</v>
      </c>
      <c r="E3690" s="75"/>
      <c r="F3690" s="67">
        <v>4.890980054</v>
      </c>
      <c r="G3690" s="40">
        <v>2.15771137</v>
      </c>
      <c r="H3690" s="40"/>
      <c r="I3690" s="41">
        <v>0.488095238</v>
      </c>
      <c r="J3690" s="41">
        <v>0.142857143</v>
      </c>
      <c r="K3690" s="41">
        <v>0.369047619</v>
      </c>
      <c r="L3690" s="41"/>
      <c r="M3690" s="74">
        <v>2.146419733</v>
      </c>
    </row>
    <row r="3691">
      <c r="A3691" s="1" t="s">
        <v>325</v>
      </c>
      <c r="B3691" s="38">
        <v>676917.0</v>
      </c>
      <c r="C3691" s="72">
        <v>45885.0</v>
      </c>
      <c r="D3691" s="38">
        <v>84.0</v>
      </c>
      <c r="E3691" s="75"/>
      <c r="F3691" s="67">
        <v>4.890764289</v>
      </c>
      <c r="G3691" s="40">
        <v>2.170076636</v>
      </c>
      <c r="H3691" s="40"/>
      <c r="I3691" s="41">
        <v>0.416666667</v>
      </c>
      <c r="J3691" s="41">
        <v>0.166666667</v>
      </c>
      <c r="K3691" s="41">
        <v>0.416666667</v>
      </c>
      <c r="L3691" s="41"/>
      <c r="M3691" s="74">
        <v>-0.16932047</v>
      </c>
    </row>
    <row r="3692">
      <c r="A3692" s="1" t="s">
        <v>369</v>
      </c>
      <c r="B3692" s="38">
        <v>596295.0</v>
      </c>
      <c r="C3692" s="72">
        <v>45871.0</v>
      </c>
      <c r="D3692" s="38">
        <v>83.0</v>
      </c>
      <c r="E3692" s="75"/>
      <c r="F3692" s="67">
        <v>4.89018856</v>
      </c>
      <c r="G3692" s="40">
        <v>2.122190814</v>
      </c>
      <c r="H3692" s="40"/>
      <c r="I3692" s="41">
        <v>0.397590361</v>
      </c>
      <c r="J3692" s="41">
        <v>0.144578313</v>
      </c>
      <c r="K3692" s="41">
        <v>0.457831325</v>
      </c>
      <c r="L3692" s="41"/>
      <c r="M3692" s="74">
        <v>-0.216347947</v>
      </c>
    </row>
    <row r="3693">
      <c r="A3693" s="1" t="s">
        <v>577</v>
      </c>
      <c r="B3693" s="38">
        <v>687922.0</v>
      </c>
      <c r="C3693" s="72">
        <v>45867.0</v>
      </c>
      <c r="D3693" s="38">
        <v>67.0</v>
      </c>
      <c r="E3693" s="75"/>
      <c r="F3693" s="67">
        <v>4.890087558</v>
      </c>
      <c r="G3693" s="40">
        <v>1.668015638</v>
      </c>
      <c r="H3693" s="40"/>
      <c r="I3693" s="41">
        <v>0.417910448</v>
      </c>
      <c r="J3693" s="41">
        <v>0.164179104</v>
      </c>
      <c r="K3693" s="41">
        <v>0.417910448</v>
      </c>
      <c r="L3693" s="41"/>
      <c r="M3693" s="74">
        <v>-0.544446696</v>
      </c>
    </row>
    <row r="3694">
      <c r="A3694" s="1" t="s">
        <v>113</v>
      </c>
      <c r="B3694" s="38">
        <v>664285.0</v>
      </c>
      <c r="C3694" s="72">
        <v>45773.0</v>
      </c>
      <c r="D3694" s="38">
        <v>92.0</v>
      </c>
      <c r="E3694" s="75"/>
      <c r="F3694" s="67">
        <v>4.889078937</v>
      </c>
      <c r="G3694" s="40">
        <v>2.377357772</v>
      </c>
      <c r="H3694" s="40"/>
      <c r="I3694" s="41">
        <v>0.423913043</v>
      </c>
      <c r="J3694" s="41">
        <v>0.195652174</v>
      </c>
      <c r="K3694" s="41">
        <v>0.380434783</v>
      </c>
      <c r="L3694" s="41"/>
      <c r="M3694" s="74">
        <v>3.116823959</v>
      </c>
    </row>
    <row r="3695">
      <c r="A3695" s="1" t="s">
        <v>195</v>
      </c>
      <c r="B3695" s="38">
        <v>668678.0</v>
      </c>
      <c r="C3695" s="72">
        <v>45822.0</v>
      </c>
      <c r="D3695" s="38">
        <v>93.0</v>
      </c>
      <c r="E3695" s="75"/>
      <c r="F3695" s="67">
        <v>4.88888804</v>
      </c>
      <c r="G3695" s="40">
        <v>2.413383951</v>
      </c>
      <c r="H3695" s="40"/>
      <c r="I3695" s="41">
        <v>0.516129032</v>
      </c>
      <c r="J3695" s="41">
        <v>0.096774194</v>
      </c>
      <c r="K3695" s="41">
        <v>0.387096774</v>
      </c>
      <c r="L3695" s="41"/>
      <c r="M3695" s="74">
        <v>-1.878741654</v>
      </c>
    </row>
    <row r="3696">
      <c r="A3696" s="1" t="s">
        <v>496</v>
      </c>
      <c r="B3696" s="38">
        <v>694477.0</v>
      </c>
      <c r="C3696" s="72">
        <v>45893.0</v>
      </c>
      <c r="D3696" s="38">
        <v>86.0</v>
      </c>
      <c r="E3696" s="75"/>
      <c r="F3696" s="67">
        <v>4.888619881</v>
      </c>
      <c r="G3696" s="40">
        <v>2.202779762</v>
      </c>
      <c r="H3696" s="40"/>
      <c r="I3696" s="41">
        <v>0.453488372</v>
      </c>
      <c r="J3696" s="41">
        <v>0.162790698</v>
      </c>
      <c r="K3696" s="41">
        <v>0.38372093</v>
      </c>
      <c r="L3696" s="41"/>
      <c r="M3696" s="74">
        <v>2.515252921</v>
      </c>
    </row>
    <row r="3697">
      <c r="A3697" s="1" t="s">
        <v>496</v>
      </c>
      <c r="B3697" s="38">
        <v>694477.0</v>
      </c>
      <c r="C3697" s="72">
        <v>45819.0</v>
      </c>
      <c r="D3697" s="38">
        <v>92.0</v>
      </c>
      <c r="E3697" s="75"/>
      <c r="F3697" s="67">
        <v>4.888409415</v>
      </c>
      <c r="G3697" s="40">
        <v>2.352415116</v>
      </c>
      <c r="H3697" s="40"/>
      <c r="I3697" s="41">
        <v>0.456521739</v>
      </c>
      <c r="J3697" s="41">
        <v>0.163043478</v>
      </c>
      <c r="K3697" s="41">
        <v>0.380434783</v>
      </c>
      <c r="L3697" s="41"/>
      <c r="M3697" s="74">
        <v>-2.401839611</v>
      </c>
    </row>
    <row r="3698">
      <c r="A3698" s="1" t="s">
        <v>358</v>
      </c>
      <c r="B3698" s="38">
        <v>434378.0</v>
      </c>
      <c r="C3698" s="72">
        <v>45861.0</v>
      </c>
      <c r="D3698" s="38">
        <v>92.0</v>
      </c>
      <c r="E3698" s="75"/>
      <c r="F3698" s="67">
        <v>4.888289645</v>
      </c>
      <c r="G3698" s="40">
        <v>2.315501964</v>
      </c>
      <c r="H3698" s="40"/>
      <c r="I3698" s="41">
        <v>0.391304348</v>
      </c>
      <c r="J3698" s="41">
        <v>0.217391304</v>
      </c>
      <c r="K3698" s="41">
        <v>0.391304348</v>
      </c>
      <c r="L3698" s="41"/>
      <c r="M3698" s="74">
        <v>5.017960662</v>
      </c>
    </row>
    <row r="3699">
      <c r="A3699" s="1" t="s">
        <v>325</v>
      </c>
      <c r="B3699" s="38">
        <v>676917.0</v>
      </c>
      <c r="C3699" s="72">
        <v>45891.0</v>
      </c>
      <c r="D3699" s="38">
        <v>91.0</v>
      </c>
      <c r="E3699" s="75"/>
      <c r="F3699" s="67">
        <v>4.887961681</v>
      </c>
      <c r="G3699" s="40">
        <v>2.347744512</v>
      </c>
      <c r="H3699" s="40"/>
      <c r="I3699" s="41">
        <v>0.428571429</v>
      </c>
      <c r="J3699" s="41">
        <v>0.164835165</v>
      </c>
      <c r="K3699" s="41">
        <v>0.406593407</v>
      </c>
      <c r="L3699" s="41"/>
      <c r="M3699" s="74">
        <v>-1.460861222</v>
      </c>
    </row>
    <row r="3700">
      <c r="A3700" s="1" t="s">
        <v>450</v>
      </c>
      <c r="B3700" s="38">
        <v>682990.0</v>
      </c>
      <c r="C3700" s="72">
        <v>45867.0</v>
      </c>
      <c r="D3700" s="38">
        <v>84.0</v>
      </c>
      <c r="E3700" s="75"/>
      <c r="F3700" s="67">
        <v>4.887800077</v>
      </c>
      <c r="G3700" s="40">
        <v>2.176551297</v>
      </c>
      <c r="H3700" s="40"/>
      <c r="I3700" s="41">
        <v>0.392857143</v>
      </c>
      <c r="J3700" s="41">
        <v>0.226190476</v>
      </c>
      <c r="K3700" s="41">
        <v>0.380952381</v>
      </c>
      <c r="L3700" s="41"/>
      <c r="M3700" s="74">
        <v>-2.36063568</v>
      </c>
    </row>
    <row r="3701">
      <c r="A3701" s="1" t="s">
        <v>246</v>
      </c>
      <c r="B3701" s="38">
        <v>571510.0</v>
      </c>
      <c r="C3701" s="72">
        <v>45883.0</v>
      </c>
      <c r="D3701" s="38">
        <v>77.0</v>
      </c>
      <c r="E3701" s="75"/>
      <c r="F3701" s="67">
        <v>4.887703621</v>
      </c>
      <c r="G3701" s="40">
        <v>1.981669263</v>
      </c>
      <c r="H3701" s="40"/>
      <c r="I3701" s="41">
        <v>0.441558442</v>
      </c>
      <c r="J3701" s="41">
        <v>0.181818182</v>
      </c>
      <c r="K3701" s="41">
        <v>0.376623377</v>
      </c>
      <c r="L3701" s="41"/>
      <c r="M3701" s="74">
        <v>3.131100496</v>
      </c>
    </row>
    <row r="3702">
      <c r="A3702" s="1" t="s">
        <v>251</v>
      </c>
      <c r="B3702" s="38">
        <v>676664.0</v>
      </c>
      <c r="C3702" s="72">
        <v>45830.0</v>
      </c>
      <c r="D3702" s="38">
        <v>92.0</v>
      </c>
      <c r="E3702" s="75"/>
      <c r="F3702" s="67">
        <v>4.887496369</v>
      </c>
      <c r="G3702" s="40">
        <v>2.35318867</v>
      </c>
      <c r="H3702" s="40"/>
      <c r="I3702" s="41">
        <v>0.445652174</v>
      </c>
      <c r="J3702" s="41">
        <v>0.141304348</v>
      </c>
      <c r="K3702" s="41">
        <v>0.413043478</v>
      </c>
      <c r="L3702" s="41"/>
      <c r="M3702" s="74">
        <v>-2.523926424</v>
      </c>
    </row>
    <row r="3703">
      <c r="A3703" s="1" t="s">
        <v>386</v>
      </c>
      <c r="B3703" s="38">
        <v>656731.0</v>
      </c>
      <c r="C3703" s="72">
        <v>45804.0</v>
      </c>
      <c r="D3703" s="38">
        <v>94.0</v>
      </c>
      <c r="E3703" s="75"/>
      <c r="F3703" s="67">
        <v>4.88748467</v>
      </c>
      <c r="G3703" s="40">
        <v>2.392891788</v>
      </c>
      <c r="H3703" s="40"/>
      <c r="I3703" s="41">
        <v>0.457446809</v>
      </c>
      <c r="J3703" s="41">
        <v>0.138297872</v>
      </c>
      <c r="K3703" s="41">
        <v>0.404255319</v>
      </c>
      <c r="L3703" s="41"/>
      <c r="M3703" s="74">
        <v>1.760857425</v>
      </c>
    </row>
    <row r="3704">
      <c r="A3704" s="1" t="s">
        <v>425</v>
      </c>
      <c r="B3704" s="38">
        <v>621244.0</v>
      </c>
      <c r="C3704" s="72">
        <v>45829.0</v>
      </c>
      <c r="D3704" s="38">
        <v>95.0</v>
      </c>
      <c r="E3704" s="75"/>
      <c r="F3704" s="67">
        <v>4.887253493</v>
      </c>
      <c r="G3704" s="40">
        <v>2.410014409</v>
      </c>
      <c r="H3704" s="40"/>
      <c r="I3704" s="41">
        <v>0.442105263</v>
      </c>
      <c r="J3704" s="41">
        <v>0.189473684</v>
      </c>
      <c r="K3704" s="41">
        <v>0.368421053</v>
      </c>
      <c r="L3704" s="41"/>
      <c r="M3704" s="74">
        <v>3.301943332</v>
      </c>
    </row>
    <row r="3705">
      <c r="A3705" s="1" t="s">
        <v>416</v>
      </c>
      <c r="B3705" s="38">
        <v>608337.0</v>
      </c>
      <c r="C3705" s="72">
        <v>45890.0</v>
      </c>
      <c r="D3705" s="38">
        <v>97.0</v>
      </c>
      <c r="E3705" s="75"/>
      <c r="F3705" s="67">
        <v>4.887199428</v>
      </c>
      <c r="G3705" s="40">
        <v>2.484067599</v>
      </c>
      <c r="H3705" s="40"/>
      <c r="I3705" s="41">
        <v>0.443298969</v>
      </c>
      <c r="J3705" s="41">
        <v>0.206185567</v>
      </c>
      <c r="K3705" s="41">
        <v>0.350515464</v>
      </c>
      <c r="L3705" s="41"/>
      <c r="M3705" s="74">
        <v>0.644294115</v>
      </c>
    </row>
    <row r="3706">
      <c r="A3706" s="1" t="s">
        <v>416</v>
      </c>
      <c r="B3706" s="38">
        <v>608337.0</v>
      </c>
      <c r="C3706" s="72">
        <v>45906.0</v>
      </c>
      <c r="D3706" s="38">
        <v>93.0</v>
      </c>
      <c r="E3706" s="75"/>
      <c r="F3706" s="67">
        <v>4.886949117</v>
      </c>
      <c r="G3706" s="40">
        <v>2.378639971</v>
      </c>
      <c r="H3706" s="40"/>
      <c r="I3706" s="41">
        <v>0.430107527</v>
      </c>
      <c r="J3706" s="41">
        <v>0.182795699</v>
      </c>
      <c r="K3706" s="41">
        <v>0.387096774</v>
      </c>
      <c r="L3706" s="41"/>
      <c r="M3706" s="74">
        <v>-2.096897042</v>
      </c>
    </row>
    <row r="3707">
      <c r="A3707" s="1" t="s">
        <v>330</v>
      </c>
      <c r="B3707" s="38">
        <v>680730.0</v>
      </c>
      <c r="C3707" s="72">
        <v>45876.0</v>
      </c>
      <c r="D3707" s="38">
        <v>82.0</v>
      </c>
      <c r="E3707" s="75"/>
      <c r="F3707" s="67">
        <v>4.886608258</v>
      </c>
      <c r="G3707" s="40">
        <v>2.094755783</v>
      </c>
      <c r="H3707" s="40"/>
      <c r="I3707" s="41">
        <v>0.463414634</v>
      </c>
      <c r="J3707" s="41">
        <v>0.158536585</v>
      </c>
      <c r="K3707" s="41">
        <v>0.37804878</v>
      </c>
      <c r="L3707" s="41"/>
      <c r="M3707" s="74">
        <v>-1.797200019</v>
      </c>
    </row>
    <row r="3708">
      <c r="A3708" s="1" t="s">
        <v>339</v>
      </c>
      <c r="B3708" s="38">
        <v>686613.0</v>
      </c>
      <c r="C3708" s="72">
        <v>45882.0</v>
      </c>
      <c r="D3708" s="38">
        <v>93.0</v>
      </c>
      <c r="E3708" s="75"/>
      <c r="F3708" s="67">
        <v>4.886458561</v>
      </c>
      <c r="G3708" s="40">
        <v>2.381849286</v>
      </c>
      <c r="H3708" s="40"/>
      <c r="I3708" s="41">
        <v>0.430107527</v>
      </c>
      <c r="J3708" s="41">
        <v>0.247311828</v>
      </c>
      <c r="K3708" s="41">
        <v>0.322580645</v>
      </c>
      <c r="L3708" s="41"/>
      <c r="M3708" s="74">
        <v>-0.965154679</v>
      </c>
    </row>
    <row r="3709">
      <c r="A3709" s="1" t="s">
        <v>352</v>
      </c>
      <c r="B3709" s="38">
        <v>685299.0</v>
      </c>
      <c r="C3709" s="72">
        <v>45867.0</v>
      </c>
      <c r="D3709" s="38">
        <v>68.0</v>
      </c>
      <c r="E3709" s="75"/>
      <c r="F3709" s="67">
        <v>4.886338715</v>
      </c>
      <c r="G3709" s="40">
        <v>1.769728048</v>
      </c>
      <c r="H3709" s="40"/>
      <c r="I3709" s="41">
        <v>0.470588235</v>
      </c>
      <c r="J3709" s="41">
        <v>0.117647059</v>
      </c>
      <c r="K3709" s="41">
        <v>0.411764706</v>
      </c>
      <c r="L3709" s="41"/>
      <c r="M3709" s="74">
        <v>-3.023244445</v>
      </c>
    </row>
    <row r="3710">
      <c r="A3710" s="1" t="s">
        <v>228</v>
      </c>
      <c r="B3710" s="38">
        <v>687473.0</v>
      </c>
      <c r="C3710" s="72">
        <v>45776.0</v>
      </c>
      <c r="D3710" s="38">
        <v>87.0</v>
      </c>
      <c r="E3710" s="75"/>
      <c r="F3710" s="67">
        <v>4.886283504</v>
      </c>
      <c r="G3710" s="40">
        <v>2.216082877</v>
      </c>
      <c r="H3710" s="40"/>
      <c r="I3710" s="41">
        <v>0.459770115</v>
      </c>
      <c r="J3710" s="41">
        <v>0.137931034</v>
      </c>
      <c r="K3710" s="41">
        <v>0.402298851</v>
      </c>
      <c r="L3710" s="41"/>
      <c r="M3710" s="74">
        <v>0.540081496</v>
      </c>
    </row>
    <row r="3711">
      <c r="A3711" s="1" t="s">
        <v>275</v>
      </c>
      <c r="B3711" s="38">
        <v>693821.0</v>
      </c>
      <c r="C3711" s="72">
        <v>45841.0</v>
      </c>
      <c r="D3711" s="38">
        <v>100.0</v>
      </c>
      <c r="E3711" s="75"/>
      <c r="F3711" s="67">
        <v>4.886277608</v>
      </c>
      <c r="G3711" s="40">
        <v>2.539336022</v>
      </c>
      <c r="H3711" s="40"/>
      <c r="I3711" s="41">
        <v>0.43</v>
      </c>
      <c r="J3711" s="41">
        <v>0.19</v>
      </c>
      <c r="K3711" s="41">
        <v>0.38</v>
      </c>
      <c r="L3711" s="41"/>
      <c r="M3711" s="74">
        <v>-1.796275993</v>
      </c>
    </row>
    <row r="3712">
      <c r="A3712" s="1" t="s">
        <v>302</v>
      </c>
      <c r="B3712" s="38">
        <v>681190.0</v>
      </c>
      <c r="C3712" s="72">
        <v>45830.0</v>
      </c>
      <c r="D3712" s="38">
        <v>89.0</v>
      </c>
      <c r="E3712" s="75"/>
      <c r="F3712" s="67">
        <v>4.886117924</v>
      </c>
      <c r="G3712" s="40">
        <v>2.309538496</v>
      </c>
      <c r="H3712" s="40"/>
      <c r="I3712" s="41">
        <v>0.426966292</v>
      </c>
      <c r="J3712" s="41">
        <v>0.235955056</v>
      </c>
      <c r="K3712" s="41">
        <v>0.337078652</v>
      </c>
      <c r="L3712" s="41"/>
      <c r="M3712" s="74">
        <v>0.732287314</v>
      </c>
    </row>
    <row r="3713">
      <c r="A3713" s="1" t="s">
        <v>294</v>
      </c>
      <c r="B3713" s="38">
        <v>665152.0</v>
      </c>
      <c r="C3713" s="72">
        <v>45868.0</v>
      </c>
      <c r="D3713" s="38">
        <v>87.0</v>
      </c>
      <c r="E3713" s="75"/>
      <c r="F3713" s="67">
        <v>4.886040663</v>
      </c>
      <c r="G3713" s="40">
        <v>2.244399387</v>
      </c>
      <c r="H3713" s="40"/>
      <c r="I3713" s="41">
        <v>0.425287356</v>
      </c>
      <c r="J3713" s="41">
        <v>0.183908046</v>
      </c>
      <c r="K3713" s="41">
        <v>0.390804598</v>
      </c>
      <c r="L3713" s="41"/>
      <c r="M3713" s="74">
        <v>-0.654024589</v>
      </c>
    </row>
    <row r="3714">
      <c r="A3714" s="1" t="s">
        <v>306</v>
      </c>
      <c r="B3714" s="38">
        <v>677944.0</v>
      </c>
      <c r="C3714" s="72">
        <v>45926.0</v>
      </c>
      <c r="D3714" s="38">
        <v>64.0</v>
      </c>
      <c r="E3714" s="75"/>
      <c r="F3714" s="67">
        <v>4.885929905</v>
      </c>
      <c r="G3714" s="40">
        <v>1.657412888</v>
      </c>
      <c r="H3714" s="40"/>
      <c r="I3714" s="41">
        <v>0.359375</v>
      </c>
      <c r="J3714" s="41">
        <v>0.234375</v>
      </c>
      <c r="K3714" s="41">
        <v>0.40625</v>
      </c>
      <c r="L3714" s="41"/>
      <c r="M3714" s="74">
        <v>-1.31743127</v>
      </c>
    </row>
    <row r="3715">
      <c r="A3715" s="1" t="s">
        <v>609</v>
      </c>
      <c r="B3715" s="38">
        <v>801139.0</v>
      </c>
      <c r="C3715" s="72">
        <v>45905.0</v>
      </c>
      <c r="D3715" s="38">
        <v>77.0</v>
      </c>
      <c r="E3715" s="75"/>
      <c r="F3715" s="67">
        <v>4.885928067</v>
      </c>
      <c r="G3715" s="40">
        <v>1.953247881</v>
      </c>
      <c r="H3715" s="40"/>
      <c r="I3715" s="41">
        <v>0.441558442</v>
      </c>
      <c r="J3715" s="41">
        <v>0.207792208</v>
      </c>
      <c r="K3715" s="41">
        <v>0.350649351</v>
      </c>
      <c r="L3715" s="41"/>
      <c r="M3715" s="74">
        <v>-0.890544408</v>
      </c>
    </row>
    <row r="3716">
      <c r="A3716" s="1" t="s">
        <v>329</v>
      </c>
      <c r="B3716" s="38">
        <v>669160.0</v>
      </c>
      <c r="C3716" s="72">
        <v>45859.0</v>
      </c>
      <c r="D3716" s="38">
        <v>98.0</v>
      </c>
      <c r="E3716" s="75"/>
      <c r="F3716" s="67">
        <v>4.885725275</v>
      </c>
      <c r="G3716" s="40">
        <v>2.452621592</v>
      </c>
      <c r="H3716" s="40"/>
      <c r="I3716" s="41">
        <v>0.397959184</v>
      </c>
      <c r="J3716" s="41">
        <v>0.193877551</v>
      </c>
      <c r="K3716" s="41">
        <v>0.408163265</v>
      </c>
      <c r="L3716" s="41"/>
      <c r="M3716" s="74">
        <v>0.53796263</v>
      </c>
    </row>
    <row r="3717">
      <c r="A3717" s="1" t="s">
        <v>277</v>
      </c>
      <c r="B3717" s="38">
        <v>677952.0</v>
      </c>
      <c r="C3717" s="72">
        <v>45891.0</v>
      </c>
      <c r="D3717" s="38">
        <v>64.0</v>
      </c>
      <c r="E3717" s="75"/>
      <c r="F3717" s="67">
        <v>4.885691808</v>
      </c>
      <c r="G3717" s="40">
        <v>1.648428232</v>
      </c>
      <c r="H3717" s="40"/>
      <c r="I3717" s="41">
        <v>0.421875</v>
      </c>
      <c r="J3717" s="41">
        <v>0.203125</v>
      </c>
      <c r="K3717" s="41">
        <v>0.375</v>
      </c>
      <c r="L3717" s="41"/>
      <c r="M3717" s="74">
        <v>2.4439095</v>
      </c>
    </row>
    <row r="3718">
      <c r="A3718" s="1" t="s">
        <v>452</v>
      </c>
      <c r="B3718" s="38">
        <v>607625.0</v>
      </c>
      <c r="C3718" s="72">
        <v>45841.0</v>
      </c>
      <c r="D3718" s="38">
        <v>98.0</v>
      </c>
      <c r="E3718" s="75"/>
      <c r="F3718" s="67">
        <v>4.88543301</v>
      </c>
      <c r="G3718" s="40">
        <v>2.486084203</v>
      </c>
      <c r="H3718" s="40"/>
      <c r="I3718" s="41">
        <v>0.428571429</v>
      </c>
      <c r="J3718" s="41">
        <v>0.214285714</v>
      </c>
      <c r="K3718" s="41">
        <v>0.357142857</v>
      </c>
      <c r="L3718" s="41"/>
      <c r="M3718" s="74">
        <v>-1.575933545</v>
      </c>
    </row>
    <row r="3719">
      <c r="A3719" s="1" t="s">
        <v>269</v>
      </c>
      <c r="B3719" s="38">
        <v>605280.0</v>
      </c>
      <c r="C3719" s="72">
        <v>45863.0</v>
      </c>
      <c r="D3719" s="38">
        <v>96.0</v>
      </c>
      <c r="E3719" s="75"/>
      <c r="F3719" s="67">
        <v>4.88541608</v>
      </c>
      <c r="G3719" s="40">
        <v>2.441389792</v>
      </c>
      <c r="H3719" s="40"/>
      <c r="I3719" s="41">
        <v>0.416666667</v>
      </c>
      <c r="J3719" s="41">
        <v>0.166666667</v>
      </c>
      <c r="K3719" s="41">
        <v>0.416666667</v>
      </c>
      <c r="L3719" s="41"/>
      <c r="M3719" s="74">
        <v>1.263645838</v>
      </c>
    </row>
    <row r="3720">
      <c r="A3720" s="1" t="s">
        <v>521</v>
      </c>
      <c r="B3720" s="38">
        <v>686799.0</v>
      </c>
      <c r="C3720" s="72">
        <v>45815.0</v>
      </c>
      <c r="D3720" s="38">
        <v>74.0</v>
      </c>
      <c r="E3720" s="75"/>
      <c r="F3720" s="67">
        <v>4.885168616</v>
      </c>
      <c r="G3720" s="40">
        <v>1.921932768</v>
      </c>
      <c r="H3720" s="40"/>
      <c r="I3720" s="41">
        <v>0.391891892</v>
      </c>
      <c r="J3720" s="41">
        <v>0.256756757</v>
      </c>
      <c r="K3720" s="41">
        <v>0.351351351</v>
      </c>
      <c r="L3720" s="41"/>
      <c r="M3720" s="74">
        <v>-3.063749774</v>
      </c>
    </row>
    <row r="3721">
      <c r="A3721" s="1" t="s">
        <v>331</v>
      </c>
      <c r="B3721" s="38">
        <v>672456.0</v>
      </c>
      <c r="C3721" s="72">
        <v>45857.0</v>
      </c>
      <c r="D3721" s="38">
        <v>81.0</v>
      </c>
      <c r="E3721" s="75"/>
      <c r="F3721" s="67">
        <v>4.884841141</v>
      </c>
      <c r="G3721" s="40">
        <v>2.060770944</v>
      </c>
      <c r="H3721" s="40"/>
      <c r="I3721" s="41">
        <v>0.432098765</v>
      </c>
      <c r="J3721" s="41">
        <v>0.185185185</v>
      </c>
      <c r="K3721" s="41">
        <v>0.382716049</v>
      </c>
      <c r="L3721" s="41"/>
      <c r="M3721" s="74">
        <v>-0.07477234</v>
      </c>
    </row>
    <row r="3722">
      <c r="A3722" s="1" t="s">
        <v>324</v>
      </c>
      <c r="B3722" s="38">
        <v>471911.0</v>
      </c>
      <c r="C3722" s="72">
        <v>45882.0</v>
      </c>
      <c r="D3722" s="38">
        <v>67.0</v>
      </c>
      <c r="E3722" s="75"/>
      <c r="F3722" s="67">
        <v>4.884736936</v>
      </c>
      <c r="G3722" s="40">
        <v>1.735511921</v>
      </c>
      <c r="H3722" s="40"/>
      <c r="I3722" s="41">
        <v>0.462686567</v>
      </c>
      <c r="J3722" s="41">
        <v>0.149253731</v>
      </c>
      <c r="K3722" s="41">
        <v>0.388059701</v>
      </c>
      <c r="L3722" s="41"/>
      <c r="M3722" s="74">
        <v>-1.712980183</v>
      </c>
    </row>
    <row r="3723">
      <c r="A3723" s="1" t="s">
        <v>390</v>
      </c>
      <c r="B3723" s="38">
        <v>669422.0</v>
      </c>
      <c r="C3723" s="72">
        <v>45818.0</v>
      </c>
      <c r="D3723" s="38">
        <v>111.0</v>
      </c>
      <c r="E3723" s="75"/>
      <c r="F3723" s="67">
        <v>4.884634776</v>
      </c>
      <c r="G3723" s="40">
        <v>2.828464597</v>
      </c>
      <c r="H3723" s="40"/>
      <c r="I3723" s="41">
        <v>0.414414414</v>
      </c>
      <c r="J3723" s="41">
        <v>0.198198198</v>
      </c>
      <c r="K3723" s="41">
        <v>0.387387387</v>
      </c>
      <c r="L3723" s="41"/>
      <c r="M3723" s="74">
        <v>-6.833825913</v>
      </c>
    </row>
    <row r="3724">
      <c r="A3724" s="1" t="s">
        <v>610</v>
      </c>
      <c r="B3724" s="38">
        <v>685068.0</v>
      </c>
      <c r="C3724" s="72">
        <v>45914.0</v>
      </c>
      <c r="D3724" s="38">
        <v>78.0</v>
      </c>
      <c r="E3724" s="75"/>
      <c r="F3724" s="67">
        <v>4.884476157</v>
      </c>
      <c r="G3724" s="40">
        <v>1.977741918</v>
      </c>
      <c r="H3724" s="40"/>
      <c r="I3724" s="41">
        <v>0.384615385</v>
      </c>
      <c r="J3724" s="41">
        <v>0.256410256</v>
      </c>
      <c r="K3724" s="41">
        <v>0.358974359</v>
      </c>
      <c r="L3724" s="41"/>
      <c r="M3724" s="74">
        <v>-3.899800244</v>
      </c>
    </row>
    <row r="3725">
      <c r="A3725" s="1" t="s">
        <v>399</v>
      </c>
      <c r="B3725" s="38">
        <v>543294.0</v>
      </c>
      <c r="C3725" s="72">
        <v>45865.0</v>
      </c>
      <c r="D3725" s="38">
        <v>69.0</v>
      </c>
      <c r="E3725" s="75"/>
      <c r="F3725" s="67">
        <v>4.884356407</v>
      </c>
      <c r="G3725" s="40">
        <v>1.773517617</v>
      </c>
      <c r="H3725" s="40"/>
      <c r="I3725" s="41">
        <v>0.434782609</v>
      </c>
      <c r="J3725" s="41">
        <v>0.188405797</v>
      </c>
      <c r="K3725" s="41">
        <v>0.376811594</v>
      </c>
      <c r="L3725" s="41"/>
      <c r="M3725" s="74">
        <v>3.17612783</v>
      </c>
    </row>
    <row r="3726">
      <c r="A3726" s="1" t="s">
        <v>597</v>
      </c>
      <c r="B3726" s="38">
        <v>687931.0</v>
      </c>
      <c r="C3726" s="72">
        <v>45891.0</v>
      </c>
      <c r="D3726" s="38">
        <v>87.0</v>
      </c>
      <c r="E3726" s="75"/>
      <c r="F3726" s="67">
        <v>4.883857671</v>
      </c>
      <c r="G3726" s="40">
        <v>2.167218684</v>
      </c>
      <c r="H3726" s="40"/>
      <c r="I3726" s="41">
        <v>0.471264368</v>
      </c>
      <c r="J3726" s="41">
        <v>0.172413793</v>
      </c>
      <c r="K3726" s="41">
        <v>0.356321839</v>
      </c>
      <c r="L3726" s="41"/>
      <c r="M3726" s="74">
        <v>1.234376872</v>
      </c>
    </row>
    <row r="3727">
      <c r="A3727" s="1" t="s">
        <v>308</v>
      </c>
      <c r="B3727" s="38">
        <v>676440.0</v>
      </c>
      <c r="C3727" s="72">
        <v>45799.0</v>
      </c>
      <c r="D3727" s="38">
        <v>93.0</v>
      </c>
      <c r="E3727" s="75"/>
      <c r="F3727" s="67">
        <v>4.883791935</v>
      </c>
      <c r="G3727" s="40">
        <v>2.410724751</v>
      </c>
      <c r="H3727" s="40"/>
      <c r="I3727" s="41">
        <v>0.440860215</v>
      </c>
      <c r="J3727" s="41">
        <v>0.096774194</v>
      </c>
      <c r="K3727" s="41">
        <v>0.462365591</v>
      </c>
      <c r="L3727" s="41"/>
      <c r="M3727" s="74">
        <v>2.471891936</v>
      </c>
    </row>
    <row r="3728">
      <c r="A3728" s="1" t="s">
        <v>294</v>
      </c>
      <c r="B3728" s="38">
        <v>665152.0</v>
      </c>
      <c r="C3728" s="72">
        <v>45814.0</v>
      </c>
      <c r="D3728" s="38">
        <v>75.0</v>
      </c>
      <c r="E3728" s="75"/>
      <c r="F3728" s="67">
        <v>4.883602544</v>
      </c>
      <c r="G3728" s="40">
        <v>1.93589155</v>
      </c>
      <c r="H3728" s="40"/>
      <c r="I3728" s="41">
        <v>0.373333333</v>
      </c>
      <c r="J3728" s="41">
        <v>0.2</v>
      </c>
      <c r="K3728" s="41">
        <v>0.426666667</v>
      </c>
      <c r="L3728" s="41"/>
      <c r="M3728" s="74">
        <v>-3.856904637</v>
      </c>
    </row>
    <row r="3729">
      <c r="A3729" s="1" t="s">
        <v>347</v>
      </c>
      <c r="B3729" s="38">
        <v>700249.0</v>
      </c>
      <c r="C3729" s="72">
        <v>45812.0</v>
      </c>
      <c r="D3729" s="38">
        <v>82.0</v>
      </c>
      <c r="E3729" s="75"/>
      <c r="F3729" s="67">
        <v>4.883469114</v>
      </c>
      <c r="G3729" s="40">
        <v>2.067368117</v>
      </c>
      <c r="H3729" s="40"/>
      <c r="I3729" s="41">
        <v>0.426829268</v>
      </c>
      <c r="J3729" s="41">
        <v>0.219512195</v>
      </c>
      <c r="K3729" s="41">
        <v>0.353658537</v>
      </c>
      <c r="L3729" s="41"/>
      <c r="M3729" s="74">
        <v>0.430874375</v>
      </c>
    </row>
    <row r="3730">
      <c r="A3730" s="1" t="s">
        <v>374</v>
      </c>
      <c r="B3730" s="38">
        <v>683004.0</v>
      </c>
      <c r="C3730" s="72">
        <v>45813.0</v>
      </c>
      <c r="D3730" s="38">
        <v>78.0</v>
      </c>
      <c r="E3730" s="75"/>
      <c r="F3730" s="67">
        <v>4.883079745</v>
      </c>
      <c r="G3730" s="40">
        <v>1.996657137</v>
      </c>
      <c r="H3730" s="40"/>
      <c r="I3730" s="41">
        <v>0.423076923</v>
      </c>
      <c r="J3730" s="41">
        <v>0.217948718</v>
      </c>
      <c r="K3730" s="41">
        <v>0.358974359</v>
      </c>
      <c r="L3730" s="41"/>
      <c r="M3730" s="74">
        <v>2.140925413</v>
      </c>
    </row>
    <row r="3731">
      <c r="A3731" s="1" t="s">
        <v>425</v>
      </c>
      <c r="B3731" s="38">
        <v>621244.0</v>
      </c>
      <c r="C3731" s="72">
        <v>45874.0</v>
      </c>
      <c r="D3731" s="38">
        <v>80.0</v>
      </c>
      <c r="E3731" s="75"/>
      <c r="F3731" s="67">
        <v>4.883054233</v>
      </c>
      <c r="G3731" s="40">
        <v>2.06054293</v>
      </c>
      <c r="H3731" s="40"/>
      <c r="I3731" s="41">
        <v>0.45</v>
      </c>
      <c r="J3731" s="41">
        <v>0.15</v>
      </c>
      <c r="K3731" s="41">
        <v>0.4</v>
      </c>
      <c r="L3731" s="41"/>
      <c r="M3731" s="74">
        <v>-1.252665258</v>
      </c>
    </row>
    <row r="3732">
      <c r="A3732" s="1" t="s">
        <v>399</v>
      </c>
      <c r="B3732" s="38">
        <v>543294.0</v>
      </c>
      <c r="C3732" s="72">
        <v>45797.0</v>
      </c>
      <c r="D3732" s="38">
        <v>89.0</v>
      </c>
      <c r="E3732" s="75"/>
      <c r="F3732" s="67">
        <v>4.882677411</v>
      </c>
      <c r="G3732" s="40">
        <v>2.297293887</v>
      </c>
      <c r="H3732" s="40"/>
      <c r="I3732" s="41">
        <v>0.449438202</v>
      </c>
      <c r="J3732" s="41">
        <v>0.157303371</v>
      </c>
      <c r="K3732" s="41">
        <v>0.393258427</v>
      </c>
      <c r="L3732" s="41"/>
      <c r="M3732" s="74">
        <v>-0.879593956</v>
      </c>
    </row>
    <row r="3733">
      <c r="A3733" s="1" t="s">
        <v>389</v>
      </c>
      <c r="B3733" s="38">
        <v>682052.0</v>
      </c>
      <c r="C3733" s="72">
        <v>45844.0</v>
      </c>
      <c r="D3733" s="38">
        <v>86.0</v>
      </c>
      <c r="E3733" s="75"/>
      <c r="F3733" s="67">
        <v>4.882424056</v>
      </c>
      <c r="G3733" s="40">
        <v>2.206864325</v>
      </c>
      <c r="H3733" s="40"/>
      <c r="I3733" s="41">
        <v>0.418604651</v>
      </c>
      <c r="J3733" s="41">
        <v>0.174418605</v>
      </c>
      <c r="K3733" s="41">
        <v>0.406976744</v>
      </c>
      <c r="L3733" s="41"/>
      <c r="M3733" s="74">
        <v>-0.88557879</v>
      </c>
    </row>
    <row r="3734">
      <c r="A3734" s="1" t="s">
        <v>316</v>
      </c>
      <c r="B3734" s="38">
        <v>656427.0</v>
      </c>
      <c r="C3734" s="72">
        <v>45881.0</v>
      </c>
      <c r="D3734" s="38">
        <v>85.0</v>
      </c>
      <c r="E3734" s="75"/>
      <c r="F3734" s="67">
        <v>4.882368528</v>
      </c>
      <c r="G3734" s="40">
        <v>2.152980947</v>
      </c>
      <c r="H3734" s="40"/>
      <c r="I3734" s="41">
        <v>0.435294118</v>
      </c>
      <c r="J3734" s="41">
        <v>0.188235294</v>
      </c>
      <c r="K3734" s="41">
        <v>0.376470588</v>
      </c>
      <c r="L3734" s="41"/>
      <c r="M3734" s="74">
        <v>-4.129633287</v>
      </c>
    </row>
    <row r="3735">
      <c r="A3735" s="1" t="s">
        <v>399</v>
      </c>
      <c r="B3735" s="38">
        <v>543294.0</v>
      </c>
      <c r="C3735" s="72">
        <v>45760.0</v>
      </c>
      <c r="D3735" s="38">
        <v>77.0</v>
      </c>
      <c r="E3735" s="75"/>
      <c r="F3735" s="67">
        <v>4.882293026</v>
      </c>
      <c r="G3735" s="40">
        <v>1.950954478</v>
      </c>
      <c r="H3735" s="40"/>
      <c r="I3735" s="41">
        <v>0.38961039</v>
      </c>
      <c r="J3735" s="41">
        <v>0.324675325</v>
      </c>
      <c r="K3735" s="41">
        <v>0.285714286</v>
      </c>
      <c r="L3735" s="41"/>
      <c r="M3735" s="74">
        <v>0.977705536</v>
      </c>
    </row>
    <row r="3736">
      <c r="A3736" s="1" t="s">
        <v>500</v>
      </c>
      <c r="B3736" s="38">
        <v>665871.0</v>
      </c>
      <c r="C3736" s="72">
        <v>45886.0</v>
      </c>
      <c r="D3736" s="38">
        <v>60.0</v>
      </c>
      <c r="E3736" s="75"/>
      <c r="F3736" s="67">
        <v>4.882242117</v>
      </c>
      <c r="G3736" s="40">
        <v>1.57064347</v>
      </c>
      <c r="H3736" s="40"/>
      <c r="I3736" s="41">
        <v>0.416666667</v>
      </c>
      <c r="J3736" s="41">
        <v>0.216666667</v>
      </c>
      <c r="K3736" s="41">
        <v>0.366666667</v>
      </c>
      <c r="L3736" s="41"/>
      <c r="M3736" s="74">
        <v>-0.180250473</v>
      </c>
    </row>
    <row r="3737">
      <c r="A3737" s="1" t="s">
        <v>611</v>
      </c>
      <c r="B3737" s="38">
        <v>681751.0</v>
      </c>
      <c r="C3737" s="72">
        <v>45867.0</v>
      </c>
      <c r="D3737" s="38">
        <v>70.0</v>
      </c>
      <c r="E3737" s="75"/>
      <c r="F3737" s="67">
        <v>4.882148966</v>
      </c>
      <c r="G3737" s="40">
        <v>1.785139553</v>
      </c>
      <c r="H3737" s="40"/>
      <c r="I3737" s="41">
        <v>0.442857143</v>
      </c>
      <c r="J3737" s="41">
        <v>0.228571429</v>
      </c>
      <c r="K3737" s="41">
        <v>0.328571429</v>
      </c>
      <c r="L3737" s="41"/>
      <c r="M3737" s="74">
        <v>-3.712680179</v>
      </c>
    </row>
    <row r="3738">
      <c r="A3738" s="1" t="s">
        <v>290</v>
      </c>
      <c r="B3738" s="38">
        <v>669461.0</v>
      </c>
      <c r="C3738" s="72">
        <v>45825.0</v>
      </c>
      <c r="D3738" s="38">
        <v>80.0</v>
      </c>
      <c r="E3738" s="75"/>
      <c r="F3738" s="67">
        <v>4.882078186</v>
      </c>
      <c r="G3738" s="40">
        <v>2.058011511</v>
      </c>
      <c r="H3738" s="40"/>
      <c r="I3738" s="41">
        <v>0.4</v>
      </c>
      <c r="J3738" s="41">
        <v>0.225</v>
      </c>
      <c r="K3738" s="41">
        <v>0.375</v>
      </c>
      <c r="L3738" s="41"/>
      <c r="M3738" s="74">
        <v>2.259081448</v>
      </c>
    </row>
    <row r="3739">
      <c r="A3739" s="1" t="s">
        <v>504</v>
      </c>
      <c r="B3739" s="38">
        <v>663372.0</v>
      </c>
      <c r="C3739" s="72">
        <v>45775.0</v>
      </c>
      <c r="D3739" s="38">
        <v>93.0</v>
      </c>
      <c r="E3739" s="75"/>
      <c r="F3739" s="67">
        <v>4.881889284</v>
      </c>
      <c r="G3739" s="40">
        <v>2.37662277</v>
      </c>
      <c r="H3739" s="40"/>
      <c r="I3739" s="41">
        <v>0.408602151</v>
      </c>
      <c r="J3739" s="41">
        <v>0.182795699</v>
      </c>
      <c r="K3739" s="41">
        <v>0.408602151</v>
      </c>
      <c r="L3739" s="41"/>
      <c r="M3739" s="74">
        <v>-4.834963322</v>
      </c>
    </row>
    <row r="3740">
      <c r="A3740" s="1" t="s">
        <v>366</v>
      </c>
      <c r="B3740" s="38">
        <v>656550.0</v>
      </c>
      <c r="C3740" s="72">
        <v>45813.0</v>
      </c>
      <c r="D3740" s="38">
        <v>64.0</v>
      </c>
      <c r="E3740" s="75"/>
      <c r="F3740" s="67">
        <v>4.881817076</v>
      </c>
      <c r="G3740" s="40">
        <v>1.613905064</v>
      </c>
      <c r="H3740" s="40"/>
      <c r="I3740" s="41">
        <v>0.4375</v>
      </c>
      <c r="J3740" s="41">
        <v>0.203125</v>
      </c>
      <c r="K3740" s="41">
        <v>0.359375</v>
      </c>
      <c r="L3740" s="41"/>
      <c r="M3740" s="74">
        <v>-0.687814634</v>
      </c>
    </row>
    <row r="3741">
      <c r="A3741" s="1" t="s">
        <v>308</v>
      </c>
      <c r="B3741" s="38">
        <v>676440.0</v>
      </c>
      <c r="C3741" s="72">
        <v>45764.0</v>
      </c>
      <c r="D3741" s="38">
        <v>97.0</v>
      </c>
      <c r="E3741" s="75"/>
      <c r="F3741" s="67">
        <v>4.881671266</v>
      </c>
      <c r="G3741" s="40">
        <v>2.471554359</v>
      </c>
      <c r="H3741" s="40"/>
      <c r="I3741" s="41">
        <v>0.453608247</v>
      </c>
      <c r="J3741" s="41">
        <v>0.144329897</v>
      </c>
      <c r="K3741" s="41">
        <v>0.402061856</v>
      </c>
      <c r="L3741" s="41"/>
      <c r="M3741" s="74">
        <v>0.493479286</v>
      </c>
    </row>
    <row r="3742">
      <c r="A3742" s="1" t="s">
        <v>432</v>
      </c>
      <c r="B3742" s="38">
        <v>669467.0</v>
      </c>
      <c r="C3742" s="72">
        <v>45804.0</v>
      </c>
      <c r="D3742" s="38">
        <v>93.0</v>
      </c>
      <c r="E3742" s="75"/>
      <c r="F3742" s="67">
        <v>4.880597858</v>
      </c>
      <c r="G3742" s="40">
        <v>2.397474721</v>
      </c>
      <c r="H3742" s="40"/>
      <c r="I3742" s="41">
        <v>0.419354839</v>
      </c>
      <c r="J3742" s="41">
        <v>0.150537634</v>
      </c>
      <c r="K3742" s="41">
        <v>0.430107527</v>
      </c>
      <c r="L3742" s="41"/>
      <c r="M3742" s="74">
        <v>-0.753438792</v>
      </c>
    </row>
    <row r="3743">
      <c r="A3743" s="1" t="s">
        <v>303</v>
      </c>
      <c r="B3743" s="38">
        <v>592662.0</v>
      </c>
      <c r="C3743" s="72">
        <v>45779.0</v>
      </c>
      <c r="D3743" s="38">
        <v>85.0</v>
      </c>
      <c r="E3743" s="75"/>
      <c r="F3743" s="67">
        <v>4.880160572</v>
      </c>
      <c r="G3743" s="40">
        <v>2.184787056</v>
      </c>
      <c r="H3743" s="40"/>
      <c r="I3743" s="41">
        <v>0.388235294</v>
      </c>
      <c r="J3743" s="41">
        <v>0.176470588</v>
      </c>
      <c r="K3743" s="41">
        <v>0.435294118</v>
      </c>
      <c r="L3743" s="41"/>
      <c r="M3743" s="74">
        <v>2.151932237</v>
      </c>
    </row>
    <row r="3744">
      <c r="A3744" s="1" t="s">
        <v>287</v>
      </c>
      <c r="B3744" s="38">
        <v>571945.0</v>
      </c>
      <c r="C3744" s="72">
        <v>45863.0</v>
      </c>
      <c r="D3744" s="38">
        <v>71.0</v>
      </c>
      <c r="E3744" s="75"/>
      <c r="F3744" s="67">
        <v>4.879957562</v>
      </c>
      <c r="G3744" s="40">
        <v>1.843303313</v>
      </c>
      <c r="H3744" s="40"/>
      <c r="I3744" s="41">
        <v>0.352112676</v>
      </c>
      <c r="J3744" s="41">
        <v>0.309859155</v>
      </c>
      <c r="K3744" s="41">
        <v>0.338028169</v>
      </c>
      <c r="L3744" s="41"/>
      <c r="M3744" s="74">
        <v>-1.272794929</v>
      </c>
    </row>
    <row r="3745">
      <c r="A3745" s="1" t="s">
        <v>415</v>
      </c>
      <c r="B3745" s="38">
        <v>656794.0</v>
      </c>
      <c r="C3745" s="72">
        <v>45758.0</v>
      </c>
      <c r="D3745" s="38">
        <v>92.0</v>
      </c>
      <c r="E3745" s="75"/>
      <c r="F3745" s="67">
        <v>4.879515653</v>
      </c>
      <c r="G3745" s="40">
        <v>2.34884056</v>
      </c>
      <c r="H3745" s="40"/>
      <c r="I3745" s="41">
        <v>0.380434783</v>
      </c>
      <c r="J3745" s="41">
        <v>0.206521739</v>
      </c>
      <c r="K3745" s="41">
        <v>0.413043478</v>
      </c>
      <c r="L3745" s="41"/>
      <c r="M3745" s="74">
        <v>-0.773375639</v>
      </c>
    </row>
    <row r="3746">
      <c r="A3746" s="1" t="s">
        <v>234</v>
      </c>
      <c r="B3746" s="38">
        <v>690997.0</v>
      </c>
      <c r="C3746" s="72">
        <v>45908.0</v>
      </c>
      <c r="D3746" s="38">
        <v>91.0</v>
      </c>
      <c r="E3746" s="75"/>
      <c r="F3746" s="67">
        <v>4.879346392</v>
      </c>
      <c r="G3746" s="40">
        <v>2.345308194</v>
      </c>
      <c r="H3746" s="40"/>
      <c r="I3746" s="41">
        <v>0.472527473</v>
      </c>
      <c r="J3746" s="41">
        <v>0.197802198</v>
      </c>
      <c r="K3746" s="41">
        <v>0.32967033</v>
      </c>
      <c r="L3746" s="41"/>
      <c r="M3746" s="74">
        <v>-2.326485604</v>
      </c>
    </row>
    <row r="3747">
      <c r="A3747" s="1" t="s">
        <v>336</v>
      </c>
      <c r="B3747" s="38">
        <v>605488.0</v>
      </c>
      <c r="C3747" s="72">
        <v>45834.0</v>
      </c>
      <c r="D3747" s="38">
        <v>85.0</v>
      </c>
      <c r="E3747" s="75"/>
      <c r="F3747" s="67">
        <v>4.879138254</v>
      </c>
      <c r="G3747" s="40">
        <v>2.153042958</v>
      </c>
      <c r="H3747" s="40"/>
      <c r="I3747" s="41">
        <v>0.423529412</v>
      </c>
      <c r="J3747" s="41">
        <v>0.188235294</v>
      </c>
      <c r="K3747" s="41">
        <v>0.388235294</v>
      </c>
      <c r="L3747" s="41"/>
      <c r="M3747" s="74">
        <v>0.949499571</v>
      </c>
    </row>
    <row r="3748">
      <c r="A3748" s="1" t="s">
        <v>336</v>
      </c>
      <c r="B3748" s="38">
        <v>605488.0</v>
      </c>
      <c r="C3748" s="72">
        <v>45762.0</v>
      </c>
      <c r="D3748" s="38">
        <v>89.0</v>
      </c>
      <c r="E3748" s="75"/>
      <c r="F3748" s="67">
        <v>4.879005924</v>
      </c>
      <c r="G3748" s="40">
        <v>2.247927581</v>
      </c>
      <c r="H3748" s="40"/>
      <c r="I3748" s="41">
        <v>0.415730337</v>
      </c>
      <c r="J3748" s="41">
        <v>0.191011236</v>
      </c>
      <c r="K3748" s="41">
        <v>0.393258427</v>
      </c>
      <c r="L3748" s="41"/>
      <c r="M3748" s="74">
        <v>1.586827282</v>
      </c>
    </row>
    <row r="3749">
      <c r="A3749" s="1" t="s">
        <v>294</v>
      </c>
      <c r="B3749" s="38">
        <v>665152.0</v>
      </c>
      <c r="C3749" s="72">
        <v>45886.0</v>
      </c>
      <c r="D3749" s="38">
        <v>114.0</v>
      </c>
      <c r="E3749" s="75"/>
      <c r="F3749" s="67">
        <v>4.878884534</v>
      </c>
      <c r="G3749" s="40">
        <v>2.904357341</v>
      </c>
      <c r="H3749" s="40"/>
      <c r="I3749" s="41">
        <v>0.368421053</v>
      </c>
      <c r="J3749" s="41">
        <v>0.219298246</v>
      </c>
      <c r="K3749" s="41">
        <v>0.412280702</v>
      </c>
      <c r="L3749" s="41"/>
      <c r="M3749" s="74">
        <v>3.44032617</v>
      </c>
    </row>
    <row r="3750">
      <c r="A3750" s="1" t="s">
        <v>386</v>
      </c>
      <c r="B3750" s="38">
        <v>656731.0</v>
      </c>
      <c r="C3750" s="72">
        <v>45781.0</v>
      </c>
      <c r="D3750" s="38">
        <v>90.0</v>
      </c>
      <c r="E3750" s="75"/>
      <c r="F3750" s="67">
        <v>4.878666115</v>
      </c>
      <c r="G3750" s="40">
        <v>2.318813202</v>
      </c>
      <c r="H3750" s="40"/>
      <c r="I3750" s="41">
        <v>0.455555556</v>
      </c>
      <c r="J3750" s="41">
        <v>0.155555556</v>
      </c>
      <c r="K3750" s="41">
        <v>0.388888889</v>
      </c>
      <c r="L3750" s="41"/>
      <c r="M3750" s="74">
        <v>1.016428277</v>
      </c>
    </row>
    <row r="3751">
      <c r="A3751" s="1" t="s">
        <v>368</v>
      </c>
      <c r="B3751" s="38">
        <v>593958.0</v>
      </c>
      <c r="C3751" s="72">
        <v>45899.0</v>
      </c>
      <c r="D3751" s="38">
        <v>95.0</v>
      </c>
      <c r="E3751" s="75"/>
      <c r="F3751" s="67">
        <v>4.878538137</v>
      </c>
      <c r="G3751" s="40">
        <v>2.450191753</v>
      </c>
      <c r="H3751" s="40"/>
      <c r="I3751" s="41">
        <v>0.431578947</v>
      </c>
      <c r="J3751" s="41">
        <v>0.178947368</v>
      </c>
      <c r="K3751" s="41">
        <v>0.389473684</v>
      </c>
      <c r="L3751" s="41"/>
      <c r="M3751" s="74">
        <v>2.288594654</v>
      </c>
    </row>
    <row r="3752">
      <c r="A3752" s="1" t="s">
        <v>453</v>
      </c>
      <c r="B3752" s="38">
        <v>592836.0</v>
      </c>
      <c r="C3752" s="72">
        <v>45857.0</v>
      </c>
      <c r="D3752" s="38">
        <v>69.0</v>
      </c>
      <c r="E3752" s="75"/>
      <c r="F3752" s="67">
        <v>4.8781163</v>
      </c>
      <c r="G3752" s="40">
        <v>1.812842174</v>
      </c>
      <c r="H3752" s="40"/>
      <c r="I3752" s="41">
        <v>0.420289855</v>
      </c>
      <c r="J3752" s="41">
        <v>0.217391304</v>
      </c>
      <c r="K3752" s="41">
        <v>0.362318841</v>
      </c>
      <c r="L3752" s="41"/>
      <c r="M3752" s="74">
        <v>-3.418327081</v>
      </c>
    </row>
    <row r="3753">
      <c r="A3753" s="1" t="s">
        <v>481</v>
      </c>
      <c r="B3753" s="38">
        <v>622608.0</v>
      </c>
      <c r="C3753" s="72">
        <v>45767.0</v>
      </c>
      <c r="D3753" s="38">
        <v>81.0</v>
      </c>
      <c r="E3753" s="75"/>
      <c r="F3753" s="67">
        <v>4.878083859</v>
      </c>
      <c r="G3753" s="40">
        <v>2.101606961</v>
      </c>
      <c r="H3753" s="40"/>
      <c r="I3753" s="41">
        <v>0.395061728</v>
      </c>
      <c r="J3753" s="41">
        <v>0.222222222</v>
      </c>
      <c r="K3753" s="41">
        <v>0.382716049</v>
      </c>
      <c r="L3753" s="41"/>
      <c r="M3753" s="74">
        <v>-0.257504139</v>
      </c>
    </row>
    <row r="3754">
      <c r="A3754" s="1" t="s">
        <v>242</v>
      </c>
      <c r="B3754" s="38">
        <v>669358.0</v>
      </c>
      <c r="C3754" s="72">
        <v>45912.0</v>
      </c>
      <c r="D3754" s="38">
        <v>67.0</v>
      </c>
      <c r="E3754" s="75"/>
      <c r="F3754" s="67">
        <v>4.877795008</v>
      </c>
      <c r="G3754" s="40">
        <v>1.731364556</v>
      </c>
      <c r="H3754" s="40"/>
      <c r="I3754" s="41">
        <v>0.402985075</v>
      </c>
      <c r="J3754" s="41">
        <v>0.179104478</v>
      </c>
      <c r="K3754" s="41">
        <v>0.417910448</v>
      </c>
      <c r="L3754" s="41"/>
      <c r="M3754" s="74">
        <v>-2.236834689</v>
      </c>
    </row>
    <row r="3755">
      <c r="A3755" s="1" t="s">
        <v>306</v>
      </c>
      <c r="B3755" s="38">
        <v>677944.0</v>
      </c>
      <c r="C3755" s="72">
        <v>45885.0</v>
      </c>
      <c r="D3755" s="38">
        <v>102.0</v>
      </c>
      <c r="E3755" s="75"/>
      <c r="F3755" s="67">
        <v>4.877486734</v>
      </c>
      <c r="G3755" s="40">
        <v>2.650137443</v>
      </c>
      <c r="H3755" s="40"/>
      <c r="I3755" s="41">
        <v>0.421568627</v>
      </c>
      <c r="J3755" s="41">
        <v>0.225490196</v>
      </c>
      <c r="K3755" s="41">
        <v>0.352941176</v>
      </c>
      <c r="L3755" s="41"/>
      <c r="M3755" s="74">
        <v>-4.56769831</v>
      </c>
    </row>
    <row r="3756">
      <c r="A3756" s="1" t="s">
        <v>474</v>
      </c>
      <c r="B3756" s="38">
        <v>450203.0</v>
      </c>
      <c r="C3756" s="72">
        <v>45784.0</v>
      </c>
      <c r="D3756" s="38">
        <v>66.0</v>
      </c>
      <c r="E3756" s="75"/>
      <c r="F3756" s="67">
        <v>4.877361711</v>
      </c>
      <c r="G3756" s="40">
        <v>1.70289717</v>
      </c>
      <c r="H3756" s="40"/>
      <c r="I3756" s="41">
        <v>0.439393939</v>
      </c>
      <c r="J3756" s="41">
        <v>0.151515152</v>
      </c>
      <c r="K3756" s="41">
        <v>0.409090909</v>
      </c>
      <c r="L3756" s="41"/>
      <c r="M3756" s="74">
        <v>1.274575111</v>
      </c>
    </row>
    <row r="3757">
      <c r="A3757" s="1" t="s">
        <v>343</v>
      </c>
      <c r="B3757" s="38">
        <v>682243.0</v>
      </c>
      <c r="C3757" s="72">
        <v>45752.0</v>
      </c>
      <c r="D3757" s="38">
        <v>88.0</v>
      </c>
      <c r="E3757" s="75"/>
      <c r="F3757" s="67">
        <v>4.877326911</v>
      </c>
      <c r="G3757" s="40">
        <v>2.257697912</v>
      </c>
      <c r="H3757" s="40"/>
      <c r="I3757" s="41">
        <v>0.443181818</v>
      </c>
      <c r="J3757" s="41">
        <v>0.113636364</v>
      </c>
      <c r="K3757" s="41">
        <v>0.443181818</v>
      </c>
      <c r="L3757" s="41"/>
      <c r="M3757" s="74">
        <v>-2.157651639</v>
      </c>
    </row>
    <row r="3758">
      <c r="A3758" s="1" t="s">
        <v>179</v>
      </c>
      <c r="B3758" s="38">
        <v>663568.0</v>
      </c>
      <c r="C3758" s="72">
        <v>45826.0</v>
      </c>
      <c r="D3758" s="38">
        <v>94.0</v>
      </c>
      <c r="E3758" s="75"/>
      <c r="F3758" s="67">
        <v>4.877211083</v>
      </c>
      <c r="G3758" s="40">
        <v>2.432031434</v>
      </c>
      <c r="H3758" s="40"/>
      <c r="I3758" s="41">
        <v>0.468085106</v>
      </c>
      <c r="J3758" s="41">
        <v>0.138297872</v>
      </c>
      <c r="K3758" s="41">
        <v>0.393617021</v>
      </c>
      <c r="L3758" s="41"/>
      <c r="M3758" s="74">
        <v>-0.295758069</v>
      </c>
    </row>
    <row r="3759">
      <c r="A3759" s="1" t="s">
        <v>147</v>
      </c>
      <c r="B3759" s="38">
        <v>608379.0</v>
      </c>
      <c r="C3759" s="72">
        <v>45849.0</v>
      </c>
      <c r="D3759" s="38">
        <v>79.0</v>
      </c>
      <c r="E3759" s="75"/>
      <c r="F3759" s="67">
        <v>4.877124009</v>
      </c>
      <c r="G3759" s="40">
        <v>2.01347172</v>
      </c>
      <c r="H3759" s="40"/>
      <c r="I3759" s="41">
        <v>0.430379747</v>
      </c>
      <c r="J3759" s="41">
        <v>0.139240506</v>
      </c>
      <c r="K3759" s="41">
        <v>0.430379747</v>
      </c>
      <c r="L3759" s="41"/>
      <c r="M3759" s="74">
        <v>2.415200454</v>
      </c>
    </row>
    <row r="3760">
      <c r="A3760" s="1" t="s">
        <v>113</v>
      </c>
      <c r="B3760" s="38">
        <v>664285.0</v>
      </c>
      <c r="C3760" s="72">
        <v>45779.0</v>
      </c>
      <c r="D3760" s="38">
        <v>86.0</v>
      </c>
      <c r="E3760" s="75"/>
      <c r="F3760" s="67">
        <v>4.877014539</v>
      </c>
      <c r="G3760" s="40">
        <v>2.244329318</v>
      </c>
      <c r="H3760" s="40"/>
      <c r="I3760" s="41">
        <v>0.430232558</v>
      </c>
      <c r="J3760" s="41">
        <v>0.151162791</v>
      </c>
      <c r="K3760" s="41">
        <v>0.418604651</v>
      </c>
      <c r="L3760" s="41"/>
      <c r="M3760" s="74">
        <v>-1.556763006</v>
      </c>
    </row>
    <row r="3761">
      <c r="A3761" s="1" t="s">
        <v>396</v>
      </c>
      <c r="B3761" s="38">
        <v>663623.0</v>
      </c>
      <c r="C3761" s="72">
        <v>45871.0</v>
      </c>
      <c r="D3761" s="38">
        <v>73.0</v>
      </c>
      <c r="E3761" s="75"/>
      <c r="F3761" s="67">
        <v>4.876994861</v>
      </c>
      <c r="G3761" s="40">
        <v>1.906913831</v>
      </c>
      <c r="H3761" s="40"/>
      <c r="I3761" s="41">
        <v>0.424657534</v>
      </c>
      <c r="J3761" s="41">
        <v>0.219178082</v>
      </c>
      <c r="K3761" s="41">
        <v>0.356164384</v>
      </c>
      <c r="L3761" s="41"/>
      <c r="M3761" s="74">
        <v>-2.996084922</v>
      </c>
    </row>
    <row r="3762">
      <c r="A3762" s="1" t="s">
        <v>389</v>
      </c>
      <c r="B3762" s="38">
        <v>682052.0</v>
      </c>
      <c r="C3762" s="72">
        <v>45811.0</v>
      </c>
      <c r="D3762" s="38">
        <v>94.0</v>
      </c>
      <c r="E3762" s="75"/>
      <c r="F3762" s="67">
        <v>4.876980935</v>
      </c>
      <c r="G3762" s="40">
        <v>2.413602471</v>
      </c>
      <c r="H3762" s="40"/>
      <c r="I3762" s="41">
        <v>0.414893617</v>
      </c>
      <c r="J3762" s="41">
        <v>0.234042553</v>
      </c>
      <c r="K3762" s="41">
        <v>0.35106383</v>
      </c>
      <c r="L3762" s="41"/>
      <c r="M3762" s="74">
        <v>-0.274601023</v>
      </c>
    </row>
    <row r="3763">
      <c r="A3763" s="1" t="s">
        <v>335</v>
      </c>
      <c r="B3763" s="38">
        <v>663436.0</v>
      </c>
      <c r="C3763" s="72">
        <v>45913.0</v>
      </c>
      <c r="D3763" s="38">
        <v>80.0</v>
      </c>
      <c r="E3763" s="75"/>
      <c r="F3763" s="67">
        <v>4.876925831</v>
      </c>
      <c r="G3763" s="40">
        <v>2.076462751</v>
      </c>
      <c r="H3763" s="40"/>
      <c r="I3763" s="41">
        <v>0.425</v>
      </c>
      <c r="J3763" s="41">
        <v>0.2375</v>
      </c>
      <c r="K3763" s="41">
        <v>0.3375</v>
      </c>
      <c r="L3763" s="41"/>
      <c r="M3763" s="74">
        <v>1.171070158</v>
      </c>
    </row>
    <row r="3764">
      <c r="A3764" s="1" t="s">
        <v>272</v>
      </c>
      <c r="B3764" s="38">
        <v>622491.0</v>
      </c>
      <c r="C3764" s="72">
        <v>45762.0</v>
      </c>
      <c r="D3764" s="38">
        <v>95.0</v>
      </c>
      <c r="E3764" s="75"/>
      <c r="F3764" s="67">
        <v>4.876787009</v>
      </c>
      <c r="G3764" s="40">
        <v>2.436425425</v>
      </c>
      <c r="H3764" s="40"/>
      <c r="I3764" s="41">
        <v>0.515789474</v>
      </c>
      <c r="J3764" s="41">
        <v>0.115789474</v>
      </c>
      <c r="K3764" s="41">
        <v>0.368421053</v>
      </c>
      <c r="L3764" s="41"/>
      <c r="M3764" s="74">
        <v>-2.455976446</v>
      </c>
    </row>
    <row r="3765">
      <c r="A3765" s="1" t="s">
        <v>313</v>
      </c>
      <c r="B3765" s="38">
        <v>607067.0</v>
      </c>
      <c r="C3765" s="72">
        <v>45889.0</v>
      </c>
      <c r="D3765" s="38">
        <v>94.0</v>
      </c>
      <c r="E3765" s="75"/>
      <c r="F3765" s="67">
        <v>4.876575702</v>
      </c>
      <c r="G3765" s="40">
        <v>2.444103534</v>
      </c>
      <c r="H3765" s="40"/>
      <c r="I3765" s="41">
        <v>0.446808511</v>
      </c>
      <c r="J3765" s="41">
        <v>0.234042553</v>
      </c>
      <c r="K3765" s="41">
        <v>0.319148936</v>
      </c>
      <c r="L3765" s="41"/>
      <c r="M3765" s="74">
        <v>2.692614969</v>
      </c>
    </row>
    <row r="3766">
      <c r="A3766" s="1" t="s">
        <v>272</v>
      </c>
      <c r="B3766" s="38">
        <v>622491.0</v>
      </c>
      <c r="C3766" s="72">
        <v>45895.0</v>
      </c>
      <c r="D3766" s="38">
        <v>87.0</v>
      </c>
      <c r="E3766" s="75"/>
      <c r="F3766" s="67">
        <v>4.876406802</v>
      </c>
      <c r="G3766" s="40">
        <v>2.243294429</v>
      </c>
      <c r="H3766" s="40"/>
      <c r="I3766" s="41">
        <v>0.482758621</v>
      </c>
      <c r="J3766" s="41">
        <v>0.172413793</v>
      </c>
      <c r="K3766" s="41">
        <v>0.344827586</v>
      </c>
      <c r="L3766" s="41"/>
      <c r="M3766" s="74">
        <v>-0.282873947</v>
      </c>
    </row>
    <row r="3767">
      <c r="A3767" s="1" t="s">
        <v>113</v>
      </c>
      <c r="B3767" s="38">
        <v>664285.0</v>
      </c>
      <c r="C3767" s="72">
        <v>45878.0</v>
      </c>
      <c r="D3767" s="38">
        <v>88.0</v>
      </c>
      <c r="E3767" s="75"/>
      <c r="F3767" s="67">
        <v>4.876309937</v>
      </c>
      <c r="G3767" s="40">
        <v>2.295936628</v>
      </c>
      <c r="H3767" s="40"/>
      <c r="I3767" s="41">
        <v>0.443181818</v>
      </c>
      <c r="J3767" s="41">
        <v>0.204545455</v>
      </c>
      <c r="K3767" s="41">
        <v>0.352272727</v>
      </c>
      <c r="L3767" s="41"/>
      <c r="M3767" s="74">
        <v>-2.274344973</v>
      </c>
    </row>
    <row r="3768">
      <c r="A3768" s="1" t="s">
        <v>352</v>
      </c>
      <c r="B3768" s="38">
        <v>685299.0</v>
      </c>
      <c r="C3768" s="72">
        <v>45924.0</v>
      </c>
      <c r="D3768" s="38">
        <v>65.0</v>
      </c>
      <c r="E3768" s="75"/>
      <c r="F3768" s="67">
        <v>4.876281608</v>
      </c>
      <c r="G3768" s="40">
        <v>1.667562738</v>
      </c>
      <c r="H3768" s="40"/>
      <c r="I3768" s="41">
        <v>0.369230769</v>
      </c>
      <c r="J3768" s="41">
        <v>0.292307692</v>
      </c>
      <c r="K3768" s="41">
        <v>0.338461538</v>
      </c>
      <c r="L3768" s="41"/>
      <c r="M3768" s="74">
        <v>-2.427921027</v>
      </c>
    </row>
    <row r="3769">
      <c r="A3769" s="1" t="s">
        <v>456</v>
      </c>
      <c r="B3769" s="38">
        <v>605135.0</v>
      </c>
      <c r="C3769" s="72">
        <v>45818.0</v>
      </c>
      <c r="D3769" s="38">
        <v>89.0</v>
      </c>
      <c r="E3769" s="75"/>
      <c r="F3769" s="67">
        <v>4.876064826</v>
      </c>
      <c r="G3769" s="40">
        <v>2.310931146</v>
      </c>
      <c r="H3769" s="40"/>
      <c r="I3769" s="41">
        <v>0.460674157</v>
      </c>
      <c r="J3769" s="41">
        <v>0.146067416</v>
      </c>
      <c r="K3769" s="41">
        <v>0.393258427</v>
      </c>
      <c r="L3769" s="41"/>
      <c r="M3769" s="74">
        <v>0.260302046</v>
      </c>
    </row>
    <row r="3770">
      <c r="A3770" s="1" t="s">
        <v>95</v>
      </c>
      <c r="B3770" s="38">
        <v>543243.0</v>
      </c>
      <c r="C3770" s="72">
        <v>45773.0</v>
      </c>
      <c r="D3770" s="38">
        <v>86.0</v>
      </c>
      <c r="E3770" s="75"/>
      <c r="F3770" s="67">
        <v>4.875994914</v>
      </c>
      <c r="G3770" s="40">
        <v>2.254144282</v>
      </c>
      <c r="H3770" s="40"/>
      <c r="I3770" s="41">
        <v>0.406976744</v>
      </c>
      <c r="J3770" s="41">
        <v>0.255813953</v>
      </c>
      <c r="K3770" s="41">
        <v>0.337209302</v>
      </c>
      <c r="L3770" s="41"/>
      <c r="M3770" s="74">
        <v>-0.554317633</v>
      </c>
    </row>
    <row r="3771">
      <c r="A3771" s="1" t="s">
        <v>464</v>
      </c>
      <c r="B3771" s="38">
        <v>615698.0</v>
      </c>
      <c r="C3771" s="72">
        <v>45747.0</v>
      </c>
      <c r="D3771" s="38">
        <v>87.0</v>
      </c>
      <c r="E3771" s="75"/>
      <c r="F3771" s="67">
        <v>4.875887957</v>
      </c>
      <c r="G3771" s="40">
        <v>2.257169466</v>
      </c>
      <c r="H3771" s="40"/>
      <c r="I3771" s="41">
        <v>0.425287356</v>
      </c>
      <c r="J3771" s="41">
        <v>0.183908046</v>
      </c>
      <c r="K3771" s="41">
        <v>0.390804598</v>
      </c>
      <c r="L3771" s="41"/>
      <c r="M3771" s="74">
        <v>-3.154181938</v>
      </c>
    </row>
    <row r="3772">
      <c r="A3772" s="1" t="s">
        <v>330</v>
      </c>
      <c r="B3772" s="38">
        <v>680730.0</v>
      </c>
      <c r="C3772" s="72">
        <v>45791.0</v>
      </c>
      <c r="D3772" s="38">
        <v>79.0</v>
      </c>
      <c r="E3772" s="75"/>
      <c r="F3772" s="67">
        <v>4.875646457</v>
      </c>
      <c r="G3772" s="40">
        <v>2.029069544</v>
      </c>
      <c r="H3772" s="40"/>
      <c r="I3772" s="41">
        <v>0.443037975</v>
      </c>
      <c r="J3772" s="41">
        <v>0.189873418</v>
      </c>
      <c r="K3772" s="41">
        <v>0.367088608</v>
      </c>
      <c r="L3772" s="41"/>
      <c r="M3772" s="74">
        <v>1.695972055</v>
      </c>
    </row>
    <row r="3773">
      <c r="A3773" s="1" t="s">
        <v>449</v>
      </c>
      <c r="B3773" s="38">
        <v>687223.0</v>
      </c>
      <c r="C3773" s="72">
        <v>45829.0</v>
      </c>
      <c r="D3773" s="38">
        <v>61.0</v>
      </c>
      <c r="E3773" s="75"/>
      <c r="F3773" s="67">
        <v>4.875527345</v>
      </c>
      <c r="G3773" s="40">
        <v>1.589786983</v>
      </c>
      <c r="H3773" s="40"/>
      <c r="I3773" s="41">
        <v>0.393442623</v>
      </c>
      <c r="J3773" s="41">
        <v>0.245901639</v>
      </c>
      <c r="K3773" s="41">
        <v>0.360655738</v>
      </c>
      <c r="L3773" s="41"/>
      <c r="M3773" s="74">
        <v>-0.321240022</v>
      </c>
    </row>
    <row r="3774">
      <c r="A3774" s="1" t="s">
        <v>73</v>
      </c>
      <c r="B3774" s="38">
        <v>668881.0</v>
      </c>
      <c r="C3774" s="72">
        <v>45913.0</v>
      </c>
      <c r="D3774" s="38">
        <v>84.0</v>
      </c>
      <c r="E3774" s="75"/>
      <c r="F3774" s="67">
        <v>4.87541411</v>
      </c>
      <c r="G3774" s="40">
        <v>2.108327447</v>
      </c>
      <c r="H3774" s="40"/>
      <c r="I3774" s="41">
        <v>0.464285714</v>
      </c>
      <c r="J3774" s="41">
        <v>0.119047619</v>
      </c>
      <c r="K3774" s="41">
        <v>0.416666667</v>
      </c>
      <c r="L3774" s="41"/>
      <c r="M3774" s="74">
        <v>-0.005412377</v>
      </c>
    </row>
    <row r="3775">
      <c r="A3775" s="1" t="s">
        <v>282</v>
      </c>
      <c r="B3775" s="38">
        <v>656302.0</v>
      </c>
      <c r="C3775" s="72">
        <v>45885.0</v>
      </c>
      <c r="D3775" s="38">
        <v>82.0</v>
      </c>
      <c r="E3775" s="75"/>
      <c r="F3775" s="67">
        <v>4.875139573</v>
      </c>
      <c r="G3775" s="40">
        <v>2.116964865</v>
      </c>
      <c r="H3775" s="40"/>
      <c r="I3775" s="41">
        <v>0.426829268</v>
      </c>
      <c r="J3775" s="41">
        <v>0.158536585</v>
      </c>
      <c r="K3775" s="41">
        <v>0.414634146</v>
      </c>
      <c r="L3775" s="41"/>
      <c r="M3775" s="74">
        <v>1.766885141</v>
      </c>
    </row>
    <row r="3776">
      <c r="A3776" s="1" t="s">
        <v>371</v>
      </c>
      <c r="B3776" s="38">
        <v>681293.0</v>
      </c>
      <c r="C3776" s="72">
        <v>45899.0</v>
      </c>
      <c r="D3776" s="38">
        <v>100.0</v>
      </c>
      <c r="E3776" s="75"/>
      <c r="F3776" s="67">
        <v>4.874926655</v>
      </c>
      <c r="G3776" s="40">
        <v>2.549482578</v>
      </c>
      <c r="H3776" s="40"/>
      <c r="I3776" s="41">
        <v>0.45</v>
      </c>
      <c r="J3776" s="41">
        <v>0.19</v>
      </c>
      <c r="K3776" s="41">
        <v>0.36</v>
      </c>
      <c r="L3776" s="41"/>
      <c r="M3776" s="74">
        <v>3.39193037</v>
      </c>
    </row>
    <row r="3777">
      <c r="A3777" s="1" t="s">
        <v>472</v>
      </c>
      <c r="B3777" s="38">
        <v>675911.0</v>
      </c>
      <c r="C3777" s="72">
        <v>45763.0</v>
      </c>
      <c r="D3777" s="38">
        <v>92.0</v>
      </c>
      <c r="E3777" s="75"/>
      <c r="F3777" s="67">
        <v>4.874790989</v>
      </c>
      <c r="G3777" s="40">
        <v>2.347479973</v>
      </c>
      <c r="H3777" s="40"/>
      <c r="I3777" s="41">
        <v>0.434782609</v>
      </c>
      <c r="J3777" s="41">
        <v>0.141304348</v>
      </c>
      <c r="K3777" s="41">
        <v>0.423913043</v>
      </c>
      <c r="L3777" s="41"/>
      <c r="M3777" s="74">
        <v>-1.51418245</v>
      </c>
    </row>
    <row r="3778">
      <c r="A3778" s="1" t="s">
        <v>313</v>
      </c>
      <c r="B3778" s="38">
        <v>607067.0</v>
      </c>
      <c r="C3778" s="72">
        <v>45926.0</v>
      </c>
      <c r="D3778" s="38">
        <v>75.0</v>
      </c>
      <c r="E3778" s="75"/>
      <c r="F3778" s="67">
        <v>4.874782961</v>
      </c>
      <c r="G3778" s="40">
        <v>1.938329898</v>
      </c>
      <c r="H3778" s="40"/>
      <c r="I3778" s="41">
        <v>0.36</v>
      </c>
      <c r="J3778" s="41">
        <v>0.28</v>
      </c>
      <c r="K3778" s="41">
        <v>0.36</v>
      </c>
      <c r="L3778" s="41"/>
      <c r="M3778" s="74">
        <v>3.310581127</v>
      </c>
    </row>
    <row r="3779">
      <c r="A3779" s="1" t="s">
        <v>423</v>
      </c>
      <c r="B3779" s="38">
        <v>656605.0</v>
      </c>
      <c r="C3779" s="72">
        <v>45919.0</v>
      </c>
      <c r="D3779" s="38">
        <v>72.0</v>
      </c>
      <c r="E3779" s="75"/>
      <c r="F3779" s="67">
        <v>4.874558574</v>
      </c>
      <c r="G3779" s="40">
        <v>1.868612558</v>
      </c>
      <c r="H3779" s="40"/>
      <c r="I3779" s="41">
        <v>0.388888889</v>
      </c>
      <c r="J3779" s="41">
        <v>0.194444444</v>
      </c>
      <c r="K3779" s="41">
        <v>0.416666667</v>
      </c>
      <c r="L3779" s="41"/>
      <c r="M3779" s="74">
        <v>0.735012259</v>
      </c>
    </row>
    <row r="3780">
      <c r="A3780" s="1" t="s">
        <v>464</v>
      </c>
      <c r="B3780" s="38">
        <v>615698.0</v>
      </c>
      <c r="C3780" s="72">
        <v>45848.0</v>
      </c>
      <c r="D3780" s="38">
        <v>78.0</v>
      </c>
      <c r="E3780" s="75"/>
      <c r="F3780" s="67">
        <v>4.874174059</v>
      </c>
      <c r="G3780" s="40">
        <v>2.03163916</v>
      </c>
      <c r="H3780" s="40"/>
      <c r="I3780" s="41">
        <v>0.435897436</v>
      </c>
      <c r="J3780" s="41">
        <v>0.166666667</v>
      </c>
      <c r="K3780" s="41">
        <v>0.397435897</v>
      </c>
      <c r="L3780" s="41"/>
      <c r="M3780" s="74">
        <v>-1.271314098</v>
      </c>
    </row>
    <row r="3781">
      <c r="A3781" s="1" t="s">
        <v>510</v>
      </c>
      <c r="B3781" s="38">
        <v>702674.0</v>
      </c>
      <c r="C3781" s="72">
        <v>45916.0</v>
      </c>
      <c r="D3781" s="38">
        <v>90.0</v>
      </c>
      <c r="E3781" s="75"/>
      <c r="F3781" s="67">
        <v>4.874123125</v>
      </c>
      <c r="G3781" s="40">
        <v>2.314308476</v>
      </c>
      <c r="H3781" s="40"/>
      <c r="I3781" s="41">
        <v>0.5</v>
      </c>
      <c r="J3781" s="41">
        <v>0.133333333</v>
      </c>
      <c r="K3781" s="41">
        <v>0.366666667</v>
      </c>
      <c r="L3781" s="41"/>
      <c r="M3781" s="74">
        <v>-2.929232284</v>
      </c>
    </row>
    <row r="3782">
      <c r="A3782" s="1" t="s">
        <v>374</v>
      </c>
      <c r="B3782" s="38">
        <v>683004.0</v>
      </c>
      <c r="C3782" s="72">
        <v>45870.0</v>
      </c>
      <c r="D3782" s="38">
        <v>90.0</v>
      </c>
      <c r="E3782" s="75"/>
      <c r="F3782" s="67">
        <v>4.874009494</v>
      </c>
      <c r="G3782" s="40">
        <v>2.269893954</v>
      </c>
      <c r="H3782" s="40"/>
      <c r="I3782" s="41">
        <v>0.477777778</v>
      </c>
      <c r="J3782" s="41">
        <v>0.088888889</v>
      </c>
      <c r="K3782" s="41">
        <v>0.433333333</v>
      </c>
      <c r="L3782" s="41"/>
      <c r="M3782" s="74">
        <v>0.627250972</v>
      </c>
    </row>
    <row r="3783">
      <c r="A3783" s="1" t="s">
        <v>242</v>
      </c>
      <c r="B3783" s="38">
        <v>669358.0</v>
      </c>
      <c r="C3783" s="72">
        <v>45901.0</v>
      </c>
      <c r="D3783" s="38">
        <v>81.0</v>
      </c>
      <c r="E3783" s="75"/>
      <c r="F3783" s="67">
        <v>4.873784646</v>
      </c>
      <c r="G3783" s="40">
        <v>2.073186706</v>
      </c>
      <c r="H3783" s="40"/>
      <c r="I3783" s="41">
        <v>0.469135802</v>
      </c>
      <c r="J3783" s="41">
        <v>0.086419753</v>
      </c>
      <c r="K3783" s="41">
        <v>0.444444444</v>
      </c>
      <c r="L3783" s="41"/>
      <c r="M3783" s="74">
        <v>-0.257418888</v>
      </c>
    </row>
    <row r="3784">
      <c r="A3784" s="1" t="s">
        <v>329</v>
      </c>
      <c r="B3784" s="38">
        <v>669160.0</v>
      </c>
      <c r="C3784" s="72">
        <v>45823.0</v>
      </c>
      <c r="D3784" s="38">
        <v>94.0</v>
      </c>
      <c r="E3784" s="75"/>
      <c r="F3784" s="67">
        <v>4.873741529</v>
      </c>
      <c r="G3784" s="40">
        <v>2.435415041</v>
      </c>
      <c r="H3784" s="40"/>
      <c r="I3784" s="41">
        <v>0.489361702</v>
      </c>
      <c r="J3784" s="41">
        <v>0.14893617</v>
      </c>
      <c r="K3784" s="41">
        <v>0.361702128</v>
      </c>
      <c r="L3784" s="41"/>
      <c r="M3784" s="74">
        <v>-0.844675948</v>
      </c>
    </row>
    <row r="3785">
      <c r="A3785" s="1" t="s">
        <v>376</v>
      </c>
      <c r="B3785" s="38">
        <v>668909.0</v>
      </c>
      <c r="C3785" s="72">
        <v>45757.0</v>
      </c>
      <c r="D3785" s="38">
        <v>91.0</v>
      </c>
      <c r="E3785" s="75"/>
      <c r="F3785" s="67">
        <v>4.873366679</v>
      </c>
      <c r="G3785" s="40">
        <v>2.295259951</v>
      </c>
      <c r="H3785" s="40"/>
      <c r="I3785" s="41">
        <v>0.472527473</v>
      </c>
      <c r="J3785" s="41">
        <v>0.120879121</v>
      </c>
      <c r="K3785" s="41">
        <v>0.406593407</v>
      </c>
      <c r="L3785" s="41"/>
      <c r="M3785" s="74">
        <v>1.661343486</v>
      </c>
    </row>
    <row r="3786">
      <c r="A3786" s="1" t="s">
        <v>321</v>
      </c>
      <c r="B3786" s="38">
        <v>607200.0</v>
      </c>
      <c r="C3786" s="72">
        <v>45878.0</v>
      </c>
      <c r="D3786" s="38">
        <v>101.0</v>
      </c>
      <c r="E3786" s="75"/>
      <c r="F3786" s="67">
        <v>4.873039173</v>
      </c>
      <c r="G3786" s="40">
        <v>2.585100864</v>
      </c>
      <c r="H3786" s="40"/>
      <c r="I3786" s="41">
        <v>0.455445545</v>
      </c>
      <c r="J3786" s="41">
        <v>0.158415842</v>
      </c>
      <c r="K3786" s="41">
        <v>0.386138614</v>
      </c>
      <c r="L3786" s="41"/>
      <c r="M3786" s="74">
        <v>0.987543145</v>
      </c>
    </row>
    <row r="3787">
      <c r="A3787" s="1" t="s">
        <v>372</v>
      </c>
      <c r="B3787" s="38">
        <v>671106.0</v>
      </c>
      <c r="C3787" s="72">
        <v>45802.0</v>
      </c>
      <c r="D3787" s="38">
        <v>92.0</v>
      </c>
      <c r="E3787" s="75"/>
      <c r="F3787" s="67">
        <v>4.872938254</v>
      </c>
      <c r="G3787" s="40">
        <v>2.365891003</v>
      </c>
      <c r="H3787" s="40"/>
      <c r="I3787" s="41">
        <v>0.413043478</v>
      </c>
      <c r="J3787" s="41">
        <v>0.22826087</v>
      </c>
      <c r="K3787" s="41">
        <v>0.358695652</v>
      </c>
      <c r="L3787" s="41"/>
      <c r="M3787" s="74">
        <v>-0.538385524</v>
      </c>
    </row>
    <row r="3788">
      <c r="A3788" s="1" t="s">
        <v>129</v>
      </c>
      <c r="B3788" s="38">
        <v>686752.0</v>
      </c>
      <c r="C3788" s="72">
        <v>45904.0</v>
      </c>
      <c r="D3788" s="38">
        <v>88.0</v>
      </c>
      <c r="E3788" s="75"/>
      <c r="F3788" s="67">
        <v>4.872504046</v>
      </c>
      <c r="G3788" s="40">
        <v>2.220680445</v>
      </c>
      <c r="H3788" s="40"/>
      <c r="I3788" s="41">
        <v>0.5</v>
      </c>
      <c r="J3788" s="41">
        <v>0.079545455</v>
      </c>
      <c r="K3788" s="41">
        <v>0.420454545</v>
      </c>
      <c r="L3788" s="41"/>
      <c r="M3788" s="74">
        <v>3.85737377</v>
      </c>
    </row>
    <row r="3789">
      <c r="A3789" s="1" t="s">
        <v>209</v>
      </c>
      <c r="B3789" s="38">
        <v>694738.0</v>
      </c>
      <c r="C3789" s="72">
        <v>45860.0</v>
      </c>
      <c r="D3789" s="38">
        <v>86.0</v>
      </c>
      <c r="E3789" s="75"/>
      <c r="F3789" s="67">
        <v>4.872295882</v>
      </c>
      <c r="G3789" s="40">
        <v>2.193054052</v>
      </c>
      <c r="H3789" s="40"/>
      <c r="I3789" s="41">
        <v>0.476744186</v>
      </c>
      <c r="J3789" s="41">
        <v>0.139534884</v>
      </c>
      <c r="K3789" s="41">
        <v>0.38372093</v>
      </c>
      <c r="L3789" s="41"/>
      <c r="M3789" s="74">
        <v>0.783751569</v>
      </c>
    </row>
    <row r="3790">
      <c r="A3790" s="1" t="s">
        <v>246</v>
      </c>
      <c r="B3790" s="38">
        <v>571510.0</v>
      </c>
      <c r="C3790" s="72">
        <v>45746.0</v>
      </c>
      <c r="D3790" s="38">
        <v>86.0</v>
      </c>
      <c r="E3790" s="75"/>
      <c r="F3790" s="67">
        <v>4.871774641</v>
      </c>
      <c r="G3790" s="40">
        <v>2.207947646</v>
      </c>
      <c r="H3790" s="40"/>
      <c r="I3790" s="41">
        <v>0.418604651</v>
      </c>
      <c r="J3790" s="41">
        <v>0.186046512</v>
      </c>
      <c r="K3790" s="41">
        <v>0.395348837</v>
      </c>
      <c r="L3790" s="41"/>
      <c r="M3790" s="74">
        <v>0.566278485</v>
      </c>
    </row>
    <row r="3791">
      <c r="A3791" s="1" t="s">
        <v>325</v>
      </c>
      <c r="B3791" s="38">
        <v>676917.0</v>
      </c>
      <c r="C3791" s="72">
        <v>45914.0</v>
      </c>
      <c r="D3791" s="38">
        <v>67.0</v>
      </c>
      <c r="E3791" s="75"/>
      <c r="F3791" s="67">
        <v>4.871616261</v>
      </c>
      <c r="G3791" s="40">
        <v>1.743607934</v>
      </c>
      <c r="H3791" s="40"/>
      <c r="I3791" s="41">
        <v>0.432835821</v>
      </c>
      <c r="J3791" s="41">
        <v>0.179104478</v>
      </c>
      <c r="K3791" s="41">
        <v>0.388059701</v>
      </c>
      <c r="L3791" s="41"/>
      <c r="M3791" s="74">
        <v>0.942944616</v>
      </c>
    </row>
    <row r="3792">
      <c r="A3792" s="1" t="s">
        <v>226</v>
      </c>
      <c r="B3792" s="38">
        <v>607259.0</v>
      </c>
      <c r="C3792" s="72">
        <v>45889.0</v>
      </c>
      <c r="D3792" s="38">
        <v>87.0</v>
      </c>
      <c r="E3792" s="75"/>
      <c r="F3792" s="67">
        <v>4.871069301</v>
      </c>
      <c r="G3792" s="40">
        <v>2.265302222</v>
      </c>
      <c r="H3792" s="40"/>
      <c r="I3792" s="41">
        <v>0.436781609</v>
      </c>
      <c r="J3792" s="41">
        <v>0.218390805</v>
      </c>
      <c r="K3792" s="41">
        <v>0.344827586</v>
      </c>
      <c r="L3792" s="41"/>
      <c r="M3792" s="74">
        <v>4.37680941</v>
      </c>
    </row>
    <row r="3793">
      <c r="A3793" s="1" t="s">
        <v>57</v>
      </c>
      <c r="B3793" s="38">
        <v>594798.0</v>
      </c>
      <c r="C3793" s="72">
        <v>45809.0</v>
      </c>
      <c r="D3793" s="38">
        <v>81.0</v>
      </c>
      <c r="E3793" s="75"/>
      <c r="F3793" s="67">
        <v>4.870673503</v>
      </c>
      <c r="G3793" s="40">
        <v>2.093671893</v>
      </c>
      <c r="H3793" s="40"/>
      <c r="I3793" s="41">
        <v>0.580246914</v>
      </c>
      <c r="J3793" s="41">
        <v>0.074074074</v>
      </c>
      <c r="K3793" s="41">
        <v>0.345679012</v>
      </c>
      <c r="L3793" s="41"/>
      <c r="M3793" s="74">
        <v>-0.435030476</v>
      </c>
    </row>
    <row r="3794">
      <c r="A3794" s="1" t="s">
        <v>434</v>
      </c>
      <c r="B3794" s="38">
        <v>690990.0</v>
      </c>
      <c r="C3794" s="72">
        <v>45787.0</v>
      </c>
      <c r="D3794" s="38">
        <v>74.0</v>
      </c>
      <c r="E3794" s="75"/>
      <c r="F3794" s="67">
        <v>4.869976712</v>
      </c>
      <c r="G3794" s="40">
        <v>1.929379486</v>
      </c>
      <c r="H3794" s="40"/>
      <c r="I3794" s="41">
        <v>0.459459459</v>
      </c>
      <c r="J3794" s="41">
        <v>0.148648649</v>
      </c>
      <c r="K3794" s="41">
        <v>0.391891892</v>
      </c>
      <c r="L3794" s="41"/>
      <c r="M3794" s="74">
        <v>0.181789627</v>
      </c>
    </row>
    <row r="3795">
      <c r="A3795" s="1" t="s">
        <v>298</v>
      </c>
      <c r="B3795" s="38">
        <v>594902.0</v>
      </c>
      <c r="C3795" s="72">
        <v>45749.0</v>
      </c>
      <c r="D3795" s="38">
        <v>85.0</v>
      </c>
      <c r="E3795" s="75"/>
      <c r="F3795" s="67">
        <v>4.86983398</v>
      </c>
      <c r="G3795" s="40">
        <v>2.196136468</v>
      </c>
      <c r="H3795" s="40"/>
      <c r="I3795" s="41">
        <v>0.482352941</v>
      </c>
      <c r="J3795" s="41">
        <v>0.117647059</v>
      </c>
      <c r="K3795" s="41">
        <v>0.4</v>
      </c>
      <c r="L3795" s="41"/>
      <c r="M3795" s="74">
        <v>-2.403053139</v>
      </c>
    </row>
    <row r="3796">
      <c r="A3796" s="1" t="s">
        <v>380</v>
      </c>
      <c r="B3796" s="38">
        <v>661563.0</v>
      </c>
      <c r="C3796" s="72">
        <v>45928.0</v>
      </c>
      <c r="D3796" s="38">
        <v>77.0</v>
      </c>
      <c r="E3796" s="75"/>
      <c r="F3796" s="67">
        <v>4.869740033</v>
      </c>
      <c r="G3796" s="40">
        <v>2.005535525</v>
      </c>
      <c r="H3796" s="40"/>
      <c r="I3796" s="41">
        <v>0.428571429</v>
      </c>
      <c r="J3796" s="41">
        <v>0.181818182</v>
      </c>
      <c r="K3796" s="41">
        <v>0.38961039</v>
      </c>
      <c r="L3796" s="41"/>
      <c r="M3796" s="74">
        <v>0.73028628</v>
      </c>
    </row>
    <row r="3797">
      <c r="A3797" s="1" t="s">
        <v>415</v>
      </c>
      <c r="B3797" s="38">
        <v>656794.0</v>
      </c>
      <c r="C3797" s="72">
        <v>45753.0</v>
      </c>
      <c r="D3797" s="38">
        <v>93.0</v>
      </c>
      <c r="E3797" s="75"/>
      <c r="F3797" s="67">
        <v>4.869725482</v>
      </c>
      <c r="G3797" s="40">
        <v>2.419200355</v>
      </c>
      <c r="H3797" s="40"/>
      <c r="I3797" s="41">
        <v>0.451612903</v>
      </c>
      <c r="J3797" s="41">
        <v>0.11827957</v>
      </c>
      <c r="K3797" s="41">
        <v>0.430107527</v>
      </c>
      <c r="L3797" s="41"/>
      <c r="M3797" s="74">
        <v>-0.813061743</v>
      </c>
    </row>
    <row r="3798">
      <c r="A3798" s="1" t="s">
        <v>522</v>
      </c>
      <c r="B3798" s="38">
        <v>808963.0</v>
      </c>
      <c r="C3798" s="72">
        <v>45752.0</v>
      </c>
      <c r="D3798" s="38">
        <v>67.0</v>
      </c>
      <c r="E3798" s="75"/>
      <c r="F3798" s="67">
        <v>4.869716872</v>
      </c>
      <c r="G3798" s="40">
        <v>1.741644535</v>
      </c>
      <c r="H3798" s="40"/>
      <c r="I3798" s="41">
        <v>0.417910448</v>
      </c>
      <c r="J3798" s="41">
        <v>0.149253731</v>
      </c>
      <c r="K3798" s="41">
        <v>0.432835821</v>
      </c>
      <c r="L3798" s="41"/>
      <c r="M3798" s="74">
        <v>1.044873007</v>
      </c>
    </row>
    <row r="3799">
      <c r="A3799" s="1" t="s">
        <v>339</v>
      </c>
      <c r="B3799" s="38">
        <v>686613.0</v>
      </c>
      <c r="C3799" s="72">
        <v>45809.0</v>
      </c>
      <c r="D3799" s="38">
        <v>91.0</v>
      </c>
      <c r="E3799" s="75"/>
      <c r="F3799" s="67">
        <v>4.869593024</v>
      </c>
      <c r="G3799" s="40">
        <v>2.320507123</v>
      </c>
      <c r="H3799" s="40"/>
      <c r="I3799" s="41">
        <v>0.450549451</v>
      </c>
      <c r="J3799" s="41">
        <v>0.153846154</v>
      </c>
      <c r="K3799" s="41">
        <v>0.395604396</v>
      </c>
      <c r="L3799" s="41"/>
      <c r="M3799" s="74">
        <v>3.09149943</v>
      </c>
    </row>
    <row r="3800">
      <c r="A3800" s="1" t="s">
        <v>479</v>
      </c>
      <c r="B3800" s="38">
        <v>664299.0</v>
      </c>
      <c r="C3800" s="72">
        <v>45898.0</v>
      </c>
      <c r="D3800" s="38">
        <v>84.0</v>
      </c>
      <c r="E3800" s="75"/>
      <c r="F3800" s="67">
        <v>4.869511198</v>
      </c>
      <c r="G3800" s="40">
        <v>2.157192319</v>
      </c>
      <c r="H3800" s="40"/>
      <c r="I3800" s="41">
        <v>0.476190476</v>
      </c>
      <c r="J3800" s="41">
        <v>0.119047619</v>
      </c>
      <c r="K3800" s="41">
        <v>0.404761905</v>
      </c>
      <c r="L3800" s="41"/>
      <c r="M3800" s="74">
        <v>3.288037159</v>
      </c>
    </row>
    <row r="3801">
      <c r="A3801" s="1" t="s">
        <v>344</v>
      </c>
      <c r="B3801" s="38">
        <v>701542.0</v>
      </c>
      <c r="C3801" s="72">
        <v>45851.0</v>
      </c>
      <c r="D3801" s="38">
        <v>88.0</v>
      </c>
      <c r="E3801" s="75"/>
      <c r="F3801" s="67">
        <v>4.868781284</v>
      </c>
      <c r="G3801" s="40">
        <v>2.282940998</v>
      </c>
      <c r="H3801" s="40"/>
      <c r="I3801" s="41">
        <v>0.477272727</v>
      </c>
      <c r="J3801" s="41">
        <v>0.136363636</v>
      </c>
      <c r="K3801" s="41">
        <v>0.386363636</v>
      </c>
      <c r="L3801" s="41"/>
      <c r="M3801" s="74">
        <v>-1.485463033</v>
      </c>
    </row>
    <row r="3802">
      <c r="A3802" s="1" t="s">
        <v>306</v>
      </c>
      <c r="B3802" s="38">
        <v>677944.0</v>
      </c>
      <c r="C3802" s="72">
        <v>45800.0</v>
      </c>
      <c r="D3802" s="38">
        <v>83.0</v>
      </c>
      <c r="E3802" s="75"/>
      <c r="F3802" s="67">
        <v>4.868367513</v>
      </c>
      <c r="G3802" s="40">
        <v>2.175169807</v>
      </c>
      <c r="H3802" s="40"/>
      <c r="I3802" s="41">
        <v>0.421686747</v>
      </c>
      <c r="J3802" s="41">
        <v>0.13253012</v>
      </c>
      <c r="K3802" s="41">
        <v>0.445783133</v>
      </c>
      <c r="L3802" s="41"/>
      <c r="M3802" s="74">
        <v>0.085922558</v>
      </c>
    </row>
    <row r="3803">
      <c r="A3803" s="1" t="s">
        <v>484</v>
      </c>
      <c r="B3803" s="38">
        <v>682847.0</v>
      </c>
      <c r="C3803" s="72">
        <v>45777.0</v>
      </c>
      <c r="D3803" s="38">
        <v>90.0</v>
      </c>
      <c r="E3803" s="75"/>
      <c r="F3803" s="67">
        <v>4.868294822</v>
      </c>
      <c r="G3803" s="40">
        <v>2.317195355</v>
      </c>
      <c r="H3803" s="40"/>
      <c r="I3803" s="41">
        <v>0.444444444</v>
      </c>
      <c r="J3803" s="41">
        <v>0.188888889</v>
      </c>
      <c r="K3803" s="41">
        <v>0.366666667</v>
      </c>
      <c r="L3803" s="41"/>
      <c r="M3803" s="74">
        <v>2.380359849</v>
      </c>
    </row>
    <row r="3804">
      <c r="A3804" s="1" t="s">
        <v>308</v>
      </c>
      <c r="B3804" s="38">
        <v>676440.0</v>
      </c>
      <c r="C3804" s="72">
        <v>45822.0</v>
      </c>
      <c r="D3804" s="38">
        <v>101.0</v>
      </c>
      <c r="E3804" s="75"/>
      <c r="F3804" s="67">
        <v>4.868227521</v>
      </c>
      <c r="G3804" s="40">
        <v>2.605407635</v>
      </c>
      <c r="H3804" s="40"/>
      <c r="I3804" s="41">
        <v>0.495049505</v>
      </c>
      <c r="J3804" s="41">
        <v>0.128712871</v>
      </c>
      <c r="K3804" s="41">
        <v>0.376237624</v>
      </c>
      <c r="L3804" s="41"/>
      <c r="M3804" s="74">
        <v>1.25716492</v>
      </c>
    </row>
    <row r="3805">
      <c r="A3805" s="1" t="s">
        <v>380</v>
      </c>
      <c r="B3805" s="38">
        <v>661563.0</v>
      </c>
      <c r="C3805" s="72">
        <v>45890.0</v>
      </c>
      <c r="D3805" s="38">
        <v>92.0</v>
      </c>
      <c r="E3805" s="75"/>
      <c r="F3805" s="67">
        <v>4.867518556</v>
      </c>
      <c r="G3805" s="40">
        <v>2.416303147</v>
      </c>
      <c r="H3805" s="40"/>
      <c r="I3805" s="41">
        <v>0.456521739</v>
      </c>
      <c r="J3805" s="41">
        <v>0.173913043</v>
      </c>
      <c r="K3805" s="41">
        <v>0.369565217</v>
      </c>
      <c r="L3805" s="41"/>
      <c r="M3805" s="74">
        <v>0.364423986</v>
      </c>
    </row>
    <row r="3806">
      <c r="A3806" s="1" t="s">
        <v>513</v>
      </c>
      <c r="B3806" s="38">
        <v>608566.0</v>
      </c>
      <c r="C3806" s="72">
        <v>45815.0</v>
      </c>
      <c r="D3806" s="38">
        <v>77.0</v>
      </c>
      <c r="E3806" s="75"/>
      <c r="F3806" s="67">
        <v>4.867470045</v>
      </c>
      <c r="G3806" s="40">
        <v>2.085426775</v>
      </c>
      <c r="H3806" s="40"/>
      <c r="I3806" s="41">
        <v>0.363636364</v>
      </c>
      <c r="J3806" s="41">
        <v>0.298701299</v>
      </c>
      <c r="K3806" s="41">
        <v>0.337662338</v>
      </c>
      <c r="L3806" s="41"/>
      <c r="M3806" s="74">
        <v>-2.187475438</v>
      </c>
    </row>
    <row r="3807">
      <c r="A3807" s="1" t="s">
        <v>181</v>
      </c>
      <c r="B3807" s="38">
        <v>641154.0</v>
      </c>
      <c r="C3807" s="72">
        <v>45805.0</v>
      </c>
      <c r="D3807" s="38">
        <v>90.0</v>
      </c>
      <c r="E3807" s="75"/>
      <c r="F3807" s="67">
        <v>4.867086214</v>
      </c>
      <c r="G3807" s="40">
        <v>2.313672305</v>
      </c>
      <c r="H3807" s="40"/>
      <c r="I3807" s="41">
        <v>0.411111111</v>
      </c>
      <c r="J3807" s="41">
        <v>0.222222222</v>
      </c>
      <c r="K3807" s="41">
        <v>0.366666667</v>
      </c>
      <c r="L3807" s="41"/>
      <c r="M3807" s="74">
        <v>-2.228236067</v>
      </c>
    </row>
    <row r="3808">
      <c r="A3808" s="1" t="s">
        <v>109</v>
      </c>
      <c r="B3808" s="38">
        <v>601713.0</v>
      </c>
      <c r="C3808" s="72">
        <v>45863.0</v>
      </c>
      <c r="D3808" s="38">
        <v>89.0</v>
      </c>
      <c r="E3808" s="75"/>
      <c r="F3808" s="67">
        <v>4.866779344</v>
      </c>
      <c r="G3808" s="40">
        <v>2.328415544</v>
      </c>
      <c r="H3808" s="40"/>
      <c r="I3808" s="41">
        <v>0.505617978</v>
      </c>
      <c r="J3808" s="41">
        <v>0.101123596</v>
      </c>
      <c r="K3808" s="41">
        <v>0.393258427</v>
      </c>
      <c r="L3808" s="41"/>
      <c r="M3808" s="74">
        <v>1.536287024</v>
      </c>
    </row>
    <row r="3809">
      <c r="A3809" s="1" t="s">
        <v>405</v>
      </c>
      <c r="B3809" s="38">
        <v>621111.0</v>
      </c>
      <c r="C3809" s="72">
        <v>45912.0</v>
      </c>
      <c r="D3809" s="38">
        <v>88.0</v>
      </c>
      <c r="E3809" s="75"/>
      <c r="F3809" s="67">
        <v>4.86652847</v>
      </c>
      <c r="G3809" s="40">
        <v>2.288789339</v>
      </c>
      <c r="H3809" s="40"/>
      <c r="I3809" s="41">
        <v>0.488636364</v>
      </c>
      <c r="J3809" s="41">
        <v>0.125</v>
      </c>
      <c r="K3809" s="41">
        <v>0.386363636</v>
      </c>
      <c r="L3809" s="41"/>
      <c r="M3809" s="74">
        <v>-0.343498417</v>
      </c>
    </row>
    <row r="3810">
      <c r="A3810" s="1" t="s">
        <v>177</v>
      </c>
      <c r="B3810" s="38">
        <v>641793.0</v>
      </c>
      <c r="C3810" s="72">
        <v>45842.0</v>
      </c>
      <c r="D3810" s="38">
        <v>75.0</v>
      </c>
      <c r="E3810" s="75"/>
      <c r="F3810" s="67">
        <v>4.866452973</v>
      </c>
      <c r="G3810" s="40">
        <v>1.986792426</v>
      </c>
      <c r="H3810" s="40"/>
      <c r="I3810" s="41">
        <v>0.426666667</v>
      </c>
      <c r="J3810" s="41">
        <v>0.186666667</v>
      </c>
      <c r="K3810" s="41">
        <v>0.386666667</v>
      </c>
      <c r="L3810" s="41"/>
      <c r="M3810" s="74">
        <v>1.902235202</v>
      </c>
    </row>
    <row r="3811">
      <c r="A3811" s="1" t="s">
        <v>474</v>
      </c>
      <c r="B3811" s="38">
        <v>450203.0</v>
      </c>
      <c r="C3811" s="72">
        <v>45815.0</v>
      </c>
      <c r="D3811" s="38">
        <v>72.0</v>
      </c>
      <c r="E3811" s="75"/>
      <c r="F3811" s="67">
        <v>4.865833642</v>
      </c>
      <c r="G3811" s="40">
        <v>1.879005343</v>
      </c>
      <c r="H3811" s="40"/>
      <c r="I3811" s="41">
        <v>0.458333333</v>
      </c>
      <c r="J3811" s="41">
        <v>0.152777778</v>
      </c>
      <c r="K3811" s="41">
        <v>0.388888889</v>
      </c>
      <c r="L3811" s="41"/>
      <c r="M3811" s="74">
        <v>-1.929478714</v>
      </c>
    </row>
    <row r="3812">
      <c r="A3812" s="1" t="s">
        <v>113</v>
      </c>
      <c r="B3812" s="38">
        <v>664285.0</v>
      </c>
      <c r="C3812" s="72">
        <v>45826.0</v>
      </c>
      <c r="D3812" s="38">
        <v>94.0</v>
      </c>
      <c r="E3812" s="75"/>
      <c r="F3812" s="67">
        <v>4.865613459</v>
      </c>
      <c r="G3812" s="40">
        <v>2.409681344</v>
      </c>
      <c r="H3812" s="40"/>
      <c r="I3812" s="41">
        <v>0.446808511</v>
      </c>
      <c r="J3812" s="41">
        <v>0.212765957</v>
      </c>
      <c r="K3812" s="41">
        <v>0.340425532</v>
      </c>
      <c r="L3812" s="41"/>
      <c r="M3812" s="74">
        <v>0.722256703</v>
      </c>
    </row>
    <row r="3813">
      <c r="A3813" s="1" t="s">
        <v>521</v>
      </c>
      <c r="B3813" s="38">
        <v>686799.0</v>
      </c>
      <c r="C3813" s="72">
        <v>45843.0</v>
      </c>
      <c r="D3813" s="38">
        <v>81.0</v>
      </c>
      <c r="E3813" s="75"/>
      <c r="F3813" s="67">
        <v>4.865318188</v>
      </c>
      <c r="G3813" s="40">
        <v>2.145913075</v>
      </c>
      <c r="H3813" s="40"/>
      <c r="I3813" s="41">
        <v>0.456790123</v>
      </c>
      <c r="J3813" s="41">
        <v>0.148148148</v>
      </c>
      <c r="K3813" s="41">
        <v>0.395061728</v>
      </c>
      <c r="L3813" s="41"/>
      <c r="M3813" s="74">
        <v>-1.352924352</v>
      </c>
    </row>
    <row r="3814">
      <c r="A3814" s="1" t="s">
        <v>194</v>
      </c>
      <c r="B3814" s="38">
        <v>666157.0</v>
      </c>
      <c r="C3814" s="72">
        <v>45837.0</v>
      </c>
      <c r="D3814" s="38">
        <v>85.0</v>
      </c>
      <c r="E3814" s="75"/>
      <c r="F3814" s="67">
        <v>4.865243663</v>
      </c>
      <c r="G3814" s="40">
        <v>2.202444197</v>
      </c>
      <c r="H3814" s="40"/>
      <c r="I3814" s="41">
        <v>0.458823529</v>
      </c>
      <c r="J3814" s="41">
        <v>0.117647059</v>
      </c>
      <c r="K3814" s="41">
        <v>0.423529412</v>
      </c>
      <c r="L3814" s="41"/>
      <c r="M3814" s="74">
        <v>-1.436077604</v>
      </c>
    </row>
    <row r="3815">
      <c r="A3815" s="1" t="s">
        <v>209</v>
      </c>
      <c r="B3815" s="38">
        <v>694738.0</v>
      </c>
      <c r="C3815" s="72">
        <v>45771.0</v>
      </c>
      <c r="D3815" s="38">
        <v>76.0</v>
      </c>
      <c r="E3815" s="75"/>
      <c r="F3815" s="67">
        <v>4.864752617</v>
      </c>
      <c r="G3815" s="40">
        <v>1.950897522</v>
      </c>
      <c r="H3815" s="40"/>
      <c r="I3815" s="41">
        <v>0.473684211</v>
      </c>
      <c r="J3815" s="41">
        <v>0.131578947</v>
      </c>
      <c r="K3815" s="41">
        <v>0.394736842</v>
      </c>
      <c r="L3815" s="41"/>
      <c r="M3815" s="74">
        <v>-2.166837973</v>
      </c>
    </row>
    <row r="3816">
      <c r="A3816" s="1" t="s">
        <v>450</v>
      </c>
      <c r="B3816" s="38">
        <v>682990.0</v>
      </c>
      <c r="C3816" s="72">
        <v>45773.0</v>
      </c>
      <c r="D3816" s="38">
        <v>102.0</v>
      </c>
      <c r="E3816" s="75"/>
      <c r="F3816" s="67">
        <v>4.864662355</v>
      </c>
      <c r="G3816" s="40">
        <v>2.635936736</v>
      </c>
      <c r="H3816" s="40"/>
      <c r="I3816" s="41">
        <v>0.421568627</v>
      </c>
      <c r="J3816" s="41">
        <v>0.18627451</v>
      </c>
      <c r="K3816" s="41">
        <v>0.392156863</v>
      </c>
      <c r="L3816" s="41"/>
      <c r="M3816" s="74">
        <v>-1.959158519</v>
      </c>
    </row>
    <row r="3817">
      <c r="A3817" s="1" t="s">
        <v>387</v>
      </c>
      <c r="B3817" s="38">
        <v>669060.0</v>
      </c>
      <c r="C3817" s="72">
        <v>45810.0</v>
      </c>
      <c r="D3817" s="38">
        <v>77.0</v>
      </c>
      <c r="E3817" s="75"/>
      <c r="F3817" s="67">
        <v>4.864581875</v>
      </c>
      <c r="G3817" s="40">
        <v>2.04171143</v>
      </c>
      <c r="H3817" s="40"/>
      <c r="I3817" s="41">
        <v>0.376623377</v>
      </c>
      <c r="J3817" s="41">
        <v>0.25974026</v>
      </c>
      <c r="K3817" s="41">
        <v>0.363636364</v>
      </c>
      <c r="L3817" s="41"/>
      <c r="M3817" s="74">
        <v>-5.824434327</v>
      </c>
    </row>
    <row r="3818">
      <c r="A3818" s="1" t="s">
        <v>84</v>
      </c>
      <c r="B3818" s="38">
        <v>669373.0</v>
      </c>
      <c r="C3818" s="72">
        <v>45827.0</v>
      </c>
      <c r="D3818" s="38">
        <v>102.0</v>
      </c>
      <c r="E3818" s="75"/>
      <c r="F3818" s="67">
        <v>4.864479582</v>
      </c>
      <c r="G3818" s="40">
        <v>2.680663026</v>
      </c>
      <c r="H3818" s="40"/>
      <c r="I3818" s="41">
        <v>0.460784314</v>
      </c>
      <c r="J3818" s="41">
        <v>0.137254902</v>
      </c>
      <c r="K3818" s="41">
        <v>0.401960784</v>
      </c>
      <c r="L3818" s="41"/>
      <c r="M3818" s="74">
        <v>0.370406254</v>
      </c>
    </row>
    <row r="3819">
      <c r="A3819" s="1" t="s">
        <v>329</v>
      </c>
      <c r="B3819" s="38">
        <v>669160.0</v>
      </c>
      <c r="C3819" s="72">
        <v>45793.0</v>
      </c>
      <c r="D3819" s="38">
        <v>89.0</v>
      </c>
      <c r="E3819" s="75"/>
      <c r="F3819" s="67">
        <v>4.864159452</v>
      </c>
      <c r="G3819" s="40">
        <v>2.291346251</v>
      </c>
      <c r="H3819" s="40"/>
      <c r="I3819" s="41">
        <v>0.505617978</v>
      </c>
      <c r="J3819" s="41">
        <v>0.112359551</v>
      </c>
      <c r="K3819" s="41">
        <v>0.382022472</v>
      </c>
      <c r="L3819" s="41"/>
      <c r="M3819" s="74">
        <v>-1.613906137</v>
      </c>
    </row>
    <row r="3820">
      <c r="A3820" s="1" t="s">
        <v>308</v>
      </c>
      <c r="B3820" s="38">
        <v>676440.0</v>
      </c>
      <c r="C3820" s="72">
        <v>45883.0</v>
      </c>
      <c r="D3820" s="38">
        <v>98.0</v>
      </c>
      <c r="E3820" s="75"/>
      <c r="F3820" s="67">
        <v>4.863936319</v>
      </c>
      <c r="G3820" s="40">
        <v>2.572746419</v>
      </c>
      <c r="H3820" s="40"/>
      <c r="I3820" s="41">
        <v>0.459183673</v>
      </c>
      <c r="J3820" s="41">
        <v>0.153061224</v>
      </c>
      <c r="K3820" s="41">
        <v>0.387755102</v>
      </c>
      <c r="L3820" s="41"/>
      <c r="M3820" s="74">
        <v>0.663903598</v>
      </c>
    </row>
    <row r="3821">
      <c r="A3821" s="1" t="s">
        <v>421</v>
      </c>
      <c r="B3821" s="38">
        <v>607192.0</v>
      </c>
      <c r="C3821" s="72">
        <v>45914.0</v>
      </c>
      <c r="D3821" s="38">
        <v>103.0</v>
      </c>
      <c r="E3821" s="75"/>
      <c r="F3821" s="67">
        <v>4.8631989</v>
      </c>
      <c r="G3821" s="40">
        <v>2.671317363</v>
      </c>
      <c r="H3821" s="40"/>
      <c r="I3821" s="41">
        <v>0.436893204</v>
      </c>
      <c r="J3821" s="41">
        <v>0.165048544</v>
      </c>
      <c r="K3821" s="41">
        <v>0.398058252</v>
      </c>
      <c r="L3821" s="41"/>
      <c r="M3821" s="74">
        <v>2.43265047</v>
      </c>
    </row>
    <row r="3822">
      <c r="A3822" s="1" t="s">
        <v>353</v>
      </c>
      <c r="B3822" s="38">
        <v>663903.0</v>
      </c>
      <c r="C3822" s="72">
        <v>45782.0</v>
      </c>
      <c r="D3822" s="38">
        <v>100.0</v>
      </c>
      <c r="E3822" s="75"/>
      <c r="F3822" s="67">
        <v>4.863093806</v>
      </c>
      <c r="G3822" s="40">
        <v>2.600922301</v>
      </c>
      <c r="H3822" s="40"/>
      <c r="I3822" s="41">
        <v>0.43</v>
      </c>
      <c r="J3822" s="41">
        <v>0.15</v>
      </c>
      <c r="K3822" s="41">
        <v>0.42</v>
      </c>
      <c r="L3822" s="41"/>
      <c r="M3822" s="74">
        <v>-0.215518564</v>
      </c>
    </row>
    <row r="3823">
      <c r="A3823" s="1" t="s">
        <v>246</v>
      </c>
      <c r="B3823" s="38">
        <v>571510.0</v>
      </c>
      <c r="C3823" s="72">
        <v>45777.0</v>
      </c>
      <c r="D3823" s="38">
        <v>75.0</v>
      </c>
      <c r="E3823" s="75"/>
      <c r="F3823" s="67">
        <v>4.863043356</v>
      </c>
      <c r="G3823" s="40">
        <v>1.948224519</v>
      </c>
      <c r="H3823" s="40"/>
      <c r="I3823" s="41">
        <v>0.386666667</v>
      </c>
      <c r="J3823" s="41">
        <v>0.24</v>
      </c>
      <c r="K3823" s="41">
        <v>0.373333333</v>
      </c>
      <c r="L3823" s="41"/>
      <c r="M3823" s="74">
        <v>-2.17553827</v>
      </c>
    </row>
    <row r="3824">
      <c r="A3824" s="1" t="s">
        <v>272</v>
      </c>
      <c r="B3824" s="38">
        <v>622491.0</v>
      </c>
      <c r="C3824" s="72">
        <v>45884.0</v>
      </c>
      <c r="D3824" s="38">
        <v>91.0</v>
      </c>
      <c r="E3824" s="75"/>
      <c r="F3824" s="67">
        <v>4.862927038</v>
      </c>
      <c r="G3824" s="40">
        <v>2.368548471</v>
      </c>
      <c r="H3824" s="40"/>
      <c r="I3824" s="41">
        <v>0.428571429</v>
      </c>
      <c r="J3824" s="41">
        <v>0.153846154</v>
      </c>
      <c r="K3824" s="41">
        <v>0.417582418</v>
      </c>
      <c r="L3824" s="41"/>
      <c r="M3824" s="74">
        <v>-4.541109963</v>
      </c>
    </row>
    <row r="3825">
      <c r="A3825" s="1" t="s">
        <v>306</v>
      </c>
      <c r="B3825" s="38">
        <v>677944.0</v>
      </c>
      <c r="C3825" s="72">
        <v>45896.0</v>
      </c>
      <c r="D3825" s="38">
        <v>96.0</v>
      </c>
      <c r="E3825" s="75"/>
      <c r="F3825" s="67">
        <v>4.862857809</v>
      </c>
      <c r="G3825" s="40">
        <v>2.512923218</v>
      </c>
      <c r="H3825" s="40"/>
      <c r="I3825" s="41">
        <v>0.375</v>
      </c>
      <c r="J3825" s="41">
        <v>0.166666667</v>
      </c>
      <c r="K3825" s="41">
        <v>0.458333333</v>
      </c>
      <c r="L3825" s="41"/>
      <c r="M3825" s="74">
        <v>0.99754876</v>
      </c>
    </row>
    <row r="3826">
      <c r="A3826" s="1" t="s">
        <v>224</v>
      </c>
      <c r="B3826" s="38">
        <v>686701.0</v>
      </c>
      <c r="C3826" s="72">
        <v>45816.0</v>
      </c>
      <c r="D3826" s="38">
        <v>84.0</v>
      </c>
      <c r="E3826" s="75"/>
      <c r="F3826" s="67">
        <v>4.862585383</v>
      </c>
      <c r="G3826" s="40">
        <v>2.144936046</v>
      </c>
      <c r="H3826" s="40"/>
      <c r="I3826" s="41">
        <v>0.452380952</v>
      </c>
      <c r="J3826" s="41">
        <v>0.19047619</v>
      </c>
      <c r="K3826" s="41">
        <v>0.357142857</v>
      </c>
      <c r="L3826" s="41"/>
      <c r="M3826" s="74">
        <v>2.888985632</v>
      </c>
    </row>
    <row r="3827">
      <c r="A3827" s="1" t="s">
        <v>514</v>
      </c>
      <c r="B3827" s="38">
        <v>806185.0</v>
      </c>
      <c r="C3827" s="72">
        <v>45839.0</v>
      </c>
      <c r="D3827" s="38">
        <v>76.0</v>
      </c>
      <c r="E3827" s="75"/>
      <c r="F3827" s="67">
        <v>4.862404645</v>
      </c>
      <c r="G3827" s="40">
        <v>1.963496016</v>
      </c>
      <c r="H3827" s="40"/>
      <c r="I3827" s="41">
        <v>0.407894737</v>
      </c>
      <c r="J3827" s="41">
        <v>0.157894737</v>
      </c>
      <c r="K3827" s="41">
        <v>0.434210526</v>
      </c>
      <c r="L3827" s="41"/>
      <c r="M3827" s="74">
        <v>1.379540832</v>
      </c>
    </row>
    <row r="3828">
      <c r="A3828" s="1" t="s">
        <v>320</v>
      </c>
      <c r="B3828" s="38">
        <v>681347.0</v>
      </c>
      <c r="C3828" s="72">
        <v>45837.0</v>
      </c>
      <c r="D3828" s="38">
        <v>64.0</v>
      </c>
      <c r="E3828" s="75"/>
      <c r="F3828" s="67">
        <v>4.862091793</v>
      </c>
      <c r="G3828" s="40">
        <v>1.69598754</v>
      </c>
      <c r="H3828" s="40"/>
      <c r="I3828" s="41">
        <v>0.4375</v>
      </c>
      <c r="J3828" s="41">
        <v>0.203125</v>
      </c>
      <c r="K3828" s="41">
        <v>0.359375</v>
      </c>
      <c r="L3828" s="41"/>
      <c r="M3828" s="74">
        <v>-0.168141368</v>
      </c>
    </row>
    <row r="3829">
      <c r="A3829" s="1" t="s">
        <v>294</v>
      </c>
      <c r="B3829" s="38">
        <v>665152.0</v>
      </c>
      <c r="C3829" s="72">
        <v>45881.0</v>
      </c>
      <c r="D3829" s="38">
        <v>99.0</v>
      </c>
      <c r="E3829" s="75"/>
      <c r="F3829" s="67">
        <v>4.862019798</v>
      </c>
      <c r="G3829" s="40">
        <v>2.573512031</v>
      </c>
      <c r="H3829" s="40"/>
      <c r="I3829" s="41">
        <v>0.454545455</v>
      </c>
      <c r="J3829" s="41">
        <v>0.171717172</v>
      </c>
      <c r="K3829" s="41">
        <v>0.373737374</v>
      </c>
      <c r="L3829" s="41"/>
      <c r="M3829" s="74">
        <v>0.791096714</v>
      </c>
    </row>
    <row r="3830">
      <c r="A3830" s="1" t="s">
        <v>612</v>
      </c>
      <c r="B3830" s="38">
        <v>687287.0</v>
      </c>
      <c r="C3830" s="72">
        <v>45766.0</v>
      </c>
      <c r="D3830" s="38">
        <v>87.0</v>
      </c>
      <c r="E3830" s="75"/>
      <c r="F3830" s="67">
        <v>4.861994165</v>
      </c>
      <c r="G3830" s="40">
        <v>2.251117313</v>
      </c>
      <c r="H3830" s="40"/>
      <c r="I3830" s="41">
        <v>0.402298851</v>
      </c>
      <c r="J3830" s="41">
        <v>0.149425287</v>
      </c>
      <c r="K3830" s="41">
        <v>0.448275862</v>
      </c>
      <c r="L3830" s="41"/>
      <c r="M3830" s="74">
        <v>-2.758632759</v>
      </c>
    </row>
    <row r="3831">
      <c r="A3831" s="1" t="s">
        <v>566</v>
      </c>
      <c r="B3831" s="38">
        <v>687830.0</v>
      </c>
      <c r="C3831" s="72">
        <v>45835.0</v>
      </c>
      <c r="D3831" s="38">
        <v>75.0</v>
      </c>
      <c r="E3831" s="75"/>
      <c r="F3831" s="67">
        <v>4.861957208</v>
      </c>
      <c r="G3831" s="40">
        <v>1.961317673</v>
      </c>
      <c r="H3831" s="40"/>
      <c r="I3831" s="41">
        <v>0.373333333</v>
      </c>
      <c r="J3831" s="41">
        <v>0.24</v>
      </c>
      <c r="K3831" s="41">
        <v>0.386666667</v>
      </c>
      <c r="L3831" s="41"/>
      <c r="M3831" s="74">
        <v>0.596808165</v>
      </c>
    </row>
    <row r="3832">
      <c r="A3832" s="1" t="s">
        <v>256</v>
      </c>
      <c r="B3832" s="38">
        <v>571760.0</v>
      </c>
      <c r="C3832" s="72">
        <v>45764.0</v>
      </c>
      <c r="D3832" s="38">
        <v>94.0</v>
      </c>
      <c r="E3832" s="75"/>
      <c r="F3832" s="67">
        <v>4.861575027</v>
      </c>
      <c r="G3832" s="40">
        <v>2.468958793</v>
      </c>
      <c r="H3832" s="40"/>
      <c r="I3832" s="41">
        <v>0.468085106</v>
      </c>
      <c r="J3832" s="41">
        <v>0.127659574</v>
      </c>
      <c r="K3832" s="41">
        <v>0.404255319</v>
      </c>
      <c r="L3832" s="41"/>
      <c r="M3832" s="74">
        <v>-0.082258363</v>
      </c>
    </row>
    <row r="3833">
      <c r="A3833" s="1" t="s">
        <v>308</v>
      </c>
      <c r="B3833" s="38">
        <v>676440.0</v>
      </c>
      <c r="C3833" s="72">
        <v>45746.0</v>
      </c>
      <c r="D3833" s="38">
        <v>81.0</v>
      </c>
      <c r="E3833" s="75"/>
      <c r="F3833" s="67">
        <v>4.86087911</v>
      </c>
      <c r="G3833" s="40">
        <v>2.100975598</v>
      </c>
      <c r="H3833" s="40"/>
      <c r="I3833" s="41">
        <v>0.456790123</v>
      </c>
      <c r="J3833" s="41">
        <v>0.148148148</v>
      </c>
      <c r="K3833" s="41">
        <v>0.395061728</v>
      </c>
      <c r="L3833" s="41"/>
      <c r="M3833" s="74">
        <v>2.557621004</v>
      </c>
    </row>
    <row r="3834">
      <c r="A3834" s="1" t="s">
        <v>322</v>
      </c>
      <c r="B3834" s="38">
        <v>678368.0</v>
      </c>
      <c r="C3834" s="72">
        <v>45745.0</v>
      </c>
      <c r="D3834" s="38">
        <v>69.0</v>
      </c>
      <c r="E3834" s="75"/>
      <c r="F3834" s="67">
        <v>4.860350623</v>
      </c>
      <c r="G3834" s="40">
        <v>1.814384918</v>
      </c>
      <c r="H3834" s="40"/>
      <c r="I3834" s="41">
        <v>0.463768116</v>
      </c>
      <c r="J3834" s="41">
        <v>0.173913043</v>
      </c>
      <c r="K3834" s="41">
        <v>0.362318841</v>
      </c>
      <c r="L3834" s="41"/>
      <c r="M3834" s="74">
        <v>-0.316884032</v>
      </c>
    </row>
    <row r="3835">
      <c r="A3835" s="1" t="s">
        <v>322</v>
      </c>
      <c r="B3835" s="38">
        <v>678368.0</v>
      </c>
      <c r="C3835" s="72">
        <v>45898.0</v>
      </c>
      <c r="D3835" s="38">
        <v>64.0</v>
      </c>
      <c r="E3835" s="75"/>
      <c r="F3835" s="67">
        <v>4.860339289</v>
      </c>
      <c r="G3835" s="40">
        <v>1.687587924</v>
      </c>
      <c r="H3835" s="40"/>
      <c r="I3835" s="41">
        <v>0.5</v>
      </c>
      <c r="J3835" s="41">
        <v>0.1875</v>
      </c>
      <c r="K3835" s="41">
        <v>0.3125</v>
      </c>
      <c r="L3835" s="41"/>
      <c r="M3835" s="74">
        <v>-0.786214743</v>
      </c>
    </row>
    <row r="3836">
      <c r="A3836" s="1" t="s">
        <v>177</v>
      </c>
      <c r="B3836" s="38">
        <v>641793.0</v>
      </c>
      <c r="C3836" s="72">
        <v>45857.0</v>
      </c>
      <c r="D3836" s="38">
        <v>87.0</v>
      </c>
      <c r="E3836" s="75"/>
      <c r="F3836" s="67">
        <v>4.860250796</v>
      </c>
      <c r="G3836" s="40">
        <v>2.289825309</v>
      </c>
      <c r="H3836" s="40"/>
      <c r="I3836" s="41">
        <v>0.436781609</v>
      </c>
      <c r="J3836" s="41">
        <v>0.149425287</v>
      </c>
      <c r="K3836" s="41">
        <v>0.413793103</v>
      </c>
      <c r="L3836" s="41"/>
      <c r="M3836" s="74">
        <v>-1.248344188</v>
      </c>
    </row>
    <row r="3837">
      <c r="A3837" s="1" t="s">
        <v>180</v>
      </c>
      <c r="B3837" s="38">
        <v>642547.0</v>
      </c>
      <c r="C3837" s="72">
        <v>45868.0</v>
      </c>
      <c r="D3837" s="38">
        <v>82.0</v>
      </c>
      <c r="E3837" s="75"/>
      <c r="F3837" s="67">
        <v>4.859864249</v>
      </c>
      <c r="G3837" s="40">
        <v>2.136323485</v>
      </c>
      <c r="H3837" s="40"/>
      <c r="I3837" s="41">
        <v>0.524390244</v>
      </c>
      <c r="J3837" s="41">
        <v>0.097560976</v>
      </c>
      <c r="K3837" s="41">
        <v>0.37804878</v>
      </c>
      <c r="L3837" s="41"/>
      <c r="M3837" s="74">
        <v>-0.936669124</v>
      </c>
    </row>
    <row r="3838">
      <c r="A3838" s="1" t="s">
        <v>457</v>
      </c>
      <c r="B3838" s="38">
        <v>477132.0</v>
      </c>
      <c r="C3838" s="72">
        <v>45858.0</v>
      </c>
      <c r="D3838" s="38">
        <v>81.0</v>
      </c>
      <c r="E3838" s="75"/>
      <c r="F3838" s="67">
        <v>4.859740636</v>
      </c>
      <c r="G3838" s="40">
        <v>2.121805181</v>
      </c>
      <c r="H3838" s="40"/>
      <c r="I3838" s="41">
        <v>0.37037037</v>
      </c>
      <c r="J3838" s="41">
        <v>0.24691358</v>
      </c>
      <c r="K3838" s="41">
        <v>0.382716049</v>
      </c>
      <c r="L3838" s="41"/>
      <c r="M3838" s="74">
        <v>-0.350543675</v>
      </c>
    </row>
    <row r="3839">
      <c r="A3839" s="1" t="s">
        <v>405</v>
      </c>
      <c r="B3839" s="38">
        <v>621111.0</v>
      </c>
      <c r="C3839" s="72">
        <v>45848.0</v>
      </c>
      <c r="D3839" s="38">
        <v>91.0</v>
      </c>
      <c r="E3839" s="75"/>
      <c r="F3839" s="67">
        <v>4.859657045</v>
      </c>
      <c r="G3839" s="40">
        <v>2.391715898</v>
      </c>
      <c r="H3839" s="40"/>
      <c r="I3839" s="41">
        <v>0.450549451</v>
      </c>
      <c r="J3839" s="41">
        <v>0.241758242</v>
      </c>
      <c r="K3839" s="41">
        <v>0.307692308</v>
      </c>
      <c r="L3839" s="41"/>
      <c r="M3839" s="74">
        <v>-0.287627678</v>
      </c>
    </row>
    <row r="3840">
      <c r="A3840" s="1" t="s">
        <v>281</v>
      </c>
      <c r="B3840" s="38">
        <v>622663.0</v>
      </c>
      <c r="C3840" s="72">
        <v>45837.0</v>
      </c>
      <c r="D3840" s="38">
        <v>94.0</v>
      </c>
      <c r="E3840" s="75"/>
      <c r="F3840" s="67">
        <v>4.859496218</v>
      </c>
      <c r="G3840" s="40">
        <v>2.469833595</v>
      </c>
      <c r="H3840" s="40"/>
      <c r="I3840" s="41">
        <v>0.446808511</v>
      </c>
      <c r="J3840" s="41">
        <v>0.170212766</v>
      </c>
      <c r="K3840" s="41">
        <v>0.382978723</v>
      </c>
      <c r="L3840" s="41"/>
      <c r="M3840" s="74">
        <v>-0.010906684</v>
      </c>
    </row>
    <row r="3841">
      <c r="A3841" s="1" t="s">
        <v>420</v>
      </c>
      <c r="B3841" s="38">
        <v>547179.0</v>
      </c>
      <c r="C3841" s="72">
        <v>45907.0</v>
      </c>
      <c r="D3841" s="38">
        <v>82.0</v>
      </c>
      <c r="E3841" s="75"/>
      <c r="F3841" s="67">
        <v>4.859468864</v>
      </c>
      <c r="G3841" s="40">
        <v>2.151893186</v>
      </c>
      <c r="H3841" s="40"/>
      <c r="I3841" s="41">
        <v>0.414634146</v>
      </c>
      <c r="J3841" s="41">
        <v>0.182926829</v>
      </c>
      <c r="K3841" s="41">
        <v>0.402439024</v>
      </c>
      <c r="L3841" s="41"/>
      <c r="M3841" s="74">
        <v>-2.256256741</v>
      </c>
    </row>
    <row r="3842">
      <c r="A3842" s="1" t="s">
        <v>361</v>
      </c>
      <c r="B3842" s="38">
        <v>686563.0</v>
      </c>
      <c r="C3842" s="72">
        <v>45849.0</v>
      </c>
      <c r="D3842" s="38">
        <v>84.0</v>
      </c>
      <c r="E3842" s="75"/>
      <c r="F3842" s="67">
        <v>4.859163232</v>
      </c>
      <c r="G3842" s="40">
        <v>2.195111981</v>
      </c>
      <c r="H3842" s="40"/>
      <c r="I3842" s="41">
        <v>0.452380952</v>
      </c>
      <c r="J3842" s="41">
        <v>0.178571429</v>
      </c>
      <c r="K3842" s="41">
        <v>0.369047619</v>
      </c>
      <c r="L3842" s="41"/>
      <c r="M3842" s="74">
        <v>2.002701083</v>
      </c>
    </row>
    <row r="3843">
      <c r="A3843" s="1" t="s">
        <v>474</v>
      </c>
      <c r="B3843" s="38">
        <v>450203.0</v>
      </c>
      <c r="C3843" s="72">
        <v>45901.0</v>
      </c>
      <c r="D3843" s="38">
        <v>76.0</v>
      </c>
      <c r="E3843" s="75"/>
      <c r="F3843" s="67">
        <v>4.859003364</v>
      </c>
      <c r="G3843" s="40">
        <v>1.982626327</v>
      </c>
      <c r="H3843" s="40"/>
      <c r="I3843" s="41">
        <v>0.434210526</v>
      </c>
      <c r="J3843" s="41">
        <v>0.223684211</v>
      </c>
      <c r="K3843" s="41">
        <v>0.342105263</v>
      </c>
      <c r="L3843" s="41"/>
      <c r="M3843" s="74">
        <v>-0.512085277</v>
      </c>
    </row>
    <row r="3844">
      <c r="A3844" s="1" t="s">
        <v>613</v>
      </c>
      <c r="B3844" s="38">
        <v>688497.0</v>
      </c>
      <c r="C3844" s="72">
        <v>45897.0</v>
      </c>
      <c r="D3844" s="38">
        <v>62.0</v>
      </c>
      <c r="E3844" s="75"/>
      <c r="F3844" s="67">
        <v>4.858453551</v>
      </c>
      <c r="G3844" s="40">
        <v>1.602449335</v>
      </c>
      <c r="H3844" s="40"/>
      <c r="I3844" s="41">
        <v>0.403225806</v>
      </c>
      <c r="J3844" s="41">
        <v>0.14516129</v>
      </c>
      <c r="K3844" s="41">
        <v>0.451612903</v>
      </c>
      <c r="L3844" s="41"/>
      <c r="M3844" s="74">
        <v>1.071995751</v>
      </c>
    </row>
    <row r="3845">
      <c r="A3845" s="1" t="s">
        <v>344</v>
      </c>
      <c r="B3845" s="38">
        <v>701542.0</v>
      </c>
      <c r="C3845" s="72">
        <v>45897.0</v>
      </c>
      <c r="D3845" s="38">
        <v>93.0</v>
      </c>
      <c r="E3845" s="75"/>
      <c r="F3845" s="67">
        <v>4.858115763</v>
      </c>
      <c r="G3845" s="40">
        <v>2.42441105</v>
      </c>
      <c r="H3845" s="40"/>
      <c r="I3845" s="41">
        <v>0.483870968</v>
      </c>
      <c r="J3845" s="41">
        <v>0.086021505</v>
      </c>
      <c r="K3845" s="41">
        <v>0.430107527</v>
      </c>
      <c r="L3845" s="41"/>
      <c r="M3845" s="74">
        <v>-0.596107076</v>
      </c>
    </row>
    <row r="3846">
      <c r="A3846" s="1" t="s">
        <v>472</v>
      </c>
      <c r="B3846" s="38">
        <v>675911.0</v>
      </c>
      <c r="C3846" s="72">
        <v>45866.0</v>
      </c>
      <c r="D3846" s="38">
        <v>95.0</v>
      </c>
      <c r="E3846" s="75"/>
      <c r="F3846" s="67">
        <v>4.858048995</v>
      </c>
      <c r="G3846" s="40">
        <v>2.465012039</v>
      </c>
      <c r="H3846" s="40"/>
      <c r="I3846" s="41">
        <v>0.452631579</v>
      </c>
      <c r="J3846" s="41">
        <v>0.189473684</v>
      </c>
      <c r="K3846" s="41">
        <v>0.357894737</v>
      </c>
      <c r="L3846" s="41"/>
      <c r="M3846" s="74">
        <v>-1.831942897</v>
      </c>
    </row>
    <row r="3847">
      <c r="A3847" s="1" t="s">
        <v>247</v>
      </c>
      <c r="B3847" s="38">
        <v>605540.0</v>
      </c>
      <c r="C3847" s="72">
        <v>45865.0</v>
      </c>
      <c r="D3847" s="38">
        <v>85.0</v>
      </c>
      <c r="E3847" s="75"/>
      <c r="F3847" s="67">
        <v>4.857974602</v>
      </c>
      <c r="G3847" s="40">
        <v>2.243447549</v>
      </c>
      <c r="H3847" s="40"/>
      <c r="I3847" s="41">
        <v>0.470588235</v>
      </c>
      <c r="J3847" s="41">
        <v>0.141176471</v>
      </c>
      <c r="K3847" s="41">
        <v>0.388235294</v>
      </c>
      <c r="L3847" s="41"/>
      <c r="M3847" s="74">
        <v>1.017029706</v>
      </c>
    </row>
    <row r="3848">
      <c r="A3848" s="1" t="s">
        <v>169</v>
      </c>
      <c r="B3848" s="38">
        <v>671096.0</v>
      </c>
      <c r="C3848" s="72">
        <v>45795.0</v>
      </c>
      <c r="D3848" s="38">
        <v>92.0</v>
      </c>
      <c r="E3848" s="75"/>
      <c r="F3848" s="67">
        <v>4.857733997</v>
      </c>
      <c r="G3848" s="40">
        <v>2.369244145</v>
      </c>
      <c r="H3848" s="40"/>
      <c r="I3848" s="41">
        <v>0.467391304</v>
      </c>
      <c r="J3848" s="41">
        <v>0.119565217</v>
      </c>
      <c r="K3848" s="41">
        <v>0.413043478</v>
      </c>
      <c r="L3848" s="41"/>
      <c r="M3848" s="74">
        <v>1.007841161</v>
      </c>
    </row>
    <row r="3849">
      <c r="A3849" s="1" t="s">
        <v>313</v>
      </c>
      <c r="B3849" s="38">
        <v>607067.0</v>
      </c>
      <c r="C3849" s="72">
        <v>45789.0</v>
      </c>
      <c r="D3849" s="38">
        <v>91.0</v>
      </c>
      <c r="E3849" s="75"/>
      <c r="F3849" s="67">
        <v>4.85767838</v>
      </c>
      <c r="G3849" s="40">
        <v>2.396333196</v>
      </c>
      <c r="H3849" s="40"/>
      <c r="I3849" s="41">
        <v>0.43956044</v>
      </c>
      <c r="J3849" s="41">
        <v>0.153846154</v>
      </c>
      <c r="K3849" s="41">
        <v>0.406593407</v>
      </c>
      <c r="L3849" s="41"/>
      <c r="M3849" s="74">
        <v>-0.868948638</v>
      </c>
    </row>
    <row r="3850">
      <c r="A3850" s="1" t="s">
        <v>405</v>
      </c>
      <c r="B3850" s="38">
        <v>621111.0</v>
      </c>
      <c r="C3850" s="72">
        <v>45843.0</v>
      </c>
      <c r="D3850" s="38">
        <v>95.0</v>
      </c>
      <c r="E3850" s="75"/>
      <c r="F3850" s="67">
        <v>4.857615158</v>
      </c>
      <c r="G3850" s="40">
        <v>2.462126196</v>
      </c>
      <c r="H3850" s="40"/>
      <c r="I3850" s="41">
        <v>0.463157895</v>
      </c>
      <c r="J3850" s="41">
        <v>0.115789474</v>
      </c>
      <c r="K3850" s="41">
        <v>0.421052632</v>
      </c>
      <c r="L3850" s="41"/>
      <c r="M3850" s="74">
        <v>-2.273865194</v>
      </c>
    </row>
    <row r="3851">
      <c r="A3851" s="1" t="s">
        <v>275</v>
      </c>
      <c r="B3851" s="38">
        <v>693821.0</v>
      </c>
      <c r="C3851" s="72">
        <v>45775.0</v>
      </c>
      <c r="D3851" s="38">
        <v>87.0</v>
      </c>
      <c r="E3851" s="75"/>
      <c r="F3851" s="67">
        <v>4.857607096</v>
      </c>
      <c r="G3851" s="40">
        <v>2.279752341</v>
      </c>
      <c r="H3851" s="40"/>
      <c r="I3851" s="41">
        <v>0.413793103</v>
      </c>
      <c r="J3851" s="41">
        <v>0.172413793</v>
      </c>
      <c r="K3851" s="41">
        <v>0.413793103</v>
      </c>
      <c r="L3851" s="41"/>
      <c r="M3851" s="74">
        <v>-0.29829298</v>
      </c>
    </row>
    <row r="3852">
      <c r="A3852" s="1" t="s">
        <v>481</v>
      </c>
      <c r="B3852" s="38">
        <v>622608.0</v>
      </c>
      <c r="C3852" s="72">
        <v>45830.0</v>
      </c>
      <c r="D3852" s="38">
        <v>81.0</v>
      </c>
      <c r="E3852" s="75"/>
      <c r="F3852" s="67">
        <v>4.857166019</v>
      </c>
      <c r="G3852" s="40">
        <v>2.129938584</v>
      </c>
      <c r="H3852" s="40"/>
      <c r="I3852" s="41">
        <v>0.49382716</v>
      </c>
      <c r="J3852" s="41">
        <v>0.111111111</v>
      </c>
      <c r="K3852" s="41">
        <v>0.395061728</v>
      </c>
      <c r="L3852" s="41"/>
      <c r="M3852" s="74">
        <v>1.003754433</v>
      </c>
    </row>
    <row r="3853">
      <c r="A3853" s="1" t="s">
        <v>316</v>
      </c>
      <c r="B3853" s="38">
        <v>656427.0</v>
      </c>
      <c r="C3853" s="72">
        <v>45787.0</v>
      </c>
      <c r="D3853" s="38">
        <v>72.0</v>
      </c>
      <c r="E3853" s="75"/>
      <c r="F3853" s="67">
        <v>4.856850422</v>
      </c>
      <c r="G3853" s="40">
        <v>1.848920924</v>
      </c>
      <c r="H3853" s="40"/>
      <c r="I3853" s="41">
        <v>0.430555556</v>
      </c>
      <c r="J3853" s="41">
        <v>0.166666667</v>
      </c>
      <c r="K3853" s="41">
        <v>0.402777778</v>
      </c>
      <c r="L3853" s="41"/>
      <c r="M3853" s="74">
        <v>-0.86617997</v>
      </c>
    </row>
    <row r="3854">
      <c r="A3854" s="1" t="s">
        <v>179</v>
      </c>
      <c r="B3854" s="38">
        <v>663568.0</v>
      </c>
      <c r="C3854" s="72">
        <v>45843.0</v>
      </c>
      <c r="D3854" s="38">
        <v>80.0</v>
      </c>
      <c r="E3854" s="75"/>
      <c r="F3854" s="67">
        <v>4.856777952</v>
      </c>
      <c r="G3854" s="40">
        <v>2.116178862</v>
      </c>
      <c r="H3854" s="40"/>
      <c r="I3854" s="41">
        <v>0.4375</v>
      </c>
      <c r="J3854" s="41">
        <v>0.225</v>
      </c>
      <c r="K3854" s="41">
        <v>0.3375</v>
      </c>
      <c r="L3854" s="41"/>
      <c r="M3854" s="74">
        <v>-4.561977931</v>
      </c>
    </row>
    <row r="3855">
      <c r="A3855" s="1" t="s">
        <v>147</v>
      </c>
      <c r="B3855" s="38">
        <v>608379.0</v>
      </c>
      <c r="C3855" s="72">
        <v>45927.0</v>
      </c>
      <c r="D3855" s="38">
        <v>75.0</v>
      </c>
      <c r="E3855" s="75"/>
      <c r="F3855" s="67">
        <v>4.856762332</v>
      </c>
      <c r="G3855" s="40">
        <v>1.965238747</v>
      </c>
      <c r="H3855" s="40"/>
      <c r="I3855" s="41">
        <v>0.4</v>
      </c>
      <c r="J3855" s="41">
        <v>0.16</v>
      </c>
      <c r="K3855" s="41">
        <v>0.44</v>
      </c>
      <c r="L3855" s="41"/>
      <c r="M3855" s="74">
        <v>2.707077168</v>
      </c>
    </row>
    <row r="3856">
      <c r="A3856" s="1" t="s">
        <v>396</v>
      </c>
      <c r="B3856" s="38">
        <v>663623.0</v>
      </c>
      <c r="C3856" s="72">
        <v>45783.0</v>
      </c>
      <c r="D3856" s="38">
        <v>95.0</v>
      </c>
      <c r="E3856" s="75"/>
      <c r="F3856" s="67">
        <v>4.856336634</v>
      </c>
      <c r="G3856" s="40">
        <v>2.466517982</v>
      </c>
      <c r="H3856" s="40"/>
      <c r="I3856" s="41">
        <v>0.484210526</v>
      </c>
      <c r="J3856" s="41">
        <v>0.157894737</v>
      </c>
      <c r="K3856" s="41">
        <v>0.357894737</v>
      </c>
      <c r="L3856" s="41"/>
      <c r="M3856" s="74">
        <v>2.49948859</v>
      </c>
    </row>
    <row r="3857">
      <c r="A3857" s="1" t="s">
        <v>313</v>
      </c>
      <c r="B3857" s="38">
        <v>607067.0</v>
      </c>
      <c r="C3857" s="72">
        <v>45795.0</v>
      </c>
      <c r="D3857" s="38">
        <v>93.0</v>
      </c>
      <c r="E3857" s="75"/>
      <c r="F3857" s="67">
        <v>4.856104733</v>
      </c>
      <c r="G3857" s="40">
        <v>2.392895597</v>
      </c>
      <c r="H3857" s="40"/>
      <c r="I3857" s="41">
        <v>0.505376344</v>
      </c>
      <c r="J3857" s="41">
        <v>0.150537634</v>
      </c>
      <c r="K3857" s="41">
        <v>0.344086022</v>
      </c>
      <c r="L3857" s="41"/>
      <c r="M3857" s="74">
        <v>1.643335359</v>
      </c>
    </row>
    <row r="3858">
      <c r="A3858" s="1" t="s">
        <v>461</v>
      </c>
      <c r="B3858" s="38">
        <v>673540.0</v>
      </c>
      <c r="C3858" s="72">
        <v>45865.0</v>
      </c>
      <c r="D3858" s="38">
        <v>92.0</v>
      </c>
      <c r="E3858" s="75"/>
      <c r="F3858" s="67">
        <v>4.856083588</v>
      </c>
      <c r="G3858" s="40">
        <v>2.413363803</v>
      </c>
      <c r="H3858" s="40"/>
      <c r="I3858" s="41">
        <v>0.456521739</v>
      </c>
      <c r="J3858" s="41">
        <v>0.130434783</v>
      </c>
      <c r="K3858" s="41">
        <v>0.413043478</v>
      </c>
      <c r="L3858" s="41"/>
      <c r="M3858" s="74">
        <v>0.719325157</v>
      </c>
    </row>
    <row r="3859">
      <c r="A3859" s="1" t="s">
        <v>246</v>
      </c>
      <c r="B3859" s="38">
        <v>571510.0</v>
      </c>
      <c r="C3859" s="72">
        <v>45758.0</v>
      </c>
      <c r="D3859" s="38">
        <v>93.0</v>
      </c>
      <c r="E3859" s="75"/>
      <c r="F3859" s="67">
        <v>4.855800663</v>
      </c>
      <c r="G3859" s="40">
        <v>2.423307177</v>
      </c>
      <c r="H3859" s="40"/>
      <c r="I3859" s="41">
        <v>0.462365591</v>
      </c>
      <c r="J3859" s="41">
        <v>0.193548387</v>
      </c>
      <c r="K3859" s="41">
        <v>0.344086022</v>
      </c>
      <c r="L3859" s="41"/>
      <c r="M3859" s="74">
        <v>2.009092506</v>
      </c>
    </row>
    <row r="3860">
      <c r="A3860" s="1" t="s">
        <v>194</v>
      </c>
      <c r="B3860" s="38">
        <v>666157.0</v>
      </c>
      <c r="C3860" s="72">
        <v>45780.0</v>
      </c>
      <c r="D3860" s="38">
        <v>96.0</v>
      </c>
      <c r="E3860" s="75"/>
      <c r="F3860" s="67">
        <v>4.855530069</v>
      </c>
      <c r="G3860" s="40">
        <v>2.537584303</v>
      </c>
      <c r="H3860" s="40"/>
      <c r="I3860" s="41">
        <v>0.552083333</v>
      </c>
      <c r="J3860" s="41">
        <v>0.104166667</v>
      </c>
      <c r="K3860" s="41">
        <v>0.34375</v>
      </c>
      <c r="L3860" s="41"/>
      <c r="M3860" s="74">
        <v>-3.713211652</v>
      </c>
    </row>
    <row r="3861">
      <c r="A3861" s="1" t="s">
        <v>229</v>
      </c>
      <c r="B3861" s="38">
        <v>645261.0</v>
      </c>
      <c r="C3861" s="72">
        <v>45805.0</v>
      </c>
      <c r="D3861" s="38">
        <v>69.0</v>
      </c>
      <c r="E3861" s="75"/>
      <c r="F3861" s="67">
        <v>4.855421385</v>
      </c>
      <c r="G3861" s="40">
        <v>1.827367654</v>
      </c>
      <c r="H3861" s="40"/>
      <c r="I3861" s="41">
        <v>0.420289855</v>
      </c>
      <c r="J3861" s="41">
        <v>0.231884058</v>
      </c>
      <c r="K3861" s="41">
        <v>0.347826087</v>
      </c>
      <c r="L3861" s="41"/>
      <c r="M3861" s="74">
        <v>-3.337796443</v>
      </c>
    </row>
    <row r="3862">
      <c r="A3862" s="1" t="s">
        <v>399</v>
      </c>
      <c r="B3862" s="38">
        <v>543294.0</v>
      </c>
      <c r="C3862" s="72">
        <v>45920.0</v>
      </c>
      <c r="D3862" s="38">
        <v>85.0</v>
      </c>
      <c r="E3862" s="75"/>
      <c r="F3862" s="67">
        <v>4.854953196</v>
      </c>
      <c r="G3862" s="40">
        <v>2.231556355</v>
      </c>
      <c r="H3862" s="40"/>
      <c r="I3862" s="41">
        <v>0.352941176</v>
      </c>
      <c r="J3862" s="41">
        <v>0.247058824</v>
      </c>
      <c r="K3862" s="41">
        <v>0.4</v>
      </c>
      <c r="L3862" s="41"/>
      <c r="M3862" s="74">
        <v>2.930867753</v>
      </c>
    </row>
    <row r="3863">
      <c r="A3863" s="1" t="s">
        <v>171</v>
      </c>
      <c r="B3863" s="38">
        <v>665795.0</v>
      </c>
      <c r="C3863" s="72">
        <v>45923.0</v>
      </c>
      <c r="D3863" s="38">
        <v>65.0</v>
      </c>
      <c r="E3863" s="75"/>
      <c r="F3863" s="67">
        <v>4.854838283</v>
      </c>
      <c r="G3863" s="40">
        <v>1.68454183</v>
      </c>
      <c r="H3863" s="40"/>
      <c r="I3863" s="41">
        <v>0.446153846</v>
      </c>
      <c r="J3863" s="41">
        <v>0.138461538</v>
      </c>
      <c r="K3863" s="41">
        <v>0.415384615</v>
      </c>
      <c r="L3863" s="41"/>
      <c r="M3863" s="74">
        <v>-1.96017664</v>
      </c>
    </row>
    <row r="3864">
      <c r="A3864" s="1" t="s">
        <v>432</v>
      </c>
      <c r="B3864" s="38">
        <v>669467.0</v>
      </c>
      <c r="C3864" s="72">
        <v>45834.0</v>
      </c>
      <c r="D3864" s="38">
        <v>90.0</v>
      </c>
      <c r="E3864" s="75"/>
      <c r="F3864" s="67">
        <v>4.854416881</v>
      </c>
      <c r="G3864" s="40">
        <v>2.334934301</v>
      </c>
      <c r="H3864" s="40"/>
      <c r="I3864" s="41">
        <v>0.444444444</v>
      </c>
      <c r="J3864" s="41">
        <v>0.1</v>
      </c>
      <c r="K3864" s="41">
        <v>0.455555556</v>
      </c>
      <c r="L3864" s="41"/>
      <c r="M3864" s="74">
        <v>-1.700045841</v>
      </c>
    </row>
    <row r="3865">
      <c r="A3865" s="1" t="s">
        <v>343</v>
      </c>
      <c r="B3865" s="38">
        <v>682243.0</v>
      </c>
      <c r="C3865" s="72">
        <v>45906.0</v>
      </c>
      <c r="D3865" s="38">
        <v>89.0</v>
      </c>
      <c r="E3865" s="75"/>
      <c r="F3865" s="67">
        <v>4.854180325</v>
      </c>
      <c r="G3865" s="40">
        <v>2.362273352</v>
      </c>
      <c r="H3865" s="40"/>
      <c r="I3865" s="41">
        <v>0.415730337</v>
      </c>
      <c r="J3865" s="41">
        <v>0.269662921</v>
      </c>
      <c r="K3865" s="41">
        <v>0.314606742</v>
      </c>
      <c r="L3865" s="41"/>
      <c r="M3865" s="74">
        <v>-0.441039421</v>
      </c>
    </row>
    <row r="3866">
      <c r="A3866" s="1" t="s">
        <v>255</v>
      </c>
      <c r="B3866" s="38">
        <v>688138.0</v>
      </c>
      <c r="C3866" s="72">
        <v>45841.0</v>
      </c>
      <c r="D3866" s="38">
        <v>91.0</v>
      </c>
      <c r="E3866" s="75"/>
      <c r="F3866" s="67">
        <v>4.854086317</v>
      </c>
      <c r="G3866" s="40">
        <v>2.371907078</v>
      </c>
      <c r="H3866" s="40"/>
      <c r="I3866" s="41">
        <v>0.472527473</v>
      </c>
      <c r="J3866" s="41">
        <v>0.197802198</v>
      </c>
      <c r="K3866" s="41">
        <v>0.32967033</v>
      </c>
      <c r="L3866" s="41"/>
      <c r="M3866" s="74">
        <v>2.028575245</v>
      </c>
    </row>
    <row r="3867">
      <c r="A3867" s="1" t="s">
        <v>454</v>
      </c>
      <c r="B3867" s="38">
        <v>674370.0</v>
      </c>
      <c r="C3867" s="72">
        <v>45774.0</v>
      </c>
      <c r="D3867" s="38">
        <v>85.0</v>
      </c>
      <c r="E3867" s="75"/>
      <c r="F3867" s="67">
        <v>4.853608542</v>
      </c>
      <c r="G3867" s="40">
        <v>2.251399099</v>
      </c>
      <c r="H3867" s="40"/>
      <c r="I3867" s="41">
        <v>0.423529412</v>
      </c>
      <c r="J3867" s="41">
        <v>0.2</v>
      </c>
      <c r="K3867" s="41">
        <v>0.376470588</v>
      </c>
      <c r="L3867" s="41"/>
      <c r="M3867" s="74">
        <v>0.987181306</v>
      </c>
    </row>
    <row r="3868">
      <c r="A3868" s="1" t="s">
        <v>354</v>
      </c>
      <c r="B3868" s="38">
        <v>669022.0</v>
      </c>
      <c r="C3868" s="72">
        <v>45922.0</v>
      </c>
      <c r="D3868" s="38">
        <v>67.0</v>
      </c>
      <c r="E3868" s="75"/>
      <c r="F3868" s="67">
        <v>4.853355667</v>
      </c>
      <c r="G3868" s="40">
        <v>1.740876767</v>
      </c>
      <c r="H3868" s="40"/>
      <c r="I3868" s="41">
        <v>0.52238806</v>
      </c>
      <c r="J3868" s="41">
        <v>0.179104478</v>
      </c>
      <c r="K3868" s="41">
        <v>0.298507463</v>
      </c>
      <c r="L3868" s="41"/>
      <c r="M3868" s="74">
        <v>-0.041719311</v>
      </c>
    </row>
    <row r="3869">
      <c r="A3869" s="1" t="s">
        <v>408</v>
      </c>
      <c r="B3869" s="38">
        <v>657376.0</v>
      </c>
      <c r="C3869" s="72">
        <v>45794.0</v>
      </c>
      <c r="D3869" s="38">
        <v>87.0</v>
      </c>
      <c r="E3869" s="75"/>
      <c r="F3869" s="67">
        <v>4.853235158</v>
      </c>
      <c r="G3869" s="40">
        <v>2.308828951</v>
      </c>
      <c r="H3869" s="40"/>
      <c r="I3869" s="41">
        <v>0.436781609</v>
      </c>
      <c r="J3869" s="41">
        <v>0.206896552</v>
      </c>
      <c r="K3869" s="41">
        <v>0.356321839</v>
      </c>
      <c r="L3869" s="41"/>
      <c r="M3869" s="74">
        <v>2.610970388</v>
      </c>
    </row>
    <row r="3870">
      <c r="A3870" s="1" t="s">
        <v>194</v>
      </c>
      <c r="B3870" s="38">
        <v>666157.0</v>
      </c>
      <c r="C3870" s="72">
        <v>45843.0</v>
      </c>
      <c r="D3870" s="38">
        <v>83.0</v>
      </c>
      <c r="E3870" s="75"/>
      <c r="F3870" s="67">
        <v>4.852846341</v>
      </c>
      <c r="G3870" s="40">
        <v>2.193519418</v>
      </c>
      <c r="H3870" s="40"/>
      <c r="I3870" s="41">
        <v>0.457831325</v>
      </c>
      <c r="J3870" s="41">
        <v>0.192771084</v>
      </c>
      <c r="K3870" s="41">
        <v>0.34939759</v>
      </c>
      <c r="L3870" s="41"/>
      <c r="M3870" s="74">
        <v>1.376657769</v>
      </c>
    </row>
    <row r="3871">
      <c r="A3871" s="1" t="s">
        <v>350</v>
      </c>
      <c r="B3871" s="38">
        <v>678022.0</v>
      </c>
      <c r="C3871" s="72">
        <v>45890.0</v>
      </c>
      <c r="D3871" s="38">
        <v>84.0</v>
      </c>
      <c r="E3871" s="75"/>
      <c r="F3871" s="67">
        <v>4.852132157</v>
      </c>
      <c r="G3871" s="40">
        <v>2.219155895</v>
      </c>
      <c r="H3871" s="40"/>
      <c r="I3871" s="41">
        <v>0.464285714</v>
      </c>
      <c r="J3871" s="41">
        <v>0.154761905</v>
      </c>
      <c r="K3871" s="41">
        <v>0.380952381</v>
      </c>
      <c r="L3871" s="41"/>
      <c r="M3871" s="74">
        <v>2.168240494</v>
      </c>
    </row>
    <row r="3872">
      <c r="A3872" s="1" t="s">
        <v>109</v>
      </c>
      <c r="B3872" s="38">
        <v>601713.0</v>
      </c>
      <c r="C3872" s="72">
        <v>45788.0</v>
      </c>
      <c r="D3872" s="38">
        <v>79.0</v>
      </c>
      <c r="E3872" s="75"/>
      <c r="F3872" s="67">
        <v>4.851678476</v>
      </c>
      <c r="G3872" s="40">
        <v>2.078301121</v>
      </c>
      <c r="H3872" s="40"/>
      <c r="I3872" s="41">
        <v>0.443037975</v>
      </c>
      <c r="J3872" s="41">
        <v>0.17721519</v>
      </c>
      <c r="K3872" s="41">
        <v>0.379746835</v>
      </c>
      <c r="L3872" s="41"/>
      <c r="M3872" s="74">
        <v>-2.748298973</v>
      </c>
    </row>
    <row r="3873">
      <c r="A3873" s="1" t="s">
        <v>313</v>
      </c>
      <c r="B3873" s="38">
        <v>607067.0</v>
      </c>
      <c r="C3873" s="72">
        <v>45813.0</v>
      </c>
      <c r="D3873" s="38">
        <v>80.0</v>
      </c>
      <c r="E3873" s="75"/>
      <c r="F3873" s="67">
        <v>4.851446533</v>
      </c>
      <c r="G3873" s="40">
        <v>2.141763276</v>
      </c>
      <c r="H3873" s="40"/>
      <c r="I3873" s="41">
        <v>0.35</v>
      </c>
      <c r="J3873" s="41">
        <v>0.25</v>
      </c>
      <c r="K3873" s="41">
        <v>0.4</v>
      </c>
      <c r="L3873" s="41"/>
      <c r="M3873" s="74">
        <v>0.203994627</v>
      </c>
    </row>
    <row r="3874">
      <c r="A3874" s="1" t="s">
        <v>192</v>
      </c>
      <c r="B3874" s="38">
        <v>642232.0</v>
      </c>
      <c r="C3874" s="72">
        <v>45780.0</v>
      </c>
      <c r="D3874" s="38">
        <v>62.0</v>
      </c>
      <c r="E3874" s="75"/>
      <c r="F3874" s="67">
        <v>4.851305098</v>
      </c>
      <c r="G3874" s="40">
        <v>1.625194507</v>
      </c>
      <c r="H3874" s="40"/>
      <c r="I3874" s="41">
        <v>0.451612903</v>
      </c>
      <c r="J3874" s="41">
        <v>0.14516129</v>
      </c>
      <c r="K3874" s="41">
        <v>0.403225806</v>
      </c>
      <c r="L3874" s="41"/>
      <c r="M3874" s="74">
        <v>2.199320837</v>
      </c>
    </row>
    <row r="3875">
      <c r="A3875" s="1" t="s">
        <v>320</v>
      </c>
      <c r="B3875" s="38">
        <v>681347.0</v>
      </c>
      <c r="C3875" s="72">
        <v>45879.0</v>
      </c>
      <c r="D3875" s="38">
        <v>72.0</v>
      </c>
      <c r="E3875" s="75"/>
      <c r="F3875" s="67">
        <v>4.851047781</v>
      </c>
      <c r="G3875" s="40">
        <v>1.905244393</v>
      </c>
      <c r="H3875" s="40"/>
      <c r="I3875" s="41">
        <v>0.402777778</v>
      </c>
      <c r="J3875" s="41">
        <v>0.152777778</v>
      </c>
      <c r="K3875" s="41">
        <v>0.444444444</v>
      </c>
      <c r="L3875" s="41"/>
      <c r="M3875" s="74">
        <v>0.538302676</v>
      </c>
    </row>
    <row r="3876">
      <c r="A3876" s="1" t="s">
        <v>396</v>
      </c>
      <c r="B3876" s="38">
        <v>663623.0</v>
      </c>
      <c r="C3876" s="72">
        <v>45807.0</v>
      </c>
      <c r="D3876" s="38">
        <v>92.0</v>
      </c>
      <c r="E3876" s="75"/>
      <c r="F3876" s="67">
        <v>4.850871828</v>
      </c>
      <c r="G3876" s="40">
        <v>2.456237042</v>
      </c>
      <c r="H3876" s="40"/>
      <c r="I3876" s="41">
        <v>0.391304348</v>
      </c>
      <c r="J3876" s="41">
        <v>0.173913043</v>
      </c>
      <c r="K3876" s="41">
        <v>0.434782609</v>
      </c>
      <c r="L3876" s="41"/>
      <c r="M3876" s="74">
        <v>-3.378495002</v>
      </c>
    </row>
    <row r="3877">
      <c r="A3877" s="1" t="s">
        <v>323</v>
      </c>
      <c r="B3877" s="38">
        <v>691587.0</v>
      </c>
      <c r="C3877" s="72">
        <v>45865.0</v>
      </c>
      <c r="D3877" s="38">
        <v>89.0</v>
      </c>
      <c r="E3877" s="75"/>
      <c r="F3877" s="67">
        <v>4.85076602</v>
      </c>
      <c r="G3877" s="40">
        <v>2.352146717</v>
      </c>
      <c r="H3877" s="40"/>
      <c r="I3877" s="41">
        <v>0.471910112</v>
      </c>
      <c r="J3877" s="41">
        <v>0.213483146</v>
      </c>
      <c r="K3877" s="41">
        <v>0.314606742</v>
      </c>
      <c r="L3877" s="41"/>
      <c r="M3877" s="74">
        <v>3.026576151</v>
      </c>
    </row>
    <row r="3878">
      <c r="A3878" s="1" t="s">
        <v>173</v>
      </c>
      <c r="B3878" s="38">
        <v>641927.0</v>
      </c>
      <c r="C3878" s="72">
        <v>45871.0</v>
      </c>
      <c r="D3878" s="38">
        <v>86.0</v>
      </c>
      <c r="E3878" s="75"/>
      <c r="F3878" s="67">
        <v>4.850675564</v>
      </c>
      <c r="G3878" s="40">
        <v>2.255181531</v>
      </c>
      <c r="H3878" s="40"/>
      <c r="I3878" s="41">
        <v>0.441860465</v>
      </c>
      <c r="J3878" s="41">
        <v>0.220930233</v>
      </c>
      <c r="K3878" s="41">
        <v>0.337209302</v>
      </c>
      <c r="L3878" s="41"/>
      <c r="M3878" s="74">
        <v>-1.326733183</v>
      </c>
    </row>
    <row r="3879">
      <c r="A3879" s="1" t="s">
        <v>396</v>
      </c>
      <c r="B3879" s="38">
        <v>663623.0</v>
      </c>
      <c r="C3879" s="72">
        <v>45888.0</v>
      </c>
      <c r="D3879" s="38">
        <v>98.0</v>
      </c>
      <c r="E3879" s="75"/>
      <c r="F3879" s="67">
        <v>4.850527048</v>
      </c>
      <c r="G3879" s="40">
        <v>2.62626336</v>
      </c>
      <c r="H3879" s="40"/>
      <c r="I3879" s="41">
        <v>0.408163265</v>
      </c>
      <c r="J3879" s="41">
        <v>0.234693878</v>
      </c>
      <c r="K3879" s="41">
        <v>0.357142857</v>
      </c>
      <c r="L3879" s="41"/>
      <c r="M3879" s="74">
        <v>-1.271400068</v>
      </c>
    </row>
    <row r="3880">
      <c r="A3880" s="1" t="s">
        <v>282</v>
      </c>
      <c r="B3880" s="38">
        <v>656302.0</v>
      </c>
      <c r="C3880" s="72">
        <v>45907.0</v>
      </c>
      <c r="D3880" s="38">
        <v>101.0</v>
      </c>
      <c r="E3880" s="75"/>
      <c r="F3880" s="67">
        <v>4.850327615</v>
      </c>
      <c r="G3880" s="40">
        <v>2.595637887</v>
      </c>
      <c r="H3880" s="40"/>
      <c r="I3880" s="41">
        <v>0.386138614</v>
      </c>
      <c r="J3880" s="41">
        <v>0.217821782</v>
      </c>
      <c r="K3880" s="41">
        <v>0.396039604</v>
      </c>
      <c r="L3880" s="41"/>
      <c r="M3880" s="74">
        <v>2.387709204</v>
      </c>
    </row>
    <row r="3881">
      <c r="A3881" s="1" t="s">
        <v>353</v>
      </c>
      <c r="B3881" s="38">
        <v>663903.0</v>
      </c>
      <c r="C3881" s="72">
        <v>45917.0</v>
      </c>
      <c r="D3881" s="38">
        <v>97.0</v>
      </c>
      <c r="E3881" s="75"/>
      <c r="F3881" s="67">
        <v>4.850122625</v>
      </c>
      <c r="G3881" s="40">
        <v>2.53361504</v>
      </c>
      <c r="H3881" s="40"/>
      <c r="I3881" s="41">
        <v>0.453608247</v>
      </c>
      <c r="J3881" s="41">
        <v>0.134020619</v>
      </c>
      <c r="K3881" s="41">
        <v>0.412371134</v>
      </c>
      <c r="L3881" s="41"/>
      <c r="M3881" s="74">
        <v>2.388609171</v>
      </c>
    </row>
    <row r="3882">
      <c r="A3882" s="1" t="s">
        <v>205</v>
      </c>
      <c r="B3882" s="38">
        <v>666142.0</v>
      </c>
      <c r="C3882" s="72">
        <v>45743.0</v>
      </c>
      <c r="D3882" s="38">
        <v>81.0</v>
      </c>
      <c r="E3882" s="75"/>
      <c r="F3882" s="67">
        <v>4.849949324</v>
      </c>
      <c r="G3882" s="40">
        <v>2.106613996</v>
      </c>
      <c r="H3882" s="40"/>
      <c r="I3882" s="41">
        <v>0.469135802</v>
      </c>
      <c r="J3882" s="41">
        <v>0.098765432</v>
      </c>
      <c r="K3882" s="41">
        <v>0.432098765</v>
      </c>
      <c r="L3882" s="41"/>
      <c r="M3882" s="74">
        <v>-0.961341106</v>
      </c>
    </row>
    <row r="3883">
      <c r="A3883" s="1" t="s">
        <v>302</v>
      </c>
      <c r="B3883" s="38">
        <v>681190.0</v>
      </c>
      <c r="C3883" s="72">
        <v>45803.0</v>
      </c>
      <c r="D3883" s="38">
        <v>87.0</v>
      </c>
      <c r="E3883" s="75"/>
      <c r="F3883" s="67">
        <v>4.849448046</v>
      </c>
      <c r="G3883" s="40">
        <v>2.307874297</v>
      </c>
      <c r="H3883" s="40"/>
      <c r="I3883" s="41">
        <v>0.356321839</v>
      </c>
      <c r="J3883" s="41">
        <v>0.275862069</v>
      </c>
      <c r="K3883" s="41">
        <v>0.367816092</v>
      </c>
      <c r="L3883" s="41"/>
      <c r="M3883" s="74">
        <v>-0.295677659</v>
      </c>
    </row>
    <row r="3884">
      <c r="A3884" s="1" t="s">
        <v>614</v>
      </c>
      <c r="B3884" s="38">
        <v>663362.0</v>
      </c>
      <c r="C3884" s="72">
        <v>45838.0</v>
      </c>
      <c r="D3884" s="38">
        <v>104.0</v>
      </c>
      <c r="E3884" s="75"/>
      <c r="F3884" s="67">
        <v>4.849391657</v>
      </c>
      <c r="G3884" s="40">
        <v>2.714600366</v>
      </c>
      <c r="H3884" s="40"/>
      <c r="I3884" s="41">
        <v>0.432692308</v>
      </c>
      <c r="J3884" s="41">
        <v>0.211538462</v>
      </c>
      <c r="K3884" s="41">
        <v>0.355769231</v>
      </c>
      <c r="L3884" s="41"/>
      <c r="M3884" s="74">
        <v>-0.205732179</v>
      </c>
    </row>
    <row r="3885">
      <c r="A3885" s="1" t="s">
        <v>245</v>
      </c>
      <c r="B3885" s="38">
        <v>571578.0</v>
      </c>
      <c r="C3885" s="72">
        <v>45885.0</v>
      </c>
      <c r="D3885" s="38">
        <v>60.0</v>
      </c>
      <c r="E3885" s="75"/>
      <c r="F3885" s="67">
        <v>4.848906775</v>
      </c>
      <c r="G3885" s="40">
        <v>1.564075163</v>
      </c>
      <c r="H3885" s="40"/>
      <c r="I3885" s="41">
        <v>0.4</v>
      </c>
      <c r="J3885" s="41">
        <v>0.316666667</v>
      </c>
      <c r="K3885" s="41">
        <v>0.283333333</v>
      </c>
      <c r="L3885" s="41"/>
      <c r="M3885" s="74">
        <v>-4.289630775</v>
      </c>
    </row>
    <row r="3886">
      <c r="A3886" s="1" t="s">
        <v>353</v>
      </c>
      <c r="B3886" s="38">
        <v>663903.0</v>
      </c>
      <c r="C3886" s="72">
        <v>45893.0</v>
      </c>
      <c r="D3886" s="38">
        <v>94.0</v>
      </c>
      <c r="E3886" s="75"/>
      <c r="F3886" s="67">
        <v>4.848429787</v>
      </c>
      <c r="G3886" s="40">
        <v>2.481209552</v>
      </c>
      <c r="H3886" s="40"/>
      <c r="I3886" s="41">
        <v>0.425531915</v>
      </c>
      <c r="J3886" s="41">
        <v>0.212765957</v>
      </c>
      <c r="K3886" s="41">
        <v>0.361702128</v>
      </c>
      <c r="L3886" s="41"/>
      <c r="M3886" s="74">
        <v>3.607342679</v>
      </c>
    </row>
    <row r="3887">
      <c r="A3887" s="1" t="s">
        <v>272</v>
      </c>
      <c r="B3887" s="38">
        <v>622491.0</v>
      </c>
      <c r="C3887" s="72">
        <v>45773.0</v>
      </c>
      <c r="D3887" s="38">
        <v>90.0</v>
      </c>
      <c r="E3887" s="75"/>
      <c r="F3887" s="67">
        <v>4.848322505</v>
      </c>
      <c r="G3887" s="40">
        <v>2.353471268</v>
      </c>
      <c r="H3887" s="40"/>
      <c r="I3887" s="41">
        <v>0.433333333</v>
      </c>
      <c r="J3887" s="41">
        <v>0.211111111</v>
      </c>
      <c r="K3887" s="41">
        <v>0.355555556</v>
      </c>
      <c r="L3887" s="41"/>
      <c r="M3887" s="74">
        <v>4.662216809</v>
      </c>
    </row>
    <row r="3888">
      <c r="A3888" s="1" t="s">
        <v>410</v>
      </c>
      <c r="B3888" s="38">
        <v>678394.0</v>
      </c>
      <c r="C3888" s="72">
        <v>45913.0</v>
      </c>
      <c r="D3888" s="38">
        <v>92.0</v>
      </c>
      <c r="E3888" s="75"/>
      <c r="F3888" s="67">
        <v>4.847797766</v>
      </c>
      <c r="G3888" s="40">
        <v>2.435266523</v>
      </c>
      <c r="H3888" s="40"/>
      <c r="I3888" s="41">
        <v>0.402173913</v>
      </c>
      <c r="J3888" s="41">
        <v>0.173913043</v>
      </c>
      <c r="K3888" s="41">
        <v>0.423913043</v>
      </c>
      <c r="L3888" s="41"/>
      <c r="M3888" s="74">
        <v>0.475776961</v>
      </c>
    </row>
    <row r="3889">
      <c r="A3889" s="1" t="s">
        <v>277</v>
      </c>
      <c r="B3889" s="38">
        <v>677952.0</v>
      </c>
      <c r="C3889" s="72">
        <v>45903.0</v>
      </c>
      <c r="D3889" s="38">
        <v>70.0</v>
      </c>
      <c r="E3889" s="75"/>
      <c r="F3889" s="67">
        <v>4.847368024</v>
      </c>
      <c r="G3889" s="40">
        <v>1.833270014</v>
      </c>
      <c r="H3889" s="40"/>
      <c r="I3889" s="41">
        <v>0.442857143</v>
      </c>
      <c r="J3889" s="41">
        <v>0.142857143</v>
      </c>
      <c r="K3889" s="41">
        <v>0.414285714</v>
      </c>
      <c r="L3889" s="41"/>
      <c r="M3889" s="74">
        <v>1.578631565</v>
      </c>
    </row>
    <row r="3890">
      <c r="A3890" s="1" t="s">
        <v>374</v>
      </c>
      <c r="B3890" s="38">
        <v>683004.0</v>
      </c>
      <c r="C3890" s="72">
        <v>45779.0</v>
      </c>
      <c r="D3890" s="38">
        <v>87.0</v>
      </c>
      <c r="E3890" s="75"/>
      <c r="F3890" s="67">
        <v>4.847062303</v>
      </c>
      <c r="G3890" s="40">
        <v>2.285106103</v>
      </c>
      <c r="H3890" s="40"/>
      <c r="I3890" s="41">
        <v>0.494252874</v>
      </c>
      <c r="J3890" s="41">
        <v>0.103448276</v>
      </c>
      <c r="K3890" s="41">
        <v>0.402298851</v>
      </c>
      <c r="L3890" s="41"/>
      <c r="M3890" s="74">
        <v>-4.176192297</v>
      </c>
    </row>
    <row r="3891">
      <c r="A3891" s="1" t="s">
        <v>472</v>
      </c>
      <c r="B3891" s="38">
        <v>675911.0</v>
      </c>
      <c r="C3891" s="72">
        <v>45881.0</v>
      </c>
      <c r="D3891" s="38">
        <v>80.0</v>
      </c>
      <c r="E3891" s="75"/>
      <c r="F3891" s="67">
        <v>4.846943627</v>
      </c>
      <c r="G3891" s="40">
        <v>2.166653889</v>
      </c>
      <c r="H3891" s="40"/>
      <c r="I3891" s="41">
        <v>0.4</v>
      </c>
      <c r="J3891" s="41">
        <v>0.2</v>
      </c>
      <c r="K3891" s="41">
        <v>0.4</v>
      </c>
      <c r="L3891" s="41"/>
      <c r="M3891" s="74">
        <v>-3.346129786</v>
      </c>
    </row>
    <row r="3892">
      <c r="A3892" s="1" t="s">
        <v>491</v>
      </c>
      <c r="B3892" s="38">
        <v>650644.0</v>
      </c>
      <c r="C3892" s="72">
        <v>45810.0</v>
      </c>
      <c r="D3892" s="38">
        <v>80.0</v>
      </c>
      <c r="E3892" s="75"/>
      <c r="F3892" s="67">
        <v>4.84658951</v>
      </c>
      <c r="G3892" s="40">
        <v>2.131154741</v>
      </c>
      <c r="H3892" s="40"/>
      <c r="I3892" s="41">
        <v>0.4125</v>
      </c>
      <c r="J3892" s="41">
        <v>0.1875</v>
      </c>
      <c r="K3892" s="41">
        <v>0.4</v>
      </c>
      <c r="L3892" s="41"/>
      <c r="M3892" s="74">
        <v>-0.666598355</v>
      </c>
    </row>
    <row r="3893">
      <c r="A3893" s="1" t="s">
        <v>290</v>
      </c>
      <c r="B3893" s="38">
        <v>669461.0</v>
      </c>
      <c r="C3893" s="72">
        <v>45837.0</v>
      </c>
      <c r="D3893" s="38">
        <v>92.0</v>
      </c>
      <c r="E3893" s="75"/>
      <c r="F3893" s="67">
        <v>4.846420961</v>
      </c>
      <c r="G3893" s="40">
        <v>2.412726877</v>
      </c>
      <c r="H3893" s="40"/>
      <c r="I3893" s="41">
        <v>0.47826087</v>
      </c>
      <c r="J3893" s="41">
        <v>0.108695652</v>
      </c>
      <c r="K3893" s="41">
        <v>0.413043478</v>
      </c>
      <c r="L3893" s="41"/>
      <c r="M3893" s="74">
        <v>2.16968364</v>
      </c>
    </row>
    <row r="3894">
      <c r="A3894" s="1" t="s">
        <v>496</v>
      </c>
      <c r="B3894" s="38">
        <v>694477.0</v>
      </c>
      <c r="C3894" s="72">
        <v>45759.0</v>
      </c>
      <c r="D3894" s="38">
        <v>72.0</v>
      </c>
      <c r="E3894" s="75"/>
      <c r="F3894" s="67">
        <v>4.84635818</v>
      </c>
      <c r="G3894" s="40">
        <v>1.875385552</v>
      </c>
      <c r="H3894" s="40"/>
      <c r="I3894" s="41">
        <v>0.361111111</v>
      </c>
      <c r="J3894" s="41">
        <v>0.263888889</v>
      </c>
      <c r="K3894" s="41">
        <v>0.375</v>
      </c>
      <c r="L3894" s="41"/>
      <c r="M3894" s="74">
        <v>-0.485198021</v>
      </c>
    </row>
    <row r="3895">
      <c r="A3895" s="1" t="s">
        <v>300</v>
      </c>
      <c r="B3895" s="38">
        <v>506433.0</v>
      </c>
      <c r="C3895" s="72">
        <v>45926.0</v>
      </c>
      <c r="D3895" s="38">
        <v>79.0</v>
      </c>
      <c r="E3895" s="75"/>
      <c r="F3895" s="67">
        <v>4.846134714</v>
      </c>
      <c r="G3895" s="40">
        <v>2.087847756</v>
      </c>
      <c r="H3895" s="40"/>
      <c r="I3895" s="41">
        <v>0.405063291</v>
      </c>
      <c r="J3895" s="41">
        <v>0.17721519</v>
      </c>
      <c r="K3895" s="41">
        <v>0.417721519</v>
      </c>
      <c r="L3895" s="41"/>
      <c r="M3895" s="74">
        <v>-1.0702642</v>
      </c>
    </row>
    <row r="3896">
      <c r="A3896" s="1" t="s">
        <v>452</v>
      </c>
      <c r="B3896" s="38">
        <v>607625.0</v>
      </c>
      <c r="C3896" s="72">
        <v>45893.0</v>
      </c>
      <c r="D3896" s="38">
        <v>76.0</v>
      </c>
      <c r="E3896" s="75"/>
      <c r="F3896" s="67">
        <v>4.845993504</v>
      </c>
      <c r="G3896" s="40">
        <v>2.00553547</v>
      </c>
      <c r="H3896" s="40"/>
      <c r="I3896" s="41">
        <v>0.447368421</v>
      </c>
      <c r="J3896" s="41">
        <v>0.184210526</v>
      </c>
      <c r="K3896" s="41">
        <v>0.368421053</v>
      </c>
      <c r="L3896" s="41"/>
      <c r="M3896" s="74">
        <v>-2.300541861</v>
      </c>
    </row>
    <row r="3897">
      <c r="A3897" s="1" t="s">
        <v>285</v>
      </c>
      <c r="B3897" s="38">
        <v>607074.0</v>
      </c>
      <c r="C3897" s="72">
        <v>45893.0</v>
      </c>
      <c r="D3897" s="38">
        <v>103.0</v>
      </c>
      <c r="E3897" s="75"/>
      <c r="F3897" s="67">
        <v>4.845952885</v>
      </c>
      <c r="G3897" s="40">
        <v>2.679940819</v>
      </c>
      <c r="H3897" s="40"/>
      <c r="I3897" s="41">
        <v>0.475728155</v>
      </c>
      <c r="J3897" s="41">
        <v>0.13592233</v>
      </c>
      <c r="K3897" s="41">
        <v>0.388349515</v>
      </c>
      <c r="L3897" s="41"/>
      <c r="M3897" s="74">
        <v>4.554629369</v>
      </c>
    </row>
    <row r="3898">
      <c r="A3898" s="1" t="s">
        <v>419</v>
      </c>
      <c r="B3898" s="38">
        <v>681857.0</v>
      </c>
      <c r="C3898" s="72">
        <v>45752.0</v>
      </c>
      <c r="D3898" s="38">
        <v>93.0</v>
      </c>
      <c r="E3898" s="75"/>
      <c r="F3898" s="67">
        <v>4.845537237</v>
      </c>
      <c r="G3898" s="40">
        <v>2.434294214</v>
      </c>
      <c r="H3898" s="40"/>
      <c r="I3898" s="41">
        <v>0.408602151</v>
      </c>
      <c r="J3898" s="41">
        <v>0.150537634</v>
      </c>
      <c r="K3898" s="41">
        <v>0.440860215</v>
      </c>
      <c r="L3898" s="41"/>
      <c r="M3898" s="74">
        <v>-2.388991625</v>
      </c>
    </row>
    <row r="3899">
      <c r="A3899" s="1" t="s">
        <v>344</v>
      </c>
      <c r="B3899" s="38">
        <v>701542.0</v>
      </c>
      <c r="C3899" s="72">
        <v>45874.0</v>
      </c>
      <c r="D3899" s="38">
        <v>93.0</v>
      </c>
      <c r="E3899" s="75"/>
      <c r="F3899" s="67">
        <v>4.845222601</v>
      </c>
      <c r="G3899" s="40">
        <v>2.423505897</v>
      </c>
      <c r="H3899" s="40"/>
      <c r="I3899" s="41">
        <v>0.451612903</v>
      </c>
      <c r="J3899" s="41">
        <v>0.150537634</v>
      </c>
      <c r="K3899" s="41">
        <v>0.397849462</v>
      </c>
      <c r="L3899" s="41"/>
      <c r="M3899" s="74">
        <v>1.489201223</v>
      </c>
    </row>
    <row r="3900">
      <c r="A3900" s="1" t="s">
        <v>413</v>
      </c>
      <c r="B3900" s="38">
        <v>671737.0</v>
      </c>
      <c r="C3900" s="72">
        <v>45904.0</v>
      </c>
      <c r="D3900" s="38">
        <v>88.0</v>
      </c>
      <c r="E3900" s="75"/>
      <c r="F3900" s="67">
        <v>4.845027576</v>
      </c>
      <c r="G3900" s="40">
        <v>2.295319518</v>
      </c>
      <c r="H3900" s="40"/>
      <c r="I3900" s="41">
        <v>0.431818182</v>
      </c>
      <c r="J3900" s="41">
        <v>0.147727273</v>
      </c>
      <c r="K3900" s="41">
        <v>0.420454545</v>
      </c>
      <c r="L3900" s="41"/>
      <c r="M3900" s="74">
        <v>-3.034253372</v>
      </c>
    </row>
    <row r="3901">
      <c r="A3901" s="1" t="s">
        <v>287</v>
      </c>
      <c r="B3901" s="38">
        <v>571945.0</v>
      </c>
      <c r="C3901" s="72">
        <v>45858.0</v>
      </c>
      <c r="D3901" s="38">
        <v>67.0</v>
      </c>
      <c r="E3901" s="75"/>
      <c r="F3901" s="67">
        <v>4.844600876</v>
      </c>
      <c r="G3901" s="40">
        <v>1.787424218</v>
      </c>
      <c r="H3901" s="40"/>
      <c r="I3901" s="41">
        <v>0.432835821</v>
      </c>
      <c r="J3901" s="41">
        <v>0.23880597</v>
      </c>
      <c r="K3901" s="41">
        <v>0.328358209</v>
      </c>
      <c r="L3901" s="41"/>
      <c r="M3901" s="74">
        <v>0.114724991</v>
      </c>
    </row>
    <row r="3902">
      <c r="A3902" s="1" t="s">
        <v>405</v>
      </c>
      <c r="B3902" s="38">
        <v>621111.0</v>
      </c>
      <c r="C3902" s="72">
        <v>45888.0</v>
      </c>
      <c r="D3902" s="38">
        <v>64.0</v>
      </c>
      <c r="E3902" s="75"/>
      <c r="F3902" s="67">
        <v>4.844568086</v>
      </c>
      <c r="G3902" s="40">
        <v>1.697211693</v>
      </c>
      <c r="H3902" s="40"/>
      <c r="I3902" s="41">
        <v>0.40625</v>
      </c>
      <c r="J3902" s="41">
        <v>0.25</v>
      </c>
      <c r="K3902" s="41">
        <v>0.34375</v>
      </c>
      <c r="L3902" s="41"/>
      <c r="M3902" s="74">
        <v>0.662514146</v>
      </c>
    </row>
    <row r="3903">
      <c r="A3903" s="1" t="s">
        <v>587</v>
      </c>
      <c r="B3903" s="38">
        <v>692230.0</v>
      </c>
      <c r="C3903" s="72">
        <v>45799.0</v>
      </c>
      <c r="D3903" s="38">
        <v>74.0</v>
      </c>
      <c r="E3903" s="75"/>
      <c r="F3903" s="67">
        <v>4.844415214</v>
      </c>
      <c r="G3903" s="40">
        <v>1.93599013</v>
      </c>
      <c r="H3903" s="40"/>
      <c r="I3903" s="41">
        <v>0.405405405</v>
      </c>
      <c r="J3903" s="41">
        <v>0.189189189</v>
      </c>
      <c r="K3903" s="41">
        <v>0.405405405</v>
      </c>
      <c r="L3903" s="41"/>
      <c r="M3903" s="74">
        <v>-0.858850193</v>
      </c>
    </row>
    <row r="3904">
      <c r="A3904" s="1" t="s">
        <v>332</v>
      </c>
      <c r="B3904" s="38">
        <v>641778.0</v>
      </c>
      <c r="C3904" s="72">
        <v>45873.0</v>
      </c>
      <c r="D3904" s="38">
        <v>81.0</v>
      </c>
      <c r="E3904" s="75"/>
      <c r="F3904" s="67">
        <v>4.844415111</v>
      </c>
      <c r="G3904" s="40">
        <v>2.155425326</v>
      </c>
      <c r="H3904" s="40"/>
      <c r="I3904" s="41">
        <v>0.382716049</v>
      </c>
      <c r="J3904" s="41">
        <v>0.222222222</v>
      </c>
      <c r="K3904" s="41">
        <v>0.395061728</v>
      </c>
      <c r="L3904" s="41"/>
      <c r="M3904" s="74">
        <v>-2.029209424</v>
      </c>
    </row>
    <row r="3905">
      <c r="A3905" s="1" t="s">
        <v>373</v>
      </c>
      <c r="B3905" s="38">
        <v>640455.0</v>
      </c>
      <c r="C3905" s="72">
        <v>45901.0</v>
      </c>
      <c r="D3905" s="38">
        <v>82.0</v>
      </c>
      <c r="E3905" s="75"/>
      <c r="F3905" s="67">
        <v>4.844409365</v>
      </c>
      <c r="G3905" s="40">
        <v>2.172453401</v>
      </c>
      <c r="H3905" s="40"/>
      <c r="I3905" s="41">
        <v>0.402439024</v>
      </c>
      <c r="J3905" s="41">
        <v>0.182926829</v>
      </c>
      <c r="K3905" s="41">
        <v>0.414634146</v>
      </c>
      <c r="L3905" s="41"/>
      <c r="M3905" s="74">
        <v>-3.263465093</v>
      </c>
    </row>
    <row r="3906">
      <c r="A3906" s="1" t="s">
        <v>432</v>
      </c>
      <c r="B3906" s="38">
        <v>669467.0</v>
      </c>
      <c r="C3906" s="72">
        <v>45923.0</v>
      </c>
      <c r="D3906" s="38">
        <v>63.0</v>
      </c>
      <c r="E3906" s="75"/>
      <c r="F3906" s="67">
        <v>4.844317286</v>
      </c>
      <c r="G3906" s="40">
        <v>1.6558707</v>
      </c>
      <c r="H3906" s="40"/>
      <c r="I3906" s="41">
        <v>0.349206349</v>
      </c>
      <c r="J3906" s="41">
        <v>0.301587302</v>
      </c>
      <c r="K3906" s="41">
        <v>0.349206349</v>
      </c>
      <c r="L3906" s="41"/>
      <c r="M3906" s="74">
        <v>1.540761243</v>
      </c>
    </row>
    <row r="3907">
      <c r="A3907" s="1" t="s">
        <v>363</v>
      </c>
      <c r="B3907" s="38">
        <v>693645.0</v>
      </c>
      <c r="C3907" s="72">
        <v>45866.0</v>
      </c>
      <c r="D3907" s="38">
        <v>85.0</v>
      </c>
      <c r="E3907" s="75"/>
      <c r="F3907" s="67">
        <v>4.84398105</v>
      </c>
      <c r="G3907" s="40">
        <v>2.238955067</v>
      </c>
      <c r="H3907" s="40"/>
      <c r="I3907" s="41">
        <v>0.541176471</v>
      </c>
      <c r="J3907" s="41">
        <v>0.141176471</v>
      </c>
      <c r="K3907" s="41">
        <v>0.317647059</v>
      </c>
      <c r="L3907" s="41"/>
      <c r="M3907" s="74">
        <v>-3.014894112</v>
      </c>
    </row>
    <row r="3908">
      <c r="A3908" s="1" t="s">
        <v>452</v>
      </c>
      <c r="B3908" s="38">
        <v>607625.0</v>
      </c>
      <c r="C3908" s="72">
        <v>45751.0</v>
      </c>
      <c r="D3908" s="38">
        <v>84.0</v>
      </c>
      <c r="E3908" s="75"/>
      <c r="F3908" s="67">
        <v>4.843973946</v>
      </c>
      <c r="G3908" s="40">
        <v>2.223796311</v>
      </c>
      <c r="H3908" s="40"/>
      <c r="I3908" s="41">
        <v>0.380952381</v>
      </c>
      <c r="J3908" s="41">
        <v>0.261904762</v>
      </c>
      <c r="K3908" s="41">
        <v>0.357142857</v>
      </c>
      <c r="L3908" s="41"/>
      <c r="M3908" s="74">
        <v>0.458797752</v>
      </c>
    </row>
    <row r="3909">
      <c r="A3909" s="1" t="s">
        <v>222</v>
      </c>
      <c r="B3909" s="38">
        <v>518876.0</v>
      </c>
      <c r="C3909" s="72">
        <v>45755.0</v>
      </c>
      <c r="D3909" s="38">
        <v>85.0</v>
      </c>
      <c r="E3909" s="75"/>
      <c r="F3909" s="67">
        <v>4.843936614</v>
      </c>
      <c r="G3909" s="40">
        <v>2.255229966</v>
      </c>
      <c r="H3909" s="40"/>
      <c r="I3909" s="41">
        <v>0.470588235</v>
      </c>
      <c r="J3909" s="41">
        <v>0.211764706</v>
      </c>
      <c r="K3909" s="41">
        <v>0.317647059</v>
      </c>
      <c r="L3909" s="41"/>
      <c r="M3909" s="74">
        <v>2.204459202</v>
      </c>
    </row>
    <row r="3910">
      <c r="A3910" s="1" t="s">
        <v>425</v>
      </c>
      <c r="B3910" s="38">
        <v>621244.0</v>
      </c>
      <c r="C3910" s="72">
        <v>45806.0</v>
      </c>
      <c r="D3910" s="38">
        <v>87.0</v>
      </c>
      <c r="E3910" s="75"/>
      <c r="F3910" s="67">
        <v>4.843598662</v>
      </c>
      <c r="G3910" s="40">
        <v>2.258050869</v>
      </c>
      <c r="H3910" s="40"/>
      <c r="I3910" s="41">
        <v>0.402298851</v>
      </c>
      <c r="J3910" s="41">
        <v>0.229885057</v>
      </c>
      <c r="K3910" s="41">
        <v>0.367816092</v>
      </c>
      <c r="L3910" s="41"/>
      <c r="M3910" s="74">
        <v>3.30469686</v>
      </c>
    </row>
    <row r="3911">
      <c r="A3911" s="1" t="s">
        <v>115</v>
      </c>
      <c r="B3911" s="38">
        <v>543135.0</v>
      </c>
      <c r="C3911" s="72">
        <v>45743.0</v>
      </c>
      <c r="D3911" s="38">
        <v>86.0</v>
      </c>
      <c r="E3911" s="75"/>
      <c r="F3911" s="67">
        <v>4.84324518</v>
      </c>
      <c r="G3911" s="40">
        <v>2.247200319</v>
      </c>
      <c r="H3911" s="40"/>
      <c r="I3911" s="41">
        <v>0.441860465</v>
      </c>
      <c r="J3911" s="41">
        <v>0.220930233</v>
      </c>
      <c r="K3911" s="41">
        <v>0.337209302</v>
      </c>
      <c r="L3911" s="41"/>
      <c r="M3911" s="74">
        <v>2.447625589</v>
      </c>
    </row>
    <row r="3912">
      <c r="A3912" s="1" t="s">
        <v>336</v>
      </c>
      <c r="B3912" s="38">
        <v>605488.0</v>
      </c>
      <c r="C3912" s="72">
        <v>45886.0</v>
      </c>
      <c r="D3912" s="38">
        <v>100.0</v>
      </c>
      <c r="E3912" s="75"/>
      <c r="F3912" s="67">
        <v>4.843078004</v>
      </c>
      <c r="G3912" s="40">
        <v>2.641256772</v>
      </c>
      <c r="H3912" s="40"/>
      <c r="I3912" s="41">
        <v>0.48</v>
      </c>
      <c r="J3912" s="41">
        <v>0.09</v>
      </c>
      <c r="K3912" s="41">
        <v>0.43</v>
      </c>
      <c r="L3912" s="41"/>
      <c r="M3912" s="74">
        <v>-3.321766619</v>
      </c>
    </row>
    <row r="3913">
      <c r="A3913" s="1" t="s">
        <v>383</v>
      </c>
      <c r="B3913" s="38">
        <v>573186.0</v>
      </c>
      <c r="C3913" s="72">
        <v>45864.0</v>
      </c>
      <c r="D3913" s="38">
        <v>88.0</v>
      </c>
      <c r="E3913" s="75"/>
      <c r="F3913" s="67">
        <v>4.843011799</v>
      </c>
      <c r="G3913" s="40">
        <v>2.291768643</v>
      </c>
      <c r="H3913" s="40"/>
      <c r="I3913" s="41">
        <v>0.397727273</v>
      </c>
      <c r="J3913" s="41">
        <v>0.181818182</v>
      </c>
      <c r="K3913" s="41">
        <v>0.420454545</v>
      </c>
      <c r="L3913" s="41"/>
      <c r="M3913" s="74">
        <v>-0.21508011</v>
      </c>
    </row>
    <row r="3914">
      <c r="A3914" s="1" t="s">
        <v>358</v>
      </c>
      <c r="B3914" s="38">
        <v>434378.0</v>
      </c>
      <c r="C3914" s="72">
        <v>45927.0</v>
      </c>
      <c r="D3914" s="38">
        <v>78.0</v>
      </c>
      <c r="E3914" s="75"/>
      <c r="F3914" s="67">
        <v>4.842866687</v>
      </c>
      <c r="G3914" s="40">
        <v>2.030707039</v>
      </c>
      <c r="H3914" s="40"/>
      <c r="I3914" s="41">
        <v>0.397435897</v>
      </c>
      <c r="J3914" s="41">
        <v>0.192307692</v>
      </c>
      <c r="K3914" s="41">
        <v>0.41025641</v>
      </c>
      <c r="L3914" s="41"/>
      <c r="M3914" s="74">
        <v>-0.844611695</v>
      </c>
    </row>
    <row r="3915">
      <c r="A3915" s="1" t="s">
        <v>450</v>
      </c>
      <c r="B3915" s="38">
        <v>682990.0</v>
      </c>
      <c r="C3915" s="72">
        <v>45779.0</v>
      </c>
      <c r="D3915" s="38">
        <v>96.0</v>
      </c>
      <c r="E3915" s="75"/>
      <c r="F3915" s="67">
        <v>4.842800918</v>
      </c>
      <c r="G3915" s="40">
        <v>2.519089568</v>
      </c>
      <c r="H3915" s="40"/>
      <c r="I3915" s="41">
        <v>0.416666667</v>
      </c>
      <c r="J3915" s="41">
        <v>0.1875</v>
      </c>
      <c r="K3915" s="41">
        <v>0.395833333</v>
      </c>
      <c r="L3915" s="41"/>
      <c r="M3915" s="74">
        <v>0.349308267</v>
      </c>
    </row>
    <row r="3916">
      <c r="A3916" s="1" t="s">
        <v>410</v>
      </c>
      <c r="B3916" s="38">
        <v>678394.0</v>
      </c>
      <c r="C3916" s="72">
        <v>45779.0</v>
      </c>
      <c r="D3916" s="38">
        <v>99.0</v>
      </c>
      <c r="E3916" s="75"/>
      <c r="F3916" s="67">
        <v>4.84250978</v>
      </c>
      <c r="G3916" s="40">
        <v>2.629637854</v>
      </c>
      <c r="H3916" s="40"/>
      <c r="I3916" s="41">
        <v>0.363636364</v>
      </c>
      <c r="J3916" s="41">
        <v>0.212121212</v>
      </c>
      <c r="K3916" s="41">
        <v>0.424242424</v>
      </c>
      <c r="L3916" s="41"/>
      <c r="M3916" s="74">
        <v>2.631954698</v>
      </c>
    </row>
    <row r="3917">
      <c r="A3917" s="1" t="s">
        <v>416</v>
      </c>
      <c r="B3917" s="38">
        <v>608337.0</v>
      </c>
      <c r="C3917" s="72">
        <v>45917.0</v>
      </c>
      <c r="D3917" s="38">
        <v>88.0</v>
      </c>
      <c r="E3917" s="75"/>
      <c r="F3917" s="67">
        <v>4.842508052</v>
      </c>
      <c r="G3917" s="40">
        <v>2.352457357</v>
      </c>
      <c r="H3917" s="40"/>
      <c r="I3917" s="41">
        <v>0.420454545</v>
      </c>
      <c r="J3917" s="41">
        <v>0.181818182</v>
      </c>
      <c r="K3917" s="41">
        <v>0.397727273</v>
      </c>
      <c r="L3917" s="41"/>
      <c r="M3917" s="74">
        <v>-0.312829854</v>
      </c>
    </row>
    <row r="3918">
      <c r="A3918" s="1" t="s">
        <v>113</v>
      </c>
      <c r="B3918" s="38">
        <v>664285.0</v>
      </c>
      <c r="C3918" s="72">
        <v>45920.0</v>
      </c>
      <c r="D3918" s="38">
        <v>86.0</v>
      </c>
      <c r="E3918" s="75"/>
      <c r="F3918" s="67">
        <v>4.841768005</v>
      </c>
      <c r="G3918" s="40">
        <v>2.292146883</v>
      </c>
      <c r="H3918" s="40"/>
      <c r="I3918" s="41">
        <v>0.38372093</v>
      </c>
      <c r="J3918" s="41">
        <v>0.279069767</v>
      </c>
      <c r="K3918" s="41">
        <v>0.337209302</v>
      </c>
      <c r="L3918" s="41"/>
      <c r="M3918" s="74">
        <v>-0.463231767</v>
      </c>
    </row>
    <row r="3919">
      <c r="A3919" s="1" t="s">
        <v>514</v>
      </c>
      <c r="B3919" s="38">
        <v>806185.0</v>
      </c>
      <c r="C3919" s="72">
        <v>45791.0</v>
      </c>
      <c r="D3919" s="38">
        <v>63.0</v>
      </c>
      <c r="E3919" s="75"/>
      <c r="F3919" s="67">
        <v>4.841313751</v>
      </c>
      <c r="G3919" s="40">
        <v>1.642292827</v>
      </c>
      <c r="H3919" s="40"/>
      <c r="I3919" s="41">
        <v>0.507936508</v>
      </c>
      <c r="J3919" s="41">
        <v>0.063492063</v>
      </c>
      <c r="K3919" s="41">
        <v>0.428571429</v>
      </c>
      <c r="L3919" s="41"/>
      <c r="M3919" s="74">
        <v>-1.23522629</v>
      </c>
    </row>
    <row r="3920">
      <c r="A3920" s="1" t="s">
        <v>195</v>
      </c>
      <c r="B3920" s="38">
        <v>668678.0</v>
      </c>
      <c r="C3920" s="72">
        <v>45743.0</v>
      </c>
      <c r="D3920" s="38">
        <v>83.0</v>
      </c>
      <c r="E3920" s="75"/>
      <c r="F3920" s="67">
        <v>4.840937984</v>
      </c>
      <c r="G3920" s="40">
        <v>2.182397919</v>
      </c>
      <c r="H3920" s="40"/>
      <c r="I3920" s="41">
        <v>0.421686747</v>
      </c>
      <c r="J3920" s="41">
        <v>0.168674699</v>
      </c>
      <c r="K3920" s="41">
        <v>0.409638554</v>
      </c>
      <c r="L3920" s="41"/>
      <c r="M3920" s="74">
        <v>-0.083707103</v>
      </c>
    </row>
    <row r="3921">
      <c r="A3921" s="1" t="s">
        <v>424</v>
      </c>
      <c r="B3921" s="38">
        <v>667755.0</v>
      </c>
      <c r="C3921" s="72">
        <v>45851.0</v>
      </c>
      <c r="D3921" s="38">
        <v>88.0</v>
      </c>
      <c r="E3921" s="75"/>
      <c r="F3921" s="67">
        <v>4.840777282</v>
      </c>
      <c r="G3921" s="40">
        <v>2.336996884</v>
      </c>
      <c r="H3921" s="40"/>
      <c r="I3921" s="41">
        <v>0.409090909</v>
      </c>
      <c r="J3921" s="41">
        <v>0.125</v>
      </c>
      <c r="K3921" s="41">
        <v>0.465909091</v>
      </c>
      <c r="L3921" s="41"/>
      <c r="M3921" s="74">
        <v>0.744864055</v>
      </c>
    </row>
    <row r="3922">
      <c r="A3922" s="1" t="s">
        <v>358</v>
      </c>
      <c r="B3922" s="38">
        <v>434378.0</v>
      </c>
      <c r="C3922" s="72">
        <v>45832.0</v>
      </c>
      <c r="D3922" s="38">
        <v>81.0</v>
      </c>
      <c r="E3922" s="75"/>
      <c r="F3922" s="67">
        <v>4.840507395</v>
      </c>
      <c r="G3922" s="40">
        <v>2.157093552</v>
      </c>
      <c r="H3922" s="40"/>
      <c r="I3922" s="41">
        <v>0.320987654</v>
      </c>
      <c r="J3922" s="41">
        <v>0.308641975</v>
      </c>
      <c r="K3922" s="41">
        <v>0.37037037</v>
      </c>
      <c r="L3922" s="41"/>
      <c r="M3922" s="74">
        <v>1.248032894</v>
      </c>
    </row>
    <row r="3923">
      <c r="A3923" s="1" t="s">
        <v>232</v>
      </c>
      <c r="B3923" s="38">
        <v>579328.0</v>
      </c>
      <c r="C3923" s="72">
        <v>45767.0</v>
      </c>
      <c r="D3923" s="38">
        <v>102.0</v>
      </c>
      <c r="E3923" s="75"/>
      <c r="F3923" s="67">
        <v>4.840428236</v>
      </c>
      <c r="G3923" s="40">
        <v>2.702188197</v>
      </c>
      <c r="H3923" s="40"/>
      <c r="I3923" s="41">
        <v>0.450980392</v>
      </c>
      <c r="J3923" s="41">
        <v>0.176470588</v>
      </c>
      <c r="K3923" s="41">
        <v>0.37254902</v>
      </c>
      <c r="L3923" s="41"/>
      <c r="M3923" s="74">
        <v>1.043585103</v>
      </c>
    </row>
    <row r="3924">
      <c r="A3924" s="1" t="s">
        <v>431</v>
      </c>
      <c r="B3924" s="38">
        <v>669203.0</v>
      </c>
      <c r="C3924" s="72">
        <v>45753.0</v>
      </c>
      <c r="D3924" s="38">
        <v>86.0</v>
      </c>
      <c r="E3924" s="75"/>
      <c r="F3924" s="67">
        <v>4.840228277</v>
      </c>
      <c r="G3924" s="40">
        <v>2.306305458</v>
      </c>
      <c r="H3924" s="40"/>
      <c r="I3924" s="41">
        <v>0.465116279</v>
      </c>
      <c r="J3924" s="41">
        <v>0.139534884</v>
      </c>
      <c r="K3924" s="41">
        <v>0.395348837</v>
      </c>
      <c r="L3924" s="41"/>
      <c r="M3924" s="74">
        <v>-1.476620455</v>
      </c>
    </row>
    <row r="3925">
      <c r="A3925" s="1" t="s">
        <v>294</v>
      </c>
      <c r="B3925" s="38">
        <v>665152.0</v>
      </c>
      <c r="C3925" s="72">
        <v>45857.0</v>
      </c>
      <c r="D3925" s="38">
        <v>95.0</v>
      </c>
      <c r="E3925" s="75"/>
      <c r="F3925" s="67">
        <v>4.840114447</v>
      </c>
      <c r="G3925" s="40">
        <v>2.562187294</v>
      </c>
      <c r="H3925" s="40"/>
      <c r="I3925" s="41">
        <v>0.378947368</v>
      </c>
      <c r="J3925" s="41">
        <v>0.242105263</v>
      </c>
      <c r="K3925" s="41">
        <v>0.378947368</v>
      </c>
      <c r="L3925" s="41"/>
      <c r="M3925" s="74">
        <v>3.265227781</v>
      </c>
    </row>
    <row r="3926">
      <c r="A3926" s="1" t="s">
        <v>278</v>
      </c>
      <c r="B3926" s="38">
        <v>542881.0</v>
      </c>
      <c r="C3926" s="72">
        <v>45753.0</v>
      </c>
      <c r="D3926" s="38">
        <v>77.0</v>
      </c>
      <c r="E3926" s="75"/>
      <c r="F3926" s="67">
        <v>4.840080648</v>
      </c>
      <c r="G3926" s="40">
        <v>2.026956968</v>
      </c>
      <c r="H3926" s="40"/>
      <c r="I3926" s="41">
        <v>0.428571429</v>
      </c>
      <c r="J3926" s="41">
        <v>0.207792208</v>
      </c>
      <c r="K3926" s="41">
        <v>0.363636364</v>
      </c>
      <c r="L3926" s="41"/>
      <c r="M3926" s="74">
        <v>3.13933427</v>
      </c>
    </row>
    <row r="3927">
      <c r="A3927" s="1" t="s">
        <v>399</v>
      </c>
      <c r="B3927" s="38">
        <v>543294.0</v>
      </c>
      <c r="C3927" s="72">
        <v>45904.0</v>
      </c>
      <c r="D3927" s="38">
        <v>82.0</v>
      </c>
      <c r="E3927" s="75"/>
      <c r="F3927" s="67">
        <v>4.839826933</v>
      </c>
      <c r="G3927" s="40">
        <v>2.191692002</v>
      </c>
      <c r="H3927" s="40"/>
      <c r="I3927" s="41">
        <v>0.414634146</v>
      </c>
      <c r="J3927" s="41">
        <v>0.134146341</v>
      </c>
      <c r="K3927" s="41">
        <v>0.451219512</v>
      </c>
      <c r="L3927" s="41"/>
      <c r="M3927" s="74">
        <v>3.128624057</v>
      </c>
    </row>
    <row r="3928">
      <c r="A3928" s="1" t="s">
        <v>472</v>
      </c>
      <c r="B3928" s="38">
        <v>675911.0</v>
      </c>
      <c r="C3928" s="72">
        <v>45837.0</v>
      </c>
      <c r="D3928" s="38">
        <v>91.0</v>
      </c>
      <c r="E3928" s="75"/>
      <c r="F3928" s="67">
        <v>4.838691251</v>
      </c>
      <c r="G3928" s="40">
        <v>2.422852501</v>
      </c>
      <c r="H3928" s="40"/>
      <c r="I3928" s="41">
        <v>0.450549451</v>
      </c>
      <c r="J3928" s="41">
        <v>0.131868132</v>
      </c>
      <c r="K3928" s="41">
        <v>0.417582418</v>
      </c>
      <c r="L3928" s="41"/>
      <c r="M3928" s="74">
        <v>-0.472748998</v>
      </c>
    </row>
    <row r="3929">
      <c r="A3929" s="1" t="s">
        <v>278</v>
      </c>
      <c r="B3929" s="38">
        <v>542881.0</v>
      </c>
      <c r="C3929" s="72">
        <v>45788.0</v>
      </c>
      <c r="D3929" s="38">
        <v>94.0</v>
      </c>
      <c r="E3929" s="75"/>
      <c r="F3929" s="67">
        <v>4.838389308</v>
      </c>
      <c r="G3929" s="40">
        <v>2.485080285</v>
      </c>
      <c r="H3929" s="40"/>
      <c r="I3929" s="41">
        <v>0.478723404</v>
      </c>
      <c r="J3929" s="41">
        <v>0.117021277</v>
      </c>
      <c r="K3929" s="41">
        <v>0.404255319</v>
      </c>
      <c r="L3929" s="41"/>
      <c r="M3929" s="74">
        <v>1.44034367</v>
      </c>
    </row>
    <row r="3930">
      <c r="A3930" s="1" t="s">
        <v>321</v>
      </c>
      <c r="B3930" s="38">
        <v>607200.0</v>
      </c>
      <c r="C3930" s="72">
        <v>45867.0</v>
      </c>
      <c r="D3930" s="38">
        <v>73.0</v>
      </c>
      <c r="E3930" s="75"/>
      <c r="F3930" s="67">
        <v>4.838289026</v>
      </c>
      <c r="G3930" s="40">
        <v>1.940854776</v>
      </c>
      <c r="H3930" s="40"/>
      <c r="I3930" s="41">
        <v>0.397260274</v>
      </c>
      <c r="J3930" s="41">
        <v>0.123287671</v>
      </c>
      <c r="K3930" s="41">
        <v>0.479452055</v>
      </c>
      <c r="L3930" s="41"/>
      <c r="M3930" s="74">
        <v>-0.247905173</v>
      </c>
    </row>
    <row r="3931">
      <c r="A3931" s="1" t="s">
        <v>308</v>
      </c>
      <c r="B3931" s="38">
        <v>676440.0</v>
      </c>
      <c r="C3931" s="72">
        <v>45850.0</v>
      </c>
      <c r="D3931" s="38">
        <v>87.0</v>
      </c>
      <c r="E3931" s="75"/>
      <c r="F3931" s="67">
        <v>4.838037885</v>
      </c>
      <c r="G3931" s="40">
        <v>2.297778945</v>
      </c>
      <c r="H3931" s="40"/>
      <c r="I3931" s="41">
        <v>0.436781609</v>
      </c>
      <c r="J3931" s="41">
        <v>0.149425287</v>
      </c>
      <c r="K3931" s="41">
        <v>0.413793103</v>
      </c>
      <c r="L3931" s="41"/>
      <c r="M3931" s="74">
        <v>-0.669302915</v>
      </c>
    </row>
    <row r="3932">
      <c r="A3932" s="1" t="s">
        <v>420</v>
      </c>
      <c r="B3932" s="38">
        <v>547179.0</v>
      </c>
      <c r="C3932" s="72">
        <v>45844.0</v>
      </c>
      <c r="D3932" s="38">
        <v>80.0</v>
      </c>
      <c r="E3932" s="75"/>
      <c r="F3932" s="67">
        <v>4.837749848</v>
      </c>
      <c r="G3932" s="40">
        <v>2.145238615</v>
      </c>
      <c r="H3932" s="40"/>
      <c r="I3932" s="41">
        <v>0.4125</v>
      </c>
      <c r="J3932" s="41">
        <v>0.2</v>
      </c>
      <c r="K3932" s="41">
        <v>0.3875</v>
      </c>
      <c r="L3932" s="41"/>
      <c r="M3932" s="74">
        <v>2.380055447</v>
      </c>
    </row>
    <row r="3933">
      <c r="A3933" s="1" t="s">
        <v>557</v>
      </c>
      <c r="B3933" s="38">
        <v>696149.0</v>
      </c>
      <c r="C3933" s="72">
        <v>45907.0</v>
      </c>
      <c r="D3933" s="38">
        <v>66.0</v>
      </c>
      <c r="E3933" s="75"/>
      <c r="F3933" s="67">
        <v>4.837682548</v>
      </c>
      <c r="G3933" s="40">
        <v>1.788045099</v>
      </c>
      <c r="H3933" s="40"/>
      <c r="I3933" s="41">
        <v>0.454545455</v>
      </c>
      <c r="J3933" s="41">
        <v>0.166666667</v>
      </c>
      <c r="K3933" s="41">
        <v>0.378787879</v>
      </c>
      <c r="L3933" s="41"/>
      <c r="M3933" s="74">
        <v>-4.659525569</v>
      </c>
    </row>
    <row r="3934">
      <c r="A3934" s="1" t="s">
        <v>477</v>
      </c>
      <c r="B3934" s="38">
        <v>677958.0</v>
      </c>
      <c r="C3934" s="72">
        <v>45842.0</v>
      </c>
      <c r="D3934" s="38">
        <v>80.0</v>
      </c>
      <c r="E3934" s="75"/>
      <c r="F3934" s="67">
        <v>4.837577703</v>
      </c>
      <c r="G3934" s="40">
        <v>2.114442553</v>
      </c>
      <c r="H3934" s="40"/>
      <c r="I3934" s="41">
        <v>0.4375</v>
      </c>
      <c r="J3934" s="41">
        <v>0.15</v>
      </c>
      <c r="K3934" s="41">
        <v>0.4125</v>
      </c>
      <c r="L3934" s="41"/>
      <c r="M3934" s="74">
        <v>0.726946509</v>
      </c>
    </row>
    <row r="3935">
      <c r="A3935" s="1" t="s">
        <v>453</v>
      </c>
      <c r="B3935" s="38">
        <v>592836.0</v>
      </c>
      <c r="C3935" s="72">
        <v>45807.0</v>
      </c>
      <c r="D3935" s="38">
        <v>87.0</v>
      </c>
      <c r="E3935" s="75"/>
      <c r="F3935" s="67">
        <v>4.837206974</v>
      </c>
      <c r="G3935" s="40">
        <v>2.298012696</v>
      </c>
      <c r="H3935" s="40"/>
      <c r="I3935" s="41">
        <v>0.344827586</v>
      </c>
      <c r="J3935" s="41">
        <v>0.275862069</v>
      </c>
      <c r="K3935" s="41">
        <v>0.379310345</v>
      </c>
      <c r="L3935" s="41"/>
      <c r="M3935" s="74">
        <v>-2.28932199</v>
      </c>
    </row>
    <row r="3936">
      <c r="A3936" s="1" t="s">
        <v>396</v>
      </c>
      <c r="B3936" s="38">
        <v>663623.0</v>
      </c>
      <c r="C3936" s="72">
        <v>45813.0</v>
      </c>
      <c r="D3936" s="38">
        <v>93.0</v>
      </c>
      <c r="E3936" s="75"/>
      <c r="F3936" s="67">
        <v>4.836905931</v>
      </c>
      <c r="G3936" s="40">
        <v>2.506125789</v>
      </c>
      <c r="H3936" s="40"/>
      <c r="I3936" s="41">
        <v>0.462365591</v>
      </c>
      <c r="J3936" s="41">
        <v>0.139784946</v>
      </c>
      <c r="K3936" s="41">
        <v>0.397849462</v>
      </c>
      <c r="L3936" s="41"/>
      <c r="M3936" s="74">
        <v>-2.07794091</v>
      </c>
    </row>
    <row r="3937">
      <c r="A3937" s="1" t="s">
        <v>470</v>
      </c>
      <c r="B3937" s="38">
        <v>681343.0</v>
      </c>
      <c r="C3937" s="72">
        <v>45876.0</v>
      </c>
      <c r="D3937" s="38">
        <v>73.0</v>
      </c>
      <c r="E3937" s="75"/>
      <c r="F3937" s="67">
        <v>4.83673011</v>
      </c>
      <c r="G3937" s="40">
        <v>1.924023437</v>
      </c>
      <c r="H3937" s="40"/>
      <c r="I3937" s="41">
        <v>0.438356164</v>
      </c>
      <c r="J3937" s="41">
        <v>0.109589041</v>
      </c>
      <c r="K3937" s="41">
        <v>0.452054795</v>
      </c>
      <c r="L3937" s="41"/>
      <c r="M3937" s="74">
        <v>-0.23599153</v>
      </c>
    </row>
    <row r="3938">
      <c r="A3938" s="1" t="s">
        <v>242</v>
      </c>
      <c r="B3938" s="38">
        <v>669358.0</v>
      </c>
      <c r="C3938" s="72">
        <v>45801.0</v>
      </c>
      <c r="D3938" s="38">
        <v>76.0</v>
      </c>
      <c r="E3938" s="75"/>
      <c r="F3938" s="67">
        <v>4.836494018</v>
      </c>
      <c r="G3938" s="40">
        <v>2.034204523</v>
      </c>
      <c r="H3938" s="40"/>
      <c r="I3938" s="41">
        <v>0.473684211</v>
      </c>
      <c r="J3938" s="41">
        <v>0.131578947</v>
      </c>
      <c r="K3938" s="41">
        <v>0.394736842</v>
      </c>
      <c r="L3938" s="41"/>
      <c r="M3938" s="74">
        <v>0.678600255</v>
      </c>
    </row>
    <row r="3939">
      <c r="A3939" s="1" t="s">
        <v>484</v>
      </c>
      <c r="B3939" s="38">
        <v>682847.0</v>
      </c>
      <c r="C3939" s="72">
        <v>45783.0</v>
      </c>
      <c r="D3939" s="38">
        <v>82.0</v>
      </c>
      <c r="E3939" s="75"/>
      <c r="F3939" s="67">
        <v>4.836475755</v>
      </c>
      <c r="G3939" s="40">
        <v>2.194601261</v>
      </c>
      <c r="H3939" s="40"/>
      <c r="I3939" s="41">
        <v>0.43902439</v>
      </c>
      <c r="J3939" s="41">
        <v>0.195121951</v>
      </c>
      <c r="K3939" s="41">
        <v>0.365853659</v>
      </c>
      <c r="L3939" s="41"/>
      <c r="M3939" s="74">
        <v>-0.998040094</v>
      </c>
    </row>
    <row r="3940">
      <c r="A3940" s="1" t="s">
        <v>459</v>
      </c>
      <c r="B3940" s="38">
        <v>664062.0</v>
      </c>
      <c r="C3940" s="72">
        <v>45788.0</v>
      </c>
      <c r="D3940" s="38">
        <v>83.0</v>
      </c>
      <c r="E3940" s="75"/>
      <c r="F3940" s="67">
        <v>4.836367958</v>
      </c>
      <c r="G3940" s="40">
        <v>2.203008891</v>
      </c>
      <c r="H3940" s="40"/>
      <c r="I3940" s="41">
        <v>0.397590361</v>
      </c>
      <c r="J3940" s="41">
        <v>0.192771084</v>
      </c>
      <c r="K3940" s="41">
        <v>0.409638554</v>
      </c>
      <c r="L3940" s="41"/>
      <c r="M3940" s="74">
        <v>1.618272415</v>
      </c>
    </row>
    <row r="3941">
      <c r="A3941" s="1" t="s">
        <v>336</v>
      </c>
      <c r="B3941" s="38">
        <v>605488.0</v>
      </c>
      <c r="C3941" s="72">
        <v>45812.0</v>
      </c>
      <c r="D3941" s="38">
        <v>104.0</v>
      </c>
      <c r="E3941" s="75"/>
      <c r="F3941" s="67">
        <v>4.836354345</v>
      </c>
      <c r="G3941" s="40">
        <v>2.761922023</v>
      </c>
      <c r="H3941" s="40"/>
      <c r="I3941" s="41">
        <v>0.471153846</v>
      </c>
      <c r="J3941" s="41">
        <v>0.125</v>
      </c>
      <c r="K3941" s="41">
        <v>0.403846154</v>
      </c>
      <c r="L3941" s="41"/>
      <c r="M3941" s="74">
        <v>1.438617911</v>
      </c>
    </row>
    <row r="3942">
      <c r="A3942" s="1" t="s">
        <v>474</v>
      </c>
      <c r="B3942" s="38">
        <v>450203.0</v>
      </c>
      <c r="C3942" s="72">
        <v>45803.0</v>
      </c>
      <c r="D3942" s="38">
        <v>84.0</v>
      </c>
      <c r="E3942" s="75"/>
      <c r="F3942" s="67">
        <v>4.835964792</v>
      </c>
      <c r="G3942" s="40">
        <v>2.250373339</v>
      </c>
      <c r="H3942" s="40"/>
      <c r="I3942" s="41">
        <v>0.452380952</v>
      </c>
      <c r="J3942" s="41">
        <v>0.154761905</v>
      </c>
      <c r="K3942" s="41">
        <v>0.392857143</v>
      </c>
      <c r="L3942" s="41"/>
      <c r="M3942" s="74">
        <v>1.083384318</v>
      </c>
    </row>
    <row r="3943">
      <c r="A3943" s="1" t="s">
        <v>522</v>
      </c>
      <c r="B3943" s="38">
        <v>808963.0</v>
      </c>
      <c r="C3943" s="72">
        <v>45780.0</v>
      </c>
      <c r="D3943" s="38">
        <v>94.0</v>
      </c>
      <c r="E3943" s="75"/>
      <c r="F3943" s="67">
        <v>4.835528492</v>
      </c>
      <c r="G3943" s="40">
        <v>2.5324154</v>
      </c>
      <c r="H3943" s="40"/>
      <c r="I3943" s="41">
        <v>0.446808511</v>
      </c>
      <c r="J3943" s="41">
        <v>0.223404255</v>
      </c>
      <c r="K3943" s="41">
        <v>0.329787234</v>
      </c>
      <c r="L3943" s="41"/>
      <c r="M3943" s="74">
        <v>0.726026938</v>
      </c>
    </row>
    <row r="3944">
      <c r="A3944" s="1" t="s">
        <v>495</v>
      </c>
      <c r="B3944" s="38">
        <v>801403.0</v>
      </c>
      <c r="C3944" s="72">
        <v>45759.0</v>
      </c>
      <c r="D3944" s="38">
        <v>92.0</v>
      </c>
      <c r="E3944" s="75"/>
      <c r="F3944" s="67">
        <v>4.835186861</v>
      </c>
      <c r="G3944" s="40">
        <v>2.430502595</v>
      </c>
      <c r="H3944" s="40"/>
      <c r="I3944" s="41">
        <v>0.456521739</v>
      </c>
      <c r="J3944" s="41">
        <v>0.173913043</v>
      </c>
      <c r="K3944" s="41">
        <v>0.369565217</v>
      </c>
      <c r="L3944" s="41"/>
      <c r="M3944" s="74">
        <v>1.6049487</v>
      </c>
    </row>
    <row r="3945">
      <c r="A3945" s="1" t="s">
        <v>245</v>
      </c>
      <c r="B3945" s="38">
        <v>571578.0</v>
      </c>
      <c r="C3945" s="72">
        <v>45856.0</v>
      </c>
      <c r="D3945" s="38">
        <v>90.0</v>
      </c>
      <c r="E3945" s="75"/>
      <c r="F3945" s="67">
        <v>4.835133731</v>
      </c>
      <c r="G3945" s="40">
        <v>2.374842331</v>
      </c>
      <c r="H3945" s="40"/>
      <c r="I3945" s="41">
        <v>0.422222222</v>
      </c>
      <c r="J3945" s="41">
        <v>0.177777778</v>
      </c>
      <c r="K3945" s="41">
        <v>0.4</v>
      </c>
      <c r="L3945" s="41"/>
      <c r="M3945" s="74">
        <v>2.266061076</v>
      </c>
    </row>
    <row r="3946">
      <c r="A3946" s="1" t="s">
        <v>466</v>
      </c>
      <c r="B3946" s="38">
        <v>687134.0</v>
      </c>
      <c r="C3946" s="72">
        <v>45850.0</v>
      </c>
      <c r="D3946" s="38">
        <v>75.0</v>
      </c>
      <c r="E3946" s="75"/>
      <c r="F3946" s="67">
        <v>4.835105059</v>
      </c>
      <c r="G3946" s="40">
        <v>1.990913866</v>
      </c>
      <c r="H3946" s="40"/>
      <c r="I3946" s="41">
        <v>0.466666667</v>
      </c>
      <c r="J3946" s="41">
        <v>0.186666667</v>
      </c>
      <c r="K3946" s="41">
        <v>0.346666667</v>
      </c>
      <c r="L3946" s="41"/>
      <c r="M3946" s="74">
        <v>-0.95107172</v>
      </c>
    </row>
    <row r="3947">
      <c r="A3947" s="1" t="s">
        <v>287</v>
      </c>
      <c r="B3947" s="38">
        <v>571945.0</v>
      </c>
      <c r="C3947" s="72">
        <v>45830.0</v>
      </c>
      <c r="D3947" s="38">
        <v>89.0</v>
      </c>
      <c r="E3947" s="75"/>
      <c r="F3947" s="67">
        <v>4.834980578</v>
      </c>
      <c r="G3947" s="40">
        <v>2.355555627</v>
      </c>
      <c r="H3947" s="40"/>
      <c r="I3947" s="41">
        <v>0.370786517</v>
      </c>
      <c r="J3947" s="41">
        <v>0.224719101</v>
      </c>
      <c r="K3947" s="41">
        <v>0.404494382</v>
      </c>
      <c r="L3947" s="41"/>
      <c r="M3947" s="74">
        <v>2.368975904</v>
      </c>
    </row>
    <row r="3948">
      <c r="A3948" s="1" t="s">
        <v>303</v>
      </c>
      <c r="B3948" s="38">
        <v>592662.0</v>
      </c>
      <c r="C3948" s="72">
        <v>45763.0</v>
      </c>
      <c r="D3948" s="38">
        <v>93.0</v>
      </c>
      <c r="E3948" s="75"/>
      <c r="F3948" s="67">
        <v>4.834755977</v>
      </c>
      <c r="G3948" s="40">
        <v>2.466528433</v>
      </c>
      <c r="H3948" s="40"/>
      <c r="I3948" s="41">
        <v>0.419354839</v>
      </c>
      <c r="J3948" s="41">
        <v>0.139784946</v>
      </c>
      <c r="K3948" s="41">
        <v>0.440860215</v>
      </c>
      <c r="L3948" s="41"/>
      <c r="M3948" s="74">
        <v>-2.544008077</v>
      </c>
    </row>
    <row r="3949">
      <c r="A3949" s="1" t="s">
        <v>300</v>
      </c>
      <c r="B3949" s="38">
        <v>506433.0</v>
      </c>
      <c r="C3949" s="72">
        <v>45845.0</v>
      </c>
      <c r="D3949" s="38">
        <v>63.0</v>
      </c>
      <c r="E3949" s="75"/>
      <c r="F3949" s="67">
        <v>4.834650695</v>
      </c>
      <c r="G3949" s="40">
        <v>1.67220641</v>
      </c>
      <c r="H3949" s="40"/>
      <c r="I3949" s="41">
        <v>0.412698413</v>
      </c>
      <c r="J3949" s="41">
        <v>0.238095238</v>
      </c>
      <c r="K3949" s="41">
        <v>0.349206349</v>
      </c>
      <c r="L3949" s="41"/>
      <c r="M3949" s="74">
        <v>0.666718548</v>
      </c>
    </row>
    <row r="3950">
      <c r="A3950" s="1" t="s">
        <v>335</v>
      </c>
      <c r="B3950" s="38">
        <v>663436.0</v>
      </c>
      <c r="C3950" s="72">
        <v>45879.0</v>
      </c>
      <c r="D3950" s="38">
        <v>96.0</v>
      </c>
      <c r="E3950" s="75"/>
      <c r="F3950" s="67">
        <v>4.834645101</v>
      </c>
      <c r="G3950" s="40">
        <v>2.552893236</v>
      </c>
      <c r="H3950" s="40"/>
      <c r="I3950" s="41">
        <v>0.427083333</v>
      </c>
      <c r="J3950" s="41">
        <v>0.177083333</v>
      </c>
      <c r="K3950" s="41">
        <v>0.395833333</v>
      </c>
      <c r="L3950" s="41"/>
      <c r="M3950" s="74">
        <v>0.805439456</v>
      </c>
    </row>
    <row r="3951">
      <c r="A3951" s="1" t="s">
        <v>399</v>
      </c>
      <c r="B3951" s="38">
        <v>543294.0</v>
      </c>
      <c r="C3951" s="72">
        <v>45786.0</v>
      </c>
      <c r="D3951" s="38">
        <v>96.0</v>
      </c>
      <c r="E3951" s="75"/>
      <c r="F3951" s="67">
        <v>4.83437039</v>
      </c>
      <c r="G3951" s="40">
        <v>2.545996615</v>
      </c>
      <c r="H3951" s="40"/>
      <c r="I3951" s="41">
        <v>0.364583333</v>
      </c>
      <c r="J3951" s="41">
        <v>0.1875</v>
      </c>
      <c r="K3951" s="41">
        <v>0.447916667</v>
      </c>
      <c r="L3951" s="41"/>
      <c r="M3951" s="74">
        <v>2.519907448</v>
      </c>
    </row>
    <row r="3952">
      <c r="A3952" s="1" t="s">
        <v>579</v>
      </c>
      <c r="B3952" s="38">
        <v>686730.0</v>
      </c>
      <c r="C3952" s="72">
        <v>45766.0</v>
      </c>
      <c r="D3952" s="38">
        <v>91.0</v>
      </c>
      <c r="E3952" s="75"/>
      <c r="F3952" s="67">
        <v>4.834311654</v>
      </c>
      <c r="G3952" s="40">
        <v>2.407456877</v>
      </c>
      <c r="H3952" s="40"/>
      <c r="I3952" s="41">
        <v>0.450549451</v>
      </c>
      <c r="J3952" s="41">
        <v>0.120879121</v>
      </c>
      <c r="K3952" s="41">
        <v>0.428571429</v>
      </c>
      <c r="L3952" s="41"/>
      <c r="M3952" s="74">
        <v>0.643209434</v>
      </c>
    </row>
    <row r="3953">
      <c r="A3953" s="1" t="s">
        <v>509</v>
      </c>
      <c r="B3953" s="38">
        <v>676106.0</v>
      </c>
      <c r="C3953" s="72">
        <v>45789.0</v>
      </c>
      <c r="D3953" s="38">
        <v>88.0</v>
      </c>
      <c r="E3953" s="75"/>
      <c r="F3953" s="67">
        <v>4.834087931</v>
      </c>
      <c r="G3953" s="40">
        <v>2.361451576</v>
      </c>
      <c r="H3953" s="40"/>
      <c r="I3953" s="41">
        <v>0.465909091</v>
      </c>
      <c r="J3953" s="41">
        <v>0.147727273</v>
      </c>
      <c r="K3953" s="41">
        <v>0.386363636</v>
      </c>
      <c r="L3953" s="41"/>
      <c r="M3953" s="74">
        <v>-2.094517993</v>
      </c>
    </row>
    <row r="3954">
      <c r="A3954" s="1" t="s">
        <v>615</v>
      </c>
      <c r="B3954" s="38">
        <v>622379.0</v>
      </c>
      <c r="C3954" s="72">
        <v>45751.0</v>
      </c>
      <c r="D3954" s="38">
        <v>66.0</v>
      </c>
      <c r="E3954" s="75"/>
      <c r="F3954" s="67">
        <v>4.834053194</v>
      </c>
      <c r="G3954" s="40">
        <v>1.761567974</v>
      </c>
      <c r="H3954" s="40"/>
      <c r="I3954" s="41">
        <v>0.393939394</v>
      </c>
      <c r="J3954" s="41">
        <v>0.166666667</v>
      </c>
      <c r="K3954" s="41">
        <v>0.439393939</v>
      </c>
      <c r="L3954" s="41"/>
      <c r="M3954" s="74">
        <v>-1.39317118</v>
      </c>
    </row>
    <row r="3955">
      <c r="A3955" s="1" t="s">
        <v>145</v>
      </c>
      <c r="B3955" s="38">
        <v>700241.0</v>
      </c>
      <c r="C3955" s="72">
        <v>45832.0</v>
      </c>
      <c r="D3955" s="38">
        <v>77.0</v>
      </c>
      <c r="E3955" s="75"/>
      <c r="F3955" s="67">
        <v>4.834015338</v>
      </c>
      <c r="G3955" s="40">
        <v>2.102202612</v>
      </c>
      <c r="H3955" s="40"/>
      <c r="I3955" s="41">
        <v>0.376623377</v>
      </c>
      <c r="J3955" s="41">
        <v>0.220779221</v>
      </c>
      <c r="K3955" s="41">
        <v>0.402597403</v>
      </c>
      <c r="L3955" s="41"/>
      <c r="M3955" s="74">
        <v>-1.203013239</v>
      </c>
    </row>
    <row r="3956">
      <c r="A3956" s="1" t="s">
        <v>329</v>
      </c>
      <c r="B3956" s="38">
        <v>669160.0</v>
      </c>
      <c r="C3956" s="72">
        <v>45849.0</v>
      </c>
      <c r="D3956" s="38">
        <v>85.0</v>
      </c>
      <c r="E3956" s="75"/>
      <c r="F3956" s="67">
        <v>4.833666838</v>
      </c>
      <c r="G3956" s="40">
        <v>2.272025504</v>
      </c>
      <c r="H3956" s="40"/>
      <c r="I3956" s="41">
        <v>0.435294118</v>
      </c>
      <c r="J3956" s="41">
        <v>0.141176471</v>
      </c>
      <c r="K3956" s="41">
        <v>0.423529412</v>
      </c>
      <c r="L3956" s="41"/>
      <c r="M3956" s="74">
        <v>-0.76004366</v>
      </c>
    </row>
    <row r="3957">
      <c r="A3957" s="1" t="s">
        <v>513</v>
      </c>
      <c r="B3957" s="38">
        <v>608566.0</v>
      </c>
      <c r="C3957" s="72">
        <v>45826.0</v>
      </c>
      <c r="D3957" s="38">
        <v>88.0</v>
      </c>
      <c r="E3957" s="75"/>
      <c r="F3957" s="67">
        <v>4.832025457</v>
      </c>
      <c r="G3957" s="40">
        <v>2.413005898</v>
      </c>
      <c r="H3957" s="40"/>
      <c r="I3957" s="41">
        <v>0.397727273</v>
      </c>
      <c r="J3957" s="41">
        <v>0.261363636</v>
      </c>
      <c r="K3957" s="41">
        <v>0.340909091</v>
      </c>
      <c r="L3957" s="41"/>
      <c r="M3957" s="74">
        <v>1.637451297</v>
      </c>
    </row>
    <row r="3958">
      <c r="A3958" s="1" t="s">
        <v>321</v>
      </c>
      <c r="B3958" s="38">
        <v>607200.0</v>
      </c>
      <c r="C3958" s="72">
        <v>45803.0</v>
      </c>
      <c r="D3958" s="38">
        <v>90.0</v>
      </c>
      <c r="E3958" s="75"/>
      <c r="F3958" s="67">
        <v>4.831915779</v>
      </c>
      <c r="G3958" s="40">
        <v>2.427257347</v>
      </c>
      <c r="H3958" s="40"/>
      <c r="I3958" s="41">
        <v>0.411111111</v>
      </c>
      <c r="J3958" s="41">
        <v>0.233333333</v>
      </c>
      <c r="K3958" s="41">
        <v>0.355555556</v>
      </c>
      <c r="L3958" s="41"/>
      <c r="M3958" s="74">
        <v>-1.406343184</v>
      </c>
    </row>
    <row r="3959">
      <c r="A3959" s="1" t="s">
        <v>155</v>
      </c>
      <c r="B3959" s="38">
        <v>592332.0</v>
      </c>
      <c r="C3959" s="72">
        <v>45875.0</v>
      </c>
      <c r="D3959" s="38">
        <v>97.0</v>
      </c>
      <c r="E3959" s="75"/>
      <c r="F3959" s="67">
        <v>4.831534169</v>
      </c>
      <c r="G3959" s="40">
        <v>2.614454953</v>
      </c>
      <c r="H3959" s="40"/>
      <c r="I3959" s="41">
        <v>0.340206186</v>
      </c>
      <c r="J3959" s="41">
        <v>0.319587629</v>
      </c>
      <c r="K3959" s="41">
        <v>0.340206186</v>
      </c>
      <c r="L3959" s="41"/>
      <c r="M3959" s="74">
        <v>4.456128726</v>
      </c>
    </row>
    <row r="3960">
      <c r="A3960" s="1" t="s">
        <v>272</v>
      </c>
      <c r="B3960" s="38">
        <v>622491.0</v>
      </c>
      <c r="C3960" s="72">
        <v>45826.0</v>
      </c>
      <c r="D3960" s="38">
        <v>85.0</v>
      </c>
      <c r="E3960" s="75"/>
      <c r="F3960" s="67">
        <v>4.831485712</v>
      </c>
      <c r="G3960" s="40">
        <v>2.295161728</v>
      </c>
      <c r="H3960" s="40"/>
      <c r="I3960" s="41">
        <v>0.4</v>
      </c>
      <c r="J3960" s="41">
        <v>0.247058824</v>
      </c>
      <c r="K3960" s="41">
        <v>0.352941176</v>
      </c>
      <c r="L3960" s="41"/>
      <c r="M3960" s="74">
        <v>1.625688487</v>
      </c>
    </row>
    <row r="3961">
      <c r="A3961" s="1" t="s">
        <v>450</v>
      </c>
      <c r="B3961" s="38">
        <v>682990.0</v>
      </c>
      <c r="C3961" s="72">
        <v>45879.0</v>
      </c>
      <c r="D3961" s="38">
        <v>70.0</v>
      </c>
      <c r="E3961" s="75"/>
      <c r="F3961" s="67">
        <v>4.831306133</v>
      </c>
      <c r="G3961" s="40">
        <v>1.89170908</v>
      </c>
      <c r="H3961" s="40"/>
      <c r="I3961" s="41">
        <v>0.4</v>
      </c>
      <c r="J3961" s="41">
        <v>0.2</v>
      </c>
      <c r="K3961" s="41">
        <v>0.4</v>
      </c>
      <c r="L3961" s="41"/>
      <c r="M3961" s="74">
        <v>-4.187057077</v>
      </c>
    </row>
    <row r="3962">
      <c r="A3962" s="1" t="s">
        <v>195</v>
      </c>
      <c r="B3962" s="38">
        <v>668678.0</v>
      </c>
      <c r="C3962" s="72">
        <v>45800.0</v>
      </c>
      <c r="D3962" s="38">
        <v>99.0</v>
      </c>
      <c r="E3962" s="75"/>
      <c r="F3962" s="67">
        <v>4.831148337</v>
      </c>
      <c r="G3962" s="40">
        <v>2.624647639</v>
      </c>
      <c r="H3962" s="40"/>
      <c r="I3962" s="41">
        <v>0.393939394</v>
      </c>
      <c r="J3962" s="41">
        <v>0.222222222</v>
      </c>
      <c r="K3962" s="41">
        <v>0.383838384</v>
      </c>
      <c r="L3962" s="41"/>
      <c r="M3962" s="74">
        <v>0.813799744</v>
      </c>
    </row>
    <row r="3963">
      <c r="A3963" s="1" t="s">
        <v>88</v>
      </c>
      <c r="B3963" s="38">
        <v>694973.0</v>
      </c>
      <c r="C3963" s="72">
        <v>45778.0</v>
      </c>
      <c r="D3963" s="38">
        <v>86.0</v>
      </c>
      <c r="E3963" s="75"/>
      <c r="F3963" s="67">
        <v>4.830890309</v>
      </c>
      <c r="G3963" s="40">
        <v>2.283112151</v>
      </c>
      <c r="H3963" s="40"/>
      <c r="I3963" s="41">
        <v>0.465116279</v>
      </c>
      <c r="J3963" s="41">
        <v>0.11627907</v>
      </c>
      <c r="K3963" s="41">
        <v>0.418604651</v>
      </c>
      <c r="L3963" s="41"/>
      <c r="M3963" s="74">
        <v>-0.853276157</v>
      </c>
    </row>
    <row r="3964">
      <c r="A3964" s="1" t="s">
        <v>574</v>
      </c>
      <c r="B3964" s="38">
        <v>694918.0</v>
      </c>
      <c r="C3964" s="72">
        <v>45781.0</v>
      </c>
      <c r="D3964" s="38">
        <v>82.0</v>
      </c>
      <c r="E3964" s="75"/>
      <c r="F3964" s="67">
        <v>4.829937758</v>
      </c>
      <c r="G3964" s="40">
        <v>2.215840329</v>
      </c>
      <c r="H3964" s="40"/>
      <c r="I3964" s="41">
        <v>0.512195122</v>
      </c>
      <c r="J3964" s="41">
        <v>0.109756098</v>
      </c>
      <c r="K3964" s="41">
        <v>0.37804878</v>
      </c>
      <c r="L3964" s="41"/>
      <c r="M3964" s="74">
        <v>-5.103007532</v>
      </c>
    </row>
    <row r="3965">
      <c r="A3965" s="1" t="s">
        <v>316</v>
      </c>
      <c r="B3965" s="38">
        <v>656427.0</v>
      </c>
      <c r="C3965" s="72">
        <v>45816.0</v>
      </c>
      <c r="D3965" s="38">
        <v>92.0</v>
      </c>
      <c r="E3965" s="75"/>
      <c r="F3965" s="67">
        <v>4.829380211</v>
      </c>
      <c r="G3965" s="40">
        <v>2.427301411</v>
      </c>
      <c r="H3965" s="40"/>
      <c r="I3965" s="41">
        <v>0.467391304</v>
      </c>
      <c r="J3965" s="41">
        <v>0.184782609</v>
      </c>
      <c r="K3965" s="41">
        <v>0.347826087</v>
      </c>
      <c r="L3965" s="41"/>
      <c r="M3965" s="74">
        <v>2.223914834</v>
      </c>
    </row>
    <row r="3966">
      <c r="A3966" s="1" t="s">
        <v>356</v>
      </c>
      <c r="B3966" s="38">
        <v>680732.0</v>
      </c>
      <c r="C3966" s="72">
        <v>45845.0</v>
      </c>
      <c r="D3966" s="38">
        <v>81.0</v>
      </c>
      <c r="E3966" s="75"/>
      <c r="F3966" s="67">
        <v>4.829065678</v>
      </c>
      <c r="G3966" s="40">
        <v>2.21271786</v>
      </c>
      <c r="H3966" s="40"/>
      <c r="I3966" s="41">
        <v>0.456790123</v>
      </c>
      <c r="J3966" s="41">
        <v>0.160493827</v>
      </c>
      <c r="K3966" s="41">
        <v>0.382716049</v>
      </c>
      <c r="L3966" s="41"/>
      <c r="M3966" s="74">
        <v>-1.691278551</v>
      </c>
    </row>
    <row r="3967">
      <c r="A3967" s="1" t="s">
        <v>405</v>
      </c>
      <c r="B3967" s="38">
        <v>621111.0</v>
      </c>
      <c r="C3967" s="72">
        <v>45751.0</v>
      </c>
      <c r="D3967" s="38">
        <v>81.0</v>
      </c>
      <c r="E3967" s="75"/>
      <c r="F3967" s="67">
        <v>4.82877312</v>
      </c>
      <c r="G3967" s="40">
        <v>2.18899122</v>
      </c>
      <c r="H3967" s="40"/>
      <c r="I3967" s="41">
        <v>0.382716049</v>
      </c>
      <c r="J3967" s="41">
        <v>0.185185185</v>
      </c>
      <c r="K3967" s="41">
        <v>0.432098765</v>
      </c>
      <c r="L3967" s="41"/>
      <c r="M3967" s="74">
        <v>-2.341029719</v>
      </c>
    </row>
    <row r="3968">
      <c r="A3968" s="1" t="s">
        <v>336</v>
      </c>
      <c r="B3968" s="38">
        <v>605488.0</v>
      </c>
      <c r="C3968" s="72">
        <v>45749.0</v>
      </c>
      <c r="D3968" s="38">
        <v>71.0</v>
      </c>
      <c r="E3968" s="75"/>
      <c r="F3968" s="67">
        <v>4.828427393</v>
      </c>
      <c r="G3968" s="40">
        <v>1.886492886</v>
      </c>
      <c r="H3968" s="40"/>
      <c r="I3968" s="41">
        <v>0.478873239</v>
      </c>
      <c r="J3968" s="41">
        <v>0.098591549</v>
      </c>
      <c r="K3968" s="41">
        <v>0.422535211</v>
      </c>
      <c r="L3968" s="41"/>
      <c r="M3968" s="74">
        <v>-0.736116207</v>
      </c>
    </row>
    <row r="3969">
      <c r="A3969" s="1" t="s">
        <v>413</v>
      </c>
      <c r="B3969" s="38">
        <v>671737.0</v>
      </c>
      <c r="C3969" s="72">
        <v>45821.0</v>
      </c>
      <c r="D3969" s="38">
        <v>84.0</v>
      </c>
      <c r="E3969" s="75"/>
      <c r="F3969" s="67">
        <v>4.828338093</v>
      </c>
      <c r="G3969" s="40">
        <v>2.254012268</v>
      </c>
      <c r="H3969" s="40"/>
      <c r="I3969" s="41">
        <v>0.428571429</v>
      </c>
      <c r="J3969" s="41">
        <v>0.130952381</v>
      </c>
      <c r="K3969" s="41">
        <v>0.44047619</v>
      </c>
      <c r="L3969" s="41"/>
      <c r="M3969" s="74">
        <v>0.664662404</v>
      </c>
    </row>
    <row r="3970">
      <c r="A3970" s="1" t="s">
        <v>287</v>
      </c>
      <c r="B3970" s="38">
        <v>571945.0</v>
      </c>
      <c r="C3970" s="72">
        <v>45813.0</v>
      </c>
      <c r="D3970" s="38">
        <v>89.0</v>
      </c>
      <c r="E3970" s="75"/>
      <c r="F3970" s="67">
        <v>4.828277587</v>
      </c>
      <c r="G3970" s="40">
        <v>2.416357696</v>
      </c>
      <c r="H3970" s="40"/>
      <c r="I3970" s="41">
        <v>0.370786517</v>
      </c>
      <c r="J3970" s="41">
        <v>0.179775281</v>
      </c>
      <c r="K3970" s="41">
        <v>0.449438202</v>
      </c>
      <c r="L3970" s="41"/>
      <c r="M3970" s="74">
        <v>-2.523137584</v>
      </c>
    </row>
    <row r="3971">
      <c r="A3971" s="1" t="s">
        <v>399</v>
      </c>
      <c r="B3971" s="38">
        <v>543294.0</v>
      </c>
      <c r="C3971" s="72">
        <v>45899.0</v>
      </c>
      <c r="D3971" s="38">
        <v>83.0</v>
      </c>
      <c r="E3971" s="75"/>
      <c r="F3971" s="67">
        <v>4.827832522</v>
      </c>
      <c r="G3971" s="40">
        <v>2.216992161</v>
      </c>
      <c r="H3971" s="40"/>
      <c r="I3971" s="41">
        <v>0.34939759</v>
      </c>
      <c r="J3971" s="41">
        <v>0.289156627</v>
      </c>
      <c r="K3971" s="41">
        <v>0.361445783</v>
      </c>
      <c r="L3971" s="41"/>
      <c r="M3971" s="74">
        <v>-1.43795134</v>
      </c>
    </row>
    <row r="3972">
      <c r="A3972" s="1" t="s">
        <v>453</v>
      </c>
      <c r="B3972" s="38">
        <v>592836.0</v>
      </c>
      <c r="C3972" s="72">
        <v>45846.0</v>
      </c>
      <c r="D3972" s="38">
        <v>60.0</v>
      </c>
      <c r="E3972" s="75"/>
      <c r="F3972" s="67">
        <v>4.827613154</v>
      </c>
      <c r="G3972" s="40">
        <v>1.602429694</v>
      </c>
      <c r="H3972" s="40"/>
      <c r="I3972" s="41">
        <v>0.45</v>
      </c>
      <c r="J3972" s="41">
        <v>0.216666667</v>
      </c>
      <c r="K3972" s="41">
        <v>0.333333333</v>
      </c>
      <c r="L3972" s="41"/>
      <c r="M3972" s="74">
        <v>2.709894083</v>
      </c>
    </row>
    <row r="3973">
      <c r="A3973" s="1" t="s">
        <v>364</v>
      </c>
      <c r="B3973" s="38">
        <v>693855.0</v>
      </c>
      <c r="C3973" s="72">
        <v>45928.0</v>
      </c>
      <c r="D3973" s="38">
        <v>76.0</v>
      </c>
      <c r="E3973" s="75"/>
      <c r="F3973" s="67">
        <v>4.827358715</v>
      </c>
      <c r="G3973" s="40">
        <v>2.004654743</v>
      </c>
      <c r="H3973" s="40"/>
      <c r="I3973" s="41">
        <v>0.447368421</v>
      </c>
      <c r="J3973" s="41">
        <v>0.236842105</v>
      </c>
      <c r="K3973" s="41">
        <v>0.315789474</v>
      </c>
      <c r="L3973" s="41"/>
      <c r="M3973" s="74">
        <v>-2.214805211</v>
      </c>
    </row>
    <row r="3974">
      <c r="A3974" s="1" t="s">
        <v>356</v>
      </c>
      <c r="B3974" s="38">
        <v>680732.0</v>
      </c>
      <c r="C3974" s="72">
        <v>45794.0</v>
      </c>
      <c r="D3974" s="38">
        <v>95.0</v>
      </c>
      <c r="E3974" s="75"/>
      <c r="F3974" s="67">
        <v>4.82727667</v>
      </c>
      <c r="G3974" s="40">
        <v>2.518906627</v>
      </c>
      <c r="H3974" s="40"/>
      <c r="I3974" s="41">
        <v>0.410526316</v>
      </c>
      <c r="J3974" s="41">
        <v>0.189473684</v>
      </c>
      <c r="K3974" s="41">
        <v>0.4</v>
      </c>
      <c r="L3974" s="41"/>
      <c r="M3974" s="74">
        <v>-2.73947347</v>
      </c>
    </row>
    <row r="3975">
      <c r="A3975" s="1" t="s">
        <v>510</v>
      </c>
      <c r="B3975" s="38">
        <v>702674.0</v>
      </c>
      <c r="C3975" s="72">
        <v>45908.0</v>
      </c>
      <c r="D3975" s="38">
        <v>99.0</v>
      </c>
      <c r="E3975" s="75"/>
      <c r="F3975" s="67">
        <v>4.826823836</v>
      </c>
      <c r="G3975" s="40">
        <v>2.644416471</v>
      </c>
      <c r="H3975" s="40"/>
      <c r="I3975" s="41">
        <v>0.525252525</v>
      </c>
      <c r="J3975" s="41">
        <v>0.111111111</v>
      </c>
      <c r="K3975" s="41">
        <v>0.363636364</v>
      </c>
      <c r="L3975" s="41"/>
      <c r="M3975" s="74">
        <v>0.238535798</v>
      </c>
    </row>
    <row r="3976">
      <c r="A3976" s="1" t="s">
        <v>419</v>
      </c>
      <c r="B3976" s="38">
        <v>681857.0</v>
      </c>
      <c r="C3976" s="72">
        <v>45862.0</v>
      </c>
      <c r="D3976" s="38">
        <v>94.0</v>
      </c>
      <c r="E3976" s="75"/>
      <c r="F3976" s="67">
        <v>4.825954217</v>
      </c>
      <c r="G3976" s="40">
        <v>2.544709335</v>
      </c>
      <c r="H3976" s="40"/>
      <c r="I3976" s="41">
        <v>0.382978723</v>
      </c>
      <c r="J3976" s="41">
        <v>0.20212766</v>
      </c>
      <c r="K3976" s="41">
        <v>0.414893617</v>
      </c>
      <c r="L3976" s="41"/>
      <c r="M3976" s="74">
        <v>-0.942786304</v>
      </c>
    </row>
    <row r="3977">
      <c r="A3977" s="1" t="s">
        <v>609</v>
      </c>
      <c r="B3977" s="38">
        <v>801139.0</v>
      </c>
      <c r="C3977" s="72">
        <v>45898.0</v>
      </c>
      <c r="D3977" s="38">
        <v>80.0</v>
      </c>
      <c r="E3977" s="75"/>
      <c r="F3977" s="67">
        <v>4.825801866</v>
      </c>
      <c r="G3977" s="40">
        <v>2.158930525</v>
      </c>
      <c r="H3977" s="40"/>
      <c r="I3977" s="41">
        <v>0.45</v>
      </c>
      <c r="J3977" s="41">
        <v>0.1875</v>
      </c>
      <c r="K3977" s="41">
        <v>0.3625</v>
      </c>
      <c r="L3977" s="41"/>
      <c r="M3977" s="74">
        <v>0.634227815</v>
      </c>
    </row>
    <row r="3978">
      <c r="A3978" s="1" t="s">
        <v>415</v>
      </c>
      <c r="B3978" s="38">
        <v>656794.0</v>
      </c>
      <c r="C3978" s="72">
        <v>45763.0</v>
      </c>
      <c r="D3978" s="38">
        <v>71.0</v>
      </c>
      <c r="E3978" s="75"/>
      <c r="F3978" s="67">
        <v>4.82579164</v>
      </c>
      <c r="G3978" s="40">
        <v>1.92213702</v>
      </c>
      <c r="H3978" s="40"/>
      <c r="I3978" s="41">
        <v>0.422535211</v>
      </c>
      <c r="J3978" s="41">
        <v>0.23943662</v>
      </c>
      <c r="K3978" s="41">
        <v>0.338028169</v>
      </c>
      <c r="L3978" s="41"/>
      <c r="M3978" s="74">
        <v>0.594159412</v>
      </c>
    </row>
    <row r="3979">
      <c r="A3979" s="1" t="s">
        <v>549</v>
      </c>
      <c r="B3979" s="38">
        <v>685326.0</v>
      </c>
      <c r="C3979" s="72">
        <v>45893.0</v>
      </c>
      <c r="D3979" s="38">
        <v>75.0</v>
      </c>
      <c r="E3979" s="75"/>
      <c r="F3979" s="67">
        <v>4.825458628</v>
      </c>
      <c r="G3979" s="40">
        <v>2.037382724</v>
      </c>
      <c r="H3979" s="40"/>
      <c r="I3979" s="41">
        <v>0.426666667</v>
      </c>
      <c r="J3979" s="41">
        <v>0.2</v>
      </c>
      <c r="K3979" s="41">
        <v>0.373333333</v>
      </c>
      <c r="L3979" s="41"/>
      <c r="M3979" s="74">
        <v>-0.178052697</v>
      </c>
    </row>
    <row r="3980">
      <c r="A3980" s="1" t="s">
        <v>278</v>
      </c>
      <c r="B3980" s="38">
        <v>542881.0</v>
      </c>
      <c r="C3980" s="72">
        <v>45891.0</v>
      </c>
      <c r="D3980" s="38">
        <v>80.0</v>
      </c>
      <c r="E3980" s="75"/>
      <c r="F3980" s="67">
        <v>4.825437345</v>
      </c>
      <c r="G3980" s="40">
        <v>2.127076483</v>
      </c>
      <c r="H3980" s="40"/>
      <c r="I3980" s="41">
        <v>0.375</v>
      </c>
      <c r="J3980" s="41">
        <v>0.2375</v>
      </c>
      <c r="K3980" s="41">
        <v>0.3875</v>
      </c>
      <c r="L3980" s="41"/>
      <c r="M3980" s="74">
        <v>1.917963349</v>
      </c>
    </row>
    <row r="3981">
      <c r="A3981" s="1" t="s">
        <v>341</v>
      </c>
      <c r="B3981" s="38">
        <v>676962.0</v>
      </c>
      <c r="C3981" s="72">
        <v>45766.0</v>
      </c>
      <c r="D3981" s="38">
        <v>99.0</v>
      </c>
      <c r="E3981" s="75"/>
      <c r="F3981" s="67">
        <v>4.824872625</v>
      </c>
      <c r="G3981" s="40">
        <v>2.655193931</v>
      </c>
      <c r="H3981" s="40"/>
      <c r="I3981" s="41">
        <v>0.454545455</v>
      </c>
      <c r="J3981" s="41">
        <v>0.191919192</v>
      </c>
      <c r="K3981" s="41">
        <v>0.353535354</v>
      </c>
      <c r="L3981" s="41"/>
      <c r="M3981" s="74">
        <v>2.107473389</v>
      </c>
    </row>
    <row r="3982">
      <c r="A3982" s="1" t="s">
        <v>490</v>
      </c>
      <c r="B3982" s="38">
        <v>680573.0</v>
      </c>
      <c r="C3982" s="72">
        <v>45748.0</v>
      </c>
      <c r="D3982" s="38">
        <v>80.0</v>
      </c>
      <c r="E3982" s="75"/>
      <c r="F3982" s="67">
        <v>4.824765859</v>
      </c>
      <c r="G3982" s="40">
        <v>2.138481017</v>
      </c>
      <c r="H3982" s="40"/>
      <c r="I3982" s="41">
        <v>0.425</v>
      </c>
      <c r="J3982" s="41">
        <v>0.175</v>
      </c>
      <c r="K3982" s="41">
        <v>0.4</v>
      </c>
      <c r="L3982" s="41"/>
      <c r="M3982" s="74">
        <v>0.327083331</v>
      </c>
    </row>
    <row r="3983">
      <c r="A3983" s="1" t="s">
        <v>497</v>
      </c>
      <c r="B3983" s="38">
        <v>678024.0</v>
      </c>
      <c r="C3983" s="72">
        <v>45877.0</v>
      </c>
      <c r="D3983" s="38">
        <v>60.0</v>
      </c>
      <c r="E3983" s="75"/>
      <c r="F3983" s="67">
        <v>4.824590614</v>
      </c>
      <c r="G3983" s="40">
        <v>1.613315445</v>
      </c>
      <c r="H3983" s="40"/>
      <c r="I3983" s="41">
        <v>0.45</v>
      </c>
      <c r="J3983" s="41">
        <v>0.083333333</v>
      </c>
      <c r="K3983" s="41">
        <v>0.466666667</v>
      </c>
      <c r="L3983" s="41"/>
      <c r="M3983" s="74">
        <v>1.380668946</v>
      </c>
    </row>
    <row r="3984">
      <c r="A3984" s="1" t="s">
        <v>194</v>
      </c>
      <c r="B3984" s="38">
        <v>666157.0</v>
      </c>
      <c r="C3984" s="72">
        <v>45774.0</v>
      </c>
      <c r="D3984" s="38">
        <v>90.0</v>
      </c>
      <c r="E3984" s="75"/>
      <c r="F3984" s="67">
        <v>4.824208671</v>
      </c>
      <c r="G3984" s="40">
        <v>2.430147769</v>
      </c>
      <c r="H3984" s="40"/>
      <c r="I3984" s="41">
        <v>0.411111111</v>
      </c>
      <c r="J3984" s="41">
        <v>0.2</v>
      </c>
      <c r="K3984" s="41">
        <v>0.388888889</v>
      </c>
      <c r="L3984" s="41"/>
      <c r="M3984" s="74">
        <v>4.265652245</v>
      </c>
    </row>
    <row r="3985">
      <c r="A3985" s="1" t="s">
        <v>130</v>
      </c>
      <c r="B3985" s="38">
        <v>666200.0</v>
      </c>
      <c r="C3985" s="72">
        <v>45813.0</v>
      </c>
      <c r="D3985" s="38">
        <v>61.0</v>
      </c>
      <c r="E3985" s="75"/>
      <c r="F3985" s="67">
        <v>4.824017629</v>
      </c>
      <c r="G3985" s="40">
        <v>1.651802729</v>
      </c>
      <c r="H3985" s="40"/>
      <c r="I3985" s="41">
        <v>0.426229508</v>
      </c>
      <c r="J3985" s="41">
        <v>0.213114754</v>
      </c>
      <c r="K3985" s="41">
        <v>0.360655738</v>
      </c>
      <c r="L3985" s="41"/>
      <c r="M3985" s="74">
        <v>-5.491079914</v>
      </c>
    </row>
    <row r="3986">
      <c r="A3986" s="1" t="s">
        <v>330</v>
      </c>
      <c r="B3986" s="38">
        <v>680730.0</v>
      </c>
      <c r="C3986" s="72">
        <v>45892.0</v>
      </c>
      <c r="D3986" s="38">
        <v>100.0</v>
      </c>
      <c r="E3986" s="75"/>
      <c r="F3986" s="67">
        <v>4.824001218</v>
      </c>
      <c r="G3986" s="40">
        <v>2.644410376</v>
      </c>
      <c r="H3986" s="40"/>
      <c r="I3986" s="41">
        <v>0.41</v>
      </c>
      <c r="J3986" s="41">
        <v>0.13</v>
      </c>
      <c r="K3986" s="41">
        <v>0.46</v>
      </c>
      <c r="L3986" s="41"/>
      <c r="M3986" s="74">
        <v>-0.697688769</v>
      </c>
    </row>
    <row r="3987">
      <c r="A3987" s="1" t="s">
        <v>399</v>
      </c>
      <c r="B3987" s="38">
        <v>543294.0</v>
      </c>
      <c r="C3987" s="72">
        <v>45914.0</v>
      </c>
      <c r="D3987" s="38">
        <v>67.0</v>
      </c>
      <c r="E3987" s="75"/>
      <c r="F3987" s="67">
        <v>4.823497198</v>
      </c>
      <c r="G3987" s="40">
        <v>1.784877937</v>
      </c>
      <c r="H3987" s="40"/>
      <c r="I3987" s="41">
        <v>0.402985075</v>
      </c>
      <c r="J3987" s="41">
        <v>0.253731343</v>
      </c>
      <c r="K3987" s="41">
        <v>0.343283582</v>
      </c>
      <c r="L3987" s="41"/>
      <c r="M3987" s="74">
        <v>-5.867066521</v>
      </c>
    </row>
    <row r="3988">
      <c r="A3988" s="1" t="s">
        <v>384</v>
      </c>
      <c r="B3988" s="38">
        <v>666214.0</v>
      </c>
      <c r="C3988" s="72">
        <v>45879.0</v>
      </c>
      <c r="D3988" s="38">
        <v>85.0</v>
      </c>
      <c r="E3988" s="75"/>
      <c r="F3988" s="67">
        <v>4.823386596</v>
      </c>
      <c r="G3988" s="40">
        <v>2.306466588</v>
      </c>
      <c r="H3988" s="40"/>
      <c r="I3988" s="41">
        <v>0.411764706</v>
      </c>
      <c r="J3988" s="41">
        <v>0.188235294</v>
      </c>
      <c r="K3988" s="41">
        <v>0.4</v>
      </c>
      <c r="L3988" s="41"/>
      <c r="M3988" s="74">
        <v>1.47089204</v>
      </c>
    </row>
    <row r="3989">
      <c r="A3989" s="1" t="s">
        <v>490</v>
      </c>
      <c r="B3989" s="38">
        <v>680573.0</v>
      </c>
      <c r="C3989" s="72">
        <v>45754.0</v>
      </c>
      <c r="D3989" s="38">
        <v>105.0</v>
      </c>
      <c r="E3989" s="75"/>
      <c r="F3989" s="67">
        <v>4.822753693</v>
      </c>
      <c r="G3989" s="40">
        <v>2.832870632</v>
      </c>
      <c r="H3989" s="40"/>
      <c r="I3989" s="41">
        <v>0.40952381</v>
      </c>
      <c r="J3989" s="41">
        <v>0.161904762</v>
      </c>
      <c r="K3989" s="41">
        <v>0.428571429</v>
      </c>
      <c r="L3989" s="41"/>
      <c r="M3989" s="74">
        <v>-2.307417402</v>
      </c>
    </row>
    <row r="3990">
      <c r="A3990" s="1" t="s">
        <v>472</v>
      </c>
      <c r="B3990" s="38">
        <v>675911.0</v>
      </c>
      <c r="C3990" s="72">
        <v>45816.0</v>
      </c>
      <c r="D3990" s="38">
        <v>87.0</v>
      </c>
      <c r="E3990" s="75"/>
      <c r="F3990" s="67">
        <v>4.822538639</v>
      </c>
      <c r="G3990" s="40">
        <v>2.33453278</v>
      </c>
      <c r="H3990" s="40"/>
      <c r="I3990" s="41">
        <v>0.471264368</v>
      </c>
      <c r="J3990" s="41">
        <v>0.137931034</v>
      </c>
      <c r="K3990" s="41">
        <v>0.390804598</v>
      </c>
      <c r="L3990" s="41"/>
      <c r="M3990" s="74">
        <v>0.284356069</v>
      </c>
    </row>
    <row r="3991">
      <c r="A3991" s="1" t="s">
        <v>470</v>
      </c>
      <c r="B3991" s="38">
        <v>681343.0</v>
      </c>
      <c r="C3991" s="72">
        <v>45818.0</v>
      </c>
      <c r="D3991" s="38">
        <v>86.0</v>
      </c>
      <c r="E3991" s="75"/>
      <c r="F3991" s="67">
        <v>4.822021573</v>
      </c>
      <c r="G3991" s="40">
        <v>2.315833605</v>
      </c>
      <c r="H3991" s="40"/>
      <c r="I3991" s="41">
        <v>0.395348837</v>
      </c>
      <c r="J3991" s="41">
        <v>0.186046512</v>
      </c>
      <c r="K3991" s="41">
        <v>0.418604651</v>
      </c>
      <c r="L3991" s="41"/>
      <c r="M3991" s="74">
        <v>-1.323395231</v>
      </c>
    </row>
    <row r="3992">
      <c r="A3992" s="1" t="s">
        <v>495</v>
      </c>
      <c r="B3992" s="38">
        <v>801403.0</v>
      </c>
      <c r="C3992" s="72">
        <v>45901.0</v>
      </c>
      <c r="D3992" s="38">
        <v>79.0</v>
      </c>
      <c r="E3992" s="75"/>
      <c r="F3992" s="67">
        <v>4.822003043</v>
      </c>
      <c r="G3992" s="40">
        <v>2.125815447</v>
      </c>
      <c r="H3992" s="40"/>
      <c r="I3992" s="41">
        <v>0.405063291</v>
      </c>
      <c r="J3992" s="41">
        <v>0.17721519</v>
      </c>
      <c r="K3992" s="41">
        <v>0.417721519</v>
      </c>
      <c r="L3992" s="41"/>
      <c r="M3992" s="74">
        <v>-0.646061473</v>
      </c>
    </row>
    <row r="3993">
      <c r="A3993" s="1" t="s">
        <v>491</v>
      </c>
      <c r="B3993" s="38">
        <v>650644.0</v>
      </c>
      <c r="C3993" s="72">
        <v>45799.0</v>
      </c>
      <c r="D3993" s="38">
        <v>71.0</v>
      </c>
      <c r="E3993" s="75"/>
      <c r="F3993" s="67">
        <v>4.821713556</v>
      </c>
      <c r="G3993" s="40">
        <v>1.902374121</v>
      </c>
      <c r="H3993" s="40"/>
      <c r="I3993" s="41">
        <v>0.450704225</v>
      </c>
      <c r="J3993" s="41">
        <v>0.169014085</v>
      </c>
      <c r="K3993" s="41">
        <v>0.38028169</v>
      </c>
      <c r="L3993" s="41"/>
      <c r="M3993" s="74">
        <v>-0.058350081</v>
      </c>
    </row>
    <row r="3994">
      <c r="A3994" s="1" t="s">
        <v>389</v>
      </c>
      <c r="B3994" s="38">
        <v>682052.0</v>
      </c>
      <c r="C3994" s="72">
        <v>45827.0</v>
      </c>
      <c r="D3994" s="38">
        <v>92.0</v>
      </c>
      <c r="E3994" s="75"/>
      <c r="F3994" s="67">
        <v>4.82129258</v>
      </c>
      <c r="G3994" s="40">
        <v>2.494397711</v>
      </c>
      <c r="H3994" s="40"/>
      <c r="I3994" s="41">
        <v>0.467391304</v>
      </c>
      <c r="J3994" s="41">
        <v>0.173913043</v>
      </c>
      <c r="K3994" s="41">
        <v>0.358695652</v>
      </c>
      <c r="L3994" s="41"/>
      <c r="M3994" s="74">
        <v>1.0706699</v>
      </c>
    </row>
    <row r="3995">
      <c r="A3995" s="1" t="s">
        <v>616</v>
      </c>
      <c r="B3995" s="38">
        <v>677976.0</v>
      </c>
      <c r="C3995" s="72">
        <v>45746.0</v>
      </c>
      <c r="D3995" s="38">
        <v>77.0</v>
      </c>
      <c r="E3995" s="75"/>
      <c r="F3995" s="67">
        <v>4.821157348</v>
      </c>
      <c r="G3995" s="40">
        <v>2.068557012</v>
      </c>
      <c r="H3995" s="40"/>
      <c r="I3995" s="41">
        <v>0.363636364</v>
      </c>
      <c r="J3995" s="41">
        <v>0.155844156</v>
      </c>
      <c r="K3995" s="41">
        <v>0.480519481</v>
      </c>
      <c r="L3995" s="41"/>
      <c r="M3995" s="74">
        <v>2.765405533</v>
      </c>
    </row>
    <row r="3996">
      <c r="A3996" s="1" t="s">
        <v>394</v>
      </c>
      <c r="B3996" s="38">
        <v>621121.0</v>
      </c>
      <c r="C3996" s="72">
        <v>45836.0</v>
      </c>
      <c r="D3996" s="38">
        <v>73.0</v>
      </c>
      <c r="E3996" s="75"/>
      <c r="F3996" s="67">
        <v>4.821048592</v>
      </c>
      <c r="G3996" s="40">
        <v>1.960839576</v>
      </c>
      <c r="H3996" s="40"/>
      <c r="I3996" s="41">
        <v>0.452054795</v>
      </c>
      <c r="J3996" s="41">
        <v>0.123287671</v>
      </c>
      <c r="K3996" s="41">
        <v>0.424657534</v>
      </c>
      <c r="L3996" s="41"/>
      <c r="M3996" s="74">
        <v>-3.468172767</v>
      </c>
    </row>
    <row r="3997">
      <c r="A3997" s="1" t="s">
        <v>246</v>
      </c>
      <c r="B3997" s="38">
        <v>571510.0</v>
      </c>
      <c r="C3997" s="72">
        <v>45752.0</v>
      </c>
      <c r="D3997" s="38">
        <v>83.0</v>
      </c>
      <c r="E3997" s="75"/>
      <c r="F3997" s="67">
        <v>4.820874137</v>
      </c>
      <c r="G3997" s="40">
        <v>2.26385537</v>
      </c>
      <c r="H3997" s="40"/>
      <c r="I3997" s="41">
        <v>0.421686747</v>
      </c>
      <c r="J3997" s="41">
        <v>0.240963855</v>
      </c>
      <c r="K3997" s="41">
        <v>0.337349398</v>
      </c>
      <c r="L3997" s="41"/>
      <c r="M3997" s="74">
        <v>-0.194573902</v>
      </c>
    </row>
    <row r="3998">
      <c r="A3998" s="1" t="s">
        <v>372</v>
      </c>
      <c r="B3998" s="38">
        <v>671106.0</v>
      </c>
      <c r="C3998" s="72">
        <v>45814.0</v>
      </c>
      <c r="D3998" s="38">
        <v>82.0</v>
      </c>
      <c r="E3998" s="75"/>
      <c r="F3998" s="67">
        <v>4.820756655</v>
      </c>
      <c r="G3998" s="40">
        <v>2.222396859</v>
      </c>
      <c r="H3998" s="40"/>
      <c r="I3998" s="41">
        <v>0.390243902</v>
      </c>
      <c r="J3998" s="41">
        <v>0.170731707</v>
      </c>
      <c r="K3998" s="41">
        <v>0.43902439</v>
      </c>
      <c r="L3998" s="41"/>
      <c r="M3998" s="74">
        <v>-2.941530337</v>
      </c>
    </row>
    <row r="3999">
      <c r="A3999" s="1" t="s">
        <v>434</v>
      </c>
      <c r="B3999" s="38">
        <v>690990.0</v>
      </c>
      <c r="C3999" s="72">
        <v>45798.0</v>
      </c>
      <c r="D3999" s="38">
        <v>92.0</v>
      </c>
      <c r="E3999" s="75"/>
      <c r="F3999" s="67">
        <v>4.820702169</v>
      </c>
      <c r="G3999" s="40">
        <v>2.471204088</v>
      </c>
      <c r="H3999" s="40"/>
      <c r="I3999" s="41">
        <v>0.380434783</v>
      </c>
      <c r="J3999" s="41">
        <v>0.206521739</v>
      </c>
      <c r="K3999" s="41">
        <v>0.413043478</v>
      </c>
      <c r="L3999" s="41"/>
      <c r="M3999" s="74">
        <v>-1.442818911</v>
      </c>
    </row>
    <row r="4000">
      <c r="A4000" s="1" t="s">
        <v>313</v>
      </c>
      <c r="B4000" s="38">
        <v>607067.0</v>
      </c>
      <c r="C4000" s="72">
        <v>45760.0</v>
      </c>
      <c r="D4000" s="38">
        <v>67.0</v>
      </c>
      <c r="E4000" s="75"/>
      <c r="F4000" s="67">
        <v>4.820656867</v>
      </c>
      <c r="G4000" s="40">
        <v>1.792808019</v>
      </c>
      <c r="H4000" s="40"/>
      <c r="I4000" s="41">
        <v>0.492537313</v>
      </c>
      <c r="J4000" s="41">
        <v>0.089552239</v>
      </c>
      <c r="K4000" s="41">
        <v>0.417910448</v>
      </c>
      <c r="L4000" s="41"/>
      <c r="M4000" s="74">
        <v>0.386570388</v>
      </c>
    </row>
    <row r="4001">
      <c r="A4001" s="1" t="s">
        <v>368</v>
      </c>
      <c r="B4001" s="38">
        <v>593958.0</v>
      </c>
      <c r="C4001" s="72">
        <v>45837.0</v>
      </c>
      <c r="D4001" s="38">
        <v>107.0</v>
      </c>
      <c r="E4001" s="75"/>
      <c r="F4001" s="67">
        <v>4.820522047</v>
      </c>
      <c r="G4001" s="40">
        <v>2.850647804</v>
      </c>
      <c r="H4001" s="40"/>
      <c r="I4001" s="41">
        <v>0.448598131</v>
      </c>
      <c r="J4001" s="41">
        <v>0.158878505</v>
      </c>
      <c r="K4001" s="41">
        <v>0.392523364</v>
      </c>
      <c r="L4001" s="41"/>
      <c r="M4001" s="74">
        <v>1.802333859</v>
      </c>
    </row>
    <row r="4002">
      <c r="A4002" s="1" t="s">
        <v>405</v>
      </c>
      <c r="B4002" s="38">
        <v>621111.0</v>
      </c>
      <c r="C4002" s="72">
        <v>45831.0</v>
      </c>
      <c r="D4002" s="38">
        <v>92.0</v>
      </c>
      <c r="E4002" s="75"/>
      <c r="F4002" s="67">
        <v>4.820508983</v>
      </c>
      <c r="G4002" s="40">
        <v>2.480667502</v>
      </c>
      <c r="H4002" s="40"/>
      <c r="I4002" s="41">
        <v>0.47826087</v>
      </c>
      <c r="J4002" s="41">
        <v>0.141304348</v>
      </c>
      <c r="K4002" s="41">
        <v>0.380434783</v>
      </c>
      <c r="L4002" s="41"/>
      <c r="M4002" s="74">
        <v>1.237063464</v>
      </c>
    </row>
    <row r="4003">
      <c r="A4003" s="1" t="s">
        <v>95</v>
      </c>
      <c r="B4003" s="38">
        <v>543243.0</v>
      </c>
      <c r="C4003" s="72">
        <v>45779.0</v>
      </c>
      <c r="D4003" s="38">
        <v>95.0</v>
      </c>
      <c r="E4003" s="75"/>
      <c r="F4003" s="67">
        <v>4.820364925</v>
      </c>
      <c r="G4003" s="40">
        <v>2.566038957</v>
      </c>
      <c r="H4003" s="40"/>
      <c r="I4003" s="41">
        <v>0.368421053</v>
      </c>
      <c r="J4003" s="41">
        <v>0.242105263</v>
      </c>
      <c r="K4003" s="41">
        <v>0.389473684</v>
      </c>
      <c r="L4003" s="41"/>
      <c r="M4003" s="74">
        <v>-1.83366285</v>
      </c>
    </row>
    <row r="4004">
      <c r="A4004" s="1" t="s">
        <v>294</v>
      </c>
      <c r="B4004" s="38">
        <v>665152.0</v>
      </c>
      <c r="C4004" s="72">
        <v>45820.0</v>
      </c>
      <c r="D4004" s="38">
        <v>100.0</v>
      </c>
      <c r="E4004" s="75"/>
      <c r="F4004" s="67">
        <v>4.820155092</v>
      </c>
      <c r="G4004" s="40">
        <v>2.695526031</v>
      </c>
      <c r="H4004" s="40"/>
      <c r="I4004" s="41">
        <v>0.41</v>
      </c>
      <c r="J4004" s="41">
        <v>0.17</v>
      </c>
      <c r="K4004" s="41">
        <v>0.42</v>
      </c>
      <c r="L4004" s="41"/>
      <c r="M4004" s="74">
        <v>0.944269242</v>
      </c>
    </row>
    <row r="4005">
      <c r="A4005" s="1" t="s">
        <v>383</v>
      </c>
      <c r="B4005" s="38">
        <v>573186.0</v>
      </c>
      <c r="C4005" s="72">
        <v>45869.0</v>
      </c>
      <c r="D4005" s="38">
        <v>74.0</v>
      </c>
      <c r="E4005" s="75"/>
      <c r="F4005" s="67">
        <v>4.820031715</v>
      </c>
      <c r="G4005" s="40">
        <v>2.018337607</v>
      </c>
      <c r="H4005" s="40"/>
      <c r="I4005" s="41">
        <v>0.472972973</v>
      </c>
      <c r="J4005" s="41">
        <v>0.121621622</v>
      </c>
      <c r="K4005" s="41">
        <v>0.405405405</v>
      </c>
      <c r="L4005" s="41"/>
      <c r="M4005" s="74">
        <v>-1.212831523</v>
      </c>
    </row>
    <row r="4006">
      <c r="A4006" s="1" t="s">
        <v>437</v>
      </c>
      <c r="B4006" s="38">
        <v>695418.0</v>
      </c>
      <c r="C4006" s="72">
        <v>45900.0</v>
      </c>
      <c r="D4006" s="38">
        <v>62.0</v>
      </c>
      <c r="E4006" s="75"/>
      <c r="F4006" s="67">
        <v>4.819778612</v>
      </c>
      <c r="G4006" s="40">
        <v>1.662415111</v>
      </c>
      <c r="H4006" s="40"/>
      <c r="I4006" s="41">
        <v>0.419354839</v>
      </c>
      <c r="J4006" s="41">
        <v>0.193548387</v>
      </c>
      <c r="K4006" s="41">
        <v>0.387096774</v>
      </c>
      <c r="L4006" s="41"/>
      <c r="M4006" s="74">
        <v>-1.764187866</v>
      </c>
    </row>
    <row r="4007">
      <c r="A4007" s="1" t="s">
        <v>461</v>
      </c>
      <c r="B4007" s="38">
        <v>673540.0</v>
      </c>
      <c r="C4007" s="72">
        <v>45894.0</v>
      </c>
      <c r="D4007" s="38">
        <v>92.0</v>
      </c>
      <c r="E4007" s="75"/>
      <c r="F4007" s="67">
        <v>4.819374468</v>
      </c>
      <c r="G4007" s="40">
        <v>2.493556329</v>
      </c>
      <c r="H4007" s="40"/>
      <c r="I4007" s="41">
        <v>0.456521739</v>
      </c>
      <c r="J4007" s="41">
        <v>0.184782609</v>
      </c>
      <c r="K4007" s="41">
        <v>0.358695652</v>
      </c>
      <c r="L4007" s="41"/>
      <c r="M4007" s="74">
        <v>-0.670326655</v>
      </c>
    </row>
    <row r="4008">
      <c r="A4008" s="1" t="s">
        <v>355</v>
      </c>
      <c r="B4008" s="38">
        <v>670912.0</v>
      </c>
      <c r="C4008" s="72">
        <v>45928.0</v>
      </c>
      <c r="D4008" s="38">
        <v>67.0</v>
      </c>
      <c r="E4008" s="75"/>
      <c r="F4008" s="67">
        <v>4.819273508</v>
      </c>
      <c r="G4008" s="40">
        <v>1.807187708</v>
      </c>
      <c r="H4008" s="40"/>
      <c r="I4008" s="41">
        <v>0.417910448</v>
      </c>
      <c r="J4008" s="41">
        <v>0.208955224</v>
      </c>
      <c r="K4008" s="41">
        <v>0.373134328</v>
      </c>
      <c r="L4008" s="41"/>
      <c r="M4008" s="74">
        <v>0.235252663</v>
      </c>
    </row>
    <row r="4009">
      <c r="A4009" s="1" t="s">
        <v>156</v>
      </c>
      <c r="B4009" s="38">
        <v>519242.0</v>
      </c>
      <c r="C4009" s="72">
        <v>45922.0</v>
      </c>
      <c r="D4009" s="38">
        <v>78.0</v>
      </c>
      <c r="E4009" s="75"/>
      <c r="F4009" s="67">
        <v>4.819154152</v>
      </c>
      <c r="G4009" s="40">
        <v>2.1010477</v>
      </c>
      <c r="H4009" s="40"/>
      <c r="I4009" s="41">
        <v>0.487179487</v>
      </c>
      <c r="J4009" s="41">
        <v>0.166666667</v>
      </c>
      <c r="K4009" s="41">
        <v>0.346153846</v>
      </c>
      <c r="L4009" s="41"/>
      <c r="M4009" s="74">
        <v>1.698090237</v>
      </c>
    </row>
    <row r="4010">
      <c r="A4010" s="1" t="s">
        <v>88</v>
      </c>
      <c r="B4010" s="38">
        <v>694973.0</v>
      </c>
      <c r="C4010" s="72">
        <v>45827.0</v>
      </c>
      <c r="D4010" s="38">
        <v>102.0</v>
      </c>
      <c r="E4010" s="75"/>
      <c r="F4010" s="67">
        <v>4.818645544</v>
      </c>
      <c r="G4010" s="40">
        <v>2.743736904</v>
      </c>
      <c r="H4010" s="40"/>
      <c r="I4010" s="41">
        <v>0.470588235</v>
      </c>
      <c r="J4010" s="41">
        <v>0.147058824</v>
      </c>
      <c r="K4010" s="41">
        <v>0.382352941</v>
      </c>
      <c r="L4010" s="41"/>
      <c r="M4010" s="74">
        <v>2.646643009</v>
      </c>
    </row>
    <row r="4011">
      <c r="A4011" s="1" t="s">
        <v>420</v>
      </c>
      <c r="B4011" s="38">
        <v>547179.0</v>
      </c>
      <c r="C4011" s="72">
        <v>45839.0</v>
      </c>
      <c r="D4011" s="38">
        <v>84.0</v>
      </c>
      <c r="E4011" s="75"/>
      <c r="F4011" s="67">
        <v>4.818472361</v>
      </c>
      <c r="G4011" s="40">
        <v>2.24707839</v>
      </c>
      <c r="H4011" s="40"/>
      <c r="I4011" s="41">
        <v>0.392857143</v>
      </c>
      <c r="J4011" s="41">
        <v>0.154761905</v>
      </c>
      <c r="K4011" s="41">
        <v>0.452380952</v>
      </c>
      <c r="L4011" s="41"/>
      <c r="M4011" s="74">
        <v>0.784376986</v>
      </c>
    </row>
    <row r="4012">
      <c r="A4012" s="1" t="s">
        <v>450</v>
      </c>
      <c r="B4012" s="38">
        <v>682990.0</v>
      </c>
      <c r="C4012" s="72">
        <v>45905.0</v>
      </c>
      <c r="D4012" s="38">
        <v>93.0</v>
      </c>
      <c r="E4012" s="75"/>
      <c r="F4012" s="67">
        <v>4.818312881</v>
      </c>
      <c r="G4012" s="40">
        <v>2.55005987</v>
      </c>
      <c r="H4012" s="40"/>
      <c r="I4012" s="41">
        <v>0.408602151</v>
      </c>
      <c r="J4012" s="41">
        <v>0.215053763</v>
      </c>
      <c r="K4012" s="41">
        <v>0.376344086</v>
      </c>
      <c r="L4012" s="41"/>
      <c r="M4012" s="74">
        <v>0.686343173</v>
      </c>
    </row>
    <row r="4013">
      <c r="A4013" s="1" t="s">
        <v>513</v>
      </c>
      <c r="B4013" s="38">
        <v>608566.0</v>
      </c>
      <c r="C4013" s="72">
        <v>45837.0</v>
      </c>
      <c r="D4013" s="38">
        <v>98.0</v>
      </c>
      <c r="E4013" s="75"/>
      <c r="F4013" s="67">
        <v>4.818041238</v>
      </c>
      <c r="G4013" s="40">
        <v>2.622414419</v>
      </c>
      <c r="H4013" s="40"/>
      <c r="I4013" s="41">
        <v>0.428571429</v>
      </c>
      <c r="J4013" s="41">
        <v>0.234693878</v>
      </c>
      <c r="K4013" s="41">
        <v>0.336734694</v>
      </c>
      <c r="L4013" s="41"/>
      <c r="M4013" s="74">
        <v>3.619226814</v>
      </c>
    </row>
    <row r="4014">
      <c r="A4014" s="1" t="s">
        <v>57</v>
      </c>
      <c r="B4014" s="38">
        <v>594798.0</v>
      </c>
      <c r="C4014" s="72">
        <v>45872.0</v>
      </c>
      <c r="D4014" s="38">
        <v>94.0</v>
      </c>
      <c r="E4014" s="75"/>
      <c r="F4014" s="67">
        <v>4.817468592</v>
      </c>
      <c r="G4014" s="40">
        <v>2.526826956</v>
      </c>
      <c r="H4014" s="40"/>
      <c r="I4014" s="41">
        <v>0.436170213</v>
      </c>
      <c r="J4014" s="41">
        <v>0.170212766</v>
      </c>
      <c r="K4014" s="41">
        <v>0.393617021</v>
      </c>
      <c r="L4014" s="41"/>
      <c r="M4014" s="74">
        <v>1.451457502</v>
      </c>
    </row>
    <row r="4015">
      <c r="A4015" s="1" t="s">
        <v>461</v>
      </c>
      <c r="B4015" s="38">
        <v>673540.0</v>
      </c>
      <c r="C4015" s="72">
        <v>45859.0</v>
      </c>
      <c r="D4015" s="38">
        <v>71.0</v>
      </c>
      <c r="E4015" s="75"/>
      <c r="F4015" s="67">
        <v>4.817371442</v>
      </c>
      <c r="G4015" s="40">
        <v>1.922094667</v>
      </c>
      <c r="H4015" s="40"/>
      <c r="I4015" s="41">
        <v>0.464788732</v>
      </c>
      <c r="J4015" s="41">
        <v>0.126760563</v>
      </c>
      <c r="K4015" s="41">
        <v>0.408450704</v>
      </c>
      <c r="L4015" s="41"/>
      <c r="M4015" s="74">
        <v>-0.160606829</v>
      </c>
    </row>
    <row r="4016">
      <c r="A4016" s="1" t="s">
        <v>229</v>
      </c>
      <c r="B4016" s="38">
        <v>645261.0</v>
      </c>
      <c r="C4016" s="72">
        <v>45918.0</v>
      </c>
      <c r="D4016" s="38">
        <v>100.0</v>
      </c>
      <c r="E4016" s="75"/>
      <c r="F4016" s="67">
        <v>4.817128729</v>
      </c>
      <c r="G4016" s="40">
        <v>2.680430683</v>
      </c>
      <c r="H4016" s="40"/>
      <c r="I4016" s="41">
        <v>0.42</v>
      </c>
      <c r="J4016" s="41">
        <v>0.18</v>
      </c>
      <c r="K4016" s="41">
        <v>0.4</v>
      </c>
      <c r="L4016" s="41"/>
      <c r="M4016" s="74">
        <v>2.732065478</v>
      </c>
    </row>
    <row r="4017">
      <c r="A4017" s="1" t="s">
        <v>509</v>
      </c>
      <c r="B4017" s="38">
        <v>676106.0</v>
      </c>
      <c r="C4017" s="72">
        <v>45817.0</v>
      </c>
      <c r="D4017" s="38">
        <v>83.0</v>
      </c>
      <c r="E4017" s="75"/>
      <c r="F4017" s="67">
        <v>4.816890656</v>
      </c>
      <c r="G4017" s="40">
        <v>2.259220187</v>
      </c>
      <c r="H4017" s="40"/>
      <c r="I4017" s="41">
        <v>0.385542169</v>
      </c>
      <c r="J4017" s="41">
        <v>0.204819277</v>
      </c>
      <c r="K4017" s="41">
        <v>0.409638554</v>
      </c>
      <c r="L4017" s="41"/>
      <c r="M4017" s="74">
        <v>-1.385272598</v>
      </c>
    </row>
    <row r="4018">
      <c r="A4018" s="1" t="s">
        <v>300</v>
      </c>
      <c r="B4018" s="38">
        <v>506433.0</v>
      </c>
      <c r="C4018" s="72">
        <v>45862.0</v>
      </c>
      <c r="D4018" s="38">
        <v>66.0</v>
      </c>
      <c r="E4018" s="75"/>
      <c r="F4018" s="67">
        <v>4.816826714</v>
      </c>
      <c r="G4018" s="40">
        <v>1.79559805</v>
      </c>
      <c r="H4018" s="40"/>
      <c r="I4018" s="41">
        <v>0.393939394</v>
      </c>
      <c r="J4018" s="41">
        <v>0.166666667</v>
      </c>
      <c r="K4018" s="41">
        <v>0.439393939</v>
      </c>
      <c r="L4018" s="41"/>
      <c r="M4018" s="74">
        <v>-3.065516964</v>
      </c>
    </row>
    <row r="4019">
      <c r="A4019" s="1" t="s">
        <v>419</v>
      </c>
      <c r="B4019" s="38">
        <v>681857.0</v>
      </c>
      <c r="C4019" s="72">
        <v>45745.0</v>
      </c>
      <c r="D4019" s="38">
        <v>92.0</v>
      </c>
      <c r="E4019" s="75"/>
      <c r="F4019" s="67">
        <v>4.816726764</v>
      </c>
      <c r="G4019" s="40">
        <v>2.443266094</v>
      </c>
      <c r="H4019" s="40"/>
      <c r="I4019" s="41">
        <v>0.391304348</v>
      </c>
      <c r="J4019" s="41">
        <v>0.217391304</v>
      </c>
      <c r="K4019" s="41">
        <v>0.391304348</v>
      </c>
      <c r="L4019" s="41"/>
      <c r="M4019" s="74">
        <v>0.929755785</v>
      </c>
    </row>
    <row r="4020">
      <c r="A4020" s="1" t="s">
        <v>189</v>
      </c>
      <c r="B4020" s="38">
        <v>607536.0</v>
      </c>
      <c r="C4020" s="72">
        <v>45790.0</v>
      </c>
      <c r="D4020" s="38">
        <v>81.0</v>
      </c>
      <c r="E4020" s="75"/>
      <c r="F4020" s="67">
        <v>4.816337203</v>
      </c>
      <c r="G4020" s="40">
        <v>2.211031621</v>
      </c>
      <c r="H4020" s="40"/>
      <c r="I4020" s="41">
        <v>0.345679012</v>
      </c>
      <c r="J4020" s="41">
        <v>0.259259259</v>
      </c>
      <c r="K4020" s="41">
        <v>0.395061728</v>
      </c>
      <c r="L4020" s="41"/>
      <c r="M4020" s="74">
        <v>-0.176137172</v>
      </c>
    </row>
    <row r="4021">
      <c r="A4021" s="1" t="s">
        <v>509</v>
      </c>
      <c r="B4021" s="38">
        <v>676106.0</v>
      </c>
      <c r="C4021" s="72">
        <v>45794.0</v>
      </c>
      <c r="D4021" s="38">
        <v>84.0</v>
      </c>
      <c r="E4021" s="75"/>
      <c r="F4021" s="67">
        <v>4.816209311</v>
      </c>
      <c r="G4021" s="40">
        <v>2.282079699</v>
      </c>
      <c r="H4021" s="40"/>
      <c r="I4021" s="41">
        <v>0.44047619</v>
      </c>
      <c r="J4021" s="41">
        <v>0.142857143</v>
      </c>
      <c r="K4021" s="41">
        <v>0.416666667</v>
      </c>
      <c r="L4021" s="41"/>
      <c r="M4021" s="74">
        <v>-0.646043575</v>
      </c>
    </row>
    <row r="4022">
      <c r="A4022" s="1" t="s">
        <v>617</v>
      </c>
      <c r="B4022" s="38">
        <v>691951.0</v>
      </c>
      <c r="C4022" s="72">
        <v>45928.0</v>
      </c>
      <c r="D4022" s="38">
        <v>94.0</v>
      </c>
      <c r="E4022" s="75"/>
      <c r="F4022" s="67">
        <v>4.816094484</v>
      </c>
      <c r="G4022" s="40">
        <v>2.527743382</v>
      </c>
      <c r="H4022" s="40"/>
      <c r="I4022" s="41">
        <v>0.393617021</v>
      </c>
      <c r="J4022" s="41">
        <v>0.255319149</v>
      </c>
      <c r="K4022" s="41">
        <v>0.35106383</v>
      </c>
      <c r="L4022" s="41"/>
      <c r="M4022" s="74">
        <v>-0.455801793</v>
      </c>
    </row>
    <row r="4023">
      <c r="A4023" s="1" t="s">
        <v>376</v>
      </c>
      <c r="B4023" s="38">
        <v>668909.0</v>
      </c>
      <c r="C4023" s="72">
        <v>45786.0</v>
      </c>
      <c r="D4023" s="38">
        <v>95.0</v>
      </c>
      <c r="E4023" s="75"/>
      <c r="F4023" s="67">
        <v>4.815027818</v>
      </c>
      <c r="G4023" s="40">
        <v>2.527843268</v>
      </c>
      <c r="H4023" s="40"/>
      <c r="I4023" s="41">
        <v>0.463157895</v>
      </c>
      <c r="J4023" s="41">
        <v>0.126315789</v>
      </c>
      <c r="K4023" s="41">
        <v>0.410526316</v>
      </c>
      <c r="L4023" s="41"/>
      <c r="M4023" s="74">
        <v>0.158027115</v>
      </c>
    </row>
    <row r="4024">
      <c r="A4024" s="1" t="s">
        <v>618</v>
      </c>
      <c r="B4024" s="38">
        <v>802419.0</v>
      </c>
      <c r="C4024" s="72">
        <v>45748.0</v>
      </c>
      <c r="D4024" s="38">
        <v>89.0</v>
      </c>
      <c r="E4024" s="75"/>
      <c r="F4024" s="67">
        <v>4.814821654</v>
      </c>
      <c r="G4024" s="40">
        <v>2.409226227</v>
      </c>
      <c r="H4024" s="40"/>
      <c r="I4024" s="41">
        <v>0.460674157</v>
      </c>
      <c r="J4024" s="41">
        <v>0.146067416</v>
      </c>
      <c r="K4024" s="41">
        <v>0.393258427</v>
      </c>
      <c r="L4024" s="41"/>
      <c r="M4024" s="74">
        <v>-1.991581819</v>
      </c>
    </row>
    <row r="4025">
      <c r="A4025" s="1" t="s">
        <v>607</v>
      </c>
      <c r="B4025" s="38">
        <v>815083.0</v>
      </c>
      <c r="C4025" s="72">
        <v>45925.0</v>
      </c>
      <c r="D4025" s="38">
        <v>79.0</v>
      </c>
      <c r="E4025" s="75"/>
      <c r="F4025" s="67">
        <v>4.814802477</v>
      </c>
      <c r="G4025" s="40">
        <v>2.114278649</v>
      </c>
      <c r="H4025" s="40"/>
      <c r="I4025" s="41">
        <v>0.455696203</v>
      </c>
      <c r="J4025" s="41">
        <v>0.17721519</v>
      </c>
      <c r="K4025" s="41">
        <v>0.367088608</v>
      </c>
      <c r="L4025" s="41"/>
      <c r="M4025" s="74">
        <v>-1.373114929</v>
      </c>
    </row>
    <row r="4026">
      <c r="A4026" s="1" t="s">
        <v>290</v>
      </c>
      <c r="B4026" s="38">
        <v>669461.0</v>
      </c>
      <c r="C4026" s="72">
        <v>45789.0</v>
      </c>
      <c r="D4026" s="38">
        <v>79.0</v>
      </c>
      <c r="E4026" s="75"/>
      <c r="F4026" s="67">
        <v>4.81468299</v>
      </c>
      <c r="G4026" s="40">
        <v>2.15863289</v>
      </c>
      <c r="H4026" s="40"/>
      <c r="I4026" s="41">
        <v>0.367088608</v>
      </c>
      <c r="J4026" s="41">
        <v>0.202531646</v>
      </c>
      <c r="K4026" s="41">
        <v>0.430379747</v>
      </c>
      <c r="L4026" s="41"/>
      <c r="M4026" s="74">
        <v>-2.59923034</v>
      </c>
    </row>
    <row r="4027">
      <c r="A4027" s="1" t="s">
        <v>263</v>
      </c>
      <c r="B4027" s="38">
        <v>694297.0</v>
      </c>
      <c r="C4027" s="72">
        <v>45873.0</v>
      </c>
      <c r="D4027" s="38">
        <v>86.0</v>
      </c>
      <c r="E4027" s="75"/>
      <c r="F4027" s="67">
        <v>4.814578803</v>
      </c>
      <c r="G4027" s="40">
        <v>2.339793075</v>
      </c>
      <c r="H4027" s="40"/>
      <c r="I4027" s="41">
        <v>0.38372093</v>
      </c>
      <c r="J4027" s="41">
        <v>0.197674419</v>
      </c>
      <c r="K4027" s="41">
        <v>0.418604651</v>
      </c>
      <c r="L4027" s="41"/>
      <c r="M4027" s="74">
        <v>1.968598423</v>
      </c>
    </row>
    <row r="4028">
      <c r="A4028" s="1" t="s">
        <v>425</v>
      </c>
      <c r="B4028" s="38">
        <v>621244.0</v>
      </c>
      <c r="C4028" s="72">
        <v>45863.0</v>
      </c>
      <c r="D4028" s="38">
        <v>83.0</v>
      </c>
      <c r="E4028" s="75"/>
      <c r="F4028" s="67">
        <v>4.814306882</v>
      </c>
      <c r="G4028" s="40">
        <v>2.262526158</v>
      </c>
      <c r="H4028" s="40"/>
      <c r="I4028" s="41">
        <v>0.397590361</v>
      </c>
      <c r="J4028" s="41">
        <v>0.168674699</v>
      </c>
      <c r="K4028" s="41">
        <v>0.43373494</v>
      </c>
      <c r="L4028" s="41"/>
      <c r="M4028" s="74">
        <v>-0.854875843</v>
      </c>
    </row>
    <row r="4029">
      <c r="A4029" s="1" t="s">
        <v>413</v>
      </c>
      <c r="B4029" s="38">
        <v>671737.0</v>
      </c>
      <c r="C4029" s="72">
        <v>45758.0</v>
      </c>
      <c r="D4029" s="38">
        <v>91.0</v>
      </c>
      <c r="E4029" s="75"/>
      <c r="F4029" s="67">
        <v>4.814103611</v>
      </c>
      <c r="G4029" s="40">
        <v>2.441466101</v>
      </c>
      <c r="H4029" s="40"/>
      <c r="I4029" s="41">
        <v>0.450549451</v>
      </c>
      <c r="J4029" s="41">
        <v>0.120879121</v>
      </c>
      <c r="K4029" s="41">
        <v>0.428571429</v>
      </c>
      <c r="L4029" s="41"/>
      <c r="M4029" s="74">
        <v>-0.958860418</v>
      </c>
    </row>
    <row r="4030">
      <c r="A4030" s="1" t="s">
        <v>452</v>
      </c>
      <c r="B4030" s="38">
        <v>607625.0</v>
      </c>
      <c r="C4030" s="72">
        <v>45820.0</v>
      </c>
      <c r="D4030" s="38">
        <v>70.0</v>
      </c>
      <c r="E4030" s="75"/>
      <c r="F4030" s="67">
        <v>4.813954396</v>
      </c>
      <c r="G4030" s="40">
        <v>1.915487797</v>
      </c>
      <c r="H4030" s="40"/>
      <c r="I4030" s="41">
        <v>0.4</v>
      </c>
      <c r="J4030" s="41">
        <v>0.228571429</v>
      </c>
      <c r="K4030" s="41">
        <v>0.371428571</v>
      </c>
      <c r="L4030" s="41"/>
      <c r="M4030" s="74">
        <v>2.230385684</v>
      </c>
    </row>
    <row r="4031">
      <c r="A4031" s="1" t="s">
        <v>405</v>
      </c>
      <c r="B4031" s="38">
        <v>621111.0</v>
      </c>
      <c r="C4031" s="72">
        <v>45837.0</v>
      </c>
      <c r="D4031" s="38">
        <v>72.0</v>
      </c>
      <c r="E4031" s="75"/>
      <c r="F4031" s="67">
        <v>4.813756788</v>
      </c>
      <c r="G4031" s="40">
        <v>1.963643371</v>
      </c>
      <c r="H4031" s="40"/>
      <c r="I4031" s="41">
        <v>0.527777778</v>
      </c>
      <c r="J4031" s="41">
        <v>0.097222222</v>
      </c>
      <c r="K4031" s="41">
        <v>0.375</v>
      </c>
      <c r="L4031" s="41"/>
      <c r="M4031" s="74">
        <v>-0.853101254</v>
      </c>
    </row>
    <row r="4032">
      <c r="A4032" s="1" t="s">
        <v>462</v>
      </c>
      <c r="B4032" s="38">
        <v>623167.0</v>
      </c>
      <c r="C4032" s="72">
        <v>45843.0</v>
      </c>
      <c r="D4032" s="38">
        <v>64.0</v>
      </c>
      <c r="E4032" s="75"/>
      <c r="F4032" s="67">
        <v>4.813600124</v>
      </c>
      <c r="G4032" s="40">
        <v>1.765595079</v>
      </c>
      <c r="H4032" s="40"/>
      <c r="I4032" s="41">
        <v>0.328125</v>
      </c>
      <c r="J4032" s="41">
        <v>0.28125</v>
      </c>
      <c r="K4032" s="41">
        <v>0.390625</v>
      </c>
      <c r="L4032" s="41"/>
      <c r="M4032" s="74">
        <v>0.51327642</v>
      </c>
    </row>
    <row r="4033">
      <c r="A4033" s="1" t="s">
        <v>201</v>
      </c>
      <c r="B4033" s="38">
        <v>675512.0</v>
      </c>
      <c r="C4033" s="72">
        <v>45861.0</v>
      </c>
      <c r="D4033" s="38">
        <v>85.0</v>
      </c>
      <c r="E4033" s="75"/>
      <c r="F4033" s="67">
        <v>4.813431992</v>
      </c>
      <c r="G4033" s="40">
        <v>2.300386284</v>
      </c>
      <c r="H4033" s="40"/>
      <c r="I4033" s="41">
        <v>0.423529412</v>
      </c>
      <c r="J4033" s="41">
        <v>0.258823529</v>
      </c>
      <c r="K4033" s="41">
        <v>0.317647059</v>
      </c>
      <c r="L4033" s="41"/>
      <c r="M4033" s="74">
        <v>-1.414330874</v>
      </c>
    </row>
    <row r="4034">
      <c r="A4034" s="1" t="s">
        <v>285</v>
      </c>
      <c r="B4034" s="38">
        <v>607074.0</v>
      </c>
      <c r="C4034" s="72">
        <v>45765.0</v>
      </c>
      <c r="D4034" s="38">
        <v>100.0</v>
      </c>
      <c r="E4034" s="75"/>
      <c r="F4034" s="67">
        <v>4.813289693</v>
      </c>
      <c r="G4034" s="40">
        <v>2.662809964</v>
      </c>
      <c r="H4034" s="40"/>
      <c r="I4034" s="41">
        <v>0.45</v>
      </c>
      <c r="J4034" s="41">
        <v>0.1</v>
      </c>
      <c r="K4034" s="41">
        <v>0.45</v>
      </c>
      <c r="L4034" s="41"/>
      <c r="M4034" s="74">
        <v>1.793403053</v>
      </c>
    </row>
    <row r="4035">
      <c r="A4035" s="1" t="s">
        <v>419</v>
      </c>
      <c r="B4035" s="38">
        <v>681857.0</v>
      </c>
      <c r="C4035" s="72">
        <v>45764.0</v>
      </c>
      <c r="D4035" s="38">
        <v>84.0</v>
      </c>
      <c r="E4035" s="75"/>
      <c r="F4035" s="67">
        <v>4.813118971</v>
      </c>
      <c r="G4035" s="40">
        <v>2.266670972</v>
      </c>
      <c r="H4035" s="40"/>
      <c r="I4035" s="41">
        <v>0.44047619</v>
      </c>
      <c r="J4035" s="41">
        <v>0.19047619</v>
      </c>
      <c r="K4035" s="41">
        <v>0.369047619</v>
      </c>
      <c r="L4035" s="41"/>
      <c r="M4035" s="74">
        <v>0.13436431</v>
      </c>
    </row>
    <row r="4036">
      <c r="A4036" s="1" t="s">
        <v>509</v>
      </c>
      <c r="B4036" s="38">
        <v>676106.0</v>
      </c>
      <c r="C4036" s="72">
        <v>45839.0</v>
      </c>
      <c r="D4036" s="38">
        <v>98.0</v>
      </c>
      <c r="E4036" s="75"/>
      <c r="F4036" s="67">
        <v>4.812616816</v>
      </c>
      <c r="G4036" s="40">
        <v>2.660971375</v>
      </c>
      <c r="H4036" s="40"/>
      <c r="I4036" s="41">
        <v>0.428571429</v>
      </c>
      <c r="J4036" s="41">
        <v>0.224489796</v>
      </c>
      <c r="K4036" s="41">
        <v>0.346938776</v>
      </c>
      <c r="L4036" s="41"/>
      <c r="M4036" s="74">
        <v>-0.929067263</v>
      </c>
    </row>
    <row r="4037">
      <c r="A4037" s="1" t="s">
        <v>619</v>
      </c>
      <c r="B4037" s="38">
        <v>683155.0</v>
      </c>
      <c r="C4037" s="72">
        <v>45747.0</v>
      </c>
      <c r="D4037" s="38">
        <v>79.0</v>
      </c>
      <c r="E4037" s="75"/>
      <c r="F4037" s="67">
        <v>4.81251909</v>
      </c>
      <c r="G4037" s="40">
        <v>2.138266064</v>
      </c>
      <c r="H4037" s="40"/>
      <c r="I4037" s="41">
        <v>0.392405063</v>
      </c>
      <c r="J4037" s="41">
        <v>0.164556962</v>
      </c>
      <c r="K4037" s="41">
        <v>0.443037975</v>
      </c>
      <c r="L4037" s="41"/>
      <c r="M4037" s="74">
        <v>-3.812428269</v>
      </c>
    </row>
    <row r="4038">
      <c r="A4038" s="1" t="s">
        <v>121</v>
      </c>
      <c r="B4038" s="38">
        <v>676974.0</v>
      </c>
      <c r="C4038" s="72">
        <v>45774.0</v>
      </c>
      <c r="D4038" s="38">
        <v>84.0</v>
      </c>
      <c r="E4038" s="75"/>
      <c r="F4038" s="67">
        <v>4.812393719</v>
      </c>
      <c r="G4038" s="40">
        <v>2.271749539</v>
      </c>
      <c r="H4038" s="40"/>
      <c r="I4038" s="41">
        <v>0.428571429</v>
      </c>
      <c r="J4038" s="41">
        <v>0.19047619</v>
      </c>
      <c r="K4038" s="41">
        <v>0.380952381</v>
      </c>
      <c r="L4038" s="41"/>
      <c r="M4038" s="74">
        <v>0.378888848</v>
      </c>
    </row>
    <row r="4039">
      <c r="A4039" s="1" t="s">
        <v>494</v>
      </c>
      <c r="B4039" s="38">
        <v>672782.0</v>
      </c>
      <c r="C4039" s="72">
        <v>45920.0</v>
      </c>
      <c r="D4039" s="38">
        <v>72.0</v>
      </c>
      <c r="E4039" s="75"/>
      <c r="F4039" s="67">
        <v>4.812068811</v>
      </c>
      <c r="G4039" s="40">
        <v>1.982029545</v>
      </c>
      <c r="H4039" s="40"/>
      <c r="I4039" s="41">
        <v>0.444444444</v>
      </c>
      <c r="J4039" s="41">
        <v>0.180555556</v>
      </c>
      <c r="K4039" s="41">
        <v>0.375</v>
      </c>
      <c r="L4039" s="41"/>
      <c r="M4039" s="74">
        <v>-1.100576822</v>
      </c>
    </row>
    <row r="4040">
      <c r="A4040" s="1" t="s">
        <v>420</v>
      </c>
      <c r="B4040" s="38">
        <v>547179.0</v>
      </c>
      <c r="C4040" s="72">
        <v>45797.0</v>
      </c>
      <c r="D4040" s="38">
        <v>94.0</v>
      </c>
      <c r="E4040" s="75"/>
      <c r="F4040" s="67">
        <v>4.812019797</v>
      </c>
      <c r="G4040" s="40">
        <v>2.551312042</v>
      </c>
      <c r="H4040" s="40"/>
      <c r="I4040" s="41">
        <v>0.436170213</v>
      </c>
      <c r="J4040" s="41">
        <v>0.14893617</v>
      </c>
      <c r="K4040" s="41">
        <v>0.414893617</v>
      </c>
      <c r="L4040" s="41"/>
      <c r="M4040" s="74">
        <v>-1.110149287</v>
      </c>
    </row>
    <row r="4041">
      <c r="A4041" s="1" t="s">
        <v>84</v>
      </c>
      <c r="B4041" s="38">
        <v>669373.0</v>
      </c>
      <c r="C4041" s="72">
        <v>45832.0</v>
      </c>
      <c r="D4041" s="38">
        <v>97.0</v>
      </c>
      <c r="E4041" s="75"/>
      <c r="F4041" s="67">
        <v>4.811733059</v>
      </c>
      <c r="G4041" s="40">
        <v>2.607605274</v>
      </c>
      <c r="H4041" s="40"/>
      <c r="I4041" s="41">
        <v>0.412371134</v>
      </c>
      <c r="J4041" s="41">
        <v>0.226804124</v>
      </c>
      <c r="K4041" s="41">
        <v>0.360824742</v>
      </c>
      <c r="L4041" s="41"/>
      <c r="M4041" s="74">
        <v>-0.218008492</v>
      </c>
    </row>
    <row r="4042">
      <c r="A4042" s="1" t="s">
        <v>434</v>
      </c>
      <c r="B4042" s="38">
        <v>690990.0</v>
      </c>
      <c r="C4042" s="72">
        <v>45870.0</v>
      </c>
      <c r="D4042" s="38">
        <v>69.0</v>
      </c>
      <c r="E4042" s="75"/>
      <c r="F4042" s="67">
        <v>4.811681978</v>
      </c>
      <c r="G4042" s="40">
        <v>1.88977751</v>
      </c>
      <c r="H4042" s="40"/>
      <c r="I4042" s="41">
        <v>0.434782609</v>
      </c>
      <c r="J4042" s="41">
        <v>0.217391304</v>
      </c>
      <c r="K4042" s="41">
        <v>0.347826087</v>
      </c>
      <c r="L4042" s="41"/>
      <c r="M4042" s="74">
        <v>2.249086658</v>
      </c>
    </row>
    <row r="4043">
      <c r="A4043" s="1" t="s">
        <v>113</v>
      </c>
      <c r="B4043" s="38">
        <v>664285.0</v>
      </c>
      <c r="C4043" s="72">
        <v>45907.0</v>
      </c>
      <c r="D4043" s="38">
        <v>95.0</v>
      </c>
      <c r="E4043" s="75"/>
      <c r="F4043" s="67">
        <v>4.811520367</v>
      </c>
      <c r="G4043" s="40">
        <v>2.554233433</v>
      </c>
      <c r="H4043" s="40"/>
      <c r="I4043" s="41">
        <v>0.463157895</v>
      </c>
      <c r="J4043" s="41">
        <v>0.105263158</v>
      </c>
      <c r="K4043" s="41">
        <v>0.431578947</v>
      </c>
      <c r="L4043" s="41"/>
      <c r="M4043" s="74">
        <v>0.675535485</v>
      </c>
    </row>
    <row r="4044">
      <c r="A4044" s="1" t="s">
        <v>339</v>
      </c>
      <c r="B4044" s="38">
        <v>686613.0</v>
      </c>
      <c r="C4044" s="72">
        <v>45840.0</v>
      </c>
      <c r="D4044" s="38">
        <v>100.0</v>
      </c>
      <c r="E4044" s="75"/>
      <c r="F4044" s="67">
        <v>4.811507757</v>
      </c>
      <c r="G4044" s="40">
        <v>2.718814905</v>
      </c>
      <c r="H4044" s="40"/>
      <c r="I4044" s="41">
        <v>0.43</v>
      </c>
      <c r="J4044" s="41">
        <v>0.14</v>
      </c>
      <c r="K4044" s="41">
        <v>0.43</v>
      </c>
      <c r="L4044" s="41"/>
      <c r="M4044" s="74">
        <v>0.153313274</v>
      </c>
    </row>
    <row r="4045">
      <c r="A4045" s="1" t="s">
        <v>353</v>
      </c>
      <c r="B4045" s="38">
        <v>663903.0</v>
      </c>
      <c r="C4045" s="72">
        <v>45777.0</v>
      </c>
      <c r="D4045" s="38">
        <v>90.0</v>
      </c>
      <c r="E4045" s="75"/>
      <c r="F4045" s="67">
        <v>4.810497352</v>
      </c>
      <c r="G4045" s="40">
        <v>2.442374485</v>
      </c>
      <c r="H4045" s="40"/>
      <c r="I4045" s="41">
        <v>0.444444444</v>
      </c>
      <c r="J4045" s="41">
        <v>0.122222222</v>
      </c>
      <c r="K4045" s="41">
        <v>0.433333333</v>
      </c>
      <c r="L4045" s="41"/>
      <c r="M4045" s="74">
        <v>2.198380755</v>
      </c>
    </row>
    <row r="4046">
      <c r="A4046" s="1" t="s">
        <v>353</v>
      </c>
      <c r="B4046" s="38">
        <v>663903.0</v>
      </c>
      <c r="C4046" s="72">
        <v>45822.0</v>
      </c>
      <c r="D4046" s="38">
        <v>91.0</v>
      </c>
      <c r="E4046" s="75"/>
      <c r="F4046" s="67">
        <v>4.810348261</v>
      </c>
      <c r="G4046" s="40">
        <v>2.442994022</v>
      </c>
      <c r="H4046" s="40"/>
      <c r="I4046" s="41">
        <v>0.43956044</v>
      </c>
      <c r="J4046" s="41">
        <v>0.175824176</v>
      </c>
      <c r="K4046" s="41">
        <v>0.384615385</v>
      </c>
      <c r="L4046" s="41"/>
      <c r="M4046" s="74">
        <v>0.563177018</v>
      </c>
    </row>
    <row r="4047">
      <c r="A4047" s="1" t="s">
        <v>369</v>
      </c>
      <c r="B4047" s="38">
        <v>596295.0</v>
      </c>
      <c r="C4047" s="72">
        <v>45828.0</v>
      </c>
      <c r="D4047" s="38">
        <v>81.0</v>
      </c>
      <c r="E4047" s="75"/>
      <c r="F4047" s="67">
        <v>4.810159193</v>
      </c>
      <c r="G4047" s="40">
        <v>2.240488573</v>
      </c>
      <c r="H4047" s="40"/>
      <c r="I4047" s="41">
        <v>0.481481481</v>
      </c>
      <c r="J4047" s="41">
        <v>0.197530864</v>
      </c>
      <c r="K4047" s="41">
        <v>0.320987654</v>
      </c>
      <c r="L4047" s="41"/>
      <c r="M4047" s="74">
        <v>-6.881919181</v>
      </c>
    </row>
    <row r="4048">
      <c r="A4048" s="1" t="s">
        <v>189</v>
      </c>
      <c r="B4048" s="38">
        <v>607536.0</v>
      </c>
      <c r="C4048" s="72">
        <v>45881.0</v>
      </c>
      <c r="D4048" s="38">
        <v>92.0</v>
      </c>
      <c r="E4048" s="75"/>
      <c r="F4048" s="67">
        <v>4.810043361</v>
      </c>
      <c r="G4048" s="40">
        <v>2.513872169</v>
      </c>
      <c r="H4048" s="40"/>
      <c r="I4048" s="41">
        <v>0.47826087</v>
      </c>
      <c r="J4048" s="41">
        <v>0.119565217</v>
      </c>
      <c r="K4048" s="41">
        <v>0.402173913</v>
      </c>
      <c r="L4048" s="41"/>
      <c r="M4048" s="74">
        <v>0.177823003</v>
      </c>
    </row>
    <row r="4049">
      <c r="A4049" s="1" t="s">
        <v>84</v>
      </c>
      <c r="B4049" s="38">
        <v>669373.0</v>
      </c>
      <c r="C4049" s="72">
        <v>45923.0</v>
      </c>
      <c r="D4049" s="38">
        <v>88.0</v>
      </c>
      <c r="E4049" s="75"/>
      <c r="F4049" s="67">
        <v>4.809950237</v>
      </c>
      <c r="G4049" s="40">
        <v>2.387508108</v>
      </c>
      <c r="H4049" s="40"/>
      <c r="I4049" s="41">
        <v>0.454545455</v>
      </c>
      <c r="J4049" s="41">
        <v>0.215909091</v>
      </c>
      <c r="K4049" s="41">
        <v>0.329545455</v>
      </c>
      <c r="L4049" s="41"/>
      <c r="M4049" s="74">
        <v>0.550298303</v>
      </c>
    </row>
    <row r="4050">
      <c r="A4050" s="1" t="s">
        <v>373</v>
      </c>
      <c r="B4050" s="38">
        <v>640455.0</v>
      </c>
      <c r="C4050" s="72">
        <v>45856.0</v>
      </c>
      <c r="D4050" s="38">
        <v>67.0</v>
      </c>
      <c r="E4050" s="75"/>
      <c r="F4050" s="67">
        <v>4.80990049</v>
      </c>
      <c r="G4050" s="40">
        <v>1.812307216</v>
      </c>
      <c r="H4050" s="40"/>
      <c r="I4050" s="41">
        <v>0.492537313</v>
      </c>
      <c r="J4050" s="41">
        <v>0.119402985</v>
      </c>
      <c r="K4050" s="41">
        <v>0.388059701</v>
      </c>
      <c r="L4050" s="41"/>
      <c r="M4050" s="74">
        <v>2.727046866</v>
      </c>
    </row>
    <row r="4051">
      <c r="A4051" s="1" t="s">
        <v>251</v>
      </c>
      <c r="B4051" s="38">
        <v>676664.0</v>
      </c>
      <c r="C4051" s="72">
        <v>45928.0</v>
      </c>
      <c r="D4051" s="38">
        <v>112.0</v>
      </c>
      <c r="E4051" s="75"/>
      <c r="F4051" s="67">
        <v>4.809882991</v>
      </c>
      <c r="G4051" s="40">
        <v>3.008862306</v>
      </c>
      <c r="H4051" s="40"/>
      <c r="I4051" s="41">
        <v>0.464285714</v>
      </c>
      <c r="J4051" s="41">
        <v>0.125</v>
      </c>
      <c r="K4051" s="41">
        <v>0.410714286</v>
      </c>
      <c r="L4051" s="41"/>
      <c r="M4051" s="74">
        <v>-1.381692402</v>
      </c>
    </row>
    <row r="4052">
      <c r="A4052" s="1" t="s">
        <v>490</v>
      </c>
      <c r="B4052" s="38">
        <v>680573.0</v>
      </c>
      <c r="C4052" s="72">
        <v>45834.0</v>
      </c>
      <c r="D4052" s="38">
        <v>81.0</v>
      </c>
      <c r="E4052" s="75"/>
      <c r="F4052" s="67">
        <v>4.809750747</v>
      </c>
      <c r="G4052" s="40">
        <v>2.167776713</v>
      </c>
      <c r="H4052" s="40"/>
      <c r="I4052" s="41">
        <v>0.407407407</v>
      </c>
      <c r="J4052" s="41">
        <v>0.135802469</v>
      </c>
      <c r="K4052" s="41">
        <v>0.456790123</v>
      </c>
      <c r="L4052" s="41"/>
      <c r="M4052" s="74">
        <v>3.109464305</v>
      </c>
    </row>
    <row r="4053">
      <c r="A4053" s="1" t="s">
        <v>339</v>
      </c>
      <c r="B4053" s="38">
        <v>686613.0</v>
      </c>
      <c r="C4053" s="72">
        <v>45900.0</v>
      </c>
      <c r="D4053" s="38">
        <v>93.0</v>
      </c>
      <c r="E4053" s="75"/>
      <c r="F4053" s="67">
        <v>4.809508763</v>
      </c>
      <c r="G4053" s="40">
        <v>2.520585633</v>
      </c>
      <c r="H4053" s="40"/>
      <c r="I4053" s="41">
        <v>0.387096774</v>
      </c>
      <c r="J4053" s="41">
        <v>0.215053763</v>
      </c>
      <c r="K4053" s="41">
        <v>0.397849462</v>
      </c>
      <c r="L4053" s="41"/>
      <c r="M4053" s="74">
        <v>2.224829811</v>
      </c>
    </row>
    <row r="4054">
      <c r="A4054" s="1" t="s">
        <v>358</v>
      </c>
      <c r="B4054" s="38">
        <v>434378.0</v>
      </c>
      <c r="C4054" s="72">
        <v>45900.0</v>
      </c>
      <c r="D4054" s="38">
        <v>117.0</v>
      </c>
      <c r="E4054" s="75"/>
      <c r="F4054" s="67">
        <v>4.809334051</v>
      </c>
      <c r="G4054" s="40">
        <v>3.101118156</v>
      </c>
      <c r="H4054" s="40"/>
      <c r="I4054" s="41">
        <v>0.418803419</v>
      </c>
      <c r="J4054" s="41">
        <v>0.256410256</v>
      </c>
      <c r="K4054" s="41">
        <v>0.324786325</v>
      </c>
      <c r="L4054" s="41"/>
      <c r="M4054" s="74">
        <v>4.045515584</v>
      </c>
    </row>
    <row r="4055">
      <c r="A4055" s="1" t="s">
        <v>445</v>
      </c>
      <c r="B4055" s="38">
        <v>663855.0</v>
      </c>
      <c r="C4055" s="72">
        <v>45780.0</v>
      </c>
      <c r="D4055" s="38">
        <v>86.0</v>
      </c>
      <c r="E4055" s="75"/>
      <c r="F4055" s="67">
        <v>4.809318908</v>
      </c>
      <c r="G4055" s="40">
        <v>2.301253399</v>
      </c>
      <c r="H4055" s="40"/>
      <c r="I4055" s="41">
        <v>0.430232558</v>
      </c>
      <c r="J4055" s="41">
        <v>0.127906977</v>
      </c>
      <c r="K4055" s="41">
        <v>0.441860465</v>
      </c>
      <c r="L4055" s="41"/>
      <c r="M4055" s="74">
        <v>1.615248922</v>
      </c>
    </row>
    <row r="4056">
      <c r="A4056" s="1" t="s">
        <v>316</v>
      </c>
      <c r="B4056" s="38">
        <v>656427.0</v>
      </c>
      <c r="C4056" s="72">
        <v>45744.0</v>
      </c>
      <c r="D4056" s="38">
        <v>83.0</v>
      </c>
      <c r="E4056" s="75"/>
      <c r="F4056" s="67">
        <v>4.809142479</v>
      </c>
      <c r="G4056" s="40">
        <v>2.256848717</v>
      </c>
      <c r="H4056" s="40"/>
      <c r="I4056" s="41">
        <v>0.43373494</v>
      </c>
      <c r="J4056" s="41">
        <v>0.168674699</v>
      </c>
      <c r="K4056" s="41">
        <v>0.397590361</v>
      </c>
      <c r="L4056" s="41"/>
      <c r="M4056" s="74">
        <v>0.579123216</v>
      </c>
    </row>
    <row r="4057">
      <c r="A4057" s="1" t="s">
        <v>44</v>
      </c>
      <c r="B4057" s="38">
        <v>650911.0</v>
      </c>
      <c r="C4057" s="72">
        <v>45801.0</v>
      </c>
      <c r="D4057" s="38">
        <v>80.0</v>
      </c>
      <c r="E4057" s="75"/>
      <c r="F4057" s="67">
        <v>4.809021281</v>
      </c>
      <c r="G4057" s="40">
        <v>2.117002528</v>
      </c>
      <c r="H4057" s="40"/>
      <c r="I4057" s="41">
        <v>0.45</v>
      </c>
      <c r="J4057" s="41">
        <v>0.1125</v>
      </c>
      <c r="K4057" s="41">
        <v>0.4375</v>
      </c>
      <c r="L4057" s="41"/>
      <c r="M4057" s="74">
        <v>-3.601523019</v>
      </c>
    </row>
    <row r="4058">
      <c r="A4058" s="1" t="s">
        <v>398</v>
      </c>
      <c r="B4058" s="38">
        <v>676282.0</v>
      </c>
      <c r="C4058" s="72">
        <v>45865.0</v>
      </c>
      <c r="D4058" s="38">
        <v>76.0</v>
      </c>
      <c r="E4058" s="75"/>
      <c r="F4058" s="67">
        <v>4.808250921</v>
      </c>
      <c r="G4058" s="40">
        <v>2.049986839</v>
      </c>
      <c r="H4058" s="40"/>
      <c r="I4058" s="41">
        <v>0.447368421</v>
      </c>
      <c r="J4058" s="41">
        <v>0.171052632</v>
      </c>
      <c r="K4058" s="41">
        <v>0.381578947</v>
      </c>
      <c r="L4058" s="41"/>
      <c r="M4058" s="74">
        <v>0.602383109</v>
      </c>
    </row>
    <row r="4059">
      <c r="A4059" s="1" t="s">
        <v>222</v>
      </c>
      <c r="B4059" s="38">
        <v>518876.0</v>
      </c>
      <c r="C4059" s="72">
        <v>45835.0</v>
      </c>
      <c r="D4059" s="38">
        <v>88.0</v>
      </c>
      <c r="E4059" s="75"/>
      <c r="F4059" s="67">
        <v>4.808227574</v>
      </c>
      <c r="G4059" s="40">
        <v>2.361424102</v>
      </c>
      <c r="H4059" s="40"/>
      <c r="I4059" s="41">
        <v>0.397727273</v>
      </c>
      <c r="J4059" s="41">
        <v>0.204545455</v>
      </c>
      <c r="K4059" s="41">
        <v>0.397727273</v>
      </c>
      <c r="L4059" s="41"/>
      <c r="M4059" s="74">
        <v>-1.305191163</v>
      </c>
    </row>
    <row r="4060">
      <c r="A4060" s="1" t="s">
        <v>307</v>
      </c>
      <c r="B4060" s="38">
        <v>656849.0</v>
      </c>
      <c r="C4060" s="72">
        <v>45783.0</v>
      </c>
      <c r="D4060" s="38">
        <v>102.0</v>
      </c>
      <c r="E4060" s="75"/>
      <c r="F4060" s="67">
        <v>4.80802908</v>
      </c>
      <c r="G4060" s="40">
        <v>2.786895717</v>
      </c>
      <c r="H4060" s="40"/>
      <c r="I4060" s="41">
        <v>0.431372549</v>
      </c>
      <c r="J4060" s="41">
        <v>0.18627451</v>
      </c>
      <c r="K4060" s="41">
        <v>0.382352941</v>
      </c>
      <c r="L4060" s="41"/>
      <c r="M4060" s="74">
        <v>2.948899678</v>
      </c>
    </row>
    <row r="4061">
      <c r="A4061" s="1" t="s">
        <v>455</v>
      </c>
      <c r="B4061" s="38">
        <v>570632.0</v>
      </c>
      <c r="C4061" s="72">
        <v>45890.0</v>
      </c>
      <c r="D4061" s="38">
        <v>85.0</v>
      </c>
      <c r="E4061" s="75"/>
      <c r="F4061" s="67">
        <v>4.807871727</v>
      </c>
      <c r="G4061" s="40">
        <v>2.34346693</v>
      </c>
      <c r="H4061" s="40"/>
      <c r="I4061" s="41">
        <v>0.482352941</v>
      </c>
      <c r="J4061" s="41">
        <v>0.129411765</v>
      </c>
      <c r="K4061" s="41">
        <v>0.388235294</v>
      </c>
      <c r="L4061" s="41"/>
      <c r="M4061" s="74">
        <v>-0.110898514</v>
      </c>
    </row>
    <row r="4062">
      <c r="A4062" s="1" t="s">
        <v>277</v>
      </c>
      <c r="B4062" s="38">
        <v>677952.0</v>
      </c>
      <c r="C4062" s="72">
        <v>45909.0</v>
      </c>
      <c r="D4062" s="38">
        <v>62.0</v>
      </c>
      <c r="E4062" s="75"/>
      <c r="F4062" s="67">
        <v>4.807778571</v>
      </c>
      <c r="G4062" s="40">
        <v>1.680596995</v>
      </c>
      <c r="H4062" s="40"/>
      <c r="I4062" s="41">
        <v>0.370967742</v>
      </c>
      <c r="J4062" s="41">
        <v>0.258064516</v>
      </c>
      <c r="K4062" s="41">
        <v>0.370967742</v>
      </c>
      <c r="L4062" s="41"/>
      <c r="M4062" s="74">
        <v>1.918658805</v>
      </c>
    </row>
    <row r="4063">
      <c r="A4063" s="1" t="s">
        <v>382</v>
      </c>
      <c r="B4063" s="38">
        <v>656288.0</v>
      </c>
      <c r="C4063" s="72">
        <v>45818.0</v>
      </c>
      <c r="D4063" s="38">
        <v>84.0</v>
      </c>
      <c r="E4063" s="75"/>
      <c r="F4063" s="67">
        <v>4.807330543</v>
      </c>
      <c r="G4063" s="40">
        <v>2.279702911</v>
      </c>
      <c r="H4063" s="40"/>
      <c r="I4063" s="41">
        <v>0.452380952</v>
      </c>
      <c r="J4063" s="41">
        <v>0.107142857</v>
      </c>
      <c r="K4063" s="41">
        <v>0.44047619</v>
      </c>
      <c r="L4063" s="41"/>
      <c r="M4063" s="74">
        <v>-2.458403375</v>
      </c>
    </row>
    <row r="4064">
      <c r="A4064" s="1" t="s">
        <v>308</v>
      </c>
      <c r="B4064" s="38">
        <v>676440.0</v>
      </c>
      <c r="C4064" s="72">
        <v>45840.0</v>
      </c>
      <c r="D4064" s="38">
        <v>94.0</v>
      </c>
      <c r="E4064" s="75"/>
      <c r="F4064" s="67">
        <v>4.807135298</v>
      </c>
      <c r="G4064" s="40">
        <v>2.534403973</v>
      </c>
      <c r="H4064" s="40"/>
      <c r="I4064" s="41">
        <v>0.446808511</v>
      </c>
      <c r="J4064" s="41">
        <v>0.170212766</v>
      </c>
      <c r="K4064" s="41">
        <v>0.382978723</v>
      </c>
      <c r="L4064" s="41"/>
      <c r="M4064" s="74">
        <v>1.017391758</v>
      </c>
    </row>
    <row r="4065">
      <c r="A4065" s="1" t="s">
        <v>155</v>
      </c>
      <c r="B4065" s="38">
        <v>592332.0</v>
      </c>
      <c r="C4065" s="72">
        <v>45864.0</v>
      </c>
      <c r="D4065" s="38">
        <v>95.0</v>
      </c>
      <c r="E4065" s="75"/>
      <c r="F4065" s="67">
        <v>4.806994491</v>
      </c>
      <c r="G4065" s="40">
        <v>2.589301903</v>
      </c>
      <c r="H4065" s="40"/>
      <c r="I4065" s="41">
        <v>0.347368421</v>
      </c>
      <c r="J4065" s="41">
        <v>0.242105263</v>
      </c>
      <c r="K4065" s="41">
        <v>0.410526316</v>
      </c>
      <c r="L4065" s="41"/>
      <c r="M4065" s="74">
        <v>3.948235152</v>
      </c>
    </row>
    <row r="4066">
      <c r="A4066" s="1" t="s">
        <v>352</v>
      </c>
      <c r="B4066" s="38">
        <v>685299.0</v>
      </c>
      <c r="C4066" s="72">
        <v>45889.0</v>
      </c>
      <c r="D4066" s="38">
        <v>88.0</v>
      </c>
      <c r="E4066" s="75"/>
      <c r="F4066" s="67">
        <v>4.806902568</v>
      </c>
      <c r="G4066" s="40">
        <v>2.443787342</v>
      </c>
      <c r="H4066" s="40"/>
      <c r="I4066" s="41">
        <v>0.409090909</v>
      </c>
      <c r="J4066" s="41">
        <v>0.25</v>
      </c>
      <c r="K4066" s="41">
        <v>0.340909091</v>
      </c>
      <c r="L4066" s="41"/>
      <c r="M4066" s="74">
        <v>2.888707351</v>
      </c>
    </row>
    <row r="4067">
      <c r="A4067" s="1" t="s">
        <v>465</v>
      </c>
      <c r="B4067" s="38">
        <v>641672.0</v>
      </c>
      <c r="C4067" s="72">
        <v>45902.0</v>
      </c>
      <c r="D4067" s="38">
        <v>64.0</v>
      </c>
      <c r="E4067" s="75"/>
      <c r="F4067" s="67">
        <v>4.806756802</v>
      </c>
      <c r="G4067" s="40">
        <v>1.744333099</v>
      </c>
      <c r="H4067" s="40"/>
      <c r="I4067" s="41">
        <v>0.359375</v>
      </c>
      <c r="J4067" s="41">
        <v>0.28125</v>
      </c>
      <c r="K4067" s="41">
        <v>0.359375</v>
      </c>
      <c r="L4067" s="41"/>
      <c r="M4067" s="74">
        <v>-4.694151383</v>
      </c>
    </row>
    <row r="4068">
      <c r="A4068" s="1" t="s">
        <v>513</v>
      </c>
      <c r="B4068" s="38">
        <v>608566.0</v>
      </c>
      <c r="C4068" s="72">
        <v>45810.0</v>
      </c>
      <c r="D4068" s="38">
        <v>88.0</v>
      </c>
      <c r="E4068" s="75"/>
      <c r="F4068" s="67">
        <v>4.806230552</v>
      </c>
      <c r="G4068" s="40">
        <v>2.383902055</v>
      </c>
      <c r="H4068" s="40"/>
      <c r="I4068" s="41">
        <v>0.397727273</v>
      </c>
      <c r="J4068" s="41">
        <v>0.272727273</v>
      </c>
      <c r="K4068" s="41">
        <v>0.329545455</v>
      </c>
      <c r="L4068" s="41"/>
      <c r="M4068" s="74">
        <v>-4.447226752</v>
      </c>
    </row>
    <row r="4069">
      <c r="A4069" s="1" t="s">
        <v>330</v>
      </c>
      <c r="B4069" s="38">
        <v>680730.0</v>
      </c>
      <c r="C4069" s="72">
        <v>45821.0</v>
      </c>
      <c r="D4069" s="38">
        <v>85.0</v>
      </c>
      <c r="E4069" s="75"/>
      <c r="F4069" s="67">
        <v>4.805909672</v>
      </c>
      <c r="G4069" s="40">
        <v>2.302000065</v>
      </c>
      <c r="H4069" s="40"/>
      <c r="I4069" s="41">
        <v>0.388235294</v>
      </c>
      <c r="J4069" s="41">
        <v>0.223529412</v>
      </c>
      <c r="K4069" s="41">
        <v>0.388235294</v>
      </c>
      <c r="L4069" s="41"/>
      <c r="M4069" s="74">
        <v>-3.157868506</v>
      </c>
    </row>
    <row r="4070">
      <c r="A4070" s="1" t="s">
        <v>350</v>
      </c>
      <c r="B4070" s="38">
        <v>678022.0</v>
      </c>
      <c r="C4070" s="72">
        <v>45872.0</v>
      </c>
      <c r="D4070" s="38">
        <v>62.0</v>
      </c>
      <c r="E4070" s="75"/>
      <c r="F4070" s="67">
        <v>4.805700295</v>
      </c>
      <c r="G4070" s="40">
        <v>1.682997481</v>
      </c>
      <c r="H4070" s="40"/>
      <c r="I4070" s="41">
        <v>0.419354839</v>
      </c>
      <c r="J4070" s="41">
        <v>0.14516129</v>
      </c>
      <c r="K4070" s="41">
        <v>0.435483871</v>
      </c>
      <c r="L4070" s="41"/>
      <c r="M4070" s="74">
        <v>-2.265609032</v>
      </c>
    </row>
    <row r="4071">
      <c r="A4071" s="1" t="s">
        <v>158</v>
      </c>
      <c r="B4071" s="38">
        <v>608372.0</v>
      </c>
      <c r="C4071" s="72">
        <v>45746.0</v>
      </c>
      <c r="D4071" s="38">
        <v>73.0</v>
      </c>
      <c r="E4071" s="75"/>
      <c r="F4071" s="67">
        <v>4.805424494</v>
      </c>
      <c r="G4071" s="40">
        <v>1.99666754</v>
      </c>
      <c r="H4071" s="40"/>
      <c r="I4071" s="41">
        <v>0.383561644</v>
      </c>
      <c r="J4071" s="41">
        <v>0.246575342</v>
      </c>
      <c r="K4071" s="41">
        <v>0.369863014</v>
      </c>
      <c r="L4071" s="41"/>
      <c r="M4071" s="74">
        <v>0.265645956</v>
      </c>
    </row>
    <row r="4072">
      <c r="A4072" s="1" t="s">
        <v>477</v>
      </c>
      <c r="B4072" s="38">
        <v>677958.0</v>
      </c>
      <c r="C4072" s="72">
        <v>45836.0</v>
      </c>
      <c r="D4072" s="38">
        <v>96.0</v>
      </c>
      <c r="E4072" s="75"/>
      <c r="F4072" s="67">
        <v>4.805253812</v>
      </c>
      <c r="G4072" s="40">
        <v>2.629302347</v>
      </c>
      <c r="H4072" s="40"/>
      <c r="I4072" s="41">
        <v>0.364583333</v>
      </c>
      <c r="J4072" s="41">
        <v>0.21875</v>
      </c>
      <c r="K4072" s="41">
        <v>0.416666667</v>
      </c>
      <c r="L4072" s="41"/>
      <c r="M4072" s="74">
        <v>2.844215072</v>
      </c>
    </row>
    <row r="4073">
      <c r="A4073" s="1" t="s">
        <v>358</v>
      </c>
      <c r="B4073" s="38">
        <v>434378.0</v>
      </c>
      <c r="C4073" s="72">
        <v>45826.0</v>
      </c>
      <c r="D4073" s="38">
        <v>79.0</v>
      </c>
      <c r="E4073" s="75"/>
      <c r="F4073" s="67">
        <v>4.805146864</v>
      </c>
      <c r="G4073" s="40">
        <v>2.170946697</v>
      </c>
      <c r="H4073" s="40"/>
      <c r="I4073" s="41">
        <v>0.405063291</v>
      </c>
      <c r="J4073" s="41">
        <v>0.227848101</v>
      </c>
      <c r="K4073" s="41">
        <v>0.367088608</v>
      </c>
      <c r="L4073" s="41"/>
      <c r="M4073" s="74">
        <v>-2.021218894</v>
      </c>
    </row>
    <row r="4074">
      <c r="A4074" s="1" t="s">
        <v>472</v>
      </c>
      <c r="B4074" s="38">
        <v>675911.0</v>
      </c>
      <c r="C4074" s="72">
        <v>45909.0</v>
      </c>
      <c r="D4074" s="38">
        <v>97.0</v>
      </c>
      <c r="E4074" s="75"/>
      <c r="F4074" s="67">
        <v>4.804881219</v>
      </c>
      <c r="G4074" s="40">
        <v>2.65015266</v>
      </c>
      <c r="H4074" s="40"/>
      <c r="I4074" s="41">
        <v>0.432989691</v>
      </c>
      <c r="J4074" s="41">
        <v>0.154639175</v>
      </c>
      <c r="K4074" s="41">
        <v>0.412371134</v>
      </c>
      <c r="L4074" s="41"/>
      <c r="M4074" s="74">
        <v>-1.529554516</v>
      </c>
    </row>
    <row r="4075">
      <c r="A4075" s="1" t="s">
        <v>581</v>
      </c>
      <c r="B4075" s="38">
        <v>804636.0</v>
      </c>
      <c r="C4075" s="72">
        <v>45906.0</v>
      </c>
      <c r="D4075" s="38">
        <v>96.0</v>
      </c>
      <c r="E4075" s="75"/>
      <c r="F4075" s="67">
        <v>4.804596179</v>
      </c>
      <c r="G4075" s="40">
        <v>2.615603092</v>
      </c>
      <c r="H4075" s="40"/>
      <c r="I4075" s="41">
        <v>0.489583333</v>
      </c>
      <c r="J4075" s="41">
        <v>0.083333333</v>
      </c>
      <c r="K4075" s="41">
        <v>0.427083333</v>
      </c>
      <c r="L4075" s="41"/>
      <c r="M4075" s="74">
        <v>0.942851077</v>
      </c>
    </row>
    <row r="4076">
      <c r="A4076" s="1" t="s">
        <v>424</v>
      </c>
      <c r="B4076" s="38">
        <v>667755.0</v>
      </c>
      <c r="C4076" s="72">
        <v>45829.0</v>
      </c>
      <c r="D4076" s="38">
        <v>92.0</v>
      </c>
      <c r="E4076" s="75"/>
      <c r="F4076" s="67">
        <v>4.804441481</v>
      </c>
      <c r="G4076" s="40">
        <v>2.504221194</v>
      </c>
      <c r="H4076" s="40"/>
      <c r="I4076" s="41">
        <v>0.467391304</v>
      </c>
      <c r="J4076" s="41">
        <v>0.195652174</v>
      </c>
      <c r="K4076" s="41">
        <v>0.336956522</v>
      </c>
      <c r="L4076" s="41"/>
      <c r="M4076" s="74">
        <v>2.719377041</v>
      </c>
    </row>
    <row r="4077">
      <c r="A4077" s="1" t="s">
        <v>251</v>
      </c>
      <c r="B4077" s="38">
        <v>676664.0</v>
      </c>
      <c r="C4077" s="72">
        <v>45836.0</v>
      </c>
      <c r="D4077" s="38">
        <v>89.0</v>
      </c>
      <c r="E4077" s="75"/>
      <c r="F4077" s="67">
        <v>4.804182554</v>
      </c>
      <c r="G4077" s="40">
        <v>2.387761511</v>
      </c>
      <c r="H4077" s="40"/>
      <c r="I4077" s="41">
        <v>0.460674157</v>
      </c>
      <c r="J4077" s="41">
        <v>0.112359551</v>
      </c>
      <c r="K4077" s="41">
        <v>0.426966292</v>
      </c>
      <c r="L4077" s="41"/>
      <c r="M4077" s="74">
        <v>1.874874177</v>
      </c>
    </row>
    <row r="4078">
      <c r="A4078" s="1" t="s">
        <v>474</v>
      </c>
      <c r="B4078" s="38">
        <v>450203.0</v>
      </c>
      <c r="C4078" s="72">
        <v>45895.0</v>
      </c>
      <c r="D4078" s="38">
        <v>81.0</v>
      </c>
      <c r="E4078" s="75"/>
      <c r="F4078" s="67">
        <v>4.804079305</v>
      </c>
      <c r="G4078" s="40">
        <v>2.199420111</v>
      </c>
      <c r="H4078" s="40"/>
      <c r="I4078" s="41">
        <v>0.444444444</v>
      </c>
      <c r="J4078" s="41">
        <v>0.185185185</v>
      </c>
      <c r="K4078" s="41">
        <v>0.37037037</v>
      </c>
      <c r="L4078" s="41"/>
      <c r="M4078" s="74">
        <v>-2.524842924</v>
      </c>
    </row>
    <row r="4079">
      <c r="A4079" s="1" t="s">
        <v>573</v>
      </c>
      <c r="B4079" s="38">
        <v>686930.0</v>
      </c>
      <c r="C4079" s="72">
        <v>45905.0</v>
      </c>
      <c r="D4079" s="38">
        <v>94.0</v>
      </c>
      <c r="E4079" s="75"/>
      <c r="F4079" s="67">
        <v>4.803696909</v>
      </c>
      <c r="G4079" s="40">
        <v>2.535881162</v>
      </c>
      <c r="H4079" s="40"/>
      <c r="I4079" s="41">
        <v>0.446808511</v>
      </c>
      <c r="J4079" s="41">
        <v>0.14893617</v>
      </c>
      <c r="K4079" s="41">
        <v>0.404255319</v>
      </c>
      <c r="L4079" s="41"/>
      <c r="M4079" s="74">
        <v>1.321324963</v>
      </c>
    </row>
    <row r="4080">
      <c r="A4080" s="1" t="s">
        <v>314</v>
      </c>
      <c r="B4080" s="38">
        <v>669854.0</v>
      </c>
      <c r="C4080" s="72">
        <v>45747.0</v>
      </c>
      <c r="D4080" s="38">
        <v>89.0</v>
      </c>
      <c r="E4080" s="75"/>
      <c r="F4080" s="67">
        <v>4.803462486</v>
      </c>
      <c r="G4080" s="40">
        <v>2.399721539</v>
      </c>
      <c r="H4080" s="40"/>
      <c r="I4080" s="41">
        <v>0.415730337</v>
      </c>
      <c r="J4080" s="41">
        <v>0.191011236</v>
      </c>
      <c r="K4080" s="41">
        <v>0.393258427</v>
      </c>
      <c r="L4080" s="41"/>
      <c r="M4080" s="74">
        <v>1.52282352</v>
      </c>
    </row>
    <row r="4081">
      <c r="A4081" s="1" t="s">
        <v>453</v>
      </c>
      <c r="B4081" s="38">
        <v>592836.0</v>
      </c>
      <c r="C4081" s="72">
        <v>45907.0</v>
      </c>
      <c r="D4081" s="38">
        <v>84.0</v>
      </c>
      <c r="E4081" s="75"/>
      <c r="F4081" s="67">
        <v>4.803226886</v>
      </c>
      <c r="G4081" s="40">
        <v>2.298300175</v>
      </c>
      <c r="H4081" s="40"/>
      <c r="I4081" s="41">
        <v>0.44047619</v>
      </c>
      <c r="J4081" s="41">
        <v>0.154761905</v>
      </c>
      <c r="K4081" s="41">
        <v>0.404761905</v>
      </c>
      <c r="L4081" s="41"/>
      <c r="M4081" s="74">
        <v>-2.734699138</v>
      </c>
    </row>
    <row r="4082">
      <c r="A4082" s="1" t="s">
        <v>455</v>
      </c>
      <c r="B4082" s="38">
        <v>570632.0</v>
      </c>
      <c r="C4082" s="72">
        <v>45783.0</v>
      </c>
      <c r="D4082" s="38">
        <v>73.0</v>
      </c>
      <c r="E4082" s="75"/>
      <c r="F4082" s="67">
        <v>4.803025407</v>
      </c>
      <c r="G4082" s="40">
        <v>1.975310553</v>
      </c>
      <c r="H4082" s="40"/>
      <c r="I4082" s="41">
        <v>0.438356164</v>
      </c>
      <c r="J4082" s="41">
        <v>0.205479452</v>
      </c>
      <c r="K4082" s="41">
        <v>0.356164384</v>
      </c>
      <c r="L4082" s="41"/>
      <c r="M4082" s="74">
        <v>0.793148848</v>
      </c>
    </row>
    <row r="4083">
      <c r="A4083" s="1" t="s">
        <v>195</v>
      </c>
      <c r="B4083" s="38">
        <v>668678.0</v>
      </c>
      <c r="C4083" s="72">
        <v>45760.0</v>
      </c>
      <c r="D4083" s="38">
        <v>86.0</v>
      </c>
      <c r="E4083" s="75"/>
      <c r="F4083" s="67">
        <v>4.802876784</v>
      </c>
      <c r="G4083" s="40">
        <v>2.365079394</v>
      </c>
      <c r="H4083" s="40"/>
      <c r="I4083" s="41">
        <v>0.453488372</v>
      </c>
      <c r="J4083" s="41">
        <v>0.162790698</v>
      </c>
      <c r="K4083" s="41">
        <v>0.38372093</v>
      </c>
      <c r="L4083" s="41"/>
      <c r="M4083" s="74">
        <v>-0.490383864</v>
      </c>
    </row>
    <row r="4084">
      <c r="A4084" s="1" t="s">
        <v>456</v>
      </c>
      <c r="B4084" s="38">
        <v>605135.0</v>
      </c>
      <c r="C4084" s="72">
        <v>45813.0</v>
      </c>
      <c r="D4084" s="38">
        <v>96.0</v>
      </c>
      <c r="E4084" s="75"/>
      <c r="F4084" s="67">
        <v>4.802726451</v>
      </c>
      <c r="G4084" s="40">
        <v>2.61625156</v>
      </c>
      <c r="H4084" s="40"/>
      <c r="I4084" s="41">
        <v>0.427083333</v>
      </c>
      <c r="J4084" s="41">
        <v>0.15625</v>
      </c>
      <c r="K4084" s="41">
        <v>0.416666667</v>
      </c>
      <c r="L4084" s="41"/>
      <c r="M4084" s="74">
        <v>0.280615701</v>
      </c>
    </row>
    <row r="4085">
      <c r="A4085" s="1" t="s">
        <v>461</v>
      </c>
      <c r="B4085" s="38">
        <v>673540.0</v>
      </c>
      <c r="C4085" s="72">
        <v>45772.0</v>
      </c>
      <c r="D4085" s="38">
        <v>94.0</v>
      </c>
      <c r="E4085" s="75"/>
      <c r="F4085" s="67">
        <v>4.80249417</v>
      </c>
      <c r="G4085" s="40">
        <v>2.553087176</v>
      </c>
      <c r="H4085" s="40"/>
      <c r="I4085" s="41">
        <v>0.382978723</v>
      </c>
      <c r="J4085" s="41">
        <v>0.20212766</v>
      </c>
      <c r="K4085" s="41">
        <v>0.414893617</v>
      </c>
      <c r="L4085" s="41"/>
      <c r="M4085" s="74">
        <v>-1.056056809</v>
      </c>
    </row>
    <row r="4086">
      <c r="A4086" s="1" t="s">
        <v>307</v>
      </c>
      <c r="B4086" s="38">
        <v>656849.0</v>
      </c>
      <c r="C4086" s="72">
        <v>45789.0</v>
      </c>
      <c r="D4086" s="38">
        <v>99.0</v>
      </c>
      <c r="E4086" s="75"/>
      <c r="F4086" s="67">
        <v>4.802457116</v>
      </c>
      <c r="G4086" s="40">
        <v>2.722962135</v>
      </c>
      <c r="H4086" s="40"/>
      <c r="I4086" s="41">
        <v>0.464646465</v>
      </c>
      <c r="J4086" s="41">
        <v>0.131313131</v>
      </c>
      <c r="K4086" s="41">
        <v>0.404040404</v>
      </c>
      <c r="L4086" s="41"/>
      <c r="M4086" s="74">
        <v>0.788159719</v>
      </c>
    </row>
    <row r="4087">
      <c r="A4087" s="1" t="s">
        <v>44</v>
      </c>
      <c r="B4087" s="38">
        <v>650911.0</v>
      </c>
      <c r="C4087" s="72">
        <v>45811.0</v>
      </c>
      <c r="D4087" s="38">
        <v>94.0</v>
      </c>
      <c r="E4087" s="75"/>
      <c r="F4087" s="67">
        <v>4.802025193</v>
      </c>
      <c r="G4087" s="40">
        <v>2.570762345</v>
      </c>
      <c r="H4087" s="40"/>
      <c r="I4087" s="41">
        <v>0.468085106</v>
      </c>
      <c r="J4087" s="41">
        <v>0.180851064</v>
      </c>
      <c r="K4087" s="41">
        <v>0.35106383</v>
      </c>
      <c r="L4087" s="41"/>
      <c r="M4087" s="74">
        <v>1.784878534</v>
      </c>
    </row>
    <row r="4088">
      <c r="A4088" s="1" t="s">
        <v>615</v>
      </c>
      <c r="B4088" s="38">
        <v>622379.0</v>
      </c>
      <c r="C4088" s="72">
        <v>45756.0</v>
      </c>
      <c r="D4088" s="38">
        <v>92.0</v>
      </c>
      <c r="E4088" s="75"/>
      <c r="F4088" s="67">
        <v>4.801430993</v>
      </c>
      <c r="G4088" s="40">
        <v>2.510970976</v>
      </c>
      <c r="H4088" s="40"/>
      <c r="I4088" s="41">
        <v>0.467391304</v>
      </c>
      <c r="J4088" s="41">
        <v>0.217391304</v>
      </c>
      <c r="K4088" s="41">
        <v>0.315217391</v>
      </c>
      <c r="L4088" s="41"/>
      <c r="M4088" s="74">
        <v>-1.077353397</v>
      </c>
    </row>
    <row r="4089">
      <c r="A4089" s="1" t="s">
        <v>277</v>
      </c>
      <c r="B4089" s="38">
        <v>677952.0</v>
      </c>
      <c r="C4089" s="72">
        <v>45897.0</v>
      </c>
      <c r="D4089" s="38">
        <v>73.0</v>
      </c>
      <c r="E4089" s="75"/>
      <c r="F4089" s="67">
        <v>4.801383</v>
      </c>
      <c r="G4089" s="40">
        <v>2.007339554</v>
      </c>
      <c r="H4089" s="40"/>
      <c r="I4089" s="41">
        <v>0.369863014</v>
      </c>
      <c r="J4089" s="41">
        <v>0.246575342</v>
      </c>
      <c r="K4089" s="41">
        <v>0.383561644</v>
      </c>
      <c r="L4089" s="41"/>
      <c r="M4089" s="74">
        <v>0.390579528</v>
      </c>
    </row>
    <row r="4090">
      <c r="A4090" s="1" t="s">
        <v>423</v>
      </c>
      <c r="B4090" s="38">
        <v>656605.0</v>
      </c>
      <c r="C4090" s="72">
        <v>45872.0</v>
      </c>
      <c r="D4090" s="38">
        <v>85.0</v>
      </c>
      <c r="E4090" s="75"/>
      <c r="F4090" s="67">
        <v>4.801373517</v>
      </c>
      <c r="G4090" s="40">
        <v>2.311049984</v>
      </c>
      <c r="H4090" s="40"/>
      <c r="I4090" s="41">
        <v>0.4</v>
      </c>
      <c r="J4090" s="41">
        <v>0.211764706</v>
      </c>
      <c r="K4090" s="41">
        <v>0.388235294</v>
      </c>
      <c r="L4090" s="41"/>
      <c r="M4090" s="74">
        <v>-1.209119976</v>
      </c>
    </row>
    <row r="4091">
      <c r="A4091" s="1" t="s">
        <v>425</v>
      </c>
      <c r="B4091" s="38">
        <v>621244.0</v>
      </c>
      <c r="C4091" s="72">
        <v>45772.0</v>
      </c>
      <c r="D4091" s="38">
        <v>86.0</v>
      </c>
      <c r="E4091" s="75"/>
      <c r="F4091" s="67">
        <v>4.801339767</v>
      </c>
      <c r="G4091" s="40">
        <v>2.355645049</v>
      </c>
      <c r="H4091" s="40"/>
      <c r="I4091" s="41">
        <v>0.406976744</v>
      </c>
      <c r="J4091" s="41">
        <v>0.186046512</v>
      </c>
      <c r="K4091" s="41">
        <v>0.406976744</v>
      </c>
      <c r="L4091" s="41"/>
      <c r="M4091" s="74">
        <v>0.700676687</v>
      </c>
    </row>
    <row r="4092">
      <c r="A4092" s="1" t="s">
        <v>347</v>
      </c>
      <c r="B4092" s="38">
        <v>700249.0</v>
      </c>
      <c r="C4092" s="72">
        <v>45918.0</v>
      </c>
      <c r="D4092" s="38">
        <v>86.0</v>
      </c>
      <c r="E4092" s="75"/>
      <c r="F4092" s="67">
        <v>4.800434435</v>
      </c>
      <c r="G4092" s="40">
        <v>2.35224604</v>
      </c>
      <c r="H4092" s="40"/>
      <c r="I4092" s="41">
        <v>0.406976744</v>
      </c>
      <c r="J4092" s="41">
        <v>0.23255814</v>
      </c>
      <c r="K4092" s="41">
        <v>0.360465116</v>
      </c>
      <c r="L4092" s="41"/>
      <c r="M4092" s="74">
        <v>0.172412341</v>
      </c>
    </row>
    <row r="4093">
      <c r="A4093" s="1" t="s">
        <v>376</v>
      </c>
      <c r="B4093" s="38">
        <v>668909.0</v>
      </c>
      <c r="C4093" s="72">
        <v>45833.0</v>
      </c>
      <c r="D4093" s="38">
        <v>82.0</v>
      </c>
      <c r="E4093" s="75"/>
      <c r="F4093" s="67">
        <v>4.799795561</v>
      </c>
      <c r="G4093" s="40">
        <v>2.235976608</v>
      </c>
      <c r="H4093" s="40"/>
      <c r="I4093" s="41">
        <v>0.426829268</v>
      </c>
      <c r="J4093" s="41">
        <v>0.170731707</v>
      </c>
      <c r="K4093" s="41">
        <v>0.402439024</v>
      </c>
      <c r="L4093" s="41"/>
      <c r="M4093" s="74">
        <v>0.218104942</v>
      </c>
    </row>
    <row r="4094">
      <c r="A4094" s="1" t="s">
        <v>85</v>
      </c>
      <c r="B4094" s="38">
        <v>808967.0</v>
      </c>
      <c r="C4094" s="72">
        <v>45772.0</v>
      </c>
      <c r="D4094" s="38">
        <v>90.0</v>
      </c>
      <c r="E4094" s="75"/>
      <c r="F4094" s="67">
        <v>4.799598736</v>
      </c>
      <c r="G4094" s="40">
        <v>2.470818866</v>
      </c>
      <c r="H4094" s="40"/>
      <c r="I4094" s="41">
        <v>0.488888889</v>
      </c>
      <c r="J4094" s="41">
        <v>0.144444444</v>
      </c>
      <c r="K4094" s="41">
        <v>0.366666667</v>
      </c>
      <c r="L4094" s="41"/>
      <c r="M4094" s="74">
        <v>-0.056976779</v>
      </c>
    </row>
    <row r="4095">
      <c r="A4095" s="1" t="s">
        <v>480</v>
      </c>
      <c r="B4095" s="38">
        <v>647336.0</v>
      </c>
      <c r="C4095" s="72">
        <v>45842.0</v>
      </c>
      <c r="D4095" s="38">
        <v>87.0</v>
      </c>
      <c r="E4095" s="75"/>
      <c r="F4095" s="67">
        <v>4.799488782</v>
      </c>
      <c r="G4095" s="40">
        <v>2.387621344</v>
      </c>
      <c r="H4095" s="40"/>
      <c r="I4095" s="41">
        <v>0.459770115</v>
      </c>
      <c r="J4095" s="41">
        <v>0.137931034</v>
      </c>
      <c r="K4095" s="41">
        <v>0.402298851</v>
      </c>
      <c r="L4095" s="41"/>
      <c r="M4095" s="74">
        <v>-3.960773843</v>
      </c>
    </row>
    <row r="4096">
      <c r="A4096" s="1" t="s">
        <v>484</v>
      </c>
      <c r="B4096" s="38">
        <v>682847.0</v>
      </c>
      <c r="C4096" s="72">
        <v>45817.0</v>
      </c>
      <c r="D4096" s="38">
        <v>88.0</v>
      </c>
      <c r="E4096" s="75"/>
      <c r="F4096" s="67">
        <v>4.799187351</v>
      </c>
      <c r="G4096" s="40">
        <v>2.441488609</v>
      </c>
      <c r="H4096" s="40"/>
      <c r="I4096" s="41">
        <v>0.352272727</v>
      </c>
      <c r="J4096" s="41">
        <v>0.25</v>
      </c>
      <c r="K4096" s="41">
        <v>0.397727273</v>
      </c>
      <c r="L4096" s="41"/>
      <c r="M4096" s="74">
        <v>-2.748843052</v>
      </c>
    </row>
    <row r="4097">
      <c r="A4097" s="1" t="s">
        <v>269</v>
      </c>
      <c r="B4097" s="38">
        <v>605280.0</v>
      </c>
      <c r="C4097" s="72">
        <v>45767.0</v>
      </c>
      <c r="D4097" s="38">
        <v>87.0</v>
      </c>
      <c r="E4097" s="75"/>
      <c r="F4097" s="67">
        <v>4.799133325</v>
      </c>
      <c r="G4097" s="40">
        <v>2.366565517</v>
      </c>
      <c r="H4097" s="40"/>
      <c r="I4097" s="41">
        <v>0.448275862</v>
      </c>
      <c r="J4097" s="41">
        <v>0.137931034</v>
      </c>
      <c r="K4097" s="41">
        <v>0.413793103</v>
      </c>
      <c r="L4097" s="41"/>
      <c r="M4097" s="74">
        <v>2.863157953</v>
      </c>
    </row>
    <row r="4098">
      <c r="A4098" s="1" t="s">
        <v>323</v>
      </c>
      <c r="B4098" s="38">
        <v>691587.0</v>
      </c>
      <c r="C4098" s="72">
        <v>45817.0</v>
      </c>
      <c r="D4098" s="38">
        <v>70.0</v>
      </c>
      <c r="E4098" s="75"/>
      <c r="F4098" s="67">
        <v>4.797983743</v>
      </c>
      <c r="G4098" s="40">
        <v>1.898730657</v>
      </c>
      <c r="H4098" s="40"/>
      <c r="I4098" s="41">
        <v>0.414285714</v>
      </c>
      <c r="J4098" s="41">
        <v>0.228571429</v>
      </c>
      <c r="K4098" s="41">
        <v>0.357142857</v>
      </c>
      <c r="L4098" s="41"/>
      <c r="M4098" s="74">
        <v>-0.664407796</v>
      </c>
    </row>
    <row r="4099">
      <c r="A4099" s="1" t="s">
        <v>159</v>
      </c>
      <c r="B4099" s="38">
        <v>605483.0</v>
      </c>
      <c r="C4099" s="72">
        <v>45898.0</v>
      </c>
      <c r="D4099" s="38">
        <v>84.0</v>
      </c>
      <c r="E4099" s="75"/>
      <c r="F4099" s="67">
        <v>4.79722684</v>
      </c>
      <c r="G4099" s="40">
        <v>2.293859922</v>
      </c>
      <c r="H4099" s="40"/>
      <c r="I4099" s="41">
        <v>0.452380952</v>
      </c>
      <c r="J4099" s="41">
        <v>0.178571429</v>
      </c>
      <c r="K4099" s="41">
        <v>0.369047619</v>
      </c>
      <c r="L4099" s="41"/>
      <c r="M4099" s="74">
        <v>-0.396302028</v>
      </c>
    </row>
    <row r="4100">
      <c r="A4100" s="1" t="s">
        <v>496</v>
      </c>
      <c r="B4100" s="38">
        <v>694477.0</v>
      </c>
      <c r="C4100" s="72">
        <v>45798.0</v>
      </c>
      <c r="D4100" s="38">
        <v>86.0</v>
      </c>
      <c r="E4100" s="75"/>
      <c r="F4100" s="67">
        <v>4.797201129</v>
      </c>
      <c r="G4100" s="40">
        <v>2.350332506</v>
      </c>
      <c r="H4100" s="40"/>
      <c r="I4100" s="41">
        <v>0.406976744</v>
      </c>
      <c r="J4100" s="41">
        <v>0.174418605</v>
      </c>
      <c r="K4100" s="41">
        <v>0.418604651</v>
      </c>
      <c r="L4100" s="41"/>
      <c r="M4100" s="74">
        <v>1.571489001</v>
      </c>
    </row>
    <row r="4101">
      <c r="A4101" s="1" t="s">
        <v>494</v>
      </c>
      <c r="B4101" s="38">
        <v>672782.0</v>
      </c>
      <c r="C4101" s="72">
        <v>45914.0</v>
      </c>
      <c r="D4101" s="38">
        <v>75.0</v>
      </c>
      <c r="E4101" s="75"/>
      <c r="F4101" s="67">
        <v>4.797197518</v>
      </c>
      <c r="G4101" s="40">
        <v>2.03851655</v>
      </c>
      <c r="H4101" s="40"/>
      <c r="I4101" s="41">
        <v>0.426666667</v>
      </c>
      <c r="J4101" s="41">
        <v>0.186666667</v>
      </c>
      <c r="K4101" s="41">
        <v>0.386666667</v>
      </c>
      <c r="L4101" s="41"/>
      <c r="M4101" s="74">
        <v>3.084812121</v>
      </c>
    </row>
    <row r="4102">
      <c r="A4102" s="1" t="s">
        <v>476</v>
      </c>
      <c r="B4102" s="38">
        <v>500779.0</v>
      </c>
      <c r="C4102" s="72">
        <v>45835.0</v>
      </c>
      <c r="D4102" s="38">
        <v>99.0</v>
      </c>
      <c r="E4102" s="75"/>
      <c r="F4102" s="67">
        <v>4.796953471</v>
      </c>
      <c r="G4102" s="40">
        <v>2.728378578</v>
      </c>
      <c r="H4102" s="40"/>
      <c r="I4102" s="41">
        <v>0.393939394</v>
      </c>
      <c r="J4102" s="41">
        <v>0.151515152</v>
      </c>
      <c r="K4102" s="41">
        <v>0.454545455</v>
      </c>
      <c r="L4102" s="41"/>
      <c r="M4102" s="74">
        <v>-0.219825198</v>
      </c>
    </row>
    <row r="4103">
      <c r="A4103" s="1" t="s">
        <v>234</v>
      </c>
      <c r="B4103" s="38">
        <v>690997.0</v>
      </c>
      <c r="C4103" s="72">
        <v>45885.0</v>
      </c>
      <c r="D4103" s="38">
        <v>86.0</v>
      </c>
      <c r="E4103" s="75"/>
      <c r="F4103" s="67">
        <v>4.796898305</v>
      </c>
      <c r="G4103" s="40">
        <v>2.311104129</v>
      </c>
      <c r="H4103" s="40"/>
      <c r="I4103" s="41">
        <v>0.5</v>
      </c>
      <c r="J4103" s="41">
        <v>0.162790698</v>
      </c>
      <c r="K4103" s="41">
        <v>0.337209302</v>
      </c>
      <c r="L4103" s="41"/>
      <c r="M4103" s="74">
        <v>2.808527158</v>
      </c>
    </row>
    <row r="4104">
      <c r="A4104" s="1" t="s">
        <v>356</v>
      </c>
      <c r="B4104" s="38">
        <v>680732.0</v>
      </c>
      <c r="C4104" s="72">
        <v>45762.0</v>
      </c>
      <c r="D4104" s="38">
        <v>64.0</v>
      </c>
      <c r="E4104" s="75"/>
      <c r="F4104" s="67">
        <v>4.796855647</v>
      </c>
      <c r="G4104" s="40">
        <v>1.752193768</v>
      </c>
      <c r="H4104" s="40"/>
      <c r="I4104" s="41">
        <v>0.484375</v>
      </c>
      <c r="J4104" s="41">
        <v>0.09375</v>
      </c>
      <c r="K4104" s="41">
        <v>0.421875</v>
      </c>
      <c r="L4104" s="41"/>
      <c r="M4104" s="74">
        <v>-2.713892009</v>
      </c>
    </row>
    <row r="4105">
      <c r="A4105" s="1" t="s">
        <v>450</v>
      </c>
      <c r="B4105" s="38">
        <v>682990.0</v>
      </c>
      <c r="C4105" s="72">
        <v>45757.0</v>
      </c>
      <c r="D4105" s="38">
        <v>69.0</v>
      </c>
      <c r="E4105" s="75"/>
      <c r="F4105" s="67">
        <v>4.796755826</v>
      </c>
      <c r="G4105" s="40">
        <v>1.892245634</v>
      </c>
      <c r="H4105" s="40"/>
      <c r="I4105" s="41">
        <v>0.405797101</v>
      </c>
      <c r="J4105" s="41">
        <v>0.130434783</v>
      </c>
      <c r="K4105" s="41">
        <v>0.463768116</v>
      </c>
      <c r="L4105" s="41"/>
      <c r="M4105" s="74">
        <v>-1.598454422</v>
      </c>
    </row>
    <row r="4106">
      <c r="A4106" s="1" t="s">
        <v>205</v>
      </c>
      <c r="B4106" s="38">
        <v>666142.0</v>
      </c>
      <c r="C4106" s="72">
        <v>45813.0</v>
      </c>
      <c r="D4106" s="38">
        <v>76.0</v>
      </c>
      <c r="E4106" s="75"/>
      <c r="F4106" s="67">
        <v>4.796396122</v>
      </c>
      <c r="G4106" s="40">
        <v>2.071572424</v>
      </c>
      <c r="H4106" s="40"/>
      <c r="I4106" s="41">
        <v>0.5</v>
      </c>
      <c r="J4106" s="41">
        <v>0.092105263</v>
      </c>
      <c r="K4106" s="41">
        <v>0.407894737</v>
      </c>
      <c r="L4106" s="41"/>
      <c r="M4106" s="74">
        <v>-2.100035477</v>
      </c>
    </row>
    <row r="4107">
      <c r="A4107" s="1" t="s">
        <v>521</v>
      </c>
      <c r="B4107" s="38">
        <v>686799.0</v>
      </c>
      <c r="C4107" s="72">
        <v>45776.0</v>
      </c>
      <c r="D4107" s="38">
        <v>88.0</v>
      </c>
      <c r="E4107" s="75"/>
      <c r="F4107" s="67">
        <v>4.796291206</v>
      </c>
      <c r="G4107" s="40">
        <v>2.462544475</v>
      </c>
      <c r="H4107" s="40"/>
      <c r="I4107" s="41">
        <v>0.454545455</v>
      </c>
      <c r="J4107" s="41">
        <v>0.159090909</v>
      </c>
      <c r="K4107" s="41">
        <v>0.386363636</v>
      </c>
      <c r="L4107" s="41"/>
      <c r="M4107" s="74">
        <v>3.311060525</v>
      </c>
    </row>
    <row r="4108">
      <c r="A4108" s="1" t="s">
        <v>246</v>
      </c>
      <c r="B4108" s="38">
        <v>571510.0</v>
      </c>
      <c r="C4108" s="72">
        <v>45912.0</v>
      </c>
      <c r="D4108" s="38">
        <v>82.0</v>
      </c>
      <c r="E4108" s="75"/>
      <c r="F4108" s="67">
        <v>4.796068617</v>
      </c>
      <c r="G4108" s="40">
        <v>2.22493217</v>
      </c>
      <c r="H4108" s="40"/>
      <c r="I4108" s="41">
        <v>0.402439024</v>
      </c>
      <c r="J4108" s="41">
        <v>0.146341463</v>
      </c>
      <c r="K4108" s="41">
        <v>0.451219512</v>
      </c>
      <c r="L4108" s="41"/>
      <c r="M4108" s="74">
        <v>0.04735015</v>
      </c>
    </row>
    <row r="4109">
      <c r="A4109" s="1" t="s">
        <v>303</v>
      </c>
      <c r="B4109" s="38">
        <v>592662.0</v>
      </c>
      <c r="C4109" s="72">
        <v>45752.0</v>
      </c>
      <c r="D4109" s="38">
        <v>88.0</v>
      </c>
      <c r="E4109" s="75"/>
      <c r="F4109" s="67">
        <v>4.795909586</v>
      </c>
      <c r="G4109" s="40">
        <v>2.446491373</v>
      </c>
      <c r="H4109" s="40"/>
      <c r="I4109" s="41">
        <v>0.443181818</v>
      </c>
      <c r="J4109" s="41">
        <v>0.181818182</v>
      </c>
      <c r="K4109" s="41">
        <v>0.375</v>
      </c>
      <c r="L4109" s="41"/>
      <c r="M4109" s="74">
        <v>0.886369346</v>
      </c>
    </row>
    <row r="4110">
      <c r="A4110" s="1" t="s">
        <v>332</v>
      </c>
      <c r="B4110" s="38">
        <v>641778.0</v>
      </c>
      <c r="C4110" s="72">
        <v>45800.0</v>
      </c>
      <c r="D4110" s="38">
        <v>82.0</v>
      </c>
      <c r="E4110" s="75"/>
      <c r="F4110" s="67">
        <v>4.795866356</v>
      </c>
      <c r="G4110" s="40">
        <v>2.273667727</v>
      </c>
      <c r="H4110" s="40"/>
      <c r="I4110" s="41">
        <v>0.451219512</v>
      </c>
      <c r="J4110" s="41">
        <v>0.158536585</v>
      </c>
      <c r="K4110" s="41">
        <v>0.390243902</v>
      </c>
      <c r="L4110" s="41"/>
      <c r="M4110" s="74">
        <v>-0.250763771</v>
      </c>
    </row>
    <row r="4111">
      <c r="A4111" s="1" t="s">
        <v>242</v>
      </c>
      <c r="B4111" s="38">
        <v>669358.0</v>
      </c>
      <c r="C4111" s="72">
        <v>45766.0</v>
      </c>
      <c r="D4111" s="38">
        <v>82.0</v>
      </c>
      <c r="E4111" s="75"/>
      <c r="F4111" s="67">
        <v>4.795644322</v>
      </c>
      <c r="G4111" s="40">
        <v>2.247847123</v>
      </c>
      <c r="H4111" s="40"/>
      <c r="I4111" s="41">
        <v>0.487804878</v>
      </c>
      <c r="J4111" s="41">
        <v>0.109756098</v>
      </c>
      <c r="K4111" s="41">
        <v>0.402439024</v>
      </c>
      <c r="L4111" s="41"/>
      <c r="M4111" s="74">
        <v>0.33342234</v>
      </c>
    </row>
    <row r="4112">
      <c r="A4112" s="1" t="s">
        <v>281</v>
      </c>
      <c r="B4112" s="38">
        <v>622663.0</v>
      </c>
      <c r="C4112" s="72">
        <v>45832.0</v>
      </c>
      <c r="D4112" s="38">
        <v>96.0</v>
      </c>
      <c r="E4112" s="75"/>
      <c r="F4112" s="67">
        <v>4.795276292</v>
      </c>
      <c r="G4112" s="40">
        <v>2.61970059</v>
      </c>
      <c r="H4112" s="40"/>
      <c r="I4112" s="41">
        <v>0.416666667</v>
      </c>
      <c r="J4112" s="41">
        <v>0.1875</v>
      </c>
      <c r="K4112" s="41">
        <v>0.395833333</v>
      </c>
      <c r="L4112" s="41"/>
      <c r="M4112" s="74">
        <v>-1.329215881</v>
      </c>
    </row>
    <row r="4113">
      <c r="A4113" s="1" t="s">
        <v>477</v>
      </c>
      <c r="B4113" s="38">
        <v>677958.0</v>
      </c>
      <c r="C4113" s="72">
        <v>45823.0</v>
      </c>
      <c r="D4113" s="38">
        <v>78.0</v>
      </c>
      <c r="E4113" s="75"/>
      <c r="F4113" s="67">
        <v>4.794897684</v>
      </c>
      <c r="G4113" s="40">
        <v>2.141567703</v>
      </c>
      <c r="H4113" s="40"/>
      <c r="I4113" s="41">
        <v>0.41025641</v>
      </c>
      <c r="J4113" s="41">
        <v>0.217948718</v>
      </c>
      <c r="K4113" s="41">
        <v>0.371794872</v>
      </c>
      <c r="L4113" s="41"/>
      <c r="M4113" s="74">
        <v>1.83789647</v>
      </c>
    </row>
    <row r="4114">
      <c r="A4114" s="1" t="s">
        <v>481</v>
      </c>
      <c r="B4114" s="38">
        <v>622608.0</v>
      </c>
      <c r="C4114" s="72">
        <v>45786.0</v>
      </c>
      <c r="D4114" s="38">
        <v>88.0</v>
      </c>
      <c r="E4114" s="75"/>
      <c r="F4114" s="67">
        <v>4.794314347</v>
      </c>
      <c r="G4114" s="40">
        <v>2.426159169</v>
      </c>
      <c r="H4114" s="40"/>
      <c r="I4114" s="41">
        <v>0.454545455</v>
      </c>
      <c r="J4114" s="41">
        <v>0.170454545</v>
      </c>
      <c r="K4114" s="41">
        <v>0.375</v>
      </c>
      <c r="L4114" s="41"/>
      <c r="M4114" s="74">
        <v>-3.403982421</v>
      </c>
    </row>
    <row r="4115">
      <c r="A4115" s="1" t="s">
        <v>263</v>
      </c>
      <c r="B4115" s="38">
        <v>694297.0</v>
      </c>
      <c r="C4115" s="72">
        <v>45780.0</v>
      </c>
      <c r="D4115" s="38">
        <v>90.0</v>
      </c>
      <c r="E4115" s="75"/>
      <c r="F4115" s="67">
        <v>4.794075022</v>
      </c>
      <c r="G4115" s="40">
        <v>2.472074843</v>
      </c>
      <c r="H4115" s="40"/>
      <c r="I4115" s="41">
        <v>0.477777778</v>
      </c>
      <c r="J4115" s="41">
        <v>0.1</v>
      </c>
      <c r="K4115" s="41">
        <v>0.422222222</v>
      </c>
      <c r="L4115" s="41"/>
      <c r="M4115" s="74">
        <v>-4.533757031</v>
      </c>
    </row>
    <row r="4116">
      <c r="A4116" s="1" t="s">
        <v>521</v>
      </c>
      <c r="B4116" s="38">
        <v>686799.0</v>
      </c>
      <c r="C4116" s="72">
        <v>45752.0</v>
      </c>
      <c r="D4116" s="38">
        <v>77.0</v>
      </c>
      <c r="E4116" s="75"/>
      <c r="F4116" s="67">
        <v>4.794031481</v>
      </c>
      <c r="G4116" s="40">
        <v>2.104712392</v>
      </c>
      <c r="H4116" s="40"/>
      <c r="I4116" s="41">
        <v>0.415584416</v>
      </c>
      <c r="J4116" s="41">
        <v>0.194805195</v>
      </c>
      <c r="K4116" s="41">
        <v>0.38961039</v>
      </c>
      <c r="L4116" s="41"/>
      <c r="M4116" s="74">
        <v>0.625510132</v>
      </c>
    </row>
    <row r="4117">
      <c r="A4117" s="1" t="s">
        <v>377</v>
      </c>
      <c r="B4117" s="38">
        <v>695549.0</v>
      </c>
      <c r="C4117" s="72">
        <v>45747.0</v>
      </c>
      <c r="D4117" s="38">
        <v>73.0</v>
      </c>
      <c r="E4117" s="75"/>
      <c r="F4117" s="67">
        <v>4.793839176</v>
      </c>
      <c r="G4117" s="40">
        <v>1.9925868</v>
      </c>
      <c r="H4117" s="40"/>
      <c r="I4117" s="41">
        <v>0.410958904</v>
      </c>
      <c r="J4117" s="41">
        <v>0.178082192</v>
      </c>
      <c r="K4117" s="41">
        <v>0.410958904</v>
      </c>
      <c r="L4117" s="41"/>
      <c r="M4117" s="74">
        <v>0.808568904</v>
      </c>
    </row>
    <row r="4118">
      <c r="A4118" s="1" t="s">
        <v>153</v>
      </c>
      <c r="B4118" s="38">
        <v>669302.0</v>
      </c>
      <c r="C4118" s="72">
        <v>45865.0</v>
      </c>
      <c r="D4118" s="38">
        <v>82.0</v>
      </c>
      <c r="E4118" s="75"/>
      <c r="F4118" s="67">
        <v>4.793461494</v>
      </c>
      <c r="G4118" s="40">
        <v>2.272196931</v>
      </c>
      <c r="H4118" s="40"/>
      <c r="I4118" s="41">
        <v>0.37804878</v>
      </c>
      <c r="J4118" s="41">
        <v>0.195121951</v>
      </c>
      <c r="K4118" s="41">
        <v>0.426829268</v>
      </c>
      <c r="L4118" s="41"/>
      <c r="M4118" s="74">
        <v>1.512635362</v>
      </c>
    </row>
    <row r="4119">
      <c r="A4119" s="1" t="s">
        <v>477</v>
      </c>
      <c r="B4119" s="38">
        <v>677958.0</v>
      </c>
      <c r="C4119" s="72">
        <v>45753.0</v>
      </c>
      <c r="D4119" s="38">
        <v>76.0</v>
      </c>
      <c r="E4119" s="75"/>
      <c r="F4119" s="67">
        <v>4.793328303</v>
      </c>
      <c r="G4119" s="40">
        <v>2.086641885</v>
      </c>
      <c r="H4119" s="40"/>
      <c r="I4119" s="41">
        <v>0.355263158</v>
      </c>
      <c r="J4119" s="41">
        <v>0.236842105</v>
      </c>
      <c r="K4119" s="41">
        <v>0.407894737</v>
      </c>
      <c r="L4119" s="41"/>
      <c r="M4119" s="74">
        <v>-0.308056731</v>
      </c>
    </row>
    <row r="4120">
      <c r="A4120" s="1" t="s">
        <v>287</v>
      </c>
      <c r="B4120" s="38">
        <v>571945.0</v>
      </c>
      <c r="C4120" s="72">
        <v>45782.0</v>
      </c>
      <c r="D4120" s="38">
        <v>82.0</v>
      </c>
      <c r="E4120" s="75"/>
      <c r="F4120" s="67">
        <v>4.793019657</v>
      </c>
      <c r="G4120" s="40">
        <v>2.27441084</v>
      </c>
      <c r="H4120" s="40"/>
      <c r="I4120" s="41">
        <v>0.390243902</v>
      </c>
      <c r="J4120" s="41">
        <v>0.231707317</v>
      </c>
      <c r="K4120" s="41">
        <v>0.37804878</v>
      </c>
      <c r="L4120" s="41"/>
      <c r="M4120" s="74">
        <v>1.55604407</v>
      </c>
    </row>
    <row r="4121">
      <c r="A4121" s="1" t="s">
        <v>459</v>
      </c>
      <c r="B4121" s="38">
        <v>664062.0</v>
      </c>
      <c r="C4121" s="72">
        <v>45807.0</v>
      </c>
      <c r="D4121" s="38">
        <v>89.0</v>
      </c>
      <c r="E4121" s="75"/>
      <c r="F4121" s="67">
        <v>4.792736591</v>
      </c>
      <c r="G4121" s="40">
        <v>2.465800993</v>
      </c>
      <c r="H4121" s="40"/>
      <c r="I4121" s="41">
        <v>0.382022472</v>
      </c>
      <c r="J4121" s="41">
        <v>0.157303371</v>
      </c>
      <c r="K4121" s="41">
        <v>0.460674157</v>
      </c>
      <c r="L4121" s="41"/>
      <c r="M4121" s="74">
        <v>-0.007482829</v>
      </c>
    </row>
    <row r="4122">
      <c r="A4122" s="1" t="s">
        <v>332</v>
      </c>
      <c r="B4122" s="38">
        <v>641778.0</v>
      </c>
      <c r="C4122" s="72">
        <v>45879.0</v>
      </c>
      <c r="D4122" s="38">
        <v>70.0</v>
      </c>
      <c r="E4122" s="75"/>
      <c r="F4122" s="67">
        <v>4.792363222</v>
      </c>
      <c r="G4122" s="40">
        <v>1.926516007</v>
      </c>
      <c r="H4122" s="40"/>
      <c r="I4122" s="41">
        <v>0.457142857</v>
      </c>
      <c r="J4122" s="41">
        <v>0.171428571</v>
      </c>
      <c r="K4122" s="41">
        <v>0.371428571</v>
      </c>
      <c r="L4122" s="41"/>
      <c r="M4122" s="74">
        <v>-1.99830082</v>
      </c>
    </row>
    <row r="4123">
      <c r="A4123" s="1" t="s">
        <v>336</v>
      </c>
      <c r="B4123" s="38">
        <v>605488.0</v>
      </c>
      <c r="C4123" s="72">
        <v>45892.0</v>
      </c>
      <c r="D4123" s="38">
        <v>72.0</v>
      </c>
      <c r="E4123" s="75"/>
      <c r="F4123" s="67">
        <v>4.79229153</v>
      </c>
      <c r="G4123" s="40">
        <v>1.980332382</v>
      </c>
      <c r="H4123" s="40"/>
      <c r="I4123" s="41">
        <v>0.388888889</v>
      </c>
      <c r="J4123" s="41">
        <v>0.208333333</v>
      </c>
      <c r="K4123" s="41">
        <v>0.402777778</v>
      </c>
      <c r="L4123" s="41"/>
      <c r="M4123" s="74">
        <v>1.73720142</v>
      </c>
    </row>
    <row r="4124">
      <c r="A4124" s="1" t="s">
        <v>372</v>
      </c>
      <c r="B4124" s="38">
        <v>671106.0</v>
      </c>
      <c r="C4124" s="72">
        <v>45928.0</v>
      </c>
      <c r="D4124" s="38">
        <v>88.0</v>
      </c>
      <c r="E4124" s="75"/>
      <c r="F4124" s="67">
        <v>4.79226796</v>
      </c>
      <c r="G4124" s="40">
        <v>2.416346666</v>
      </c>
      <c r="H4124" s="40"/>
      <c r="I4124" s="41">
        <v>0.409090909</v>
      </c>
      <c r="J4124" s="41">
        <v>0.227272727</v>
      </c>
      <c r="K4124" s="41">
        <v>0.363636364</v>
      </c>
      <c r="L4124" s="41"/>
      <c r="M4124" s="74">
        <v>0.343030847</v>
      </c>
    </row>
    <row r="4125">
      <c r="A4125" s="1" t="s">
        <v>423</v>
      </c>
      <c r="B4125" s="38">
        <v>656605.0</v>
      </c>
      <c r="C4125" s="72">
        <v>45882.0</v>
      </c>
      <c r="D4125" s="38">
        <v>84.0</v>
      </c>
      <c r="E4125" s="75"/>
      <c r="F4125" s="67">
        <v>4.792254788</v>
      </c>
      <c r="G4125" s="40">
        <v>2.316805716</v>
      </c>
      <c r="H4125" s="40"/>
      <c r="I4125" s="41">
        <v>0.428571429</v>
      </c>
      <c r="J4125" s="41">
        <v>0.166666667</v>
      </c>
      <c r="K4125" s="41">
        <v>0.404761905</v>
      </c>
      <c r="L4125" s="41"/>
      <c r="M4125" s="74">
        <v>-2.744348811</v>
      </c>
    </row>
    <row r="4126">
      <c r="A4126" s="1" t="s">
        <v>480</v>
      </c>
      <c r="B4126" s="38">
        <v>647336.0</v>
      </c>
      <c r="C4126" s="72">
        <v>45784.0</v>
      </c>
      <c r="D4126" s="38">
        <v>73.0</v>
      </c>
      <c r="E4126" s="75"/>
      <c r="F4126" s="67">
        <v>4.792176493</v>
      </c>
      <c r="G4126" s="40">
        <v>2.033632193</v>
      </c>
      <c r="H4126" s="40"/>
      <c r="I4126" s="41">
        <v>0.452054795</v>
      </c>
      <c r="J4126" s="41">
        <v>0.109589041</v>
      </c>
      <c r="K4126" s="41">
        <v>0.438356164</v>
      </c>
      <c r="L4126" s="41"/>
      <c r="M4126" s="74">
        <v>0.007540662</v>
      </c>
    </row>
    <row r="4127">
      <c r="A4127" s="1" t="s">
        <v>549</v>
      </c>
      <c r="B4127" s="38">
        <v>685326.0</v>
      </c>
      <c r="C4127" s="72">
        <v>45923.0</v>
      </c>
      <c r="D4127" s="38">
        <v>79.0</v>
      </c>
      <c r="E4127" s="75"/>
      <c r="F4127" s="67">
        <v>4.791974702</v>
      </c>
      <c r="G4127" s="40">
        <v>2.152995493</v>
      </c>
      <c r="H4127" s="40"/>
      <c r="I4127" s="41">
        <v>0.430379747</v>
      </c>
      <c r="J4127" s="41">
        <v>0.189873418</v>
      </c>
      <c r="K4127" s="41">
        <v>0.379746835</v>
      </c>
      <c r="L4127" s="41"/>
      <c r="M4127" s="74">
        <v>1.755191957</v>
      </c>
    </row>
    <row r="4128">
      <c r="A4128" s="1" t="s">
        <v>425</v>
      </c>
      <c r="B4128" s="38">
        <v>621244.0</v>
      </c>
      <c r="C4128" s="72">
        <v>45778.0</v>
      </c>
      <c r="D4128" s="38">
        <v>81.0</v>
      </c>
      <c r="E4128" s="75"/>
      <c r="F4128" s="67">
        <v>4.79107851</v>
      </c>
      <c r="G4128" s="40">
        <v>2.236709701</v>
      </c>
      <c r="H4128" s="40"/>
      <c r="I4128" s="41">
        <v>0.419753086</v>
      </c>
      <c r="J4128" s="41">
        <v>0.12345679</v>
      </c>
      <c r="K4128" s="41">
        <v>0.456790123</v>
      </c>
      <c r="L4128" s="41"/>
      <c r="M4128" s="74">
        <v>-2.242948089</v>
      </c>
    </row>
    <row r="4129">
      <c r="A4129" s="1" t="s">
        <v>372</v>
      </c>
      <c r="B4129" s="38">
        <v>671106.0</v>
      </c>
      <c r="C4129" s="72">
        <v>45904.0</v>
      </c>
      <c r="D4129" s="38">
        <v>92.0</v>
      </c>
      <c r="E4129" s="75"/>
      <c r="F4129" s="67">
        <v>4.790720709</v>
      </c>
      <c r="G4129" s="40">
        <v>2.544328594</v>
      </c>
      <c r="H4129" s="40"/>
      <c r="I4129" s="41">
        <v>0.315217391</v>
      </c>
      <c r="J4129" s="41">
        <v>0.326086957</v>
      </c>
      <c r="K4129" s="41">
        <v>0.358695652</v>
      </c>
      <c r="L4129" s="41"/>
      <c r="M4129" s="74">
        <v>-0.320159196</v>
      </c>
    </row>
    <row r="4130">
      <c r="A4130" s="1" t="s">
        <v>411</v>
      </c>
      <c r="B4130" s="38">
        <v>605288.0</v>
      </c>
      <c r="C4130" s="72">
        <v>45879.0</v>
      </c>
      <c r="D4130" s="38">
        <v>89.0</v>
      </c>
      <c r="E4130" s="75"/>
      <c r="F4130" s="67">
        <v>4.790699948</v>
      </c>
      <c r="G4130" s="40">
        <v>2.462516645</v>
      </c>
      <c r="H4130" s="40"/>
      <c r="I4130" s="41">
        <v>0.415730337</v>
      </c>
      <c r="J4130" s="41">
        <v>0.202247191</v>
      </c>
      <c r="K4130" s="41">
        <v>0.382022472</v>
      </c>
      <c r="L4130" s="41"/>
      <c r="M4130" s="74">
        <v>0.094549716</v>
      </c>
    </row>
    <row r="4131">
      <c r="A4131" s="1" t="s">
        <v>472</v>
      </c>
      <c r="B4131" s="38">
        <v>675911.0</v>
      </c>
      <c r="C4131" s="72">
        <v>45921.0</v>
      </c>
      <c r="D4131" s="38">
        <v>100.0</v>
      </c>
      <c r="E4131" s="75"/>
      <c r="F4131" s="67">
        <v>4.79063789</v>
      </c>
      <c r="G4131" s="40">
        <v>2.736638331</v>
      </c>
      <c r="H4131" s="40"/>
      <c r="I4131" s="41">
        <v>0.45</v>
      </c>
      <c r="J4131" s="41">
        <v>0.15</v>
      </c>
      <c r="K4131" s="41">
        <v>0.4</v>
      </c>
      <c r="L4131" s="41"/>
      <c r="M4131" s="74">
        <v>-1.407035861</v>
      </c>
    </row>
    <row r="4132">
      <c r="A4132" s="1" t="s">
        <v>339</v>
      </c>
      <c r="B4132" s="38">
        <v>686613.0</v>
      </c>
      <c r="C4132" s="72">
        <v>45828.0</v>
      </c>
      <c r="D4132" s="38">
        <v>86.0</v>
      </c>
      <c r="E4132" s="75"/>
      <c r="F4132" s="67">
        <v>4.789835555</v>
      </c>
      <c r="G4132" s="40">
        <v>2.362555218</v>
      </c>
      <c r="H4132" s="40"/>
      <c r="I4132" s="41">
        <v>0.430232558</v>
      </c>
      <c r="J4132" s="41">
        <v>0.139534884</v>
      </c>
      <c r="K4132" s="41">
        <v>0.430232558</v>
      </c>
      <c r="L4132" s="41"/>
      <c r="M4132" s="74">
        <v>2.473151688</v>
      </c>
    </row>
    <row r="4133">
      <c r="A4133" s="1" t="s">
        <v>476</v>
      </c>
      <c r="B4133" s="38">
        <v>500779.0</v>
      </c>
      <c r="C4133" s="72">
        <v>45908.0</v>
      </c>
      <c r="D4133" s="38">
        <v>85.0</v>
      </c>
      <c r="E4133" s="75"/>
      <c r="F4133" s="67">
        <v>4.789455735</v>
      </c>
      <c r="G4133" s="40">
        <v>2.35761445</v>
      </c>
      <c r="H4133" s="40"/>
      <c r="I4133" s="41">
        <v>0.411764706</v>
      </c>
      <c r="J4133" s="41">
        <v>0.2</v>
      </c>
      <c r="K4133" s="41">
        <v>0.388235294</v>
      </c>
      <c r="L4133" s="41"/>
      <c r="M4133" s="74">
        <v>1.688944762</v>
      </c>
    </row>
    <row r="4134">
      <c r="A4134" s="1" t="s">
        <v>133</v>
      </c>
      <c r="B4134" s="38">
        <v>663978.0</v>
      </c>
      <c r="C4134" s="72">
        <v>45928.0</v>
      </c>
      <c r="D4134" s="38">
        <v>99.0</v>
      </c>
      <c r="E4134" s="75"/>
      <c r="F4134" s="67">
        <v>4.789232868</v>
      </c>
      <c r="G4134" s="40">
        <v>2.703066457</v>
      </c>
      <c r="H4134" s="40"/>
      <c r="I4134" s="41">
        <v>0.404040404</v>
      </c>
      <c r="J4134" s="41">
        <v>0.171717172</v>
      </c>
      <c r="K4134" s="41">
        <v>0.424242424</v>
      </c>
      <c r="L4134" s="41"/>
      <c r="M4134" s="74">
        <v>-1.534980997</v>
      </c>
    </row>
    <row r="4135">
      <c r="A4135" s="1" t="s">
        <v>579</v>
      </c>
      <c r="B4135" s="38">
        <v>686730.0</v>
      </c>
      <c r="C4135" s="72">
        <v>45748.0</v>
      </c>
      <c r="D4135" s="38">
        <v>82.0</v>
      </c>
      <c r="E4135" s="75"/>
      <c r="F4135" s="67">
        <v>4.78808299</v>
      </c>
      <c r="G4135" s="40">
        <v>2.24230315</v>
      </c>
      <c r="H4135" s="40"/>
      <c r="I4135" s="41">
        <v>0.463414634</v>
      </c>
      <c r="J4135" s="41">
        <v>0.170731707</v>
      </c>
      <c r="K4135" s="41">
        <v>0.365853659</v>
      </c>
      <c r="L4135" s="41"/>
      <c r="M4135" s="74">
        <v>0.753597782</v>
      </c>
    </row>
    <row r="4136">
      <c r="A4136" s="1" t="s">
        <v>181</v>
      </c>
      <c r="B4136" s="38">
        <v>641154.0</v>
      </c>
      <c r="C4136" s="72">
        <v>45788.0</v>
      </c>
      <c r="D4136" s="38">
        <v>85.0</v>
      </c>
      <c r="E4136" s="75"/>
      <c r="F4136" s="67">
        <v>4.787933603</v>
      </c>
      <c r="G4136" s="40">
        <v>2.363265025</v>
      </c>
      <c r="H4136" s="40"/>
      <c r="I4136" s="41">
        <v>0.447058824</v>
      </c>
      <c r="J4136" s="41">
        <v>0.141176471</v>
      </c>
      <c r="K4136" s="41">
        <v>0.411764706</v>
      </c>
      <c r="L4136" s="41"/>
      <c r="M4136" s="74">
        <v>0.581265433</v>
      </c>
    </row>
    <row r="4137">
      <c r="A4137" s="1" t="s">
        <v>329</v>
      </c>
      <c r="B4137" s="38">
        <v>669160.0</v>
      </c>
      <c r="C4137" s="72">
        <v>45781.0</v>
      </c>
      <c r="D4137" s="38">
        <v>92.0</v>
      </c>
      <c r="E4137" s="75"/>
      <c r="F4137" s="67">
        <v>4.787836049</v>
      </c>
      <c r="G4137" s="40">
        <v>2.503270079</v>
      </c>
      <c r="H4137" s="40"/>
      <c r="I4137" s="41">
        <v>0.423913043</v>
      </c>
      <c r="J4137" s="41">
        <v>0.163043478</v>
      </c>
      <c r="K4137" s="41">
        <v>0.413043478</v>
      </c>
      <c r="L4137" s="41"/>
      <c r="M4137" s="74">
        <v>2.033056773</v>
      </c>
    </row>
    <row r="4138">
      <c r="A4138" s="1" t="s">
        <v>408</v>
      </c>
      <c r="B4138" s="38">
        <v>657376.0</v>
      </c>
      <c r="C4138" s="72">
        <v>45774.0</v>
      </c>
      <c r="D4138" s="38">
        <v>79.0</v>
      </c>
      <c r="E4138" s="75"/>
      <c r="F4138" s="67">
        <v>4.787773306</v>
      </c>
      <c r="G4138" s="40">
        <v>2.144064868</v>
      </c>
      <c r="H4138" s="40"/>
      <c r="I4138" s="41">
        <v>0.443037975</v>
      </c>
      <c r="J4138" s="41">
        <v>0.17721519</v>
      </c>
      <c r="K4138" s="41">
        <v>0.379746835</v>
      </c>
      <c r="L4138" s="41"/>
      <c r="M4138" s="74">
        <v>2.786492594</v>
      </c>
    </row>
    <row r="4139">
      <c r="A4139" s="1" t="s">
        <v>421</v>
      </c>
      <c r="B4139" s="38">
        <v>607192.0</v>
      </c>
      <c r="C4139" s="72">
        <v>45867.0</v>
      </c>
      <c r="D4139" s="38">
        <v>81.0</v>
      </c>
      <c r="E4139" s="75"/>
      <c r="F4139" s="67">
        <v>4.787182667</v>
      </c>
      <c r="G4139" s="40">
        <v>2.218753041</v>
      </c>
      <c r="H4139" s="40"/>
      <c r="I4139" s="41">
        <v>0.444444444</v>
      </c>
      <c r="J4139" s="41">
        <v>0.135802469</v>
      </c>
      <c r="K4139" s="41">
        <v>0.419753086</v>
      </c>
      <c r="L4139" s="41"/>
      <c r="M4139" s="74">
        <v>0.671798791</v>
      </c>
    </row>
    <row r="4140">
      <c r="A4140" s="1" t="s">
        <v>514</v>
      </c>
      <c r="B4140" s="38">
        <v>806185.0</v>
      </c>
      <c r="C4140" s="72">
        <v>45828.0</v>
      </c>
      <c r="D4140" s="38">
        <v>84.0</v>
      </c>
      <c r="E4140" s="75"/>
      <c r="F4140" s="67">
        <v>4.78700926</v>
      </c>
      <c r="G4140" s="40">
        <v>2.341306778</v>
      </c>
      <c r="H4140" s="40"/>
      <c r="I4140" s="41">
        <v>0.452380952</v>
      </c>
      <c r="J4140" s="41">
        <v>0.130952381</v>
      </c>
      <c r="K4140" s="41">
        <v>0.416666667</v>
      </c>
      <c r="L4140" s="41"/>
      <c r="M4140" s="74">
        <v>-2.484106082</v>
      </c>
    </row>
    <row r="4141">
      <c r="A4141" s="1" t="s">
        <v>380</v>
      </c>
      <c r="B4141" s="38">
        <v>661563.0</v>
      </c>
      <c r="C4141" s="72">
        <v>45906.0</v>
      </c>
      <c r="D4141" s="38">
        <v>90.0</v>
      </c>
      <c r="E4141" s="75"/>
      <c r="F4141" s="67">
        <v>4.786834577</v>
      </c>
      <c r="G4141" s="40">
        <v>2.49701722</v>
      </c>
      <c r="H4141" s="40"/>
      <c r="I4141" s="41">
        <v>0.488888889</v>
      </c>
      <c r="J4141" s="41">
        <v>0.122222222</v>
      </c>
      <c r="K4141" s="41">
        <v>0.388888889</v>
      </c>
      <c r="L4141" s="41"/>
      <c r="M4141" s="74">
        <v>1.514236263</v>
      </c>
    </row>
    <row r="4142">
      <c r="A4142" s="1" t="s">
        <v>255</v>
      </c>
      <c r="B4142" s="38">
        <v>688138.0</v>
      </c>
      <c r="C4142" s="72">
        <v>45878.0</v>
      </c>
      <c r="D4142" s="38">
        <v>88.0</v>
      </c>
      <c r="E4142" s="75"/>
      <c r="F4142" s="67">
        <v>4.786670507</v>
      </c>
      <c r="G4142" s="40">
        <v>2.406417277</v>
      </c>
      <c r="H4142" s="40"/>
      <c r="I4142" s="41">
        <v>0.409090909</v>
      </c>
      <c r="J4142" s="41">
        <v>0.181818182</v>
      </c>
      <c r="K4142" s="41">
        <v>0.409090909</v>
      </c>
      <c r="L4142" s="41"/>
      <c r="M4142" s="74">
        <v>2.151686767</v>
      </c>
    </row>
    <row r="4143">
      <c r="A4143" s="1" t="s">
        <v>379</v>
      </c>
      <c r="B4143" s="38">
        <v>593423.0</v>
      </c>
      <c r="C4143" s="72">
        <v>45866.0</v>
      </c>
      <c r="D4143" s="38">
        <v>82.0</v>
      </c>
      <c r="E4143" s="75"/>
      <c r="F4143" s="67">
        <v>4.7861446</v>
      </c>
      <c r="G4143" s="40">
        <v>2.282616162</v>
      </c>
      <c r="H4143" s="40"/>
      <c r="I4143" s="41">
        <v>0.365853659</v>
      </c>
      <c r="J4143" s="41">
        <v>0.219512195</v>
      </c>
      <c r="K4143" s="41">
        <v>0.414634146</v>
      </c>
      <c r="L4143" s="41"/>
      <c r="M4143" s="74">
        <v>-3.402081953</v>
      </c>
    </row>
    <row r="4144">
      <c r="A4144" s="1" t="s">
        <v>466</v>
      </c>
      <c r="B4144" s="38">
        <v>687134.0</v>
      </c>
      <c r="C4144" s="72">
        <v>45774.0</v>
      </c>
      <c r="D4144" s="38">
        <v>77.0</v>
      </c>
      <c r="E4144" s="75"/>
      <c r="F4144" s="67">
        <v>4.786039687</v>
      </c>
      <c r="G4144" s="40">
        <v>2.154078021</v>
      </c>
      <c r="H4144" s="40"/>
      <c r="I4144" s="41">
        <v>0.363636364</v>
      </c>
      <c r="J4144" s="41">
        <v>0.220779221</v>
      </c>
      <c r="K4144" s="41">
        <v>0.415584416</v>
      </c>
      <c r="L4144" s="41"/>
      <c r="M4144" s="74">
        <v>-0.754930702</v>
      </c>
    </row>
    <row r="4145">
      <c r="A4145" s="1" t="s">
        <v>452</v>
      </c>
      <c r="B4145" s="38">
        <v>607625.0</v>
      </c>
      <c r="C4145" s="72">
        <v>45756.0</v>
      </c>
      <c r="D4145" s="38">
        <v>109.0</v>
      </c>
      <c r="E4145" s="75"/>
      <c r="F4145" s="67">
        <v>4.785673569</v>
      </c>
      <c r="G4145" s="40">
        <v>2.9946844</v>
      </c>
      <c r="H4145" s="40"/>
      <c r="I4145" s="41">
        <v>0.376146789</v>
      </c>
      <c r="J4145" s="41">
        <v>0.211009174</v>
      </c>
      <c r="K4145" s="41">
        <v>0.412844037</v>
      </c>
      <c r="L4145" s="41"/>
      <c r="M4145" s="74">
        <v>1.561273474</v>
      </c>
    </row>
    <row r="4146">
      <c r="A4146" s="1" t="s">
        <v>313</v>
      </c>
      <c r="B4146" s="38">
        <v>607067.0</v>
      </c>
      <c r="C4146" s="72">
        <v>45872.0</v>
      </c>
      <c r="D4146" s="38">
        <v>73.0</v>
      </c>
      <c r="E4146" s="75"/>
      <c r="F4146" s="67">
        <v>4.785105919</v>
      </c>
      <c r="G4146" s="40">
        <v>2.024623638</v>
      </c>
      <c r="H4146" s="40"/>
      <c r="I4146" s="41">
        <v>0.410958904</v>
      </c>
      <c r="J4146" s="41">
        <v>0.315068493</v>
      </c>
      <c r="K4146" s="41">
        <v>0.273972603</v>
      </c>
      <c r="L4146" s="41"/>
      <c r="M4146" s="74">
        <v>0.195780882</v>
      </c>
    </row>
    <row r="4147">
      <c r="A4147" s="1" t="s">
        <v>423</v>
      </c>
      <c r="B4147" s="38">
        <v>656605.0</v>
      </c>
      <c r="C4147" s="72">
        <v>45751.0</v>
      </c>
      <c r="D4147" s="38">
        <v>95.0</v>
      </c>
      <c r="E4147" s="75"/>
      <c r="F4147" s="67">
        <v>4.784934401</v>
      </c>
      <c r="G4147" s="40">
        <v>2.65225938</v>
      </c>
      <c r="H4147" s="40"/>
      <c r="I4147" s="41">
        <v>0.4</v>
      </c>
      <c r="J4147" s="41">
        <v>0.178947368</v>
      </c>
      <c r="K4147" s="41">
        <v>0.421052632</v>
      </c>
      <c r="L4147" s="41"/>
      <c r="M4147" s="74">
        <v>-2.420390073</v>
      </c>
    </row>
    <row r="4148">
      <c r="A4148" s="1" t="s">
        <v>516</v>
      </c>
      <c r="B4148" s="38">
        <v>700363.0</v>
      </c>
      <c r="C4148" s="72">
        <v>45782.0</v>
      </c>
      <c r="D4148" s="38">
        <v>99.0</v>
      </c>
      <c r="E4148" s="75"/>
      <c r="F4148" s="67">
        <v>4.784905538</v>
      </c>
      <c r="G4148" s="40">
        <v>2.740794903</v>
      </c>
      <c r="H4148" s="40"/>
      <c r="I4148" s="41">
        <v>0.333333333</v>
      </c>
      <c r="J4148" s="41">
        <v>0.252525253</v>
      </c>
      <c r="K4148" s="41">
        <v>0.414141414</v>
      </c>
      <c r="L4148" s="41"/>
      <c r="M4148" s="74">
        <v>4.201848025</v>
      </c>
    </row>
    <row r="4149">
      <c r="A4149" s="1" t="s">
        <v>461</v>
      </c>
      <c r="B4149" s="38">
        <v>673540.0</v>
      </c>
      <c r="C4149" s="72">
        <v>45889.0</v>
      </c>
      <c r="D4149" s="38">
        <v>83.0</v>
      </c>
      <c r="E4149" s="75"/>
      <c r="F4149" s="67">
        <v>4.784889721</v>
      </c>
      <c r="G4149" s="40">
        <v>2.309102449</v>
      </c>
      <c r="H4149" s="40"/>
      <c r="I4149" s="41">
        <v>0.34939759</v>
      </c>
      <c r="J4149" s="41">
        <v>0.253012048</v>
      </c>
      <c r="K4149" s="41">
        <v>0.397590361</v>
      </c>
      <c r="L4149" s="41"/>
      <c r="M4149" s="74">
        <v>-1.634764907</v>
      </c>
    </row>
    <row r="4150">
      <c r="A4150" s="1" t="s">
        <v>394</v>
      </c>
      <c r="B4150" s="38">
        <v>621121.0</v>
      </c>
      <c r="C4150" s="72">
        <v>45891.0</v>
      </c>
      <c r="D4150" s="38">
        <v>86.0</v>
      </c>
      <c r="E4150" s="75"/>
      <c r="F4150" s="67">
        <v>4.784661039</v>
      </c>
      <c r="G4150" s="40">
        <v>2.315495434</v>
      </c>
      <c r="H4150" s="40"/>
      <c r="I4150" s="41">
        <v>0.476744186</v>
      </c>
      <c r="J4150" s="41">
        <v>0.162790698</v>
      </c>
      <c r="K4150" s="41">
        <v>0.360465116</v>
      </c>
      <c r="L4150" s="41"/>
      <c r="M4150" s="74">
        <v>-1.518164633</v>
      </c>
    </row>
    <row r="4151">
      <c r="A4151" s="1" t="s">
        <v>363</v>
      </c>
      <c r="B4151" s="38">
        <v>693645.0</v>
      </c>
      <c r="C4151" s="72">
        <v>45916.0</v>
      </c>
      <c r="D4151" s="38">
        <v>86.0</v>
      </c>
      <c r="E4151" s="75"/>
      <c r="F4151" s="67">
        <v>4.784598423</v>
      </c>
      <c r="G4151" s="40">
        <v>2.40754452</v>
      </c>
      <c r="H4151" s="40"/>
      <c r="I4151" s="41">
        <v>0.406976744</v>
      </c>
      <c r="J4151" s="41">
        <v>0.220930233</v>
      </c>
      <c r="K4151" s="41">
        <v>0.372093023</v>
      </c>
      <c r="L4151" s="41"/>
      <c r="M4151" s="74">
        <v>2.032332464</v>
      </c>
    </row>
    <row r="4152">
      <c r="A4152" s="1" t="s">
        <v>179</v>
      </c>
      <c r="B4152" s="38">
        <v>663568.0</v>
      </c>
      <c r="C4152" s="72">
        <v>45831.0</v>
      </c>
      <c r="D4152" s="38">
        <v>73.0</v>
      </c>
      <c r="E4152" s="75"/>
      <c r="F4152" s="67">
        <v>4.784515012</v>
      </c>
      <c r="G4152" s="40">
        <v>2.041435515</v>
      </c>
      <c r="H4152" s="40"/>
      <c r="I4152" s="41">
        <v>0.410958904</v>
      </c>
      <c r="J4152" s="41">
        <v>0.178082192</v>
      </c>
      <c r="K4152" s="41">
        <v>0.410958904</v>
      </c>
      <c r="L4152" s="41"/>
      <c r="M4152" s="74">
        <v>-1.100595764</v>
      </c>
    </row>
    <row r="4153">
      <c r="A4153" s="1" t="s">
        <v>457</v>
      </c>
      <c r="B4153" s="38">
        <v>477132.0</v>
      </c>
      <c r="C4153" s="72">
        <v>45864.0</v>
      </c>
      <c r="D4153" s="38">
        <v>90.0</v>
      </c>
      <c r="E4153" s="75"/>
      <c r="F4153" s="67">
        <v>4.783657218</v>
      </c>
      <c r="G4153" s="40">
        <v>2.471900499</v>
      </c>
      <c r="H4153" s="40"/>
      <c r="I4153" s="41">
        <v>0.366666667</v>
      </c>
      <c r="J4153" s="41">
        <v>0.233333333</v>
      </c>
      <c r="K4153" s="41">
        <v>0.4</v>
      </c>
      <c r="L4153" s="41"/>
      <c r="M4153" s="74">
        <v>-0.981854013</v>
      </c>
    </row>
    <row r="4154">
      <c r="A4154" s="1" t="s">
        <v>494</v>
      </c>
      <c r="B4154" s="38">
        <v>672782.0</v>
      </c>
      <c r="C4154" s="72">
        <v>45881.0</v>
      </c>
      <c r="D4154" s="38">
        <v>86.0</v>
      </c>
      <c r="E4154" s="75"/>
      <c r="F4154" s="67">
        <v>4.783434253</v>
      </c>
      <c r="G4154" s="40">
        <v>2.359882533</v>
      </c>
      <c r="H4154" s="40"/>
      <c r="I4154" s="41">
        <v>0.488372093</v>
      </c>
      <c r="J4154" s="41">
        <v>0.151162791</v>
      </c>
      <c r="K4154" s="41">
        <v>0.360465116</v>
      </c>
      <c r="L4154" s="41"/>
      <c r="M4154" s="74">
        <v>3.416836303</v>
      </c>
    </row>
    <row r="4155">
      <c r="A4155" s="1" t="s">
        <v>306</v>
      </c>
      <c r="B4155" s="38">
        <v>677944.0</v>
      </c>
      <c r="C4155" s="72">
        <v>45861.0</v>
      </c>
      <c r="D4155" s="38">
        <v>83.0</v>
      </c>
      <c r="E4155" s="75"/>
      <c r="F4155" s="67">
        <v>4.783403799</v>
      </c>
      <c r="G4155" s="40">
        <v>2.32528402</v>
      </c>
      <c r="H4155" s="40"/>
      <c r="I4155" s="41">
        <v>0.397590361</v>
      </c>
      <c r="J4155" s="41">
        <v>0.204819277</v>
      </c>
      <c r="K4155" s="41">
        <v>0.397590361</v>
      </c>
      <c r="L4155" s="41"/>
      <c r="M4155" s="74">
        <v>0.047171109</v>
      </c>
    </row>
    <row r="4156">
      <c r="A4156" s="1" t="s">
        <v>510</v>
      </c>
      <c r="B4156" s="38">
        <v>702674.0</v>
      </c>
      <c r="C4156" s="72">
        <v>45903.0</v>
      </c>
      <c r="D4156" s="38">
        <v>68.0</v>
      </c>
      <c r="E4156" s="75"/>
      <c r="F4156" s="67">
        <v>4.782971308</v>
      </c>
      <c r="G4156" s="40">
        <v>1.879145816</v>
      </c>
      <c r="H4156" s="40"/>
      <c r="I4156" s="41">
        <v>0.397058824</v>
      </c>
      <c r="J4156" s="41">
        <v>0.161764706</v>
      </c>
      <c r="K4156" s="41">
        <v>0.441176471</v>
      </c>
      <c r="L4156" s="41"/>
      <c r="M4156" s="74">
        <v>1.610449292</v>
      </c>
    </row>
    <row r="4157">
      <c r="A4157" s="1" t="s">
        <v>79</v>
      </c>
      <c r="B4157" s="38">
        <v>554430.0</v>
      </c>
      <c r="C4157" s="72">
        <v>45865.0</v>
      </c>
      <c r="D4157" s="38">
        <v>102.0</v>
      </c>
      <c r="E4157" s="75"/>
      <c r="F4157" s="67">
        <v>4.782732962</v>
      </c>
      <c r="G4157" s="40">
        <v>2.803307798</v>
      </c>
      <c r="H4157" s="40"/>
      <c r="I4157" s="41">
        <v>0.5</v>
      </c>
      <c r="J4157" s="41">
        <v>0.098039216</v>
      </c>
      <c r="K4157" s="41">
        <v>0.401960784</v>
      </c>
      <c r="L4157" s="41"/>
      <c r="M4157" s="74">
        <v>-0.545636365</v>
      </c>
    </row>
    <row r="4158">
      <c r="A4158" s="1" t="s">
        <v>485</v>
      </c>
      <c r="B4158" s="38">
        <v>701519.0</v>
      </c>
      <c r="C4158" s="72">
        <v>45865.0</v>
      </c>
      <c r="D4158" s="38">
        <v>82.0</v>
      </c>
      <c r="E4158" s="75"/>
      <c r="F4158" s="67">
        <v>4.782651408</v>
      </c>
      <c r="G4158" s="40">
        <v>2.262819542</v>
      </c>
      <c r="H4158" s="40"/>
      <c r="I4158" s="41">
        <v>0.426829268</v>
      </c>
      <c r="J4158" s="41">
        <v>0.146341463</v>
      </c>
      <c r="K4158" s="41">
        <v>0.426829268</v>
      </c>
      <c r="L4158" s="41"/>
      <c r="M4158" s="74">
        <v>-0.074277676</v>
      </c>
    </row>
    <row r="4159">
      <c r="A4159" s="1" t="s">
        <v>491</v>
      </c>
      <c r="B4159" s="38">
        <v>650644.0</v>
      </c>
      <c r="C4159" s="72">
        <v>45746.0</v>
      </c>
      <c r="D4159" s="38">
        <v>66.0</v>
      </c>
      <c r="E4159" s="75"/>
      <c r="F4159" s="67">
        <v>4.782527747</v>
      </c>
      <c r="G4159" s="40">
        <v>1.819376415</v>
      </c>
      <c r="H4159" s="40"/>
      <c r="I4159" s="41">
        <v>0.409090909</v>
      </c>
      <c r="J4159" s="41">
        <v>0.196969697</v>
      </c>
      <c r="K4159" s="41">
        <v>0.393939394</v>
      </c>
      <c r="L4159" s="41"/>
      <c r="M4159" s="74">
        <v>0.237875122</v>
      </c>
    </row>
    <row r="4160">
      <c r="A4160" s="1" t="s">
        <v>368</v>
      </c>
      <c r="B4160" s="38">
        <v>593958.0</v>
      </c>
      <c r="C4160" s="72">
        <v>45842.0</v>
      </c>
      <c r="D4160" s="38">
        <v>94.0</v>
      </c>
      <c r="E4160" s="75"/>
      <c r="F4160" s="67">
        <v>4.782308288</v>
      </c>
      <c r="G4160" s="40">
        <v>2.643268241</v>
      </c>
      <c r="H4160" s="40"/>
      <c r="I4160" s="41">
        <v>0.372340426</v>
      </c>
      <c r="J4160" s="41">
        <v>0.223404255</v>
      </c>
      <c r="K4160" s="41">
        <v>0.404255319</v>
      </c>
      <c r="L4160" s="41"/>
      <c r="M4160" s="74">
        <v>-6.212681825</v>
      </c>
    </row>
    <row r="4161">
      <c r="A4161" s="1" t="s">
        <v>366</v>
      </c>
      <c r="B4161" s="38">
        <v>656550.0</v>
      </c>
      <c r="C4161" s="72">
        <v>45756.0</v>
      </c>
      <c r="D4161" s="38">
        <v>101.0</v>
      </c>
      <c r="E4161" s="75"/>
      <c r="F4161" s="67">
        <v>4.782009637</v>
      </c>
      <c r="G4161" s="40">
        <v>2.756702916</v>
      </c>
      <c r="H4161" s="40"/>
      <c r="I4161" s="41">
        <v>0.396039604</v>
      </c>
      <c r="J4161" s="41">
        <v>0.168316832</v>
      </c>
      <c r="K4161" s="41">
        <v>0.435643564</v>
      </c>
      <c r="L4161" s="41"/>
      <c r="M4161" s="74">
        <v>2.435705557</v>
      </c>
    </row>
    <row r="4162">
      <c r="A4162" s="1" t="s">
        <v>577</v>
      </c>
      <c r="B4162" s="38">
        <v>687922.0</v>
      </c>
      <c r="C4162" s="72">
        <v>45761.0</v>
      </c>
      <c r="D4162" s="38">
        <v>83.0</v>
      </c>
      <c r="E4162" s="75"/>
      <c r="F4162" s="67">
        <v>4.78191255</v>
      </c>
      <c r="G4162" s="40">
        <v>2.29287378</v>
      </c>
      <c r="H4162" s="40"/>
      <c r="I4162" s="41">
        <v>0.373493976</v>
      </c>
      <c r="J4162" s="41">
        <v>0.228915663</v>
      </c>
      <c r="K4162" s="41">
        <v>0.397590361</v>
      </c>
      <c r="L4162" s="41"/>
      <c r="M4162" s="74">
        <v>-0.72067653</v>
      </c>
    </row>
    <row r="4163">
      <c r="A4163" s="1" t="s">
        <v>222</v>
      </c>
      <c r="B4163" s="38">
        <v>518876.0</v>
      </c>
      <c r="C4163" s="72">
        <v>45744.0</v>
      </c>
      <c r="D4163" s="38">
        <v>84.0</v>
      </c>
      <c r="E4163" s="75"/>
      <c r="F4163" s="67">
        <v>4.78181827</v>
      </c>
      <c r="G4163" s="40">
        <v>2.318799453</v>
      </c>
      <c r="H4163" s="40"/>
      <c r="I4163" s="41">
        <v>0.428571429</v>
      </c>
      <c r="J4163" s="41">
        <v>0.178571429</v>
      </c>
      <c r="K4163" s="41">
        <v>0.392857143</v>
      </c>
      <c r="L4163" s="41"/>
      <c r="M4163" s="74">
        <v>3.129847359</v>
      </c>
    </row>
    <row r="4164">
      <c r="A4164" s="1" t="s">
        <v>163</v>
      </c>
      <c r="B4164" s="38">
        <v>663460.0</v>
      </c>
      <c r="C4164" s="72">
        <v>45819.0</v>
      </c>
      <c r="D4164" s="38">
        <v>91.0</v>
      </c>
      <c r="E4164" s="75"/>
      <c r="F4164" s="67">
        <v>4.781780118</v>
      </c>
      <c r="G4164" s="40">
        <v>2.514104432</v>
      </c>
      <c r="H4164" s="40"/>
      <c r="I4164" s="41">
        <v>0.483516484</v>
      </c>
      <c r="J4164" s="41">
        <v>0.10989011</v>
      </c>
      <c r="K4164" s="41">
        <v>0.406593407</v>
      </c>
      <c r="L4164" s="41"/>
      <c r="M4164" s="74">
        <v>-1.872767061</v>
      </c>
    </row>
    <row r="4165">
      <c r="A4165" s="1" t="s">
        <v>275</v>
      </c>
      <c r="B4165" s="38">
        <v>693821.0</v>
      </c>
      <c r="C4165" s="72">
        <v>45883.0</v>
      </c>
      <c r="D4165" s="38">
        <v>86.0</v>
      </c>
      <c r="E4165" s="75"/>
      <c r="F4165" s="67">
        <v>4.781485008</v>
      </c>
      <c r="G4165" s="40">
        <v>2.410104049</v>
      </c>
      <c r="H4165" s="40"/>
      <c r="I4165" s="41">
        <v>0.38372093</v>
      </c>
      <c r="J4165" s="41">
        <v>0.220930233</v>
      </c>
      <c r="K4165" s="41">
        <v>0.395348837</v>
      </c>
      <c r="L4165" s="41"/>
      <c r="M4165" s="74">
        <v>2.272075435</v>
      </c>
    </row>
    <row r="4166">
      <c r="A4166" s="1" t="s">
        <v>432</v>
      </c>
      <c r="B4166" s="38">
        <v>669467.0</v>
      </c>
      <c r="C4166" s="72">
        <v>45917.0</v>
      </c>
      <c r="D4166" s="38">
        <v>102.0</v>
      </c>
      <c r="E4166" s="75"/>
      <c r="F4166" s="67">
        <v>4.781299691</v>
      </c>
      <c r="G4166" s="40">
        <v>2.785727208</v>
      </c>
      <c r="H4166" s="40"/>
      <c r="I4166" s="41">
        <v>0.431372549</v>
      </c>
      <c r="J4166" s="41">
        <v>0.176470588</v>
      </c>
      <c r="K4166" s="41">
        <v>0.392156863</v>
      </c>
      <c r="L4166" s="41"/>
      <c r="M4166" s="74">
        <v>0.157835225</v>
      </c>
    </row>
    <row r="4167">
      <c r="A4167" s="1" t="s">
        <v>368</v>
      </c>
      <c r="B4167" s="38">
        <v>593958.0</v>
      </c>
      <c r="C4167" s="72">
        <v>45781.0</v>
      </c>
      <c r="D4167" s="38">
        <v>99.0</v>
      </c>
      <c r="E4167" s="75"/>
      <c r="F4167" s="67">
        <v>4.78060891</v>
      </c>
      <c r="G4167" s="40">
        <v>2.761592812</v>
      </c>
      <c r="H4167" s="40"/>
      <c r="I4167" s="41">
        <v>0.484848485</v>
      </c>
      <c r="J4167" s="41">
        <v>0.080808081</v>
      </c>
      <c r="K4167" s="41">
        <v>0.434343434</v>
      </c>
      <c r="L4167" s="41"/>
      <c r="M4167" s="74">
        <v>0.96401845</v>
      </c>
    </row>
    <row r="4168">
      <c r="A4168" s="1" t="s">
        <v>494</v>
      </c>
      <c r="B4168" s="38">
        <v>672782.0</v>
      </c>
      <c r="C4168" s="72">
        <v>45898.0</v>
      </c>
      <c r="D4168" s="38">
        <v>86.0</v>
      </c>
      <c r="E4168" s="75"/>
      <c r="F4168" s="67">
        <v>4.780468211</v>
      </c>
      <c r="G4168" s="40">
        <v>2.36735614</v>
      </c>
      <c r="H4168" s="40"/>
      <c r="I4168" s="41">
        <v>0.441860465</v>
      </c>
      <c r="J4168" s="41">
        <v>0.127906977</v>
      </c>
      <c r="K4168" s="41">
        <v>0.430232558</v>
      </c>
      <c r="L4168" s="41"/>
      <c r="M4168" s="74">
        <v>2.550075315</v>
      </c>
    </row>
    <row r="4169">
      <c r="A4169" s="1" t="s">
        <v>470</v>
      </c>
      <c r="B4169" s="38">
        <v>681343.0</v>
      </c>
      <c r="C4169" s="72">
        <v>45916.0</v>
      </c>
      <c r="D4169" s="38">
        <v>84.0</v>
      </c>
      <c r="E4169" s="75"/>
      <c r="F4169" s="67">
        <v>4.780084962</v>
      </c>
      <c r="G4169" s="40">
        <v>2.362982993</v>
      </c>
      <c r="H4169" s="40"/>
      <c r="I4169" s="41">
        <v>0.428571429</v>
      </c>
      <c r="J4169" s="41">
        <v>0.130952381</v>
      </c>
      <c r="K4169" s="41">
        <v>0.44047619</v>
      </c>
      <c r="L4169" s="41"/>
      <c r="M4169" s="74">
        <v>-3.127393274</v>
      </c>
    </row>
    <row r="4170">
      <c r="A4170" s="1" t="s">
        <v>282</v>
      </c>
      <c r="B4170" s="38">
        <v>656302.0</v>
      </c>
      <c r="C4170" s="72">
        <v>45829.0</v>
      </c>
      <c r="D4170" s="38">
        <v>103.0</v>
      </c>
      <c r="E4170" s="75"/>
      <c r="F4170" s="67">
        <v>4.780060655</v>
      </c>
      <c r="G4170" s="40">
        <v>2.845427861</v>
      </c>
      <c r="H4170" s="40"/>
      <c r="I4170" s="41">
        <v>0.446601942</v>
      </c>
      <c r="J4170" s="41">
        <v>0.106796117</v>
      </c>
      <c r="K4170" s="41">
        <v>0.446601942</v>
      </c>
      <c r="L4170" s="41"/>
      <c r="M4170" s="74">
        <v>0.859217058</v>
      </c>
    </row>
    <row r="4171">
      <c r="A4171" s="1" t="s">
        <v>349</v>
      </c>
      <c r="B4171" s="38">
        <v>676961.0</v>
      </c>
      <c r="C4171" s="72">
        <v>45889.0</v>
      </c>
      <c r="D4171" s="38">
        <v>68.0</v>
      </c>
      <c r="E4171" s="75"/>
      <c r="F4171" s="67">
        <v>4.779284742</v>
      </c>
      <c r="G4171" s="40">
        <v>1.870048734</v>
      </c>
      <c r="H4171" s="40"/>
      <c r="I4171" s="41">
        <v>0.382352941</v>
      </c>
      <c r="J4171" s="41">
        <v>0.220588235</v>
      </c>
      <c r="K4171" s="41">
        <v>0.397058824</v>
      </c>
      <c r="L4171" s="41"/>
      <c r="M4171" s="74">
        <v>-1.141381515</v>
      </c>
    </row>
    <row r="4172">
      <c r="A4172" s="1" t="s">
        <v>181</v>
      </c>
      <c r="B4172" s="38">
        <v>641154.0</v>
      </c>
      <c r="C4172" s="72">
        <v>45811.0</v>
      </c>
      <c r="D4172" s="38">
        <v>70.0</v>
      </c>
      <c r="E4172" s="75"/>
      <c r="F4172" s="67">
        <v>4.778943007</v>
      </c>
      <c r="G4172" s="40">
        <v>1.968336189</v>
      </c>
      <c r="H4172" s="40"/>
      <c r="I4172" s="41">
        <v>0.528571429</v>
      </c>
      <c r="J4172" s="41">
        <v>0.114285714</v>
      </c>
      <c r="K4172" s="41">
        <v>0.357142857</v>
      </c>
      <c r="L4172" s="41"/>
      <c r="M4172" s="74">
        <v>-0.178788598</v>
      </c>
    </row>
    <row r="4173">
      <c r="A4173" s="1" t="s">
        <v>423</v>
      </c>
      <c r="B4173" s="38">
        <v>656605.0</v>
      </c>
      <c r="C4173" s="72">
        <v>45756.0</v>
      </c>
      <c r="D4173" s="38">
        <v>95.0</v>
      </c>
      <c r="E4173" s="75"/>
      <c r="F4173" s="67">
        <v>4.778399625</v>
      </c>
      <c r="G4173" s="40">
        <v>2.653845929</v>
      </c>
      <c r="H4173" s="40"/>
      <c r="I4173" s="41">
        <v>0.431578947</v>
      </c>
      <c r="J4173" s="41">
        <v>0.157894737</v>
      </c>
      <c r="K4173" s="41">
        <v>0.410526316</v>
      </c>
      <c r="L4173" s="41"/>
      <c r="M4173" s="74">
        <v>2.663149358</v>
      </c>
    </row>
    <row r="4174">
      <c r="A4174" s="1" t="s">
        <v>364</v>
      </c>
      <c r="B4174" s="38">
        <v>693855.0</v>
      </c>
      <c r="C4174" s="72">
        <v>45888.0</v>
      </c>
      <c r="D4174" s="38">
        <v>61.0</v>
      </c>
      <c r="E4174" s="75"/>
      <c r="F4174" s="67">
        <v>4.778295491</v>
      </c>
      <c r="G4174" s="40">
        <v>1.692581948</v>
      </c>
      <c r="H4174" s="40"/>
      <c r="I4174" s="41">
        <v>0.409836066</v>
      </c>
      <c r="J4174" s="41">
        <v>0.163934426</v>
      </c>
      <c r="K4174" s="41">
        <v>0.426229508</v>
      </c>
      <c r="L4174" s="41"/>
      <c r="M4174" s="74">
        <v>-2.141535812</v>
      </c>
    </row>
    <row r="4175">
      <c r="A4175" s="1" t="s">
        <v>445</v>
      </c>
      <c r="B4175" s="38">
        <v>663855.0</v>
      </c>
      <c r="C4175" s="72">
        <v>45769.0</v>
      </c>
      <c r="D4175" s="38">
        <v>100.0</v>
      </c>
      <c r="E4175" s="75"/>
      <c r="F4175" s="67">
        <v>4.77821137</v>
      </c>
      <c r="G4175" s="40">
        <v>2.760737023</v>
      </c>
      <c r="H4175" s="40"/>
      <c r="I4175" s="41">
        <v>0.36</v>
      </c>
      <c r="J4175" s="41">
        <v>0.3</v>
      </c>
      <c r="K4175" s="41">
        <v>0.34</v>
      </c>
      <c r="L4175" s="41"/>
      <c r="M4175" s="74">
        <v>-1.569123695</v>
      </c>
    </row>
    <row r="4176">
      <c r="A4176" s="1" t="s">
        <v>424</v>
      </c>
      <c r="B4176" s="38">
        <v>667755.0</v>
      </c>
      <c r="C4176" s="72">
        <v>45757.0</v>
      </c>
      <c r="D4176" s="38">
        <v>92.0</v>
      </c>
      <c r="E4176" s="75"/>
      <c r="F4176" s="67">
        <v>4.777678385</v>
      </c>
      <c r="G4176" s="40">
        <v>2.591674018</v>
      </c>
      <c r="H4176" s="40"/>
      <c r="I4176" s="41">
        <v>0.347826087</v>
      </c>
      <c r="J4176" s="41">
        <v>0.239130435</v>
      </c>
      <c r="K4176" s="41">
        <v>0.413043478</v>
      </c>
      <c r="L4176" s="41"/>
      <c r="M4176" s="74">
        <v>1.508079149</v>
      </c>
    </row>
    <row r="4177">
      <c r="A4177" s="1" t="s">
        <v>477</v>
      </c>
      <c r="B4177" s="38">
        <v>677958.0</v>
      </c>
      <c r="C4177" s="72">
        <v>45747.0</v>
      </c>
      <c r="D4177" s="38">
        <v>69.0</v>
      </c>
      <c r="E4177" s="75"/>
      <c r="F4177" s="67">
        <v>4.777351196</v>
      </c>
      <c r="G4177" s="40">
        <v>1.932061507</v>
      </c>
      <c r="H4177" s="40"/>
      <c r="I4177" s="41">
        <v>0.434782609</v>
      </c>
      <c r="J4177" s="41">
        <v>0.15942029</v>
      </c>
      <c r="K4177" s="41">
        <v>0.405797101</v>
      </c>
      <c r="L4177" s="41"/>
      <c r="M4177" s="74">
        <v>-2.129948781</v>
      </c>
    </row>
    <row r="4178">
      <c r="A4178" s="1" t="s">
        <v>294</v>
      </c>
      <c r="B4178" s="38">
        <v>665152.0</v>
      </c>
      <c r="C4178" s="72">
        <v>45892.0</v>
      </c>
      <c r="D4178" s="38">
        <v>73.0</v>
      </c>
      <c r="E4178" s="75"/>
      <c r="F4178" s="67">
        <v>4.777019398</v>
      </c>
      <c r="G4178" s="40">
        <v>2.069128604</v>
      </c>
      <c r="H4178" s="40"/>
      <c r="I4178" s="41">
        <v>0.452054795</v>
      </c>
      <c r="J4178" s="41">
        <v>0.109589041</v>
      </c>
      <c r="K4178" s="41">
        <v>0.438356164</v>
      </c>
      <c r="L4178" s="41"/>
      <c r="M4178" s="74">
        <v>-3.06995908</v>
      </c>
    </row>
    <row r="4179">
      <c r="A4179" s="1" t="s">
        <v>399</v>
      </c>
      <c r="B4179" s="38">
        <v>543294.0</v>
      </c>
      <c r="C4179" s="72">
        <v>45755.0</v>
      </c>
      <c r="D4179" s="38">
        <v>79.0</v>
      </c>
      <c r="E4179" s="75"/>
      <c r="F4179" s="67">
        <v>4.776737415</v>
      </c>
      <c r="G4179" s="40">
        <v>2.158710077</v>
      </c>
      <c r="H4179" s="40"/>
      <c r="I4179" s="41">
        <v>0.392405063</v>
      </c>
      <c r="J4179" s="41">
        <v>0.202531646</v>
      </c>
      <c r="K4179" s="41">
        <v>0.405063291</v>
      </c>
      <c r="L4179" s="41"/>
      <c r="M4179" s="74">
        <v>3.863258135</v>
      </c>
    </row>
    <row r="4180">
      <c r="A4180" s="1" t="s">
        <v>322</v>
      </c>
      <c r="B4180" s="38">
        <v>678368.0</v>
      </c>
      <c r="C4180" s="72">
        <v>45779.0</v>
      </c>
      <c r="D4180" s="38">
        <v>87.0</v>
      </c>
      <c r="E4180" s="75"/>
      <c r="F4180" s="67">
        <v>4.776695806</v>
      </c>
      <c r="G4180" s="40">
        <v>2.441963908</v>
      </c>
      <c r="H4180" s="40"/>
      <c r="I4180" s="41">
        <v>0.379310345</v>
      </c>
      <c r="J4180" s="41">
        <v>0.229885057</v>
      </c>
      <c r="K4180" s="41">
        <v>0.390804598</v>
      </c>
      <c r="L4180" s="41"/>
      <c r="M4180" s="74">
        <v>2.302609229</v>
      </c>
    </row>
    <row r="4181">
      <c r="A4181" s="1" t="s">
        <v>432</v>
      </c>
      <c r="B4181" s="38">
        <v>669467.0</v>
      </c>
      <c r="C4181" s="72">
        <v>45906.0</v>
      </c>
      <c r="D4181" s="38">
        <v>87.0</v>
      </c>
      <c r="E4181" s="75"/>
      <c r="F4181" s="67">
        <v>4.776244447</v>
      </c>
      <c r="G4181" s="40">
        <v>2.425495599</v>
      </c>
      <c r="H4181" s="40"/>
      <c r="I4181" s="41">
        <v>0.448275862</v>
      </c>
      <c r="J4181" s="41">
        <v>0.16091954</v>
      </c>
      <c r="K4181" s="41">
        <v>0.390804598</v>
      </c>
      <c r="L4181" s="41"/>
      <c r="M4181" s="74">
        <v>0.120244227</v>
      </c>
    </row>
    <row r="4182">
      <c r="A4182" s="1" t="s">
        <v>464</v>
      </c>
      <c r="B4182" s="38">
        <v>615698.0</v>
      </c>
      <c r="C4182" s="72">
        <v>45892.0</v>
      </c>
      <c r="D4182" s="38">
        <v>92.0</v>
      </c>
      <c r="E4182" s="75"/>
      <c r="F4182" s="67">
        <v>4.775906244</v>
      </c>
      <c r="G4182" s="40">
        <v>2.550287842</v>
      </c>
      <c r="H4182" s="40"/>
      <c r="I4182" s="41">
        <v>0.358695652</v>
      </c>
      <c r="J4182" s="41">
        <v>0.27173913</v>
      </c>
      <c r="K4182" s="41">
        <v>0.369565217</v>
      </c>
      <c r="L4182" s="41"/>
      <c r="M4182" s="74">
        <v>0.756379131</v>
      </c>
    </row>
    <row r="4183">
      <c r="A4183" s="1" t="s">
        <v>481</v>
      </c>
      <c r="B4183" s="38">
        <v>622608.0</v>
      </c>
      <c r="C4183" s="72">
        <v>45857.0</v>
      </c>
      <c r="D4183" s="38">
        <v>76.0</v>
      </c>
      <c r="E4183" s="75"/>
      <c r="F4183" s="67">
        <v>4.775013105</v>
      </c>
      <c r="G4183" s="40">
        <v>2.153368776</v>
      </c>
      <c r="H4183" s="40"/>
      <c r="I4183" s="41">
        <v>0.368421053</v>
      </c>
      <c r="J4183" s="41">
        <v>0.276315789</v>
      </c>
      <c r="K4183" s="41">
        <v>0.355263158</v>
      </c>
      <c r="L4183" s="41"/>
      <c r="M4183" s="74">
        <v>-0.182847544</v>
      </c>
    </row>
    <row r="4184">
      <c r="A4184" s="1" t="s">
        <v>495</v>
      </c>
      <c r="B4184" s="38">
        <v>801403.0</v>
      </c>
      <c r="C4184" s="72">
        <v>45890.0</v>
      </c>
      <c r="D4184" s="38">
        <v>93.0</v>
      </c>
      <c r="E4184" s="75"/>
      <c r="F4184" s="67">
        <v>4.774406606</v>
      </c>
      <c r="G4184" s="40">
        <v>2.592178035</v>
      </c>
      <c r="H4184" s="40"/>
      <c r="I4184" s="41">
        <v>0.408602151</v>
      </c>
      <c r="J4184" s="41">
        <v>0.172043011</v>
      </c>
      <c r="K4184" s="41">
        <v>0.419354839</v>
      </c>
      <c r="L4184" s="41"/>
      <c r="M4184" s="74">
        <v>-2.739334016</v>
      </c>
    </row>
    <row r="4185">
      <c r="A4185" s="1" t="s">
        <v>369</v>
      </c>
      <c r="B4185" s="38">
        <v>596295.0</v>
      </c>
      <c r="C4185" s="72">
        <v>45851.0</v>
      </c>
      <c r="D4185" s="38">
        <v>85.0</v>
      </c>
      <c r="E4185" s="75"/>
      <c r="F4185" s="67">
        <v>4.774333529</v>
      </c>
      <c r="G4185" s="40">
        <v>2.364033804</v>
      </c>
      <c r="H4185" s="40"/>
      <c r="I4185" s="41">
        <v>0.411764706</v>
      </c>
      <c r="J4185" s="41">
        <v>0.117647059</v>
      </c>
      <c r="K4185" s="41">
        <v>0.470588235</v>
      </c>
      <c r="L4185" s="41"/>
      <c r="M4185" s="74">
        <v>0.157972007</v>
      </c>
    </row>
    <row r="4186">
      <c r="A4186" s="1" t="s">
        <v>307</v>
      </c>
      <c r="B4186" s="38">
        <v>656849.0</v>
      </c>
      <c r="C4186" s="72">
        <v>45864.0</v>
      </c>
      <c r="D4186" s="38">
        <v>82.0</v>
      </c>
      <c r="E4186" s="75"/>
      <c r="F4186" s="67">
        <v>4.773811665</v>
      </c>
      <c r="G4186" s="40">
        <v>2.314819891</v>
      </c>
      <c r="H4186" s="40"/>
      <c r="I4186" s="41">
        <v>0.426829268</v>
      </c>
      <c r="J4186" s="41">
        <v>0.158536585</v>
      </c>
      <c r="K4186" s="41">
        <v>0.414634146</v>
      </c>
      <c r="L4186" s="41"/>
      <c r="M4186" s="74">
        <v>-2.092083093</v>
      </c>
    </row>
    <row r="4187">
      <c r="A4187" s="1" t="s">
        <v>269</v>
      </c>
      <c r="B4187" s="38">
        <v>605280.0</v>
      </c>
      <c r="C4187" s="72">
        <v>45786.0</v>
      </c>
      <c r="D4187" s="38">
        <v>91.0</v>
      </c>
      <c r="E4187" s="75"/>
      <c r="F4187" s="67">
        <v>4.773635487</v>
      </c>
      <c r="G4187" s="40">
        <v>2.54730752</v>
      </c>
      <c r="H4187" s="40"/>
      <c r="I4187" s="41">
        <v>0.43956044</v>
      </c>
      <c r="J4187" s="41">
        <v>0.175824176</v>
      </c>
      <c r="K4187" s="41">
        <v>0.384615385</v>
      </c>
      <c r="L4187" s="41"/>
      <c r="M4187" s="74">
        <v>3.210897546</v>
      </c>
    </row>
    <row r="4188">
      <c r="A4188" s="1" t="s">
        <v>513</v>
      </c>
      <c r="B4188" s="38">
        <v>608566.0</v>
      </c>
      <c r="C4188" s="72">
        <v>45909.0</v>
      </c>
      <c r="D4188" s="38">
        <v>84.0</v>
      </c>
      <c r="E4188" s="75"/>
      <c r="F4188" s="67">
        <v>4.773623356</v>
      </c>
      <c r="G4188" s="40">
        <v>2.352703345</v>
      </c>
      <c r="H4188" s="40"/>
      <c r="I4188" s="41">
        <v>0.428571429</v>
      </c>
      <c r="J4188" s="41">
        <v>0.130952381</v>
      </c>
      <c r="K4188" s="41">
        <v>0.44047619</v>
      </c>
      <c r="L4188" s="41"/>
      <c r="M4188" s="74">
        <v>-0.277107707</v>
      </c>
    </row>
    <row r="4189">
      <c r="A4189" s="1" t="s">
        <v>492</v>
      </c>
      <c r="B4189" s="38">
        <v>671212.0</v>
      </c>
      <c r="C4189" s="72">
        <v>45921.0</v>
      </c>
      <c r="D4189" s="38">
        <v>86.0</v>
      </c>
      <c r="E4189" s="75"/>
      <c r="F4189" s="67">
        <v>4.773081723</v>
      </c>
      <c r="G4189" s="40">
        <v>2.384529237</v>
      </c>
      <c r="H4189" s="40"/>
      <c r="I4189" s="41">
        <v>0.418604651</v>
      </c>
      <c r="J4189" s="41">
        <v>0.197674419</v>
      </c>
      <c r="K4189" s="41">
        <v>0.38372093</v>
      </c>
      <c r="L4189" s="41"/>
      <c r="M4189" s="74">
        <v>2.192869464</v>
      </c>
    </row>
    <row r="4190">
      <c r="A4190" s="1" t="s">
        <v>410</v>
      </c>
      <c r="B4190" s="38">
        <v>678394.0</v>
      </c>
      <c r="C4190" s="72">
        <v>45835.0</v>
      </c>
      <c r="D4190" s="38">
        <v>98.0</v>
      </c>
      <c r="E4190" s="75"/>
      <c r="F4190" s="67">
        <v>4.772987806</v>
      </c>
      <c r="G4190" s="40">
        <v>2.747750742</v>
      </c>
      <c r="H4190" s="40"/>
      <c r="I4190" s="41">
        <v>0.43877551</v>
      </c>
      <c r="J4190" s="41">
        <v>0.163265306</v>
      </c>
      <c r="K4190" s="41">
        <v>0.397959184</v>
      </c>
      <c r="L4190" s="41"/>
      <c r="M4190" s="74">
        <v>-2.170533055</v>
      </c>
    </row>
    <row r="4191">
      <c r="A4191" s="1" t="s">
        <v>456</v>
      </c>
      <c r="B4191" s="38">
        <v>605135.0</v>
      </c>
      <c r="C4191" s="72">
        <v>45807.0</v>
      </c>
      <c r="D4191" s="38">
        <v>78.0</v>
      </c>
      <c r="E4191" s="75"/>
      <c r="F4191" s="67">
        <v>4.772940235</v>
      </c>
      <c r="G4191" s="40">
        <v>2.177069532</v>
      </c>
      <c r="H4191" s="40"/>
      <c r="I4191" s="41">
        <v>0.41025641</v>
      </c>
      <c r="J4191" s="41">
        <v>0.217948718</v>
      </c>
      <c r="K4191" s="41">
        <v>0.371794872</v>
      </c>
      <c r="L4191" s="41"/>
      <c r="M4191" s="74">
        <v>-2.007505475</v>
      </c>
    </row>
    <row r="4192">
      <c r="A4192" s="1" t="s">
        <v>109</v>
      </c>
      <c r="B4192" s="38">
        <v>601713.0</v>
      </c>
      <c r="C4192" s="72">
        <v>45905.0</v>
      </c>
      <c r="D4192" s="38">
        <v>97.0</v>
      </c>
      <c r="E4192" s="75"/>
      <c r="F4192" s="67">
        <v>4.772677753</v>
      </c>
      <c r="G4192" s="40">
        <v>2.706204652</v>
      </c>
      <c r="H4192" s="40"/>
      <c r="I4192" s="41">
        <v>0.340206186</v>
      </c>
      <c r="J4192" s="41">
        <v>0.226804124</v>
      </c>
      <c r="K4192" s="41">
        <v>0.432989691</v>
      </c>
      <c r="L4192" s="41"/>
      <c r="M4192" s="74">
        <v>0.278729036</v>
      </c>
    </row>
    <row r="4193">
      <c r="A4193" s="1" t="s">
        <v>411</v>
      </c>
      <c r="B4193" s="38">
        <v>605288.0</v>
      </c>
      <c r="C4193" s="72">
        <v>45920.0</v>
      </c>
      <c r="D4193" s="38">
        <v>102.0</v>
      </c>
      <c r="E4193" s="75"/>
      <c r="F4193" s="67">
        <v>4.772608148</v>
      </c>
      <c r="G4193" s="40">
        <v>2.843215435</v>
      </c>
      <c r="H4193" s="40"/>
      <c r="I4193" s="41">
        <v>0.450980392</v>
      </c>
      <c r="J4193" s="41">
        <v>0.12745098</v>
      </c>
      <c r="K4193" s="41">
        <v>0.421568627</v>
      </c>
      <c r="L4193" s="41"/>
      <c r="M4193" s="74">
        <v>1.171653081</v>
      </c>
    </row>
    <row r="4194">
      <c r="A4194" s="1" t="s">
        <v>496</v>
      </c>
      <c r="B4194" s="38">
        <v>694477.0</v>
      </c>
      <c r="C4194" s="72">
        <v>45814.0</v>
      </c>
      <c r="D4194" s="38">
        <v>93.0</v>
      </c>
      <c r="E4194" s="75"/>
      <c r="F4194" s="67">
        <v>4.771539136</v>
      </c>
      <c r="G4194" s="40">
        <v>2.591604036</v>
      </c>
      <c r="H4194" s="40"/>
      <c r="I4194" s="41">
        <v>0.483870968</v>
      </c>
      <c r="J4194" s="41">
        <v>0.172043011</v>
      </c>
      <c r="K4194" s="41">
        <v>0.344086022</v>
      </c>
      <c r="L4194" s="41"/>
      <c r="M4194" s="74">
        <v>1.649368462</v>
      </c>
    </row>
    <row r="4195">
      <c r="A4195" s="1" t="s">
        <v>452</v>
      </c>
      <c r="B4195" s="38">
        <v>607625.0</v>
      </c>
      <c r="C4195" s="72">
        <v>45861.0</v>
      </c>
      <c r="D4195" s="38">
        <v>92.0</v>
      </c>
      <c r="E4195" s="75"/>
      <c r="F4195" s="67">
        <v>4.771109214</v>
      </c>
      <c r="G4195" s="40">
        <v>2.530649927</v>
      </c>
      <c r="H4195" s="40"/>
      <c r="I4195" s="41">
        <v>0.413043478</v>
      </c>
      <c r="J4195" s="41">
        <v>0.173913043</v>
      </c>
      <c r="K4195" s="41">
        <v>0.413043478</v>
      </c>
      <c r="L4195" s="41"/>
      <c r="M4195" s="74">
        <v>0.883573242</v>
      </c>
    </row>
    <row r="4196">
      <c r="A4196" s="1" t="s">
        <v>281</v>
      </c>
      <c r="B4196" s="38">
        <v>622663.0</v>
      </c>
      <c r="C4196" s="72">
        <v>45788.0</v>
      </c>
      <c r="D4196" s="38">
        <v>90.0</v>
      </c>
      <c r="E4196" s="75"/>
      <c r="F4196" s="67">
        <v>4.770824698</v>
      </c>
      <c r="G4196" s="40">
        <v>2.562742202</v>
      </c>
      <c r="H4196" s="40"/>
      <c r="I4196" s="41">
        <v>0.388888889</v>
      </c>
      <c r="J4196" s="41">
        <v>0.155555556</v>
      </c>
      <c r="K4196" s="41">
        <v>0.455555556</v>
      </c>
      <c r="L4196" s="41"/>
      <c r="M4196" s="74">
        <v>-0.29796894</v>
      </c>
    </row>
    <row r="4197">
      <c r="A4197" s="1" t="s">
        <v>65</v>
      </c>
      <c r="B4197" s="38">
        <v>680885.0</v>
      </c>
      <c r="C4197" s="72">
        <v>45814.0</v>
      </c>
      <c r="D4197" s="38">
        <v>92.0</v>
      </c>
      <c r="E4197" s="75"/>
      <c r="F4197" s="67">
        <v>4.770758376</v>
      </c>
      <c r="G4197" s="40">
        <v>2.580411883</v>
      </c>
      <c r="H4197" s="40"/>
      <c r="I4197" s="41">
        <v>0.423913043</v>
      </c>
      <c r="J4197" s="41">
        <v>0.293478261</v>
      </c>
      <c r="K4197" s="41">
        <v>0.282608696</v>
      </c>
      <c r="L4197" s="41"/>
      <c r="M4197" s="74">
        <v>-0.443301066</v>
      </c>
    </row>
    <row r="4198">
      <c r="A4198" s="1" t="s">
        <v>396</v>
      </c>
      <c r="B4198" s="38">
        <v>663623.0</v>
      </c>
      <c r="C4198" s="72">
        <v>45851.0</v>
      </c>
      <c r="D4198" s="38">
        <v>92.0</v>
      </c>
      <c r="E4198" s="75"/>
      <c r="F4198" s="67">
        <v>4.770248362</v>
      </c>
      <c r="G4198" s="40">
        <v>2.563269941</v>
      </c>
      <c r="H4198" s="40"/>
      <c r="I4198" s="41">
        <v>0.423913043</v>
      </c>
      <c r="J4198" s="41">
        <v>0.184782609</v>
      </c>
      <c r="K4198" s="41">
        <v>0.391304348</v>
      </c>
      <c r="L4198" s="41"/>
      <c r="M4198" s="74">
        <v>2.55674499</v>
      </c>
    </row>
    <row r="4199">
      <c r="A4199" s="1" t="s">
        <v>307</v>
      </c>
      <c r="B4199" s="38">
        <v>656849.0</v>
      </c>
      <c r="C4199" s="72">
        <v>45841.0</v>
      </c>
      <c r="D4199" s="38">
        <v>99.0</v>
      </c>
      <c r="E4199" s="75"/>
      <c r="F4199" s="67">
        <v>4.769865938</v>
      </c>
      <c r="G4199" s="40">
        <v>2.784493913</v>
      </c>
      <c r="H4199" s="40"/>
      <c r="I4199" s="41">
        <v>0.444444444</v>
      </c>
      <c r="J4199" s="41">
        <v>0.222222222</v>
      </c>
      <c r="K4199" s="41">
        <v>0.333333333</v>
      </c>
      <c r="L4199" s="41"/>
      <c r="M4199" s="74">
        <v>1.336843269</v>
      </c>
    </row>
    <row r="4200">
      <c r="A4200" s="1" t="s">
        <v>172</v>
      </c>
      <c r="B4200" s="38">
        <v>608650.0</v>
      </c>
      <c r="C4200" s="72">
        <v>45834.0</v>
      </c>
      <c r="D4200" s="38">
        <v>76.0</v>
      </c>
      <c r="E4200" s="75"/>
      <c r="F4200" s="67">
        <v>4.769459883</v>
      </c>
      <c r="G4200" s="40">
        <v>2.104238702</v>
      </c>
      <c r="H4200" s="40"/>
      <c r="I4200" s="41">
        <v>0.434210526</v>
      </c>
      <c r="J4200" s="41">
        <v>0.157894737</v>
      </c>
      <c r="K4200" s="41">
        <v>0.407894737</v>
      </c>
      <c r="L4200" s="41"/>
      <c r="M4200" s="74">
        <v>3.791042979</v>
      </c>
    </row>
    <row r="4201">
      <c r="A4201" s="1" t="s">
        <v>356</v>
      </c>
      <c r="B4201" s="38">
        <v>680732.0</v>
      </c>
      <c r="C4201" s="72">
        <v>45756.0</v>
      </c>
      <c r="D4201" s="38">
        <v>79.0</v>
      </c>
      <c r="E4201" s="75"/>
      <c r="F4201" s="67">
        <v>4.767887144</v>
      </c>
      <c r="G4201" s="40">
        <v>2.173026861</v>
      </c>
      <c r="H4201" s="40"/>
      <c r="I4201" s="41">
        <v>0.46835443</v>
      </c>
      <c r="J4201" s="41">
        <v>0.088607595</v>
      </c>
      <c r="K4201" s="41">
        <v>0.443037975</v>
      </c>
      <c r="L4201" s="41"/>
      <c r="M4201" s="74">
        <v>0.54682639</v>
      </c>
    </row>
    <row r="4202">
      <c r="A4202" s="1" t="s">
        <v>589</v>
      </c>
      <c r="B4202" s="38">
        <v>702056.0</v>
      </c>
      <c r="C4202" s="72">
        <v>45921.0</v>
      </c>
      <c r="D4202" s="38">
        <v>76.0</v>
      </c>
      <c r="E4202" s="75"/>
      <c r="F4202" s="67">
        <v>4.767345237</v>
      </c>
      <c r="G4202" s="40">
        <v>2.162208534</v>
      </c>
      <c r="H4202" s="40"/>
      <c r="I4202" s="41">
        <v>0.434210526</v>
      </c>
      <c r="J4202" s="41">
        <v>0.171052632</v>
      </c>
      <c r="K4202" s="41">
        <v>0.394736842</v>
      </c>
      <c r="L4202" s="41"/>
      <c r="M4202" s="74">
        <v>-0.827668427</v>
      </c>
    </row>
    <row r="4203">
      <c r="A4203" s="1" t="s">
        <v>461</v>
      </c>
      <c r="B4203" s="38">
        <v>673540.0</v>
      </c>
      <c r="C4203" s="72">
        <v>45814.0</v>
      </c>
      <c r="D4203" s="38">
        <v>100.0</v>
      </c>
      <c r="E4203" s="75"/>
      <c r="F4203" s="67">
        <v>4.767189846</v>
      </c>
      <c r="G4203" s="40">
        <v>2.760554402</v>
      </c>
      <c r="H4203" s="40"/>
      <c r="I4203" s="41">
        <v>0.34</v>
      </c>
      <c r="J4203" s="41">
        <v>0.26</v>
      </c>
      <c r="K4203" s="41">
        <v>0.4</v>
      </c>
      <c r="L4203" s="41"/>
      <c r="M4203" s="74">
        <v>0.128371685</v>
      </c>
    </row>
    <row r="4204">
      <c r="A4204" s="1" t="s">
        <v>180</v>
      </c>
      <c r="B4204" s="38">
        <v>642547.0</v>
      </c>
      <c r="C4204" s="72">
        <v>45755.0</v>
      </c>
      <c r="D4204" s="38">
        <v>81.0</v>
      </c>
      <c r="E4204" s="75"/>
      <c r="F4204" s="67">
        <v>4.766938804</v>
      </c>
      <c r="G4204" s="40">
        <v>2.25085715</v>
      </c>
      <c r="H4204" s="40"/>
      <c r="I4204" s="41">
        <v>0.432098765</v>
      </c>
      <c r="J4204" s="41">
        <v>0.148148148</v>
      </c>
      <c r="K4204" s="41">
        <v>0.419753086</v>
      </c>
      <c r="L4204" s="41"/>
      <c r="M4204" s="74">
        <v>0.055015294</v>
      </c>
    </row>
    <row r="4205">
      <c r="A4205" s="1" t="s">
        <v>575</v>
      </c>
      <c r="B4205" s="38">
        <v>687075.0</v>
      </c>
      <c r="C4205" s="72">
        <v>45919.0</v>
      </c>
      <c r="D4205" s="38">
        <v>69.0</v>
      </c>
      <c r="E4205" s="75"/>
      <c r="F4205" s="67">
        <v>4.7666475</v>
      </c>
      <c r="G4205" s="40">
        <v>1.919106132</v>
      </c>
      <c r="H4205" s="40"/>
      <c r="I4205" s="41">
        <v>0.449275362</v>
      </c>
      <c r="J4205" s="41">
        <v>0.15942029</v>
      </c>
      <c r="K4205" s="41">
        <v>0.391304348</v>
      </c>
      <c r="L4205" s="41"/>
      <c r="M4205" s="74">
        <v>0.197881517</v>
      </c>
    </row>
    <row r="4206">
      <c r="A4206" s="1" t="s">
        <v>100</v>
      </c>
      <c r="B4206" s="38">
        <v>676979.0</v>
      </c>
      <c r="C4206" s="72">
        <v>45771.0</v>
      </c>
      <c r="D4206" s="38">
        <v>110.0</v>
      </c>
      <c r="E4206" s="75"/>
      <c r="F4206" s="67">
        <v>4.765933927</v>
      </c>
      <c r="G4206" s="40">
        <v>3.069906762</v>
      </c>
      <c r="H4206" s="40"/>
      <c r="I4206" s="41">
        <v>0.472727273</v>
      </c>
      <c r="J4206" s="41">
        <v>0.090909091</v>
      </c>
      <c r="K4206" s="41">
        <v>0.436363636</v>
      </c>
      <c r="L4206" s="41"/>
      <c r="M4206" s="74">
        <v>-0.348859068</v>
      </c>
    </row>
    <row r="4207">
      <c r="A4207" s="1" t="s">
        <v>476</v>
      </c>
      <c r="B4207" s="38">
        <v>500779.0</v>
      </c>
      <c r="C4207" s="72">
        <v>45847.0</v>
      </c>
      <c r="D4207" s="38">
        <v>95.0</v>
      </c>
      <c r="E4207" s="75"/>
      <c r="F4207" s="67">
        <v>4.765617072</v>
      </c>
      <c r="G4207" s="40">
        <v>2.667152067</v>
      </c>
      <c r="H4207" s="40"/>
      <c r="I4207" s="41">
        <v>0.378947368</v>
      </c>
      <c r="J4207" s="41">
        <v>0.252631579</v>
      </c>
      <c r="K4207" s="41">
        <v>0.368421053</v>
      </c>
      <c r="L4207" s="41"/>
      <c r="M4207" s="74">
        <v>4.003781116</v>
      </c>
    </row>
    <row r="4208">
      <c r="A4208" s="1" t="s">
        <v>457</v>
      </c>
      <c r="B4208" s="38">
        <v>477132.0</v>
      </c>
      <c r="C4208" s="72">
        <v>45902.0</v>
      </c>
      <c r="D4208" s="38">
        <v>81.0</v>
      </c>
      <c r="E4208" s="75"/>
      <c r="F4208" s="67">
        <v>4.765389769</v>
      </c>
      <c r="G4208" s="40">
        <v>2.314783632</v>
      </c>
      <c r="H4208" s="40"/>
      <c r="I4208" s="41">
        <v>0.333333333</v>
      </c>
      <c r="J4208" s="41">
        <v>0.308641975</v>
      </c>
      <c r="K4208" s="41">
        <v>0.358024691</v>
      </c>
      <c r="L4208" s="41"/>
      <c r="M4208" s="74">
        <v>1.329358787</v>
      </c>
    </row>
    <row r="4209">
      <c r="A4209" s="1" t="s">
        <v>272</v>
      </c>
      <c r="B4209" s="38">
        <v>622491.0</v>
      </c>
      <c r="C4209" s="72">
        <v>45786.0</v>
      </c>
      <c r="D4209" s="38">
        <v>91.0</v>
      </c>
      <c r="E4209" s="75"/>
      <c r="F4209" s="67">
        <v>4.765024925</v>
      </c>
      <c r="G4209" s="40">
        <v>2.562424881</v>
      </c>
      <c r="H4209" s="40"/>
      <c r="I4209" s="41">
        <v>0.373626374</v>
      </c>
      <c r="J4209" s="41">
        <v>0.21978022</v>
      </c>
      <c r="K4209" s="41">
        <v>0.406593407</v>
      </c>
      <c r="L4209" s="41"/>
      <c r="M4209" s="74">
        <v>-0.279907532</v>
      </c>
    </row>
    <row r="4210">
      <c r="A4210" s="1" t="s">
        <v>161</v>
      </c>
      <c r="B4210" s="38">
        <v>702070.0</v>
      </c>
      <c r="C4210" s="72">
        <v>45884.0</v>
      </c>
      <c r="D4210" s="38">
        <v>78.0</v>
      </c>
      <c r="E4210" s="75"/>
      <c r="F4210" s="67">
        <v>4.764831551</v>
      </c>
      <c r="G4210" s="40">
        <v>2.185590936</v>
      </c>
      <c r="H4210" s="40"/>
      <c r="I4210" s="41">
        <v>0.346153846</v>
      </c>
      <c r="J4210" s="41">
        <v>0.179487179</v>
      </c>
      <c r="K4210" s="41">
        <v>0.474358974</v>
      </c>
      <c r="L4210" s="41"/>
      <c r="M4210" s="74">
        <v>-2.49702599</v>
      </c>
    </row>
    <row r="4211">
      <c r="A4211" s="1" t="s">
        <v>372</v>
      </c>
      <c r="B4211" s="38">
        <v>671106.0</v>
      </c>
      <c r="C4211" s="72">
        <v>45892.0</v>
      </c>
      <c r="D4211" s="38">
        <v>95.0</v>
      </c>
      <c r="E4211" s="75"/>
      <c r="F4211" s="67">
        <v>4.76367811</v>
      </c>
      <c r="G4211" s="40">
        <v>2.682540754</v>
      </c>
      <c r="H4211" s="40"/>
      <c r="I4211" s="41">
        <v>0.389473684</v>
      </c>
      <c r="J4211" s="41">
        <v>0.252631579</v>
      </c>
      <c r="K4211" s="41">
        <v>0.357894737</v>
      </c>
      <c r="L4211" s="41"/>
      <c r="M4211" s="74">
        <v>-3.019486548</v>
      </c>
    </row>
    <row r="4212">
      <c r="A4212" s="1" t="s">
        <v>353</v>
      </c>
      <c r="B4212" s="38">
        <v>663903.0</v>
      </c>
      <c r="C4212" s="72">
        <v>45793.0</v>
      </c>
      <c r="D4212" s="38">
        <v>88.0</v>
      </c>
      <c r="E4212" s="75"/>
      <c r="F4212" s="67">
        <v>4.762873243</v>
      </c>
      <c r="G4212" s="40">
        <v>2.459744086</v>
      </c>
      <c r="H4212" s="40"/>
      <c r="I4212" s="41">
        <v>0.454545455</v>
      </c>
      <c r="J4212" s="41">
        <v>0.215909091</v>
      </c>
      <c r="K4212" s="41">
        <v>0.329545455</v>
      </c>
      <c r="L4212" s="41"/>
      <c r="M4212" s="74">
        <v>2.194248519</v>
      </c>
    </row>
    <row r="4213">
      <c r="A4213" s="1" t="s">
        <v>303</v>
      </c>
      <c r="B4213" s="38">
        <v>592662.0</v>
      </c>
      <c r="C4213" s="72">
        <v>45758.0</v>
      </c>
      <c r="D4213" s="38">
        <v>97.0</v>
      </c>
      <c r="E4213" s="75"/>
      <c r="F4213" s="67">
        <v>4.762842679</v>
      </c>
      <c r="G4213" s="40">
        <v>2.676690706</v>
      </c>
      <c r="H4213" s="40"/>
      <c r="I4213" s="41">
        <v>0.474226804</v>
      </c>
      <c r="J4213" s="41">
        <v>0.134020619</v>
      </c>
      <c r="K4213" s="41">
        <v>0.391752577</v>
      </c>
      <c r="L4213" s="41"/>
      <c r="M4213" s="74">
        <v>2.46611548</v>
      </c>
    </row>
    <row r="4214">
      <c r="A4214" s="1" t="s">
        <v>302</v>
      </c>
      <c r="B4214" s="38">
        <v>681190.0</v>
      </c>
      <c r="C4214" s="72">
        <v>45774.0</v>
      </c>
      <c r="D4214" s="38">
        <v>77.0</v>
      </c>
      <c r="E4214" s="75"/>
      <c r="F4214" s="67">
        <v>4.762474575</v>
      </c>
      <c r="G4214" s="40">
        <v>2.185303822</v>
      </c>
      <c r="H4214" s="40"/>
      <c r="I4214" s="41">
        <v>0.428571429</v>
      </c>
      <c r="J4214" s="41">
        <v>0.181818182</v>
      </c>
      <c r="K4214" s="41">
        <v>0.38961039</v>
      </c>
      <c r="L4214" s="41"/>
      <c r="M4214" s="74">
        <v>0.941803737</v>
      </c>
    </row>
    <row r="4215">
      <c r="A4215" s="1" t="s">
        <v>474</v>
      </c>
      <c r="B4215" s="38">
        <v>450203.0</v>
      </c>
      <c r="C4215" s="72">
        <v>45762.0</v>
      </c>
      <c r="D4215" s="38">
        <v>82.0</v>
      </c>
      <c r="E4215" s="75"/>
      <c r="F4215" s="67">
        <v>4.762138788</v>
      </c>
      <c r="G4215" s="40">
        <v>2.292970688</v>
      </c>
      <c r="H4215" s="40"/>
      <c r="I4215" s="41">
        <v>0.451219512</v>
      </c>
      <c r="J4215" s="41">
        <v>0.12195122</v>
      </c>
      <c r="K4215" s="41">
        <v>0.426829268</v>
      </c>
      <c r="L4215" s="41"/>
      <c r="M4215" s="74">
        <v>-2.000549721</v>
      </c>
    </row>
    <row r="4216">
      <c r="A4216" s="1" t="s">
        <v>376</v>
      </c>
      <c r="B4216" s="38">
        <v>668909.0</v>
      </c>
      <c r="C4216" s="72">
        <v>45780.0</v>
      </c>
      <c r="D4216" s="38">
        <v>98.0</v>
      </c>
      <c r="E4216" s="75"/>
      <c r="F4216" s="67">
        <v>4.761908494</v>
      </c>
      <c r="G4216" s="40">
        <v>2.700470718</v>
      </c>
      <c r="H4216" s="40"/>
      <c r="I4216" s="41">
        <v>0.43877551</v>
      </c>
      <c r="J4216" s="41">
        <v>0.153061224</v>
      </c>
      <c r="K4216" s="41">
        <v>0.408163265</v>
      </c>
      <c r="L4216" s="41"/>
      <c r="M4216" s="74">
        <v>-4.079795686</v>
      </c>
    </row>
    <row r="4217">
      <c r="A4217" s="1" t="s">
        <v>313</v>
      </c>
      <c r="B4217" s="38">
        <v>607067.0</v>
      </c>
      <c r="C4217" s="72">
        <v>45772.0</v>
      </c>
      <c r="D4217" s="38">
        <v>89.0</v>
      </c>
      <c r="E4217" s="75"/>
      <c r="F4217" s="67">
        <v>4.761150566</v>
      </c>
      <c r="G4217" s="40">
        <v>2.527099946</v>
      </c>
      <c r="H4217" s="40"/>
      <c r="I4217" s="41">
        <v>0.382022472</v>
      </c>
      <c r="J4217" s="41">
        <v>0.157303371</v>
      </c>
      <c r="K4217" s="41">
        <v>0.460674157</v>
      </c>
      <c r="L4217" s="41"/>
      <c r="M4217" s="74">
        <v>2.824946727</v>
      </c>
    </row>
    <row r="4218">
      <c r="A4218" s="1" t="s">
        <v>354</v>
      </c>
      <c r="B4218" s="38">
        <v>669022.0</v>
      </c>
      <c r="C4218" s="72">
        <v>45916.0</v>
      </c>
      <c r="D4218" s="38">
        <v>87.0</v>
      </c>
      <c r="E4218" s="75"/>
      <c r="F4218" s="67">
        <v>4.760960175</v>
      </c>
      <c r="G4218" s="40">
        <v>2.431045077</v>
      </c>
      <c r="H4218" s="40"/>
      <c r="I4218" s="41">
        <v>0.471264368</v>
      </c>
      <c r="J4218" s="41">
        <v>0.091954023</v>
      </c>
      <c r="K4218" s="41">
        <v>0.436781609</v>
      </c>
      <c r="L4218" s="41"/>
      <c r="M4218" s="74">
        <v>1.78387932</v>
      </c>
    </row>
    <row r="4219">
      <c r="A4219" s="1" t="s">
        <v>222</v>
      </c>
      <c r="B4219" s="38">
        <v>518876.0</v>
      </c>
      <c r="C4219" s="72">
        <v>45795.0</v>
      </c>
      <c r="D4219" s="38">
        <v>103.0</v>
      </c>
      <c r="E4219" s="75"/>
      <c r="F4219" s="67">
        <v>4.760664272</v>
      </c>
      <c r="G4219" s="40">
        <v>2.86055063</v>
      </c>
      <c r="H4219" s="40"/>
      <c r="I4219" s="41">
        <v>0.466019417</v>
      </c>
      <c r="J4219" s="41">
        <v>0.174757282</v>
      </c>
      <c r="K4219" s="41">
        <v>0.359223301</v>
      </c>
      <c r="L4219" s="41"/>
      <c r="M4219" s="74">
        <v>4.373809251</v>
      </c>
    </row>
    <row r="4220">
      <c r="A4220" s="1" t="s">
        <v>496</v>
      </c>
      <c r="B4220" s="38">
        <v>694477.0</v>
      </c>
      <c r="C4220" s="72">
        <v>45793.0</v>
      </c>
      <c r="D4220" s="38">
        <v>86.0</v>
      </c>
      <c r="E4220" s="75"/>
      <c r="F4220" s="67">
        <v>4.760410447</v>
      </c>
      <c r="G4220" s="40">
        <v>2.439604606</v>
      </c>
      <c r="H4220" s="40"/>
      <c r="I4220" s="41">
        <v>0.430232558</v>
      </c>
      <c r="J4220" s="41">
        <v>0.151162791</v>
      </c>
      <c r="K4220" s="41">
        <v>0.418604651</v>
      </c>
      <c r="L4220" s="41"/>
      <c r="M4220" s="74">
        <v>-2.958658359</v>
      </c>
    </row>
    <row r="4221">
      <c r="A4221" s="1" t="s">
        <v>331</v>
      </c>
      <c r="B4221" s="38">
        <v>672456.0</v>
      </c>
      <c r="C4221" s="72">
        <v>45768.0</v>
      </c>
      <c r="D4221" s="38">
        <v>90.0</v>
      </c>
      <c r="E4221" s="75"/>
      <c r="F4221" s="67">
        <v>4.760126444</v>
      </c>
      <c r="G4221" s="40">
        <v>2.517861219</v>
      </c>
      <c r="H4221" s="40"/>
      <c r="I4221" s="41">
        <v>0.366666667</v>
      </c>
      <c r="J4221" s="41">
        <v>0.255555556</v>
      </c>
      <c r="K4221" s="41">
        <v>0.377777778</v>
      </c>
      <c r="L4221" s="41"/>
      <c r="M4221" s="74">
        <v>-7.57224E-4</v>
      </c>
    </row>
    <row r="4222">
      <c r="A4222" s="1" t="s">
        <v>521</v>
      </c>
      <c r="B4222" s="38">
        <v>686799.0</v>
      </c>
      <c r="C4222" s="72">
        <v>45896.0</v>
      </c>
      <c r="D4222" s="38">
        <v>74.0</v>
      </c>
      <c r="E4222" s="75"/>
      <c r="F4222" s="67">
        <v>4.759821214</v>
      </c>
      <c r="G4222" s="40">
        <v>2.106617883</v>
      </c>
      <c r="H4222" s="40"/>
      <c r="I4222" s="41">
        <v>0.445945946</v>
      </c>
      <c r="J4222" s="41">
        <v>0.175675676</v>
      </c>
      <c r="K4222" s="41">
        <v>0.378378378</v>
      </c>
      <c r="L4222" s="41"/>
      <c r="M4222" s="74">
        <v>-2.811107995</v>
      </c>
    </row>
    <row r="4223">
      <c r="A4223" s="1" t="s">
        <v>341</v>
      </c>
      <c r="B4223" s="38">
        <v>676962.0</v>
      </c>
      <c r="C4223" s="72">
        <v>45773.0</v>
      </c>
      <c r="D4223" s="38">
        <v>79.0</v>
      </c>
      <c r="E4223" s="75"/>
      <c r="F4223" s="67">
        <v>4.759622164</v>
      </c>
      <c r="G4223" s="40">
        <v>2.239924422</v>
      </c>
      <c r="H4223" s="40"/>
      <c r="I4223" s="41">
        <v>0.405063291</v>
      </c>
      <c r="J4223" s="41">
        <v>0.253164557</v>
      </c>
      <c r="K4223" s="41">
        <v>0.341772152</v>
      </c>
      <c r="L4223" s="41"/>
      <c r="M4223" s="74">
        <v>-5.077736084</v>
      </c>
    </row>
    <row r="4224">
      <c r="A4224" s="1" t="s">
        <v>464</v>
      </c>
      <c r="B4224" s="38">
        <v>615698.0</v>
      </c>
      <c r="C4224" s="72">
        <v>45766.0</v>
      </c>
      <c r="D4224" s="38">
        <v>88.0</v>
      </c>
      <c r="E4224" s="75"/>
      <c r="F4224" s="67">
        <v>4.75951099</v>
      </c>
      <c r="G4224" s="40">
        <v>2.476069745</v>
      </c>
      <c r="H4224" s="40"/>
      <c r="I4224" s="41">
        <v>0.386363636</v>
      </c>
      <c r="J4224" s="41">
        <v>0.25</v>
      </c>
      <c r="K4224" s="41">
        <v>0.363636364</v>
      </c>
      <c r="L4224" s="41"/>
      <c r="M4224" s="74">
        <v>-2.101298908</v>
      </c>
    </row>
    <row r="4225">
      <c r="A4225" s="1" t="s">
        <v>316</v>
      </c>
      <c r="B4225" s="38">
        <v>656427.0</v>
      </c>
      <c r="C4225" s="72">
        <v>45828.0</v>
      </c>
      <c r="D4225" s="38">
        <v>72.0</v>
      </c>
      <c r="E4225" s="75"/>
      <c r="F4225" s="67">
        <v>4.75937197</v>
      </c>
      <c r="G4225" s="40">
        <v>1.995356924</v>
      </c>
      <c r="H4225" s="40"/>
      <c r="I4225" s="41">
        <v>0.513888889</v>
      </c>
      <c r="J4225" s="41">
        <v>0.152777778</v>
      </c>
      <c r="K4225" s="41">
        <v>0.333333333</v>
      </c>
      <c r="L4225" s="41"/>
      <c r="M4225" s="74">
        <v>-2.199089173</v>
      </c>
    </row>
    <row r="4226">
      <c r="A4226" s="1" t="s">
        <v>374</v>
      </c>
      <c r="B4226" s="38">
        <v>683004.0</v>
      </c>
      <c r="C4226" s="72">
        <v>45903.0</v>
      </c>
      <c r="D4226" s="38">
        <v>97.0</v>
      </c>
      <c r="E4226" s="75"/>
      <c r="F4226" s="67">
        <v>4.758951639</v>
      </c>
      <c r="G4226" s="40">
        <v>2.751327641</v>
      </c>
      <c r="H4226" s="40"/>
      <c r="I4226" s="41">
        <v>0.432989691</v>
      </c>
      <c r="J4226" s="41">
        <v>0.144329897</v>
      </c>
      <c r="K4226" s="41">
        <v>0.422680412</v>
      </c>
      <c r="L4226" s="41"/>
      <c r="M4226" s="74">
        <v>2.575553843</v>
      </c>
    </row>
    <row r="4227">
      <c r="A4227" s="1" t="s">
        <v>369</v>
      </c>
      <c r="B4227" s="38">
        <v>596295.0</v>
      </c>
      <c r="C4227" s="72">
        <v>45865.0</v>
      </c>
      <c r="D4227" s="38">
        <v>73.0</v>
      </c>
      <c r="E4227" s="75"/>
      <c r="F4227" s="67">
        <v>4.758321535</v>
      </c>
      <c r="G4227" s="40">
        <v>2.058659002</v>
      </c>
      <c r="H4227" s="40"/>
      <c r="I4227" s="41">
        <v>0.410958904</v>
      </c>
      <c r="J4227" s="41">
        <v>0.219178082</v>
      </c>
      <c r="K4227" s="41">
        <v>0.369863014</v>
      </c>
      <c r="L4227" s="41"/>
      <c r="M4227" s="74">
        <v>1.604832375</v>
      </c>
    </row>
    <row r="4228">
      <c r="A4228" s="1" t="s">
        <v>329</v>
      </c>
      <c r="B4228" s="38">
        <v>669160.0</v>
      </c>
      <c r="C4228" s="72">
        <v>45817.0</v>
      </c>
      <c r="D4228" s="38">
        <v>87.0</v>
      </c>
      <c r="E4228" s="75"/>
      <c r="F4228" s="67">
        <v>4.758158785</v>
      </c>
      <c r="G4228" s="40">
        <v>2.459419393</v>
      </c>
      <c r="H4228" s="40"/>
      <c r="I4228" s="41">
        <v>0.402298851</v>
      </c>
      <c r="J4228" s="41">
        <v>0.149425287</v>
      </c>
      <c r="K4228" s="41">
        <v>0.448275862</v>
      </c>
      <c r="L4228" s="41"/>
      <c r="M4228" s="74">
        <v>-2.024488686</v>
      </c>
    </row>
    <row r="4229">
      <c r="A4229" s="1" t="s">
        <v>298</v>
      </c>
      <c r="B4229" s="38">
        <v>594902.0</v>
      </c>
      <c r="C4229" s="72">
        <v>45783.0</v>
      </c>
      <c r="D4229" s="38">
        <v>62.0</v>
      </c>
      <c r="E4229" s="75"/>
      <c r="F4229" s="67">
        <v>4.757878313</v>
      </c>
      <c r="G4229" s="40">
        <v>1.752645188</v>
      </c>
      <c r="H4229" s="40"/>
      <c r="I4229" s="41">
        <v>0.370967742</v>
      </c>
      <c r="J4229" s="41">
        <v>0.225806452</v>
      </c>
      <c r="K4229" s="41">
        <v>0.403225806</v>
      </c>
      <c r="L4229" s="41"/>
      <c r="M4229" s="74">
        <v>0.993262531</v>
      </c>
    </row>
    <row r="4230">
      <c r="A4230" s="1" t="s">
        <v>500</v>
      </c>
      <c r="B4230" s="38">
        <v>665871.0</v>
      </c>
      <c r="C4230" s="72">
        <v>45920.0</v>
      </c>
      <c r="D4230" s="38">
        <v>73.0</v>
      </c>
      <c r="E4230" s="75"/>
      <c r="F4230" s="67">
        <v>4.757744944</v>
      </c>
      <c r="G4230" s="40">
        <v>2.06444467</v>
      </c>
      <c r="H4230" s="40"/>
      <c r="I4230" s="41">
        <v>0.424657534</v>
      </c>
      <c r="J4230" s="41">
        <v>0.123287671</v>
      </c>
      <c r="K4230" s="41">
        <v>0.452054795</v>
      </c>
      <c r="L4230" s="41"/>
      <c r="M4230" s="74">
        <v>1.458925567</v>
      </c>
    </row>
    <row r="4231">
      <c r="A4231" s="1" t="s">
        <v>269</v>
      </c>
      <c r="B4231" s="38">
        <v>605280.0</v>
      </c>
      <c r="C4231" s="72">
        <v>45851.0</v>
      </c>
      <c r="D4231" s="38">
        <v>77.0</v>
      </c>
      <c r="E4231" s="75"/>
      <c r="F4231" s="67">
        <v>4.757696408</v>
      </c>
      <c r="G4231" s="40">
        <v>2.170679119</v>
      </c>
      <c r="H4231" s="40"/>
      <c r="I4231" s="41">
        <v>0.415584416</v>
      </c>
      <c r="J4231" s="41">
        <v>0.181818182</v>
      </c>
      <c r="K4231" s="41">
        <v>0.402597403</v>
      </c>
      <c r="L4231" s="41"/>
      <c r="M4231" s="74">
        <v>0.097255627</v>
      </c>
    </row>
    <row r="4232">
      <c r="A4232" s="1" t="s">
        <v>303</v>
      </c>
      <c r="B4232" s="38">
        <v>592662.0</v>
      </c>
      <c r="C4232" s="72">
        <v>45914.0</v>
      </c>
      <c r="D4232" s="38">
        <v>98.0</v>
      </c>
      <c r="E4232" s="75"/>
      <c r="F4232" s="67">
        <v>4.756837943</v>
      </c>
      <c r="G4232" s="40">
        <v>2.735515236</v>
      </c>
      <c r="H4232" s="40"/>
      <c r="I4232" s="41">
        <v>0.428571429</v>
      </c>
      <c r="J4232" s="41">
        <v>0.204081633</v>
      </c>
      <c r="K4232" s="41">
        <v>0.367346939</v>
      </c>
      <c r="L4232" s="41"/>
      <c r="M4232" s="74">
        <v>-2.003131378</v>
      </c>
    </row>
    <row r="4233">
      <c r="A4233" s="1" t="s">
        <v>306</v>
      </c>
      <c r="B4233" s="38">
        <v>677944.0</v>
      </c>
      <c r="C4233" s="72">
        <v>45879.0</v>
      </c>
      <c r="D4233" s="38">
        <v>63.0</v>
      </c>
      <c r="E4233" s="75"/>
      <c r="F4233" s="67">
        <v>4.756535186</v>
      </c>
      <c r="G4233" s="40">
        <v>1.786282245</v>
      </c>
      <c r="H4233" s="40"/>
      <c r="I4233" s="41">
        <v>0.365079365</v>
      </c>
      <c r="J4233" s="41">
        <v>0.222222222</v>
      </c>
      <c r="K4233" s="41">
        <v>0.412698413</v>
      </c>
      <c r="L4233" s="41"/>
      <c r="M4233" s="74">
        <v>-3.791131031</v>
      </c>
    </row>
    <row r="4234">
      <c r="A4234" s="1" t="s">
        <v>620</v>
      </c>
      <c r="B4234" s="38">
        <v>445926.0</v>
      </c>
      <c r="C4234" s="72">
        <v>45846.0</v>
      </c>
      <c r="D4234" s="38">
        <v>60.0</v>
      </c>
      <c r="E4234" s="75"/>
      <c r="F4234" s="67">
        <v>4.756371024</v>
      </c>
      <c r="G4234" s="40">
        <v>1.682584565</v>
      </c>
      <c r="H4234" s="40"/>
      <c r="I4234" s="41">
        <v>0.466666667</v>
      </c>
      <c r="J4234" s="41">
        <v>0.066666667</v>
      </c>
      <c r="K4234" s="41">
        <v>0.466666667</v>
      </c>
      <c r="L4234" s="41"/>
      <c r="M4234" s="74">
        <v>-0.303096198</v>
      </c>
    </row>
    <row r="4235">
      <c r="A4235" s="1" t="s">
        <v>415</v>
      </c>
      <c r="B4235" s="38">
        <v>656794.0</v>
      </c>
      <c r="C4235" s="72">
        <v>45747.0</v>
      </c>
      <c r="D4235" s="38">
        <v>64.0</v>
      </c>
      <c r="E4235" s="75"/>
      <c r="F4235" s="67">
        <v>4.756337531</v>
      </c>
      <c r="G4235" s="40">
        <v>1.799255632</v>
      </c>
      <c r="H4235" s="40"/>
      <c r="I4235" s="41">
        <v>0.4375</v>
      </c>
      <c r="J4235" s="41">
        <v>0.15625</v>
      </c>
      <c r="K4235" s="41">
        <v>0.40625</v>
      </c>
      <c r="L4235" s="41"/>
      <c r="M4235" s="74">
        <v>-4.225650705</v>
      </c>
    </row>
    <row r="4236">
      <c r="A4236" s="1" t="s">
        <v>306</v>
      </c>
      <c r="B4236" s="38">
        <v>677944.0</v>
      </c>
      <c r="C4236" s="72">
        <v>45866.0</v>
      </c>
      <c r="D4236" s="38">
        <v>93.0</v>
      </c>
      <c r="E4236" s="75"/>
      <c r="F4236" s="67">
        <v>4.756284655</v>
      </c>
      <c r="G4236" s="40">
        <v>2.620022888</v>
      </c>
      <c r="H4236" s="40"/>
      <c r="I4236" s="41">
        <v>0.397849462</v>
      </c>
      <c r="J4236" s="41">
        <v>0.172043011</v>
      </c>
      <c r="K4236" s="41">
        <v>0.430107527</v>
      </c>
      <c r="L4236" s="41"/>
      <c r="M4236" s="74">
        <v>-0.615678719</v>
      </c>
    </row>
    <row r="4237">
      <c r="A4237" s="1" t="s">
        <v>501</v>
      </c>
      <c r="B4237" s="38">
        <v>693313.0</v>
      </c>
      <c r="C4237" s="72">
        <v>45905.0</v>
      </c>
      <c r="D4237" s="38">
        <v>72.0</v>
      </c>
      <c r="E4237" s="75"/>
      <c r="F4237" s="67">
        <v>4.756260267</v>
      </c>
      <c r="G4237" s="40">
        <v>2.022936325</v>
      </c>
      <c r="H4237" s="40"/>
      <c r="I4237" s="41">
        <v>0.388888889</v>
      </c>
      <c r="J4237" s="41">
        <v>0.208333333</v>
      </c>
      <c r="K4237" s="41">
        <v>0.402777778</v>
      </c>
      <c r="L4237" s="41"/>
      <c r="M4237" s="74">
        <v>2.627785842</v>
      </c>
    </row>
    <row r="4238">
      <c r="A4238" s="1" t="s">
        <v>416</v>
      </c>
      <c r="B4238" s="38">
        <v>608337.0</v>
      </c>
      <c r="C4238" s="72">
        <v>45878.0</v>
      </c>
      <c r="D4238" s="38">
        <v>92.0</v>
      </c>
      <c r="E4238" s="75"/>
      <c r="F4238" s="67">
        <v>4.756153754</v>
      </c>
      <c r="G4238" s="40">
        <v>2.606260105</v>
      </c>
      <c r="H4238" s="40"/>
      <c r="I4238" s="41">
        <v>0.402173913</v>
      </c>
      <c r="J4238" s="41">
        <v>0.195652174</v>
      </c>
      <c r="K4238" s="41">
        <v>0.402173913</v>
      </c>
      <c r="L4238" s="41"/>
      <c r="M4238" s="74">
        <v>-0.485694662</v>
      </c>
    </row>
    <row r="4239">
      <c r="A4239" s="1" t="s">
        <v>264</v>
      </c>
      <c r="B4239" s="38">
        <v>669920.0</v>
      </c>
      <c r="C4239" s="72">
        <v>45792.0</v>
      </c>
      <c r="D4239" s="38">
        <v>71.0</v>
      </c>
      <c r="E4239" s="75"/>
      <c r="F4239" s="67">
        <v>4.756135392</v>
      </c>
      <c r="G4239" s="40">
        <v>2.006110513</v>
      </c>
      <c r="H4239" s="40"/>
      <c r="I4239" s="41">
        <v>0.422535211</v>
      </c>
      <c r="J4239" s="41">
        <v>0.183098592</v>
      </c>
      <c r="K4239" s="41">
        <v>0.394366197</v>
      </c>
      <c r="L4239" s="41"/>
      <c r="M4239" s="74">
        <v>-1.92667094</v>
      </c>
    </row>
    <row r="4240">
      <c r="A4240" s="1" t="s">
        <v>504</v>
      </c>
      <c r="B4240" s="38">
        <v>663372.0</v>
      </c>
      <c r="C4240" s="72">
        <v>45751.0</v>
      </c>
      <c r="D4240" s="38">
        <v>85.0</v>
      </c>
      <c r="E4240" s="75"/>
      <c r="F4240" s="67">
        <v>4.754914082</v>
      </c>
      <c r="G4240" s="40">
        <v>2.387411814</v>
      </c>
      <c r="H4240" s="40"/>
      <c r="I4240" s="41">
        <v>0.411764706</v>
      </c>
      <c r="J4240" s="41">
        <v>0.117647059</v>
      </c>
      <c r="K4240" s="41">
        <v>0.470588235</v>
      </c>
      <c r="L4240" s="41"/>
      <c r="M4240" s="74">
        <v>-2.933462707</v>
      </c>
    </row>
    <row r="4241">
      <c r="A4241" s="1" t="s">
        <v>490</v>
      </c>
      <c r="B4241" s="38">
        <v>680573.0</v>
      </c>
      <c r="C4241" s="72">
        <v>45818.0</v>
      </c>
      <c r="D4241" s="38">
        <v>91.0</v>
      </c>
      <c r="E4241" s="75"/>
      <c r="F4241" s="67">
        <v>4.75427097</v>
      </c>
      <c r="G4241" s="40">
        <v>2.605532322</v>
      </c>
      <c r="H4241" s="40"/>
      <c r="I4241" s="41">
        <v>0.340659341</v>
      </c>
      <c r="J4241" s="41">
        <v>0.208791209</v>
      </c>
      <c r="K4241" s="41">
        <v>0.450549451</v>
      </c>
      <c r="L4241" s="41"/>
      <c r="M4241" s="74">
        <v>-3.032755621</v>
      </c>
    </row>
    <row r="4242">
      <c r="A4242" s="1" t="s">
        <v>358</v>
      </c>
      <c r="B4242" s="38">
        <v>434378.0</v>
      </c>
      <c r="C4242" s="72">
        <v>45912.0</v>
      </c>
      <c r="D4242" s="38">
        <v>103.0</v>
      </c>
      <c r="E4242" s="75"/>
      <c r="F4242" s="67">
        <v>4.754255793</v>
      </c>
      <c r="G4242" s="40">
        <v>2.939357172</v>
      </c>
      <c r="H4242" s="40"/>
      <c r="I4242" s="41">
        <v>0.417475728</v>
      </c>
      <c r="J4242" s="41">
        <v>0.203883495</v>
      </c>
      <c r="K4242" s="41">
        <v>0.378640777</v>
      </c>
      <c r="L4242" s="41"/>
      <c r="M4242" s="74">
        <v>1.654615716</v>
      </c>
    </row>
    <row r="4243">
      <c r="A4243" s="1" t="s">
        <v>275</v>
      </c>
      <c r="B4243" s="38">
        <v>693821.0</v>
      </c>
      <c r="C4243" s="72">
        <v>45913.0</v>
      </c>
      <c r="D4243" s="38">
        <v>89.0</v>
      </c>
      <c r="E4243" s="75"/>
      <c r="F4243" s="67">
        <v>4.75405199</v>
      </c>
      <c r="G4243" s="40">
        <v>2.50487269</v>
      </c>
      <c r="H4243" s="40"/>
      <c r="I4243" s="41">
        <v>0.348314607</v>
      </c>
      <c r="J4243" s="41">
        <v>0.202247191</v>
      </c>
      <c r="K4243" s="41">
        <v>0.449438202</v>
      </c>
      <c r="L4243" s="41"/>
      <c r="M4243" s="74">
        <v>-4.910567053</v>
      </c>
    </row>
    <row r="4244">
      <c r="A4244" s="1" t="s">
        <v>290</v>
      </c>
      <c r="B4244" s="38">
        <v>669461.0</v>
      </c>
      <c r="C4244" s="72">
        <v>45813.0</v>
      </c>
      <c r="D4244" s="38">
        <v>70.0</v>
      </c>
      <c r="E4244" s="75"/>
      <c r="F4244" s="67">
        <v>4.753980848</v>
      </c>
      <c r="G4244" s="40">
        <v>1.966500946</v>
      </c>
      <c r="H4244" s="40"/>
      <c r="I4244" s="41">
        <v>0.371428571</v>
      </c>
      <c r="J4244" s="41">
        <v>0.171428571</v>
      </c>
      <c r="K4244" s="41">
        <v>0.457142857</v>
      </c>
      <c r="L4244" s="41"/>
      <c r="M4244" s="74">
        <v>-3.716846901</v>
      </c>
    </row>
    <row r="4245">
      <c r="A4245" s="1" t="s">
        <v>491</v>
      </c>
      <c r="B4245" s="38">
        <v>650644.0</v>
      </c>
      <c r="C4245" s="72">
        <v>45846.0</v>
      </c>
      <c r="D4245" s="38">
        <v>79.0</v>
      </c>
      <c r="E4245" s="75"/>
      <c r="F4245" s="67">
        <v>4.753549421</v>
      </c>
      <c r="G4245" s="40">
        <v>2.260385028</v>
      </c>
      <c r="H4245" s="40"/>
      <c r="I4245" s="41">
        <v>0.35443038</v>
      </c>
      <c r="J4245" s="41">
        <v>0.240506329</v>
      </c>
      <c r="K4245" s="41">
        <v>0.405063291</v>
      </c>
      <c r="L4245" s="41"/>
      <c r="M4245" s="74">
        <v>-1.902469384</v>
      </c>
    </row>
    <row r="4246">
      <c r="A4246" s="1" t="s">
        <v>432</v>
      </c>
      <c r="B4246" s="38">
        <v>669467.0</v>
      </c>
      <c r="C4246" s="72">
        <v>45769.0</v>
      </c>
      <c r="D4246" s="38">
        <v>83.0</v>
      </c>
      <c r="E4246" s="75"/>
      <c r="F4246" s="67">
        <v>4.753391926</v>
      </c>
      <c r="G4246" s="40">
        <v>2.340361819</v>
      </c>
      <c r="H4246" s="40"/>
      <c r="I4246" s="41">
        <v>0.301204819</v>
      </c>
      <c r="J4246" s="41">
        <v>0.301204819</v>
      </c>
      <c r="K4246" s="41">
        <v>0.397590361</v>
      </c>
      <c r="L4246" s="41"/>
      <c r="M4246" s="74">
        <v>-1.652541842</v>
      </c>
    </row>
    <row r="4247">
      <c r="A4247" s="1" t="s">
        <v>495</v>
      </c>
      <c r="B4247" s="38">
        <v>801403.0</v>
      </c>
      <c r="C4247" s="72">
        <v>45908.0</v>
      </c>
      <c r="D4247" s="38">
        <v>75.0</v>
      </c>
      <c r="E4247" s="75"/>
      <c r="F4247" s="67">
        <v>4.752820866</v>
      </c>
      <c r="G4247" s="40">
        <v>2.08707957</v>
      </c>
      <c r="H4247" s="40"/>
      <c r="I4247" s="41">
        <v>0.493333333</v>
      </c>
      <c r="J4247" s="41">
        <v>0.16</v>
      </c>
      <c r="K4247" s="41">
        <v>0.346666667</v>
      </c>
      <c r="L4247" s="41"/>
      <c r="M4247" s="74">
        <v>2.946873925</v>
      </c>
    </row>
    <row r="4248">
      <c r="A4248" s="1" t="s">
        <v>456</v>
      </c>
      <c r="B4248" s="38">
        <v>605135.0</v>
      </c>
      <c r="C4248" s="72">
        <v>45861.0</v>
      </c>
      <c r="D4248" s="38">
        <v>93.0</v>
      </c>
      <c r="E4248" s="75"/>
      <c r="F4248" s="67">
        <v>4.752381222</v>
      </c>
      <c r="G4248" s="40">
        <v>2.658811443</v>
      </c>
      <c r="H4248" s="40"/>
      <c r="I4248" s="41">
        <v>0.387096774</v>
      </c>
      <c r="J4248" s="41">
        <v>0.225806452</v>
      </c>
      <c r="K4248" s="41">
        <v>0.387096774</v>
      </c>
      <c r="L4248" s="41"/>
      <c r="M4248" s="74">
        <v>3.936011034</v>
      </c>
    </row>
    <row r="4249">
      <c r="A4249" s="1" t="s">
        <v>484</v>
      </c>
      <c r="B4249" s="38">
        <v>682847.0</v>
      </c>
      <c r="C4249" s="72">
        <v>45829.0</v>
      </c>
      <c r="D4249" s="38">
        <v>89.0</v>
      </c>
      <c r="E4249" s="75"/>
      <c r="F4249" s="67">
        <v>4.752372511</v>
      </c>
      <c r="G4249" s="40">
        <v>2.522068265</v>
      </c>
      <c r="H4249" s="40"/>
      <c r="I4249" s="41">
        <v>0.426966292</v>
      </c>
      <c r="J4249" s="41">
        <v>0.179775281</v>
      </c>
      <c r="K4249" s="41">
        <v>0.393258427</v>
      </c>
      <c r="L4249" s="41"/>
      <c r="M4249" s="74">
        <v>4.276141586</v>
      </c>
    </row>
    <row r="4250">
      <c r="A4250" s="1" t="s">
        <v>329</v>
      </c>
      <c r="B4250" s="38">
        <v>669160.0</v>
      </c>
      <c r="C4250" s="72">
        <v>45748.0</v>
      </c>
      <c r="D4250" s="38">
        <v>79.0</v>
      </c>
      <c r="E4250" s="75"/>
      <c r="F4250" s="67">
        <v>4.752232828</v>
      </c>
      <c r="G4250" s="40">
        <v>2.223919926</v>
      </c>
      <c r="H4250" s="40"/>
      <c r="I4250" s="41">
        <v>0.405063291</v>
      </c>
      <c r="J4250" s="41">
        <v>0.189873418</v>
      </c>
      <c r="K4250" s="41">
        <v>0.405063291</v>
      </c>
      <c r="L4250" s="41"/>
      <c r="M4250" s="74">
        <v>2.912519795</v>
      </c>
    </row>
    <row r="4251">
      <c r="A4251" s="1" t="s">
        <v>513</v>
      </c>
      <c r="B4251" s="38">
        <v>608566.0</v>
      </c>
      <c r="C4251" s="72">
        <v>45920.0</v>
      </c>
      <c r="D4251" s="38">
        <v>81.0</v>
      </c>
      <c r="E4251" s="75"/>
      <c r="F4251" s="67">
        <v>4.750863878</v>
      </c>
      <c r="G4251" s="40">
        <v>2.335587406</v>
      </c>
      <c r="H4251" s="40"/>
      <c r="I4251" s="41">
        <v>0.333333333</v>
      </c>
      <c r="J4251" s="41">
        <v>0.24691358</v>
      </c>
      <c r="K4251" s="41">
        <v>0.419753086</v>
      </c>
      <c r="L4251" s="41"/>
      <c r="M4251" s="74">
        <v>1.940996039</v>
      </c>
    </row>
    <row r="4252">
      <c r="A4252" s="1" t="s">
        <v>425</v>
      </c>
      <c r="B4252" s="38">
        <v>621244.0</v>
      </c>
      <c r="C4252" s="72">
        <v>45790.0</v>
      </c>
      <c r="D4252" s="38">
        <v>82.0</v>
      </c>
      <c r="E4252" s="75"/>
      <c r="F4252" s="67">
        <v>4.750696341</v>
      </c>
      <c r="G4252" s="40">
        <v>2.314115626</v>
      </c>
      <c r="H4252" s="40"/>
      <c r="I4252" s="41">
        <v>0.402439024</v>
      </c>
      <c r="J4252" s="41">
        <v>0.256097561</v>
      </c>
      <c r="K4252" s="41">
        <v>0.341463415</v>
      </c>
      <c r="L4252" s="41"/>
      <c r="M4252" s="74">
        <v>-0.084149865</v>
      </c>
    </row>
    <row r="4253">
      <c r="A4253" s="1" t="s">
        <v>457</v>
      </c>
      <c r="B4253" s="38">
        <v>477132.0</v>
      </c>
      <c r="C4253" s="72">
        <v>45919.0</v>
      </c>
      <c r="D4253" s="38">
        <v>90.0</v>
      </c>
      <c r="E4253" s="75"/>
      <c r="F4253" s="67">
        <v>4.750242854</v>
      </c>
      <c r="G4253" s="40">
        <v>2.564630103</v>
      </c>
      <c r="H4253" s="40"/>
      <c r="I4253" s="41">
        <v>0.411111111</v>
      </c>
      <c r="J4253" s="41">
        <v>0.155555556</v>
      </c>
      <c r="K4253" s="41">
        <v>0.433333333</v>
      </c>
      <c r="L4253" s="41"/>
      <c r="M4253" s="74">
        <v>1.729242493</v>
      </c>
    </row>
    <row r="4254">
      <c r="A4254" s="1" t="s">
        <v>229</v>
      </c>
      <c r="B4254" s="38">
        <v>645261.0</v>
      </c>
      <c r="C4254" s="72">
        <v>45759.0</v>
      </c>
      <c r="D4254" s="38">
        <v>86.0</v>
      </c>
      <c r="E4254" s="75"/>
      <c r="F4254" s="67">
        <v>4.750177662</v>
      </c>
      <c r="G4254" s="40">
        <v>2.478798802</v>
      </c>
      <c r="H4254" s="40"/>
      <c r="I4254" s="41">
        <v>0.372093023</v>
      </c>
      <c r="J4254" s="41">
        <v>0.26744186</v>
      </c>
      <c r="K4254" s="41">
        <v>0.360465116</v>
      </c>
      <c r="L4254" s="41"/>
      <c r="M4254" s="74">
        <v>1.126264494</v>
      </c>
    </row>
    <row r="4255">
      <c r="A4255" s="1" t="s">
        <v>464</v>
      </c>
      <c r="B4255" s="38">
        <v>615698.0</v>
      </c>
      <c r="C4255" s="72">
        <v>45832.0</v>
      </c>
      <c r="D4255" s="38">
        <v>79.0</v>
      </c>
      <c r="E4255" s="75"/>
      <c r="F4255" s="67">
        <v>4.750054042</v>
      </c>
      <c r="G4255" s="40">
        <v>2.253276579</v>
      </c>
      <c r="H4255" s="40"/>
      <c r="I4255" s="41">
        <v>0.35443038</v>
      </c>
      <c r="J4255" s="41">
        <v>0.265822785</v>
      </c>
      <c r="K4255" s="41">
        <v>0.379746835</v>
      </c>
      <c r="L4255" s="41"/>
      <c r="M4255" s="74">
        <v>1.312176409</v>
      </c>
    </row>
    <row r="4256">
      <c r="A4256" s="1" t="s">
        <v>368</v>
      </c>
      <c r="B4256" s="38">
        <v>593958.0</v>
      </c>
      <c r="C4256" s="72">
        <v>45786.0</v>
      </c>
      <c r="D4256" s="38">
        <v>74.0</v>
      </c>
      <c r="E4256" s="75"/>
      <c r="F4256" s="67">
        <v>4.7499954</v>
      </c>
      <c r="G4256" s="40">
        <v>2.111277293</v>
      </c>
      <c r="H4256" s="40"/>
      <c r="I4256" s="41">
        <v>0.391891892</v>
      </c>
      <c r="J4256" s="41">
        <v>0.148648649</v>
      </c>
      <c r="K4256" s="41">
        <v>0.459459459</v>
      </c>
      <c r="L4256" s="41"/>
      <c r="M4256" s="74">
        <v>-5.004714118</v>
      </c>
    </row>
    <row r="4257">
      <c r="A4257" s="1" t="s">
        <v>480</v>
      </c>
      <c r="B4257" s="38">
        <v>647336.0</v>
      </c>
      <c r="C4257" s="72">
        <v>45830.0</v>
      </c>
      <c r="D4257" s="38">
        <v>81.0</v>
      </c>
      <c r="E4257" s="75"/>
      <c r="F4257" s="67">
        <v>4.74991473</v>
      </c>
      <c r="G4257" s="40">
        <v>2.30275636</v>
      </c>
      <c r="H4257" s="40"/>
      <c r="I4257" s="41">
        <v>0.444444444</v>
      </c>
      <c r="J4257" s="41">
        <v>0.197530864</v>
      </c>
      <c r="K4257" s="41">
        <v>0.358024691</v>
      </c>
      <c r="L4257" s="41"/>
      <c r="M4257" s="74">
        <v>3.64119139</v>
      </c>
    </row>
    <row r="4258">
      <c r="A4258" s="1" t="s">
        <v>470</v>
      </c>
      <c r="B4258" s="38">
        <v>681343.0</v>
      </c>
      <c r="C4258" s="72">
        <v>45905.0</v>
      </c>
      <c r="D4258" s="38">
        <v>90.0</v>
      </c>
      <c r="E4258" s="75"/>
      <c r="F4258" s="67">
        <v>4.749871387</v>
      </c>
      <c r="G4258" s="40">
        <v>2.532593265</v>
      </c>
      <c r="H4258" s="40"/>
      <c r="I4258" s="41">
        <v>0.444444444</v>
      </c>
      <c r="J4258" s="41">
        <v>0.133333333</v>
      </c>
      <c r="K4258" s="41">
        <v>0.422222222</v>
      </c>
      <c r="L4258" s="41"/>
      <c r="M4258" s="74">
        <v>2.071427659</v>
      </c>
    </row>
    <row r="4259">
      <c r="A4259" s="1" t="s">
        <v>491</v>
      </c>
      <c r="B4259" s="38">
        <v>650644.0</v>
      </c>
      <c r="C4259" s="72">
        <v>45891.0</v>
      </c>
      <c r="D4259" s="38">
        <v>86.0</v>
      </c>
      <c r="E4259" s="75"/>
      <c r="F4259" s="67">
        <v>4.748760145</v>
      </c>
      <c r="G4259" s="40">
        <v>2.451544688</v>
      </c>
      <c r="H4259" s="40"/>
      <c r="I4259" s="41">
        <v>0.290697674</v>
      </c>
      <c r="J4259" s="41">
        <v>0.337209302</v>
      </c>
      <c r="K4259" s="41">
        <v>0.372093023</v>
      </c>
      <c r="L4259" s="41"/>
      <c r="M4259" s="74">
        <v>-0.37188511</v>
      </c>
    </row>
    <row r="4260">
      <c r="A4260" s="1" t="s">
        <v>456</v>
      </c>
      <c r="B4260" s="38">
        <v>605135.0</v>
      </c>
      <c r="C4260" s="72">
        <v>45889.0</v>
      </c>
      <c r="D4260" s="38">
        <v>103.0</v>
      </c>
      <c r="E4260" s="75"/>
      <c r="F4260" s="67">
        <v>4.74816601</v>
      </c>
      <c r="G4260" s="40">
        <v>2.907054504</v>
      </c>
      <c r="H4260" s="40"/>
      <c r="I4260" s="41">
        <v>0.417475728</v>
      </c>
      <c r="J4260" s="41">
        <v>0.145631068</v>
      </c>
      <c r="K4260" s="41">
        <v>0.436893204</v>
      </c>
      <c r="L4260" s="41"/>
      <c r="M4260" s="74">
        <v>1.316696772</v>
      </c>
    </row>
    <row r="4261">
      <c r="A4261" s="1" t="s">
        <v>361</v>
      </c>
      <c r="B4261" s="38">
        <v>686563.0</v>
      </c>
      <c r="C4261" s="72">
        <v>45810.0</v>
      </c>
      <c r="D4261" s="38">
        <v>84.0</v>
      </c>
      <c r="E4261" s="75"/>
      <c r="F4261" s="67">
        <v>4.747983901</v>
      </c>
      <c r="G4261" s="40">
        <v>2.36393137</v>
      </c>
      <c r="H4261" s="40"/>
      <c r="I4261" s="41">
        <v>0.476190476</v>
      </c>
      <c r="J4261" s="41">
        <v>0.130952381</v>
      </c>
      <c r="K4261" s="41">
        <v>0.392857143</v>
      </c>
      <c r="L4261" s="41"/>
      <c r="M4261" s="74">
        <v>-0.149480628</v>
      </c>
    </row>
    <row r="4262">
      <c r="A4262" s="1" t="s">
        <v>461</v>
      </c>
      <c r="B4262" s="38">
        <v>673540.0</v>
      </c>
      <c r="C4262" s="72">
        <v>45877.0</v>
      </c>
      <c r="D4262" s="38">
        <v>77.0</v>
      </c>
      <c r="E4262" s="75"/>
      <c r="F4262" s="67">
        <v>4.747957061</v>
      </c>
      <c r="G4262" s="40">
        <v>2.203397444</v>
      </c>
      <c r="H4262" s="40"/>
      <c r="I4262" s="41">
        <v>0.428571429</v>
      </c>
      <c r="J4262" s="41">
        <v>0.142857143</v>
      </c>
      <c r="K4262" s="41">
        <v>0.428571429</v>
      </c>
      <c r="L4262" s="41"/>
      <c r="M4262" s="74">
        <v>1.941750229</v>
      </c>
    </row>
    <row r="4263">
      <c r="A4263" s="1" t="s">
        <v>456</v>
      </c>
      <c r="B4263" s="38">
        <v>605135.0</v>
      </c>
      <c r="C4263" s="72">
        <v>45791.0</v>
      </c>
      <c r="D4263" s="38">
        <v>91.0</v>
      </c>
      <c r="E4263" s="75"/>
      <c r="F4263" s="67">
        <v>4.747943926</v>
      </c>
      <c r="G4263" s="40">
        <v>2.594739051</v>
      </c>
      <c r="H4263" s="40"/>
      <c r="I4263" s="41">
        <v>0.373626374</v>
      </c>
      <c r="J4263" s="41">
        <v>0.175824176</v>
      </c>
      <c r="K4263" s="41">
        <v>0.450549451</v>
      </c>
      <c r="L4263" s="41"/>
      <c r="M4263" s="74">
        <v>-0.20361215</v>
      </c>
    </row>
    <row r="4264">
      <c r="A4264" s="1" t="s">
        <v>425</v>
      </c>
      <c r="B4264" s="38">
        <v>621244.0</v>
      </c>
      <c r="C4264" s="72">
        <v>45748.0</v>
      </c>
      <c r="D4264" s="38">
        <v>89.0</v>
      </c>
      <c r="E4264" s="75"/>
      <c r="F4264" s="67">
        <v>4.747658311</v>
      </c>
      <c r="G4264" s="40">
        <v>2.49864565</v>
      </c>
      <c r="H4264" s="40"/>
      <c r="I4264" s="41">
        <v>0.426966292</v>
      </c>
      <c r="J4264" s="41">
        <v>0.146067416</v>
      </c>
      <c r="K4264" s="41">
        <v>0.426966292</v>
      </c>
      <c r="L4264" s="41"/>
      <c r="M4264" s="74">
        <v>0.385621436</v>
      </c>
    </row>
    <row r="4265">
      <c r="A4265" s="1" t="s">
        <v>389</v>
      </c>
      <c r="B4265" s="38">
        <v>682052.0</v>
      </c>
      <c r="C4265" s="72">
        <v>45859.0</v>
      </c>
      <c r="D4265" s="38">
        <v>91.0</v>
      </c>
      <c r="E4265" s="75"/>
      <c r="F4265" s="67">
        <v>4.747170457</v>
      </c>
      <c r="G4265" s="40">
        <v>2.573120929</v>
      </c>
      <c r="H4265" s="40"/>
      <c r="I4265" s="41">
        <v>0.373626374</v>
      </c>
      <c r="J4265" s="41">
        <v>0.252747253</v>
      </c>
      <c r="K4265" s="41">
        <v>0.373626374</v>
      </c>
      <c r="L4265" s="41"/>
      <c r="M4265" s="74">
        <v>1.250541253</v>
      </c>
    </row>
    <row r="4266">
      <c r="A4266" s="1" t="s">
        <v>220</v>
      </c>
      <c r="B4266" s="38">
        <v>663559.0</v>
      </c>
      <c r="C4266" s="72">
        <v>45791.0</v>
      </c>
      <c r="D4266" s="38">
        <v>76.0</v>
      </c>
      <c r="E4266" s="75"/>
      <c r="F4266" s="67">
        <v>4.747028579</v>
      </c>
      <c r="G4266" s="40">
        <v>2.163566627</v>
      </c>
      <c r="H4266" s="40"/>
      <c r="I4266" s="41">
        <v>0.460526316</v>
      </c>
      <c r="J4266" s="41">
        <v>0.118421053</v>
      </c>
      <c r="K4266" s="41">
        <v>0.421052632</v>
      </c>
      <c r="L4266" s="41"/>
      <c r="M4266" s="74">
        <v>1.047689412</v>
      </c>
    </row>
    <row r="4267">
      <c r="A4267" s="1" t="s">
        <v>294</v>
      </c>
      <c r="B4267" s="38">
        <v>665152.0</v>
      </c>
      <c r="C4267" s="72">
        <v>45916.0</v>
      </c>
      <c r="D4267" s="38">
        <v>94.0</v>
      </c>
      <c r="E4267" s="75"/>
      <c r="F4267" s="67">
        <v>4.746666787</v>
      </c>
      <c r="G4267" s="40">
        <v>2.649546324</v>
      </c>
      <c r="H4267" s="40"/>
      <c r="I4267" s="41">
        <v>0.35106383</v>
      </c>
      <c r="J4267" s="41">
        <v>0.234042553</v>
      </c>
      <c r="K4267" s="41">
        <v>0.414893617</v>
      </c>
      <c r="L4267" s="41"/>
      <c r="M4267" s="74">
        <v>1.087016287</v>
      </c>
    </row>
    <row r="4268">
      <c r="A4268" s="1" t="s">
        <v>285</v>
      </c>
      <c r="B4268" s="38">
        <v>607074.0</v>
      </c>
      <c r="C4268" s="72">
        <v>45859.0</v>
      </c>
      <c r="D4268" s="38">
        <v>104.0</v>
      </c>
      <c r="E4268" s="75"/>
      <c r="F4268" s="67">
        <v>4.74586312</v>
      </c>
      <c r="G4268" s="40">
        <v>2.947940994</v>
      </c>
      <c r="H4268" s="40"/>
      <c r="I4268" s="41">
        <v>0.471153846</v>
      </c>
      <c r="J4268" s="41">
        <v>0.173076923</v>
      </c>
      <c r="K4268" s="41">
        <v>0.355769231</v>
      </c>
      <c r="L4268" s="41"/>
      <c r="M4268" s="74">
        <v>0.330962528</v>
      </c>
    </row>
    <row r="4269">
      <c r="A4269" s="1" t="s">
        <v>335</v>
      </c>
      <c r="B4269" s="38">
        <v>663436.0</v>
      </c>
      <c r="C4269" s="72">
        <v>45907.0</v>
      </c>
      <c r="D4269" s="38">
        <v>95.0</v>
      </c>
      <c r="E4269" s="75"/>
      <c r="F4269" s="67">
        <v>4.745814218</v>
      </c>
      <c r="G4269" s="40">
        <v>2.708756643</v>
      </c>
      <c r="H4269" s="40"/>
      <c r="I4269" s="41">
        <v>0.421052632</v>
      </c>
      <c r="J4269" s="41">
        <v>0.157894737</v>
      </c>
      <c r="K4269" s="41">
        <v>0.421052632</v>
      </c>
      <c r="L4269" s="41"/>
      <c r="M4269" s="74">
        <v>4.540789004</v>
      </c>
    </row>
    <row r="4270">
      <c r="A4270" s="1" t="s">
        <v>474</v>
      </c>
      <c r="B4270" s="38">
        <v>450203.0</v>
      </c>
      <c r="C4270" s="72">
        <v>45872.0</v>
      </c>
      <c r="D4270" s="38">
        <v>81.0</v>
      </c>
      <c r="E4270" s="75"/>
      <c r="F4270" s="67">
        <v>4.745347554</v>
      </c>
      <c r="G4270" s="40">
        <v>2.323998023</v>
      </c>
      <c r="H4270" s="40"/>
      <c r="I4270" s="41">
        <v>0.395061728</v>
      </c>
      <c r="J4270" s="41">
        <v>0.24691358</v>
      </c>
      <c r="K4270" s="41">
        <v>0.358024691</v>
      </c>
      <c r="L4270" s="41"/>
      <c r="M4270" s="74">
        <v>0.580313761</v>
      </c>
    </row>
    <row r="4271">
      <c r="A4271" s="1" t="s">
        <v>383</v>
      </c>
      <c r="B4271" s="38">
        <v>573186.0</v>
      </c>
      <c r="C4271" s="72">
        <v>45837.0</v>
      </c>
      <c r="D4271" s="38">
        <v>72.0</v>
      </c>
      <c r="E4271" s="75"/>
      <c r="F4271" s="67">
        <v>4.744869729</v>
      </c>
      <c r="G4271" s="40">
        <v>2.064457002</v>
      </c>
      <c r="H4271" s="40"/>
      <c r="I4271" s="41">
        <v>0.375</v>
      </c>
      <c r="J4271" s="41">
        <v>0.194444444</v>
      </c>
      <c r="K4271" s="41">
        <v>0.430555556</v>
      </c>
      <c r="L4271" s="41"/>
      <c r="M4271" s="74">
        <v>0.714136933</v>
      </c>
    </row>
    <row r="4272">
      <c r="A4272" s="1" t="s">
        <v>307</v>
      </c>
      <c r="B4272" s="38">
        <v>656849.0</v>
      </c>
      <c r="C4272" s="72">
        <v>45830.0</v>
      </c>
      <c r="D4272" s="38">
        <v>69.0</v>
      </c>
      <c r="E4272" s="75"/>
      <c r="F4272" s="67">
        <v>4.744733226</v>
      </c>
      <c r="G4272" s="40">
        <v>1.958332976</v>
      </c>
      <c r="H4272" s="40"/>
      <c r="I4272" s="41">
        <v>0.391304348</v>
      </c>
      <c r="J4272" s="41">
        <v>0.217391304</v>
      </c>
      <c r="K4272" s="41">
        <v>0.391304348</v>
      </c>
      <c r="L4272" s="41"/>
      <c r="M4272" s="74">
        <v>-2.135826882</v>
      </c>
    </row>
    <row r="4273">
      <c r="A4273" s="1" t="s">
        <v>156</v>
      </c>
      <c r="B4273" s="38">
        <v>519242.0</v>
      </c>
      <c r="C4273" s="72">
        <v>45760.0</v>
      </c>
      <c r="D4273" s="38">
        <v>96.0</v>
      </c>
      <c r="E4273" s="75"/>
      <c r="F4273" s="67">
        <v>4.744308702</v>
      </c>
      <c r="G4273" s="40">
        <v>2.684728548</v>
      </c>
      <c r="H4273" s="40"/>
      <c r="I4273" s="41">
        <v>0.458333333</v>
      </c>
      <c r="J4273" s="41">
        <v>0.114583333</v>
      </c>
      <c r="K4273" s="41">
        <v>0.427083333</v>
      </c>
      <c r="L4273" s="41"/>
      <c r="M4273" s="74">
        <v>-1.829226619</v>
      </c>
    </row>
    <row r="4274">
      <c r="A4274" s="1" t="s">
        <v>166</v>
      </c>
      <c r="B4274" s="38">
        <v>608331.0</v>
      </c>
      <c r="C4274" s="72">
        <v>45891.0</v>
      </c>
      <c r="D4274" s="38">
        <v>97.0</v>
      </c>
      <c r="E4274" s="75"/>
      <c r="F4274" s="67">
        <v>4.743401639</v>
      </c>
      <c r="G4274" s="40">
        <v>2.754322645</v>
      </c>
      <c r="H4274" s="40"/>
      <c r="I4274" s="41">
        <v>0.402061856</v>
      </c>
      <c r="J4274" s="41">
        <v>0.18556701</v>
      </c>
      <c r="K4274" s="41">
        <v>0.412371134</v>
      </c>
      <c r="L4274" s="41"/>
      <c r="M4274" s="74">
        <v>1.705391331</v>
      </c>
    </row>
    <row r="4275">
      <c r="A4275" s="1" t="s">
        <v>246</v>
      </c>
      <c r="B4275" s="38">
        <v>571510.0</v>
      </c>
      <c r="C4275" s="72">
        <v>45924.0</v>
      </c>
      <c r="D4275" s="38">
        <v>82.0</v>
      </c>
      <c r="E4275" s="75"/>
      <c r="F4275" s="67">
        <v>4.743002571</v>
      </c>
      <c r="G4275" s="40">
        <v>2.329111884</v>
      </c>
      <c r="H4275" s="40"/>
      <c r="I4275" s="41">
        <v>0.463414634</v>
      </c>
      <c r="J4275" s="41">
        <v>0.073170732</v>
      </c>
      <c r="K4275" s="41">
        <v>0.463414634</v>
      </c>
      <c r="L4275" s="41"/>
      <c r="M4275" s="74">
        <v>3.134779946</v>
      </c>
    </row>
    <row r="4276">
      <c r="A4276" s="1" t="s">
        <v>491</v>
      </c>
      <c r="B4276" s="38">
        <v>650644.0</v>
      </c>
      <c r="C4276" s="72">
        <v>45841.0</v>
      </c>
      <c r="D4276" s="38">
        <v>92.0</v>
      </c>
      <c r="E4276" s="75"/>
      <c r="F4276" s="67">
        <v>4.742830534</v>
      </c>
      <c r="G4276" s="40">
        <v>2.642910177</v>
      </c>
      <c r="H4276" s="40"/>
      <c r="I4276" s="41">
        <v>0.413043478</v>
      </c>
      <c r="J4276" s="41">
        <v>0.206521739</v>
      </c>
      <c r="K4276" s="41">
        <v>0.380434783</v>
      </c>
      <c r="L4276" s="41"/>
      <c r="M4276" s="74">
        <v>1.277313632</v>
      </c>
    </row>
    <row r="4277">
      <c r="A4277" s="1" t="s">
        <v>287</v>
      </c>
      <c r="B4277" s="38">
        <v>571945.0</v>
      </c>
      <c r="C4277" s="72">
        <v>45920.0</v>
      </c>
      <c r="D4277" s="38">
        <v>92.0</v>
      </c>
      <c r="E4277" s="75"/>
      <c r="F4277" s="67">
        <v>4.741984404</v>
      </c>
      <c r="G4277" s="40">
        <v>2.649536343</v>
      </c>
      <c r="H4277" s="40"/>
      <c r="I4277" s="41">
        <v>0.402173913</v>
      </c>
      <c r="J4277" s="41">
        <v>0.206521739</v>
      </c>
      <c r="K4277" s="41">
        <v>0.391304348</v>
      </c>
      <c r="L4277" s="41"/>
      <c r="M4277" s="74">
        <v>-0.792805934</v>
      </c>
    </row>
    <row r="4278">
      <c r="A4278" s="1" t="s">
        <v>496</v>
      </c>
      <c r="B4278" s="38">
        <v>694477.0</v>
      </c>
      <c r="C4278" s="72">
        <v>45825.0</v>
      </c>
      <c r="D4278" s="38">
        <v>72.0</v>
      </c>
      <c r="E4278" s="75"/>
      <c r="F4278" s="67">
        <v>4.74141776</v>
      </c>
      <c r="G4278" s="40">
        <v>2.071924016</v>
      </c>
      <c r="H4278" s="40"/>
      <c r="I4278" s="41">
        <v>0.5</v>
      </c>
      <c r="J4278" s="41">
        <v>0.138888889</v>
      </c>
      <c r="K4278" s="41">
        <v>0.361111111</v>
      </c>
      <c r="L4278" s="41"/>
      <c r="M4278" s="74">
        <v>-1.795275172</v>
      </c>
    </row>
    <row r="4279">
      <c r="A4279" s="1" t="s">
        <v>179</v>
      </c>
      <c r="B4279" s="38">
        <v>663568.0</v>
      </c>
      <c r="C4279" s="72">
        <v>45787.0</v>
      </c>
      <c r="D4279" s="38">
        <v>100.0</v>
      </c>
      <c r="E4279" s="75"/>
      <c r="F4279" s="67">
        <v>4.741340883</v>
      </c>
      <c r="G4279" s="40">
        <v>2.894242721</v>
      </c>
      <c r="H4279" s="40"/>
      <c r="I4279" s="41">
        <v>0.44</v>
      </c>
      <c r="J4279" s="41">
        <v>0.19</v>
      </c>
      <c r="K4279" s="41">
        <v>0.37</v>
      </c>
      <c r="L4279" s="41"/>
      <c r="M4279" s="74">
        <v>1.278503912</v>
      </c>
    </row>
    <row r="4280">
      <c r="A4280" s="1" t="s">
        <v>361</v>
      </c>
      <c r="B4280" s="38">
        <v>686563.0</v>
      </c>
      <c r="C4280" s="72">
        <v>45861.0</v>
      </c>
      <c r="D4280" s="38">
        <v>84.0</v>
      </c>
      <c r="E4280" s="75"/>
      <c r="F4280" s="67">
        <v>4.740512636</v>
      </c>
      <c r="G4280" s="40">
        <v>2.416020005</v>
      </c>
      <c r="H4280" s="40"/>
      <c r="I4280" s="41">
        <v>0.416666667</v>
      </c>
      <c r="J4280" s="41">
        <v>0.142857143</v>
      </c>
      <c r="K4280" s="41">
        <v>0.44047619</v>
      </c>
      <c r="L4280" s="41"/>
      <c r="M4280" s="74">
        <v>-2.041302673</v>
      </c>
    </row>
    <row r="4281">
      <c r="A4281" s="1" t="s">
        <v>420</v>
      </c>
      <c r="B4281" s="38">
        <v>547179.0</v>
      </c>
      <c r="C4281" s="72">
        <v>45771.0</v>
      </c>
      <c r="D4281" s="38">
        <v>91.0</v>
      </c>
      <c r="E4281" s="75"/>
      <c r="F4281" s="67">
        <v>4.739415579</v>
      </c>
      <c r="G4281" s="40">
        <v>2.628942964</v>
      </c>
      <c r="H4281" s="40"/>
      <c r="I4281" s="41">
        <v>0.373626374</v>
      </c>
      <c r="J4281" s="41">
        <v>0.197802198</v>
      </c>
      <c r="K4281" s="41">
        <v>0.428571429</v>
      </c>
      <c r="L4281" s="41"/>
      <c r="M4281" s="74">
        <v>0.512359216</v>
      </c>
    </row>
    <row r="4282">
      <c r="A4282" s="1" t="s">
        <v>621</v>
      </c>
      <c r="B4282" s="38">
        <v>694646.0</v>
      </c>
      <c r="C4282" s="72">
        <v>45797.0</v>
      </c>
      <c r="D4282" s="38">
        <v>71.0</v>
      </c>
      <c r="E4282" s="75"/>
      <c r="F4282" s="67">
        <v>4.739323212</v>
      </c>
      <c r="G4282" s="40">
        <v>2.061545283</v>
      </c>
      <c r="H4282" s="40"/>
      <c r="I4282" s="41">
        <v>0.507042254</v>
      </c>
      <c r="J4282" s="41">
        <v>0.084507042</v>
      </c>
      <c r="K4282" s="41">
        <v>0.408450704</v>
      </c>
      <c r="L4282" s="41"/>
      <c r="M4282" s="74">
        <v>-0.111909025</v>
      </c>
    </row>
    <row r="4283">
      <c r="A4283" s="1" t="s">
        <v>93</v>
      </c>
      <c r="B4283" s="38">
        <v>669194.0</v>
      </c>
      <c r="C4283" s="72">
        <v>45782.0</v>
      </c>
      <c r="D4283" s="38">
        <v>67.0</v>
      </c>
      <c r="E4283" s="75"/>
      <c r="F4283" s="67">
        <v>4.739204175</v>
      </c>
      <c r="G4283" s="40">
        <v>1.908906098</v>
      </c>
      <c r="H4283" s="40"/>
      <c r="I4283" s="41">
        <v>0.417910448</v>
      </c>
      <c r="J4283" s="41">
        <v>0.194029851</v>
      </c>
      <c r="K4283" s="41">
        <v>0.388059701</v>
      </c>
      <c r="L4283" s="41"/>
      <c r="M4283" s="74">
        <v>1.106014082</v>
      </c>
    </row>
    <row r="4284">
      <c r="A4284" s="1" t="s">
        <v>239</v>
      </c>
      <c r="B4284" s="38">
        <v>806960.0</v>
      </c>
      <c r="C4284" s="72">
        <v>45914.0</v>
      </c>
      <c r="D4284" s="38">
        <v>78.0</v>
      </c>
      <c r="E4284" s="75"/>
      <c r="F4284" s="67">
        <v>4.73887634</v>
      </c>
      <c r="G4284" s="40">
        <v>2.216449838</v>
      </c>
      <c r="H4284" s="40"/>
      <c r="I4284" s="41">
        <v>0.41025641</v>
      </c>
      <c r="J4284" s="41">
        <v>0.192307692</v>
      </c>
      <c r="K4284" s="41">
        <v>0.397435897</v>
      </c>
      <c r="L4284" s="41"/>
      <c r="M4284" s="74">
        <v>-0.78156661</v>
      </c>
    </row>
    <row r="4285">
      <c r="A4285" s="1" t="s">
        <v>366</v>
      </c>
      <c r="B4285" s="38">
        <v>656550.0</v>
      </c>
      <c r="C4285" s="72">
        <v>45864.0</v>
      </c>
      <c r="D4285" s="38">
        <v>80.0</v>
      </c>
      <c r="E4285" s="75"/>
      <c r="F4285" s="67">
        <v>4.738833062</v>
      </c>
      <c r="G4285" s="40">
        <v>2.262977615</v>
      </c>
      <c r="H4285" s="40"/>
      <c r="I4285" s="41">
        <v>0.375</v>
      </c>
      <c r="J4285" s="41">
        <v>0.225</v>
      </c>
      <c r="K4285" s="41">
        <v>0.4</v>
      </c>
      <c r="L4285" s="41"/>
      <c r="M4285" s="74">
        <v>-1.055208296</v>
      </c>
    </row>
    <row r="4286">
      <c r="A4286" s="1" t="s">
        <v>481</v>
      </c>
      <c r="B4286" s="38">
        <v>622608.0</v>
      </c>
      <c r="C4286" s="72">
        <v>45907.0</v>
      </c>
      <c r="D4286" s="38">
        <v>71.0</v>
      </c>
      <c r="E4286" s="75"/>
      <c r="F4286" s="67">
        <v>4.73826348</v>
      </c>
      <c r="G4286" s="40">
        <v>2.040504751</v>
      </c>
      <c r="H4286" s="40"/>
      <c r="I4286" s="41">
        <v>0.408450704</v>
      </c>
      <c r="J4286" s="41">
        <v>0.211267606</v>
      </c>
      <c r="K4286" s="41">
        <v>0.38028169</v>
      </c>
      <c r="L4286" s="41"/>
      <c r="M4286" s="74">
        <v>0.380877897</v>
      </c>
    </row>
    <row r="4287">
      <c r="A4287" s="1" t="s">
        <v>450</v>
      </c>
      <c r="B4287" s="38">
        <v>682990.0</v>
      </c>
      <c r="C4287" s="72">
        <v>45873.0</v>
      </c>
      <c r="D4287" s="38">
        <v>87.0</v>
      </c>
      <c r="E4287" s="75"/>
      <c r="F4287" s="67">
        <v>4.738194747</v>
      </c>
      <c r="G4287" s="40">
        <v>2.482526116</v>
      </c>
      <c r="H4287" s="40"/>
      <c r="I4287" s="41">
        <v>0.356321839</v>
      </c>
      <c r="J4287" s="41">
        <v>0.275862069</v>
      </c>
      <c r="K4287" s="41">
        <v>0.367816092</v>
      </c>
      <c r="L4287" s="41"/>
      <c r="M4287" s="74">
        <v>4.378991721</v>
      </c>
    </row>
    <row r="4288">
      <c r="A4288" s="1" t="s">
        <v>491</v>
      </c>
      <c r="B4288" s="38">
        <v>650644.0</v>
      </c>
      <c r="C4288" s="72">
        <v>45817.0</v>
      </c>
      <c r="D4288" s="38">
        <v>75.0</v>
      </c>
      <c r="E4288" s="75"/>
      <c r="F4288" s="67">
        <v>4.738064863</v>
      </c>
      <c r="G4288" s="40">
        <v>2.167767012</v>
      </c>
      <c r="H4288" s="40"/>
      <c r="I4288" s="41">
        <v>0.36</v>
      </c>
      <c r="J4288" s="41">
        <v>0.186666667</v>
      </c>
      <c r="K4288" s="41">
        <v>0.453333333</v>
      </c>
      <c r="L4288" s="41"/>
      <c r="M4288" s="74">
        <v>0.343956229</v>
      </c>
    </row>
    <row r="4289">
      <c r="A4289" s="1" t="s">
        <v>354</v>
      </c>
      <c r="B4289" s="38">
        <v>669022.0</v>
      </c>
      <c r="C4289" s="72">
        <v>45895.0</v>
      </c>
      <c r="D4289" s="38">
        <v>98.0</v>
      </c>
      <c r="E4289" s="75"/>
      <c r="F4289" s="67">
        <v>4.737129901</v>
      </c>
      <c r="G4289" s="40">
        <v>2.789347759</v>
      </c>
      <c r="H4289" s="40"/>
      <c r="I4289" s="41">
        <v>0.37755102</v>
      </c>
      <c r="J4289" s="41">
        <v>0.224489796</v>
      </c>
      <c r="K4289" s="41">
        <v>0.397959184</v>
      </c>
      <c r="L4289" s="41"/>
      <c r="M4289" s="74">
        <v>2.590543756</v>
      </c>
    </row>
    <row r="4290">
      <c r="A4290" s="1" t="s">
        <v>372</v>
      </c>
      <c r="B4290" s="38">
        <v>671106.0</v>
      </c>
      <c r="C4290" s="72">
        <v>45748.0</v>
      </c>
      <c r="D4290" s="38">
        <v>83.0</v>
      </c>
      <c r="E4290" s="75"/>
      <c r="F4290" s="67">
        <v>4.734750589</v>
      </c>
      <c r="G4290" s="40">
        <v>2.367771207</v>
      </c>
      <c r="H4290" s="40"/>
      <c r="I4290" s="41">
        <v>0.421686747</v>
      </c>
      <c r="J4290" s="41">
        <v>0.168674699</v>
      </c>
      <c r="K4290" s="41">
        <v>0.409638554</v>
      </c>
      <c r="L4290" s="41"/>
      <c r="M4290" s="74">
        <v>-3.24750316</v>
      </c>
    </row>
    <row r="4291">
      <c r="A4291" s="1" t="s">
        <v>496</v>
      </c>
      <c r="B4291" s="38">
        <v>694477.0</v>
      </c>
      <c r="C4291" s="72">
        <v>45909.0</v>
      </c>
      <c r="D4291" s="38">
        <v>78.0</v>
      </c>
      <c r="E4291" s="75"/>
      <c r="F4291" s="67">
        <v>4.734473973</v>
      </c>
      <c r="G4291" s="40">
        <v>2.25528674</v>
      </c>
      <c r="H4291" s="40"/>
      <c r="I4291" s="41">
        <v>0.423076923</v>
      </c>
      <c r="J4291" s="41">
        <v>0.192307692</v>
      </c>
      <c r="K4291" s="41">
        <v>0.384615385</v>
      </c>
      <c r="L4291" s="41"/>
      <c r="M4291" s="74">
        <v>2.616970871</v>
      </c>
    </row>
    <row r="4292">
      <c r="A4292" s="1" t="s">
        <v>296</v>
      </c>
      <c r="B4292" s="38">
        <v>669372.0</v>
      </c>
      <c r="C4292" s="72">
        <v>45882.0</v>
      </c>
      <c r="D4292" s="38">
        <v>68.0</v>
      </c>
      <c r="E4292" s="75"/>
      <c r="F4292" s="67">
        <v>4.734384771</v>
      </c>
      <c r="G4292" s="40">
        <v>1.908476992</v>
      </c>
      <c r="H4292" s="40"/>
      <c r="I4292" s="41">
        <v>0.5</v>
      </c>
      <c r="J4292" s="41">
        <v>0.161764706</v>
      </c>
      <c r="K4292" s="41">
        <v>0.338235294</v>
      </c>
      <c r="L4292" s="41"/>
      <c r="M4292" s="74">
        <v>-2.033568451</v>
      </c>
    </row>
    <row r="4293">
      <c r="A4293" s="1" t="s">
        <v>399</v>
      </c>
      <c r="B4293" s="38">
        <v>543294.0</v>
      </c>
      <c r="C4293" s="72">
        <v>45802.0</v>
      </c>
      <c r="D4293" s="38">
        <v>85.0</v>
      </c>
      <c r="E4293" s="75"/>
      <c r="F4293" s="67">
        <v>4.73428388</v>
      </c>
      <c r="G4293" s="40">
        <v>2.466230551</v>
      </c>
      <c r="H4293" s="40"/>
      <c r="I4293" s="41">
        <v>0.4</v>
      </c>
      <c r="J4293" s="41">
        <v>0.211764706</v>
      </c>
      <c r="K4293" s="41">
        <v>0.388235294</v>
      </c>
      <c r="L4293" s="41"/>
      <c r="M4293" s="74">
        <v>0.90813479</v>
      </c>
    </row>
    <row r="4294">
      <c r="A4294" s="1" t="s">
        <v>432</v>
      </c>
      <c r="B4294" s="38">
        <v>669467.0</v>
      </c>
      <c r="C4294" s="72">
        <v>45798.0</v>
      </c>
      <c r="D4294" s="38">
        <v>88.0</v>
      </c>
      <c r="E4294" s="75"/>
      <c r="F4294" s="67">
        <v>4.734097705</v>
      </c>
      <c r="G4294" s="40">
        <v>2.514872091</v>
      </c>
      <c r="H4294" s="40"/>
      <c r="I4294" s="41">
        <v>0.352272727</v>
      </c>
      <c r="J4294" s="41">
        <v>0.227272727</v>
      </c>
      <c r="K4294" s="41">
        <v>0.420454545</v>
      </c>
      <c r="L4294" s="41"/>
      <c r="M4294" s="74">
        <v>2.344044243</v>
      </c>
    </row>
    <row r="4295">
      <c r="A4295" s="1" t="s">
        <v>115</v>
      </c>
      <c r="B4295" s="38">
        <v>543135.0</v>
      </c>
      <c r="C4295" s="72">
        <v>45754.0</v>
      </c>
      <c r="D4295" s="38">
        <v>85.0</v>
      </c>
      <c r="E4295" s="75"/>
      <c r="F4295" s="67">
        <v>4.733677319</v>
      </c>
      <c r="G4295" s="40">
        <v>2.432792368</v>
      </c>
      <c r="H4295" s="40"/>
      <c r="I4295" s="41">
        <v>0.458823529</v>
      </c>
      <c r="J4295" s="41">
        <v>0.152941176</v>
      </c>
      <c r="K4295" s="41">
        <v>0.388235294</v>
      </c>
      <c r="L4295" s="41"/>
      <c r="M4295" s="74">
        <v>1.269145984</v>
      </c>
    </row>
    <row r="4296">
      <c r="A4296" s="1" t="s">
        <v>605</v>
      </c>
      <c r="B4296" s="38">
        <v>489119.0</v>
      </c>
      <c r="C4296" s="72">
        <v>45817.0</v>
      </c>
      <c r="D4296" s="38">
        <v>77.0</v>
      </c>
      <c r="E4296" s="75"/>
      <c r="F4296" s="67">
        <v>4.733649194</v>
      </c>
      <c r="G4296" s="40">
        <v>2.234899342</v>
      </c>
      <c r="H4296" s="40"/>
      <c r="I4296" s="41">
        <v>0.506493506</v>
      </c>
      <c r="J4296" s="41">
        <v>0.142857143</v>
      </c>
      <c r="K4296" s="41">
        <v>0.350649351</v>
      </c>
      <c r="L4296" s="41"/>
      <c r="M4296" s="74">
        <v>-0.616707667</v>
      </c>
    </row>
    <row r="4297">
      <c r="A4297" s="1" t="s">
        <v>356</v>
      </c>
      <c r="B4297" s="38">
        <v>680732.0</v>
      </c>
      <c r="C4297" s="72">
        <v>45767.0</v>
      </c>
      <c r="D4297" s="38">
        <v>94.0</v>
      </c>
      <c r="E4297" s="75"/>
      <c r="F4297" s="67">
        <v>4.733159866</v>
      </c>
      <c r="G4297" s="40">
        <v>2.679158975</v>
      </c>
      <c r="H4297" s="40"/>
      <c r="I4297" s="41">
        <v>0.393617021</v>
      </c>
      <c r="J4297" s="41">
        <v>0.191489362</v>
      </c>
      <c r="K4297" s="41">
        <v>0.414893617</v>
      </c>
      <c r="L4297" s="41"/>
      <c r="M4297" s="74">
        <v>-1.24070791</v>
      </c>
    </row>
    <row r="4298">
      <c r="A4298" s="1" t="s">
        <v>380</v>
      </c>
      <c r="B4298" s="38">
        <v>661563.0</v>
      </c>
      <c r="C4298" s="72">
        <v>45923.0</v>
      </c>
      <c r="D4298" s="38">
        <v>85.0</v>
      </c>
      <c r="E4298" s="75"/>
      <c r="F4298" s="67">
        <v>4.732388655</v>
      </c>
      <c r="G4298" s="40">
        <v>2.46305114</v>
      </c>
      <c r="H4298" s="40"/>
      <c r="I4298" s="41">
        <v>0.458823529</v>
      </c>
      <c r="J4298" s="41">
        <v>0.117647059</v>
      </c>
      <c r="K4298" s="41">
        <v>0.423529412</v>
      </c>
      <c r="L4298" s="41"/>
      <c r="M4298" s="74">
        <v>0.596900087</v>
      </c>
    </row>
    <row r="4299">
      <c r="A4299" s="1" t="s">
        <v>373</v>
      </c>
      <c r="B4299" s="38">
        <v>640455.0</v>
      </c>
      <c r="C4299" s="72">
        <v>45890.0</v>
      </c>
      <c r="D4299" s="38">
        <v>86.0</v>
      </c>
      <c r="E4299" s="75"/>
      <c r="F4299" s="67">
        <v>4.732366574</v>
      </c>
      <c r="G4299" s="40">
        <v>2.466703139</v>
      </c>
      <c r="H4299" s="40"/>
      <c r="I4299" s="41">
        <v>0.476744186</v>
      </c>
      <c r="J4299" s="41">
        <v>0.174418605</v>
      </c>
      <c r="K4299" s="41">
        <v>0.348837209</v>
      </c>
      <c r="L4299" s="41"/>
      <c r="M4299" s="74">
        <v>1.548850267</v>
      </c>
    </row>
    <row r="4300">
      <c r="A4300" s="1" t="s">
        <v>263</v>
      </c>
      <c r="B4300" s="38">
        <v>694297.0</v>
      </c>
      <c r="C4300" s="72">
        <v>45756.0</v>
      </c>
      <c r="D4300" s="38">
        <v>90.0</v>
      </c>
      <c r="E4300" s="75"/>
      <c r="F4300" s="67">
        <v>4.731481109</v>
      </c>
      <c r="G4300" s="40">
        <v>2.546125092</v>
      </c>
      <c r="H4300" s="40"/>
      <c r="I4300" s="41">
        <v>0.411111111</v>
      </c>
      <c r="J4300" s="41">
        <v>0.188888889</v>
      </c>
      <c r="K4300" s="41">
        <v>0.4</v>
      </c>
      <c r="L4300" s="41"/>
      <c r="M4300" s="74">
        <v>1.365977554</v>
      </c>
    </row>
    <row r="4301">
      <c r="A4301" s="1" t="s">
        <v>269</v>
      </c>
      <c r="B4301" s="38">
        <v>605280.0</v>
      </c>
      <c r="C4301" s="72">
        <v>45868.0</v>
      </c>
      <c r="D4301" s="38">
        <v>74.0</v>
      </c>
      <c r="E4301" s="75"/>
      <c r="F4301" s="67">
        <v>4.731374797</v>
      </c>
      <c r="G4301" s="40">
        <v>2.140637025</v>
      </c>
      <c r="H4301" s="40"/>
      <c r="I4301" s="41">
        <v>0.445945946</v>
      </c>
      <c r="J4301" s="41">
        <v>0.162162162</v>
      </c>
      <c r="K4301" s="41">
        <v>0.391891892</v>
      </c>
      <c r="L4301" s="41"/>
      <c r="M4301" s="74">
        <v>-2.695923831</v>
      </c>
    </row>
    <row r="4302">
      <c r="A4302" s="1" t="s">
        <v>242</v>
      </c>
      <c r="B4302" s="38">
        <v>669358.0</v>
      </c>
      <c r="C4302" s="72">
        <v>45828.0</v>
      </c>
      <c r="D4302" s="38">
        <v>99.0</v>
      </c>
      <c r="E4302" s="75"/>
      <c r="F4302" s="67">
        <v>4.730790369</v>
      </c>
      <c r="G4302" s="40">
        <v>2.819027315</v>
      </c>
      <c r="H4302" s="40"/>
      <c r="I4302" s="41">
        <v>0.444444444</v>
      </c>
      <c r="J4302" s="41">
        <v>0.111111111</v>
      </c>
      <c r="K4302" s="41">
        <v>0.444444444</v>
      </c>
      <c r="L4302" s="41"/>
      <c r="M4302" s="74">
        <v>0.942043806</v>
      </c>
    </row>
    <row r="4303">
      <c r="A4303" s="1" t="s">
        <v>434</v>
      </c>
      <c r="B4303" s="38">
        <v>690990.0</v>
      </c>
      <c r="C4303" s="72">
        <v>45841.0</v>
      </c>
      <c r="D4303" s="38">
        <v>88.0</v>
      </c>
      <c r="E4303" s="75"/>
      <c r="F4303" s="67">
        <v>4.730671649</v>
      </c>
      <c r="G4303" s="40">
        <v>2.562972105</v>
      </c>
      <c r="H4303" s="40"/>
      <c r="I4303" s="41">
        <v>0.329545455</v>
      </c>
      <c r="J4303" s="41">
        <v>0.284090909</v>
      </c>
      <c r="K4303" s="41">
        <v>0.386363636</v>
      </c>
      <c r="L4303" s="41"/>
      <c r="M4303" s="74">
        <v>0.82388274</v>
      </c>
    </row>
    <row r="4304">
      <c r="A4304" s="1" t="s">
        <v>464</v>
      </c>
      <c r="B4304" s="38">
        <v>615698.0</v>
      </c>
      <c r="C4304" s="72">
        <v>45772.0</v>
      </c>
      <c r="D4304" s="38">
        <v>76.0</v>
      </c>
      <c r="E4304" s="75"/>
      <c r="F4304" s="67">
        <v>4.730667097</v>
      </c>
      <c r="G4304" s="40">
        <v>2.205477283</v>
      </c>
      <c r="H4304" s="40"/>
      <c r="I4304" s="41">
        <v>0.368421053</v>
      </c>
      <c r="J4304" s="41">
        <v>0.236842105</v>
      </c>
      <c r="K4304" s="41">
        <v>0.394736842</v>
      </c>
      <c r="L4304" s="41"/>
      <c r="M4304" s="74">
        <v>-0.249453627</v>
      </c>
    </row>
    <row r="4305">
      <c r="A4305" s="1" t="s">
        <v>457</v>
      </c>
      <c r="B4305" s="38">
        <v>477132.0</v>
      </c>
      <c r="C4305" s="72">
        <v>45805.0</v>
      </c>
      <c r="D4305" s="38">
        <v>72.0</v>
      </c>
      <c r="E4305" s="75"/>
      <c r="F4305" s="67">
        <v>4.730555475</v>
      </c>
      <c r="G4305" s="40">
        <v>2.080218296</v>
      </c>
      <c r="H4305" s="40"/>
      <c r="I4305" s="41">
        <v>0.375</v>
      </c>
      <c r="J4305" s="41">
        <v>0.236111111</v>
      </c>
      <c r="K4305" s="41">
        <v>0.388888889</v>
      </c>
      <c r="L4305" s="41"/>
      <c r="M4305" s="74">
        <v>-2.489758954</v>
      </c>
    </row>
    <row r="4306">
      <c r="A4306" s="1" t="s">
        <v>294</v>
      </c>
      <c r="B4306" s="38">
        <v>665152.0</v>
      </c>
      <c r="C4306" s="72">
        <v>45802.0</v>
      </c>
      <c r="D4306" s="38">
        <v>91.0</v>
      </c>
      <c r="E4306" s="75"/>
      <c r="F4306" s="67">
        <v>4.730422902</v>
      </c>
      <c r="G4306" s="40">
        <v>2.628505291</v>
      </c>
      <c r="H4306" s="40"/>
      <c r="I4306" s="41">
        <v>0.43956044</v>
      </c>
      <c r="J4306" s="41">
        <v>0.164835165</v>
      </c>
      <c r="K4306" s="41">
        <v>0.395604396</v>
      </c>
      <c r="L4306" s="41"/>
      <c r="M4306" s="74">
        <v>-1.327846082</v>
      </c>
    </row>
    <row r="4307">
      <c r="A4307" s="1" t="s">
        <v>255</v>
      </c>
      <c r="B4307" s="38">
        <v>688138.0</v>
      </c>
      <c r="C4307" s="72">
        <v>45883.0</v>
      </c>
      <c r="D4307" s="38">
        <v>66.0</v>
      </c>
      <c r="E4307" s="75"/>
      <c r="F4307" s="67">
        <v>4.730311029</v>
      </c>
      <c r="G4307" s="40">
        <v>1.867698953</v>
      </c>
      <c r="H4307" s="40"/>
      <c r="I4307" s="41">
        <v>0.439393939</v>
      </c>
      <c r="J4307" s="41">
        <v>0.212121212</v>
      </c>
      <c r="K4307" s="41">
        <v>0.348484848</v>
      </c>
      <c r="L4307" s="41"/>
      <c r="M4307" s="74">
        <v>0.238737365</v>
      </c>
    </row>
    <row r="4308">
      <c r="A4308" s="1" t="s">
        <v>472</v>
      </c>
      <c r="B4308" s="38">
        <v>675911.0</v>
      </c>
      <c r="C4308" s="72">
        <v>45901.0</v>
      </c>
      <c r="D4308" s="38">
        <v>86.0</v>
      </c>
      <c r="E4308" s="75"/>
      <c r="F4308" s="67">
        <v>4.72962002</v>
      </c>
      <c r="G4308" s="40">
        <v>2.484596627</v>
      </c>
      <c r="H4308" s="40"/>
      <c r="I4308" s="41">
        <v>0.465116279</v>
      </c>
      <c r="J4308" s="41">
        <v>0.151162791</v>
      </c>
      <c r="K4308" s="41">
        <v>0.38372093</v>
      </c>
      <c r="L4308" s="41"/>
      <c r="M4308" s="74">
        <v>-0.593156486</v>
      </c>
    </row>
    <row r="4309">
      <c r="A4309" s="1" t="s">
        <v>339</v>
      </c>
      <c r="B4309" s="38">
        <v>686613.0</v>
      </c>
      <c r="C4309" s="72">
        <v>45815.0</v>
      </c>
      <c r="D4309" s="38">
        <v>101.0</v>
      </c>
      <c r="E4309" s="75"/>
      <c r="F4309" s="67">
        <v>4.7293666</v>
      </c>
      <c r="G4309" s="40">
        <v>2.887068214</v>
      </c>
      <c r="H4309" s="40"/>
      <c r="I4309" s="41">
        <v>0.445544554</v>
      </c>
      <c r="J4309" s="41">
        <v>0.178217822</v>
      </c>
      <c r="K4309" s="41">
        <v>0.376237624</v>
      </c>
      <c r="L4309" s="41"/>
      <c r="M4309" s="74">
        <v>0.645660865</v>
      </c>
    </row>
    <row r="4310">
      <c r="A4310" s="1" t="s">
        <v>179</v>
      </c>
      <c r="B4310" s="38">
        <v>663568.0</v>
      </c>
      <c r="C4310" s="72">
        <v>45865.0</v>
      </c>
      <c r="D4310" s="38">
        <v>98.0</v>
      </c>
      <c r="E4310" s="75"/>
      <c r="F4310" s="67">
        <v>4.729087711</v>
      </c>
      <c r="G4310" s="40">
        <v>2.810480279</v>
      </c>
      <c r="H4310" s="40"/>
      <c r="I4310" s="41">
        <v>0.428571429</v>
      </c>
      <c r="J4310" s="41">
        <v>0.163265306</v>
      </c>
      <c r="K4310" s="41">
        <v>0.408163265</v>
      </c>
      <c r="L4310" s="41"/>
      <c r="M4310" s="74">
        <v>2.949273292</v>
      </c>
    </row>
    <row r="4311">
      <c r="A4311" s="1" t="s">
        <v>544</v>
      </c>
      <c r="B4311" s="38">
        <v>805123.0</v>
      </c>
      <c r="C4311" s="72">
        <v>45927.0</v>
      </c>
      <c r="D4311" s="38">
        <v>69.0</v>
      </c>
      <c r="E4311" s="75"/>
      <c r="F4311" s="67">
        <v>4.728755737</v>
      </c>
      <c r="G4311" s="40">
        <v>1.946936118</v>
      </c>
      <c r="H4311" s="40"/>
      <c r="I4311" s="41">
        <v>0.449275362</v>
      </c>
      <c r="J4311" s="41">
        <v>0.086956522</v>
      </c>
      <c r="K4311" s="41">
        <v>0.463768116</v>
      </c>
      <c r="L4311" s="41"/>
      <c r="M4311" s="74">
        <v>1.645159124</v>
      </c>
    </row>
    <row r="4312">
      <c r="A4312" s="1" t="s">
        <v>424</v>
      </c>
      <c r="B4312" s="38">
        <v>667755.0</v>
      </c>
      <c r="C4312" s="72">
        <v>45835.0</v>
      </c>
      <c r="D4312" s="38">
        <v>77.0</v>
      </c>
      <c r="E4312" s="75"/>
      <c r="F4312" s="67">
        <v>4.728731607</v>
      </c>
      <c r="G4312" s="40">
        <v>2.211508368</v>
      </c>
      <c r="H4312" s="40"/>
      <c r="I4312" s="41">
        <v>0.38961039</v>
      </c>
      <c r="J4312" s="41">
        <v>0.220779221</v>
      </c>
      <c r="K4312" s="41">
        <v>0.38961039</v>
      </c>
      <c r="L4312" s="41"/>
      <c r="M4312" s="74">
        <v>-3.495333153</v>
      </c>
    </row>
    <row r="4313">
      <c r="A4313" s="1" t="s">
        <v>452</v>
      </c>
      <c r="B4313" s="38">
        <v>607625.0</v>
      </c>
      <c r="C4313" s="72">
        <v>45836.0</v>
      </c>
      <c r="D4313" s="38">
        <v>105.0</v>
      </c>
      <c r="E4313" s="75"/>
      <c r="F4313" s="67">
        <v>4.728588395</v>
      </c>
      <c r="G4313" s="40">
        <v>3.009394669</v>
      </c>
      <c r="H4313" s="40"/>
      <c r="I4313" s="41">
        <v>0.495238095</v>
      </c>
      <c r="J4313" s="41">
        <v>0.076190476</v>
      </c>
      <c r="K4313" s="41">
        <v>0.428571429</v>
      </c>
      <c r="L4313" s="41"/>
      <c r="M4313" s="74">
        <v>0.416830771</v>
      </c>
    </row>
    <row r="4314">
      <c r="A4314" s="1" t="s">
        <v>413</v>
      </c>
      <c r="B4314" s="38">
        <v>671737.0</v>
      </c>
      <c r="C4314" s="72">
        <v>45781.0</v>
      </c>
      <c r="D4314" s="38">
        <v>85.0</v>
      </c>
      <c r="E4314" s="75"/>
      <c r="F4314" s="67">
        <v>4.726871791</v>
      </c>
      <c r="G4314" s="40">
        <v>2.450172957</v>
      </c>
      <c r="H4314" s="40"/>
      <c r="I4314" s="41">
        <v>0.4</v>
      </c>
      <c r="J4314" s="41">
        <v>0.188235294</v>
      </c>
      <c r="K4314" s="41">
        <v>0.411764706</v>
      </c>
      <c r="L4314" s="41"/>
      <c r="M4314" s="74">
        <v>0.56918043</v>
      </c>
    </row>
    <row r="4315">
      <c r="A4315" s="1" t="s">
        <v>474</v>
      </c>
      <c r="B4315" s="38">
        <v>450203.0</v>
      </c>
      <c r="C4315" s="72">
        <v>45773.0</v>
      </c>
      <c r="D4315" s="38">
        <v>79.0</v>
      </c>
      <c r="E4315" s="75"/>
      <c r="F4315" s="67">
        <v>4.726469888</v>
      </c>
      <c r="G4315" s="40">
        <v>2.254598421</v>
      </c>
      <c r="H4315" s="40"/>
      <c r="I4315" s="41">
        <v>0.443037975</v>
      </c>
      <c r="J4315" s="41">
        <v>0.126582278</v>
      </c>
      <c r="K4315" s="41">
        <v>0.430379747</v>
      </c>
      <c r="L4315" s="41"/>
      <c r="M4315" s="74">
        <v>0.789267354</v>
      </c>
    </row>
    <row r="4316">
      <c r="A4316" s="1" t="s">
        <v>476</v>
      </c>
      <c r="B4316" s="38">
        <v>500779.0</v>
      </c>
      <c r="C4316" s="72">
        <v>45809.0</v>
      </c>
      <c r="D4316" s="38">
        <v>80.0</v>
      </c>
      <c r="E4316" s="75"/>
      <c r="F4316" s="67">
        <v>4.725719261</v>
      </c>
      <c r="G4316" s="40">
        <v>2.325469844</v>
      </c>
      <c r="H4316" s="40"/>
      <c r="I4316" s="41">
        <v>0.375</v>
      </c>
      <c r="J4316" s="41">
        <v>0.2375</v>
      </c>
      <c r="K4316" s="41">
        <v>0.3875</v>
      </c>
      <c r="L4316" s="41"/>
      <c r="M4316" s="74">
        <v>0.614835827</v>
      </c>
    </row>
    <row r="4317">
      <c r="A4317" s="1" t="s">
        <v>575</v>
      </c>
      <c r="B4317" s="38">
        <v>687075.0</v>
      </c>
      <c r="C4317" s="72">
        <v>45907.0</v>
      </c>
      <c r="D4317" s="38">
        <v>86.0</v>
      </c>
      <c r="E4317" s="75"/>
      <c r="F4317" s="67">
        <v>4.72524676</v>
      </c>
      <c r="G4317" s="40">
        <v>2.435842733</v>
      </c>
      <c r="H4317" s="40"/>
      <c r="I4317" s="41">
        <v>0.441860465</v>
      </c>
      <c r="J4317" s="41">
        <v>0.186046512</v>
      </c>
      <c r="K4317" s="41">
        <v>0.372093023</v>
      </c>
      <c r="L4317" s="41"/>
      <c r="M4317" s="74">
        <v>2.278940986</v>
      </c>
    </row>
    <row r="4318">
      <c r="A4318" s="1" t="s">
        <v>187</v>
      </c>
      <c r="B4318" s="38">
        <v>641302.0</v>
      </c>
      <c r="C4318" s="72">
        <v>45756.0</v>
      </c>
      <c r="D4318" s="38">
        <v>78.0</v>
      </c>
      <c r="E4318" s="75"/>
      <c r="F4318" s="67">
        <v>4.724121041</v>
      </c>
      <c r="G4318" s="40">
        <v>2.253866589</v>
      </c>
      <c r="H4318" s="40"/>
      <c r="I4318" s="41">
        <v>0.384615385</v>
      </c>
      <c r="J4318" s="41">
        <v>0.179487179</v>
      </c>
      <c r="K4318" s="41">
        <v>0.435897436</v>
      </c>
      <c r="L4318" s="41"/>
      <c r="M4318" s="74">
        <v>-0.531470667</v>
      </c>
    </row>
    <row r="4319">
      <c r="A4319" s="1" t="s">
        <v>452</v>
      </c>
      <c r="B4319" s="38">
        <v>607625.0</v>
      </c>
      <c r="C4319" s="72">
        <v>45807.0</v>
      </c>
      <c r="D4319" s="38">
        <v>68.0</v>
      </c>
      <c r="E4319" s="75"/>
      <c r="F4319" s="67">
        <v>4.723750711</v>
      </c>
      <c r="G4319" s="40">
        <v>1.952269174</v>
      </c>
      <c r="H4319" s="40"/>
      <c r="I4319" s="41">
        <v>0.411764706</v>
      </c>
      <c r="J4319" s="41">
        <v>0.161764706</v>
      </c>
      <c r="K4319" s="41">
        <v>0.426470588</v>
      </c>
      <c r="L4319" s="41"/>
      <c r="M4319" s="74">
        <v>-1.363121299</v>
      </c>
    </row>
    <row r="4320">
      <c r="A4320" s="1" t="s">
        <v>416</v>
      </c>
      <c r="B4320" s="38">
        <v>608337.0</v>
      </c>
      <c r="C4320" s="72">
        <v>45783.0</v>
      </c>
      <c r="D4320" s="38">
        <v>74.0</v>
      </c>
      <c r="E4320" s="75"/>
      <c r="F4320" s="67">
        <v>4.723679817</v>
      </c>
      <c r="G4320" s="40">
        <v>2.164479681</v>
      </c>
      <c r="H4320" s="40"/>
      <c r="I4320" s="41">
        <v>0.432432432</v>
      </c>
      <c r="J4320" s="41">
        <v>0.162162162</v>
      </c>
      <c r="K4320" s="41">
        <v>0.405405405</v>
      </c>
      <c r="L4320" s="41"/>
      <c r="M4320" s="74">
        <v>-6.375729724</v>
      </c>
    </row>
    <row r="4321">
      <c r="A4321" s="1" t="s">
        <v>492</v>
      </c>
      <c r="B4321" s="38">
        <v>671212.0</v>
      </c>
      <c r="C4321" s="72">
        <v>45927.0</v>
      </c>
      <c r="D4321" s="38">
        <v>81.0</v>
      </c>
      <c r="E4321" s="75"/>
      <c r="F4321" s="67">
        <v>4.723537487</v>
      </c>
      <c r="G4321" s="40">
        <v>2.320653499</v>
      </c>
      <c r="H4321" s="40"/>
      <c r="I4321" s="41">
        <v>0.432098765</v>
      </c>
      <c r="J4321" s="41">
        <v>0.098765432</v>
      </c>
      <c r="K4321" s="41">
        <v>0.469135802</v>
      </c>
      <c r="L4321" s="41"/>
      <c r="M4321" s="74">
        <v>0.216701853</v>
      </c>
    </row>
    <row r="4322">
      <c r="A4322" s="1" t="s">
        <v>125</v>
      </c>
      <c r="B4322" s="38">
        <v>663554.0</v>
      </c>
      <c r="C4322" s="72">
        <v>45879.0</v>
      </c>
      <c r="D4322" s="38">
        <v>89.0</v>
      </c>
      <c r="E4322" s="75"/>
      <c r="F4322" s="67">
        <v>4.722524651</v>
      </c>
      <c r="G4322" s="40">
        <v>2.550767464</v>
      </c>
      <c r="H4322" s="40"/>
      <c r="I4322" s="41">
        <v>0.382022472</v>
      </c>
      <c r="J4322" s="41">
        <v>0.213483146</v>
      </c>
      <c r="K4322" s="41">
        <v>0.404494382</v>
      </c>
      <c r="L4322" s="41"/>
      <c r="M4322" s="74">
        <v>1.443739078</v>
      </c>
    </row>
    <row r="4323">
      <c r="A4323" s="1" t="s">
        <v>246</v>
      </c>
      <c r="B4323" s="38">
        <v>571510.0</v>
      </c>
      <c r="C4323" s="72">
        <v>45900.0</v>
      </c>
      <c r="D4323" s="38">
        <v>86.0</v>
      </c>
      <c r="E4323" s="75"/>
      <c r="F4323" s="67">
        <v>4.722061827</v>
      </c>
      <c r="G4323" s="40">
        <v>2.519291152</v>
      </c>
      <c r="H4323" s="40"/>
      <c r="I4323" s="41">
        <v>0.348837209</v>
      </c>
      <c r="J4323" s="41">
        <v>0.162790698</v>
      </c>
      <c r="K4323" s="41">
        <v>0.488372093</v>
      </c>
      <c r="L4323" s="41"/>
      <c r="M4323" s="74">
        <v>0.502889695</v>
      </c>
    </row>
    <row r="4324">
      <c r="A4324" s="1" t="s">
        <v>329</v>
      </c>
      <c r="B4324" s="38">
        <v>669160.0</v>
      </c>
      <c r="C4324" s="72">
        <v>45875.0</v>
      </c>
      <c r="D4324" s="38">
        <v>88.0</v>
      </c>
      <c r="E4324" s="75"/>
      <c r="F4324" s="67">
        <v>4.721482951</v>
      </c>
      <c r="G4324" s="40">
        <v>2.523241001</v>
      </c>
      <c r="H4324" s="40"/>
      <c r="I4324" s="41">
        <v>0.454545455</v>
      </c>
      <c r="J4324" s="41">
        <v>0.204545455</v>
      </c>
      <c r="K4324" s="41">
        <v>0.340909091</v>
      </c>
      <c r="L4324" s="41"/>
      <c r="M4324" s="74">
        <v>0.073171312</v>
      </c>
    </row>
    <row r="4325">
      <c r="A4325" s="1" t="s">
        <v>419</v>
      </c>
      <c r="B4325" s="38">
        <v>681857.0</v>
      </c>
      <c r="C4325" s="72">
        <v>45776.0</v>
      </c>
      <c r="D4325" s="38">
        <v>90.0</v>
      </c>
      <c r="E4325" s="75"/>
      <c r="F4325" s="67">
        <v>4.721293932</v>
      </c>
      <c r="G4325" s="40">
        <v>2.603856672</v>
      </c>
      <c r="H4325" s="40"/>
      <c r="I4325" s="41">
        <v>0.388888889</v>
      </c>
      <c r="J4325" s="41">
        <v>0.155555556</v>
      </c>
      <c r="K4325" s="41">
        <v>0.455555556</v>
      </c>
      <c r="L4325" s="41"/>
      <c r="M4325" s="74">
        <v>-0.316742175</v>
      </c>
    </row>
    <row r="4326">
      <c r="A4326" s="1" t="s">
        <v>285</v>
      </c>
      <c r="B4326" s="38">
        <v>607074.0</v>
      </c>
      <c r="C4326" s="72">
        <v>45875.0</v>
      </c>
      <c r="D4326" s="38">
        <v>87.0</v>
      </c>
      <c r="E4326" s="75"/>
      <c r="F4326" s="67">
        <v>4.719490463</v>
      </c>
      <c r="G4326" s="40">
        <v>2.499602469</v>
      </c>
      <c r="H4326" s="40"/>
      <c r="I4326" s="41">
        <v>0.379310345</v>
      </c>
      <c r="J4326" s="41">
        <v>0.206896552</v>
      </c>
      <c r="K4326" s="41">
        <v>0.413793103</v>
      </c>
      <c r="L4326" s="41"/>
      <c r="M4326" s="74">
        <v>-1.028668646</v>
      </c>
    </row>
    <row r="4327">
      <c r="A4327" s="1" t="s">
        <v>509</v>
      </c>
      <c r="B4327" s="38">
        <v>676106.0</v>
      </c>
      <c r="C4327" s="72">
        <v>45812.0</v>
      </c>
      <c r="D4327" s="38">
        <v>86.0</v>
      </c>
      <c r="E4327" s="75"/>
      <c r="F4327" s="67">
        <v>4.719255162</v>
      </c>
      <c r="G4327" s="40">
        <v>2.490619167</v>
      </c>
      <c r="H4327" s="40"/>
      <c r="I4327" s="41">
        <v>0.337209302</v>
      </c>
      <c r="J4327" s="41">
        <v>0.23255814</v>
      </c>
      <c r="K4327" s="41">
        <v>0.430232558</v>
      </c>
      <c r="L4327" s="41"/>
      <c r="M4327" s="74">
        <v>3.457621571</v>
      </c>
    </row>
    <row r="4328">
      <c r="A4328" s="1" t="s">
        <v>453</v>
      </c>
      <c r="B4328" s="38">
        <v>592836.0</v>
      </c>
      <c r="C4328" s="72">
        <v>45750.0</v>
      </c>
      <c r="D4328" s="38">
        <v>72.0</v>
      </c>
      <c r="E4328" s="75"/>
      <c r="F4328" s="67">
        <v>4.717991604</v>
      </c>
      <c r="G4328" s="40">
        <v>2.093369962</v>
      </c>
      <c r="H4328" s="40"/>
      <c r="I4328" s="41">
        <v>0.361111111</v>
      </c>
      <c r="J4328" s="41">
        <v>0.263888889</v>
      </c>
      <c r="K4328" s="41">
        <v>0.375</v>
      </c>
      <c r="L4328" s="41"/>
      <c r="M4328" s="74">
        <v>1.216421661</v>
      </c>
    </row>
    <row r="4329">
      <c r="A4329" s="1" t="s">
        <v>432</v>
      </c>
      <c r="B4329" s="38">
        <v>669467.0</v>
      </c>
      <c r="C4329" s="72">
        <v>45753.0</v>
      </c>
      <c r="D4329" s="38">
        <v>90.0</v>
      </c>
      <c r="E4329" s="75"/>
      <c r="F4329" s="67">
        <v>4.71632645</v>
      </c>
      <c r="G4329" s="40">
        <v>2.611040681</v>
      </c>
      <c r="H4329" s="40"/>
      <c r="I4329" s="41">
        <v>0.377777778</v>
      </c>
      <c r="J4329" s="41">
        <v>0.166666667</v>
      </c>
      <c r="K4329" s="41">
        <v>0.455555556</v>
      </c>
      <c r="L4329" s="41"/>
      <c r="M4329" s="74">
        <v>1.739156262</v>
      </c>
    </row>
    <row r="4330">
      <c r="A4330" s="1" t="s">
        <v>307</v>
      </c>
      <c r="B4330" s="38">
        <v>656849.0</v>
      </c>
      <c r="C4330" s="72">
        <v>45882.0</v>
      </c>
      <c r="D4330" s="38">
        <v>77.0</v>
      </c>
      <c r="E4330" s="75"/>
      <c r="F4330" s="67">
        <v>4.716309454</v>
      </c>
      <c r="G4330" s="40">
        <v>2.194835312</v>
      </c>
      <c r="H4330" s="40"/>
      <c r="I4330" s="41">
        <v>0.428571429</v>
      </c>
      <c r="J4330" s="41">
        <v>0.220779221</v>
      </c>
      <c r="K4330" s="41">
        <v>0.350649351</v>
      </c>
      <c r="L4330" s="41"/>
      <c r="M4330" s="74">
        <v>-0.497768648</v>
      </c>
    </row>
    <row r="4331">
      <c r="A4331" s="1" t="s">
        <v>522</v>
      </c>
      <c r="B4331" s="38">
        <v>808963.0</v>
      </c>
      <c r="C4331" s="72">
        <v>45773.0</v>
      </c>
      <c r="D4331" s="38">
        <v>92.0</v>
      </c>
      <c r="E4331" s="75"/>
      <c r="F4331" s="67">
        <v>4.716197172</v>
      </c>
      <c r="G4331" s="40">
        <v>2.682869662</v>
      </c>
      <c r="H4331" s="40"/>
      <c r="I4331" s="41">
        <v>0.380434783</v>
      </c>
      <c r="J4331" s="41">
        <v>0.163043478</v>
      </c>
      <c r="K4331" s="41">
        <v>0.456521739</v>
      </c>
      <c r="L4331" s="41"/>
      <c r="M4331" s="74">
        <v>0.227729189</v>
      </c>
    </row>
    <row r="4332">
      <c r="A4332" s="1" t="s">
        <v>476</v>
      </c>
      <c r="B4332" s="38">
        <v>500779.0</v>
      </c>
      <c r="C4332" s="72">
        <v>45829.0</v>
      </c>
      <c r="D4332" s="38">
        <v>86.0</v>
      </c>
      <c r="E4332" s="75"/>
      <c r="F4332" s="67">
        <v>4.715814358</v>
      </c>
      <c r="G4332" s="40">
        <v>2.516657976</v>
      </c>
      <c r="H4332" s="40"/>
      <c r="I4332" s="41">
        <v>0.348837209</v>
      </c>
      <c r="J4332" s="41">
        <v>0.23255814</v>
      </c>
      <c r="K4332" s="41">
        <v>0.418604651</v>
      </c>
      <c r="L4332" s="41"/>
      <c r="M4332" s="74">
        <v>3.264829489</v>
      </c>
    </row>
    <row r="4333">
      <c r="A4333" s="1" t="s">
        <v>260</v>
      </c>
      <c r="B4333" s="38">
        <v>694462.0</v>
      </c>
      <c r="C4333" s="72">
        <v>45906.0</v>
      </c>
      <c r="D4333" s="38">
        <v>90.0</v>
      </c>
      <c r="E4333" s="75"/>
      <c r="F4333" s="67">
        <v>4.714134251</v>
      </c>
      <c r="G4333" s="40">
        <v>2.581992585</v>
      </c>
      <c r="H4333" s="40"/>
      <c r="I4333" s="41">
        <v>0.488888889</v>
      </c>
      <c r="J4333" s="41">
        <v>0.166666667</v>
      </c>
      <c r="K4333" s="41">
        <v>0.344444444</v>
      </c>
      <c r="L4333" s="41"/>
      <c r="M4333" s="74">
        <v>4.428116803</v>
      </c>
    </row>
    <row r="4334">
      <c r="A4334" s="1" t="s">
        <v>481</v>
      </c>
      <c r="B4334" s="38">
        <v>622608.0</v>
      </c>
      <c r="C4334" s="72">
        <v>45779.0</v>
      </c>
      <c r="D4334" s="38">
        <v>92.0</v>
      </c>
      <c r="E4334" s="75"/>
      <c r="F4334" s="67">
        <v>4.713995333</v>
      </c>
      <c r="G4334" s="40">
        <v>2.675087644</v>
      </c>
      <c r="H4334" s="40"/>
      <c r="I4334" s="41">
        <v>0.456521739</v>
      </c>
      <c r="J4334" s="41">
        <v>0.108695652</v>
      </c>
      <c r="K4334" s="41">
        <v>0.434782609</v>
      </c>
      <c r="L4334" s="41"/>
      <c r="M4334" s="74">
        <v>-1.822997532</v>
      </c>
    </row>
    <row r="4335">
      <c r="A4335" s="1" t="s">
        <v>308</v>
      </c>
      <c r="B4335" s="38">
        <v>676440.0</v>
      </c>
      <c r="C4335" s="72">
        <v>45871.0</v>
      </c>
      <c r="D4335" s="38">
        <v>89.0</v>
      </c>
      <c r="E4335" s="75"/>
      <c r="F4335" s="67">
        <v>4.712485315</v>
      </c>
      <c r="G4335" s="40">
        <v>2.606334734</v>
      </c>
      <c r="H4335" s="40"/>
      <c r="I4335" s="41">
        <v>0.314606742</v>
      </c>
      <c r="J4335" s="41">
        <v>0.269662921</v>
      </c>
      <c r="K4335" s="41">
        <v>0.415730337</v>
      </c>
      <c r="L4335" s="41"/>
      <c r="M4335" s="74">
        <v>-1.72149674</v>
      </c>
    </row>
    <row r="4336">
      <c r="A4336" s="1" t="s">
        <v>220</v>
      </c>
      <c r="B4336" s="38">
        <v>663559.0</v>
      </c>
      <c r="C4336" s="72">
        <v>45830.0</v>
      </c>
      <c r="D4336" s="38">
        <v>87.0</v>
      </c>
      <c r="E4336" s="75"/>
      <c r="F4336" s="67">
        <v>4.711608809</v>
      </c>
      <c r="G4336" s="40">
        <v>2.533600754</v>
      </c>
      <c r="H4336" s="40"/>
      <c r="I4336" s="41">
        <v>0.436781609</v>
      </c>
      <c r="J4336" s="41">
        <v>0.149425287</v>
      </c>
      <c r="K4336" s="41">
        <v>0.413793103</v>
      </c>
      <c r="L4336" s="41"/>
      <c r="M4336" s="74">
        <v>-1.656788402</v>
      </c>
    </row>
    <row r="4337">
      <c r="A4337" s="1" t="s">
        <v>260</v>
      </c>
      <c r="B4337" s="38">
        <v>694462.0</v>
      </c>
      <c r="C4337" s="72">
        <v>45912.0</v>
      </c>
      <c r="D4337" s="38">
        <v>82.0</v>
      </c>
      <c r="E4337" s="75"/>
      <c r="F4337" s="67">
        <v>4.711549096</v>
      </c>
      <c r="G4337" s="40">
        <v>2.414171587</v>
      </c>
      <c r="H4337" s="40"/>
      <c r="I4337" s="41">
        <v>0.390243902</v>
      </c>
      <c r="J4337" s="41">
        <v>0.219512195</v>
      </c>
      <c r="K4337" s="41">
        <v>0.390243902</v>
      </c>
      <c r="L4337" s="41"/>
      <c r="M4337" s="74">
        <v>-3.533664686</v>
      </c>
    </row>
    <row r="4338">
      <c r="A4338" s="1" t="s">
        <v>491</v>
      </c>
      <c r="B4338" s="38">
        <v>650644.0</v>
      </c>
      <c r="C4338" s="72">
        <v>45804.0</v>
      </c>
      <c r="D4338" s="38">
        <v>75.0</v>
      </c>
      <c r="E4338" s="75"/>
      <c r="F4338" s="67">
        <v>4.711480616</v>
      </c>
      <c r="G4338" s="40">
        <v>2.195469464</v>
      </c>
      <c r="H4338" s="40"/>
      <c r="I4338" s="41">
        <v>0.36</v>
      </c>
      <c r="J4338" s="41">
        <v>0.24</v>
      </c>
      <c r="K4338" s="41">
        <v>0.4</v>
      </c>
      <c r="L4338" s="41"/>
      <c r="M4338" s="74">
        <v>2.478461337</v>
      </c>
    </row>
    <row r="4339">
      <c r="A4339" s="1" t="s">
        <v>332</v>
      </c>
      <c r="B4339" s="38">
        <v>641778.0</v>
      </c>
      <c r="C4339" s="72">
        <v>45777.0</v>
      </c>
      <c r="D4339" s="38">
        <v>76.0</v>
      </c>
      <c r="E4339" s="75"/>
      <c r="F4339" s="67">
        <v>4.711449296</v>
      </c>
      <c r="G4339" s="40">
        <v>2.198770343</v>
      </c>
      <c r="H4339" s="40"/>
      <c r="I4339" s="41">
        <v>0.407894737</v>
      </c>
      <c r="J4339" s="41">
        <v>0.184210526</v>
      </c>
      <c r="K4339" s="41">
        <v>0.407894737</v>
      </c>
      <c r="L4339" s="41"/>
      <c r="M4339" s="74">
        <v>1.02475186</v>
      </c>
    </row>
    <row r="4340">
      <c r="A4340" s="1" t="s">
        <v>437</v>
      </c>
      <c r="B4340" s="38">
        <v>695418.0</v>
      </c>
      <c r="C4340" s="72">
        <v>45906.0</v>
      </c>
      <c r="D4340" s="38">
        <v>88.0</v>
      </c>
      <c r="E4340" s="75"/>
      <c r="F4340" s="67">
        <v>4.711319485</v>
      </c>
      <c r="G4340" s="40">
        <v>2.562145374</v>
      </c>
      <c r="H4340" s="40"/>
      <c r="I4340" s="41">
        <v>0.363636364</v>
      </c>
      <c r="J4340" s="41">
        <v>0.181818182</v>
      </c>
      <c r="K4340" s="41">
        <v>0.454545455</v>
      </c>
      <c r="L4340" s="41"/>
      <c r="M4340" s="74">
        <v>3.273535061</v>
      </c>
    </row>
    <row r="4341">
      <c r="A4341" s="1" t="s">
        <v>521</v>
      </c>
      <c r="B4341" s="38">
        <v>686799.0</v>
      </c>
      <c r="C4341" s="72">
        <v>45831.0</v>
      </c>
      <c r="D4341" s="38">
        <v>82.0</v>
      </c>
      <c r="E4341" s="75"/>
      <c r="F4341" s="67">
        <v>4.711285476</v>
      </c>
      <c r="G4341" s="40">
        <v>2.371860202</v>
      </c>
      <c r="H4341" s="40"/>
      <c r="I4341" s="41">
        <v>0.451219512</v>
      </c>
      <c r="J4341" s="41">
        <v>0.097560976</v>
      </c>
      <c r="K4341" s="41">
        <v>0.451219512</v>
      </c>
      <c r="L4341" s="41"/>
      <c r="M4341" s="74">
        <v>-1.520817163</v>
      </c>
    </row>
    <row r="4342">
      <c r="A4342" s="1" t="s">
        <v>423</v>
      </c>
      <c r="B4342" s="38">
        <v>656605.0</v>
      </c>
      <c r="C4342" s="72">
        <v>45866.0</v>
      </c>
      <c r="D4342" s="38">
        <v>70.0</v>
      </c>
      <c r="E4342" s="75"/>
      <c r="F4342" s="67">
        <v>4.711111049</v>
      </c>
      <c r="G4342" s="40">
        <v>2.028310024</v>
      </c>
      <c r="H4342" s="40"/>
      <c r="I4342" s="41">
        <v>0.385714286</v>
      </c>
      <c r="J4342" s="41">
        <v>0.185714286</v>
      </c>
      <c r="K4342" s="41">
        <v>0.428571429</v>
      </c>
      <c r="L4342" s="41"/>
      <c r="M4342" s="74">
        <v>-1.146147579</v>
      </c>
    </row>
    <row r="4343">
      <c r="A4343" s="1" t="s">
        <v>374</v>
      </c>
      <c r="B4343" s="38">
        <v>683004.0</v>
      </c>
      <c r="C4343" s="72">
        <v>45819.0</v>
      </c>
      <c r="D4343" s="38">
        <v>87.0</v>
      </c>
      <c r="E4343" s="75"/>
      <c r="F4343" s="67">
        <v>4.710832127</v>
      </c>
      <c r="G4343" s="40">
        <v>2.530218442</v>
      </c>
      <c r="H4343" s="40"/>
      <c r="I4343" s="41">
        <v>0.494252874</v>
      </c>
      <c r="J4343" s="41">
        <v>0.149425287</v>
      </c>
      <c r="K4343" s="41">
        <v>0.356321839</v>
      </c>
      <c r="L4343" s="41"/>
      <c r="M4343" s="74">
        <v>-0.829435835</v>
      </c>
    </row>
    <row r="4344">
      <c r="A4344" s="1" t="s">
        <v>416</v>
      </c>
      <c r="B4344" s="38">
        <v>608337.0</v>
      </c>
      <c r="C4344" s="72">
        <v>45923.0</v>
      </c>
      <c r="D4344" s="38">
        <v>92.0</v>
      </c>
      <c r="E4344" s="75"/>
      <c r="F4344" s="67">
        <v>4.710562983</v>
      </c>
      <c r="G4344" s="40">
        <v>2.676670454</v>
      </c>
      <c r="H4344" s="40"/>
      <c r="I4344" s="41">
        <v>0.380434783</v>
      </c>
      <c r="J4344" s="41">
        <v>0.239130435</v>
      </c>
      <c r="K4344" s="41">
        <v>0.380434783</v>
      </c>
      <c r="L4344" s="41"/>
      <c r="M4344" s="74">
        <v>2.198953456</v>
      </c>
    </row>
    <row r="4345">
      <c r="A4345" s="1" t="s">
        <v>423</v>
      </c>
      <c r="B4345" s="38">
        <v>656605.0</v>
      </c>
      <c r="C4345" s="72">
        <v>45895.0</v>
      </c>
      <c r="D4345" s="38">
        <v>91.0</v>
      </c>
      <c r="E4345" s="75"/>
      <c r="F4345" s="67">
        <v>4.71049058</v>
      </c>
      <c r="G4345" s="40">
        <v>2.66199405</v>
      </c>
      <c r="H4345" s="40"/>
      <c r="I4345" s="41">
        <v>0.351648352</v>
      </c>
      <c r="J4345" s="41">
        <v>0.252747253</v>
      </c>
      <c r="K4345" s="41">
        <v>0.395604396</v>
      </c>
      <c r="L4345" s="41"/>
      <c r="M4345" s="74">
        <v>2.178047027</v>
      </c>
    </row>
    <row r="4346">
      <c r="A4346" s="1" t="s">
        <v>344</v>
      </c>
      <c r="B4346" s="38">
        <v>701542.0</v>
      </c>
      <c r="C4346" s="72">
        <v>45857.0</v>
      </c>
      <c r="D4346" s="38">
        <v>76.0</v>
      </c>
      <c r="E4346" s="75"/>
      <c r="F4346" s="67">
        <v>4.710202522</v>
      </c>
      <c r="G4346" s="40">
        <v>2.185731897</v>
      </c>
      <c r="H4346" s="40"/>
      <c r="I4346" s="41">
        <v>0.486842105</v>
      </c>
      <c r="J4346" s="41">
        <v>0.131578947</v>
      </c>
      <c r="K4346" s="41">
        <v>0.381578947</v>
      </c>
      <c r="L4346" s="41"/>
      <c r="M4346" s="74">
        <v>-1.558016354</v>
      </c>
    </row>
    <row r="4347">
      <c r="A4347" s="1" t="s">
        <v>432</v>
      </c>
      <c r="B4347" s="38">
        <v>669467.0</v>
      </c>
      <c r="C4347" s="72">
        <v>45781.0</v>
      </c>
      <c r="D4347" s="38">
        <v>71.0</v>
      </c>
      <c r="E4347" s="75"/>
      <c r="F4347" s="67">
        <v>4.710020845</v>
      </c>
      <c r="G4347" s="40">
        <v>2.099655347</v>
      </c>
      <c r="H4347" s="40"/>
      <c r="I4347" s="41">
        <v>0.422535211</v>
      </c>
      <c r="J4347" s="41">
        <v>0.183098592</v>
      </c>
      <c r="K4347" s="41">
        <v>0.394366197</v>
      </c>
      <c r="L4347" s="41"/>
      <c r="M4347" s="74">
        <v>-4.799936828</v>
      </c>
    </row>
    <row r="4348">
      <c r="A4348" s="1" t="s">
        <v>411</v>
      </c>
      <c r="B4348" s="38">
        <v>605288.0</v>
      </c>
      <c r="C4348" s="72">
        <v>45809.0</v>
      </c>
      <c r="D4348" s="38">
        <v>93.0</v>
      </c>
      <c r="E4348" s="75"/>
      <c r="F4348" s="67">
        <v>4.709763391</v>
      </c>
      <c r="G4348" s="40">
        <v>2.73035452</v>
      </c>
      <c r="H4348" s="40"/>
      <c r="I4348" s="41">
        <v>0.451612903</v>
      </c>
      <c r="J4348" s="41">
        <v>0.11827957</v>
      </c>
      <c r="K4348" s="41">
        <v>0.430107527</v>
      </c>
      <c r="L4348" s="41"/>
      <c r="M4348" s="74">
        <v>-2.425972012</v>
      </c>
    </row>
    <row r="4349">
      <c r="A4349" s="1" t="s">
        <v>187</v>
      </c>
      <c r="B4349" s="38">
        <v>641302.0</v>
      </c>
      <c r="C4349" s="72">
        <v>45751.0</v>
      </c>
      <c r="D4349" s="38">
        <v>81.0</v>
      </c>
      <c r="E4349" s="75"/>
      <c r="F4349" s="67">
        <v>4.708731309</v>
      </c>
      <c r="G4349" s="40">
        <v>2.371522046</v>
      </c>
      <c r="H4349" s="40"/>
      <c r="I4349" s="41">
        <v>0.469135802</v>
      </c>
      <c r="J4349" s="41">
        <v>0.148148148</v>
      </c>
      <c r="K4349" s="41">
        <v>0.382716049</v>
      </c>
      <c r="L4349" s="41"/>
      <c r="M4349" s="74">
        <v>4.373610939</v>
      </c>
    </row>
    <row r="4350">
      <c r="A4350" s="1" t="s">
        <v>331</v>
      </c>
      <c r="B4350" s="38">
        <v>672456.0</v>
      </c>
      <c r="C4350" s="72">
        <v>45827.0</v>
      </c>
      <c r="D4350" s="38">
        <v>74.0</v>
      </c>
      <c r="E4350" s="75"/>
      <c r="F4350" s="67">
        <v>4.708599733</v>
      </c>
      <c r="G4350" s="40">
        <v>2.175745578</v>
      </c>
      <c r="H4350" s="40"/>
      <c r="I4350" s="41">
        <v>0.351351351</v>
      </c>
      <c r="J4350" s="41">
        <v>0.27027027</v>
      </c>
      <c r="K4350" s="41">
        <v>0.378378378</v>
      </c>
      <c r="L4350" s="41"/>
      <c r="M4350" s="74">
        <v>2.023461329</v>
      </c>
    </row>
    <row r="4351">
      <c r="A4351" s="1" t="s">
        <v>456</v>
      </c>
      <c r="B4351" s="38">
        <v>605135.0</v>
      </c>
      <c r="C4351" s="72">
        <v>45895.0</v>
      </c>
      <c r="D4351" s="38">
        <v>90.0</v>
      </c>
      <c r="E4351" s="75"/>
      <c r="F4351" s="67">
        <v>4.707766506</v>
      </c>
      <c r="G4351" s="40">
        <v>2.625240352</v>
      </c>
      <c r="H4351" s="40"/>
      <c r="I4351" s="41">
        <v>0.4</v>
      </c>
      <c r="J4351" s="41">
        <v>0.211111111</v>
      </c>
      <c r="K4351" s="41">
        <v>0.388888889</v>
      </c>
      <c r="L4351" s="41"/>
      <c r="M4351" s="74">
        <v>1.890363055</v>
      </c>
    </row>
    <row r="4352">
      <c r="A4352" s="1" t="s">
        <v>424</v>
      </c>
      <c r="B4352" s="38">
        <v>667755.0</v>
      </c>
      <c r="C4352" s="72">
        <v>45905.0</v>
      </c>
      <c r="D4352" s="38">
        <v>79.0</v>
      </c>
      <c r="E4352" s="75"/>
      <c r="F4352" s="67">
        <v>4.706721373</v>
      </c>
      <c r="G4352" s="40">
        <v>2.306081418</v>
      </c>
      <c r="H4352" s="40"/>
      <c r="I4352" s="41">
        <v>0.455696203</v>
      </c>
      <c r="J4352" s="41">
        <v>0.101265823</v>
      </c>
      <c r="K4352" s="41">
        <v>0.443037975</v>
      </c>
      <c r="L4352" s="41"/>
      <c r="M4352" s="74">
        <v>0.210497271</v>
      </c>
    </row>
    <row r="4353">
      <c r="A4353" s="1" t="s">
        <v>491</v>
      </c>
      <c r="B4353" s="38">
        <v>650644.0</v>
      </c>
      <c r="C4353" s="72">
        <v>45851.0</v>
      </c>
      <c r="D4353" s="38">
        <v>90.0</v>
      </c>
      <c r="E4353" s="75"/>
      <c r="F4353" s="67">
        <v>4.706699959</v>
      </c>
      <c r="G4353" s="40">
        <v>2.657458625</v>
      </c>
      <c r="H4353" s="40"/>
      <c r="I4353" s="41">
        <v>0.433333333</v>
      </c>
      <c r="J4353" s="41">
        <v>0.122222222</v>
      </c>
      <c r="K4353" s="41">
        <v>0.444444444</v>
      </c>
      <c r="L4353" s="41"/>
      <c r="M4353" s="74">
        <v>2.474273996</v>
      </c>
    </row>
    <row r="4354">
      <c r="A4354" s="1" t="s">
        <v>285</v>
      </c>
      <c r="B4354" s="38">
        <v>607074.0</v>
      </c>
      <c r="C4354" s="72">
        <v>45870.0</v>
      </c>
      <c r="D4354" s="38">
        <v>102.0</v>
      </c>
      <c r="E4354" s="75"/>
      <c r="F4354" s="67">
        <v>4.706156791</v>
      </c>
      <c r="G4354" s="40">
        <v>2.937597234</v>
      </c>
      <c r="H4354" s="40"/>
      <c r="I4354" s="41">
        <v>0.421568627</v>
      </c>
      <c r="J4354" s="41">
        <v>0.166666667</v>
      </c>
      <c r="K4354" s="41">
        <v>0.411764706</v>
      </c>
      <c r="L4354" s="41"/>
      <c r="M4354" s="74">
        <v>3.533335032</v>
      </c>
    </row>
    <row r="4355">
      <c r="A4355" s="1" t="s">
        <v>302</v>
      </c>
      <c r="B4355" s="38">
        <v>681190.0</v>
      </c>
      <c r="C4355" s="72">
        <v>45751.0</v>
      </c>
      <c r="D4355" s="38">
        <v>78.0</v>
      </c>
      <c r="E4355" s="75"/>
      <c r="F4355" s="67">
        <v>4.705748614</v>
      </c>
      <c r="G4355" s="40">
        <v>2.283871112</v>
      </c>
      <c r="H4355" s="40"/>
      <c r="I4355" s="41">
        <v>0.448717949</v>
      </c>
      <c r="J4355" s="41">
        <v>0.128205128</v>
      </c>
      <c r="K4355" s="41">
        <v>0.423076923</v>
      </c>
      <c r="L4355" s="41"/>
      <c r="M4355" s="74">
        <v>3.410564519</v>
      </c>
    </row>
    <row r="4356">
      <c r="A4356" s="1" t="s">
        <v>464</v>
      </c>
      <c r="B4356" s="38">
        <v>615698.0</v>
      </c>
      <c r="C4356" s="72">
        <v>45843.0</v>
      </c>
      <c r="D4356" s="38">
        <v>68.0</v>
      </c>
      <c r="E4356" s="75"/>
      <c r="F4356" s="67">
        <v>4.704767848</v>
      </c>
      <c r="G4356" s="40">
        <v>2.015941429</v>
      </c>
      <c r="H4356" s="40"/>
      <c r="I4356" s="41">
        <v>0.338235294</v>
      </c>
      <c r="J4356" s="41">
        <v>0.264705882</v>
      </c>
      <c r="K4356" s="41">
        <v>0.397058824</v>
      </c>
      <c r="L4356" s="41"/>
      <c r="M4356" s="74">
        <v>-0.789063118</v>
      </c>
    </row>
    <row r="4357">
      <c r="A4357" s="1" t="s">
        <v>424</v>
      </c>
      <c r="B4357" s="38">
        <v>667755.0</v>
      </c>
      <c r="C4357" s="72">
        <v>45807.0</v>
      </c>
      <c r="D4357" s="38">
        <v>87.0</v>
      </c>
      <c r="E4357" s="75"/>
      <c r="F4357" s="67">
        <v>4.704148444</v>
      </c>
      <c r="G4357" s="40">
        <v>2.532531372</v>
      </c>
      <c r="H4357" s="40"/>
      <c r="I4357" s="41">
        <v>0.413793103</v>
      </c>
      <c r="J4357" s="41">
        <v>0.137931034</v>
      </c>
      <c r="K4357" s="41">
        <v>0.448275862</v>
      </c>
      <c r="L4357" s="41"/>
      <c r="M4357" s="74">
        <v>2.251762921</v>
      </c>
    </row>
    <row r="4358">
      <c r="A4358" s="1" t="s">
        <v>269</v>
      </c>
      <c r="B4358" s="38">
        <v>605280.0</v>
      </c>
      <c r="C4358" s="72">
        <v>45827.0</v>
      </c>
      <c r="D4358" s="38">
        <v>104.0</v>
      </c>
      <c r="E4358" s="75"/>
      <c r="F4358" s="67">
        <v>4.702789029</v>
      </c>
      <c r="G4358" s="40">
        <v>2.994728654</v>
      </c>
      <c r="H4358" s="40"/>
      <c r="I4358" s="41">
        <v>0.509615385</v>
      </c>
      <c r="J4358" s="41">
        <v>0.105769231</v>
      </c>
      <c r="K4358" s="41">
        <v>0.384615385</v>
      </c>
      <c r="L4358" s="41"/>
      <c r="M4358" s="74">
        <v>1.59359766</v>
      </c>
    </row>
    <row r="4359">
      <c r="A4359" s="1" t="s">
        <v>521</v>
      </c>
      <c r="B4359" s="38">
        <v>686799.0</v>
      </c>
      <c r="C4359" s="72">
        <v>45872.0</v>
      </c>
      <c r="D4359" s="38">
        <v>79.0</v>
      </c>
      <c r="E4359" s="75"/>
      <c r="F4359" s="67">
        <v>4.70135401</v>
      </c>
      <c r="G4359" s="40">
        <v>2.3508921</v>
      </c>
      <c r="H4359" s="40"/>
      <c r="I4359" s="41">
        <v>0.35443038</v>
      </c>
      <c r="J4359" s="41">
        <v>0.17721519</v>
      </c>
      <c r="K4359" s="41">
        <v>0.46835443</v>
      </c>
      <c r="L4359" s="41"/>
      <c r="M4359" s="74">
        <v>-3.041143364</v>
      </c>
    </row>
    <row r="4360">
      <c r="A4360" s="1" t="s">
        <v>419</v>
      </c>
      <c r="B4360" s="38">
        <v>681857.0</v>
      </c>
      <c r="C4360" s="72">
        <v>45794.0</v>
      </c>
      <c r="D4360" s="38">
        <v>83.0</v>
      </c>
      <c r="E4360" s="75"/>
      <c r="F4360" s="67">
        <v>4.701282828</v>
      </c>
      <c r="G4360" s="40">
        <v>2.418926678</v>
      </c>
      <c r="H4360" s="40"/>
      <c r="I4360" s="41">
        <v>0.397590361</v>
      </c>
      <c r="J4360" s="41">
        <v>0.168674699</v>
      </c>
      <c r="K4360" s="41">
        <v>0.43373494</v>
      </c>
      <c r="L4360" s="41"/>
      <c r="M4360" s="74">
        <v>3.501491158</v>
      </c>
    </row>
    <row r="4361">
      <c r="A4361" s="1" t="s">
        <v>461</v>
      </c>
      <c r="B4361" s="38">
        <v>673540.0</v>
      </c>
      <c r="C4361" s="72">
        <v>45778.0</v>
      </c>
      <c r="D4361" s="38">
        <v>83.0</v>
      </c>
      <c r="E4361" s="75"/>
      <c r="F4361" s="67">
        <v>4.700866637</v>
      </c>
      <c r="G4361" s="40">
        <v>2.400775363</v>
      </c>
      <c r="H4361" s="40"/>
      <c r="I4361" s="41">
        <v>0.397590361</v>
      </c>
      <c r="J4361" s="41">
        <v>0.13253012</v>
      </c>
      <c r="K4361" s="41">
        <v>0.469879518</v>
      </c>
      <c r="L4361" s="41"/>
      <c r="M4361" s="74">
        <v>-0.743961629</v>
      </c>
    </row>
    <row r="4362">
      <c r="A4362" s="1" t="s">
        <v>450</v>
      </c>
      <c r="B4362" s="38">
        <v>682990.0</v>
      </c>
      <c r="C4362" s="72">
        <v>45784.0</v>
      </c>
      <c r="D4362" s="38">
        <v>75.0</v>
      </c>
      <c r="E4362" s="75"/>
      <c r="F4362" s="67">
        <v>4.700333128</v>
      </c>
      <c r="G4362" s="40">
        <v>2.194036816</v>
      </c>
      <c r="H4362" s="40"/>
      <c r="I4362" s="41">
        <v>0.466666667</v>
      </c>
      <c r="J4362" s="41">
        <v>0.146666667</v>
      </c>
      <c r="K4362" s="41">
        <v>0.386666667</v>
      </c>
      <c r="L4362" s="41"/>
      <c r="M4362" s="74">
        <v>1.556862846</v>
      </c>
    </row>
    <row r="4363">
      <c r="A4363" s="1" t="s">
        <v>466</v>
      </c>
      <c r="B4363" s="38">
        <v>687134.0</v>
      </c>
      <c r="C4363" s="72">
        <v>45883.0</v>
      </c>
      <c r="D4363" s="38">
        <v>78.0</v>
      </c>
      <c r="E4363" s="75"/>
      <c r="F4363" s="67">
        <v>4.699912405</v>
      </c>
      <c r="G4363" s="40">
        <v>2.319163431</v>
      </c>
      <c r="H4363" s="40"/>
      <c r="I4363" s="41">
        <v>0.320512821</v>
      </c>
      <c r="J4363" s="41">
        <v>0.256410256</v>
      </c>
      <c r="K4363" s="41">
        <v>0.423076923</v>
      </c>
      <c r="L4363" s="41"/>
      <c r="M4363" s="74">
        <v>-1.383038163</v>
      </c>
    </row>
    <row r="4364">
      <c r="A4364" s="1" t="s">
        <v>466</v>
      </c>
      <c r="B4364" s="38">
        <v>687134.0</v>
      </c>
      <c r="C4364" s="72">
        <v>45780.0</v>
      </c>
      <c r="D4364" s="38">
        <v>70.0</v>
      </c>
      <c r="E4364" s="75"/>
      <c r="F4364" s="67">
        <v>4.69801972</v>
      </c>
      <c r="G4364" s="40">
        <v>2.083517634</v>
      </c>
      <c r="H4364" s="40"/>
      <c r="I4364" s="41">
        <v>0.357142857</v>
      </c>
      <c r="J4364" s="41">
        <v>0.214285714</v>
      </c>
      <c r="K4364" s="41">
        <v>0.428571429</v>
      </c>
      <c r="L4364" s="41"/>
      <c r="M4364" s="74">
        <v>2.756135073</v>
      </c>
    </row>
    <row r="4365">
      <c r="A4365" s="1" t="s">
        <v>374</v>
      </c>
      <c r="B4365" s="38">
        <v>683004.0</v>
      </c>
      <c r="C4365" s="72">
        <v>45785.0</v>
      </c>
      <c r="D4365" s="38">
        <v>90.0</v>
      </c>
      <c r="E4365" s="75"/>
      <c r="F4365" s="67">
        <v>4.697099848</v>
      </c>
      <c r="G4365" s="40">
        <v>2.640983457</v>
      </c>
      <c r="H4365" s="40"/>
      <c r="I4365" s="41">
        <v>0.455555556</v>
      </c>
      <c r="J4365" s="41">
        <v>0.166666667</v>
      </c>
      <c r="K4365" s="41">
        <v>0.377777778</v>
      </c>
      <c r="L4365" s="41"/>
      <c r="M4365" s="74">
        <v>1.266478101</v>
      </c>
    </row>
    <row r="4366">
      <c r="A4366" s="1" t="s">
        <v>473</v>
      </c>
      <c r="B4366" s="38">
        <v>527048.0</v>
      </c>
      <c r="C4366" s="72">
        <v>45759.0</v>
      </c>
      <c r="D4366" s="38">
        <v>90.0</v>
      </c>
      <c r="E4366" s="75"/>
      <c r="F4366" s="67">
        <v>4.696914617</v>
      </c>
      <c r="G4366" s="40">
        <v>2.642691776</v>
      </c>
      <c r="H4366" s="40"/>
      <c r="I4366" s="41">
        <v>0.411111111</v>
      </c>
      <c r="J4366" s="41">
        <v>0.111111111</v>
      </c>
      <c r="K4366" s="41">
        <v>0.477777778</v>
      </c>
      <c r="L4366" s="41"/>
      <c r="M4366" s="74">
        <v>0.1549963</v>
      </c>
    </row>
    <row r="4367">
      <c r="A4367" s="1" t="s">
        <v>521</v>
      </c>
      <c r="B4367" s="38">
        <v>686799.0</v>
      </c>
      <c r="C4367" s="72">
        <v>45770.0</v>
      </c>
      <c r="D4367" s="38">
        <v>61.0</v>
      </c>
      <c r="E4367" s="75"/>
      <c r="F4367" s="67">
        <v>4.696469729</v>
      </c>
      <c r="G4367" s="40">
        <v>1.824285224</v>
      </c>
      <c r="H4367" s="40"/>
      <c r="I4367" s="41">
        <v>0.426229508</v>
      </c>
      <c r="J4367" s="41">
        <v>0.196721311</v>
      </c>
      <c r="K4367" s="41">
        <v>0.37704918</v>
      </c>
      <c r="L4367" s="41"/>
      <c r="M4367" s="74">
        <v>-2.352674685</v>
      </c>
    </row>
    <row r="4368">
      <c r="A4368" s="1" t="s">
        <v>314</v>
      </c>
      <c r="B4368" s="38">
        <v>669854.0</v>
      </c>
      <c r="C4368" s="72">
        <v>45763.0</v>
      </c>
      <c r="D4368" s="38">
        <v>87.0</v>
      </c>
      <c r="E4368" s="75"/>
      <c r="F4368" s="67">
        <v>4.69503007</v>
      </c>
      <c r="G4368" s="40">
        <v>2.564559998</v>
      </c>
      <c r="H4368" s="40"/>
      <c r="I4368" s="41">
        <v>0.379310345</v>
      </c>
      <c r="J4368" s="41">
        <v>0.137931034</v>
      </c>
      <c r="K4368" s="41">
        <v>0.482758621</v>
      </c>
      <c r="L4368" s="41"/>
      <c r="M4368" s="74">
        <v>-0.995863304</v>
      </c>
    </row>
    <row r="4369">
      <c r="A4369" s="1" t="s">
        <v>347</v>
      </c>
      <c r="B4369" s="38">
        <v>700249.0</v>
      </c>
      <c r="C4369" s="72">
        <v>45765.0</v>
      </c>
      <c r="D4369" s="38">
        <v>82.0</v>
      </c>
      <c r="E4369" s="75"/>
      <c r="F4369" s="67">
        <v>4.694901276</v>
      </c>
      <c r="G4369" s="40">
        <v>2.389810636</v>
      </c>
      <c r="H4369" s="40"/>
      <c r="I4369" s="41">
        <v>0.463414634</v>
      </c>
      <c r="J4369" s="41">
        <v>0.073170732</v>
      </c>
      <c r="K4369" s="41">
        <v>0.463414634</v>
      </c>
      <c r="L4369" s="41"/>
      <c r="M4369" s="74">
        <v>-2.544370726</v>
      </c>
    </row>
    <row r="4370">
      <c r="A4370" s="1" t="s">
        <v>275</v>
      </c>
      <c r="B4370" s="38">
        <v>693821.0</v>
      </c>
      <c r="C4370" s="72">
        <v>45898.0</v>
      </c>
      <c r="D4370" s="38">
        <v>92.0</v>
      </c>
      <c r="E4370" s="75"/>
      <c r="F4370" s="67">
        <v>4.69486836</v>
      </c>
      <c r="G4370" s="40">
        <v>2.69784092</v>
      </c>
      <c r="H4370" s="40"/>
      <c r="I4370" s="41">
        <v>0.347826087</v>
      </c>
      <c r="J4370" s="41">
        <v>0.217391304</v>
      </c>
      <c r="K4370" s="41">
        <v>0.434782609</v>
      </c>
      <c r="L4370" s="41"/>
      <c r="M4370" s="74">
        <v>2.348494075</v>
      </c>
    </row>
    <row r="4371">
      <c r="A4371" s="1" t="s">
        <v>453</v>
      </c>
      <c r="B4371" s="38">
        <v>592836.0</v>
      </c>
      <c r="C4371" s="72">
        <v>45756.0</v>
      </c>
      <c r="D4371" s="38">
        <v>89.0</v>
      </c>
      <c r="E4371" s="75"/>
      <c r="F4371" s="67">
        <v>4.694649162</v>
      </c>
      <c r="G4371" s="40">
        <v>2.631954394</v>
      </c>
      <c r="H4371" s="40"/>
      <c r="I4371" s="41">
        <v>0.426966292</v>
      </c>
      <c r="J4371" s="41">
        <v>0.213483146</v>
      </c>
      <c r="K4371" s="41">
        <v>0.359550562</v>
      </c>
      <c r="L4371" s="41"/>
      <c r="M4371" s="74">
        <v>0.727768548</v>
      </c>
    </row>
    <row r="4372">
      <c r="A4372" s="1" t="s">
        <v>368</v>
      </c>
      <c r="B4372" s="38">
        <v>593958.0</v>
      </c>
      <c r="C4372" s="72">
        <v>45791.0</v>
      </c>
      <c r="D4372" s="38">
        <v>73.0</v>
      </c>
      <c r="E4372" s="75"/>
      <c r="F4372" s="67">
        <v>4.694456294</v>
      </c>
      <c r="G4372" s="40">
        <v>2.158133617</v>
      </c>
      <c r="H4372" s="40"/>
      <c r="I4372" s="41">
        <v>0.369863014</v>
      </c>
      <c r="J4372" s="41">
        <v>0.191780822</v>
      </c>
      <c r="K4372" s="41">
        <v>0.438356164</v>
      </c>
      <c r="L4372" s="41"/>
      <c r="M4372" s="74">
        <v>0.166456863</v>
      </c>
    </row>
    <row r="4373">
      <c r="A4373" s="1" t="s">
        <v>521</v>
      </c>
      <c r="B4373" s="38">
        <v>686799.0</v>
      </c>
      <c r="C4373" s="72">
        <v>45793.0</v>
      </c>
      <c r="D4373" s="38">
        <v>99.0</v>
      </c>
      <c r="E4373" s="75"/>
      <c r="F4373" s="67">
        <v>4.694243963</v>
      </c>
      <c r="G4373" s="40">
        <v>2.903174279</v>
      </c>
      <c r="H4373" s="40"/>
      <c r="I4373" s="41">
        <v>0.424242424</v>
      </c>
      <c r="J4373" s="41">
        <v>0.191919192</v>
      </c>
      <c r="K4373" s="41">
        <v>0.383838384</v>
      </c>
      <c r="L4373" s="41"/>
      <c r="M4373" s="74">
        <v>1.853291366</v>
      </c>
    </row>
    <row r="4374">
      <c r="A4374" s="1" t="s">
        <v>476</v>
      </c>
      <c r="B4374" s="38">
        <v>500779.0</v>
      </c>
      <c r="C4374" s="72">
        <v>45891.0</v>
      </c>
      <c r="D4374" s="38">
        <v>82.0</v>
      </c>
      <c r="E4374" s="75"/>
      <c r="F4374" s="67">
        <v>4.694122349</v>
      </c>
      <c r="G4374" s="40">
        <v>2.427616627</v>
      </c>
      <c r="H4374" s="40"/>
      <c r="I4374" s="41">
        <v>0.341463415</v>
      </c>
      <c r="J4374" s="41">
        <v>0.146341463</v>
      </c>
      <c r="K4374" s="41">
        <v>0.512195122</v>
      </c>
      <c r="L4374" s="41"/>
      <c r="M4374" s="74">
        <v>3.078336907</v>
      </c>
    </row>
    <row r="4375">
      <c r="A4375" s="1" t="s">
        <v>364</v>
      </c>
      <c r="B4375" s="38">
        <v>693855.0</v>
      </c>
      <c r="C4375" s="72">
        <v>45905.0</v>
      </c>
      <c r="D4375" s="38">
        <v>87.0</v>
      </c>
      <c r="E4375" s="75"/>
      <c r="F4375" s="67">
        <v>4.694109188</v>
      </c>
      <c r="G4375" s="40">
        <v>2.568633371</v>
      </c>
      <c r="H4375" s="40"/>
      <c r="I4375" s="41">
        <v>0.333333333</v>
      </c>
      <c r="J4375" s="41">
        <v>0.218390805</v>
      </c>
      <c r="K4375" s="41">
        <v>0.448275862</v>
      </c>
      <c r="L4375" s="41"/>
      <c r="M4375" s="74">
        <v>0.41500457</v>
      </c>
    </row>
    <row r="4376">
      <c r="A4376" s="1" t="s">
        <v>424</v>
      </c>
      <c r="B4376" s="38">
        <v>667755.0</v>
      </c>
      <c r="C4376" s="72">
        <v>45841.0</v>
      </c>
      <c r="D4376" s="38">
        <v>101.0</v>
      </c>
      <c r="E4376" s="75"/>
      <c r="F4376" s="67">
        <v>4.693742698</v>
      </c>
      <c r="G4376" s="40">
        <v>2.956032369</v>
      </c>
      <c r="H4376" s="40"/>
      <c r="I4376" s="41">
        <v>0.386138614</v>
      </c>
      <c r="J4376" s="41">
        <v>0.198019802</v>
      </c>
      <c r="K4376" s="41">
        <v>0.415841584</v>
      </c>
      <c r="L4376" s="41"/>
      <c r="M4376" s="74">
        <v>2.595286283</v>
      </c>
    </row>
    <row r="4377">
      <c r="A4377" s="1" t="s">
        <v>521</v>
      </c>
      <c r="B4377" s="38">
        <v>686799.0</v>
      </c>
      <c r="C4377" s="72">
        <v>45787.0</v>
      </c>
      <c r="D4377" s="38">
        <v>94.0</v>
      </c>
      <c r="E4377" s="75"/>
      <c r="F4377" s="67">
        <v>4.693623374</v>
      </c>
      <c r="G4377" s="40">
        <v>2.757393301</v>
      </c>
      <c r="H4377" s="40"/>
      <c r="I4377" s="41">
        <v>0.393617021</v>
      </c>
      <c r="J4377" s="41">
        <v>0.159574468</v>
      </c>
      <c r="K4377" s="41">
        <v>0.446808511</v>
      </c>
      <c r="L4377" s="41"/>
      <c r="M4377" s="74">
        <v>1.896517884</v>
      </c>
    </row>
    <row r="4378">
      <c r="A4378" s="1" t="s">
        <v>490</v>
      </c>
      <c r="B4378" s="38">
        <v>680573.0</v>
      </c>
      <c r="C4378" s="72">
        <v>45866.0</v>
      </c>
      <c r="D4378" s="38">
        <v>98.0</v>
      </c>
      <c r="E4378" s="75"/>
      <c r="F4378" s="67">
        <v>4.693086966</v>
      </c>
      <c r="G4378" s="40">
        <v>2.917455784</v>
      </c>
      <c r="H4378" s="40"/>
      <c r="I4378" s="41">
        <v>0.316326531</v>
      </c>
      <c r="J4378" s="41">
        <v>0.265306122</v>
      </c>
      <c r="K4378" s="41">
        <v>0.418367347</v>
      </c>
      <c r="L4378" s="41"/>
      <c r="M4378" s="74">
        <v>-0.48644015</v>
      </c>
    </row>
    <row r="4379">
      <c r="A4379" s="1" t="s">
        <v>341</v>
      </c>
      <c r="B4379" s="38">
        <v>676962.0</v>
      </c>
      <c r="C4379" s="72">
        <v>45747.0</v>
      </c>
      <c r="D4379" s="38">
        <v>72.0</v>
      </c>
      <c r="E4379" s="75"/>
      <c r="F4379" s="67">
        <v>4.692871253</v>
      </c>
      <c r="G4379" s="40">
        <v>2.133519261</v>
      </c>
      <c r="H4379" s="40"/>
      <c r="I4379" s="41">
        <v>0.430555556</v>
      </c>
      <c r="J4379" s="41">
        <v>0.138888889</v>
      </c>
      <c r="K4379" s="41">
        <v>0.430555556</v>
      </c>
      <c r="L4379" s="41"/>
      <c r="M4379" s="74">
        <v>-2.327527269</v>
      </c>
    </row>
    <row r="4380">
      <c r="A4380" s="1" t="s">
        <v>521</v>
      </c>
      <c r="B4380" s="38">
        <v>686799.0</v>
      </c>
      <c r="C4380" s="72">
        <v>45758.0</v>
      </c>
      <c r="D4380" s="38">
        <v>85.0</v>
      </c>
      <c r="E4380" s="75"/>
      <c r="F4380" s="67">
        <v>4.692443372</v>
      </c>
      <c r="G4380" s="40">
        <v>2.501883258</v>
      </c>
      <c r="H4380" s="40"/>
      <c r="I4380" s="41">
        <v>0.435294118</v>
      </c>
      <c r="J4380" s="41">
        <v>0.164705882</v>
      </c>
      <c r="K4380" s="41">
        <v>0.4</v>
      </c>
      <c r="L4380" s="41"/>
      <c r="M4380" s="74">
        <v>-1.133879242</v>
      </c>
    </row>
    <row r="4381">
      <c r="A4381" s="1" t="s">
        <v>242</v>
      </c>
      <c r="B4381" s="38">
        <v>669358.0</v>
      </c>
      <c r="C4381" s="72">
        <v>45817.0</v>
      </c>
      <c r="D4381" s="38">
        <v>75.0</v>
      </c>
      <c r="E4381" s="75"/>
      <c r="F4381" s="67">
        <v>4.692212423</v>
      </c>
      <c r="G4381" s="40">
        <v>2.246799899</v>
      </c>
      <c r="H4381" s="40"/>
      <c r="I4381" s="41">
        <v>0.426666667</v>
      </c>
      <c r="J4381" s="41">
        <v>0.2</v>
      </c>
      <c r="K4381" s="41">
        <v>0.373333333</v>
      </c>
      <c r="L4381" s="41"/>
      <c r="M4381" s="74">
        <v>0.640014726</v>
      </c>
    </row>
    <row r="4382">
      <c r="A4382" s="1" t="s">
        <v>496</v>
      </c>
      <c r="B4382" s="38">
        <v>694477.0</v>
      </c>
      <c r="C4382" s="72">
        <v>45888.0</v>
      </c>
      <c r="D4382" s="38">
        <v>80.0</v>
      </c>
      <c r="E4382" s="75"/>
      <c r="F4382" s="67">
        <v>4.690267792</v>
      </c>
      <c r="G4382" s="40">
        <v>2.374741033</v>
      </c>
      <c r="H4382" s="40"/>
      <c r="I4382" s="41">
        <v>0.3625</v>
      </c>
      <c r="J4382" s="41">
        <v>0.1875</v>
      </c>
      <c r="K4382" s="41">
        <v>0.45</v>
      </c>
      <c r="L4382" s="41"/>
      <c r="M4382" s="74">
        <v>-0.368807687</v>
      </c>
    </row>
    <row r="4383">
      <c r="A4383" s="1" t="s">
        <v>313</v>
      </c>
      <c r="B4383" s="38">
        <v>607067.0</v>
      </c>
      <c r="C4383" s="72">
        <v>45884.0</v>
      </c>
      <c r="D4383" s="38">
        <v>82.0</v>
      </c>
      <c r="E4383" s="75"/>
      <c r="F4383" s="67">
        <v>4.690069096</v>
      </c>
      <c r="G4383" s="40">
        <v>2.42214693</v>
      </c>
      <c r="H4383" s="40"/>
      <c r="I4383" s="41">
        <v>0.365853659</v>
      </c>
      <c r="J4383" s="41">
        <v>0.219512195</v>
      </c>
      <c r="K4383" s="41">
        <v>0.414634146</v>
      </c>
      <c r="L4383" s="41"/>
      <c r="M4383" s="74">
        <v>2.024628856</v>
      </c>
    </row>
    <row r="4384">
      <c r="A4384" s="1" t="s">
        <v>169</v>
      </c>
      <c r="B4384" s="38">
        <v>671096.0</v>
      </c>
      <c r="C4384" s="72">
        <v>45869.0</v>
      </c>
      <c r="D4384" s="38">
        <v>93.0</v>
      </c>
      <c r="E4384" s="75"/>
      <c r="F4384" s="67">
        <v>4.689735695</v>
      </c>
      <c r="G4384" s="40">
        <v>2.763073522</v>
      </c>
      <c r="H4384" s="40"/>
      <c r="I4384" s="41">
        <v>0.408602151</v>
      </c>
      <c r="J4384" s="41">
        <v>0.193548387</v>
      </c>
      <c r="K4384" s="41">
        <v>0.397849462</v>
      </c>
      <c r="L4384" s="41"/>
      <c r="M4384" s="74">
        <v>0.779388556</v>
      </c>
    </row>
    <row r="4385">
      <c r="A4385" s="1" t="s">
        <v>472</v>
      </c>
      <c r="B4385" s="38">
        <v>675911.0</v>
      </c>
      <c r="C4385" s="72">
        <v>45832.0</v>
      </c>
      <c r="D4385" s="38">
        <v>89.0</v>
      </c>
      <c r="E4385" s="75"/>
      <c r="F4385" s="67">
        <v>4.689206378</v>
      </c>
      <c r="G4385" s="40">
        <v>2.599677349</v>
      </c>
      <c r="H4385" s="40"/>
      <c r="I4385" s="41">
        <v>0.393258427</v>
      </c>
      <c r="J4385" s="41">
        <v>0.179775281</v>
      </c>
      <c r="K4385" s="41">
        <v>0.426966292</v>
      </c>
      <c r="L4385" s="41"/>
      <c r="M4385" s="74">
        <v>1.632413915</v>
      </c>
    </row>
    <row r="4386">
      <c r="A4386" s="1" t="s">
        <v>320</v>
      </c>
      <c r="B4386" s="38">
        <v>681347.0</v>
      </c>
      <c r="C4386" s="72">
        <v>45817.0</v>
      </c>
      <c r="D4386" s="38">
        <v>65.0</v>
      </c>
      <c r="E4386" s="75"/>
      <c r="F4386" s="67">
        <v>4.689162227</v>
      </c>
      <c r="G4386" s="40">
        <v>1.958553028</v>
      </c>
      <c r="H4386" s="40"/>
      <c r="I4386" s="41">
        <v>0.461538462</v>
      </c>
      <c r="J4386" s="41">
        <v>0.138461538</v>
      </c>
      <c r="K4386" s="41">
        <v>0.4</v>
      </c>
      <c r="L4386" s="41"/>
      <c r="M4386" s="74">
        <v>-1.387646133</v>
      </c>
    </row>
    <row r="4387">
      <c r="A4387" s="1" t="s">
        <v>456</v>
      </c>
      <c r="B4387" s="38">
        <v>605135.0</v>
      </c>
      <c r="C4387" s="72">
        <v>45763.0</v>
      </c>
      <c r="D4387" s="38">
        <v>88.0</v>
      </c>
      <c r="E4387" s="75"/>
      <c r="F4387" s="67">
        <v>4.688658397</v>
      </c>
      <c r="G4387" s="40">
        <v>2.57954547</v>
      </c>
      <c r="H4387" s="40"/>
      <c r="I4387" s="41">
        <v>0.443181818</v>
      </c>
      <c r="J4387" s="41">
        <v>0.125</v>
      </c>
      <c r="K4387" s="41">
        <v>0.431818182</v>
      </c>
      <c r="L4387" s="41"/>
      <c r="M4387" s="74">
        <v>1.286276986</v>
      </c>
    </row>
    <row r="4388">
      <c r="A4388" s="1" t="s">
        <v>396</v>
      </c>
      <c r="B4388" s="38">
        <v>663623.0</v>
      </c>
      <c r="C4388" s="72">
        <v>45819.0</v>
      </c>
      <c r="D4388" s="38">
        <v>99.0</v>
      </c>
      <c r="E4388" s="75"/>
      <c r="F4388" s="67">
        <v>4.688234024</v>
      </c>
      <c r="G4388" s="40">
        <v>2.921897236</v>
      </c>
      <c r="H4388" s="40"/>
      <c r="I4388" s="41">
        <v>0.373737374</v>
      </c>
      <c r="J4388" s="41">
        <v>0.181818182</v>
      </c>
      <c r="K4388" s="41">
        <v>0.444444444</v>
      </c>
      <c r="L4388" s="41"/>
      <c r="M4388" s="74">
        <v>0.876421123</v>
      </c>
    </row>
    <row r="4389">
      <c r="A4389" s="1" t="s">
        <v>374</v>
      </c>
      <c r="B4389" s="38">
        <v>683004.0</v>
      </c>
      <c r="C4389" s="72">
        <v>45887.0</v>
      </c>
      <c r="D4389" s="38">
        <v>80.0</v>
      </c>
      <c r="E4389" s="75"/>
      <c r="F4389" s="67">
        <v>4.688068441</v>
      </c>
      <c r="G4389" s="40">
        <v>2.382282926</v>
      </c>
      <c r="H4389" s="40"/>
      <c r="I4389" s="41">
        <v>0.35</v>
      </c>
      <c r="J4389" s="41">
        <v>0.2625</v>
      </c>
      <c r="K4389" s="41">
        <v>0.3875</v>
      </c>
      <c r="L4389" s="41"/>
      <c r="M4389" s="74">
        <v>-1.201631302</v>
      </c>
    </row>
    <row r="4390">
      <c r="A4390" s="1" t="s">
        <v>376</v>
      </c>
      <c r="B4390" s="38">
        <v>668909.0</v>
      </c>
      <c r="C4390" s="72">
        <v>45751.0</v>
      </c>
      <c r="D4390" s="38">
        <v>72.0</v>
      </c>
      <c r="E4390" s="75"/>
      <c r="F4390" s="67">
        <v>4.68758316</v>
      </c>
      <c r="G4390" s="40">
        <v>2.121991536</v>
      </c>
      <c r="H4390" s="40"/>
      <c r="I4390" s="41">
        <v>0.430555556</v>
      </c>
      <c r="J4390" s="41">
        <v>0.180555556</v>
      </c>
      <c r="K4390" s="41">
        <v>0.388888889</v>
      </c>
      <c r="L4390" s="41"/>
      <c r="M4390" s="74">
        <v>-1.630395404</v>
      </c>
    </row>
    <row r="4391">
      <c r="A4391" s="1" t="s">
        <v>405</v>
      </c>
      <c r="B4391" s="38">
        <v>621111.0</v>
      </c>
      <c r="C4391" s="72">
        <v>45865.0</v>
      </c>
      <c r="D4391" s="38">
        <v>103.0</v>
      </c>
      <c r="E4391" s="75"/>
      <c r="F4391" s="67">
        <v>4.687408475</v>
      </c>
      <c r="G4391" s="40">
        <v>3.037090702</v>
      </c>
      <c r="H4391" s="40"/>
      <c r="I4391" s="41">
        <v>0.475728155</v>
      </c>
      <c r="J4391" s="41">
        <v>0.097087379</v>
      </c>
      <c r="K4391" s="41">
        <v>0.427184466</v>
      </c>
      <c r="L4391" s="41"/>
      <c r="M4391" s="74">
        <v>1.26940401</v>
      </c>
    </row>
    <row r="4392">
      <c r="A4392" s="1" t="s">
        <v>290</v>
      </c>
      <c r="B4392" s="38">
        <v>669461.0</v>
      </c>
      <c r="C4392" s="72">
        <v>45909.0</v>
      </c>
      <c r="D4392" s="38">
        <v>62.0</v>
      </c>
      <c r="E4392" s="75"/>
      <c r="F4392" s="67">
        <v>4.686380461</v>
      </c>
      <c r="G4392" s="40">
        <v>1.860973033</v>
      </c>
      <c r="H4392" s="40"/>
      <c r="I4392" s="41">
        <v>0.467741935</v>
      </c>
      <c r="J4392" s="41">
        <v>0.14516129</v>
      </c>
      <c r="K4392" s="41">
        <v>0.387096774</v>
      </c>
      <c r="L4392" s="41"/>
      <c r="M4392" s="74">
        <v>-2.416431807</v>
      </c>
    </row>
    <row r="4393">
      <c r="A4393" s="1" t="s">
        <v>450</v>
      </c>
      <c r="B4393" s="38">
        <v>682990.0</v>
      </c>
      <c r="C4393" s="72">
        <v>45842.0</v>
      </c>
      <c r="D4393" s="38">
        <v>83.0</v>
      </c>
      <c r="E4393" s="75"/>
      <c r="F4393" s="67">
        <v>4.686335178</v>
      </c>
      <c r="G4393" s="40">
        <v>2.471342127</v>
      </c>
      <c r="H4393" s="40"/>
      <c r="I4393" s="41">
        <v>0.325301205</v>
      </c>
      <c r="J4393" s="41">
        <v>0.228915663</v>
      </c>
      <c r="K4393" s="41">
        <v>0.445783133</v>
      </c>
      <c r="L4393" s="41"/>
      <c r="M4393" s="74">
        <v>-1.810811148</v>
      </c>
    </row>
    <row r="4394">
      <c r="A4394" s="1" t="s">
        <v>461</v>
      </c>
      <c r="B4394" s="38">
        <v>673540.0</v>
      </c>
      <c r="C4394" s="72">
        <v>45871.0</v>
      </c>
      <c r="D4394" s="38">
        <v>70.0</v>
      </c>
      <c r="E4394" s="75"/>
      <c r="F4394" s="67">
        <v>4.686110231</v>
      </c>
      <c r="G4394" s="40">
        <v>2.101948486</v>
      </c>
      <c r="H4394" s="40"/>
      <c r="I4394" s="41">
        <v>0.371428571</v>
      </c>
      <c r="J4394" s="41">
        <v>0.171428571</v>
      </c>
      <c r="K4394" s="41">
        <v>0.457142857</v>
      </c>
      <c r="L4394" s="41"/>
      <c r="M4394" s="74">
        <v>-1.06972519</v>
      </c>
    </row>
    <row r="4395">
      <c r="A4395" s="1" t="s">
        <v>389</v>
      </c>
      <c r="B4395" s="38">
        <v>682052.0</v>
      </c>
      <c r="C4395" s="72">
        <v>45893.0</v>
      </c>
      <c r="D4395" s="38">
        <v>65.0</v>
      </c>
      <c r="E4395" s="75"/>
      <c r="F4395" s="67">
        <v>4.68512311</v>
      </c>
      <c r="G4395" s="40">
        <v>1.916700212</v>
      </c>
      <c r="H4395" s="40"/>
      <c r="I4395" s="41">
        <v>0.446153846</v>
      </c>
      <c r="J4395" s="41">
        <v>0.169230769</v>
      </c>
      <c r="K4395" s="41">
        <v>0.384615385</v>
      </c>
      <c r="L4395" s="41"/>
      <c r="M4395" s="74">
        <v>-3.15169755</v>
      </c>
    </row>
    <row r="4396">
      <c r="A4396" s="1" t="s">
        <v>44</v>
      </c>
      <c r="B4396" s="38">
        <v>650911.0</v>
      </c>
      <c r="C4396" s="72">
        <v>45777.0</v>
      </c>
      <c r="D4396" s="38">
        <v>82.0</v>
      </c>
      <c r="E4396" s="75"/>
      <c r="F4396" s="67">
        <v>4.684954587</v>
      </c>
      <c r="G4396" s="40">
        <v>2.423067733</v>
      </c>
      <c r="H4396" s="40"/>
      <c r="I4396" s="41">
        <v>0.5</v>
      </c>
      <c r="J4396" s="41">
        <v>0.097560976</v>
      </c>
      <c r="K4396" s="41">
        <v>0.402439024</v>
      </c>
      <c r="L4396" s="41"/>
      <c r="M4396" s="74">
        <v>-0.278738775</v>
      </c>
    </row>
    <row r="4397">
      <c r="A4397" s="1" t="s">
        <v>361</v>
      </c>
      <c r="B4397" s="38">
        <v>686563.0</v>
      </c>
      <c r="C4397" s="72">
        <v>45751.0</v>
      </c>
      <c r="D4397" s="38">
        <v>87.0</v>
      </c>
      <c r="E4397" s="75"/>
      <c r="F4397" s="67">
        <v>4.683468084</v>
      </c>
      <c r="G4397" s="40">
        <v>2.561564424</v>
      </c>
      <c r="H4397" s="40"/>
      <c r="I4397" s="41">
        <v>0.471264368</v>
      </c>
      <c r="J4397" s="41">
        <v>0.114942529</v>
      </c>
      <c r="K4397" s="41">
        <v>0.413793103</v>
      </c>
      <c r="L4397" s="41"/>
      <c r="M4397" s="74">
        <v>1.951087447</v>
      </c>
    </row>
    <row r="4398">
      <c r="A4398" s="1" t="s">
        <v>222</v>
      </c>
      <c r="B4398" s="38">
        <v>518876.0</v>
      </c>
      <c r="C4398" s="72">
        <v>45829.0</v>
      </c>
      <c r="D4398" s="38">
        <v>92.0</v>
      </c>
      <c r="E4398" s="75"/>
      <c r="F4398" s="67">
        <v>4.683397485</v>
      </c>
      <c r="G4398" s="40">
        <v>2.75813408</v>
      </c>
      <c r="H4398" s="40"/>
      <c r="I4398" s="41">
        <v>0.402173913</v>
      </c>
      <c r="J4398" s="41">
        <v>0.141304348</v>
      </c>
      <c r="K4398" s="41">
        <v>0.456521739</v>
      </c>
      <c r="L4398" s="41"/>
      <c r="M4398" s="74">
        <v>-0.281151527</v>
      </c>
    </row>
    <row r="4399">
      <c r="A4399" s="1" t="s">
        <v>480</v>
      </c>
      <c r="B4399" s="38">
        <v>647336.0</v>
      </c>
      <c r="C4399" s="72">
        <v>45825.0</v>
      </c>
      <c r="D4399" s="38">
        <v>92.0</v>
      </c>
      <c r="E4399" s="75"/>
      <c r="F4399" s="67">
        <v>4.682887133</v>
      </c>
      <c r="G4399" s="40">
        <v>2.744476336</v>
      </c>
      <c r="H4399" s="40"/>
      <c r="I4399" s="41">
        <v>0.402173913</v>
      </c>
      <c r="J4399" s="41">
        <v>0.22826087</v>
      </c>
      <c r="K4399" s="41">
        <v>0.369565217</v>
      </c>
      <c r="L4399" s="41"/>
      <c r="M4399" s="74">
        <v>-0.614053553</v>
      </c>
    </row>
    <row r="4400">
      <c r="A4400" s="1" t="s">
        <v>341</v>
      </c>
      <c r="B4400" s="38">
        <v>676962.0</v>
      </c>
      <c r="C4400" s="72">
        <v>45825.0</v>
      </c>
      <c r="D4400" s="38">
        <v>86.0</v>
      </c>
      <c r="E4400" s="75"/>
      <c r="F4400" s="67">
        <v>4.682042162</v>
      </c>
      <c r="G4400" s="40">
        <v>2.588843036</v>
      </c>
      <c r="H4400" s="40"/>
      <c r="I4400" s="41">
        <v>0.395348837</v>
      </c>
      <c r="J4400" s="41">
        <v>0.151162791</v>
      </c>
      <c r="K4400" s="41">
        <v>0.453488372</v>
      </c>
      <c r="L4400" s="41"/>
      <c r="M4400" s="74">
        <v>-1.783863125</v>
      </c>
    </row>
    <row r="4401">
      <c r="A4401" s="1" t="s">
        <v>393</v>
      </c>
      <c r="B4401" s="38">
        <v>690953.0</v>
      </c>
      <c r="C4401" s="72">
        <v>45818.0</v>
      </c>
      <c r="D4401" s="38">
        <v>87.0</v>
      </c>
      <c r="E4401" s="75"/>
      <c r="F4401" s="67">
        <v>4.682030829</v>
      </c>
      <c r="G4401" s="40">
        <v>2.570999026</v>
      </c>
      <c r="H4401" s="40"/>
      <c r="I4401" s="41">
        <v>0.413793103</v>
      </c>
      <c r="J4401" s="41">
        <v>0.206896552</v>
      </c>
      <c r="K4401" s="41">
        <v>0.379310345</v>
      </c>
      <c r="L4401" s="41"/>
      <c r="M4401" s="74">
        <v>-1.301434726</v>
      </c>
    </row>
    <row r="4402">
      <c r="A4402" s="1" t="s">
        <v>495</v>
      </c>
      <c r="B4402" s="38">
        <v>801403.0</v>
      </c>
      <c r="C4402" s="72">
        <v>45839.0</v>
      </c>
      <c r="D4402" s="38">
        <v>66.0</v>
      </c>
      <c r="E4402" s="75"/>
      <c r="F4402" s="67">
        <v>4.680891068</v>
      </c>
      <c r="G4402" s="40">
        <v>1.967538817</v>
      </c>
      <c r="H4402" s="40"/>
      <c r="I4402" s="41">
        <v>0.333333333</v>
      </c>
      <c r="J4402" s="41">
        <v>0.242424242</v>
      </c>
      <c r="K4402" s="41">
        <v>0.424242424</v>
      </c>
      <c r="L4402" s="41"/>
      <c r="M4402" s="74">
        <v>-2.47932662</v>
      </c>
    </row>
    <row r="4403">
      <c r="A4403" s="1" t="s">
        <v>410</v>
      </c>
      <c r="B4403" s="38">
        <v>678394.0</v>
      </c>
      <c r="C4403" s="72">
        <v>45795.0</v>
      </c>
      <c r="D4403" s="38">
        <v>92.0</v>
      </c>
      <c r="E4403" s="75"/>
      <c r="F4403" s="67">
        <v>4.679490178</v>
      </c>
      <c r="G4403" s="40">
        <v>2.786063144</v>
      </c>
      <c r="H4403" s="40"/>
      <c r="I4403" s="41">
        <v>0.434782609</v>
      </c>
      <c r="J4403" s="41">
        <v>0.206521739</v>
      </c>
      <c r="K4403" s="41">
        <v>0.358695652</v>
      </c>
      <c r="L4403" s="41"/>
      <c r="M4403" s="74">
        <v>-3.948008957</v>
      </c>
    </row>
    <row r="4404">
      <c r="A4404" s="1" t="s">
        <v>405</v>
      </c>
      <c r="B4404" s="38">
        <v>621111.0</v>
      </c>
      <c r="C4404" s="72">
        <v>45925.0</v>
      </c>
      <c r="D4404" s="38">
        <v>73.0</v>
      </c>
      <c r="E4404" s="75"/>
      <c r="F4404" s="67">
        <v>4.679149291</v>
      </c>
      <c r="G4404" s="40">
        <v>2.168199175</v>
      </c>
      <c r="H4404" s="40"/>
      <c r="I4404" s="41">
        <v>0.410958904</v>
      </c>
      <c r="J4404" s="41">
        <v>0.164383562</v>
      </c>
      <c r="K4404" s="41">
        <v>0.424657534</v>
      </c>
      <c r="L4404" s="41"/>
      <c r="M4404" s="74">
        <v>1.181913361</v>
      </c>
    </row>
    <row r="4405">
      <c r="A4405" s="1" t="s">
        <v>77</v>
      </c>
      <c r="B4405" s="38">
        <v>657277.0</v>
      </c>
      <c r="C4405" s="72">
        <v>45743.0</v>
      </c>
      <c r="D4405" s="38">
        <v>76.0</v>
      </c>
      <c r="E4405" s="75"/>
      <c r="F4405" s="67">
        <v>4.679048863</v>
      </c>
      <c r="G4405" s="40">
        <v>2.244560253</v>
      </c>
      <c r="H4405" s="40"/>
      <c r="I4405" s="41">
        <v>0.434210526</v>
      </c>
      <c r="J4405" s="41">
        <v>0.144736842</v>
      </c>
      <c r="K4405" s="41">
        <v>0.421052632</v>
      </c>
      <c r="L4405" s="41"/>
      <c r="M4405" s="74">
        <v>-2.224133571</v>
      </c>
    </row>
    <row r="4406">
      <c r="A4406" s="1" t="s">
        <v>455</v>
      </c>
      <c r="B4406" s="38">
        <v>570632.0</v>
      </c>
      <c r="C4406" s="72">
        <v>45910.0</v>
      </c>
      <c r="D4406" s="38">
        <v>67.0</v>
      </c>
      <c r="E4406" s="75"/>
      <c r="F4406" s="67">
        <v>4.678199788</v>
      </c>
      <c r="G4406" s="40">
        <v>2.02113512</v>
      </c>
      <c r="H4406" s="40"/>
      <c r="I4406" s="41">
        <v>0.417910448</v>
      </c>
      <c r="J4406" s="41">
        <v>0.179104478</v>
      </c>
      <c r="K4406" s="41">
        <v>0.402985075</v>
      </c>
      <c r="L4406" s="41"/>
      <c r="M4406" s="74">
        <v>-0.627236633</v>
      </c>
    </row>
    <row r="4407">
      <c r="A4407" s="1" t="s">
        <v>374</v>
      </c>
      <c r="B4407" s="38">
        <v>683004.0</v>
      </c>
      <c r="C4407" s="72">
        <v>45859.0</v>
      </c>
      <c r="D4407" s="38">
        <v>94.0</v>
      </c>
      <c r="E4407" s="75"/>
      <c r="F4407" s="67">
        <v>4.678163055</v>
      </c>
      <c r="G4407" s="40">
        <v>2.814999015</v>
      </c>
      <c r="H4407" s="40"/>
      <c r="I4407" s="41">
        <v>0.468085106</v>
      </c>
      <c r="J4407" s="41">
        <v>0.127659574</v>
      </c>
      <c r="K4407" s="41">
        <v>0.404255319</v>
      </c>
      <c r="L4407" s="41"/>
      <c r="M4407" s="74">
        <v>0.129661633</v>
      </c>
    </row>
    <row r="4408">
      <c r="A4408" s="1" t="s">
        <v>513</v>
      </c>
      <c r="B4408" s="38">
        <v>608566.0</v>
      </c>
      <c r="C4408" s="72">
        <v>45898.0</v>
      </c>
      <c r="D4408" s="38">
        <v>64.0</v>
      </c>
      <c r="E4408" s="75"/>
      <c r="F4408" s="67">
        <v>4.678010524</v>
      </c>
      <c r="G4408" s="40">
        <v>1.96550396</v>
      </c>
      <c r="H4408" s="40"/>
      <c r="I4408" s="41">
        <v>0.375</v>
      </c>
      <c r="J4408" s="41">
        <v>0.1875</v>
      </c>
      <c r="K4408" s="41">
        <v>0.4375</v>
      </c>
      <c r="L4408" s="41"/>
      <c r="M4408" s="74">
        <v>-4.889753459</v>
      </c>
    </row>
    <row r="4409">
      <c r="A4409" s="1" t="s">
        <v>484</v>
      </c>
      <c r="B4409" s="38">
        <v>682847.0</v>
      </c>
      <c r="C4409" s="72">
        <v>45823.0</v>
      </c>
      <c r="D4409" s="38">
        <v>103.0</v>
      </c>
      <c r="E4409" s="75"/>
      <c r="F4409" s="67">
        <v>4.677626532</v>
      </c>
      <c r="G4409" s="40">
        <v>3.07215495</v>
      </c>
      <c r="H4409" s="40"/>
      <c r="I4409" s="41">
        <v>0.427184466</v>
      </c>
      <c r="J4409" s="41">
        <v>0.145631068</v>
      </c>
      <c r="K4409" s="41">
        <v>0.427184466</v>
      </c>
      <c r="L4409" s="41"/>
      <c r="M4409" s="74">
        <v>0.727445318</v>
      </c>
    </row>
    <row r="4410">
      <c r="A4410" s="1" t="s">
        <v>155</v>
      </c>
      <c r="B4410" s="38">
        <v>592332.0</v>
      </c>
      <c r="C4410" s="72">
        <v>45928.0</v>
      </c>
      <c r="D4410" s="38">
        <v>73.0</v>
      </c>
      <c r="E4410" s="75"/>
      <c r="F4410" s="67">
        <v>4.67569297</v>
      </c>
      <c r="G4410" s="40">
        <v>2.177124929</v>
      </c>
      <c r="H4410" s="40"/>
      <c r="I4410" s="41">
        <v>0.356164384</v>
      </c>
      <c r="J4410" s="41">
        <v>0.232876712</v>
      </c>
      <c r="K4410" s="41">
        <v>0.410958904</v>
      </c>
      <c r="L4410" s="41"/>
      <c r="M4410" s="74">
        <v>-2.570425132</v>
      </c>
    </row>
    <row r="4411">
      <c r="A4411" s="1" t="s">
        <v>495</v>
      </c>
      <c r="B4411" s="38">
        <v>801403.0</v>
      </c>
      <c r="C4411" s="72">
        <v>45784.0</v>
      </c>
      <c r="D4411" s="38">
        <v>69.0</v>
      </c>
      <c r="E4411" s="75"/>
      <c r="F4411" s="67">
        <v>4.675504083</v>
      </c>
      <c r="G4411" s="40">
        <v>2.089932691</v>
      </c>
      <c r="H4411" s="40"/>
      <c r="I4411" s="41">
        <v>0.449275362</v>
      </c>
      <c r="J4411" s="41">
        <v>0.130434783</v>
      </c>
      <c r="K4411" s="41">
        <v>0.420289855</v>
      </c>
      <c r="L4411" s="41"/>
      <c r="M4411" s="74">
        <v>-0.792546594</v>
      </c>
    </row>
    <row r="4412">
      <c r="A4412" s="1" t="s">
        <v>461</v>
      </c>
      <c r="B4412" s="38">
        <v>673540.0</v>
      </c>
      <c r="C4412" s="72">
        <v>45766.0</v>
      </c>
      <c r="D4412" s="38">
        <v>87.0</v>
      </c>
      <c r="E4412" s="75"/>
      <c r="F4412" s="67">
        <v>4.674649185</v>
      </c>
      <c r="G4412" s="40">
        <v>2.596595391</v>
      </c>
      <c r="H4412" s="40"/>
      <c r="I4412" s="41">
        <v>0.367816092</v>
      </c>
      <c r="J4412" s="41">
        <v>0.229885057</v>
      </c>
      <c r="K4412" s="41">
        <v>0.402298851</v>
      </c>
      <c r="L4412" s="41"/>
      <c r="M4412" s="74">
        <v>1.447000914</v>
      </c>
    </row>
    <row r="4413">
      <c r="A4413" s="1" t="s">
        <v>153</v>
      </c>
      <c r="B4413" s="38">
        <v>669302.0</v>
      </c>
      <c r="C4413" s="72">
        <v>45846.0</v>
      </c>
      <c r="D4413" s="38">
        <v>87.0</v>
      </c>
      <c r="E4413" s="75"/>
      <c r="F4413" s="67">
        <v>4.673109083</v>
      </c>
      <c r="G4413" s="40">
        <v>2.621561979</v>
      </c>
      <c r="H4413" s="40"/>
      <c r="I4413" s="41">
        <v>0.356321839</v>
      </c>
      <c r="J4413" s="41">
        <v>0.252873563</v>
      </c>
      <c r="K4413" s="41">
        <v>0.390804598</v>
      </c>
      <c r="L4413" s="41"/>
      <c r="M4413" s="74">
        <v>-0.76932592</v>
      </c>
    </row>
    <row r="4414">
      <c r="A4414" s="1" t="s">
        <v>588</v>
      </c>
      <c r="B4414" s="38">
        <v>502043.0</v>
      </c>
      <c r="C4414" s="72">
        <v>45787.0</v>
      </c>
      <c r="D4414" s="38">
        <v>78.0</v>
      </c>
      <c r="E4414" s="75"/>
      <c r="F4414" s="67">
        <v>4.673101281</v>
      </c>
      <c r="G4414" s="40">
        <v>2.332380485</v>
      </c>
      <c r="H4414" s="40"/>
      <c r="I4414" s="41">
        <v>0.358974359</v>
      </c>
      <c r="J4414" s="41">
        <v>0.192307692</v>
      </c>
      <c r="K4414" s="41">
        <v>0.448717949</v>
      </c>
      <c r="L4414" s="41"/>
      <c r="M4414" s="74">
        <v>-2.82815798</v>
      </c>
    </row>
    <row r="4415">
      <c r="A4415" s="1" t="s">
        <v>476</v>
      </c>
      <c r="B4415" s="38">
        <v>500779.0</v>
      </c>
      <c r="C4415" s="72">
        <v>45864.0</v>
      </c>
      <c r="D4415" s="38">
        <v>97.0</v>
      </c>
      <c r="E4415" s="75"/>
      <c r="F4415" s="67">
        <v>4.67156423</v>
      </c>
      <c r="G4415" s="40">
        <v>2.932969499</v>
      </c>
      <c r="H4415" s="40"/>
      <c r="I4415" s="41">
        <v>0.422680412</v>
      </c>
      <c r="J4415" s="41">
        <v>0.206185567</v>
      </c>
      <c r="K4415" s="41">
        <v>0.371134021</v>
      </c>
      <c r="L4415" s="41"/>
      <c r="M4415" s="74">
        <v>0.06124809</v>
      </c>
    </row>
    <row r="4416">
      <c r="A4416" s="1" t="s">
        <v>470</v>
      </c>
      <c r="B4416" s="38">
        <v>681343.0</v>
      </c>
      <c r="C4416" s="72">
        <v>45882.0</v>
      </c>
      <c r="D4416" s="38">
        <v>88.0</v>
      </c>
      <c r="E4416" s="75"/>
      <c r="F4416" s="67">
        <v>4.670872618</v>
      </c>
      <c r="G4416" s="40">
        <v>2.64369294</v>
      </c>
      <c r="H4416" s="40"/>
      <c r="I4416" s="41">
        <v>0.443181818</v>
      </c>
      <c r="J4416" s="41">
        <v>0.181818182</v>
      </c>
      <c r="K4416" s="41">
        <v>0.375</v>
      </c>
      <c r="L4416" s="41"/>
      <c r="M4416" s="74">
        <v>3.484317759</v>
      </c>
    </row>
    <row r="4417">
      <c r="A4417" s="1" t="s">
        <v>303</v>
      </c>
      <c r="B4417" s="38">
        <v>592662.0</v>
      </c>
      <c r="C4417" s="72">
        <v>45858.0</v>
      </c>
      <c r="D4417" s="38">
        <v>95.0</v>
      </c>
      <c r="E4417" s="75"/>
      <c r="F4417" s="67">
        <v>4.670845082</v>
      </c>
      <c r="G4417" s="40">
        <v>2.79479744</v>
      </c>
      <c r="H4417" s="40"/>
      <c r="I4417" s="41">
        <v>0.4</v>
      </c>
      <c r="J4417" s="41">
        <v>0.105263158</v>
      </c>
      <c r="K4417" s="41">
        <v>0.494736842</v>
      </c>
      <c r="L4417" s="41"/>
      <c r="M4417" s="74">
        <v>-1.147702206</v>
      </c>
    </row>
    <row r="4418">
      <c r="A4418" s="1" t="s">
        <v>353</v>
      </c>
      <c r="B4418" s="38">
        <v>663903.0</v>
      </c>
      <c r="C4418" s="72">
        <v>45747.0</v>
      </c>
      <c r="D4418" s="38">
        <v>90.0</v>
      </c>
      <c r="E4418" s="75"/>
      <c r="F4418" s="67">
        <v>4.66965269</v>
      </c>
      <c r="G4418" s="40">
        <v>2.71039839</v>
      </c>
      <c r="H4418" s="40"/>
      <c r="I4418" s="41">
        <v>0.388888889</v>
      </c>
      <c r="J4418" s="41">
        <v>0.233333333</v>
      </c>
      <c r="K4418" s="41">
        <v>0.377777778</v>
      </c>
      <c r="L4418" s="41"/>
      <c r="M4418" s="74">
        <v>4.17150472</v>
      </c>
    </row>
    <row r="4419">
      <c r="A4419" s="1" t="s">
        <v>484</v>
      </c>
      <c r="B4419" s="38">
        <v>682847.0</v>
      </c>
      <c r="C4419" s="72">
        <v>45747.0</v>
      </c>
      <c r="D4419" s="38">
        <v>89.0</v>
      </c>
      <c r="E4419" s="75"/>
      <c r="F4419" s="67">
        <v>4.668703857</v>
      </c>
      <c r="G4419" s="40">
        <v>2.665396546</v>
      </c>
      <c r="H4419" s="40"/>
      <c r="I4419" s="41">
        <v>0.426966292</v>
      </c>
      <c r="J4419" s="41">
        <v>0.202247191</v>
      </c>
      <c r="K4419" s="41">
        <v>0.370786517</v>
      </c>
      <c r="L4419" s="41"/>
      <c r="M4419" s="74">
        <v>-4.066188721</v>
      </c>
    </row>
    <row r="4420">
      <c r="A4420" s="1" t="s">
        <v>464</v>
      </c>
      <c r="B4420" s="38">
        <v>615698.0</v>
      </c>
      <c r="C4420" s="72">
        <v>45885.0</v>
      </c>
      <c r="D4420" s="38">
        <v>76.0</v>
      </c>
      <c r="E4420" s="75"/>
      <c r="F4420" s="67">
        <v>4.66797147</v>
      </c>
      <c r="G4420" s="40">
        <v>2.275010858</v>
      </c>
      <c r="H4420" s="40"/>
      <c r="I4420" s="41">
        <v>0.289473684</v>
      </c>
      <c r="J4420" s="41">
        <v>0.315789474</v>
      </c>
      <c r="K4420" s="41">
        <v>0.394736842</v>
      </c>
      <c r="L4420" s="41"/>
      <c r="M4420" s="74">
        <v>-2.804841752</v>
      </c>
    </row>
    <row r="4421">
      <c r="A4421" s="1" t="s">
        <v>449</v>
      </c>
      <c r="B4421" s="38">
        <v>687223.0</v>
      </c>
      <c r="C4421" s="72">
        <v>45798.0</v>
      </c>
      <c r="D4421" s="38">
        <v>86.0</v>
      </c>
      <c r="E4421" s="75"/>
      <c r="F4421" s="67">
        <v>4.667926199</v>
      </c>
      <c r="G4421" s="40">
        <v>2.596900827</v>
      </c>
      <c r="H4421" s="40"/>
      <c r="I4421" s="41">
        <v>0.38372093</v>
      </c>
      <c r="J4421" s="41">
        <v>0.209302326</v>
      </c>
      <c r="K4421" s="41">
        <v>0.406976744</v>
      </c>
      <c r="L4421" s="41"/>
      <c r="M4421" s="74">
        <v>-5.63843668</v>
      </c>
    </row>
    <row r="4422">
      <c r="A4422" s="1" t="s">
        <v>516</v>
      </c>
      <c r="B4422" s="38">
        <v>700363.0</v>
      </c>
      <c r="C4422" s="72">
        <v>45746.0</v>
      </c>
      <c r="D4422" s="38">
        <v>68.0</v>
      </c>
      <c r="E4422" s="75"/>
      <c r="F4422" s="67">
        <v>4.666337636</v>
      </c>
      <c r="G4422" s="40">
        <v>2.036148281</v>
      </c>
      <c r="H4422" s="40"/>
      <c r="I4422" s="41">
        <v>0.397058824</v>
      </c>
      <c r="J4422" s="41">
        <v>0.073529412</v>
      </c>
      <c r="K4422" s="41">
        <v>0.529411765</v>
      </c>
      <c r="L4422" s="41"/>
      <c r="M4422" s="74">
        <v>-1.952229774</v>
      </c>
    </row>
    <row r="4423">
      <c r="A4423" s="1" t="s">
        <v>410</v>
      </c>
      <c r="B4423" s="38">
        <v>678394.0</v>
      </c>
      <c r="C4423" s="72">
        <v>45868.0</v>
      </c>
      <c r="D4423" s="38">
        <v>91.0</v>
      </c>
      <c r="E4423" s="75"/>
      <c r="F4423" s="67">
        <v>4.665121277</v>
      </c>
      <c r="G4423" s="40">
        <v>2.781656141</v>
      </c>
      <c r="H4423" s="40"/>
      <c r="I4423" s="41">
        <v>0.373626374</v>
      </c>
      <c r="J4423" s="41">
        <v>0.197802198</v>
      </c>
      <c r="K4423" s="41">
        <v>0.428571429</v>
      </c>
      <c r="L4423" s="41"/>
      <c r="M4423" s="74">
        <v>0.67091456</v>
      </c>
    </row>
    <row r="4424">
      <c r="A4424" s="1" t="s">
        <v>456</v>
      </c>
      <c r="B4424" s="38">
        <v>605135.0</v>
      </c>
      <c r="C4424" s="72">
        <v>45836.0</v>
      </c>
      <c r="D4424" s="38">
        <v>69.0</v>
      </c>
      <c r="E4424" s="75"/>
      <c r="F4424" s="67">
        <v>4.664828626</v>
      </c>
      <c r="G4424" s="40">
        <v>2.073734248</v>
      </c>
      <c r="H4424" s="40"/>
      <c r="I4424" s="41">
        <v>0.376811594</v>
      </c>
      <c r="J4424" s="41">
        <v>0.217391304</v>
      </c>
      <c r="K4424" s="41">
        <v>0.405797101</v>
      </c>
      <c r="L4424" s="41"/>
      <c r="M4424" s="74">
        <v>-3.178369193</v>
      </c>
    </row>
    <row r="4425">
      <c r="A4425" s="1" t="s">
        <v>300</v>
      </c>
      <c r="B4425" s="38">
        <v>506433.0</v>
      </c>
      <c r="C4425" s="72">
        <v>45850.0</v>
      </c>
      <c r="D4425" s="38">
        <v>81.0</v>
      </c>
      <c r="E4425" s="75"/>
      <c r="F4425" s="67">
        <v>4.662934193</v>
      </c>
      <c r="G4425" s="40">
        <v>2.441977566</v>
      </c>
      <c r="H4425" s="40"/>
      <c r="I4425" s="41">
        <v>0.419753086</v>
      </c>
      <c r="J4425" s="41">
        <v>0.135802469</v>
      </c>
      <c r="K4425" s="41">
        <v>0.444444444</v>
      </c>
      <c r="L4425" s="41"/>
      <c r="M4425" s="74">
        <v>-0.585125036</v>
      </c>
    </row>
    <row r="4426">
      <c r="A4426" s="1" t="s">
        <v>341</v>
      </c>
      <c r="B4426" s="38">
        <v>676962.0</v>
      </c>
      <c r="C4426" s="72">
        <v>45753.0</v>
      </c>
      <c r="D4426" s="38">
        <v>77.0</v>
      </c>
      <c r="E4426" s="75"/>
      <c r="F4426" s="67">
        <v>4.662858623</v>
      </c>
      <c r="G4426" s="40">
        <v>2.35850339</v>
      </c>
      <c r="H4426" s="40"/>
      <c r="I4426" s="41">
        <v>0.480519481</v>
      </c>
      <c r="J4426" s="41">
        <v>0.168831169</v>
      </c>
      <c r="K4426" s="41">
        <v>0.350649351</v>
      </c>
      <c r="L4426" s="41"/>
      <c r="M4426" s="74">
        <v>-2.167646754</v>
      </c>
    </row>
    <row r="4427">
      <c r="A4427" s="1" t="s">
        <v>476</v>
      </c>
      <c r="B4427" s="38">
        <v>500779.0</v>
      </c>
      <c r="C4427" s="72">
        <v>45903.0</v>
      </c>
      <c r="D4427" s="38">
        <v>91.0</v>
      </c>
      <c r="E4427" s="75"/>
      <c r="F4427" s="67">
        <v>4.662776411</v>
      </c>
      <c r="G4427" s="40">
        <v>2.749522085</v>
      </c>
      <c r="H4427" s="40"/>
      <c r="I4427" s="41">
        <v>0.384615385</v>
      </c>
      <c r="J4427" s="41">
        <v>0.252747253</v>
      </c>
      <c r="K4427" s="41">
        <v>0.362637363</v>
      </c>
      <c r="L4427" s="41"/>
      <c r="M4427" s="74">
        <v>-0.52535232</v>
      </c>
    </row>
    <row r="4428">
      <c r="A4428" s="1" t="s">
        <v>198</v>
      </c>
      <c r="B4428" s="38">
        <v>680736.0</v>
      </c>
      <c r="C4428" s="72">
        <v>45814.0</v>
      </c>
      <c r="D4428" s="38">
        <v>99.0</v>
      </c>
      <c r="E4428" s="75"/>
      <c r="F4428" s="67">
        <v>4.661714745</v>
      </c>
      <c r="G4428" s="40">
        <v>3.014743971</v>
      </c>
      <c r="H4428" s="40"/>
      <c r="I4428" s="41">
        <v>0.434343434</v>
      </c>
      <c r="J4428" s="41">
        <v>0.191919192</v>
      </c>
      <c r="K4428" s="41">
        <v>0.373737374</v>
      </c>
      <c r="L4428" s="41"/>
      <c r="M4428" s="74">
        <v>0.199230378</v>
      </c>
    </row>
    <row r="4429">
      <c r="A4429" s="1" t="s">
        <v>379</v>
      </c>
      <c r="B4429" s="38">
        <v>593423.0</v>
      </c>
      <c r="C4429" s="72">
        <v>45832.0</v>
      </c>
      <c r="D4429" s="38">
        <v>78.0</v>
      </c>
      <c r="E4429" s="75"/>
      <c r="F4429" s="67">
        <v>4.661322954</v>
      </c>
      <c r="G4429" s="40">
        <v>2.358062606</v>
      </c>
      <c r="H4429" s="40"/>
      <c r="I4429" s="41">
        <v>0.435897436</v>
      </c>
      <c r="J4429" s="41">
        <v>0.192307692</v>
      </c>
      <c r="K4429" s="41">
        <v>0.371794872</v>
      </c>
      <c r="L4429" s="41"/>
      <c r="M4429" s="74">
        <v>1.538435272</v>
      </c>
    </row>
    <row r="4430">
      <c r="A4430" s="1" t="s">
        <v>474</v>
      </c>
      <c r="B4430" s="38">
        <v>450203.0</v>
      </c>
      <c r="C4430" s="72">
        <v>45913.0</v>
      </c>
      <c r="D4430" s="38">
        <v>76.0</v>
      </c>
      <c r="E4430" s="75"/>
      <c r="F4430" s="67">
        <v>4.660959187</v>
      </c>
      <c r="G4430" s="40">
        <v>2.282875016</v>
      </c>
      <c r="H4430" s="40"/>
      <c r="I4430" s="41">
        <v>0.394736842</v>
      </c>
      <c r="J4430" s="41">
        <v>0.171052632</v>
      </c>
      <c r="K4430" s="41">
        <v>0.434210526</v>
      </c>
      <c r="L4430" s="41"/>
      <c r="M4430" s="74">
        <v>0.497065105</v>
      </c>
    </row>
    <row r="4431">
      <c r="A4431" s="1" t="s">
        <v>376</v>
      </c>
      <c r="B4431" s="38">
        <v>668909.0</v>
      </c>
      <c r="C4431" s="72">
        <v>45849.0</v>
      </c>
      <c r="D4431" s="38">
        <v>97.0</v>
      </c>
      <c r="E4431" s="75"/>
      <c r="F4431" s="67">
        <v>4.660871931</v>
      </c>
      <c r="G4431" s="40">
        <v>2.930458406</v>
      </c>
      <c r="H4431" s="40"/>
      <c r="I4431" s="41">
        <v>0.412371134</v>
      </c>
      <c r="J4431" s="41">
        <v>0.195876289</v>
      </c>
      <c r="K4431" s="41">
        <v>0.391752577</v>
      </c>
      <c r="L4431" s="41"/>
      <c r="M4431" s="74">
        <v>0.610620845</v>
      </c>
    </row>
    <row r="4432">
      <c r="A4432" s="1" t="s">
        <v>424</v>
      </c>
      <c r="B4432" s="38">
        <v>667755.0</v>
      </c>
      <c r="C4432" s="72">
        <v>45796.0</v>
      </c>
      <c r="D4432" s="38">
        <v>98.0</v>
      </c>
      <c r="E4432" s="75"/>
      <c r="F4432" s="67">
        <v>4.660686748</v>
      </c>
      <c r="G4432" s="40">
        <v>2.953920108</v>
      </c>
      <c r="H4432" s="40"/>
      <c r="I4432" s="41">
        <v>0.418367347</v>
      </c>
      <c r="J4432" s="41">
        <v>0.214285714</v>
      </c>
      <c r="K4432" s="41">
        <v>0.367346939</v>
      </c>
      <c r="L4432" s="41"/>
      <c r="M4432" s="74">
        <v>0.051610053</v>
      </c>
    </row>
    <row r="4433">
      <c r="A4433" s="1" t="s">
        <v>245</v>
      </c>
      <c r="B4433" s="38">
        <v>571578.0</v>
      </c>
      <c r="C4433" s="72">
        <v>45879.0</v>
      </c>
      <c r="D4433" s="38">
        <v>76.0</v>
      </c>
      <c r="E4433" s="75"/>
      <c r="F4433" s="67">
        <v>4.660059278</v>
      </c>
      <c r="G4433" s="40">
        <v>2.270283609</v>
      </c>
      <c r="H4433" s="40"/>
      <c r="I4433" s="41">
        <v>0.407894737</v>
      </c>
      <c r="J4433" s="41">
        <v>0.236842105</v>
      </c>
      <c r="K4433" s="41">
        <v>0.355263158</v>
      </c>
      <c r="L4433" s="41"/>
      <c r="M4433" s="74">
        <v>0.59683329</v>
      </c>
    </row>
    <row r="4434">
      <c r="A4434" s="1" t="s">
        <v>282</v>
      </c>
      <c r="B4434" s="38">
        <v>656302.0</v>
      </c>
      <c r="C4434" s="72">
        <v>45773.0</v>
      </c>
      <c r="D4434" s="38">
        <v>93.0</v>
      </c>
      <c r="E4434" s="75"/>
      <c r="F4434" s="67">
        <v>4.659541343</v>
      </c>
      <c r="G4434" s="40">
        <v>2.791154624</v>
      </c>
      <c r="H4434" s="40"/>
      <c r="I4434" s="41">
        <v>0.408602151</v>
      </c>
      <c r="J4434" s="41">
        <v>0.182795699</v>
      </c>
      <c r="K4434" s="41">
        <v>0.408602151</v>
      </c>
      <c r="L4434" s="41"/>
      <c r="M4434" s="74">
        <v>-2.423328914</v>
      </c>
    </row>
    <row r="4435">
      <c r="A4435" s="1" t="s">
        <v>464</v>
      </c>
      <c r="B4435" s="38">
        <v>615698.0</v>
      </c>
      <c r="C4435" s="72">
        <v>45863.0</v>
      </c>
      <c r="D4435" s="38">
        <v>63.0</v>
      </c>
      <c r="E4435" s="75"/>
      <c r="F4435" s="67">
        <v>4.658304595</v>
      </c>
      <c r="G4435" s="40">
        <v>1.931669544</v>
      </c>
      <c r="H4435" s="40"/>
      <c r="I4435" s="41">
        <v>0.428571429</v>
      </c>
      <c r="J4435" s="41">
        <v>0.142857143</v>
      </c>
      <c r="K4435" s="41">
        <v>0.428571429</v>
      </c>
      <c r="L4435" s="41"/>
      <c r="M4435" s="74">
        <v>1.101390647</v>
      </c>
    </row>
    <row r="4436">
      <c r="A4436" s="1" t="s">
        <v>343</v>
      </c>
      <c r="B4436" s="38">
        <v>682243.0</v>
      </c>
      <c r="C4436" s="72">
        <v>45745.0</v>
      </c>
      <c r="D4436" s="38">
        <v>89.0</v>
      </c>
      <c r="E4436" s="75"/>
      <c r="F4436" s="67">
        <v>4.658230359</v>
      </c>
      <c r="G4436" s="40">
        <v>2.67898612</v>
      </c>
      <c r="H4436" s="40"/>
      <c r="I4436" s="41">
        <v>0.415730337</v>
      </c>
      <c r="J4436" s="41">
        <v>0.134831461</v>
      </c>
      <c r="K4436" s="41">
        <v>0.449438202</v>
      </c>
      <c r="L4436" s="41"/>
      <c r="M4436" s="74">
        <v>-1.102060629</v>
      </c>
    </row>
    <row r="4437">
      <c r="A4437" s="1" t="s">
        <v>425</v>
      </c>
      <c r="B4437" s="38">
        <v>621244.0</v>
      </c>
      <c r="C4437" s="72">
        <v>45851.0</v>
      </c>
      <c r="D4437" s="38">
        <v>61.0</v>
      </c>
      <c r="E4437" s="75"/>
      <c r="F4437" s="67">
        <v>4.658170302</v>
      </c>
      <c r="G4437" s="40">
        <v>1.858769684</v>
      </c>
      <c r="H4437" s="40"/>
      <c r="I4437" s="41">
        <v>0.360655738</v>
      </c>
      <c r="J4437" s="41">
        <v>0.213114754</v>
      </c>
      <c r="K4437" s="41">
        <v>0.426229508</v>
      </c>
      <c r="L4437" s="41"/>
      <c r="M4437" s="74">
        <v>-1.12470211</v>
      </c>
    </row>
    <row r="4438">
      <c r="A4438" s="1" t="s">
        <v>492</v>
      </c>
      <c r="B4438" s="38">
        <v>671212.0</v>
      </c>
      <c r="C4438" s="72">
        <v>45878.0</v>
      </c>
      <c r="D4438" s="38">
        <v>85.0</v>
      </c>
      <c r="E4438" s="75"/>
      <c r="F4438" s="67">
        <v>4.657511997</v>
      </c>
      <c r="G4438" s="40">
        <v>2.557446889</v>
      </c>
      <c r="H4438" s="40"/>
      <c r="I4438" s="41">
        <v>0.423529412</v>
      </c>
      <c r="J4438" s="41">
        <v>0.188235294</v>
      </c>
      <c r="K4438" s="41">
        <v>0.388235294</v>
      </c>
      <c r="L4438" s="41"/>
      <c r="M4438" s="74">
        <v>0.754415113</v>
      </c>
    </row>
    <row r="4439">
      <c r="A4439" s="1" t="s">
        <v>187</v>
      </c>
      <c r="B4439" s="38">
        <v>641302.0</v>
      </c>
      <c r="C4439" s="72">
        <v>45761.0</v>
      </c>
      <c r="D4439" s="38">
        <v>80.0</v>
      </c>
      <c r="E4439" s="75"/>
      <c r="F4439" s="67">
        <v>4.657413565</v>
      </c>
      <c r="G4439" s="40">
        <v>2.429145993</v>
      </c>
      <c r="H4439" s="40"/>
      <c r="I4439" s="41">
        <v>0.45</v>
      </c>
      <c r="J4439" s="41">
        <v>0.125</v>
      </c>
      <c r="K4439" s="41">
        <v>0.425</v>
      </c>
      <c r="L4439" s="41"/>
      <c r="M4439" s="74">
        <v>-0.336345193</v>
      </c>
    </row>
    <row r="4440">
      <c r="A4440" s="1" t="s">
        <v>431</v>
      </c>
      <c r="B4440" s="38">
        <v>669203.0</v>
      </c>
      <c r="C4440" s="72">
        <v>45771.0</v>
      </c>
      <c r="D4440" s="38">
        <v>85.0</v>
      </c>
      <c r="E4440" s="75"/>
      <c r="F4440" s="67">
        <v>4.6567878</v>
      </c>
      <c r="G4440" s="40">
        <v>2.551225516</v>
      </c>
      <c r="H4440" s="40"/>
      <c r="I4440" s="41">
        <v>0.4</v>
      </c>
      <c r="J4440" s="41">
        <v>0.2</v>
      </c>
      <c r="K4440" s="41">
        <v>0.4</v>
      </c>
      <c r="L4440" s="41"/>
      <c r="M4440" s="74">
        <v>1.362788429</v>
      </c>
    </row>
    <row r="4441">
      <c r="A4441" s="1" t="s">
        <v>393</v>
      </c>
      <c r="B4441" s="38">
        <v>690953.0</v>
      </c>
      <c r="C4441" s="72">
        <v>45920.0</v>
      </c>
      <c r="D4441" s="38">
        <v>66.0</v>
      </c>
      <c r="E4441" s="75"/>
      <c r="F4441" s="67">
        <v>4.656522903</v>
      </c>
      <c r="G4441" s="40">
        <v>1.992143584</v>
      </c>
      <c r="H4441" s="40"/>
      <c r="I4441" s="41">
        <v>0.424242424</v>
      </c>
      <c r="J4441" s="41">
        <v>0.196969697</v>
      </c>
      <c r="K4441" s="41">
        <v>0.378787879</v>
      </c>
      <c r="L4441" s="41"/>
      <c r="M4441" s="74">
        <v>3.089283901</v>
      </c>
    </row>
    <row r="4442">
      <c r="A4442" s="1" t="s">
        <v>457</v>
      </c>
      <c r="B4442" s="38">
        <v>477132.0</v>
      </c>
      <c r="C4442" s="72">
        <v>45890.0</v>
      </c>
      <c r="D4442" s="38">
        <v>82.0</v>
      </c>
      <c r="E4442" s="75"/>
      <c r="F4442" s="67">
        <v>4.655866817</v>
      </c>
      <c r="G4442" s="40">
        <v>2.507706953</v>
      </c>
      <c r="H4442" s="40"/>
      <c r="I4442" s="41">
        <v>0.37804878</v>
      </c>
      <c r="J4442" s="41">
        <v>0.134146341</v>
      </c>
      <c r="K4442" s="41">
        <v>0.487804878</v>
      </c>
      <c r="L4442" s="41"/>
      <c r="M4442" s="74">
        <v>-0.830398863</v>
      </c>
    </row>
    <row r="4443">
      <c r="A4443" s="1" t="s">
        <v>301</v>
      </c>
      <c r="B4443" s="38">
        <v>656557.0</v>
      </c>
      <c r="C4443" s="72">
        <v>45789.0</v>
      </c>
      <c r="D4443" s="38">
        <v>69.0</v>
      </c>
      <c r="E4443" s="75"/>
      <c r="F4443" s="67">
        <v>4.654121178</v>
      </c>
      <c r="G4443" s="40">
        <v>2.09471101</v>
      </c>
      <c r="H4443" s="40"/>
      <c r="I4443" s="41">
        <v>0.405797101</v>
      </c>
      <c r="J4443" s="41">
        <v>0.202898551</v>
      </c>
      <c r="K4443" s="41">
        <v>0.391304348</v>
      </c>
      <c r="L4443" s="41"/>
      <c r="M4443" s="74">
        <v>-6.059476935</v>
      </c>
    </row>
    <row r="4444">
      <c r="A4444" s="1" t="s">
        <v>514</v>
      </c>
      <c r="B4444" s="38">
        <v>806185.0</v>
      </c>
      <c r="C4444" s="72">
        <v>45803.0</v>
      </c>
      <c r="D4444" s="38">
        <v>88.0</v>
      </c>
      <c r="E4444" s="75"/>
      <c r="F4444" s="67">
        <v>4.653487414</v>
      </c>
      <c r="G4444" s="40">
        <v>2.661392668</v>
      </c>
      <c r="H4444" s="40"/>
      <c r="I4444" s="41">
        <v>0.409090909</v>
      </c>
      <c r="J4444" s="41">
        <v>0.090909091</v>
      </c>
      <c r="K4444" s="41">
        <v>0.5</v>
      </c>
      <c r="L4444" s="41"/>
      <c r="M4444" s="74">
        <v>-0.794408105</v>
      </c>
    </row>
    <row r="4445">
      <c r="A4445" s="1" t="s">
        <v>389</v>
      </c>
      <c r="B4445" s="38">
        <v>682052.0</v>
      </c>
      <c r="C4445" s="72">
        <v>45864.0</v>
      </c>
      <c r="D4445" s="38">
        <v>93.0</v>
      </c>
      <c r="E4445" s="75"/>
      <c r="F4445" s="67">
        <v>4.653164551</v>
      </c>
      <c r="G4445" s="40">
        <v>2.785660845</v>
      </c>
      <c r="H4445" s="40"/>
      <c r="I4445" s="41">
        <v>0.408602151</v>
      </c>
      <c r="J4445" s="41">
        <v>0.11827957</v>
      </c>
      <c r="K4445" s="41">
        <v>0.47311828</v>
      </c>
      <c r="L4445" s="41"/>
      <c r="M4445" s="74">
        <v>3.108138824</v>
      </c>
    </row>
    <row r="4446">
      <c r="A4446" s="1" t="s">
        <v>173</v>
      </c>
      <c r="B4446" s="38">
        <v>641927.0</v>
      </c>
      <c r="C4446" s="72">
        <v>45820.0</v>
      </c>
      <c r="D4446" s="38">
        <v>98.0</v>
      </c>
      <c r="E4446" s="75"/>
      <c r="F4446" s="67">
        <v>4.652303488</v>
      </c>
      <c r="G4446" s="40">
        <v>3.010223587</v>
      </c>
      <c r="H4446" s="40"/>
      <c r="I4446" s="41">
        <v>0.428571429</v>
      </c>
      <c r="J4446" s="41">
        <v>0.163265306</v>
      </c>
      <c r="K4446" s="41">
        <v>0.408163265</v>
      </c>
      <c r="L4446" s="41"/>
      <c r="M4446" s="74">
        <v>-1.542451454</v>
      </c>
    </row>
    <row r="4447">
      <c r="A4447" s="1" t="s">
        <v>148</v>
      </c>
      <c r="B4447" s="38">
        <v>592866.0</v>
      </c>
      <c r="C4447" s="72">
        <v>45832.0</v>
      </c>
      <c r="D4447" s="38">
        <v>67.0</v>
      </c>
      <c r="E4447" s="75"/>
      <c r="F4447" s="67">
        <v>4.652219376</v>
      </c>
      <c r="G4447" s="40">
        <v>2.05309539</v>
      </c>
      <c r="H4447" s="40"/>
      <c r="I4447" s="41">
        <v>0.358208955</v>
      </c>
      <c r="J4447" s="41">
        <v>0.208955224</v>
      </c>
      <c r="K4447" s="41">
        <v>0.432835821</v>
      </c>
      <c r="L4447" s="41"/>
      <c r="M4447" s="74">
        <v>-3.722586616</v>
      </c>
    </row>
    <row r="4448">
      <c r="A4448" s="1" t="s">
        <v>472</v>
      </c>
      <c r="B4448" s="38">
        <v>675911.0</v>
      </c>
      <c r="C4448" s="72">
        <v>45811.0</v>
      </c>
      <c r="D4448" s="38">
        <v>83.0</v>
      </c>
      <c r="E4448" s="75"/>
      <c r="F4448" s="67">
        <v>4.651094021</v>
      </c>
      <c r="G4448" s="40">
        <v>2.536535034</v>
      </c>
      <c r="H4448" s="40"/>
      <c r="I4448" s="41">
        <v>0.325301205</v>
      </c>
      <c r="J4448" s="41">
        <v>0.21686747</v>
      </c>
      <c r="K4448" s="41">
        <v>0.457831325</v>
      </c>
      <c r="L4448" s="41"/>
      <c r="M4448" s="74">
        <v>-1.577702616</v>
      </c>
    </row>
    <row r="4449">
      <c r="A4449" s="1" t="s">
        <v>428</v>
      </c>
      <c r="B4449" s="38">
        <v>670102.0</v>
      </c>
      <c r="C4449" s="72">
        <v>45747.0</v>
      </c>
      <c r="D4449" s="38">
        <v>88.0</v>
      </c>
      <c r="E4449" s="75"/>
      <c r="F4449" s="67">
        <v>4.64949036</v>
      </c>
      <c r="G4449" s="40">
        <v>2.667916657</v>
      </c>
      <c r="H4449" s="40"/>
      <c r="I4449" s="41">
        <v>0.443181818</v>
      </c>
      <c r="J4449" s="41">
        <v>0.147727273</v>
      </c>
      <c r="K4449" s="41">
        <v>0.409090909</v>
      </c>
      <c r="L4449" s="41"/>
      <c r="M4449" s="74">
        <v>1.758082644</v>
      </c>
    </row>
    <row r="4450">
      <c r="A4450" s="1" t="s">
        <v>287</v>
      </c>
      <c r="B4450" s="38">
        <v>571945.0</v>
      </c>
      <c r="C4450" s="72">
        <v>45886.0</v>
      </c>
      <c r="D4450" s="38">
        <v>85.0</v>
      </c>
      <c r="E4450" s="75"/>
      <c r="F4450" s="67">
        <v>4.64943592</v>
      </c>
      <c r="G4450" s="40">
        <v>2.612897164</v>
      </c>
      <c r="H4450" s="40"/>
      <c r="I4450" s="41">
        <v>0.364705882</v>
      </c>
      <c r="J4450" s="41">
        <v>0.305882353</v>
      </c>
      <c r="K4450" s="41">
        <v>0.329411765</v>
      </c>
      <c r="L4450" s="41"/>
      <c r="M4450" s="74">
        <v>2.271586965</v>
      </c>
    </row>
    <row r="4451">
      <c r="A4451" s="1" t="s">
        <v>560</v>
      </c>
      <c r="B4451" s="38">
        <v>660730.0</v>
      </c>
      <c r="C4451" s="72">
        <v>45784.0</v>
      </c>
      <c r="D4451" s="38">
        <v>71.0</v>
      </c>
      <c r="E4451" s="75"/>
      <c r="F4451" s="67">
        <v>4.648196142</v>
      </c>
      <c r="G4451" s="40">
        <v>2.159416541</v>
      </c>
      <c r="H4451" s="40"/>
      <c r="I4451" s="41">
        <v>0.436619718</v>
      </c>
      <c r="J4451" s="41">
        <v>0.14084507</v>
      </c>
      <c r="K4451" s="41">
        <v>0.422535211</v>
      </c>
      <c r="L4451" s="41"/>
      <c r="M4451" s="74">
        <v>-1.642826574</v>
      </c>
    </row>
    <row r="4452">
      <c r="A4452" s="1" t="s">
        <v>316</v>
      </c>
      <c r="B4452" s="38">
        <v>656427.0</v>
      </c>
      <c r="C4452" s="72">
        <v>45859.0</v>
      </c>
      <c r="D4452" s="38">
        <v>78.0</v>
      </c>
      <c r="E4452" s="75"/>
      <c r="F4452" s="67">
        <v>4.647479835</v>
      </c>
      <c r="G4452" s="40">
        <v>2.36108947</v>
      </c>
      <c r="H4452" s="40"/>
      <c r="I4452" s="41">
        <v>0.371794872</v>
      </c>
      <c r="J4452" s="41">
        <v>0.166666667</v>
      </c>
      <c r="K4452" s="41">
        <v>0.461538462</v>
      </c>
      <c r="L4452" s="41"/>
      <c r="M4452" s="74">
        <v>-2.184375184</v>
      </c>
    </row>
    <row r="4453">
      <c r="A4453" s="1" t="s">
        <v>398</v>
      </c>
      <c r="B4453" s="38">
        <v>676282.0</v>
      </c>
      <c r="C4453" s="72">
        <v>45878.0</v>
      </c>
      <c r="D4453" s="38">
        <v>75.0</v>
      </c>
      <c r="E4453" s="75"/>
      <c r="F4453" s="67">
        <v>4.646833233</v>
      </c>
      <c r="G4453" s="40">
        <v>2.281792775</v>
      </c>
      <c r="H4453" s="40"/>
      <c r="I4453" s="41">
        <v>0.386666667</v>
      </c>
      <c r="J4453" s="41">
        <v>0.186666667</v>
      </c>
      <c r="K4453" s="41">
        <v>0.426666667</v>
      </c>
      <c r="L4453" s="41"/>
      <c r="M4453" s="74">
        <v>0.114509961</v>
      </c>
    </row>
    <row r="4454">
      <c r="A4454" s="1" t="s">
        <v>290</v>
      </c>
      <c r="B4454" s="38">
        <v>669461.0</v>
      </c>
      <c r="C4454" s="72">
        <v>45881.0</v>
      </c>
      <c r="D4454" s="38">
        <v>77.0</v>
      </c>
      <c r="E4454" s="75"/>
      <c r="F4454" s="67">
        <v>4.646584376</v>
      </c>
      <c r="G4454" s="40">
        <v>2.338547269</v>
      </c>
      <c r="H4454" s="40"/>
      <c r="I4454" s="41">
        <v>0.38961039</v>
      </c>
      <c r="J4454" s="41">
        <v>0.181818182</v>
      </c>
      <c r="K4454" s="41">
        <v>0.428571429</v>
      </c>
      <c r="L4454" s="41"/>
      <c r="M4454" s="74">
        <v>0.136011778</v>
      </c>
    </row>
    <row r="4455">
      <c r="A4455" s="1" t="s">
        <v>113</v>
      </c>
      <c r="B4455" s="38">
        <v>664285.0</v>
      </c>
      <c r="C4455" s="72">
        <v>45889.0</v>
      </c>
      <c r="D4455" s="38">
        <v>87.0</v>
      </c>
      <c r="E4455" s="75"/>
      <c r="F4455" s="67">
        <v>4.645920185</v>
      </c>
      <c r="G4455" s="40">
        <v>2.671446442</v>
      </c>
      <c r="H4455" s="40"/>
      <c r="I4455" s="41">
        <v>0.436781609</v>
      </c>
      <c r="J4455" s="41">
        <v>0.183908046</v>
      </c>
      <c r="K4455" s="41">
        <v>0.379310345</v>
      </c>
      <c r="L4455" s="41"/>
      <c r="M4455" s="74">
        <v>-1.18144167</v>
      </c>
    </row>
    <row r="4456">
      <c r="A4456" s="1" t="s">
        <v>466</v>
      </c>
      <c r="B4456" s="38">
        <v>687134.0</v>
      </c>
      <c r="C4456" s="72">
        <v>45872.0</v>
      </c>
      <c r="D4456" s="38">
        <v>87.0</v>
      </c>
      <c r="E4456" s="75"/>
      <c r="F4456" s="67">
        <v>4.643983009</v>
      </c>
      <c r="G4456" s="40">
        <v>2.708226339</v>
      </c>
      <c r="H4456" s="40"/>
      <c r="I4456" s="41">
        <v>0.436781609</v>
      </c>
      <c r="J4456" s="41">
        <v>0.206896552</v>
      </c>
      <c r="K4456" s="41">
        <v>0.356321839</v>
      </c>
      <c r="L4456" s="41"/>
      <c r="M4456" s="74">
        <v>-0.461426266</v>
      </c>
    </row>
    <row r="4457">
      <c r="A4457" s="1" t="s">
        <v>490</v>
      </c>
      <c r="B4457" s="38">
        <v>680573.0</v>
      </c>
      <c r="C4457" s="72">
        <v>45902.0</v>
      </c>
      <c r="D4457" s="38">
        <v>79.0</v>
      </c>
      <c r="E4457" s="75"/>
      <c r="F4457" s="67">
        <v>4.64389869</v>
      </c>
      <c r="G4457" s="40">
        <v>2.399435451</v>
      </c>
      <c r="H4457" s="40"/>
      <c r="I4457" s="41">
        <v>0.392405063</v>
      </c>
      <c r="J4457" s="41">
        <v>0.151898734</v>
      </c>
      <c r="K4457" s="41">
        <v>0.455696203</v>
      </c>
      <c r="L4457" s="41"/>
      <c r="M4457" s="74">
        <v>3.181243765</v>
      </c>
    </row>
    <row r="4458">
      <c r="A4458" s="1" t="s">
        <v>353</v>
      </c>
      <c r="B4458" s="38">
        <v>663903.0</v>
      </c>
      <c r="C4458" s="72">
        <v>45870.0</v>
      </c>
      <c r="D4458" s="38">
        <v>94.0</v>
      </c>
      <c r="E4458" s="75"/>
      <c r="F4458" s="67">
        <v>4.643022367</v>
      </c>
      <c r="G4458" s="40">
        <v>2.84830698</v>
      </c>
      <c r="H4458" s="40"/>
      <c r="I4458" s="41">
        <v>0.361702128</v>
      </c>
      <c r="J4458" s="41">
        <v>0.159574468</v>
      </c>
      <c r="K4458" s="41">
        <v>0.478723404</v>
      </c>
      <c r="L4458" s="41"/>
      <c r="M4458" s="74">
        <v>0.255598921</v>
      </c>
    </row>
    <row r="4459">
      <c r="A4459" s="1" t="s">
        <v>192</v>
      </c>
      <c r="B4459" s="38">
        <v>642232.0</v>
      </c>
      <c r="C4459" s="72">
        <v>45821.0</v>
      </c>
      <c r="D4459" s="38">
        <v>74.0</v>
      </c>
      <c r="E4459" s="75"/>
      <c r="F4459" s="67">
        <v>4.642005718</v>
      </c>
      <c r="G4459" s="40">
        <v>2.282492831</v>
      </c>
      <c r="H4459" s="40"/>
      <c r="I4459" s="41">
        <v>0.364864865</v>
      </c>
      <c r="J4459" s="41">
        <v>0.121621622</v>
      </c>
      <c r="K4459" s="41">
        <v>0.513513514</v>
      </c>
      <c r="L4459" s="41"/>
      <c r="M4459" s="74">
        <v>0.552022421</v>
      </c>
    </row>
    <row r="4460">
      <c r="A4460" s="1" t="s">
        <v>464</v>
      </c>
      <c r="B4460" s="38">
        <v>615698.0</v>
      </c>
      <c r="C4460" s="72">
        <v>45819.0</v>
      </c>
      <c r="D4460" s="38">
        <v>94.0</v>
      </c>
      <c r="E4460" s="75"/>
      <c r="F4460" s="67">
        <v>4.640890202</v>
      </c>
      <c r="G4460" s="40">
        <v>2.856432948</v>
      </c>
      <c r="H4460" s="40"/>
      <c r="I4460" s="41">
        <v>0.457446809</v>
      </c>
      <c r="J4460" s="41">
        <v>0.095744681</v>
      </c>
      <c r="K4460" s="41">
        <v>0.446808511</v>
      </c>
      <c r="L4460" s="41"/>
      <c r="M4460" s="74">
        <v>-1.13752205</v>
      </c>
    </row>
    <row r="4461">
      <c r="A4461" s="1" t="s">
        <v>382</v>
      </c>
      <c r="B4461" s="38">
        <v>656288.0</v>
      </c>
      <c r="C4461" s="72">
        <v>45823.0</v>
      </c>
      <c r="D4461" s="38">
        <v>88.0</v>
      </c>
      <c r="E4461" s="75"/>
      <c r="F4461" s="67">
        <v>4.640506648</v>
      </c>
      <c r="G4461" s="40">
        <v>2.674770136</v>
      </c>
      <c r="H4461" s="40"/>
      <c r="I4461" s="41">
        <v>0.454545455</v>
      </c>
      <c r="J4461" s="41">
        <v>0.147727273</v>
      </c>
      <c r="K4461" s="41">
        <v>0.397727273</v>
      </c>
      <c r="L4461" s="41"/>
      <c r="M4461" s="74">
        <v>0.54344867</v>
      </c>
    </row>
    <row r="4462">
      <c r="A4462" s="1" t="s">
        <v>356</v>
      </c>
      <c r="B4462" s="38">
        <v>680732.0</v>
      </c>
      <c r="C4462" s="72">
        <v>45859.0</v>
      </c>
      <c r="D4462" s="38">
        <v>84.0</v>
      </c>
      <c r="E4462" s="75"/>
      <c r="F4462" s="67">
        <v>4.640227917</v>
      </c>
      <c r="G4462" s="40">
        <v>2.558284489</v>
      </c>
      <c r="H4462" s="40"/>
      <c r="I4462" s="41">
        <v>0.357142857</v>
      </c>
      <c r="J4462" s="41">
        <v>0.166666667</v>
      </c>
      <c r="K4462" s="41">
        <v>0.476190476</v>
      </c>
      <c r="L4462" s="41"/>
      <c r="M4462" s="74">
        <v>0.758565322</v>
      </c>
    </row>
    <row r="4463">
      <c r="A4463" s="1" t="s">
        <v>366</v>
      </c>
      <c r="B4463" s="38">
        <v>656550.0</v>
      </c>
      <c r="C4463" s="72">
        <v>45747.0</v>
      </c>
      <c r="D4463" s="38">
        <v>88.0</v>
      </c>
      <c r="E4463" s="75"/>
      <c r="F4463" s="67">
        <v>4.639128889</v>
      </c>
      <c r="G4463" s="40">
        <v>2.709267385</v>
      </c>
      <c r="H4463" s="40"/>
      <c r="I4463" s="41">
        <v>0.431818182</v>
      </c>
      <c r="J4463" s="41">
        <v>0.147727273</v>
      </c>
      <c r="K4463" s="41">
        <v>0.420454545</v>
      </c>
      <c r="L4463" s="41"/>
      <c r="M4463" s="74">
        <v>1.480174101</v>
      </c>
    </row>
    <row r="4464">
      <c r="A4464" s="1" t="s">
        <v>473</v>
      </c>
      <c r="B4464" s="38">
        <v>527048.0</v>
      </c>
      <c r="C4464" s="72">
        <v>45882.0</v>
      </c>
      <c r="D4464" s="38">
        <v>65.0</v>
      </c>
      <c r="E4464" s="75"/>
      <c r="F4464" s="67">
        <v>4.6384352</v>
      </c>
      <c r="G4464" s="40">
        <v>1.980432885</v>
      </c>
      <c r="H4464" s="40"/>
      <c r="I4464" s="41">
        <v>0.307692308</v>
      </c>
      <c r="J4464" s="41">
        <v>0.307692308</v>
      </c>
      <c r="K4464" s="41">
        <v>0.384615385</v>
      </c>
      <c r="L4464" s="41"/>
      <c r="M4464" s="74">
        <v>1.920237146</v>
      </c>
    </row>
    <row r="4465">
      <c r="A4465" s="1" t="s">
        <v>496</v>
      </c>
      <c r="B4465" s="38">
        <v>694477.0</v>
      </c>
      <c r="C4465" s="72">
        <v>45753.0</v>
      </c>
      <c r="D4465" s="38">
        <v>78.0</v>
      </c>
      <c r="E4465" s="75"/>
      <c r="F4465" s="67">
        <v>4.638286524</v>
      </c>
      <c r="G4465" s="40">
        <v>2.401392636</v>
      </c>
      <c r="H4465" s="40"/>
      <c r="I4465" s="41">
        <v>0.371794872</v>
      </c>
      <c r="J4465" s="41">
        <v>0.205128205</v>
      </c>
      <c r="K4465" s="41">
        <v>0.423076923</v>
      </c>
      <c r="L4465" s="41"/>
      <c r="M4465" s="74">
        <v>1.640790727</v>
      </c>
    </row>
    <row r="4466">
      <c r="A4466" s="1" t="s">
        <v>423</v>
      </c>
      <c r="B4466" s="38">
        <v>656605.0</v>
      </c>
      <c r="C4466" s="72">
        <v>45829.0</v>
      </c>
      <c r="D4466" s="38">
        <v>99.0</v>
      </c>
      <c r="E4466" s="75"/>
      <c r="F4466" s="67">
        <v>4.637917851</v>
      </c>
      <c r="G4466" s="40">
        <v>3.021117097</v>
      </c>
      <c r="H4466" s="40"/>
      <c r="I4466" s="41">
        <v>0.343434343</v>
      </c>
      <c r="J4466" s="41">
        <v>0.222222222</v>
      </c>
      <c r="K4466" s="41">
        <v>0.434343434</v>
      </c>
      <c r="L4466" s="41"/>
      <c r="M4466" s="74">
        <v>3.826472119</v>
      </c>
    </row>
    <row r="4467">
      <c r="A4467" s="1" t="s">
        <v>347</v>
      </c>
      <c r="B4467" s="38">
        <v>700249.0</v>
      </c>
      <c r="C4467" s="72">
        <v>45891.0</v>
      </c>
      <c r="D4467" s="38">
        <v>92.0</v>
      </c>
      <c r="E4467" s="75"/>
      <c r="F4467" s="67">
        <v>4.637045514</v>
      </c>
      <c r="G4467" s="40">
        <v>2.804421713</v>
      </c>
      <c r="H4467" s="40"/>
      <c r="I4467" s="41">
        <v>0.434782609</v>
      </c>
      <c r="J4467" s="41">
        <v>0.152173913</v>
      </c>
      <c r="K4467" s="41">
        <v>0.413043478</v>
      </c>
      <c r="L4467" s="41"/>
      <c r="M4467" s="74">
        <v>0.944484422</v>
      </c>
    </row>
    <row r="4468">
      <c r="A4468" s="1" t="s">
        <v>302</v>
      </c>
      <c r="B4468" s="38">
        <v>681190.0</v>
      </c>
      <c r="C4468" s="72">
        <v>45768.0</v>
      </c>
      <c r="D4468" s="38">
        <v>67.0</v>
      </c>
      <c r="E4468" s="75"/>
      <c r="F4468" s="67">
        <v>4.636295602</v>
      </c>
      <c r="G4468" s="40">
        <v>2.026795027</v>
      </c>
      <c r="H4468" s="40"/>
      <c r="I4468" s="41">
        <v>0.373134328</v>
      </c>
      <c r="J4468" s="41">
        <v>0.223880597</v>
      </c>
      <c r="K4468" s="41">
        <v>0.402985075</v>
      </c>
      <c r="L4468" s="41"/>
      <c r="M4468" s="74">
        <v>-1.44112057</v>
      </c>
    </row>
    <row r="4469">
      <c r="A4469" s="1" t="s">
        <v>472</v>
      </c>
      <c r="B4469" s="38">
        <v>675911.0</v>
      </c>
      <c r="C4469" s="72">
        <v>45797.0</v>
      </c>
      <c r="D4469" s="38">
        <v>73.0</v>
      </c>
      <c r="E4469" s="75"/>
      <c r="F4469" s="67">
        <v>4.634549097</v>
      </c>
      <c r="G4469" s="40">
        <v>2.249482084</v>
      </c>
      <c r="H4469" s="40"/>
      <c r="I4469" s="41">
        <v>0.383561644</v>
      </c>
      <c r="J4469" s="41">
        <v>0.191780822</v>
      </c>
      <c r="K4469" s="41">
        <v>0.424657534</v>
      </c>
      <c r="L4469" s="41"/>
      <c r="M4469" s="74">
        <v>-2.303399548</v>
      </c>
    </row>
    <row r="4470">
      <c r="A4470" s="1" t="s">
        <v>421</v>
      </c>
      <c r="B4470" s="38">
        <v>607192.0</v>
      </c>
      <c r="C4470" s="72">
        <v>45753.0</v>
      </c>
      <c r="D4470" s="38">
        <v>60.0</v>
      </c>
      <c r="E4470" s="75"/>
      <c r="F4470" s="67">
        <v>4.634242426</v>
      </c>
      <c r="G4470" s="40">
        <v>1.851131848</v>
      </c>
      <c r="H4470" s="40"/>
      <c r="I4470" s="41">
        <v>0.433333333</v>
      </c>
      <c r="J4470" s="41">
        <v>0.1</v>
      </c>
      <c r="K4470" s="41">
        <v>0.466666667</v>
      </c>
      <c r="L4470" s="41"/>
      <c r="M4470" s="74">
        <v>0.631666973</v>
      </c>
    </row>
    <row r="4471">
      <c r="A4471" s="1" t="s">
        <v>423</v>
      </c>
      <c r="B4471" s="38">
        <v>656605.0</v>
      </c>
      <c r="C4471" s="72">
        <v>45823.0</v>
      </c>
      <c r="D4471" s="38">
        <v>84.0</v>
      </c>
      <c r="E4471" s="75"/>
      <c r="F4471" s="67">
        <v>4.633728488</v>
      </c>
      <c r="G4471" s="40">
        <v>2.597087175</v>
      </c>
      <c r="H4471" s="40"/>
      <c r="I4471" s="41">
        <v>0.416666667</v>
      </c>
      <c r="J4471" s="41">
        <v>0.142857143</v>
      </c>
      <c r="K4471" s="41">
        <v>0.44047619</v>
      </c>
      <c r="L4471" s="41"/>
      <c r="M4471" s="74">
        <v>2.942927733</v>
      </c>
    </row>
    <row r="4472">
      <c r="A4472" s="1" t="s">
        <v>413</v>
      </c>
      <c r="B4472" s="38">
        <v>671737.0</v>
      </c>
      <c r="C4472" s="72">
        <v>45764.0</v>
      </c>
      <c r="D4472" s="38">
        <v>90.0</v>
      </c>
      <c r="E4472" s="75"/>
      <c r="F4472" s="67">
        <v>4.632919821</v>
      </c>
      <c r="G4472" s="40">
        <v>2.745301599</v>
      </c>
      <c r="H4472" s="40"/>
      <c r="I4472" s="41">
        <v>0.466666667</v>
      </c>
      <c r="J4472" s="41">
        <v>0.1</v>
      </c>
      <c r="K4472" s="41">
        <v>0.433333333</v>
      </c>
      <c r="L4472" s="41"/>
      <c r="M4472" s="74">
        <v>-5.082527311</v>
      </c>
    </row>
    <row r="4473">
      <c r="A4473" s="1" t="s">
        <v>513</v>
      </c>
      <c r="B4473" s="38">
        <v>608566.0</v>
      </c>
      <c r="C4473" s="72">
        <v>45799.0</v>
      </c>
      <c r="D4473" s="38">
        <v>76.0</v>
      </c>
      <c r="E4473" s="75"/>
      <c r="F4473" s="67">
        <v>4.632626837</v>
      </c>
      <c r="G4473" s="40">
        <v>2.370600633</v>
      </c>
      <c r="H4473" s="40"/>
      <c r="I4473" s="41">
        <v>0.328947368</v>
      </c>
      <c r="J4473" s="41">
        <v>0.223684211</v>
      </c>
      <c r="K4473" s="41">
        <v>0.447368421</v>
      </c>
      <c r="L4473" s="41"/>
      <c r="M4473" s="74">
        <v>0.34782953</v>
      </c>
    </row>
    <row r="4474">
      <c r="A4474" s="1" t="s">
        <v>269</v>
      </c>
      <c r="B4474" s="38">
        <v>605280.0</v>
      </c>
      <c r="C4474" s="72">
        <v>45910.0</v>
      </c>
      <c r="D4474" s="38">
        <v>74.0</v>
      </c>
      <c r="E4474" s="75"/>
      <c r="F4474" s="67">
        <v>4.632565549</v>
      </c>
      <c r="G4474" s="40">
        <v>2.326090067</v>
      </c>
      <c r="H4474" s="40"/>
      <c r="I4474" s="41">
        <v>0.405405405</v>
      </c>
      <c r="J4474" s="41">
        <v>0.216216216</v>
      </c>
      <c r="K4474" s="41">
        <v>0.378378378</v>
      </c>
      <c r="L4474" s="41"/>
      <c r="M4474" s="74">
        <v>-1.030641506</v>
      </c>
    </row>
    <row r="4475">
      <c r="A4475" s="1" t="s">
        <v>452</v>
      </c>
      <c r="B4475" s="38">
        <v>607625.0</v>
      </c>
      <c r="C4475" s="72">
        <v>45882.0</v>
      </c>
      <c r="D4475" s="38">
        <v>90.0</v>
      </c>
      <c r="E4475" s="75"/>
      <c r="F4475" s="67">
        <v>4.632366257</v>
      </c>
      <c r="G4475" s="40">
        <v>2.782335938</v>
      </c>
      <c r="H4475" s="40"/>
      <c r="I4475" s="41">
        <v>0.411111111</v>
      </c>
      <c r="J4475" s="41">
        <v>0.188888889</v>
      </c>
      <c r="K4475" s="41">
        <v>0.4</v>
      </c>
      <c r="L4475" s="41"/>
      <c r="M4475" s="74">
        <v>-1.203423385</v>
      </c>
    </row>
    <row r="4476">
      <c r="A4476" s="1" t="s">
        <v>396</v>
      </c>
      <c r="B4476" s="38">
        <v>663623.0</v>
      </c>
      <c r="C4476" s="72">
        <v>45882.0</v>
      </c>
      <c r="D4476" s="38">
        <v>78.0</v>
      </c>
      <c r="E4476" s="75"/>
      <c r="F4476" s="67">
        <v>4.631006897</v>
      </c>
      <c r="G4476" s="40">
        <v>2.396480572</v>
      </c>
      <c r="H4476" s="40"/>
      <c r="I4476" s="41">
        <v>0.423076923</v>
      </c>
      <c r="J4476" s="41">
        <v>0.166666667</v>
      </c>
      <c r="K4476" s="41">
        <v>0.41025641</v>
      </c>
      <c r="L4476" s="41"/>
      <c r="M4476" s="74">
        <v>-3.341564132</v>
      </c>
    </row>
    <row r="4477">
      <c r="A4477" s="1" t="s">
        <v>454</v>
      </c>
      <c r="B4477" s="38">
        <v>674370.0</v>
      </c>
      <c r="C4477" s="72">
        <v>45745.0</v>
      </c>
      <c r="D4477" s="38">
        <v>80.0</v>
      </c>
      <c r="E4477" s="75"/>
      <c r="F4477" s="67">
        <v>4.631000857</v>
      </c>
      <c r="G4477" s="40">
        <v>2.446608965</v>
      </c>
      <c r="H4477" s="40"/>
      <c r="I4477" s="41">
        <v>0.4625</v>
      </c>
      <c r="J4477" s="41">
        <v>0.125</v>
      </c>
      <c r="K4477" s="41">
        <v>0.4125</v>
      </c>
      <c r="L4477" s="41"/>
      <c r="M4477" s="74">
        <v>0.36938105</v>
      </c>
    </row>
    <row r="4478">
      <c r="A4478" s="1" t="s">
        <v>335</v>
      </c>
      <c r="B4478" s="38">
        <v>663436.0</v>
      </c>
      <c r="C4478" s="72">
        <v>45874.0</v>
      </c>
      <c r="D4478" s="38">
        <v>92.0</v>
      </c>
      <c r="E4478" s="75"/>
      <c r="F4478" s="67">
        <v>4.63088669</v>
      </c>
      <c r="G4478" s="40">
        <v>2.844517084</v>
      </c>
      <c r="H4478" s="40"/>
      <c r="I4478" s="41">
        <v>0.380434783</v>
      </c>
      <c r="J4478" s="41">
        <v>0.195652174</v>
      </c>
      <c r="K4478" s="41">
        <v>0.423913043</v>
      </c>
      <c r="L4478" s="41"/>
      <c r="M4478" s="74">
        <v>-1.706684484</v>
      </c>
    </row>
    <row r="4479">
      <c r="A4479" s="1" t="s">
        <v>423</v>
      </c>
      <c r="B4479" s="38">
        <v>656605.0</v>
      </c>
      <c r="C4479" s="72">
        <v>45888.0</v>
      </c>
      <c r="D4479" s="38">
        <v>80.0</v>
      </c>
      <c r="E4479" s="75"/>
      <c r="F4479" s="67">
        <v>4.629621292</v>
      </c>
      <c r="G4479" s="40">
        <v>2.429631412</v>
      </c>
      <c r="H4479" s="40"/>
      <c r="I4479" s="41">
        <v>0.4375</v>
      </c>
      <c r="J4479" s="41">
        <v>0.125</v>
      </c>
      <c r="K4479" s="41">
        <v>0.4375</v>
      </c>
      <c r="L4479" s="41"/>
      <c r="M4479" s="74">
        <v>-2.792827075</v>
      </c>
    </row>
    <row r="4480">
      <c r="A4480" s="1" t="s">
        <v>597</v>
      </c>
      <c r="B4480" s="38">
        <v>687931.0</v>
      </c>
      <c r="C4480" s="72">
        <v>45866.0</v>
      </c>
      <c r="D4480" s="38">
        <v>84.0</v>
      </c>
      <c r="E4480" s="75"/>
      <c r="F4480" s="67">
        <v>4.627121704</v>
      </c>
      <c r="G4480" s="40">
        <v>2.586154028</v>
      </c>
      <c r="H4480" s="40"/>
      <c r="I4480" s="41">
        <v>0.392857143</v>
      </c>
      <c r="J4480" s="41">
        <v>0.154761905</v>
      </c>
      <c r="K4480" s="41">
        <v>0.452380952</v>
      </c>
      <c r="L4480" s="41"/>
      <c r="M4480" s="74">
        <v>-0.538377171</v>
      </c>
    </row>
    <row r="4481">
      <c r="A4481" s="1" t="s">
        <v>420</v>
      </c>
      <c r="B4481" s="38">
        <v>547179.0</v>
      </c>
      <c r="C4481" s="72">
        <v>45885.0</v>
      </c>
      <c r="D4481" s="38">
        <v>79.0</v>
      </c>
      <c r="E4481" s="75"/>
      <c r="F4481" s="67">
        <v>4.625513921</v>
      </c>
      <c r="G4481" s="40">
        <v>2.453452735</v>
      </c>
      <c r="H4481" s="40"/>
      <c r="I4481" s="41">
        <v>0.392405063</v>
      </c>
      <c r="J4481" s="41">
        <v>0.139240506</v>
      </c>
      <c r="K4481" s="41">
        <v>0.46835443</v>
      </c>
      <c r="L4481" s="41"/>
      <c r="M4481" s="74">
        <v>1.914058686</v>
      </c>
    </row>
    <row r="4482">
      <c r="A4482" s="1" t="s">
        <v>361</v>
      </c>
      <c r="B4482" s="38">
        <v>686563.0</v>
      </c>
      <c r="C4482" s="72">
        <v>45843.0</v>
      </c>
      <c r="D4482" s="38">
        <v>77.0</v>
      </c>
      <c r="E4482" s="75"/>
      <c r="F4482" s="67">
        <v>4.624633393</v>
      </c>
      <c r="G4482" s="40">
        <v>2.406593642</v>
      </c>
      <c r="H4482" s="40"/>
      <c r="I4482" s="41">
        <v>0.415584416</v>
      </c>
      <c r="J4482" s="41">
        <v>0.194805195</v>
      </c>
      <c r="K4482" s="41">
        <v>0.38961039</v>
      </c>
      <c r="L4482" s="41"/>
      <c r="M4482" s="74">
        <v>-3.581672699</v>
      </c>
    </row>
    <row r="4483">
      <c r="A4483" s="1" t="s">
        <v>450</v>
      </c>
      <c r="B4483" s="38">
        <v>682990.0</v>
      </c>
      <c r="C4483" s="72">
        <v>45790.0</v>
      </c>
      <c r="D4483" s="38">
        <v>65.0</v>
      </c>
      <c r="E4483" s="75"/>
      <c r="F4483" s="67">
        <v>4.622324523</v>
      </c>
      <c r="G4483" s="40">
        <v>2.015582586</v>
      </c>
      <c r="H4483" s="40"/>
      <c r="I4483" s="41">
        <v>0.323076923</v>
      </c>
      <c r="J4483" s="41">
        <v>0.184615385</v>
      </c>
      <c r="K4483" s="41">
        <v>0.492307692</v>
      </c>
      <c r="L4483" s="41"/>
      <c r="M4483" s="74">
        <v>1.25602549</v>
      </c>
    </row>
    <row r="4484">
      <c r="A4484" s="1" t="s">
        <v>349</v>
      </c>
      <c r="B4484" s="38">
        <v>676961.0</v>
      </c>
      <c r="C4484" s="72">
        <v>45830.0</v>
      </c>
      <c r="D4484" s="38">
        <v>69.0</v>
      </c>
      <c r="E4484" s="75"/>
      <c r="F4484" s="67">
        <v>4.62211383</v>
      </c>
      <c r="G4484" s="40">
        <v>2.176635433</v>
      </c>
      <c r="H4484" s="40"/>
      <c r="I4484" s="41">
        <v>0.376811594</v>
      </c>
      <c r="J4484" s="41">
        <v>0.217391304</v>
      </c>
      <c r="K4484" s="41">
        <v>0.405797101</v>
      </c>
      <c r="L4484" s="41"/>
      <c r="M4484" s="74">
        <v>-4.372657155</v>
      </c>
    </row>
    <row r="4485">
      <c r="A4485" s="1" t="s">
        <v>419</v>
      </c>
      <c r="B4485" s="38">
        <v>681857.0</v>
      </c>
      <c r="C4485" s="72">
        <v>45781.0</v>
      </c>
      <c r="D4485" s="38">
        <v>94.0</v>
      </c>
      <c r="E4485" s="75"/>
      <c r="F4485" s="67">
        <v>4.620751764</v>
      </c>
      <c r="G4485" s="40">
        <v>2.904132928</v>
      </c>
      <c r="H4485" s="40"/>
      <c r="I4485" s="41">
        <v>0.404255319</v>
      </c>
      <c r="J4485" s="41">
        <v>0.14893617</v>
      </c>
      <c r="K4485" s="41">
        <v>0.446808511</v>
      </c>
      <c r="L4485" s="41"/>
      <c r="M4485" s="74">
        <v>2.291309365</v>
      </c>
    </row>
    <row r="4486">
      <c r="A4486" s="1" t="s">
        <v>398</v>
      </c>
      <c r="B4486" s="38">
        <v>676282.0</v>
      </c>
      <c r="C4486" s="72">
        <v>45841.0</v>
      </c>
      <c r="D4486" s="38">
        <v>65.0</v>
      </c>
      <c r="E4486" s="75"/>
      <c r="F4486" s="67">
        <v>4.62053677</v>
      </c>
      <c r="G4486" s="40">
        <v>1.987384411</v>
      </c>
      <c r="H4486" s="40"/>
      <c r="I4486" s="41">
        <v>0.415384615</v>
      </c>
      <c r="J4486" s="41">
        <v>0.184615385</v>
      </c>
      <c r="K4486" s="41">
        <v>0.4</v>
      </c>
      <c r="L4486" s="41"/>
      <c r="M4486" s="74">
        <v>1.628439109</v>
      </c>
    </row>
    <row r="4487">
      <c r="A4487" s="1" t="s">
        <v>323</v>
      </c>
      <c r="B4487" s="38">
        <v>691587.0</v>
      </c>
      <c r="C4487" s="72">
        <v>45835.0</v>
      </c>
      <c r="D4487" s="38">
        <v>85.0</v>
      </c>
      <c r="E4487" s="75"/>
      <c r="F4487" s="67">
        <v>4.620169017</v>
      </c>
      <c r="G4487" s="40">
        <v>2.603448298</v>
      </c>
      <c r="H4487" s="40"/>
      <c r="I4487" s="41">
        <v>0.423529412</v>
      </c>
      <c r="J4487" s="41">
        <v>0.164705882</v>
      </c>
      <c r="K4487" s="41">
        <v>0.411764706</v>
      </c>
      <c r="L4487" s="41"/>
      <c r="M4487" s="74">
        <v>2.330178096</v>
      </c>
    </row>
    <row r="4488">
      <c r="A4488" s="1" t="s">
        <v>411</v>
      </c>
      <c r="B4488" s="38">
        <v>605288.0</v>
      </c>
      <c r="C4488" s="72">
        <v>45815.0</v>
      </c>
      <c r="D4488" s="38">
        <v>90.0</v>
      </c>
      <c r="E4488" s="75"/>
      <c r="F4488" s="67">
        <v>4.618852921</v>
      </c>
      <c r="G4488" s="40">
        <v>2.783862919</v>
      </c>
      <c r="H4488" s="40"/>
      <c r="I4488" s="41">
        <v>0.355555556</v>
      </c>
      <c r="J4488" s="41">
        <v>0.2</v>
      </c>
      <c r="K4488" s="41">
        <v>0.444444444</v>
      </c>
      <c r="L4488" s="41"/>
      <c r="M4488" s="74">
        <v>-0.672999617</v>
      </c>
    </row>
    <row r="4489">
      <c r="A4489" s="1" t="s">
        <v>336</v>
      </c>
      <c r="B4489" s="38">
        <v>605488.0</v>
      </c>
      <c r="C4489" s="72">
        <v>45807.0</v>
      </c>
      <c r="D4489" s="38">
        <v>69.0</v>
      </c>
      <c r="E4489" s="75"/>
      <c r="F4489" s="67">
        <v>4.617635003</v>
      </c>
      <c r="G4489" s="40">
        <v>2.132718215</v>
      </c>
      <c r="H4489" s="40"/>
      <c r="I4489" s="41">
        <v>0.405797101</v>
      </c>
      <c r="J4489" s="41">
        <v>0.173913043</v>
      </c>
      <c r="K4489" s="41">
        <v>0.420289855</v>
      </c>
      <c r="L4489" s="41"/>
      <c r="M4489" s="74">
        <v>-2.573695864</v>
      </c>
    </row>
    <row r="4490">
      <c r="A4490" s="1" t="s">
        <v>130</v>
      </c>
      <c r="B4490" s="38">
        <v>666200.0</v>
      </c>
      <c r="C4490" s="72">
        <v>45842.0</v>
      </c>
      <c r="D4490" s="38">
        <v>60.0</v>
      </c>
      <c r="E4490" s="75"/>
      <c r="F4490" s="67">
        <v>4.617107467</v>
      </c>
      <c r="G4490" s="40">
        <v>1.874973257</v>
      </c>
      <c r="H4490" s="40"/>
      <c r="I4490" s="41">
        <v>0.383333333</v>
      </c>
      <c r="J4490" s="41">
        <v>0.2</v>
      </c>
      <c r="K4490" s="41">
        <v>0.416666667</v>
      </c>
      <c r="L4490" s="41"/>
      <c r="M4490" s="74">
        <v>-2.926879573</v>
      </c>
    </row>
    <row r="4491">
      <c r="A4491" s="1" t="s">
        <v>428</v>
      </c>
      <c r="B4491" s="38">
        <v>670102.0</v>
      </c>
      <c r="C4491" s="72">
        <v>45816.0</v>
      </c>
      <c r="D4491" s="38">
        <v>88.0</v>
      </c>
      <c r="E4491" s="75"/>
      <c r="F4491" s="67">
        <v>4.616638398</v>
      </c>
      <c r="G4491" s="40">
        <v>2.701194257</v>
      </c>
      <c r="H4491" s="40"/>
      <c r="I4491" s="41">
        <v>0.465909091</v>
      </c>
      <c r="J4491" s="41">
        <v>0.090909091</v>
      </c>
      <c r="K4491" s="41">
        <v>0.443181818</v>
      </c>
      <c r="L4491" s="41"/>
      <c r="M4491" s="74">
        <v>-1.054973394</v>
      </c>
    </row>
    <row r="4492">
      <c r="A4492" s="1" t="s">
        <v>368</v>
      </c>
      <c r="B4492" s="38">
        <v>593958.0</v>
      </c>
      <c r="C4492" s="72">
        <v>45921.0</v>
      </c>
      <c r="D4492" s="38">
        <v>95.0</v>
      </c>
      <c r="E4492" s="75"/>
      <c r="F4492" s="67">
        <v>4.615989379</v>
      </c>
      <c r="G4492" s="40">
        <v>2.983527241</v>
      </c>
      <c r="H4492" s="40"/>
      <c r="I4492" s="41">
        <v>0.442105263</v>
      </c>
      <c r="J4492" s="41">
        <v>0.157894737</v>
      </c>
      <c r="K4492" s="41">
        <v>0.4</v>
      </c>
      <c r="L4492" s="41"/>
      <c r="M4492" s="74">
        <v>-0.2030482</v>
      </c>
    </row>
    <row r="4493">
      <c r="A4493" s="1" t="s">
        <v>269</v>
      </c>
      <c r="B4493" s="38">
        <v>605280.0</v>
      </c>
      <c r="C4493" s="72">
        <v>45840.0</v>
      </c>
      <c r="D4493" s="38">
        <v>89.0</v>
      </c>
      <c r="E4493" s="75"/>
      <c r="F4493" s="67">
        <v>4.615869915</v>
      </c>
      <c r="G4493" s="40">
        <v>2.765592825</v>
      </c>
      <c r="H4493" s="40"/>
      <c r="I4493" s="41">
        <v>0.382022472</v>
      </c>
      <c r="J4493" s="41">
        <v>0.168539326</v>
      </c>
      <c r="K4493" s="41">
        <v>0.449438202</v>
      </c>
      <c r="L4493" s="41"/>
      <c r="M4493" s="74">
        <v>3.159886123</v>
      </c>
    </row>
    <row r="4494">
      <c r="A4494" s="1" t="s">
        <v>130</v>
      </c>
      <c r="B4494" s="38">
        <v>666200.0</v>
      </c>
      <c r="C4494" s="72">
        <v>45797.0</v>
      </c>
      <c r="D4494" s="38">
        <v>102.0</v>
      </c>
      <c r="E4494" s="75"/>
      <c r="F4494" s="67">
        <v>4.615720173</v>
      </c>
      <c r="G4494" s="40">
        <v>3.168011738</v>
      </c>
      <c r="H4494" s="40"/>
      <c r="I4494" s="41">
        <v>0.352941176</v>
      </c>
      <c r="J4494" s="41">
        <v>0.323529412</v>
      </c>
      <c r="K4494" s="41">
        <v>0.323529412</v>
      </c>
      <c r="L4494" s="41"/>
      <c r="M4494" s="74">
        <v>4.630493945</v>
      </c>
    </row>
    <row r="4495">
      <c r="A4495" s="1" t="s">
        <v>454</v>
      </c>
      <c r="B4495" s="38">
        <v>674370.0</v>
      </c>
      <c r="C4495" s="72">
        <v>45780.0</v>
      </c>
      <c r="D4495" s="38">
        <v>69.0</v>
      </c>
      <c r="E4495" s="75"/>
      <c r="F4495" s="67">
        <v>4.615132224</v>
      </c>
      <c r="G4495" s="40">
        <v>2.155206878</v>
      </c>
      <c r="H4495" s="40"/>
      <c r="I4495" s="41">
        <v>0.362318841</v>
      </c>
      <c r="J4495" s="41">
        <v>0.188405797</v>
      </c>
      <c r="K4495" s="41">
        <v>0.449275362</v>
      </c>
      <c r="L4495" s="41"/>
      <c r="M4495" s="74">
        <v>0.649830393</v>
      </c>
    </row>
    <row r="4496">
      <c r="A4496" s="1" t="s">
        <v>509</v>
      </c>
      <c r="B4496" s="38">
        <v>676106.0</v>
      </c>
      <c r="C4496" s="72">
        <v>45770.0</v>
      </c>
      <c r="D4496" s="38">
        <v>90.0</v>
      </c>
      <c r="E4496" s="75"/>
      <c r="F4496" s="67">
        <v>4.615060293</v>
      </c>
      <c r="G4496" s="40">
        <v>2.831555918</v>
      </c>
      <c r="H4496" s="40"/>
      <c r="I4496" s="41">
        <v>0.388888889</v>
      </c>
      <c r="J4496" s="41">
        <v>0.222222222</v>
      </c>
      <c r="K4496" s="41">
        <v>0.388888889</v>
      </c>
      <c r="L4496" s="41"/>
      <c r="M4496" s="74">
        <v>0.853724149</v>
      </c>
    </row>
    <row r="4497">
      <c r="A4497" s="1" t="s">
        <v>434</v>
      </c>
      <c r="B4497" s="38">
        <v>690990.0</v>
      </c>
      <c r="C4497" s="72">
        <v>45898.0</v>
      </c>
      <c r="D4497" s="38">
        <v>68.0</v>
      </c>
      <c r="E4497" s="75"/>
      <c r="F4497" s="67">
        <v>4.614842703</v>
      </c>
      <c r="G4497" s="40">
        <v>2.137705783</v>
      </c>
      <c r="H4497" s="40"/>
      <c r="I4497" s="41">
        <v>0.338235294</v>
      </c>
      <c r="J4497" s="41">
        <v>0.147058824</v>
      </c>
      <c r="K4497" s="41">
        <v>0.514705882</v>
      </c>
      <c r="L4497" s="41"/>
      <c r="M4497" s="74">
        <v>-1.377930293</v>
      </c>
    </row>
    <row r="4498">
      <c r="A4498" s="1" t="s">
        <v>474</v>
      </c>
      <c r="B4498" s="38">
        <v>450203.0</v>
      </c>
      <c r="C4498" s="72">
        <v>45755.0</v>
      </c>
      <c r="D4498" s="38">
        <v>86.0</v>
      </c>
      <c r="E4498" s="75"/>
      <c r="F4498" s="67">
        <v>4.614700275</v>
      </c>
      <c r="G4498" s="40">
        <v>2.706822959</v>
      </c>
      <c r="H4498" s="40"/>
      <c r="I4498" s="41">
        <v>0.395348837</v>
      </c>
      <c r="J4498" s="41">
        <v>0.209302326</v>
      </c>
      <c r="K4498" s="41">
        <v>0.395348837</v>
      </c>
      <c r="L4498" s="41"/>
      <c r="M4498" s="74">
        <v>0.441886793</v>
      </c>
    </row>
    <row r="4499">
      <c r="A4499" s="1" t="s">
        <v>260</v>
      </c>
      <c r="B4499" s="38">
        <v>694462.0</v>
      </c>
      <c r="C4499" s="72">
        <v>45923.0</v>
      </c>
      <c r="D4499" s="38">
        <v>90.0</v>
      </c>
      <c r="E4499" s="75"/>
      <c r="F4499" s="67">
        <v>4.614452964</v>
      </c>
      <c r="G4499" s="40">
        <v>2.806400256</v>
      </c>
      <c r="H4499" s="40"/>
      <c r="I4499" s="41">
        <v>0.366666667</v>
      </c>
      <c r="J4499" s="41">
        <v>0.244444444</v>
      </c>
      <c r="K4499" s="41">
        <v>0.388888889</v>
      </c>
      <c r="L4499" s="41"/>
      <c r="M4499" s="74">
        <v>0.647319085</v>
      </c>
    </row>
    <row r="4500">
      <c r="A4500" s="1" t="s">
        <v>477</v>
      </c>
      <c r="B4500" s="38">
        <v>677958.0</v>
      </c>
      <c r="C4500" s="72">
        <v>45812.0</v>
      </c>
      <c r="D4500" s="38">
        <v>64.0</v>
      </c>
      <c r="E4500" s="75"/>
      <c r="F4500" s="67">
        <v>4.614341738</v>
      </c>
      <c r="G4500" s="40">
        <v>2.000739838</v>
      </c>
      <c r="H4500" s="40"/>
      <c r="I4500" s="41">
        <v>0.453125</v>
      </c>
      <c r="J4500" s="41">
        <v>0.078125</v>
      </c>
      <c r="K4500" s="41">
        <v>0.46875</v>
      </c>
      <c r="L4500" s="41"/>
      <c r="M4500" s="74">
        <v>-2.1834423</v>
      </c>
    </row>
    <row r="4501">
      <c r="A4501" s="1" t="s">
        <v>449</v>
      </c>
      <c r="B4501" s="38">
        <v>687223.0</v>
      </c>
      <c r="C4501" s="72">
        <v>45870.0</v>
      </c>
      <c r="D4501" s="38">
        <v>62.0</v>
      </c>
      <c r="E4501" s="75"/>
      <c r="F4501" s="67">
        <v>4.613347835</v>
      </c>
      <c r="G4501" s="40">
        <v>1.939274373</v>
      </c>
      <c r="H4501" s="40"/>
      <c r="I4501" s="41">
        <v>0.419354839</v>
      </c>
      <c r="J4501" s="41">
        <v>0.161290323</v>
      </c>
      <c r="K4501" s="41">
        <v>0.419354839</v>
      </c>
      <c r="L4501" s="41"/>
      <c r="M4501" s="74">
        <v>-0.477481546</v>
      </c>
    </row>
    <row r="4502">
      <c r="A4502" s="1" t="s">
        <v>455</v>
      </c>
      <c r="B4502" s="38">
        <v>570632.0</v>
      </c>
      <c r="C4502" s="72">
        <v>45884.0</v>
      </c>
      <c r="D4502" s="38">
        <v>73.0</v>
      </c>
      <c r="E4502" s="75"/>
      <c r="F4502" s="67">
        <v>4.611717723</v>
      </c>
      <c r="G4502" s="40">
        <v>2.293684956</v>
      </c>
      <c r="H4502" s="40"/>
      <c r="I4502" s="41">
        <v>0.356164384</v>
      </c>
      <c r="J4502" s="41">
        <v>0.164383562</v>
      </c>
      <c r="K4502" s="41">
        <v>0.479452055</v>
      </c>
      <c r="L4502" s="41"/>
      <c r="M4502" s="74">
        <v>2.325253883</v>
      </c>
    </row>
    <row r="4503">
      <c r="A4503" s="1" t="s">
        <v>470</v>
      </c>
      <c r="B4503" s="38">
        <v>681343.0</v>
      </c>
      <c r="C4503" s="72">
        <v>45844.0</v>
      </c>
      <c r="D4503" s="38">
        <v>70.0</v>
      </c>
      <c r="E4503" s="75"/>
      <c r="F4503" s="67">
        <v>4.611095975</v>
      </c>
      <c r="G4503" s="40">
        <v>2.205872856</v>
      </c>
      <c r="H4503" s="40"/>
      <c r="I4503" s="41">
        <v>0.385714286</v>
      </c>
      <c r="J4503" s="41">
        <v>0.214285714</v>
      </c>
      <c r="K4503" s="41">
        <v>0.4</v>
      </c>
      <c r="L4503" s="41"/>
      <c r="M4503" s="74">
        <v>0.57529554</v>
      </c>
    </row>
    <row r="4504">
      <c r="A4504" s="1" t="s">
        <v>476</v>
      </c>
      <c r="B4504" s="38">
        <v>500779.0</v>
      </c>
      <c r="C4504" s="72">
        <v>45897.0</v>
      </c>
      <c r="D4504" s="38">
        <v>92.0</v>
      </c>
      <c r="E4504" s="75"/>
      <c r="F4504" s="67">
        <v>4.610117347</v>
      </c>
      <c r="G4504" s="40">
        <v>2.882014375</v>
      </c>
      <c r="H4504" s="40"/>
      <c r="I4504" s="41">
        <v>0.358695652</v>
      </c>
      <c r="J4504" s="41">
        <v>0.152173913</v>
      </c>
      <c r="K4504" s="41">
        <v>0.489130435</v>
      </c>
      <c r="L4504" s="41"/>
      <c r="M4504" s="74">
        <v>0.792800484</v>
      </c>
    </row>
    <row r="4505">
      <c r="A4505" s="1" t="s">
        <v>480</v>
      </c>
      <c r="B4505" s="38">
        <v>647336.0</v>
      </c>
      <c r="C4505" s="72">
        <v>45848.0</v>
      </c>
      <c r="D4505" s="38">
        <v>88.0</v>
      </c>
      <c r="E4505" s="75"/>
      <c r="F4505" s="67">
        <v>4.607812668</v>
      </c>
      <c r="G4505" s="40">
        <v>2.757046628</v>
      </c>
      <c r="H4505" s="40"/>
      <c r="I4505" s="41">
        <v>0.386363636</v>
      </c>
      <c r="J4505" s="41">
        <v>0.25</v>
      </c>
      <c r="K4505" s="41">
        <v>0.363636364</v>
      </c>
      <c r="L4505" s="41"/>
      <c r="M4505" s="74">
        <v>1.140840029</v>
      </c>
    </row>
    <row r="4506">
      <c r="A4506" s="1" t="s">
        <v>456</v>
      </c>
      <c r="B4506" s="38">
        <v>605135.0</v>
      </c>
      <c r="C4506" s="72">
        <v>45912.0</v>
      </c>
      <c r="D4506" s="38">
        <v>75.0</v>
      </c>
      <c r="E4506" s="75"/>
      <c r="F4506" s="67">
        <v>4.607423921</v>
      </c>
      <c r="G4506" s="40">
        <v>2.350588309</v>
      </c>
      <c r="H4506" s="40"/>
      <c r="I4506" s="41">
        <v>0.44</v>
      </c>
      <c r="J4506" s="41">
        <v>0.106666667</v>
      </c>
      <c r="K4506" s="41">
        <v>0.453333333</v>
      </c>
      <c r="L4506" s="41"/>
      <c r="M4506" s="74">
        <v>2.610576856</v>
      </c>
    </row>
    <row r="4507">
      <c r="A4507" s="1" t="s">
        <v>354</v>
      </c>
      <c r="B4507" s="38">
        <v>669022.0</v>
      </c>
      <c r="C4507" s="72">
        <v>45890.0</v>
      </c>
      <c r="D4507" s="38">
        <v>86.0</v>
      </c>
      <c r="E4507" s="75"/>
      <c r="F4507" s="67">
        <v>4.607400758</v>
      </c>
      <c r="G4507" s="40">
        <v>2.671156399</v>
      </c>
      <c r="H4507" s="40"/>
      <c r="I4507" s="41">
        <v>0.395348837</v>
      </c>
      <c r="J4507" s="41">
        <v>0.151162791</v>
      </c>
      <c r="K4507" s="41">
        <v>0.453488372</v>
      </c>
      <c r="L4507" s="41"/>
      <c r="M4507" s="74">
        <v>-2.402630234</v>
      </c>
    </row>
    <row r="4508">
      <c r="A4508" s="1" t="s">
        <v>97</v>
      </c>
      <c r="B4508" s="38">
        <v>656876.0</v>
      </c>
      <c r="C4508" s="72">
        <v>45907.0</v>
      </c>
      <c r="D4508" s="38">
        <v>81.0</v>
      </c>
      <c r="E4508" s="75"/>
      <c r="F4508" s="67">
        <v>4.606240832</v>
      </c>
      <c r="G4508" s="40">
        <v>2.504136228</v>
      </c>
      <c r="H4508" s="40"/>
      <c r="I4508" s="41">
        <v>0.432098765</v>
      </c>
      <c r="J4508" s="41">
        <v>0.12345679</v>
      </c>
      <c r="K4508" s="41">
        <v>0.444444444</v>
      </c>
      <c r="L4508" s="41"/>
      <c r="M4508" s="74">
        <v>0.914068739</v>
      </c>
    </row>
    <row r="4509">
      <c r="A4509" s="1" t="s">
        <v>456</v>
      </c>
      <c r="B4509" s="38">
        <v>605135.0</v>
      </c>
      <c r="C4509" s="72">
        <v>45884.0</v>
      </c>
      <c r="D4509" s="38">
        <v>98.0</v>
      </c>
      <c r="E4509" s="75"/>
      <c r="F4509" s="67">
        <v>4.605649084</v>
      </c>
      <c r="G4509" s="40">
        <v>3.009337594</v>
      </c>
      <c r="H4509" s="40"/>
      <c r="I4509" s="41">
        <v>0.418367347</v>
      </c>
      <c r="J4509" s="41">
        <v>0.112244898</v>
      </c>
      <c r="K4509" s="41">
        <v>0.469387755</v>
      </c>
      <c r="L4509" s="41"/>
      <c r="M4509" s="74">
        <v>1.010855846</v>
      </c>
    </row>
    <row r="4510">
      <c r="A4510" s="1" t="s">
        <v>515</v>
      </c>
      <c r="B4510" s="38">
        <v>678906.0</v>
      </c>
      <c r="C4510" s="72">
        <v>45907.0</v>
      </c>
      <c r="D4510" s="38">
        <v>76.0</v>
      </c>
      <c r="E4510" s="75"/>
      <c r="F4510" s="67">
        <v>4.603779451</v>
      </c>
      <c r="G4510" s="40">
        <v>2.377536518</v>
      </c>
      <c r="H4510" s="40"/>
      <c r="I4510" s="41">
        <v>0.394736842</v>
      </c>
      <c r="J4510" s="41">
        <v>0.118421053</v>
      </c>
      <c r="K4510" s="41">
        <v>0.486842105</v>
      </c>
      <c r="L4510" s="41"/>
      <c r="M4510" s="74">
        <v>0.611660747</v>
      </c>
    </row>
    <row r="4511">
      <c r="A4511" s="1" t="s">
        <v>481</v>
      </c>
      <c r="B4511" s="38">
        <v>622608.0</v>
      </c>
      <c r="C4511" s="72">
        <v>45820.0</v>
      </c>
      <c r="D4511" s="38">
        <v>91.0</v>
      </c>
      <c r="E4511" s="75"/>
      <c r="F4511" s="67">
        <v>4.599498401</v>
      </c>
      <c r="G4511" s="40">
        <v>2.884638661</v>
      </c>
      <c r="H4511" s="40"/>
      <c r="I4511" s="41">
        <v>0.373626374</v>
      </c>
      <c r="J4511" s="41">
        <v>0.241758242</v>
      </c>
      <c r="K4511" s="41">
        <v>0.384615385</v>
      </c>
      <c r="L4511" s="41"/>
      <c r="M4511" s="74">
        <v>-4.016409266</v>
      </c>
    </row>
    <row r="4512">
      <c r="A4512" s="1" t="s">
        <v>622</v>
      </c>
      <c r="B4512" s="38">
        <v>678316.0</v>
      </c>
      <c r="C4512" s="72">
        <v>45752.0</v>
      </c>
      <c r="D4512" s="38">
        <v>67.0</v>
      </c>
      <c r="E4512" s="75"/>
      <c r="F4512" s="67">
        <v>4.599142384</v>
      </c>
      <c r="G4512" s="40">
        <v>2.072828127</v>
      </c>
      <c r="H4512" s="40"/>
      <c r="I4512" s="41">
        <v>0.447761194</v>
      </c>
      <c r="J4512" s="41">
        <v>0.059701493</v>
      </c>
      <c r="K4512" s="41">
        <v>0.492537313</v>
      </c>
      <c r="L4512" s="41"/>
      <c r="M4512" s="74">
        <v>-1.69903627</v>
      </c>
    </row>
    <row r="4513">
      <c r="A4513" s="1" t="s">
        <v>517</v>
      </c>
      <c r="B4513" s="38">
        <v>683627.0</v>
      </c>
      <c r="C4513" s="72">
        <v>45874.0</v>
      </c>
      <c r="D4513" s="38">
        <v>83.0</v>
      </c>
      <c r="E4513" s="75"/>
      <c r="F4513" s="67">
        <v>4.598666769</v>
      </c>
      <c r="G4513" s="40">
        <v>2.629109639</v>
      </c>
      <c r="H4513" s="40"/>
      <c r="I4513" s="41">
        <v>0.337349398</v>
      </c>
      <c r="J4513" s="41">
        <v>0.192771084</v>
      </c>
      <c r="K4513" s="41">
        <v>0.469879518</v>
      </c>
      <c r="L4513" s="41"/>
      <c r="M4513" s="74">
        <v>-4.208135204</v>
      </c>
    </row>
    <row r="4514">
      <c r="A4514" s="1" t="s">
        <v>330</v>
      </c>
      <c r="B4514" s="38">
        <v>680730.0</v>
      </c>
      <c r="C4514" s="72">
        <v>45774.0</v>
      </c>
      <c r="D4514" s="38">
        <v>92.0</v>
      </c>
      <c r="E4514" s="75"/>
      <c r="F4514" s="67">
        <v>4.597433562</v>
      </c>
      <c r="G4514" s="40">
        <v>2.904735179</v>
      </c>
      <c r="H4514" s="40"/>
      <c r="I4514" s="41">
        <v>0.434782609</v>
      </c>
      <c r="J4514" s="41">
        <v>0.184782609</v>
      </c>
      <c r="K4514" s="41">
        <v>0.380434783</v>
      </c>
      <c r="L4514" s="41"/>
      <c r="M4514" s="74">
        <v>-0.576227947</v>
      </c>
    </row>
    <row r="4515">
      <c r="A4515" s="1" t="s">
        <v>495</v>
      </c>
      <c r="B4515" s="38">
        <v>801403.0</v>
      </c>
      <c r="C4515" s="72">
        <v>45795.0</v>
      </c>
      <c r="D4515" s="38">
        <v>94.0</v>
      </c>
      <c r="E4515" s="75"/>
      <c r="F4515" s="67">
        <v>4.596999641</v>
      </c>
      <c r="G4515" s="40">
        <v>2.928705564</v>
      </c>
      <c r="H4515" s="40"/>
      <c r="I4515" s="41">
        <v>0.361702128</v>
      </c>
      <c r="J4515" s="41">
        <v>0.180851064</v>
      </c>
      <c r="K4515" s="41">
        <v>0.457446809</v>
      </c>
      <c r="L4515" s="41"/>
      <c r="M4515" s="74">
        <v>1.217389641</v>
      </c>
    </row>
    <row r="4516">
      <c r="A4516" s="1" t="s">
        <v>437</v>
      </c>
      <c r="B4516" s="38">
        <v>695418.0</v>
      </c>
      <c r="C4516" s="72">
        <v>45872.0</v>
      </c>
      <c r="D4516" s="38">
        <v>92.0</v>
      </c>
      <c r="E4516" s="75"/>
      <c r="F4516" s="67">
        <v>4.596203021</v>
      </c>
      <c r="G4516" s="40">
        <v>2.865781323</v>
      </c>
      <c r="H4516" s="40"/>
      <c r="I4516" s="41">
        <v>0.402173913</v>
      </c>
      <c r="J4516" s="41">
        <v>0.173913043</v>
      </c>
      <c r="K4516" s="41">
        <v>0.423913043</v>
      </c>
      <c r="L4516" s="41"/>
      <c r="M4516" s="74">
        <v>-0.346684306</v>
      </c>
    </row>
    <row r="4517">
      <c r="A4517" s="1" t="s">
        <v>452</v>
      </c>
      <c r="B4517" s="38">
        <v>607625.0</v>
      </c>
      <c r="C4517" s="72">
        <v>45872.0</v>
      </c>
      <c r="D4517" s="38">
        <v>91.0</v>
      </c>
      <c r="E4517" s="75"/>
      <c r="F4517" s="67">
        <v>4.594864142</v>
      </c>
      <c r="G4517" s="40">
        <v>2.810665621</v>
      </c>
      <c r="H4517" s="40"/>
      <c r="I4517" s="41">
        <v>0.43956044</v>
      </c>
      <c r="J4517" s="41">
        <v>0.142857143</v>
      </c>
      <c r="K4517" s="41">
        <v>0.417582418</v>
      </c>
      <c r="L4517" s="41"/>
      <c r="M4517" s="74">
        <v>0.952103092</v>
      </c>
    </row>
    <row r="4518">
      <c r="A4518" s="1" t="s">
        <v>263</v>
      </c>
      <c r="B4518" s="38">
        <v>694297.0</v>
      </c>
      <c r="C4518" s="72">
        <v>45825.0</v>
      </c>
      <c r="D4518" s="38">
        <v>81.0</v>
      </c>
      <c r="E4518" s="75"/>
      <c r="F4518" s="67">
        <v>4.594790541</v>
      </c>
      <c r="G4518" s="40">
        <v>2.547909767</v>
      </c>
      <c r="H4518" s="40"/>
      <c r="I4518" s="41">
        <v>0.395061728</v>
      </c>
      <c r="J4518" s="41">
        <v>0.185185185</v>
      </c>
      <c r="K4518" s="41">
        <v>0.419753086</v>
      </c>
      <c r="L4518" s="41"/>
      <c r="M4518" s="74">
        <v>-0.876298386</v>
      </c>
    </row>
    <row r="4519">
      <c r="A4519" s="1" t="s">
        <v>549</v>
      </c>
      <c r="B4519" s="38">
        <v>685326.0</v>
      </c>
      <c r="C4519" s="72">
        <v>45911.0</v>
      </c>
      <c r="D4519" s="38">
        <v>81.0</v>
      </c>
      <c r="E4519" s="75"/>
      <c r="F4519" s="67">
        <v>4.594516594</v>
      </c>
      <c r="G4519" s="40">
        <v>2.560638034</v>
      </c>
      <c r="H4519" s="40"/>
      <c r="I4519" s="41">
        <v>0.382716049</v>
      </c>
      <c r="J4519" s="41">
        <v>0.135802469</v>
      </c>
      <c r="K4519" s="41">
        <v>0.481481481</v>
      </c>
      <c r="L4519" s="41"/>
      <c r="M4519" s="74">
        <v>-1.479677343</v>
      </c>
    </row>
    <row r="4520">
      <c r="A4520" s="1" t="s">
        <v>339</v>
      </c>
      <c r="B4520" s="38">
        <v>686613.0</v>
      </c>
      <c r="C4520" s="72">
        <v>45858.0</v>
      </c>
      <c r="D4520" s="38">
        <v>89.0</v>
      </c>
      <c r="E4520" s="75"/>
      <c r="F4520" s="67">
        <v>4.593776095</v>
      </c>
      <c r="G4520" s="40">
        <v>2.815358866</v>
      </c>
      <c r="H4520" s="40"/>
      <c r="I4520" s="41">
        <v>0.438202247</v>
      </c>
      <c r="J4520" s="41">
        <v>0.213483146</v>
      </c>
      <c r="K4520" s="41">
        <v>0.348314607</v>
      </c>
      <c r="L4520" s="41"/>
      <c r="M4520" s="74">
        <v>-1.242439213</v>
      </c>
    </row>
    <row r="4521">
      <c r="A4521" s="1" t="s">
        <v>496</v>
      </c>
      <c r="B4521" s="38">
        <v>694477.0</v>
      </c>
      <c r="C4521" s="72">
        <v>45803.0</v>
      </c>
      <c r="D4521" s="38">
        <v>74.0</v>
      </c>
      <c r="E4521" s="75"/>
      <c r="F4521" s="67">
        <v>4.592670851</v>
      </c>
      <c r="G4521" s="40">
        <v>2.341247691</v>
      </c>
      <c r="H4521" s="40"/>
      <c r="I4521" s="41">
        <v>0.472972973</v>
      </c>
      <c r="J4521" s="41">
        <v>0.121621622</v>
      </c>
      <c r="K4521" s="41">
        <v>0.405405405</v>
      </c>
      <c r="L4521" s="41"/>
      <c r="M4521" s="74">
        <v>1.849522514</v>
      </c>
    </row>
    <row r="4522">
      <c r="A4522" s="1" t="s">
        <v>413</v>
      </c>
      <c r="B4522" s="38">
        <v>671737.0</v>
      </c>
      <c r="C4522" s="72">
        <v>45752.0</v>
      </c>
      <c r="D4522" s="38">
        <v>82.0</v>
      </c>
      <c r="E4522" s="75"/>
      <c r="F4522" s="67">
        <v>4.592552317</v>
      </c>
      <c r="G4522" s="40">
        <v>2.597518752</v>
      </c>
      <c r="H4522" s="40"/>
      <c r="I4522" s="41">
        <v>0.402439024</v>
      </c>
      <c r="J4522" s="41">
        <v>0.195121951</v>
      </c>
      <c r="K4522" s="41">
        <v>0.402439024</v>
      </c>
      <c r="L4522" s="41"/>
      <c r="M4522" s="74">
        <v>2.022042767</v>
      </c>
    </row>
    <row r="4523">
      <c r="A4523" s="1" t="s">
        <v>516</v>
      </c>
      <c r="B4523" s="38">
        <v>700363.0</v>
      </c>
      <c r="C4523" s="72">
        <v>45752.0</v>
      </c>
      <c r="D4523" s="38">
        <v>79.0</v>
      </c>
      <c r="E4523" s="75"/>
      <c r="F4523" s="67">
        <v>4.592372466</v>
      </c>
      <c r="G4523" s="40">
        <v>2.485289915</v>
      </c>
      <c r="H4523" s="40"/>
      <c r="I4523" s="41">
        <v>0.379746835</v>
      </c>
      <c r="J4523" s="41">
        <v>0.202531646</v>
      </c>
      <c r="K4523" s="41">
        <v>0.417721519</v>
      </c>
      <c r="L4523" s="41"/>
      <c r="M4523" s="74">
        <v>-3.155491147</v>
      </c>
    </row>
    <row r="4524">
      <c r="A4524" s="1" t="s">
        <v>457</v>
      </c>
      <c r="B4524" s="38">
        <v>477132.0</v>
      </c>
      <c r="C4524" s="72">
        <v>45913.0</v>
      </c>
      <c r="D4524" s="38">
        <v>66.0</v>
      </c>
      <c r="E4524" s="75"/>
      <c r="F4524" s="67">
        <v>4.592193257</v>
      </c>
      <c r="G4524" s="40">
        <v>2.091631672</v>
      </c>
      <c r="H4524" s="40"/>
      <c r="I4524" s="41">
        <v>0.378787879</v>
      </c>
      <c r="J4524" s="41">
        <v>0.121212121</v>
      </c>
      <c r="K4524" s="41">
        <v>0.5</v>
      </c>
      <c r="L4524" s="41"/>
      <c r="M4524" s="74">
        <v>-1.237168527</v>
      </c>
    </row>
    <row r="4525">
      <c r="A4525" s="1" t="s">
        <v>339</v>
      </c>
      <c r="B4525" s="38">
        <v>686613.0</v>
      </c>
      <c r="C4525" s="72">
        <v>45924.0</v>
      </c>
      <c r="D4525" s="38">
        <v>83.0</v>
      </c>
      <c r="E4525" s="75"/>
      <c r="F4525" s="67">
        <v>4.591076656</v>
      </c>
      <c r="G4525" s="40">
        <v>2.651077939</v>
      </c>
      <c r="H4525" s="40"/>
      <c r="I4525" s="41">
        <v>0.34939759</v>
      </c>
      <c r="J4525" s="41">
        <v>0.180722892</v>
      </c>
      <c r="K4525" s="41">
        <v>0.469879518</v>
      </c>
      <c r="L4525" s="41"/>
      <c r="M4525" s="74">
        <v>-1.530584345</v>
      </c>
    </row>
    <row r="4526">
      <c r="A4526" s="1" t="s">
        <v>396</v>
      </c>
      <c r="B4526" s="38">
        <v>663623.0</v>
      </c>
      <c r="C4526" s="72">
        <v>45905.0</v>
      </c>
      <c r="D4526" s="38">
        <v>79.0</v>
      </c>
      <c r="E4526" s="75"/>
      <c r="F4526" s="67">
        <v>4.590471826</v>
      </c>
      <c r="G4526" s="40">
        <v>2.481143913</v>
      </c>
      <c r="H4526" s="40"/>
      <c r="I4526" s="41">
        <v>0.430379747</v>
      </c>
      <c r="J4526" s="41">
        <v>0.189873418</v>
      </c>
      <c r="K4526" s="41">
        <v>0.379746835</v>
      </c>
      <c r="L4526" s="41"/>
      <c r="M4526" s="74">
        <v>-0.547083358</v>
      </c>
    </row>
    <row r="4527">
      <c r="A4527" s="1" t="s">
        <v>437</v>
      </c>
      <c r="B4527" s="38">
        <v>695418.0</v>
      </c>
      <c r="C4527" s="72">
        <v>45767.0</v>
      </c>
      <c r="D4527" s="38">
        <v>63.0</v>
      </c>
      <c r="E4527" s="75"/>
      <c r="F4527" s="67">
        <v>4.590237354</v>
      </c>
      <c r="G4527" s="40">
        <v>2.017370174</v>
      </c>
      <c r="H4527" s="40"/>
      <c r="I4527" s="41">
        <v>0.428571429</v>
      </c>
      <c r="J4527" s="41">
        <v>0.253968254</v>
      </c>
      <c r="K4527" s="41">
        <v>0.317460317</v>
      </c>
      <c r="L4527" s="41"/>
      <c r="M4527" s="74">
        <v>-0.408682455</v>
      </c>
    </row>
    <row r="4528">
      <c r="A4528" s="1" t="s">
        <v>368</v>
      </c>
      <c r="B4528" s="38">
        <v>593958.0</v>
      </c>
      <c r="C4528" s="72">
        <v>45872.0</v>
      </c>
      <c r="D4528" s="38">
        <v>90.0</v>
      </c>
      <c r="E4528" s="75"/>
      <c r="F4528" s="67">
        <v>4.589737519</v>
      </c>
      <c r="G4528" s="40">
        <v>2.854033835</v>
      </c>
      <c r="H4528" s="40"/>
      <c r="I4528" s="41">
        <v>0.355555556</v>
      </c>
      <c r="J4528" s="41">
        <v>0.188888889</v>
      </c>
      <c r="K4528" s="41">
        <v>0.455555556</v>
      </c>
      <c r="L4528" s="41"/>
      <c r="M4528" s="74">
        <v>-0.200110486</v>
      </c>
    </row>
    <row r="4529">
      <c r="A4529" s="1" t="s">
        <v>300</v>
      </c>
      <c r="B4529" s="38">
        <v>506433.0</v>
      </c>
      <c r="C4529" s="72">
        <v>45874.0</v>
      </c>
      <c r="D4529" s="38">
        <v>72.0</v>
      </c>
      <c r="E4529" s="75"/>
      <c r="F4529" s="67">
        <v>4.589467039</v>
      </c>
      <c r="G4529" s="40">
        <v>2.258820785</v>
      </c>
      <c r="H4529" s="40"/>
      <c r="I4529" s="41">
        <v>0.388888889</v>
      </c>
      <c r="J4529" s="41">
        <v>0.180555556</v>
      </c>
      <c r="K4529" s="41">
        <v>0.430555556</v>
      </c>
      <c r="L4529" s="41"/>
      <c r="M4529" s="74">
        <v>1.177349106</v>
      </c>
    </row>
    <row r="4530">
      <c r="A4530" s="1" t="s">
        <v>294</v>
      </c>
      <c r="B4530" s="38">
        <v>665152.0</v>
      </c>
      <c r="C4530" s="72">
        <v>45898.0</v>
      </c>
      <c r="D4530" s="38">
        <v>74.0</v>
      </c>
      <c r="E4530" s="75"/>
      <c r="F4530" s="67">
        <v>4.587494115</v>
      </c>
      <c r="G4530" s="40">
        <v>2.39761869</v>
      </c>
      <c r="H4530" s="40"/>
      <c r="I4530" s="41">
        <v>0.337837838</v>
      </c>
      <c r="J4530" s="41">
        <v>0.283783784</v>
      </c>
      <c r="K4530" s="41">
        <v>0.378378378</v>
      </c>
      <c r="L4530" s="41"/>
      <c r="M4530" s="74">
        <v>-5.115408881</v>
      </c>
    </row>
    <row r="4531">
      <c r="A4531" s="1" t="s">
        <v>481</v>
      </c>
      <c r="B4531" s="38">
        <v>622608.0</v>
      </c>
      <c r="C4531" s="72">
        <v>45814.0</v>
      </c>
      <c r="D4531" s="38">
        <v>81.0</v>
      </c>
      <c r="E4531" s="75"/>
      <c r="F4531" s="67">
        <v>4.587044412</v>
      </c>
      <c r="G4531" s="40">
        <v>2.548739258</v>
      </c>
      <c r="H4531" s="40"/>
      <c r="I4531" s="41">
        <v>0.37037037</v>
      </c>
      <c r="J4531" s="41">
        <v>0.148148148</v>
      </c>
      <c r="K4531" s="41">
        <v>0.481481481</v>
      </c>
      <c r="L4531" s="41"/>
      <c r="M4531" s="74">
        <v>0.131304217</v>
      </c>
    </row>
    <row r="4532">
      <c r="A4532" s="1" t="s">
        <v>521</v>
      </c>
      <c r="B4532" s="38">
        <v>686799.0</v>
      </c>
      <c r="C4532" s="72">
        <v>45803.0</v>
      </c>
      <c r="D4532" s="38">
        <v>90.0</v>
      </c>
      <c r="E4532" s="75"/>
      <c r="F4532" s="67">
        <v>4.586938959</v>
      </c>
      <c r="G4532" s="40">
        <v>2.873734573</v>
      </c>
      <c r="H4532" s="40"/>
      <c r="I4532" s="41">
        <v>0.366666667</v>
      </c>
      <c r="J4532" s="41">
        <v>0.166666667</v>
      </c>
      <c r="K4532" s="41">
        <v>0.466666667</v>
      </c>
      <c r="L4532" s="41"/>
      <c r="M4532" s="74">
        <v>1.66219586</v>
      </c>
    </row>
    <row r="4533">
      <c r="A4533" s="1" t="s">
        <v>509</v>
      </c>
      <c r="B4533" s="38">
        <v>676106.0</v>
      </c>
      <c r="C4533" s="72">
        <v>45834.0</v>
      </c>
      <c r="D4533" s="38">
        <v>84.0</v>
      </c>
      <c r="E4533" s="75"/>
      <c r="F4533" s="67">
        <v>4.586063572</v>
      </c>
      <c r="G4533" s="40">
        <v>2.664306238</v>
      </c>
      <c r="H4533" s="40"/>
      <c r="I4533" s="41">
        <v>0.392857143</v>
      </c>
      <c r="J4533" s="41">
        <v>0.226190476</v>
      </c>
      <c r="K4533" s="41">
        <v>0.380952381</v>
      </c>
      <c r="L4533" s="41"/>
      <c r="M4533" s="74">
        <v>2.135790873</v>
      </c>
    </row>
    <row r="4534">
      <c r="A4534" s="1" t="s">
        <v>376</v>
      </c>
      <c r="B4534" s="38">
        <v>668909.0</v>
      </c>
      <c r="C4534" s="72">
        <v>45827.0</v>
      </c>
      <c r="D4534" s="38">
        <v>101.0</v>
      </c>
      <c r="E4534" s="75"/>
      <c r="F4534" s="67">
        <v>4.585619566</v>
      </c>
      <c r="G4534" s="40">
        <v>3.220374439</v>
      </c>
      <c r="H4534" s="40"/>
      <c r="I4534" s="41">
        <v>0.386138614</v>
      </c>
      <c r="J4534" s="41">
        <v>0.168316832</v>
      </c>
      <c r="K4534" s="41">
        <v>0.445544554</v>
      </c>
      <c r="L4534" s="41"/>
      <c r="M4534" s="74">
        <v>3.505655587</v>
      </c>
    </row>
    <row r="4535">
      <c r="A4535" s="1" t="s">
        <v>434</v>
      </c>
      <c r="B4535" s="38">
        <v>690990.0</v>
      </c>
      <c r="C4535" s="72">
        <v>45858.0</v>
      </c>
      <c r="D4535" s="38">
        <v>86.0</v>
      </c>
      <c r="E4535" s="75"/>
      <c r="F4535" s="67">
        <v>4.585477455</v>
      </c>
      <c r="G4535" s="40">
        <v>2.725038023</v>
      </c>
      <c r="H4535" s="40"/>
      <c r="I4535" s="41">
        <v>0.395348837</v>
      </c>
      <c r="J4535" s="41">
        <v>0.11627907</v>
      </c>
      <c r="K4535" s="41">
        <v>0.488372093</v>
      </c>
      <c r="L4535" s="41"/>
      <c r="M4535" s="74">
        <v>2.83985743</v>
      </c>
    </row>
    <row r="4536">
      <c r="A4536" s="1" t="s">
        <v>470</v>
      </c>
      <c r="B4536" s="38">
        <v>681343.0</v>
      </c>
      <c r="C4536" s="72">
        <v>45805.0</v>
      </c>
      <c r="D4536" s="38">
        <v>86.0</v>
      </c>
      <c r="E4536" s="75"/>
      <c r="F4536" s="67">
        <v>4.585433981</v>
      </c>
      <c r="G4536" s="40">
        <v>2.725983358</v>
      </c>
      <c r="H4536" s="40"/>
      <c r="I4536" s="41">
        <v>0.395348837</v>
      </c>
      <c r="J4536" s="41">
        <v>0.197674419</v>
      </c>
      <c r="K4536" s="41">
        <v>0.406976744</v>
      </c>
      <c r="L4536" s="41"/>
      <c r="M4536" s="74">
        <v>2.319174941</v>
      </c>
    </row>
    <row r="4537">
      <c r="A4537" s="1" t="s">
        <v>462</v>
      </c>
      <c r="B4537" s="38">
        <v>623167.0</v>
      </c>
      <c r="C4537" s="72">
        <v>45849.0</v>
      </c>
      <c r="D4537" s="38">
        <v>67.0</v>
      </c>
      <c r="E4537" s="75"/>
      <c r="F4537" s="67">
        <v>4.585365822</v>
      </c>
      <c r="G4537" s="40">
        <v>2.137052292</v>
      </c>
      <c r="H4537" s="40"/>
      <c r="I4537" s="41">
        <v>0.432835821</v>
      </c>
      <c r="J4537" s="41">
        <v>0.134328358</v>
      </c>
      <c r="K4537" s="41">
        <v>0.432835821</v>
      </c>
      <c r="L4537" s="41"/>
      <c r="M4537" s="74">
        <v>0.681723361</v>
      </c>
    </row>
    <row r="4538">
      <c r="A4538" s="1" t="s">
        <v>339</v>
      </c>
      <c r="B4538" s="38">
        <v>686613.0</v>
      </c>
      <c r="C4538" s="72">
        <v>45798.0</v>
      </c>
      <c r="D4538" s="38">
        <v>85.0</v>
      </c>
      <c r="E4538" s="75"/>
      <c r="F4538" s="67">
        <v>4.584554034</v>
      </c>
      <c r="G4538" s="40">
        <v>2.73308983</v>
      </c>
      <c r="H4538" s="40"/>
      <c r="I4538" s="41">
        <v>0.4</v>
      </c>
      <c r="J4538" s="41">
        <v>0.152941176</v>
      </c>
      <c r="K4538" s="41">
        <v>0.447058824</v>
      </c>
      <c r="L4538" s="41"/>
      <c r="M4538" s="74">
        <v>-2.202066181</v>
      </c>
    </row>
    <row r="4539">
      <c r="A4539" s="1" t="s">
        <v>470</v>
      </c>
      <c r="B4539" s="38">
        <v>681343.0</v>
      </c>
      <c r="C4539" s="72">
        <v>45923.0</v>
      </c>
      <c r="D4539" s="38">
        <v>90.0</v>
      </c>
      <c r="E4539" s="75"/>
      <c r="F4539" s="67">
        <v>4.582366918</v>
      </c>
      <c r="G4539" s="40">
        <v>2.870559607</v>
      </c>
      <c r="H4539" s="40"/>
      <c r="I4539" s="41">
        <v>0.355555556</v>
      </c>
      <c r="J4539" s="41">
        <v>0.177777778</v>
      </c>
      <c r="K4539" s="41">
        <v>0.466666667</v>
      </c>
      <c r="L4539" s="41"/>
      <c r="M4539" s="74">
        <v>0.775292316</v>
      </c>
    </row>
    <row r="4540">
      <c r="A4540" s="1" t="s">
        <v>461</v>
      </c>
      <c r="B4540" s="38">
        <v>673540.0</v>
      </c>
      <c r="C4540" s="72">
        <v>45784.0</v>
      </c>
      <c r="D4540" s="38">
        <v>86.0</v>
      </c>
      <c r="E4540" s="75"/>
      <c r="F4540" s="67">
        <v>4.582327677</v>
      </c>
      <c r="G4540" s="40">
        <v>2.744608671</v>
      </c>
      <c r="H4540" s="40"/>
      <c r="I4540" s="41">
        <v>0.441860465</v>
      </c>
      <c r="J4540" s="41">
        <v>0.093023256</v>
      </c>
      <c r="K4540" s="41">
        <v>0.465116279</v>
      </c>
      <c r="L4540" s="41"/>
      <c r="M4540" s="74">
        <v>1.898311252</v>
      </c>
    </row>
    <row r="4541">
      <c r="A4541" s="1" t="s">
        <v>606</v>
      </c>
      <c r="B4541" s="38">
        <v>448179.0</v>
      </c>
      <c r="C4541" s="72">
        <v>45866.0</v>
      </c>
      <c r="D4541" s="38">
        <v>78.0</v>
      </c>
      <c r="E4541" s="75"/>
      <c r="F4541" s="67">
        <v>4.581851296</v>
      </c>
      <c r="G4541" s="40">
        <v>2.46730189</v>
      </c>
      <c r="H4541" s="40"/>
      <c r="I4541" s="41">
        <v>0.423076923</v>
      </c>
      <c r="J4541" s="41">
        <v>0.179487179</v>
      </c>
      <c r="K4541" s="41">
        <v>0.397435897</v>
      </c>
      <c r="L4541" s="41"/>
      <c r="M4541" s="74">
        <v>0.732478326</v>
      </c>
    </row>
    <row r="4542">
      <c r="A4542" s="1" t="s">
        <v>472</v>
      </c>
      <c r="B4542" s="38">
        <v>675911.0</v>
      </c>
      <c r="C4542" s="72">
        <v>45927.0</v>
      </c>
      <c r="D4542" s="38">
        <v>77.0</v>
      </c>
      <c r="E4542" s="75"/>
      <c r="F4542" s="67">
        <v>4.580414313</v>
      </c>
      <c r="G4542" s="40">
        <v>2.475901671</v>
      </c>
      <c r="H4542" s="40"/>
      <c r="I4542" s="41">
        <v>0.38961039</v>
      </c>
      <c r="J4542" s="41">
        <v>0.220779221</v>
      </c>
      <c r="K4542" s="41">
        <v>0.38961039</v>
      </c>
      <c r="L4542" s="41"/>
      <c r="M4542" s="74">
        <v>-3.126254871</v>
      </c>
    </row>
    <row r="4543">
      <c r="A4543" s="1" t="s">
        <v>604</v>
      </c>
      <c r="B4543" s="38">
        <v>671109.0</v>
      </c>
      <c r="C4543" s="72">
        <v>45856.0</v>
      </c>
      <c r="D4543" s="38">
        <v>60.0</v>
      </c>
      <c r="E4543" s="75"/>
      <c r="F4543" s="67">
        <v>4.580083023</v>
      </c>
      <c r="G4543" s="40">
        <v>1.909509498</v>
      </c>
      <c r="H4543" s="40"/>
      <c r="I4543" s="41">
        <v>0.483333333</v>
      </c>
      <c r="J4543" s="41">
        <v>0.1</v>
      </c>
      <c r="K4543" s="41">
        <v>0.416666667</v>
      </c>
      <c r="L4543" s="41"/>
      <c r="M4543" s="74">
        <v>-0.623926362</v>
      </c>
    </row>
    <row r="4544">
      <c r="A4544" s="1" t="s">
        <v>329</v>
      </c>
      <c r="B4544" s="38">
        <v>669160.0</v>
      </c>
      <c r="C4544" s="72">
        <v>45775.0</v>
      </c>
      <c r="D4544" s="38">
        <v>81.0</v>
      </c>
      <c r="E4544" s="75"/>
      <c r="F4544" s="67">
        <v>4.578160232</v>
      </c>
      <c r="G4544" s="40">
        <v>2.569614663</v>
      </c>
      <c r="H4544" s="40"/>
      <c r="I4544" s="41">
        <v>0.432098765</v>
      </c>
      <c r="J4544" s="41">
        <v>0.061728395</v>
      </c>
      <c r="K4544" s="41">
        <v>0.50617284</v>
      </c>
      <c r="L4544" s="41"/>
      <c r="M4544" s="74">
        <v>-0.956939709</v>
      </c>
    </row>
    <row r="4545">
      <c r="A4545" s="1" t="s">
        <v>372</v>
      </c>
      <c r="B4545" s="38">
        <v>671106.0</v>
      </c>
      <c r="C4545" s="72">
        <v>45784.0</v>
      </c>
      <c r="D4545" s="38">
        <v>88.0</v>
      </c>
      <c r="E4545" s="75"/>
      <c r="F4545" s="67">
        <v>4.577629427</v>
      </c>
      <c r="G4545" s="40">
        <v>2.772843461</v>
      </c>
      <c r="H4545" s="40"/>
      <c r="I4545" s="41">
        <v>0.397727273</v>
      </c>
      <c r="J4545" s="41">
        <v>0.102272727</v>
      </c>
      <c r="K4545" s="41">
        <v>0.5</v>
      </c>
      <c r="L4545" s="41"/>
      <c r="M4545" s="74">
        <v>-2.797975192</v>
      </c>
    </row>
    <row r="4546">
      <c r="A4546" s="1" t="s">
        <v>386</v>
      </c>
      <c r="B4546" s="38">
        <v>656731.0</v>
      </c>
      <c r="C4546" s="72">
        <v>45822.0</v>
      </c>
      <c r="D4546" s="38">
        <v>80.0</v>
      </c>
      <c r="E4546" s="75"/>
      <c r="F4546" s="67">
        <v>4.577214836</v>
      </c>
      <c r="G4546" s="40">
        <v>2.566915546</v>
      </c>
      <c r="H4546" s="40"/>
      <c r="I4546" s="41">
        <v>0.425</v>
      </c>
      <c r="J4546" s="41">
        <v>0.1625</v>
      </c>
      <c r="K4546" s="41">
        <v>0.4125</v>
      </c>
      <c r="L4546" s="41"/>
      <c r="M4546" s="74">
        <v>-2.999791246</v>
      </c>
    </row>
    <row r="4547">
      <c r="A4547" s="1" t="s">
        <v>220</v>
      </c>
      <c r="B4547" s="38">
        <v>663559.0</v>
      </c>
      <c r="C4547" s="72">
        <v>45867.0</v>
      </c>
      <c r="D4547" s="38">
        <v>67.0</v>
      </c>
      <c r="E4547" s="75"/>
      <c r="F4547" s="67">
        <v>4.575748453</v>
      </c>
      <c r="G4547" s="40">
        <v>2.15972024</v>
      </c>
      <c r="H4547" s="40"/>
      <c r="I4547" s="41">
        <v>0.432835821</v>
      </c>
      <c r="J4547" s="41">
        <v>0.134328358</v>
      </c>
      <c r="K4547" s="41">
        <v>0.432835821</v>
      </c>
      <c r="L4547" s="41"/>
      <c r="M4547" s="74">
        <v>1.288598198</v>
      </c>
    </row>
    <row r="4548">
      <c r="A4548" s="1" t="s">
        <v>313</v>
      </c>
      <c r="B4548" s="38">
        <v>607067.0</v>
      </c>
      <c r="C4548" s="72">
        <v>45856.0</v>
      </c>
      <c r="D4548" s="38">
        <v>82.0</v>
      </c>
      <c r="E4548" s="75"/>
      <c r="F4548" s="67">
        <v>4.575728229</v>
      </c>
      <c r="G4548" s="40">
        <v>2.621812218</v>
      </c>
      <c r="H4548" s="40"/>
      <c r="I4548" s="41">
        <v>0.43902439</v>
      </c>
      <c r="J4548" s="41">
        <v>0.170731707</v>
      </c>
      <c r="K4548" s="41">
        <v>0.390243902</v>
      </c>
      <c r="L4548" s="41"/>
      <c r="M4548" s="74">
        <v>1.007905448</v>
      </c>
    </row>
    <row r="4549">
      <c r="A4549" s="1" t="s">
        <v>109</v>
      </c>
      <c r="B4549" s="38">
        <v>601713.0</v>
      </c>
      <c r="C4549" s="72">
        <v>45922.0</v>
      </c>
      <c r="D4549" s="38">
        <v>110.0</v>
      </c>
      <c r="E4549" s="75"/>
      <c r="F4549" s="67">
        <v>4.574963721</v>
      </c>
      <c r="G4549" s="40">
        <v>3.486515326</v>
      </c>
      <c r="H4549" s="40"/>
      <c r="I4549" s="41">
        <v>0.436363636</v>
      </c>
      <c r="J4549" s="41">
        <v>0.127272727</v>
      </c>
      <c r="K4549" s="41">
        <v>0.436363636</v>
      </c>
      <c r="L4549" s="41"/>
      <c r="M4549" s="74">
        <v>0.698109882</v>
      </c>
    </row>
    <row r="4550">
      <c r="A4550" s="1" t="s">
        <v>491</v>
      </c>
      <c r="B4550" s="38">
        <v>650644.0</v>
      </c>
      <c r="C4550" s="72">
        <v>45835.0</v>
      </c>
      <c r="D4550" s="38">
        <v>79.0</v>
      </c>
      <c r="E4550" s="75"/>
      <c r="F4550" s="67">
        <v>4.574959484</v>
      </c>
      <c r="G4550" s="40">
        <v>2.546368031</v>
      </c>
      <c r="H4550" s="40"/>
      <c r="I4550" s="41">
        <v>0.417721519</v>
      </c>
      <c r="J4550" s="41">
        <v>0.063291139</v>
      </c>
      <c r="K4550" s="41">
        <v>0.518987342</v>
      </c>
      <c r="L4550" s="41"/>
      <c r="M4550" s="74">
        <v>0.695430986</v>
      </c>
    </row>
    <row r="4551">
      <c r="A4551" s="1" t="s">
        <v>470</v>
      </c>
      <c r="B4551" s="38">
        <v>681343.0</v>
      </c>
      <c r="C4551" s="72">
        <v>45798.0</v>
      </c>
      <c r="D4551" s="38">
        <v>83.0</v>
      </c>
      <c r="E4551" s="75"/>
      <c r="F4551" s="67">
        <v>4.573694631</v>
      </c>
      <c r="G4551" s="40">
        <v>2.678554709</v>
      </c>
      <c r="H4551" s="40"/>
      <c r="I4551" s="41">
        <v>0.325301205</v>
      </c>
      <c r="J4551" s="41">
        <v>0.228915663</v>
      </c>
      <c r="K4551" s="41">
        <v>0.445783133</v>
      </c>
      <c r="L4551" s="41"/>
      <c r="M4551" s="74">
        <v>3.404992277</v>
      </c>
    </row>
    <row r="4552">
      <c r="A4552" s="1" t="s">
        <v>411</v>
      </c>
      <c r="B4552" s="38">
        <v>605288.0</v>
      </c>
      <c r="C4552" s="72">
        <v>45821.0</v>
      </c>
      <c r="D4552" s="38">
        <v>88.0</v>
      </c>
      <c r="E4552" s="75"/>
      <c r="F4552" s="67">
        <v>4.573546178</v>
      </c>
      <c r="G4552" s="40">
        <v>2.803224233</v>
      </c>
      <c r="H4552" s="40"/>
      <c r="I4552" s="41">
        <v>0.397727273</v>
      </c>
      <c r="J4552" s="41">
        <v>0.125</v>
      </c>
      <c r="K4552" s="41">
        <v>0.477272727</v>
      </c>
      <c r="L4552" s="41"/>
      <c r="M4552" s="74">
        <v>-1.543020136</v>
      </c>
    </row>
    <row r="4553">
      <c r="A4553" s="1" t="s">
        <v>316</v>
      </c>
      <c r="B4553" s="38">
        <v>656427.0</v>
      </c>
      <c r="C4553" s="72">
        <v>45905.0</v>
      </c>
      <c r="D4553" s="38">
        <v>78.0</v>
      </c>
      <c r="E4553" s="75"/>
      <c r="F4553" s="67">
        <v>4.573131026</v>
      </c>
      <c r="G4553" s="40">
        <v>2.484533021</v>
      </c>
      <c r="H4553" s="40"/>
      <c r="I4553" s="41">
        <v>0.448717949</v>
      </c>
      <c r="J4553" s="41">
        <v>0.102564103</v>
      </c>
      <c r="K4553" s="41">
        <v>0.448717949</v>
      </c>
      <c r="L4553" s="41"/>
      <c r="M4553" s="74">
        <v>-1.946222335</v>
      </c>
    </row>
    <row r="4554">
      <c r="A4554" s="1" t="s">
        <v>169</v>
      </c>
      <c r="B4554" s="38">
        <v>671096.0</v>
      </c>
      <c r="C4554" s="72">
        <v>45772.0</v>
      </c>
      <c r="D4554" s="38">
        <v>81.0</v>
      </c>
      <c r="E4554" s="75"/>
      <c r="F4554" s="67">
        <v>4.572696496</v>
      </c>
      <c r="G4554" s="40">
        <v>2.5862037</v>
      </c>
      <c r="H4554" s="40"/>
      <c r="I4554" s="41">
        <v>0.333333333</v>
      </c>
      <c r="J4554" s="41">
        <v>0.197530864</v>
      </c>
      <c r="K4554" s="41">
        <v>0.469135802</v>
      </c>
      <c r="L4554" s="41"/>
      <c r="M4554" s="74">
        <v>-0.690519929</v>
      </c>
    </row>
    <row r="4555">
      <c r="A4555" s="1" t="s">
        <v>372</v>
      </c>
      <c r="B4555" s="38">
        <v>671106.0</v>
      </c>
      <c r="C4555" s="72">
        <v>45881.0</v>
      </c>
      <c r="D4555" s="38">
        <v>86.0</v>
      </c>
      <c r="E4555" s="75"/>
      <c r="F4555" s="67">
        <v>4.569259829</v>
      </c>
      <c r="G4555" s="40">
        <v>2.765840225</v>
      </c>
      <c r="H4555" s="40"/>
      <c r="I4555" s="41">
        <v>0.38372093</v>
      </c>
      <c r="J4555" s="41">
        <v>0.151162791</v>
      </c>
      <c r="K4555" s="41">
        <v>0.465116279</v>
      </c>
      <c r="L4555" s="41"/>
      <c r="M4555" s="74">
        <v>1.197710297</v>
      </c>
    </row>
    <row r="4556">
      <c r="A4556" s="1" t="s">
        <v>464</v>
      </c>
      <c r="B4556" s="38">
        <v>615698.0</v>
      </c>
      <c r="C4556" s="72">
        <v>45760.0</v>
      </c>
      <c r="D4556" s="38">
        <v>77.0</v>
      </c>
      <c r="E4556" s="75"/>
      <c r="F4556" s="67">
        <v>4.569142167</v>
      </c>
      <c r="G4556" s="40">
        <v>2.471818008</v>
      </c>
      <c r="H4556" s="40"/>
      <c r="I4556" s="41">
        <v>0.441558442</v>
      </c>
      <c r="J4556" s="41">
        <v>0.181818182</v>
      </c>
      <c r="K4556" s="41">
        <v>0.376623377</v>
      </c>
      <c r="L4556" s="41"/>
      <c r="M4556" s="74">
        <v>-3.501840339</v>
      </c>
    </row>
    <row r="4557">
      <c r="A4557" s="1" t="s">
        <v>339</v>
      </c>
      <c r="B4557" s="38">
        <v>686613.0</v>
      </c>
      <c r="C4557" s="72">
        <v>45888.0</v>
      </c>
      <c r="D4557" s="38">
        <v>97.0</v>
      </c>
      <c r="E4557" s="75"/>
      <c r="F4557" s="67">
        <v>4.568053362</v>
      </c>
      <c r="G4557" s="40">
        <v>3.111733657</v>
      </c>
      <c r="H4557" s="40"/>
      <c r="I4557" s="41">
        <v>0.350515464</v>
      </c>
      <c r="J4557" s="41">
        <v>0.164948454</v>
      </c>
      <c r="K4557" s="41">
        <v>0.484536082</v>
      </c>
      <c r="L4557" s="41"/>
      <c r="M4557" s="74">
        <v>0.343110825</v>
      </c>
    </row>
    <row r="4558">
      <c r="A4558" s="1" t="s">
        <v>431</v>
      </c>
      <c r="B4558" s="38">
        <v>669203.0</v>
      </c>
      <c r="C4558" s="72">
        <v>45748.0</v>
      </c>
      <c r="D4558" s="38">
        <v>96.0</v>
      </c>
      <c r="E4558" s="75"/>
      <c r="F4558" s="67">
        <v>4.567942926</v>
      </c>
      <c r="G4558" s="40">
        <v>3.049479529</v>
      </c>
      <c r="H4558" s="40"/>
      <c r="I4558" s="41">
        <v>0.395833333</v>
      </c>
      <c r="J4558" s="41">
        <v>0.177083333</v>
      </c>
      <c r="K4558" s="41">
        <v>0.427083333</v>
      </c>
      <c r="L4558" s="41"/>
      <c r="M4558" s="74">
        <v>1.347482965</v>
      </c>
    </row>
    <row r="4559">
      <c r="A4559" s="1" t="s">
        <v>513</v>
      </c>
      <c r="B4559" s="38">
        <v>608566.0</v>
      </c>
      <c r="C4559" s="72">
        <v>45776.0</v>
      </c>
      <c r="D4559" s="38">
        <v>84.0</v>
      </c>
      <c r="E4559" s="75"/>
      <c r="F4559" s="67">
        <v>4.567887537</v>
      </c>
      <c r="G4559" s="40">
        <v>2.7677213</v>
      </c>
      <c r="H4559" s="40"/>
      <c r="I4559" s="41">
        <v>0.297619048</v>
      </c>
      <c r="J4559" s="41">
        <v>0.273809524</v>
      </c>
      <c r="K4559" s="41">
        <v>0.428571429</v>
      </c>
      <c r="L4559" s="41"/>
      <c r="M4559" s="74">
        <v>-2.510911654</v>
      </c>
    </row>
    <row r="4560">
      <c r="A4560" s="1" t="s">
        <v>470</v>
      </c>
      <c r="B4560" s="38">
        <v>681343.0</v>
      </c>
      <c r="C4560" s="72">
        <v>45888.0</v>
      </c>
      <c r="D4560" s="38">
        <v>98.0</v>
      </c>
      <c r="E4560" s="75"/>
      <c r="F4560" s="67">
        <v>4.567344296</v>
      </c>
      <c r="G4560" s="40">
        <v>3.16948368</v>
      </c>
      <c r="H4560" s="40"/>
      <c r="I4560" s="41">
        <v>0.316326531</v>
      </c>
      <c r="J4560" s="41">
        <v>0.244897959</v>
      </c>
      <c r="K4560" s="41">
        <v>0.43877551</v>
      </c>
      <c r="L4560" s="41"/>
      <c r="M4560" s="74">
        <v>0.950714598</v>
      </c>
    </row>
    <row r="4561">
      <c r="A4561" s="1" t="s">
        <v>421</v>
      </c>
      <c r="B4561" s="38">
        <v>607192.0</v>
      </c>
      <c r="C4561" s="72">
        <v>45920.0</v>
      </c>
      <c r="D4561" s="38">
        <v>101.0</v>
      </c>
      <c r="E4561" s="75"/>
      <c r="F4561" s="67">
        <v>4.567186436</v>
      </c>
      <c r="G4561" s="40">
        <v>3.226783578</v>
      </c>
      <c r="H4561" s="40"/>
      <c r="I4561" s="41">
        <v>0.445544554</v>
      </c>
      <c r="J4561" s="41">
        <v>0.148514851</v>
      </c>
      <c r="K4561" s="41">
        <v>0.405940594</v>
      </c>
      <c r="L4561" s="41"/>
      <c r="M4561" s="74">
        <v>-0.433109691</v>
      </c>
    </row>
    <row r="4562">
      <c r="A4562" s="1" t="s">
        <v>607</v>
      </c>
      <c r="B4562" s="38">
        <v>815083.0</v>
      </c>
      <c r="C4562" s="72">
        <v>45913.0</v>
      </c>
      <c r="D4562" s="38">
        <v>83.0</v>
      </c>
      <c r="E4562" s="75"/>
      <c r="F4562" s="67">
        <v>4.56664103</v>
      </c>
      <c r="G4562" s="40">
        <v>2.655123892</v>
      </c>
      <c r="H4562" s="40"/>
      <c r="I4562" s="41">
        <v>0.445783133</v>
      </c>
      <c r="J4562" s="41">
        <v>0.168674699</v>
      </c>
      <c r="K4562" s="41">
        <v>0.385542169</v>
      </c>
      <c r="L4562" s="41"/>
      <c r="M4562" s="74">
        <v>-1.498962753</v>
      </c>
    </row>
    <row r="4563">
      <c r="A4563" s="1" t="s">
        <v>607</v>
      </c>
      <c r="B4563" s="38">
        <v>815083.0</v>
      </c>
      <c r="C4563" s="72">
        <v>45919.0</v>
      </c>
      <c r="D4563" s="38">
        <v>86.0</v>
      </c>
      <c r="E4563" s="75"/>
      <c r="F4563" s="67">
        <v>4.566500204</v>
      </c>
      <c r="G4563" s="40">
        <v>2.794897479</v>
      </c>
      <c r="H4563" s="40"/>
      <c r="I4563" s="41">
        <v>0.38372093</v>
      </c>
      <c r="J4563" s="41">
        <v>0.127906977</v>
      </c>
      <c r="K4563" s="41">
        <v>0.488372093</v>
      </c>
      <c r="L4563" s="41"/>
      <c r="M4563" s="74">
        <v>-2.370841648</v>
      </c>
    </row>
    <row r="4564">
      <c r="A4564" s="1" t="s">
        <v>247</v>
      </c>
      <c r="B4564" s="38">
        <v>605540.0</v>
      </c>
      <c r="C4564" s="72">
        <v>45882.0</v>
      </c>
      <c r="D4564" s="38">
        <v>64.0</v>
      </c>
      <c r="E4564" s="75"/>
      <c r="F4564" s="67">
        <v>4.566121147</v>
      </c>
      <c r="G4564" s="40">
        <v>2.068734649</v>
      </c>
      <c r="H4564" s="40"/>
      <c r="I4564" s="41">
        <v>0.40625</v>
      </c>
      <c r="J4564" s="41">
        <v>0.09375</v>
      </c>
      <c r="K4564" s="41">
        <v>0.5</v>
      </c>
      <c r="L4564" s="41"/>
      <c r="M4564" s="74">
        <v>0.141312353</v>
      </c>
    </row>
    <row r="4565">
      <c r="A4565" s="1" t="s">
        <v>432</v>
      </c>
      <c r="B4565" s="38">
        <v>669467.0</v>
      </c>
      <c r="C4565" s="72">
        <v>45746.0</v>
      </c>
      <c r="D4565" s="38">
        <v>73.0</v>
      </c>
      <c r="E4565" s="75"/>
      <c r="F4565" s="67">
        <v>4.565458536</v>
      </c>
      <c r="G4565" s="40">
        <v>2.363655466</v>
      </c>
      <c r="H4565" s="40"/>
      <c r="I4565" s="41">
        <v>0.301369863</v>
      </c>
      <c r="J4565" s="41">
        <v>0.260273973</v>
      </c>
      <c r="K4565" s="41">
        <v>0.438356164</v>
      </c>
      <c r="L4565" s="41"/>
      <c r="M4565" s="74">
        <v>0.4510174</v>
      </c>
    </row>
    <row r="4566">
      <c r="A4566" s="1" t="s">
        <v>473</v>
      </c>
      <c r="B4566" s="38">
        <v>527048.0</v>
      </c>
      <c r="C4566" s="72">
        <v>45747.0</v>
      </c>
      <c r="D4566" s="38">
        <v>85.0</v>
      </c>
      <c r="E4566" s="75"/>
      <c r="F4566" s="67">
        <v>4.564809998</v>
      </c>
      <c r="G4566" s="40">
        <v>2.728787466</v>
      </c>
      <c r="H4566" s="40"/>
      <c r="I4566" s="41">
        <v>0.317647059</v>
      </c>
      <c r="J4566" s="41">
        <v>0.188235294</v>
      </c>
      <c r="K4566" s="41">
        <v>0.494117647</v>
      </c>
      <c r="L4566" s="41"/>
      <c r="M4566" s="74">
        <v>5.625350849</v>
      </c>
    </row>
    <row r="4567">
      <c r="A4567" s="1" t="s">
        <v>485</v>
      </c>
      <c r="B4567" s="38">
        <v>701519.0</v>
      </c>
      <c r="C4567" s="72">
        <v>45881.0</v>
      </c>
      <c r="D4567" s="38">
        <v>69.0</v>
      </c>
      <c r="E4567" s="75"/>
      <c r="F4567" s="67">
        <v>4.563620768</v>
      </c>
      <c r="G4567" s="40">
        <v>2.208253928</v>
      </c>
      <c r="H4567" s="40"/>
      <c r="I4567" s="41">
        <v>0.376811594</v>
      </c>
      <c r="J4567" s="41">
        <v>0.188405797</v>
      </c>
      <c r="K4567" s="41">
        <v>0.434782609</v>
      </c>
      <c r="L4567" s="41"/>
      <c r="M4567" s="74">
        <v>-0.68752375</v>
      </c>
    </row>
    <row r="4568">
      <c r="A4568" s="1" t="s">
        <v>456</v>
      </c>
      <c r="B4568" s="38">
        <v>605135.0</v>
      </c>
      <c r="C4568" s="72">
        <v>45901.0</v>
      </c>
      <c r="D4568" s="38">
        <v>104.0</v>
      </c>
      <c r="E4568" s="75"/>
      <c r="F4568" s="67">
        <v>4.562770015</v>
      </c>
      <c r="G4568" s="40">
        <v>3.315392551</v>
      </c>
      <c r="H4568" s="40"/>
      <c r="I4568" s="41">
        <v>0.375</v>
      </c>
      <c r="J4568" s="41">
        <v>0.182692308</v>
      </c>
      <c r="K4568" s="41">
        <v>0.442307692</v>
      </c>
      <c r="L4568" s="41"/>
      <c r="M4568" s="74">
        <v>0.487886094</v>
      </c>
    </row>
    <row r="4569">
      <c r="A4569" s="1" t="s">
        <v>421</v>
      </c>
      <c r="B4569" s="38">
        <v>607192.0</v>
      </c>
      <c r="C4569" s="72">
        <v>45892.0</v>
      </c>
      <c r="D4569" s="38">
        <v>82.0</v>
      </c>
      <c r="E4569" s="75"/>
      <c r="F4569" s="67">
        <v>4.56247033</v>
      </c>
      <c r="G4569" s="40">
        <v>2.65406832</v>
      </c>
      <c r="H4569" s="40"/>
      <c r="I4569" s="41">
        <v>0.390243902</v>
      </c>
      <c r="J4569" s="41">
        <v>0.182926829</v>
      </c>
      <c r="K4569" s="41">
        <v>0.426829268</v>
      </c>
      <c r="L4569" s="41"/>
      <c r="M4569" s="74">
        <v>2.994534785</v>
      </c>
    </row>
    <row r="4570">
      <c r="A4570" s="1" t="s">
        <v>169</v>
      </c>
      <c r="B4570" s="38">
        <v>671096.0</v>
      </c>
      <c r="C4570" s="72">
        <v>45778.0</v>
      </c>
      <c r="D4570" s="38">
        <v>74.0</v>
      </c>
      <c r="E4570" s="75"/>
      <c r="F4570" s="67">
        <v>4.56225197</v>
      </c>
      <c r="G4570" s="40">
        <v>2.328712807</v>
      </c>
      <c r="H4570" s="40"/>
      <c r="I4570" s="41">
        <v>0.351351351</v>
      </c>
      <c r="J4570" s="41">
        <v>0.22972973</v>
      </c>
      <c r="K4570" s="41">
        <v>0.418918919</v>
      </c>
      <c r="L4570" s="41"/>
      <c r="M4570" s="74">
        <v>0.586181796</v>
      </c>
    </row>
    <row r="4571">
      <c r="A4571" s="1" t="s">
        <v>285</v>
      </c>
      <c r="B4571" s="38">
        <v>607074.0</v>
      </c>
      <c r="C4571" s="72">
        <v>45816.0</v>
      </c>
      <c r="D4571" s="38">
        <v>87.0</v>
      </c>
      <c r="E4571" s="75"/>
      <c r="F4571" s="67">
        <v>4.561409006</v>
      </c>
      <c r="G4571" s="40">
        <v>2.801578911</v>
      </c>
      <c r="H4571" s="40"/>
      <c r="I4571" s="41">
        <v>0.448275862</v>
      </c>
      <c r="J4571" s="41">
        <v>0.091954023</v>
      </c>
      <c r="K4571" s="41">
        <v>0.459770115</v>
      </c>
      <c r="L4571" s="41"/>
      <c r="M4571" s="74">
        <v>0.789881911</v>
      </c>
    </row>
    <row r="4572">
      <c r="A4572" s="1" t="s">
        <v>290</v>
      </c>
      <c r="B4572" s="38">
        <v>669461.0</v>
      </c>
      <c r="C4572" s="72">
        <v>45870.0</v>
      </c>
      <c r="D4572" s="38">
        <v>83.0</v>
      </c>
      <c r="E4572" s="75"/>
      <c r="F4572" s="67">
        <v>4.560352244</v>
      </c>
      <c r="G4572" s="40">
        <v>2.664353421</v>
      </c>
      <c r="H4572" s="40"/>
      <c r="I4572" s="41">
        <v>0.409638554</v>
      </c>
      <c r="J4572" s="41">
        <v>0.192771084</v>
      </c>
      <c r="K4572" s="41">
        <v>0.397590361</v>
      </c>
      <c r="L4572" s="41"/>
      <c r="M4572" s="74">
        <v>-0.078603846</v>
      </c>
    </row>
    <row r="4573">
      <c r="A4573" s="1" t="s">
        <v>218</v>
      </c>
      <c r="B4573" s="38">
        <v>669432.0</v>
      </c>
      <c r="C4573" s="72">
        <v>45912.0</v>
      </c>
      <c r="D4573" s="38">
        <v>79.0</v>
      </c>
      <c r="E4573" s="75"/>
      <c r="F4573" s="67">
        <v>4.559991697</v>
      </c>
      <c r="G4573" s="40">
        <v>2.546794461</v>
      </c>
      <c r="H4573" s="40"/>
      <c r="I4573" s="41">
        <v>0.367088608</v>
      </c>
      <c r="J4573" s="41">
        <v>0.215189873</v>
      </c>
      <c r="K4573" s="41">
        <v>0.417721519</v>
      </c>
      <c r="L4573" s="41"/>
      <c r="M4573" s="74">
        <v>1.752675793</v>
      </c>
    </row>
    <row r="4574">
      <c r="A4574" s="1" t="s">
        <v>306</v>
      </c>
      <c r="B4574" s="38">
        <v>677944.0</v>
      </c>
      <c r="C4574" s="72">
        <v>45825.0</v>
      </c>
      <c r="D4574" s="38">
        <v>81.0</v>
      </c>
      <c r="E4574" s="75"/>
      <c r="F4574" s="67">
        <v>4.559662353</v>
      </c>
      <c r="G4574" s="40">
        <v>2.628439687</v>
      </c>
      <c r="H4574" s="40"/>
      <c r="I4574" s="41">
        <v>0.419753086</v>
      </c>
      <c r="J4574" s="41">
        <v>0.111111111</v>
      </c>
      <c r="K4574" s="41">
        <v>0.469135802</v>
      </c>
      <c r="L4574" s="41"/>
      <c r="M4574" s="74">
        <v>0.88063204</v>
      </c>
    </row>
    <row r="4575">
      <c r="A4575" s="1" t="s">
        <v>470</v>
      </c>
      <c r="B4575" s="38">
        <v>681343.0</v>
      </c>
      <c r="C4575" s="72">
        <v>45870.0</v>
      </c>
      <c r="D4575" s="38">
        <v>78.0</v>
      </c>
      <c r="E4575" s="75"/>
      <c r="F4575" s="67">
        <v>4.559494885</v>
      </c>
      <c r="G4575" s="40">
        <v>2.488341959</v>
      </c>
      <c r="H4575" s="40"/>
      <c r="I4575" s="41">
        <v>0.423076923</v>
      </c>
      <c r="J4575" s="41">
        <v>0.115384615</v>
      </c>
      <c r="K4575" s="41">
        <v>0.461538462</v>
      </c>
      <c r="L4575" s="41"/>
      <c r="M4575" s="74">
        <v>2.752346648</v>
      </c>
    </row>
    <row r="4576">
      <c r="A4576" s="1" t="s">
        <v>496</v>
      </c>
      <c r="B4576" s="38">
        <v>694477.0</v>
      </c>
      <c r="C4576" s="72">
        <v>45748.0</v>
      </c>
      <c r="D4576" s="38">
        <v>83.0</v>
      </c>
      <c r="E4576" s="75"/>
      <c r="F4576" s="67">
        <v>4.559382563</v>
      </c>
      <c r="G4576" s="40">
        <v>2.649581904</v>
      </c>
      <c r="H4576" s="40"/>
      <c r="I4576" s="41">
        <v>0.421686747</v>
      </c>
      <c r="J4576" s="41">
        <v>0.144578313</v>
      </c>
      <c r="K4576" s="41">
        <v>0.43373494</v>
      </c>
      <c r="L4576" s="41"/>
      <c r="M4576" s="74">
        <v>0.690637308</v>
      </c>
    </row>
    <row r="4577">
      <c r="A4577" s="1" t="s">
        <v>420</v>
      </c>
      <c r="B4577" s="38">
        <v>547179.0</v>
      </c>
      <c r="C4577" s="72">
        <v>45822.0</v>
      </c>
      <c r="D4577" s="38">
        <v>88.0</v>
      </c>
      <c r="E4577" s="75"/>
      <c r="F4577" s="67">
        <v>4.559029611</v>
      </c>
      <c r="G4577" s="40">
        <v>2.860444322</v>
      </c>
      <c r="H4577" s="40"/>
      <c r="I4577" s="41">
        <v>0.340909091</v>
      </c>
      <c r="J4577" s="41">
        <v>0.193181818</v>
      </c>
      <c r="K4577" s="41">
        <v>0.465909091</v>
      </c>
      <c r="L4577" s="41"/>
      <c r="M4577" s="74">
        <v>1.143696567</v>
      </c>
    </row>
    <row r="4578">
      <c r="A4578" s="1" t="s">
        <v>432</v>
      </c>
      <c r="B4578" s="38">
        <v>669467.0</v>
      </c>
      <c r="C4578" s="72">
        <v>45884.0</v>
      </c>
      <c r="D4578" s="38">
        <v>96.0</v>
      </c>
      <c r="E4578" s="75"/>
      <c r="F4578" s="67">
        <v>4.556940175</v>
      </c>
      <c r="G4578" s="40">
        <v>3.099597319</v>
      </c>
      <c r="H4578" s="40"/>
      <c r="I4578" s="41">
        <v>0.354166667</v>
      </c>
      <c r="J4578" s="41">
        <v>0.239583333</v>
      </c>
      <c r="K4578" s="41">
        <v>0.40625</v>
      </c>
      <c r="L4578" s="41"/>
      <c r="M4578" s="74">
        <v>-0.02314846</v>
      </c>
    </row>
    <row r="4579">
      <c r="A4579" s="1" t="s">
        <v>490</v>
      </c>
      <c r="B4579" s="38">
        <v>680573.0</v>
      </c>
      <c r="C4579" s="72">
        <v>45896.0</v>
      </c>
      <c r="D4579" s="38">
        <v>66.0</v>
      </c>
      <c r="E4579" s="75"/>
      <c r="F4579" s="67">
        <v>4.554080522</v>
      </c>
      <c r="G4579" s="40">
        <v>2.139861793</v>
      </c>
      <c r="H4579" s="40"/>
      <c r="I4579" s="41">
        <v>0.333333333</v>
      </c>
      <c r="J4579" s="41">
        <v>0.242424242</v>
      </c>
      <c r="K4579" s="41">
        <v>0.424242424</v>
      </c>
      <c r="L4579" s="41"/>
      <c r="M4579" s="74">
        <v>-0.03608082</v>
      </c>
    </row>
    <row r="4580">
      <c r="A4580" s="1" t="s">
        <v>386</v>
      </c>
      <c r="B4580" s="38">
        <v>656731.0</v>
      </c>
      <c r="C4580" s="72">
        <v>45816.0</v>
      </c>
      <c r="D4580" s="38">
        <v>79.0</v>
      </c>
      <c r="E4580" s="75"/>
      <c r="F4580" s="67">
        <v>4.550155247</v>
      </c>
      <c r="G4580" s="40">
        <v>2.586155122</v>
      </c>
      <c r="H4580" s="40"/>
      <c r="I4580" s="41">
        <v>0.341772152</v>
      </c>
      <c r="J4580" s="41">
        <v>0.227848101</v>
      </c>
      <c r="K4580" s="41">
        <v>0.430379747</v>
      </c>
      <c r="L4580" s="41"/>
      <c r="M4580" s="74">
        <v>1.719236212</v>
      </c>
    </row>
    <row r="4581">
      <c r="A4581" s="1" t="s">
        <v>472</v>
      </c>
      <c r="B4581" s="38">
        <v>675911.0</v>
      </c>
      <c r="C4581" s="72">
        <v>45861.0</v>
      </c>
      <c r="D4581" s="38">
        <v>100.0</v>
      </c>
      <c r="E4581" s="75"/>
      <c r="F4581" s="67">
        <v>4.549518841</v>
      </c>
      <c r="G4581" s="40">
        <v>3.254487001</v>
      </c>
      <c r="H4581" s="40"/>
      <c r="I4581" s="41">
        <v>0.4</v>
      </c>
      <c r="J4581" s="41">
        <v>0.19</v>
      </c>
      <c r="K4581" s="41">
        <v>0.41</v>
      </c>
      <c r="L4581" s="41"/>
      <c r="M4581" s="74">
        <v>0.539126033</v>
      </c>
    </row>
    <row r="4582">
      <c r="A4582" s="1" t="s">
        <v>500</v>
      </c>
      <c r="B4582" s="38">
        <v>665871.0</v>
      </c>
      <c r="C4582" s="72">
        <v>45905.0</v>
      </c>
      <c r="D4582" s="38">
        <v>79.0</v>
      </c>
      <c r="E4582" s="75"/>
      <c r="F4582" s="67">
        <v>4.548682106</v>
      </c>
      <c r="G4582" s="40">
        <v>2.603548228</v>
      </c>
      <c r="H4582" s="40"/>
      <c r="I4582" s="41">
        <v>0.341772152</v>
      </c>
      <c r="J4582" s="41">
        <v>0.303797468</v>
      </c>
      <c r="K4582" s="41">
        <v>0.35443038</v>
      </c>
      <c r="L4582" s="41"/>
      <c r="M4582" s="74">
        <v>2.141013348</v>
      </c>
    </row>
    <row r="4583">
      <c r="A4583" s="1" t="s">
        <v>495</v>
      </c>
      <c r="B4583" s="38">
        <v>801403.0</v>
      </c>
      <c r="C4583" s="72">
        <v>45822.0</v>
      </c>
      <c r="D4583" s="38">
        <v>89.0</v>
      </c>
      <c r="E4583" s="75"/>
      <c r="F4583" s="67">
        <v>4.54616544</v>
      </c>
      <c r="G4583" s="40">
        <v>2.927155705</v>
      </c>
      <c r="H4583" s="40"/>
      <c r="I4583" s="41">
        <v>0.415730337</v>
      </c>
      <c r="J4583" s="41">
        <v>0.134831461</v>
      </c>
      <c r="K4583" s="41">
        <v>0.449438202</v>
      </c>
      <c r="L4583" s="41"/>
      <c r="M4583" s="74">
        <v>-1.048923777</v>
      </c>
    </row>
    <row r="4584">
      <c r="A4584" s="1" t="s">
        <v>476</v>
      </c>
      <c r="B4584" s="38">
        <v>500779.0</v>
      </c>
      <c r="C4584" s="72">
        <v>45822.0</v>
      </c>
      <c r="D4584" s="38">
        <v>98.0</v>
      </c>
      <c r="E4584" s="75"/>
      <c r="F4584" s="67">
        <v>4.543186473</v>
      </c>
      <c r="G4584" s="40">
        <v>3.166848293</v>
      </c>
      <c r="H4584" s="40"/>
      <c r="I4584" s="41">
        <v>0.397959184</v>
      </c>
      <c r="J4584" s="41">
        <v>0.12244898</v>
      </c>
      <c r="K4584" s="41">
        <v>0.479591837</v>
      </c>
      <c r="L4584" s="41"/>
      <c r="M4584" s="74">
        <v>-1.270718012</v>
      </c>
    </row>
    <row r="4585">
      <c r="A4585" s="1" t="s">
        <v>521</v>
      </c>
      <c r="B4585" s="38">
        <v>686799.0</v>
      </c>
      <c r="C4585" s="72">
        <v>45848.0</v>
      </c>
      <c r="D4585" s="38">
        <v>70.0</v>
      </c>
      <c r="E4585" s="75"/>
      <c r="F4585" s="67">
        <v>4.543073331</v>
      </c>
      <c r="G4585" s="40">
        <v>2.290925316</v>
      </c>
      <c r="H4585" s="40"/>
      <c r="I4585" s="41">
        <v>0.357142857</v>
      </c>
      <c r="J4585" s="41">
        <v>0.171428571</v>
      </c>
      <c r="K4585" s="41">
        <v>0.471428571</v>
      </c>
      <c r="L4585" s="41"/>
      <c r="M4585" s="74">
        <v>-4.30333222</v>
      </c>
    </row>
    <row r="4586">
      <c r="A4586" s="1" t="s">
        <v>623</v>
      </c>
      <c r="B4586" s="38">
        <v>680951.0</v>
      </c>
      <c r="C4586" s="72">
        <v>45773.0</v>
      </c>
      <c r="D4586" s="38">
        <v>87.0</v>
      </c>
      <c r="E4586" s="75"/>
      <c r="F4586" s="67">
        <v>4.542470064</v>
      </c>
      <c r="G4586" s="40">
        <v>2.81317558</v>
      </c>
      <c r="H4586" s="40"/>
      <c r="I4586" s="41">
        <v>0.367816092</v>
      </c>
      <c r="J4586" s="41">
        <v>0.172413793</v>
      </c>
      <c r="K4586" s="41">
        <v>0.459770115</v>
      </c>
      <c r="L4586" s="41"/>
      <c r="M4586" s="74">
        <v>-1.20329218</v>
      </c>
    </row>
    <row r="4587">
      <c r="A4587" s="1" t="s">
        <v>263</v>
      </c>
      <c r="B4587" s="38">
        <v>694297.0</v>
      </c>
      <c r="C4587" s="72">
        <v>45813.0</v>
      </c>
      <c r="D4587" s="38">
        <v>73.0</v>
      </c>
      <c r="E4587" s="75"/>
      <c r="F4587" s="67">
        <v>4.542006706</v>
      </c>
      <c r="G4587" s="40">
        <v>2.397765307</v>
      </c>
      <c r="H4587" s="40"/>
      <c r="I4587" s="41">
        <v>0.369863014</v>
      </c>
      <c r="J4587" s="41">
        <v>0.191780822</v>
      </c>
      <c r="K4587" s="41">
        <v>0.438356164</v>
      </c>
      <c r="L4587" s="41"/>
      <c r="M4587" s="74">
        <v>-0.8212137</v>
      </c>
    </row>
    <row r="4588">
      <c r="A4588" s="1" t="s">
        <v>510</v>
      </c>
      <c r="B4588" s="38">
        <v>702674.0</v>
      </c>
      <c r="C4588" s="72">
        <v>45921.0</v>
      </c>
      <c r="D4588" s="38">
        <v>86.0</v>
      </c>
      <c r="E4588" s="75"/>
      <c r="F4588" s="67">
        <v>4.541135806</v>
      </c>
      <c r="G4588" s="40">
        <v>2.782906837</v>
      </c>
      <c r="H4588" s="40"/>
      <c r="I4588" s="41">
        <v>0.38372093</v>
      </c>
      <c r="J4588" s="41">
        <v>0.139534884</v>
      </c>
      <c r="K4588" s="41">
        <v>0.476744186</v>
      </c>
      <c r="L4588" s="41"/>
      <c r="M4588" s="74">
        <v>1.15713443</v>
      </c>
    </row>
    <row r="4589">
      <c r="A4589" s="1" t="s">
        <v>143</v>
      </c>
      <c r="B4589" s="38">
        <v>690928.0</v>
      </c>
      <c r="C4589" s="72">
        <v>45828.0</v>
      </c>
      <c r="D4589" s="38">
        <v>74.0</v>
      </c>
      <c r="E4589" s="75"/>
      <c r="F4589" s="67">
        <v>4.539300692</v>
      </c>
      <c r="G4589" s="40">
        <v>2.43268992</v>
      </c>
      <c r="H4589" s="40"/>
      <c r="I4589" s="41">
        <v>0.364864865</v>
      </c>
      <c r="J4589" s="41">
        <v>0.189189189</v>
      </c>
      <c r="K4589" s="41">
        <v>0.445945946</v>
      </c>
      <c r="L4589" s="41"/>
      <c r="M4589" s="74">
        <v>1.227183313</v>
      </c>
    </row>
    <row r="4590">
      <c r="A4590" s="1" t="s">
        <v>513</v>
      </c>
      <c r="B4590" s="38">
        <v>608566.0</v>
      </c>
      <c r="C4590" s="72">
        <v>45926.0</v>
      </c>
      <c r="D4590" s="38">
        <v>91.0</v>
      </c>
      <c r="E4590" s="75"/>
      <c r="F4590" s="67">
        <v>4.538325822</v>
      </c>
      <c r="G4590" s="40">
        <v>2.994833698</v>
      </c>
      <c r="H4590" s="40"/>
      <c r="I4590" s="41">
        <v>0.362637363</v>
      </c>
      <c r="J4590" s="41">
        <v>0.208791209</v>
      </c>
      <c r="K4590" s="41">
        <v>0.428571429</v>
      </c>
      <c r="L4590" s="41"/>
      <c r="M4590" s="74">
        <v>1.741898263</v>
      </c>
    </row>
    <row r="4591">
      <c r="A4591" s="1" t="s">
        <v>521</v>
      </c>
      <c r="B4591" s="38">
        <v>686799.0</v>
      </c>
      <c r="C4591" s="72">
        <v>45798.0</v>
      </c>
      <c r="D4591" s="38">
        <v>96.0</v>
      </c>
      <c r="E4591" s="75"/>
      <c r="F4591" s="67">
        <v>4.537523696</v>
      </c>
      <c r="G4591" s="40">
        <v>3.121121794</v>
      </c>
      <c r="H4591" s="40"/>
      <c r="I4591" s="41">
        <v>0.40625</v>
      </c>
      <c r="J4591" s="41">
        <v>0.15625</v>
      </c>
      <c r="K4591" s="41">
        <v>0.4375</v>
      </c>
      <c r="L4591" s="41"/>
      <c r="M4591" s="74">
        <v>-0.412551711</v>
      </c>
    </row>
    <row r="4592">
      <c r="A4592" s="1" t="s">
        <v>158</v>
      </c>
      <c r="B4592" s="38">
        <v>608372.0</v>
      </c>
      <c r="C4592" s="72">
        <v>45859.0</v>
      </c>
      <c r="D4592" s="38">
        <v>88.0</v>
      </c>
      <c r="E4592" s="75"/>
      <c r="F4592" s="67">
        <v>4.534847578</v>
      </c>
      <c r="G4592" s="40">
        <v>2.886782</v>
      </c>
      <c r="H4592" s="40"/>
      <c r="I4592" s="41">
        <v>0.352272727</v>
      </c>
      <c r="J4592" s="41">
        <v>0.193181818</v>
      </c>
      <c r="K4592" s="41">
        <v>0.454545455</v>
      </c>
      <c r="L4592" s="41"/>
      <c r="M4592" s="74">
        <v>-2.012650676</v>
      </c>
    </row>
    <row r="4593">
      <c r="A4593" s="1" t="s">
        <v>603</v>
      </c>
      <c r="B4593" s="38">
        <v>608334.0</v>
      </c>
      <c r="C4593" s="72">
        <v>45879.0</v>
      </c>
      <c r="D4593" s="38">
        <v>82.0</v>
      </c>
      <c r="E4593" s="75"/>
      <c r="F4593" s="67">
        <v>4.532914139</v>
      </c>
      <c r="G4593" s="40">
        <v>2.656992127</v>
      </c>
      <c r="H4593" s="40"/>
      <c r="I4593" s="41">
        <v>0.463414634</v>
      </c>
      <c r="J4593" s="41">
        <v>0.073170732</v>
      </c>
      <c r="K4593" s="41">
        <v>0.463414634</v>
      </c>
      <c r="L4593" s="41"/>
      <c r="M4593" s="74">
        <v>3.453715415</v>
      </c>
    </row>
    <row r="4594">
      <c r="A4594" s="1" t="s">
        <v>474</v>
      </c>
      <c r="B4594" s="38">
        <v>450203.0</v>
      </c>
      <c r="C4594" s="72">
        <v>45744.0</v>
      </c>
      <c r="D4594" s="38">
        <v>80.0</v>
      </c>
      <c r="E4594" s="75"/>
      <c r="F4594" s="67">
        <v>4.532228806</v>
      </c>
      <c r="G4594" s="40">
        <v>2.616631656</v>
      </c>
      <c r="H4594" s="40"/>
      <c r="I4594" s="41">
        <v>0.3875</v>
      </c>
      <c r="J4594" s="41">
        <v>0.1625</v>
      </c>
      <c r="K4594" s="41">
        <v>0.45</v>
      </c>
      <c r="L4594" s="41"/>
      <c r="M4594" s="74">
        <v>-3.461810779</v>
      </c>
    </row>
    <row r="4595">
      <c r="A4595" s="1" t="s">
        <v>497</v>
      </c>
      <c r="B4595" s="38">
        <v>678024.0</v>
      </c>
      <c r="C4595" s="72">
        <v>45822.0</v>
      </c>
      <c r="D4595" s="38">
        <v>71.0</v>
      </c>
      <c r="E4595" s="75"/>
      <c r="F4595" s="67">
        <v>4.530294884</v>
      </c>
      <c r="G4595" s="40">
        <v>2.295275244</v>
      </c>
      <c r="H4595" s="40"/>
      <c r="I4595" s="41">
        <v>0.38028169</v>
      </c>
      <c r="J4595" s="41">
        <v>0.183098592</v>
      </c>
      <c r="K4595" s="41">
        <v>0.436619718</v>
      </c>
      <c r="L4595" s="41"/>
      <c r="M4595" s="74">
        <v>1.200075916</v>
      </c>
    </row>
    <row r="4596">
      <c r="A4596" s="1" t="s">
        <v>617</v>
      </c>
      <c r="B4596" s="38">
        <v>691951.0</v>
      </c>
      <c r="C4596" s="72">
        <v>45923.0</v>
      </c>
      <c r="D4596" s="38">
        <v>84.0</v>
      </c>
      <c r="E4596" s="75"/>
      <c r="F4596" s="67">
        <v>4.530177688</v>
      </c>
      <c r="G4596" s="40">
        <v>2.752069302</v>
      </c>
      <c r="H4596" s="40"/>
      <c r="I4596" s="41">
        <v>0.369047619</v>
      </c>
      <c r="J4596" s="41">
        <v>0.142857143</v>
      </c>
      <c r="K4596" s="41">
        <v>0.488095238</v>
      </c>
      <c r="L4596" s="41"/>
      <c r="M4596" s="74">
        <v>-3.646163924</v>
      </c>
    </row>
    <row r="4597">
      <c r="A4597" s="1" t="s">
        <v>331</v>
      </c>
      <c r="B4597" s="38">
        <v>672456.0</v>
      </c>
      <c r="C4597" s="72">
        <v>45785.0</v>
      </c>
      <c r="D4597" s="38">
        <v>92.0</v>
      </c>
      <c r="E4597" s="75"/>
      <c r="F4597" s="67">
        <v>4.529196874</v>
      </c>
      <c r="G4597" s="40">
        <v>3.050809378</v>
      </c>
      <c r="H4597" s="40"/>
      <c r="I4597" s="41">
        <v>0.423913043</v>
      </c>
      <c r="J4597" s="41">
        <v>0.141304348</v>
      </c>
      <c r="K4597" s="41">
        <v>0.434782609</v>
      </c>
      <c r="L4597" s="41"/>
      <c r="M4597" s="74">
        <v>0.918253222</v>
      </c>
    </row>
    <row r="4598">
      <c r="A4598" s="1" t="s">
        <v>481</v>
      </c>
      <c r="B4598" s="38">
        <v>622608.0</v>
      </c>
      <c r="C4598" s="72">
        <v>45836.0</v>
      </c>
      <c r="D4598" s="38">
        <v>83.0</v>
      </c>
      <c r="E4598" s="75"/>
      <c r="F4598" s="67">
        <v>4.529152916</v>
      </c>
      <c r="G4598" s="40">
        <v>2.773380177</v>
      </c>
      <c r="H4598" s="40"/>
      <c r="I4598" s="41">
        <v>0.34939759</v>
      </c>
      <c r="J4598" s="41">
        <v>0.204819277</v>
      </c>
      <c r="K4598" s="41">
        <v>0.445783133</v>
      </c>
      <c r="L4598" s="41"/>
      <c r="M4598" s="74">
        <v>-2.877363423</v>
      </c>
    </row>
    <row r="4599">
      <c r="A4599" s="1" t="s">
        <v>515</v>
      </c>
      <c r="B4599" s="38">
        <v>678906.0</v>
      </c>
      <c r="C4599" s="72">
        <v>45888.0</v>
      </c>
      <c r="D4599" s="38">
        <v>79.0</v>
      </c>
      <c r="E4599" s="75"/>
      <c r="F4599" s="67">
        <v>4.528302593</v>
      </c>
      <c r="G4599" s="40">
        <v>2.569166739</v>
      </c>
      <c r="H4599" s="40"/>
      <c r="I4599" s="41">
        <v>0.455696203</v>
      </c>
      <c r="J4599" s="41">
        <v>0.151898734</v>
      </c>
      <c r="K4599" s="41">
        <v>0.392405063</v>
      </c>
      <c r="L4599" s="41"/>
      <c r="M4599" s="74">
        <v>1.10423553</v>
      </c>
    </row>
    <row r="4600">
      <c r="A4600" s="1" t="s">
        <v>358</v>
      </c>
      <c r="B4600" s="38">
        <v>434378.0</v>
      </c>
      <c r="C4600" s="72">
        <v>45856.0</v>
      </c>
      <c r="D4600" s="38">
        <v>64.0</v>
      </c>
      <c r="E4600" s="75"/>
      <c r="F4600" s="67">
        <v>4.527756342</v>
      </c>
      <c r="G4600" s="40">
        <v>2.108332171</v>
      </c>
      <c r="H4600" s="40"/>
      <c r="I4600" s="41">
        <v>0.390625</v>
      </c>
      <c r="J4600" s="41">
        <v>0.21875</v>
      </c>
      <c r="K4600" s="41">
        <v>0.390625</v>
      </c>
      <c r="L4600" s="41"/>
      <c r="M4600" s="74">
        <v>-4.267265191</v>
      </c>
    </row>
    <row r="4601">
      <c r="A4601" s="1" t="s">
        <v>339</v>
      </c>
      <c r="B4601" s="38">
        <v>686613.0</v>
      </c>
      <c r="C4601" s="72">
        <v>45919.0</v>
      </c>
      <c r="D4601" s="38">
        <v>98.0</v>
      </c>
      <c r="E4601" s="75"/>
      <c r="F4601" s="67">
        <v>4.524484243</v>
      </c>
      <c r="G4601" s="40">
        <v>3.193100468</v>
      </c>
      <c r="H4601" s="40"/>
      <c r="I4601" s="41">
        <v>0.387755102</v>
      </c>
      <c r="J4601" s="41">
        <v>0.173469388</v>
      </c>
      <c r="K4601" s="41">
        <v>0.43877551</v>
      </c>
      <c r="L4601" s="41"/>
      <c r="M4601" s="74">
        <v>-1.26064847</v>
      </c>
    </row>
    <row r="4602">
      <c r="A4602" s="1" t="s">
        <v>516</v>
      </c>
      <c r="B4602" s="38">
        <v>700363.0</v>
      </c>
      <c r="C4602" s="72">
        <v>45792.0</v>
      </c>
      <c r="D4602" s="38">
        <v>82.0</v>
      </c>
      <c r="E4602" s="75"/>
      <c r="F4602" s="67">
        <v>4.522022854</v>
      </c>
      <c r="G4602" s="40">
        <v>2.730332281</v>
      </c>
      <c r="H4602" s="40"/>
      <c r="I4602" s="41">
        <v>0.402439024</v>
      </c>
      <c r="J4602" s="41">
        <v>0.195121951</v>
      </c>
      <c r="K4602" s="41">
        <v>0.402439024</v>
      </c>
      <c r="L4602" s="41"/>
      <c r="M4602" s="74">
        <v>2.26041117</v>
      </c>
    </row>
    <row r="4603">
      <c r="A4603" s="1" t="s">
        <v>452</v>
      </c>
      <c r="B4603" s="38">
        <v>607625.0</v>
      </c>
      <c r="C4603" s="72">
        <v>45745.0</v>
      </c>
      <c r="D4603" s="38">
        <v>86.0</v>
      </c>
      <c r="E4603" s="75"/>
      <c r="F4603" s="67">
        <v>4.520977541</v>
      </c>
      <c r="G4603" s="40">
        <v>2.861247365</v>
      </c>
      <c r="H4603" s="40"/>
      <c r="I4603" s="41">
        <v>0.38372093</v>
      </c>
      <c r="J4603" s="41">
        <v>0.151162791</v>
      </c>
      <c r="K4603" s="41">
        <v>0.465116279</v>
      </c>
      <c r="L4603" s="41"/>
      <c r="M4603" s="74">
        <v>0.051690598</v>
      </c>
    </row>
    <row r="4604">
      <c r="A4604" s="1" t="s">
        <v>420</v>
      </c>
      <c r="B4604" s="38">
        <v>547179.0</v>
      </c>
      <c r="C4604" s="72">
        <v>45890.0</v>
      </c>
      <c r="D4604" s="38">
        <v>87.0</v>
      </c>
      <c r="E4604" s="75"/>
      <c r="F4604" s="67">
        <v>4.51918784</v>
      </c>
      <c r="G4604" s="40">
        <v>2.89172984</v>
      </c>
      <c r="H4604" s="40"/>
      <c r="I4604" s="41">
        <v>0.413793103</v>
      </c>
      <c r="J4604" s="41">
        <v>0.24137931</v>
      </c>
      <c r="K4604" s="41">
        <v>0.344827586</v>
      </c>
      <c r="L4604" s="41"/>
      <c r="M4604" s="74">
        <v>-3.74420591</v>
      </c>
    </row>
    <row r="4605">
      <c r="A4605" s="1" t="s">
        <v>477</v>
      </c>
      <c r="B4605" s="38">
        <v>677958.0</v>
      </c>
      <c r="C4605" s="72">
        <v>45759.0</v>
      </c>
      <c r="D4605" s="38">
        <v>66.0</v>
      </c>
      <c r="E4605" s="75"/>
      <c r="F4605" s="67">
        <v>4.517449983</v>
      </c>
      <c r="G4605" s="40">
        <v>2.216185545</v>
      </c>
      <c r="H4605" s="40"/>
      <c r="I4605" s="41">
        <v>0.287878788</v>
      </c>
      <c r="J4605" s="41">
        <v>0.242424242</v>
      </c>
      <c r="K4605" s="41">
        <v>0.46969697</v>
      </c>
      <c r="L4605" s="41"/>
      <c r="M4605" s="74">
        <v>0.556610766</v>
      </c>
    </row>
    <row r="4606">
      <c r="A4606" s="1" t="s">
        <v>617</v>
      </c>
      <c r="B4606" s="38">
        <v>691951.0</v>
      </c>
      <c r="C4606" s="72">
        <v>45846.0</v>
      </c>
      <c r="D4606" s="38">
        <v>63.0</v>
      </c>
      <c r="E4606" s="75"/>
      <c r="F4606" s="67">
        <v>4.516662237</v>
      </c>
      <c r="G4606" s="40">
        <v>2.085376844</v>
      </c>
      <c r="H4606" s="40"/>
      <c r="I4606" s="41">
        <v>0.380952381</v>
      </c>
      <c r="J4606" s="41">
        <v>0.142857143</v>
      </c>
      <c r="K4606" s="41">
        <v>0.476190476</v>
      </c>
      <c r="L4606" s="41"/>
      <c r="M4606" s="74">
        <v>-1.515100573</v>
      </c>
    </row>
    <row r="4607">
      <c r="A4607" s="1" t="s">
        <v>513</v>
      </c>
      <c r="B4607" s="38">
        <v>608566.0</v>
      </c>
      <c r="C4607" s="72">
        <v>45903.0</v>
      </c>
      <c r="D4607" s="38">
        <v>80.0</v>
      </c>
      <c r="E4607" s="75"/>
      <c r="F4607" s="67">
        <v>4.514604037</v>
      </c>
      <c r="G4607" s="40">
        <v>2.692610431</v>
      </c>
      <c r="H4607" s="40"/>
      <c r="I4607" s="41">
        <v>0.35</v>
      </c>
      <c r="J4607" s="41">
        <v>0.2125</v>
      </c>
      <c r="K4607" s="41">
        <v>0.4375</v>
      </c>
      <c r="L4607" s="41"/>
      <c r="M4607" s="74">
        <v>-2.462050327</v>
      </c>
    </row>
    <row r="4608">
      <c r="A4608" s="1" t="s">
        <v>509</v>
      </c>
      <c r="B4608" s="38">
        <v>676106.0</v>
      </c>
      <c r="C4608" s="72">
        <v>45806.0</v>
      </c>
      <c r="D4608" s="38">
        <v>65.0</v>
      </c>
      <c r="E4608" s="75"/>
      <c r="F4608" s="67">
        <v>4.514546271</v>
      </c>
      <c r="G4608" s="40">
        <v>2.177735439</v>
      </c>
      <c r="H4608" s="40"/>
      <c r="I4608" s="41">
        <v>0.415384615</v>
      </c>
      <c r="J4608" s="41">
        <v>0.138461538</v>
      </c>
      <c r="K4608" s="41">
        <v>0.446153846</v>
      </c>
      <c r="L4608" s="41"/>
      <c r="M4608" s="74">
        <v>1.480006929</v>
      </c>
    </row>
    <row r="4609">
      <c r="A4609" s="1" t="s">
        <v>481</v>
      </c>
      <c r="B4609" s="38">
        <v>622608.0</v>
      </c>
      <c r="C4609" s="72">
        <v>45825.0</v>
      </c>
      <c r="D4609" s="38">
        <v>83.0</v>
      </c>
      <c r="E4609" s="75"/>
      <c r="F4609" s="67">
        <v>4.514541386</v>
      </c>
      <c r="G4609" s="40">
        <v>2.796220822</v>
      </c>
      <c r="H4609" s="40"/>
      <c r="I4609" s="41">
        <v>0.313253012</v>
      </c>
      <c r="J4609" s="41">
        <v>0.240963855</v>
      </c>
      <c r="K4609" s="41">
        <v>0.445783133</v>
      </c>
      <c r="L4609" s="41"/>
      <c r="M4609" s="74">
        <v>2.664402442</v>
      </c>
    </row>
    <row r="4610">
      <c r="A4610" s="1" t="s">
        <v>456</v>
      </c>
      <c r="B4610" s="38">
        <v>605135.0</v>
      </c>
      <c r="C4610" s="72">
        <v>45906.0</v>
      </c>
      <c r="D4610" s="38">
        <v>80.0</v>
      </c>
      <c r="E4610" s="75"/>
      <c r="F4610" s="67">
        <v>4.512099604</v>
      </c>
      <c r="G4610" s="40">
        <v>2.683145764</v>
      </c>
      <c r="H4610" s="40"/>
      <c r="I4610" s="41">
        <v>0.325</v>
      </c>
      <c r="J4610" s="41">
        <v>0.2125</v>
      </c>
      <c r="K4610" s="41">
        <v>0.4625</v>
      </c>
      <c r="L4610" s="41"/>
      <c r="M4610" s="74">
        <v>1.855603077</v>
      </c>
    </row>
    <row r="4611">
      <c r="A4611" s="1" t="s">
        <v>450</v>
      </c>
      <c r="B4611" s="38">
        <v>682990.0</v>
      </c>
      <c r="C4611" s="72">
        <v>45890.0</v>
      </c>
      <c r="D4611" s="38">
        <v>92.0</v>
      </c>
      <c r="E4611" s="75"/>
      <c r="F4611" s="67">
        <v>4.509605262</v>
      </c>
      <c r="G4611" s="40">
        <v>3.003290235</v>
      </c>
      <c r="H4611" s="40"/>
      <c r="I4611" s="41">
        <v>0.326086957</v>
      </c>
      <c r="J4611" s="41">
        <v>0.195652174</v>
      </c>
      <c r="K4611" s="41">
        <v>0.47826087</v>
      </c>
      <c r="L4611" s="41"/>
      <c r="M4611" s="74">
        <v>2.023521554</v>
      </c>
    </row>
    <row r="4612">
      <c r="A4612" s="1" t="s">
        <v>410</v>
      </c>
      <c r="B4612" s="38">
        <v>678394.0</v>
      </c>
      <c r="C4612" s="72">
        <v>45901.0</v>
      </c>
      <c r="D4612" s="38">
        <v>98.0</v>
      </c>
      <c r="E4612" s="75"/>
      <c r="F4612" s="67">
        <v>4.509515136</v>
      </c>
      <c r="G4612" s="40">
        <v>3.238548653</v>
      </c>
      <c r="H4612" s="40"/>
      <c r="I4612" s="41">
        <v>0.295918367</v>
      </c>
      <c r="J4612" s="41">
        <v>0.285714286</v>
      </c>
      <c r="K4612" s="41">
        <v>0.418367347</v>
      </c>
      <c r="L4612" s="41"/>
      <c r="M4612" s="74">
        <v>0.072258901</v>
      </c>
    </row>
    <row r="4613">
      <c r="A4613" s="1" t="s">
        <v>452</v>
      </c>
      <c r="B4613" s="38">
        <v>607625.0</v>
      </c>
      <c r="C4613" s="72">
        <v>45898.0</v>
      </c>
      <c r="D4613" s="38">
        <v>81.0</v>
      </c>
      <c r="E4613" s="75"/>
      <c r="F4613" s="67">
        <v>4.509060326</v>
      </c>
      <c r="G4613" s="40">
        <v>2.68703167</v>
      </c>
      <c r="H4613" s="40"/>
      <c r="I4613" s="41">
        <v>0.37037037</v>
      </c>
      <c r="J4613" s="41">
        <v>0.209876543</v>
      </c>
      <c r="K4613" s="41">
        <v>0.419753086</v>
      </c>
      <c r="L4613" s="41"/>
      <c r="M4613" s="74">
        <v>-2.672576009</v>
      </c>
    </row>
    <row r="4614">
      <c r="A4614" s="1" t="s">
        <v>510</v>
      </c>
      <c r="B4614" s="38">
        <v>702674.0</v>
      </c>
      <c r="C4614" s="72">
        <v>45801.0</v>
      </c>
      <c r="D4614" s="38">
        <v>61.0</v>
      </c>
      <c r="E4614" s="75"/>
      <c r="F4614" s="67">
        <v>4.5088045</v>
      </c>
      <c r="G4614" s="40">
        <v>2.034101876</v>
      </c>
      <c r="H4614" s="40"/>
      <c r="I4614" s="41">
        <v>0.360655738</v>
      </c>
      <c r="J4614" s="41">
        <v>0.114754098</v>
      </c>
      <c r="K4614" s="41">
        <v>0.524590164</v>
      </c>
      <c r="L4614" s="41"/>
      <c r="M4614" s="74">
        <v>0.026100204</v>
      </c>
    </row>
    <row r="4615">
      <c r="A4615" s="1" t="s">
        <v>474</v>
      </c>
      <c r="B4615" s="38">
        <v>450203.0</v>
      </c>
      <c r="C4615" s="72">
        <v>45907.0</v>
      </c>
      <c r="D4615" s="38">
        <v>71.0</v>
      </c>
      <c r="E4615" s="75"/>
      <c r="F4615" s="67">
        <v>4.506635276</v>
      </c>
      <c r="G4615" s="40">
        <v>2.370526899</v>
      </c>
      <c r="H4615" s="40"/>
      <c r="I4615" s="41">
        <v>0.436619718</v>
      </c>
      <c r="J4615" s="41">
        <v>0.126760563</v>
      </c>
      <c r="K4615" s="41">
        <v>0.436619718</v>
      </c>
      <c r="L4615" s="41"/>
      <c r="M4615" s="74">
        <v>0.398540974</v>
      </c>
    </row>
    <row r="4616">
      <c r="A4616" s="1" t="s">
        <v>434</v>
      </c>
      <c r="B4616" s="38">
        <v>690990.0</v>
      </c>
      <c r="C4616" s="72">
        <v>45835.0</v>
      </c>
      <c r="D4616" s="38">
        <v>79.0</v>
      </c>
      <c r="E4616" s="75"/>
      <c r="F4616" s="67">
        <v>4.503314332</v>
      </c>
      <c r="G4616" s="40">
        <v>2.636637997</v>
      </c>
      <c r="H4616" s="40"/>
      <c r="I4616" s="41">
        <v>0.455696203</v>
      </c>
      <c r="J4616" s="41">
        <v>0.17721519</v>
      </c>
      <c r="K4616" s="41">
        <v>0.367088608</v>
      </c>
      <c r="L4616" s="41"/>
      <c r="M4616" s="74">
        <v>-3.64662374</v>
      </c>
    </row>
    <row r="4617">
      <c r="A4617" s="1" t="s">
        <v>474</v>
      </c>
      <c r="B4617" s="38">
        <v>450203.0</v>
      </c>
      <c r="C4617" s="72">
        <v>45862.0</v>
      </c>
      <c r="D4617" s="38">
        <v>106.0</v>
      </c>
      <c r="E4617" s="75"/>
      <c r="F4617" s="67">
        <v>4.500850241</v>
      </c>
      <c r="G4617" s="40">
        <v>3.551486601</v>
      </c>
      <c r="H4617" s="40"/>
      <c r="I4617" s="41">
        <v>0.386792453</v>
      </c>
      <c r="J4617" s="41">
        <v>0.188679245</v>
      </c>
      <c r="K4617" s="41">
        <v>0.424528302</v>
      </c>
      <c r="L4617" s="41"/>
      <c r="M4617" s="74">
        <v>1.51515144</v>
      </c>
    </row>
    <row r="4618">
      <c r="A4618" s="1" t="s">
        <v>490</v>
      </c>
      <c r="B4618" s="38">
        <v>680573.0</v>
      </c>
      <c r="C4618" s="72">
        <v>45778.0</v>
      </c>
      <c r="D4618" s="38">
        <v>95.0</v>
      </c>
      <c r="E4618" s="75"/>
      <c r="F4618" s="67">
        <v>4.499763322</v>
      </c>
      <c r="G4618" s="40">
        <v>3.154073887</v>
      </c>
      <c r="H4618" s="40"/>
      <c r="I4618" s="41">
        <v>0.357894737</v>
      </c>
      <c r="J4618" s="41">
        <v>0.168421053</v>
      </c>
      <c r="K4618" s="41">
        <v>0.473684211</v>
      </c>
      <c r="L4618" s="41"/>
      <c r="M4618" s="74">
        <v>2.794841299</v>
      </c>
    </row>
    <row r="4619">
      <c r="A4619" s="1" t="s">
        <v>412</v>
      </c>
      <c r="B4619" s="38">
        <v>641482.0</v>
      </c>
      <c r="C4619" s="72">
        <v>45887.0</v>
      </c>
      <c r="D4619" s="38">
        <v>88.0</v>
      </c>
      <c r="E4619" s="75"/>
      <c r="F4619" s="67">
        <v>4.495073266</v>
      </c>
      <c r="G4619" s="40">
        <v>2.973808244</v>
      </c>
      <c r="H4619" s="40"/>
      <c r="I4619" s="41">
        <v>0.340909091</v>
      </c>
      <c r="J4619" s="41">
        <v>0.181818182</v>
      </c>
      <c r="K4619" s="41">
        <v>0.477272727</v>
      </c>
      <c r="L4619" s="41"/>
      <c r="M4619" s="74">
        <v>-3.356090493</v>
      </c>
    </row>
    <row r="4620">
      <c r="A4620" s="1" t="s">
        <v>351</v>
      </c>
      <c r="B4620" s="38">
        <v>689017.0</v>
      </c>
      <c r="C4620" s="72">
        <v>45813.0</v>
      </c>
      <c r="D4620" s="38">
        <v>81.0</v>
      </c>
      <c r="E4620" s="75"/>
      <c r="F4620" s="67">
        <v>4.493698965</v>
      </c>
      <c r="G4620" s="40">
        <v>2.733740726</v>
      </c>
      <c r="H4620" s="40"/>
      <c r="I4620" s="41">
        <v>0.469135802</v>
      </c>
      <c r="J4620" s="41">
        <v>0.12345679</v>
      </c>
      <c r="K4620" s="41">
        <v>0.407407407</v>
      </c>
      <c r="L4620" s="41"/>
      <c r="M4620" s="74">
        <v>0.593880602</v>
      </c>
    </row>
    <row r="4621">
      <c r="A4621" s="1" t="s">
        <v>302</v>
      </c>
      <c r="B4621" s="38">
        <v>681190.0</v>
      </c>
      <c r="C4621" s="72">
        <v>45814.0</v>
      </c>
      <c r="D4621" s="38">
        <v>73.0</v>
      </c>
      <c r="E4621" s="75"/>
      <c r="F4621" s="67">
        <v>4.491679452</v>
      </c>
      <c r="G4621" s="40">
        <v>2.475974905</v>
      </c>
      <c r="H4621" s="40"/>
      <c r="I4621" s="41">
        <v>0.410958904</v>
      </c>
      <c r="J4621" s="41">
        <v>0.164383562</v>
      </c>
      <c r="K4621" s="41">
        <v>0.424657534</v>
      </c>
      <c r="L4621" s="41"/>
      <c r="M4621" s="74">
        <v>2.34945085</v>
      </c>
    </row>
    <row r="4622">
      <c r="A4622" s="1" t="s">
        <v>344</v>
      </c>
      <c r="B4622" s="38">
        <v>701542.0</v>
      </c>
      <c r="C4622" s="72">
        <v>45892.0</v>
      </c>
      <c r="D4622" s="38">
        <v>69.0</v>
      </c>
      <c r="E4622" s="75"/>
      <c r="F4622" s="67">
        <v>4.491536851</v>
      </c>
      <c r="G4622" s="40">
        <v>2.356562541</v>
      </c>
      <c r="H4622" s="40"/>
      <c r="I4622" s="41">
        <v>0.405797101</v>
      </c>
      <c r="J4622" s="41">
        <v>0.173913043</v>
      </c>
      <c r="K4622" s="41">
        <v>0.420289855</v>
      </c>
      <c r="L4622" s="41"/>
      <c r="M4622" s="74">
        <v>-3.311194257</v>
      </c>
    </row>
    <row r="4623">
      <c r="A4623" s="1" t="s">
        <v>549</v>
      </c>
      <c r="B4623" s="38">
        <v>685326.0</v>
      </c>
      <c r="C4623" s="72">
        <v>45899.0</v>
      </c>
      <c r="D4623" s="38">
        <v>81.0</v>
      </c>
      <c r="E4623" s="75"/>
      <c r="F4623" s="67">
        <v>4.486461542</v>
      </c>
      <c r="G4623" s="40">
        <v>2.76149086</v>
      </c>
      <c r="H4623" s="40"/>
      <c r="I4623" s="41">
        <v>0.432098765</v>
      </c>
      <c r="J4623" s="41">
        <v>0.172839506</v>
      </c>
      <c r="K4623" s="41">
        <v>0.395061728</v>
      </c>
      <c r="L4623" s="41"/>
      <c r="M4623" s="74">
        <v>-0.544913054</v>
      </c>
    </row>
    <row r="4624">
      <c r="A4624" s="1" t="s">
        <v>490</v>
      </c>
      <c r="B4624" s="38">
        <v>680573.0</v>
      </c>
      <c r="C4624" s="72">
        <v>45846.0</v>
      </c>
      <c r="D4624" s="38">
        <v>60.0</v>
      </c>
      <c r="E4624" s="75"/>
      <c r="F4624" s="67">
        <v>4.483498022</v>
      </c>
      <c r="G4624" s="40">
        <v>2.062198744</v>
      </c>
      <c r="H4624" s="40"/>
      <c r="I4624" s="41">
        <v>0.4</v>
      </c>
      <c r="J4624" s="41">
        <v>0.166666667</v>
      </c>
      <c r="K4624" s="41">
        <v>0.433333333</v>
      </c>
      <c r="L4624" s="41"/>
      <c r="M4624" s="74">
        <v>1.718017141</v>
      </c>
    </row>
    <row r="4625">
      <c r="A4625" s="1" t="s">
        <v>521</v>
      </c>
      <c r="B4625" s="38">
        <v>686799.0</v>
      </c>
      <c r="C4625" s="72">
        <v>45879.0</v>
      </c>
      <c r="D4625" s="38">
        <v>84.0</v>
      </c>
      <c r="E4625" s="75"/>
      <c r="F4625" s="67">
        <v>4.481839947</v>
      </c>
      <c r="G4625" s="40">
        <v>2.863404421</v>
      </c>
      <c r="H4625" s="40"/>
      <c r="I4625" s="41">
        <v>0.357142857</v>
      </c>
      <c r="J4625" s="41">
        <v>0.19047619</v>
      </c>
      <c r="K4625" s="41">
        <v>0.452380952</v>
      </c>
      <c r="L4625" s="41"/>
      <c r="M4625" s="74">
        <v>-2.504648317</v>
      </c>
    </row>
    <row r="4626">
      <c r="A4626" s="1" t="s">
        <v>492</v>
      </c>
      <c r="B4626" s="38">
        <v>671212.0</v>
      </c>
      <c r="C4626" s="72">
        <v>45760.0</v>
      </c>
      <c r="D4626" s="38">
        <v>73.0</v>
      </c>
      <c r="E4626" s="75"/>
      <c r="F4626" s="67">
        <v>4.480795116</v>
      </c>
      <c r="G4626" s="40">
        <v>2.470844147</v>
      </c>
      <c r="H4626" s="40"/>
      <c r="I4626" s="41">
        <v>0.397260274</v>
      </c>
      <c r="J4626" s="41">
        <v>0.191780822</v>
      </c>
      <c r="K4626" s="41">
        <v>0.410958904</v>
      </c>
      <c r="L4626" s="41"/>
      <c r="M4626" s="74">
        <v>3.899007191</v>
      </c>
    </row>
    <row r="4627">
      <c r="A4627" s="1" t="s">
        <v>308</v>
      </c>
      <c r="B4627" s="38">
        <v>676440.0</v>
      </c>
      <c r="C4627" s="72">
        <v>45758.0</v>
      </c>
      <c r="D4627" s="38">
        <v>96.0</v>
      </c>
      <c r="E4627" s="75"/>
      <c r="F4627" s="67">
        <v>4.474168633</v>
      </c>
      <c r="G4627" s="40">
        <v>3.238298771</v>
      </c>
      <c r="H4627" s="40"/>
      <c r="I4627" s="41">
        <v>0.375</v>
      </c>
      <c r="J4627" s="41">
        <v>0.125</v>
      </c>
      <c r="K4627" s="41">
        <v>0.5</v>
      </c>
      <c r="L4627" s="41"/>
      <c r="M4627" s="74">
        <v>1.573047382</v>
      </c>
    </row>
    <row r="4628">
      <c r="A4628" s="1" t="s">
        <v>356</v>
      </c>
      <c r="B4628" s="38">
        <v>680732.0</v>
      </c>
      <c r="C4628" s="72">
        <v>45788.0</v>
      </c>
      <c r="D4628" s="38">
        <v>85.0</v>
      </c>
      <c r="E4628" s="75"/>
      <c r="F4628" s="67">
        <v>4.473542902</v>
      </c>
      <c r="G4628" s="40">
        <v>2.905854756</v>
      </c>
      <c r="H4628" s="40"/>
      <c r="I4628" s="41">
        <v>0.317647059</v>
      </c>
      <c r="J4628" s="41">
        <v>0.235294118</v>
      </c>
      <c r="K4628" s="41">
        <v>0.447058824</v>
      </c>
      <c r="L4628" s="41"/>
      <c r="M4628" s="74">
        <v>0.694415277</v>
      </c>
    </row>
    <row r="4629">
      <c r="A4629" s="1" t="s">
        <v>495</v>
      </c>
      <c r="B4629" s="38">
        <v>801403.0</v>
      </c>
      <c r="C4629" s="72">
        <v>45896.0</v>
      </c>
      <c r="D4629" s="38">
        <v>96.0</v>
      </c>
      <c r="E4629" s="75"/>
      <c r="F4629" s="67">
        <v>4.472566905</v>
      </c>
      <c r="G4629" s="40">
        <v>3.254593669</v>
      </c>
      <c r="H4629" s="40"/>
      <c r="I4629" s="41">
        <v>0.385416667</v>
      </c>
      <c r="J4629" s="41">
        <v>0.114583333</v>
      </c>
      <c r="K4629" s="41">
        <v>0.5</v>
      </c>
      <c r="L4629" s="41"/>
      <c r="M4629" s="74">
        <v>3.400444994</v>
      </c>
    </row>
    <row r="4630">
      <c r="A4630" s="1" t="s">
        <v>484</v>
      </c>
      <c r="B4630" s="38">
        <v>682847.0</v>
      </c>
      <c r="C4630" s="72">
        <v>45770.0</v>
      </c>
      <c r="D4630" s="38">
        <v>104.0</v>
      </c>
      <c r="E4630" s="75"/>
      <c r="F4630" s="67">
        <v>4.466899091</v>
      </c>
      <c r="G4630" s="40">
        <v>3.565280545</v>
      </c>
      <c r="H4630" s="40"/>
      <c r="I4630" s="41">
        <v>0.365384615</v>
      </c>
      <c r="J4630" s="41">
        <v>0.230769231</v>
      </c>
      <c r="K4630" s="41">
        <v>0.403846154</v>
      </c>
      <c r="L4630" s="41"/>
      <c r="M4630" s="74">
        <v>1.495099898</v>
      </c>
    </row>
    <row r="4631">
      <c r="A4631" s="1" t="s">
        <v>624</v>
      </c>
      <c r="B4631" s="38">
        <v>672710.0</v>
      </c>
      <c r="C4631" s="72">
        <v>45896.0</v>
      </c>
      <c r="D4631" s="38">
        <v>65.0</v>
      </c>
      <c r="E4631" s="75"/>
      <c r="F4631" s="67">
        <v>4.463530675</v>
      </c>
      <c r="G4631" s="40">
        <v>2.201640347</v>
      </c>
      <c r="H4631" s="40"/>
      <c r="I4631" s="41">
        <v>0.415384615</v>
      </c>
      <c r="J4631" s="41">
        <v>0.153846154</v>
      </c>
      <c r="K4631" s="41">
        <v>0.430769231</v>
      </c>
      <c r="L4631" s="41"/>
      <c r="M4631" s="74">
        <v>0.819861271</v>
      </c>
    </row>
    <row r="4632">
      <c r="A4632" s="1" t="s">
        <v>511</v>
      </c>
      <c r="B4632" s="38">
        <v>671131.0</v>
      </c>
      <c r="C4632" s="72">
        <v>45840.0</v>
      </c>
      <c r="D4632" s="38">
        <v>61.0</v>
      </c>
      <c r="E4632" s="75"/>
      <c r="F4632" s="67">
        <v>4.45406432</v>
      </c>
      <c r="G4632" s="40">
        <v>2.074948482</v>
      </c>
      <c r="H4632" s="40"/>
      <c r="I4632" s="41">
        <v>0.409836066</v>
      </c>
      <c r="J4632" s="41">
        <v>0.147540984</v>
      </c>
      <c r="K4632" s="41">
        <v>0.442622951</v>
      </c>
      <c r="L4632" s="41"/>
      <c r="M4632" s="74">
        <v>-1.105310527</v>
      </c>
    </row>
    <row r="4633">
      <c r="A4633" s="1" t="s">
        <v>431</v>
      </c>
      <c r="B4633" s="38">
        <v>669203.0</v>
      </c>
      <c r="C4633" s="72">
        <v>45777.0</v>
      </c>
      <c r="D4633" s="38">
        <v>94.0</v>
      </c>
      <c r="E4633" s="75"/>
      <c r="F4633" s="67">
        <v>4.452351001</v>
      </c>
      <c r="G4633" s="40">
        <v>3.260441606</v>
      </c>
      <c r="H4633" s="40"/>
      <c r="I4633" s="41">
        <v>0.457446809</v>
      </c>
      <c r="J4633" s="41">
        <v>0.106382979</v>
      </c>
      <c r="K4633" s="41">
        <v>0.436170213</v>
      </c>
      <c r="L4633" s="41"/>
      <c r="M4633" s="74">
        <v>1.251148766</v>
      </c>
    </row>
    <row r="4634">
      <c r="A4634" s="1" t="s">
        <v>332</v>
      </c>
      <c r="B4634" s="38">
        <v>641778.0</v>
      </c>
      <c r="C4634" s="72">
        <v>45885.0</v>
      </c>
      <c r="D4634" s="38">
        <v>100.0</v>
      </c>
      <c r="E4634" s="75"/>
      <c r="F4634" s="67">
        <v>4.448635648</v>
      </c>
      <c r="G4634" s="40">
        <v>3.457061985</v>
      </c>
      <c r="H4634" s="40"/>
      <c r="I4634" s="41">
        <v>0.34</v>
      </c>
      <c r="J4634" s="41">
        <v>0.2</v>
      </c>
      <c r="K4634" s="41">
        <v>0.46</v>
      </c>
      <c r="L4634" s="41"/>
      <c r="M4634" s="74">
        <v>1.994684527</v>
      </c>
    </row>
    <row r="4635">
      <c r="A4635" s="1" t="s">
        <v>423</v>
      </c>
      <c r="B4635" s="38">
        <v>656605.0</v>
      </c>
      <c r="C4635" s="72">
        <v>45926.0</v>
      </c>
      <c r="D4635" s="38">
        <v>85.0</v>
      </c>
      <c r="E4635" s="75"/>
      <c r="F4635" s="67">
        <v>4.442548975</v>
      </c>
      <c r="G4635" s="40">
        <v>2.91590489</v>
      </c>
      <c r="H4635" s="40"/>
      <c r="I4635" s="41">
        <v>0.305882353</v>
      </c>
      <c r="J4635" s="41">
        <v>0.152941176</v>
      </c>
      <c r="K4635" s="41">
        <v>0.541176471</v>
      </c>
      <c r="L4635" s="41"/>
      <c r="M4635" s="74">
        <v>1.881652086</v>
      </c>
    </row>
    <row r="4636">
      <c r="A4636" s="1" t="s">
        <v>352</v>
      </c>
      <c r="B4636" s="38">
        <v>685299.0</v>
      </c>
      <c r="C4636" s="72">
        <v>45800.0</v>
      </c>
      <c r="D4636" s="38">
        <v>71.0</v>
      </c>
      <c r="E4636" s="75"/>
      <c r="F4636" s="67">
        <v>4.442194211</v>
      </c>
      <c r="G4636" s="40">
        <v>2.52230164</v>
      </c>
      <c r="H4636" s="40"/>
      <c r="I4636" s="41">
        <v>0.352112676</v>
      </c>
      <c r="J4636" s="41">
        <v>0.169014085</v>
      </c>
      <c r="K4636" s="41">
        <v>0.478873239</v>
      </c>
      <c r="L4636" s="41"/>
      <c r="M4636" s="74">
        <v>0.082755841</v>
      </c>
    </row>
    <row r="4637">
      <c r="A4637" s="1" t="s">
        <v>521</v>
      </c>
      <c r="B4637" s="38">
        <v>686799.0</v>
      </c>
      <c r="C4637" s="72">
        <v>45866.0</v>
      </c>
      <c r="D4637" s="38">
        <v>71.0</v>
      </c>
      <c r="E4637" s="75"/>
      <c r="F4637" s="67">
        <v>4.439823921</v>
      </c>
      <c r="G4637" s="40">
        <v>2.488603265</v>
      </c>
      <c r="H4637" s="40"/>
      <c r="I4637" s="41">
        <v>0.352112676</v>
      </c>
      <c r="J4637" s="41">
        <v>0.197183099</v>
      </c>
      <c r="K4637" s="41">
        <v>0.450704225</v>
      </c>
      <c r="L4637" s="41"/>
      <c r="M4637" s="74">
        <v>3.255834061</v>
      </c>
    </row>
    <row r="4638">
      <c r="A4638" s="1" t="s">
        <v>335</v>
      </c>
      <c r="B4638" s="38">
        <v>663436.0</v>
      </c>
      <c r="C4638" s="72">
        <v>45860.0</v>
      </c>
      <c r="D4638" s="38">
        <v>72.0</v>
      </c>
      <c r="E4638" s="75"/>
      <c r="F4638" s="67">
        <v>4.436544718</v>
      </c>
      <c r="G4638" s="40">
        <v>2.50790484</v>
      </c>
      <c r="H4638" s="40"/>
      <c r="I4638" s="41">
        <v>0.361111111</v>
      </c>
      <c r="J4638" s="41">
        <v>0.152777778</v>
      </c>
      <c r="K4638" s="41">
        <v>0.486111111</v>
      </c>
      <c r="L4638" s="41"/>
      <c r="M4638" s="74">
        <v>0.24145181</v>
      </c>
    </row>
    <row r="4639">
      <c r="A4639" s="1" t="s">
        <v>459</v>
      </c>
      <c r="B4639" s="38">
        <v>664062.0</v>
      </c>
      <c r="C4639" s="72">
        <v>45795.0</v>
      </c>
      <c r="D4639" s="38">
        <v>94.0</v>
      </c>
      <c r="E4639" s="75"/>
      <c r="F4639" s="67">
        <v>4.424817655</v>
      </c>
      <c r="G4639" s="40">
        <v>3.283492659</v>
      </c>
      <c r="H4639" s="40"/>
      <c r="I4639" s="41">
        <v>0.361702128</v>
      </c>
      <c r="J4639" s="41">
        <v>0.191489362</v>
      </c>
      <c r="K4639" s="41">
        <v>0.446808511</v>
      </c>
      <c r="L4639" s="41"/>
      <c r="M4639" s="74">
        <v>0.57406527</v>
      </c>
    </row>
    <row r="4640">
      <c r="A4640" s="1" t="s">
        <v>410</v>
      </c>
      <c r="B4640" s="38">
        <v>678394.0</v>
      </c>
      <c r="C4640" s="72">
        <v>45785.0</v>
      </c>
      <c r="D4640" s="38">
        <v>83.0</v>
      </c>
      <c r="E4640" s="75"/>
      <c r="F4640" s="67">
        <v>4.423892433</v>
      </c>
      <c r="G4640" s="40">
        <v>2.897365873</v>
      </c>
      <c r="H4640" s="40"/>
      <c r="I4640" s="41">
        <v>0.34939759</v>
      </c>
      <c r="J4640" s="41">
        <v>0.204819277</v>
      </c>
      <c r="K4640" s="41">
        <v>0.445783133</v>
      </c>
      <c r="L4640" s="41"/>
      <c r="M4640" s="74">
        <v>0.154363257</v>
      </c>
    </row>
    <row r="4641">
      <c r="A4641" s="1" t="s">
        <v>275</v>
      </c>
      <c r="B4641" s="38">
        <v>693821.0</v>
      </c>
      <c r="C4641" s="72">
        <v>45821.0</v>
      </c>
      <c r="D4641" s="38">
        <v>67.0</v>
      </c>
      <c r="E4641" s="75"/>
      <c r="F4641" s="67">
        <v>4.41800823</v>
      </c>
      <c r="G4641" s="40">
        <v>2.347713668</v>
      </c>
      <c r="H4641" s="40"/>
      <c r="I4641" s="41">
        <v>0.313432836</v>
      </c>
      <c r="J4641" s="41">
        <v>0.179104478</v>
      </c>
      <c r="K4641" s="41">
        <v>0.507462687</v>
      </c>
      <c r="L4641" s="41"/>
      <c r="M4641" s="74">
        <v>-2.911272647</v>
      </c>
    </row>
    <row r="4642">
      <c r="A4642" s="1" t="s">
        <v>424</v>
      </c>
      <c r="B4642" s="38">
        <v>667755.0</v>
      </c>
      <c r="C4642" s="72">
        <v>45769.0</v>
      </c>
      <c r="D4642" s="38">
        <v>81.0</v>
      </c>
      <c r="E4642" s="75"/>
      <c r="F4642" s="67">
        <v>4.414327867</v>
      </c>
      <c r="G4642" s="40">
        <v>2.840323992</v>
      </c>
      <c r="H4642" s="40"/>
      <c r="I4642" s="41">
        <v>0.407407407</v>
      </c>
      <c r="J4642" s="41">
        <v>0.12345679</v>
      </c>
      <c r="K4642" s="41">
        <v>0.469135802</v>
      </c>
      <c r="L4642" s="41"/>
      <c r="M4642" s="74">
        <v>-3.257311322</v>
      </c>
    </row>
    <row r="4643">
      <c r="A4643" s="1" t="s">
        <v>412</v>
      </c>
      <c r="B4643" s="38">
        <v>641482.0</v>
      </c>
      <c r="C4643" s="72">
        <v>45875.0</v>
      </c>
      <c r="D4643" s="38">
        <v>72.0</v>
      </c>
      <c r="E4643" s="75"/>
      <c r="F4643" s="67">
        <v>4.410693633</v>
      </c>
      <c r="G4643" s="40">
        <v>2.528709882</v>
      </c>
      <c r="H4643" s="40"/>
      <c r="I4643" s="41">
        <v>0.319444444</v>
      </c>
      <c r="J4643" s="41">
        <v>0.208333333</v>
      </c>
      <c r="K4643" s="41">
        <v>0.472222222</v>
      </c>
      <c r="L4643" s="41"/>
      <c r="M4643" s="74">
        <v>-0.139703</v>
      </c>
    </row>
    <row r="4644">
      <c r="A4644" s="1" t="s">
        <v>598</v>
      </c>
      <c r="B4644" s="38">
        <v>686826.0</v>
      </c>
      <c r="C4644" s="72">
        <v>45844.0</v>
      </c>
      <c r="D4644" s="38">
        <v>63.0</v>
      </c>
      <c r="E4644" s="75"/>
      <c r="F4644" s="67">
        <v>4.408132748</v>
      </c>
      <c r="G4644" s="40">
        <v>2.246128717</v>
      </c>
      <c r="H4644" s="40"/>
      <c r="I4644" s="41">
        <v>0.333333333</v>
      </c>
      <c r="J4644" s="41">
        <v>0.206349206</v>
      </c>
      <c r="K4644" s="41">
        <v>0.46031746</v>
      </c>
      <c r="L4644" s="41"/>
      <c r="M4644" s="74">
        <v>0.375042583</v>
      </c>
    </row>
    <row r="4645">
      <c r="A4645" s="1" t="s">
        <v>514</v>
      </c>
      <c r="B4645" s="38">
        <v>806185.0</v>
      </c>
      <c r="C4645" s="72">
        <v>45844.0</v>
      </c>
      <c r="D4645" s="38">
        <v>87.0</v>
      </c>
      <c r="E4645" s="75"/>
      <c r="F4645" s="67">
        <v>4.403484011</v>
      </c>
      <c r="G4645" s="40">
        <v>3.080027329</v>
      </c>
      <c r="H4645" s="40"/>
      <c r="I4645" s="41">
        <v>0.379310345</v>
      </c>
      <c r="J4645" s="41">
        <v>0.114942529</v>
      </c>
      <c r="K4645" s="41">
        <v>0.505747126</v>
      </c>
      <c r="L4645" s="41"/>
      <c r="M4645" s="74">
        <v>1.319771265</v>
      </c>
    </row>
    <row r="4646">
      <c r="A4646" s="1" t="s">
        <v>246</v>
      </c>
      <c r="B4646" s="38">
        <v>571510.0</v>
      </c>
      <c r="C4646" s="72">
        <v>45866.0</v>
      </c>
      <c r="D4646" s="38">
        <v>90.0</v>
      </c>
      <c r="E4646" s="75"/>
      <c r="F4646" s="67">
        <v>4.40345837</v>
      </c>
      <c r="G4646" s="40">
        <v>3.234006063</v>
      </c>
      <c r="H4646" s="40"/>
      <c r="I4646" s="41">
        <v>0.333333333</v>
      </c>
      <c r="J4646" s="41">
        <v>0.177777778</v>
      </c>
      <c r="K4646" s="41">
        <v>0.488888889</v>
      </c>
      <c r="L4646" s="41"/>
      <c r="M4646" s="74">
        <v>-0.618710625</v>
      </c>
    </row>
    <row r="4647">
      <c r="A4647" s="1" t="s">
        <v>163</v>
      </c>
      <c r="B4647" s="38">
        <v>663460.0</v>
      </c>
      <c r="C4647" s="72">
        <v>45864.0</v>
      </c>
      <c r="D4647" s="38">
        <v>63.0</v>
      </c>
      <c r="E4647" s="75"/>
      <c r="F4647" s="67">
        <v>4.394567298</v>
      </c>
      <c r="G4647" s="40">
        <v>2.246091565</v>
      </c>
      <c r="H4647" s="40"/>
      <c r="I4647" s="41">
        <v>0.428571429</v>
      </c>
      <c r="J4647" s="41">
        <v>0.142857143</v>
      </c>
      <c r="K4647" s="41">
        <v>0.428571429</v>
      </c>
      <c r="L4647" s="41"/>
      <c r="M4647" s="74">
        <v>0.216552201</v>
      </c>
    </row>
    <row r="4648">
      <c r="A4648" s="1" t="s">
        <v>513</v>
      </c>
      <c r="B4648" s="38">
        <v>608566.0</v>
      </c>
      <c r="C4648" s="72">
        <v>45752.0</v>
      </c>
      <c r="D4648" s="38">
        <v>88.0</v>
      </c>
      <c r="E4648" s="75"/>
      <c r="F4648" s="67">
        <v>4.391241823</v>
      </c>
      <c r="G4648" s="40">
        <v>3.162876877</v>
      </c>
      <c r="H4648" s="40"/>
      <c r="I4648" s="41">
        <v>0.397727273</v>
      </c>
      <c r="J4648" s="41">
        <v>0.159090909</v>
      </c>
      <c r="K4648" s="41">
        <v>0.443181818</v>
      </c>
      <c r="L4648" s="41"/>
      <c r="M4648" s="74">
        <v>0.936622576</v>
      </c>
    </row>
    <row r="4649">
      <c r="A4649" s="1" t="s">
        <v>495</v>
      </c>
      <c r="B4649" s="38">
        <v>801403.0</v>
      </c>
      <c r="C4649" s="72">
        <v>45777.0</v>
      </c>
      <c r="D4649" s="38">
        <v>85.0</v>
      </c>
      <c r="E4649" s="75"/>
      <c r="F4649" s="67">
        <v>4.387937794</v>
      </c>
      <c r="G4649" s="40">
        <v>3.072473814</v>
      </c>
      <c r="H4649" s="40"/>
      <c r="I4649" s="41">
        <v>0.270588235</v>
      </c>
      <c r="J4649" s="41">
        <v>0.235294118</v>
      </c>
      <c r="K4649" s="41">
        <v>0.494117647</v>
      </c>
      <c r="L4649" s="41"/>
      <c r="M4649" s="74">
        <v>3.261821426</v>
      </c>
    </row>
    <row r="4650">
      <c r="A4650" s="1" t="s">
        <v>374</v>
      </c>
      <c r="B4650" s="38">
        <v>683004.0</v>
      </c>
      <c r="C4650" s="72">
        <v>45875.0</v>
      </c>
      <c r="D4650" s="38">
        <v>62.0</v>
      </c>
      <c r="E4650" s="75"/>
      <c r="F4650" s="67">
        <v>4.379296357</v>
      </c>
      <c r="G4650" s="40">
        <v>2.224877447</v>
      </c>
      <c r="H4650" s="40"/>
      <c r="I4650" s="41">
        <v>0.35483871</v>
      </c>
      <c r="J4650" s="41">
        <v>0.193548387</v>
      </c>
      <c r="K4650" s="41">
        <v>0.451612903</v>
      </c>
      <c r="L4650" s="41"/>
      <c r="M4650" s="74">
        <v>-0.260620733</v>
      </c>
    </row>
    <row r="4651">
      <c r="A4651" s="1" t="s">
        <v>549</v>
      </c>
      <c r="B4651" s="38">
        <v>685326.0</v>
      </c>
      <c r="C4651" s="72">
        <v>45917.0</v>
      </c>
      <c r="D4651" s="38">
        <v>72.0</v>
      </c>
      <c r="E4651" s="75"/>
      <c r="F4651" s="67">
        <v>4.376358104</v>
      </c>
      <c r="G4651" s="40">
        <v>2.627726054</v>
      </c>
      <c r="H4651" s="40"/>
      <c r="I4651" s="41">
        <v>0.361111111</v>
      </c>
      <c r="J4651" s="41">
        <v>0.180555556</v>
      </c>
      <c r="K4651" s="41">
        <v>0.458333333</v>
      </c>
      <c r="L4651" s="41"/>
      <c r="M4651" s="74">
        <v>0.144441579</v>
      </c>
    </row>
    <row r="4652">
      <c r="A4652" s="1" t="s">
        <v>450</v>
      </c>
      <c r="B4652" s="38">
        <v>682990.0</v>
      </c>
      <c r="C4652" s="72">
        <v>45768.0</v>
      </c>
      <c r="D4652" s="38">
        <v>75.0</v>
      </c>
      <c r="E4652" s="75"/>
      <c r="F4652" s="67">
        <v>4.373575969</v>
      </c>
      <c r="G4652" s="40">
        <v>2.694365047</v>
      </c>
      <c r="H4652" s="40"/>
      <c r="I4652" s="41">
        <v>0.333333333</v>
      </c>
      <c r="J4652" s="41">
        <v>0.213333333</v>
      </c>
      <c r="K4652" s="41">
        <v>0.453333333</v>
      </c>
      <c r="L4652" s="41"/>
      <c r="M4652" s="74">
        <v>-0.541881684</v>
      </c>
    </row>
    <row r="4653">
      <c r="A4653" s="1" t="s">
        <v>229</v>
      </c>
      <c r="B4653" s="38">
        <v>645261.0</v>
      </c>
      <c r="C4653" s="72">
        <v>45776.0</v>
      </c>
      <c r="D4653" s="38">
        <v>78.0</v>
      </c>
      <c r="E4653" s="75"/>
      <c r="F4653" s="67">
        <v>4.362085491</v>
      </c>
      <c r="G4653" s="40">
        <v>2.85649431</v>
      </c>
      <c r="H4653" s="40"/>
      <c r="I4653" s="41">
        <v>0.384615385</v>
      </c>
      <c r="J4653" s="41">
        <v>0.192307692</v>
      </c>
      <c r="K4653" s="41">
        <v>0.423076923</v>
      </c>
      <c r="L4653" s="41"/>
      <c r="M4653" s="74">
        <v>-2.216825027</v>
      </c>
    </row>
    <row r="4654">
      <c r="A4654" s="1" t="s">
        <v>368</v>
      </c>
      <c r="B4654" s="38">
        <v>593958.0</v>
      </c>
      <c r="C4654" s="72">
        <v>45878.0</v>
      </c>
      <c r="D4654" s="38">
        <v>81.0</v>
      </c>
      <c r="E4654" s="75"/>
      <c r="F4654" s="67">
        <v>4.36123876</v>
      </c>
      <c r="G4654" s="40">
        <v>2.9919938</v>
      </c>
      <c r="H4654" s="40"/>
      <c r="I4654" s="41">
        <v>0.358024691</v>
      </c>
      <c r="J4654" s="41">
        <v>0.197530864</v>
      </c>
      <c r="K4654" s="41">
        <v>0.444444444</v>
      </c>
      <c r="L4654" s="41"/>
      <c r="M4654" s="74">
        <v>-1.167640857</v>
      </c>
    </row>
    <row r="4655">
      <c r="A4655" s="1" t="s">
        <v>479</v>
      </c>
      <c r="B4655" s="38">
        <v>664299.0</v>
      </c>
      <c r="C4655" s="72">
        <v>45892.0</v>
      </c>
      <c r="D4655" s="38">
        <v>65.0</v>
      </c>
      <c r="E4655" s="75"/>
      <c r="F4655" s="67">
        <v>4.359988756</v>
      </c>
      <c r="G4655" s="40">
        <v>2.325369839</v>
      </c>
      <c r="H4655" s="40"/>
      <c r="I4655" s="41">
        <v>0.384615385</v>
      </c>
      <c r="J4655" s="41">
        <v>0.138461538</v>
      </c>
      <c r="K4655" s="41">
        <v>0.476923077</v>
      </c>
      <c r="L4655" s="41"/>
      <c r="M4655" s="74">
        <v>-0.536229748</v>
      </c>
    </row>
    <row r="4656">
      <c r="A4656" s="1" t="s">
        <v>354</v>
      </c>
      <c r="B4656" s="38">
        <v>669022.0</v>
      </c>
      <c r="C4656" s="72">
        <v>45863.0</v>
      </c>
      <c r="D4656" s="38">
        <v>97.0</v>
      </c>
      <c r="E4656" s="75"/>
      <c r="F4656" s="67">
        <v>4.357535126</v>
      </c>
      <c r="G4656" s="40">
        <v>3.531536284</v>
      </c>
      <c r="H4656" s="40"/>
      <c r="I4656" s="41">
        <v>0.494845361</v>
      </c>
      <c r="J4656" s="41">
        <v>0.072164948</v>
      </c>
      <c r="K4656" s="41">
        <v>0.432989691</v>
      </c>
      <c r="L4656" s="41"/>
      <c r="M4656" s="74">
        <v>3.695125192</v>
      </c>
    </row>
    <row r="4657">
      <c r="A4657" s="1" t="s">
        <v>515</v>
      </c>
      <c r="B4657" s="38">
        <v>678906.0</v>
      </c>
      <c r="C4657" s="72">
        <v>45920.0</v>
      </c>
      <c r="D4657" s="38">
        <v>74.0</v>
      </c>
      <c r="E4657" s="75"/>
      <c r="F4657" s="67">
        <v>4.35666768</v>
      </c>
      <c r="G4657" s="40">
        <v>2.691861236</v>
      </c>
      <c r="H4657" s="40"/>
      <c r="I4657" s="41">
        <v>0.432432432</v>
      </c>
      <c r="J4657" s="41">
        <v>0.121621622</v>
      </c>
      <c r="K4657" s="41">
        <v>0.445945946</v>
      </c>
      <c r="L4657" s="41"/>
      <c r="M4657" s="74">
        <v>2.067464394</v>
      </c>
    </row>
    <row r="4658">
      <c r="A4658" s="1" t="s">
        <v>307</v>
      </c>
      <c r="B4658" s="38">
        <v>656849.0</v>
      </c>
      <c r="C4658" s="72">
        <v>45753.0</v>
      </c>
      <c r="D4658" s="38">
        <v>90.0</v>
      </c>
      <c r="E4658" s="75"/>
      <c r="F4658" s="67">
        <v>4.354611527</v>
      </c>
      <c r="G4658" s="40">
        <v>3.272109449</v>
      </c>
      <c r="H4658" s="40"/>
      <c r="I4658" s="41">
        <v>0.422222222</v>
      </c>
      <c r="J4658" s="41">
        <v>0.133333333</v>
      </c>
      <c r="K4658" s="41">
        <v>0.444444444</v>
      </c>
      <c r="L4658" s="41"/>
      <c r="M4658" s="74">
        <v>2.464324599</v>
      </c>
    </row>
    <row r="4659">
      <c r="A4659" s="1" t="s">
        <v>410</v>
      </c>
      <c r="B4659" s="38">
        <v>678394.0</v>
      </c>
      <c r="C4659" s="72">
        <v>45925.0</v>
      </c>
      <c r="D4659" s="38">
        <v>84.0</v>
      </c>
      <c r="E4659" s="75"/>
      <c r="F4659" s="67">
        <v>4.346794986</v>
      </c>
      <c r="G4659" s="40">
        <v>3.095946935</v>
      </c>
      <c r="H4659" s="40"/>
      <c r="I4659" s="41">
        <v>0.345238095</v>
      </c>
      <c r="J4659" s="41">
        <v>0.202380952</v>
      </c>
      <c r="K4659" s="41">
        <v>0.452380952</v>
      </c>
      <c r="L4659" s="41"/>
      <c r="M4659" s="74">
        <v>2.2849741</v>
      </c>
    </row>
    <row r="4660">
      <c r="A4660" s="1" t="s">
        <v>597</v>
      </c>
      <c r="B4660" s="38">
        <v>687931.0</v>
      </c>
      <c r="C4660" s="72">
        <v>45878.0</v>
      </c>
      <c r="D4660" s="38">
        <v>76.0</v>
      </c>
      <c r="E4660" s="75"/>
      <c r="F4660" s="67">
        <v>4.344796369</v>
      </c>
      <c r="G4660" s="40">
        <v>2.787790124</v>
      </c>
      <c r="H4660" s="40"/>
      <c r="I4660" s="41">
        <v>0.289473684</v>
      </c>
      <c r="J4660" s="41">
        <v>0.171052632</v>
      </c>
      <c r="K4660" s="41">
        <v>0.539473684</v>
      </c>
      <c r="L4660" s="41"/>
      <c r="M4660" s="74">
        <v>-1.335998353</v>
      </c>
    </row>
    <row r="4661">
      <c r="A4661" s="1" t="s">
        <v>514</v>
      </c>
      <c r="B4661" s="38">
        <v>806185.0</v>
      </c>
      <c r="C4661" s="72">
        <v>45814.0</v>
      </c>
      <c r="D4661" s="38">
        <v>90.0</v>
      </c>
      <c r="E4661" s="75"/>
      <c r="F4661" s="67">
        <v>4.343317267</v>
      </c>
      <c r="G4661" s="40">
        <v>3.301682829</v>
      </c>
      <c r="H4661" s="40"/>
      <c r="I4661" s="41">
        <v>0.322222222</v>
      </c>
      <c r="J4661" s="41">
        <v>0.255555556</v>
      </c>
      <c r="K4661" s="41">
        <v>0.422222222</v>
      </c>
      <c r="L4661" s="41"/>
      <c r="M4661" s="74">
        <v>2.45117716</v>
      </c>
    </row>
    <row r="4662">
      <c r="A4662" s="1" t="s">
        <v>470</v>
      </c>
      <c r="B4662" s="38">
        <v>681343.0</v>
      </c>
      <c r="C4662" s="72">
        <v>45911.0</v>
      </c>
      <c r="D4662" s="38">
        <v>95.0</v>
      </c>
      <c r="E4662" s="75"/>
      <c r="F4662" s="67">
        <v>4.335255887</v>
      </c>
      <c r="G4662" s="40">
        <v>3.500778741</v>
      </c>
      <c r="H4662" s="40"/>
      <c r="I4662" s="41">
        <v>0.378947368</v>
      </c>
      <c r="J4662" s="41">
        <v>0.115789474</v>
      </c>
      <c r="K4662" s="41">
        <v>0.505263158</v>
      </c>
      <c r="L4662" s="41"/>
      <c r="M4662" s="74">
        <v>2.176624016</v>
      </c>
    </row>
    <row r="4663">
      <c r="A4663" s="1" t="s">
        <v>207</v>
      </c>
      <c r="B4663" s="38">
        <v>650633.0</v>
      </c>
      <c r="C4663" s="72">
        <v>45921.0</v>
      </c>
      <c r="D4663" s="38">
        <v>69.0</v>
      </c>
      <c r="E4663" s="75"/>
      <c r="F4663" s="67">
        <v>4.332501592</v>
      </c>
      <c r="G4663" s="40">
        <v>2.537001768</v>
      </c>
      <c r="H4663" s="40"/>
      <c r="I4663" s="41">
        <v>0.391304348</v>
      </c>
      <c r="J4663" s="41">
        <v>0.15942029</v>
      </c>
      <c r="K4663" s="41">
        <v>0.449275362</v>
      </c>
      <c r="L4663" s="41"/>
      <c r="M4663" s="74">
        <v>0.148852955</v>
      </c>
    </row>
    <row r="4664">
      <c r="A4664" s="1" t="s">
        <v>504</v>
      </c>
      <c r="B4664" s="38">
        <v>663372.0</v>
      </c>
      <c r="C4664" s="72">
        <v>45762.0</v>
      </c>
      <c r="D4664" s="38">
        <v>78.0</v>
      </c>
      <c r="E4664" s="75"/>
      <c r="F4664" s="67">
        <v>4.277058098</v>
      </c>
      <c r="G4664" s="40">
        <v>2.951417511</v>
      </c>
      <c r="H4664" s="40"/>
      <c r="I4664" s="41">
        <v>0.333333333</v>
      </c>
      <c r="J4664" s="41">
        <v>0.205128205</v>
      </c>
      <c r="K4664" s="41">
        <v>0.461538462</v>
      </c>
      <c r="L4664" s="41"/>
      <c r="M4664" s="74">
        <v>-0.58489073</v>
      </c>
    </row>
    <row r="4665">
      <c r="A4665" s="1" t="s">
        <v>621</v>
      </c>
      <c r="B4665" s="38">
        <v>694646.0</v>
      </c>
      <c r="C4665" s="72">
        <v>45791.0</v>
      </c>
      <c r="D4665" s="38">
        <v>65.0</v>
      </c>
      <c r="E4665" s="75"/>
      <c r="F4665" s="67">
        <v>4.276567277</v>
      </c>
      <c r="G4665" s="40">
        <v>2.465028716</v>
      </c>
      <c r="H4665" s="40"/>
      <c r="I4665" s="41">
        <v>0.369230769</v>
      </c>
      <c r="J4665" s="41">
        <v>0.076923077</v>
      </c>
      <c r="K4665" s="41">
        <v>0.553846154</v>
      </c>
      <c r="L4665" s="41"/>
      <c r="M4665" s="74">
        <v>-1.86297324</v>
      </c>
    </row>
    <row r="4666">
      <c r="A4666" s="1" t="s">
        <v>514</v>
      </c>
      <c r="B4666" s="38">
        <v>806185.0</v>
      </c>
      <c r="C4666" s="72">
        <v>45834.0</v>
      </c>
      <c r="D4666" s="38">
        <v>75.0</v>
      </c>
      <c r="E4666" s="75"/>
      <c r="F4666" s="67">
        <v>4.263667839</v>
      </c>
      <c r="G4666" s="40">
        <v>2.910691023</v>
      </c>
      <c r="H4666" s="40"/>
      <c r="I4666" s="41">
        <v>0.32</v>
      </c>
      <c r="J4666" s="41">
        <v>0.173333333</v>
      </c>
      <c r="K4666" s="41">
        <v>0.506666667</v>
      </c>
      <c r="L4666" s="41"/>
      <c r="M4666" s="74">
        <v>-0.518707258</v>
      </c>
    </row>
    <row r="4667">
      <c r="A4667" s="1" t="s">
        <v>428</v>
      </c>
      <c r="B4667" s="38">
        <v>670102.0</v>
      </c>
      <c r="C4667" s="72">
        <v>45822.0</v>
      </c>
      <c r="D4667" s="38">
        <v>74.0</v>
      </c>
      <c r="E4667" s="75"/>
      <c r="F4667" s="67">
        <v>4.253009632</v>
      </c>
      <c r="G4667" s="40">
        <v>2.850129154</v>
      </c>
      <c r="H4667" s="40"/>
      <c r="I4667" s="41">
        <v>0.405405405</v>
      </c>
      <c r="J4667" s="41">
        <v>0.135135135</v>
      </c>
      <c r="K4667" s="41">
        <v>0.459459459</v>
      </c>
      <c r="L4667" s="41"/>
      <c r="M4667" s="74">
        <v>2.653962079</v>
      </c>
    </row>
    <row r="4668">
      <c r="A4668" s="1" t="s">
        <v>115</v>
      </c>
      <c r="B4668" s="38">
        <v>543135.0</v>
      </c>
      <c r="C4668" s="72">
        <v>45863.0</v>
      </c>
      <c r="D4668" s="38">
        <v>83.0</v>
      </c>
      <c r="E4668" s="75"/>
      <c r="F4668" s="67">
        <v>4.241617778</v>
      </c>
      <c r="G4668" s="40">
        <v>3.243598012</v>
      </c>
      <c r="H4668" s="40"/>
      <c r="I4668" s="41">
        <v>0.385542169</v>
      </c>
      <c r="J4668" s="41">
        <v>0.084337349</v>
      </c>
      <c r="K4668" s="41">
        <v>0.530120482</v>
      </c>
      <c r="L4668" s="41"/>
      <c r="M4668" s="74">
        <v>1.952038271</v>
      </c>
    </row>
    <row r="4669">
      <c r="A4669" s="1" t="s">
        <v>480</v>
      </c>
      <c r="B4669" s="38">
        <v>647336.0</v>
      </c>
      <c r="C4669" s="72">
        <v>45861.0</v>
      </c>
      <c r="D4669" s="38">
        <v>86.0</v>
      </c>
      <c r="E4669" s="75"/>
      <c r="F4669" s="67">
        <v>4.208867723</v>
      </c>
      <c r="G4669" s="40">
        <v>3.403406716</v>
      </c>
      <c r="H4669" s="40"/>
      <c r="I4669" s="41">
        <v>0.348837209</v>
      </c>
      <c r="J4669" s="41">
        <v>0.209302326</v>
      </c>
      <c r="K4669" s="41">
        <v>0.441860465</v>
      </c>
      <c r="L4669" s="41"/>
      <c r="M4669" s="74">
        <v>2.209114144</v>
      </c>
    </row>
    <row r="4670">
      <c r="A4670" s="1" t="s">
        <v>592</v>
      </c>
      <c r="B4670" s="38">
        <v>682989.0</v>
      </c>
      <c r="C4670" s="72">
        <v>45881.0</v>
      </c>
      <c r="D4670" s="38">
        <v>69.0</v>
      </c>
      <c r="E4670" s="75"/>
      <c r="F4670" s="67">
        <v>4.195865303</v>
      </c>
      <c r="G4670" s="40">
        <v>2.777744159</v>
      </c>
      <c r="H4670" s="40"/>
      <c r="I4670" s="41">
        <v>0.391304348</v>
      </c>
      <c r="J4670" s="41">
        <v>0.115942029</v>
      </c>
      <c r="K4670" s="41">
        <v>0.492753623</v>
      </c>
      <c r="L4670" s="41"/>
      <c r="M4670" s="74">
        <v>1.538062333</v>
      </c>
    </row>
    <row r="4671">
      <c r="A4671" s="1" t="s">
        <v>521</v>
      </c>
      <c r="B4671" s="38">
        <v>686799.0</v>
      </c>
      <c r="C4671" s="72">
        <v>45837.0</v>
      </c>
      <c r="D4671" s="38">
        <v>61.0</v>
      </c>
      <c r="E4671" s="75"/>
      <c r="F4671" s="67">
        <v>4.175491182</v>
      </c>
      <c r="G4671" s="40">
        <v>2.452301637</v>
      </c>
      <c r="H4671" s="40"/>
      <c r="I4671" s="41">
        <v>0.262295082</v>
      </c>
      <c r="J4671" s="41">
        <v>0.229508197</v>
      </c>
      <c r="K4671" s="41">
        <v>0.508196721</v>
      </c>
      <c r="L4671" s="41"/>
      <c r="M4671" s="74">
        <v>-0.469087944</v>
      </c>
    </row>
    <row r="4672">
      <c r="A4672" s="1" t="s">
        <v>521</v>
      </c>
      <c r="B4672" s="38">
        <v>686799.0</v>
      </c>
      <c r="C4672" s="72">
        <v>45809.0</v>
      </c>
      <c r="D4672" s="38">
        <v>83.0</v>
      </c>
      <c r="E4672" s="75"/>
      <c r="F4672" s="67">
        <v>4.153461304</v>
      </c>
      <c r="G4672" s="40">
        <v>3.372436026</v>
      </c>
      <c r="H4672" s="40"/>
      <c r="I4672" s="41">
        <v>0.385542169</v>
      </c>
      <c r="J4672" s="41">
        <v>0.156626506</v>
      </c>
      <c r="K4672" s="41">
        <v>0.457831325</v>
      </c>
      <c r="L4672" s="41"/>
      <c r="M4672" s="74">
        <v>0.283860966</v>
      </c>
    </row>
    <row r="4673">
      <c r="A4673" s="1" t="s">
        <v>358</v>
      </c>
      <c r="B4673" s="38">
        <v>434378.0</v>
      </c>
      <c r="C4673" s="72">
        <v>45795.0</v>
      </c>
      <c r="D4673" s="38">
        <v>82.0</v>
      </c>
      <c r="E4673" s="75"/>
      <c r="F4673" s="67">
        <v>4.15272922</v>
      </c>
      <c r="G4673" s="40">
        <v>3.318392828</v>
      </c>
      <c r="H4673" s="40"/>
      <c r="I4673" s="41">
        <v>0.329268293</v>
      </c>
      <c r="J4673" s="41">
        <v>0.146341463</v>
      </c>
      <c r="K4673" s="41">
        <v>0.524390244</v>
      </c>
      <c r="L4673" s="41"/>
      <c r="M4673" s="74">
        <v>0.366318713</v>
      </c>
    </row>
    <row r="4674">
      <c r="A4674" s="1" t="s">
        <v>509</v>
      </c>
      <c r="B4674" s="38">
        <v>676106.0</v>
      </c>
      <c r="C4674" s="72">
        <v>45829.0</v>
      </c>
      <c r="D4674" s="38">
        <v>87.0</v>
      </c>
      <c r="E4674" s="75"/>
      <c r="F4674" s="67">
        <v>4.119299769</v>
      </c>
      <c r="G4674" s="40">
        <v>3.554057471</v>
      </c>
      <c r="H4674" s="40"/>
      <c r="I4674" s="41">
        <v>0.275862069</v>
      </c>
      <c r="J4674" s="41">
        <v>0.218390805</v>
      </c>
      <c r="K4674" s="41">
        <v>0.505747126</v>
      </c>
      <c r="L4674" s="41"/>
      <c r="M4674" s="74">
        <v>-1.381334177</v>
      </c>
    </row>
    <row r="4675">
      <c r="A4675" s="1" t="s">
        <v>465</v>
      </c>
      <c r="B4675" s="38">
        <v>641672.0</v>
      </c>
      <c r="C4675" s="72">
        <v>45881.0</v>
      </c>
      <c r="D4675" s="38">
        <v>98.0</v>
      </c>
      <c r="E4675" s="75"/>
      <c r="F4675" s="67">
        <v>4.039863045</v>
      </c>
      <c r="G4675" s="40">
        <v>4.221449834</v>
      </c>
      <c r="H4675" s="40"/>
      <c r="I4675" s="41">
        <v>0.306122449</v>
      </c>
      <c r="J4675" s="41">
        <v>0.142857143</v>
      </c>
      <c r="K4675" s="41">
        <v>0.551020408</v>
      </c>
      <c r="L4675" s="41"/>
      <c r="M4675" s="74">
        <v>0.228653203</v>
      </c>
    </row>
  </sheetData>
  <conditionalFormatting sqref="F1:F467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467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467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:K467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L1:L4675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:M4675">
    <cfRule type="colorScale" priority="6">
      <colorScale>
        <cfvo type="min"/>
        <cfvo type="formula" val="0"/>
        <cfvo type="max"/>
        <color rgb="FF57BB8A"/>
        <color rgb="FFFFFFFF"/>
        <color rgb="FFE67C73"/>
      </colorScale>
    </cfRule>
  </conditionalFormatting>
  <conditionalFormatting sqref="H1:H4675">
    <cfRule type="colorScale" priority="7">
      <colorScale>
        <cfvo type="formula" val="1"/>
        <cfvo type="formula" val="4"/>
        <cfvo type="formula" val="7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</cols>
  <sheetData>
    <row r="1">
      <c r="A1" s="1" t="s">
        <v>23</v>
      </c>
      <c r="B1" s="1" t="s">
        <v>625</v>
      </c>
      <c r="C1" s="1" t="s">
        <v>5</v>
      </c>
      <c r="G1" s="1" t="s">
        <v>626</v>
      </c>
      <c r="K1" s="1" t="s">
        <v>627</v>
      </c>
    </row>
    <row r="2">
      <c r="A2" s="1" t="s">
        <v>339</v>
      </c>
      <c r="B2" s="1">
        <v>25880.0</v>
      </c>
      <c r="C2" s="1">
        <v>686613.0</v>
      </c>
      <c r="G2" s="10" t="str">
        <f>IFERROR(__xludf.DUMMYFUNCTION("unique(filter('Appearance (min 60)'!A:B,iserror('Appearance (min 60)'!E:E)))"),"Freddy Peralta")</f>
        <v>Freddy Peralta</v>
      </c>
      <c r="H2" s="10">
        <f>IFERROR(__xludf.DUMMYFUNCTION("""COMPUTED_VALUE"""),642547.0)</f>
        <v>642547</v>
      </c>
      <c r="K2" s="10" t="str">
        <f t="array" ref="K2:L741">unique({'Appearance Sheet'!B:B,'Appearance Sheet'!E:E})</f>
        <v>Name</v>
      </c>
      <c r="L2" s="10" t="s">
        <v>628</v>
      </c>
    </row>
    <row r="3">
      <c r="A3" s="1" t="s">
        <v>77</v>
      </c>
      <c r="B3" s="1">
        <v>17995.0</v>
      </c>
      <c r="C3" s="1">
        <v>657277.0</v>
      </c>
      <c r="G3" s="10" t="str">
        <f>IFERROR(__xludf.DUMMYFUNCTION("""COMPUTED_VALUE"""),"JP Sears")</f>
        <v>JP Sears</v>
      </c>
      <c r="H3" s="10">
        <f>IFERROR(__xludf.DUMMYFUNCTION("""COMPUTED_VALUE"""),676664.0)</f>
        <v>676664</v>
      </c>
      <c r="K3" s="10" t="s">
        <v>629</v>
      </c>
      <c r="L3" s="10">
        <v>5615.0</v>
      </c>
    </row>
    <row r="4">
      <c r="A4" s="1" t="s">
        <v>115</v>
      </c>
      <c r="B4" s="1">
        <v>9132.0</v>
      </c>
      <c r="C4" s="1">
        <v>543135.0</v>
      </c>
      <c r="G4" s="10" t="str">
        <f>IFERROR(__xludf.DUMMYFUNCTION("""COMPUTED_VALUE"""),"Ryan Bergert")</f>
        <v>Ryan Bergert</v>
      </c>
      <c r="H4" s="10">
        <f>IFERROR(__xludf.DUMMYFUNCTION("""COMPUTED_VALUE"""),686701.0)</f>
        <v>686701</v>
      </c>
      <c r="K4" s="10" t="s">
        <v>630</v>
      </c>
      <c r="L4" s="10">
        <v>12572.0</v>
      </c>
    </row>
    <row r="5">
      <c r="A5" s="1" t="s">
        <v>84</v>
      </c>
      <c r="B5" s="1">
        <v>22267.0</v>
      </c>
      <c r="C5" s="1">
        <v>669373.0</v>
      </c>
      <c r="G5" s="10" t="str">
        <f>IFERROR(__xludf.DUMMYFUNCTION("""COMPUTED_VALUE"""),"Sean Burke")</f>
        <v>Sean Burke</v>
      </c>
      <c r="H5" s="10">
        <f>IFERROR(__xludf.DUMMYFUNCTION("""COMPUTED_VALUE"""),680732.0)</f>
        <v>680732</v>
      </c>
      <c r="K5" s="10" t="s">
        <v>310</v>
      </c>
      <c r="L5" s="10">
        <v>14706.0</v>
      </c>
    </row>
    <row r="6">
      <c r="A6" s="1" t="s">
        <v>130</v>
      </c>
      <c r="B6" s="1">
        <v>19959.0</v>
      </c>
      <c r="C6" s="1">
        <v>666200.0</v>
      </c>
      <c r="G6" s="10" t="str">
        <f>IFERROR(__xludf.DUMMYFUNCTION("""COMPUTED_VALUE"""),"Jacob Misiorowski")</f>
        <v>Jacob Misiorowski</v>
      </c>
      <c r="H6" s="10">
        <f>IFERROR(__xludf.DUMMYFUNCTION("""COMPUTED_VALUE"""),694819.0)</f>
        <v>694819</v>
      </c>
      <c r="K6" s="10" t="s">
        <v>32</v>
      </c>
      <c r="L6" s="10">
        <v>17586.0</v>
      </c>
    </row>
    <row r="7">
      <c r="A7" s="1" t="s">
        <v>79</v>
      </c>
      <c r="B7" s="1">
        <v>10310.0</v>
      </c>
      <c r="C7" s="1">
        <v>554430.0</v>
      </c>
      <c r="G7" s="10" t="str">
        <f>IFERROR(__xludf.DUMMYFUNCTION("""COMPUTED_VALUE"""),"Jesús Luzardo")</f>
        <v>Jesús Luzardo</v>
      </c>
      <c r="H7" s="10">
        <f>IFERROR(__xludf.DUMMYFUNCTION("""COMPUTED_VALUE"""),666200.0)</f>
        <v>666200</v>
      </c>
      <c r="K7" s="10" t="s">
        <v>631</v>
      </c>
      <c r="L7" s="10">
        <v>20203.0</v>
      </c>
    </row>
    <row r="8">
      <c r="A8" s="1" t="s">
        <v>205</v>
      </c>
      <c r="B8" s="1">
        <v>21846.0</v>
      </c>
      <c r="C8" s="1">
        <v>666142.0</v>
      </c>
      <c r="G8" s="10" t="str">
        <f>IFERROR(__xludf.DUMMYFUNCTION("""COMPUTED_VALUE"""),"Cristopher Sánchez")</f>
        <v>Cristopher Sánchez</v>
      </c>
      <c r="H8" s="10">
        <f>IFERROR(__xludf.DUMMYFUNCTION("""COMPUTED_VALUE"""),650911.0)</f>
        <v>650911</v>
      </c>
      <c r="K8" s="10" t="s">
        <v>341</v>
      </c>
      <c r="L8" s="10">
        <v>23590.0</v>
      </c>
    </row>
    <row r="9">
      <c r="A9" s="1" t="s">
        <v>88</v>
      </c>
      <c r="B9" s="1">
        <v>33677.0</v>
      </c>
      <c r="C9" s="1">
        <v>694973.0</v>
      </c>
      <c r="G9" s="10" t="str">
        <f>IFERROR(__xludf.DUMMYFUNCTION("""COMPUTED_VALUE"""),"Drew Rasmussen")</f>
        <v>Drew Rasmussen</v>
      </c>
      <c r="H9" s="10">
        <f>IFERROR(__xludf.DUMMYFUNCTION("""COMPUTED_VALUE"""),656876.0)</f>
        <v>656876</v>
      </c>
      <c r="K9" s="10" t="s">
        <v>104</v>
      </c>
      <c r="L9" s="10">
        <v>30085.0</v>
      </c>
    </row>
    <row r="10">
      <c r="A10" s="1" t="s">
        <v>100</v>
      </c>
      <c r="B10" s="1">
        <v>27463.0</v>
      </c>
      <c r="C10" s="1">
        <v>676979.0</v>
      </c>
      <c r="G10" s="10" t="str">
        <f>IFERROR(__xludf.DUMMYFUNCTION("""COMPUTED_VALUE"""),"Sean Manaea")</f>
        <v>Sean Manaea</v>
      </c>
      <c r="H10" s="10">
        <f>IFERROR(__xludf.DUMMYFUNCTION("""COMPUTED_VALUE"""),640455.0)</f>
        <v>640455</v>
      </c>
      <c r="K10" s="10" t="s">
        <v>85</v>
      </c>
      <c r="L10" s="10">
        <v>33825.0</v>
      </c>
    </row>
    <row r="11">
      <c r="A11" s="1" t="s">
        <v>290</v>
      </c>
      <c r="B11" s="1">
        <v>22294.0</v>
      </c>
      <c r="C11" s="1">
        <v>669461.0</v>
      </c>
      <c r="G11" s="10" t="str">
        <f>IFERROR(__xludf.DUMMYFUNCTION("""COMPUTED_VALUE"""),"Jacob Latz")</f>
        <v>Jacob Latz</v>
      </c>
      <c r="H11" s="10">
        <f>IFERROR(__xludf.DUMMYFUNCTION("""COMPUTED_VALUE"""),656641.0)</f>
        <v>656641</v>
      </c>
      <c r="K11" s="10" t="s">
        <v>67</v>
      </c>
      <c r="L11" s="10">
        <v>33829.0</v>
      </c>
    </row>
    <row r="12">
      <c r="A12" s="1" t="s">
        <v>166</v>
      </c>
      <c r="B12" s="1">
        <v>13743.0</v>
      </c>
      <c r="C12" s="1">
        <v>608331.0</v>
      </c>
      <c r="G12" s="10" t="str">
        <f>IFERROR(__xludf.DUMMYFUNCTION("""COMPUTED_VALUE"""),"Luis Morales")</f>
        <v>Luis Morales</v>
      </c>
      <c r="H12" s="10">
        <f>IFERROR(__xludf.DUMMYFUNCTION("""COMPUTED_VALUE"""),806960.0)</f>
        <v>806960</v>
      </c>
      <c r="K12" s="10" t="s">
        <v>595</v>
      </c>
      <c r="L12" s="10">
        <v>6984.0</v>
      </c>
    </row>
    <row r="13">
      <c r="A13" s="1" t="s">
        <v>163</v>
      </c>
      <c r="B13" s="1">
        <v>21455.0</v>
      </c>
      <c r="C13" s="1">
        <v>663460.0</v>
      </c>
      <c r="G13" s="10" t="str">
        <f>IFERROR(__xludf.DUMMYFUNCTION("""COMPUTED_VALUE"""),"Joe Ryan")</f>
        <v>Joe Ryan</v>
      </c>
      <c r="H13" s="10">
        <f>IFERROR(__xludf.DUMMYFUNCTION("""COMPUTED_VALUE"""),657746.0)</f>
        <v>657746</v>
      </c>
      <c r="K13" s="10" t="s">
        <v>460</v>
      </c>
      <c r="L13" s="10">
        <v>7005.0</v>
      </c>
    </row>
    <row r="14">
      <c r="A14" s="1" t="s">
        <v>90</v>
      </c>
      <c r="B14" s="1">
        <v>30279.0</v>
      </c>
      <c r="C14" s="1">
        <v>693433.0</v>
      </c>
      <c r="G14" s="10" t="str">
        <f>IFERROR(__xludf.DUMMYFUNCTION("""COMPUTED_VALUE"""),"Jack Flaherty")</f>
        <v>Jack Flaherty</v>
      </c>
      <c r="H14" s="10">
        <f>IFERROR(__xludf.DUMMYFUNCTION("""COMPUTED_VALUE"""),656427.0)</f>
        <v>656427</v>
      </c>
      <c r="K14" s="10" t="s">
        <v>392</v>
      </c>
      <c r="L14" s="10">
        <v>9073.0</v>
      </c>
    </row>
    <row r="15">
      <c r="A15" s="1" t="s">
        <v>147</v>
      </c>
      <c r="B15" s="1">
        <v>14078.0</v>
      </c>
      <c r="C15" s="1">
        <v>608379.0</v>
      </c>
      <c r="G15" s="10" t="str">
        <f>IFERROR(__xludf.DUMMYFUNCTION("""COMPUTED_VALUE"""),"Garrett Crochet")</f>
        <v>Garrett Crochet</v>
      </c>
      <c r="H15" s="10">
        <f>IFERROR(__xludf.DUMMYFUNCTION("""COMPUTED_VALUE"""),676979.0)</f>
        <v>676979</v>
      </c>
      <c r="K15" s="10" t="s">
        <v>71</v>
      </c>
      <c r="L15" s="10">
        <v>10078.0</v>
      </c>
    </row>
    <row r="16">
      <c r="A16" s="1" t="s">
        <v>181</v>
      </c>
      <c r="B16" s="1">
        <v>17085.0</v>
      </c>
      <c r="C16" s="1">
        <v>641154.0</v>
      </c>
      <c r="G16" s="10" t="str">
        <f>IFERROR(__xludf.DUMMYFUNCTION("""COMPUTED_VALUE"""),"Aaron Nola")</f>
        <v>Aaron Nola</v>
      </c>
      <c r="H16" s="10">
        <f>IFERROR(__xludf.DUMMYFUNCTION("""COMPUTED_VALUE"""),605400.0)</f>
        <v>605400</v>
      </c>
      <c r="K16" s="10" t="s">
        <v>632</v>
      </c>
      <c r="L16" s="10">
        <v>16703.0</v>
      </c>
    </row>
    <row r="17">
      <c r="A17" s="1" t="s">
        <v>354</v>
      </c>
      <c r="B17" s="1">
        <v>22201.0</v>
      </c>
      <c r="C17" s="1">
        <v>669022.0</v>
      </c>
      <c r="G17" s="10" t="str">
        <f>IFERROR(__xludf.DUMMYFUNCTION("""COMPUTED_VALUE"""),"Logan Webb")</f>
        <v>Logan Webb</v>
      </c>
      <c r="H17" s="10">
        <f>IFERROR(__xludf.DUMMYFUNCTION("""COMPUTED_VALUE"""),657277.0)</f>
        <v>657277</v>
      </c>
      <c r="K17" s="10" t="s">
        <v>584</v>
      </c>
      <c r="L17" s="10">
        <v>17312.0</v>
      </c>
    </row>
    <row r="18">
      <c r="A18" s="1" t="s">
        <v>207</v>
      </c>
      <c r="B18" s="1">
        <v>19853.0</v>
      </c>
      <c r="C18" s="1">
        <v>650633.0</v>
      </c>
      <c r="G18" s="10" t="str">
        <f>IFERROR(__xludf.DUMMYFUNCTION("""COMPUTED_VALUE"""),"Yoshinobu Yamamoto")</f>
        <v>Yoshinobu Yamamoto</v>
      </c>
      <c r="H18" s="10">
        <f>IFERROR(__xludf.DUMMYFUNCTION("""COMPUTED_VALUE"""),808967.0)</f>
        <v>808967</v>
      </c>
      <c r="K18" s="10" t="s">
        <v>633</v>
      </c>
      <c r="L18" s="10">
        <v>20160.0</v>
      </c>
    </row>
    <row r="19">
      <c r="A19" s="1" t="s">
        <v>150</v>
      </c>
      <c r="B19" s="1">
        <v>21390.0</v>
      </c>
      <c r="C19" s="1">
        <v>657746.0</v>
      </c>
      <c r="G19" s="10" t="str">
        <f>IFERROR(__xludf.DUMMYFUNCTION("""COMPUTED_VALUE"""),"Blake Snell")</f>
        <v>Blake Snell</v>
      </c>
      <c r="H19" s="10">
        <f>IFERROR(__xludf.DUMMYFUNCTION("""COMPUTED_VALUE"""),605483.0)</f>
        <v>605483</v>
      </c>
      <c r="K19" s="10" t="s">
        <v>92</v>
      </c>
      <c r="L19" s="10">
        <v>25007.0</v>
      </c>
    </row>
    <row r="20">
      <c r="A20" s="1" t="s">
        <v>226</v>
      </c>
      <c r="B20" s="1">
        <v>12730.0</v>
      </c>
      <c r="C20" s="1">
        <v>607259.0</v>
      </c>
      <c r="G20" s="10" t="str">
        <f>IFERROR(__xludf.DUMMYFUNCTION("""COMPUTED_VALUE"""),"Andrew Abbott")</f>
        <v>Andrew Abbott</v>
      </c>
      <c r="H20" s="10">
        <f>IFERROR(__xludf.DUMMYFUNCTION("""COMPUTED_VALUE"""),671096.0)</f>
        <v>671096</v>
      </c>
      <c r="K20" s="10" t="s">
        <v>388</v>
      </c>
      <c r="L20" s="10">
        <v>26413.0</v>
      </c>
    </row>
    <row r="21">
      <c r="A21" s="1" t="s">
        <v>113</v>
      </c>
      <c r="B21" s="1">
        <v>17295.0</v>
      </c>
      <c r="C21" s="1">
        <v>664285.0</v>
      </c>
      <c r="G21" s="10" t="str">
        <f>IFERROR(__xludf.DUMMYFUNCTION("""COMPUTED_VALUE"""),"Brandon Woodruff")</f>
        <v>Brandon Woodruff</v>
      </c>
      <c r="H21" s="10">
        <f>IFERROR(__xludf.DUMMYFUNCTION("""COMPUTED_VALUE"""),605540.0)</f>
        <v>605540</v>
      </c>
      <c r="K21" s="10" t="s">
        <v>351</v>
      </c>
      <c r="L21" s="10">
        <v>27487.0</v>
      </c>
    </row>
    <row r="22">
      <c r="A22" s="1" t="s">
        <v>156</v>
      </c>
      <c r="B22" s="1">
        <v>10603.0</v>
      </c>
      <c r="C22" s="1">
        <v>519242.0</v>
      </c>
      <c r="G22" s="10" t="str">
        <f>IFERROR(__xludf.DUMMYFUNCTION("""COMPUTED_VALUE"""),"Shane Bieber")</f>
        <v>Shane Bieber</v>
      </c>
      <c r="H22" s="10">
        <f>IFERROR(__xludf.DUMMYFUNCTION("""COMPUTED_VALUE"""),669456.0)</f>
        <v>669456</v>
      </c>
      <c r="K22" s="10" t="s">
        <v>206</v>
      </c>
      <c r="L22" s="10">
        <v>30249.0</v>
      </c>
    </row>
    <row r="23">
      <c r="A23" s="1" t="s">
        <v>55</v>
      </c>
      <c r="B23" s="1">
        <v>16358.0</v>
      </c>
      <c r="C23" s="1">
        <v>641816.0</v>
      </c>
      <c r="G23" s="10" t="str">
        <f>IFERROR(__xludf.DUMMYFUNCTION("""COMPUTED_VALUE"""),"Paul Skenes")</f>
        <v>Paul Skenes</v>
      </c>
      <c r="H23" s="10">
        <f>IFERROR(__xludf.DUMMYFUNCTION("""COMPUTED_VALUE"""),694973.0)</f>
        <v>694973</v>
      </c>
      <c r="K23" s="10" t="s">
        <v>522</v>
      </c>
      <c r="L23" s="10">
        <v>35323.0</v>
      </c>
    </row>
    <row r="24">
      <c r="A24" s="1" t="s">
        <v>73</v>
      </c>
      <c r="B24" s="1">
        <v>22182.0</v>
      </c>
      <c r="C24" s="1">
        <v>668881.0</v>
      </c>
      <c r="G24" s="10" t="str">
        <f>IFERROR(__xludf.DUMMYFUNCTION("""COMPUTED_VALUE"""),"Brady Singer")</f>
        <v>Brady Singer</v>
      </c>
      <c r="H24" s="10">
        <f>IFERROR(__xludf.DUMMYFUNCTION("""COMPUTED_VALUE"""),663903.0)</f>
        <v>663903</v>
      </c>
      <c r="K24" s="10" t="s">
        <v>634</v>
      </c>
      <c r="L24" s="10">
        <v>14332.0</v>
      </c>
    </row>
    <row r="25">
      <c r="A25" s="1" t="s">
        <v>470</v>
      </c>
      <c r="B25" s="1">
        <v>31687.0</v>
      </c>
      <c r="C25" s="1">
        <v>681343.0</v>
      </c>
      <c r="G25" s="10" t="str">
        <f>IFERROR(__xludf.DUMMYFUNCTION("""COMPUTED_VALUE"""),"Tomoyuki Sugano")</f>
        <v>Tomoyuki Sugano</v>
      </c>
      <c r="H25" s="10">
        <f>IFERROR(__xludf.DUMMYFUNCTION("""COMPUTED_VALUE"""),608372.0)</f>
        <v>608372</v>
      </c>
      <c r="K25" s="10" t="s">
        <v>467</v>
      </c>
      <c r="L25" s="10">
        <v>15551.0</v>
      </c>
    </row>
    <row r="26">
      <c r="A26" s="1" t="s">
        <v>85</v>
      </c>
      <c r="B26" s="1">
        <v>33825.0</v>
      </c>
      <c r="C26" s="1">
        <v>808967.0</v>
      </c>
      <c r="G26" s="10" t="str">
        <f>IFERROR(__xludf.DUMMYFUNCTION("""COMPUTED_VALUE"""),"Ryne Nelson")</f>
        <v>Ryne Nelson</v>
      </c>
      <c r="H26" s="10">
        <f>IFERROR(__xludf.DUMMYFUNCTION("""COMPUTED_VALUE"""),669194.0)</f>
        <v>669194</v>
      </c>
      <c r="K26" s="10" t="s">
        <v>114</v>
      </c>
      <c r="L26" s="10">
        <v>15816.0</v>
      </c>
    </row>
    <row r="27">
      <c r="A27" s="1" t="s">
        <v>109</v>
      </c>
      <c r="B27" s="1">
        <v>15454.0</v>
      </c>
      <c r="C27" s="1">
        <v>601713.0</v>
      </c>
      <c r="G27" s="10" t="str">
        <f>IFERROR(__xludf.DUMMYFUNCTION("""COMPUTED_VALUE"""),"Logan Gilbert")</f>
        <v>Logan Gilbert</v>
      </c>
      <c r="H27" s="10">
        <f>IFERROR(__xludf.DUMMYFUNCTION("""COMPUTED_VALUE"""),669302.0)</f>
        <v>669302</v>
      </c>
      <c r="K27" s="10" t="s">
        <v>635</v>
      </c>
      <c r="L27" s="10">
        <v>16137.0</v>
      </c>
    </row>
    <row r="28">
      <c r="A28" s="1" t="s">
        <v>281</v>
      </c>
      <c r="B28" s="1">
        <v>15890.0</v>
      </c>
      <c r="C28" s="1">
        <v>622663.0</v>
      </c>
      <c r="G28" s="10" t="str">
        <f>IFERROR(__xludf.DUMMYFUNCTION("""COMPUTED_VALUE"""),"Hunter Greene")</f>
        <v>Hunter Greene</v>
      </c>
      <c r="H28" s="10">
        <f>IFERROR(__xludf.DUMMYFUNCTION("""COMPUTED_VALUE"""),668881.0)</f>
        <v>668881</v>
      </c>
      <c r="K28" s="10" t="s">
        <v>69</v>
      </c>
      <c r="L28" s="10">
        <v>16814.0</v>
      </c>
    </row>
    <row r="29">
      <c r="A29" s="1" t="s">
        <v>461</v>
      </c>
      <c r="B29" s="1">
        <v>31838.0</v>
      </c>
      <c r="C29" s="1">
        <v>673540.0</v>
      </c>
      <c r="G29" s="10" t="str">
        <f>IFERROR(__xludf.DUMMYFUNCTION("""COMPUTED_VALUE"""),"Zack Wheeler")</f>
        <v>Zack Wheeler</v>
      </c>
      <c r="H29" s="10">
        <f>IFERROR(__xludf.DUMMYFUNCTION("""COMPUTED_VALUE"""),554430.0)</f>
        <v>554430</v>
      </c>
      <c r="K29" s="10" t="s">
        <v>225</v>
      </c>
      <c r="L29" s="10">
        <v>16918.0</v>
      </c>
    </row>
    <row r="30">
      <c r="A30" s="1" t="s">
        <v>419</v>
      </c>
      <c r="B30" s="1">
        <v>24968.0</v>
      </c>
      <c r="C30" s="1">
        <v>681857.0</v>
      </c>
      <c r="G30" s="10" t="str">
        <f>IFERROR(__xludf.DUMMYFUNCTION("""COMPUTED_VALUE"""),"Zebby Matthews")</f>
        <v>Zebby Matthews</v>
      </c>
      <c r="H30" s="10">
        <f>IFERROR(__xludf.DUMMYFUNCTION("""COMPUTED_VALUE"""),805673.0)</f>
        <v>805673</v>
      </c>
      <c r="K30" s="10" t="s">
        <v>187</v>
      </c>
      <c r="L30" s="10">
        <v>17735.0</v>
      </c>
    </row>
    <row r="31">
      <c r="A31" s="1" t="s">
        <v>282</v>
      </c>
      <c r="B31" s="1">
        <v>18525.0</v>
      </c>
      <c r="C31" s="1">
        <v>656302.0</v>
      </c>
      <c r="G31" s="10" t="str">
        <f>IFERROR(__xludf.DUMMYFUNCTION("""COMPUTED_VALUE"""),"Justin Hagenman")</f>
        <v>Justin Hagenman</v>
      </c>
      <c r="H31" s="10">
        <f>IFERROR(__xludf.DUMMYFUNCTION("""COMPUTED_VALUE"""),663795.0)</f>
        <v>663795</v>
      </c>
      <c r="K31" s="10" t="s">
        <v>180</v>
      </c>
      <c r="L31" s="10">
        <v>18679.0</v>
      </c>
    </row>
    <row r="32">
      <c r="A32" s="1" t="s">
        <v>386</v>
      </c>
      <c r="B32" s="1">
        <v>21318.0</v>
      </c>
      <c r="C32" s="1">
        <v>656731.0</v>
      </c>
      <c r="G32" s="10" t="str">
        <f>IFERROR(__xludf.DUMMYFUNCTION("""COMPUTED_VALUE"""),"Chris Sale")</f>
        <v>Chris Sale</v>
      </c>
      <c r="H32" s="10">
        <f>IFERROR(__xludf.DUMMYFUNCTION("""COMPUTED_VALUE"""),519242.0)</f>
        <v>519242</v>
      </c>
      <c r="K32" s="10" t="s">
        <v>636</v>
      </c>
      <c r="L32" s="10">
        <v>19924.0</v>
      </c>
    </row>
    <row r="33">
      <c r="A33" s="1" t="s">
        <v>496</v>
      </c>
      <c r="B33" s="1">
        <v>30113.0</v>
      </c>
      <c r="C33" s="1">
        <v>694477.0</v>
      </c>
      <c r="G33" s="10" t="str">
        <f>IFERROR(__xludf.DUMMYFUNCTION("""COMPUTED_VALUE"""),"Shota Imanaga")</f>
        <v>Shota Imanaga</v>
      </c>
      <c r="H33" s="10">
        <f>IFERROR(__xludf.DUMMYFUNCTION("""COMPUTED_VALUE"""),684007.0)</f>
        <v>684007</v>
      </c>
      <c r="K33" s="10" t="s">
        <v>418</v>
      </c>
      <c r="L33" s="10">
        <v>27517.0</v>
      </c>
    </row>
    <row r="34">
      <c r="A34" s="1" t="s">
        <v>456</v>
      </c>
      <c r="B34" s="1">
        <v>12304.0</v>
      </c>
      <c r="C34" s="1">
        <v>605135.0</v>
      </c>
      <c r="G34" s="10" t="str">
        <f>IFERROR(__xludf.DUMMYFUNCTION("""COMPUTED_VALUE"""),"Parker Messick")</f>
        <v>Parker Messick</v>
      </c>
      <c r="H34" s="10">
        <f>IFERROR(__xludf.DUMMYFUNCTION("""COMPUTED_VALUE"""),800048.0)</f>
        <v>800048</v>
      </c>
      <c r="K34" s="10" t="s">
        <v>637</v>
      </c>
      <c r="L34" s="10">
        <v>12323.0</v>
      </c>
    </row>
    <row r="35">
      <c r="A35" s="1" t="s">
        <v>180</v>
      </c>
      <c r="B35" s="1">
        <v>18679.0</v>
      </c>
      <c r="C35" s="1">
        <v>642547.0</v>
      </c>
      <c r="G35" s="10" t="str">
        <f>IFERROR(__xludf.DUMMYFUNCTION("""COMPUTED_VALUE"""),"Ryan Gusto")</f>
        <v>Ryan Gusto</v>
      </c>
      <c r="H35" s="10">
        <f>IFERROR(__xludf.DUMMYFUNCTION("""COMPUTED_VALUE"""),687473.0)</f>
        <v>687473</v>
      </c>
      <c r="K35" s="10" t="s">
        <v>216</v>
      </c>
      <c r="L35" s="10">
        <v>13774.0</v>
      </c>
    </row>
    <row r="36">
      <c r="A36" s="1" t="s">
        <v>269</v>
      </c>
      <c r="B36" s="1">
        <v>13649.0</v>
      </c>
      <c r="C36" s="1">
        <v>605280.0</v>
      </c>
      <c r="G36" s="10" t="str">
        <f>IFERROR(__xludf.DUMMYFUNCTION("""COMPUTED_VALUE"""),"Mitchell Parker")</f>
        <v>Mitchell Parker</v>
      </c>
      <c r="H36" s="10">
        <f>IFERROR(__xludf.DUMMYFUNCTION("""COMPUTED_VALUE"""),680730.0)</f>
        <v>680730</v>
      </c>
      <c r="K36" s="10" t="s">
        <v>638</v>
      </c>
      <c r="L36" s="10">
        <v>14168.0</v>
      </c>
    </row>
    <row r="37">
      <c r="A37" s="1" t="s">
        <v>189</v>
      </c>
      <c r="B37" s="1">
        <v>16256.0</v>
      </c>
      <c r="C37" s="1">
        <v>607536.0</v>
      </c>
      <c r="G37" s="10" t="str">
        <f>IFERROR(__xludf.DUMMYFUNCTION("""COMPUTED_VALUE"""),"Jordan Wicks")</f>
        <v>Jordan Wicks</v>
      </c>
      <c r="H37" s="10">
        <f>IFERROR(__xludf.DUMMYFUNCTION("""COMPUTED_VALUE"""),696136.0)</f>
        <v>696136</v>
      </c>
      <c r="K37" s="10" t="s">
        <v>174</v>
      </c>
      <c r="L37" s="10">
        <v>15552.0</v>
      </c>
    </row>
    <row r="38">
      <c r="A38" s="1" t="s">
        <v>424</v>
      </c>
      <c r="B38" s="1">
        <v>22100.0</v>
      </c>
      <c r="C38" s="1">
        <v>667755.0</v>
      </c>
      <c r="G38" s="10" t="str">
        <f>IFERROR(__xludf.DUMMYFUNCTION("""COMPUTED_VALUE"""),"Yu Darvish")</f>
        <v>Yu Darvish</v>
      </c>
      <c r="H38" s="10">
        <f>IFERROR(__xludf.DUMMYFUNCTION("""COMPUTED_VALUE"""),506433.0)</f>
        <v>506433</v>
      </c>
      <c r="K38" s="10" t="s">
        <v>639</v>
      </c>
      <c r="L38" s="10">
        <v>19249.0</v>
      </c>
    </row>
    <row r="39">
      <c r="A39" s="1" t="s">
        <v>330</v>
      </c>
      <c r="B39" s="1">
        <v>27636.0</v>
      </c>
      <c r="C39" s="1">
        <v>680730.0</v>
      </c>
      <c r="G39" s="10" t="str">
        <f>IFERROR(__xludf.DUMMYFUNCTION("""COMPUTED_VALUE"""),"Brandon Walter")</f>
        <v>Brandon Walter</v>
      </c>
      <c r="H39" s="10">
        <f>IFERROR(__xludf.DUMMYFUNCTION("""COMPUTED_VALUE"""),687888.0)</f>
        <v>687888</v>
      </c>
      <c r="K39" s="10" t="s">
        <v>640</v>
      </c>
      <c r="L39" s="10">
        <v>19337.0</v>
      </c>
    </row>
    <row r="40">
      <c r="A40" s="1" t="s">
        <v>57</v>
      </c>
      <c r="B40" s="1">
        <v>10954.0</v>
      </c>
      <c r="C40" s="1">
        <v>594798.0</v>
      </c>
      <c r="G40" s="10" t="str">
        <f>IFERROR(__xludf.DUMMYFUNCTION("""COMPUTED_VALUE"""),"Bubba Chandler")</f>
        <v>Bubba Chandler</v>
      </c>
      <c r="H40" s="10">
        <f>IFERROR(__xludf.DUMMYFUNCTION("""COMPUTED_VALUE"""),696149.0)</f>
        <v>696149</v>
      </c>
      <c r="K40" s="10" t="s">
        <v>231</v>
      </c>
      <c r="L40" s="10">
        <v>19362.0</v>
      </c>
    </row>
    <row r="41">
      <c r="A41" s="1" t="s">
        <v>83</v>
      </c>
      <c r="B41" s="1">
        <v>13361.0</v>
      </c>
      <c r="C41" s="1">
        <v>571927.0</v>
      </c>
      <c r="G41" s="10" t="str">
        <f>IFERROR(__xludf.DUMMYFUNCTION("""COMPUTED_VALUE"""),"Emmet Sheehan")</f>
        <v>Emmet Sheehan</v>
      </c>
      <c r="H41" s="10">
        <f>IFERROR(__xludf.DUMMYFUNCTION("""COMPUTED_VALUE"""),686218.0)</f>
        <v>686218</v>
      </c>
      <c r="K41" s="10" t="s">
        <v>240</v>
      </c>
      <c r="L41" s="10">
        <v>19804.0</v>
      </c>
    </row>
    <row r="42">
      <c r="A42" s="1" t="s">
        <v>153</v>
      </c>
      <c r="B42" s="1">
        <v>22250.0</v>
      </c>
      <c r="C42" s="1">
        <v>669302.0</v>
      </c>
      <c r="G42" s="10" t="str">
        <f>IFERROR(__xludf.DUMMYFUNCTION("""COMPUTED_VALUE"""),"Janson Junk")</f>
        <v>Janson Junk</v>
      </c>
      <c r="H42" s="10">
        <f>IFERROR(__xludf.DUMMYFUNCTION("""COMPUTED_VALUE"""),676083.0)</f>
        <v>676083</v>
      </c>
      <c r="K42" s="10" t="s">
        <v>641</v>
      </c>
      <c r="L42" s="10">
        <v>20517.0</v>
      </c>
    </row>
    <row r="43">
      <c r="A43" s="1" t="s">
        <v>285</v>
      </c>
      <c r="B43" s="1">
        <v>16137.0</v>
      </c>
      <c r="C43" s="1">
        <v>607074.0</v>
      </c>
      <c r="G43" s="10" t="str">
        <f>IFERROR(__xludf.DUMMYFUNCTION("""COMPUTED_VALUE"""),"Bryan Woo")</f>
        <v>Bryan Woo</v>
      </c>
      <c r="H43" s="10">
        <f>IFERROR(__xludf.DUMMYFUNCTION("""COMPUTED_VALUE"""),693433.0)</f>
        <v>693433</v>
      </c>
      <c r="K43" s="10" t="s">
        <v>427</v>
      </c>
      <c r="L43" s="10">
        <v>33838.0</v>
      </c>
    </row>
    <row r="44">
      <c r="A44" s="1" t="s">
        <v>222</v>
      </c>
      <c r="B44" s="1">
        <v>11156.0</v>
      </c>
      <c r="C44" s="1">
        <v>518876.0</v>
      </c>
      <c r="G44" s="10" t="str">
        <f>IFERROR(__xludf.DUMMYFUNCTION("""COMPUTED_VALUE"""),"Richard Fitts")</f>
        <v>Richard Fitts</v>
      </c>
      <c r="H44" s="10">
        <f>IFERROR(__xludf.DUMMYFUNCTION("""COMPUTED_VALUE"""),690916.0)</f>
        <v>690916</v>
      </c>
      <c r="K44" s="10" t="s">
        <v>79</v>
      </c>
      <c r="L44" s="10">
        <v>10310.0</v>
      </c>
    </row>
    <row r="45">
      <c r="A45" s="1" t="s">
        <v>169</v>
      </c>
      <c r="B45" s="1">
        <v>29911.0</v>
      </c>
      <c r="C45" s="1">
        <v>671096.0</v>
      </c>
      <c r="G45" s="10" t="str">
        <f>IFERROR(__xludf.DUMMYFUNCTION("""COMPUTED_VALUE"""),"Yusei Kikuchi")</f>
        <v>Yusei Kikuchi</v>
      </c>
      <c r="H45" s="10">
        <f>IFERROR(__xludf.DUMMYFUNCTION("""COMPUTED_VALUE"""),579328.0)</f>
        <v>579328</v>
      </c>
      <c r="K45" s="10" t="s">
        <v>642</v>
      </c>
      <c r="L45" s="10">
        <v>13470.0</v>
      </c>
    </row>
    <row r="46">
      <c r="A46" s="1" t="s">
        <v>423</v>
      </c>
      <c r="B46" s="1">
        <v>17594.0</v>
      </c>
      <c r="C46" s="1">
        <v>656605.0</v>
      </c>
      <c r="G46" s="10" t="str">
        <f>IFERROR(__xludf.DUMMYFUNCTION("""COMPUTED_VALUE"""),"Noah Cameron")</f>
        <v>Noah Cameron</v>
      </c>
      <c r="H46" s="10">
        <f>IFERROR(__xludf.DUMMYFUNCTION("""COMPUTED_VALUE"""),702070.0)</f>
        <v>702070</v>
      </c>
      <c r="K46" s="10" t="s">
        <v>182</v>
      </c>
      <c r="L46" s="10">
        <v>13799.0</v>
      </c>
    </row>
    <row r="47">
      <c r="A47" s="1" t="s">
        <v>194</v>
      </c>
      <c r="B47" s="1">
        <v>26378.0</v>
      </c>
      <c r="C47" s="1">
        <v>666157.0</v>
      </c>
      <c r="G47" s="10" t="str">
        <f>IFERROR(__xludf.DUMMYFUNCTION("""COMPUTED_VALUE"""),"Pierson Ohl")</f>
        <v>Pierson Ohl</v>
      </c>
      <c r="H47" s="10">
        <f>IFERROR(__xludf.DUMMYFUNCTION("""COMPUTED_VALUE"""),701487.0)</f>
        <v>701487</v>
      </c>
      <c r="K47" s="10" t="s">
        <v>139</v>
      </c>
      <c r="L47" s="10">
        <v>15009.0</v>
      </c>
    </row>
    <row r="48">
      <c r="A48" s="1" t="s">
        <v>429</v>
      </c>
      <c r="B48" s="1">
        <v>20373.0</v>
      </c>
      <c r="C48" s="1">
        <v>662253.0</v>
      </c>
      <c r="G48" s="10" t="str">
        <f>IFERROR(__xludf.DUMMYFUNCTION("""COMPUTED_VALUE"""),"Bailey Ober")</f>
        <v>Bailey Ober</v>
      </c>
      <c r="H48" s="10">
        <f>IFERROR(__xludf.DUMMYFUNCTION("""COMPUTED_VALUE"""),641927.0)</f>
        <v>641927</v>
      </c>
      <c r="K48" s="10" t="s">
        <v>208</v>
      </c>
      <c r="L48" s="10">
        <v>16122.0</v>
      </c>
    </row>
    <row r="49">
      <c r="A49" s="1" t="s">
        <v>341</v>
      </c>
      <c r="B49" s="1">
        <v>23590.0</v>
      </c>
      <c r="C49" s="1">
        <v>676962.0</v>
      </c>
      <c r="G49" s="10" t="str">
        <f>IFERROR(__xludf.DUMMYFUNCTION("""COMPUTED_VALUE"""),"Jacob deGrom")</f>
        <v>Jacob deGrom</v>
      </c>
      <c r="H49" s="10">
        <f>IFERROR(__xludf.DUMMYFUNCTION("""COMPUTED_VALUE"""),594798.0)</f>
        <v>594798</v>
      </c>
      <c r="K49" s="10" t="s">
        <v>643</v>
      </c>
      <c r="L49" s="10">
        <v>17780.0</v>
      </c>
    </row>
    <row r="50">
      <c r="A50" s="1" t="s">
        <v>81</v>
      </c>
      <c r="B50" s="1">
        <v>30115.0</v>
      </c>
      <c r="C50" s="1">
        <v>663158.0</v>
      </c>
      <c r="G50" s="10" t="str">
        <f>IFERROR(__xludf.DUMMYFUNCTION("""COMPUTED_VALUE"""),"Landen Roupp")</f>
        <v>Landen Roupp</v>
      </c>
      <c r="H50" s="10">
        <f>IFERROR(__xludf.DUMMYFUNCTION("""COMPUTED_VALUE"""),694738.0)</f>
        <v>694738</v>
      </c>
      <c r="K50" s="10" t="s">
        <v>644</v>
      </c>
      <c r="L50" s="10">
        <v>19403.0</v>
      </c>
    </row>
    <row r="51">
      <c r="A51" s="1" t="s">
        <v>251</v>
      </c>
      <c r="B51" s="1">
        <v>23429.0</v>
      </c>
      <c r="C51" s="1">
        <v>676664.0</v>
      </c>
      <c r="G51" s="10" t="str">
        <f>IFERROR(__xludf.DUMMYFUNCTION("""COMPUTED_VALUE"""),"Casey Mize")</f>
        <v>Casey Mize</v>
      </c>
      <c r="H51" s="10">
        <f>IFERROR(__xludf.DUMMYFUNCTION("""COMPUTED_VALUE"""),663554.0)</f>
        <v>663554</v>
      </c>
      <c r="K51" s="10" t="s">
        <v>354</v>
      </c>
      <c r="L51" s="10">
        <v>22201.0</v>
      </c>
    </row>
    <row r="52">
      <c r="A52" s="1" t="s">
        <v>65</v>
      </c>
      <c r="B52" s="1">
        <v>31846.0</v>
      </c>
      <c r="C52" s="1">
        <v>680885.0</v>
      </c>
      <c r="G52" s="10" t="str">
        <f>IFERROR(__xludf.DUMMYFUNCTION("""COMPUTED_VALUE"""),"Trevor McDonald")</f>
        <v>Trevor McDonald</v>
      </c>
      <c r="H52" s="10">
        <f>IFERROR(__xludf.DUMMYFUNCTION("""COMPUTED_VALUE"""),686790.0)</f>
        <v>686790</v>
      </c>
      <c r="K52" s="10" t="s">
        <v>508</v>
      </c>
      <c r="L52" s="10">
        <v>23135.0</v>
      </c>
    </row>
    <row r="53">
      <c r="A53" s="1" t="s">
        <v>415</v>
      </c>
      <c r="B53" s="1">
        <v>16943.0</v>
      </c>
      <c r="C53" s="1">
        <v>656794.0</v>
      </c>
      <c r="G53" s="10" t="str">
        <f>IFERROR(__xludf.DUMMYFUNCTION("""COMPUTED_VALUE"""),"Chris Paddack")</f>
        <v>Chris Paddack</v>
      </c>
      <c r="H53" s="10">
        <f>IFERROR(__xludf.DUMMYFUNCTION("""COMPUTED_VALUE"""),663978.0)</f>
        <v>663978</v>
      </c>
      <c r="K53" s="10" t="s">
        <v>86</v>
      </c>
      <c r="L53" s="10">
        <v>24017.0</v>
      </c>
    </row>
    <row r="54">
      <c r="A54" s="1" t="s">
        <v>307</v>
      </c>
      <c r="B54" s="1">
        <v>20302.0</v>
      </c>
      <c r="C54" s="1">
        <v>656849.0</v>
      </c>
      <c r="G54" s="10" t="str">
        <f>IFERROR(__xludf.DUMMYFUNCTION("""COMPUTED_VALUE"""),"Dustin May")</f>
        <v>Dustin May</v>
      </c>
      <c r="H54" s="10">
        <f>IFERROR(__xludf.DUMMYFUNCTION("""COMPUTED_VALUE"""),669160.0)</f>
        <v>669160</v>
      </c>
      <c r="K54" s="10" t="s">
        <v>165</v>
      </c>
      <c r="L54" s="10">
        <v>31776.0</v>
      </c>
    </row>
    <row r="55">
      <c r="A55" s="1" t="s">
        <v>287</v>
      </c>
      <c r="B55" s="1">
        <v>9803.0</v>
      </c>
      <c r="C55" s="1">
        <v>571945.0</v>
      </c>
      <c r="G55" s="10" t="str">
        <f>IFERROR(__xludf.DUMMYFUNCTION("""COMPUTED_VALUE"""),"Bryce Miller")</f>
        <v>Bryce Miller</v>
      </c>
      <c r="H55" s="10">
        <f>IFERROR(__xludf.DUMMYFUNCTION("""COMPUTED_VALUE"""),682243.0)</f>
        <v>682243</v>
      </c>
      <c r="K55" s="10" t="s">
        <v>115</v>
      </c>
      <c r="L55" s="10">
        <v>9132.0</v>
      </c>
    </row>
    <row r="56">
      <c r="A56" s="1" t="s">
        <v>173</v>
      </c>
      <c r="B56" s="1">
        <v>21224.0</v>
      </c>
      <c r="C56" s="1">
        <v>641927.0</v>
      </c>
      <c r="G56" s="10" t="str">
        <f>IFERROR(__xludf.DUMMYFUNCTION("""COMPUTED_VALUE"""),"Max Scherzer")</f>
        <v>Max Scherzer</v>
      </c>
      <c r="H56" s="10">
        <f>IFERROR(__xludf.DUMMYFUNCTION("""COMPUTED_VALUE"""),453286.0)</f>
        <v>453286</v>
      </c>
      <c r="K56" s="10" t="s">
        <v>41</v>
      </c>
      <c r="L56" s="10">
        <v>10233.0</v>
      </c>
    </row>
    <row r="57">
      <c r="A57" s="1" t="s">
        <v>135</v>
      </c>
      <c r="B57" s="1">
        <v>27867.0</v>
      </c>
      <c r="C57" s="1">
        <v>671922.0</v>
      </c>
      <c r="G57" s="10" t="str">
        <f>IFERROR(__xludf.DUMMYFUNCTION("""COMPUTED_VALUE"""),"Jake Irvin")</f>
        <v>Jake Irvin</v>
      </c>
      <c r="H57" s="10">
        <f>IFERROR(__xludf.DUMMYFUNCTION("""COMPUTED_VALUE"""),663623.0)</f>
        <v>663623</v>
      </c>
      <c r="K57" s="10" t="s">
        <v>162</v>
      </c>
      <c r="L57" s="10">
        <v>11752.0</v>
      </c>
    </row>
    <row r="58">
      <c r="A58" s="1" t="s">
        <v>542</v>
      </c>
      <c r="B58" s="1">
        <v>17780.0</v>
      </c>
      <c r="C58" s="1">
        <v>621237.0</v>
      </c>
      <c r="G58" s="10" t="str">
        <f>IFERROR(__xludf.DUMMYFUNCTION("""COMPUTED_VALUE"""),"Matthew Boyd")</f>
        <v>Matthew Boyd</v>
      </c>
      <c r="H58" s="10">
        <f>IFERROR(__xludf.DUMMYFUNCTION("""COMPUTED_VALUE"""),571510.0)</f>
        <v>571510</v>
      </c>
      <c r="K58" s="10" t="s">
        <v>74</v>
      </c>
      <c r="L58" s="10">
        <v>11847.0</v>
      </c>
    </row>
    <row r="59">
      <c r="A59" s="1" t="s">
        <v>104</v>
      </c>
      <c r="B59" s="1">
        <v>30085.0</v>
      </c>
      <c r="C59" s="1">
        <v>676508.0</v>
      </c>
      <c r="G59" s="10" t="str">
        <f>IFERROR(__xludf.DUMMYFUNCTION("""COMPUTED_VALUE"""),"Keider Montero")</f>
        <v>Keider Montero</v>
      </c>
      <c r="H59" s="10">
        <f>IFERROR(__xludf.DUMMYFUNCTION("""COMPUTED_VALUE"""),672456.0)</f>
        <v>672456</v>
      </c>
      <c r="K59" s="10" t="s">
        <v>440</v>
      </c>
      <c r="L59" s="10">
        <v>12857.0</v>
      </c>
    </row>
    <row r="60">
      <c r="A60" s="1" t="s">
        <v>344</v>
      </c>
      <c r="B60" s="1">
        <v>30182.0</v>
      </c>
      <c r="C60" s="1">
        <v>701542.0</v>
      </c>
      <c r="G60" s="10" t="str">
        <f>IFERROR(__xludf.DUMMYFUNCTION("""COMPUTED_VALUE"""),"Jack Leiter")</f>
        <v>Jack Leiter</v>
      </c>
      <c r="H60" s="10">
        <f>IFERROR(__xludf.DUMMYFUNCTION("""COMPUTED_VALUE"""),683004.0)</f>
        <v>683004</v>
      </c>
      <c r="K60" s="10" t="s">
        <v>250</v>
      </c>
      <c r="L60" s="10">
        <v>20191.0</v>
      </c>
    </row>
    <row r="61">
      <c r="A61" s="1" t="s">
        <v>246</v>
      </c>
      <c r="B61" s="1">
        <v>15440.0</v>
      </c>
      <c r="C61" s="1">
        <v>571510.0</v>
      </c>
      <c r="G61" s="10" t="str">
        <f>IFERROR(__xludf.DUMMYFUNCTION("""COMPUTED_VALUE"""),"Jonathan Cannon")</f>
        <v>Jonathan Cannon</v>
      </c>
      <c r="H61" s="10">
        <f>IFERROR(__xludf.DUMMYFUNCTION("""COMPUTED_VALUE"""),686563.0)</f>
        <v>686563</v>
      </c>
      <c r="K61" s="10" t="s">
        <v>268</v>
      </c>
      <c r="L61" s="10">
        <v>23363.0</v>
      </c>
    </row>
    <row r="62">
      <c r="A62" s="1" t="s">
        <v>148</v>
      </c>
      <c r="B62" s="1">
        <v>16977.0</v>
      </c>
      <c r="C62" s="1">
        <v>592866.0</v>
      </c>
      <c r="G62" s="10" t="str">
        <f>IFERROR(__xludf.DUMMYFUNCTION("""COMPUTED_VALUE"""),"Framber Valdez")</f>
        <v>Framber Valdez</v>
      </c>
      <c r="H62" s="10">
        <f>IFERROR(__xludf.DUMMYFUNCTION("""COMPUTED_VALUE"""),664285.0)</f>
        <v>664285</v>
      </c>
      <c r="K62" s="10" t="s">
        <v>645</v>
      </c>
      <c r="L62" s="10">
        <v>25648.0</v>
      </c>
    </row>
    <row r="63">
      <c r="A63" s="1" t="s">
        <v>225</v>
      </c>
      <c r="B63" s="1">
        <v>16918.0</v>
      </c>
      <c r="C63" s="1">
        <v>596133.0</v>
      </c>
      <c r="G63" s="10" t="str">
        <f>IFERROR(__xludf.DUMMYFUNCTION("""COMPUTED_VALUE"""),"Ranger Suárez")</f>
        <v>Ranger Suárez</v>
      </c>
      <c r="H63" s="10">
        <f>IFERROR(__xludf.DUMMYFUNCTION("""COMPUTED_VALUE"""),624133.0)</f>
        <v>624133</v>
      </c>
      <c r="K63" s="10" t="s">
        <v>100</v>
      </c>
      <c r="L63" s="10">
        <v>27463.0</v>
      </c>
    </row>
    <row r="64">
      <c r="A64" s="1" t="s">
        <v>182</v>
      </c>
      <c r="B64" s="1">
        <v>13799.0</v>
      </c>
      <c r="C64" s="1">
        <v>621381.0</v>
      </c>
      <c r="G64" s="10" t="str">
        <f>IFERROR(__xludf.DUMMYFUNCTION("""COMPUTED_VALUE"""),"Brad Lord")</f>
        <v>Brad Lord</v>
      </c>
      <c r="H64" s="10">
        <f>IFERROR(__xludf.DUMMYFUNCTION("""COMPUTED_VALUE"""),695418.0)</f>
        <v>695418</v>
      </c>
      <c r="K64" s="10" t="s">
        <v>646</v>
      </c>
      <c r="L64" s="10">
        <v>6107.0</v>
      </c>
    </row>
    <row r="65">
      <c r="A65" s="1" t="s">
        <v>435</v>
      </c>
      <c r="B65" s="1">
        <v>13293.0</v>
      </c>
      <c r="C65" s="1">
        <v>543056.0</v>
      </c>
      <c r="G65" s="10" t="str">
        <f>IFERROR(__xludf.DUMMYFUNCTION("""COMPUTED_VALUE"""),"Nathan Eovaldi")</f>
        <v>Nathan Eovaldi</v>
      </c>
      <c r="H65" s="10">
        <f>IFERROR(__xludf.DUMMYFUNCTION("""COMPUTED_VALUE"""),543135.0)</f>
        <v>543135</v>
      </c>
      <c r="K65" s="10" t="s">
        <v>269</v>
      </c>
      <c r="L65" s="10">
        <v>13649.0</v>
      </c>
    </row>
    <row r="66">
      <c r="A66" s="1" t="s">
        <v>74</v>
      </c>
      <c r="B66" s="1">
        <v>11847.0</v>
      </c>
      <c r="C66" s="1">
        <v>455119.0</v>
      </c>
      <c r="G66" s="10" t="str">
        <f>IFERROR(__xludf.DUMMYFUNCTION("""COMPUTED_VALUE"""),"Miles Mikolas")</f>
        <v>Miles Mikolas</v>
      </c>
      <c r="H66" s="10">
        <f>IFERROR(__xludf.DUMMYFUNCTION("""COMPUTED_VALUE"""),571945.0)</f>
        <v>571945</v>
      </c>
      <c r="K66" s="10" t="s">
        <v>59</v>
      </c>
      <c r="L66" s="10">
        <v>14212.0</v>
      </c>
    </row>
    <row r="67">
      <c r="A67" s="1" t="s">
        <v>44</v>
      </c>
      <c r="B67" s="1">
        <v>20778.0</v>
      </c>
      <c r="C67" s="1">
        <v>650911.0</v>
      </c>
      <c r="G67" s="10" t="str">
        <f>IFERROR(__xludf.DUMMYFUNCTION("""COMPUTED_VALUE"""),"Tyler Alexander")</f>
        <v>Tyler Alexander</v>
      </c>
      <c r="H67" s="10">
        <f>IFERROR(__xludf.DUMMYFUNCTION("""COMPUTED_VALUE"""),641302.0)</f>
        <v>641302</v>
      </c>
      <c r="K67" s="10" t="s">
        <v>210</v>
      </c>
      <c r="L67" s="10">
        <v>16609.0</v>
      </c>
    </row>
    <row r="68">
      <c r="A68" s="1" t="s">
        <v>407</v>
      </c>
      <c r="B68" s="1">
        <v>19360.0</v>
      </c>
      <c r="C68" s="1">
        <v>668674.0</v>
      </c>
      <c r="G68" s="10" t="str">
        <f>IFERROR(__xludf.DUMMYFUNCTION("""COMPUTED_VALUE"""),"J.T. Ginn")</f>
        <v>J.T. Ginn</v>
      </c>
      <c r="H68" s="10">
        <f>IFERROR(__xludf.DUMMYFUNCTION("""COMPUTED_VALUE"""),669372.0)</f>
        <v>669372</v>
      </c>
      <c r="K68" s="10" t="s">
        <v>113</v>
      </c>
      <c r="L68" s="10">
        <v>17295.0</v>
      </c>
    </row>
    <row r="69">
      <c r="A69" s="1" t="s">
        <v>155</v>
      </c>
      <c r="B69" s="1">
        <v>14107.0</v>
      </c>
      <c r="C69" s="1">
        <v>592332.0</v>
      </c>
      <c r="G69" s="10" t="str">
        <f>IFERROR(__xludf.DUMMYFUNCTION("""COMPUTED_VALUE"""),"Chase Burns")</f>
        <v>Chase Burns</v>
      </c>
      <c r="H69" s="10">
        <f>IFERROR(__xludf.DUMMYFUNCTION("""COMPUTED_VALUE"""),695505.0)</f>
        <v>695505</v>
      </c>
      <c r="K69" s="10" t="s">
        <v>647</v>
      </c>
      <c r="L69" s="10">
        <v>18439.0</v>
      </c>
    </row>
    <row r="70">
      <c r="A70" s="1" t="s">
        <v>361</v>
      </c>
      <c r="B70" s="1">
        <v>31730.0</v>
      </c>
      <c r="C70" s="1">
        <v>686563.0</v>
      </c>
      <c r="G70" s="10" t="str">
        <f>IFERROR(__xludf.DUMMYFUNCTION("""COMPUTED_VALUE"""),"George Kirby")</f>
        <v>George Kirby</v>
      </c>
      <c r="H70" s="10">
        <f>IFERROR(__xludf.DUMMYFUNCTION("""COMPUTED_VALUE"""),669923.0)</f>
        <v>669923</v>
      </c>
      <c r="K70" s="10" t="s">
        <v>648</v>
      </c>
      <c r="L70" s="10">
        <v>13892.0</v>
      </c>
    </row>
    <row r="71">
      <c r="A71" s="1" t="s">
        <v>206</v>
      </c>
      <c r="B71" s="1">
        <v>30249.0</v>
      </c>
      <c r="C71" s="1">
        <v>676263.0</v>
      </c>
      <c r="G71" s="10" t="str">
        <f>IFERROR(__xludf.DUMMYFUNCTION("""COMPUTED_VALUE"""),"Erick Fedde")</f>
        <v>Erick Fedde</v>
      </c>
      <c r="H71" s="10">
        <f>IFERROR(__xludf.DUMMYFUNCTION("""COMPUTED_VALUE"""),607200.0)</f>
        <v>607200</v>
      </c>
      <c r="K71" s="10" t="s">
        <v>649</v>
      </c>
      <c r="L71" s="10">
        <v>14542.0</v>
      </c>
    </row>
    <row r="72">
      <c r="A72" s="1" t="s">
        <v>272</v>
      </c>
      <c r="B72" s="1">
        <v>15689.0</v>
      </c>
      <c r="C72" s="1">
        <v>622491.0</v>
      </c>
      <c r="G72" s="10" t="str">
        <f>IFERROR(__xludf.DUMMYFUNCTION("""COMPUTED_VALUE"""),"Colton Gordon")</f>
        <v>Colton Gordon</v>
      </c>
      <c r="H72" s="10">
        <f>IFERROR(__xludf.DUMMYFUNCTION("""COMPUTED_VALUE"""),676467.0)</f>
        <v>676467</v>
      </c>
      <c r="K72" s="10" t="s">
        <v>298</v>
      </c>
      <c r="L72" s="10">
        <v>14932.0</v>
      </c>
    </row>
    <row r="73">
      <c r="A73" s="1" t="s">
        <v>453</v>
      </c>
      <c r="B73" s="1">
        <v>11836.0</v>
      </c>
      <c r="C73" s="1">
        <v>592836.0</v>
      </c>
      <c r="G73" s="10" t="str">
        <f>IFERROR(__xludf.DUMMYFUNCTION("""COMPUTED_VALUE"""),"Michael McGreevy")</f>
        <v>Michael McGreevy</v>
      </c>
      <c r="H73" s="10">
        <f>IFERROR(__xludf.DUMMYFUNCTION("""COMPUTED_VALUE"""),700241.0)</f>
        <v>700241</v>
      </c>
      <c r="K73" s="10" t="s">
        <v>650</v>
      </c>
      <c r="L73" s="10">
        <v>15507.0</v>
      </c>
    </row>
    <row r="74">
      <c r="A74" s="1" t="s">
        <v>139</v>
      </c>
      <c r="B74" s="1">
        <v>15009.0</v>
      </c>
      <c r="C74" s="1">
        <v>640448.0</v>
      </c>
      <c r="G74" s="10" t="str">
        <f>IFERROR(__xludf.DUMMYFUNCTION("""COMPUTED_VALUE"""),"Sonny Gray")</f>
        <v>Sonny Gray</v>
      </c>
      <c r="H74" s="10">
        <f>IFERROR(__xludf.DUMMYFUNCTION("""COMPUTED_VALUE"""),543243.0)</f>
        <v>543243</v>
      </c>
      <c r="K74" s="10" t="s">
        <v>407</v>
      </c>
      <c r="L74" s="10">
        <v>19360.0</v>
      </c>
    </row>
    <row r="75">
      <c r="A75" s="1" t="s">
        <v>125</v>
      </c>
      <c r="B75" s="1">
        <v>20492.0</v>
      </c>
      <c r="C75" s="1">
        <v>663554.0</v>
      </c>
      <c r="G75" s="10" t="str">
        <f>IFERROR(__xludf.DUMMYFUNCTION("""COMPUTED_VALUE"""),"Nolan McLean")</f>
        <v>Nolan McLean</v>
      </c>
      <c r="H75" s="10">
        <f>IFERROR(__xludf.DUMMYFUNCTION("""COMPUTED_VALUE"""),690997.0)</f>
        <v>690997</v>
      </c>
      <c r="K75" s="10" t="s">
        <v>132</v>
      </c>
      <c r="L75" s="10">
        <v>21032.0</v>
      </c>
    </row>
    <row r="76">
      <c r="A76" s="1" t="s">
        <v>30</v>
      </c>
      <c r="B76" s="1">
        <v>23974.0</v>
      </c>
      <c r="C76" s="1">
        <v>678495.0</v>
      </c>
      <c r="G76" s="10" t="str">
        <f>IFERROR(__xludf.DUMMYFUNCTION("""COMPUTED_VALUE"""),"Brandon Pfaadt")</f>
        <v>Brandon Pfaadt</v>
      </c>
      <c r="H76" s="10">
        <f>IFERROR(__xludf.DUMMYFUNCTION("""COMPUTED_VALUE"""),694297.0)</f>
        <v>694297</v>
      </c>
      <c r="K76" s="10" t="s">
        <v>205</v>
      </c>
      <c r="L76" s="10">
        <v>21846.0</v>
      </c>
    </row>
    <row r="77">
      <c r="A77" s="1" t="s">
        <v>445</v>
      </c>
      <c r="B77" s="1">
        <v>19618.0</v>
      </c>
      <c r="C77" s="1">
        <v>663855.0</v>
      </c>
      <c r="G77" s="10" t="str">
        <f>IFERROR(__xludf.DUMMYFUNCTION("""COMPUTED_VALUE"""),"Patrick Corbin")</f>
        <v>Patrick Corbin</v>
      </c>
      <c r="H77" s="10">
        <f>IFERROR(__xludf.DUMMYFUNCTION("""COMPUTED_VALUE"""),571578.0)</f>
        <v>571578</v>
      </c>
      <c r="K77" s="10" t="s">
        <v>140</v>
      </c>
      <c r="L77" s="10">
        <v>22717.0</v>
      </c>
    </row>
    <row r="78">
      <c r="A78" s="1" t="s">
        <v>112</v>
      </c>
      <c r="B78" s="1">
        <v>25376.0</v>
      </c>
      <c r="C78" s="1">
        <v>683232.0</v>
      </c>
      <c r="G78" s="10" t="str">
        <f>IFERROR(__xludf.DUMMYFUNCTION("""COMPUTED_VALUE"""),"Eury Pérez")</f>
        <v>Eury Pérez</v>
      </c>
      <c r="H78" s="10">
        <f>IFERROR(__xludf.DUMMYFUNCTION("""COMPUTED_VALUE"""),691587.0)</f>
        <v>691587</v>
      </c>
      <c r="K78" s="10" t="s">
        <v>519</v>
      </c>
      <c r="L78" s="10">
        <v>25139.0</v>
      </c>
    </row>
    <row r="79">
      <c r="A79" s="1" t="s">
        <v>313</v>
      </c>
      <c r="B79" s="1">
        <v>12317.0</v>
      </c>
      <c r="C79" s="1">
        <v>607067.0</v>
      </c>
      <c r="G79" s="10" t="str">
        <f>IFERROR(__xludf.DUMMYFUNCTION("""COMPUTED_VALUE"""),"Bailey Falter")</f>
        <v>Bailey Falter</v>
      </c>
      <c r="H79" s="10">
        <f>IFERROR(__xludf.DUMMYFUNCTION("""COMPUTED_VALUE"""),663559.0)</f>
        <v>663559</v>
      </c>
      <c r="K79" s="10" t="s">
        <v>442</v>
      </c>
      <c r="L79" s="10">
        <v>25379.0</v>
      </c>
    </row>
    <row r="80">
      <c r="A80" s="1" t="s">
        <v>303</v>
      </c>
      <c r="B80" s="1">
        <v>11486.0</v>
      </c>
      <c r="C80" s="1">
        <v>592662.0</v>
      </c>
      <c r="G80" s="10" t="str">
        <f>IFERROR(__xludf.DUMMYFUNCTION("""COMPUTED_VALUE"""),"David Peterson")</f>
        <v>David Peterson</v>
      </c>
      <c r="H80" s="10">
        <f>IFERROR(__xludf.DUMMYFUNCTION("""COMPUTED_VALUE"""),656849.0)</f>
        <v>656849</v>
      </c>
      <c r="K80" s="10" t="s">
        <v>238</v>
      </c>
      <c r="L80" s="10">
        <v>25636.0</v>
      </c>
    </row>
    <row r="81">
      <c r="A81" s="1" t="s">
        <v>38</v>
      </c>
      <c r="B81" s="1">
        <v>13580.0</v>
      </c>
      <c r="C81" s="1">
        <v>595345.0</v>
      </c>
      <c r="G81" s="10" t="str">
        <f>IFERROR(__xludf.DUMMYFUNCTION("""COMPUTED_VALUE"""),"Troy Melton")</f>
        <v>Troy Melton</v>
      </c>
      <c r="H81" s="10">
        <f>IFERROR(__xludf.DUMMYFUNCTION("""COMPUTED_VALUE"""),675512.0)</f>
        <v>675512</v>
      </c>
      <c r="K81" s="10" t="s">
        <v>135</v>
      </c>
      <c r="L81" s="10">
        <v>27867.0</v>
      </c>
    </row>
    <row r="82">
      <c r="A82" s="1" t="s">
        <v>121</v>
      </c>
      <c r="B82" s="1">
        <v>27474.0</v>
      </c>
      <c r="C82" s="1">
        <v>676974.0</v>
      </c>
      <c r="G82" s="10" t="str">
        <f>IFERROR(__xludf.DUMMYFUNCTION("""COMPUTED_VALUE"""),"Cade Povich")</f>
        <v>Cade Povich</v>
      </c>
      <c r="H82" s="10">
        <f>IFERROR(__xludf.DUMMYFUNCTION("""COMPUTED_VALUE"""),700249.0)</f>
        <v>700249</v>
      </c>
      <c r="K82" s="10" t="s">
        <v>651</v>
      </c>
      <c r="L82" s="10">
        <v>14771.0</v>
      </c>
    </row>
    <row r="83">
      <c r="A83" s="1" t="s">
        <v>516</v>
      </c>
      <c r="B83" s="1">
        <v>29960.0</v>
      </c>
      <c r="C83" s="1">
        <v>700363.0</v>
      </c>
      <c r="G83" s="10" t="str">
        <f>IFERROR(__xludf.DUMMYFUNCTION("""COMPUTED_VALUE"""),"Cam Schlittler")</f>
        <v>Cam Schlittler</v>
      </c>
      <c r="H83" s="10">
        <f>IFERROR(__xludf.DUMMYFUNCTION("""COMPUTED_VALUE"""),693645.0)</f>
        <v>693645</v>
      </c>
      <c r="K83" s="10" t="s">
        <v>652</v>
      </c>
      <c r="L83" s="10">
        <v>14874.0</v>
      </c>
    </row>
    <row r="84">
      <c r="A84" s="1" t="s">
        <v>97</v>
      </c>
      <c r="B84" s="1">
        <v>25385.0</v>
      </c>
      <c r="C84" s="1">
        <v>656876.0</v>
      </c>
      <c r="G84" s="10" t="str">
        <f>IFERROR(__xludf.DUMMYFUNCTION("""COMPUTED_VALUE"""),"Tarik Skubal")</f>
        <v>Tarik Skubal</v>
      </c>
      <c r="H84" s="10">
        <f>IFERROR(__xludf.DUMMYFUNCTION("""COMPUTED_VALUE"""),669373.0)</f>
        <v>669373</v>
      </c>
      <c r="K84" s="10" t="s">
        <v>475</v>
      </c>
      <c r="L84" s="10">
        <v>14993.0</v>
      </c>
    </row>
    <row r="85">
      <c r="A85" s="1" t="s">
        <v>382</v>
      </c>
      <c r="B85" s="1">
        <v>19867.0</v>
      </c>
      <c r="C85" s="1">
        <v>656288.0</v>
      </c>
      <c r="G85" s="10" t="str">
        <f>IFERROR(__xludf.DUMMYFUNCTION("""COMPUTED_VALUE"""),"Shohei Ohtani")</f>
        <v>Shohei Ohtani</v>
      </c>
      <c r="H85" s="10">
        <f>IFERROR(__xludf.DUMMYFUNCTION("""COMPUTED_VALUE"""),660271.0)</f>
        <v>660271</v>
      </c>
      <c r="K85" s="10" t="s">
        <v>20</v>
      </c>
      <c r="L85" s="10">
        <v>15541.0</v>
      </c>
    </row>
    <row r="86">
      <c r="A86" s="1" t="s">
        <v>210</v>
      </c>
      <c r="B86" s="1">
        <v>16609.0</v>
      </c>
      <c r="C86" s="1">
        <v>650556.0</v>
      </c>
      <c r="G86" s="10" t="str">
        <f>IFERROR(__xludf.DUMMYFUNCTION("""COMPUTED_VALUE"""),"Hurston Waldrep")</f>
        <v>Hurston Waldrep</v>
      </c>
      <c r="H86" s="10">
        <f>IFERROR(__xludf.DUMMYFUNCTION("""COMPUTED_VALUE"""),694462.0)</f>
        <v>694462</v>
      </c>
      <c r="K86" s="10" t="s">
        <v>653</v>
      </c>
      <c r="L86" s="10">
        <v>17871.0</v>
      </c>
    </row>
    <row r="87">
      <c r="A87" s="1" t="s">
        <v>131</v>
      </c>
      <c r="B87" s="1">
        <v>19769.0</v>
      </c>
      <c r="C87" s="1">
        <v>676684.0</v>
      </c>
      <c r="G87" s="10" t="str">
        <f>IFERROR(__xludf.DUMMYFUNCTION("""COMPUTED_VALUE"""),"Reese Olson")</f>
        <v>Reese Olson</v>
      </c>
      <c r="H87" s="10">
        <f>IFERROR(__xludf.DUMMYFUNCTION("""COMPUTED_VALUE"""),681857.0)</f>
        <v>681857</v>
      </c>
      <c r="K87" s="10" t="s">
        <v>77</v>
      </c>
      <c r="L87" s="10">
        <v>17995.0</v>
      </c>
    </row>
    <row r="88">
      <c r="A88" s="1" t="s">
        <v>232</v>
      </c>
      <c r="B88" s="1">
        <v>20633.0</v>
      </c>
      <c r="C88" s="1">
        <v>579328.0</v>
      </c>
      <c r="G88" s="10" t="str">
        <f>IFERROR(__xludf.DUMMYFUNCTION("""COMPUTED_VALUE"""),"Max Fried")</f>
        <v>Max Fried</v>
      </c>
      <c r="H88" s="10">
        <f>IFERROR(__xludf.DUMMYFUNCTION("""COMPUTED_VALUE"""),608331.0)</f>
        <v>608331</v>
      </c>
      <c r="K88" s="10" t="s">
        <v>345</v>
      </c>
      <c r="L88" s="10">
        <v>19926.0</v>
      </c>
    </row>
    <row r="89">
      <c r="A89" s="1" t="s">
        <v>321</v>
      </c>
      <c r="B89" s="1">
        <v>17425.0</v>
      </c>
      <c r="C89" s="1">
        <v>607200.0</v>
      </c>
      <c r="G89" s="10" t="str">
        <f>IFERROR(__xludf.DUMMYFUNCTION("""COMPUTED_VALUE"""),"Robbie Ray")</f>
        <v>Robbie Ray</v>
      </c>
      <c r="H89" s="10">
        <f>IFERROR(__xludf.DUMMYFUNCTION("""COMPUTED_VALUE"""),592662.0)</f>
        <v>592662</v>
      </c>
      <c r="K89" s="10" t="s">
        <v>403</v>
      </c>
      <c r="L89" s="10">
        <v>20423.0</v>
      </c>
    </row>
    <row r="90">
      <c r="A90" s="1" t="s">
        <v>32</v>
      </c>
      <c r="B90" s="1">
        <v>17586.0</v>
      </c>
      <c r="C90" s="1">
        <v>656945.0</v>
      </c>
      <c r="G90" s="10" t="str">
        <f>IFERROR(__xludf.DUMMYFUNCTION("""COMPUTED_VALUE"""),"Colin Rea")</f>
        <v>Colin Rea</v>
      </c>
      <c r="H90" s="10">
        <f>IFERROR(__xludf.DUMMYFUNCTION("""COMPUTED_VALUE"""),607067.0)</f>
        <v>607067</v>
      </c>
      <c r="K90" s="10" t="s">
        <v>73</v>
      </c>
      <c r="L90" s="10">
        <v>22182.0</v>
      </c>
    </row>
    <row r="91">
      <c r="A91" s="1" t="s">
        <v>215</v>
      </c>
      <c r="B91" s="1">
        <v>21267.0</v>
      </c>
      <c r="C91" s="1">
        <v>656234.0</v>
      </c>
      <c r="G91" s="10" t="str">
        <f>IFERROR(__xludf.DUMMYFUNCTION("""COMPUTED_VALUE"""),"Ian Seymour")</f>
        <v>Ian Seymour</v>
      </c>
      <c r="H91" s="10">
        <f>IFERROR(__xludf.DUMMYFUNCTION("""COMPUTED_VALUE"""),693855.0)</f>
        <v>693855</v>
      </c>
      <c r="K91" s="10" t="s">
        <v>654</v>
      </c>
      <c r="L91" s="10">
        <v>23974.0</v>
      </c>
    </row>
    <row r="92">
      <c r="A92" s="1" t="s">
        <v>335</v>
      </c>
      <c r="B92" s="1">
        <v>21448.0</v>
      </c>
      <c r="C92" s="1">
        <v>663436.0</v>
      </c>
      <c r="G92" s="10" t="str">
        <f>IFERROR(__xludf.DUMMYFUNCTION("""COMPUTED_VALUE"""),"Andrew Alvarez")</f>
        <v>Andrew Alvarez</v>
      </c>
      <c r="H92" s="10">
        <f>IFERROR(__xludf.DUMMYFUNCTION("""COMPUTED_VALUE"""),674841.0)</f>
        <v>674841</v>
      </c>
      <c r="K92" s="10" t="s">
        <v>655</v>
      </c>
      <c r="L92" s="10">
        <v>26252.0</v>
      </c>
    </row>
    <row r="93">
      <c r="A93" s="1" t="s">
        <v>422</v>
      </c>
      <c r="B93" s="1">
        <v>7048.0</v>
      </c>
      <c r="C93" s="1">
        <v>518585.0</v>
      </c>
      <c r="G93" s="10" t="str">
        <f>IFERROR(__xludf.DUMMYFUNCTION("""COMPUTED_VALUE"""),"Jeffrey Springs")</f>
        <v>Jeffrey Springs</v>
      </c>
      <c r="H93" s="10">
        <f>IFERROR(__xludf.DUMMYFUNCTION("""COMPUTED_VALUE"""),605488.0)</f>
        <v>605488</v>
      </c>
      <c r="K93" s="10" t="s">
        <v>656</v>
      </c>
      <c r="L93" s="10">
        <v>12808.0</v>
      </c>
    </row>
    <row r="94">
      <c r="A94" s="1" t="s">
        <v>122</v>
      </c>
      <c r="B94" s="1">
        <v>21029.0</v>
      </c>
      <c r="C94" s="1">
        <v>661395.0</v>
      </c>
      <c r="G94" s="10" t="str">
        <f>IFERROR(__xludf.DUMMYFUNCTION("""COMPUTED_VALUE"""),"Nick Lodolo")</f>
        <v>Nick Lodolo</v>
      </c>
      <c r="H94" s="10">
        <f>IFERROR(__xludf.DUMMYFUNCTION("""COMPUTED_VALUE"""),666157.0)</f>
        <v>666157</v>
      </c>
      <c r="K94" s="10" t="s">
        <v>252</v>
      </c>
      <c r="L94" s="10">
        <v>16061.0</v>
      </c>
    </row>
    <row r="95">
      <c r="A95" s="1" t="s">
        <v>314</v>
      </c>
      <c r="B95" s="1">
        <v>19407.0</v>
      </c>
      <c r="C95" s="1">
        <v>669854.0</v>
      </c>
      <c r="G95" s="10" t="str">
        <f>IFERROR(__xludf.DUMMYFUNCTION("""COMPUTED_VALUE"""),"Michael Wacha")</f>
        <v>Michael Wacha</v>
      </c>
      <c r="H95" s="10">
        <f>IFERROR(__xludf.DUMMYFUNCTION("""COMPUTED_VALUE"""),608379.0)</f>
        <v>608379</v>
      </c>
      <c r="K95" s="10" t="s">
        <v>657</v>
      </c>
      <c r="L95" s="10">
        <v>19339.0</v>
      </c>
    </row>
    <row r="96">
      <c r="A96" s="1" t="s">
        <v>59</v>
      </c>
      <c r="B96" s="1">
        <v>14212.0</v>
      </c>
      <c r="C96" s="1">
        <v>623352.0</v>
      </c>
      <c r="G96" s="10" t="str">
        <f>IFERROR(__xludf.DUMMYFUNCTION("""COMPUTED_VALUE"""),"Stephen Kolek")</f>
        <v>Stephen Kolek</v>
      </c>
      <c r="H96" s="10">
        <f>IFERROR(__xludf.DUMMYFUNCTION("""COMPUTED_VALUE"""),663568.0)</f>
        <v>663568</v>
      </c>
      <c r="K96" s="10" t="s">
        <v>232</v>
      </c>
      <c r="L96" s="10">
        <v>20633.0</v>
      </c>
    </row>
    <row r="97">
      <c r="A97" s="1" t="s">
        <v>211</v>
      </c>
      <c r="B97" s="1">
        <v>27552.0</v>
      </c>
      <c r="C97" s="1">
        <v>668933.0</v>
      </c>
      <c r="G97" s="10" t="str">
        <f>IFERROR(__xludf.DUMMYFUNCTION("""COMPUTED_VALUE"""),"Edward Cabrera")</f>
        <v>Edward Cabrera</v>
      </c>
      <c r="H97" s="10">
        <f>IFERROR(__xludf.DUMMYFUNCTION("""COMPUTED_VALUE"""),665795.0)</f>
        <v>665795</v>
      </c>
      <c r="K97" s="10" t="s">
        <v>658</v>
      </c>
      <c r="L97" s="10">
        <v>25174.0</v>
      </c>
    </row>
    <row r="98">
      <c r="A98" s="1" t="s">
        <v>190</v>
      </c>
      <c r="B98" s="1">
        <v>18064.0</v>
      </c>
      <c r="C98" s="1">
        <v>664208.0</v>
      </c>
      <c r="G98" s="10" t="str">
        <f>IFERROR(__xludf.DUMMYFUNCTION("""COMPUTED_VALUE"""),"Gavin Williams")</f>
        <v>Gavin Williams</v>
      </c>
      <c r="H98" s="10">
        <f>IFERROR(__xludf.DUMMYFUNCTION("""COMPUTED_VALUE"""),668909.0)</f>
        <v>668909</v>
      </c>
      <c r="K98" s="10" t="s">
        <v>356</v>
      </c>
      <c r="L98" s="10">
        <v>29878.0</v>
      </c>
    </row>
    <row r="99">
      <c r="A99" s="1" t="s">
        <v>256</v>
      </c>
      <c r="B99" s="1">
        <v>15423.0</v>
      </c>
      <c r="C99" s="1">
        <v>571760.0</v>
      </c>
      <c r="G99" s="10" t="str">
        <f>IFERROR(__xludf.DUMMYFUNCTION("""COMPUTED_VALUE"""),"Michael Lorenzen")</f>
        <v>Michael Lorenzen</v>
      </c>
      <c r="H99" s="10">
        <f>IFERROR(__xludf.DUMMYFUNCTION("""COMPUTED_VALUE"""),547179.0)</f>
        <v>547179</v>
      </c>
      <c r="K99" s="10" t="s">
        <v>317</v>
      </c>
      <c r="L99" s="10">
        <v>29950.0</v>
      </c>
    </row>
    <row r="100">
      <c r="A100" s="1" t="s">
        <v>467</v>
      </c>
      <c r="B100" s="1">
        <v>15551.0</v>
      </c>
      <c r="C100" s="1">
        <v>643410.0</v>
      </c>
      <c r="G100" s="10" t="str">
        <f>IFERROR(__xludf.DUMMYFUNCTION("""COMPUTED_VALUE"""),"Luis Severino")</f>
        <v>Luis Severino</v>
      </c>
      <c r="H100" s="10">
        <f>IFERROR(__xludf.DUMMYFUNCTION("""COMPUTED_VALUE"""),622663.0)</f>
        <v>622663</v>
      </c>
      <c r="K100" s="10" t="s">
        <v>659</v>
      </c>
      <c r="L100" s="10">
        <v>35325.0</v>
      </c>
    </row>
    <row r="101">
      <c r="A101" s="1" t="s">
        <v>395</v>
      </c>
      <c r="B101" s="1">
        <v>21574.0</v>
      </c>
      <c r="C101" s="1">
        <v>663893.0</v>
      </c>
      <c r="G101" s="10" t="str">
        <f>IFERROR(__xludf.DUMMYFUNCTION("""COMPUTED_VALUE"""),"Zac Gallen")</f>
        <v>Zac Gallen</v>
      </c>
      <c r="H101" s="10">
        <f>IFERROR(__xludf.DUMMYFUNCTION("""COMPUTED_VALUE"""),668678.0)</f>
        <v>668678</v>
      </c>
      <c r="K101" s="10" t="s">
        <v>156</v>
      </c>
      <c r="L101" s="10">
        <v>10603.0</v>
      </c>
    </row>
    <row r="102">
      <c r="A102" s="1" t="s">
        <v>187</v>
      </c>
      <c r="B102" s="1">
        <v>17735.0</v>
      </c>
      <c r="C102" s="1">
        <v>641302.0</v>
      </c>
      <c r="G102" s="10" t="str">
        <f>IFERROR(__xludf.DUMMYFUNCTION("""COMPUTED_VALUE"""),"Clay Holmes")</f>
        <v>Clay Holmes</v>
      </c>
      <c r="H102" s="10">
        <f>IFERROR(__xludf.DUMMYFUNCTION("""COMPUTED_VALUE"""),605280.0)</f>
        <v>605280</v>
      </c>
      <c r="K102" s="10" t="s">
        <v>660</v>
      </c>
      <c r="L102" s="10">
        <v>11804.0</v>
      </c>
    </row>
    <row r="103">
      <c r="A103" s="1" t="s">
        <v>28</v>
      </c>
      <c r="B103" s="1">
        <v>20253.0</v>
      </c>
      <c r="C103" s="1">
        <v>643377.0</v>
      </c>
      <c r="G103" s="10" t="str">
        <f>IFERROR(__xludf.DUMMYFUNCTION("""COMPUTED_VALUE"""),"Kevin Gausman")</f>
        <v>Kevin Gausman</v>
      </c>
      <c r="H103" s="10">
        <f>IFERROR(__xludf.DUMMYFUNCTION("""COMPUTED_VALUE"""),592332.0)</f>
        <v>592332</v>
      </c>
      <c r="K103" s="10" t="s">
        <v>342</v>
      </c>
      <c r="L103" s="10">
        <v>11861.0</v>
      </c>
    </row>
    <row r="104">
      <c r="A104" s="1" t="s">
        <v>105</v>
      </c>
      <c r="B104" s="1">
        <v>17277.0</v>
      </c>
      <c r="C104" s="1">
        <v>624133.0</v>
      </c>
      <c r="G104" s="10" t="str">
        <f>IFERROR(__xludf.DUMMYFUNCTION("""COMPUTED_VALUE"""),"Randy Vásquez")</f>
        <v>Randy Vásquez</v>
      </c>
      <c r="H104" s="10">
        <f>IFERROR(__xludf.DUMMYFUNCTION("""COMPUTED_VALUE"""),681190.0)</f>
        <v>681190</v>
      </c>
      <c r="K104" s="10" t="s">
        <v>404</v>
      </c>
      <c r="L104" s="10">
        <v>14295.0</v>
      </c>
    </row>
    <row r="105">
      <c r="A105" s="1" t="s">
        <v>372</v>
      </c>
      <c r="B105" s="1">
        <v>27589.0</v>
      </c>
      <c r="C105" s="1">
        <v>671106.0</v>
      </c>
      <c r="G105" s="10" t="str">
        <f>IFERROR(__xludf.DUMMYFUNCTION("""COMPUTED_VALUE"""),"Jack Perkins")</f>
        <v>Jack Perkins</v>
      </c>
      <c r="H105" s="10">
        <f>IFERROR(__xludf.DUMMYFUNCTION("""COMPUTED_VALUE"""),678022.0)</f>
        <v>678022</v>
      </c>
      <c r="K105" s="10" t="s">
        <v>319</v>
      </c>
      <c r="L105" s="10">
        <v>16258.0</v>
      </c>
    </row>
    <row r="106">
      <c r="A106" s="1" t="s">
        <v>95</v>
      </c>
      <c r="B106" s="1">
        <v>12768.0</v>
      </c>
      <c r="C106" s="1">
        <v>543243.0</v>
      </c>
      <c r="G106" s="10" t="str">
        <f>IFERROR(__xludf.DUMMYFUNCTION("""COMPUTED_VALUE"""),"Kyle Freeland")</f>
        <v>Kyle Freeland</v>
      </c>
      <c r="H106" s="10">
        <f>IFERROR(__xludf.DUMMYFUNCTION("""COMPUTED_VALUE"""),607536.0)</f>
        <v>607536</v>
      </c>
      <c r="K106" s="10" t="s">
        <v>366</v>
      </c>
      <c r="L106" s="10">
        <v>16944.0</v>
      </c>
    </row>
    <row r="107">
      <c r="A107" s="1" t="s">
        <v>280</v>
      </c>
      <c r="B107" s="1">
        <v>14542.0</v>
      </c>
      <c r="C107" s="1">
        <v>608032.0</v>
      </c>
      <c r="G107" s="10" t="str">
        <f>IFERROR(__xludf.DUMMYFUNCTION("""COMPUTED_VALUE"""),"Nick Pivetta")</f>
        <v>Nick Pivetta</v>
      </c>
      <c r="H107" s="10">
        <f>IFERROR(__xludf.DUMMYFUNCTION("""COMPUTED_VALUE"""),601713.0)</f>
        <v>601713</v>
      </c>
      <c r="K107" s="10" t="s">
        <v>207</v>
      </c>
      <c r="L107" s="10">
        <v>19853.0</v>
      </c>
    </row>
    <row r="108">
      <c r="A108" s="1" t="s">
        <v>209</v>
      </c>
      <c r="B108" s="1">
        <v>30076.0</v>
      </c>
      <c r="C108" s="1">
        <v>694738.0</v>
      </c>
      <c r="G108" s="10" t="str">
        <f>IFERROR(__xludf.DUMMYFUNCTION("""COMPUTED_VALUE"""),"Chris Bassitt")</f>
        <v>Chris Bassitt</v>
      </c>
      <c r="H108" s="10">
        <f>IFERROR(__xludf.DUMMYFUNCTION("""COMPUTED_VALUE"""),605135.0)</f>
        <v>605135</v>
      </c>
      <c r="K108" s="10" t="s">
        <v>91</v>
      </c>
      <c r="L108" s="10">
        <v>19996.0</v>
      </c>
    </row>
    <row r="109">
      <c r="A109" s="1" t="s">
        <v>336</v>
      </c>
      <c r="B109" s="1">
        <v>17677.0</v>
      </c>
      <c r="C109" s="1">
        <v>605488.0</v>
      </c>
      <c r="G109" s="10" t="str">
        <f>IFERROR(__xludf.DUMMYFUNCTION("""COMPUTED_VALUE"""),"Cole Ragans")</f>
        <v>Cole Ragans</v>
      </c>
      <c r="H109" s="10">
        <f>IFERROR(__xludf.DUMMYFUNCTION("""COMPUTED_VALUE"""),666142.0)</f>
        <v>666142</v>
      </c>
      <c r="K109" s="10" t="s">
        <v>94</v>
      </c>
      <c r="L109" s="10">
        <v>22210.0</v>
      </c>
    </row>
    <row r="110">
      <c r="A110" s="1" t="s">
        <v>292</v>
      </c>
      <c r="B110" s="1">
        <v>15947.0</v>
      </c>
      <c r="C110" s="1">
        <v>592773.0</v>
      </c>
      <c r="G110" s="10" t="str">
        <f>IFERROR(__xludf.DUMMYFUNCTION("""COMPUTED_VALUE"""),"Sandy Alcantara")</f>
        <v>Sandy Alcantara</v>
      </c>
      <c r="H110" s="10">
        <f>IFERROR(__xludf.DUMMYFUNCTION("""COMPUTED_VALUE"""),645261.0)</f>
        <v>645261</v>
      </c>
      <c r="K110" s="10" t="s">
        <v>391</v>
      </c>
      <c r="L110" s="10">
        <v>29628.0</v>
      </c>
    </row>
    <row r="111">
      <c r="A111" s="1" t="s">
        <v>329</v>
      </c>
      <c r="B111" s="1">
        <v>19716.0</v>
      </c>
      <c r="C111" s="1">
        <v>669160.0</v>
      </c>
      <c r="G111" s="10" t="str">
        <f>IFERROR(__xludf.DUMMYFUNCTION("""COMPUTED_VALUE"""),"Nabil Crismatt")</f>
        <v>Nabil Crismatt</v>
      </c>
      <c r="H111" s="10">
        <f>IFERROR(__xludf.DUMMYFUNCTION("""COMPUTED_VALUE"""),622503.0)</f>
        <v>622503</v>
      </c>
      <c r="K111" s="10" t="s">
        <v>81</v>
      </c>
      <c r="L111" s="10">
        <v>30115.0</v>
      </c>
    </row>
    <row r="112">
      <c r="A112" s="1" t="s">
        <v>343</v>
      </c>
      <c r="B112" s="1">
        <v>29837.0</v>
      </c>
      <c r="C112" s="1">
        <v>682243.0</v>
      </c>
      <c r="G112" s="10" t="str">
        <f>IFERROR(__xludf.DUMMYFUNCTION("""COMPUTED_VALUE"""),"Antonio Senzatela")</f>
        <v>Antonio Senzatela</v>
      </c>
      <c r="H112" s="10">
        <f>IFERROR(__xludf.DUMMYFUNCTION("""COMPUTED_VALUE"""),622608.0)</f>
        <v>622608</v>
      </c>
      <c r="K112" s="10" t="s">
        <v>284</v>
      </c>
      <c r="L112" s="10">
        <v>33826.0</v>
      </c>
    </row>
    <row r="113">
      <c r="A113" s="1" t="s">
        <v>151</v>
      </c>
      <c r="B113" s="1">
        <v>13346.0</v>
      </c>
      <c r="C113" s="1">
        <v>571948.0</v>
      </c>
      <c r="G113" s="10" t="str">
        <f>IFERROR(__xludf.DUMMYFUNCTION("""COMPUTED_VALUE"""),"Marcus Stroman")</f>
        <v>Marcus Stroman</v>
      </c>
      <c r="H113" s="10">
        <f>IFERROR(__xludf.DUMMYFUNCTION("""COMPUTED_VALUE"""),573186.0)</f>
        <v>573186</v>
      </c>
      <c r="K113" s="10" t="s">
        <v>661</v>
      </c>
      <c r="L113" s="10">
        <v>16300.0</v>
      </c>
    </row>
    <row r="114">
      <c r="A114" s="1" t="s">
        <v>353</v>
      </c>
      <c r="B114" s="1">
        <v>25377.0</v>
      </c>
      <c r="C114" s="1">
        <v>663903.0</v>
      </c>
      <c r="G114" s="10" t="str">
        <f>IFERROR(__xludf.DUMMYFUNCTION("""COMPUTED_VALUE"""),"Trevor Rogers")</f>
        <v>Trevor Rogers</v>
      </c>
      <c r="H114" s="10">
        <f>IFERROR(__xludf.DUMMYFUNCTION("""COMPUTED_VALUE"""),669432.0)</f>
        <v>669432</v>
      </c>
      <c r="K114" s="10" t="s">
        <v>443</v>
      </c>
      <c r="L114" s="10">
        <v>16350.0</v>
      </c>
    </row>
    <row r="115">
      <c r="A115" s="1" t="s">
        <v>94</v>
      </c>
      <c r="B115" s="1">
        <v>22210.0</v>
      </c>
      <c r="C115" s="1">
        <v>669093.0</v>
      </c>
      <c r="G115" s="10" t="str">
        <f>IFERROR(__xludf.DUMMYFUNCTION("""COMPUTED_VALUE"""),"Ryan Weathers")</f>
        <v>Ryan Weathers</v>
      </c>
      <c r="H115" s="10">
        <f>IFERROR(__xludf.DUMMYFUNCTION("""COMPUTED_VALUE"""),677960.0)</f>
        <v>677960</v>
      </c>
      <c r="K115" s="10" t="s">
        <v>217</v>
      </c>
      <c r="L115" s="10">
        <v>17878.0</v>
      </c>
    </row>
    <row r="116">
      <c r="A116" s="1" t="s">
        <v>484</v>
      </c>
      <c r="B116" s="1">
        <v>27646.0</v>
      </c>
      <c r="C116" s="1">
        <v>682847.0</v>
      </c>
      <c r="G116" s="10" t="str">
        <f>IFERROR(__xludf.DUMMYFUNCTION("""COMPUTED_VALUE"""),"Eduardo Rodriguez")</f>
        <v>Eduardo Rodriguez</v>
      </c>
      <c r="H116" s="10">
        <f>IFERROR(__xludf.DUMMYFUNCTION("""COMPUTED_VALUE"""),593958.0)</f>
        <v>593958</v>
      </c>
      <c r="K116" s="10" t="s">
        <v>229</v>
      </c>
      <c r="L116" s="10">
        <v>18684.0</v>
      </c>
    </row>
    <row r="117">
      <c r="A117" s="1" t="s">
        <v>297</v>
      </c>
      <c r="B117" s="1">
        <v>15734.0</v>
      </c>
      <c r="C117" s="1">
        <v>641745.0</v>
      </c>
      <c r="G117" s="10" t="str">
        <f>IFERROR(__xludf.DUMMYFUNCTION("""COMPUTED_VALUE"""),"Logan Allen")</f>
        <v>Logan Allen</v>
      </c>
      <c r="H117" s="10">
        <f>IFERROR(__xludf.DUMMYFUNCTION("""COMPUTED_VALUE"""),671106.0)</f>
        <v>671106</v>
      </c>
      <c r="K117" s="10" t="s">
        <v>241</v>
      </c>
      <c r="L117" s="10">
        <v>19222.0</v>
      </c>
    </row>
    <row r="118">
      <c r="A118" s="1" t="s">
        <v>143</v>
      </c>
      <c r="B118" s="1">
        <v>30240.0</v>
      </c>
      <c r="C118" s="1">
        <v>690928.0</v>
      </c>
      <c r="G118" s="10" t="str">
        <f>IFERROR(__xludf.DUMMYFUNCTION("""COMPUTED_VALUE"""),"Bryce Elder")</f>
        <v>Bryce Elder</v>
      </c>
      <c r="H118" s="10">
        <f>IFERROR(__xludf.DUMMYFUNCTION("""COMPUTED_VALUE"""),693821.0)</f>
        <v>693821</v>
      </c>
      <c r="K118" s="10" t="s">
        <v>107</v>
      </c>
      <c r="L118" s="10">
        <v>19349.0</v>
      </c>
    </row>
    <row r="119">
      <c r="A119" s="1" t="s">
        <v>368</v>
      </c>
      <c r="B119" s="1">
        <v>13164.0</v>
      </c>
      <c r="C119" s="1">
        <v>593958.0</v>
      </c>
      <c r="G119" s="10" t="str">
        <f>IFERROR(__xludf.DUMMYFUNCTION("""COMPUTED_VALUE"""),"Brayan Bello")</f>
        <v>Brayan Bello</v>
      </c>
      <c r="H119" s="10">
        <f>IFERROR(__xludf.DUMMYFUNCTION("""COMPUTED_VALUE"""),678394.0)</f>
        <v>678394</v>
      </c>
      <c r="K119" s="10" t="s">
        <v>183</v>
      </c>
      <c r="L119" s="10">
        <v>19569.0</v>
      </c>
    </row>
    <row r="120">
      <c r="A120" s="1" t="s">
        <v>261</v>
      </c>
      <c r="B120" s="1">
        <v>17998.0</v>
      </c>
      <c r="C120" s="1">
        <v>664126.0</v>
      </c>
      <c r="G120" s="10" t="str">
        <f>IFERROR(__xludf.DUMMYFUNCTION("""COMPUTED_VALUE"""),"Merrill Kelly")</f>
        <v>Merrill Kelly</v>
      </c>
      <c r="H120" s="10">
        <f>IFERROR(__xludf.DUMMYFUNCTION("""COMPUTED_VALUE"""),518876.0)</f>
        <v>518876</v>
      </c>
      <c r="K120" s="10" t="s">
        <v>469</v>
      </c>
      <c r="L120" s="10">
        <v>21863.0</v>
      </c>
    </row>
    <row r="121">
      <c r="A121" s="1" t="s">
        <v>662</v>
      </c>
      <c r="B121" s="1">
        <v>20794.0</v>
      </c>
      <c r="C121" s="1">
        <v>655889.0</v>
      </c>
      <c r="G121" s="10" t="str">
        <f>IFERROR(__xludf.DUMMYFUNCTION("""COMPUTED_VALUE"""),"Jacob Lopez")</f>
        <v>Jacob Lopez</v>
      </c>
      <c r="H121" s="10">
        <f>IFERROR(__xludf.DUMMYFUNCTION("""COMPUTED_VALUE"""),682052.0)</f>
        <v>682052</v>
      </c>
      <c r="K121" s="10" t="s">
        <v>663</v>
      </c>
      <c r="L121" s="10">
        <v>22361.0</v>
      </c>
    </row>
    <row r="122">
      <c r="A122" s="1" t="s">
        <v>267</v>
      </c>
      <c r="B122" s="1">
        <v>27572.0</v>
      </c>
      <c r="C122" s="1">
        <v>669387.0</v>
      </c>
      <c r="G122" s="10" t="str">
        <f>IFERROR(__xludf.DUMMYFUNCTION("""COMPUTED_VALUE"""),"Austin Gomber")</f>
        <v>Austin Gomber</v>
      </c>
      <c r="H122" s="10">
        <f>IFERROR(__xludf.DUMMYFUNCTION("""COMPUTED_VALUE"""),596295.0)</f>
        <v>596295</v>
      </c>
      <c r="K122" s="10" t="s">
        <v>88</v>
      </c>
      <c r="L122" s="10">
        <v>33677.0</v>
      </c>
    </row>
    <row r="123">
      <c r="A123" s="1" t="s">
        <v>253</v>
      </c>
      <c r="B123" s="1">
        <v>30056.0</v>
      </c>
      <c r="C123" s="1">
        <v>701581.0</v>
      </c>
      <c r="G123" s="10" t="str">
        <f>IFERROR(__xludf.DUMMYFUNCTION("""COMPUTED_VALUE"""),"Anthony DeSclafani")</f>
        <v>Anthony DeSclafani</v>
      </c>
      <c r="H123" s="10">
        <f>IFERROR(__xludf.DUMMYFUNCTION("""COMPUTED_VALUE"""),543101.0)</f>
        <v>543101</v>
      </c>
      <c r="K123" s="10" t="s">
        <v>95</v>
      </c>
      <c r="L123" s="10">
        <v>12768.0</v>
      </c>
    </row>
    <row r="124">
      <c r="A124" s="1" t="s">
        <v>76</v>
      </c>
      <c r="B124" s="1">
        <v>25890.0</v>
      </c>
      <c r="C124" s="1">
        <v>687911.0</v>
      </c>
      <c r="G124" s="10" t="str">
        <f>IFERROR(__xludf.DUMMYFUNCTION("""COMPUTED_VALUE"""),"Brandon Young")</f>
        <v>Brandon Young</v>
      </c>
      <c r="H124" s="10">
        <f>IFERROR(__xludf.DUMMYFUNCTION("""COMPUTED_VALUE"""),687064.0)</f>
        <v>687064</v>
      </c>
      <c r="K124" s="10" t="s">
        <v>146</v>
      </c>
      <c r="L124" s="10">
        <v>15145.0</v>
      </c>
    </row>
    <row r="125">
      <c r="A125" s="1" t="s">
        <v>217</v>
      </c>
      <c r="B125" s="1">
        <v>17878.0</v>
      </c>
      <c r="C125" s="1">
        <v>642701.0</v>
      </c>
      <c r="G125" s="10" t="str">
        <f>IFERROR(__xludf.DUMMYFUNCTION("""COMPUTED_VALUE"""),"Ben Brown")</f>
        <v>Ben Brown</v>
      </c>
      <c r="H125" s="10">
        <f>IFERROR(__xludf.DUMMYFUNCTION("""COMPUTED_VALUE"""),676962.0)</f>
        <v>676962</v>
      </c>
      <c r="K125" s="10" t="s">
        <v>664</v>
      </c>
      <c r="L125" s="10">
        <v>17085.0</v>
      </c>
    </row>
    <row r="126">
      <c r="A126" s="1" t="s">
        <v>71</v>
      </c>
      <c r="B126" s="1">
        <v>10078.0</v>
      </c>
      <c r="C126" s="1">
        <v>573204.0</v>
      </c>
      <c r="G126" s="10" t="str">
        <f>IFERROR(__xludf.DUMMYFUNCTION("""COMPUTED_VALUE"""),"Jameson Taillon")</f>
        <v>Jameson Taillon</v>
      </c>
      <c r="H126" s="10">
        <f>IFERROR(__xludf.DUMMYFUNCTION("""COMPUTED_VALUE"""),592791.0)</f>
        <v>592791</v>
      </c>
      <c r="K126" s="10" t="s">
        <v>190</v>
      </c>
      <c r="L126" s="10">
        <v>18064.0</v>
      </c>
    </row>
    <row r="127">
      <c r="A127" s="1" t="s">
        <v>374</v>
      </c>
      <c r="B127" s="1">
        <v>30146.0</v>
      </c>
      <c r="C127" s="1">
        <v>683004.0</v>
      </c>
      <c r="G127" s="10" t="str">
        <f>IFERROR(__xludf.DUMMYFUNCTION("""COMPUTED_VALUE"""),"Nestor Cortes")</f>
        <v>Nestor Cortes</v>
      </c>
      <c r="H127" s="10">
        <f>IFERROR(__xludf.DUMMYFUNCTION("""COMPUTED_VALUE"""),641482.0)</f>
        <v>641482</v>
      </c>
      <c r="K127" s="10" t="s">
        <v>270</v>
      </c>
      <c r="L127" s="10">
        <v>18138.0</v>
      </c>
    </row>
    <row r="128">
      <c r="A128" s="1" t="s">
        <v>304</v>
      </c>
      <c r="B128" s="1">
        <v>21992.0</v>
      </c>
      <c r="C128" s="1">
        <v>666808.0</v>
      </c>
      <c r="G128" s="10" t="str">
        <f>IFERROR(__xludf.DUMMYFUNCTION("""COMPUTED_VALUE"""),"Joey Cantillo")</f>
        <v>Joey Cantillo</v>
      </c>
      <c r="H128" s="10">
        <f>IFERROR(__xludf.DUMMYFUNCTION("""COMPUTED_VALUE"""),676282.0)</f>
        <v>676282</v>
      </c>
      <c r="K128" s="10" t="s">
        <v>28</v>
      </c>
      <c r="L128" s="10">
        <v>20253.0</v>
      </c>
    </row>
    <row r="129">
      <c r="A129" s="1" t="s">
        <v>220</v>
      </c>
      <c r="B129" s="1">
        <v>20070.0</v>
      </c>
      <c r="C129" s="1">
        <v>663559.0</v>
      </c>
      <c r="G129" s="10" t="str">
        <f>IFERROR(__xludf.DUMMYFUNCTION("""COMPUTED_VALUE"""),"Pablo López")</f>
        <v>Pablo López</v>
      </c>
      <c r="H129" s="10">
        <f>IFERROR(__xludf.DUMMYFUNCTION("""COMPUTED_VALUE"""),641154.0)</f>
        <v>641154</v>
      </c>
      <c r="K129" s="10" t="s">
        <v>237</v>
      </c>
      <c r="L129" s="10">
        <v>21461.0</v>
      </c>
    </row>
    <row r="130">
      <c r="A130" s="1" t="s">
        <v>183</v>
      </c>
      <c r="B130" s="1">
        <v>19569.0</v>
      </c>
      <c r="C130" s="1">
        <v>670280.0</v>
      </c>
      <c r="G130" s="10" t="str">
        <f>IFERROR(__xludf.DUMMYFUNCTION("""COMPUTED_VALUE"""),"Austin Cox")</f>
        <v>Austin Cox</v>
      </c>
      <c r="H130" s="10">
        <f>IFERROR(__xludf.DUMMYFUNCTION("""COMPUTED_VALUE"""),680735.0)</f>
        <v>680735</v>
      </c>
      <c r="K130" s="10" t="s">
        <v>273</v>
      </c>
      <c r="L130" s="10">
        <v>22051.0</v>
      </c>
    </row>
    <row r="131">
      <c r="A131" s="1" t="s">
        <v>132</v>
      </c>
      <c r="B131" s="1">
        <v>21032.0</v>
      </c>
      <c r="C131" s="1">
        <v>661403.0</v>
      </c>
      <c r="G131" s="10" t="str">
        <f>IFERROR(__xludf.DUMMYFUNCTION("""COMPUTED_VALUE"""),"Dylan Cease")</f>
        <v>Dylan Cease</v>
      </c>
      <c r="H131" s="10">
        <f>IFERROR(__xludf.DUMMYFUNCTION("""COMPUTED_VALUE"""),656302.0)</f>
        <v>656302</v>
      </c>
      <c r="K131" s="10" t="s">
        <v>170</v>
      </c>
      <c r="L131" s="10">
        <v>24763.0</v>
      </c>
    </row>
    <row r="132">
      <c r="A132" s="1" t="s">
        <v>49</v>
      </c>
      <c r="B132" s="1">
        <v>20039.0</v>
      </c>
      <c r="C132" s="1">
        <v>670970.0</v>
      </c>
      <c r="G132" s="10" t="str">
        <f>IFERROR(__xludf.DUMMYFUNCTION("""COMPUTED_VALUE"""),"AJ Blubaugh")</f>
        <v>AJ Blubaugh</v>
      </c>
      <c r="H132" s="10">
        <f>IFERROR(__xludf.DUMMYFUNCTION("""COMPUTED_VALUE"""),805123.0)</f>
        <v>805123</v>
      </c>
      <c r="K132" s="10" t="s">
        <v>47</v>
      </c>
      <c r="L132" s="10">
        <v>27691.0</v>
      </c>
    </row>
    <row r="133">
      <c r="A133" s="1" t="s">
        <v>230</v>
      </c>
      <c r="B133" s="1">
        <v>4301.0</v>
      </c>
      <c r="C133" s="1">
        <v>458677.0</v>
      </c>
      <c r="G133" s="10" t="str">
        <f>IFERROR(__xludf.DUMMYFUNCTION("""COMPUTED_VALUE"""),"Dean Kremer")</f>
        <v>Dean Kremer</v>
      </c>
      <c r="H133" s="10">
        <f>IFERROR(__xludf.DUMMYFUNCTION("""COMPUTED_VALUE"""),665152.0)</f>
        <v>665152</v>
      </c>
      <c r="K133" s="10" t="s">
        <v>665</v>
      </c>
      <c r="L133" s="10">
        <v>31261.0</v>
      </c>
    </row>
    <row r="134">
      <c r="A134" s="1" t="s">
        <v>452</v>
      </c>
      <c r="B134" s="1">
        <v>12447.0</v>
      </c>
      <c r="C134" s="1">
        <v>607625.0</v>
      </c>
      <c r="G134" s="10" t="str">
        <f>IFERROR(__xludf.DUMMYFUNCTION("""COMPUTED_VALUE"""),"José De León")</f>
        <v>José De León</v>
      </c>
      <c r="H134" s="10">
        <f>IFERROR(__xludf.DUMMYFUNCTION("""COMPUTED_VALUE"""),592254.0)</f>
        <v>592254</v>
      </c>
      <c r="K134" s="10" t="s">
        <v>666</v>
      </c>
      <c r="L134" s="10">
        <v>12777.0</v>
      </c>
    </row>
    <row r="135">
      <c r="A135" s="1" t="s">
        <v>41</v>
      </c>
      <c r="B135" s="1">
        <v>10233.0</v>
      </c>
      <c r="C135" s="1">
        <v>547973.0</v>
      </c>
      <c r="G135" s="10" t="str">
        <f>IFERROR(__xludf.DUMMYFUNCTION("""COMPUTED_VALUE"""),"Kai-Wei Teng")</f>
        <v>Kai-Wei Teng</v>
      </c>
      <c r="H135" s="10">
        <f>IFERROR(__xludf.DUMMYFUNCTION("""COMPUTED_VALUE"""),678906.0)</f>
        <v>678906</v>
      </c>
      <c r="K135" s="10" t="s">
        <v>159</v>
      </c>
      <c r="L135" s="10">
        <v>13543.0</v>
      </c>
    </row>
    <row r="136">
      <c r="A136" s="1" t="s">
        <v>20</v>
      </c>
      <c r="B136" s="1">
        <v>15541.0</v>
      </c>
      <c r="C136" s="1">
        <v>643511.0</v>
      </c>
      <c r="G136" s="10" t="str">
        <f>IFERROR(__xludf.DUMMYFUNCTION("""COMPUTED_VALUE"""),"Luis Gil")</f>
        <v>Luis Gil</v>
      </c>
      <c r="H136" s="10">
        <f>IFERROR(__xludf.DUMMYFUNCTION("""COMPUTED_VALUE"""),661563.0)</f>
        <v>661563</v>
      </c>
      <c r="K136" s="10" t="s">
        <v>84</v>
      </c>
      <c r="L136" s="10">
        <v>22267.0</v>
      </c>
    </row>
    <row r="137">
      <c r="A137" s="1" t="s">
        <v>393</v>
      </c>
      <c r="B137" s="1">
        <v>27756.0</v>
      </c>
      <c r="C137" s="1">
        <v>690953.0</v>
      </c>
      <c r="G137" s="10" t="str">
        <f>IFERROR(__xludf.DUMMYFUNCTION("""COMPUTED_VALUE"""),"Yoendrys Gómez")</f>
        <v>Yoendrys Gómez</v>
      </c>
      <c r="H137" s="10">
        <f>IFERROR(__xludf.DUMMYFUNCTION("""COMPUTED_VALUE"""),672782.0)</f>
        <v>672782</v>
      </c>
      <c r="K137" s="10" t="s">
        <v>289</v>
      </c>
      <c r="L137" s="10">
        <v>22304.0</v>
      </c>
    </row>
    <row r="138">
      <c r="A138" s="1" t="s">
        <v>103</v>
      </c>
      <c r="B138" s="1">
        <v>10197.0</v>
      </c>
      <c r="C138" s="1">
        <v>571946.0</v>
      </c>
      <c r="G138" s="10" t="str">
        <f>IFERROR(__xludf.DUMMYFUNCTION("""COMPUTED_VALUE"""),"Will Warren")</f>
        <v>Will Warren</v>
      </c>
      <c r="H138" s="10">
        <f>IFERROR(__xludf.DUMMYFUNCTION("""COMPUTED_VALUE"""),701542.0)</f>
        <v>701542</v>
      </c>
      <c r="K138" s="10" t="s">
        <v>667</v>
      </c>
      <c r="L138" s="10">
        <v>26079.0</v>
      </c>
    </row>
    <row r="139">
      <c r="A139" s="1" t="s">
        <v>286</v>
      </c>
      <c r="B139" s="1">
        <v>31757.0</v>
      </c>
      <c r="C139" s="1">
        <v>695243.0</v>
      </c>
      <c r="G139" s="10" t="str">
        <f>IFERROR(__xludf.DUMMYFUNCTION("""COMPUTED_VALUE"""),"Joey Wentz")</f>
        <v>Joey Wentz</v>
      </c>
      <c r="H139" s="10">
        <f>IFERROR(__xludf.DUMMYFUNCTION("""COMPUTED_VALUE"""),666214.0)</f>
        <v>666214</v>
      </c>
      <c r="K139" s="10" t="s">
        <v>668</v>
      </c>
      <c r="L139" s="10">
        <v>3237.0</v>
      </c>
    </row>
    <row r="140">
      <c r="A140" s="1" t="s">
        <v>420</v>
      </c>
      <c r="B140" s="1">
        <v>14843.0</v>
      </c>
      <c r="C140" s="1">
        <v>547179.0</v>
      </c>
      <c r="G140" s="10" t="str">
        <f>IFERROR(__xludf.DUMMYFUNCTION("""COMPUTED_VALUE"""),"Andrew Heaney")</f>
        <v>Andrew Heaney</v>
      </c>
      <c r="H140" s="10">
        <f>IFERROR(__xludf.DUMMYFUNCTION("""COMPUTED_VALUE"""),571760.0)</f>
        <v>571760</v>
      </c>
      <c r="K140" s="10" t="s">
        <v>669</v>
      </c>
      <c r="L140" s="10">
        <v>14524.0</v>
      </c>
    </row>
    <row r="141">
      <c r="A141" s="1" t="s">
        <v>279</v>
      </c>
      <c r="B141" s="1">
        <v>25327.0</v>
      </c>
      <c r="C141" s="1">
        <v>682842.0</v>
      </c>
      <c r="G141" s="10" t="str">
        <f>IFERROR(__xludf.DUMMYFUNCTION("""COMPUTED_VALUE"""),"Jesse Scholtens")</f>
        <v>Jesse Scholtens</v>
      </c>
      <c r="H141" s="10">
        <f>IFERROR(__xludf.DUMMYFUNCTION("""COMPUTED_VALUE"""),669947.0)</f>
        <v>669947</v>
      </c>
      <c r="K141" s="10" t="s">
        <v>281</v>
      </c>
      <c r="L141" s="10">
        <v>15890.0</v>
      </c>
    </row>
    <row r="142">
      <c r="A142" s="1" t="s">
        <v>438</v>
      </c>
      <c r="B142" s="1">
        <v>6107.0</v>
      </c>
      <c r="C142" s="1">
        <v>623211.0</v>
      </c>
      <c r="G142" s="10" t="str">
        <f>IFERROR(__xludf.DUMMYFUNCTION("""COMPUTED_VALUE"""),"José Berríos")</f>
        <v>José Berríos</v>
      </c>
      <c r="H142" s="10">
        <f>IFERROR(__xludf.DUMMYFUNCTION("""COMPUTED_VALUE"""),621244.0)</f>
        <v>621244</v>
      </c>
      <c r="K142" s="10" t="s">
        <v>108</v>
      </c>
      <c r="L142" s="10">
        <v>17948.0</v>
      </c>
    </row>
    <row r="143">
      <c r="A143" s="1" t="s">
        <v>268</v>
      </c>
      <c r="B143" s="1">
        <v>23363.0</v>
      </c>
      <c r="C143" s="1">
        <v>676395.0</v>
      </c>
      <c r="G143" s="10" t="str">
        <f>IFERROR(__xludf.DUMMYFUNCTION("""COMPUTED_VALUE"""),"Tyler Anderson")</f>
        <v>Tyler Anderson</v>
      </c>
      <c r="H143" s="10">
        <f>IFERROR(__xludf.DUMMYFUNCTION("""COMPUTED_VALUE"""),542881.0)</f>
        <v>542881</v>
      </c>
      <c r="K143" s="10" t="s">
        <v>505</v>
      </c>
      <c r="L143" s="10">
        <v>19481.0</v>
      </c>
    </row>
    <row r="144">
      <c r="A144" s="1" t="s">
        <v>228</v>
      </c>
      <c r="B144" s="1">
        <v>26440.0</v>
      </c>
      <c r="C144" s="1">
        <v>687473.0</v>
      </c>
      <c r="G144" s="10" t="str">
        <f>IFERROR(__xludf.DUMMYFUNCTION("""COMPUTED_VALUE"""),"Luis Castillo")</f>
        <v>Luis Castillo</v>
      </c>
      <c r="H144" s="10">
        <f>IFERROR(__xludf.DUMMYFUNCTION("""COMPUTED_VALUE"""),622491.0)</f>
        <v>622491</v>
      </c>
      <c r="K144" s="10" t="s">
        <v>670</v>
      </c>
      <c r="L144" s="10">
        <v>20373.0</v>
      </c>
    </row>
    <row r="145">
      <c r="A145" s="1" t="s">
        <v>53</v>
      </c>
      <c r="B145" s="1">
        <v>17170.0</v>
      </c>
      <c r="C145" s="1">
        <v>642100.0</v>
      </c>
      <c r="G145" s="10" t="str">
        <f>IFERROR(__xludf.DUMMYFUNCTION("""COMPUTED_VALUE"""),"Bradley Blalock")</f>
        <v>Bradley Blalock</v>
      </c>
      <c r="H145" s="10">
        <f>IFERROR(__xludf.DUMMYFUNCTION("""COMPUTED_VALUE"""),687134.0)</f>
        <v>687134</v>
      </c>
      <c r="K145" s="10" t="s">
        <v>153</v>
      </c>
      <c r="L145" s="10">
        <v>22250.0</v>
      </c>
    </row>
    <row r="146">
      <c r="A146" s="1" t="s">
        <v>47</v>
      </c>
      <c r="B146" s="1">
        <v>27691.0</v>
      </c>
      <c r="C146" s="1">
        <v>686973.0</v>
      </c>
      <c r="G146" s="10" t="str">
        <f>IFERROR(__xludf.DUMMYFUNCTION("""COMPUTED_VALUE"""),"Taj Bradley")</f>
        <v>Taj Bradley</v>
      </c>
      <c r="H146" s="10">
        <f>IFERROR(__xludf.DUMMYFUNCTION("""COMPUTED_VALUE"""),671737.0)</f>
        <v>671737</v>
      </c>
      <c r="K146" s="10" t="s">
        <v>489</v>
      </c>
      <c r="L146" s="10">
        <v>17192.0</v>
      </c>
    </row>
    <row r="147">
      <c r="A147" s="1" t="s">
        <v>237</v>
      </c>
      <c r="B147" s="1">
        <v>21461.0</v>
      </c>
      <c r="C147" s="1">
        <v>663485.0</v>
      </c>
      <c r="G147" s="10" t="str">
        <f>IFERROR(__xludf.DUMMYFUNCTION("""COMPUTED_VALUE"""),"Quinn Priester")</f>
        <v>Quinn Priester</v>
      </c>
      <c r="H147" s="10">
        <f>IFERROR(__xludf.DUMMYFUNCTION("""COMPUTED_VALUE"""),682990.0)</f>
        <v>682990</v>
      </c>
      <c r="K147" s="10" t="s">
        <v>195</v>
      </c>
      <c r="L147" s="10">
        <v>19291.0</v>
      </c>
    </row>
    <row r="148">
      <c r="A148" s="1" t="s">
        <v>443</v>
      </c>
      <c r="B148" s="1">
        <v>16350.0</v>
      </c>
      <c r="C148" s="1">
        <v>621366.0</v>
      </c>
      <c r="G148" s="10" t="str">
        <f>IFERROR(__xludf.DUMMYFUNCTION("""COMPUTED_VALUE"""),"Nick Martinez")</f>
        <v>Nick Martinez</v>
      </c>
      <c r="H148" s="10">
        <f>IFERROR(__xludf.DUMMYFUNCTION("""COMPUTED_VALUE"""),607259.0)</f>
        <v>607259</v>
      </c>
      <c r="K148" s="10" t="s">
        <v>93</v>
      </c>
      <c r="L148" s="10">
        <v>26253.0</v>
      </c>
    </row>
    <row r="149">
      <c r="A149" s="1" t="s">
        <v>504</v>
      </c>
      <c r="B149" s="1">
        <v>21446.0</v>
      </c>
      <c r="C149" s="1">
        <v>663372.0</v>
      </c>
      <c r="G149" s="10" t="str">
        <f>IFERROR(__xludf.DUMMYFUNCTION("""COMPUTED_VALUE"""),"Cooper Criswell")</f>
        <v>Cooper Criswell</v>
      </c>
      <c r="H149" s="10">
        <f>IFERROR(__xludf.DUMMYFUNCTION("""COMPUTED_VALUE"""),681867.0)</f>
        <v>681867</v>
      </c>
      <c r="K149" s="10" t="s">
        <v>598</v>
      </c>
      <c r="L149" s="10">
        <v>27477.0</v>
      </c>
    </row>
    <row r="150">
      <c r="A150" s="1" t="s">
        <v>67</v>
      </c>
      <c r="B150" s="1">
        <v>33829.0</v>
      </c>
      <c r="C150" s="1">
        <v>684007.0</v>
      </c>
      <c r="G150" s="10" t="str">
        <f>IFERROR(__xludf.DUMMYFUNCTION("""COMPUTED_VALUE"""),"Cade Horton")</f>
        <v>Cade Horton</v>
      </c>
      <c r="H150" s="10">
        <f>IFERROR(__xludf.DUMMYFUNCTION("""COMPUTED_VALUE"""),690990.0)</f>
        <v>690990</v>
      </c>
      <c r="K150" s="10" t="s">
        <v>189</v>
      </c>
      <c r="L150" s="10">
        <v>16256.0</v>
      </c>
    </row>
    <row r="151">
      <c r="A151" s="1" t="s">
        <v>178</v>
      </c>
      <c r="B151" s="1">
        <v>13435.0</v>
      </c>
      <c r="C151" s="1">
        <v>572955.0</v>
      </c>
      <c r="G151" s="10" t="str">
        <f>IFERROR(__xludf.DUMMYFUNCTION("""COMPUTED_VALUE"""),"Adrian Houser")</f>
        <v>Adrian Houser</v>
      </c>
      <c r="H151" s="10">
        <f>IFERROR(__xludf.DUMMYFUNCTION("""COMPUTED_VALUE"""),605288.0)</f>
        <v>605288</v>
      </c>
      <c r="K151" s="10" t="s">
        <v>261</v>
      </c>
      <c r="L151" s="10">
        <v>17998.0</v>
      </c>
    </row>
    <row r="152">
      <c r="A152" s="1" t="s">
        <v>342</v>
      </c>
      <c r="B152" s="1">
        <v>11861.0</v>
      </c>
      <c r="C152" s="1">
        <v>592094.0</v>
      </c>
      <c r="G152" s="10" t="str">
        <f>IFERROR(__xludf.DUMMYFUNCTION("""COMPUTED_VALUE"""),"Logan Evans")</f>
        <v>Logan Evans</v>
      </c>
      <c r="H152" s="10">
        <f>IFERROR(__xludf.DUMMYFUNCTION("""COMPUTED_VALUE"""),688138.0)</f>
        <v>688138</v>
      </c>
      <c r="K152" s="10" t="s">
        <v>288</v>
      </c>
      <c r="L152" s="10">
        <v>18297.0</v>
      </c>
    </row>
    <row r="153">
      <c r="A153" s="1" t="s">
        <v>392</v>
      </c>
      <c r="B153" s="1">
        <v>9073.0</v>
      </c>
      <c r="C153" s="1">
        <v>489446.0</v>
      </c>
      <c r="G153" s="10" t="str">
        <f>IFERROR(__xludf.DUMMYFUNCTION("""COMPUTED_VALUE"""),"Frankie Montas")</f>
        <v>Frankie Montas</v>
      </c>
      <c r="H153" s="10">
        <f>IFERROR(__xludf.DUMMYFUNCTION("""COMPUTED_VALUE"""),593423.0)</f>
        <v>593423</v>
      </c>
      <c r="K153" s="10" t="s">
        <v>365</v>
      </c>
      <c r="L153" s="10">
        <v>24614.0</v>
      </c>
    </row>
    <row r="154">
      <c r="A154" s="1" t="s">
        <v>319</v>
      </c>
      <c r="B154" s="1">
        <v>16258.0</v>
      </c>
      <c r="C154" s="1">
        <v>607481.0</v>
      </c>
      <c r="G154" s="10" t="str">
        <f>IFERROR(__xludf.DUMMYFUNCTION("""COMPUTED_VALUE"""),"Mick Abel")</f>
        <v>Mick Abel</v>
      </c>
      <c r="H154" s="10">
        <f>IFERROR(__xludf.DUMMYFUNCTION("""COMPUTED_VALUE"""),690953.0)</f>
        <v>690953</v>
      </c>
      <c r="K154" s="10" t="s">
        <v>129</v>
      </c>
      <c r="L154" s="10">
        <v>26221.0</v>
      </c>
    </row>
    <row r="155">
      <c r="A155" s="1" t="s">
        <v>86</v>
      </c>
      <c r="B155" s="1">
        <v>24017.0</v>
      </c>
      <c r="C155" s="1">
        <v>678606.0</v>
      </c>
      <c r="G155" s="10" t="str">
        <f>IFERROR(__xludf.DUMMYFUNCTION("""COMPUTED_VALUE"""),"Connelly Early")</f>
        <v>Connelly Early</v>
      </c>
      <c r="H155" s="10">
        <f>IFERROR(__xludf.DUMMYFUNCTION("""COMPUTED_VALUE"""),813349.0)</f>
        <v>813349</v>
      </c>
      <c r="K155" s="10" t="s">
        <v>671</v>
      </c>
      <c r="L155" s="10">
        <v>26259.0</v>
      </c>
    </row>
    <row r="156">
      <c r="A156" s="1" t="s">
        <v>259</v>
      </c>
      <c r="B156" s="1">
        <v>18694.0</v>
      </c>
      <c r="C156" s="1">
        <v>663465.0</v>
      </c>
      <c r="G156" s="10" t="str">
        <f>IFERROR(__xludf.DUMMYFUNCTION("""COMPUTED_VALUE"""),"Justin Verlander")</f>
        <v>Justin Verlander</v>
      </c>
      <c r="H156" s="10">
        <f>IFERROR(__xludf.DUMMYFUNCTION("""COMPUTED_VALUE"""),434378.0)</f>
        <v>434378</v>
      </c>
      <c r="K156" s="10" t="s">
        <v>486</v>
      </c>
      <c r="L156" s="10">
        <v>26790.0</v>
      </c>
    </row>
    <row r="157">
      <c r="A157" s="1" t="s">
        <v>473</v>
      </c>
      <c r="B157" s="1">
        <v>6902.0</v>
      </c>
      <c r="C157" s="1">
        <v>527048.0</v>
      </c>
      <c r="G157" s="10" t="str">
        <f>IFERROR(__xludf.DUMMYFUNCTION("""COMPUTED_VALUE"""),"Mike Burrows")</f>
        <v>Mike Burrows</v>
      </c>
      <c r="H157" s="10">
        <f>IFERROR(__xludf.DUMMYFUNCTION("""COMPUTED_VALUE"""),681347.0)</f>
        <v>681347</v>
      </c>
      <c r="K157" s="10" t="s">
        <v>334</v>
      </c>
      <c r="L157" s="10">
        <v>29770.0</v>
      </c>
    </row>
    <row r="158">
      <c r="A158" s="1" t="s">
        <v>645</v>
      </c>
      <c r="B158" s="1">
        <v>25648.0</v>
      </c>
      <c r="C158" s="1">
        <v>686580.0</v>
      </c>
      <c r="G158" s="10" t="str">
        <f>IFERROR(__xludf.DUMMYFUNCTION("""COMPUTED_VALUE"""),"Andre Pallante")</f>
        <v>Andre Pallante</v>
      </c>
      <c r="H158" s="10">
        <f>IFERROR(__xludf.DUMMYFUNCTION("""COMPUTED_VALUE"""),669467.0)</f>
        <v>669467</v>
      </c>
      <c r="K158" s="10" t="s">
        <v>474</v>
      </c>
      <c r="L158" s="10">
        <v>4676.0</v>
      </c>
    </row>
    <row r="159">
      <c r="A159" s="1" t="s">
        <v>133</v>
      </c>
      <c r="B159" s="1">
        <v>20099.0</v>
      </c>
      <c r="C159" s="1">
        <v>663978.0</v>
      </c>
      <c r="G159" s="10" t="str">
        <f>IFERROR(__xludf.DUMMYFUNCTION("""COMPUTED_VALUE"""),"Carlos Carrasco")</f>
        <v>Carlos Carrasco</v>
      </c>
      <c r="H159" s="10">
        <f>IFERROR(__xludf.DUMMYFUNCTION("""COMPUTED_VALUE"""),471911.0)</f>
        <v>471911</v>
      </c>
      <c r="K159" s="10" t="s">
        <v>672</v>
      </c>
      <c r="L159" s="10">
        <v>6175.0</v>
      </c>
    </row>
    <row r="160">
      <c r="A160" s="1" t="s">
        <v>405</v>
      </c>
      <c r="B160" s="1">
        <v>19374.0</v>
      </c>
      <c r="C160" s="1">
        <v>621111.0</v>
      </c>
      <c r="G160" s="10" t="str">
        <f>IFERROR(__xludf.DUMMYFUNCTION("""COMPUTED_VALUE"""),"Shane Baz")</f>
        <v>Shane Baz</v>
      </c>
      <c r="H160" s="10">
        <f>IFERROR(__xludf.DUMMYFUNCTION("""COMPUTED_VALUE"""),669358.0)</f>
        <v>669358</v>
      </c>
      <c r="K160" s="10" t="s">
        <v>673</v>
      </c>
      <c r="L160" s="10">
        <v>12095.0</v>
      </c>
    </row>
    <row r="161">
      <c r="A161" s="1" t="s">
        <v>425</v>
      </c>
      <c r="B161" s="1">
        <v>14168.0</v>
      </c>
      <c r="C161" s="1">
        <v>621244.0</v>
      </c>
      <c r="G161" s="10" t="str">
        <f>IFERROR(__xludf.DUMMYFUNCTION("""COMPUTED_VALUE"""),"Logan Henderson")</f>
        <v>Logan Henderson</v>
      </c>
      <c r="H161" s="10">
        <f>IFERROR(__xludf.DUMMYFUNCTION("""COMPUTED_VALUE"""),701656.0)</f>
        <v>701656</v>
      </c>
      <c r="K161" s="10" t="s">
        <v>155</v>
      </c>
      <c r="L161" s="10">
        <v>14107.0</v>
      </c>
    </row>
    <row r="162">
      <c r="A162" s="1" t="s">
        <v>674</v>
      </c>
      <c r="B162" s="1">
        <v>18655.0</v>
      </c>
      <c r="C162" s="1">
        <v>621345.0</v>
      </c>
      <c r="G162" s="10" t="str">
        <f>IFERROR(__xludf.DUMMYFUNCTION("""COMPUTED_VALUE"""),"Kodai Senga")</f>
        <v>Kodai Senga</v>
      </c>
      <c r="H162" s="10">
        <f>IFERROR(__xludf.DUMMYFUNCTION("""COMPUTED_VALUE"""),673540.0)</f>
        <v>673540</v>
      </c>
      <c r="K162" s="10" t="s">
        <v>675</v>
      </c>
      <c r="L162" s="10">
        <v>19614.0</v>
      </c>
    </row>
    <row r="163">
      <c r="A163" s="1" t="s">
        <v>298</v>
      </c>
      <c r="B163" s="1">
        <v>14932.0</v>
      </c>
      <c r="C163" s="1">
        <v>594902.0</v>
      </c>
      <c r="G163" s="10" t="str">
        <f>IFERROR(__xludf.DUMMYFUNCTION("""COMPUTED_VALUE"""),"MacKenzie Gore")</f>
        <v>MacKenzie Gore</v>
      </c>
      <c r="H163" s="10">
        <f>IFERROR(__xludf.DUMMYFUNCTION("""COMPUTED_VALUE"""),669022.0)</f>
        <v>669022</v>
      </c>
      <c r="K163" s="10" t="s">
        <v>433</v>
      </c>
      <c r="L163" s="10">
        <v>19677.0</v>
      </c>
    </row>
    <row r="164">
      <c r="A164" s="1" t="s">
        <v>50</v>
      </c>
      <c r="B164" s="1">
        <v>22175.0</v>
      </c>
      <c r="C164" s="1">
        <v>668820.0</v>
      </c>
      <c r="G164" s="10" t="str">
        <f>IFERROR(__xludf.DUMMYFUNCTION("""COMPUTED_VALUE"""),"Braxton Ashcraft")</f>
        <v>Braxton Ashcraft</v>
      </c>
      <c r="H164" s="10">
        <f>IFERROR(__xludf.DUMMYFUNCTION("""COMPUTED_VALUE"""),677952.0)</f>
        <v>677952</v>
      </c>
      <c r="K164" s="10" t="s">
        <v>395</v>
      </c>
      <c r="L164" s="10">
        <v>21574.0</v>
      </c>
    </row>
    <row r="165">
      <c r="A165" s="1" t="s">
        <v>437</v>
      </c>
      <c r="B165" s="1">
        <v>31972.0</v>
      </c>
      <c r="C165" s="1">
        <v>695418.0</v>
      </c>
      <c r="G165" s="10" t="str">
        <f>IFERROR(__xludf.DUMMYFUNCTION("""COMPUTED_VALUE"""),"Carlos Rodón")</f>
        <v>Carlos Rodón</v>
      </c>
      <c r="H165" s="10">
        <f>IFERROR(__xludf.DUMMYFUNCTION("""COMPUTED_VALUE"""),607074.0)</f>
        <v>607074</v>
      </c>
      <c r="K165" s="10" t="s">
        <v>423</v>
      </c>
      <c r="L165" s="10">
        <v>17594.0</v>
      </c>
    </row>
    <row r="166">
      <c r="A166" s="1" t="s">
        <v>431</v>
      </c>
      <c r="B166" s="1">
        <v>19361.0</v>
      </c>
      <c r="C166" s="1">
        <v>669203.0</v>
      </c>
      <c r="G166" s="10" t="str">
        <f>IFERROR(__xludf.DUMMYFUNCTION("""COMPUTED_VALUE"""),"Ryan Yarbrough")</f>
        <v>Ryan Yarbrough</v>
      </c>
      <c r="H166" s="10">
        <f>IFERROR(__xludf.DUMMYFUNCTION("""COMPUTED_VALUE"""),642232.0)</f>
        <v>642232</v>
      </c>
      <c r="K166" s="10" t="s">
        <v>61</v>
      </c>
      <c r="L166" s="10">
        <v>20629.0</v>
      </c>
    </row>
    <row r="167">
      <c r="A167" s="1" t="s">
        <v>390</v>
      </c>
      <c r="B167" s="1">
        <v>22284.0</v>
      </c>
      <c r="C167" s="1">
        <v>669422.0</v>
      </c>
      <c r="G167" s="10" t="str">
        <f>IFERROR(__xludf.DUMMYFUNCTION("""COMPUTED_VALUE"""),"Travis Adams")</f>
        <v>Travis Adams</v>
      </c>
      <c r="H167" s="10">
        <f>IFERROR(__xludf.DUMMYFUNCTION("""COMPUTED_VALUE"""),701519.0)</f>
        <v>701519</v>
      </c>
      <c r="K167" s="10" t="s">
        <v>561</v>
      </c>
      <c r="L167" s="10">
        <v>26171.0</v>
      </c>
    </row>
    <row r="168">
      <c r="A168" s="1" t="s">
        <v>396</v>
      </c>
      <c r="B168" s="1">
        <v>21504.0</v>
      </c>
      <c r="C168" s="1">
        <v>663623.0</v>
      </c>
      <c r="G168" s="10" t="str">
        <f>IFERROR(__xludf.DUMMYFUNCTION("""COMPUTED_VALUE"""),"José Soriano")</f>
        <v>José Soriano</v>
      </c>
      <c r="H168" s="10">
        <f>IFERROR(__xludf.DUMMYFUNCTION("""COMPUTED_VALUE"""),667755.0)</f>
        <v>667755</v>
      </c>
      <c r="K168" s="10" t="s">
        <v>676</v>
      </c>
      <c r="L168" s="10">
        <v>27453.0</v>
      </c>
    </row>
    <row r="169">
      <c r="A169" s="1" t="s">
        <v>433</v>
      </c>
      <c r="B169" s="1">
        <v>19677.0</v>
      </c>
      <c r="C169" s="1">
        <v>642397.0</v>
      </c>
      <c r="G169" s="10" t="str">
        <f>IFERROR(__xludf.DUMMYFUNCTION("""COMPUTED_VALUE"""),"Ryan Pepiot")</f>
        <v>Ryan Pepiot</v>
      </c>
      <c r="H169" s="10">
        <f>IFERROR(__xludf.DUMMYFUNCTION("""COMPUTED_VALUE"""),686752.0)</f>
        <v>686752</v>
      </c>
      <c r="K169" s="10" t="s">
        <v>151</v>
      </c>
      <c r="L169" s="10">
        <v>13346.0</v>
      </c>
    </row>
    <row r="170">
      <c r="A170" s="1" t="s">
        <v>513</v>
      </c>
      <c r="B170" s="1">
        <v>15038.0</v>
      </c>
      <c r="C170" s="1">
        <v>608566.0</v>
      </c>
      <c r="G170" s="10" t="str">
        <f>IFERROR(__xludf.DUMMYFUNCTION("""COMPUTED_VALUE"""),"Eric Lauer")</f>
        <v>Eric Lauer</v>
      </c>
      <c r="H170" s="10">
        <f>IFERROR(__xludf.DUMMYFUNCTION("""COMPUTED_VALUE"""),641778.0)</f>
        <v>641778</v>
      </c>
      <c r="K170" s="10" t="s">
        <v>493</v>
      </c>
      <c r="L170" s="10">
        <v>16835.0</v>
      </c>
    </row>
    <row r="171">
      <c r="A171" s="1" t="s">
        <v>170</v>
      </c>
      <c r="B171" s="1">
        <v>24763.0</v>
      </c>
      <c r="C171" s="1">
        <v>681517.0</v>
      </c>
      <c r="G171" s="10" t="str">
        <f>IFERROR(__xludf.DUMMYFUNCTION("""COMPUTED_VALUE"""),"Tyler Mahle")</f>
        <v>Tyler Mahle</v>
      </c>
      <c r="H171" s="10">
        <f>IFERROR(__xludf.DUMMYFUNCTION("""COMPUTED_VALUE"""),641816.0)</f>
        <v>641816</v>
      </c>
      <c r="K171" s="10" t="s">
        <v>87</v>
      </c>
      <c r="L171" s="10">
        <v>19274.0</v>
      </c>
    </row>
    <row r="172">
      <c r="A172" s="1" t="s">
        <v>555</v>
      </c>
      <c r="B172" s="1">
        <v>31475.0</v>
      </c>
      <c r="C172" s="1">
        <v>701656.0</v>
      </c>
      <c r="G172" s="10" t="str">
        <f>IFERROR(__xludf.DUMMYFUNCTION("""COMPUTED_VALUE"""),"Zach Eflin")</f>
        <v>Zach Eflin</v>
      </c>
      <c r="H172" s="10">
        <f>IFERROR(__xludf.DUMMYFUNCTION("""COMPUTED_VALUE"""),621107.0)</f>
        <v>621107</v>
      </c>
      <c r="K172" s="10" t="s">
        <v>301</v>
      </c>
      <c r="L172" s="10">
        <v>19879.0</v>
      </c>
    </row>
    <row r="173">
      <c r="A173" s="1" t="s">
        <v>238</v>
      </c>
      <c r="B173" s="1">
        <v>25636.0</v>
      </c>
      <c r="C173" s="1">
        <v>683769.0</v>
      </c>
      <c r="G173" s="10" t="str">
        <f>IFERROR(__xludf.DUMMYFUNCTION("""COMPUTED_VALUE"""),"Cade Cavalli")</f>
        <v>Cade Cavalli</v>
      </c>
      <c r="H173" s="10">
        <f>IFERROR(__xludf.DUMMYFUNCTION("""COMPUTED_VALUE"""),676917.0)</f>
        <v>676917</v>
      </c>
      <c r="K173" s="10" t="s">
        <v>406</v>
      </c>
      <c r="L173" s="10">
        <v>20375.0</v>
      </c>
    </row>
    <row r="174">
      <c r="A174" s="1" t="s">
        <v>322</v>
      </c>
      <c r="B174" s="1">
        <v>23899.0</v>
      </c>
      <c r="C174" s="1">
        <v>678368.0</v>
      </c>
      <c r="G174" s="10" t="str">
        <f>IFERROR(__xludf.DUMMYFUNCTION("""COMPUTED_VALUE"""),"Zack Kelly")</f>
        <v>Zack Kelly</v>
      </c>
      <c r="H174" s="10">
        <f>IFERROR(__xludf.DUMMYFUNCTION("""COMPUTED_VALUE"""),677161.0)</f>
        <v>677161</v>
      </c>
      <c r="K174" s="10" t="s">
        <v>677</v>
      </c>
      <c r="L174" s="10">
        <v>26353.0</v>
      </c>
    </row>
    <row r="175">
      <c r="A175" s="1" t="s">
        <v>678</v>
      </c>
      <c r="B175" s="1">
        <v>12095.0</v>
      </c>
      <c r="C175" s="1">
        <v>554340.0</v>
      </c>
      <c r="G175" s="10" t="str">
        <f>IFERROR(__xludf.DUMMYFUNCTION("""COMPUTED_VALUE"""),"Kyle Harrison")</f>
        <v>Kyle Harrison</v>
      </c>
      <c r="H175" s="10">
        <f>IFERROR(__xludf.DUMMYFUNCTION("""COMPUTED_VALUE"""),690986.0)</f>
        <v>690986</v>
      </c>
      <c r="K175" s="10" t="s">
        <v>374</v>
      </c>
      <c r="L175" s="10">
        <v>30146.0</v>
      </c>
    </row>
    <row r="176">
      <c r="A176" s="1" t="s">
        <v>89</v>
      </c>
      <c r="B176" s="1">
        <v>19742.0</v>
      </c>
      <c r="C176" s="1">
        <v>669622.0</v>
      </c>
      <c r="G176" s="10" t="str">
        <f>IFERROR(__xludf.DUMMYFUNCTION("""COMPUTED_VALUE"""),"Tanner Bibee")</f>
        <v>Tanner Bibee</v>
      </c>
      <c r="H176" s="10">
        <f>IFERROR(__xludf.DUMMYFUNCTION("""COMPUTED_VALUE"""),676440.0)</f>
        <v>676440</v>
      </c>
      <c r="K176" s="10" t="s">
        <v>38</v>
      </c>
      <c r="L176" s="10">
        <v>13580.0</v>
      </c>
    </row>
    <row r="177">
      <c r="A177" s="1" t="s">
        <v>311</v>
      </c>
      <c r="B177" s="1">
        <v>17432.0</v>
      </c>
      <c r="C177" s="1">
        <v>656546.0</v>
      </c>
      <c r="G177" s="10" t="str">
        <f>IFERROR(__xludf.DUMMYFUNCTION("""COMPUTED_VALUE"""),"Spencer Arrighetti")</f>
        <v>Spencer Arrighetti</v>
      </c>
      <c r="H177" s="10">
        <f>IFERROR(__xludf.DUMMYFUNCTION("""COMPUTED_VALUE"""),681293.0)</f>
        <v>681293</v>
      </c>
      <c r="K177" s="10" t="s">
        <v>447</v>
      </c>
      <c r="L177" s="10">
        <v>13652.0</v>
      </c>
    </row>
    <row r="178">
      <c r="A178" s="1" t="s">
        <v>278</v>
      </c>
      <c r="B178" s="1">
        <v>12880.0</v>
      </c>
      <c r="C178" s="1">
        <v>542881.0</v>
      </c>
      <c r="G178" s="10" t="str">
        <f>IFERROR(__xludf.DUMMYFUNCTION("""COMPUTED_VALUE"""),"Tyler Wells")</f>
        <v>Tyler Wells</v>
      </c>
      <c r="H178" s="10">
        <f>IFERROR(__xludf.DUMMYFUNCTION("""COMPUTED_VALUE"""),669330.0)</f>
        <v>669330</v>
      </c>
      <c r="K178" s="10" t="s">
        <v>679</v>
      </c>
      <c r="L178" s="10">
        <v>14710.0</v>
      </c>
    </row>
    <row r="179">
      <c r="A179" s="1" t="s">
        <v>417</v>
      </c>
      <c r="B179" s="1">
        <v>13942.0</v>
      </c>
      <c r="C179" s="1">
        <v>608718.0</v>
      </c>
      <c r="G179" s="10" t="str">
        <f>IFERROR(__xludf.DUMMYFUNCTION("""COMPUTED_VALUE"""),"Matthew Liberatore")</f>
        <v>Matthew Liberatore</v>
      </c>
      <c r="H179" s="10">
        <f>IFERROR(__xludf.DUMMYFUNCTION("""COMPUTED_VALUE"""),669461.0)</f>
        <v>669461</v>
      </c>
      <c r="K179" s="10" t="s">
        <v>292</v>
      </c>
      <c r="L179" s="10">
        <v>15947.0</v>
      </c>
    </row>
    <row r="180">
      <c r="A180" s="1" t="s">
        <v>142</v>
      </c>
      <c r="B180" s="1">
        <v>31553.0</v>
      </c>
      <c r="C180" s="1">
        <v>689254.0</v>
      </c>
      <c r="G180" s="10" t="str">
        <f>IFERROR(__xludf.DUMMYFUNCTION("""COMPUTED_VALUE"""),"Joe Boyle")</f>
        <v>Joe Boyle</v>
      </c>
      <c r="H180" s="10">
        <f>IFERROR(__xludf.DUMMYFUNCTION("""COMPUTED_VALUE"""),671212.0)</f>
        <v>671212</v>
      </c>
      <c r="K180" s="10" t="s">
        <v>295</v>
      </c>
      <c r="L180" s="10">
        <v>16866.0</v>
      </c>
    </row>
    <row r="181">
      <c r="A181" s="1" t="s">
        <v>413</v>
      </c>
      <c r="B181" s="1">
        <v>22543.0</v>
      </c>
      <c r="C181" s="1">
        <v>671737.0</v>
      </c>
      <c r="G181" s="10" t="str">
        <f>IFERROR(__xludf.DUMMYFUNCTION("""COMPUTED_VALUE"""),"Hunter Brown")</f>
        <v>Hunter Brown</v>
      </c>
      <c r="H181" s="10">
        <f>IFERROR(__xludf.DUMMYFUNCTION("""COMPUTED_VALUE"""),686613.0)</f>
        <v>686613</v>
      </c>
      <c r="K181" s="10" t="s">
        <v>674</v>
      </c>
      <c r="L181" s="10">
        <v>18655.0</v>
      </c>
    </row>
    <row r="182">
      <c r="A182" s="1" t="s">
        <v>511</v>
      </c>
      <c r="B182" s="1">
        <v>26215.0</v>
      </c>
      <c r="C182" s="1">
        <v>671131.0</v>
      </c>
      <c r="G182" s="10" t="str">
        <f>IFERROR(__xludf.DUMMYFUNCTION("""COMPUTED_VALUE"""),"Zack Littell")</f>
        <v>Zack Littell</v>
      </c>
      <c r="H182" s="10">
        <f>IFERROR(__xludf.DUMMYFUNCTION("""COMPUTED_VALUE"""),641793.0)</f>
        <v>641793</v>
      </c>
      <c r="K182" s="10" t="s">
        <v>386</v>
      </c>
      <c r="L182" s="10">
        <v>21318.0</v>
      </c>
    </row>
    <row r="183">
      <c r="A183" s="1" t="s">
        <v>345</v>
      </c>
      <c r="B183" s="1">
        <v>19926.0</v>
      </c>
      <c r="C183" s="1">
        <v>663574.0</v>
      </c>
      <c r="G183" s="10" t="str">
        <f>IFERROR(__xludf.DUMMYFUNCTION("""COMPUTED_VALUE"""),"Thomas Hatch")</f>
        <v>Thomas Hatch</v>
      </c>
      <c r="H183" s="10">
        <f>IFERROR(__xludf.DUMMYFUNCTION("""COMPUTED_VALUE"""),641672.0)</f>
        <v>641672</v>
      </c>
      <c r="K183" s="10" t="s">
        <v>680</v>
      </c>
      <c r="L183" s="10">
        <v>25839.0</v>
      </c>
    </row>
    <row r="184">
      <c r="A184" s="1" t="s">
        <v>655</v>
      </c>
      <c r="B184" s="1">
        <v>26252.0</v>
      </c>
      <c r="C184" s="1">
        <v>669062.0</v>
      </c>
      <c r="G184" s="10" t="str">
        <f>IFERROR(__xludf.DUMMYFUNCTION("""COMPUTED_VALUE"""),"David Festa")</f>
        <v>David Festa</v>
      </c>
      <c r="H184" s="10">
        <f>IFERROR(__xludf.DUMMYFUNCTION("""COMPUTED_VALUE"""),701581.0)</f>
        <v>701581</v>
      </c>
      <c r="K184" s="10" t="s">
        <v>339</v>
      </c>
      <c r="L184" s="10">
        <v>25880.0</v>
      </c>
    </row>
    <row r="185">
      <c r="A185" s="1" t="s">
        <v>129</v>
      </c>
      <c r="B185" s="1">
        <v>26221.0</v>
      </c>
      <c r="C185" s="1">
        <v>686752.0</v>
      </c>
      <c r="G185" s="10" t="str">
        <f>IFERROR(__xludf.DUMMYFUNCTION("""COMPUTED_VALUE"""),"Mason Barnett")</f>
        <v>Mason Barnett</v>
      </c>
      <c r="H185" s="10">
        <f>IFERROR(__xludf.DUMMYFUNCTION("""COMPUTED_VALUE"""),686930.0)</f>
        <v>686930</v>
      </c>
      <c r="K185" s="10" t="s">
        <v>76</v>
      </c>
      <c r="L185" s="10">
        <v>25890.0</v>
      </c>
    </row>
    <row r="186">
      <c r="A186" s="1" t="s">
        <v>257</v>
      </c>
      <c r="B186" s="1">
        <v>27626.0</v>
      </c>
      <c r="C186" s="1">
        <v>679358.0</v>
      </c>
      <c r="G186" s="10" t="str">
        <f>IFERROR(__xludf.DUMMYFUNCTION("""COMPUTED_VALUE"""),"Chase Dollander")</f>
        <v>Chase Dollander</v>
      </c>
      <c r="H186" s="10">
        <f>IFERROR(__xludf.DUMMYFUNCTION("""COMPUTED_VALUE"""),801403.0)</f>
        <v>801403</v>
      </c>
      <c r="K186" s="10" t="s">
        <v>272</v>
      </c>
      <c r="L186" s="10">
        <v>15689.0</v>
      </c>
    </row>
    <row r="187">
      <c r="A187" s="1" t="s">
        <v>128</v>
      </c>
      <c r="B187" s="1">
        <v>14771.0</v>
      </c>
      <c r="C187" s="1">
        <v>641941.0</v>
      </c>
      <c r="G187" s="10" t="str">
        <f>IFERROR(__xludf.DUMMYFUNCTION("""COMPUTED_VALUE"""),"Jason Alexander")</f>
        <v>Jason Alexander</v>
      </c>
      <c r="H187" s="10">
        <f>IFERROR(__xludf.DUMMYFUNCTION("""COMPUTED_VALUE"""),669920.0)</f>
        <v>669920</v>
      </c>
      <c r="K187" s="10" t="s">
        <v>336</v>
      </c>
      <c r="L187" s="10">
        <v>17677.0</v>
      </c>
    </row>
    <row r="188">
      <c r="A188" s="1" t="s">
        <v>681</v>
      </c>
      <c r="B188" s="1">
        <v>30002.0</v>
      </c>
      <c r="C188" s="1">
        <v>680880.0</v>
      </c>
      <c r="G188" s="10" t="str">
        <f>IFERROR(__xludf.DUMMYFUNCTION("""COMPUTED_VALUE"""),"José Ureña")</f>
        <v>José Ureña</v>
      </c>
      <c r="H188" s="10">
        <f>IFERROR(__xludf.DUMMYFUNCTION("""COMPUTED_VALUE"""),570632.0)</f>
        <v>570632</v>
      </c>
      <c r="K188" s="10" t="s">
        <v>682</v>
      </c>
      <c r="L188" s="10">
        <v>17888.0</v>
      </c>
    </row>
    <row r="189">
      <c r="A189" s="1" t="s">
        <v>683</v>
      </c>
      <c r="B189" s="1">
        <v>23307.0</v>
      </c>
      <c r="C189" s="1">
        <v>676092.0</v>
      </c>
      <c r="G189" s="10" t="str">
        <f>IFERROR(__xludf.DUMMYFUNCTION("""COMPUTED_VALUE"""),"Tobias Myers")</f>
        <v>Tobias Myers</v>
      </c>
      <c r="H189" s="10">
        <f>IFERROR(__xludf.DUMMYFUNCTION("""COMPUTED_VALUE"""),668964.0)</f>
        <v>668964</v>
      </c>
      <c r="K189" s="10" t="s">
        <v>157</v>
      </c>
      <c r="L189" s="10">
        <v>20997.0</v>
      </c>
    </row>
    <row r="190">
      <c r="A190" s="1" t="s">
        <v>203</v>
      </c>
      <c r="B190" s="1">
        <v>11426.0</v>
      </c>
      <c r="C190" s="1">
        <v>519141.0</v>
      </c>
      <c r="G190" s="10" t="str">
        <f>IFERROR(__xludf.DUMMYFUNCTION("""COMPUTED_VALUE"""),"Justin Wrobleski")</f>
        <v>Justin Wrobleski</v>
      </c>
      <c r="H190" s="10">
        <f>IFERROR(__xludf.DUMMYFUNCTION("""COMPUTED_VALUE"""),680736.0)</f>
        <v>680736</v>
      </c>
      <c r="K190" s="10" t="s">
        <v>684</v>
      </c>
      <c r="L190" s="10">
        <v>21894.0</v>
      </c>
    </row>
    <row r="191">
      <c r="A191" s="1" t="s">
        <v>520</v>
      </c>
      <c r="B191" s="1">
        <v>19261.0</v>
      </c>
      <c r="C191" s="1">
        <v>641656.0</v>
      </c>
      <c r="G191" s="10" t="str">
        <f>IFERROR(__xludf.DUMMYFUNCTION("""COMPUTED_VALUE"""),"Simeon Woods Richardson")</f>
        <v>Simeon Woods Richardson</v>
      </c>
      <c r="H191" s="10">
        <f>IFERROR(__xludf.DUMMYFUNCTION("""COMPUTED_VALUE"""),680573.0)</f>
        <v>680573</v>
      </c>
      <c r="K191" s="10" t="s">
        <v>101</v>
      </c>
      <c r="L191" s="10">
        <v>22915.0</v>
      </c>
    </row>
    <row r="192">
      <c r="A192" s="1" t="s">
        <v>250</v>
      </c>
      <c r="B192" s="1">
        <v>20191.0</v>
      </c>
      <c r="C192" s="1">
        <v>676477.0</v>
      </c>
      <c r="G192" s="10" t="str">
        <f>IFERROR(__xludf.DUMMYFUNCTION("""COMPUTED_VALUE"""),"Walker Buehler")</f>
        <v>Walker Buehler</v>
      </c>
      <c r="H192" s="10">
        <f>IFERROR(__xludf.DUMMYFUNCTION("""COMPUTED_VALUE"""),621111.0)</f>
        <v>621111</v>
      </c>
      <c r="K192" s="10" t="s">
        <v>213</v>
      </c>
      <c r="L192" s="10">
        <v>27694.0</v>
      </c>
    </row>
    <row r="193">
      <c r="A193" s="1" t="s">
        <v>641</v>
      </c>
      <c r="B193" s="1">
        <v>20517.0</v>
      </c>
      <c r="C193" s="1">
        <v>680704.0</v>
      </c>
      <c r="G193" s="10" t="str">
        <f>IFERROR(__xludf.DUMMYFUNCTION("""COMPUTED_VALUE"""),"Johan Oviedo")</f>
        <v>Johan Oviedo</v>
      </c>
      <c r="H193" s="10">
        <f>IFERROR(__xludf.DUMMYFUNCTION("""COMPUTED_VALUE"""),670912.0)</f>
        <v>670912</v>
      </c>
      <c r="K193" s="10" t="s">
        <v>127</v>
      </c>
      <c r="L193" s="10">
        <v>27707.0</v>
      </c>
    </row>
    <row r="194">
      <c r="A194" s="1" t="s">
        <v>550</v>
      </c>
      <c r="B194" s="1">
        <v>25620.0</v>
      </c>
      <c r="C194" s="1">
        <v>682825.0</v>
      </c>
      <c r="G194" s="10" t="str">
        <f>IFERROR(__xludf.DUMMYFUNCTION("""COMPUTED_VALUE"""),"Taijuan Walker")</f>
        <v>Taijuan Walker</v>
      </c>
      <c r="H194" s="10">
        <f>IFERROR(__xludf.DUMMYFUNCTION("""COMPUTED_VALUE"""),592836.0)</f>
        <v>592836</v>
      </c>
      <c r="K194" s="10" t="s">
        <v>103</v>
      </c>
      <c r="L194" s="10">
        <v>10197.0</v>
      </c>
    </row>
    <row r="195">
      <c r="A195" s="1" t="s">
        <v>123</v>
      </c>
      <c r="B195" s="1">
        <v>24094.0</v>
      </c>
      <c r="C195" s="1">
        <v>678692.0</v>
      </c>
      <c r="G195" s="10" t="str">
        <f>IFERROR(__xludf.DUMMYFUNCTION("""COMPUTED_VALUE"""),"Slade Cecconi")</f>
        <v>Slade Cecconi</v>
      </c>
      <c r="H195" s="10">
        <f>IFERROR(__xludf.DUMMYFUNCTION("""COMPUTED_VALUE"""),677944.0)</f>
        <v>677944</v>
      </c>
      <c r="K195" s="10" t="s">
        <v>222</v>
      </c>
      <c r="L195" s="10">
        <v>11156.0</v>
      </c>
    </row>
    <row r="196">
      <c r="A196" s="1" t="s">
        <v>146</v>
      </c>
      <c r="B196" s="1">
        <v>15145.0</v>
      </c>
      <c r="C196" s="1">
        <v>623437.0</v>
      </c>
      <c r="G196" s="10" t="str">
        <f>IFERROR(__xludf.DUMMYFUNCTION("""COMPUTED_VALUE"""),"Lucas Giolito")</f>
        <v>Lucas Giolito</v>
      </c>
      <c r="H196" s="10">
        <f>IFERROR(__xludf.DUMMYFUNCTION("""COMPUTED_VALUE"""),608337.0)</f>
        <v>608337</v>
      </c>
      <c r="K196" s="10" t="s">
        <v>99</v>
      </c>
      <c r="L196" s="10">
        <v>11674.0</v>
      </c>
    </row>
    <row r="197">
      <c r="A197" s="1" t="s">
        <v>114</v>
      </c>
      <c r="B197" s="1">
        <v>15816.0</v>
      </c>
      <c r="C197" s="1">
        <v>642207.0</v>
      </c>
      <c r="G197" s="10" t="str">
        <f>IFERROR(__xludf.DUMMYFUNCTION("""COMPUTED_VALUE"""),"Brandon Sproat")</f>
        <v>Brandon Sproat</v>
      </c>
      <c r="H197" s="10">
        <f>IFERROR(__xludf.DUMMYFUNCTION("""COMPUTED_VALUE"""),687075.0)</f>
        <v>687075</v>
      </c>
      <c r="K197" s="10" t="s">
        <v>685</v>
      </c>
      <c r="L197" s="10">
        <v>14857.0</v>
      </c>
    </row>
    <row r="198">
      <c r="A198" s="1" t="s">
        <v>145</v>
      </c>
      <c r="B198" s="1">
        <v>29869.0</v>
      </c>
      <c r="C198" s="1">
        <v>700241.0</v>
      </c>
      <c r="G198" s="10" t="str">
        <f>IFERROR(__xludf.DUMMYFUNCTION("""COMPUTED_VALUE"""),"Tyler Glasnow")</f>
        <v>Tyler Glasnow</v>
      </c>
      <c r="H198" s="10">
        <f>IFERROR(__xludf.DUMMYFUNCTION("""COMPUTED_VALUE"""),607192.0)</f>
        <v>607192</v>
      </c>
      <c r="K198" s="10" t="s">
        <v>297</v>
      </c>
      <c r="L198" s="10">
        <v>15734.0</v>
      </c>
    </row>
    <row r="199">
      <c r="A199" s="1" t="s">
        <v>352</v>
      </c>
      <c r="B199" s="1">
        <v>27669.0</v>
      </c>
      <c r="C199" s="1">
        <v>685299.0</v>
      </c>
      <c r="G199" s="10" t="str">
        <f>IFERROR(__xludf.DUMMYFUNCTION("""COMPUTED_VALUE"""),"José Suarez")</f>
        <v>José Suarez</v>
      </c>
      <c r="H199" s="10">
        <f>IFERROR(__xludf.DUMMYFUNCTION("""COMPUTED_VALUE"""),660761.0)</f>
        <v>660761</v>
      </c>
      <c r="K199" s="10" t="s">
        <v>219</v>
      </c>
      <c r="L199" s="10">
        <v>16647.0</v>
      </c>
    </row>
    <row r="200">
      <c r="A200" s="1" t="s">
        <v>367</v>
      </c>
      <c r="B200" s="1">
        <v>27668.0</v>
      </c>
      <c r="C200" s="1">
        <v>685126.0</v>
      </c>
      <c r="G200" s="10" t="str">
        <f>IFERROR(__xludf.DUMMYFUNCTION("""COMPUTED_VALUE"""),"Jon Gray")</f>
        <v>Jon Gray</v>
      </c>
      <c r="H200" s="10">
        <f>IFERROR(__xludf.DUMMYFUNCTION("""COMPUTED_VALUE"""),592351.0)</f>
        <v>592351</v>
      </c>
      <c r="K200" s="10" t="s">
        <v>178</v>
      </c>
      <c r="L200" s="10">
        <v>13435.0</v>
      </c>
    </row>
    <row r="201">
      <c r="A201" s="1" t="s">
        <v>686</v>
      </c>
      <c r="B201" s="1">
        <v>17639.0</v>
      </c>
      <c r="C201" s="1">
        <v>664875.0</v>
      </c>
      <c r="G201" s="10" t="str">
        <f>IFERROR(__xludf.DUMMYFUNCTION("""COMPUTED_VALUE"""),"Tristan Beck")</f>
        <v>Tristan Beck</v>
      </c>
      <c r="H201" s="10">
        <f>IFERROR(__xludf.DUMMYFUNCTION("""COMPUTED_VALUE"""),663941.0)</f>
        <v>663941</v>
      </c>
      <c r="K201" s="10" t="s">
        <v>687</v>
      </c>
      <c r="L201" s="10">
        <v>16400.0</v>
      </c>
    </row>
    <row r="202">
      <c r="A202" s="1" t="s">
        <v>406</v>
      </c>
      <c r="B202" s="1">
        <v>20375.0</v>
      </c>
      <c r="C202" s="1">
        <v>669711.0</v>
      </c>
      <c r="G202" s="10" t="str">
        <f>IFERROR(__xludf.DUMMYFUNCTION("""COMPUTED_VALUE"""),"Tanner Gordon")</f>
        <v>Tanner Gordon</v>
      </c>
      <c r="H202" s="10">
        <f>IFERROR(__xludf.DUMMYFUNCTION("""COMPUTED_VALUE"""),685299.0)</f>
        <v>685299</v>
      </c>
      <c r="K202" s="10" t="s">
        <v>282</v>
      </c>
      <c r="L202" s="10">
        <v>18525.0</v>
      </c>
    </row>
    <row r="203">
      <c r="A203" s="1" t="s">
        <v>107</v>
      </c>
      <c r="B203" s="1">
        <v>19349.0</v>
      </c>
      <c r="C203" s="1">
        <v>657571.0</v>
      </c>
      <c r="G203" s="10" t="str">
        <f>IFERROR(__xludf.DUMMYFUNCTION("""COMPUTED_VALUE"""),"Kris Bubic")</f>
        <v>Kris Bubic</v>
      </c>
      <c r="H203" s="10">
        <f>IFERROR(__xludf.DUMMYFUNCTION("""COMPUTED_VALUE"""),663460.0)</f>
        <v>663460</v>
      </c>
      <c r="K203" s="10" t="s">
        <v>49</v>
      </c>
      <c r="L203" s="10">
        <v>20039.0</v>
      </c>
    </row>
    <row r="204">
      <c r="A204" s="1" t="s">
        <v>158</v>
      </c>
      <c r="B204" s="1">
        <v>35321.0</v>
      </c>
      <c r="C204" s="1">
        <v>608372.0</v>
      </c>
      <c r="G204" s="10" t="str">
        <f>IFERROR(__xludf.DUMMYFUNCTION("""COMPUTED_VALUE"""),"Martín Pérez")</f>
        <v>Martín Pérez</v>
      </c>
      <c r="H204" s="10">
        <f>IFERROR(__xludf.DUMMYFUNCTION("""COMPUTED_VALUE"""),527048.0)</f>
        <v>527048</v>
      </c>
      <c r="K204" s="10" t="s">
        <v>688</v>
      </c>
      <c r="L204" s="10">
        <v>20271.0</v>
      </c>
    </row>
    <row r="205">
      <c r="A205" s="1" t="s">
        <v>647</v>
      </c>
      <c r="B205" s="1">
        <v>18439.0</v>
      </c>
      <c r="C205" s="1">
        <v>664849.0</v>
      </c>
      <c r="G205" s="10" t="str">
        <f>IFERROR(__xludf.DUMMYFUNCTION("""COMPUTED_VALUE"""),"Jonah Tong")</f>
        <v>Jonah Tong</v>
      </c>
      <c r="H205" s="10">
        <f>IFERROR(__xludf.DUMMYFUNCTION("""COMPUTED_VALUE"""),804636.0)</f>
        <v>804636</v>
      </c>
      <c r="K205" s="10" t="s">
        <v>439</v>
      </c>
      <c r="L205" s="10">
        <v>11384.0</v>
      </c>
    </row>
    <row r="206">
      <c r="A206" s="1" t="s">
        <v>362</v>
      </c>
      <c r="B206" s="1">
        <v>13449.0</v>
      </c>
      <c r="C206" s="1">
        <v>573124.0</v>
      </c>
      <c r="G206" s="10" t="str">
        <f>IFERROR(__xludf.DUMMYFUNCTION("""COMPUTED_VALUE"""),"Kyle Bradish")</f>
        <v>Kyle Bradish</v>
      </c>
      <c r="H206" s="10">
        <f>IFERROR(__xludf.DUMMYFUNCTION("""COMPUTED_VALUE"""),680694.0)</f>
        <v>680694</v>
      </c>
      <c r="K206" s="10" t="s">
        <v>316</v>
      </c>
      <c r="L206" s="10">
        <v>17479.0</v>
      </c>
    </row>
    <row r="207">
      <c r="A207" s="1" t="s">
        <v>476</v>
      </c>
      <c r="B207" s="1">
        <v>11423.0</v>
      </c>
      <c r="C207" s="1">
        <v>500779.0</v>
      </c>
      <c r="G207" s="10" t="str">
        <f>IFERROR(__xludf.DUMMYFUNCTION("""COMPUTED_VALUE"""),"Shane Smith")</f>
        <v>Shane Smith</v>
      </c>
      <c r="H207" s="10">
        <f>IFERROR(__xludf.DUMMYFUNCTION("""COMPUTED_VALUE"""),681343.0)</f>
        <v>681343</v>
      </c>
      <c r="K207" s="10" t="s">
        <v>131</v>
      </c>
      <c r="L207" s="10">
        <v>19769.0</v>
      </c>
    </row>
    <row r="208">
      <c r="A208" s="1" t="s">
        <v>414</v>
      </c>
      <c r="B208" s="1">
        <v>20271.0</v>
      </c>
      <c r="C208" s="1">
        <v>678226.0</v>
      </c>
      <c r="G208" s="10" t="str">
        <f>IFERROR(__xludf.DUMMYFUNCTION("""COMPUTED_VALUE"""),"Lance McCullers Jr.")</f>
        <v>Lance McCullers Jr.</v>
      </c>
      <c r="H208" s="10">
        <f>IFERROR(__xludf.DUMMYFUNCTION("""COMPUTED_VALUE"""),621121.0)</f>
        <v>621121</v>
      </c>
      <c r="K208" s="10" t="s">
        <v>82</v>
      </c>
      <c r="L208" s="10">
        <v>26231.0</v>
      </c>
    </row>
    <row r="209">
      <c r="A209" s="1" t="s">
        <v>214</v>
      </c>
      <c r="B209" s="1">
        <v>23165.0</v>
      </c>
      <c r="C209" s="1">
        <v>674444.0</v>
      </c>
      <c r="G209" s="10" t="str">
        <f>IFERROR(__xludf.DUMMYFUNCTION("""COMPUTED_VALUE"""),"Kyle Hendricks")</f>
        <v>Kyle Hendricks</v>
      </c>
      <c r="H209" s="10">
        <f>IFERROR(__xludf.DUMMYFUNCTION("""COMPUTED_VALUE"""),543294.0)</f>
        <v>543294</v>
      </c>
      <c r="K209" s="10" t="s">
        <v>324</v>
      </c>
      <c r="L209" s="10">
        <v>6632.0</v>
      </c>
    </row>
    <row r="210">
      <c r="A210" s="1" t="s">
        <v>418</v>
      </c>
      <c r="B210" s="1">
        <v>27517.0</v>
      </c>
      <c r="C210" s="1">
        <v>657649.0</v>
      </c>
      <c r="G210" s="10" t="str">
        <f>IFERROR(__xludf.DUMMYFUNCTION("""COMPUTED_VALUE"""),"Mitch Keller")</f>
        <v>Mitch Keller</v>
      </c>
      <c r="H210" s="10">
        <f>IFERROR(__xludf.DUMMYFUNCTION("""COMPUTED_VALUE"""),656605.0)</f>
        <v>656605</v>
      </c>
      <c r="K210" s="10" t="s">
        <v>166</v>
      </c>
      <c r="L210" s="10">
        <v>13743.0</v>
      </c>
    </row>
    <row r="211">
      <c r="A211" s="1" t="s">
        <v>289</v>
      </c>
      <c r="B211" s="1">
        <v>22304.0</v>
      </c>
      <c r="C211" s="1">
        <v>669724.0</v>
      </c>
      <c r="G211" s="10" t="str">
        <f>IFERROR(__xludf.DUMMYFUNCTION("""COMPUTED_VALUE"""),"Clayton Kershaw")</f>
        <v>Clayton Kershaw</v>
      </c>
      <c r="H211" s="10">
        <f>IFERROR(__xludf.DUMMYFUNCTION("""COMPUTED_VALUE"""),477132.0)</f>
        <v>477132</v>
      </c>
      <c r="K211" s="10" t="s">
        <v>689</v>
      </c>
      <c r="L211" s="10">
        <v>15194.0</v>
      </c>
    </row>
    <row r="212">
      <c r="A212" s="1" t="s">
        <v>403</v>
      </c>
      <c r="B212" s="1">
        <v>20423.0</v>
      </c>
      <c r="C212" s="1">
        <v>676254.0</v>
      </c>
      <c r="G212" s="10" t="str">
        <f>IFERROR(__xludf.DUMMYFUNCTION("""COMPUTED_VALUE"""),"Kumar Rocker")</f>
        <v>Kumar Rocker</v>
      </c>
      <c r="H212" s="10">
        <f>IFERROR(__xludf.DUMMYFUNCTION("""COMPUTED_VALUE"""),677958.0)</f>
        <v>677958</v>
      </c>
      <c r="K212" s="10" t="s">
        <v>412</v>
      </c>
      <c r="L212" s="10">
        <v>17874.0</v>
      </c>
    </row>
    <row r="213">
      <c r="A213" s="1" t="s">
        <v>480</v>
      </c>
      <c r="B213" s="1">
        <v>18383.0</v>
      </c>
      <c r="C213" s="1">
        <v>647336.0</v>
      </c>
      <c r="G213" s="10" t="str">
        <f>IFERROR(__xludf.DUMMYFUNCTION("""COMPUTED_VALUE"""),"Mason Black")</f>
        <v>Mason Black</v>
      </c>
      <c r="H213" s="10">
        <f>IFERROR(__xludf.DUMMYFUNCTION("""COMPUTED_VALUE"""),696131.0)</f>
        <v>696131</v>
      </c>
      <c r="K213" s="10" t="s">
        <v>690</v>
      </c>
      <c r="L213" s="10">
        <v>21652.0</v>
      </c>
    </row>
    <row r="214">
      <c r="A214" s="1" t="s">
        <v>488</v>
      </c>
      <c r="B214" s="1">
        <v>33294.0</v>
      </c>
      <c r="C214" s="1">
        <v>678020.0</v>
      </c>
      <c r="G214" s="10" t="str">
        <f>IFERROR(__xludf.DUMMYFUNCTION("""COMPUTED_VALUE"""),"Charlie Morton")</f>
        <v>Charlie Morton</v>
      </c>
      <c r="H214" s="10">
        <f>IFERROR(__xludf.DUMMYFUNCTION("""COMPUTED_VALUE"""),450203.0)</f>
        <v>450203</v>
      </c>
      <c r="K214" s="10" t="s">
        <v>691</v>
      </c>
      <c r="L214" s="10">
        <v>22872.0</v>
      </c>
    </row>
    <row r="215">
      <c r="A215" s="1" t="s">
        <v>464</v>
      </c>
      <c r="B215" s="1">
        <v>19312.0</v>
      </c>
      <c r="C215" s="1">
        <v>615698.0</v>
      </c>
      <c r="G215" s="10" t="str">
        <f>IFERROR(__xludf.DUMMYFUNCTION("""COMPUTED_VALUE"""),"Davis Martin")</f>
        <v>Davis Martin</v>
      </c>
      <c r="H215" s="10">
        <f>IFERROR(__xludf.DUMMYFUNCTION("""COMPUTED_VALUE"""),663436.0)</f>
        <v>663436</v>
      </c>
      <c r="K215" s="10" t="s">
        <v>692</v>
      </c>
      <c r="L215" s="10">
        <v>25873.0</v>
      </c>
    </row>
    <row r="216">
      <c r="A216" s="1" t="s">
        <v>327</v>
      </c>
      <c r="B216" s="1">
        <v>14710.0</v>
      </c>
      <c r="C216" s="1">
        <v>621242.0</v>
      </c>
      <c r="G216" s="10" t="str">
        <f>IFERROR(__xludf.DUMMYFUNCTION("""COMPUTED_VALUE"""),"Caden Dana")</f>
        <v>Caden Dana</v>
      </c>
      <c r="H216" s="10">
        <f>IFERROR(__xludf.DUMMYFUNCTION("""COMPUTED_VALUE"""),702674.0)</f>
        <v>702674</v>
      </c>
      <c r="K216" s="10" t="s">
        <v>693</v>
      </c>
      <c r="L216" s="10">
        <v>27702.0</v>
      </c>
    </row>
    <row r="217">
      <c r="A217" s="1" t="s">
        <v>650</v>
      </c>
      <c r="B217" s="1">
        <v>15507.0</v>
      </c>
      <c r="C217" s="1">
        <v>640451.0</v>
      </c>
      <c r="G217" s="10" t="str">
        <f>IFERROR(__xludf.DUMMYFUNCTION("""COMPUTED_VALUE"""),"Spencer Strider")</f>
        <v>Spencer Strider</v>
      </c>
      <c r="H217" s="10">
        <f>IFERROR(__xludf.DUMMYFUNCTION("""COMPUTED_VALUE"""),675911.0)</f>
        <v>675911</v>
      </c>
      <c r="K217" s="10" t="s">
        <v>496</v>
      </c>
      <c r="L217" s="10">
        <v>30113.0</v>
      </c>
    </row>
    <row r="218">
      <c r="A218" s="1" t="s">
        <v>249</v>
      </c>
      <c r="B218" s="1">
        <v>16727.0</v>
      </c>
      <c r="C218" s="1">
        <v>592779.0</v>
      </c>
      <c r="G218" s="10" t="str">
        <f>IFERROR(__xludf.DUMMYFUNCTION("""COMPUTED_VALUE"""),"Seth Lugo")</f>
        <v>Seth Lugo</v>
      </c>
      <c r="H218" s="10">
        <f>IFERROR(__xludf.DUMMYFUNCTION("""COMPUTED_VALUE"""),607625.0)</f>
        <v>607625</v>
      </c>
      <c r="K218" s="10" t="s">
        <v>154</v>
      </c>
      <c r="L218" s="10">
        <v>3096.0</v>
      </c>
    </row>
    <row r="219">
      <c r="A219" s="1" t="s">
        <v>263</v>
      </c>
      <c r="B219" s="1">
        <v>27782.0</v>
      </c>
      <c r="C219" s="1">
        <v>694297.0</v>
      </c>
      <c r="G219" s="10" t="str">
        <f>IFERROR(__xludf.DUMMYFUNCTION("""COMPUTED_VALUE"""),"Davis Daniel")</f>
        <v>Davis Daniel</v>
      </c>
      <c r="H219" s="10">
        <f>IFERROR(__xludf.DUMMYFUNCTION("""COMPUTED_VALUE"""),669721.0)</f>
        <v>669721</v>
      </c>
      <c r="K219" s="10" t="s">
        <v>387</v>
      </c>
      <c r="L219" s="10">
        <v>19990.0</v>
      </c>
    </row>
    <row r="220">
      <c r="A220" s="1" t="s">
        <v>694</v>
      </c>
      <c r="B220" s="1">
        <v>17734.0</v>
      </c>
      <c r="C220" s="1">
        <v>623465.0</v>
      </c>
      <c r="G220" s="10" t="str">
        <f>IFERROR(__xludf.DUMMYFUNCTION("""COMPUTED_VALUE"""),"Aaron Civale")</f>
        <v>Aaron Civale</v>
      </c>
      <c r="H220" s="10">
        <f>IFERROR(__xludf.DUMMYFUNCTION("""COMPUTED_VALUE"""),650644.0)</f>
        <v>650644</v>
      </c>
      <c r="K220" s="10" t="s">
        <v>695</v>
      </c>
      <c r="L220" s="10">
        <v>22100.0</v>
      </c>
    </row>
    <row r="221">
      <c r="A221" s="1" t="s">
        <v>408</v>
      </c>
      <c r="B221" s="1">
        <v>19899.0</v>
      </c>
      <c r="C221" s="1">
        <v>657376.0</v>
      </c>
      <c r="G221" s="10" t="str">
        <f>IFERROR(__xludf.DUMMYFUNCTION("""COMPUTED_VALUE"""),"Carlos Rodriguez")</f>
        <v>Carlos Rodriguez</v>
      </c>
      <c r="H221" s="10">
        <f>IFERROR(__xludf.DUMMYFUNCTION("""COMPUTED_VALUE"""),692230.0)</f>
        <v>692230</v>
      </c>
      <c r="K221" s="10" t="s">
        <v>696</v>
      </c>
      <c r="L221" s="10">
        <v>31461.0</v>
      </c>
    </row>
    <row r="222">
      <c r="A222" s="1" t="s">
        <v>316</v>
      </c>
      <c r="B222" s="1">
        <v>17479.0</v>
      </c>
      <c r="C222" s="1">
        <v>656427.0</v>
      </c>
      <c r="G222" s="10" t="str">
        <f>IFERROR(__xludf.DUMMYFUNCTION("""COMPUTED_VALUE"""),"Trey Yesavage")</f>
        <v>Trey Yesavage</v>
      </c>
      <c r="H222" s="10">
        <f>IFERROR(__xludf.DUMMYFUNCTION("""COMPUTED_VALUE"""),702056.0)</f>
        <v>702056</v>
      </c>
      <c r="K222" s="10" t="s">
        <v>361</v>
      </c>
      <c r="L222" s="10">
        <v>31730.0</v>
      </c>
    </row>
    <row r="223">
      <c r="A223" s="1" t="s">
        <v>13</v>
      </c>
      <c r="B223" s="1">
        <v>17722.0</v>
      </c>
      <c r="C223" s="1">
        <v>656730.0</v>
      </c>
      <c r="G223" s="10" t="str">
        <f>IFERROR(__xludf.DUMMYFUNCTION("""COMPUTED_VALUE"""),"Adam Mazur")</f>
        <v>Adam Mazur</v>
      </c>
      <c r="H223" s="10">
        <f>IFERROR(__xludf.DUMMYFUNCTION("""COMPUTED_VALUE"""),800049.0)</f>
        <v>800049</v>
      </c>
      <c r="K223" s="10" t="s">
        <v>435</v>
      </c>
      <c r="L223" s="10">
        <v>13293.0</v>
      </c>
    </row>
    <row r="224">
      <c r="A224" s="1" t="s">
        <v>138</v>
      </c>
      <c r="B224" s="1">
        <v>16990.0</v>
      </c>
      <c r="C224" s="1">
        <v>621383.0</v>
      </c>
      <c r="G224" s="10" t="str">
        <f>IFERROR(__xludf.DUMMYFUNCTION("""COMPUTED_VALUE"""),"Jose Quintana")</f>
        <v>Jose Quintana</v>
      </c>
      <c r="H224" s="10">
        <f>IFERROR(__xludf.DUMMYFUNCTION("""COMPUTED_VALUE"""),500779.0)</f>
        <v>500779</v>
      </c>
      <c r="K224" s="10" t="s">
        <v>321</v>
      </c>
      <c r="L224" s="10">
        <v>17425.0</v>
      </c>
    </row>
    <row r="225">
      <c r="A225" s="1" t="s">
        <v>347</v>
      </c>
      <c r="B225" s="1">
        <v>30055.0</v>
      </c>
      <c r="C225" s="1">
        <v>700249.0</v>
      </c>
      <c r="G225" s="10" t="str">
        <f>IFERROR(__xludf.DUMMYFUNCTION("""COMPUTED_VALUE"""),"Brandon Waddell")</f>
        <v>Brandon Waddell</v>
      </c>
      <c r="H225" s="10">
        <f>IFERROR(__xludf.DUMMYFUNCTION("""COMPUTED_VALUE"""),663399.0)</f>
        <v>663399</v>
      </c>
      <c r="K225" s="10" t="s">
        <v>397</v>
      </c>
      <c r="L225" s="10">
        <v>19459.0</v>
      </c>
    </row>
    <row r="226">
      <c r="A226" s="1" t="s">
        <v>213</v>
      </c>
      <c r="B226" s="1">
        <v>27694.0</v>
      </c>
      <c r="C226" s="1">
        <v>686993.0</v>
      </c>
      <c r="G226" s="10" t="str">
        <f>IFERROR(__xludf.DUMMYFUNCTION("""COMPUTED_VALUE"""),"Paul Blackburn")</f>
        <v>Paul Blackburn</v>
      </c>
      <c r="H226" s="10">
        <f>IFERROR(__xludf.DUMMYFUNCTION("""COMPUTED_VALUE"""),621112.0)</f>
        <v>621112</v>
      </c>
      <c r="K226" s="10" t="s">
        <v>193</v>
      </c>
      <c r="L226" s="10">
        <v>19574.0</v>
      </c>
    </row>
    <row r="227">
      <c r="A227" s="1" t="s">
        <v>332</v>
      </c>
      <c r="B227" s="1">
        <v>19316.0</v>
      </c>
      <c r="C227" s="1">
        <v>641778.0</v>
      </c>
      <c r="K227" s="10" t="s">
        <v>122</v>
      </c>
      <c r="L227" s="10">
        <v>21029.0</v>
      </c>
    </row>
    <row r="228">
      <c r="A228" s="1" t="s">
        <v>245</v>
      </c>
      <c r="B228" s="1">
        <v>9323.0</v>
      </c>
      <c r="C228" s="1">
        <v>571578.0</v>
      </c>
      <c r="K228" s="10" t="s">
        <v>150</v>
      </c>
      <c r="L228" s="10">
        <v>21390.0</v>
      </c>
    </row>
    <row r="229">
      <c r="A229" s="1" t="s">
        <v>697</v>
      </c>
      <c r="B229" s="1">
        <v>14527.0</v>
      </c>
      <c r="C229" s="1">
        <v>605347.0</v>
      </c>
      <c r="K229" s="10" t="s">
        <v>378</v>
      </c>
      <c r="L229" s="10">
        <v>24862.0</v>
      </c>
    </row>
    <row r="230">
      <c r="A230" s="1" t="s">
        <v>458</v>
      </c>
      <c r="B230" s="1">
        <v>23313.0</v>
      </c>
      <c r="C230" s="1">
        <v>676130.0</v>
      </c>
      <c r="K230" s="10" t="s">
        <v>137</v>
      </c>
      <c r="L230" s="10">
        <v>3137.0</v>
      </c>
    </row>
    <row r="231">
      <c r="A231" s="1" t="s">
        <v>152</v>
      </c>
      <c r="B231" s="1">
        <v>30160.0</v>
      </c>
      <c r="C231" s="1">
        <v>690916.0</v>
      </c>
      <c r="K231" s="10" t="s">
        <v>311</v>
      </c>
      <c r="L231" s="10">
        <v>17432.0</v>
      </c>
    </row>
    <row r="232">
      <c r="A232" s="1" t="s">
        <v>512</v>
      </c>
      <c r="B232" s="1">
        <v>31552.0</v>
      </c>
      <c r="C232" s="1">
        <v>688642.0</v>
      </c>
      <c r="K232" s="10" t="s">
        <v>294</v>
      </c>
      <c r="L232" s="10">
        <v>19350.0</v>
      </c>
    </row>
    <row r="233">
      <c r="A233" s="1" t="s">
        <v>179</v>
      </c>
      <c r="B233" s="1">
        <v>21487.0</v>
      </c>
      <c r="C233" s="1">
        <v>663568.0</v>
      </c>
      <c r="K233" s="10" t="s">
        <v>698</v>
      </c>
      <c r="L233" s="10">
        <v>20666.0</v>
      </c>
    </row>
    <row r="234">
      <c r="A234" s="1" t="s">
        <v>98</v>
      </c>
      <c r="B234" s="1">
        <v>16149.0</v>
      </c>
      <c r="C234" s="1">
        <v>605400.0</v>
      </c>
      <c r="K234" s="10" t="s">
        <v>235</v>
      </c>
      <c r="L234" s="10">
        <v>25911.0</v>
      </c>
    </row>
    <row r="235">
      <c r="A235" s="1" t="s">
        <v>295</v>
      </c>
      <c r="B235" s="1">
        <v>16866.0</v>
      </c>
      <c r="C235" s="1">
        <v>657585.0</v>
      </c>
      <c r="K235" s="10" t="s">
        <v>360</v>
      </c>
      <c r="L235" s="10">
        <v>12972.0</v>
      </c>
    </row>
    <row r="236">
      <c r="A236" s="1" t="s">
        <v>315</v>
      </c>
      <c r="B236" s="1">
        <v>24609.0</v>
      </c>
      <c r="C236" s="1">
        <v>680755.0</v>
      </c>
      <c r="K236" s="10" t="s">
        <v>699</v>
      </c>
      <c r="L236" s="10">
        <v>14552.0</v>
      </c>
    </row>
    <row r="237">
      <c r="A237" s="1" t="s">
        <v>477</v>
      </c>
      <c r="B237" s="1">
        <v>31843.0</v>
      </c>
      <c r="C237" s="1">
        <v>677958.0</v>
      </c>
      <c r="K237" s="10" t="s">
        <v>138</v>
      </c>
      <c r="L237" s="10">
        <v>16990.0</v>
      </c>
    </row>
    <row r="238">
      <c r="A238" s="1" t="s">
        <v>554</v>
      </c>
      <c r="B238" s="1">
        <v>21546.0</v>
      </c>
      <c r="C238" s="1">
        <v>663795.0</v>
      </c>
      <c r="K238" s="10" t="s">
        <v>700</v>
      </c>
      <c r="L238" s="10">
        <v>19959.0</v>
      </c>
    </row>
    <row r="239">
      <c r="A239" s="1" t="s">
        <v>492</v>
      </c>
      <c r="B239" s="1">
        <v>29608.0</v>
      </c>
      <c r="C239" s="1">
        <v>671212.0</v>
      </c>
      <c r="K239" s="10" t="s">
        <v>396</v>
      </c>
      <c r="L239" s="10">
        <v>21504.0</v>
      </c>
    </row>
    <row r="240">
      <c r="A240" s="1" t="s">
        <v>255</v>
      </c>
      <c r="B240" s="1">
        <v>33699.0</v>
      </c>
      <c r="C240" s="1">
        <v>688138.0</v>
      </c>
      <c r="K240" s="10" t="s">
        <v>701</v>
      </c>
      <c r="L240" s="10">
        <v>22713.0</v>
      </c>
    </row>
    <row r="241">
      <c r="A241" s="1" t="s">
        <v>141</v>
      </c>
      <c r="B241" s="1">
        <v>19330.0</v>
      </c>
      <c r="C241" s="1">
        <v>670036.0</v>
      </c>
      <c r="K241" s="10" t="s">
        <v>702</v>
      </c>
      <c r="L241" s="10">
        <v>26247.0</v>
      </c>
    </row>
    <row r="242">
      <c r="A242" s="1" t="s">
        <v>703</v>
      </c>
      <c r="B242" s="1">
        <v>27974.0</v>
      </c>
      <c r="C242" s="1">
        <v>691441.0</v>
      </c>
      <c r="K242" s="10" t="s">
        <v>452</v>
      </c>
      <c r="L242" s="10">
        <v>12447.0</v>
      </c>
    </row>
    <row r="243">
      <c r="A243" s="1" t="s">
        <v>167</v>
      </c>
      <c r="B243" s="1">
        <v>27914.0</v>
      </c>
      <c r="C243" s="1">
        <v>694037.0</v>
      </c>
      <c r="K243" s="10" t="s">
        <v>117</v>
      </c>
      <c r="L243" s="10">
        <v>13619.0</v>
      </c>
    </row>
    <row r="244">
      <c r="A244" s="1" t="s">
        <v>337</v>
      </c>
      <c r="B244" s="1">
        <v>29519.0</v>
      </c>
      <c r="C244" s="1">
        <v>700669.0</v>
      </c>
      <c r="K244" s="10" t="s">
        <v>293</v>
      </c>
      <c r="L244" s="10">
        <v>21537.0</v>
      </c>
    </row>
    <row r="245">
      <c r="A245" s="1" t="s">
        <v>376</v>
      </c>
      <c r="B245" s="1">
        <v>30122.0</v>
      </c>
      <c r="C245" s="1">
        <v>668909.0</v>
      </c>
      <c r="K245" s="10" t="s">
        <v>376</v>
      </c>
      <c r="L245" s="10">
        <v>30122.0</v>
      </c>
    </row>
    <row r="246">
      <c r="A246" s="1" t="s">
        <v>186</v>
      </c>
      <c r="B246" s="1">
        <v>18347.0</v>
      </c>
      <c r="C246" s="1">
        <v>663399.0</v>
      </c>
      <c r="K246" s="10" t="s">
        <v>358</v>
      </c>
      <c r="L246" s="10">
        <v>8700.0</v>
      </c>
    </row>
    <row r="247">
      <c r="A247" s="1" t="s">
        <v>521</v>
      </c>
      <c r="B247" s="1">
        <v>27688.0</v>
      </c>
      <c r="C247" s="1">
        <v>686799.0</v>
      </c>
      <c r="K247" s="10" t="s">
        <v>503</v>
      </c>
      <c r="L247" s="10">
        <v>15043.0</v>
      </c>
    </row>
    <row r="248">
      <c r="A248" s="1" t="s">
        <v>351</v>
      </c>
      <c r="B248" s="1">
        <v>27487.0</v>
      </c>
      <c r="C248" s="1">
        <v>689017.0</v>
      </c>
      <c r="K248" s="10" t="s">
        <v>194</v>
      </c>
      <c r="L248" s="10">
        <v>26378.0</v>
      </c>
    </row>
    <row r="249">
      <c r="A249" s="1" t="s">
        <v>358</v>
      </c>
      <c r="B249" s="1">
        <v>8700.0</v>
      </c>
      <c r="C249" s="1">
        <v>434378.0</v>
      </c>
      <c r="K249" s="10" t="s">
        <v>211</v>
      </c>
      <c r="L249" s="10">
        <v>27552.0</v>
      </c>
    </row>
    <row r="250">
      <c r="A250" s="1" t="s">
        <v>185</v>
      </c>
      <c r="B250" s="1">
        <v>17897.0</v>
      </c>
      <c r="C250" s="1">
        <v>664076.0</v>
      </c>
      <c r="K250" s="10" t="s">
        <v>276</v>
      </c>
      <c r="L250" s="10">
        <v>30226.0</v>
      </c>
    </row>
    <row r="251">
      <c r="A251" s="1" t="s">
        <v>102</v>
      </c>
      <c r="B251" s="1">
        <v>21345.0</v>
      </c>
      <c r="C251" s="1">
        <v>656986.0</v>
      </c>
      <c r="K251" s="10" t="s">
        <v>704</v>
      </c>
      <c r="L251" s="10">
        <v>10591.0</v>
      </c>
    </row>
    <row r="252">
      <c r="A252" s="1" t="s">
        <v>489</v>
      </c>
      <c r="B252" s="1">
        <v>17192.0</v>
      </c>
      <c r="C252" s="1">
        <v>656222.0</v>
      </c>
      <c r="K252" s="10" t="s">
        <v>481</v>
      </c>
      <c r="L252" s="10">
        <v>15488.0</v>
      </c>
    </row>
    <row r="253">
      <c r="A253" s="1" t="s">
        <v>241</v>
      </c>
      <c r="B253" s="1">
        <v>19222.0</v>
      </c>
      <c r="C253" s="1">
        <v>669199.0</v>
      </c>
      <c r="K253" s="10" t="s">
        <v>177</v>
      </c>
      <c r="L253" s="10">
        <v>15823.0</v>
      </c>
    </row>
    <row r="254">
      <c r="A254" s="1" t="s">
        <v>248</v>
      </c>
      <c r="B254" s="1">
        <v>6984.0</v>
      </c>
      <c r="C254" s="1">
        <v>472610.0</v>
      </c>
      <c r="K254" s="10" t="s">
        <v>451</v>
      </c>
      <c r="L254" s="10">
        <v>17556.0</v>
      </c>
    </row>
    <row r="255">
      <c r="A255" s="1" t="s">
        <v>262</v>
      </c>
      <c r="B255" s="1">
        <v>20116.0</v>
      </c>
      <c r="C255" s="1">
        <v>676534.0</v>
      </c>
      <c r="K255" s="10" t="s">
        <v>185</v>
      </c>
      <c r="L255" s="10">
        <v>17897.0</v>
      </c>
    </row>
    <row r="256">
      <c r="A256" s="1" t="s">
        <v>444</v>
      </c>
      <c r="B256" s="1">
        <v>24977.0</v>
      </c>
      <c r="C256" s="1">
        <v>681869.0</v>
      </c>
      <c r="K256" s="10" t="s">
        <v>705</v>
      </c>
      <c r="L256" s="10">
        <v>20794.0</v>
      </c>
    </row>
    <row r="257">
      <c r="A257" s="1" t="s">
        <v>493</v>
      </c>
      <c r="B257" s="1">
        <v>16835.0</v>
      </c>
      <c r="C257" s="1">
        <v>657514.0</v>
      </c>
      <c r="K257" s="10" t="s">
        <v>548</v>
      </c>
      <c r="L257" s="10">
        <v>24203.0</v>
      </c>
    </row>
    <row r="258">
      <c r="A258" s="1" t="s">
        <v>346</v>
      </c>
      <c r="B258" s="1">
        <v>18403.0</v>
      </c>
      <c r="C258" s="1">
        <v>660853.0</v>
      </c>
      <c r="K258" s="10" t="s">
        <v>110</v>
      </c>
      <c r="L258" s="10">
        <v>25679.0</v>
      </c>
    </row>
    <row r="259">
      <c r="A259" s="1" t="s">
        <v>706</v>
      </c>
      <c r="B259" s="1">
        <v>27472.0</v>
      </c>
      <c r="C259" s="1">
        <v>694363.0</v>
      </c>
      <c r="K259" s="10" t="s">
        <v>488</v>
      </c>
      <c r="L259" s="10">
        <v>33294.0</v>
      </c>
    </row>
    <row r="260">
      <c r="A260" s="1" t="s">
        <v>134</v>
      </c>
      <c r="B260" s="1">
        <v>20349.0</v>
      </c>
      <c r="C260" s="1">
        <v>677161.0</v>
      </c>
      <c r="K260" s="10" t="s">
        <v>707</v>
      </c>
      <c r="L260" s="10">
        <v>15042.0</v>
      </c>
    </row>
    <row r="261">
      <c r="A261" s="1" t="s">
        <v>600</v>
      </c>
      <c r="B261" s="1">
        <v>22387.0</v>
      </c>
      <c r="C261" s="1">
        <v>670174.0</v>
      </c>
      <c r="K261" s="10" t="s">
        <v>686</v>
      </c>
      <c r="L261" s="10">
        <v>17639.0</v>
      </c>
    </row>
    <row r="262">
      <c r="A262" s="1" t="s">
        <v>221</v>
      </c>
      <c r="B262" s="1">
        <v>22191.0</v>
      </c>
      <c r="C262" s="1">
        <v>668964.0</v>
      </c>
      <c r="K262" s="10" t="s">
        <v>89</v>
      </c>
      <c r="L262" s="10">
        <v>19742.0</v>
      </c>
    </row>
    <row r="263">
      <c r="A263" s="1" t="s">
        <v>116</v>
      </c>
      <c r="B263" s="1">
        <v>20353.0</v>
      </c>
      <c r="C263" s="1">
        <v>621051.0</v>
      </c>
      <c r="K263" s="10" t="s">
        <v>384</v>
      </c>
      <c r="L263" s="10">
        <v>19962.0</v>
      </c>
    </row>
    <row r="264">
      <c r="A264" s="1" t="s">
        <v>306</v>
      </c>
      <c r="B264" s="1">
        <v>27500.0</v>
      </c>
      <c r="C264" s="1">
        <v>677944.0</v>
      </c>
      <c r="K264" s="10" t="s">
        <v>220</v>
      </c>
      <c r="L264" s="10">
        <v>20070.0</v>
      </c>
    </row>
    <row r="265">
      <c r="A265" s="1" t="s">
        <v>266</v>
      </c>
      <c r="B265" s="1">
        <v>31815.0</v>
      </c>
      <c r="C265" s="1">
        <v>806188.0</v>
      </c>
      <c r="K265" s="10" t="s">
        <v>262</v>
      </c>
      <c r="L265" s="10">
        <v>20116.0</v>
      </c>
    </row>
    <row r="266">
      <c r="A266" s="1" t="s">
        <v>204</v>
      </c>
      <c r="B266" s="1">
        <v>22288.0</v>
      </c>
      <c r="C266" s="1">
        <v>669438.0</v>
      </c>
      <c r="K266" s="10" t="s">
        <v>322</v>
      </c>
      <c r="L266" s="10">
        <v>23899.0</v>
      </c>
    </row>
    <row r="267">
      <c r="A267" s="1" t="s">
        <v>661</v>
      </c>
      <c r="B267" s="1">
        <v>16300.0</v>
      </c>
      <c r="C267" s="1">
        <v>622786.0</v>
      </c>
      <c r="K267" s="10" t="s">
        <v>123</v>
      </c>
      <c r="L267" s="10">
        <v>24094.0</v>
      </c>
    </row>
    <row r="268">
      <c r="A268" s="1" t="s">
        <v>562</v>
      </c>
      <c r="B268" s="1">
        <v>27581.0</v>
      </c>
      <c r="C268" s="1">
        <v>669713.0</v>
      </c>
      <c r="K268" s="10" t="s">
        <v>230</v>
      </c>
      <c r="L268" s="10">
        <v>4301.0</v>
      </c>
    </row>
    <row r="269">
      <c r="A269" s="1" t="s">
        <v>708</v>
      </c>
      <c r="B269" s="1">
        <v>20038.0</v>
      </c>
      <c r="C269" s="1">
        <v>670766.0</v>
      </c>
      <c r="K269" s="10" t="s">
        <v>55</v>
      </c>
      <c r="L269" s="10">
        <v>16358.0</v>
      </c>
    </row>
    <row r="270">
      <c r="A270" s="1" t="s">
        <v>709</v>
      </c>
      <c r="B270" s="1">
        <v>23617.0</v>
      </c>
      <c r="C270" s="1">
        <v>677020.0</v>
      </c>
      <c r="K270" s="10" t="s">
        <v>405</v>
      </c>
      <c r="L270" s="10">
        <v>19374.0</v>
      </c>
    </row>
    <row r="271">
      <c r="A271" s="1" t="s">
        <v>459</v>
      </c>
      <c r="B271" s="1">
        <v>19388.0</v>
      </c>
      <c r="C271" s="1">
        <v>664062.0</v>
      </c>
      <c r="K271" s="10" t="s">
        <v>710</v>
      </c>
      <c r="L271" s="10">
        <v>19835.0</v>
      </c>
    </row>
    <row r="272">
      <c r="A272" s="1" t="s">
        <v>426</v>
      </c>
      <c r="B272" s="1">
        <v>20666.0</v>
      </c>
      <c r="C272" s="1">
        <v>642585.0</v>
      </c>
      <c r="K272" s="10" t="s">
        <v>134</v>
      </c>
      <c r="L272" s="10">
        <v>20349.0</v>
      </c>
    </row>
    <row r="273">
      <c r="A273" s="1" t="s">
        <v>711</v>
      </c>
      <c r="B273" s="1">
        <v>6175.0</v>
      </c>
      <c r="C273" s="1">
        <v>544150.0</v>
      </c>
      <c r="K273" s="10" t="s">
        <v>382</v>
      </c>
      <c r="L273" s="10">
        <v>19867.0</v>
      </c>
    </row>
    <row r="274">
      <c r="A274" s="1" t="s">
        <v>693</v>
      </c>
      <c r="B274" s="1">
        <v>27702.0</v>
      </c>
      <c r="C274" s="1">
        <v>687396.0</v>
      </c>
      <c r="K274" s="10" t="s">
        <v>50</v>
      </c>
      <c r="L274" s="10">
        <v>22175.0</v>
      </c>
    </row>
    <row r="275">
      <c r="A275" s="1" t="s">
        <v>293</v>
      </c>
      <c r="B275" s="1">
        <v>21537.0</v>
      </c>
      <c r="C275" s="1">
        <v>663738.0</v>
      </c>
      <c r="K275" s="10" t="s">
        <v>712</v>
      </c>
      <c r="L275" s="10">
        <v>23313.0</v>
      </c>
    </row>
    <row r="276">
      <c r="A276" s="1" t="s">
        <v>242</v>
      </c>
      <c r="B276" s="1">
        <v>22264.0</v>
      </c>
      <c r="C276" s="1">
        <v>669358.0</v>
      </c>
      <c r="K276" s="10" t="s">
        <v>371</v>
      </c>
      <c r="L276" s="10">
        <v>29921.0</v>
      </c>
    </row>
    <row r="277">
      <c r="A277" s="1" t="s">
        <v>439</v>
      </c>
      <c r="B277" s="1">
        <v>11384.0</v>
      </c>
      <c r="C277" s="1">
        <v>592454.0</v>
      </c>
      <c r="K277" s="10" t="s">
        <v>346</v>
      </c>
      <c r="L277" s="10">
        <v>18403.0</v>
      </c>
    </row>
    <row r="278">
      <c r="A278" s="1" t="s">
        <v>270</v>
      </c>
      <c r="B278" s="1">
        <v>18138.0</v>
      </c>
      <c r="C278" s="1">
        <v>664854.0</v>
      </c>
      <c r="K278" s="10" t="s">
        <v>713</v>
      </c>
      <c r="L278" s="10">
        <v>24719.0</v>
      </c>
    </row>
    <row r="279">
      <c r="A279" s="1" t="s">
        <v>318</v>
      </c>
      <c r="B279" s="1">
        <v>20546.0</v>
      </c>
      <c r="C279" s="1">
        <v>681982.0</v>
      </c>
      <c r="K279" s="10" t="s">
        <v>65</v>
      </c>
      <c r="L279" s="10">
        <v>31846.0</v>
      </c>
    </row>
    <row r="280">
      <c r="A280" s="1" t="s">
        <v>254</v>
      </c>
      <c r="B280" s="1">
        <v>25756.0</v>
      </c>
      <c r="C280" s="1">
        <v>666374.0</v>
      </c>
      <c r="K280" s="10" t="s">
        <v>714</v>
      </c>
      <c r="L280" s="10">
        <v>24453.0</v>
      </c>
    </row>
    <row r="281">
      <c r="A281" s="1" t="s">
        <v>294</v>
      </c>
      <c r="B281" s="1">
        <v>19350.0</v>
      </c>
      <c r="C281" s="1">
        <v>665152.0</v>
      </c>
      <c r="K281" s="10" t="s">
        <v>263</v>
      </c>
      <c r="L281" s="10">
        <v>27782.0</v>
      </c>
    </row>
    <row r="282">
      <c r="A282" s="1" t="s">
        <v>208</v>
      </c>
      <c r="B282" s="1">
        <v>16122.0</v>
      </c>
      <c r="C282" s="1">
        <v>605447.0</v>
      </c>
      <c r="K282" s="10" t="s">
        <v>715</v>
      </c>
      <c r="L282" s="10">
        <v>18498.0</v>
      </c>
    </row>
    <row r="283">
      <c r="A283" s="1" t="s">
        <v>233</v>
      </c>
      <c r="B283" s="1">
        <v>16427.0</v>
      </c>
      <c r="C283" s="1">
        <v>656240.0</v>
      </c>
      <c r="K283" s="10" t="s">
        <v>419</v>
      </c>
      <c r="L283" s="10">
        <v>24968.0</v>
      </c>
    </row>
    <row r="284">
      <c r="A284" s="1" t="s">
        <v>199</v>
      </c>
      <c r="B284" s="1">
        <v>17611.0</v>
      </c>
      <c r="C284" s="1">
        <v>664199.0</v>
      </c>
      <c r="K284" s="10" t="s">
        <v>487</v>
      </c>
      <c r="L284" s="10">
        <v>30133.0</v>
      </c>
    </row>
    <row r="285">
      <c r="A285" s="1" t="s">
        <v>160</v>
      </c>
      <c r="B285" s="1">
        <v>29574.0</v>
      </c>
      <c r="C285" s="1">
        <v>695445.0</v>
      </c>
      <c r="K285" s="10" t="s">
        <v>53</v>
      </c>
      <c r="L285" s="10">
        <v>17170.0</v>
      </c>
    </row>
    <row r="286">
      <c r="A286" s="1" t="s">
        <v>302</v>
      </c>
      <c r="B286" s="1">
        <v>24719.0</v>
      </c>
      <c r="C286" s="1">
        <v>681190.0</v>
      </c>
      <c r="K286" s="10" t="s">
        <v>227</v>
      </c>
      <c r="L286" s="10">
        <v>21520.0</v>
      </c>
    </row>
    <row r="287">
      <c r="A287" s="1" t="s">
        <v>507</v>
      </c>
      <c r="B287" s="1">
        <v>27570.0</v>
      </c>
      <c r="C287" s="1">
        <v>669371.0</v>
      </c>
      <c r="K287" s="10" t="s">
        <v>454</v>
      </c>
      <c r="L287" s="10">
        <v>23150.0</v>
      </c>
    </row>
    <row r="288">
      <c r="A288" s="1" t="s">
        <v>716</v>
      </c>
      <c r="B288" s="1">
        <v>17610.0</v>
      </c>
      <c r="C288" s="1">
        <v>663432.0</v>
      </c>
      <c r="K288" s="10" t="s">
        <v>683</v>
      </c>
      <c r="L288" s="10">
        <v>23307.0</v>
      </c>
    </row>
    <row r="289">
      <c r="A289" s="1" t="s">
        <v>161</v>
      </c>
      <c r="B289" s="1">
        <v>30184.0</v>
      </c>
      <c r="C289" s="1">
        <v>702070.0</v>
      </c>
      <c r="K289" s="10" t="s">
        <v>717</v>
      </c>
      <c r="L289" s="10">
        <v>27908.0</v>
      </c>
    </row>
    <row r="290">
      <c r="A290" s="1" t="s">
        <v>399</v>
      </c>
      <c r="B290" s="1">
        <v>12049.0</v>
      </c>
      <c r="C290" s="1">
        <v>543294.0</v>
      </c>
      <c r="K290" s="10" t="s">
        <v>343</v>
      </c>
      <c r="L290" s="10">
        <v>29837.0</v>
      </c>
    </row>
    <row r="291">
      <c r="A291" s="1" t="s">
        <v>212</v>
      </c>
      <c r="B291" s="1">
        <v>31827.0</v>
      </c>
      <c r="C291" s="1">
        <v>805673.0</v>
      </c>
      <c r="K291" s="10" t="s">
        <v>286</v>
      </c>
      <c r="L291" s="10">
        <v>31757.0</v>
      </c>
    </row>
    <row r="292">
      <c r="A292" s="1" t="s">
        <v>718</v>
      </c>
      <c r="B292" s="1">
        <v>29530.0</v>
      </c>
      <c r="C292" s="1">
        <v>686642.0</v>
      </c>
      <c r="K292" s="10" t="s">
        <v>719</v>
      </c>
      <c r="L292" s="10">
        <v>14527.0</v>
      </c>
    </row>
    <row r="293">
      <c r="A293" s="1" t="s">
        <v>326</v>
      </c>
      <c r="B293" s="1">
        <v>12760.0</v>
      </c>
      <c r="C293" s="1">
        <v>606160.0</v>
      </c>
      <c r="K293" s="10" t="s">
        <v>98</v>
      </c>
      <c r="L293" s="10">
        <v>16149.0</v>
      </c>
    </row>
    <row r="294">
      <c r="A294" s="1" t="s">
        <v>720</v>
      </c>
      <c r="B294" s="1">
        <v>31184.0</v>
      </c>
      <c r="C294" s="1">
        <v>692285.0</v>
      </c>
      <c r="K294" s="10" t="s">
        <v>330</v>
      </c>
      <c r="L294" s="10">
        <v>27636.0</v>
      </c>
    </row>
    <row r="295">
      <c r="A295" s="1" t="s">
        <v>227</v>
      </c>
      <c r="B295" s="1">
        <v>21520.0</v>
      </c>
      <c r="C295" s="1">
        <v>663687.0</v>
      </c>
      <c r="K295" s="10" t="s">
        <v>437</v>
      </c>
      <c r="L295" s="10">
        <v>31972.0</v>
      </c>
    </row>
    <row r="296">
      <c r="A296" s="1" t="s">
        <v>721</v>
      </c>
      <c r="B296" s="1">
        <v>20045.0</v>
      </c>
      <c r="C296" s="1">
        <v>674944.0</v>
      </c>
      <c r="K296" s="10" t="s">
        <v>422</v>
      </c>
      <c r="L296" s="10">
        <v>7048.0</v>
      </c>
    </row>
    <row r="297">
      <c r="A297" s="1" t="s">
        <v>165</v>
      </c>
      <c r="B297" s="1">
        <v>31776.0</v>
      </c>
      <c r="C297" s="1">
        <v>689147.0</v>
      </c>
      <c r="K297" s="10" t="s">
        <v>383</v>
      </c>
      <c r="L297" s="10">
        <v>13431.0</v>
      </c>
    </row>
    <row r="298">
      <c r="A298" s="1" t="s">
        <v>722</v>
      </c>
      <c r="B298" s="1">
        <v>19453.0</v>
      </c>
      <c r="C298" s="1">
        <v>641312.0</v>
      </c>
      <c r="K298" s="10" t="s">
        <v>192</v>
      </c>
      <c r="L298" s="10">
        <v>16502.0</v>
      </c>
    </row>
    <row r="299">
      <c r="A299" s="1" t="s">
        <v>93</v>
      </c>
      <c r="B299" s="1">
        <v>26253.0</v>
      </c>
      <c r="C299" s="1">
        <v>669194.0</v>
      </c>
      <c r="K299" s="10" t="s">
        <v>13</v>
      </c>
      <c r="L299" s="10">
        <v>17722.0</v>
      </c>
    </row>
    <row r="300">
      <c r="A300" s="1" t="s">
        <v>630</v>
      </c>
      <c r="B300" s="1">
        <v>12572.0</v>
      </c>
      <c r="C300" s="1">
        <v>595014.0</v>
      </c>
      <c r="K300" s="10" t="s">
        <v>491</v>
      </c>
      <c r="L300" s="10">
        <v>19479.0</v>
      </c>
    </row>
    <row r="301">
      <c r="A301" s="1" t="s">
        <v>556</v>
      </c>
      <c r="B301" s="1">
        <v>30094.0</v>
      </c>
      <c r="C301" s="1">
        <v>696136.0</v>
      </c>
      <c r="K301" s="10" t="s">
        <v>456</v>
      </c>
      <c r="L301" s="10">
        <v>12304.0</v>
      </c>
    </row>
    <row r="302">
      <c r="A302" s="1" t="s">
        <v>478</v>
      </c>
      <c r="B302" s="1">
        <v>17964.0</v>
      </c>
      <c r="C302" s="1">
        <v>656457.0</v>
      </c>
      <c r="K302" s="10" t="s">
        <v>723</v>
      </c>
      <c r="L302" s="10">
        <v>13528.0</v>
      </c>
    </row>
    <row r="303">
      <c r="A303" s="1" t="s">
        <v>449</v>
      </c>
      <c r="B303" s="1">
        <v>31612.0</v>
      </c>
      <c r="C303" s="1">
        <v>687223.0</v>
      </c>
      <c r="K303" s="10" t="s">
        <v>158</v>
      </c>
      <c r="L303" s="10">
        <v>35321.0</v>
      </c>
    </row>
    <row r="304">
      <c r="A304" s="1" t="s">
        <v>568</v>
      </c>
      <c r="B304" s="1">
        <v>25501.0</v>
      </c>
      <c r="C304" s="1">
        <v>687606.0</v>
      </c>
      <c r="K304" s="10" t="s">
        <v>303</v>
      </c>
      <c r="L304" s="10">
        <v>11486.0</v>
      </c>
    </row>
    <row r="305">
      <c r="A305" s="1" t="s">
        <v>24</v>
      </c>
      <c r="B305" s="1">
        <v>27468.0</v>
      </c>
      <c r="C305" s="1">
        <v>672282.0</v>
      </c>
      <c r="K305" s="10" t="s">
        <v>226</v>
      </c>
      <c r="L305" s="10">
        <v>12730.0</v>
      </c>
    </row>
    <row r="306">
      <c r="A306" s="1" t="s">
        <v>223</v>
      </c>
      <c r="B306" s="1">
        <v>29629.0</v>
      </c>
      <c r="C306" s="1">
        <v>694335.0</v>
      </c>
      <c r="K306" s="10" t="s">
        <v>362</v>
      </c>
      <c r="L306" s="10">
        <v>13449.0</v>
      </c>
    </row>
    <row r="307">
      <c r="A307" s="1" t="s">
        <v>195</v>
      </c>
      <c r="B307" s="1">
        <v>19291.0</v>
      </c>
      <c r="C307" s="1">
        <v>668678.0</v>
      </c>
      <c r="K307" s="10" t="s">
        <v>417</v>
      </c>
      <c r="L307" s="10">
        <v>13942.0</v>
      </c>
    </row>
    <row r="308">
      <c r="A308" s="1" t="s">
        <v>668</v>
      </c>
      <c r="B308" s="1">
        <v>3237.0</v>
      </c>
      <c r="C308" s="1">
        <v>519008.0</v>
      </c>
      <c r="K308" s="10" t="s">
        <v>304</v>
      </c>
      <c r="L308" s="10">
        <v>21992.0</v>
      </c>
    </row>
    <row r="309">
      <c r="A309" s="1" t="s">
        <v>284</v>
      </c>
      <c r="B309" s="1">
        <v>33826.0</v>
      </c>
      <c r="C309" s="1">
        <v>673513.0</v>
      </c>
      <c r="K309" s="10" t="s">
        <v>400</v>
      </c>
      <c r="L309" s="10">
        <v>20539.0</v>
      </c>
    </row>
    <row r="310">
      <c r="A310" s="1" t="s">
        <v>707</v>
      </c>
      <c r="B310" s="1">
        <v>15042.0</v>
      </c>
      <c r="C310" s="1">
        <v>641835.0</v>
      </c>
      <c r="K310" s="10" t="s">
        <v>215</v>
      </c>
      <c r="L310" s="10">
        <v>21267.0</v>
      </c>
    </row>
    <row r="311">
      <c r="A311" s="1" t="s">
        <v>462</v>
      </c>
      <c r="B311" s="1">
        <v>13896.0</v>
      </c>
      <c r="C311" s="1">
        <v>623167.0</v>
      </c>
      <c r="K311" s="10" t="s">
        <v>504</v>
      </c>
      <c r="L311" s="10">
        <v>21446.0</v>
      </c>
    </row>
    <row r="312">
      <c r="A312" s="1" t="s">
        <v>385</v>
      </c>
      <c r="B312" s="1">
        <v>25420.0</v>
      </c>
      <c r="C312" s="1">
        <v>666171.0</v>
      </c>
      <c r="K312" s="10" t="s">
        <v>413</v>
      </c>
      <c r="L312" s="10">
        <v>22543.0</v>
      </c>
    </row>
    <row r="313">
      <c r="A313" s="1" t="s">
        <v>340</v>
      </c>
      <c r="B313" s="1">
        <v>25921.0</v>
      </c>
      <c r="C313" s="1">
        <v>668984.0</v>
      </c>
      <c r="K313" s="10" t="s">
        <v>256</v>
      </c>
      <c r="L313" s="10">
        <v>15423.0</v>
      </c>
    </row>
    <row r="314">
      <c r="A314" s="1" t="s">
        <v>724</v>
      </c>
      <c r="B314" s="1">
        <v>15094.0</v>
      </c>
      <c r="C314" s="1">
        <v>642239.0</v>
      </c>
      <c r="K314" s="10" t="s">
        <v>725</v>
      </c>
      <c r="L314" s="10">
        <v>25595.0</v>
      </c>
    </row>
    <row r="315">
      <c r="A315" s="1" t="s">
        <v>432</v>
      </c>
      <c r="B315" s="1">
        <v>26108.0</v>
      </c>
      <c r="C315" s="1">
        <v>669467.0</v>
      </c>
      <c r="K315" s="10" t="s">
        <v>121</v>
      </c>
      <c r="L315" s="10">
        <v>27474.0</v>
      </c>
    </row>
    <row r="316">
      <c r="A316" s="1" t="s">
        <v>389</v>
      </c>
      <c r="B316" s="1">
        <v>25098.0</v>
      </c>
      <c r="C316" s="1">
        <v>682052.0</v>
      </c>
      <c r="K316" s="10" t="s">
        <v>726</v>
      </c>
      <c r="L316" s="10">
        <v>13761.0</v>
      </c>
    </row>
    <row r="317">
      <c r="A317" s="1" t="s">
        <v>653</v>
      </c>
      <c r="B317" s="1">
        <v>17871.0</v>
      </c>
      <c r="C317" s="1">
        <v>664139.0</v>
      </c>
      <c r="K317" s="10" t="s">
        <v>147</v>
      </c>
      <c r="L317" s="10">
        <v>14078.0</v>
      </c>
    </row>
    <row r="318">
      <c r="A318" s="1" t="s">
        <v>612</v>
      </c>
      <c r="B318" s="1">
        <v>29564.0</v>
      </c>
      <c r="C318" s="1">
        <v>687287.0</v>
      </c>
      <c r="K318" s="10" t="s">
        <v>144</v>
      </c>
      <c r="L318" s="10">
        <v>20020.0</v>
      </c>
    </row>
    <row r="319">
      <c r="A319" s="1" t="s">
        <v>727</v>
      </c>
      <c r="B319" s="1">
        <v>25703.0</v>
      </c>
      <c r="C319" s="1">
        <v>687849.0</v>
      </c>
      <c r="K319" s="10" t="s">
        <v>398</v>
      </c>
      <c r="L319" s="10">
        <v>23335.0</v>
      </c>
    </row>
    <row r="320">
      <c r="A320" s="1" t="s">
        <v>371</v>
      </c>
      <c r="B320" s="1">
        <v>29921.0</v>
      </c>
      <c r="C320" s="1">
        <v>681293.0</v>
      </c>
      <c r="K320" s="10" t="s">
        <v>308</v>
      </c>
      <c r="L320" s="10">
        <v>30134.0</v>
      </c>
    </row>
    <row r="321">
      <c r="A321" s="1" t="s">
        <v>728</v>
      </c>
      <c r="B321" s="1">
        <v>30250.0</v>
      </c>
      <c r="C321" s="1">
        <v>677955.0</v>
      </c>
      <c r="K321" s="10" t="s">
        <v>291</v>
      </c>
      <c r="L321" s="10">
        <v>17968.0</v>
      </c>
    </row>
    <row r="322">
      <c r="A322" s="1" t="s">
        <v>240</v>
      </c>
      <c r="B322" s="1">
        <v>19804.0</v>
      </c>
      <c r="C322" s="1">
        <v>641329.0</v>
      </c>
      <c r="K322" s="10" t="s">
        <v>335</v>
      </c>
      <c r="L322" s="10">
        <v>21448.0</v>
      </c>
    </row>
    <row r="323">
      <c r="A323" s="1" t="s">
        <v>99</v>
      </c>
      <c r="B323" s="1">
        <v>11674.0</v>
      </c>
      <c r="C323" s="1">
        <v>592791.0</v>
      </c>
      <c r="K323" s="10" t="s">
        <v>385</v>
      </c>
      <c r="L323" s="10">
        <v>25420.0</v>
      </c>
    </row>
    <row r="324">
      <c r="A324" s="1" t="s">
        <v>729</v>
      </c>
      <c r="B324" s="1">
        <v>23443.0</v>
      </c>
      <c r="C324" s="1">
        <v>676680.0</v>
      </c>
      <c r="K324" s="10" t="s">
        <v>521</v>
      </c>
      <c r="L324" s="10">
        <v>27688.0</v>
      </c>
    </row>
    <row r="325">
      <c r="A325" s="1" t="s">
        <v>288</v>
      </c>
      <c r="B325" s="1">
        <v>18297.0</v>
      </c>
      <c r="C325" s="1">
        <v>641755.0</v>
      </c>
      <c r="K325" s="10" t="s">
        <v>718</v>
      </c>
      <c r="L325" s="10">
        <v>29530.0</v>
      </c>
    </row>
    <row r="326">
      <c r="A326" s="1" t="s">
        <v>388</v>
      </c>
      <c r="B326" s="1">
        <v>26413.0</v>
      </c>
      <c r="C326" s="1">
        <v>687863.0</v>
      </c>
      <c r="K326" s="10" t="s">
        <v>83</v>
      </c>
      <c r="L326" s="10">
        <v>13361.0</v>
      </c>
    </row>
    <row r="327">
      <c r="A327" s="1" t="s">
        <v>157</v>
      </c>
      <c r="B327" s="1">
        <v>20997.0</v>
      </c>
      <c r="C327" s="1">
        <v>660825.0</v>
      </c>
      <c r="K327" s="10" t="s">
        <v>173</v>
      </c>
      <c r="L327" s="10">
        <v>21224.0</v>
      </c>
    </row>
    <row r="328">
      <c r="A328" s="1" t="s">
        <v>730</v>
      </c>
      <c r="B328" s="1">
        <v>10058.0</v>
      </c>
      <c r="C328" s="1">
        <v>554431.0</v>
      </c>
      <c r="K328" s="10" t="s">
        <v>616</v>
      </c>
      <c r="L328" s="10">
        <v>23798.0</v>
      </c>
    </row>
    <row r="329">
      <c r="A329" s="1" t="s">
        <v>231</v>
      </c>
      <c r="B329" s="1">
        <v>19362.0</v>
      </c>
      <c r="C329" s="1">
        <v>669211.0</v>
      </c>
      <c r="K329" s="10" t="s">
        <v>432</v>
      </c>
      <c r="L329" s="10">
        <v>26108.0</v>
      </c>
    </row>
    <row r="330">
      <c r="A330" s="1" t="s">
        <v>731</v>
      </c>
      <c r="B330" s="1">
        <v>16094.0</v>
      </c>
      <c r="C330" s="1">
        <v>605507.0</v>
      </c>
      <c r="K330" s="10" t="s">
        <v>57</v>
      </c>
      <c r="L330" s="10">
        <v>10954.0</v>
      </c>
    </row>
    <row r="331">
      <c r="A331" s="1" t="s">
        <v>732</v>
      </c>
      <c r="B331" s="1">
        <v>21922.0</v>
      </c>
      <c r="C331" s="1">
        <v>666659.0</v>
      </c>
      <c r="K331" s="10" t="s">
        <v>152</v>
      </c>
      <c r="L331" s="10">
        <v>30160.0</v>
      </c>
    </row>
    <row r="332">
      <c r="A332" s="1" t="s">
        <v>733</v>
      </c>
      <c r="B332" s="1">
        <v>27753.0</v>
      </c>
      <c r="C332" s="1">
        <v>690544.0</v>
      </c>
      <c r="K332" s="10" t="s">
        <v>313</v>
      </c>
      <c r="L332" s="10">
        <v>12317.0</v>
      </c>
    </row>
    <row r="333">
      <c r="A333" s="1" t="s">
        <v>734</v>
      </c>
      <c r="B333" s="1">
        <v>24995.0</v>
      </c>
      <c r="C333" s="1">
        <v>681895.0</v>
      </c>
      <c r="K333" s="10" t="s">
        <v>368</v>
      </c>
      <c r="L333" s="10">
        <v>13164.0</v>
      </c>
    </row>
    <row r="334">
      <c r="A334" s="1" t="s">
        <v>224</v>
      </c>
      <c r="B334" s="1">
        <v>29863.0</v>
      </c>
      <c r="C334" s="1">
        <v>686701.0</v>
      </c>
      <c r="K334" s="10" t="s">
        <v>246</v>
      </c>
      <c r="L334" s="10">
        <v>15440.0</v>
      </c>
    </row>
    <row r="335">
      <c r="A335" s="1" t="s">
        <v>171</v>
      </c>
      <c r="B335" s="1">
        <v>21690.0</v>
      </c>
      <c r="C335" s="1">
        <v>665795.0</v>
      </c>
      <c r="K335" s="10" t="s">
        <v>735</v>
      </c>
      <c r="L335" s="10">
        <v>19343.0</v>
      </c>
    </row>
    <row r="336">
      <c r="A336" s="1" t="s">
        <v>736</v>
      </c>
      <c r="B336" s="1">
        <v>19586.0</v>
      </c>
      <c r="C336" s="1">
        <v>666215.0</v>
      </c>
      <c r="K336" s="10" t="s">
        <v>251</v>
      </c>
      <c r="L336" s="10">
        <v>23429.0</v>
      </c>
    </row>
    <row r="337">
      <c r="A337" s="1" t="s">
        <v>305</v>
      </c>
      <c r="B337" s="1">
        <v>22200.0</v>
      </c>
      <c r="C337" s="1">
        <v>669020.0</v>
      </c>
      <c r="K337" s="10" t="s">
        <v>90</v>
      </c>
      <c r="L337" s="10">
        <v>30279.0</v>
      </c>
    </row>
    <row r="338">
      <c r="A338" s="1" t="s">
        <v>69</v>
      </c>
      <c r="B338" s="1">
        <v>16814.0</v>
      </c>
      <c r="C338" s="1">
        <v>657612.0</v>
      </c>
      <c r="K338" s="10" t="s">
        <v>109</v>
      </c>
      <c r="L338" s="10">
        <v>15454.0</v>
      </c>
    </row>
    <row r="339">
      <c r="A339" s="1" t="s">
        <v>159</v>
      </c>
      <c r="B339" s="1">
        <v>13543.0</v>
      </c>
      <c r="C339" s="1">
        <v>605483.0</v>
      </c>
      <c r="K339" s="10" t="s">
        <v>737</v>
      </c>
      <c r="L339" s="10">
        <v>19911.0</v>
      </c>
    </row>
    <row r="340">
      <c r="A340" s="1" t="s">
        <v>666</v>
      </c>
      <c r="B340" s="1">
        <v>12777.0</v>
      </c>
      <c r="C340" s="1">
        <v>605154.0</v>
      </c>
      <c r="K340" s="10" t="s">
        <v>516</v>
      </c>
      <c r="L340" s="10">
        <v>29960.0</v>
      </c>
    </row>
    <row r="341">
      <c r="A341" s="1" t="s">
        <v>359</v>
      </c>
      <c r="B341" s="1">
        <v>20061.0</v>
      </c>
      <c r="C341" s="1">
        <v>672391.0</v>
      </c>
      <c r="K341" s="10" t="s">
        <v>738</v>
      </c>
      <c r="L341" s="10">
        <v>6902.0</v>
      </c>
    </row>
    <row r="342">
      <c r="A342" s="1" t="s">
        <v>739</v>
      </c>
      <c r="B342" s="1">
        <v>19695.0</v>
      </c>
      <c r="C342" s="1">
        <v>657756.0</v>
      </c>
      <c r="K342" s="10" t="s">
        <v>740</v>
      </c>
      <c r="L342" s="10">
        <v>17338.0</v>
      </c>
    </row>
    <row r="343">
      <c r="A343" s="1" t="s">
        <v>547</v>
      </c>
      <c r="B343" s="1">
        <v>19753.0</v>
      </c>
      <c r="C343" s="1">
        <v>642528.0</v>
      </c>
      <c r="K343" s="10" t="s">
        <v>708</v>
      </c>
      <c r="L343" s="10">
        <v>20038.0</v>
      </c>
    </row>
    <row r="344">
      <c r="A344" s="1" t="s">
        <v>463</v>
      </c>
      <c r="B344" s="1">
        <v>21544.0</v>
      </c>
      <c r="C344" s="1">
        <v>663767.0</v>
      </c>
      <c r="K344" s="10" t="s">
        <v>133</v>
      </c>
      <c r="L344" s="10">
        <v>20099.0</v>
      </c>
    </row>
    <row r="345">
      <c r="A345" s="1" t="s">
        <v>202</v>
      </c>
      <c r="B345" s="1">
        <v>23796.0</v>
      </c>
      <c r="C345" s="1">
        <v>677960.0</v>
      </c>
      <c r="K345" s="10" t="s">
        <v>367</v>
      </c>
      <c r="L345" s="10">
        <v>27668.0</v>
      </c>
    </row>
    <row r="346">
      <c r="A346" s="1" t="s">
        <v>741</v>
      </c>
      <c r="B346" s="1">
        <v>19315.0</v>
      </c>
      <c r="C346" s="1">
        <v>640454.0</v>
      </c>
      <c r="K346" s="10" t="s">
        <v>497</v>
      </c>
      <c r="L346" s="10">
        <v>30105.0</v>
      </c>
    </row>
    <row r="347">
      <c r="A347" s="1" t="s">
        <v>742</v>
      </c>
      <c r="B347" s="1">
        <v>12763.0</v>
      </c>
      <c r="C347" s="1">
        <v>606965.0</v>
      </c>
      <c r="K347" s="10" t="s">
        <v>318</v>
      </c>
      <c r="L347" s="10">
        <v>20546.0</v>
      </c>
    </row>
    <row r="348">
      <c r="A348" s="1" t="s">
        <v>743</v>
      </c>
      <c r="B348" s="1">
        <v>16929.0</v>
      </c>
      <c r="C348" s="1">
        <v>657053.0</v>
      </c>
      <c r="K348" s="10" t="s">
        <v>744</v>
      </c>
      <c r="L348" s="10">
        <v>20962.0</v>
      </c>
    </row>
    <row r="349">
      <c r="A349" s="1" t="s">
        <v>622</v>
      </c>
      <c r="B349" s="1">
        <v>23875.0</v>
      </c>
      <c r="C349" s="1">
        <v>678316.0</v>
      </c>
      <c r="K349" s="10" t="s">
        <v>163</v>
      </c>
      <c r="L349" s="10">
        <v>21455.0</v>
      </c>
    </row>
    <row r="350">
      <c r="A350" s="1" t="s">
        <v>745</v>
      </c>
      <c r="B350" s="1">
        <v>12056.0</v>
      </c>
      <c r="C350" s="1">
        <v>543518.0</v>
      </c>
      <c r="K350" s="10" t="s">
        <v>415</v>
      </c>
      <c r="L350" s="10">
        <v>16943.0</v>
      </c>
    </row>
    <row r="351">
      <c r="A351" s="1" t="s">
        <v>502</v>
      </c>
      <c r="B351" s="1">
        <v>22113.0</v>
      </c>
      <c r="C351" s="1">
        <v>668390.0</v>
      </c>
      <c r="K351" s="10" t="s">
        <v>563</v>
      </c>
      <c r="L351" s="10">
        <v>24975.0</v>
      </c>
    </row>
    <row r="352">
      <c r="A352" s="1" t="s">
        <v>487</v>
      </c>
      <c r="B352" s="1">
        <v>30133.0</v>
      </c>
      <c r="C352" s="1">
        <v>676428.0</v>
      </c>
      <c r="K352" s="10" t="s">
        <v>347</v>
      </c>
      <c r="L352" s="10">
        <v>30055.0</v>
      </c>
    </row>
    <row r="353">
      <c r="A353" s="1" t="s">
        <v>584</v>
      </c>
      <c r="B353" s="1">
        <v>17312.0</v>
      </c>
      <c r="C353" s="1">
        <v>657006.0</v>
      </c>
      <c r="K353" s="10" t="s">
        <v>746</v>
      </c>
      <c r="L353" s="10">
        <v>15038.0</v>
      </c>
    </row>
    <row r="354">
      <c r="A354" s="1" t="s">
        <v>665</v>
      </c>
      <c r="B354" s="1">
        <v>31261.0</v>
      </c>
      <c r="C354" s="1">
        <v>688297.0</v>
      </c>
      <c r="K354" s="10" t="s">
        <v>747</v>
      </c>
      <c r="L354" s="10">
        <v>20778.0</v>
      </c>
    </row>
    <row r="355">
      <c r="A355" s="1" t="s">
        <v>748</v>
      </c>
      <c r="B355" s="1">
        <v>15369.0</v>
      </c>
      <c r="C355" s="1">
        <v>643361.0</v>
      </c>
      <c r="K355" s="10" t="s">
        <v>466</v>
      </c>
      <c r="L355" s="10">
        <v>26419.0</v>
      </c>
    </row>
    <row r="356">
      <c r="A356" s="1" t="s">
        <v>749</v>
      </c>
      <c r="B356" s="1">
        <v>23265.0</v>
      </c>
      <c r="C356" s="1">
        <v>675989.0</v>
      </c>
      <c r="K356" s="10" t="s">
        <v>750</v>
      </c>
      <c r="L356" s="10">
        <v>23733.0</v>
      </c>
    </row>
    <row r="357">
      <c r="A357" s="1" t="s">
        <v>751</v>
      </c>
      <c r="B357" s="1">
        <v>13723.0</v>
      </c>
      <c r="C357" s="1">
        <v>607732.0</v>
      </c>
      <c r="K357" s="10" t="s">
        <v>353</v>
      </c>
      <c r="L357" s="10">
        <v>25377.0</v>
      </c>
    </row>
    <row r="358">
      <c r="A358" s="1" t="s">
        <v>236</v>
      </c>
      <c r="B358" s="1">
        <v>24607.0</v>
      </c>
      <c r="C358" s="1">
        <v>680742.0</v>
      </c>
      <c r="K358" s="10" t="s">
        <v>477</v>
      </c>
      <c r="L358" s="10">
        <v>31843.0</v>
      </c>
    </row>
    <row r="359">
      <c r="A359" s="1" t="s">
        <v>752</v>
      </c>
      <c r="B359" s="1">
        <v>20827.0</v>
      </c>
      <c r="C359" s="1">
        <v>656848.0</v>
      </c>
      <c r="K359" s="10" t="s">
        <v>464</v>
      </c>
      <c r="L359" s="10">
        <v>19312.0</v>
      </c>
    </row>
    <row r="360">
      <c r="A360" s="1" t="s">
        <v>309</v>
      </c>
      <c r="B360" s="1">
        <v>21420.0</v>
      </c>
      <c r="C360" s="1">
        <v>660787.0</v>
      </c>
      <c r="K360" s="10" t="s">
        <v>307</v>
      </c>
      <c r="L360" s="10">
        <v>20302.0</v>
      </c>
    </row>
    <row r="361">
      <c r="A361" s="1" t="s">
        <v>753</v>
      </c>
      <c r="B361" s="1">
        <v>26030.0</v>
      </c>
      <c r="C361" s="1">
        <v>687074.0</v>
      </c>
      <c r="K361" s="10" t="s">
        <v>754</v>
      </c>
      <c r="L361" s="10">
        <v>23811.0</v>
      </c>
    </row>
    <row r="362">
      <c r="A362" s="1" t="s">
        <v>755</v>
      </c>
      <c r="B362" s="1">
        <v>20298.0</v>
      </c>
      <c r="C362" s="1">
        <v>646242.0</v>
      </c>
      <c r="K362" s="10" t="s">
        <v>204</v>
      </c>
      <c r="L362" s="10">
        <v>22288.0</v>
      </c>
    </row>
    <row r="363">
      <c r="A363" s="1" t="s">
        <v>710</v>
      </c>
      <c r="B363" s="1">
        <v>19835.0</v>
      </c>
      <c r="C363" s="1">
        <v>642520.0</v>
      </c>
      <c r="K363" s="10" t="s">
        <v>97</v>
      </c>
      <c r="L363" s="10">
        <v>25385.0</v>
      </c>
    </row>
    <row r="364">
      <c r="A364" s="1" t="s">
        <v>756</v>
      </c>
      <c r="B364" s="1">
        <v>25474.0</v>
      </c>
      <c r="C364" s="1">
        <v>686249.0</v>
      </c>
      <c r="K364" s="10" t="s">
        <v>267</v>
      </c>
      <c r="L364" s="10">
        <v>27572.0</v>
      </c>
    </row>
    <row r="365">
      <c r="A365" s="1" t="s">
        <v>757</v>
      </c>
      <c r="B365" s="1">
        <v>3548.0</v>
      </c>
      <c r="C365" s="1">
        <v>521230.0</v>
      </c>
      <c r="K365" s="10" t="s">
        <v>480</v>
      </c>
      <c r="L365" s="10">
        <v>18383.0</v>
      </c>
    </row>
    <row r="366">
      <c r="A366" s="1" t="s">
        <v>517</v>
      </c>
      <c r="B366" s="1">
        <v>26952.0</v>
      </c>
      <c r="C366" s="1">
        <v>683627.0</v>
      </c>
      <c r="K366" s="10" t="s">
        <v>428</v>
      </c>
      <c r="L366" s="10">
        <v>20548.0</v>
      </c>
    </row>
    <row r="367">
      <c r="A367" s="1" t="s">
        <v>758</v>
      </c>
      <c r="B367" s="1">
        <v>26191.0</v>
      </c>
      <c r="C367" s="1">
        <v>669704.0</v>
      </c>
      <c r="K367" s="10" t="s">
        <v>287</v>
      </c>
      <c r="L367" s="10">
        <v>9803.0</v>
      </c>
    </row>
    <row r="368">
      <c r="A368" s="1" t="s">
        <v>759</v>
      </c>
      <c r="B368" s="1">
        <v>10472.0</v>
      </c>
      <c r="C368" s="1">
        <v>571771.0</v>
      </c>
      <c r="K368" s="10" t="s">
        <v>278</v>
      </c>
      <c r="L368" s="10">
        <v>12880.0</v>
      </c>
    </row>
    <row r="369">
      <c r="A369" s="1" t="s">
        <v>505</v>
      </c>
      <c r="B369" s="1">
        <v>19481.0</v>
      </c>
      <c r="C369" s="1">
        <v>621053.0</v>
      </c>
      <c r="K369" s="10" t="s">
        <v>24</v>
      </c>
      <c r="L369" s="10">
        <v>27468.0</v>
      </c>
    </row>
    <row r="370">
      <c r="A370" s="1" t="s">
        <v>243</v>
      </c>
      <c r="B370" s="1">
        <v>31318.0</v>
      </c>
      <c r="C370" s="1">
        <v>680684.0</v>
      </c>
      <c r="K370" s="10" t="s">
        <v>760</v>
      </c>
      <c r="L370" s="10">
        <v>31751.0</v>
      </c>
    </row>
    <row r="371">
      <c r="A371" s="1" t="s">
        <v>761</v>
      </c>
      <c r="B371" s="1">
        <v>27765.0</v>
      </c>
      <c r="C371" s="1">
        <v>691172.0</v>
      </c>
      <c r="K371" s="10" t="s">
        <v>326</v>
      </c>
      <c r="L371" s="10">
        <v>12760.0</v>
      </c>
    </row>
    <row r="372">
      <c r="A372" s="1" t="s">
        <v>717</v>
      </c>
      <c r="B372" s="1">
        <v>27908.0</v>
      </c>
      <c r="C372" s="1">
        <v>668716.0</v>
      </c>
      <c r="K372" s="10" t="s">
        <v>314</v>
      </c>
      <c r="L372" s="10">
        <v>19407.0</v>
      </c>
    </row>
    <row r="373">
      <c r="A373" s="1" t="s">
        <v>726</v>
      </c>
      <c r="B373" s="1">
        <v>13761.0</v>
      </c>
      <c r="C373" s="1">
        <v>608717.0</v>
      </c>
      <c r="K373" s="10" t="s">
        <v>445</v>
      </c>
      <c r="L373" s="10">
        <v>19618.0</v>
      </c>
    </row>
    <row r="374">
      <c r="A374" s="1" t="s">
        <v>762</v>
      </c>
      <c r="B374" s="1">
        <v>16074.0</v>
      </c>
      <c r="C374" s="1">
        <v>595897.0</v>
      </c>
      <c r="K374" s="10" t="s">
        <v>228</v>
      </c>
      <c r="L374" s="10">
        <v>26440.0</v>
      </c>
    </row>
    <row r="375">
      <c r="A375" s="1" t="s">
        <v>763</v>
      </c>
      <c r="B375" s="1">
        <v>15514.0</v>
      </c>
      <c r="C375" s="1">
        <v>608665.0</v>
      </c>
      <c r="K375" s="10" t="s">
        <v>509</v>
      </c>
      <c r="L375" s="10">
        <v>27470.0</v>
      </c>
    </row>
    <row r="376">
      <c r="A376" s="1" t="s">
        <v>127</v>
      </c>
      <c r="B376" s="1">
        <v>27707.0</v>
      </c>
      <c r="C376" s="1">
        <v>687765.0</v>
      </c>
      <c r="K376" s="10" t="s">
        <v>377</v>
      </c>
      <c r="L376" s="10">
        <v>30203.0</v>
      </c>
    </row>
    <row r="377">
      <c r="A377" s="1" t="s">
        <v>764</v>
      </c>
      <c r="B377" s="1">
        <v>15684.0</v>
      </c>
      <c r="C377" s="1">
        <v>612434.0</v>
      </c>
      <c r="K377" s="10" t="s">
        <v>765</v>
      </c>
      <c r="L377" s="10">
        <v>18000.0</v>
      </c>
    </row>
    <row r="378">
      <c r="A378" s="1" t="s">
        <v>766</v>
      </c>
      <c r="B378" s="1">
        <v>20056.0</v>
      </c>
      <c r="C378" s="1">
        <v>676701.0</v>
      </c>
      <c r="K378" s="10" t="s">
        <v>271</v>
      </c>
      <c r="L378" s="10">
        <v>19646.0</v>
      </c>
    </row>
    <row r="379">
      <c r="A379" s="1" t="s">
        <v>767</v>
      </c>
      <c r="B379" s="1">
        <v>23296.0</v>
      </c>
      <c r="C379" s="1">
        <v>676070.0</v>
      </c>
      <c r="K379" s="10" t="s">
        <v>484</v>
      </c>
      <c r="L379" s="10">
        <v>27646.0</v>
      </c>
    </row>
    <row r="380">
      <c r="A380" s="1" t="s">
        <v>596</v>
      </c>
      <c r="B380" s="1">
        <v>26285.0</v>
      </c>
      <c r="C380" s="1">
        <v>674072.0</v>
      </c>
      <c r="K380" s="10" t="s">
        <v>768</v>
      </c>
      <c r="L380" s="10">
        <v>19802.0</v>
      </c>
    </row>
    <row r="381">
      <c r="A381" s="1" t="s">
        <v>750</v>
      </c>
      <c r="B381" s="1">
        <v>23733.0</v>
      </c>
      <c r="C381" s="1">
        <v>677649.0</v>
      </c>
      <c r="K381" s="10" t="s">
        <v>619</v>
      </c>
      <c r="L381" s="10">
        <v>26257.0</v>
      </c>
    </row>
    <row r="382">
      <c r="A382" s="1" t="s">
        <v>689</v>
      </c>
      <c r="B382" s="1">
        <v>15194.0</v>
      </c>
      <c r="C382" s="1">
        <v>641343.0</v>
      </c>
      <c r="K382" s="10" t="s">
        <v>620</v>
      </c>
      <c r="L382" s="10">
        <v>5448.0</v>
      </c>
    </row>
    <row r="383">
      <c r="A383" s="1" t="s">
        <v>740</v>
      </c>
      <c r="B383" s="1">
        <v>17338.0</v>
      </c>
      <c r="C383" s="1">
        <v>650489.0</v>
      </c>
      <c r="K383" s="10" t="s">
        <v>421</v>
      </c>
      <c r="L383" s="10">
        <v>14374.0</v>
      </c>
    </row>
    <row r="384">
      <c r="A384" s="1" t="s">
        <v>769</v>
      </c>
      <c r="B384" s="1">
        <v>6576.0</v>
      </c>
      <c r="C384" s="1">
        <v>476594.0</v>
      </c>
      <c r="K384" s="10" t="s">
        <v>184</v>
      </c>
      <c r="L384" s="10">
        <v>17130.0</v>
      </c>
    </row>
    <row r="385">
      <c r="A385" s="1" t="s">
        <v>770</v>
      </c>
      <c r="B385" s="1">
        <v>27653.0</v>
      </c>
      <c r="C385" s="1">
        <v>683766.0</v>
      </c>
      <c r="K385" s="10" t="s">
        <v>579</v>
      </c>
      <c r="L385" s="10">
        <v>27685.0</v>
      </c>
    </row>
    <row r="386">
      <c r="A386" s="1" t="s">
        <v>579</v>
      </c>
      <c r="B386" s="1">
        <v>27685.0</v>
      </c>
      <c r="C386" s="1">
        <v>686730.0</v>
      </c>
      <c r="K386" s="10" t="s">
        <v>461</v>
      </c>
      <c r="L386" s="10">
        <v>31838.0</v>
      </c>
    </row>
    <row r="387">
      <c r="A387" s="1" t="s">
        <v>615</v>
      </c>
      <c r="B387" s="1">
        <v>20638.0</v>
      </c>
      <c r="C387" s="1">
        <v>622379.0</v>
      </c>
      <c r="K387" s="10" t="s">
        <v>242</v>
      </c>
      <c r="L387" s="10">
        <v>22264.0</v>
      </c>
    </row>
    <row r="388">
      <c r="A388" s="1" t="s">
        <v>360</v>
      </c>
      <c r="B388" s="1">
        <v>12972.0</v>
      </c>
      <c r="C388" s="1">
        <v>605452.0</v>
      </c>
      <c r="K388" s="10" t="s">
        <v>618</v>
      </c>
      <c r="L388" s="10">
        <v>31989.0</v>
      </c>
    </row>
    <row r="389">
      <c r="A389" s="1" t="s">
        <v>771</v>
      </c>
      <c r="B389" s="1">
        <v>29521.0</v>
      </c>
      <c r="C389" s="1">
        <v>702795.0</v>
      </c>
      <c r="K389" s="10" t="s">
        <v>772</v>
      </c>
      <c r="L389" s="10">
        <v>1247.0</v>
      </c>
    </row>
    <row r="390">
      <c r="A390" s="1" t="s">
        <v>629</v>
      </c>
      <c r="B390" s="1">
        <v>5615.0</v>
      </c>
      <c r="C390" s="1">
        <v>518489.0</v>
      </c>
      <c r="K390" s="10" t="s">
        <v>431</v>
      </c>
      <c r="L390" s="10">
        <v>19361.0</v>
      </c>
    </row>
    <row r="391">
      <c r="A391" s="1" t="s">
        <v>773</v>
      </c>
      <c r="B391" s="1">
        <v>24937.0</v>
      </c>
      <c r="C391" s="1">
        <v>681810.0</v>
      </c>
      <c r="K391" s="10" t="s">
        <v>344</v>
      </c>
      <c r="L391" s="10">
        <v>30182.0</v>
      </c>
    </row>
    <row r="392">
      <c r="A392" s="1" t="s">
        <v>472</v>
      </c>
      <c r="B392" s="1">
        <v>27498.0</v>
      </c>
      <c r="C392" s="1">
        <v>675911.0</v>
      </c>
      <c r="K392" s="10" t="s">
        <v>148</v>
      </c>
      <c r="L392" s="10">
        <v>16977.0</v>
      </c>
    </row>
    <row r="393">
      <c r="A393" s="1" t="s">
        <v>349</v>
      </c>
      <c r="B393" s="1">
        <v>19736.0</v>
      </c>
      <c r="C393" s="1">
        <v>676961.0</v>
      </c>
      <c r="K393" s="10" t="s">
        <v>142</v>
      </c>
      <c r="L393" s="10">
        <v>31553.0</v>
      </c>
    </row>
    <row r="394">
      <c r="A394" s="1" t="s">
        <v>384</v>
      </c>
      <c r="B394" s="1">
        <v>19962.0</v>
      </c>
      <c r="C394" s="1">
        <v>666214.0</v>
      </c>
      <c r="K394" s="10" t="s">
        <v>490</v>
      </c>
      <c r="L394" s="10">
        <v>24494.0</v>
      </c>
    </row>
    <row r="395">
      <c r="A395" s="1" t="s">
        <v>586</v>
      </c>
      <c r="B395" s="1">
        <v>27582.0</v>
      </c>
      <c r="C395" s="1">
        <v>669721.0</v>
      </c>
      <c r="K395" s="10" t="s">
        <v>470</v>
      </c>
      <c r="L395" s="10">
        <v>31687.0</v>
      </c>
    </row>
    <row r="396">
      <c r="A396" s="1" t="s">
        <v>774</v>
      </c>
      <c r="B396" s="1">
        <v>12976.0</v>
      </c>
      <c r="C396" s="1">
        <v>595978.0</v>
      </c>
      <c r="K396" s="10" t="s">
        <v>420</v>
      </c>
      <c r="L396" s="10">
        <v>14843.0</v>
      </c>
    </row>
    <row r="397">
      <c r="A397" s="1" t="s">
        <v>191</v>
      </c>
      <c r="B397" s="1">
        <v>27819.0</v>
      </c>
      <c r="C397" s="1">
        <v>687064.0</v>
      </c>
      <c r="K397" s="10" t="s">
        <v>279</v>
      </c>
      <c r="L397" s="10">
        <v>25327.0</v>
      </c>
    </row>
    <row r="398">
      <c r="A398" s="1" t="s">
        <v>216</v>
      </c>
      <c r="B398" s="1">
        <v>13774.0</v>
      </c>
      <c r="C398" s="1">
        <v>621107.0</v>
      </c>
      <c r="K398" s="10" t="s">
        <v>399</v>
      </c>
      <c r="L398" s="10">
        <v>12049.0</v>
      </c>
    </row>
    <row r="399">
      <c r="A399" s="1" t="s">
        <v>333</v>
      </c>
      <c r="B399" s="1">
        <v>24993.0</v>
      </c>
      <c r="C399" s="1">
        <v>681892.0</v>
      </c>
      <c r="K399" s="10" t="s">
        <v>775</v>
      </c>
      <c r="L399" s="10">
        <v>19951.0</v>
      </c>
    </row>
    <row r="400">
      <c r="A400" s="1" t="s">
        <v>506</v>
      </c>
      <c r="B400" s="1">
        <v>12988.0</v>
      </c>
      <c r="C400" s="1">
        <v>605177.0</v>
      </c>
      <c r="K400" s="10" t="s">
        <v>290</v>
      </c>
      <c r="L400" s="10">
        <v>22294.0</v>
      </c>
    </row>
    <row r="401">
      <c r="A401" s="1" t="s">
        <v>776</v>
      </c>
      <c r="B401" s="1">
        <v>10200.0</v>
      </c>
      <c r="C401" s="1">
        <v>571466.0</v>
      </c>
      <c r="K401" s="10" t="s">
        <v>562</v>
      </c>
      <c r="L401" s="10">
        <v>27581.0</v>
      </c>
    </row>
    <row r="402">
      <c r="A402" s="1" t="s">
        <v>723</v>
      </c>
      <c r="B402" s="1">
        <v>13528.0</v>
      </c>
      <c r="C402" s="1">
        <v>621199.0</v>
      </c>
      <c r="K402" s="10" t="s">
        <v>777</v>
      </c>
      <c r="L402" s="10">
        <v>20298.0</v>
      </c>
    </row>
    <row r="403">
      <c r="A403" s="1" t="s">
        <v>637</v>
      </c>
      <c r="B403" s="1">
        <v>12323.0</v>
      </c>
      <c r="C403" s="1">
        <v>606930.0</v>
      </c>
      <c r="K403" s="10" t="s">
        <v>125</v>
      </c>
      <c r="L403" s="10">
        <v>20492.0</v>
      </c>
    </row>
    <row r="404">
      <c r="A404" s="1" t="s">
        <v>592</v>
      </c>
      <c r="B404" s="1">
        <v>31533.0</v>
      </c>
      <c r="C404" s="1">
        <v>682989.0</v>
      </c>
      <c r="K404" s="10" t="s">
        <v>622</v>
      </c>
      <c r="L404" s="10">
        <v>23875.0</v>
      </c>
    </row>
    <row r="405">
      <c r="A405" s="1" t="s">
        <v>447</v>
      </c>
      <c r="B405" s="1">
        <v>13652.0</v>
      </c>
      <c r="C405" s="1">
        <v>605463.0</v>
      </c>
      <c r="K405" s="10" t="s">
        <v>372</v>
      </c>
      <c r="L405" s="10">
        <v>27589.0</v>
      </c>
    </row>
    <row r="406">
      <c r="A406" s="1" t="s">
        <v>648</v>
      </c>
      <c r="B406" s="1">
        <v>13892.0</v>
      </c>
      <c r="C406" s="1">
        <v>623149.0</v>
      </c>
      <c r="K406" s="10" t="s">
        <v>329</v>
      </c>
      <c r="L406" s="10">
        <v>19716.0</v>
      </c>
    </row>
    <row r="407">
      <c r="A407" s="1" t="s">
        <v>636</v>
      </c>
      <c r="B407" s="1">
        <v>19924.0</v>
      </c>
      <c r="C407" s="1">
        <v>663542.0</v>
      </c>
      <c r="K407" s="10" t="s">
        <v>577</v>
      </c>
      <c r="L407" s="10">
        <v>26058.0</v>
      </c>
    </row>
    <row r="408">
      <c r="A408" s="1" t="s">
        <v>608</v>
      </c>
      <c r="B408" s="1">
        <v>18769.0</v>
      </c>
      <c r="C408" s="1">
        <v>547001.0</v>
      </c>
      <c r="K408" s="10" t="s">
        <v>778</v>
      </c>
      <c r="L408" s="10">
        <v>17759.0</v>
      </c>
    </row>
    <row r="409">
      <c r="A409" s="1" t="s">
        <v>779</v>
      </c>
      <c r="B409" s="1">
        <v>21009.0</v>
      </c>
      <c r="C409" s="1">
        <v>660844.0</v>
      </c>
      <c r="K409" s="10" t="s">
        <v>209</v>
      </c>
      <c r="L409" s="10">
        <v>30076.0</v>
      </c>
    </row>
    <row r="410">
      <c r="A410" s="1" t="s">
        <v>657</v>
      </c>
      <c r="B410" s="1">
        <v>19339.0</v>
      </c>
      <c r="C410" s="1">
        <v>670032.0</v>
      </c>
      <c r="K410" s="10" t="s">
        <v>514</v>
      </c>
      <c r="L410" s="10">
        <v>31635.0</v>
      </c>
    </row>
    <row r="411">
      <c r="A411" s="1" t="s">
        <v>598</v>
      </c>
      <c r="B411" s="1">
        <v>27477.0</v>
      </c>
      <c r="C411" s="1">
        <v>686826.0</v>
      </c>
      <c r="K411" s="10" t="s">
        <v>275</v>
      </c>
      <c r="L411" s="10">
        <v>27779.0</v>
      </c>
    </row>
    <row r="412">
      <c r="A412" s="1" t="s">
        <v>735</v>
      </c>
      <c r="B412" s="1">
        <v>19343.0</v>
      </c>
      <c r="C412" s="1">
        <v>640462.0</v>
      </c>
      <c r="K412" s="10" t="s">
        <v>453</v>
      </c>
      <c r="L412" s="10">
        <v>11836.0</v>
      </c>
    </row>
    <row r="413">
      <c r="A413" s="1" t="s">
        <v>117</v>
      </c>
      <c r="B413" s="1">
        <v>13619.0</v>
      </c>
      <c r="C413" s="1">
        <v>596001.0</v>
      </c>
      <c r="K413" s="10" t="s">
        <v>615</v>
      </c>
      <c r="L413" s="10">
        <v>20638.0</v>
      </c>
    </row>
    <row r="414">
      <c r="A414" s="1" t="s">
        <v>780</v>
      </c>
      <c r="B414" s="1">
        <v>25651.0</v>
      </c>
      <c r="C414" s="1">
        <v>686654.0</v>
      </c>
      <c r="K414" s="10" t="s">
        <v>781</v>
      </c>
      <c r="L414" s="10">
        <v>28253.0</v>
      </c>
    </row>
    <row r="415">
      <c r="A415" s="1" t="s">
        <v>782</v>
      </c>
      <c r="B415" s="1">
        <v>24986.0</v>
      </c>
      <c r="C415" s="1">
        <v>681882.0</v>
      </c>
      <c r="K415" s="10" t="s">
        <v>510</v>
      </c>
      <c r="L415" s="10">
        <v>31508.0</v>
      </c>
    </row>
    <row r="416">
      <c r="A416" s="1" t="s">
        <v>518</v>
      </c>
      <c r="B416" s="1">
        <v>24581.0</v>
      </c>
      <c r="C416" s="1">
        <v>680689.0</v>
      </c>
      <c r="K416" s="10" t="s">
        <v>783</v>
      </c>
      <c r="L416" s="10">
        <v>13287.0</v>
      </c>
    </row>
    <row r="417">
      <c r="A417" s="1" t="s">
        <v>441</v>
      </c>
      <c r="B417" s="1">
        <v>21623.0</v>
      </c>
      <c r="C417" s="1">
        <v>664991.0</v>
      </c>
      <c r="K417" s="10" t="s">
        <v>463</v>
      </c>
      <c r="L417" s="10">
        <v>21544.0</v>
      </c>
    </row>
    <row r="418">
      <c r="A418" s="1" t="s">
        <v>468</v>
      </c>
      <c r="B418" s="1">
        <v>23237.0</v>
      </c>
      <c r="C418" s="1">
        <v>675848.0</v>
      </c>
      <c r="K418" s="10" t="s">
        <v>591</v>
      </c>
      <c r="L418" s="10">
        <v>22461.0</v>
      </c>
    </row>
    <row r="419">
      <c r="A419" s="1" t="s">
        <v>784</v>
      </c>
      <c r="B419" s="1">
        <v>15256.0</v>
      </c>
      <c r="C419" s="1">
        <v>642121.0</v>
      </c>
      <c r="K419" s="10" t="s">
        <v>495</v>
      </c>
      <c r="L419" s="10">
        <v>33482.0</v>
      </c>
    </row>
    <row r="420">
      <c r="A420" s="1" t="s">
        <v>785</v>
      </c>
      <c r="B420" s="1">
        <v>25311.0</v>
      </c>
      <c r="C420" s="1">
        <v>682610.0</v>
      </c>
      <c r="K420" s="10" t="s">
        <v>337</v>
      </c>
      <c r="L420" s="10">
        <v>29519.0</v>
      </c>
    </row>
    <row r="421">
      <c r="A421" s="1" t="s">
        <v>397</v>
      </c>
      <c r="B421" s="1">
        <v>19459.0</v>
      </c>
      <c r="C421" s="1">
        <v>660896.0</v>
      </c>
      <c r="K421" s="10" t="s">
        <v>143</v>
      </c>
      <c r="L421" s="10">
        <v>30240.0</v>
      </c>
    </row>
    <row r="422">
      <c r="A422" s="1" t="s">
        <v>786</v>
      </c>
      <c r="B422" s="1">
        <v>25804.0</v>
      </c>
      <c r="C422" s="1">
        <v>691094.0</v>
      </c>
      <c r="K422" s="10" t="s">
        <v>769</v>
      </c>
      <c r="L422" s="10">
        <v>6576.0</v>
      </c>
    </row>
    <row r="423">
      <c r="A423" s="1" t="s">
        <v>490</v>
      </c>
      <c r="B423" s="1">
        <v>24494.0</v>
      </c>
      <c r="C423" s="1">
        <v>680573.0</v>
      </c>
      <c r="K423" s="10" t="s">
        <v>390</v>
      </c>
      <c r="L423" s="10">
        <v>22284.0</v>
      </c>
    </row>
    <row r="424">
      <c r="A424" s="1" t="s">
        <v>787</v>
      </c>
      <c r="B424" s="1">
        <v>25427.0</v>
      </c>
      <c r="C424" s="1">
        <v>668970.0</v>
      </c>
      <c r="K424" s="10" t="s">
        <v>233</v>
      </c>
      <c r="L424" s="10">
        <v>16427.0</v>
      </c>
    </row>
    <row r="425">
      <c r="A425" s="1" t="s">
        <v>788</v>
      </c>
      <c r="B425" s="1">
        <v>21229.0</v>
      </c>
      <c r="C425" s="1">
        <v>642016.0</v>
      </c>
      <c r="K425" s="10" t="s">
        <v>478</v>
      </c>
      <c r="L425" s="10">
        <v>17964.0</v>
      </c>
    </row>
    <row r="426">
      <c r="A426" s="1" t="s">
        <v>401</v>
      </c>
      <c r="B426" s="1">
        <v>11804.0</v>
      </c>
      <c r="C426" s="1">
        <v>593576.0</v>
      </c>
      <c r="K426" s="10" t="s">
        <v>520</v>
      </c>
      <c r="L426" s="10">
        <v>19261.0</v>
      </c>
    </row>
    <row r="427">
      <c r="A427" s="1" t="s">
        <v>421</v>
      </c>
      <c r="B427" s="1">
        <v>14374.0</v>
      </c>
      <c r="C427" s="1">
        <v>607192.0</v>
      </c>
      <c r="K427" s="10" t="s">
        <v>511</v>
      </c>
      <c r="L427" s="10">
        <v>26215.0</v>
      </c>
    </row>
    <row r="428">
      <c r="A428" s="1" t="s">
        <v>677</v>
      </c>
      <c r="B428" s="1">
        <v>26353.0</v>
      </c>
      <c r="C428" s="1">
        <v>687847.0</v>
      </c>
      <c r="K428" s="10" t="s">
        <v>198</v>
      </c>
      <c r="L428" s="10">
        <v>31204.0</v>
      </c>
    </row>
    <row r="429">
      <c r="A429" s="1" t="s">
        <v>377</v>
      </c>
      <c r="B429" s="1">
        <v>30203.0</v>
      </c>
      <c r="C429" s="1">
        <v>695549.0</v>
      </c>
      <c r="K429" s="10" t="s">
        <v>600</v>
      </c>
      <c r="L429" s="10">
        <v>22387.0</v>
      </c>
    </row>
    <row r="430">
      <c r="A430" s="1" t="s">
        <v>192</v>
      </c>
      <c r="B430" s="1">
        <v>16502.0</v>
      </c>
      <c r="C430" s="1">
        <v>642232.0</v>
      </c>
      <c r="K430" s="10" t="s">
        <v>245</v>
      </c>
      <c r="L430" s="10">
        <v>9323.0</v>
      </c>
    </row>
    <row r="431">
      <c r="A431" s="1" t="s">
        <v>197</v>
      </c>
      <c r="B431" s="1">
        <v>31312.0</v>
      </c>
      <c r="C431" s="1">
        <v>676467.0</v>
      </c>
      <c r="K431" s="10" t="s">
        <v>112</v>
      </c>
      <c r="L431" s="10">
        <v>25376.0</v>
      </c>
    </row>
    <row r="432">
      <c r="A432" s="1" t="s">
        <v>404</v>
      </c>
      <c r="B432" s="1">
        <v>14295.0</v>
      </c>
      <c r="C432" s="1">
        <v>593974.0</v>
      </c>
      <c r="K432" s="10" t="s">
        <v>789</v>
      </c>
      <c r="L432" s="10">
        <v>24930.0</v>
      </c>
    </row>
    <row r="433">
      <c r="A433" s="1" t="s">
        <v>772</v>
      </c>
      <c r="B433" s="1">
        <v>1247.0</v>
      </c>
      <c r="C433" s="1">
        <v>493603.0</v>
      </c>
      <c r="K433" s="10" t="s">
        <v>782</v>
      </c>
      <c r="L433" s="10">
        <v>24986.0</v>
      </c>
    </row>
    <row r="434">
      <c r="A434" s="1" t="s">
        <v>497</v>
      </c>
      <c r="B434" s="1">
        <v>30105.0</v>
      </c>
      <c r="C434" s="1">
        <v>678024.0</v>
      </c>
      <c r="K434" s="10" t="s">
        <v>558</v>
      </c>
      <c r="L434" s="10">
        <v>11121.0</v>
      </c>
    </row>
    <row r="435">
      <c r="A435" s="1" t="s">
        <v>783</v>
      </c>
      <c r="B435" s="1">
        <v>13287.0</v>
      </c>
      <c r="C435" s="1">
        <v>534910.0</v>
      </c>
      <c r="K435" s="10" t="s">
        <v>102</v>
      </c>
      <c r="L435" s="10">
        <v>21345.0</v>
      </c>
    </row>
    <row r="436">
      <c r="A436" s="1" t="s">
        <v>790</v>
      </c>
      <c r="B436" s="1">
        <v>29271.0</v>
      </c>
      <c r="C436" s="1">
        <v>700270.0</v>
      </c>
      <c r="K436" s="10" t="s">
        <v>450</v>
      </c>
      <c r="L436" s="10">
        <v>25977.0</v>
      </c>
    </row>
    <row r="437">
      <c r="A437" s="1" t="s">
        <v>634</v>
      </c>
      <c r="B437" s="1">
        <v>14332.0</v>
      </c>
      <c r="C437" s="1">
        <v>606303.0</v>
      </c>
      <c r="K437" s="10" t="s">
        <v>214</v>
      </c>
      <c r="L437" s="10">
        <v>23165.0</v>
      </c>
    </row>
    <row r="438">
      <c r="A438" s="1" t="s">
        <v>778</v>
      </c>
      <c r="B438" s="1">
        <v>17759.0</v>
      </c>
      <c r="C438" s="1">
        <v>622780.0</v>
      </c>
      <c r="K438" s="10" t="s">
        <v>731</v>
      </c>
      <c r="L438" s="10">
        <v>16094.0</v>
      </c>
    </row>
    <row r="439">
      <c r="A439" s="1" t="s">
        <v>791</v>
      </c>
      <c r="B439" s="1">
        <v>23055.0</v>
      </c>
      <c r="C439" s="1">
        <v>673380.0</v>
      </c>
      <c r="K439" s="10" t="s">
        <v>171</v>
      </c>
      <c r="L439" s="10">
        <v>21690.0</v>
      </c>
    </row>
    <row r="440">
      <c r="A440" s="1" t="s">
        <v>275</v>
      </c>
      <c r="B440" s="1">
        <v>27779.0</v>
      </c>
      <c r="C440" s="1">
        <v>693821.0</v>
      </c>
      <c r="K440" s="10" t="s">
        <v>792</v>
      </c>
      <c r="L440" s="10">
        <v>31501.0</v>
      </c>
    </row>
    <row r="441">
      <c r="A441" s="1" t="s">
        <v>793</v>
      </c>
      <c r="B441" s="1">
        <v>26034.0</v>
      </c>
      <c r="C441" s="1">
        <v>687424.0</v>
      </c>
      <c r="K441" s="10" t="s">
        <v>794</v>
      </c>
      <c r="L441" s="10">
        <v>31884.0</v>
      </c>
    </row>
    <row r="442">
      <c r="A442" s="1" t="s">
        <v>276</v>
      </c>
      <c r="B442" s="1">
        <v>30226.0</v>
      </c>
      <c r="C442" s="1">
        <v>702352.0</v>
      </c>
      <c r="K442" s="10" t="s">
        <v>253</v>
      </c>
      <c r="L442" s="10">
        <v>30056.0</v>
      </c>
    </row>
    <row r="443">
      <c r="A443" s="1" t="s">
        <v>754</v>
      </c>
      <c r="B443" s="1">
        <v>23811.0</v>
      </c>
      <c r="C443" s="1">
        <v>678215.0</v>
      </c>
      <c r="K443" s="10" t="s">
        <v>476</v>
      </c>
      <c r="L443" s="10">
        <v>11423.0</v>
      </c>
    </row>
    <row r="444">
      <c r="A444" s="1" t="s">
        <v>198</v>
      </c>
      <c r="B444" s="1">
        <v>31204.0</v>
      </c>
      <c r="C444" s="1">
        <v>680736.0</v>
      </c>
      <c r="K444" s="10" t="s">
        <v>264</v>
      </c>
      <c r="L444" s="10">
        <v>19666.0</v>
      </c>
    </row>
    <row r="445">
      <c r="A445" s="1" t="s">
        <v>623</v>
      </c>
      <c r="B445" s="1">
        <v>30142.0</v>
      </c>
      <c r="C445" s="1">
        <v>680951.0</v>
      </c>
      <c r="K445" s="10" t="s">
        <v>333</v>
      </c>
      <c r="L445" s="10">
        <v>24993.0</v>
      </c>
    </row>
    <row r="446">
      <c r="A446" s="1" t="s">
        <v>792</v>
      </c>
      <c r="B446" s="1">
        <v>31501.0</v>
      </c>
      <c r="C446" s="1">
        <v>690382.0</v>
      </c>
      <c r="K446" s="10" t="s">
        <v>795</v>
      </c>
      <c r="L446" s="10">
        <v>25311.0</v>
      </c>
    </row>
    <row r="447">
      <c r="A447" s="1" t="s">
        <v>796</v>
      </c>
      <c r="B447" s="1">
        <v>19409.0</v>
      </c>
      <c r="C447" s="1">
        <v>641540.0</v>
      </c>
      <c r="K447" s="10" t="s">
        <v>296</v>
      </c>
      <c r="L447" s="10">
        <v>27889.0</v>
      </c>
    </row>
    <row r="448">
      <c r="A448" s="1" t="s">
        <v>604</v>
      </c>
      <c r="B448" s="1">
        <v>27590.0</v>
      </c>
      <c r="C448" s="1">
        <v>671109.0</v>
      </c>
      <c r="K448" s="10" t="s">
        <v>784</v>
      </c>
      <c r="L448" s="10">
        <v>15256.0</v>
      </c>
    </row>
    <row r="449">
      <c r="A449" s="1" t="s">
        <v>797</v>
      </c>
      <c r="B449" s="1">
        <v>22253.0</v>
      </c>
      <c r="C449" s="1">
        <v>669308.0</v>
      </c>
      <c r="K449" s="10" t="s">
        <v>482</v>
      </c>
      <c r="L449" s="10">
        <v>27775.0</v>
      </c>
    </row>
    <row r="450">
      <c r="A450" s="1" t="s">
        <v>510</v>
      </c>
      <c r="B450" s="1">
        <v>31508.0</v>
      </c>
      <c r="C450" s="1">
        <v>702674.0</v>
      </c>
      <c r="K450" s="10" t="s">
        <v>169</v>
      </c>
      <c r="L450" s="10">
        <v>29911.0</v>
      </c>
    </row>
    <row r="451">
      <c r="A451" s="1" t="s">
        <v>768</v>
      </c>
      <c r="B451" s="1">
        <v>19802.0</v>
      </c>
      <c r="C451" s="1">
        <v>640902.0</v>
      </c>
      <c r="K451" s="10" t="s">
        <v>798</v>
      </c>
      <c r="L451" s="10">
        <v>7802.0</v>
      </c>
    </row>
    <row r="452">
      <c r="A452" s="1" t="s">
        <v>312</v>
      </c>
      <c r="B452" s="1">
        <v>17490.0</v>
      </c>
      <c r="C452" s="1">
        <v>650893.0</v>
      </c>
      <c r="K452" s="10" t="s">
        <v>349</v>
      </c>
      <c r="L452" s="10">
        <v>19736.0</v>
      </c>
    </row>
    <row r="453">
      <c r="A453" s="1" t="s">
        <v>558</v>
      </c>
      <c r="B453" s="1">
        <v>11121.0</v>
      </c>
      <c r="C453" s="1">
        <v>596271.0</v>
      </c>
      <c r="K453" s="10" t="s">
        <v>752</v>
      </c>
      <c r="L453" s="10">
        <v>20827.0</v>
      </c>
    </row>
    <row r="454">
      <c r="A454" s="1" t="s">
        <v>252</v>
      </c>
      <c r="B454" s="1">
        <v>16061.0</v>
      </c>
      <c r="C454" s="1">
        <v>592155.0</v>
      </c>
      <c r="K454" s="10" t="s">
        <v>492</v>
      </c>
      <c r="L454" s="10">
        <v>29608.0</v>
      </c>
    </row>
    <row r="455">
      <c r="A455" s="1" t="s">
        <v>799</v>
      </c>
      <c r="B455" s="1">
        <v>25434.0</v>
      </c>
      <c r="C455" s="1">
        <v>669717.0</v>
      </c>
      <c r="K455" s="10" t="s">
        <v>507</v>
      </c>
      <c r="L455" s="10">
        <v>27570.0</v>
      </c>
    </row>
    <row r="456">
      <c r="A456" s="1" t="s">
        <v>381</v>
      </c>
      <c r="B456" s="1">
        <v>33908.0</v>
      </c>
      <c r="C456" s="1">
        <v>820862.0</v>
      </c>
      <c r="K456" s="10" t="s">
        <v>800</v>
      </c>
      <c r="L456" s="10">
        <v>13218.0</v>
      </c>
    </row>
    <row r="457">
      <c r="A457" s="1" t="s">
        <v>800</v>
      </c>
      <c r="B457" s="1">
        <v>13218.0</v>
      </c>
      <c r="C457" s="1">
        <v>605242.0</v>
      </c>
      <c r="K457" s="10" t="s">
        <v>257</v>
      </c>
      <c r="L457" s="10">
        <v>27626.0</v>
      </c>
    </row>
    <row r="458">
      <c r="A458" s="1" t="s">
        <v>616</v>
      </c>
      <c r="B458" s="1">
        <v>23798.0</v>
      </c>
      <c r="C458" s="1">
        <v>677976.0</v>
      </c>
      <c r="K458" s="10" t="s">
        <v>801</v>
      </c>
      <c r="L458" s="10">
        <v>21132.0</v>
      </c>
    </row>
    <row r="459">
      <c r="A459" s="1" t="s">
        <v>450</v>
      </c>
      <c r="B459" s="1">
        <v>25977.0</v>
      </c>
      <c r="C459" s="1">
        <v>682990.0</v>
      </c>
      <c r="K459" s="10" t="s">
        <v>340</v>
      </c>
      <c r="L459" s="10">
        <v>25921.0</v>
      </c>
    </row>
    <row r="460">
      <c r="A460" s="1" t="s">
        <v>440</v>
      </c>
      <c r="B460" s="1">
        <v>12857.0</v>
      </c>
      <c r="C460" s="1">
        <v>542888.0</v>
      </c>
      <c r="K460" s="10" t="s">
        <v>734</v>
      </c>
      <c r="L460" s="10">
        <v>24995.0</v>
      </c>
    </row>
    <row r="461">
      <c r="A461" s="1" t="s">
        <v>471</v>
      </c>
      <c r="B461" s="1">
        <v>21662.0</v>
      </c>
      <c r="C461" s="1">
        <v>665660.0</v>
      </c>
      <c r="K461" s="10" t="s">
        <v>167</v>
      </c>
      <c r="L461" s="10">
        <v>27914.0</v>
      </c>
    </row>
    <row r="462">
      <c r="A462" s="1" t="s">
        <v>640</v>
      </c>
      <c r="B462" s="1">
        <v>19337.0</v>
      </c>
      <c r="C462" s="1">
        <v>663992.0</v>
      </c>
      <c r="K462" s="10" t="s">
        <v>472</v>
      </c>
      <c r="L462" s="10">
        <v>27498.0</v>
      </c>
    </row>
    <row r="463">
      <c r="A463" s="1" t="s">
        <v>561</v>
      </c>
      <c r="B463" s="1">
        <v>26171.0</v>
      </c>
      <c r="C463" s="1">
        <v>687362.0</v>
      </c>
      <c r="K463" s="10" t="s">
        <v>554</v>
      </c>
      <c r="L463" s="10">
        <v>21546.0</v>
      </c>
    </row>
    <row r="464">
      <c r="A464" s="1" t="s">
        <v>725</v>
      </c>
      <c r="B464" s="1">
        <v>25595.0</v>
      </c>
      <c r="C464" s="1">
        <v>675540.0</v>
      </c>
      <c r="K464" s="10" t="s">
        <v>331</v>
      </c>
      <c r="L464" s="10">
        <v>22630.0</v>
      </c>
    </row>
    <row r="465">
      <c r="A465" s="1" t="s">
        <v>620</v>
      </c>
      <c r="B465" s="1">
        <v>5448.0</v>
      </c>
      <c r="C465" s="1">
        <v>445926.0</v>
      </c>
      <c r="K465" s="10" t="s">
        <v>802</v>
      </c>
      <c r="L465" s="10">
        <v>28036.0</v>
      </c>
    </row>
    <row r="466">
      <c r="A466" s="1" t="s">
        <v>803</v>
      </c>
      <c r="B466" s="1">
        <v>13607.0</v>
      </c>
      <c r="C466" s="1">
        <v>605218.0</v>
      </c>
      <c r="K466" s="10" t="s">
        <v>804</v>
      </c>
      <c r="L466" s="10">
        <v>31883.0</v>
      </c>
    </row>
    <row r="467">
      <c r="A467" s="1" t="s">
        <v>460</v>
      </c>
      <c r="B467" s="1">
        <v>7005.0</v>
      </c>
      <c r="C467" s="1">
        <v>519151.0</v>
      </c>
      <c r="K467" s="10" t="s">
        <v>408</v>
      </c>
      <c r="L467" s="10">
        <v>19899.0</v>
      </c>
    </row>
    <row r="468">
      <c r="A468" s="1" t="s">
        <v>96</v>
      </c>
      <c r="B468" s="1">
        <v>27758.0</v>
      </c>
      <c r="C468" s="1">
        <v>690986.0</v>
      </c>
      <c r="K468" s="10" t="s">
        <v>580</v>
      </c>
      <c r="L468" s="10">
        <v>27483.0</v>
      </c>
    </row>
    <row r="469">
      <c r="A469" s="1" t="s">
        <v>499</v>
      </c>
      <c r="B469" s="1">
        <v>19249.0</v>
      </c>
      <c r="C469" s="1">
        <v>622554.0</v>
      </c>
      <c r="K469" s="10" t="s">
        <v>116</v>
      </c>
      <c r="L469" s="10">
        <v>20353.0</v>
      </c>
    </row>
    <row r="470">
      <c r="A470" s="1" t="s">
        <v>802</v>
      </c>
      <c r="B470" s="1">
        <v>28036.0</v>
      </c>
      <c r="C470" s="1">
        <v>681432.0</v>
      </c>
      <c r="K470" s="10" t="s">
        <v>223</v>
      </c>
      <c r="L470" s="10">
        <v>29629.0</v>
      </c>
    </row>
    <row r="471">
      <c r="A471" s="1" t="s">
        <v>87</v>
      </c>
      <c r="B471" s="1">
        <v>19274.0</v>
      </c>
      <c r="C471" s="1">
        <v>657097.0</v>
      </c>
      <c r="K471" s="10" t="s">
        <v>556</v>
      </c>
      <c r="L471" s="10">
        <v>30094.0</v>
      </c>
    </row>
    <row r="472">
      <c r="A472" s="1" t="s">
        <v>563</v>
      </c>
      <c r="B472" s="1">
        <v>24975.0</v>
      </c>
      <c r="C472" s="1">
        <v>681867.0</v>
      </c>
      <c r="K472" s="10" t="s">
        <v>389</v>
      </c>
      <c r="L472" s="10">
        <v>25098.0</v>
      </c>
    </row>
    <row r="473">
      <c r="A473" s="1" t="s">
        <v>632</v>
      </c>
      <c r="B473" s="1">
        <v>16703.0</v>
      </c>
      <c r="C473" s="1">
        <v>657240.0</v>
      </c>
      <c r="K473" s="10" t="s">
        <v>612</v>
      </c>
      <c r="L473" s="10">
        <v>29564.0</v>
      </c>
    </row>
    <row r="474">
      <c r="A474" s="1" t="s">
        <v>162</v>
      </c>
      <c r="B474" s="1">
        <v>11752.0</v>
      </c>
      <c r="C474" s="1">
        <v>592426.0</v>
      </c>
      <c r="K474" s="10" t="s">
        <v>805</v>
      </c>
      <c r="L474" s="10">
        <v>16610.0</v>
      </c>
    </row>
    <row r="475">
      <c r="A475" s="1" t="s">
        <v>475</v>
      </c>
      <c r="B475" s="1">
        <v>14993.0</v>
      </c>
      <c r="C475" s="1">
        <v>605130.0</v>
      </c>
      <c r="K475" s="10" t="s">
        <v>370</v>
      </c>
      <c r="L475" s="10">
        <v>21924.0</v>
      </c>
    </row>
    <row r="476">
      <c r="A476" s="1" t="s">
        <v>714</v>
      </c>
      <c r="B476" s="1">
        <v>24453.0</v>
      </c>
      <c r="C476" s="1">
        <v>679885.0</v>
      </c>
      <c r="K476" s="10" t="s">
        <v>191</v>
      </c>
      <c r="L476" s="10">
        <v>27819.0</v>
      </c>
    </row>
    <row r="477">
      <c r="A477" s="1" t="s">
        <v>370</v>
      </c>
      <c r="B477" s="1">
        <v>21924.0</v>
      </c>
      <c r="C477" s="1">
        <v>666661.0</v>
      </c>
      <c r="K477" s="10" t="s">
        <v>694</v>
      </c>
      <c r="L477" s="10">
        <v>17734.0</v>
      </c>
    </row>
    <row r="478">
      <c r="A478" s="1" t="s">
        <v>585</v>
      </c>
      <c r="B478" s="1">
        <v>16400.0</v>
      </c>
      <c r="C478" s="1">
        <v>625643.0</v>
      </c>
      <c r="K478" s="10" t="s">
        <v>706</v>
      </c>
      <c r="L478" s="10">
        <v>27472.0</v>
      </c>
    </row>
    <row r="479">
      <c r="A479" s="1" t="s">
        <v>101</v>
      </c>
      <c r="B479" s="1">
        <v>22915.0</v>
      </c>
      <c r="C479" s="1">
        <v>672841.0</v>
      </c>
      <c r="K479" s="10" t="s">
        <v>249</v>
      </c>
      <c r="L479" s="10">
        <v>16727.0</v>
      </c>
    </row>
    <row r="480">
      <c r="A480" s="1" t="s">
        <v>690</v>
      </c>
      <c r="B480" s="1">
        <v>21652.0</v>
      </c>
      <c r="C480" s="1">
        <v>665625.0</v>
      </c>
      <c r="K480" s="10" t="s">
        <v>512</v>
      </c>
      <c r="L480" s="10">
        <v>31552.0</v>
      </c>
    </row>
    <row r="481">
      <c r="A481" s="1" t="s">
        <v>806</v>
      </c>
      <c r="B481" s="1">
        <v>26255.0</v>
      </c>
      <c r="C481" s="1">
        <v>673965.0</v>
      </c>
      <c r="K481" s="10" t="s">
        <v>757</v>
      </c>
      <c r="L481" s="10">
        <v>3548.0</v>
      </c>
    </row>
    <row r="482">
      <c r="A482" s="1" t="s">
        <v>807</v>
      </c>
      <c r="B482" s="1">
        <v>15518.0</v>
      </c>
      <c r="C482" s="1">
        <v>642708.0</v>
      </c>
      <c r="K482" s="10" t="s">
        <v>808</v>
      </c>
      <c r="L482" s="10">
        <v>11442.0</v>
      </c>
    </row>
    <row r="483">
      <c r="A483" s="1" t="s">
        <v>324</v>
      </c>
      <c r="B483" s="1">
        <v>6632.0</v>
      </c>
      <c r="C483" s="1">
        <v>471911.0</v>
      </c>
      <c r="K483" s="10" t="s">
        <v>809</v>
      </c>
      <c r="L483" s="10">
        <v>17273.0</v>
      </c>
    </row>
    <row r="484">
      <c r="A484" s="1" t="s">
        <v>810</v>
      </c>
      <c r="B484" s="1">
        <v>11442.0</v>
      </c>
      <c r="C484" s="1">
        <v>596142.0</v>
      </c>
      <c r="K484" s="10" t="s">
        <v>608</v>
      </c>
      <c r="L484" s="10">
        <v>18769.0</v>
      </c>
    </row>
    <row r="485">
      <c r="A485" s="1" t="s">
        <v>111</v>
      </c>
      <c r="B485" s="1">
        <v>21306.0</v>
      </c>
      <c r="C485" s="1">
        <v>656641.0</v>
      </c>
      <c r="K485" s="10" t="s">
        <v>786</v>
      </c>
      <c r="L485" s="10">
        <v>25804.0</v>
      </c>
    </row>
    <row r="486">
      <c r="A486" s="1" t="s">
        <v>580</v>
      </c>
      <c r="B486" s="1">
        <v>27483.0</v>
      </c>
      <c r="C486" s="1">
        <v>676272.0</v>
      </c>
      <c r="K486" s="10" t="s">
        <v>266</v>
      </c>
      <c r="L486" s="10">
        <v>31815.0</v>
      </c>
    </row>
    <row r="487">
      <c r="A487" s="1" t="s">
        <v>544</v>
      </c>
      <c r="B487" s="1">
        <v>31764.0</v>
      </c>
      <c r="C487" s="1">
        <v>805123.0</v>
      </c>
      <c r="K487" s="10" t="s">
        <v>811</v>
      </c>
      <c r="L487" s="10">
        <v>17796.0</v>
      </c>
    </row>
    <row r="488">
      <c r="A488" s="1" t="s">
        <v>812</v>
      </c>
      <c r="B488" s="1">
        <v>23455.0</v>
      </c>
      <c r="C488" s="1">
        <v>676702.0</v>
      </c>
      <c r="K488" s="10" t="s">
        <v>568</v>
      </c>
      <c r="L488" s="10">
        <v>25501.0</v>
      </c>
    </row>
    <row r="489">
      <c r="A489" s="1" t="s">
        <v>621</v>
      </c>
      <c r="B489" s="1">
        <v>29866.0</v>
      </c>
      <c r="C489" s="1">
        <v>694646.0</v>
      </c>
      <c r="K489" s="10" t="s">
        <v>555</v>
      </c>
      <c r="L489" s="10">
        <v>31475.0</v>
      </c>
    </row>
    <row r="490">
      <c r="A490" s="1" t="s">
        <v>457</v>
      </c>
      <c r="B490" s="1">
        <v>2036.0</v>
      </c>
      <c r="C490" s="1">
        <v>477132.0</v>
      </c>
      <c r="K490" s="10" t="s">
        <v>813</v>
      </c>
      <c r="L490" s="10">
        <v>26260.0</v>
      </c>
    </row>
    <row r="491">
      <c r="A491" s="1" t="s">
        <v>296</v>
      </c>
      <c r="B491" s="1">
        <v>27889.0</v>
      </c>
      <c r="C491" s="1">
        <v>669372.0</v>
      </c>
      <c r="K491" s="10" t="s">
        <v>736</v>
      </c>
      <c r="L491" s="10">
        <v>19586.0</v>
      </c>
    </row>
    <row r="492">
      <c r="A492" s="1" t="s">
        <v>814</v>
      </c>
      <c r="B492" s="1">
        <v>14552.0</v>
      </c>
      <c r="C492" s="1">
        <v>614179.0</v>
      </c>
      <c r="K492" s="10" t="s">
        <v>709</v>
      </c>
      <c r="L492" s="10">
        <v>23617.0</v>
      </c>
    </row>
    <row r="493">
      <c r="A493" s="1" t="s">
        <v>574</v>
      </c>
      <c r="B493" s="1">
        <v>31701.0</v>
      </c>
      <c r="C493" s="1">
        <v>694918.0</v>
      </c>
      <c r="K493" s="10" t="s">
        <v>815</v>
      </c>
      <c r="L493" s="10">
        <v>33248.0</v>
      </c>
    </row>
    <row r="494">
      <c r="A494" s="1" t="s">
        <v>110</v>
      </c>
      <c r="B494" s="1">
        <v>25679.0</v>
      </c>
      <c r="C494" s="1">
        <v>687330.0</v>
      </c>
      <c r="K494" s="10" t="s">
        <v>733</v>
      </c>
      <c r="L494" s="10">
        <v>27753.0</v>
      </c>
    </row>
    <row r="495">
      <c r="A495" s="1" t="s">
        <v>680</v>
      </c>
      <c r="B495" s="1">
        <v>25839.0</v>
      </c>
      <c r="C495" s="1">
        <v>664351.0</v>
      </c>
      <c r="K495" s="10" t="s">
        <v>160</v>
      </c>
      <c r="L495" s="10">
        <v>29574.0</v>
      </c>
    </row>
    <row r="496">
      <c r="A496" s="1" t="s">
        <v>809</v>
      </c>
      <c r="B496" s="1">
        <v>17273.0</v>
      </c>
      <c r="C496" s="1">
        <v>622761.0</v>
      </c>
      <c r="K496" s="10" t="s">
        <v>732</v>
      </c>
      <c r="L496" s="10">
        <v>21922.0</v>
      </c>
    </row>
    <row r="497">
      <c r="A497" s="1" t="s">
        <v>715</v>
      </c>
      <c r="B497" s="1">
        <v>18498.0</v>
      </c>
      <c r="C497" s="1">
        <v>628317.0</v>
      </c>
      <c r="K497" s="10" t="s">
        <v>410</v>
      </c>
      <c r="L497" s="10">
        <v>23920.0</v>
      </c>
    </row>
    <row r="498">
      <c r="A498" s="1" t="s">
        <v>416</v>
      </c>
      <c r="B498" s="1">
        <v>15474.0</v>
      </c>
      <c r="C498" s="1">
        <v>608337.0</v>
      </c>
      <c r="K498" s="10" t="s">
        <v>756</v>
      </c>
      <c r="L498" s="10">
        <v>25474.0</v>
      </c>
    </row>
    <row r="499">
      <c r="A499" s="1" t="s">
        <v>144</v>
      </c>
      <c r="B499" s="1">
        <v>20020.0</v>
      </c>
      <c r="C499" s="1">
        <v>670167.0</v>
      </c>
      <c r="K499" s="10" t="s">
        <v>728</v>
      </c>
      <c r="L499" s="10">
        <v>30250.0</v>
      </c>
    </row>
    <row r="500">
      <c r="A500" s="1" t="s">
        <v>702</v>
      </c>
      <c r="B500" s="1">
        <v>26247.0</v>
      </c>
      <c r="C500" s="1">
        <v>687377.0</v>
      </c>
      <c r="K500" s="10" t="s">
        <v>787</v>
      </c>
      <c r="L500" s="10">
        <v>25427.0</v>
      </c>
    </row>
    <row r="501">
      <c r="A501" s="1" t="s">
        <v>656</v>
      </c>
      <c r="B501" s="1">
        <v>12808.0</v>
      </c>
      <c r="C501" s="1">
        <v>605182.0</v>
      </c>
      <c r="K501" s="10" t="s">
        <v>816</v>
      </c>
      <c r="L501" s="10">
        <v>25862.0</v>
      </c>
    </row>
    <row r="502">
      <c r="A502" s="1" t="s">
        <v>383</v>
      </c>
      <c r="B502" s="1">
        <v>13431.0</v>
      </c>
      <c r="C502" s="1">
        <v>573186.0</v>
      </c>
      <c r="K502" s="10" t="s">
        <v>770</v>
      </c>
      <c r="L502" s="10">
        <v>27653.0</v>
      </c>
    </row>
    <row r="503">
      <c r="A503" s="1" t="s">
        <v>811</v>
      </c>
      <c r="B503" s="1">
        <v>17796.0</v>
      </c>
      <c r="C503" s="1">
        <v>622253.0</v>
      </c>
      <c r="K503" s="10" t="s">
        <v>727</v>
      </c>
      <c r="L503" s="10">
        <v>25703.0</v>
      </c>
    </row>
    <row r="504">
      <c r="A504" s="1" t="s">
        <v>682</v>
      </c>
      <c r="B504" s="1">
        <v>17888.0</v>
      </c>
      <c r="C504" s="1">
        <v>642048.0</v>
      </c>
      <c r="K504" s="10" t="s">
        <v>803</v>
      </c>
      <c r="L504" s="10">
        <v>13607.0</v>
      </c>
    </row>
    <row r="505">
      <c r="A505" s="1" t="s">
        <v>817</v>
      </c>
      <c r="B505" s="1">
        <v>19614.0</v>
      </c>
      <c r="C505" s="1">
        <v>672335.0</v>
      </c>
      <c r="K505" s="10" t="s">
        <v>111</v>
      </c>
      <c r="L505" s="10">
        <v>21306.0</v>
      </c>
    </row>
    <row r="506">
      <c r="A506" s="1" t="s">
        <v>235</v>
      </c>
      <c r="B506" s="1">
        <v>25911.0</v>
      </c>
      <c r="C506" s="1">
        <v>666974.0</v>
      </c>
      <c r="K506" s="10" t="s">
        <v>468</v>
      </c>
      <c r="L506" s="10">
        <v>23237.0</v>
      </c>
    </row>
    <row r="507">
      <c r="A507" s="1" t="s">
        <v>818</v>
      </c>
      <c r="B507" s="1">
        <v>27783.0</v>
      </c>
      <c r="C507" s="1">
        <v>694350.0</v>
      </c>
      <c r="K507" s="10" t="s">
        <v>720</v>
      </c>
      <c r="L507" s="10">
        <v>31184.0</v>
      </c>
    </row>
    <row r="508">
      <c r="A508" s="1" t="s">
        <v>789</v>
      </c>
      <c r="B508" s="1">
        <v>24930.0</v>
      </c>
      <c r="C508" s="1">
        <v>681799.0</v>
      </c>
      <c r="K508" s="10" t="s">
        <v>221</v>
      </c>
      <c r="L508" s="10">
        <v>22191.0</v>
      </c>
    </row>
    <row r="509">
      <c r="A509" s="1" t="s">
        <v>652</v>
      </c>
      <c r="B509" s="1">
        <v>14874.0</v>
      </c>
      <c r="C509" s="1">
        <v>594580.0</v>
      </c>
      <c r="K509" s="10" t="s">
        <v>681</v>
      </c>
      <c r="L509" s="10">
        <v>30002.0</v>
      </c>
    </row>
    <row r="510">
      <c r="A510" s="1" t="s">
        <v>409</v>
      </c>
      <c r="B510" s="1">
        <v>20348.0</v>
      </c>
      <c r="C510" s="1">
        <v>676617.0</v>
      </c>
      <c r="K510" s="10" t="s">
        <v>203</v>
      </c>
      <c r="L510" s="10">
        <v>11426.0</v>
      </c>
    </row>
    <row r="511">
      <c r="A511" s="1" t="s">
        <v>434</v>
      </c>
      <c r="B511" s="1">
        <v>31872.0</v>
      </c>
      <c r="C511" s="1">
        <v>690990.0</v>
      </c>
      <c r="K511" s="10" t="s">
        <v>592</v>
      </c>
      <c r="L511" s="10">
        <v>31533.0</v>
      </c>
    </row>
    <row r="512">
      <c r="A512" s="1" t="s">
        <v>394</v>
      </c>
      <c r="B512" s="1">
        <v>14120.0</v>
      </c>
      <c r="C512" s="1">
        <v>621121.0</v>
      </c>
      <c r="K512" s="10" t="s">
        <v>819</v>
      </c>
      <c r="L512" s="10">
        <v>29271.0</v>
      </c>
    </row>
    <row r="513">
      <c r="A513" s="1" t="s">
        <v>765</v>
      </c>
      <c r="B513" s="1">
        <v>18000.0</v>
      </c>
      <c r="C513" s="1">
        <v>663474.0</v>
      </c>
      <c r="K513" s="10" t="s">
        <v>721</v>
      </c>
      <c r="L513" s="10">
        <v>20045.0</v>
      </c>
    </row>
    <row r="514">
      <c r="A514" s="1" t="s">
        <v>509</v>
      </c>
      <c r="B514" s="1">
        <v>27470.0</v>
      </c>
      <c r="C514" s="1">
        <v>676106.0</v>
      </c>
      <c r="K514" s="10" t="s">
        <v>441</v>
      </c>
      <c r="L514" s="10">
        <v>21623.0</v>
      </c>
    </row>
    <row r="515">
      <c r="A515" s="1" t="s">
        <v>820</v>
      </c>
      <c r="B515" s="1">
        <v>33838.0</v>
      </c>
      <c r="C515" s="1">
        <v>684320.0</v>
      </c>
      <c r="K515" s="10" t="s">
        <v>381</v>
      </c>
      <c r="L515" s="10">
        <v>33908.0</v>
      </c>
    </row>
    <row r="516">
      <c r="A516" s="1" t="s">
        <v>398</v>
      </c>
      <c r="B516" s="1">
        <v>23335.0</v>
      </c>
      <c r="C516" s="1">
        <v>676282.0</v>
      </c>
      <c r="K516" s="10" t="s">
        <v>409</v>
      </c>
      <c r="L516" s="10">
        <v>20348.0</v>
      </c>
    </row>
    <row r="517">
      <c r="A517" s="1" t="s">
        <v>348</v>
      </c>
      <c r="B517" s="1">
        <v>22713.0</v>
      </c>
      <c r="C517" s="1">
        <v>672578.0</v>
      </c>
      <c r="K517" s="10" t="s">
        <v>259</v>
      </c>
      <c r="L517" s="10">
        <v>18694.0</v>
      </c>
    </row>
    <row r="518">
      <c r="A518" s="1" t="s">
        <v>658</v>
      </c>
      <c r="B518" s="1">
        <v>25174.0</v>
      </c>
      <c r="C518" s="1">
        <v>682171.0</v>
      </c>
      <c r="K518" s="10" t="s">
        <v>623</v>
      </c>
      <c r="L518" s="10">
        <v>30142.0</v>
      </c>
    </row>
    <row r="519">
      <c r="A519" s="1" t="s">
        <v>821</v>
      </c>
      <c r="B519" s="1">
        <v>22533.0</v>
      </c>
      <c r="C519" s="1">
        <v>671305.0</v>
      </c>
      <c r="K519" s="10" t="s">
        <v>224</v>
      </c>
      <c r="L519" s="10">
        <v>29863.0</v>
      </c>
    </row>
    <row r="520">
      <c r="A520" s="1" t="s">
        <v>410</v>
      </c>
      <c r="B520" s="1">
        <v>23920.0</v>
      </c>
      <c r="C520" s="1">
        <v>678394.0</v>
      </c>
      <c r="K520" s="10" t="s">
        <v>730</v>
      </c>
      <c r="L520" s="10">
        <v>10058.0</v>
      </c>
    </row>
    <row r="521">
      <c r="A521" s="1" t="s">
        <v>481</v>
      </c>
      <c r="B521" s="1">
        <v>15488.0</v>
      </c>
      <c r="C521" s="1">
        <v>622608.0</v>
      </c>
      <c r="K521" s="10" t="s">
        <v>309</v>
      </c>
      <c r="L521" s="10">
        <v>21420.0</v>
      </c>
    </row>
    <row r="522">
      <c r="A522" s="1" t="s">
        <v>804</v>
      </c>
      <c r="B522" s="1">
        <v>31883.0</v>
      </c>
      <c r="C522" s="1">
        <v>700187.0</v>
      </c>
      <c r="K522" s="10" t="s">
        <v>774</v>
      </c>
      <c r="L522" s="10">
        <v>12976.0</v>
      </c>
    </row>
    <row r="523">
      <c r="A523" s="1" t="s">
        <v>317</v>
      </c>
      <c r="B523" s="1">
        <v>29950.0</v>
      </c>
      <c r="C523" s="1">
        <v>673929.0</v>
      </c>
      <c r="K523" s="10" t="s">
        <v>236</v>
      </c>
      <c r="L523" s="10">
        <v>24607.0</v>
      </c>
    </row>
    <row r="524">
      <c r="A524" s="1" t="s">
        <v>775</v>
      </c>
      <c r="B524" s="1">
        <v>19951.0</v>
      </c>
      <c r="C524" s="1">
        <v>666120.0</v>
      </c>
      <c r="K524" s="10" t="s">
        <v>604</v>
      </c>
      <c r="L524" s="10">
        <v>27590.0</v>
      </c>
    </row>
    <row r="525">
      <c r="A525" s="1" t="s">
        <v>781</v>
      </c>
      <c r="B525" s="1">
        <v>28253.0</v>
      </c>
      <c r="C525" s="1">
        <v>691594.0</v>
      </c>
      <c r="K525" s="10" t="s">
        <v>518</v>
      </c>
      <c r="L525" s="10">
        <v>24581.0</v>
      </c>
    </row>
    <row r="526">
      <c r="A526" s="1" t="s">
        <v>813</v>
      </c>
      <c r="B526" s="1">
        <v>26260.0</v>
      </c>
      <c r="C526" s="1">
        <v>686753.0</v>
      </c>
      <c r="K526" s="10" t="s">
        <v>586</v>
      </c>
      <c r="L526" s="10">
        <v>27582.0</v>
      </c>
    </row>
    <row r="527">
      <c r="A527" s="1" t="s">
        <v>794</v>
      </c>
      <c r="B527" s="1">
        <v>31884.0</v>
      </c>
      <c r="C527" s="1">
        <v>701121.0</v>
      </c>
      <c r="K527" s="10" t="s">
        <v>255</v>
      </c>
      <c r="L527" s="10">
        <v>33699.0</v>
      </c>
    </row>
    <row r="528">
      <c r="A528" s="1" t="s">
        <v>659</v>
      </c>
      <c r="B528" s="1">
        <v>35325.0</v>
      </c>
      <c r="C528" s="1">
        <v>696270.0</v>
      </c>
      <c r="K528" s="10" t="s">
        <v>822</v>
      </c>
      <c r="L528" s="10">
        <v>11589.0</v>
      </c>
    </row>
    <row r="529">
      <c r="A529" s="1" t="s">
        <v>451</v>
      </c>
      <c r="B529" s="1">
        <v>17556.0</v>
      </c>
      <c r="C529" s="1">
        <v>623474.0</v>
      </c>
      <c r="K529" s="10" t="s">
        <v>807</v>
      </c>
      <c r="L529" s="10">
        <v>15518.0</v>
      </c>
    </row>
    <row r="530">
      <c r="A530" s="1" t="s">
        <v>177</v>
      </c>
      <c r="B530" s="1">
        <v>15823.0</v>
      </c>
      <c r="C530" s="1">
        <v>641793.0</v>
      </c>
      <c r="K530" s="10" t="s">
        <v>749</v>
      </c>
      <c r="L530" s="10">
        <v>23265.0</v>
      </c>
    </row>
    <row r="531">
      <c r="A531" s="1" t="s">
        <v>92</v>
      </c>
      <c r="B531" s="1">
        <v>25007.0</v>
      </c>
      <c r="C531" s="1">
        <v>681911.0</v>
      </c>
      <c r="K531" s="10" t="s">
        <v>799</v>
      </c>
      <c r="L531" s="10">
        <v>25434.0</v>
      </c>
    </row>
    <row r="532">
      <c r="A532" s="1" t="s">
        <v>229</v>
      </c>
      <c r="B532" s="1">
        <v>18684.0</v>
      </c>
      <c r="C532" s="1">
        <v>645261.0</v>
      </c>
      <c r="K532" s="10" t="s">
        <v>359</v>
      </c>
      <c r="L532" s="10">
        <v>20061.0</v>
      </c>
    </row>
    <row r="533">
      <c r="A533" s="1" t="s">
        <v>514</v>
      </c>
      <c r="B533" s="1">
        <v>31635.0</v>
      </c>
      <c r="C533" s="1">
        <v>806185.0</v>
      </c>
      <c r="K533" s="10" t="s">
        <v>588</v>
      </c>
      <c r="L533" s="10">
        <v>10123.0</v>
      </c>
    </row>
    <row r="534">
      <c r="A534" s="1" t="s">
        <v>696</v>
      </c>
      <c r="B534" s="1">
        <v>31461.0</v>
      </c>
      <c r="C534" s="1">
        <v>690829.0</v>
      </c>
      <c r="K534" s="10" t="s">
        <v>729</v>
      </c>
      <c r="L534" s="10">
        <v>23443.0</v>
      </c>
    </row>
    <row r="535">
      <c r="A535" s="1" t="s">
        <v>82</v>
      </c>
      <c r="B535" s="1">
        <v>26231.0</v>
      </c>
      <c r="C535" s="1">
        <v>663947.0</v>
      </c>
      <c r="K535" s="10" t="s">
        <v>812</v>
      </c>
      <c r="L535" s="10">
        <v>23455.0</v>
      </c>
    </row>
    <row r="536">
      <c r="A536" s="1" t="s">
        <v>816</v>
      </c>
      <c r="B536" s="1">
        <v>25862.0</v>
      </c>
      <c r="C536" s="1">
        <v>663562.0</v>
      </c>
      <c r="K536" s="10" t="s">
        <v>748</v>
      </c>
      <c r="L536" s="10">
        <v>15369.0</v>
      </c>
    </row>
    <row r="537">
      <c r="A537" s="1" t="s">
        <v>61</v>
      </c>
      <c r="B537" s="1">
        <v>20629.0</v>
      </c>
      <c r="C537" s="1">
        <v>663969.0</v>
      </c>
      <c r="K537" s="10" t="s">
        <v>796</v>
      </c>
      <c r="L537" s="10">
        <v>19409.0</v>
      </c>
    </row>
    <row r="538">
      <c r="A538" s="1" t="s">
        <v>823</v>
      </c>
      <c r="B538" s="1">
        <v>19876.0</v>
      </c>
      <c r="C538" s="1">
        <v>656464.0</v>
      </c>
      <c r="K538" s="10" t="s">
        <v>824</v>
      </c>
      <c r="L538" s="10">
        <v>10472.0</v>
      </c>
    </row>
    <row r="539">
      <c r="A539" s="1" t="s">
        <v>815</v>
      </c>
      <c r="B539" s="1">
        <v>33248.0</v>
      </c>
      <c r="C539" s="1">
        <v>684974.0</v>
      </c>
      <c r="K539" s="10" t="s">
        <v>544</v>
      </c>
      <c r="L539" s="10">
        <v>31764.0</v>
      </c>
    </row>
    <row r="540">
      <c r="A540" s="1" t="s">
        <v>273</v>
      </c>
      <c r="B540" s="1">
        <v>22051.0</v>
      </c>
      <c r="C540" s="1">
        <v>667463.0</v>
      </c>
      <c r="K540" s="10" t="s">
        <v>459</v>
      </c>
      <c r="L540" s="10">
        <v>19388.0</v>
      </c>
    </row>
    <row r="541">
      <c r="A541" s="1" t="s">
        <v>283</v>
      </c>
      <c r="B541" s="1">
        <v>21205.0</v>
      </c>
      <c r="C541" s="1">
        <v>641401.0</v>
      </c>
      <c r="K541" s="10" t="s">
        <v>602</v>
      </c>
      <c r="L541" s="10">
        <v>30170.0</v>
      </c>
    </row>
    <row r="542">
      <c r="A542" s="1" t="s">
        <v>193</v>
      </c>
      <c r="B542" s="1">
        <v>19574.0</v>
      </c>
      <c r="C542" s="1">
        <v>668941.0</v>
      </c>
      <c r="K542" s="10" t="s">
        <v>161</v>
      </c>
      <c r="L542" s="10">
        <v>30184.0</v>
      </c>
    </row>
    <row r="543">
      <c r="A543" s="1" t="s">
        <v>577</v>
      </c>
      <c r="B543" s="1">
        <v>26058.0</v>
      </c>
      <c r="C543" s="1">
        <v>687922.0</v>
      </c>
      <c r="K543" s="10" t="s">
        <v>416</v>
      </c>
      <c r="L543" s="10">
        <v>15474.0</v>
      </c>
    </row>
    <row r="544">
      <c r="A544" s="1" t="s">
        <v>91</v>
      </c>
      <c r="B544" s="1">
        <v>19996.0</v>
      </c>
      <c r="C544" s="1">
        <v>669276.0</v>
      </c>
      <c r="K544" s="10" t="s">
        <v>332</v>
      </c>
      <c r="L544" s="10">
        <v>19316.0</v>
      </c>
    </row>
    <row r="545">
      <c r="A545" s="1" t="s">
        <v>644</v>
      </c>
      <c r="B545" s="1">
        <v>19403.0</v>
      </c>
      <c r="C545" s="1">
        <v>621363.0</v>
      </c>
      <c r="K545" s="10" t="s">
        <v>742</v>
      </c>
      <c r="L545" s="10">
        <v>12763.0</v>
      </c>
    </row>
    <row r="546">
      <c r="A546" s="1" t="s">
        <v>334</v>
      </c>
      <c r="B546" s="1">
        <v>29770.0</v>
      </c>
      <c r="C546" s="1">
        <v>682254.0</v>
      </c>
      <c r="K546" s="10" t="s">
        <v>186</v>
      </c>
      <c r="L546" s="10">
        <v>18347.0</v>
      </c>
    </row>
    <row r="547">
      <c r="A547" s="1" t="s">
        <v>591</v>
      </c>
      <c r="B547" s="1">
        <v>22461.0</v>
      </c>
      <c r="C547" s="1">
        <v>670810.0</v>
      </c>
      <c r="K547" s="10" t="s">
        <v>823</v>
      </c>
      <c r="L547" s="10">
        <v>19876.0</v>
      </c>
    </row>
    <row r="548">
      <c r="A548" s="1" t="s">
        <v>137</v>
      </c>
      <c r="B548" s="1">
        <v>3137.0</v>
      </c>
      <c r="C548" s="1">
        <v>453286.0</v>
      </c>
      <c r="K548" s="10" t="s">
        <v>550</v>
      </c>
      <c r="L548" s="10">
        <v>25620.0</v>
      </c>
    </row>
    <row r="549">
      <c r="A549" s="1" t="s">
        <v>365</v>
      </c>
      <c r="B549" s="1">
        <v>24614.0</v>
      </c>
      <c r="C549" s="1">
        <v>680767.0</v>
      </c>
      <c r="K549" s="10" t="s">
        <v>825</v>
      </c>
      <c r="L549" s="10">
        <v>17490.0</v>
      </c>
    </row>
    <row r="550">
      <c r="A550" s="1" t="s">
        <v>798</v>
      </c>
      <c r="B550" s="1">
        <v>7802.0</v>
      </c>
      <c r="C550" s="1">
        <v>500743.0</v>
      </c>
      <c r="K550" s="10" t="s">
        <v>780</v>
      </c>
      <c r="L550" s="10">
        <v>25651.0</v>
      </c>
    </row>
    <row r="551">
      <c r="A551" s="1" t="s">
        <v>495</v>
      </c>
      <c r="B551" s="1">
        <v>33482.0</v>
      </c>
      <c r="C551" s="1">
        <v>801403.0</v>
      </c>
      <c r="K551" s="10" t="s">
        <v>753</v>
      </c>
      <c r="L551" s="10">
        <v>26030.0</v>
      </c>
    </row>
    <row r="552">
      <c r="A552" s="1" t="s">
        <v>548</v>
      </c>
      <c r="B552" s="1">
        <v>24203.0</v>
      </c>
      <c r="C552" s="1">
        <v>678821.0</v>
      </c>
      <c r="K552" s="10" t="s">
        <v>826</v>
      </c>
      <c r="L552" s="10">
        <v>17169.0</v>
      </c>
    </row>
    <row r="553">
      <c r="A553" s="1" t="s">
        <v>271</v>
      </c>
      <c r="B553" s="1">
        <v>19646.0</v>
      </c>
      <c r="C553" s="1">
        <v>606996.0</v>
      </c>
      <c r="K553" s="10" t="s">
        <v>199</v>
      </c>
      <c r="L553" s="10">
        <v>17611.0</v>
      </c>
    </row>
    <row r="554">
      <c r="A554" s="1" t="s">
        <v>308</v>
      </c>
      <c r="B554" s="1">
        <v>30134.0</v>
      </c>
      <c r="C554" s="1">
        <v>676440.0</v>
      </c>
      <c r="K554" s="10" t="s">
        <v>141</v>
      </c>
      <c r="L554" s="10">
        <v>19330.0</v>
      </c>
    </row>
    <row r="555">
      <c r="A555" s="1" t="s">
        <v>704</v>
      </c>
      <c r="B555" s="1">
        <v>10591.0</v>
      </c>
      <c r="C555" s="1">
        <v>518397.0</v>
      </c>
      <c r="K555" s="10" t="s">
        <v>243</v>
      </c>
      <c r="L555" s="10">
        <v>31318.0</v>
      </c>
    </row>
    <row r="556">
      <c r="A556" s="1" t="s">
        <v>805</v>
      </c>
      <c r="B556" s="1">
        <v>16610.0</v>
      </c>
      <c r="C556" s="1">
        <v>656420.0</v>
      </c>
      <c r="K556" s="10" t="s">
        <v>776</v>
      </c>
      <c r="L556" s="10">
        <v>10200.0</v>
      </c>
    </row>
    <row r="557">
      <c r="A557" s="1" t="s">
        <v>576</v>
      </c>
      <c r="B557" s="1">
        <v>19911.0</v>
      </c>
      <c r="C557" s="1">
        <v>660761.0</v>
      </c>
      <c r="K557" s="10" t="s">
        <v>462</v>
      </c>
      <c r="L557" s="10">
        <v>13896.0</v>
      </c>
    </row>
    <row r="558">
      <c r="A558" s="1" t="s">
        <v>366</v>
      </c>
      <c r="B558" s="1">
        <v>16944.0</v>
      </c>
      <c r="C558" s="1">
        <v>656550.0</v>
      </c>
      <c r="K558" s="10" t="s">
        <v>745</v>
      </c>
      <c r="L558" s="10">
        <v>12056.0</v>
      </c>
    </row>
    <row r="559">
      <c r="A559" s="1" t="s">
        <v>684</v>
      </c>
      <c r="B559" s="1">
        <v>21894.0</v>
      </c>
      <c r="C559" s="1">
        <v>666619.0</v>
      </c>
      <c r="K559" s="10" t="s">
        <v>506</v>
      </c>
      <c r="L559" s="10">
        <v>12988.0</v>
      </c>
    </row>
    <row r="560">
      <c r="A560" s="1" t="s">
        <v>633</v>
      </c>
      <c r="B560" s="1">
        <v>20160.0</v>
      </c>
      <c r="C560" s="1">
        <v>663878.0</v>
      </c>
      <c r="K560" s="10" t="s">
        <v>761</v>
      </c>
      <c r="L560" s="10">
        <v>27765.0</v>
      </c>
    </row>
    <row r="561">
      <c r="A561" s="1" t="s">
        <v>692</v>
      </c>
      <c r="B561" s="1">
        <v>25873.0</v>
      </c>
      <c r="C561" s="1">
        <v>671162.0</v>
      </c>
      <c r="K561" s="10" t="s">
        <v>254</v>
      </c>
      <c r="L561" s="10">
        <v>25756.0</v>
      </c>
    </row>
    <row r="562">
      <c r="A562" s="1" t="s">
        <v>486</v>
      </c>
      <c r="B562" s="1">
        <v>26790.0</v>
      </c>
      <c r="C562" s="1">
        <v>683409.0</v>
      </c>
      <c r="K562" s="10" t="s">
        <v>773</v>
      </c>
      <c r="L562" s="10">
        <v>24937.0</v>
      </c>
    </row>
    <row r="563">
      <c r="A563" s="1" t="s">
        <v>264</v>
      </c>
      <c r="B563" s="1">
        <v>19666.0</v>
      </c>
      <c r="C563" s="1">
        <v>669920.0</v>
      </c>
      <c r="K563" s="10" t="s">
        <v>574</v>
      </c>
      <c r="L563" s="10">
        <v>31701.0</v>
      </c>
    </row>
    <row r="564">
      <c r="A564" s="1" t="s">
        <v>491</v>
      </c>
      <c r="B564" s="1">
        <v>19479.0</v>
      </c>
      <c r="C564" s="1">
        <v>650644.0</v>
      </c>
      <c r="K564" s="10" t="s">
        <v>716</v>
      </c>
      <c r="L564" s="10">
        <v>17610.0</v>
      </c>
    </row>
    <row r="565">
      <c r="A565" s="1" t="s">
        <v>482</v>
      </c>
      <c r="B565" s="1">
        <v>27775.0</v>
      </c>
      <c r="C565" s="1">
        <v>693312.0</v>
      </c>
      <c r="K565" s="10" t="s">
        <v>179</v>
      </c>
      <c r="L565" s="10">
        <v>21487.0</v>
      </c>
    </row>
    <row r="566">
      <c r="A566" s="1" t="s">
        <v>671</v>
      </c>
      <c r="B566" s="1">
        <v>26259.0</v>
      </c>
      <c r="C566" s="1">
        <v>685801.0</v>
      </c>
      <c r="K566" s="10" t="s">
        <v>827</v>
      </c>
      <c r="L566" s="10">
        <v>17277.0</v>
      </c>
    </row>
    <row r="567">
      <c r="A567" s="1" t="s">
        <v>331</v>
      </c>
      <c r="B567" s="1">
        <v>22630.0</v>
      </c>
      <c r="C567" s="1">
        <v>672456.0</v>
      </c>
      <c r="K567" s="10" t="s">
        <v>394</v>
      </c>
      <c r="L567" s="10">
        <v>14120.0</v>
      </c>
    </row>
    <row r="568">
      <c r="A568" s="1" t="s">
        <v>828</v>
      </c>
      <c r="B568" s="1">
        <v>14524.0</v>
      </c>
      <c r="C568" s="1">
        <v>600917.0</v>
      </c>
      <c r="K568" s="10" t="s">
        <v>145</v>
      </c>
      <c r="L568" s="10">
        <v>29869.0</v>
      </c>
    </row>
    <row r="569">
      <c r="A569" s="1" t="s">
        <v>618</v>
      </c>
      <c r="B569" s="1">
        <v>31989.0</v>
      </c>
      <c r="C569" s="1">
        <v>802419.0</v>
      </c>
      <c r="K569" s="10" t="s">
        <v>743</v>
      </c>
      <c r="L569" s="10">
        <v>16929.0</v>
      </c>
    </row>
    <row r="570">
      <c r="A570" s="1" t="s">
        <v>494</v>
      </c>
      <c r="B570" s="1">
        <v>22872.0</v>
      </c>
      <c r="C570" s="1">
        <v>672782.0</v>
      </c>
      <c r="K570" s="10" t="s">
        <v>806</v>
      </c>
      <c r="L570" s="10">
        <v>26255.0</v>
      </c>
    </row>
    <row r="571">
      <c r="A571" s="1" t="s">
        <v>442</v>
      </c>
      <c r="B571" s="1">
        <v>25379.0</v>
      </c>
      <c r="C571" s="1">
        <v>669674.0</v>
      </c>
      <c r="K571" s="10" t="s">
        <v>829</v>
      </c>
      <c r="L571" s="10">
        <v>23055.0</v>
      </c>
    </row>
    <row r="572">
      <c r="A572" s="1" t="s">
        <v>219</v>
      </c>
      <c r="B572" s="1">
        <v>16647.0</v>
      </c>
      <c r="C572" s="1">
        <v>657044.0</v>
      </c>
      <c r="K572" s="10" t="s">
        <v>596</v>
      </c>
      <c r="L572" s="10">
        <v>26285.0</v>
      </c>
    </row>
    <row r="573">
      <c r="A573" s="1" t="s">
        <v>760</v>
      </c>
      <c r="B573" s="1">
        <v>31751.0</v>
      </c>
      <c r="C573" s="1">
        <v>680729.0</v>
      </c>
      <c r="K573" s="10" t="s">
        <v>818</v>
      </c>
      <c r="L573" s="10">
        <v>27783.0</v>
      </c>
    </row>
    <row r="574">
      <c r="A574" s="1" t="s">
        <v>631</v>
      </c>
      <c r="B574" s="1">
        <v>20203.0</v>
      </c>
      <c r="C574" s="1">
        <v>669212.0</v>
      </c>
      <c r="K574" s="10" t="s">
        <v>96</v>
      </c>
      <c r="L574" s="10">
        <v>27758.0</v>
      </c>
    </row>
    <row r="575">
      <c r="A575" s="1" t="s">
        <v>455</v>
      </c>
      <c r="B575" s="1">
        <v>11589.0</v>
      </c>
      <c r="C575" s="1">
        <v>570632.0</v>
      </c>
      <c r="K575" s="10" t="s">
        <v>283</v>
      </c>
      <c r="L575" s="10">
        <v>21205.0</v>
      </c>
    </row>
    <row r="576">
      <c r="A576" s="1" t="s">
        <v>378</v>
      </c>
      <c r="B576" s="1">
        <v>24862.0</v>
      </c>
      <c r="C576" s="1">
        <v>681676.0</v>
      </c>
      <c r="K576" s="10" t="s">
        <v>766</v>
      </c>
      <c r="L576" s="10">
        <v>20056.0</v>
      </c>
    </row>
    <row r="577">
      <c r="A577" s="1" t="s">
        <v>522</v>
      </c>
      <c r="B577" s="1">
        <v>35323.0</v>
      </c>
      <c r="C577" s="1">
        <v>808963.0</v>
      </c>
      <c r="K577" s="10" t="s">
        <v>352</v>
      </c>
      <c r="L577" s="10">
        <v>27669.0</v>
      </c>
    </row>
    <row r="578">
      <c r="A578" s="1" t="s">
        <v>454</v>
      </c>
      <c r="B578" s="1">
        <v>23150.0</v>
      </c>
      <c r="C578" s="1">
        <v>674370.0</v>
      </c>
      <c r="K578" s="10" t="s">
        <v>767</v>
      </c>
      <c r="L578" s="10">
        <v>23296.0</v>
      </c>
    </row>
    <row r="579">
      <c r="A579" s="1" t="s">
        <v>503</v>
      </c>
      <c r="B579" s="1">
        <v>15043.0</v>
      </c>
      <c r="C579" s="1">
        <v>642152.0</v>
      </c>
      <c r="K579" s="10" t="s">
        <v>797</v>
      </c>
      <c r="L579" s="10">
        <v>22253.0</v>
      </c>
    </row>
    <row r="580">
      <c r="A580" s="1" t="s">
        <v>291</v>
      </c>
      <c r="B580" s="1">
        <v>17968.0</v>
      </c>
      <c r="C580" s="1">
        <v>656271.0</v>
      </c>
      <c r="K580" s="10" t="s">
        <v>722</v>
      </c>
      <c r="L580" s="10">
        <v>19453.0</v>
      </c>
    </row>
    <row r="581">
      <c r="A581" s="1" t="s">
        <v>508</v>
      </c>
      <c r="B581" s="1">
        <v>23135.0</v>
      </c>
      <c r="C581" s="1">
        <v>674285.0</v>
      </c>
      <c r="K581" s="10" t="s">
        <v>703</v>
      </c>
      <c r="L581" s="10">
        <v>27974.0</v>
      </c>
    </row>
    <row r="582">
      <c r="A582" s="1" t="s">
        <v>602</v>
      </c>
      <c r="B582" s="1">
        <v>30170.0</v>
      </c>
      <c r="C582" s="1">
        <v>695534.0</v>
      </c>
      <c r="K582" s="10" t="s">
        <v>471</v>
      </c>
      <c r="L582" s="10">
        <v>21662.0</v>
      </c>
    </row>
    <row r="583">
      <c r="A583" s="1" t="s">
        <v>154</v>
      </c>
      <c r="B583" s="1">
        <v>3096.0</v>
      </c>
      <c r="C583" s="1">
        <v>445276.0</v>
      </c>
      <c r="K583" s="10" t="s">
        <v>434</v>
      </c>
      <c r="L583" s="10">
        <v>31872.0</v>
      </c>
    </row>
    <row r="584">
      <c r="A584" s="1" t="s">
        <v>168</v>
      </c>
      <c r="B584" s="1">
        <v>17169.0</v>
      </c>
      <c r="C584" s="1">
        <v>620454.0</v>
      </c>
      <c r="K584" s="10" t="s">
        <v>751</v>
      </c>
      <c r="L584" s="10">
        <v>13723.0</v>
      </c>
    </row>
    <row r="585">
      <c r="A585" s="1" t="s">
        <v>391</v>
      </c>
      <c r="B585" s="1">
        <v>29628.0</v>
      </c>
      <c r="C585" s="1">
        <v>689690.0</v>
      </c>
      <c r="K585" s="10" t="s">
        <v>444</v>
      </c>
      <c r="L585" s="10">
        <v>24977.0</v>
      </c>
    </row>
    <row r="586">
      <c r="A586" s="1" t="s">
        <v>310</v>
      </c>
      <c r="B586" s="1">
        <v>14706.0</v>
      </c>
      <c r="C586" s="1">
        <v>607455.0</v>
      </c>
      <c r="K586" s="10" t="s">
        <v>779</v>
      </c>
      <c r="L586" s="10">
        <v>21009.0</v>
      </c>
    </row>
    <row r="587">
      <c r="A587" s="1" t="s">
        <v>140</v>
      </c>
      <c r="B587" s="1">
        <v>22717.0</v>
      </c>
      <c r="C587" s="1">
        <v>672582.0</v>
      </c>
      <c r="K587" s="10" t="s">
        <v>315</v>
      </c>
      <c r="L587" s="10">
        <v>24609.0</v>
      </c>
    </row>
    <row r="588">
      <c r="A588" s="1" t="s">
        <v>466</v>
      </c>
      <c r="B588" s="1">
        <v>26419.0</v>
      </c>
      <c r="C588" s="1">
        <v>687134.0</v>
      </c>
      <c r="K588" s="10" t="s">
        <v>305</v>
      </c>
      <c r="L588" s="10">
        <v>22200.0</v>
      </c>
    </row>
    <row r="589">
      <c r="A589" s="1" t="s">
        <v>519</v>
      </c>
      <c r="B589" s="1">
        <v>25139.0</v>
      </c>
      <c r="C589" s="1">
        <v>682120.0</v>
      </c>
      <c r="K589" s="10" t="s">
        <v>763</v>
      </c>
      <c r="L589" s="10">
        <v>15514.0</v>
      </c>
    </row>
    <row r="590">
      <c r="A590" s="1" t="s">
        <v>356</v>
      </c>
      <c r="B590" s="1">
        <v>29878.0</v>
      </c>
      <c r="C590" s="1">
        <v>680732.0</v>
      </c>
      <c r="K590" s="10" t="s">
        <v>788</v>
      </c>
      <c r="L590" s="10">
        <v>21229.0</v>
      </c>
    </row>
    <row r="591">
      <c r="A591" s="1" t="s">
        <v>667</v>
      </c>
      <c r="B591" s="1">
        <v>26079.0</v>
      </c>
      <c r="C591" s="1">
        <v>689225.0</v>
      </c>
      <c r="K591" s="10" t="s">
        <v>621</v>
      </c>
      <c r="L591" s="10">
        <v>29866.0</v>
      </c>
    </row>
    <row r="592">
      <c r="A592" s="1" t="s">
        <v>676</v>
      </c>
      <c r="B592" s="1">
        <v>27453.0</v>
      </c>
      <c r="C592" s="1">
        <v>685107.0</v>
      </c>
      <c r="K592" s="10" t="s">
        <v>202</v>
      </c>
      <c r="L592" s="10">
        <v>23796.0</v>
      </c>
    </row>
    <row r="593">
      <c r="A593" s="1" t="s">
        <v>619</v>
      </c>
      <c r="B593" s="1">
        <v>26257.0</v>
      </c>
      <c r="C593" s="1">
        <v>683155.0</v>
      </c>
      <c r="K593" s="10" t="s">
        <v>517</v>
      </c>
      <c r="L593" s="10">
        <v>26952.0</v>
      </c>
    </row>
    <row r="594">
      <c r="A594" s="1" t="s">
        <v>301</v>
      </c>
      <c r="B594" s="1">
        <v>19879.0</v>
      </c>
      <c r="C594" s="1">
        <v>656557.0</v>
      </c>
      <c r="K594" s="10" t="s">
        <v>197</v>
      </c>
      <c r="L594" s="10">
        <v>31312.0</v>
      </c>
    </row>
    <row r="595">
      <c r="A595" s="1" t="s">
        <v>744</v>
      </c>
      <c r="B595" s="1">
        <v>20962.0</v>
      </c>
      <c r="C595" s="1">
        <v>660730.0</v>
      </c>
      <c r="K595" s="10" t="s">
        <v>830</v>
      </c>
      <c r="L595" s="10">
        <v>22533.0</v>
      </c>
    </row>
    <row r="596">
      <c r="A596" s="1" t="s">
        <v>412</v>
      </c>
      <c r="B596" s="1">
        <v>17874.0</v>
      </c>
      <c r="C596" s="1">
        <v>641482.0</v>
      </c>
      <c r="K596" s="10" t="s">
        <v>764</v>
      </c>
      <c r="L596" s="10">
        <v>15684.0</v>
      </c>
    </row>
    <row r="597">
      <c r="A597" s="1" t="s">
        <v>387</v>
      </c>
      <c r="B597" s="1">
        <v>19990.0</v>
      </c>
      <c r="C597" s="1">
        <v>669060.0</v>
      </c>
      <c r="K597" s="10" t="s">
        <v>831</v>
      </c>
      <c r="L597" s="10">
        <v>19753.0</v>
      </c>
    </row>
    <row r="598">
      <c r="A598" s="1" t="s">
        <v>474</v>
      </c>
      <c r="B598" s="1">
        <v>4676.0</v>
      </c>
      <c r="C598" s="1">
        <v>450203.0</v>
      </c>
      <c r="K598" s="10" t="s">
        <v>762</v>
      </c>
      <c r="L598" s="10">
        <v>16074.0</v>
      </c>
    </row>
    <row r="599">
      <c r="A599" s="1" t="s">
        <v>642</v>
      </c>
      <c r="B599" s="1">
        <v>13470.0</v>
      </c>
      <c r="C599" s="1">
        <v>608371.0</v>
      </c>
      <c r="K599" s="10" t="s">
        <v>739</v>
      </c>
      <c r="L599" s="10">
        <v>19695.0</v>
      </c>
    </row>
    <row r="600">
      <c r="A600" s="1" t="s">
        <v>685</v>
      </c>
      <c r="B600" s="1">
        <v>14857.0</v>
      </c>
      <c r="C600" s="1">
        <v>573009.0</v>
      </c>
      <c r="K600" s="10" t="s">
        <v>502</v>
      </c>
      <c r="L600" s="10">
        <v>22113.0</v>
      </c>
    </row>
    <row r="601">
      <c r="A601" s="1" t="s">
        <v>663</v>
      </c>
      <c r="B601" s="1">
        <v>22361.0</v>
      </c>
      <c r="C601" s="1">
        <v>670059.0</v>
      </c>
      <c r="K601" s="10" t="s">
        <v>449</v>
      </c>
      <c r="L601" s="10">
        <v>31612.0</v>
      </c>
    </row>
    <row r="602">
      <c r="A602" s="1" t="s">
        <v>400</v>
      </c>
      <c r="B602" s="1">
        <v>20539.0</v>
      </c>
      <c r="C602" s="1">
        <v>670955.0</v>
      </c>
      <c r="K602" s="10" t="s">
        <v>771</v>
      </c>
      <c r="L602" s="10">
        <v>29521.0</v>
      </c>
    </row>
    <row r="603">
      <c r="A603" s="1" t="s">
        <v>469</v>
      </c>
      <c r="B603" s="1">
        <v>21863.0</v>
      </c>
      <c r="C603" s="1">
        <v>666277.0</v>
      </c>
      <c r="K603" s="10" t="s">
        <v>741</v>
      </c>
      <c r="L603" s="10">
        <v>19315.0</v>
      </c>
    </row>
    <row r="604">
      <c r="A604" s="1" t="s">
        <v>174</v>
      </c>
      <c r="B604" s="1">
        <v>15552.0</v>
      </c>
      <c r="C604" s="1">
        <v>643338.0</v>
      </c>
      <c r="K604" s="10" t="s">
        <v>793</v>
      </c>
      <c r="L604" s="10">
        <v>26034.0</v>
      </c>
    </row>
    <row r="605">
      <c r="A605" s="1" t="s">
        <v>428</v>
      </c>
      <c r="B605" s="1">
        <v>20548.0</v>
      </c>
      <c r="C605" s="1">
        <v>670102.0</v>
      </c>
      <c r="K605" s="10" t="s">
        <v>306</v>
      </c>
      <c r="L605" s="10">
        <v>27500.0</v>
      </c>
    </row>
    <row r="606">
      <c r="A606" s="1" t="s">
        <v>832</v>
      </c>
      <c r="B606" s="1">
        <v>21132.0</v>
      </c>
      <c r="C606" s="1">
        <v>664747.0</v>
      </c>
      <c r="K606" s="10" t="s">
        <v>724</v>
      </c>
      <c r="L606" s="10">
        <v>15094.0</v>
      </c>
    </row>
    <row r="607">
      <c r="A607" s="1" t="s">
        <v>184</v>
      </c>
      <c r="B607" s="1">
        <v>17130.0</v>
      </c>
      <c r="C607" s="1">
        <v>628452.0</v>
      </c>
      <c r="K607" s="10" t="s">
        <v>457</v>
      </c>
      <c r="L607" s="10">
        <v>2036.0</v>
      </c>
    </row>
    <row r="608">
      <c r="A608" s="1" t="s">
        <v>108</v>
      </c>
      <c r="B608" s="1">
        <v>17948.0</v>
      </c>
      <c r="C608" s="1">
        <v>663423.0</v>
      </c>
      <c r="K608" s="10" t="s">
        <v>758</v>
      </c>
      <c r="L608" s="10">
        <v>26191.0</v>
      </c>
    </row>
    <row r="609">
      <c r="A609" s="1" t="s">
        <v>588</v>
      </c>
      <c r="B609" s="1">
        <v>10123.0</v>
      </c>
      <c r="C609" s="1">
        <v>502043.0</v>
      </c>
      <c r="K609" s="10" t="s">
        <v>393</v>
      </c>
      <c r="L609" s="10">
        <v>27756.0</v>
      </c>
    </row>
    <row r="610">
      <c r="A610" s="10" t="s">
        <v>35</v>
      </c>
      <c r="B610" s="10">
        <f t="array" ref="B610">index(L:L,match(A610,K:K,0))</f>
        <v>23301</v>
      </c>
      <c r="C610" s="10">
        <v>676083.0</v>
      </c>
      <c r="K610" s="10" t="s">
        <v>212</v>
      </c>
      <c r="L610" s="10">
        <v>31827.0</v>
      </c>
    </row>
    <row r="611">
      <c r="A611" s="10" t="s">
        <v>164</v>
      </c>
      <c r="B611" s="10">
        <v>25436.0</v>
      </c>
      <c r="C611" s="10">
        <v>669923.0</v>
      </c>
      <c r="K611" s="10" t="s">
        <v>833</v>
      </c>
      <c r="L611" s="10">
        <v>13755.0</v>
      </c>
    </row>
    <row r="612">
      <c r="A612" s="10" t="s">
        <v>188</v>
      </c>
      <c r="B612" s="10">
        <v>31623.0</v>
      </c>
      <c r="C612" s="10">
        <v>694819.0</v>
      </c>
      <c r="K612" s="10" t="s">
        <v>63</v>
      </c>
      <c r="L612" s="10">
        <v>26056.0</v>
      </c>
    </row>
    <row r="613">
      <c r="A613" s="10" t="s">
        <v>553</v>
      </c>
      <c r="B613" s="10">
        <v>30661.0</v>
      </c>
      <c r="C613" s="10">
        <v>800311.0</v>
      </c>
      <c r="K613" s="10" t="s">
        <v>411</v>
      </c>
      <c r="L613" s="10">
        <v>12718.0</v>
      </c>
    </row>
    <row r="614">
      <c r="A614" s="10" t="s">
        <v>299</v>
      </c>
      <c r="B614" s="10">
        <v>14739.0</v>
      </c>
      <c r="C614" s="10">
        <v>621112.0</v>
      </c>
      <c r="K614" s="10" t="s">
        <v>258</v>
      </c>
      <c r="L614" s="10">
        <v>23426.0</v>
      </c>
    </row>
    <row r="615">
      <c r="A615" s="10" t="s">
        <v>194</v>
      </c>
      <c r="B615" s="10">
        <v>26378.0</v>
      </c>
      <c r="C615" s="10">
        <v>666157.0</v>
      </c>
      <c r="K615" s="10" t="s">
        <v>834</v>
      </c>
      <c r="L615" s="10">
        <v>7836.0</v>
      </c>
    </row>
    <row r="616">
      <c r="A616" s="10" t="s">
        <v>172</v>
      </c>
      <c r="B616" s="10">
        <v>13932.0</v>
      </c>
      <c r="C616" s="10">
        <v>608650.0</v>
      </c>
      <c r="K616" s="10" t="s">
        <v>48</v>
      </c>
      <c r="L616" s="10">
        <v>12828.0</v>
      </c>
    </row>
    <row r="617">
      <c r="A617" s="10" t="s">
        <v>63</v>
      </c>
      <c r="B617" s="10">
        <v>26056.0</v>
      </c>
      <c r="C617" s="10">
        <v>687888.0</v>
      </c>
      <c r="K617" s="10" t="s">
        <v>835</v>
      </c>
      <c r="L617" s="10">
        <v>22176.0</v>
      </c>
    </row>
    <row r="618">
      <c r="A618" s="10" t="s">
        <v>411</v>
      </c>
      <c r="B618" s="10">
        <v>12718.0</v>
      </c>
      <c r="C618" s="10">
        <v>605288.0</v>
      </c>
      <c r="K618" s="10" t="s">
        <v>836</v>
      </c>
      <c r="L618" s="10">
        <v>15730.0</v>
      </c>
    </row>
    <row r="619">
      <c r="A619" s="10" t="s">
        <v>118</v>
      </c>
      <c r="B619" s="10">
        <v>35333.0</v>
      </c>
      <c r="C619" s="10">
        <v>695505.0</v>
      </c>
      <c r="K619" s="10" t="s">
        <v>837</v>
      </c>
      <c r="L619" s="10">
        <v>24458.0</v>
      </c>
    </row>
    <row r="620">
      <c r="A620" s="10" t="s">
        <v>218</v>
      </c>
      <c r="B620" s="10">
        <v>22286.0</v>
      </c>
      <c r="C620" s="10">
        <v>669432.0</v>
      </c>
      <c r="K620" s="10" t="s">
        <v>338</v>
      </c>
      <c r="L620" s="10">
        <v>20385.0</v>
      </c>
    </row>
    <row r="621">
      <c r="A621" s="10" t="s">
        <v>566</v>
      </c>
      <c r="B621" s="10">
        <v>26048.0</v>
      </c>
      <c r="C621" s="10">
        <v>687830.0</v>
      </c>
      <c r="K621" s="10" t="s">
        <v>320</v>
      </c>
      <c r="L621" s="10">
        <v>24728.0</v>
      </c>
    </row>
    <row r="622">
      <c r="A622" s="10" t="s">
        <v>571</v>
      </c>
      <c r="B622" s="10">
        <v>19524.0</v>
      </c>
      <c r="C622" s="10">
        <v>660604.0</v>
      </c>
      <c r="K622" s="10" t="s">
        <v>587</v>
      </c>
      <c r="L622" s="10">
        <v>30161.0</v>
      </c>
    </row>
    <row r="623">
      <c r="A623" s="10" t="s">
        <v>323</v>
      </c>
      <c r="B623" s="1">
        <v>27768.0</v>
      </c>
      <c r="C623" s="10">
        <v>691587.0</v>
      </c>
      <c r="K623" s="10" t="s">
        <v>164</v>
      </c>
      <c r="L623" s="10">
        <v>25436.0</v>
      </c>
    </row>
    <row r="624">
      <c r="A624" s="10" t="s">
        <v>320</v>
      </c>
      <c r="B624" s="10">
        <v>24728.0</v>
      </c>
      <c r="C624" s="10">
        <v>681347.0</v>
      </c>
      <c r="K624" s="10" t="s">
        <v>838</v>
      </c>
      <c r="L624" s="10">
        <v>19844.0</v>
      </c>
    </row>
    <row r="625">
      <c r="A625" s="10" t="s">
        <v>369</v>
      </c>
      <c r="B625" s="10">
        <v>16561.0</v>
      </c>
      <c r="C625" s="10">
        <v>596295.0</v>
      </c>
      <c r="K625" s="10" t="s">
        <v>839</v>
      </c>
      <c r="L625" s="10">
        <v>19890.0</v>
      </c>
    </row>
    <row r="626">
      <c r="A626" s="10" t="s">
        <v>368</v>
      </c>
      <c r="B626" s="10">
        <v>13164.0</v>
      </c>
      <c r="C626" s="10">
        <v>593958.0</v>
      </c>
      <c r="K626" s="10" t="s">
        <v>124</v>
      </c>
      <c r="L626" s="10">
        <v>21584.0</v>
      </c>
    </row>
    <row r="627">
      <c r="A627" s="10" t="s">
        <v>593</v>
      </c>
      <c r="B627" s="10">
        <v>22273.0</v>
      </c>
      <c r="C627" s="10">
        <v>669391.0</v>
      </c>
      <c r="K627" s="10" t="s">
        <v>200</v>
      </c>
      <c r="L627" s="10">
        <v>23550.0</v>
      </c>
    </row>
    <row r="628">
      <c r="A628" s="10" t="s">
        <v>176</v>
      </c>
      <c r="B628" s="10">
        <v>29839.0</v>
      </c>
      <c r="C628" s="10">
        <v>686218.0</v>
      </c>
      <c r="K628" s="10" t="s">
        <v>218</v>
      </c>
      <c r="L628" s="10">
        <v>22286.0</v>
      </c>
    </row>
    <row r="629">
      <c r="A629" s="10" t="s">
        <v>410</v>
      </c>
      <c r="B629" s="10">
        <v>23920.0</v>
      </c>
      <c r="C629" s="10">
        <v>678394.0</v>
      </c>
      <c r="K629" s="10" t="s">
        <v>840</v>
      </c>
      <c r="L629" s="10">
        <v>21189.0</v>
      </c>
    </row>
    <row r="630">
      <c r="A630" s="10" t="s">
        <v>150</v>
      </c>
      <c r="B630" s="10">
        <v>21390.0</v>
      </c>
      <c r="C630" s="10">
        <v>657746.0</v>
      </c>
      <c r="K630" s="10" t="s">
        <v>35</v>
      </c>
      <c r="L630" s="10">
        <v>23301.0</v>
      </c>
    </row>
    <row r="631">
      <c r="A631" s="10" t="s">
        <v>590</v>
      </c>
      <c r="B631" s="10">
        <v>31900.0</v>
      </c>
      <c r="C631" s="10">
        <v>800049.0</v>
      </c>
      <c r="K631" s="10" t="s">
        <v>375</v>
      </c>
      <c r="L631" s="10">
        <v>25553.0</v>
      </c>
    </row>
    <row r="632">
      <c r="A632" s="10" t="s">
        <v>841</v>
      </c>
      <c r="B632" s="1">
        <v>14309.0</v>
      </c>
      <c r="C632" s="10">
        <v>593423.0</v>
      </c>
      <c r="K632" s="10" t="s">
        <v>842</v>
      </c>
      <c r="L632" s="10">
        <v>25353.0</v>
      </c>
    </row>
    <row r="633">
      <c r="A633" s="10" t="s">
        <v>605</v>
      </c>
      <c r="B633" s="10">
        <v>8779.0</v>
      </c>
      <c r="C633" s="10">
        <v>489119.0</v>
      </c>
      <c r="K633" s="10" t="s">
        <v>265</v>
      </c>
      <c r="L633" s="10">
        <v>22207.0</v>
      </c>
    </row>
    <row r="634">
      <c r="A634" s="10" t="s">
        <v>601</v>
      </c>
      <c r="B634" s="10">
        <v>21238.0</v>
      </c>
      <c r="C634" s="10">
        <v>642216.0</v>
      </c>
      <c r="K634" s="10" t="s">
        <v>277</v>
      </c>
      <c r="L634" s="10">
        <v>23793.0</v>
      </c>
    </row>
    <row r="635">
      <c r="A635" s="10" t="s">
        <v>587</v>
      </c>
      <c r="B635" s="10">
        <v>30161.0</v>
      </c>
      <c r="C635" s="10">
        <v>692230.0</v>
      </c>
      <c r="K635" s="10" t="s">
        <v>498</v>
      </c>
      <c r="L635" s="10">
        <v>31616.0</v>
      </c>
    </row>
    <row r="636">
      <c r="A636" s="10" t="s">
        <v>614</v>
      </c>
      <c r="B636" s="10">
        <v>25550.0</v>
      </c>
      <c r="C636" s="10">
        <v>663362.0</v>
      </c>
      <c r="K636" s="10" t="s">
        <v>843</v>
      </c>
      <c r="L636" s="10">
        <v>25215.0</v>
      </c>
    </row>
    <row r="637">
      <c r="K637" s="10" t="s">
        <v>844</v>
      </c>
      <c r="L637" s="10">
        <v>33834.0</v>
      </c>
    </row>
    <row r="638">
      <c r="K638" s="10" t="s">
        <v>845</v>
      </c>
      <c r="L638" s="10">
        <v>13594.0</v>
      </c>
    </row>
    <row r="639">
      <c r="K639" s="10" t="s">
        <v>846</v>
      </c>
      <c r="L639" s="10">
        <v>21549.0</v>
      </c>
    </row>
    <row r="640">
      <c r="K640" s="10" t="s">
        <v>847</v>
      </c>
      <c r="L640" s="10">
        <v>26117.0</v>
      </c>
    </row>
    <row r="641">
      <c r="K641" s="10" t="s">
        <v>244</v>
      </c>
      <c r="L641" s="10">
        <v>29928.0</v>
      </c>
    </row>
    <row r="642">
      <c r="K642" s="10" t="s">
        <v>848</v>
      </c>
      <c r="L642" s="10">
        <v>23592.0</v>
      </c>
    </row>
    <row r="643">
      <c r="K643" s="10" t="s">
        <v>849</v>
      </c>
      <c r="L643" s="10">
        <v>24641.0</v>
      </c>
    </row>
    <row r="644">
      <c r="K644" s="10" t="s">
        <v>850</v>
      </c>
      <c r="L644" s="10">
        <v>21587.0</v>
      </c>
    </row>
    <row r="645">
      <c r="K645" s="10" t="s">
        <v>851</v>
      </c>
      <c r="L645" s="10">
        <v>16507.0</v>
      </c>
    </row>
    <row r="646">
      <c r="K646" s="10" t="s">
        <v>852</v>
      </c>
      <c r="L646" s="10">
        <v>27615.0</v>
      </c>
    </row>
    <row r="647">
      <c r="K647" s="10" t="s">
        <v>853</v>
      </c>
      <c r="L647" s="10">
        <v>29633.0</v>
      </c>
    </row>
    <row r="648">
      <c r="K648" s="10" t="s">
        <v>854</v>
      </c>
      <c r="L648" s="10">
        <v>16631.0</v>
      </c>
    </row>
    <row r="649">
      <c r="K649" s="10" t="s">
        <v>855</v>
      </c>
      <c r="L649" s="10">
        <v>19358.0</v>
      </c>
    </row>
    <row r="650">
      <c r="K650" s="10" t="s">
        <v>856</v>
      </c>
      <c r="L650" s="10">
        <v>16357.0</v>
      </c>
    </row>
    <row r="651">
      <c r="K651" s="10" t="s">
        <v>857</v>
      </c>
      <c r="L651" s="10">
        <v>29107.0</v>
      </c>
    </row>
    <row r="652">
      <c r="K652" s="10" t="s">
        <v>858</v>
      </c>
      <c r="L652" s="10">
        <v>16587.0</v>
      </c>
    </row>
    <row r="653">
      <c r="K653" s="10" t="s">
        <v>859</v>
      </c>
      <c r="L653" s="10">
        <v>25040.0</v>
      </c>
    </row>
    <row r="654">
      <c r="K654" s="10" t="s">
        <v>860</v>
      </c>
      <c r="L654" s="10">
        <v>30145.0</v>
      </c>
    </row>
    <row r="655">
      <c r="K655" s="10" t="s">
        <v>299</v>
      </c>
      <c r="L655" s="10">
        <v>14739.0</v>
      </c>
    </row>
    <row r="656">
      <c r="K656" s="10" t="s">
        <v>861</v>
      </c>
      <c r="L656" s="10">
        <v>23293.0</v>
      </c>
    </row>
    <row r="657">
      <c r="K657" s="10" t="s">
        <v>605</v>
      </c>
      <c r="L657" s="10">
        <v>8779.0</v>
      </c>
    </row>
    <row r="658">
      <c r="K658" s="10" t="s">
        <v>617</v>
      </c>
      <c r="L658" s="10">
        <v>26443.0</v>
      </c>
    </row>
    <row r="659">
      <c r="K659" s="10" t="s">
        <v>566</v>
      </c>
      <c r="L659" s="10">
        <v>26048.0</v>
      </c>
    </row>
    <row r="660">
      <c r="K660" s="10" t="s">
        <v>862</v>
      </c>
      <c r="L660" s="10">
        <v>21481.0</v>
      </c>
    </row>
    <row r="661">
      <c r="K661" s="10" t="s">
        <v>863</v>
      </c>
      <c r="L661" s="10">
        <v>26020.0</v>
      </c>
    </row>
    <row r="662">
      <c r="K662" s="10" t="s">
        <v>436</v>
      </c>
      <c r="L662" s="10">
        <v>12791.0</v>
      </c>
    </row>
    <row r="663">
      <c r="K663" s="10" t="s">
        <v>864</v>
      </c>
      <c r="L663" s="10">
        <v>24703.0</v>
      </c>
    </row>
    <row r="664">
      <c r="K664" s="10" t="s">
        <v>571</v>
      </c>
      <c r="L664" s="10">
        <v>19524.0</v>
      </c>
    </row>
    <row r="665">
      <c r="K665" s="10" t="s">
        <v>865</v>
      </c>
      <c r="L665" s="10">
        <v>6655.0</v>
      </c>
    </row>
    <row r="666">
      <c r="K666" s="10" t="s">
        <v>866</v>
      </c>
      <c r="L666" s="10">
        <v>17040.0</v>
      </c>
    </row>
    <row r="667">
      <c r="K667" s="10" t="s">
        <v>867</v>
      </c>
      <c r="L667" s="10">
        <v>25481.0</v>
      </c>
    </row>
    <row r="668">
      <c r="K668" s="10" t="s">
        <v>868</v>
      </c>
      <c r="L668" s="10">
        <v>30206.0</v>
      </c>
    </row>
    <row r="669">
      <c r="K669" s="10" t="s">
        <v>869</v>
      </c>
      <c r="L669" s="10">
        <v>19309.0</v>
      </c>
    </row>
    <row r="670">
      <c r="K670" s="10" t="s">
        <v>545</v>
      </c>
      <c r="L670" s="10">
        <v>29615.0</v>
      </c>
    </row>
    <row r="671">
      <c r="K671" s="10" t="s">
        <v>870</v>
      </c>
      <c r="L671" s="10">
        <v>17282.0</v>
      </c>
    </row>
    <row r="672">
      <c r="K672" s="10" t="s">
        <v>871</v>
      </c>
      <c r="L672" s="10">
        <v>27768.0</v>
      </c>
    </row>
    <row r="673">
      <c r="K673" s="10" t="s">
        <v>364</v>
      </c>
      <c r="L673" s="10">
        <v>27932.0</v>
      </c>
    </row>
    <row r="674">
      <c r="K674" s="10" t="s">
        <v>872</v>
      </c>
      <c r="L674" s="10">
        <v>19784.0</v>
      </c>
    </row>
    <row r="675">
      <c r="K675" s="10" t="s">
        <v>106</v>
      </c>
      <c r="L675" s="10">
        <v>33927.0</v>
      </c>
    </row>
    <row r="676">
      <c r="K676" s="10" t="s">
        <v>873</v>
      </c>
      <c r="L676" s="10">
        <v>23223.0</v>
      </c>
    </row>
    <row r="677">
      <c r="K677" s="10" t="s">
        <v>874</v>
      </c>
      <c r="L677" s="10">
        <v>16207.0</v>
      </c>
    </row>
    <row r="678">
      <c r="K678" s="10" t="s">
        <v>593</v>
      </c>
      <c r="L678" s="10">
        <v>22273.0</v>
      </c>
    </row>
    <row r="679">
      <c r="K679" s="10" t="s">
        <v>875</v>
      </c>
      <c r="L679" s="10">
        <v>29542.0</v>
      </c>
    </row>
    <row r="680">
      <c r="K680" s="10" t="s">
        <v>188</v>
      </c>
      <c r="L680" s="10">
        <v>31623.0</v>
      </c>
    </row>
    <row r="681">
      <c r="K681" s="10" t="s">
        <v>448</v>
      </c>
      <c r="L681" s="10">
        <v>17381.0</v>
      </c>
    </row>
    <row r="682">
      <c r="K682" s="10" t="s">
        <v>876</v>
      </c>
      <c r="L682" s="10">
        <v>19452.0</v>
      </c>
    </row>
    <row r="683">
      <c r="K683" s="10" t="s">
        <v>877</v>
      </c>
      <c r="L683" s="10">
        <v>29754.0</v>
      </c>
    </row>
    <row r="684">
      <c r="K684" s="10" t="s">
        <v>878</v>
      </c>
      <c r="L684" s="10">
        <v>20626.0</v>
      </c>
    </row>
    <row r="685">
      <c r="K685" s="10" t="s">
        <v>369</v>
      </c>
      <c r="L685" s="10">
        <v>16561.0</v>
      </c>
    </row>
    <row r="686">
      <c r="K686" s="10" t="s">
        <v>879</v>
      </c>
      <c r="L686" s="10">
        <v>19931.0</v>
      </c>
    </row>
    <row r="687">
      <c r="K687" s="10" t="s">
        <v>880</v>
      </c>
      <c r="L687" s="10">
        <v>23324.0</v>
      </c>
    </row>
    <row r="688">
      <c r="K688" s="10" t="s">
        <v>881</v>
      </c>
      <c r="L688" s="10">
        <v>20404.0</v>
      </c>
    </row>
    <row r="689">
      <c r="K689" s="10" t="s">
        <v>274</v>
      </c>
      <c r="L689" s="10">
        <v>13050.0</v>
      </c>
    </row>
    <row r="690">
      <c r="K690" s="10" t="s">
        <v>483</v>
      </c>
      <c r="L690" s="10">
        <v>19320.0</v>
      </c>
    </row>
    <row r="691">
      <c r="K691" s="10" t="s">
        <v>882</v>
      </c>
      <c r="L691" s="10">
        <v>20185.0</v>
      </c>
    </row>
    <row r="692">
      <c r="K692" s="10" t="s">
        <v>136</v>
      </c>
      <c r="L692" s="10">
        <v>19755.0</v>
      </c>
    </row>
    <row r="693">
      <c r="K693" s="10" t="s">
        <v>883</v>
      </c>
      <c r="L693" s="10">
        <v>18384.0</v>
      </c>
    </row>
    <row r="694">
      <c r="K694" s="10" t="s">
        <v>590</v>
      </c>
      <c r="L694" s="10">
        <v>31900.0</v>
      </c>
    </row>
    <row r="695">
      <c r="K695" s="10" t="s">
        <v>884</v>
      </c>
      <c r="L695" s="10">
        <v>23779.0</v>
      </c>
    </row>
    <row r="696">
      <c r="K696" s="10" t="s">
        <v>885</v>
      </c>
      <c r="L696" s="10">
        <v>19281.0</v>
      </c>
    </row>
    <row r="697">
      <c r="K697" s="10" t="s">
        <v>176</v>
      </c>
      <c r="L697" s="10">
        <v>29839.0</v>
      </c>
    </row>
    <row r="698">
      <c r="K698" s="10" t="s">
        <v>886</v>
      </c>
      <c r="L698" s="10">
        <v>26152.0</v>
      </c>
    </row>
    <row r="699">
      <c r="K699" s="10" t="s">
        <v>887</v>
      </c>
      <c r="L699" s="10">
        <v>26641.0</v>
      </c>
    </row>
    <row r="700">
      <c r="K700" s="10" t="s">
        <v>888</v>
      </c>
      <c r="L700" s="10">
        <v>23091.0</v>
      </c>
    </row>
    <row r="701">
      <c r="K701" s="10" t="s">
        <v>553</v>
      </c>
      <c r="L701" s="10">
        <v>30661.0</v>
      </c>
    </row>
    <row r="702">
      <c r="K702" s="10" t="s">
        <v>889</v>
      </c>
      <c r="L702" s="10">
        <v>27649.0</v>
      </c>
    </row>
    <row r="703">
      <c r="K703" s="10" t="s">
        <v>890</v>
      </c>
      <c r="L703" s="10">
        <v>31571.0</v>
      </c>
    </row>
    <row r="704">
      <c r="K704" s="10" t="s">
        <v>594</v>
      </c>
      <c r="L704" s="10">
        <v>17578.0</v>
      </c>
    </row>
    <row r="705">
      <c r="K705" s="10" t="s">
        <v>891</v>
      </c>
      <c r="L705" s="10">
        <v>23442.0</v>
      </c>
    </row>
    <row r="706">
      <c r="K706" s="10" t="s">
        <v>892</v>
      </c>
      <c r="L706" s="10">
        <v>31598.0</v>
      </c>
    </row>
    <row r="707">
      <c r="K707" s="10" t="s">
        <v>446</v>
      </c>
      <c r="L707" s="10">
        <v>25957.0</v>
      </c>
    </row>
    <row r="708">
      <c r="K708" s="10" t="s">
        <v>893</v>
      </c>
      <c r="L708" s="10">
        <v>27787.0</v>
      </c>
    </row>
    <row r="709">
      <c r="K709" s="10" t="s">
        <v>565</v>
      </c>
      <c r="L709" s="10">
        <v>24604.0</v>
      </c>
    </row>
    <row r="710">
      <c r="K710" s="10" t="s">
        <v>350</v>
      </c>
      <c r="L710" s="10">
        <v>31468.0</v>
      </c>
    </row>
    <row r="711">
      <c r="K711" s="10" t="s">
        <v>894</v>
      </c>
      <c r="L711" s="10">
        <v>20379.0</v>
      </c>
    </row>
    <row r="712">
      <c r="K712" s="10" t="s">
        <v>601</v>
      </c>
      <c r="L712" s="10">
        <v>21238.0</v>
      </c>
    </row>
    <row r="713">
      <c r="K713" s="10" t="s">
        <v>895</v>
      </c>
      <c r="L713" s="10">
        <v>26304.0</v>
      </c>
    </row>
    <row r="714">
      <c r="K714" s="10" t="s">
        <v>379</v>
      </c>
      <c r="L714" s="10">
        <v>14309.0</v>
      </c>
    </row>
    <row r="715">
      <c r="K715" s="10" t="s">
        <v>118</v>
      </c>
      <c r="L715" s="10">
        <v>35333.0</v>
      </c>
    </row>
    <row r="716">
      <c r="K716" s="10" t="s">
        <v>896</v>
      </c>
      <c r="L716" s="10">
        <v>33980.0</v>
      </c>
    </row>
    <row r="717">
      <c r="K717" s="10" t="s">
        <v>897</v>
      </c>
      <c r="L717" s="10">
        <v>19262.0</v>
      </c>
    </row>
    <row r="718">
      <c r="K718" s="10" t="s">
        <v>172</v>
      </c>
      <c r="L718" s="10">
        <v>13932.0</v>
      </c>
    </row>
    <row r="719">
      <c r="K719" s="10" t="s">
        <v>898</v>
      </c>
      <c r="L719" s="10">
        <v>20017.0</v>
      </c>
    </row>
    <row r="720">
      <c r="K720" s="10" t="s">
        <v>899</v>
      </c>
      <c r="L720" s="10">
        <v>23401.0</v>
      </c>
    </row>
    <row r="721">
      <c r="K721" s="10" t="s">
        <v>900</v>
      </c>
      <c r="L721" s="10">
        <v>25055.0</v>
      </c>
    </row>
    <row r="722">
      <c r="K722" s="10" t="s">
        <v>543</v>
      </c>
      <c r="L722" s="10">
        <v>24978.0</v>
      </c>
    </row>
    <row r="723">
      <c r="K723" s="10" t="s">
        <v>901</v>
      </c>
      <c r="L723" s="10">
        <v>30016.0</v>
      </c>
    </row>
    <row r="724">
      <c r="K724" s="10" t="s">
        <v>902</v>
      </c>
      <c r="L724" s="10">
        <v>13897.0</v>
      </c>
    </row>
    <row r="725">
      <c r="K725" s="10" t="s">
        <v>402</v>
      </c>
      <c r="L725" s="10">
        <v>26214.0</v>
      </c>
    </row>
    <row r="726">
      <c r="K726" s="10" t="s">
        <v>903</v>
      </c>
      <c r="L726" s="10">
        <v>13190.0</v>
      </c>
    </row>
    <row r="727">
      <c r="K727" s="10" t="s">
        <v>904</v>
      </c>
      <c r="L727" s="10">
        <v>13768.0</v>
      </c>
    </row>
    <row r="728">
      <c r="K728" s="10" t="s">
        <v>501</v>
      </c>
      <c r="L728" s="10">
        <v>30084.0</v>
      </c>
    </row>
    <row r="729">
      <c r="K729" s="10" t="s">
        <v>149</v>
      </c>
      <c r="L729" s="10">
        <v>16128.0</v>
      </c>
    </row>
    <row r="730">
      <c r="K730" s="10" t="s">
        <v>614</v>
      </c>
      <c r="L730" s="10">
        <v>25550.0</v>
      </c>
    </row>
    <row r="731">
      <c r="K731" s="10" t="s">
        <v>905</v>
      </c>
      <c r="L731" s="10">
        <v>16725.0</v>
      </c>
    </row>
    <row r="732">
      <c r="K732" s="10" t="s">
        <v>906</v>
      </c>
      <c r="L732" s="10">
        <v>19558.0</v>
      </c>
    </row>
    <row r="733">
      <c r="K733" s="10" t="s">
        <v>907</v>
      </c>
      <c r="L733" s="10">
        <v>27271.0</v>
      </c>
    </row>
    <row r="734">
      <c r="K734" s="10" t="s">
        <v>908</v>
      </c>
      <c r="L734" s="10">
        <v>23162.0</v>
      </c>
    </row>
    <row r="735">
      <c r="K735" s="10" t="s">
        <v>909</v>
      </c>
      <c r="L735" s="10">
        <v>27967.0</v>
      </c>
    </row>
    <row r="736">
      <c r="K736" s="10" t="s">
        <v>910</v>
      </c>
      <c r="L736" s="10">
        <v>19884.0</v>
      </c>
    </row>
    <row r="737">
      <c r="K737" s="10" t="s">
        <v>328</v>
      </c>
      <c r="L737" s="10">
        <v>18674.0</v>
      </c>
    </row>
    <row r="738">
      <c r="K738" s="10" t="s">
        <v>911</v>
      </c>
      <c r="L738" s="10">
        <v>27494.0</v>
      </c>
    </row>
    <row r="739">
      <c r="K739" s="10" t="s">
        <v>912</v>
      </c>
      <c r="L739" s="10">
        <v>12037.0</v>
      </c>
    </row>
    <row r="740">
      <c r="K740" s="10" t="s">
        <v>583</v>
      </c>
      <c r="L740" s="10">
        <v>30171.0</v>
      </c>
    </row>
    <row r="741">
      <c r="K741" s="10"/>
      <c r="L741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913</v>
      </c>
      <c r="B1" s="1" t="s">
        <v>23</v>
      </c>
      <c r="C1" s="1" t="s">
        <v>914</v>
      </c>
      <c r="D1" s="1" t="s">
        <v>2</v>
      </c>
      <c r="E1" s="1" t="s">
        <v>628</v>
      </c>
      <c r="F1" s="1" t="s">
        <v>915</v>
      </c>
      <c r="G1" s="1" t="s">
        <v>5</v>
      </c>
    </row>
    <row r="2">
      <c r="A2" s="76">
        <v>45734.0</v>
      </c>
      <c r="B2" s="1" t="s">
        <v>629</v>
      </c>
      <c r="C2" s="1" t="s">
        <v>34</v>
      </c>
      <c r="D2" s="1">
        <v>1.0</v>
      </c>
      <c r="E2" s="1">
        <v>5615.0</v>
      </c>
      <c r="F2" s="10">
        <f t="shared" ref="F2:F11252" si="1">INT(D2)+if(len(D2)=3,int(right(D2))/3,0)</f>
        <v>1</v>
      </c>
      <c r="G2" s="10">
        <f t="array" ref="G2">index('Player ID'!C:C,match(E2,'Player ID'!B:B,0))</f>
        <v>518489</v>
      </c>
    </row>
    <row r="3">
      <c r="A3" s="76">
        <v>45734.0</v>
      </c>
      <c r="B3" s="1" t="s">
        <v>630</v>
      </c>
      <c r="C3" s="1" t="s">
        <v>33</v>
      </c>
      <c r="D3" s="1">
        <v>1.0</v>
      </c>
      <c r="E3" s="1">
        <v>12572.0</v>
      </c>
      <c r="F3" s="10">
        <f t="shared" si="1"/>
        <v>1</v>
      </c>
      <c r="G3" s="10">
        <f t="array" ref="G3">index('Player ID'!C:C,match(E3,'Player ID'!B:B,0))</f>
        <v>595014</v>
      </c>
    </row>
    <row r="4">
      <c r="A4" s="76">
        <v>45734.0</v>
      </c>
      <c r="B4" s="1" t="s">
        <v>310</v>
      </c>
      <c r="C4" s="1" t="s">
        <v>33</v>
      </c>
      <c r="D4" s="1">
        <v>1.0</v>
      </c>
      <c r="E4" s="1">
        <v>14706.0</v>
      </c>
      <c r="F4" s="10">
        <f t="shared" si="1"/>
        <v>1</v>
      </c>
      <c r="G4" s="10">
        <f t="array" ref="G4">index('Player ID'!C:C,match(E4,'Player ID'!B:B,0))</f>
        <v>607455</v>
      </c>
    </row>
    <row r="5">
      <c r="A5" s="76">
        <v>45734.0</v>
      </c>
      <c r="B5" s="1" t="s">
        <v>32</v>
      </c>
      <c r="C5" s="1" t="s">
        <v>33</v>
      </c>
      <c r="D5" s="1">
        <v>1.0</v>
      </c>
      <c r="E5" s="1">
        <v>17586.0</v>
      </c>
      <c r="F5" s="10">
        <f t="shared" si="1"/>
        <v>1</v>
      </c>
      <c r="G5" s="10">
        <f t="array" ref="G5">index('Player ID'!C:C,match(E5,'Player ID'!B:B,0))</f>
        <v>656945</v>
      </c>
    </row>
    <row r="6">
      <c r="A6" s="76">
        <v>45734.0</v>
      </c>
      <c r="B6" s="1" t="s">
        <v>631</v>
      </c>
      <c r="C6" s="1" t="s">
        <v>34</v>
      </c>
      <c r="D6" s="1">
        <v>1.1</v>
      </c>
      <c r="E6" s="1">
        <v>20203.0</v>
      </c>
      <c r="F6" s="10">
        <f t="shared" si="1"/>
        <v>1.333333333</v>
      </c>
      <c r="G6" s="10">
        <f t="array" ref="G6">index('Player ID'!C:C,match(E6,'Player ID'!B:B,0))</f>
        <v>669212</v>
      </c>
    </row>
    <row r="7">
      <c r="A7" s="76">
        <v>45734.0</v>
      </c>
      <c r="B7" s="1" t="s">
        <v>341</v>
      </c>
      <c r="C7" s="1" t="s">
        <v>34</v>
      </c>
      <c r="D7" s="1">
        <v>2.2</v>
      </c>
      <c r="E7" s="1">
        <v>23590.0</v>
      </c>
      <c r="F7" s="10">
        <f t="shared" si="1"/>
        <v>2.666666667</v>
      </c>
      <c r="G7" s="10">
        <f t="array" ref="G7">index('Player ID'!C:C,match(E7,'Player ID'!B:B,0))</f>
        <v>676962</v>
      </c>
    </row>
    <row r="8">
      <c r="A8" s="76">
        <v>45734.0</v>
      </c>
      <c r="B8" s="1" t="s">
        <v>104</v>
      </c>
      <c r="C8" s="1" t="s">
        <v>33</v>
      </c>
      <c r="D8" s="1">
        <v>1.0</v>
      </c>
      <c r="E8" s="1">
        <v>30085.0</v>
      </c>
      <c r="F8" s="10">
        <f t="shared" si="1"/>
        <v>1</v>
      </c>
      <c r="G8" s="10">
        <f t="array" ref="G8">index('Player ID'!C:C,match(E8,'Player ID'!B:B,0))</f>
        <v>676508</v>
      </c>
    </row>
    <row r="9">
      <c r="A9" s="76">
        <v>45734.0</v>
      </c>
      <c r="B9" s="1" t="s">
        <v>85</v>
      </c>
      <c r="C9" s="1" t="s">
        <v>33</v>
      </c>
      <c r="D9" s="1">
        <v>5.0</v>
      </c>
      <c r="E9" s="1">
        <v>33825.0</v>
      </c>
      <c r="F9" s="10">
        <f t="shared" si="1"/>
        <v>5</v>
      </c>
      <c r="G9" s="10">
        <f t="array" ref="G9">index('Player ID'!C:C,match(E9,'Player ID'!B:B,0))</f>
        <v>808967</v>
      </c>
    </row>
    <row r="10">
      <c r="A10" s="76">
        <v>45734.0</v>
      </c>
      <c r="B10" s="1" t="s">
        <v>67</v>
      </c>
      <c r="C10" s="1" t="s">
        <v>34</v>
      </c>
      <c r="D10" s="1">
        <v>4.0</v>
      </c>
      <c r="E10" s="1">
        <v>33829.0</v>
      </c>
      <c r="F10" s="10">
        <f t="shared" si="1"/>
        <v>4</v>
      </c>
      <c r="G10" s="10">
        <f t="array" ref="G10">index('Player ID'!C:C,match(E10,'Player ID'!B:B,0))</f>
        <v>684007</v>
      </c>
    </row>
    <row r="11">
      <c r="A11" s="76">
        <v>45735.0</v>
      </c>
      <c r="B11" s="1" t="s">
        <v>595</v>
      </c>
      <c r="C11" s="1" t="s">
        <v>33</v>
      </c>
      <c r="D11" s="1">
        <v>1.0</v>
      </c>
      <c r="E11" s="1">
        <v>6984.0</v>
      </c>
      <c r="F11" s="10">
        <f t="shared" si="1"/>
        <v>1</v>
      </c>
      <c r="G11" s="10">
        <f t="array" ref="G11">index('Player ID'!C:C,match(E11,'Player ID'!B:B,0))</f>
        <v>472610</v>
      </c>
    </row>
    <row r="12">
      <c r="A12" s="76">
        <v>45735.0</v>
      </c>
      <c r="B12" s="1" t="s">
        <v>460</v>
      </c>
      <c r="C12" s="1" t="s">
        <v>34</v>
      </c>
      <c r="D12" s="1">
        <v>1.0</v>
      </c>
      <c r="E12" s="1">
        <v>7005.0</v>
      </c>
      <c r="F12" s="10">
        <f t="shared" si="1"/>
        <v>1</v>
      </c>
      <c r="G12" s="10">
        <f t="array" ref="G12">index('Player ID'!C:C,match(E12,'Player ID'!B:B,0))</f>
        <v>519151</v>
      </c>
    </row>
    <row r="13">
      <c r="A13" s="76">
        <v>45735.0</v>
      </c>
      <c r="B13" s="1" t="s">
        <v>392</v>
      </c>
      <c r="C13" s="1" t="s">
        <v>33</v>
      </c>
      <c r="D13" s="1">
        <v>1.0</v>
      </c>
      <c r="E13" s="1">
        <v>9073.0</v>
      </c>
      <c r="F13" s="10">
        <f t="shared" si="1"/>
        <v>1</v>
      </c>
      <c r="G13" s="10">
        <f t="array" ref="G13">index('Player ID'!C:C,match(E13,'Player ID'!B:B,0))</f>
        <v>489446</v>
      </c>
    </row>
    <row r="14">
      <c r="A14" s="76">
        <v>45735.0</v>
      </c>
      <c r="B14" s="1" t="s">
        <v>71</v>
      </c>
      <c r="C14" s="1" t="s">
        <v>34</v>
      </c>
      <c r="D14" s="1">
        <v>1.0</v>
      </c>
      <c r="E14" s="1">
        <v>10078.0</v>
      </c>
      <c r="F14" s="10">
        <f t="shared" si="1"/>
        <v>1</v>
      </c>
      <c r="G14" s="10">
        <f t="array" ref="G14">index('Player ID'!C:C,match(E14,'Player ID'!B:B,0))</f>
        <v>573204</v>
      </c>
    </row>
    <row r="15">
      <c r="A15" s="76">
        <v>45735.0</v>
      </c>
      <c r="B15" s="1" t="s">
        <v>632</v>
      </c>
      <c r="C15" s="1" t="s">
        <v>34</v>
      </c>
      <c r="D15" s="1">
        <v>1.0</v>
      </c>
      <c r="E15" s="1">
        <v>16703.0</v>
      </c>
      <c r="F15" s="10">
        <f t="shared" si="1"/>
        <v>1</v>
      </c>
      <c r="G15" s="10">
        <f t="array" ref="G15">index('Player ID'!C:C,match(E15,'Player ID'!B:B,0))</f>
        <v>657240</v>
      </c>
    </row>
    <row r="16">
      <c r="A16" s="76">
        <v>45735.0</v>
      </c>
      <c r="B16" s="1" t="s">
        <v>584</v>
      </c>
      <c r="C16" s="1" t="s">
        <v>34</v>
      </c>
      <c r="D16" s="1">
        <v>4.0</v>
      </c>
      <c r="E16" s="1">
        <v>17312.0</v>
      </c>
      <c r="F16" s="10">
        <f t="shared" si="1"/>
        <v>4</v>
      </c>
      <c r="G16" s="10">
        <f t="array" ref="G16">index('Player ID'!C:C,match(E16,'Player ID'!B:B,0))</f>
        <v>657006</v>
      </c>
    </row>
    <row r="17">
      <c r="A17" s="76">
        <v>45735.0</v>
      </c>
      <c r="B17" s="1" t="s">
        <v>633</v>
      </c>
      <c r="C17" s="1" t="s">
        <v>34</v>
      </c>
      <c r="D17" s="1">
        <v>1.0</v>
      </c>
      <c r="E17" s="1">
        <v>20160.0</v>
      </c>
      <c r="F17" s="10">
        <f t="shared" si="1"/>
        <v>1</v>
      </c>
      <c r="G17" s="10">
        <f t="array" ref="G17">index('Player ID'!C:C,match(E17,'Player ID'!B:B,0))</f>
        <v>663878</v>
      </c>
    </row>
    <row r="18">
      <c r="A18" s="76">
        <v>45735.0</v>
      </c>
      <c r="B18" s="1" t="s">
        <v>92</v>
      </c>
      <c r="C18" s="1" t="s">
        <v>33</v>
      </c>
      <c r="D18" s="1">
        <v>1.0</v>
      </c>
      <c r="E18" s="1">
        <v>25007.0</v>
      </c>
      <c r="F18" s="10">
        <f t="shared" si="1"/>
        <v>1</v>
      </c>
      <c r="G18" s="10">
        <f t="array" ref="G18">index('Player ID'!C:C,match(E18,'Player ID'!B:B,0))</f>
        <v>681911</v>
      </c>
    </row>
    <row r="19">
      <c r="A19" s="76">
        <v>45735.0</v>
      </c>
      <c r="B19" s="1" t="s">
        <v>388</v>
      </c>
      <c r="C19" s="1" t="s">
        <v>34</v>
      </c>
      <c r="D19" s="1">
        <v>1.0</v>
      </c>
      <c r="E19" s="1">
        <v>26413.0</v>
      </c>
      <c r="F19" s="10">
        <f t="shared" si="1"/>
        <v>1</v>
      </c>
      <c r="G19" s="10">
        <f t="array" ref="G19">index('Player ID'!C:C,match(E19,'Player ID'!B:B,0))</f>
        <v>687863</v>
      </c>
    </row>
    <row r="20">
      <c r="A20" s="76">
        <v>45735.0</v>
      </c>
      <c r="B20" s="1" t="s">
        <v>351</v>
      </c>
      <c r="C20" s="1" t="s">
        <v>33</v>
      </c>
      <c r="D20" s="1">
        <v>2.0</v>
      </c>
      <c r="E20" s="1">
        <v>27487.0</v>
      </c>
      <c r="F20" s="10">
        <f t="shared" si="1"/>
        <v>2</v>
      </c>
      <c r="G20" s="10">
        <f t="array" ref="G20">index('Player ID'!C:C,match(E20,'Player ID'!B:B,0))</f>
        <v>689017</v>
      </c>
    </row>
    <row r="21">
      <c r="A21" s="76">
        <v>45735.0</v>
      </c>
      <c r="B21" s="1" t="s">
        <v>206</v>
      </c>
      <c r="C21" s="1" t="s">
        <v>33</v>
      </c>
      <c r="D21" s="1">
        <v>1.0</v>
      </c>
      <c r="E21" s="1">
        <v>30249.0</v>
      </c>
      <c r="F21" s="10">
        <f t="shared" si="1"/>
        <v>1</v>
      </c>
      <c r="G21" s="10">
        <f t="array" ref="G21">index('Player ID'!C:C,match(E21,'Player ID'!B:B,0))</f>
        <v>676263</v>
      </c>
    </row>
    <row r="22">
      <c r="A22" s="76">
        <v>45735.0</v>
      </c>
      <c r="B22" s="1" t="s">
        <v>522</v>
      </c>
      <c r="C22" s="1" t="s">
        <v>33</v>
      </c>
      <c r="D22" s="1">
        <v>3.0</v>
      </c>
      <c r="E22" s="1">
        <v>35323.0</v>
      </c>
      <c r="F22" s="10">
        <f t="shared" si="1"/>
        <v>3</v>
      </c>
      <c r="G22" s="10">
        <f t="array" ref="G22">index('Player ID'!C:C,match(E22,'Player ID'!B:B,0))</f>
        <v>808963</v>
      </c>
    </row>
    <row r="23">
      <c r="A23" s="76">
        <v>45743.0</v>
      </c>
      <c r="B23" s="1" t="s">
        <v>634</v>
      </c>
      <c r="C23" s="1" t="s">
        <v>14</v>
      </c>
      <c r="D23" s="1">
        <v>0.1</v>
      </c>
      <c r="E23" s="1">
        <v>14332.0</v>
      </c>
      <c r="F23" s="10">
        <f t="shared" si="1"/>
        <v>0.3333333333</v>
      </c>
      <c r="G23" s="10">
        <f t="array" ref="G23">index('Player ID'!C:C,match(E23,'Player ID'!B:B,0))</f>
        <v>606303</v>
      </c>
    </row>
    <row r="24">
      <c r="A24" s="76">
        <v>45743.0</v>
      </c>
      <c r="B24" s="1" t="s">
        <v>467</v>
      </c>
      <c r="C24" s="1" t="s">
        <v>58</v>
      </c>
      <c r="D24" s="1">
        <v>1.0</v>
      </c>
      <c r="E24" s="1">
        <v>15551.0</v>
      </c>
      <c r="F24" s="10">
        <f t="shared" si="1"/>
        <v>1</v>
      </c>
      <c r="G24" s="10">
        <f t="array" ref="G24">index('Player ID'!C:C,match(E24,'Player ID'!B:B,0))</f>
        <v>643410</v>
      </c>
    </row>
    <row r="25">
      <c r="A25" s="76">
        <v>45743.0</v>
      </c>
      <c r="B25" s="1" t="s">
        <v>114</v>
      </c>
      <c r="C25" s="1" t="s">
        <v>58</v>
      </c>
      <c r="D25" s="1">
        <v>1.0</v>
      </c>
      <c r="E25" s="1">
        <v>15816.0</v>
      </c>
      <c r="F25" s="10">
        <f t="shared" si="1"/>
        <v>1</v>
      </c>
      <c r="G25" s="10">
        <f t="array" ref="G25">index('Player ID'!C:C,match(E25,'Player ID'!B:B,0))</f>
        <v>642207</v>
      </c>
    </row>
    <row r="26">
      <c r="A26" s="76">
        <v>45743.0</v>
      </c>
      <c r="B26" s="1" t="s">
        <v>635</v>
      </c>
      <c r="C26" s="1" t="s">
        <v>58</v>
      </c>
      <c r="D26" s="1">
        <v>5.1</v>
      </c>
      <c r="E26" s="1">
        <v>16137.0</v>
      </c>
      <c r="F26" s="10">
        <f t="shared" si="1"/>
        <v>5.333333333</v>
      </c>
      <c r="G26" s="10">
        <f t="array" ref="G26">index('Player ID'!C:C,match(E26,'Player ID'!B:B,0))</f>
        <v>607074</v>
      </c>
    </row>
    <row r="27">
      <c r="A27" s="76">
        <v>45743.0</v>
      </c>
      <c r="B27" s="1" t="s">
        <v>69</v>
      </c>
      <c r="C27" s="1" t="s">
        <v>58</v>
      </c>
      <c r="D27" s="1">
        <v>0.2</v>
      </c>
      <c r="E27" s="1">
        <v>16814.0</v>
      </c>
      <c r="F27" s="10">
        <f t="shared" si="1"/>
        <v>0.6666666667</v>
      </c>
      <c r="G27" s="10">
        <f t="array" ref="G27">index('Player ID'!C:C,match(E27,'Player ID'!B:B,0))</f>
        <v>657612</v>
      </c>
    </row>
    <row r="28">
      <c r="A28" s="76">
        <v>45743.0</v>
      </c>
      <c r="B28" s="1" t="s">
        <v>225</v>
      </c>
      <c r="C28" s="1" t="s">
        <v>58</v>
      </c>
      <c r="D28" s="1">
        <v>1.0</v>
      </c>
      <c r="E28" s="1">
        <v>16918.0</v>
      </c>
      <c r="F28" s="10">
        <f t="shared" si="1"/>
        <v>1</v>
      </c>
      <c r="G28" s="10">
        <f t="array" ref="G28">index('Player ID'!C:C,match(E28,'Player ID'!B:B,0))</f>
        <v>596133</v>
      </c>
    </row>
    <row r="29">
      <c r="A29" s="76">
        <v>45743.0</v>
      </c>
      <c r="B29" s="1" t="s">
        <v>187</v>
      </c>
      <c r="C29" s="1" t="s">
        <v>14</v>
      </c>
      <c r="D29" s="1">
        <v>1.0</v>
      </c>
      <c r="E29" s="1">
        <v>17735.0</v>
      </c>
      <c r="F29" s="10">
        <f t="shared" si="1"/>
        <v>1</v>
      </c>
      <c r="G29" s="10">
        <f t="array" ref="G29">index('Player ID'!C:C,match(E29,'Player ID'!B:B,0))</f>
        <v>641302</v>
      </c>
    </row>
    <row r="30">
      <c r="A30" s="76">
        <v>45743.0</v>
      </c>
      <c r="B30" s="1" t="s">
        <v>180</v>
      </c>
      <c r="C30" s="1" t="s">
        <v>14</v>
      </c>
      <c r="D30" s="1">
        <v>5.0</v>
      </c>
      <c r="E30" s="1">
        <v>18679.0</v>
      </c>
      <c r="F30" s="10">
        <f t="shared" si="1"/>
        <v>5</v>
      </c>
      <c r="G30" s="10">
        <f t="array" ref="G30">index('Player ID'!C:C,match(E30,'Player ID'!B:B,0))</f>
        <v>642547</v>
      </c>
    </row>
    <row r="31">
      <c r="A31" s="76">
        <v>45743.0</v>
      </c>
      <c r="B31" s="1" t="s">
        <v>636</v>
      </c>
      <c r="C31" s="1" t="s">
        <v>14</v>
      </c>
      <c r="D31" s="1">
        <v>1.0</v>
      </c>
      <c r="E31" s="1">
        <v>19924.0</v>
      </c>
      <c r="F31" s="10">
        <f t="shared" si="1"/>
        <v>1</v>
      </c>
      <c r="G31" s="10">
        <f t="array" ref="G31">index('Player ID'!C:C,match(E31,'Player ID'!B:B,0))</f>
        <v>663542</v>
      </c>
    </row>
    <row r="32">
      <c r="A32" s="76">
        <v>45743.0</v>
      </c>
      <c r="B32" s="1" t="s">
        <v>418</v>
      </c>
      <c r="C32" s="1" t="s">
        <v>14</v>
      </c>
      <c r="D32" s="1">
        <v>0.2</v>
      </c>
      <c r="E32" s="1">
        <v>27517.0</v>
      </c>
      <c r="F32" s="10">
        <f t="shared" si="1"/>
        <v>0.6666666667</v>
      </c>
      <c r="G32" s="10">
        <f t="array" ref="G32">index('Player ID'!C:C,match(E32,'Player ID'!B:B,0))</f>
        <v>657649</v>
      </c>
    </row>
    <row r="33">
      <c r="A33" s="76">
        <v>45743.0</v>
      </c>
      <c r="B33" s="1" t="s">
        <v>637</v>
      </c>
      <c r="C33" s="1" t="s">
        <v>40</v>
      </c>
      <c r="D33" s="1">
        <v>1.0</v>
      </c>
      <c r="E33" s="1">
        <v>12323.0</v>
      </c>
      <c r="F33" s="10">
        <f t="shared" si="1"/>
        <v>1</v>
      </c>
      <c r="G33" s="10">
        <f t="array" ref="G33">index('Player ID'!C:C,match(E33,'Player ID'!B:B,0))</f>
        <v>606930</v>
      </c>
    </row>
    <row r="34">
      <c r="A34" s="76">
        <v>45743.0</v>
      </c>
      <c r="B34" s="1" t="s">
        <v>216</v>
      </c>
      <c r="C34" s="1" t="s">
        <v>68</v>
      </c>
      <c r="D34" s="1">
        <v>6.0</v>
      </c>
      <c r="E34" s="1">
        <v>13774.0</v>
      </c>
      <c r="F34" s="10">
        <f t="shared" si="1"/>
        <v>6</v>
      </c>
      <c r="G34" s="10">
        <f t="array" ref="G34">index('Player ID'!C:C,match(E34,'Player ID'!B:B,0))</f>
        <v>621107</v>
      </c>
    </row>
    <row r="35">
      <c r="A35" s="76">
        <v>45743.0</v>
      </c>
      <c r="B35" s="1" t="s">
        <v>638</v>
      </c>
      <c r="C35" s="1" t="s">
        <v>40</v>
      </c>
      <c r="D35" s="1">
        <v>5.0</v>
      </c>
      <c r="E35" s="1">
        <v>14168.0</v>
      </c>
      <c r="F35" s="10">
        <f t="shared" si="1"/>
        <v>5</v>
      </c>
      <c r="G35" s="10">
        <f t="array" ref="G35">index('Player ID'!C:C,match(E35,'Player ID'!B:B,0))</f>
        <v>621244</v>
      </c>
    </row>
    <row r="36">
      <c r="A36" s="76">
        <v>45743.0</v>
      </c>
      <c r="B36" s="1" t="s">
        <v>174</v>
      </c>
      <c r="C36" s="1" t="s">
        <v>40</v>
      </c>
      <c r="D36" s="1">
        <v>0.1</v>
      </c>
      <c r="E36" s="1">
        <v>15552.0</v>
      </c>
      <c r="F36" s="10">
        <f t="shared" si="1"/>
        <v>0.3333333333</v>
      </c>
      <c r="G36" s="10">
        <f t="array" ref="G36">index('Player ID'!C:C,match(E36,'Player ID'!B:B,0))</f>
        <v>643338</v>
      </c>
    </row>
    <row r="37">
      <c r="A37" s="76">
        <v>45743.0</v>
      </c>
      <c r="B37" s="1" t="s">
        <v>639</v>
      </c>
      <c r="C37" s="1" t="s">
        <v>68</v>
      </c>
      <c r="D37" s="1">
        <v>1.0</v>
      </c>
      <c r="E37" s="1">
        <v>19249.0</v>
      </c>
      <c r="F37" s="10">
        <f t="shared" si="1"/>
        <v>1</v>
      </c>
      <c r="G37" s="10">
        <f t="array" ref="G37">index('Player ID'!C:C,match(E37,'Player ID'!B:B,0))</f>
        <v>622554</v>
      </c>
    </row>
    <row r="38">
      <c r="A38" s="76">
        <v>45743.0</v>
      </c>
      <c r="B38" s="1" t="s">
        <v>640</v>
      </c>
      <c r="C38" s="1" t="s">
        <v>40</v>
      </c>
      <c r="D38" s="1">
        <v>0.2</v>
      </c>
      <c r="E38" s="1">
        <v>19337.0</v>
      </c>
      <c r="F38" s="10">
        <f t="shared" si="1"/>
        <v>0.6666666667</v>
      </c>
      <c r="G38" s="10">
        <f t="array" ref="G38">index('Player ID'!C:C,match(E38,'Player ID'!B:B,0))</f>
        <v>663992</v>
      </c>
    </row>
    <row r="39">
      <c r="A39" s="76">
        <v>45743.0</v>
      </c>
      <c r="B39" s="1" t="s">
        <v>231</v>
      </c>
      <c r="C39" s="1" t="s">
        <v>68</v>
      </c>
      <c r="D39" s="1">
        <v>1.0</v>
      </c>
      <c r="E39" s="1">
        <v>19362.0</v>
      </c>
      <c r="F39" s="10">
        <f t="shared" si="1"/>
        <v>1</v>
      </c>
      <c r="G39" s="10">
        <f t="array" ref="G39">index('Player ID'!C:C,match(E39,'Player ID'!B:B,0))</f>
        <v>669211</v>
      </c>
    </row>
    <row r="40">
      <c r="A40" s="76">
        <v>45743.0</v>
      </c>
      <c r="B40" s="1" t="s">
        <v>240</v>
      </c>
      <c r="C40" s="1" t="s">
        <v>68</v>
      </c>
      <c r="D40" s="1">
        <v>1.0</v>
      </c>
      <c r="E40" s="1">
        <v>19804.0</v>
      </c>
      <c r="F40" s="10">
        <f t="shared" si="1"/>
        <v>1</v>
      </c>
      <c r="G40" s="10">
        <f t="array" ref="G40">index('Player ID'!C:C,match(E40,'Player ID'!B:B,0))</f>
        <v>641329</v>
      </c>
    </row>
    <row r="41">
      <c r="A41" s="76">
        <v>45743.0</v>
      </c>
      <c r="B41" s="1" t="s">
        <v>641</v>
      </c>
      <c r="C41" s="1" t="s">
        <v>40</v>
      </c>
      <c r="D41" s="1">
        <v>1.0</v>
      </c>
      <c r="E41" s="1">
        <v>20517.0</v>
      </c>
      <c r="F41" s="10">
        <f t="shared" si="1"/>
        <v>1</v>
      </c>
      <c r="G41" s="10">
        <f t="array" ref="G41">index('Player ID'!C:C,match(E41,'Player ID'!B:B,0))</f>
        <v>680704</v>
      </c>
    </row>
    <row r="42">
      <c r="A42" s="76">
        <v>45743.0</v>
      </c>
      <c r="B42" s="1" t="s">
        <v>427</v>
      </c>
      <c r="C42" s="1" t="s">
        <v>40</v>
      </c>
      <c r="D42" s="1">
        <v>1.0</v>
      </c>
      <c r="E42" s="1">
        <v>33838.0</v>
      </c>
      <c r="F42" s="10">
        <f t="shared" si="1"/>
        <v>1</v>
      </c>
      <c r="G42" s="10">
        <f t="array" ref="G42">index('Player ID'!C:C,match(E42,'Player ID'!B:B,0))</f>
        <v>684320</v>
      </c>
    </row>
    <row r="43">
      <c r="A43" s="76">
        <v>45743.0</v>
      </c>
      <c r="B43" s="1" t="s">
        <v>79</v>
      </c>
      <c r="C43" s="1" t="s">
        <v>45</v>
      </c>
      <c r="D43" s="1">
        <v>6.0</v>
      </c>
      <c r="E43" s="1">
        <v>10310.0</v>
      </c>
      <c r="F43" s="10">
        <f t="shared" si="1"/>
        <v>6</v>
      </c>
      <c r="G43" s="10">
        <f t="array" ref="G43">index('Player ID'!C:C,match(E43,'Player ID'!B:B,0))</f>
        <v>554430</v>
      </c>
    </row>
    <row r="44">
      <c r="A44" s="76">
        <v>45743.0</v>
      </c>
      <c r="B44" s="1" t="s">
        <v>642</v>
      </c>
      <c r="C44" s="1" t="s">
        <v>80</v>
      </c>
      <c r="D44" s="1">
        <v>0.2</v>
      </c>
      <c r="E44" s="1">
        <v>13470.0</v>
      </c>
      <c r="F44" s="10">
        <f t="shared" si="1"/>
        <v>0.6666666667</v>
      </c>
      <c r="G44" s="10">
        <f t="array" ref="G44">index('Player ID'!C:C,match(E44,'Player ID'!B:B,0))</f>
        <v>608371</v>
      </c>
    </row>
    <row r="45">
      <c r="A45" s="76">
        <v>45743.0</v>
      </c>
      <c r="B45" s="1" t="s">
        <v>182</v>
      </c>
      <c r="C45" s="1" t="s">
        <v>45</v>
      </c>
      <c r="D45" s="1">
        <v>1.0</v>
      </c>
      <c r="E45" s="1">
        <v>13799.0</v>
      </c>
      <c r="F45" s="10">
        <f t="shared" si="1"/>
        <v>1</v>
      </c>
      <c r="G45" s="10">
        <f t="array" ref="G45">index('Player ID'!C:C,match(E45,'Player ID'!B:B,0))</f>
        <v>621381</v>
      </c>
    </row>
    <row r="46">
      <c r="A46" s="76">
        <v>45743.0</v>
      </c>
      <c r="B46" s="1" t="s">
        <v>139</v>
      </c>
      <c r="C46" s="1" t="s">
        <v>80</v>
      </c>
      <c r="D46" s="1">
        <v>1.0</v>
      </c>
      <c r="E46" s="1">
        <v>15009.0</v>
      </c>
      <c r="F46" s="10">
        <f t="shared" si="1"/>
        <v>1</v>
      </c>
      <c r="G46" s="10">
        <f t="array" ref="G46">index('Player ID'!C:C,match(E46,'Player ID'!B:B,0))</f>
        <v>640448</v>
      </c>
    </row>
    <row r="47">
      <c r="A47" s="76">
        <v>45743.0</v>
      </c>
      <c r="B47" s="1" t="s">
        <v>208</v>
      </c>
      <c r="C47" s="1" t="s">
        <v>45</v>
      </c>
      <c r="D47" s="1">
        <v>1.0</v>
      </c>
      <c r="E47" s="1">
        <v>16122.0</v>
      </c>
      <c r="F47" s="10">
        <f t="shared" si="1"/>
        <v>1</v>
      </c>
      <c r="G47" s="10">
        <f t="array" ref="G47">index('Player ID'!C:C,match(E47,'Player ID'!B:B,0))</f>
        <v>605447</v>
      </c>
    </row>
    <row r="48">
      <c r="A48" s="76">
        <v>45743.0</v>
      </c>
      <c r="B48" s="1" t="s">
        <v>643</v>
      </c>
      <c r="C48" s="1" t="s">
        <v>45</v>
      </c>
      <c r="D48" s="1">
        <v>1.0</v>
      </c>
      <c r="E48" s="1">
        <v>17780.0</v>
      </c>
      <c r="F48" s="10">
        <f t="shared" si="1"/>
        <v>1</v>
      </c>
      <c r="G48" s="10">
        <f t="array" ref="G48">index('Player ID'!C:C,match(E48,'Player ID'!B:B,0))</f>
        <v>621237</v>
      </c>
    </row>
    <row r="49">
      <c r="A49" s="76">
        <v>45743.0</v>
      </c>
      <c r="B49" s="1" t="s">
        <v>644</v>
      </c>
      <c r="C49" s="1" t="s">
        <v>80</v>
      </c>
      <c r="D49" s="1">
        <v>0.2</v>
      </c>
      <c r="E49" s="1">
        <v>19403.0</v>
      </c>
      <c r="F49" s="10">
        <f t="shared" si="1"/>
        <v>0.6666666667</v>
      </c>
      <c r="G49" s="10">
        <f t="array" ref="G49">index('Player ID'!C:C,match(E49,'Player ID'!B:B,0))</f>
        <v>621363</v>
      </c>
    </row>
    <row r="50">
      <c r="A50" s="76">
        <v>45743.0</v>
      </c>
      <c r="B50" s="1" t="s">
        <v>354</v>
      </c>
      <c r="C50" s="1" t="s">
        <v>80</v>
      </c>
      <c r="D50" s="1">
        <v>6.0</v>
      </c>
      <c r="E50" s="1">
        <v>22201.0</v>
      </c>
      <c r="F50" s="10">
        <f t="shared" si="1"/>
        <v>6</v>
      </c>
      <c r="G50" s="10">
        <f t="array" ref="G50">index('Player ID'!C:C,match(E50,'Player ID'!B:B,0))</f>
        <v>669022</v>
      </c>
    </row>
    <row r="51">
      <c r="A51" s="76">
        <v>45743.0</v>
      </c>
      <c r="B51" s="1" t="s">
        <v>508</v>
      </c>
      <c r="C51" s="1" t="s">
        <v>80</v>
      </c>
      <c r="D51" s="1">
        <v>0.1</v>
      </c>
      <c r="E51" s="1">
        <v>23135.0</v>
      </c>
      <c r="F51" s="10">
        <f t="shared" si="1"/>
        <v>0.3333333333</v>
      </c>
      <c r="G51" s="10">
        <f t="array" ref="G51">index('Player ID'!C:C,match(E51,'Player ID'!B:B,0))</f>
        <v>674285</v>
      </c>
    </row>
    <row r="52">
      <c r="A52" s="76">
        <v>45743.0</v>
      </c>
      <c r="B52" s="1" t="s">
        <v>86</v>
      </c>
      <c r="C52" s="1" t="s">
        <v>80</v>
      </c>
      <c r="D52" s="1">
        <v>1.1</v>
      </c>
      <c r="E52" s="1">
        <v>24017.0</v>
      </c>
      <c r="F52" s="10">
        <f t="shared" si="1"/>
        <v>1.333333333</v>
      </c>
      <c r="G52" s="10">
        <f t="array" ref="G52">index('Player ID'!C:C,match(E52,'Player ID'!B:B,0))</f>
        <v>678606</v>
      </c>
    </row>
    <row r="53">
      <c r="A53" s="76">
        <v>45743.0</v>
      </c>
      <c r="B53" s="1" t="s">
        <v>165</v>
      </c>
      <c r="C53" s="1" t="s">
        <v>45</v>
      </c>
      <c r="D53" s="1">
        <v>1.0</v>
      </c>
      <c r="E53" s="1">
        <v>31776.0</v>
      </c>
      <c r="F53" s="10">
        <f t="shared" si="1"/>
        <v>1</v>
      </c>
      <c r="G53" s="10">
        <f t="array" ref="G53">index('Player ID'!C:C,match(E53,'Player ID'!B:B,0))</f>
        <v>689147</v>
      </c>
    </row>
    <row r="54">
      <c r="A54" s="76">
        <v>45743.0</v>
      </c>
      <c r="B54" s="1" t="s">
        <v>115</v>
      </c>
      <c r="C54" s="1" t="s">
        <v>56</v>
      </c>
      <c r="D54" s="1">
        <v>6.0</v>
      </c>
      <c r="E54" s="1">
        <v>9132.0</v>
      </c>
      <c r="F54" s="10">
        <f t="shared" si="1"/>
        <v>6</v>
      </c>
      <c r="G54" s="10">
        <f t="array" ref="G54">index('Player ID'!C:C,match(E54,'Player ID'!B:B,0))</f>
        <v>543135</v>
      </c>
    </row>
    <row r="55">
      <c r="A55" s="76">
        <v>45743.0</v>
      </c>
      <c r="B55" s="1" t="s">
        <v>41</v>
      </c>
      <c r="C55" s="1" t="s">
        <v>22</v>
      </c>
      <c r="D55" s="1">
        <v>1.0</v>
      </c>
      <c r="E55" s="1">
        <v>10233.0</v>
      </c>
      <c r="F55" s="10">
        <f t="shared" si="1"/>
        <v>1</v>
      </c>
      <c r="G55" s="10">
        <f t="array" ref="G55">index('Player ID'!C:C,match(E55,'Player ID'!B:B,0))</f>
        <v>547973</v>
      </c>
    </row>
    <row r="56">
      <c r="A56" s="76">
        <v>45743.0</v>
      </c>
      <c r="B56" s="1" t="s">
        <v>162</v>
      </c>
      <c r="C56" s="1" t="s">
        <v>56</v>
      </c>
      <c r="D56" s="1">
        <v>0.1</v>
      </c>
      <c r="E56" s="1">
        <v>11752.0</v>
      </c>
      <c r="F56" s="10">
        <f t="shared" si="1"/>
        <v>0.3333333333</v>
      </c>
      <c r="G56" s="10">
        <f t="array" ref="G56">index('Player ID'!C:C,match(E56,'Player ID'!B:B,0))</f>
        <v>592426</v>
      </c>
    </row>
    <row r="57">
      <c r="A57" s="76">
        <v>45743.0</v>
      </c>
      <c r="B57" s="1" t="s">
        <v>74</v>
      </c>
      <c r="C57" s="1" t="s">
        <v>56</v>
      </c>
      <c r="D57" s="1">
        <v>1.1</v>
      </c>
      <c r="E57" s="1">
        <v>11847.0</v>
      </c>
      <c r="F57" s="10">
        <f t="shared" si="1"/>
        <v>1.333333333</v>
      </c>
      <c r="G57" s="10">
        <f t="array" ref="G57">index('Player ID'!C:C,match(E57,'Player ID'!B:B,0))</f>
        <v>455119</v>
      </c>
    </row>
    <row r="58">
      <c r="A58" s="76">
        <v>45743.0</v>
      </c>
      <c r="B58" s="1" t="s">
        <v>440</v>
      </c>
      <c r="C58" s="1" t="s">
        <v>56</v>
      </c>
      <c r="D58" s="1">
        <v>0.2</v>
      </c>
      <c r="E58" s="1">
        <v>12857.0</v>
      </c>
      <c r="F58" s="10">
        <f t="shared" si="1"/>
        <v>0.6666666667</v>
      </c>
      <c r="G58" s="10">
        <f t="array" ref="G58">index('Player ID'!C:C,match(E58,'Player ID'!B:B,0))</f>
        <v>542888</v>
      </c>
    </row>
    <row r="59">
      <c r="A59" s="76">
        <v>45743.0</v>
      </c>
      <c r="B59" s="1" t="s">
        <v>250</v>
      </c>
      <c r="C59" s="1" t="s">
        <v>22</v>
      </c>
      <c r="D59" s="1">
        <v>2.0</v>
      </c>
      <c r="E59" s="1">
        <v>20191.0</v>
      </c>
      <c r="F59" s="10">
        <f t="shared" si="1"/>
        <v>2</v>
      </c>
      <c r="G59" s="10">
        <f t="array" ref="G59">index('Player ID'!C:C,match(E59,'Player ID'!B:B,0))</f>
        <v>676477</v>
      </c>
    </row>
    <row r="60">
      <c r="A60" s="76">
        <v>45743.0</v>
      </c>
      <c r="B60" s="1" t="s">
        <v>268</v>
      </c>
      <c r="C60" s="1" t="s">
        <v>56</v>
      </c>
      <c r="D60" s="1">
        <v>0.2</v>
      </c>
      <c r="E60" s="1">
        <v>23363.0</v>
      </c>
      <c r="F60" s="10">
        <f t="shared" si="1"/>
        <v>0.6666666667</v>
      </c>
      <c r="G60" s="10">
        <f t="array" ref="G60">index('Player ID'!C:C,match(E60,'Player ID'!B:B,0))</f>
        <v>676395</v>
      </c>
    </row>
    <row r="61">
      <c r="A61" s="76">
        <v>45743.0</v>
      </c>
      <c r="B61" s="1" t="s">
        <v>645</v>
      </c>
      <c r="C61" s="1" t="s">
        <v>22</v>
      </c>
      <c r="D61" s="1">
        <v>1.0</v>
      </c>
      <c r="E61" s="1">
        <v>25648.0</v>
      </c>
      <c r="F61" s="10">
        <f t="shared" si="1"/>
        <v>1</v>
      </c>
      <c r="G61" s="10">
        <f t="array" ref="G61">index('Player ID'!C:C,match(E61,'Player ID'!B:B,0))</f>
        <v>686580</v>
      </c>
    </row>
    <row r="62">
      <c r="A62" s="76">
        <v>45743.0</v>
      </c>
      <c r="B62" s="1" t="s">
        <v>100</v>
      </c>
      <c r="C62" s="1" t="s">
        <v>22</v>
      </c>
      <c r="D62" s="1">
        <v>5.0</v>
      </c>
      <c r="E62" s="1">
        <v>27463.0</v>
      </c>
      <c r="F62" s="10">
        <f t="shared" si="1"/>
        <v>5</v>
      </c>
      <c r="G62" s="10">
        <f t="array" ref="G62">index('Player ID'!C:C,match(E62,'Player ID'!B:B,0))</f>
        <v>676979</v>
      </c>
    </row>
    <row r="63">
      <c r="A63" s="76">
        <v>45743.0</v>
      </c>
      <c r="B63" s="1" t="s">
        <v>646</v>
      </c>
      <c r="C63" s="1" t="s">
        <v>51</v>
      </c>
      <c r="D63" s="1">
        <v>2.1</v>
      </c>
      <c r="E63" s="1">
        <v>6107.0</v>
      </c>
      <c r="F63" s="10">
        <f t="shared" si="1"/>
        <v>2.333333333</v>
      </c>
      <c r="G63" s="10">
        <f t="array" ref="G63">index('Player ID'!C:C,match(E63,'Player ID'!B:B,0))</f>
        <v>623211</v>
      </c>
    </row>
    <row r="64">
      <c r="A64" s="76">
        <v>45743.0</v>
      </c>
      <c r="B64" s="1" t="s">
        <v>269</v>
      </c>
      <c r="C64" s="1" t="s">
        <v>51</v>
      </c>
      <c r="D64" s="1">
        <v>4.2</v>
      </c>
      <c r="E64" s="1">
        <v>13649.0</v>
      </c>
      <c r="F64" s="10">
        <f t="shared" si="1"/>
        <v>4.666666667</v>
      </c>
      <c r="G64" s="10">
        <f t="array" ref="G64">index('Player ID'!C:C,match(E64,'Player ID'!B:B,0))</f>
        <v>605280</v>
      </c>
    </row>
    <row r="65">
      <c r="A65" s="76">
        <v>45743.0</v>
      </c>
      <c r="B65" s="1" t="s">
        <v>59</v>
      </c>
      <c r="C65" s="1" t="s">
        <v>39</v>
      </c>
      <c r="D65" s="1">
        <v>1.0</v>
      </c>
      <c r="E65" s="1">
        <v>14212.0</v>
      </c>
      <c r="F65" s="10">
        <f t="shared" si="1"/>
        <v>1</v>
      </c>
      <c r="G65" s="10">
        <f t="array" ref="G65">index('Player ID'!C:C,match(E65,'Player ID'!B:B,0))</f>
        <v>623352</v>
      </c>
    </row>
    <row r="66">
      <c r="A66" s="76">
        <v>45743.0</v>
      </c>
      <c r="B66" s="1" t="s">
        <v>210</v>
      </c>
      <c r="C66" s="1" t="s">
        <v>39</v>
      </c>
      <c r="D66" s="1">
        <v>1.0</v>
      </c>
      <c r="E66" s="1">
        <v>16609.0</v>
      </c>
      <c r="F66" s="10">
        <f t="shared" si="1"/>
        <v>1</v>
      </c>
      <c r="G66" s="10">
        <f t="array" ref="G66">index('Player ID'!C:C,match(E66,'Player ID'!B:B,0))</f>
        <v>650556</v>
      </c>
    </row>
    <row r="67">
      <c r="A67" s="76">
        <v>45743.0</v>
      </c>
      <c r="B67" s="1" t="s">
        <v>113</v>
      </c>
      <c r="C67" s="1" t="s">
        <v>39</v>
      </c>
      <c r="D67" s="1">
        <v>7.0</v>
      </c>
      <c r="E67" s="1">
        <v>17295.0</v>
      </c>
      <c r="F67" s="10">
        <f t="shared" si="1"/>
        <v>7</v>
      </c>
      <c r="G67" s="10">
        <f t="array" ref="G67">index('Player ID'!C:C,match(E67,'Player ID'!B:B,0))</f>
        <v>664285</v>
      </c>
    </row>
    <row r="68">
      <c r="A68" s="76">
        <v>45743.0</v>
      </c>
      <c r="B68" s="1" t="s">
        <v>647</v>
      </c>
      <c r="C68" s="1" t="s">
        <v>51</v>
      </c>
      <c r="D68" s="1">
        <v>1.0</v>
      </c>
      <c r="E68" s="1">
        <v>18439.0</v>
      </c>
      <c r="F68" s="10">
        <f t="shared" si="1"/>
        <v>1</v>
      </c>
      <c r="G68" s="10">
        <f t="array" ref="G68">index('Player ID'!C:C,match(E68,'Player ID'!B:B,0))</f>
        <v>664849</v>
      </c>
    </row>
    <row r="69">
      <c r="A69" s="76">
        <v>45743.0</v>
      </c>
      <c r="B69" s="1" t="s">
        <v>648</v>
      </c>
      <c r="C69" s="1" t="s">
        <v>70</v>
      </c>
      <c r="D69" s="1">
        <v>1.0</v>
      </c>
      <c r="E69" s="1">
        <v>13892.0</v>
      </c>
      <c r="F69" s="10">
        <f t="shared" si="1"/>
        <v>1</v>
      </c>
      <c r="G69" s="10">
        <f t="array" ref="G69">index('Player ID'!C:C,match(E69,'Player ID'!B:B,0))</f>
        <v>623149</v>
      </c>
    </row>
    <row r="70">
      <c r="A70" s="76">
        <v>45743.0</v>
      </c>
      <c r="B70" s="1" t="s">
        <v>649</v>
      </c>
      <c r="C70" s="1" t="s">
        <v>29</v>
      </c>
      <c r="D70" s="1">
        <v>1.0</v>
      </c>
      <c r="E70" s="1">
        <v>14542.0</v>
      </c>
      <c r="F70" s="10">
        <f t="shared" si="1"/>
        <v>1</v>
      </c>
      <c r="G70" s="10">
        <f t="array" ref="G70">index('Player ID'!C:C,match(E70,'Player ID'!B:B,0))</f>
        <v>608032</v>
      </c>
    </row>
    <row r="71">
      <c r="A71" s="76">
        <v>45743.0</v>
      </c>
      <c r="B71" s="1" t="s">
        <v>298</v>
      </c>
      <c r="C71" s="1" t="s">
        <v>70</v>
      </c>
      <c r="D71" s="1">
        <v>5.0</v>
      </c>
      <c r="E71" s="1">
        <v>14932.0</v>
      </c>
      <c r="F71" s="10">
        <f t="shared" si="1"/>
        <v>5</v>
      </c>
      <c r="G71" s="10">
        <f t="array" ref="G71">index('Player ID'!C:C,match(E71,'Player ID'!B:B,0))</f>
        <v>594902</v>
      </c>
    </row>
    <row r="72">
      <c r="A72" s="76">
        <v>45743.0</v>
      </c>
      <c r="B72" s="1" t="s">
        <v>650</v>
      </c>
      <c r="C72" s="1" t="s">
        <v>29</v>
      </c>
      <c r="D72" s="1">
        <v>1.0</v>
      </c>
      <c r="E72" s="1">
        <v>15507.0</v>
      </c>
      <c r="F72" s="10">
        <f t="shared" si="1"/>
        <v>1</v>
      </c>
      <c r="G72" s="10">
        <f t="array" ref="G72">index('Player ID'!C:C,match(E72,'Player ID'!B:B,0))</f>
        <v>640451</v>
      </c>
    </row>
    <row r="73">
      <c r="A73" s="76">
        <v>45743.0</v>
      </c>
      <c r="B73" s="1" t="s">
        <v>407</v>
      </c>
      <c r="C73" s="1" t="s">
        <v>29</v>
      </c>
      <c r="D73" s="1">
        <v>0.2</v>
      </c>
      <c r="E73" s="1">
        <v>19360.0</v>
      </c>
      <c r="F73" s="10">
        <f t="shared" si="1"/>
        <v>0.6666666667</v>
      </c>
      <c r="G73" s="10">
        <f t="array" ref="G73">index('Player ID'!C:C,match(E73,'Player ID'!B:B,0))</f>
        <v>668674</v>
      </c>
    </row>
    <row r="74">
      <c r="A74" s="76">
        <v>45743.0</v>
      </c>
      <c r="B74" s="1" t="s">
        <v>132</v>
      </c>
      <c r="C74" s="1" t="s">
        <v>70</v>
      </c>
      <c r="D74" s="1">
        <v>1.0</v>
      </c>
      <c r="E74" s="1">
        <v>21032.0</v>
      </c>
      <c r="F74" s="10">
        <f t="shared" si="1"/>
        <v>1</v>
      </c>
      <c r="G74" s="10">
        <f t="array" ref="G74">index('Player ID'!C:C,match(E74,'Player ID'!B:B,0))</f>
        <v>661403</v>
      </c>
    </row>
    <row r="75">
      <c r="A75" s="76">
        <v>45743.0</v>
      </c>
      <c r="B75" s="1" t="s">
        <v>205</v>
      </c>
      <c r="C75" s="1" t="s">
        <v>29</v>
      </c>
      <c r="D75" s="1">
        <v>5.0</v>
      </c>
      <c r="E75" s="1">
        <v>21846.0</v>
      </c>
      <c r="F75" s="10">
        <f t="shared" si="1"/>
        <v>5</v>
      </c>
      <c r="G75" s="10">
        <f t="array" ref="G75">index('Player ID'!C:C,match(E75,'Player ID'!B:B,0))</f>
        <v>666142</v>
      </c>
    </row>
    <row r="76">
      <c r="A76" s="76">
        <v>45743.0</v>
      </c>
      <c r="B76" s="1" t="s">
        <v>140</v>
      </c>
      <c r="C76" s="1" t="s">
        <v>29</v>
      </c>
      <c r="D76" s="1">
        <v>1.1</v>
      </c>
      <c r="E76" s="1">
        <v>22717.0</v>
      </c>
      <c r="F76" s="10">
        <f t="shared" si="1"/>
        <v>1.333333333</v>
      </c>
      <c r="G76" s="10">
        <f t="array" ref="G76">index('Player ID'!C:C,match(E76,'Player ID'!B:B,0))</f>
        <v>672582</v>
      </c>
    </row>
    <row r="77">
      <c r="A77" s="76">
        <v>45743.0</v>
      </c>
      <c r="B77" s="1" t="s">
        <v>519</v>
      </c>
      <c r="C77" s="1" t="s">
        <v>70</v>
      </c>
      <c r="D77" s="1">
        <v>1.0</v>
      </c>
      <c r="E77" s="1">
        <v>25139.0</v>
      </c>
      <c r="F77" s="10">
        <f t="shared" si="1"/>
        <v>1</v>
      </c>
      <c r="G77" s="10">
        <f t="array" ref="G77">index('Player ID'!C:C,match(E77,'Player ID'!B:B,0))</f>
        <v>682120</v>
      </c>
    </row>
    <row r="78">
      <c r="A78" s="76">
        <v>45743.0</v>
      </c>
      <c r="B78" s="1" t="s">
        <v>442</v>
      </c>
      <c r="C78" s="1" t="s">
        <v>29</v>
      </c>
      <c r="D78" s="1">
        <v>1.0</v>
      </c>
      <c r="E78" s="1">
        <v>25379.0</v>
      </c>
      <c r="F78" s="10">
        <f t="shared" si="1"/>
        <v>1</v>
      </c>
      <c r="G78" s="10">
        <f t="array" ref="G78">index('Player ID'!C:C,match(E78,'Player ID'!B:B,0))</f>
        <v>669674</v>
      </c>
    </row>
    <row r="79">
      <c r="A79" s="76">
        <v>45743.0</v>
      </c>
      <c r="B79" s="1" t="s">
        <v>238</v>
      </c>
      <c r="C79" s="1" t="s">
        <v>70</v>
      </c>
      <c r="D79" s="1">
        <v>1.0</v>
      </c>
      <c r="E79" s="1">
        <v>25636.0</v>
      </c>
      <c r="F79" s="10">
        <f t="shared" si="1"/>
        <v>1</v>
      </c>
      <c r="G79" s="10">
        <f t="array" ref="G79">index('Player ID'!C:C,match(E79,'Player ID'!B:B,0))</f>
        <v>683769</v>
      </c>
    </row>
    <row r="80">
      <c r="A80" s="76">
        <v>45743.0</v>
      </c>
      <c r="B80" s="1" t="s">
        <v>135</v>
      </c>
      <c r="C80" s="1" t="s">
        <v>70</v>
      </c>
      <c r="D80" s="1">
        <v>1.0</v>
      </c>
      <c r="E80" s="1">
        <v>27867.0</v>
      </c>
      <c r="F80" s="10">
        <f t="shared" si="1"/>
        <v>1</v>
      </c>
      <c r="G80" s="10">
        <f t="array" ref="G80">index('Player ID'!C:C,match(E80,'Player ID'!B:B,0))</f>
        <v>671922</v>
      </c>
    </row>
    <row r="81">
      <c r="A81" s="76">
        <v>45743.0</v>
      </c>
      <c r="B81" s="1" t="s">
        <v>651</v>
      </c>
      <c r="C81" s="1" t="s">
        <v>66</v>
      </c>
      <c r="D81" s="1">
        <v>1.0</v>
      </c>
      <c r="E81" s="1">
        <v>14771.0</v>
      </c>
      <c r="F81" s="10">
        <f t="shared" si="1"/>
        <v>1</v>
      </c>
      <c r="G81" s="10">
        <f t="array" ref="G81">index('Player ID'!C:C,match(E81,'Player ID'!B:B,0))</f>
        <v>641941</v>
      </c>
    </row>
    <row r="82">
      <c r="A82" s="76">
        <v>45743.0</v>
      </c>
      <c r="B82" s="1" t="s">
        <v>652</v>
      </c>
      <c r="C82" s="1" t="s">
        <v>66</v>
      </c>
      <c r="D82" s="1">
        <v>0.1</v>
      </c>
      <c r="E82" s="1">
        <v>14874.0</v>
      </c>
      <c r="F82" s="10">
        <f t="shared" si="1"/>
        <v>0.3333333333</v>
      </c>
      <c r="G82" s="10">
        <f t="array" ref="G82">index('Player ID'!C:C,match(E82,'Player ID'!B:B,0))</f>
        <v>594580</v>
      </c>
    </row>
    <row r="83">
      <c r="A83" s="76">
        <v>45743.0</v>
      </c>
      <c r="B83" s="1" t="s">
        <v>475</v>
      </c>
      <c r="C83" s="1" t="s">
        <v>66</v>
      </c>
      <c r="D83" s="1">
        <v>1.0</v>
      </c>
      <c r="E83" s="1">
        <v>14993.0</v>
      </c>
      <c r="F83" s="10">
        <f t="shared" si="1"/>
        <v>1</v>
      </c>
      <c r="G83" s="10">
        <f t="array" ref="G83">index('Player ID'!C:C,match(E83,'Player ID'!B:B,0))</f>
        <v>605130</v>
      </c>
    </row>
    <row r="84">
      <c r="A84" s="76">
        <v>45743.0</v>
      </c>
      <c r="B84" s="1" t="s">
        <v>20</v>
      </c>
      <c r="C84" s="1" t="s">
        <v>31</v>
      </c>
      <c r="D84" s="1">
        <v>1.0</v>
      </c>
      <c r="E84" s="1">
        <v>15541.0</v>
      </c>
      <c r="F84" s="10">
        <f t="shared" si="1"/>
        <v>1</v>
      </c>
      <c r="G84" s="10">
        <f t="array" ref="G84">index('Player ID'!C:C,match(E84,'Player ID'!B:B,0))</f>
        <v>643511</v>
      </c>
    </row>
    <row r="85">
      <c r="A85" s="76">
        <v>45743.0</v>
      </c>
      <c r="B85" s="1" t="s">
        <v>653</v>
      </c>
      <c r="C85" s="1" t="s">
        <v>66</v>
      </c>
      <c r="D85" s="1">
        <v>0.2</v>
      </c>
      <c r="E85" s="1">
        <v>17871.0</v>
      </c>
      <c r="F85" s="10">
        <f t="shared" si="1"/>
        <v>0.6666666667</v>
      </c>
      <c r="G85" s="10">
        <f t="array" ref="G85">index('Player ID'!C:C,match(E85,'Player ID'!B:B,0))</f>
        <v>664139</v>
      </c>
    </row>
    <row r="86">
      <c r="A86" s="76">
        <v>45743.0</v>
      </c>
      <c r="B86" s="1" t="s">
        <v>77</v>
      </c>
      <c r="C86" s="1" t="s">
        <v>31</v>
      </c>
      <c r="D86" s="1">
        <v>5.0</v>
      </c>
      <c r="E86" s="1">
        <v>17995.0</v>
      </c>
      <c r="F86" s="10">
        <f t="shared" si="1"/>
        <v>5</v>
      </c>
      <c r="G86" s="10">
        <f t="array" ref="G86">index('Player ID'!C:C,match(E86,'Player ID'!B:B,0))</f>
        <v>657277</v>
      </c>
    </row>
    <row r="87">
      <c r="A87" s="76">
        <v>45743.0</v>
      </c>
      <c r="B87" s="1" t="s">
        <v>345</v>
      </c>
      <c r="C87" s="1" t="s">
        <v>66</v>
      </c>
      <c r="D87" s="1">
        <v>1.0</v>
      </c>
      <c r="E87" s="1">
        <v>19926.0</v>
      </c>
      <c r="F87" s="10">
        <f t="shared" si="1"/>
        <v>1</v>
      </c>
      <c r="G87" s="10">
        <f t="array" ref="G87">index('Player ID'!C:C,match(E87,'Player ID'!B:B,0))</f>
        <v>663574</v>
      </c>
    </row>
    <row r="88">
      <c r="A88" s="76">
        <v>45743.0</v>
      </c>
      <c r="B88" s="1" t="s">
        <v>403</v>
      </c>
      <c r="C88" s="1" t="s">
        <v>31</v>
      </c>
      <c r="D88" s="1">
        <v>1.0</v>
      </c>
      <c r="E88" s="1">
        <v>20423.0</v>
      </c>
      <c r="F88" s="10">
        <f t="shared" si="1"/>
        <v>1</v>
      </c>
      <c r="G88" s="10">
        <f t="array" ref="G88">index('Player ID'!C:C,match(E88,'Player ID'!B:B,0))</f>
        <v>676254</v>
      </c>
    </row>
    <row r="89">
      <c r="A89" s="76">
        <v>45743.0</v>
      </c>
      <c r="B89" s="1" t="s">
        <v>73</v>
      </c>
      <c r="C89" s="1" t="s">
        <v>66</v>
      </c>
      <c r="D89" s="1">
        <v>5.0</v>
      </c>
      <c r="E89" s="1">
        <v>22182.0</v>
      </c>
      <c r="F89" s="10">
        <f t="shared" si="1"/>
        <v>5</v>
      </c>
      <c r="G89" s="10">
        <f t="array" ref="G89">index('Player ID'!C:C,match(E89,'Player ID'!B:B,0))</f>
        <v>668881</v>
      </c>
    </row>
    <row r="90">
      <c r="A90" s="76">
        <v>45743.0</v>
      </c>
      <c r="B90" s="1" t="s">
        <v>654</v>
      </c>
      <c r="C90" s="1" t="s">
        <v>31</v>
      </c>
      <c r="D90" s="1">
        <v>1.0</v>
      </c>
      <c r="E90" s="1">
        <v>23974.0</v>
      </c>
      <c r="F90" s="10">
        <f t="shared" si="1"/>
        <v>1</v>
      </c>
      <c r="G90" s="10">
        <f t="array" ref="G90">index('Player ID'!C:C,match(E90,'Player ID'!B:B,0))</f>
        <v>678495</v>
      </c>
    </row>
    <row r="91">
      <c r="A91" s="76">
        <v>45743.0</v>
      </c>
      <c r="B91" s="1" t="s">
        <v>655</v>
      </c>
      <c r="C91" s="1" t="s">
        <v>31</v>
      </c>
      <c r="D91" s="1">
        <v>1.0</v>
      </c>
      <c r="E91" s="1">
        <v>26252.0</v>
      </c>
      <c r="F91" s="10">
        <f t="shared" si="1"/>
        <v>1</v>
      </c>
      <c r="G91" s="10">
        <f t="array" ref="G91">index('Player ID'!C:C,match(E91,'Player ID'!B:B,0))</f>
        <v>669062</v>
      </c>
    </row>
    <row r="92">
      <c r="A92" s="76">
        <v>45743.0</v>
      </c>
      <c r="B92" s="1" t="s">
        <v>656</v>
      </c>
      <c r="C92" s="1" t="s">
        <v>78</v>
      </c>
      <c r="D92" s="1">
        <v>0.1</v>
      </c>
      <c r="E92" s="1">
        <v>12808.0</v>
      </c>
      <c r="F92" s="10">
        <f t="shared" si="1"/>
        <v>0.3333333333</v>
      </c>
      <c r="G92" s="10">
        <f t="array" ref="G92">index('Player ID'!C:C,match(E92,'Player ID'!B:B,0))</f>
        <v>605182</v>
      </c>
    </row>
    <row r="93">
      <c r="A93" s="76">
        <v>45743.0</v>
      </c>
      <c r="B93" s="1" t="s">
        <v>252</v>
      </c>
      <c r="C93" s="1" t="s">
        <v>78</v>
      </c>
      <c r="D93" s="1">
        <v>1.0</v>
      </c>
      <c r="E93" s="1">
        <v>16061.0</v>
      </c>
      <c r="F93" s="10">
        <f t="shared" si="1"/>
        <v>1</v>
      </c>
      <c r="G93" s="10">
        <f t="array" ref="G93">index('Player ID'!C:C,match(E93,'Player ID'!B:B,0))</f>
        <v>592155</v>
      </c>
    </row>
    <row r="94">
      <c r="A94" s="76">
        <v>45743.0</v>
      </c>
      <c r="B94" s="1" t="s">
        <v>657</v>
      </c>
      <c r="C94" s="1" t="s">
        <v>25</v>
      </c>
      <c r="D94" s="1">
        <v>0.1</v>
      </c>
      <c r="E94" s="1">
        <v>19339.0</v>
      </c>
      <c r="F94" s="10">
        <f t="shared" si="1"/>
        <v>0.3333333333</v>
      </c>
      <c r="G94" s="10">
        <f t="array" ref="G94">index('Player ID'!C:C,match(E94,'Player ID'!B:B,0))</f>
        <v>670032</v>
      </c>
    </row>
    <row r="95">
      <c r="A95" s="76">
        <v>45743.0</v>
      </c>
      <c r="B95" s="1" t="s">
        <v>232</v>
      </c>
      <c r="C95" s="1" t="s">
        <v>25</v>
      </c>
      <c r="D95" s="1">
        <v>6.0</v>
      </c>
      <c r="E95" s="1">
        <v>20633.0</v>
      </c>
      <c r="F95" s="10">
        <f t="shared" si="1"/>
        <v>6</v>
      </c>
      <c r="G95" s="10">
        <f t="array" ref="G95">index('Player ID'!C:C,match(E95,'Player ID'!B:B,0))</f>
        <v>579328</v>
      </c>
    </row>
    <row r="96">
      <c r="A96" s="76">
        <v>45743.0</v>
      </c>
      <c r="B96" s="1" t="s">
        <v>658</v>
      </c>
      <c r="C96" s="1" t="s">
        <v>78</v>
      </c>
      <c r="D96" s="1">
        <v>1.0</v>
      </c>
      <c r="E96" s="1">
        <v>25174.0</v>
      </c>
      <c r="F96" s="10">
        <f t="shared" si="1"/>
        <v>1</v>
      </c>
      <c r="G96" s="10">
        <f t="array" ref="G96">index('Player ID'!C:C,match(E96,'Player ID'!B:B,0))</f>
        <v>682171</v>
      </c>
    </row>
    <row r="97">
      <c r="A97" s="76">
        <v>45743.0</v>
      </c>
      <c r="B97" s="1" t="s">
        <v>356</v>
      </c>
      <c r="C97" s="1" t="s">
        <v>78</v>
      </c>
      <c r="D97" s="1">
        <v>6.0</v>
      </c>
      <c r="E97" s="1">
        <v>29878.0</v>
      </c>
      <c r="F97" s="10">
        <f t="shared" si="1"/>
        <v>6</v>
      </c>
      <c r="G97" s="10">
        <f t="array" ref="G97">index('Player ID'!C:C,match(E97,'Player ID'!B:B,0))</f>
        <v>680732</v>
      </c>
    </row>
    <row r="98">
      <c r="A98" s="76">
        <v>45743.0</v>
      </c>
      <c r="B98" s="1" t="s">
        <v>317</v>
      </c>
      <c r="C98" s="1" t="s">
        <v>78</v>
      </c>
      <c r="D98" s="1">
        <v>0.2</v>
      </c>
      <c r="E98" s="1">
        <v>29950.0</v>
      </c>
      <c r="F98" s="10">
        <f t="shared" si="1"/>
        <v>0.6666666667</v>
      </c>
      <c r="G98" s="10">
        <f t="array" ref="G98">index('Player ID'!C:C,match(E98,'Player ID'!B:B,0))</f>
        <v>673929</v>
      </c>
    </row>
    <row r="99">
      <c r="A99" s="76">
        <v>45743.0</v>
      </c>
      <c r="B99" s="1" t="s">
        <v>659</v>
      </c>
      <c r="C99" s="1" t="s">
        <v>25</v>
      </c>
      <c r="D99" s="1">
        <v>1.2</v>
      </c>
      <c r="E99" s="1">
        <v>35325.0</v>
      </c>
      <c r="F99" s="10">
        <f t="shared" si="1"/>
        <v>1.666666667</v>
      </c>
      <c r="G99" s="10">
        <f t="array" ref="G99">index('Player ID'!C:C,match(E99,'Player ID'!B:B,0))</f>
        <v>696270</v>
      </c>
    </row>
    <row r="100">
      <c r="A100" s="76">
        <v>45743.0</v>
      </c>
      <c r="B100" s="1" t="s">
        <v>156</v>
      </c>
      <c r="C100" s="1" t="s">
        <v>46</v>
      </c>
      <c r="D100" s="1">
        <v>5.0</v>
      </c>
      <c r="E100" s="1">
        <v>10603.0</v>
      </c>
      <c r="F100" s="10">
        <f t="shared" si="1"/>
        <v>5</v>
      </c>
      <c r="G100" s="10">
        <f t="array" ref="G100">index('Player ID'!C:C,match(E100,'Player ID'!B:B,0))</f>
        <v>519242</v>
      </c>
    </row>
    <row r="101">
      <c r="A101" s="76">
        <v>45743.0</v>
      </c>
      <c r="B101" s="1" t="s">
        <v>660</v>
      </c>
      <c r="C101" s="1" t="s">
        <v>46</v>
      </c>
      <c r="D101" s="1">
        <v>0.0</v>
      </c>
      <c r="E101" s="1">
        <v>11804.0</v>
      </c>
      <c r="F101" s="10">
        <f t="shared" si="1"/>
        <v>0</v>
      </c>
      <c r="G101" s="10">
        <f t="array" ref="G101">index('Player ID'!C:C,match(E101,'Player ID'!B:B,0))</f>
        <v>593576</v>
      </c>
    </row>
    <row r="102">
      <c r="A102" s="76">
        <v>45743.0</v>
      </c>
      <c r="B102" s="1" t="s">
        <v>342</v>
      </c>
      <c r="C102" s="1" t="s">
        <v>26</v>
      </c>
      <c r="D102" s="1">
        <v>1.0</v>
      </c>
      <c r="E102" s="1">
        <v>11861.0</v>
      </c>
      <c r="F102" s="10">
        <f t="shared" si="1"/>
        <v>1</v>
      </c>
      <c r="G102" s="10">
        <f t="array" ref="G102">index('Player ID'!C:C,match(E102,'Player ID'!B:B,0))</f>
        <v>592094</v>
      </c>
    </row>
    <row r="103">
      <c r="A103" s="76">
        <v>45743.0</v>
      </c>
      <c r="B103" s="1" t="s">
        <v>404</v>
      </c>
      <c r="C103" s="1" t="s">
        <v>26</v>
      </c>
      <c r="D103" s="1">
        <v>0.1</v>
      </c>
      <c r="E103" s="1">
        <v>14295.0</v>
      </c>
      <c r="F103" s="10">
        <f t="shared" si="1"/>
        <v>0.3333333333</v>
      </c>
      <c r="G103" s="10">
        <f t="array" ref="G103">index('Player ID'!C:C,match(E103,'Player ID'!B:B,0))</f>
        <v>593974</v>
      </c>
    </row>
    <row r="104">
      <c r="A104" s="76">
        <v>45743.0</v>
      </c>
      <c r="B104" s="1" t="s">
        <v>319</v>
      </c>
      <c r="C104" s="1" t="s">
        <v>46</v>
      </c>
      <c r="D104" s="1">
        <v>1.0</v>
      </c>
      <c r="E104" s="1">
        <v>16258.0</v>
      </c>
      <c r="F104" s="10">
        <f t="shared" si="1"/>
        <v>1</v>
      </c>
      <c r="G104" s="10">
        <f t="array" ref="G104">index('Player ID'!C:C,match(E104,'Player ID'!B:B,0))</f>
        <v>607481</v>
      </c>
    </row>
    <row r="105">
      <c r="A105" s="76">
        <v>45743.0</v>
      </c>
      <c r="B105" s="1" t="s">
        <v>366</v>
      </c>
      <c r="C105" s="1" t="s">
        <v>46</v>
      </c>
      <c r="D105" s="1">
        <v>1.0</v>
      </c>
      <c r="E105" s="1">
        <v>16944.0</v>
      </c>
      <c r="F105" s="10">
        <f t="shared" si="1"/>
        <v>1</v>
      </c>
      <c r="G105" s="10">
        <f t="array" ref="G105">index('Player ID'!C:C,match(E105,'Player ID'!B:B,0))</f>
        <v>656550</v>
      </c>
    </row>
    <row r="106">
      <c r="A106" s="76">
        <v>45743.0</v>
      </c>
      <c r="B106" s="1" t="s">
        <v>207</v>
      </c>
      <c r="C106" s="1" t="s">
        <v>26</v>
      </c>
      <c r="D106" s="1">
        <v>2.2</v>
      </c>
      <c r="E106" s="1">
        <v>19853.0</v>
      </c>
      <c r="F106" s="10">
        <f t="shared" si="1"/>
        <v>2.666666667</v>
      </c>
      <c r="G106" s="10">
        <f t="array" ref="G106">index('Player ID'!C:C,match(E106,'Player ID'!B:B,0))</f>
        <v>650633</v>
      </c>
    </row>
    <row r="107">
      <c r="A107" s="76">
        <v>45743.0</v>
      </c>
      <c r="B107" s="1" t="s">
        <v>91</v>
      </c>
      <c r="C107" s="1" t="s">
        <v>46</v>
      </c>
      <c r="D107" s="1">
        <v>1.0</v>
      </c>
      <c r="E107" s="1">
        <v>19996.0</v>
      </c>
      <c r="F107" s="10">
        <f t="shared" si="1"/>
        <v>1</v>
      </c>
      <c r="G107" s="10">
        <f t="array" ref="G107">index('Player ID'!C:C,match(E107,'Player ID'!B:B,0))</f>
        <v>669276</v>
      </c>
    </row>
    <row r="108">
      <c r="A108" s="76">
        <v>45743.0</v>
      </c>
      <c r="B108" s="1" t="s">
        <v>94</v>
      </c>
      <c r="C108" s="1" t="s">
        <v>26</v>
      </c>
      <c r="D108" s="1">
        <v>1.1</v>
      </c>
      <c r="E108" s="1">
        <v>22210.0</v>
      </c>
      <c r="F108" s="10">
        <f t="shared" si="1"/>
        <v>1.333333333</v>
      </c>
      <c r="G108" s="10">
        <f t="array" ref="G108">index('Player ID'!C:C,match(E108,'Player ID'!B:B,0))</f>
        <v>669093</v>
      </c>
    </row>
    <row r="109">
      <c r="A109" s="76">
        <v>45743.0</v>
      </c>
      <c r="B109" s="1" t="s">
        <v>391</v>
      </c>
      <c r="C109" s="1" t="s">
        <v>26</v>
      </c>
      <c r="D109" s="1">
        <v>1.0</v>
      </c>
      <c r="E109" s="1">
        <v>29628.0</v>
      </c>
      <c r="F109" s="10">
        <f t="shared" si="1"/>
        <v>1</v>
      </c>
      <c r="G109" s="10">
        <f t="array" ref="G109">index('Player ID'!C:C,match(E109,'Player ID'!B:B,0))</f>
        <v>689690</v>
      </c>
    </row>
    <row r="110">
      <c r="A110" s="76">
        <v>45743.0</v>
      </c>
      <c r="B110" s="1" t="s">
        <v>81</v>
      </c>
      <c r="C110" s="1" t="s">
        <v>26</v>
      </c>
      <c r="D110" s="1">
        <v>1.0</v>
      </c>
      <c r="E110" s="1">
        <v>30115.0</v>
      </c>
      <c r="F110" s="10">
        <f t="shared" si="1"/>
        <v>1</v>
      </c>
      <c r="G110" s="10">
        <f t="array" ref="G110">index('Player ID'!C:C,match(E110,'Player ID'!B:B,0))</f>
        <v>663158</v>
      </c>
    </row>
    <row r="111">
      <c r="A111" s="76">
        <v>45743.0</v>
      </c>
      <c r="B111" s="1" t="s">
        <v>284</v>
      </c>
      <c r="C111" s="1" t="s">
        <v>26</v>
      </c>
      <c r="D111" s="1">
        <v>1.2</v>
      </c>
      <c r="E111" s="1">
        <v>33826.0</v>
      </c>
      <c r="F111" s="10">
        <f t="shared" si="1"/>
        <v>1.666666667</v>
      </c>
      <c r="G111" s="10">
        <f t="array" ref="G111">index('Player ID'!C:C,match(E111,'Player ID'!B:B,0))</f>
        <v>673513</v>
      </c>
    </row>
    <row r="112">
      <c r="A112" s="76">
        <v>45743.0</v>
      </c>
      <c r="B112" s="1" t="s">
        <v>661</v>
      </c>
      <c r="C112" s="1" t="s">
        <v>36</v>
      </c>
      <c r="D112" s="1">
        <v>1.0</v>
      </c>
      <c r="E112" s="1">
        <v>16300.0</v>
      </c>
      <c r="F112" s="10">
        <f t="shared" si="1"/>
        <v>1</v>
      </c>
      <c r="G112" s="10">
        <f t="array" ref="G112">index('Player ID'!C:C,match(E112,'Player ID'!B:B,0))</f>
        <v>622786</v>
      </c>
    </row>
    <row r="113">
      <c r="A113" s="76">
        <v>45743.0</v>
      </c>
      <c r="B113" s="1" t="s">
        <v>443</v>
      </c>
      <c r="C113" s="1" t="s">
        <v>60</v>
      </c>
      <c r="D113" s="1">
        <v>0.1</v>
      </c>
      <c r="E113" s="1">
        <v>16350.0</v>
      </c>
      <c r="F113" s="10">
        <f t="shared" si="1"/>
        <v>0.3333333333</v>
      </c>
      <c r="G113" s="10">
        <f t="array" ref="G113">index('Player ID'!C:C,match(E113,'Player ID'!B:B,0))</f>
        <v>621366</v>
      </c>
    </row>
    <row r="114">
      <c r="A114" s="76">
        <v>45743.0</v>
      </c>
      <c r="B114" s="1" t="s">
        <v>217</v>
      </c>
      <c r="C114" s="1" t="s">
        <v>60</v>
      </c>
      <c r="D114" s="1">
        <v>0.1</v>
      </c>
      <c r="E114" s="1">
        <v>17878.0</v>
      </c>
      <c r="F114" s="10">
        <f t="shared" si="1"/>
        <v>0.3333333333</v>
      </c>
      <c r="G114" s="10">
        <f t="array" ref="G114">index('Player ID'!C:C,match(E114,'Player ID'!B:B,0))</f>
        <v>642701</v>
      </c>
    </row>
    <row r="115">
      <c r="A115" s="76">
        <v>45743.0</v>
      </c>
      <c r="B115" s="1" t="s">
        <v>229</v>
      </c>
      <c r="C115" s="1" t="s">
        <v>36</v>
      </c>
      <c r="D115" s="1">
        <v>4.2</v>
      </c>
      <c r="E115" s="1">
        <v>18684.0</v>
      </c>
      <c r="F115" s="10">
        <f t="shared" si="1"/>
        <v>4.666666667</v>
      </c>
      <c r="G115" s="10">
        <f t="array" ref="G115">index('Player ID'!C:C,match(E115,'Player ID'!B:B,0))</f>
        <v>645261</v>
      </c>
    </row>
    <row r="116">
      <c r="A116" s="76">
        <v>45743.0</v>
      </c>
      <c r="B116" s="1" t="s">
        <v>241</v>
      </c>
      <c r="C116" s="1" t="s">
        <v>36</v>
      </c>
      <c r="D116" s="1">
        <v>1.1</v>
      </c>
      <c r="E116" s="1">
        <v>19222.0</v>
      </c>
      <c r="F116" s="10">
        <f t="shared" si="1"/>
        <v>1.333333333</v>
      </c>
      <c r="G116" s="10">
        <f t="array" ref="G116">index('Player ID'!C:C,match(E116,'Player ID'!B:B,0))</f>
        <v>669199</v>
      </c>
    </row>
    <row r="117">
      <c r="A117" s="76">
        <v>45743.0</v>
      </c>
      <c r="B117" s="1" t="s">
        <v>107</v>
      </c>
      <c r="C117" s="1" t="s">
        <v>60</v>
      </c>
      <c r="D117" s="1">
        <v>1.0</v>
      </c>
      <c r="E117" s="1">
        <v>19349.0</v>
      </c>
      <c r="F117" s="10">
        <f t="shared" si="1"/>
        <v>1</v>
      </c>
      <c r="G117" s="10">
        <f t="array" ref="G117">index('Player ID'!C:C,match(E117,'Player ID'!B:B,0))</f>
        <v>657571</v>
      </c>
    </row>
    <row r="118">
      <c r="A118" s="76">
        <v>45743.0</v>
      </c>
      <c r="B118" s="1" t="s">
        <v>183</v>
      </c>
      <c r="C118" s="1" t="s">
        <v>60</v>
      </c>
      <c r="D118" s="1">
        <v>0.0</v>
      </c>
      <c r="E118" s="1">
        <v>19569.0</v>
      </c>
      <c r="F118" s="10">
        <f t="shared" si="1"/>
        <v>0</v>
      </c>
      <c r="G118" s="10">
        <f t="array" ref="G118">index('Player ID'!C:C,match(E118,'Player ID'!B:B,0))</f>
        <v>670280</v>
      </c>
    </row>
    <row r="119">
      <c r="A119" s="76">
        <v>45743.0</v>
      </c>
      <c r="B119" s="1" t="s">
        <v>469</v>
      </c>
      <c r="C119" s="1" t="s">
        <v>36</v>
      </c>
      <c r="D119" s="1">
        <v>2.0</v>
      </c>
      <c r="E119" s="1">
        <v>21863.0</v>
      </c>
      <c r="F119" s="10">
        <f t="shared" si="1"/>
        <v>2</v>
      </c>
      <c r="G119" s="10">
        <f t="array" ref="G119">index('Player ID'!C:C,match(E119,'Player ID'!B:B,0))</f>
        <v>666277</v>
      </c>
    </row>
    <row r="120">
      <c r="A120" s="76">
        <v>45743.0</v>
      </c>
      <c r="B120" s="1" t="s">
        <v>663</v>
      </c>
      <c r="C120" s="1" t="s">
        <v>60</v>
      </c>
      <c r="D120" s="1">
        <v>1.0</v>
      </c>
      <c r="E120" s="1">
        <v>22361.0</v>
      </c>
      <c r="F120" s="10">
        <f t="shared" si="1"/>
        <v>1</v>
      </c>
      <c r="G120" s="10">
        <f t="array" ref="G120">index('Player ID'!C:C,match(E120,'Player ID'!B:B,0))</f>
        <v>670059</v>
      </c>
    </row>
    <row r="121">
      <c r="A121" s="76">
        <v>45743.0</v>
      </c>
      <c r="B121" s="1" t="s">
        <v>88</v>
      </c>
      <c r="C121" s="1" t="s">
        <v>60</v>
      </c>
      <c r="D121" s="1">
        <v>5.1</v>
      </c>
      <c r="E121" s="1">
        <v>33677.0</v>
      </c>
      <c r="F121" s="10">
        <f t="shared" si="1"/>
        <v>5.333333333</v>
      </c>
      <c r="G121" s="10">
        <f t="array" ref="G121">index('Player ID'!C:C,match(E121,'Player ID'!B:B,0))</f>
        <v>694973</v>
      </c>
    </row>
    <row r="122">
      <c r="A122" s="76">
        <v>45743.0</v>
      </c>
      <c r="B122" s="1" t="s">
        <v>95</v>
      </c>
      <c r="C122" s="1" t="s">
        <v>72</v>
      </c>
      <c r="D122" s="1">
        <v>5.0</v>
      </c>
      <c r="E122" s="1">
        <v>12768.0</v>
      </c>
      <c r="F122" s="10">
        <f t="shared" si="1"/>
        <v>5</v>
      </c>
      <c r="G122" s="10">
        <f t="array" ref="G122">index('Player ID'!C:C,match(E122,'Player ID'!B:B,0))</f>
        <v>543243</v>
      </c>
    </row>
    <row r="123">
      <c r="A123" s="76">
        <v>45743.0</v>
      </c>
      <c r="B123" s="1" t="s">
        <v>146</v>
      </c>
      <c r="C123" s="1" t="s">
        <v>16</v>
      </c>
      <c r="D123" s="1">
        <v>0.1</v>
      </c>
      <c r="E123" s="1">
        <v>15145.0</v>
      </c>
      <c r="F123" s="10">
        <f t="shared" si="1"/>
        <v>0.3333333333</v>
      </c>
      <c r="G123" s="10">
        <f t="array" ref="G123">index('Player ID'!C:C,match(E123,'Player ID'!B:B,0))</f>
        <v>623437</v>
      </c>
    </row>
    <row r="124">
      <c r="A124" s="76">
        <v>45743.0</v>
      </c>
      <c r="B124" s="1" t="s">
        <v>664</v>
      </c>
      <c r="C124" s="1" t="s">
        <v>16</v>
      </c>
      <c r="D124" s="1">
        <v>5.0</v>
      </c>
      <c r="E124" s="1">
        <v>17085.0</v>
      </c>
      <c r="F124" s="10">
        <f t="shared" si="1"/>
        <v>5</v>
      </c>
      <c r="G124" s="10">
        <f t="array" ref="G124">index('Player ID'!C:C,match(E124,'Player ID'!B:B,0))</f>
        <v>641154</v>
      </c>
    </row>
    <row r="125">
      <c r="A125" s="76">
        <v>45743.0</v>
      </c>
      <c r="B125" s="1" t="s">
        <v>190</v>
      </c>
      <c r="C125" s="1" t="s">
        <v>72</v>
      </c>
      <c r="D125" s="1">
        <v>1.0</v>
      </c>
      <c r="E125" s="1">
        <v>18064.0</v>
      </c>
      <c r="F125" s="10">
        <f t="shared" si="1"/>
        <v>1</v>
      </c>
      <c r="G125" s="10">
        <f t="array" ref="G125">index('Player ID'!C:C,match(E125,'Player ID'!B:B,0))</f>
        <v>664208</v>
      </c>
    </row>
    <row r="126">
      <c r="A126" s="76">
        <v>45743.0</v>
      </c>
      <c r="B126" s="1" t="s">
        <v>270</v>
      </c>
      <c r="C126" s="1" t="s">
        <v>72</v>
      </c>
      <c r="D126" s="1">
        <v>1.0</v>
      </c>
      <c r="E126" s="1">
        <v>18138.0</v>
      </c>
      <c r="F126" s="10">
        <f t="shared" si="1"/>
        <v>1</v>
      </c>
      <c r="G126" s="10">
        <f t="array" ref="G126">index('Player ID'!C:C,match(E126,'Player ID'!B:B,0))</f>
        <v>664854</v>
      </c>
    </row>
    <row r="127">
      <c r="A127" s="76">
        <v>45743.0</v>
      </c>
      <c r="B127" s="1" t="s">
        <v>28</v>
      </c>
      <c r="C127" s="1" t="s">
        <v>16</v>
      </c>
      <c r="D127" s="1">
        <v>0.2</v>
      </c>
      <c r="E127" s="1">
        <v>20253.0</v>
      </c>
      <c r="F127" s="10">
        <f t="shared" si="1"/>
        <v>0.6666666667</v>
      </c>
      <c r="G127" s="10">
        <f t="array" ref="G127">index('Player ID'!C:C,match(E127,'Player ID'!B:B,0))</f>
        <v>643377</v>
      </c>
    </row>
    <row r="128">
      <c r="A128" s="76">
        <v>45743.0</v>
      </c>
      <c r="B128" s="1" t="s">
        <v>237</v>
      </c>
      <c r="C128" s="1" t="s">
        <v>16</v>
      </c>
      <c r="D128" s="1">
        <v>1.0</v>
      </c>
      <c r="E128" s="1">
        <v>21461.0</v>
      </c>
      <c r="F128" s="10">
        <f t="shared" si="1"/>
        <v>1</v>
      </c>
      <c r="G128" s="10">
        <f t="array" ref="G128">index('Player ID'!C:C,match(E128,'Player ID'!B:B,0))</f>
        <v>663485</v>
      </c>
    </row>
    <row r="129">
      <c r="A129" s="76">
        <v>45743.0</v>
      </c>
      <c r="B129" s="1" t="s">
        <v>273</v>
      </c>
      <c r="C129" s="1" t="s">
        <v>72</v>
      </c>
      <c r="D129" s="1">
        <v>0.1</v>
      </c>
      <c r="E129" s="1">
        <v>22051.0</v>
      </c>
      <c r="F129" s="10">
        <f t="shared" si="1"/>
        <v>0.3333333333</v>
      </c>
      <c r="G129" s="10">
        <f t="array" ref="G129">index('Player ID'!C:C,match(E129,'Player ID'!B:B,0))</f>
        <v>667463</v>
      </c>
    </row>
    <row r="130">
      <c r="A130" s="76">
        <v>45743.0</v>
      </c>
      <c r="B130" s="1" t="s">
        <v>170</v>
      </c>
      <c r="C130" s="1" t="s">
        <v>72</v>
      </c>
      <c r="D130" s="1">
        <v>0.2</v>
      </c>
      <c r="E130" s="1">
        <v>24763.0</v>
      </c>
      <c r="F130" s="10">
        <f t="shared" si="1"/>
        <v>0.6666666667</v>
      </c>
      <c r="G130" s="10">
        <f t="array" ref="G130">index('Player ID'!C:C,match(E130,'Player ID'!B:B,0))</f>
        <v>681517</v>
      </c>
    </row>
    <row r="131">
      <c r="A131" s="76">
        <v>45743.0</v>
      </c>
      <c r="B131" s="1" t="s">
        <v>47</v>
      </c>
      <c r="C131" s="1" t="s">
        <v>16</v>
      </c>
      <c r="D131" s="1">
        <v>1.0</v>
      </c>
      <c r="E131" s="1">
        <v>27691.0</v>
      </c>
      <c r="F131" s="10">
        <f t="shared" si="1"/>
        <v>1</v>
      </c>
      <c r="G131" s="10">
        <f t="array" ref="G131">index('Player ID'!C:C,match(E131,'Player ID'!B:B,0))</f>
        <v>686973</v>
      </c>
    </row>
    <row r="132">
      <c r="A132" s="76">
        <v>45743.0</v>
      </c>
      <c r="B132" s="1" t="s">
        <v>665</v>
      </c>
      <c r="C132" s="1" t="s">
        <v>72</v>
      </c>
      <c r="D132" s="1">
        <v>1.0</v>
      </c>
      <c r="E132" s="1">
        <v>31261.0</v>
      </c>
      <c r="F132" s="10">
        <f t="shared" si="1"/>
        <v>1</v>
      </c>
      <c r="G132" s="10">
        <f t="array" ref="G132">index('Player ID'!C:C,match(E132,'Player ID'!B:B,0))</f>
        <v>688297</v>
      </c>
    </row>
    <row r="133">
      <c r="A133" s="76">
        <v>45743.0</v>
      </c>
      <c r="B133" s="1" t="s">
        <v>630</v>
      </c>
      <c r="C133" s="1" t="s">
        <v>33</v>
      </c>
      <c r="D133" s="1">
        <v>1.0</v>
      </c>
      <c r="E133" s="1">
        <v>12572.0</v>
      </c>
      <c r="F133" s="10">
        <f t="shared" si="1"/>
        <v>1</v>
      </c>
      <c r="G133" s="10">
        <f t="array" ref="G133">index('Player ID'!C:C,match(E133,'Player ID'!B:B,0))</f>
        <v>595014</v>
      </c>
    </row>
    <row r="134">
      <c r="A134" s="76">
        <v>45743.0</v>
      </c>
      <c r="B134" s="1" t="s">
        <v>666</v>
      </c>
      <c r="C134" s="1" t="s">
        <v>62</v>
      </c>
      <c r="D134" s="1">
        <v>1.0</v>
      </c>
      <c r="E134" s="1">
        <v>12777.0</v>
      </c>
      <c r="F134" s="10">
        <f t="shared" si="1"/>
        <v>1</v>
      </c>
      <c r="G134" s="10">
        <f t="array" ref="G134">index('Player ID'!C:C,match(E134,'Player ID'!B:B,0))</f>
        <v>605154</v>
      </c>
    </row>
    <row r="135">
      <c r="A135" s="76">
        <v>45743.0</v>
      </c>
      <c r="B135" s="1" t="s">
        <v>159</v>
      </c>
      <c r="C135" s="1" t="s">
        <v>33</v>
      </c>
      <c r="D135" s="1">
        <v>5.0</v>
      </c>
      <c r="E135" s="1">
        <v>13543.0</v>
      </c>
      <c r="F135" s="10">
        <f t="shared" si="1"/>
        <v>5</v>
      </c>
      <c r="G135" s="10">
        <f t="array" ref="G135">index('Player ID'!C:C,match(E135,'Player ID'!B:B,0))</f>
        <v>605483</v>
      </c>
    </row>
    <row r="136">
      <c r="A136" s="76">
        <v>45743.0</v>
      </c>
      <c r="B136" s="1" t="s">
        <v>32</v>
      </c>
      <c r="C136" s="1" t="s">
        <v>33</v>
      </c>
      <c r="D136" s="1">
        <v>1.0</v>
      </c>
      <c r="E136" s="1">
        <v>17586.0</v>
      </c>
      <c r="F136" s="10">
        <f t="shared" si="1"/>
        <v>1</v>
      </c>
      <c r="G136" s="10">
        <f t="array" ref="G136">index('Player ID'!C:C,match(E136,'Player ID'!B:B,0))</f>
        <v>656945</v>
      </c>
    </row>
    <row r="137">
      <c r="A137" s="76">
        <v>45743.0</v>
      </c>
      <c r="B137" s="1" t="s">
        <v>84</v>
      </c>
      <c r="C137" s="1" t="s">
        <v>62</v>
      </c>
      <c r="D137" s="1">
        <v>5.0</v>
      </c>
      <c r="E137" s="1">
        <v>22267.0</v>
      </c>
      <c r="F137" s="10">
        <f t="shared" si="1"/>
        <v>5</v>
      </c>
      <c r="G137" s="10">
        <f t="array" ref="G137">index('Player ID'!C:C,match(E137,'Player ID'!B:B,0))</f>
        <v>669373</v>
      </c>
    </row>
    <row r="138">
      <c r="A138" s="76">
        <v>45743.0</v>
      </c>
      <c r="B138" s="1" t="s">
        <v>289</v>
      </c>
      <c r="C138" s="1" t="s">
        <v>62</v>
      </c>
      <c r="D138" s="1">
        <v>1.0</v>
      </c>
      <c r="E138" s="1">
        <v>22304.0</v>
      </c>
      <c r="F138" s="10">
        <f t="shared" si="1"/>
        <v>1</v>
      </c>
      <c r="G138" s="10">
        <f t="array" ref="G138">index('Player ID'!C:C,match(E138,'Player ID'!B:B,0))</f>
        <v>669724</v>
      </c>
    </row>
    <row r="139">
      <c r="A139" s="76">
        <v>45743.0</v>
      </c>
      <c r="B139" s="1" t="s">
        <v>92</v>
      </c>
      <c r="C139" s="1" t="s">
        <v>33</v>
      </c>
      <c r="D139" s="1">
        <v>1.0</v>
      </c>
      <c r="E139" s="1">
        <v>25007.0</v>
      </c>
      <c r="F139" s="10">
        <f t="shared" si="1"/>
        <v>1</v>
      </c>
      <c r="G139" s="10">
        <f t="array" ref="G139">index('Player ID'!C:C,match(E139,'Player ID'!B:B,0))</f>
        <v>681911</v>
      </c>
    </row>
    <row r="140">
      <c r="A140" s="76">
        <v>45743.0</v>
      </c>
      <c r="B140" s="1" t="s">
        <v>667</v>
      </c>
      <c r="C140" s="1" t="s">
        <v>62</v>
      </c>
      <c r="D140" s="1">
        <v>1.0</v>
      </c>
      <c r="E140" s="1">
        <v>26079.0</v>
      </c>
      <c r="F140" s="10">
        <f t="shared" si="1"/>
        <v>1</v>
      </c>
      <c r="G140" s="10">
        <f t="array" ref="G140">index('Player ID'!C:C,match(E140,'Player ID'!B:B,0))</f>
        <v>689225</v>
      </c>
    </row>
    <row r="141">
      <c r="A141" s="76">
        <v>45743.0</v>
      </c>
      <c r="B141" s="1" t="s">
        <v>104</v>
      </c>
      <c r="C141" s="1" t="s">
        <v>33</v>
      </c>
      <c r="D141" s="1">
        <v>1.0</v>
      </c>
      <c r="E141" s="1">
        <v>30085.0</v>
      </c>
      <c r="F141" s="10">
        <f t="shared" si="1"/>
        <v>1</v>
      </c>
      <c r="G141" s="10">
        <f t="array" ref="G141">index('Player ID'!C:C,match(E141,'Player ID'!B:B,0))</f>
        <v>676508</v>
      </c>
    </row>
    <row r="142">
      <c r="A142" s="76">
        <v>45743.0</v>
      </c>
      <c r="B142" s="1" t="s">
        <v>668</v>
      </c>
      <c r="C142" s="1" t="s">
        <v>52</v>
      </c>
      <c r="D142" s="1">
        <v>0.2</v>
      </c>
      <c r="E142" s="1">
        <v>3237.0</v>
      </c>
      <c r="F142" s="10">
        <f t="shared" si="1"/>
        <v>0.6666666667</v>
      </c>
      <c r="G142" s="10">
        <f t="array" ref="G142">index('Player ID'!C:C,match(E142,'Player ID'!B:B,0))</f>
        <v>519008</v>
      </c>
    </row>
    <row r="143">
      <c r="A143" s="76">
        <v>45743.0</v>
      </c>
      <c r="B143" s="1" t="s">
        <v>669</v>
      </c>
      <c r="C143" s="1" t="s">
        <v>52</v>
      </c>
      <c r="D143" s="1">
        <v>0.1</v>
      </c>
      <c r="E143" s="1">
        <v>14524.0</v>
      </c>
      <c r="F143" s="10">
        <f t="shared" si="1"/>
        <v>0.3333333333</v>
      </c>
      <c r="G143" s="10">
        <f t="array" ref="G143">index('Player ID'!C:C,match(E143,'Player ID'!B:B,0))</f>
        <v>600917</v>
      </c>
    </row>
    <row r="144">
      <c r="A144" s="76">
        <v>45743.0</v>
      </c>
      <c r="B144" s="1" t="s">
        <v>281</v>
      </c>
      <c r="C144" s="1" t="s">
        <v>52</v>
      </c>
      <c r="D144" s="1">
        <v>6.0</v>
      </c>
      <c r="E144" s="1">
        <v>15890.0</v>
      </c>
      <c r="F144" s="10">
        <f t="shared" si="1"/>
        <v>6</v>
      </c>
      <c r="G144" s="10">
        <f t="array" ref="G144">index('Player ID'!C:C,match(E144,'Player ID'!B:B,0))</f>
        <v>622663</v>
      </c>
    </row>
    <row r="145">
      <c r="A145" s="76">
        <v>45743.0</v>
      </c>
      <c r="B145" s="1" t="s">
        <v>108</v>
      </c>
      <c r="C145" s="1" t="s">
        <v>37</v>
      </c>
      <c r="D145" s="1">
        <v>1.0</v>
      </c>
      <c r="E145" s="1">
        <v>17948.0</v>
      </c>
      <c r="F145" s="10">
        <f t="shared" si="1"/>
        <v>1</v>
      </c>
      <c r="G145" s="10">
        <f t="array" ref="G145">index('Player ID'!C:C,match(E145,'Player ID'!B:B,0))</f>
        <v>663423</v>
      </c>
    </row>
    <row r="146">
      <c r="A146" s="76">
        <v>45743.0</v>
      </c>
      <c r="B146" s="1" t="s">
        <v>505</v>
      </c>
      <c r="C146" s="1" t="s">
        <v>52</v>
      </c>
      <c r="D146" s="1">
        <v>1.0</v>
      </c>
      <c r="E146" s="1">
        <v>19481.0</v>
      </c>
      <c r="F146" s="10">
        <f t="shared" si="1"/>
        <v>1</v>
      </c>
      <c r="G146" s="10">
        <f t="array" ref="G146">index('Player ID'!C:C,match(E146,'Player ID'!B:B,0))</f>
        <v>621053</v>
      </c>
    </row>
    <row r="147">
      <c r="A147" s="76">
        <v>45743.0</v>
      </c>
      <c r="B147" s="1" t="s">
        <v>670</v>
      </c>
      <c r="C147" s="1" t="s">
        <v>37</v>
      </c>
      <c r="D147" s="1">
        <v>1.0</v>
      </c>
      <c r="E147" s="1">
        <v>20373.0</v>
      </c>
      <c r="F147" s="10">
        <f t="shared" si="1"/>
        <v>1</v>
      </c>
      <c r="G147" s="10">
        <f t="array" ref="G147">index('Player ID'!C:C,match(E147,'Player ID'!B:B,0))</f>
        <v>662253</v>
      </c>
    </row>
    <row r="148">
      <c r="A148" s="76">
        <v>45743.0</v>
      </c>
      <c r="B148" s="1" t="s">
        <v>153</v>
      </c>
      <c r="C148" s="1" t="s">
        <v>37</v>
      </c>
      <c r="D148" s="1">
        <v>7.0</v>
      </c>
      <c r="E148" s="1">
        <v>22250.0</v>
      </c>
      <c r="F148" s="10">
        <f t="shared" si="1"/>
        <v>7</v>
      </c>
      <c r="G148" s="10">
        <f t="array" ref="G148">index('Player ID'!C:C,match(E148,'Player ID'!B:B,0))</f>
        <v>669302</v>
      </c>
    </row>
    <row r="149">
      <c r="A149" s="76">
        <v>45743.0</v>
      </c>
      <c r="B149" s="1" t="s">
        <v>460</v>
      </c>
      <c r="C149" s="1" t="s">
        <v>34</v>
      </c>
      <c r="D149" s="1">
        <v>1.0</v>
      </c>
      <c r="E149" s="1">
        <v>7005.0</v>
      </c>
      <c r="F149" s="10">
        <f t="shared" si="1"/>
        <v>1</v>
      </c>
      <c r="G149" s="10">
        <f t="array" ref="G149">index('Player ID'!C:C,match(E149,'Player ID'!B:B,0))</f>
        <v>519151</v>
      </c>
    </row>
    <row r="150">
      <c r="A150" s="76">
        <v>45743.0</v>
      </c>
      <c r="B150" s="1" t="s">
        <v>71</v>
      </c>
      <c r="C150" s="1" t="s">
        <v>34</v>
      </c>
      <c r="D150" s="1">
        <v>1.0</v>
      </c>
      <c r="E150" s="1">
        <v>10078.0</v>
      </c>
      <c r="F150" s="10">
        <f t="shared" si="1"/>
        <v>1</v>
      </c>
      <c r="G150" s="10">
        <f t="array" ref="G150">index('Player ID'!C:C,match(E150,'Player ID'!B:B,0))</f>
        <v>573204</v>
      </c>
    </row>
    <row r="151">
      <c r="A151" s="76">
        <v>45743.0</v>
      </c>
      <c r="B151" s="1" t="s">
        <v>489</v>
      </c>
      <c r="C151" s="1" t="s">
        <v>64</v>
      </c>
      <c r="D151" s="1">
        <v>1.2</v>
      </c>
      <c r="E151" s="1">
        <v>17192.0</v>
      </c>
      <c r="F151" s="10">
        <f t="shared" si="1"/>
        <v>1.666666667</v>
      </c>
      <c r="G151" s="10">
        <f t="array" ref="G151">index('Player ID'!C:C,match(E151,'Player ID'!B:B,0))</f>
        <v>656222</v>
      </c>
    </row>
    <row r="152">
      <c r="A152" s="76">
        <v>45743.0</v>
      </c>
      <c r="B152" s="1" t="s">
        <v>584</v>
      </c>
      <c r="C152" s="1" t="s">
        <v>34</v>
      </c>
      <c r="D152" s="1">
        <v>5.0</v>
      </c>
      <c r="E152" s="1">
        <v>17312.0</v>
      </c>
      <c r="F152" s="10">
        <f t="shared" si="1"/>
        <v>5</v>
      </c>
      <c r="G152" s="10">
        <f t="array" ref="G152">index('Player ID'!C:C,match(E152,'Player ID'!B:B,0))</f>
        <v>657006</v>
      </c>
    </row>
    <row r="153">
      <c r="A153" s="76">
        <v>45743.0</v>
      </c>
      <c r="B153" s="1" t="s">
        <v>195</v>
      </c>
      <c r="C153" s="1" t="s">
        <v>64</v>
      </c>
      <c r="D153" s="1">
        <v>4.0</v>
      </c>
      <c r="E153" s="1">
        <v>19291.0</v>
      </c>
      <c r="F153" s="10">
        <f t="shared" si="1"/>
        <v>4</v>
      </c>
      <c r="G153" s="10">
        <f t="array" ref="G153">index('Player ID'!C:C,match(E153,'Player ID'!B:B,0))</f>
        <v>668678</v>
      </c>
    </row>
    <row r="154">
      <c r="A154" s="76">
        <v>45743.0</v>
      </c>
      <c r="B154" s="1" t="s">
        <v>633</v>
      </c>
      <c r="C154" s="1" t="s">
        <v>34</v>
      </c>
      <c r="D154" s="1">
        <v>1.0</v>
      </c>
      <c r="E154" s="1">
        <v>20160.0</v>
      </c>
      <c r="F154" s="10">
        <f t="shared" si="1"/>
        <v>1</v>
      </c>
      <c r="G154" s="10">
        <f t="array" ref="G154">index('Player ID'!C:C,match(E154,'Player ID'!B:B,0))</f>
        <v>663878</v>
      </c>
    </row>
    <row r="155">
      <c r="A155" s="76">
        <v>45743.0</v>
      </c>
      <c r="B155" s="1" t="s">
        <v>93</v>
      </c>
      <c r="C155" s="1" t="s">
        <v>64</v>
      </c>
      <c r="D155" s="1">
        <v>1.2</v>
      </c>
      <c r="E155" s="1">
        <v>26253.0</v>
      </c>
      <c r="F155" s="10">
        <f t="shared" si="1"/>
        <v>1.666666667</v>
      </c>
      <c r="G155" s="10">
        <f t="array" ref="G155">index('Player ID'!C:C,match(E155,'Player ID'!B:B,0))</f>
        <v>669194</v>
      </c>
    </row>
    <row r="156">
      <c r="A156" s="76">
        <v>45743.0</v>
      </c>
      <c r="B156" s="1" t="s">
        <v>388</v>
      </c>
      <c r="C156" s="1" t="s">
        <v>34</v>
      </c>
      <c r="D156" s="1">
        <v>1.0</v>
      </c>
      <c r="E156" s="1">
        <v>26413.0</v>
      </c>
      <c r="F156" s="10">
        <f t="shared" si="1"/>
        <v>1</v>
      </c>
      <c r="G156" s="10">
        <f t="array" ref="G156">index('Player ID'!C:C,match(E156,'Player ID'!B:B,0))</f>
        <v>687863</v>
      </c>
    </row>
    <row r="157">
      <c r="A157" s="76">
        <v>45743.0</v>
      </c>
      <c r="B157" s="1" t="s">
        <v>598</v>
      </c>
      <c r="C157" s="1" t="s">
        <v>64</v>
      </c>
      <c r="D157" s="1">
        <v>1.2</v>
      </c>
      <c r="E157" s="1">
        <v>27477.0</v>
      </c>
      <c r="F157" s="10">
        <f t="shared" si="1"/>
        <v>1.666666667</v>
      </c>
      <c r="G157" s="10">
        <f t="array" ref="G157">index('Player ID'!C:C,match(E157,'Player ID'!B:B,0))</f>
        <v>686826</v>
      </c>
    </row>
    <row r="158">
      <c r="A158" s="76">
        <v>45744.0</v>
      </c>
      <c r="B158" s="1" t="s">
        <v>189</v>
      </c>
      <c r="C158" s="1" t="s">
        <v>75</v>
      </c>
      <c r="D158" s="1">
        <v>6.0</v>
      </c>
      <c r="E158" s="1">
        <v>16256.0</v>
      </c>
      <c r="F158" s="10">
        <f t="shared" si="1"/>
        <v>6</v>
      </c>
      <c r="G158" s="10">
        <f t="array" ref="G158">index('Player ID'!C:C,match(E158,'Player ID'!B:B,0))</f>
        <v>607536</v>
      </c>
    </row>
    <row r="159">
      <c r="A159" s="76">
        <v>45744.0</v>
      </c>
      <c r="B159" s="1" t="s">
        <v>261</v>
      </c>
      <c r="C159" s="1" t="s">
        <v>54</v>
      </c>
      <c r="D159" s="1">
        <v>1.0</v>
      </c>
      <c r="E159" s="1">
        <v>17998.0</v>
      </c>
      <c r="F159" s="10">
        <f t="shared" si="1"/>
        <v>1</v>
      </c>
      <c r="G159" s="10">
        <f t="array" ref="G159">index('Player ID'!C:C,match(E159,'Player ID'!B:B,0))</f>
        <v>664126</v>
      </c>
    </row>
    <row r="160">
      <c r="A160" s="76">
        <v>45744.0</v>
      </c>
      <c r="B160" s="1" t="s">
        <v>288</v>
      </c>
      <c r="C160" s="1" t="s">
        <v>75</v>
      </c>
      <c r="D160" s="1">
        <v>0.1</v>
      </c>
      <c r="E160" s="1">
        <v>18297.0</v>
      </c>
      <c r="F160" s="10">
        <f t="shared" si="1"/>
        <v>0.3333333333</v>
      </c>
      <c r="G160" s="10">
        <f t="array" ref="G160">index('Player ID'!C:C,match(E160,'Player ID'!B:B,0))</f>
        <v>641755</v>
      </c>
    </row>
    <row r="161">
      <c r="A161" s="76">
        <v>45744.0</v>
      </c>
      <c r="B161" s="1" t="s">
        <v>365</v>
      </c>
      <c r="C161" s="1" t="s">
        <v>75</v>
      </c>
      <c r="D161" s="1">
        <v>1.0</v>
      </c>
      <c r="E161" s="1">
        <v>24614.0</v>
      </c>
      <c r="F161" s="10">
        <f t="shared" si="1"/>
        <v>1</v>
      </c>
      <c r="G161" s="10">
        <f t="array" ref="G161">index('Player ID'!C:C,match(E161,'Player ID'!B:B,0))</f>
        <v>680767</v>
      </c>
    </row>
    <row r="162">
      <c r="A162" s="76">
        <v>45744.0</v>
      </c>
      <c r="B162" s="1" t="s">
        <v>129</v>
      </c>
      <c r="C162" s="1" t="s">
        <v>54</v>
      </c>
      <c r="D162" s="1">
        <v>6.0</v>
      </c>
      <c r="E162" s="1">
        <v>26221.0</v>
      </c>
      <c r="F162" s="10">
        <f t="shared" si="1"/>
        <v>6</v>
      </c>
      <c r="G162" s="10">
        <f t="array" ref="G162">index('Player ID'!C:C,match(E162,'Player ID'!B:B,0))</f>
        <v>686752</v>
      </c>
    </row>
    <row r="163">
      <c r="A163" s="76">
        <v>45744.0</v>
      </c>
      <c r="B163" s="1" t="s">
        <v>671</v>
      </c>
      <c r="C163" s="1" t="s">
        <v>54</v>
      </c>
      <c r="D163" s="1">
        <v>1.0</v>
      </c>
      <c r="E163" s="1">
        <v>26259.0</v>
      </c>
      <c r="F163" s="10">
        <f t="shared" si="1"/>
        <v>1</v>
      </c>
      <c r="G163" s="10">
        <f t="array" ref="G163">index('Player ID'!C:C,match(E163,'Player ID'!B:B,0))</f>
        <v>685801</v>
      </c>
    </row>
    <row r="164">
      <c r="A164" s="76">
        <v>45744.0</v>
      </c>
      <c r="B164" s="1" t="s">
        <v>486</v>
      </c>
      <c r="C164" s="1" t="s">
        <v>75</v>
      </c>
      <c r="D164" s="1">
        <v>0.2</v>
      </c>
      <c r="E164" s="1">
        <v>26790.0</v>
      </c>
      <c r="F164" s="10">
        <f t="shared" si="1"/>
        <v>0.6666666667</v>
      </c>
      <c r="G164" s="10">
        <f t="array" ref="G164">index('Player ID'!C:C,match(E164,'Player ID'!B:B,0))</f>
        <v>683409</v>
      </c>
    </row>
    <row r="165">
      <c r="A165" s="76">
        <v>45744.0</v>
      </c>
      <c r="B165" s="1" t="s">
        <v>334</v>
      </c>
      <c r="C165" s="1" t="s">
        <v>54</v>
      </c>
      <c r="D165" s="1">
        <v>1.0</v>
      </c>
      <c r="E165" s="1">
        <v>29770.0</v>
      </c>
      <c r="F165" s="10">
        <f t="shared" si="1"/>
        <v>1</v>
      </c>
      <c r="G165" s="10">
        <f t="array" ref="G165">index('Player ID'!C:C,match(E165,'Player ID'!B:B,0))</f>
        <v>682254</v>
      </c>
    </row>
    <row r="166">
      <c r="A166" s="76">
        <v>45744.0</v>
      </c>
      <c r="B166" s="1" t="s">
        <v>474</v>
      </c>
      <c r="C166" s="1" t="s">
        <v>68</v>
      </c>
      <c r="D166" s="1">
        <v>3.1</v>
      </c>
      <c r="E166" s="1">
        <v>4676.0</v>
      </c>
      <c r="F166" s="10">
        <f t="shared" si="1"/>
        <v>3.333333333</v>
      </c>
      <c r="G166" s="10">
        <f t="array" ref="G166">index('Player ID'!C:C,match(E166,'Player ID'!B:B,0))</f>
        <v>450203</v>
      </c>
    </row>
    <row r="167">
      <c r="A167" s="76">
        <v>45744.0</v>
      </c>
      <c r="B167" s="1" t="s">
        <v>672</v>
      </c>
      <c r="C167" s="1" t="s">
        <v>68</v>
      </c>
      <c r="D167" s="1">
        <v>2.2</v>
      </c>
      <c r="E167" s="1">
        <v>6175.0</v>
      </c>
      <c r="F167" s="10">
        <f t="shared" si="1"/>
        <v>2.666666667</v>
      </c>
      <c r="G167" s="10">
        <f t="array" ref="G167">index('Player ID'!C:C,match(E167,'Player ID'!B:B,0))</f>
        <v>544150</v>
      </c>
    </row>
    <row r="168">
      <c r="A168" s="76">
        <v>45744.0</v>
      </c>
      <c r="B168" s="1" t="s">
        <v>673</v>
      </c>
      <c r="C168" s="1" t="s">
        <v>40</v>
      </c>
      <c r="D168" s="1">
        <v>1.0</v>
      </c>
      <c r="E168" s="1">
        <v>12095.0</v>
      </c>
      <c r="F168" s="10">
        <f t="shared" si="1"/>
        <v>1</v>
      </c>
      <c r="G168" s="10">
        <f t="array" ref="G168">index('Player ID'!C:C,match(E168,'Player ID'!B:B,0))</f>
        <v>554340</v>
      </c>
    </row>
    <row r="169">
      <c r="A169" s="76">
        <v>45744.0</v>
      </c>
      <c r="B169" s="1" t="s">
        <v>155</v>
      </c>
      <c r="C169" s="1" t="s">
        <v>40</v>
      </c>
      <c r="D169" s="1">
        <v>6.0</v>
      </c>
      <c r="E169" s="1">
        <v>14107.0</v>
      </c>
      <c r="F169" s="10">
        <f t="shared" si="1"/>
        <v>6</v>
      </c>
      <c r="G169" s="10">
        <f t="array" ref="G169">index('Player ID'!C:C,match(E169,'Player ID'!B:B,0))</f>
        <v>592332</v>
      </c>
    </row>
    <row r="170">
      <c r="A170" s="76">
        <v>45744.0</v>
      </c>
      <c r="B170" s="1" t="s">
        <v>675</v>
      </c>
      <c r="C170" s="1" t="s">
        <v>68</v>
      </c>
      <c r="D170" s="1">
        <v>1.0</v>
      </c>
      <c r="E170" s="1">
        <v>19614.0</v>
      </c>
      <c r="F170" s="10">
        <f t="shared" si="1"/>
        <v>1</v>
      </c>
      <c r="G170" s="10">
        <f t="array" ref="G170">index('Player ID'!C:C,match(E170,'Player ID'!B:B,0))</f>
        <v>672335</v>
      </c>
    </row>
    <row r="171">
      <c r="A171" s="76">
        <v>45744.0</v>
      </c>
      <c r="B171" s="1" t="s">
        <v>433</v>
      </c>
      <c r="C171" s="1" t="s">
        <v>68</v>
      </c>
      <c r="D171" s="1">
        <v>1.0</v>
      </c>
      <c r="E171" s="1">
        <v>19677.0</v>
      </c>
      <c r="F171" s="10">
        <f t="shared" si="1"/>
        <v>1</v>
      </c>
      <c r="G171" s="10">
        <f t="array" ref="G171">index('Player ID'!C:C,match(E171,'Player ID'!B:B,0))</f>
        <v>642397</v>
      </c>
    </row>
    <row r="172">
      <c r="A172" s="76">
        <v>45744.0</v>
      </c>
      <c r="B172" s="1" t="s">
        <v>641</v>
      </c>
      <c r="C172" s="1" t="s">
        <v>40</v>
      </c>
      <c r="D172" s="1">
        <v>1.1</v>
      </c>
      <c r="E172" s="1">
        <v>20517.0</v>
      </c>
      <c r="F172" s="10">
        <f t="shared" si="1"/>
        <v>1.333333333</v>
      </c>
      <c r="G172" s="10">
        <f t="array" ref="G172">index('Player ID'!C:C,match(E172,'Player ID'!B:B,0))</f>
        <v>680704</v>
      </c>
    </row>
    <row r="173">
      <c r="A173" s="76">
        <v>45744.0</v>
      </c>
      <c r="B173" s="1" t="s">
        <v>395</v>
      </c>
      <c r="C173" s="1" t="s">
        <v>40</v>
      </c>
      <c r="D173" s="1">
        <v>0.2</v>
      </c>
      <c r="E173" s="1">
        <v>21574.0</v>
      </c>
      <c r="F173" s="10">
        <f t="shared" si="1"/>
        <v>0.6666666667</v>
      </c>
      <c r="G173" s="10">
        <f t="array" ref="G173">index('Player ID'!C:C,match(E173,'Player ID'!B:B,0))</f>
        <v>663893</v>
      </c>
    </row>
    <row r="174">
      <c r="A174" s="76">
        <v>45744.0</v>
      </c>
      <c r="B174" s="1" t="s">
        <v>443</v>
      </c>
      <c r="C174" s="1" t="s">
        <v>60</v>
      </c>
      <c r="D174" s="1">
        <v>1.0</v>
      </c>
      <c r="E174" s="1">
        <v>16350.0</v>
      </c>
      <c r="F174" s="10">
        <f t="shared" si="1"/>
        <v>1</v>
      </c>
      <c r="G174" s="10">
        <f t="array" ref="G174">index('Player ID'!C:C,match(E174,'Player ID'!B:B,0))</f>
        <v>621366</v>
      </c>
    </row>
    <row r="175">
      <c r="A175" s="76">
        <v>45744.0</v>
      </c>
      <c r="B175" s="1" t="s">
        <v>423</v>
      </c>
      <c r="C175" s="1" t="s">
        <v>60</v>
      </c>
      <c r="D175" s="1">
        <v>6.0</v>
      </c>
      <c r="E175" s="1">
        <v>17594.0</v>
      </c>
      <c r="F175" s="10">
        <f t="shared" si="1"/>
        <v>6</v>
      </c>
      <c r="G175" s="10">
        <f t="array" ref="G175">index('Player ID'!C:C,match(E175,'Player ID'!B:B,0))</f>
        <v>656605</v>
      </c>
    </row>
    <row r="176">
      <c r="A176" s="76">
        <v>45744.0</v>
      </c>
      <c r="B176" s="1" t="s">
        <v>107</v>
      </c>
      <c r="C176" s="1" t="s">
        <v>60</v>
      </c>
      <c r="D176" s="1">
        <v>1.0</v>
      </c>
      <c r="E176" s="1">
        <v>19349.0</v>
      </c>
      <c r="F176" s="10">
        <f t="shared" si="1"/>
        <v>1</v>
      </c>
      <c r="G176" s="10">
        <f t="array" ref="G176">index('Player ID'!C:C,match(E176,'Player ID'!B:B,0))</f>
        <v>657571</v>
      </c>
    </row>
    <row r="177">
      <c r="A177" s="76">
        <v>45744.0</v>
      </c>
      <c r="B177" s="1" t="s">
        <v>183</v>
      </c>
      <c r="C177" s="1" t="s">
        <v>60</v>
      </c>
      <c r="D177" s="1">
        <v>1.0</v>
      </c>
      <c r="E177" s="1">
        <v>19569.0</v>
      </c>
      <c r="F177" s="10">
        <f t="shared" si="1"/>
        <v>1</v>
      </c>
      <c r="G177" s="10">
        <f t="array" ref="G177">index('Player ID'!C:C,match(E177,'Player ID'!B:B,0))</f>
        <v>670280</v>
      </c>
    </row>
    <row r="178">
      <c r="A178" s="76">
        <v>45744.0</v>
      </c>
      <c r="B178" s="1" t="s">
        <v>61</v>
      </c>
      <c r="C178" s="1" t="s">
        <v>36</v>
      </c>
      <c r="D178" s="1">
        <v>3.0</v>
      </c>
      <c r="E178" s="1">
        <v>20629.0</v>
      </c>
      <c r="F178" s="10">
        <f t="shared" si="1"/>
        <v>3</v>
      </c>
      <c r="G178" s="10">
        <f t="array" ref="G178">index('Player ID'!C:C,match(E178,'Player ID'!B:B,0))</f>
        <v>663969</v>
      </c>
    </row>
    <row r="179">
      <c r="A179" s="76">
        <v>45744.0</v>
      </c>
      <c r="B179" s="1" t="s">
        <v>561</v>
      </c>
      <c r="C179" s="1" t="s">
        <v>36</v>
      </c>
      <c r="D179" s="1">
        <v>5.0</v>
      </c>
      <c r="E179" s="1">
        <v>26171.0</v>
      </c>
      <c r="F179" s="10">
        <f t="shared" si="1"/>
        <v>5</v>
      </c>
      <c r="G179" s="10">
        <f t="array" ref="G179">index('Player ID'!C:C,match(E179,'Player ID'!B:B,0))</f>
        <v>687362</v>
      </c>
    </row>
    <row r="180">
      <c r="A180" s="76">
        <v>45744.0</v>
      </c>
      <c r="B180" s="1" t="s">
        <v>676</v>
      </c>
      <c r="C180" s="1" t="s">
        <v>36</v>
      </c>
      <c r="D180" s="1">
        <v>1.0</v>
      </c>
      <c r="E180" s="1">
        <v>27453.0</v>
      </c>
      <c r="F180" s="10">
        <f t="shared" si="1"/>
        <v>1</v>
      </c>
      <c r="G180" s="10">
        <f t="array" ref="G180">index('Player ID'!C:C,match(E180,'Player ID'!B:B,0))</f>
        <v>685107</v>
      </c>
    </row>
    <row r="181">
      <c r="A181" s="76">
        <v>45744.0</v>
      </c>
      <c r="B181" s="1" t="s">
        <v>162</v>
      </c>
      <c r="C181" s="1" t="s">
        <v>56</v>
      </c>
      <c r="D181" s="1">
        <v>1.0</v>
      </c>
      <c r="E181" s="1">
        <v>11752.0</v>
      </c>
      <c r="F181" s="10">
        <f t="shared" si="1"/>
        <v>1</v>
      </c>
      <c r="G181" s="10">
        <f t="array" ref="G181">index('Player ID'!C:C,match(E181,'Player ID'!B:B,0))</f>
        <v>592426</v>
      </c>
    </row>
    <row r="182">
      <c r="A182" s="76">
        <v>45744.0</v>
      </c>
      <c r="B182" s="1" t="s">
        <v>440</v>
      </c>
      <c r="C182" s="1" t="s">
        <v>56</v>
      </c>
      <c r="D182" s="1">
        <v>1.0</v>
      </c>
      <c r="E182" s="1">
        <v>12857.0</v>
      </c>
      <c r="F182" s="10">
        <f t="shared" si="1"/>
        <v>1</v>
      </c>
      <c r="G182" s="10">
        <f t="array" ref="G182">index('Player ID'!C:C,match(E182,'Player ID'!B:B,0))</f>
        <v>542888</v>
      </c>
    </row>
    <row r="183">
      <c r="A183" s="76">
        <v>45744.0</v>
      </c>
      <c r="B183" s="1" t="s">
        <v>151</v>
      </c>
      <c r="C183" s="1" t="s">
        <v>56</v>
      </c>
      <c r="D183" s="1">
        <v>0.2</v>
      </c>
      <c r="E183" s="1">
        <v>13346.0</v>
      </c>
      <c r="F183" s="10">
        <f t="shared" si="1"/>
        <v>0.6666666667</v>
      </c>
      <c r="G183" s="10">
        <f t="array" ref="G183">index('Player ID'!C:C,match(E183,'Player ID'!B:B,0))</f>
        <v>571948</v>
      </c>
    </row>
    <row r="184">
      <c r="A184" s="76">
        <v>45744.0</v>
      </c>
      <c r="B184" s="1" t="s">
        <v>493</v>
      </c>
      <c r="C184" s="1" t="s">
        <v>22</v>
      </c>
      <c r="D184" s="1">
        <v>1.1</v>
      </c>
      <c r="E184" s="1">
        <v>16835.0</v>
      </c>
      <c r="F184" s="10">
        <f t="shared" si="1"/>
        <v>1.333333333</v>
      </c>
      <c r="G184" s="10">
        <f t="array" ref="G184">index('Player ID'!C:C,match(E184,'Player ID'!B:B,0))</f>
        <v>657514</v>
      </c>
    </row>
    <row r="185">
      <c r="A185" s="76">
        <v>45744.0</v>
      </c>
      <c r="B185" s="1" t="s">
        <v>87</v>
      </c>
      <c r="C185" s="1" t="s">
        <v>56</v>
      </c>
      <c r="D185" s="1">
        <v>1.0</v>
      </c>
      <c r="E185" s="1">
        <v>19274.0</v>
      </c>
      <c r="F185" s="10">
        <f t="shared" si="1"/>
        <v>1</v>
      </c>
      <c r="G185" s="10">
        <f t="array" ref="G185">index('Player ID'!C:C,match(E185,'Player ID'!B:B,0))</f>
        <v>657097</v>
      </c>
    </row>
    <row r="186">
      <c r="A186" s="76">
        <v>45744.0</v>
      </c>
      <c r="B186" s="1" t="s">
        <v>301</v>
      </c>
      <c r="C186" s="1" t="s">
        <v>22</v>
      </c>
      <c r="D186" s="1">
        <v>5.2</v>
      </c>
      <c r="E186" s="1">
        <v>19879.0</v>
      </c>
      <c r="F186" s="10">
        <f t="shared" si="1"/>
        <v>5.666666667</v>
      </c>
      <c r="G186" s="10">
        <f t="array" ref="G186">index('Player ID'!C:C,match(E186,'Player ID'!B:B,0))</f>
        <v>656557</v>
      </c>
    </row>
    <row r="187">
      <c r="A187" s="76">
        <v>45744.0</v>
      </c>
      <c r="B187" s="1" t="s">
        <v>406</v>
      </c>
      <c r="C187" s="1" t="s">
        <v>22</v>
      </c>
      <c r="D187" s="1">
        <v>1.0</v>
      </c>
      <c r="E187" s="1">
        <v>20375.0</v>
      </c>
      <c r="F187" s="10">
        <f t="shared" si="1"/>
        <v>1</v>
      </c>
      <c r="G187" s="10">
        <f t="array" ref="G187">index('Player ID'!C:C,match(E187,'Player ID'!B:B,0))</f>
        <v>669711</v>
      </c>
    </row>
    <row r="188">
      <c r="A188" s="76">
        <v>45744.0</v>
      </c>
      <c r="B188" s="1" t="s">
        <v>677</v>
      </c>
      <c r="C188" s="1" t="s">
        <v>56</v>
      </c>
      <c r="D188" s="1">
        <v>0.1</v>
      </c>
      <c r="E188" s="1">
        <v>26353.0</v>
      </c>
      <c r="F188" s="10">
        <f t="shared" si="1"/>
        <v>0.3333333333</v>
      </c>
      <c r="G188" s="10">
        <f t="array" ref="G188">index('Player ID'!C:C,match(E188,'Player ID'!B:B,0))</f>
        <v>687847</v>
      </c>
    </row>
    <row r="189">
      <c r="A189" s="76">
        <v>45744.0</v>
      </c>
      <c r="B189" s="1" t="s">
        <v>374</v>
      </c>
      <c r="C189" s="1" t="s">
        <v>56</v>
      </c>
      <c r="D189" s="1">
        <v>5.0</v>
      </c>
      <c r="E189" s="1">
        <v>30146.0</v>
      </c>
      <c r="F189" s="10">
        <f t="shared" si="1"/>
        <v>5</v>
      </c>
      <c r="G189" s="10">
        <f t="array" ref="G189">index('Player ID'!C:C,match(E189,'Player ID'!B:B,0))</f>
        <v>683004</v>
      </c>
    </row>
    <row r="190">
      <c r="A190" s="76">
        <v>45744.0</v>
      </c>
      <c r="B190" s="1" t="s">
        <v>38</v>
      </c>
      <c r="C190" s="1" t="s">
        <v>39</v>
      </c>
      <c r="D190" s="1">
        <v>1.0</v>
      </c>
      <c r="E190" s="1">
        <v>13580.0</v>
      </c>
      <c r="F190" s="10">
        <f t="shared" si="1"/>
        <v>1</v>
      </c>
      <c r="G190" s="10">
        <f t="array" ref="G190">index('Player ID'!C:C,match(E190,'Player ID'!B:B,0))</f>
        <v>595345</v>
      </c>
    </row>
    <row r="191">
      <c r="A191" s="76">
        <v>45744.0</v>
      </c>
      <c r="B191" s="1" t="s">
        <v>447</v>
      </c>
      <c r="C191" s="1" t="s">
        <v>39</v>
      </c>
      <c r="D191" s="1">
        <v>0.2</v>
      </c>
      <c r="E191" s="1">
        <v>13652.0</v>
      </c>
      <c r="F191" s="10">
        <f t="shared" si="1"/>
        <v>0.6666666667</v>
      </c>
      <c r="G191" s="10">
        <f t="array" ref="G191">index('Player ID'!C:C,match(E191,'Player ID'!B:B,0))</f>
        <v>605463</v>
      </c>
    </row>
    <row r="192">
      <c r="A192" s="76">
        <v>45744.0</v>
      </c>
      <c r="B192" s="1" t="s">
        <v>679</v>
      </c>
      <c r="C192" s="1" t="s">
        <v>51</v>
      </c>
      <c r="D192" s="1">
        <v>1.0</v>
      </c>
      <c r="E192" s="1">
        <v>14710.0</v>
      </c>
      <c r="F192" s="10">
        <f t="shared" si="1"/>
        <v>1</v>
      </c>
      <c r="G192" s="10">
        <f t="array" ref="G192">index('Player ID'!C:C,match(E192,'Player ID'!B:B,0))</f>
        <v>621242</v>
      </c>
    </row>
    <row r="193">
      <c r="A193" s="76">
        <v>45744.0</v>
      </c>
      <c r="B193" s="1" t="s">
        <v>292</v>
      </c>
      <c r="C193" s="1" t="s">
        <v>51</v>
      </c>
      <c r="D193" s="1">
        <v>1.0</v>
      </c>
      <c r="E193" s="1">
        <v>15947.0</v>
      </c>
      <c r="F193" s="10">
        <f t="shared" si="1"/>
        <v>1</v>
      </c>
      <c r="G193" s="10">
        <f t="array" ref="G193">index('Player ID'!C:C,match(E193,'Player ID'!B:B,0))</f>
        <v>592773</v>
      </c>
    </row>
    <row r="194">
      <c r="A194" s="76">
        <v>45744.0</v>
      </c>
      <c r="B194" s="1" t="s">
        <v>295</v>
      </c>
      <c r="C194" s="1" t="s">
        <v>51</v>
      </c>
      <c r="D194" s="1">
        <v>1.0</v>
      </c>
      <c r="E194" s="1">
        <v>16866.0</v>
      </c>
      <c r="F194" s="10">
        <f t="shared" si="1"/>
        <v>1</v>
      </c>
      <c r="G194" s="10">
        <f t="array" ref="G194">index('Player ID'!C:C,match(E194,'Player ID'!B:B,0))</f>
        <v>657585</v>
      </c>
    </row>
    <row r="195">
      <c r="A195" s="76">
        <v>45744.0</v>
      </c>
      <c r="B195" s="1" t="s">
        <v>674</v>
      </c>
      <c r="C195" s="1" t="s">
        <v>51</v>
      </c>
      <c r="D195" s="1">
        <v>1.0</v>
      </c>
      <c r="E195" s="1">
        <v>18655.0</v>
      </c>
      <c r="F195" s="10">
        <f t="shared" si="1"/>
        <v>1</v>
      </c>
      <c r="G195" s="10">
        <f t="array" ref="G195">index('Player ID'!C:C,match(E195,'Player ID'!B:B,0))</f>
        <v>621345</v>
      </c>
    </row>
    <row r="196">
      <c r="A196" s="76">
        <v>45744.0</v>
      </c>
      <c r="B196" s="1" t="s">
        <v>386</v>
      </c>
      <c r="C196" s="1" t="s">
        <v>51</v>
      </c>
      <c r="D196" s="1">
        <v>5.0</v>
      </c>
      <c r="E196" s="1">
        <v>21318.0</v>
      </c>
      <c r="F196" s="10">
        <f t="shared" si="1"/>
        <v>5</v>
      </c>
      <c r="G196" s="10">
        <f t="array" ref="G196">index('Player ID'!C:C,match(E196,'Player ID'!B:B,0))</f>
        <v>656731</v>
      </c>
    </row>
    <row r="197">
      <c r="A197" s="76">
        <v>45744.0</v>
      </c>
      <c r="B197" s="1" t="s">
        <v>680</v>
      </c>
      <c r="C197" s="1" t="s">
        <v>39</v>
      </c>
      <c r="D197" s="1">
        <v>1.0</v>
      </c>
      <c r="E197" s="1">
        <v>25839.0</v>
      </c>
      <c r="F197" s="10">
        <f t="shared" si="1"/>
        <v>1</v>
      </c>
      <c r="G197" s="10">
        <f t="array" ref="G197">index('Player ID'!C:C,match(E197,'Player ID'!B:B,0))</f>
        <v>664351</v>
      </c>
    </row>
    <row r="198">
      <c r="A198" s="76">
        <v>45744.0</v>
      </c>
      <c r="B198" s="1" t="s">
        <v>339</v>
      </c>
      <c r="C198" s="1" t="s">
        <v>39</v>
      </c>
      <c r="D198" s="1">
        <v>6.0</v>
      </c>
      <c r="E198" s="1">
        <v>25880.0</v>
      </c>
      <c r="F198" s="10">
        <f t="shared" si="1"/>
        <v>6</v>
      </c>
      <c r="G198" s="10">
        <f t="array" ref="G198">index('Player ID'!C:C,match(E198,'Player ID'!B:B,0))</f>
        <v>686613</v>
      </c>
    </row>
    <row r="199">
      <c r="A199" s="76">
        <v>45744.0</v>
      </c>
      <c r="B199" s="1" t="s">
        <v>76</v>
      </c>
      <c r="C199" s="1" t="s">
        <v>39</v>
      </c>
      <c r="D199" s="1">
        <v>0.1</v>
      </c>
      <c r="E199" s="1">
        <v>25890.0</v>
      </c>
      <c r="F199" s="10">
        <f t="shared" si="1"/>
        <v>0.3333333333</v>
      </c>
      <c r="G199" s="10">
        <f t="array" ref="G199">index('Player ID'!C:C,match(E199,'Player ID'!B:B,0))</f>
        <v>687911</v>
      </c>
    </row>
    <row r="200">
      <c r="A200" s="76">
        <v>45744.0</v>
      </c>
      <c r="B200" s="1" t="s">
        <v>668</v>
      </c>
      <c r="C200" s="1" t="s">
        <v>52</v>
      </c>
      <c r="D200" s="1">
        <v>0.1</v>
      </c>
      <c r="E200" s="1">
        <v>3237.0</v>
      </c>
      <c r="F200" s="10">
        <f t="shared" si="1"/>
        <v>0.3333333333</v>
      </c>
      <c r="G200" s="10">
        <f t="array" ref="G200">index('Player ID'!C:C,match(E200,'Player ID'!B:B,0))</f>
        <v>519008</v>
      </c>
    </row>
    <row r="201">
      <c r="A201" s="76">
        <v>45744.0</v>
      </c>
      <c r="B201" s="1" t="s">
        <v>272</v>
      </c>
      <c r="C201" s="1" t="s">
        <v>37</v>
      </c>
      <c r="D201" s="1">
        <v>5.0</v>
      </c>
      <c r="E201" s="1">
        <v>15689.0</v>
      </c>
      <c r="F201" s="10">
        <f t="shared" si="1"/>
        <v>5</v>
      </c>
      <c r="G201" s="10">
        <f t="array" ref="G201">index('Player ID'!C:C,match(E201,'Player ID'!B:B,0))</f>
        <v>622491</v>
      </c>
    </row>
    <row r="202">
      <c r="A202" s="76">
        <v>45744.0</v>
      </c>
      <c r="B202" s="1" t="s">
        <v>336</v>
      </c>
      <c r="C202" s="1" t="s">
        <v>52</v>
      </c>
      <c r="D202" s="1">
        <v>6.0</v>
      </c>
      <c r="E202" s="1">
        <v>17677.0</v>
      </c>
      <c r="F202" s="10">
        <f t="shared" si="1"/>
        <v>6</v>
      </c>
      <c r="G202" s="10">
        <f t="array" ref="G202">index('Player ID'!C:C,match(E202,'Player ID'!B:B,0))</f>
        <v>605488</v>
      </c>
    </row>
    <row r="203">
      <c r="A203" s="76">
        <v>45744.0</v>
      </c>
      <c r="B203" s="1" t="s">
        <v>682</v>
      </c>
      <c r="C203" s="1" t="s">
        <v>37</v>
      </c>
      <c r="D203" s="1">
        <v>1.0</v>
      </c>
      <c r="E203" s="1">
        <v>17888.0</v>
      </c>
      <c r="F203" s="10">
        <f t="shared" si="1"/>
        <v>1</v>
      </c>
      <c r="G203" s="10">
        <f t="array" ref="G203">index('Player ID'!C:C,match(E203,'Player ID'!B:B,0))</f>
        <v>642048</v>
      </c>
    </row>
    <row r="204">
      <c r="A204" s="76">
        <v>45744.0</v>
      </c>
      <c r="B204" s="1" t="s">
        <v>157</v>
      </c>
      <c r="C204" s="1" t="s">
        <v>37</v>
      </c>
      <c r="D204" s="1">
        <v>0.2</v>
      </c>
      <c r="E204" s="1">
        <v>20997.0</v>
      </c>
      <c r="F204" s="10">
        <f t="shared" si="1"/>
        <v>0.6666666667</v>
      </c>
      <c r="G204" s="10">
        <f t="array" ref="G204">index('Player ID'!C:C,match(E204,'Player ID'!B:B,0))</f>
        <v>660825</v>
      </c>
    </row>
    <row r="205">
      <c r="A205" s="76">
        <v>45744.0</v>
      </c>
      <c r="B205" s="1" t="s">
        <v>684</v>
      </c>
      <c r="C205" s="1" t="s">
        <v>37</v>
      </c>
      <c r="D205" s="1">
        <v>1.0</v>
      </c>
      <c r="E205" s="1">
        <v>21894.0</v>
      </c>
      <c r="F205" s="10">
        <f t="shared" si="1"/>
        <v>1</v>
      </c>
      <c r="G205" s="10">
        <f t="array" ref="G205">index('Player ID'!C:C,match(E205,'Player ID'!B:B,0))</f>
        <v>666619</v>
      </c>
    </row>
    <row r="206">
      <c r="A206" s="76">
        <v>45744.0</v>
      </c>
      <c r="B206" s="1" t="s">
        <v>101</v>
      </c>
      <c r="C206" s="1" t="s">
        <v>37</v>
      </c>
      <c r="D206" s="1">
        <v>1.1</v>
      </c>
      <c r="E206" s="1">
        <v>22915.0</v>
      </c>
      <c r="F206" s="10">
        <f t="shared" si="1"/>
        <v>1.333333333</v>
      </c>
      <c r="G206" s="10">
        <f t="array" ref="G206">index('Player ID'!C:C,match(E206,'Player ID'!B:B,0))</f>
        <v>672841</v>
      </c>
    </row>
    <row r="207">
      <c r="A207" s="76">
        <v>45744.0</v>
      </c>
      <c r="B207" s="1" t="s">
        <v>213</v>
      </c>
      <c r="C207" s="1" t="s">
        <v>52</v>
      </c>
      <c r="D207" s="1">
        <v>0.2</v>
      </c>
      <c r="E207" s="1">
        <v>27694.0</v>
      </c>
      <c r="F207" s="10">
        <f t="shared" si="1"/>
        <v>0.6666666667</v>
      </c>
      <c r="G207" s="10">
        <f t="array" ref="G207">index('Player ID'!C:C,match(E207,'Player ID'!B:B,0))</f>
        <v>686993</v>
      </c>
    </row>
    <row r="208">
      <c r="A208" s="76">
        <v>45744.0</v>
      </c>
      <c r="B208" s="1" t="s">
        <v>127</v>
      </c>
      <c r="C208" s="1" t="s">
        <v>52</v>
      </c>
      <c r="D208" s="1">
        <v>2.0</v>
      </c>
      <c r="E208" s="1">
        <v>27707.0</v>
      </c>
      <c r="F208" s="10">
        <f t="shared" si="1"/>
        <v>2</v>
      </c>
      <c r="G208" s="10">
        <f t="array" ref="G208">index('Player ID'!C:C,match(E208,'Player ID'!B:B,0))</f>
        <v>687765</v>
      </c>
    </row>
    <row r="209">
      <c r="A209" s="76">
        <v>45744.0</v>
      </c>
      <c r="B209" s="1" t="s">
        <v>103</v>
      </c>
      <c r="C209" s="1" t="s">
        <v>64</v>
      </c>
      <c r="D209" s="1">
        <v>2.0</v>
      </c>
      <c r="E209" s="1">
        <v>10197.0</v>
      </c>
      <c r="F209" s="10">
        <f t="shared" si="1"/>
        <v>2</v>
      </c>
      <c r="G209" s="10">
        <f t="array" ref="G209">index('Player ID'!C:C,match(E209,'Player ID'!B:B,0))</f>
        <v>571946</v>
      </c>
    </row>
    <row r="210">
      <c r="A210" s="76">
        <v>45744.0</v>
      </c>
      <c r="B210" s="1" t="s">
        <v>222</v>
      </c>
      <c r="C210" s="1" t="s">
        <v>64</v>
      </c>
      <c r="D210" s="1">
        <v>5.1</v>
      </c>
      <c r="E210" s="1">
        <v>11156.0</v>
      </c>
      <c r="F210" s="10">
        <f t="shared" si="1"/>
        <v>5.333333333</v>
      </c>
      <c r="G210" s="10">
        <f t="array" ref="G210">index('Player ID'!C:C,match(E210,'Player ID'!B:B,0))</f>
        <v>518876</v>
      </c>
    </row>
    <row r="211">
      <c r="A211" s="76">
        <v>45744.0</v>
      </c>
      <c r="B211" s="1" t="s">
        <v>99</v>
      </c>
      <c r="C211" s="1" t="s">
        <v>34</v>
      </c>
      <c r="D211" s="1">
        <v>4.1</v>
      </c>
      <c r="E211" s="1">
        <v>11674.0</v>
      </c>
      <c r="F211" s="10">
        <f t="shared" si="1"/>
        <v>4.333333333</v>
      </c>
      <c r="G211" s="10">
        <f t="array" ref="G211">index('Player ID'!C:C,match(E211,'Player ID'!B:B,0))</f>
        <v>592791</v>
      </c>
    </row>
    <row r="212">
      <c r="A212" s="76">
        <v>45744.0</v>
      </c>
      <c r="B212" s="1" t="s">
        <v>685</v>
      </c>
      <c r="C212" s="1" t="s">
        <v>64</v>
      </c>
      <c r="D212" s="1">
        <v>1.0</v>
      </c>
      <c r="E212" s="1">
        <v>14857.0</v>
      </c>
      <c r="F212" s="10">
        <f t="shared" si="1"/>
        <v>1</v>
      </c>
      <c r="G212" s="10">
        <f t="array" ref="G212">index('Player ID'!C:C,match(E212,'Player ID'!B:B,0))</f>
        <v>573009</v>
      </c>
    </row>
    <row r="213">
      <c r="A213" s="76">
        <v>45744.0</v>
      </c>
      <c r="B213" s="1" t="s">
        <v>297</v>
      </c>
      <c r="C213" s="1" t="s">
        <v>34</v>
      </c>
      <c r="D213" s="1">
        <v>2.0</v>
      </c>
      <c r="E213" s="1">
        <v>15734.0</v>
      </c>
      <c r="F213" s="10">
        <f t="shared" si="1"/>
        <v>2</v>
      </c>
      <c r="G213" s="10">
        <f t="array" ref="G213">index('Player ID'!C:C,match(E213,'Player ID'!B:B,0))</f>
        <v>641745</v>
      </c>
    </row>
    <row r="214">
      <c r="A214" s="76">
        <v>45744.0</v>
      </c>
      <c r="B214" s="1" t="s">
        <v>219</v>
      </c>
      <c r="C214" s="1" t="s">
        <v>64</v>
      </c>
      <c r="D214" s="1">
        <v>0.2</v>
      </c>
      <c r="E214" s="1">
        <v>16647.0</v>
      </c>
      <c r="F214" s="10">
        <f t="shared" si="1"/>
        <v>0.6666666667</v>
      </c>
      <c r="G214" s="10">
        <f t="array" ref="G214">index('Player ID'!C:C,match(E214,'Player ID'!B:B,0))</f>
        <v>657044</v>
      </c>
    </row>
    <row r="215">
      <c r="A215" s="76">
        <v>45744.0</v>
      </c>
      <c r="B215" s="1" t="s">
        <v>631</v>
      </c>
      <c r="C215" s="1" t="s">
        <v>34</v>
      </c>
      <c r="D215" s="1">
        <v>1.2</v>
      </c>
      <c r="E215" s="1">
        <v>20203.0</v>
      </c>
      <c r="F215" s="10">
        <f t="shared" si="1"/>
        <v>1.666666667</v>
      </c>
      <c r="G215" s="10">
        <f t="array" ref="G215">index('Player ID'!C:C,match(E215,'Player ID'!B:B,0))</f>
        <v>669212</v>
      </c>
    </row>
    <row r="216">
      <c r="A216" s="76">
        <v>45744.0</v>
      </c>
      <c r="B216" s="1" t="s">
        <v>342</v>
      </c>
      <c r="C216" s="1" t="s">
        <v>26</v>
      </c>
      <c r="D216" s="1">
        <v>1.0</v>
      </c>
      <c r="E216" s="1">
        <v>11861.0</v>
      </c>
      <c r="F216" s="10">
        <f t="shared" si="1"/>
        <v>1</v>
      </c>
      <c r="G216" s="10">
        <f t="array" ref="G216">index('Player ID'!C:C,match(E216,'Player ID'!B:B,0))</f>
        <v>592094</v>
      </c>
    </row>
    <row r="217">
      <c r="A217" s="76">
        <v>45744.0</v>
      </c>
      <c r="B217" s="1" t="s">
        <v>178</v>
      </c>
      <c r="C217" s="1" t="s">
        <v>46</v>
      </c>
      <c r="D217" s="1">
        <v>1.0</v>
      </c>
      <c r="E217" s="1">
        <v>13435.0</v>
      </c>
      <c r="F217" s="10">
        <f t="shared" si="1"/>
        <v>1</v>
      </c>
      <c r="G217" s="10">
        <f t="array" ref="G217">index('Player ID'!C:C,match(E217,'Player ID'!B:B,0))</f>
        <v>572955</v>
      </c>
    </row>
    <row r="218">
      <c r="A218" s="76">
        <v>45744.0</v>
      </c>
      <c r="B218" s="1" t="s">
        <v>687</v>
      </c>
      <c r="C218" s="1" t="s">
        <v>46</v>
      </c>
      <c r="D218" s="1">
        <v>5.0</v>
      </c>
      <c r="E218" s="1">
        <v>16400.0</v>
      </c>
      <c r="F218" s="10">
        <f t="shared" si="1"/>
        <v>5</v>
      </c>
      <c r="G218" s="10">
        <f t="array" ref="G218">index('Player ID'!C:C,match(E218,'Player ID'!B:B,0))</f>
        <v>625643</v>
      </c>
    </row>
    <row r="219">
      <c r="A219" s="76">
        <v>45744.0</v>
      </c>
      <c r="B219" s="1" t="s">
        <v>282</v>
      </c>
      <c r="C219" s="1" t="s">
        <v>26</v>
      </c>
      <c r="D219" s="1">
        <v>4.1</v>
      </c>
      <c r="E219" s="1">
        <v>18525.0</v>
      </c>
      <c r="F219" s="10">
        <f t="shared" si="1"/>
        <v>4.333333333</v>
      </c>
      <c r="G219" s="10">
        <f t="array" ref="G219">index('Player ID'!C:C,match(E219,'Player ID'!B:B,0))</f>
        <v>656302</v>
      </c>
    </row>
    <row r="220">
      <c r="A220" s="76">
        <v>45744.0</v>
      </c>
      <c r="B220" s="1" t="s">
        <v>91</v>
      </c>
      <c r="C220" s="1" t="s">
        <v>46</v>
      </c>
      <c r="D220" s="1">
        <v>1.0</v>
      </c>
      <c r="E220" s="1">
        <v>19996.0</v>
      </c>
      <c r="F220" s="10">
        <f t="shared" si="1"/>
        <v>1</v>
      </c>
      <c r="G220" s="10">
        <f t="array" ref="G220">index('Player ID'!C:C,match(E220,'Player ID'!B:B,0))</f>
        <v>669276</v>
      </c>
    </row>
    <row r="221">
      <c r="A221" s="76">
        <v>45744.0</v>
      </c>
      <c r="B221" s="1" t="s">
        <v>49</v>
      </c>
      <c r="C221" s="1" t="s">
        <v>26</v>
      </c>
      <c r="D221" s="1">
        <v>1.2</v>
      </c>
      <c r="E221" s="1">
        <v>20039.0</v>
      </c>
      <c r="F221" s="10">
        <f t="shared" si="1"/>
        <v>1.666666667</v>
      </c>
      <c r="G221" s="10">
        <f t="array" ref="G221">index('Player ID'!C:C,match(E221,'Player ID'!B:B,0))</f>
        <v>670970</v>
      </c>
    </row>
    <row r="222">
      <c r="A222" s="76">
        <v>45744.0</v>
      </c>
      <c r="B222" s="1" t="s">
        <v>688</v>
      </c>
      <c r="C222" s="1" t="s">
        <v>46</v>
      </c>
      <c r="D222" s="1">
        <v>1.0</v>
      </c>
      <c r="E222" s="1">
        <v>20271.0</v>
      </c>
      <c r="F222" s="10">
        <f t="shared" si="1"/>
        <v>1</v>
      </c>
      <c r="G222" s="10">
        <f t="array" ref="G222">index('Player ID'!C:C,match(E222,'Player ID'!B:B,0))</f>
        <v>678226</v>
      </c>
    </row>
    <row r="223">
      <c r="A223" s="76">
        <v>45744.0</v>
      </c>
      <c r="B223" s="1" t="s">
        <v>94</v>
      </c>
      <c r="C223" s="1" t="s">
        <v>26</v>
      </c>
      <c r="D223" s="1">
        <v>1.0</v>
      </c>
      <c r="E223" s="1">
        <v>22210.0</v>
      </c>
      <c r="F223" s="10">
        <f t="shared" si="1"/>
        <v>1</v>
      </c>
      <c r="G223" s="10">
        <f t="array" ref="G223">index('Player ID'!C:C,match(E223,'Player ID'!B:B,0))</f>
        <v>669093</v>
      </c>
    </row>
    <row r="224">
      <c r="A224" s="76">
        <v>45744.0</v>
      </c>
      <c r="B224" s="1" t="s">
        <v>81</v>
      </c>
      <c r="C224" s="1" t="s">
        <v>26</v>
      </c>
      <c r="D224" s="1">
        <v>1.0</v>
      </c>
      <c r="E224" s="1">
        <v>30115.0</v>
      </c>
      <c r="F224" s="10">
        <f t="shared" si="1"/>
        <v>1</v>
      </c>
      <c r="G224" s="10">
        <f t="array" ref="G224">index('Player ID'!C:C,match(E224,'Player ID'!B:B,0))</f>
        <v>663158</v>
      </c>
    </row>
    <row r="225">
      <c r="A225" s="76">
        <v>45744.0</v>
      </c>
      <c r="B225" s="1" t="s">
        <v>595</v>
      </c>
      <c r="C225" s="1" t="s">
        <v>33</v>
      </c>
      <c r="D225" s="1">
        <v>1.0</v>
      </c>
      <c r="E225" s="1">
        <v>6984.0</v>
      </c>
      <c r="F225" s="10">
        <f t="shared" si="1"/>
        <v>1</v>
      </c>
      <c r="G225" s="10">
        <f t="array" ref="G225">index('Player ID'!C:C,match(E225,'Player ID'!B:B,0))</f>
        <v>472610</v>
      </c>
    </row>
    <row r="226">
      <c r="A226" s="76">
        <v>45744.0</v>
      </c>
      <c r="B226" s="1" t="s">
        <v>392</v>
      </c>
      <c r="C226" s="1" t="s">
        <v>33</v>
      </c>
      <c r="D226" s="1">
        <v>1.0</v>
      </c>
      <c r="E226" s="1">
        <v>9073.0</v>
      </c>
      <c r="F226" s="10">
        <f t="shared" si="1"/>
        <v>1</v>
      </c>
      <c r="G226" s="10">
        <f t="array" ref="G226">index('Player ID'!C:C,match(E226,'Player ID'!B:B,0))</f>
        <v>489446</v>
      </c>
    </row>
    <row r="227">
      <c r="A227" s="76">
        <v>45744.0</v>
      </c>
      <c r="B227" s="1" t="s">
        <v>439</v>
      </c>
      <c r="C227" s="1" t="s">
        <v>62</v>
      </c>
      <c r="D227" s="1">
        <v>1.0</v>
      </c>
      <c r="E227" s="1">
        <v>11384.0</v>
      </c>
      <c r="F227" s="10">
        <f t="shared" si="1"/>
        <v>1</v>
      </c>
      <c r="G227" s="10">
        <f t="array" ref="G227">index('Player ID'!C:C,match(E227,'Player ID'!B:B,0))</f>
        <v>592454</v>
      </c>
    </row>
    <row r="228">
      <c r="A228" s="76">
        <v>45744.0</v>
      </c>
      <c r="B228" s="1" t="s">
        <v>310</v>
      </c>
      <c r="C228" s="1" t="s">
        <v>33</v>
      </c>
      <c r="D228" s="1">
        <v>1.0</v>
      </c>
      <c r="E228" s="1">
        <v>14706.0</v>
      </c>
      <c r="F228" s="10">
        <f t="shared" si="1"/>
        <v>1</v>
      </c>
      <c r="G228" s="10">
        <f t="array" ref="G228">index('Player ID'!C:C,match(E228,'Player ID'!B:B,0))</f>
        <v>607455</v>
      </c>
    </row>
    <row r="229">
      <c r="A229" s="76">
        <v>45744.0</v>
      </c>
      <c r="B229" s="1" t="s">
        <v>316</v>
      </c>
      <c r="C229" s="1" t="s">
        <v>62</v>
      </c>
      <c r="D229" s="1">
        <v>5.2</v>
      </c>
      <c r="E229" s="1">
        <v>17479.0</v>
      </c>
      <c r="F229" s="10">
        <f t="shared" si="1"/>
        <v>5.666666667</v>
      </c>
      <c r="G229" s="10">
        <f t="array" ref="G229">index('Player ID'!C:C,match(E229,'Player ID'!B:B,0))</f>
        <v>656427</v>
      </c>
    </row>
    <row r="230">
      <c r="A230" s="76">
        <v>45744.0</v>
      </c>
      <c r="B230" s="1" t="s">
        <v>32</v>
      </c>
      <c r="C230" s="1" t="s">
        <v>33</v>
      </c>
      <c r="D230" s="1">
        <v>1.0</v>
      </c>
      <c r="E230" s="1">
        <v>17586.0</v>
      </c>
      <c r="F230" s="10">
        <f t="shared" si="1"/>
        <v>1</v>
      </c>
      <c r="G230" s="10">
        <f t="array" ref="G230">index('Player ID'!C:C,match(E230,'Player ID'!B:B,0))</f>
        <v>656945</v>
      </c>
    </row>
    <row r="231">
      <c r="A231" s="76">
        <v>45744.0</v>
      </c>
      <c r="B231" s="1" t="s">
        <v>131</v>
      </c>
      <c r="C231" s="1" t="s">
        <v>62</v>
      </c>
      <c r="D231" s="1">
        <v>1.0</v>
      </c>
      <c r="E231" s="1">
        <v>19769.0</v>
      </c>
      <c r="F231" s="10">
        <f t="shared" si="1"/>
        <v>1</v>
      </c>
      <c r="G231" s="10">
        <f t="array" ref="G231">index('Player ID'!C:C,match(E231,'Player ID'!B:B,0))</f>
        <v>676684</v>
      </c>
    </row>
    <row r="232">
      <c r="A232" s="76">
        <v>45744.0</v>
      </c>
      <c r="B232" s="1" t="s">
        <v>92</v>
      </c>
      <c r="C232" s="1" t="s">
        <v>33</v>
      </c>
      <c r="D232" s="1">
        <v>1.0</v>
      </c>
      <c r="E232" s="1">
        <v>25007.0</v>
      </c>
      <c r="F232" s="10">
        <f t="shared" si="1"/>
        <v>1</v>
      </c>
      <c r="G232" s="10">
        <f t="array" ref="G232">index('Player ID'!C:C,match(E232,'Player ID'!B:B,0))</f>
        <v>681911</v>
      </c>
    </row>
    <row r="233">
      <c r="A233" s="76">
        <v>45744.0</v>
      </c>
      <c r="B233" s="1" t="s">
        <v>667</v>
      </c>
      <c r="C233" s="1" t="s">
        <v>62</v>
      </c>
      <c r="D233" s="1">
        <v>0.1</v>
      </c>
      <c r="E233" s="1">
        <v>26079.0</v>
      </c>
      <c r="F233" s="10">
        <f t="shared" si="1"/>
        <v>0.3333333333</v>
      </c>
      <c r="G233" s="10">
        <f t="array" ref="G233">index('Player ID'!C:C,match(E233,'Player ID'!B:B,0))</f>
        <v>689225</v>
      </c>
    </row>
    <row r="234">
      <c r="A234" s="76">
        <v>45744.0</v>
      </c>
      <c r="B234" s="1" t="s">
        <v>82</v>
      </c>
      <c r="C234" s="1" t="s">
        <v>62</v>
      </c>
      <c r="D234" s="1">
        <v>1.1</v>
      </c>
      <c r="E234" s="1">
        <v>26231.0</v>
      </c>
      <c r="F234" s="10">
        <f t="shared" si="1"/>
        <v>1.333333333</v>
      </c>
      <c r="G234" s="10">
        <f t="array" ref="G234">index('Player ID'!C:C,match(E234,'Player ID'!B:B,0))</f>
        <v>663947</v>
      </c>
    </row>
    <row r="235">
      <c r="A235" s="76">
        <v>45744.0</v>
      </c>
      <c r="B235" s="1" t="s">
        <v>85</v>
      </c>
      <c r="C235" s="1" t="s">
        <v>33</v>
      </c>
      <c r="D235" s="1">
        <v>5.0</v>
      </c>
      <c r="E235" s="1">
        <v>33825.0</v>
      </c>
      <c r="F235" s="10">
        <f t="shared" si="1"/>
        <v>5</v>
      </c>
      <c r="G235" s="10">
        <f t="array" ref="G235">index('Player ID'!C:C,match(E235,'Player ID'!B:B,0))</f>
        <v>808967</v>
      </c>
    </row>
    <row r="236">
      <c r="A236" s="76">
        <v>45745.0</v>
      </c>
      <c r="B236" s="1" t="s">
        <v>324</v>
      </c>
      <c r="C236" s="1" t="s">
        <v>58</v>
      </c>
      <c r="D236" s="1">
        <v>2.0</v>
      </c>
      <c r="E236" s="1">
        <v>6632.0</v>
      </c>
      <c r="F236" s="10">
        <f t="shared" si="1"/>
        <v>2</v>
      </c>
      <c r="G236" s="10">
        <f t="array" ref="G236">index('Player ID'!C:C,match(E236,'Player ID'!B:B,0))</f>
        <v>471911</v>
      </c>
    </row>
    <row r="237">
      <c r="A237" s="76">
        <v>45745.0</v>
      </c>
      <c r="B237" s="1" t="s">
        <v>166</v>
      </c>
      <c r="C237" s="1" t="s">
        <v>58</v>
      </c>
      <c r="D237" s="1">
        <v>4.2</v>
      </c>
      <c r="E237" s="1">
        <v>13743.0</v>
      </c>
      <c r="F237" s="10">
        <f t="shared" si="1"/>
        <v>4.666666667</v>
      </c>
      <c r="G237" s="10">
        <f t="array" ref="G237">index('Player ID'!C:C,match(E237,'Player ID'!B:B,0))</f>
        <v>608331</v>
      </c>
    </row>
    <row r="238">
      <c r="A238" s="76">
        <v>45745.0</v>
      </c>
      <c r="B238" s="1" t="s">
        <v>689</v>
      </c>
      <c r="C238" s="1" t="s">
        <v>14</v>
      </c>
      <c r="D238" s="1">
        <v>1.0</v>
      </c>
      <c r="E238" s="1">
        <v>15194.0</v>
      </c>
      <c r="F238" s="10">
        <f t="shared" si="1"/>
        <v>1</v>
      </c>
      <c r="G238" s="10">
        <f t="array" ref="G238">index('Player ID'!C:C,match(E238,'Player ID'!B:B,0))</f>
        <v>641343</v>
      </c>
    </row>
    <row r="239">
      <c r="A239" s="76">
        <v>45745.0</v>
      </c>
      <c r="B239" s="1" t="s">
        <v>412</v>
      </c>
      <c r="C239" s="1" t="s">
        <v>14</v>
      </c>
      <c r="D239" s="1">
        <v>2.0</v>
      </c>
      <c r="E239" s="1">
        <v>17874.0</v>
      </c>
      <c r="F239" s="10">
        <f t="shared" si="1"/>
        <v>2</v>
      </c>
      <c r="G239" s="10">
        <f t="array" ref="G239">index('Player ID'!C:C,match(E239,'Player ID'!B:B,0))</f>
        <v>641482</v>
      </c>
    </row>
    <row r="240">
      <c r="A240" s="76">
        <v>45745.0</v>
      </c>
      <c r="B240" s="1" t="s">
        <v>690</v>
      </c>
      <c r="C240" s="1" t="s">
        <v>14</v>
      </c>
      <c r="D240" s="1">
        <v>2.0</v>
      </c>
      <c r="E240" s="1">
        <v>21652.0</v>
      </c>
      <c r="F240" s="10">
        <f t="shared" si="1"/>
        <v>2</v>
      </c>
      <c r="G240" s="10">
        <f t="array" ref="G240">index('Player ID'!C:C,match(E240,'Player ID'!B:B,0))</f>
        <v>665625</v>
      </c>
    </row>
    <row r="241">
      <c r="A241" s="76">
        <v>45745.0</v>
      </c>
      <c r="B241" s="1" t="s">
        <v>691</v>
      </c>
      <c r="C241" s="1" t="s">
        <v>58</v>
      </c>
      <c r="D241" s="1">
        <v>1.1</v>
      </c>
      <c r="E241" s="1">
        <v>22872.0</v>
      </c>
      <c r="F241" s="10">
        <f t="shared" si="1"/>
        <v>1.333333333</v>
      </c>
      <c r="G241" s="10">
        <f t="array" ref="G241">index('Player ID'!C:C,match(E241,'Player ID'!B:B,0))</f>
        <v>672782</v>
      </c>
    </row>
    <row r="242">
      <c r="A242" s="76">
        <v>45745.0</v>
      </c>
      <c r="B242" s="1" t="s">
        <v>692</v>
      </c>
      <c r="C242" s="1" t="s">
        <v>14</v>
      </c>
      <c r="D242" s="1">
        <v>2.0</v>
      </c>
      <c r="E242" s="1">
        <v>25873.0</v>
      </c>
      <c r="F242" s="10">
        <f t="shared" si="1"/>
        <v>2</v>
      </c>
      <c r="G242" s="10">
        <f t="array" ref="G242">index('Player ID'!C:C,match(E242,'Player ID'!B:B,0))</f>
        <v>671162</v>
      </c>
    </row>
    <row r="243">
      <c r="A243" s="76">
        <v>45745.0</v>
      </c>
      <c r="B243" s="1" t="s">
        <v>693</v>
      </c>
      <c r="C243" s="1" t="s">
        <v>58</v>
      </c>
      <c r="D243" s="1">
        <v>1.0</v>
      </c>
      <c r="E243" s="1">
        <v>27702.0</v>
      </c>
      <c r="F243" s="10">
        <f t="shared" si="1"/>
        <v>1</v>
      </c>
      <c r="G243" s="10">
        <f t="array" ref="G243">index('Player ID'!C:C,match(E243,'Player ID'!B:B,0))</f>
        <v>687396</v>
      </c>
    </row>
    <row r="244">
      <c r="A244" s="76">
        <v>45745.0</v>
      </c>
      <c r="B244" s="1" t="s">
        <v>496</v>
      </c>
      <c r="C244" s="1" t="s">
        <v>14</v>
      </c>
      <c r="D244" s="1">
        <v>1.0</v>
      </c>
      <c r="E244" s="1">
        <v>30113.0</v>
      </c>
      <c r="F244" s="10">
        <f t="shared" si="1"/>
        <v>1</v>
      </c>
      <c r="G244" s="10">
        <f t="array" ref="G244">index('Player ID'!C:C,match(E244,'Player ID'!B:B,0))</f>
        <v>694477</v>
      </c>
    </row>
    <row r="245">
      <c r="A245" s="76">
        <v>45745.0</v>
      </c>
      <c r="B245" s="1" t="s">
        <v>154</v>
      </c>
      <c r="C245" s="1" t="s">
        <v>25</v>
      </c>
      <c r="D245" s="1">
        <v>1.0</v>
      </c>
      <c r="E245" s="1">
        <v>3096.0</v>
      </c>
      <c r="F245" s="10">
        <f t="shared" si="1"/>
        <v>1</v>
      </c>
      <c r="G245" s="10">
        <f t="array" ref="G245">index('Player ID'!C:C,match(E245,'Player ID'!B:B,0))</f>
        <v>445276</v>
      </c>
    </row>
    <row r="246">
      <c r="A246" s="76">
        <v>45745.0</v>
      </c>
      <c r="B246" s="1" t="s">
        <v>656</v>
      </c>
      <c r="C246" s="1" t="s">
        <v>78</v>
      </c>
      <c r="D246" s="1">
        <v>1.0</v>
      </c>
      <c r="E246" s="1">
        <v>12808.0</v>
      </c>
      <c r="F246" s="10">
        <f t="shared" si="1"/>
        <v>1</v>
      </c>
      <c r="G246" s="10">
        <f t="array" ref="G246">index('Player ID'!C:C,match(E246,'Player ID'!B:B,0))</f>
        <v>605182</v>
      </c>
    </row>
    <row r="247">
      <c r="A247" s="76">
        <v>45745.0</v>
      </c>
      <c r="B247" s="1" t="s">
        <v>387</v>
      </c>
      <c r="C247" s="1" t="s">
        <v>78</v>
      </c>
      <c r="D247" s="1">
        <v>1.0</v>
      </c>
      <c r="E247" s="1">
        <v>19990.0</v>
      </c>
      <c r="F247" s="10">
        <f t="shared" si="1"/>
        <v>1</v>
      </c>
      <c r="G247" s="10">
        <f t="array" ref="G247">index('Player ID'!C:C,match(E247,'Player ID'!B:B,0))</f>
        <v>669060</v>
      </c>
    </row>
    <row r="248">
      <c r="A248" s="76">
        <v>45745.0</v>
      </c>
      <c r="B248" s="1" t="s">
        <v>695</v>
      </c>
      <c r="C248" s="1" t="s">
        <v>25</v>
      </c>
      <c r="D248" s="1">
        <v>7.0</v>
      </c>
      <c r="E248" s="1">
        <v>22100.0</v>
      </c>
      <c r="F248" s="10">
        <f t="shared" si="1"/>
        <v>7</v>
      </c>
      <c r="G248" s="10">
        <f t="array" ref="G248">index('Player ID'!C:C,match(E248,'Player ID'!B:B,0))</f>
        <v>667755</v>
      </c>
    </row>
    <row r="249">
      <c r="A249" s="76">
        <v>45745.0</v>
      </c>
      <c r="B249" s="1" t="s">
        <v>658</v>
      </c>
      <c r="C249" s="1" t="s">
        <v>78</v>
      </c>
      <c r="D249" s="1">
        <v>1.0</v>
      </c>
      <c r="E249" s="1">
        <v>25174.0</v>
      </c>
      <c r="F249" s="10">
        <f t="shared" si="1"/>
        <v>1</v>
      </c>
      <c r="G249" s="10">
        <f t="array" ref="G249">index('Player ID'!C:C,match(E249,'Player ID'!B:B,0))</f>
        <v>682171</v>
      </c>
    </row>
    <row r="250">
      <c r="A250" s="76">
        <v>45745.0</v>
      </c>
      <c r="B250" s="1" t="s">
        <v>317</v>
      </c>
      <c r="C250" s="1" t="s">
        <v>78</v>
      </c>
      <c r="D250" s="1">
        <v>1.0</v>
      </c>
      <c r="E250" s="1">
        <v>29950.0</v>
      </c>
      <c r="F250" s="10">
        <f t="shared" si="1"/>
        <v>1</v>
      </c>
      <c r="G250" s="10">
        <f t="array" ref="G250">index('Player ID'!C:C,match(E250,'Player ID'!B:B,0))</f>
        <v>673929</v>
      </c>
    </row>
    <row r="251">
      <c r="A251" s="76">
        <v>45745.0</v>
      </c>
      <c r="B251" s="1" t="s">
        <v>696</v>
      </c>
      <c r="C251" s="1" t="s">
        <v>25</v>
      </c>
      <c r="D251" s="1">
        <v>1.0</v>
      </c>
      <c r="E251" s="1">
        <v>31461.0</v>
      </c>
      <c r="F251" s="10">
        <f t="shared" si="1"/>
        <v>1</v>
      </c>
      <c r="G251" s="10">
        <f t="array" ref="G251">index('Player ID'!C:C,match(E251,'Player ID'!B:B,0))</f>
        <v>690829</v>
      </c>
    </row>
    <row r="252">
      <c r="A252" s="76">
        <v>45745.0</v>
      </c>
      <c r="B252" s="1" t="s">
        <v>361</v>
      </c>
      <c r="C252" s="1" t="s">
        <v>78</v>
      </c>
      <c r="D252" s="1">
        <v>5.0</v>
      </c>
      <c r="E252" s="1">
        <v>31730.0</v>
      </c>
      <c r="F252" s="10">
        <f t="shared" si="1"/>
        <v>5</v>
      </c>
      <c r="G252" s="10">
        <f t="array" ref="G252">index('Player ID'!C:C,match(E252,'Player ID'!B:B,0))</f>
        <v>686563</v>
      </c>
    </row>
    <row r="253">
      <c r="A253" s="76">
        <v>45745.0</v>
      </c>
      <c r="B253" s="1" t="s">
        <v>435</v>
      </c>
      <c r="C253" s="1" t="s">
        <v>16</v>
      </c>
      <c r="D253" s="1">
        <v>1.0</v>
      </c>
      <c r="E253" s="1">
        <v>13293.0</v>
      </c>
      <c r="F253" s="10">
        <f t="shared" si="1"/>
        <v>1</v>
      </c>
      <c r="G253" s="10">
        <f t="array" ref="G253">index('Player ID'!C:C,match(E253,'Player ID'!B:B,0))</f>
        <v>543056</v>
      </c>
    </row>
    <row r="254">
      <c r="A254" s="76">
        <v>45745.0</v>
      </c>
      <c r="B254" s="1" t="s">
        <v>146</v>
      </c>
      <c r="C254" s="1" t="s">
        <v>16</v>
      </c>
      <c r="D254" s="1">
        <v>0.2</v>
      </c>
      <c r="E254" s="1">
        <v>15145.0</v>
      </c>
      <c r="F254" s="10">
        <f t="shared" si="1"/>
        <v>0.6666666667</v>
      </c>
      <c r="G254" s="10">
        <f t="array" ref="G254">index('Player ID'!C:C,match(E254,'Player ID'!B:B,0))</f>
        <v>623437</v>
      </c>
    </row>
    <row r="255">
      <c r="A255" s="76">
        <v>45745.0</v>
      </c>
      <c r="B255" s="1" t="s">
        <v>321</v>
      </c>
      <c r="C255" s="1" t="s">
        <v>72</v>
      </c>
      <c r="D255" s="1">
        <v>6.0</v>
      </c>
      <c r="E255" s="1">
        <v>17425.0</v>
      </c>
      <c r="F255" s="10">
        <f t="shared" si="1"/>
        <v>6</v>
      </c>
      <c r="G255" s="10">
        <f t="array" ref="G255">index('Player ID'!C:C,match(E255,'Player ID'!B:B,0))</f>
        <v>607200</v>
      </c>
    </row>
    <row r="256">
      <c r="A256" s="76">
        <v>45745.0</v>
      </c>
      <c r="B256" s="1" t="s">
        <v>190</v>
      </c>
      <c r="C256" s="1" t="s">
        <v>72</v>
      </c>
      <c r="D256" s="1">
        <v>1.0</v>
      </c>
      <c r="E256" s="1">
        <v>18064.0</v>
      </c>
      <c r="F256" s="10">
        <f t="shared" si="1"/>
        <v>1</v>
      </c>
      <c r="G256" s="10">
        <f t="array" ref="G256">index('Player ID'!C:C,match(E256,'Player ID'!B:B,0))</f>
        <v>664208</v>
      </c>
    </row>
    <row r="257">
      <c r="A257" s="76">
        <v>45745.0</v>
      </c>
      <c r="B257" s="1" t="s">
        <v>397</v>
      </c>
      <c r="C257" s="1" t="s">
        <v>16</v>
      </c>
      <c r="D257" s="1">
        <v>0.0</v>
      </c>
      <c r="E257" s="1">
        <v>19459.0</v>
      </c>
      <c r="F257" s="10">
        <f t="shared" si="1"/>
        <v>0</v>
      </c>
      <c r="G257" s="10">
        <f t="array" ref="G257">index('Player ID'!C:C,match(E257,'Player ID'!B:B,0))</f>
        <v>660896</v>
      </c>
    </row>
    <row r="258">
      <c r="A258" s="76">
        <v>45745.0</v>
      </c>
      <c r="B258" s="1" t="s">
        <v>193</v>
      </c>
      <c r="C258" s="1" t="s">
        <v>72</v>
      </c>
      <c r="D258" s="1">
        <v>1.0</v>
      </c>
      <c r="E258" s="1">
        <v>19574.0</v>
      </c>
      <c r="F258" s="10">
        <f t="shared" si="1"/>
        <v>1</v>
      </c>
      <c r="G258" s="10">
        <f t="array" ref="G258">index('Player ID'!C:C,match(E258,'Player ID'!B:B,0))</f>
        <v>668941</v>
      </c>
    </row>
    <row r="259">
      <c r="A259" s="76">
        <v>45745.0</v>
      </c>
      <c r="B259" s="1" t="s">
        <v>122</v>
      </c>
      <c r="C259" s="1" t="s">
        <v>16</v>
      </c>
      <c r="D259" s="1">
        <v>0.1</v>
      </c>
      <c r="E259" s="1">
        <v>21029.0</v>
      </c>
      <c r="F259" s="10">
        <f t="shared" si="1"/>
        <v>0.3333333333</v>
      </c>
      <c r="G259" s="10">
        <f t="array" ref="G259">index('Player ID'!C:C,match(E259,'Player ID'!B:B,0))</f>
        <v>661395</v>
      </c>
    </row>
    <row r="260">
      <c r="A260" s="76">
        <v>45745.0</v>
      </c>
      <c r="B260" s="1" t="s">
        <v>150</v>
      </c>
      <c r="C260" s="1" t="s">
        <v>16</v>
      </c>
      <c r="D260" s="1">
        <v>5.0</v>
      </c>
      <c r="E260" s="1">
        <v>21390.0</v>
      </c>
      <c r="F260" s="10">
        <f t="shared" si="1"/>
        <v>5</v>
      </c>
      <c r="G260" s="10">
        <f t="array" ref="G260">index('Player ID'!C:C,match(E260,'Player ID'!B:B,0))</f>
        <v>657746</v>
      </c>
    </row>
    <row r="261">
      <c r="A261" s="76">
        <v>45745.0</v>
      </c>
      <c r="B261" s="1" t="s">
        <v>378</v>
      </c>
      <c r="C261" s="1" t="s">
        <v>72</v>
      </c>
      <c r="D261" s="1">
        <v>1.0</v>
      </c>
      <c r="E261" s="1">
        <v>24862.0</v>
      </c>
      <c r="F261" s="10">
        <f t="shared" si="1"/>
        <v>1</v>
      </c>
      <c r="G261" s="10">
        <f t="array" ref="G261">index('Player ID'!C:C,match(E261,'Player ID'!B:B,0))</f>
        <v>681676</v>
      </c>
    </row>
    <row r="262">
      <c r="A262" s="76">
        <v>45745.0</v>
      </c>
      <c r="B262" s="1" t="s">
        <v>47</v>
      </c>
      <c r="C262" s="1" t="s">
        <v>16</v>
      </c>
      <c r="D262" s="1">
        <v>1.0</v>
      </c>
      <c r="E262" s="1">
        <v>27691.0</v>
      </c>
      <c r="F262" s="10">
        <f t="shared" si="1"/>
        <v>1</v>
      </c>
      <c r="G262" s="10">
        <f t="array" ref="G262">index('Player ID'!C:C,match(E262,'Player ID'!B:B,0))</f>
        <v>686973</v>
      </c>
    </row>
    <row r="263">
      <c r="A263" s="76">
        <v>45745.0</v>
      </c>
      <c r="B263" s="1" t="s">
        <v>137</v>
      </c>
      <c r="C263" s="1" t="s">
        <v>40</v>
      </c>
      <c r="D263" s="1">
        <v>3.0</v>
      </c>
      <c r="E263" s="1">
        <v>3137.0</v>
      </c>
      <c r="F263" s="10">
        <f t="shared" si="1"/>
        <v>3</v>
      </c>
      <c r="G263" s="10">
        <f t="array" ref="G263">index('Player ID'!C:C,match(E263,'Player ID'!B:B,0))</f>
        <v>453286</v>
      </c>
    </row>
    <row r="264">
      <c r="A264" s="76">
        <v>45745.0</v>
      </c>
      <c r="B264" s="1" t="s">
        <v>673</v>
      </c>
      <c r="C264" s="1" t="s">
        <v>40</v>
      </c>
      <c r="D264" s="1">
        <v>1.0</v>
      </c>
      <c r="E264" s="1">
        <v>12095.0</v>
      </c>
      <c r="F264" s="10">
        <f t="shared" si="1"/>
        <v>1</v>
      </c>
      <c r="G264" s="10">
        <f t="array" ref="G264">index('Player ID'!C:C,match(E264,'Player ID'!B:B,0))</f>
        <v>554340</v>
      </c>
    </row>
    <row r="265">
      <c r="A265" s="76">
        <v>45745.0</v>
      </c>
      <c r="B265" s="1" t="s">
        <v>637</v>
      </c>
      <c r="C265" s="1" t="s">
        <v>40</v>
      </c>
      <c r="D265" s="1">
        <v>1.1</v>
      </c>
      <c r="E265" s="1">
        <v>12323.0</v>
      </c>
      <c r="F265" s="10">
        <f t="shared" si="1"/>
        <v>1.333333333</v>
      </c>
      <c r="G265" s="10">
        <f t="array" ref="G265">index('Player ID'!C:C,match(E265,'Player ID'!B:B,0))</f>
        <v>606930</v>
      </c>
    </row>
    <row r="266">
      <c r="A266" s="76">
        <v>45745.0</v>
      </c>
      <c r="B266" s="1" t="s">
        <v>174</v>
      </c>
      <c r="C266" s="1" t="s">
        <v>40</v>
      </c>
      <c r="D266" s="1">
        <v>1.2</v>
      </c>
      <c r="E266" s="1">
        <v>15552.0</v>
      </c>
      <c r="F266" s="10">
        <f t="shared" si="1"/>
        <v>1.666666667</v>
      </c>
      <c r="G266" s="10">
        <f t="array" ref="G266">index('Player ID'!C:C,match(E266,'Player ID'!B:B,0))</f>
        <v>643338</v>
      </c>
    </row>
    <row r="267">
      <c r="A267" s="76">
        <v>45745.0</v>
      </c>
      <c r="B267" s="1" t="s">
        <v>311</v>
      </c>
      <c r="C267" s="1" t="s">
        <v>40</v>
      </c>
      <c r="D267" s="1">
        <v>1.0</v>
      </c>
      <c r="E267" s="1">
        <v>17432.0</v>
      </c>
      <c r="F267" s="10">
        <f t="shared" si="1"/>
        <v>1</v>
      </c>
      <c r="G267" s="10">
        <f t="array" ref="G267">index('Player ID'!C:C,match(E267,'Player ID'!B:B,0))</f>
        <v>656546</v>
      </c>
    </row>
    <row r="268">
      <c r="A268" s="76">
        <v>45745.0</v>
      </c>
      <c r="B268" s="1" t="s">
        <v>639</v>
      </c>
      <c r="C268" s="1" t="s">
        <v>68</v>
      </c>
      <c r="D268" s="1">
        <v>0.2</v>
      </c>
      <c r="E268" s="1">
        <v>19249.0</v>
      </c>
      <c r="F268" s="10">
        <f t="shared" si="1"/>
        <v>0.6666666667</v>
      </c>
      <c r="G268" s="10">
        <f t="array" ref="G268">index('Player ID'!C:C,match(E268,'Player ID'!B:B,0))</f>
        <v>622554</v>
      </c>
    </row>
    <row r="269">
      <c r="A269" s="76">
        <v>45745.0</v>
      </c>
      <c r="B269" s="1" t="s">
        <v>640</v>
      </c>
      <c r="C269" s="1" t="s">
        <v>40</v>
      </c>
      <c r="D269" s="1">
        <v>1.0</v>
      </c>
      <c r="E269" s="1">
        <v>19337.0</v>
      </c>
      <c r="F269" s="10">
        <f t="shared" si="1"/>
        <v>1</v>
      </c>
      <c r="G269" s="10">
        <f t="array" ref="G269">index('Player ID'!C:C,match(E269,'Player ID'!B:B,0))</f>
        <v>663992</v>
      </c>
    </row>
    <row r="270">
      <c r="A270" s="76">
        <v>45745.0</v>
      </c>
      <c r="B270" s="1" t="s">
        <v>294</v>
      </c>
      <c r="C270" s="1" t="s">
        <v>68</v>
      </c>
      <c r="D270" s="1">
        <v>5.1</v>
      </c>
      <c r="E270" s="1">
        <v>19350.0</v>
      </c>
      <c r="F270" s="10">
        <f t="shared" si="1"/>
        <v>5.333333333</v>
      </c>
      <c r="G270" s="10">
        <f t="array" ref="G270">index('Player ID'!C:C,match(E270,'Player ID'!B:B,0))</f>
        <v>665152</v>
      </c>
    </row>
    <row r="271">
      <c r="A271" s="76">
        <v>45745.0</v>
      </c>
      <c r="B271" s="1" t="s">
        <v>231</v>
      </c>
      <c r="C271" s="1" t="s">
        <v>68</v>
      </c>
      <c r="D271" s="1">
        <v>0.2</v>
      </c>
      <c r="E271" s="1">
        <v>19362.0</v>
      </c>
      <c r="F271" s="10">
        <f t="shared" si="1"/>
        <v>0.6666666667</v>
      </c>
      <c r="G271" s="10">
        <f t="array" ref="G271">index('Player ID'!C:C,match(E271,'Player ID'!B:B,0))</f>
        <v>669211</v>
      </c>
    </row>
    <row r="272">
      <c r="A272" s="76">
        <v>45745.0</v>
      </c>
      <c r="B272" s="1" t="s">
        <v>433</v>
      </c>
      <c r="C272" s="1" t="s">
        <v>68</v>
      </c>
      <c r="D272" s="1">
        <v>0.1</v>
      </c>
      <c r="E272" s="1">
        <v>19677.0</v>
      </c>
      <c r="F272" s="10">
        <f t="shared" si="1"/>
        <v>0.3333333333</v>
      </c>
      <c r="G272" s="10">
        <f t="array" ref="G272">index('Player ID'!C:C,match(E272,'Player ID'!B:B,0))</f>
        <v>642397</v>
      </c>
    </row>
    <row r="273">
      <c r="A273" s="76">
        <v>45745.0</v>
      </c>
      <c r="B273" s="1" t="s">
        <v>698</v>
      </c>
      <c r="C273" s="1" t="s">
        <v>68</v>
      </c>
      <c r="D273" s="1">
        <v>1.0</v>
      </c>
      <c r="E273" s="1">
        <v>20666.0</v>
      </c>
      <c r="F273" s="10">
        <f t="shared" si="1"/>
        <v>1</v>
      </c>
      <c r="G273" s="10">
        <f t="array" ref="G273">index('Player ID'!C:C,match(E273,'Player ID'!B:B,0))</f>
        <v>642585</v>
      </c>
    </row>
    <row r="274">
      <c r="A274" s="76">
        <v>45745.0</v>
      </c>
      <c r="B274" s="1" t="s">
        <v>235</v>
      </c>
      <c r="C274" s="1" t="s">
        <v>68</v>
      </c>
      <c r="D274" s="1">
        <v>1.0</v>
      </c>
      <c r="E274" s="1">
        <v>25911.0</v>
      </c>
      <c r="F274" s="10">
        <f t="shared" si="1"/>
        <v>1</v>
      </c>
      <c r="G274" s="10">
        <f t="array" ref="G274">index('Player ID'!C:C,match(E274,'Player ID'!B:B,0))</f>
        <v>666974</v>
      </c>
    </row>
    <row r="275">
      <c r="A275" s="76">
        <v>45745.0</v>
      </c>
      <c r="B275" s="1" t="s">
        <v>360</v>
      </c>
      <c r="C275" s="1" t="s">
        <v>45</v>
      </c>
      <c r="D275" s="1">
        <v>1.0</v>
      </c>
      <c r="E275" s="1">
        <v>12972.0</v>
      </c>
      <c r="F275" s="10">
        <f t="shared" si="1"/>
        <v>1</v>
      </c>
      <c r="G275" s="10">
        <f t="array" ref="G275">index('Player ID'!C:C,match(E275,'Player ID'!B:B,0))</f>
        <v>605452</v>
      </c>
    </row>
    <row r="276">
      <c r="A276" s="76">
        <v>45745.0</v>
      </c>
      <c r="B276" s="1" t="s">
        <v>642</v>
      </c>
      <c r="C276" s="1" t="s">
        <v>80</v>
      </c>
      <c r="D276" s="1">
        <v>0.0</v>
      </c>
      <c r="E276" s="1">
        <v>13470.0</v>
      </c>
      <c r="F276" s="10">
        <f t="shared" si="1"/>
        <v>0</v>
      </c>
      <c r="G276" s="10">
        <f t="array" ref="G276">index('Player ID'!C:C,match(E276,'Player ID'!B:B,0))</f>
        <v>608371</v>
      </c>
    </row>
    <row r="277">
      <c r="A277" s="76">
        <v>45745.0</v>
      </c>
      <c r="B277" s="1" t="s">
        <v>699</v>
      </c>
      <c r="C277" s="1" t="s">
        <v>45</v>
      </c>
      <c r="D277" s="1">
        <v>1.0</v>
      </c>
      <c r="E277" s="1">
        <v>14552.0</v>
      </c>
      <c r="F277" s="10">
        <f t="shared" si="1"/>
        <v>1</v>
      </c>
      <c r="G277" s="10">
        <f t="array" ref="G277">index('Player ID'!C:C,match(E277,'Player ID'!B:B,0))</f>
        <v>614179</v>
      </c>
    </row>
    <row r="278">
      <c r="A278" s="76">
        <v>45745.0</v>
      </c>
      <c r="B278" s="1" t="s">
        <v>138</v>
      </c>
      <c r="C278" s="1" t="s">
        <v>45</v>
      </c>
      <c r="D278" s="1">
        <v>1.0</v>
      </c>
      <c r="E278" s="1">
        <v>16990.0</v>
      </c>
      <c r="F278" s="10">
        <f t="shared" si="1"/>
        <v>1</v>
      </c>
      <c r="G278" s="10">
        <f t="array" ref="G278">index('Player ID'!C:C,match(E278,'Player ID'!B:B,0))</f>
        <v>621383</v>
      </c>
    </row>
    <row r="279">
      <c r="A279" s="76">
        <v>45745.0</v>
      </c>
      <c r="B279" s="1" t="s">
        <v>644</v>
      </c>
      <c r="C279" s="1" t="s">
        <v>80</v>
      </c>
      <c r="D279" s="1">
        <v>0.1</v>
      </c>
      <c r="E279" s="1">
        <v>19403.0</v>
      </c>
      <c r="F279" s="10">
        <f t="shared" si="1"/>
        <v>0.3333333333</v>
      </c>
      <c r="G279" s="10">
        <f t="array" ref="G279">index('Player ID'!C:C,match(E279,'Player ID'!B:B,0))</f>
        <v>621363</v>
      </c>
    </row>
    <row r="280">
      <c r="A280" s="76">
        <v>45745.0</v>
      </c>
      <c r="B280" s="1" t="s">
        <v>700</v>
      </c>
      <c r="C280" s="1" t="s">
        <v>45</v>
      </c>
      <c r="D280" s="1">
        <v>5.0</v>
      </c>
      <c r="E280" s="1">
        <v>19959.0</v>
      </c>
      <c r="F280" s="10">
        <f t="shared" si="1"/>
        <v>5</v>
      </c>
      <c r="G280" s="10">
        <f t="array" ref="G280">index('Player ID'!C:C,match(E280,'Player ID'!B:B,0))</f>
        <v>666200</v>
      </c>
    </row>
    <row r="281">
      <c r="A281" s="76">
        <v>45745.0</v>
      </c>
      <c r="B281" s="1" t="s">
        <v>396</v>
      </c>
      <c r="C281" s="1" t="s">
        <v>80</v>
      </c>
      <c r="D281" s="1">
        <v>5.0</v>
      </c>
      <c r="E281" s="1">
        <v>21504.0</v>
      </c>
      <c r="F281" s="10">
        <f t="shared" si="1"/>
        <v>5</v>
      </c>
      <c r="G281" s="10">
        <f t="array" ref="G281">index('Player ID'!C:C,match(E281,'Player ID'!B:B,0))</f>
        <v>663623</v>
      </c>
    </row>
    <row r="282">
      <c r="A282" s="76">
        <v>45745.0</v>
      </c>
      <c r="B282" s="1" t="s">
        <v>701</v>
      </c>
      <c r="C282" s="1" t="s">
        <v>45</v>
      </c>
      <c r="D282" s="1">
        <v>1.0</v>
      </c>
      <c r="E282" s="1">
        <v>22713.0</v>
      </c>
      <c r="F282" s="10">
        <f t="shared" si="1"/>
        <v>1</v>
      </c>
      <c r="G282" s="10">
        <f t="array" ref="G282">index('Player ID'!C:C,match(E282,'Player ID'!B:B,0))</f>
        <v>672578</v>
      </c>
    </row>
    <row r="283">
      <c r="A283" s="76">
        <v>45745.0</v>
      </c>
      <c r="B283" s="1" t="s">
        <v>508</v>
      </c>
      <c r="C283" s="1" t="s">
        <v>80</v>
      </c>
      <c r="D283" s="1">
        <v>1.2</v>
      </c>
      <c r="E283" s="1">
        <v>23135.0</v>
      </c>
      <c r="F283" s="10">
        <f t="shared" si="1"/>
        <v>1.666666667</v>
      </c>
      <c r="G283" s="10">
        <f t="array" ref="G283">index('Player ID'!C:C,match(E283,'Player ID'!B:B,0))</f>
        <v>674285</v>
      </c>
    </row>
    <row r="284">
      <c r="A284" s="76">
        <v>45745.0</v>
      </c>
      <c r="B284" s="1" t="s">
        <v>702</v>
      </c>
      <c r="C284" s="1" t="s">
        <v>80</v>
      </c>
      <c r="D284" s="1">
        <v>2.0</v>
      </c>
      <c r="E284" s="1">
        <v>26247.0</v>
      </c>
      <c r="F284" s="10">
        <f t="shared" si="1"/>
        <v>2</v>
      </c>
      <c r="G284" s="10">
        <f t="array" ref="G284">index('Player ID'!C:C,match(E284,'Player ID'!B:B,0))</f>
        <v>687377</v>
      </c>
    </row>
    <row r="285">
      <c r="A285" s="76">
        <v>45745.0</v>
      </c>
      <c r="B285" s="1" t="s">
        <v>452</v>
      </c>
      <c r="C285" s="1" t="s">
        <v>29</v>
      </c>
      <c r="D285" s="1">
        <v>5.0</v>
      </c>
      <c r="E285" s="1">
        <v>12447.0</v>
      </c>
      <c r="F285" s="10">
        <f t="shared" si="1"/>
        <v>5</v>
      </c>
      <c r="G285" s="10">
        <f t="array" ref="G285">index('Player ID'!C:C,match(E285,'Player ID'!B:B,0))</f>
        <v>607625</v>
      </c>
    </row>
    <row r="286">
      <c r="A286" s="76">
        <v>45745.0</v>
      </c>
      <c r="B286" s="1" t="s">
        <v>117</v>
      </c>
      <c r="C286" s="1" t="s">
        <v>70</v>
      </c>
      <c r="D286" s="1">
        <v>1.0</v>
      </c>
      <c r="E286" s="1">
        <v>13619.0</v>
      </c>
      <c r="F286" s="10">
        <f t="shared" si="1"/>
        <v>1</v>
      </c>
      <c r="G286" s="10">
        <f t="array" ref="G286">index('Player ID'!C:C,match(E286,'Player ID'!B:B,0))</f>
        <v>596001</v>
      </c>
    </row>
    <row r="287">
      <c r="A287" s="76">
        <v>45745.0</v>
      </c>
      <c r="B287" s="1" t="s">
        <v>648</v>
      </c>
      <c r="C287" s="1" t="s">
        <v>70</v>
      </c>
      <c r="D287" s="1">
        <v>0.2</v>
      </c>
      <c r="E287" s="1">
        <v>13892.0</v>
      </c>
      <c r="F287" s="10">
        <f t="shared" si="1"/>
        <v>0.6666666667</v>
      </c>
      <c r="G287" s="10">
        <f t="array" ref="G287">index('Player ID'!C:C,match(E287,'Player ID'!B:B,0))</f>
        <v>623149</v>
      </c>
    </row>
    <row r="288">
      <c r="A288" s="76">
        <v>45745.0</v>
      </c>
      <c r="B288" s="1" t="s">
        <v>649</v>
      </c>
      <c r="C288" s="1" t="s">
        <v>29</v>
      </c>
      <c r="D288" s="1">
        <v>1.0</v>
      </c>
      <c r="E288" s="1">
        <v>14542.0</v>
      </c>
      <c r="F288" s="10">
        <f t="shared" si="1"/>
        <v>1</v>
      </c>
      <c r="G288" s="10">
        <f t="array" ref="G288">index('Player ID'!C:C,match(E288,'Player ID'!B:B,0))</f>
        <v>608032</v>
      </c>
    </row>
    <row r="289">
      <c r="A289" s="76">
        <v>45745.0</v>
      </c>
      <c r="B289" s="1" t="s">
        <v>407</v>
      </c>
      <c r="C289" s="1" t="s">
        <v>29</v>
      </c>
      <c r="D289" s="1">
        <v>1.0</v>
      </c>
      <c r="E289" s="1">
        <v>19360.0</v>
      </c>
      <c r="F289" s="10">
        <f t="shared" si="1"/>
        <v>1</v>
      </c>
      <c r="G289" s="10">
        <f t="array" ref="G289">index('Player ID'!C:C,match(E289,'Player ID'!B:B,0))</f>
        <v>668674</v>
      </c>
    </row>
    <row r="290">
      <c r="A290" s="76">
        <v>45745.0</v>
      </c>
      <c r="B290" s="1" t="s">
        <v>293</v>
      </c>
      <c r="C290" s="1" t="s">
        <v>29</v>
      </c>
      <c r="D290" s="1">
        <v>2.0</v>
      </c>
      <c r="E290" s="1">
        <v>21537.0</v>
      </c>
      <c r="F290" s="10">
        <f t="shared" si="1"/>
        <v>2</v>
      </c>
      <c r="G290" s="10">
        <f t="array" ref="G290">index('Player ID'!C:C,match(E290,'Player ID'!B:B,0))</f>
        <v>663738</v>
      </c>
    </row>
    <row r="291">
      <c r="A291" s="76">
        <v>45745.0</v>
      </c>
      <c r="B291" s="1" t="s">
        <v>238</v>
      </c>
      <c r="C291" s="1" t="s">
        <v>70</v>
      </c>
      <c r="D291" s="1">
        <v>0.1</v>
      </c>
      <c r="E291" s="1">
        <v>25636.0</v>
      </c>
      <c r="F291" s="10">
        <f t="shared" si="1"/>
        <v>0.3333333333</v>
      </c>
      <c r="G291" s="10">
        <f t="array" ref="G291">index('Player ID'!C:C,match(E291,'Player ID'!B:B,0))</f>
        <v>683769</v>
      </c>
    </row>
    <row r="292">
      <c r="A292" s="76">
        <v>45745.0</v>
      </c>
      <c r="B292" s="1" t="s">
        <v>135</v>
      </c>
      <c r="C292" s="1" t="s">
        <v>70</v>
      </c>
      <c r="D292" s="1">
        <v>1.0</v>
      </c>
      <c r="E292" s="1">
        <v>27867.0</v>
      </c>
      <c r="F292" s="10">
        <f t="shared" si="1"/>
        <v>1</v>
      </c>
      <c r="G292" s="10">
        <f t="array" ref="G292">index('Player ID'!C:C,match(E292,'Player ID'!B:B,0))</f>
        <v>671922</v>
      </c>
    </row>
    <row r="293">
      <c r="A293" s="76">
        <v>45745.0</v>
      </c>
      <c r="B293" s="1" t="s">
        <v>376</v>
      </c>
      <c r="C293" s="1" t="s">
        <v>70</v>
      </c>
      <c r="D293" s="1">
        <v>5.0</v>
      </c>
      <c r="E293" s="1">
        <v>30122.0</v>
      </c>
      <c r="F293" s="10">
        <f t="shared" si="1"/>
        <v>5</v>
      </c>
      <c r="G293" s="10">
        <f t="array" ref="G293">index('Player ID'!C:C,match(E293,'Player ID'!B:B,0))</f>
        <v>668909</v>
      </c>
    </row>
    <row r="294">
      <c r="A294" s="76">
        <v>45745.0</v>
      </c>
      <c r="B294" s="1" t="s">
        <v>358</v>
      </c>
      <c r="C294" s="1" t="s">
        <v>31</v>
      </c>
      <c r="D294" s="1">
        <v>5.0</v>
      </c>
      <c r="E294" s="1">
        <v>8700.0</v>
      </c>
      <c r="F294" s="10">
        <f t="shared" si="1"/>
        <v>5</v>
      </c>
      <c r="G294" s="10">
        <f t="array" ref="G294">index('Player ID'!C:C,match(E294,'Player ID'!B:B,0))</f>
        <v>434378</v>
      </c>
    </row>
    <row r="295">
      <c r="A295" s="76">
        <v>45745.0</v>
      </c>
      <c r="B295" s="1" t="s">
        <v>651</v>
      </c>
      <c r="C295" s="1" t="s">
        <v>66</v>
      </c>
      <c r="D295" s="1">
        <v>1.0</v>
      </c>
      <c r="E295" s="1">
        <v>14771.0</v>
      </c>
      <c r="F295" s="10">
        <f t="shared" si="1"/>
        <v>1</v>
      </c>
      <c r="G295" s="10">
        <f t="array" ref="G295">index('Player ID'!C:C,match(E295,'Player ID'!B:B,0))</f>
        <v>641941</v>
      </c>
    </row>
    <row r="296">
      <c r="A296" s="76">
        <v>45745.0</v>
      </c>
      <c r="B296" s="1" t="s">
        <v>503</v>
      </c>
      <c r="C296" s="1" t="s">
        <v>31</v>
      </c>
      <c r="D296" s="1">
        <v>1.0</v>
      </c>
      <c r="E296" s="1">
        <v>15043.0</v>
      </c>
      <c r="F296" s="10">
        <f t="shared" si="1"/>
        <v>1</v>
      </c>
      <c r="G296" s="10">
        <f t="array" ref="G296">index('Player ID'!C:C,match(E296,'Player ID'!B:B,0))</f>
        <v>642152</v>
      </c>
    </row>
    <row r="297">
      <c r="A297" s="76">
        <v>45745.0</v>
      </c>
      <c r="B297" s="1" t="s">
        <v>345</v>
      </c>
      <c r="C297" s="1" t="s">
        <v>66</v>
      </c>
      <c r="D297" s="1">
        <v>1.0</v>
      </c>
      <c r="E297" s="1">
        <v>19926.0</v>
      </c>
      <c r="F297" s="10">
        <f t="shared" si="1"/>
        <v>1</v>
      </c>
      <c r="G297" s="10">
        <f t="array" ref="G297">index('Player ID'!C:C,match(E297,'Player ID'!B:B,0))</f>
        <v>663574</v>
      </c>
    </row>
    <row r="298">
      <c r="A298" s="76">
        <v>45745.0</v>
      </c>
      <c r="B298" s="1" t="s">
        <v>654</v>
      </c>
      <c r="C298" s="1" t="s">
        <v>31</v>
      </c>
      <c r="D298" s="1">
        <v>1.0</v>
      </c>
      <c r="E298" s="1">
        <v>23974.0</v>
      </c>
      <c r="F298" s="10">
        <f t="shared" si="1"/>
        <v>1</v>
      </c>
      <c r="G298" s="10">
        <f t="array" ref="G298">index('Player ID'!C:C,match(E298,'Player ID'!B:B,0))</f>
        <v>678495</v>
      </c>
    </row>
    <row r="299">
      <c r="A299" s="76">
        <v>45745.0</v>
      </c>
      <c r="B299" s="1" t="s">
        <v>194</v>
      </c>
      <c r="C299" s="1" t="s">
        <v>66</v>
      </c>
      <c r="D299" s="1">
        <v>6.0</v>
      </c>
      <c r="E299" s="1">
        <v>26378.0</v>
      </c>
      <c r="F299" s="10">
        <f t="shared" si="1"/>
        <v>6</v>
      </c>
      <c r="G299" s="10">
        <f t="array" ref="G299">index('Player ID'!C:C,match(E299,'Player ID'!B:B,0))</f>
        <v>666157</v>
      </c>
    </row>
    <row r="300">
      <c r="A300" s="76">
        <v>45745.0</v>
      </c>
      <c r="B300" s="1" t="s">
        <v>211</v>
      </c>
      <c r="C300" s="1" t="s">
        <v>66</v>
      </c>
      <c r="D300" s="1">
        <v>1.0</v>
      </c>
      <c r="E300" s="1">
        <v>27552.0</v>
      </c>
      <c r="F300" s="10">
        <f t="shared" si="1"/>
        <v>1</v>
      </c>
      <c r="G300" s="10">
        <f t="array" ref="G300">index('Player ID'!C:C,match(E300,'Player ID'!B:B,0))</f>
        <v>668933</v>
      </c>
    </row>
    <row r="301">
      <c r="A301" s="76">
        <v>45745.0</v>
      </c>
      <c r="B301" s="1" t="s">
        <v>276</v>
      </c>
      <c r="C301" s="1" t="s">
        <v>31</v>
      </c>
      <c r="D301" s="1">
        <v>1.0</v>
      </c>
      <c r="E301" s="1">
        <v>30226.0</v>
      </c>
      <c r="F301" s="10">
        <f t="shared" si="1"/>
        <v>1</v>
      </c>
      <c r="G301" s="10">
        <f t="array" ref="G301">index('Player ID'!C:C,match(E301,'Player ID'!B:B,0))</f>
        <v>702352</v>
      </c>
    </row>
    <row r="302">
      <c r="A302" s="76">
        <v>45745.0</v>
      </c>
      <c r="B302" s="1" t="s">
        <v>704</v>
      </c>
      <c r="C302" s="1" t="s">
        <v>75</v>
      </c>
      <c r="D302" s="1">
        <v>1.0</v>
      </c>
      <c r="E302" s="1">
        <v>10591.0</v>
      </c>
      <c r="F302" s="10">
        <f t="shared" si="1"/>
        <v>1</v>
      </c>
      <c r="G302" s="10">
        <f t="array" ref="G302">index('Player ID'!C:C,match(E302,'Player ID'!B:B,0))</f>
        <v>518397</v>
      </c>
    </row>
    <row r="303">
      <c r="A303" s="76">
        <v>45745.0</v>
      </c>
      <c r="B303" s="1" t="s">
        <v>481</v>
      </c>
      <c r="C303" s="1" t="s">
        <v>75</v>
      </c>
      <c r="D303" s="1">
        <v>4.1</v>
      </c>
      <c r="E303" s="1">
        <v>15488.0</v>
      </c>
      <c r="F303" s="10">
        <f t="shared" si="1"/>
        <v>4.333333333</v>
      </c>
      <c r="G303" s="10">
        <f t="array" ref="G303">index('Player ID'!C:C,match(E303,'Player ID'!B:B,0))</f>
        <v>622608</v>
      </c>
    </row>
    <row r="304">
      <c r="A304" s="76">
        <v>45745.0</v>
      </c>
      <c r="B304" s="1" t="s">
        <v>177</v>
      </c>
      <c r="C304" s="1" t="s">
        <v>54</v>
      </c>
      <c r="D304" s="1">
        <v>6.0</v>
      </c>
      <c r="E304" s="1">
        <v>15823.0</v>
      </c>
      <c r="F304" s="10">
        <f t="shared" si="1"/>
        <v>6</v>
      </c>
      <c r="G304" s="10">
        <f t="array" ref="G304">index('Player ID'!C:C,match(E304,'Player ID'!B:B,0))</f>
        <v>641793</v>
      </c>
    </row>
    <row r="305">
      <c r="A305" s="76">
        <v>45745.0</v>
      </c>
      <c r="B305" s="1" t="s">
        <v>451</v>
      </c>
      <c r="C305" s="1" t="s">
        <v>75</v>
      </c>
      <c r="D305" s="1">
        <v>1.0</v>
      </c>
      <c r="E305" s="1">
        <v>17556.0</v>
      </c>
      <c r="F305" s="10">
        <f t="shared" si="1"/>
        <v>1</v>
      </c>
      <c r="G305" s="10">
        <f t="array" ref="G305">index('Player ID'!C:C,match(E305,'Player ID'!B:B,0))</f>
        <v>623474</v>
      </c>
    </row>
    <row r="306">
      <c r="A306" s="76">
        <v>45745.0</v>
      </c>
      <c r="B306" s="1" t="s">
        <v>185</v>
      </c>
      <c r="C306" s="1" t="s">
        <v>54</v>
      </c>
      <c r="D306" s="1">
        <v>1.0</v>
      </c>
      <c r="E306" s="1">
        <v>17897.0</v>
      </c>
      <c r="F306" s="10">
        <f t="shared" si="1"/>
        <v>1</v>
      </c>
      <c r="G306" s="10">
        <f t="array" ref="G306">index('Player ID'!C:C,match(E306,'Player ID'!B:B,0))</f>
        <v>664076</v>
      </c>
    </row>
    <row r="307">
      <c r="A307" s="76">
        <v>45745.0</v>
      </c>
      <c r="B307" s="1" t="s">
        <v>705</v>
      </c>
      <c r="C307" s="1" t="s">
        <v>54</v>
      </c>
      <c r="D307" s="1">
        <v>1.0</v>
      </c>
      <c r="E307" s="1">
        <v>20794.0</v>
      </c>
      <c r="F307" s="10">
        <f t="shared" si="1"/>
        <v>1</v>
      </c>
      <c r="G307" s="10">
        <f t="array" ref="G307">index('Player ID'!C:C,match(E307,'Player ID'!B:B,0))</f>
        <v>655889</v>
      </c>
    </row>
    <row r="308">
      <c r="A308" s="76">
        <v>45745.0</v>
      </c>
      <c r="B308" s="1" t="s">
        <v>548</v>
      </c>
      <c r="C308" s="1" t="s">
        <v>75</v>
      </c>
      <c r="D308" s="1">
        <v>0.2</v>
      </c>
      <c r="E308" s="1">
        <v>24203.0</v>
      </c>
      <c r="F308" s="10">
        <f t="shared" si="1"/>
        <v>0.6666666667</v>
      </c>
      <c r="G308" s="10">
        <f t="array" ref="G308">index('Player ID'!C:C,match(E308,'Player ID'!B:B,0))</f>
        <v>678821</v>
      </c>
    </row>
    <row r="309">
      <c r="A309" s="76">
        <v>45745.0</v>
      </c>
      <c r="B309" s="1" t="s">
        <v>110</v>
      </c>
      <c r="C309" s="1" t="s">
        <v>54</v>
      </c>
      <c r="D309" s="1">
        <v>1.0</v>
      </c>
      <c r="E309" s="1">
        <v>25679.0</v>
      </c>
      <c r="F309" s="10">
        <f t="shared" si="1"/>
        <v>1</v>
      </c>
      <c r="G309" s="10">
        <f t="array" ref="G309">index('Player ID'!C:C,match(E309,'Player ID'!B:B,0))</f>
        <v>687330</v>
      </c>
    </row>
    <row r="310">
      <c r="A310" s="76">
        <v>45745.0</v>
      </c>
      <c r="B310" s="1" t="s">
        <v>486</v>
      </c>
      <c r="C310" s="1" t="s">
        <v>75</v>
      </c>
      <c r="D310" s="1">
        <v>0.2</v>
      </c>
      <c r="E310" s="1">
        <v>26790.0</v>
      </c>
      <c r="F310" s="10">
        <f t="shared" si="1"/>
        <v>0.6666666667</v>
      </c>
      <c r="G310" s="10">
        <f t="array" ref="G310">index('Player ID'!C:C,match(E310,'Player ID'!B:B,0))</f>
        <v>683409</v>
      </c>
    </row>
    <row r="311">
      <c r="A311" s="76">
        <v>45745.0</v>
      </c>
      <c r="B311" s="1" t="s">
        <v>488</v>
      </c>
      <c r="C311" s="1" t="s">
        <v>75</v>
      </c>
      <c r="D311" s="1">
        <v>1.1</v>
      </c>
      <c r="E311" s="1">
        <v>33294.0</v>
      </c>
      <c r="F311" s="10">
        <f t="shared" si="1"/>
        <v>1.333333333</v>
      </c>
      <c r="G311" s="10">
        <f t="array" ref="G311">index('Player ID'!C:C,match(E311,'Player ID'!B:B,0))</f>
        <v>678020</v>
      </c>
    </row>
    <row r="312">
      <c r="A312" s="76">
        <v>45745.0</v>
      </c>
      <c r="B312" s="1" t="s">
        <v>707</v>
      </c>
      <c r="C312" s="1" t="s">
        <v>60</v>
      </c>
      <c r="D312" s="1">
        <v>0.1</v>
      </c>
      <c r="E312" s="1">
        <v>15042.0</v>
      </c>
      <c r="F312" s="10">
        <f t="shared" si="1"/>
        <v>0.3333333333</v>
      </c>
      <c r="G312" s="10">
        <f t="array" ref="G312">index('Player ID'!C:C,match(E312,'Player ID'!B:B,0))</f>
        <v>641835</v>
      </c>
    </row>
    <row r="313">
      <c r="A313" s="76">
        <v>45745.0</v>
      </c>
      <c r="B313" s="1" t="s">
        <v>686</v>
      </c>
      <c r="C313" s="1" t="s">
        <v>60</v>
      </c>
      <c r="D313" s="1">
        <v>1.0</v>
      </c>
      <c r="E313" s="1">
        <v>17639.0</v>
      </c>
      <c r="F313" s="10">
        <f t="shared" si="1"/>
        <v>1</v>
      </c>
      <c r="G313" s="10">
        <f t="array" ref="G313">index('Player ID'!C:C,match(E313,'Player ID'!B:B,0))</f>
        <v>664875</v>
      </c>
    </row>
    <row r="314">
      <c r="A314" s="76">
        <v>45745.0</v>
      </c>
      <c r="B314" s="1" t="s">
        <v>217</v>
      </c>
      <c r="C314" s="1" t="s">
        <v>60</v>
      </c>
      <c r="D314" s="1">
        <v>1.0</v>
      </c>
      <c r="E314" s="1">
        <v>17878.0</v>
      </c>
      <c r="F314" s="10">
        <f t="shared" si="1"/>
        <v>1</v>
      </c>
      <c r="G314" s="10">
        <f t="array" ref="G314">index('Player ID'!C:C,match(E314,'Player ID'!B:B,0))</f>
        <v>642701</v>
      </c>
    </row>
    <row r="315">
      <c r="A315" s="76">
        <v>45745.0</v>
      </c>
      <c r="B315" s="1" t="s">
        <v>241</v>
      </c>
      <c r="C315" s="1" t="s">
        <v>36</v>
      </c>
      <c r="D315" s="1">
        <v>2.0</v>
      </c>
      <c r="E315" s="1">
        <v>19222.0</v>
      </c>
      <c r="F315" s="10">
        <f t="shared" si="1"/>
        <v>2</v>
      </c>
      <c r="G315" s="10">
        <f t="array" ref="G315">index('Player ID'!C:C,match(E315,'Player ID'!B:B,0))</f>
        <v>669199</v>
      </c>
    </row>
    <row r="316">
      <c r="A316" s="76">
        <v>45745.0</v>
      </c>
      <c r="B316" s="1" t="s">
        <v>89</v>
      </c>
      <c r="C316" s="1" t="s">
        <v>36</v>
      </c>
      <c r="D316" s="1">
        <v>1.0</v>
      </c>
      <c r="E316" s="1">
        <v>19742.0</v>
      </c>
      <c r="F316" s="10">
        <f t="shared" si="1"/>
        <v>1</v>
      </c>
      <c r="G316" s="10">
        <f t="array" ref="G316">index('Player ID'!C:C,match(E316,'Player ID'!B:B,0))</f>
        <v>669622</v>
      </c>
    </row>
    <row r="317">
      <c r="A317" s="76">
        <v>45745.0</v>
      </c>
      <c r="B317" s="1" t="s">
        <v>384</v>
      </c>
      <c r="C317" s="1" t="s">
        <v>60</v>
      </c>
      <c r="D317" s="1">
        <v>2.0</v>
      </c>
      <c r="E317" s="1">
        <v>19962.0</v>
      </c>
      <c r="F317" s="10">
        <f t="shared" si="1"/>
        <v>2</v>
      </c>
      <c r="G317" s="10">
        <f t="array" ref="G317">index('Player ID'!C:C,match(E317,'Player ID'!B:B,0))</f>
        <v>666214</v>
      </c>
    </row>
    <row r="318">
      <c r="A318" s="76">
        <v>45745.0</v>
      </c>
      <c r="B318" s="1" t="s">
        <v>220</v>
      </c>
      <c r="C318" s="1" t="s">
        <v>60</v>
      </c>
      <c r="D318" s="1">
        <v>6.0</v>
      </c>
      <c r="E318" s="1">
        <v>20070.0</v>
      </c>
      <c r="F318" s="10">
        <f t="shared" si="1"/>
        <v>6</v>
      </c>
      <c r="G318" s="10">
        <f t="array" ref="G318">index('Player ID'!C:C,match(E318,'Player ID'!B:B,0))</f>
        <v>663559</v>
      </c>
    </row>
    <row r="319">
      <c r="A319" s="76">
        <v>45745.0</v>
      </c>
      <c r="B319" s="1" t="s">
        <v>262</v>
      </c>
      <c r="C319" s="1" t="s">
        <v>36</v>
      </c>
      <c r="D319" s="1">
        <v>1.0</v>
      </c>
      <c r="E319" s="1">
        <v>20116.0</v>
      </c>
      <c r="F319" s="10">
        <f t="shared" si="1"/>
        <v>1</v>
      </c>
      <c r="G319" s="10">
        <f t="array" ref="G319">index('Player ID'!C:C,match(E319,'Player ID'!B:B,0))</f>
        <v>676534</v>
      </c>
    </row>
    <row r="320">
      <c r="A320" s="76">
        <v>45745.0</v>
      </c>
      <c r="B320" s="1" t="s">
        <v>469</v>
      </c>
      <c r="C320" s="1" t="s">
        <v>36</v>
      </c>
      <c r="D320" s="1">
        <v>1.0</v>
      </c>
      <c r="E320" s="1">
        <v>21863.0</v>
      </c>
      <c r="F320" s="10">
        <f t="shared" si="1"/>
        <v>1</v>
      </c>
      <c r="G320" s="10">
        <f t="array" ref="G320">index('Player ID'!C:C,match(E320,'Player ID'!B:B,0))</f>
        <v>666277</v>
      </c>
    </row>
    <row r="321">
      <c r="A321" s="76">
        <v>45745.0</v>
      </c>
      <c r="B321" s="1" t="s">
        <v>663</v>
      </c>
      <c r="C321" s="1" t="s">
        <v>60</v>
      </c>
      <c r="D321" s="1">
        <v>1.0</v>
      </c>
      <c r="E321" s="1">
        <v>22361.0</v>
      </c>
      <c r="F321" s="10">
        <f t="shared" si="1"/>
        <v>1</v>
      </c>
      <c r="G321" s="10">
        <f t="array" ref="G321">index('Player ID'!C:C,match(E321,'Player ID'!B:B,0))</f>
        <v>670059</v>
      </c>
    </row>
    <row r="322">
      <c r="A322" s="76">
        <v>45745.0</v>
      </c>
      <c r="B322" s="1" t="s">
        <v>322</v>
      </c>
      <c r="C322" s="1" t="s">
        <v>36</v>
      </c>
      <c r="D322" s="1">
        <v>4.1</v>
      </c>
      <c r="E322" s="1">
        <v>23899.0</v>
      </c>
      <c r="F322" s="10">
        <f t="shared" si="1"/>
        <v>4.333333333</v>
      </c>
      <c r="G322" s="10">
        <f t="array" ref="G322">index('Player ID'!C:C,match(E322,'Player ID'!B:B,0))</f>
        <v>678368</v>
      </c>
    </row>
    <row r="323">
      <c r="A323" s="76">
        <v>45745.0</v>
      </c>
      <c r="B323" s="1" t="s">
        <v>123</v>
      </c>
      <c r="C323" s="1" t="s">
        <v>36</v>
      </c>
      <c r="D323" s="1">
        <v>2.0</v>
      </c>
      <c r="E323" s="1">
        <v>24094.0</v>
      </c>
      <c r="F323" s="10">
        <f t="shared" si="1"/>
        <v>2</v>
      </c>
      <c r="G323" s="10">
        <f t="array" ref="G323">index('Player ID'!C:C,match(E323,'Player ID'!B:B,0))</f>
        <v>678692</v>
      </c>
    </row>
    <row r="324">
      <c r="A324" s="76">
        <v>45745.0</v>
      </c>
      <c r="B324" s="1" t="s">
        <v>676</v>
      </c>
      <c r="C324" s="1" t="s">
        <v>36</v>
      </c>
      <c r="D324" s="1">
        <v>0.2</v>
      </c>
      <c r="E324" s="1">
        <v>27453.0</v>
      </c>
      <c r="F324" s="10">
        <f t="shared" si="1"/>
        <v>0.6666666667</v>
      </c>
      <c r="G324" s="10">
        <f t="array" ref="G324">index('Player ID'!C:C,match(E324,'Player ID'!B:B,0))</f>
        <v>685107</v>
      </c>
    </row>
    <row r="325">
      <c r="A325" s="76">
        <v>45745.0</v>
      </c>
      <c r="B325" s="1" t="s">
        <v>230</v>
      </c>
      <c r="C325" s="1" t="s">
        <v>22</v>
      </c>
      <c r="D325" s="1">
        <v>0.2</v>
      </c>
      <c r="E325" s="1">
        <v>4301.0</v>
      </c>
      <c r="F325" s="10">
        <f t="shared" si="1"/>
        <v>0.6666666667</v>
      </c>
      <c r="G325" s="10">
        <f t="array" ref="G325">index('Player ID'!C:C,match(E325,'Player ID'!B:B,0))</f>
        <v>458677</v>
      </c>
    </row>
    <row r="326">
      <c r="A326" s="76">
        <v>45745.0</v>
      </c>
      <c r="B326" s="1" t="s">
        <v>74</v>
      </c>
      <c r="C326" s="1" t="s">
        <v>56</v>
      </c>
      <c r="D326" s="1">
        <v>1.0</v>
      </c>
      <c r="E326" s="1">
        <v>11847.0</v>
      </c>
      <c r="F326" s="10">
        <f t="shared" si="1"/>
        <v>1</v>
      </c>
      <c r="G326" s="10">
        <f t="array" ref="G326">index('Player ID'!C:C,match(E326,'Player ID'!B:B,0))</f>
        <v>455119</v>
      </c>
    </row>
    <row r="327">
      <c r="A327" s="76">
        <v>45745.0</v>
      </c>
      <c r="B327" s="1" t="s">
        <v>151</v>
      </c>
      <c r="C327" s="1" t="s">
        <v>56</v>
      </c>
      <c r="D327" s="1">
        <v>1.1</v>
      </c>
      <c r="E327" s="1">
        <v>13346.0</v>
      </c>
      <c r="F327" s="10">
        <f t="shared" si="1"/>
        <v>1.333333333</v>
      </c>
      <c r="G327" s="10">
        <f t="array" ref="G327">index('Player ID'!C:C,match(E327,'Player ID'!B:B,0))</f>
        <v>571948</v>
      </c>
    </row>
    <row r="328">
      <c r="A328" s="76">
        <v>45745.0</v>
      </c>
      <c r="B328" s="1" t="s">
        <v>55</v>
      </c>
      <c r="C328" s="1" t="s">
        <v>56</v>
      </c>
      <c r="D328" s="1">
        <v>1.2</v>
      </c>
      <c r="E328" s="1">
        <v>16358.0</v>
      </c>
      <c r="F328" s="10">
        <f t="shared" si="1"/>
        <v>1.666666667</v>
      </c>
      <c r="G328" s="10">
        <f t="array" ref="G328">index('Player ID'!C:C,match(E328,'Player ID'!B:B,0))</f>
        <v>641816</v>
      </c>
    </row>
    <row r="329">
      <c r="A329" s="76">
        <v>45745.0</v>
      </c>
      <c r="B329" s="1" t="s">
        <v>87</v>
      </c>
      <c r="C329" s="1" t="s">
        <v>56</v>
      </c>
      <c r="D329" s="1">
        <v>2.0</v>
      </c>
      <c r="E329" s="1">
        <v>19274.0</v>
      </c>
      <c r="F329" s="10">
        <f t="shared" si="1"/>
        <v>2</v>
      </c>
      <c r="G329" s="10">
        <f t="array" ref="G329">index('Player ID'!C:C,match(E329,'Player ID'!B:B,0))</f>
        <v>657097</v>
      </c>
    </row>
    <row r="330">
      <c r="A330" s="76">
        <v>45745.0</v>
      </c>
      <c r="B330" s="1" t="s">
        <v>405</v>
      </c>
      <c r="C330" s="1" t="s">
        <v>22</v>
      </c>
      <c r="D330" s="1">
        <v>4.1</v>
      </c>
      <c r="E330" s="1">
        <v>19374.0</v>
      </c>
      <c r="F330" s="10">
        <f t="shared" si="1"/>
        <v>4.333333333</v>
      </c>
      <c r="G330" s="10">
        <f t="array" ref="G330">index('Player ID'!C:C,match(E330,'Player ID'!B:B,0))</f>
        <v>621111</v>
      </c>
    </row>
    <row r="331">
      <c r="A331" s="76">
        <v>45745.0</v>
      </c>
      <c r="B331" s="1" t="s">
        <v>710</v>
      </c>
      <c r="C331" s="1" t="s">
        <v>56</v>
      </c>
      <c r="D331" s="1">
        <v>2.0</v>
      </c>
      <c r="E331" s="1">
        <v>19835.0</v>
      </c>
      <c r="F331" s="10">
        <f t="shared" si="1"/>
        <v>2</v>
      </c>
      <c r="G331" s="10">
        <f t="array" ref="G331">index('Player ID'!C:C,match(E331,'Player ID'!B:B,0))</f>
        <v>642520</v>
      </c>
    </row>
    <row r="332">
      <c r="A332" s="76">
        <v>45745.0</v>
      </c>
      <c r="B332" s="1" t="s">
        <v>134</v>
      </c>
      <c r="C332" s="1" t="s">
        <v>22</v>
      </c>
      <c r="D332" s="1">
        <v>2.0</v>
      </c>
      <c r="E332" s="1">
        <v>20349.0</v>
      </c>
      <c r="F332" s="10">
        <f t="shared" si="1"/>
        <v>2</v>
      </c>
      <c r="G332" s="10">
        <f t="array" ref="G332">index('Player ID'!C:C,match(E332,'Player ID'!B:B,0))</f>
        <v>677161</v>
      </c>
    </row>
    <row r="333">
      <c r="A333" s="76">
        <v>45745.0</v>
      </c>
      <c r="B333" s="1" t="s">
        <v>406</v>
      </c>
      <c r="C333" s="1" t="s">
        <v>22</v>
      </c>
      <c r="D333" s="1">
        <v>1.0</v>
      </c>
      <c r="E333" s="1">
        <v>20375.0</v>
      </c>
      <c r="F333" s="10">
        <f t="shared" si="1"/>
        <v>1</v>
      </c>
      <c r="G333" s="10">
        <f t="array" ref="G333">index('Player ID'!C:C,match(E333,'Player ID'!B:B,0))</f>
        <v>669711</v>
      </c>
    </row>
    <row r="334">
      <c r="A334" s="76">
        <v>45745.0</v>
      </c>
      <c r="B334" s="1" t="s">
        <v>268</v>
      </c>
      <c r="C334" s="1" t="s">
        <v>56</v>
      </c>
      <c r="D334" s="1">
        <v>1.0</v>
      </c>
      <c r="E334" s="1">
        <v>23363.0</v>
      </c>
      <c r="F334" s="10">
        <f t="shared" si="1"/>
        <v>1</v>
      </c>
      <c r="G334" s="10">
        <f t="array" ref="G334">index('Player ID'!C:C,match(E334,'Player ID'!B:B,0))</f>
        <v>676395</v>
      </c>
    </row>
    <row r="335">
      <c r="A335" s="76">
        <v>45745.0</v>
      </c>
      <c r="B335" s="1" t="s">
        <v>59</v>
      </c>
      <c r="C335" s="1" t="s">
        <v>39</v>
      </c>
      <c r="D335" s="1">
        <v>1.0</v>
      </c>
      <c r="E335" s="1">
        <v>14212.0</v>
      </c>
      <c r="F335" s="10">
        <f t="shared" si="1"/>
        <v>1</v>
      </c>
      <c r="G335" s="10">
        <f t="array" ref="G335">index('Player ID'!C:C,match(E335,'Player ID'!B:B,0))</f>
        <v>623352</v>
      </c>
    </row>
    <row r="336">
      <c r="A336" s="76">
        <v>45745.0</v>
      </c>
      <c r="B336" s="1" t="s">
        <v>210</v>
      </c>
      <c r="C336" s="1" t="s">
        <v>39</v>
      </c>
      <c r="D336" s="1">
        <v>1.0</v>
      </c>
      <c r="E336" s="1">
        <v>16609.0</v>
      </c>
      <c r="F336" s="10">
        <f t="shared" si="1"/>
        <v>1</v>
      </c>
      <c r="G336" s="10">
        <f t="array" ref="G336">index('Player ID'!C:C,match(E336,'Player ID'!B:B,0))</f>
        <v>650556</v>
      </c>
    </row>
    <row r="337">
      <c r="A337" s="76">
        <v>45745.0</v>
      </c>
      <c r="B337" s="1" t="s">
        <v>382</v>
      </c>
      <c r="C337" s="1" t="s">
        <v>51</v>
      </c>
      <c r="D337" s="1">
        <v>5.2</v>
      </c>
      <c r="E337" s="1">
        <v>19867.0</v>
      </c>
      <c r="F337" s="10">
        <f t="shared" si="1"/>
        <v>5.666666667</v>
      </c>
      <c r="G337" s="10">
        <f t="array" ref="G337">index('Player ID'!C:C,match(E337,'Player ID'!B:B,0))</f>
        <v>656288</v>
      </c>
    </row>
    <row r="338">
      <c r="A338" s="76">
        <v>45745.0</v>
      </c>
      <c r="B338" s="1" t="s">
        <v>50</v>
      </c>
      <c r="C338" s="1" t="s">
        <v>51</v>
      </c>
      <c r="D338" s="1">
        <v>0.2</v>
      </c>
      <c r="E338" s="1">
        <v>22175.0</v>
      </c>
      <c r="F338" s="10">
        <f t="shared" si="1"/>
        <v>0.6666666667</v>
      </c>
      <c r="G338" s="10">
        <f t="array" ref="G338">index('Player ID'!C:C,match(E338,'Player ID'!B:B,0))</f>
        <v>668820</v>
      </c>
    </row>
    <row r="339">
      <c r="A339" s="76">
        <v>45745.0</v>
      </c>
      <c r="B339" s="1" t="s">
        <v>712</v>
      </c>
      <c r="C339" s="1" t="s">
        <v>51</v>
      </c>
      <c r="D339" s="1">
        <v>1.2</v>
      </c>
      <c r="E339" s="1">
        <v>23313.0</v>
      </c>
      <c r="F339" s="10">
        <f t="shared" si="1"/>
        <v>1.666666667</v>
      </c>
      <c r="G339" s="10">
        <f t="array" ref="G339">index('Player ID'!C:C,match(E339,'Player ID'!B:B,0))</f>
        <v>676130</v>
      </c>
    </row>
    <row r="340">
      <c r="A340" s="76">
        <v>45745.0</v>
      </c>
      <c r="B340" s="1" t="s">
        <v>76</v>
      </c>
      <c r="C340" s="1" t="s">
        <v>39</v>
      </c>
      <c r="D340" s="1">
        <v>1.0</v>
      </c>
      <c r="E340" s="1">
        <v>25890.0</v>
      </c>
      <c r="F340" s="10">
        <f t="shared" si="1"/>
        <v>1</v>
      </c>
      <c r="G340" s="10">
        <f t="array" ref="G340">index('Player ID'!C:C,match(E340,'Player ID'!B:B,0))</f>
        <v>687911</v>
      </c>
    </row>
    <row r="341">
      <c r="A341" s="76">
        <v>45745.0</v>
      </c>
      <c r="B341" s="1" t="s">
        <v>371</v>
      </c>
      <c r="C341" s="1" t="s">
        <v>39</v>
      </c>
      <c r="D341" s="1">
        <v>6.0</v>
      </c>
      <c r="E341" s="1">
        <v>29921.0</v>
      </c>
      <c r="F341" s="10">
        <f t="shared" si="1"/>
        <v>6</v>
      </c>
      <c r="G341" s="10">
        <f t="array" ref="G341">index('Player ID'!C:C,match(E341,'Player ID'!B:B,0))</f>
        <v>681293</v>
      </c>
    </row>
    <row r="342">
      <c r="A342" s="76">
        <v>45745.0</v>
      </c>
      <c r="B342" s="1" t="s">
        <v>404</v>
      </c>
      <c r="C342" s="1" t="s">
        <v>26</v>
      </c>
      <c r="D342" s="1">
        <v>1.1</v>
      </c>
      <c r="E342" s="1">
        <v>14295.0</v>
      </c>
      <c r="F342" s="10">
        <f t="shared" si="1"/>
        <v>1.333333333</v>
      </c>
      <c r="G342" s="10">
        <f t="array" ref="G342">index('Player ID'!C:C,match(E342,'Player ID'!B:B,0))</f>
        <v>593974</v>
      </c>
    </row>
    <row r="343">
      <c r="A343" s="76">
        <v>45745.0</v>
      </c>
      <c r="B343" s="1" t="s">
        <v>319</v>
      </c>
      <c r="C343" s="1" t="s">
        <v>46</v>
      </c>
      <c r="D343" s="1">
        <v>0.2</v>
      </c>
      <c r="E343" s="1">
        <v>16258.0</v>
      </c>
      <c r="F343" s="10">
        <f t="shared" si="1"/>
        <v>0.6666666667</v>
      </c>
      <c r="G343" s="10">
        <f t="array" ref="G343">index('Player ID'!C:C,match(E343,'Player ID'!B:B,0))</f>
        <v>607481</v>
      </c>
    </row>
    <row r="344">
      <c r="A344" s="76">
        <v>45745.0</v>
      </c>
      <c r="B344" s="1" t="s">
        <v>346</v>
      </c>
      <c r="C344" s="1" t="s">
        <v>46</v>
      </c>
      <c r="D344" s="1">
        <v>1.0</v>
      </c>
      <c r="E344" s="1">
        <v>18403.0</v>
      </c>
      <c r="F344" s="10">
        <f t="shared" si="1"/>
        <v>1</v>
      </c>
      <c r="G344" s="10">
        <f t="array" ref="G344">index('Player ID'!C:C,match(E344,'Player ID'!B:B,0))</f>
        <v>660853</v>
      </c>
    </row>
    <row r="345">
      <c r="A345" s="76">
        <v>45745.0</v>
      </c>
      <c r="B345" s="1" t="s">
        <v>49</v>
      </c>
      <c r="C345" s="1" t="s">
        <v>26</v>
      </c>
      <c r="D345" s="1">
        <v>1.0</v>
      </c>
      <c r="E345" s="1">
        <v>20039.0</v>
      </c>
      <c r="F345" s="10">
        <f t="shared" si="1"/>
        <v>1</v>
      </c>
      <c r="G345" s="10">
        <f t="array" ref="G345">index('Player ID'!C:C,match(E345,'Player ID'!B:B,0))</f>
        <v>670970</v>
      </c>
    </row>
    <row r="346">
      <c r="A346" s="76">
        <v>45745.0</v>
      </c>
      <c r="B346" s="1" t="s">
        <v>688</v>
      </c>
      <c r="C346" s="1" t="s">
        <v>46</v>
      </c>
      <c r="D346" s="1">
        <v>0.1</v>
      </c>
      <c r="E346" s="1">
        <v>20271.0</v>
      </c>
      <c r="F346" s="10">
        <f t="shared" si="1"/>
        <v>0.3333333333</v>
      </c>
      <c r="G346" s="10">
        <f t="array" ref="G346">index('Player ID'!C:C,match(E346,'Player ID'!B:B,0))</f>
        <v>678226</v>
      </c>
    </row>
    <row r="347">
      <c r="A347" s="76">
        <v>45745.0</v>
      </c>
      <c r="B347" s="1" t="s">
        <v>713</v>
      </c>
      <c r="C347" s="1" t="s">
        <v>26</v>
      </c>
      <c r="D347" s="1">
        <v>6.0</v>
      </c>
      <c r="E347" s="1">
        <v>24719.0</v>
      </c>
      <c r="F347" s="10">
        <f t="shared" si="1"/>
        <v>6</v>
      </c>
      <c r="G347" s="10">
        <f t="array" ref="G347">index('Player ID'!C:C,match(E347,'Player ID'!B:B,0))</f>
        <v>681190</v>
      </c>
    </row>
    <row r="348">
      <c r="A348" s="76">
        <v>45745.0</v>
      </c>
      <c r="B348" s="1" t="s">
        <v>391</v>
      </c>
      <c r="C348" s="1" t="s">
        <v>26</v>
      </c>
      <c r="D348" s="1">
        <v>0.2</v>
      </c>
      <c r="E348" s="1">
        <v>29628.0</v>
      </c>
      <c r="F348" s="10">
        <f t="shared" si="1"/>
        <v>0.6666666667</v>
      </c>
      <c r="G348" s="10">
        <f t="array" ref="G348">index('Player ID'!C:C,match(E348,'Player ID'!B:B,0))</f>
        <v>689690</v>
      </c>
    </row>
    <row r="349">
      <c r="A349" s="76">
        <v>45745.0</v>
      </c>
      <c r="B349" s="1" t="s">
        <v>65</v>
      </c>
      <c r="C349" s="1" t="s">
        <v>46</v>
      </c>
      <c r="D349" s="1">
        <v>6.0</v>
      </c>
      <c r="E349" s="1">
        <v>31846.0</v>
      </c>
      <c r="F349" s="10">
        <f t="shared" si="1"/>
        <v>6</v>
      </c>
      <c r="G349" s="10">
        <f t="array" ref="G349">index('Player ID'!C:C,match(E349,'Player ID'!B:B,0))</f>
        <v>680885</v>
      </c>
    </row>
    <row r="350">
      <c r="A350" s="76">
        <v>45745.0</v>
      </c>
      <c r="B350" s="1" t="s">
        <v>460</v>
      </c>
      <c r="C350" s="1" t="s">
        <v>34</v>
      </c>
      <c r="D350" s="1">
        <v>1.0</v>
      </c>
      <c r="E350" s="1">
        <v>7005.0</v>
      </c>
      <c r="F350" s="10">
        <f t="shared" si="1"/>
        <v>1</v>
      </c>
      <c r="G350" s="10">
        <f t="array" ref="G350">index('Player ID'!C:C,match(E350,'Player ID'!B:B,0))</f>
        <v>519151</v>
      </c>
    </row>
    <row r="351">
      <c r="A351" s="76">
        <v>45745.0</v>
      </c>
      <c r="B351" s="1" t="s">
        <v>489</v>
      </c>
      <c r="C351" s="1" t="s">
        <v>64</v>
      </c>
      <c r="D351" s="1">
        <v>1.0</v>
      </c>
      <c r="E351" s="1">
        <v>17192.0</v>
      </c>
      <c r="F351" s="10">
        <f t="shared" si="1"/>
        <v>1</v>
      </c>
      <c r="G351" s="10">
        <f t="array" ref="G351">index('Player ID'!C:C,match(E351,'Player ID'!B:B,0))</f>
        <v>656222</v>
      </c>
    </row>
    <row r="352">
      <c r="A352" s="76">
        <v>45745.0</v>
      </c>
      <c r="B352" s="1" t="s">
        <v>714</v>
      </c>
      <c r="C352" s="1" t="s">
        <v>64</v>
      </c>
      <c r="D352" s="1">
        <v>1.0</v>
      </c>
      <c r="E352" s="1">
        <v>24453.0</v>
      </c>
      <c r="F352" s="10">
        <f t="shared" si="1"/>
        <v>1</v>
      </c>
      <c r="G352" s="10">
        <f t="array" ref="G352">index('Player ID'!C:C,match(E352,'Player ID'!B:B,0))</f>
        <v>679885</v>
      </c>
    </row>
    <row r="353">
      <c r="A353" s="76">
        <v>45745.0</v>
      </c>
      <c r="B353" s="1" t="s">
        <v>388</v>
      </c>
      <c r="C353" s="1" t="s">
        <v>34</v>
      </c>
      <c r="D353" s="1">
        <v>1.0</v>
      </c>
      <c r="E353" s="1">
        <v>26413.0</v>
      </c>
      <c r="F353" s="10">
        <f t="shared" si="1"/>
        <v>1</v>
      </c>
      <c r="G353" s="10">
        <f t="array" ref="G353">index('Player ID'!C:C,match(E353,'Player ID'!B:B,0))</f>
        <v>687863</v>
      </c>
    </row>
    <row r="354">
      <c r="A354" s="76">
        <v>45745.0</v>
      </c>
      <c r="B354" s="1" t="s">
        <v>598</v>
      </c>
      <c r="C354" s="1" t="s">
        <v>64</v>
      </c>
      <c r="D354" s="1">
        <v>1.0</v>
      </c>
      <c r="E354" s="1">
        <v>27477.0</v>
      </c>
      <c r="F354" s="10">
        <f t="shared" si="1"/>
        <v>1</v>
      </c>
      <c r="G354" s="10">
        <f t="array" ref="G354">index('Player ID'!C:C,match(E354,'Player ID'!B:B,0))</f>
        <v>686826</v>
      </c>
    </row>
    <row r="355">
      <c r="A355" s="76">
        <v>45745.0</v>
      </c>
      <c r="B355" s="1" t="s">
        <v>263</v>
      </c>
      <c r="C355" s="1" t="s">
        <v>64</v>
      </c>
      <c r="D355" s="1">
        <v>6.0</v>
      </c>
      <c r="E355" s="1">
        <v>27782.0</v>
      </c>
      <c r="F355" s="10">
        <f t="shared" si="1"/>
        <v>6</v>
      </c>
      <c r="G355" s="10">
        <f t="array" ref="G355">index('Player ID'!C:C,match(E355,'Player ID'!B:B,0))</f>
        <v>694297</v>
      </c>
    </row>
    <row r="356">
      <c r="A356" s="76">
        <v>45745.0</v>
      </c>
      <c r="B356" s="1" t="s">
        <v>67</v>
      </c>
      <c r="C356" s="1" t="s">
        <v>34</v>
      </c>
      <c r="D356" s="1">
        <v>7.0</v>
      </c>
      <c r="E356" s="1">
        <v>33829.0</v>
      </c>
      <c r="F356" s="10">
        <f t="shared" si="1"/>
        <v>7</v>
      </c>
      <c r="G356" s="10">
        <f t="array" ref="G356">index('Player ID'!C:C,match(E356,'Player ID'!B:B,0))</f>
        <v>684007</v>
      </c>
    </row>
    <row r="357">
      <c r="A357" s="76">
        <v>45745.0</v>
      </c>
      <c r="B357" s="1" t="s">
        <v>595</v>
      </c>
      <c r="C357" s="1" t="s">
        <v>33</v>
      </c>
      <c r="D357" s="1">
        <v>2.0</v>
      </c>
      <c r="E357" s="1">
        <v>6984.0</v>
      </c>
      <c r="F357" s="10">
        <f t="shared" si="1"/>
        <v>2</v>
      </c>
      <c r="G357" s="10">
        <f t="array" ref="G357">index('Player ID'!C:C,match(E357,'Player ID'!B:B,0))</f>
        <v>472610</v>
      </c>
    </row>
    <row r="358">
      <c r="A358" s="76">
        <v>45745.0</v>
      </c>
      <c r="B358" s="1" t="s">
        <v>392</v>
      </c>
      <c r="C358" s="1" t="s">
        <v>33</v>
      </c>
      <c r="D358" s="1">
        <v>1.0</v>
      </c>
      <c r="E358" s="1">
        <v>9073.0</v>
      </c>
      <c r="F358" s="10">
        <f t="shared" si="1"/>
        <v>1</v>
      </c>
      <c r="G358" s="10">
        <f t="array" ref="G358">index('Player ID'!C:C,match(E358,'Player ID'!B:B,0))</f>
        <v>489446</v>
      </c>
    </row>
    <row r="359">
      <c r="A359" s="76">
        <v>45745.0</v>
      </c>
      <c r="B359" s="1" t="s">
        <v>630</v>
      </c>
      <c r="C359" s="1" t="s">
        <v>33</v>
      </c>
      <c r="D359" s="1">
        <v>1.0</v>
      </c>
      <c r="E359" s="1">
        <v>12572.0</v>
      </c>
      <c r="F359" s="10">
        <f t="shared" si="1"/>
        <v>1</v>
      </c>
      <c r="G359" s="10">
        <f t="array" ref="G359">index('Player ID'!C:C,match(E359,'Player ID'!B:B,0))</f>
        <v>595014</v>
      </c>
    </row>
    <row r="360">
      <c r="A360" s="76">
        <v>45745.0</v>
      </c>
      <c r="B360" s="1" t="s">
        <v>310</v>
      </c>
      <c r="C360" s="1" t="s">
        <v>33</v>
      </c>
      <c r="D360" s="1">
        <v>1.0</v>
      </c>
      <c r="E360" s="1">
        <v>14706.0</v>
      </c>
      <c r="F360" s="10">
        <f t="shared" si="1"/>
        <v>1</v>
      </c>
      <c r="G360" s="10">
        <f t="array" ref="G360">index('Player ID'!C:C,match(E360,'Player ID'!B:B,0))</f>
        <v>607455</v>
      </c>
    </row>
    <row r="361">
      <c r="A361" s="76">
        <v>45745.0</v>
      </c>
      <c r="B361" s="1" t="s">
        <v>715</v>
      </c>
      <c r="C361" s="1" t="s">
        <v>62</v>
      </c>
      <c r="D361" s="1">
        <v>2.0</v>
      </c>
      <c r="E361" s="1">
        <v>18498.0</v>
      </c>
      <c r="F361" s="10">
        <f t="shared" si="1"/>
        <v>2</v>
      </c>
      <c r="G361" s="10">
        <f t="array" ref="G361">index('Player ID'!C:C,match(E361,'Player ID'!B:B,0))</f>
        <v>628317</v>
      </c>
    </row>
    <row r="362">
      <c r="A362" s="76">
        <v>45745.0</v>
      </c>
      <c r="B362" s="1" t="s">
        <v>419</v>
      </c>
      <c r="C362" s="1" t="s">
        <v>62</v>
      </c>
      <c r="D362" s="1">
        <v>4.2</v>
      </c>
      <c r="E362" s="1">
        <v>24968.0</v>
      </c>
      <c r="F362" s="10">
        <f t="shared" si="1"/>
        <v>4.666666667</v>
      </c>
      <c r="G362" s="10">
        <f t="array" ref="G362">index('Player ID'!C:C,match(E362,'Player ID'!B:B,0))</f>
        <v>681857</v>
      </c>
    </row>
    <row r="363">
      <c r="A363" s="76">
        <v>45745.0</v>
      </c>
      <c r="B363" s="1" t="s">
        <v>104</v>
      </c>
      <c r="C363" s="1" t="s">
        <v>33</v>
      </c>
      <c r="D363" s="1">
        <v>1.0</v>
      </c>
      <c r="E363" s="1">
        <v>30085.0</v>
      </c>
      <c r="F363" s="10">
        <f t="shared" si="1"/>
        <v>1</v>
      </c>
      <c r="G363" s="10">
        <f t="array" ref="G363">index('Player ID'!C:C,match(E363,'Player ID'!B:B,0))</f>
        <v>676508</v>
      </c>
    </row>
    <row r="364">
      <c r="A364" s="76">
        <v>45745.0</v>
      </c>
      <c r="B364" s="1" t="s">
        <v>487</v>
      </c>
      <c r="C364" s="1" t="s">
        <v>62</v>
      </c>
      <c r="D364" s="1">
        <v>1.1</v>
      </c>
      <c r="E364" s="1">
        <v>30133.0</v>
      </c>
      <c r="F364" s="10">
        <f t="shared" si="1"/>
        <v>1.333333333</v>
      </c>
      <c r="G364" s="10">
        <f t="array" ref="G364">index('Player ID'!C:C,match(E364,'Player ID'!B:B,0))</f>
        <v>676428</v>
      </c>
    </row>
    <row r="365">
      <c r="A365" s="76">
        <v>45745.0</v>
      </c>
      <c r="B365" s="1" t="s">
        <v>206</v>
      </c>
      <c r="C365" s="1" t="s">
        <v>33</v>
      </c>
      <c r="D365" s="1">
        <v>1.1</v>
      </c>
      <c r="E365" s="1">
        <v>30249.0</v>
      </c>
      <c r="F365" s="10">
        <f t="shared" si="1"/>
        <v>1.333333333</v>
      </c>
      <c r="G365" s="10">
        <f t="array" ref="G365">index('Player ID'!C:C,match(E365,'Player ID'!B:B,0))</f>
        <v>676263</v>
      </c>
    </row>
    <row r="366">
      <c r="A366" s="76">
        <v>45745.0</v>
      </c>
      <c r="B366" s="1" t="s">
        <v>522</v>
      </c>
      <c r="C366" s="1" t="s">
        <v>33</v>
      </c>
      <c r="D366" s="1">
        <v>1.2</v>
      </c>
      <c r="E366" s="1">
        <v>35323.0</v>
      </c>
      <c r="F366" s="10">
        <f t="shared" si="1"/>
        <v>1.666666667</v>
      </c>
      <c r="G366" s="10">
        <f t="array" ref="G366">index('Player ID'!C:C,match(E366,'Player ID'!B:B,0))</f>
        <v>808963</v>
      </c>
    </row>
    <row r="367">
      <c r="A367" s="76">
        <v>45745.0</v>
      </c>
      <c r="B367" s="1" t="s">
        <v>53</v>
      </c>
      <c r="C367" s="1" t="s">
        <v>37</v>
      </c>
      <c r="D367" s="1">
        <v>0.2</v>
      </c>
      <c r="E367" s="1">
        <v>17170.0</v>
      </c>
      <c r="F367" s="10">
        <f t="shared" si="1"/>
        <v>0.6666666667</v>
      </c>
      <c r="G367" s="10">
        <f t="array" ref="G367">index('Player ID'!C:C,match(E367,'Player ID'!B:B,0))</f>
        <v>642100</v>
      </c>
    </row>
    <row r="368">
      <c r="A368" s="76">
        <v>45745.0</v>
      </c>
      <c r="B368" s="1" t="s">
        <v>505</v>
      </c>
      <c r="C368" s="1" t="s">
        <v>52</v>
      </c>
      <c r="D368" s="1">
        <v>1.0</v>
      </c>
      <c r="E368" s="1">
        <v>19481.0</v>
      </c>
      <c r="F368" s="10">
        <f t="shared" si="1"/>
        <v>1</v>
      </c>
      <c r="G368" s="10">
        <f t="array" ref="G368">index('Player ID'!C:C,match(E368,'Player ID'!B:B,0))</f>
        <v>621053</v>
      </c>
    </row>
    <row r="369">
      <c r="A369" s="76">
        <v>45745.0</v>
      </c>
      <c r="B369" s="1" t="s">
        <v>157</v>
      </c>
      <c r="C369" s="1" t="s">
        <v>37</v>
      </c>
      <c r="D369" s="1">
        <v>1.2</v>
      </c>
      <c r="E369" s="1">
        <v>20997.0</v>
      </c>
      <c r="F369" s="10">
        <f t="shared" si="1"/>
        <v>1.666666667</v>
      </c>
      <c r="G369" s="10">
        <f t="array" ref="G369">index('Player ID'!C:C,match(E369,'Player ID'!B:B,0))</f>
        <v>660825</v>
      </c>
    </row>
    <row r="370">
      <c r="A370" s="76">
        <v>45745.0</v>
      </c>
      <c r="B370" s="1" t="s">
        <v>227</v>
      </c>
      <c r="C370" s="1" t="s">
        <v>52</v>
      </c>
      <c r="D370" s="1">
        <v>0.1</v>
      </c>
      <c r="E370" s="1">
        <v>21520.0</v>
      </c>
      <c r="F370" s="10">
        <f t="shared" si="1"/>
        <v>0.3333333333</v>
      </c>
      <c r="G370" s="10">
        <f t="array" ref="G370">index('Player ID'!C:C,match(E370,'Player ID'!B:B,0))</f>
        <v>663687</v>
      </c>
    </row>
    <row r="371">
      <c r="A371" s="76">
        <v>45745.0</v>
      </c>
      <c r="B371" s="1" t="s">
        <v>454</v>
      </c>
      <c r="C371" s="1" t="s">
        <v>52</v>
      </c>
      <c r="D371" s="1">
        <v>5.0</v>
      </c>
      <c r="E371" s="1">
        <v>23150.0</v>
      </c>
      <c r="F371" s="10">
        <f t="shared" si="1"/>
        <v>5</v>
      </c>
      <c r="G371" s="10">
        <f t="array" ref="G371">index('Player ID'!C:C,match(E371,'Player ID'!B:B,0))</f>
        <v>674370</v>
      </c>
    </row>
    <row r="372">
      <c r="A372" s="76">
        <v>45745.0</v>
      </c>
      <c r="B372" s="1" t="s">
        <v>683</v>
      </c>
      <c r="C372" s="1" t="s">
        <v>37</v>
      </c>
      <c r="D372" s="1">
        <v>1.0</v>
      </c>
      <c r="E372" s="1">
        <v>23307.0</v>
      </c>
      <c r="F372" s="10">
        <f t="shared" si="1"/>
        <v>1</v>
      </c>
      <c r="G372" s="10">
        <f t="array" ref="G372">index('Player ID'!C:C,match(E372,'Player ID'!B:B,0))</f>
        <v>676092</v>
      </c>
    </row>
    <row r="373">
      <c r="A373" s="76">
        <v>45745.0</v>
      </c>
      <c r="B373" s="1" t="s">
        <v>717</v>
      </c>
      <c r="C373" s="1" t="s">
        <v>52</v>
      </c>
      <c r="D373" s="1">
        <v>1.2</v>
      </c>
      <c r="E373" s="1">
        <v>27908.0</v>
      </c>
      <c r="F373" s="10">
        <f t="shared" si="1"/>
        <v>1.666666667</v>
      </c>
      <c r="G373" s="10">
        <f t="array" ref="G373">index('Player ID'!C:C,match(E373,'Player ID'!B:B,0))</f>
        <v>668716</v>
      </c>
    </row>
    <row r="374">
      <c r="A374" s="76">
        <v>45745.0</v>
      </c>
      <c r="B374" s="1" t="s">
        <v>343</v>
      </c>
      <c r="C374" s="1" t="s">
        <v>37</v>
      </c>
      <c r="D374" s="1">
        <v>5.2</v>
      </c>
      <c r="E374" s="1">
        <v>29837.0</v>
      </c>
      <c r="F374" s="10">
        <f t="shared" si="1"/>
        <v>5.666666667</v>
      </c>
      <c r="G374" s="10">
        <f t="array" ref="G374">index('Player ID'!C:C,match(E374,'Player ID'!B:B,0))</f>
        <v>682243</v>
      </c>
    </row>
    <row r="375">
      <c r="A375" s="76">
        <v>45745.0</v>
      </c>
      <c r="B375" s="1" t="s">
        <v>286</v>
      </c>
      <c r="C375" s="1" t="s">
        <v>52</v>
      </c>
      <c r="D375" s="1">
        <v>1.0</v>
      </c>
      <c r="E375" s="1">
        <v>31757.0</v>
      </c>
      <c r="F375" s="10">
        <f t="shared" si="1"/>
        <v>1</v>
      </c>
      <c r="G375" s="10">
        <f t="array" ref="G375">index('Player ID'!C:C,match(E375,'Player ID'!B:B,0))</f>
        <v>695243</v>
      </c>
    </row>
    <row r="376">
      <c r="A376" s="76">
        <v>45746.0</v>
      </c>
      <c r="B376" s="1" t="s">
        <v>182</v>
      </c>
      <c r="C376" s="1" t="s">
        <v>45</v>
      </c>
      <c r="D376" s="1">
        <v>1.0</v>
      </c>
      <c r="E376" s="1">
        <v>13799.0</v>
      </c>
      <c r="F376" s="10">
        <f t="shared" si="1"/>
        <v>1</v>
      </c>
      <c r="G376" s="10">
        <f t="array" ref="G376">index('Player ID'!C:C,match(E376,'Player ID'!B:B,0))</f>
        <v>621381</v>
      </c>
    </row>
    <row r="377">
      <c r="A377" s="76">
        <v>45746.0</v>
      </c>
      <c r="B377" s="1" t="s">
        <v>719</v>
      </c>
      <c r="C377" s="1" t="s">
        <v>80</v>
      </c>
      <c r="D377" s="1">
        <v>1.0</v>
      </c>
      <c r="E377" s="1">
        <v>14527.0</v>
      </c>
      <c r="F377" s="10">
        <f t="shared" si="1"/>
        <v>1</v>
      </c>
      <c r="G377" s="10">
        <f t="array" ref="G377">index('Player ID'!C:C,match(E377,'Player ID'!B:B,0))</f>
        <v>605347</v>
      </c>
    </row>
    <row r="378">
      <c r="A378" s="76">
        <v>45746.0</v>
      </c>
      <c r="B378" s="1" t="s">
        <v>699</v>
      </c>
      <c r="C378" s="1" t="s">
        <v>45</v>
      </c>
      <c r="D378" s="1">
        <v>0.2</v>
      </c>
      <c r="E378" s="1">
        <v>14552.0</v>
      </c>
      <c r="F378" s="10">
        <f t="shared" si="1"/>
        <v>0.6666666667</v>
      </c>
      <c r="G378" s="10">
        <f t="array" ref="G378">index('Player ID'!C:C,match(E378,'Player ID'!B:B,0))</f>
        <v>614179</v>
      </c>
    </row>
    <row r="379">
      <c r="A379" s="76">
        <v>45746.0</v>
      </c>
      <c r="B379" s="1" t="s">
        <v>139</v>
      </c>
      <c r="C379" s="1" t="s">
        <v>80</v>
      </c>
      <c r="D379" s="1">
        <v>1.0</v>
      </c>
      <c r="E379" s="1">
        <v>15009.0</v>
      </c>
      <c r="F379" s="10">
        <f t="shared" si="1"/>
        <v>1</v>
      </c>
      <c r="G379" s="10">
        <f t="array" ref="G379">index('Player ID'!C:C,match(E379,'Player ID'!B:B,0))</f>
        <v>640448</v>
      </c>
    </row>
    <row r="380">
      <c r="A380" s="76">
        <v>45746.0</v>
      </c>
      <c r="B380" s="1" t="s">
        <v>98</v>
      </c>
      <c r="C380" s="1" t="s">
        <v>45</v>
      </c>
      <c r="D380" s="1">
        <v>5.1</v>
      </c>
      <c r="E380" s="1">
        <v>16149.0</v>
      </c>
      <c r="F380" s="10">
        <f t="shared" si="1"/>
        <v>5.333333333</v>
      </c>
      <c r="G380" s="10">
        <f t="array" ref="G380">index('Player ID'!C:C,match(E380,'Player ID'!B:B,0))</f>
        <v>605400</v>
      </c>
    </row>
    <row r="381">
      <c r="A381" s="76">
        <v>45746.0</v>
      </c>
      <c r="B381" s="1" t="s">
        <v>138</v>
      </c>
      <c r="C381" s="1" t="s">
        <v>45</v>
      </c>
      <c r="D381" s="1">
        <v>1.0</v>
      </c>
      <c r="E381" s="1">
        <v>16990.0</v>
      </c>
      <c r="F381" s="10">
        <f t="shared" si="1"/>
        <v>1</v>
      </c>
      <c r="G381" s="10">
        <f t="array" ref="G381">index('Player ID'!C:C,match(E381,'Player ID'!B:B,0))</f>
        <v>621383</v>
      </c>
    </row>
    <row r="382">
      <c r="A382" s="76">
        <v>45746.0</v>
      </c>
      <c r="B382" s="1" t="s">
        <v>86</v>
      </c>
      <c r="C382" s="1" t="s">
        <v>80</v>
      </c>
      <c r="D382" s="1">
        <v>0.2</v>
      </c>
      <c r="E382" s="1">
        <v>24017.0</v>
      </c>
      <c r="F382" s="10">
        <f t="shared" si="1"/>
        <v>0.6666666667</v>
      </c>
      <c r="G382" s="10">
        <f t="array" ref="G382">index('Player ID'!C:C,match(E382,'Player ID'!B:B,0))</f>
        <v>678606</v>
      </c>
    </row>
    <row r="383">
      <c r="A383" s="76">
        <v>45746.0</v>
      </c>
      <c r="B383" s="1" t="s">
        <v>330</v>
      </c>
      <c r="C383" s="1" t="s">
        <v>80</v>
      </c>
      <c r="D383" s="1">
        <v>6.1</v>
      </c>
      <c r="E383" s="1">
        <v>27636.0</v>
      </c>
      <c r="F383" s="10">
        <f t="shared" si="1"/>
        <v>6.333333333</v>
      </c>
      <c r="G383" s="10">
        <f t="array" ref="G383">index('Player ID'!C:C,match(E383,'Player ID'!B:B,0))</f>
        <v>680730</v>
      </c>
    </row>
    <row r="384">
      <c r="A384" s="76">
        <v>45746.0</v>
      </c>
      <c r="B384" s="1" t="s">
        <v>437</v>
      </c>
      <c r="C384" s="1" t="s">
        <v>80</v>
      </c>
      <c r="D384" s="1">
        <v>0.0</v>
      </c>
      <c r="E384" s="1">
        <v>31972.0</v>
      </c>
      <c r="F384" s="10">
        <f t="shared" si="1"/>
        <v>0</v>
      </c>
      <c r="G384" s="10">
        <f t="array" ref="G384">index('Player ID'!C:C,match(E384,'Player ID'!B:B,0))</f>
        <v>695418</v>
      </c>
    </row>
    <row r="385">
      <c r="A385" s="76">
        <v>45746.0</v>
      </c>
      <c r="B385" s="1" t="s">
        <v>422</v>
      </c>
      <c r="C385" s="1" t="s">
        <v>58</v>
      </c>
      <c r="D385" s="1">
        <v>1.0</v>
      </c>
      <c r="E385" s="1">
        <v>7048.0</v>
      </c>
      <c r="F385" s="10">
        <f t="shared" si="1"/>
        <v>1</v>
      </c>
      <c r="G385" s="10">
        <f t="array" ref="G385">index('Player ID'!C:C,match(E385,'Player ID'!B:B,0))</f>
        <v>518585</v>
      </c>
    </row>
    <row r="386">
      <c r="A386" s="76">
        <v>45746.0</v>
      </c>
      <c r="B386" s="1" t="s">
        <v>383</v>
      </c>
      <c r="C386" s="1" t="s">
        <v>58</v>
      </c>
      <c r="D386" s="1">
        <v>4.2</v>
      </c>
      <c r="E386" s="1">
        <v>13431.0</v>
      </c>
      <c r="F386" s="10">
        <f t="shared" si="1"/>
        <v>4.666666667</v>
      </c>
      <c r="G386" s="10">
        <f t="array" ref="G386">index('Player ID'!C:C,match(E386,'Player ID'!B:B,0))</f>
        <v>573186</v>
      </c>
    </row>
    <row r="387">
      <c r="A387" s="76">
        <v>45746.0</v>
      </c>
      <c r="B387" s="1" t="s">
        <v>634</v>
      </c>
      <c r="C387" s="1" t="s">
        <v>14</v>
      </c>
      <c r="D387" s="1">
        <v>0.2</v>
      </c>
      <c r="E387" s="1">
        <v>14332.0</v>
      </c>
      <c r="F387" s="10">
        <f t="shared" si="1"/>
        <v>0.6666666667</v>
      </c>
      <c r="G387" s="10">
        <f t="array" ref="G387">index('Player ID'!C:C,match(E387,'Player ID'!B:B,0))</f>
        <v>606303</v>
      </c>
    </row>
    <row r="388">
      <c r="A388" s="76">
        <v>45746.0</v>
      </c>
      <c r="B388" s="1" t="s">
        <v>689</v>
      </c>
      <c r="C388" s="1" t="s">
        <v>14</v>
      </c>
      <c r="D388" s="1">
        <v>1.0</v>
      </c>
      <c r="E388" s="1">
        <v>15194.0</v>
      </c>
      <c r="F388" s="10">
        <f t="shared" si="1"/>
        <v>1</v>
      </c>
      <c r="G388" s="10">
        <f t="array" ref="G388">index('Player ID'!C:C,match(E388,'Player ID'!B:B,0))</f>
        <v>641343</v>
      </c>
    </row>
    <row r="389">
      <c r="A389" s="76">
        <v>45746.0</v>
      </c>
      <c r="B389" s="1" t="s">
        <v>467</v>
      </c>
      <c r="C389" s="1" t="s">
        <v>58</v>
      </c>
      <c r="D389" s="1">
        <v>1.0</v>
      </c>
      <c r="E389" s="1">
        <v>15551.0</v>
      </c>
      <c r="F389" s="10">
        <f t="shared" si="1"/>
        <v>1</v>
      </c>
      <c r="G389" s="10">
        <f t="array" ref="G389">index('Player ID'!C:C,match(E389,'Player ID'!B:B,0))</f>
        <v>643410</v>
      </c>
    </row>
    <row r="390">
      <c r="A390" s="76">
        <v>45746.0</v>
      </c>
      <c r="B390" s="1" t="s">
        <v>192</v>
      </c>
      <c r="C390" s="1" t="s">
        <v>58</v>
      </c>
      <c r="D390" s="1">
        <v>1.0</v>
      </c>
      <c r="E390" s="1">
        <v>16502.0</v>
      </c>
      <c r="F390" s="10">
        <f t="shared" si="1"/>
        <v>1</v>
      </c>
      <c r="G390" s="10">
        <f t="array" ref="G390">index('Player ID'!C:C,match(E390,'Player ID'!B:B,0))</f>
        <v>642232</v>
      </c>
    </row>
    <row r="391">
      <c r="A391" s="76">
        <v>45746.0</v>
      </c>
      <c r="B391" s="1" t="s">
        <v>69</v>
      </c>
      <c r="C391" s="1" t="s">
        <v>58</v>
      </c>
      <c r="D391" s="1">
        <v>1.1</v>
      </c>
      <c r="E391" s="1">
        <v>16814.0</v>
      </c>
      <c r="F391" s="10">
        <f t="shared" si="1"/>
        <v>1.333333333</v>
      </c>
      <c r="G391" s="10">
        <f t="array" ref="G391">index('Player ID'!C:C,match(E391,'Player ID'!B:B,0))</f>
        <v>657612</v>
      </c>
    </row>
    <row r="392">
      <c r="A392" s="76">
        <v>45746.0</v>
      </c>
      <c r="B392" s="1" t="s">
        <v>13</v>
      </c>
      <c r="C392" s="1" t="s">
        <v>14</v>
      </c>
      <c r="D392" s="1">
        <v>0.1</v>
      </c>
      <c r="E392" s="1">
        <v>17722.0</v>
      </c>
      <c r="F392" s="10">
        <f t="shared" si="1"/>
        <v>0.3333333333</v>
      </c>
      <c r="G392" s="10">
        <f t="array" ref="G392">index('Player ID'!C:C,match(E392,'Player ID'!B:B,0))</f>
        <v>656730</v>
      </c>
    </row>
    <row r="393">
      <c r="A393" s="76">
        <v>45746.0</v>
      </c>
      <c r="B393" s="1" t="s">
        <v>187</v>
      </c>
      <c r="C393" s="1" t="s">
        <v>14</v>
      </c>
      <c r="D393" s="1">
        <v>2.1</v>
      </c>
      <c r="E393" s="1">
        <v>17735.0</v>
      </c>
      <c r="F393" s="10">
        <f t="shared" si="1"/>
        <v>2.333333333</v>
      </c>
      <c r="G393" s="10">
        <f t="array" ref="G393">index('Player ID'!C:C,match(E393,'Player ID'!B:B,0))</f>
        <v>641302</v>
      </c>
    </row>
    <row r="394">
      <c r="A394" s="76">
        <v>45746.0</v>
      </c>
      <c r="B394" s="1" t="s">
        <v>491</v>
      </c>
      <c r="C394" s="1" t="s">
        <v>14</v>
      </c>
      <c r="D394" s="1">
        <v>3.0</v>
      </c>
      <c r="E394" s="1">
        <v>19479.0</v>
      </c>
      <c r="F394" s="10">
        <f t="shared" si="1"/>
        <v>3</v>
      </c>
      <c r="G394" s="10">
        <f t="array" ref="G394">index('Player ID'!C:C,match(E394,'Player ID'!B:B,0))</f>
        <v>650644</v>
      </c>
    </row>
    <row r="395">
      <c r="A395" s="76">
        <v>45746.0</v>
      </c>
      <c r="B395" s="1" t="s">
        <v>418</v>
      </c>
      <c r="C395" s="1" t="s">
        <v>14</v>
      </c>
      <c r="D395" s="1">
        <v>0.2</v>
      </c>
      <c r="E395" s="1">
        <v>27517.0</v>
      </c>
      <c r="F395" s="10">
        <f t="shared" si="1"/>
        <v>0.6666666667</v>
      </c>
      <c r="G395" s="10">
        <f t="array" ref="G395">index('Player ID'!C:C,match(E395,'Player ID'!B:B,0))</f>
        <v>657649</v>
      </c>
    </row>
    <row r="396">
      <c r="A396" s="76">
        <v>45746.0</v>
      </c>
      <c r="B396" s="1" t="s">
        <v>456</v>
      </c>
      <c r="C396" s="1" t="s">
        <v>40</v>
      </c>
      <c r="D396" s="1">
        <v>6.0</v>
      </c>
      <c r="E396" s="1">
        <v>12304.0</v>
      </c>
      <c r="F396" s="10">
        <f t="shared" si="1"/>
        <v>6</v>
      </c>
      <c r="G396" s="10">
        <f t="array" ref="G396">index('Player ID'!C:C,match(E396,'Player ID'!B:B,0))</f>
        <v>605135</v>
      </c>
    </row>
    <row r="397">
      <c r="A397" s="76">
        <v>45746.0</v>
      </c>
      <c r="B397" s="1" t="s">
        <v>723</v>
      </c>
      <c r="C397" s="1" t="s">
        <v>68</v>
      </c>
      <c r="D397" s="1">
        <v>1.2</v>
      </c>
      <c r="E397" s="1">
        <v>13528.0</v>
      </c>
      <c r="F397" s="10">
        <f t="shared" si="1"/>
        <v>1.666666667</v>
      </c>
      <c r="G397" s="10">
        <f t="array" ref="G397">index('Player ID'!C:C,match(E397,'Player ID'!B:B,0))</f>
        <v>621199</v>
      </c>
    </row>
    <row r="398">
      <c r="A398" s="76">
        <v>45746.0</v>
      </c>
      <c r="B398" s="1" t="s">
        <v>311</v>
      </c>
      <c r="C398" s="1" t="s">
        <v>40</v>
      </c>
      <c r="D398" s="1">
        <v>1.0</v>
      </c>
      <c r="E398" s="1">
        <v>17432.0</v>
      </c>
      <c r="F398" s="10">
        <f t="shared" si="1"/>
        <v>1</v>
      </c>
      <c r="G398" s="10">
        <f t="array" ref="G398">index('Player ID'!C:C,match(E398,'Player ID'!B:B,0))</f>
        <v>656546</v>
      </c>
    </row>
    <row r="399">
      <c r="A399" s="76">
        <v>45746.0</v>
      </c>
      <c r="B399" s="1" t="s">
        <v>675</v>
      </c>
      <c r="C399" s="1" t="s">
        <v>68</v>
      </c>
      <c r="D399" s="1">
        <v>0.2</v>
      </c>
      <c r="E399" s="1">
        <v>19614.0</v>
      </c>
      <c r="F399" s="10">
        <f t="shared" si="1"/>
        <v>0.6666666667</v>
      </c>
      <c r="G399" s="10">
        <f t="array" ref="G399">index('Player ID'!C:C,match(E399,'Player ID'!B:B,0))</f>
        <v>672335</v>
      </c>
    </row>
    <row r="400">
      <c r="A400" s="76">
        <v>45746.0</v>
      </c>
      <c r="B400" s="1" t="s">
        <v>240</v>
      </c>
      <c r="C400" s="1" t="s">
        <v>68</v>
      </c>
      <c r="D400" s="1">
        <v>1.2</v>
      </c>
      <c r="E400" s="1">
        <v>19804.0</v>
      </c>
      <c r="F400" s="10">
        <f t="shared" si="1"/>
        <v>1.666666667</v>
      </c>
      <c r="G400" s="10">
        <f t="array" ref="G400">index('Player ID'!C:C,match(E400,'Player ID'!B:B,0))</f>
        <v>641329</v>
      </c>
    </row>
    <row r="401">
      <c r="A401" s="76">
        <v>45746.0</v>
      </c>
      <c r="B401" s="1" t="s">
        <v>395</v>
      </c>
      <c r="C401" s="1" t="s">
        <v>40</v>
      </c>
      <c r="D401" s="1">
        <v>1.0</v>
      </c>
      <c r="E401" s="1">
        <v>21574.0</v>
      </c>
      <c r="F401" s="10">
        <f t="shared" si="1"/>
        <v>1</v>
      </c>
      <c r="G401" s="10">
        <f t="array" ref="G401">index('Player ID'!C:C,match(E401,'Player ID'!B:B,0))</f>
        <v>663893</v>
      </c>
    </row>
    <row r="402">
      <c r="A402" s="76">
        <v>45746.0</v>
      </c>
      <c r="B402" s="1" t="s">
        <v>427</v>
      </c>
      <c r="C402" s="1" t="s">
        <v>40</v>
      </c>
      <c r="D402" s="1">
        <v>1.0</v>
      </c>
      <c r="E402" s="1">
        <v>33838.0</v>
      </c>
      <c r="F402" s="10">
        <f t="shared" si="1"/>
        <v>1</v>
      </c>
      <c r="G402" s="10">
        <f t="array" ref="G402">index('Player ID'!C:C,match(E402,'Player ID'!B:B,0))</f>
        <v>684320</v>
      </c>
    </row>
    <row r="403">
      <c r="A403" s="76">
        <v>45746.0</v>
      </c>
      <c r="B403" s="1" t="s">
        <v>158</v>
      </c>
      <c r="C403" s="1" t="s">
        <v>68</v>
      </c>
      <c r="D403" s="1">
        <v>4.0</v>
      </c>
      <c r="E403" s="1">
        <v>35321.0</v>
      </c>
      <c r="F403" s="10">
        <f t="shared" si="1"/>
        <v>4</v>
      </c>
      <c r="G403" s="10">
        <f t="array" ref="G403">index('Player ID'!C:C,match(E403,'Player ID'!B:B,0))</f>
        <v>608372</v>
      </c>
    </row>
    <row r="404">
      <c r="A404" s="76">
        <v>45746.0</v>
      </c>
      <c r="B404" s="1" t="s">
        <v>303</v>
      </c>
      <c r="C404" s="1" t="s">
        <v>31</v>
      </c>
      <c r="D404" s="1">
        <v>5.1</v>
      </c>
      <c r="E404" s="1">
        <v>11486.0</v>
      </c>
      <c r="F404" s="10">
        <f t="shared" si="1"/>
        <v>5.333333333</v>
      </c>
      <c r="G404" s="10">
        <f t="array" ref="G404">index('Player ID'!C:C,match(E404,'Player ID'!B:B,0))</f>
        <v>592662</v>
      </c>
    </row>
    <row r="405">
      <c r="A405" s="76">
        <v>45746.0</v>
      </c>
      <c r="B405" s="1" t="s">
        <v>226</v>
      </c>
      <c r="C405" s="1" t="s">
        <v>66</v>
      </c>
      <c r="D405" s="1">
        <v>6.0</v>
      </c>
      <c r="E405" s="1">
        <v>12730.0</v>
      </c>
      <c r="F405" s="10">
        <f t="shared" si="1"/>
        <v>6</v>
      </c>
      <c r="G405" s="10">
        <f t="array" ref="G405">index('Player ID'!C:C,match(E405,'Player ID'!B:B,0))</f>
        <v>607259</v>
      </c>
    </row>
    <row r="406">
      <c r="A406" s="76">
        <v>45746.0</v>
      </c>
      <c r="B406" s="1" t="s">
        <v>362</v>
      </c>
      <c r="C406" s="1" t="s">
        <v>66</v>
      </c>
      <c r="D406" s="1">
        <v>0.2</v>
      </c>
      <c r="E406" s="1">
        <v>13449.0</v>
      </c>
      <c r="F406" s="10">
        <f t="shared" si="1"/>
        <v>0.6666666667</v>
      </c>
      <c r="G406" s="10">
        <f t="array" ref="G406">index('Player ID'!C:C,match(E406,'Player ID'!B:B,0))</f>
        <v>573124</v>
      </c>
    </row>
    <row r="407">
      <c r="A407" s="76">
        <v>45746.0</v>
      </c>
      <c r="B407" s="1" t="s">
        <v>417</v>
      </c>
      <c r="C407" s="1" t="s">
        <v>66</v>
      </c>
      <c r="D407" s="1">
        <v>1.0</v>
      </c>
      <c r="E407" s="1">
        <v>13942.0</v>
      </c>
      <c r="F407" s="10">
        <f t="shared" si="1"/>
        <v>1</v>
      </c>
      <c r="G407" s="10">
        <f t="array" ref="G407">index('Player ID'!C:C,match(E407,'Player ID'!B:B,0))</f>
        <v>608718</v>
      </c>
    </row>
    <row r="408">
      <c r="A408" s="76">
        <v>45746.0</v>
      </c>
      <c r="B408" s="1" t="s">
        <v>475</v>
      </c>
      <c r="C408" s="1" t="s">
        <v>66</v>
      </c>
      <c r="D408" s="1">
        <v>0.1</v>
      </c>
      <c r="E408" s="1">
        <v>14993.0</v>
      </c>
      <c r="F408" s="10">
        <f t="shared" si="1"/>
        <v>0.3333333333</v>
      </c>
      <c r="G408" s="10">
        <f t="array" ref="G408">index('Player ID'!C:C,match(E408,'Player ID'!B:B,0))</f>
        <v>605130</v>
      </c>
    </row>
    <row r="409">
      <c r="A409" s="76">
        <v>45746.0</v>
      </c>
      <c r="B409" s="1" t="s">
        <v>503</v>
      </c>
      <c r="C409" s="1" t="s">
        <v>31</v>
      </c>
      <c r="D409" s="1">
        <v>1.0</v>
      </c>
      <c r="E409" s="1">
        <v>15043.0</v>
      </c>
      <c r="F409" s="10">
        <f t="shared" si="1"/>
        <v>1</v>
      </c>
      <c r="G409" s="10">
        <f t="array" ref="G409">index('Player ID'!C:C,match(E409,'Player ID'!B:B,0))</f>
        <v>642152</v>
      </c>
    </row>
    <row r="410">
      <c r="A410" s="76">
        <v>45746.0</v>
      </c>
      <c r="B410" s="1" t="s">
        <v>20</v>
      </c>
      <c r="C410" s="1" t="s">
        <v>31</v>
      </c>
      <c r="D410" s="1">
        <v>1.0</v>
      </c>
      <c r="E410" s="1">
        <v>15541.0</v>
      </c>
      <c r="F410" s="10">
        <f t="shared" si="1"/>
        <v>1</v>
      </c>
      <c r="G410" s="10">
        <f t="array" ref="G410">index('Player ID'!C:C,match(E410,'Player ID'!B:B,0))</f>
        <v>643511</v>
      </c>
    </row>
    <row r="411">
      <c r="A411" s="76">
        <v>45746.0</v>
      </c>
      <c r="B411" s="1" t="s">
        <v>653</v>
      </c>
      <c r="C411" s="1" t="s">
        <v>66</v>
      </c>
      <c r="D411" s="1">
        <v>1.0</v>
      </c>
      <c r="E411" s="1">
        <v>17871.0</v>
      </c>
      <c r="F411" s="10">
        <f t="shared" si="1"/>
        <v>1</v>
      </c>
      <c r="G411" s="10">
        <f t="array" ref="G411">index('Player ID'!C:C,match(E411,'Player ID'!B:B,0))</f>
        <v>664139</v>
      </c>
    </row>
    <row r="412">
      <c r="A412" s="76">
        <v>45746.0</v>
      </c>
      <c r="B412" s="1" t="s">
        <v>304</v>
      </c>
      <c r="C412" s="1" t="s">
        <v>31</v>
      </c>
      <c r="D412" s="1">
        <v>1.0</v>
      </c>
      <c r="E412" s="1">
        <v>21992.0</v>
      </c>
      <c r="F412" s="10">
        <f t="shared" si="1"/>
        <v>1</v>
      </c>
      <c r="G412" s="10">
        <f t="array" ref="G412">index('Player ID'!C:C,match(E412,'Player ID'!B:B,0))</f>
        <v>666808</v>
      </c>
    </row>
    <row r="413">
      <c r="A413" s="76">
        <v>45746.0</v>
      </c>
      <c r="B413" s="1" t="s">
        <v>655</v>
      </c>
      <c r="C413" s="1" t="s">
        <v>31</v>
      </c>
      <c r="D413" s="1">
        <v>0.2</v>
      </c>
      <c r="E413" s="1">
        <v>26252.0</v>
      </c>
      <c r="F413" s="10">
        <f t="shared" si="1"/>
        <v>0.6666666667</v>
      </c>
      <c r="G413" s="10">
        <f t="array" ref="G413">index('Player ID'!C:C,match(E413,'Player ID'!B:B,0))</f>
        <v>669062</v>
      </c>
    </row>
    <row r="414">
      <c r="A414" s="76">
        <v>45746.0</v>
      </c>
      <c r="B414" s="1" t="s">
        <v>261</v>
      </c>
      <c r="C414" s="1" t="s">
        <v>54</v>
      </c>
      <c r="D414" s="1">
        <v>1.0</v>
      </c>
      <c r="E414" s="1">
        <v>17998.0</v>
      </c>
      <c r="F414" s="10">
        <f t="shared" si="1"/>
        <v>1</v>
      </c>
      <c r="G414" s="10">
        <f t="array" ref="G414">index('Player ID'!C:C,match(E414,'Player ID'!B:B,0))</f>
        <v>664126</v>
      </c>
    </row>
    <row r="415">
      <c r="A415" s="76">
        <v>45746.0</v>
      </c>
      <c r="B415" s="1" t="s">
        <v>288</v>
      </c>
      <c r="C415" s="1" t="s">
        <v>75</v>
      </c>
      <c r="D415" s="1">
        <v>0.1</v>
      </c>
      <c r="E415" s="1">
        <v>18297.0</v>
      </c>
      <c r="F415" s="10">
        <f t="shared" si="1"/>
        <v>0.3333333333</v>
      </c>
      <c r="G415" s="10">
        <f t="array" ref="G415">index('Player ID'!C:C,match(E415,'Player ID'!B:B,0))</f>
        <v>641755</v>
      </c>
    </row>
    <row r="416">
      <c r="A416" s="76">
        <v>45746.0</v>
      </c>
      <c r="B416" s="1" t="s">
        <v>400</v>
      </c>
      <c r="C416" s="1" t="s">
        <v>54</v>
      </c>
      <c r="D416" s="1">
        <v>1.0</v>
      </c>
      <c r="E416" s="1">
        <v>20539.0</v>
      </c>
      <c r="F416" s="10">
        <f t="shared" si="1"/>
        <v>1</v>
      </c>
      <c r="G416" s="10">
        <f t="array" ref="G416">index('Player ID'!C:C,match(E416,'Player ID'!B:B,0))</f>
        <v>670955</v>
      </c>
    </row>
    <row r="417">
      <c r="A417" s="76">
        <v>45746.0</v>
      </c>
      <c r="B417" s="1" t="s">
        <v>215</v>
      </c>
      <c r="C417" s="1" t="s">
        <v>75</v>
      </c>
      <c r="D417" s="1">
        <v>2.1</v>
      </c>
      <c r="E417" s="1">
        <v>21267.0</v>
      </c>
      <c r="F417" s="10">
        <f t="shared" si="1"/>
        <v>2.333333333</v>
      </c>
      <c r="G417" s="10">
        <f t="array" ref="G417">index('Player ID'!C:C,match(E417,'Player ID'!B:B,0))</f>
        <v>656234</v>
      </c>
    </row>
    <row r="418">
      <c r="A418" s="76">
        <v>45746.0</v>
      </c>
      <c r="B418" s="1" t="s">
        <v>504</v>
      </c>
      <c r="C418" s="1" t="s">
        <v>75</v>
      </c>
      <c r="D418" s="1">
        <v>5.0</v>
      </c>
      <c r="E418" s="1">
        <v>21446.0</v>
      </c>
      <c r="F418" s="10">
        <f t="shared" si="1"/>
        <v>5</v>
      </c>
      <c r="G418" s="10">
        <f t="array" ref="G418">index('Player ID'!C:C,match(E418,'Player ID'!B:B,0))</f>
        <v>663372</v>
      </c>
    </row>
    <row r="419">
      <c r="A419" s="76">
        <v>45746.0</v>
      </c>
      <c r="B419" s="1" t="s">
        <v>413</v>
      </c>
      <c r="C419" s="1" t="s">
        <v>54</v>
      </c>
      <c r="D419" s="1">
        <v>6.0</v>
      </c>
      <c r="E419" s="1">
        <v>22543.0</v>
      </c>
      <c r="F419" s="10">
        <f t="shared" si="1"/>
        <v>6</v>
      </c>
      <c r="G419" s="10">
        <f t="array" ref="G419">index('Player ID'!C:C,match(E419,'Player ID'!B:B,0))</f>
        <v>671737</v>
      </c>
    </row>
    <row r="420">
      <c r="A420" s="76">
        <v>45746.0</v>
      </c>
      <c r="B420" s="1" t="s">
        <v>548</v>
      </c>
      <c r="C420" s="1" t="s">
        <v>75</v>
      </c>
      <c r="D420" s="1">
        <v>0.1</v>
      </c>
      <c r="E420" s="1">
        <v>24203.0</v>
      </c>
      <c r="F420" s="10">
        <f t="shared" si="1"/>
        <v>0.3333333333</v>
      </c>
      <c r="G420" s="10">
        <f t="array" ref="G420">index('Player ID'!C:C,match(E420,'Player ID'!B:B,0))</f>
        <v>678821</v>
      </c>
    </row>
    <row r="421">
      <c r="A421" s="76">
        <v>45746.0</v>
      </c>
      <c r="B421" s="1" t="s">
        <v>110</v>
      </c>
      <c r="C421" s="1" t="s">
        <v>54</v>
      </c>
      <c r="D421" s="1">
        <v>1.0</v>
      </c>
      <c r="E421" s="1">
        <v>25679.0</v>
      </c>
      <c r="F421" s="10">
        <f t="shared" si="1"/>
        <v>1</v>
      </c>
      <c r="G421" s="10">
        <f t="array" ref="G421">index('Player ID'!C:C,match(E421,'Player ID'!B:B,0))</f>
        <v>687330</v>
      </c>
    </row>
    <row r="422">
      <c r="A422" s="76">
        <v>45746.0</v>
      </c>
      <c r="B422" s="1" t="s">
        <v>256</v>
      </c>
      <c r="C422" s="1" t="s">
        <v>60</v>
      </c>
      <c r="D422" s="1">
        <v>5.0</v>
      </c>
      <c r="E422" s="1">
        <v>15423.0</v>
      </c>
      <c r="F422" s="10">
        <f t="shared" si="1"/>
        <v>5</v>
      </c>
      <c r="G422" s="10">
        <f t="array" ref="G422">index('Player ID'!C:C,match(E422,'Player ID'!B:B,0))</f>
        <v>571760</v>
      </c>
    </row>
    <row r="423">
      <c r="A423" s="76">
        <v>45746.0</v>
      </c>
      <c r="B423" s="1" t="s">
        <v>686</v>
      </c>
      <c r="C423" s="1" t="s">
        <v>60</v>
      </c>
      <c r="D423" s="1">
        <v>1.0</v>
      </c>
      <c r="E423" s="1">
        <v>17639.0</v>
      </c>
      <c r="F423" s="10">
        <f t="shared" si="1"/>
        <v>1</v>
      </c>
      <c r="G423" s="10">
        <f t="array" ref="G423">index('Player ID'!C:C,match(E423,'Player ID'!B:B,0))</f>
        <v>664875</v>
      </c>
    </row>
    <row r="424">
      <c r="A424" s="76">
        <v>45746.0</v>
      </c>
      <c r="B424" s="1" t="s">
        <v>107</v>
      </c>
      <c r="C424" s="1" t="s">
        <v>60</v>
      </c>
      <c r="D424" s="1">
        <v>1.0</v>
      </c>
      <c r="E424" s="1">
        <v>19349.0</v>
      </c>
      <c r="F424" s="10">
        <f t="shared" si="1"/>
        <v>1</v>
      </c>
      <c r="G424" s="10">
        <f t="array" ref="G424">index('Player ID'!C:C,match(E424,'Player ID'!B:B,0))</f>
        <v>657571</v>
      </c>
    </row>
    <row r="425">
      <c r="A425" s="76">
        <v>45746.0</v>
      </c>
      <c r="B425" s="1" t="s">
        <v>183</v>
      </c>
      <c r="C425" s="1" t="s">
        <v>60</v>
      </c>
      <c r="D425" s="1">
        <v>0.0</v>
      </c>
      <c r="E425" s="1">
        <v>19569.0</v>
      </c>
      <c r="F425" s="10">
        <f t="shared" si="1"/>
        <v>0</v>
      </c>
      <c r="G425" s="10">
        <f t="array" ref="G425">index('Player ID'!C:C,match(E425,'Player ID'!B:B,0))</f>
        <v>670280</v>
      </c>
    </row>
    <row r="426">
      <c r="A426" s="76">
        <v>45746.0</v>
      </c>
      <c r="B426" s="1" t="s">
        <v>89</v>
      </c>
      <c r="C426" s="1" t="s">
        <v>36</v>
      </c>
      <c r="D426" s="1">
        <v>1.0</v>
      </c>
      <c r="E426" s="1">
        <v>19742.0</v>
      </c>
      <c r="F426" s="10">
        <f t="shared" si="1"/>
        <v>1</v>
      </c>
      <c r="G426" s="10">
        <f t="array" ref="G426">index('Player ID'!C:C,match(E426,'Player ID'!B:B,0))</f>
        <v>669622</v>
      </c>
    </row>
    <row r="427">
      <c r="A427" s="76">
        <v>45746.0</v>
      </c>
      <c r="B427" s="1" t="s">
        <v>262</v>
      </c>
      <c r="C427" s="1" t="s">
        <v>36</v>
      </c>
      <c r="D427" s="1">
        <v>1.0</v>
      </c>
      <c r="E427" s="1">
        <v>20116.0</v>
      </c>
      <c r="F427" s="10">
        <f t="shared" si="1"/>
        <v>1</v>
      </c>
      <c r="G427" s="10">
        <f t="array" ref="G427">index('Player ID'!C:C,match(E427,'Player ID'!B:B,0))</f>
        <v>676534</v>
      </c>
    </row>
    <row r="428">
      <c r="A428" s="76">
        <v>45746.0</v>
      </c>
      <c r="B428" s="1" t="s">
        <v>663</v>
      </c>
      <c r="C428" s="1" t="s">
        <v>60</v>
      </c>
      <c r="D428" s="1">
        <v>1.0</v>
      </c>
      <c r="E428" s="1">
        <v>22361.0</v>
      </c>
      <c r="F428" s="10">
        <f t="shared" si="1"/>
        <v>1</v>
      </c>
      <c r="G428" s="10">
        <f t="array" ref="G428">index('Player ID'!C:C,match(E428,'Player ID'!B:B,0))</f>
        <v>670059</v>
      </c>
    </row>
    <row r="429">
      <c r="A429" s="76">
        <v>45746.0</v>
      </c>
      <c r="B429" s="1" t="s">
        <v>725</v>
      </c>
      <c r="C429" s="1" t="s">
        <v>36</v>
      </c>
      <c r="D429" s="1">
        <v>1.1</v>
      </c>
      <c r="E429" s="1">
        <v>25595.0</v>
      </c>
      <c r="F429" s="10">
        <f t="shared" si="1"/>
        <v>1.333333333</v>
      </c>
      <c r="G429" s="10">
        <f t="array" ref="G429">index('Player ID'!C:C,match(E429,'Player ID'!B:B,0))</f>
        <v>675540</v>
      </c>
    </row>
    <row r="430">
      <c r="A430" s="76">
        <v>45746.0</v>
      </c>
      <c r="B430" s="1" t="s">
        <v>121</v>
      </c>
      <c r="C430" s="1" t="s">
        <v>36</v>
      </c>
      <c r="D430" s="1">
        <v>5.2</v>
      </c>
      <c r="E430" s="1">
        <v>27474.0</v>
      </c>
      <c r="F430" s="10">
        <f t="shared" si="1"/>
        <v>5.666666667</v>
      </c>
      <c r="G430" s="10">
        <f t="array" ref="G430">index('Player ID'!C:C,match(E430,'Player ID'!B:B,0))</f>
        <v>676974</v>
      </c>
    </row>
    <row r="431">
      <c r="A431" s="76">
        <v>45746.0</v>
      </c>
      <c r="B431" s="1" t="s">
        <v>726</v>
      </c>
      <c r="C431" s="1" t="s">
        <v>29</v>
      </c>
      <c r="D431" s="1">
        <v>1.2</v>
      </c>
      <c r="E431" s="1">
        <v>13761.0</v>
      </c>
      <c r="F431" s="10">
        <f t="shared" si="1"/>
        <v>1.666666667</v>
      </c>
      <c r="G431" s="10">
        <f t="array" ref="G431">index('Player ID'!C:C,match(E431,'Player ID'!B:B,0))</f>
        <v>608717</v>
      </c>
    </row>
    <row r="432">
      <c r="A432" s="76">
        <v>45746.0</v>
      </c>
      <c r="B432" s="1" t="s">
        <v>147</v>
      </c>
      <c r="C432" s="1" t="s">
        <v>29</v>
      </c>
      <c r="D432" s="1">
        <v>4.0</v>
      </c>
      <c r="E432" s="1">
        <v>14078.0</v>
      </c>
      <c r="F432" s="10">
        <f t="shared" si="1"/>
        <v>4</v>
      </c>
      <c r="G432" s="10">
        <f t="array" ref="G432">index('Player ID'!C:C,match(E432,'Player ID'!B:B,0))</f>
        <v>608379</v>
      </c>
    </row>
    <row r="433">
      <c r="A433" s="76">
        <v>45746.0</v>
      </c>
      <c r="B433" s="1" t="s">
        <v>650</v>
      </c>
      <c r="C433" s="1" t="s">
        <v>29</v>
      </c>
      <c r="D433" s="1">
        <v>1.0</v>
      </c>
      <c r="E433" s="1">
        <v>15507.0</v>
      </c>
      <c r="F433" s="10">
        <f t="shared" si="1"/>
        <v>1</v>
      </c>
      <c r="G433" s="10">
        <f t="array" ref="G433">index('Player ID'!C:C,match(E433,'Player ID'!B:B,0))</f>
        <v>640451</v>
      </c>
    </row>
    <row r="434">
      <c r="A434" s="76">
        <v>45746.0</v>
      </c>
      <c r="B434" s="1" t="s">
        <v>144</v>
      </c>
      <c r="C434" s="1" t="s">
        <v>29</v>
      </c>
      <c r="D434" s="1">
        <v>1.1</v>
      </c>
      <c r="E434" s="1">
        <v>20020.0</v>
      </c>
      <c r="F434" s="10">
        <f t="shared" si="1"/>
        <v>1.333333333</v>
      </c>
      <c r="G434" s="10">
        <f t="array" ref="G434">index('Player ID'!C:C,match(E434,'Player ID'!B:B,0))</f>
        <v>670167</v>
      </c>
    </row>
    <row r="435">
      <c r="A435" s="76">
        <v>45746.0</v>
      </c>
      <c r="B435" s="1" t="s">
        <v>132</v>
      </c>
      <c r="C435" s="1" t="s">
        <v>70</v>
      </c>
      <c r="D435" s="1">
        <v>1.0</v>
      </c>
      <c r="E435" s="1">
        <v>21032.0</v>
      </c>
      <c r="F435" s="10">
        <f t="shared" si="1"/>
        <v>1</v>
      </c>
      <c r="G435" s="10">
        <f t="array" ref="G435">index('Player ID'!C:C,match(E435,'Player ID'!B:B,0))</f>
        <v>661403</v>
      </c>
    </row>
    <row r="436">
      <c r="A436" s="76">
        <v>45746.0</v>
      </c>
      <c r="B436" s="1" t="s">
        <v>398</v>
      </c>
      <c r="C436" s="1" t="s">
        <v>70</v>
      </c>
      <c r="D436" s="1">
        <v>1.0</v>
      </c>
      <c r="E436" s="1">
        <v>23335.0</v>
      </c>
      <c r="F436" s="10">
        <f t="shared" si="1"/>
        <v>1</v>
      </c>
      <c r="G436" s="10">
        <f t="array" ref="G436">index('Player ID'!C:C,match(E436,'Player ID'!B:B,0))</f>
        <v>676282</v>
      </c>
    </row>
    <row r="437">
      <c r="A437" s="76">
        <v>45746.0</v>
      </c>
      <c r="B437" s="1" t="s">
        <v>519</v>
      </c>
      <c r="C437" s="1" t="s">
        <v>70</v>
      </c>
      <c r="D437" s="1">
        <v>0.1</v>
      </c>
      <c r="E437" s="1">
        <v>25139.0</v>
      </c>
      <c r="F437" s="10">
        <f t="shared" si="1"/>
        <v>0.3333333333</v>
      </c>
      <c r="G437" s="10">
        <f t="array" ref="G437">index('Player ID'!C:C,match(E437,'Player ID'!B:B,0))</f>
        <v>682120</v>
      </c>
    </row>
    <row r="438">
      <c r="A438" s="76">
        <v>45746.0</v>
      </c>
      <c r="B438" s="1" t="s">
        <v>442</v>
      </c>
      <c r="C438" s="1" t="s">
        <v>29</v>
      </c>
      <c r="D438" s="1">
        <v>1.0</v>
      </c>
      <c r="E438" s="1">
        <v>25379.0</v>
      </c>
      <c r="F438" s="10">
        <f t="shared" si="1"/>
        <v>1</v>
      </c>
      <c r="G438" s="10">
        <f t="array" ref="G438">index('Player ID'!C:C,match(E438,'Player ID'!B:B,0))</f>
        <v>669674</v>
      </c>
    </row>
    <row r="439">
      <c r="A439" s="76">
        <v>45746.0</v>
      </c>
      <c r="B439" s="1" t="s">
        <v>238</v>
      </c>
      <c r="C439" s="1" t="s">
        <v>70</v>
      </c>
      <c r="D439" s="1">
        <v>1.0</v>
      </c>
      <c r="E439" s="1">
        <v>25636.0</v>
      </c>
      <c r="F439" s="10">
        <f t="shared" si="1"/>
        <v>1</v>
      </c>
      <c r="G439" s="10">
        <f t="array" ref="G439">index('Player ID'!C:C,match(E439,'Player ID'!B:B,0))</f>
        <v>683769</v>
      </c>
    </row>
    <row r="440">
      <c r="A440" s="76">
        <v>45746.0</v>
      </c>
      <c r="B440" s="1" t="s">
        <v>308</v>
      </c>
      <c r="C440" s="1" t="s">
        <v>70</v>
      </c>
      <c r="D440" s="1">
        <v>5.2</v>
      </c>
      <c r="E440" s="1">
        <v>30134.0</v>
      </c>
      <c r="F440" s="10">
        <f t="shared" si="1"/>
        <v>5.666666667</v>
      </c>
      <c r="G440" s="10">
        <f t="array" ref="G440">index('Player ID'!C:C,match(E440,'Player ID'!B:B,0))</f>
        <v>676440</v>
      </c>
    </row>
    <row r="441">
      <c r="A441" s="76">
        <v>45746.0</v>
      </c>
      <c r="B441" s="1" t="s">
        <v>154</v>
      </c>
      <c r="C441" s="1" t="s">
        <v>25</v>
      </c>
      <c r="D441" s="1">
        <v>1.0</v>
      </c>
      <c r="E441" s="1">
        <v>3096.0</v>
      </c>
      <c r="F441" s="10">
        <f t="shared" si="1"/>
        <v>1</v>
      </c>
      <c r="G441" s="10">
        <f t="array" ref="G441">index('Player ID'!C:C,match(E441,'Player ID'!B:B,0))</f>
        <v>445276</v>
      </c>
    </row>
    <row r="442">
      <c r="A442" s="76">
        <v>45746.0</v>
      </c>
      <c r="B442" s="1" t="s">
        <v>252</v>
      </c>
      <c r="C442" s="1" t="s">
        <v>78</v>
      </c>
      <c r="D442" s="1">
        <v>1.0</v>
      </c>
      <c r="E442" s="1">
        <v>16061.0</v>
      </c>
      <c r="F442" s="10">
        <f t="shared" si="1"/>
        <v>1</v>
      </c>
      <c r="G442" s="10">
        <f t="array" ref="G442">index('Player ID'!C:C,match(E442,'Player ID'!B:B,0))</f>
        <v>592155</v>
      </c>
    </row>
    <row r="443">
      <c r="A443" s="76">
        <v>45746.0</v>
      </c>
      <c r="B443" s="1" t="s">
        <v>291</v>
      </c>
      <c r="C443" s="1" t="s">
        <v>25</v>
      </c>
      <c r="D443" s="1">
        <v>1.0</v>
      </c>
      <c r="E443" s="1">
        <v>17968.0</v>
      </c>
      <c r="F443" s="10">
        <f t="shared" si="1"/>
        <v>1</v>
      </c>
      <c r="G443" s="10">
        <f t="array" ref="G443">index('Player ID'!C:C,match(E443,'Player ID'!B:B,0))</f>
        <v>656271</v>
      </c>
    </row>
    <row r="444">
      <c r="A444" s="76">
        <v>45746.0</v>
      </c>
      <c r="B444" s="1" t="s">
        <v>387</v>
      </c>
      <c r="C444" s="1" t="s">
        <v>78</v>
      </c>
      <c r="D444" s="1">
        <v>1.0</v>
      </c>
      <c r="E444" s="1">
        <v>19990.0</v>
      </c>
      <c r="F444" s="10">
        <f t="shared" si="1"/>
        <v>1</v>
      </c>
      <c r="G444" s="10">
        <f t="array" ref="G444">index('Player ID'!C:C,match(E444,'Player ID'!B:B,0))</f>
        <v>669060</v>
      </c>
    </row>
    <row r="445">
      <c r="A445" s="76">
        <v>45746.0</v>
      </c>
      <c r="B445" s="1" t="s">
        <v>335</v>
      </c>
      <c r="C445" s="1" t="s">
        <v>78</v>
      </c>
      <c r="D445" s="1">
        <v>6.0</v>
      </c>
      <c r="E445" s="1">
        <v>21448.0</v>
      </c>
      <c r="F445" s="10">
        <f t="shared" si="1"/>
        <v>6</v>
      </c>
      <c r="G445" s="10">
        <f t="array" ref="G445">index('Player ID'!C:C,match(E445,'Player ID'!B:B,0))</f>
        <v>663436</v>
      </c>
    </row>
    <row r="446">
      <c r="A446" s="76">
        <v>45746.0</v>
      </c>
      <c r="B446" s="1" t="s">
        <v>385</v>
      </c>
      <c r="C446" s="1" t="s">
        <v>25</v>
      </c>
      <c r="D446" s="1">
        <v>0.1</v>
      </c>
      <c r="E446" s="1">
        <v>25420.0</v>
      </c>
      <c r="F446" s="10">
        <f t="shared" si="1"/>
        <v>0.3333333333</v>
      </c>
      <c r="G446" s="10">
        <f t="array" ref="G446">index('Player ID'!C:C,match(E446,'Player ID'!B:B,0))</f>
        <v>666171</v>
      </c>
    </row>
    <row r="447">
      <c r="A447" s="76">
        <v>45746.0</v>
      </c>
      <c r="B447" s="1" t="s">
        <v>521</v>
      </c>
      <c r="C447" s="1" t="s">
        <v>25</v>
      </c>
      <c r="D447" s="1">
        <v>6.0</v>
      </c>
      <c r="E447" s="1">
        <v>27688.0</v>
      </c>
      <c r="F447" s="10">
        <f t="shared" si="1"/>
        <v>6</v>
      </c>
      <c r="G447" s="10">
        <f t="array" ref="G447">index('Player ID'!C:C,match(E447,'Player ID'!B:B,0))</f>
        <v>686799</v>
      </c>
    </row>
    <row r="448">
      <c r="A448" s="76">
        <v>45746.0</v>
      </c>
      <c r="B448" s="1" t="s">
        <v>718</v>
      </c>
      <c r="C448" s="1" t="s">
        <v>78</v>
      </c>
      <c r="D448" s="1">
        <v>1.0</v>
      </c>
      <c r="E448" s="1">
        <v>29530.0</v>
      </c>
      <c r="F448" s="10">
        <f t="shared" si="1"/>
        <v>1</v>
      </c>
      <c r="G448" s="10">
        <f t="array" ref="G448">index('Player ID'!C:C,match(E448,'Player ID'!B:B,0))</f>
        <v>686642</v>
      </c>
    </row>
    <row r="449">
      <c r="A449" s="76">
        <v>45746.0</v>
      </c>
      <c r="B449" s="1" t="s">
        <v>696</v>
      </c>
      <c r="C449" s="1" t="s">
        <v>25</v>
      </c>
      <c r="D449" s="1">
        <v>0.2</v>
      </c>
      <c r="E449" s="1">
        <v>31461.0</v>
      </c>
      <c r="F449" s="10">
        <f t="shared" si="1"/>
        <v>0.6666666667</v>
      </c>
      <c r="G449" s="10">
        <f t="array" ref="G449">index('Player ID'!C:C,match(E449,'Player ID'!B:B,0))</f>
        <v>690829</v>
      </c>
    </row>
    <row r="450">
      <c r="A450" s="76">
        <v>45746.0</v>
      </c>
      <c r="B450" s="1" t="s">
        <v>83</v>
      </c>
      <c r="C450" s="1" t="s">
        <v>72</v>
      </c>
      <c r="D450" s="1">
        <v>4.0</v>
      </c>
      <c r="E450" s="1">
        <v>13361.0</v>
      </c>
      <c r="F450" s="10">
        <f t="shared" si="1"/>
        <v>4</v>
      </c>
      <c r="G450" s="10">
        <f t="array" ref="G450">index('Player ID'!C:C,match(E450,'Player ID'!B:B,0))</f>
        <v>571927</v>
      </c>
    </row>
    <row r="451">
      <c r="A451" s="76">
        <v>45746.0</v>
      </c>
      <c r="B451" s="1" t="s">
        <v>173</v>
      </c>
      <c r="C451" s="1" t="s">
        <v>16</v>
      </c>
      <c r="D451" s="1">
        <v>2.2</v>
      </c>
      <c r="E451" s="1">
        <v>21224.0</v>
      </c>
      <c r="F451" s="10">
        <f t="shared" si="1"/>
        <v>2.666666667</v>
      </c>
      <c r="G451" s="10">
        <f t="array" ref="G451">index('Player ID'!C:C,match(E451,'Player ID'!B:B,0))</f>
        <v>641927</v>
      </c>
    </row>
    <row r="452">
      <c r="A452" s="76">
        <v>45746.0</v>
      </c>
      <c r="B452" s="1" t="s">
        <v>616</v>
      </c>
      <c r="C452" s="1" t="s">
        <v>16</v>
      </c>
      <c r="D452" s="1">
        <v>5.1</v>
      </c>
      <c r="E452" s="1">
        <v>23798.0</v>
      </c>
      <c r="F452" s="10">
        <f t="shared" si="1"/>
        <v>5.333333333</v>
      </c>
      <c r="G452" s="10">
        <f t="array" ref="G452">index('Player ID'!C:C,match(E452,'Player ID'!B:B,0))</f>
        <v>677976</v>
      </c>
    </row>
    <row r="453">
      <c r="A453" s="76">
        <v>45746.0</v>
      </c>
      <c r="B453" s="1" t="s">
        <v>432</v>
      </c>
      <c r="C453" s="1" t="s">
        <v>72</v>
      </c>
      <c r="D453" s="1">
        <v>5.0</v>
      </c>
      <c r="E453" s="1">
        <v>26108.0</v>
      </c>
      <c r="F453" s="10">
        <f t="shared" si="1"/>
        <v>5</v>
      </c>
      <c r="G453" s="10">
        <f t="array" ref="G453">index('Player ID'!C:C,match(E453,'Player ID'!B:B,0))</f>
        <v>669467</v>
      </c>
    </row>
    <row r="454">
      <c r="A454" s="76">
        <v>45746.0</v>
      </c>
      <c r="B454" s="1" t="s">
        <v>230</v>
      </c>
      <c r="C454" s="1" t="s">
        <v>22</v>
      </c>
      <c r="D454" s="1">
        <v>1.0</v>
      </c>
      <c r="E454" s="1">
        <v>4301.0</v>
      </c>
      <c r="F454" s="10">
        <f t="shared" si="1"/>
        <v>1</v>
      </c>
      <c r="G454" s="10">
        <f t="array" ref="G454">index('Player ID'!C:C,match(E454,'Player ID'!B:B,0))</f>
        <v>458677</v>
      </c>
    </row>
    <row r="455">
      <c r="A455" s="76">
        <v>45746.0</v>
      </c>
      <c r="B455" s="1" t="s">
        <v>57</v>
      </c>
      <c r="C455" s="1" t="s">
        <v>56</v>
      </c>
      <c r="D455" s="1">
        <v>5.0</v>
      </c>
      <c r="E455" s="1">
        <v>10954.0</v>
      </c>
      <c r="F455" s="10">
        <f t="shared" si="1"/>
        <v>5</v>
      </c>
      <c r="G455" s="10">
        <f t="array" ref="G455">index('Player ID'!C:C,match(E455,'Player ID'!B:B,0))</f>
        <v>594798</v>
      </c>
    </row>
    <row r="456">
      <c r="A456" s="76">
        <v>45746.0</v>
      </c>
      <c r="B456" s="1" t="s">
        <v>162</v>
      </c>
      <c r="C456" s="1" t="s">
        <v>56</v>
      </c>
      <c r="D456" s="1">
        <v>1.0</v>
      </c>
      <c r="E456" s="1">
        <v>11752.0</v>
      </c>
      <c r="F456" s="10">
        <f t="shared" si="1"/>
        <v>1</v>
      </c>
      <c r="G456" s="10">
        <f t="array" ref="G456">index('Player ID'!C:C,match(E456,'Player ID'!B:B,0))</f>
        <v>592426</v>
      </c>
    </row>
    <row r="457">
      <c r="A457" s="76">
        <v>45746.0</v>
      </c>
      <c r="B457" s="1" t="s">
        <v>74</v>
      </c>
      <c r="C457" s="1" t="s">
        <v>56</v>
      </c>
      <c r="D457" s="1">
        <v>1.0</v>
      </c>
      <c r="E457" s="1">
        <v>11847.0</v>
      </c>
      <c r="F457" s="10">
        <f t="shared" si="1"/>
        <v>1</v>
      </c>
      <c r="G457" s="10">
        <f t="array" ref="G457">index('Player ID'!C:C,match(E457,'Player ID'!B:B,0))</f>
        <v>455119</v>
      </c>
    </row>
    <row r="458">
      <c r="A458" s="76">
        <v>45746.0</v>
      </c>
      <c r="B458" s="1" t="s">
        <v>440</v>
      </c>
      <c r="C458" s="1" t="s">
        <v>56</v>
      </c>
      <c r="D458" s="1">
        <v>1.0</v>
      </c>
      <c r="E458" s="1">
        <v>12857.0</v>
      </c>
      <c r="F458" s="10">
        <f t="shared" si="1"/>
        <v>1</v>
      </c>
      <c r="G458" s="10">
        <f t="array" ref="G458">index('Player ID'!C:C,match(E458,'Player ID'!B:B,0))</f>
        <v>542888</v>
      </c>
    </row>
    <row r="459">
      <c r="A459" s="76">
        <v>45746.0</v>
      </c>
      <c r="B459" s="1" t="s">
        <v>268</v>
      </c>
      <c r="C459" s="1" t="s">
        <v>56</v>
      </c>
      <c r="D459" s="1">
        <v>1.0</v>
      </c>
      <c r="E459" s="1">
        <v>23363.0</v>
      </c>
      <c r="F459" s="10">
        <f t="shared" si="1"/>
        <v>1</v>
      </c>
      <c r="G459" s="10">
        <f t="array" ref="G459">index('Player ID'!C:C,match(E459,'Player ID'!B:B,0))</f>
        <v>676395</v>
      </c>
    </row>
    <row r="460">
      <c r="A460" s="76">
        <v>45746.0</v>
      </c>
      <c r="B460" s="1" t="s">
        <v>645</v>
      </c>
      <c r="C460" s="1" t="s">
        <v>22</v>
      </c>
      <c r="D460" s="1">
        <v>1.0</v>
      </c>
      <c r="E460" s="1">
        <v>25648.0</v>
      </c>
      <c r="F460" s="10">
        <f t="shared" si="1"/>
        <v>1</v>
      </c>
      <c r="G460" s="10">
        <f t="array" ref="G460">index('Player ID'!C:C,match(E460,'Player ID'!B:B,0))</f>
        <v>686580</v>
      </c>
    </row>
    <row r="461">
      <c r="A461" s="76">
        <v>45746.0</v>
      </c>
      <c r="B461" s="1" t="s">
        <v>152</v>
      </c>
      <c r="C461" s="1" t="s">
        <v>22</v>
      </c>
      <c r="D461" s="1">
        <v>6.0</v>
      </c>
      <c r="E461" s="1">
        <v>30160.0</v>
      </c>
      <c r="F461" s="10">
        <f t="shared" si="1"/>
        <v>6</v>
      </c>
      <c r="G461" s="10">
        <f t="array" ref="G461">index('Player ID'!C:C,match(E461,'Player ID'!B:B,0))</f>
        <v>690916</v>
      </c>
    </row>
    <row r="462">
      <c r="A462" s="76">
        <v>45746.0</v>
      </c>
      <c r="B462" s="1" t="s">
        <v>71</v>
      </c>
      <c r="C462" s="1" t="s">
        <v>34</v>
      </c>
      <c r="D462" s="1">
        <v>0.2</v>
      </c>
      <c r="E462" s="1">
        <v>10078.0</v>
      </c>
      <c r="F462" s="10">
        <f t="shared" si="1"/>
        <v>0.6666666667</v>
      </c>
      <c r="G462" s="10">
        <f t="array" ref="G462">index('Player ID'!C:C,match(E462,'Player ID'!B:B,0))</f>
        <v>573204</v>
      </c>
    </row>
    <row r="463">
      <c r="A463" s="76">
        <v>45746.0</v>
      </c>
      <c r="B463" s="1" t="s">
        <v>313</v>
      </c>
      <c r="C463" s="1" t="s">
        <v>34</v>
      </c>
      <c r="D463" s="1">
        <v>0.1</v>
      </c>
      <c r="E463" s="1">
        <v>12317.0</v>
      </c>
      <c r="F463" s="10">
        <f t="shared" si="1"/>
        <v>0.3333333333</v>
      </c>
      <c r="G463" s="10">
        <f t="array" ref="G463">index('Player ID'!C:C,match(E463,'Player ID'!B:B,0))</f>
        <v>607067</v>
      </c>
    </row>
    <row r="464">
      <c r="A464" s="76">
        <v>45746.0</v>
      </c>
      <c r="B464" s="1" t="s">
        <v>368</v>
      </c>
      <c r="C464" s="1" t="s">
        <v>64</v>
      </c>
      <c r="D464" s="1">
        <v>5.1</v>
      </c>
      <c r="E464" s="1">
        <v>13164.0</v>
      </c>
      <c r="F464" s="10">
        <f t="shared" si="1"/>
        <v>5.333333333</v>
      </c>
      <c r="G464" s="10">
        <f t="array" ref="G464">index('Player ID'!C:C,match(E464,'Player ID'!B:B,0))</f>
        <v>593958</v>
      </c>
    </row>
    <row r="465">
      <c r="A465" s="76">
        <v>45746.0</v>
      </c>
      <c r="B465" s="1" t="s">
        <v>685</v>
      </c>
      <c r="C465" s="1" t="s">
        <v>64</v>
      </c>
      <c r="D465" s="1">
        <v>0.1</v>
      </c>
      <c r="E465" s="1">
        <v>14857.0</v>
      </c>
      <c r="F465" s="10">
        <f t="shared" si="1"/>
        <v>0.3333333333</v>
      </c>
      <c r="G465" s="10">
        <f t="array" ref="G465">index('Player ID'!C:C,match(E465,'Player ID'!B:B,0))</f>
        <v>573009</v>
      </c>
    </row>
    <row r="466">
      <c r="A466" s="76">
        <v>45746.0</v>
      </c>
      <c r="B466" s="1" t="s">
        <v>246</v>
      </c>
      <c r="C466" s="1" t="s">
        <v>34</v>
      </c>
      <c r="D466" s="1">
        <v>5.0</v>
      </c>
      <c r="E466" s="1">
        <v>15440.0</v>
      </c>
      <c r="F466" s="10">
        <f t="shared" si="1"/>
        <v>5</v>
      </c>
      <c r="G466" s="10">
        <f t="array" ref="G466">index('Player ID'!C:C,match(E466,'Player ID'!B:B,0))</f>
        <v>571510</v>
      </c>
    </row>
    <row r="467">
      <c r="A467" s="76">
        <v>45746.0</v>
      </c>
      <c r="B467" s="1" t="s">
        <v>219</v>
      </c>
      <c r="C467" s="1" t="s">
        <v>64</v>
      </c>
      <c r="D467" s="1">
        <v>1.2</v>
      </c>
      <c r="E467" s="1">
        <v>16647.0</v>
      </c>
      <c r="F467" s="10">
        <f t="shared" si="1"/>
        <v>1.666666667</v>
      </c>
      <c r="G467" s="10">
        <f t="array" ref="G467">index('Player ID'!C:C,match(E467,'Player ID'!B:B,0))</f>
        <v>657044</v>
      </c>
    </row>
    <row r="468">
      <c r="A468" s="76">
        <v>45746.0</v>
      </c>
      <c r="B468" s="1" t="s">
        <v>735</v>
      </c>
      <c r="C468" s="1" t="s">
        <v>64</v>
      </c>
      <c r="D468" s="1">
        <v>1.0</v>
      </c>
      <c r="E468" s="1">
        <v>19343.0</v>
      </c>
      <c r="F468" s="10">
        <f t="shared" si="1"/>
        <v>1</v>
      </c>
      <c r="G468" s="10">
        <f t="array" ref="G468">index('Player ID'!C:C,match(E468,'Player ID'!B:B,0))</f>
        <v>640462</v>
      </c>
    </row>
    <row r="469">
      <c r="A469" s="76">
        <v>45746.0</v>
      </c>
      <c r="B469" s="1" t="s">
        <v>633</v>
      </c>
      <c r="C469" s="1" t="s">
        <v>34</v>
      </c>
      <c r="D469" s="1">
        <v>1.1</v>
      </c>
      <c r="E469" s="1">
        <v>20160.0</v>
      </c>
      <c r="F469" s="10">
        <f t="shared" si="1"/>
        <v>1.333333333</v>
      </c>
      <c r="G469" s="10">
        <f t="array" ref="G469">index('Player ID'!C:C,match(E469,'Player ID'!B:B,0))</f>
        <v>663878</v>
      </c>
    </row>
    <row r="470">
      <c r="A470" s="76">
        <v>45746.0</v>
      </c>
      <c r="B470" s="1" t="s">
        <v>631</v>
      </c>
      <c r="C470" s="1" t="s">
        <v>34</v>
      </c>
      <c r="D470" s="1">
        <v>0.2</v>
      </c>
      <c r="E470" s="1">
        <v>20203.0</v>
      </c>
      <c r="F470" s="10">
        <f t="shared" si="1"/>
        <v>0.6666666667</v>
      </c>
      <c r="G470" s="10">
        <f t="array" ref="G470">index('Player ID'!C:C,match(E470,'Player ID'!B:B,0))</f>
        <v>669212</v>
      </c>
    </row>
    <row r="471">
      <c r="A471" s="76">
        <v>45746.0</v>
      </c>
      <c r="B471" s="1" t="s">
        <v>714</v>
      </c>
      <c r="C471" s="1" t="s">
        <v>64</v>
      </c>
      <c r="D471" s="1">
        <v>0.2</v>
      </c>
      <c r="E471" s="1">
        <v>24453.0</v>
      </c>
      <c r="F471" s="10">
        <f t="shared" si="1"/>
        <v>0.6666666667</v>
      </c>
      <c r="G471" s="10">
        <f t="array" ref="G471">index('Player ID'!C:C,match(E471,'Player ID'!B:B,0))</f>
        <v>679885</v>
      </c>
    </row>
    <row r="472">
      <c r="A472" s="76">
        <v>45746.0</v>
      </c>
      <c r="B472" s="1" t="s">
        <v>108</v>
      </c>
      <c r="C472" s="1" t="s">
        <v>37</v>
      </c>
      <c r="D472" s="1">
        <v>1.0</v>
      </c>
      <c r="E472" s="1">
        <v>17948.0</v>
      </c>
      <c r="F472" s="10">
        <f t="shared" si="1"/>
        <v>1</v>
      </c>
      <c r="G472" s="10">
        <f t="array" ref="G472">index('Player ID'!C:C,match(E472,'Player ID'!B:B,0))</f>
        <v>663423</v>
      </c>
    </row>
    <row r="473">
      <c r="A473" s="76">
        <v>45746.0</v>
      </c>
      <c r="B473" s="1" t="s">
        <v>670</v>
      </c>
      <c r="C473" s="1" t="s">
        <v>37</v>
      </c>
      <c r="D473" s="1">
        <v>1.0</v>
      </c>
      <c r="E473" s="1">
        <v>20373.0</v>
      </c>
      <c r="F473" s="10">
        <f t="shared" si="1"/>
        <v>1</v>
      </c>
      <c r="G473" s="10">
        <f t="array" ref="G473">index('Player ID'!C:C,match(E473,'Player ID'!B:B,0))</f>
        <v>662253</v>
      </c>
    </row>
    <row r="474">
      <c r="A474" s="76">
        <v>45746.0</v>
      </c>
      <c r="B474" s="1" t="s">
        <v>684</v>
      </c>
      <c r="C474" s="1" t="s">
        <v>37</v>
      </c>
      <c r="D474" s="1">
        <v>1.0</v>
      </c>
      <c r="E474" s="1">
        <v>21894.0</v>
      </c>
      <c r="F474" s="10">
        <f t="shared" si="1"/>
        <v>1</v>
      </c>
      <c r="G474" s="10">
        <f t="array" ref="G474">index('Player ID'!C:C,match(E474,'Player ID'!B:B,0))</f>
        <v>666619</v>
      </c>
    </row>
    <row r="475">
      <c r="A475" s="76">
        <v>45746.0</v>
      </c>
      <c r="B475" s="1" t="s">
        <v>251</v>
      </c>
      <c r="C475" s="1" t="s">
        <v>52</v>
      </c>
      <c r="D475" s="1">
        <v>6.2</v>
      </c>
      <c r="E475" s="1">
        <v>23429.0</v>
      </c>
      <c r="F475" s="10">
        <f t="shared" si="1"/>
        <v>6.666666667</v>
      </c>
      <c r="G475" s="10">
        <f t="array" ref="G475">index('Player ID'!C:C,match(E475,'Player ID'!B:B,0))</f>
        <v>676664</v>
      </c>
    </row>
    <row r="476">
      <c r="A476" s="76">
        <v>45746.0</v>
      </c>
      <c r="B476" s="1" t="s">
        <v>213</v>
      </c>
      <c r="C476" s="1" t="s">
        <v>52</v>
      </c>
      <c r="D476" s="1">
        <v>1.1</v>
      </c>
      <c r="E476" s="1">
        <v>27694.0</v>
      </c>
      <c r="F476" s="10">
        <f t="shared" si="1"/>
        <v>1.333333333</v>
      </c>
      <c r="G476" s="10">
        <f t="array" ref="G476">index('Player ID'!C:C,match(E476,'Player ID'!B:B,0))</f>
        <v>686993</v>
      </c>
    </row>
    <row r="477">
      <c r="A477" s="76">
        <v>45746.0</v>
      </c>
      <c r="B477" s="1" t="s">
        <v>90</v>
      </c>
      <c r="C477" s="1" t="s">
        <v>37</v>
      </c>
      <c r="D477" s="1">
        <v>6.0</v>
      </c>
      <c r="E477" s="1">
        <v>30279.0</v>
      </c>
      <c r="F477" s="10">
        <f t="shared" si="1"/>
        <v>6</v>
      </c>
      <c r="G477" s="10">
        <f t="array" ref="G477">index('Player ID'!C:C,match(E477,'Player ID'!B:B,0))</f>
        <v>693433</v>
      </c>
    </row>
    <row r="478">
      <c r="A478" s="76">
        <v>45746.0</v>
      </c>
      <c r="B478" s="1" t="s">
        <v>660</v>
      </c>
      <c r="C478" s="1" t="s">
        <v>46</v>
      </c>
      <c r="D478" s="1">
        <v>1.0</v>
      </c>
      <c r="E478" s="1">
        <v>11804.0</v>
      </c>
      <c r="F478" s="10">
        <f t="shared" si="1"/>
        <v>1</v>
      </c>
      <c r="G478" s="10">
        <f t="array" ref="G478">index('Player ID'!C:C,match(E478,'Player ID'!B:B,0))</f>
        <v>593576</v>
      </c>
    </row>
    <row r="479">
      <c r="A479" s="76">
        <v>45746.0</v>
      </c>
      <c r="B479" s="1" t="s">
        <v>342</v>
      </c>
      <c r="C479" s="1" t="s">
        <v>26</v>
      </c>
      <c r="D479" s="1">
        <v>1.0</v>
      </c>
      <c r="E479" s="1">
        <v>11861.0</v>
      </c>
      <c r="F479" s="10">
        <f t="shared" si="1"/>
        <v>1</v>
      </c>
      <c r="G479" s="10">
        <f t="array" ref="G479">index('Player ID'!C:C,match(E479,'Player ID'!B:B,0))</f>
        <v>592094</v>
      </c>
    </row>
    <row r="480">
      <c r="A480" s="76">
        <v>45746.0</v>
      </c>
      <c r="B480" s="1" t="s">
        <v>109</v>
      </c>
      <c r="C480" s="1" t="s">
        <v>26</v>
      </c>
      <c r="D480" s="1">
        <v>7.0</v>
      </c>
      <c r="E480" s="1">
        <v>15454.0</v>
      </c>
      <c r="F480" s="10">
        <f t="shared" si="1"/>
        <v>7</v>
      </c>
      <c r="G480" s="10">
        <f t="array" ref="G480">index('Player ID'!C:C,match(E480,'Player ID'!B:B,0))</f>
        <v>601713</v>
      </c>
    </row>
    <row r="481">
      <c r="A481" s="76">
        <v>45746.0</v>
      </c>
      <c r="B481" s="1" t="s">
        <v>737</v>
      </c>
      <c r="C481" s="1" t="s">
        <v>46</v>
      </c>
      <c r="D481" s="1">
        <v>3.0</v>
      </c>
      <c r="E481" s="1">
        <v>19911.0</v>
      </c>
      <c r="F481" s="10">
        <f t="shared" si="1"/>
        <v>3</v>
      </c>
      <c r="G481" s="10">
        <f t="array" ref="G481">index('Player ID'!C:C,match(E481,'Player ID'!B:B,0))</f>
        <v>660761</v>
      </c>
    </row>
    <row r="482">
      <c r="A482" s="76">
        <v>45746.0</v>
      </c>
      <c r="B482" s="1" t="s">
        <v>94</v>
      </c>
      <c r="C482" s="1" t="s">
        <v>26</v>
      </c>
      <c r="D482" s="1">
        <v>1.0</v>
      </c>
      <c r="E482" s="1">
        <v>22210.0</v>
      </c>
      <c r="F482" s="10">
        <f t="shared" si="1"/>
        <v>1</v>
      </c>
      <c r="G482" s="10">
        <f t="array" ref="G482">index('Player ID'!C:C,match(E482,'Player ID'!B:B,0))</f>
        <v>669093</v>
      </c>
    </row>
    <row r="483">
      <c r="A483" s="76">
        <v>45746.0</v>
      </c>
      <c r="B483" s="1" t="s">
        <v>516</v>
      </c>
      <c r="C483" s="1" t="s">
        <v>46</v>
      </c>
      <c r="D483" s="1">
        <v>4.0</v>
      </c>
      <c r="E483" s="1">
        <v>29960.0</v>
      </c>
      <c r="F483" s="10">
        <f t="shared" si="1"/>
        <v>4</v>
      </c>
      <c r="G483" s="10">
        <f t="array" ref="G483">index('Player ID'!C:C,match(E483,'Player ID'!B:B,0))</f>
        <v>700363</v>
      </c>
    </row>
    <row r="484">
      <c r="A484" s="76">
        <v>45747.0</v>
      </c>
      <c r="B484" s="1" t="s">
        <v>738</v>
      </c>
      <c r="C484" s="1" t="s">
        <v>78</v>
      </c>
      <c r="D484" s="1">
        <v>6.0</v>
      </c>
      <c r="E484" s="1">
        <v>6902.0</v>
      </c>
      <c r="F484" s="10">
        <f t="shared" si="1"/>
        <v>6</v>
      </c>
      <c r="G484" s="10">
        <f t="array" ref="G484">index('Player ID'!C:C,match(E484,'Player ID'!B:B,0))</f>
        <v>527048</v>
      </c>
    </row>
    <row r="485">
      <c r="A485" s="76">
        <v>45747.0</v>
      </c>
      <c r="B485" s="1" t="s">
        <v>146</v>
      </c>
      <c r="C485" s="1" t="s">
        <v>16</v>
      </c>
      <c r="D485" s="1">
        <v>1.0</v>
      </c>
      <c r="E485" s="1">
        <v>15145.0</v>
      </c>
      <c r="F485" s="10">
        <f t="shared" si="1"/>
        <v>1</v>
      </c>
      <c r="G485" s="10">
        <f t="array" ref="G485">index('Player ID'!C:C,match(E485,'Player ID'!B:B,0))</f>
        <v>623437</v>
      </c>
    </row>
    <row r="486">
      <c r="A486" s="76">
        <v>45747.0</v>
      </c>
      <c r="B486" s="1" t="s">
        <v>740</v>
      </c>
      <c r="C486" s="1" t="s">
        <v>16</v>
      </c>
      <c r="D486" s="1">
        <v>1.0</v>
      </c>
      <c r="E486" s="1">
        <v>17338.0</v>
      </c>
      <c r="F486" s="10">
        <f t="shared" si="1"/>
        <v>1</v>
      </c>
      <c r="G486" s="10">
        <f t="array" ref="G486">index('Player ID'!C:C,match(E486,'Player ID'!B:B,0))</f>
        <v>650489</v>
      </c>
    </row>
    <row r="487">
      <c r="A487" s="76">
        <v>45747.0</v>
      </c>
      <c r="B487" s="1" t="s">
        <v>708</v>
      </c>
      <c r="C487" s="1" t="s">
        <v>16</v>
      </c>
      <c r="D487" s="1">
        <v>2.2</v>
      </c>
      <c r="E487" s="1">
        <v>20038.0</v>
      </c>
      <c r="F487" s="10">
        <f t="shared" si="1"/>
        <v>2.666666667</v>
      </c>
      <c r="G487" s="10">
        <f t="array" ref="G487">index('Player ID'!C:C,match(E487,'Player ID'!B:B,0))</f>
        <v>670766</v>
      </c>
    </row>
    <row r="488">
      <c r="A488" s="76">
        <v>45747.0</v>
      </c>
      <c r="B488" s="1" t="s">
        <v>133</v>
      </c>
      <c r="C488" s="1" t="s">
        <v>16</v>
      </c>
      <c r="D488" s="1">
        <v>3.1</v>
      </c>
      <c r="E488" s="1">
        <v>20099.0</v>
      </c>
      <c r="F488" s="10">
        <f t="shared" si="1"/>
        <v>3.333333333</v>
      </c>
      <c r="G488" s="10">
        <f t="array" ref="G488">index('Player ID'!C:C,match(E488,'Player ID'!B:B,0))</f>
        <v>663978</v>
      </c>
    </row>
    <row r="489">
      <c r="A489" s="76">
        <v>45747.0</v>
      </c>
      <c r="B489" s="1" t="s">
        <v>367</v>
      </c>
      <c r="C489" s="1" t="s">
        <v>78</v>
      </c>
      <c r="D489" s="1">
        <v>1.0</v>
      </c>
      <c r="E489" s="1">
        <v>27668.0</v>
      </c>
      <c r="F489" s="10">
        <f t="shared" si="1"/>
        <v>1</v>
      </c>
      <c r="G489" s="10">
        <f t="array" ref="G489">index('Player ID'!C:C,match(E489,'Player ID'!B:B,0))</f>
        <v>685126</v>
      </c>
    </row>
    <row r="490">
      <c r="A490" s="76">
        <v>45747.0</v>
      </c>
      <c r="B490" s="1" t="s">
        <v>497</v>
      </c>
      <c r="C490" s="1" t="s">
        <v>78</v>
      </c>
      <c r="D490" s="1">
        <v>2.0</v>
      </c>
      <c r="E490" s="1">
        <v>30105.0</v>
      </c>
      <c r="F490" s="10">
        <f t="shared" si="1"/>
        <v>2</v>
      </c>
      <c r="G490" s="10">
        <f t="array" ref="G490">index('Player ID'!C:C,match(E490,'Player ID'!B:B,0))</f>
        <v>678024</v>
      </c>
    </row>
    <row r="491">
      <c r="A491" s="76">
        <v>45747.0</v>
      </c>
      <c r="B491" s="1" t="s">
        <v>636</v>
      </c>
      <c r="C491" s="1" t="s">
        <v>14</v>
      </c>
      <c r="D491" s="1">
        <v>1.0</v>
      </c>
      <c r="E491" s="1">
        <v>19924.0</v>
      </c>
      <c r="F491" s="10">
        <f t="shared" si="1"/>
        <v>1</v>
      </c>
      <c r="G491" s="10">
        <f t="array" ref="G491">index('Player ID'!C:C,match(E491,'Player ID'!B:B,0))</f>
        <v>663542</v>
      </c>
    </row>
    <row r="492">
      <c r="A492" s="76">
        <v>45747.0</v>
      </c>
      <c r="B492" s="1" t="s">
        <v>318</v>
      </c>
      <c r="C492" s="1" t="s">
        <v>14</v>
      </c>
      <c r="D492" s="1">
        <v>2.2</v>
      </c>
      <c r="E492" s="1">
        <v>20546.0</v>
      </c>
      <c r="F492" s="10">
        <f t="shared" si="1"/>
        <v>2.666666667</v>
      </c>
      <c r="G492" s="10">
        <f t="array" ref="G492">index('Player ID'!C:C,match(E492,'Player ID'!B:B,0))</f>
        <v>681982</v>
      </c>
    </row>
    <row r="493">
      <c r="A493" s="76">
        <v>45747.0</v>
      </c>
      <c r="B493" s="1" t="s">
        <v>744</v>
      </c>
      <c r="C493" s="1" t="s">
        <v>14</v>
      </c>
      <c r="D493" s="1">
        <v>4.0</v>
      </c>
      <c r="E493" s="1">
        <v>20962.0</v>
      </c>
      <c r="F493" s="10">
        <f t="shared" si="1"/>
        <v>4</v>
      </c>
      <c r="G493" s="10">
        <f t="array" ref="G493">index('Player ID'!C:C,match(E493,'Player ID'!B:B,0))</f>
        <v>660730</v>
      </c>
    </row>
    <row r="494">
      <c r="A494" s="76">
        <v>45747.0</v>
      </c>
      <c r="B494" s="1" t="s">
        <v>163</v>
      </c>
      <c r="C494" s="1" t="s">
        <v>29</v>
      </c>
      <c r="D494" s="1">
        <v>6.0</v>
      </c>
      <c r="E494" s="1">
        <v>21455.0</v>
      </c>
      <c r="F494" s="10">
        <f t="shared" si="1"/>
        <v>6</v>
      </c>
      <c r="G494" s="10">
        <f t="array" ref="G494">index('Player ID'!C:C,match(E494,'Player ID'!B:B,0))</f>
        <v>663460</v>
      </c>
    </row>
    <row r="495">
      <c r="A495" s="76">
        <v>45747.0</v>
      </c>
      <c r="B495" s="1" t="s">
        <v>293</v>
      </c>
      <c r="C495" s="1" t="s">
        <v>29</v>
      </c>
      <c r="D495" s="1">
        <v>2.0</v>
      </c>
      <c r="E495" s="1">
        <v>21537.0</v>
      </c>
      <c r="F495" s="10">
        <f t="shared" si="1"/>
        <v>2</v>
      </c>
      <c r="G495" s="10">
        <f t="array" ref="G495">index('Player ID'!C:C,match(E495,'Player ID'!B:B,0))</f>
        <v>663738</v>
      </c>
    </row>
    <row r="496">
      <c r="A496" s="76">
        <v>45747.0</v>
      </c>
      <c r="B496" s="1" t="s">
        <v>690</v>
      </c>
      <c r="C496" s="1" t="s">
        <v>14</v>
      </c>
      <c r="D496" s="1">
        <v>1.1</v>
      </c>
      <c r="E496" s="1">
        <v>21652.0</v>
      </c>
      <c r="F496" s="10">
        <f t="shared" si="1"/>
        <v>1.333333333</v>
      </c>
      <c r="G496" s="10">
        <f t="array" ref="G496">index('Player ID'!C:C,match(E496,'Player ID'!B:B,0))</f>
        <v>665625</v>
      </c>
    </row>
    <row r="497">
      <c r="A497" s="76">
        <v>45747.0</v>
      </c>
      <c r="B497" s="1" t="s">
        <v>140</v>
      </c>
      <c r="C497" s="1" t="s">
        <v>29</v>
      </c>
      <c r="D497" s="1">
        <v>1.0</v>
      </c>
      <c r="E497" s="1">
        <v>22717.0</v>
      </c>
      <c r="F497" s="10">
        <f t="shared" si="1"/>
        <v>1</v>
      </c>
      <c r="G497" s="10">
        <f t="array" ref="G497">index('Player ID'!C:C,match(E497,'Player ID'!B:B,0))</f>
        <v>672582</v>
      </c>
    </row>
    <row r="498">
      <c r="A498" s="76">
        <v>45747.0</v>
      </c>
      <c r="B498" s="1" t="s">
        <v>723</v>
      </c>
      <c r="C498" s="1" t="s">
        <v>68</v>
      </c>
      <c r="D498" s="1">
        <v>0.2</v>
      </c>
      <c r="E498" s="1">
        <v>13528.0</v>
      </c>
      <c r="F498" s="10">
        <f t="shared" si="1"/>
        <v>0.6666666667</v>
      </c>
      <c r="G498" s="10">
        <f t="array" ref="G498">index('Player ID'!C:C,match(E498,'Player ID'!B:B,0))</f>
        <v>621199</v>
      </c>
    </row>
    <row r="499">
      <c r="A499" s="76">
        <v>45747.0</v>
      </c>
      <c r="B499" s="1" t="s">
        <v>415</v>
      </c>
      <c r="C499" s="1" t="s">
        <v>22</v>
      </c>
      <c r="D499" s="1">
        <v>4.0</v>
      </c>
      <c r="E499" s="1">
        <v>16943.0</v>
      </c>
      <c r="F499" s="10">
        <f t="shared" si="1"/>
        <v>4</v>
      </c>
      <c r="G499" s="10">
        <f t="array" ref="G499">index('Player ID'!C:C,match(E499,'Player ID'!B:B,0))</f>
        <v>656794</v>
      </c>
    </row>
    <row r="500">
      <c r="A500" s="76">
        <v>45747.0</v>
      </c>
      <c r="B500" s="1" t="s">
        <v>639</v>
      </c>
      <c r="C500" s="1" t="s">
        <v>68</v>
      </c>
      <c r="D500" s="1">
        <v>1.0</v>
      </c>
      <c r="E500" s="1">
        <v>19249.0</v>
      </c>
      <c r="F500" s="10">
        <f t="shared" si="1"/>
        <v>1</v>
      </c>
      <c r="G500" s="10">
        <f t="array" ref="G500">index('Player ID'!C:C,match(E500,'Player ID'!B:B,0))</f>
        <v>622554</v>
      </c>
    </row>
    <row r="501">
      <c r="A501" s="76">
        <v>45747.0</v>
      </c>
      <c r="B501" s="1" t="s">
        <v>231</v>
      </c>
      <c r="C501" s="1" t="s">
        <v>68</v>
      </c>
      <c r="D501" s="1">
        <v>1.0</v>
      </c>
      <c r="E501" s="1">
        <v>19362.0</v>
      </c>
      <c r="F501" s="10">
        <f t="shared" si="1"/>
        <v>1</v>
      </c>
      <c r="G501" s="10">
        <f t="array" ref="G501">index('Player ID'!C:C,match(E501,'Player ID'!B:B,0))</f>
        <v>669211</v>
      </c>
    </row>
    <row r="502">
      <c r="A502" s="76">
        <v>45747.0</v>
      </c>
      <c r="B502" s="1" t="s">
        <v>250</v>
      </c>
      <c r="C502" s="1" t="s">
        <v>22</v>
      </c>
      <c r="D502" s="1">
        <v>2.0</v>
      </c>
      <c r="E502" s="1">
        <v>20191.0</v>
      </c>
      <c r="F502" s="10">
        <f t="shared" si="1"/>
        <v>2</v>
      </c>
      <c r="G502" s="10">
        <f t="array" ref="G502">index('Player ID'!C:C,match(E502,'Player ID'!B:B,0))</f>
        <v>676477</v>
      </c>
    </row>
    <row r="503">
      <c r="A503" s="76">
        <v>45747.0</v>
      </c>
      <c r="B503" s="1" t="s">
        <v>406</v>
      </c>
      <c r="C503" s="1" t="s">
        <v>22</v>
      </c>
      <c r="D503" s="1">
        <v>1.0</v>
      </c>
      <c r="E503" s="1">
        <v>20375.0</v>
      </c>
      <c r="F503" s="10">
        <f t="shared" si="1"/>
        <v>1</v>
      </c>
      <c r="G503" s="10">
        <f t="array" ref="G503">index('Player ID'!C:C,match(E503,'Player ID'!B:B,0))</f>
        <v>669711</v>
      </c>
    </row>
    <row r="504">
      <c r="A504" s="76">
        <v>45747.0</v>
      </c>
      <c r="B504" s="1" t="s">
        <v>698</v>
      </c>
      <c r="C504" s="1" t="s">
        <v>68</v>
      </c>
      <c r="D504" s="1">
        <v>1.0</v>
      </c>
      <c r="E504" s="1">
        <v>20666.0</v>
      </c>
      <c r="F504" s="10">
        <f t="shared" si="1"/>
        <v>1</v>
      </c>
      <c r="G504" s="10">
        <f t="array" ref="G504">index('Player ID'!C:C,match(E504,'Player ID'!B:B,0))</f>
        <v>642585</v>
      </c>
    </row>
    <row r="505">
      <c r="A505" s="76">
        <v>45747.0</v>
      </c>
      <c r="B505" s="1" t="s">
        <v>563</v>
      </c>
      <c r="C505" s="1" t="s">
        <v>22</v>
      </c>
      <c r="D505" s="1">
        <v>1.0</v>
      </c>
      <c r="E505" s="1">
        <v>24975.0</v>
      </c>
      <c r="F505" s="10">
        <f t="shared" si="1"/>
        <v>1</v>
      </c>
      <c r="G505" s="10">
        <f t="array" ref="G505">index('Player ID'!C:C,match(E505,'Player ID'!B:B,0))</f>
        <v>681867</v>
      </c>
    </row>
    <row r="506">
      <c r="A506" s="76">
        <v>45747.0</v>
      </c>
      <c r="B506" s="1" t="s">
        <v>645</v>
      </c>
      <c r="C506" s="1" t="s">
        <v>22</v>
      </c>
      <c r="D506" s="1">
        <v>0.0</v>
      </c>
      <c r="E506" s="1">
        <v>25648.0</v>
      </c>
      <c r="F506" s="10">
        <f t="shared" si="1"/>
        <v>0</v>
      </c>
      <c r="G506" s="10">
        <f t="array" ref="G506">index('Player ID'!C:C,match(E506,'Player ID'!B:B,0))</f>
        <v>686580</v>
      </c>
    </row>
    <row r="507">
      <c r="A507" s="76">
        <v>45747.0</v>
      </c>
      <c r="B507" s="1" t="s">
        <v>235</v>
      </c>
      <c r="C507" s="1" t="s">
        <v>68</v>
      </c>
      <c r="D507" s="1">
        <v>1.0</v>
      </c>
      <c r="E507" s="1">
        <v>25911.0</v>
      </c>
      <c r="F507" s="10">
        <f t="shared" si="1"/>
        <v>1</v>
      </c>
      <c r="G507" s="10">
        <f t="array" ref="G507">index('Player ID'!C:C,match(E507,'Player ID'!B:B,0))</f>
        <v>666974</v>
      </c>
    </row>
    <row r="508">
      <c r="A508" s="76">
        <v>45747.0</v>
      </c>
      <c r="B508" s="1" t="s">
        <v>347</v>
      </c>
      <c r="C508" s="1" t="s">
        <v>68</v>
      </c>
      <c r="D508" s="1">
        <v>4.1</v>
      </c>
      <c r="E508" s="1">
        <v>30055.0</v>
      </c>
      <c r="F508" s="10">
        <f t="shared" si="1"/>
        <v>4.333333333</v>
      </c>
      <c r="G508" s="10">
        <f t="array" ref="G508">index('Player ID'!C:C,match(E508,'Player ID'!B:B,0))</f>
        <v>700249</v>
      </c>
    </row>
    <row r="509">
      <c r="A509" s="76">
        <v>45747.0</v>
      </c>
      <c r="B509" s="1" t="s">
        <v>704</v>
      </c>
      <c r="C509" s="1" t="s">
        <v>75</v>
      </c>
      <c r="D509" s="1">
        <v>0.2</v>
      </c>
      <c r="E509" s="1">
        <v>10591.0</v>
      </c>
      <c r="F509" s="10">
        <f t="shared" si="1"/>
        <v>0.6666666667</v>
      </c>
      <c r="G509" s="10">
        <f t="array" ref="G509">index('Player ID'!C:C,match(E509,'Player ID'!B:B,0))</f>
        <v>518397</v>
      </c>
    </row>
    <row r="510">
      <c r="A510" s="76">
        <v>45747.0</v>
      </c>
      <c r="B510" s="1" t="s">
        <v>360</v>
      </c>
      <c r="C510" s="1" t="s">
        <v>45</v>
      </c>
      <c r="D510" s="1">
        <v>1.0</v>
      </c>
      <c r="E510" s="1">
        <v>12972.0</v>
      </c>
      <c r="F510" s="10">
        <f t="shared" si="1"/>
        <v>1</v>
      </c>
      <c r="G510" s="10">
        <f t="array" ref="G510">index('Player ID'!C:C,match(E510,'Player ID'!B:B,0))</f>
        <v>605452</v>
      </c>
    </row>
    <row r="511">
      <c r="A511" s="76">
        <v>45747.0</v>
      </c>
      <c r="B511" s="1" t="s">
        <v>746</v>
      </c>
      <c r="C511" s="1" t="s">
        <v>75</v>
      </c>
      <c r="D511" s="1">
        <v>6.0</v>
      </c>
      <c r="E511" s="1">
        <v>15038.0</v>
      </c>
      <c r="F511" s="10">
        <f t="shared" si="1"/>
        <v>6</v>
      </c>
      <c r="G511" s="10">
        <f t="array" ref="G511">index('Player ID'!C:C,match(E511,'Player ID'!B:B,0))</f>
        <v>608566</v>
      </c>
    </row>
    <row r="512">
      <c r="A512" s="76">
        <v>45747.0</v>
      </c>
      <c r="B512" s="1" t="s">
        <v>208</v>
      </c>
      <c r="C512" s="1" t="s">
        <v>45</v>
      </c>
      <c r="D512" s="1">
        <v>1.0</v>
      </c>
      <c r="E512" s="1">
        <v>16122.0</v>
      </c>
      <c r="F512" s="10">
        <f t="shared" si="1"/>
        <v>1</v>
      </c>
      <c r="G512" s="10">
        <f t="array" ref="G512">index('Player ID'!C:C,match(E512,'Player ID'!B:B,0))</f>
        <v>605447</v>
      </c>
    </row>
    <row r="513">
      <c r="A513" s="76">
        <v>45747.0</v>
      </c>
      <c r="B513" s="1" t="s">
        <v>643</v>
      </c>
      <c r="C513" s="1" t="s">
        <v>45</v>
      </c>
      <c r="D513" s="1">
        <v>1.0</v>
      </c>
      <c r="E513" s="1">
        <v>17780.0</v>
      </c>
      <c r="F513" s="10">
        <f t="shared" si="1"/>
        <v>1</v>
      </c>
      <c r="G513" s="10">
        <f t="array" ref="G513">index('Player ID'!C:C,match(E513,'Player ID'!B:B,0))</f>
        <v>621237</v>
      </c>
    </row>
    <row r="514">
      <c r="A514" s="76">
        <v>45747.0</v>
      </c>
      <c r="B514" s="1" t="s">
        <v>747</v>
      </c>
      <c r="C514" s="1" t="s">
        <v>45</v>
      </c>
      <c r="D514" s="1">
        <v>5.1</v>
      </c>
      <c r="E514" s="1">
        <v>20778.0</v>
      </c>
      <c r="F514" s="10">
        <f t="shared" si="1"/>
        <v>5.333333333</v>
      </c>
      <c r="G514" s="10">
        <f t="array" ref="G514">index('Player ID'!C:C,match(E514,'Player ID'!B:B,0))</f>
        <v>650911</v>
      </c>
    </row>
    <row r="515">
      <c r="A515" s="76">
        <v>45747.0</v>
      </c>
      <c r="B515" s="1" t="s">
        <v>365</v>
      </c>
      <c r="C515" s="1" t="s">
        <v>75</v>
      </c>
      <c r="D515" s="1">
        <v>0.1</v>
      </c>
      <c r="E515" s="1">
        <v>24614.0</v>
      </c>
      <c r="F515" s="10">
        <f t="shared" si="1"/>
        <v>0.3333333333</v>
      </c>
      <c r="G515" s="10">
        <f t="array" ref="G515">index('Player ID'!C:C,match(E515,'Player ID'!B:B,0))</f>
        <v>680767</v>
      </c>
    </row>
    <row r="516">
      <c r="A516" s="76">
        <v>45747.0</v>
      </c>
      <c r="B516" s="1" t="s">
        <v>466</v>
      </c>
      <c r="C516" s="1" t="s">
        <v>75</v>
      </c>
      <c r="D516" s="1">
        <v>1.0</v>
      </c>
      <c r="E516" s="1">
        <v>26419.0</v>
      </c>
      <c r="F516" s="10">
        <f t="shared" si="1"/>
        <v>1</v>
      </c>
      <c r="G516" s="10">
        <f t="array" ref="G516">index('Player ID'!C:C,match(E516,'Player ID'!B:B,0))</f>
        <v>687134</v>
      </c>
    </row>
    <row r="517">
      <c r="A517" s="76">
        <v>45747.0</v>
      </c>
      <c r="B517" s="1" t="s">
        <v>165</v>
      </c>
      <c r="C517" s="1" t="s">
        <v>45</v>
      </c>
      <c r="D517" s="1">
        <v>0.2</v>
      </c>
      <c r="E517" s="1">
        <v>31776.0</v>
      </c>
      <c r="F517" s="10">
        <f t="shared" si="1"/>
        <v>0.6666666667</v>
      </c>
      <c r="G517" s="10">
        <f t="array" ref="G517">index('Player ID'!C:C,match(E517,'Player ID'!B:B,0))</f>
        <v>689147</v>
      </c>
    </row>
    <row r="518">
      <c r="A518" s="76">
        <v>45747.0</v>
      </c>
      <c r="B518" s="1" t="s">
        <v>417</v>
      </c>
      <c r="C518" s="1" t="s">
        <v>66</v>
      </c>
      <c r="D518" s="1">
        <v>1.0</v>
      </c>
      <c r="E518" s="1">
        <v>13942.0</v>
      </c>
      <c r="F518" s="10">
        <f t="shared" si="1"/>
        <v>1</v>
      </c>
      <c r="G518" s="10">
        <f t="array" ref="G518">index('Player ID'!C:C,match(E518,'Player ID'!B:B,0))</f>
        <v>608718</v>
      </c>
    </row>
    <row r="519">
      <c r="A519" s="76">
        <v>45747.0</v>
      </c>
      <c r="B519" s="1" t="s">
        <v>652</v>
      </c>
      <c r="C519" s="1" t="s">
        <v>66</v>
      </c>
      <c r="D519" s="1">
        <v>1.0</v>
      </c>
      <c r="E519" s="1">
        <v>14874.0</v>
      </c>
      <c r="F519" s="10">
        <f t="shared" si="1"/>
        <v>1</v>
      </c>
      <c r="G519" s="10">
        <f t="array" ref="G519">index('Player ID'!C:C,match(E519,'Player ID'!B:B,0))</f>
        <v>594580</v>
      </c>
    </row>
    <row r="520">
      <c r="A520" s="76">
        <v>45747.0</v>
      </c>
      <c r="B520" s="1" t="s">
        <v>710</v>
      </c>
      <c r="C520" s="1" t="s">
        <v>56</v>
      </c>
      <c r="D520" s="1">
        <v>2.2</v>
      </c>
      <c r="E520" s="1">
        <v>19835.0</v>
      </c>
      <c r="F520" s="10">
        <f t="shared" si="1"/>
        <v>2.666666667</v>
      </c>
      <c r="G520" s="10">
        <f t="array" ref="G520">index('Player ID'!C:C,match(E520,'Player ID'!B:B,0))</f>
        <v>642520</v>
      </c>
    </row>
    <row r="521">
      <c r="A521" s="76">
        <v>45747.0</v>
      </c>
      <c r="B521" s="1" t="s">
        <v>750</v>
      </c>
      <c r="C521" s="1" t="s">
        <v>56</v>
      </c>
      <c r="D521" s="1">
        <v>1.0</v>
      </c>
      <c r="E521" s="1">
        <v>23733.0</v>
      </c>
      <c r="F521" s="10">
        <f t="shared" si="1"/>
        <v>1</v>
      </c>
      <c r="G521" s="10">
        <f t="array" ref="G521">index('Player ID'!C:C,match(E521,'Player ID'!B:B,0))</f>
        <v>677649</v>
      </c>
    </row>
    <row r="522">
      <c r="A522" s="76">
        <v>45747.0</v>
      </c>
      <c r="B522" s="1" t="s">
        <v>353</v>
      </c>
      <c r="C522" s="1" t="s">
        <v>66</v>
      </c>
      <c r="D522" s="1">
        <v>7.0</v>
      </c>
      <c r="E522" s="1">
        <v>25377.0</v>
      </c>
      <c r="F522" s="10">
        <f t="shared" si="1"/>
        <v>7</v>
      </c>
      <c r="G522" s="10">
        <f t="array" ref="G522">index('Player ID'!C:C,match(E522,'Player ID'!B:B,0))</f>
        <v>663903</v>
      </c>
    </row>
    <row r="523">
      <c r="A523" s="76">
        <v>45747.0</v>
      </c>
      <c r="B523" s="1" t="s">
        <v>677</v>
      </c>
      <c r="C523" s="1" t="s">
        <v>56</v>
      </c>
      <c r="D523" s="1">
        <v>1.1</v>
      </c>
      <c r="E523" s="1">
        <v>26353.0</v>
      </c>
      <c r="F523" s="10">
        <f t="shared" si="1"/>
        <v>1.333333333</v>
      </c>
      <c r="G523" s="10">
        <f t="array" ref="G523">index('Player ID'!C:C,match(E523,'Player ID'!B:B,0))</f>
        <v>687847</v>
      </c>
    </row>
    <row r="524">
      <c r="A524" s="76">
        <v>45747.0</v>
      </c>
      <c r="B524" s="1" t="s">
        <v>477</v>
      </c>
      <c r="C524" s="1" t="s">
        <v>56</v>
      </c>
      <c r="D524" s="1">
        <v>3.0</v>
      </c>
      <c r="E524" s="1">
        <v>31843.0</v>
      </c>
      <c r="F524" s="10">
        <f t="shared" si="1"/>
        <v>3</v>
      </c>
      <c r="G524" s="10">
        <f t="array" ref="G524">index('Player ID'!C:C,match(E524,'Player ID'!B:B,0))</f>
        <v>677958</v>
      </c>
    </row>
    <row r="525">
      <c r="A525" s="76">
        <v>45747.0</v>
      </c>
      <c r="B525" s="1" t="s">
        <v>646</v>
      </c>
      <c r="C525" s="1" t="s">
        <v>51</v>
      </c>
      <c r="D525" s="1">
        <v>2.0</v>
      </c>
      <c r="E525" s="1">
        <v>6107.0</v>
      </c>
      <c r="F525" s="10">
        <f t="shared" si="1"/>
        <v>2</v>
      </c>
      <c r="G525" s="10">
        <f t="array" ref="G525">index('Player ID'!C:C,match(E525,'Player ID'!B:B,0))</f>
        <v>623211</v>
      </c>
    </row>
    <row r="526">
      <c r="A526" s="76">
        <v>45747.0</v>
      </c>
      <c r="B526" s="1" t="s">
        <v>647</v>
      </c>
      <c r="C526" s="1" t="s">
        <v>51</v>
      </c>
      <c r="D526" s="1">
        <v>1.0</v>
      </c>
      <c r="E526" s="1">
        <v>18439.0</v>
      </c>
      <c r="F526" s="10">
        <f t="shared" si="1"/>
        <v>1</v>
      </c>
      <c r="G526" s="10">
        <f t="array" ref="G526">index('Player ID'!C:C,match(E526,'Player ID'!B:B,0))</f>
        <v>664849</v>
      </c>
    </row>
    <row r="527">
      <c r="A527" s="76">
        <v>45747.0</v>
      </c>
      <c r="B527" s="1" t="s">
        <v>464</v>
      </c>
      <c r="C527" s="1" t="s">
        <v>36</v>
      </c>
      <c r="D527" s="1">
        <v>4.0</v>
      </c>
      <c r="E527" s="1">
        <v>19312.0</v>
      </c>
      <c r="F527" s="10">
        <f t="shared" si="1"/>
        <v>4</v>
      </c>
      <c r="G527" s="10">
        <f t="array" ref="G527">index('Player ID'!C:C,match(E527,'Player ID'!B:B,0))</f>
        <v>615698</v>
      </c>
    </row>
    <row r="528">
      <c r="A528" s="76">
        <v>45747.0</v>
      </c>
      <c r="B528" s="1" t="s">
        <v>307</v>
      </c>
      <c r="C528" s="1" t="s">
        <v>51</v>
      </c>
      <c r="D528" s="1">
        <v>6.0</v>
      </c>
      <c r="E528" s="1">
        <v>20302.0</v>
      </c>
      <c r="F528" s="10">
        <f t="shared" si="1"/>
        <v>6</v>
      </c>
      <c r="G528" s="10">
        <f t="array" ref="G528">index('Player ID'!C:C,match(E528,'Player ID'!B:B,0))</f>
        <v>656849</v>
      </c>
    </row>
    <row r="529">
      <c r="A529" s="76">
        <v>45747.0</v>
      </c>
      <c r="B529" s="1" t="s">
        <v>469</v>
      </c>
      <c r="C529" s="1" t="s">
        <v>36</v>
      </c>
      <c r="D529" s="1">
        <v>2.0</v>
      </c>
      <c r="E529" s="1">
        <v>21863.0</v>
      </c>
      <c r="F529" s="10">
        <f t="shared" si="1"/>
        <v>2</v>
      </c>
      <c r="G529" s="10">
        <f t="array" ref="G529">index('Player ID'!C:C,match(E529,'Player ID'!B:B,0))</f>
        <v>666277</v>
      </c>
    </row>
    <row r="530">
      <c r="A530" s="76">
        <v>45747.0</v>
      </c>
      <c r="B530" s="1" t="s">
        <v>754</v>
      </c>
      <c r="C530" s="1" t="s">
        <v>36</v>
      </c>
      <c r="D530" s="1">
        <v>3.0</v>
      </c>
      <c r="E530" s="1">
        <v>23811.0</v>
      </c>
      <c r="F530" s="10">
        <f t="shared" si="1"/>
        <v>3</v>
      </c>
      <c r="G530" s="10">
        <f t="array" ref="G530">index('Player ID'!C:C,match(E530,'Player ID'!B:B,0))</f>
        <v>678215</v>
      </c>
    </row>
    <row r="531">
      <c r="A531" s="76">
        <v>45747.0</v>
      </c>
      <c r="B531" s="1" t="s">
        <v>707</v>
      </c>
      <c r="C531" s="1" t="s">
        <v>60</v>
      </c>
      <c r="D531" s="1">
        <v>1.2</v>
      </c>
      <c r="E531" s="1">
        <v>15042.0</v>
      </c>
      <c r="F531" s="10">
        <f t="shared" si="1"/>
        <v>1.666666667</v>
      </c>
      <c r="G531" s="10">
        <f t="array" ref="G531">index('Player ID'!C:C,match(E531,'Player ID'!B:B,0))</f>
        <v>641835</v>
      </c>
    </row>
    <row r="532">
      <c r="A532" s="76">
        <v>45747.0</v>
      </c>
      <c r="B532" s="1" t="s">
        <v>443</v>
      </c>
      <c r="C532" s="1" t="s">
        <v>60</v>
      </c>
      <c r="D532" s="1">
        <v>1.2</v>
      </c>
      <c r="E532" s="1">
        <v>16350.0</v>
      </c>
      <c r="F532" s="10">
        <f t="shared" si="1"/>
        <v>1.666666667</v>
      </c>
      <c r="G532" s="10">
        <f t="array" ref="G532">index('Player ID'!C:C,match(E532,'Player ID'!B:B,0))</f>
        <v>621366</v>
      </c>
    </row>
    <row r="533">
      <c r="A533" s="76">
        <v>45747.0</v>
      </c>
      <c r="B533" s="1" t="s">
        <v>384</v>
      </c>
      <c r="C533" s="1" t="s">
        <v>60</v>
      </c>
      <c r="D533" s="1">
        <v>1.0</v>
      </c>
      <c r="E533" s="1">
        <v>19962.0</v>
      </c>
      <c r="F533" s="10">
        <f t="shared" si="1"/>
        <v>1</v>
      </c>
      <c r="G533" s="10">
        <f t="array" ref="G533">index('Player ID'!C:C,match(E533,'Player ID'!B:B,0))</f>
        <v>666214</v>
      </c>
    </row>
    <row r="534">
      <c r="A534" s="76">
        <v>45747.0</v>
      </c>
      <c r="B534" s="1" t="s">
        <v>705</v>
      </c>
      <c r="C534" s="1" t="s">
        <v>54</v>
      </c>
      <c r="D534" s="1">
        <v>1.0</v>
      </c>
      <c r="E534" s="1">
        <v>20794.0</v>
      </c>
      <c r="F534" s="10">
        <f t="shared" si="1"/>
        <v>1</v>
      </c>
      <c r="G534" s="10">
        <f t="array" ref="G534">index('Player ID'!C:C,match(E534,'Player ID'!B:B,0))</f>
        <v>655889</v>
      </c>
    </row>
    <row r="535">
      <c r="A535" s="76">
        <v>45747.0</v>
      </c>
      <c r="B535" s="1" t="s">
        <v>204</v>
      </c>
      <c r="C535" s="1" t="s">
        <v>54</v>
      </c>
      <c r="D535" s="1">
        <v>1.0</v>
      </c>
      <c r="E535" s="1">
        <v>22288.0</v>
      </c>
      <c r="F535" s="10">
        <f t="shared" si="1"/>
        <v>1</v>
      </c>
      <c r="G535" s="10">
        <f t="array" ref="G535">index('Player ID'!C:C,match(E535,'Player ID'!B:B,0))</f>
        <v>669438</v>
      </c>
    </row>
    <row r="536">
      <c r="A536" s="76">
        <v>45747.0</v>
      </c>
      <c r="B536" s="1" t="s">
        <v>97</v>
      </c>
      <c r="C536" s="1" t="s">
        <v>54</v>
      </c>
      <c r="D536" s="1">
        <v>5.0</v>
      </c>
      <c r="E536" s="1">
        <v>25385.0</v>
      </c>
      <c r="F536" s="10">
        <f t="shared" si="1"/>
        <v>5</v>
      </c>
      <c r="G536" s="10">
        <f t="array" ref="G536">index('Player ID'!C:C,match(E536,'Player ID'!B:B,0))</f>
        <v>656876</v>
      </c>
    </row>
    <row r="537">
      <c r="A537" s="76">
        <v>45747.0</v>
      </c>
      <c r="B537" s="1" t="s">
        <v>671</v>
      </c>
      <c r="C537" s="1" t="s">
        <v>54</v>
      </c>
      <c r="D537" s="1">
        <v>2.0</v>
      </c>
      <c r="E537" s="1">
        <v>26259.0</v>
      </c>
      <c r="F537" s="10">
        <f t="shared" si="1"/>
        <v>2</v>
      </c>
      <c r="G537" s="10">
        <f t="array" ref="G537">index('Player ID'!C:C,match(E537,'Player ID'!B:B,0))</f>
        <v>685801</v>
      </c>
    </row>
    <row r="538">
      <c r="A538" s="76">
        <v>45747.0</v>
      </c>
      <c r="B538" s="1" t="s">
        <v>267</v>
      </c>
      <c r="C538" s="1" t="s">
        <v>60</v>
      </c>
      <c r="D538" s="1">
        <v>3.2</v>
      </c>
      <c r="E538" s="1">
        <v>27572.0</v>
      </c>
      <c r="F538" s="10">
        <f t="shared" si="1"/>
        <v>3.666666667</v>
      </c>
      <c r="G538" s="10">
        <f t="array" ref="G538">index('Player ID'!C:C,match(E538,'Player ID'!B:B,0))</f>
        <v>669387</v>
      </c>
    </row>
    <row r="539">
      <c r="A539" s="76">
        <v>45747.0</v>
      </c>
      <c r="B539" s="1" t="s">
        <v>673</v>
      </c>
      <c r="C539" s="1" t="s">
        <v>40</v>
      </c>
      <c r="D539" s="1">
        <v>1.0</v>
      </c>
      <c r="E539" s="1">
        <v>12095.0</v>
      </c>
      <c r="F539" s="10">
        <f t="shared" si="1"/>
        <v>1</v>
      </c>
      <c r="G539" s="10">
        <f t="array" ref="G539">index('Player ID'!C:C,match(E539,'Player ID'!B:B,0))</f>
        <v>554340</v>
      </c>
    </row>
    <row r="540">
      <c r="A540" s="76">
        <v>45747.0</v>
      </c>
      <c r="B540" s="1" t="s">
        <v>642</v>
      </c>
      <c r="C540" s="1" t="s">
        <v>80</v>
      </c>
      <c r="D540" s="1">
        <v>0.2</v>
      </c>
      <c r="E540" s="1">
        <v>13470.0</v>
      </c>
      <c r="F540" s="10">
        <f t="shared" si="1"/>
        <v>0.6666666667</v>
      </c>
      <c r="G540" s="10">
        <f t="array" ref="G540">index('Player ID'!C:C,match(E540,'Player ID'!B:B,0))</f>
        <v>608371</v>
      </c>
    </row>
    <row r="541">
      <c r="A541" s="76">
        <v>45747.0</v>
      </c>
      <c r="B541" s="1" t="s">
        <v>480</v>
      </c>
      <c r="C541" s="1" t="s">
        <v>80</v>
      </c>
      <c r="D541" s="1">
        <v>5.0</v>
      </c>
      <c r="E541" s="1">
        <v>18383.0</v>
      </c>
      <c r="F541" s="10">
        <f t="shared" si="1"/>
        <v>5</v>
      </c>
      <c r="G541" s="10">
        <f t="array" ref="G541">index('Player ID'!C:C,match(E541,'Player ID'!B:B,0))</f>
        <v>647336</v>
      </c>
    </row>
    <row r="542">
      <c r="A542" s="76">
        <v>45747.0</v>
      </c>
      <c r="B542" s="1" t="s">
        <v>644</v>
      </c>
      <c r="C542" s="1" t="s">
        <v>80</v>
      </c>
      <c r="D542" s="1">
        <v>0.1</v>
      </c>
      <c r="E542" s="1">
        <v>19403.0</v>
      </c>
      <c r="F542" s="10">
        <f t="shared" si="1"/>
        <v>0.3333333333</v>
      </c>
      <c r="G542" s="10">
        <f t="array" ref="G542">index('Player ID'!C:C,match(E542,'Player ID'!B:B,0))</f>
        <v>621363</v>
      </c>
    </row>
    <row r="543">
      <c r="A543" s="76">
        <v>45747.0</v>
      </c>
      <c r="B543" s="1" t="s">
        <v>641</v>
      </c>
      <c r="C543" s="1" t="s">
        <v>40</v>
      </c>
      <c r="D543" s="1">
        <v>1.0</v>
      </c>
      <c r="E543" s="1">
        <v>20517.0</v>
      </c>
      <c r="F543" s="10">
        <f t="shared" si="1"/>
        <v>1</v>
      </c>
      <c r="G543" s="10">
        <f t="array" ref="G543">index('Player ID'!C:C,match(E543,'Player ID'!B:B,0))</f>
        <v>680704</v>
      </c>
    </row>
    <row r="544">
      <c r="A544" s="76">
        <v>45747.0</v>
      </c>
      <c r="B544" s="1" t="s">
        <v>428</v>
      </c>
      <c r="C544" s="1" t="s">
        <v>40</v>
      </c>
      <c r="D544" s="1">
        <v>6.0</v>
      </c>
      <c r="E544" s="1">
        <v>20548.0</v>
      </c>
      <c r="F544" s="10">
        <f t="shared" si="1"/>
        <v>6</v>
      </c>
      <c r="G544" s="10">
        <f t="array" ref="G544">index('Player ID'!C:C,match(E544,'Player ID'!B:B,0))</f>
        <v>670102</v>
      </c>
    </row>
    <row r="545">
      <c r="A545" s="76">
        <v>45747.0</v>
      </c>
      <c r="B545" s="1" t="s">
        <v>395</v>
      </c>
      <c r="C545" s="1" t="s">
        <v>40</v>
      </c>
      <c r="D545" s="1">
        <v>1.0</v>
      </c>
      <c r="E545" s="1">
        <v>21574.0</v>
      </c>
      <c r="F545" s="10">
        <f t="shared" si="1"/>
        <v>1</v>
      </c>
      <c r="G545" s="10">
        <f t="array" ref="G545">index('Player ID'!C:C,match(E545,'Player ID'!B:B,0))</f>
        <v>663893</v>
      </c>
    </row>
    <row r="546">
      <c r="A546" s="76">
        <v>45747.0</v>
      </c>
      <c r="B546" s="1" t="s">
        <v>508</v>
      </c>
      <c r="C546" s="1" t="s">
        <v>80</v>
      </c>
      <c r="D546" s="1">
        <v>1.0</v>
      </c>
      <c r="E546" s="1">
        <v>23135.0</v>
      </c>
      <c r="F546" s="10">
        <f t="shared" si="1"/>
        <v>1</v>
      </c>
      <c r="G546" s="10">
        <f t="array" ref="G546">index('Player ID'!C:C,match(E546,'Player ID'!B:B,0))</f>
        <v>674285</v>
      </c>
    </row>
    <row r="547">
      <c r="A547" s="76">
        <v>45747.0</v>
      </c>
      <c r="B547" s="1" t="s">
        <v>437</v>
      </c>
      <c r="C547" s="1" t="s">
        <v>80</v>
      </c>
      <c r="D547" s="1">
        <v>1.0</v>
      </c>
      <c r="E547" s="1">
        <v>31972.0</v>
      </c>
      <c r="F547" s="10">
        <f t="shared" si="1"/>
        <v>1</v>
      </c>
      <c r="G547" s="10">
        <f t="array" ref="G547">index('Player ID'!C:C,match(E547,'Player ID'!B:B,0))</f>
        <v>695418</v>
      </c>
    </row>
    <row r="548">
      <c r="A548" s="76">
        <v>45747.0</v>
      </c>
      <c r="B548" s="1" t="s">
        <v>287</v>
      </c>
      <c r="C548" s="1" t="s">
        <v>72</v>
      </c>
      <c r="D548" s="1">
        <v>5.1</v>
      </c>
      <c r="E548" s="1">
        <v>9803.0</v>
      </c>
      <c r="F548" s="10">
        <f t="shared" si="1"/>
        <v>5.333333333</v>
      </c>
      <c r="G548" s="10">
        <f t="array" ref="G548">index('Player ID'!C:C,match(E548,'Player ID'!B:B,0))</f>
        <v>571945</v>
      </c>
    </row>
    <row r="549">
      <c r="A549" s="76">
        <v>45747.0</v>
      </c>
      <c r="B549" s="1" t="s">
        <v>278</v>
      </c>
      <c r="C549" s="1" t="s">
        <v>25</v>
      </c>
      <c r="D549" s="1">
        <v>5.0</v>
      </c>
      <c r="E549" s="1">
        <v>12880.0</v>
      </c>
      <c r="F549" s="10">
        <f t="shared" si="1"/>
        <v>5</v>
      </c>
      <c r="G549" s="10">
        <f t="array" ref="G549">index('Player ID'!C:C,match(E549,'Player ID'!B:B,0))</f>
        <v>542881</v>
      </c>
    </row>
    <row r="550">
      <c r="A550" s="76">
        <v>45747.0</v>
      </c>
      <c r="B550" s="1" t="s">
        <v>291</v>
      </c>
      <c r="C550" s="1" t="s">
        <v>25</v>
      </c>
      <c r="D550" s="1">
        <v>1.0</v>
      </c>
      <c r="E550" s="1">
        <v>17968.0</v>
      </c>
      <c r="F550" s="10">
        <f t="shared" si="1"/>
        <v>1</v>
      </c>
      <c r="G550" s="10">
        <f t="array" ref="G550">index('Player ID'!C:C,match(E550,'Player ID'!B:B,0))</f>
        <v>656271</v>
      </c>
    </row>
    <row r="551">
      <c r="A551" s="76">
        <v>45747.0</v>
      </c>
      <c r="B551" s="1" t="s">
        <v>190</v>
      </c>
      <c r="C551" s="1" t="s">
        <v>72</v>
      </c>
      <c r="D551" s="1">
        <v>1.0</v>
      </c>
      <c r="E551" s="1">
        <v>18064.0</v>
      </c>
      <c r="F551" s="10">
        <f t="shared" si="1"/>
        <v>1</v>
      </c>
      <c r="G551" s="10">
        <f t="array" ref="G551">index('Player ID'!C:C,match(E551,'Player ID'!B:B,0))</f>
        <v>664208</v>
      </c>
    </row>
    <row r="552">
      <c r="A552" s="76">
        <v>45747.0</v>
      </c>
      <c r="B552" s="1" t="s">
        <v>270</v>
      </c>
      <c r="C552" s="1" t="s">
        <v>72</v>
      </c>
      <c r="D552" s="1">
        <v>1.0</v>
      </c>
      <c r="E552" s="1">
        <v>18138.0</v>
      </c>
      <c r="F552" s="10">
        <f t="shared" si="1"/>
        <v>1</v>
      </c>
      <c r="G552" s="10">
        <f t="array" ref="G552">index('Player ID'!C:C,match(E552,'Player ID'!B:B,0))</f>
        <v>664854</v>
      </c>
    </row>
    <row r="553">
      <c r="A553" s="76">
        <v>45747.0</v>
      </c>
      <c r="B553" s="1" t="s">
        <v>193</v>
      </c>
      <c r="C553" s="1" t="s">
        <v>72</v>
      </c>
      <c r="D553" s="1">
        <v>1.0</v>
      </c>
      <c r="E553" s="1">
        <v>19574.0</v>
      </c>
      <c r="F553" s="10">
        <f t="shared" si="1"/>
        <v>1</v>
      </c>
      <c r="G553" s="10">
        <f t="array" ref="G553">index('Player ID'!C:C,match(E553,'Player ID'!B:B,0))</f>
        <v>668941</v>
      </c>
    </row>
    <row r="554">
      <c r="A554" s="76">
        <v>45747.0</v>
      </c>
      <c r="B554" s="1" t="s">
        <v>378</v>
      </c>
      <c r="C554" s="1" t="s">
        <v>72</v>
      </c>
      <c r="D554" s="1">
        <v>1.0</v>
      </c>
      <c r="E554" s="1">
        <v>24862.0</v>
      </c>
      <c r="F554" s="10">
        <f t="shared" si="1"/>
        <v>1</v>
      </c>
      <c r="G554" s="10">
        <f t="array" ref="G554">index('Player ID'!C:C,match(E554,'Player ID'!B:B,0))</f>
        <v>681676</v>
      </c>
    </row>
    <row r="555">
      <c r="A555" s="76">
        <v>45747.0</v>
      </c>
      <c r="B555" s="1" t="s">
        <v>385</v>
      </c>
      <c r="C555" s="1" t="s">
        <v>25</v>
      </c>
      <c r="D555" s="1">
        <v>0.1</v>
      </c>
      <c r="E555" s="1">
        <v>25420.0</v>
      </c>
      <c r="F555" s="10">
        <f t="shared" si="1"/>
        <v>0.3333333333</v>
      </c>
      <c r="G555" s="10">
        <f t="array" ref="G555">index('Player ID'!C:C,match(E555,'Player ID'!B:B,0))</f>
        <v>666171</v>
      </c>
    </row>
    <row r="556">
      <c r="A556" s="76">
        <v>45747.0</v>
      </c>
      <c r="B556" s="1" t="s">
        <v>24</v>
      </c>
      <c r="C556" s="1" t="s">
        <v>25</v>
      </c>
      <c r="D556" s="1">
        <v>1.2</v>
      </c>
      <c r="E556" s="1">
        <v>27468.0</v>
      </c>
      <c r="F556" s="10">
        <f t="shared" si="1"/>
        <v>1.666666667</v>
      </c>
      <c r="G556" s="10">
        <f t="array" ref="G556">index('Player ID'!C:C,match(E556,'Player ID'!B:B,0))</f>
        <v>672282</v>
      </c>
    </row>
    <row r="557">
      <c r="A557" s="76">
        <v>45747.0</v>
      </c>
      <c r="B557" s="1" t="s">
        <v>665</v>
      </c>
      <c r="C557" s="1" t="s">
        <v>72</v>
      </c>
      <c r="D557" s="1">
        <v>0.2</v>
      </c>
      <c r="E557" s="1">
        <v>31261.0</v>
      </c>
      <c r="F557" s="10">
        <f t="shared" si="1"/>
        <v>0.6666666667</v>
      </c>
      <c r="G557" s="10">
        <f t="array" ref="G557">index('Player ID'!C:C,match(E557,'Player ID'!B:B,0))</f>
        <v>688297</v>
      </c>
    </row>
    <row r="558">
      <c r="A558" s="76">
        <v>45747.0</v>
      </c>
      <c r="B558" s="1" t="s">
        <v>760</v>
      </c>
      <c r="C558" s="1" t="s">
        <v>25</v>
      </c>
      <c r="D558" s="1">
        <v>1.0</v>
      </c>
      <c r="E558" s="1">
        <v>31751.0</v>
      </c>
      <c r="F558" s="10">
        <f t="shared" si="1"/>
        <v>1</v>
      </c>
      <c r="G558" s="10">
        <f t="array" ref="G558">index('Player ID'!C:C,match(E558,'Player ID'!B:B,0))</f>
        <v>680729</v>
      </c>
    </row>
    <row r="559">
      <c r="A559" s="76">
        <v>45747.0</v>
      </c>
      <c r="B559" s="1" t="s">
        <v>659</v>
      </c>
      <c r="C559" s="1" t="s">
        <v>25</v>
      </c>
      <c r="D559" s="1">
        <v>1.0</v>
      </c>
      <c r="E559" s="1">
        <v>35325.0</v>
      </c>
      <c r="F559" s="10">
        <f t="shared" si="1"/>
        <v>1</v>
      </c>
      <c r="G559" s="10">
        <f t="array" ref="G559">index('Player ID'!C:C,match(E559,'Player ID'!B:B,0))</f>
        <v>696270</v>
      </c>
    </row>
    <row r="560">
      <c r="A560" s="76">
        <v>45747.0</v>
      </c>
      <c r="B560" s="1" t="s">
        <v>326</v>
      </c>
      <c r="C560" s="1" t="s">
        <v>39</v>
      </c>
      <c r="D560" s="1">
        <v>1.0</v>
      </c>
      <c r="E560" s="1">
        <v>12760.0</v>
      </c>
      <c r="F560" s="10">
        <f t="shared" si="1"/>
        <v>1</v>
      </c>
      <c r="G560" s="10">
        <f t="array" ref="G560">index('Player ID'!C:C,match(E560,'Player ID'!B:B,0))</f>
        <v>606160</v>
      </c>
    </row>
    <row r="561">
      <c r="A561" s="76">
        <v>45747.0</v>
      </c>
      <c r="B561" s="1" t="s">
        <v>314</v>
      </c>
      <c r="C561" s="1" t="s">
        <v>39</v>
      </c>
      <c r="D561" s="1">
        <v>5.0</v>
      </c>
      <c r="E561" s="1">
        <v>19407.0</v>
      </c>
      <c r="F561" s="10">
        <f t="shared" si="1"/>
        <v>5</v>
      </c>
      <c r="G561" s="10">
        <f t="array" ref="G561">index('Player ID'!C:C,match(E561,'Player ID'!B:B,0))</f>
        <v>669854</v>
      </c>
    </row>
    <row r="562">
      <c r="A562" s="76">
        <v>45747.0</v>
      </c>
      <c r="B562" s="1" t="s">
        <v>445</v>
      </c>
      <c r="C562" s="1" t="s">
        <v>31</v>
      </c>
      <c r="D562" s="1">
        <v>6.0</v>
      </c>
      <c r="E562" s="1">
        <v>19618.0</v>
      </c>
      <c r="F562" s="10">
        <f t="shared" si="1"/>
        <v>6</v>
      </c>
      <c r="G562" s="10">
        <f t="array" ref="G562">index('Player ID'!C:C,match(E562,'Player ID'!B:B,0))</f>
        <v>663855</v>
      </c>
    </row>
    <row r="563">
      <c r="A563" s="76">
        <v>45747.0</v>
      </c>
      <c r="B563" s="1" t="s">
        <v>403</v>
      </c>
      <c r="C563" s="1" t="s">
        <v>31</v>
      </c>
      <c r="D563" s="1">
        <v>1.0</v>
      </c>
      <c r="E563" s="1">
        <v>20423.0</v>
      </c>
      <c r="F563" s="10">
        <f t="shared" si="1"/>
        <v>1</v>
      </c>
      <c r="G563" s="10">
        <f t="array" ref="G563">index('Player ID'!C:C,match(E563,'Player ID'!B:B,0))</f>
        <v>676254</v>
      </c>
    </row>
    <row r="564">
      <c r="A564" s="76">
        <v>45747.0</v>
      </c>
      <c r="B564" s="1" t="s">
        <v>304</v>
      </c>
      <c r="C564" s="1" t="s">
        <v>31</v>
      </c>
      <c r="D564" s="1">
        <v>1.0</v>
      </c>
      <c r="E564" s="1">
        <v>21992.0</v>
      </c>
      <c r="F564" s="10">
        <f t="shared" si="1"/>
        <v>1</v>
      </c>
      <c r="G564" s="10">
        <f t="array" ref="G564">index('Player ID'!C:C,match(E564,'Player ID'!B:B,0))</f>
        <v>666808</v>
      </c>
    </row>
    <row r="565">
      <c r="A565" s="76">
        <v>45747.0</v>
      </c>
      <c r="B565" s="1" t="s">
        <v>680</v>
      </c>
      <c r="C565" s="1" t="s">
        <v>39</v>
      </c>
      <c r="D565" s="1">
        <v>1.0</v>
      </c>
      <c r="E565" s="1">
        <v>25839.0</v>
      </c>
      <c r="F565" s="10">
        <f t="shared" si="1"/>
        <v>1</v>
      </c>
      <c r="G565" s="10">
        <f t="array" ref="G565">index('Player ID'!C:C,match(E565,'Player ID'!B:B,0))</f>
        <v>664351</v>
      </c>
    </row>
    <row r="566">
      <c r="A566" s="76">
        <v>45747.0</v>
      </c>
      <c r="B566" s="1" t="s">
        <v>655</v>
      </c>
      <c r="C566" s="1" t="s">
        <v>31</v>
      </c>
      <c r="D566" s="1">
        <v>0.1</v>
      </c>
      <c r="E566" s="1">
        <v>26252.0</v>
      </c>
      <c r="F566" s="10">
        <f t="shared" si="1"/>
        <v>0.3333333333</v>
      </c>
      <c r="G566" s="10">
        <f t="array" ref="G566">index('Player ID'!C:C,match(E566,'Player ID'!B:B,0))</f>
        <v>669062</v>
      </c>
    </row>
    <row r="567">
      <c r="A567" s="76">
        <v>45747.0</v>
      </c>
      <c r="B567" s="1" t="s">
        <v>228</v>
      </c>
      <c r="C567" s="1" t="s">
        <v>39</v>
      </c>
      <c r="D567" s="1">
        <v>2.0</v>
      </c>
      <c r="E567" s="1">
        <v>26440.0</v>
      </c>
      <c r="F567" s="10">
        <f t="shared" si="1"/>
        <v>2</v>
      </c>
      <c r="G567" s="10">
        <f t="array" ref="G567">index('Player ID'!C:C,match(E567,'Player ID'!B:B,0))</f>
        <v>687473</v>
      </c>
    </row>
    <row r="568">
      <c r="A568" s="76">
        <v>45747.0</v>
      </c>
      <c r="B568" s="1" t="s">
        <v>276</v>
      </c>
      <c r="C568" s="1" t="s">
        <v>31</v>
      </c>
      <c r="D568" s="1">
        <v>0.2</v>
      </c>
      <c r="E568" s="1">
        <v>30226.0</v>
      </c>
      <c r="F568" s="10">
        <f t="shared" si="1"/>
        <v>0.6666666667</v>
      </c>
      <c r="G568" s="10">
        <f t="array" ref="G568">index('Player ID'!C:C,match(E568,'Player ID'!B:B,0))</f>
        <v>702352</v>
      </c>
    </row>
    <row r="569">
      <c r="A569" s="76">
        <v>45747.0</v>
      </c>
      <c r="B569" s="1" t="s">
        <v>682</v>
      </c>
      <c r="C569" s="1" t="s">
        <v>37</v>
      </c>
      <c r="D569" s="1">
        <v>1.1</v>
      </c>
      <c r="E569" s="1">
        <v>17888.0</v>
      </c>
      <c r="F569" s="10">
        <f t="shared" si="1"/>
        <v>1.333333333</v>
      </c>
      <c r="G569" s="10">
        <f t="array" ref="G569">index('Player ID'!C:C,match(E569,'Player ID'!B:B,0))</f>
        <v>642048</v>
      </c>
    </row>
    <row r="570">
      <c r="A570" s="76">
        <v>45747.0</v>
      </c>
      <c r="B570" s="1" t="s">
        <v>131</v>
      </c>
      <c r="C570" s="1" t="s">
        <v>62</v>
      </c>
      <c r="D570" s="1">
        <v>0.1</v>
      </c>
      <c r="E570" s="1">
        <v>19769.0</v>
      </c>
      <c r="F570" s="10">
        <f t="shared" si="1"/>
        <v>0.3333333333</v>
      </c>
      <c r="G570" s="10">
        <f t="array" ref="G570">index('Player ID'!C:C,match(E570,'Player ID'!B:B,0))</f>
        <v>676684</v>
      </c>
    </row>
    <row r="571">
      <c r="A571" s="76">
        <v>45747.0</v>
      </c>
      <c r="B571" s="1" t="s">
        <v>157</v>
      </c>
      <c r="C571" s="1" t="s">
        <v>37</v>
      </c>
      <c r="D571" s="1">
        <v>2.0</v>
      </c>
      <c r="E571" s="1">
        <v>20997.0</v>
      </c>
      <c r="F571" s="10">
        <f t="shared" si="1"/>
        <v>2</v>
      </c>
      <c r="G571" s="10">
        <f t="array" ref="G571">index('Player ID'!C:C,match(E571,'Player ID'!B:B,0))</f>
        <v>660825</v>
      </c>
    </row>
    <row r="572">
      <c r="A572" s="76">
        <v>45747.0</v>
      </c>
      <c r="B572" s="1" t="s">
        <v>289</v>
      </c>
      <c r="C572" s="1" t="s">
        <v>62</v>
      </c>
      <c r="D572" s="1">
        <v>0.2</v>
      </c>
      <c r="E572" s="1">
        <v>22304.0</v>
      </c>
      <c r="F572" s="10">
        <f t="shared" si="1"/>
        <v>0.6666666667</v>
      </c>
      <c r="G572" s="10">
        <f t="array" ref="G572">index('Player ID'!C:C,match(E572,'Player ID'!B:B,0))</f>
        <v>669724</v>
      </c>
    </row>
    <row r="573">
      <c r="A573" s="76">
        <v>45747.0</v>
      </c>
      <c r="B573" s="1" t="s">
        <v>101</v>
      </c>
      <c r="C573" s="1" t="s">
        <v>37</v>
      </c>
      <c r="D573" s="1">
        <v>3.2</v>
      </c>
      <c r="E573" s="1">
        <v>22915.0</v>
      </c>
      <c r="F573" s="10">
        <f t="shared" si="1"/>
        <v>3.666666667</v>
      </c>
      <c r="G573" s="10">
        <f t="array" ref="G573">index('Player ID'!C:C,match(E573,'Player ID'!B:B,0))</f>
        <v>672841</v>
      </c>
    </row>
    <row r="574">
      <c r="A574" s="76">
        <v>45747.0</v>
      </c>
      <c r="B574" s="1" t="s">
        <v>683</v>
      </c>
      <c r="C574" s="1" t="s">
        <v>37</v>
      </c>
      <c r="D574" s="1">
        <v>1.1</v>
      </c>
      <c r="E574" s="1">
        <v>23307.0</v>
      </c>
      <c r="F574" s="10">
        <f t="shared" si="1"/>
        <v>1.333333333</v>
      </c>
      <c r="G574" s="10">
        <f t="array" ref="G574">index('Player ID'!C:C,match(E574,'Player ID'!B:B,0))</f>
        <v>676092</v>
      </c>
    </row>
    <row r="575">
      <c r="A575" s="76">
        <v>45747.0</v>
      </c>
      <c r="B575" s="1" t="s">
        <v>82</v>
      </c>
      <c r="C575" s="1" t="s">
        <v>62</v>
      </c>
      <c r="D575" s="1">
        <v>1.0</v>
      </c>
      <c r="E575" s="1">
        <v>26231.0</v>
      </c>
      <c r="F575" s="10">
        <f t="shared" si="1"/>
        <v>1</v>
      </c>
      <c r="G575" s="10">
        <f t="array" ref="G575">index('Player ID'!C:C,match(E575,'Player ID'!B:B,0))</f>
        <v>663947</v>
      </c>
    </row>
    <row r="576">
      <c r="A576" s="76">
        <v>45747.0</v>
      </c>
      <c r="B576" s="1" t="s">
        <v>509</v>
      </c>
      <c r="C576" s="1" t="s">
        <v>37</v>
      </c>
      <c r="D576" s="1">
        <v>0.2</v>
      </c>
      <c r="E576" s="1">
        <v>27470.0</v>
      </c>
      <c r="F576" s="10">
        <f t="shared" si="1"/>
        <v>0.6666666667</v>
      </c>
      <c r="G576" s="10">
        <f t="array" ref="G576">index('Player ID'!C:C,match(E576,'Player ID'!B:B,0))</f>
        <v>676106</v>
      </c>
    </row>
    <row r="577">
      <c r="A577" s="76">
        <v>45747.0</v>
      </c>
      <c r="B577" s="1" t="s">
        <v>487</v>
      </c>
      <c r="C577" s="1" t="s">
        <v>62</v>
      </c>
      <c r="D577" s="1">
        <v>3.0</v>
      </c>
      <c r="E577" s="1">
        <v>30133.0</v>
      </c>
      <c r="F577" s="10">
        <f t="shared" si="1"/>
        <v>3</v>
      </c>
      <c r="G577" s="10">
        <f t="array" ref="G577">index('Player ID'!C:C,match(E577,'Player ID'!B:B,0))</f>
        <v>676428</v>
      </c>
    </row>
    <row r="578">
      <c r="A578" s="76">
        <v>45747.0</v>
      </c>
      <c r="B578" s="1" t="s">
        <v>377</v>
      </c>
      <c r="C578" s="1" t="s">
        <v>62</v>
      </c>
      <c r="D578" s="1">
        <v>4.0</v>
      </c>
      <c r="E578" s="1">
        <v>30203.0</v>
      </c>
      <c r="F578" s="10">
        <f t="shared" si="1"/>
        <v>4</v>
      </c>
      <c r="G578" s="10">
        <f t="array" ref="G578">index('Player ID'!C:C,match(E578,'Player ID'!B:B,0))</f>
        <v>695549</v>
      </c>
    </row>
    <row r="579">
      <c r="A579" s="76">
        <v>45747.0</v>
      </c>
      <c r="B579" s="1" t="s">
        <v>117</v>
      </c>
      <c r="C579" s="1" t="s">
        <v>70</v>
      </c>
      <c r="D579" s="1">
        <v>1.1</v>
      </c>
      <c r="E579" s="1">
        <v>13619.0</v>
      </c>
      <c r="F579" s="10">
        <f t="shared" si="1"/>
        <v>1.333333333</v>
      </c>
      <c r="G579" s="10">
        <f t="array" ref="G579">index('Player ID'!C:C,match(E579,'Player ID'!B:B,0))</f>
        <v>596001</v>
      </c>
    </row>
    <row r="580">
      <c r="A580" s="76">
        <v>45747.0</v>
      </c>
      <c r="B580" s="1" t="s">
        <v>404</v>
      </c>
      <c r="C580" s="1" t="s">
        <v>26</v>
      </c>
      <c r="D580" s="1">
        <v>1.0</v>
      </c>
      <c r="E580" s="1">
        <v>14295.0</v>
      </c>
      <c r="F580" s="10">
        <f t="shared" si="1"/>
        <v>1</v>
      </c>
      <c r="G580" s="10">
        <f t="array" ref="G580">index('Player ID'!C:C,match(E580,'Player ID'!B:B,0))</f>
        <v>593974</v>
      </c>
    </row>
    <row r="581">
      <c r="A581" s="76">
        <v>45747.0</v>
      </c>
      <c r="B581" s="1" t="s">
        <v>765</v>
      </c>
      <c r="C581" s="1" t="s">
        <v>70</v>
      </c>
      <c r="D581" s="1">
        <v>2.0</v>
      </c>
      <c r="E581" s="1">
        <v>18000.0</v>
      </c>
      <c r="F581" s="10">
        <f t="shared" si="1"/>
        <v>2</v>
      </c>
      <c r="G581" s="10">
        <f t="array" ref="G581">index('Player ID'!C:C,match(E581,'Player ID'!B:B,0))</f>
        <v>663474</v>
      </c>
    </row>
    <row r="582">
      <c r="A582" s="76">
        <v>45747.0</v>
      </c>
      <c r="B582" s="1" t="s">
        <v>271</v>
      </c>
      <c r="C582" s="1" t="s">
        <v>26</v>
      </c>
      <c r="D582" s="1">
        <v>5.0</v>
      </c>
      <c r="E582" s="1">
        <v>19646.0</v>
      </c>
      <c r="F582" s="10">
        <f t="shared" si="1"/>
        <v>5</v>
      </c>
      <c r="G582" s="10">
        <f t="array" ref="G582">index('Player ID'!C:C,match(E582,'Player ID'!B:B,0))</f>
        <v>606996</v>
      </c>
    </row>
    <row r="583">
      <c r="A583" s="76">
        <v>45747.0</v>
      </c>
      <c r="B583" s="1" t="s">
        <v>49</v>
      </c>
      <c r="C583" s="1" t="s">
        <v>26</v>
      </c>
      <c r="D583" s="1">
        <v>1.0</v>
      </c>
      <c r="E583" s="1">
        <v>20039.0</v>
      </c>
      <c r="F583" s="10">
        <f t="shared" si="1"/>
        <v>1</v>
      </c>
      <c r="G583" s="10">
        <f t="array" ref="G583">index('Player ID'!C:C,match(E583,'Player ID'!B:B,0))</f>
        <v>670970</v>
      </c>
    </row>
    <row r="584">
      <c r="A584" s="76">
        <v>45747.0</v>
      </c>
      <c r="B584" s="1" t="s">
        <v>484</v>
      </c>
      <c r="C584" s="1" t="s">
        <v>70</v>
      </c>
      <c r="D584" s="1">
        <v>4.2</v>
      </c>
      <c r="E584" s="1">
        <v>27646.0</v>
      </c>
      <c r="F584" s="10">
        <f t="shared" si="1"/>
        <v>4.666666667</v>
      </c>
      <c r="G584" s="10">
        <f t="array" ref="G584">index('Player ID'!C:C,match(E584,'Player ID'!B:B,0))</f>
        <v>682847</v>
      </c>
    </row>
    <row r="585">
      <c r="A585" s="76">
        <v>45747.0</v>
      </c>
      <c r="B585" s="1" t="s">
        <v>391</v>
      </c>
      <c r="C585" s="1" t="s">
        <v>26</v>
      </c>
      <c r="D585" s="1">
        <v>1.0</v>
      </c>
      <c r="E585" s="1">
        <v>29628.0</v>
      </c>
      <c r="F585" s="10">
        <f t="shared" si="1"/>
        <v>1</v>
      </c>
      <c r="G585" s="10">
        <f t="array" ref="G585">index('Player ID'!C:C,match(E585,'Player ID'!B:B,0))</f>
        <v>689690</v>
      </c>
    </row>
    <row r="586">
      <c r="A586" s="76">
        <v>45747.0</v>
      </c>
      <c r="B586" s="1" t="s">
        <v>284</v>
      </c>
      <c r="C586" s="1" t="s">
        <v>26</v>
      </c>
      <c r="D586" s="1">
        <v>1.0</v>
      </c>
      <c r="E586" s="1">
        <v>33826.0</v>
      </c>
      <c r="F586" s="10">
        <f t="shared" si="1"/>
        <v>1</v>
      </c>
      <c r="G586" s="10">
        <f t="array" ref="G586">index('Player ID'!C:C,match(E586,'Player ID'!B:B,0))</f>
        <v>673513</v>
      </c>
    </row>
    <row r="587">
      <c r="A587" s="76">
        <v>45747.0</v>
      </c>
      <c r="B587" s="1" t="s">
        <v>668</v>
      </c>
      <c r="C587" s="1" t="s">
        <v>52</v>
      </c>
      <c r="D587" s="1">
        <v>1.0</v>
      </c>
      <c r="E587" s="1">
        <v>3237.0</v>
      </c>
      <c r="F587" s="10">
        <f t="shared" si="1"/>
        <v>1</v>
      </c>
      <c r="G587" s="10">
        <f t="array" ref="G587">index('Player ID'!C:C,match(E587,'Player ID'!B:B,0))</f>
        <v>519008</v>
      </c>
    </row>
    <row r="588">
      <c r="A588" s="76">
        <v>45747.0</v>
      </c>
      <c r="B588" s="1" t="s">
        <v>313</v>
      </c>
      <c r="C588" s="1" t="s">
        <v>34</v>
      </c>
      <c r="D588" s="1">
        <v>3.0</v>
      </c>
      <c r="E588" s="1">
        <v>12317.0</v>
      </c>
      <c r="F588" s="10">
        <f t="shared" si="1"/>
        <v>3</v>
      </c>
      <c r="G588" s="10">
        <f t="array" ref="G588">index('Player ID'!C:C,match(E588,'Player ID'!B:B,0))</f>
        <v>607067</v>
      </c>
    </row>
    <row r="589">
      <c r="A589" s="76">
        <v>45747.0</v>
      </c>
      <c r="B589" s="1" t="s">
        <v>669</v>
      </c>
      <c r="C589" s="1" t="s">
        <v>52</v>
      </c>
      <c r="D589" s="1">
        <v>1.1</v>
      </c>
      <c r="E589" s="1">
        <v>14524.0</v>
      </c>
      <c r="F589" s="10">
        <f t="shared" si="1"/>
        <v>1.333333333</v>
      </c>
      <c r="G589" s="10">
        <f t="array" ref="G589">index('Player ID'!C:C,match(E589,'Player ID'!B:B,0))</f>
        <v>600917</v>
      </c>
    </row>
    <row r="590">
      <c r="A590" s="76">
        <v>45747.0</v>
      </c>
      <c r="B590" s="1" t="s">
        <v>632</v>
      </c>
      <c r="C590" s="1" t="s">
        <v>34</v>
      </c>
      <c r="D590" s="1">
        <v>1.0</v>
      </c>
      <c r="E590" s="1">
        <v>16703.0</v>
      </c>
      <c r="F590" s="10">
        <f t="shared" si="1"/>
        <v>1</v>
      </c>
      <c r="G590" s="10">
        <f t="array" ref="G590">index('Player ID'!C:C,match(E590,'Player ID'!B:B,0))</f>
        <v>657240</v>
      </c>
    </row>
    <row r="591">
      <c r="A591" s="76">
        <v>45747.0</v>
      </c>
      <c r="B591" s="1" t="s">
        <v>768</v>
      </c>
      <c r="C591" s="1" t="s">
        <v>52</v>
      </c>
      <c r="D591" s="1">
        <v>1.0</v>
      </c>
      <c r="E591" s="1">
        <v>19802.0</v>
      </c>
      <c r="F591" s="10">
        <f t="shared" si="1"/>
        <v>1</v>
      </c>
      <c r="G591" s="10">
        <f t="array" ref="G591">index('Player ID'!C:C,match(E591,'Player ID'!B:B,0))</f>
        <v>640902</v>
      </c>
    </row>
    <row r="592">
      <c r="A592" s="76">
        <v>45747.0</v>
      </c>
      <c r="B592" s="1" t="s">
        <v>341</v>
      </c>
      <c r="C592" s="1" t="s">
        <v>34</v>
      </c>
      <c r="D592" s="1">
        <v>5.0</v>
      </c>
      <c r="E592" s="1">
        <v>23590.0</v>
      </c>
      <c r="F592" s="10">
        <f t="shared" si="1"/>
        <v>5</v>
      </c>
      <c r="G592" s="10">
        <f t="array" ref="G592">index('Player ID'!C:C,match(E592,'Player ID'!B:B,0))</f>
        <v>676962</v>
      </c>
    </row>
    <row r="593">
      <c r="A593" s="76">
        <v>45747.0</v>
      </c>
      <c r="B593" s="1" t="s">
        <v>619</v>
      </c>
      <c r="C593" s="1" t="s">
        <v>52</v>
      </c>
      <c r="D593" s="1">
        <v>4.0</v>
      </c>
      <c r="E593" s="1">
        <v>26257.0</v>
      </c>
      <c r="F593" s="10">
        <f t="shared" si="1"/>
        <v>4</v>
      </c>
      <c r="G593" s="10">
        <f t="array" ref="G593">index('Player ID'!C:C,match(E593,'Player ID'!B:B,0))</f>
        <v>683155</v>
      </c>
    </row>
    <row r="594">
      <c r="A594" s="76">
        <v>45747.0</v>
      </c>
      <c r="B594" s="1" t="s">
        <v>127</v>
      </c>
      <c r="C594" s="1" t="s">
        <v>52</v>
      </c>
      <c r="D594" s="1">
        <v>0.2</v>
      </c>
      <c r="E594" s="1">
        <v>27707.0</v>
      </c>
      <c r="F594" s="10">
        <f t="shared" si="1"/>
        <v>0.6666666667</v>
      </c>
      <c r="G594" s="10">
        <f t="array" ref="G594">index('Player ID'!C:C,match(E594,'Player ID'!B:B,0))</f>
        <v>687765</v>
      </c>
    </row>
    <row r="595">
      <c r="A595" s="76">
        <v>45747.0</v>
      </c>
      <c r="B595" s="1" t="s">
        <v>717</v>
      </c>
      <c r="C595" s="1" t="s">
        <v>52</v>
      </c>
      <c r="D595" s="1">
        <v>1.0</v>
      </c>
      <c r="E595" s="1">
        <v>27908.0</v>
      </c>
      <c r="F595" s="10">
        <f t="shared" si="1"/>
        <v>1</v>
      </c>
      <c r="G595" s="10">
        <f t="array" ref="G595">index('Player ID'!C:C,match(E595,'Player ID'!B:B,0))</f>
        <v>668716</v>
      </c>
    </row>
    <row r="596">
      <c r="A596" s="76">
        <v>45747.0</v>
      </c>
      <c r="B596" s="1" t="s">
        <v>620</v>
      </c>
      <c r="C596" s="1" t="s">
        <v>46</v>
      </c>
      <c r="D596" s="1">
        <v>2.0</v>
      </c>
      <c r="E596" s="1">
        <v>5448.0</v>
      </c>
      <c r="F596" s="10">
        <f t="shared" si="1"/>
        <v>2</v>
      </c>
      <c r="G596" s="10">
        <f t="array" ref="G596">index('Player ID'!C:C,match(E596,'Player ID'!B:B,0))</f>
        <v>445926</v>
      </c>
    </row>
    <row r="597">
      <c r="A597" s="76">
        <v>45747.0</v>
      </c>
      <c r="B597" s="1" t="s">
        <v>595</v>
      </c>
      <c r="C597" s="1" t="s">
        <v>33</v>
      </c>
      <c r="D597" s="1">
        <v>1.0</v>
      </c>
      <c r="E597" s="1">
        <v>6984.0</v>
      </c>
      <c r="F597" s="10">
        <f t="shared" si="1"/>
        <v>1</v>
      </c>
      <c r="G597" s="10">
        <f t="array" ref="G597">index('Player ID'!C:C,match(E597,'Player ID'!B:B,0))</f>
        <v>472610</v>
      </c>
    </row>
    <row r="598">
      <c r="A598" s="76">
        <v>45747.0</v>
      </c>
      <c r="B598" s="1" t="s">
        <v>421</v>
      </c>
      <c r="C598" s="1" t="s">
        <v>33</v>
      </c>
      <c r="D598" s="1">
        <v>5.0</v>
      </c>
      <c r="E598" s="1">
        <v>14374.0</v>
      </c>
      <c r="F598" s="10">
        <f t="shared" si="1"/>
        <v>5</v>
      </c>
      <c r="G598" s="10">
        <f t="array" ref="G598">index('Player ID'!C:C,match(E598,'Player ID'!B:B,0))</f>
        <v>607192</v>
      </c>
    </row>
    <row r="599">
      <c r="A599" s="76">
        <v>45747.0</v>
      </c>
      <c r="B599" s="1" t="s">
        <v>366</v>
      </c>
      <c r="C599" s="1" t="s">
        <v>46</v>
      </c>
      <c r="D599" s="1">
        <v>4.0</v>
      </c>
      <c r="E599" s="1">
        <v>16944.0</v>
      </c>
      <c r="F599" s="10">
        <f t="shared" si="1"/>
        <v>4</v>
      </c>
      <c r="G599" s="10">
        <f t="array" ref="G599">index('Player ID'!C:C,match(E599,'Player ID'!B:B,0))</f>
        <v>656550</v>
      </c>
    </row>
    <row r="600">
      <c r="A600" s="76">
        <v>45747.0</v>
      </c>
      <c r="B600" s="1" t="s">
        <v>184</v>
      </c>
      <c r="C600" s="1" t="s">
        <v>46</v>
      </c>
      <c r="D600" s="1">
        <v>1.0</v>
      </c>
      <c r="E600" s="1">
        <v>17130.0</v>
      </c>
      <c r="F600" s="10">
        <f t="shared" si="1"/>
        <v>1</v>
      </c>
      <c r="G600" s="10">
        <f t="array" ref="G600">index('Player ID'!C:C,match(E600,'Player ID'!B:B,0))</f>
        <v>628452</v>
      </c>
    </row>
    <row r="601">
      <c r="A601" s="76">
        <v>45747.0</v>
      </c>
      <c r="B601" s="1" t="s">
        <v>32</v>
      </c>
      <c r="C601" s="1" t="s">
        <v>33</v>
      </c>
      <c r="D601" s="1">
        <v>1.0</v>
      </c>
      <c r="E601" s="1">
        <v>17586.0</v>
      </c>
      <c r="F601" s="10">
        <f t="shared" si="1"/>
        <v>1</v>
      </c>
      <c r="G601" s="10">
        <f t="array" ref="G601">index('Player ID'!C:C,match(E601,'Player ID'!B:B,0))</f>
        <v>656945</v>
      </c>
    </row>
    <row r="602">
      <c r="A602" s="76">
        <v>45747.0</v>
      </c>
      <c r="B602" s="1" t="s">
        <v>346</v>
      </c>
      <c r="C602" s="1" t="s">
        <v>46</v>
      </c>
      <c r="D602" s="1">
        <v>1.0</v>
      </c>
      <c r="E602" s="1">
        <v>18403.0</v>
      </c>
      <c r="F602" s="10">
        <f t="shared" si="1"/>
        <v>1</v>
      </c>
      <c r="G602" s="10">
        <f t="array" ref="G602">index('Player ID'!C:C,match(E602,'Player ID'!B:B,0))</f>
        <v>660853</v>
      </c>
    </row>
    <row r="603">
      <c r="A603" s="76">
        <v>45747.0</v>
      </c>
      <c r="B603" s="1" t="s">
        <v>92</v>
      </c>
      <c r="C603" s="1" t="s">
        <v>33</v>
      </c>
      <c r="D603" s="1">
        <v>1.0</v>
      </c>
      <c r="E603" s="1">
        <v>25007.0</v>
      </c>
      <c r="F603" s="10">
        <f t="shared" si="1"/>
        <v>1</v>
      </c>
      <c r="G603" s="10">
        <f t="array" ref="G603">index('Player ID'!C:C,match(E603,'Player ID'!B:B,0))</f>
        <v>681911</v>
      </c>
    </row>
    <row r="604">
      <c r="A604" s="76">
        <v>45747.0</v>
      </c>
      <c r="B604" s="1" t="s">
        <v>206</v>
      </c>
      <c r="C604" s="1" t="s">
        <v>33</v>
      </c>
      <c r="D604" s="1">
        <v>1.0</v>
      </c>
      <c r="E604" s="1">
        <v>30249.0</v>
      </c>
      <c r="F604" s="10">
        <f t="shared" si="1"/>
        <v>1</v>
      </c>
      <c r="G604" s="10">
        <f t="array" ref="G604">index('Player ID'!C:C,match(E604,'Player ID'!B:B,0))</f>
        <v>676263</v>
      </c>
    </row>
    <row r="605">
      <c r="A605" s="76">
        <v>45748.0</v>
      </c>
      <c r="B605" s="1" t="s">
        <v>115</v>
      </c>
      <c r="C605" s="1" t="s">
        <v>56</v>
      </c>
      <c r="D605" s="1">
        <v>9.0</v>
      </c>
      <c r="E605" s="1">
        <v>9132.0</v>
      </c>
      <c r="F605" s="10">
        <f t="shared" si="1"/>
        <v>9</v>
      </c>
      <c r="G605" s="10">
        <f t="array" ref="G605">index('Player ID'!C:C,match(E605,'Player ID'!B:B,0))</f>
        <v>543135</v>
      </c>
    </row>
    <row r="606">
      <c r="A606" s="76">
        <v>45748.0</v>
      </c>
      <c r="B606" s="1" t="s">
        <v>362</v>
      </c>
      <c r="C606" s="1" t="s">
        <v>66</v>
      </c>
      <c r="D606" s="1">
        <v>0.2</v>
      </c>
      <c r="E606" s="1">
        <v>13449.0</v>
      </c>
      <c r="F606" s="10">
        <f t="shared" si="1"/>
        <v>0.6666666667</v>
      </c>
      <c r="G606" s="10">
        <f t="array" ref="G606">index('Player ID'!C:C,match(E606,'Player ID'!B:B,0))</f>
        <v>573124</v>
      </c>
    </row>
    <row r="607">
      <c r="A607" s="76">
        <v>45748.0</v>
      </c>
      <c r="B607" s="1" t="s">
        <v>475</v>
      </c>
      <c r="C607" s="1" t="s">
        <v>66</v>
      </c>
      <c r="D607" s="1">
        <v>1.0</v>
      </c>
      <c r="E607" s="1">
        <v>14993.0</v>
      </c>
      <c r="F607" s="10">
        <f t="shared" si="1"/>
        <v>1</v>
      </c>
      <c r="G607" s="10">
        <f t="array" ref="G607">index('Player ID'!C:C,match(E607,'Player ID'!B:B,0))</f>
        <v>605130</v>
      </c>
    </row>
    <row r="608">
      <c r="A608" s="76">
        <v>45748.0</v>
      </c>
      <c r="B608" s="1" t="s">
        <v>653</v>
      </c>
      <c r="C608" s="1" t="s">
        <v>66</v>
      </c>
      <c r="D608" s="1">
        <v>1.1</v>
      </c>
      <c r="E608" s="1">
        <v>17871.0</v>
      </c>
      <c r="F608" s="10">
        <f t="shared" si="1"/>
        <v>1.333333333</v>
      </c>
      <c r="G608" s="10">
        <f t="array" ref="G608">index('Player ID'!C:C,match(E608,'Player ID'!B:B,0))</f>
        <v>664139</v>
      </c>
    </row>
    <row r="609">
      <c r="A609" s="76">
        <v>45748.0</v>
      </c>
      <c r="B609" s="1" t="s">
        <v>579</v>
      </c>
      <c r="C609" s="1" t="s">
        <v>66</v>
      </c>
      <c r="D609" s="1">
        <v>6.0</v>
      </c>
      <c r="E609" s="1">
        <v>27685.0</v>
      </c>
      <c r="F609" s="10">
        <f t="shared" si="1"/>
        <v>6</v>
      </c>
      <c r="G609" s="10">
        <f t="array" ref="G609">index('Player ID'!C:C,match(E609,'Player ID'!B:B,0))</f>
        <v>686730</v>
      </c>
    </row>
    <row r="610">
      <c r="A610" s="76">
        <v>45748.0</v>
      </c>
      <c r="B610" s="1" t="s">
        <v>229</v>
      </c>
      <c r="C610" s="1" t="s">
        <v>36</v>
      </c>
      <c r="D610" s="1">
        <v>5.0</v>
      </c>
      <c r="E610" s="1">
        <v>18684.0</v>
      </c>
      <c r="F610" s="10">
        <f t="shared" si="1"/>
        <v>5</v>
      </c>
      <c r="G610" s="10">
        <f t="array" ref="G610">index('Player ID'!C:C,match(E610,'Player ID'!B:B,0))</f>
        <v>645261</v>
      </c>
    </row>
    <row r="611">
      <c r="A611" s="76">
        <v>45748.0</v>
      </c>
      <c r="B611" s="1" t="s">
        <v>241</v>
      </c>
      <c r="C611" s="1" t="s">
        <v>36</v>
      </c>
      <c r="D611" s="1">
        <v>1.0</v>
      </c>
      <c r="E611" s="1">
        <v>19222.0</v>
      </c>
      <c r="F611" s="10">
        <f t="shared" si="1"/>
        <v>1</v>
      </c>
      <c r="G611" s="10">
        <f t="array" ref="G611">index('Player ID'!C:C,match(E611,'Player ID'!B:B,0))</f>
        <v>669199</v>
      </c>
    </row>
    <row r="612">
      <c r="A612" s="76">
        <v>45748.0</v>
      </c>
      <c r="B612" s="1" t="s">
        <v>89</v>
      </c>
      <c r="C612" s="1" t="s">
        <v>36</v>
      </c>
      <c r="D612" s="1">
        <v>0.2</v>
      </c>
      <c r="E612" s="1">
        <v>19742.0</v>
      </c>
      <c r="F612" s="10">
        <f t="shared" si="1"/>
        <v>0.6666666667</v>
      </c>
      <c r="G612" s="10">
        <f t="array" ref="G612">index('Player ID'!C:C,match(E612,'Player ID'!B:B,0))</f>
        <v>669622</v>
      </c>
    </row>
    <row r="613">
      <c r="A613" s="76">
        <v>45748.0</v>
      </c>
      <c r="B613" s="1" t="s">
        <v>50</v>
      </c>
      <c r="C613" s="1" t="s">
        <v>51</v>
      </c>
      <c r="D613" s="1">
        <v>3.0</v>
      </c>
      <c r="E613" s="1">
        <v>22175.0</v>
      </c>
      <c r="F613" s="10">
        <f t="shared" si="1"/>
        <v>3</v>
      </c>
      <c r="G613" s="10">
        <f t="array" ref="G613">index('Player ID'!C:C,match(E613,'Player ID'!B:B,0))</f>
        <v>668820</v>
      </c>
    </row>
    <row r="614">
      <c r="A614" s="76">
        <v>45748.0</v>
      </c>
      <c r="B614" s="1" t="s">
        <v>123</v>
      </c>
      <c r="C614" s="1" t="s">
        <v>36</v>
      </c>
      <c r="D614" s="1">
        <v>2.0</v>
      </c>
      <c r="E614" s="1">
        <v>24094.0</v>
      </c>
      <c r="F614" s="10">
        <f t="shared" si="1"/>
        <v>2</v>
      </c>
      <c r="G614" s="10">
        <f t="array" ref="G614">index('Player ID'!C:C,match(E614,'Player ID'!B:B,0))</f>
        <v>678692</v>
      </c>
    </row>
    <row r="615">
      <c r="A615" s="76">
        <v>45748.0</v>
      </c>
      <c r="B615" s="1" t="s">
        <v>676</v>
      </c>
      <c r="C615" s="1" t="s">
        <v>36</v>
      </c>
      <c r="D615" s="1">
        <v>0.1</v>
      </c>
      <c r="E615" s="1">
        <v>27453.0</v>
      </c>
      <c r="F615" s="10">
        <f t="shared" si="1"/>
        <v>0.3333333333</v>
      </c>
      <c r="G615" s="10">
        <f t="array" ref="G615">index('Player ID'!C:C,match(E615,'Player ID'!B:B,0))</f>
        <v>685107</v>
      </c>
    </row>
    <row r="616">
      <c r="A616" s="76">
        <v>45748.0</v>
      </c>
      <c r="B616" s="1" t="s">
        <v>461</v>
      </c>
      <c r="C616" s="1" t="s">
        <v>51</v>
      </c>
      <c r="D616" s="1">
        <v>5.0</v>
      </c>
      <c r="E616" s="1">
        <v>31838.0</v>
      </c>
      <c r="F616" s="10">
        <f t="shared" si="1"/>
        <v>5</v>
      </c>
      <c r="G616" s="10">
        <f t="array" ref="G616">index('Player ID'!C:C,match(E616,'Player ID'!B:B,0))</f>
        <v>673540</v>
      </c>
    </row>
    <row r="617">
      <c r="A617" s="76">
        <v>45748.0</v>
      </c>
      <c r="B617" s="1" t="s">
        <v>686</v>
      </c>
      <c r="C617" s="1" t="s">
        <v>60</v>
      </c>
      <c r="D617" s="1">
        <v>1.0</v>
      </c>
      <c r="E617" s="1">
        <v>17639.0</v>
      </c>
      <c r="F617" s="10">
        <f t="shared" si="1"/>
        <v>1</v>
      </c>
      <c r="G617" s="10">
        <f t="array" ref="G617">index('Player ID'!C:C,match(E617,'Player ID'!B:B,0))</f>
        <v>664875</v>
      </c>
    </row>
    <row r="618">
      <c r="A618" s="76">
        <v>45748.0</v>
      </c>
      <c r="B618" s="1" t="s">
        <v>217</v>
      </c>
      <c r="C618" s="1" t="s">
        <v>60</v>
      </c>
      <c r="D618" s="1">
        <v>1.0</v>
      </c>
      <c r="E618" s="1">
        <v>17878.0</v>
      </c>
      <c r="F618" s="10">
        <f t="shared" si="1"/>
        <v>1</v>
      </c>
      <c r="G618" s="10">
        <f t="array" ref="G618">index('Player ID'!C:C,match(E618,'Player ID'!B:B,0))</f>
        <v>642701</v>
      </c>
    </row>
    <row r="619">
      <c r="A619" s="76">
        <v>45748.0</v>
      </c>
      <c r="B619" s="1" t="s">
        <v>107</v>
      </c>
      <c r="C619" s="1" t="s">
        <v>60</v>
      </c>
      <c r="D619" s="1">
        <v>1.0</v>
      </c>
      <c r="E619" s="1">
        <v>19349.0</v>
      </c>
      <c r="F619" s="10">
        <f t="shared" si="1"/>
        <v>1</v>
      </c>
      <c r="G619" s="10">
        <f t="array" ref="G619">index('Player ID'!C:C,match(E619,'Player ID'!B:B,0))</f>
        <v>657571</v>
      </c>
    </row>
    <row r="620">
      <c r="A620" s="76">
        <v>45748.0</v>
      </c>
      <c r="B620" s="1" t="s">
        <v>384</v>
      </c>
      <c r="C620" s="1" t="s">
        <v>60</v>
      </c>
      <c r="D620" s="1">
        <v>1.0</v>
      </c>
      <c r="E620" s="1">
        <v>19962.0</v>
      </c>
      <c r="F620" s="10">
        <f t="shared" si="1"/>
        <v>1</v>
      </c>
      <c r="G620" s="10">
        <f t="array" ref="G620">index('Player ID'!C:C,match(E620,'Player ID'!B:B,0))</f>
        <v>666214</v>
      </c>
    </row>
    <row r="621">
      <c r="A621" s="76">
        <v>45748.0</v>
      </c>
      <c r="B621" s="1" t="s">
        <v>242</v>
      </c>
      <c r="C621" s="1" t="s">
        <v>54</v>
      </c>
      <c r="D621" s="1">
        <v>6.0</v>
      </c>
      <c r="E621" s="1">
        <v>22264.0</v>
      </c>
      <c r="F621" s="10">
        <f t="shared" si="1"/>
        <v>6</v>
      </c>
      <c r="G621" s="10">
        <f t="array" ref="G621">index('Player ID'!C:C,match(E621,'Player ID'!B:B,0))</f>
        <v>669358</v>
      </c>
    </row>
    <row r="622">
      <c r="A622" s="76">
        <v>45748.0</v>
      </c>
      <c r="B622" s="1" t="s">
        <v>204</v>
      </c>
      <c r="C622" s="1" t="s">
        <v>54</v>
      </c>
      <c r="D622" s="1">
        <v>2.0</v>
      </c>
      <c r="E622" s="1">
        <v>22288.0</v>
      </c>
      <c r="F622" s="10">
        <f t="shared" si="1"/>
        <v>2</v>
      </c>
      <c r="G622" s="10">
        <f t="array" ref="G622">index('Player ID'!C:C,match(E622,'Player ID'!B:B,0))</f>
        <v>669438</v>
      </c>
    </row>
    <row r="623">
      <c r="A623" s="76">
        <v>45748.0</v>
      </c>
      <c r="B623" s="1" t="s">
        <v>334</v>
      </c>
      <c r="C623" s="1" t="s">
        <v>54</v>
      </c>
      <c r="D623" s="1">
        <v>1.0</v>
      </c>
      <c r="E623" s="1">
        <v>29770.0</v>
      </c>
      <c r="F623" s="10">
        <f t="shared" si="1"/>
        <v>1</v>
      </c>
      <c r="G623" s="10">
        <f t="array" ref="G623">index('Player ID'!C:C,match(E623,'Player ID'!B:B,0))</f>
        <v>682254</v>
      </c>
    </row>
    <row r="624">
      <c r="A624" s="76">
        <v>45748.0</v>
      </c>
      <c r="B624" s="1" t="s">
        <v>618</v>
      </c>
      <c r="C624" s="1" t="s">
        <v>60</v>
      </c>
      <c r="D624" s="1">
        <v>4.0</v>
      </c>
      <c r="E624" s="1">
        <v>31989.0</v>
      </c>
      <c r="F624" s="10">
        <f t="shared" si="1"/>
        <v>4</v>
      </c>
      <c r="G624" s="10">
        <f t="array" ref="G624">index('Player ID'!C:C,match(E624,'Player ID'!B:B,0))</f>
        <v>802419</v>
      </c>
    </row>
    <row r="625">
      <c r="A625" s="76">
        <v>45748.0</v>
      </c>
      <c r="B625" s="1" t="s">
        <v>772</v>
      </c>
      <c r="C625" s="1" t="s">
        <v>58</v>
      </c>
      <c r="D625" s="1">
        <v>0.2</v>
      </c>
      <c r="E625" s="1">
        <v>1247.0</v>
      </c>
      <c r="F625" s="10">
        <f t="shared" si="1"/>
        <v>0.6666666667</v>
      </c>
      <c r="G625" s="10">
        <f t="array" ref="G625">index('Player ID'!C:C,match(E625,'Player ID'!B:B,0))</f>
        <v>493603</v>
      </c>
    </row>
    <row r="626">
      <c r="A626" s="76">
        <v>45748.0</v>
      </c>
      <c r="B626" s="1" t="s">
        <v>422</v>
      </c>
      <c r="C626" s="1" t="s">
        <v>58</v>
      </c>
      <c r="D626" s="1">
        <v>2.0</v>
      </c>
      <c r="E626" s="1">
        <v>7048.0</v>
      </c>
      <c r="F626" s="10">
        <f t="shared" si="1"/>
        <v>2</v>
      </c>
      <c r="G626" s="10">
        <f t="array" ref="G626">index('Player ID'!C:C,match(E626,'Player ID'!B:B,0))</f>
        <v>518585</v>
      </c>
    </row>
    <row r="627">
      <c r="A627" s="76">
        <v>45748.0</v>
      </c>
      <c r="B627" s="1" t="s">
        <v>103</v>
      </c>
      <c r="C627" s="1" t="s">
        <v>64</v>
      </c>
      <c r="D627" s="1">
        <v>1.0</v>
      </c>
      <c r="E627" s="1">
        <v>10197.0</v>
      </c>
      <c r="F627" s="10">
        <f t="shared" si="1"/>
        <v>1</v>
      </c>
      <c r="G627" s="10">
        <f t="array" ref="G627">index('Player ID'!C:C,match(E627,'Player ID'!B:B,0))</f>
        <v>571946</v>
      </c>
    </row>
    <row r="628">
      <c r="A628" s="76">
        <v>45748.0</v>
      </c>
      <c r="B628" s="1" t="s">
        <v>467</v>
      </c>
      <c r="C628" s="1" t="s">
        <v>58</v>
      </c>
      <c r="D628" s="1">
        <v>0.1</v>
      </c>
      <c r="E628" s="1">
        <v>15551.0</v>
      </c>
      <c r="F628" s="10">
        <f t="shared" si="1"/>
        <v>0.3333333333</v>
      </c>
      <c r="G628" s="10">
        <f t="array" ref="G628">index('Player ID'!C:C,match(E628,'Player ID'!B:B,0))</f>
        <v>643410</v>
      </c>
    </row>
    <row r="629">
      <c r="A629" s="76">
        <v>45748.0</v>
      </c>
      <c r="B629" s="1" t="s">
        <v>69</v>
      </c>
      <c r="C629" s="1" t="s">
        <v>58</v>
      </c>
      <c r="D629" s="1">
        <v>0.1</v>
      </c>
      <c r="E629" s="1">
        <v>16814.0</v>
      </c>
      <c r="F629" s="10">
        <f t="shared" si="1"/>
        <v>0.3333333333</v>
      </c>
      <c r="G629" s="10">
        <f t="array" ref="G629">index('Player ID'!C:C,match(E629,'Player ID'!B:B,0))</f>
        <v>657612</v>
      </c>
    </row>
    <row r="630">
      <c r="A630" s="76">
        <v>45748.0</v>
      </c>
      <c r="B630" s="1" t="s">
        <v>489</v>
      </c>
      <c r="C630" s="1" t="s">
        <v>64</v>
      </c>
      <c r="D630" s="1">
        <v>1.2</v>
      </c>
      <c r="E630" s="1">
        <v>17192.0</v>
      </c>
      <c r="F630" s="10">
        <f t="shared" si="1"/>
        <v>1.666666667</v>
      </c>
      <c r="G630" s="10">
        <f t="array" ref="G630">index('Player ID'!C:C,match(E630,'Player ID'!B:B,0))</f>
        <v>656222</v>
      </c>
    </row>
    <row r="631">
      <c r="A631" s="76">
        <v>45748.0</v>
      </c>
      <c r="B631" s="1" t="s">
        <v>735</v>
      </c>
      <c r="C631" s="1" t="s">
        <v>64</v>
      </c>
      <c r="D631" s="1">
        <v>1.0</v>
      </c>
      <c r="E631" s="1">
        <v>19343.0</v>
      </c>
      <c r="F631" s="10">
        <f t="shared" si="1"/>
        <v>1</v>
      </c>
      <c r="G631" s="10">
        <f t="array" ref="G631">index('Player ID'!C:C,match(E631,'Player ID'!B:B,0))</f>
        <v>640462</v>
      </c>
    </row>
    <row r="632">
      <c r="A632" s="76">
        <v>45748.0</v>
      </c>
      <c r="B632" s="1" t="s">
        <v>431</v>
      </c>
      <c r="C632" s="1" t="s">
        <v>64</v>
      </c>
      <c r="D632" s="1">
        <v>4.1</v>
      </c>
      <c r="E632" s="1">
        <v>19361.0</v>
      </c>
      <c r="F632" s="10">
        <f t="shared" si="1"/>
        <v>4.333333333</v>
      </c>
      <c r="G632" s="10">
        <f t="array" ref="G632">index('Player ID'!C:C,match(E632,'Player ID'!B:B,0))</f>
        <v>669203</v>
      </c>
    </row>
    <row r="633">
      <c r="A633" s="76">
        <v>45748.0</v>
      </c>
      <c r="B633" s="1" t="s">
        <v>714</v>
      </c>
      <c r="C633" s="1" t="s">
        <v>64</v>
      </c>
      <c r="D633" s="1">
        <v>1.0</v>
      </c>
      <c r="E633" s="1">
        <v>24453.0</v>
      </c>
      <c r="F633" s="10">
        <f t="shared" si="1"/>
        <v>1</v>
      </c>
      <c r="G633" s="10">
        <f t="array" ref="G633">index('Player ID'!C:C,match(E633,'Player ID'!B:B,0))</f>
        <v>679885</v>
      </c>
    </row>
    <row r="634">
      <c r="A634" s="76">
        <v>45748.0</v>
      </c>
      <c r="B634" s="1" t="s">
        <v>693</v>
      </c>
      <c r="C634" s="1" t="s">
        <v>58</v>
      </c>
      <c r="D634" s="1">
        <v>0.2</v>
      </c>
      <c r="E634" s="1">
        <v>27702.0</v>
      </c>
      <c r="F634" s="10">
        <f t="shared" si="1"/>
        <v>0.6666666667</v>
      </c>
      <c r="G634" s="10">
        <f t="array" ref="G634">index('Player ID'!C:C,match(E634,'Player ID'!B:B,0))</f>
        <v>687396</v>
      </c>
    </row>
    <row r="635">
      <c r="A635" s="76">
        <v>45748.0</v>
      </c>
      <c r="B635" s="1" t="s">
        <v>344</v>
      </c>
      <c r="C635" s="1" t="s">
        <v>58</v>
      </c>
      <c r="D635" s="1">
        <v>5.0</v>
      </c>
      <c r="E635" s="1">
        <v>30182.0</v>
      </c>
      <c r="F635" s="10">
        <f t="shared" si="1"/>
        <v>5</v>
      </c>
      <c r="G635" s="10">
        <f t="array" ref="G635">index('Player ID'!C:C,match(E635,'Player ID'!B:B,0))</f>
        <v>701542</v>
      </c>
    </row>
    <row r="636">
      <c r="A636" s="76">
        <v>45748.0</v>
      </c>
      <c r="B636" s="1" t="s">
        <v>642</v>
      </c>
      <c r="C636" s="1" t="s">
        <v>80</v>
      </c>
      <c r="D636" s="1">
        <v>0.1</v>
      </c>
      <c r="E636" s="1">
        <v>13470.0</v>
      </c>
      <c r="F636" s="10">
        <f t="shared" si="1"/>
        <v>0.3333333333</v>
      </c>
      <c r="G636" s="10">
        <f t="array" ref="G636">index('Player ID'!C:C,match(E636,'Player ID'!B:B,0))</f>
        <v>608371</v>
      </c>
    </row>
    <row r="637">
      <c r="A637" s="76">
        <v>45748.0</v>
      </c>
      <c r="B637" s="1" t="s">
        <v>638</v>
      </c>
      <c r="C637" s="1" t="s">
        <v>40</v>
      </c>
      <c r="D637" s="1">
        <v>5.2</v>
      </c>
      <c r="E637" s="1">
        <v>14168.0</v>
      </c>
      <c r="F637" s="10">
        <f t="shared" si="1"/>
        <v>5.666666667</v>
      </c>
      <c r="G637" s="10">
        <f t="array" ref="G637">index('Player ID'!C:C,match(E637,'Player ID'!B:B,0))</f>
        <v>621244</v>
      </c>
    </row>
    <row r="638">
      <c r="A638" s="76">
        <v>45748.0</v>
      </c>
      <c r="B638" s="1" t="s">
        <v>719</v>
      </c>
      <c r="C638" s="1" t="s">
        <v>80</v>
      </c>
      <c r="D638" s="1">
        <v>1.0</v>
      </c>
      <c r="E638" s="1">
        <v>14527.0</v>
      </c>
      <c r="F638" s="10">
        <f t="shared" si="1"/>
        <v>1</v>
      </c>
      <c r="G638" s="10">
        <f t="array" ref="G638">index('Player ID'!C:C,match(E638,'Player ID'!B:B,0))</f>
        <v>605347</v>
      </c>
    </row>
    <row r="639">
      <c r="A639" s="76">
        <v>45748.0</v>
      </c>
      <c r="B639" s="1" t="s">
        <v>174</v>
      </c>
      <c r="C639" s="1" t="s">
        <v>40</v>
      </c>
      <c r="D639" s="1">
        <v>0.1</v>
      </c>
      <c r="E639" s="1">
        <v>15552.0</v>
      </c>
      <c r="F639" s="10">
        <f t="shared" si="1"/>
        <v>0.3333333333</v>
      </c>
      <c r="G639" s="10">
        <f t="array" ref="G639">index('Player ID'!C:C,match(E639,'Player ID'!B:B,0))</f>
        <v>643338</v>
      </c>
    </row>
    <row r="640">
      <c r="A640" s="76">
        <v>45748.0</v>
      </c>
      <c r="B640" s="1" t="s">
        <v>148</v>
      </c>
      <c r="C640" s="1" t="s">
        <v>80</v>
      </c>
      <c r="D640" s="1">
        <v>5.0</v>
      </c>
      <c r="E640" s="1">
        <v>16977.0</v>
      </c>
      <c r="F640" s="10">
        <f t="shared" si="1"/>
        <v>5</v>
      </c>
      <c r="G640" s="10">
        <f t="array" ref="G640">index('Player ID'!C:C,match(E640,'Player ID'!B:B,0))</f>
        <v>592866</v>
      </c>
    </row>
    <row r="641">
      <c r="A641" s="76">
        <v>45748.0</v>
      </c>
      <c r="B641" s="1" t="s">
        <v>311</v>
      </c>
      <c r="C641" s="1" t="s">
        <v>40</v>
      </c>
      <c r="D641" s="1">
        <v>1.0</v>
      </c>
      <c r="E641" s="1">
        <v>17432.0</v>
      </c>
      <c r="F641" s="10">
        <f t="shared" si="1"/>
        <v>1</v>
      </c>
      <c r="G641" s="10">
        <f t="array" ref="G641">index('Player ID'!C:C,match(E641,'Player ID'!B:B,0))</f>
        <v>656546</v>
      </c>
    </row>
    <row r="642">
      <c r="A642" s="76">
        <v>45748.0</v>
      </c>
      <c r="B642" s="1" t="s">
        <v>86</v>
      </c>
      <c r="C642" s="1" t="s">
        <v>80</v>
      </c>
      <c r="D642" s="1">
        <v>1.2</v>
      </c>
      <c r="E642" s="1">
        <v>24017.0</v>
      </c>
      <c r="F642" s="10">
        <f t="shared" si="1"/>
        <v>1.666666667</v>
      </c>
      <c r="G642" s="10">
        <f t="array" ref="G642">index('Player ID'!C:C,match(E642,'Player ID'!B:B,0))</f>
        <v>678606</v>
      </c>
    </row>
    <row r="643">
      <c r="A643" s="76">
        <v>45748.0</v>
      </c>
      <c r="B643" s="1" t="s">
        <v>142</v>
      </c>
      <c r="C643" s="1" t="s">
        <v>40</v>
      </c>
      <c r="D643" s="1">
        <v>1.0</v>
      </c>
      <c r="E643" s="1">
        <v>31553.0</v>
      </c>
      <c r="F643" s="10">
        <f t="shared" si="1"/>
        <v>1</v>
      </c>
      <c r="G643" s="10">
        <f t="array" ref="G643">index('Player ID'!C:C,match(E643,'Player ID'!B:B,0))</f>
        <v>689254</v>
      </c>
    </row>
    <row r="644">
      <c r="A644" s="76">
        <v>45748.0</v>
      </c>
      <c r="B644" s="1" t="s">
        <v>427</v>
      </c>
      <c r="C644" s="1" t="s">
        <v>40</v>
      </c>
      <c r="D644" s="1">
        <v>1.0</v>
      </c>
      <c r="E644" s="1">
        <v>33838.0</v>
      </c>
      <c r="F644" s="10">
        <f t="shared" si="1"/>
        <v>1</v>
      </c>
      <c r="G644" s="10">
        <f t="array" ref="G644">index('Player ID'!C:C,match(E644,'Player ID'!B:B,0))</f>
        <v>684320</v>
      </c>
    </row>
    <row r="645">
      <c r="A645" s="76">
        <v>45748.0</v>
      </c>
      <c r="B645" s="1" t="s">
        <v>435</v>
      </c>
      <c r="C645" s="1" t="s">
        <v>16</v>
      </c>
      <c r="D645" s="1">
        <v>1.0</v>
      </c>
      <c r="E645" s="1">
        <v>13293.0</v>
      </c>
      <c r="F645" s="10">
        <f t="shared" si="1"/>
        <v>1</v>
      </c>
      <c r="G645" s="10">
        <f t="array" ref="G645">index('Player ID'!C:C,match(E645,'Player ID'!B:B,0))</f>
        <v>543056</v>
      </c>
    </row>
    <row r="646">
      <c r="A646" s="76">
        <v>45748.0</v>
      </c>
      <c r="B646" s="1" t="s">
        <v>397</v>
      </c>
      <c r="C646" s="1" t="s">
        <v>16</v>
      </c>
      <c r="D646" s="1">
        <v>1.0</v>
      </c>
      <c r="E646" s="1">
        <v>19459.0</v>
      </c>
      <c r="F646" s="10">
        <f t="shared" si="1"/>
        <v>1</v>
      </c>
      <c r="G646" s="10">
        <f t="array" ref="G646">index('Player ID'!C:C,match(E646,'Player ID'!B:B,0))</f>
        <v>660896</v>
      </c>
    </row>
    <row r="647">
      <c r="A647" s="76">
        <v>45748.0</v>
      </c>
      <c r="B647" s="1" t="s">
        <v>387</v>
      </c>
      <c r="C647" s="1" t="s">
        <v>78</v>
      </c>
      <c r="D647" s="1">
        <v>0.1</v>
      </c>
      <c r="E647" s="1">
        <v>19990.0</v>
      </c>
      <c r="F647" s="10">
        <f t="shared" si="1"/>
        <v>0.3333333333</v>
      </c>
      <c r="G647" s="10">
        <f t="array" ref="G647">index('Player ID'!C:C,match(E647,'Player ID'!B:B,0))</f>
        <v>669060</v>
      </c>
    </row>
    <row r="648">
      <c r="A648" s="76">
        <v>45748.0</v>
      </c>
      <c r="B648" s="1" t="s">
        <v>28</v>
      </c>
      <c r="C648" s="1" t="s">
        <v>16</v>
      </c>
      <c r="D648" s="1">
        <v>1.0</v>
      </c>
      <c r="E648" s="1">
        <v>20253.0</v>
      </c>
      <c r="F648" s="10">
        <f t="shared" si="1"/>
        <v>1</v>
      </c>
      <c r="G648" s="10">
        <f t="array" ref="G648">index('Player ID'!C:C,match(E648,'Player ID'!B:B,0))</f>
        <v>643377</v>
      </c>
    </row>
    <row r="649">
      <c r="A649" s="76">
        <v>45748.0</v>
      </c>
      <c r="B649" s="1" t="s">
        <v>237</v>
      </c>
      <c r="C649" s="1" t="s">
        <v>16</v>
      </c>
      <c r="D649" s="1">
        <v>1.0</v>
      </c>
      <c r="E649" s="1">
        <v>21461.0</v>
      </c>
      <c r="F649" s="10">
        <f t="shared" si="1"/>
        <v>1</v>
      </c>
      <c r="G649" s="10">
        <f t="array" ref="G649">index('Player ID'!C:C,match(E649,'Player ID'!B:B,0))</f>
        <v>663485</v>
      </c>
    </row>
    <row r="650">
      <c r="A650" s="76">
        <v>45748.0</v>
      </c>
      <c r="B650" s="1" t="s">
        <v>490</v>
      </c>
      <c r="C650" s="1" t="s">
        <v>16</v>
      </c>
      <c r="D650" s="1">
        <v>4.0</v>
      </c>
      <c r="E650" s="1">
        <v>24494.0</v>
      </c>
      <c r="F650" s="10">
        <f t="shared" si="1"/>
        <v>4</v>
      </c>
      <c r="G650" s="10">
        <f t="array" ref="G650">index('Player ID'!C:C,match(E650,'Player ID'!B:B,0))</f>
        <v>680573</v>
      </c>
    </row>
    <row r="651">
      <c r="A651" s="76">
        <v>45748.0</v>
      </c>
      <c r="B651" s="1" t="s">
        <v>658</v>
      </c>
      <c r="C651" s="1" t="s">
        <v>78</v>
      </c>
      <c r="D651" s="1">
        <v>0.0</v>
      </c>
      <c r="E651" s="1">
        <v>25174.0</v>
      </c>
      <c r="F651" s="10">
        <f t="shared" si="1"/>
        <v>0</v>
      </c>
      <c r="G651" s="10">
        <f t="array" ref="G651">index('Player ID'!C:C,match(E651,'Player ID'!B:B,0))</f>
        <v>682171</v>
      </c>
    </row>
    <row r="652">
      <c r="A652" s="76">
        <v>45748.0</v>
      </c>
      <c r="B652" s="1" t="s">
        <v>367</v>
      </c>
      <c r="C652" s="1" t="s">
        <v>78</v>
      </c>
      <c r="D652" s="1">
        <v>0.2</v>
      </c>
      <c r="E652" s="1">
        <v>27668.0</v>
      </c>
      <c r="F652" s="10">
        <f t="shared" si="1"/>
        <v>0.6666666667</v>
      </c>
      <c r="G652" s="10">
        <f t="array" ref="G652">index('Player ID'!C:C,match(E652,'Player ID'!B:B,0))</f>
        <v>685126</v>
      </c>
    </row>
    <row r="653">
      <c r="A653" s="76">
        <v>45748.0</v>
      </c>
      <c r="B653" s="1" t="s">
        <v>47</v>
      </c>
      <c r="C653" s="1" t="s">
        <v>16</v>
      </c>
      <c r="D653" s="1">
        <v>1.0</v>
      </c>
      <c r="E653" s="1">
        <v>27691.0</v>
      </c>
      <c r="F653" s="10">
        <f t="shared" si="1"/>
        <v>1</v>
      </c>
      <c r="G653" s="10">
        <f t="array" ref="G653">index('Player ID'!C:C,match(E653,'Player ID'!B:B,0))</f>
        <v>686973</v>
      </c>
    </row>
    <row r="654">
      <c r="A654" s="76">
        <v>45748.0</v>
      </c>
      <c r="B654" s="1" t="s">
        <v>718</v>
      </c>
      <c r="C654" s="1" t="s">
        <v>78</v>
      </c>
      <c r="D654" s="1">
        <v>1.1</v>
      </c>
      <c r="E654" s="1">
        <v>29530.0</v>
      </c>
      <c r="F654" s="10">
        <f t="shared" si="1"/>
        <v>1.333333333</v>
      </c>
      <c r="G654" s="10">
        <f t="array" ref="G654">index('Player ID'!C:C,match(E654,'Player ID'!B:B,0))</f>
        <v>686642</v>
      </c>
    </row>
    <row r="655">
      <c r="A655" s="76">
        <v>45748.0</v>
      </c>
      <c r="B655" s="1" t="s">
        <v>317</v>
      </c>
      <c r="C655" s="1" t="s">
        <v>78</v>
      </c>
      <c r="D655" s="1">
        <v>1.0</v>
      </c>
      <c r="E655" s="1">
        <v>29950.0</v>
      </c>
      <c r="F655" s="10">
        <f t="shared" si="1"/>
        <v>1</v>
      </c>
      <c r="G655" s="10">
        <f t="array" ref="G655">index('Player ID'!C:C,match(E655,'Player ID'!B:B,0))</f>
        <v>673929</v>
      </c>
    </row>
    <row r="656">
      <c r="A656" s="76">
        <v>45748.0</v>
      </c>
      <c r="B656" s="1" t="s">
        <v>470</v>
      </c>
      <c r="C656" s="1" t="s">
        <v>78</v>
      </c>
      <c r="D656" s="1">
        <v>5.2</v>
      </c>
      <c r="E656" s="1">
        <v>31687.0</v>
      </c>
      <c r="F656" s="10">
        <f t="shared" si="1"/>
        <v>5.666666667</v>
      </c>
      <c r="G656" s="10">
        <f t="array" ref="G656">index('Player ID'!C:C,match(E656,'Player ID'!B:B,0))</f>
        <v>681343</v>
      </c>
    </row>
    <row r="657">
      <c r="A657" s="76">
        <v>45748.0</v>
      </c>
      <c r="B657" s="1" t="s">
        <v>634</v>
      </c>
      <c r="C657" s="1" t="s">
        <v>14</v>
      </c>
      <c r="D657" s="1">
        <v>1.0</v>
      </c>
      <c r="E657" s="1">
        <v>14332.0</v>
      </c>
      <c r="F657" s="10">
        <f t="shared" si="1"/>
        <v>1</v>
      </c>
      <c r="G657" s="10">
        <f t="array" ref="G657">index('Player ID'!C:C,match(E657,'Player ID'!B:B,0))</f>
        <v>606303</v>
      </c>
    </row>
    <row r="658">
      <c r="A658" s="76">
        <v>45748.0</v>
      </c>
      <c r="B658" s="1" t="s">
        <v>420</v>
      </c>
      <c r="C658" s="1" t="s">
        <v>29</v>
      </c>
      <c r="D658" s="1">
        <v>5.1</v>
      </c>
      <c r="E658" s="1">
        <v>14843.0</v>
      </c>
      <c r="F658" s="10">
        <f t="shared" si="1"/>
        <v>5.333333333</v>
      </c>
      <c r="G658" s="10">
        <f t="array" ref="G658">index('Player ID'!C:C,match(E658,'Player ID'!B:B,0))</f>
        <v>547179</v>
      </c>
    </row>
    <row r="659">
      <c r="A659" s="76">
        <v>45748.0</v>
      </c>
      <c r="B659" s="1" t="s">
        <v>13</v>
      </c>
      <c r="C659" s="1" t="s">
        <v>14</v>
      </c>
      <c r="D659" s="1">
        <v>1.0</v>
      </c>
      <c r="E659" s="1">
        <v>17722.0</v>
      </c>
      <c r="F659" s="10">
        <f t="shared" si="1"/>
        <v>1</v>
      </c>
      <c r="G659" s="10">
        <f t="array" ref="G659">index('Player ID'!C:C,match(E659,'Player ID'!B:B,0))</f>
        <v>656730</v>
      </c>
    </row>
    <row r="660">
      <c r="A660" s="76">
        <v>45748.0</v>
      </c>
      <c r="B660" s="1" t="s">
        <v>144</v>
      </c>
      <c r="C660" s="1" t="s">
        <v>29</v>
      </c>
      <c r="D660" s="1">
        <v>1.0</v>
      </c>
      <c r="E660" s="1">
        <v>20020.0</v>
      </c>
      <c r="F660" s="10">
        <f t="shared" si="1"/>
        <v>1</v>
      </c>
      <c r="G660" s="10">
        <f t="array" ref="G660">index('Player ID'!C:C,match(E660,'Player ID'!B:B,0))</f>
        <v>670167</v>
      </c>
    </row>
    <row r="661">
      <c r="A661" s="76">
        <v>45748.0</v>
      </c>
      <c r="B661" s="1" t="s">
        <v>279</v>
      </c>
      <c r="C661" s="1" t="s">
        <v>14</v>
      </c>
      <c r="D661" s="1">
        <v>1.1</v>
      </c>
      <c r="E661" s="1">
        <v>25327.0</v>
      </c>
      <c r="F661" s="10">
        <f t="shared" si="1"/>
        <v>1.333333333</v>
      </c>
      <c r="G661" s="10">
        <f t="array" ref="G661">index('Player ID'!C:C,match(E661,'Player ID'!B:B,0))</f>
        <v>682842</v>
      </c>
    </row>
    <row r="662">
      <c r="A662" s="76">
        <v>45748.0</v>
      </c>
      <c r="B662" s="1" t="s">
        <v>442</v>
      </c>
      <c r="C662" s="1" t="s">
        <v>29</v>
      </c>
      <c r="D662" s="1">
        <v>1.2</v>
      </c>
      <c r="E662" s="1">
        <v>25379.0</v>
      </c>
      <c r="F662" s="10">
        <f t="shared" si="1"/>
        <v>1.666666667</v>
      </c>
      <c r="G662" s="10">
        <f t="array" ref="G662">index('Player ID'!C:C,match(E662,'Player ID'!B:B,0))</f>
        <v>669674</v>
      </c>
    </row>
    <row r="663">
      <c r="A663" s="76">
        <v>45748.0</v>
      </c>
      <c r="B663" s="1" t="s">
        <v>418</v>
      </c>
      <c r="C663" s="1" t="s">
        <v>14</v>
      </c>
      <c r="D663" s="1">
        <v>1.0</v>
      </c>
      <c r="E663" s="1">
        <v>27517.0</v>
      </c>
      <c r="F663" s="10">
        <f t="shared" si="1"/>
        <v>1</v>
      </c>
      <c r="G663" s="10">
        <f t="array" ref="G663">index('Player ID'!C:C,match(E663,'Player ID'!B:B,0))</f>
        <v>657649</v>
      </c>
    </row>
    <row r="664">
      <c r="A664" s="76">
        <v>45748.0</v>
      </c>
      <c r="B664" s="1" t="s">
        <v>496</v>
      </c>
      <c r="C664" s="1" t="s">
        <v>14</v>
      </c>
      <c r="D664" s="1">
        <v>4.2</v>
      </c>
      <c r="E664" s="1">
        <v>30113.0</v>
      </c>
      <c r="F664" s="10">
        <f t="shared" si="1"/>
        <v>4.666666667</v>
      </c>
      <c r="G664" s="10">
        <f t="array" ref="G664">index('Player ID'!C:C,match(E664,'Player ID'!B:B,0))</f>
        <v>694477</v>
      </c>
    </row>
    <row r="665">
      <c r="A665" s="76">
        <v>45748.0</v>
      </c>
      <c r="B665" s="1" t="s">
        <v>154</v>
      </c>
      <c r="C665" s="1" t="s">
        <v>25</v>
      </c>
      <c r="D665" s="1">
        <v>1.0</v>
      </c>
      <c r="E665" s="1">
        <v>3096.0</v>
      </c>
      <c r="F665" s="10">
        <f t="shared" si="1"/>
        <v>1</v>
      </c>
      <c r="G665" s="10">
        <f t="array" ref="G665">index('Player ID'!C:C,match(E665,'Player ID'!B:B,0))</f>
        <v>445276</v>
      </c>
    </row>
    <row r="666">
      <c r="A666" s="76">
        <v>45748.0</v>
      </c>
      <c r="B666" s="1" t="s">
        <v>399</v>
      </c>
      <c r="C666" s="1" t="s">
        <v>25</v>
      </c>
      <c r="D666" s="1">
        <v>6.0</v>
      </c>
      <c r="E666" s="1">
        <v>12049.0</v>
      </c>
      <c r="F666" s="10">
        <f t="shared" si="1"/>
        <v>6</v>
      </c>
      <c r="G666" s="10">
        <f t="array" ref="G666">index('Player ID'!C:C,match(E666,'Player ID'!B:B,0))</f>
        <v>543294</v>
      </c>
    </row>
    <row r="667">
      <c r="A667" s="76">
        <v>45748.0</v>
      </c>
      <c r="B667" s="1" t="s">
        <v>270</v>
      </c>
      <c r="C667" s="1" t="s">
        <v>72</v>
      </c>
      <c r="D667" s="1">
        <v>1.0</v>
      </c>
      <c r="E667" s="1">
        <v>18138.0</v>
      </c>
      <c r="F667" s="10">
        <f t="shared" si="1"/>
        <v>1</v>
      </c>
      <c r="G667" s="10">
        <f t="array" ref="G667">index('Player ID'!C:C,match(E667,'Player ID'!B:B,0))</f>
        <v>664854</v>
      </c>
    </row>
    <row r="668">
      <c r="A668" s="76">
        <v>45748.0</v>
      </c>
      <c r="B668" s="1" t="s">
        <v>775</v>
      </c>
      <c r="C668" s="1" t="s">
        <v>25</v>
      </c>
      <c r="D668" s="1">
        <v>1.0</v>
      </c>
      <c r="E668" s="1">
        <v>19951.0</v>
      </c>
      <c r="F668" s="10">
        <f t="shared" si="1"/>
        <v>1</v>
      </c>
      <c r="G668" s="10">
        <f t="array" ref="G668">index('Player ID'!C:C,match(E668,'Player ID'!B:B,0))</f>
        <v>666120</v>
      </c>
    </row>
    <row r="669">
      <c r="A669" s="76">
        <v>45748.0</v>
      </c>
      <c r="B669" s="1" t="s">
        <v>290</v>
      </c>
      <c r="C669" s="1" t="s">
        <v>72</v>
      </c>
      <c r="D669" s="1">
        <v>6.0</v>
      </c>
      <c r="E669" s="1">
        <v>22294.0</v>
      </c>
      <c r="F669" s="10">
        <f t="shared" si="1"/>
        <v>6</v>
      </c>
      <c r="G669" s="10">
        <f t="array" ref="G669">index('Player ID'!C:C,match(E669,'Player ID'!B:B,0))</f>
        <v>669461</v>
      </c>
    </row>
    <row r="670">
      <c r="A670" s="76">
        <v>45748.0</v>
      </c>
      <c r="B670" s="1" t="s">
        <v>170</v>
      </c>
      <c r="C670" s="1" t="s">
        <v>72</v>
      </c>
      <c r="D670" s="1">
        <v>2.0</v>
      </c>
      <c r="E670" s="1">
        <v>24763.0</v>
      </c>
      <c r="F670" s="10">
        <f t="shared" si="1"/>
        <v>2</v>
      </c>
      <c r="G670" s="10">
        <f t="array" ref="G670">index('Player ID'!C:C,match(E670,'Player ID'!B:B,0))</f>
        <v>681517</v>
      </c>
    </row>
    <row r="671">
      <c r="A671" s="76">
        <v>45748.0</v>
      </c>
      <c r="B671" s="1" t="s">
        <v>378</v>
      </c>
      <c r="C671" s="1" t="s">
        <v>72</v>
      </c>
      <c r="D671" s="1">
        <v>1.0</v>
      </c>
      <c r="E671" s="1">
        <v>24862.0</v>
      </c>
      <c r="F671" s="10">
        <f t="shared" si="1"/>
        <v>1</v>
      </c>
      <c r="G671" s="10">
        <f t="array" ref="G671">index('Player ID'!C:C,match(E671,'Player ID'!B:B,0))</f>
        <v>681676</v>
      </c>
    </row>
    <row r="672">
      <c r="A672" s="76">
        <v>45748.0</v>
      </c>
      <c r="B672" s="1" t="s">
        <v>385</v>
      </c>
      <c r="C672" s="1" t="s">
        <v>25</v>
      </c>
      <c r="D672" s="1">
        <v>0.2</v>
      </c>
      <c r="E672" s="1">
        <v>25420.0</v>
      </c>
      <c r="F672" s="10">
        <f t="shared" si="1"/>
        <v>0.6666666667</v>
      </c>
      <c r="G672" s="10">
        <f t="array" ref="G672">index('Player ID'!C:C,match(E672,'Player ID'!B:B,0))</f>
        <v>666171</v>
      </c>
    </row>
    <row r="673">
      <c r="A673" s="76">
        <v>45748.0</v>
      </c>
      <c r="B673" s="1" t="s">
        <v>665</v>
      </c>
      <c r="C673" s="1" t="s">
        <v>72</v>
      </c>
      <c r="D673" s="1">
        <v>1.0</v>
      </c>
      <c r="E673" s="1">
        <v>31261.0</v>
      </c>
      <c r="F673" s="10">
        <f t="shared" si="1"/>
        <v>1</v>
      </c>
      <c r="G673" s="10">
        <f t="array" ref="G673">index('Player ID'!C:C,match(E673,'Player ID'!B:B,0))</f>
        <v>688297</v>
      </c>
    </row>
    <row r="674">
      <c r="A674" s="76">
        <v>45748.0</v>
      </c>
      <c r="B674" s="1" t="s">
        <v>696</v>
      </c>
      <c r="C674" s="1" t="s">
        <v>25</v>
      </c>
      <c r="D674" s="1">
        <v>1.0</v>
      </c>
      <c r="E674" s="1">
        <v>31461.0</v>
      </c>
      <c r="F674" s="10">
        <f t="shared" si="1"/>
        <v>1</v>
      </c>
      <c r="G674" s="10">
        <f t="array" ref="G674">index('Player ID'!C:C,match(E674,'Player ID'!B:B,0))</f>
        <v>690829</v>
      </c>
    </row>
    <row r="675">
      <c r="A675" s="76">
        <v>45748.0</v>
      </c>
      <c r="B675" s="1" t="s">
        <v>760</v>
      </c>
      <c r="C675" s="1" t="s">
        <v>25</v>
      </c>
      <c r="D675" s="1">
        <v>0.1</v>
      </c>
      <c r="E675" s="1">
        <v>31751.0</v>
      </c>
      <c r="F675" s="10">
        <f t="shared" si="1"/>
        <v>0.3333333333</v>
      </c>
      <c r="G675" s="10">
        <f t="array" ref="G675">index('Player ID'!C:C,match(E675,'Player ID'!B:B,0))</f>
        <v>680729</v>
      </c>
    </row>
    <row r="676">
      <c r="A676" s="76">
        <v>45748.0</v>
      </c>
      <c r="B676" s="1" t="s">
        <v>659</v>
      </c>
      <c r="C676" s="1" t="s">
        <v>25</v>
      </c>
      <c r="D676" s="1">
        <v>1.0</v>
      </c>
      <c r="E676" s="1">
        <v>35325.0</v>
      </c>
      <c r="F676" s="10">
        <f t="shared" si="1"/>
        <v>1</v>
      </c>
      <c r="G676" s="10">
        <f t="array" ref="G676">index('Player ID'!C:C,match(E676,'Player ID'!B:B,0))</f>
        <v>696270</v>
      </c>
    </row>
    <row r="677">
      <c r="A677" s="76">
        <v>45748.0</v>
      </c>
      <c r="B677" s="1" t="s">
        <v>38</v>
      </c>
      <c r="C677" s="1" t="s">
        <v>39</v>
      </c>
      <c r="D677" s="1">
        <v>1.2</v>
      </c>
      <c r="E677" s="1">
        <v>13580.0</v>
      </c>
      <c r="F677" s="10">
        <f t="shared" si="1"/>
        <v>1.666666667</v>
      </c>
      <c r="G677" s="10">
        <f t="array" ref="G677">index('Player ID'!C:C,match(E677,'Player ID'!B:B,0))</f>
        <v>595345</v>
      </c>
    </row>
    <row r="678">
      <c r="A678" s="76">
        <v>45748.0</v>
      </c>
      <c r="B678" s="1" t="s">
        <v>447</v>
      </c>
      <c r="C678" s="1" t="s">
        <v>39</v>
      </c>
      <c r="D678" s="1">
        <v>1.1</v>
      </c>
      <c r="E678" s="1">
        <v>13652.0</v>
      </c>
      <c r="F678" s="10">
        <f t="shared" si="1"/>
        <v>1.333333333</v>
      </c>
      <c r="G678" s="10">
        <f t="array" ref="G678">index('Player ID'!C:C,match(E678,'Player ID'!B:B,0))</f>
        <v>605463</v>
      </c>
    </row>
    <row r="679">
      <c r="A679" s="76">
        <v>45748.0</v>
      </c>
      <c r="B679" s="1" t="s">
        <v>20</v>
      </c>
      <c r="C679" s="1" t="s">
        <v>31</v>
      </c>
      <c r="D679" s="1">
        <v>1.0</v>
      </c>
      <c r="E679" s="1">
        <v>15541.0</v>
      </c>
      <c r="F679" s="10">
        <f t="shared" si="1"/>
        <v>1</v>
      </c>
      <c r="G679" s="10">
        <f t="array" ref="G679">index('Player ID'!C:C,match(E679,'Player ID'!B:B,0))</f>
        <v>643511</v>
      </c>
    </row>
    <row r="680">
      <c r="A680" s="76">
        <v>45748.0</v>
      </c>
      <c r="B680" s="1" t="s">
        <v>77</v>
      </c>
      <c r="C680" s="1" t="s">
        <v>31</v>
      </c>
      <c r="D680" s="1">
        <v>7.0</v>
      </c>
      <c r="E680" s="1">
        <v>17995.0</v>
      </c>
      <c r="F680" s="10">
        <f t="shared" si="1"/>
        <v>7</v>
      </c>
      <c r="G680" s="10">
        <f t="array" ref="G680">index('Player ID'!C:C,match(E680,'Player ID'!B:B,0))</f>
        <v>657277</v>
      </c>
    </row>
    <row r="681">
      <c r="A681" s="76">
        <v>45748.0</v>
      </c>
      <c r="B681" s="1" t="s">
        <v>403</v>
      </c>
      <c r="C681" s="1" t="s">
        <v>31</v>
      </c>
      <c r="D681" s="1">
        <v>1.0</v>
      </c>
      <c r="E681" s="1">
        <v>20423.0</v>
      </c>
      <c r="F681" s="10">
        <f t="shared" si="1"/>
        <v>1</v>
      </c>
      <c r="G681" s="10">
        <f t="array" ref="G681">index('Player ID'!C:C,match(E681,'Player ID'!B:B,0))</f>
        <v>676254</v>
      </c>
    </row>
    <row r="682">
      <c r="A682" s="76">
        <v>45748.0</v>
      </c>
      <c r="B682" s="1" t="s">
        <v>76</v>
      </c>
      <c r="C682" s="1" t="s">
        <v>39</v>
      </c>
      <c r="D682" s="1">
        <v>1.0</v>
      </c>
      <c r="E682" s="1">
        <v>25890.0</v>
      </c>
      <c r="F682" s="10">
        <f t="shared" si="1"/>
        <v>1</v>
      </c>
      <c r="G682" s="10">
        <f t="array" ref="G682">index('Player ID'!C:C,match(E682,'Player ID'!B:B,0))</f>
        <v>687911</v>
      </c>
    </row>
    <row r="683">
      <c r="A683" s="76">
        <v>45748.0</v>
      </c>
      <c r="B683" s="1" t="s">
        <v>562</v>
      </c>
      <c r="C683" s="1" t="s">
        <v>39</v>
      </c>
      <c r="D683" s="1">
        <v>5.0</v>
      </c>
      <c r="E683" s="1">
        <v>27581.0</v>
      </c>
      <c r="F683" s="10">
        <f t="shared" si="1"/>
        <v>5</v>
      </c>
      <c r="G683" s="10">
        <f t="array" ref="G683">index('Player ID'!C:C,match(E683,'Player ID'!B:B,0))</f>
        <v>669713</v>
      </c>
    </row>
    <row r="684">
      <c r="A684" s="76">
        <v>45748.0</v>
      </c>
      <c r="B684" s="1" t="s">
        <v>439</v>
      </c>
      <c r="C684" s="1" t="s">
        <v>62</v>
      </c>
      <c r="D684" s="1">
        <v>1.0</v>
      </c>
      <c r="E684" s="1">
        <v>11384.0</v>
      </c>
      <c r="F684" s="10">
        <f t="shared" si="1"/>
        <v>1</v>
      </c>
      <c r="G684" s="10">
        <f t="array" ref="G684">index('Player ID'!C:C,match(E684,'Player ID'!B:B,0))</f>
        <v>592454</v>
      </c>
    </row>
    <row r="685">
      <c r="A685" s="76">
        <v>45748.0</v>
      </c>
      <c r="B685" s="1" t="s">
        <v>53</v>
      </c>
      <c r="C685" s="1" t="s">
        <v>37</v>
      </c>
      <c r="D685" s="1">
        <v>1.0</v>
      </c>
      <c r="E685" s="1">
        <v>17170.0</v>
      </c>
      <c r="F685" s="10">
        <f t="shared" si="1"/>
        <v>1</v>
      </c>
      <c r="G685" s="10">
        <f t="array" ref="G685">index('Player ID'!C:C,match(E685,'Player ID'!B:B,0))</f>
        <v>642100</v>
      </c>
    </row>
    <row r="686">
      <c r="A686" s="76">
        <v>45748.0</v>
      </c>
      <c r="B686" s="1" t="s">
        <v>108</v>
      </c>
      <c r="C686" s="1" t="s">
        <v>37</v>
      </c>
      <c r="D686" s="1">
        <v>0.2</v>
      </c>
      <c r="E686" s="1">
        <v>17948.0</v>
      </c>
      <c r="F686" s="10">
        <f t="shared" si="1"/>
        <v>0.6666666667</v>
      </c>
      <c r="G686" s="10">
        <f t="array" ref="G686">index('Player ID'!C:C,match(E686,'Player ID'!B:B,0))</f>
        <v>663423</v>
      </c>
    </row>
    <row r="687">
      <c r="A687" s="76">
        <v>45748.0</v>
      </c>
      <c r="B687" s="1" t="s">
        <v>131</v>
      </c>
      <c r="C687" s="1" t="s">
        <v>62</v>
      </c>
      <c r="D687" s="1">
        <v>1.0</v>
      </c>
      <c r="E687" s="1">
        <v>19769.0</v>
      </c>
      <c r="F687" s="10">
        <f t="shared" si="1"/>
        <v>1</v>
      </c>
      <c r="G687" s="10">
        <f t="array" ref="G687">index('Player ID'!C:C,match(E687,'Player ID'!B:B,0))</f>
        <v>676684</v>
      </c>
    </row>
    <row r="688">
      <c r="A688" s="76">
        <v>45748.0</v>
      </c>
      <c r="B688" s="1" t="s">
        <v>777</v>
      </c>
      <c r="C688" s="1" t="s">
        <v>37</v>
      </c>
      <c r="D688" s="1">
        <v>1.1</v>
      </c>
      <c r="E688" s="1">
        <v>20298.0</v>
      </c>
      <c r="F688" s="10">
        <f t="shared" si="1"/>
        <v>1.333333333</v>
      </c>
      <c r="G688" s="10">
        <f t="array" ref="G688">index('Player ID'!C:C,match(E688,'Player ID'!B:B,0))</f>
        <v>646242</v>
      </c>
    </row>
    <row r="689">
      <c r="A689" s="76">
        <v>45748.0</v>
      </c>
      <c r="B689" s="1" t="s">
        <v>125</v>
      </c>
      <c r="C689" s="1" t="s">
        <v>62</v>
      </c>
      <c r="D689" s="1">
        <v>5.2</v>
      </c>
      <c r="E689" s="1">
        <v>20492.0</v>
      </c>
      <c r="F689" s="10">
        <f t="shared" si="1"/>
        <v>5.666666667</v>
      </c>
      <c r="G689" s="10">
        <f t="array" ref="G689">index('Player ID'!C:C,match(E689,'Player ID'!B:B,0))</f>
        <v>663554</v>
      </c>
    </row>
    <row r="690">
      <c r="A690" s="76">
        <v>45748.0</v>
      </c>
      <c r="B690" s="1" t="s">
        <v>684</v>
      </c>
      <c r="C690" s="1" t="s">
        <v>37</v>
      </c>
      <c r="D690" s="1">
        <v>1.0</v>
      </c>
      <c r="E690" s="1">
        <v>21894.0</v>
      </c>
      <c r="F690" s="10">
        <f t="shared" si="1"/>
        <v>1</v>
      </c>
      <c r="G690" s="10">
        <f t="array" ref="G690">index('Player ID'!C:C,match(E690,'Player ID'!B:B,0))</f>
        <v>666619</v>
      </c>
    </row>
    <row r="691">
      <c r="A691" s="76">
        <v>45748.0</v>
      </c>
      <c r="B691" s="1" t="s">
        <v>153</v>
      </c>
      <c r="C691" s="1" t="s">
        <v>37</v>
      </c>
      <c r="D691" s="1">
        <v>5.0</v>
      </c>
      <c r="E691" s="1">
        <v>22250.0</v>
      </c>
      <c r="F691" s="10">
        <f t="shared" si="1"/>
        <v>5</v>
      </c>
      <c r="G691" s="10">
        <f t="array" ref="G691">index('Player ID'!C:C,match(E691,'Player ID'!B:B,0))</f>
        <v>669302</v>
      </c>
    </row>
    <row r="692">
      <c r="A692" s="76">
        <v>45748.0</v>
      </c>
      <c r="B692" s="1" t="s">
        <v>667</v>
      </c>
      <c r="C692" s="1" t="s">
        <v>62</v>
      </c>
      <c r="D692" s="1">
        <v>1.1</v>
      </c>
      <c r="E692" s="1">
        <v>26079.0</v>
      </c>
      <c r="F692" s="10">
        <f t="shared" si="1"/>
        <v>1.333333333</v>
      </c>
      <c r="G692" s="10">
        <f t="array" ref="G692">index('Player ID'!C:C,match(E692,'Player ID'!B:B,0))</f>
        <v>689225</v>
      </c>
    </row>
    <row r="693">
      <c r="A693" s="76">
        <v>45748.0</v>
      </c>
      <c r="B693" s="1" t="s">
        <v>342</v>
      </c>
      <c r="C693" s="1" t="s">
        <v>26</v>
      </c>
      <c r="D693" s="1">
        <v>1.1</v>
      </c>
      <c r="E693" s="1">
        <v>11861.0</v>
      </c>
      <c r="F693" s="10">
        <f t="shared" si="1"/>
        <v>1.333333333</v>
      </c>
      <c r="G693" s="10">
        <f t="array" ref="G693">index('Player ID'!C:C,match(E693,'Player ID'!B:B,0))</f>
        <v>592094</v>
      </c>
    </row>
    <row r="694">
      <c r="A694" s="76">
        <v>45748.0</v>
      </c>
      <c r="B694" s="1" t="s">
        <v>648</v>
      </c>
      <c r="C694" s="1" t="s">
        <v>70</v>
      </c>
      <c r="D694" s="1">
        <v>0.2</v>
      </c>
      <c r="E694" s="1">
        <v>13892.0</v>
      </c>
      <c r="F694" s="10">
        <f t="shared" si="1"/>
        <v>0.6666666667</v>
      </c>
      <c r="G694" s="10">
        <f t="array" ref="G694">index('Player ID'!C:C,match(E694,'Player ID'!B:B,0))</f>
        <v>623149</v>
      </c>
    </row>
    <row r="695">
      <c r="A695" s="76">
        <v>45748.0</v>
      </c>
      <c r="B695" s="1" t="s">
        <v>207</v>
      </c>
      <c r="C695" s="1" t="s">
        <v>26</v>
      </c>
      <c r="D695" s="1">
        <v>5.0</v>
      </c>
      <c r="E695" s="1">
        <v>19853.0</v>
      </c>
      <c r="F695" s="10">
        <f t="shared" si="1"/>
        <v>5</v>
      </c>
      <c r="G695" s="10">
        <f t="array" ref="G695">index('Player ID'!C:C,match(E695,'Player ID'!B:B,0))</f>
        <v>650633</v>
      </c>
    </row>
    <row r="696">
      <c r="A696" s="76">
        <v>45748.0</v>
      </c>
      <c r="B696" s="1" t="s">
        <v>94</v>
      </c>
      <c r="C696" s="1" t="s">
        <v>26</v>
      </c>
      <c r="D696" s="1">
        <v>1.0</v>
      </c>
      <c r="E696" s="1">
        <v>22210.0</v>
      </c>
      <c r="F696" s="10">
        <f t="shared" si="1"/>
        <v>1</v>
      </c>
      <c r="G696" s="10">
        <f t="array" ref="G696">index('Player ID'!C:C,match(E696,'Player ID'!B:B,0))</f>
        <v>669093</v>
      </c>
    </row>
    <row r="697">
      <c r="A697" s="76">
        <v>45748.0</v>
      </c>
      <c r="B697" s="1" t="s">
        <v>398</v>
      </c>
      <c r="C697" s="1" t="s">
        <v>70</v>
      </c>
      <c r="D697" s="1">
        <v>2.0</v>
      </c>
      <c r="E697" s="1">
        <v>23335.0</v>
      </c>
      <c r="F697" s="10">
        <f t="shared" si="1"/>
        <v>2</v>
      </c>
      <c r="G697" s="10">
        <f t="array" ref="G697">index('Player ID'!C:C,match(E697,'Player ID'!B:B,0))</f>
        <v>676282</v>
      </c>
    </row>
    <row r="698">
      <c r="A698" s="76">
        <v>45748.0</v>
      </c>
      <c r="B698" s="1" t="s">
        <v>622</v>
      </c>
      <c r="C698" s="1" t="s">
        <v>26</v>
      </c>
      <c r="D698" s="1">
        <v>1.0</v>
      </c>
      <c r="E698" s="1">
        <v>23875.0</v>
      </c>
      <c r="F698" s="10">
        <f t="shared" si="1"/>
        <v>1</v>
      </c>
      <c r="G698" s="10">
        <f t="array" ref="G698">index('Player ID'!C:C,match(E698,'Player ID'!B:B,0))</f>
        <v>678316</v>
      </c>
    </row>
    <row r="699">
      <c r="A699" s="76">
        <v>45748.0</v>
      </c>
      <c r="B699" s="1" t="s">
        <v>372</v>
      </c>
      <c r="C699" s="1" t="s">
        <v>70</v>
      </c>
      <c r="D699" s="1">
        <v>5.1</v>
      </c>
      <c r="E699" s="1">
        <v>27589.0</v>
      </c>
      <c r="F699" s="10">
        <f t="shared" si="1"/>
        <v>5.333333333</v>
      </c>
      <c r="G699" s="10">
        <f t="array" ref="G699">index('Player ID'!C:C,match(E699,'Player ID'!B:B,0))</f>
        <v>671106</v>
      </c>
    </row>
    <row r="700">
      <c r="A700" s="76">
        <v>45748.0</v>
      </c>
      <c r="B700" s="1" t="s">
        <v>284</v>
      </c>
      <c r="C700" s="1" t="s">
        <v>26</v>
      </c>
      <c r="D700" s="1">
        <v>0.2</v>
      </c>
      <c r="E700" s="1">
        <v>33826.0</v>
      </c>
      <c r="F700" s="10">
        <f t="shared" si="1"/>
        <v>0.6666666667</v>
      </c>
      <c r="G700" s="10">
        <f t="array" ref="G700">index('Player ID'!C:C,match(E700,'Player ID'!B:B,0))</f>
        <v>673513</v>
      </c>
    </row>
    <row r="701">
      <c r="A701" s="76">
        <v>45748.0</v>
      </c>
      <c r="B701" s="1" t="s">
        <v>668</v>
      </c>
      <c r="C701" s="1" t="s">
        <v>52</v>
      </c>
      <c r="D701" s="1">
        <v>0.1</v>
      </c>
      <c r="E701" s="1">
        <v>3237.0</v>
      </c>
      <c r="F701" s="10">
        <f t="shared" si="1"/>
        <v>0.3333333333</v>
      </c>
      <c r="G701" s="10">
        <f t="array" ref="G701">index('Player ID'!C:C,match(E701,'Player ID'!B:B,0))</f>
        <v>519008</v>
      </c>
    </row>
    <row r="702">
      <c r="A702" s="76">
        <v>45748.0</v>
      </c>
      <c r="B702" s="1" t="s">
        <v>460</v>
      </c>
      <c r="C702" s="1" t="s">
        <v>34</v>
      </c>
      <c r="D702" s="1">
        <v>1.0</v>
      </c>
      <c r="E702" s="1">
        <v>7005.0</v>
      </c>
      <c r="F702" s="10">
        <f t="shared" si="1"/>
        <v>1</v>
      </c>
      <c r="G702" s="10">
        <f t="array" ref="G702">index('Player ID'!C:C,match(E702,'Player ID'!B:B,0))</f>
        <v>519151</v>
      </c>
    </row>
    <row r="703">
      <c r="A703" s="76">
        <v>45748.0</v>
      </c>
      <c r="B703" s="1" t="s">
        <v>281</v>
      </c>
      <c r="C703" s="1" t="s">
        <v>52</v>
      </c>
      <c r="D703" s="1">
        <v>6.0</v>
      </c>
      <c r="E703" s="1">
        <v>15890.0</v>
      </c>
      <c r="F703" s="10">
        <f t="shared" si="1"/>
        <v>6</v>
      </c>
      <c r="G703" s="10">
        <f t="array" ref="G703">index('Player ID'!C:C,match(E703,'Player ID'!B:B,0))</f>
        <v>622663</v>
      </c>
    </row>
    <row r="704">
      <c r="A704" s="76">
        <v>45748.0</v>
      </c>
      <c r="B704" s="1" t="s">
        <v>632</v>
      </c>
      <c r="C704" s="1" t="s">
        <v>34</v>
      </c>
      <c r="D704" s="1">
        <v>0.1</v>
      </c>
      <c r="E704" s="1">
        <v>16703.0</v>
      </c>
      <c r="F704" s="10">
        <f t="shared" si="1"/>
        <v>0.3333333333</v>
      </c>
      <c r="G704" s="10">
        <f t="array" ref="G704">index('Player ID'!C:C,match(E704,'Player ID'!B:B,0))</f>
        <v>657240</v>
      </c>
    </row>
    <row r="705">
      <c r="A705" s="76">
        <v>45748.0</v>
      </c>
      <c r="B705" s="1" t="s">
        <v>584</v>
      </c>
      <c r="C705" s="1" t="s">
        <v>34</v>
      </c>
      <c r="D705" s="1">
        <v>6.2</v>
      </c>
      <c r="E705" s="1">
        <v>17312.0</v>
      </c>
      <c r="F705" s="10">
        <f t="shared" si="1"/>
        <v>6.666666667</v>
      </c>
      <c r="G705" s="10">
        <f t="array" ref="G705">index('Player ID'!C:C,match(E705,'Player ID'!B:B,0))</f>
        <v>657006</v>
      </c>
    </row>
    <row r="706">
      <c r="A706" s="76">
        <v>45748.0</v>
      </c>
      <c r="B706" s="1" t="s">
        <v>505</v>
      </c>
      <c r="C706" s="1" t="s">
        <v>52</v>
      </c>
      <c r="D706" s="1">
        <v>1.1</v>
      </c>
      <c r="E706" s="1">
        <v>19481.0</v>
      </c>
      <c r="F706" s="10">
        <f t="shared" si="1"/>
        <v>1.333333333</v>
      </c>
      <c r="G706" s="10">
        <f t="array" ref="G706">index('Player ID'!C:C,match(E706,'Player ID'!B:B,0))</f>
        <v>621053</v>
      </c>
    </row>
    <row r="707">
      <c r="A707" s="76">
        <v>45748.0</v>
      </c>
      <c r="B707" s="1" t="s">
        <v>388</v>
      </c>
      <c r="C707" s="1" t="s">
        <v>34</v>
      </c>
      <c r="D707" s="1">
        <v>1.0</v>
      </c>
      <c r="E707" s="1">
        <v>26413.0</v>
      </c>
      <c r="F707" s="10">
        <f t="shared" si="1"/>
        <v>1</v>
      </c>
      <c r="G707" s="10">
        <f t="array" ref="G707">index('Player ID'!C:C,match(E707,'Player ID'!B:B,0))</f>
        <v>687863</v>
      </c>
    </row>
    <row r="708">
      <c r="A708" s="76">
        <v>45748.0</v>
      </c>
      <c r="B708" s="1" t="s">
        <v>213</v>
      </c>
      <c r="C708" s="1" t="s">
        <v>52</v>
      </c>
      <c r="D708" s="1">
        <v>1.1</v>
      </c>
      <c r="E708" s="1">
        <v>27694.0</v>
      </c>
      <c r="F708" s="10">
        <f t="shared" si="1"/>
        <v>1.333333333</v>
      </c>
      <c r="G708" s="10">
        <f t="array" ref="G708">index('Player ID'!C:C,match(E708,'Player ID'!B:B,0))</f>
        <v>686993</v>
      </c>
    </row>
    <row r="709">
      <c r="A709" s="76">
        <v>45748.0</v>
      </c>
      <c r="B709" s="1" t="s">
        <v>156</v>
      </c>
      <c r="C709" s="1" t="s">
        <v>46</v>
      </c>
      <c r="D709" s="1">
        <v>5.0</v>
      </c>
      <c r="E709" s="1">
        <v>10603.0</v>
      </c>
      <c r="F709" s="10">
        <f t="shared" si="1"/>
        <v>5</v>
      </c>
      <c r="G709" s="10">
        <f t="array" ref="G709">index('Player ID'!C:C,match(E709,'Player ID'!B:B,0))</f>
        <v>519242</v>
      </c>
    </row>
    <row r="710">
      <c r="A710" s="76">
        <v>45748.0</v>
      </c>
      <c r="B710" s="1" t="s">
        <v>630</v>
      </c>
      <c r="C710" s="1" t="s">
        <v>33</v>
      </c>
      <c r="D710" s="1">
        <v>1.0</v>
      </c>
      <c r="E710" s="1">
        <v>12572.0</v>
      </c>
      <c r="F710" s="10">
        <f t="shared" si="1"/>
        <v>1</v>
      </c>
      <c r="G710" s="10">
        <f t="array" ref="G710">index('Player ID'!C:C,match(E710,'Player ID'!B:B,0))</f>
        <v>595014</v>
      </c>
    </row>
    <row r="711">
      <c r="A711" s="76">
        <v>45748.0</v>
      </c>
      <c r="B711" s="1" t="s">
        <v>178</v>
      </c>
      <c r="C711" s="1" t="s">
        <v>46</v>
      </c>
      <c r="D711" s="1">
        <v>1.0</v>
      </c>
      <c r="E711" s="1">
        <v>13435.0</v>
      </c>
      <c r="F711" s="10">
        <f t="shared" si="1"/>
        <v>1</v>
      </c>
      <c r="G711" s="10">
        <f t="array" ref="G711">index('Player ID'!C:C,match(E711,'Player ID'!B:B,0))</f>
        <v>572955</v>
      </c>
    </row>
    <row r="712">
      <c r="A712" s="76">
        <v>45748.0</v>
      </c>
      <c r="B712" s="1" t="s">
        <v>310</v>
      </c>
      <c r="C712" s="1" t="s">
        <v>33</v>
      </c>
      <c r="D712" s="1">
        <v>1.0</v>
      </c>
      <c r="E712" s="1">
        <v>14706.0</v>
      </c>
      <c r="F712" s="10">
        <f t="shared" si="1"/>
        <v>1</v>
      </c>
      <c r="G712" s="10">
        <f t="array" ref="G712">index('Player ID'!C:C,match(E712,'Player ID'!B:B,0))</f>
        <v>607455</v>
      </c>
    </row>
    <row r="713">
      <c r="A713" s="76">
        <v>45748.0</v>
      </c>
      <c r="B713" s="1" t="s">
        <v>32</v>
      </c>
      <c r="C713" s="1" t="s">
        <v>33</v>
      </c>
      <c r="D713" s="1">
        <v>1.0</v>
      </c>
      <c r="E713" s="1">
        <v>17586.0</v>
      </c>
      <c r="F713" s="10">
        <f t="shared" si="1"/>
        <v>1</v>
      </c>
      <c r="G713" s="10">
        <f t="array" ref="G713">index('Player ID'!C:C,match(E713,'Player ID'!B:B,0))</f>
        <v>656945</v>
      </c>
    </row>
    <row r="714">
      <c r="A714" s="76">
        <v>45748.0</v>
      </c>
      <c r="B714" s="1" t="s">
        <v>329</v>
      </c>
      <c r="C714" s="1" t="s">
        <v>33</v>
      </c>
      <c r="D714" s="1">
        <v>5.0</v>
      </c>
      <c r="E714" s="1">
        <v>19716.0</v>
      </c>
      <c r="F714" s="10">
        <f t="shared" si="1"/>
        <v>5</v>
      </c>
      <c r="G714" s="10">
        <f t="array" ref="G714">index('Player ID'!C:C,match(E714,'Player ID'!B:B,0))</f>
        <v>669160</v>
      </c>
    </row>
    <row r="715">
      <c r="A715" s="76">
        <v>45748.0</v>
      </c>
      <c r="B715" s="1" t="s">
        <v>91</v>
      </c>
      <c r="C715" s="1" t="s">
        <v>46</v>
      </c>
      <c r="D715" s="1">
        <v>1.0</v>
      </c>
      <c r="E715" s="1">
        <v>19996.0</v>
      </c>
      <c r="F715" s="10">
        <f t="shared" si="1"/>
        <v>1</v>
      </c>
      <c r="G715" s="10">
        <f t="array" ref="G715">index('Player ID'!C:C,match(E715,'Player ID'!B:B,0))</f>
        <v>669276</v>
      </c>
    </row>
    <row r="716">
      <c r="A716" s="76">
        <v>45748.0</v>
      </c>
      <c r="B716" s="1" t="s">
        <v>688</v>
      </c>
      <c r="C716" s="1" t="s">
        <v>46</v>
      </c>
      <c r="D716" s="1">
        <v>1.0</v>
      </c>
      <c r="E716" s="1">
        <v>20271.0</v>
      </c>
      <c r="F716" s="10">
        <f t="shared" si="1"/>
        <v>1</v>
      </c>
      <c r="G716" s="10">
        <f t="array" ref="G716">index('Player ID'!C:C,match(E716,'Player ID'!B:B,0))</f>
        <v>678226</v>
      </c>
    </row>
    <row r="717">
      <c r="A717" s="76">
        <v>45748.0</v>
      </c>
      <c r="B717" s="1" t="s">
        <v>92</v>
      </c>
      <c r="C717" s="1" t="s">
        <v>33</v>
      </c>
      <c r="D717" s="1">
        <v>1.0</v>
      </c>
      <c r="E717" s="1">
        <v>25007.0</v>
      </c>
      <c r="F717" s="10">
        <f t="shared" si="1"/>
        <v>1</v>
      </c>
      <c r="G717" s="10">
        <f t="array" ref="G717">index('Player ID'!C:C,match(E717,'Player ID'!B:B,0))</f>
        <v>681911</v>
      </c>
    </row>
    <row r="718">
      <c r="A718" s="76">
        <v>45749.0</v>
      </c>
      <c r="B718" s="1" t="s">
        <v>162</v>
      </c>
      <c r="C718" s="1" t="s">
        <v>56</v>
      </c>
      <c r="D718" s="1">
        <v>1.0</v>
      </c>
      <c r="E718" s="1">
        <v>11752.0</v>
      </c>
      <c r="F718" s="10">
        <f t="shared" si="1"/>
        <v>1</v>
      </c>
      <c r="G718" s="10">
        <f t="array" ref="G718">index('Player ID'!C:C,match(E718,'Player ID'!B:B,0))</f>
        <v>592426</v>
      </c>
    </row>
    <row r="719">
      <c r="A719" s="76">
        <v>45749.0</v>
      </c>
      <c r="B719" s="1" t="s">
        <v>74</v>
      </c>
      <c r="C719" s="1" t="s">
        <v>56</v>
      </c>
      <c r="D719" s="1">
        <v>1.0</v>
      </c>
      <c r="E719" s="1">
        <v>11847.0</v>
      </c>
      <c r="F719" s="10">
        <f t="shared" si="1"/>
        <v>1</v>
      </c>
      <c r="G719" s="10">
        <f t="array" ref="G719">index('Player ID'!C:C,match(E719,'Player ID'!B:B,0))</f>
        <v>455119</v>
      </c>
    </row>
    <row r="720">
      <c r="A720" s="76">
        <v>45749.0</v>
      </c>
      <c r="B720" s="1" t="s">
        <v>651</v>
      </c>
      <c r="C720" s="1" t="s">
        <v>66</v>
      </c>
      <c r="D720" s="1">
        <v>1.0</v>
      </c>
      <c r="E720" s="1">
        <v>14771.0</v>
      </c>
      <c r="F720" s="10">
        <f t="shared" si="1"/>
        <v>1</v>
      </c>
      <c r="G720" s="10">
        <f t="array" ref="G720">index('Player ID'!C:C,match(E720,'Player ID'!B:B,0))</f>
        <v>641941</v>
      </c>
    </row>
    <row r="721">
      <c r="A721" s="76">
        <v>45749.0</v>
      </c>
      <c r="B721" s="1" t="s">
        <v>87</v>
      </c>
      <c r="C721" s="1" t="s">
        <v>56</v>
      </c>
      <c r="D721" s="1">
        <v>1.0</v>
      </c>
      <c r="E721" s="1">
        <v>19274.0</v>
      </c>
      <c r="F721" s="10">
        <f t="shared" si="1"/>
        <v>1</v>
      </c>
      <c r="G721" s="10">
        <f t="array" ref="G721">index('Player ID'!C:C,match(E721,'Player ID'!B:B,0))</f>
        <v>657097</v>
      </c>
    </row>
    <row r="722">
      <c r="A722" s="76">
        <v>45749.0</v>
      </c>
      <c r="B722" s="1" t="s">
        <v>345</v>
      </c>
      <c r="C722" s="1" t="s">
        <v>66</v>
      </c>
      <c r="D722" s="1">
        <v>1.0</v>
      </c>
      <c r="E722" s="1">
        <v>19926.0</v>
      </c>
      <c r="F722" s="10">
        <f t="shared" si="1"/>
        <v>1</v>
      </c>
      <c r="G722" s="10">
        <f t="array" ref="G722">index('Player ID'!C:C,match(E722,'Player ID'!B:B,0))</f>
        <v>663574</v>
      </c>
    </row>
    <row r="723">
      <c r="A723" s="76">
        <v>45749.0</v>
      </c>
      <c r="B723" s="1" t="s">
        <v>73</v>
      </c>
      <c r="C723" s="1" t="s">
        <v>66</v>
      </c>
      <c r="D723" s="1">
        <v>7.0</v>
      </c>
      <c r="E723" s="1">
        <v>22182.0</v>
      </c>
      <c r="F723" s="10">
        <f t="shared" si="1"/>
        <v>7</v>
      </c>
      <c r="G723" s="10">
        <f t="array" ref="G723">index('Player ID'!C:C,match(E723,'Player ID'!B:B,0))</f>
        <v>668881</v>
      </c>
    </row>
    <row r="724">
      <c r="A724" s="76">
        <v>45749.0</v>
      </c>
      <c r="B724" s="1" t="s">
        <v>268</v>
      </c>
      <c r="C724" s="1" t="s">
        <v>56</v>
      </c>
      <c r="D724" s="1">
        <v>1.0</v>
      </c>
      <c r="E724" s="1">
        <v>23363.0</v>
      </c>
      <c r="F724" s="10">
        <f t="shared" si="1"/>
        <v>1</v>
      </c>
      <c r="G724" s="10">
        <f t="array" ref="G724">index('Player ID'!C:C,match(E724,'Player ID'!B:B,0))</f>
        <v>676395</v>
      </c>
    </row>
    <row r="725">
      <c r="A725" s="76">
        <v>45749.0</v>
      </c>
      <c r="B725" s="1" t="s">
        <v>374</v>
      </c>
      <c r="C725" s="1" t="s">
        <v>56</v>
      </c>
      <c r="D725" s="1">
        <v>5.0</v>
      </c>
      <c r="E725" s="1">
        <v>30146.0</v>
      </c>
      <c r="F725" s="10">
        <f t="shared" si="1"/>
        <v>5</v>
      </c>
      <c r="G725" s="10">
        <f t="array" ref="G725">index('Player ID'!C:C,match(E725,'Player ID'!B:B,0))</f>
        <v>683004</v>
      </c>
    </row>
    <row r="726">
      <c r="A726" s="76">
        <v>45749.0</v>
      </c>
      <c r="B726" s="1" t="s">
        <v>443</v>
      </c>
      <c r="C726" s="1" t="s">
        <v>60</v>
      </c>
      <c r="D726" s="1">
        <v>0.1</v>
      </c>
      <c r="E726" s="1">
        <v>16350.0</v>
      </c>
      <c r="F726" s="10">
        <f t="shared" si="1"/>
        <v>0.3333333333</v>
      </c>
      <c r="G726" s="10">
        <f t="array" ref="G726">index('Player ID'!C:C,match(E726,'Player ID'!B:B,0))</f>
        <v>621366</v>
      </c>
    </row>
    <row r="727">
      <c r="A727" s="76">
        <v>45749.0</v>
      </c>
      <c r="B727" s="1" t="s">
        <v>217</v>
      </c>
      <c r="C727" s="1" t="s">
        <v>60</v>
      </c>
      <c r="D727" s="1">
        <v>1.0</v>
      </c>
      <c r="E727" s="1">
        <v>17878.0</v>
      </c>
      <c r="F727" s="10">
        <f t="shared" si="1"/>
        <v>1</v>
      </c>
      <c r="G727" s="10">
        <f t="array" ref="G727">index('Player ID'!C:C,match(E727,'Player ID'!B:B,0))</f>
        <v>642701</v>
      </c>
    </row>
    <row r="728">
      <c r="A728" s="76">
        <v>45749.0</v>
      </c>
      <c r="B728" s="1" t="s">
        <v>185</v>
      </c>
      <c r="C728" s="1" t="s">
        <v>54</v>
      </c>
      <c r="D728" s="1">
        <v>1.0</v>
      </c>
      <c r="E728" s="1">
        <v>17897.0</v>
      </c>
      <c r="F728" s="10">
        <f t="shared" si="1"/>
        <v>1</v>
      </c>
      <c r="G728" s="10">
        <f t="array" ref="G728">index('Player ID'!C:C,match(E728,'Player ID'!B:B,0))</f>
        <v>664076</v>
      </c>
    </row>
    <row r="729">
      <c r="A729" s="76">
        <v>45749.0</v>
      </c>
      <c r="B729" s="1" t="s">
        <v>400</v>
      </c>
      <c r="C729" s="1" t="s">
        <v>54</v>
      </c>
      <c r="D729" s="1">
        <v>1.0</v>
      </c>
      <c r="E729" s="1">
        <v>20539.0</v>
      </c>
      <c r="F729" s="10">
        <f t="shared" si="1"/>
        <v>1</v>
      </c>
      <c r="G729" s="10">
        <f t="array" ref="G729">index('Player ID'!C:C,match(E729,'Player ID'!B:B,0))</f>
        <v>670955</v>
      </c>
    </row>
    <row r="730">
      <c r="A730" s="76">
        <v>45749.0</v>
      </c>
      <c r="B730" s="1" t="s">
        <v>705</v>
      </c>
      <c r="C730" s="1" t="s">
        <v>54</v>
      </c>
      <c r="D730" s="1">
        <v>1.0</v>
      </c>
      <c r="E730" s="1">
        <v>20794.0</v>
      </c>
      <c r="F730" s="10">
        <f t="shared" si="1"/>
        <v>1</v>
      </c>
      <c r="G730" s="10">
        <f t="array" ref="G730">index('Player ID'!C:C,match(E730,'Player ID'!B:B,0))</f>
        <v>655889</v>
      </c>
    </row>
    <row r="731">
      <c r="A731" s="76">
        <v>45749.0</v>
      </c>
      <c r="B731" s="1" t="s">
        <v>663</v>
      </c>
      <c r="C731" s="1" t="s">
        <v>60</v>
      </c>
      <c r="D731" s="1">
        <v>0.2</v>
      </c>
      <c r="E731" s="1">
        <v>22361.0</v>
      </c>
      <c r="F731" s="10">
        <f t="shared" si="1"/>
        <v>0.6666666667</v>
      </c>
      <c r="G731" s="10">
        <f t="array" ref="G731">index('Player ID'!C:C,match(E731,'Player ID'!B:B,0))</f>
        <v>670059</v>
      </c>
    </row>
    <row r="732">
      <c r="A732" s="76">
        <v>45749.0</v>
      </c>
      <c r="B732" s="1" t="s">
        <v>110</v>
      </c>
      <c r="C732" s="1" t="s">
        <v>54</v>
      </c>
      <c r="D732" s="1">
        <v>1.0</v>
      </c>
      <c r="E732" s="1">
        <v>25679.0</v>
      </c>
      <c r="F732" s="10">
        <f t="shared" si="1"/>
        <v>1</v>
      </c>
      <c r="G732" s="10">
        <f t="array" ref="G732">index('Player ID'!C:C,match(E732,'Player ID'!B:B,0))</f>
        <v>687330</v>
      </c>
    </row>
    <row r="733">
      <c r="A733" s="76">
        <v>45749.0</v>
      </c>
      <c r="B733" s="1" t="s">
        <v>129</v>
      </c>
      <c r="C733" s="1" t="s">
        <v>54</v>
      </c>
      <c r="D733" s="1">
        <v>5.0</v>
      </c>
      <c r="E733" s="1">
        <v>26221.0</v>
      </c>
      <c r="F733" s="10">
        <f t="shared" si="1"/>
        <v>5</v>
      </c>
      <c r="G733" s="10">
        <f t="array" ref="G733">index('Player ID'!C:C,match(E733,'Player ID'!B:B,0))</f>
        <v>686752</v>
      </c>
    </row>
    <row r="734">
      <c r="A734" s="76">
        <v>45749.0</v>
      </c>
      <c r="B734" s="1" t="s">
        <v>88</v>
      </c>
      <c r="C734" s="1" t="s">
        <v>60</v>
      </c>
      <c r="D734" s="1">
        <v>7.0</v>
      </c>
      <c r="E734" s="1">
        <v>33677.0</v>
      </c>
      <c r="F734" s="10">
        <f t="shared" si="1"/>
        <v>7</v>
      </c>
      <c r="G734" s="10">
        <f t="array" ref="G734">index('Player ID'!C:C,match(E734,'Player ID'!B:B,0))</f>
        <v>694973</v>
      </c>
    </row>
    <row r="735">
      <c r="A735" s="76">
        <v>45749.0</v>
      </c>
      <c r="B735" s="1" t="s">
        <v>649</v>
      </c>
      <c r="C735" s="1" t="s">
        <v>29</v>
      </c>
      <c r="D735" s="1">
        <v>1.0</v>
      </c>
      <c r="E735" s="1">
        <v>14542.0</v>
      </c>
      <c r="F735" s="10">
        <f t="shared" si="1"/>
        <v>1</v>
      </c>
      <c r="G735" s="10">
        <f t="array" ref="G735">index('Player ID'!C:C,match(E735,'Player ID'!B:B,0))</f>
        <v>608032</v>
      </c>
    </row>
    <row r="736">
      <c r="A736" s="76">
        <v>45749.0</v>
      </c>
      <c r="B736" s="1" t="s">
        <v>650</v>
      </c>
      <c r="C736" s="1" t="s">
        <v>29</v>
      </c>
      <c r="D736" s="1">
        <v>1.0</v>
      </c>
      <c r="E736" s="1">
        <v>15507.0</v>
      </c>
      <c r="F736" s="10">
        <f t="shared" si="1"/>
        <v>1</v>
      </c>
      <c r="G736" s="10">
        <f t="array" ref="G736">index('Player ID'!C:C,match(E736,'Player ID'!B:B,0))</f>
        <v>640451</v>
      </c>
    </row>
    <row r="737">
      <c r="A737" s="76">
        <v>45749.0</v>
      </c>
      <c r="B737" s="1" t="s">
        <v>13</v>
      </c>
      <c r="C737" s="1" t="s">
        <v>14</v>
      </c>
      <c r="D737" s="1">
        <v>1.0</v>
      </c>
      <c r="E737" s="1">
        <v>17722.0</v>
      </c>
      <c r="F737" s="10">
        <f t="shared" si="1"/>
        <v>1</v>
      </c>
      <c r="G737" s="10">
        <f t="array" ref="G737">index('Player ID'!C:C,match(E737,'Player ID'!B:B,0))</f>
        <v>656730</v>
      </c>
    </row>
    <row r="738">
      <c r="A738" s="76">
        <v>45749.0</v>
      </c>
      <c r="B738" s="1" t="s">
        <v>180</v>
      </c>
      <c r="C738" s="1" t="s">
        <v>14</v>
      </c>
      <c r="D738" s="1">
        <v>8.0</v>
      </c>
      <c r="E738" s="1">
        <v>18679.0</v>
      </c>
      <c r="F738" s="10">
        <f t="shared" si="1"/>
        <v>8</v>
      </c>
      <c r="G738" s="10">
        <f t="array" ref="G738">index('Player ID'!C:C,match(E738,'Player ID'!B:B,0))</f>
        <v>642547</v>
      </c>
    </row>
    <row r="739">
      <c r="A739" s="76">
        <v>45749.0</v>
      </c>
      <c r="B739" s="1" t="s">
        <v>407</v>
      </c>
      <c r="C739" s="1" t="s">
        <v>29</v>
      </c>
      <c r="D739" s="1">
        <v>0.2</v>
      </c>
      <c r="E739" s="1">
        <v>19360.0</v>
      </c>
      <c r="F739" s="10">
        <f t="shared" si="1"/>
        <v>0.6666666667</v>
      </c>
      <c r="G739" s="10">
        <f t="array" ref="G739">index('Player ID'!C:C,match(E739,'Player ID'!B:B,0))</f>
        <v>668674</v>
      </c>
    </row>
    <row r="740">
      <c r="A740" s="76">
        <v>45749.0</v>
      </c>
      <c r="B740" s="1" t="s">
        <v>144</v>
      </c>
      <c r="C740" s="1" t="s">
        <v>29</v>
      </c>
      <c r="D740" s="1">
        <v>1.0</v>
      </c>
      <c r="E740" s="1">
        <v>20020.0</v>
      </c>
      <c r="F740" s="10">
        <f t="shared" si="1"/>
        <v>1</v>
      </c>
      <c r="G740" s="10">
        <f t="array" ref="G740">index('Player ID'!C:C,match(E740,'Player ID'!B:B,0))</f>
        <v>670167</v>
      </c>
    </row>
    <row r="741">
      <c r="A741" s="76">
        <v>45749.0</v>
      </c>
      <c r="B741" s="1" t="s">
        <v>293</v>
      </c>
      <c r="C741" s="1" t="s">
        <v>29</v>
      </c>
      <c r="D741" s="1">
        <v>1.0</v>
      </c>
      <c r="E741" s="1">
        <v>21537.0</v>
      </c>
      <c r="F741" s="10">
        <f t="shared" si="1"/>
        <v>1</v>
      </c>
      <c r="G741" s="10">
        <f t="array" ref="G741">index('Player ID'!C:C,match(E741,'Player ID'!B:B,0))</f>
        <v>663738</v>
      </c>
    </row>
    <row r="742">
      <c r="A742" s="76">
        <v>45749.0</v>
      </c>
      <c r="B742" s="1" t="s">
        <v>205</v>
      </c>
      <c r="C742" s="1" t="s">
        <v>29</v>
      </c>
      <c r="D742" s="1">
        <v>5.0</v>
      </c>
      <c r="E742" s="1">
        <v>21846.0</v>
      </c>
      <c r="F742" s="10">
        <f t="shared" si="1"/>
        <v>5</v>
      </c>
      <c r="G742" s="10">
        <f t="array" ref="G742">index('Player ID'!C:C,match(E742,'Player ID'!B:B,0))</f>
        <v>666142</v>
      </c>
    </row>
    <row r="743">
      <c r="A743" s="76">
        <v>45749.0</v>
      </c>
      <c r="B743" s="1" t="s">
        <v>140</v>
      </c>
      <c r="C743" s="1" t="s">
        <v>29</v>
      </c>
      <c r="D743" s="1">
        <v>0.1</v>
      </c>
      <c r="E743" s="1">
        <v>22717.0</v>
      </c>
      <c r="F743" s="10">
        <f t="shared" si="1"/>
        <v>0.3333333333</v>
      </c>
      <c r="G743" s="10">
        <f t="array" ref="G743">index('Player ID'!C:C,match(E743,'Player ID'!B:B,0))</f>
        <v>672582</v>
      </c>
    </row>
    <row r="744">
      <c r="A744" s="76">
        <v>45749.0</v>
      </c>
      <c r="B744" s="1" t="s">
        <v>279</v>
      </c>
      <c r="C744" s="1" t="s">
        <v>14</v>
      </c>
      <c r="D744" s="1">
        <v>1.0</v>
      </c>
      <c r="E744" s="1">
        <v>25327.0</v>
      </c>
      <c r="F744" s="10">
        <f t="shared" si="1"/>
        <v>1</v>
      </c>
      <c r="G744" s="10">
        <f t="array" ref="G744">index('Player ID'!C:C,match(E744,'Player ID'!B:B,0))</f>
        <v>682842</v>
      </c>
    </row>
    <row r="745">
      <c r="A745" s="76">
        <v>45749.0</v>
      </c>
      <c r="B745" s="1" t="s">
        <v>442</v>
      </c>
      <c r="C745" s="1" t="s">
        <v>29</v>
      </c>
      <c r="D745" s="1">
        <v>0.1</v>
      </c>
      <c r="E745" s="1">
        <v>25379.0</v>
      </c>
      <c r="F745" s="10">
        <f t="shared" si="1"/>
        <v>0.3333333333</v>
      </c>
      <c r="G745" s="10">
        <f t="array" ref="G745">index('Player ID'!C:C,match(E745,'Player ID'!B:B,0))</f>
        <v>669674</v>
      </c>
    </row>
    <row r="746">
      <c r="A746" s="76">
        <v>45749.0</v>
      </c>
      <c r="B746" s="1" t="s">
        <v>418</v>
      </c>
      <c r="C746" s="1" t="s">
        <v>14</v>
      </c>
      <c r="D746" s="1">
        <v>1.0</v>
      </c>
      <c r="E746" s="1">
        <v>27517.0</v>
      </c>
      <c r="F746" s="10">
        <f t="shared" si="1"/>
        <v>1</v>
      </c>
      <c r="G746" s="10">
        <f t="array" ref="G746">index('Player ID'!C:C,match(E746,'Player ID'!B:B,0))</f>
        <v>657649</v>
      </c>
    </row>
    <row r="747">
      <c r="A747" s="76">
        <v>45749.0</v>
      </c>
      <c r="B747" s="1" t="s">
        <v>95</v>
      </c>
      <c r="C747" s="1" t="s">
        <v>72</v>
      </c>
      <c r="D747" s="1">
        <v>6.0</v>
      </c>
      <c r="E747" s="1">
        <v>12768.0</v>
      </c>
      <c r="F747" s="10">
        <f t="shared" si="1"/>
        <v>6</v>
      </c>
      <c r="G747" s="10">
        <f t="array" ref="G747">index('Player ID'!C:C,match(E747,'Player ID'!B:B,0))</f>
        <v>543243</v>
      </c>
    </row>
    <row r="748">
      <c r="A748" s="76">
        <v>45749.0</v>
      </c>
      <c r="B748" s="1" t="s">
        <v>291</v>
      </c>
      <c r="C748" s="1" t="s">
        <v>25</v>
      </c>
      <c r="D748" s="1">
        <v>0.2</v>
      </c>
      <c r="E748" s="1">
        <v>17968.0</v>
      </c>
      <c r="F748" s="10">
        <f t="shared" si="1"/>
        <v>0.6666666667</v>
      </c>
      <c r="G748" s="10">
        <f t="array" ref="G748">index('Player ID'!C:C,match(E748,'Player ID'!B:B,0))</f>
        <v>656271</v>
      </c>
    </row>
    <row r="749">
      <c r="A749" s="76">
        <v>45749.0</v>
      </c>
      <c r="B749" s="1" t="s">
        <v>190</v>
      </c>
      <c r="C749" s="1" t="s">
        <v>72</v>
      </c>
      <c r="D749" s="1">
        <v>1.0</v>
      </c>
      <c r="E749" s="1">
        <v>18064.0</v>
      </c>
      <c r="F749" s="10">
        <f t="shared" si="1"/>
        <v>1</v>
      </c>
      <c r="G749" s="10">
        <f t="array" ref="G749">index('Player ID'!C:C,match(E749,'Player ID'!B:B,0))</f>
        <v>664208</v>
      </c>
    </row>
    <row r="750">
      <c r="A750" s="76">
        <v>45749.0</v>
      </c>
      <c r="B750" s="1" t="s">
        <v>193</v>
      </c>
      <c r="C750" s="1" t="s">
        <v>72</v>
      </c>
      <c r="D750" s="1">
        <v>1.1</v>
      </c>
      <c r="E750" s="1">
        <v>19574.0</v>
      </c>
      <c r="F750" s="10">
        <f t="shared" si="1"/>
        <v>1.333333333</v>
      </c>
      <c r="G750" s="10">
        <f t="array" ref="G750">index('Player ID'!C:C,match(E750,'Player ID'!B:B,0))</f>
        <v>668941</v>
      </c>
    </row>
    <row r="751">
      <c r="A751" s="76">
        <v>45749.0</v>
      </c>
      <c r="B751" s="1" t="s">
        <v>775</v>
      </c>
      <c r="C751" s="1" t="s">
        <v>25</v>
      </c>
      <c r="D751" s="1">
        <v>1.0</v>
      </c>
      <c r="E751" s="1">
        <v>19951.0</v>
      </c>
      <c r="F751" s="10">
        <f t="shared" si="1"/>
        <v>1</v>
      </c>
      <c r="G751" s="10">
        <f t="array" ref="G751">index('Player ID'!C:C,match(E751,'Player ID'!B:B,0))</f>
        <v>666120</v>
      </c>
    </row>
    <row r="752">
      <c r="A752" s="76">
        <v>45749.0</v>
      </c>
      <c r="B752" s="1" t="s">
        <v>232</v>
      </c>
      <c r="C752" s="1" t="s">
        <v>25</v>
      </c>
      <c r="D752" s="1">
        <v>6.0</v>
      </c>
      <c r="E752" s="1">
        <v>20633.0</v>
      </c>
      <c r="F752" s="10">
        <f t="shared" si="1"/>
        <v>6</v>
      </c>
      <c r="G752" s="10">
        <f t="array" ref="G752">index('Player ID'!C:C,match(E752,'Player ID'!B:B,0))</f>
        <v>579328</v>
      </c>
    </row>
    <row r="753">
      <c r="A753" s="76">
        <v>45749.0</v>
      </c>
      <c r="B753" s="1" t="s">
        <v>170</v>
      </c>
      <c r="C753" s="1" t="s">
        <v>72</v>
      </c>
      <c r="D753" s="1">
        <v>0.2</v>
      </c>
      <c r="E753" s="1">
        <v>24763.0</v>
      </c>
      <c r="F753" s="10">
        <f t="shared" si="1"/>
        <v>0.6666666667</v>
      </c>
      <c r="G753" s="10">
        <f t="array" ref="G753">index('Player ID'!C:C,match(E753,'Player ID'!B:B,0))</f>
        <v>681517</v>
      </c>
    </row>
    <row r="754">
      <c r="A754" s="76">
        <v>45749.0</v>
      </c>
      <c r="B754" s="1" t="s">
        <v>24</v>
      </c>
      <c r="C754" s="1" t="s">
        <v>25</v>
      </c>
      <c r="D754" s="1">
        <v>0.1</v>
      </c>
      <c r="E754" s="1">
        <v>27468.0</v>
      </c>
      <c r="F754" s="10">
        <f t="shared" si="1"/>
        <v>0.3333333333</v>
      </c>
      <c r="G754" s="10">
        <f t="array" ref="G754">index('Player ID'!C:C,match(E754,'Player ID'!B:B,0))</f>
        <v>672282</v>
      </c>
    </row>
    <row r="755">
      <c r="A755" s="76">
        <v>45749.0</v>
      </c>
      <c r="B755" s="1" t="s">
        <v>656</v>
      </c>
      <c r="C755" s="1" t="s">
        <v>78</v>
      </c>
      <c r="D755" s="1">
        <v>1.0</v>
      </c>
      <c r="E755" s="1">
        <v>12808.0</v>
      </c>
      <c r="F755" s="10">
        <f t="shared" si="1"/>
        <v>1</v>
      </c>
      <c r="G755" s="10">
        <f t="array" ref="G755">index('Player ID'!C:C,match(E755,'Player ID'!B:B,0))</f>
        <v>605182</v>
      </c>
    </row>
    <row r="756">
      <c r="A756" s="76">
        <v>45749.0</v>
      </c>
      <c r="B756" s="1" t="s">
        <v>435</v>
      </c>
      <c r="C756" s="1" t="s">
        <v>16</v>
      </c>
      <c r="D756" s="1">
        <v>1.0</v>
      </c>
      <c r="E756" s="1">
        <v>13293.0</v>
      </c>
      <c r="F756" s="10">
        <f t="shared" si="1"/>
        <v>1</v>
      </c>
      <c r="G756" s="10">
        <f t="array" ref="G756">index('Player ID'!C:C,match(E756,'Player ID'!B:B,0))</f>
        <v>543056</v>
      </c>
    </row>
    <row r="757">
      <c r="A757" s="76">
        <v>45749.0</v>
      </c>
      <c r="B757" s="1" t="s">
        <v>252</v>
      </c>
      <c r="C757" s="1" t="s">
        <v>78</v>
      </c>
      <c r="D757" s="1">
        <v>1.2</v>
      </c>
      <c r="E757" s="1">
        <v>16061.0</v>
      </c>
      <c r="F757" s="10">
        <f t="shared" si="1"/>
        <v>1.666666667</v>
      </c>
      <c r="G757" s="10">
        <f t="array" ref="G757">index('Player ID'!C:C,match(E757,'Player ID'!B:B,0))</f>
        <v>592155</v>
      </c>
    </row>
    <row r="758">
      <c r="A758" s="76">
        <v>45749.0</v>
      </c>
      <c r="B758" s="1" t="s">
        <v>664</v>
      </c>
      <c r="C758" s="1" t="s">
        <v>16</v>
      </c>
      <c r="D758" s="1">
        <v>7.0</v>
      </c>
      <c r="E758" s="1">
        <v>17085.0</v>
      </c>
      <c r="F758" s="10">
        <f t="shared" si="1"/>
        <v>7</v>
      </c>
      <c r="G758" s="10">
        <f t="array" ref="G758">index('Player ID'!C:C,match(E758,'Player ID'!B:B,0))</f>
        <v>641154</v>
      </c>
    </row>
    <row r="759">
      <c r="A759" s="76">
        <v>45749.0</v>
      </c>
      <c r="B759" s="1" t="s">
        <v>122</v>
      </c>
      <c r="C759" s="1" t="s">
        <v>16</v>
      </c>
      <c r="D759" s="1">
        <v>1.0</v>
      </c>
      <c r="E759" s="1">
        <v>21029.0</v>
      </c>
      <c r="F759" s="10">
        <f t="shared" si="1"/>
        <v>1</v>
      </c>
      <c r="G759" s="10">
        <f t="array" ref="G759">index('Player ID'!C:C,match(E759,'Player ID'!B:B,0))</f>
        <v>661395</v>
      </c>
    </row>
    <row r="760">
      <c r="A760" s="76">
        <v>45749.0</v>
      </c>
      <c r="B760" s="1" t="s">
        <v>356</v>
      </c>
      <c r="C760" s="1" t="s">
        <v>78</v>
      </c>
      <c r="D760" s="1">
        <v>4.1</v>
      </c>
      <c r="E760" s="1">
        <v>29878.0</v>
      </c>
      <c r="F760" s="10">
        <f t="shared" si="1"/>
        <v>4.333333333</v>
      </c>
      <c r="G760" s="10">
        <f t="array" ref="G760">index('Player ID'!C:C,match(E760,'Player ID'!B:B,0))</f>
        <v>680732</v>
      </c>
    </row>
    <row r="761">
      <c r="A761" s="76">
        <v>45749.0</v>
      </c>
      <c r="B761" s="1" t="s">
        <v>497</v>
      </c>
      <c r="C761" s="1" t="s">
        <v>78</v>
      </c>
      <c r="D761" s="1">
        <v>2.0</v>
      </c>
      <c r="E761" s="1">
        <v>30105.0</v>
      </c>
      <c r="F761" s="10">
        <f t="shared" si="1"/>
        <v>2</v>
      </c>
      <c r="G761" s="10">
        <f t="array" ref="G761">index('Player ID'!C:C,match(E761,'Player ID'!B:B,0))</f>
        <v>678024</v>
      </c>
    </row>
    <row r="762">
      <c r="A762" s="76">
        <v>45749.0</v>
      </c>
      <c r="B762" s="1" t="s">
        <v>673</v>
      </c>
      <c r="C762" s="1" t="s">
        <v>40</v>
      </c>
      <c r="D762" s="1">
        <v>1.0</v>
      </c>
      <c r="E762" s="1">
        <v>12095.0</v>
      </c>
      <c r="F762" s="10">
        <f t="shared" si="1"/>
        <v>1</v>
      </c>
      <c r="G762" s="10">
        <f t="array" ref="G762">index('Player ID'!C:C,match(E762,'Player ID'!B:B,0))</f>
        <v>554340</v>
      </c>
    </row>
    <row r="763">
      <c r="A763" s="76">
        <v>45749.0</v>
      </c>
      <c r="B763" s="1" t="s">
        <v>174</v>
      </c>
      <c r="C763" s="1" t="s">
        <v>40</v>
      </c>
      <c r="D763" s="1">
        <v>0.2</v>
      </c>
      <c r="E763" s="1">
        <v>15552.0</v>
      </c>
      <c r="F763" s="10">
        <f t="shared" si="1"/>
        <v>0.6666666667</v>
      </c>
      <c r="G763" s="10">
        <f t="array" ref="G763">index('Player ID'!C:C,match(E763,'Player ID'!B:B,0))</f>
        <v>643338</v>
      </c>
    </row>
    <row r="764">
      <c r="A764" s="76">
        <v>45749.0</v>
      </c>
      <c r="B764" s="1" t="s">
        <v>311</v>
      </c>
      <c r="C764" s="1" t="s">
        <v>40</v>
      </c>
      <c r="D764" s="1">
        <v>1.0</v>
      </c>
      <c r="E764" s="1">
        <v>17432.0</v>
      </c>
      <c r="F764" s="10">
        <f t="shared" si="1"/>
        <v>1</v>
      </c>
      <c r="G764" s="10">
        <f t="array" ref="G764">index('Player ID'!C:C,match(E764,'Player ID'!B:B,0))</f>
        <v>656546</v>
      </c>
    </row>
    <row r="765">
      <c r="A765" s="76">
        <v>45749.0</v>
      </c>
      <c r="B765" s="1" t="s">
        <v>395</v>
      </c>
      <c r="C765" s="1" t="s">
        <v>40</v>
      </c>
      <c r="D765" s="1">
        <v>1.1</v>
      </c>
      <c r="E765" s="1">
        <v>21574.0</v>
      </c>
      <c r="F765" s="10">
        <f t="shared" si="1"/>
        <v>1.333333333</v>
      </c>
      <c r="G765" s="10">
        <f t="array" ref="G765">index('Player ID'!C:C,match(E765,'Player ID'!B:B,0))</f>
        <v>663893</v>
      </c>
    </row>
    <row r="766">
      <c r="A766" s="76">
        <v>45749.0</v>
      </c>
      <c r="B766" s="1" t="s">
        <v>354</v>
      </c>
      <c r="C766" s="1" t="s">
        <v>80</v>
      </c>
      <c r="D766" s="1">
        <v>5.0</v>
      </c>
      <c r="E766" s="1">
        <v>22201.0</v>
      </c>
      <c r="F766" s="10">
        <f t="shared" si="1"/>
        <v>5</v>
      </c>
      <c r="G766" s="10">
        <f t="array" ref="G766">index('Player ID'!C:C,match(E766,'Player ID'!B:B,0))</f>
        <v>669022</v>
      </c>
    </row>
    <row r="767">
      <c r="A767" s="76">
        <v>45749.0</v>
      </c>
      <c r="B767" s="1" t="s">
        <v>577</v>
      </c>
      <c r="C767" s="1" t="s">
        <v>40</v>
      </c>
      <c r="D767" s="1">
        <v>5.0</v>
      </c>
      <c r="E767" s="1">
        <v>26058.0</v>
      </c>
      <c r="F767" s="10">
        <f t="shared" si="1"/>
        <v>5</v>
      </c>
      <c r="G767" s="10">
        <f t="array" ref="G767">index('Player ID'!C:C,match(E767,'Player ID'!B:B,0))</f>
        <v>687922</v>
      </c>
    </row>
    <row r="768">
      <c r="A768" s="76">
        <v>45749.0</v>
      </c>
      <c r="B768" s="1" t="s">
        <v>702</v>
      </c>
      <c r="C768" s="1" t="s">
        <v>80</v>
      </c>
      <c r="D768" s="1">
        <v>2.0</v>
      </c>
      <c r="E768" s="1">
        <v>26247.0</v>
      </c>
      <c r="F768" s="10">
        <f t="shared" si="1"/>
        <v>2</v>
      </c>
      <c r="G768" s="10">
        <f t="array" ref="G768">index('Player ID'!C:C,match(E768,'Player ID'!B:B,0))</f>
        <v>687377</v>
      </c>
    </row>
    <row r="769">
      <c r="A769" s="76">
        <v>45749.0</v>
      </c>
      <c r="B769" s="1" t="s">
        <v>437</v>
      </c>
      <c r="C769" s="1" t="s">
        <v>80</v>
      </c>
      <c r="D769" s="1">
        <v>1.0</v>
      </c>
      <c r="E769" s="1">
        <v>31972.0</v>
      </c>
      <c r="F769" s="10">
        <f t="shared" si="1"/>
        <v>1</v>
      </c>
      <c r="G769" s="10">
        <f t="array" ref="G769">index('Player ID'!C:C,match(E769,'Player ID'!B:B,0))</f>
        <v>695418</v>
      </c>
    </row>
    <row r="770">
      <c r="A770" s="76">
        <v>45749.0</v>
      </c>
      <c r="B770" s="1" t="s">
        <v>99</v>
      </c>
      <c r="C770" s="1" t="s">
        <v>34</v>
      </c>
      <c r="D770" s="1">
        <v>6.0</v>
      </c>
      <c r="E770" s="1">
        <v>11674.0</v>
      </c>
      <c r="F770" s="10">
        <f t="shared" si="1"/>
        <v>6</v>
      </c>
      <c r="G770" s="10">
        <f t="array" ref="G770">index('Player ID'!C:C,match(E770,'Player ID'!B:B,0))</f>
        <v>592791</v>
      </c>
    </row>
    <row r="771">
      <c r="A771" s="76">
        <v>45749.0</v>
      </c>
      <c r="B771" s="1" t="s">
        <v>669</v>
      </c>
      <c r="C771" s="1" t="s">
        <v>52</v>
      </c>
      <c r="D771" s="1">
        <v>0.2</v>
      </c>
      <c r="E771" s="1">
        <v>14524.0</v>
      </c>
      <c r="F771" s="10">
        <f t="shared" si="1"/>
        <v>0.6666666667</v>
      </c>
      <c r="G771" s="10">
        <f t="array" ref="G771">index('Player ID'!C:C,match(E771,'Player ID'!B:B,0))</f>
        <v>600917</v>
      </c>
    </row>
    <row r="772">
      <c r="A772" s="76">
        <v>45749.0</v>
      </c>
      <c r="B772" s="1" t="s">
        <v>297</v>
      </c>
      <c r="C772" s="1" t="s">
        <v>34</v>
      </c>
      <c r="D772" s="1">
        <v>1.0</v>
      </c>
      <c r="E772" s="1">
        <v>15734.0</v>
      </c>
      <c r="F772" s="10">
        <f t="shared" si="1"/>
        <v>1</v>
      </c>
      <c r="G772" s="10">
        <f t="array" ref="G772">index('Player ID'!C:C,match(E772,'Player ID'!B:B,0))</f>
        <v>641745</v>
      </c>
    </row>
    <row r="773">
      <c r="A773" s="76">
        <v>45749.0</v>
      </c>
      <c r="B773" s="1" t="s">
        <v>336</v>
      </c>
      <c r="C773" s="1" t="s">
        <v>52</v>
      </c>
      <c r="D773" s="1">
        <v>3.0</v>
      </c>
      <c r="E773" s="1">
        <v>17677.0</v>
      </c>
      <c r="F773" s="10">
        <f t="shared" si="1"/>
        <v>3</v>
      </c>
      <c r="G773" s="10">
        <f t="array" ref="G773">index('Player ID'!C:C,match(E773,'Player ID'!B:B,0))</f>
        <v>605488</v>
      </c>
    </row>
    <row r="774">
      <c r="A774" s="76">
        <v>45749.0</v>
      </c>
      <c r="B774" s="1" t="s">
        <v>778</v>
      </c>
      <c r="C774" s="1" t="s">
        <v>52</v>
      </c>
      <c r="D774" s="1">
        <v>1.1</v>
      </c>
      <c r="E774" s="1">
        <v>17759.0</v>
      </c>
      <c r="F774" s="10">
        <f t="shared" si="1"/>
        <v>1.333333333</v>
      </c>
      <c r="G774" s="10">
        <f t="array" ref="G774">index('Player ID'!C:C,match(E774,'Player ID'!B:B,0))</f>
        <v>622780</v>
      </c>
    </row>
    <row r="775">
      <c r="A775" s="76">
        <v>45749.0</v>
      </c>
      <c r="B775" s="1" t="s">
        <v>505</v>
      </c>
      <c r="C775" s="1" t="s">
        <v>52</v>
      </c>
      <c r="D775" s="1">
        <v>1.0</v>
      </c>
      <c r="E775" s="1">
        <v>19481.0</v>
      </c>
      <c r="F775" s="10">
        <f t="shared" si="1"/>
        <v>1</v>
      </c>
      <c r="G775" s="10">
        <f t="array" ref="G775">index('Player ID'!C:C,match(E775,'Player ID'!B:B,0))</f>
        <v>621053</v>
      </c>
    </row>
    <row r="776">
      <c r="A776" s="76">
        <v>45749.0</v>
      </c>
      <c r="B776" s="1" t="s">
        <v>633</v>
      </c>
      <c r="C776" s="1" t="s">
        <v>34</v>
      </c>
      <c r="D776" s="1">
        <v>1.0</v>
      </c>
      <c r="E776" s="1">
        <v>20160.0</v>
      </c>
      <c r="F776" s="10">
        <f t="shared" si="1"/>
        <v>1</v>
      </c>
      <c r="G776" s="10">
        <f t="array" ref="G776">index('Player ID'!C:C,match(E776,'Player ID'!B:B,0))</f>
        <v>663878</v>
      </c>
    </row>
    <row r="777">
      <c r="A777" s="76">
        <v>45749.0</v>
      </c>
      <c r="B777" s="1" t="s">
        <v>631</v>
      </c>
      <c r="C777" s="1" t="s">
        <v>34</v>
      </c>
      <c r="D777" s="1">
        <v>1.0</v>
      </c>
      <c r="E777" s="1">
        <v>20203.0</v>
      </c>
      <c r="F777" s="10">
        <f t="shared" si="1"/>
        <v>1</v>
      </c>
      <c r="G777" s="10">
        <f t="array" ref="G777">index('Player ID'!C:C,match(E777,'Player ID'!B:B,0))</f>
        <v>669212</v>
      </c>
    </row>
    <row r="778">
      <c r="A778" s="76">
        <v>45749.0</v>
      </c>
      <c r="B778" s="1" t="s">
        <v>127</v>
      </c>
      <c r="C778" s="1" t="s">
        <v>52</v>
      </c>
      <c r="D778" s="1">
        <v>2.0</v>
      </c>
      <c r="E778" s="1">
        <v>27707.0</v>
      </c>
      <c r="F778" s="10">
        <f t="shared" si="1"/>
        <v>2</v>
      </c>
      <c r="G778" s="10">
        <f t="array" ref="G778">index('Player ID'!C:C,match(E778,'Player ID'!B:B,0))</f>
        <v>687765</v>
      </c>
    </row>
    <row r="779">
      <c r="A779" s="76">
        <v>45749.0</v>
      </c>
      <c r="B779" s="1" t="s">
        <v>286</v>
      </c>
      <c r="C779" s="1" t="s">
        <v>52</v>
      </c>
      <c r="D779" s="1">
        <v>1.0</v>
      </c>
      <c r="E779" s="1">
        <v>31757.0</v>
      </c>
      <c r="F779" s="10">
        <f t="shared" si="1"/>
        <v>1</v>
      </c>
      <c r="G779" s="10">
        <f t="array" ref="G779">index('Player ID'!C:C,match(E779,'Player ID'!B:B,0))</f>
        <v>695243</v>
      </c>
    </row>
    <row r="780">
      <c r="A780" s="76">
        <v>45749.0</v>
      </c>
      <c r="B780" s="1" t="s">
        <v>666</v>
      </c>
      <c r="C780" s="1" t="s">
        <v>62</v>
      </c>
      <c r="D780" s="1">
        <v>1.0</v>
      </c>
      <c r="E780" s="1">
        <v>12777.0</v>
      </c>
      <c r="F780" s="10">
        <f t="shared" si="1"/>
        <v>1</v>
      </c>
      <c r="G780" s="10">
        <f t="array" ref="G780">index('Player ID'!C:C,match(E780,'Player ID'!B:B,0))</f>
        <v>605154</v>
      </c>
    </row>
    <row r="781">
      <c r="A781" s="76">
        <v>45749.0</v>
      </c>
      <c r="B781" s="1" t="s">
        <v>272</v>
      </c>
      <c r="C781" s="1" t="s">
        <v>37</v>
      </c>
      <c r="D781" s="1">
        <v>7.0</v>
      </c>
      <c r="E781" s="1">
        <v>15689.0</v>
      </c>
      <c r="F781" s="10">
        <f t="shared" si="1"/>
        <v>7</v>
      </c>
      <c r="G781" s="10">
        <f t="array" ref="G781">index('Player ID'!C:C,match(E781,'Player ID'!B:B,0))</f>
        <v>622491</v>
      </c>
    </row>
    <row r="782">
      <c r="A782" s="76">
        <v>45749.0</v>
      </c>
      <c r="B782" s="1" t="s">
        <v>53</v>
      </c>
      <c r="C782" s="1" t="s">
        <v>37</v>
      </c>
      <c r="D782" s="1">
        <v>1.0</v>
      </c>
      <c r="E782" s="1">
        <v>17170.0</v>
      </c>
      <c r="F782" s="10">
        <f t="shared" si="1"/>
        <v>1</v>
      </c>
      <c r="G782" s="10">
        <f t="array" ref="G782">index('Player ID'!C:C,match(E782,'Player ID'!B:B,0))</f>
        <v>642100</v>
      </c>
    </row>
    <row r="783">
      <c r="A783" s="76">
        <v>45749.0</v>
      </c>
      <c r="B783" s="1" t="s">
        <v>670</v>
      </c>
      <c r="C783" s="1" t="s">
        <v>37</v>
      </c>
      <c r="D783" s="1">
        <v>1.0</v>
      </c>
      <c r="E783" s="1">
        <v>20373.0</v>
      </c>
      <c r="F783" s="10">
        <f t="shared" si="1"/>
        <v>1</v>
      </c>
      <c r="G783" s="10">
        <f t="array" ref="G783">index('Player ID'!C:C,match(E783,'Player ID'!B:B,0))</f>
        <v>662253</v>
      </c>
    </row>
    <row r="784">
      <c r="A784" s="76">
        <v>45749.0</v>
      </c>
      <c r="B784" s="1" t="s">
        <v>84</v>
      </c>
      <c r="C784" s="1" t="s">
        <v>62</v>
      </c>
      <c r="D784" s="1">
        <v>5.2</v>
      </c>
      <c r="E784" s="1">
        <v>22267.0</v>
      </c>
      <c r="F784" s="10">
        <f t="shared" si="1"/>
        <v>5.666666667</v>
      </c>
      <c r="G784" s="10">
        <f t="array" ref="G784">index('Player ID'!C:C,match(E784,'Player ID'!B:B,0))</f>
        <v>669373</v>
      </c>
    </row>
    <row r="785">
      <c r="A785" s="76">
        <v>45749.0</v>
      </c>
      <c r="B785" s="1" t="s">
        <v>289</v>
      </c>
      <c r="C785" s="1" t="s">
        <v>62</v>
      </c>
      <c r="D785" s="1">
        <v>1.1</v>
      </c>
      <c r="E785" s="1">
        <v>22304.0</v>
      </c>
      <c r="F785" s="10">
        <f t="shared" si="1"/>
        <v>1.333333333</v>
      </c>
      <c r="G785" s="10">
        <f t="array" ref="G785">index('Player ID'!C:C,match(E785,'Player ID'!B:B,0))</f>
        <v>669724</v>
      </c>
    </row>
    <row r="786">
      <c r="A786" s="76">
        <v>45749.0</v>
      </c>
      <c r="B786" s="1" t="s">
        <v>117</v>
      </c>
      <c r="C786" s="1" t="s">
        <v>70</v>
      </c>
      <c r="D786" s="1">
        <v>0.2</v>
      </c>
      <c r="E786" s="1">
        <v>13619.0</v>
      </c>
      <c r="F786" s="10">
        <f t="shared" si="1"/>
        <v>0.6666666667</v>
      </c>
      <c r="G786" s="10">
        <f t="array" ref="G786">index('Player ID'!C:C,match(E786,'Player ID'!B:B,0))</f>
        <v>596001</v>
      </c>
    </row>
    <row r="787">
      <c r="A787" s="76">
        <v>45749.0</v>
      </c>
      <c r="B787" s="1" t="s">
        <v>404</v>
      </c>
      <c r="C787" s="1" t="s">
        <v>26</v>
      </c>
      <c r="D787" s="1">
        <v>0.2</v>
      </c>
      <c r="E787" s="1">
        <v>14295.0</v>
      </c>
      <c r="F787" s="10">
        <f t="shared" si="1"/>
        <v>0.6666666667</v>
      </c>
      <c r="G787" s="10">
        <f t="array" ref="G787">index('Player ID'!C:C,match(E787,'Player ID'!B:B,0))</f>
        <v>593974</v>
      </c>
    </row>
    <row r="788">
      <c r="A788" s="76">
        <v>45749.0</v>
      </c>
      <c r="B788" s="1" t="s">
        <v>298</v>
      </c>
      <c r="C788" s="1" t="s">
        <v>70</v>
      </c>
      <c r="D788" s="1">
        <v>4.1</v>
      </c>
      <c r="E788" s="1">
        <v>14932.0</v>
      </c>
      <c r="F788" s="10">
        <f t="shared" si="1"/>
        <v>4.333333333</v>
      </c>
      <c r="G788" s="10">
        <f t="array" ref="G788">index('Player ID'!C:C,match(E788,'Player ID'!B:B,0))</f>
        <v>594902</v>
      </c>
    </row>
    <row r="789">
      <c r="A789" s="76">
        <v>45749.0</v>
      </c>
      <c r="B789" s="1" t="s">
        <v>282</v>
      </c>
      <c r="C789" s="1" t="s">
        <v>26</v>
      </c>
      <c r="D789" s="1">
        <v>6.1</v>
      </c>
      <c r="E789" s="1">
        <v>18525.0</v>
      </c>
      <c r="F789" s="10">
        <f t="shared" si="1"/>
        <v>6.333333333</v>
      </c>
      <c r="G789" s="10">
        <f t="array" ref="G789">index('Player ID'!C:C,match(E789,'Player ID'!B:B,0))</f>
        <v>656302</v>
      </c>
    </row>
    <row r="790">
      <c r="A790" s="76">
        <v>45749.0</v>
      </c>
      <c r="B790" s="1" t="s">
        <v>49</v>
      </c>
      <c r="C790" s="1" t="s">
        <v>26</v>
      </c>
      <c r="D790" s="1">
        <v>1.0</v>
      </c>
      <c r="E790" s="1">
        <v>20039.0</v>
      </c>
      <c r="F790" s="10">
        <f t="shared" si="1"/>
        <v>1</v>
      </c>
      <c r="G790" s="10">
        <f t="array" ref="G790">index('Player ID'!C:C,match(E790,'Player ID'!B:B,0))</f>
        <v>670970</v>
      </c>
    </row>
    <row r="791">
      <c r="A791" s="76">
        <v>45749.0</v>
      </c>
      <c r="B791" s="1" t="s">
        <v>132</v>
      </c>
      <c r="C791" s="1" t="s">
        <v>70</v>
      </c>
      <c r="D791" s="1">
        <v>1.0</v>
      </c>
      <c r="E791" s="1">
        <v>21032.0</v>
      </c>
      <c r="F791" s="10">
        <f t="shared" si="1"/>
        <v>1</v>
      </c>
      <c r="G791" s="10">
        <f t="array" ref="G791">index('Player ID'!C:C,match(E791,'Player ID'!B:B,0))</f>
        <v>661403</v>
      </c>
    </row>
    <row r="792">
      <c r="A792" s="76">
        <v>45749.0</v>
      </c>
      <c r="B792" s="1" t="s">
        <v>519</v>
      </c>
      <c r="C792" s="1" t="s">
        <v>70</v>
      </c>
      <c r="D792" s="1">
        <v>1.0</v>
      </c>
      <c r="E792" s="1">
        <v>25139.0</v>
      </c>
      <c r="F792" s="10">
        <f t="shared" si="1"/>
        <v>1</v>
      </c>
      <c r="G792" s="10">
        <f t="array" ref="G792">index('Player ID'!C:C,match(E792,'Player ID'!B:B,0))</f>
        <v>682120</v>
      </c>
    </row>
    <row r="793">
      <c r="A793" s="76">
        <v>45749.0</v>
      </c>
      <c r="B793" s="1" t="s">
        <v>135</v>
      </c>
      <c r="C793" s="1" t="s">
        <v>70</v>
      </c>
      <c r="D793" s="1">
        <v>1.0</v>
      </c>
      <c r="E793" s="1">
        <v>27867.0</v>
      </c>
      <c r="F793" s="10">
        <f t="shared" si="1"/>
        <v>1</v>
      </c>
      <c r="G793" s="10">
        <f t="array" ref="G793">index('Player ID'!C:C,match(E793,'Player ID'!B:B,0))</f>
        <v>671922</v>
      </c>
    </row>
    <row r="794">
      <c r="A794" s="76">
        <v>45749.0</v>
      </c>
      <c r="B794" s="1" t="s">
        <v>81</v>
      </c>
      <c r="C794" s="1" t="s">
        <v>26</v>
      </c>
      <c r="D794" s="1">
        <v>1.0</v>
      </c>
      <c r="E794" s="1">
        <v>30115.0</v>
      </c>
      <c r="F794" s="10">
        <f t="shared" si="1"/>
        <v>1</v>
      </c>
      <c r="G794" s="10">
        <f t="array" ref="G794">index('Player ID'!C:C,match(E794,'Player ID'!B:B,0))</f>
        <v>663158</v>
      </c>
    </row>
    <row r="795">
      <c r="A795" s="76">
        <v>45749.0</v>
      </c>
      <c r="B795" s="1" t="s">
        <v>326</v>
      </c>
      <c r="C795" s="1" t="s">
        <v>39</v>
      </c>
      <c r="D795" s="1">
        <v>1.0</v>
      </c>
      <c r="E795" s="1">
        <v>12760.0</v>
      </c>
      <c r="F795" s="10">
        <f t="shared" si="1"/>
        <v>1</v>
      </c>
      <c r="G795" s="10">
        <f t="array" ref="G795">index('Player ID'!C:C,match(E795,'Player ID'!B:B,0))</f>
        <v>606160</v>
      </c>
    </row>
    <row r="796">
      <c r="A796" s="76">
        <v>45749.0</v>
      </c>
      <c r="B796" s="1" t="s">
        <v>20</v>
      </c>
      <c r="C796" s="1" t="s">
        <v>31</v>
      </c>
      <c r="D796" s="1">
        <v>1.0</v>
      </c>
      <c r="E796" s="1">
        <v>15541.0</v>
      </c>
      <c r="F796" s="10">
        <f t="shared" si="1"/>
        <v>1</v>
      </c>
      <c r="G796" s="10">
        <f t="array" ref="G796">index('Player ID'!C:C,match(E796,'Player ID'!B:B,0))</f>
        <v>643511</v>
      </c>
    </row>
    <row r="797">
      <c r="A797" s="76">
        <v>45749.0</v>
      </c>
      <c r="B797" s="1" t="s">
        <v>113</v>
      </c>
      <c r="C797" s="1" t="s">
        <v>39</v>
      </c>
      <c r="D797" s="1">
        <v>5.0</v>
      </c>
      <c r="E797" s="1">
        <v>17295.0</v>
      </c>
      <c r="F797" s="10">
        <f t="shared" si="1"/>
        <v>5</v>
      </c>
      <c r="G797" s="10">
        <f t="array" ref="G797">index('Player ID'!C:C,match(E797,'Player ID'!B:B,0))</f>
        <v>664285</v>
      </c>
    </row>
    <row r="798">
      <c r="A798" s="76">
        <v>45749.0</v>
      </c>
      <c r="B798" s="1" t="s">
        <v>304</v>
      </c>
      <c r="C798" s="1" t="s">
        <v>31</v>
      </c>
      <c r="D798" s="1">
        <v>1.0</v>
      </c>
      <c r="E798" s="1">
        <v>21992.0</v>
      </c>
      <c r="F798" s="10">
        <f t="shared" si="1"/>
        <v>1</v>
      </c>
      <c r="G798" s="10">
        <f t="array" ref="G798">index('Player ID'!C:C,match(E798,'Player ID'!B:B,0))</f>
        <v>666808</v>
      </c>
    </row>
    <row r="799">
      <c r="A799" s="76">
        <v>45749.0</v>
      </c>
      <c r="B799" s="1" t="s">
        <v>654</v>
      </c>
      <c r="C799" s="1" t="s">
        <v>31</v>
      </c>
      <c r="D799" s="1">
        <v>1.0</v>
      </c>
      <c r="E799" s="1">
        <v>23974.0</v>
      </c>
      <c r="F799" s="10">
        <f t="shared" si="1"/>
        <v>1</v>
      </c>
      <c r="G799" s="10">
        <f t="array" ref="G799">index('Player ID'!C:C,match(E799,'Player ID'!B:B,0))</f>
        <v>678495</v>
      </c>
    </row>
    <row r="800">
      <c r="A800" s="76">
        <v>45749.0</v>
      </c>
      <c r="B800" s="1" t="s">
        <v>680</v>
      </c>
      <c r="C800" s="1" t="s">
        <v>39</v>
      </c>
      <c r="D800" s="1">
        <v>1.0</v>
      </c>
      <c r="E800" s="1">
        <v>25839.0</v>
      </c>
      <c r="F800" s="10">
        <f t="shared" si="1"/>
        <v>1</v>
      </c>
      <c r="G800" s="10">
        <f t="array" ref="G800">index('Player ID'!C:C,match(E800,'Player ID'!B:B,0))</f>
        <v>664351</v>
      </c>
    </row>
    <row r="801">
      <c r="A801" s="76">
        <v>45749.0</v>
      </c>
      <c r="B801" s="1" t="s">
        <v>228</v>
      </c>
      <c r="C801" s="1" t="s">
        <v>39</v>
      </c>
      <c r="D801" s="1">
        <v>2.0</v>
      </c>
      <c r="E801" s="1">
        <v>26440.0</v>
      </c>
      <c r="F801" s="10">
        <f t="shared" si="1"/>
        <v>2</v>
      </c>
      <c r="G801" s="10">
        <f t="array" ref="G801">index('Player ID'!C:C,match(E801,'Player ID'!B:B,0))</f>
        <v>687473</v>
      </c>
    </row>
    <row r="802">
      <c r="A802" s="76">
        <v>45749.0</v>
      </c>
      <c r="B802" s="1" t="s">
        <v>209</v>
      </c>
      <c r="C802" s="1" t="s">
        <v>31</v>
      </c>
      <c r="D802" s="1">
        <v>4.0</v>
      </c>
      <c r="E802" s="1">
        <v>30076.0</v>
      </c>
      <c r="F802" s="10">
        <f t="shared" si="1"/>
        <v>4</v>
      </c>
      <c r="G802" s="10">
        <f t="array" ref="G802">index('Player ID'!C:C,match(E802,'Player ID'!B:B,0))</f>
        <v>694738</v>
      </c>
    </row>
    <row r="803">
      <c r="A803" s="76">
        <v>45749.0</v>
      </c>
      <c r="B803" s="1" t="s">
        <v>514</v>
      </c>
      <c r="C803" s="1" t="s">
        <v>31</v>
      </c>
      <c r="D803" s="1">
        <v>2.0</v>
      </c>
      <c r="E803" s="1">
        <v>31635.0</v>
      </c>
      <c r="F803" s="10">
        <f t="shared" si="1"/>
        <v>2</v>
      </c>
      <c r="G803" s="10">
        <f t="array" ref="G803">index('Player ID'!C:C,match(E803,'Player ID'!B:B,0))</f>
        <v>806185</v>
      </c>
    </row>
    <row r="804">
      <c r="A804" s="76">
        <v>45749.0</v>
      </c>
      <c r="B804" s="1" t="s">
        <v>646</v>
      </c>
      <c r="C804" s="1" t="s">
        <v>51</v>
      </c>
      <c r="D804" s="1">
        <v>0.2</v>
      </c>
      <c r="E804" s="1">
        <v>6107.0</v>
      </c>
      <c r="F804" s="10">
        <f t="shared" si="1"/>
        <v>0.6666666667</v>
      </c>
      <c r="G804" s="10">
        <f t="array" ref="G804">index('Player ID'!C:C,match(E804,'Player ID'!B:B,0))</f>
        <v>623211</v>
      </c>
    </row>
    <row r="805">
      <c r="A805" s="76">
        <v>45749.0</v>
      </c>
      <c r="B805" s="1" t="s">
        <v>269</v>
      </c>
      <c r="C805" s="1" t="s">
        <v>51</v>
      </c>
      <c r="D805" s="1">
        <v>4.2</v>
      </c>
      <c r="E805" s="1">
        <v>13649.0</v>
      </c>
      <c r="F805" s="10">
        <f t="shared" si="1"/>
        <v>4.666666667</v>
      </c>
      <c r="G805" s="10">
        <f t="array" ref="G805">index('Player ID'!C:C,match(E805,'Player ID'!B:B,0))</f>
        <v>605280</v>
      </c>
    </row>
    <row r="806">
      <c r="A806" s="76">
        <v>45749.0</v>
      </c>
      <c r="B806" s="1" t="s">
        <v>679</v>
      </c>
      <c r="C806" s="1" t="s">
        <v>51</v>
      </c>
      <c r="D806" s="1">
        <v>1.0</v>
      </c>
      <c r="E806" s="1">
        <v>14710.0</v>
      </c>
      <c r="F806" s="10">
        <f t="shared" si="1"/>
        <v>1</v>
      </c>
      <c r="G806" s="10">
        <f t="array" ref="G806">index('Player ID'!C:C,match(E806,'Player ID'!B:B,0))</f>
        <v>621242</v>
      </c>
    </row>
    <row r="807">
      <c r="A807" s="76">
        <v>45749.0</v>
      </c>
      <c r="B807" s="1" t="s">
        <v>292</v>
      </c>
      <c r="C807" s="1" t="s">
        <v>51</v>
      </c>
      <c r="D807" s="1">
        <v>0.1</v>
      </c>
      <c r="E807" s="1">
        <v>15947.0</v>
      </c>
      <c r="F807" s="10">
        <f t="shared" si="1"/>
        <v>0.3333333333</v>
      </c>
      <c r="G807" s="10">
        <f t="array" ref="G807">index('Player ID'!C:C,match(E807,'Player ID'!B:B,0))</f>
        <v>592773</v>
      </c>
    </row>
    <row r="808">
      <c r="A808" s="76">
        <v>45749.0</v>
      </c>
      <c r="B808" s="1" t="s">
        <v>295</v>
      </c>
      <c r="C808" s="1" t="s">
        <v>51</v>
      </c>
      <c r="D808" s="1">
        <v>1.1</v>
      </c>
      <c r="E808" s="1">
        <v>16866.0</v>
      </c>
      <c r="F808" s="10">
        <f t="shared" si="1"/>
        <v>1.333333333</v>
      </c>
      <c r="G808" s="10">
        <f t="array" ref="G808">index('Player ID'!C:C,match(E808,'Player ID'!B:B,0))</f>
        <v>657585</v>
      </c>
    </row>
    <row r="809">
      <c r="A809" s="76">
        <v>45749.0</v>
      </c>
      <c r="B809" s="1" t="s">
        <v>647</v>
      </c>
      <c r="C809" s="1" t="s">
        <v>51</v>
      </c>
      <c r="D809" s="1">
        <v>0.1</v>
      </c>
      <c r="E809" s="1">
        <v>18439.0</v>
      </c>
      <c r="F809" s="10">
        <f t="shared" si="1"/>
        <v>0.3333333333</v>
      </c>
      <c r="G809" s="10">
        <f t="array" ref="G809">index('Player ID'!C:C,match(E809,'Player ID'!B:B,0))</f>
        <v>664849</v>
      </c>
    </row>
    <row r="810">
      <c r="A810" s="76">
        <v>45749.0</v>
      </c>
      <c r="B810" s="1" t="s">
        <v>674</v>
      </c>
      <c r="C810" s="1" t="s">
        <v>51</v>
      </c>
      <c r="D810" s="1">
        <v>0.2</v>
      </c>
      <c r="E810" s="1">
        <v>18655.0</v>
      </c>
      <c r="F810" s="10">
        <f t="shared" si="1"/>
        <v>0.6666666667</v>
      </c>
      <c r="G810" s="10">
        <f t="array" ref="G810">index('Player ID'!C:C,match(E810,'Player ID'!B:B,0))</f>
        <v>621345</v>
      </c>
    </row>
    <row r="811">
      <c r="A811" s="76">
        <v>45749.0</v>
      </c>
      <c r="B811" s="1" t="s">
        <v>241</v>
      </c>
      <c r="C811" s="1" t="s">
        <v>36</v>
      </c>
      <c r="D811" s="1">
        <v>1.0</v>
      </c>
      <c r="E811" s="1">
        <v>19222.0</v>
      </c>
      <c r="F811" s="10">
        <f t="shared" si="1"/>
        <v>1</v>
      </c>
      <c r="G811" s="10">
        <f t="array" ref="G811">index('Player ID'!C:C,match(E811,'Player ID'!B:B,0))</f>
        <v>669199</v>
      </c>
    </row>
    <row r="812">
      <c r="A812" s="76">
        <v>45749.0</v>
      </c>
      <c r="B812" s="1" t="s">
        <v>262</v>
      </c>
      <c r="C812" s="1" t="s">
        <v>36</v>
      </c>
      <c r="D812" s="1">
        <v>1.0</v>
      </c>
      <c r="E812" s="1">
        <v>20116.0</v>
      </c>
      <c r="F812" s="10">
        <f t="shared" si="1"/>
        <v>1</v>
      </c>
      <c r="G812" s="10">
        <f t="array" ref="G812">index('Player ID'!C:C,match(E812,'Player ID'!B:B,0))</f>
        <v>676534</v>
      </c>
    </row>
    <row r="813">
      <c r="A813" s="76">
        <v>45749.0</v>
      </c>
      <c r="B813" s="1" t="s">
        <v>61</v>
      </c>
      <c r="C813" s="1" t="s">
        <v>36</v>
      </c>
      <c r="D813" s="1">
        <v>2.0</v>
      </c>
      <c r="E813" s="1">
        <v>20629.0</v>
      </c>
      <c r="F813" s="10">
        <f t="shared" si="1"/>
        <v>2</v>
      </c>
      <c r="G813" s="10">
        <f t="array" ref="G813">index('Player ID'!C:C,match(E813,'Player ID'!B:B,0))</f>
        <v>663969</v>
      </c>
    </row>
    <row r="814">
      <c r="A814" s="76">
        <v>45749.0</v>
      </c>
      <c r="B814" s="1" t="s">
        <v>712</v>
      </c>
      <c r="C814" s="1" t="s">
        <v>51</v>
      </c>
      <c r="D814" s="1">
        <v>2.0</v>
      </c>
      <c r="E814" s="1">
        <v>23313.0</v>
      </c>
      <c r="F814" s="10">
        <f t="shared" si="1"/>
        <v>2</v>
      </c>
      <c r="G814" s="10">
        <f t="array" ref="G814">index('Player ID'!C:C,match(E814,'Player ID'!B:B,0))</f>
        <v>676130</v>
      </c>
    </row>
    <row r="815">
      <c r="A815" s="76">
        <v>45749.0</v>
      </c>
      <c r="B815" s="1" t="s">
        <v>725</v>
      </c>
      <c r="C815" s="1" t="s">
        <v>36</v>
      </c>
      <c r="D815" s="1">
        <v>1.0</v>
      </c>
      <c r="E815" s="1">
        <v>25595.0</v>
      </c>
      <c r="F815" s="10">
        <f t="shared" si="1"/>
        <v>1</v>
      </c>
      <c r="G815" s="10">
        <f t="array" ref="G815">index('Player ID'!C:C,match(E815,'Player ID'!B:B,0))</f>
        <v>675540</v>
      </c>
    </row>
    <row r="816">
      <c r="A816" s="76">
        <v>45749.0</v>
      </c>
      <c r="B816" s="1" t="s">
        <v>561</v>
      </c>
      <c r="C816" s="1" t="s">
        <v>36</v>
      </c>
      <c r="D816" s="1">
        <v>5.0</v>
      </c>
      <c r="E816" s="1">
        <v>26171.0</v>
      </c>
      <c r="F816" s="10">
        <f t="shared" si="1"/>
        <v>5</v>
      </c>
      <c r="G816" s="10">
        <f t="array" ref="G816">index('Player ID'!C:C,match(E816,'Player ID'!B:B,0))</f>
        <v>687362</v>
      </c>
    </row>
    <row r="817">
      <c r="A817" s="76">
        <v>45749.0</v>
      </c>
      <c r="B817" s="1" t="s">
        <v>676</v>
      </c>
      <c r="C817" s="1" t="s">
        <v>36</v>
      </c>
      <c r="D817" s="1">
        <v>1.0</v>
      </c>
      <c r="E817" s="1">
        <v>27453.0</v>
      </c>
      <c r="F817" s="10">
        <f t="shared" si="1"/>
        <v>1</v>
      </c>
      <c r="G817" s="10">
        <f t="array" ref="G817">index('Player ID'!C:C,match(E817,'Player ID'!B:B,0))</f>
        <v>685107</v>
      </c>
    </row>
    <row r="818">
      <c r="A818" s="76">
        <v>45749.0</v>
      </c>
      <c r="B818" s="1" t="s">
        <v>41</v>
      </c>
      <c r="C818" s="1" t="s">
        <v>22</v>
      </c>
      <c r="D818" s="1">
        <v>1.0</v>
      </c>
      <c r="E818" s="1">
        <v>10233.0</v>
      </c>
      <c r="F818" s="10">
        <f t="shared" si="1"/>
        <v>1</v>
      </c>
      <c r="G818" s="10">
        <f t="array" ref="G818">index('Player ID'!C:C,match(E818,'Player ID'!B:B,0))</f>
        <v>547973</v>
      </c>
    </row>
    <row r="819">
      <c r="A819" s="76">
        <v>45749.0</v>
      </c>
      <c r="B819" s="1" t="s">
        <v>216</v>
      </c>
      <c r="C819" s="1" t="s">
        <v>68</v>
      </c>
      <c r="D819" s="1">
        <v>6.0</v>
      </c>
      <c r="E819" s="1">
        <v>13774.0</v>
      </c>
      <c r="F819" s="10">
        <f t="shared" si="1"/>
        <v>6</v>
      </c>
      <c r="G819" s="10">
        <f t="array" ref="G819">index('Player ID'!C:C,match(E819,'Player ID'!B:B,0))</f>
        <v>621107</v>
      </c>
    </row>
    <row r="820">
      <c r="A820" s="76">
        <v>45749.0</v>
      </c>
      <c r="B820" s="1" t="s">
        <v>675</v>
      </c>
      <c r="C820" s="1" t="s">
        <v>68</v>
      </c>
      <c r="D820" s="1">
        <v>1.0</v>
      </c>
      <c r="E820" s="1">
        <v>19614.0</v>
      </c>
      <c r="F820" s="10">
        <f t="shared" si="1"/>
        <v>1</v>
      </c>
      <c r="G820" s="10">
        <f t="array" ref="G820">index('Player ID'!C:C,match(E820,'Player ID'!B:B,0))</f>
        <v>672335</v>
      </c>
    </row>
    <row r="821">
      <c r="A821" s="76">
        <v>45749.0</v>
      </c>
      <c r="B821" s="1" t="s">
        <v>433</v>
      </c>
      <c r="C821" s="1" t="s">
        <v>68</v>
      </c>
      <c r="D821" s="1">
        <v>1.0</v>
      </c>
      <c r="E821" s="1">
        <v>19677.0</v>
      </c>
      <c r="F821" s="10">
        <f t="shared" si="1"/>
        <v>1</v>
      </c>
      <c r="G821" s="10">
        <f t="array" ref="G821">index('Player ID'!C:C,match(E821,'Player ID'!B:B,0))</f>
        <v>642397</v>
      </c>
    </row>
    <row r="822">
      <c r="A822" s="76">
        <v>45749.0</v>
      </c>
      <c r="B822" s="1" t="s">
        <v>240</v>
      </c>
      <c r="C822" s="1" t="s">
        <v>68</v>
      </c>
      <c r="D822" s="1">
        <v>1.0</v>
      </c>
      <c r="E822" s="1">
        <v>19804.0</v>
      </c>
      <c r="F822" s="10">
        <f t="shared" si="1"/>
        <v>1</v>
      </c>
      <c r="G822" s="10">
        <f t="array" ref="G822">index('Player ID'!C:C,match(E822,'Player ID'!B:B,0))</f>
        <v>641329</v>
      </c>
    </row>
    <row r="823">
      <c r="A823" s="76">
        <v>45749.0</v>
      </c>
      <c r="B823" s="1" t="s">
        <v>100</v>
      </c>
      <c r="C823" s="1" t="s">
        <v>22</v>
      </c>
      <c r="D823" s="1">
        <v>8.0</v>
      </c>
      <c r="E823" s="1">
        <v>27463.0</v>
      </c>
      <c r="F823" s="10">
        <f t="shared" si="1"/>
        <v>8</v>
      </c>
      <c r="G823" s="10">
        <f t="array" ref="G823">index('Player ID'!C:C,match(E823,'Player ID'!B:B,0))</f>
        <v>676979</v>
      </c>
    </row>
    <row r="824">
      <c r="A824" s="76">
        <v>45749.0</v>
      </c>
      <c r="B824" s="1" t="s">
        <v>79</v>
      </c>
      <c r="C824" s="1" t="s">
        <v>45</v>
      </c>
      <c r="D824" s="1">
        <v>7.0</v>
      </c>
      <c r="E824" s="1">
        <v>10310.0</v>
      </c>
      <c r="F824" s="10">
        <f t="shared" si="1"/>
        <v>7</v>
      </c>
      <c r="G824" s="10">
        <f t="array" ref="G824">index('Player ID'!C:C,match(E824,'Player ID'!B:B,0))</f>
        <v>554430</v>
      </c>
    </row>
    <row r="825">
      <c r="A825" s="76">
        <v>45749.0</v>
      </c>
      <c r="B825" s="1" t="s">
        <v>182</v>
      </c>
      <c r="C825" s="1" t="s">
        <v>45</v>
      </c>
      <c r="D825" s="1">
        <v>1.0</v>
      </c>
      <c r="E825" s="1">
        <v>13799.0</v>
      </c>
      <c r="F825" s="10">
        <f t="shared" si="1"/>
        <v>1</v>
      </c>
      <c r="G825" s="10">
        <f t="array" ref="G825">index('Player ID'!C:C,match(E825,'Player ID'!B:B,0))</f>
        <v>621381</v>
      </c>
    </row>
    <row r="826">
      <c r="A826" s="76">
        <v>45749.0</v>
      </c>
      <c r="B826" s="1" t="s">
        <v>189</v>
      </c>
      <c r="C826" s="1" t="s">
        <v>75</v>
      </c>
      <c r="D826" s="1">
        <v>6.2</v>
      </c>
      <c r="E826" s="1">
        <v>16256.0</v>
      </c>
      <c r="F826" s="10">
        <f t="shared" si="1"/>
        <v>6.666666667</v>
      </c>
      <c r="G826" s="10">
        <f t="array" ref="G826">index('Player ID'!C:C,match(E826,'Player ID'!B:B,0))</f>
        <v>607536</v>
      </c>
    </row>
    <row r="827">
      <c r="A827" s="76">
        <v>45749.0</v>
      </c>
      <c r="B827" s="1" t="s">
        <v>643</v>
      </c>
      <c r="C827" s="1" t="s">
        <v>45</v>
      </c>
      <c r="D827" s="1">
        <v>1.0</v>
      </c>
      <c r="E827" s="1">
        <v>17780.0</v>
      </c>
      <c r="F827" s="10">
        <f t="shared" si="1"/>
        <v>1</v>
      </c>
      <c r="G827" s="10">
        <f t="array" ref="G827">index('Player ID'!C:C,match(E827,'Player ID'!B:B,0))</f>
        <v>621237</v>
      </c>
    </row>
    <row r="828">
      <c r="A828" s="76">
        <v>45749.0</v>
      </c>
      <c r="B828" s="1" t="s">
        <v>486</v>
      </c>
      <c r="C828" s="1" t="s">
        <v>75</v>
      </c>
      <c r="D828" s="1">
        <v>0.2</v>
      </c>
      <c r="E828" s="1">
        <v>26790.0</v>
      </c>
      <c r="F828" s="10">
        <f t="shared" si="1"/>
        <v>0.6666666667</v>
      </c>
      <c r="G828" s="10">
        <f t="array" ref="G828">index('Player ID'!C:C,match(E828,'Player ID'!B:B,0))</f>
        <v>683409</v>
      </c>
    </row>
    <row r="829">
      <c r="A829" s="76">
        <v>45749.0</v>
      </c>
      <c r="B829" s="1" t="s">
        <v>488</v>
      </c>
      <c r="C829" s="1" t="s">
        <v>75</v>
      </c>
      <c r="D829" s="1">
        <v>0.2</v>
      </c>
      <c r="E829" s="1">
        <v>33294.0</v>
      </c>
      <c r="F829" s="10">
        <f t="shared" si="1"/>
        <v>0.6666666667</v>
      </c>
      <c r="G829" s="10">
        <f t="array" ref="G829">index('Player ID'!C:C,match(E829,'Player ID'!B:B,0))</f>
        <v>678020</v>
      </c>
    </row>
    <row r="830">
      <c r="A830" s="76">
        <v>45749.0</v>
      </c>
      <c r="B830" s="1" t="s">
        <v>685</v>
      </c>
      <c r="C830" s="1" t="s">
        <v>64</v>
      </c>
      <c r="D830" s="1">
        <v>1.0</v>
      </c>
      <c r="E830" s="1">
        <v>14857.0</v>
      </c>
      <c r="F830" s="10">
        <f t="shared" si="1"/>
        <v>1</v>
      </c>
      <c r="G830" s="10">
        <f t="array" ref="G830">index('Player ID'!C:C,match(E830,'Player ID'!B:B,0))</f>
        <v>573009</v>
      </c>
    </row>
    <row r="831">
      <c r="A831" s="76">
        <v>45749.0</v>
      </c>
      <c r="B831" s="1" t="s">
        <v>635</v>
      </c>
      <c r="C831" s="1" t="s">
        <v>58</v>
      </c>
      <c r="D831" s="1">
        <v>6.0</v>
      </c>
      <c r="E831" s="1">
        <v>16137.0</v>
      </c>
      <c r="F831" s="10">
        <f t="shared" si="1"/>
        <v>6</v>
      </c>
      <c r="G831" s="10">
        <f t="array" ref="G831">index('Player ID'!C:C,match(E831,'Player ID'!B:B,0))</f>
        <v>607074</v>
      </c>
    </row>
    <row r="832">
      <c r="A832" s="76">
        <v>45749.0</v>
      </c>
      <c r="B832" s="1" t="s">
        <v>219</v>
      </c>
      <c r="C832" s="1" t="s">
        <v>64</v>
      </c>
      <c r="D832" s="1">
        <v>0.1</v>
      </c>
      <c r="E832" s="1">
        <v>16647.0</v>
      </c>
      <c r="F832" s="10">
        <f t="shared" si="1"/>
        <v>0.3333333333</v>
      </c>
      <c r="G832" s="10">
        <f t="array" ref="G832">index('Player ID'!C:C,match(E832,'Player ID'!B:B,0))</f>
        <v>657044</v>
      </c>
    </row>
    <row r="833">
      <c r="A833" s="76">
        <v>45749.0</v>
      </c>
      <c r="B833" s="1" t="s">
        <v>195</v>
      </c>
      <c r="C833" s="1" t="s">
        <v>64</v>
      </c>
      <c r="D833" s="1">
        <v>6.2</v>
      </c>
      <c r="E833" s="1">
        <v>19291.0</v>
      </c>
      <c r="F833" s="10">
        <f t="shared" si="1"/>
        <v>6.666666667</v>
      </c>
      <c r="G833" s="10">
        <f t="array" ref="G833">index('Player ID'!C:C,match(E833,'Player ID'!B:B,0))</f>
        <v>668678</v>
      </c>
    </row>
    <row r="834">
      <c r="A834" s="76">
        <v>45749.0</v>
      </c>
      <c r="B834" s="1" t="s">
        <v>735</v>
      </c>
      <c r="C834" s="1" t="s">
        <v>64</v>
      </c>
      <c r="D834" s="1">
        <v>1.0</v>
      </c>
      <c r="E834" s="1">
        <v>19343.0</v>
      </c>
      <c r="F834" s="10">
        <f t="shared" si="1"/>
        <v>1</v>
      </c>
      <c r="G834" s="10">
        <f t="array" ref="G834">index('Player ID'!C:C,match(E834,'Player ID'!B:B,0))</f>
        <v>640462</v>
      </c>
    </row>
    <row r="835">
      <c r="A835" s="76">
        <v>45749.0</v>
      </c>
      <c r="B835" s="1" t="s">
        <v>691</v>
      </c>
      <c r="C835" s="1" t="s">
        <v>58</v>
      </c>
      <c r="D835" s="1">
        <v>3.0</v>
      </c>
      <c r="E835" s="1">
        <v>22872.0</v>
      </c>
      <c r="F835" s="10">
        <f t="shared" si="1"/>
        <v>3</v>
      </c>
      <c r="G835" s="10">
        <f t="array" ref="G835">index('Player ID'!C:C,match(E835,'Player ID'!B:B,0))</f>
        <v>672782</v>
      </c>
    </row>
    <row r="836">
      <c r="A836" s="76">
        <v>45749.0</v>
      </c>
      <c r="B836" s="1" t="s">
        <v>392</v>
      </c>
      <c r="C836" s="1" t="s">
        <v>33</v>
      </c>
      <c r="D836" s="1">
        <v>1.0</v>
      </c>
      <c r="E836" s="1">
        <v>9073.0</v>
      </c>
      <c r="F836" s="10">
        <f t="shared" si="1"/>
        <v>1</v>
      </c>
      <c r="G836" s="10">
        <f t="array" ref="G836">index('Player ID'!C:C,match(E836,'Player ID'!B:B,0))</f>
        <v>489446</v>
      </c>
    </row>
    <row r="837">
      <c r="A837" s="76">
        <v>45749.0</v>
      </c>
      <c r="B837" s="1" t="s">
        <v>178</v>
      </c>
      <c r="C837" s="1" t="s">
        <v>46</v>
      </c>
      <c r="D837" s="1">
        <v>0.2</v>
      </c>
      <c r="E837" s="1">
        <v>13435.0</v>
      </c>
      <c r="F837" s="10">
        <f t="shared" si="1"/>
        <v>0.6666666667</v>
      </c>
      <c r="G837" s="10">
        <f t="array" ref="G837">index('Player ID'!C:C,match(E837,'Player ID'!B:B,0))</f>
        <v>572955</v>
      </c>
    </row>
    <row r="838">
      <c r="A838" s="76">
        <v>45749.0</v>
      </c>
      <c r="B838" s="1" t="s">
        <v>159</v>
      </c>
      <c r="C838" s="1" t="s">
        <v>33</v>
      </c>
      <c r="D838" s="1">
        <v>4.0</v>
      </c>
      <c r="E838" s="1">
        <v>13543.0</v>
      </c>
      <c r="F838" s="10">
        <f t="shared" si="1"/>
        <v>4</v>
      </c>
      <c r="G838" s="10">
        <f t="array" ref="G838">index('Player ID'!C:C,match(E838,'Player ID'!B:B,0))</f>
        <v>605483</v>
      </c>
    </row>
    <row r="839">
      <c r="A839" s="76">
        <v>45749.0</v>
      </c>
      <c r="B839" s="1" t="s">
        <v>184</v>
      </c>
      <c r="C839" s="1" t="s">
        <v>46</v>
      </c>
      <c r="D839" s="1">
        <v>1.0</v>
      </c>
      <c r="E839" s="1">
        <v>17130.0</v>
      </c>
      <c r="F839" s="10">
        <f t="shared" si="1"/>
        <v>1</v>
      </c>
      <c r="G839" s="10">
        <f t="array" ref="G839">index('Player ID'!C:C,match(E839,'Player ID'!B:B,0))</f>
        <v>628452</v>
      </c>
    </row>
    <row r="840">
      <c r="A840" s="76">
        <v>45749.0</v>
      </c>
      <c r="B840" s="1" t="s">
        <v>346</v>
      </c>
      <c r="C840" s="1" t="s">
        <v>46</v>
      </c>
      <c r="D840" s="1">
        <v>1.0</v>
      </c>
      <c r="E840" s="1">
        <v>18403.0</v>
      </c>
      <c r="F840" s="10">
        <f t="shared" si="1"/>
        <v>1</v>
      </c>
      <c r="G840" s="10">
        <f t="array" ref="G840">index('Player ID'!C:C,match(E840,'Player ID'!B:B,0))</f>
        <v>660853</v>
      </c>
    </row>
    <row r="841">
      <c r="A841" s="76">
        <v>45749.0</v>
      </c>
      <c r="B841" s="1" t="s">
        <v>91</v>
      </c>
      <c r="C841" s="1" t="s">
        <v>46</v>
      </c>
      <c r="D841" s="1">
        <v>1.0</v>
      </c>
      <c r="E841" s="1">
        <v>19996.0</v>
      </c>
      <c r="F841" s="10">
        <f t="shared" si="1"/>
        <v>1</v>
      </c>
      <c r="G841" s="10">
        <f t="array" ref="G841">index('Player ID'!C:C,match(E841,'Player ID'!B:B,0))</f>
        <v>669276</v>
      </c>
    </row>
    <row r="842">
      <c r="A842" s="76">
        <v>45749.0</v>
      </c>
      <c r="B842" s="1" t="s">
        <v>688</v>
      </c>
      <c r="C842" s="1" t="s">
        <v>46</v>
      </c>
      <c r="D842" s="1">
        <v>0.2</v>
      </c>
      <c r="E842" s="1">
        <v>20271.0</v>
      </c>
      <c r="F842" s="10">
        <f t="shared" si="1"/>
        <v>0.6666666667</v>
      </c>
      <c r="G842" s="10">
        <f t="array" ref="G842">index('Player ID'!C:C,match(E842,'Player ID'!B:B,0))</f>
        <v>678226</v>
      </c>
    </row>
    <row r="843">
      <c r="A843" s="76">
        <v>45749.0</v>
      </c>
      <c r="B843" s="1" t="s">
        <v>275</v>
      </c>
      <c r="C843" s="1" t="s">
        <v>46</v>
      </c>
      <c r="D843" s="1">
        <v>4.0</v>
      </c>
      <c r="E843" s="1">
        <v>27779.0</v>
      </c>
      <c r="F843" s="10">
        <f t="shared" si="1"/>
        <v>4</v>
      </c>
      <c r="G843" s="10">
        <f t="array" ref="G843">index('Player ID'!C:C,match(E843,'Player ID'!B:B,0))</f>
        <v>693821</v>
      </c>
    </row>
    <row r="844">
      <c r="A844" s="76">
        <v>45749.0</v>
      </c>
      <c r="B844" s="1" t="s">
        <v>104</v>
      </c>
      <c r="C844" s="1" t="s">
        <v>33</v>
      </c>
      <c r="D844" s="1">
        <v>2.0</v>
      </c>
      <c r="E844" s="1">
        <v>30085.0</v>
      </c>
      <c r="F844" s="10">
        <f t="shared" si="1"/>
        <v>2</v>
      </c>
      <c r="G844" s="10">
        <f t="array" ref="G844">index('Player ID'!C:C,match(E844,'Player ID'!B:B,0))</f>
        <v>676508</v>
      </c>
    </row>
    <row r="845">
      <c r="A845" s="76">
        <v>45749.0</v>
      </c>
      <c r="B845" s="1" t="s">
        <v>206</v>
      </c>
      <c r="C845" s="1" t="s">
        <v>33</v>
      </c>
      <c r="D845" s="1">
        <v>2.0</v>
      </c>
      <c r="E845" s="1">
        <v>30249.0</v>
      </c>
      <c r="F845" s="10">
        <f t="shared" si="1"/>
        <v>2</v>
      </c>
      <c r="G845" s="10">
        <f t="array" ref="G845">index('Player ID'!C:C,match(E845,'Player ID'!B:B,0))</f>
        <v>676263</v>
      </c>
    </row>
    <row r="846">
      <c r="A846" s="76">
        <v>45750.0</v>
      </c>
      <c r="B846" s="1" t="s">
        <v>230</v>
      </c>
      <c r="C846" s="1" t="s">
        <v>22</v>
      </c>
      <c r="D846" s="1">
        <v>1.0</v>
      </c>
      <c r="E846" s="1">
        <v>4301.0</v>
      </c>
      <c r="F846" s="10">
        <f t="shared" si="1"/>
        <v>1</v>
      </c>
      <c r="G846" s="10">
        <f t="array" ref="G846">index('Player ID'!C:C,match(E846,'Player ID'!B:B,0))</f>
        <v>458677</v>
      </c>
    </row>
    <row r="847">
      <c r="A847" s="76">
        <v>45750.0</v>
      </c>
      <c r="B847" s="1" t="s">
        <v>474</v>
      </c>
      <c r="C847" s="1" t="s">
        <v>68</v>
      </c>
      <c r="D847" s="1">
        <v>5.0</v>
      </c>
      <c r="E847" s="1">
        <v>4676.0</v>
      </c>
      <c r="F847" s="10">
        <f t="shared" si="1"/>
        <v>5</v>
      </c>
      <c r="G847" s="10">
        <f t="array" ref="G847">index('Player ID'!C:C,match(E847,'Player ID'!B:B,0))</f>
        <v>450203</v>
      </c>
    </row>
    <row r="848">
      <c r="A848" s="76">
        <v>45750.0</v>
      </c>
      <c r="B848" s="1" t="s">
        <v>723</v>
      </c>
      <c r="C848" s="1" t="s">
        <v>68</v>
      </c>
      <c r="D848" s="1">
        <v>2.0</v>
      </c>
      <c r="E848" s="1">
        <v>13528.0</v>
      </c>
      <c r="F848" s="10">
        <f t="shared" si="1"/>
        <v>2</v>
      </c>
      <c r="G848" s="10">
        <f t="array" ref="G848">index('Player ID'!C:C,match(E848,'Player ID'!B:B,0))</f>
        <v>621199</v>
      </c>
    </row>
    <row r="849">
      <c r="A849" s="76">
        <v>45750.0</v>
      </c>
      <c r="B849" s="1" t="s">
        <v>231</v>
      </c>
      <c r="C849" s="1" t="s">
        <v>68</v>
      </c>
      <c r="D849" s="1">
        <v>1.0</v>
      </c>
      <c r="E849" s="1">
        <v>19362.0</v>
      </c>
      <c r="F849" s="10">
        <f t="shared" si="1"/>
        <v>1</v>
      </c>
      <c r="G849" s="10">
        <f t="array" ref="G849">index('Player ID'!C:C,match(E849,'Player ID'!B:B,0))</f>
        <v>669211</v>
      </c>
    </row>
    <row r="850">
      <c r="A850" s="76">
        <v>45750.0</v>
      </c>
      <c r="B850" s="1" t="s">
        <v>240</v>
      </c>
      <c r="C850" s="1" t="s">
        <v>68</v>
      </c>
      <c r="D850" s="1">
        <v>1.0</v>
      </c>
      <c r="E850" s="1">
        <v>19804.0</v>
      </c>
      <c r="F850" s="10">
        <f t="shared" si="1"/>
        <v>1</v>
      </c>
      <c r="G850" s="10">
        <f t="array" ref="G850">index('Player ID'!C:C,match(E850,'Player ID'!B:B,0))</f>
        <v>641329</v>
      </c>
    </row>
    <row r="851">
      <c r="A851" s="76">
        <v>45750.0</v>
      </c>
      <c r="B851" s="1" t="s">
        <v>301</v>
      </c>
      <c r="C851" s="1" t="s">
        <v>22</v>
      </c>
      <c r="D851" s="1">
        <v>4.0</v>
      </c>
      <c r="E851" s="1">
        <v>19879.0</v>
      </c>
      <c r="F851" s="10">
        <f t="shared" si="1"/>
        <v>4</v>
      </c>
      <c r="G851" s="10">
        <f t="array" ref="G851">index('Player ID'!C:C,match(E851,'Player ID'!B:B,0))</f>
        <v>656557</v>
      </c>
    </row>
    <row r="852">
      <c r="A852" s="76">
        <v>45750.0</v>
      </c>
      <c r="B852" s="1" t="s">
        <v>250</v>
      </c>
      <c r="C852" s="1" t="s">
        <v>22</v>
      </c>
      <c r="D852" s="1">
        <v>2.0</v>
      </c>
      <c r="E852" s="1">
        <v>20191.0</v>
      </c>
      <c r="F852" s="10">
        <f t="shared" si="1"/>
        <v>2</v>
      </c>
      <c r="G852" s="10">
        <f t="array" ref="G852">index('Player ID'!C:C,match(E852,'Player ID'!B:B,0))</f>
        <v>676477</v>
      </c>
    </row>
    <row r="853">
      <c r="A853" s="76">
        <v>45750.0</v>
      </c>
      <c r="B853" s="1" t="s">
        <v>134</v>
      </c>
      <c r="C853" s="1" t="s">
        <v>22</v>
      </c>
      <c r="D853" s="1">
        <v>1.0</v>
      </c>
      <c r="E853" s="1">
        <v>20349.0</v>
      </c>
      <c r="F853" s="10">
        <f t="shared" si="1"/>
        <v>1</v>
      </c>
      <c r="G853" s="10">
        <f t="array" ref="G853">index('Player ID'!C:C,match(E853,'Player ID'!B:B,0))</f>
        <v>677161</v>
      </c>
    </row>
    <row r="854">
      <c r="A854" s="76">
        <v>45750.0</v>
      </c>
      <c r="B854" s="1" t="s">
        <v>645</v>
      </c>
      <c r="C854" s="1" t="s">
        <v>22</v>
      </c>
      <c r="D854" s="1">
        <v>1.0</v>
      </c>
      <c r="E854" s="1">
        <v>25648.0</v>
      </c>
      <c r="F854" s="10">
        <f t="shared" si="1"/>
        <v>1</v>
      </c>
      <c r="G854" s="10">
        <f t="array" ref="G854">index('Player ID'!C:C,match(E854,'Player ID'!B:B,0))</f>
        <v>686580</v>
      </c>
    </row>
    <row r="855">
      <c r="A855" s="76">
        <v>45750.0</v>
      </c>
      <c r="B855" s="1" t="s">
        <v>453</v>
      </c>
      <c r="C855" s="1" t="s">
        <v>45</v>
      </c>
      <c r="D855" s="1">
        <v>6.0</v>
      </c>
      <c r="E855" s="1">
        <v>11836.0</v>
      </c>
      <c r="F855" s="10">
        <f t="shared" si="1"/>
        <v>6</v>
      </c>
      <c r="G855" s="10">
        <f t="array" ref="G855">index('Player ID'!C:C,match(E855,'Player ID'!B:B,0))</f>
        <v>592836</v>
      </c>
    </row>
    <row r="856">
      <c r="A856" s="76">
        <v>45750.0</v>
      </c>
      <c r="B856" s="1" t="s">
        <v>481</v>
      </c>
      <c r="C856" s="1" t="s">
        <v>75</v>
      </c>
      <c r="D856" s="1">
        <v>5.1</v>
      </c>
      <c r="E856" s="1">
        <v>15488.0</v>
      </c>
      <c r="F856" s="10">
        <f t="shared" si="1"/>
        <v>5.333333333</v>
      </c>
      <c r="G856" s="10">
        <f t="array" ref="G856">index('Player ID'!C:C,match(E856,'Player ID'!B:B,0))</f>
        <v>622608</v>
      </c>
    </row>
    <row r="857">
      <c r="A857" s="76">
        <v>45750.0</v>
      </c>
      <c r="B857" s="1" t="s">
        <v>208</v>
      </c>
      <c r="C857" s="1" t="s">
        <v>45</v>
      </c>
      <c r="D857" s="1">
        <v>1.0</v>
      </c>
      <c r="E857" s="1">
        <v>16122.0</v>
      </c>
      <c r="F857" s="10">
        <f t="shared" si="1"/>
        <v>1</v>
      </c>
      <c r="G857" s="10">
        <f t="array" ref="G857">index('Player ID'!C:C,match(E857,'Player ID'!B:B,0))</f>
        <v>605447</v>
      </c>
    </row>
    <row r="858">
      <c r="A858" s="76">
        <v>45750.0</v>
      </c>
      <c r="B858" s="1" t="s">
        <v>643</v>
      </c>
      <c r="C858" s="1" t="s">
        <v>45</v>
      </c>
      <c r="D858" s="1">
        <v>1.0</v>
      </c>
      <c r="E858" s="1">
        <v>17780.0</v>
      </c>
      <c r="F858" s="10">
        <f t="shared" si="1"/>
        <v>1</v>
      </c>
      <c r="G858" s="10">
        <f t="array" ref="G858">index('Player ID'!C:C,match(E858,'Player ID'!B:B,0))</f>
        <v>621237</v>
      </c>
    </row>
    <row r="859">
      <c r="A859" s="76">
        <v>45750.0</v>
      </c>
      <c r="B859" s="1" t="s">
        <v>288</v>
      </c>
      <c r="C859" s="1" t="s">
        <v>75</v>
      </c>
      <c r="D859" s="1">
        <v>1.0</v>
      </c>
      <c r="E859" s="1">
        <v>18297.0</v>
      </c>
      <c r="F859" s="10">
        <f t="shared" si="1"/>
        <v>1</v>
      </c>
      <c r="G859" s="10">
        <f t="array" ref="G859">index('Player ID'!C:C,match(E859,'Player ID'!B:B,0))</f>
        <v>641755</v>
      </c>
    </row>
    <row r="860">
      <c r="A860" s="76">
        <v>45750.0</v>
      </c>
      <c r="B860" s="1" t="s">
        <v>548</v>
      </c>
      <c r="C860" s="1" t="s">
        <v>75</v>
      </c>
      <c r="D860" s="1">
        <v>1.1</v>
      </c>
      <c r="E860" s="1">
        <v>24203.0</v>
      </c>
      <c r="F860" s="10">
        <f t="shared" si="1"/>
        <v>1.333333333</v>
      </c>
      <c r="G860" s="10">
        <f t="array" ref="G860">index('Player ID'!C:C,match(E860,'Player ID'!B:B,0))</f>
        <v>678821</v>
      </c>
    </row>
    <row r="861">
      <c r="A861" s="76">
        <v>45750.0</v>
      </c>
      <c r="B861" s="1" t="s">
        <v>365</v>
      </c>
      <c r="C861" s="1" t="s">
        <v>75</v>
      </c>
      <c r="D861" s="1">
        <v>0.1</v>
      </c>
      <c r="E861" s="1">
        <v>24614.0</v>
      </c>
      <c r="F861" s="10">
        <f t="shared" si="1"/>
        <v>0.3333333333</v>
      </c>
      <c r="G861" s="10">
        <f t="array" ref="G861">index('Player ID'!C:C,match(E861,'Player ID'!B:B,0))</f>
        <v>680767</v>
      </c>
    </row>
    <row r="862">
      <c r="A862" s="76">
        <v>45750.0</v>
      </c>
      <c r="B862" s="1" t="s">
        <v>165</v>
      </c>
      <c r="C862" s="1" t="s">
        <v>45</v>
      </c>
      <c r="D862" s="1">
        <v>1.0</v>
      </c>
      <c r="E862" s="1">
        <v>31776.0</v>
      </c>
      <c r="F862" s="10">
        <f t="shared" si="1"/>
        <v>1</v>
      </c>
      <c r="G862" s="10">
        <f t="array" ref="G862">index('Player ID'!C:C,match(E862,'Player ID'!B:B,0))</f>
        <v>689147</v>
      </c>
    </row>
    <row r="863">
      <c r="A863" s="76">
        <v>45750.0</v>
      </c>
      <c r="B863" s="1" t="s">
        <v>59</v>
      </c>
      <c r="C863" s="1" t="s">
        <v>39</v>
      </c>
      <c r="D863" s="1">
        <v>1.0</v>
      </c>
      <c r="E863" s="1">
        <v>14212.0</v>
      </c>
      <c r="F863" s="10">
        <f t="shared" si="1"/>
        <v>1</v>
      </c>
      <c r="G863" s="10">
        <f t="array" ref="G863">index('Player ID'!C:C,match(E863,'Player ID'!B:B,0))</f>
        <v>623352</v>
      </c>
    </row>
    <row r="864">
      <c r="A864" s="76">
        <v>45750.0</v>
      </c>
      <c r="B864" s="1" t="s">
        <v>210</v>
      </c>
      <c r="C864" s="1" t="s">
        <v>39</v>
      </c>
      <c r="D864" s="1">
        <v>1.0</v>
      </c>
      <c r="E864" s="1">
        <v>16609.0</v>
      </c>
      <c r="F864" s="10">
        <f t="shared" si="1"/>
        <v>1</v>
      </c>
      <c r="G864" s="10">
        <f t="array" ref="G864">index('Player ID'!C:C,match(E864,'Player ID'!B:B,0))</f>
        <v>650556</v>
      </c>
    </row>
    <row r="865">
      <c r="A865" s="76">
        <v>45750.0</v>
      </c>
      <c r="B865" s="1" t="s">
        <v>397</v>
      </c>
      <c r="C865" s="1" t="s">
        <v>16</v>
      </c>
      <c r="D865" s="1">
        <v>1.0</v>
      </c>
      <c r="E865" s="1">
        <v>19459.0</v>
      </c>
      <c r="F865" s="10">
        <f t="shared" si="1"/>
        <v>1</v>
      </c>
      <c r="G865" s="10">
        <f t="array" ref="G865">index('Player ID'!C:C,match(E865,'Player ID'!B:B,0))</f>
        <v>660896</v>
      </c>
    </row>
    <row r="866">
      <c r="A866" s="76">
        <v>45750.0</v>
      </c>
      <c r="B866" s="1" t="s">
        <v>708</v>
      </c>
      <c r="C866" s="1" t="s">
        <v>16</v>
      </c>
      <c r="D866" s="1">
        <v>2.0</v>
      </c>
      <c r="E866" s="1">
        <v>20038.0</v>
      </c>
      <c r="F866" s="10">
        <f t="shared" si="1"/>
        <v>2</v>
      </c>
      <c r="G866" s="10">
        <f t="array" ref="G866">index('Player ID'!C:C,match(E866,'Player ID'!B:B,0))</f>
        <v>670766</v>
      </c>
    </row>
    <row r="867">
      <c r="A867" s="76">
        <v>45750.0</v>
      </c>
      <c r="B867" s="1" t="s">
        <v>150</v>
      </c>
      <c r="C867" s="1" t="s">
        <v>16</v>
      </c>
      <c r="D867" s="1">
        <v>5.0</v>
      </c>
      <c r="E867" s="1">
        <v>21390.0</v>
      </c>
      <c r="F867" s="10">
        <f t="shared" si="1"/>
        <v>5</v>
      </c>
      <c r="G867" s="10">
        <f t="array" ref="G867">index('Player ID'!C:C,match(E867,'Player ID'!B:B,0))</f>
        <v>657746</v>
      </c>
    </row>
    <row r="868">
      <c r="A868" s="76">
        <v>45750.0</v>
      </c>
      <c r="B868" s="1" t="s">
        <v>339</v>
      </c>
      <c r="C868" s="1" t="s">
        <v>39</v>
      </c>
      <c r="D868" s="1">
        <v>6.0</v>
      </c>
      <c r="E868" s="1">
        <v>25880.0</v>
      </c>
      <c r="F868" s="10">
        <f t="shared" si="1"/>
        <v>6</v>
      </c>
      <c r="G868" s="10">
        <f t="array" ref="G868">index('Player ID'!C:C,match(E868,'Player ID'!B:B,0))</f>
        <v>686613</v>
      </c>
    </row>
    <row r="869">
      <c r="A869" s="76">
        <v>45750.0</v>
      </c>
      <c r="B869" s="1" t="s">
        <v>76</v>
      </c>
      <c r="C869" s="1" t="s">
        <v>39</v>
      </c>
      <c r="D869" s="1">
        <v>1.0</v>
      </c>
      <c r="E869" s="1">
        <v>25890.0</v>
      </c>
      <c r="F869" s="10">
        <f t="shared" si="1"/>
        <v>1</v>
      </c>
      <c r="G869" s="10">
        <f t="array" ref="G869">index('Player ID'!C:C,match(E869,'Player ID'!B:B,0))</f>
        <v>687911</v>
      </c>
    </row>
    <row r="870">
      <c r="A870" s="76">
        <v>45750.0</v>
      </c>
      <c r="B870" s="1" t="s">
        <v>47</v>
      </c>
      <c r="C870" s="1" t="s">
        <v>16</v>
      </c>
      <c r="D870" s="1">
        <v>1.0</v>
      </c>
      <c r="E870" s="1">
        <v>27691.0</v>
      </c>
      <c r="F870" s="10">
        <f t="shared" si="1"/>
        <v>1</v>
      </c>
      <c r="G870" s="10">
        <f t="array" ref="G870">index('Player ID'!C:C,match(E870,'Player ID'!B:B,0))</f>
        <v>686973</v>
      </c>
    </row>
    <row r="871">
      <c r="A871" s="76">
        <v>45750.0</v>
      </c>
      <c r="B871" s="1" t="s">
        <v>772</v>
      </c>
      <c r="C871" s="1" t="s">
        <v>58</v>
      </c>
      <c r="D871" s="1">
        <v>0.2</v>
      </c>
      <c r="E871" s="1">
        <v>1247.0</v>
      </c>
      <c r="F871" s="10">
        <f t="shared" si="1"/>
        <v>0.6666666667</v>
      </c>
      <c r="G871" s="10">
        <f t="array" ref="G871">index('Player ID'!C:C,match(E871,'Player ID'!B:B,0))</f>
        <v>493603</v>
      </c>
    </row>
    <row r="872">
      <c r="A872" s="76">
        <v>45750.0</v>
      </c>
      <c r="B872" s="1" t="s">
        <v>324</v>
      </c>
      <c r="C872" s="1" t="s">
        <v>58</v>
      </c>
      <c r="D872" s="1">
        <v>5.1</v>
      </c>
      <c r="E872" s="1">
        <v>6632.0</v>
      </c>
      <c r="F872" s="10">
        <f t="shared" si="1"/>
        <v>5.333333333</v>
      </c>
      <c r="G872" s="10">
        <f t="array" ref="G872">index('Player ID'!C:C,match(E872,'Player ID'!B:B,0))</f>
        <v>471911</v>
      </c>
    </row>
    <row r="873">
      <c r="A873" s="76">
        <v>45750.0</v>
      </c>
      <c r="B873" s="1" t="s">
        <v>103</v>
      </c>
      <c r="C873" s="1" t="s">
        <v>64</v>
      </c>
      <c r="D873" s="1">
        <v>1.0</v>
      </c>
      <c r="E873" s="1">
        <v>10197.0</v>
      </c>
      <c r="F873" s="10">
        <f t="shared" si="1"/>
        <v>1</v>
      </c>
      <c r="G873" s="10">
        <f t="array" ref="G873">index('Player ID'!C:C,match(E873,'Player ID'!B:B,0))</f>
        <v>571946</v>
      </c>
    </row>
    <row r="874">
      <c r="A874" s="76">
        <v>45750.0</v>
      </c>
      <c r="B874" s="1" t="s">
        <v>222</v>
      </c>
      <c r="C874" s="1" t="s">
        <v>64</v>
      </c>
      <c r="D874" s="1">
        <v>3.2</v>
      </c>
      <c r="E874" s="1">
        <v>11156.0</v>
      </c>
      <c r="F874" s="10">
        <f t="shared" si="1"/>
        <v>3.666666667</v>
      </c>
      <c r="G874" s="10">
        <f t="array" ref="G874">index('Player ID'!C:C,match(E874,'Player ID'!B:B,0))</f>
        <v>518876</v>
      </c>
    </row>
    <row r="875">
      <c r="A875" s="76">
        <v>45750.0</v>
      </c>
      <c r="B875" s="1" t="s">
        <v>467</v>
      </c>
      <c r="C875" s="1" t="s">
        <v>58</v>
      </c>
      <c r="D875" s="1">
        <v>1.0</v>
      </c>
      <c r="E875" s="1">
        <v>15551.0</v>
      </c>
      <c r="F875" s="10">
        <f t="shared" si="1"/>
        <v>1</v>
      </c>
      <c r="G875" s="10">
        <f t="array" ref="G875">index('Player ID'!C:C,match(E875,'Player ID'!B:B,0))</f>
        <v>643410</v>
      </c>
    </row>
    <row r="876">
      <c r="A876" s="76">
        <v>45750.0</v>
      </c>
      <c r="B876" s="1" t="s">
        <v>192</v>
      </c>
      <c r="C876" s="1" t="s">
        <v>58</v>
      </c>
      <c r="D876" s="1">
        <v>0.2</v>
      </c>
      <c r="E876" s="1">
        <v>16502.0</v>
      </c>
      <c r="F876" s="10">
        <f t="shared" si="1"/>
        <v>0.6666666667</v>
      </c>
      <c r="G876" s="10">
        <f t="array" ref="G876">index('Player ID'!C:C,match(E876,'Player ID'!B:B,0))</f>
        <v>642232</v>
      </c>
    </row>
    <row r="877">
      <c r="A877" s="76">
        <v>45750.0</v>
      </c>
      <c r="B877" s="1" t="s">
        <v>225</v>
      </c>
      <c r="C877" s="1" t="s">
        <v>58</v>
      </c>
      <c r="D877" s="1">
        <v>1.1</v>
      </c>
      <c r="E877" s="1">
        <v>16918.0</v>
      </c>
      <c r="F877" s="10">
        <f t="shared" si="1"/>
        <v>1.333333333</v>
      </c>
      <c r="G877" s="10">
        <f t="array" ref="G877">index('Player ID'!C:C,match(E877,'Player ID'!B:B,0))</f>
        <v>596133</v>
      </c>
    </row>
    <row r="878">
      <c r="A878" s="76">
        <v>45750.0</v>
      </c>
      <c r="B878" s="1" t="s">
        <v>489</v>
      </c>
      <c r="C878" s="1" t="s">
        <v>64</v>
      </c>
      <c r="D878" s="1">
        <v>1.0</v>
      </c>
      <c r="E878" s="1">
        <v>17192.0</v>
      </c>
      <c r="F878" s="10">
        <f t="shared" si="1"/>
        <v>1</v>
      </c>
      <c r="G878" s="10">
        <f t="array" ref="G878">index('Player ID'!C:C,match(E878,'Player ID'!B:B,0))</f>
        <v>656222</v>
      </c>
    </row>
    <row r="879">
      <c r="A879" s="76">
        <v>45750.0</v>
      </c>
      <c r="B879" s="1" t="s">
        <v>93</v>
      </c>
      <c r="C879" s="1" t="s">
        <v>64</v>
      </c>
      <c r="D879" s="1">
        <v>2.1</v>
      </c>
      <c r="E879" s="1">
        <v>26253.0</v>
      </c>
      <c r="F879" s="10">
        <f t="shared" si="1"/>
        <v>2.333333333</v>
      </c>
      <c r="G879" s="10">
        <f t="array" ref="G879">index('Player ID'!C:C,match(E879,'Player ID'!B:B,0))</f>
        <v>669194</v>
      </c>
    </row>
    <row r="880">
      <c r="A880" s="76">
        <v>45750.0</v>
      </c>
      <c r="B880" s="1" t="s">
        <v>634</v>
      </c>
      <c r="C880" s="1" t="s">
        <v>14</v>
      </c>
      <c r="D880" s="1">
        <v>1.0</v>
      </c>
      <c r="E880" s="1">
        <v>14332.0</v>
      </c>
      <c r="F880" s="10">
        <f t="shared" si="1"/>
        <v>1</v>
      </c>
      <c r="G880" s="10">
        <f t="array" ref="G880">index('Player ID'!C:C,match(E880,'Player ID'!B:B,0))</f>
        <v>606303</v>
      </c>
    </row>
    <row r="881">
      <c r="A881" s="76">
        <v>45750.0</v>
      </c>
      <c r="B881" s="1" t="s">
        <v>475</v>
      </c>
      <c r="C881" s="1" t="s">
        <v>66</v>
      </c>
      <c r="D881" s="1">
        <v>0.1</v>
      </c>
      <c r="E881" s="1">
        <v>14993.0</v>
      </c>
      <c r="F881" s="10">
        <f t="shared" si="1"/>
        <v>0.3333333333</v>
      </c>
      <c r="G881" s="10">
        <f t="array" ref="G881">index('Player ID'!C:C,match(E881,'Player ID'!B:B,0))</f>
        <v>605130</v>
      </c>
    </row>
    <row r="882">
      <c r="A882" s="76">
        <v>45750.0</v>
      </c>
      <c r="B882" s="1" t="s">
        <v>412</v>
      </c>
      <c r="C882" s="1" t="s">
        <v>14</v>
      </c>
      <c r="D882" s="1">
        <v>6.0</v>
      </c>
      <c r="E882" s="1">
        <v>17874.0</v>
      </c>
      <c r="F882" s="10">
        <f t="shared" si="1"/>
        <v>6</v>
      </c>
      <c r="G882" s="10">
        <f t="array" ref="G882">index('Player ID'!C:C,match(E882,'Player ID'!B:B,0))</f>
        <v>641482</v>
      </c>
    </row>
    <row r="883">
      <c r="A883" s="76">
        <v>45750.0</v>
      </c>
      <c r="B883" s="1" t="s">
        <v>636</v>
      </c>
      <c r="C883" s="1" t="s">
        <v>14</v>
      </c>
      <c r="D883" s="1">
        <v>1.0</v>
      </c>
      <c r="E883" s="1">
        <v>19924.0</v>
      </c>
      <c r="F883" s="10">
        <f t="shared" si="1"/>
        <v>1</v>
      </c>
      <c r="G883" s="10">
        <f t="array" ref="G883">index('Player ID'!C:C,match(E883,'Player ID'!B:B,0))</f>
        <v>663542</v>
      </c>
    </row>
    <row r="884">
      <c r="A884" s="76">
        <v>45750.0</v>
      </c>
      <c r="B884" s="1" t="s">
        <v>690</v>
      </c>
      <c r="C884" s="1" t="s">
        <v>14</v>
      </c>
      <c r="D884" s="1">
        <v>1.0</v>
      </c>
      <c r="E884" s="1">
        <v>21652.0</v>
      </c>
      <c r="F884" s="10">
        <f t="shared" si="1"/>
        <v>1</v>
      </c>
      <c r="G884" s="10">
        <f t="array" ref="G884">index('Player ID'!C:C,match(E884,'Player ID'!B:B,0))</f>
        <v>665625</v>
      </c>
    </row>
    <row r="885">
      <c r="A885" s="76">
        <v>45750.0</v>
      </c>
      <c r="B885" s="1" t="s">
        <v>194</v>
      </c>
      <c r="C885" s="1" t="s">
        <v>66</v>
      </c>
      <c r="D885" s="1">
        <v>6.2</v>
      </c>
      <c r="E885" s="1">
        <v>26378.0</v>
      </c>
      <c r="F885" s="10">
        <f t="shared" si="1"/>
        <v>6.666666667</v>
      </c>
      <c r="G885" s="10">
        <f t="array" ref="G885">index('Player ID'!C:C,match(E885,'Player ID'!B:B,0))</f>
        <v>666157</v>
      </c>
    </row>
    <row r="886">
      <c r="A886" s="76">
        <v>45750.0</v>
      </c>
      <c r="B886" s="1" t="s">
        <v>211</v>
      </c>
      <c r="C886" s="1" t="s">
        <v>66</v>
      </c>
      <c r="D886" s="1">
        <v>1.0</v>
      </c>
      <c r="E886" s="1">
        <v>27552.0</v>
      </c>
      <c r="F886" s="10">
        <f t="shared" si="1"/>
        <v>1</v>
      </c>
      <c r="G886" s="10">
        <f t="array" ref="G886">index('Player ID'!C:C,match(E886,'Player ID'!B:B,0))</f>
        <v>668933</v>
      </c>
    </row>
    <row r="887">
      <c r="A887" s="76">
        <v>45751.0</v>
      </c>
      <c r="B887" s="1" t="s">
        <v>316</v>
      </c>
      <c r="C887" s="1" t="s">
        <v>62</v>
      </c>
      <c r="D887" s="1">
        <v>5.2</v>
      </c>
      <c r="E887" s="1">
        <v>17479.0</v>
      </c>
      <c r="F887" s="10">
        <f t="shared" si="1"/>
        <v>5.666666667</v>
      </c>
      <c r="G887" s="10">
        <f t="array" ref="G887">index('Player ID'!C:C,match(E887,'Player ID'!B:B,0))</f>
        <v>656427</v>
      </c>
    </row>
    <row r="888">
      <c r="A888" s="76">
        <v>45751.0</v>
      </c>
      <c r="B888" s="1" t="s">
        <v>715</v>
      </c>
      <c r="C888" s="1" t="s">
        <v>62</v>
      </c>
      <c r="D888" s="1">
        <v>1.0</v>
      </c>
      <c r="E888" s="1">
        <v>18498.0</v>
      </c>
      <c r="F888" s="10">
        <f t="shared" si="1"/>
        <v>1</v>
      </c>
      <c r="G888" s="10">
        <f t="array" ref="G888">index('Player ID'!C:C,match(E888,'Player ID'!B:B,0))</f>
        <v>628317</v>
      </c>
    </row>
    <row r="889">
      <c r="A889" s="76">
        <v>45751.0</v>
      </c>
      <c r="B889" s="1" t="s">
        <v>131</v>
      </c>
      <c r="C889" s="1" t="s">
        <v>62</v>
      </c>
      <c r="D889" s="1">
        <v>1.0</v>
      </c>
      <c r="E889" s="1">
        <v>19769.0</v>
      </c>
      <c r="F889" s="10">
        <f t="shared" si="1"/>
        <v>1</v>
      </c>
      <c r="G889" s="10">
        <f t="array" ref="G889">index('Player ID'!C:C,match(E889,'Player ID'!B:B,0))</f>
        <v>676684</v>
      </c>
    </row>
    <row r="890">
      <c r="A890" s="76">
        <v>45751.0</v>
      </c>
      <c r="B890" s="1" t="s">
        <v>387</v>
      </c>
      <c r="C890" s="1" t="s">
        <v>78</v>
      </c>
      <c r="D890" s="1">
        <v>3.0</v>
      </c>
      <c r="E890" s="1">
        <v>19990.0</v>
      </c>
      <c r="F890" s="10">
        <f t="shared" si="1"/>
        <v>3</v>
      </c>
      <c r="G890" s="10">
        <f t="array" ref="G890">index('Player ID'!C:C,match(E890,'Player ID'!B:B,0))</f>
        <v>669060</v>
      </c>
    </row>
    <row r="891">
      <c r="A891" s="76">
        <v>45751.0</v>
      </c>
      <c r="B891" s="1" t="s">
        <v>82</v>
      </c>
      <c r="C891" s="1" t="s">
        <v>62</v>
      </c>
      <c r="D891" s="1">
        <v>1.1</v>
      </c>
      <c r="E891" s="1">
        <v>26231.0</v>
      </c>
      <c r="F891" s="10">
        <f t="shared" si="1"/>
        <v>1.333333333</v>
      </c>
      <c r="G891" s="10">
        <f t="array" ref="G891">index('Player ID'!C:C,match(E891,'Player ID'!B:B,0))</f>
        <v>663947</v>
      </c>
    </row>
    <row r="892">
      <c r="A892" s="76">
        <v>45751.0</v>
      </c>
      <c r="B892" s="1" t="s">
        <v>367</v>
      </c>
      <c r="C892" s="1" t="s">
        <v>78</v>
      </c>
      <c r="D892" s="1">
        <v>1.1</v>
      </c>
      <c r="E892" s="1">
        <v>27668.0</v>
      </c>
      <c r="F892" s="10">
        <f t="shared" si="1"/>
        <v>1.333333333</v>
      </c>
      <c r="G892" s="10">
        <f t="array" ref="G892">index('Player ID'!C:C,match(E892,'Player ID'!B:B,0))</f>
        <v>685126</v>
      </c>
    </row>
    <row r="893">
      <c r="A893" s="76">
        <v>45751.0</v>
      </c>
      <c r="B893" s="1" t="s">
        <v>361</v>
      </c>
      <c r="C893" s="1" t="s">
        <v>78</v>
      </c>
      <c r="D893" s="1">
        <v>3.2</v>
      </c>
      <c r="E893" s="1">
        <v>31730.0</v>
      </c>
      <c r="F893" s="10">
        <f t="shared" si="1"/>
        <v>3.666666667</v>
      </c>
      <c r="G893" s="10">
        <f t="array" ref="G893">index('Player ID'!C:C,match(E893,'Player ID'!B:B,0))</f>
        <v>686563</v>
      </c>
    </row>
    <row r="894">
      <c r="A894" s="76">
        <v>45751.0</v>
      </c>
      <c r="B894" s="1" t="s">
        <v>41</v>
      </c>
      <c r="C894" s="1" t="s">
        <v>22</v>
      </c>
      <c r="D894" s="1">
        <v>0.2</v>
      </c>
      <c r="E894" s="1">
        <v>10233.0</v>
      </c>
      <c r="F894" s="10">
        <f t="shared" si="1"/>
        <v>0.6666666667</v>
      </c>
      <c r="G894" s="10">
        <f t="array" ref="G894">index('Player ID'!C:C,match(E894,'Player ID'!B:B,0))</f>
        <v>547973</v>
      </c>
    </row>
    <row r="895">
      <c r="A895" s="76">
        <v>45751.0</v>
      </c>
      <c r="B895" s="1" t="s">
        <v>83</v>
      </c>
      <c r="C895" s="1" t="s">
        <v>72</v>
      </c>
      <c r="D895" s="1">
        <v>3.0</v>
      </c>
      <c r="E895" s="1">
        <v>13361.0</v>
      </c>
      <c r="F895" s="10">
        <f t="shared" si="1"/>
        <v>3</v>
      </c>
      <c r="G895" s="10">
        <f t="array" ref="G895">index('Player ID'!C:C,match(E895,'Player ID'!B:B,0))</f>
        <v>571927</v>
      </c>
    </row>
    <row r="896">
      <c r="A896" s="76">
        <v>45751.0</v>
      </c>
      <c r="B896" s="1" t="s">
        <v>493</v>
      </c>
      <c r="C896" s="1" t="s">
        <v>22</v>
      </c>
      <c r="D896" s="1">
        <v>1.0</v>
      </c>
      <c r="E896" s="1">
        <v>16835.0</v>
      </c>
      <c r="F896" s="10">
        <f t="shared" si="1"/>
        <v>1</v>
      </c>
      <c r="G896" s="10">
        <f t="array" ref="G896">index('Player ID'!C:C,match(E896,'Player ID'!B:B,0))</f>
        <v>657514</v>
      </c>
    </row>
    <row r="897">
      <c r="A897" s="76">
        <v>45751.0</v>
      </c>
      <c r="B897" s="1" t="s">
        <v>321</v>
      </c>
      <c r="C897" s="1" t="s">
        <v>72</v>
      </c>
      <c r="D897" s="1">
        <v>3.0</v>
      </c>
      <c r="E897" s="1">
        <v>17425.0</v>
      </c>
      <c r="F897" s="10">
        <f t="shared" si="1"/>
        <v>3</v>
      </c>
      <c r="G897" s="10">
        <f t="array" ref="G897">index('Player ID'!C:C,match(E897,'Player ID'!B:B,0))</f>
        <v>607200</v>
      </c>
    </row>
    <row r="898">
      <c r="A898" s="76">
        <v>45751.0</v>
      </c>
      <c r="B898" s="1" t="s">
        <v>405</v>
      </c>
      <c r="C898" s="1" t="s">
        <v>22</v>
      </c>
      <c r="D898" s="1">
        <v>5.0</v>
      </c>
      <c r="E898" s="1">
        <v>19374.0</v>
      </c>
      <c r="F898" s="10">
        <f t="shared" si="1"/>
        <v>5</v>
      </c>
      <c r="G898" s="10">
        <f t="array" ref="G898">index('Player ID'!C:C,match(E898,'Player ID'!B:B,0))</f>
        <v>621111</v>
      </c>
    </row>
    <row r="899">
      <c r="A899" s="76">
        <v>45751.0</v>
      </c>
      <c r="B899" s="1" t="s">
        <v>134</v>
      </c>
      <c r="C899" s="1" t="s">
        <v>22</v>
      </c>
      <c r="D899" s="1">
        <v>1.0</v>
      </c>
      <c r="E899" s="1">
        <v>20349.0</v>
      </c>
      <c r="F899" s="10">
        <f t="shared" si="1"/>
        <v>1</v>
      </c>
      <c r="G899" s="10">
        <f t="array" ref="G899">index('Player ID'!C:C,match(E899,'Player ID'!B:B,0))</f>
        <v>677161</v>
      </c>
    </row>
    <row r="900">
      <c r="A900" s="76">
        <v>45751.0</v>
      </c>
      <c r="B900" s="1" t="s">
        <v>406</v>
      </c>
      <c r="C900" s="1" t="s">
        <v>22</v>
      </c>
      <c r="D900" s="1">
        <v>1.0</v>
      </c>
      <c r="E900" s="1">
        <v>20375.0</v>
      </c>
      <c r="F900" s="10">
        <f t="shared" si="1"/>
        <v>1</v>
      </c>
      <c r="G900" s="10">
        <f t="array" ref="G900">index('Player ID'!C:C,match(E900,'Player ID'!B:B,0))</f>
        <v>669711</v>
      </c>
    </row>
    <row r="901">
      <c r="A901" s="76">
        <v>45751.0</v>
      </c>
      <c r="B901" s="1" t="s">
        <v>273</v>
      </c>
      <c r="C901" s="1" t="s">
        <v>72</v>
      </c>
      <c r="D901" s="1">
        <v>1.0</v>
      </c>
      <c r="E901" s="1">
        <v>22051.0</v>
      </c>
      <c r="F901" s="10">
        <f t="shared" si="1"/>
        <v>1</v>
      </c>
      <c r="G901" s="10">
        <f t="array" ref="G901">index('Player ID'!C:C,match(E901,'Player ID'!B:B,0))</f>
        <v>667463</v>
      </c>
    </row>
    <row r="902">
      <c r="A902" s="76">
        <v>45751.0</v>
      </c>
      <c r="B902" s="1" t="s">
        <v>378</v>
      </c>
      <c r="C902" s="1" t="s">
        <v>72</v>
      </c>
      <c r="D902" s="1">
        <v>0.2</v>
      </c>
      <c r="E902" s="1">
        <v>24862.0</v>
      </c>
      <c r="F902" s="10">
        <f t="shared" si="1"/>
        <v>0.6666666667</v>
      </c>
      <c r="G902" s="10">
        <f t="array" ref="G902">index('Player ID'!C:C,match(E902,'Player ID'!B:B,0))</f>
        <v>681676</v>
      </c>
    </row>
    <row r="903">
      <c r="A903" s="76">
        <v>45751.0</v>
      </c>
      <c r="B903" s="1" t="s">
        <v>563</v>
      </c>
      <c r="C903" s="1" t="s">
        <v>22</v>
      </c>
      <c r="D903" s="1">
        <v>0.1</v>
      </c>
      <c r="E903" s="1">
        <v>24975.0</v>
      </c>
      <c r="F903" s="10">
        <f t="shared" si="1"/>
        <v>0.3333333333</v>
      </c>
      <c r="G903" s="10">
        <f t="array" ref="G903">index('Player ID'!C:C,match(E903,'Player ID'!B:B,0))</f>
        <v>681867</v>
      </c>
    </row>
    <row r="904">
      <c r="A904" s="76">
        <v>45751.0</v>
      </c>
      <c r="B904" s="1" t="s">
        <v>665</v>
      </c>
      <c r="C904" s="1" t="s">
        <v>72</v>
      </c>
      <c r="D904" s="1">
        <v>0.1</v>
      </c>
      <c r="E904" s="1">
        <v>31261.0</v>
      </c>
      <c r="F904" s="10">
        <f t="shared" si="1"/>
        <v>0.3333333333</v>
      </c>
      <c r="G904" s="10">
        <f t="array" ref="G904">index('Player ID'!C:C,match(E904,'Player ID'!B:B,0))</f>
        <v>688297</v>
      </c>
    </row>
    <row r="905">
      <c r="A905" s="76">
        <v>45751.0</v>
      </c>
      <c r="B905" s="1" t="s">
        <v>460</v>
      </c>
      <c r="C905" s="1" t="s">
        <v>34</v>
      </c>
      <c r="D905" s="1">
        <v>1.0</v>
      </c>
      <c r="E905" s="1">
        <v>7005.0</v>
      </c>
      <c r="F905" s="10">
        <f t="shared" si="1"/>
        <v>1</v>
      </c>
      <c r="G905" s="10">
        <f t="array" ref="G905">index('Player ID'!C:C,match(E905,'Player ID'!B:B,0))</f>
        <v>519151</v>
      </c>
    </row>
    <row r="906">
      <c r="A906" s="76">
        <v>45751.0</v>
      </c>
      <c r="B906" s="1" t="s">
        <v>404</v>
      </c>
      <c r="C906" s="1" t="s">
        <v>26</v>
      </c>
      <c r="D906" s="1">
        <v>1.0</v>
      </c>
      <c r="E906" s="1">
        <v>14295.0</v>
      </c>
      <c r="F906" s="10">
        <f t="shared" si="1"/>
        <v>1</v>
      </c>
      <c r="G906" s="10">
        <f t="array" ref="G906">index('Player ID'!C:C,match(E906,'Player ID'!B:B,0))</f>
        <v>593974</v>
      </c>
    </row>
    <row r="907">
      <c r="A907" s="76">
        <v>45751.0</v>
      </c>
      <c r="B907" s="1" t="s">
        <v>713</v>
      </c>
      <c r="C907" s="1" t="s">
        <v>26</v>
      </c>
      <c r="D907" s="1">
        <v>4.2</v>
      </c>
      <c r="E907" s="1">
        <v>24719.0</v>
      </c>
      <c r="F907" s="10">
        <f t="shared" si="1"/>
        <v>4.666666667</v>
      </c>
      <c r="G907" s="10">
        <f t="array" ref="G907">index('Player ID'!C:C,match(E907,'Player ID'!B:B,0))</f>
        <v>681190</v>
      </c>
    </row>
    <row r="908">
      <c r="A908" s="76">
        <v>45751.0</v>
      </c>
      <c r="B908" s="1" t="s">
        <v>388</v>
      </c>
      <c r="C908" s="1" t="s">
        <v>34</v>
      </c>
      <c r="D908" s="1">
        <v>0.2</v>
      </c>
      <c r="E908" s="1">
        <v>26413.0</v>
      </c>
      <c r="F908" s="10">
        <f t="shared" si="1"/>
        <v>0.6666666667</v>
      </c>
      <c r="G908" s="10">
        <f t="array" ref="G908">index('Player ID'!C:C,match(E908,'Player ID'!B:B,0))</f>
        <v>687863</v>
      </c>
    </row>
    <row r="909">
      <c r="A909" s="76">
        <v>45751.0</v>
      </c>
      <c r="B909" s="1" t="s">
        <v>391</v>
      </c>
      <c r="C909" s="1" t="s">
        <v>26</v>
      </c>
      <c r="D909" s="1">
        <v>1.2</v>
      </c>
      <c r="E909" s="1">
        <v>29628.0</v>
      </c>
      <c r="F909" s="10">
        <f t="shared" si="1"/>
        <v>1.666666667</v>
      </c>
      <c r="G909" s="10">
        <f t="array" ref="G909">index('Player ID'!C:C,match(E909,'Player ID'!B:B,0))</f>
        <v>689690</v>
      </c>
    </row>
    <row r="910">
      <c r="A910" s="76">
        <v>45751.0</v>
      </c>
      <c r="B910" s="1" t="s">
        <v>284</v>
      </c>
      <c r="C910" s="1" t="s">
        <v>26</v>
      </c>
      <c r="D910" s="1">
        <v>0.2</v>
      </c>
      <c r="E910" s="1">
        <v>33826.0</v>
      </c>
      <c r="F910" s="10">
        <f t="shared" si="1"/>
        <v>0.6666666667</v>
      </c>
      <c r="G910" s="10">
        <f t="array" ref="G910">index('Player ID'!C:C,match(E910,'Player ID'!B:B,0))</f>
        <v>673513</v>
      </c>
    </row>
    <row r="911">
      <c r="A911" s="76">
        <v>45751.0</v>
      </c>
      <c r="B911" s="1" t="s">
        <v>67</v>
      </c>
      <c r="C911" s="1" t="s">
        <v>34</v>
      </c>
      <c r="D911" s="1">
        <v>7.1</v>
      </c>
      <c r="E911" s="1">
        <v>33829.0</v>
      </c>
      <c r="F911" s="10">
        <f t="shared" si="1"/>
        <v>7.333333333</v>
      </c>
      <c r="G911" s="10">
        <f t="array" ref="G911">index('Player ID'!C:C,match(E911,'Player ID'!B:B,0))</f>
        <v>684007</v>
      </c>
    </row>
    <row r="912">
      <c r="A912" s="76">
        <v>45751.0</v>
      </c>
      <c r="B912" s="1" t="s">
        <v>637</v>
      </c>
      <c r="C912" s="1" t="s">
        <v>40</v>
      </c>
      <c r="D912" s="1">
        <v>1.2</v>
      </c>
      <c r="E912" s="1">
        <v>12323.0</v>
      </c>
      <c r="F912" s="10">
        <f t="shared" si="1"/>
        <v>1.666666667</v>
      </c>
      <c r="G912" s="10">
        <f t="array" ref="G912">index('Player ID'!C:C,match(E912,'Player ID'!B:B,0))</f>
        <v>606930</v>
      </c>
    </row>
    <row r="913">
      <c r="A913" s="76">
        <v>45751.0</v>
      </c>
      <c r="B913" s="1" t="s">
        <v>155</v>
      </c>
      <c r="C913" s="1" t="s">
        <v>40</v>
      </c>
      <c r="D913" s="1">
        <v>5.1</v>
      </c>
      <c r="E913" s="1">
        <v>14107.0</v>
      </c>
      <c r="F913" s="10">
        <f t="shared" si="1"/>
        <v>5.333333333</v>
      </c>
      <c r="G913" s="10">
        <f t="array" ref="G913">index('Player ID'!C:C,match(E913,'Player ID'!B:B,0))</f>
        <v>592332</v>
      </c>
    </row>
    <row r="914">
      <c r="A914" s="76">
        <v>45751.0</v>
      </c>
      <c r="B914" s="1" t="s">
        <v>295</v>
      </c>
      <c r="C914" s="1" t="s">
        <v>51</v>
      </c>
      <c r="D914" s="1">
        <v>0.2</v>
      </c>
      <c r="E914" s="1">
        <v>16866.0</v>
      </c>
      <c r="F914" s="10">
        <f t="shared" si="1"/>
        <v>0.6666666667</v>
      </c>
      <c r="G914" s="10">
        <f t="array" ref="G914">index('Player ID'!C:C,match(E914,'Player ID'!B:B,0))</f>
        <v>657585</v>
      </c>
    </row>
    <row r="915">
      <c r="A915" s="76">
        <v>45751.0</v>
      </c>
      <c r="B915" s="1" t="s">
        <v>674</v>
      </c>
      <c r="C915" s="1" t="s">
        <v>51</v>
      </c>
      <c r="D915" s="1">
        <v>1.0</v>
      </c>
      <c r="E915" s="1">
        <v>18655.0</v>
      </c>
      <c r="F915" s="10">
        <f t="shared" si="1"/>
        <v>1</v>
      </c>
      <c r="G915" s="10">
        <f t="array" ref="G915">index('Player ID'!C:C,match(E915,'Player ID'!B:B,0))</f>
        <v>621345</v>
      </c>
    </row>
    <row r="916">
      <c r="A916" s="76">
        <v>45751.0</v>
      </c>
      <c r="B916" s="1" t="s">
        <v>386</v>
      </c>
      <c r="C916" s="1" t="s">
        <v>51</v>
      </c>
      <c r="D916" s="1">
        <v>5.1</v>
      </c>
      <c r="E916" s="1">
        <v>21318.0</v>
      </c>
      <c r="F916" s="10">
        <f t="shared" si="1"/>
        <v>5.333333333</v>
      </c>
      <c r="G916" s="10">
        <f t="array" ref="G916">index('Player ID'!C:C,match(E916,'Player ID'!B:B,0))</f>
        <v>656731</v>
      </c>
    </row>
    <row r="917">
      <c r="A917" s="76">
        <v>45751.0</v>
      </c>
      <c r="B917" s="1" t="s">
        <v>50</v>
      </c>
      <c r="C917" s="1" t="s">
        <v>51</v>
      </c>
      <c r="D917" s="1">
        <v>2.0</v>
      </c>
      <c r="E917" s="1">
        <v>22175.0</v>
      </c>
      <c r="F917" s="10">
        <f t="shared" si="1"/>
        <v>2</v>
      </c>
      <c r="G917" s="10">
        <f t="array" ref="G917">index('Player ID'!C:C,match(E917,'Player ID'!B:B,0))</f>
        <v>668820</v>
      </c>
    </row>
    <row r="918">
      <c r="A918" s="76">
        <v>45751.0</v>
      </c>
      <c r="B918" s="1" t="s">
        <v>142</v>
      </c>
      <c r="C918" s="1" t="s">
        <v>40</v>
      </c>
      <c r="D918" s="1">
        <v>0.0</v>
      </c>
      <c r="E918" s="1">
        <v>31553.0</v>
      </c>
      <c r="F918" s="10">
        <f t="shared" si="1"/>
        <v>0</v>
      </c>
      <c r="G918" s="10">
        <f t="array" ref="G918">index('Player ID'!C:C,match(E918,'Player ID'!B:B,0))</f>
        <v>689254</v>
      </c>
    </row>
    <row r="919">
      <c r="A919" s="76">
        <v>45751.0</v>
      </c>
      <c r="B919" s="1" t="s">
        <v>427</v>
      </c>
      <c r="C919" s="1" t="s">
        <v>40</v>
      </c>
      <c r="D919" s="1">
        <v>1.0</v>
      </c>
      <c r="E919" s="1">
        <v>33838.0</v>
      </c>
      <c r="F919" s="10">
        <f t="shared" si="1"/>
        <v>1</v>
      </c>
      <c r="G919" s="10">
        <f t="array" ref="G919">index('Player ID'!C:C,match(E919,'Player ID'!B:B,0))</f>
        <v>684320</v>
      </c>
    </row>
    <row r="920">
      <c r="A920" s="76">
        <v>45751.0</v>
      </c>
      <c r="B920" s="1" t="s">
        <v>704</v>
      </c>
      <c r="C920" s="1" t="s">
        <v>75</v>
      </c>
      <c r="D920" s="1">
        <v>1.0</v>
      </c>
      <c r="E920" s="1">
        <v>10591.0</v>
      </c>
      <c r="F920" s="10">
        <f t="shared" si="1"/>
        <v>1</v>
      </c>
      <c r="G920" s="10">
        <f t="array" ref="G920">index('Player ID'!C:C,match(E920,'Player ID'!B:B,0))</f>
        <v>518397</v>
      </c>
    </row>
    <row r="921">
      <c r="A921" s="76">
        <v>45751.0</v>
      </c>
      <c r="B921" s="1" t="s">
        <v>669</v>
      </c>
      <c r="C921" s="1" t="s">
        <v>52</v>
      </c>
      <c r="D921" s="1">
        <v>1.0</v>
      </c>
      <c r="E921" s="1">
        <v>14524.0</v>
      </c>
      <c r="F921" s="10">
        <f t="shared" si="1"/>
        <v>1</v>
      </c>
      <c r="G921" s="10">
        <f t="array" ref="G921">index('Player ID'!C:C,match(E921,'Player ID'!B:B,0))</f>
        <v>600917</v>
      </c>
    </row>
    <row r="922">
      <c r="A922" s="76">
        <v>45751.0</v>
      </c>
      <c r="B922" s="1" t="s">
        <v>451</v>
      </c>
      <c r="C922" s="1" t="s">
        <v>75</v>
      </c>
      <c r="D922" s="1">
        <v>1.0</v>
      </c>
      <c r="E922" s="1">
        <v>17556.0</v>
      </c>
      <c r="F922" s="10">
        <f t="shared" si="1"/>
        <v>1</v>
      </c>
      <c r="G922" s="10">
        <f t="array" ref="G922">index('Player ID'!C:C,match(E922,'Player ID'!B:B,0))</f>
        <v>623474</v>
      </c>
    </row>
    <row r="923">
      <c r="A923" s="76">
        <v>45751.0</v>
      </c>
      <c r="B923" s="1" t="s">
        <v>505</v>
      </c>
      <c r="C923" s="1" t="s">
        <v>52</v>
      </c>
      <c r="D923" s="1">
        <v>1.0</v>
      </c>
      <c r="E923" s="1">
        <v>19481.0</v>
      </c>
      <c r="F923" s="10">
        <f t="shared" si="1"/>
        <v>1</v>
      </c>
      <c r="G923" s="10">
        <f t="array" ref="G923">index('Player ID'!C:C,match(E923,'Player ID'!B:B,0))</f>
        <v>621053</v>
      </c>
    </row>
    <row r="924">
      <c r="A924" s="76">
        <v>45751.0</v>
      </c>
      <c r="B924" s="1" t="s">
        <v>215</v>
      </c>
      <c r="C924" s="1" t="s">
        <v>75</v>
      </c>
      <c r="D924" s="1">
        <v>0.1</v>
      </c>
      <c r="E924" s="1">
        <v>21267.0</v>
      </c>
      <c r="F924" s="10">
        <f t="shared" si="1"/>
        <v>0.3333333333</v>
      </c>
      <c r="G924" s="10">
        <f t="array" ref="G924">index('Player ID'!C:C,match(E924,'Player ID'!B:B,0))</f>
        <v>656234</v>
      </c>
    </row>
    <row r="925">
      <c r="A925" s="76">
        <v>45751.0</v>
      </c>
      <c r="B925" s="1" t="s">
        <v>504</v>
      </c>
      <c r="C925" s="1" t="s">
        <v>75</v>
      </c>
      <c r="D925" s="1">
        <v>5.0</v>
      </c>
      <c r="E925" s="1">
        <v>21446.0</v>
      </c>
      <c r="F925" s="10">
        <f t="shared" si="1"/>
        <v>5</v>
      </c>
      <c r="G925" s="10">
        <f t="array" ref="G925">index('Player ID'!C:C,match(E925,'Player ID'!B:B,0))</f>
        <v>663372</v>
      </c>
    </row>
    <row r="926">
      <c r="A926" s="76">
        <v>45751.0</v>
      </c>
      <c r="B926" s="1" t="s">
        <v>454</v>
      </c>
      <c r="C926" s="1" t="s">
        <v>52</v>
      </c>
      <c r="D926" s="1">
        <v>5.0</v>
      </c>
      <c r="E926" s="1">
        <v>23150.0</v>
      </c>
      <c r="F926" s="10">
        <f t="shared" si="1"/>
        <v>5</v>
      </c>
      <c r="G926" s="10">
        <f t="array" ref="G926">index('Player ID'!C:C,match(E926,'Player ID'!B:B,0))</f>
        <v>674370</v>
      </c>
    </row>
    <row r="927">
      <c r="A927" s="76">
        <v>45751.0</v>
      </c>
      <c r="B927" s="1" t="s">
        <v>365</v>
      </c>
      <c r="C927" s="1" t="s">
        <v>75</v>
      </c>
      <c r="D927" s="1">
        <v>1.0</v>
      </c>
      <c r="E927" s="1">
        <v>24614.0</v>
      </c>
      <c r="F927" s="10">
        <f t="shared" si="1"/>
        <v>1</v>
      </c>
      <c r="G927" s="10">
        <f t="array" ref="G927">index('Player ID'!C:C,match(E927,'Player ID'!B:B,0))</f>
        <v>680767</v>
      </c>
    </row>
    <row r="928">
      <c r="A928" s="76">
        <v>45751.0</v>
      </c>
      <c r="B928" s="1" t="s">
        <v>486</v>
      </c>
      <c r="C928" s="1" t="s">
        <v>75</v>
      </c>
      <c r="D928" s="1">
        <v>0.2</v>
      </c>
      <c r="E928" s="1">
        <v>26790.0</v>
      </c>
      <c r="F928" s="10">
        <f t="shared" si="1"/>
        <v>0.6666666667</v>
      </c>
      <c r="G928" s="10">
        <f t="array" ref="G928">index('Player ID'!C:C,match(E928,'Player ID'!B:B,0))</f>
        <v>683409</v>
      </c>
    </row>
    <row r="929">
      <c r="A929" s="76">
        <v>45751.0</v>
      </c>
      <c r="B929" s="1" t="s">
        <v>213</v>
      </c>
      <c r="C929" s="1" t="s">
        <v>52</v>
      </c>
      <c r="D929" s="1">
        <v>1.0</v>
      </c>
      <c r="E929" s="1">
        <v>27694.0</v>
      </c>
      <c r="F929" s="10">
        <f t="shared" si="1"/>
        <v>1</v>
      </c>
      <c r="G929" s="10">
        <f t="array" ref="G929">index('Player ID'!C:C,match(E929,'Player ID'!B:B,0))</f>
        <v>686993</v>
      </c>
    </row>
    <row r="930">
      <c r="A930" s="76">
        <v>45751.0</v>
      </c>
      <c r="B930" s="1" t="s">
        <v>717</v>
      </c>
      <c r="C930" s="1" t="s">
        <v>52</v>
      </c>
      <c r="D930" s="1">
        <v>2.0</v>
      </c>
      <c r="E930" s="1">
        <v>27908.0</v>
      </c>
      <c r="F930" s="10">
        <f t="shared" si="1"/>
        <v>2</v>
      </c>
      <c r="G930" s="10">
        <f t="array" ref="G930">index('Player ID'!C:C,match(E930,'Player ID'!B:B,0))</f>
        <v>668716</v>
      </c>
    </row>
    <row r="931">
      <c r="A931" s="76">
        <v>45751.0</v>
      </c>
      <c r="B931" s="1" t="s">
        <v>286</v>
      </c>
      <c r="C931" s="1" t="s">
        <v>52</v>
      </c>
      <c r="D931" s="1">
        <v>1.0</v>
      </c>
      <c r="E931" s="1">
        <v>31757.0</v>
      </c>
      <c r="F931" s="10">
        <f t="shared" si="1"/>
        <v>1</v>
      </c>
      <c r="G931" s="10">
        <f t="array" ref="G931">index('Player ID'!C:C,match(E931,'Player ID'!B:B,0))</f>
        <v>695243</v>
      </c>
    </row>
    <row r="932">
      <c r="A932" s="76">
        <v>45751.0</v>
      </c>
      <c r="B932" s="1" t="s">
        <v>488</v>
      </c>
      <c r="C932" s="1" t="s">
        <v>75</v>
      </c>
      <c r="D932" s="1">
        <v>2.0</v>
      </c>
      <c r="E932" s="1">
        <v>33294.0</v>
      </c>
      <c r="F932" s="10">
        <f t="shared" si="1"/>
        <v>2</v>
      </c>
      <c r="G932" s="10">
        <f t="array" ref="G932">index('Player ID'!C:C,match(E932,'Player ID'!B:B,0))</f>
        <v>678020</v>
      </c>
    </row>
    <row r="933">
      <c r="A933" s="76">
        <v>45751.0</v>
      </c>
      <c r="B933" s="1" t="s">
        <v>422</v>
      </c>
      <c r="C933" s="1" t="s">
        <v>58</v>
      </c>
      <c r="D933" s="1">
        <v>0.2</v>
      </c>
      <c r="E933" s="1">
        <v>7048.0</v>
      </c>
      <c r="F933" s="10">
        <f t="shared" si="1"/>
        <v>0.6666666667</v>
      </c>
      <c r="G933" s="10">
        <f t="array" ref="G933">index('Player ID'!C:C,match(E933,'Player ID'!B:B,0))</f>
        <v>518585</v>
      </c>
    </row>
    <row r="934">
      <c r="A934" s="76">
        <v>45751.0</v>
      </c>
      <c r="B934" s="1" t="s">
        <v>166</v>
      </c>
      <c r="C934" s="1" t="s">
        <v>58</v>
      </c>
      <c r="D934" s="1">
        <v>5.2</v>
      </c>
      <c r="E934" s="1">
        <v>13743.0</v>
      </c>
      <c r="F934" s="10">
        <f t="shared" si="1"/>
        <v>5.666666667</v>
      </c>
      <c r="G934" s="10">
        <f t="array" ref="G934">index('Player ID'!C:C,match(E934,'Player ID'!B:B,0))</f>
        <v>608331</v>
      </c>
    </row>
    <row r="935">
      <c r="A935" s="76">
        <v>45751.0</v>
      </c>
      <c r="B935" s="1" t="s">
        <v>707</v>
      </c>
      <c r="C935" s="1" t="s">
        <v>60</v>
      </c>
      <c r="D935" s="1">
        <v>2.0</v>
      </c>
      <c r="E935" s="1">
        <v>15042.0</v>
      </c>
      <c r="F935" s="10">
        <f t="shared" si="1"/>
        <v>2</v>
      </c>
      <c r="G935" s="10">
        <f t="array" ref="G935">index('Player ID'!C:C,match(E935,'Player ID'!B:B,0))</f>
        <v>641835</v>
      </c>
    </row>
    <row r="936">
      <c r="A936" s="76">
        <v>45751.0</v>
      </c>
      <c r="B936" s="1" t="s">
        <v>114</v>
      </c>
      <c r="C936" s="1" t="s">
        <v>58</v>
      </c>
      <c r="D936" s="1">
        <v>1.0</v>
      </c>
      <c r="E936" s="1">
        <v>15816.0</v>
      </c>
      <c r="F936" s="10">
        <f t="shared" si="1"/>
        <v>1</v>
      </c>
      <c r="G936" s="10">
        <f t="array" ref="G936">index('Player ID'!C:C,match(E936,'Player ID'!B:B,0))</f>
        <v>642207</v>
      </c>
    </row>
    <row r="937">
      <c r="A937" s="76">
        <v>45751.0</v>
      </c>
      <c r="B937" s="1" t="s">
        <v>423</v>
      </c>
      <c r="C937" s="1" t="s">
        <v>60</v>
      </c>
      <c r="D937" s="1">
        <v>3.2</v>
      </c>
      <c r="E937" s="1">
        <v>17594.0</v>
      </c>
      <c r="F937" s="10">
        <f t="shared" si="1"/>
        <v>3.666666667</v>
      </c>
      <c r="G937" s="10">
        <f t="array" ref="G937">index('Player ID'!C:C,match(E937,'Player ID'!B:B,0))</f>
        <v>656605</v>
      </c>
    </row>
    <row r="938">
      <c r="A938" s="76">
        <v>45751.0</v>
      </c>
      <c r="B938" s="1" t="s">
        <v>686</v>
      </c>
      <c r="C938" s="1" t="s">
        <v>60</v>
      </c>
      <c r="D938" s="1">
        <v>1.0</v>
      </c>
      <c r="E938" s="1">
        <v>17639.0</v>
      </c>
      <c r="F938" s="10">
        <f t="shared" si="1"/>
        <v>1</v>
      </c>
      <c r="G938" s="10">
        <f t="array" ref="G938">index('Player ID'!C:C,match(E938,'Player ID'!B:B,0))</f>
        <v>664875</v>
      </c>
    </row>
    <row r="939">
      <c r="A939" s="76">
        <v>45751.0</v>
      </c>
      <c r="B939" s="1" t="s">
        <v>384</v>
      </c>
      <c r="C939" s="1" t="s">
        <v>60</v>
      </c>
      <c r="D939" s="1">
        <v>2.1</v>
      </c>
      <c r="E939" s="1">
        <v>19962.0</v>
      </c>
      <c r="F939" s="10">
        <f t="shared" si="1"/>
        <v>2.333333333</v>
      </c>
      <c r="G939" s="10">
        <f t="array" ref="G939">index('Player ID'!C:C,match(E939,'Player ID'!B:B,0))</f>
        <v>666214</v>
      </c>
    </row>
    <row r="940">
      <c r="A940" s="76">
        <v>45751.0</v>
      </c>
      <c r="B940" s="1" t="s">
        <v>693</v>
      </c>
      <c r="C940" s="1" t="s">
        <v>58</v>
      </c>
      <c r="D940" s="1">
        <v>1.2</v>
      </c>
      <c r="E940" s="1">
        <v>27702.0</v>
      </c>
      <c r="F940" s="10">
        <f t="shared" si="1"/>
        <v>1.666666667</v>
      </c>
      <c r="G940" s="10">
        <f t="array" ref="G940">index('Player ID'!C:C,match(E940,'Player ID'!B:B,0))</f>
        <v>687396</v>
      </c>
    </row>
    <row r="941">
      <c r="A941" s="76">
        <v>45751.0</v>
      </c>
      <c r="B941" s="1" t="s">
        <v>358</v>
      </c>
      <c r="C941" s="1" t="s">
        <v>31</v>
      </c>
      <c r="D941" s="1">
        <v>2.1</v>
      </c>
      <c r="E941" s="1">
        <v>8700.0</v>
      </c>
      <c r="F941" s="10">
        <f t="shared" si="1"/>
        <v>2.333333333</v>
      </c>
      <c r="G941" s="10">
        <f t="array" ref="G941">index('Player ID'!C:C,match(E941,'Player ID'!B:B,0))</f>
        <v>434378</v>
      </c>
    </row>
    <row r="942">
      <c r="A942" s="76">
        <v>45751.0</v>
      </c>
      <c r="B942" s="1" t="s">
        <v>503</v>
      </c>
      <c r="C942" s="1" t="s">
        <v>31</v>
      </c>
      <c r="D942" s="1">
        <v>1.0</v>
      </c>
      <c r="E942" s="1">
        <v>15043.0</v>
      </c>
      <c r="F942" s="10">
        <f t="shared" si="1"/>
        <v>1</v>
      </c>
      <c r="G942" s="10">
        <f t="array" ref="G942">index('Player ID'!C:C,match(E942,'Player ID'!B:B,0))</f>
        <v>642152</v>
      </c>
    </row>
    <row r="943">
      <c r="A943" s="76">
        <v>45751.0</v>
      </c>
      <c r="B943" s="1" t="s">
        <v>20</v>
      </c>
      <c r="C943" s="1" t="s">
        <v>31</v>
      </c>
      <c r="D943" s="1">
        <v>1.0</v>
      </c>
      <c r="E943" s="1">
        <v>15541.0</v>
      </c>
      <c r="F943" s="10">
        <f t="shared" si="1"/>
        <v>1</v>
      </c>
      <c r="G943" s="10">
        <f t="array" ref="G943">index('Player ID'!C:C,match(E943,'Player ID'!B:B,0))</f>
        <v>643511</v>
      </c>
    </row>
    <row r="944">
      <c r="A944" s="76">
        <v>45751.0</v>
      </c>
      <c r="B944" s="1" t="s">
        <v>53</v>
      </c>
      <c r="C944" s="1" t="s">
        <v>37</v>
      </c>
      <c r="D944" s="1">
        <v>1.0</v>
      </c>
      <c r="E944" s="1">
        <v>17170.0</v>
      </c>
      <c r="F944" s="10">
        <f t="shared" si="1"/>
        <v>1</v>
      </c>
      <c r="G944" s="10">
        <f t="array" ref="G944">index('Player ID'!C:C,match(E944,'Player ID'!B:B,0))</f>
        <v>642100</v>
      </c>
    </row>
    <row r="945">
      <c r="A945" s="76">
        <v>45751.0</v>
      </c>
      <c r="B945" s="1" t="s">
        <v>682</v>
      </c>
      <c r="C945" s="1" t="s">
        <v>37</v>
      </c>
      <c r="D945" s="1">
        <v>0.1</v>
      </c>
      <c r="E945" s="1">
        <v>17888.0</v>
      </c>
      <c r="F945" s="10">
        <f t="shared" si="1"/>
        <v>0.3333333333</v>
      </c>
      <c r="G945" s="10">
        <f t="array" ref="G945">index('Player ID'!C:C,match(E945,'Player ID'!B:B,0))</f>
        <v>642048</v>
      </c>
    </row>
    <row r="946">
      <c r="A946" s="76">
        <v>45751.0</v>
      </c>
      <c r="B946" s="1" t="s">
        <v>108</v>
      </c>
      <c r="C946" s="1" t="s">
        <v>37</v>
      </c>
      <c r="D946" s="1">
        <v>1.0</v>
      </c>
      <c r="E946" s="1">
        <v>17948.0</v>
      </c>
      <c r="F946" s="10">
        <f t="shared" si="1"/>
        <v>1</v>
      </c>
      <c r="G946" s="10">
        <f t="array" ref="G946">index('Player ID'!C:C,match(E946,'Player ID'!B:B,0))</f>
        <v>663423</v>
      </c>
    </row>
    <row r="947">
      <c r="A947" s="76">
        <v>45751.0</v>
      </c>
      <c r="B947" s="1" t="s">
        <v>670</v>
      </c>
      <c r="C947" s="1" t="s">
        <v>37</v>
      </c>
      <c r="D947" s="1">
        <v>1.0</v>
      </c>
      <c r="E947" s="1">
        <v>20373.0</v>
      </c>
      <c r="F947" s="10">
        <f t="shared" si="1"/>
        <v>1</v>
      </c>
      <c r="G947" s="10">
        <f t="array" ref="G947">index('Player ID'!C:C,match(E947,'Player ID'!B:B,0))</f>
        <v>662253</v>
      </c>
    </row>
    <row r="948">
      <c r="A948" s="76">
        <v>45751.0</v>
      </c>
      <c r="B948" s="1" t="s">
        <v>403</v>
      </c>
      <c r="C948" s="1" t="s">
        <v>31</v>
      </c>
      <c r="D948" s="1">
        <v>1.0</v>
      </c>
      <c r="E948" s="1">
        <v>20423.0</v>
      </c>
      <c r="F948" s="10">
        <f t="shared" si="1"/>
        <v>1</v>
      </c>
      <c r="G948" s="10">
        <f t="array" ref="G948">index('Player ID'!C:C,match(E948,'Player ID'!B:B,0))</f>
        <v>676254</v>
      </c>
    </row>
    <row r="949">
      <c r="A949" s="76">
        <v>45751.0</v>
      </c>
      <c r="B949" s="1" t="s">
        <v>615</v>
      </c>
      <c r="C949" s="1" t="s">
        <v>37</v>
      </c>
      <c r="D949" s="1">
        <v>3.0</v>
      </c>
      <c r="E949" s="1">
        <v>20638.0</v>
      </c>
      <c r="F949" s="10">
        <f t="shared" si="1"/>
        <v>3</v>
      </c>
      <c r="G949" s="10">
        <f t="array" ref="G949">index('Player ID'!C:C,match(E949,'Player ID'!B:B,0))</f>
        <v>622379</v>
      </c>
    </row>
    <row r="950">
      <c r="A950" s="76">
        <v>45751.0</v>
      </c>
      <c r="B950" s="1" t="s">
        <v>157</v>
      </c>
      <c r="C950" s="1" t="s">
        <v>37</v>
      </c>
      <c r="D950" s="1">
        <v>1.1</v>
      </c>
      <c r="E950" s="1">
        <v>20997.0</v>
      </c>
      <c r="F950" s="10">
        <f t="shared" si="1"/>
        <v>1.333333333</v>
      </c>
      <c r="G950" s="10">
        <f t="array" ref="G950">index('Player ID'!C:C,match(E950,'Player ID'!B:B,0))</f>
        <v>660825</v>
      </c>
    </row>
    <row r="951">
      <c r="A951" s="76">
        <v>45751.0</v>
      </c>
      <c r="B951" s="1" t="s">
        <v>684</v>
      </c>
      <c r="C951" s="1" t="s">
        <v>37</v>
      </c>
      <c r="D951" s="1">
        <v>1.0</v>
      </c>
      <c r="E951" s="1">
        <v>21894.0</v>
      </c>
      <c r="F951" s="10">
        <f t="shared" si="1"/>
        <v>1</v>
      </c>
      <c r="G951" s="10">
        <f t="array" ref="G951">index('Player ID'!C:C,match(E951,'Player ID'!B:B,0))</f>
        <v>666619</v>
      </c>
    </row>
    <row r="952">
      <c r="A952" s="76">
        <v>45751.0</v>
      </c>
      <c r="B952" s="1" t="s">
        <v>304</v>
      </c>
      <c r="C952" s="1" t="s">
        <v>31</v>
      </c>
      <c r="D952" s="1">
        <v>1.0</v>
      </c>
      <c r="E952" s="1">
        <v>21992.0</v>
      </c>
      <c r="F952" s="10">
        <f t="shared" si="1"/>
        <v>1</v>
      </c>
      <c r="G952" s="10">
        <f t="array" ref="G952">index('Player ID'!C:C,match(E952,'Player ID'!B:B,0))</f>
        <v>666808</v>
      </c>
    </row>
    <row r="953">
      <c r="A953" s="76">
        <v>45751.0</v>
      </c>
      <c r="B953" s="1" t="s">
        <v>101</v>
      </c>
      <c r="C953" s="1" t="s">
        <v>37</v>
      </c>
      <c r="D953" s="1">
        <v>0.2</v>
      </c>
      <c r="E953" s="1">
        <v>22915.0</v>
      </c>
      <c r="F953" s="10">
        <f t="shared" si="1"/>
        <v>0.6666666667</v>
      </c>
      <c r="G953" s="10">
        <f t="array" ref="G953">index('Player ID'!C:C,match(E953,'Player ID'!B:B,0))</f>
        <v>672841</v>
      </c>
    </row>
    <row r="954">
      <c r="A954" s="76">
        <v>45751.0</v>
      </c>
      <c r="B954" s="1" t="s">
        <v>683</v>
      </c>
      <c r="C954" s="1" t="s">
        <v>37</v>
      </c>
      <c r="D954" s="1">
        <v>1.1</v>
      </c>
      <c r="E954" s="1">
        <v>23307.0</v>
      </c>
      <c r="F954" s="10">
        <f t="shared" si="1"/>
        <v>1.333333333</v>
      </c>
      <c r="G954" s="10">
        <f t="array" ref="G954">index('Player ID'!C:C,match(E954,'Player ID'!B:B,0))</f>
        <v>676092</v>
      </c>
    </row>
    <row r="955">
      <c r="A955" s="76">
        <v>45751.0</v>
      </c>
      <c r="B955" s="1" t="s">
        <v>654</v>
      </c>
      <c r="C955" s="1" t="s">
        <v>31</v>
      </c>
      <c r="D955" s="1">
        <v>1.2</v>
      </c>
      <c r="E955" s="1">
        <v>23974.0</v>
      </c>
      <c r="F955" s="10">
        <f t="shared" si="1"/>
        <v>1.666666667</v>
      </c>
      <c r="G955" s="10">
        <f t="array" ref="G955">index('Player ID'!C:C,match(E955,'Player ID'!B:B,0))</f>
        <v>678495</v>
      </c>
    </row>
    <row r="956">
      <c r="A956" s="76">
        <v>45751.0</v>
      </c>
      <c r="B956" s="1" t="s">
        <v>655</v>
      </c>
      <c r="C956" s="1" t="s">
        <v>31</v>
      </c>
      <c r="D956" s="1">
        <v>1.0</v>
      </c>
      <c r="E956" s="1">
        <v>26252.0</v>
      </c>
      <c r="F956" s="10">
        <f t="shared" si="1"/>
        <v>1</v>
      </c>
      <c r="G956" s="10">
        <f t="array" ref="G956">index('Player ID'!C:C,match(E956,'Player ID'!B:B,0))</f>
        <v>669062</v>
      </c>
    </row>
    <row r="957">
      <c r="A957" s="76">
        <v>45751.0</v>
      </c>
      <c r="B957" s="1" t="s">
        <v>276</v>
      </c>
      <c r="C957" s="1" t="s">
        <v>31</v>
      </c>
      <c r="D957" s="1">
        <v>2.0</v>
      </c>
      <c r="E957" s="1">
        <v>30226.0</v>
      </c>
      <c r="F957" s="10">
        <f t="shared" si="1"/>
        <v>2</v>
      </c>
      <c r="G957" s="10">
        <f t="array" ref="G957">index('Player ID'!C:C,match(E957,'Player ID'!B:B,0))</f>
        <v>702352</v>
      </c>
    </row>
    <row r="958">
      <c r="A958" s="76">
        <v>45751.0</v>
      </c>
      <c r="B958" s="1" t="s">
        <v>103</v>
      </c>
      <c r="C958" s="1" t="s">
        <v>64</v>
      </c>
      <c r="D958" s="1">
        <v>1.0</v>
      </c>
      <c r="E958" s="1">
        <v>10197.0</v>
      </c>
      <c r="F958" s="10">
        <f t="shared" si="1"/>
        <v>1</v>
      </c>
      <c r="G958" s="10">
        <f t="array" ref="G958">index('Player ID'!C:C,match(E958,'Player ID'!B:B,0))</f>
        <v>571946</v>
      </c>
    </row>
    <row r="959">
      <c r="A959" s="76">
        <v>45751.0</v>
      </c>
      <c r="B959" s="1" t="s">
        <v>642</v>
      </c>
      <c r="C959" s="1" t="s">
        <v>80</v>
      </c>
      <c r="D959" s="1">
        <v>1.0</v>
      </c>
      <c r="E959" s="1">
        <v>13470.0</v>
      </c>
      <c r="F959" s="10">
        <f t="shared" si="1"/>
        <v>1</v>
      </c>
      <c r="G959" s="10">
        <f t="array" ref="G959">index('Player ID'!C:C,match(E959,'Player ID'!B:B,0))</f>
        <v>608371</v>
      </c>
    </row>
    <row r="960">
      <c r="A960" s="76">
        <v>45751.0</v>
      </c>
      <c r="B960" s="1" t="s">
        <v>735</v>
      </c>
      <c r="C960" s="1" t="s">
        <v>64</v>
      </c>
      <c r="D960" s="1">
        <v>1.0</v>
      </c>
      <c r="E960" s="1">
        <v>19343.0</v>
      </c>
      <c r="F960" s="10">
        <f t="shared" si="1"/>
        <v>1</v>
      </c>
      <c r="G960" s="10">
        <f t="array" ref="G960">index('Player ID'!C:C,match(E960,'Player ID'!B:B,0))</f>
        <v>640462</v>
      </c>
    </row>
    <row r="961">
      <c r="A961" s="76">
        <v>45751.0</v>
      </c>
      <c r="B961" s="1" t="s">
        <v>644</v>
      </c>
      <c r="C961" s="1" t="s">
        <v>80</v>
      </c>
      <c r="D961" s="1">
        <v>0.1</v>
      </c>
      <c r="E961" s="1">
        <v>19403.0</v>
      </c>
      <c r="F961" s="10">
        <f t="shared" si="1"/>
        <v>0.3333333333</v>
      </c>
      <c r="G961" s="10">
        <f t="array" ref="G961">index('Player ID'!C:C,match(E961,'Player ID'!B:B,0))</f>
        <v>621363</v>
      </c>
    </row>
    <row r="962">
      <c r="A962" s="76">
        <v>45751.0</v>
      </c>
      <c r="B962" s="1" t="s">
        <v>396</v>
      </c>
      <c r="C962" s="1" t="s">
        <v>80</v>
      </c>
      <c r="D962" s="1">
        <v>5.0</v>
      </c>
      <c r="E962" s="1">
        <v>21504.0</v>
      </c>
      <c r="F962" s="10">
        <f t="shared" si="1"/>
        <v>5</v>
      </c>
      <c r="G962" s="10">
        <f t="array" ref="G962">index('Player ID'!C:C,match(E962,'Player ID'!B:B,0))</f>
        <v>663623</v>
      </c>
    </row>
    <row r="963">
      <c r="A963" s="76">
        <v>45751.0</v>
      </c>
      <c r="B963" s="1" t="s">
        <v>508</v>
      </c>
      <c r="C963" s="1" t="s">
        <v>80</v>
      </c>
      <c r="D963" s="1">
        <v>1.0</v>
      </c>
      <c r="E963" s="1">
        <v>23135.0</v>
      </c>
      <c r="F963" s="10">
        <f t="shared" si="1"/>
        <v>1</v>
      </c>
      <c r="G963" s="10">
        <f t="array" ref="G963">index('Player ID'!C:C,match(E963,'Player ID'!B:B,0))</f>
        <v>674285</v>
      </c>
    </row>
    <row r="964">
      <c r="A964" s="76">
        <v>45751.0</v>
      </c>
      <c r="B964" s="1" t="s">
        <v>86</v>
      </c>
      <c r="C964" s="1" t="s">
        <v>80</v>
      </c>
      <c r="D964" s="1">
        <v>1.0</v>
      </c>
      <c r="E964" s="1">
        <v>24017.0</v>
      </c>
      <c r="F964" s="10">
        <f t="shared" si="1"/>
        <v>1</v>
      </c>
      <c r="G964" s="10">
        <f t="array" ref="G964">index('Player ID'!C:C,match(E964,'Player ID'!B:B,0))</f>
        <v>678606</v>
      </c>
    </row>
    <row r="965">
      <c r="A965" s="76">
        <v>45751.0</v>
      </c>
      <c r="B965" s="1" t="s">
        <v>714</v>
      </c>
      <c r="C965" s="1" t="s">
        <v>64</v>
      </c>
      <c r="D965" s="1">
        <v>1.0</v>
      </c>
      <c r="E965" s="1">
        <v>24453.0</v>
      </c>
      <c r="F965" s="10">
        <f t="shared" si="1"/>
        <v>1</v>
      </c>
      <c r="G965" s="10">
        <f t="array" ref="G965">index('Player ID'!C:C,match(E965,'Player ID'!B:B,0))</f>
        <v>679885</v>
      </c>
    </row>
    <row r="966">
      <c r="A966" s="76">
        <v>45751.0</v>
      </c>
      <c r="B966" s="1" t="s">
        <v>702</v>
      </c>
      <c r="C966" s="1" t="s">
        <v>80</v>
      </c>
      <c r="D966" s="1">
        <v>0.2</v>
      </c>
      <c r="E966" s="1">
        <v>26247.0</v>
      </c>
      <c r="F966" s="10">
        <f t="shared" si="1"/>
        <v>0.6666666667</v>
      </c>
      <c r="G966" s="10">
        <f t="array" ref="G966">index('Player ID'!C:C,match(E966,'Player ID'!B:B,0))</f>
        <v>687377</v>
      </c>
    </row>
    <row r="967">
      <c r="A967" s="76">
        <v>45751.0</v>
      </c>
      <c r="B967" s="1" t="s">
        <v>263</v>
      </c>
      <c r="C967" s="1" t="s">
        <v>64</v>
      </c>
      <c r="D967" s="1">
        <v>6.0</v>
      </c>
      <c r="E967" s="1">
        <v>27782.0</v>
      </c>
      <c r="F967" s="10">
        <f t="shared" si="1"/>
        <v>6</v>
      </c>
      <c r="G967" s="10">
        <f t="array" ref="G967">index('Player ID'!C:C,match(E967,'Player ID'!B:B,0))</f>
        <v>694297</v>
      </c>
    </row>
    <row r="968">
      <c r="A968" s="76">
        <v>45751.0</v>
      </c>
      <c r="B968" s="1" t="s">
        <v>595</v>
      </c>
      <c r="C968" s="1" t="s">
        <v>33</v>
      </c>
      <c r="D968" s="1">
        <v>1.1</v>
      </c>
      <c r="E968" s="1">
        <v>6984.0</v>
      </c>
      <c r="F968" s="10">
        <f t="shared" si="1"/>
        <v>1.333333333</v>
      </c>
      <c r="G968" s="10">
        <f t="array" ref="G968">index('Player ID'!C:C,match(E968,'Player ID'!B:B,0))</f>
        <v>472610</v>
      </c>
    </row>
    <row r="969">
      <c r="A969" s="76">
        <v>45751.0</v>
      </c>
      <c r="B969" s="1" t="s">
        <v>392</v>
      </c>
      <c r="C969" s="1" t="s">
        <v>33</v>
      </c>
      <c r="D969" s="1">
        <v>0.2</v>
      </c>
      <c r="E969" s="1">
        <v>9073.0</v>
      </c>
      <c r="F969" s="10">
        <f t="shared" si="1"/>
        <v>0.6666666667</v>
      </c>
      <c r="G969" s="10">
        <f t="array" ref="G969">index('Player ID'!C:C,match(E969,'Player ID'!B:B,0))</f>
        <v>489446</v>
      </c>
    </row>
    <row r="970">
      <c r="A970" s="76">
        <v>45751.0</v>
      </c>
      <c r="B970" s="1" t="s">
        <v>182</v>
      </c>
      <c r="C970" s="1" t="s">
        <v>45</v>
      </c>
      <c r="D970" s="1">
        <v>0.2</v>
      </c>
      <c r="E970" s="1">
        <v>13799.0</v>
      </c>
      <c r="F970" s="10">
        <f t="shared" si="1"/>
        <v>0.6666666667</v>
      </c>
      <c r="G970" s="10">
        <f t="array" ref="G970">index('Player ID'!C:C,match(E970,'Player ID'!B:B,0))</f>
        <v>621381</v>
      </c>
    </row>
    <row r="971">
      <c r="A971" s="76">
        <v>45751.0</v>
      </c>
      <c r="B971" s="1" t="s">
        <v>208</v>
      </c>
      <c r="C971" s="1" t="s">
        <v>45</v>
      </c>
      <c r="D971" s="1">
        <v>1.0</v>
      </c>
      <c r="E971" s="1">
        <v>16122.0</v>
      </c>
      <c r="F971" s="10">
        <f t="shared" si="1"/>
        <v>1</v>
      </c>
      <c r="G971" s="10">
        <f t="array" ref="G971">index('Player ID'!C:C,match(E971,'Player ID'!B:B,0))</f>
        <v>605447</v>
      </c>
    </row>
    <row r="972">
      <c r="A972" s="76">
        <v>45751.0</v>
      </c>
      <c r="B972" s="1" t="s">
        <v>700</v>
      </c>
      <c r="C972" s="1" t="s">
        <v>45</v>
      </c>
      <c r="D972" s="1">
        <v>7.0</v>
      </c>
      <c r="E972" s="1">
        <v>19959.0</v>
      </c>
      <c r="F972" s="10">
        <f t="shared" si="1"/>
        <v>7</v>
      </c>
      <c r="G972" s="10">
        <f t="array" ref="G972">index('Player ID'!C:C,match(E972,'Player ID'!B:B,0))</f>
        <v>666200</v>
      </c>
    </row>
    <row r="973">
      <c r="A973" s="76">
        <v>45751.0</v>
      </c>
      <c r="B973" s="1" t="s">
        <v>85</v>
      </c>
      <c r="C973" s="1" t="s">
        <v>33</v>
      </c>
      <c r="D973" s="1">
        <v>6.0</v>
      </c>
      <c r="E973" s="1">
        <v>33825.0</v>
      </c>
      <c r="F973" s="10">
        <f t="shared" si="1"/>
        <v>6</v>
      </c>
      <c r="G973" s="10">
        <f t="array" ref="G973">index('Player ID'!C:C,match(E973,'Player ID'!B:B,0))</f>
        <v>808967</v>
      </c>
    </row>
    <row r="974">
      <c r="A974" s="76">
        <v>45751.0</v>
      </c>
      <c r="B974" s="1" t="s">
        <v>319</v>
      </c>
      <c r="C974" s="1" t="s">
        <v>46</v>
      </c>
      <c r="D974" s="1">
        <v>1.0</v>
      </c>
      <c r="E974" s="1">
        <v>16258.0</v>
      </c>
      <c r="F974" s="10">
        <f t="shared" si="1"/>
        <v>1</v>
      </c>
      <c r="G974" s="10">
        <f t="array" ref="G974">index('Player ID'!C:C,match(E974,'Player ID'!B:B,0))</f>
        <v>607481</v>
      </c>
    </row>
    <row r="975">
      <c r="A975" s="76">
        <v>45751.0</v>
      </c>
      <c r="B975" s="1" t="s">
        <v>469</v>
      </c>
      <c r="C975" s="1" t="s">
        <v>36</v>
      </c>
      <c r="D975" s="1">
        <v>1.0</v>
      </c>
      <c r="E975" s="1">
        <v>21863.0</v>
      </c>
      <c r="F975" s="10">
        <f t="shared" si="1"/>
        <v>1</v>
      </c>
      <c r="G975" s="10">
        <f t="array" ref="G975">index('Player ID'!C:C,match(E975,'Player ID'!B:B,0))</f>
        <v>666277</v>
      </c>
    </row>
    <row r="976">
      <c r="A976" s="76">
        <v>45751.0</v>
      </c>
      <c r="B976" s="1" t="s">
        <v>754</v>
      </c>
      <c r="C976" s="1" t="s">
        <v>36</v>
      </c>
      <c r="D976" s="1">
        <v>0.1</v>
      </c>
      <c r="E976" s="1">
        <v>23811.0</v>
      </c>
      <c r="F976" s="10">
        <f t="shared" si="1"/>
        <v>0.3333333333</v>
      </c>
      <c r="G976" s="10">
        <f t="array" ref="G976">index('Player ID'!C:C,match(E976,'Player ID'!B:B,0))</f>
        <v>678215</v>
      </c>
    </row>
    <row r="977">
      <c r="A977" s="76">
        <v>45751.0</v>
      </c>
      <c r="B977" s="1" t="s">
        <v>121</v>
      </c>
      <c r="C977" s="1" t="s">
        <v>36</v>
      </c>
      <c r="D977" s="1">
        <v>6.0</v>
      </c>
      <c r="E977" s="1">
        <v>27474.0</v>
      </c>
      <c r="F977" s="10">
        <f t="shared" si="1"/>
        <v>6</v>
      </c>
      <c r="G977" s="10">
        <f t="array" ref="G977">index('Player ID'!C:C,match(E977,'Player ID'!B:B,0))</f>
        <v>676974</v>
      </c>
    </row>
    <row r="978">
      <c r="A978" s="76">
        <v>45751.0</v>
      </c>
      <c r="B978" s="1" t="s">
        <v>781</v>
      </c>
      <c r="C978" s="1" t="s">
        <v>36</v>
      </c>
      <c r="D978" s="1">
        <v>0.2</v>
      </c>
      <c r="E978" s="1">
        <v>28253.0</v>
      </c>
      <c r="F978" s="10">
        <f t="shared" si="1"/>
        <v>0.6666666667</v>
      </c>
      <c r="G978" s="10">
        <f t="array" ref="G978">index('Player ID'!C:C,match(E978,'Player ID'!B:B,0))</f>
        <v>691594</v>
      </c>
    </row>
    <row r="979">
      <c r="A979" s="76">
        <v>45751.0</v>
      </c>
      <c r="B979" s="1" t="s">
        <v>65</v>
      </c>
      <c r="C979" s="1" t="s">
        <v>46</v>
      </c>
      <c r="D979" s="1">
        <v>8.0</v>
      </c>
      <c r="E979" s="1">
        <v>31846.0</v>
      </c>
      <c r="F979" s="10">
        <f t="shared" si="1"/>
        <v>8</v>
      </c>
      <c r="G979" s="10">
        <f t="array" ref="G979">index('Player ID'!C:C,match(E979,'Player ID'!B:B,0))</f>
        <v>680885</v>
      </c>
    </row>
    <row r="980">
      <c r="A980" s="76">
        <v>45751.0</v>
      </c>
      <c r="B980" s="1" t="s">
        <v>452</v>
      </c>
      <c r="C980" s="1" t="s">
        <v>29</v>
      </c>
      <c r="D980" s="1">
        <v>6.0</v>
      </c>
      <c r="E980" s="1">
        <v>12447.0</v>
      </c>
      <c r="F980" s="10">
        <f t="shared" si="1"/>
        <v>6</v>
      </c>
      <c r="G980" s="10">
        <f t="array" ref="G980">index('Player ID'!C:C,match(E980,'Player ID'!B:B,0))</f>
        <v>607625</v>
      </c>
    </row>
    <row r="981">
      <c r="A981" s="76">
        <v>45751.0</v>
      </c>
      <c r="B981" s="1" t="s">
        <v>726</v>
      </c>
      <c r="C981" s="1" t="s">
        <v>29</v>
      </c>
      <c r="D981" s="1">
        <v>1.0</v>
      </c>
      <c r="E981" s="1">
        <v>13761.0</v>
      </c>
      <c r="F981" s="10">
        <f t="shared" si="1"/>
        <v>1</v>
      </c>
      <c r="G981" s="10">
        <f t="array" ref="G981">index('Player ID'!C:C,match(E981,'Player ID'!B:B,0))</f>
        <v>608717</v>
      </c>
    </row>
    <row r="982">
      <c r="A982" s="76">
        <v>45751.0</v>
      </c>
      <c r="B982" s="1" t="s">
        <v>650</v>
      </c>
      <c r="C982" s="1" t="s">
        <v>29</v>
      </c>
      <c r="D982" s="1">
        <v>1.0</v>
      </c>
      <c r="E982" s="1">
        <v>15507.0</v>
      </c>
      <c r="F982" s="10">
        <f t="shared" si="1"/>
        <v>1</v>
      </c>
      <c r="G982" s="10">
        <f t="array" ref="G982">index('Player ID'!C:C,match(E982,'Player ID'!B:B,0))</f>
        <v>640451</v>
      </c>
    </row>
    <row r="983">
      <c r="A983" s="76">
        <v>45751.0</v>
      </c>
      <c r="B983" s="1" t="s">
        <v>639</v>
      </c>
      <c r="C983" s="1" t="s">
        <v>68</v>
      </c>
      <c r="D983" s="1">
        <v>1.0</v>
      </c>
      <c r="E983" s="1">
        <v>19249.0</v>
      </c>
      <c r="F983" s="10">
        <f t="shared" si="1"/>
        <v>1</v>
      </c>
      <c r="G983" s="10">
        <f t="array" ref="G983">index('Player ID'!C:C,match(E983,'Player ID'!B:B,0))</f>
        <v>622554</v>
      </c>
    </row>
    <row r="984">
      <c r="A984" s="76">
        <v>45751.0</v>
      </c>
      <c r="B984" s="1" t="s">
        <v>294</v>
      </c>
      <c r="C984" s="1" t="s">
        <v>68</v>
      </c>
      <c r="D984" s="1">
        <v>4.1</v>
      </c>
      <c r="E984" s="1">
        <v>19350.0</v>
      </c>
      <c r="F984" s="10">
        <f t="shared" si="1"/>
        <v>4.333333333</v>
      </c>
      <c r="G984" s="10">
        <f t="array" ref="G984">index('Player ID'!C:C,match(E984,'Player ID'!B:B,0))</f>
        <v>665152</v>
      </c>
    </row>
    <row r="985">
      <c r="A985" s="76">
        <v>45751.0</v>
      </c>
      <c r="B985" s="1" t="s">
        <v>407</v>
      </c>
      <c r="C985" s="1" t="s">
        <v>29</v>
      </c>
      <c r="D985" s="1">
        <v>1.0</v>
      </c>
      <c r="E985" s="1">
        <v>19360.0</v>
      </c>
      <c r="F985" s="10">
        <f t="shared" si="1"/>
        <v>1</v>
      </c>
      <c r="G985" s="10">
        <f t="array" ref="G985">index('Player ID'!C:C,match(E985,'Player ID'!B:B,0))</f>
        <v>668674</v>
      </c>
    </row>
    <row r="986">
      <c r="A986" s="76">
        <v>45751.0</v>
      </c>
      <c r="B986" s="1" t="s">
        <v>675</v>
      </c>
      <c r="C986" s="1" t="s">
        <v>68</v>
      </c>
      <c r="D986" s="1">
        <v>1.0</v>
      </c>
      <c r="E986" s="1">
        <v>19614.0</v>
      </c>
      <c r="F986" s="10">
        <f t="shared" si="1"/>
        <v>1</v>
      </c>
      <c r="G986" s="10">
        <f t="array" ref="G986">index('Player ID'!C:C,match(E986,'Player ID'!B:B,0))</f>
        <v>672335</v>
      </c>
    </row>
    <row r="987">
      <c r="A987" s="76">
        <v>45751.0</v>
      </c>
      <c r="B987" s="1" t="s">
        <v>433</v>
      </c>
      <c r="C987" s="1" t="s">
        <v>68</v>
      </c>
      <c r="D987" s="1">
        <v>1.2</v>
      </c>
      <c r="E987" s="1">
        <v>19677.0</v>
      </c>
      <c r="F987" s="10">
        <f t="shared" si="1"/>
        <v>1.666666667</v>
      </c>
      <c r="G987" s="10">
        <f t="array" ref="G987">index('Player ID'!C:C,match(E987,'Player ID'!B:B,0))</f>
        <v>642397</v>
      </c>
    </row>
    <row r="988">
      <c r="A988" s="76">
        <v>45751.0</v>
      </c>
      <c r="B988" s="1" t="s">
        <v>162</v>
      </c>
      <c r="C988" s="1" t="s">
        <v>56</v>
      </c>
      <c r="D988" s="1">
        <v>1.0</v>
      </c>
      <c r="E988" s="1">
        <v>11752.0</v>
      </c>
      <c r="F988" s="10">
        <f t="shared" si="1"/>
        <v>1</v>
      </c>
      <c r="G988" s="10">
        <f t="array" ref="G988">index('Player ID'!C:C,match(E988,'Player ID'!B:B,0))</f>
        <v>592426</v>
      </c>
    </row>
    <row r="989">
      <c r="A989" s="76">
        <v>45751.0</v>
      </c>
      <c r="B989" s="1" t="s">
        <v>74</v>
      </c>
      <c r="C989" s="1" t="s">
        <v>56</v>
      </c>
      <c r="D989" s="1">
        <v>0.2</v>
      </c>
      <c r="E989" s="1">
        <v>11847.0</v>
      </c>
      <c r="F989" s="10">
        <f t="shared" si="1"/>
        <v>0.6666666667</v>
      </c>
      <c r="G989" s="10">
        <f t="array" ref="G989">index('Player ID'!C:C,match(E989,'Player ID'!B:B,0))</f>
        <v>455119</v>
      </c>
    </row>
    <row r="990">
      <c r="A990" s="76">
        <v>45751.0</v>
      </c>
      <c r="B990" s="1" t="s">
        <v>440</v>
      </c>
      <c r="C990" s="1" t="s">
        <v>56</v>
      </c>
      <c r="D990" s="1">
        <v>1.1</v>
      </c>
      <c r="E990" s="1">
        <v>12857.0</v>
      </c>
      <c r="F990" s="10">
        <f t="shared" si="1"/>
        <v>1.333333333</v>
      </c>
      <c r="G990" s="10">
        <f t="array" ref="G990">index('Player ID'!C:C,match(E990,'Player ID'!B:B,0))</f>
        <v>542888</v>
      </c>
    </row>
    <row r="991">
      <c r="A991" s="76">
        <v>45751.0</v>
      </c>
      <c r="B991" s="1" t="s">
        <v>177</v>
      </c>
      <c r="C991" s="1" t="s">
        <v>54</v>
      </c>
      <c r="D991" s="1">
        <v>7.0</v>
      </c>
      <c r="E991" s="1">
        <v>15823.0</v>
      </c>
      <c r="F991" s="10">
        <f t="shared" si="1"/>
        <v>7</v>
      </c>
      <c r="G991" s="10">
        <f t="array" ref="G991">index('Player ID'!C:C,match(E991,'Player ID'!B:B,0))</f>
        <v>641793</v>
      </c>
    </row>
    <row r="992">
      <c r="A992" s="76">
        <v>45751.0</v>
      </c>
      <c r="B992" s="1" t="s">
        <v>55</v>
      </c>
      <c r="C992" s="1" t="s">
        <v>56</v>
      </c>
      <c r="D992" s="1">
        <v>5.0</v>
      </c>
      <c r="E992" s="1">
        <v>16358.0</v>
      </c>
      <c r="F992" s="10">
        <f t="shared" si="1"/>
        <v>5</v>
      </c>
      <c r="G992" s="10">
        <f t="array" ref="G992">index('Player ID'!C:C,match(E992,'Player ID'!B:B,0))</f>
        <v>641816</v>
      </c>
    </row>
    <row r="993">
      <c r="A993" s="76">
        <v>45751.0</v>
      </c>
      <c r="B993" s="1" t="s">
        <v>268</v>
      </c>
      <c r="C993" s="1" t="s">
        <v>56</v>
      </c>
      <c r="D993" s="1">
        <v>1.0</v>
      </c>
      <c r="E993" s="1">
        <v>23363.0</v>
      </c>
      <c r="F993" s="10">
        <f t="shared" si="1"/>
        <v>1</v>
      </c>
      <c r="G993" s="10">
        <f t="array" ref="G993">index('Player ID'!C:C,match(E993,'Player ID'!B:B,0))</f>
        <v>676395</v>
      </c>
    </row>
    <row r="994">
      <c r="A994" s="76">
        <v>45751.0</v>
      </c>
      <c r="B994" s="1" t="s">
        <v>671</v>
      </c>
      <c r="C994" s="1" t="s">
        <v>54</v>
      </c>
      <c r="D994" s="1">
        <v>1.0</v>
      </c>
      <c r="E994" s="1">
        <v>26259.0</v>
      </c>
      <c r="F994" s="10">
        <f t="shared" si="1"/>
        <v>1</v>
      </c>
      <c r="G994" s="10">
        <f t="array" ref="G994">index('Player ID'!C:C,match(E994,'Player ID'!B:B,0))</f>
        <v>685801</v>
      </c>
    </row>
    <row r="995">
      <c r="A995" s="76">
        <v>45751.0</v>
      </c>
      <c r="B995" s="1" t="s">
        <v>226</v>
      </c>
      <c r="C995" s="1" t="s">
        <v>66</v>
      </c>
      <c r="D995" s="1">
        <v>4.2</v>
      </c>
      <c r="E995" s="1">
        <v>12730.0</v>
      </c>
      <c r="F995" s="10">
        <f t="shared" si="1"/>
        <v>4.666666667</v>
      </c>
      <c r="G995" s="10">
        <f t="array" ref="G995">index('Player ID'!C:C,match(E995,'Player ID'!B:B,0))</f>
        <v>607259</v>
      </c>
    </row>
    <row r="996">
      <c r="A996" s="76">
        <v>45751.0</v>
      </c>
      <c r="B996" s="1" t="s">
        <v>362</v>
      </c>
      <c r="C996" s="1" t="s">
        <v>66</v>
      </c>
      <c r="D996" s="1">
        <v>1.0</v>
      </c>
      <c r="E996" s="1">
        <v>13449.0</v>
      </c>
      <c r="F996" s="10">
        <f t="shared" si="1"/>
        <v>1</v>
      </c>
      <c r="G996" s="10">
        <f t="array" ref="G996">index('Player ID'!C:C,match(E996,'Player ID'!B:B,0))</f>
        <v>573124</v>
      </c>
    </row>
    <row r="997">
      <c r="A997" s="76">
        <v>45751.0</v>
      </c>
      <c r="B997" s="1" t="s">
        <v>417</v>
      </c>
      <c r="C997" s="1" t="s">
        <v>66</v>
      </c>
      <c r="D997" s="1">
        <v>1.0</v>
      </c>
      <c r="E997" s="1">
        <v>13942.0</v>
      </c>
      <c r="F997" s="10">
        <f t="shared" si="1"/>
        <v>1</v>
      </c>
      <c r="G997" s="10">
        <f t="array" ref="G997">index('Player ID'!C:C,match(E997,'Player ID'!B:B,0))</f>
        <v>608718</v>
      </c>
    </row>
    <row r="998">
      <c r="A998" s="76">
        <v>45751.0</v>
      </c>
      <c r="B998" s="1" t="s">
        <v>634</v>
      </c>
      <c r="C998" s="1" t="s">
        <v>14</v>
      </c>
      <c r="D998" s="1">
        <v>0.2</v>
      </c>
      <c r="E998" s="1">
        <v>14332.0</v>
      </c>
      <c r="F998" s="10">
        <f t="shared" si="1"/>
        <v>0.6666666667</v>
      </c>
      <c r="G998" s="10">
        <f t="array" ref="G998">index('Player ID'!C:C,match(E998,'Player ID'!B:B,0))</f>
        <v>606303</v>
      </c>
    </row>
    <row r="999">
      <c r="A999" s="76">
        <v>45751.0</v>
      </c>
      <c r="B999" s="1" t="s">
        <v>13</v>
      </c>
      <c r="C999" s="1" t="s">
        <v>14</v>
      </c>
      <c r="D999" s="1">
        <v>1.0</v>
      </c>
      <c r="E999" s="1">
        <v>17722.0</v>
      </c>
      <c r="F999" s="10">
        <f t="shared" si="1"/>
        <v>1</v>
      </c>
      <c r="G999" s="10">
        <f t="array" ref="G999">index('Player ID'!C:C,match(E999,'Player ID'!B:B,0))</f>
        <v>656730</v>
      </c>
    </row>
    <row r="1000">
      <c r="A1000" s="76">
        <v>45751.0</v>
      </c>
      <c r="B1000" s="1" t="s">
        <v>187</v>
      </c>
      <c r="C1000" s="1" t="s">
        <v>14</v>
      </c>
      <c r="D1000" s="1">
        <v>5.2</v>
      </c>
      <c r="E1000" s="1">
        <v>17735.0</v>
      </c>
      <c r="F1000" s="10">
        <f t="shared" si="1"/>
        <v>5.666666667</v>
      </c>
      <c r="G1000" s="10">
        <f t="array" ref="G1000">index('Player ID'!C:C,match(E1000,'Player ID'!B:B,0))</f>
        <v>641302</v>
      </c>
    </row>
    <row r="1001">
      <c r="A1001" s="76">
        <v>45751.0</v>
      </c>
      <c r="B1001" s="1" t="s">
        <v>636</v>
      </c>
      <c r="C1001" s="1" t="s">
        <v>14</v>
      </c>
      <c r="D1001" s="1">
        <v>0.1</v>
      </c>
      <c r="E1001" s="1">
        <v>19924.0</v>
      </c>
      <c r="F1001" s="10">
        <f t="shared" si="1"/>
        <v>0.3333333333</v>
      </c>
      <c r="G1001" s="10">
        <f t="array" ref="G1001">index('Player ID'!C:C,match(E1001,'Player ID'!B:B,0))</f>
        <v>663542</v>
      </c>
    </row>
    <row r="1002">
      <c r="A1002" s="76">
        <v>45751.0</v>
      </c>
      <c r="B1002" s="1" t="s">
        <v>345</v>
      </c>
      <c r="C1002" s="1" t="s">
        <v>66</v>
      </c>
      <c r="D1002" s="1">
        <v>1.0</v>
      </c>
      <c r="E1002" s="1">
        <v>19926.0</v>
      </c>
      <c r="F1002" s="10">
        <f t="shared" si="1"/>
        <v>1</v>
      </c>
      <c r="G1002" s="10">
        <f t="array" ref="G1002">index('Player ID'!C:C,match(E1002,'Player ID'!B:B,0))</f>
        <v>663574</v>
      </c>
    </row>
    <row r="1003">
      <c r="A1003" s="76">
        <v>45751.0</v>
      </c>
      <c r="B1003" s="1" t="s">
        <v>279</v>
      </c>
      <c r="C1003" s="1" t="s">
        <v>14</v>
      </c>
      <c r="D1003" s="1">
        <v>1.1</v>
      </c>
      <c r="E1003" s="1">
        <v>25327.0</v>
      </c>
      <c r="F1003" s="10">
        <f t="shared" si="1"/>
        <v>1.333333333</v>
      </c>
      <c r="G1003" s="10">
        <f t="array" ref="G1003">index('Player ID'!C:C,match(E1003,'Player ID'!B:B,0))</f>
        <v>682842</v>
      </c>
    </row>
    <row r="1004">
      <c r="A1004" s="76">
        <v>45751.0</v>
      </c>
      <c r="B1004" s="1" t="s">
        <v>211</v>
      </c>
      <c r="C1004" s="1" t="s">
        <v>66</v>
      </c>
      <c r="D1004" s="1">
        <v>0.1</v>
      </c>
      <c r="E1004" s="1">
        <v>27552.0</v>
      </c>
      <c r="F1004" s="10">
        <f t="shared" si="1"/>
        <v>0.3333333333</v>
      </c>
      <c r="G1004" s="10">
        <f t="array" ref="G1004">index('Player ID'!C:C,match(E1004,'Player ID'!B:B,0))</f>
        <v>668933</v>
      </c>
    </row>
    <row r="1005">
      <c r="A1005" s="76">
        <v>45751.0</v>
      </c>
      <c r="B1005" s="1" t="s">
        <v>117</v>
      </c>
      <c r="C1005" s="1" t="s">
        <v>70</v>
      </c>
      <c r="D1005" s="1">
        <v>1.0</v>
      </c>
      <c r="E1005" s="1">
        <v>13619.0</v>
      </c>
      <c r="F1005" s="10">
        <f t="shared" si="1"/>
        <v>1</v>
      </c>
      <c r="G1005" s="10">
        <f t="array" ref="G1005">index('Player ID'!C:C,match(E1005,'Player ID'!B:B,0))</f>
        <v>596001</v>
      </c>
    </row>
    <row r="1006">
      <c r="A1006" s="76">
        <v>45751.0</v>
      </c>
      <c r="B1006" s="1" t="s">
        <v>648</v>
      </c>
      <c r="C1006" s="1" t="s">
        <v>70</v>
      </c>
      <c r="D1006" s="1">
        <v>1.0</v>
      </c>
      <c r="E1006" s="1">
        <v>13892.0</v>
      </c>
      <c r="F1006" s="10">
        <f t="shared" si="1"/>
        <v>1</v>
      </c>
      <c r="G1006" s="10">
        <f t="array" ref="G1006">index('Player ID'!C:C,match(E1006,'Player ID'!B:B,0))</f>
        <v>623149</v>
      </c>
    </row>
    <row r="1007">
      <c r="A1007" s="76">
        <v>45751.0</v>
      </c>
      <c r="B1007" s="1" t="s">
        <v>132</v>
      </c>
      <c r="C1007" s="1" t="s">
        <v>70</v>
      </c>
      <c r="D1007" s="1">
        <v>1.0</v>
      </c>
      <c r="E1007" s="1">
        <v>21032.0</v>
      </c>
      <c r="F1007" s="10">
        <f t="shared" si="1"/>
        <v>1</v>
      </c>
      <c r="G1007" s="10">
        <f t="array" ref="G1007">index('Player ID'!C:C,match(E1007,'Player ID'!B:B,0))</f>
        <v>661403</v>
      </c>
    </row>
    <row r="1008">
      <c r="A1008" s="76">
        <v>45751.0</v>
      </c>
      <c r="B1008" s="1" t="s">
        <v>695</v>
      </c>
      <c r="C1008" s="1" t="s">
        <v>25</v>
      </c>
      <c r="D1008" s="1">
        <v>5.1</v>
      </c>
      <c r="E1008" s="1">
        <v>22100.0</v>
      </c>
      <c r="F1008" s="10">
        <f t="shared" si="1"/>
        <v>5.333333333</v>
      </c>
      <c r="G1008" s="10">
        <f t="array" ref="G1008">index('Player ID'!C:C,match(E1008,'Player ID'!B:B,0))</f>
        <v>667755</v>
      </c>
    </row>
    <row r="1009">
      <c r="A1009" s="76">
        <v>45751.0</v>
      </c>
      <c r="B1009" s="1" t="s">
        <v>519</v>
      </c>
      <c r="C1009" s="1" t="s">
        <v>70</v>
      </c>
      <c r="D1009" s="1">
        <v>1.0</v>
      </c>
      <c r="E1009" s="1">
        <v>25139.0</v>
      </c>
      <c r="F1009" s="10">
        <f t="shared" si="1"/>
        <v>1</v>
      </c>
      <c r="G1009" s="10">
        <f t="array" ref="G1009">index('Player ID'!C:C,match(E1009,'Player ID'!B:B,0))</f>
        <v>682120</v>
      </c>
    </row>
    <row r="1010">
      <c r="A1010" s="76">
        <v>45751.0</v>
      </c>
      <c r="B1010" s="1" t="s">
        <v>385</v>
      </c>
      <c r="C1010" s="1" t="s">
        <v>25</v>
      </c>
      <c r="D1010" s="1">
        <v>0.1</v>
      </c>
      <c r="E1010" s="1">
        <v>25420.0</v>
      </c>
      <c r="F1010" s="10">
        <f t="shared" si="1"/>
        <v>0.3333333333</v>
      </c>
      <c r="G1010" s="10">
        <f t="array" ref="G1010">index('Player ID'!C:C,match(E1010,'Player ID'!B:B,0))</f>
        <v>666171</v>
      </c>
    </row>
    <row r="1011">
      <c r="A1011" s="76">
        <v>45751.0</v>
      </c>
      <c r="B1011" s="1" t="s">
        <v>238</v>
      </c>
      <c r="C1011" s="1" t="s">
        <v>70</v>
      </c>
      <c r="D1011" s="1">
        <v>1.0</v>
      </c>
      <c r="E1011" s="1">
        <v>25636.0</v>
      </c>
      <c r="F1011" s="10">
        <f t="shared" si="1"/>
        <v>1</v>
      </c>
      <c r="G1011" s="10">
        <f t="array" ref="G1011">index('Player ID'!C:C,match(E1011,'Player ID'!B:B,0))</f>
        <v>683769</v>
      </c>
    </row>
    <row r="1012">
      <c r="A1012" s="76">
        <v>45751.0</v>
      </c>
      <c r="B1012" s="1" t="s">
        <v>24</v>
      </c>
      <c r="C1012" s="1" t="s">
        <v>25</v>
      </c>
      <c r="D1012" s="1">
        <v>0.1</v>
      </c>
      <c r="E1012" s="1">
        <v>27468.0</v>
      </c>
      <c r="F1012" s="10">
        <f t="shared" si="1"/>
        <v>0.3333333333</v>
      </c>
      <c r="G1012" s="10">
        <f t="array" ref="G1012">index('Player ID'!C:C,match(E1012,'Player ID'!B:B,0))</f>
        <v>672282</v>
      </c>
    </row>
    <row r="1013">
      <c r="A1013" s="76">
        <v>45751.0</v>
      </c>
      <c r="B1013" s="1" t="s">
        <v>135</v>
      </c>
      <c r="C1013" s="1" t="s">
        <v>70</v>
      </c>
      <c r="D1013" s="1">
        <v>1.0</v>
      </c>
      <c r="E1013" s="1">
        <v>27867.0</v>
      </c>
      <c r="F1013" s="10">
        <f t="shared" si="1"/>
        <v>1</v>
      </c>
      <c r="G1013" s="10">
        <f t="array" ref="G1013">index('Player ID'!C:C,match(E1013,'Player ID'!B:B,0))</f>
        <v>671922</v>
      </c>
    </row>
    <row r="1014">
      <c r="A1014" s="76">
        <v>45751.0</v>
      </c>
      <c r="B1014" s="1" t="s">
        <v>376</v>
      </c>
      <c r="C1014" s="1" t="s">
        <v>70</v>
      </c>
      <c r="D1014" s="1">
        <v>3.0</v>
      </c>
      <c r="E1014" s="1">
        <v>30122.0</v>
      </c>
      <c r="F1014" s="10">
        <f t="shared" si="1"/>
        <v>3</v>
      </c>
      <c r="G1014" s="10">
        <f t="array" ref="G1014">index('Player ID'!C:C,match(E1014,'Player ID'!B:B,0))</f>
        <v>668909</v>
      </c>
    </row>
    <row r="1015">
      <c r="A1015" s="76">
        <v>45751.0</v>
      </c>
      <c r="B1015" s="1" t="s">
        <v>510</v>
      </c>
      <c r="C1015" s="1" t="s">
        <v>25</v>
      </c>
      <c r="D1015" s="1">
        <v>3.0</v>
      </c>
      <c r="E1015" s="1">
        <v>31508.0</v>
      </c>
      <c r="F1015" s="10">
        <f t="shared" si="1"/>
        <v>3</v>
      </c>
      <c r="G1015" s="10">
        <f t="array" ref="G1015">index('Player ID'!C:C,match(E1015,'Player ID'!B:B,0))</f>
        <v>702674</v>
      </c>
    </row>
    <row r="1016">
      <c r="A1016" s="76">
        <v>45752.0</v>
      </c>
      <c r="B1016" s="1" t="s">
        <v>666</v>
      </c>
      <c r="C1016" s="1" t="s">
        <v>62</v>
      </c>
      <c r="D1016" s="1">
        <v>2.0</v>
      </c>
      <c r="E1016" s="1">
        <v>12777.0</v>
      </c>
      <c r="F1016" s="10">
        <f t="shared" si="1"/>
        <v>2</v>
      </c>
      <c r="G1016" s="10">
        <f t="array" ref="G1016">index('Player ID'!C:C,match(E1016,'Player ID'!B:B,0))</f>
        <v>605154</v>
      </c>
    </row>
    <row r="1017">
      <c r="A1017" s="76">
        <v>45752.0</v>
      </c>
      <c r="B1017" s="1" t="s">
        <v>252</v>
      </c>
      <c r="C1017" s="1" t="s">
        <v>78</v>
      </c>
      <c r="D1017" s="1">
        <v>1.0</v>
      </c>
      <c r="E1017" s="1">
        <v>16061.0</v>
      </c>
      <c r="F1017" s="10">
        <f t="shared" si="1"/>
        <v>1</v>
      </c>
      <c r="G1017" s="10">
        <f t="array" ref="G1017">index('Player ID'!C:C,match(E1017,'Player ID'!B:B,0))</f>
        <v>592155</v>
      </c>
    </row>
    <row r="1018">
      <c r="A1018" s="76">
        <v>45752.0</v>
      </c>
      <c r="B1018" s="1" t="s">
        <v>335</v>
      </c>
      <c r="C1018" s="1" t="s">
        <v>78</v>
      </c>
      <c r="D1018" s="1">
        <v>5.0</v>
      </c>
      <c r="E1018" s="1">
        <v>21448.0</v>
      </c>
      <c r="F1018" s="10">
        <f t="shared" si="1"/>
        <v>5</v>
      </c>
      <c r="G1018" s="10">
        <f t="array" ref="G1018">index('Player ID'!C:C,match(E1018,'Player ID'!B:B,0))</f>
        <v>663436</v>
      </c>
    </row>
    <row r="1019">
      <c r="A1019" s="76">
        <v>45752.0</v>
      </c>
      <c r="B1019" s="1" t="s">
        <v>419</v>
      </c>
      <c r="C1019" s="1" t="s">
        <v>62</v>
      </c>
      <c r="D1019" s="1">
        <v>6.0</v>
      </c>
      <c r="E1019" s="1">
        <v>24968.0</v>
      </c>
      <c r="F1019" s="10">
        <f t="shared" si="1"/>
        <v>6</v>
      </c>
      <c r="G1019" s="10">
        <f t="array" ref="G1019">index('Player ID'!C:C,match(E1019,'Player ID'!B:B,0))</f>
        <v>681857</v>
      </c>
    </row>
    <row r="1020">
      <c r="A1020" s="76">
        <v>45752.0</v>
      </c>
      <c r="B1020" s="1" t="s">
        <v>667</v>
      </c>
      <c r="C1020" s="1" t="s">
        <v>62</v>
      </c>
      <c r="D1020" s="1">
        <v>1.0</v>
      </c>
      <c r="E1020" s="1">
        <v>26079.0</v>
      </c>
      <c r="F1020" s="10">
        <f t="shared" si="1"/>
        <v>1</v>
      </c>
      <c r="G1020" s="10">
        <f t="array" ref="G1020">index('Player ID'!C:C,match(E1020,'Player ID'!B:B,0))</f>
        <v>689225</v>
      </c>
    </row>
    <row r="1021">
      <c r="A1021" s="76">
        <v>45752.0</v>
      </c>
      <c r="B1021" s="1" t="s">
        <v>718</v>
      </c>
      <c r="C1021" s="1" t="s">
        <v>78</v>
      </c>
      <c r="D1021" s="1">
        <v>1.0</v>
      </c>
      <c r="E1021" s="1">
        <v>29530.0</v>
      </c>
      <c r="F1021" s="10">
        <f t="shared" si="1"/>
        <v>1</v>
      </c>
      <c r="G1021" s="10">
        <f t="array" ref="G1021">index('Player ID'!C:C,match(E1021,'Player ID'!B:B,0))</f>
        <v>686642</v>
      </c>
    </row>
    <row r="1022">
      <c r="A1022" s="76">
        <v>45752.0</v>
      </c>
      <c r="B1022" s="1" t="s">
        <v>317</v>
      </c>
      <c r="C1022" s="1" t="s">
        <v>78</v>
      </c>
      <c r="D1022" s="1">
        <v>1.0</v>
      </c>
      <c r="E1022" s="1">
        <v>29950.0</v>
      </c>
      <c r="F1022" s="10">
        <f t="shared" si="1"/>
        <v>1</v>
      </c>
      <c r="G1022" s="10">
        <f t="array" ref="G1022">index('Player ID'!C:C,match(E1022,'Player ID'!B:B,0))</f>
        <v>673929</v>
      </c>
    </row>
    <row r="1023">
      <c r="A1023" s="76">
        <v>45752.0</v>
      </c>
      <c r="B1023" s="1" t="s">
        <v>38</v>
      </c>
      <c r="C1023" s="1" t="s">
        <v>39</v>
      </c>
      <c r="D1023" s="1">
        <v>1.0</v>
      </c>
      <c r="E1023" s="1">
        <v>13580.0</v>
      </c>
      <c r="F1023" s="10">
        <f t="shared" si="1"/>
        <v>1</v>
      </c>
      <c r="G1023" s="10">
        <f t="array" ref="G1023">index('Player ID'!C:C,match(E1023,'Player ID'!B:B,0))</f>
        <v>595345</v>
      </c>
    </row>
    <row r="1024">
      <c r="A1024" s="76">
        <v>45752.0</v>
      </c>
      <c r="B1024" s="1" t="s">
        <v>447</v>
      </c>
      <c r="C1024" s="1" t="s">
        <v>39</v>
      </c>
      <c r="D1024" s="1">
        <v>0.1</v>
      </c>
      <c r="E1024" s="1">
        <v>13652.0</v>
      </c>
      <c r="F1024" s="10">
        <f t="shared" si="1"/>
        <v>0.3333333333</v>
      </c>
      <c r="G1024" s="10">
        <f t="array" ref="G1024">index('Player ID'!C:C,match(E1024,'Player ID'!B:B,0))</f>
        <v>605463</v>
      </c>
    </row>
    <row r="1025">
      <c r="A1025" s="76">
        <v>45752.0</v>
      </c>
      <c r="B1025" s="1" t="s">
        <v>146</v>
      </c>
      <c r="C1025" s="1" t="s">
        <v>16</v>
      </c>
      <c r="D1025" s="1">
        <v>1.0</v>
      </c>
      <c r="E1025" s="1">
        <v>15145.0</v>
      </c>
      <c r="F1025" s="10">
        <f t="shared" si="1"/>
        <v>1</v>
      </c>
      <c r="G1025" s="10">
        <f t="array" ref="G1025">index('Player ID'!C:C,match(E1025,'Player ID'!B:B,0))</f>
        <v>623437</v>
      </c>
    </row>
    <row r="1026">
      <c r="A1026" s="76">
        <v>45752.0</v>
      </c>
      <c r="B1026" s="1" t="s">
        <v>397</v>
      </c>
      <c r="C1026" s="1" t="s">
        <v>16</v>
      </c>
      <c r="D1026" s="1">
        <v>1.0</v>
      </c>
      <c r="E1026" s="1">
        <v>19459.0</v>
      </c>
      <c r="F1026" s="10">
        <f t="shared" si="1"/>
        <v>1</v>
      </c>
      <c r="G1026" s="10">
        <f t="array" ref="G1026">index('Player ID'!C:C,match(E1026,'Player ID'!B:B,0))</f>
        <v>660896</v>
      </c>
    </row>
    <row r="1027">
      <c r="A1027" s="76">
        <v>45752.0</v>
      </c>
      <c r="B1027" s="1" t="s">
        <v>122</v>
      </c>
      <c r="C1027" s="1" t="s">
        <v>16</v>
      </c>
      <c r="D1027" s="1">
        <v>1.0</v>
      </c>
      <c r="E1027" s="1">
        <v>21029.0</v>
      </c>
      <c r="F1027" s="10">
        <f t="shared" si="1"/>
        <v>1</v>
      </c>
      <c r="G1027" s="10">
        <f t="array" ref="G1027">index('Player ID'!C:C,match(E1027,'Player ID'!B:B,0))</f>
        <v>661395</v>
      </c>
    </row>
    <row r="1028">
      <c r="A1028" s="76">
        <v>45752.0</v>
      </c>
      <c r="B1028" s="1" t="s">
        <v>173</v>
      </c>
      <c r="C1028" s="1" t="s">
        <v>16</v>
      </c>
      <c r="D1028" s="1">
        <v>4.0</v>
      </c>
      <c r="E1028" s="1">
        <v>21224.0</v>
      </c>
      <c r="F1028" s="10">
        <f t="shared" si="1"/>
        <v>4</v>
      </c>
      <c r="G1028" s="10">
        <f t="array" ref="G1028">index('Player ID'!C:C,match(E1028,'Player ID'!B:B,0))</f>
        <v>641927</v>
      </c>
    </row>
    <row r="1029">
      <c r="A1029" s="76">
        <v>45752.0</v>
      </c>
      <c r="B1029" s="1" t="s">
        <v>237</v>
      </c>
      <c r="C1029" s="1" t="s">
        <v>16</v>
      </c>
      <c r="D1029" s="1">
        <v>1.0</v>
      </c>
      <c r="E1029" s="1">
        <v>21461.0</v>
      </c>
      <c r="F1029" s="10">
        <f t="shared" si="1"/>
        <v>1</v>
      </c>
      <c r="G1029" s="10">
        <f t="array" ref="G1029">index('Player ID'!C:C,match(E1029,'Player ID'!B:B,0))</f>
        <v>663485</v>
      </c>
    </row>
    <row r="1030">
      <c r="A1030" s="76">
        <v>45752.0</v>
      </c>
      <c r="B1030" s="1" t="s">
        <v>228</v>
      </c>
      <c r="C1030" s="1" t="s">
        <v>39</v>
      </c>
      <c r="D1030" s="1">
        <v>3.0</v>
      </c>
      <c r="E1030" s="1">
        <v>26440.0</v>
      </c>
      <c r="F1030" s="10">
        <f t="shared" si="1"/>
        <v>3</v>
      </c>
      <c r="G1030" s="10">
        <f t="array" ref="G1030">index('Player ID'!C:C,match(E1030,'Player ID'!B:B,0))</f>
        <v>687473</v>
      </c>
    </row>
    <row r="1031">
      <c r="A1031" s="76">
        <v>45752.0</v>
      </c>
      <c r="B1031" s="1" t="s">
        <v>47</v>
      </c>
      <c r="C1031" s="1" t="s">
        <v>16</v>
      </c>
      <c r="D1031" s="1">
        <v>1.0</v>
      </c>
      <c r="E1031" s="1">
        <v>27691.0</v>
      </c>
      <c r="F1031" s="10">
        <f t="shared" si="1"/>
        <v>1</v>
      </c>
      <c r="G1031" s="10">
        <f t="array" ref="G1031">index('Player ID'!C:C,match(E1031,'Player ID'!B:B,0))</f>
        <v>686973</v>
      </c>
    </row>
    <row r="1032">
      <c r="A1032" s="76">
        <v>45752.0</v>
      </c>
      <c r="B1032" s="1" t="s">
        <v>371</v>
      </c>
      <c r="C1032" s="1" t="s">
        <v>39</v>
      </c>
      <c r="D1032" s="1">
        <v>3.2</v>
      </c>
      <c r="E1032" s="1">
        <v>29921.0</v>
      </c>
      <c r="F1032" s="10">
        <f t="shared" si="1"/>
        <v>3.666666667</v>
      </c>
      <c r="G1032" s="10">
        <f t="array" ref="G1032">index('Player ID'!C:C,match(E1032,'Player ID'!B:B,0))</f>
        <v>681293</v>
      </c>
    </row>
    <row r="1033">
      <c r="A1033" s="76">
        <v>45752.0</v>
      </c>
      <c r="B1033" s="1" t="s">
        <v>71</v>
      </c>
      <c r="C1033" s="1" t="s">
        <v>34</v>
      </c>
      <c r="D1033" s="1">
        <v>1.0</v>
      </c>
      <c r="E1033" s="1">
        <v>10078.0</v>
      </c>
      <c r="F1033" s="10">
        <f t="shared" si="1"/>
        <v>1</v>
      </c>
      <c r="G1033" s="10">
        <f t="array" ref="G1033">index('Player ID'!C:C,match(E1033,'Player ID'!B:B,0))</f>
        <v>573204</v>
      </c>
    </row>
    <row r="1034">
      <c r="A1034" s="76">
        <v>45752.0</v>
      </c>
      <c r="B1034" s="1" t="s">
        <v>404</v>
      </c>
      <c r="C1034" s="1" t="s">
        <v>26</v>
      </c>
      <c r="D1034" s="1">
        <v>1.0</v>
      </c>
      <c r="E1034" s="1">
        <v>14295.0</v>
      </c>
      <c r="F1034" s="10">
        <f t="shared" si="1"/>
        <v>1</v>
      </c>
      <c r="G1034" s="10">
        <f t="array" ref="G1034">index('Player ID'!C:C,match(E1034,'Player ID'!B:B,0))</f>
        <v>593974</v>
      </c>
    </row>
    <row r="1035">
      <c r="A1035" s="76">
        <v>45752.0</v>
      </c>
      <c r="B1035" s="1" t="s">
        <v>246</v>
      </c>
      <c r="C1035" s="1" t="s">
        <v>34</v>
      </c>
      <c r="D1035" s="1">
        <v>6.0</v>
      </c>
      <c r="E1035" s="1">
        <v>15440.0</v>
      </c>
      <c r="F1035" s="10">
        <f t="shared" si="1"/>
        <v>6</v>
      </c>
      <c r="G1035" s="10">
        <f t="array" ref="G1035">index('Player ID'!C:C,match(E1035,'Player ID'!B:B,0))</f>
        <v>571510</v>
      </c>
    </row>
    <row r="1036">
      <c r="A1036" s="76">
        <v>45752.0</v>
      </c>
      <c r="B1036" s="1" t="s">
        <v>109</v>
      </c>
      <c r="C1036" s="1" t="s">
        <v>26</v>
      </c>
      <c r="D1036" s="1">
        <v>3.0</v>
      </c>
      <c r="E1036" s="1">
        <v>15454.0</v>
      </c>
      <c r="F1036" s="10">
        <f t="shared" si="1"/>
        <v>3</v>
      </c>
      <c r="G1036" s="10">
        <f t="array" ref="G1036">index('Player ID'!C:C,match(E1036,'Player ID'!B:B,0))</f>
        <v>601713</v>
      </c>
    </row>
    <row r="1037">
      <c r="A1037" s="76">
        <v>45752.0</v>
      </c>
      <c r="B1037" s="1" t="s">
        <v>297</v>
      </c>
      <c r="C1037" s="1" t="s">
        <v>34</v>
      </c>
      <c r="D1037" s="1">
        <v>1.0</v>
      </c>
      <c r="E1037" s="1">
        <v>15734.0</v>
      </c>
      <c r="F1037" s="10">
        <f t="shared" si="1"/>
        <v>1</v>
      </c>
      <c r="G1037" s="10">
        <f t="array" ref="G1037">index('Player ID'!C:C,match(E1037,'Player ID'!B:B,0))</f>
        <v>641745</v>
      </c>
    </row>
    <row r="1038">
      <c r="A1038" s="76">
        <v>45752.0</v>
      </c>
      <c r="B1038" s="1" t="s">
        <v>633</v>
      </c>
      <c r="C1038" s="1" t="s">
        <v>34</v>
      </c>
      <c r="D1038" s="1">
        <v>1.0</v>
      </c>
      <c r="E1038" s="1">
        <v>20160.0</v>
      </c>
      <c r="F1038" s="10">
        <f t="shared" si="1"/>
        <v>1</v>
      </c>
      <c r="G1038" s="10">
        <f t="array" ref="G1038">index('Player ID'!C:C,match(E1038,'Player ID'!B:B,0))</f>
        <v>663878</v>
      </c>
    </row>
    <row r="1039">
      <c r="A1039" s="76">
        <v>45752.0</v>
      </c>
      <c r="B1039" s="1" t="s">
        <v>622</v>
      </c>
      <c r="C1039" s="1" t="s">
        <v>26</v>
      </c>
      <c r="D1039" s="1">
        <v>2.2</v>
      </c>
      <c r="E1039" s="1">
        <v>23875.0</v>
      </c>
      <c r="F1039" s="10">
        <f t="shared" si="1"/>
        <v>2.666666667</v>
      </c>
      <c r="G1039" s="10">
        <f t="array" ref="G1039">index('Player ID'!C:C,match(E1039,'Player ID'!B:B,0))</f>
        <v>678316</v>
      </c>
    </row>
    <row r="1040">
      <c r="A1040" s="76">
        <v>45752.0</v>
      </c>
      <c r="B1040" s="1" t="s">
        <v>391</v>
      </c>
      <c r="C1040" s="1" t="s">
        <v>26</v>
      </c>
      <c r="D1040" s="1">
        <v>1.1</v>
      </c>
      <c r="E1040" s="1">
        <v>29628.0</v>
      </c>
      <c r="F1040" s="10">
        <f t="shared" si="1"/>
        <v>1.333333333</v>
      </c>
      <c r="G1040" s="10">
        <f t="array" ref="G1040">index('Player ID'!C:C,match(E1040,'Player ID'!B:B,0))</f>
        <v>689690</v>
      </c>
    </row>
    <row r="1041">
      <c r="A1041" s="76">
        <v>45752.0</v>
      </c>
      <c r="B1041" s="1" t="s">
        <v>368</v>
      </c>
      <c r="C1041" s="1" t="s">
        <v>64</v>
      </c>
      <c r="D1041" s="1">
        <v>5.0</v>
      </c>
      <c r="E1041" s="1">
        <v>13164.0</v>
      </c>
      <c r="F1041" s="10">
        <f t="shared" si="1"/>
        <v>5</v>
      </c>
      <c r="G1041" s="10">
        <f t="array" ref="G1041">index('Player ID'!C:C,match(E1041,'Player ID'!B:B,0))</f>
        <v>593958</v>
      </c>
    </row>
    <row r="1042">
      <c r="A1042" s="76">
        <v>45752.0</v>
      </c>
      <c r="B1042" s="1" t="s">
        <v>719</v>
      </c>
      <c r="C1042" s="1" t="s">
        <v>80</v>
      </c>
      <c r="D1042" s="1">
        <v>0.2</v>
      </c>
      <c r="E1042" s="1">
        <v>14527.0</v>
      </c>
      <c r="F1042" s="10">
        <f t="shared" si="1"/>
        <v>0.6666666667</v>
      </c>
      <c r="G1042" s="10">
        <f t="array" ref="G1042">index('Player ID'!C:C,match(E1042,'Player ID'!B:B,0))</f>
        <v>605347</v>
      </c>
    </row>
    <row r="1043">
      <c r="A1043" s="76">
        <v>45752.0</v>
      </c>
      <c r="B1043" s="1" t="s">
        <v>685</v>
      </c>
      <c r="C1043" s="1" t="s">
        <v>64</v>
      </c>
      <c r="D1043" s="1">
        <v>1.0</v>
      </c>
      <c r="E1043" s="1">
        <v>14857.0</v>
      </c>
      <c r="F1043" s="10">
        <f t="shared" si="1"/>
        <v>1</v>
      </c>
      <c r="G1043" s="10">
        <f t="array" ref="G1043">index('Player ID'!C:C,match(E1043,'Player ID'!B:B,0))</f>
        <v>573009</v>
      </c>
    </row>
    <row r="1044">
      <c r="A1044" s="76">
        <v>45752.0</v>
      </c>
      <c r="B1044" s="1" t="s">
        <v>139</v>
      </c>
      <c r="C1044" s="1" t="s">
        <v>80</v>
      </c>
      <c r="D1044" s="1">
        <v>1.0</v>
      </c>
      <c r="E1044" s="1">
        <v>15009.0</v>
      </c>
      <c r="F1044" s="10">
        <f t="shared" si="1"/>
        <v>1</v>
      </c>
      <c r="G1044" s="10">
        <f t="array" ref="G1044">index('Player ID'!C:C,match(E1044,'Player ID'!B:B,0))</f>
        <v>640448</v>
      </c>
    </row>
    <row r="1045">
      <c r="A1045" s="76">
        <v>45752.0</v>
      </c>
      <c r="B1045" s="1" t="s">
        <v>508</v>
      </c>
      <c r="C1045" s="1" t="s">
        <v>80</v>
      </c>
      <c r="D1045" s="1">
        <v>1.0</v>
      </c>
      <c r="E1045" s="1">
        <v>23135.0</v>
      </c>
      <c r="F1045" s="10">
        <f t="shared" si="1"/>
        <v>1</v>
      </c>
      <c r="G1045" s="10">
        <f t="array" ref="G1045">index('Player ID'!C:C,match(E1045,'Player ID'!B:B,0))</f>
        <v>674285</v>
      </c>
    </row>
    <row r="1046">
      <c r="A1046" s="76">
        <v>45752.0</v>
      </c>
      <c r="B1046" s="1" t="s">
        <v>86</v>
      </c>
      <c r="C1046" s="1" t="s">
        <v>80</v>
      </c>
      <c r="D1046" s="1">
        <v>0.1</v>
      </c>
      <c r="E1046" s="1">
        <v>24017.0</v>
      </c>
      <c r="F1046" s="10">
        <f t="shared" si="1"/>
        <v>0.3333333333</v>
      </c>
      <c r="G1046" s="10">
        <f t="array" ref="G1046">index('Player ID'!C:C,match(E1046,'Player ID'!B:B,0))</f>
        <v>678606</v>
      </c>
    </row>
    <row r="1047">
      <c r="A1047" s="76">
        <v>45752.0</v>
      </c>
      <c r="B1047" s="1" t="s">
        <v>598</v>
      </c>
      <c r="C1047" s="1" t="s">
        <v>64</v>
      </c>
      <c r="D1047" s="1">
        <v>2.0</v>
      </c>
      <c r="E1047" s="1">
        <v>27477.0</v>
      </c>
      <c r="F1047" s="10">
        <f t="shared" si="1"/>
        <v>2</v>
      </c>
      <c r="G1047" s="10">
        <f t="array" ref="G1047">index('Player ID'!C:C,match(E1047,'Player ID'!B:B,0))</f>
        <v>686826</v>
      </c>
    </row>
    <row r="1048">
      <c r="A1048" s="76">
        <v>45752.0</v>
      </c>
      <c r="B1048" s="1" t="s">
        <v>330</v>
      </c>
      <c r="C1048" s="1" t="s">
        <v>80</v>
      </c>
      <c r="D1048" s="1">
        <v>6.0</v>
      </c>
      <c r="E1048" s="1">
        <v>27636.0</v>
      </c>
      <c r="F1048" s="10">
        <f t="shared" si="1"/>
        <v>6</v>
      </c>
      <c r="G1048" s="10">
        <f t="array" ref="G1048">index('Player ID'!C:C,match(E1048,'Player ID'!B:B,0))</f>
        <v>680730</v>
      </c>
    </row>
    <row r="1049">
      <c r="A1049" s="76">
        <v>45752.0</v>
      </c>
      <c r="B1049" s="1" t="s">
        <v>360</v>
      </c>
      <c r="C1049" s="1" t="s">
        <v>45</v>
      </c>
      <c r="D1049" s="1">
        <v>2.0</v>
      </c>
      <c r="E1049" s="1">
        <v>12972.0</v>
      </c>
      <c r="F1049" s="10">
        <f t="shared" si="1"/>
        <v>2</v>
      </c>
      <c r="G1049" s="10">
        <f t="array" ref="G1049">index('Player ID'!C:C,match(E1049,'Player ID'!B:B,0))</f>
        <v>605452</v>
      </c>
    </row>
    <row r="1050">
      <c r="A1050" s="76">
        <v>45752.0</v>
      </c>
      <c r="B1050" s="1" t="s">
        <v>310</v>
      </c>
      <c r="C1050" s="1" t="s">
        <v>33</v>
      </c>
      <c r="D1050" s="1">
        <v>1.0</v>
      </c>
      <c r="E1050" s="1">
        <v>14706.0</v>
      </c>
      <c r="F1050" s="10">
        <f t="shared" si="1"/>
        <v>1</v>
      </c>
      <c r="G1050" s="10">
        <f t="array" ref="G1050">index('Player ID'!C:C,match(E1050,'Player ID'!B:B,0))</f>
        <v>607455</v>
      </c>
    </row>
    <row r="1051">
      <c r="A1051" s="76">
        <v>45752.0</v>
      </c>
      <c r="B1051" s="1" t="s">
        <v>98</v>
      </c>
      <c r="C1051" s="1" t="s">
        <v>45</v>
      </c>
      <c r="D1051" s="1">
        <v>6.0</v>
      </c>
      <c r="E1051" s="1">
        <v>16149.0</v>
      </c>
      <c r="F1051" s="10">
        <f t="shared" si="1"/>
        <v>6</v>
      </c>
      <c r="G1051" s="10">
        <f t="array" ref="G1051">index('Player ID'!C:C,match(E1051,'Player ID'!B:B,0))</f>
        <v>605400</v>
      </c>
    </row>
    <row r="1052">
      <c r="A1052" s="76">
        <v>45752.0</v>
      </c>
      <c r="B1052" s="1" t="s">
        <v>138</v>
      </c>
      <c r="C1052" s="1" t="s">
        <v>45</v>
      </c>
      <c r="D1052" s="1">
        <v>1.0</v>
      </c>
      <c r="E1052" s="1">
        <v>16990.0</v>
      </c>
      <c r="F1052" s="10">
        <f t="shared" si="1"/>
        <v>1</v>
      </c>
      <c r="G1052" s="10">
        <f t="array" ref="G1052">index('Player ID'!C:C,match(E1052,'Player ID'!B:B,0))</f>
        <v>621383</v>
      </c>
    </row>
    <row r="1053">
      <c r="A1053" s="76">
        <v>45752.0</v>
      </c>
      <c r="B1053" s="1" t="s">
        <v>32</v>
      </c>
      <c r="C1053" s="1" t="s">
        <v>33</v>
      </c>
      <c r="D1053" s="1">
        <v>1.0</v>
      </c>
      <c r="E1053" s="1">
        <v>17586.0</v>
      </c>
      <c r="F1053" s="10">
        <f t="shared" si="1"/>
        <v>1</v>
      </c>
      <c r="G1053" s="10">
        <f t="array" ref="G1053">index('Player ID'!C:C,match(E1053,'Player ID'!B:B,0))</f>
        <v>656945</v>
      </c>
    </row>
    <row r="1054">
      <c r="A1054" s="76">
        <v>45752.0</v>
      </c>
      <c r="B1054" s="1" t="s">
        <v>92</v>
      </c>
      <c r="C1054" s="1" t="s">
        <v>33</v>
      </c>
      <c r="D1054" s="1">
        <v>1.0</v>
      </c>
      <c r="E1054" s="1">
        <v>25007.0</v>
      </c>
      <c r="F1054" s="10">
        <f t="shared" si="1"/>
        <v>1</v>
      </c>
      <c r="G1054" s="10">
        <f t="array" ref="G1054">index('Player ID'!C:C,match(E1054,'Player ID'!B:B,0))</f>
        <v>681911</v>
      </c>
    </row>
    <row r="1055">
      <c r="A1055" s="76">
        <v>45752.0</v>
      </c>
      <c r="B1055" s="1" t="s">
        <v>104</v>
      </c>
      <c r="C1055" s="1" t="s">
        <v>33</v>
      </c>
      <c r="D1055" s="1">
        <v>2.0</v>
      </c>
      <c r="E1055" s="1">
        <v>30085.0</v>
      </c>
      <c r="F1055" s="10">
        <f t="shared" si="1"/>
        <v>2</v>
      </c>
      <c r="G1055" s="10">
        <f t="array" ref="G1055">index('Player ID'!C:C,match(E1055,'Player ID'!B:B,0))</f>
        <v>676508</v>
      </c>
    </row>
    <row r="1056">
      <c r="A1056" s="76">
        <v>45752.0</v>
      </c>
      <c r="B1056" s="1" t="s">
        <v>522</v>
      </c>
      <c r="C1056" s="1" t="s">
        <v>33</v>
      </c>
      <c r="D1056" s="1">
        <v>4.0</v>
      </c>
      <c r="E1056" s="1">
        <v>35323.0</v>
      </c>
      <c r="F1056" s="10">
        <f t="shared" si="1"/>
        <v>4</v>
      </c>
      <c r="G1056" s="10">
        <f t="array" ref="G1056">index('Player ID'!C:C,match(E1056,'Player ID'!B:B,0))</f>
        <v>808963</v>
      </c>
    </row>
    <row r="1057">
      <c r="A1057" s="76">
        <v>45752.0</v>
      </c>
      <c r="B1057" s="1" t="s">
        <v>422</v>
      </c>
      <c r="C1057" s="1" t="s">
        <v>58</v>
      </c>
      <c r="D1057" s="1">
        <v>1.0</v>
      </c>
      <c r="E1057" s="1">
        <v>7048.0</v>
      </c>
      <c r="F1057" s="10">
        <f t="shared" si="1"/>
        <v>1</v>
      </c>
      <c r="G1057" s="10">
        <f t="array" ref="G1057">index('Player ID'!C:C,match(E1057,'Player ID'!B:B,0))</f>
        <v>518585</v>
      </c>
    </row>
    <row r="1058">
      <c r="A1058" s="76">
        <v>45752.0</v>
      </c>
      <c r="B1058" s="1" t="s">
        <v>383</v>
      </c>
      <c r="C1058" s="1" t="s">
        <v>58</v>
      </c>
      <c r="D1058" s="1">
        <v>4.0</v>
      </c>
      <c r="E1058" s="1">
        <v>13431.0</v>
      </c>
      <c r="F1058" s="10">
        <f t="shared" si="1"/>
        <v>4</v>
      </c>
      <c r="G1058" s="10">
        <f t="array" ref="G1058">index('Player ID'!C:C,match(E1058,'Player ID'!B:B,0))</f>
        <v>573186</v>
      </c>
    </row>
    <row r="1059">
      <c r="A1059" s="76">
        <v>45752.0</v>
      </c>
      <c r="B1059" s="1" t="s">
        <v>467</v>
      </c>
      <c r="C1059" s="1" t="s">
        <v>58</v>
      </c>
      <c r="D1059" s="1">
        <v>1.0</v>
      </c>
      <c r="E1059" s="1">
        <v>15551.0</v>
      </c>
      <c r="F1059" s="10">
        <f t="shared" si="1"/>
        <v>1</v>
      </c>
      <c r="G1059" s="10">
        <f t="array" ref="G1059">index('Player ID'!C:C,match(E1059,'Player ID'!B:B,0))</f>
        <v>643410</v>
      </c>
    </row>
    <row r="1060">
      <c r="A1060" s="76">
        <v>45752.0</v>
      </c>
      <c r="B1060" s="1" t="s">
        <v>443</v>
      </c>
      <c r="C1060" s="1" t="s">
        <v>60</v>
      </c>
      <c r="D1060" s="1">
        <v>1.0</v>
      </c>
      <c r="E1060" s="1">
        <v>16350.0</v>
      </c>
      <c r="F1060" s="10">
        <f t="shared" si="1"/>
        <v>1</v>
      </c>
      <c r="G1060" s="10">
        <f t="array" ref="G1060">index('Player ID'!C:C,match(E1060,'Player ID'!B:B,0))</f>
        <v>621366</v>
      </c>
    </row>
    <row r="1061">
      <c r="A1061" s="76">
        <v>45752.0</v>
      </c>
      <c r="B1061" s="1" t="s">
        <v>192</v>
      </c>
      <c r="C1061" s="1" t="s">
        <v>58</v>
      </c>
      <c r="D1061" s="1">
        <v>2.0</v>
      </c>
      <c r="E1061" s="1">
        <v>16502.0</v>
      </c>
      <c r="F1061" s="10">
        <f t="shared" si="1"/>
        <v>2</v>
      </c>
      <c r="G1061" s="10">
        <f t="array" ref="G1061">index('Player ID'!C:C,match(E1061,'Player ID'!B:B,0))</f>
        <v>642232</v>
      </c>
    </row>
    <row r="1062">
      <c r="A1062" s="76">
        <v>45752.0</v>
      </c>
      <c r="B1062" s="1" t="s">
        <v>69</v>
      </c>
      <c r="C1062" s="1" t="s">
        <v>58</v>
      </c>
      <c r="D1062" s="1">
        <v>1.0</v>
      </c>
      <c r="E1062" s="1">
        <v>16814.0</v>
      </c>
      <c r="F1062" s="10">
        <f t="shared" si="1"/>
        <v>1</v>
      </c>
      <c r="G1062" s="10">
        <f t="array" ref="G1062">index('Player ID'!C:C,match(E1062,'Player ID'!B:B,0))</f>
        <v>657612</v>
      </c>
    </row>
    <row r="1063">
      <c r="A1063" s="76">
        <v>45752.0</v>
      </c>
      <c r="B1063" s="1" t="s">
        <v>686</v>
      </c>
      <c r="C1063" s="1" t="s">
        <v>60</v>
      </c>
      <c r="D1063" s="1">
        <v>1.0</v>
      </c>
      <c r="E1063" s="1">
        <v>17639.0</v>
      </c>
      <c r="F1063" s="10">
        <f t="shared" si="1"/>
        <v>1</v>
      </c>
      <c r="G1063" s="10">
        <f t="array" ref="G1063">index('Player ID'!C:C,match(E1063,'Player ID'!B:B,0))</f>
        <v>664875</v>
      </c>
    </row>
    <row r="1064">
      <c r="A1064" s="76">
        <v>45752.0</v>
      </c>
      <c r="B1064" s="1" t="s">
        <v>217</v>
      </c>
      <c r="C1064" s="1" t="s">
        <v>60</v>
      </c>
      <c r="D1064" s="1">
        <v>1.0</v>
      </c>
      <c r="E1064" s="1">
        <v>17878.0</v>
      </c>
      <c r="F1064" s="10">
        <f t="shared" si="1"/>
        <v>1</v>
      </c>
      <c r="G1064" s="10">
        <f t="array" ref="G1064">index('Player ID'!C:C,match(E1064,'Player ID'!B:B,0))</f>
        <v>642701</v>
      </c>
    </row>
    <row r="1065">
      <c r="A1065" s="76">
        <v>45752.0</v>
      </c>
      <c r="B1065" s="1" t="s">
        <v>107</v>
      </c>
      <c r="C1065" s="1" t="s">
        <v>60</v>
      </c>
      <c r="D1065" s="1">
        <v>1.0</v>
      </c>
      <c r="E1065" s="1">
        <v>19349.0</v>
      </c>
      <c r="F1065" s="10">
        <f t="shared" si="1"/>
        <v>1</v>
      </c>
      <c r="G1065" s="10">
        <f t="array" ref="G1065">index('Player ID'!C:C,match(E1065,'Player ID'!B:B,0))</f>
        <v>657571</v>
      </c>
    </row>
    <row r="1066">
      <c r="A1066" s="76">
        <v>45752.0</v>
      </c>
      <c r="B1066" s="1" t="s">
        <v>220</v>
      </c>
      <c r="C1066" s="1" t="s">
        <v>60</v>
      </c>
      <c r="D1066" s="1">
        <v>4.0</v>
      </c>
      <c r="E1066" s="1">
        <v>20070.0</v>
      </c>
      <c r="F1066" s="10">
        <f t="shared" si="1"/>
        <v>4</v>
      </c>
      <c r="G1066" s="10">
        <f t="array" ref="G1066">index('Player ID'!C:C,match(E1066,'Player ID'!B:B,0))</f>
        <v>663559</v>
      </c>
    </row>
    <row r="1067">
      <c r="A1067" s="76">
        <v>45752.0</v>
      </c>
      <c r="B1067" s="1" t="s">
        <v>663</v>
      </c>
      <c r="C1067" s="1" t="s">
        <v>60</v>
      </c>
      <c r="D1067" s="1">
        <v>1.0</v>
      </c>
      <c r="E1067" s="1">
        <v>22361.0</v>
      </c>
      <c r="F1067" s="10">
        <f t="shared" si="1"/>
        <v>1</v>
      </c>
      <c r="G1067" s="10">
        <f t="array" ref="G1067">index('Player ID'!C:C,match(E1067,'Player ID'!B:B,0))</f>
        <v>670059</v>
      </c>
    </row>
    <row r="1068">
      <c r="A1068" s="76">
        <v>45752.0</v>
      </c>
      <c r="B1068" s="1" t="s">
        <v>723</v>
      </c>
      <c r="C1068" s="1" t="s">
        <v>68</v>
      </c>
      <c r="D1068" s="1">
        <v>1.0</v>
      </c>
      <c r="E1068" s="1">
        <v>13528.0</v>
      </c>
      <c r="F1068" s="10">
        <f t="shared" si="1"/>
        <v>1</v>
      </c>
      <c r="G1068" s="10">
        <f t="array" ref="G1068">index('Player ID'!C:C,match(E1068,'Player ID'!B:B,0))</f>
        <v>621199</v>
      </c>
    </row>
    <row r="1069">
      <c r="A1069" s="76">
        <v>45752.0</v>
      </c>
      <c r="B1069" s="1" t="s">
        <v>726</v>
      </c>
      <c r="C1069" s="1" t="s">
        <v>29</v>
      </c>
      <c r="D1069" s="1">
        <v>2.0</v>
      </c>
      <c r="E1069" s="1">
        <v>13761.0</v>
      </c>
      <c r="F1069" s="10">
        <f t="shared" si="1"/>
        <v>2</v>
      </c>
      <c r="G1069" s="10">
        <f t="array" ref="G1069">index('Player ID'!C:C,match(E1069,'Player ID'!B:B,0))</f>
        <v>608717</v>
      </c>
    </row>
    <row r="1070">
      <c r="A1070" s="76">
        <v>45752.0</v>
      </c>
      <c r="B1070" s="1" t="s">
        <v>147</v>
      </c>
      <c r="C1070" s="1" t="s">
        <v>29</v>
      </c>
      <c r="D1070" s="1">
        <v>5.2</v>
      </c>
      <c r="E1070" s="1">
        <v>14078.0</v>
      </c>
      <c r="F1070" s="10">
        <f t="shared" si="1"/>
        <v>5.666666667</v>
      </c>
      <c r="G1070" s="10">
        <f t="array" ref="G1070">index('Player ID'!C:C,match(E1070,'Player ID'!B:B,0))</f>
        <v>608379</v>
      </c>
    </row>
    <row r="1071">
      <c r="A1071" s="76">
        <v>45752.0</v>
      </c>
      <c r="B1071" s="1" t="s">
        <v>231</v>
      </c>
      <c r="C1071" s="1" t="s">
        <v>68</v>
      </c>
      <c r="D1071" s="1">
        <v>2.0</v>
      </c>
      <c r="E1071" s="1">
        <v>19362.0</v>
      </c>
      <c r="F1071" s="10">
        <f t="shared" si="1"/>
        <v>2</v>
      </c>
      <c r="G1071" s="10">
        <f t="array" ref="G1071">index('Player ID'!C:C,match(E1071,'Player ID'!B:B,0))</f>
        <v>669211</v>
      </c>
    </row>
    <row r="1072">
      <c r="A1072" s="76">
        <v>45752.0</v>
      </c>
      <c r="B1072" s="1" t="s">
        <v>240</v>
      </c>
      <c r="C1072" s="1" t="s">
        <v>68</v>
      </c>
      <c r="D1072" s="1">
        <v>0.2</v>
      </c>
      <c r="E1072" s="1">
        <v>19804.0</v>
      </c>
      <c r="F1072" s="10">
        <f t="shared" si="1"/>
        <v>0.6666666667</v>
      </c>
      <c r="G1072" s="10">
        <f t="array" ref="G1072">index('Player ID'!C:C,match(E1072,'Player ID'!B:B,0))</f>
        <v>641329</v>
      </c>
    </row>
    <row r="1073">
      <c r="A1073" s="76">
        <v>45752.0</v>
      </c>
      <c r="B1073" s="1" t="s">
        <v>293</v>
      </c>
      <c r="C1073" s="1" t="s">
        <v>29</v>
      </c>
      <c r="D1073" s="1">
        <v>1.0</v>
      </c>
      <c r="E1073" s="1">
        <v>21537.0</v>
      </c>
      <c r="F1073" s="10">
        <f t="shared" si="1"/>
        <v>1</v>
      </c>
      <c r="G1073" s="10">
        <f t="array" ref="G1073">index('Player ID'!C:C,match(E1073,'Player ID'!B:B,0))</f>
        <v>663738</v>
      </c>
    </row>
    <row r="1074">
      <c r="A1074" s="76">
        <v>45752.0</v>
      </c>
      <c r="B1074" s="1" t="s">
        <v>442</v>
      </c>
      <c r="C1074" s="1" t="s">
        <v>29</v>
      </c>
      <c r="D1074" s="1">
        <v>0.1</v>
      </c>
      <c r="E1074" s="1">
        <v>25379.0</v>
      </c>
      <c r="F1074" s="10">
        <f t="shared" si="1"/>
        <v>0.3333333333</v>
      </c>
      <c r="G1074" s="10">
        <f t="array" ref="G1074">index('Player ID'!C:C,match(E1074,'Player ID'!B:B,0))</f>
        <v>669674</v>
      </c>
    </row>
    <row r="1075">
      <c r="A1075" s="76">
        <v>45752.0</v>
      </c>
      <c r="B1075" s="1" t="s">
        <v>158</v>
      </c>
      <c r="C1075" s="1" t="s">
        <v>68</v>
      </c>
      <c r="D1075" s="1">
        <v>5.1</v>
      </c>
      <c r="E1075" s="1">
        <v>35321.0</v>
      </c>
      <c r="F1075" s="10">
        <f t="shared" si="1"/>
        <v>5.333333333</v>
      </c>
      <c r="G1075" s="10">
        <f t="array" ref="G1075">index('Player ID'!C:C,match(E1075,'Player ID'!B:B,0))</f>
        <v>608372</v>
      </c>
    </row>
    <row r="1076">
      <c r="A1076" s="76">
        <v>45752.0</v>
      </c>
      <c r="B1076" s="1" t="s">
        <v>57</v>
      </c>
      <c r="C1076" s="1" t="s">
        <v>56</v>
      </c>
      <c r="D1076" s="1">
        <v>5.2</v>
      </c>
      <c r="E1076" s="1">
        <v>10954.0</v>
      </c>
      <c r="F1076" s="10">
        <f t="shared" si="1"/>
        <v>5.666666667</v>
      </c>
      <c r="G1076" s="10">
        <f t="array" ref="G1076">index('Player ID'!C:C,match(E1076,'Player ID'!B:B,0))</f>
        <v>594798</v>
      </c>
    </row>
    <row r="1077">
      <c r="A1077" s="76">
        <v>45752.0</v>
      </c>
      <c r="B1077" s="1" t="s">
        <v>162</v>
      </c>
      <c r="C1077" s="1" t="s">
        <v>56</v>
      </c>
      <c r="D1077" s="1">
        <v>1.0</v>
      </c>
      <c r="E1077" s="1">
        <v>11752.0</v>
      </c>
      <c r="F1077" s="10">
        <f t="shared" si="1"/>
        <v>1</v>
      </c>
      <c r="G1077" s="10">
        <f t="array" ref="G1077">index('Player ID'!C:C,match(E1077,'Player ID'!B:B,0))</f>
        <v>592426</v>
      </c>
    </row>
    <row r="1078">
      <c r="A1078" s="76">
        <v>45752.0</v>
      </c>
      <c r="B1078" s="1" t="s">
        <v>74</v>
      </c>
      <c r="C1078" s="1" t="s">
        <v>56</v>
      </c>
      <c r="D1078" s="1">
        <v>1.0</v>
      </c>
      <c r="E1078" s="1">
        <v>11847.0</v>
      </c>
      <c r="F1078" s="10">
        <f t="shared" si="1"/>
        <v>1</v>
      </c>
      <c r="G1078" s="10">
        <f t="array" ref="G1078">index('Player ID'!C:C,match(E1078,'Player ID'!B:B,0))</f>
        <v>455119</v>
      </c>
    </row>
    <row r="1079">
      <c r="A1079" s="76">
        <v>45752.0</v>
      </c>
      <c r="B1079" s="1" t="s">
        <v>87</v>
      </c>
      <c r="C1079" s="1" t="s">
        <v>56</v>
      </c>
      <c r="D1079" s="1">
        <v>1.0</v>
      </c>
      <c r="E1079" s="1">
        <v>19274.0</v>
      </c>
      <c r="F1079" s="10">
        <f t="shared" si="1"/>
        <v>1</v>
      </c>
      <c r="G1079" s="10">
        <f t="array" ref="G1079">index('Player ID'!C:C,match(E1079,'Player ID'!B:B,0))</f>
        <v>657097</v>
      </c>
    </row>
    <row r="1080">
      <c r="A1080" s="76">
        <v>45752.0</v>
      </c>
      <c r="B1080" s="1" t="s">
        <v>400</v>
      </c>
      <c r="C1080" s="1" t="s">
        <v>54</v>
      </c>
      <c r="D1080" s="1">
        <v>1.0</v>
      </c>
      <c r="E1080" s="1">
        <v>20539.0</v>
      </c>
      <c r="F1080" s="10">
        <f t="shared" si="1"/>
        <v>1</v>
      </c>
      <c r="G1080" s="10">
        <f t="array" ref="G1080">index('Player ID'!C:C,match(E1080,'Player ID'!B:B,0))</f>
        <v>670955</v>
      </c>
    </row>
    <row r="1081">
      <c r="A1081" s="76">
        <v>45752.0</v>
      </c>
      <c r="B1081" s="1" t="s">
        <v>413</v>
      </c>
      <c r="C1081" s="1" t="s">
        <v>54</v>
      </c>
      <c r="D1081" s="1">
        <v>5.0</v>
      </c>
      <c r="E1081" s="1">
        <v>22543.0</v>
      </c>
      <c r="F1081" s="10">
        <f t="shared" si="1"/>
        <v>5</v>
      </c>
      <c r="G1081" s="10">
        <f t="array" ref="G1081">index('Player ID'!C:C,match(E1081,'Player ID'!B:B,0))</f>
        <v>671737</v>
      </c>
    </row>
    <row r="1082">
      <c r="A1082" s="76">
        <v>45752.0</v>
      </c>
      <c r="B1082" s="1" t="s">
        <v>268</v>
      </c>
      <c r="C1082" s="1" t="s">
        <v>56</v>
      </c>
      <c r="D1082" s="1">
        <v>0.1</v>
      </c>
      <c r="E1082" s="1">
        <v>23363.0</v>
      </c>
      <c r="F1082" s="10">
        <f t="shared" si="1"/>
        <v>0.3333333333</v>
      </c>
      <c r="G1082" s="10">
        <f t="array" ref="G1082">index('Player ID'!C:C,match(E1082,'Player ID'!B:B,0))</f>
        <v>676395</v>
      </c>
    </row>
    <row r="1083">
      <c r="A1083" s="76">
        <v>45752.0</v>
      </c>
      <c r="B1083" s="1" t="s">
        <v>110</v>
      </c>
      <c r="C1083" s="1" t="s">
        <v>54</v>
      </c>
      <c r="D1083" s="1">
        <v>1.0</v>
      </c>
      <c r="E1083" s="1">
        <v>25679.0</v>
      </c>
      <c r="F1083" s="10">
        <f t="shared" si="1"/>
        <v>1</v>
      </c>
      <c r="G1083" s="10">
        <f t="array" ref="G1083">index('Player ID'!C:C,match(E1083,'Player ID'!B:B,0))</f>
        <v>687330</v>
      </c>
    </row>
    <row r="1084">
      <c r="A1084" s="76">
        <v>45752.0</v>
      </c>
      <c r="B1084" s="1" t="s">
        <v>334</v>
      </c>
      <c r="C1084" s="1" t="s">
        <v>54</v>
      </c>
      <c r="D1084" s="1">
        <v>1.0</v>
      </c>
      <c r="E1084" s="1">
        <v>29770.0</v>
      </c>
      <c r="F1084" s="10">
        <f t="shared" si="1"/>
        <v>1</v>
      </c>
      <c r="G1084" s="10">
        <f t="array" ref="G1084">index('Player ID'!C:C,match(E1084,'Player ID'!B:B,0))</f>
        <v>682254</v>
      </c>
    </row>
    <row r="1085">
      <c r="A1085" s="76">
        <v>45752.0</v>
      </c>
      <c r="B1085" s="1" t="s">
        <v>646</v>
      </c>
      <c r="C1085" s="1" t="s">
        <v>51</v>
      </c>
      <c r="D1085" s="1">
        <v>2.1</v>
      </c>
      <c r="E1085" s="1">
        <v>6107.0</v>
      </c>
      <c r="F1085" s="10">
        <f t="shared" si="1"/>
        <v>2.333333333</v>
      </c>
      <c r="G1085" s="10">
        <f t="array" ref="G1085">index('Player ID'!C:C,match(E1085,'Player ID'!B:B,0))</f>
        <v>623211</v>
      </c>
    </row>
    <row r="1086">
      <c r="A1086" s="76">
        <v>45752.0</v>
      </c>
      <c r="B1086" s="1" t="s">
        <v>673</v>
      </c>
      <c r="C1086" s="1" t="s">
        <v>40</v>
      </c>
      <c r="D1086" s="1">
        <v>0.1</v>
      </c>
      <c r="E1086" s="1">
        <v>12095.0</v>
      </c>
      <c r="F1086" s="10">
        <f t="shared" si="1"/>
        <v>0.3333333333</v>
      </c>
      <c r="G1086" s="10">
        <f t="array" ref="G1086">index('Player ID'!C:C,match(E1086,'Player ID'!B:B,0))</f>
        <v>554340</v>
      </c>
    </row>
    <row r="1087">
      <c r="A1087" s="76">
        <v>45752.0</v>
      </c>
      <c r="B1087" s="1" t="s">
        <v>456</v>
      </c>
      <c r="C1087" s="1" t="s">
        <v>40</v>
      </c>
      <c r="D1087" s="1">
        <v>6.2</v>
      </c>
      <c r="E1087" s="1">
        <v>12304.0</v>
      </c>
      <c r="F1087" s="10">
        <f t="shared" si="1"/>
        <v>6.666666667</v>
      </c>
      <c r="G1087" s="10">
        <f t="array" ref="G1087">index('Player ID'!C:C,match(E1087,'Player ID'!B:B,0))</f>
        <v>605135</v>
      </c>
    </row>
    <row r="1088">
      <c r="A1088" s="76">
        <v>45752.0</v>
      </c>
      <c r="B1088" s="1" t="s">
        <v>679</v>
      </c>
      <c r="C1088" s="1" t="s">
        <v>51</v>
      </c>
      <c r="D1088" s="1">
        <v>1.0</v>
      </c>
      <c r="E1088" s="1">
        <v>14710.0</v>
      </c>
      <c r="F1088" s="10">
        <f t="shared" si="1"/>
        <v>1</v>
      </c>
      <c r="G1088" s="10">
        <f t="array" ref="G1088">index('Player ID'!C:C,match(E1088,'Player ID'!B:B,0))</f>
        <v>621242</v>
      </c>
    </row>
    <row r="1089">
      <c r="A1089" s="76">
        <v>45752.0</v>
      </c>
      <c r="B1089" s="1" t="s">
        <v>311</v>
      </c>
      <c r="C1089" s="1" t="s">
        <v>40</v>
      </c>
      <c r="D1089" s="1">
        <v>0.1</v>
      </c>
      <c r="E1089" s="1">
        <v>17432.0</v>
      </c>
      <c r="F1089" s="10">
        <f t="shared" si="1"/>
        <v>0.3333333333</v>
      </c>
      <c r="G1089" s="10">
        <f t="array" ref="G1089">index('Player ID'!C:C,match(E1089,'Player ID'!B:B,0))</f>
        <v>656546</v>
      </c>
    </row>
    <row r="1090">
      <c r="A1090" s="76">
        <v>45752.0</v>
      </c>
      <c r="B1090" s="1" t="s">
        <v>382</v>
      </c>
      <c r="C1090" s="1" t="s">
        <v>51</v>
      </c>
      <c r="D1090" s="1">
        <v>4.0</v>
      </c>
      <c r="E1090" s="1">
        <v>19867.0</v>
      </c>
      <c r="F1090" s="10">
        <f t="shared" si="1"/>
        <v>4</v>
      </c>
      <c r="G1090" s="10">
        <f t="array" ref="G1090">index('Player ID'!C:C,match(E1090,'Player ID'!B:B,0))</f>
        <v>656288</v>
      </c>
    </row>
    <row r="1091">
      <c r="A1091" s="76">
        <v>45752.0</v>
      </c>
      <c r="B1091" s="1" t="s">
        <v>641</v>
      </c>
      <c r="C1091" s="1" t="s">
        <v>40</v>
      </c>
      <c r="D1091" s="1">
        <v>0.2</v>
      </c>
      <c r="E1091" s="1">
        <v>20517.0</v>
      </c>
      <c r="F1091" s="10">
        <f t="shared" si="1"/>
        <v>0.6666666667</v>
      </c>
      <c r="G1091" s="10">
        <f t="array" ref="G1091">index('Player ID'!C:C,match(E1091,'Player ID'!B:B,0))</f>
        <v>680704</v>
      </c>
    </row>
    <row r="1092">
      <c r="A1092" s="76">
        <v>45752.0</v>
      </c>
      <c r="B1092" s="1" t="s">
        <v>395</v>
      </c>
      <c r="C1092" s="1" t="s">
        <v>40</v>
      </c>
      <c r="D1092" s="1">
        <v>0.2</v>
      </c>
      <c r="E1092" s="1">
        <v>21574.0</v>
      </c>
      <c r="F1092" s="10">
        <f t="shared" si="1"/>
        <v>0.6666666667</v>
      </c>
      <c r="G1092" s="10">
        <f t="array" ref="G1092">index('Player ID'!C:C,match(E1092,'Player ID'!B:B,0))</f>
        <v>663893</v>
      </c>
    </row>
    <row r="1093">
      <c r="A1093" s="76">
        <v>45752.0</v>
      </c>
      <c r="B1093" s="1" t="s">
        <v>712</v>
      </c>
      <c r="C1093" s="1" t="s">
        <v>51</v>
      </c>
      <c r="D1093" s="1">
        <v>1.2</v>
      </c>
      <c r="E1093" s="1">
        <v>23313.0</v>
      </c>
      <c r="F1093" s="10">
        <f t="shared" si="1"/>
        <v>1.666666667</v>
      </c>
      <c r="G1093" s="10">
        <f t="array" ref="G1093">index('Player ID'!C:C,match(E1093,'Player ID'!B:B,0))</f>
        <v>676130</v>
      </c>
    </row>
    <row r="1094">
      <c r="A1094" s="76">
        <v>45752.0</v>
      </c>
      <c r="B1094" s="1" t="s">
        <v>362</v>
      </c>
      <c r="C1094" s="1" t="s">
        <v>66</v>
      </c>
      <c r="D1094" s="1">
        <v>1.0</v>
      </c>
      <c r="E1094" s="1">
        <v>13449.0</v>
      </c>
      <c r="F1094" s="10">
        <f t="shared" si="1"/>
        <v>1</v>
      </c>
      <c r="G1094" s="10">
        <f t="array" ref="G1094">index('Player ID'!C:C,match(E1094,'Player ID'!B:B,0))</f>
        <v>573124</v>
      </c>
    </row>
    <row r="1095">
      <c r="A1095" s="76">
        <v>45752.0</v>
      </c>
      <c r="B1095" s="1" t="s">
        <v>651</v>
      </c>
      <c r="C1095" s="1" t="s">
        <v>66</v>
      </c>
      <c r="D1095" s="1">
        <v>1.0</v>
      </c>
      <c r="E1095" s="1">
        <v>14771.0</v>
      </c>
      <c r="F1095" s="10">
        <f t="shared" si="1"/>
        <v>1</v>
      </c>
      <c r="G1095" s="10">
        <f t="array" ref="G1095">index('Player ID'!C:C,match(E1095,'Player ID'!B:B,0))</f>
        <v>641941</v>
      </c>
    </row>
    <row r="1096">
      <c r="A1096" s="76">
        <v>45752.0</v>
      </c>
      <c r="B1096" s="1" t="s">
        <v>475</v>
      </c>
      <c r="C1096" s="1" t="s">
        <v>66</v>
      </c>
      <c r="D1096" s="1">
        <v>0.2</v>
      </c>
      <c r="E1096" s="1">
        <v>14993.0</v>
      </c>
      <c r="F1096" s="10">
        <f t="shared" si="1"/>
        <v>0.6666666667</v>
      </c>
      <c r="G1096" s="10">
        <f t="array" ref="G1096">index('Player ID'!C:C,match(E1096,'Player ID'!B:B,0))</f>
        <v>605130</v>
      </c>
    </row>
    <row r="1097">
      <c r="A1097" s="76">
        <v>45752.0</v>
      </c>
      <c r="B1097" s="1" t="s">
        <v>345</v>
      </c>
      <c r="C1097" s="1" t="s">
        <v>66</v>
      </c>
      <c r="D1097" s="1">
        <v>1.1</v>
      </c>
      <c r="E1097" s="1">
        <v>19926.0</v>
      </c>
      <c r="F1097" s="10">
        <f t="shared" si="1"/>
        <v>1.333333333</v>
      </c>
      <c r="G1097" s="10">
        <f t="array" ref="G1097">index('Player ID'!C:C,match(E1097,'Player ID'!B:B,0))</f>
        <v>663574</v>
      </c>
    </row>
    <row r="1098">
      <c r="A1098" s="76">
        <v>45752.0</v>
      </c>
      <c r="B1098" s="1" t="s">
        <v>744</v>
      </c>
      <c r="C1098" s="1" t="s">
        <v>14</v>
      </c>
      <c r="D1098" s="1">
        <v>5.0</v>
      </c>
      <c r="E1098" s="1">
        <v>20962.0</v>
      </c>
      <c r="F1098" s="10">
        <f t="shared" si="1"/>
        <v>5</v>
      </c>
      <c r="G1098" s="10">
        <f t="array" ref="G1098">index('Player ID'!C:C,match(E1098,'Player ID'!B:B,0))</f>
        <v>660730</v>
      </c>
    </row>
    <row r="1099">
      <c r="A1099" s="76">
        <v>45752.0</v>
      </c>
      <c r="B1099" s="1" t="s">
        <v>690</v>
      </c>
      <c r="C1099" s="1" t="s">
        <v>14</v>
      </c>
      <c r="D1099" s="1">
        <v>0.2</v>
      </c>
      <c r="E1099" s="1">
        <v>21652.0</v>
      </c>
      <c r="F1099" s="10">
        <f t="shared" si="1"/>
        <v>0.6666666667</v>
      </c>
      <c r="G1099" s="10">
        <f t="array" ref="G1099">index('Player ID'!C:C,match(E1099,'Player ID'!B:B,0))</f>
        <v>665625</v>
      </c>
    </row>
    <row r="1100">
      <c r="A1100" s="76">
        <v>45752.0</v>
      </c>
      <c r="B1100" s="1" t="s">
        <v>353</v>
      </c>
      <c r="C1100" s="1" t="s">
        <v>66</v>
      </c>
      <c r="D1100" s="1">
        <v>5.0</v>
      </c>
      <c r="E1100" s="1">
        <v>25377.0</v>
      </c>
      <c r="F1100" s="10">
        <f t="shared" si="1"/>
        <v>5</v>
      </c>
      <c r="G1100" s="10">
        <f t="array" ref="G1100">index('Player ID'!C:C,match(E1100,'Player ID'!B:B,0))</f>
        <v>663903</v>
      </c>
    </row>
    <row r="1101">
      <c r="A1101" s="76">
        <v>45752.0</v>
      </c>
      <c r="B1101" s="1" t="s">
        <v>692</v>
      </c>
      <c r="C1101" s="1" t="s">
        <v>14</v>
      </c>
      <c r="D1101" s="1">
        <v>3.1</v>
      </c>
      <c r="E1101" s="1">
        <v>25873.0</v>
      </c>
      <c r="F1101" s="10">
        <f t="shared" si="1"/>
        <v>3.333333333</v>
      </c>
      <c r="G1101" s="10">
        <f t="array" ref="G1101">index('Player ID'!C:C,match(E1101,'Player ID'!B:B,0))</f>
        <v>671162</v>
      </c>
    </row>
    <row r="1102">
      <c r="A1102" s="76">
        <v>45752.0</v>
      </c>
      <c r="B1102" s="1" t="s">
        <v>346</v>
      </c>
      <c r="C1102" s="1" t="s">
        <v>46</v>
      </c>
      <c r="D1102" s="1">
        <v>1.0</v>
      </c>
      <c r="E1102" s="1">
        <v>18403.0</v>
      </c>
      <c r="F1102" s="10">
        <f t="shared" si="1"/>
        <v>1</v>
      </c>
      <c r="G1102" s="10">
        <f t="array" ref="G1102">index('Player ID'!C:C,match(E1102,'Player ID'!B:B,0))</f>
        <v>660853</v>
      </c>
    </row>
    <row r="1103">
      <c r="A1103" s="76">
        <v>45752.0</v>
      </c>
      <c r="B1103" s="1" t="s">
        <v>464</v>
      </c>
      <c r="C1103" s="1" t="s">
        <v>36</v>
      </c>
      <c r="D1103" s="1">
        <v>5.0</v>
      </c>
      <c r="E1103" s="1">
        <v>19312.0</v>
      </c>
      <c r="F1103" s="10">
        <f t="shared" si="1"/>
        <v>5</v>
      </c>
      <c r="G1103" s="10">
        <f t="array" ref="G1103">index('Player ID'!C:C,match(E1103,'Player ID'!B:B,0))</f>
        <v>615698</v>
      </c>
    </row>
    <row r="1104">
      <c r="A1104" s="76">
        <v>45752.0</v>
      </c>
      <c r="B1104" s="1" t="s">
        <v>89</v>
      </c>
      <c r="C1104" s="1" t="s">
        <v>36</v>
      </c>
      <c r="D1104" s="1">
        <v>1.0</v>
      </c>
      <c r="E1104" s="1">
        <v>19742.0</v>
      </c>
      <c r="F1104" s="10">
        <f t="shared" si="1"/>
        <v>1</v>
      </c>
      <c r="G1104" s="10">
        <f t="array" ref="G1104">index('Player ID'!C:C,match(E1104,'Player ID'!B:B,0))</f>
        <v>669622</v>
      </c>
    </row>
    <row r="1105">
      <c r="A1105" s="76">
        <v>45752.0</v>
      </c>
      <c r="B1105" s="1" t="s">
        <v>737</v>
      </c>
      <c r="C1105" s="1" t="s">
        <v>46</v>
      </c>
      <c r="D1105" s="1">
        <v>3.1</v>
      </c>
      <c r="E1105" s="1">
        <v>19911.0</v>
      </c>
      <c r="F1105" s="10">
        <f t="shared" si="1"/>
        <v>3.333333333</v>
      </c>
      <c r="G1105" s="10">
        <f t="array" ref="G1105">index('Player ID'!C:C,match(E1105,'Player ID'!B:B,0))</f>
        <v>660761</v>
      </c>
    </row>
    <row r="1106">
      <c r="A1106" s="76">
        <v>45752.0</v>
      </c>
      <c r="B1106" s="1" t="s">
        <v>262</v>
      </c>
      <c r="C1106" s="1" t="s">
        <v>36</v>
      </c>
      <c r="D1106" s="1">
        <v>0.2</v>
      </c>
      <c r="E1106" s="1">
        <v>20116.0</v>
      </c>
      <c r="F1106" s="10">
        <f t="shared" si="1"/>
        <v>0.6666666667</v>
      </c>
      <c r="G1106" s="10">
        <f t="array" ref="G1106">index('Player ID'!C:C,match(E1106,'Player ID'!B:B,0))</f>
        <v>676534</v>
      </c>
    </row>
    <row r="1107">
      <c r="A1107" s="76">
        <v>45752.0</v>
      </c>
      <c r="B1107" s="1" t="s">
        <v>123</v>
      </c>
      <c r="C1107" s="1" t="s">
        <v>36</v>
      </c>
      <c r="D1107" s="1">
        <v>1.2</v>
      </c>
      <c r="E1107" s="1">
        <v>24094.0</v>
      </c>
      <c r="F1107" s="10">
        <f t="shared" si="1"/>
        <v>1.666666667</v>
      </c>
      <c r="G1107" s="10">
        <f t="array" ref="G1107">index('Player ID'!C:C,match(E1107,'Player ID'!B:B,0))</f>
        <v>678692</v>
      </c>
    </row>
    <row r="1108">
      <c r="A1108" s="76">
        <v>45752.0</v>
      </c>
      <c r="B1108" s="1" t="s">
        <v>676</v>
      </c>
      <c r="C1108" s="1" t="s">
        <v>36</v>
      </c>
      <c r="D1108" s="1">
        <v>0.2</v>
      </c>
      <c r="E1108" s="1">
        <v>27453.0</v>
      </c>
      <c r="F1108" s="10">
        <f t="shared" si="1"/>
        <v>0.6666666667</v>
      </c>
      <c r="G1108" s="10">
        <f t="array" ref="G1108">index('Player ID'!C:C,match(E1108,'Player ID'!B:B,0))</f>
        <v>685107</v>
      </c>
    </row>
    <row r="1109">
      <c r="A1109" s="76">
        <v>45752.0</v>
      </c>
      <c r="B1109" s="1" t="s">
        <v>516</v>
      </c>
      <c r="C1109" s="1" t="s">
        <v>46</v>
      </c>
      <c r="D1109" s="1">
        <v>4.2</v>
      </c>
      <c r="E1109" s="1">
        <v>29960.0</v>
      </c>
      <c r="F1109" s="10">
        <f t="shared" si="1"/>
        <v>4.666666667</v>
      </c>
      <c r="G1109" s="10">
        <f t="array" ref="G1109">index('Player ID'!C:C,match(E1109,'Player ID'!B:B,0))</f>
        <v>700363</v>
      </c>
    </row>
    <row r="1110">
      <c r="A1110" s="76">
        <v>45752.0</v>
      </c>
      <c r="B1110" s="1" t="s">
        <v>704</v>
      </c>
      <c r="C1110" s="1" t="s">
        <v>75</v>
      </c>
      <c r="D1110" s="1">
        <v>0.2</v>
      </c>
      <c r="E1110" s="1">
        <v>10591.0</v>
      </c>
      <c r="F1110" s="10">
        <f t="shared" si="1"/>
        <v>0.6666666667</v>
      </c>
      <c r="G1110" s="10">
        <f t="array" ref="G1110">index('Player ID'!C:C,match(E1110,'Player ID'!B:B,0))</f>
        <v>518397</v>
      </c>
    </row>
    <row r="1111">
      <c r="A1111" s="76">
        <v>45752.0</v>
      </c>
      <c r="B1111" s="1" t="s">
        <v>746</v>
      </c>
      <c r="C1111" s="1" t="s">
        <v>75</v>
      </c>
      <c r="D1111" s="1">
        <v>5.0</v>
      </c>
      <c r="E1111" s="1">
        <v>15038.0</v>
      </c>
      <c r="F1111" s="10">
        <f t="shared" si="1"/>
        <v>5</v>
      </c>
      <c r="G1111" s="10">
        <f t="array" ref="G1111">index('Player ID'!C:C,match(E1111,'Player ID'!B:B,0))</f>
        <v>608566</v>
      </c>
    </row>
    <row r="1112">
      <c r="A1112" s="76">
        <v>45752.0</v>
      </c>
      <c r="B1112" s="1" t="s">
        <v>451</v>
      </c>
      <c r="C1112" s="1" t="s">
        <v>75</v>
      </c>
      <c r="D1112" s="1">
        <v>1.0</v>
      </c>
      <c r="E1112" s="1">
        <v>17556.0</v>
      </c>
      <c r="F1112" s="10">
        <f t="shared" si="1"/>
        <v>1</v>
      </c>
      <c r="G1112" s="10">
        <f t="array" ref="G1112">index('Player ID'!C:C,match(E1112,'Player ID'!B:B,0))</f>
        <v>623474</v>
      </c>
    </row>
    <row r="1113">
      <c r="A1113" s="76">
        <v>45752.0</v>
      </c>
      <c r="B1113" s="1" t="s">
        <v>505</v>
      </c>
      <c r="C1113" s="1" t="s">
        <v>52</v>
      </c>
      <c r="D1113" s="1">
        <v>1.0</v>
      </c>
      <c r="E1113" s="1">
        <v>19481.0</v>
      </c>
      <c r="F1113" s="10">
        <f t="shared" si="1"/>
        <v>1</v>
      </c>
      <c r="G1113" s="10">
        <f t="array" ref="G1113">index('Player ID'!C:C,match(E1113,'Player ID'!B:B,0))</f>
        <v>621053</v>
      </c>
    </row>
    <row r="1114">
      <c r="A1114" s="76">
        <v>45752.0</v>
      </c>
      <c r="B1114" s="1" t="s">
        <v>215</v>
      </c>
      <c r="C1114" s="1" t="s">
        <v>75</v>
      </c>
      <c r="D1114" s="1">
        <v>0.1</v>
      </c>
      <c r="E1114" s="1">
        <v>21267.0</v>
      </c>
      <c r="F1114" s="10">
        <f t="shared" si="1"/>
        <v>0.3333333333</v>
      </c>
      <c r="G1114" s="10">
        <f t="array" ref="G1114">index('Player ID'!C:C,match(E1114,'Player ID'!B:B,0))</f>
        <v>656234</v>
      </c>
    </row>
    <row r="1115">
      <c r="A1115" s="76">
        <v>45752.0</v>
      </c>
      <c r="B1115" s="1" t="s">
        <v>251</v>
      </c>
      <c r="C1115" s="1" t="s">
        <v>52</v>
      </c>
      <c r="D1115" s="1">
        <v>6.1</v>
      </c>
      <c r="E1115" s="1">
        <v>23429.0</v>
      </c>
      <c r="F1115" s="10">
        <f t="shared" si="1"/>
        <v>6.333333333</v>
      </c>
      <c r="G1115" s="10">
        <f t="array" ref="G1115">index('Player ID'!C:C,match(E1115,'Player ID'!B:B,0))</f>
        <v>676664</v>
      </c>
    </row>
    <row r="1116">
      <c r="A1116" s="76">
        <v>45752.0</v>
      </c>
      <c r="B1116" s="1" t="s">
        <v>466</v>
      </c>
      <c r="C1116" s="1" t="s">
        <v>75</v>
      </c>
      <c r="D1116" s="1">
        <v>2.0</v>
      </c>
      <c r="E1116" s="1">
        <v>26419.0</v>
      </c>
      <c r="F1116" s="10">
        <f t="shared" si="1"/>
        <v>2</v>
      </c>
      <c r="G1116" s="10">
        <f t="array" ref="G1116">index('Player ID'!C:C,match(E1116,'Player ID'!B:B,0))</f>
        <v>687134</v>
      </c>
    </row>
    <row r="1117">
      <c r="A1117" s="76">
        <v>45752.0</v>
      </c>
      <c r="B1117" s="1" t="s">
        <v>213</v>
      </c>
      <c r="C1117" s="1" t="s">
        <v>52</v>
      </c>
      <c r="D1117" s="1">
        <v>0.2</v>
      </c>
      <c r="E1117" s="1">
        <v>27694.0</v>
      </c>
      <c r="F1117" s="10">
        <f t="shared" si="1"/>
        <v>0.6666666667</v>
      </c>
      <c r="G1117" s="10">
        <f t="array" ref="G1117">index('Player ID'!C:C,match(E1117,'Player ID'!B:B,0))</f>
        <v>686993</v>
      </c>
    </row>
    <row r="1118">
      <c r="A1118" s="76">
        <v>45752.0</v>
      </c>
      <c r="B1118" s="1" t="s">
        <v>286</v>
      </c>
      <c r="C1118" s="1" t="s">
        <v>52</v>
      </c>
      <c r="D1118" s="1">
        <v>1.0</v>
      </c>
      <c r="E1118" s="1">
        <v>31757.0</v>
      </c>
      <c r="F1118" s="10">
        <f t="shared" si="1"/>
        <v>1</v>
      </c>
      <c r="G1118" s="10">
        <f t="array" ref="G1118">index('Player ID'!C:C,match(E1118,'Player ID'!B:B,0))</f>
        <v>695243</v>
      </c>
    </row>
    <row r="1119">
      <c r="A1119" s="76">
        <v>45752.0</v>
      </c>
      <c r="B1119" s="1" t="s">
        <v>303</v>
      </c>
      <c r="C1119" s="1" t="s">
        <v>31</v>
      </c>
      <c r="D1119" s="1">
        <v>6.0</v>
      </c>
      <c r="E1119" s="1">
        <v>11486.0</v>
      </c>
      <c r="F1119" s="10">
        <f t="shared" si="1"/>
        <v>6</v>
      </c>
      <c r="G1119" s="10">
        <f t="array" ref="G1119">index('Player ID'!C:C,match(E1119,'Player ID'!B:B,0))</f>
        <v>592662</v>
      </c>
    </row>
    <row r="1120">
      <c r="A1120" s="76">
        <v>45752.0</v>
      </c>
      <c r="B1120" s="1" t="s">
        <v>783</v>
      </c>
      <c r="C1120" s="1" t="s">
        <v>37</v>
      </c>
      <c r="D1120" s="1">
        <v>2.0</v>
      </c>
      <c r="E1120" s="1">
        <v>13287.0</v>
      </c>
      <c r="F1120" s="10">
        <f t="shared" si="1"/>
        <v>2</v>
      </c>
      <c r="G1120" s="10">
        <f t="array" ref="G1120">index('Player ID'!C:C,match(E1120,'Player ID'!B:B,0))</f>
        <v>534910</v>
      </c>
    </row>
    <row r="1121">
      <c r="A1121" s="76">
        <v>45752.0</v>
      </c>
      <c r="B1121" s="1" t="s">
        <v>108</v>
      </c>
      <c r="C1121" s="1" t="s">
        <v>37</v>
      </c>
      <c r="D1121" s="1">
        <v>0.2</v>
      </c>
      <c r="E1121" s="1">
        <v>17948.0</v>
      </c>
      <c r="F1121" s="10">
        <f t="shared" si="1"/>
        <v>0.6666666667</v>
      </c>
      <c r="G1121" s="10">
        <f t="array" ref="G1121">index('Player ID'!C:C,match(E1121,'Player ID'!B:B,0))</f>
        <v>663423</v>
      </c>
    </row>
    <row r="1122">
      <c r="A1122" s="76">
        <v>45752.0</v>
      </c>
      <c r="B1122" s="1" t="s">
        <v>403</v>
      </c>
      <c r="C1122" s="1" t="s">
        <v>31</v>
      </c>
      <c r="D1122" s="1">
        <v>1.0</v>
      </c>
      <c r="E1122" s="1">
        <v>20423.0</v>
      </c>
      <c r="F1122" s="10">
        <f t="shared" si="1"/>
        <v>1</v>
      </c>
      <c r="G1122" s="10">
        <f t="array" ref="G1122">index('Player ID'!C:C,match(E1122,'Player ID'!B:B,0))</f>
        <v>676254</v>
      </c>
    </row>
    <row r="1123">
      <c r="A1123" s="76">
        <v>45752.0</v>
      </c>
      <c r="B1123" s="1" t="s">
        <v>343</v>
      </c>
      <c r="C1123" s="1" t="s">
        <v>37</v>
      </c>
      <c r="D1123" s="1">
        <v>5.1</v>
      </c>
      <c r="E1123" s="1">
        <v>29837.0</v>
      </c>
      <c r="F1123" s="10">
        <f t="shared" si="1"/>
        <v>5.333333333</v>
      </c>
      <c r="G1123" s="10">
        <f t="array" ref="G1123">index('Player ID'!C:C,match(E1123,'Player ID'!B:B,0))</f>
        <v>682243</v>
      </c>
    </row>
    <row r="1124">
      <c r="A1124" s="76">
        <v>45752.0</v>
      </c>
      <c r="B1124" s="1" t="s">
        <v>514</v>
      </c>
      <c r="C1124" s="1" t="s">
        <v>31</v>
      </c>
      <c r="D1124" s="1">
        <v>2.0</v>
      </c>
      <c r="E1124" s="1">
        <v>31635.0</v>
      </c>
      <c r="F1124" s="10">
        <f t="shared" si="1"/>
        <v>2</v>
      </c>
      <c r="G1124" s="10">
        <f t="array" ref="G1124">index('Player ID'!C:C,match(E1124,'Player ID'!B:B,0))</f>
        <v>806185</v>
      </c>
    </row>
    <row r="1125">
      <c r="A1125" s="76">
        <v>45752.0</v>
      </c>
      <c r="B1125" s="1" t="s">
        <v>765</v>
      </c>
      <c r="C1125" s="1" t="s">
        <v>70</v>
      </c>
      <c r="D1125" s="1">
        <v>1.2</v>
      </c>
      <c r="E1125" s="1">
        <v>18000.0</v>
      </c>
      <c r="F1125" s="10">
        <f t="shared" si="1"/>
        <v>1.666666667</v>
      </c>
      <c r="G1125" s="10">
        <f t="array" ref="G1125">index('Player ID'!C:C,match(E1125,'Player ID'!B:B,0))</f>
        <v>663474</v>
      </c>
    </row>
    <row r="1126">
      <c r="A1126" s="76">
        <v>45752.0</v>
      </c>
      <c r="B1126" s="1" t="s">
        <v>775</v>
      </c>
      <c r="C1126" s="1" t="s">
        <v>25</v>
      </c>
      <c r="D1126" s="1">
        <v>2.0</v>
      </c>
      <c r="E1126" s="1">
        <v>19951.0</v>
      </c>
      <c r="F1126" s="10">
        <f t="shared" si="1"/>
        <v>2</v>
      </c>
      <c r="G1126" s="10">
        <f t="array" ref="G1126">index('Player ID'!C:C,match(E1126,'Player ID'!B:B,0))</f>
        <v>666120</v>
      </c>
    </row>
    <row r="1127">
      <c r="A1127" s="76">
        <v>45752.0</v>
      </c>
      <c r="B1127" s="1" t="s">
        <v>398</v>
      </c>
      <c r="C1127" s="1" t="s">
        <v>70</v>
      </c>
      <c r="D1127" s="1">
        <v>2.1</v>
      </c>
      <c r="E1127" s="1">
        <v>23335.0</v>
      </c>
      <c r="F1127" s="10">
        <f t="shared" si="1"/>
        <v>2.333333333</v>
      </c>
      <c r="G1127" s="10">
        <f t="array" ref="G1127">index('Player ID'!C:C,match(E1127,'Player ID'!B:B,0))</f>
        <v>676282</v>
      </c>
    </row>
    <row r="1128">
      <c r="A1128" s="76">
        <v>45752.0</v>
      </c>
      <c r="B1128" s="1" t="s">
        <v>521</v>
      </c>
      <c r="C1128" s="1" t="s">
        <v>25</v>
      </c>
      <c r="D1128" s="1">
        <v>5.0</v>
      </c>
      <c r="E1128" s="1">
        <v>27688.0</v>
      </c>
      <c r="F1128" s="10">
        <f t="shared" si="1"/>
        <v>5</v>
      </c>
      <c r="G1128" s="10">
        <f t="array" ref="G1128">index('Player ID'!C:C,match(E1128,'Player ID'!B:B,0))</f>
        <v>686799</v>
      </c>
    </row>
    <row r="1129">
      <c r="A1129" s="76">
        <v>45752.0</v>
      </c>
      <c r="B1129" s="1" t="s">
        <v>308</v>
      </c>
      <c r="C1129" s="1" t="s">
        <v>70</v>
      </c>
      <c r="D1129" s="1">
        <v>4.0</v>
      </c>
      <c r="E1129" s="1">
        <v>30134.0</v>
      </c>
      <c r="F1129" s="10">
        <f t="shared" si="1"/>
        <v>4</v>
      </c>
      <c r="G1129" s="10">
        <f t="array" ref="G1129">index('Player ID'!C:C,match(E1129,'Player ID'!B:B,0))</f>
        <v>676440</v>
      </c>
    </row>
    <row r="1130">
      <c r="A1130" s="76">
        <v>45752.0</v>
      </c>
      <c r="B1130" s="1" t="s">
        <v>760</v>
      </c>
      <c r="C1130" s="1" t="s">
        <v>25</v>
      </c>
      <c r="D1130" s="1">
        <v>2.0</v>
      </c>
      <c r="E1130" s="1">
        <v>31751.0</v>
      </c>
      <c r="F1130" s="10">
        <f t="shared" si="1"/>
        <v>2</v>
      </c>
      <c r="G1130" s="10">
        <f t="array" ref="G1130">index('Player ID'!C:C,match(E1130,'Player ID'!B:B,0))</f>
        <v>680729</v>
      </c>
    </row>
    <row r="1131">
      <c r="A1131" s="76">
        <v>45753.0</v>
      </c>
      <c r="B1131" s="1" t="s">
        <v>230</v>
      </c>
      <c r="C1131" s="1" t="s">
        <v>22</v>
      </c>
      <c r="D1131" s="1">
        <v>1.0</v>
      </c>
      <c r="E1131" s="1">
        <v>4301.0</v>
      </c>
      <c r="F1131" s="10">
        <f t="shared" si="1"/>
        <v>1</v>
      </c>
      <c r="G1131" s="10">
        <f t="array" ref="G1131">index('Player ID'!C:C,match(E1131,'Player ID'!B:B,0))</f>
        <v>458677</v>
      </c>
    </row>
    <row r="1132">
      <c r="A1132" s="76">
        <v>45753.0</v>
      </c>
      <c r="B1132" s="1" t="s">
        <v>41</v>
      </c>
      <c r="C1132" s="1" t="s">
        <v>22</v>
      </c>
      <c r="D1132" s="1">
        <v>1.0</v>
      </c>
      <c r="E1132" s="1">
        <v>10233.0</v>
      </c>
      <c r="F1132" s="10">
        <f t="shared" si="1"/>
        <v>1</v>
      </c>
      <c r="G1132" s="10">
        <f t="array" ref="G1132">index('Player ID'!C:C,match(E1132,'Player ID'!B:B,0))</f>
        <v>547973</v>
      </c>
    </row>
    <row r="1133">
      <c r="A1133" s="76">
        <v>45753.0</v>
      </c>
      <c r="B1133" s="1" t="s">
        <v>415</v>
      </c>
      <c r="C1133" s="1" t="s">
        <v>22</v>
      </c>
      <c r="D1133" s="1">
        <v>4.2</v>
      </c>
      <c r="E1133" s="1">
        <v>16943.0</v>
      </c>
      <c r="F1133" s="10">
        <f t="shared" si="1"/>
        <v>4.666666667</v>
      </c>
      <c r="G1133" s="10">
        <f t="array" ref="G1133">index('Player ID'!C:C,match(E1133,'Player ID'!B:B,0))</f>
        <v>656794</v>
      </c>
    </row>
    <row r="1134">
      <c r="A1134" s="76">
        <v>45753.0</v>
      </c>
      <c r="B1134" s="1" t="s">
        <v>190</v>
      </c>
      <c r="C1134" s="1" t="s">
        <v>72</v>
      </c>
      <c r="D1134" s="1">
        <v>0.2</v>
      </c>
      <c r="E1134" s="1">
        <v>18064.0</v>
      </c>
      <c r="F1134" s="10">
        <f t="shared" si="1"/>
        <v>0.6666666667</v>
      </c>
      <c r="G1134" s="10">
        <f t="array" ref="G1134">index('Player ID'!C:C,match(E1134,'Player ID'!B:B,0))</f>
        <v>664208</v>
      </c>
    </row>
    <row r="1135">
      <c r="A1135" s="76">
        <v>45753.0</v>
      </c>
      <c r="B1135" s="1" t="s">
        <v>270</v>
      </c>
      <c r="C1135" s="1" t="s">
        <v>72</v>
      </c>
      <c r="D1135" s="1">
        <v>1.0</v>
      </c>
      <c r="E1135" s="1">
        <v>18138.0</v>
      </c>
      <c r="F1135" s="10">
        <f t="shared" si="1"/>
        <v>1</v>
      </c>
      <c r="G1135" s="10">
        <f t="array" ref="G1135">index('Player ID'!C:C,match(E1135,'Player ID'!B:B,0))</f>
        <v>664854</v>
      </c>
    </row>
    <row r="1136">
      <c r="A1136" s="76">
        <v>45753.0</v>
      </c>
      <c r="B1136" s="1" t="s">
        <v>193</v>
      </c>
      <c r="C1136" s="1" t="s">
        <v>72</v>
      </c>
      <c r="D1136" s="1">
        <v>1.1</v>
      </c>
      <c r="E1136" s="1">
        <v>19574.0</v>
      </c>
      <c r="F1136" s="10">
        <f t="shared" si="1"/>
        <v>1.333333333</v>
      </c>
      <c r="G1136" s="10">
        <f t="array" ref="G1136">index('Player ID'!C:C,match(E1136,'Player ID'!B:B,0))</f>
        <v>668941</v>
      </c>
    </row>
    <row r="1137">
      <c r="A1137" s="76">
        <v>45753.0</v>
      </c>
      <c r="B1137" s="1" t="s">
        <v>250</v>
      </c>
      <c r="C1137" s="1" t="s">
        <v>22</v>
      </c>
      <c r="D1137" s="1">
        <v>2.0</v>
      </c>
      <c r="E1137" s="1">
        <v>20191.0</v>
      </c>
      <c r="F1137" s="10">
        <f t="shared" si="1"/>
        <v>2</v>
      </c>
      <c r="G1137" s="10">
        <f t="array" ref="G1137">index('Player ID'!C:C,match(E1137,'Player ID'!B:B,0))</f>
        <v>676477</v>
      </c>
    </row>
    <row r="1138">
      <c r="A1138" s="76">
        <v>45753.0</v>
      </c>
      <c r="B1138" s="1" t="s">
        <v>406</v>
      </c>
      <c r="C1138" s="1" t="s">
        <v>22</v>
      </c>
      <c r="D1138" s="1">
        <v>0.1</v>
      </c>
      <c r="E1138" s="1">
        <v>20375.0</v>
      </c>
      <c r="F1138" s="10">
        <f t="shared" si="1"/>
        <v>0.3333333333</v>
      </c>
      <c r="G1138" s="10">
        <f t="array" ref="G1138">index('Player ID'!C:C,match(E1138,'Player ID'!B:B,0))</f>
        <v>669711</v>
      </c>
    </row>
    <row r="1139">
      <c r="A1139" s="76">
        <v>45753.0</v>
      </c>
      <c r="B1139" s="1" t="s">
        <v>170</v>
      </c>
      <c r="C1139" s="1" t="s">
        <v>72</v>
      </c>
      <c r="D1139" s="1">
        <v>1.2</v>
      </c>
      <c r="E1139" s="1">
        <v>24763.0</v>
      </c>
      <c r="F1139" s="10">
        <f t="shared" si="1"/>
        <v>1.666666667</v>
      </c>
      <c r="G1139" s="10">
        <f t="array" ref="G1139">index('Player ID'!C:C,match(E1139,'Player ID'!B:B,0))</f>
        <v>681517</v>
      </c>
    </row>
    <row r="1140">
      <c r="A1140" s="76">
        <v>45753.0</v>
      </c>
      <c r="B1140" s="1" t="s">
        <v>378</v>
      </c>
      <c r="C1140" s="1" t="s">
        <v>72</v>
      </c>
      <c r="D1140" s="1">
        <v>0.1</v>
      </c>
      <c r="E1140" s="1">
        <v>24862.0</v>
      </c>
      <c r="F1140" s="10">
        <f t="shared" si="1"/>
        <v>0.3333333333</v>
      </c>
      <c r="G1140" s="10">
        <f t="array" ref="G1140">index('Player ID'!C:C,match(E1140,'Player ID'!B:B,0))</f>
        <v>681676</v>
      </c>
    </row>
    <row r="1141">
      <c r="A1141" s="76">
        <v>45753.0</v>
      </c>
      <c r="B1141" s="1" t="s">
        <v>645</v>
      </c>
      <c r="C1141" s="1" t="s">
        <v>22</v>
      </c>
      <c r="D1141" s="1">
        <v>1.0</v>
      </c>
      <c r="E1141" s="1">
        <v>25648.0</v>
      </c>
      <c r="F1141" s="10">
        <f t="shared" si="1"/>
        <v>1</v>
      </c>
      <c r="G1141" s="10">
        <f t="array" ref="G1141">index('Player ID'!C:C,match(E1141,'Player ID'!B:B,0))</f>
        <v>686580</v>
      </c>
    </row>
    <row r="1142">
      <c r="A1142" s="76">
        <v>45753.0</v>
      </c>
      <c r="B1142" s="1" t="s">
        <v>432</v>
      </c>
      <c r="C1142" s="1" t="s">
        <v>72</v>
      </c>
      <c r="D1142" s="1">
        <v>4.1</v>
      </c>
      <c r="E1142" s="1">
        <v>26108.0</v>
      </c>
      <c r="F1142" s="10">
        <f t="shared" si="1"/>
        <v>4.333333333</v>
      </c>
      <c r="G1142" s="10">
        <f t="array" ref="G1142">index('Player ID'!C:C,match(E1142,'Player ID'!B:B,0))</f>
        <v>669467</v>
      </c>
    </row>
    <row r="1143">
      <c r="A1143" s="76">
        <v>45753.0</v>
      </c>
      <c r="B1143" s="1" t="s">
        <v>642</v>
      </c>
      <c r="C1143" s="1" t="s">
        <v>80</v>
      </c>
      <c r="D1143" s="1">
        <v>1.1</v>
      </c>
      <c r="E1143" s="1">
        <v>13470.0</v>
      </c>
      <c r="F1143" s="10">
        <f t="shared" si="1"/>
        <v>1.333333333</v>
      </c>
      <c r="G1143" s="10">
        <f t="array" ref="G1143">index('Player ID'!C:C,match(E1143,'Player ID'!B:B,0))</f>
        <v>608371</v>
      </c>
    </row>
    <row r="1144">
      <c r="A1144" s="76">
        <v>45753.0</v>
      </c>
      <c r="B1144" s="1" t="s">
        <v>719</v>
      </c>
      <c r="C1144" s="1" t="s">
        <v>80</v>
      </c>
      <c r="D1144" s="1">
        <v>1.0</v>
      </c>
      <c r="E1144" s="1">
        <v>14527.0</v>
      </c>
      <c r="F1144" s="10">
        <f t="shared" si="1"/>
        <v>1</v>
      </c>
      <c r="G1144" s="10">
        <f t="array" ref="G1144">index('Player ID'!C:C,match(E1144,'Player ID'!B:B,0))</f>
        <v>605347</v>
      </c>
    </row>
    <row r="1145">
      <c r="A1145" s="76">
        <v>45753.0</v>
      </c>
      <c r="B1145" s="1" t="s">
        <v>685</v>
      </c>
      <c r="C1145" s="1" t="s">
        <v>64</v>
      </c>
      <c r="D1145" s="1">
        <v>1.0</v>
      </c>
      <c r="E1145" s="1">
        <v>14857.0</v>
      </c>
      <c r="F1145" s="10">
        <f t="shared" si="1"/>
        <v>1</v>
      </c>
      <c r="G1145" s="10">
        <f t="array" ref="G1145">index('Player ID'!C:C,match(E1145,'Player ID'!B:B,0))</f>
        <v>573009</v>
      </c>
    </row>
    <row r="1146">
      <c r="A1146" s="76">
        <v>45753.0</v>
      </c>
      <c r="B1146" s="1" t="s">
        <v>139</v>
      </c>
      <c r="C1146" s="1" t="s">
        <v>80</v>
      </c>
      <c r="D1146" s="1">
        <v>1.0</v>
      </c>
      <c r="E1146" s="1">
        <v>15009.0</v>
      </c>
      <c r="F1146" s="10">
        <f t="shared" si="1"/>
        <v>1</v>
      </c>
      <c r="G1146" s="10">
        <f t="array" ref="G1146">index('Player ID'!C:C,match(E1146,'Player ID'!B:B,0))</f>
        <v>640448</v>
      </c>
    </row>
    <row r="1147">
      <c r="A1147" s="76">
        <v>45753.0</v>
      </c>
      <c r="B1147" s="1" t="s">
        <v>148</v>
      </c>
      <c r="C1147" s="1" t="s">
        <v>80</v>
      </c>
      <c r="D1147" s="1">
        <v>5.0</v>
      </c>
      <c r="E1147" s="1">
        <v>16977.0</v>
      </c>
      <c r="F1147" s="10">
        <f t="shared" si="1"/>
        <v>5</v>
      </c>
      <c r="G1147" s="10">
        <f t="array" ref="G1147">index('Player ID'!C:C,match(E1147,'Player ID'!B:B,0))</f>
        <v>592866</v>
      </c>
    </row>
    <row r="1148">
      <c r="A1148" s="76">
        <v>45753.0</v>
      </c>
      <c r="B1148" s="1" t="s">
        <v>489</v>
      </c>
      <c r="C1148" s="1" t="s">
        <v>64</v>
      </c>
      <c r="D1148" s="1">
        <v>2.0</v>
      </c>
      <c r="E1148" s="1">
        <v>17192.0</v>
      </c>
      <c r="F1148" s="10">
        <f t="shared" si="1"/>
        <v>2</v>
      </c>
      <c r="G1148" s="10">
        <f t="array" ref="G1148">index('Player ID'!C:C,match(E1148,'Player ID'!B:B,0))</f>
        <v>656222</v>
      </c>
    </row>
    <row r="1149">
      <c r="A1149" s="76">
        <v>45753.0</v>
      </c>
      <c r="B1149" s="1" t="s">
        <v>431</v>
      </c>
      <c r="C1149" s="1" t="s">
        <v>64</v>
      </c>
      <c r="D1149" s="1">
        <v>5.0</v>
      </c>
      <c r="E1149" s="1">
        <v>19361.0</v>
      </c>
      <c r="F1149" s="10">
        <f t="shared" si="1"/>
        <v>5</v>
      </c>
      <c r="G1149" s="10">
        <f t="array" ref="G1149">index('Player ID'!C:C,match(E1149,'Player ID'!B:B,0))</f>
        <v>669203</v>
      </c>
    </row>
    <row r="1150">
      <c r="A1150" s="76">
        <v>45753.0</v>
      </c>
      <c r="B1150" s="1" t="s">
        <v>86</v>
      </c>
      <c r="C1150" s="1" t="s">
        <v>80</v>
      </c>
      <c r="D1150" s="1">
        <v>0.2</v>
      </c>
      <c r="E1150" s="1">
        <v>24017.0</v>
      </c>
      <c r="F1150" s="10">
        <f t="shared" si="1"/>
        <v>0.6666666667</v>
      </c>
      <c r="G1150" s="10">
        <f t="array" ref="G1150">index('Player ID'!C:C,match(E1150,'Player ID'!B:B,0))</f>
        <v>678606</v>
      </c>
    </row>
    <row r="1151">
      <c r="A1151" s="76">
        <v>45753.0</v>
      </c>
      <c r="B1151" s="1" t="s">
        <v>595</v>
      </c>
      <c r="C1151" s="1" t="s">
        <v>33</v>
      </c>
      <c r="D1151" s="1">
        <v>1.0</v>
      </c>
      <c r="E1151" s="1">
        <v>6984.0</v>
      </c>
      <c r="F1151" s="10">
        <f t="shared" si="1"/>
        <v>1</v>
      </c>
      <c r="G1151" s="10">
        <f t="array" ref="G1151">index('Player ID'!C:C,match(E1151,'Player ID'!B:B,0))</f>
        <v>472610</v>
      </c>
    </row>
    <row r="1152">
      <c r="A1152" s="76">
        <v>45753.0</v>
      </c>
      <c r="B1152" s="1" t="s">
        <v>392</v>
      </c>
      <c r="C1152" s="1" t="s">
        <v>33</v>
      </c>
      <c r="D1152" s="1">
        <v>0.2</v>
      </c>
      <c r="E1152" s="1">
        <v>9073.0</v>
      </c>
      <c r="F1152" s="10">
        <f t="shared" si="1"/>
        <v>0.6666666667</v>
      </c>
      <c r="G1152" s="10">
        <f t="array" ref="G1152">index('Player ID'!C:C,match(E1152,'Player ID'!B:B,0))</f>
        <v>489446</v>
      </c>
    </row>
    <row r="1153">
      <c r="A1153" s="76">
        <v>45753.0</v>
      </c>
      <c r="B1153" s="1" t="s">
        <v>630</v>
      </c>
      <c r="C1153" s="1" t="s">
        <v>33</v>
      </c>
      <c r="D1153" s="1">
        <v>1.0</v>
      </c>
      <c r="E1153" s="1">
        <v>12572.0</v>
      </c>
      <c r="F1153" s="10">
        <f t="shared" si="1"/>
        <v>1</v>
      </c>
      <c r="G1153" s="10">
        <f t="array" ref="G1153">index('Player ID'!C:C,match(E1153,'Player ID'!B:B,0))</f>
        <v>595014</v>
      </c>
    </row>
    <row r="1154">
      <c r="A1154" s="76">
        <v>45753.0</v>
      </c>
      <c r="B1154" s="1" t="s">
        <v>182</v>
      </c>
      <c r="C1154" s="1" t="s">
        <v>45</v>
      </c>
      <c r="D1154" s="1">
        <v>1.0</v>
      </c>
      <c r="E1154" s="1">
        <v>13799.0</v>
      </c>
      <c r="F1154" s="10">
        <f t="shared" si="1"/>
        <v>1</v>
      </c>
      <c r="G1154" s="10">
        <f t="array" ref="G1154">index('Player ID'!C:C,match(E1154,'Player ID'!B:B,0))</f>
        <v>621381</v>
      </c>
    </row>
    <row r="1155">
      <c r="A1155" s="76">
        <v>45753.0</v>
      </c>
      <c r="B1155" s="1" t="s">
        <v>421</v>
      </c>
      <c r="C1155" s="1" t="s">
        <v>33</v>
      </c>
      <c r="D1155" s="1">
        <v>2.0</v>
      </c>
      <c r="E1155" s="1">
        <v>14374.0</v>
      </c>
      <c r="F1155" s="10">
        <f t="shared" si="1"/>
        <v>2</v>
      </c>
      <c r="G1155" s="10">
        <f t="array" ref="G1155">index('Player ID'!C:C,match(E1155,'Player ID'!B:B,0))</f>
        <v>607192</v>
      </c>
    </row>
    <row r="1156">
      <c r="A1156" s="76">
        <v>45753.0</v>
      </c>
      <c r="B1156" s="1" t="s">
        <v>699</v>
      </c>
      <c r="C1156" s="1" t="s">
        <v>45</v>
      </c>
      <c r="D1156" s="1">
        <v>0.1</v>
      </c>
      <c r="E1156" s="1">
        <v>14552.0</v>
      </c>
      <c r="F1156" s="10">
        <f t="shared" si="1"/>
        <v>0.3333333333</v>
      </c>
      <c r="G1156" s="10">
        <f t="array" ref="G1156">index('Player ID'!C:C,match(E1156,'Player ID'!B:B,0))</f>
        <v>614179</v>
      </c>
    </row>
    <row r="1157">
      <c r="A1157" s="76">
        <v>45753.0</v>
      </c>
      <c r="B1157" s="1" t="s">
        <v>208</v>
      </c>
      <c r="C1157" s="1" t="s">
        <v>45</v>
      </c>
      <c r="D1157" s="1">
        <v>0.0</v>
      </c>
      <c r="E1157" s="1">
        <v>16122.0</v>
      </c>
      <c r="F1157" s="10">
        <f t="shared" si="1"/>
        <v>0</v>
      </c>
      <c r="G1157" s="10">
        <f t="array" ref="G1157">index('Player ID'!C:C,match(E1157,'Player ID'!B:B,0))</f>
        <v>605447</v>
      </c>
    </row>
    <row r="1158">
      <c r="A1158" s="76">
        <v>45753.0</v>
      </c>
      <c r="B1158" s="1" t="s">
        <v>643</v>
      </c>
      <c r="C1158" s="1" t="s">
        <v>45</v>
      </c>
      <c r="D1158" s="1">
        <v>1.0</v>
      </c>
      <c r="E1158" s="1">
        <v>17780.0</v>
      </c>
      <c r="F1158" s="10">
        <f t="shared" si="1"/>
        <v>1</v>
      </c>
      <c r="G1158" s="10">
        <f t="array" ref="G1158">index('Player ID'!C:C,match(E1158,'Player ID'!B:B,0))</f>
        <v>621237</v>
      </c>
    </row>
    <row r="1159">
      <c r="A1159" s="76">
        <v>45753.0</v>
      </c>
      <c r="B1159" s="1" t="s">
        <v>747</v>
      </c>
      <c r="C1159" s="1" t="s">
        <v>45</v>
      </c>
      <c r="D1159" s="1">
        <v>5.2</v>
      </c>
      <c r="E1159" s="1">
        <v>20778.0</v>
      </c>
      <c r="F1159" s="10">
        <f t="shared" si="1"/>
        <v>5.666666667</v>
      </c>
      <c r="G1159" s="10">
        <f t="array" ref="G1159">index('Player ID'!C:C,match(E1159,'Player ID'!B:B,0))</f>
        <v>650911</v>
      </c>
    </row>
    <row r="1160">
      <c r="A1160" s="76">
        <v>45753.0</v>
      </c>
      <c r="B1160" s="1" t="s">
        <v>92</v>
      </c>
      <c r="C1160" s="1" t="s">
        <v>33</v>
      </c>
      <c r="D1160" s="1">
        <v>1.0</v>
      </c>
      <c r="E1160" s="1">
        <v>25007.0</v>
      </c>
      <c r="F1160" s="10">
        <f t="shared" si="1"/>
        <v>1</v>
      </c>
      <c r="G1160" s="10">
        <f t="array" ref="G1160">index('Player ID'!C:C,match(E1160,'Player ID'!B:B,0))</f>
        <v>681911</v>
      </c>
    </row>
    <row r="1161">
      <c r="A1161" s="76">
        <v>45753.0</v>
      </c>
      <c r="B1161" s="1" t="s">
        <v>206</v>
      </c>
      <c r="C1161" s="1" t="s">
        <v>33</v>
      </c>
      <c r="D1161" s="1">
        <v>2.1</v>
      </c>
      <c r="E1161" s="1">
        <v>30249.0</v>
      </c>
      <c r="F1161" s="10">
        <f t="shared" si="1"/>
        <v>2.333333333</v>
      </c>
      <c r="G1161" s="10">
        <f t="array" ref="G1161">index('Player ID'!C:C,match(E1161,'Player ID'!B:B,0))</f>
        <v>676263</v>
      </c>
    </row>
    <row r="1162">
      <c r="A1162" s="76">
        <v>45753.0</v>
      </c>
      <c r="B1162" s="1" t="s">
        <v>165</v>
      </c>
      <c r="C1162" s="1" t="s">
        <v>45</v>
      </c>
      <c r="D1162" s="1">
        <v>1.0</v>
      </c>
      <c r="E1162" s="1">
        <v>31776.0</v>
      </c>
      <c r="F1162" s="10">
        <f t="shared" si="1"/>
        <v>1</v>
      </c>
      <c r="G1162" s="10">
        <f t="array" ref="G1162">index('Player ID'!C:C,match(E1162,'Player ID'!B:B,0))</f>
        <v>689147</v>
      </c>
    </row>
    <row r="1163">
      <c r="A1163" s="76">
        <v>45753.0</v>
      </c>
      <c r="B1163" s="1" t="s">
        <v>256</v>
      </c>
      <c r="C1163" s="1" t="s">
        <v>60</v>
      </c>
      <c r="D1163" s="1">
        <v>7.0</v>
      </c>
      <c r="E1163" s="1">
        <v>15423.0</v>
      </c>
      <c r="F1163" s="10">
        <f t="shared" si="1"/>
        <v>7</v>
      </c>
      <c r="G1163" s="10">
        <f t="array" ref="G1163">index('Player ID'!C:C,match(E1163,'Player ID'!B:B,0))</f>
        <v>571760</v>
      </c>
    </row>
    <row r="1164">
      <c r="A1164" s="76">
        <v>45753.0</v>
      </c>
      <c r="B1164" s="1" t="s">
        <v>114</v>
      </c>
      <c r="C1164" s="1" t="s">
        <v>58</v>
      </c>
      <c r="D1164" s="1">
        <v>0.1</v>
      </c>
      <c r="E1164" s="1">
        <v>15816.0</v>
      </c>
      <c r="F1164" s="10">
        <f t="shared" si="1"/>
        <v>0.3333333333</v>
      </c>
      <c r="G1164" s="10">
        <f t="array" ref="G1164">index('Player ID'!C:C,match(E1164,'Player ID'!B:B,0))</f>
        <v>642207</v>
      </c>
    </row>
    <row r="1165">
      <c r="A1165" s="76">
        <v>45753.0</v>
      </c>
      <c r="B1165" s="1" t="s">
        <v>443</v>
      </c>
      <c r="C1165" s="1" t="s">
        <v>60</v>
      </c>
      <c r="D1165" s="1">
        <v>0.2</v>
      </c>
      <c r="E1165" s="1">
        <v>16350.0</v>
      </c>
      <c r="F1165" s="10">
        <f t="shared" si="1"/>
        <v>0.6666666667</v>
      </c>
      <c r="G1165" s="10">
        <f t="array" ref="G1165">index('Player ID'!C:C,match(E1165,'Player ID'!B:B,0))</f>
        <v>621366</v>
      </c>
    </row>
    <row r="1166">
      <c r="A1166" s="76">
        <v>45753.0</v>
      </c>
      <c r="B1166" s="1" t="s">
        <v>225</v>
      </c>
      <c r="C1166" s="1" t="s">
        <v>58</v>
      </c>
      <c r="D1166" s="1">
        <v>2.0</v>
      </c>
      <c r="E1166" s="1">
        <v>16918.0</v>
      </c>
      <c r="F1166" s="10">
        <f t="shared" si="1"/>
        <v>2</v>
      </c>
      <c r="G1166" s="10">
        <f t="array" ref="G1166">index('Player ID'!C:C,match(E1166,'Player ID'!B:B,0))</f>
        <v>596133</v>
      </c>
    </row>
    <row r="1167">
      <c r="A1167" s="76">
        <v>45753.0</v>
      </c>
      <c r="B1167" s="1" t="s">
        <v>217</v>
      </c>
      <c r="C1167" s="1" t="s">
        <v>60</v>
      </c>
      <c r="D1167" s="1">
        <v>1.0</v>
      </c>
      <c r="E1167" s="1">
        <v>17878.0</v>
      </c>
      <c r="F1167" s="10">
        <f t="shared" si="1"/>
        <v>1</v>
      </c>
      <c r="G1167" s="10">
        <f t="array" ref="G1167">index('Player ID'!C:C,match(E1167,'Player ID'!B:B,0))</f>
        <v>642701</v>
      </c>
    </row>
    <row r="1168">
      <c r="A1168" s="76">
        <v>45753.0</v>
      </c>
      <c r="B1168" s="1" t="s">
        <v>107</v>
      </c>
      <c r="C1168" s="1" t="s">
        <v>60</v>
      </c>
      <c r="D1168" s="1">
        <v>1.0</v>
      </c>
      <c r="E1168" s="1">
        <v>19349.0</v>
      </c>
      <c r="F1168" s="10">
        <f t="shared" si="1"/>
        <v>1</v>
      </c>
      <c r="G1168" s="10">
        <f t="array" ref="G1168">index('Player ID'!C:C,match(E1168,'Player ID'!B:B,0))</f>
        <v>657571</v>
      </c>
    </row>
    <row r="1169">
      <c r="A1169" s="76">
        <v>45753.0</v>
      </c>
      <c r="B1169" s="1" t="s">
        <v>384</v>
      </c>
      <c r="C1169" s="1" t="s">
        <v>60</v>
      </c>
      <c r="D1169" s="1">
        <v>1.0</v>
      </c>
      <c r="E1169" s="1">
        <v>19962.0</v>
      </c>
      <c r="F1169" s="10">
        <f t="shared" si="1"/>
        <v>1</v>
      </c>
      <c r="G1169" s="10">
        <f t="array" ref="G1169">index('Player ID'!C:C,match(E1169,'Player ID'!B:B,0))</f>
        <v>666214</v>
      </c>
    </row>
    <row r="1170">
      <c r="A1170" s="76">
        <v>45753.0</v>
      </c>
      <c r="B1170" s="1" t="s">
        <v>463</v>
      </c>
      <c r="C1170" s="1" t="s">
        <v>60</v>
      </c>
      <c r="D1170" s="1">
        <v>0.1</v>
      </c>
      <c r="E1170" s="1">
        <v>21544.0</v>
      </c>
      <c r="F1170" s="10">
        <f t="shared" si="1"/>
        <v>0.3333333333</v>
      </c>
      <c r="G1170" s="10">
        <f t="array" ref="G1170">index('Player ID'!C:C,match(E1170,'Player ID'!B:B,0))</f>
        <v>663767</v>
      </c>
    </row>
    <row r="1171">
      <c r="A1171" s="76">
        <v>45753.0</v>
      </c>
      <c r="B1171" s="1" t="s">
        <v>691</v>
      </c>
      <c r="C1171" s="1" t="s">
        <v>58</v>
      </c>
      <c r="D1171" s="1">
        <v>2.0</v>
      </c>
      <c r="E1171" s="1">
        <v>22872.0</v>
      </c>
      <c r="F1171" s="10">
        <f t="shared" si="1"/>
        <v>2</v>
      </c>
      <c r="G1171" s="10">
        <f t="array" ref="G1171">index('Player ID'!C:C,match(E1171,'Player ID'!B:B,0))</f>
        <v>672782</v>
      </c>
    </row>
    <row r="1172">
      <c r="A1172" s="76">
        <v>45753.0</v>
      </c>
      <c r="B1172" s="1" t="s">
        <v>693</v>
      </c>
      <c r="C1172" s="1" t="s">
        <v>58</v>
      </c>
      <c r="D1172" s="1">
        <v>2.0</v>
      </c>
      <c r="E1172" s="1">
        <v>27702.0</v>
      </c>
      <c r="F1172" s="10">
        <f t="shared" si="1"/>
        <v>2</v>
      </c>
      <c r="G1172" s="10">
        <f t="array" ref="G1172">index('Player ID'!C:C,match(E1172,'Player ID'!B:B,0))</f>
        <v>687396</v>
      </c>
    </row>
    <row r="1173">
      <c r="A1173" s="76">
        <v>45753.0</v>
      </c>
      <c r="B1173" s="1" t="s">
        <v>344</v>
      </c>
      <c r="C1173" s="1" t="s">
        <v>58</v>
      </c>
      <c r="D1173" s="1">
        <v>4.0</v>
      </c>
      <c r="E1173" s="1">
        <v>30182.0</v>
      </c>
      <c r="F1173" s="10">
        <f t="shared" si="1"/>
        <v>4</v>
      </c>
      <c r="G1173" s="10">
        <f t="array" ref="G1173">index('Player ID'!C:C,match(E1173,'Player ID'!B:B,0))</f>
        <v>701542</v>
      </c>
    </row>
    <row r="1174">
      <c r="A1174" s="76">
        <v>45753.0</v>
      </c>
      <c r="B1174" s="1" t="s">
        <v>738</v>
      </c>
      <c r="C1174" s="1" t="s">
        <v>78</v>
      </c>
      <c r="D1174" s="1">
        <v>6.1</v>
      </c>
      <c r="E1174" s="1">
        <v>6902.0</v>
      </c>
      <c r="F1174" s="10">
        <f t="shared" si="1"/>
        <v>6.333333333</v>
      </c>
      <c r="G1174" s="10">
        <f t="array" ref="G1174">index('Player ID'!C:C,match(E1174,'Player ID'!B:B,0))</f>
        <v>527048</v>
      </c>
    </row>
    <row r="1175">
      <c r="A1175" s="76">
        <v>45753.0</v>
      </c>
      <c r="B1175" s="1" t="s">
        <v>439</v>
      </c>
      <c r="C1175" s="1" t="s">
        <v>62</v>
      </c>
      <c r="D1175" s="1">
        <v>1.0</v>
      </c>
      <c r="E1175" s="1">
        <v>11384.0</v>
      </c>
      <c r="F1175" s="10">
        <f t="shared" si="1"/>
        <v>1</v>
      </c>
      <c r="G1175" s="10">
        <f t="array" ref="G1175">index('Player ID'!C:C,match(E1175,'Player ID'!B:B,0))</f>
        <v>592454</v>
      </c>
    </row>
    <row r="1176">
      <c r="A1176" s="76">
        <v>45753.0</v>
      </c>
      <c r="B1176" s="1" t="s">
        <v>666</v>
      </c>
      <c r="C1176" s="1" t="s">
        <v>62</v>
      </c>
      <c r="D1176" s="1">
        <v>1.0</v>
      </c>
      <c r="E1176" s="1">
        <v>12777.0</v>
      </c>
      <c r="F1176" s="10">
        <f t="shared" si="1"/>
        <v>1</v>
      </c>
      <c r="G1176" s="10">
        <f t="array" ref="G1176">index('Player ID'!C:C,match(E1176,'Player ID'!B:B,0))</f>
        <v>605154</v>
      </c>
    </row>
    <row r="1177">
      <c r="A1177" s="76">
        <v>45753.0</v>
      </c>
      <c r="B1177" s="1" t="s">
        <v>656</v>
      </c>
      <c r="C1177" s="1" t="s">
        <v>78</v>
      </c>
      <c r="D1177" s="1">
        <v>0.1</v>
      </c>
      <c r="E1177" s="1">
        <v>12808.0</v>
      </c>
      <c r="F1177" s="10">
        <f t="shared" si="1"/>
        <v>0.3333333333</v>
      </c>
      <c r="G1177" s="10">
        <f t="array" ref="G1177">index('Player ID'!C:C,match(E1177,'Player ID'!B:B,0))</f>
        <v>605182</v>
      </c>
    </row>
    <row r="1178">
      <c r="A1178" s="76">
        <v>45753.0</v>
      </c>
      <c r="B1178" s="1" t="s">
        <v>252</v>
      </c>
      <c r="C1178" s="1" t="s">
        <v>78</v>
      </c>
      <c r="D1178" s="1">
        <v>0.1</v>
      </c>
      <c r="E1178" s="1">
        <v>16061.0</v>
      </c>
      <c r="F1178" s="10">
        <f t="shared" si="1"/>
        <v>0.3333333333</v>
      </c>
      <c r="G1178" s="10">
        <f t="array" ref="G1178">index('Player ID'!C:C,match(E1178,'Player ID'!B:B,0))</f>
        <v>592155</v>
      </c>
    </row>
    <row r="1179">
      <c r="A1179" s="76">
        <v>45753.0</v>
      </c>
      <c r="B1179" s="1" t="s">
        <v>289</v>
      </c>
      <c r="C1179" s="1" t="s">
        <v>62</v>
      </c>
      <c r="D1179" s="1">
        <v>2.0</v>
      </c>
      <c r="E1179" s="1">
        <v>22304.0</v>
      </c>
      <c r="F1179" s="10">
        <f t="shared" si="1"/>
        <v>2</v>
      </c>
      <c r="G1179" s="10">
        <f t="array" ref="G1179">index('Player ID'!C:C,match(E1179,'Player ID'!B:B,0))</f>
        <v>669724</v>
      </c>
    </row>
    <row r="1180">
      <c r="A1180" s="76">
        <v>45753.0</v>
      </c>
      <c r="B1180" s="1" t="s">
        <v>658</v>
      </c>
      <c r="C1180" s="1" t="s">
        <v>78</v>
      </c>
      <c r="D1180" s="1">
        <v>0.2</v>
      </c>
      <c r="E1180" s="1">
        <v>25174.0</v>
      </c>
      <c r="F1180" s="10">
        <f t="shared" si="1"/>
        <v>0.6666666667</v>
      </c>
      <c r="G1180" s="10">
        <f t="array" ref="G1180">index('Player ID'!C:C,match(E1180,'Player ID'!B:B,0))</f>
        <v>682171</v>
      </c>
    </row>
    <row r="1181">
      <c r="A1181" s="76">
        <v>45753.0</v>
      </c>
      <c r="B1181" s="1" t="s">
        <v>718</v>
      </c>
      <c r="C1181" s="1" t="s">
        <v>78</v>
      </c>
      <c r="D1181" s="1">
        <v>0.2</v>
      </c>
      <c r="E1181" s="1">
        <v>29530.0</v>
      </c>
      <c r="F1181" s="10">
        <f t="shared" si="1"/>
        <v>0.6666666667</v>
      </c>
      <c r="G1181" s="10">
        <f t="array" ref="G1181">index('Player ID'!C:C,match(E1181,'Player ID'!B:B,0))</f>
        <v>686642</v>
      </c>
    </row>
    <row r="1182">
      <c r="A1182" s="76">
        <v>45753.0</v>
      </c>
      <c r="B1182" s="1" t="s">
        <v>317</v>
      </c>
      <c r="C1182" s="1" t="s">
        <v>78</v>
      </c>
      <c r="D1182" s="1">
        <v>0.0</v>
      </c>
      <c r="E1182" s="1">
        <v>29950.0</v>
      </c>
      <c r="F1182" s="10">
        <f t="shared" si="1"/>
        <v>0</v>
      </c>
      <c r="G1182" s="10">
        <f t="array" ref="G1182">index('Player ID'!C:C,match(E1182,'Player ID'!B:B,0))</f>
        <v>673929</v>
      </c>
    </row>
    <row r="1183">
      <c r="A1183" s="76">
        <v>45753.0</v>
      </c>
      <c r="B1183" s="1" t="s">
        <v>377</v>
      </c>
      <c r="C1183" s="1" t="s">
        <v>62</v>
      </c>
      <c r="D1183" s="1">
        <v>5.0</v>
      </c>
      <c r="E1183" s="1">
        <v>30203.0</v>
      </c>
      <c r="F1183" s="10">
        <f t="shared" si="1"/>
        <v>5</v>
      </c>
      <c r="G1183" s="10">
        <f t="array" ref="G1183">index('Player ID'!C:C,match(E1183,'Player ID'!B:B,0))</f>
        <v>695549</v>
      </c>
    </row>
    <row r="1184">
      <c r="A1184" s="76">
        <v>45753.0</v>
      </c>
      <c r="B1184" s="1" t="s">
        <v>679</v>
      </c>
      <c r="C1184" s="1" t="s">
        <v>51</v>
      </c>
      <c r="D1184" s="1">
        <v>1.0</v>
      </c>
      <c r="E1184" s="1">
        <v>14710.0</v>
      </c>
      <c r="F1184" s="10">
        <f t="shared" si="1"/>
        <v>1</v>
      </c>
      <c r="G1184" s="10">
        <f t="array" ref="G1184">index('Player ID'!C:C,match(E1184,'Player ID'!B:B,0))</f>
        <v>621242</v>
      </c>
    </row>
    <row r="1185">
      <c r="A1185" s="76">
        <v>45753.0</v>
      </c>
      <c r="B1185" s="1" t="s">
        <v>174</v>
      </c>
      <c r="C1185" s="1" t="s">
        <v>40</v>
      </c>
      <c r="D1185" s="1">
        <v>1.2</v>
      </c>
      <c r="E1185" s="1">
        <v>15552.0</v>
      </c>
      <c r="F1185" s="10">
        <f t="shared" si="1"/>
        <v>1.666666667</v>
      </c>
      <c r="G1185" s="10">
        <f t="array" ref="G1185">index('Player ID'!C:C,match(E1185,'Player ID'!B:B,0))</f>
        <v>643338</v>
      </c>
    </row>
    <row r="1186">
      <c r="A1186" s="76">
        <v>45753.0</v>
      </c>
      <c r="B1186" s="1" t="s">
        <v>295</v>
      </c>
      <c r="C1186" s="1" t="s">
        <v>51</v>
      </c>
      <c r="D1186" s="1">
        <v>1.0</v>
      </c>
      <c r="E1186" s="1">
        <v>16866.0</v>
      </c>
      <c r="F1186" s="10">
        <f t="shared" si="1"/>
        <v>1</v>
      </c>
      <c r="G1186" s="10">
        <f t="array" ref="G1186">index('Player ID'!C:C,match(E1186,'Player ID'!B:B,0))</f>
        <v>657585</v>
      </c>
    </row>
    <row r="1187">
      <c r="A1187" s="76">
        <v>45753.0</v>
      </c>
      <c r="B1187" s="1" t="s">
        <v>674</v>
      </c>
      <c r="C1187" s="1" t="s">
        <v>51</v>
      </c>
      <c r="D1187" s="1">
        <v>1.0</v>
      </c>
      <c r="E1187" s="1">
        <v>18655.0</v>
      </c>
      <c r="F1187" s="10">
        <f t="shared" si="1"/>
        <v>1</v>
      </c>
      <c r="G1187" s="10">
        <f t="array" ref="G1187">index('Player ID'!C:C,match(E1187,'Player ID'!B:B,0))</f>
        <v>621345</v>
      </c>
    </row>
    <row r="1188">
      <c r="A1188" s="76">
        <v>45753.0</v>
      </c>
      <c r="B1188" s="1" t="s">
        <v>307</v>
      </c>
      <c r="C1188" s="1" t="s">
        <v>51</v>
      </c>
      <c r="D1188" s="1">
        <v>4.2</v>
      </c>
      <c r="E1188" s="1">
        <v>20302.0</v>
      </c>
      <c r="F1188" s="10">
        <f t="shared" si="1"/>
        <v>4.666666667</v>
      </c>
      <c r="G1188" s="10">
        <f t="array" ref="G1188">index('Player ID'!C:C,match(E1188,'Player ID'!B:B,0))</f>
        <v>656849</v>
      </c>
    </row>
    <row r="1189">
      <c r="A1189" s="76">
        <v>45753.0</v>
      </c>
      <c r="B1189" s="1" t="s">
        <v>428</v>
      </c>
      <c r="C1189" s="1" t="s">
        <v>40</v>
      </c>
      <c r="D1189" s="1">
        <v>5.1</v>
      </c>
      <c r="E1189" s="1">
        <v>20548.0</v>
      </c>
      <c r="F1189" s="10">
        <f t="shared" si="1"/>
        <v>5.333333333</v>
      </c>
      <c r="G1189" s="10">
        <f t="array" ref="G1189">index('Player ID'!C:C,match(E1189,'Player ID'!B:B,0))</f>
        <v>670102</v>
      </c>
    </row>
    <row r="1190">
      <c r="A1190" s="76">
        <v>45753.0</v>
      </c>
      <c r="B1190" s="1" t="s">
        <v>395</v>
      </c>
      <c r="C1190" s="1" t="s">
        <v>40</v>
      </c>
      <c r="D1190" s="1">
        <v>1.0</v>
      </c>
      <c r="E1190" s="1">
        <v>21574.0</v>
      </c>
      <c r="F1190" s="10">
        <f t="shared" si="1"/>
        <v>1</v>
      </c>
      <c r="G1190" s="10">
        <f t="array" ref="G1190">index('Player ID'!C:C,match(E1190,'Player ID'!B:B,0))</f>
        <v>663893</v>
      </c>
    </row>
    <row r="1191">
      <c r="A1191" s="76">
        <v>45753.0</v>
      </c>
      <c r="B1191" s="1" t="s">
        <v>50</v>
      </c>
      <c r="C1191" s="1" t="s">
        <v>51</v>
      </c>
      <c r="D1191" s="1">
        <v>1.1</v>
      </c>
      <c r="E1191" s="1">
        <v>22175.0</v>
      </c>
      <c r="F1191" s="10">
        <f t="shared" si="1"/>
        <v>1.333333333</v>
      </c>
      <c r="G1191" s="10">
        <f t="array" ref="G1191">index('Player ID'!C:C,match(E1191,'Player ID'!B:B,0))</f>
        <v>668820</v>
      </c>
    </row>
    <row r="1192">
      <c r="A1192" s="76">
        <v>45753.0</v>
      </c>
      <c r="B1192" s="1" t="s">
        <v>649</v>
      </c>
      <c r="C1192" s="1" t="s">
        <v>29</v>
      </c>
      <c r="D1192" s="1">
        <v>1.0</v>
      </c>
      <c r="E1192" s="1">
        <v>14542.0</v>
      </c>
      <c r="F1192" s="10">
        <f t="shared" si="1"/>
        <v>1</v>
      </c>
      <c r="G1192" s="10">
        <f t="array" ref="G1192">index('Player ID'!C:C,match(E1192,'Player ID'!B:B,0))</f>
        <v>608032</v>
      </c>
    </row>
    <row r="1193">
      <c r="A1193" s="76">
        <v>45753.0</v>
      </c>
      <c r="B1193" s="1" t="s">
        <v>650</v>
      </c>
      <c r="C1193" s="1" t="s">
        <v>29</v>
      </c>
      <c r="D1193" s="1">
        <v>0.1</v>
      </c>
      <c r="E1193" s="1">
        <v>15507.0</v>
      </c>
      <c r="F1193" s="10">
        <f t="shared" si="1"/>
        <v>0.3333333333</v>
      </c>
      <c r="G1193" s="10">
        <f t="array" ref="G1193">index('Player ID'!C:C,match(E1193,'Player ID'!B:B,0))</f>
        <v>640451</v>
      </c>
    </row>
    <row r="1194">
      <c r="A1194" s="76">
        <v>45753.0</v>
      </c>
      <c r="B1194" s="1" t="s">
        <v>639</v>
      </c>
      <c r="C1194" s="1" t="s">
        <v>68</v>
      </c>
      <c r="D1194" s="1">
        <v>1.0</v>
      </c>
      <c r="E1194" s="1">
        <v>19249.0</v>
      </c>
      <c r="F1194" s="10">
        <f t="shared" si="1"/>
        <v>1</v>
      </c>
      <c r="G1194" s="10">
        <f t="array" ref="G1194">index('Player ID'!C:C,match(E1194,'Player ID'!B:B,0))</f>
        <v>622554</v>
      </c>
    </row>
    <row r="1195">
      <c r="A1195" s="76">
        <v>45753.0</v>
      </c>
      <c r="B1195" s="1" t="s">
        <v>407</v>
      </c>
      <c r="C1195" s="1" t="s">
        <v>29</v>
      </c>
      <c r="D1195" s="1">
        <v>1.0</v>
      </c>
      <c r="E1195" s="1">
        <v>19360.0</v>
      </c>
      <c r="F1195" s="10">
        <f t="shared" si="1"/>
        <v>1</v>
      </c>
      <c r="G1195" s="10">
        <f t="array" ref="G1195">index('Player ID'!C:C,match(E1195,'Player ID'!B:B,0))</f>
        <v>668674</v>
      </c>
    </row>
    <row r="1196">
      <c r="A1196" s="76">
        <v>45753.0</v>
      </c>
      <c r="B1196" s="1" t="s">
        <v>163</v>
      </c>
      <c r="C1196" s="1" t="s">
        <v>29</v>
      </c>
      <c r="D1196" s="1">
        <v>6.2</v>
      </c>
      <c r="E1196" s="1">
        <v>21455.0</v>
      </c>
      <c r="F1196" s="10">
        <f t="shared" si="1"/>
        <v>6.666666667</v>
      </c>
      <c r="G1196" s="10">
        <f t="array" ref="G1196">index('Player ID'!C:C,match(E1196,'Player ID'!B:B,0))</f>
        <v>663460</v>
      </c>
    </row>
    <row r="1197">
      <c r="A1197" s="76">
        <v>45753.0</v>
      </c>
      <c r="B1197" s="1" t="s">
        <v>235</v>
      </c>
      <c r="C1197" s="1" t="s">
        <v>68</v>
      </c>
      <c r="D1197" s="1">
        <v>1.0</v>
      </c>
      <c r="E1197" s="1">
        <v>25911.0</v>
      </c>
      <c r="F1197" s="10">
        <f t="shared" si="1"/>
        <v>1</v>
      </c>
      <c r="G1197" s="10">
        <f t="array" ref="G1197">index('Player ID'!C:C,match(E1197,'Player ID'!B:B,0))</f>
        <v>666974</v>
      </c>
    </row>
    <row r="1198">
      <c r="A1198" s="76">
        <v>45753.0</v>
      </c>
      <c r="B1198" s="1" t="s">
        <v>347</v>
      </c>
      <c r="C1198" s="1" t="s">
        <v>68</v>
      </c>
      <c r="D1198" s="1">
        <v>6.0</v>
      </c>
      <c r="E1198" s="1">
        <v>30055.0</v>
      </c>
      <c r="F1198" s="10">
        <f t="shared" si="1"/>
        <v>6</v>
      </c>
      <c r="G1198" s="10">
        <f t="array" ref="G1198">index('Player ID'!C:C,match(E1198,'Player ID'!B:B,0))</f>
        <v>700249</v>
      </c>
    </row>
    <row r="1199">
      <c r="A1199" s="76">
        <v>45753.0</v>
      </c>
      <c r="B1199" s="1" t="s">
        <v>417</v>
      </c>
      <c r="C1199" s="1" t="s">
        <v>66</v>
      </c>
      <c r="D1199" s="1">
        <v>2.0</v>
      </c>
      <c r="E1199" s="1">
        <v>13942.0</v>
      </c>
      <c r="F1199" s="10">
        <f t="shared" si="1"/>
        <v>2</v>
      </c>
      <c r="G1199" s="10">
        <f t="array" ref="G1199">index('Player ID'!C:C,match(E1199,'Player ID'!B:B,0))</f>
        <v>608718</v>
      </c>
    </row>
    <row r="1200">
      <c r="A1200" s="76">
        <v>45753.0</v>
      </c>
      <c r="B1200" s="1" t="s">
        <v>652</v>
      </c>
      <c r="C1200" s="1" t="s">
        <v>66</v>
      </c>
      <c r="D1200" s="1">
        <v>0.2</v>
      </c>
      <c r="E1200" s="1">
        <v>14874.0</v>
      </c>
      <c r="F1200" s="10">
        <f t="shared" si="1"/>
        <v>0.6666666667</v>
      </c>
      <c r="G1200" s="10">
        <f t="array" ref="G1200">index('Player ID'!C:C,match(E1200,'Player ID'!B:B,0))</f>
        <v>594580</v>
      </c>
    </row>
    <row r="1201">
      <c r="A1201" s="76">
        <v>45753.0</v>
      </c>
      <c r="B1201" s="1" t="s">
        <v>653</v>
      </c>
      <c r="C1201" s="1" t="s">
        <v>66</v>
      </c>
      <c r="D1201" s="1">
        <v>1.0</v>
      </c>
      <c r="E1201" s="1">
        <v>17871.0</v>
      </c>
      <c r="F1201" s="10">
        <f t="shared" si="1"/>
        <v>1</v>
      </c>
      <c r="G1201" s="10">
        <f t="array" ref="G1201">index('Player ID'!C:C,match(E1201,'Player ID'!B:B,0))</f>
        <v>664139</v>
      </c>
    </row>
    <row r="1202">
      <c r="A1202" s="76">
        <v>45753.0</v>
      </c>
      <c r="B1202" s="1" t="s">
        <v>318</v>
      </c>
      <c r="C1202" s="1" t="s">
        <v>14</v>
      </c>
      <c r="D1202" s="1">
        <v>2.0</v>
      </c>
      <c r="E1202" s="1">
        <v>20546.0</v>
      </c>
      <c r="F1202" s="10">
        <f t="shared" si="1"/>
        <v>2</v>
      </c>
      <c r="G1202" s="10">
        <f t="array" ref="G1202">index('Player ID'!C:C,match(E1202,'Player ID'!B:B,0))</f>
        <v>681982</v>
      </c>
    </row>
    <row r="1203">
      <c r="A1203" s="76">
        <v>45753.0</v>
      </c>
      <c r="B1203" s="1" t="s">
        <v>279</v>
      </c>
      <c r="C1203" s="1" t="s">
        <v>14</v>
      </c>
      <c r="D1203" s="1">
        <v>1.0</v>
      </c>
      <c r="E1203" s="1">
        <v>25327.0</v>
      </c>
      <c r="F1203" s="10">
        <f t="shared" si="1"/>
        <v>1</v>
      </c>
      <c r="G1203" s="10">
        <f t="array" ref="G1203">index('Player ID'!C:C,match(E1203,'Player ID'!B:B,0))</f>
        <v>682842</v>
      </c>
    </row>
    <row r="1204">
      <c r="A1204" s="76">
        <v>45753.0</v>
      </c>
      <c r="B1204" s="1" t="s">
        <v>418</v>
      </c>
      <c r="C1204" s="1" t="s">
        <v>14</v>
      </c>
      <c r="D1204" s="1">
        <v>0.2</v>
      </c>
      <c r="E1204" s="1">
        <v>27517.0</v>
      </c>
      <c r="F1204" s="10">
        <f t="shared" si="1"/>
        <v>0.6666666667</v>
      </c>
      <c r="G1204" s="10">
        <f t="array" ref="G1204">index('Player ID'!C:C,match(E1204,'Player ID'!B:B,0))</f>
        <v>657649</v>
      </c>
    </row>
    <row r="1205">
      <c r="A1205" s="76">
        <v>45753.0</v>
      </c>
      <c r="B1205" s="1" t="s">
        <v>211</v>
      </c>
      <c r="C1205" s="1" t="s">
        <v>66</v>
      </c>
      <c r="D1205" s="1">
        <v>1.0</v>
      </c>
      <c r="E1205" s="1">
        <v>27552.0</v>
      </c>
      <c r="F1205" s="10">
        <f t="shared" si="1"/>
        <v>1</v>
      </c>
      <c r="G1205" s="10">
        <f t="array" ref="G1205">index('Player ID'!C:C,match(E1205,'Player ID'!B:B,0))</f>
        <v>668933</v>
      </c>
    </row>
    <row r="1206">
      <c r="A1206" s="76">
        <v>45753.0</v>
      </c>
      <c r="B1206" s="1" t="s">
        <v>579</v>
      </c>
      <c r="C1206" s="1" t="s">
        <v>66</v>
      </c>
      <c r="D1206" s="1">
        <v>3.1</v>
      </c>
      <c r="E1206" s="1">
        <v>27685.0</v>
      </c>
      <c r="F1206" s="10">
        <f t="shared" si="1"/>
        <v>3.333333333</v>
      </c>
      <c r="G1206" s="10">
        <f t="array" ref="G1206">index('Player ID'!C:C,match(E1206,'Player ID'!B:B,0))</f>
        <v>686730</v>
      </c>
    </row>
    <row r="1207">
      <c r="A1207" s="76">
        <v>45753.0</v>
      </c>
      <c r="B1207" s="1" t="s">
        <v>496</v>
      </c>
      <c r="C1207" s="1" t="s">
        <v>14</v>
      </c>
      <c r="D1207" s="1">
        <v>5.1</v>
      </c>
      <c r="E1207" s="1">
        <v>30113.0</v>
      </c>
      <c r="F1207" s="10">
        <f t="shared" si="1"/>
        <v>5.333333333</v>
      </c>
      <c r="G1207" s="10">
        <f t="array" ref="G1207">index('Player ID'!C:C,match(E1207,'Player ID'!B:B,0))</f>
        <v>694477</v>
      </c>
    </row>
    <row r="1208">
      <c r="A1208" s="76">
        <v>45753.0</v>
      </c>
      <c r="B1208" s="1" t="s">
        <v>326</v>
      </c>
      <c r="C1208" s="1" t="s">
        <v>39</v>
      </c>
      <c r="D1208" s="1">
        <v>2.0</v>
      </c>
      <c r="E1208" s="1">
        <v>12760.0</v>
      </c>
      <c r="F1208" s="10">
        <f t="shared" si="1"/>
        <v>2</v>
      </c>
      <c r="G1208" s="10">
        <f t="array" ref="G1208">index('Player ID'!C:C,match(E1208,'Player ID'!B:B,0))</f>
        <v>606160</v>
      </c>
    </row>
    <row r="1209">
      <c r="A1209" s="76">
        <v>45753.0</v>
      </c>
      <c r="B1209" s="1" t="s">
        <v>435</v>
      </c>
      <c r="C1209" s="1" t="s">
        <v>16</v>
      </c>
      <c r="D1209" s="1">
        <v>0.1</v>
      </c>
      <c r="E1209" s="1">
        <v>13293.0</v>
      </c>
      <c r="F1209" s="10">
        <f t="shared" si="1"/>
        <v>0.3333333333</v>
      </c>
      <c r="G1209" s="10">
        <f t="array" ref="G1209">index('Player ID'!C:C,match(E1209,'Player ID'!B:B,0))</f>
        <v>543056</v>
      </c>
    </row>
    <row r="1210">
      <c r="A1210" s="76">
        <v>45753.0</v>
      </c>
      <c r="B1210" s="1" t="s">
        <v>59</v>
      </c>
      <c r="C1210" s="1" t="s">
        <v>39</v>
      </c>
      <c r="D1210" s="1">
        <v>2.0</v>
      </c>
      <c r="E1210" s="1">
        <v>14212.0</v>
      </c>
      <c r="F1210" s="10">
        <f t="shared" si="1"/>
        <v>2</v>
      </c>
      <c r="G1210" s="10">
        <f t="array" ref="G1210">index('Player ID'!C:C,match(E1210,'Player ID'!B:B,0))</f>
        <v>623352</v>
      </c>
    </row>
    <row r="1211">
      <c r="A1211" s="76">
        <v>45753.0</v>
      </c>
      <c r="B1211" s="1" t="s">
        <v>146</v>
      </c>
      <c r="C1211" s="1" t="s">
        <v>16</v>
      </c>
      <c r="D1211" s="1">
        <v>1.0</v>
      </c>
      <c r="E1211" s="1">
        <v>15145.0</v>
      </c>
      <c r="F1211" s="10">
        <f t="shared" si="1"/>
        <v>1</v>
      </c>
      <c r="G1211" s="10">
        <f t="array" ref="G1211">index('Player ID'!C:C,match(E1211,'Player ID'!B:B,0))</f>
        <v>623437</v>
      </c>
    </row>
    <row r="1212">
      <c r="A1212" s="76">
        <v>45753.0</v>
      </c>
      <c r="B1212" s="1" t="s">
        <v>210</v>
      </c>
      <c r="C1212" s="1" t="s">
        <v>39</v>
      </c>
      <c r="D1212" s="1">
        <v>1.0</v>
      </c>
      <c r="E1212" s="1">
        <v>16609.0</v>
      </c>
      <c r="F1212" s="10">
        <f t="shared" si="1"/>
        <v>1</v>
      </c>
      <c r="G1212" s="10">
        <f t="array" ref="G1212">index('Player ID'!C:C,match(E1212,'Player ID'!B:B,0))</f>
        <v>650556</v>
      </c>
    </row>
    <row r="1213">
      <c r="A1213" s="76">
        <v>45753.0</v>
      </c>
      <c r="B1213" s="1" t="s">
        <v>314</v>
      </c>
      <c r="C1213" s="1" t="s">
        <v>39</v>
      </c>
      <c r="D1213" s="1">
        <v>1.2</v>
      </c>
      <c r="E1213" s="1">
        <v>19407.0</v>
      </c>
      <c r="F1213" s="10">
        <f t="shared" si="1"/>
        <v>1.666666667</v>
      </c>
      <c r="G1213" s="10">
        <f t="array" ref="G1213">index('Player ID'!C:C,match(E1213,'Player ID'!B:B,0))</f>
        <v>669854</v>
      </c>
    </row>
    <row r="1214">
      <c r="A1214" s="76">
        <v>45753.0</v>
      </c>
      <c r="B1214" s="1" t="s">
        <v>708</v>
      </c>
      <c r="C1214" s="1" t="s">
        <v>16</v>
      </c>
      <c r="D1214" s="1">
        <v>0.2</v>
      </c>
      <c r="E1214" s="1">
        <v>20038.0</v>
      </c>
      <c r="F1214" s="10">
        <f t="shared" si="1"/>
        <v>0.6666666667</v>
      </c>
      <c r="G1214" s="10">
        <f t="array" ref="G1214">index('Player ID'!C:C,match(E1214,'Player ID'!B:B,0))</f>
        <v>670766</v>
      </c>
    </row>
    <row r="1215">
      <c r="A1215" s="76">
        <v>45753.0</v>
      </c>
      <c r="B1215" s="1" t="s">
        <v>133</v>
      </c>
      <c r="C1215" s="1" t="s">
        <v>16</v>
      </c>
      <c r="D1215" s="1">
        <v>4.0</v>
      </c>
      <c r="E1215" s="1">
        <v>20099.0</v>
      </c>
      <c r="F1215" s="10">
        <f t="shared" si="1"/>
        <v>4</v>
      </c>
      <c r="G1215" s="10">
        <f t="array" ref="G1215">index('Player ID'!C:C,match(E1215,'Player ID'!B:B,0))</f>
        <v>663978</v>
      </c>
    </row>
    <row r="1216">
      <c r="A1216" s="76">
        <v>45753.0</v>
      </c>
      <c r="B1216" s="1" t="s">
        <v>28</v>
      </c>
      <c r="C1216" s="1" t="s">
        <v>16</v>
      </c>
      <c r="D1216" s="1">
        <v>1.0</v>
      </c>
      <c r="E1216" s="1">
        <v>20253.0</v>
      </c>
      <c r="F1216" s="10">
        <f t="shared" si="1"/>
        <v>1</v>
      </c>
      <c r="G1216" s="10">
        <f t="array" ref="G1216">index('Player ID'!C:C,match(E1216,'Player ID'!B:B,0))</f>
        <v>643377</v>
      </c>
    </row>
    <row r="1217">
      <c r="A1217" s="76">
        <v>45753.0</v>
      </c>
      <c r="B1217" s="1" t="s">
        <v>122</v>
      </c>
      <c r="C1217" s="1" t="s">
        <v>16</v>
      </c>
      <c r="D1217" s="1">
        <v>1.0</v>
      </c>
      <c r="E1217" s="1">
        <v>21029.0</v>
      </c>
      <c r="F1217" s="10">
        <f t="shared" si="1"/>
        <v>1</v>
      </c>
      <c r="G1217" s="10">
        <f t="array" ref="G1217">index('Player ID'!C:C,match(E1217,'Player ID'!B:B,0))</f>
        <v>661395</v>
      </c>
    </row>
    <row r="1218">
      <c r="A1218" s="76">
        <v>45753.0</v>
      </c>
      <c r="B1218" s="1" t="s">
        <v>237</v>
      </c>
      <c r="C1218" s="1" t="s">
        <v>16</v>
      </c>
      <c r="D1218" s="1">
        <v>1.0</v>
      </c>
      <c r="E1218" s="1">
        <v>21461.0</v>
      </c>
      <c r="F1218" s="10">
        <f t="shared" si="1"/>
        <v>1</v>
      </c>
      <c r="G1218" s="10">
        <f t="array" ref="G1218">index('Player ID'!C:C,match(E1218,'Player ID'!B:B,0))</f>
        <v>663485</v>
      </c>
    </row>
    <row r="1219">
      <c r="A1219" s="76">
        <v>45753.0</v>
      </c>
      <c r="B1219" s="1" t="s">
        <v>680</v>
      </c>
      <c r="C1219" s="1" t="s">
        <v>39</v>
      </c>
      <c r="D1219" s="1">
        <v>2.1</v>
      </c>
      <c r="E1219" s="1">
        <v>25839.0</v>
      </c>
      <c r="F1219" s="10">
        <f t="shared" si="1"/>
        <v>2.333333333</v>
      </c>
      <c r="G1219" s="10">
        <f t="array" ref="G1219">index('Player ID'!C:C,match(E1219,'Player ID'!B:B,0))</f>
        <v>664351</v>
      </c>
    </row>
    <row r="1220">
      <c r="A1220" s="76">
        <v>45753.0</v>
      </c>
      <c r="B1220" s="1" t="s">
        <v>76</v>
      </c>
      <c r="C1220" s="1" t="s">
        <v>39</v>
      </c>
      <c r="D1220" s="1">
        <v>1.0</v>
      </c>
      <c r="E1220" s="1">
        <v>25890.0</v>
      </c>
      <c r="F1220" s="10">
        <f t="shared" si="1"/>
        <v>1</v>
      </c>
      <c r="G1220" s="10">
        <f t="array" ref="G1220">index('Player ID'!C:C,match(E1220,'Player ID'!B:B,0))</f>
        <v>687911</v>
      </c>
    </row>
    <row r="1221">
      <c r="A1221" s="76">
        <v>45753.0</v>
      </c>
      <c r="B1221" s="1" t="s">
        <v>47</v>
      </c>
      <c r="C1221" s="1" t="s">
        <v>16</v>
      </c>
      <c r="D1221" s="1">
        <v>1.0</v>
      </c>
      <c r="E1221" s="1">
        <v>27691.0</v>
      </c>
      <c r="F1221" s="10">
        <f t="shared" si="1"/>
        <v>1</v>
      </c>
      <c r="G1221" s="10">
        <f t="array" ref="G1221">index('Player ID'!C:C,match(E1221,'Player ID'!B:B,0))</f>
        <v>686973</v>
      </c>
    </row>
    <row r="1222">
      <c r="A1222" s="76">
        <v>45753.0</v>
      </c>
      <c r="B1222" s="1" t="s">
        <v>460</v>
      </c>
      <c r="C1222" s="1" t="s">
        <v>34</v>
      </c>
      <c r="D1222" s="1">
        <v>1.0</v>
      </c>
      <c r="E1222" s="1">
        <v>7005.0</v>
      </c>
      <c r="F1222" s="10">
        <f t="shared" si="1"/>
        <v>1</v>
      </c>
      <c r="G1222" s="10">
        <f t="array" ref="G1222">index('Player ID'!C:C,match(E1222,'Player ID'!B:B,0))</f>
        <v>519151</v>
      </c>
    </row>
    <row r="1223">
      <c r="A1223" s="76">
        <v>45753.0</v>
      </c>
      <c r="B1223" s="1" t="s">
        <v>71</v>
      </c>
      <c r="C1223" s="1" t="s">
        <v>34</v>
      </c>
      <c r="D1223" s="1">
        <v>0.2</v>
      </c>
      <c r="E1223" s="1">
        <v>10078.0</v>
      </c>
      <c r="F1223" s="10">
        <f t="shared" si="1"/>
        <v>0.6666666667</v>
      </c>
      <c r="G1223" s="10">
        <f t="array" ref="G1223">index('Player ID'!C:C,match(E1223,'Player ID'!B:B,0))</f>
        <v>573204</v>
      </c>
    </row>
    <row r="1224">
      <c r="A1224" s="76">
        <v>45753.0</v>
      </c>
      <c r="B1224" s="1" t="s">
        <v>342</v>
      </c>
      <c r="C1224" s="1" t="s">
        <v>26</v>
      </c>
      <c r="D1224" s="1">
        <v>1.0</v>
      </c>
      <c r="E1224" s="1">
        <v>11861.0</v>
      </c>
      <c r="F1224" s="10">
        <f t="shared" si="1"/>
        <v>1</v>
      </c>
      <c r="G1224" s="10">
        <f t="array" ref="G1224">index('Player ID'!C:C,match(E1224,'Player ID'!B:B,0))</f>
        <v>592094</v>
      </c>
    </row>
    <row r="1225">
      <c r="A1225" s="76">
        <v>45753.0</v>
      </c>
      <c r="B1225" s="1" t="s">
        <v>297</v>
      </c>
      <c r="C1225" s="1" t="s">
        <v>34</v>
      </c>
      <c r="D1225" s="1">
        <v>1.0</v>
      </c>
      <c r="E1225" s="1">
        <v>15734.0</v>
      </c>
      <c r="F1225" s="10">
        <f t="shared" si="1"/>
        <v>1</v>
      </c>
      <c r="G1225" s="10">
        <f t="array" ref="G1225">index('Player ID'!C:C,match(E1225,'Player ID'!B:B,0))</f>
        <v>641745</v>
      </c>
    </row>
    <row r="1226">
      <c r="A1226" s="76">
        <v>45753.0</v>
      </c>
      <c r="B1226" s="1" t="s">
        <v>632</v>
      </c>
      <c r="C1226" s="1" t="s">
        <v>34</v>
      </c>
      <c r="D1226" s="1">
        <v>1.1</v>
      </c>
      <c r="E1226" s="1">
        <v>16703.0</v>
      </c>
      <c r="F1226" s="10">
        <f t="shared" si="1"/>
        <v>1.333333333</v>
      </c>
      <c r="G1226" s="10">
        <f t="array" ref="G1226">index('Player ID'!C:C,match(E1226,'Player ID'!B:B,0))</f>
        <v>657240</v>
      </c>
    </row>
    <row r="1227">
      <c r="A1227" s="76">
        <v>45753.0</v>
      </c>
      <c r="B1227" s="1" t="s">
        <v>271</v>
      </c>
      <c r="C1227" s="1" t="s">
        <v>26</v>
      </c>
      <c r="D1227" s="1">
        <v>0.2</v>
      </c>
      <c r="E1227" s="1">
        <v>19646.0</v>
      </c>
      <c r="F1227" s="10">
        <f t="shared" si="1"/>
        <v>0.6666666667</v>
      </c>
      <c r="G1227" s="10">
        <f t="array" ref="G1227">index('Player ID'!C:C,match(E1227,'Player ID'!B:B,0))</f>
        <v>606996</v>
      </c>
    </row>
    <row r="1228">
      <c r="A1228" s="76">
        <v>45753.0</v>
      </c>
      <c r="B1228" s="1" t="s">
        <v>49</v>
      </c>
      <c r="C1228" s="1" t="s">
        <v>26</v>
      </c>
      <c r="D1228" s="1">
        <v>1.1</v>
      </c>
      <c r="E1228" s="1">
        <v>20039.0</v>
      </c>
      <c r="F1228" s="10">
        <f t="shared" si="1"/>
        <v>1.333333333</v>
      </c>
      <c r="G1228" s="10">
        <f t="array" ref="G1228">index('Player ID'!C:C,match(E1228,'Player ID'!B:B,0))</f>
        <v>670970</v>
      </c>
    </row>
    <row r="1229">
      <c r="A1229" s="76">
        <v>45753.0</v>
      </c>
      <c r="B1229" s="1" t="s">
        <v>94</v>
      </c>
      <c r="C1229" s="1" t="s">
        <v>26</v>
      </c>
      <c r="D1229" s="1">
        <v>1.0</v>
      </c>
      <c r="E1229" s="1">
        <v>22210.0</v>
      </c>
      <c r="F1229" s="10">
        <f t="shared" si="1"/>
        <v>1</v>
      </c>
      <c r="G1229" s="10">
        <f t="array" ref="G1229">index('Player ID'!C:C,match(E1229,'Player ID'!B:B,0))</f>
        <v>669093</v>
      </c>
    </row>
    <row r="1230">
      <c r="A1230" s="76">
        <v>45753.0</v>
      </c>
      <c r="B1230" s="1" t="s">
        <v>591</v>
      </c>
      <c r="C1230" s="1" t="s">
        <v>26</v>
      </c>
      <c r="D1230" s="1">
        <v>4.0</v>
      </c>
      <c r="E1230" s="1">
        <v>22461.0</v>
      </c>
      <c r="F1230" s="10">
        <f t="shared" si="1"/>
        <v>4</v>
      </c>
      <c r="G1230" s="10">
        <f t="array" ref="G1230">index('Player ID'!C:C,match(E1230,'Player ID'!B:B,0))</f>
        <v>670810</v>
      </c>
    </row>
    <row r="1231">
      <c r="A1231" s="76">
        <v>45753.0</v>
      </c>
      <c r="B1231" s="1" t="s">
        <v>341</v>
      </c>
      <c r="C1231" s="1" t="s">
        <v>34</v>
      </c>
      <c r="D1231" s="1">
        <v>4.0</v>
      </c>
      <c r="E1231" s="1">
        <v>23590.0</v>
      </c>
      <c r="F1231" s="10">
        <f t="shared" si="1"/>
        <v>4</v>
      </c>
      <c r="G1231" s="10">
        <f t="array" ref="G1231">index('Player ID'!C:C,match(E1231,'Player ID'!B:B,0))</f>
        <v>676962</v>
      </c>
    </row>
    <row r="1232">
      <c r="A1232" s="76">
        <v>45753.0</v>
      </c>
      <c r="B1232" s="1" t="s">
        <v>388</v>
      </c>
      <c r="C1232" s="1" t="s">
        <v>34</v>
      </c>
      <c r="D1232" s="1">
        <v>1.0</v>
      </c>
      <c r="E1232" s="1">
        <v>26413.0</v>
      </c>
      <c r="F1232" s="10">
        <f t="shared" si="1"/>
        <v>1</v>
      </c>
      <c r="G1232" s="10">
        <f t="array" ref="G1232">index('Player ID'!C:C,match(E1232,'Player ID'!B:B,0))</f>
        <v>687863</v>
      </c>
    </row>
    <row r="1233">
      <c r="A1233" s="76">
        <v>45753.0</v>
      </c>
      <c r="B1233" s="1" t="s">
        <v>81</v>
      </c>
      <c r="C1233" s="1" t="s">
        <v>26</v>
      </c>
      <c r="D1233" s="1">
        <v>1.0</v>
      </c>
      <c r="E1233" s="1">
        <v>30115.0</v>
      </c>
      <c r="F1233" s="10">
        <f t="shared" si="1"/>
        <v>1</v>
      </c>
      <c r="G1233" s="10">
        <f t="array" ref="G1233">index('Player ID'!C:C,match(E1233,'Player ID'!B:B,0))</f>
        <v>663158</v>
      </c>
    </row>
    <row r="1234">
      <c r="A1234" s="76">
        <v>45753.0</v>
      </c>
      <c r="B1234" s="1" t="s">
        <v>151</v>
      </c>
      <c r="C1234" s="1" t="s">
        <v>56</v>
      </c>
      <c r="D1234" s="1">
        <v>2.0</v>
      </c>
      <c r="E1234" s="1">
        <v>13346.0</v>
      </c>
      <c r="F1234" s="10">
        <f t="shared" si="1"/>
        <v>2</v>
      </c>
      <c r="G1234" s="10">
        <f t="array" ref="G1234">index('Player ID'!C:C,match(E1234,'Player ID'!B:B,0))</f>
        <v>571948</v>
      </c>
    </row>
    <row r="1235">
      <c r="A1235" s="76">
        <v>45753.0</v>
      </c>
      <c r="B1235" s="1" t="s">
        <v>185</v>
      </c>
      <c r="C1235" s="1" t="s">
        <v>54</v>
      </c>
      <c r="D1235" s="1">
        <v>0.2</v>
      </c>
      <c r="E1235" s="1">
        <v>17897.0</v>
      </c>
      <c r="F1235" s="10">
        <f t="shared" si="1"/>
        <v>0.6666666667</v>
      </c>
      <c r="G1235" s="10">
        <f t="array" ref="G1235">index('Player ID'!C:C,match(E1235,'Player ID'!B:B,0))</f>
        <v>664076</v>
      </c>
    </row>
    <row r="1236">
      <c r="A1236" s="76">
        <v>45753.0</v>
      </c>
      <c r="B1236" s="1" t="s">
        <v>261</v>
      </c>
      <c r="C1236" s="1" t="s">
        <v>54</v>
      </c>
      <c r="D1236" s="1">
        <v>1.0</v>
      </c>
      <c r="E1236" s="1">
        <v>17998.0</v>
      </c>
      <c r="F1236" s="10">
        <f t="shared" si="1"/>
        <v>1</v>
      </c>
      <c r="G1236" s="10">
        <f t="array" ref="G1236">index('Player ID'!C:C,match(E1236,'Player ID'!B:B,0))</f>
        <v>664126</v>
      </c>
    </row>
    <row r="1237">
      <c r="A1237" s="76">
        <v>45753.0</v>
      </c>
      <c r="B1237" s="1" t="s">
        <v>87</v>
      </c>
      <c r="C1237" s="1" t="s">
        <v>56</v>
      </c>
      <c r="D1237" s="1">
        <v>1.0</v>
      </c>
      <c r="E1237" s="1">
        <v>19274.0</v>
      </c>
      <c r="F1237" s="10">
        <f t="shared" si="1"/>
        <v>1</v>
      </c>
      <c r="G1237" s="10">
        <f t="array" ref="G1237">index('Player ID'!C:C,match(E1237,'Player ID'!B:B,0))</f>
        <v>657097</v>
      </c>
    </row>
    <row r="1238">
      <c r="A1238" s="76">
        <v>45753.0</v>
      </c>
      <c r="B1238" s="1" t="s">
        <v>400</v>
      </c>
      <c r="C1238" s="1" t="s">
        <v>54</v>
      </c>
      <c r="D1238" s="1">
        <v>0.2</v>
      </c>
      <c r="E1238" s="1">
        <v>20539.0</v>
      </c>
      <c r="F1238" s="10">
        <f t="shared" si="1"/>
        <v>0.6666666667</v>
      </c>
      <c r="G1238" s="10">
        <f t="array" ref="G1238">index('Player ID'!C:C,match(E1238,'Player ID'!B:B,0))</f>
        <v>670955</v>
      </c>
    </row>
    <row r="1239">
      <c r="A1239" s="76">
        <v>45753.0</v>
      </c>
      <c r="B1239" s="1" t="s">
        <v>705</v>
      </c>
      <c r="C1239" s="1" t="s">
        <v>54</v>
      </c>
      <c r="D1239" s="1">
        <v>1.1</v>
      </c>
      <c r="E1239" s="1">
        <v>20794.0</v>
      </c>
      <c r="F1239" s="10">
        <f t="shared" si="1"/>
        <v>1.333333333</v>
      </c>
      <c r="G1239" s="10">
        <f t="array" ref="G1239">index('Player ID'!C:C,match(E1239,'Player ID'!B:B,0))</f>
        <v>655889</v>
      </c>
    </row>
    <row r="1240">
      <c r="A1240" s="76">
        <v>45753.0</v>
      </c>
      <c r="B1240" s="1" t="s">
        <v>97</v>
      </c>
      <c r="C1240" s="1" t="s">
        <v>54</v>
      </c>
      <c r="D1240" s="1">
        <v>5.0</v>
      </c>
      <c r="E1240" s="1">
        <v>25385.0</v>
      </c>
      <c r="F1240" s="10">
        <f t="shared" si="1"/>
        <v>5</v>
      </c>
      <c r="G1240" s="10">
        <f t="array" ref="G1240">index('Player ID'!C:C,match(E1240,'Player ID'!B:B,0))</f>
        <v>656876</v>
      </c>
    </row>
    <row r="1241">
      <c r="A1241" s="76">
        <v>45753.0</v>
      </c>
      <c r="B1241" s="1" t="s">
        <v>677</v>
      </c>
      <c r="C1241" s="1" t="s">
        <v>56</v>
      </c>
      <c r="D1241" s="1">
        <v>1.0</v>
      </c>
      <c r="E1241" s="1">
        <v>26353.0</v>
      </c>
      <c r="F1241" s="10">
        <f t="shared" si="1"/>
        <v>1</v>
      </c>
      <c r="G1241" s="10">
        <f t="array" ref="G1241">index('Player ID'!C:C,match(E1241,'Player ID'!B:B,0))</f>
        <v>687847</v>
      </c>
    </row>
    <row r="1242">
      <c r="A1242" s="76">
        <v>45753.0</v>
      </c>
      <c r="B1242" s="1" t="s">
        <v>477</v>
      </c>
      <c r="C1242" s="1" t="s">
        <v>56</v>
      </c>
      <c r="D1242" s="1">
        <v>5.0</v>
      </c>
      <c r="E1242" s="1">
        <v>31843.0</v>
      </c>
      <c r="F1242" s="10">
        <f t="shared" si="1"/>
        <v>5</v>
      </c>
      <c r="G1242" s="10">
        <f t="array" ref="G1242">index('Player ID'!C:C,match(E1242,'Player ID'!B:B,0))</f>
        <v>677958</v>
      </c>
    </row>
    <row r="1243">
      <c r="A1243" s="76">
        <v>45753.0</v>
      </c>
      <c r="B1243" s="1" t="s">
        <v>668</v>
      </c>
      <c r="C1243" s="1" t="s">
        <v>52</v>
      </c>
      <c r="D1243" s="1">
        <v>0.2</v>
      </c>
      <c r="E1243" s="1">
        <v>3237.0</v>
      </c>
      <c r="F1243" s="10">
        <f t="shared" si="1"/>
        <v>0.6666666667</v>
      </c>
      <c r="G1243" s="10">
        <f t="array" ref="G1243">index('Player ID'!C:C,match(E1243,'Player ID'!B:B,0))</f>
        <v>519008</v>
      </c>
    </row>
    <row r="1244">
      <c r="A1244" s="76">
        <v>45753.0</v>
      </c>
      <c r="B1244" s="1" t="s">
        <v>215</v>
      </c>
      <c r="C1244" s="1" t="s">
        <v>75</v>
      </c>
      <c r="D1244" s="1">
        <v>2.0</v>
      </c>
      <c r="E1244" s="1">
        <v>21267.0</v>
      </c>
      <c r="F1244" s="10">
        <f t="shared" si="1"/>
        <v>2</v>
      </c>
      <c r="G1244" s="10">
        <f t="array" ref="G1244">index('Player ID'!C:C,match(E1244,'Player ID'!B:B,0))</f>
        <v>656234</v>
      </c>
    </row>
    <row r="1245">
      <c r="A1245" s="76">
        <v>45753.0</v>
      </c>
      <c r="B1245" s="1" t="s">
        <v>548</v>
      </c>
      <c r="C1245" s="1" t="s">
        <v>75</v>
      </c>
      <c r="D1245" s="1">
        <v>0.1</v>
      </c>
      <c r="E1245" s="1">
        <v>24203.0</v>
      </c>
      <c r="F1245" s="10">
        <f t="shared" si="1"/>
        <v>0.3333333333</v>
      </c>
      <c r="G1245" s="10">
        <f t="array" ref="G1245">index('Player ID'!C:C,match(E1245,'Player ID'!B:B,0))</f>
        <v>678821</v>
      </c>
    </row>
    <row r="1246">
      <c r="A1246" s="76">
        <v>45753.0</v>
      </c>
      <c r="B1246" s="1" t="s">
        <v>365</v>
      </c>
      <c r="C1246" s="1" t="s">
        <v>75</v>
      </c>
      <c r="D1246" s="1">
        <v>1.2</v>
      </c>
      <c r="E1246" s="1">
        <v>24614.0</v>
      </c>
      <c r="F1246" s="10">
        <f t="shared" si="1"/>
        <v>1.666666667</v>
      </c>
      <c r="G1246" s="10">
        <f t="array" ref="G1246">index('Player ID'!C:C,match(E1246,'Player ID'!B:B,0))</f>
        <v>680767</v>
      </c>
    </row>
    <row r="1247">
      <c r="A1247" s="76">
        <v>45753.0</v>
      </c>
      <c r="B1247" s="1" t="s">
        <v>619</v>
      </c>
      <c r="C1247" s="1" t="s">
        <v>52</v>
      </c>
      <c r="D1247" s="1">
        <v>3.0</v>
      </c>
      <c r="E1247" s="1">
        <v>26257.0</v>
      </c>
      <c r="F1247" s="10">
        <f t="shared" si="1"/>
        <v>3</v>
      </c>
      <c r="G1247" s="10">
        <f t="array" ref="G1247">index('Player ID'!C:C,match(E1247,'Player ID'!B:B,0))</f>
        <v>683155</v>
      </c>
    </row>
    <row r="1248">
      <c r="A1248" s="76">
        <v>45753.0</v>
      </c>
      <c r="B1248" s="1" t="s">
        <v>127</v>
      </c>
      <c r="C1248" s="1" t="s">
        <v>52</v>
      </c>
      <c r="D1248" s="1">
        <v>4.1</v>
      </c>
      <c r="E1248" s="1">
        <v>27707.0</v>
      </c>
      <c r="F1248" s="10">
        <f t="shared" si="1"/>
        <v>4.333333333</v>
      </c>
      <c r="G1248" s="10">
        <f t="array" ref="G1248">index('Player ID'!C:C,match(E1248,'Player ID'!B:B,0))</f>
        <v>687765</v>
      </c>
    </row>
    <row r="1249">
      <c r="A1249" s="76">
        <v>45753.0</v>
      </c>
      <c r="B1249" s="1" t="s">
        <v>495</v>
      </c>
      <c r="C1249" s="1" t="s">
        <v>75</v>
      </c>
      <c r="D1249" s="1">
        <v>5.0</v>
      </c>
      <c r="E1249" s="1">
        <v>33482.0</v>
      </c>
      <c r="F1249" s="10">
        <f t="shared" si="1"/>
        <v>5</v>
      </c>
      <c r="G1249" s="10">
        <f t="array" ref="G1249">index('Player ID'!C:C,match(E1249,'Player ID'!B:B,0))</f>
        <v>801403</v>
      </c>
    </row>
    <row r="1250">
      <c r="A1250" s="76">
        <v>45753.0</v>
      </c>
      <c r="B1250" s="1" t="s">
        <v>20</v>
      </c>
      <c r="C1250" s="1" t="s">
        <v>31</v>
      </c>
      <c r="D1250" s="1">
        <v>1.0</v>
      </c>
      <c r="E1250" s="1">
        <v>15541.0</v>
      </c>
      <c r="F1250" s="10">
        <f t="shared" si="1"/>
        <v>1</v>
      </c>
      <c r="G1250" s="10">
        <f t="array" ref="G1250">index('Player ID'!C:C,match(E1250,'Player ID'!B:B,0))</f>
        <v>643511</v>
      </c>
    </row>
    <row r="1251">
      <c r="A1251" s="76">
        <v>45753.0</v>
      </c>
      <c r="B1251" s="1" t="s">
        <v>445</v>
      </c>
      <c r="C1251" s="1" t="s">
        <v>31</v>
      </c>
      <c r="D1251" s="1">
        <v>5.1</v>
      </c>
      <c r="E1251" s="1">
        <v>19618.0</v>
      </c>
      <c r="F1251" s="10">
        <f t="shared" si="1"/>
        <v>5.333333333</v>
      </c>
      <c r="G1251" s="10">
        <f t="array" ref="G1251">index('Player ID'!C:C,match(E1251,'Player ID'!B:B,0))</f>
        <v>663855</v>
      </c>
    </row>
    <row r="1252">
      <c r="A1252" s="76">
        <v>45753.0</v>
      </c>
      <c r="B1252" s="1" t="s">
        <v>157</v>
      </c>
      <c r="C1252" s="1" t="s">
        <v>37</v>
      </c>
      <c r="D1252" s="1">
        <v>1.0</v>
      </c>
      <c r="E1252" s="1">
        <v>20997.0</v>
      </c>
      <c r="F1252" s="10">
        <f t="shared" si="1"/>
        <v>1</v>
      </c>
      <c r="G1252" s="10">
        <f t="array" ref="G1252">index('Player ID'!C:C,match(E1252,'Player ID'!B:B,0))</f>
        <v>660825</v>
      </c>
    </row>
    <row r="1253">
      <c r="A1253" s="76">
        <v>45753.0</v>
      </c>
      <c r="B1253" s="1" t="s">
        <v>684</v>
      </c>
      <c r="C1253" s="1" t="s">
        <v>37</v>
      </c>
      <c r="D1253" s="1">
        <v>0.2</v>
      </c>
      <c r="E1253" s="1">
        <v>21894.0</v>
      </c>
      <c r="F1253" s="10">
        <f t="shared" si="1"/>
        <v>0.6666666667</v>
      </c>
      <c r="G1253" s="10">
        <f t="array" ref="G1253">index('Player ID'!C:C,match(E1253,'Player ID'!B:B,0))</f>
        <v>666619</v>
      </c>
    </row>
    <row r="1254">
      <c r="A1254" s="76">
        <v>45753.0</v>
      </c>
      <c r="B1254" s="1" t="s">
        <v>304</v>
      </c>
      <c r="C1254" s="1" t="s">
        <v>31</v>
      </c>
      <c r="D1254" s="1">
        <v>1.0</v>
      </c>
      <c r="E1254" s="1">
        <v>21992.0</v>
      </c>
      <c r="F1254" s="10">
        <f t="shared" si="1"/>
        <v>1</v>
      </c>
      <c r="G1254" s="10">
        <f t="array" ref="G1254">index('Player ID'!C:C,match(E1254,'Player ID'!B:B,0))</f>
        <v>666808</v>
      </c>
    </row>
    <row r="1255">
      <c r="A1255" s="76">
        <v>45753.0</v>
      </c>
      <c r="B1255" s="1" t="s">
        <v>101</v>
      </c>
      <c r="C1255" s="1" t="s">
        <v>37</v>
      </c>
      <c r="D1255" s="1">
        <v>1.0</v>
      </c>
      <c r="E1255" s="1">
        <v>22915.0</v>
      </c>
      <c r="F1255" s="10">
        <f t="shared" si="1"/>
        <v>1</v>
      </c>
      <c r="G1255" s="10">
        <f t="array" ref="G1255">index('Player ID'!C:C,match(E1255,'Player ID'!B:B,0))</f>
        <v>672841</v>
      </c>
    </row>
    <row r="1256">
      <c r="A1256" s="76">
        <v>45753.0</v>
      </c>
      <c r="B1256" s="1" t="s">
        <v>654</v>
      </c>
      <c r="C1256" s="1" t="s">
        <v>31</v>
      </c>
      <c r="D1256" s="1">
        <v>0.2</v>
      </c>
      <c r="E1256" s="1">
        <v>23974.0</v>
      </c>
      <c r="F1256" s="10">
        <f t="shared" si="1"/>
        <v>0.6666666667</v>
      </c>
      <c r="G1256" s="10">
        <f t="array" ref="G1256">index('Player ID'!C:C,match(E1256,'Player ID'!B:B,0))</f>
        <v>678495</v>
      </c>
    </row>
    <row r="1257">
      <c r="A1257" s="76">
        <v>45753.0</v>
      </c>
      <c r="B1257" s="1" t="s">
        <v>655</v>
      </c>
      <c r="C1257" s="1" t="s">
        <v>31</v>
      </c>
      <c r="D1257" s="1">
        <v>1.0</v>
      </c>
      <c r="E1257" s="1">
        <v>26252.0</v>
      </c>
      <c r="F1257" s="10">
        <f t="shared" si="1"/>
        <v>1</v>
      </c>
      <c r="G1257" s="10">
        <f t="array" ref="G1257">index('Player ID'!C:C,match(E1257,'Player ID'!B:B,0))</f>
        <v>669062</v>
      </c>
    </row>
    <row r="1258">
      <c r="A1258" s="76">
        <v>45753.0</v>
      </c>
      <c r="B1258" s="1" t="s">
        <v>90</v>
      </c>
      <c r="C1258" s="1" t="s">
        <v>37</v>
      </c>
      <c r="D1258" s="1">
        <v>6.0</v>
      </c>
      <c r="E1258" s="1">
        <v>30279.0</v>
      </c>
      <c r="F1258" s="10">
        <f t="shared" si="1"/>
        <v>6</v>
      </c>
      <c r="G1258" s="10">
        <f t="array" ref="G1258">index('Player ID'!C:C,match(E1258,'Player ID'!B:B,0))</f>
        <v>693433</v>
      </c>
    </row>
    <row r="1259">
      <c r="A1259" s="76">
        <v>45753.0</v>
      </c>
      <c r="B1259" s="1" t="s">
        <v>154</v>
      </c>
      <c r="C1259" s="1" t="s">
        <v>25</v>
      </c>
      <c r="D1259" s="1">
        <v>1.0</v>
      </c>
      <c r="E1259" s="1">
        <v>3096.0</v>
      </c>
      <c r="F1259" s="10">
        <f t="shared" si="1"/>
        <v>1</v>
      </c>
      <c r="G1259" s="10">
        <f t="array" ref="G1259">index('Player ID'!C:C,match(E1259,'Player ID'!B:B,0))</f>
        <v>445276</v>
      </c>
    </row>
    <row r="1260">
      <c r="A1260" s="76">
        <v>45753.0</v>
      </c>
      <c r="B1260" s="1" t="s">
        <v>278</v>
      </c>
      <c r="C1260" s="1" t="s">
        <v>25</v>
      </c>
      <c r="D1260" s="1">
        <v>5.0</v>
      </c>
      <c r="E1260" s="1">
        <v>12880.0</v>
      </c>
      <c r="F1260" s="10">
        <f t="shared" si="1"/>
        <v>5</v>
      </c>
      <c r="G1260" s="10">
        <f t="array" ref="G1260">index('Player ID'!C:C,match(E1260,'Player ID'!B:B,0))</f>
        <v>542881</v>
      </c>
    </row>
    <row r="1261">
      <c r="A1261" s="76">
        <v>45753.0</v>
      </c>
      <c r="B1261" s="1" t="s">
        <v>117</v>
      </c>
      <c r="C1261" s="1" t="s">
        <v>70</v>
      </c>
      <c r="D1261" s="1">
        <v>0.1</v>
      </c>
      <c r="E1261" s="1">
        <v>13619.0</v>
      </c>
      <c r="F1261" s="10">
        <f t="shared" si="1"/>
        <v>0.3333333333</v>
      </c>
      <c r="G1261" s="10">
        <f t="array" ref="G1261">index('Player ID'!C:C,match(E1261,'Player ID'!B:B,0))</f>
        <v>596001</v>
      </c>
    </row>
    <row r="1262">
      <c r="A1262" s="76">
        <v>45753.0</v>
      </c>
      <c r="B1262" s="1" t="s">
        <v>648</v>
      </c>
      <c r="C1262" s="1" t="s">
        <v>70</v>
      </c>
      <c r="D1262" s="1">
        <v>1.0</v>
      </c>
      <c r="E1262" s="1">
        <v>13892.0</v>
      </c>
      <c r="F1262" s="10">
        <f t="shared" si="1"/>
        <v>1</v>
      </c>
      <c r="G1262" s="10">
        <f t="array" ref="G1262">index('Player ID'!C:C,match(E1262,'Player ID'!B:B,0))</f>
        <v>623149</v>
      </c>
    </row>
    <row r="1263">
      <c r="A1263" s="76">
        <v>45753.0</v>
      </c>
      <c r="B1263" s="1" t="s">
        <v>291</v>
      </c>
      <c r="C1263" s="1" t="s">
        <v>25</v>
      </c>
      <c r="D1263" s="1">
        <v>0.2</v>
      </c>
      <c r="E1263" s="1">
        <v>17968.0</v>
      </c>
      <c r="F1263" s="10">
        <f t="shared" si="1"/>
        <v>0.6666666667</v>
      </c>
      <c r="G1263" s="10">
        <f t="array" ref="G1263">index('Player ID'!C:C,match(E1263,'Player ID'!B:B,0))</f>
        <v>656271</v>
      </c>
    </row>
    <row r="1264">
      <c r="A1264" s="76">
        <v>45753.0</v>
      </c>
      <c r="B1264" s="1" t="s">
        <v>385</v>
      </c>
      <c r="C1264" s="1" t="s">
        <v>25</v>
      </c>
      <c r="D1264" s="1">
        <v>1.0</v>
      </c>
      <c r="E1264" s="1">
        <v>25420.0</v>
      </c>
      <c r="F1264" s="10">
        <f t="shared" si="1"/>
        <v>1</v>
      </c>
      <c r="G1264" s="10">
        <f t="array" ref="G1264">index('Player ID'!C:C,match(E1264,'Player ID'!B:B,0))</f>
        <v>666171</v>
      </c>
    </row>
    <row r="1265">
      <c r="A1265" s="76">
        <v>45753.0</v>
      </c>
      <c r="B1265" s="1" t="s">
        <v>484</v>
      </c>
      <c r="C1265" s="1" t="s">
        <v>70</v>
      </c>
      <c r="D1265" s="1">
        <v>6.0</v>
      </c>
      <c r="E1265" s="1">
        <v>27646.0</v>
      </c>
      <c r="F1265" s="10">
        <f t="shared" si="1"/>
        <v>6</v>
      </c>
      <c r="G1265" s="10">
        <f t="array" ref="G1265">index('Player ID'!C:C,match(E1265,'Player ID'!B:B,0))</f>
        <v>682847</v>
      </c>
    </row>
    <row r="1266">
      <c r="A1266" s="76">
        <v>45753.0</v>
      </c>
      <c r="B1266" s="1" t="s">
        <v>135</v>
      </c>
      <c r="C1266" s="1" t="s">
        <v>70</v>
      </c>
      <c r="D1266" s="1">
        <v>0.2</v>
      </c>
      <c r="E1266" s="1">
        <v>27867.0</v>
      </c>
      <c r="F1266" s="10">
        <f t="shared" si="1"/>
        <v>0.6666666667</v>
      </c>
      <c r="G1266" s="10">
        <f t="array" ref="G1266">index('Player ID'!C:C,match(E1266,'Player ID'!B:B,0))</f>
        <v>671922</v>
      </c>
    </row>
    <row r="1267">
      <c r="A1267" s="76">
        <v>45753.0</v>
      </c>
      <c r="B1267" s="1" t="s">
        <v>696</v>
      </c>
      <c r="C1267" s="1" t="s">
        <v>25</v>
      </c>
      <c r="D1267" s="1">
        <v>1.1</v>
      </c>
      <c r="E1267" s="1">
        <v>31461.0</v>
      </c>
      <c r="F1267" s="10">
        <f t="shared" si="1"/>
        <v>1.333333333</v>
      </c>
      <c r="G1267" s="10">
        <f t="array" ref="G1267">index('Player ID'!C:C,match(E1267,'Player ID'!B:B,0))</f>
        <v>690829</v>
      </c>
    </row>
    <row r="1268">
      <c r="A1268" s="76">
        <v>45753.0</v>
      </c>
      <c r="B1268" s="1" t="s">
        <v>287</v>
      </c>
      <c r="C1268" s="1" t="s">
        <v>72</v>
      </c>
      <c r="D1268" s="1">
        <v>2.2</v>
      </c>
      <c r="E1268" s="1">
        <v>9803.0</v>
      </c>
      <c r="F1268" s="10">
        <f t="shared" si="1"/>
        <v>2.666666667</v>
      </c>
      <c r="G1268" s="10">
        <f t="array" ref="G1268">index('Player ID'!C:C,match(E1268,'Player ID'!B:B,0))</f>
        <v>571945</v>
      </c>
    </row>
    <row r="1269">
      <c r="A1269" s="76">
        <v>45753.0</v>
      </c>
      <c r="B1269" s="1" t="s">
        <v>493</v>
      </c>
      <c r="C1269" s="1" t="s">
        <v>22</v>
      </c>
      <c r="D1269" s="1">
        <v>1.0</v>
      </c>
      <c r="E1269" s="1">
        <v>16835.0</v>
      </c>
      <c r="F1269" s="10">
        <f t="shared" si="1"/>
        <v>1</v>
      </c>
      <c r="G1269" s="10">
        <f t="array" ref="G1269">index('Player ID'!C:C,match(E1269,'Player ID'!B:B,0))</f>
        <v>657514</v>
      </c>
    </row>
    <row r="1270">
      <c r="A1270" s="76">
        <v>45753.0</v>
      </c>
      <c r="B1270" s="1" t="s">
        <v>273</v>
      </c>
      <c r="C1270" s="1" t="s">
        <v>72</v>
      </c>
      <c r="D1270" s="1">
        <v>0.2</v>
      </c>
      <c r="E1270" s="1">
        <v>22051.0</v>
      </c>
      <c r="F1270" s="10">
        <f t="shared" si="1"/>
        <v>0.6666666667</v>
      </c>
      <c r="G1270" s="10">
        <f t="array" ref="G1270">index('Player ID'!C:C,match(E1270,'Player ID'!B:B,0))</f>
        <v>667463</v>
      </c>
    </row>
    <row r="1271">
      <c r="A1271" s="76">
        <v>45753.0</v>
      </c>
      <c r="B1271" s="1" t="s">
        <v>563</v>
      </c>
      <c r="C1271" s="1" t="s">
        <v>22</v>
      </c>
      <c r="D1271" s="1">
        <v>3.0</v>
      </c>
      <c r="E1271" s="1">
        <v>24975.0</v>
      </c>
      <c r="F1271" s="10">
        <f t="shared" si="1"/>
        <v>3</v>
      </c>
      <c r="G1271" s="10">
        <f t="array" ref="G1271">index('Player ID'!C:C,match(E1271,'Player ID'!B:B,0))</f>
        <v>681867</v>
      </c>
    </row>
    <row r="1272">
      <c r="A1272" s="76">
        <v>45753.0</v>
      </c>
      <c r="B1272" s="1" t="s">
        <v>337</v>
      </c>
      <c r="C1272" s="1" t="s">
        <v>72</v>
      </c>
      <c r="D1272" s="1">
        <v>3.0</v>
      </c>
      <c r="E1272" s="1">
        <v>29519.0</v>
      </c>
      <c r="F1272" s="10">
        <f t="shared" si="1"/>
        <v>3</v>
      </c>
      <c r="G1272" s="10">
        <f t="array" ref="G1272">index('Player ID'!C:C,match(E1272,'Player ID'!B:B,0))</f>
        <v>700669</v>
      </c>
    </row>
    <row r="1273">
      <c r="A1273" s="76">
        <v>45753.0</v>
      </c>
      <c r="B1273" s="1" t="s">
        <v>143</v>
      </c>
      <c r="C1273" s="1" t="s">
        <v>22</v>
      </c>
      <c r="D1273" s="1">
        <v>5.0</v>
      </c>
      <c r="E1273" s="1">
        <v>30240.0</v>
      </c>
      <c r="F1273" s="10">
        <f t="shared" si="1"/>
        <v>5</v>
      </c>
      <c r="G1273" s="10">
        <f t="array" ref="G1273">index('Player ID'!C:C,match(E1273,'Player ID'!B:B,0))</f>
        <v>690928</v>
      </c>
    </row>
    <row r="1274">
      <c r="A1274" s="76">
        <v>45753.0</v>
      </c>
      <c r="B1274" s="1" t="s">
        <v>665</v>
      </c>
      <c r="C1274" s="1" t="s">
        <v>72</v>
      </c>
      <c r="D1274" s="1">
        <v>1.2</v>
      </c>
      <c r="E1274" s="1">
        <v>31261.0</v>
      </c>
      <c r="F1274" s="10">
        <f t="shared" si="1"/>
        <v>1.666666667</v>
      </c>
      <c r="G1274" s="10">
        <f t="array" ref="G1274">index('Player ID'!C:C,match(E1274,'Player ID'!B:B,0))</f>
        <v>688297</v>
      </c>
    </row>
    <row r="1275">
      <c r="A1275" s="76">
        <v>45754.0</v>
      </c>
      <c r="B1275" s="1" t="s">
        <v>772</v>
      </c>
      <c r="C1275" s="1" t="s">
        <v>58</v>
      </c>
      <c r="D1275" s="1">
        <v>0.1</v>
      </c>
      <c r="E1275" s="1">
        <v>1247.0</v>
      </c>
      <c r="F1275" s="10">
        <f t="shared" si="1"/>
        <v>0.3333333333</v>
      </c>
      <c r="G1275" s="10">
        <f t="array" ref="G1275">index('Player ID'!C:C,match(E1275,'Player ID'!B:B,0))</f>
        <v>493603</v>
      </c>
    </row>
    <row r="1276">
      <c r="A1276" s="76">
        <v>45754.0</v>
      </c>
      <c r="B1276" s="1" t="s">
        <v>439</v>
      </c>
      <c r="C1276" s="1" t="s">
        <v>62</v>
      </c>
      <c r="D1276" s="1">
        <v>1.0</v>
      </c>
      <c r="E1276" s="1">
        <v>11384.0</v>
      </c>
      <c r="F1276" s="10">
        <f t="shared" si="1"/>
        <v>1</v>
      </c>
      <c r="G1276" s="10">
        <f t="array" ref="G1276">index('Player ID'!C:C,match(E1276,'Player ID'!B:B,0))</f>
        <v>592454</v>
      </c>
    </row>
    <row r="1277">
      <c r="A1277" s="76">
        <v>45754.0</v>
      </c>
      <c r="B1277" s="1" t="s">
        <v>635</v>
      </c>
      <c r="C1277" s="1" t="s">
        <v>58</v>
      </c>
      <c r="D1277" s="1">
        <v>6.0</v>
      </c>
      <c r="E1277" s="1">
        <v>16137.0</v>
      </c>
      <c r="F1277" s="10">
        <f t="shared" si="1"/>
        <v>6</v>
      </c>
      <c r="G1277" s="10">
        <f t="array" ref="G1277">index('Player ID'!C:C,match(E1277,'Player ID'!B:B,0))</f>
        <v>607074</v>
      </c>
    </row>
    <row r="1278">
      <c r="A1278" s="76">
        <v>45754.0</v>
      </c>
      <c r="B1278" s="1" t="s">
        <v>69</v>
      </c>
      <c r="C1278" s="1" t="s">
        <v>58</v>
      </c>
      <c r="D1278" s="1">
        <v>1.2</v>
      </c>
      <c r="E1278" s="1">
        <v>16814.0</v>
      </c>
      <c r="F1278" s="10">
        <f t="shared" si="1"/>
        <v>1.666666667</v>
      </c>
      <c r="G1278" s="10">
        <f t="array" ref="G1278">index('Player ID'!C:C,match(E1278,'Player ID'!B:B,0))</f>
        <v>657612</v>
      </c>
    </row>
    <row r="1279">
      <c r="A1279" s="76">
        <v>45754.0</v>
      </c>
      <c r="B1279" s="1" t="s">
        <v>125</v>
      </c>
      <c r="C1279" s="1" t="s">
        <v>62</v>
      </c>
      <c r="D1279" s="1">
        <v>6.0</v>
      </c>
      <c r="E1279" s="1">
        <v>20492.0</v>
      </c>
      <c r="F1279" s="10">
        <f t="shared" si="1"/>
        <v>6</v>
      </c>
      <c r="G1279" s="10">
        <f t="array" ref="G1279">index('Player ID'!C:C,match(E1279,'Player ID'!B:B,0))</f>
        <v>663554</v>
      </c>
    </row>
    <row r="1280">
      <c r="A1280" s="76">
        <v>45754.0</v>
      </c>
      <c r="B1280" s="1" t="s">
        <v>667</v>
      </c>
      <c r="C1280" s="1" t="s">
        <v>62</v>
      </c>
      <c r="D1280" s="1">
        <v>1.0</v>
      </c>
      <c r="E1280" s="1">
        <v>26079.0</v>
      </c>
      <c r="F1280" s="10">
        <f t="shared" si="1"/>
        <v>1</v>
      </c>
      <c r="G1280" s="10">
        <f t="array" ref="G1280">index('Player ID'!C:C,match(E1280,'Player ID'!B:B,0))</f>
        <v>689225</v>
      </c>
    </row>
    <row r="1281">
      <c r="A1281" s="76">
        <v>45754.0</v>
      </c>
      <c r="B1281" s="1" t="s">
        <v>82</v>
      </c>
      <c r="C1281" s="1" t="s">
        <v>62</v>
      </c>
      <c r="D1281" s="1">
        <v>1.0</v>
      </c>
      <c r="E1281" s="1">
        <v>26231.0</v>
      </c>
      <c r="F1281" s="10">
        <f t="shared" si="1"/>
        <v>1</v>
      </c>
      <c r="G1281" s="10">
        <f t="array" ref="G1281">index('Player ID'!C:C,match(E1281,'Player ID'!B:B,0))</f>
        <v>663947</v>
      </c>
    </row>
    <row r="1282">
      <c r="A1282" s="76">
        <v>45754.0</v>
      </c>
      <c r="B1282" s="1" t="s">
        <v>273</v>
      </c>
      <c r="C1282" s="1" t="s">
        <v>72</v>
      </c>
      <c r="D1282" s="1">
        <v>1.0</v>
      </c>
      <c r="E1282" s="1">
        <v>22051.0</v>
      </c>
      <c r="F1282" s="10">
        <f t="shared" si="1"/>
        <v>1</v>
      </c>
      <c r="G1282" s="10">
        <f t="array" ref="G1282">index('Player ID'!C:C,match(E1282,'Player ID'!B:B,0))</f>
        <v>667463</v>
      </c>
    </row>
    <row r="1283">
      <c r="A1283" s="76">
        <v>45754.0</v>
      </c>
      <c r="B1283" s="1" t="s">
        <v>290</v>
      </c>
      <c r="C1283" s="1" t="s">
        <v>72</v>
      </c>
      <c r="D1283" s="1">
        <v>6.1</v>
      </c>
      <c r="E1283" s="1">
        <v>22294.0</v>
      </c>
      <c r="F1283" s="10">
        <f t="shared" si="1"/>
        <v>6.333333333</v>
      </c>
      <c r="G1283" s="10">
        <f t="array" ref="G1283">index('Player ID'!C:C,match(E1283,'Player ID'!B:B,0))</f>
        <v>669461</v>
      </c>
    </row>
    <row r="1284">
      <c r="A1284" s="76">
        <v>45754.0</v>
      </c>
      <c r="B1284" s="1" t="s">
        <v>267</v>
      </c>
      <c r="C1284" s="1" t="s">
        <v>60</v>
      </c>
      <c r="D1284" s="1">
        <v>5.0</v>
      </c>
      <c r="E1284" s="1">
        <v>27572.0</v>
      </c>
      <c r="F1284" s="10">
        <f t="shared" si="1"/>
        <v>5</v>
      </c>
      <c r="G1284" s="10">
        <f t="array" ref="G1284">index('Player ID'!C:C,match(E1284,'Player ID'!B:B,0))</f>
        <v>669387</v>
      </c>
    </row>
    <row r="1285">
      <c r="A1285" s="76">
        <v>45754.0</v>
      </c>
      <c r="B1285" s="1" t="s">
        <v>665</v>
      </c>
      <c r="C1285" s="1" t="s">
        <v>72</v>
      </c>
      <c r="D1285" s="1">
        <v>0.2</v>
      </c>
      <c r="E1285" s="1">
        <v>31261.0</v>
      </c>
      <c r="F1285" s="10">
        <f t="shared" si="1"/>
        <v>0.6666666667</v>
      </c>
      <c r="G1285" s="10">
        <f t="array" ref="G1285">index('Player ID'!C:C,match(E1285,'Player ID'!B:B,0))</f>
        <v>688297</v>
      </c>
    </row>
    <row r="1286">
      <c r="A1286" s="76">
        <v>45754.0</v>
      </c>
      <c r="B1286" s="1" t="s">
        <v>618</v>
      </c>
      <c r="C1286" s="1" t="s">
        <v>60</v>
      </c>
      <c r="D1286" s="1">
        <v>4.0</v>
      </c>
      <c r="E1286" s="1">
        <v>31989.0</v>
      </c>
      <c r="F1286" s="10">
        <f t="shared" si="1"/>
        <v>4</v>
      </c>
      <c r="G1286" s="10">
        <f t="array" ref="G1286">index('Player ID'!C:C,match(E1286,'Player ID'!B:B,0))</f>
        <v>802419</v>
      </c>
    </row>
    <row r="1287">
      <c r="A1287" s="76">
        <v>45754.0</v>
      </c>
      <c r="B1287" s="1" t="s">
        <v>769</v>
      </c>
      <c r="C1287" s="1" t="s">
        <v>22</v>
      </c>
      <c r="D1287" s="1">
        <v>2.0</v>
      </c>
      <c r="E1287" s="1">
        <v>6576.0</v>
      </c>
      <c r="F1287" s="10">
        <f t="shared" si="1"/>
        <v>2</v>
      </c>
      <c r="G1287" s="10">
        <f t="array" ref="G1287">index('Player ID'!C:C,match(E1287,'Player ID'!B:B,0))</f>
        <v>476594</v>
      </c>
    </row>
    <row r="1288">
      <c r="A1288" s="76">
        <v>45754.0</v>
      </c>
      <c r="B1288" s="1" t="s">
        <v>673</v>
      </c>
      <c r="C1288" s="1" t="s">
        <v>40</v>
      </c>
      <c r="D1288" s="1">
        <v>1.0</v>
      </c>
      <c r="E1288" s="1">
        <v>12095.0</v>
      </c>
      <c r="F1288" s="10">
        <f t="shared" si="1"/>
        <v>1</v>
      </c>
      <c r="G1288" s="10">
        <f t="array" ref="G1288">index('Player ID'!C:C,match(E1288,'Player ID'!B:B,0))</f>
        <v>554340</v>
      </c>
    </row>
    <row r="1289">
      <c r="A1289" s="76">
        <v>45754.0</v>
      </c>
      <c r="B1289" s="1" t="s">
        <v>638</v>
      </c>
      <c r="C1289" s="1" t="s">
        <v>40</v>
      </c>
      <c r="D1289" s="1">
        <v>7.0</v>
      </c>
      <c r="E1289" s="1">
        <v>14168.0</v>
      </c>
      <c r="F1289" s="10">
        <f t="shared" si="1"/>
        <v>7</v>
      </c>
      <c r="G1289" s="10">
        <f t="array" ref="G1289">index('Player ID'!C:C,match(E1289,'Player ID'!B:B,0))</f>
        <v>621244</v>
      </c>
    </row>
    <row r="1290">
      <c r="A1290" s="76">
        <v>45754.0</v>
      </c>
      <c r="B1290" s="1" t="s">
        <v>311</v>
      </c>
      <c r="C1290" s="1" t="s">
        <v>40</v>
      </c>
      <c r="D1290" s="1">
        <v>1.0</v>
      </c>
      <c r="E1290" s="1">
        <v>17432.0</v>
      </c>
      <c r="F1290" s="10">
        <f t="shared" si="1"/>
        <v>1</v>
      </c>
      <c r="G1290" s="10">
        <f t="array" ref="G1290">index('Player ID'!C:C,match(E1290,'Player ID'!B:B,0))</f>
        <v>656546</v>
      </c>
    </row>
    <row r="1291">
      <c r="A1291" s="76">
        <v>45754.0</v>
      </c>
      <c r="B1291" s="1" t="s">
        <v>406</v>
      </c>
      <c r="C1291" s="1" t="s">
        <v>22</v>
      </c>
      <c r="D1291" s="1">
        <v>1.0</v>
      </c>
      <c r="E1291" s="1">
        <v>20375.0</v>
      </c>
      <c r="F1291" s="10">
        <f t="shared" si="1"/>
        <v>1</v>
      </c>
      <c r="G1291" s="10">
        <f t="array" ref="G1291">index('Player ID'!C:C,match(E1291,'Player ID'!B:B,0))</f>
        <v>669711</v>
      </c>
    </row>
    <row r="1292">
      <c r="A1292" s="76">
        <v>45754.0</v>
      </c>
      <c r="B1292" s="1" t="s">
        <v>152</v>
      </c>
      <c r="C1292" s="1" t="s">
        <v>22</v>
      </c>
      <c r="D1292" s="1">
        <v>6.0</v>
      </c>
      <c r="E1292" s="1">
        <v>30160.0</v>
      </c>
      <c r="F1292" s="10">
        <f t="shared" si="1"/>
        <v>6</v>
      </c>
      <c r="G1292" s="10">
        <f t="array" ref="G1292">index('Player ID'!C:C,match(E1292,'Player ID'!B:B,0))</f>
        <v>690916</v>
      </c>
    </row>
    <row r="1293">
      <c r="A1293" s="76">
        <v>45754.0</v>
      </c>
      <c r="B1293" s="1" t="s">
        <v>642</v>
      </c>
      <c r="C1293" s="1" t="s">
        <v>80</v>
      </c>
      <c r="D1293" s="1">
        <v>0.1</v>
      </c>
      <c r="E1293" s="1">
        <v>13470.0</v>
      </c>
      <c r="F1293" s="10">
        <f t="shared" si="1"/>
        <v>0.3333333333</v>
      </c>
      <c r="G1293" s="10">
        <f t="array" ref="G1293">index('Player ID'!C:C,match(E1293,'Player ID'!B:B,0))</f>
        <v>608371</v>
      </c>
    </row>
    <row r="1294">
      <c r="A1294" s="76">
        <v>45754.0</v>
      </c>
      <c r="B1294" s="1" t="s">
        <v>310</v>
      </c>
      <c r="C1294" s="1" t="s">
        <v>33</v>
      </c>
      <c r="D1294" s="1">
        <v>0.1</v>
      </c>
      <c r="E1294" s="1">
        <v>14706.0</v>
      </c>
      <c r="F1294" s="10">
        <f t="shared" si="1"/>
        <v>0.3333333333</v>
      </c>
      <c r="G1294" s="10">
        <f t="array" ref="G1294">index('Player ID'!C:C,match(E1294,'Player ID'!B:B,0))</f>
        <v>607455</v>
      </c>
    </row>
    <row r="1295">
      <c r="A1295" s="76">
        <v>45754.0</v>
      </c>
      <c r="B1295" s="1" t="s">
        <v>139</v>
      </c>
      <c r="C1295" s="1" t="s">
        <v>80</v>
      </c>
      <c r="D1295" s="1">
        <v>1.2</v>
      </c>
      <c r="E1295" s="1">
        <v>15009.0</v>
      </c>
      <c r="F1295" s="10">
        <f t="shared" si="1"/>
        <v>1.666666667</v>
      </c>
      <c r="G1295" s="10">
        <f t="array" ref="G1295">index('Player ID'!C:C,match(E1295,'Player ID'!B:B,0))</f>
        <v>640448</v>
      </c>
    </row>
    <row r="1296">
      <c r="A1296" s="76">
        <v>45754.0</v>
      </c>
      <c r="B1296" s="1" t="s">
        <v>329</v>
      </c>
      <c r="C1296" s="1" t="s">
        <v>33</v>
      </c>
      <c r="D1296" s="1">
        <v>6.0</v>
      </c>
      <c r="E1296" s="1">
        <v>19716.0</v>
      </c>
      <c r="F1296" s="10">
        <f t="shared" si="1"/>
        <v>6</v>
      </c>
      <c r="G1296" s="10">
        <f t="array" ref="G1296">index('Player ID'!C:C,match(E1296,'Player ID'!B:B,0))</f>
        <v>669160</v>
      </c>
    </row>
    <row r="1297">
      <c r="A1297" s="76">
        <v>45754.0</v>
      </c>
      <c r="B1297" s="1" t="s">
        <v>354</v>
      </c>
      <c r="C1297" s="1" t="s">
        <v>80</v>
      </c>
      <c r="D1297" s="1">
        <v>6.0</v>
      </c>
      <c r="E1297" s="1">
        <v>22201.0</v>
      </c>
      <c r="F1297" s="10">
        <f t="shared" si="1"/>
        <v>6</v>
      </c>
      <c r="G1297" s="10">
        <f t="array" ref="G1297">index('Player ID'!C:C,match(E1297,'Player ID'!B:B,0))</f>
        <v>669022</v>
      </c>
    </row>
    <row r="1298">
      <c r="A1298" s="76">
        <v>45754.0</v>
      </c>
      <c r="B1298" s="1" t="s">
        <v>390</v>
      </c>
      <c r="C1298" s="1" t="s">
        <v>33</v>
      </c>
      <c r="D1298" s="1">
        <v>1.2</v>
      </c>
      <c r="E1298" s="1">
        <v>22284.0</v>
      </c>
      <c r="F1298" s="10">
        <f t="shared" si="1"/>
        <v>1.666666667</v>
      </c>
      <c r="G1298" s="10">
        <f t="array" ref="G1298">index('Player ID'!C:C,match(E1298,'Player ID'!B:B,0))</f>
        <v>669422</v>
      </c>
    </row>
    <row r="1299">
      <c r="A1299" s="76">
        <v>45754.0</v>
      </c>
      <c r="B1299" s="1" t="s">
        <v>508</v>
      </c>
      <c r="C1299" s="1" t="s">
        <v>80</v>
      </c>
      <c r="D1299" s="1">
        <v>1.0</v>
      </c>
      <c r="E1299" s="1">
        <v>23135.0</v>
      </c>
      <c r="F1299" s="10">
        <f t="shared" si="1"/>
        <v>1</v>
      </c>
      <c r="G1299" s="10">
        <f t="array" ref="G1299">index('Player ID'!C:C,match(E1299,'Player ID'!B:B,0))</f>
        <v>674285</v>
      </c>
    </row>
    <row r="1300">
      <c r="A1300" s="76">
        <v>45754.0</v>
      </c>
      <c r="B1300" s="1" t="s">
        <v>292</v>
      </c>
      <c r="C1300" s="1" t="s">
        <v>51</v>
      </c>
      <c r="D1300" s="1">
        <v>1.0</v>
      </c>
      <c r="E1300" s="1">
        <v>15947.0</v>
      </c>
      <c r="F1300" s="10">
        <f t="shared" si="1"/>
        <v>1</v>
      </c>
      <c r="G1300" s="10">
        <f t="array" ref="G1300">index('Player ID'!C:C,match(E1300,'Player ID'!B:B,0))</f>
        <v>592773</v>
      </c>
    </row>
    <row r="1301">
      <c r="A1301" s="76">
        <v>45754.0</v>
      </c>
      <c r="B1301" s="1" t="s">
        <v>647</v>
      </c>
      <c r="C1301" s="1" t="s">
        <v>51</v>
      </c>
      <c r="D1301" s="1">
        <v>1.0</v>
      </c>
      <c r="E1301" s="1">
        <v>18439.0</v>
      </c>
      <c r="F1301" s="10">
        <f t="shared" si="1"/>
        <v>1</v>
      </c>
      <c r="G1301" s="10">
        <f t="array" ref="G1301">index('Player ID'!C:C,match(E1301,'Player ID'!B:B,0))</f>
        <v>664849</v>
      </c>
    </row>
    <row r="1302">
      <c r="A1302" s="76">
        <v>45754.0</v>
      </c>
      <c r="B1302" s="1" t="s">
        <v>241</v>
      </c>
      <c r="C1302" s="1" t="s">
        <v>36</v>
      </c>
      <c r="D1302" s="1">
        <v>1.2</v>
      </c>
      <c r="E1302" s="1">
        <v>19222.0</v>
      </c>
      <c r="F1302" s="10">
        <f t="shared" si="1"/>
        <v>1.666666667</v>
      </c>
      <c r="G1302" s="10">
        <f t="array" ref="G1302">index('Player ID'!C:C,match(E1302,'Player ID'!B:B,0))</f>
        <v>669199</v>
      </c>
    </row>
    <row r="1303">
      <c r="A1303" s="76">
        <v>45754.0</v>
      </c>
      <c r="B1303" s="1" t="s">
        <v>61</v>
      </c>
      <c r="C1303" s="1" t="s">
        <v>36</v>
      </c>
      <c r="D1303" s="1">
        <v>1.1</v>
      </c>
      <c r="E1303" s="1">
        <v>20629.0</v>
      </c>
      <c r="F1303" s="10">
        <f t="shared" si="1"/>
        <v>1.333333333</v>
      </c>
      <c r="G1303" s="10">
        <f t="array" ref="G1303">index('Player ID'!C:C,match(E1303,'Player ID'!B:B,0))</f>
        <v>663969</v>
      </c>
    </row>
    <row r="1304">
      <c r="A1304" s="76">
        <v>45754.0</v>
      </c>
      <c r="B1304" s="1" t="s">
        <v>469</v>
      </c>
      <c r="C1304" s="1" t="s">
        <v>36</v>
      </c>
      <c r="D1304" s="1">
        <v>1.0</v>
      </c>
      <c r="E1304" s="1">
        <v>21863.0</v>
      </c>
      <c r="F1304" s="10">
        <f t="shared" si="1"/>
        <v>1</v>
      </c>
      <c r="G1304" s="10">
        <f t="array" ref="G1304">index('Player ID'!C:C,match(E1304,'Player ID'!B:B,0))</f>
        <v>666277</v>
      </c>
    </row>
    <row r="1305">
      <c r="A1305" s="76">
        <v>45754.0</v>
      </c>
      <c r="B1305" s="1" t="s">
        <v>712</v>
      </c>
      <c r="C1305" s="1" t="s">
        <v>51</v>
      </c>
      <c r="D1305" s="1">
        <v>2.0</v>
      </c>
      <c r="E1305" s="1">
        <v>23313.0</v>
      </c>
      <c r="F1305" s="10">
        <f t="shared" si="1"/>
        <v>2</v>
      </c>
      <c r="G1305" s="10">
        <f t="array" ref="G1305">index('Player ID'!C:C,match(E1305,'Player ID'!B:B,0))</f>
        <v>676130</v>
      </c>
    </row>
    <row r="1306">
      <c r="A1306" s="76">
        <v>45754.0</v>
      </c>
      <c r="B1306" s="1" t="s">
        <v>322</v>
      </c>
      <c r="C1306" s="1" t="s">
        <v>36</v>
      </c>
      <c r="D1306" s="1">
        <v>3.2</v>
      </c>
      <c r="E1306" s="1">
        <v>23899.0</v>
      </c>
      <c r="F1306" s="10">
        <f t="shared" si="1"/>
        <v>3.666666667</v>
      </c>
      <c r="G1306" s="10">
        <f t="array" ref="G1306">index('Player ID'!C:C,match(E1306,'Player ID'!B:B,0))</f>
        <v>678368</v>
      </c>
    </row>
    <row r="1307">
      <c r="A1307" s="76">
        <v>45754.0</v>
      </c>
      <c r="B1307" s="1" t="s">
        <v>676</v>
      </c>
      <c r="C1307" s="1" t="s">
        <v>36</v>
      </c>
      <c r="D1307" s="1">
        <v>0.1</v>
      </c>
      <c r="E1307" s="1">
        <v>27453.0</v>
      </c>
      <c r="F1307" s="10">
        <f t="shared" si="1"/>
        <v>0.3333333333</v>
      </c>
      <c r="G1307" s="10">
        <f t="array" ref="G1307">index('Player ID'!C:C,match(E1307,'Player ID'!B:B,0))</f>
        <v>685107</v>
      </c>
    </row>
    <row r="1308">
      <c r="A1308" s="76">
        <v>45754.0</v>
      </c>
      <c r="B1308" s="1" t="s">
        <v>461</v>
      </c>
      <c r="C1308" s="1" t="s">
        <v>51</v>
      </c>
      <c r="D1308" s="1">
        <v>5.0</v>
      </c>
      <c r="E1308" s="1">
        <v>31838.0</v>
      </c>
      <c r="F1308" s="10">
        <f t="shared" si="1"/>
        <v>5</v>
      </c>
      <c r="G1308" s="10">
        <f t="array" ref="G1308">index('Player ID'!C:C,match(E1308,'Player ID'!B:B,0))</f>
        <v>673540</v>
      </c>
    </row>
    <row r="1309">
      <c r="A1309" s="76">
        <v>45754.0</v>
      </c>
      <c r="B1309" s="1" t="s">
        <v>649</v>
      </c>
      <c r="C1309" s="1" t="s">
        <v>29</v>
      </c>
      <c r="D1309" s="1">
        <v>1.0</v>
      </c>
      <c r="E1309" s="1">
        <v>14542.0</v>
      </c>
      <c r="F1309" s="10">
        <f t="shared" si="1"/>
        <v>1</v>
      </c>
      <c r="G1309" s="10">
        <f t="array" ref="G1309">index('Player ID'!C:C,match(E1309,'Player ID'!B:B,0))</f>
        <v>608032</v>
      </c>
    </row>
    <row r="1310">
      <c r="A1310" s="76">
        <v>45754.0</v>
      </c>
      <c r="B1310" s="1" t="s">
        <v>420</v>
      </c>
      <c r="C1310" s="1" t="s">
        <v>29</v>
      </c>
      <c r="D1310" s="1">
        <v>6.0</v>
      </c>
      <c r="E1310" s="1">
        <v>14843.0</v>
      </c>
      <c r="F1310" s="10">
        <f t="shared" si="1"/>
        <v>6</v>
      </c>
      <c r="G1310" s="10">
        <f t="array" ref="G1310">index('Player ID'!C:C,match(E1310,'Player ID'!B:B,0))</f>
        <v>547179</v>
      </c>
    </row>
    <row r="1311">
      <c r="A1311" s="76">
        <v>45754.0</v>
      </c>
      <c r="B1311" s="1" t="s">
        <v>650</v>
      </c>
      <c r="C1311" s="1" t="s">
        <v>29</v>
      </c>
      <c r="D1311" s="1">
        <v>1.0</v>
      </c>
      <c r="E1311" s="1">
        <v>15507.0</v>
      </c>
      <c r="F1311" s="10">
        <f t="shared" si="1"/>
        <v>1</v>
      </c>
      <c r="G1311" s="10">
        <f t="array" ref="G1311">index('Player ID'!C:C,match(E1311,'Player ID'!B:B,0))</f>
        <v>640451</v>
      </c>
    </row>
    <row r="1312">
      <c r="A1312" s="76">
        <v>45754.0</v>
      </c>
      <c r="B1312" s="1" t="s">
        <v>233</v>
      </c>
      <c r="C1312" s="1" t="s">
        <v>16</v>
      </c>
      <c r="D1312" s="1">
        <v>2.1</v>
      </c>
      <c r="E1312" s="1">
        <v>16427.0</v>
      </c>
      <c r="F1312" s="10">
        <f t="shared" si="1"/>
        <v>2.333333333</v>
      </c>
      <c r="G1312" s="10">
        <f t="array" ref="G1312">index('Player ID'!C:C,match(E1312,'Player ID'!B:B,0))</f>
        <v>656240</v>
      </c>
    </row>
    <row r="1313">
      <c r="A1313" s="76">
        <v>45754.0</v>
      </c>
      <c r="B1313" s="1" t="s">
        <v>407</v>
      </c>
      <c r="C1313" s="1" t="s">
        <v>29</v>
      </c>
      <c r="D1313" s="1">
        <v>1.0</v>
      </c>
      <c r="E1313" s="1">
        <v>19360.0</v>
      </c>
      <c r="F1313" s="10">
        <f t="shared" si="1"/>
        <v>1</v>
      </c>
      <c r="G1313" s="10">
        <f t="array" ref="G1313">index('Player ID'!C:C,match(E1313,'Player ID'!B:B,0))</f>
        <v>668674</v>
      </c>
    </row>
    <row r="1314">
      <c r="A1314" s="76">
        <v>45754.0</v>
      </c>
      <c r="B1314" s="1" t="s">
        <v>490</v>
      </c>
      <c r="C1314" s="1" t="s">
        <v>16</v>
      </c>
      <c r="D1314" s="1">
        <v>5.2</v>
      </c>
      <c r="E1314" s="1">
        <v>24494.0</v>
      </c>
      <c r="F1314" s="10">
        <f t="shared" si="1"/>
        <v>5.666666667</v>
      </c>
      <c r="G1314" s="10">
        <f t="array" ref="G1314">index('Player ID'!C:C,match(E1314,'Player ID'!B:B,0))</f>
        <v>680573</v>
      </c>
    </row>
    <row r="1315">
      <c r="A1315" s="76">
        <v>45754.0</v>
      </c>
      <c r="B1315" s="1" t="s">
        <v>115</v>
      </c>
      <c r="C1315" s="1" t="s">
        <v>56</v>
      </c>
      <c r="D1315" s="1">
        <v>4.2</v>
      </c>
      <c r="E1315" s="1">
        <v>9132.0</v>
      </c>
      <c r="F1315" s="10">
        <f t="shared" si="1"/>
        <v>4.666666667</v>
      </c>
      <c r="G1315" s="10">
        <f t="array" ref="G1315">index('Player ID'!C:C,match(E1315,'Player ID'!B:B,0))</f>
        <v>543135</v>
      </c>
    </row>
    <row r="1316">
      <c r="A1316" s="76">
        <v>45754.0</v>
      </c>
      <c r="B1316" s="1" t="s">
        <v>313</v>
      </c>
      <c r="C1316" s="1" t="s">
        <v>34</v>
      </c>
      <c r="D1316" s="1">
        <v>2.0</v>
      </c>
      <c r="E1316" s="1">
        <v>12317.0</v>
      </c>
      <c r="F1316" s="10">
        <f t="shared" si="1"/>
        <v>2</v>
      </c>
      <c r="G1316" s="10">
        <f t="array" ref="G1316">index('Player ID'!C:C,match(E1316,'Player ID'!B:B,0))</f>
        <v>607067</v>
      </c>
    </row>
    <row r="1317">
      <c r="A1317" s="76">
        <v>45754.0</v>
      </c>
      <c r="B1317" s="1" t="s">
        <v>584</v>
      </c>
      <c r="C1317" s="1" t="s">
        <v>34</v>
      </c>
      <c r="D1317" s="1">
        <v>7.0</v>
      </c>
      <c r="E1317" s="1">
        <v>17312.0</v>
      </c>
      <c r="F1317" s="10">
        <f t="shared" si="1"/>
        <v>7</v>
      </c>
      <c r="G1317" s="10">
        <f t="array" ref="G1317">index('Player ID'!C:C,match(E1317,'Player ID'!B:B,0))</f>
        <v>657006</v>
      </c>
    </row>
    <row r="1318">
      <c r="A1318" s="76">
        <v>45754.0</v>
      </c>
      <c r="B1318" s="1" t="s">
        <v>710</v>
      </c>
      <c r="C1318" s="1" t="s">
        <v>56</v>
      </c>
      <c r="D1318" s="1">
        <v>3.1</v>
      </c>
      <c r="E1318" s="1">
        <v>19835.0</v>
      </c>
      <c r="F1318" s="10">
        <f t="shared" si="1"/>
        <v>3.333333333</v>
      </c>
      <c r="G1318" s="10">
        <f t="array" ref="G1318">index('Player ID'!C:C,match(E1318,'Player ID'!B:B,0))</f>
        <v>642520</v>
      </c>
    </row>
    <row r="1319">
      <c r="A1319" s="76">
        <v>45754.0</v>
      </c>
      <c r="B1319" s="1" t="s">
        <v>447</v>
      </c>
      <c r="C1319" s="1" t="s">
        <v>39</v>
      </c>
      <c r="D1319" s="1">
        <v>0.1</v>
      </c>
      <c r="E1319" s="1">
        <v>13652.0</v>
      </c>
      <c r="F1319" s="10">
        <f t="shared" si="1"/>
        <v>0.3333333333</v>
      </c>
      <c r="G1319" s="10">
        <f t="array" ref="G1319">index('Player ID'!C:C,match(E1319,'Player ID'!B:B,0))</f>
        <v>605463</v>
      </c>
    </row>
    <row r="1320">
      <c r="A1320" s="76">
        <v>45754.0</v>
      </c>
      <c r="B1320" s="1" t="s">
        <v>210</v>
      </c>
      <c r="C1320" s="1" t="s">
        <v>39</v>
      </c>
      <c r="D1320" s="1">
        <v>0.2</v>
      </c>
      <c r="E1320" s="1">
        <v>16609.0</v>
      </c>
      <c r="F1320" s="10">
        <f t="shared" si="1"/>
        <v>0.6666666667</v>
      </c>
      <c r="G1320" s="10">
        <f t="array" ref="G1320">index('Player ID'!C:C,match(E1320,'Player ID'!B:B,0))</f>
        <v>650556</v>
      </c>
    </row>
    <row r="1321">
      <c r="A1321" s="76">
        <v>45754.0</v>
      </c>
      <c r="B1321" s="1" t="s">
        <v>108</v>
      </c>
      <c r="C1321" s="1" t="s">
        <v>37</v>
      </c>
      <c r="D1321" s="1">
        <v>1.1</v>
      </c>
      <c r="E1321" s="1">
        <v>17948.0</v>
      </c>
      <c r="F1321" s="10">
        <f t="shared" si="1"/>
        <v>1.333333333</v>
      </c>
      <c r="G1321" s="10">
        <f t="array" ref="G1321">index('Player ID'!C:C,match(E1321,'Player ID'!B:B,0))</f>
        <v>663423</v>
      </c>
    </row>
    <row r="1322">
      <c r="A1322" s="76">
        <v>45754.0</v>
      </c>
      <c r="B1322" s="1" t="s">
        <v>670</v>
      </c>
      <c r="C1322" s="1" t="s">
        <v>37</v>
      </c>
      <c r="D1322" s="1">
        <v>1.0</v>
      </c>
      <c r="E1322" s="1">
        <v>20373.0</v>
      </c>
      <c r="F1322" s="10">
        <f t="shared" si="1"/>
        <v>1</v>
      </c>
      <c r="G1322" s="10">
        <f t="array" ref="G1322">index('Player ID'!C:C,match(E1322,'Player ID'!B:B,0))</f>
        <v>662253</v>
      </c>
    </row>
    <row r="1323">
      <c r="A1323" s="76">
        <v>45754.0</v>
      </c>
      <c r="B1323" s="1" t="s">
        <v>684</v>
      </c>
      <c r="C1323" s="1" t="s">
        <v>37</v>
      </c>
      <c r="D1323" s="1">
        <v>1.0</v>
      </c>
      <c r="E1323" s="1">
        <v>21894.0</v>
      </c>
      <c r="F1323" s="10">
        <f t="shared" si="1"/>
        <v>1</v>
      </c>
      <c r="G1323" s="10">
        <f t="array" ref="G1323">index('Player ID'!C:C,match(E1323,'Player ID'!B:B,0))</f>
        <v>666619</v>
      </c>
    </row>
    <row r="1324">
      <c r="A1324" s="76">
        <v>45754.0</v>
      </c>
      <c r="B1324" s="1" t="s">
        <v>153</v>
      </c>
      <c r="C1324" s="1" t="s">
        <v>37</v>
      </c>
      <c r="D1324" s="1">
        <v>5.2</v>
      </c>
      <c r="E1324" s="1">
        <v>22250.0</v>
      </c>
      <c r="F1324" s="10">
        <f t="shared" si="1"/>
        <v>5.666666667</v>
      </c>
      <c r="G1324" s="10">
        <f t="array" ref="G1324">index('Player ID'!C:C,match(E1324,'Player ID'!B:B,0))</f>
        <v>669302</v>
      </c>
    </row>
    <row r="1325">
      <c r="A1325" s="76">
        <v>45754.0</v>
      </c>
      <c r="B1325" s="1" t="s">
        <v>562</v>
      </c>
      <c r="C1325" s="1" t="s">
        <v>39</v>
      </c>
      <c r="D1325" s="1">
        <v>7.0</v>
      </c>
      <c r="E1325" s="1">
        <v>27581.0</v>
      </c>
      <c r="F1325" s="10">
        <f t="shared" si="1"/>
        <v>7</v>
      </c>
      <c r="G1325" s="10">
        <f t="array" ref="G1325">index('Player ID'!C:C,match(E1325,'Player ID'!B:B,0))</f>
        <v>669713</v>
      </c>
    </row>
    <row r="1326">
      <c r="A1326" s="76">
        <v>45754.0</v>
      </c>
      <c r="B1326" s="1" t="s">
        <v>216</v>
      </c>
      <c r="C1326" s="1" t="s">
        <v>68</v>
      </c>
      <c r="D1326" s="1">
        <v>6.0</v>
      </c>
      <c r="E1326" s="1">
        <v>13774.0</v>
      </c>
      <c r="F1326" s="10">
        <f t="shared" si="1"/>
        <v>6</v>
      </c>
      <c r="G1326" s="10">
        <f t="array" ref="G1326">index('Player ID'!C:C,match(E1326,'Player ID'!B:B,0))</f>
        <v>621107</v>
      </c>
    </row>
    <row r="1327">
      <c r="A1327" s="76">
        <v>45754.0</v>
      </c>
      <c r="B1327" s="1" t="s">
        <v>219</v>
      </c>
      <c r="C1327" s="1" t="s">
        <v>64</v>
      </c>
      <c r="D1327" s="1">
        <v>1.1</v>
      </c>
      <c r="E1327" s="1">
        <v>16647.0</v>
      </c>
      <c r="F1327" s="10">
        <f t="shared" si="1"/>
        <v>1.333333333</v>
      </c>
      <c r="G1327" s="10">
        <f t="array" ref="G1327">index('Player ID'!C:C,match(E1327,'Player ID'!B:B,0))</f>
        <v>657044</v>
      </c>
    </row>
    <row r="1328">
      <c r="A1328" s="76">
        <v>45754.0</v>
      </c>
      <c r="B1328" s="1" t="s">
        <v>195</v>
      </c>
      <c r="C1328" s="1" t="s">
        <v>64</v>
      </c>
      <c r="D1328" s="1">
        <v>4.2</v>
      </c>
      <c r="E1328" s="1">
        <v>19291.0</v>
      </c>
      <c r="F1328" s="10">
        <f t="shared" si="1"/>
        <v>4.666666667</v>
      </c>
      <c r="G1328" s="10">
        <f t="array" ref="G1328">index('Player ID'!C:C,match(E1328,'Player ID'!B:B,0))</f>
        <v>668678</v>
      </c>
    </row>
    <row r="1329">
      <c r="A1329" s="76">
        <v>45754.0</v>
      </c>
      <c r="B1329" s="1" t="s">
        <v>433</v>
      </c>
      <c r="C1329" s="1" t="s">
        <v>68</v>
      </c>
      <c r="D1329" s="1">
        <v>1.0</v>
      </c>
      <c r="E1329" s="1">
        <v>19677.0</v>
      </c>
      <c r="F1329" s="10">
        <f t="shared" si="1"/>
        <v>1</v>
      </c>
      <c r="G1329" s="10">
        <f t="array" ref="G1329">index('Player ID'!C:C,match(E1329,'Player ID'!B:B,0))</f>
        <v>642397</v>
      </c>
    </row>
    <row r="1330">
      <c r="A1330" s="76">
        <v>45754.0</v>
      </c>
      <c r="B1330" s="1" t="s">
        <v>698</v>
      </c>
      <c r="C1330" s="1" t="s">
        <v>68</v>
      </c>
      <c r="D1330" s="1">
        <v>1.0</v>
      </c>
      <c r="E1330" s="1">
        <v>20666.0</v>
      </c>
      <c r="F1330" s="10">
        <f t="shared" si="1"/>
        <v>1</v>
      </c>
      <c r="G1330" s="10">
        <f t="array" ref="G1330">index('Player ID'!C:C,match(E1330,'Player ID'!B:B,0))</f>
        <v>642585</v>
      </c>
    </row>
    <row r="1331">
      <c r="A1331" s="76">
        <v>45754.0</v>
      </c>
      <c r="B1331" s="1" t="s">
        <v>235</v>
      </c>
      <c r="C1331" s="1" t="s">
        <v>68</v>
      </c>
      <c r="D1331" s="1">
        <v>1.0</v>
      </c>
      <c r="E1331" s="1">
        <v>25911.0</v>
      </c>
      <c r="F1331" s="10">
        <f t="shared" si="1"/>
        <v>1</v>
      </c>
      <c r="G1331" s="10">
        <f t="array" ref="G1331">index('Player ID'!C:C,match(E1331,'Player ID'!B:B,0))</f>
        <v>666974</v>
      </c>
    </row>
    <row r="1332">
      <c r="A1332" s="76">
        <v>45754.0</v>
      </c>
      <c r="B1332" s="1" t="s">
        <v>93</v>
      </c>
      <c r="C1332" s="1" t="s">
        <v>64</v>
      </c>
      <c r="D1332" s="1">
        <v>3.0</v>
      </c>
      <c r="E1332" s="1">
        <v>26253.0</v>
      </c>
      <c r="F1332" s="10">
        <f t="shared" si="1"/>
        <v>3</v>
      </c>
      <c r="G1332" s="10">
        <f t="array" ref="G1332">index('Player ID'!C:C,match(E1332,'Player ID'!B:B,0))</f>
        <v>669194</v>
      </c>
    </row>
    <row r="1333">
      <c r="A1333" s="76">
        <v>45754.0</v>
      </c>
      <c r="B1333" s="1" t="s">
        <v>503</v>
      </c>
      <c r="C1333" s="1" t="s">
        <v>31</v>
      </c>
      <c r="D1333" s="1">
        <v>1.1</v>
      </c>
      <c r="E1333" s="1">
        <v>15043.0</v>
      </c>
      <c r="F1333" s="10">
        <f t="shared" si="1"/>
        <v>1.333333333</v>
      </c>
      <c r="G1333" s="10">
        <f t="array" ref="G1333">index('Player ID'!C:C,match(E1333,'Player ID'!B:B,0))</f>
        <v>642152</v>
      </c>
    </row>
    <row r="1334">
      <c r="A1334" s="76">
        <v>45754.0</v>
      </c>
      <c r="B1334" s="1" t="s">
        <v>77</v>
      </c>
      <c r="C1334" s="1" t="s">
        <v>31</v>
      </c>
      <c r="D1334" s="1">
        <v>7.0</v>
      </c>
      <c r="E1334" s="1">
        <v>17995.0</v>
      </c>
      <c r="F1334" s="10">
        <f t="shared" si="1"/>
        <v>7</v>
      </c>
      <c r="G1334" s="10">
        <f t="array" ref="G1334">index('Player ID'!C:C,match(E1334,'Player ID'!B:B,0))</f>
        <v>657277</v>
      </c>
    </row>
    <row r="1335">
      <c r="A1335" s="76">
        <v>45754.0</v>
      </c>
      <c r="B1335" s="1" t="s">
        <v>345</v>
      </c>
      <c r="C1335" s="1" t="s">
        <v>66</v>
      </c>
      <c r="D1335" s="1">
        <v>0.1</v>
      </c>
      <c r="E1335" s="1">
        <v>19926.0</v>
      </c>
      <c r="F1335" s="10">
        <f t="shared" si="1"/>
        <v>0.3333333333</v>
      </c>
      <c r="G1335" s="10">
        <f t="array" ref="G1335">index('Player ID'!C:C,match(E1335,'Player ID'!B:B,0))</f>
        <v>663574</v>
      </c>
    </row>
    <row r="1336">
      <c r="A1336" s="76">
        <v>45754.0</v>
      </c>
      <c r="B1336" s="1" t="s">
        <v>304</v>
      </c>
      <c r="C1336" s="1" t="s">
        <v>31</v>
      </c>
      <c r="D1336" s="1">
        <v>0.1</v>
      </c>
      <c r="E1336" s="1">
        <v>21992.0</v>
      </c>
      <c r="F1336" s="10">
        <f t="shared" si="1"/>
        <v>0.3333333333</v>
      </c>
      <c r="G1336" s="10">
        <f t="array" ref="G1336">index('Player ID'!C:C,match(E1336,'Player ID'!B:B,0))</f>
        <v>666808</v>
      </c>
    </row>
    <row r="1337">
      <c r="A1337" s="76">
        <v>45754.0</v>
      </c>
      <c r="B1337" s="1" t="s">
        <v>73</v>
      </c>
      <c r="C1337" s="1" t="s">
        <v>66</v>
      </c>
      <c r="D1337" s="1">
        <v>8.2</v>
      </c>
      <c r="E1337" s="1">
        <v>22182.0</v>
      </c>
      <c r="F1337" s="10">
        <f t="shared" si="1"/>
        <v>8.666666667</v>
      </c>
      <c r="G1337" s="10">
        <f t="array" ref="G1337">index('Player ID'!C:C,match(E1337,'Player ID'!B:B,0))</f>
        <v>668881</v>
      </c>
    </row>
    <row r="1338">
      <c r="A1338" s="76">
        <v>45754.0</v>
      </c>
      <c r="B1338" s="1" t="s">
        <v>655</v>
      </c>
      <c r="C1338" s="1" t="s">
        <v>31</v>
      </c>
      <c r="D1338" s="1">
        <v>0.1</v>
      </c>
      <c r="E1338" s="1">
        <v>26252.0</v>
      </c>
      <c r="F1338" s="10">
        <f t="shared" si="1"/>
        <v>0.3333333333</v>
      </c>
      <c r="G1338" s="10">
        <f t="array" ref="G1338">index('Player ID'!C:C,match(E1338,'Player ID'!B:B,0))</f>
        <v>669062</v>
      </c>
    </row>
    <row r="1339">
      <c r="A1339" s="76">
        <v>45754.0</v>
      </c>
      <c r="B1339" s="1" t="s">
        <v>342</v>
      </c>
      <c r="C1339" s="1" t="s">
        <v>26</v>
      </c>
      <c r="D1339" s="1">
        <v>1.0</v>
      </c>
      <c r="E1339" s="1">
        <v>11861.0</v>
      </c>
      <c r="F1339" s="10">
        <f t="shared" si="1"/>
        <v>1</v>
      </c>
      <c r="G1339" s="10">
        <f t="array" ref="G1339">index('Player ID'!C:C,match(E1339,'Player ID'!B:B,0))</f>
        <v>592094</v>
      </c>
    </row>
    <row r="1340">
      <c r="A1340" s="76">
        <v>45754.0</v>
      </c>
      <c r="B1340" s="1" t="s">
        <v>281</v>
      </c>
      <c r="C1340" s="1" t="s">
        <v>52</v>
      </c>
      <c r="D1340" s="1">
        <v>7.0</v>
      </c>
      <c r="E1340" s="1">
        <v>15890.0</v>
      </c>
      <c r="F1340" s="10">
        <f t="shared" si="1"/>
        <v>7</v>
      </c>
      <c r="G1340" s="10">
        <f t="array" ref="G1340">index('Player ID'!C:C,match(E1340,'Player ID'!B:B,0))</f>
        <v>622663</v>
      </c>
    </row>
    <row r="1341">
      <c r="A1341" s="76">
        <v>45754.0</v>
      </c>
      <c r="B1341" s="1" t="s">
        <v>778</v>
      </c>
      <c r="C1341" s="1" t="s">
        <v>52</v>
      </c>
      <c r="D1341" s="1">
        <v>0.2</v>
      </c>
      <c r="E1341" s="1">
        <v>17759.0</v>
      </c>
      <c r="F1341" s="10">
        <f t="shared" si="1"/>
        <v>0.6666666667</v>
      </c>
      <c r="G1341" s="10">
        <f t="array" ref="G1341">index('Player ID'!C:C,match(E1341,'Player ID'!B:B,0))</f>
        <v>622780</v>
      </c>
    </row>
    <row r="1342">
      <c r="A1342" s="76">
        <v>45754.0</v>
      </c>
      <c r="B1342" s="1" t="s">
        <v>207</v>
      </c>
      <c r="C1342" s="1" t="s">
        <v>26</v>
      </c>
      <c r="D1342" s="1">
        <v>5.2</v>
      </c>
      <c r="E1342" s="1">
        <v>19853.0</v>
      </c>
      <c r="F1342" s="10">
        <f t="shared" si="1"/>
        <v>5.666666667</v>
      </c>
      <c r="G1342" s="10">
        <f t="array" ref="G1342">index('Player ID'!C:C,match(E1342,'Player ID'!B:B,0))</f>
        <v>650633</v>
      </c>
    </row>
    <row r="1343">
      <c r="A1343" s="76">
        <v>45754.0</v>
      </c>
      <c r="B1343" s="1" t="s">
        <v>49</v>
      </c>
      <c r="C1343" s="1" t="s">
        <v>26</v>
      </c>
      <c r="D1343" s="1">
        <v>0.1</v>
      </c>
      <c r="E1343" s="1">
        <v>20039.0</v>
      </c>
      <c r="F1343" s="10">
        <f t="shared" si="1"/>
        <v>0.3333333333</v>
      </c>
      <c r="G1343" s="10">
        <f t="array" ref="G1343">index('Player ID'!C:C,match(E1343,'Player ID'!B:B,0))</f>
        <v>670970</v>
      </c>
    </row>
    <row r="1344">
      <c r="A1344" s="76">
        <v>45754.0</v>
      </c>
      <c r="B1344" s="1" t="s">
        <v>94</v>
      </c>
      <c r="C1344" s="1" t="s">
        <v>26</v>
      </c>
      <c r="D1344" s="1">
        <v>1.0</v>
      </c>
      <c r="E1344" s="1">
        <v>22210.0</v>
      </c>
      <c r="F1344" s="10">
        <f t="shared" si="1"/>
        <v>1</v>
      </c>
      <c r="G1344" s="10">
        <f t="array" ref="G1344">index('Player ID'!C:C,match(E1344,'Player ID'!B:B,0))</f>
        <v>669093</v>
      </c>
    </row>
    <row r="1345">
      <c r="A1345" s="76">
        <v>45754.0</v>
      </c>
      <c r="B1345" s="1" t="s">
        <v>717</v>
      </c>
      <c r="C1345" s="1" t="s">
        <v>52</v>
      </c>
      <c r="D1345" s="1">
        <v>1.1</v>
      </c>
      <c r="E1345" s="1">
        <v>27908.0</v>
      </c>
      <c r="F1345" s="10">
        <f t="shared" si="1"/>
        <v>1.333333333</v>
      </c>
      <c r="G1345" s="10">
        <f t="array" ref="G1345">index('Player ID'!C:C,match(E1345,'Player ID'!B:B,0))</f>
        <v>668716</v>
      </c>
    </row>
    <row r="1346">
      <c r="A1346" s="76">
        <v>45754.0</v>
      </c>
      <c r="B1346" s="1" t="s">
        <v>81</v>
      </c>
      <c r="C1346" s="1" t="s">
        <v>26</v>
      </c>
      <c r="D1346" s="1">
        <v>1.0</v>
      </c>
      <c r="E1346" s="1">
        <v>30115.0</v>
      </c>
      <c r="F1346" s="10">
        <f t="shared" si="1"/>
        <v>1</v>
      </c>
      <c r="G1346" s="10">
        <f t="array" ref="G1346">index('Player ID'!C:C,match(E1346,'Player ID'!B:B,0))</f>
        <v>663158</v>
      </c>
    </row>
    <row r="1347">
      <c r="A1347" s="76">
        <v>45755.0</v>
      </c>
      <c r="B1347" s="1" t="s">
        <v>656</v>
      </c>
      <c r="C1347" s="1" t="s">
        <v>78</v>
      </c>
      <c r="D1347" s="1">
        <v>0.1</v>
      </c>
      <c r="E1347" s="1">
        <v>12808.0</v>
      </c>
      <c r="F1347" s="10">
        <f t="shared" si="1"/>
        <v>0.3333333333</v>
      </c>
      <c r="G1347" s="10">
        <f t="array" ref="G1347">index('Player ID'!C:C,match(E1347,'Player ID'!B:B,0))</f>
        <v>605182</v>
      </c>
    </row>
    <row r="1348">
      <c r="A1348" s="76">
        <v>45755.0</v>
      </c>
      <c r="B1348" s="1" t="s">
        <v>648</v>
      </c>
      <c r="C1348" s="1" t="s">
        <v>70</v>
      </c>
      <c r="D1348" s="1">
        <v>1.0</v>
      </c>
      <c r="E1348" s="1">
        <v>13892.0</v>
      </c>
      <c r="F1348" s="10">
        <f t="shared" si="1"/>
        <v>1</v>
      </c>
      <c r="G1348" s="10">
        <f t="array" ref="G1348">index('Player ID'!C:C,match(E1348,'Player ID'!B:B,0))</f>
        <v>623149</v>
      </c>
    </row>
    <row r="1349">
      <c r="A1349" s="76">
        <v>45755.0</v>
      </c>
      <c r="B1349" s="1" t="s">
        <v>298</v>
      </c>
      <c r="C1349" s="1" t="s">
        <v>70</v>
      </c>
      <c r="D1349" s="1">
        <v>5.0</v>
      </c>
      <c r="E1349" s="1">
        <v>14932.0</v>
      </c>
      <c r="F1349" s="10">
        <f t="shared" si="1"/>
        <v>5</v>
      </c>
      <c r="G1349" s="10">
        <f t="array" ref="G1349">index('Player ID'!C:C,match(E1349,'Player ID'!B:B,0))</f>
        <v>594902</v>
      </c>
    </row>
    <row r="1350">
      <c r="A1350" s="76">
        <v>45755.0</v>
      </c>
      <c r="B1350" s="1" t="s">
        <v>478</v>
      </c>
      <c r="C1350" s="1" t="s">
        <v>78</v>
      </c>
      <c r="D1350" s="1">
        <v>1.2</v>
      </c>
      <c r="E1350" s="1">
        <v>17964.0</v>
      </c>
      <c r="F1350" s="10">
        <f t="shared" si="1"/>
        <v>1.666666667</v>
      </c>
      <c r="G1350" s="10">
        <f t="array" ref="G1350">index('Player ID'!C:C,match(E1350,'Player ID'!B:B,0))</f>
        <v>656457</v>
      </c>
    </row>
    <row r="1351">
      <c r="A1351" s="76">
        <v>45755.0</v>
      </c>
      <c r="B1351" s="1" t="s">
        <v>132</v>
      </c>
      <c r="C1351" s="1" t="s">
        <v>70</v>
      </c>
      <c r="D1351" s="1">
        <v>1.0</v>
      </c>
      <c r="E1351" s="1">
        <v>21032.0</v>
      </c>
      <c r="F1351" s="10">
        <f t="shared" si="1"/>
        <v>1</v>
      </c>
      <c r="G1351" s="10">
        <f t="array" ref="G1351">index('Player ID'!C:C,match(E1351,'Player ID'!B:B,0))</f>
        <v>661403</v>
      </c>
    </row>
    <row r="1352">
      <c r="A1352" s="76">
        <v>45755.0</v>
      </c>
      <c r="B1352" s="1" t="s">
        <v>238</v>
      </c>
      <c r="C1352" s="1" t="s">
        <v>70</v>
      </c>
      <c r="D1352" s="1">
        <v>1.0</v>
      </c>
      <c r="E1352" s="1">
        <v>25636.0</v>
      </c>
      <c r="F1352" s="10">
        <f t="shared" si="1"/>
        <v>1</v>
      </c>
      <c r="G1352" s="10">
        <f t="array" ref="G1352">index('Player ID'!C:C,match(E1352,'Player ID'!B:B,0))</f>
        <v>683769</v>
      </c>
    </row>
    <row r="1353">
      <c r="A1353" s="76">
        <v>45755.0</v>
      </c>
      <c r="B1353" s="1" t="s">
        <v>135</v>
      </c>
      <c r="C1353" s="1" t="s">
        <v>70</v>
      </c>
      <c r="D1353" s="1">
        <v>1.0</v>
      </c>
      <c r="E1353" s="1">
        <v>27867.0</v>
      </c>
      <c r="F1353" s="10">
        <f t="shared" si="1"/>
        <v>1</v>
      </c>
      <c r="G1353" s="10">
        <f t="array" ref="G1353">index('Player ID'!C:C,match(E1353,'Player ID'!B:B,0))</f>
        <v>671922</v>
      </c>
    </row>
    <row r="1354">
      <c r="A1354" s="76">
        <v>45755.0</v>
      </c>
      <c r="B1354" s="1" t="s">
        <v>470</v>
      </c>
      <c r="C1354" s="1" t="s">
        <v>78</v>
      </c>
      <c r="D1354" s="1">
        <v>6.0</v>
      </c>
      <c r="E1354" s="1">
        <v>31687.0</v>
      </c>
      <c r="F1354" s="10">
        <f t="shared" si="1"/>
        <v>6</v>
      </c>
      <c r="G1354" s="10">
        <f t="array" ref="G1354">index('Player ID'!C:C,match(E1354,'Player ID'!B:B,0))</f>
        <v>681343</v>
      </c>
    </row>
    <row r="1355">
      <c r="A1355" s="76">
        <v>45755.0</v>
      </c>
      <c r="B1355" s="1" t="s">
        <v>95</v>
      </c>
      <c r="C1355" s="1" t="s">
        <v>72</v>
      </c>
      <c r="D1355" s="1">
        <v>5.0</v>
      </c>
      <c r="E1355" s="1">
        <v>12768.0</v>
      </c>
      <c r="F1355" s="10">
        <f t="shared" si="1"/>
        <v>5</v>
      </c>
      <c r="G1355" s="10">
        <f t="array" ref="G1355">index('Player ID'!C:C,match(E1355,'Player ID'!B:B,0))</f>
        <v>543243</v>
      </c>
    </row>
    <row r="1356">
      <c r="A1356" s="76">
        <v>45755.0</v>
      </c>
      <c r="B1356" s="1" t="s">
        <v>83</v>
      </c>
      <c r="C1356" s="1" t="s">
        <v>72</v>
      </c>
      <c r="D1356" s="1">
        <v>1.1</v>
      </c>
      <c r="E1356" s="1">
        <v>13361.0</v>
      </c>
      <c r="F1356" s="10">
        <f t="shared" si="1"/>
        <v>1.333333333</v>
      </c>
      <c r="G1356" s="10">
        <f t="array" ref="G1356">index('Player ID'!C:C,match(E1356,'Player ID'!B:B,0))</f>
        <v>571927</v>
      </c>
    </row>
    <row r="1357">
      <c r="A1357" s="76">
        <v>45755.0</v>
      </c>
      <c r="B1357" s="1" t="s">
        <v>707</v>
      </c>
      <c r="C1357" s="1" t="s">
        <v>60</v>
      </c>
      <c r="D1357" s="1">
        <v>1.0</v>
      </c>
      <c r="E1357" s="1">
        <v>15042.0</v>
      </c>
      <c r="F1357" s="10">
        <f t="shared" si="1"/>
        <v>1</v>
      </c>
      <c r="G1357" s="10">
        <f t="array" ref="G1357">index('Player ID'!C:C,match(E1357,'Player ID'!B:B,0))</f>
        <v>641835</v>
      </c>
    </row>
    <row r="1358">
      <c r="A1358" s="76">
        <v>45755.0</v>
      </c>
      <c r="B1358" s="1" t="s">
        <v>190</v>
      </c>
      <c r="C1358" s="1" t="s">
        <v>72</v>
      </c>
      <c r="D1358" s="1">
        <v>0.2</v>
      </c>
      <c r="E1358" s="1">
        <v>18064.0</v>
      </c>
      <c r="F1358" s="10">
        <f t="shared" si="1"/>
        <v>0.6666666667</v>
      </c>
      <c r="G1358" s="10">
        <f t="array" ref="G1358">index('Player ID'!C:C,match(E1358,'Player ID'!B:B,0))</f>
        <v>664208</v>
      </c>
    </row>
    <row r="1359">
      <c r="A1359" s="76">
        <v>45755.0</v>
      </c>
      <c r="B1359" s="1" t="s">
        <v>193</v>
      </c>
      <c r="C1359" s="1" t="s">
        <v>72</v>
      </c>
      <c r="D1359" s="1">
        <v>0.1</v>
      </c>
      <c r="E1359" s="1">
        <v>19574.0</v>
      </c>
      <c r="F1359" s="10">
        <f t="shared" si="1"/>
        <v>0.3333333333</v>
      </c>
      <c r="G1359" s="10">
        <f t="array" ref="G1359">index('Player ID'!C:C,match(E1359,'Player ID'!B:B,0))</f>
        <v>668941</v>
      </c>
    </row>
    <row r="1360">
      <c r="A1360" s="76">
        <v>45755.0</v>
      </c>
      <c r="B1360" s="1" t="s">
        <v>463</v>
      </c>
      <c r="C1360" s="1" t="s">
        <v>60</v>
      </c>
      <c r="D1360" s="1">
        <v>2.0</v>
      </c>
      <c r="E1360" s="1">
        <v>21544.0</v>
      </c>
      <c r="F1360" s="10">
        <f t="shared" si="1"/>
        <v>2</v>
      </c>
      <c r="G1360" s="10">
        <f t="array" ref="G1360">index('Player ID'!C:C,match(E1360,'Player ID'!B:B,0))</f>
        <v>663767</v>
      </c>
    </row>
    <row r="1361">
      <c r="A1361" s="76">
        <v>45755.0</v>
      </c>
      <c r="B1361" s="1" t="s">
        <v>170</v>
      </c>
      <c r="C1361" s="1" t="s">
        <v>72</v>
      </c>
      <c r="D1361" s="1">
        <v>1.2</v>
      </c>
      <c r="E1361" s="1">
        <v>24763.0</v>
      </c>
      <c r="F1361" s="10">
        <f t="shared" si="1"/>
        <v>1.666666667</v>
      </c>
      <c r="G1361" s="10">
        <f t="array" ref="G1361">index('Player ID'!C:C,match(E1361,'Player ID'!B:B,0))</f>
        <v>681517</v>
      </c>
    </row>
    <row r="1362">
      <c r="A1362" s="76">
        <v>45755.0</v>
      </c>
      <c r="B1362" s="1" t="s">
        <v>88</v>
      </c>
      <c r="C1362" s="1" t="s">
        <v>60</v>
      </c>
      <c r="D1362" s="1">
        <v>6.0</v>
      </c>
      <c r="E1362" s="1">
        <v>33677.0</v>
      </c>
      <c r="F1362" s="10">
        <f t="shared" si="1"/>
        <v>6</v>
      </c>
      <c r="G1362" s="10">
        <f t="array" ref="G1362">index('Player ID'!C:C,match(E1362,'Player ID'!B:B,0))</f>
        <v>694973</v>
      </c>
    </row>
    <row r="1363">
      <c r="A1363" s="76">
        <v>45755.0</v>
      </c>
      <c r="B1363" s="1" t="s">
        <v>324</v>
      </c>
      <c r="C1363" s="1" t="s">
        <v>58</v>
      </c>
      <c r="D1363" s="1">
        <v>4.1</v>
      </c>
      <c r="E1363" s="1">
        <v>6632.0</v>
      </c>
      <c r="F1363" s="10">
        <f t="shared" si="1"/>
        <v>4.333333333</v>
      </c>
      <c r="G1363" s="10">
        <f t="array" ref="G1363">index('Player ID'!C:C,match(E1363,'Player ID'!B:B,0))</f>
        <v>471911</v>
      </c>
    </row>
    <row r="1364">
      <c r="A1364" s="76">
        <v>45755.0</v>
      </c>
      <c r="B1364" s="1" t="s">
        <v>422</v>
      </c>
      <c r="C1364" s="1" t="s">
        <v>58</v>
      </c>
      <c r="D1364" s="1">
        <v>1.0</v>
      </c>
      <c r="E1364" s="1">
        <v>7048.0</v>
      </c>
      <c r="F1364" s="10">
        <f t="shared" si="1"/>
        <v>1</v>
      </c>
      <c r="G1364" s="10">
        <f t="array" ref="G1364">index('Player ID'!C:C,match(E1364,'Player ID'!B:B,0))</f>
        <v>518585</v>
      </c>
    </row>
    <row r="1365">
      <c r="A1365" s="76">
        <v>45755.0</v>
      </c>
      <c r="B1365" s="1" t="s">
        <v>192</v>
      </c>
      <c r="C1365" s="1" t="s">
        <v>58</v>
      </c>
      <c r="D1365" s="1">
        <v>1.2</v>
      </c>
      <c r="E1365" s="1">
        <v>16502.0</v>
      </c>
      <c r="F1365" s="10">
        <f t="shared" si="1"/>
        <v>1.666666667</v>
      </c>
      <c r="G1365" s="10">
        <f t="array" ref="G1365">index('Player ID'!C:C,match(E1365,'Player ID'!B:B,0))</f>
        <v>642232</v>
      </c>
    </row>
    <row r="1366">
      <c r="A1366" s="76">
        <v>45755.0</v>
      </c>
      <c r="B1366" s="1" t="s">
        <v>520</v>
      </c>
      <c r="C1366" s="1" t="s">
        <v>58</v>
      </c>
      <c r="D1366" s="1">
        <v>1.0</v>
      </c>
      <c r="E1366" s="1">
        <v>19261.0</v>
      </c>
      <c r="F1366" s="10">
        <f t="shared" si="1"/>
        <v>1</v>
      </c>
      <c r="G1366" s="10">
        <f t="array" ref="G1366">index('Player ID'!C:C,match(E1366,'Player ID'!B:B,0))</f>
        <v>641656</v>
      </c>
    </row>
    <row r="1367">
      <c r="A1367" s="76">
        <v>45755.0</v>
      </c>
      <c r="B1367" s="1" t="s">
        <v>84</v>
      </c>
      <c r="C1367" s="1" t="s">
        <v>62</v>
      </c>
      <c r="D1367" s="1">
        <v>6.0</v>
      </c>
      <c r="E1367" s="1">
        <v>22267.0</v>
      </c>
      <c r="F1367" s="10">
        <f t="shared" si="1"/>
        <v>6</v>
      </c>
      <c r="G1367" s="10">
        <f t="array" ref="G1367">index('Player ID'!C:C,match(E1367,'Player ID'!B:B,0))</f>
        <v>669373</v>
      </c>
    </row>
    <row r="1368">
      <c r="A1368" s="76">
        <v>45755.0</v>
      </c>
      <c r="B1368" s="1" t="s">
        <v>487</v>
      </c>
      <c r="C1368" s="1" t="s">
        <v>62</v>
      </c>
      <c r="D1368" s="1">
        <v>3.0</v>
      </c>
      <c r="E1368" s="1">
        <v>30133.0</v>
      </c>
      <c r="F1368" s="10">
        <f t="shared" si="1"/>
        <v>3</v>
      </c>
      <c r="G1368" s="10">
        <f t="array" ref="G1368">index('Player ID'!C:C,match(E1368,'Player ID'!B:B,0))</f>
        <v>676428</v>
      </c>
    </row>
    <row r="1369">
      <c r="A1369" s="76">
        <v>45755.0</v>
      </c>
      <c r="B1369" s="1" t="s">
        <v>595</v>
      </c>
      <c r="C1369" s="1" t="s">
        <v>33</v>
      </c>
      <c r="D1369" s="1">
        <v>1.0</v>
      </c>
      <c r="E1369" s="1">
        <v>6984.0</v>
      </c>
      <c r="F1369" s="10">
        <f t="shared" si="1"/>
        <v>1</v>
      </c>
      <c r="G1369" s="10">
        <f t="array" ref="G1369">index('Player ID'!C:C,match(E1369,'Player ID'!B:B,0))</f>
        <v>472610</v>
      </c>
    </row>
    <row r="1370">
      <c r="A1370" s="76">
        <v>45755.0</v>
      </c>
      <c r="B1370" s="1" t="s">
        <v>644</v>
      </c>
      <c r="C1370" s="1" t="s">
        <v>80</v>
      </c>
      <c r="D1370" s="1">
        <v>1.0</v>
      </c>
      <c r="E1370" s="1">
        <v>19403.0</v>
      </c>
      <c r="F1370" s="10">
        <f t="shared" si="1"/>
        <v>1</v>
      </c>
      <c r="G1370" s="10">
        <f t="array" ref="G1370">index('Player ID'!C:C,match(E1370,'Player ID'!B:B,0))</f>
        <v>621363</v>
      </c>
    </row>
    <row r="1371">
      <c r="A1371" s="76">
        <v>45755.0</v>
      </c>
      <c r="B1371" s="1" t="s">
        <v>511</v>
      </c>
      <c r="C1371" s="1" t="s">
        <v>80</v>
      </c>
      <c r="D1371" s="1">
        <v>2.0</v>
      </c>
      <c r="E1371" s="1">
        <v>26215.0</v>
      </c>
      <c r="F1371" s="10">
        <f t="shared" si="1"/>
        <v>2</v>
      </c>
      <c r="G1371" s="10">
        <f t="array" ref="G1371">index('Player ID'!C:C,match(E1371,'Player ID'!B:B,0))</f>
        <v>671131</v>
      </c>
    </row>
    <row r="1372">
      <c r="A1372" s="76">
        <v>45755.0</v>
      </c>
      <c r="B1372" s="1" t="s">
        <v>702</v>
      </c>
      <c r="C1372" s="1" t="s">
        <v>80</v>
      </c>
      <c r="D1372" s="1">
        <v>3.0</v>
      </c>
      <c r="E1372" s="1">
        <v>26247.0</v>
      </c>
      <c r="F1372" s="10">
        <f t="shared" si="1"/>
        <v>3</v>
      </c>
      <c r="G1372" s="10">
        <f t="array" ref="G1372">index('Player ID'!C:C,match(E1372,'Player ID'!B:B,0))</f>
        <v>687377</v>
      </c>
    </row>
    <row r="1373">
      <c r="A1373" s="76">
        <v>45755.0</v>
      </c>
      <c r="B1373" s="1" t="s">
        <v>104</v>
      </c>
      <c r="C1373" s="1" t="s">
        <v>33</v>
      </c>
      <c r="D1373" s="1">
        <v>2.0</v>
      </c>
      <c r="E1373" s="1">
        <v>30085.0</v>
      </c>
      <c r="F1373" s="10">
        <f t="shared" si="1"/>
        <v>2</v>
      </c>
      <c r="G1373" s="10">
        <f t="array" ref="G1373">index('Player ID'!C:C,match(E1373,'Player ID'!B:B,0))</f>
        <v>676508</v>
      </c>
    </row>
    <row r="1374">
      <c r="A1374" s="76">
        <v>45755.0</v>
      </c>
      <c r="B1374" s="1" t="s">
        <v>198</v>
      </c>
      <c r="C1374" s="1" t="s">
        <v>33</v>
      </c>
      <c r="D1374" s="1">
        <v>5.0</v>
      </c>
      <c r="E1374" s="1">
        <v>31204.0</v>
      </c>
      <c r="F1374" s="10">
        <f t="shared" si="1"/>
        <v>5</v>
      </c>
      <c r="G1374" s="10">
        <f t="array" ref="G1374">index('Player ID'!C:C,match(E1374,'Player ID'!B:B,0))</f>
        <v>680736</v>
      </c>
    </row>
    <row r="1375">
      <c r="A1375" s="76">
        <v>45755.0</v>
      </c>
      <c r="B1375" s="1" t="s">
        <v>437</v>
      </c>
      <c r="C1375" s="1" t="s">
        <v>80</v>
      </c>
      <c r="D1375" s="1">
        <v>3.0</v>
      </c>
      <c r="E1375" s="1">
        <v>31972.0</v>
      </c>
      <c r="F1375" s="10">
        <f t="shared" si="1"/>
        <v>3</v>
      </c>
      <c r="G1375" s="10">
        <f t="array" ref="G1375">index('Player ID'!C:C,match(E1375,'Player ID'!B:B,0))</f>
        <v>695418</v>
      </c>
    </row>
    <row r="1376">
      <c r="A1376" s="76">
        <v>45755.0</v>
      </c>
      <c r="B1376" s="1" t="s">
        <v>637</v>
      </c>
      <c r="C1376" s="1" t="s">
        <v>40</v>
      </c>
      <c r="D1376" s="1">
        <v>1.0</v>
      </c>
      <c r="E1376" s="1">
        <v>12323.0</v>
      </c>
      <c r="F1376" s="10">
        <f t="shared" si="1"/>
        <v>1</v>
      </c>
      <c r="G1376" s="10">
        <f t="array" ref="G1376">index('Player ID'!C:C,match(E1376,'Player ID'!B:B,0))</f>
        <v>606930</v>
      </c>
    </row>
    <row r="1377">
      <c r="A1377" s="76">
        <v>45755.0</v>
      </c>
      <c r="B1377" s="1" t="s">
        <v>174</v>
      </c>
      <c r="C1377" s="1" t="s">
        <v>40</v>
      </c>
      <c r="D1377" s="1">
        <v>0.2</v>
      </c>
      <c r="E1377" s="1">
        <v>15552.0</v>
      </c>
      <c r="F1377" s="10">
        <f t="shared" si="1"/>
        <v>0.6666666667</v>
      </c>
      <c r="G1377" s="10">
        <f t="array" ref="G1377">index('Player ID'!C:C,match(E1377,'Player ID'!B:B,0))</f>
        <v>643338</v>
      </c>
    </row>
    <row r="1378">
      <c r="A1378" s="76">
        <v>45755.0</v>
      </c>
      <c r="B1378" s="1" t="s">
        <v>134</v>
      </c>
      <c r="C1378" s="1" t="s">
        <v>22</v>
      </c>
      <c r="D1378" s="1">
        <v>1.2</v>
      </c>
      <c r="E1378" s="1">
        <v>20349.0</v>
      </c>
      <c r="F1378" s="10">
        <f t="shared" si="1"/>
        <v>1.666666667</v>
      </c>
      <c r="G1378" s="10">
        <f t="array" ref="G1378">index('Player ID'!C:C,match(E1378,'Player ID'!B:B,0))</f>
        <v>677161</v>
      </c>
    </row>
    <row r="1379">
      <c r="A1379" s="76">
        <v>45755.0</v>
      </c>
      <c r="B1379" s="1" t="s">
        <v>395</v>
      </c>
      <c r="C1379" s="1" t="s">
        <v>40</v>
      </c>
      <c r="D1379" s="1">
        <v>0.1</v>
      </c>
      <c r="E1379" s="1">
        <v>21574.0</v>
      </c>
      <c r="F1379" s="10">
        <f t="shared" si="1"/>
        <v>0.3333333333</v>
      </c>
      <c r="G1379" s="10">
        <f t="array" ref="G1379">index('Player ID'!C:C,match(E1379,'Player ID'!B:B,0))</f>
        <v>663893</v>
      </c>
    </row>
    <row r="1380">
      <c r="A1380" s="76">
        <v>45755.0</v>
      </c>
      <c r="B1380" s="1" t="s">
        <v>600</v>
      </c>
      <c r="C1380" s="1" t="s">
        <v>22</v>
      </c>
      <c r="D1380" s="1">
        <v>1.2</v>
      </c>
      <c r="E1380" s="1">
        <v>22387.0</v>
      </c>
      <c r="F1380" s="10">
        <f t="shared" si="1"/>
        <v>1.666666667</v>
      </c>
      <c r="G1380" s="10">
        <f t="array" ref="G1380">index('Player ID'!C:C,match(E1380,'Player ID'!B:B,0))</f>
        <v>670174</v>
      </c>
    </row>
    <row r="1381">
      <c r="A1381" s="76">
        <v>45755.0</v>
      </c>
      <c r="B1381" s="1" t="s">
        <v>577</v>
      </c>
      <c r="C1381" s="1" t="s">
        <v>40</v>
      </c>
      <c r="D1381" s="1">
        <v>5.1</v>
      </c>
      <c r="E1381" s="1">
        <v>26058.0</v>
      </c>
      <c r="F1381" s="10">
        <f t="shared" si="1"/>
        <v>5.333333333</v>
      </c>
      <c r="G1381" s="10">
        <f t="array" ref="G1381">index('Player ID'!C:C,match(E1381,'Player ID'!B:B,0))</f>
        <v>687922</v>
      </c>
    </row>
    <row r="1382">
      <c r="A1382" s="76">
        <v>45755.0</v>
      </c>
      <c r="B1382" s="1" t="s">
        <v>100</v>
      </c>
      <c r="C1382" s="1" t="s">
        <v>22</v>
      </c>
      <c r="D1382" s="1">
        <v>5.2</v>
      </c>
      <c r="E1382" s="1">
        <v>27463.0</v>
      </c>
      <c r="F1382" s="10">
        <f t="shared" si="1"/>
        <v>5.666666667</v>
      </c>
      <c r="G1382" s="10">
        <f t="array" ref="G1382">index('Player ID'!C:C,match(E1382,'Player ID'!B:B,0))</f>
        <v>676979</v>
      </c>
    </row>
    <row r="1383">
      <c r="A1383" s="76">
        <v>45755.0</v>
      </c>
      <c r="B1383" s="1" t="s">
        <v>142</v>
      </c>
      <c r="C1383" s="1" t="s">
        <v>40</v>
      </c>
      <c r="D1383" s="1">
        <v>1.0</v>
      </c>
      <c r="E1383" s="1">
        <v>31553.0</v>
      </c>
      <c r="F1383" s="10">
        <f t="shared" si="1"/>
        <v>1</v>
      </c>
      <c r="G1383" s="10">
        <f t="array" ref="G1383">index('Player ID'!C:C,match(E1383,'Player ID'!B:B,0))</f>
        <v>689254</v>
      </c>
    </row>
    <row r="1384">
      <c r="A1384" s="76">
        <v>45755.0</v>
      </c>
      <c r="B1384" s="1" t="s">
        <v>427</v>
      </c>
      <c r="C1384" s="1" t="s">
        <v>40</v>
      </c>
      <c r="D1384" s="1">
        <v>0.2</v>
      </c>
      <c r="E1384" s="1">
        <v>33838.0</v>
      </c>
      <c r="F1384" s="10">
        <f t="shared" si="1"/>
        <v>0.6666666667</v>
      </c>
      <c r="G1384" s="10">
        <f t="array" ref="G1384">index('Player ID'!C:C,match(E1384,'Player ID'!B:B,0))</f>
        <v>684320</v>
      </c>
    </row>
    <row r="1385">
      <c r="A1385" s="76">
        <v>45755.0</v>
      </c>
      <c r="B1385" s="1" t="s">
        <v>154</v>
      </c>
      <c r="C1385" s="1" t="s">
        <v>25</v>
      </c>
      <c r="D1385" s="1">
        <v>1.0</v>
      </c>
      <c r="E1385" s="1">
        <v>3096.0</v>
      </c>
      <c r="F1385" s="10">
        <f t="shared" si="1"/>
        <v>1</v>
      </c>
      <c r="G1385" s="10">
        <f t="array" ref="G1385">index('Player ID'!C:C,match(E1385,'Player ID'!B:B,0))</f>
        <v>445276</v>
      </c>
    </row>
    <row r="1386">
      <c r="A1386" s="76">
        <v>45755.0</v>
      </c>
      <c r="B1386" s="1" t="s">
        <v>399</v>
      </c>
      <c r="C1386" s="1" t="s">
        <v>25</v>
      </c>
      <c r="D1386" s="1">
        <v>5.0</v>
      </c>
      <c r="E1386" s="1">
        <v>12049.0</v>
      </c>
      <c r="F1386" s="10">
        <f t="shared" si="1"/>
        <v>5</v>
      </c>
      <c r="G1386" s="10">
        <f t="array" ref="G1386">index('Player ID'!C:C,match(E1386,'Player ID'!B:B,0))</f>
        <v>543294</v>
      </c>
    </row>
    <row r="1387">
      <c r="A1387" s="76">
        <v>45755.0</v>
      </c>
      <c r="B1387" s="1" t="s">
        <v>291</v>
      </c>
      <c r="C1387" s="1" t="s">
        <v>25</v>
      </c>
      <c r="D1387" s="1">
        <v>1.0</v>
      </c>
      <c r="E1387" s="1">
        <v>17968.0</v>
      </c>
      <c r="F1387" s="10">
        <f t="shared" si="1"/>
        <v>1</v>
      </c>
      <c r="G1387" s="10">
        <f t="array" ref="G1387">index('Player ID'!C:C,match(E1387,'Player ID'!B:B,0))</f>
        <v>656271</v>
      </c>
    </row>
    <row r="1388">
      <c r="A1388" s="76">
        <v>45755.0</v>
      </c>
      <c r="B1388" s="1" t="s">
        <v>261</v>
      </c>
      <c r="C1388" s="1" t="s">
        <v>54</v>
      </c>
      <c r="D1388" s="1">
        <v>1.0</v>
      </c>
      <c r="E1388" s="1">
        <v>17998.0</v>
      </c>
      <c r="F1388" s="10">
        <f t="shared" si="1"/>
        <v>1</v>
      </c>
      <c r="G1388" s="10">
        <f t="array" ref="G1388">index('Player ID'!C:C,match(E1388,'Player ID'!B:B,0))</f>
        <v>664126</v>
      </c>
    </row>
    <row r="1389">
      <c r="A1389" s="76">
        <v>45755.0</v>
      </c>
      <c r="B1389" s="1" t="s">
        <v>400</v>
      </c>
      <c r="C1389" s="1" t="s">
        <v>54</v>
      </c>
      <c r="D1389" s="1">
        <v>1.0</v>
      </c>
      <c r="E1389" s="1">
        <v>20539.0</v>
      </c>
      <c r="F1389" s="10">
        <f t="shared" si="1"/>
        <v>1</v>
      </c>
      <c r="G1389" s="10">
        <f t="array" ref="G1389">index('Player ID'!C:C,match(E1389,'Player ID'!B:B,0))</f>
        <v>670955</v>
      </c>
    </row>
    <row r="1390">
      <c r="A1390" s="76">
        <v>45755.0</v>
      </c>
      <c r="B1390" s="1" t="s">
        <v>242</v>
      </c>
      <c r="C1390" s="1" t="s">
        <v>54</v>
      </c>
      <c r="D1390" s="1">
        <v>7.0</v>
      </c>
      <c r="E1390" s="1">
        <v>22264.0</v>
      </c>
      <c r="F1390" s="10">
        <f t="shared" si="1"/>
        <v>7</v>
      </c>
      <c r="G1390" s="10">
        <f t="array" ref="G1390">index('Player ID'!C:C,match(E1390,'Player ID'!B:B,0))</f>
        <v>669358</v>
      </c>
    </row>
    <row r="1391">
      <c r="A1391" s="76">
        <v>45755.0</v>
      </c>
      <c r="B1391" s="1" t="s">
        <v>385</v>
      </c>
      <c r="C1391" s="1" t="s">
        <v>25</v>
      </c>
      <c r="D1391" s="1">
        <v>1.0</v>
      </c>
      <c r="E1391" s="1">
        <v>25420.0</v>
      </c>
      <c r="F1391" s="10">
        <f t="shared" si="1"/>
        <v>1</v>
      </c>
      <c r="G1391" s="10">
        <f t="array" ref="G1391">index('Player ID'!C:C,match(E1391,'Player ID'!B:B,0))</f>
        <v>666171</v>
      </c>
    </row>
    <row r="1392">
      <c r="A1392" s="76">
        <v>45755.0</v>
      </c>
      <c r="B1392" s="1" t="s">
        <v>696</v>
      </c>
      <c r="C1392" s="1" t="s">
        <v>25</v>
      </c>
      <c r="D1392" s="1">
        <v>0.1</v>
      </c>
      <c r="E1392" s="1">
        <v>31461.0</v>
      </c>
      <c r="F1392" s="10">
        <f t="shared" si="1"/>
        <v>0.3333333333</v>
      </c>
      <c r="G1392" s="10">
        <f t="array" ref="G1392">index('Player ID'!C:C,match(E1392,'Player ID'!B:B,0))</f>
        <v>690829</v>
      </c>
    </row>
    <row r="1393">
      <c r="A1393" s="76">
        <v>45755.0</v>
      </c>
      <c r="B1393" s="1" t="s">
        <v>760</v>
      </c>
      <c r="C1393" s="1" t="s">
        <v>25</v>
      </c>
      <c r="D1393" s="1">
        <v>0.2</v>
      </c>
      <c r="E1393" s="1">
        <v>31751.0</v>
      </c>
      <c r="F1393" s="10">
        <f t="shared" si="1"/>
        <v>0.6666666667</v>
      </c>
      <c r="G1393" s="10">
        <f t="array" ref="G1393">index('Player ID'!C:C,match(E1393,'Player ID'!B:B,0))</f>
        <v>680729</v>
      </c>
    </row>
    <row r="1394">
      <c r="A1394" s="76">
        <v>45755.0</v>
      </c>
      <c r="B1394" s="1" t="s">
        <v>646</v>
      </c>
      <c r="C1394" s="1" t="s">
        <v>51</v>
      </c>
      <c r="D1394" s="1">
        <v>1.0</v>
      </c>
      <c r="E1394" s="1">
        <v>6107.0</v>
      </c>
      <c r="F1394" s="10">
        <f t="shared" si="1"/>
        <v>1</v>
      </c>
      <c r="G1394" s="10">
        <f t="array" ref="G1394">index('Player ID'!C:C,match(E1394,'Player ID'!B:B,0))</f>
        <v>623211</v>
      </c>
    </row>
    <row r="1395">
      <c r="A1395" s="76">
        <v>45755.0</v>
      </c>
      <c r="B1395" s="1" t="s">
        <v>269</v>
      </c>
      <c r="C1395" s="1" t="s">
        <v>51</v>
      </c>
      <c r="D1395" s="1">
        <v>5.1</v>
      </c>
      <c r="E1395" s="1">
        <v>13649.0</v>
      </c>
      <c r="F1395" s="10">
        <f t="shared" si="1"/>
        <v>5.333333333</v>
      </c>
      <c r="G1395" s="10">
        <f t="array" ref="G1395">index('Player ID'!C:C,match(E1395,'Player ID'!B:B,0))</f>
        <v>605280</v>
      </c>
    </row>
    <row r="1396">
      <c r="A1396" s="76">
        <v>45755.0</v>
      </c>
      <c r="B1396" s="1" t="s">
        <v>295</v>
      </c>
      <c r="C1396" s="1" t="s">
        <v>51</v>
      </c>
      <c r="D1396" s="1">
        <v>1.0</v>
      </c>
      <c r="E1396" s="1">
        <v>16866.0</v>
      </c>
      <c r="F1396" s="10">
        <f t="shared" si="1"/>
        <v>1</v>
      </c>
      <c r="G1396" s="10">
        <f t="array" ref="G1396">index('Player ID'!C:C,match(E1396,'Player ID'!B:B,0))</f>
        <v>657585</v>
      </c>
    </row>
    <row r="1397">
      <c r="A1397" s="76">
        <v>45755.0</v>
      </c>
      <c r="B1397" s="1" t="s">
        <v>647</v>
      </c>
      <c r="C1397" s="1" t="s">
        <v>51</v>
      </c>
      <c r="D1397" s="1">
        <v>1.0</v>
      </c>
      <c r="E1397" s="1">
        <v>18439.0</v>
      </c>
      <c r="F1397" s="10">
        <f t="shared" si="1"/>
        <v>1</v>
      </c>
      <c r="G1397" s="10">
        <f t="array" ref="G1397">index('Player ID'!C:C,match(E1397,'Player ID'!B:B,0))</f>
        <v>664849</v>
      </c>
    </row>
    <row r="1398">
      <c r="A1398" s="76">
        <v>45755.0</v>
      </c>
      <c r="B1398" s="1" t="s">
        <v>674</v>
      </c>
      <c r="C1398" s="1" t="s">
        <v>51</v>
      </c>
      <c r="D1398" s="1">
        <v>0.2</v>
      </c>
      <c r="E1398" s="1">
        <v>18655.0</v>
      </c>
      <c r="F1398" s="10">
        <f t="shared" si="1"/>
        <v>0.6666666667</v>
      </c>
      <c r="G1398" s="10">
        <f t="array" ref="G1398">index('Player ID'!C:C,match(E1398,'Player ID'!B:B,0))</f>
        <v>621345</v>
      </c>
    </row>
    <row r="1399">
      <c r="A1399" s="76">
        <v>45755.0</v>
      </c>
      <c r="B1399" s="1" t="s">
        <v>262</v>
      </c>
      <c r="C1399" s="1" t="s">
        <v>36</v>
      </c>
      <c r="D1399" s="1">
        <v>0.2</v>
      </c>
      <c r="E1399" s="1">
        <v>20116.0</v>
      </c>
      <c r="F1399" s="10">
        <f t="shared" si="1"/>
        <v>0.6666666667</v>
      </c>
      <c r="G1399" s="10">
        <f t="array" ref="G1399">index('Player ID'!C:C,match(E1399,'Player ID'!B:B,0))</f>
        <v>676534</v>
      </c>
    </row>
    <row r="1400">
      <c r="A1400" s="76">
        <v>45755.0</v>
      </c>
      <c r="B1400" s="1" t="s">
        <v>754</v>
      </c>
      <c r="C1400" s="1" t="s">
        <v>36</v>
      </c>
      <c r="D1400" s="1">
        <v>2.0</v>
      </c>
      <c r="E1400" s="1">
        <v>23811.0</v>
      </c>
      <c r="F1400" s="10">
        <f t="shared" si="1"/>
        <v>2</v>
      </c>
      <c r="G1400" s="10">
        <f t="array" ref="G1400">index('Player ID'!C:C,match(E1400,'Player ID'!B:B,0))</f>
        <v>678215</v>
      </c>
    </row>
    <row r="1401">
      <c r="A1401" s="76">
        <v>45755.0</v>
      </c>
      <c r="B1401" s="1" t="s">
        <v>123</v>
      </c>
      <c r="C1401" s="1" t="s">
        <v>36</v>
      </c>
      <c r="D1401" s="1">
        <v>0.2</v>
      </c>
      <c r="E1401" s="1">
        <v>24094.0</v>
      </c>
      <c r="F1401" s="10">
        <f t="shared" si="1"/>
        <v>0.6666666667</v>
      </c>
      <c r="G1401" s="10">
        <f t="array" ref="G1401">index('Player ID'!C:C,match(E1401,'Player ID'!B:B,0))</f>
        <v>678692</v>
      </c>
    </row>
    <row r="1402">
      <c r="A1402" s="76">
        <v>45755.0</v>
      </c>
      <c r="B1402" s="1" t="s">
        <v>725</v>
      </c>
      <c r="C1402" s="1" t="s">
        <v>36</v>
      </c>
      <c r="D1402" s="1">
        <v>0.2</v>
      </c>
      <c r="E1402" s="1">
        <v>25595.0</v>
      </c>
      <c r="F1402" s="10">
        <f t="shared" si="1"/>
        <v>0.6666666667</v>
      </c>
      <c r="G1402" s="10">
        <f t="array" ref="G1402">index('Player ID'!C:C,match(E1402,'Player ID'!B:B,0))</f>
        <v>675540</v>
      </c>
    </row>
    <row r="1403">
      <c r="A1403" s="76">
        <v>45755.0</v>
      </c>
      <c r="B1403" s="1" t="s">
        <v>561</v>
      </c>
      <c r="C1403" s="1" t="s">
        <v>36</v>
      </c>
      <c r="D1403" s="1">
        <v>4.0</v>
      </c>
      <c r="E1403" s="1">
        <v>26171.0</v>
      </c>
      <c r="F1403" s="10">
        <f t="shared" si="1"/>
        <v>4</v>
      </c>
      <c r="G1403" s="10">
        <f t="array" ref="G1403">index('Player ID'!C:C,match(E1403,'Player ID'!B:B,0))</f>
        <v>687362</v>
      </c>
    </row>
    <row r="1404">
      <c r="A1404" s="76">
        <v>45755.0</v>
      </c>
      <c r="B1404" s="1" t="s">
        <v>79</v>
      </c>
      <c r="C1404" s="1" t="s">
        <v>45</v>
      </c>
      <c r="D1404" s="1">
        <v>5.1</v>
      </c>
      <c r="E1404" s="1">
        <v>10310.0</v>
      </c>
      <c r="F1404" s="10">
        <f t="shared" si="1"/>
        <v>5.333333333</v>
      </c>
      <c r="G1404" s="10">
        <f t="array" ref="G1404">index('Player ID'!C:C,match(E1404,'Player ID'!B:B,0))</f>
        <v>554430</v>
      </c>
    </row>
    <row r="1405">
      <c r="A1405" s="76">
        <v>45755.0</v>
      </c>
      <c r="B1405" s="1" t="s">
        <v>156</v>
      </c>
      <c r="C1405" s="1" t="s">
        <v>46</v>
      </c>
      <c r="D1405" s="1">
        <v>4.2</v>
      </c>
      <c r="E1405" s="1">
        <v>10603.0</v>
      </c>
      <c r="F1405" s="10">
        <f t="shared" si="1"/>
        <v>4.666666667</v>
      </c>
      <c r="G1405" s="10">
        <f t="array" ref="G1405">index('Player ID'!C:C,match(E1405,'Player ID'!B:B,0))</f>
        <v>519242</v>
      </c>
    </row>
    <row r="1406">
      <c r="A1406" s="76">
        <v>45755.0</v>
      </c>
      <c r="B1406" s="1" t="s">
        <v>182</v>
      </c>
      <c r="C1406" s="1" t="s">
        <v>45</v>
      </c>
      <c r="D1406" s="1">
        <v>0.2</v>
      </c>
      <c r="E1406" s="1">
        <v>13799.0</v>
      </c>
      <c r="F1406" s="10">
        <f t="shared" si="1"/>
        <v>0.6666666667</v>
      </c>
      <c r="G1406" s="10">
        <f t="array" ref="G1406">index('Player ID'!C:C,match(E1406,'Player ID'!B:B,0))</f>
        <v>621381</v>
      </c>
    </row>
    <row r="1407">
      <c r="A1407" s="76">
        <v>45755.0</v>
      </c>
      <c r="B1407" s="1" t="s">
        <v>138</v>
      </c>
      <c r="C1407" s="1" t="s">
        <v>45</v>
      </c>
      <c r="D1407" s="1">
        <v>1.0</v>
      </c>
      <c r="E1407" s="1">
        <v>16990.0</v>
      </c>
      <c r="F1407" s="10">
        <f t="shared" si="1"/>
        <v>1</v>
      </c>
      <c r="G1407" s="10">
        <f t="array" ref="G1407">index('Player ID'!C:C,match(E1407,'Player ID'!B:B,0))</f>
        <v>621383</v>
      </c>
    </row>
    <row r="1408">
      <c r="A1408" s="76">
        <v>45755.0</v>
      </c>
      <c r="B1408" s="1" t="s">
        <v>184</v>
      </c>
      <c r="C1408" s="1" t="s">
        <v>46</v>
      </c>
      <c r="D1408" s="1">
        <v>1.0</v>
      </c>
      <c r="E1408" s="1">
        <v>17130.0</v>
      </c>
      <c r="F1408" s="10">
        <f t="shared" si="1"/>
        <v>1</v>
      </c>
      <c r="G1408" s="10">
        <f t="array" ref="G1408">index('Player ID'!C:C,match(E1408,'Player ID'!B:B,0))</f>
        <v>628452</v>
      </c>
    </row>
    <row r="1409">
      <c r="A1409" s="76">
        <v>45755.0</v>
      </c>
      <c r="B1409" s="1" t="s">
        <v>346</v>
      </c>
      <c r="C1409" s="1" t="s">
        <v>46</v>
      </c>
      <c r="D1409" s="1">
        <v>1.1</v>
      </c>
      <c r="E1409" s="1">
        <v>18403.0</v>
      </c>
      <c r="F1409" s="10">
        <f t="shared" si="1"/>
        <v>1.333333333</v>
      </c>
      <c r="G1409" s="10">
        <f t="array" ref="G1409">index('Player ID'!C:C,match(E1409,'Player ID'!B:B,0))</f>
        <v>660853</v>
      </c>
    </row>
    <row r="1410">
      <c r="A1410" s="76">
        <v>45755.0</v>
      </c>
      <c r="B1410" s="1" t="s">
        <v>91</v>
      </c>
      <c r="C1410" s="1" t="s">
        <v>46</v>
      </c>
      <c r="D1410" s="1">
        <v>0.2</v>
      </c>
      <c r="E1410" s="1">
        <v>19996.0</v>
      </c>
      <c r="F1410" s="10">
        <f t="shared" si="1"/>
        <v>0.6666666667</v>
      </c>
      <c r="G1410" s="10">
        <f t="array" ref="G1410">index('Player ID'!C:C,match(E1410,'Player ID'!B:B,0))</f>
        <v>669276</v>
      </c>
    </row>
    <row r="1411">
      <c r="A1411" s="76">
        <v>45755.0</v>
      </c>
      <c r="B1411" s="1" t="s">
        <v>688</v>
      </c>
      <c r="C1411" s="1" t="s">
        <v>46</v>
      </c>
      <c r="D1411" s="1">
        <v>1.1</v>
      </c>
      <c r="E1411" s="1">
        <v>20271.0</v>
      </c>
      <c r="F1411" s="10">
        <f t="shared" si="1"/>
        <v>1.333333333</v>
      </c>
      <c r="G1411" s="10">
        <f t="array" ref="G1411">index('Player ID'!C:C,match(E1411,'Player ID'!B:B,0))</f>
        <v>678226</v>
      </c>
    </row>
    <row r="1412">
      <c r="A1412" s="76">
        <v>45755.0</v>
      </c>
      <c r="B1412" s="1" t="s">
        <v>165</v>
      </c>
      <c r="C1412" s="1" t="s">
        <v>45</v>
      </c>
      <c r="D1412" s="1">
        <v>1.0</v>
      </c>
      <c r="E1412" s="1">
        <v>31776.0</v>
      </c>
      <c r="F1412" s="10">
        <f t="shared" si="1"/>
        <v>1</v>
      </c>
      <c r="G1412" s="10">
        <f t="array" ref="G1412">index('Player ID'!C:C,match(E1412,'Player ID'!B:B,0))</f>
        <v>689147</v>
      </c>
    </row>
    <row r="1413">
      <c r="A1413" s="76">
        <v>45755.0</v>
      </c>
      <c r="B1413" s="1" t="s">
        <v>435</v>
      </c>
      <c r="C1413" s="1" t="s">
        <v>16</v>
      </c>
      <c r="D1413" s="1">
        <v>1.0</v>
      </c>
      <c r="E1413" s="1">
        <v>13293.0</v>
      </c>
      <c r="F1413" s="10">
        <f t="shared" si="1"/>
        <v>1</v>
      </c>
      <c r="G1413" s="10">
        <f t="array" ref="G1413">index('Player ID'!C:C,match(E1413,'Player ID'!B:B,0))</f>
        <v>543056</v>
      </c>
    </row>
    <row r="1414">
      <c r="A1414" s="76">
        <v>45755.0</v>
      </c>
      <c r="B1414" s="1" t="s">
        <v>664</v>
      </c>
      <c r="C1414" s="1" t="s">
        <v>16</v>
      </c>
      <c r="D1414" s="1">
        <v>4.2</v>
      </c>
      <c r="E1414" s="1">
        <v>17085.0</v>
      </c>
      <c r="F1414" s="10">
        <f t="shared" si="1"/>
        <v>4.666666667</v>
      </c>
      <c r="G1414" s="10">
        <f t="array" ref="G1414">index('Player ID'!C:C,match(E1414,'Player ID'!B:B,0))</f>
        <v>641154</v>
      </c>
    </row>
    <row r="1415">
      <c r="A1415" s="76">
        <v>45755.0</v>
      </c>
      <c r="B1415" s="1" t="s">
        <v>397</v>
      </c>
      <c r="C1415" s="1" t="s">
        <v>16</v>
      </c>
      <c r="D1415" s="1">
        <v>1.0</v>
      </c>
      <c r="E1415" s="1">
        <v>19459.0</v>
      </c>
      <c r="F1415" s="10">
        <f t="shared" si="1"/>
        <v>1</v>
      </c>
      <c r="G1415" s="10">
        <f t="array" ref="G1415">index('Player ID'!C:C,match(E1415,'Player ID'!B:B,0))</f>
        <v>660896</v>
      </c>
    </row>
    <row r="1416">
      <c r="A1416" s="76">
        <v>45755.0</v>
      </c>
      <c r="B1416" s="1" t="s">
        <v>144</v>
      </c>
      <c r="C1416" s="1" t="s">
        <v>29</v>
      </c>
      <c r="D1416" s="1">
        <v>1.2</v>
      </c>
      <c r="E1416" s="1">
        <v>20020.0</v>
      </c>
      <c r="F1416" s="10">
        <f t="shared" si="1"/>
        <v>1.666666667</v>
      </c>
      <c r="G1416" s="10">
        <f t="array" ref="G1416">index('Player ID'!C:C,match(E1416,'Player ID'!B:B,0))</f>
        <v>670167</v>
      </c>
    </row>
    <row r="1417">
      <c r="A1417" s="76">
        <v>45755.0</v>
      </c>
      <c r="B1417" s="1" t="s">
        <v>28</v>
      </c>
      <c r="C1417" s="1" t="s">
        <v>16</v>
      </c>
      <c r="D1417" s="1">
        <v>1.0</v>
      </c>
      <c r="E1417" s="1">
        <v>20253.0</v>
      </c>
      <c r="F1417" s="10">
        <f t="shared" si="1"/>
        <v>1</v>
      </c>
      <c r="G1417" s="10">
        <f t="array" ref="G1417">index('Player ID'!C:C,match(E1417,'Player ID'!B:B,0))</f>
        <v>643377</v>
      </c>
    </row>
    <row r="1418">
      <c r="A1418" s="76">
        <v>45755.0</v>
      </c>
      <c r="B1418" s="1" t="s">
        <v>237</v>
      </c>
      <c r="C1418" s="1" t="s">
        <v>16</v>
      </c>
      <c r="D1418" s="1">
        <v>0.1</v>
      </c>
      <c r="E1418" s="1">
        <v>21461.0</v>
      </c>
      <c r="F1418" s="10">
        <f t="shared" si="1"/>
        <v>0.3333333333</v>
      </c>
      <c r="G1418" s="10">
        <f t="array" ref="G1418">index('Player ID'!C:C,match(E1418,'Player ID'!B:B,0))</f>
        <v>663485</v>
      </c>
    </row>
    <row r="1419">
      <c r="A1419" s="76">
        <v>45755.0</v>
      </c>
      <c r="B1419" s="1" t="s">
        <v>293</v>
      </c>
      <c r="C1419" s="1" t="s">
        <v>29</v>
      </c>
      <c r="D1419" s="1">
        <v>0.1</v>
      </c>
      <c r="E1419" s="1">
        <v>21537.0</v>
      </c>
      <c r="F1419" s="10">
        <f t="shared" si="1"/>
        <v>0.3333333333</v>
      </c>
      <c r="G1419" s="10">
        <f t="array" ref="G1419">index('Player ID'!C:C,match(E1419,'Player ID'!B:B,0))</f>
        <v>663738</v>
      </c>
    </row>
    <row r="1420">
      <c r="A1420" s="76">
        <v>45755.0</v>
      </c>
      <c r="B1420" s="1" t="s">
        <v>205</v>
      </c>
      <c r="C1420" s="1" t="s">
        <v>29</v>
      </c>
      <c r="D1420" s="1">
        <v>6.0</v>
      </c>
      <c r="E1420" s="1">
        <v>21846.0</v>
      </c>
      <c r="F1420" s="10">
        <f t="shared" si="1"/>
        <v>6</v>
      </c>
      <c r="G1420" s="10">
        <f t="array" ref="G1420">index('Player ID'!C:C,match(E1420,'Player ID'!B:B,0))</f>
        <v>666142</v>
      </c>
    </row>
    <row r="1421">
      <c r="A1421" s="76">
        <v>45755.0</v>
      </c>
      <c r="B1421" s="1" t="s">
        <v>140</v>
      </c>
      <c r="C1421" s="1" t="s">
        <v>29</v>
      </c>
      <c r="D1421" s="1">
        <v>1.0</v>
      </c>
      <c r="E1421" s="1">
        <v>22717.0</v>
      </c>
      <c r="F1421" s="10">
        <f t="shared" si="1"/>
        <v>1</v>
      </c>
      <c r="G1421" s="10">
        <f t="array" ref="G1421">index('Player ID'!C:C,match(E1421,'Player ID'!B:B,0))</f>
        <v>672582</v>
      </c>
    </row>
    <row r="1422">
      <c r="A1422" s="76">
        <v>45755.0</v>
      </c>
      <c r="B1422" s="1" t="s">
        <v>460</v>
      </c>
      <c r="C1422" s="1" t="s">
        <v>34</v>
      </c>
      <c r="D1422" s="1">
        <v>1.0</v>
      </c>
      <c r="E1422" s="1">
        <v>7005.0</v>
      </c>
      <c r="F1422" s="10">
        <f t="shared" si="1"/>
        <v>1</v>
      </c>
      <c r="G1422" s="10">
        <f t="array" ref="G1422">index('Player ID'!C:C,match(E1422,'Player ID'!B:B,0))</f>
        <v>519151</v>
      </c>
    </row>
    <row r="1423">
      <c r="A1423" s="76">
        <v>45755.0</v>
      </c>
      <c r="B1423" s="1" t="s">
        <v>245</v>
      </c>
      <c r="C1423" s="1" t="s">
        <v>56</v>
      </c>
      <c r="D1423" s="1">
        <v>4.0</v>
      </c>
      <c r="E1423" s="1">
        <v>9323.0</v>
      </c>
      <c r="F1423" s="10">
        <f t="shared" si="1"/>
        <v>4</v>
      </c>
      <c r="G1423" s="10">
        <f t="array" ref="G1423">index('Player ID'!C:C,match(E1423,'Player ID'!B:B,0))</f>
        <v>571578</v>
      </c>
    </row>
    <row r="1424">
      <c r="A1424" s="76">
        <v>45755.0</v>
      </c>
      <c r="B1424" s="1" t="s">
        <v>99</v>
      </c>
      <c r="C1424" s="1" t="s">
        <v>34</v>
      </c>
      <c r="D1424" s="1">
        <v>6.0</v>
      </c>
      <c r="E1424" s="1">
        <v>11674.0</v>
      </c>
      <c r="F1424" s="10">
        <f t="shared" si="1"/>
        <v>6</v>
      </c>
      <c r="G1424" s="10">
        <f t="array" ref="G1424">index('Player ID'!C:C,match(E1424,'Player ID'!B:B,0))</f>
        <v>592791</v>
      </c>
    </row>
    <row r="1425">
      <c r="A1425" s="76">
        <v>45755.0</v>
      </c>
      <c r="B1425" s="1" t="s">
        <v>74</v>
      </c>
      <c r="C1425" s="1" t="s">
        <v>56</v>
      </c>
      <c r="D1425" s="1">
        <v>0.2</v>
      </c>
      <c r="E1425" s="1">
        <v>11847.0</v>
      </c>
      <c r="F1425" s="10">
        <f t="shared" si="1"/>
        <v>0.6666666667</v>
      </c>
      <c r="G1425" s="10">
        <f t="array" ref="G1425">index('Player ID'!C:C,match(E1425,'Player ID'!B:B,0))</f>
        <v>455119</v>
      </c>
    </row>
    <row r="1426">
      <c r="A1426" s="76">
        <v>45755.0</v>
      </c>
      <c r="B1426" s="1" t="s">
        <v>440</v>
      </c>
      <c r="C1426" s="1" t="s">
        <v>56</v>
      </c>
      <c r="D1426" s="1">
        <v>1.0</v>
      </c>
      <c r="E1426" s="1">
        <v>12857.0</v>
      </c>
      <c r="F1426" s="10">
        <f t="shared" si="1"/>
        <v>1</v>
      </c>
      <c r="G1426" s="10">
        <f t="array" ref="G1426">index('Player ID'!C:C,match(E1426,'Player ID'!B:B,0))</f>
        <v>542888</v>
      </c>
    </row>
    <row r="1427">
      <c r="A1427" s="76">
        <v>45755.0</v>
      </c>
      <c r="B1427" s="1" t="s">
        <v>151</v>
      </c>
      <c r="C1427" s="1" t="s">
        <v>56</v>
      </c>
      <c r="D1427" s="1">
        <v>0.1</v>
      </c>
      <c r="E1427" s="1">
        <v>13346.0</v>
      </c>
      <c r="F1427" s="10">
        <f t="shared" si="1"/>
        <v>0.3333333333</v>
      </c>
      <c r="G1427" s="10">
        <f t="array" ref="G1427">index('Player ID'!C:C,match(E1427,'Player ID'!B:B,0))</f>
        <v>571948</v>
      </c>
    </row>
    <row r="1428">
      <c r="A1428" s="76">
        <v>45755.0</v>
      </c>
      <c r="B1428" s="1" t="s">
        <v>632</v>
      </c>
      <c r="C1428" s="1" t="s">
        <v>34</v>
      </c>
      <c r="D1428" s="1">
        <v>0.2</v>
      </c>
      <c r="E1428" s="1">
        <v>16703.0</v>
      </c>
      <c r="F1428" s="10">
        <f t="shared" si="1"/>
        <v>0.6666666667</v>
      </c>
      <c r="G1428" s="10">
        <f t="array" ref="G1428">index('Player ID'!C:C,match(E1428,'Player ID'!B:B,0))</f>
        <v>657240</v>
      </c>
    </row>
    <row r="1429">
      <c r="A1429" s="76">
        <v>45755.0</v>
      </c>
      <c r="B1429" s="1" t="s">
        <v>87</v>
      </c>
      <c r="C1429" s="1" t="s">
        <v>56</v>
      </c>
      <c r="D1429" s="1">
        <v>1.0</v>
      </c>
      <c r="E1429" s="1">
        <v>19274.0</v>
      </c>
      <c r="F1429" s="10">
        <f t="shared" si="1"/>
        <v>1</v>
      </c>
      <c r="G1429" s="10">
        <f t="array" ref="G1429">index('Player ID'!C:C,match(E1429,'Player ID'!B:B,0))</f>
        <v>657097</v>
      </c>
    </row>
    <row r="1430">
      <c r="A1430" s="76">
        <v>45755.0</v>
      </c>
      <c r="B1430" s="1" t="s">
        <v>677</v>
      </c>
      <c r="C1430" s="1" t="s">
        <v>56</v>
      </c>
      <c r="D1430" s="1">
        <v>1.0</v>
      </c>
      <c r="E1430" s="1">
        <v>26353.0</v>
      </c>
      <c r="F1430" s="10">
        <f t="shared" si="1"/>
        <v>1</v>
      </c>
      <c r="G1430" s="10">
        <f t="array" ref="G1430">index('Player ID'!C:C,match(E1430,'Player ID'!B:B,0))</f>
        <v>687847</v>
      </c>
    </row>
    <row r="1431">
      <c r="A1431" s="76">
        <v>45755.0</v>
      </c>
      <c r="B1431" s="1" t="s">
        <v>388</v>
      </c>
      <c r="C1431" s="1" t="s">
        <v>34</v>
      </c>
      <c r="D1431" s="1">
        <v>1.1</v>
      </c>
      <c r="E1431" s="1">
        <v>26413.0</v>
      </c>
      <c r="F1431" s="10">
        <f t="shared" si="1"/>
        <v>1.333333333</v>
      </c>
      <c r="G1431" s="10">
        <f t="array" ref="G1431">index('Player ID'!C:C,match(E1431,'Player ID'!B:B,0))</f>
        <v>687863</v>
      </c>
    </row>
    <row r="1432">
      <c r="A1432" s="76">
        <v>45755.0</v>
      </c>
      <c r="B1432" s="1" t="s">
        <v>634</v>
      </c>
      <c r="C1432" s="1" t="s">
        <v>14</v>
      </c>
      <c r="D1432" s="1">
        <v>1.0</v>
      </c>
      <c r="E1432" s="1">
        <v>14332.0</v>
      </c>
      <c r="F1432" s="10">
        <f t="shared" si="1"/>
        <v>1</v>
      </c>
      <c r="G1432" s="10">
        <f t="array" ref="G1432">index('Player ID'!C:C,match(E1432,'Player ID'!B:B,0))</f>
        <v>606303</v>
      </c>
    </row>
    <row r="1433">
      <c r="A1433" s="76">
        <v>45755.0</v>
      </c>
      <c r="B1433" s="1" t="s">
        <v>189</v>
      </c>
      <c r="C1433" s="1" t="s">
        <v>75</v>
      </c>
      <c r="D1433" s="1">
        <v>6.1</v>
      </c>
      <c r="E1433" s="1">
        <v>16256.0</v>
      </c>
      <c r="F1433" s="10">
        <f t="shared" si="1"/>
        <v>6.333333333</v>
      </c>
      <c r="G1433" s="10">
        <f t="array" ref="G1433">index('Player ID'!C:C,match(E1433,'Player ID'!B:B,0))</f>
        <v>607536</v>
      </c>
    </row>
    <row r="1434">
      <c r="A1434" s="76">
        <v>45755.0</v>
      </c>
      <c r="B1434" s="1" t="s">
        <v>451</v>
      </c>
      <c r="C1434" s="1" t="s">
        <v>75</v>
      </c>
      <c r="D1434" s="1">
        <v>0.2</v>
      </c>
      <c r="E1434" s="1">
        <v>17556.0</v>
      </c>
      <c r="F1434" s="10">
        <f t="shared" si="1"/>
        <v>0.6666666667</v>
      </c>
      <c r="G1434" s="10">
        <f t="array" ref="G1434">index('Player ID'!C:C,match(E1434,'Player ID'!B:B,0))</f>
        <v>623474</v>
      </c>
    </row>
    <row r="1435">
      <c r="A1435" s="76">
        <v>45755.0</v>
      </c>
      <c r="B1435" s="1" t="s">
        <v>288</v>
      </c>
      <c r="C1435" s="1" t="s">
        <v>75</v>
      </c>
      <c r="D1435" s="1">
        <v>1.0</v>
      </c>
      <c r="E1435" s="1">
        <v>18297.0</v>
      </c>
      <c r="F1435" s="10">
        <f t="shared" si="1"/>
        <v>1</v>
      </c>
      <c r="G1435" s="10">
        <f t="array" ref="G1435">index('Player ID'!C:C,match(E1435,'Player ID'!B:B,0))</f>
        <v>641755</v>
      </c>
    </row>
    <row r="1436">
      <c r="A1436" s="76">
        <v>45755.0</v>
      </c>
      <c r="B1436" s="1" t="s">
        <v>180</v>
      </c>
      <c r="C1436" s="1" t="s">
        <v>14</v>
      </c>
      <c r="D1436" s="1">
        <v>5.0</v>
      </c>
      <c r="E1436" s="1">
        <v>18679.0</v>
      </c>
      <c r="F1436" s="10">
        <f t="shared" si="1"/>
        <v>5</v>
      </c>
      <c r="G1436" s="10">
        <f t="array" ref="G1436">index('Player ID'!C:C,match(E1436,'Player ID'!B:B,0))</f>
        <v>642547</v>
      </c>
    </row>
    <row r="1437">
      <c r="A1437" s="76">
        <v>45755.0</v>
      </c>
      <c r="B1437" s="1" t="s">
        <v>636</v>
      </c>
      <c r="C1437" s="1" t="s">
        <v>14</v>
      </c>
      <c r="D1437" s="1">
        <v>1.0</v>
      </c>
      <c r="E1437" s="1">
        <v>19924.0</v>
      </c>
      <c r="F1437" s="10">
        <f t="shared" si="1"/>
        <v>1</v>
      </c>
      <c r="G1437" s="10">
        <f t="array" ref="G1437">index('Player ID'!C:C,match(E1437,'Player ID'!B:B,0))</f>
        <v>663542</v>
      </c>
    </row>
    <row r="1438">
      <c r="A1438" s="76">
        <v>45755.0</v>
      </c>
      <c r="B1438" s="1" t="s">
        <v>279</v>
      </c>
      <c r="C1438" s="1" t="s">
        <v>14</v>
      </c>
      <c r="D1438" s="1">
        <v>1.0</v>
      </c>
      <c r="E1438" s="1">
        <v>25327.0</v>
      </c>
      <c r="F1438" s="10">
        <f t="shared" si="1"/>
        <v>1</v>
      </c>
      <c r="G1438" s="10">
        <f t="array" ref="G1438">index('Player ID'!C:C,match(E1438,'Player ID'!B:B,0))</f>
        <v>682842</v>
      </c>
    </row>
    <row r="1439">
      <c r="A1439" s="76">
        <v>45755.0</v>
      </c>
      <c r="B1439" s="1" t="s">
        <v>112</v>
      </c>
      <c r="C1439" s="1" t="s">
        <v>14</v>
      </c>
      <c r="D1439" s="1">
        <v>1.0</v>
      </c>
      <c r="E1439" s="1">
        <v>25376.0</v>
      </c>
      <c r="F1439" s="10">
        <f t="shared" si="1"/>
        <v>1</v>
      </c>
      <c r="G1439" s="10">
        <f t="array" ref="G1439">index('Player ID'!C:C,match(E1439,'Player ID'!B:B,0))</f>
        <v>683232</v>
      </c>
    </row>
    <row r="1440">
      <c r="A1440" s="76">
        <v>45755.0</v>
      </c>
      <c r="B1440" s="1" t="s">
        <v>486</v>
      </c>
      <c r="C1440" s="1" t="s">
        <v>75</v>
      </c>
      <c r="D1440" s="1">
        <v>1.0</v>
      </c>
      <c r="E1440" s="1">
        <v>26790.0</v>
      </c>
      <c r="F1440" s="10">
        <f t="shared" si="1"/>
        <v>1</v>
      </c>
      <c r="G1440" s="10">
        <f t="array" ref="G1440">index('Player ID'!C:C,match(E1440,'Player ID'!B:B,0))</f>
        <v>683409</v>
      </c>
    </row>
    <row r="1441">
      <c r="A1441" s="76">
        <v>45755.0</v>
      </c>
      <c r="B1441" s="1" t="s">
        <v>783</v>
      </c>
      <c r="C1441" s="1" t="s">
        <v>37</v>
      </c>
      <c r="D1441" s="1">
        <v>2.0</v>
      </c>
      <c r="E1441" s="1">
        <v>13287.0</v>
      </c>
      <c r="F1441" s="10">
        <f t="shared" si="1"/>
        <v>2</v>
      </c>
      <c r="G1441" s="10">
        <f t="array" ref="G1441">index('Player ID'!C:C,match(E1441,'Player ID'!B:B,0))</f>
        <v>534910</v>
      </c>
    </row>
    <row r="1442">
      <c r="A1442" s="76">
        <v>45755.0</v>
      </c>
      <c r="B1442" s="1" t="s">
        <v>38</v>
      </c>
      <c r="C1442" s="1" t="s">
        <v>39</v>
      </c>
      <c r="D1442" s="1">
        <v>1.0</v>
      </c>
      <c r="E1442" s="1">
        <v>13580.0</v>
      </c>
      <c r="F1442" s="10">
        <f t="shared" si="1"/>
        <v>1</v>
      </c>
      <c r="G1442" s="10">
        <f t="array" ref="G1442">index('Player ID'!C:C,match(E1442,'Player ID'!B:B,0))</f>
        <v>595345</v>
      </c>
    </row>
    <row r="1443">
      <c r="A1443" s="76">
        <v>45755.0</v>
      </c>
      <c r="B1443" s="1" t="s">
        <v>447</v>
      </c>
      <c r="C1443" s="1" t="s">
        <v>39</v>
      </c>
      <c r="D1443" s="1">
        <v>0.2</v>
      </c>
      <c r="E1443" s="1">
        <v>13652.0</v>
      </c>
      <c r="F1443" s="10">
        <f t="shared" si="1"/>
        <v>0.6666666667</v>
      </c>
      <c r="G1443" s="10">
        <f t="array" ref="G1443">index('Player ID'!C:C,match(E1443,'Player ID'!B:B,0))</f>
        <v>605463</v>
      </c>
    </row>
    <row r="1444">
      <c r="A1444" s="76">
        <v>45755.0</v>
      </c>
      <c r="B1444" s="1" t="s">
        <v>59</v>
      </c>
      <c r="C1444" s="1" t="s">
        <v>39</v>
      </c>
      <c r="D1444" s="1">
        <v>2.0</v>
      </c>
      <c r="E1444" s="1">
        <v>14212.0</v>
      </c>
      <c r="F1444" s="10">
        <f t="shared" si="1"/>
        <v>2</v>
      </c>
      <c r="G1444" s="10">
        <f t="array" ref="G1444">index('Player ID'!C:C,match(E1444,'Player ID'!B:B,0))</f>
        <v>623352</v>
      </c>
    </row>
    <row r="1445">
      <c r="A1445" s="76">
        <v>45755.0</v>
      </c>
      <c r="B1445" s="1" t="s">
        <v>272</v>
      </c>
      <c r="C1445" s="1" t="s">
        <v>37</v>
      </c>
      <c r="D1445" s="1">
        <v>5.0</v>
      </c>
      <c r="E1445" s="1">
        <v>15689.0</v>
      </c>
      <c r="F1445" s="10">
        <f t="shared" si="1"/>
        <v>5</v>
      </c>
      <c r="G1445" s="10">
        <f t="array" ref="G1445">index('Player ID'!C:C,match(E1445,'Player ID'!B:B,0))</f>
        <v>622491</v>
      </c>
    </row>
    <row r="1446">
      <c r="A1446" s="76">
        <v>45755.0</v>
      </c>
      <c r="B1446" s="1" t="s">
        <v>53</v>
      </c>
      <c r="C1446" s="1" t="s">
        <v>37</v>
      </c>
      <c r="D1446" s="1">
        <v>1.0</v>
      </c>
      <c r="E1446" s="1">
        <v>17170.0</v>
      </c>
      <c r="F1446" s="10">
        <f t="shared" si="1"/>
        <v>1</v>
      </c>
      <c r="G1446" s="10">
        <f t="array" ref="G1446">index('Player ID'!C:C,match(E1446,'Player ID'!B:B,0))</f>
        <v>642100</v>
      </c>
    </row>
    <row r="1447">
      <c r="A1447" s="76">
        <v>45755.0</v>
      </c>
      <c r="B1447" s="1" t="s">
        <v>113</v>
      </c>
      <c r="C1447" s="1" t="s">
        <v>39</v>
      </c>
      <c r="D1447" s="1">
        <v>6.0</v>
      </c>
      <c r="E1447" s="1">
        <v>17295.0</v>
      </c>
      <c r="F1447" s="10">
        <f t="shared" si="1"/>
        <v>6</v>
      </c>
      <c r="G1447" s="10">
        <f t="array" ref="G1447">index('Player ID'!C:C,match(E1447,'Player ID'!B:B,0))</f>
        <v>664285</v>
      </c>
    </row>
    <row r="1448">
      <c r="A1448" s="76">
        <v>45755.0</v>
      </c>
      <c r="B1448" s="1" t="s">
        <v>670</v>
      </c>
      <c r="C1448" s="1" t="s">
        <v>37</v>
      </c>
      <c r="D1448" s="1">
        <v>1.0</v>
      </c>
      <c r="E1448" s="1">
        <v>20373.0</v>
      </c>
      <c r="F1448" s="10">
        <f t="shared" si="1"/>
        <v>1</v>
      </c>
      <c r="G1448" s="10">
        <f t="array" ref="G1448">index('Player ID'!C:C,match(E1448,'Player ID'!B:B,0))</f>
        <v>662253</v>
      </c>
    </row>
    <row r="1449">
      <c r="A1449" s="76">
        <v>45755.0</v>
      </c>
      <c r="B1449" s="1" t="s">
        <v>157</v>
      </c>
      <c r="C1449" s="1" t="s">
        <v>37</v>
      </c>
      <c r="D1449" s="1">
        <v>1.0</v>
      </c>
      <c r="E1449" s="1">
        <v>20997.0</v>
      </c>
      <c r="F1449" s="10">
        <f t="shared" si="1"/>
        <v>1</v>
      </c>
      <c r="G1449" s="10">
        <f t="array" ref="G1449">index('Player ID'!C:C,match(E1449,'Player ID'!B:B,0))</f>
        <v>660825</v>
      </c>
    </row>
    <row r="1450">
      <c r="A1450" s="76">
        <v>45755.0</v>
      </c>
      <c r="B1450" s="1" t="s">
        <v>101</v>
      </c>
      <c r="C1450" s="1" t="s">
        <v>37</v>
      </c>
      <c r="D1450" s="1">
        <v>1.0</v>
      </c>
      <c r="E1450" s="1">
        <v>22915.0</v>
      </c>
      <c r="F1450" s="10">
        <f t="shared" si="1"/>
        <v>1</v>
      </c>
      <c r="G1450" s="10">
        <f t="array" ref="G1450">index('Player ID'!C:C,match(E1450,'Player ID'!B:B,0))</f>
        <v>672841</v>
      </c>
    </row>
    <row r="1451">
      <c r="A1451" s="76">
        <v>45755.0</v>
      </c>
      <c r="B1451" s="1" t="s">
        <v>683</v>
      </c>
      <c r="C1451" s="1" t="s">
        <v>37</v>
      </c>
      <c r="D1451" s="1">
        <v>1.0</v>
      </c>
      <c r="E1451" s="1">
        <v>23307.0</v>
      </c>
      <c r="F1451" s="10">
        <f t="shared" si="1"/>
        <v>1</v>
      </c>
      <c r="G1451" s="10">
        <f t="array" ref="G1451">index('Player ID'!C:C,match(E1451,'Player ID'!B:B,0))</f>
        <v>676092</v>
      </c>
    </row>
    <row r="1452">
      <c r="A1452" s="76">
        <v>45755.0</v>
      </c>
      <c r="B1452" s="1" t="s">
        <v>76</v>
      </c>
      <c r="C1452" s="1" t="s">
        <v>39</v>
      </c>
      <c r="D1452" s="1">
        <v>1.1</v>
      </c>
      <c r="E1452" s="1">
        <v>25890.0</v>
      </c>
      <c r="F1452" s="10">
        <f t="shared" si="1"/>
        <v>1.333333333</v>
      </c>
      <c r="G1452" s="10">
        <f t="array" ref="G1452">index('Player ID'!C:C,match(E1452,'Player ID'!B:B,0))</f>
        <v>687911</v>
      </c>
    </row>
    <row r="1453">
      <c r="A1453" s="76">
        <v>45755.0</v>
      </c>
      <c r="B1453" s="1" t="s">
        <v>228</v>
      </c>
      <c r="C1453" s="1" t="s">
        <v>39</v>
      </c>
      <c r="D1453" s="1">
        <v>1.0</v>
      </c>
      <c r="E1453" s="1">
        <v>26440.0</v>
      </c>
      <c r="F1453" s="10">
        <f t="shared" si="1"/>
        <v>1</v>
      </c>
      <c r="G1453" s="10">
        <f t="array" ref="G1453">index('Player ID'!C:C,match(E1453,'Player ID'!B:B,0))</f>
        <v>687473</v>
      </c>
    </row>
    <row r="1454">
      <c r="A1454" s="76">
        <v>45755.0</v>
      </c>
      <c r="B1454" s="1" t="s">
        <v>474</v>
      </c>
      <c r="C1454" s="1" t="s">
        <v>68</v>
      </c>
      <c r="D1454" s="1">
        <v>5.0</v>
      </c>
      <c r="E1454" s="1">
        <v>4676.0</v>
      </c>
      <c r="F1454" s="10">
        <f t="shared" si="1"/>
        <v>5</v>
      </c>
      <c r="G1454" s="10">
        <f t="array" ref="G1454">index('Player ID'!C:C,match(E1454,'Player ID'!B:B,0))</f>
        <v>450203</v>
      </c>
    </row>
    <row r="1455">
      <c r="A1455" s="76">
        <v>45755.0</v>
      </c>
      <c r="B1455" s="1" t="s">
        <v>103</v>
      </c>
      <c r="C1455" s="1" t="s">
        <v>64</v>
      </c>
      <c r="D1455" s="1">
        <v>1.0</v>
      </c>
      <c r="E1455" s="1">
        <v>10197.0</v>
      </c>
      <c r="F1455" s="10">
        <f t="shared" si="1"/>
        <v>1</v>
      </c>
      <c r="G1455" s="10">
        <f t="array" ref="G1455">index('Player ID'!C:C,match(E1455,'Player ID'!B:B,0))</f>
        <v>571946</v>
      </c>
    </row>
    <row r="1456">
      <c r="A1456" s="76">
        <v>45755.0</v>
      </c>
      <c r="B1456" s="1" t="s">
        <v>222</v>
      </c>
      <c r="C1456" s="1" t="s">
        <v>64</v>
      </c>
      <c r="D1456" s="1">
        <v>6.0</v>
      </c>
      <c r="E1456" s="1">
        <v>11156.0</v>
      </c>
      <c r="F1456" s="10">
        <f t="shared" si="1"/>
        <v>6</v>
      </c>
      <c r="G1456" s="10">
        <f t="array" ref="G1456">index('Player ID'!C:C,match(E1456,'Player ID'!B:B,0))</f>
        <v>518876</v>
      </c>
    </row>
    <row r="1457">
      <c r="A1457" s="76">
        <v>45755.0</v>
      </c>
      <c r="B1457" s="1" t="s">
        <v>639</v>
      </c>
      <c r="C1457" s="1" t="s">
        <v>68</v>
      </c>
      <c r="D1457" s="1">
        <v>1.0</v>
      </c>
      <c r="E1457" s="1">
        <v>19249.0</v>
      </c>
      <c r="F1457" s="10">
        <f t="shared" si="1"/>
        <v>1</v>
      </c>
      <c r="G1457" s="10">
        <f t="array" ref="G1457">index('Player ID'!C:C,match(E1457,'Player ID'!B:B,0))</f>
        <v>622554</v>
      </c>
    </row>
    <row r="1458">
      <c r="A1458" s="76">
        <v>45755.0</v>
      </c>
      <c r="B1458" s="1" t="s">
        <v>735</v>
      </c>
      <c r="C1458" s="1" t="s">
        <v>64</v>
      </c>
      <c r="D1458" s="1">
        <v>1.0</v>
      </c>
      <c r="E1458" s="1">
        <v>19343.0</v>
      </c>
      <c r="F1458" s="10">
        <f t="shared" si="1"/>
        <v>1</v>
      </c>
      <c r="G1458" s="10">
        <f t="array" ref="G1458">index('Player ID'!C:C,match(E1458,'Player ID'!B:B,0))</f>
        <v>640462</v>
      </c>
    </row>
    <row r="1459">
      <c r="A1459" s="76">
        <v>45755.0</v>
      </c>
      <c r="B1459" s="1" t="s">
        <v>231</v>
      </c>
      <c r="C1459" s="1" t="s">
        <v>68</v>
      </c>
      <c r="D1459" s="1">
        <v>1.1</v>
      </c>
      <c r="E1459" s="1">
        <v>19362.0</v>
      </c>
      <c r="F1459" s="10">
        <f t="shared" si="1"/>
        <v>1.333333333</v>
      </c>
      <c r="G1459" s="10">
        <f t="array" ref="G1459">index('Player ID'!C:C,match(E1459,'Player ID'!B:B,0))</f>
        <v>669211</v>
      </c>
    </row>
    <row r="1460">
      <c r="A1460" s="76">
        <v>45755.0</v>
      </c>
      <c r="B1460" s="1" t="s">
        <v>240</v>
      </c>
      <c r="C1460" s="1" t="s">
        <v>68</v>
      </c>
      <c r="D1460" s="1">
        <v>0.2</v>
      </c>
      <c r="E1460" s="1">
        <v>19804.0</v>
      </c>
      <c r="F1460" s="10">
        <f t="shared" si="1"/>
        <v>0.6666666667</v>
      </c>
      <c r="G1460" s="10">
        <f t="array" ref="G1460">index('Player ID'!C:C,match(E1460,'Player ID'!B:B,0))</f>
        <v>641329</v>
      </c>
    </row>
    <row r="1461">
      <c r="A1461" s="76">
        <v>45755.0</v>
      </c>
      <c r="B1461" s="1" t="s">
        <v>714</v>
      </c>
      <c r="C1461" s="1" t="s">
        <v>64</v>
      </c>
      <c r="D1461" s="1">
        <v>1.0</v>
      </c>
      <c r="E1461" s="1">
        <v>24453.0</v>
      </c>
      <c r="F1461" s="10">
        <f t="shared" si="1"/>
        <v>1</v>
      </c>
      <c r="G1461" s="10">
        <f t="array" ref="G1461">index('Player ID'!C:C,match(E1461,'Player ID'!B:B,0))</f>
        <v>679885</v>
      </c>
    </row>
    <row r="1462">
      <c r="A1462" s="76">
        <v>45755.0</v>
      </c>
      <c r="B1462" s="1" t="s">
        <v>651</v>
      </c>
      <c r="C1462" s="1" t="s">
        <v>66</v>
      </c>
      <c r="D1462" s="1">
        <v>1.0</v>
      </c>
      <c r="E1462" s="1">
        <v>14771.0</v>
      </c>
      <c r="F1462" s="10">
        <f t="shared" si="1"/>
        <v>1</v>
      </c>
      <c r="G1462" s="10">
        <f t="array" ref="G1462">index('Player ID'!C:C,match(E1462,'Player ID'!B:B,0))</f>
        <v>641941</v>
      </c>
    </row>
    <row r="1463">
      <c r="A1463" s="76">
        <v>45755.0</v>
      </c>
      <c r="B1463" s="1" t="s">
        <v>194</v>
      </c>
      <c r="C1463" s="1" t="s">
        <v>66</v>
      </c>
      <c r="D1463" s="1">
        <v>6.0</v>
      </c>
      <c r="E1463" s="1">
        <v>26378.0</v>
      </c>
      <c r="F1463" s="10">
        <f t="shared" si="1"/>
        <v>6</v>
      </c>
      <c r="G1463" s="10">
        <f t="array" ref="G1463">index('Player ID'!C:C,match(E1463,'Player ID'!B:B,0))</f>
        <v>666157</v>
      </c>
    </row>
    <row r="1464">
      <c r="A1464" s="76">
        <v>45755.0</v>
      </c>
      <c r="B1464" s="1" t="s">
        <v>211</v>
      </c>
      <c r="C1464" s="1" t="s">
        <v>66</v>
      </c>
      <c r="D1464" s="1">
        <v>2.0</v>
      </c>
      <c r="E1464" s="1">
        <v>27552.0</v>
      </c>
      <c r="F1464" s="10">
        <f t="shared" si="1"/>
        <v>2</v>
      </c>
      <c r="G1464" s="10">
        <f t="array" ref="G1464">index('Player ID'!C:C,match(E1464,'Player ID'!B:B,0))</f>
        <v>668933</v>
      </c>
    </row>
    <row r="1465">
      <c r="A1465" s="76">
        <v>45755.0</v>
      </c>
      <c r="B1465" s="1" t="s">
        <v>209</v>
      </c>
      <c r="C1465" s="1" t="s">
        <v>31</v>
      </c>
      <c r="D1465" s="1">
        <v>6.0</v>
      </c>
      <c r="E1465" s="1">
        <v>30076.0</v>
      </c>
      <c r="F1465" s="10">
        <f t="shared" si="1"/>
        <v>6</v>
      </c>
      <c r="G1465" s="10">
        <f t="array" ref="G1465">index('Player ID'!C:C,match(E1465,'Player ID'!B:B,0))</f>
        <v>694738</v>
      </c>
    </row>
    <row r="1466">
      <c r="A1466" s="76">
        <v>45755.0</v>
      </c>
      <c r="B1466" s="1" t="s">
        <v>514</v>
      </c>
      <c r="C1466" s="1" t="s">
        <v>31</v>
      </c>
      <c r="D1466" s="1">
        <v>3.0</v>
      </c>
      <c r="E1466" s="1">
        <v>31635.0</v>
      </c>
      <c r="F1466" s="10">
        <f t="shared" si="1"/>
        <v>3</v>
      </c>
      <c r="G1466" s="10">
        <f t="array" ref="G1466">index('Player ID'!C:C,match(E1466,'Player ID'!B:B,0))</f>
        <v>806185</v>
      </c>
    </row>
    <row r="1467">
      <c r="A1467" s="76">
        <v>45755.0</v>
      </c>
      <c r="B1467" s="1" t="s">
        <v>404</v>
      </c>
      <c r="C1467" s="1" t="s">
        <v>26</v>
      </c>
      <c r="D1467" s="1">
        <v>1.0</v>
      </c>
      <c r="E1467" s="1">
        <v>14295.0</v>
      </c>
      <c r="F1467" s="10">
        <f t="shared" si="1"/>
        <v>1</v>
      </c>
      <c r="G1467" s="10">
        <f t="array" ref="G1467">index('Player ID'!C:C,match(E1467,'Player ID'!B:B,0))</f>
        <v>593974</v>
      </c>
    </row>
    <row r="1468">
      <c r="A1468" s="76">
        <v>45755.0</v>
      </c>
      <c r="B1468" s="1" t="s">
        <v>669</v>
      </c>
      <c r="C1468" s="1" t="s">
        <v>52</v>
      </c>
      <c r="D1468" s="1">
        <v>1.0</v>
      </c>
      <c r="E1468" s="1">
        <v>14524.0</v>
      </c>
      <c r="F1468" s="10">
        <f t="shared" si="1"/>
        <v>1</v>
      </c>
      <c r="G1468" s="10">
        <f t="array" ref="G1468">index('Player ID'!C:C,match(E1468,'Player ID'!B:B,0))</f>
        <v>600917</v>
      </c>
    </row>
    <row r="1469">
      <c r="A1469" s="76">
        <v>45755.0</v>
      </c>
      <c r="B1469" s="1" t="s">
        <v>336</v>
      </c>
      <c r="C1469" s="1" t="s">
        <v>52</v>
      </c>
      <c r="D1469" s="1">
        <v>6.0</v>
      </c>
      <c r="E1469" s="1">
        <v>17677.0</v>
      </c>
      <c r="F1469" s="10">
        <f t="shared" si="1"/>
        <v>6</v>
      </c>
      <c r="G1469" s="10">
        <f t="array" ref="G1469">index('Player ID'!C:C,match(E1469,'Player ID'!B:B,0))</f>
        <v>605488</v>
      </c>
    </row>
    <row r="1470">
      <c r="A1470" s="76">
        <v>45755.0</v>
      </c>
      <c r="B1470" s="1" t="s">
        <v>282</v>
      </c>
      <c r="C1470" s="1" t="s">
        <v>26</v>
      </c>
      <c r="D1470" s="1">
        <v>4.0</v>
      </c>
      <c r="E1470" s="1">
        <v>18525.0</v>
      </c>
      <c r="F1470" s="10">
        <f t="shared" si="1"/>
        <v>4</v>
      </c>
      <c r="G1470" s="10">
        <f t="array" ref="G1470">index('Player ID'!C:C,match(E1470,'Player ID'!B:B,0))</f>
        <v>656302</v>
      </c>
    </row>
    <row r="1471">
      <c r="A1471" s="76">
        <v>45755.0</v>
      </c>
      <c r="B1471" s="1" t="s">
        <v>505</v>
      </c>
      <c r="C1471" s="1" t="s">
        <v>52</v>
      </c>
      <c r="D1471" s="1">
        <v>1.0</v>
      </c>
      <c r="E1471" s="1">
        <v>19481.0</v>
      </c>
      <c r="F1471" s="10">
        <f t="shared" si="1"/>
        <v>1</v>
      </c>
      <c r="G1471" s="10">
        <f t="array" ref="G1471">index('Player ID'!C:C,match(E1471,'Player ID'!B:B,0))</f>
        <v>621053</v>
      </c>
    </row>
    <row r="1472">
      <c r="A1472" s="76">
        <v>45755.0</v>
      </c>
      <c r="B1472" s="1" t="s">
        <v>213</v>
      </c>
      <c r="C1472" s="1" t="s">
        <v>52</v>
      </c>
      <c r="D1472" s="1">
        <v>1.0</v>
      </c>
      <c r="E1472" s="1">
        <v>27694.0</v>
      </c>
      <c r="F1472" s="10">
        <f t="shared" si="1"/>
        <v>1</v>
      </c>
      <c r="G1472" s="10">
        <f t="array" ref="G1472">index('Player ID'!C:C,match(E1472,'Player ID'!B:B,0))</f>
        <v>686993</v>
      </c>
    </row>
    <row r="1473">
      <c r="A1473" s="76">
        <v>45755.0</v>
      </c>
      <c r="B1473" s="1" t="s">
        <v>391</v>
      </c>
      <c r="C1473" s="1" t="s">
        <v>26</v>
      </c>
      <c r="D1473" s="1">
        <v>2.0</v>
      </c>
      <c r="E1473" s="1">
        <v>29628.0</v>
      </c>
      <c r="F1473" s="10">
        <f t="shared" si="1"/>
        <v>2</v>
      </c>
      <c r="G1473" s="10">
        <f t="array" ref="G1473">index('Player ID'!C:C,match(E1473,'Player ID'!B:B,0))</f>
        <v>689690</v>
      </c>
    </row>
    <row r="1474">
      <c r="A1474" s="76">
        <v>45755.0</v>
      </c>
      <c r="B1474" s="1" t="s">
        <v>284</v>
      </c>
      <c r="C1474" s="1" t="s">
        <v>26</v>
      </c>
      <c r="D1474" s="1">
        <v>1.0</v>
      </c>
      <c r="E1474" s="1">
        <v>33826.0</v>
      </c>
      <c r="F1474" s="10">
        <f t="shared" si="1"/>
        <v>1</v>
      </c>
      <c r="G1474" s="10">
        <f t="array" ref="G1474">index('Player ID'!C:C,match(E1474,'Player ID'!B:B,0))</f>
        <v>673513</v>
      </c>
    </row>
    <row r="1475">
      <c r="A1475" s="76">
        <v>45756.0</v>
      </c>
      <c r="B1475" s="1" t="s">
        <v>83</v>
      </c>
      <c r="C1475" s="1" t="s">
        <v>72</v>
      </c>
      <c r="D1475" s="1">
        <v>1.0</v>
      </c>
      <c r="E1475" s="1">
        <v>13361.0</v>
      </c>
      <c r="F1475" s="10">
        <f t="shared" si="1"/>
        <v>1</v>
      </c>
      <c r="G1475" s="10">
        <f t="array" ref="G1475">index('Player ID'!C:C,match(E1475,'Player ID'!B:B,0))</f>
        <v>571927</v>
      </c>
    </row>
    <row r="1476">
      <c r="A1476" s="76">
        <v>45756.0</v>
      </c>
      <c r="B1476" s="1" t="s">
        <v>443</v>
      </c>
      <c r="C1476" s="1" t="s">
        <v>60</v>
      </c>
      <c r="D1476" s="1">
        <v>1.0</v>
      </c>
      <c r="E1476" s="1">
        <v>16350.0</v>
      </c>
      <c r="F1476" s="10">
        <f t="shared" si="1"/>
        <v>1</v>
      </c>
      <c r="G1476" s="10">
        <f t="array" ref="G1476">index('Player ID'!C:C,match(E1476,'Player ID'!B:B,0))</f>
        <v>621366</v>
      </c>
    </row>
    <row r="1477">
      <c r="A1477" s="76">
        <v>45756.0</v>
      </c>
      <c r="B1477" s="1" t="s">
        <v>321</v>
      </c>
      <c r="C1477" s="1" t="s">
        <v>72</v>
      </c>
      <c r="D1477" s="1">
        <v>6.0</v>
      </c>
      <c r="E1477" s="1">
        <v>17425.0</v>
      </c>
      <c r="F1477" s="10">
        <f t="shared" si="1"/>
        <v>6</v>
      </c>
      <c r="G1477" s="10">
        <f t="array" ref="G1477">index('Player ID'!C:C,match(E1477,'Player ID'!B:B,0))</f>
        <v>607200</v>
      </c>
    </row>
    <row r="1478">
      <c r="A1478" s="76">
        <v>45756.0</v>
      </c>
      <c r="B1478" s="1" t="s">
        <v>423</v>
      </c>
      <c r="C1478" s="1" t="s">
        <v>60</v>
      </c>
      <c r="D1478" s="1">
        <v>7.1</v>
      </c>
      <c r="E1478" s="1">
        <v>17594.0</v>
      </c>
      <c r="F1478" s="10">
        <f t="shared" si="1"/>
        <v>7.333333333</v>
      </c>
      <c r="G1478" s="10">
        <f t="array" ref="G1478">index('Player ID'!C:C,match(E1478,'Player ID'!B:B,0))</f>
        <v>656605</v>
      </c>
    </row>
    <row r="1479">
      <c r="A1479" s="76">
        <v>45756.0</v>
      </c>
      <c r="B1479" s="1" t="s">
        <v>686</v>
      </c>
      <c r="C1479" s="1" t="s">
        <v>60</v>
      </c>
      <c r="D1479" s="1">
        <v>1.2</v>
      </c>
      <c r="E1479" s="1">
        <v>17639.0</v>
      </c>
      <c r="F1479" s="10">
        <f t="shared" si="1"/>
        <v>1.666666667</v>
      </c>
      <c r="G1479" s="10">
        <f t="array" ref="G1479">index('Player ID'!C:C,match(E1479,'Player ID'!B:B,0))</f>
        <v>664875</v>
      </c>
    </row>
    <row r="1480">
      <c r="A1480" s="76">
        <v>45756.0</v>
      </c>
      <c r="B1480" s="1" t="s">
        <v>217</v>
      </c>
      <c r="C1480" s="1" t="s">
        <v>60</v>
      </c>
      <c r="D1480" s="1">
        <v>2.0</v>
      </c>
      <c r="E1480" s="1">
        <v>17878.0</v>
      </c>
      <c r="F1480" s="10">
        <f t="shared" si="1"/>
        <v>2</v>
      </c>
      <c r="G1480" s="10">
        <f t="array" ref="G1480">index('Player ID'!C:C,match(E1480,'Player ID'!B:B,0))</f>
        <v>642701</v>
      </c>
    </row>
    <row r="1481">
      <c r="A1481" s="76">
        <v>45756.0</v>
      </c>
      <c r="B1481" s="1" t="s">
        <v>190</v>
      </c>
      <c r="C1481" s="1" t="s">
        <v>72</v>
      </c>
      <c r="D1481" s="1">
        <v>1.0</v>
      </c>
      <c r="E1481" s="1">
        <v>18064.0</v>
      </c>
      <c r="F1481" s="10">
        <f t="shared" si="1"/>
        <v>1</v>
      </c>
      <c r="G1481" s="10">
        <f t="array" ref="G1481">index('Player ID'!C:C,match(E1481,'Player ID'!B:B,0))</f>
        <v>664208</v>
      </c>
    </row>
    <row r="1482">
      <c r="A1482" s="76">
        <v>45756.0</v>
      </c>
      <c r="B1482" s="1" t="s">
        <v>270</v>
      </c>
      <c r="C1482" s="1" t="s">
        <v>72</v>
      </c>
      <c r="D1482" s="1">
        <v>1.0</v>
      </c>
      <c r="E1482" s="1">
        <v>18138.0</v>
      </c>
      <c r="F1482" s="10">
        <f t="shared" si="1"/>
        <v>1</v>
      </c>
      <c r="G1482" s="10">
        <f t="array" ref="G1482">index('Player ID'!C:C,match(E1482,'Player ID'!B:B,0))</f>
        <v>664854</v>
      </c>
    </row>
    <row r="1483">
      <c r="A1483" s="76">
        <v>45756.0</v>
      </c>
      <c r="B1483" s="1" t="s">
        <v>107</v>
      </c>
      <c r="C1483" s="1" t="s">
        <v>60</v>
      </c>
      <c r="D1483" s="1">
        <v>1.0</v>
      </c>
      <c r="E1483" s="1">
        <v>19349.0</v>
      </c>
      <c r="F1483" s="10">
        <f t="shared" si="1"/>
        <v>1</v>
      </c>
      <c r="G1483" s="10">
        <f t="array" ref="G1483">index('Player ID'!C:C,match(E1483,'Player ID'!B:B,0))</f>
        <v>657571</v>
      </c>
    </row>
    <row r="1484">
      <c r="A1484" s="76">
        <v>45756.0</v>
      </c>
      <c r="B1484" s="1" t="s">
        <v>193</v>
      </c>
      <c r="C1484" s="1" t="s">
        <v>72</v>
      </c>
      <c r="D1484" s="1">
        <v>1.0</v>
      </c>
      <c r="E1484" s="1">
        <v>19574.0</v>
      </c>
      <c r="F1484" s="10">
        <f t="shared" si="1"/>
        <v>1</v>
      </c>
      <c r="G1484" s="10">
        <f t="array" ref="G1484">index('Player ID'!C:C,match(E1484,'Player ID'!B:B,0))</f>
        <v>668941</v>
      </c>
    </row>
    <row r="1485">
      <c r="A1485" s="76">
        <v>45756.0</v>
      </c>
      <c r="B1485" s="1" t="s">
        <v>170</v>
      </c>
      <c r="C1485" s="1" t="s">
        <v>72</v>
      </c>
      <c r="D1485" s="1">
        <v>1.0</v>
      </c>
      <c r="E1485" s="1">
        <v>24763.0</v>
      </c>
      <c r="F1485" s="10">
        <f t="shared" si="1"/>
        <v>1</v>
      </c>
      <c r="G1485" s="10">
        <f t="array" ref="G1485">index('Player ID'!C:C,match(E1485,'Player ID'!B:B,0))</f>
        <v>681517</v>
      </c>
    </row>
    <row r="1486">
      <c r="A1486" s="76">
        <v>45756.0</v>
      </c>
      <c r="B1486" s="1" t="s">
        <v>378</v>
      </c>
      <c r="C1486" s="1" t="s">
        <v>72</v>
      </c>
      <c r="D1486" s="1">
        <v>1.0</v>
      </c>
      <c r="E1486" s="1">
        <v>24862.0</v>
      </c>
      <c r="F1486" s="10">
        <f t="shared" si="1"/>
        <v>1</v>
      </c>
      <c r="G1486" s="10">
        <f t="array" ref="G1486">index('Player ID'!C:C,match(E1486,'Player ID'!B:B,0))</f>
        <v>681676</v>
      </c>
    </row>
    <row r="1487">
      <c r="A1487" s="76">
        <v>45756.0</v>
      </c>
      <c r="B1487" s="1" t="s">
        <v>665</v>
      </c>
      <c r="C1487" s="1" t="s">
        <v>72</v>
      </c>
      <c r="D1487" s="1">
        <v>0.1</v>
      </c>
      <c r="E1487" s="1">
        <v>31261.0</v>
      </c>
      <c r="F1487" s="10">
        <f t="shared" si="1"/>
        <v>0.3333333333</v>
      </c>
      <c r="G1487" s="10">
        <f t="array" ref="G1487">index('Player ID'!C:C,match(E1487,'Player ID'!B:B,0))</f>
        <v>688297</v>
      </c>
    </row>
    <row r="1488">
      <c r="A1488" s="76">
        <v>45756.0</v>
      </c>
      <c r="B1488" s="1" t="s">
        <v>646</v>
      </c>
      <c r="C1488" s="1" t="s">
        <v>51</v>
      </c>
      <c r="D1488" s="1">
        <v>1.0</v>
      </c>
      <c r="E1488" s="1">
        <v>6107.0</v>
      </c>
      <c r="F1488" s="10">
        <f t="shared" si="1"/>
        <v>1</v>
      </c>
      <c r="G1488" s="10">
        <f t="array" ref="G1488">index('Player ID'!C:C,match(E1488,'Player ID'!B:B,0))</f>
        <v>623211</v>
      </c>
    </row>
    <row r="1489">
      <c r="A1489" s="76">
        <v>45756.0</v>
      </c>
      <c r="B1489" s="1" t="s">
        <v>679</v>
      </c>
      <c r="C1489" s="1" t="s">
        <v>51</v>
      </c>
      <c r="D1489" s="1">
        <v>0.2</v>
      </c>
      <c r="E1489" s="1">
        <v>14710.0</v>
      </c>
      <c r="F1489" s="10">
        <f t="shared" si="1"/>
        <v>0.6666666667</v>
      </c>
      <c r="G1489" s="10">
        <f t="array" ref="G1489">index('Player ID'!C:C,match(E1489,'Player ID'!B:B,0))</f>
        <v>621242</v>
      </c>
    </row>
    <row r="1490">
      <c r="A1490" s="76">
        <v>45756.0</v>
      </c>
      <c r="B1490" s="1" t="s">
        <v>292</v>
      </c>
      <c r="C1490" s="1" t="s">
        <v>51</v>
      </c>
      <c r="D1490" s="1">
        <v>1.0</v>
      </c>
      <c r="E1490" s="1">
        <v>15947.0</v>
      </c>
      <c r="F1490" s="10">
        <f t="shared" si="1"/>
        <v>1</v>
      </c>
      <c r="G1490" s="10">
        <f t="array" ref="G1490">index('Player ID'!C:C,match(E1490,'Player ID'!B:B,0))</f>
        <v>592773</v>
      </c>
    </row>
    <row r="1491">
      <c r="A1491" s="76">
        <v>45756.0</v>
      </c>
      <c r="B1491" s="1" t="s">
        <v>647</v>
      </c>
      <c r="C1491" s="1" t="s">
        <v>51</v>
      </c>
      <c r="D1491" s="1">
        <v>0.1</v>
      </c>
      <c r="E1491" s="1">
        <v>18439.0</v>
      </c>
      <c r="F1491" s="10">
        <f t="shared" si="1"/>
        <v>0.3333333333</v>
      </c>
      <c r="G1491" s="10">
        <f t="array" ref="G1491">index('Player ID'!C:C,match(E1491,'Player ID'!B:B,0))</f>
        <v>664849</v>
      </c>
    </row>
    <row r="1492">
      <c r="A1492" s="76">
        <v>45756.0</v>
      </c>
      <c r="B1492" s="1" t="s">
        <v>241</v>
      </c>
      <c r="C1492" s="1" t="s">
        <v>36</v>
      </c>
      <c r="D1492" s="1">
        <v>1.0</v>
      </c>
      <c r="E1492" s="1">
        <v>19222.0</v>
      </c>
      <c r="F1492" s="10">
        <f t="shared" si="1"/>
        <v>1</v>
      </c>
      <c r="G1492" s="10">
        <f t="array" ref="G1492">index('Player ID'!C:C,match(E1492,'Player ID'!B:B,0))</f>
        <v>669199</v>
      </c>
    </row>
    <row r="1493">
      <c r="A1493" s="76">
        <v>45756.0</v>
      </c>
      <c r="B1493" s="1" t="s">
        <v>89</v>
      </c>
      <c r="C1493" s="1" t="s">
        <v>36</v>
      </c>
      <c r="D1493" s="1">
        <v>1.2</v>
      </c>
      <c r="E1493" s="1">
        <v>19742.0</v>
      </c>
      <c r="F1493" s="10">
        <f t="shared" si="1"/>
        <v>1.666666667</v>
      </c>
      <c r="G1493" s="10">
        <f t="array" ref="G1493">index('Player ID'!C:C,match(E1493,'Player ID'!B:B,0))</f>
        <v>669622</v>
      </c>
    </row>
    <row r="1494">
      <c r="A1494" s="76">
        <v>45756.0</v>
      </c>
      <c r="B1494" s="1" t="s">
        <v>386</v>
      </c>
      <c r="C1494" s="1" t="s">
        <v>51</v>
      </c>
      <c r="D1494" s="1">
        <v>4.0</v>
      </c>
      <c r="E1494" s="1">
        <v>21318.0</v>
      </c>
      <c r="F1494" s="10">
        <f t="shared" si="1"/>
        <v>4</v>
      </c>
      <c r="G1494" s="10">
        <f t="array" ref="G1494">index('Player ID'!C:C,match(E1494,'Player ID'!B:B,0))</f>
        <v>656731</v>
      </c>
    </row>
    <row r="1495">
      <c r="A1495" s="76">
        <v>45756.0</v>
      </c>
      <c r="B1495" s="1" t="s">
        <v>50</v>
      </c>
      <c r="C1495" s="1" t="s">
        <v>51</v>
      </c>
      <c r="D1495" s="1">
        <v>2.0</v>
      </c>
      <c r="E1495" s="1">
        <v>22175.0</v>
      </c>
      <c r="F1495" s="10">
        <f t="shared" si="1"/>
        <v>2</v>
      </c>
      <c r="G1495" s="10">
        <f t="array" ref="G1495">index('Player ID'!C:C,match(E1495,'Player ID'!B:B,0))</f>
        <v>668820</v>
      </c>
    </row>
    <row r="1496">
      <c r="A1496" s="76">
        <v>45756.0</v>
      </c>
      <c r="B1496" s="1" t="s">
        <v>121</v>
      </c>
      <c r="C1496" s="1" t="s">
        <v>36</v>
      </c>
      <c r="D1496" s="1">
        <v>6.1</v>
      </c>
      <c r="E1496" s="1">
        <v>27474.0</v>
      </c>
      <c r="F1496" s="10">
        <f t="shared" si="1"/>
        <v>6.333333333</v>
      </c>
      <c r="G1496" s="10">
        <f t="array" ref="G1496">index('Player ID'!C:C,match(E1496,'Player ID'!B:B,0))</f>
        <v>676974</v>
      </c>
    </row>
    <row r="1497">
      <c r="A1497" s="76">
        <v>45756.0</v>
      </c>
      <c r="B1497" s="1" t="s">
        <v>162</v>
      </c>
      <c r="C1497" s="1" t="s">
        <v>56</v>
      </c>
      <c r="D1497" s="1">
        <v>0.2</v>
      </c>
      <c r="E1497" s="1">
        <v>11752.0</v>
      </c>
      <c r="F1497" s="10">
        <f t="shared" si="1"/>
        <v>0.6666666667</v>
      </c>
      <c r="G1497" s="10">
        <f t="array" ref="G1497">index('Player ID'!C:C,match(E1497,'Player ID'!B:B,0))</f>
        <v>592426</v>
      </c>
    </row>
    <row r="1498">
      <c r="A1498" s="76">
        <v>45756.0</v>
      </c>
      <c r="B1498" s="1" t="s">
        <v>55</v>
      </c>
      <c r="C1498" s="1" t="s">
        <v>56</v>
      </c>
      <c r="D1498" s="1">
        <v>7.0</v>
      </c>
      <c r="E1498" s="1">
        <v>16358.0</v>
      </c>
      <c r="F1498" s="10">
        <f t="shared" si="1"/>
        <v>7</v>
      </c>
      <c r="G1498" s="10">
        <f t="array" ref="G1498">index('Player ID'!C:C,match(E1498,'Player ID'!B:B,0))</f>
        <v>641816</v>
      </c>
    </row>
    <row r="1499">
      <c r="A1499" s="76">
        <v>45756.0</v>
      </c>
      <c r="B1499" s="1" t="s">
        <v>633</v>
      </c>
      <c r="C1499" s="1" t="s">
        <v>34</v>
      </c>
      <c r="D1499" s="1">
        <v>2.0</v>
      </c>
      <c r="E1499" s="1">
        <v>20160.0</v>
      </c>
      <c r="F1499" s="10">
        <f t="shared" si="1"/>
        <v>2</v>
      </c>
      <c r="G1499" s="10">
        <f t="array" ref="G1499">index('Player ID'!C:C,match(E1499,'Player ID'!B:B,0))</f>
        <v>663878</v>
      </c>
    </row>
    <row r="1500">
      <c r="A1500" s="76">
        <v>45756.0</v>
      </c>
      <c r="B1500" s="1" t="s">
        <v>631</v>
      </c>
      <c r="C1500" s="1" t="s">
        <v>34</v>
      </c>
      <c r="D1500" s="1">
        <v>1.0</v>
      </c>
      <c r="E1500" s="1">
        <v>20203.0</v>
      </c>
      <c r="F1500" s="10">
        <f t="shared" si="1"/>
        <v>1</v>
      </c>
      <c r="G1500" s="10">
        <f t="array" ref="G1500">index('Player ID'!C:C,match(E1500,'Player ID'!B:B,0))</f>
        <v>669212</v>
      </c>
    </row>
    <row r="1501">
      <c r="A1501" s="76">
        <v>45756.0</v>
      </c>
      <c r="B1501" s="1" t="s">
        <v>268</v>
      </c>
      <c r="C1501" s="1" t="s">
        <v>56</v>
      </c>
      <c r="D1501" s="1">
        <v>1.1</v>
      </c>
      <c r="E1501" s="1">
        <v>23363.0</v>
      </c>
      <c r="F1501" s="10">
        <f t="shared" si="1"/>
        <v>1.333333333</v>
      </c>
      <c r="G1501" s="10">
        <f t="array" ref="G1501">index('Player ID'!C:C,match(E1501,'Player ID'!B:B,0))</f>
        <v>676395</v>
      </c>
    </row>
    <row r="1502">
      <c r="A1502" s="76">
        <v>45756.0</v>
      </c>
      <c r="B1502" s="1" t="s">
        <v>789</v>
      </c>
      <c r="C1502" s="1" t="s">
        <v>34</v>
      </c>
      <c r="D1502" s="1">
        <v>1.0</v>
      </c>
      <c r="E1502" s="1">
        <v>24930.0</v>
      </c>
      <c r="F1502" s="10">
        <f t="shared" si="1"/>
        <v>1</v>
      </c>
      <c r="G1502" s="10">
        <f t="array" ref="G1502">index('Player ID'!C:C,match(E1502,'Player ID'!B:B,0))</f>
        <v>681799</v>
      </c>
    </row>
    <row r="1503">
      <c r="A1503" s="76">
        <v>45756.0</v>
      </c>
      <c r="B1503" s="1" t="s">
        <v>67</v>
      </c>
      <c r="C1503" s="1" t="s">
        <v>34</v>
      </c>
      <c r="D1503" s="1">
        <v>5.0</v>
      </c>
      <c r="E1503" s="1">
        <v>33829.0</v>
      </c>
      <c r="F1503" s="10">
        <f t="shared" si="1"/>
        <v>5</v>
      </c>
      <c r="G1503" s="10">
        <f t="array" ref="G1503">index('Player ID'!C:C,match(E1503,'Player ID'!B:B,0))</f>
        <v>684007</v>
      </c>
    </row>
    <row r="1504">
      <c r="A1504" s="76">
        <v>45756.0</v>
      </c>
      <c r="B1504" s="1" t="s">
        <v>668</v>
      </c>
      <c r="C1504" s="1" t="s">
        <v>52</v>
      </c>
      <c r="D1504" s="1">
        <v>0.1</v>
      </c>
      <c r="E1504" s="1">
        <v>3237.0</v>
      </c>
      <c r="F1504" s="10">
        <f t="shared" si="1"/>
        <v>0.3333333333</v>
      </c>
      <c r="G1504" s="10">
        <f t="array" ref="G1504">index('Player ID'!C:C,match(E1504,'Player ID'!B:B,0))</f>
        <v>519008</v>
      </c>
    </row>
    <row r="1505">
      <c r="A1505" s="76">
        <v>45756.0</v>
      </c>
      <c r="B1505" s="1" t="s">
        <v>342</v>
      </c>
      <c r="C1505" s="1" t="s">
        <v>26</v>
      </c>
      <c r="D1505" s="1">
        <v>1.0</v>
      </c>
      <c r="E1505" s="1">
        <v>11861.0</v>
      </c>
      <c r="F1505" s="10">
        <f t="shared" si="1"/>
        <v>1</v>
      </c>
      <c r="G1505" s="10">
        <f t="array" ref="G1505">index('Player ID'!C:C,match(E1505,'Player ID'!B:B,0))</f>
        <v>592094</v>
      </c>
    </row>
    <row r="1506">
      <c r="A1506" s="76">
        <v>45756.0</v>
      </c>
      <c r="B1506" s="1" t="s">
        <v>778</v>
      </c>
      <c r="C1506" s="1" t="s">
        <v>52</v>
      </c>
      <c r="D1506" s="1">
        <v>1.0</v>
      </c>
      <c r="E1506" s="1">
        <v>17759.0</v>
      </c>
      <c r="F1506" s="10">
        <f t="shared" si="1"/>
        <v>1</v>
      </c>
      <c r="G1506" s="10">
        <f t="array" ref="G1506">index('Player ID'!C:C,match(E1506,'Player ID'!B:B,0))</f>
        <v>622780</v>
      </c>
    </row>
    <row r="1507">
      <c r="A1507" s="76">
        <v>45756.0</v>
      </c>
      <c r="B1507" s="1" t="s">
        <v>49</v>
      </c>
      <c r="C1507" s="1" t="s">
        <v>26</v>
      </c>
      <c r="D1507" s="1">
        <v>1.0</v>
      </c>
      <c r="E1507" s="1">
        <v>20039.0</v>
      </c>
      <c r="F1507" s="10">
        <f t="shared" si="1"/>
        <v>1</v>
      </c>
      <c r="G1507" s="10">
        <f t="array" ref="G1507">index('Player ID'!C:C,match(E1507,'Player ID'!B:B,0))</f>
        <v>670970</v>
      </c>
    </row>
    <row r="1508">
      <c r="A1508" s="76">
        <v>45756.0</v>
      </c>
      <c r="B1508" s="1" t="s">
        <v>94</v>
      </c>
      <c r="C1508" s="1" t="s">
        <v>26</v>
      </c>
      <c r="D1508" s="1">
        <v>1.0</v>
      </c>
      <c r="E1508" s="1">
        <v>22210.0</v>
      </c>
      <c r="F1508" s="10">
        <f t="shared" si="1"/>
        <v>1</v>
      </c>
      <c r="G1508" s="10">
        <f t="array" ref="G1508">index('Player ID'!C:C,match(E1508,'Player ID'!B:B,0))</f>
        <v>669093</v>
      </c>
    </row>
    <row r="1509">
      <c r="A1509" s="76">
        <v>45756.0</v>
      </c>
      <c r="B1509" s="1" t="s">
        <v>454</v>
      </c>
      <c r="C1509" s="1" t="s">
        <v>52</v>
      </c>
      <c r="D1509" s="1">
        <v>5.0</v>
      </c>
      <c r="E1509" s="1">
        <v>23150.0</v>
      </c>
      <c r="F1509" s="10">
        <f t="shared" si="1"/>
        <v>5</v>
      </c>
      <c r="G1509" s="10">
        <f t="array" ref="G1509">index('Player ID'!C:C,match(E1509,'Player ID'!B:B,0))</f>
        <v>674370</v>
      </c>
    </row>
    <row r="1510">
      <c r="A1510" s="76">
        <v>45756.0</v>
      </c>
      <c r="B1510" s="1" t="s">
        <v>713</v>
      </c>
      <c r="C1510" s="1" t="s">
        <v>26</v>
      </c>
      <c r="D1510" s="1">
        <v>5.0</v>
      </c>
      <c r="E1510" s="1">
        <v>24719.0</v>
      </c>
      <c r="F1510" s="10">
        <f t="shared" si="1"/>
        <v>5</v>
      </c>
      <c r="G1510" s="10">
        <f t="array" ref="G1510">index('Player ID'!C:C,match(E1510,'Player ID'!B:B,0))</f>
        <v>681190</v>
      </c>
    </row>
    <row r="1511">
      <c r="A1511" s="76">
        <v>45756.0</v>
      </c>
      <c r="B1511" s="1" t="s">
        <v>213</v>
      </c>
      <c r="C1511" s="1" t="s">
        <v>52</v>
      </c>
      <c r="D1511" s="1">
        <v>0.2</v>
      </c>
      <c r="E1511" s="1">
        <v>27694.0</v>
      </c>
      <c r="F1511" s="10">
        <f t="shared" si="1"/>
        <v>0.6666666667</v>
      </c>
      <c r="G1511" s="10">
        <f t="array" ref="G1511">index('Player ID'!C:C,match(E1511,'Player ID'!B:B,0))</f>
        <v>686993</v>
      </c>
    </row>
    <row r="1512">
      <c r="A1512" s="76">
        <v>45756.0</v>
      </c>
      <c r="B1512" s="1" t="s">
        <v>717</v>
      </c>
      <c r="C1512" s="1" t="s">
        <v>52</v>
      </c>
      <c r="D1512" s="1">
        <v>2.0</v>
      </c>
      <c r="E1512" s="1">
        <v>27908.0</v>
      </c>
      <c r="F1512" s="10">
        <f t="shared" si="1"/>
        <v>2</v>
      </c>
      <c r="G1512" s="10">
        <f t="array" ref="G1512">index('Player ID'!C:C,match(E1512,'Player ID'!B:B,0))</f>
        <v>668716</v>
      </c>
    </row>
    <row r="1513">
      <c r="A1513" s="76">
        <v>45756.0</v>
      </c>
      <c r="B1513" s="1" t="s">
        <v>81</v>
      </c>
      <c r="C1513" s="1" t="s">
        <v>26</v>
      </c>
      <c r="D1513" s="1">
        <v>1.0</v>
      </c>
      <c r="E1513" s="1">
        <v>30115.0</v>
      </c>
      <c r="F1513" s="10">
        <f t="shared" si="1"/>
        <v>1</v>
      </c>
      <c r="G1513" s="10">
        <f t="array" ref="G1513">index('Player ID'!C:C,match(E1513,'Player ID'!B:B,0))</f>
        <v>663158</v>
      </c>
    </row>
    <row r="1514">
      <c r="A1514" s="76">
        <v>45756.0</v>
      </c>
      <c r="B1514" s="1" t="s">
        <v>723</v>
      </c>
      <c r="C1514" s="1" t="s">
        <v>68</v>
      </c>
      <c r="D1514" s="1">
        <v>1.0</v>
      </c>
      <c r="E1514" s="1">
        <v>13528.0</v>
      </c>
      <c r="F1514" s="10">
        <f t="shared" si="1"/>
        <v>1</v>
      </c>
      <c r="G1514" s="10">
        <f t="array" ref="G1514">index('Player ID'!C:C,match(E1514,'Player ID'!B:B,0))</f>
        <v>621199</v>
      </c>
    </row>
    <row r="1515">
      <c r="A1515" s="76">
        <v>45756.0</v>
      </c>
      <c r="B1515" s="1" t="s">
        <v>489</v>
      </c>
      <c r="C1515" s="1" t="s">
        <v>64</v>
      </c>
      <c r="D1515" s="1">
        <v>2.0</v>
      </c>
      <c r="E1515" s="1">
        <v>17192.0</v>
      </c>
      <c r="F1515" s="10">
        <f t="shared" si="1"/>
        <v>2</v>
      </c>
      <c r="G1515" s="10">
        <f t="array" ref="G1515">index('Player ID'!C:C,match(E1515,'Player ID'!B:B,0))</f>
        <v>656222</v>
      </c>
    </row>
    <row r="1516">
      <c r="A1516" s="76">
        <v>45756.0</v>
      </c>
      <c r="B1516" s="1" t="s">
        <v>294</v>
      </c>
      <c r="C1516" s="1" t="s">
        <v>68</v>
      </c>
      <c r="D1516" s="1">
        <v>4.2</v>
      </c>
      <c r="E1516" s="1">
        <v>19350.0</v>
      </c>
      <c r="F1516" s="10">
        <f t="shared" si="1"/>
        <v>4.666666667</v>
      </c>
      <c r="G1516" s="10">
        <f t="array" ref="G1516">index('Player ID'!C:C,match(E1516,'Player ID'!B:B,0))</f>
        <v>665152</v>
      </c>
    </row>
    <row r="1517">
      <c r="A1517" s="76">
        <v>45756.0</v>
      </c>
      <c r="B1517" s="1" t="s">
        <v>675</v>
      </c>
      <c r="C1517" s="1" t="s">
        <v>68</v>
      </c>
      <c r="D1517" s="1">
        <v>1.1</v>
      </c>
      <c r="E1517" s="1">
        <v>19614.0</v>
      </c>
      <c r="F1517" s="10">
        <f t="shared" si="1"/>
        <v>1.333333333</v>
      </c>
      <c r="G1517" s="10">
        <f t="array" ref="G1517">index('Player ID'!C:C,match(E1517,'Player ID'!B:B,0))</f>
        <v>672335</v>
      </c>
    </row>
    <row r="1518">
      <c r="A1518" s="76">
        <v>45756.0</v>
      </c>
      <c r="B1518" s="1" t="s">
        <v>782</v>
      </c>
      <c r="C1518" s="1" t="s">
        <v>68</v>
      </c>
      <c r="D1518" s="1">
        <v>1.0</v>
      </c>
      <c r="E1518" s="1">
        <v>24986.0</v>
      </c>
      <c r="F1518" s="10">
        <f t="shared" si="1"/>
        <v>1</v>
      </c>
      <c r="G1518" s="10">
        <f t="array" ref="G1518">index('Player ID'!C:C,match(E1518,'Player ID'!B:B,0))</f>
        <v>681882</v>
      </c>
    </row>
    <row r="1519">
      <c r="A1519" s="76">
        <v>45756.0</v>
      </c>
      <c r="B1519" s="1" t="s">
        <v>598</v>
      </c>
      <c r="C1519" s="1" t="s">
        <v>64</v>
      </c>
      <c r="D1519" s="1">
        <v>1.0</v>
      </c>
      <c r="E1519" s="1">
        <v>27477.0</v>
      </c>
      <c r="F1519" s="10">
        <f t="shared" si="1"/>
        <v>1</v>
      </c>
      <c r="G1519" s="10">
        <f t="array" ref="G1519">index('Player ID'!C:C,match(E1519,'Player ID'!B:B,0))</f>
        <v>686826</v>
      </c>
    </row>
    <row r="1520">
      <c r="A1520" s="76">
        <v>45756.0</v>
      </c>
      <c r="B1520" s="1" t="s">
        <v>263</v>
      </c>
      <c r="C1520" s="1" t="s">
        <v>64</v>
      </c>
      <c r="D1520" s="1">
        <v>6.0</v>
      </c>
      <c r="E1520" s="1">
        <v>27782.0</v>
      </c>
      <c r="F1520" s="10">
        <f t="shared" si="1"/>
        <v>6</v>
      </c>
      <c r="G1520" s="10">
        <f t="array" ref="G1520">index('Player ID'!C:C,match(E1520,'Player ID'!B:B,0))</f>
        <v>694297</v>
      </c>
    </row>
    <row r="1521">
      <c r="A1521" s="76">
        <v>45756.0</v>
      </c>
      <c r="B1521" s="1" t="s">
        <v>358</v>
      </c>
      <c r="C1521" s="1" t="s">
        <v>31</v>
      </c>
      <c r="D1521" s="1">
        <v>5.2</v>
      </c>
      <c r="E1521" s="1">
        <v>8700.0</v>
      </c>
      <c r="F1521" s="10">
        <f t="shared" si="1"/>
        <v>5.666666667</v>
      </c>
      <c r="G1521" s="10">
        <f t="array" ref="G1521">index('Player ID'!C:C,match(E1521,'Player ID'!B:B,0))</f>
        <v>434378</v>
      </c>
    </row>
    <row r="1522">
      <c r="A1522" s="76">
        <v>45756.0</v>
      </c>
      <c r="B1522" s="1" t="s">
        <v>226</v>
      </c>
      <c r="C1522" s="1" t="s">
        <v>66</v>
      </c>
      <c r="D1522" s="1">
        <v>5.2</v>
      </c>
      <c r="E1522" s="1">
        <v>12730.0</v>
      </c>
      <c r="F1522" s="10">
        <f t="shared" si="1"/>
        <v>5.666666667</v>
      </c>
      <c r="G1522" s="10">
        <f t="array" ref="G1522">index('Player ID'!C:C,match(E1522,'Player ID'!B:B,0))</f>
        <v>607259</v>
      </c>
    </row>
    <row r="1523">
      <c r="A1523" s="76">
        <v>45756.0</v>
      </c>
      <c r="B1523" s="1" t="s">
        <v>362</v>
      </c>
      <c r="C1523" s="1" t="s">
        <v>66</v>
      </c>
      <c r="D1523" s="1">
        <v>0.0</v>
      </c>
      <c r="E1523" s="1">
        <v>13449.0</v>
      </c>
      <c r="F1523" s="10">
        <f t="shared" si="1"/>
        <v>0</v>
      </c>
      <c r="G1523" s="10">
        <f t="array" ref="G1523">index('Player ID'!C:C,match(E1523,'Player ID'!B:B,0))</f>
        <v>573124</v>
      </c>
    </row>
    <row r="1524">
      <c r="A1524" s="76">
        <v>45756.0</v>
      </c>
      <c r="B1524" s="1" t="s">
        <v>651</v>
      </c>
      <c r="C1524" s="1" t="s">
        <v>66</v>
      </c>
      <c r="D1524" s="1">
        <v>0.1</v>
      </c>
      <c r="E1524" s="1">
        <v>14771.0</v>
      </c>
      <c r="F1524" s="10">
        <f t="shared" si="1"/>
        <v>0.3333333333</v>
      </c>
      <c r="G1524" s="10">
        <f t="array" ref="G1524">index('Player ID'!C:C,match(E1524,'Player ID'!B:B,0))</f>
        <v>641941</v>
      </c>
    </row>
    <row r="1525">
      <c r="A1525" s="76">
        <v>45756.0</v>
      </c>
      <c r="B1525" s="1" t="s">
        <v>475</v>
      </c>
      <c r="C1525" s="1" t="s">
        <v>66</v>
      </c>
      <c r="D1525" s="1">
        <v>0.2</v>
      </c>
      <c r="E1525" s="1">
        <v>14993.0</v>
      </c>
      <c r="F1525" s="10">
        <f t="shared" si="1"/>
        <v>0.6666666667</v>
      </c>
      <c r="G1525" s="10">
        <f t="array" ref="G1525">index('Player ID'!C:C,match(E1525,'Player ID'!B:B,0))</f>
        <v>605130</v>
      </c>
    </row>
    <row r="1526">
      <c r="A1526" s="76">
        <v>45756.0</v>
      </c>
      <c r="B1526" s="1" t="s">
        <v>503</v>
      </c>
      <c r="C1526" s="1" t="s">
        <v>31</v>
      </c>
      <c r="D1526" s="1">
        <v>0.1</v>
      </c>
      <c r="E1526" s="1">
        <v>15043.0</v>
      </c>
      <c r="F1526" s="10">
        <f t="shared" si="1"/>
        <v>0.3333333333</v>
      </c>
      <c r="G1526" s="10">
        <f t="array" ref="G1526">index('Player ID'!C:C,match(E1526,'Player ID'!B:B,0))</f>
        <v>642152</v>
      </c>
    </row>
    <row r="1527">
      <c r="A1527" s="76">
        <v>45756.0</v>
      </c>
      <c r="B1527" s="1" t="s">
        <v>20</v>
      </c>
      <c r="C1527" s="1" t="s">
        <v>31</v>
      </c>
      <c r="D1527" s="1">
        <v>1.0</v>
      </c>
      <c r="E1527" s="1">
        <v>15541.0</v>
      </c>
      <c r="F1527" s="10">
        <f t="shared" si="1"/>
        <v>1</v>
      </c>
      <c r="G1527" s="10">
        <f t="array" ref="G1527">index('Player ID'!C:C,match(E1527,'Player ID'!B:B,0))</f>
        <v>643511</v>
      </c>
    </row>
    <row r="1528">
      <c r="A1528" s="76">
        <v>45756.0</v>
      </c>
      <c r="B1528" s="1" t="s">
        <v>653</v>
      </c>
      <c r="C1528" s="1" t="s">
        <v>66</v>
      </c>
      <c r="D1528" s="1">
        <v>1.0</v>
      </c>
      <c r="E1528" s="1">
        <v>17871.0</v>
      </c>
      <c r="F1528" s="10">
        <f t="shared" si="1"/>
        <v>1</v>
      </c>
      <c r="G1528" s="10">
        <f t="array" ref="G1528">index('Player ID'!C:C,match(E1528,'Player ID'!B:B,0))</f>
        <v>664139</v>
      </c>
    </row>
    <row r="1529">
      <c r="A1529" s="76">
        <v>45756.0</v>
      </c>
      <c r="B1529" s="1" t="s">
        <v>345</v>
      </c>
      <c r="C1529" s="1" t="s">
        <v>66</v>
      </c>
      <c r="D1529" s="1">
        <v>1.2</v>
      </c>
      <c r="E1529" s="1">
        <v>19926.0</v>
      </c>
      <c r="F1529" s="10">
        <f t="shared" si="1"/>
        <v>1.666666667</v>
      </c>
      <c r="G1529" s="10">
        <f t="array" ref="G1529">index('Player ID'!C:C,match(E1529,'Player ID'!B:B,0))</f>
        <v>663574</v>
      </c>
    </row>
    <row r="1530">
      <c r="A1530" s="76">
        <v>45756.0</v>
      </c>
      <c r="B1530" s="1" t="s">
        <v>403</v>
      </c>
      <c r="C1530" s="1" t="s">
        <v>31</v>
      </c>
      <c r="D1530" s="1">
        <v>1.0</v>
      </c>
      <c r="E1530" s="1">
        <v>20423.0</v>
      </c>
      <c r="F1530" s="10">
        <f t="shared" si="1"/>
        <v>1</v>
      </c>
      <c r="G1530" s="10">
        <f t="array" ref="G1530">index('Player ID'!C:C,match(E1530,'Player ID'!B:B,0))</f>
        <v>676254</v>
      </c>
    </row>
    <row r="1531">
      <c r="A1531" s="76">
        <v>45756.0</v>
      </c>
      <c r="B1531" s="1" t="s">
        <v>654</v>
      </c>
      <c r="C1531" s="1" t="s">
        <v>31</v>
      </c>
      <c r="D1531" s="1">
        <v>1.0</v>
      </c>
      <c r="E1531" s="1">
        <v>23974.0</v>
      </c>
      <c r="F1531" s="10">
        <f t="shared" si="1"/>
        <v>1</v>
      </c>
      <c r="G1531" s="10">
        <f t="array" ref="G1531">index('Player ID'!C:C,match(E1531,'Player ID'!B:B,0))</f>
        <v>678495</v>
      </c>
    </row>
    <row r="1532">
      <c r="A1532" s="76">
        <v>45756.0</v>
      </c>
      <c r="B1532" s="1" t="s">
        <v>655</v>
      </c>
      <c r="C1532" s="1" t="s">
        <v>31</v>
      </c>
      <c r="D1532" s="1">
        <v>1.0</v>
      </c>
      <c r="E1532" s="1">
        <v>26252.0</v>
      </c>
      <c r="F1532" s="10">
        <f t="shared" si="1"/>
        <v>1</v>
      </c>
      <c r="G1532" s="10">
        <f t="array" ref="G1532">index('Player ID'!C:C,match(E1532,'Player ID'!B:B,0))</f>
        <v>669062</v>
      </c>
    </row>
    <row r="1533">
      <c r="A1533" s="76">
        <v>45756.0</v>
      </c>
      <c r="B1533" s="1" t="s">
        <v>392</v>
      </c>
      <c r="C1533" s="1" t="s">
        <v>33</v>
      </c>
      <c r="D1533" s="1">
        <v>1.0</v>
      </c>
      <c r="E1533" s="1">
        <v>9073.0</v>
      </c>
      <c r="F1533" s="10">
        <f t="shared" si="1"/>
        <v>1</v>
      </c>
      <c r="G1533" s="10">
        <f t="array" ref="G1533">index('Player ID'!C:C,match(E1533,'Player ID'!B:B,0))</f>
        <v>489446</v>
      </c>
    </row>
    <row r="1534">
      <c r="A1534" s="76">
        <v>45756.0</v>
      </c>
      <c r="B1534" s="1" t="s">
        <v>630</v>
      </c>
      <c r="C1534" s="1" t="s">
        <v>33</v>
      </c>
      <c r="D1534" s="1">
        <v>1.0</v>
      </c>
      <c r="E1534" s="1">
        <v>12572.0</v>
      </c>
      <c r="F1534" s="10">
        <f t="shared" si="1"/>
        <v>1</v>
      </c>
      <c r="G1534" s="10">
        <f t="array" ref="G1534">index('Player ID'!C:C,match(E1534,'Player ID'!B:B,0))</f>
        <v>595014</v>
      </c>
    </row>
    <row r="1535">
      <c r="A1535" s="76">
        <v>45756.0</v>
      </c>
      <c r="B1535" s="1" t="s">
        <v>642</v>
      </c>
      <c r="C1535" s="1" t="s">
        <v>80</v>
      </c>
      <c r="D1535" s="1">
        <v>1.0</v>
      </c>
      <c r="E1535" s="1">
        <v>13470.0</v>
      </c>
      <c r="F1535" s="10">
        <f t="shared" si="1"/>
        <v>1</v>
      </c>
      <c r="G1535" s="10">
        <f t="array" ref="G1535">index('Player ID'!C:C,match(E1535,'Player ID'!B:B,0))</f>
        <v>608371</v>
      </c>
    </row>
    <row r="1536">
      <c r="A1536" s="76">
        <v>45756.0</v>
      </c>
      <c r="B1536" s="1" t="s">
        <v>719</v>
      </c>
      <c r="C1536" s="1" t="s">
        <v>80</v>
      </c>
      <c r="D1536" s="1">
        <v>1.1</v>
      </c>
      <c r="E1536" s="1">
        <v>14527.0</v>
      </c>
      <c r="F1536" s="10">
        <f t="shared" si="1"/>
        <v>1.333333333</v>
      </c>
      <c r="G1536" s="10">
        <f t="array" ref="G1536">index('Player ID'!C:C,match(E1536,'Player ID'!B:B,0))</f>
        <v>605347</v>
      </c>
    </row>
    <row r="1537">
      <c r="A1537" s="76">
        <v>45756.0</v>
      </c>
      <c r="B1537" s="1" t="s">
        <v>310</v>
      </c>
      <c r="C1537" s="1" t="s">
        <v>33</v>
      </c>
      <c r="D1537" s="1">
        <v>1.0</v>
      </c>
      <c r="E1537" s="1">
        <v>14706.0</v>
      </c>
      <c r="F1537" s="10">
        <f t="shared" si="1"/>
        <v>1</v>
      </c>
      <c r="G1537" s="10">
        <f t="array" ref="G1537">index('Player ID'!C:C,match(E1537,'Player ID'!B:B,0))</f>
        <v>607455</v>
      </c>
    </row>
    <row r="1538">
      <c r="A1538" s="76">
        <v>45756.0</v>
      </c>
      <c r="B1538" s="1" t="s">
        <v>32</v>
      </c>
      <c r="C1538" s="1" t="s">
        <v>33</v>
      </c>
      <c r="D1538" s="1">
        <v>1.0</v>
      </c>
      <c r="E1538" s="1">
        <v>17586.0</v>
      </c>
      <c r="F1538" s="10">
        <f t="shared" si="1"/>
        <v>1</v>
      </c>
      <c r="G1538" s="10">
        <f t="array" ref="G1538">index('Player ID'!C:C,match(E1538,'Player ID'!B:B,0))</f>
        <v>656945</v>
      </c>
    </row>
    <row r="1539">
      <c r="A1539" s="76">
        <v>45756.0</v>
      </c>
      <c r="B1539" s="1" t="s">
        <v>396</v>
      </c>
      <c r="C1539" s="1" t="s">
        <v>80</v>
      </c>
      <c r="D1539" s="1">
        <v>6.0</v>
      </c>
      <c r="E1539" s="1">
        <v>21504.0</v>
      </c>
      <c r="F1539" s="10">
        <f t="shared" si="1"/>
        <v>6</v>
      </c>
      <c r="G1539" s="10">
        <f t="array" ref="G1539">index('Player ID'!C:C,match(E1539,'Player ID'!B:B,0))</f>
        <v>663623</v>
      </c>
    </row>
    <row r="1540">
      <c r="A1540" s="76">
        <v>45756.0</v>
      </c>
      <c r="B1540" s="1" t="s">
        <v>508</v>
      </c>
      <c r="C1540" s="1" t="s">
        <v>80</v>
      </c>
      <c r="D1540" s="1">
        <v>0.2</v>
      </c>
      <c r="E1540" s="1">
        <v>23135.0</v>
      </c>
      <c r="F1540" s="10">
        <f t="shared" si="1"/>
        <v>0.6666666667</v>
      </c>
      <c r="G1540" s="10">
        <f t="array" ref="G1540">index('Player ID'!C:C,match(E1540,'Player ID'!B:B,0))</f>
        <v>674285</v>
      </c>
    </row>
    <row r="1541">
      <c r="A1541" s="76">
        <v>45756.0</v>
      </c>
      <c r="B1541" s="1" t="s">
        <v>92</v>
      </c>
      <c r="C1541" s="1" t="s">
        <v>33</v>
      </c>
      <c r="D1541" s="1">
        <v>1.0</v>
      </c>
      <c r="E1541" s="1">
        <v>25007.0</v>
      </c>
      <c r="F1541" s="10">
        <f t="shared" si="1"/>
        <v>1</v>
      </c>
      <c r="G1541" s="10">
        <f t="array" ref="G1541">index('Player ID'!C:C,match(E1541,'Player ID'!B:B,0))</f>
        <v>681911</v>
      </c>
    </row>
    <row r="1542">
      <c r="A1542" s="76">
        <v>45756.0</v>
      </c>
      <c r="B1542" s="1" t="s">
        <v>351</v>
      </c>
      <c r="C1542" s="1" t="s">
        <v>33</v>
      </c>
      <c r="D1542" s="1">
        <v>2.1</v>
      </c>
      <c r="E1542" s="1">
        <v>27487.0</v>
      </c>
      <c r="F1542" s="10">
        <f t="shared" si="1"/>
        <v>2.333333333</v>
      </c>
      <c r="G1542" s="10">
        <f t="array" ref="G1542">index('Player ID'!C:C,match(E1542,'Player ID'!B:B,0))</f>
        <v>689017</v>
      </c>
    </row>
    <row r="1543">
      <c r="A1543" s="76">
        <v>45756.0</v>
      </c>
      <c r="B1543" s="1" t="s">
        <v>206</v>
      </c>
      <c r="C1543" s="1" t="s">
        <v>33</v>
      </c>
      <c r="D1543" s="1">
        <v>1.2</v>
      </c>
      <c r="E1543" s="1">
        <v>30249.0</v>
      </c>
      <c r="F1543" s="10">
        <f t="shared" si="1"/>
        <v>1.666666667</v>
      </c>
      <c r="G1543" s="10">
        <f t="array" ref="G1543">index('Player ID'!C:C,match(E1543,'Player ID'!B:B,0))</f>
        <v>676263</v>
      </c>
    </row>
    <row r="1544">
      <c r="A1544" s="76">
        <v>45756.0</v>
      </c>
      <c r="B1544" s="1" t="s">
        <v>558</v>
      </c>
      <c r="C1544" s="1" t="s">
        <v>37</v>
      </c>
      <c r="D1544" s="1">
        <v>3.0</v>
      </c>
      <c r="E1544" s="1">
        <v>11121.0</v>
      </c>
      <c r="F1544" s="10">
        <f t="shared" si="1"/>
        <v>3</v>
      </c>
      <c r="G1544" s="10">
        <f t="array" ref="G1544">index('Player ID'!C:C,match(E1544,'Player ID'!B:B,0))</f>
        <v>596271</v>
      </c>
    </row>
    <row r="1545">
      <c r="A1545" s="76">
        <v>45756.0</v>
      </c>
      <c r="B1545" s="1" t="s">
        <v>38</v>
      </c>
      <c r="C1545" s="1" t="s">
        <v>39</v>
      </c>
      <c r="D1545" s="1">
        <v>1.0</v>
      </c>
      <c r="E1545" s="1">
        <v>13580.0</v>
      </c>
      <c r="F1545" s="10">
        <f t="shared" si="1"/>
        <v>1</v>
      </c>
      <c r="G1545" s="10">
        <f t="array" ref="G1545">index('Player ID'!C:C,match(E1545,'Player ID'!B:B,0))</f>
        <v>595345</v>
      </c>
    </row>
    <row r="1546">
      <c r="A1546" s="76">
        <v>45756.0</v>
      </c>
      <c r="B1546" s="1" t="s">
        <v>210</v>
      </c>
      <c r="C1546" s="1" t="s">
        <v>39</v>
      </c>
      <c r="D1546" s="1">
        <v>0.2</v>
      </c>
      <c r="E1546" s="1">
        <v>16609.0</v>
      </c>
      <c r="F1546" s="10">
        <f t="shared" si="1"/>
        <v>0.6666666667</v>
      </c>
      <c r="G1546" s="10">
        <f t="array" ref="G1546">index('Player ID'!C:C,match(E1546,'Player ID'!B:B,0))</f>
        <v>650556</v>
      </c>
    </row>
    <row r="1547">
      <c r="A1547" s="76">
        <v>45756.0</v>
      </c>
      <c r="B1547" s="1" t="s">
        <v>615</v>
      </c>
      <c r="C1547" s="1" t="s">
        <v>37</v>
      </c>
      <c r="D1547" s="1">
        <v>4.0</v>
      </c>
      <c r="E1547" s="1">
        <v>20638.0</v>
      </c>
      <c r="F1547" s="10">
        <f t="shared" si="1"/>
        <v>4</v>
      </c>
      <c r="G1547" s="10">
        <f t="array" ref="G1547">index('Player ID'!C:C,match(E1547,'Player ID'!B:B,0))</f>
        <v>622379</v>
      </c>
    </row>
    <row r="1548">
      <c r="A1548" s="76">
        <v>45756.0</v>
      </c>
      <c r="B1548" s="1" t="s">
        <v>157</v>
      </c>
      <c r="C1548" s="1" t="s">
        <v>37</v>
      </c>
      <c r="D1548" s="1">
        <v>1.0</v>
      </c>
      <c r="E1548" s="1">
        <v>20997.0</v>
      </c>
      <c r="F1548" s="10">
        <f t="shared" si="1"/>
        <v>1</v>
      </c>
      <c r="G1548" s="10">
        <f t="array" ref="G1548">index('Player ID'!C:C,match(E1548,'Player ID'!B:B,0))</f>
        <v>660825</v>
      </c>
    </row>
    <row r="1549">
      <c r="A1549" s="76">
        <v>45756.0</v>
      </c>
      <c r="B1549" s="1" t="s">
        <v>102</v>
      </c>
      <c r="C1549" s="1" t="s">
        <v>39</v>
      </c>
      <c r="D1549" s="1">
        <v>0.1</v>
      </c>
      <c r="E1549" s="1">
        <v>21345.0</v>
      </c>
      <c r="F1549" s="10">
        <f t="shared" si="1"/>
        <v>0.3333333333</v>
      </c>
      <c r="G1549" s="10">
        <f t="array" ref="G1549">index('Player ID'!C:C,match(E1549,'Player ID'!B:B,0))</f>
        <v>656986</v>
      </c>
    </row>
    <row r="1550">
      <c r="A1550" s="76">
        <v>45756.0</v>
      </c>
      <c r="B1550" s="1" t="s">
        <v>683</v>
      </c>
      <c r="C1550" s="1" t="s">
        <v>37</v>
      </c>
      <c r="D1550" s="1">
        <v>1.0</v>
      </c>
      <c r="E1550" s="1">
        <v>23307.0</v>
      </c>
      <c r="F1550" s="10">
        <f t="shared" si="1"/>
        <v>1</v>
      </c>
      <c r="G1550" s="10">
        <f t="array" ref="G1550">index('Player ID'!C:C,match(E1550,'Player ID'!B:B,0))</f>
        <v>676092</v>
      </c>
    </row>
    <row r="1551">
      <c r="A1551" s="76">
        <v>45756.0</v>
      </c>
      <c r="B1551" s="1" t="s">
        <v>680</v>
      </c>
      <c r="C1551" s="1" t="s">
        <v>39</v>
      </c>
      <c r="D1551" s="1">
        <v>0.2</v>
      </c>
      <c r="E1551" s="1">
        <v>25839.0</v>
      </c>
      <c r="F1551" s="10">
        <f t="shared" si="1"/>
        <v>0.6666666667</v>
      </c>
      <c r="G1551" s="10">
        <f t="array" ref="G1551">index('Player ID'!C:C,match(E1551,'Player ID'!B:B,0))</f>
        <v>664351</v>
      </c>
    </row>
    <row r="1552">
      <c r="A1552" s="76">
        <v>45756.0</v>
      </c>
      <c r="B1552" s="1" t="s">
        <v>339</v>
      </c>
      <c r="C1552" s="1" t="s">
        <v>39</v>
      </c>
      <c r="D1552" s="1">
        <v>6.0</v>
      </c>
      <c r="E1552" s="1">
        <v>25880.0</v>
      </c>
      <c r="F1552" s="10">
        <f t="shared" si="1"/>
        <v>6</v>
      </c>
      <c r="G1552" s="10">
        <f t="array" ref="G1552">index('Player ID'!C:C,match(E1552,'Player ID'!B:B,0))</f>
        <v>686613</v>
      </c>
    </row>
    <row r="1553">
      <c r="A1553" s="76">
        <v>45756.0</v>
      </c>
      <c r="B1553" s="1" t="s">
        <v>117</v>
      </c>
      <c r="C1553" s="1" t="s">
        <v>70</v>
      </c>
      <c r="D1553" s="1">
        <v>0.2</v>
      </c>
      <c r="E1553" s="1">
        <v>13619.0</v>
      </c>
      <c r="F1553" s="10">
        <f t="shared" si="1"/>
        <v>0.6666666667</v>
      </c>
      <c r="G1553" s="10">
        <f t="array" ref="G1553">index('Player ID'!C:C,match(E1553,'Player ID'!B:B,0))</f>
        <v>596001</v>
      </c>
    </row>
    <row r="1554">
      <c r="A1554" s="76">
        <v>45756.0</v>
      </c>
      <c r="B1554" s="1" t="s">
        <v>648</v>
      </c>
      <c r="C1554" s="1" t="s">
        <v>70</v>
      </c>
      <c r="D1554" s="1">
        <v>1.1</v>
      </c>
      <c r="E1554" s="1">
        <v>13892.0</v>
      </c>
      <c r="F1554" s="10">
        <f t="shared" si="1"/>
        <v>1.333333333</v>
      </c>
      <c r="G1554" s="10">
        <f t="array" ref="G1554">index('Player ID'!C:C,match(E1554,'Player ID'!B:B,0))</f>
        <v>623149</v>
      </c>
    </row>
    <row r="1555">
      <c r="A1555" s="76">
        <v>45756.0</v>
      </c>
      <c r="B1555" s="1" t="s">
        <v>132</v>
      </c>
      <c r="C1555" s="1" t="s">
        <v>70</v>
      </c>
      <c r="D1555" s="1">
        <v>1.0</v>
      </c>
      <c r="E1555" s="1">
        <v>21032.0</v>
      </c>
      <c r="F1555" s="10">
        <f t="shared" si="1"/>
        <v>1</v>
      </c>
      <c r="G1555" s="10">
        <f t="array" ref="G1555">index('Player ID'!C:C,match(E1555,'Player ID'!B:B,0))</f>
        <v>661403</v>
      </c>
    </row>
    <row r="1556">
      <c r="A1556" s="76">
        <v>45756.0</v>
      </c>
      <c r="B1556" s="1" t="s">
        <v>519</v>
      </c>
      <c r="C1556" s="1" t="s">
        <v>70</v>
      </c>
      <c r="D1556" s="1">
        <v>0.1</v>
      </c>
      <c r="E1556" s="1">
        <v>25139.0</v>
      </c>
      <c r="F1556" s="10">
        <f t="shared" si="1"/>
        <v>0.3333333333</v>
      </c>
      <c r="G1556" s="10">
        <f t="array" ref="G1556">index('Player ID'!C:C,match(E1556,'Player ID'!B:B,0))</f>
        <v>682120</v>
      </c>
    </row>
    <row r="1557">
      <c r="A1557" s="76">
        <v>45756.0</v>
      </c>
      <c r="B1557" s="1" t="s">
        <v>658</v>
      </c>
      <c r="C1557" s="1" t="s">
        <v>78</v>
      </c>
      <c r="D1557" s="1">
        <v>1.0</v>
      </c>
      <c r="E1557" s="1">
        <v>25174.0</v>
      </c>
      <c r="F1557" s="10">
        <f t="shared" si="1"/>
        <v>1</v>
      </c>
      <c r="G1557" s="10">
        <f t="array" ref="G1557">index('Player ID'!C:C,match(E1557,'Player ID'!B:B,0))</f>
        <v>682171</v>
      </c>
    </row>
    <row r="1558">
      <c r="A1558" s="76">
        <v>45756.0</v>
      </c>
      <c r="B1558" s="1" t="s">
        <v>238</v>
      </c>
      <c r="C1558" s="1" t="s">
        <v>70</v>
      </c>
      <c r="D1558" s="1">
        <v>1.0</v>
      </c>
      <c r="E1558" s="1">
        <v>25636.0</v>
      </c>
      <c r="F1558" s="10">
        <f t="shared" si="1"/>
        <v>1</v>
      </c>
      <c r="G1558" s="10">
        <f t="array" ref="G1558">index('Player ID'!C:C,match(E1558,'Player ID'!B:B,0))</f>
        <v>683769</v>
      </c>
    </row>
    <row r="1559">
      <c r="A1559" s="76">
        <v>45756.0</v>
      </c>
      <c r="B1559" s="1" t="s">
        <v>372</v>
      </c>
      <c r="C1559" s="1" t="s">
        <v>70</v>
      </c>
      <c r="D1559" s="1">
        <v>4.2</v>
      </c>
      <c r="E1559" s="1">
        <v>27589.0</v>
      </c>
      <c r="F1559" s="10">
        <f t="shared" si="1"/>
        <v>4.666666667</v>
      </c>
      <c r="G1559" s="10">
        <f t="array" ref="G1559">index('Player ID'!C:C,match(E1559,'Player ID'!B:B,0))</f>
        <v>671106</v>
      </c>
    </row>
    <row r="1560">
      <c r="A1560" s="76">
        <v>45756.0</v>
      </c>
      <c r="B1560" s="1" t="s">
        <v>718</v>
      </c>
      <c r="C1560" s="1" t="s">
        <v>78</v>
      </c>
      <c r="D1560" s="1">
        <v>1.0</v>
      </c>
      <c r="E1560" s="1">
        <v>29530.0</v>
      </c>
      <c r="F1560" s="10">
        <f t="shared" si="1"/>
        <v>1</v>
      </c>
      <c r="G1560" s="10">
        <f t="array" ref="G1560">index('Player ID'!C:C,match(E1560,'Player ID'!B:B,0))</f>
        <v>686642</v>
      </c>
    </row>
    <row r="1561">
      <c r="A1561" s="76">
        <v>45756.0</v>
      </c>
      <c r="B1561" s="1" t="s">
        <v>356</v>
      </c>
      <c r="C1561" s="1" t="s">
        <v>78</v>
      </c>
      <c r="D1561" s="1">
        <v>3.0</v>
      </c>
      <c r="E1561" s="1">
        <v>29878.0</v>
      </c>
      <c r="F1561" s="10">
        <f t="shared" si="1"/>
        <v>3</v>
      </c>
      <c r="G1561" s="10">
        <f t="array" ref="G1561">index('Player ID'!C:C,match(E1561,'Player ID'!B:B,0))</f>
        <v>680732</v>
      </c>
    </row>
    <row r="1562">
      <c r="A1562" s="76">
        <v>45756.0</v>
      </c>
      <c r="B1562" s="1" t="s">
        <v>497</v>
      </c>
      <c r="C1562" s="1" t="s">
        <v>78</v>
      </c>
      <c r="D1562" s="1">
        <v>3.0</v>
      </c>
      <c r="E1562" s="1">
        <v>30105.0</v>
      </c>
      <c r="F1562" s="10">
        <f t="shared" si="1"/>
        <v>3</v>
      </c>
      <c r="G1562" s="10">
        <f t="array" ref="G1562">index('Player ID'!C:C,match(E1562,'Player ID'!B:B,0))</f>
        <v>678024</v>
      </c>
    </row>
    <row r="1563">
      <c r="A1563" s="76">
        <v>45756.0</v>
      </c>
      <c r="B1563" s="1" t="s">
        <v>666</v>
      </c>
      <c r="C1563" s="1" t="s">
        <v>62</v>
      </c>
      <c r="D1563" s="1">
        <v>1.0</v>
      </c>
      <c r="E1563" s="1">
        <v>12777.0</v>
      </c>
      <c r="F1563" s="10">
        <f t="shared" si="1"/>
        <v>1</v>
      </c>
      <c r="G1563" s="10">
        <f t="array" ref="G1563">index('Player ID'!C:C,match(E1563,'Player ID'!B:B,0))</f>
        <v>605154</v>
      </c>
    </row>
    <row r="1564">
      <c r="A1564" s="76">
        <v>45756.0</v>
      </c>
      <c r="B1564" s="1" t="s">
        <v>166</v>
      </c>
      <c r="C1564" s="1" t="s">
        <v>58</v>
      </c>
      <c r="D1564" s="1">
        <v>7.0</v>
      </c>
      <c r="E1564" s="1">
        <v>13743.0</v>
      </c>
      <c r="F1564" s="10">
        <f t="shared" si="1"/>
        <v>7</v>
      </c>
      <c r="G1564" s="10">
        <f t="array" ref="G1564">index('Player ID'!C:C,match(E1564,'Player ID'!B:B,0))</f>
        <v>608331</v>
      </c>
    </row>
    <row r="1565">
      <c r="A1565" s="76">
        <v>45756.0</v>
      </c>
      <c r="B1565" s="1" t="s">
        <v>467</v>
      </c>
      <c r="C1565" s="1" t="s">
        <v>58</v>
      </c>
      <c r="D1565" s="1">
        <v>0.1</v>
      </c>
      <c r="E1565" s="1">
        <v>15551.0</v>
      </c>
      <c r="F1565" s="10">
        <f t="shared" si="1"/>
        <v>0.3333333333</v>
      </c>
      <c r="G1565" s="10">
        <f t="array" ref="G1565">index('Player ID'!C:C,match(E1565,'Player ID'!B:B,0))</f>
        <v>643410</v>
      </c>
    </row>
    <row r="1566">
      <c r="A1566" s="76">
        <v>45756.0</v>
      </c>
      <c r="B1566" s="1" t="s">
        <v>114</v>
      </c>
      <c r="C1566" s="1" t="s">
        <v>58</v>
      </c>
      <c r="D1566" s="1">
        <v>0.2</v>
      </c>
      <c r="E1566" s="1">
        <v>15816.0</v>
      </c>
      <c r="F1566" s="10">
        <f t="shared" si="1"/>
        <v>0.6666666667</v>
      </c>
      <c r="G1566" s="10">
        <f t="array" ref="G1566">index('Player ID'!C:C,match(E1566,'Player ID'!B:B,0))</f>
        <v>642207</v>
      </c>
    </row>
    <row r="1567">
      <c r="A1567" s="76">
        <v>45756.0</v>
      </c>
      <c r="B1567" s="1" t="s">
        <v>225</v>
      </c>
      <c r="C1567" s="1" t="s">
        <v>58</v>
      </c>
      <c r="D1567" s="1">
        <v>1.0</v>
      </c>
      <c r="E1567" s="1">
        <v>16918.0</v>
      </c>
      <c r="F1567" s="10">
        <f t="shared" si="1"/>
        <v>1</v>
      </c>
      <c r="G1567" s="10">
        <f t="array" ref="G1567">index('Player ID'!C:C,match(E1567,'Player ID'!B:B,0))</f>
        <v>596133</v>
      </c>
    </row>
    <row r="1568">
      <c r="A1568" s="76">
        <v>45756.0</v>
      </c>
      <c r="B1568" s="1" t="s">
        <v>316</v>
      </c>
      <c r="C1568" s="1" t="s">
        <v>62</v>
      </c>
      <c r="D1568" s="1">
        <v>5.1</v>
      </c>
      <c r="E1568" s="1">
        <v>17479.0</v>
      </c>
      <c r="F1568" s="10">
        <f t="shared" si="1"/>
        <v>5.333333333</v>
      </c>
      <c r="G1568" s="10">
        <f t="array" ref="G1568">index('Player ID'!C:C,match(E1568,'Player ID'!B:B,0))</f>
        <v>656427</v>
      </c>
    </row>
    <row r="1569">
      <c r="A1569" s="76">
        <v>45756.0</v>
      </c>
      <c r="B1569" s="1" t="s">
        <v>131</v>
      </c>
      <c r="C1569" s="1" t="s">
        <v>62</v>
      </c>
      <c r="D1569" s="1">
        <v>1.0</v>
      </c>
      <c r="E1569" s="1">
        <v>19769.0</v>
      </c>
      <c r="F1569" s="10">
        <f t="shared" si="1"/>
        <v>1</v>
      </c>
      <c r="G1569" s="10">
        <f t="array" ref="G1569">index('Player ID'!C:C,match(E1569,'Player ID'!B:B,0))</f>
        <v>676684</v>
      </c>
    </row>
    <row r="1570">
      <c r="A1570" s="76">
        <v>45756.0</v>
      </c>
      <c r="B1570" s="1" t="s">
        <v>82</v>
      </c>
      <c r="C1570" s="1" t="s">
        <v>62</v>
      </c>
      <c r="D1570" s="1">
        <v>1.2</v>
      </c>
      <c r="E1570" s="1">
        <v>26231.0</v>
      </c>
      <c r="F1570" s="10">
        <f t="shared" si="1"/>
        <v>1.666666667</v>
      </c>
      <c r="G1570" s="10">
        <f t="array" ref="G1570">index('Player ID'!C:C,match(E1570,'Player ID'!B:B,0))</f>
        <v>663947</v>
      </c>
    </row>
    <row r="1571">
      <c r="A1571" s="76">
        <v>45756.0</v>
      </c>
      <c r="B1571" s="1" t="s">
        <v>230</v>
      </c>
      <c r="C1571" s="1" t="s">
        <v>22</v>
      </c>
      <c r="D1571" s="1">
        <v>0.1</v>
      </c>
      <c r="E1571" s="1">
        <v>4301.0</v>
      </c>
      <c r="F1571" s="10">
        <f t="shared" si="1"/>
        <v>0.3333333333</v>
      </c>
      <c r="G1571" s="10">
        <f t="array" ref="G1571">index('Player ID'!C:C,match(E1571,'Player ID'!B:B,0))</f>
        <v>458677</v>
      </c>
    </row>
    <row r="1572">
      <c r="A1572" s="76">
        <v>45756.0</v>
      </c>
      <c r="B1572" s="1" t="s">
        <v>41</v>
      </c>
      <c r="C1572" s="1" t="s">
        <v>22</v>
      </c>
      <c r="D1572" s="1">
        <v>1.0</v>
      </c>
      <c r="E1572" s="1">
        <v>10233.0</v>
      </c>
      <c r="F1572" s="10">
        <f t="shared" si="1"/>
        <v>1</v>
      </c>
      <c r="G1572" s="10">
        <f t="array" ref="G1572">index('Player ID'!C:C,match(E1572,'Player ID'!B:B,0))</f>
        <v>547973</v>
      </c>
    </row>
    <row r="1573">
      <c r="A1573" s="76">
        <v>45756.0</v>
      </c>
      <c r="B1573" s="1" t="s">
        <v>155</v>
      </c>
      <c r="C1573" s="1" t="s">
        <v>40</v>
      </c>
      <c r="D1573" s="1">
        <v>8.0</v>
      </c>
      <c r="E1573" s="1">
        <v>14107.0</v>
      </c>
      <c r="F1573" s="10">
        <f t="shared" si="1"/>
        <v>8</v>
      </c>
      <c r="G1573" s="10">
        <f t="array" ref="G1573">index('Player ID'!C:C,match(E1573,'Player ID'!B:B,0))</f>
        <v>592332</v>
      </c>
    </row>
    <row r="1574">
      <c r="A1574" s="76">
        <v>45756.0</v>
      </c>
      <c r="B1574" s="1" t="s">
        <v>311</v>
      </c>
      <c r="C1574" s="1" t="s">
        <v>40</v>
      </c>
      <c r="D1574" s="1">
        <v>2.0</v>
      </c>
      <c r="E1574" s="1">
        <v>17432.0</v>
      </c>
      <c r="F1574" s="10">
        <f t="shared" si="1"/>
        <v>2</v>
      </c>
      <c r="G1574" s="10">
        <f t="array" ref="G1574">index('Player ID'!C:C,match(E1574,'Player ID'!B:B,0))</f>
        <v>656546</v>
      </c>
    </row>
    <row r="1575">
      <c r="A1575" s="76">
        <v>45756.0</v>
      </c>
      <c r="B1575" s="1" t="s">
        <v>301</v>
      </c>
      <c r="C1575" s="1" t="s">
        <v>22</v>
      </c>
      <c r="D1575" s="1">
        <v>6.2</v>
      </c>
      <c r="E1575" s="1">
        <v>19879.0</v>
      </c>
      <c r="F1575" s="10">
        <f t="shared" si="1"/>
        <v>6.666666667</v>
      </c>
      <c r="G1575" s="10">
        <f t="array" ref="G1575">index('Player ID'!C:C,match(E1575,'Player ID'!B:B,0))</f>
        <v>656557</v>
      </c>
    </row>
    <row r="1576">
      <c r="A1576" s="76">
        <v>45756.0</v>
      </c>
      <c r="B1576" s="1" t="s">
        <v>406</v>
      </c>
      <c r="C1576" s="1" t="s">
        <v>22</v>
      </c>
      <c r="D1576" s="1">
        <v>1.0</v>
      </c>
      <c r="E1576" s="1">
        <v>20375.0</v>
      </c>
      <c r="F1576" s="10">
        <f t="shared" si="1"/>
        <v>1</v>
      </c>
      <c r="G1576" s="10">
        <f t="array" ref="G1576">index('Player ID'!C:C,match(E1576,'Player ID'!B:B,0))</f>
        <v>669711</v>
      </c>
    </row>
    <row r="1577">
      <c r="A1577" s="76">
        <v>45756.0</v>
      </c>
      <c r="B1577" s="1" t="s">
        <v>641</v>
      </c>
      <c r="C1577" s="1" t="s">
        <v>40</v>
      </c>
      <c r="D1577" s="1">
        <v>1.0</v>
      </c>
      <c r="E1577" s="1">
        <v>20517.0</v>
      </c>
      <c r="F1577" s="10">
        <f t="shared" si="1"/>
        <v>1</v>
      </c>
      <c r="G1577" s="10">
        <f t="array" ref="G1577">index('Player ID'!C:C,match(E1577,'Player ID'!B:B,0))</f>
        <v>680704</v>
      </c>
    </row>
    <row r="1578">
      <c r="A1578" s="76">
        <v>45756.0</v>
      </c>
      <c r="B1578" s="1" t="s">
        <v>600</v>
      </c>
      <c r="C1578" s="1" t="s">
        <v>22</v>
      </c>
      <c r="D1578" s="1">
        <v>1.0</v>
      </c>
      <c r="E1578" s="1">
        <v>22387.0</v>
      </c>
      <c r="F1578" s="10">
        <f t="shared" si="1"/>
        <v>1</v>
      </c>
      <c r="G1578" s="10">
        <f t="array" ref="G1578">index('Player ID'!C:C,match(E1578,'Player ID'!B:B,0))</f>
        <v>670174</v>
      </c>
    </row>
    <row r="1579">
      <c r="A1579" s="76">
        <v>45756.0</v>
      </c>
      <c r="B1579" s="1" t="s">
        <v>645</v>
      </c>
      <c r="C1579" s="1" t="s">
        <v>22</v>
      </c>
      <c r="D1579" s="1">
        <v>1.0</v>
      </c>
      <c r="E1579" s="1">
        <v>25648.0</v>
      </c>
      <c r="F1579" s="10">
        <f t="shared" si="1"/>
        <v>1</v>
      </c>
      <c r="G1579" s="10">
        <f t="array" ref="G1579">index('Player ID'!C:C,match(E1579,'Player ID'!B:B,0))</f>
        <v>686580</v>
      </c>
    </row>
    <row r="1580">
      <c r="A1580" s="76">
        <v>45756.0</v>
      </c>
      <c r="B1580" s="1" t="s">
        <v>261</v>
      </c>
      <c r="C1580" s="1" t="s">
        <v>54</v>
      </c>
      <c r="D1580" s="1">
        <v>1.0</v>
      </c>
      <c r="E1580" s="1">
        <v>17998.0</v>
      </c>
      <c r="F1580" s="10">
        <f t="shared" si="1"/>
        <v>1</v>
      </c>
      <c r="G1580" s="10">
        <f t="array" ref="G1580">index('Player ID'!C:C,match(E1580,'Player ID'!B:B,0))</f>
        <v>664126</v>
      </c>
    </row>
    <row r="1581">
      <c r="A1581" s="76">
        <v>45756.0</v>
      </c>
      <c r="B1581" s="1" t="s">
        <v>232</v>
      </c>
      <c r="C1581" s="1" t="s">
        <v>25</v>
      </c>
      <c r="D1581" s="1">
        <v>6.0</v>
      </c>
      <c r="E1581" s="1">
        <v>20633.0</v>
      </c>
      <c r="F1581" s="10">
        <f t="shared" si="1"/>
        <v>6</v>
      </c>
      <c r="G1581" s="10">
        <f t="array" ref="G1581">index('Player ID'!C:C,match(E1581,'Player ID'!B:B,0))</f>
        <v>579328</v>
      </c>
    </row>
    <row r="1582">
      <c r="A1582" s="76">
        <v>45756.0</v>
      </c>
      <c r="B1582" s="1" t="s">
        <v>705</v>
      </c>
      <c r="C1582" s="1" t="s">
        <v>54</v>
      </c>
      <c r="D1582" s="1">
        <v>1.0</v>
      </c>
      <c r="E1582" s="1">
        <v>20794.0</v>
      </c>
      <c r="F1582" s="10">
        <f t="shared" si="1"/>
        <v>1</v>
      </c>
      <c r="G1582" s="10">
        <f t="array" ref="G1582">index('Player ID'!C:C,match(E1582,'Player ID'!B:B,0))</f>
        <v>655889</v>
      </c>
    </row>
    <row r="1583">
      <c r="A1583" s="76">
        <v>45756.0</v>
      </c>
      <c r="B1583" s="1" t="s">
        <v>110</v>
      </c>
      <c r="C1583" s="1" t="s">
        <v>54</v>
      </c>
      <c r="D1583" s="1">
        <v>1.0</v>
      </c>
      <c r="E1583" s="1">
        <v>25679.0</v>
      </c>
      <c r="F1583" s="10">
        <f t="shared" si="1"/>
        <v>1</v>
      </c>
      <c r="G1583" s="10">
        <f t="array" ref="G1583">index('Player ID'!C:C,match(E1583,'Player ID'!B:B,0))</f>
        <v>687330</v>
      </c>
    </row>
    <row r="1584">
      <c r="A1584" s="76">
        <v>45756.0</v>
      </c>
      <c r="B1584" s="1" t="s">
        <v>129</v>
      </c>
      <c r="C1584" s="1" t="s">
        <v>54</v>
      </c>
      <c r="D1584" s="1">
        <v>5.0</v>
      </c>
      <c r="E1584" s="1">
        <v>26221.0</v>
      </c>
      <c r="F1584" s="10">
        <f t="shared" si="1"/>
        <v>5</v>
      </c>
      <c r="G1584" s="10">
        <f t="array" ref="G1584">index('Player ID'!C:C,match(E1584,'Player ID'!B:B,0))</f>
        <v>686752</v>
      </c>
    </row>
    <row r="1585">
      <c r="A1585" s="76">
        <v>45756.0</v>
      </c>
      <c r="B1585" s="1" t="s">
        <v>24</v>
      </c>
      <c r="C1585" s="1" t="s">
        <v>25</v>
      </c>
      <c r="D1585" s="1">
        <v>2.0</v>
      </c>
      <c r="E1585" s="1">
        <v>27468.0</v>
      </c>
      <c r="F1585" s="10">
        <f t="shared" si="1"/>
        <v>2</v>
      </c>
      <c r="G1585" s="10">
        <f t="array" ref="G1585">index('Player ID'!C:C,match(E1585,'Player ID'!B:B,0))</f>
        <v>672282</v>
      </c>
    </row>
    <row r="1586">
      <c r="A1586" s="76">
        <v>45756.0</v>
      </c>
      <c r="B1586" s="1" t="s">
        <v>334</v>
      </c>
      <c r="C1586" s="1" t="s">
        <v>54</v>
      </c>
      <c r="D1586" s="1">
        <v>1.0</v>
      </c>
      <c r="E1586" s="1">
        <v>29770.0</v>
      </c>
      <c r="F1586" s="10">
        <f t="shared" si="1"/>
        <v>1</v>
      </c>
      <c r="G1586" s="10">
        <f t="array" ref="G1586">index('Player ID'!C:C,match(E1586,'Player ID'!B:B,0))</f>
        <v>682254</v>
      </c>
    </row>
    <row r="1587">
      <c r="A1587" s="76">
        <v>45756.0</v>
      </c>
      <c r="B1587" s="1" t="s">
        <v>453</v>
      </c>
      <c r="C1587" s="1" t="s">
        <v>45</v>
      </c>
      <c r="D1587" s="1">
        <v>4.2</v>
      </c>
      <c r="E1587" s="1">
        <v>11836.0</v>
      </c>
      <c r="F1587" s="10">
        <f t="shared" si="1"/>
        <v>4.666666667</v>
      </c>
      <c r="G1587" s="10">
        <f t="array" ref="G1587">index('Player ID'!C:C,match(E1587,'Player ID'!B:B,0))</f>
        <v>592836</v>
      </c>
    </row>
    <row r="1588">
      <c r="A1588" s="76">
        <v>45756.0</v>
      </c>
      <c r="B1588" s="1" t="s">
        <v>360</v>
      </c>
      <c r="C1588" s="1" t="s">
        <v>45</v>
      </c>
      <c r="D1588" s="1">
        <v>1.2</v>
      </c>
      <c r="E1588" s="1">
        <v>12972.0</v>
      </c>
      <c r="F1588" s="10">
        <f t="shared" si="1"/>
        <v>1.666666667</v>
      </c>
      <c r="G1588" s="10">
        <f t="array" ref="G1588">index('Player ID'!C:C,match(E1588,'Player ID'!B:B,0))</f>
        <v>605452</v>
      </c>
    </row>
    <row r="1589">
      <c r="A1589" s="76">
        <v>45756.0</v>
      </c>
      <c r="B1589" s="1" t="s">
        <v>178</v>
      </c>
      <c r="C1589" s="1" t="s">
        <v>46</v>
      </c>
      <c r="D1589" s="1">
        <v>0.2</v>
      </c>
      <c r="E1589" s="1">
        <v>13435.0</v>
      </c>
      <c r="F1589" s="10">
        <f t="shared" si="1"/>
        <v>0.6666666667</v>
      </c>
      <c r="G1589" s="10">
        <f t="array" ref="G1589">index('Player ID'!C:C,match(E1589,'Player ID'!B:B,0))</f>
        <v>572955</v>
      </c>
    </row>
    <row r="1590">
      <c r="A1590" s="76">
        <v>45756.0</v>
      </c>
      <c r="B1590" s="1" t="s">
        <v>699</v>
      </c>
      <c r="C1590" s="1" t="s">
        <v>45</v>
      </c>
      <c r="D1590" s="1">
        <v>1.1</v>
      </c>
      <c r="E1590" s="1">
        <v>14552.0</v>
      </c>
      <c r="F1590" s="10">
        <f t="shared" si="1"/>
        <v>1.333333333</v>
      </c>
      <c r="G1590" s="10">
        <f t="array" ref="G1590">index('Player ID'!C:C,match(E1590,'Player ID'!B:B,0))</f>
        <v>614179</v>
      </c>
    </row>
    <row r="1591">
      <c r="A1591" s="76">
        <v>45756.0</v>
      </c>
      <c r="B1591" s="1" t="s">
        <v>319</v>
      </c>
      <c r="C1591" s="1" t="s">
        <v>46</v>
      </c>
      <c r="D1591" s="1">
        <v>1.1</v>
      </c>
      <c r="E1591" s="1">
        <v>16258.0</v>
      </c>
      <c r="F1591" s="10">
        <f t="shared" si="1"/>
        <v>1.333333333</v>
      </c>
      <c r="G1591" s="10">
        <f t="array" ref="G1591">index('Player ID'!C:C,match(E1591,'Player ID'!B:B,0))</f>
        <v>607481</v>
      </c>
    </row>
    <row r="1592">
      <c r="A1592" s="76">
        <v>45756.0</v>
      </c>
      <c r="B1592" s="1" t="s">
        <v>366</v>
      </c>
      <c r="C1592" s="1" t="s">
        <v>46</v>
      </c>
      <c r="D1592" s="1">
        <v>4.0</v>
      </c>
      <c r="E1592" s="1">
        <v>16944.0</v>
      </c>
      <c r="F1592" s="10">
        <f t="shared" si="1"/>
        <v>4</v>
      </c>
      <c r="G1592" s="10">
        <f t="array" ref="G1592">index('Player ID'!C:C,match(E1592,'Player ID'!B:B,0))</f>
        <v>656550</v>
      </c>
    </row>
    <row r="1593">
      <c r="A1593" s="76">
        <v>45756.0</v>
      </c>
      <c r="B1593" s="1" t="s">
        <v>184</v>
      </c>
      <c r="C1593" s="1" t="s">
        <v>46</v>
      </c>
      <c r="D1593" s="1">
        <v>1.0</v>
      </c>
      <c r="E1593" s="1">
        <v>17130.0</v>
      </c>
      <c r="F1593" s="10">
        <f t="shared" si="1"/>
        <v>1</v>
      </c>
      <c r="G1593" s="10">
        <f t="array" ref="G1593">index('Player ID'!C:C,match(E1593,'Player ID'!B:B,0))</f>
        <v>628452</v>
      </c>
    </row>
    <row r="1594">
      <c r="A1594" s="76">
        <v>45756.0</v>
      </c>
      <c r="B1594" s="1" t="s">
        <v>643</v>
      </c>
      <c r="C1594" s="1" t="s">
        <v>45</v>
      </c>
      <c r="D1594" s="1">
        <v>1.1</v>
      </c>
      <c r="E1594" s="1">
        <v>17780.0</v>
      </c>
      <c r="F1594" s="10">
        <f t="shared" si="1"/>
        <v>1.333333333</v>
      </c>
      <c r="G1594" s="10">
        <f t="array" ref="G1594">index('Player ID'!C:C,match(E1594,'Player ID'!B:B,0))</f>
        <v>621237</v>
      </c>
    </row>
    <row r="1595">
      <c r="A1595" s="76">
        <v>45756.0</v>
      </c>
      <c r="B1595" s="1" t="s">
        <v>91</v>
      </c>
      <c r="C1595" s="1" t="s">
        <v>46</v>
      </c>
      <c r="D1595" s="1">
        <v>1.0</v>
      </c>
      <c r="E1595" s="1">
        <v>19996.0</v>
      </c>
      <c r="F1595" s="10">
        <f t="shared" si="1"/>
        <v>1</v>
      </c>
      <c r="G1595" s="10">
        <f t="array" ref="G1595">index('Player ID'!C:C,match(E1595,'Player ID'!B:B,0))</f>
        <v>669276</v>
      </c>
    </row>
    <row r="1596">
      <c r="A1596" s="76">
        <v>45756.0</v>
      </c>
      <c r="B1596" s="1" t="s">
        <v>688</v>
      </c>
      <c r="C1596" s="1" t="s">
        <v>46</v>
      </c>
      <c r="D1596" s="1">
        <v>1.0</v>
      </c>
      <c r="E1596" s="1">
        <v>20271.0</v>
      </c>
      <c r="F1596" s="10">
        <f t="shared" si="1"/>
        <v>1</v>
      </c>
      <c r="G1596" s="10">
        <f t="array" ref="G1596">index('Player ID'!C:C,match(E1596,'Player ID'!B:B,0))</f>
        <v>678226</v>
      </c>
    </row>
    <row r="1597">
      <c r="A1597" s="76">
        <v>45756.0</v>
      </c>
      <c r="B1597" s="1" t="s">
        <v>452</v>
      </c>
      <c r="C1597" s="1" t="s">
        <v>29</v>
      </c>
      <c r="D1597" s="1">
        <v>5.2</v>
      </c>
      <c r="E1597" s="1">
        <v>12447.0</v>
      </c>
      <c r="F1597" s="10">
        <f t="shared" si="1"/>
        <v>5.666666667</v>
      </c>
      <c r="G1597" s="10">
        <f t="array" ref="G1597">index('Player ID'!C:C,match(E1597,'Player ID'!B:B,0))</f>
        <v>607625</v>
      </c>
    </row>
    <row r="1598">
      <c r="A1598" s="76">
        <v>45756.0</v>
      </c>
      <c r="B1598" s="1" t="s">
        <v>726</v>
      </c>
      <c r="C1598" s="1" t="s">
        <v>29</v>
      </c>
      <c r="D1598" s="1">
        <v>1.2</v>
      </c>
      <c r="E1598" s="1">
        <v>13761.0</v>
      </c>
      <c r="F1598" s="10">
        <f t="shared" si="1"/>
        <v>1.666666667</v>
      </c>
      <c r="G1598" s="10">
        <f t="array" ref="G1598">index('Player ID'!C:C,match(E1598,'Player ID'!B:B,0))</f>
        <v>608717</v>
      </c>
    </row>
    <row r="1599">
      <c r="A1599" s="76">
        <v>45756.0</v>
      </c>
      <c r="B1599" s="1" t="s">
        <v>28</v>
      </c>
      <c r="C1599" s="1" t="s">
        <v>16</v>
      </c>
      <c r="D1599" s="1">
        <v>1.0</v>
      </c>
      <c r="E1599" s="1">
        <v>20253.0</v>
      </c>
      <c r="F1599" s="10">
        <f t="shared" si="1"/>
        <v>1</v>
      </c>
      <c r="G1599" s="10">
        <f t="array" ref="G1599">index('Player ID'!C:C,match(E1599,'Player ID'!B:B,0))</f>
        <v>643377</v>
      </c>
    </row>
    <row r="1600">
      <c r="A1600" s="76">
        <v>45756.0</v>
      </c>
      <c r="B1600" s="1" t="s">
        <v>122</v>
      </c>
      <c r="C1600" s="1" t="s">
        <v>16</v>
      </c>
      <c r="D1600" s="1">
        <v>1.0</v>
      </c>
      <c r="E1600" s="1">
        <v>21029.0</v>
      </c>
      <c r="F1600" s="10">
        <f t="shared" si="1"/>
        <v>1</v>
      </c>
      <c r="G1600" s="10">
        <f t="array" ref="G1600">index('Player ID'!C:C,match(E1600,'Player ID'!B:B,0))</f>
        <v>661395</v>
      </c>
    </row>
    <row r="1601">
      <c r="A1601" s="76">
        <v>45756.0</v>
      </c>
      <c r="B1601" s="1" t="s">
        <v>150</v>
      </c>
      <c r="C1601" s="1" t="s">
        <v>16</v>
      </c>
      <c r="D1601" s="1">
        <v>7.0</v>
      </c>
      <c r="E1601" s="1">
        <v>21390.0</v>
      </c>
      <c r="F1601" s="10">
        <f t="shared" si="1"/>
        <v>7</v>
      </c>
      <c r="G1601" s="10">
        <f t="array" ref="G1601">index('Player ID'!C:C,match(E1601,'Player ID'!B:B,0))</f>
        <v>657746</v>
      </c>
    </row>
    <row r="1602">
      <c r="A1602" s="76">
        <v>45756.0</v>
      </c>
      <c r="B1602" s="1" t="s">
        <v>442</v>
      </c>
      <c r="C1602" s="1" t="s">
        <v>29</v>
      </c>
      <c r="D1602" s="1">
        <v>1.2</v>
      </c>
      <c r="E1602" s="1">
        <v>25379.0</v>
      </c>
      <c r="F1602" s="10">
        <f t="shared" si="1"/>
        <v>1.666666667</v>
      </c>
      <c r="G1602" s="10">
        <f t="array" ref="G1602">index('Player ID'!C:C,match(E1602,'Player ID'!B:B,0))</f>
        <v>669674</v>
      </c>
    </row>
    <row r="1603">
      <c r="A1603" s="76">
        <v>45756.0</v>
      </c>
      <c r="B1603" s="1" t="s">
        <v>481</v>
      </c>
      <c r="C1603" s="1" t="s">
        <v>75</v>
      </c>
      <c r="D1603" s="1">
        <v>4.1</v>
      </c>
      <c r="E1603" s="1">
        <v>15488.0</v>
      </c>
      <c r="F1603" s="10">
        <f t="shared" si="1"/>
        <v>4.333333333</v>
      </c>
      <c r="G1603" s="10">
        <f t="array" ref="G1603">index('Player ID'!C:C,match(E1603,'Player ID'!B:B,0))</f>
        <v>622608</v>
      </c>
    </row>
    <row r="1604">
      <c r="A1604" s="76">
        <v>45756.0</v>
      </c>
      <c r="B1604" s="1" t="s">
        <v>187</v>
      </c>
      <c r="C1604" s="1" t="s">
        <v>14</v>
      </c>
      <c r="D1604" s="1">
        <v>3.2</v>
      </c>
      <c r="E1604" s="1">
        <v>17735.0</v>
      </c>
      <c r="F1604" s="10">
        <f t="shared" si="1"/>
        <v>3.666666667</v>
      </c>
      <c r="G1604" s="10">
        <f t="array" ref="G1604">index('Player ID'!C:C,match(E1604,'Player ID'!B:B,0))</f>
        <v>641302</v>
      </c>
    </row>
    <row r="1605">
      <c r="A1605" s="76">
        <v>45756.0</v>
      </c>
      <c r="B1605" s="1" t="s">
        <v>288</v>
      </c>
      <c r="C1605" s="1" t="s">
        <v>75</v>
      </c>
      <c r="D1605" s="1">
        <v>1.0</v>
      </c>
      <c r="E1605" s="1">
        <v>18297.0</v>
      </c>
      <c r="F1605" s="10">
        <f t="shared" si="1"/>
        <v>1</v>
      </c>
      <c r="G1605" s="10">
        <f t="array" ref="G1605">index('Player ID'!C:C,match(E1605,'Player ID'!B:B,0))</f>
        <v>641755</v>
      </c>
    </row>
    <row r="1606">
      <c r="A1606" s="76">
        <v>45756.0</v>
      </c>
      <c r="B1606" s="1" t="s">
        <v>318</v>
      </c>
      <c r="C1606" s="1" t="s">
        <v>14</v>
      </c>
      <c r="D1606" s="1">
        <v>2.0</v>
      </c>
      <c r="E1606" s="1">
        <v>20546.0</v>
      </c>
      <c r="F1606" s="10">
        <f t="shared" si="1"/>
        <v>2</v>
      </c>
      <c r="G1606" s="10">
        <f t="array" ref="G1606">index('Player ID'!C:C,match(E1606,'Player ID'!B:B,0))</f>
        <v>681982</v>
      </c>
    </row>
    <row r="1607">
      <c r="A1607" s="76">
        <v>45756.0</v>
      </c>
      <c r="B1607" s="1" t="s">
        <v>690</v>
      </c>
      <c r="C1607" s="1" t="s">
        <v>14</v>
      </c>
      <c r="D1607" s="1">
        <v>1.1</v>
      </c>
      <c r="E1607" s="1">
        <v>21652.0</v>
      </c>
      <c r="F1607" s="10">
        <f t="shared" si="1"/>
        <v>1.333333333</v>
      </c>
      <c r="G1607" s="10">
        <f t="array" ref="G1607">index('Player ID'!C:C,match(E1607,'Player ID'!B:B,0))</f>
        <v>665625</v>
      </c>
    </row>
    <row r="1608">
      <c r="A1608" s="76">
        <v>45756.0</v>
      </c>
      <c r="B1608" s="1" t="s">
        <v>548</v>
      </c>
      <c r="C1608" s="1" t="s">
        <v>75</v>
      </c>
      <c r="D1608" s="1">
        <v>1.2</v>
      </c>
      <c r="E1608" s="1">
        <v>24203.0</v>
      </c>
      <c r="F1608" s="10">
        <f t="shared" si="1"/>
        <v>1.666666667</v>
      </c>
      <c r="G1608" s="10">
        <f t="array" ref="G1608">index('Player ID'!C:C,match(E1608,'Player ID'!B:B,0))</f>
        <v>678821</v>
      </c>
    </row>
    <row r="1609">
      <c r="A1609" s="76">
        <v>45756.0</v>
      </c>
      <c r="B1609" s="1" t="s">
        <v>365</v>
      </c>
      <c r="C1609" s="1" t="s">
        <v>75</v>
      </c>
      <c r="D1609" s="1">
        <v>0.2</v>
      </c>
      <c r="E1609" s="1">
        <v>24614.0</v>
      </c>
      <c r="F1609" s="10">
        <f t="shared" si="1"/>
        <v>0.6666666667</v>
      </c>
      <c r="G1609" s="10">
        <f t="array" ref="G1609">index('Player ID'!C:C,match(E1609,'Player ID'!B:B,0))</f>
        <v>680767</v>
      </c>
    </row>
    <row r="1610">
      <c r="A1610" s="76">
        <v>45756.0</v>
      </c>
      <c r="B1610" s="1" t="s">
        <v>112</v>
      </c>
      <c r="C1610" s="1" t="s">
        <v>14</v>
      </c>
      <c r="D1610" s="1">
        <v>1.0</v>
      </c>
      <c r="E1610" s="1">
        <v>25376.0</v>
      </c>
      <c r="F1610" s="10">
        <f t="shared" si="1"/>
        <v>1</v>
      </c>
      <c r="G1610" s="10">
        <f t="array" ref="G1610">index('Player ID'!C:C,match(E1610,'Player ID'!B:B,0))</f>
        <v>683232</v>
      </c>
    </row>
    <row r="1611">
      <c r="A1611" s="76">
        <v>45756.0</v>
      </c>
      <c r="B1611" s="1" t="s">
        <v>486</v>
      </c>
      <c r="C1611" s="1" t="s">
        <v>75</v>
      </c>
      <c r="D1611" s="1">
        <v>1.0</v>
      </c>
      <c r="E1611" s="1">
        <v>26790.0</v>
      </c>
      <c r="F1611" s="10">
        <f t="shared" si="1"/>
        <v>1</v>
      </c>
      <c r="G1611" s="10">
        <f t="array" ref="G1611">index('Player ID'!C:C,match(E1611,'Player ID'!B:B,0))</f>
        <v>683409</v>
      </c>
    </row>
    <row r="1612">
      <c r="A1612" s="76">
        <v>45756.0</v>
      </c>
      <c r="B1612" s="1" t="s">
        <v>418</v>
      </c>
      <c r="C1612" s="1" t="s">
        <v>14</v>
      </c>
      <c r="D1612" s="1">
        <v>1.0</v>
      </c>
      <c r="E1612" s="1">
        <v>27517.0</v>
      </c>
      <c r="F1612" s="10">
        <f t="shared" si="1"/>
        <v>1</v>
      </c>
      <c r="G1612" s="10">
        <f t="array" ref="G1612">index('Player ID'!C:C,match(E1612,'Player ID'!B:B,0))</f>
        <v>657649</v>
      </c>
    </row>
    <row r="1613">
      <c r="A1613" s="76">
        <v>45756.0</v>
      </c>
      <c r="B1613" s="1" t="s">
        <v>488</v>
      </c>
      <c r="C1613" s="1" t="s">
        <v>75</v>
      </c>
      <c r="D1613" s="1">
        <v>0.1</v>
      </c>
      <c r="E1613" s="1">
        <v>33294.0</v>
      </c>
      <c r="F1613" s="10">
        <f t="shared" si="1"/>
        <v>0.3333333333</v>
      </c>
      <c r="G1613" s="10">
        <f t="array" ref="G1613">index('Player ID'!C:C,match(E1613,'Player ID'!B:B,0))</f>
        <v>678020</v>
      </c>
    </row>
    <row r="1614">
      <c r="A1614" s="76">
        <v>45757.0</v>
      </c>
      <c r="B1614" s="1" t="s">
        <v>177</v>
      </c>
      <c r="C1614" s="1" t="s">
        <v>54</v>
      </c>
      <c r="D1614" s="1">
        <v>4.0</v>
      </c>
      <c r="E1614" s="1">
        <v>15823.0</v>
      </c>
      <c r="F1614" s="10">
        <f t="shared" si="1"/>
        <v>4</v>
      </c>
      <c r="G1614" s="10">
        <f t="array" ref="G1614">index('Player ID'!C:C,match(E1614,'Player ID'!B:B,0))</f>
        <v>641793</v>
      </c>
    </row>
    <row r="1615">
      <c r="A1615" s="76">
        <v>45757.0</v>
      </c>
      <c r="B1615" s="1" t="s">
        <v>185</v>
      </c>
      <c r="C1615" s="1" t="s">
        <v>54</v>
      </c>
      <c r="D1615" s="1">
        <v>1.0</v>
      </c>
      <c r="E1615" s="1">
        <v>17897.0</v>
      </c>
      <c r="F1615" s="10">
        <f t="shared" si="1"/>
        <v>1</v>
      </c>
      <c r="G1615" s="10">
        <f t="array" ref="G1615">index('Player ID'!C:C,match(E1615,'Player ID'!B:B,0))</f>
        <v>664076</v>
      </c>
    </row>
    <row r="1616">
      <c r="A1616" s="76">
        <v>45757.0</v>
      </c>
      <c r="B1616" s="1" t="s">
        <v>695</v>
      </c>
      <c r="C1616" s="1" t="s">
        <v>25</v>
      </c>
      <c r="D1616" s="1">
        <v>7.2</v>
      </c>
      <c r="E1616" s="1">
        <v>22100.0</v>
      </c>
      <c r="F1616" s="10">
        <f t="shared" si="1"/>
        <v>7.666666667</v>
      </c>
      <c r="G1616" s="10">
        <f t="array" ref="G1616">index('Player ID'!C:C,match(E1616,'Player ID'!B:B,0))</f>
        <v>667755</v>
      </c>
    </row>
    <row r="1617">
      <c r="A1617" s="76">
        <v>45757.0</v>
      </c>
      <c r="B1617" s="1" t="s">
        <v>204</v>
      </c>
      <c r="C1617" s="1" t="s">
        <v>54</v>
      </c>
      <c r="D1617" s="1">
        <v>3.0</v>
      </c>
      <c r="E1617" s="1">
        <v>22288.0</v>
      </c>
      <c r="F1617" s="10">
        <f t="shared" si="1"/>
        <v>3</v>
      </c>
      <c r="G1617" s="10">
        <f t="array" ref="G1617">index('Player ID'!C:C,match(E1617,'Player ID'!B:B,0))</f>
        <v>669438</v>
      </c>
    </row>
    <row r="1618">
      <c r="A1618" s="76">
        <v>45757.0</v>
      </c>
      <c r="B1618" s="1" t="s">
        <v>671</v>
      </c>
      <c r="C1618" s="1" t="s">
        <v>54</v>
      </c>
      <c r="D1618" s="1">
        <v>1.0</v>
      </c>
      <c r="E1618" s="1">
        <v>26259.0</v>
      </c>
      <c r="F1618" s="10">
        <f t="shared" si="1"/>
        <v>1</v>
      </c>
      <c r="G1618" s="10">
        <f t="array" ref="G1618">index('Player ID'!C:C,match(E1618,'Player ID'!B:B,0))</f>
        <v>685801</v>
      </c>
    </row>
    <row r="1619">
      <c r="A1619" s="76">
        <v>45757.0</v>
      </c>
      <c r="B1619" s="1" t="s">
        <v>659</v>
      </c>
      <c r="C1619" s="1" t="s">
        <v>25</v>
      </c>
      <c r="D1619" s="1">
        <v>1.1</v>
      </c>
      <c r="E1619" s="1">
        <v>35325.0</v>
      </c>
      <c r="F1619" s="10">
        <f t="shared" si="1"/>
        <v>1.333333333</v>
      </c>
      <c r="G1619" s="10">
        <f t="array" ref="G1619">index('Player ID'!C:C,match(E1619,'Player ID'!B:B,0))</f>
        <v>696270</v>
      </c>
    </row>
    <row r="1620">
      <c r="A1620" s="76">
        <v>45757.0</v>
      </c>
      <c r="B1620" s="1" t="s">
        <v>656</v>
      </c>
      <c r="C1620" s="1" t="s">
        <v>78</v>
      </c>
      <c r="D1620" s="1">
        <v>1.0</v>
      </c>
      <c r="E1620" s="1">
        <v>12808.0</v>
      </c>
      <c r="F1620" s="10">
        <f t="shared" si="1"/>
        <v>1</v>
      </c>
      <c r="G1620" s="10">
        <f t="array" ref="G1620">index('Player ID'!C:C,match(E1620,'Player ID'!B:B,0))</f>
        <v>605182</v>
      </c>
    </row>
    <row r="1621">
      <c r="A1621" s="76">
        <v>45757.0</v>
      </c>
      <c r="B1621" s="1" t="s">
        <v>117</v>
      </c>
      <c r="C1621" s="1" t="s">
        <v>70</v>
      </c>
      <c r="D1621" s="1">
        <v>2.0</v>
      </c>
      <c r="E1621" s="1">
        <v>13619.0</v>
      </c>
      <c r="F1621" s="10">
        <f t="shared" si="1"/>
        <v>2</v>
      </c>
      <c r="G1621" s="10">
        <f t="array" ref="G1621">index('Player ID'!C:C,match(E1621,'Player ID'!B:B,0))</f>
        <v>596001</v>
      </c>
    </row>
    <row r="1622">
      <c r="A1622" s="76">
        <v>45757.0</v>
      </c>
      <c r="B1622" s="1" t="s">
        <v>387</v>
      </c>
      <c r="C1622" s="1" t="s">
        <v>78</v>
      </c>
      <c r="D1622" s="1">
        <v>1.2</v>
      </c>
      <c r="E1622" s="1">
        <v>19990.0</v>
      </c>
      <c r="F1622" s="10">
        <f t="shared" si="1"/>
        <v>1.666666667</v>
      </c>
      <c r="G1622" s="10">
        <f t="array" ref="G1622">index('Player ID'!C:C,match(E1622,'Player ID'!B:B,0))</f>
        <v>669060</v>
      </c>
    </row>
    <row r="1623">
      <c r="A1623" s="76">
        <v>45757.0</v>
      </c>
      <c r="B1623" s="1" t="s">
        <v>398</v>
      </c>
      <c r="C1623" s="1" t="s">
        <v>70</v>
      </c>
      <c r="D1623" s="1">
        <v>2.0</v>
      </c>
      <c r="E1623" s="1">
        <v>23335.0</v>
      </c>
      <c r="F1623" s="10">
        <f t="shared" si="1"/>
        <v>2</v>
      </c>
      <c r="G1623" s="10">
        <f t="array" ref="G1623">index('Player ID'!C:C,match(E1623,'Player ID'!B:B,0))</f>
        <v>676282</v>
      </c>
    </row>
    <row r="1624">
      <c r="A1624" s="76">
        <v>45757.0</v>
      </c>
      <c r="B1624" s="1" t="s">
        <v>376</v>
      </c>
      <c r="C1624" s="1" t="s">
        <v>70</v>
      </c>
      <c r="D1624" s="1">
        <v>5.0</v>
      </c>
      <c r="E1624" s="1">
        <v>30122.0</v>
      </c>
      <c r="F1624" s="10">
        <f t="shared" si="1"/>
        <v>5</v>
      </c>
      <c r="G1624" s="10">
        <f t="array" ref="G1624">index('Player ID'!C:C,match(E1624,'Player ID'!B:B,0))</f>
        <v>668909</v>
      </c>
    </row>
    <row r="1625">
      <c r="A1625" s="76">
        <v>45757.0</v>
      </c>
      <c r="B1625" s="1" t="s">
        <v>361</v>
      </c>
      <c r="C1625" s="1" t="s">
        <v>78</v>
      </c>
      <c r="D1625" s="1">
        <v>5.1</v>
      </c>
      <c r="E1625" s="1">
        <v>31730.0</v>
      </c>
      <c r="F1625" s="10">
        <f t="shared" si="1"/>
        <v>5.333333333</v>
      </c>
      <c r="G1625" s="10">
        <f t="array" ref="G1625">index('Player ID'!C:C,match(E1625,'Player ID'!B:B,0))</f>
        <v>686563</v>
      </c>
    </row>
    <row r="1626">
      <c r="A1626" s="76">
        <v>45757.0</v>
      </c>
      <c r="B1626" s="1" t="s">
        <v>435</v>
      </c>
      <c r="C1626" s="1" t="s">
        <v>16</v>
      </c>
      <c r="D1626" s="1">
        <v>0.1</v>
      </c>
      <c r="E1626" s="1">
        <v>13293.0</v>
      </c>
      <c r="F1626" s="10">
        <f t="shared" si="1"/>
        <v>0.3333333333</v>
      </c>
      <c r="G1626" s="10">
        <f t="array" ref="G1626">index('Player ID'!C:C,match(E1626,'Player ID'!B:B,0))</f>
        <v>543056</v>
      </c>
    </row>
    <row r="1627">
      <c r="A1627" s="76">
        <v>45757.0</v>
      </c>
      <c r="B1627" s="1" t="s">
        <v>147</v>
      </c>
      <c r="C1627" s="1" t="s">
        <v>29</v>
      </c>
      <c r="D1627" s="1">
        <v>5.1</v>
      </c>
      <c r="E1627" s="1">
        <v>14078.0</v>
      </c>
      <c r="F1627" s="10">
        <f t="shared" si="1"/>
        <v>5.333333333</v>
      </c>
      <c r="G1627" s="10">
        <f t="array" ref="G1627">index('Player ID'!C:C,match(E1627,'Player ID'!B:B,0))</f>
        <v>608379</v>
      </c>
    </row>
    <row r="1628">
      <c r="A1628" s="76">
        <v>45757.0</v>
      </c>
      <c r="B1628" s="1" t="s">
        <v>649</v>
      </c>
      <c r="C1628" s="1" t="s">
        <v>29</v>
      </c>
      <c r="D1628" s="1">
        <v>1.0</v>
      </c>
      <c r="E1628" s="1">
        <v>14542.0</v>
      </c>
      <c r="F1628" s="10">
        <f t="shared" si="1"/>
        <v>1</v>
      </c>
      <c r="G1628" s="10">
        <f t="array" ref="G1628">index('Player ID'!C:C,match(E1628,'Player ID'!B:B,0))</f>
        <v>608032</v>
      </c>
    </row>
    <row r="1629">
      <c r="A1629" s="76">
        <v>45757.0</v>
      </c>
      <c r="B1629" s="1" t="s">
        <v>407</v>
      </c>
      <c r="C1629" s="1" t="s">
        <v>29</v>
      </c>
      <c r="D1629" s="1">
        <v>1.0</v>
      </c>
      <c r="E1629" s="1">
        <v>19360.0</v>
      </c>
      <c r="F1629" s="10">
        <f t="shared" si="1"/>
        <v>1</v>
      </c>
      <c r="G1629" s="10">
        <f t="array" ref="G1629">index('Player ID'!C:C,match(E1629,'Player ID'!B:B,0))</f>
        <v>668674</v>
      </c>
    </row>
    <row r="1630">
      <c r="A1630" s="76">
        <v>45757.0</v>
      </c>
      <c r="B1630" s="1" t="s">
        <v>144</v>
      </c>
      <c r="C1630" s="1" t="s">
        <v>29</v>
      </c>
      <c r="D1630" s="1">
        <v>1.0</v>
      </c>
      <c r="E1630" s="1">
        <v>20020.0</v>
      </c>
      <c r="F1630" s="10">
        <f t="shared" si="1"/>
        <v>1</v>
      </c>
      <c r="G1630" s="10">
        <f t="array" ref="G1630">index('Player ID'!C:C,match(E1630,'Player ID'!B:B,0))</f>
        <v>670167</v>
      </c>
    </row>
    <row r="1631">
      <c r="A1631" s="76">
        <v>45757.0</v>
      </c>
      <c r="B1631" s="1" t="s">
        <v>173</v>
      </c>
      <c r="C1631" s="1" t="s">
        <v>16</v>
      </c>
      <c r="D1631" s="1">
        <v>6.0</v>
      </c>
      <c r="E1631" s="1">
        <v>21224.0</v>
      </c>
      <c r="F1631" s="10">
        <f t="shared" si="1"/>
        <v>6</v>
      </c>
      <c r="G1631" s="10">
        <f t="array" ref="G1631">index('Player ID'!C:C,match(E1631,'Player ID'!B:B,0))</f>
        <v>641927</v>
      </c>
    </row>
    <row r="1632">
      <c r="A1632" s="76">
        <v>45757.0</v>
      </c>
      <c r="B1632" s="1" t="s">
        <v>237</v>
      </c>
      <c r="C1632" s="1" t="s">
        <v>16</v>
      </c>
      <c r="D1632" s="1">
        <v>0.2</v>
      </c>
      <c r="E1632" s="1">
        <v>21461.0</v>
      </c>
      <c r="F1632" s="10">
        <f t="shared" si="1"/>
        <v>0.6666666667</v>
      </c>
      <c r="G1632" s="10">
        <f t="array" ref="G1632">index('Player ID'!C:C,match(E1632,'Player ID'!B:B,0))</f>
        <v>663485</v>
      </c>
    </row>
    <row r="1633">
      <c r="A1633" s="76">
        <v>45757.0</v>
      </c>
      <c r="B1633" s="1" t="s">
        <v>293</v>
      </c>
      <c r="C1633" s="1" t="s">
        <v>29</v>
      </c>
      <c r="D1633" s="1">
        <v>0.2</v>
      </c>
      <c r="E1633" s="1">
        <v>21537.0</v>
      </c>
      <c r="F1633" s="10">
        <f t="shared" si="1"/>
        <v>0.6666666667</v>
      </c>
      <c r="G1633" s="10">
        <f t="array" ref="G1633">index('Player ID'!C:C,match(E1633,'Player ID'!B:B,0))</f>
        <v>663738</v>
      </c>
    </row>
    <row r="1634">
      <c r="A1634" s="76">
        <v>45757.0</v>
      </c>
      <c r="B1634" s="1" t="s">
        <v>47</v>
      </c>
      <c r="C1634" s="1" t="s">
        <v>16</v>
      </c>
      <c r="D1634" s="1">
        <v>1.0</v>
      </c>
      <c r="E1634" s="1">
        <v>27691.0</v>
      </c>
      <c r="F1634" s="10">
        <f t="shared" si="1"/>
        <v>1</v>
      </c>
      <c r="G1634" s="10">
        <f t="array" ref="G1634">index('Player ID'!C:C,match(E1634,'Player ID'!B:B,0))</f>
        <v>686973</v>
      </c>
    </row>
    <row r="1635">
      <c r="A1635" s="76">
        <v>45757.0</v>
      </c>
      <c r="B1635" s="1" t="s">
        <v>704</v>
      </c>
      <c r="C1635" s="1" t="s">
        <v>75</v>
      </c>
      <c r="D1635" s="1">
        <v>1.0</v>
      </c>
      <c r="E1635" s="1">
        <v>10591.0</v>
      </c>
      <c r="F1635" s="10">
        <f t="shared" si="1"/>
        <v>1</v>
      </c>
      <c r="G1635" s="10">
        <f t="array" ref="G1635">index('Player ID'!C:C,match(E1635,'Player ID'!B:B,0))</f>
        <v>518397</v>
      </c>
    </row>
    <row r="1636">
      <c r="A1636" s="76">
        <v>45757.0</v>
      </c>
      <c r="B1636" s="1" t="s">
        <v>634</v>
      </c>
      <c r="C1636" s="1" t="s">
        <v>14</v>
      </c>
      <c r="D1636" s="1">
        <v>0.2</v>
      </c>
      <c r="E1636" s="1">
        <v>14332.0</v>
      </c>
      <c r="F1636" s="10">
        <f t="shared" si="1"/>
        <v>0.6666666667</v>
      </c>
      <c r="G1636" s="10">
        <f t="array" ref="G1636">index('Player ID'!C:C,match(E1636,'Player ID'!B:B,0))</f>
        <v>606303</v>
      </c>
    </row>
    <row r="1637">
      <c r="A1637" s="76">
        <v>45757.0</v>
      </c>
      <c r="B1637" s="1" t="s">
        <v>636</v>
      </c>
      <c r="C1637" s="1" t="s">
        <v>14</v>
      </c>
      <c r="D1637" s="1">
        <v>1.0</v>
      </c>
      <c r="E1637" s="1">
        <v>19924.0</v>
      </c>
      <c r="F1637" s="10">
        <f t="shared" si="1"/>
        <v>1</v>
      </c>
      <c r="G1637" s="10">
        <f t="array" ref="G1637">index('Player ID'!C:C,match(E1637,'Player ID'!B:B,0))</f>
        <v>663542</v>
      </c>
    </row>
    <row r="1638">
      <c r="A1638" s="76">
        <v>45757.0</v>
      </c>
      <c r="B1638" s="1" t="s">
        <v>744</v>
      </c>
      <c r="C1638" s="1" t="s">
        <v>14</v>
      </c>
      <c r="D1638" s="1">
        <v>0.1</v>
      </c>
      <c r="E1638" s="1">
        <v>20962.0</v>
      </c>
      <c r="F1638" s="10">
        <f t="shared" si="1"/>
        <v>0.3333333333</v>
      </c>
      <c r="G1638" s="10">
        <f t="array" ref="G1638">index('Player ID'!C:C,match(E1638,'Player ID'!B:B,0))</f>
        <v>660730</v>
      </c>
    </row>
    <row r="1639">
      <c r="A1639" s="76">
        <v>45757.0</v>
      </c>
      <c r="B1639" s="1" t="s">
        <v>215</v>
      </c>
      <c r="C1639" s="1" t="s">
        <v>75</v>
      </c>
      <c r="D1639" s="1">
        <v>1.0</v>
      </c>
      <c r="E1639" s="1">
        <v>21267.0</v>
      </c>
      <c r="F1639" s="10">
        <f t="shared" si="1"/>
        <v>1</v>
      </c>
      <c r="G1639" s="10">
        <f t="array" ref="G1639">index('Player ID'!C:C,match(E1639,'Player ID'!B:B,0))</f>
        <v>656234</v>
      </c>
    </row>
    <row r="1640">
      <c r="A1640" s="76">
        <v>45757.0</v>
      </c>
      <c r="B1640" s="1" t="s">
        <v>504</v>
      </c>
      <c r="C1640" s="1" t="s">
        <v>75</v>
      </c>
      <c r="D1640" s="1">
        <v>6.0</v>
      </c>
      <c r="E1640" s="1">
        <v>21446.0</v>
      </c>
      <c r="F1640" s="10">
        <f t="shared" si="1"/>
        <v>6</v>
      </c>
      <c r="G1640" s="10">
        <f t="array" ref="G1640">index('Player ID'!C:C,match(E1640,'Player ID'!B:B,0))</f>
        <v>663372</v>
      </c>
    </row>
    <row r="1641">
      <c r="A1641" s="76">
        <v>45757.0</v>
      </c>
      <c r="B1641" s="1" t="s">
        <v>279</v>
      </c>
      <c r="C1641" s="1" t="s">
        <v>14</v>
      </c>
      <c r="D1641" s="1">
        <v>1.0</v>
      </c>
      <c r="E1641" s="1">
        <v>25327.0</v>
      </c>
      <c r="F1641" s="10">
        <f t="shared" si="1"/>
        <v>1</v>
      </c>
      <c r="G1641" s="10">
        <f t="array" ref="G1641">index('Player ID'!C:C,match(E1641,'Player ID'!B:B,0))</f>
        <v>682842</v>
      </c>
    </row>
    <row r="1642">
      <c r="A1642" s="76">
        <v>45757.0</v>
      </c>
      <c r="B1642" s="1" t="s">
        <v>450</v>
      </c>
      <c r="C1642" s="1" t="s">
        <v>14</v>
      </c>
      <c r="D1642" s="1">
        <v>5.0</v>
      </c>
      <c r="E1642" s="1">
        <v>25977.0</v>
      </c>
      <c r="F1642" s="10">
        <f t="shared" si="1"/>
        <v>5</v>
      </c>
      <c r="G1642" s="10">
        <f t="array" ref="G1642">index('Player ID'!C:C,match(E1642,'Player ID'!B:B,0))</f>
        <v>682990</v>
      </c>
    </row>
    <row r="1643">
      <c r="A1643" s="76">
        <v>45757.0</v>
      </c>
      <c r="B1643" s="1" t="s">
        <v>488</v>
      </c>
      <c r="C1643" s="1" t="s">
        <v>75</v>
      </c>
      <c r="D1643" s="1">
        <v>1.0</v>
      </c>
      <c r="E1643" s="1">
        <v>33294.0</v>
      </c>
      <c r="F1643" s="10">
        <f t="shared" si="1"/>
        <v>1</v>
      </c>
      <c r="G1643" s="10">
        <f t="array" ref="G1643">index('Player ID'!C:C,match(E1643,'Player ID'!B:B,0))</f>
        <v>678020</v>
      </c>
    </row>
    <row r="1644">
      <c r="A1644" s="76">
        <v>45757.0</v>
      </c>
      <c r="B1644" s="1" t="s">
        <v>230</v>
      </c>
      <c r="C1644" s="1" t="s">
        <v>22</v>
      </c>
      <c r="D1644" s="1">
        <v>0.2</v>
      </c>
      <c r="E1644" s="1">
        <v>4301.0</v>
      </c>
      <c r="F1644" s="10">
        <f t="shared" si="1"/>
        <v>0.6666666667</v>
      </c>
      <c r="G1644" s="10">
        <f t="array" ref="G1644">index('Player ID'!C:C,match(E1644,'Player ID'!B:B,0))</f>
        <v>458677</v>
      </c>
    </row>
    <row r="1645">
      <c r="A1645" s="76">
        <v>45757.0</v>
      </c>
      <c r="B1645" s="1" t="s">
        <v>41</v>
      </c>
      <c r="C1645" s="1" t="s">
        <v>22</v>
      </c>
      <c r="D1645" s="1">
        <v>1.0</v>
      </c>
      <c r="E1645" s="1">
        <v>10233.0</v>
      </c>
      <c r="F1645" s="10">
        <f t="shared" si="1"/>
        <v>1</v>
      </c>
      <c r="G1645" s="10">
        <f t="array" ref="G1645">index('Player ID'!C:C,match(E1645,'Player ID'!B:B,0))</f>
        <v>547973</v>
      </c>
    </row>
    <row r="1646">
      <c r="A1646" s="76">
        <v>45757.0</v>
      </c>
      <c r="B1646" s="1" t="s">
        <v>673</v>
      </c>
      <c r="C1646" s="1" t="s">
        <v>40</v>
      </c>
      <c r="D1646" s="1">
        <v>1.2</v>
      </c>
      <c r="E1646" s="1">
        <v>12095.0</v>
      </c>
      <c r="F1646" s="10">
        <f t="shared" si="1"/>
        <v>1.666666667</v>
      </c>
      <c r="G1646" s="10">
        <f t="array" ref="G1646">index('Player ID'!C:C,match(E1646,'Player ID'!B:B,0))</f>
        <v>554340</v>
      </c>
    </row>
    <row r="1647">
      <c r="A1647" s="76">
        <v>45757.0</v>
      </c>
      <c r="B1647" s="1" t="s">
        <v>456</v>
      </c>
      <c r="C1647" s="1" t="s">
        <v>40</v>
      </c>
      <c r="D1647" s="1">
        <v>5.2</v>
      </c>
      <c r="E1647" s="1">
        <v>12304.0</v>
      </c>
      <c r="F1647" s="10">
        <f t="shared" si="1"/>
        <v>5.666666667</v>
      </c>
      <c r="G1647" s="10">
        <f t="array" ref="G1647">index('Player ID'!C:C,match(E1647,'Player ID'!B:B,0))</f>
        <v>605135</v>
      </c>
    </row>
    <row r="1648">
      <c r="A1648" s="76">
        <v>45757.0</v>
      </c>
      <c r="B1648" s="1" t="s">
        <v>174</v>
      </c>
      <c r="C1648" s="1" t="s">
        <v>40</v>
      </c>
      <c r="D1648" s="1">
        <v>1.1</v>
      </c>
      <c r="E1648" s="1">
        <v>15552.0</v>
      </c>
      <c r="F1648" s="10">
        <f t="shared" si="1"/>
        <v>1.333333333</v>
      </c>
      <c r="G1648" s="10">
        <f t="array" ref="G1648">index('Player ID'!C:C,match(E1648,'Player ID'!B:B,0))</f>
        <v>643338</v>
      </c>
    </row>
    <row r="1649">
      <c r="A1649" s="76">
        <v>45757.0</v>
      </c>
      <c r="B1649" s="1" t="s">
        <v>493</v>
      </c>
      <c r="C1649" s="1" t="s">
        <v>22</v>
      </c>
      <c r="D1649" s="1">
        <v>1.0</v>
      </c>
      <c r="E1649" s="1">
        <v>16835.0</v>
      </c>
      <c r="F1649" s="10">
        <f t="shared" si="1"/>
        <v>1</v>
      </c>
      <c r="G1649" s="10">
        <f t="array" ref="G1649">index('Player ID'!C:C,match(E1649,'Player ID'!B:B,0))</f>
        <v>657514</v>
      </c>
    </row>
    <row r="1650">
      <c r="A1650" s="76">
        <v>45757.0</v>
      </c>
      <c r="B1650" s="1" t="s">
        <v>405</v>
      </c>
      <c r="C1650" s="1" t="s">
        <v>22</v>
      </c>
      <c r="D1650" s="1">
        <v>6.1</v>
      </c>
      <c r="E1650" s="1">
        <v>19374.0</v>
      </c>
      <c r="F1650" s="10">
        <f t="shared" si="1"/>
        <v>6.333333333</v>
      </c>
      <c r="G1650" s="10">
        <f t="array" ref="G1650">index('Player ID'!C:C,match(E1650,'Player ID'!B:B,0))</f>
        <v>621111</v>
      </c>
    </row>
    <row r="1651">
      <c r="A1651" s="76">
        <v>45757.0</v>
      </c>
      <c r="B1651" s="1" t="s">
        <v>250</v>
      </c>
      <c r="C1651" s="1" t="s">
        <v>22</v>
      </c>
      <c r="D1651" s="1">
        <v>1.0</v>
      </c>
      <c r="E1651" s="1">
        <v>20191.0</v>
      </c>
      <c r="F1651" s="10">
        <f t="shared" si="1"/>
        <v>1</v>
      </c>
      <c r="G1651" s="10">
        <f t="array" ref="G1651">index('Player ID'!C:C,match(E1651,'Player ID'!B:B,0))</f>
        <v>676477</v>
      </c>
    </row>
    <row r="1652">
      <c r="A1652" s="76">
        <v>45757.0</v>
      </c>
      <c r="B1652" s="1" t="s">
        <v>641</v>
      </c>
      <c r="C1652" s="1" t="s">
        <v>40</v>
      </c>
      <c r="D1652" s="1">
        <v>0.2</v>
      </c>
      <c r="E1652" s="1">
        <v>20517.0</v>
      </c>
      <c r="F1652" s="10">
        <f t="shared" si="1"/>
        <v>0.6666666667</v>
      </c>
      <c r="G1652" s="10">
        <f t="array" ref="G1652">index('Player ID'!C:C,match(E1652,'Player ID'!B:B,0))</f>
        <v>680704</v>
      </c>
    </row>
    <row r="1653">
      <c r="A1653" s="76">
        <v>45757.0</v>
      </c>
      <c r="B1653" s="1" t="s">
        <v>395</v>
      </c>
      <c r="C1653" s="1" t="s">
        <v>40</v>
      </c>
      <c r="D1653" s="1">
        <v>0.1</v>
      </c>
      <c r="E1653" s="1">
        <v>21574.0</v>
      </c>
      <c r="F1653" s="10">
        <f t="shared" si="1"/>
        <v>0.3333333333</v>
      </c>
      <c r="G1653" s="10">
        <f t="array" ref="G1653">index('Player ID'!C:C,match(E1653,'Player ID'!B:B,0))</f>
        <v>663893</v>
      </c>
    </row>
    <row r="1654">
      <c r="A1654" s="76">
        <v>45757.0</v>
      </c>
      <c r="B1654" s="1" t="s">
        <v>326</v>
      </c>
      <c r="C1654" s="1" t="s">
        <v>46</v>
      </c>
      <c r="D1654" s="1">
        <v>1.0</v>
      </c>
      <c r="E1654" s="1">
        <v>12760.0</v>
      </c>
      <c r="F1654" s="10">
        <f t="shared" si="1"/>
        <v>1</v>
      </c>
      <c r="G1654" s="10">
        <f t="array" ref="G1654">index('Player ID'!C:C,match(E1654,'Player ID'!B:B,0))</f>
        <v>606160</v>
      </c>
    </row>
    <row r="1655">
      <c r="A1655" s="76">
        <v>45757.0</v>
      </c>
      <c r="B1655" s="1" t="s">
        <v>360</v>
      </c>
      <c r="C1655" s="1" t="s">
        <v>45</v>
      </c>
      <c r="D1655" s="1">
        <v>0.0</v>
      </c>
      <c r="E1655" s="1">
        <v>12972.0</v>
      </c>
      <c r="F1655" s="10">
        <f t="shared" si="1"/>
        <v>0</v>
      </c>
      <c r="G1655" s="10">
        <f t="array" ref="G1655">index('Player ID'!C:C,match(E1655,'Player ID'!B:B,0))</f>
        <v>605452</v>
      </c>
    </row>
    <row r="1656">
      <c r="A1656" s="76">
        <v>45757.0</v>
      </c>
      <c r="B1656" s="1" t="s">
        <v>182</v>
      </c>
      <c r="C1656" s="1" t="s">
        <v>45</v>
      </c>
      <c r="D1656" s="1">
        <v>1.0</v>
      </c>
      <c r="E1656" s="1">
        <v>13799.0</v>
      </c>
      <c r="F1656" s="10">
        <f t="shared" si="1"/>
        <v>1</v>
      </c>
      <c r="G1656" s="10">
        <f t="array" ref="G1656">index('Player ID'!C:C,match(E1656,'Player ID'!B:B,0))</f>
        <v>621381</v>
      </c>
    </row>
    <row r="1657">
      <c r="A1657" s="76">
        <v>45757.0</v>
      </c>
      <c r="B1657" s="1" t="s">
        <v>208</v>
      </c>
      <c r="C1657" s="1" t="s">
        <v>45</v>
      </c>
      <c r="D1657" s="1">
        <v>1.0</v>
      </c>
      <c r="E1657" s="1">
        <v>16122.0</v>
      </c>
      <c r="F1657" s="10">
        <f t="shared" si="1"/>
        <v>1</v>
      </c>
      <c r="G1657" s="10">
        <f t="array" ref="G1657">index('Player ID'!C:C,match(E1657,'Player ID'!B:B,0))</f>
        <v>605447</v>
      </c>
    </row>
    <row r="1658">
      <c r="A1658" s="76">
        <v>45757.0</v>
      </c>
      <c r="B1658" s="1" t="s">
        <v>319</v>
      </c>
      <c r="C1658" s="1" t="s">
        <v>46</v>
      </c>
      <c r="D1658" s="1">
        <v>1.0</v>
      </c>
      <c r="E1658" s="1">
        <v>16258.0</v>
      </c>
      <c r="F1658" s="10">
        <f t="shared" si="1"/>
        <v>1</v>
      </c>
      <c r="G1658" s="10">
        <f t="array" ref="G1658">index('Player ID'!C:C,match(E1658,'Player ID'!B:B,0))</f>
        <v>607481</v>
      </c>
    </row>
    <row r="1659">
      <c r="A1659" s="76">
        <v>45757.0</v>
      </c>
      <c r="B1659" s="1" t="s">
        <v>138</v>
      </c>
      <c r="C1659" s="1" t="s">
        <v>45</v>
      </c>
      <c r="D1659" s="1">
        <v>1.0</v>
      </c>
      <c r="E1659" s="1">
        <v>16990.0</v>
      </c>
      <c r="F1659" s="10">
        <f t="shared" si="1"/>
        <v>1</v>
      </c>
      <c r="G1659" s="10">
        <f t="array" ref="G1659">index('Player ID'!C:C,match(E1659,'Player ID'!B:B,0))</f>
        <v>621383</v>
      </c>
    </row>
    <row r="1660">
      <c r="A1660" s="76">
        <v>45757.0</v>
      </c>
      <c r="B1660" s="1" t="s">
        <v>184</v>
      </c>
      <c r="C1660" s="1" t="s">
        <v>46</v>
      </c>
      <c r="D1660" s="1">
        <v>1.0</v>
      </c>
      <c r="E1660" s="1">
        <v>17130.0</v>
      </c>
      <c r="F1660" s="10">
        <f t="shared" si="1"/>
        <v>1</v>
      </c>
      <c r="G1660" s="10">
        <f t="array" ref="G1660">index('Player ID'!C:C,match(E1660,'Player ID'!B:B,0))</f>
        <v>628452</v>
      </c>
    </row>
    <row r="1661">
      <c r="A1661" s="76">
        <v>45757.0</v>
      </c>
      <c r="B1661" s="1" t="s">
        <v>346</v>
      </c>
      <c r="C1661" s="1" t="s">
        <v>46</v>
      </c>
      <c r="D1661" s="1">
        <v>1.0</v>
      </c>
      <c r="E1661" s="1">
        <v>18403.0</v>
      </c>
      <c r="F1661" s="10">
        <f t="shared" si="1"/>
        <v>1</v>
      </c>
      <c r="G1661" s="10">
        <f t="array" ref="G1661">index('Player ID'!C:C,match(E1661,'Player ID'!B:B,0))</f>
        <v>660853</v>
      </c>
    </row>
    <row r="1662">
      <c r="A1662" s="76">
        <v>45757.0</v>
      </c>
      <c r="B1662" s="1" t="s">
        <v>737</v>
      </c>
      <c r="C1662" s="1" t="s">
        <v>46</v>
      </c>
      <c r="D1662" s="1">
        <v>1.0</v>
      </c>
      <c r="E1662" s="1">
        <v>19911.0</v>
      </c>
      <c r="F1662" s="10">
        <f t="shared" si="1"/>
        <v>1</v>
      </c>
      <c r="G1662" s="10">
        <f t="array" ref="G1662">index('Player ID'!C:C,match(E1662,'Player ID'!B:B,0))</f>
        <v>660761</v>
      </c>
    </row>
    <row r="1663">
      <c r="A1663" s="76">
        <v>45757.0</v>
      </c>
      <c r="B1663" s="1" t="s">
        <v>700</v>
      </c>
      <c r="C1663" s="1" t="s">
        <v>45</v>
      </c>
      <c r="D1663" s="1">
        <v>6.0</v>
      </c>
      <c r="E1663" s="1">
        <v>19959.0</v>
      </c>
      <c r="F1663" s="10">
        <f t="shared" si="1"/>
        <v>6</v>
      </c>
      <c r="G1663" s="10">
        <f t="array" ref="G1663">index('Player ID'!C:C,match(E1663,'Player ID'!B:B,0))</f>
        <v>666200</v>
      </c>
    </row>
    <row r="1664">
      <c r="A1664" s="76">
        <v>45757.0</v>
      </c>
      <c r="B1664" s="1" t="s">
        <v>701</v>
      </c>
      <c r="C1664" s="1" t="s">
        <v>45</v>
      </c>
      <c r="D1664" s="1">
        <v>1.0</v>
      </c>
      <c r="E1664" s="1">
        <v>22713.0</v>
      </c>
      <c r="F1664" s="10">
        <f t="shared" si="1"/>
        <v>1</v>
      </c>
      <c r="G1664" s="10">
        <f t="array" ref="G1664">index('Player ID'!C:C,match(E1664,'Player ID'!B:B,0))</f>
        <v>672578</v>
      </c>
    </row>
    <row r="1665">
      <c r="A1665" s="76">
        <v>45757.0</v>
      </c>
      <c r="B1665" s="1" t="s">
        <v>65</v>
      </c>
      <c r="C1665" s="1" t="s">
        <v>46</v>
      </c>
      <c r="D1665" s="1">
        <v>6.0</v>
      </c>
      <c r="E1665" s="1">
        <v>31846.0</v>
      </c>
      <c r="F1665" s="10">
        <f t="shared" si="1"/>
        <v>6</v>
      </c>
      <c r="G1665" s="10">
        <f t="array" ref="G1665">index('Player ID'!C:C,match(E1665,'Player ID'!B:B,0))</f>
        <v>680885</v>
      </c>
    </row>
    <row r="1666">
      <c r="A1666" s="76">
        <v>45758.0</v>
      </c>
      <c r="B1666" s="1" t="s">
        <v>726</v>
      </c>
      <c r="C1666" s="1" t="s">
        <v>29</v>
      </c>
      <c r="D1666" s="1">
        <v>1.0</v>
      </c>
      <c r="E1666" s="1">
        <v>13761.0</v>
      </c>
      <c r="F1666" s="10">
        <f t="shared" si="1"/>
        <v>1</v>
      </c>
      <c r="G1666" s="10">
        <f t="array" ref="G1666">index('Player ID'!C:C,match(E1666,'Player ID'!B:B,0))</f>
        <v>608717</v>
      </c>
    </row>
    <row r="1667">
      <c r="A1667" s="76">
        <v>45758.0</v>
      </c>
      <c r="B1667" s="1" t="s">
        <v>765</v>
      </c>
      <c r="C1667" s="1" t="s">
        <v>70</v>
      </c>
      <c r="D1667" s="1">
        <v>1.0</v>
      </c>
      <c r="E1667" s="1">
        <v>18000.0</v>
      </c>
      <c r="F1667" s="10">
        <f t="shared" si="1"/>
        <v>1</v>
      </c>
      <c r="G1667" s="10">
        <f t="array" ref="G1667">index('Player ID'!C:C,match(E1667,'Player ID'!B:B,0))</f>
        <v>663474</v>
      </c>
    </row>
    <row r="1668">
      <c r="A1668" s="76">
        <v>45758.0</v>
      </c>
      <c r="B1668" s="1" t="s">
        <v>163</v>
      </c>
      <c r="C1668" s="1" t="s">
        <v>29</v>
      </c>
      <c r="D1668" s="1">
        <v>6.0</v>
      </c>
      <c r="E1668" s="1">
        <v>21455.0</v>
      </c>
      <c r="F1668" s="10">
        <f t="shared" si="1"/>
        <v>6</v>
      </c>
      <c r="G1668" s="10">
        <f t="array" ref="G1668">index('Player ID'!C:C,match(E1668,'Player ID'!B:B,0))</f>
        <v>663460</v>
      </c>
    </row>
    <row r="1669">
      <c r="A1669" s="76">
        <v>45758.0</v>
      </c>
      <c r="B1669" s="1" t="s">
        <v>214</v>
      </c>
      <c r="C1669" s="1" t="s">
        <v>29</v>
      </c>
      <c r="D1669" s="1">
        <v>1.0</v>
      </c>
      <c r="E1669" s="1">
        <v>23165.0</v>
      </c>
      <c r="F1669" s="10">
        <f t="shared" si="1"/>
        <v>1</v>
      </c>
      <c r="G1669" s="10">
        <f t="array" ref="G1669">index('Player ID'!C:C,match(E1669,'Player ID'!B:B,0))</f>
        <v>674444</v>
      </c>
    </row>
    <row r="1670">
      <c r="A1670" s="76">
        <v>45758.0</v>
      </c>
      <c r="B1670" s="1" t="s">
        <v>519</v>
      </c>
      <c r="C1670" s="1" t="s">
        <v>70</v>
      </c>
      <c r="D1670" s="1">
        <v>1.1</v>
      </c>
      <c r="E1670" s="1">
        <v>25139.0</v>
      </c>
      <c r="F1670" s="10">
        <f t="shared" si="1"/>
        <v>1.333333333</v>
      </c>
      <c r="G1670" s="10">
        <f t="array" ref="G1670">index('Player ID'!C:C,match(E1670,'Player ID'!B:B,0))</f>
        <v>682120</v>
      </c>
    </row>
    <row r="1671">
      <c r="A1671" s="76">
        <v>45758.0</v>
      </c>
      <c r="B1671" s="1" t="s">
        <v>238</v>
      </c>
      <c r="C1671" s="1" t="s">
        <v>70</v>
      </c>
      <c r="D1671" s="1">
        <v>1.0</v>
      </c>
      <c r="E1671" s="1">
        <v>25636.0</v>
      </c>
      <c r="F1671" s="10">
        <f t="shared" si="1"/>
        <v>1</v>
      </c>
      <c r="G1671" s="10">
        <f t="array" ref="G1671">index('Player ID'!C:C,match(E1671,'Player ID'!B:B,0))</f>
        <v>683769</v>
      </c>
    </row>
    <row r="1672">
      <c r="A1672" s="76">
        <v>45758.0</v>
      </c>
      <c r="B1672" s="1" t="s">
        <v>135</v>
      </c>
      <c r="C1672" s="1" t="s">
        <v>70</v>
      </c>
      <c r="D1672" s="1">
        <v>1.0</v>
      </c>
      <c r="E1672" s="1">
        <v>27867.0</v>
      </c>
      <c r="F1672" s="10">
        <f t="shared" si="1"/>
        <v>1</v>
      </c>
      <c r="G1672" s="10">
        <f t="array" ref="G1672">index('Player ID'!C:C,match(E1672,'Player ID'!B:B,0))</f>
        <v>671922</v>
      </c>
    </row>
    <row r="1673">
      <c r="A1673" s="76">
        <v>45758.0</v>
      </c>
      <c r="B1673" s="1" t="s">
        <v>308</v>
      </c>
      <c r="C1673" s="1" t="s">
        <v>70</v>
      </c>
      <c r="D1673" s="1">
        <v>4.2</v>
      </c>
      <c r="E1673" s="1">
        <v>30134.0</v>
      </c>
      <c r="F1673" s="10">
        <f t="shared" si="1"/>
        <v>4.666666667</v>
      </c>
      <c r="G1673" s="10">
        <f t="array" ref="G1673">index('Player ID'!C:C,match(E1673,'Player ID'!B:B,0))</f>
        <v>676440</v>
      </c>
    </row>
    <row r="1674">
      <c r="A1674" s="76">
        <v>45758.0</v>
      </c>
      <c r="B1674" s="1" t="s">
        <v>362</v>
      </c>
      <c r="C1674" s="1" t="s">
        <v>66</v>
      </c>
      <c r="D1674" s="1">
        <v>1.0</v>
      </c>
      <c r="E1674" s="1">
        <v>13449.0</v>
      </c>
      <c r="F1674" s="10">
        <f t="shared" si="1"/>
        <v>1</v>
      </c>
      <c r="G1674" s="10">
        <f t="array" ref="G1674">index('Player ID'!C:C,match(E1674,'Player ID'!B:B,0))</f>
        <v>573124</v>
      </c>
    </row>
    <row r="1675">
      <c r="A1675" s="76">
        <v>45758.0</v>
      </c>
      <c r="B1675" s="1" t="s">
        <v>651</v>
      </c>
      <c r="C1675" s="1" t="s">
        <v>66</v>
      </c>
      <c r="D1675" s="1">
        <v>1.0</v>
      </c>
      <c r="E1675" s="1">
        <v>14771.0</v>
      </c>
      <c r="F1675" s="10">
        <f t="shared" si="1"/>
        <v>1</v>
      </c>
      <c r="G1675" s="10">
        <f t="array" ref="G1675">index('Player ID'!C:C,match(E1675,'Player ID'!B:B,0))</f>
        <v>641941</v>
      </c>
    </row>
    <row r="1676">
      <c r="A1676" s="76">
        <v>45758.0</v>
      </c>
      <c r="B1676" s="1" t="s">
        <v>384</v>
      </c>
      <c r="C1676" s="1" t="s">
        <v>60</v>
      </c>
      <c r="D1676" s="1">
        <v>1.2</v>
      </c>
      <c r="E1676" s="1">
        <v>19962.0</v>
      </c>
      <c r="F1676" s="10">
        <f t="shared" si="1"/>
        <v>1.666666667</v>
      </c>
      <c r="G1676" s="10">
        <f t="array" ref="G1676">index('Player ID'!C:C,match(E1676,'Player ID'!B:B,0))</f>
        <v>666214</v>
      </c>
    </row>
    <row r="1677">
      <c r="A1677" s="76">
        <v>45758.0</v>
      </c>
      <c r="B1677" s="1" t="s">
        <v>220</v>
      </c>
      <c r="C1677" s="1" t="s">
        <v>60</v>
      </c>
      <c r="D1677" s="1">
        <v>5.0</v>
      </c>
      <c r="E1677" s="1">
        <v>20070.0</v>
      </c>
      <c r="F1677" s="10">
        <f t="shared" si="1"/>
        <v>5</v>
      </c>
      <c r="G1677" s="10">
        <f t="array" ref="G1677">index('Player ID'!C:C,match(E1677,'Player ID'!B:B,0))</f>
        <v>663559</v>
      </c>
    </row>
    <row r="1678">
      <c r="A1678" s="76">
        <v>45758.0</v>
      </c>
      <c r="B1678" s="1" t="s">
        <v>463</v>
      </c>
      <c r="C1678" s="1" t="s">
        <v>60</v>
      </c>
      <c r="D1678" s="1">
        <v>1.1</v>
      </c>
      <c r="E1678" s="1">
        <v>21544.0</v>
      </c>
      <c r="F1678" s="10">
        <f t="shared" si="1"/>
        <v>1.333333333</v>
      </c>
      <c r="G1678" s="10">
        <f t="array" ref="G1678">index('Player ID'!C:C,match(E1678,'Player ID'!B:B,0))</f>
        <v>663767</v>
      </c>
    </row>
    <row r="1679">
      <c r="A1679" s="76">
        <v>45758.0</v>
      </c>
      <c r="B1679" s="1" t="s">
        <v>353</v>
      </c>
      <c r="C1679" s="1" t="s">
        <v>66</v>
      </c>
      <c r="D1679" s="1">
        <v>5.0</v>
      </c>
      <c r="E1679" s="1">
        <v>25377.0</v>
      </c>
      <c r="F1679" s="10">
        <f t="shared" si="1"/>
        <v>5</v>
      </c>
      <c r="G1679" s="10">
        <f t="array" ref="G1679">index('Player ID'!C:C,match(E1679,'Player ID'!B:B,0))</f>
        <v>663903</v>
      </c>
    </row>
    <row r="1680">
      <c r="A1680" s="76">
        <v>45758.0</v>
      </c>
      <c r="B1680" s="1" t="s">
        <v>211</v>
      </c>
      <c r="C1680" s="1" t="s">
        <v>66</v>
      </c>
      <c r="D1680" s="1">
        <v>2.0</v>
      </c>
      <c r="E1680" s="1">
        <v>27552.0</v>
      </c>
      <c r="F1680" s="10">
        <f t="shared" si="1"/>
        <v>2</v>
      </c>
      <c r="G1680" s="10">
        <f t="array" ref="G1680">index('Player ID'!C:C,match(E1680,'Player ID'!B:B,0))</f>
        <v>668933</v>
      </c>
    </row>
    <row r="1681">
      <c r="A1681" s="76">
        <v>45758.0</v>
      </c>
      <c r="B1681" s="1" t="s">
        <v>178</v>
      </c>
      <c r="C1681" s="1" t="s">
        <v>46</v>
      </c>
      <c r="D1681" s="1">
        <v>0.2</v>
      </c>
      <c r="E1681" s="1">
        <v>13435.0</v>
      </c>
      <c r="F1681" s="10">
        <f t="shared" si="1"/>
        <v>0.6666666667</v>
      </c>
      <c r="G1681" s="10">
        <f t="array" ref="G1681">index('Player ID'!C:C,match(E1681,'Player ID'!B:B,0))</f>
        <v>572955</v>
      </c>
    </row>
    <row r="1682">
      <c r="A1682" s="76">
        <v>45758.0</v>
      </c>
      <c r="B1682" s="1" t="s">
        <v>731</v>
      </c>
      <c r="C1682" s="1" t="s">
        <v>46</v>
      </c>
      <c r="D1682" s="1">
        <v>1.1</v>
      </c>
      <c r="E1682" s="1">
        <v>16094.0</v>
      </c>
      <c r="F1682" s="10">
        <f t="shared" si="1"/>
        <v>1.333333333</v>
      </c>
      <c r="G1682" s="10">
        <f t="array" ref="G1682">index('Player ID'!C:C,match(E1682,'Player ID'!B:B,0))</f>
        <v>605507</v>
      </c>
    </row>
    <row r="1683">
      <c r="A1683" s="76">
        <v>45758.0</v>
      </c>
      <c r="B1683" s="1" t="s">
        <v>261</v>
      </c>
      <c r="C1683" s="1" t="s">
        <v>54</v>
      </c>
      <c r="D1683" s="1">
        <v>1.0</v>
      </c>
      <c r="E1683" s="1">
        <v>17998.0</v>
      </c>
      <c r="F1683" s="10">
        <f t="shared" si="1"/>
        <v>1</v>
      </c>
      <c r="G1683" s="10">
        <f t="array" ref="G1683">index('Player ID'!C:C,match(E1683,'Player ID'!B:B,0))</f>
        <v>664126</v>
      </c>
    </row>
    <row r="1684">
      <c r="A1684" s="76">
        <v>45758.0</v>
      </c>
      <c r="B1684" s="1" t="s">
        <v>400</v>
      </c>
      <c r="C1684" s="1" t="s">
        <v>54</v>
      </c>
      <c r="D1684" s="1">
        <v>1.0</v>
      </c>
      <c r="E1684" s="1">
        <v>20539.0</v>
      </c>
      <c r="F1684" s="10">
        <f t="shared" si="1"/>
        <v>1</v>
      </c>
      <c r="G1684" s="10">
        <f t="array" ref="G1684">index('Player ID'!C:C,match(E1684,'Player ID'!B:B,0))</f>
        <v>670955</v>
      </c>
    </row>
    <row r="1685">
      <c r="A1685" s="76">
        <v>45758.0</v>
      </c>
      <c r="B1685" s="1" t="s">
        <v>413</v>
      </c>
      <c r="C1685" s="1" t="s">
        <v>54</v>
      </c>
      <c r="D1685" s="1">
        <v>6.0</v>
      </c>
      <c r="E1685" s="1">
        <v>22543.0</v>
      </c>
      <c r="F1685" s="10">
        <f t="shared" si="1"/>
        <v>6</v>
      </c>
      <c r="G1685" s="10">
        <f t="array" ref="G1685">index('Player ID'!C:C,match(E1685,'Player ID'!B:B,0))</f>
        <v>671737</v>
      </c>
    </row>
    <row r="1686">
      <c r="A1686" s="76">
        <v>45758.0</v>
      </c>
      <c r="B1686" s="1" t="s">
        <v>275</v>
      </c>
      <c r="C1686" s="1" t="s">
        <v>46</v>
      </c>
      <c r="D1686" s="1">
        <v>6.0</v>
      </c>
      <c r="E1686" s="1">
        <v>27779.0</v>
      </c>
      <c r="F1686" s="10">
        <f t="shared" si="1"/>
        <v>6</v>
      </c>
      <c r="G1686" s="10">
        <f t="array" ref="G1686">index('Player ID'!C:C,match(E1686,'Player ID'!B:B,0))</f>
        <v>693821</v>
      </c>
    </row>
    <row r="1687">
      <c r="A1687" s="76">
        <v>45758.0</v>
      </c>
      <c r="B1687" s="1" t="s">
        <v>334</v>
      </c>
      <c r="C1687" s="1" t="s">
        <v>54</v>
      </c>
      <c r="D1687" s="1">
        <v>1.0</v>
      </c>
      <c r="E1687" s="1">
        <v>29770.0</v>
      </c>
      <c r="F1687" s="10">
        <f t="shared" si="1"/>
        <v>1</v>
      </c>
      <c r="G1687" s="10">
        <f t="array" ref="G1687">index('Player ID'!C:C,match(E1687,'Player ID'!B:B,0))</f>
        <v>682254</v>
      </c>
    </row>
    <row r="1688">
      <c r="A1688" s="76">
        <v>45758.0</v>
      </c>
      <c r="B1688" s="1" t="s">
        <v>303</v>
      </c>
      <c r="C1688" s="1" t="s">
        <v>31</v>
      </c>
      <c r="D1688" s="1">
        <v>4.0</v>
      </c>
      <c r="E1688" s="1">
        <v>11486.0</v>
      </c>
      <c r="F1688" s="10">
        <f t="shared" si="1"/>
        <v>4</v>
      </c>
      <c r="G1688" s="10">
        <f t="array" ref="G1688">index('Player ID'!C:C,match(E1688,'Player ID'!B:B,0))</f>
        <v>592662</v>
      </c>
    </row>
    <row r="1689">
      <c r="A1689" s="76">
        <v>45758.0</v>
      </c>
      <c r="B1689" s="1" t="s">
        <v>383</v>
      </c>
      <c r="C1689" s="1" t="s">
        <v>58</v>
      </c>
      <c r="D1689" s="1">
        <v>0.2</v>
      </c>
      <c r="E1689" s="1">
        <v>13431.0</v>
      </c>
      <c r="F1689" s="10">
        <f t="shared" si="1"/>
        <v>0.6666666667</v>
      </c>
      <c r="G1689" s="10">
        <f t="array" ref="G1689">index('Player ID'!C:C,match(E1689,'Player ID'!B:B,0))</f>
        <v>573186</v>
      </c>
    </row>
    <row r="1690">
      <c r="A1690" s="76">
        <v>45758.0</v>
      </c>
      <c r="B1690" s="1" t="s">
        <v>192</v>
      </c>
      <c r="C1690" s="1" t="s">
        <v>58</v>
      </c>
      <c r="D1690" s="1">
        <v>2.2</v>
      </c>
      <c r="E1690" s="1">
        <v>16502.0</v>
      </c>
      <c r="F1690" s="10">
        <f t="shared" si="1"/>
        <v>2.666666667</v>
      </c>
      <c r="G1690" s="10">
        <f t="array" ref="G1690">index('Player ID'!C:C,match(E1690,'Player ID'!B:B,0))</f>
        <v>642232</v>
      </c>
    </row>
    <row r="1691">
      <c r="A1691" s="76">
        <v>45758.0</v>
      </c>
      <c r="B1691" s="1" t="s">
        <v>69</v>
      </c>
      <c r="C1691" s="1" t="s">
        <v>58</v>
      </c>
      <c r="D1691" s="1">
        <v>0.2</v>
      </c>
      <c r="E1691" s="1">
        <v>16814.0</v>
      </c>
      <c r="F1691" s="10">
        <f t="shared" si="1"/>
        <v>0.6666666667</v>
      </c>
      <c r="G1691" s="10">
        <f t="array" ref="G1691">index('Player ID'!C:C,match(E1691,'Player ID'!B:B,0))</f>
        <v>657612</v>
      </c>
    </row>
    <row r="1692">
      <c r="A1692" s="76">
        <v>45758.0</v>
      </c>
      <c r="B1692" s="1" t="s">
        <v>520</v>
      </c>
      <c r="C1692" s="1" t="s">
        <v>58</v>
      </c>
      <c r="D1692" s="1">
        <v>1.0</v>
      </c>
      <c r="E1692" s="1">
        <v>19261.0</v>
      </c>
      <c r="F1692" s="10">
        <f t="shared" si="1"/>
        <v>1</v>
      </c>
      <c r="G1692" s="10">
        <f t="array" ref="G1692">index('Player ID'!C:C,match(E1692,'Player ID'!B:B,0))</f>
        <v>641656</v>
      </c>
    </row>
    <row r="1693">
      <c r="A1693" s="76">
        <v>45758.0</v>
      </c>
      <c r="B1693" s="1" t="s">
        <v>691</v>
      </c>
      <c r="C1693" s="1" t="s">
        <v>58</v>
      </c>
      <c r="D1693" s="1">
        <v>0.2</v>
      </c>
      <c r="E1693" s="1">
        <v>22872.0</v>
      </c>
      <c r="F1693" s="10">
        <f t="shared" si="1"/>
        <v>0.6666666667</v>
      </c>
      <c r="G1693" s="10">
        <f t="array" ref="G1693">index('Player ID'!C:C,match(E1693,'Player ID'!B:B,0))</f>
        <v>672782</v>
      </c>
    </row>
    <row r="1694">
      <c r="A1694" s="76">
        <v>45758.0</v>
      </c>
      <c r="B1694" s="1" t="s">
        <v>276</v>
      </c>
      <c r="C1694" s="1" t="s">
        <v>31</v>
      </c>
      <c r="D1694" s="1">
        <v>1.0</v>
      </c>
      <c r="E1694" s="1">
        <v>30226.0</v>
      </c>
      <c r="F1694" s="10">
        <f t="shared" si="1"/>
        <v>1</v>
      </c>
      <c r="G1694" s="10">
        <f t="array" ref="G1694">index('Player ID'!C:C,match(E1694,'Player ID'!B:B,0))</f>
        <v>702352</v>
      </c>
    </row>
    <row r="1695">
      <c r="A1695" s="76">
        <v>45758.0</v>
      </c>
      <c r="B1695" s="1" t="s">
        <v>642</v>
      </c>
      <c r="C1695" s="1" t="s">
        <v>80</v>
      </c>
      <c r="D1695" s="1">
        <v>1.0</v>
      </c>
      <c r="E1695" s="1">
        <v>13470.0</v>
      </c>
      <c r="F1695" s="10">
        <f t="shared" si="1"/>
        <v>1</v>
      </c>
      <c r="G1695" s="10">
        <f t="array" ref="G1695">index('Player ID'!C:C,match(E1695,'Player ID'!B:B,0))</f>
        <v>608371</v>
      </c>
    </row>
    <row r="1696">
      <c r="A1696" s="76">
        <v>45758.0</v>
      </c>
      <c r="B1696" s="1" t="s">
        <v>139</v>
      </c>
      <c r="C1696" s="1" t="s">
        <v>80</v>
      </c>
      <c r="D1696" s="1">
        <v>1.0</v>
      </c>
      <c r="E1696" s="1">
        <v>15009.0</v>
      </c>
      <c r="F1696" s="10">
        <f t="shared" si="1"/>
        <v>1</v>
      </c>
      <c r="G1696" s="10">
        <f t="array" ref="G1696">index('Player ID'!C:C,match(E1696,'Player ID'!B:B,0))</f>
        <v>640448</v>
      </c>
    </row>
    <row r="1697">
      <c r="A1697" s="76">
        <v>45758.0</v>
      </c>
      <c r="B1697" s="1" t="s">
        <v>241</v>
      </c>
      <c r="C1697" s="1" t="s">
        <v>36</v>
      </c>
      <c r="D1697" s="1">
        <v>1.0</v>
      </c>
      <c r="E1697" s="1">
        <v>19222.0</v>
      </c>
      <c r="F1697" s="10">
        <f t="shared" si="1"/>
        <v>1</v>
      </c>
      <c r="G1697" s="10">
        <f t="array" ref="G1697">index('Player ID'!C:C,match(E1697,'Player ID'!B:B,0))</f>
        <v>669199</v>
      </c>
    </row>
    <row r="1698">
      <c r="A1698" s="76">
        <v>45758.0</v>
      </c>
      <c r="B1698" s="1" t="s">
        <v>89</v>
      </c>
      <c r="C1698" s="1" t="s">
        <v>36</v>
      </c>
      <c r="D1698" s="1">
        <v>1.0</v>
      </c>
      <c r="E1698" s="1">
        <v>19742.0</v>
      </c>
      <c r="F1698" s="10">
        <f t="shared" si="1"/>
        <v>1</v>
      </c>
      <c r="G1698" s="10">
        <f t="array" ref="G1698">index('Player ID'!C:C,match(E1698,'Player ID'!B:B,0))</f>
        <v>669622</v>
      </c>
    </row>
    <row r="1699">
      <c r="A1699" s="76">
        <v>45758.0</v>
      </c>
      <c r="B1699" s="1" t="s">
        <v>171</v>
      </c>
      <c r="C1699" s="1" t="s">
        <v>36</v>
      </c>
      <c r="D1699" s="1">
        <v>5.2</v>
      </c>
      <c r="E1699" s="1">
        <v>21690.0</v>
      </c>
      <c r="F1699" s="10">
        <f t="shared" si="1"/>
        <v>5.666666667</v>
      </c>
      <c r="G1699" s="10">
        <f t="array" ref="G1699">index('Player ID'!C:C,match(E1699,'Player ID'!B:B,0))</f>
        <v>665795</v>
      </c>
    </row>
    <row r="1700">
      <c r="A1700" s="76">
        <v>45758.0</v>
      </c>
      <c r="B1700" s="1" t="s">
        <v>754</v>
      </c>
      <c r="C1700" s="1" t="s">
        <v>36</v>
      </c>
      <c r="D1700" s="1">
        <v>1.0</v>
      </c>
      <c r="E1700" s="1">
        <v>23811.0</v>
      </c>
      <c r="F1700" s="10">
        <f t="shared" si="1"/>
        <v>1</v>
      </c>
      <c r="G1700" s="10">
        <f t="array" ref="G1700">index('Player ID'!C:C,match(E1700,'Player ID'!B:B,0))</f>
        <v>678215</v>
      </c>
    </row>
    <row r="1701">
      <c r="A1701" s="76">
        <v>45758.0</v>
      </c>
      <c r="B1701" s="1" t="s">
        <v>86</v>
      </c>
      <c r="C1701" s="1" t="s">
        <v>80</v>
      </c>
      <c r="D1701" s="1">
        <v>1.0</v>
      </c>
      <c r="E1701" s="1">
        <v>24017.0</v>
      </c>
      <c r="F1701" s="10">
        <f t="shared" si="1"/>
        <v>1</v>
      </c>
      <c r="G1701" s="10">
        <f t="array" ref="G1701">index('Player ID'!C:C,match(E1701,'Player ID'!B:B,0))</f>
        <v>678606</v>
      </c>
    </row>
    <row r="1702">
      <c r="A1702" s="76">
        <v>45758.0</v>
      </c>
      <c r="B1702" s="1" t="s">
        <v>676</v>
      </c>
      <c r="C1702" s="1" t="s">
        <v>36</v>
      </c>
      <c r="D1702" s="1">
        <v>0.1</v>
      </c>
      <c r="E1702" s="1">
        <v>27453.0</v>
      </c>
      <c r="F1702" s="10">
        <f t="shared" si="1"/>
        <v>0.3333333333</v>
      </c>
      <c r="G1702" s="10">
        <f t="array" ref="G1702">index('Player ID'!C:C,match(E1702,'Player ID'!B:B,0))</f>
        <v>685107</v>
      </c>
    </row>
    <row r="1703">
      <c r="A1703" s="76">
        <v>45758.0</v>
      </c>
      <c r="B1703" s="1" t="s">
        <v>330</v>
      </c>
      <c r="C1703" s="1" t="s">
        <v>80</v>
      </c>
      <c r="D1703" s="1">
        <v>6.0</v>
      </c>
      <c r="E1703" s="1">
        <v>27636.0</v>
      </c>
      <c r="F1703" s="10">
        <f t="shared" si="1"/>
        <v>6</v>
      </c>
      <c r="G1703" s="10">
        <f t="array" ref="G1703">index('Player ID'!C:C,match(E1703,'Player ID'!B:B,0))</f>
        <v>680730</v>
      </c>
    </row>
    <row r="1704">
      <c r="A1704" s="76">
        <v>45758.0</v>
      </c>
      <c r="B1704" s="1" t="s">
        <v>252</v>
      </c>
      <c r="C1704" s="1" t="s">
        <v>78</v>
      </c>
      <c r="D1704" s="1">
        <v>1.0</v>
      </c>
      <c r="E1704" s="1">
        <v>16061.0</v>
      </c>
      <c r="F1704" s="10">
        <f t="shared" si="1"/>
        <v>1</v>
      </c>
      <c r="G1704" s="10">
        <f t="array" ref="G1704">index('Player ID'!C:C,match(E1704,'Player ID'!B:B,0))</f>
        <v>592155</v>
      </c>
    </row>
    <row r="1705">
      <c r="A1705" s="76">
        <v>45758.0</v>
      </c>
      <c r="B1705" s="1" t="s">
        <v>493</v>
      </c>
      <c r="C1705" s="1" t="s">
        <v>22</v>
      </c>
      <c r="D1705" s="1">
        <v>1.0</v>
      </c>
      <c r="E1705" s="1">
        <v>16835.0</v>
      </c>
      <c r="F1705" s="10">
        <f t="shared" si="1"/>
        <v>1</v>
      </c>
      <c r="G1705" s="10">
        <f t="array" ref="G1705">index('Player ID'!C:C,match(E1705,'Player ID'!B:B,0))</f>
        <v>657514</v>
      </c>
    </row>
    <row r="1706">
      <c r="A1706" s="76">
        <v>45758.0</v>
      </c>
      <c r="B1706" s="1" t="s">
        <v>415</v>
      </c>
      <c r="C1706" s="1" t="s">
        <v>22</v>
      </c>
      <c r="D1706" s="1">
        <v>4.0</v>
      </c>
      <c r="E1706" s="1">
        <v>16943.0</v>
      </c>
      <c r="F1706" s="10">
        <f t="shared" si="1"/>
        <v>4</v>
      </c>
      <c r="G1706" s="10">
        <f t="array" ref="G1706">index('Player ID'!C:C,match(E1706,'Player ID'!B:B,0))</f>
        <v>656794</v>
      </c>
    </row>
    <row r="1707">
      <c r="A1707" s="76">
        <v>45758.0</v>
      </c>
      <c r="B1707" s="1" t="s">
        <v>335</v>
      </c>
      <c r="C1707" s="1" t="s">
        <v>78</v>
      </c>
      <c r="D1707" s="1">
        <v>6.0</v>
      </c>
      <c r="E1707" s="1">
        <v>21448.0</v>
      </c>
      <c r="F1707" s="10">
        <f t="shared" si="1"/>
        <v>6</v>
      </c>
      <c r="G1707" s="10">
        <f t="array" ref="G1707">index('Player ID'!C:C,match(E1707,'Player ID'!B:B,0))</f>
        <v>663436</v>
      </c>
    </row>
    <row r="1708">
      <c r="A1708" s="76">
        <v>45758.0</v>
      </c>
      <c r="B1708" s="1" t="s">
        <v>600</v>
      </c>
      <c r="C1708" s="1" t="s">
        <v>22</v>
      </c>
      <c r="D1708" s="1">
        <v>3.0</v>
      </c>
      <c r="E1708" s="1">
        <v>22387.0</v>
      </c>
      <c r="F1708" s="10">
        <f t="shared" si="1"/>
        <v>3</v>
      </c>
      <c r="G1708" s="10">
        <f t="array" ref="G1708">index('Player ID'!C:C,match(E1708,'Player ID'!B:B,0))</f>
        <v>670174</v>
      </c>
    </row>
    <row r="1709">
      <c r="A1709" s="76">
        <v>45758.0</v>
      </c>
      <c r="B1709" s="1" t="s">
        <v>658</v>
      </c>
      <c r="C1709" s="1" t="s">
        <v>78</v>
      </c>
      <c r="D1709" s="1">
        <v>1.0</v>
      </c>
      <c r="E1709" s="1">
        <v>25174.0</v>
      </c>
      <c r="F1709" s="10">
        <f t="shared" si="1"/>
        <v>1</v>
      </c>
      <c r="G1709" s="10">
        <f t="array" ref="G1709">index('Player ID'!C:C,match(E1709,'Player ID'!B:B,0))</f>
        <v>682171</v>
      </c>
    </row>
    <row r="1710">
      <c r="A1710" s="76">
        <v>45758.0</v>
      </c>
      <c r="B1710" s="1" t="s">
        <v>367</v>
      </c>
      <c r="C1710" s="1" t="s">
        <v>78</v>
      </c>
      <c r="D1710" s="1">
        <v>1.0</v>
      </c>
      <c r="E1710" s="1">
        <v>27668.0</v>
      </c>
      <c r="F1710" s="10">
        <f t="shared" si="1"/>
        <v>1</v>
      </c>
      <c r="G1710" s="10">
        <f t="array" ref="G1710">index('Player ID'!C:C,match(E1710,'Player ID'!B:B,0))</f>
        <v>685126</v>
      </c>
    </row>
    <row r="1711">
      <c r="A1711" s="76">
        <v>45758.0</v>
      </c>
      <c r="B1711" s="1" t="s">
        <v>447</v>
      </c>
      <c r="C1711" s="1" t="s">
        <v>39</v>
      </c>
      <c r="D1711" s="1">
        <v>1.0</v>
      </c>
      <c r="E1711" s="1">
        <v>13652.0</v>
      </c>
      <c r="F1711" s="10">
        <f t="shared" si="1"/>
        <v>1</v>
      </c>
      <c r="G1711" s="10">
        <f t="array" ref="G1711">index('Player ID'!C:C,match(E1711,'Player ID'!B:B,0))</f>
        <v>605463</v>
      </c>
    </row>
    <row r="1712">
      <c r="A1712" s="76">
        <v>45758.0</v>
      </c>
      <c r="B1712" s="1" t="s">
        <v>314</v>
      </c>
      <c r="C1712" s="1" t="s">
        <v>39</v>
      </c>
      <c r="D1712" s="1">
        <v>5.0</v>
      </c>
      <c r="E1712" s="1">
        <v>19407.0</v>
      </c>
      <c r="F1712" s="10">
        <f t="shared" si="1"/>
        <v>5</v>
      </c>
      <c r="G1712" s="10">
        <f t="array" ref="G1712">index('Player ID'!C:C,match(E1712,'Player ID'!B:B,0))</f>
        <v>669854</v>
      </c>
    </row>
    <row r="1713">
      <c r="A1713" s="76">
        <v>45758.0</v>
      </c>
      <c r="B1713" s="1" t="s">
        <v>775</v>
      </c>
      <c r="C1713" s="1" t="s">
        <v>25</v>
      </c>
      <c r="D1713" s="1">
        <v>2.0</v>
      </c>
      <c r="E1713" s="1">
        <v>19951.0</v>
      </c>
      <c r="F1713" s="10">
        <f t="shared" si="1"/>
        <v>2</v>
      </c>
      <c r="G1713" s="10">
        <f t="array" ref="G1713">index('Player ID'!C:C,match(E1713,'Player ID'!B:B,0))</f>
        <v>666120</v>
      </c>
    </row>
    <row r="1714">
      <c r="A1714" s="76">
        <v>45758.0</v>
      </c>
      <c r="B1714" s="1" t="s">
        <v>680</v>
      </c>
      <c r="C1714" s="1" t="s">
        <v>39</v>
      </c>
      <c r="D1714" s="1">
        <v>1.0</v>
      </c>
      <c r="E1714" s="1">
        <v>25839.0</v>
      </c>
      <c r="F1714" s="10">
        <f t="shared" si="1"/>
        <v>1</v>
      </c>
      <c r="G1714" s="10">
        <f t="array" ref="G1714">index('Player ID'!C:C,match(E1714,'Player ID'!B:B,0))</f>
        <v>664351</v>
      </c>
    </row>
    <row r="1715">
      <c r="A1715" s="76">
        <v>45758.0</v>
      </c>
      <c r="B1715" s="1" t="s">
        <v>521</v>
      </c>
      <c r="C1715" s="1" t="s">
        <v>25</v>
      </c>
      <c r="D1715" s="1">
        <v>4.2</v>
      </c>
      <c r="E1715" s="1">
        <v>27688.0</v>
      </c>
      <c r="F1715" s="10">
        <f t="shared" si="1"/>
        <v>4.666666667</v>
      </c>
      <c r="G1715" s="10">
        <f t="array" ref="G1715">index('Player ID'!C:C,match(E1715,'Player ID'!B:B,0))</f>
        <v>686799</v>
      </c>
    </row>
    <row r="1716">
      <c r="A1716" s="76">
        <v>45758.0</v>
      </c>
      <c r="B1716" s="1" t="s">
        <v>792</v>
      </c>
      <c r="C1716" s="1" t="s">
        <v>25</v>
      </c>
      <c r="D1716" s="1">
        <v>1.0</v>
      </c>
      <c r="E1716" s="1">
        <v>31501.0</v>
      </c>
      <c r="F1716" s="10">
        <f t="shared" si="1"/>
        <v>1</v>
      </c>
      <c r="G1716" s="10">
        <f t="array" ref="G1716">index('Player ID'!C:C,match(E1716,'Player ID'!B:B,0))</f>
        <v>690382</v>
      </c>
    </row>
    <row r="1717">
      <c r="A1717" s="76">
        <v>45758.0</v>
      </c>
      <c r="B1717" s="1" t="s">
        <v>760</v>
      </c>
      <c r="C1717" s="1" t="s">
        <v>25</v>
      </c>
      <c r="D1717" s="1">
        <v>0.1</v>
      </c>
      <c r="E1717" s="1">
        <v>31751.0</v>
      </c>
      <c r="F1717" s="10">
        <f t="shared" si="1"/>
        <v>0.3333333333</v>
      </c>
      <c r="G1717" s="10">
        <f t="array" ref="G1717">index('Player ID'!C:C,match(E1717,'Player ID'!B:B,0))</f>
        <v>680729</v>
      </c>
    </row>
    <row r="1718">
      <c r="A1718" s="76">
        <v>45758.0</v>
      </c>
      <c r="B1718" s="1" t="s">
        <v>794</v>
      </c>
      <c r="C1718" s="1" t="s">
        <v>39</v>
      </c>
      <c r="D1718" s="1">
        <v>2.0</v>
      </c>
      <c r="E1718" s="1">
        <v>31884.0</v>
      </c>
      <c r="F1718" s="10">
        <f t="shared" si="1"/>
        <v>2</v>
      </c>
      <c r="G1718" s="10">
        <f t="array" ref="G1718">index('Player ID'!C:C,match(E1718,'Player ID'!B:B,0))</f>
        <v>701121</v>
      </c>
    </row>
    <row r="1719">
      <c r="A1719" s="76">
        <v>45758.0</v>
      </c>
      <c r="B1719" s="1" t="s">
        <v>439</v>
      </c>
      <c r="C1719" s="1" t="s">
        <v>62</v>
      </c>
      <c r="D1719" s="1">
        <v>1.0</v>
      </c>
      <c r="E1719" s="1">
        <v>11384.0</v>
      </c>
      <c r="F1719" s="10">
        <f t="shared" si="1"/>
        <v>1</v>
      </c>
      <c r="G1719" s="10">
        <f t="array" ref="G1719">index('Player ID'!C:C,match(E1719,'Player ID'!B:B,0))</f>
        <v>592454</v>
      </c>
    </row>
    <row r="1720">
      <c r="A1720" s="76">
        <v>45758.0</v>
      </c>
      <c r="B1720" s="1" t="s">
        <v>435</v>
      </c>
      <c r="C1720" s="1" t="s">
        <v>16</v>
      </c>
      <c r="D1720" s="1">
        <v>0.1</v>
      </c>
      <c r="E1720" s="1">
        <v>13293.0</v>
      </c>
      <c r="F1720" s="10">
        <f t="shared" si="1"/>
        <v>0.3333333333</v>
      </c>
      <c r="G1720" s="10">
        <f t="array" ref="G1720">index('Player ID'!C:C,match(E1720,'Player ID'!B:B,0))</f>
        <v>543056</v>
      </c>
    </row>
    <row r="1721">
      <c r="A1721" s="76">
        <v>45758.0</v>
      </c>
      <c r="B1721" s="1" t="s">
        <v>146</v>
      </c>
      <c r="C1721" s="1" t="s">
        <v>16</v>
      </c>
      <c r="D1721" s="1">
        <v>1.2</v>
      </c>
      <c r="E1721" s="1">
        <v>15145.0</v>
      </c>
      <c r="F1721" s="10">
        <f t="shared" si="1"/>
        <v>1.666666667</v>
      </c>
      <c r="G1721" s="10">
        <f t="array" ref="G1721">index('Player ID'!C:C,match(E1721,'Player ID'!B:B,0))</f>
        <v>623437</v>
      </c>
    </row>
    <row r="1722">
      <c r="A1722" s="76">
        <v>45758.0</v>
      </c>
      <c r="B1722" s="1" t="s">
        <v>233</v>
      </c>
      <c r="C1722" s="1" t="s">
        <v>16</v>
      </c>
      <c r="D1722" s="1">
        <v>2.1</v>
      </c>
      <c r="E1722" s="1">
        <v>16427.0</v>
      </c>
      <c r="F1722" s="10">
        <f t="shared" si="1"/>
        <v>2.333333333</v>
      </c>
      <c r="G1722" s="10">
        <f t="array" ref="G1722">index('Player ID'!C:C,match(E1722,'Player ID'!B:B,0))</f>
        <v>656240</v>
      </c>
    </row>
    <row r="1723">
      <c r="A1723" s="76">
        <v>45758.0</v>
      </c>
      <c r="B1723" s="1" t="s">
        <v>397</v>
      </c>
      <c r="C1723" s="1" t="s">
        <v>16</v>
      </c>
      <c r="D1723" s="1">
        <v>0.0</v>
      </c>
      <c r="E1723" s="1">
        <v>19459.0</v>
      </c>
      <c r="F1723" s="10">
        <f t="shared" si="1"/>
        <v>0</v>
      </c>
      <c r="G1723" s="10">
        <f t="array" ref="G1723">index('Player ID'!C:C,match(E1723,'Player ID'!B:B,0))</f>
        <v>660896</v>
      </c>
    </row>
    <row r="1724">
      <c r="A1724" s="76">
        <v>45758.0</v>
      </c>
      <c r="B1724" s="1" t="s">
        <v>131</v>
      </c>
      <c r="C1724" s="1" t="s">
        <v>62</v>
      </c>
      <c r="D1724" s="1">
        <v>1.1</v>
      </c>
      <c r="E1724" s="1">
        <v>19769.0</v>
      </c>
      <c r="F1724" s="10">
        <f t="shared" si="1"/>
        <v>1.333333333</v>
      </c>
      <c r="G1724" s="10">
        <f t="array" ref="G1724">index('Player ID'!C:C,match(E1724,'Player ID'!B:B,0))</f>
        <v>676684</v>
      </c>
    </row>
    <row r="1725">
      <c r="A1725" s="76">
        <v>45758.0</v>
      </c>
      <c r="B1725" s="1" t="s">
        <v>289</v>
      </c>
      <c r="C1725" s="1" t="s">
        <v>62</v>
      </c>
      <c r="D1725" s="1">
        <v>0.2</v>
      </c>
      <c r="E1725" s="1">
        <v>22304.0</v>
      </c>
      <c r="F1725" s="10">
        <f t="shared" si="1"/>
        <v>0.6666666667</v>
      </c>
      <c r="G1725" s="10">
        <f t="array" ref="G1725">index('Player ID'!C:C,match(E1725,'Player ID'!B:B,0))</f>
        <v>669724</v>
      </c>
    </row>
    <row r="1726">
      <c r="A1726" s="76">
        <v>45758.0</v>
      </c>
      <c r="B1726" s="1" t="s">
        <v>419</v>
      </c>
      <c r="C1726" s="1" t="s">
        <v>62</v>
      </c>
      <c r="D1726" s="1">
        <v>4.1</v>
      </c>
      <c r="E1726" s="1">
        <v>24968.0</v>
      </c>
      <c r="F1726" s="10">
        <f t="shared" si="1"/>
        <v>4.333333333</v>
      </c>
      <c r="G1726" s="10">
        <f t="array" ref="G1726">index('Player ID'!C:C,match(E1726,'Player ID'!B:B,0))</f>
        <v>681857</v>
      </c>
    </row>
    <row r="1727">
      <c r="A1727" s="76">
        <v>45758.0</v>
      </c>
      <c r="B1727" s="1" t="s">
        <v>667</v>
      </c>
      <c r="C1727" s="1" t="s">
        <v>62</v>
      </c>
      <c r="D1727" s="1">
        <v>1.2</v>
      </c>
      <c r="E1727" s="1">
        <v>26079.0</v>
      </c>
      <c r="F1727" s="10">
        <f t="shared" si="1"/>
        <v>1.666666667</v>
      </c>
      <c r="G1727" s="10">
        <f t="array" ref="G1727">index('Player ID'!C:C,match(E1727,'Player ID'!B:B,0))</f>
        <v>689225</v>
      </c>
    </row>
    <row r="1728">
      <c r="A1728" s="76">
        <v>45758.0</v>
      </c>
      <c r="B1728" s="1" t="s">
        <v>253</v>
      </c>
      <c r="C1728" s="1" t="s">
        <v>16</v>
      </c>
      <c r="D1728" s="1">
        <v>4.2</v>
      </c>
      <c r="E1728" s="1">
        <v>30056.0</v>
      </c>
      <c r="F1728" s="10">
        <f t="shared" si="1"/>
        <v>4.666666667</v>
      </c>
      <c r="G1728" s="10">
        <f t="array" ref="G1728">index('Player ID'!C:C,match(E1728,'Player ID'!B:B,0))</f>
        <v>701581</v>
      </c>
    </row>
    <row r="1729">
      <c r="A1729" s="76">
        <v>45758.0</v>
      </c>
      <c r="B1729" s="1" t="s">
        <v>699</v>
      </c>
      <c r="C1729" s="1" t="s">
        <v>45</v>
      </c>
      <c r="D1729" s="1">
        <v>1.0</v>
      </c>
      <c r="E1729" s="1">
        <v>14552.0</v>
      </c>
      <c r="F1729" s="10">
        <f t="shared" si="1"/>
        <v>1</v>
      </c>
      <c r="G1729" s="10">
        <f t="array" ref="G1729">index('Player ID'!C:C,match(E1729,'Player ID'!B:B,0))</f>
        <v>614179</v>
      </c>
    </row>
    <row r="1730">
      <c r="A1730" s="76">
        <v>45758.0</v>
      </c>
      <c r="B1730" s="1" t="s">
        <v>98</v>
      </c>
      <c r="C1730" s="1" t="s">
        <v>45</v>
      </c>
      <c r="D1730" s="1">
        <v>5.0</v>
      </c>
      <c r="E1730" s="1">
        <v>16149.0</v>
      </c>
      <c r="F1730" s="10">
        <f t="shared" si="1"/>
        <v>5</v>
      </c>
      <c r="G1730" s="10">
        <f t="array" ref="G1730">index('Player ID'!C:C,match(E1730,'Player ID'!B:B,0))</f>
        <v>605400</v>
      </c>
    </row>
    <row r="1731">
      <c r="A1731" s="76">
        <v>45758.0</v>
      </c>
      <c r="B1731" s="1" t="s">
        <v>138</v>
      </c>
      <c r="C1731" s="1" t="s">
        <v>45</v>
      </c>
      <c r="D1731" s="1">
        <v>1.0</v>
      </c>
      <c r="E1731" s="1">
        <v>16990.0</v>
      </c>
      <c r="F1731" s="10">
        <f t="shared" si="1"/>
        <v>1</v>
      </c>
      <c r="G1731" s="10">
        <f t="array" ref="G1731">index('Player ID'!C:C,match(E1731,'Player ID'!B:B,0))</f>
        <v>621383</v>
      </c>
    </row>
    <row r="1732">
      <c r="A1732" s="76">
        <v>45758.0</v>
      </c>
      <c r="B1732" s="1" t="s">
        <v>190</v>
      </c>
      <c r="C1732" s="1" t="s">
        <v>72</v>
      </c>
      <c r="D1732" s="1">
        <v>1.0</v>
      </c>
      <c r="E1732" s="1">
        <v>18064.0</v>
      </c>
      <c r="F1732" s="10">
        <f t="shared" si="1"/>
        <v>1</v>
      </c>
      <c r="G1732" s="10">
        <f t="array" ref="G1732">index('Player ID'!C:C,match(E1732,'Player ID'!B:B,0))</f>
        <v>664208</v>
      </c>
    </row>
    <row r="1733">
      <c r="A1733" s="76">
        <v>45758.0</v>
      </c>
      <c r="B1733" s="1" t="s">
        <v>270</v>
      </c>
      <c r="C1733" s="1" t="s">
        <v>72</v>
      </c>
      <c r="D1733" s="1">
        <v>1.0</v>
      </c>
      <c r="E1733" s="1">
        <v>18138.0</v>
      </c>
      <c r="F1733" s="10">
        <f t="shared" si="1"/>
        <v>1</v>
      </c>
      <c r="G1733" s="10">
        <f t="array" ref="G1733">index('Player ID'!C:C,match(E1733,'Player ID'!B:B,0))</f>
        <v>664854</v>
      </c>
    </row>
    <row r="1734">
      <c r="A1734" s="76">
        <v>45758.0</v>
      </c>
      <c r="B1734" s="1" t="s">
        <v>701</v>
      </c>
      <c r="C1734" s="1" t="s">
        <v>45</v>
      </c>
      <c r="D1734" s="1">
        <v>1.0</v>
      </c>
      <c r="E1734" s="1">
        <v>22713.0</v>
      </c>
      <c r="F1734" s="10">
        <f t="shared" si="1"/>
        <v>1</v>
      </c>
      <c r="G1734" s="10">
        <f t="array" ref="G1734">index('Player ID'!C:C,match(E1734,'Player ID'!B:B,0))</f>
        <v>672578</v>
      </c>
    </row>
    <row r="1735">
      <c r="A1735" s="76">
        <v>45758.0</v>
      </c>
      <c r="B1735" s="1" t="s">
        <v>432</v>
      </c>
      <c r="C1735" s="1" t="s">
        <v>72</v>
      </c>
      <c r="D1735" s="1">
        <v>7.0</v>
      </c>
      <c r="E1735" s="1">
        <v>26108.0</v>
      </c>
      <c r="F1735" s="10">
        <f t="shared" si="1"/>
        <v>7</v>
      </c>
      <c r="G1735" s="10">
        <f t="array" ref="G1735">index('Player ID'!C:C,match(E1735,'Player ID'!B:B,0))</f>
        <v>669467</v>
      </c>
    </row>
    <row r="1736">
      <c r="A1736" s="76">
        <v>45758.0</v>
      </c>
      <c r="B1736" s="1" t="s">
        <v>57</v>
      </c>
      <c r="C1736" s="1" t="s">
        <v>56</v>
      </c>
      <c r="D1736" s="1">
        <v>4.0</v>
      </c>
      <c r="E1736" s="1">
        <v>10954.0</v>
      </c>
      <c r="F1736" s="10">
        <f t="shared" si="1"/>
        <v>4</v>
      </c>
      <c r="G1736" s="10">
        <f t="array" ref="G1736">index('Player ID'!C:C,match(E1736,'Player ID'!B:B,0))</f>
        <v>594798</v>
      </c>
    </row>
    <row r="1737">
      <c r="A1737" s="76">
        <v>45758.0</v>
      </c>
      <c r="B1737" s="1" t="s">
        <v>74</v>
      </c>
      <c r="C1737" s="1" t="s">
        <v>56</v>
      </c>
      <c r="D1737" s="1">
        <v>1.1</v>
      </c>
      <c r="E1737" s="1">
        <v>11847.0</v>
      </c>
      <c r="F1737" s="10">
        <f t="shared" si="1"/>
        <v>1.333333333</v>
      </c>
      <c r="G1737" s="10">
        <f t="array" ref="G1737">index('Player ID'!C:C,match(E1737,'Player ID'!B:B,0))</f>
        <v>455119</v>
      </c>
    </row>
    <row r="1738">
      <c r="A1738" s="76">
        <v>45758.0</v>
      </c>
      <c r="B1738" s="1" t="s">
        <v>151</v>
      </c>
      <c r="C1738" s="1" t="s">
        <v>56</v>
      </c>
      <c r="D1738" s="1">
        <v>1.2</v>
      </c>
      <c r="E1738" s="1">
        <v>13346.0</v>
      </c>
      <c r="F1738" s="10">
        <f t="shared" si="1"/>
        <v>1.666666667</v>
      </c>
      <c r="G1738" s="10">
        <f t="array" ref="G1738">index('Player ID'!C:C,match(E1738,'Player ID'!B:B,0))</f>
        <v>571948</v>
      </c>
    </row>
    <row r="1739">
      <c r="A1739" s="76">
        <v>45758.0</v>
      </c>
      <c r="B1739" s="1" t="s">
        <v>53</v>
      </c>
      <c r="C1739" s="1" t="s">
        <v>37</v>
      </c>
      <c r="D1739" s="1">
        <v>1.0</v>
      </c>
      <c r="E1739" s="1">
        <v>17170.0</v>
      </c>
      <c r="F1739" s="10">
        <f t="shared" si="1"/>
        <v>1</v>
      </c>
      <c r="G1739" s="10">
        <f t="array" ref="G1739">index('Player ID'!C:C,match(E1739,'Player ID'!B:B,0))</f>
        <v>642100</v>
      </c>
    </row>
    <row r="1740">
      <c r="A1740" s="76">
        <v>45758.0</v>
      </c>
      <c r="B1740" s="1" t="s">
        <v>108</v>
      </c>
      <c r="C1740" s="1" t="s">
        <v>37</v>
      </c>
      <c r="D1740" s="1">
        <v>1.0</v>
      </c>
      <c r="E1740" s="1">
        <v>17948.0</v>
      </c>
      <c r="F1740" s="10">
        <f t="shared" si="1"/>
        <v>1</v>
      </c>
      <c r="G1740" s="10">
        <f t="array" ref="G1740">index('Player ID'!C:C,match(E1740,'Player ID'!B:B,0))</f>
        <v>663423</v>
      </c>
    </row>
    <row r="1741">
      <c r="A1741" s="76">
        <v>45758.0</v>
      </c>
      <c r="B1741" s="1" t="s">
        <v>670</v>
      </c>
      <c r="C1741" s="1" t="s">
        <v>37</v>
      </c>
      <c r="D1741" s="1">
        <v>1.0</v>
      </c>
      <c r="E1741" s="1">
        <v>20373.0</v>
      </c>
      <c r="F1741" s="10">
        <f t="shared" si="1"/>
        <v>1</v>
      </c>
      <c r="G1741" s="10">
        <f t="array" ref="G1741">index('Player ID'!C:C,match(E1741,'Player ID'!B:B,0))</f>
        <v>662253</v>
      </c>
    </row>
    <row r="1742">
      <c r="A1742" s="76">
        <v>45758.0</v>
      </c>
      <c r="B1742" s="1" t="s">
        <v>101</v>
      </c>
      <c r="C1742" s="1" t="s">
        <v>37</v>
      </c>
      <c r="D1742" s="1">
        <v>1.0</v>
      </c>
      <c r="E1742" s="1">
        <v>22915.0</v>
      </c>
      <c r="F1742" s="10">
        <f t="shared" si="1"/>
        <v>1</v>
      </c>
      <c r="G1742" s="10">
        <f t="array" ref="G1742">index('Player ID'!C:C,match(E1742,'Player ID'!B:B,0))</f>
        <v>672841</v>
      </c>
    </row>
    <row r="1743">
      <c r="A1743" s="76">
        <v>45758.0</v>
      </c>
      <c r="B1743" s="1" t="s">
        <v>677</v>
      </c>
      <c r="C1743" s="1" t="s">
        <v>56</v>
      </c>
      <c r="D1743" s="1">
        <v>1.0</v>
      </c>
      <c r="E1743" s="1">
        <v>26353.0</v>
      </c>
      <c r="F1743" s="10">
        <f t="shared" si="1"/>
        <v>1</v>
      </c>
      <c r="G1743" s="10">
        <f t="array" ref="G1743">index('Player ID'!C:C,match(E1743,'Player ID'!B:B,0))</f>
        <v>687847</v>
      </c>
    </row>
    <row r="1744">
      <c r="A1744" s="76">
        <v>45758.0</v>
      </c>
      <c r="B1744" s="1" t="s">
        <v>343</v>
      </c>
      <c r="C1744" s="1" t="s">
        <v>37</v>
      </c>
      <c r="D1744" s="1">
        <v>5.0</v>
      </c>
      <c r="E1744" s="1">
        <v>29837.0</v>
      </c>
      <c r="F1744" s="10">
        <f t="shared" si="1"/>
        <v>5</v>
      </c>
      <c r="G1744" s="10">
        <f t="array" ref="G1744">index('Player ID'!C:C,match(E1744,'Player ID'!B:B,0))</f>
        <v>682243</v>
      </c>
    </row>
    <row r="1745">
      <c r="A1745" s="76">
        <v>45758.0</v>
      </c>
      <c r="B1745" s="1" t="s">
        <v>746</v>
      </c>
      <c r="C1745" s="1" t="s">
        <v>75</v>
      </c>
      <c r="D1745" s="1">
        <v>4.2</v>
      </c>
      <c r="E1745" s="1">
        <v>15038.0</v>
      </c>
      <c r="F1745" s="10">
        <f t="shared" si="1"/>
        <v>4.666666667</v>
      </c>
      <c r="G1745" s="10">
        <f t="array" ref="G1745">index('Player ID'!C:C,match(E1745,'Player ID'!B:B,0))</f>
        <v>608566</v>
      </c>
    </row>
    <row r="1746">
      <c r="A1746" s="76">
        <v>45758.0</v>
      </c>
      <c r="B1746" s="1" t="s">
        <v>109</v>
      </c>
      <c r="C1746" s="1" t="s">
        <v>26</v>
      </c>
      <c r="D1746" s="1">
        <v>7.0</v>
      </c>
      <c r="E1746" s="1">
        <v>15454.0</v>
      </c>
      <c r="F1746" s="10">
        <f t="shared" si="1"/>
        <v>7</v>
      </c>
      <c r="G1746" s="10">
        <f t="array" ref="G1746">index('Player ID'!C:C,match(E1746,'Player ID'!B:B,0))</f>
        <v>601713</v>
      </c>
    </row>
    <row r="1747">
      <c r="A1747" s="76">
        <v>45758.0</v>
      </c>
      <c r="B1747" s="1" t="s">
        <v>548</v>
      </c>
      <c r="C1747" s="1" t="s">
        <v>75</v>
      </c>
      <c r="D1747" s="1">
        <v>1.0</v>
      </c>
      <c r="E1747" s="1">
        <v>24203.0</v>
      </c>
      <c r="F1747" s="10">
        <f t="shared" si="1"/>
        <v>1</v>
      </c>
      <c r="G1747" s="10">
        <f t="array" ref="G1747">index('Player ID'!C:C,match(E1747,'Player ID'!B:B,0))</f>
        <v>678821</v>
      </c>
    </row>
    <row r="1748">
      <c r="A1748" s="76">
        <v>45758.0</v>
      </c>
      <c r="B1748" s="1" t="s">
        <v>486</v>
      </c>
      <c r="C1748" s="1" t="s">
        <v>75</v>
      </c>
      <c r="D1748" s="1">
        <v>2.1</v>
      </c>
      <c r="E1748" s="1">
        <v>26790.0</v>
      </c>
      <c r="F1748" s="10">
        <f t="shared" si="1"/>
        <v>2.333333333</v>
      </c>
      <c r="G1748" s="10">
        <f t="array" ref="G1748">index('Player ID'!C:C,match(E1748,'Player ID'!B:B,0))</f>
        <v>683409</v>
      </c>
    </row>
    <row r="1749">
      <c r="A1749" s="76">
        <v>45758.0</v>
      </c>
      <c r="B1749" s="1" t="s">
        <v>391</v>
      </c>
      <c r="C1749" s="1" t="s">
        <v>26</v>
      </c>
      <c r="D1749" s="1">
        <v>1.0</v>
      </c>
      <c r="E1749" s="1">
        <v>29628.0</v>
      </c>
      <c r="F1749" s="10">
        <f t="shared" si="1"/>
        <v>1</v>
      </c>
      <c r="G1749" s="10">
        <f t="array" ref="G1749">index('Player ID'!C:C,match(E1749,'Player ID'!B:B,0))</f>
        <v>689690</v>
      </c>
    </row>
    <row r="1750">
      <c r="A1750" s="76">
        <v>45758.0</v>
      </c>
      <c r="B1750" s="1" t="s">
        <v>284</v>
      </c>
      <c r="C1750" s="1" t="s">
        <v>26</v>
      </c>
      <c r="D1750" s="1">
        <v>1.0</v>
      </c>
      <c r="E1750" s="1">
        <v>33826.0</v>
      </c>
      <c r="F1750" s="10">
        <f t="shared" si="1"/>
        <v>1</v>
      </c>
      <c r="G1750" s="10">
        <f t="array" ref="G1750">index('Player ID'!C:C,match(E1750,'Player ID'!B:B,0))</f>
        <v>673513</v>
      </c>
    </row>
    <row r="1751">
      <c r="A1751" s="76">
        <v>45758.0</v>
      </c>
      <c r="B1751" s="1" t="s">
        <v>476</v>
      </c>
      <c r="C1751" s="1" t="s">
        <v>14</v>
      </c>
      <c r="D1751" s="1">
        <v>7.0</v>
      </c>
      <c r="E1751" s="1">
        <v>11423.0</v>
      </c>
      <c r="F1751" s="10">
        <f t="shared" si="1"/>
        <v>7</v>
      </c>
      <c r="G1751" s="10">
        <f t="array" ref="G1751">index('Player ID'!C:C,match(E1751,'Player ID'!B:B,0))</f>
        <v>500779</v>
      </c>
    </row>
    <row r="1752">
      <c r="A1752" s="76">
        <v>45758.0</v>
      </c>
      <c r="B1752" s="1" t="s">
        <v>368</v>
      </c>
      <c r="C1752" s="1" t="s">
        <v>64</v>
      </c>
      <c r="D1752" s="1">
        <v>6.1</v>
      </c>
      <c r="E1752" s="1">
        <v>13164.0</v>
      </c>
      <c r="F1752" s="10">
        <f t="shared" si="1"/>
        <v>6.333333333</v>
      </c>
      <c r="G1752" s="10">
        <f t="array" ref="G1752">index('Player ID'!C:C,match(E1752,'Player ID'!B:B,0))</f>
        <v>593958</v>
      </c>
    </row>
    <row r="1753">
      <c r="A1753" s="76">
        <v>45758.0</v>
      </c>
      <c r="B1753" s="1" t="s">
        <v>685</v>
      </c>
      <c r="C1753" s="1" t="s">
        <v>64</v>
      </c>
      <c r="D1753" s="1">
        <v>1.1</v>
      </c>
      <c r="E1753" s="1">
        <v>14857.0</v>
      </c>
      <c r="F1753" s="10">
        <f t="shared" si="1"/>
        <v>1.333333333</v>
      </c>
      <c r="G1753" s="10">
        <f t="array" ref="G1753">index('Player ID'!C:C,match(E1753,'Player ID'!B:B,0))</f>
        <v>573009</v>
      </c>
    </row>
    <row r="1754">
      <c r="A1754" s="76">
        <v>45758.0</v>
      </c>
      <c r="B1754" s="1" t="s">
        <v>219</v>
      </c>
      <c r="C1754" s="1" t="s">
        <v>64</v>
      </c>
      <c r="D1754" s="1">
        <v>1.1</v>
      </c>
      <c r="E1754" s="1">
        <v>16647.0</v>
      </c>
      <c r="F1754" s="10">
        <f t="shared" si="1"/>
        <v>1.333333333</v>
      </c>
      <c r="G1754" s="10">
        <f t="array" ref="G1754">index('Player ID'!C:C,match(E1754,'Player ID'!B:B,0))</f>
        <v>657044</v>
      </c>
    </row>
    <row r="1755">
      <c r="A1755" s="76">
        <v>45758.0</v>
      </c>
      <c r="B1755" s="1" t="s">
        <v>13</v>
      </c>
      <c r="C1755" s="1" t="s">
        <v>14</v>
      </c>
      <c r="D1755" s="1">
        <v>1.0</v>
      </c>
      <c r="E1755" s="1">
        <v>17722.0</v>
      </c>
      <c r="F1755" s="10">
        <f t="shared" si="1"/>
        <v>1</v>
      </c>
      <c r="G1755" s="10">
        <f t="array" ref="G1755">index('Player ID'!C:C,match(E1755,'Player ID'!B:B,0))</f>
        <v>656730</v>
      </c>
    </row>
    <row r="1756">
      <c r="A1756" s="76">
        <v>45758.0</v>
      </c>
      <c r="B1756" s="1" t="s">
        <v>418</v>
      </c>
      <c r="C1756" s="1" t="s">
        <v>14</v>
      </c>
      <c r="D1756" s="1">
        <v>1.0</v>
      </c>
      <c r="E1756" s="1">
        <v>27517.0</v>
      </c>
      <c r="F1756" s="10">
        <f t="shared" si="1"/>
        <v>1</v>
      </c>
      <c r="G1756" s="10">
        <f t="array" ref="G1756">index('Player ID'!C:C,match(E1756,'Player ID'!B:B,0))</f>
        <v>657649</v>
      </c>
    </row>
    <row r="1757">
      <c r="A1757" s="76">
        <v>45758.0</v>
      </c>
      <c r="B1757" s="1" t="s">
        <v>669</v>
      </c>
      <c r="C1757" s="1" t="s">
        <v>52</v>
      </c>
      <c r="D1757" s="1">
        <v>2.0</v>
      </c>
      <c r="E1757" s="1">
        <v>14524.0</v>
      </c>
      <c r="F1757" s="10">
        <f t="shared" si="1"/>
        <v>2</v>
      </c>
      <c r="G1757" s="10">
        <f t="array" ref="G1757">index('Player ID'!C:C,match(E1757,'Player ID'!B:B,0))</f>
        <v>600917</v>
      </c>
    </row>
    <row r="1758">
      <c r="A1758" s="76">
        <v>45758.0</v>
      </c>
      <c r="B1758" s="1" t="s">
        <v>679</v>
      </c>
      <c r="C1758" s="1" t="s">
        <v>51</v>
      </c>
      <c r="D1758" s="1">
        <v>1.0</v>
      </c>
      <c r="E1758" s="1">
        <v>14710.0</v>
      </c>
      <c r="F1758" s="10">
        <f t="shared" si="1"/>
        <v>1</v>
      </c>
      <c r="G1758" s="10">
        <f t="array" ref="G1758">index('Player ID'!C:C,match(E1758,'Player ID'!B:B,0))</f>
        <v>621242</v>
      </c>
    </row>
    <row r="1759">
      <c r="A1759" s="76">
        <v>45758.0</v>
      </c>
      <c r="B1759" s="1" t="s">
        <v>292</v>
      </c>
      <c r="C1759" s="1" t="s">
        <v>51</v>
      </c>
      <c r="D1759" s="1">
        <v>1.0</v>
      </c>
      <c r="E1759" s="1">
        <v>15947.0</v>
      </c>
      <c r="F1759" s="10">
        <f t="shared" si="1"/>
        <v>1</v>
      </c>
      <c r="G1759" s="10">
        <f t="array" ref="G1759">index('Player ID'!C:C,match(E1759,'Player ID'!B:B,0))</f>
        <v>592773</v>
      </c>
    </row>
    <row r="1760">
      <c r="A1760" s="76">
        <v>45758.0</v>
      </c>
      <c r="B1760" s="1" t="s">
        <v>295</v>
      </c>
      <c r="C1760" s="1" t="s">
        <v>51</v>
      </c>
      <c r="D1760" s="1">
        <v>0.2</v>
      </c>
      <c r="E1760" s="1">
        <v>16866.0</v>
      </c>
      <c r="F1760" s="10">
        <f t="shared" si="1"/>
        <v>0.6666666667</v>
      </c>
      <c r="G1760" s="10">
        <f t="array" ref="G1760">index('Player ID'!C:C,match(E1760,'Player ID'!B:B,0))</f>
        <v>657585</v>
      </c>
    </row>
    <row r="1761">
      <c r="A1761" s="76">
        <v>45758.0</v>
      </c>
      <c r="B1761" s="1" t="s">
        <v>778</v>
      </c>
      <c r="C1761" s="1" t="s">
        <v>52</v>
      </c>
      <c r="D1761" s="1">
        <v>0.1</v>
      </c>
      <c r="E1761" s="1">
        <v>17759.0</v>
      </c>
      <c r="F1761" s="10">
        <f t="shared" si="1"/>
        <v>0.3333333333</v>
      </c>
      <c r="G1761" s="10">
        <f t="array" ref="G1761">index('Player ID'!C:C,match(E1761,'Player ID'!B:B,0))</f>
        <v>622780</v>
      </c>
    </row>
    <row r="1762">
      <c r="A1762" s="76">
        <v>45758.0</v>
      </c>
      <c r="B1762" s="1" t="s">
        <v>674</v>
      </c>
      <c r="C1762" s="1" t="s">
        <v>51</v>
      </c>
      <c r="D1762" s="1">
        <v>1.0</v>
      </c>
      <c r="E1762" s="1">
        <v>18655.0</v>
      </c>
      <c r="F1762" s="10">
        <f t="shared" si="1"/>
        <v>1</v>
      </c>
      <c r="G1762" s="10">
        <f t="array" ref="G1762">index('Player ID'!C:C,match(E1762,'Player ID'!B:B,0))</f>
        <v>621345</v>
      </c>
    </row>
    <row r="1763">
      <c r="A1763" s="76">
        <v>45758.0</v>
      </c>
      <c r="B1763" s="1" t="s">
        <v>264</v>
      </c>
      <c r="C1763" s="1" t="s">
        <v>52</v>
      </c>
      <c r="D1763" s="1">
        <v>1.0</v>
      </c>
      <c r="E1763" s="1">
        <v>19666.0</v>
      </c>
      <c r="F1763" s="10">
        <f t="shared" si="1"/>
        <v>1</v>
      </c>
      <c r="G1763" s="10">
        <f t="array" ref="G1763">index('Player ID'!C:C,match(E1763,'Player ID'!B:B,0))</f>
        <v>669920</v>
      </c>
    </row>
    <row r="1764">
      <c r="A1764" s="76">
        <v>45758.0</v>
      </c>
      <c r="B1764" s="1" t="s">
        <v>382</v>
      </c>
      <c r="C1764" s="1" t="s">
        <v>51</v>
      </c>
      <c r="D1764" s="1">
        <v>5.1</v>
      </c>
      <c r="E1764" s="1">
        <v>19867.0</v>
      </c>
      <c r="F1764" s="10">
        <f t="shared" si="1"/>
        <v>5.333333333</v>
      </c>
      <c r="G1764" s="10">
        <f t="array" ref="G1764">index('Player ID'!C:C,match(E1764,'Player ID'!B:B,0))</f>
        <v>656288</v>
      </c>
    </row>
    <row r="1765">
      <c r="A1765" s="76">
        <v>45758.0</v>
      </c>
      <c r="B1765" s="1" t="s">
        <v>251</v>
      </c>
      <c r="C1765" s="1" t="s">
        <v>52</v>
      </c>
      <c r="D1765" s="1">
        <v>4.0</v>
      </c>
      <c r="E1765" s="1">
        <v>23429.0</v>
      </c>
      <c r="F1765" s="10">
        <f t="shared" si="1"/>
        <v>4</v>
      </c>
      <c r="G1765" s="10">
        <f t="array" ref="G1765">index('Player ID'!C:C,match(E1765,'Player ID'!B:B,0))</f>
        <v>676664</v>
      </c>
    </row>
    <row r="1766">
      <c r="A1766" s="76">
        <v>45758.0</v>
      </c>
      <c r="B1766" s="1" t="s">
        <v>127</v>
      </c>
      <c r="C1766" s="1" t="s">
        <v>52</v>
      </c>
      <c r="D1766" s="1">
        <v>1.2</v>
      </c>
      <c r="E1766" s="1">
        <v>27707.0</v>
      </c>
      <c r="F1766" s="10">
        <f t="shared" si="1"/>
        <v>1.666666667</v>
      </c>
      <c r="G1766" s="10">
        <f t="array" ref="G1766">index('Player ID'!C:C,match(E1766,'Player ID'!B:B,0))</f>
        <v>687765</v>
      </c>
    </row>
    <row r="1767">
      <c r="A1767" s="76">
        <v>45758.0</v>
      </c>
      <c r="B1767" s="1" t="s">
        <v>392</v>
      </c>
      <c r="C1767" s="1" t="s">
        <v>33</v>
      </c>
      <c r="D1767" s="1">
        <v>1.0</v>
      </c>
      <c r="E1767" s="1">
        <v>9073.0</v>
      </c>
      <c r="F1767" s="10">
        <f t="shared" si="1"/>
        <v>1</v>
      </c>
      <c r="G1767" s="10">
        <f t="array" ref="G1767">index('Player ID'!C:C,match(E1767,'Player ID'!B:B,0))</f>
        <v>489446</v>
      </c>
    </row>
    <row r="1768">
      <c r="A1768" s="76">
        <v>45758.0</v>
      </c>
      <c r="B1768" s="1" t="s">
        <v>630</v>
      </c>
      <c r="C1768" s="1" t="s">
        <v>33</v>
      </c>
      <c r="D1768" s="1">
        <v>1.0</v>
      </c>
      <c r="E1768" s="1">
        <v>12572.0</v>
      </c>
      <c r="F1768" s="10">
        <f t="shared" si="1"/>
        <v>1</v>
      </c>
      <c r="G1768" s="10">
        <f t="array" ref="G1768">index('Player ID'!C:C,match(E1768,'Player ID'!B:B,0))</f>
        <v>595014</v>
      </c>
    </row>
    <row r="1769">
      <c r="A1769" s="76">
        <v>45758.0</v>
      </c>
      <c r="B1769" s="1" t="s">
        <v>246</v>
      </c>
      <c r="C1769" s="1" t="s">
        <v>34</v>
      </c>
      <c r="D1769" s="1">
        <v>6.0</v>
      </c>
      <c r="E1769" s="1">
        <v>15440.0</v>
      </c>
      <c r="F1769" s="10">
        <f t="shared" si="1"/>
        <v>6</v>
      </c>
      <c r="G1769" s="10">
        <f t="array" ref="G1769">index('Player ID'!C:C,match(E1769,'Player ID'!B:B,0))</f>
        <v>571510</v>
      </c>
    </row>
    <row r="1770">
      <c r="A1770" s="76">
        <v>45758.0</v>
      </c>
      <c r="B1770" s="1" t="s">
        <v>32</v>
      </c>
      <c r="C1770" s="1" t="s">
        <v>33</v>
      </c>
      <c r="D1770" s="1">
        <v>1.0</v>
      </c>
      <c r="E1770" s="1">
        <v>17586.0</v>
      </c>
      <c r="F1770" s="10">
        <f t="shared" si="1"/>
        <v>1</v>
      </c>
      <c r="G1770" s="10">
        <f t="array" ref="G1770">index('Player ID'!C:C,match(E1770,'Player ID'!B:B,0))</f>
        <v>656945</v>
      </c>
    </row>
    <row r="1771">
      <c r="A1771" s="76">
        <v>45758.0</v>
      </c>
      <c r="B1771" s="1" t="s">
        <v>631</v>
      </c>
      <c r="C1771" s="1" t="s">
        <v>34</v>
      </c>
      <c r="D1771" s="1">
        <v>1.0</v>
      </c>
      <c r="E1771" s="1">
        <v>20203.0</v>
      </c>
      <c r="F1771" s="10">
        <f t="shared" si="1"/>
        <v>1</v>
      </c>
      <c r="G1771" s="10">
        <f t="array" ref="G1771">index('Player ID'!C:C,match(E1771,'Player ID'!B:B,0))</f>
        <v>669212</v>
      </c>
    </row>
    <row r="1772">
      <c r="A1772" s="76">
        <v>45758.0</v>
      </c>
      <c r="B1772" s="1" t="s">
        <v>789</v>
      </c>
      <c r="C1772" s="1" t="s">
        <v>34</v>
      </c>
      <c r="D1772" s="1">
        <v>1.0</v>
      </c>
      <c r="E1772" s="1">
        <v>24930.0</v>
      </c>
      <c r="F1772" s="10">
        <f t="shared" si="1"/>
        <v>1</v>
      </c>
      <c r="G1772" s="10">
        <f t="array" ref="G1772">index('Player ID'!C:C,match(E1772,'Player ID'!B:B,0))</f>
        <v>681799</v>
      </c>
    </row>
    <row r="1773">
      <c r="A1773" s="76">
        <v>45758.0</v>
      </c>
      <c r="B1773" s="1" t="s">
        <v>85</v>
      </c>
      <c r="C1773" s="1" t="s">
        <v>33</v>
      </c>
      <c r="D1773" s="1">
        <v>6.0</v>
      </c>
      <c r="E1773" s="1">
        <v>33825.0</v>
      </c>
      <c r="F1773" s="10">
        <f t="shared" si="1"/>
        <v>6</v>
      </c>
      <c r="G1773" s="10">
        <f t="array" ref="G1773">index('Player ID'!C:C,match(E1773,'Player ID'!B:B,0))</f>
        <v>808967</v>
      </c>
    </row>
    <row r="1774">
      <c r="A1774" s="76">
        <v>45759.0</v>
      </c>
      <c r="B1774" s="1" t="s">
        <v>666</v>
      </c>
      <c r="C1774" s="1" t="s">
        <v>62</v>
      </c>
      <c r="D1774" s="1">
        <v>1.0</v>
      </c>
      <c r="E1774" s="1">
        <v>12777.0</v>
      </c>
      <c r="F1774" s="10">
        <f t="shared" si="1"/>
        <v>1</v>
      </c>
      <c r="G1774" s="10">
        <f t="array" ref="G1774">index('Player ID'!C:C,match(E1774,'Player ID'!B:B,0))</f>
        <v>605154</v>
      </c>
    </row>
    <row r="1775">
      <c r="A1775" s="76">
        <v>45759.0</v>
      </c>
      <c r="B1775" s="1" t="s">
        <v>397</v>
      </c>
      <c r="C1775" s="1" t="s">
        <v>16</v>
      </c>
      <c r="D1775" s="1">
        <v>1.0</v>
      </c>
      <c r="E1775" s="1">
        <v>19459.0</v>
      </c>
      <c r="F1775" s="10">
        <f t="shared" si="1"/>
        <v>1</v>
      </c>
      <c r="G1775" s="10">
        <f t="array" ref="G1775">index('Player ID'!C:C,match(E1775,'Player ID'!B:B,0))</f>
        <v>660896</v>
      </c>
    </row>
    <row r="1776">
      <c r="A1776" s="76">
        <v>45759.0</v>
      </c>
      <c r="B1776" s="1" t="s">
        <v>133</v>
      </c>
      <c r="C1776" s="1" t="s">
        <v>16</v>
      </c>
      <c r="D1776" s="1">
        <v>5.0</v>
      </c>
      <c r="E1776" s="1">
        <v>20099.0</v>
      </c>
      <c r="F1776" s="10">
        <f t="shared" si="1"/>
        <v>5</v>
      </c>
      <c r="G1776" s="10">
        <f t="array" ref="G1776">index('Player ID'!C:C,match(E1776,'Player ID'!B:B,0))</f>
        <v>663978</v>
      </c>
    </row>
    <row r="1777">
      <c r="A1777" s="76">
        <v>45759.0</v>
      </c>
      <c r="B1777" s="1" t="s">
        <v>122</v>
      </c>
      <c r="C1777" s="1" t="s">
        <v>16</v>
      </c>
      <c r="D1777" s="1">
        <v>1.0</v>
      </c>
      <c r="E1777" s="1">
        <v>21029.0</v>
      </c>
      <c r="F1777" s="10">
        <f t="shared" si="1"/>
        <v>1</v>
      </c>
      <c r="G1777" s="10">
        <f t="array" ref="G1777">index('Player ID'!C:C,match(E1777,'Player ID'!B:B,0))</f>
        <v>661395</v>
      </c>
    </row>
    <row r="1778">
      <c r="A1778" s="76">
        <v>45759.0</v>
      </c>
      <c r="B1778" s="1" t="s">
        <v>289</v>
      </c>
      <c r="C1778" s="1" t="s">
        <v>62</v>
      </c>
      <c r="D1778" s="1">
        <v>1.0</v>
      </c>
      <c r="E1778" s="1">
        <v>22304.0</v>
      </c>
      <c r="F1778" s="10">
        <f t="shared" si="1"/>
        <v>1</v>
      </c>
      <c r="G1778" s="10">
        <f t="array" ref="G1778">index('Player ID'!C:C,match(E1778,'Player ID'!B:B,0))</f>
        <v>669724</v>
      </c>
    </row>
    <row r="1779">
      <c r="A1779" s="76">
        <v>45759.0</v>
      </c>
      <c r="B1779" s="1" t="s">
        <v>333</v>
      </c>
      <c r="C1779" s="1" t="s">
        <v>16</v>
      </c>
      <c r="D1779" s="1">
        <v>2.0</v>
      </c>
      <c r="E1779" s="1">
        <v>24993.0</v>
      </c>
      <c r="F1779" s="10">
        <f t="shared" si="1"/>
        <v>2</v>
      </c>
      <c r="G1779" s="10">
        <f t="array" ref="G1779">index('Player ID'!C:C,match(E1779,'Player ID'!B:B,0))</f>
        <v>681892</v>
      </c>
    </row>
    <row r="1780">
      <c r="A1780" s="76">
        <v>45759.0</v>
      </c>
      <c r="B1780" s="1" t="s">
        <v>82</v>
      </c>
      <c r="C1780" s="1" t="s">
        <v>62</v>
      </c>
      <c r="D1780" s="1">
        <v>1.0</v>
      </c>
      <c r="E1780" s="1">
        <v>26231.0</v>
      </c>
      <c r="F1780" s="10">
        <f t="shared" si="1"/>
        <v>1</v>
      </c>
      <c r="G1780" s="10">
        <f t="array" ref="G1780">index('Player ID'!C:C,match(E1780,'Player ID'!B:B,0))</f>
        <v>663947</v>
      </c>
    </row>
    <row r="1781">
      <c r="A1781" s="76">
        <v>45759.0</v>
      </c>
      <c r="B1781" s="1" t="s">
        <v>377</v>
      </c>
      <c r="C1781" s="1" t="s">
        <v>62</v>
      </c>
      <c r="D1781" s="1">
        <v>6.0</v>
      </c>
      <c r="E1781" s="1">
        <v>30203.0</v>
      </c>
      <c r="F1781" s="10">
        <f t="shared" si="1"/>
        <v>6</v>
      </c>
      <c r="G1781" s="10">
        <f t="array" ref="G1781">index('Player ID'!C:C,match(E1781,'Player ID'!B:B,0))</f>
        <v>695549</v>
      </c>
    </row>
    <row r="1782">
      <c r="A1782" s="76">
        <v>45759.0</v>
      </c>
      <c r="B1782" s="1" t="s">
        <v>287</v>
      </c>
      <c r="C1782" s="1" t="s">
        <v>72</v>
      </c>
      <c r="D1782" s="1">
        <v>5.0</v>
      </c>
      <c r="E1782" s="1">
        <v>9803.0</v>
      </c>
      <c r="F1782" s="10">
        <f t="shared" si="1"/>
        <v>5</v>
      </c>
      <c r="G1782" s="10">
        <f t="array" ref="G1782">index('Player ID'!C:C,match(E1782,'Player ID'!B:B,0))</f>
        <v>571945</v>
      </c>
    </row>
    <row r="1783">
      <c r="A1783" s="76">
        <v>45759.0</v>
      </c>
      <c r="B1783" s="1" t="s">
        <v>83</v>
      </c>
      <c r="C1783" s="1" t="s">
        <v>72</v>
      </c>
      <c r="D1783" s="1">
        <v>2.1</v>
      </c>
      <c r="E1783" s="1">
        <v>13361.0</v>
      </c>
      <c r="F1783" s="10">
        <f t="shared" si="1"/>
        <v>2.333333333</v>
      </c>
      <c r="G1783" s="10">
        <f t="array" ref="G1783">index('Player ID'!C:C,match(E1783,'Player ID'!B:B,0))</f>
        <v>571927</v>
      </c>
    </row>
    <row r="1784">
      <c r="A1784" s="76">
        <v>45759.0</v>
      </c>
      <c r="B1784" s="1" t="s">
        <v>208</v>
      </c>
      <c r="C1784" s="1" t="s">
        <v>45</v>
      </c>
      <c r="D1784" s="1">
        <v>1.0</v>
      </c>
      <c r="E1784" s="1">
        <v>16122.0</v>
      </c>
      <c r="F1784" s="10">
        <f t="shared" si="1"/>
        <v>1</v>
      </c>
      <c r="G1784" s="10">
        <f t="array" ref="G1784">index('Player ID'!C:C,match(E1784,'Player ID'!B:B,0))</f>
        <v>605447</v>
      </c>
    </row>
    <row r="1785">
      <c r="A1785" s="76">
        <v>45759.0</v>
      </c>
      <c r="B1785" s="1" t="s">
        <v>643</v>
      </c>
      <c r="C1785" s="1" t="s">
        <v>45</v>
      </c>
      <c r="D1785" s="1">
        <v>1.0</v>
      </c>
      <c r="E1785" s="1">
        <v>17780.0</v>
      </c>
      <c r="F1785" s="10">
        <f t="shared" si="1"/>
        <v>1</v>
      </c>
      <c r="G1785" s="10">
        <f t="array" ref="G1785">index('Player ID'!C:C,match(E1785,'Player ID'!B:B,0))</f>
        <v>621237</v>
      </c>
    </row>
    <row r="1786">
      <c r="A1786" s="76">
        <v>45759.0</v>
      </c>
      <c r="B1786" s="1" t="s">
        <v>747</v>
      </c>
      <c r="C1786" s="1" t="s">
        <v>45</v>
      </c>
      <c r="D1786" s="1">
        <v>6.1</v>
      </c>
      <c r="E1786" s="1">
        <v>20778.0</v>
      </c>
      <c r="F1786" s="10">
        <f t="shared" si="1"/>
        <v>6.333333333</v>
      </c>
      <c r="G1786" s="10">
        <f t="array" ref="G1786">index('Player ID'!C:C,match(E1786,'Player ID'!B:B,0))</f>
        <v>650911</v>
      </c>
    </row>
    <row r="1787">
      <c r="A1787" s="76">
        <v>45759.0</v>
      </c>
      <c r="B1787" s="1" t="s">
        <v>273</v>
      </c>
      <c r="C1787" s="1" t="s">
        <v>72</v>
      </c>
      <c r="D1787" s="1">
        <v>1.0</v>
      </c>
      <c r="E1787" s="1">
        <v>22051.0</v>
      </c>
      <c r="F1787" s="10">
        <f t="shared" si="1"/>
        <v>1</v>
      </c>
      <c r="G1787" s="10">
        <f t="array" ref="G1787">index('Player ID'!C:C,match(E1787,'Player ID'!B:B,0))</f>
        <v>667463</v>
      </c>
    </row>
    <row r="1788">
      <c r="A1788" s="76">
        <v>45759.0</v>
      </c>
      <c r="B1788" s="1" t="s">
        <v>795</v>
      </c>
      <c r="C1788" s="1" t="s">
        <v>72</v>
      </c>
      <c r="D1788" s="1">
        <v>0.2</v>
      </c>
      <c r="E1788" s="1">
        <v>25311.0</v>
      </c>
      <c r="F1788" s="10">
        <f t="shared" si="1"/>
        <v>0.6666666667</v>
      </c>
      <c r="G1788" s="10">
        <f t="array" ref="G1788">index('Player ID'!C:C,match(E1788,'Player ID'!B:B,0))</f>
        <v>682610</v>
      </c>
    </row>
    <row r="1789">
      <c r="A1789" s="76">
        <v>45759.0</v>
      </c>
      <c r="B1789" s="1" t="s">
        <v>165</v>
      </c>
      <c r="C1789" s="1" t="s">
        <v>45</v>
      </c>
      <c r="D1789" s="1">
        <v>0.2</v>
      </c>
      <c r="E1789" s="1">
        <v>31776.0</v>
      </c>
      <c r="F1789" s="10">
        <f t="shared" si="1"/>
        <v>0.6666666667</v>
      </c>
      <c r="G1789" s="10">
        <f t="array" ref="G1789">index('Player ID'!C:C,match(E1789,'Player ID'!B:B,0))</f>
        <v>689147</v>
      </c>
    </row>
    <row r="1790">
      <c r="A1790" s="76">
        <v>45759.0</v>
      </c>
      <c r="B1790" s="1" t="s">
        <v>174</v>
      </c>
      <c r="C1790" s="1" t="s">
        <v>40</v>
      </c>
      <c r="D1790" s="1">
        <v>0.2</v>
      </c>
      <c r="E1790" s="1">
        <v>15552.0</v>
      </c>
      <c r="F1790" s="10">
        <f t="shared" si="1"/>
        <v>0.6666666667</v>
      </c>
      <c r="G1790" s="10">
        <f t="array" ref="G1790">index('Player ID'!C:C,match(E1790,'Player ID'!B:B,0))</f>
        <v>643338</v>
      </c>
    </row>
    <row r="1791">
      <c r="A1791" s="76">
        <v>45759.0</v>
      </c>
      <c r="B1791" s="1" t="s">
        <v>231</v>
      </c>
      <c r="C1791" s="1" t="s">
        <v>68</v>
      </c>
      <c r="D1791" s="1">
        <v>0.1</v>
      </c>
      <c r="E1791" s="1">
        <v>19362.0</v>
      </c>
      <c r="F1791" s="10">
        <f t="shared" si="1"/>
        <v>0.3333333333</v>
      </c>
      <c r="G1791" s="10">
        <f t="array" ref="G1791">index('Player ID'!C:C,match(E1791,'Player ID'!B:B,0))</f>
        <v>669211</v>
      </c>
    </row>
    <row r="1792">
      <c r="A1792" s="76">
        <v>45759.0</v>
      </c>
      <c r="B1792" s="1" t="s">
        <v>433</v>
      </c>
      <c r="C1792" s="1" t="s">
        <v>68</v>
      </c>
      <c r="D1792" s="1">
        <v>1.0</v>
      </c>
      <c r="E1792" s="1">
        <v>19677.0</v>
      </c>
      <c r="F1792" s="10">
        <f t="shared" si="1"/>
        <v>1</v>
      </c>
      <c r="G1792" s="10">
        <f t="array" ref="G1792">index('Player ID'!C:C,match(E1792,'Player ID'!B:B,0))</f>
        <v>642397</v>
      </c>
    </row>
    <row r="1793">
      <c r="A1793" s="76">
        <v>45759.0</v>
      </c>
      <c r="B1793" s="1" t="s">
        <v>240</v>
      </c>
      <c r="C1793" s="1" t="s">
        <v>68</v>
      </c>
      <c r="D1793" s="1">
        <v>1.0</v>
      </c>
      <c r="E1793" s="1">
        <v>19804.0</v>
      </c>
      <c r="F1793" s="10">
        <f t="shared" si="1"/>
        <v>1</v>
      </c>
      <c r="G1793" s="10">
        <f t="array" ref="G1793">index('Player ID'!C:C,match(E1793,'Player ID'!B:B,0))</f>
        <v>641329</v>
      </c>
    </row>
    <row r="1794">
      <c r="A1794" s="76">
        <v>45759.0</v>
      </c>
      <c r="B1794" s="1" t="s">
        <v>428</v>
      </c>
      <c r="C1794" s="1" t="s">
        <v>40</v>
      </c>
      <c r="D1794" s="1">
        <v>5.2</v>
      </c>
      <c r="E1794" s="1">
        <v>20548.0</v>
      </c>
      <c r="F1794" s="10">
        <f t="shared" si="1"/>
        <v>5.666666667</v>
      </c>
      <c r="G1794" s="10">
        <f t="array" ref="G1794">index('Player ID'!C:C,match(E1794,'Player ID'!B:B,0))</f>
        <v>670102</v>
      </c>
    </row>
    <row r="1795">
      <c r="A1795" s="76">
        <v>45759.0</v>
      </c>
      <c r="B1795" s="1" t="s">
        <v>698</v>
      </c>
      <c r="C1795" s="1" t="s">
        <v>68</v>
      </c>
      <c r="D1795" s="1">
        <v>1.0</v>
      </c>
      <c r="E1795" s="1">
        <v>20666.0</v>
      </c>
      <c r="F1795" s="10">
        <f t="shared" si="1"/>
        <v>1</v>
      </c>
      <c r="G1795" s="10">
        <f t="array" ref="G1795">index('Player ID'!C:C,match(E1795,'Player ID'!B:B,0))</f>
        <v>642585</v>
      </c>
    </row>
    <row r="1796">
      <c r="A1796" s="76">
        <v>45759.0</v>
      </c>
      <c r="B1796" s="1" t="s">
        <v>235</v>
      </c>
      <c r="C1796" s="1" t="s">
        <v>68</v>
      </c>
      <c r="D1796" s="1">
        <v>1.0</v>
      </c>
      <c r="E1796" s="1">
        <v>25911.0</v>
      </c>
      <c r="F1796" s="10">
        <f t="shared" si="1"/>
        <v>1</v>
      </c>
      <c r="G1796" s="10">
        <f t="array" ref="G1796">index('Player ID'!C:C,match(E1796,'Player ID'!B:B,0))</f>
        <v>666974</v>
      </c>
    </row>
    <row r="1797">
      <c r="A1797" s="76">
        <v>45759.0</v>
      </c>
      <c r="B1797" s="1" t="s">
        <v>142</v>
      </c>
      <c r="C1797" s="1" t="s">
        <v>40</v>
      </c>
      <c r="D1797" s="1">
        <v>1.0</v>
      </c>
      <c r="E1797" s="1">
        <v>31553.0</v>
      </c>
      <c r="F1797" s="10">
        <f t="shared" si="1"/>
        <v>1</v>
      </c>
      <c r="G1797" s="10">
        <f t="array" ref="G1797">index('Player ID'!C:C,match(E1797,'Player ID'!B:B,0))</f>
        <v>689254</v>
      </c>
    </row>
    <row r="1798">
      <c r="A1798" s="76">
        <v>45759.0</v>
      </c>
      <c r="B1798" s="1" t="s">
        <v>427</v>
      </c>
      <c r="C1798" s="1" t="s">
        <v>40</v>
      </c>
      <c r="D1798" s="1">
        <v>0.2</v>
      </c>
      <c r="E1798" s="1">
        <v>33838.0</v>
      </c>
      <c r="F1798" s="10">
        <f t="shared" si="1"/>
        <v>0.6666666667</v>
      </c>
      <c r="G1798" s="10">
        <f t="array" ref="G1798">index('Player ID'!C:C,match(E1798,'Player ID'!B:B,0))</f>
        <v>684320</v>
      </c>
    </row>
    <row r="1799">
      <c r="A1799" s="76">
        <v>45759.0</v>
      </c>
      <c r="B1799" s="1" t="s">
        <v>158</v>
      </c>
      <c r="C1799" s="1" t="s">
        <v>68</v>
      </c>
      <c r="D1799" s="1">
        <v>4.2</v>
      </c>
      <c r="E1799" s="1">
        <v>35321.0</v>
      </c>
      <c r="F1799" s="10">
        <f t="shared" si="1"/>
        <v>4.666666667</v>
      </c>
      <c r="G1799" s="10">
        <f t="array" ref="G1799">index('Player ID'!C:C,match(E1799,'Player ID'!B:B,0))</f>
        <v>608372</v>
      </c>
    </row>
    <row r="1800">
      <c r="A1800" s="76">
        <v>45759.0</v>
      </c>
      <c r="B1800" s="1" t="s">
        <v>505</v>
      </c>
      <c r="C1800" s="1" t="s">
        <v>52</v>
      </c>
      <c r="D1800" s="1">
        <v>1.0</v>
      </c>
      <c r="E1800" s="1">
        <v>19481.0</v>
      </c>
      <c r="F1800" s="10">
        <f t="shared" si="1"/>
        <v>1</v>
      </c>
      <c r="G1800" s="10">
        <f t="array" ref="G1800">index('Player ID'!C:C,match(E1800,'Player ID'!B:B,0))</f>
        <v>621053</v>
      </c>
    </row>
    <row r="1801">
      <c r="A1801" s="76">
        <v>45759.0</v>
      </c>
      <c r="B1801" s="1" t="s">
        <v>307</v>
      </c>
      <c r="C1801" s="1" t="s">
        <v>51</v>
      </c>
      <c r="D1801" s="1">
        <v>6.0</v>
      </c>
      <c r="E1801" s="1">
        <v>20302.0</v>
      </c>
      <c r="F1801" s="10">
        <f t="shared" si="1"/>
        <v>6</v>
      </c>
      <c r="G1801" s="10">
        <f t="array" ref="G1801">index('Player ID'!C:C,match(E1801,'Player ID'!B:B,0))</f>
        <v>656849</v>
      </c>
    </row>
    <row r="1802">
      <c r="A1802" s="76">
        <v>45759.0</v>
      </c>
      <c r="B1802" s="1" t="s">
        <v>712</v>
      </c>
      <c r="C1802" s="1" t="s">
        <v>51</v>
      </c>
      <c r="D1802" s="1">
        <v>2.0</v>
      </c>
      <c r="E1802" s="1">
        <v>23313.0</v>
      </c>
      <c r="F1802" s="10">
        <f t="shared" si="1"/>
        <v>2</v>
      </c>
      <c r="G1802" s="10">
        <f t="array" ref="G1802">index('Player ID'!C:C,match(E1802,'Player ID'!B:B,0))</f>
        <v>676130</v>
      </c>
    </row>
    <row r="1803">
      <c r="A1803" s="76">
        <v>45759.0</v>
      </c>
      <c r="B1803" s="1" t="s">
        <v>213</v>
      </c>
      <c r="C1803" s="1" t="s">
        <v>52</v>
      </c>
      <c r="D1803" s="1">
        <v>1.2</v>
      </c>
      <c r="E1803" s="1">
        <v>27694.0</v>
      </c>
      <c r="F1803" s="10">
        <f t="shared" si="1"/>
        <v>1.666666667</v>
      </c>
      <c r="G1803" s="10">
        <f t="array" ref="G1803">index('Player ID'!C:C,match(E1803,'Player ID'!B:B,0))</f>
        <v>686993</v>
      </c>
    </row>
    <row r="1804">
      <c r="A1804" s="76">
        <v>45759.0</v>
      </c>
      <c r="B1804" s="1" t="s">
        <v>296</v>
      </c>
      <c r="C1804" s="1" t="s">
        <v>52</v>
      </c>
      <c r="D1804" s="1">
        <v>5.1</v>
      </c>
      <c r="E1804" s="1">
        <v>27889.0</v>
      </c>
      <c r="F1804" s="10">
        <f t="shared" si="1"/>
        <v>5.333333333</v>
      </c>
      <c r="G1804" s="10">
        <f t="array" ref="G1804">index('Player ID'!C:C,match(E1804,'Player ID'!B:B,0))</f>
        <v>669372</v>
      </c>
    </row>
    <row r="1805">
      <c r="A1805" s="76">
        <v>45759.0</v>
      </c>
      <c r="B1805" s="1" t="s">
        <v>286</v>
      </c>
      <c r="C1805" s="1" t="s">
        <v>52</v>
      </c>
      <c r="D1805" s="1">
        <v>1.0</v>
      </c>
      <c r="E1805" s="1">
        <v>31757.0</v>
      </c>
      <c r="F1805" s="10">
        <f t="shared" si="1"/>
        <v>1</v>
      </c>
      <c r="G1805" s="10">
        <f t="array" ref="G1805">index('Player ID'!C:C,match(E1805,'Player ID'!B:B,0))</f>
        <v>695243</v>
      </c>
    </row>
    <row r="1806">
      <c r="A1806" s="76">
        <v>45759.0</v>
      </c>
      <c r="B1806" s="1" t="s">
        <v>422</v>
      </c>
      <c r="C1806" s="1" t="s">
        <v>58</v>
      </c>
      <c r="D1806" s="1">
        <v>0.2</v>
      </c>
      <c r="E1806" s="1">
        <v>7048.0</v>
      </c>
      <c r="F1806" s="10">
        <f t="shared" si="1"/>
        <v>0.6666666667</v>
      </c>
      <c r="G1806" s="10">
        <f t="array" ref="G1806">index('Player ID'!C:C,match(E1806,'Player ID'!B:B,0))</f>
        <v>518585</v>
      </c>
    </row>
    <row r="1807">
      <c r="A1807" s="76">
        <v>45759.0</v>
      </c>
      <c r="B1807" s="1" t="s">
        <v>503</v>
      </c>
      <c r="C1807" s="1" t="s">
        <v>31</v>
      </c>
      <c r="D1807" s="1">
        <v>2.0</v>
      </c>
      <c r="E1807" s="1">
        <v>15043.0</v>
      </c>
      <c r="F1807" s="10">
        <f t="shared" si="1"/>
        <v>2</v>
      </c>
      <c r="G1807" s="10">
        <f t="array" ref="G1807">index('Player ID'!C:C,match(E1807,'Player ID'!B:B,0))</f>
        <v>642152</v>
      </c>
    </row>
    <row r="1808">
      <c r="A1808" s="76">
        <v>45759.0</v>
      </c>
      <c r="B1808" s="1" t="s">
        <v>467</v>
      </c>
      <c r="C1808" s="1" t="s">
        <v>58</v>
      </c>
      <c r="D1808" s="1">
        <v>1.0</v>
      </c>
      <c r="E1808" s="1">
        <v>15551.0</v>
      </c>
      <c r="F1808" s="10">
        <f t="shared" si="1"/>
        <v>1</v>
      </c>
      <c r="G1808" s="10">
        <f t="array" ref="G1808">index('Player ID'!C:C,match(E1808,'Player ID'!B:B,0))</f>
        <v>643410</v>
      </c>
    </row>
    <row r="1809">
      <c r="A1809" s="76">
        <v>45759.0</v>
      </c>
      <c r="B1809" s="1" t="s">
        <v>114</v>
      </c>
      <c r="C1809" s="1" t="s">
        <v>58</v>
      </c>
      <c r="D1809" s="1">
        <v>1.0</v>
      </c>
      <c r="E1809" s="1">
        <v>15816.0</v>
      </c>
      <c r="F1809" s="10">
        <f t="shared" si="1"/>
        <v>1</v>
      </c>
      <c r="G1809" s="10">
        <f t="array" ref="G1809">index('Player ID'!C:C,match(E1809,'Player ID'!B:B,0))</f>
        <v>642207</v>
      </c>
    </row>
    <row r="1810">
      <c r="A1810" s="76">
        <v>45759.0</v>
      </c>
      <c r="B1810" s="1" t="s">
        <v>225</v>
      </c>
      <c r="C1810" s="1" t="s">
        <v>58</v>
      </c>
      <c r="D1810" s="1">
        <v>1.1</v>
      </c>
      <c r="E1810" s="1">
        <v>16918.0</v>
      </c>
      <c r="F1810" s="10">
        <f t="shared" si="1"/>
        <v>1.333333333</v>
      </c>
      <c r="G1810" s="10">
        <f t="array" ref="G1810">index('Player ID'!C:C,match(E1810,'Player ID'!B:B,0))</f>
        <v>596133</v>
      </c>
    </row>
    <row r="1811">
      <c r="A1811" s="76">
        <v>45759.0</v>
      </c>
      <c r="B1811" s="1" t="s">
        <v>445</v>
      </c>
      <c r="C1811" s="1" t="s">
        <v>31</v>
      </c>
      <c r="D1811" s="1">
        <v>4.0</v>
      </c>
      <c r="E1811" s="1">
        <v>19618.0</v>
      </c>
      <c r="F1811" s="10">
        <f t="shared" si="1"/>
        <v>4</v>
      </c>
      <c r="G1811" s="10">
        <f t="array" ref="G1811">index('Player ID'!C:C,match(E1811,'Player ID'!B:B,0))</f>
        <v>663855</v>
      </c>
    </row>
    <row r="1812">
      <c r="A1812" s="76">
        <v>45759.0</v>
      </c>
      <c r="B1812" s="1" t="s">
        <v>304</v>
      </c>
      <c r="C1812" s="1" t="s">
        <v>31</v>
      </c>
      <c r="D1812" s="1">
        <v>1.0</v>
      </c>
      <c r="E1812" s="1">
        <v>21992.0</v>
      </c>
      <c r="F1812" s="10">
        <f t="shared" si="1"/>
        <v>1</v>
      </c>
      <c r="G1812" s="10">
        <f t="array" ref="G1812">index('Player ID'!C:C,match(E1812,'Player ID'!B:B,0))</f>
        <v>666808</v>
      </c>
    </row>
    <row r="1813">
      <c r="A1813" s="76">
        <v>45759.0</v>
      </c>
      <c r="B1813" s="1" t="s">
        <v>654</v>
      </c>
      <c r="C1813" s="1" t="s">
        <v>31</v>
      </c>
      <c r="D1813" s="1">
        <v>1.0</v>
      </c>
      <c r="E1813" s="1">
        <v>23974.0</v>
      </c>
      <c r="F1813" s="10">
        <f t="shared" si="1"/>
        <v>1</v>
      </c>
      <c r="G1813" s="10">
        <f t="array" ref="G1813">index('Player ID'!C:C,match(E1813,'Player ID'!B:B,0))</f>
        <v>678495</v>
      </c>
    </row>
    <row r="1814">
      <c r="A1814" s="76">
        <v>45759.0</v>
      </c>
      <c r="B1814" s="1" t="s">
        <v>344</v>
      </c>
      <c r="C1814" s="1" t="s">
        <v>58</v>
      </c>
      <c r="D1814" s="1">
        <v>5.0</v>
      </c>
      <c r="E1814" s="1">
        <v>30182.0</v>
      </c>
      <c r="F1814" s="10">
        <f t="shared" si="1"/>
        <v>5</v>
      </c>
      <c r="G1814" s="10">
        <f t="array" ref="G1814">index('Player ID'!C:C,match(E1814,'Player ID'!B:B,0))</f>
        <v>701542</v>
      </c>
    </row>
    <row r="1815">
      <c r="A1815" s="76">
        <v>45759.0</v>
      </c>
      <c r="B1815" s="1" t="s">
        <v>230</v>
      </c>
      <c r="C1815" s="1" t="s">
        <v>22</v>
      </c>
      <c r="D1815" s="1">
        <v>0.1</v>
      </c>
      <c r="E1815" s="1">
        <v>4301.0</v>
      </c>
      <c r="F1815" s="10">
        <f t="shared" si="1"/>
        <v>0.3333333333</v>
      </c>
      <c r="G1815" s="10">
        <f t="array" ref="G1815">index('Player ID'!C:C,match(E1815,'Player ID'!B:B,0))</f>
        <v>458677</v>
      </c>
    </row>
    <row r="1816">
      <c r="A1816" s="76">
        <v>45759.0</v>
      </c>
      <c r="B1816" s="1" t="s">
        <v>738</v>
      </c>
      <c r="C1816" s="1" t="s">
        <v>78</v>
      </c>
      <c r="D1816" s="1">
        <v>4.2</v>
      </c>
      <c r="E1816" s="1">
        <v>6902.0</v>
      </c>
      <c r="F1816" s="10">
        <f t="shared" si="1"/>
        <v>4.666666667</v>
      </c>
      <c r="G1816" s="10">
        <f t="array" ref="G1816">index('Player ID'!C:C,match(E1816,'Player ID'!B:B,0))</f>
        <v>527048</v>
      </c>
    </row>
    <row r="1817">
      <c r="A1817" s="76">
        <v>45759.0</v>
      </c>
      <c r="B1817" s="1" t="s">
        <v>41</v>
      </c>
      <c r="C1817" s="1" t="s">
        <v>22</v>
      </c>
      <c r="D1817" s="1">
        <v>0.1</v>
      </c>
      <c r="E1817" s="1">
        <v>10233.0</v>
      </c>
      <c r="F1817" s="10">
        <f t="shared" si="1"/>
        <v>0.3333333333</v>
      </c>
      <c r="G1817" s="10">
        <f t="array" ref="G1817">index('Player ID'!C:C,match(E1817,'Player ID'!B:B,0))</f>
        <v>547973</v>
      </c>
    </row>
    <row r="1818">
      <c r="A1818" s="76">
        <v>45759.0</v>
      </c>
      <c r="B1818" s="1" t="s">
        <v>478</v>
      </c>
      <c r="C1818" s="1" t="s">
        <v>78</v>
      </c>
      <c r="D1818" s="1">
        <v>0.1</v>
      </c>
      <c r="E1818" s="1">
        <v>17964.0</v>
      </c>
      <c r="F1818" s="10">
        <f t="shared" si="1"/>
        <v>0.3333333333</v>
      </c>
      <c r="G1818" s="10">
        <f t="array" ref="G1818">index('Player ID'!C:C,match(E1818,'Player ID'!B:B,0))</f>
        <v>656457</v>
      </c>
    </row>
    <row r="1819">
      <c r="A1819" s="76">
        <v>45759.0</v>
      </c>
      <c r="B1819" s="1" t="s">
        <v>134</v>
      </c>
      <c r="C1819" s="1" t="s">
        <v>22</v>
      </c>
      <c r="D1819" s="1">
        <v>1.2</v>
      </c>
      <c r="E1819" s="1">
        <v>20349.0</v>
      </c>
      <c r="F1819" s="10">
        <f t="shared" si="1"/>
        <v>1.666666667</v>
      </c>
      <c r="G1819" s="10">
        <f t="array" ref="G1819">index('Player ID'!C:C,match(E1819,'Player ID'!B:B,0))</f>
        <v>677161</v>
      </c>
    </row>
    <row r="1820">
      <c r="A1820" s="76">
        <v>45759.0</v>
      </c>
      <c r="B1820" s="1" t="s">
        <v>658</v>
      </c>
      <c r="C1820" s="1" t="s">
        <v>78</v>
      </c>
      <c r="D1820" s="1">
        <v>0.1</v>
      </c>
      <c r="E1820" s="1">
        <v>25174.0</v>
      </c>
      <c r="F1820" s="10">
        <f t="shared" si="1"/>
        <v>0.3333333333</v>
      </c>
      <c r="G1820" s="10">
        <f t="array" ref="G1820">index('Player ID'!C:C,match(E1820,'Player ID'!B:B,0))</f>
        <v>682171</v>
      </c>
    </row>
    <row r="1821">
      <c r="A1821" s="76">
        <v>45759.0</v>
      </c>
      <c r="B1821" s="1" t="s">
        <v>645</v>
      </c>
      <c r="C1821" s="1" t="s">
        <v>22</v>
      </c>
      <c r="D1821" s="1">
        <v>1.0</v>
      </c>
      <c r="E1821" s="1">
        <v>25648.0</v>
      </c>
      <c r="F1821" s="10">
        <f t="shared" si="1"/>
        <v>1</v>
      </c>
      <c r="G1821" s="10">
        <f t="array" ref="G1821">index('Player ID'!C:C,match(E1821,'Player ID'!B:B,0))</f>
        <v>686580</v>
      </c>
    </row>
    <row r="1822">
      <c r="A1822" s="76">
        <v>45759.0</v>
      </c>
      <c r="B1822" s="1" t="s">
        <v>317</v>
      </c>
      <c r="C1822" s="1" t="s">
        <v>78</v>
      </c>
      <c r="D1822" s="1">
        <v>1.2</v>
      </c>
      <c r="E1822" s="1">
        <v>29950.0</v>
      </c>
      <c r="F1822" s="10">
        <f t="shared" si="1"/>
        <v>1.666666667</v>
      </c>
      <c r="G1822" s="10">
        <f t="array" ref="G1822">index('Player ID'!C:C,match(E1822,'Player ID'!B:B,0))</f>
        <v>673929</v>
      </c>
    </row>
    <row r="1823">
      <c r="A1823" s="76">
        <v>45759.0</v>
      </c>
      <c r="B1823" s="1" t="s">
        <v>497</v>
      </c>
      <c r="C1823" s="1" t="s">
        <v>78</v>
      </c>
      <c r="D1823" s="1">
        <v>2.0</v>
      </c>
      <c r="E1823" s="1">
        <v>30105.0</v>
      </c>
      <c r="F1823" s="10">
        <f t="shared" si="1"/>
        <v>2</v>
      </c>
      <c r="G1823" s="10">
        <f t="array" ref="G1823">index('Player ID'!C:C,match(E1823,'Player ID'!B:B,0))</f>
        <v>678024</v>
      </c>
    </row>
    <row r="1824">
      <c r="A1824" s="76">
        <v>45759.0</v>
      </c>
      <c r="B1824" s="1" t="s">
        <v>152</v>
      </c>
      <c r="C1824" s="1" t="s">
        <v>22</v>
      </c>
      <c r="D1824" s="1">
        <v>5.0</v>
      </c>
      <c r="E1824" s="1">
        <v>30160.0</v>
      </c>
      <c r="F1824" s="10">
        <f t="shared" si="1"/>
        <v>5</v>
      </c>
      <c r="G1824" s="10">
        <f t="array" ref="G1824">index('Player ID'!C:C,match(E1824,'Player ID'!B:B,0))</f>
        <v>690916</v>
      </c>
    </row>
    <row r="1825">
      <c r="A1825" s="76">
        <v>45759.0</v>
      </c>
      <c r="B1825" s="1" t="s">
        <v>326</v>
      </c>
      <c r="C1825" s="1" t="s">
        <v>46</v>
      </c>
      <c r="D1825" s="1">
        <v>1.0</v>
      </c>
      <c r="E1825" s="1">
        <v>12760.0</v>
      </c>
      <c r="F1825" s="10">
        <f t="shared" si="1"/>
        <v>1</v>
      </c>
      <c r="G1825" s="10">
        <f t="array" ref="G1825">index('Player ID'!C:C,match(E1825,'Player ID'!B:B,0))</f>
        <v>606160</v>
      </c>
    </row>
    <row r="1826">
      <c r="A1826" s="76">
        <v>45759.0</v>
      </c>
      <c r="B1826" s="1" t="s">
        <v>784</v>
      </c>
      <c r="C1826" s="1" t="s">
        <v>54</v>
      </c>
      <c r="D1826" s="1">
        <v>1.0</v>
      </c>
      <c r="E1826" s="1">
        <v>15256.0</v>
      </c>
      <c r="F1826" s="10">
        <f t="shared" si="1"/>
        <v>1</v>
      </c>
      <c r="G1826" s="10">
        <f t="array" ref="G1826">index('Player ID'!C:C,match(E1826,'Player ID'!B:B,0))</f>
        <v>642121</v>
      </c>
    </row>
    <row r="1827">
      <c r="A1827" s="76">
        <v>45759.0</v>
      </c>
      <c r="B1827" s="1" t="s">
        <v>184</v>
      </c>
      <c r="C1827" s="1" t="s">
        <v>46</v>
      </c>
      <c r="D1827" s="1">
        <v>1.0</v>
      </c>
      <c r="E1827" s="1">
        <v>17130.0</v>
      </c>
      <c r="F1827" s="10">
        <f t="shared" si="1"/>
        <v>1</v>
      </c>
      <c r="G1827" s="10">
        <f t="array" ref="G1827">index('Player ID'!C:C,match(E1827,'Player ID'!B:B,0))</f>
        <v>628452</v>
      </c>
    </row>
    <row r="1828">
      <c r="A1828" s="76">
        <v>45759.0</v>
      </c>
      <c r="B1828" s="1" t="s">
        <v>185</v>
      </c>
      <c r="C1828" s="1" t="s">
        <v>54</v>
      </c>
      <c r="D1828" s="1">
        <v>0.1</v>
      </c>
      <c r="E1828" s="1">
        <v>17897.0</v>
      </c>
      <c r="F1828" s="10">
        <f t="shared" si="1"/>
        <v>0.3333333333</v>
      </c>
      <c r="G1828" s="10">
        <f t="array" ref="G1828">index('Player ID'!C:C,match(E1828,'Player ID'!B:B,0))</f>
        <v>664076</v>
      </c>
    </row>
    <row r="1829">
      <c r="A1829" s="76">
        <v>45759.0</v>
      </c>
      <c r="B1829" s="1" t="s">
        <v>91</v>
      </c>
      <c r="C1829" s="1" t="s">
        <v>46</v>
      </c>
      <c r="D1829" s="1">
        <v>1.0</v>
      </c>
      <c r="E1829" s="1">
        <v>19996.0</v>
      </c>
      <c r="F1829" s="10">
        <f t="shared" si="1"/>
        <v>1</v>
      </c>
      <c r="G1829" s="10">
        <f t="array" ref="G1829">index('Player ID'!C:C,match(E1829,'Player ID'!B:B,0))</f>
        <v>669276</v>
      </c>
    </row>
    <row r="1830">
      <c r="A1830" s="76">
        <v>45759.0</v>
      </c>
      <c r="B1830" s="1" t="s">
        <v>688</v>
      </c>
      <c r="C1830" s="1" t="s">
        <v>46</v>
      </c>
      <c r="D1830" s="1">
        <v>1.0</v>
      </c>
      <c r="E1830" s="1">
        <v>20271.0</v>
      </c>
      <c r="F1830" s="10">
        <f t="shared" si="1"/>
        <v>1</v>
      </c>
      <c r="G1830" s="10">
        <f t="array" ref="G1830">index('Player ID'!C:C,match(E1830,'Player ID'!B:B,0))</f>
        <v>678226</v>
      </c>
    </row>
    <row r="1831">
      <c r="A1831" s="76">
        <v>45759.0</v>
      </c>
      <c r="B1831" s="1" t="s">
        <v>400</v>
      </c>
      <c r="C1831" s="1" t="s">
        <v>54</v>
      </c>
      <c r="D1831" s="1">
        <v>0.1</v>
      </c>
      <c r="E1831" s="1">
        <v>20539.0</v>
      </c>
      <c r="F1831" s="10">
        <f t="shared" si="1"/>
        <v>0.3333333333</v>
      </c>
      <c r="G1831" s="10">
        <f t="array" ref="G1831">index('Player ID'!C:C,match(E1831,'Player ID'!B:B,0))</f>
        <v>670955</v>
      </c>
    </row>
    <row r="1832">
      <c r="A1832" s="76">
        <v>45759.0</v>
      </c>
      <c r="B1832" s="1" t="s">
        <v>705</v>
      </c>
      <c r="C1832" s="1" t="s">
        <v>54</v>
      </c>
      <c r="D1832" s="1">
        <v>1.1</v>
      </c>
      <c r="E1832" s="1">
        <v>20794.0</v>
      </c>
      <c r="F1832" s="10">
        <f t="shared" si="1"/>
        <v>1.333333333</v>
      </c>
      <c r="G1832" s="10">
        <f t="array" ref="G1832">index('Player ID'!C:C,match(E1832,'Player ID'!B:B,0))</f>
        <v>655889</v>
      </c>
    </row>
    <row r="1833">
      <c r="A1833" s="76">
        <v>45759.0</v>
      </c>
      <c r="B1833" s="1" t="s">
        <v>97</v>
      </c>
      <c r="C1833" s="1" t="s">
        <v>54</v>
      </c>
      <c r="D1833" s="1">
        <v>5.0</v>
      </c>
      <c r="E1833" s="1">
        <v>25385.0</v>
      </c>
      <c r="F1833" s="10">
        <f t="shared" si="1"/>
        <v>5</v>
      </c>
      <c r="G1833" s="10">
        <f t="array" ref="G1833">index('Player ID'!C:C,match(E1833,'Player ID'!B:B,0))</f>
        <v>656876</v>
      </c>
    </row>
    <row r="1834">
      <c r="A1834" s="76">
        <v>45759.0</v>
      </c>
      <c r="B1834" s="1" t="s">
        <v>671</v>
      </c>
      <c r="C1834" s="1" t="s">
        <v>54</v>
      </c>
      <c r="D1834" s="1">
        <v>1.0</v>
      </c>
      <c r="E1834" s="1">
        <v>26259.0</v>
      </c>
      <c r="F1834" s="10">
        <f t="shared" si="1"/>
        <v>1</v>
      </c>
      <c r="G1834" s="10">
        <f t="array" ref="G1834">index('Player ID'!C:C,match(E1834,'Player ID'!B:B,0))</f>
        <v>685801</v>
      </c>
    </row>
    <row r="1835">
      <c r="A1835" s="76">
        <v>45759.0</v>
      </c>
      <c r="B1835" s="1" t="s">
        <v>516</v>
      </c>
      <c r="C1835" s="1" t="s">
        <v>46</v>
      </c>
      <c r="D1835" s="1">
        <v>5.0</v>
      </c>
      <c r="E1835" s="1">
        <v>29960.0</v>
      </c>
      <c r="F1835" s="10">
        <f t="shared" si="1"/>
        <v>5</v>
      </c>
      <c r="G1835" s="10">
        <f t="array" ref="G1835">index('Player ID'!C:C,match(E1835,'Player ID'!B:B,0))</f>
        <v>700363</v>
      </c>
    </row>
    <row r="1836">
      <c r="A1836" s="76">
        <v>45759.0</v>
      </c>
      <c r="B1836" s="1" t="s">
        <v>719</v>
      </c>
      <c r="C1836" s="1" t="s">
        <v>80</v>
      </c>
      <c r="D1836" s="1">
        <v>1.0</v>
      </c>
      <c r="E1836" s="1">
        <v>14527.0</v>
      </c>
      <c r="F1836" s="10">
        <f t="shared" si="1"/>
        <v>1</v>
      </c>
      <c r="G1836" s="10">
        <f t="array" ref="G1836">index('Player ID'!C:C,match(E1836,'Player ID'!B:B,0))</f>
        <v>605347</v>
      </c>
    </row>
    <row r="1837">
      <c r="A1837" s="76">
        <v>45759.0</v>
      </c>
      <c r="B1837" s="1" t="s">
        <v>661</v>
      </c>
      <c r="C1837" s="1" t="s">
        <v>36</v>
      </c>
      <c r="D1837" s="1">
        <v>0.2</v>
      </c>
      <c r="E1837" s="1">
        <v>16300.0</v>
      </c>
      <c r="F1837" s="10">
        <f t="shared" si="1"/>
        <v>0.6666666667</v>
      </c>
      <c r="G1837" s="10">
        <f t="array" ref="G1837">index('Player ID'!C:C,match(E1837,'Player ID'!B:B,0))</f>
        <v>622786</v>
      </c>
    </row>
    <row r="1838">
      <c r="A1838" s="76">
        <v>45759.0</v>
      </c>
      <c r="B1838" s="1" t="s">
        <v>148</v>
      </c>
      <c r="C1838" s="1" t="s">
        <v>80</v>
      </c>
      <c r="D1838" s="1">
        <v>4.2</v>
      </c>
      <c r="E1838" s="1">
        <v>16977.0</v>
      </c>
      <c r="F1838" s="10">
        <f t="shared" si="1"/>
        <v>4.666666667</v>
      </c>
      <c r="G1838" s="10">
        <f t="array" ref="G1838">index('Player ID'!C:C,match(E1838,'Player ID'!B:B,0))</f>
        <v>592866</v>
      </c>
    </row>
    <row r="1839">
      <c r="A1839" s="76">
        <v>45759.0</v>
      </c>
      <c r="B1839" s="1" t="s">
        <v>229</v>
      </c>
      <c r="C1839" s="1" t="s">
        <v>36</v>
      </c>
      <c r="D1839" s="1">
        <v>5.2</v>
      </c>
      <c r="E1839" s="1">
        <v>18684.0</v>
      </c>
      <c r="F1839" s="10">
        <f t="shared" si="1"/>
        <v>5.666666667</v>
      </c>
      <c r="G1839" s="10">
        <f t="array" ref="G1839">index('Player ID'!C:C,match(E1839,'Player ID'!B:B,0))</f>
        <v>645261</v>
      </c>
    </row>
    <row r="1840">
      <c r="A1840" s="76">
        <v>45759.0</v>
      </c>
      <c r="B1840" s="1" t="s">
        <v>644</v>
      </c>
      <c r="C1840" s="1" t="s">
        <v>80</v>
      </c>
      <c r="D1840" s="1">
        <v>1.0</v>
      </c>
      <c r="E1840" s="1">
        <v>19403.0</v>
      </c>
      <c r="F1840" s="10">
        <f t="shared" si="1"/>
        <v>1</v>
      </c>
      <c r="G1840" s="10">
        <f t="array" ref="G1840">index('Player ID'!C:C,match(E1840,'Player ID'!B:B,0))</f>
        <v>621363</v>
      </c>
    </row>
    <row r="1841">
      <c r="A1841" s="76">
        <v>45759.0</v>
      </c>
      <c r="B1841" s="1" t="s">
        <v>262</v>
      </c>
      <c r="C1841" s="1" t="s">
        <v>36</v>
      </c>
      <c r="D1841" s="1">
        <v>1.0</v>
      </c>
      <c r="E1841" s="1">
        <v>20116.0</v>
      </c>
      <c r="F1841" s="10">
        <f t="shared" si="1"/>
        <v>1</v>
      </c>
      <c r="G1841" s="10">
        <f t="array" ref="G1841">index('Player ID'!C:C,match(E1841,'Player ID'!B:B,0))</f>
        <v>676534</v>
      </c>
    </row>
    <row r="1842">
      <c r="A1842" s="76">
        <v>45759.0</v>
      </c>
      <c r="B1842" s="1" t="s">
        <v>508</v>
      </c>
      <c r="C1842" s="1" t="s">
        <v>80</v>
      </c>
      <c r="D1842" s="1">
        <v>0.1</v>
      </c>
      <c r="E1842" s="1">
        <v>23135.0</v>
      </c>
      <c r="F1842" s="10">
        <f t="shared" si="1"/>
        <v>0.3333333333</v>
      </c>
      <c r="G1842" s="10">
        <f t="array" ref="G1842">index('Player ID'!C:C,match(E1842,'Player ID'!B:B,0))</f>
        <v>674285</v>
      </c>
    </row>
    <row r="1843">
      <c r="A1843" s="76">
        <v>45759.0</v>
      </c>
      <c r="B1843" s="1" t="s">
        <v>123</v>
      </c>
      <c r="C1843" s="1" t="s">
        <v>36</v>
      </c>
      <c r="D1843" s="1">
        <v>1.0</v>
      </c>
      <c r="E1843" s="1">
        <v>24094.0</v>
      </c>
      <c r="F1843" s="10">
        <f t="shared" si="1"/>
        <v>1</v>
      </c>
      <c r="G1843" s="10">
        <f t="array" ref="G1843">index('Player ID'!C:C,match(E1843,'Player ID'!B:B,0))</f>
        <v>678692</v>
      </c>
    </row>
    <row r="1844">
      <c r="A1844" s="76">
        <v>45759.0</v>
      </c>
      <c r="B1844" s="1" t="s">
        <v>511</v>
      </c>
      <c r="C1844" s="1" t="s">
        <v>80</v>
      </c>
      <c r="D1844" s="1">
        <v>1.0</v>
      </c>
      <c r="E1844" s="1">
        <v>26215.0</v>
      </c>
      <c r="F1844" s="10">
        <f t="shared" si="1"/>
        <v>1</v>
      </c>
      <c r="G1844" s="10">
        <f t="array" ref="G1844">index('Player ID'!C:C,match(E1844,'Player ID'!B:B,0))</f>
        <v>671131</v>
      </c>
    </row>
    <row r="1845">
      <c r="A1845" s="76">
        <v>45759.0</v>
      </c>
      <c r="B1845" s="1" t="s">
        <v>676</v>
      </c>
      <c r="C1845" s="1" t="s">
        <v>36</v>
      </c>
      <c r="D1845" s="1">
        <v>0.2</v>
      </c>
      <c r="E1845" s="1">
        <v>27453.0</v>
      </c>
      <c r="F1845" s="10">
        <f t="shared" si="1"/>
        <v>0.6666666667</v>
      </c>
      <c r="G1845" s="10">
        <f t="array" ref="G1845">index('Player ID'!C:C,match(E1845,'Player ID'!B:B,0))</f>
        <v>685107</v>
      </c>
    </row>
    <row r="1846">
      <c r="A1846" s="76">
        <v>45759.0</v>
      </c>
      <c r="B1846" s="1" t="s">
        <v>648</v>
      </c>
      <c r="C1846" s="1" t="s">
        <v>70</v>
      </c>
      <c r="D1846" s="1">
        <v>1.0</v>
      </c>
      <c r="E1846" s="1">
        <v>13892.0</v>
      </c>
      <c r="F1846" s="10">
        <f t="shared" si="1"/>
        <v>1</v>
      </c>
      <c r="G1846" s="10">
        <f t="array" ref="G1846">index('Player ID'!C:C,match(E1846,'Player ID'!B:B,0))</f>
        <v>623149</v>
      </c>
    </row>
    <row r="1847">
      <c r="A1847" s="76">
        <v>45759.0</v>
      </c>
      <c r="B1847" s="1" t="s">
        <v>420</v>
      </c>
      <c r="C1847" s="1" t="s">
        <v>29</v>
      </c>
      <c r="D1847" s="1">
        <v>5.2</v>
      </c>
      <c r="E1847" s="1">
        <v>14843.0</v>
      </c>
      <c r="F1847" s="10">
        <f t="shared" si="1"/>
        <v>5.666666667</v>
      </c>
      <c r="G1847" s="10">
        <f t="array" ref="G1847">index('Player ID'!C:C,match(E1847,'Player ID'!B:B,0))</f>
        <v>547179</v>
      </c>
    </row>
    <row r="1848">
      <c r="A1848" s="76">
        <v>45759.0</v>
      </c>
      <c r="B1848" s="1" t="s">
        <v>132</v>
      </c>
      <c r="C1848" s="1" t="s">
        <v>70</v>
      </c>
      <c r="D1848" s="1">
        <v>1.0</v>
      </c>
      <c r="E1848" s="1">
        <v>21032.0</v>
      </c>
      <c r="F1848" s="10">
        <f t="shared" si="1"/>
        <v>1</v>
      </c>
      <c r="G1848" s="10">
        <f t="array" ref="G1848">index('Player ID'!C:C,match(E1848,'Player ID'!B:B,0))</f>
        <v>661403</v>
      </c>
    </row>
    <row r="1849">
      <c r="A1849" s="76">
        <v>45759.0</v>
      </c>
      <c r="B1849" s="1" t="s">
        <v>140</v>
      </c>
      <c r="C1849" s="1" t="s">
        <v>29</v>
      </c>
      <c r="D1849" s="1">
        <v>0.2</v>
      </c>
      <c r="E1849" s="1">
        <v>22717.0</v>
      </c>
      <c r="F1849" s="10">
        <f t="shared" si="1"/>
        <v>0.6666666667</v>
      </c>
      <c r="G1849" s="10">
        <f t="array" ref="G1849">index('Player ID'!C:C,match(E1849,'Player ID'!B:B,0))</f>
        <v>672582</v>
      </c>
    </row>
    <row r="1850">
      <c r="A1850" s="76">
        <v>45759.0</v>
      </c>
      <c r="B1850" s="1" t="s">
        <v>214</v>
      </c>
      <c r="C1850" s="1" t="s">
        <v>29</v>
      </c>
      <c r="D1850" s="1">
        <v>0.2</v>
      </c>
      <c r="E1850" s="1">
        <v>23165.0</v>
      </c>
      <c r="F1850" s="10">
        <f t="shared" si="1"/>
        <v>0.6666666667</v>
      </c>
      <c r="G1850" s="10">
        <f t="array" ref="G1850">index('Player ID'!C:C,match(E1850,'Player ID'!B:B,0))</f>
        <v>674444</v>
      </c>
    </row>
    <row r="1851">
      <c r="A1851" s="76">
        <v>45759.0</v>
      </c>
      <c r="B1851" s="1" t="s">
        <v>519</v>
      </c>
      <c r="C1851" s="1" t="s">
        <v>70</v>
      </c>
      <c r="D1851" s="1">
        <v>0.1</v>
      </c>
      <c r="E1851" s="1">
        <v>25139.0</v>
      </c>
      <c r="F1851" s="10">
        <f t="shared" si="1"/>
        <v>0.3333333333</v>
      </c>
      <c r="G1851" s="10">
        <f t="array" ref="G1851">index('Player ID'!C:C,match(E1851,'Player ID'!B:B,0))</f>
        <v>682120</v>
      </c>
    </row>
    <row r="1852">
      <c r="A1852" s="76">
        <v>45759.0</v>
      </c>
      <c r="B1852" s="1" t="s">
        <v>442</v>
      </c>
      <c r="C1852" s="1" t="s">
        <v>29</v>
      </c>
      <c r="D1852" s="1">
        <v>1.0</v>
      </c>
      <c r="E1852" s="1">
        <v>25379.0</v>
      </c>
      <c r="F1852" s="10">
        <f t="shared" si="1"/>
        <v>1</v>
      </c>
      <c r="G1852" s="10">
        <f t="array" ref="G1852">index('Player ID'!C:C,match(E1852,'Player ID'!B:B,0))</f>
        <v>669674</v>
      </c>
    </row>
    <row r="1853">
      <c r="A1853" s="76">
        <v>45759.0</v>
      </c>
      <c r="B1853" s="1" t="s">
        <v>484</v>
      </c>
      <c r="C1853" s="1" t="s">
        <v>70</v>
      </c>
      <c r="D1853" s="1">
        <v>5.2</v>
      </c>
      <c r="E1853" s="1">
        <v>27646.0</v>
      </c>
      <c r="F1853" s="10">
        <f t="shared" si="1"/>
        <v>5.666666667</v>
      </c>
      <c r="G1853" s="10">
        <f t="array" ref="G1853">index('Player ID'!C:C,match(E1853,'Player ID'!B:B,0))</f>
        <v>682847</v>
      </c>
    </row>
    <row r="1854">
      <c r="A1854" s="76">
        <v>45759.0</v>
      </c>
      <c r="B1854" s="1" t="s">
        <v>135</v>
      </c>
      <c r="C1854" s="1" t="s">
        <v>70</v>
      </c>
      <c r="D1854" s="1">
        <v>1.0</v>
      </c>
      <c r="E1854" s="1">
        <v>27867.0</v>
      </c>
      <c r="F1854" s="10">
        <f t="shared" si="1"/>
        <v>1</v>
      </c>
      <c r="G1854" s="10">
        <f t="array" ref="G1854">index('Player ID'!C:C,match(E1854,'Player ID'!B:B,0))</f>
        <v>671922</v>
      </c>
    </row>
    <row r="1855">
      <c r="A1855" s="76">
        <v>45759.0</v>
      </c>
      <c r="B1855" s="1" t="s">
        <v>651</v>
      </c>
      <c r="C1855" s="1" t="s">
        <v>66</v>
      </c>
      <c r="D1855" s="1">
        <v>1.0</v>
      </c>
      <c r="E1855" s="1">
        <v>14771.0</v>
      </c>
      <c r="F1855" s="10">
        <f t="shared" si="1"/>
        <v>1</v>
      </c>
      <c r="G1855" s="10">
        <f t="array" ref="G1855">index('Player ID'!C:C,match(E1855,'Player ID'!B:B,0))</f>
        <v>641941</v>
      </c>
    </row>
    <row r="1856">
      <c r="A1856" s="76">
        <v>45759.0</v>
      </c>
      <c r="B1856" s="1" t="s">
        <v>475</v>
      </c>
      <c r="C1856" s="1" t="s">
        <v>66</v>
      </c>
      <c r="D1856" s="1">
        <v>0.2</v>
      </c>
      <c r="E1856" s="1">
        <v>14993.0</v>
      </c>
      <c r="F1856" s="10">
        <f t="shared" si="1"/>
        <v>0.6666666667</v>
      </c>
      <c r="G1856" s="10">
        <f t="array" ref="G1856">index('Player ID'!C:C,match(E1856,'Player ID'!B:B,0))</f>
        <v>605130</v>
      </c>
    </row>
    <row r="1857">
      <c r="A1857" s="76">
        <v>45759.0</v>
      </c>
      <c r="B1857" s="1" t="s">
        <v>707</v>
      </c>
      <c r="C1857" s="1" t="s">
        <v>60</v>
      </c>
      <c r="D1857" s="1">
        <v>1.2</v>
      </c>
      <c r="E1857" s="1">
        <v>15042.0</v>
      </c>
      <c r="F1857" s="10">
        <f t="shared" si="1"/>
        <v>1.666666667</v>
      </c>
      <c r="G1857" s="10">
        <f t="array" ref="G1857">index('Player ID'!C:C,match(E1857,'Player ID'!B:B,0))</f>
        <v>641835</v>
      </c>
    </row>
    <row r="1858">
      <c r="A1858" s="76">
        <v>45759.0</v>
      </c>
      <c r="B1858" s="1" t="s">
        <v>256</v>
      </c>
      <c r="C1858" s="1" t="s">
        <v>60</v>
      </c>
      <c r="D1858" s="1">
        <v>6.0</v>
      </c>
      <c r="E1858" s="1">
        <v>15423.0</v>
      </c>
      <c r="F1858" s="10">
        <f t="shared" si="1"/>
        <v>6</v>
      </c>
      <c r="G1858" s="10">
        <f t="array" ref="G1858">index('Player ID'!C:C,match(E1858,'Player ID'!B:B,0))</f>
        <v>571760</v>
      </c>
    </row>
    <row r="1859">
      <c r="A1859" s="76">
        <v>45759.0</v>
      </c>
      <c r="B1859" s="1" t="s">
        <v>653</v>
      </c>
      <c r="C1859" s="1" t="s">
        <v>66</v>
      </c>
      <c r="D1859" s="1">
        <v>1.0</v>
      </c>
      <c r="E1859" s="1">
        <v>17871.0</v>
      </c>
      <c r="F1859" s="10">
        <f t="shared" si="1"/>
        <v>1</v>
      </c>
      <c r="G1859" s="10">
        <f t="array" ref="G1859">index('Player ID'!C:C,match(E1859,'Player ID'!B:B,0))</f>
        <v>664139</v>
      </c>
    </row>
    <row r="1860">
      <c r="A1860" s="76">
        <v>45759.0</v>
      </c>
      <c r="B1860" s="1" t="s">
        <v>345</v>
      </c>
      <c r="C1860" s="1" t="s">
        <v>66</v>
      </c>
      <c r="D1860" s="1">
        <v>1.1</v>
      </c>
      <c r="E1860" s="1">
        <v>19926.0</v>
      </c>
      <c r="F1860" s="10">
        <f t="shared" si="1"/>
        <v>1.333333333</v>
      </c>
      <c r="G1860" s="10">
        <f t="array" ref="G1860">index('Player ID'!C:C,match(E1860,'Player ID'!B:B,0))</f>
        <v>663574</v>
      </c>
    </row>
    <row r="1861">
      <c r="A1861" s="76">
        <v>45759.0</v>
      </c>
      <c r="B1861" s="1" t="s">
        <v>482</v>
      </c>
      <c r="C1861" s="1" t="s">
        <v>60</v>
      </c>
      <c r="D1861" s="1">
        <v>0.1</v>
      </c>
      <c r="E1861" s="1">
        <v>27775.0</v>
      </c>
      <c r="F1861" s="10">
        <f t="shared" si="1"/>
        <v>0.3333333333</v>
      </c>
      <c r="G1861" s="10">
        <f t="array" ref="G1861">index('Player ID'!C:C,match(E1861,'Player ID'!B:B,0))</f>
        <v>693312</v>
      </c>
    </row>
    <row r="1862">
      <c r="A1862" s="76">
        <v>45759.0</v>
      </c>
      <c r="B1862" s="1" t="s">
        <v>169</v>
      </c>
      <c r="C1862" s="1" t="s">
        <v>66</v>
      </c>
      <c r="D1862" s="1">
        <v>5.0</v>
      </c>
      <c r="E1862" s="1">
        <v>29911.0</v>
      </c>
      <c r="F1862" s="10">
        <f t="shared" si="1"/>
        <v>5</v>
      </c>
      <c r="G1862" s="10">
        <f t="array" ref="G1862">index('Player ID'!C:C,match(E1862,'Player ID'!B:B,0))</f>
        <v>671096</v>
      </c>
    </row>
    <row r="1863">
      <c r="A1863" s="76">
        <v>45759.0</v>
      </c>
      <c r="B1863" s="1" t="s">
        <v>154</v>
      </c>
      <c r="C1863" s="1" t="s">
        <v>25</v>
      </c>
      <c r="D1863" s="1">
        <v>1.0</v>
      </c>
      <c r="E1863" s="1">
        <v>3096.0</v>
      </c>
      <c r="F1863" s="10">
        <f t="shared" si="1"/>
        <v>1</v>
      </c>
      <c r="G1863" s="10">
        <f t="array" ref="G1863">index('Player ID'!C:C,match(E1863,'Player ID'!B:B,0))</f>
        <v>445276</v>
      </c>
    </row>
    <row r="1864">
      <c r="A1864" s="76">
        <v>45759.0</v>
      </c>
      <c r="B1864" s="1" t="s">
        <v>278</v>
      </c>
      <c r="C1864" s="1" t="s">
        <v>25</v>
      </c>
      <c r="D1864" s="1">
        <v>5.2</v>
      </c>
      <c r="E1864" s="1">
        <v>12880.0</v>
      </c>
      <c r="F1864" s="10">
        <f t="shared" si="1"/>
        <v>5.666666667</v>
      </c>
      <c r="G1864" s="10">
        <f t="array" ref="G1864">index('Player ID'!C:C,match(E1864,'Player ID'!B:B,0))</f>
        <v>542881</v>
      </c>
    </row>
    <row r="1865">
      <c r="A1865" s="76">
        <v>45759.0</v>
      </c>
      <c r="B1865" s="1" t="s">
        <v>38</v>
      </c>
      <c r="C1865" s="1" t="s">
        <v>39</v>
      </c>
      <c r="D1865" s="1">
        <v>2.0</v>
      </c>
      <c r="E1865" s="1">
        <v>13580.0</v>
      </c>
      <c r="F1865" s="10">
        <f t="shared" si="1"/>
        <v>2</v>
      </c>
      <c r="G1865" s="10">
        <f t="array" ref="G1865">index('Player ID'!C:C,match(E1865,'Player ID'!B:B,0))</f>
        <v>595345</v>
      </c>
    </row>
    <row r="1866">
      <c r="A1866" s="76">
        <v>45759.0</v>
      </c>
      <c r="B1866" s="1" t="s">
        <v>291</v>
      </c>
      <c r="C1866" s="1" t="s">
        <v>25</v>
      </c>
      <c r="D1866" s="1">
        <v>1.0</v>
      </c>
      <c r="E1866" s="1">
        <v>17968.0</v>
      </c>
      <c r="F1866" s="10">
        <f t="shared" si="1"/>
        <v>1</v>
      </c>
      <c r="G1866" s="10">
        <f t="array" ref="G1866">index('Player ID'!C:C,match(E1866,'Player ID'!B:B,0))</f>
        <v>656271</v>
      </c>
    </row>
    <row r="1867">
      <c r="A1867" s="76">
        <v>45759.0</v>
      </c>
      <c r="B1867" s="1" t="s">
        <v>102</v>
      </c>
      <c r="C1867" s="1" t="s">
        <v>39</v>
      </c>
      <c r="D1867" s="1">
        <v>1.0</v>
      </c>
      <c r="E1867" s="1">
        <v>21345.0</v>
      </c>
      <c r="F1867" s="10">
        <f t="shared" si="1"/>
        <v>1</v>
      </c>
      <c r="G1867" s="10">
        <f t="array" ref="G1867">index('Player ID'!C:C,match(E1867,'Player ID'!B:B,0))</f>
        <v>656986</v>
      </c>
    </row>
    <row r="1868">
      <c r="A1868" s="76">
        <v>45759.0</v>
      </c>
      <c r="B1868" s="1" t="s">
        <v>385</v>
      </c>
      <c r="C1868" s="1" t="s">
        <v>25</v>
      </c>
      <c r="D1868" s="1">
        <v>1.0</v>
      </c>
      <c r="E1868" s="1">
        <v>25420.0</v>
      </c>
      <c r="F1868" s="10">
        <f t="shared" si="1"/>
        <v>1</v>
      </c>
      <c r="G1868" s="10">
        <f t="array" ref="G1868">index('Player ID'!C:C,match(E1868,'Player ID'!B:B,0))</f>
        <v>666171</v>
      </c>
    </row>
    <row r="1869">
      <c r="A1869" s="76">
        <v>45759.0</v>
      </c>
      <c r="B1869" s="1" t="s">
        <v>76</v>
      </c>
      <c r="C1869" s="1" t="s">
        <v>39</v>
      </c>
      <c r="D1869" s="1">
        <v>1.0</v>
      </c>
      <c r="E1869" s="1">
        <v>25890.0</v>
      </c>
      <c r="F1869" s="10">
        <f t="shared" si="1"/>
        <v>1</v>
      </c>
      <c r="G1869" s="10">
        <f t="array" ref="G1869">index('Player ID'!C:C,match(E1869,'Player ID'!B:B,0))</f>
        <v>687911</v>
      </c>
    </row>
    <row r="1870">
      <c r="A1870" s="76">
        <v>45759.0</v>
      </c>
      <c r="B1870" s="1" t="s">
        <v>228</v>
      </c>
      <c r="C1870" s="1" t="s">
        <v>39</v>
      </c>
      <c r="D1870" s="1">
        <v>4.0</v>
      </c>
      <c r="E1870" s="1">
        <v>26440.0</v>
      </c>
      <c r="F1870" s="10">
        <f t="shared" si="1"/>
        <v>4</v>
      </c>
      <c r="G1870" s="10">
        <f t="array" ref="G1870">index('Player ID'!C:C,match(E1870,'Player ID'!B:B,0))</f>
        <v>687473</v>
      </c>
    </row>
    <row r="1871">
      <c r="A1871" s="76">
        <v>45759.0</v>
      </c>
      <c r="B1871" s="1" t="s">
        <v>794</v>
      </c>
      <c r="C1871" s="1" t="s">
        <v>39</v>
      </c>
      <c r="D1871" s="1">
        <v>1.0</v>
      </c>
      <c r="E1871" s="1">
        <v>31884.0</v>
      </c>
      <c r="F1871" s="10">
        <f t="shared" si="1"/>
        <v>1</v>
      </c>
      <c r="G1871" s="10">
        <f t="array" ref="G1871">index('Player ID'!C:C,match(E1871,'Player ID'!B:B,0))</f>
        <v>701121</v>
      </c>
    </row>
    <row r="1872">
      <c r="A1872" s="76">
        <v>45759.0</v>
      </c>
      <c r="B1872" s="1" t="s">
        <v>659</v>
      </c>
      <c r="C1872" s="1" t="s">
        <v>25</v>
      </c>
      <c r="D1872" s="1">
        <v>0.1</v>
      </c>
      <c r="E1872" s="1">
        <v>35325.0</v>
      </c>
      <c r="F1872" s="10">
        <f t="shared" si="1"/>
        <v>0.3333333333</v>
      </c>
      <c r="G1872" s="10">
        <f t="array" ref="G1872">index('Player ID'!C:C,match(E1872,'Player ID'!B:B,0))</f>
        <v>696270</v>
      </c>
    </row>
    <row r="1873">
      <c r="A1873" s="76">
        <v>45759.0</v>
      </c>
      <c r="B1873" s="1" t="s">
        <v>634</v>
      </c>
      <c r="C1873" s="1" t="s">
        <v>14</v>
      </c>
      <c r="D1873" s="1">
        <v>0.1</v>
      </c>
      <c r="E1873" s="1">
        <v>14332.0</v>
      </c>
      <c r="F1873" s="10">
        <f t="shared" si="1"/>
        <v>0.3333333333</v>
      </c>
      <c r="G1873" s="10">
        <f t="array" ref="G1873">index('Player ID'!C:C,match(E1873,'Player ID'!B:B,0))</f>
        <v>606303</v>
      </c>
    </row>
    <row r="1874">
      <c r="A1874" s="76">
        <v>45759.0</v>
      </c>
      <c r="B1874" s="1" t="s">
        <v>13</v>
      </c>
      <c r="C1874" s="1" t="s">
        <v>14</v>
      </c>
      <c r="D1874" s="1">
        <v>0.1</v>
      </c>
      <c r="E1874" s="1">
        <v>17722.0</v>
      </c>
      <c r="F1874" s="10">
        <f t="shared" si="1"/>
        <v>0.3333333333</v>
      </c>
      <c r="G1874" s="10">
        <f t="array" ref="G1874">index('Player ID'!C:C,match(E1874,'Player ID'!B:B,0))</f>
        <v>656730</v>
      </c>
    </row>
    <row r="1875">
      <c r="A1875" s="76">
        <v>45759.0</v>
      </c>
      <c r="B1875" s="1" t="s">
        <v>431</v>
      </c>
      <c r="C1875" s="1" t="s">
        <v>64</v>
      </c>
      <c r="D1875" s="1">
        <v>6.0</v>
      </c>
      <c r="E1875" s="1">
        <v>19361.0</v>
      </c>
      <c r="F1875" s="10">
        <f t="shared" si="1"/>
        <v>6</v>
      </c>
      <c r="G1875" s="10">
        <f t="array" ref="G1875">index('Player ID'!C:C,match(E1875,'Player ID'!B:B,0))</f>
        <v>669203</v>
      </c>
    </row>
    <row r="1876">
      <c r="A1876" s="76">
        <v>45759.0</v>
      </c>
      <c r="B1876" s="1" t="s">
        <v>636</v>
      </c>
      <c r="C1876" s="1" t="s">
        <v>14</v>
      </c>
      <c r="D1876" s="1">
        <v>0.2</v>
      </c>
      <c r="E1876" s="1">
        <v>19924.0</v>
      </c>
      <c r="F1876" s="10">
        <f t="shared" si="1"/>
        <v>0.6666666667</v>
      </c>
      <c r="G1876" s="10">
        <f t="array" ref="G1876">index('Player ID'!C:C,match(E1876,'Player ID'!B:B,0))</f>
        <v>663542</v>
      </c>
    </row>
    <row r="1877">
      <c r="A1877" s="76">
        <v>45759.0</v>
      </c>
      <c r="B1877" s="1" t="s">
        <v>279</v>
      </c>
      <c r="C1877" s="1" t="s">
        <v>14</v>
      </c>
      <c r="D1877" s="1">
        <v>1.0</v>
      </c>
      <c r="E1877" s="1">
        <v>25327.0</v>
      </c>
      <c r="F1877" s="10">
        <f t="shared" si="1"/>
        <v>1</v>
      </c>
      <c r="G1877" s="10">
        <f t="array" ref="G1877">index('Player ID'!C:C,match(E1877,'Player ID'!B:B,0))</f>
        <v>682842</v>
      </c>
    </row>
    <row r="1878">
      <c r="A1878" s="76">
        <v>45759.0</v>
      </c>
      <c r="B1878" s="1" t="s">
        <v>112</v>
      </c>
      <c r="C1878" s="1" t="s">
        <v>14</v>
      </c>
      <c r="D1878" s="1">
        <v>1.0</v>
      </c>
      <c r="E1878" s="1">
        <v>25376.0</v>
      </c>
      <c r="F1878" s="10">
        <f t="shared" si="1"/>
        <v>1</v>
      </c>
      <c r="G1878" s="10">
        <f t="array" ref="G1878">index('Player ID'!C:C,match(E1878,'Player ID'!B:B,0))</f>
        <v>683232</v>
      </c>
    </row>
    <row r="1879">
      <c r="A1879" s="76">
        <v>45759.0</v>
      </c>
      <c r="B1879" s="1" t="s">
        <v>93</v>
      </c>
      <c r="C1879" s="1" t="s">
        <v>64</v>
      </c>
      <c r="D1879" s="1">
        <v>3.0</v>
      </c>
      <c r="E1879" s="1">
        <v>26253.0</v>
      </c>
      <c r="F1879" s="10">
        <f t="shared" si="1"/>
        <v>3</v>
      </c>
      <c r="G1879" s="10">
        <f t="array" ref="G1879">index('Player ID'!C:C,match(E1879,'Player ID'!B:B,0))</f>
        <v>669194</v>
      </c>
    </row>
    <row r="1880">
      <c r="A1880" s="76">
        <v>45759.0</v>
      </c>
      <c r="B1880" s="1" t="s">
        <v>418</v>
      </c>
      <c r="C1880" s="1" t="s">
        <v>14</v>
      </c>
      <c r="D1880" s="1">
        <v>1.0</v>
      </c>
      <c r="E1880" s="1">
        <v>27517.0</v>
      </c>
      <c r="F1880" s="10">
        <f t="shared" si="1"/>
        <v>1</v>
      </c>
      <c r="G1880" s="10">
        <f t="array" ref="G1880">index('Player ID'!C:C,match(E1880,'Player ID'!B:B,0))</f>
        <v>657649</v>
      </c>
    </row>
    <row r="1881">
      <c r="A1881" s="76">
        <v>45759.0</v>
      </c>
      <c r="B1881" s="1" t="s">
        <v>496</v>
      </c>
      <c r="C1881" s="1" t="s">
        <v>14</v>
      </c>
      <c r="D1881" s="1">
        <v>4.1</v>
      </c>
      <c r="E1881" s="1">
        <v>30113.0</v>
      </c>
      <c r="F1881" s="10">
        <f t="shared" si="1"/>
        <v>4.333333333</v>
      </c>
      <c r="G1881" s="10">
        <f t="array" ref="G1881">index('Player ID'!C:C,match(E1881,'Player ID'!B:B,0))</f>
        <v>694477</v>
      </c>
    </row>
    <row r="1882">
      <c r="A1882" s="76">
        <v>45759.0</v>
      </c>
      <c r="B1882" s="1" t="s">
        <v>342</v>
      </c>
      <c r="C1882" s="1" t="s">
        <v>26</v>
      </c>
      <c r="D1882" s="1">
        <v>1.0</v>
      </c>
      <c r="E1882" s="1">
        <v>11861.0</v>
      </c>
      <c r="F1882" s="10">
        <f t="shared" si="1"/>
        <v>1</v>
      </c>
      <c r="G1882" s="10">
        <f t="array" ref="G1882">index('Player ID'!C:C,match(E1882,'Player ID'!B:B,0))</f>
        <v>592094</v>
      </c>
    </row>
    <row r="1883">
      <c r="A1883" s="76">
        <v>45759.0</v>
      </c>
      <c r="B1883" s="1" t="s">
        <v>451</v>
      </c>
      <c r="C1883" s="1" t="s">
        <v>75</v>
      </c>
      <c r="D1883" s="1">
        <v>1.1</v>
      </c>
      <c r="E1883" s="1">
        <v>17556.0</v>
      </c>
      <c r="F1883" s="10">
        <f t="shared" si="1"/>
        <v>1.333333333</v>
      </c>
      <c r="G1883" s="10">
        <f t="array" ref="G1883">index('Player ID'!C:C,match(E1883,'Player ID'!B:B,0))</f>
        <v>623474</v>
      </c>
    </row>
    <row r="1884">
      <c r="A1884" s="76">
        <v>45759.0</v>
      </c>
      <c r="B1884" s="1" t="s">
        <v>288</v>
      </c>
      <c r="C1884" s="1" t="s">
        <v>75</v>
      </c>
      <c r="D1884" s="1">
        <v>1.0</v>
      </c>
      <c r="E1884" s="1">
        <v>18297.0</v>
      </c>
      <c r="F1884" s="10">
        <f t="shared" si="1"/>
        <v>1</v>
      </c>
      <c r="G1884" s="10">
        <f t="array" ref="G1884">index('Player ID'!C:C,match(E1884,'Player ID'!B:B,0))</f>
        <v>641755</v>
      </c>
    </row>
    <row r="1885">
      <c r="A1885" s="76">
        <v>45759.0</v>
      </c>
      <c r="B1885" s="1" t="s">
        <v>271</v>
      </c>
      <c r="C1885" s="1" t="s">
        <v>26</v>
      </c>
      <c r="D1885" s="1">
        <v>6.0</v>
      </c>
      <c r="E1885" s="1">
        <v>19646.0</v>
      </c>
      <c r="F1885" s="10">
        <f t="shared" si="1"/>
        <v>6</v>
      </c>
      <c r="G1885" s="10">
        <f t="array" ref="G1885">index('Player ID'!C:C,match(E1885,'Player ID'!B:B,0))</f>
        <v>606996</v>
      </c>
    </row>
    <row r="1886">
      <c r="A1886" s="76">
        <v>45759.0</v>
      </c>
      <c r="B1886" s="1" t="s">
        <v>94</v>
      </c>
      <c r="C1886" s="1" t="s">
        <v>26</v>
      </c>
      <c r="D1886" s="1">
        <v>1.0</v>
      </c>
      <c r="E1886" s="1">
        <v>22210.0</v>
      </c>
      <c r="F1886" s="10">
        <f t="shared" si="1"/>
        <v>1</v>
      </c>
      <c r="G1886" s="10">
        <f t="array" ref="G1886">index('Player ID'!C:C,match(E1886,'Player ID'!B:B,0))</f>
        <v>669093</v>
      </c>
    </row>
    <row r="1887">
      <c r="A1887" s="76">
        <v>45759.0</v>
      </c>
      <c r="B1887" s="1" t="s">
        <v>81</v>
      </c>
      <c r="C1887" s="1" t="s">
        <v>26</v>
      </c>
      <c r="D1887" s="1">
        <v>1.0</v>
      </c>
      <c r="E1887" s="1">
        <v>30115.0</v>
      </c>
      <c r="F1887" s="10">
        <f t="shared" si="1"/>
        <v>1</v>
      </c>
      <c r="G1887" s="10">
        <f t="array" ref="G1887">index('Player ID'!C:C,match(E1887,'Player ID'!B:B,0))</f>
        <v>663158</v>
      </c>
    </row>
    <row r="1888">
      <c r="A1888" s="76">
        <v>45759.0</v>
      </c>
      <c r="B1888" s="1" t="s">
        <v>495</v>
      </c>
      <c r="C1888" s="1" t="s">
        <v>75</v>
      </c>
      <c r="D1888" s="1">
        <v>5.2</v>
      </c>
      <c r="E1888" s="1">
        <v>33482.0</v>
      </c>
      <c r="F1888" s="10">
        <f t="shared" si="1"/>
        <v>5.666666667</v>
      </c>
      <c r="G1888" s="10">
        <f t="array" ref="G1888">index('Player ID'!C:C,match(E1888,'Player ID'!B:B,0))</f>
        <v>801403</v>
      </c>
    </row>
    <row r="1889">
      <c r="A1889" s="76">
        <v>45759.0</v>
      </c>
      <c r="B1889" s="1" t="s">
        <v>595</v>
      </c>
      <c r="C1889" s="1" t="s">
        <v>33</v>
      </c>
      <c r="D1889" s="1">
        <v>0.1</v>
      </c>
      <c r="E1889" s="1">
        <v>6984.0</v>
      </c>
      <c r="F1889" s="10">
        <f t="shared" si="1"/>
        <v>0.3333333333</v>
      </c>
      <c r="G1889" s="10">
        <f t="array" ref="G1889">index('Player ID'!C:C,match(E1889,'Player ID'!B:B,0))</f>
        <v>472610</v>
      </c>
    </row>
    <row r="1890">
      <c r="A1890" s="76">
        <v>45759.0</v>
      </c>
      <c r="B1890" s="1" t="s">
        <v>798</v>
      </c>
      <c r="C1890" s="1" t="s">
        <v>33</v>
      </c>
      <c r="D1890" s="1">
        <v>2.0</v>
      </c>
      <c r="E1890" s="1">
        <v>7802.0</v>
      </c>
      <c r="F1890" s="10">
        <f t="shared" si="1"/>
        <v>2</v>
      </c>
      <c r="G1890" s="10">
        <f t="array" ref="G1890">index('Player ID'!C:C,match(E1890,'Player ID'!B:B,0))</f>
        <v>500743</v>
      </c>
    </row>
    <row r="1891">
      <c r="A1891" s="76">
        <v>45759.0</v>
      </c>
      <c r="B1891" s="1" t="s">
        <v>71</v>
      </c>
      <c r="C1891" s="1" t="s">
        <v>34</v>
      </c>
      <c r="D1891" s="1">
        <v>1.0</v>
      </c>
      <c r="E1891" s="1">
        <v>10078.0</v>
      </c>
      <c r="F1891" s="10">
        <f t="shared" si="1"/>
        <v>1</v>
      </c>
      <c r="G1891" s="10">
        <f t="array" ref="G1891">index('Player ID'!C:C,match(E1891,'Player ID'!B:B,0))</f>
        <v>573204</v>
      </c>
    </row>
    <row r="1892">
      <c r="A1892" s="76">
        <v>45759.0</v>
      </c>
      <c r="B1892" s="1" t="s">
        <v>632</v>
      </c>
      <c r="C1892" s="1" t="s">
        <v>34</v>
      </c>
      <c r="D1892" s="1">
        <v>1.0</v>
      </c>
      <c r="E1892" s="1">
        <v>16703.0</v>
      </c>
      <c r="F1892" s="10">
        <f t="shared" si="1"/>
        <v>1</v>
      </c>
      <c r="G1892" s="10">
        <f t="array" ref="G1892">index('Player ID'!C:C,match(E1892,'Player ID'!B:B,0))</f>
        <v>657240</v>
      </c>
    </row>
    <row r="1893">
      <c r="A1893" s="76">
        <v>45759.0</v>
      </c>
      <c r="B1893" s="1" t="s">
        <v>633</v>
      </c>
      <c r="C1893" s="1" t="s">
        <v>34</v>
      </c>
      <c r="D1893" s="1">
        <v>1.0</v>
      </c>
      <c r="E1893" s="1">
        <v>20160.0</v>
      </c>
      <c r="F1893" s="10">
        <f t="shared" si="1"/>
        <v>1</v>
      </c>
      <c r="G1893" s="10">
        <f t="array" ref="G1893">index('Player ID'!C:C,match(E1893,'Player ID'!B:B,0))</f>
        <v>663878</v>
      </c>
    </row>
    <row r="1894">
      <c r="A1894" s="76">
        <v>45759.0</v>
      </c>
      <c r="B1894" s="1" t="s">
        <v>341</v>
      </c>
      <c r="C1894" s="1" t="s">
        <v>34</v>
      </c>
      <c r="D1894" s="1">
        <v>6.0</v>
      </c>
      <c r="E1894" s="1">
        <v>23590.0</v>
      </c>
      <c r="F1894" s="10">
        <f t="shared" si="1"/>
        <v>6</v>
      </c>
      <c r="G1894" s="10">
        <f t="array" ref="G1894">index('Player ID'!C:C,match(E1894,'Player ID'!B:B,0))</f>
        <v>676962</v>
      </c>
    </row>
    <row r="1895">
      <c r="A1895" s="76">
        <v>45759.0</v>
      </c>
      <c r="B1895" s="1" t="s">
        <v>104</v>
      </c>
      <c r="C1895" s="1" t="s">
        <v>33</v>
      </c>
      <c r="D1895" s="1">
        <v>1.2</v>
      </c>
      <c r="E1895" s="1">
        <v>30085.0</v>
      </c>
      <c r="F1895" s="10">
        <f t="shared" si="1"/>
        <v>1.666666667</v>
      </c>
      <c r="G1895" s="10">
        <f t="array" ref="G1895">index('Player ID'!C:C,match(E1895,'Player ID'!B:B,0))</f>
        <v>676508</v>
      </c>
    </row>
    <row r="1896">
      <c r="A1896" s="76">
        <v>45759.0</v>
      </c>
      <c r="B1896" s="1" t="s">
        <v>522</v>
      </c>
      <c r="C1896" s="1" t="s">
        <v>33</v>
      </c>
      <c r="D1896" s="1">
        <v>5.0</v>
      </c>
      <c r="E1896" s="1">
        <v>35323.0</v>
      </c>
      <c r="F1896" s="10">
        <f t="shared" si="1"/>
        <v>5</v>
      </c>
      <c r="G1896" s="10">
        <f t="array" ref="G1896">index('Player ID'!C:C,match(E1896,'Player ID'!B:B,0))</f>
        <v>808963</v>
      </c>
    </row>
    <row r="1897">
      <c r="A1897" s="76">
        <v>45759.0</v>
      </c>
      <c r="B1897" s="1" t="s">
        <v>440</v>
      </c>
      <c r="C1897" s="1" t="s">
        <v>56</v>
      </c>
      <c r="D1897" s="1">
        <v>1.0</v>
      </c>
      <c r="E1897" s="1">
        <v>12857.0</v>
      </c>
      <c r="F1897" s="10">
        <f t="shared" si="1"/>
        <v>1</v>
      </c>
      <c r="G1897" s="10">
        <f t="array" ref="G1897">index('Player ID'!C:C,match(E1897,'Player ID'!B:B,0))</f>
        <v>542888</v>
      </c>
    </row>
    <row r="1898">
      <c r="A1898" s="76">
        <v>45759.0</v>
      </c>
      <c r="B1898" s="1" t="s">
        <v>349</v>
      </c>
      <c r="C1898" s="1" t="s">
        <v>56</v>
      </c>
      <c r="D1898" s="1">
        <v>3.2</v>
      </c>
      <c r="E1898" s="1">
        <v>19736.0</v>
      </c>
      <c r="F1898" s="10">
        <f t="shared" si="1"/>
        <v>3.666666667</v>
      </c>
      <c r="G1898" s="10">
        <f t="array" ref="G1898">index('Player ID'!C:C,match(E1898,'Player ID'!B:B,0))</f>
        <v>676961</v>
      </c>
    </row>
    <row r="1899">
      <c r="A1899" s="76">
        <v>45759.0</v>
      </c>
      <c r="B1899" s="1" t="s">
        <v>157</v>
      </c>
      <c r="C1899" s="1" t="s">
        <v>37</v>
      </c>
      <c r="D1899" s="1">
        <v>1.0</v>
      </c>
      <c r="E1899" s="1">
        <v>20997.0</v>
      </c>
      <c r="F1899" s="10">
        <f t="shared" si="1"/>
        <v>1</v>
      </c>
      <c r="G1899" s="10">
        <f t="array" ref="G1899">index('Player ID'!C:C,match(E1899,'Player ID'!B:B,0))</f>
        <v>660825</v>
      </c>
    </row>
    <row r="1900">
      <c r="A1900" s="76">
        <v>45759.0</v>
      </c>
      <c r="B1900" s="1" t="s">
        <v>684</v>
      </c>
      <c r="C1900" s="1" t="s">
        <v>37</v>
      </c>
      <c r="D1900" s="1">
        <v>1.0</v>
      </c>
      <c r="E1900" s="1">
        <v>21894.0</v>
      </c>
      <c r="F1900" s="10">
        <f t="shared" si="1"/>
        <v>1</v>
      </c>
      <c r="G1900" s="10">
        <f t="array" ref="G1900">index('Player ID'!C:C,match(E1900,'Player ID'!B:B,0))</f>
        <v>666619</v>
      </c>
    </row>
    <row r="1901">
      <c r="A1901" s="76">
        <v>45759.0</v>
      </c>
      <c r="B1901" s="1" t="s">
        <v>90</v>
      </c>
      <c r="C1901" s="1" t="s">
        <v>37</v>
      </c>
      <c r="D1901" s="1">
        <v>7.0</v>
      </c>
      <c r="E1901" s="1">
        <v>30279.0</v>
      </c>
      <c r="F1901" s="10">
        <f t="shared" si="1"/>
        <v>7</v>
      </c>
      <c r="G1901" s="10">
        <f t="array" ref="G1901">index('Player ID'!C:C,match(E1901,'Player ID'!B:B,0))</f>
        <v>693433</v>
      </c>
    </row>
    <row r="1902">
      <c r="A1902" s="76">
        <v>45759.0</v>
      </c>
      <c r="B1902" s="1" t="s">
        <v>477</v>
      </c>
      <c r="C1902" s="1" t="s">
        <v>56</v>
      </c>
      <c r="D1902" s="1">
        <v>3.1</v>
      </c>
      <c r="E1902" s="1">
        <v>31843.0</v>
      </c>
      <c r="F1902" s="10">
        <f t="shared" si="1"/>
        <v>3.333333333</v>
      </c>
      <c r="G1902" s="10">
        <f t="array" ref="G1902">index('Player ID'!C:C,match(E1902,'Player ID'!B:B,0))</f>
        <v>677958</v>
      </c>
    </row>
    <row r="1903">
      <c r="A1903" s="76">
        <v>45760.0</v>
      </c>
      <c r="B1903" s="1" t="s">
        <v>20</v>
      </c>
      <c r="C1903" s="1" t="s">
        <v>31</v>
      </c>
      <c r="D1903" s="1">
        <v>1.0</v>
      </c>
      <c r="E1903" s="1">
        <v>15541.0</v>
      </c>
      <c r="F1903" s="10">
        <f t="shared" si="1"/>
        <v>1</v>
      </c>
      <c r="G1903" s="10">
        <f t="array" ref="G1903">index('Player ID'!C:C,match(E1903,'Player ID'!B:B,0))</f>
        <v>643511</v>
      </c>
    </row>
    <row r="1904">
      <c r="A1904" s="76">
        <v>45760.0</v>
      </c>
      <c r="B1904" s="1" t="s">
        <v>467</v>
      </c>
      <c r="C1904" s="1" t="s">
        <v>58</v>
      </c>
      <c r="D1904" s="1">
        <v>0.2</v>
      </c>
      <c r="E1904" s="1">
        <v>15551.0</v>
      </c>
      <c r="F1904" s="10">
        <f t="shared" si="1"/>
        <v>0.6666666667</v>
      </c>
      <c r="G1904" s="10">
        <f t="array" ref="G1904">index('Player ID'!C:C,match(E1904,'Player ID'!B:B,0))</f>
        <v>643410</v>
      </c>
    </row>
    <row r="1905">
      <c r="A1905" s="76">
        <v>45760.0</v>
      </c>
      <c r="B1905" s="1" t="s">
        <v>635</v>
      </c>
      <c r="C1905" s="1" t="s">
        <v>58</v>
      </c>
      <c r="D1905" s="1">
        <v>5.2</v>
      </c>
      <c r="E1905" s="1">
        <v>16137.0</v>
      </c>
      <c r="F1905" s="10">
        <f t="shared" si="1"/>
        <v>5.666666667</v>
      </c>
      <c r="G1905" s="10">
        <f t="array" ref="G1905">index('Player ID'!C:C,match(E1905,'Player ID'!B:B,0))</f>
        <v>607074</v>
      </c>
    </row>
    <row r="1906">
      <c r="A1906" s="76">
        <v>45760.0</v>
      </c>
      <c r="B1906" s="1" t="s">
        <v>69</v>
      </c>
      <c r="C1906" s="1" t="s">
        <v>58</v>
      </c>
      <c r="D1906" s="1">
        <v>1.2</v>
      </c>
      <c r="E1906" s="1">
        <v>16814.0</v>
      </c>
      <c r="F1906" s="10">
        <f t="shared" si="1"/>
        <v>1.666666667</v>
      </c>
      <c r="G1906" s="10">
        <f t="array" ref="G1906">index('Player ID'!C:C,match(E1906,'Player ID'!B:B,0))</f>
        <v>657612</v>
      </c>
    </row>
    <row r="1907">
      <c r="A1907" s="76">
        <v>45760.0</v>
      </c>
      <c r="B1907" s="1" t="s">
        <v>77</v>
      </c>
      <c r="C1907" s="1" t="s">
        <v>31</v>
      </c>
      <c r="D1907" s="1">
        <v>5.0</v>
      </c>
      <c r="E1907" s="1">
        <v>17995.0</v>
      </c>
      <c r="F1907" s="10">
        <f t="shared" si="1"/>
        <v>5</v>
      </c>
      <c r="G1907" s="10">
        <f t="array" ref="G1907">index('Player ID'!C:C,match(E1907,'Player ID'!B:B,0))</f>
        <v>657277</v>
      </c>
    </row>
    <row r="1908">
      <c r="A1908" s="76">
        <v>45760.0</v>
      </c>
      <c r="B1908" s="1" t="s">
        <v>520</v>
      </c>
      <c r="C1908" s="1" t="s">
        <v>58</v>
      </c>
      <c r="D1908" s="1">
        <v>1.0</v>
      </c>
      <c r="E1908" s="1">
        <v>19261.0</v>
      </c>
      <c r="F1908" s="10">
        <f t="shared" si="1"/>
        <v>1</v>
      </c>
      <c r="G1908" s="10">
        <f t="array" ref="G1908">index('Player ID'!C:C,match(E1908,'Player ID'!B:B,0))</f>
        <v>641656</v>
      </c>
    </row>
    <row r="1909">
      <c r="A1909" s="76">
        <v>45760.0</v>
      </c>
      <c r="B1909" s="1" t="s">
        <v>403</v>
      </c>
      <c r="C1909" s="1" t="s">
        <v>31</v>
      </c>
      <c r="D1909" s="1">
        <v>1.0</v>
      </c>
      <c r="E1909" s="1">
        <v>20423.0</v>
      </c>
      <c r="F1909" s="10">
        <f t="shared" si="1"/>
        <v>1</v>
      </c>
      <c r="G1909" s="10">
        <f t="array" ref="G1909">index('Player ID'!C:C,match(E1909,'Player ID'!B:B,0))</f>
        <v>676254</v>
      </c>
    </row>
    <row r="1910">
      <c r="A1910" s="76">
        <v>45760.0</v>
      </c>
      <c r="B1910" s="1" t="s">
        <v>514</v>
      </c>
      <c r="C1910" s="1" t="s">
        <v>31</v>
      </c>
      <c r="D1910" s="1">
        <v>2.0</v>
      </c>
      <c r="E1910" s="1">
        <v>31635.0</v>
      </c>
      <c r="F1910" s="10">
        <f t="shared" si="1"/>
        <v>2</v>
      </c>
      <c r="G1910" s="10">
        <f t="array" ref="G1910">index('Player ID'!C:C,match(E1910,'Player ID'!B:B,0))</f>
        <v>806185</v>
      </c>
    </row>
    <row r="1911">
      <c r="A1911" s="76">
        <v>45760.0</v>
      </c>
      <c r="B1911" s="1" t="s">
        <v>673</v>
      </c>
      <c r="C1911" s="1" t="s">
        <v>40</v>
      </c>
      <c r="D1911" s="1">
        <v>1.0</v>
      </c>
      <c r="E1911" s="1">
        <v>12095.0</v>
      </c>
      <c r="F1911" s="10">
        <f t="shared" si="1"/>
        <v>1</v>
      </c>
      <c r="G1911" s="10">
        <f t="array" ref="G1911">index('Player ID'!C:C,match(E1911,'Player ID'!B:B,0))</f>
        <v>554340</v>
      </c>
    </row>
    <row r="1912">
      <c r="A1912" s="76">
        <v>45760.0</v>
      </c>
      <c r="B1912" s="1" t="s">
        <v>723</v>
      </c>
      <c r="C1912" s="1" t="s">
        <v>68</v>
      </c>
      <c r="D1912" s="1">
        <v>1.0</v>
      </c>
      <c r="E1912" s="1">
        <v>13528.0</v>
      </c>
      <c r="F1912" s="10">
        <f t="shared" si="1"/>
        <v>1</v>
      </c>
      <c r="G1912" s="10">
        <f t="array" ref="G1912">index('Player ID'!C:C,match(E1912,'Player ID'!B:B,0))</f>
        <v>621199</v>
      </c>
    </row>
    <row r="1913">
      <c r="A1913" s="76">
        <v>45760.0</v>
      </c>
      <c r="B1913" s="1" t="s">
        <v>638</v>
      </c>
      <c r="C1913" s="1" t="s">
        <v>40</v>
      </c>
      <c r="D1913" s="1">
        <v>5.0</v>
      </c>
      <c r="E1913" s="1">
        <v>14168.0</v>
      </c>
      <c r="F1913" s="10">
        <f t="shared" si="1"/>
        <v>5</v>
      </c>
      <c r="G1913" s="10">
        <f t="array" ref="G1913">index('Player ID'!C:C,match(E1913,'Player ID'!B:B,0))</f>
        <v>621244</v>
      </c>
    </row>
    <row r="1914">
      <c r="A1914" s="76">
        <v>45760.0</v>
      </c>
      <c r="B1914" s="1" t="s">
        <v>311</v>
      </c>
      <c r="C1914" s="1" t="s">
        <v>40</v>
      </c>
      <c r="D1914" s="1">
        <v>2.0</v>
      </c>
      <c r="E1914" s="1">
        <v>17432.0</v>
      </c>
      <c r="F1914" s="10">
        <f t="shared" si="1"/>
        <v>2</v>
      </c>
      <c r="G1914" s="10">
        <f t="array" ref="G1914">index('Player ID'!C:C,match(E1914,'Player ID'!B:B,0))</f>
        <v>656546</v>
      </c>
    </row>
    <row r="1915">
      <c r="A1915" s="76">
        <v>45760.0</v>
      </c>
      <c r="B1915" s="1" t="s">
        <v>639</v>
      </c>
      <c r="C1915" s="1" t="s">
        <v>68</v>
      </c>
      <c r="D1915" s="1">
        <v>1.1</v>
      </c>
      <c r="E1915" s="1">
        <v>19249.0</v>
      </c>
      <c r="F1915" s="10">
        <f t="shared" si="1"/>
        <v>1.333333333</v>
      </c>
      <c r="G1915" s="10">
        <f t="array" ref="G1915">index('Player ID'!C:C,match(E1915,'Player ID'!B:B,0))</f>
        <v>622554</v>
      </c>
    </row>
    <row r="1916">
      <c r="A1916" s="76">
        <v>45760.0</v>
      </c>
      <c r="B1916" s="1" t="s">
        <v>231</v>
      </c>
      <c r="C1916" s="1" t="s">
        <v>68</v>
      </c>
      <c r="D1916" s="1">
        <v>0.2</v>
      </c>
      <c r="E1916" s="1">
        <v>19362.0</v>
      </c>
      <c r="F1916" s="10">
        <f t="shared" si="1"/>
        <v>0.6666666667</v>
      </c>
      <c r="G1916" s="10">
        <f t="array" ref="G1916">index('Player ID'!C:C,match(E1916,'Player ID'!B:B,0))</f>
        <v>669211</v>
      </c>
    </row>
    <row r="1917">
      <c r="A1917" s="76">
        <v>45760.0</v>
      </c>
      <c r="B1917" s="1" t="s">
        <v>433</v>
      </c>
      <c r="C1917" s="1" t="s">
        <v>68</v>
      </c>
      <c r="D1917" s="1">
        <v>0.2</v>
      </c>
      <c r="E1917" s="1">
        <v>19677.0</v>
      </c>
      <c r="F1917" s="10">
        <f t="shared" si="1"/>
        <v>0.6666666667</v>
      </c>
      <c r="G1917" s="10">
        <f t="array" ref="G1917">index('Player ID'!C:C,match(E1917,'Player ID'!B:B,0))</f>
        <v>642397</v>
      </c>
    </row>
    <row r="1918">
      <c r="A1918" s="76">
        <v>45760.0</v>
      </c>
      <c r="B1918" s="1" t="s">
        <v>240</v>
      </c>
      <c r="C1918" s="1" t="s">
        <v>68</v>
      </c>
      <c r="D1918" s="1">
        <v>0.1</v>
      </c>
      <c r="E1918" s="1">
        <v>19804.0</v>
      </c>
      <c r="F1918" s="10">
        <f t="shared" si="1"/>
        <v>0.3333333333</v>
      </c>
      <c r="G1918" s="10">
        <f t="array" ref="G1918">index('Player ID'!C:C,match(E1918,'Player ID'!B:B,0))</f>
        <v>641329</v>
      </c>
    </row>
    <row r="1919">
      <c r="A1919" s="76">
        <v>45760.0</v>
      </c>
      <c r="B1919" s="1" t="s">
        <v>641</v>
      </c>
      <c r="C1919" s="1" t="s">
        <v>40</v>
      </c>
      <c r="D1919" s="1">
        <v>0.1</v>
      </c>
      <c r="E1919" s="1">
        <v>20517.0</v>
      </c>
      <c r="F1919" s="10">
        <f t="shared" si="1"/>
        <v>0.3333333333</v>
      </c>
      <c r="G1919" s="10">
        <f t="array" ref="G1919">index('Player ID'!C:C,match(E1919,'Player ID'!B:B,0))</f>
        <v>680704</v>
      </c>
    </row>
    <row r="1920">
      <c r="A1920" s="76">
        <v>45760.0</v>
      </c>
      <c r="B1920" s="1" t="s">
        <v>395</v>
      </c>
      <c r="C1920" s="1" t="s">
        <v>40</v>
      </c>
      <c r="D1920" s="1">
        <v>0.2</v>
      </c>
      <c r="E1920" s="1">
        <v>21574.0</v>
      </c>
      <c r="F1920" s="10">
        <f t="shared" si="1"/>
        <v>0.6666666667</v>
      </c>
      <c r="G1920" s="10">
        <f t="array" ref="G1920">index('Player ID'!C:C,match(E1920,'Player ID'!B:B,0))</f>
        <v>663893</v>
      </c>
    </row>
    <row r="1921">
      <c r="A1921" s="76">
        <v>45760.0</v>
      </c>
      <c r="B1921" s="1" t="s">
        <v>235</v>
      </c>
      <c r="C1921" s="1" t="s">
        <v>68</v>
      </c>
      <c r="D1921" s="1">
        <v>1.1</v>
      </c>
      <c r="E1921" s="1">
        <v>25911.0</v>
      </c>
      <c r="F1921" s="10">
        <f t="shared" si="1"/>
        <v>1.333333333</v>
      </c>
      <c r="G1921" s="10">
        <f t="array" ref="G1921">index('Player ID'!C:C,match(E1921,'Player ID'!B:B,0))</f>
        <v>666974</v>
      </c>
    </row>
    <row r="1922">
      <c r="A1922" s="76">
        <v>45760.0</v>
      </c>
      <c r="B1922" s="1" t="s">
        <v>347</v>
      </c>
      <c r="C1922" s="1" t="s">
        <v>68</v>
      </c>
      <c r="D1922" s="1">
        <v>4.2</v>
      </c>
      <c r="E1922" s="1">
        <v>30055.0</v>
      </c>
      <c r="F1922" s="10">
        <f t="shared" si="1"/>
        <v>4.666666667</v>
      </c>
      <c r="G1922" s="10">
        <f t="array" ref="G1922">index('Player ID'!C:C,match(E1922,'Player ID'!B:B,0))</f>
        <v>700249</v>
      </c>
    </row>
    <row r="1923">
      <c r="A1923" s="76">
        <v>45760.0</v>
      </c>
      <c r="B1923" s="1" t="s">
        <v>142</v>
      </c>
      <c r="C1923" s="1" t="s">
        <v>40</v>
      </c>
      <c r="D1923" s="1">
        <v>1.0</v>
      </c>
      <c r="E1923" s="1">
        <v>31553.0</v>
      </c>
      <c r="F1923" s="10">
        <f t="shared" si="1"/>
        <v>1</v>
      </c>
      <c r="G1923" s="10">
        <f t="array" ref="G1923">index('Player ID'!C:C,match(E1923,'Player ID'!B:B,0))</f>
        <v>689254</v>
      </c>
    </row>
    <row r="1924">
      <c r="A1924" s="76">
        <v>45760.0</v>
      </c>
      <c r="B1924" s="1" t="s">
        <v>443</v>
      </c>
      <c r="C1924" s="1" t="s">
        <v>60</v>
      </c>
      <c r="D1924" s="1">
        <v>1.0</v>
      </c>
      <c r="E1924" s="1">
        <v>16350.0</v>
      </c>
      <c r="F1924" s="10">
        <f t="shared" si="1"/>
        <v>1</v>
      </c>
      <c r="G1924" s="10">
        <f t="array" ref="G1924">index('Player ID'!C:C,match(E1924,'Player ID'!B:B,0))</f>
        <v>621366</v>
      </c>
    </row>
    <row r="1925">
      <c r="A1925" s="76">
        <v>45760.0</v>
      </c>
      <c r="B1925" s="1" t="s">
        <v>686</v>
      </c>
      <c r="C1925" s="1" t="s">
        <v>60</v>
      </c>
      <c r="D1925" s="1">
        <v>1.0</v>
      </c>
      <c r="E1925" s="1">
        <v>17639.0</v>
      </c>
      <c r="F1925" s="10">
        <f t="shared" si="1"/>
        <v>1</v>
      </c>
      <c r="G1925" s="10">
        <f t="array" ref="G1925">index('Player ID'!C:C,match(E1925,'Player ID'!B:B,0))</f>
        <v>664875</v>
      </c>
    </row>
    <row r="1926">
      <c r="A1926" s="76">
        <v>45760.0</v>
      </c>
      <c r="B1926" s="1" t="s">
        <v>653</v>
      </c>
      <c r="C1926" s="1" t="s">
        <v>66</v>
      </c>
      <c r="D1926" s="1">
        <v>1.0</v>
      </c>
      <c r="E1926" s="1">
        <v>17871.0</v>
      </c>
      <c r="F1926" s="10">
        <f t="shared" si="1"/>
        <v>1</v>
      </c>
      <c r="G1926" s="10">
        <f t="array" ref="G1926">index('Player ID'!C:C,match(E1926,'Player ID'!B:B,0))</f>
        <v>664139</v>
      </c>
    </row>
    <row r="1927">
      <c r="A1927" s="76">
        <v>45760.0</v>
      </c>
      <c r="B1927" s="1" t="s">
        <v>107</v>
      </c>
      <c r="C1927" s="1" t="s">
        <v>60</v>
      </c>
      <c r="D1927" s="1">
        <v>1.0</v>
      </c>
      <c r="E1927" s="1">
        <v>19349.0</v>
      </c>
      <c r="F1927" s="10">
        <f t="shared" si="1"/>
        <v>1</v>
      </c>
      <c r="G1927" s="10">
        <f t="array" ref="G1927">index('Player ID'!C:C,match(E1927,'Player ID'!B:B,0))</f>
        <v>657571</v>
      </c>
    </row>
    <row r="1928">
      <c r="A1928" s="76">
        <v>45760.0</v>
      </c>
      <c r="B1928" s="1" t="s">
        <v>345</v>
      </c>
      <c r="C1928" s="1" t="s">
        <v>66</v>
      </c>
      <c r="D1928" s="1">
        <v>1.0</v>
      </c>
      <c r="E1928" s="1">
        <v>19926.0</v>
      </c>
      <c r="F1928" s="10">
        <f t="shared" si="1"/>
        <v>1</v>
      </c>
      <c r="G1928" s="10">
        <f t="array" ref="G1928">index('Player ID'!C:C,match(E1928,'Player ID'!B:B,0))</f>
        <v>663574</v>
      </c>
    </row>
    <row r="1929">
      <c r="A1929" s="76">
        <v>45760.0</v>
      </c>
      <c r="B1929" s="1" t="s">
        <v>384</v>
      </c>
      <c r="C1929" s="1" t="s">
        <v>60</v>
      </c>
      <c r="D1929" s="1">
        <v>0.2</v>
      </c>
      <c r="E1929" s="1">
        <v>19962.0</v>
      </c>
      <c r="F1929" s="10">
        <f t="shared" si="1"/>
        <v>0.6666666667</v>
      </c>
      <c r="G1929" s="10">
        <f t="array" ref="G1929">index('Player ID'!C:C,match(E1929,'Player ID'!B:B,0))</f>
        <v>666214</v>
      </c>
    </row>
    <row r="1930">
      <c r="A1930" s="76">
        <v>45760.0</v>
      </c>
      <c r="B1930" s="1" t="s">
        <v>73</v>
      </c>
      <c r="C1930" s="1" t="s">
        <v>66</v>
      </c>
      <c r="D1930" s="1">
        <v>7.0</v>
      </c>
      <c r="E1930" s="1">
        <v>22182.0</v>
      </c>
      <c r="F1930" s="10">
        <f t="shared" si="1"/>
        <v>7</v>
      </c>
      <c r="G1930" s="10">
        <f t="array" ref="G1930">index('Player ID'!C:C,match(E1930,'Player ID'!B:B,0))</f>
        <v>668881</v>
      </c>
    </row>
    <row r="1931">
      <c r="A1931" s="76">
        <v>45760.0</v>
      </c>
      <c r="B1931" s="1" t="s">
        <v>267</v>
      </c>
      <c r="C1931" s="1" t="s">
        <v>60</v>
      </c>
      <c r="D1931" s="1">
        <v>4.1</v>
      </c>
      <c r="E1931" s="1">
        <v>27572.0</v>
      </c>
      <c r="F1931" s="10">
        <f t="shared" si="1"/>
        <v>4.333333333</v>
      </c>
      <c r="G1931" s="10">
        <f t="array" ref="G1931">index('Player ID'!C:C,match(E1931,'Player ID'!B:B,0))</f>
        <v>669387</v>
      </c>
    </row>
    <row r="1932">
      <c r="A1932" s="76">
        <v>45760.0</v>
      </c>
      <c r="B1932" s="1" t="s">
        <v>117</v>
      </c>
      <c r="C1932" s="1" t="s">
        <v>70</v>
      </c>
      <c r="D1932" s="1">
        <v>1.0</v>
      </c>
      <c r="E1932" s="1">
        <v>13619.0</v>
      </c>
      <c r="F1932" s="10">
        <f t="shared" si="1"/>
        <v>1</v>
      </c>
      <c r="G1932" s="10">
        <f t="array" ref="G1932">index('Player ID'!C:C,match(E1932,'Player ID'!B:B,0))</f>
        <v>596001</v>
      </c>
    </row>
    <row r="1933">
      <c r="A1933" s="76">
        <v>45760.0</v>
      </c>
      <c r="B1933" s="1" t="s">
        <v>649</v>
      </c>
      <c r="C1933" s="1" t="s">
        <v>29</v>
      </c>
      <c r="D1933" s="1">
        <v>1.0</v>
      </c>
      <c r="E1933" s="1">
        <v>14542.0</v>
      </c>
      <c r="F1933" s="10">
        <f t="shared" si="1"/>
        <v>1</v>
      </c>
      <c r="G1933" s="10">
        <f t="array" ref="G1933">index('Player ID'!C:C,match(E1933,'Player ID'!B:B,0))</f>
        <v>608032</v>
      </c>
    </row>
    <row r="1934">
      <c r="A1934" s="76">
        <v>45760.0</v>
      </c>
      <c r="B1934" s="1" t="s">
        <v>298</v>
      </c>
      <c r="C1934" s="1" t="s">
        <v>70</v>
      </c>
      <c r="D1934" s="1">
        <v>6.0</v>
      </c>
      <c r="E1934" s="1">
        <v>14932.0</v>
      </c>
      <c r="F1934" s="10">
        <f t="shared" si="1"/>
        <v>6</v>
      </c>
      <c r="G1934" s="10">
        <f t="array" ref="G1934">index('Player ID'!C:C,match(E1934,'Player ID'!B:B,0))</f>
        <v>594902</v>
      </c>
    </row>
    <row r="1935">
      <c r="A1935" s="76">
        <v>45760.0</v>
      </c>
      <c r="B1935" s="1" t="s">
        <v>407</v>
      </c>
      <c r="C1935" s="1" t="s">
        <v>29</v>
      </c>
      <c r="D1935" s="1">
        <v>0.1</v>
      </c>
      <c r="E1935" s="1">
        <v>19360.0</v>
      </c>
      <c r="F1935" s="10">
        <f t="shared" si="1"/>
        <v>0.3333333333</v>
      </c>
      <c r="G1935" s="10">
        <f t="array" ref="G1935">index('Player ID'!C:C,match(E1935,'Player ID'!B:B,0))</f>
        <v>668674</v>
      </c>
    </row>
    <row r="1936">
      <c r="A1936" s="76">
        <v>45760.0</v>
      </c>
      <c r="B1936" s="1" t="s">
        <v>205</v>
      </c>
      <c r="C1936" s="1" t="s">
        <v>29</v>
      </c>
      <c r="D1936" s="1">
        <v>7.2</v>
      </c>
      <c r="E1936" s="1">
        <v>21846.0</v>
      </c>
      <c r="F1936" s="10">
        <f t="shared" si="1"/>
        <v>7.666666667</v>
      </c>
      <c r="G1936" s="10">
        <f t="array" ref="G1936">index('Player ID'!C:C,match(E1936,'Player ID'!B:B,0))</f>
        <v>666142</v>
      </c>
    </row>
    <row r="1937">
      <c r="A1937" s="76">
        <v>45760.0</v>
      </c>
      <c r="B1937" s="1" t="s">
        <v>398</v>
      </c>
      <c r="C1937" s="1" t="s">
        <v>70</v>
      </c>
      <c r="D1937" s="1">
        <v>2.0</v>
      </c>
      <c r="E1937" s="1">
        <v>23335.0</v>
      </c>
      <c r="F1937" s="10">
        <f t="shared" si="1"/>
        <v>2</v>
      </c>
      <c r="G1937" s="10">
        <f t="array" ref="G1937">index('Player ID'!C:C,match(E1937,'Player ID'!B:B,0))</f>
        <v>676282</v>
      </c>
    </row>
    <row r="1938">
      <c r="A1938" s="76">
        <v>45760.0</v>
      </c>
      <c r="B1938" s="1" t="s">
        <v>156</v>
      </c>
      <c r="C1938" s="1" t="s">
        <v>46</v>
      </c>
      <c r="D1938" s="1">
        <v>4.1</v>
      </c>
      <c r="E1938" s="1">
        <v>10603.0</v>
      </c>
      <c r="F1938" s="10">
        <f t="shared" si="1"/>
        <v>4.333333333</v>
      </c>
      <c r="G1938" s="10">
        <f t="array" ref="G1938">index('Player ID'!C:C,match(E1938,'Player ID'!B:B,0))</f>
        <v>519242</v>
      </c>
    </row>
    <row r="1939">
      <c r="A1939" s="76">
        <v>45760.0</v>
      </c>
      <c r="B1939" s="1" t="s">
        <v>178</v>
      </c>
      <c r="C1939" s="1" t="s">
        <v>46</v>
      </c>
      <c r="D1939" s="1">
        <v>1.1</v>
      </c>
      <c r="E1939" s="1">
        <v>13435.0</v>
      </c>
      <c r="F1939" s="10">
        <f t="shared" si="1"/>
        <v>1.333333333</v>
      </c>
      <c r="G1939" s="10">
        <f t="array" ref="G1939">index('Player ID'!C:C,match(E1939,'Player ID'!B:B,0))</f>
        <v>572955</v>
      </c>
    </row>
    <row r="1940">
      <c r="A1940" s="76">
        <v>45760.0</v>
      </c>
      <c r="B1940" s="1" t="s">
        <v>185</v>
      </c>
      <c r="C1940" s="1" t="s">
        <v>54</v>
      </c>
      <c r="D1940" s="1">
        <v>1.0</v>
      </c>
      <c r="E1940" s="1">
        <v>17897.0</v>
      </c>
      <c r="F1940" s="10">
        <f t="shared" si="1"/>
        <v>1</v>
      </c>
      <c r="G1940" s="10">
        <f t="array" ref="G1940">index('Player ID'!C:C,match(E1940,'Player ID'!B:B,0))</f>
        <v>664076</v>
      </c>
    </row>
    <row r="1941">
      <c r="A1941" s="76">
        <v>45760.0</v>
      </c>
      <c r="B1941" s="1" t="s">
        <v>346</v>
      </c>
      <c r="C1941" s="1" t="s">
        <v>46</v>
      </c>
      <c r="D1941" s="1">
        <v>0.1</v>
      </c>
      <c r="E1941" s="1">
        <v>18403.0</v>
      </c>
      <c r="F1941" s="10">
        <f t="shared" si="1"/>
        <v>0.3333333333</v>
      </c>
      <c r="G1941" s="10">
        <f t="array" ref="G1941">index('Player ID'!C:C,match(E1941,'Player ID'!B:B,0))</f>
        <v>660853</v>
      </c>
    </row>
    <row r="1942">
      <c r="A1942" s="76">
        <v>45760.0</v>
      </c>
      <c r="B1942" s="1" t="s">
        <v>752</v>
      </c>
      <c r="C1942" s="1" t="s">
        <v>46</v>
      </c>
      <c r="D1942" s="1">
        <v>2.0</v>
      </c>
      <c r="E1942" s="1">
        <v>20827.0</v>
      </c>
      <c r="F1942" s="10">
        <f t="shared" si="1"/>
        <v>2</v>
      </c>
      <c r="G1942" s="10">
        <f t="array" ref="G1942">index('Player ID'!C:C,match(E1942,'Player ID'!B:B,0))</f>
        <v>656848</v>
      </c>
    </row>
    <row r="1943">
      <c r="A1943" s="76">
        <v>45760.0</v>
      </c>
      <c r="B1943" s="1" t="s">
        <v>204</v>
      </c>
      <c r="C1943" s="1" t="s">
        <v>54</v>
      </c>
      <c r="D1943" s="1">
        <v>2.0</v>
      </c>
      <c r="E1943" s="1">
        <v>22288.0</v>
      </c>
      <c r="F1943" s="10">
        <f t="shared" si="1"/>
        <v>2</v>
      </c>
      <c r="G1943" s="10">
        <f t="array" ref="G1943">index('Player ID'!C:C,match(E1943,'Player ID'!B:B,0))</f>
        <v>669438</v>
      </c>
    </row>
    <row r="1944">
      <c r="A1944" s="76">
        <v>45760.0</v>
      </c>
      <c r="B1944" s="1" t="s">
        <v>492</v>
      </c>
      <c r="C1944" s="1" t="s">
        <v>54</v>
      </c>
      <c r="D1944" s="1">
        <v>5.0</v>
      </c>
      <c r="E1944" s="1">
        <v>29608.0</v>
      </c>
      <c r="F1944" s="10">
        <f t="shared" si="1"/>
        <v>5</v>
      </c>
      <c r="G1944" s="10">
        <f t="array" ref="G1944">index('Player ID'!C:C,match(E1944,'Player ID'!B:B,0))</f>
        <v>671212</v>
      </c>
    </row>
    <row r="1945">
      <c r="A1945" s="76">
        <v>45760.0</v>
      </c>
      <c r="B1945" s="1" t="s">
        <v>334</v>
      </c>
      <c r="C1945" s="1" t="s">
        <v>54</v>
      </c>
      <c r="D1945" s="1">
        <v>1.0</v>
      </c>
      <c r="E1945" s="1">
        <v>29770.0</v>
      </c>
      <c r="F1945" s="10">
        <f t="shared" si="1"/>
        <v>1</v>
      </c>
      <c r="G1945" s="10">
        <f t="array" ref="G1945">index('Player ID'!C:C,match(E1945,'Player ID'!B:B,0))</f>
        <v>682254</v>
      </c>
    </row>
    <row r="1946">
      <c r="A1946" s="76">
        <v>45760.0</v>
      </c>
      <c r="B1946" s="1" t="s">
        <v>642</v>
      </c>
      <c r="C1946" s="1" t="s">
        <v>80</v>
      </c>
      <c r="D1946" s="1">
        <v>0.0</v>
      </c>
      <c r="E1946" s="1">
        <v>13470.0</v>
      </c>
      <c r="F1946" s="10">
        <f t="shared" si="1"/>
        <v>0</v>
      </c>
      <c r="G1946" s="10">
        <f t="array" ref="G1946">index('Player ID'!C:C,match(E1946,'Player ID'!B:B,0))</f>
        <v>608371</v>
      </c>
    </row>
    <row r="1947">
      <c r="A1947" s="76">
        <v>45760.0</v>
      </c>
      <c r="B1947" s="1" t="s">
        <v>719</v>
      </c>
      <c r="C1947" s="1" t="s">
        <v>80</v>
      </c>
      <c r="D1947" s="1">
        <v>1.0</v>
      </c>
      <c r="E1947" s="1">
        <v>14527.0</v>
      </c>
      <c r="F1947" s="10">
        <f t="shared" si="1"/>
        <v>1</v>
      </c>
      <c r="G1947" s="10">
        <f t="array" ref="G1947">index('Player ID'!C:C,match(E1947,'Player ID'!B:B,0))</f>
        <v>605347</v>
      </c>
    </row>
    <row r="1948">
      <c r="A1948" s="76">
        <v>45760.0</v>
      </c>
      <c r="B1948" s="1" t="s">
        <v>661</v>
      </c>
      <c r="C1948" s="1" t="s">
        <v>36</v>
      </c>
      <c r="D1948" s="1">
        <v>1.0</v>
      </c>
      <c r="E1948" s="1">
        <v>16300.0</v>
      </c>
      <c r="F1948" s="10">
        <f t="shared" si="1"/>
        <v>1</v>
      </c>
      <c r="G1948" s="10">
        <f t="array" ref="G1948">index('Player ID'!C:C,match(E1948,'Player ID'!B:B,0))</f>
        <v>622786</v>
      </c>
    </row>
    <row r="1949">
      <c r="A1949" s="76">
        <v>45760.0</v>
      </c>
      <c r="B1949" s="1" t="s">
        <v>464</v>
      </c>
      <c r="C1949" s="1" t="s">
        <v>36</v>
      </c>
      <c r="D1949" s="1">
        <v>5.0</v>
      </c>
      <c r="E1949" s="1">
        <v>19312.0</v>
      </c>
      <c r="F1949" s="10">
        <f t="shared" si="1"/>
        <v>5</v>
      </c>
      <c r="G1949" s="10">
        <f t="array" ref="G1949">index('Player ID'!C:C,match(E1949,'Player ID'!B:B,0))</f>
        <v>615698</v>
      </c>
    </row>
    <row r="1950">
      <c r="A1950" s="76">
        <v>45760.0</v>
      </c>
      <c r="B1950" s="1" t="s">
        <v>89</v>
      </c>
      <c r="C1950" s="1" t="s">
        <v>36</v>
      </c>
      <c r="D1950" s="1">
        <v>1.0</v>
      </c>
      <c r="E1950" s="1">
        <v>19742.0</v>
      </c>
      <c r="F1950" s="10">
        <f t="shared" si="1"/>
        <v>1</v>
      </c>
      <c r="G1950" s="10">
        <f t="array" ref="G1950">index('Player ID'!C:C,match(E1950,'Player ID'!B:B,0))</f>
        <v>669622</v>
      </c>
    </row>
    <row r="1951">
      <c r="A1951" s="76">
        <v>45760.0</v>
      </c>
      <c r="B1951" s="1" t="s">
        <v>61</v>
      </c>
      <c r="C1951" s="1" t="s">
        <v>36</v>
      </c>
      <c r="D1951" s="1">
        <v>1.0</v>
      </c>
      <c r="E1951" s="1">
        <v>20629.0</v>
      </c>
      <c r="F1951" s="10">
        <f t="shared" si="1"/>
        <v>1</v>
      </c>
      <c r="G1951" s="10">
        <f t="array" ref="G1951">index('Player ID'!C:C,match(E1951,'Player ID'!B:B,0))</f>
        <v>663969</v>
      </c>
    </row>
    <row r="1952">
      <c r="A1952" s="76">
        <v>45760.0</v>
      </c>
      <c r="B1952" s="1" t="s">
        <v>354</v>
      </c>
      <c r="C1952" s="1" t="s">
        <v>80</v>
      </c>
      <c r="D1952" s="1">
        <v>6.0</v>
      </c>
      <c r="E1952" s="1">
        <v>22201.0</v>
      </c>
      <c r="F1952" s="10">
        <f t="shared" si="1"/>
        <v>6</v>
      </c>
      <c r="G1952" s="10">
        <f t="array" ref="G1952">index('Player ID'!C:C,match(E1952,'Player ID'!B:B,0))</f>
        <v>669022</v>
      </c>
    </row>
    <row r="1953">
      <c r="A1953" s="76">
        <v>45760.0</v>
      </c>
      <c r="B1953" s="1" t="s">
        <v>123</v>
      </c>
      <c r="C1953" s="1" t="s">
        <v>36</v>
      </c>
      <c r="D1953" s="1">
        <v>1.0</v>
      </c>
      <c r="E1953" s="1">
        <v>24094.0</v>
      </c>
      <c r="F1953" s="10">
        <f t="shared" si="1"/>
        <v>1</v>
      </c>
      <c r="G1953" s="10">
        <f t="array" ref="G1953">index('Player ID'!C:C,match(E1953,'Player ID'!B:B,0))</f>
        <v>678692</v>
      </c>
    </row>
    <row r="1954">
      <c r="A1954" s="76">
        <v>45760.0</v>
      </c>
      <c r="B1954" s="1" t="s">
        <v>507</v>
      </c>
      <c r="C1954" s="1" t="s">
        <v>80</v>
      </c>
      <c r="D1954" s="1">
        <v>1.0</v>
      </c>
      <c r="E1954" s="1">
        <v>27570.0</v>
      </c>
      <c r="F1954" s="10">
        <f t="shared" si="1"/>
        <v>1</v>
      </c>
      <c r="G1954" s="10">
        <f t="array" ref="G1954">index('Player ID'!C:C,match(E1954,'Player ID'!B:B,0))</f>
        <v>669371</v>
      </c>
    </row>
    <row r="1955">
      <c r="A1955" s="76">
        <v>45760.0</v>
      </c>
      <c r="B1955" s="1" t="s">
        <v>399</v>
      </c>
      <c r="C1955" s="1" t="s">
        <v>25</v>
      </c>
      <c r="D1955" s="1">
        <v>4.0</v>
      </c>
      <c r="E1955" s="1">
        <v>12049.0</v>
      </c>
      <c r="F1955" s="10">
        <f t="shared" si="1"/>
        <v>4</v>
      </c>
      <c r="G1955" s="10">
        <f t="array" ref="G1955">index('Player ID'!C:C,match(E1955,'Player ID'!B:B,0))</f>
        <v>543294</v>
      </c>
    </row>
    <row r="1956">
      <c r="A1956" s="76">
        <v>45760.0</v>
      </c>
      <c r="B1956" s="1" t="s">
        <v>59</v>
      </c>
      <c r="C1956" s="1" t="s">
        <v>39</v>
      </c>
      <c r="D1956" s="1">
        <v>1.0</v>
      </c>
      <c r="E1956" s="1">
        <v>14212.0</v>
      </c>
      <c r="F1956" s="10">
        <f t="shared" si="1"/>
        <v>1</v>
      </c>
      <c r="G1956" s="10">
        <f t="array" ref="G1956">index('Player ID'!C:C,match(E1956,'Player ID'!B:B,0))</f>
        <v>623352</v>
      </c>
    </row>
    <row r="1957">
      <c r="A1957" s="76">
        <v>45760.0</v>
      </c>
      <c r="B1957" s="1" t="s">
        <v>210</v>
      </c>
      <c r="C1957" s="1" t="s">
        <v>39</v>
      </c>
      <c r="D1957" s="1">
        <v>1.1</v>
      </c>
      <c r="E1957" s="1">
        <v>16609.0</v>
      </c>
      <c r="F1957" s="10">
        <f t="shared" si="1"/>
        <v>1.333333333</v>
      </c>
      <c r="G1957" s="10">
        <f t="array" ref="G1957">index('Player ID'!C:C,match(E1957,'Player ID'!B:B,0))</f>
        <v>650556</v>
      </c>
    </row>
    <row r="1958">
      <c r="A1958" s="76">
        <v>45760.0</v>
      </c>
      <c r="B1958" s="1" t="s">
        <v>76</v>
      </c>
      <c r="C1958" s="1" t="s">
        <v>39</v>
      </c>
      <c r="D1958" s="1">
        <v>0.2</v>
      </c>
      <c r="E1958" s="1">
        <v>25890.0</v>
      </c>
      <c r="F1958" s="10">
        <f t="shared" si="1"/>
        <v>0.6666666667</v>
      </c>
      <c r="G1958" s="10">
        <f t="array" ref="G1958">index('Player ID'!C:C,match(E1958,'Player ID'!B:B,0))</f>
        <v>687911</v>
      </c>
    </row>
    <row r="1959">
      <c r="A1959" s="76">
        <v>45760.0</v>
      </c>
      <c r="B1959" s="1" t="s">
        <v>24</v>
      </c>
      <c r="C1959" s="1" t="s">
        <v>25</v>
      </c>
      <c r="D1959" s="1">
        <v>2.0</v>
      </c>
      <c r="E1959" s="1">
        <v>27468.0</v>
      </c>
      <c r="F1959" s="10">
        <f t="shared" si="1"/>
        <v>2</v>
      </c>
      <c r="G1959" s="10">
        <f t="array" ref="G1959">index('Player ID'!C:C,match(E1959,'Player ID'!B:B,0))</f>
        <v>672282</v>
      </c>
    </row>
    <row r="1960">
      <c r="A1960" s="76">
        <v>45760.0</v>
      </c>
      <c r="B1960" s="1" t="s">
        <v>562</v>
      </c>
      <c r="C1960" s="1" t="s">
        <v>39</v>
      </c>
      <c r="D1960" s="1">
        <v>6.0</v>
      </c>
      <c r="E1960" s="1">
        <v>27581.0</v>
      </c>
      <c r="F1960" s="10">
        <f t="shared" si="1"/>
        <v>6</v>
      </c>
      <c r="G1960" s="10">
        <f t="array" ref="G1960">index('Player ID'!C:C,match(E1960,'Player ID'!B:B,0))</f>
        <v>669713</v>
      </c>
    </row>
    <row r="1961">
      <c r="A1961" s="76">
        <v>45760.0</v>
      </c>
      <c r="B1961" s="1" t="s">
        <v>792</v>
      </c>
      <c r="C1961" s="1" t="s">
        <v>25</v>
      </c>
      <c r="D1961" s="1">
        <v>1.0</v>
      </c>
      <c r="E1961" s="1">
        <v>31501.0</v>
      </c>
      <c r="F1961" s="10">
        <f t="shared" si="1"/>
        <v>1</v>
      </c>
      <c r="G1961" s="10">
        <f t="array" ref="G1961">index('Player ID'!C:C,match(E1961,'Player ID'!B:B,0))</f>
        <v>690382</v>
      </c>
    </row>
    <row r="1962">
      <c r="A1962" s="76">
        <v>45760.0</v>
      </c>
      <c r="B1962" s="1" t="s">
        <v>760</v>
      </c>
      <c r="C1962" s="1" t="s">
        <v>25</v>
      </c>
      <c r="D1962" s="1">
        <v>1.0</v>
      </c>
      <c r="E1962" s="1">
        <v>31751.0</v>
      </c>
      <c r="F1962" s="10">
        <f t="shared" si="1"/>
        <v>1</v>
      </c>
      <c r="G1962" s="10">
        <f t="array" ref="G1962">index('Player ID'!C:C,match(E1962,'Player ID'!B:B,0))</f>
        <v>680729</v>
      </c>
    </row>
    <row r="1963">
      <c r="A1963" s="76">
        <v>45760.0</v>
      </c>
      <c r="B1963" s="1" t="s">
        <v>715</v>
      </c>
      <c r="C1963" s="1" t="s">
        <v>62</v>
      </c>
      <c r="D1963" s="1">
        <v>0.2</v>
      </c>
      <c r="E1963" s="1">
        <v>18498.0</v>
      </c>
      <c r="F1963" s="10">
        <f t="shared" si="1"/>
        <v>0.6666666667</v>
      </c>
      <c r="G1963" s="10">
        <f t="array" ref="G1963">index('Player ID'!C:C,match(E1963,'Player ID'!B:B,0))</f>
        <v>628317</v>
      </c>
    </row>
    <row r="1964">
      <c r="A1964" s="76">
        <v>45760.0</v>
      </c>
      <c r="B1964" s="1" t="s">
        <v>28</v>
      </c>
      <c r="C1964" s="1" t="s">
        <v>16</v>
      </c>
      <c r="D1964" s="1">
        <v>1.0</v>
      </c>
      <c r="E1964" s="1">
        <v>20253.0</v>
      </c>
      <c r="F1964" s="10">
        <f t="shared" si="1"/>
        <v>1</v>
      </c>
      <c r="G1964" s="10">
        <f t="array" ref="G1964">index('Player ID'!C:C,match(E1964,'Player ID'!B:B,0))</f>
        <v>643377</v>
      </c>
    </row>
    <row r="1965">
      <c r="A1965" s="76">
        <v>45760.0</v>
      </c>
      <c r="B1965" s="1" t="s">
        <v>125</v>
      </c>
      <c r="C1965" s="1" t="s">
        <v>62</v>
      </c>
      <c r="D1965" s="1">
        <v>5.2</v>
      </c>
      <c r="E1965" s="1">
        <v>20492.0</v>
      </c>
      <c r="F1965" s="10">
        <f t="shared" si="1"/>
        <v>5.666666667</v>
      </c>
      <c r="G1965" s="10">
        <f t="array" ref="G1965">index('Player ID'!C:C,match(E1965,'Player ID'!B:B,0))</f>
        <v>663554</v>
      </c>
    </row>
    <row r="1966">
      <c r="A1966" s="76">
        <v>45760.0</v>
      </c>
      <c r="B1966" s="1" t="s">
        <v>122</v>
      </c>
      <c r="C1966" s="1" t="s">
        <v>16</v>
      </c>
      <c r="D1966" s="1">
        <v>1.0</v>
      </c>
      <c r="E1966" s="1">
        <v>21029.0</v>
      </c>
      <c r="F1966" s="10">
        <f t="shared" si="1"/>
        <v>1</v>
      </c>
      <c r="G1966" s="10">
        <f t="array" ref="G1966">index('Player ID'!C:C,match(E1966,'Player ID'!B:B,0))</f>
        <v>661395</v>
      </c>
    </row>
    <row r="1967">
      <c r="A1967" s="76">
        <v>45760.0</v>
      </c>
      <c r="B1967" s="1" t="s">
        <v>237</v>
      </c>
      <c r="C1967" s="1" t="s">
        <v>16</v>
      </c>
      <c r="D1967" s="1">
        <v>1.0</v>
      </c>
      <c r="E1967" s="1">
        <v>21461.0</v>
      </c>
      <c r="F1967" s="10">
        <f t="shared" si="1"/>
        <v>1</v>
      </c>
      <c r="G1967" s="10">
        <f t="array" ref="G1967">index('Player ID'!C:C,match(E1967,'Player ID'!B:B,0))</f>
        <v>663485</v>
      </c>
    </row>
    <row r="1968">
      <c r="A1968" s="76">
        <v>45760.0</v>
      </c>
      <c r="B1968" s="1" t="s">
        <v>490</v>
      </c>
      <c r="C1968" s="1" t="s">
        <v>16</v>
      </c>
      <c r="D1968" s="1">
        <v>5.0</v>
      </c>
      <c r="E1968" s="1">
        <v>24494.0</v>
      </c>
      <c r="F1968" s="10">
        <f t="shared" si="1"/>
        <v>5</v>
      </c>
      <c r="G1968" s="10">
        <f t="array" ref="G1968">index('Player ID'!C:C,match(E1968,'Player ID'!B:B,0))</f>
        <v>680573</v>
      </c>
    </row>
    <row r="1969">
      <c r="A1969" s="76">
        <v>45760.0</v>
      </c>
      <c r="B1969" s="1" t="s">
        <v>47</v>
      </c>
      <c r="C1969" s="1" t="s">
        <v>16</v>
      </c>
      <c r="D1969" s="1">
        <v>1.0</v>
      </c>
      <c r="E1969" s="1">
        <v>27691.0</v>
      </c>
      <c r="F1969" s="10">
        <f t="shared" si="1"/>
        <v>1</v>
      </c>
      <c r="G1969" s="10">
        <f t="array" ref="G1969">index('Player ID'!C:C,match(E1969,'Player ID'!B:B,0))</f>
        <v>686973</v>
      </c>
    </row>
    <row r="1970">
      <c r="A1970" s="76">
        <v>45760.0</v>
      </c>
      <c r="B1970" s="1" t="s">
        <v>487</v>
      </c>
      <c r="C1970" s="1" t="s">
        <v>62</v>
      </c>
      <c r="D1970" s="1">
        <v>1.2</v>
      </c>
      <c r="E1970" s="1">
        <v>30133.0</v>
      </c>
      <c r="F1970" s="10">
        <f t="shared" si="1"/>
        <v>1.666666667</v>
      </c>
      <c r="G1970" s="10">
        <f t="array" ref="G1970">index('Player ID'!C:C,match(E1970,'Player ID'!B:B,0))</f>
        <v>676428</v>
      </c>
    </row>
    <row r="1971">
      <c r="A1971" s="76">
        <v>45760.0</v>
      </c>
      <c r="B1971" s="1" t="s">
        <v>41</v>
      </c>
      <c r="C1971" s="1" t="s">
        <v>22</v>
      </c>
      <c r="D1971" s="1">
        <v>1.0</v>
      </c>
      <c r="E1971" s="1">
        <v>10233.0</v>
      </c>
      <c r="F1971" s="10">
        <f t="shared" si="1"/>
        <v>1</v>
      </c>
      <c r="G1971" s="10">
        <f t="array" ref="G1971">index('Player ID'!C:C,match(E1971,'Player ID'!B:B,0))</f>
        <v>547973</v>
      </c>
    </row>
    <row r="1972">
      <c r="A1972" s="76">
        <v>45760.0</v>
      </c>
      <c r="B1972" s="1" t="s">
        <v>656</v>
      </c>
      <c r="C1972" s="1" t="s">
        <v>78</v>
      </c>
      <c r="D1972" s="1">
        <v>0.2</v>
      </c>
      <c r="E1972" s="1">
        <v>12808.0</v>
      </c>
      <c r="F1972" s="10">
        <f t="shared" si="1"/>
        <v>0.6666666667</v>
      </c>
      <c r="G1972" s="10">
        <f t="array" ref="G1972">index('Player ID'!C:C,match(E1972,'Player ID'!B:B,0))</f>
        <v>605182</v>
      </c>
    </row>
    <row r="1973">
      <c r="A1973" s="76">
        <v>45760.0</v>
      </c>
      <c r="B1973" s="1" t="s">
        <v>252</v>
      </c>
      <c r="C1973" s="1" t="s">
        <v>78</v>
      </c>
      <c r="D1973" s="1">
        <v>1.0</v>
      </c>
      <c r="E1973" s="1">
        <v>16061.0</v>
      </c>
      <c r="F1973" s="10">
        <f t="shared" si="1"/>
        <v>1</v>
      </c>
      <c r="G1973" s="10">
        <f t="array" ref="G1973">index('Player ID'!C:C,match(E1973,'Player ID'!B:B,0))</f>
        <v>592155</v>
      </c>
    </row>
    <row r="1974">
      <c r="A1974" s="76">
        <v>45760.0</v>
      </c>
      <c r="B1974" s="1" t="s">
        <v>387</v>
      </c>
      <c r="C1974" s="1" t="s">
        <v>78</v>
      </c>
      <c r="D1974" s="1">
        <v>1.0</v>
      </c>
      <c r="E1974" s="1">
        <v>19990.0</v>
      </c>
      <c r="F1974" s="10">
        <f t="shared" si="1"/>
        <v>1</v>
      </c>
      <c r="G1974" s="10">
        <f t="array" ref="G1974">index('Player ID'!C:C,match(E1974,'Player ID'!B:B,0))</f>
        <v>669060</v>
      </c>
    </row>
    <row r="1975">
      <c r="A1975" s="76">
        <v>45760.0</v>
      </c>
      <c r="B1975" s="1" t="s">
        <v>250</v>
      </c>
      <c r="C1975" s="1" t="s">
        <v>22</v>
      </c>
      <c r="D1975" s="1">
        <v>0.2</v>
      </c>
      <c r="E1975" s="1">
        <v>20191.0</v>
      </c>
      <c r="F1975" s="10">
        <f t="shared" si="1"/>
        <v>0.6666666667</v>
      </c>
      <c r="G1975" s="10">
        <f t="array" ref="G1975">index('Player ID'!C:C,match(E1975,'Player ID'!B:B,0))</f>
        <v>676477</v>
      </c>
    </row>
    <row r="1976">
      <c r="A1976" s="76">
        <v>45760.0</v>
      </c>
      <c r="B1976" s="1" t="s">
        <v>100</v>
      </c>
      <c r="C1976" s="1" t="s">
        <v>22</v>
      </c>
      <c r="D1976" s="1">
        <v>7.1</v>
      </c>
      <c r="E1976" s="1">
        <v>27463.0</v>
      </c>
      <c r="F1976" s="10">
        <f t="shared" si="1"/>
        <v>7.333333333</v>
      </c>
      <c r="G1976" s="10">
        <f t="array" ref="G1976">index('Player ID'!C:C,match(E1976,'Player ID'!B:B,0))</f>
        <v>676979</v>
      </c>
    </row>
    <row r="1977">
      <c r="A1977" s="76">
        <v>45760.0</v>
      </c>
      <c r="B1977" s="1" t="s">
        <v>470</v>
      </c>
      <c r="C1977" s="1" t="s">
        <v>78</v>
      </c>
      <c r="D1977" s="1">
        <v>6.0</v>
      </c>
      <c r="E1977" s="1">
        <v>31687.0</v>
      </c>
      <c r="F1977" s="10">
        <f t="shared" si="1"/>
        <v>6</v>
      </c>
      <c r="G1977" s="10">
        <f t="array" ref="G1977">index('Player ID'!C:C,match(E1977,'Player ID'!B:B,0))</f>
        <v>681343</v>
      </c>
    </row>
    <row r="1978">
      <c r="A1978" s="76">
        <v>45760.0</v>
      </c>
      <c r="B1978" s="1" t="s">
        <v>79</v>
      </c>
      <c r="C1978" s="1" t="s">
        <v>45</v>
      </c>
      <c r="D1978" s="1">
        <v>6.0</v>
      </c>
      <c r="E1978" s="1">
        <v>10310.0</v>
      </c>
      <c r="F1978" s="10">
        <f t="shared" si="1"/>
        <v>6</v>
      </c>
      <c r="G1978" s="10">
        <f t="array" ref="G1978">index('Player ID'!C:C,match(E1978,'Player ID'!B:B,0))</f>
        <v>554430</v>
      </c>
    </row>
    <row r="1979">
      <c r="A1979" s="76">
        <v>45760.0</v>
      </c>
      <c r="B1979" s="1" t="s">
        <v>182</v>
      </c>
      <c r="C1979" s="1" t="s">
        <v>45</v>
      </c>
      <c r="D1979" s="1">
        <v>1.0</v>
      </c>
      <c r="E1979" s="1">
        <v>13799.0</v>
      </c>
      <c r="F1979" s="10">
        <f t="shared" si="1"/>
        <v>1</v>
      </c>
      <c r="G1979" s="10">
        <f t="array" ref="G1979">index('Player ID'!C:C,match(E1979,'Player ID'!B:B,0))</f>
        <v>621381</v>
      </c>
    </row>
    <row r="1980">
      <c r="A1980" s="76">
        <v>45760.0</v>
      </c>
      <c r="B1980" s="1" t="s">
        <v>190</v>
      </c>
      <c r="C1980" s="1" t="s">
        <v>72</v>
      </c>
      <c r="D1980" s="1">
        <v>1.0</v>
      </c>
      <c r="E1980" s="1">
        <v>18064.0</v>
      </c>
      <c r="F1980" s="10">
        <f t="shared" si="1"/>
        <v>1</v>
      </c>
      <c r="G1980" s="10">
        <f t="array" ref="G1980">index('Player ID'!C:C,match(E1980,'Player ID'!B:B,0))</f>
        <v>664208</v>
      </c>
    </row>
    <row r="1981">
      <c r="A1981" s="76">
        <v>45760.0</v>
      </c>
      <c r="B1981" s="1" t="s">
        <v>193</v>
      </c>
      <c r="C1981" s="1" t="s">
        <v>72</v>
      </c>
      <c r="D1981" s="1">
        <v>1.0</v>
      </c>
      <c r="E1981" s="1">
        <v>19574.0</v>
      </c>
      <c r="F1981" s="10">
        <f t="shared" si="1"/>
        <v>1</v>
      </c>
      <c r="G1981" s="10">
        <f t="array" ref="G1981">index('Player ID'!C:C,match(E1981,'Player ID'!B:B,0))</f>
        <v>668941</v>
      </c>
    </row>
    <row r="1982">
      <c r="A1982" s="76">
        <v>45760.0</v>
      </c>
      <c r="B1982" s="1" t="s">
        <v>290</v>
      </c>
      <c r="C1982" s="1" t="s">
        <v>72</v>
      </c>
      <c r="D1982" s="1">
        <v>6.0</v>
      </c>
      <c r="E1982" s="1">
        <v>22294.0</v>
      </c>
      <c r="F1982" s="10">
        <f t="shared" si="1"/>
        <v>6</v>
      </c>
      <c r="G1982" s="10">
        <f t="array" ref="G1982">index('Player ID'!C:C,match(E1982,'Player ID'!B:B,0))</f>
        <v>669461</v>
      </c>
    </row>
    <row r="1983">
      <c r="A1983" s="76">
        <v>45760.0</v>
      </c>
      <c r="B1983" s="1" t="s">
        <v>701</v>
      </c>
      <c r="C1983" s="1" t="s">
        <v>45</v>
      </c>
      <c r="D1983" s="1">
        <v>1.0</v>
      </c>
      <c r="E1983" s="1">
        <v>22713.0</v>
      </c>
      <c r="F1983" s="10">
        <f t="shared" si="1"/>
        <v>1</v>
      </c>
      <c r="G1983" s="10">
        <f t="array" ref="G1983">index('Player ID'!C:C,match(E1983,'Player ID'!B:B,0))</f>
        <v>672578</v>
      </c>
    </row>
    <row r="1984">
      <c r="A1984" s="76">
        <v>45760.0</v>
      </c>
      <c r="B1984" s="1" t="s">
        <v>170</v>
      </c>
      <c r="C1984" s="1" t="s">
        <v>72</v>
      </c>
      <c r="D1984" s="1">
        <v>1.0</v>
      </c>
      <c r="E1984" s="1">
        <v>24763.0</v>
      </c>
      <c r="F1984" s="10">
        <f t="shared" si="1"/>
        <v>1</v>
      </c>
      <c r="G1984" s="10">
        <f t="array" ref="G1984">index('Player ID'!C:C,match(E1984,'Player ID'!B:B,0))</f>
        <v>681517</v>
      </c>
    </row>
    <row r="1985">
      <c r="A1985" s="76">
        <v>45760.0</v>
      </c>
      <c r="B1985" s="1" t="s">
        <v>668</v>
      </c>
      <c r="C1985" s="1" t="s">
        <v>52</v>
      </c>
      <c r="D1985" s="1">
        <v>0.1</v>
      </c>
      <c r="E1985" s="1">
        <v>3237.0</v>
      </c>
      <c r="F1985" s="10">
        <f t="shared" si="1"/>
        <v>0.3333333333</v>
      </c>
      <c r="G1985" s="10">
        <f t="array" ref="G1985">index('Player ID'!C:C,match(E1985,'Player ID'!B:B,0))</f>
        <v>519008</v>
      </c>
    </row>
    <row r="1986">
      <c r="A1986" s="76">
        <v>45760.0</v>
      </c>
      <c r="B1986" s="1" t="s">
        <v>669</v>
      </c>
      <c r="C1986" s="1" t="s">
        <v>52</v>
      </c>
      <c r="D1986" s="1">
        <v>0.2</v>
      </c>
      <c r="E1986" s="1">
        <v>14524.0</v>
      </c>
      <c r="F1986" s="10">
        <f t="shared" si="1"/>
        <v>0.6666666667</v>
      </c>
      <c r="G1986" s="10">
        <f t="array" ref="G1986">index('Player ID'!C:C,match(E1986,'Player ID'!B:B,0))</f>
        <v>600917</v>
      </c>
    </row>
    <row r="1987">
      <c r="A1987" s="76">
        <v>45760.0</v>
      </c>
      <c r="B1987" s="1" t="s">
        <v>281</v>
      </c>
      <c r="C1987" s="1" t="s">
        <v>52</v>
      </c>
      <c r="D1987" s="1">
        <v>5.2</v>
      </c>
      <c r="E1987" s="1">
        <v>15890.0</v>
      </c>
      <c r="F1987" s="10">
        <f t="shared" si="1"/>
        <v>5.666666667</v>
      </c>
      <c r="G1987" s="10">
        <f t="array" ref="G1987">index('Player ID'!C:C,match(E1987,'Player ID'!B:B,0))</f>
        <v>622663</v>
      </c>
    </row>
    <row r="1988">
      <c r="A1988" s="76">
        <v>45760.0</v>
      </c>
      <c r="B1988" s="1" t="s">
        <v>674</v>
      </c>
      <c r="C1988" s="1" t="s">
        <v>51</v>
      </c>
      <c r="D1988" s="1">
        <v>1.0</v>
      </c>
      <c r="E1988" s="1">
        <v>18655.0</v>
      </c>
      <c r="F1988" s="10">
        <f t="shared" si="1"/>
        <v>1</v>
      </c>
      <c r="G1988" s="10">
        <f t="array" ref="G1988">index('Player ID'!C:C,match(E1988,'Player ID'!B:B,0))</f>
        <v>621345</v>
      </c>
    </row>
    <row r="1989">
      <c r="A1989" s="76">
        <v>45760.0</v>
      </c>
      <c r="B1989" s="1" t="s">
        <v>264</v>
      </c>
      <c r="C1989" s="1" t="s">
        <v>52</v>
      </c>
      <c r="D1989" s="1">
        <v>1.2</v>
      </c>
      <c r="E1989" s="1">
        <v>19666.0</v>
      </c>
      <c r="F1989" s="10">
        <f t="shared" si="1"/>
        <v>1.666666667</v>
      </c>
      <c r="G1989" s="10">
        <f t="array" ref="G1989">index('Player ID'!C:C,match(E1989,'Player ID'!B:B,0))</f>
        <v>669920</v>
      </c>
    </row>
    <row r="1990">
      <c r="A1990" s="76">
        <v>45760.0</v>
      </c>
      <c r="B1990" s="1" t="s">
        <v>50</v>
      </c>
      <c r="C1990" s="1" t="s">
        <v>51</v>
      </c>
      <c r="D1990" s="1">
        <v>1.0</v>
      </c>
      <c r="E1990" s="1">
        <v>22175.0</v>
      </c>
      <c r="F1990" s="10">
        <f t="shared" si="1"/>
        <v>1</v>
      </c>
      <c r="G1990" s="10">
        <f t="array" ref="G1990">index('Player ID'!C:C,match(E1990,'Player ID'!B:B,0))</f>
        <v>668820</v>
      </c>
    </row>
    <row r="1991">
      <c r="A1991" s="76">
        <v>45760.0</v>
      </c>
      <c r="B1991" s="1" t="s">
        <v>717</v>
      </c>
      <c r="C1991" s="1" t="s">
        <v>52</v>
      </c>
      <c r="D1991" s="1">
        <v>0.2</v>
      </c>
      <c r="E1991" s="1">
        <v>27908.0</v>
      </c>
      <c r="F1991" s="10">
        <f t="shared" si="1"/>
        <v>0.6666666667</v>
      </c>
      <c r="G1991" s="10">
        <f t="array" ref="G1991">index('Player ID'!C:C,match(E1991,'Player ID'!B:B,0))</f>
        <v>668716</v>
      </c>
    </row>
    <row r="1992">
      <c r="A1992" s="76">
        <v>45760.0</v>
      </c>
      <c r="B1992" s="1" t="s">
        <v>461</v>
      </c>
      <c r="C1992" s="1" t="s">
        <v>51</v>
      </c>
      <c r="D1992" s="1">
        <v>7.0</v>
      </c>
      <c r="E1992" s="1">
        <v>31838.0</v>
      </c>
      <c r="F1992" s="10">
        <f t="shared" si="1"/>
        <v>7</v>
      </c>
      <c r="G1992" s="10">
        <f t="array" ref="G1992">index('Player ID'!C:C,match(E1992,'Player ID'!B:B,0))</f>
        <v>673540</v>
      </c>
    </row>
    <row r="1993">
      <c r="A1993" s="76">
        <v>45760.0</v>
      </c>
      <c r="B1993" s="1" t="s">
        <v>115</v>
      </c>
      <c r="C1993" s="1" t="s">
        <v>56</v>
      </c>
      <c r="D1993" s="1">
        <v>5.0</v>
      </c>
      <c r="E1993" s="1">
        <v>9132.0</v>
      </c>
      <c r="F1993" s="10">
        <f t="shared" si="1"/>
        <v>5</v>
      </c>
      <c r="G1993" s="10">
        <f t="array" ref="G1993">index('Player ID'!C:C,match(E1993,'Player ID'!B:B,0))</f>
        <v>543135</v>
      </c>
    </row>
    <row r="1994">
      <c r="A1994" s="76">
        <v>45760.0</v>
      </c>
      <c r="B1994" s="1" t="s">
        <v>151</v>
      </c>
      <c r="C1994" s="1" t="s">
        <v>56</v>
      </c>
      <c r="D1994" s="1">
        <v>1.0</v>
      </c>
      <c r="E1994" s="1">
        <v>13346.0</v>
      </c>
      <c r="F1994" s="10">
        <f t="shared" si="1"/>
        <v>1</v>
      </c>
      <c r="G1994" s="10">
        <f t="array" ref="G1994">index('Player ID'!C:C,match(E1994,'Player ID'!B:B,0))</f>
        <v>571948</v>
      </c>
    </row>
    <row r="1995">
      <c r="A1995" s="76">
        <v>45760.0</v>
      </c>
      <c r="B1995" s="1" t="s">
        <v>53</v>
      </c>
      <c r="C1995" s="1" t="s">
        <v>37</v>
      </c>
      <c r="D1995" s="1">
        <v>1.0</v>
      </c>
      <c r="E1995" s="1">
        <v>17170.0</v>
      </c>
      <c r="F1995" s="10">
        <f t="shared" si="1"/>
        <v>1</v>
      </c>
      <c r="G1995" s="10">
        <f t="array" ref="G1995">index('Player ID'!C:C,match(E1995,'Player ID'!B:B,0))</f>
        <v>642100</v>
      </c>
    </row>
    <row r="1996">
      <c r="A1996" s="76">
        <v>45760.0</v>
      </c>
      <c r="B1996" s="1" t="s">
        <v>108</v>
      </c>
      <c r="C1996" s="1" t="s">
        <v>37</v>
      </c>
      <c r="D1996" s="1">
        <v>1.0</v>
      </c>
      <c r="E1996" s="1">
        <v>17948.0</v>
      </c>
      <c r="F1996" s="10">
        <f t="shared" si="1"/>
        <v>1</v>
      </c>
      <c r="G1996" s="10">
        <f t="array" ref="G1996">index('Player ID'!C:C,match(E1996,'Player ID'!B:B,0))</f>
        <v>663423</v>
      </c>
    </row>
    <row r="1997">
      <c r="A1997" s="76">
        <v>45760.0</v>
      </c>
      <c r="B1997" s="1" t="s">
        <v>87</v>
      </c>
      <c r="C1997" s="1" t="s">
        <v>56</v>
      </c>
      <c r="D1997" s="1">
        <v>1.0</v>
      </c>
      <c r="E1997" s="1">
        <v>19274.0</v>
      </c>
      <c r="F1997" s="10">
        <f t="shared" si="1"/>
        <v>1</v>
      </c>
      <c r="G1997" s="10">
        <f t="array" ref="G1997">index('Player ID'!C:C,match(E1997,'Player ID'!B:B,0))</f>
        <v>657097</v>
      </c>
    </row>
    <row r="1998">
      <c r="A1998" s="76">
        <v>45760.0</v>
      </c>
      <c r="B1998" s="1" t="s">
        <v>670</v>
      </c>
      <c r="C1998" s="1" t="s">
        <v>37</v>
      </c>
      <c r="D1998" s="1">
        <v>1.0</v>
      </c>
      <c r="E1998" s="1">
        <v>20373.0</v>
      </c>
      <c r="F1998" s="10">
        <f t="shared" si="1"/>
        <v>1</v>
      </c>
      <c r="G1998" s="10">
        <f t="array" ref="G1998">index('Player ID'!C:C,match(E1998,'Player ID'!B:B,0))</f>
        <v>662253</v>
      </c>
    </row>
    <row r="1999">
      <c r="A1999" s="76">
        <v>45760.0</v>
      </c>
      <c r="B1999" s="1" t="s">
        <v>153</v>
      </c>
      <c r="C1999" s="1" t="s">
        <v>37</v>
      </c>
      <c r="D1999" s="1">
        <v>5.0</v>
      </c>
      <c r="E1999" s="1">
        <v>22250.0</v>
      </c>
      <c r="F1999" s="10">
        <f t="shared" si="1"/>
        <v>5</v>
      </c>
      <c r="G1999" s="10">
        <f t="array" ref="G1999">index('Player ID'!C:C,match(E1999,'Player ID'!B:B,0))</f>
        <v>669302</v>
      </c>
    </row>
    <row r="2000">
      <c r="A2000" s="76">
        <v>45760.0</v>
      </c>
      <c r="B2000" s="1" t="s">
        <v>101</v>
      </c>
      <c r="C2000" s="1" t="s">
        <v>37</v>
      </c>
      <c r="D2000" s="1">
        <v>1.0</v>
      </c>
      <c r="E2000" s="1">
        <v>22915.0</v>
      </c>
      <c r="F2000" s="10">
        <f t="shared" si="1"/>
        <v>1</v>
      </c>
      <c r="G2000" s="10">
        <f t="array" ref="G2000">index('Player ID'!C:C,match(E2000,'Player ID'!B:B,0))</f>
        <v>672841</v>
      </c>
    </row>
    <row r="2001">
      <c r="A2001" s="76">
        <v>45760.0</v>
      </c>
      <c r="B2001" s="1" t="s">
        <v>268</v>
      </c>
      <c r="C2001" s="1" t="s">
        <v>56</v>
      </c>
      <c r="D2001" s="1">
        <v>1.0</v>
      </c>
      <c r="E2001" s="1">
        <v>23363.0</v>
      </c>
      <c r="F2001" s="10">
        <f t="shared" si="1"/>
        <v>1</v>
      </c>
      <c r="G2001" s="10">
        <f t="array" ref="G2001">index('Player ID'!C:C,match(E2001,'Player ID'!B:B,0))</f>
        <v>676395</v>
      </c>
    </row>
    <row r="2002">
      <c r="A2002" s="76">
        <v>45760.0</v>
      </c>
      <c r="B2002" s="1" t="s">
        <v>189</v>
      </c>
      <c r="C2002" s="1" t="s">
        <v>75</v>
      </c>
      <c r="D2002" s="1">
        <v>5.0</v>
      </c>
      <c r="E2002" s="1">
        <v>16256.0</v>
      </c>
      <c r="F2002" s="10">
        <f t="shared" si="1"/>
        <v>5</v>
      </c>
      <c r="G2002" s="10">
        <f t="array" ref="G2002">index('Player ID'!C:C,match(E2002,'Player ID'!B:B,0))</f>
        <v>607536</v>
      </c>
    </row>
    <row r="2003">
      <c r="A2003" s="76">
        <v>45760.0</v>
      </c>
      <c r="B2003" s="1" t="s">
        <v>207</v>
      </c>
      <c r="C2003" s="1" t="s">
        <v>26</v>
      </c>
      <c r="D2003" s="1">
        <v>9.0</v>
      </c>
      <c r="E2003" s="1">
        <v>19853.0</v>
      </c>
      <c r="F2003" s="10">
        <f t="shared" si="1"/>
        <v>9</v>
      </c>
      <c r="G2003" s="10">
        <f t="array" ref="G2003">index('Player ID'!C:C,match(E2003,'Player ID'!B:B,0))</f>
        <v>650633</v>
      </c>
    </row>
    <row r="2004">
      <c r="A2004" s="76">
        <v>45760.0</v>
      </c>
      <c r="B2004" s="1" t="s">
        <v>215</v>
      </c>
      <c r="C2004" s="1" t="s">
        <v>75</v>
      </c>
      <c r="D2004" s="1">
        <v>1.1</v>
      </c>
      <c r="E2004" s="1">
        <v>21267.0</v>
      </c>
      <c r="F2004" s="10">
        <f t="shared" si="1"/>
        <v>1.333333333</v>
      </c>
      <c r="G2004" s="10">
        <f t="array" ref="G2004">index('Player ID'!C:C,match(E2004,'Player ID'!B:B,0))</f>
        <v>656234</v>
      </c>
    </row>
    <row r="2005">
      <c r="A2005" s="76">
        <v>45760.0</v>
      </c>
      <c r="B2005" s="1" t="s">
        <v>365</v>
      </c>
      <c r="C2005" s="1" t="s">
        <v>75</v>
      </c>
      <c r="D2005" s="1">
        <v>1.0</v>
      </c>
      <c r="E2005" s="1">
        <v>24614.0</v>
      </c>
      <c r="F2005" s="10">
        <f t="shared" si="1"/>
        <v>1</v>
      </c>
      <c r="G2005" s="10">
        <f t="array" ref="G2005">index('Player ID'!C:C,match(E2005,'Player ID'!B:B,0))</f>
        <v>680767</v>
      </c>
    </row>
    <row r="2006">
      <c r="A2006" s="76">
        <v>45760.0</v>
      </c>
      <c r="B2006" s="1" t="s">
        <v>486</v>
      </c>
      <c r="C2006" s="1" t="s">
        <v>75</v>
      </c>
      <c r="D2006" s="1">
        <v>0.2</v>
      </c>
      <c r="E2006" s="1">
        <v>26790.0</v>
      </c>
      <c r="F2006" s="10">
        <f t="shared" si="1"/>
        <v>0.6666666667</v>
      </c>
      <c r="G2006" s="10">
        <f t="array" ref="G2006">index('Player ID'!C:C,match(E2006,'Player ID'!B:B,0))</f>
        <v>683409</v>
      </c>
    </row>
    <row r="2007">
      <c r="A2007" s="76">
        <v>45760.0</v>
      </c>
      <c r="B2007" s="1" t="s">
        <v>489</v>
      </c>
      <c r="C2007" s="1" t="s">
        <v>64</v>
      </c>
      <c r="D2007" s="1">
        <v>1.0</v>
      </c>
      <c r="E2007" s="1">
        <v>17192.0</v>
      </c>
      <c r="F2007" s="10">
        <f t="shared" si="1"/>
        <v>1</v>
      </c>
      <c r="G2007" s="10">
        <f t="array" ref="G2007">index('Player ID'!C:C,match(E2007,'Player ID'!B:B,0))</f>
        <v>656222</v>
      </c>
    </row>
    <row r="2008">
      <c r="A2008" s="76">
        <v>45760.0</v>
      </c>
      <c r="B2008" s="1" t="s">
        <v>180</v>
      </c>
      <c r="C2008" s="1" t="s">
        <v>14</v>
      </c>
      <c r="D2008" s="1">
        <v>5.1</v>
      </c>
      <c r="E2008" s="1">
        <v>18679.0</v>
      </c>
      <c r="F2008" s="10">
        <f t="shared" si="1"/>
        <v>5.333333333</v>
      </c>
      <c r="G2008" s="10">
        <f t="array" ref="G2008">index('Player ID'!C:C,match(E2008,'Player ID'!B:B,0))</f>
        <v>642547</v>
      </c>
    </row>
    <row r="2009">
      <c r="A2009" s="76">
        <v>45760.0</v>
      </c>
      <c r="B2009" s="1" t="s">
        <v>195</v>
      </c>
      <c r="C2009" s="1" t="s">
        <v>64</v>
      </c>
      <c r="D2009" s="1">
        <v>6.0</v>
      </c>
      <c r="E2009" s="1">
        <v>19291.0</v>
      </c>
      <c r="F2009" s="10">
        <f t="shared" si="1"/>
        <v>6</v>
      </c>
      <c r="G2009" s="10">
        <f t="array" ref="G2009">index('Player ID'!C:C,match(E2009,'Player ID'!B:B,0))</f>
        <v>668678</v>
      </c>
    </row>
    <row r="2010">
      <c r="A2010" s="76">
        <v>45760.0</v>
      </c>
      <c r="B2010" s="1" t="s">
        <v>735</v>
      </c>
      <c r="C2010" s="1" t="s">
        <v>64</v>
      </c>
      <c r="D2010" s="1">
        <v>1.0</v>
      </c>
      <c r="E2010" s="1">
        <v>19343.0</v>
      </c>
      <c r="F2010" s="10">
        <f t="shared" si="1"/>
        <v>1</v>
      </c>
      <c r="G2010" s="10">
        <f t="array" ref="G2010">index('Player ID'!C:C,match(E2010,'Player ID'!B:B,0))</f>
        <v>640462</v>
      </c>
    </row>
    <row r="2011">
      <c r="A2011" s="76">
        <v>45760.0</v>
      </c>
      <c r="B2011" s="1" t="s">
        <v>636</v>
      </c>
      <c r="C2011" s="1" t="s">
        <v>14</v>
      </c>
      <c r="D2011" s="1">
        <v>0.1</v>
      </c>
      <c r="E2011" s="1">
        <v>19924.0</v>
      </c>
      <c r="F2011" s="10">
        <f t="shared" si="1"/>
        <v>0.3333333333</v>
      </c>
      <c r="G2011" s="10">
        <f t="array" ref="G2011">index('Player ID'!C:C,match(E2011,'Player ID'!B:B,0))</f>
        <v>663542</v>
      </c>
    </row>
    <row r="2012">
      <c r="A2012" s="76">
        <v>45760.0</v>
      </c>
      <c r="B2012" s="1" t="s">
        <v>318</v>
      </c>
      <c r="C2012" s="1" t="s">
        <v>14</v>
      </c>
      <c r="D2012" s="1">
        <v>1.2</v>
      </c>
      <c r="E2012" s="1">
        <v>20546.0</v>
      </c>
      <c r="F2012" s="10">
        <f t="shared" si="1"/>
        <v>1.666666667</v>
      </c>
      <c r="G2012" s="10">
        <f t="array" ref="G2012">index('Player ID'!C:C,match(E2012,'Player ID'!B:B,0))</f>
        <v>681982</v>
      </c>
    </row>
    <row r="2013">
      <c r="A2013" s="76">
        <v>45760.0</v>
      </c>
      <c r="B2013" s="1" t="s">
        <v>714</v>
      </c>
      <c r="C2013" s="1" t="s">
        <v>64</v>
      </c>
      <c r="D2013" s="1">
        <v>1.0</v>
      </c>
      <c r="E2013" s="1">
        <v>24453.0</v>
      </c>
      <c r="F2013" s="10">
        <f t="shared" si="1"/>
        <v>1</v>
      </c>
      <c r="G2013" s="10">
        <f t="array" ref="G2013">index('Player ID'!C:C,match(E2013,'Player ID'!B:B,0))</f>
        <v>679885</v>
      </c>
    </row>
    <row r="2014">
      <c r="A2014" s="76">
        <v>45760.0</v>
      </c>
      <c r="B2014" s="1" t="s">
        <v>112</v>
      </c>
      <c r="C2014" s="1" t="s">
        <v>14</v>
      </c>
      <c r="D2014" s="1">
        <v>0.2</v>
      </c>
      <c r="E2014" s="1">
        <v>25376.0</v>
      </c>
      <c r="F2014" s="10">
        <f t="shared" si="1"/>
        <v>0.6666666667</v>
      </c>
      <c r="G2014" s="10">
        <f t="array" ref="G2014">index('Player ID'!C:C,match(E2014,'Player ID'!B:B,0))</f>
        <v>683232</v>
      </c>
    </row>
    <row r="2015">
      <c r="A2015" s="76">
        <v>45760.0</v>
      </c>
      <c r="B2015" s="1" t="s">
        <v>460</v>
      </c>
      <c r="C2015" s="1" t="s">
        <v>34</v>
      </c>
      <c r="D2015" s="1">
        <v>1.0</v>
      </c>
      <c r="E2015" s="1">
        <v>7005.0</v>
      </c>
      <c r="F2015" s="10">
        <f t="shared" si="1"/>
        <v>1</v>
      </c>
      <c r="G2015" s="10">
        <f t="array" ref="G2015">index('Player ID'!C:C,match(E2015,'Player ID'!B:B,0))</f>
        <v>519151</v>
      </c>
    </row>
    <row r="2016">
      <c r="A2016" s="76">
        <v>45760.0</v>
      </c>
      <c r="B2016" s="1" t="s">
        <v>71</v>
      </c>
      <c r="C2016" s="1" t="s">
        <v>34</v>
      </c>
      <c r="D2016" s="1">
        <v>0.1</v>
      </c>
      <c r="E2016" s="1">
        <v>10078.0</v>
      </c>
      <c r="F2016" s="10">
        <f t="shared" si="1"/>
        <v>0.3333333333</v>
      </c>
      <c r="G2016" s="10">
        <f t="array" ref="G2016">index('Player ID'!C:C,match(E2016,'Player ID'!B:B,0))</f>
        <v>573204</v>
      </c>
    </row>
    <row r="2017">
      <c r="A2017" s="76">
        <v>45760.0</v>
      </c>
      <c r="B2017" s="1" t="s">
        <v>313</v>
      </c>
      <c r="C2017" s="1" t="s">
        <v>34</v>
      </c>
      <c r="D2017" s="1">
        <v>3.2</v>
      </c>
      <c r="E2017" s="1">
        <v>12317.0</v>
      </c>
      <c r="F2017" s="10">
        <f t="shared" si="1"/>
        <v>3.666666667</v>
      </c>
      <c r="G2017" s="10">
        <f t="array" ref="G2017">index('Player ID'!C:C,match(E2017,'Player ID'!B:B,0))</f>
        <v>607067</v>
      </c>
    </row>
    <row r="2018">
      <c r="A2018" s="76">
        <v>45760.0</v>
      </c>
      <c r="B2018" s="1" t="s">
        <v>630</v>
      </c>
      <c r="C2018" s="1" t="s">
        <v>33</v>
      </c>
      <c r="D2018" s="1">
        <v>1.0</v>
      </c>
      <c r="E2018" s="1">
        <v>12572.0</v>
      </c>
      <c r="F2018" s="10">
        <f t="shared" si="1"/>
        <v>1</v>
      </c>
      <c r="G2018" s="10">
        <f t="array" ref="G2018">index('Player ID'!C:C,match(E2018,'Player ID'!B:B,0))</f>
        <v>595014</v>
      </c>
    </row>
    <row r="2019">
      <c r="A2019" s="76">
        <v>45760.0</v>
      </c>
      <c r="B2019" s="1" t="s">
        <v>421</v>
      </c>
      <c r="C2019" s="1" t="s">
        <v>33</v>
      </c>
      <c r="D2019" s="1">
        <v>6.0</v>
      </c>
      <c r="E2019" s="1">
        <v>14374.0</v>
      </c>
      <c r="F2019" s="10">
        <f t="shared" si="1"/>
        <v>6</v>
      </c>
      <c r="G2019" s="10">
        <f t="array" ref="G2019">index('Player ID'!C:C,match(E2019,'Player ID'!B:B,0))</f>
        <v>607192</v>
      </c>
    </row>
    <row r="2020">
      <c r="A2020" s="76">
        <v>45760.0</v>
      </c>
      <c r="B2020" s="1" t="s">
        <v>297</v>
      </c>
      <c r="C2020" s="1" t="s">
        <v>34</v>
      </c>
      <c r="D2020" s="1">
        <v>1.1</v>
      </c>
      <c r="E2020" s="1">
        <v>15734.0</v>
      </c>
      <c r="F2020" s="10">
        <f t="shared" si="1"/>
        <v>1.333333333</v>
      </c>
      <c r="G2020" s="10">
        <f t="array" ref="G2020">index('Player ID'!C:C,match(E2020,'Player ID'!B:B,0))</f>
        <v>641745</v>
      </c>
    </row>
    <row r="2021">
      <c r="A2021" s="76">
        <v>45760.0</v>
      </c>
      <c r="B2021" s="1" t="s">
        <v>632</v>
      </c>
      <c r="C2021" s="1" t="s">
        <v>34</v>
      </c>
      <c r="D2021" s="1">
        <v>1.0</v>
      </c>
      <c r="E2021" s="1">
        <v>16703.0</v>
      </c>
      <c r="F2021" s="10">
        <f t="shared" si="1"/>
        <v>1</v>
      </c>
      <c r="G2021" s="10">
        <f t="array" ref="G2021">index('Player ID'!C:C,match(E2021,'Player ID'!B:B,0))</f>
        <v>657240</v>
      </c>
    </row>
    <row r="2022">
      <c r="A2022" s="76">
        <v>45760.0</v>
      </c>
      <c r="B2022" s="1" t="s">
        <v>789</v>
      </c>
      <c r="C2022" s="1" t="s">
        <v>34</v>
      </c>
      <c r="D2022" s="1">
        <v>0.2</v>
      </c>
      <c r="E2022" s="1">
        <v>24930.0</v>
      </c>
      <c r="F2022" s="10">
        <f t="shared" si="1"/>
        <v>0.6666666667</v>
      </c>
      <c r="G2022" s="10">
        <f t="array" ref="G2022">index('Player ID'!C:C,match(E2022,'Player ID'!B:B,0))</f>
        <v>681799</v>
      </c>
    </row>
    <row r="2023">
      <c r="A2023" s="76">
        <v>45760.0</v>
      </c>
      <c r="B2023" s="1" t="s">
        <v>92</v>
      </c>
      <c r="C2023" s="1" t="s">
        <v>33</v>
      </c>
      <c r="D2023" s="1">
        <v>1.0</v>
      </c>
      <c r="E2023" s="1">
        <v>25007.0</v>
      </c>
      <c r="F2023" s="10">
        <f t="shared" si="1"/>
        <v>1</v>
      </c>
      <c r="G2023" s="10">
        <f t="array" ref="G2023">index('Player ID'!C:C,match(E2023,'Player ID'!B:B,0))</f>
        <v>681911</v>
      </c>
    </row>
    <row r="2024">
      <c r="A2024" s="76">
        <v>45760.0</v>
      </c>
      <c r="B2024" s="1" t="s">
        <v>388</v>
      </c>
      <c r="C2024" s="1" t="s">
        <v>34</v>
      </c>
      <c r="D2024" s="1">
        <v>1.0</v>
      </c>
      <c r="E2024" s="1">
        <v>26413.0</v>
      </c>
      <c r="F2024" s="10">
        <f t="shared" si="1"/>
        <v>1</v>
      </c>
      <c r="G2024" s="10">
        <f t="array" ref="G2024">index('Player ID'!C:C,match(E2024,'Player ID'!B:B,0))</f>
        <v>687863</v>
      </c>
    </row>
    <row r="2025">
      <c r="A2025" s="76">
        <v>45760.0</v>
      </c>
      <c r="B2025" s="1" t="s">
        <v>206</v>
      </c>
      <c r="C2025" s="1" t="s">
        <v>33</v>
      </c>
      <c r="D2025" s="1">
        <v>1.0</v>
      </c>
      <c r="E2025" s="1">
        <v>30249.0</v>
      </c>
      <c r="F2025" s="10">
        <f t="shared" si="1"/>
        <v>1</v>
      </c>
      <c r="G2025" s="10">
        <f t="array" ref="G2025">index('Player ID'!C:C,match(E2025,'Player ID'!B:B,0))</f>
        <v>676263</v>
      </c>
    </row>
    <row r="2026">
      <c r="A2026" s="76">
        <v>45761.0</v>
      </c>
      <c r="B2026" s="1" t="s">
        <v>686</v>
      </c>
      <c r="C2026" s="1" t="s">
        <v>60</v>
      </c>
      <c r="D2026" s="1">
        <v>1.0</v>
      </c>
      <c r="E2026" s="1">
        <v>17639.0</v>
      </c>
      <c r="F2026" s="10">
        <f t="shared" si="1"/>
        <v>1</v>
      </c>
      <c r="G2026" s="10">
        <f t="array" ref="G2026">index('Player ID'!C:C,match(E2026,'Player ID'!B:B,0))</f>
        <v>664875</v>
      </c>
    </row>
    <row r="2027">
      <c r="A2027" s="76">
        <v>45761.0</v>
      </c>
      <c r="B2027" s="1" t="s">
        <v>217</v>
      </c>
      <c r="C2027" s="1" t="s">
        <v>60</v>
      </c>
      <c r="D2027" s="1">
        <v>1.0</v>
      </c>
      <c r="E2027" s="1">
        <v>17878.0</v>
      </c>
      <c r="F2027" s="10">
        <f t="shared" si="1"/>
        <v>1</v>
      </c>
      <c r="G2027" s="10">
        <f t="array" ref="G2027">index('Player ID'!C:C,match(E2027,'Player ID'!B:B,0))</f>
        <v>642701</v>
      </c>
    </row>
    <row r="2028">
      <c r="A2028" s="76">
        <v>45761.0</v>
      </c>
      <c r="B2028" s="1" t="s">
        <v>107</v>
      </c>
      <c r="C2028" s="1" t="s">
        <v>60</v>
      </c>
      <c r="D2028" s="1">
        <v>1.0</v>
      </c>
      <c r="E2028" s="1">
        <v>19349.0</v>
      </c>
      <c r="F2028" s="10">
        <f t="shared" si="1"/>
        <v>1</v>
      </c>
      <c r="G2028" s="10">
        <f t="array" ref="G2028">index('Player ID'!C:C,match(E2028,'Player ID'!B:B,0))</f>
        <v>657571</v>
      </c>
    </row>
    <row r="2029">
      <c r="A2029" s="76">
        <v>45761.0</v>
      </c>
      <c r="B2029" s="1" t="s">
        <v>644</v>
      </c>
      <c r="C2029" s="1" t="s">
        <v>80</v>
      </c>
      <c r="D2029" s="1">
        <v>0.2</v>
      </c>
      <c r="E2029" s="1">
        <v>19403.0</v>
      </c>
      <c r="F2029" s="10">
        <f t="shared" si="1"/>
        <v>0.6666666667</v>
      </c>
      <c r="G2029" s="10">
        <f t="array" ref="G2029">index('Player ID'!C:C,match(E2029,'Player ID'!B:B,0))</f>
        <v>621363</v>
      </c>
    </row>
    <row r="2030">
      <c r="A2030" s="76">
        <v>45761.0</v>
      </c>
      <c r="B2030" s="1" t="s">
        <v>508</v>
      </c>
      <c r="C2030" s="1" t="s">
        <v>80</v>
      </c>
      <c r="D2030" s="1">
        <v>1.0</v>
      </c>
      <c r="E2030" s="1">
        <v>23135.0</v>
      </c>
      <c r="F2030" s="10">
        <f t="shared" si="1"/>
        <v>1</v>
      </c>
      <c r="G2030" s="10">
        <f t="array" ref="G2030">index('Player ID'!C:C,match(E2030,'Player ID'!B:B,0))</f>
        <v>674285</v>
      </c>
    </row>
    <row r="2031">
      <c r="A2031" s="76">
        <v>45761.0</v>
      </c>
      <c r="B2031" s="1" t="s">
        <v>511</v>
      </c>
      <c r="C2031" s="1" t="s">
        <v>80</v>
      </c>
      <c r="D2031" s="1">
        <v>2.0</v>
      </c>
      <c r="E2031" s="1">
        <v>26215.0</v>
      </c>
      <c r="F2031" s="10">
        <f t="shared" si="1"/>
        <v>2</v>
      </c>
      <c r="G2031" s="10">
        <f t="array" ref="G2031">index('Player ID'!C:C,match(E2031,'Player ID'!B:B,0))</f>
        <v>671131</v>
      </c>
    </row>
    <row r="2032">
      <c r="A2032" s="76">
        <v>45761.0</v>
      </c>
      <c r="B2032" s="1" t="s">
        <v>437</v>
      </c>
      <c r="C2032" s="1" t="s">
        <v>80</v>
      </c>
      <c r="D2032" s="1">
        <v>4.1</v>
      </c>
      <c r="E2032" s="1">
        <v>31972.0</v>
      </c>
      <c r="F2032" s="10">
        <f t="shared" si="1"/>
        <v>4.333333333</v>
      </c>
      <c r="G2032" s="10">
        <f t="array" ref="G2032">index('Player ID'!C:C,match(E2032,'Player ID'!B:B,0))</f>
        <v>695418</v>
      </c>
    </row>
    <row r="2033">
      <c r="A2033" s="76">
        <v>45761.0</v>
      </c>
      <c r="B2033" s="1" t="s">
        <v>88</v>
      </c>
      <c r="C2033" s="1" t="s">
        <v>60</v>
      </c>
      <c r="D2033" s="1">
        <v>6.0</v>
      </c>
      <c r="E2033" s="1">
        <v>33677.0</v>
      </c>
      <c r="F2033" s="10">
        <f t="shared" si="1"/>
        <v>6</v>
      </c>
      <c r="G2033" s="10">
        <f t="array" ref="G2033">index('Player ID'!C:C,match(E2033,'Player ID'!B:B,0))</f>
        <v>694973</v>
      </c>
    </row>
    <row r="2034">
      <c r="A2034" s="76">
        <v>45761.0</v>
      </c>
      <c r="B2034" s="1" t="s">
        <v>453</v>
      </c>
      <c r="C2034" s="1" t="s">
        <v>45</v>
      </c>
      <c r="D2034" s="1">
        <v>5.0</v>
      </c>
      <c r="E2034" s="1">
        <v>11836.0</v>
      </c>
      <c r="F2034" s="10">
        <f t="shared" si="1"/>
        <v>5</v>
      </c>
      <c r="G2034" s="10">
        <f t="array" ref="G2034">index('Player ID'!C:C,match(E2034,'Player ID'!B:B,0))</f>
        <v>592836</v>
      </c>
    </row>
    <row r="2035">
      <c r="A2035" s="76">
        <v>45761.0</v>
      </c>
      <c r="B2035" s="1" t="s">
        <v>360</v>
      </c>
      <c r="C2035" s="1" t="s">
        <v>45</v>
      </c>
      <c r="D2035" s="1">
        <v>1.0</v>
      </c>
      <c r="E2035" s="1">
        <v>12972.0</v>
      </c>
      <c r="F2035" s="10">
        <f t="shared" si="1"/>
        <v>1</v>
      </c>
      <c r="G2035" s="10">
        <f t="array" ref="G2035">index('Player ID'!C:C,match(E2035,'Player ID'!B:B,0))</f>
        <v>605452</v>
      </c>
    </row>
    <row r="2036">
      <c r="A2036" s="76">
        <v>45761.0</v>
      </c>
      <c r="B2036" s="1" t="s">
        <v>699</v>
      </c>
      <c r="C2036" s="1" t="s">
        <v>45</v>
      </c>
      <c r="D2036" s="1">
        <v>1.0</v>
      </c>
      <c r="E2036" s="1">
        <v>14552.0</v>
      </c>
      <c r="F2036" s="10">
        <f t="shared" si="1"/>
        <v>1</v>
      </c>
      <c r="G2036" s="10">
        <f t="array" ref="G2036">index('Player ID'!C:C,match(E2036,'Player ID'!B:B,0))</f>
        <v>614179</v>
      </c>
    </row>
    <row r="2037">
      <c r="A2037" s="76">
        <v>45761.0</v>
      </c>
      <c r="B2037" s="1" t="s">
        <v>20</v>
      </c>
      <c r="C2037" s="1" t="s">
        <v>31</v>
      </c>
      <c r="D2037" s="1">
        <v>1.0</v>
      </c>
      <c r="E2037" s="1">
        <v>15541.0</v>
      </c>
      <c r="F2037" s="10">
        <f t="shared" si="1"/>
        <v>1</v>
      </c>
      <c r="G2037" s="10">
        <f t="array" ref="G2037">index('Player ID'!C:C,match(E2037,'Player ID'!B:B,0))</f>
        <v>643511</v>
      </c>
    </row>
    <row r="2038">
      <c r="A2038" s="76">
        <v>45761.0</v>
      </c>
      <c r="B2038" s="1" t="s">
        <v>138</v>
      </c>
      <c r="C2038" s="1" t="s">
        <v>45</v>
      </c>
      <c r="D2038" s="1">
        <v>2.0</v>
      </c>
      <c r="E2038" s="1">
        <v>16990.0</v>
      </c>
      <c r="F2038" s="10">
        <f t="shared" si="1"/>
        <v>2</v>
      </c>
      <c r="G2038" s="10">
        <f t="array" ref="G2038">index('Player ID'!C:C,match(E2038,'Player ID'!B:B,0))</f>
        <v>621383</v>
      </c>
    </row>
    <row r="2039">
      <c r="A2039" s="76">
        <v>45761.0</v>
      </c>
      <c r="B2039" s="1" t="s">
        <v>304</v>
      </c>
      <c r="C2039" s="1" t="s">
        <v>31</v>
      </c>
      <c r="D2039" s="1">
        <v>1.0</v>
      </c>
      <c r="E2039" s="1">
        <v>21992.0</v>
      </c>
      <c r="F2039" s="10">
        <f t="shared" si="1"/>
        <v>1</v>
      </c>
      <c r="G2039" s="10">
        <f t="array" ref="G2039">index('Player ID'!C:C,match(E2039,'Player ID'!B:B,0))</f>
        <v>666808</v>
      </c>
    </row>
    <row r="2040">
      <c r="A2040" s="76">
        <v>45761.0</v>
      </c>
      <c r="B2040" s="1" t="s">
        <v>654</v>
      </c>
      <c r="C2040" s="1" t="s">
        <v>31</v>
      </c>
      <c r="D2040" s="1">
        <v>1.0</v>
      </c>
      <c r="E2040" s="1">
        <v>23974.0</v>
      </c>
      <c r="F2040" s="10">
        <f t="shared" si="1"/>
        <v>1</v>
      </c>
      <c r="G2040" s="10">
        <f t="array" ref="G2040">index('Player ID'!C:C,match(E2040,'Player ID'!B:B,0))</f>
        <v>678495</v>
      </c>
    </row>
    <row r="2041">
      <c r="A2041" s="76">
        <v>45761.0</v>
      </c>
      <c r="B2041" s="1" t="s">
        <v>655</v>
      </c>
      <c r="C2041" s="1" t="s">
        <v>31</v>
      </c>
      <c r="D2041" s="1">
        <v>1.0</v>
      </c>
      <c r="E2041" s="1">
        <v>26252.0</v>
      </c>
      <c r="F2041" s="10">
        <f t="shared" si="1"/>
        <v>1</v>
      </c>
      <c r="G2041" s="10">
        <f t="array" ref="G2041">index('Player ID'!C:C,match(E2041,'Player ID'!B:B,0))</f>
        <v>669062</v>
      </c>
    </row>
    <row r="2042">
      <c r="A2042" s="76">
        <v>45761.0</v>
      </c>
      <c r="B2042" s="1" t="s">
        <v>209</v>
      </c>
      <c r="C2042" s="1" t="s">
        <v>31</v>
      </c>
      <c r="D2042" s="1">
        <v>5.0</v>
      </c>
      <c r="E2042" s="1">
        <v>30076.0</v>
      </c>
      <c r="F2042" s="10">
        <f t="shared" si="1"/>
        <v>5</v>
      </c>
      <c r="G2042" s="10">
        <f t="array" ref="G2042">index('Player ID'!C:C,match(E2042,'Player ID'!B:B,0))</f>
        <v>694738</v>
      </c>
    </row>
    <row r="2043">
      <c r="A2043" s="76">
        <v>45761.0</v>
      </c>
      <c r="B2043" s="1" t="s">
        <v>800</v>
      </c>
      <c r="C2043" s="1" t="s">
        <v>22</v>
      </c>
      <c r="D2043" s="1">
        <v>2.2</v>
      </c>
      <c r="E2043" s="1">
        <v>13218.0</v>
      </c>
      <c r="F2043" s="10">
        <f t="shared" si="1"/>
        <v>2.666666667</v>
      </c>
      <c r="G2043" s="10">
        <f t="array" ref="G2043">index('Player ID'!C:C,match(E2043,'Player ID'!B:B,0))</f>
        <v>605242</v>
      </c>
    </row>
    <row r="2044">
      <c r="A2044" s="76">
        <v>45761.0</v>
      </c>
      <c r="B2044" s="1" t="s">
        <v>493</v>
      </c>
      <c r="C2044" s="1" t="s">
        <v>22</v>
      </c>
      <c r="D2044" s="1">
        <v>1.0</v>
      </c>
      <c r="E2044" s="1">
        <v>16835.0</v>
      </c>
      <c r="F2044" s="10">
        <f t="shared" si="1"/>
        <v>1</v>
      </c>
      <c r="G2044" s="10">
        <f t="array" ref="G2044">index('Player ID'!C:C,match(E2044,'Player ID'!B:B,0))</f>
        <v>657514</v>
      </c>
    </row>
    <row r="2045">
      <c r="A2045" s="76">
        <v>45761.0</v>
      </c>
      <c r="B2045" s="1" t="s">
        <v>301</v>
      </c>
      <c r="C2045" s="1" t="s">
        <v>22</v>
      </c>
      <c r="D2045" s="1">
        <v>2.1</v>
      </c>
      <c r="E2045" s="1">
        <v>19879.0</v>
      </c>
      <c r="F2045" s="10">
        <f t="shared" si="1"/>
        <v>2.333333333</v>
      </c>
      <c r="G2045" s="10">
        <f t="array" ref="G2045">index('Player ID'!C:C,match(E2045,'Player ID'!B:B,0))</f>
        <v>656557</v>
      </c>
    </row>
    <row r="2046">
      <c r="A2046" s="76">
        <v>45761.0</v>
      </c>
      <c r="B2046" s="1" t="s">
        <v>406</v>
      </c>
      <c r="C2046" s="1" t="s">
        <v>22</v>
      </c>
      <c r="D2046" s="1">
        <v>1.0</v>
      </c>
      <c r="E2046" s="1">
        <v>20375.0</v>
      </c>
      <c r="F2046" s="10">
        <f t="shared" si="1"/>
        <v>1</v>
      </c>
      <c r="G2046" s="10">
        <f t="array" ref="G2046">index('Player ID'!C:C,match(E2046,'Player ID'!B:B,0))</f>
        <v>669711</v>
      </c>
    </row>
    <row r="2047">
      <c r="A2047" s="76">
        <v>45761.0</v>
      </c>
      <c r="B2047" s="1" t="s">
        <v>242</v>
      </c>
      <c r="C2047" s="1" t="s">
        <v>54</v>
      </c>
      <c r="D2047" s="1">
        <v>6.0</v>
      </c>
      <c r="E2047" s="1">
        <v>22264.0</v>
      </c>
      <c r="F2047" s="10">
        <f t="shared" si="1"/>
        <v>6</v>
      </c>
      <c r="G2047" s="10">
        <f t="array" ref="G2047">index('Player ID'!C:C,match(E2047,'Player ID'!B:B,0))</f>
        <v>669358</v>
      </c>
    </row>
    <row r="2048">
      <c r="A2048" s="76">
        <v>45761.0</v>
      </c>
      <c r="B2048" s="1" t="s">
        <v>600</v>
      </c>
      <c r="C2048" s="1" t="s">
        <v>22</v>
      </c>
      <c r="D2048" s="1">
        <v>1.0</v>
      </c>
      <c r="E2048" s="1">
        <v>22387.0</v>
      </c>
      <c r="F2048" s="10">
        <f t="shared" si="1"/>
        <v>1</v>
      </c>
      <c r="G2048" s="10">
        <f t="array" ref="G2048">index('Player ID'!C:C,match(E2048,'Player ID'!B:B,0))</f>
        <v>670174</v>
      </c>
    </row>
    <row r="2049">
      <c r="A2049" s="76">
        <v>45761.0</v>
      </c>
      <c r="B2049" s="1" t="s">
        <v>671</v>
      </c>
      <c r="C2049" s="1" t="s">
        <v>54</v>
      </c>
      <c r="D2049" s="1">
        <v>1.0</v>
      </c>
      <c r="E2049" s="1">
        <v>26259.0</v>
      </c>
      <c r="F2049" s="10">
        <f t="shared" si="1"/>
        <v>1</v>
      </c>
      <c r="G2049" s="10">
        <f t="array" ref="G2049">index('Player ID'!C:C,match(E2049,'Player ID'!B:B,0))</f>
        <v>685801</v>
      </c>
    </row>
    <row r="2050">
      <c r="A2050" s="76">
        <v>45761.0</v>
      </c>
      <c r="B2050" s="1" t="s">
        <v>257</v>
      </c>
      <c r="C2050" s="1" t="s">
        <v>54</v>
      </c>
      <c r="D2050" s="1">
        <v>2.0</v>
      </c>
      <c r="E2050" s="1">
        <v>27626.0</v>
      </c>
      <c r="F2050" s="10">
        <f t="shared" si="1"/>
        <v>2</v>
      </c>
      <c r="G2050" s="10">
        <f t="array" ref="G2050">index('Player ID'!C:C,match(E2050,'Player ID'!B:B,0))</f>
        <v>679358</v>
      </c>
    </row>
    <row r="2051">
      <c r="A2051" s="76">
        <v>45761.0</v>
      </c>
      <c r="B2051" s="1" t="s">
        <v>324</v>
      </c>
      <c r="C2051" s="1" t="s">
        <v>58</v>
      </c>
      <c r="D2051" s="1">
        <v>5.0</v>
      </c>
      <c r="E2051" s="1">
        <v>6632.0</v>
      </c>
      <c r="F2051" s="10">
        <f t="shared" si="1"/>
        <v>5</v>
      </c>
      <c r="G2051" s="10">
        <f t="array" ref="G2051">index('Player ID'!C:C,match(E2051,'Player ID'!B:B,0))</f>
        <v>471911</v>
      </c>
    </row>
    <row r="2052">
      <c r="A2052" s="76">
        <v>45761.0</v>
      </c>
      <c r="B2052" s="1" t="s">
        <v>422</v>
      </c>
      <c r="C2052" s="1" t="s">
        <v>58</v>
      </c>
      <c r="D2052" s="1">
        <v>1.1</v>
      </c>
      <c r="E2052" s="1">
        <v>7048.0</v>
      </c>
      <c r="F2052" s="10">
        <f t="shared" si="1"/>
        <v>1.333333333</v>
      </c>
      <c r="G2052" s="10">
        <f t="array" ref="G2052">index('Player ID'!C:C,match(E2052,'Player ID'!B:B,0))</f>
        <v>518585</v>
      </c>
    </row>
    <row r="2053">
      <c r="A2053" s="76">
        <v>45761.0</v>
      </c>
      <c r="B2053" s="1" t="s">
        <v>452</v>
      </c>
      <c r="C2053" s="1" t="s">
        <v>29</v>
      </c>
      <c r="D2053" s="1">
        <v>6.2</v>
      </c>
      <c r="E2053" s="1">
        <v>12447.0</v>
      </c>
      <c r="F2053" s="10">
        <f t="shared" si="1"/>
        <v>6.666666667</v>
      </c>
      <c r="G2053" s="10">
        <f t="array" ref="G2053">index('Player ID'!C:C,match(E2053,'Player ID'!B:B,0))</f>
        <v>607625</v>
      </c>
    </row>
    <row r="2054">
      <c r="A2054" s="76">
        <v>45761.0</v>
      </c>
      <c r="B2054" s="1" t="s">
        <v>114</v>
      </c>
      <c r="C2054" s="1" t="s">
        <v>58</v>
      </c>
      <c r="D2054" s="1">
        <v>1.0</v>
      </c>
      <c r="E2054" s="1">
        <v>15816.0</v>
      </c>
      <c r="F2054" s="10">
        <f t="shared" si="1"/>
        <v>1</v>
      </c>
      <c r="G2054" s="10">
        <f t="array" ref="G2054">index('Player ID'!C:C,match(E2054,'Player ID'!B:B,0))</f>
        <v>642207</v>
      </c>
    </row>
    <row r="2055">
      <c r="A2055" s="76">
        <v>45761.0</v>
      </c>
      <c r="B2055" s="1" t="s">
        <v>69</v>
      </c>
      <c r="C2055" s="1" t="s">
        <v>58</v>
      </c>
      <c r="D2055" s="1">
        <v>0.2</v>
      </c>
      <c r="E2055" s="1">
        <v>16814.0</v>
      </c>
      <c r="F2055" s="10">
        <f t="shared" si="1"/>
        <v>0.6666666667</v>
      </c>
      <c r="G2055" s="10">
        <f t="array" ref="G2055">index('Player ID'!C:C,match(E2055,'Player ID'!B:B,0))</f>
        <v>657612</v>
      </c>
    </row>
    <row r="2056">
      <c r="A2056" s="76">
        <v>45761.0</v>
      </c>
      <c r="B2056" s="1" t="s">
        <v>225</v>
      </c>
      <c r="C2056" s="1" t="s">
        <v>58</v>
      </c>
      <c r="D2056" s="1">
        <v>1.0</v>
      </c>
      <c r="E2056" s="1">
        <v>16918.0</v>
      </c>
      <c r="F2056" s="10">
        <f t="shared" si="1"/>
        <v>1</v>
      </c>
      <c r="G2056" s="10">
        <f t="array" ref="G2056">index('Player ID'!C:C,match(E2056,'Player ID'!B:B,0))</f>
        <v>596133</v>
      </c>
    </row>
    <row r="2057">
      <c r="A2057" s="76">
        <v>45761.0</v>
      </c>
      <c r="B2057" s="1" t="s">
        <v>144</v>
      </c>
      <c r="C2057" s="1" t="s">
        <v>29</v>
      </c>
      <c r="D2057" s="1">
        <v>0.1</v>
      </c>
      <c r="E2057" s="1">
        <v>20020.0</v>
      </c>
      <c r="F2057" s="10">
        <f t="shared" si="1"/>
        <v>0.3333333333</v>
      </c>
      <c r="G2057" s="10">
        <f t="array" ref="G2057">index('Player ID'!C:C,match(E2057,'Player ID'!B:B,0))</f>
        <v>670167</v>
      </c>
    </row>
    <row r="2058">
      <c r="A2058" s="76">
        <v>45761.0</v>
      </c>
      <c r="B2058" s="1" t="s">
        <v>293</v>
      </c>
      <c r="C2058" s="1" t="s">
        <v>29</v>
      </c>
      <c r="D2058" s="1">
        <v>1.0</v>
      </c>
      <c r="E2058" s="1">
        <v>21537.0</v>
      </c>
      <c r="F2058" s="10">
        <f t="shared" si="1"/>
        <v>1</v>
      </c>
      <c r="G2058" s="10">
        <f t="array" ref="G2058">index('Player ID'!C:C,match(E2058,'Player ID'!B:B,0))</f>
        <v>663738</v>
      </c>
    </row>
    <row r="2059">
      <c r="A2059" s="76">
        <v>45761.0</v>
      </c>
      <c r="B2059" s="1" t="s">
        <v>637</v>
      </c>
      <c r="C2059" s="1" t="s">
        <v>40</v>
      </c>
      <c r="D2059" s="1">
        <v>2.0</v>
      </c>
      <c r="E2059" s="1">
        <v>12323.0</v>
      </c>
      <c r="F2059" s="10">
        <f t="shared" si="1"/>
        <v>2</v>
      </c>
      <c r="G2059" s="10">
        <f t="array" ref="G2059">index('Player ID'!C:C,match(E2059,'Player ID'!B:B,0))</f>
        <v>606930</v>
      </c>
    </row>
    <row r="2060">
      <c r="A2060" s="76">
        <v>45761.0</v>
      </c>
      <c r="B2060" s="1" t="s">
        <v>319</v>
      </c>
      <c r="C2060" s="1" t="s">
        <v>46</v>
      </c>
      <c r="D2060" s="1">
        <v>1.1</v>
      </c>
      <c r="E2060" s="1">
        <v>16258.0</v>
      </c>
      <c r="F2060" s="10">
        <f t="shared" si="1"/>
        <v>1.333333333</v>
      </c>
      <c r="G2060" s="10">
        <f t="array" ref="G2060">index('Player ID'!C:C,match(E2060,'Player ID'!B:B,0))</f>
        <v>607481</v>
      </c>
    </row>
    <row r="2061">
      <c r="A2061" s="76">
        <v>45761.0</v>
      </c>
      <c r="B2061" s="1" t="s">
        <v>366</v>
      </c>
      <c r="C2061" s="1" t="s">
        <v>46</v>
      </c>
      <c r="D2061" s="1">
        <v>7.2</v>
      </c>
      <c r="E2061" s="1">
        <v>16944.0</v>
      </c>
      <c r="F2061" s="10">
        <f t="shared" si="1"/>
        <v>7.666666667</v>
      </c>
      <c r="G2061" s="10">
        <f t="array" ref="G2061">index('Player ID'!C:C,match(E2061,'Player ID'!B:B,0))</f>
        <v>656550</v>
      </c>
    </row>
    <row r="2062">
      <c r="A2062" s="76">
        <v>45761.0</v>
      </c>
      <c r="B2062" s="1" t="s">
        <v>577</v>
      </c>
      <c r="C2062" s="1" t="s">
        <v>40</v>
      </c>
      <c r="D2062" s="1">
        <v>5.0</v>
      </c>
      <c r="E2062" s="1">
        <v>26058.0</v>
      </c>
      <c r="F2062" s="10">
        <f t="shared" si="1"/>
        <v>5</v>
      </c>
      <c r="G2062" s="10">
        <f t="array" ref="G2062">index('Player ID'!C:C,match(E2062,'Player ID'!B:B,0))</f>
        <v>687922</v>
      </c>
    </row>
    <row r="2063">
      <c r="A2063" s="76">
        <v>45761.0</v>
      </c>
      <c r="B2063" s="1" t="s">
        <v>427</v>
      </c>
      <c r="C2063" s="1" t="s">
        <v>40</v>
      </c>
      <c r="D2063" s="1">
        <v>2.0</v>
      </c>
      <c r="E2063" s="1">
        <v>33838.0</v>
      </c>
      <c r="F2063" s="10">
        <f t="shared" si="1"/>
        <v>2</v>
      </c>
      <c r="G2063" s="10">
        <f t="array" ref="G2063">index('Player ID'!C:C,match(E2063,'Player ID'!B:B,0))</f>
        <v>684320</v>
      </c>
    </row>
    <row r="2064">
      <c r="A2064" s="76">
        <v>45761.0</v>
      </c>
      <c r="B2064" s="1" t="s">
        <v>646</v>
      </c>
      <c r="C2064" s="1" t="s">
        <v>51</v>
      </c>
      <c r="D2064" s="1">
        <v>2.0</v>
      </c>
      <c r="E2064" s="1">
        <v>6107.0</v>
      </c>
      <c r="F2064" s="10">
        <f t="shared" si="1"/>
        <v>2</v>
      </c>
      <c r="G2064" s="10">
        <f t="array" ref="G2064">index('Player ID'!C:C,match(E2064,'Player ID'!B:B,0))</f>
        <v>623211</v>
      </c>
    </row>
    <row r="2065">
      <c r="A2065" s="76">
        <v>45761.0</v>
      </c>
      <c r="B2065" s="1" t="s">
        <v>269</v>
      </c>
      <c r="C2065" s="1" t="s">
        <v>51</v>
      </c>
      <c r="D2065" s="1">
        <v>5.0</v>
      </c>
      <c r="E2065" s="1">
        <v>13649.0</v>
      </c>
      <c r="F2065" s="10">
        <f t="shared" si="1"/>
        <v>5</v>
      </c>
      <c r="G2065" s="10">
        <f t="array" ref="G2065">index('Player ID'!C:C,match(E2065,'Player ID'!B:B,0))</f>
        <v>605280</v>
      </c>
    </row>
    <row r="2066">
      <c r="A2066" s="76">
        <v>45761.0</v>
      </c>
      <c r="B2066" s="1" t="s">
        <v>146</v>
      </c>
      <c r="C2066" s="1" t="s">
        <v>16</v>
      </c>
      <c r="D2066" s="1">
        <v>1.0</v>
      </c>
      <c r="E2066" s="1">
        <v>15145.0</v>
      </c>
      <c r="F2066" s="10">
        <f t="shared" si="1"/>
        <v>1</v>
      </c>
      <c r="G2066" s="10">
        <f t="array" ref="G2066">index('Player ID'!C:C,match(E2066,'Player ID'!B:B,0))</f>
        <v>623437</v>
      </c>
    </row>
    <row r="2067">
      <c r="A2067" s="76">
        <v>45761.0</v>
      </c>
      <c r="B2067" s="1" t="s">
        <v>292</v>
      </c>
      <c r="C2067" s="1" t="s">
        <v>51</v>
      </c>
      <c r="D2067" s="1">
        <v>1.0</v>
      </c>
      <c r="E2067" s="1">
        <v>15947.0</v>
      </c>
      <c r="F2067" s="10">
        <f t="shared" si="1"/>
        <v>1</v>
      </c>
      <c r="G2067" s="10">
        <f t="array" ref="G2067">index('Player ID'!C:C,match(E2067,'Player ID'!B:B,0))</f>
        <v>592773</v>
      </c>
    </row>
    <row r="2068">
      <c r="A2068" s="76">
        <v>45761.0</v>
      </c>
      <c r="B2068" s="1" t="s">
        <v>295</v>
      </c>
      <c r="C2068" s="1" t="s">
        <v>51</v>
      </c>
      <c r="D2068" s="1">
        <v>1.0</v>
      </c>
      <c r="E2068" s="1">
        <v>16866.0</v>
      </c>
      <c r="F2068" s="10">
        <f t="shared" si="1"/>
        <v>1</v>
      </c>
      <c r="G2068" s="10">
        <f t="array" ref="G2068">index('Player ID'!C:C,match(E2068,'Player ID'!B:B,0))</f>
        <v>657585</v>
      </c>
    </row>
    <row r="2069">
      <c r="A2069" s="76">
        <v>45761.0</v>
      </c>
      <c r="B2069" s="1" t="s">
        <v>397</v>
      </c>
      <c r="C2069" s="1" t="s">
        <v>16</v>
      </c>
      <c r="D2069" s="1">
        <v>1.0</v>
      </c>
      <c r="E2069" s="1">
        <v>19459.0</v>
      </c>
      <c r="F2069" s="10">
        <f t="shared" si="1"/>
        <v>1</v>
      </c>
      <c r="G2069" s="10">
        <f t="array" ref="G2069">index('Player ID'!C:C,match(E2069,'Player ID'!B:B,0))</f>
        <v>660896</v>
      </c>
    </row>
    <row r="2070">
      <c r="A2070" s="76">
        <v>45761.0</v>
      </c>
      <c r="B2070" s="1" t="s">
        <v>150</v>
      </c>
      <c r="C2070" s="1" t="s">
        <v>16</v>
      </c>
      <c r="D2070" s="1">
        <v>5.0</v>
      </c>
      <c r="E2070" s="1">
        <v>21390.0</v>
      </c>
      <c r="F2070" s="10">
        <f t="shared" si="1"/>
        <v>5</v>
      </c>
      <c r="G2070" s="10">
        <f t="array" ref="G2070">index('Player ID'!C:C,match(E2070,'Player ID'!B:B,0))</f>
        <v>657746</v>
      </c>
    </row>
    <row r="2071">
      <c r="A2071" s="76">
        <v>45761.0</v>
      </c>
      <c r="B2071" s="1" t="s">
        <v>333</v>
      </c>
      <c r="C2071" s="1" t="s">
        <v>16</v>
      </c>
      <c r="D2071" s="1">
        <v>2.0</v>
      </c>
      <c r="E2071" s="1">
        <v>24993.0</v>
      </c>
      <c r="F2071" s="10">
        <f t="shared" si="1"/>
        <v>2</v>
      </c>
      <c r="G2071" s="10">
        <f t="array" ref="G2071">index('Player ID'!C:C,match(E2071,'Player ID'!B:B,0))</f>
        <v>681892</v>
      </c>
    </row>
    <row r="2072">
      <c r="A2072" s="76">
        <v>45761.0</v>
      </c>
      <c r="B2072" s="1" t="s">
        <v>187</v>
      </c>
      <c r="C2072" s="1" t="s">
        <v>14</v>
      </c>
      <c r="D2072" s="1">
        <v>4.0</v>
      </c>
      <c r="E2072" s="1">
        <v>17735.0</v>
      </c>
      <c r="F2072" s="10">
        <f t="shared" si="1"/>
        <v>4</v>
      </c>
      <c r="G2072" s="10">
        <f t="array" ref="G2072">index('Player ID'!C:C,match(E2072,'Player ID'!B:B,0))</f>
        <v>641302</v>
      </c>
    </row>
    <row r="2073">
      <c r="A2073" s="76">
        <v>45761.0</v>
      </c>
      <c r="B2073" s="1" t="s">
        <v>715</v>
      </c>
      <c r="C2073" s="1" t="s">
        <v>62</v>
      </c>
      <c r="D2073" s="1">
        <v>2.0</v>
      </c>
      <c r="E2073" s="1">
        <v>18498.0</v>
      </c>
      <c r="F2073" s="10">
        <f t="shared" si="1"/>
        <v>2</v>
      </c>
      <c r="G2073" s="10">
        <f t="array" ref="G2073">index('Player ID'!C:C,match(E2073,'Player ID'!B:B,0))</f>
        <v>628317</v>
      </c>
    </row>
    <row r="2074">
      <c r="A2074" s="76">
        <v>45761.0</v>
      </c>
      <c r="B2074" s="1" t="s">
        <v>744</v>
      </c>
      <c r="C2074" s="1" t="s">
        <v>14</v>
      </c>
      <c r="D2074" s="1">
        <v>5.0</v>
      </c>
      <c r="E2074" s="1">
        <v>20962.0</v>
      </c>
      <c r="F2074" s="10">
        <f t="shared" si="1"/>
        <v>5</v>
      </c>
      <c r="G2074" s="10">
        <f t="array" ref="G2074">index('Player ID'!C:C,match(E2074,'Player ID'!B:B,0))</f>
        <v>660730</v>
      </c>
    </row>
    <row r="2075">
      <c r="A2075" s="76">
        <v>45761.0</v>
      </c>
      <c r="B2075" s="1" t="s">
        <v>84</v>
      </c>
      <c r="C2075" s="1" t="s">
        <v>62</v>
      </c>
      <c r="D2075" s="1">
        <v>7.0</v>
      </c>
      <c r="E2075" s="1">
        <v>22267.0</v>
      </c>
      <c r="F2075" s="10">
        <f t="shared" si="1"/>
        <v>7</v>
      </c>
      <c r="G2075" s="10">
        <f t="array" ref="G2075">index('Player ID'!C:C,match(E2075,'Player ID'!B:B,0))</f>
        <v>669373</v>
      </c>
    </row>
    <row r="2076">
      <c r="A2076" s="76">
        <v>45761.0</v>
      </c>
      <c r="B2076" s="1" t="s">
        <v>95</v>
      </c>
      <c r="C2076" s="1" t="s">
        <v>72</v>
      </c>
      <c r="D2076" s="1">
        <v>7.0</v>
      </c>
      <c r="E2076" s="1">
        <v>12768.0</v>
      </c>
      <c r="F2076" s="10">
        <f t="shared" si="1"/>
        <v>7</v>
      </c>
      <c r="G2076" s="10">
        <f t="array" ref="G2076">index('Player ID'!C:C,match(E2076,'Player ID'!B:B,0))</f>
        <v>543243</v>
      </c>
    </row>
    <row r="2077">
      <c r="A2077" s="76">
        <v>45761.0</v>
      </c>
      <c r="B2077" s="1" t="s">
        <v>113</v>
      </c>
      <c r="C2077" s="1" t="s">
        <v>39</v>
      </c>
      <c r="D2077" s="1">
        <v>4.0</v>
      </c>
      <c r="E2077" s="1">
        <v>17295.0</v>
      </c>
      <c r="F2077" s="10">
        <f t="shared" si="1"/>
        <v>4</v>
      </c>
      <c r="G2077" s="10">
        <f t="array" ref="G2077">index('Player ID'!C:C,match(E2077,'Player ID'!B:B,0))</f>
        <v>664285</v>
      </c>
    </row>
    <row r="2078">
      <c r="A2078" s="76">
        <v>45761.0</v>
      </c>
      <c r="B2078" s="1" t="s">
        <v>102</v>
      </c>
      <c r="C2078" s="1" t="s">
        <v>39</v>
      </c>
      <c r="D2078" s="1">
        <v>2.0</v>
      </c>
      <c r="E2078" s="1">
        <v>21345.0</v>
      </c>
      <c r="F2078" s="10">
        <f t="shared" si="1"/>
        <v>2</v>
      </c>
      <c r="G2078" s="10">
        <f t="array" ref="G2078">index('Player ID'!C:C,match(E2078,'Player ID'!B:B,0))</f>
        <v>656986</v>
      </c>
    </row>
    <row r="2079">
      <c r="A2079" s="76">
        <v>45761.0</v>
      </c>
      <c r="B2079" s="1" t="s">
        <v>378</v>
      </c>
      <c r="C2079" s="1" t="s">
        <v>72</v>
      </c>
      <c r="D2079" s="1">
        <v>1.0</v>
      </c>
      <c r="E2079" s="1">
        <v>24862.0</v>
      </c>
      <c r="F2079" s="10">
        <f t="shared" si="1"/>
        <v>1</v>
      </c>
      <c r="G2079" s="10">
        <f t="array" ref="G2079">index('Player ID'!C:C,match(E2079,'Player ID'!B:B,0))</f>
        <v>681676</v>
      </c>
    </row>
    <row r="2080">
      <c r="A2080" s="76">
        <v>45761.0</v>
      </c>
      <c r="B2080" s="1" t="s">
        <v>795</v>
      </c>
      <c r="C2080" s="1" t="s">
        <v>72</v>
      </c>
      <c r="D2080" s="1">
        <v>1.0</v>
      </c>
      <c r="E2080" s="1">
        <v>25311.0</v>
      </c>
      <c r="F2080" s="10">
        <f t="shared" si="1"/>
        <v>1</v>
      </c>
      <c r="G2080" s="10">
        <f t="array" ref="G2080">index('Player ID'!C:C,match(E2080,'Player ID'!B:B,0))</f>
        <v>682610</v>
      </c>
    </row>
    <row r="2081">
      <c r="A2081" s="76">
        <v>45761.0</v>
      </c>
      <c r="B2081" s="1" t="s">
        <v>680</v>
      </c>
      <c r="C2081" s="1" t="s">
        <v>39</v>
      </c>
      <c r="D2081" s="1">
        <v>2.0</v>
      </c>
      <c r="E2081" s="1">
        <v>25839.0</v>
      </c>
      <c r="F2081" s="10">
        <f t="shared" si="1"/>
        <v>2</v>
      </c>
      <c r="G2081" s="10">
        <f t="array" ref="G2081">index('Player ID'!C:C,match(E2081,'Player ID'!B:B,0))</f>
        <v>664351</v>
      </c>
    </row>
    <row r="2082">
      <c r="A2082" s="76">
        <v>45761.0</v>
      </c>
      <c r="B2082" s="1" t="s">
        <v>99</v>
      </c>
      <c r="C2082" s="1" t="s">
        <v>34</v>
      </c>
      <c r="D2082" s="1">
        <v>5.1</v>
      </c>
      <c r="E2082" s="1">
        <v>11674.0</v>
      </c>
      <c r="F2082" s="10">
        <f t="shared" si="1"/>
        <v>5.333333333</v>
      </c>
      <c r="G2082" s="10">
        <f t="array" ref="G2082">index('Player ID'!C:C,match(E2082,'Player ID'!B:B,0))</f>
        <v>592791</v>
      </c>
    </row>
    <row r="2083">
      <c r="A2083" s="76">
        <v>45761.0</v>
      </c>
      <c r="B2083" s="1" t="s">
        <v>342</v>
      </c>
      <c r="C2083" s="1" t="s">
        <v>26</v>
      </c>
      <c r="D2083" s="1">
        <v>1.0</v>
      </c>
      <c r="E2083" s="1">
        <v>11861.0</v>
      </c>
      <c r="F2083" s="10">
        <f t="shared" si="1"/>
        <v>1</v>
      </c>
      <c r="G2083" s="10">
        <f t="array" ref="G2083">index('Player ID'!C:C,match(E2083,'Player ID'!B:B,0))</f>
        <v>592094</v>
      </c>
    </row>
    <row r="2084">
      <c r="A2084" s="76">
        <v>45761.0</v>
      </c>
      <c r="B2084" s="1" t="s">
        <v>404</v>
      </c>
      <c r="C2084" s="1" t="s">
        <v>26</v>
      </c>
      <c r="D2084" s="1">
        <v>1.0</v>
      </c>
      <c r="E2084" s="1">
        <v>14295.0</v>
      </c>
      <c r="F2084" s="10">
        <f t="shared" si="1"/>
        <v>1</v>
      </c>
      <c r="G2084" s="10">
        <f t="array" ref="G2084">index('Player ID'!C:C,match(E2084,'Player ID'!B:B,0))</f>
        <v>593974</v>
      </c>
    </row>
    <row r="2085">
      <c r="A2085" s="76">
        <v>45761.0</v>
      </c>
      <c r="B2085" s="1" t="s">
        <v>297</v>
      </c>
      <c r="C2085" s="1" t="s">
        <v>34</v>
      </c>
      <c r="D2085" s="1">
        <v>0.2</v>
      </c>
      <c r="E2085" s="1">
        <v>15734.0</v>
      </c>
      <c r="F2085" s="10">
        <f t="shared" si="1"/>
        <v>0.6666666667</v>
      </c>
      <c r="G2085" s="10">
        <f t="array" ref="G2085">index('Player ID'!C:C,match(E2085,'Player ID'!B:B,0))</f>
        <v>641745</v>
      </c>
    </row>
    <row r="2086">
      <c r="A2086" s="76">
        <v>45761.0</v>
      </c>
      <c r="B2086" s="1" t="s">
        <v>282</v>
      </c>
      <c r="C2086" s="1" t="s">
        <v>26</v>
      </c>
      <c r="D2086" s="1">
        <v>5.2</v>
      </c>
      <c r="E2086" s="1">
        <v>18525.0</v>
      </c>
      <c r="F2086" s="10">
        <f t="shared" si="1"/>
        <v>5.666666667</v>
      </c>
      <c r="G2086" s="10">
        <f t="array" ref="G2086">index('Player ID'!C:C,match(E2086,'Player ID'!B:B,0))</f>
        <v>656302</v>
      </c>
    </row>
    <row r="2087">
      <c r="A2087" s="76">
        <v>45761.0</v>
      </c>
      <c r="B2087" s="1" t="s">
        <v>49</v>
      </c>
      <c r="C2087" s="1" t="s">
        <v>26</v>
      </c>
      <c r="D2087" s="1">
        <v>1.0</v>
      </c>
      <c r="E2087" s="1">
        <v>20039.0</v>
      </c>
      <c r="F2087" s="10">
        <f t="shared" si="1"/>
        <v>1</v>
      </c>
      <c r="G2087" s="10">
        <f t="array" ref="G2087">index('Player ID'!C:C,match(E2087,'Player ID'!B:B,0))</f>
        <v>670970</v>
      </c>
    </row>
    <row r="2088">
      <c r="A2088" s="76">
        <v>45761.0</v>
      </c>
      <c r="B2088" s="1" t="s">
        <v>633</v>
      </c>
      <c r="C2088" s="1" t="s">
        <v>34</v>
      </c>
      <c r="D2088" s="1">
        <v>0.1</v>
      </c>
      <c r="E2088" s="1">
        <v>20160.0</v>
      </c>
      <c r="F2088" s="10">
        <f t="shared" si="1"/>
        <v>0.3333333333</v>
      </c>
      <c r="G2088" s="10">
        <f t="array" ref="G2088">index('Player ID'!C:C,match(E2088,'Player ID'!B:B,0))</f>
        <v>663878</v>
      </c>
    </row>
    <row r="2089">
      <c r="A2089" s="76">
        <v>45761.0</v>
      </c>
      <c r="B2089" s="1" t="s">
        <v>631</v>
      </c>
      <c r="C2089" s="1" t="s">
        <v>34</v>
      </c>
      <c r="D2089" s="1">
        <v>0.2</v>
      </c>
      <c r="E2089" s="1">
        <v>20203.0</v>
      </c>
      <c r="F2089" s="10">
        <f t="shared" si="1"/>
        <v>0.6666666667</v>
      </c>
      <c r="G2089" s="10">
        <f t="array" ref="G2089">index('Player ID'!C:C,match(E2089,'Player ID'!B:B,0))</f>
        <v>669212</v>
      </c>
    </row>
    <row r="2090">
      <c r="A2090" s="76">
        <v>45761.0</v>
      </c>
      <c r="B2090" s="1" t="s">
        <v>789</v>
      </c>
      <c r="C2090" s="1" t="s">
        <v>34</v>
      </c>
      <c r="D2090" s="1">
        <v>1.0</v>
      </c>
      <c r="E2090" s="1">
        <v>24930.0</v>
      </c>
      <c r="F2090" s="10">
        <f t="shared" si="1"/>
        <v>1</v>
      </c>
      <c r="G2090" s="10">
        <f t="array" ref="G2090">index('Player ID'!C:C,match(E2090,'Player ID'!B:B,0))</f>
        <v>681799</v>
      </c>
    </row>
    <row r="2091">
      <c r="A2091" s="76">
        <v>45761.0</v>
      </c>
      <c r="B2091" s="1" t="s">
        <v>391</v>
      </c>
      <c r="C2091" s="1" t="s">
        <v>26</v>
      </c>
      <c r="D2091" s="1">
        <v>0.1</v>
      </c>
      <c r="E2091" s="1">
        <v>29628.0</v>
      </c>
      <c r="F2091" s="10">
        <f t="shared" si="1"/>
        <v>0.3333333333</v>
      </c>
      <c r="G2091" s="10">
        <f t="array" ref="G2091">index('Player ID'!C:C,match(E2091,'Player ID'!B:B,0))</f>
        <v>689690</v>
      </c>
    </row>
    <row r="2092">
      <c r="A2092" s="76">
        <v>45761.0</v>
      </c>
      <c r="B2092" s="1" t="s">
        <v>392</v>
      </c>
      <c r="C2092" s="1" t="s">
        <v>33</v>
      </c>
      <c r="D2092" s="1">
        <v>1.0</v>
      </c>
      <c r="E2092" s="1">
        <v>9073.0</v>
      </c>
      <c r="F2092" s="10">
        <f t="shared" si="1"/>
        <v>1</v>
      </c>
      <c r="G2092" s="10">
        <f t="array" ref="G2092">index('Player ID'!C:C,match(E2092,'Player ID'!B:B,0))</f>
        <v>489446</v>
      </c>
    </row>
    <row r="2093">
      <c r="A2093" s="76">
        <v>45761.0</v>
      </c>
      <c r="B2093" s="1" t="s">
        <v>310</v>
      </c>
      <c r="C2093" s="1" t="s">
        <v>33</v>
      </c>
      <c r="D2093" s="1">
        <v>1.0</v>
      </c>
      <c r="E2093" s="1">
        <v>14706.0</v>
      </c>
      <c r="F2093" s="10">
        <f t="shared" si="1"/>
        <v>1</v>
      </c>
      <c r="G2093" s="10">
        <f t="array" ref="G2093">index('Player ID'!C:C,match(E2093,'Player ID'!B:B,0))</f>
        <v>607455</v>
      </c>
    </row>
    <row r="2094">
      <c r="A2094" s="76">
        <v>45761.0</v>
      </c>
      <c r="B2094" s="1" t="s">
        <v>481</v>
      </c>
      <c r="C2094" s="1" t="s">
        <v>75</v>
      </c>
      <c r="D2094" s="1">
        <v>4.1</v>
      </c>
      <c r="E2094" s="1">
        <v>15488.0</v>
      </c>
      <c r="F2094" s="10">
        <f t="shared" si="1"/>
        <v>4.333333333</v>
      </c>
      <c r="G2094" s="10">
        <f t="array" ref="G2094">index('Player ID'!C:C,match(E2094,'Player ID'!B:B,0))</f>
        <v>622608</v>
      </c>
    </row>
    <row r="2095">
      <c r="A2095" s="76">
        <v>45761.0</v>
      </c>
      <c r="B2095" s="1" t="s">
        <v>32</v>
      </c>
      <c r="C2095" s="1" t="s">
        <v>33</v>
      </c>
      <c r="D2095" s="1">
        <v>1.0</v>
      </c>
      <c r="E2095" s="1">
        <v>17586.0</v>
      </c>
      <c r="F2095" s="10">
        <f t="shared" si="1"/>
        <v>1</v>
      </c>
      <c r="G2095" s="10">
        <f t="array" ref="G2095">index('Player ID'!C:C,match(E2095,'Player ID'!B:B,0))</f>
        <v>656945</v>
      </c>
    </row>
    <row r="2096">
      <c r="A2096" s="76">
        <v>45761.0</v>
      </c>
      <c r="B2096" s="1" t="s">
        <v>288</v>
      </c>
      <c r="C2096" s="1" t="s">
        <v>75</v>
      </c>
      <c r="D2096" s="1">
        <v>1.2</v>
      </c>
      <c r="E2096" s="1">
        <v>18297.0</v>
      </c>
      <c r="F2096" s="10">
        <f t="shared" si="1"/>
        <v>1.666666667</v>
      </c>
      <c r="G2096" s="10">
        <f t="array" ref="G2096">index('Player ID'!C:C,match(E2096,'Player ID'!B:B,0))</f>
        <v>641755</v>
      </c>
    </row>
    <row r="2097">
      <c r="A2097" s="76">
        <v>45761.0</v>
      </c>
      <c r="B2097" s="1" t="s">
        <v>329</v>
      </c>
      <c r="C2097" s="1" t="s">
        <v>33</v>
      </c>
      <c r="D2097" s="1">
        <v>6.0</v>
      </c>
      <c r="E2097" s="1">
        <v>19716.0</v>
      </c>
      <c r="F2097" s="10">
        <f t="shared" si="1"/>
        <v>6</v>
      </c>
      <c r="G2097" s="10">
        <f t="array" ref="G2097">index('Player ID'!C:C,match(E2097,'Player ID'!B:B,0))</f>
        <v>669160</v>
      </c>
    </row>
    <row r="2098">
      <c r="A2098" s="76">
        <v>45761.0</v>
      </c>
      <c r="B2098" s="1" t="s">
        <v>548</v>
      </c>
      <c r="C2098" s="1" t="s">
        <v>75</v>
      </c>
      <c r="D2098" s="1">
        <v>1.0</v>
      </c>
      <c r="E2098" s="1">
        <v>24203.0</v>
      </c>
      <c r="F2098" s="10">
        <f t="shared" si="1"/>
        <v>1</v>
      </c>
      <c r="G2098" s="10">
        <f t="array" ref="G2098">index('Player ID'!C:C,match(E2098,'Player ID'!B:B,0))</f>
        <v>678821</v>
      </c>
    </row>
    <row r="2099">
      <c r="A2099" s="76">
        <v>45761.0</v>
      </c>
      <c r="B2099" s="1" t="s">
        <v>365</v>
      </c>
      <c r="C2099" s="1" t="s">
        <v>75</v>
      </c>
      <c r="D2099" s="1">
        <v>1.0</v>
      </c>
      <c r="E2099" s="1">
        <v>24614.0</v>
      </c>
      <c r="F2099" s="10">
        <f t="shared" si="1"/>
        <v>1</v>
      </c>
      <c r="G2099" s="10">
        <f t="array" ref="G2099">index('Player ID'!C:C,match(E2099,'Player ID'!B:B,0))</f>
        <v>680767</v>
      </c>
    </row>
    <row r="2100">
      <c r="A2100" s="76">
        <v>45762.0</v>
      </c>
      <c r="B2100" s="1" t="s">
        <v>139</v>
      </c>
      <c r="C2100" s="1" t="s">
        <v>80</v>
      </c>
      <c r="D2100" s="1">
        <v>1.0</v>
      </c>
      <c r="E2100" s="1">
        <v>15009.0</v>
      </c>
      <c r="F2100" s="10">
        <f t="shared" si="1"/>
        <v>1</v>
      </c>
      <c r="G2100" s="10">
        <f t="array" ref="G2100">index('Player ID'!C:C,match(E2100,'Player ID'!B:B,0))</f>
        <v>640448</v>
      </c>
    </row>
    <row r="2101">
      <c r="A2101" s="76">
        <v>45762.0</v>
      </c>
      <c r="B2101" s="1" t="s">
        <v>707</v>
      </c>
      <c r="C2101" s="1" t="s">
        <v>60</v>
      </c>
      <c r="D2101" s="1">
        <v>1.0</v>
      </c>
      <c r="E2101" s="1">
        <v>15042.0</v>
      </c>
      <c r="F2101" s="10">
        <f t="shared" si="1"/>
        <v>1</v>
      </c>
      <c r="G2101" s="10">
        <f t="array" ref="G2101">index('Player ID'!C:C,match(E2101,'Player ID'!B:B,0))</f>
        <v>641835</v>
      </c>
    </row>
    <row r="2102">
      <c r="A2102" s="76">
        <v>45762.0</v>
      </c>
      <c r="B2102" s="1" t="s">
        <v>443</v>
      </c>
      <c r="C2102" s="1" t="s">
        <v>60</v>
      </c>
      <c r="D2102" s="1">
        <v>1.0</v>
      </c>
      <c r="E2102" s="1">
        <v>16350.0</v>
      </c>
      <c r="F2102" s="10">
        <f t="shared" si="1"/>
        <v>1</v>
      </c>
      <c r="G2102" s="10">
        <f t="array" ref="G2102">index('Player ID'!C:C,match(E2102,'Player ID'!B:B,0))</f>
        <v>621366</v>
      </c>
    </row>
    <row r="2103">
      <c r="A2103" s="76">
        <v>45762.0</v>
      </c>
      <c r="B2103" s="1" t="s">
        <v>423</v>
      </c>
      <c r="C2103" s="1" t="s">
        <v>60</v>
      </c>
      <c r="D2103" s="1">
        <v>6.0</v>
      </c>
      <c r="E2103" s="1">
        <v>17594.0</v>
      </c>
      <c r="F2103" s="10">
        <f t="shared" si="1"/>
        <v>6</v>
      </c>
      <c r="G2103" s="10">
        <f t="array" ref="G2103">index('Player ID'!C:C,match(E2103,'Player ID'!B:B,0))</f>
        <v>656605</v>
      </c>
    </row>
    <row r="2104">
      <c r="A2104" s="76">
        <v>45762.0</v>
      </c>
      <c r="B2104" s="1" t="s">
        <v>396</v>
      </c>
      <c r="C2104" s="1" t="s">
        <v>80</v>
      </c>
      <c r="D2104" s="1">
        <v>7.0</v>
      </c>
      <c r="E2104" s="1">
        <v>21504.0</v>
      </c>
      <c r="F2104" s="10">
        <f t="shared" si="1"/>
        <v>7</v>
      </c>
      <c r="G2104" s="10">
        <f t="array" ref="G2104">index('Player ID'!C:C,match(E2104,'Player ID'!B:B,0))</f>
        <v>663623</v>
      </c>
    </row>
    <row r="2105">
      <c r="A2105" s="76">
        <v>45762.0</v>
      </c>
      <c r="B2105" s="1" t="s">
        <v>86</v>
      </c>
      <c r="C2105" s="1" t="s">
        <v>80</v>
      </c>
      <c r="D2105" s="1">
        <v>1.0</v>
      </c>
      <c r="E2105" s="1">
        <v>24017.0</v>
      </c>
      <c r="F2105" s="10">
        <f t="shared" si="1"/>
        <v>1</v>
      </c>
      <c r="G2105" s="10">
        <f t="array" ref="G2105">index('Player ID'!C:C,match(E2105,'Player ID'!B:B,0))</f>
        <v>678606</v>
      </c>
    </row>
    <row r="2106">
      <c r="A2106" s="76">
        <v>45762.0</v>
      </c>
      <c r="B2106" s="1" t="s">
        <v>482</v>
      </c>
      <c r="C2106" s="1" t="s">
        <v>60</v>
      </c>
      <c r="D2106" s="1">
        <v>1.0</v>
      </c>
      <c r="E2106" s="1">
        <v>27775.0</v>
      </c>
      <c r="F2106" s="10">
        <f t="shared" si="1"/>
        <v>1</v>
      </c>
      <c r="G2106" s="10">
        <f t="array" ref="G2106">index('Player ID'!C:C,match(E2106,'Player ID'!B:B,0))</f>
        <v>693312</v>
      </c>
    </row>
    <row r="2107">
      <c r="A2107" s="76">
        <v>45762.0</v>
      </c>
      <c r="B2107" s="1" t="s">
        <v>651</v>
      </c>
      <c r="C2107" s="1" t="s">
        <v>66</v>
      </c>
      <c r="D2107" s="1">
        <v>1.0</v>
      </c>
      <c r="E2107" s="1">
        <v>14771.0</v>
      </c>
      <c r="F2107" s="10">
        <f t="shared" si="1"/>
        <v>1</v>
      </c>
      <c r="G2107" s="10">
        <f t="array" ref="G2107">index('Player ID'!C:C,match(E2107,'Player ID'!B:B,0))</f>
        <v>641941</v>
      </c>
    </row>
    <row r="2108">
      <c r="A2108" s="76">
        <v>45762.0</v>
      </c>
      <c r="B2108" s="1" t="s">
        <v>475</v>
      </c>
      <c r="C2108" s="1" t="s">
        <v>66</v>
      </c>
      <c r="D2108" s="1">
        <v>0.1</v>
      </c>
      <c r="E2108" s="1">
        <v>14993.0</v>
      </c>
      <c r="F2108" s="10">
        <f t="shared" si="1"/>
        <v>0.3333333333</v>
      </c>
      <c r="G2108" s="10">
        <f t="array" ref="G2108">index('Player ID'!C:C,match(E2108,'Player ID'!B:B,0))</f>
        <v>605130</v>
      </c>
    </row>
    <row r="2109">
      <c r="A2109" s="76">
        <v>45762.0</v>
      </c>
      <c r="B2109" s="1" t="s">
        <v>272</v>
      </c>
      <c r="C2109" s="1" t="s">
        <v>37</v>
      </c>
      <c r="D2109" s="1">
        <v>4.1</v>
      </c>
      <c r="E2109" s="1">
        <v>15689.0</v>
      </c>
      <c r="F2109" s="10">
        <f t="shared" si="1"/>
        <v>4.333333333</v>
      </c>
      <c r="G2109" s="10">
        <f t="array" ref="G2109">index('Player ID'!C:C,match(E2109,'Player ID'!B:B,0))</f>
        <v>622491</v>
      </c>
    </row>
    <row r="2110">
      <c r="A2110" s="76">
        <v>45762.0</v>
      </c>
      <c r="B2110" s="1" t="s">
        <v>345</v>
      </c>
      <c r="C2110" s="1" t="s">
        <v>66</v>
      </c>
      <c r="D2110" s="1">
        <v>1.0</v>
      </c>
      <c r="E2110" s="1">
        <v>19926.0</v>
      </c>
      <c r="F2110" s="10">
        <f t="shared" si="1"/>
        <v>1</v>
      </c>
      <c r="G2110" s="10">
        <f t="array" ref="G2110">index('Player ID'!C:C,match(E2110,'Player ID'!B:B,0))</f>
        <v>663574</v>
      </c>
    </row>
    <row r="2111">
      <c r="A2111" s="76">
        <v>45762.0</v>
      </c>
      <c r="B2111" s="1" t="s">
        <v>157</v>
      </c>
      <c r="C2111" s="1" t="s">
        <v>37</v>
      </c>
      <c r="D2111" s="1">
        <v>0.2</v>
      </c>
      <c r="E2111" s="1">
        <v>20997.0</v>
      </c>
      <c r="F2111" s="10">
        <f t="shared" si="1"/>
        <v>0.6666666667</v>
      </c>
      <c r="G2111" s="10">
        <f t="array" ref="G2111">index('Player ID'!C:C,match(E2111,'Player ID'!B:B,0))</f>
        <v>660825</v>
      </c>
    </row>
    <row r="2112">
      <c r="A2112" s="76">
        <v>45762.0</v>
      </c>
      <c r="B2112" s="1" t="s">
        <v>801</v>
      </c>
      <c r="C2112" s="1" t="s">
        <v>66</v>
      </c>
      <c r="D2112" s="1">
        <v>0.2</v>
      </c>
      <c r="E2112" s="1">
        <v>21132.0</v>
      </c>
      <c r="F2112" s="10">
        <f t="shared" si="1"/>
        <v>0.6666666667</v>
      </c>
      <c r="G2112" s="10">
        <f t="array" ref="G2112">index('Player ID'!C:C,match(E2112,'Player ID'!B:B,0))</f>
        <v>664747</v>
      </c>
    </row>
    <row r="2113">
      <c r="A2113" s="76">
        <v>45762.0</v>
      </c>
      <c r="B2113" s="1" t="s">
        <v>684</v>
      </c>
      <c r="C2113" s="1" t="s">
        <v>37</v>
      </c>
      <c r="D2113" s="1">
        <v>0.1</v>
      </c>
      <c r="E2113" s="1">
        <v>21894.0</v>
      </c>
      <c r="F2113" s="10">
        <f t="shared" si="1"/>
        <v>0.3333333333</v>
      </c>
      <c r="G2113" s="10">
        <f t="array" ref="G2113">index('Player ID'!C:C,match(E2113,'Player ID'!B:B,0))</f>
        <v>666619</v>
      </c>
    </row>
    <row r="2114">
      <c r="A2114" s="76">
        <v>45762.0</v>
      </c>
      <c r="B2114" s="1" t="s">
        <v>683</v>
      </c>
      <c r="C2114" s="1" t="s">
        <v>37</v>
      </c>
      <c r="D2114" s="1">
        <v>1.2</v>
      </c>
      <c r="E2114" s="1">
        <v>23307.0</v>
      </c>
      <c r="F2114" s="10">
        <f t="shared" si="1"/>
        <v>1.666666667</v>
      </c>
      <c r="G2114" s="10">
        <f t="array" ref="G2114">index('Player ID'!C:C,match(E2114,'Player ID'!B:B,0))</f>
        <v>676092</v>
      </c>
    </row>
    <row r="2115">
      <c r="A2115" s="76">
        <v>45762.0</v>
      </c>
      <c r="B2115" s="1" t="s">
        <v>340</v>
      </c>
      <c r="C2115" s="1" t="s">
        <v>37</v>
      </c>
      <c r="D2115" s="1">
        <v>1.0</v>
      </c>
      <c r="E2115" s="1">
        <v>25921.0</v>
      </c>
      <c r="F2115" s="10">
        <f t="shared" si="1"/>
        <v>1</v>
      </c>
      <c r="G2115" s="10">
        <f t="array" ref="G2115">index('Player ID'!C:C,match(E2115,'Player ID'!B:B,0))</f>
        <v>668984</v>
      </c>
    </row>
    <row r="2116">
      <c r="A2116" s="76">
        <v>45762.0</v>
      </c>
      <c r="B2116" s="1" t="s">
        <v>194</v>
      </c>
      <c r="C2116" s="1" t="s">
        <v>66</v>
      </c>
      <c r="D2116" s="1">
        <v>4.2</v>
      </c>
      <c r="E2116" s="1">
        <v>26378.0</v>
      </c>
      <c r="F2116" s="10">
        <f t="shared" si="1"/>
        <v>4.666666667</v>
      </c>
      <c r="G2116" s="10">
        <f t="array" ref="G2116">index('Player ID'!C:C,match(E2116,'Player ID'!B:B,0))</f>
        <v>666157</v>
      </c>
    </row>
    <row r="2117">
      <c r="A2117" s="76">
        <v>45762.0</v>
      </c>
      <c r="B2117" s="1" t="s">
        <v>211</v>
      </c>
      <c r="C2117" s="1" t="s">
        <v>66</v>
      </c>
      <c r="D2117" s="1">
        <v>1.1</v>
      </c>
      <c r="E2117" s="1">
        <v>27552.0</v>
      </c>
      <c r="F2117" s="10">
        <f t="shared" si="1"/>
        <v>1.333333333</v>
      </c>
      <c r="G2117" s="10">
        <f t="array" ref="G2117">index('Player ID'!C:C,match(E2117,'Player ID'!B:B,0))</f>
        <v>668933</v>
      </c>
    </row>
    <row r="2118">
      <c r="A2118" s="76">
        <v>45762.0</v>
      </c>
      <c r="B2118" s="1" t="s">
        <v>103</v>
      </c>
      <c r="C2118" s="1" t="s">
        <v>64</v>
      </c>
      <c r="D2118" s="1">
        <v>1.0</v>
      </c>
      <c r="E2118" s="1">
        <v>10197.0</v>
      </c>
      <c r="F2118" s="10">
        <f t="shared" si="1"/>
        <v>1</v>
      </c>
      <c r="G2118" s="10">
        <f t="array" ref="G2118">index('Player ID'!C:C,match(E2118,'Player ID'!B:B,0))</f>
        <v>571946</v>
      </c>
    </row>
    <row r="2119">
      <c r="A2119" s="76">
        <v>45762.0</v>
      </c>
      <c r="B2119" s="1" t="s">
        <v>222</v>
      </c>
      <c r="C2119" s="1" t="s">
        <v>64</v>
      </c>
      <c r="D2119" s="1">
        <v>6.0</v>
      </c>
      <c r="E2119" s="1">
        <v>11156.0</v>
      </c>
      <c r="F2119" s="10">
        <f t="shared" si="1"/>
        <v>6</v>
      </c>
      <c r="G2119" s="10">
        <f t="array" ref="G2119">index('Player ID'!C:C,match(E2119,'Player ID'!B:B,0))</f>
        <v>518876</v>
      </c>
    </row>
    <row r="2120">
      <c r="A2120" s="76">
        <v>45762.0</v>
      </c>
      <c r="B2120" s="1" t="s">
        <v>685</v>
      </c>
      <c r="C2120" s="1" t="s">
        <v>64</v>
      </c>
      <c r="D2120" s="1">
        <v>1.0</v>
      </c>
      <c r="E2120" s="1">
        <v>14857.0</v>
      </c>
      <c r="F2120" s="10">
        <f t="shared" si="1"/>
        <v>1</v>
      </c>
      <c r="G2120" s="10">
        <f t="array" ref="G2120">index('Player ID'!C:C,match(E2120,'Player ID'!B:B,0))</f>
        <v>573009</v>
      </c>
    </row>
    <row r="2121">
      <c r="A2121" s="76">
        <v>45762.0</v>
      </c>
      <c r="B2121" s="1" t="s">
        <v>241</v>
      </c>
      <c r="C2121" s="1" t="s">
        <v>36</v>
      </c>
      <c r="D2121" s="1">
        <v>1.0</v>
      </c>
      <c r="E2121" s="1">
        <v>19222.0</v>
      </c>
      <c r="F2121" s="10">
        <f t="shared" si="1"/>
        <v>1</v>
      </c>
      <c r="G2121" s="10">
        <f t="array" ref="G2121">index('Player ID'!C:C,match(E2121,'Player ID'!B:B,0))</f>
        <v>669199</v>
      </c>
    </row>
    <row r="2122">
      <c r="A2122" s="76">
        <v>45762.0</v>
      </c>
      <c r="B2122" s="1" t="s">
        <v>469</v>
      </c>
      <c r="C2122" s="1" t="s">
        <v>36</v>
      </c>
      <c r="D2122" s="1">
        <v>3.0</v>
      </c>
      <c r="E2122" s="1">
        <v>21863.0</v>
      </c>
      <c r="F2122" s="10">
        <f t="shared" si="1"/>
        <v>3</v>
      </c>
      <c r="G2122" s="10">
        <f t="array" ref="G2122">index('Player ID'!C:C,match(E2122,'Player ID'!B:B,0))</f>
        <v>666277</v>
      </c>
    </row>
    <row r="2123">
      <c r="A2123" s="76">
        <v>45762.0</v>
      </c>
      <c r="B2123" s="1" t="s">
        <v>561</v>
      </c>
      <c r="C2123" s="1" t="s">
        <v>36</v>
      </c>
      <c r="D2123" s="1">
        <v>5.0</v>
      </c>
      <c r="E2123" s="1">
        <v>26171.0</v>
      </c>
      <c r="F2123" s="10">
        <f t="shared" si="1"/>
        <v>5</v>
      </c>
      <c r="G2123" s="10">
        <f t="array" ref="G2123">index('Player ID'!C:C,match(E2123,'Player ID'!B:B,0))</f>
        <v>687362</v>
      </c>
    </row>
    <row r="2124">
      <c r="A2124" s="76">
        <v>45762.0</v>
      </c>
      <c r="B2124" s="1" t="s">
        <v>598</v>
      </c>
      <c r="C2124" s="1" t="s">
        <v>64</v>
      </c>
      <c r="D2124" s="1">
        <v>1.0</v>
      </c>
      <c r="E2124" s="1">
        <v>27477.0</v>
      </c>
      <c r="F2124" s="10">
        <f t="shared" si="1"/>
        <v>1</v>
      </c>
      <c r="G2124" s="10">
        <f t="array" ref="G2124">index('Player ID'!C:C,match(E2124,'Player ID'!B:B,0))</f>
        <v>686826</v>
      </c>
    </row>
    <row r="2125">
      <c r="A2125" s="76">
        <v>45762.0</v>
      </c>
      <c r="B2125" s="1" t="s">
        <v>358</v>
      </c>
      <c r="C2125" s="1" t="s">
        <v>31</v>
      </c>
      <c r="D2125" s="1">
        <v>5.2</v>
      </c>
      <c r="E2125" s="1">
        <v>8700.0</v>
      </c>
      <c r="F2125" s="10">
        <f t="shared" si="1"/>
        <v>5.666666667</v>
      </c>
      <c r="G2125" s="10">
        <f t="array" ref="G2125">index('Player ID'!C:C,match(E2125,'Player ID'!B:B,0))</f>
        <v>434378</v>
      </c>
    </row>
    <row r="2126">
      <c r="A2126" s="76">
        <v>45762.0</v>
      </c>
      <c r="B2126" s="1" t="s">
        <v>182</v>
      </c>
      <c r="C2126" s="1" t="s">
        <v>45</v>
      </c>
      <c r="D2126" s="1">
        <v>1.0</v>
      </c>
      <c r="E2126" s="1">
        <v>13799.0</v>
      </c>
      <c r="F2126" s="10">
        <f t="shared" si="1"/>
        <v>1</v>
      </c>
      <c r="G2126" s="10">
        <f t="array" ref="G2126">index('Player ID'!C:C,match(E2126,'Player ID'!B:B,0))</f>
        <v>621381</v>
      </c>
    </row>
    <row r="2127">
      <c r="A2127" s="76">
        <v>45762.0</v>
      </c>
      <c r="B2127" s="1" t="s">
        <v>208</v>
      </c>
      <c r="C2127" s="1" t="s">
        <v>45</v>
      </c>
      <c r="D2127" s="1">
        <v>1.0</v>
      </c>
      <c r="E2127" s="1">
        <v>16122.0</v>
      </c>
      <c r="F2127" s="10">
        <f t="shared" si="1"/>
        <v>1</v>
      </c>
      <c r="G2127" s="10">
        <f t="array" ref="G2127">index('Player ID'!C:C,match(E2127,'Player ID'!B:B,0))</f>
        <v>605447</v>
      </c>
    </row>
    <row r="2128">
      <c r="A2128" s="76">
        <v>45762.0</v>
      </c>
      <c r="B2128" s="1" t="s">
        <v>643</v>
      </c>
      <c r="C2128" s="1" t="s">
        <v>45</v>
      </c>
      <c r="D2128" s="1">
        <v>1.0</v>
      </c>
      <c r="E2128" s="1">
        <v>17780.0</v>
      </c>
      <c r="F2128" s="10">
        <f t="shared" si="1"/>
        <v>1</v>
      </c>
      <c r="G2128" s="10">
        <f t="array" ref="G2128">index('Player ID'!C:C,match(E2128,'Player ID'!B:B,0))</f>
        <v>621237</v>
      </c>
    </row>
    <row r="2129">
      <c r="A2129" s="76">
        <v>45762.0</v>
      </c>
      <c r="B2129" s="1" t="s">
        <v>700</v>
      </c>
      <c r="C2129" s="1" t="s">
        <v>45</v>
      </c>
      <c r="D2129" s="1">
        <v>5.1</v>
      </c>
      <c r="E2129" s="1">
        <v>19959.0</v>
      </c>
      <c r="F2129" s="10">
        <f t="shared" si="1"/>
        <v>5.333333333</v>
      </c>
      <c r="G2129" s="10">
        <f t="array" ref="G2129">index('Player ID'!C:C,match(E2129,'Player ID'!B:B,0))</f>
        <v>666200</v>
      </c>
    </row>
    <row r="2130">
      <c r="A2130" s="76">
        <v>45762.0</v>
      </c>
      <c r="B2130" s="1" t="s">
        <v>654</v>
      </c>
      <c r="C2130" s="1" t="s">
        <v>31</v>
      </c>
      <c r="D2130" s="1">
        <v>0.1</v>
      </c>
      <c r="E2130" s="1">
        <v>23974.0</v>
      </c>
      <c r="F2130" s="10">
        <f t="shared" si="1"/>
        <v>0.3333333333</v>
      </c>
      <c r="G2130" s="10">
        <f t="array" ref="G2130">index('Player ID'!C:C,match(E2130,'Player ID'!B:B,0))</f>
        <v>678495</v>
      </c>
    </row>
    <row r="2131">
      <c r="A2131" s="76">
        <v>45762.0</v>
      </c>
      <c r="B2131" s="1" t="s">
        <v>276</v>
      </c>
      <c r="C2131" s="1" t="s">
        <v>31</v>
      </c>
      <c r="D2131" s="1">
        <v>1.0</v>
      </c>
      <c r="E2131" s="1">
        <v>30226.0</v>
      </c>
      <c r="F2131" s="10">
        <f t="shared" si="1"/>
        <v>1</v>
      </c>
      <c r="G2131" s="10">
        <f t="array" ref="G2131">index('Player ID'!C:C,match(E2131,'Player ID'!B:B,0))</f>
        <v>702352</v>
      </c>
    </row>
    <row r="2132">
      <c r="A2132" s="76">
        <v>45762.0</v>
      </c>
      <c r="B2132" s="1" t="s">
        <v>514</v>
      </c>
      <c r="C2132" s="1" t="s">
        <v>31</v>
      </c>
      <c r="D2132" s="1">
        <v>1.0</v>
      </c>
      <c r="E2132" s="1">
        <v>31635.0</v>
      </c>
      <c r="F2132" s="10">
        <f t="shared" si="1"/>
        <v>1</v>
      </c>
      <c r="G2132" s="10">
        <f t="array" ref="G2132">index('Player ID'!C:C,match(E2132,'Player ID'!B:B,0))</f>
        <v>806185</v>
      </c>
    </row>
    <row r="2133">
      <c r="A2133" s="76">
        <v>45762.0</v>
      </c>
      <c r="B2133" s="1" t="s">
        <v>165</v>
      </c>
      <c r="C2133" s="1" t="s">
        <v>45</v>
      </c>
      <c r="D2133" s="1">
        <v>0.2</v>
      </c>
      <c r="E2133" s="1">
        <v>31776.0</v>
      </c>
      <c r="F2133" s="10">
        <f t="shared" si="1"/>
        <v>0.6666666667</v>
      </c>
      <c r="G2133" s="10">
        <f t="array" ref="G2133">index('Player ID'!C:C,match(E2133,'Player ID'!B:B,0))</f>
        <v>689147</v>
      </c>
    </row>
    <row r="2134">
      <c r="A2134" s="76">
        <v>45762.0</v>
      </c>
      <c r="B2134" s="1" t="s">
        <v>474</v>
      </c>
      <c r="C2134" s="1" t="s">
        <v>68</v>
      </c>
      <c r="D2134" s="1">
        <v>5.0</v>
      </c>
      <c r="E2134" s="1">
        <v>4676.0</v>
      </c>
      <c r="F2134" s="10">
        <f t="shared" si="1"/>
        <v>5</v>
      </c>
      <c r="G2134" s="10">
        <f t="array" ref="G2134">index('Player ID'!C:C,match(E2134,'Player ID'!B:B,0))</f>
        <v>450203</v>
      </c>
    </row>
    <row r="2135">
      <c r="A2135" s="76">
        <v>45762.0</v>
      </c>
      <c r="B2135" s="1" t="s">
        <v>723</v>
      </c>
      <c r="C2135" s="1" t="s">
        <v>68</v>
      </c>
      <c r="D2135" s="1">
        <v>1.0</v>
      </c>
      <c r="E2135" s="1">
        <v>13528.0</v>
      </c>
      <c r="F2135" s="10">
        <f t="shared" si="1"/>
        <v>1</v>
      </c>
      <c r="G2135" s="10">
        <f t="array" ref="G2135">index('Player ID'!C:C,match(E2135,'Player ID'!B:B,0))</f>
        <v>621199</v>
      </c>
    </row>
    <row r="2136">
      <c r="A2136" s="76">
        <v>45762.0</v>
      </c>
      <c r="B2136" s="1" t="s">
        <v>648</v>
      </c>
      <c r="C2136" s="1" t="s">
        <v>70</v>
      </c>
      <c r="D2136" s="1">
        <v>0.1</v>
      </c>
      <c r="E2136" s="1">
        <v>13892.0</v>
      </c>
      <c r="F2136" s="10">
        <f t="shared" si="1"/>
        <v>0.3333333333</v>
      </c>
      <c r="G2136" s="10">
        <f t="array" ref="G2136">index('Player ID'!C:C,match(E2136,'Player ID'!B:B,0))</f>
        <v>623149</v>
      </c>
    </row>
    <row r="2137">
      <c r="A2137" s="76">
        <v>45762.0</v>
      </c>
      <c r="B2137" s="1" t="s">
        <v>233</v>
      </c>
      <c r="C2137" s="1" t="s">
        <v>68</v>
      </c>
      <c r="D2137" s="1">
        <v>1.2</v>
      </c>
      <c r="E2137" s="1">
        <v>16427.0</v>
      </c>
      <c r="F2137" s="10">
        <f t="shared" si="1"/>
        <v>1.666666667</v>
      </c>
      <c r="G2137" s="10">
        <f t="array" ref="G2137">index('Player ID'!C:C,match(E2137,'Player ID'!B:B,0))</f>
        <v>656240</v>
      </c>
    </row>
    <row r="2138">
      <c r="A2138" s="76">
        <v>45762.0</v>
      </c>
      <c r="B2138" s="1" t="s">
        <v>675</v>
      </c>
      <c r="C2138" s="1" t="s">
        <v>68</v>
      </c>
      <c r="D2138" s="1">
        <v>1.1</v>
      </c>
      <c r="E2138" s="1">
        <v>19614.0</v>
      </c>
      <c r="F2138" s="10">
        <f t="shared" si="1"/>
        <v>1.333333333</v>
      </c>
      <c r="G2138" s="10">
        <f t="array" ref="G2138">index('Player ID'!C:C,match(E2138,'Player ID'!B:B,0))</f>
        <v>672335</v>
      </c>
    </row>
    <row r="2139">
      <c r="A2139" s="76">
        <v>45762.0</v>
      </c>
      <c r="B2139" s="1" t="s">
        <v>132</v>
      </c>
      <c r="C2139" s="1" t="s">
        <v>70</v>
      </c>
      <c r="D2139" s="1">
        <v>1.0</v>
      </c>
      <c r="E2139" s="1">
        <v>21032.0</v>
      </c>
      <c r="F2139" s="10">
        <f t="shared" si="1"/>
        <v>1</v>
      </c>
      <c r="G2139" s="10">
        <f t="array" ref="G2139">index('Player ID'!C:C,match(E2139,'Player ID'!B:B,0))</f>
        <v>661403</v>
      </c>
    </row>
    <row r="2140">
      <c r="A2140" s="76">
        <v>45762.0</v>
      </c>
      <c r="B2140" s="1" t="s">
        <v>398</v>
      </c>
      <c r="C2140" s="1" t="s">
        <v>70</v>
      </c>
      <c r="D2140" s="1">
        <v>0.2</v>
      </c>
      <c r="E2140" s="1">
        <v>23335.0</v>
      </c>
      <c r="F2140" s="10">
        <f t="shared" si="1"/>
        <v>0.6666666667</v>
      </c>
      <c r="G2140" s="10">
        <f t="array" ref="G2140">index('Player ID'!C:C,match(E2140,'Player ID'!B:B,0))</f>
        <v>676282</v>
      </c>
    </row>
    <row r="2141">
      <c r="A2141" s="76">
        <v>45762.0</v>
      </c>
      <c r="B2141" s="1" t="s">
        <v>372</v>
      </c>
      <c r="C2141" s="1" t="s">
        <v>70</v>
      </c>
      <c r="D2141" s="1">
        <v>5.2</v>
      </c>
      <c r="E2141" s="1">
        <v>27589.0</v>
      </c>
      <c r="F2141" s="10">
        <f t="shared" si="1"/>
        <v>5.666666667</v>
      </c>
      <c r="G2141" s="10">
        <f t="array" ref="G2141">index('Player ID'!C:C,match(E2141,'Player ID'!B:B,0))</f>
        <v>671106</v>
      </c>
    </row>
    <row r="2142">
      <c r="A2142" s="76">
        <v>45762.0</v>
      </c>
      <c r="B2142" s="1" t="s">
        <v>135</v>
      </c>
      <c r="C2142" s="1" t="s">
        <v>70</v>
      </c>
      <c r="D2142" s="1">
        <v>1.1</v>
      </c>
      <c r="E2142" s="1">
        <v>27867.0</v>
      </c>
      <c r="F2142" s="10">
        <f t="shared" si="1"/>
        <v>1.333333333</v>
      </c>
      <c r="G2142" s="10">
        <f t="array" ref="G2142">index('Player ID'!C:C,match(E2142,'Player ID'!B:B,0))</f>
        <v>671922</v>
      </c>
    </row>
    <row r="2143">
      <c r="A2143" s="76">
        <v>45762.0</v>
      </c>
      <c r="B2143" s="1" t="s">
        <v>230</v>
      </c>
      <c r="C2143" s="1" t="s">
        <v>22</v>
      </c>
      <c r="D2143" s="1">
        <v>1.0</v>
      </c>
      <c r="E2143" s="1">
        <v>4301.0</v>
      </c>
      <c r="F2143" s="10">
        <f t="shared" si="1"/>
        <v>1</v>
      </c>
      <c r="G2143" s="10">
        <f t="array" ref="G2143">index('Player ID'!C:C,match(E2143,'Player ID'!B:B,0))</f>
        <v>458677</v>
      </c>
    </row>
    <row r="2144">
      <c r="A2144" s="76">
        <v>45762.0</v>
      </c>
      <c r="B2144" s="1" t="s">
        <v>41</v>
      </c>
      <c r="C2144" s="1" t="s">
        <v>22</v>
      </c>
      <c r="D2144" s="1">
        <v>0.1</v>
      </c>
      <c r="E2144" s="1">
        <v>10233.0</v>
      </c>
      <c r="F2144" s="10">
        <f t="shared" si="1"/>
        <v>0.3333333333</v>
      </c>
      <c r="G2144" s="10">
        <f t="array" ref="G2144">index('Player ID'!C:C,match(E2144,'Player ID'!B:B,0))</f>
        <v>547973</v>
      </c>
    </row>
    <row r="2145">
      <c r="A2145" s="76">
        <v>45762.0</v>
      </c>
      <c r="B2145" s="1" t="s">
        <v>405</v>
      </c>
      <c r="C2145" s="1" t="s">
        <v>22</v>
      </c>
      <c r="D2145" s="1">
        <v>5.0</v>
      </c>
      <c r="E2145" s="1">
        <v>19374.0</v>
      </c>
      <c r="F2145" s="10">
        <f t="shared" si="1"/>
        <v>5</v>
      </c>
      <c r="G2145" s="10">
        <f t="array" ref="G2145">index('Player ID'!C:C,match(E2145,'Player ID'!B:B,0))</f>
        <v>621111</v>
      </c>
    </row>
    <row r="2146">
      <c r="A2146" s="76">
        <v>45762.0</v>
      </c>
      <c r="B2146" s="1" t="s">
        <v>134</v>
      </c>
      <c r="C2146" s="1" t="s">
        <v>22</v>
      </c>
      <c r="D2146" s="1">
        <v>2.2</v>
      </c>
      <c r="E2146" s="1">
        <v>20349.0</v>
      </c>
      <c r="F2146" s="10">
        <f t="shared" si="1"/>
        <v>2.666666667</v>
      </c>
      <c r="G2146" s="10">
        <f t="array" ref="G2146">index('Player ID'!C:C,match(E2146,'Player ID'!B:B,0))</f>
        <v>677161</v>
      </c>
    </row>
    <row r="2147">
      <c r="A2147" s="76">
        <v>45762.0</v>
      </c>
      <c r="B2147" s="1" t="s">
        <v>705</v>
      </c>
      <c r="C2147" s="1" t="s">
        <v>54</v>
      </c>
      <c r="D2147" s="1">
        <v>1.0</v>
      </c>
      <c r="E2147" s="1">
        <v>20794.0</v>
      </c>
      <c r="F2147" s="10">
        <f t="shared" si="1"/>
        <v>1</v>
      </c>
      <c r="G2147" s="10">
        <f t="array" ref="G2147">index('Player ID'!C:C,match(E2147,'Player ID'!B:B,0))</f>
        <v>655889</v>
      </c>
    </row>
    <row r="2148">
      <c r="A2148" s="76">
        <v>45762.0</v>
      </c>
      <c r="B2148" s="1" t="s">
        <v>204</v>
      </c>
      <c r="C2148" s="1" t="s">
        <v>54</v>
      </c>
      <c r="D2148" s="1">
        <v>1.0</v>
      </c>
      <c r="E2148" s="1">
        <v>22288.0</v>
      </c>
      <c r="F2148" s="10">
        <f t="shared" si="1"/>
        <v>1</v>
      </c>
      <c r="G2148" s="10">
        <f t="array" ref="G2148">index('Player ID'!C:C,match(E2148,'Player ID'!B:B,0))</f>
        <v>669438</v>
      </c>
    </row>
    <row r="2149">
      <c r="A2149" s="76">
        <v>45762.0</v>
      </c>
      <c r="B2149" s="1" t="s">
        <v>129</v>
      </c>
      <c r="C2149" s="1" t="s">
        <v>54</v>
      </c>
      <c r="D2149" s="1">
        <v>6.0</v>
      </c>
      <c r="E2149" s="1">
        <v>26221.0</v>
      </c>
      <c r="F2149" s="10">
        <f t="shared" si="1"/>
        <v>6</v>
      </c>
      <c r="G2149" s="10">
        <f t="array" ref="G2149">index('Player ID'!C:C,match(E2149,'Player ID'!B:B,0))</f>
        <v>686752</v>
      </c>
    </row>
    <row r="2150">
      <c r="A2150" s="76">
        <v>45762.0</v>
      </c>
      <c r="B2150" s="1" t="s">
        <v>671</v>
      </c>
      <c r="C2150" s="1" t="s">
        <v>54</v>
      </c>
      <c r="D2150" s="1">
        <v>1.0</v>
      </c>
      <c r="E2150" s="1">
        <v>26259.0</v>
      </c>
      <c r="F2150" s="10">
        <f t="shared" si="1"/>
        <v>1</v>
      </c>
      <c r="G2150" s="10">
        <f t="array" ref="G2150">index('Player ID'!C:C,match(E2150,'Player ID'!B:B,0))</f>
        <v>685801</v>
      </c>
    </row>
    <row r="2151">
      <c r="A2151" s="76">
        <v>45762.0</v>
      </c>
      <c r="B2151" s="1" t="s">
        <v>166</v>
      </c>
      <c r="C2151" s="1" t="s">
        <v>58</v>
      </c>
      <c r="D2151" s="1">
        <v>6.2</v>
      </c>
      <c r="E2151" s="1">
        <v>13743.0</v>
      </c>
      <c r="F2151" s="10">
        <f t="shared" si="1"/>
        <v>6.666666667</v>
      </c>
      <c r="G2151" s="10">
        <f t="array" ref="G2151">index('Player ID'!C:C,match(E2151,'Player ID'!B:B,0))</f>
        <v>608331</v>
      </c>
    </row>
    <row r="2152">
      <c r="A2152" s="76">
        <v>45762.0</v>
      </c>
      <c r="B2152" s="1" t="s">
        <v>147</v>
      </c>
      <c r="C2152" s="1" t="s">
        <v>29</v>
      </c>
      <c r="D2152" s="1">
        <v>5.2</v>
      </c>
      <c r="E2152" s="1">
        <v>14078.0</v>
      </c>
      <c r="F2152" s="10">
        <f t="shared" si="1"/>
        <v>5.666666667</v>
      </c>
      <c r="G2152" s="10">
        <f t="array" ref="G2152">index('Player ID'!C:C,match(E2152,'Player ID'!B:B,0))</f>
        <v>608379</v>
      </c>
    </row>
    <row r="2153">
      <c r="A2153" s="76">
        <v>45762.0</v>
      </c>
      <c r="B2153" s="1" t="s">
        <v>114</v>
      </c>
      <c r="C2153" s="1" t="s">
        <v>58</v>
      </c>
      <c r="D2153" s="1">
        <v>1.0</v>
      </c>
      <c r="E2153" s="1">
        <v>15816.0</v>
      </c>
      <c r="F2153" s="10">
        <f t="shared" si="1"/>
        <v>1</v>
      </c>
      <c r="G2153" s="10">
        <f t="array" ref="G2153">index('Player ID'!C:C,match(E2153,'Player ID'!B:B,0))</f>
        <v>642207</v>
      </c>
    </row>
    <row r="2154">
      <c r="A2154" s="76">
        <v>45762.0</v>
      </c>
      <c r="B2154" s="1" t="s">
        <v>225</v>
      </c>
      <c r="C2154" s="1" t="s">
        <v>58</v>
      </c>
      <c r="D2154" s="1">
        <v>1.1</v>
      </c>
      <c r="E2154" s="1">
        <v>16918.0</v>
      </c>
      <c r="F2154" s="10">
        <f t="shared" si="1"/>
        <v>1.333333333</v>
      </c>
      <c r="G2154" s="10">
        <f t="array" ref="G2154">index('Player ID'!C:C,match(E2154,'Player ID'!B:B,0))</f>
        <v>596133</v>
      </c>
    </row>
    <row r="2155">
      <c r="A2155" s="76">
        <v>45762.0</v>
      </c>
      <c r="B2155" s="1" t="s">
        <v>140</v>
      </c>
      <c r="C2155" s="1" t="s">
        <v>29</v>
      </c>
      <c r="D2155" s="1">
        <v>0.2</v>
      </c>
      <c r="E2155" s="1">
        <v>22717.0</v>
      </c>
      <c r="F2155" s="10">
        <f t="shared" si="1"/>
        <v>0.6666666667</v>
      </c>
      <c r="G2155" s="10">
        <f t="array" ref="G2155">index('Player ID'!C:C,match(E2155,'Player ID'!B:B,0))</f>
        <v>672582</v>
      </c>
    </row>
    <row r="2156">
      <c r="A2156" s="76">
        <v>45762.0</v>
      </c>
      <c r="B2156" s="1" t="s">
        <v>214</v>
      </c>
      <c r="C2156" s="1" t="s">
        <v>29</v>
      </c>
      <c r="D2156" s="1">
        <v>0.2</v>
      </c>
      <c r="E2156" s="1">
        <v>23165.0</v>
      </c>
      <c r="F2156" s="10">
        <f t="shared" si="1"/>
        <v>0.6666666667</v>
      </c>
      <c r="G2156" s="10">
        <f t="array" ref="G2156">index('Player ID'!C:C,match(E2156,'Player ID'!B:B,0))</f>
        <v>674444</v>
      </c>
    </row>
    <row r="2157">
      <c r="A2157" s="76">
        <v>45762.0</v>
      </c>
      <c r="B2157" s="1" t="s">
        <v>734</v>
      </c>
      <c r="C2157" s="1" t="s">
        <v>29</v>
      </c>
      <c r="D2157" s="1">
        <v>1.0</v>
      </c>
      <c r="E2157" s="1">
        <v>24995.0</v>
      </c>
      <c r="F2157" s="10">
        <f t="shared" si="1"/>
        <v>1</v>
      </c>
      <c r="G2157" s="10">
        <f t="array" ref="G2157">index('Player ID'!C:C,match(E2157,'Player ID'!B:B,0))</f>
        <v>681895</v>
      </c>
    </row>
    <row r="2158">
      <c r="A2158" s="76">
        <v>45762.0</v>
      </c>
      <c r="B2158" s="1" t="s">
        <v>326</v>
      </c>
      <c r="C2158" s="1" t="s">
        <v>46</v>
      </c>
      <c r="D2158" s="1">
        <v>1.0</v>
      </c>
      <c r="E2158" s="1">
        <v>12760.0</v>
      </c>
      <c r="F2158" s="10">
        <f t="shared" si="1"/>
        <v>1</v>
      </c>
      <c r="G2158" s="10">
        <f t="array" ref="G2158">index('Player ID'!C:C,match(E2158,'Player ID'!B:B,0))</f>
        <v>606160</v>
      </c>
    </row>
    <row r="2159">
      <c r="A2159" s="76">
        <v>45762.0</v>
      </c>
      <c r="B2159" s="1" t="s">
        <v>155</v>
      </c>
      <c r="C2159" s="1" t="s">
        <v>40</v>
      </c>
      <c r="D2159" s="1">
        <v>6.0</v>
      </c>
      <c r="E2159" s="1">
        <v>14107.0</v>
      </c>
      <c r="F2159" s="10">
        <f t="shared" si="1"/>
        <v>6</v>
      </c>
      <c r="G2159" s="10">
        <f t="array" ref="G2159">index('Player ID'!C:C,match(E2159,'Player ID'!B:B,0))</f>
        <v>592332</v>
      </c>
    </row>
    <row r="2160">
      <c r="A2160" s="76">
        <v>45762.0</v>
      </c>
      <c r="B2160" s="1" t="s">
        <v>174</v>
      </c>
      <c r="C2160" s="1" t="s">
        <v>40</v>
      </c>
      <c r="D2160" s="1">
        <v>1.0</v>
      </c>
      <c r="E2160" s="1">
        <v>15552.0</v>
      </c>
      <c r="F2160" s="10">
        <f t="shared" si="1"/>
        <v>1</v>
      </c>
      <c r="G2160" s="10">
        <f t="array" ref="G2160">index('Player ID'!C:C,match(E2160,'Player ID'!B:B,0))</f>
        <v>643338</v>
      </c>
    </row>
    <row r="2161">
      <c r="A2161" s="76">
        <v>45762.0</v>
      </c>
      <c r="B2161" s="1" t="s">
        <v>731</v>
      </c>
      <c r="C2161" s="1" t="s">
        <v>46</v>
      </c>
      <c r="D2161" s="1">
        <v>2.1</v>
      </c>
      <c r="E2161" s="1">
        <v>16094.0</v>
      </c>
      <c r="F2161" s="10">
        <f t="shared" si="1"/>
        <v>2.333333333</v>
      </c>
      <c r="G2161" s="10">
        <f t="array" ref="G2161">index('Player ID'!C:C,match(E2161,'Player ID'!B:B,0))</f>
        <v>605507</v>
      </c>
    </row>
    <row r="2162">
      <c r="A2162" s="76">
        <v>45762.0</v>
      </c>
      <c r="B2162" s="1" t="s">
        <v>641</v>
      </c>
      <c r="C2162" s="1" t="s">
        <v>40</v>
      </c>
      <c r="D2162" s="1">
        <v>0.1</v>
      </c>
      <c r="E2162" s="1">
        <v>20517.0</v>
      </c>
      <c r="F2162" s="10">
        <f t="shared" si="1"/>
        <v>0.3333333333</v>
      </c>
      <c r="G2162" s="10">
        <f t="array" ref="G2162">index('Player ID'!C:C,match(E2162,'Player ID'!B:B,0))</f>
        <v>680704</v>
      </c>
    </row>
    <row r="2163">
      <c r="A2163" s="76">
        <v>45762.0</v>
      </c>
      <c r="B2163" s="1" t="s">
        <v>395</v>
      </c>
      <c r="C2163" s="1" t="s">
        <v>40</v>
      </c>
      <c r="D2163" s="1">
        <v>1.0</v>
      </c>
      <c r="E2163" s="1">
        <v>21574.0</v>
      </c>
      <c r="F2163" s="10">
        <f t="shared" si="1"/>
        <v>1</v>
      </c>
      <c r="G2163" s="10">
        <f t="array" ref="G2163">index('Player ID'!C:C,match(E2163,'Player ID'!B:B,0))</f>
        <v>663893</v>
      </c>
    </row>
    <row r="2164">
      <c r="A2164" s="76">
        <v>45762.0</v>
      </c>
      <c r="B2164" s="1" t="s">
        <v>142</v>
      </c>
      <c r="C2164" s="1" t="s">
        <v>40</v>
      </c>
      <c r="D2164" s="1">
        <v>0.2</v>
      </c>
      <c r="E2164" s="1">
        <v>31553.0</v>
      </c>
      <c r="F2164" s="10">
        <f t="shared" si="1"/>
        <v>0.6666666667</v>
      </c>
      <c r="G2164" s="10">
        <f t="array" ref="G2164">index('Player ID'!C:C,match(E2164,'Player ID'!B:B,0))</f>
        <v>689254</v>
      </c>
    </row>
    <row r="2165">
      <c r="A2165" s="76">
        <v>45762.0</v>
      </c>
      <c r="B2165" s="1" t="s">
        <v>65</v>
      </c>
      <c r="C2165" s="1" t="s">
        <v>46</v>
      </c>
      <c r="D2165" s="1">
        <v>4.2</v>
      </c>
      <c r="E2165" s="1">
        <v>31846.0</v>
      </c>
      <c r="F2165" s="10">
        <f t="shared" si="1"/>
        <v>4.666666667</v>
      </c>
      <c r="G2165" s="10">
        <f t="array" ref="G2165">index('Player ID'!C:C,match(E2165,'Player ID'!B:B,0))</f>
        <v>680885</v>
      </c>
    </row>
    <row r="2166">
      <c r="A2166" s="76">
        <v>45762.0</v>
      </c>
      <c r="B2166" s="1" t="s">
        <v>656</v>
      </c>
      <c r="C2166" s="1" t="s">
        <v>78</v>
      </c>
      <c r="D2166" s="1">
        <v>1.0</v>
      </c>
      <c r="E2166" s="1">
        <v>12808.0</v>
      </c>
      <c r="F2166" s="10">
        <f t="shared" si="1"/>
        <v>1</v>
      </c>
      <c r="G2166" s="10">
        <f t="array" ref="G2166">index('Player ID'!C:C,match(E2166,'Player ID'!B:B,0))</f>
        <v>605182</v>
      </c>
    </row>
    <row r="2167">
      <c r="A2167" s="76">
        <v>45762.0</v>
      </c>
      <c r="B2167" s="1" t="s">
        <v>336</v>
      </c>
      <c r="C2167" s="1" t="s">
        <v>52</v>
      </c>
      <c r="D2167" s="1">
        <v>5.0</v>
      </c>
      <c r="E2167" s="1">
        <v>17677.0</v>
      </c>
      <c r="F2167" s="10">
        <f t="shared" si="1"/>
        <v>5</v>
      </c>
      <c r="G2167" s="10">
        <f t="array" ref="G2167">index('Player ID'!C:C,match(E2167,'Player ID'!B:B,0))</f>
        <v>605488</v>
      </c>
    </row>
    <row r="2168">
      <c r="A2168" s="76">
        <v>45762.0</v>
      </c>
      <c r="B2168" s="1" t="s">
        <v>387</v>
      </c>
      <c r="C2168" s="1" t="s">
        <v>78</v>
      </c>
      <c r="D2168" s="1">
        <v>2.0</v>
      </c>
      <c r="E2168" s="1">
        <v>19990.0</v>
      </c>
      <c r="F2168" s="10">
        <f t="shared" si="1"/>
        <v>2</v>
      </c>
      <c r="G2168" s="10">
        <f t="array" ref="G2168">index('Player ID'!C:C,match(E2168,'Player ID'!B:B,0))</f>
        <v>669060</v>
      </c>
    </row>
    <row r="2169">
      <c r="A2169" s="76">
        <v>45762.0</v>
      </c>
      <c r="B2169" s="1" t="s">
        <v>658</v>
      </c>
      <c r="C2169" s="1" t="s">
        <v>78</v>
      </c>
      <c r="D2169" s="1">
        <v>1.0</v>
      </c>
      <c r="E2169" s="1">
        <v>25174.0</v>
      </c>
      <c r="F2169" s="10">
        <f t="shared" si="1"/>
        <v>1</v>
      </c>
      <c r="G2169" s="10">
        <f t="array" ref="G2169">index('Player ID'!C:C,match(E2169,'Player ID'!B:B,0))</f>
        <v>682171</v>
      </c>
    </row>
    <row r="2170">
      <c r="A2170" s="76">
        <v>45762.0</v>
      </c>
      <c r="B2170" s="1" t="s">
        <v>367</v>
      </c>
      <c r="C2170" s="1" t="s">
        <v>78</v>
      </c>
      <c r="D2170" s="1">
        <v>1.2</v>
      </c>
      <c r="E2170" s="1">
        <v>27668.0</v>
      </c>
      <c r="F2170" s="10">
        <f t="shared" si="1"/>
        <v>1.666666667</v>
      </c>
      <c r="G2170" s="10">
        <f t="array" ref="G2170">index('Player ID'!C:C,match(E2170,'Player ID'!B:B,0))</f>
        <v>685126</v>
      </c>
    </row>
    <row r="2171">
      <c r="A2171" s="76">
        <v>45762.0</v>
      </c>
      <c r="B2171" s="1" t="s">
        <v>213</v>
      </c>
      <c r="C2171" s="1" t="s">
        <v>52</v>
      </c>
      <c r="D2171" s="1">
        <v>1.0</v>
      </c>
      <c r="E2171" s="1">
        <v>27694.0</v>
      </c>
      <c r="F2171" s="10">
        <f t="shared" si="1"/>
        <v>1</v>
      </c>
      <c r="G2171" s="10">
        <f t="array" ref="G2171">index('Player ID'!C:C,match(E2171,'Player ID'!B:B,0))</f>
        <v>686993</v>
      </c>
    </row>
    <row r="2172">
      <c r="A2172" s="76">
        <v>45762.0</v>
      </c>
      <c r="B2172" s="1" t="s">
        <v>127</v>
      </c>
      <c r="C2172" s="1" t="s">
        <v>52</v>
      </c>
      <c r="D2172" s="1">
        <v>3.0</v>
      </c>
      <c r="E2172" s="1">
        <v>27707.0</v>
      </c>
      <c r="F2172" s="10">
        <f t="shared" si="1"/>
        <v>3</v>
      </c>
      <c r="G2172" s="10">
        <f t="array" ref="G2172">index('Player ID'!C:C,match(E2172,'Player ID'!B:B,0))</f>
        <v>687765</v>
      </c>
    </row>
    <row r="2173">
      <c r="A2173" s="76">
        <v>45762.0</v>
      </c>
      <c r="B2173" s="1" t="s">
        <v>356</v>
      </c>
      <c r="C2173" s="1" t="s">
        <v>78</v>
      </c>
      <c r="D2173" s="1">
        <v>3.1</v>
      </c>
      <c r="E2173" s="1">
        <v>29878.0</v>
      </c>
      <c r="F2173" s="10">
        <f t="shared" si="1"/>
        <v>3.333333333</v>
      </c>
      <c r="G2173" s="10">
        <f t="array" ref="G2173">index('Player ID'!C:C,match(E2173,'Player ID'!B:B,0))</f>
        <v>680732</v>
      </c>
    </row>
    <row r="2174">
      <c r="A2174" s="76">
        <v>45762.0</v>
      </c>
      <c r="B2174" s="1" t="s">
        <v>647</v>
      </c>
      <c r="C2174" s="1" t="s">
        <v>51</v>
      </c>
      <c r="D2174" s="1">
        <v>1.1</v>
      </c>
      <c r="E2174" s="1">
        <v>18439.0</v>
      </c>
      <c r="F2174" s="10">
        <f t="shared" si="1"/>
        <v>1.333333333</v>
      </c>
      <c r="G2174" s="10">
        <f t="array" ref="G2174">index('Player ID'!C:C,match(E2174,'Player ID'!B:B,0))</f>
        <v>664849</v>
      </c>
    </row>
    <row r="2175">
      <c r="A2175" s="76">
        <v>45762.0</v>
      </c>
      <c r="B2175" s="1" t="s">
        <v>28</v>
      </c>
      <c r="C2175" s="1" t="s">
        <v>16</v>
      </c>
      <c r="D2175" s="1">
        <v>1.0</v>
      </c>
      <c r="E2175" s="1">
        <v>20253.0</v>
      </c>
      <c r="F2175" s="10">
        <f t="shared" si="1"/>
        <v>1</v>
      </c>
      <c r="G2175" s="10">
        <f t="array" ref="G2175">index('Player ID'!C:C,match(E2175,'Player ID'!B:B,0))</f>
        <v>643377</v>
      </c>
    </row>
    <row r="2176">
      <c r="A2176" s="76">
        <v>45762.0</v>
      </c>
      <c r="B2176" s="1" t="s">
        <v>122</v>
      </c>
      <c r="C2176" s="1" t="s">
        <v>16</v>
      </c>
      <c r="D2176" s="1">
        <v>1.0</v>
      </c>
      <c r="E2176" s="1">
        <v>21029.0</v>
      </c>
      <c r="F2176" s="10">
        <f t="shared" si="1"/>
        <v>1</v>
      </c>
      <c r="G2176" s="10">
        <f t="array" ref="G2176">index('Player ID'!C:C,match(E2176,'Player ID'!B:B,0))</f>
        <v>661395</v>
      </c>
    </row>
    <row r="2177">
      <c r="A2177" s="76">
        <v>45762.0</v>
      </c>
      <c r="B2177" s="1" t="s">
        <v>173</v>
      </c>
      <c r="C2177" s="1" t="s">
        <v>16</v>
      </c>
      <c r="D2177" s="1">
        <v>6.1</v>
      </c>
      <c r="E2177" s="1">
        <v>21224.0</v>
      </c>
      <c r="F2177" s="10">
        <f t="shared" si="1"/>
        <v>6.333333333</v>
      </c>
      <c r="G2177" s="10">
        <f t="array" ref="G2177">index('Player ID'!C:C,match(E2177,'Player ID'!B:B,0))</f>
        <v>641927</v>
      </c>
    </row>
    <row r="2178">
      <c r="A2178" s="76">
        <v>45762.0</v>
      </c>
      <c r="B2178" s="1" t="s">
        <v>386</v>
      </c>
      <c r="C2178" s="1" t="s">
        <v>51</v>
      </c>
      <c r="D2178" s="1">
        <v>5.0</v>
      </c>
      <c r="E2178" s="1">
        <v>21318.0</v>
      </c>
      <c r="F2178" s="10">
        <f t="shared" si="1"/>
        <v>5</v>
      </c>
      <c r="G2178" s="10">
        <f t="array" ref="G2178">index('Player ID'!C:C,match(E2178,'Player ID'!B:B,0))</f>
        <v>656731</v>
      </c>
    </row>
    <row r="2179">
      <c r="A2179" s="76">
        <v>45762.0</v>
      </c>
      <c r="B2179" s="1" t="s">
        <v>237</v>
      </c>
      <c r="C2179" s="1" t="s">
        <v>16</v>
      </c>
      <c r="D2179" s="1">
        <v>0.2</v>
      </c>
      <c r="E2179" s="1">
        <v>21461.0</v>
      </c>
      <c r="F2179" s="10">
        <f t="shared" si="1"/>
        <v>0.6666666667</v>
      </c>
      <c r="G2179" s="10">
        <f t="array" ref="G2179">index('Player ID'!C:C,match(E2179,'Player ID'!B:B,0))</f>
        <v>663485</v>
      </c>
    </row>
    <row r="2180">
      <c r="A2180" s="76">
        <v>45762.0</v>
      </c>
      <c r="B2180" s="1" t="s">
        <v>50</v>
      </c>
      <c r="C2180" s="1" t="s">
        <v>51</v>
      </c>
      <c r="D2180" s="1">
        <v>1.2</v>
      </c>
      <c r="E2180" s="1">
        <v>22175.0</v>
      </c>
      <c r="F2180" s="10">
        <f t="shared" si="1"/>
        <v>1.666666667</v>
      </c>
      <c r="G2180" s="10">
        <f t="array" ref="G2180">index('Player ID'!C:C,match(E2180,'Player ID'!B:B,0))</f>
        <v>668820</v>
      </c>
    </row>
    <row r="2181">
      <c r="A2181" s="76">
        <v>45762.0</v>
      </c>
      <c r="B2181" s="1" t="s">
        <v>666</v>
      </c>
      <c r="C2181" s="1" t="s">
        <v>62</v>
      </c>
      <c r="D2181" s="1">
        <v>1.0</v>
      </c>
      <c r="E2181" s="1">
        <v>12777.0</v>
      </c>
      <c r="F2181" s="10">
        <f t="shared" si="1"/>
        <v>1</v>
      </c>
      <c r="G2181" s="10">
        <f t="array" ref="G2181">index('Player ID'!C:C,match(E2181,'Player ID'!B:B,0))</f>
        <v>605154</v>
      </c>
    </row>
    <row r="2182">
      <c r="A2182" s="76">
        <v>45762.0</v>
      </c>
      <c r="B2182" s="1" t="s">
        <v>316</v>
      </c>
      <c r="C2182" s="1" t="s">
        <v>62</v>
      </c>
      <c r="D2182" s="1">
        <v>4.2</v>
      </c>
      <c r="E2182" s="1">
        <v>17479.0</v>
      </c>
      <c r="F2182" s="10">
        <f t="shared" si="1"/>
        <v>4.666666667</v>
      </c>
      <c r="G2182" s="10">
        <f t="array" ref="G2182">index('Player ID'!C:C,match(E2182,'Player ID'!B:B,0))</f>
        <v>656427</v>
      </c>
    </row>
    <row r="2183">
      <c r="A2183" s="76">
        <v>45762.0</v>
      </c>
      <c r="B2183" s="1" t="s">
        <v>318</v>
      </c>
      <c r="C2183" s="1" t="s">
        <v>14</v>
      </c>
      <c r="D2183" s="1">
        <v>1.0</v>
      </c>
      <c r="E2183" s="1">
        <v>20546.0</v>
      </c>
      <c r="F2183" s="10">
        <f t="shared" si="1"/>
        <v>1</v>
      </c>
      <c r="G2183" s="10">
        <f t="array" ref="G2183">index('Player ID'!C:C,match(E2183,'Player ID'!B:B,0))</f>
        <v>681982</v>
      </c>
    </row>
    <row r="2184">
      <c r="A2184" s="76">
        <v>45762.0</v>
      </c>
      <c r="B2184" s="1" t="s">
        <v>289</v>
      </c>
      <c r="C2184" s="1" t="s">
        <v>62</v>
      </c>
      <c r="D2184" s="1">
        <v>1.1</v>
      </c>
      <c r="E2184" s="1">
        <v>22304.0</v>
      </c>
      <c r="F2184" s="10">
        <f t="shared" si="1"/>
        <v>1.333333333</v>
      </c>
      <c r="G2184" s="10">
        <f t="array" ref="G2184">index('Player ID'!C:C,match(E2184,'Player ID'!B:B,0))</f>
        <v>669724</v>
      </c>
    </row>
    <row r="2185">
      <c r="A2185" s="76">
        <v>45762.0</v>
      </c>
      <c r="B2185" s="1" t="s">
        <v>279</v>
      </c>
      <c r="C2185" s="1" t="s">
        <v>14</v>
      </c>
      <c r="D2185" s="1">
        <v>0.2</v>
      </c>
      <c r="E2185" s="1">
        <v>25327.0</v>
      </c>
      <c r="F2185" s="10">
        <f t="shared" si="1"/>
        <v>0.6666666667</v>
      </c>
      <c r="G2185" s="10">
        <f t="array" ref="G2185">index('Player ID'!C:C,match(E2185,'Player ID'!B:B,0))</f>
        <v>682842</v>
      </c>
    </row>
    <row r="2186">
      <c r="A2186" s="76">
        <v>45762.0</v>
      </c>
      <c r="B2186" s="1" t="s">
        <v>112</v>
      </c>
      <c r="C2186" s="1" t="s">
        <v>14</v>
      </c>
      <c r="D2186" s="1">
        <v>1.0</v>
      </c>
      <c r="E2186" s="1">
        <v>25376.0</v>
      </c>
      <c r="F2186" s="10">
        <f t="shared" si="1"/>
        <v>1</v>
      </c>
      <c r="G2186" s="10">
        <f t="array" ref="G2186">index('Player ID'!C:C,match(E2186,'Player ID'!B:B,0))</f>
        <v>683232</v>
      </c>
    </row>
    <row r="2187">
      <c r="A2187" s="76">
        <v>45762.0</v>
      </c>
      <c r="B2187" s="1" t="s">
        <v>450</v>
      </c>
      <c r="C2187" s="1" t="s">
        <v>14</v>
      </c>
      <c r="D2187" s="1">
        <v>5.0</v>
      </c>
      <c r="E2187" s="1">
        <v>25977.0</v>
      </c>
      <c r="F2187" s="10">
        <f t="shared" si="1"/>
        <v>5</v>
      </c>
      <c r="G2187" s="10">
        <f t="array" ref="G2187">index('Player ID'!C:C,match(E2187,'Player ID'!B:B,0))</f>
        <v>682990</v>
      </c>
    </row>
    <row r="2188">
      <c r="A2188" s="76">
        <v>45762.0</v>
      </c>
      <c r="B2188" s="1" t="s">
        <v>82</v>
      </c>
      <c r="C2188" s="1" t="s">
        <v>62</v>
      </c>
      <c r="D2188" s="1">
        <v>1.0</v>
      </c>
      <c r="E2188" s="1">
        <v>26231.0</v>
      </c>
      <c r="F2188" s="10">
        <f t="shared" si="1"/>
        <v>1</v>
      </c>
      <c r="G2188" s="10">
        <f t="array" ref="G2188">index('Player ID'!C:C,match(E2188,'Player ID'!B:B,0))</f>
        <v>663947</v>
      </c>
    </row>
    <row r="2189">
      <c r="A2189" s="76">
        <v>45762.0</v>
      </c>
      <c r="B2189" s="1" t="s">
        <v>418</v>
      </c>
      <c r="C2189" s="1" t="s">
        <v>14</v>
      </c>
      <c r="D2189" s="1">
        <v>1.1</v>
      </c>
      <c r="E2189" s="1">
        <v>27517.0</v>
      </c>
      <c r="F2189" s="10">
        <f t="shared" si="1"/>
        <v>1.333333333</v>
      </c>
      <c r="G2189" s="10">
        <f t="array" ref="G2189">index('Player ID'!C:C,match(E2189,'Player ID'!B:B,0))</f>
        <v>657649</v>
      </c>
    </row>
    <row r="2190">
      <c r="A2190" s="76">
        <v>45762.0</v>
      </c>
      <c r="B2190" s="1" t="s">
        <v>59</v>
      </c>
      <c r="C2190" s="1" t="s">
        <v>39</v>
      </c>
      <c r="D2190" s="1">
        <v>1.0</v>
      </c>
      <c r="E2190" s="1">
        <v>14212.0</v>
      </c>
      <c r="F2190" s="10">
        <f t="shared" si="1"/>
        <v>1</v>
      </c>
      <c r="G2190" s="10">
        <f t="array" ref="G2190">index('Player ID'!C:C,match(E2190,'Player ID'!B:B,0))</f>
        <v>623352</v>
      </c>
    </row>
    <row r="2191">
      <c r="A2191" s="76">
        <v>45762.0</v>
      </c>
      <c r="B2191" s="1" t="s">
        <v>210</v>
      </c>
      <c r="C2191" s="1" t="s">
        <v>39</v>
      </c>
      <c r="D2191" s="1">
        <v>1.0</v>
      </c>
      <c r="E2191" s="1">
        <v>16609.0</v>
      </c>
      <c r="F2191" s="10">
        <f t="shared" si="1"/>
        <v>1</v>
      </c>
      <c r="G2191" s="10">
        <f t="array" ref="G2191">index('Player ID'!C:C,match(E2191,'Player ID'!B:B,0))</f>
        <v>650556</v>
      </c>
    </row>
    <row r="2192">
      <c r="A2192" s="76">
        <v>45762.0</v>
      </c>
      <c r="B2192" s="1" t="s">
        <v>321</v>
      </c>
      <c r="C2192" s="1" t="s">
        <v>72</v>
      </c>
      <c r="D2192" s="1">
        <v>6.0</v>
      </c>
      <c r="E2192" s="1">
        <v>17425.0</v>
      </c>
      <c r="F2192" s="10">
        <f t="shared" si="1"/>
        <v>6</v>
      </c>
      <c r="G2192" s="10">
        <f t="array" ref="G2192">index('Player ID'!C:C,match(E2192,'Player ID'!B:B,0))</f>
        <v>607200</v>
      </c>
    </row>
    <row r="2193">
      <c r="A2193" s="76">
        <v>45762.0</v>
      </c>
      <c r="B2193" s="1" t="s">
        <v>170</v>
      </c>
      <c r="C2193" s="1" t="s">
        <v>72</v>
      </c>
      <c r="D2193" s="1">
        <v>2.0</v>
      </c>
      <c r="E2193" s="1">
        <v>24763.0</v>
      </c>
      <c r="F2193" s="10">
        <f t="shared" si="1"/>
        <v>2</v>
      </c>
      <c r="G2193" s="10">
        <f t="array" ref="G2193">index('Player ID'!C:C,match(E2193,'Player ID'!B:B,0))</f>
        <v>681517</v>
      </c>
    </row>
    <row r="2194">
      <c r="A2194" s="76">
        <v>45762.0</v>
      </c>
      <c r="B2194" s="1" t="s">
        <v>795</v>
      </c>
      <c r="C2194" s="1" t="s">
        <v>72</v>
      </c>
      <c r="D2194" s="1">
        <v>1.0</v>
      </c>
      <c r="E2194" s="1">
        <v>25311.0</v>
      </c>
      <c r="F2194" s="10">
        <f t="shared" si="1"/>
        <v>1</v>
      </c>
      <c r="G2194" s="10">
        <f t="array" ref="G2194">index('Player ID'!C:C,match(E2194,'Player ID'!B:B,0))</f>
        <v>682610</v>
      </c>
    </row>
    <row r="2195">
      <c r="A2195" s="76">
        <v>45762.0</v>
      </c>
      <c r="B2195" s="1" t="s">
        <v>339</v>
      </c>
      <c r="C2195" s="1" t="s">
        <v>39</v>
      </c>
      <c r="D2195" s="1">
        <v>6.0</v>
      </c>
      <c r="E2195" s="1">
        <v>25880.0</v>
      </c>
      <c r="F2195" s="10">
        <f t="shared" si="1"/>
        <v>6</v>
      </c>
      <c r="G2195" s="10">
        <f t="array" ref="G2195">index('Player ID'!C:C,match(E2195,'Player ID'!B:B,0))</f>
        <v>686613</v>
      </c>
    </row>
    <row r="2196">
      <c r="A2196" s="76">
        <v>45762.0</v>
      </c>
      <c r="B2196" s="1" t="s">
        <v>76</v>
      </c>
      <c r="C2196" s="1" t="s">
        <v>39</v>
      </c>
      <c r="D2196" s="1">
        <v>1.0</v>
      </c>
      <c r="E2196" s="1">
        <v>25890.0</v>
      </c>
      <c r="F2196" s="10">
        <f t="shared" si="1"/>
        <v>1</v>
      </c>
      <c r="G2196" s="10">
        <f t="array" ref="G2196">index('Player ID'!C:C,match(E2196,'Player ID'!B:B,0))</f>
        <v>687911</v>
      </c>
    </row>
    <row r="2197">
      <c r="A2197" s="76">
        <v>45762.0</v>
      </c>
      <c r="B2197" s="1" t="s">
        <v>162</v>
      </c>
      <c r="C2197" s="1" t="s">
        <v>56</v>
      </c>
      <c r="D2197" s="1">
        <v>1.0</v>
      </c>
      <c r="E2197" s="1">
        <v>11752.0</v>
      </c>
      <c r="F2197" s="10">
        <f t="shared" si="1"/>
        <v>1</v>
      </c>
      <c r="G2197" s="10">
        <f t="array" ref="G2197">index('Player ID'!C:C,match(E2197,'Player ID'!B:B,0))</f>
        <v>592426</v>
      </c>
    </row>
    <row r="2198">
      <c r="A2198" s="76">
        <v>45762.0</v>
      </c>
      <c r="B2198" s="1" t="s">
        <v>74</v>
      </c>
      <c r="C2198" s="1" t="s">
        <v>56</v>
      </c>
      <c r="D2198" s="1">
        <v>0.1</v>
      </c>
      <c r="E2198" s="1">
        <v>11847.0</v>
      </c>
      <c r="F2198" s="10">
        <f t="shared" si="1"/>
        <v>0.3333333333</v>
      </c>
      <c r="G2198" s="10">
        <f t="array" ref="G2198">index('Player ID'!C:C,match(E2198,'Player ID'!B:B,0))</f>
        <v>455119</v>
      </c>
    </row>
    <row r="2199">
      <c r="A2199" s="76">
        <v>45762.0</v>
      </c>
      <c r="B2199" s="1" t="s">
        <v>55</v>
      </c>
      <c r="C2199" s="1" t="s">
        <v>56</v>
      </c>
      <c r="D2199" s="1">
        <v>6.0</v>
      </c>
      <c r="E2199" s="1">
        <v>16358.0</v>
      </c>
      <c r="F2199" s="10">
        <f t="shared" si="1"/>
        <v>6</v>
      </c>
      <c r="G2199" s="10">
        <f t="array" ref="G2199">index('Player ID'!C:C,match(E2199,'Player ID'!B:B,0))</f>
        <v>641816</v>
      </c>
    </row>
    <row r="2200">
      <c r="A2200" s="76">
        <v>45762.0</v>
      </c>
      <c r="B2200" s="1" t="s">
        <v>87</v>
      </c>
      <c r="C2200" s="1" t="s">
        <v>56</v>
      </c>
      <c r="D2200" s="1">
        <v>1.0</v>
      </c>
      <c r="E2200" s="1">
        <v>19274.0</v>
      </c>
      <c r="F2200" s="10">
        <f t="shared" si="1"/>
        <v>1</v>
      </c>
      <c r="G2200" s="10">
        <f t="array" ref="G2200">index('Player ID'!C:C,match(E2200,'Player ID'!B:B,0))</f>
        <v>657097</v>
      </c>
    </row>
    <row r="2201">
      <c r="A2201" s="76">
        <v>45762.0</v>
      </c>
      <c r="B2201" s="1" t="s">
        <v>232</v>
      </c>
      <c r="C2201" s="1" t="s">
        <v>25</v>
      </c>
      <c r="D2201" s="1">
        <v>6.0</v>
      </c>
      <c r="E2201" s="1">
        <v>20633.0</v>
      </c>
      <c r="F2201" s="10">
        <f t="shared" si="1"/>
        <v>6</v>
      </c>
      <c r="G2201" s="10">
        <f t="array" ref="G2201">index('Player ID'!C:C,match(E2201,'Player ID'!B:B,0))</f>
        <v>579328</v>
      </c>
    </row>
    <row r="2202">
      <c r="A2202" s="76">
        <v>45762.0</v>
      </c>
      <c r="B2202" s="1" t="s">
        <v>268</v>
      </c>
      <c r="C2202" s="1" t="s">
        <v>56</v>
      </c>
      <c r="D2202" s="1">
        <v>0.2</v>
      </c>
      <c r="E2202" s="1">
        <v>23363.0</v>
      </c>
      <c r="F2202" s="10">
        <f t="shared" si="1"/>
        <v>0.6666666667</v>
      </c>
      <c r="G2202" s="10">
        <f t="array" ref="G2202">index('Player ID'!C:C,match(E2202,'Player ID'!B:B,0))</f>
        <v>676395</v>
      </c>
    </row>
    <row r="2203">
      <c r="A2203" s="76">
        <v>45762.0</v>
      </c>
      <c r="B2203" s="1" t="s">
        <v>24</v>
      </c>
      <c r="C2203" s="1" t="s">
        <v>25</v>
      </c>
      <c r="D2203" s="1">
        <v>1.0</v>
      </c>
      <c r="E2203" s="1">
        <v>27468.0</v>
      </c>
      <c r="F2203" s="10">
        <f t="shared" si="1"/>
        <v>1</v>
      </c>
      <c r="G2203" s="10">
        <f t="array" ref="G2203">index('Player ID'!C:C,match(E2203,'Player ID'!B:B,0))</f>
        <v>672282</v>
      </c>
    </row>
    <row r="2204">
      <c r="A2204" s="76">
        <v>45762.0</v>
      </c>
      <c r="B2204" s="1" t="s">
        <v>659</v>
      </c>
      <c r="C2204" s="1" t="s">
        <v>25</v>
      </c>
      <c r="D2204" s="1">
        <v>1.0</v>
      </c>
      <c r="E2204" s="1">
        <v>35325.0</v>
      </c>
      <c r="F2204" s="10">
        <f t="shared" si="1"/>
        <v>1</v>
      </c>
      <c r="G2204" s="10">
        <f t="array" ref="G2204">index('Player ID'!C:C,match(E2204,'Player ID'!B:B,0))</f>
        <v>696270</v>
      </c>
    </row>
    <row r="2205">
      <c r="A2205" s="76">
        <v>45762.0</v>
      </c>
      <c r="B2205" s="1" t="s">
        <v>460</v>
      </c>
      <c r="C2205" s="1" t="s">
        <v>34</v>
      </c>
      <c r="D2205" s="1">
        <v>1.0</v>
      </c>
      <c r="E2205" s="1">
        <v>7005.0</v>
      </c>
      <c r="F2205" s="10">
        <f t="shared" si="1"/>
        <v>1</v>
      </c>
      <c r="G2205" s="10">
        <f t="array" ref="G2205">index('Player ID'!C:C,match(E2205,'Player ID'!B:B,0))</f>
        <v>519151</v>
      </c>
    </row>
    <row r="2206">
      <c r="A2206" s="76">
        <v>45762.0</v>
      </c>
      <c r="B2206" s="1" t="s">
        <v>71</v>
      </c>
      <c r="C2206" s="1" t="s">
        <v>34</v>
      </c>
      <c r="D2206" s="1">
        <v>1.0</v>
      </c>
      <c r="E2206" s="1">
        <v>10078.0</v>
      </c>
      <c r="F2206" s="10">
        <f t="shared" si="1"/>
        <v>1</v>
      </c>
      <c r="G2206" s="10">
        <f t="array" ref="G2206">index('Player ID'!C:C,match(E2206,'Player ID'!B:B,0))</f>
        <v>573204</v>
      </c>
    </row>
    <row r="2207">
      <c r="A2207" s="76">
        <v>45762.0</v>
      </c>
      <c r="B2207" s="1" t="s">
        <v>342</v>
      </c>
      <c r="C2207" s="1" t="s">
        <v>26</v>
      </c>
      <c r="D2207" s="1">
        <v>1.0</v>
      </c>
      <c r="E2207" s="1">
        <v>11861.0</v>
      </c>
      <c r="F2207" s="10">
        <f t="shared" si="1"/>
        <v>1</v>
      </c>
      <c r="G2207" s="10">
        <f t="array" ref="G2207">index('Player ID'!C:C,match(E2207,'Player ID'!B:B,0))</f>
        <v>592094</v>
      </c>
    </row>
    <row r="2208">
      <c r="A2208" s="76">
        <v>45762.0</v>
      </c>
      <c r="B2208" s="1" t="s">
        <v>632</v>
      </c>
      <c r="C2208" s="1" t="s">
        <v>34</v>
      </c>
      <c r="D2208" s="1">
        <v>1.0</v>
      </c>
      <c r="E2208" s="1">
        <v>16703.0</v>
      </c>
      <c r="F2208" s="10">
        <f t="shared" si="1"/>
        <v>1</v>
      </c>
      <c r="G2208" s="10">
        <f t="array" ref="G2208">index('Player ID'!C:C,match(E2208,'Player ID'!B:B,0))</f>
        <v>657240</v>
      </c>
    </row>
    <row r="2209">
      <c r="A2209" s="76">
        <v>45762.0</v>
      </c>
      <c r="B2209" s="1" t="s">
        <v>49</v>
      </c>
      <c r="C2209" s="1" t="s">
        <v>26</v>
      </c>
      <c r="D2209" s="1">
        <v>1.0</v>
      </c>
      <c r="E2209" s="1">
        <v>20039.0</v>
      </c>
      <c r="F2209" s="10">
        <f t="shared" si="1"/>
        <v>1</v>
      </c>
      <c r="G2209" s="10">
        <f t="array" ref="G2209">index('Player ID'!C:C,match(E2209,'Player ID'!B:B,0))</f>
        <v>670970</v>
      </c>
    </row>
    <row r="2210">
      <c r="A2210" s="76">
        <v>45762.0</v>
      </c>
      <c r="B2210" s="1" t="s">
        <v>94</v>
      </c>
      <c r="C2210" s="1" t="s">
        <v>26</v>
      </c>
      <c r="D2210" s="1">
        <v>1.0</v>
      </c>
      <c r="E2210" s="1">
        <v>22210.0</v>
      </c>
      <c r="F2210" s="10">
        <f t="shared" si="1"/>
        <v>1</v>
      </c>
      <c r="G2210" s="10">
        <f t="array" ref="G2210">index('Player ID'!C:C,match(E2210,'Player ID'!B:B,0))</f>
        <v>669093</v>
      </c>
    </row>
    <row r="2211">
      <c r="A2211" s="76">
        <v>45762.0</v>
      </c>
      <c r="B2211" s="1" t="s">
        <v>713</v>
      </c>
      <c r="C2211" s="1" t="s">
        <v>26</v>
      </c>
      <c r="D2211" s="1">
        <v>5.0</v>
      </c>
      <c r="E2211" s="1">
        <v>24719.0</v>
      </c>
      <c r="F2211" s="10">
        <f t="shared" si="1"/>
        <v>5</v>
      </c>
      <c r="G2211" s="10">
        <f t="array" ref="G2211">index('Player ID'!C:C,match(E2211,'Player ID'!B:B,0))</f>
        <v>681190</v>
      </c>
    </row>
    <row r="2212">
      <c r="A2212" s="76">
        <v>45762.0</v>
      </c>
      <c r="B2212" s="1" t="s">
        <v>388</v>
      </c>
      <c r="C2212" s="1" t="s">
        <v>34</v>
      </c>
      <c r="D2212" s="1">
        <v>1.0</v>
      </c>
      <c r="E2212" s="1">
        <v>26413.0</v>
      </c>
      <c r="F2212" s="10">
        <f t="shared" si="1"/>
        <v>1</v>
      </c>
      <c r="G2212" s="10">
        <f t="array" ref="G2212">index('Player ID'!C:C,match(E2212,'Player ID'!B:B,0))</f>
        <v>687863</v>
      </c>
    </row>
    <row r="2213">
      <c r="A2213" s="76">
        <v>45762.0</v>
      </c>
      <c r="B2213" s="1" t="s">
        <v>167</v>
      </c>
      <c r="C2213" s="1" t="s">
        <v>34</v>
      </c>
      <c r="D2213" s="1">
        <v>1.0</v>
      </c>
      <c r="E2213" s="1">
        <v>27914.0</v>
      </c>
      <c r="F2213" s="10">
        <f t="shared" si="1"/>
        <v>1</v>
      </c>
      <c r="G2213" s="10">
        <f t="array" ref="G2213">index('Player ID'!C:C,match(E2213,'Player ID'!B:B,0))</f>
        <v>694037</v>
      </c>
    </row>
    <row r="2214">
      <c r="A2214" s="76">
        <v>45762.0</v>
      </c>
      <c r="B2214" s="1" t="s">
        <v>81</v>
      </c>
      <c r="C2214" s="1" t="s">
        <v>26</v>
      </c>
      <c r="D2214" s="1">
        <v>1.0</v>
      </c>
      <c r="E2214" s="1">
        <v>30115.0</v>
      </c>
      <c r="F2214" s="10">
        <f t="shared" si="1"/>
        <v>1</v>
      </c>
      <c r="G2214" s="10">
        <f t="array" ref="G2214">index('Player ID'!C:C,match(E2214,'Player ID'!B:B,0))</f>
        <v>663158</v>
      </c>
    </row>
    <row r="2215">
      <c r="A2215" s="76">
        <v>45762.0</v>
      </c>
      <c r="B2215" s="1" t="s">
        <v>284</v>
      </c>
      <c r="C2215" s="1" t="s">
        <v>26</v>
      </c>
      <c r="D2215" s="1">
        <v>1.0</v>
      </c>
      <c r="E2215" s="1">
        <v>33826.0</v>
      </c>
      <c r="F2215" s="10">
        <f t="shared" si="1"/>
        <v>1</v>
      </c>
      <c r="G2215" s="10">
        <f t="array" ref="G2215">index('Player ID'!C:C,match(E2215,'Player ID'!B:B,0))</f>
        <v>673513</v>
      </c>
    </row>
    <row r="2216">
      <c r="A2216" s="76">
        <v>45762.0</v>
      </c>
      <c r="B2216" s="1" t="s">
        <v>67</v>
      </c>
      <c r="C2216" s="1" t="s">
        <v>34</v>
      </c>
      <c r="D2216" s="1">
        <v>5.0</v>
      </c>
      <c r="E2216" s="1">
        <v>33829.0</v>
      </c>
      <c r="F2216" s="10">
        <f t="shared" si="1"/>
        <v>5</v>
      </c>
      <c r="G2216" s="10">
        <f t="array" ref="G2216">index('Player ID'!C:C,match(E2216,'Player ID'!B:B,0))</f>
        <v>684007</v>
      </c>
    </row>
    <row r="2217">
      <c r="A2217" s="76">
        <v>45762.0</v>
      </c>
      <c r="B2217" s="1" t="s">
        <v>595</v>
      </c>
      <c r="C2217" s="1" t="s">
        <v>33</v>
      </c>
      <c r="D2217" s="1">
        <v>1.0</v>
      </c>
      <c r="E2217" s="1">
        <v>6984.0</v>
      </c>
      <c r="F2217" s="10">
        <f t="shared" si="1"/>
        <v>1</v>
      </c>
      <c r="G2217" s="10">
        <f t="array" ref="G2217">index('Player ID'!C:C,match(E2217,'Player ID'!B:B,0))</f>
        <v>472610</v>
      </c>
    </row>
    <row r="2218">
      <c r="A2218" s="76">
        <v>45762.0</v>
      </c>
      <c r="B2218" s="1" t="s">
        <v>392</v>
      </c>
      <c r="C2218" s="1" t="s">
        <v>33</v>
      </c>
      <c r="D2218" s="1">
        <v>1.0</v>
      </c>
      <c r="E2218" s="1">
        <v>9073.0</v>
      </c>
      <c r="F2218" s="10">
        <f t="shared" si="1"/>
        <v>1</v>
      </c>
      <c r="G2218" s="10">
        <f t="array" ref="G2218">index('Player ID'!C:C,match(E2218,'Player ID'!B:B,0))</f>
        <v>489446</v>
      </c>
    </row>
    <row r="2219">
      <c r="A2219" s="76">
        <v>45762.0</v>
      </c>
      <c r="B2219" s="1" t="s">
        <v>704</v>
      </c>
      <c r="C2219" s="1" t="s">
        <v>75</v>
      </c>
      <c r="D2219" s="1">
        <v>1.0</v>
      </c>
      <c r="E2219" s="1">
        <v>10591.0</v>
      </c>
      <c r="F2219" s="10">
        <f t="shared" si="1"/>
        <v>1</v>
      </c>
      <c r="G2219" s="10">
        <f t="array" ref="G2219">index('Player ID'!C:C,match(E2219,'Player ID'!B:B,0))</f>
        <v>518397</v>
      </c>
    </row>
    <row r="2220">
      <c r="A2220" s="76">
        <v>45762.0</v>
      </c>
      <c r="B2220" s="1" t="s">
        <v>451</v>
      </c>
      <c r="C2220" s="1" t="s">
        <v>75</v>
      </c>
      <c r="D2220" s="1">
        <v>1.0</v>
      </c>
      <c r="E2220" s="1">
        <v>17556.0</v>
      </c>
      <c r="F2220" s="10">
        <f t="shared" si="1"/>
        <v>1</v>
      </c>
      <c r="G2220" s="10">
        <f t="array" ref="G2220">index('Player ID'!C:C,match(E2220,'Player ID'!B:B,0))</f>
        <v>623474</v>
      </c>
    </row>
    <row r="2221">
      <c r="A2221" s="76">
        <v>45762.0</v>
      </c>
      <c r="B2221" s="1" t="s">
        <v>215</v>
      </c>
      <c r="C2221" s="1" t="s">
        <v>75</v>
      </c>
      <c r="D2221" s="1">
        <v>2.1</v>
      </c>
      <c r="E2221" s="1">
        <v>21267.0</v>
      </c>
      <c r="F2221" s="10">
        <f t="shared" si="1"/>
        <v>2.333333333</v>
      </c>
      <c r="G2221" s="10">
        <f t="array" ref="G2221">index('Player ID'!C:C,match(E2221,'Player ID'!B:B,0))</f>
        <v>656234</v>
      </c>
    </row>
    <row r="2222">
      <c r="A2222" s="76">
        <v>45762.0</v>
      </c>
      <c r="B2222" s="1" t="s">
        <v>504</v>
      </c>
      <c r="C2222" s="1" t="s">
        <v>75</v>
      </c>
      <c r="D2222" s="1">
        <v>2.2</v>
      </c>
      <c r="E2222" s="1">
        <v>21446.0</v>
      </c>
      <c r="F2222" s="10">
        <f t="shared" si="1"/>
        <v>2.666666667</v>
      </c>
      <c r="G2222" s="10">
        <f t="array" ref="G2222">index('Player ID'!C:C,match(E2222,'Player ID'!B:B,0))</f>
        <v>663372</v>
      </c>
    </row>
    <row r="2223">
      <c r="A2223" s="76">
        <v>45762.0</v>
      </c>
      <c r="B2223" s="1" t="s">
        <v>92</v>
      </c>
      <c r="C2223" s="1" t="s">
        <v>33</v>
      </c>
      <c r="D2223" s="1">
        <v>1.0</v>
      </c>
      <c r="E2223" s="1">
        <v>25007.0</v>
      </c>
      <c r="F2223" s="10">
        <f t="shared" si="1"/>
        <v>1</v>
      </c>
      <c r="G2223" s="10">
        <f t="array" ref="G2223">index('Player ID'!C:C,match(E2223,'Player ID'!B:B,0))</f>
        <v>681911</v>
      </c>
    </row>
    <row r="2224">
      <c r="A2224" s="76">
        <v>45762.0</v>
      </c>
      <c r="B2224" s="1" t="s">
        <v>351</v>
      </c>
      <c r="C2224" s="1" t="s">
        <v>33</v>
      </c>
      <c r="D2224" s="1">
        <v>4.1</v>
      </c>
      <c r="E2224" s="1">
        <v>27487.0</v>
      </c>
      <c r="F2224" s="10">
        <f t="shared" si="1"/>
        <v>4.333333333</v>
      </c>
      <c r="G2224" s="10">
        <f t="array" ref="G2224">index('Player ID'!C:C,match(E2224,'Player ID'!B:B,0))</f>
        <v>689017</v>
      </c>
    </row>
    <row r="2225">
      <c r="A2225" s="76">
        <v>45762.0</v>
      </c>
      <c r="B2225" s="1" t="s">
        <v>206</v>
      </c>
      <c r="C2225" s="1" t="s">
        <v>33</v>
      </c>
      <c r="D2225" s="1">
        <v>1.2</v>
      </c>
      <c r="E2225" s="1">
        <v>30249.0</v>
      </c>
      <c r="F2225" s="10">
        <f t="shared" si="1"/>
        <v>1.666666667</v>
      </c>
      <c r="G2225" s="10">
        <f t="array" ref="G2225">index('Player ID'!C:C,match(E2225,'Player ID'!B:B,0))</f>
        <v>676263</v>
      </c>
    </row>
    <row r="2226">
      <c r="A2226" s="76">
        <v>45762.0</v>
      </c>
      <c r="B2226" s="1" t="s">
        <v>488</v>
      </c>
      <c r="C2226" s="1" t="s">
        <v>75</v>
      </c>
      <c r="D2226" s="1">
        <v>1.0</v>
      </c>
      <c r="E2226" s="1">
        <v>33294.0</v>
      </c>
      <c r="F2226" s="10">
        <f t="shared" si="1"/>
        <v>1</v>
      </c>
      <c r="G2226" s="10">
        <f t="array" ref="G2226">index('Player ID'!C:C,match(E2226,'Player ID'!B:B,0))</f>
        <v>678020</v>
      </c>
    </row>
    <row r="2227">
      <c r="A2227" s="76">
        <v>45763.0</v>
      </c>
      <c r="B2227" s="1" t="s">
        <v>673</v>
      </c>
      <c r="C2227" s="1" t="s">
        <v>40</v>
      </c>
      <c r="D2227" s="1">
        <v>1.1</v>
      </c>
      <c r="E2227" s="1">
        <v>12095.0</v>
      </c>
      <c r="F2227" s="10">
        <f t="shared" si="1"/>
        <v>1.333333333</v>
      </c>
      <c r="G2227" s="10">
        <f t="array" ref="G2227">index('Player ID'!C:C,match(E2227,'Player ID'!B:B,0))</f>
        <v>554340</v>
      </c>
    </row>
    <row r="2228">
      <c r="A2228" s="76">
        <v>45763.0</v>
      </c>
      <c r="B2228" s="1" t="s">
        <v>456</v>
      </c>
      <c r="C2228" s="1" t="s">
        <v>40</v>
      </c>
      <c r="D2228" s="1">
        <v>5.0</v>
      </c>
      <c r="E2228" s="1">
        <v>12304.0</v>
      </c>
      <c r="F2228" s="10">
        <f t="shared" si="1"/>
        <v>5</v>
      </c>
      <c r="G2228" s="10">
        <f t="array" ref="G2228">index('Player ID'!C:C,match(E2228,'Player ID'!B:B,0))</f>
        <v>605135</v>
      </c>
    </row>
    <row r="2229">
      <c r="A2229" s="76">
        <v>45763.0</v>
      </c>
      <c r="B2229" s="1" t="s">
        <v>178</v>
      </c>
      <c r="C2229" s="1" t="s">
        <v>46</v>
      </c>
      <c r="D2229" s="1">
        <v>0.1</v>
      </c>
      <c r="E2229" s="1">
        <v>13435.0</v>
      </c>
      <c r="F2229" s="10">
        <f t="shared" si="1"/>
        <v>0.3333333333</v>
      </c>
      <c r="G2229" s="10">
        <f t="array" ref="G2229">index('Player ID'!C:C,match(E2229,'Player ID'!B:B,0))</f>
        <v>572955</v>
      </c>
    </row>
    <row r="2230">
      <c r="A2230" s="76">
        <v>45763.0</v>
      </c>
      <c r="B2230" s="1" t="s">
        <v>311</v>
      </c>
      <c r="C2230" s="1" t="s">
        <v>40</v>
      </c>
      <c r="D2230" s="1">
        <v>1.0</v>
      </c>
      <c r="E2230" s="1">
        <v>17432.0</v>
      </c>
      <c r="F2230" s="10">
        <f t="shared" si="1"/>
        <v>1</v>
      </c>
      <c r="G2230" s="10">
        <f t="array" ref="G2230">index('Player ID'!C:C,match(E2230,'Player ID'!B:B,0))</f>
        <v>656546</v>
      </c>
    </row>
    <row r="2231">
      <c r="A2231" s="76">
        <v>45763.0</v>
      </c>
      <c r="B2231" s="1" t="s">
        <v>91</v>
      </c>
      <c r="C2231" s="1" t="s">
        <v>46</v>
      </c>
      <c r="D2231" s="1">
        <v>1.0</v>
      </c>
      <c r="E2231" s="1">
        <v>19996.0</v>
      </c>
      <c r="F2231" s="10">
        <f t="shared" si="1"/>
        <v>1</v>
      </c>
      <c r="G2231" s="10">
        <f t="array" ref="G2231">index('Player ID'!C:C,match(E2231,'Player ID'!B:B,0))</f>
        <v>669276</v>
      </c>
    </row>
    <row r="2232">
      <c r="A2232" s="76">
        <v>45763.0</v>
      </c>
      <c r="B2232" s="1" t="s">
        <v>688</v>
      </c>
      <c r="C2232" s="1" t="s">
        <v>46</v>
      </c>
      <c r="D2232" s="1">
        <v>1.2</v>
      </c>
      <c r="E2232" s="1">
        <v>20271.0</v>
      </c>
      <c r="F2232" s="10">
        <f t="shared" si="1"/>
        <v>1.666666667</v>
      </c>
      <c r="G2232" s="10">
        <f t="array" ref="G2232">index('Player ID'!C:C,match(E2232,'Player ID'!B:B,0))</f>
        <v>678226</v>
      </c>
    </row>
    <row r="2233">
      <c r="A2233" s="76">
        <v>45763.0</v>
      </c>
      <c r="B2233" s="1" t="s">
        <v>641</v>
      </c>
      <c r="C2233" s="1" t="s">
        <v>40</v>
      </c>
      <c r="D2233" s="1">
        <v>0.2</v>
      </c>
      <c r="E2233" s="1">
        <v>20517.0</v>
      </c>
      <c r="F2233" s="10">
        <f t="shared" si="1"/>
        <v>0.6666666667</v>
      </c>
      <c r="G2233" s="10">
        <f t="array" ref="G2233">index('Player ID'!C:C,match(E2233,'Player ID'!B:B,0))</f>
        <v>680704</v>
      </c>
    </row>
    <row r="2234">
      <c r="A2234" s="76">
        <v>45763.0</v>
      </c>
      <c r="B2234" s="1" t="s">
        <v>395</v>
      </c>
      <c r="C2234" s="1" t="s">
        <v>40</v>
      </c>
      <c r="D2234" s="1">
        <v>1.0</v>
      </c>
      <c r="E2234" s="1">
        <v>21574.0</v>
      </c>
      <c r="F2234" s="10">
        <f t="shared" si="1"/>
        <v>1</v>
      </c>
      <c r="G2234" s="10">
        <f t="array" ref="G2234">index('Player ID'!C:C,match(E2234,'Player ID'!B:B,0))</f>
        <v>663893</v>
      </c>
    </row>
    <row r="2235">
      <c r="A2235" s="76">
        <v>45763.0</v>
      </c>
      <c r="B2235" s="1" t="s">
        <v>472</v>
      </c>
      <c r="C2235" s="1" t="s">
        <v>46</v>
      </c>
      <c r="D2235" s="1">
        <v>5.0</v>
      </c>
      <c r="E2235" s="1">
        <v>27498.0</v>
      </c>
      <c r="F2235" s="10">
        <f t="shared" si="1"/>
        <v>5</v>
      </c>
      <c r="G2235" s="10">
        <f t="array" ref="G2235">index('Player ID'!C:C,match(E2235,'Player ID'!B:B,0))</f>
        <v>675911</v>
      </c>
    </row>
    <row r="2236">
      <c r="A2236" s="76">
        <v>45763.0</v>
      </c>
      <c r="B2236" s="1" t="s">
        <v>646</v>
      </c>
      <c r="C2236" s="1" t="s">
        <v>51</v>
      </c>
      <c r="D2236" s="1">
        <v>1.0</v>
      </c>
      <c r="E2236" s="1">
        <v>6107.0</v>
      </c>
      <c r="F2236" s="10">
        <f t="shared" si="1"/>
        <v>1</v>
      </c>
      <c r="G2236" s="10">
        <f t="array" ref="G2236">index('Player ID'!C:C,match(E2236,'Player ID'!B:B,0))</f>
        <v>623211</v>
      </c>
    </row>
    <row r="2237">
      <c r="A2237" s="76">
        <v>45763.0</v>
      </c>
      <c r="B2237" s="1" t="s">
        <v>435</v>
      </c>
      <c r="C2237" s="1" t="s">
        <v>16</v>
      </c>
      <c r="D2237" s="1">
        <v>1.2</v>
      </c>
      <c r="E2237" s="1">
        <v>13293.0</v>
      </c>
      <c r="F2237" s="10">
        <f t="shared" si="1"/>
        <v>1.666666667</v>
      </c>
      <c r="G2237" s="10">
        <f t="array" ref="G2237">index('Player ID'!C:C,match(E2237,'Player ID'!B:B,0))</f>
        <v>543056</v>
      </c>
    </row>
    <row r="2238">
      <c r="A2238" s="76">
        <v>45763.0</v>
      </c>
      <c r="B2238" s="1" t="s">
        <v>679</v>
      </c>
      <c r="C2238" s="1" t="s">
        <v>51</v>
      </c>
      <c r="D2238" s="1">
        <v>1.0</v>
      </c>
      <c r="E2238" s="1">
        <v>14710.0</v>
      </c>
      <c r="F2238" s="10">
        <f t="shared" si="1"/>
        <v>1</v>
      </c>
      <c r="G2238" s="10">
        <f t="array" ref="G2238">index('Player ID'!C:C,match(E2238,'Player ID'!B:B,0))</f>
        <v>621242</v>
      </c>
    </row>
    <row r="2239">
      <c r="A2239" s="76">
        <v>45763.0</v>
      </c>
      <c r="B2239" s="1" t="s">
        <v>292</v>
      </c>
      <c r="C2239" s="1" t="s">
        <v>51</v>
      </c>
      <c r="D2239" s="1">
        <v>1.0</v>
      </c>
      <c r="E2239" s="1">
        <v>15947.0</v>
      </c>
      <c r="F2239" s="10">
        <f t="shared" si="1"/>
        <v>1</v>
      </c>
      <c r="G2239" s="10">
        <f t="array" ref="G2239">index('Player ID'!C:C,match(E2239,'Player ID'!B:B,0))</f>
        <v>592773</v>
      </c>
    </row>
    <row r="2240">
      <c r="A2240" s="76">
        <v>45763.0</v>
      </c>
      <c r="B2240" s="1" t="s">
        <v>295</v>
      </c>
      <c r="C2240" s="1" t="s">
        <v>51</v>
      </c>
      <c r="D2240" s="1">
        <v>0.0</v>
      </c>
      <c r="E2240" s="1">
        <v>16866.0</v>
      </c>
      <c r="F2240" s="10">
        <f t="shared" si="1"/>
        <v>0</v>
      </c>
      <c r="G2240" s="10">
        <f t="array" ref="G2240">index('Player ID'!C:C,match(E2240,'Player ID'!B:B,0))</f>
        <v>657585</v>
      </c>
    </row>
    <row r="2241">
      <c r="A2241" s="76">
        <v>45763.0</v>
      </c>
      <c r="B2241" s="1" t="s">
        <v>674</v>
      </c>
      <c r="C2241" s="1" t="s">
        <v>51</v>
      </c>
      <c r="D2241" s="1">
        <v>1.0</v>
      </c>
      <c r="E2241" s="1">
        <v>18655.0</v>
      </c>
      <c r="F2241" s="10">
        <f t="shared" si="1"/>
        <v>1</v>
      </c>
      <c r="G2241" s="10">
        <f t="array" ref="G2241">index('Player ID'!C:C,match(E2241,'Player ID'!B:B,0))</f>
        <v>621345</v>
      </c>
    </row>
    <row r="2242">
      <c r="A2242" s="76">
        <v>45763.0</v>
      </c>
      <c r="B2242" s="1" t="s">
        <v>28</v>
      </c>
      <c r="C2242" s="1" t="s">
        <v>16</v>
      </c>
      <c r="D2242" s="1">
        <v>1.0</v>
      </c>
      <c r="E2242" s="1">
        <v>20253.0</v>
      </c>
      <c r="F2242" s="10">
        <f t="shared" si="1"/>
        <v>1</v>
      </c>
      <c r="G2242" s="10">
        <f t="array" ref="G2242">index('Player ID'!C:C,match(E2242,'Player ID'!B:B,0))</f>
        <v>643377</v>
      </c>
    </row>
    <row r="2243">
      <c r="A2243" s="76">
        <v>45763.0</v>
      </c>
      <c r="B2243" s="1" t="s">
        <v>122</v>
      </c>
      <c r="C2243" s="1" t="s">
        <v>16</v>
      </c>
      <c r="D2243" s="1">
        <v>1.0</v>
      </c>
      <c r="E2243" s="1">
        <v>21029.0</v>
      </c>
      <c r="F2243" s="10">
        <f t="shared" si="1"/>
        <v>1</v>
      </c>
      <c r="G2243" s="10">
        <f t="array" ref="G2243">index('Player ID'!C:C,match(E2243,'Player ID'!B:B,0))</f>
        <v>661395</v>
      </c>
    </row>
    <row r="2244">
      <c r="A2244" s="76">
        <v>45763.0</v>
      </c>
      <c r="B2244" s="1" t="s">
        <v>237</v>
      </c>
      <c r="C2244" s="1" t="s">
        <v>16</v>
      </c>
      <c r="D2244" s="1">
        <v>1.0</v>
      </c>
      <c r="E2244" s="1">
        <v>21461.0</v>
      </c>
      <c r="F2244" s="10">
        <f t="shared" si="1"/>
        <v>1</v>
      </c>
      <c r="G2244" s="10">
        <f t="array" ref="G2244">index('Player ID'!C:C,match(E2244,'Player ID'!B:B,0))</f>
        <v>663485</v>
      </c>
    </row>
    <row r="2245">
      <c r="A2245" s="76">
        <v>45763.0</v>
      </c>
      <c r="B2245" s="1" t="s">
        <v>554</v>
      </c>
      <c r="C2245" s="1" t="s">
        <v>51</v>
      </c>
      <c r="D2245" s="1">
        <v>3.1</v>
      </c>
      <c r="E2245" s="1">
        <v>21546.0</v>
      </c>
      <c r="F2245" s="10">
        <f t="shared" si="1"/>
        <v>3.333333333</v>
      </c>
      <c r="G2245" s="10">
        <f t="array" ref="G2245">index('Player ID'!C:C,match(E2245,'Player ID'!B:B,0))</f>
        <v>663795</v>
      </c>
    </row>
    <row r="2246">
      <c r="A2246" s="76">
        <v>45763.0</v>
      </c>
      <c r="B2246" s="1" t="s">
        <v>712</v>
      </c>
      <c r="C2246" s="1" t="s">
        <v>51</v>
      </c>
      <c r="D2246" s="1">
        <v>1.2</v>
      </c>
      <c r="E2246" s="1">
        <v>23313.0</v>
      </c>
      <c r="F2246" s="10">
        <f t="shared" si="1"/>
        <v>1.666666667</v>
      </c>
      <c r="G2246" s="10">
        <f t="array" ref="G2246">index('Player ID'!C:C,match(E2246,'Player ID'!B:B,0))</f>
        <v>676130</v>
      </c>
    </row>
    <row r="2247">
      <c r="A2247" s="76">
        <v>45763.0</v>
      </c>
      <c r="B2247" s="1" t="s">
        <v>47</v>
      </c>
      <c r="C2247" s="1" t="s">
        <v>16</v>
      </c>
      <c r="D2247" s="1">
        <v>1.0</v>
      </c>
      <c r="E2247" s="1">
        <v>27691.0</v>
      </c>
      <c r="F2247" s="10">
        <f t="shared" si="1"/>
        <v>1</v>
      </c>
      <c r="G2247" s="10">
        <f t="array" ref="G2247">index('Player ID'!C:C,match(E2247,'Player ID'!B:B,0))</f>
        <v>686973</v>
      </c>
    </row>
    <row r="2248">
      <c r="A2248" s="76">
        <v>45763.0</v>
      </c>
      <c r="B2248" s="1" t="s">
        <v>253</v>
      </c>
      <c r="C2248" s="1" t="s">
        <v>16</v>
      </c>
      <c r="D2248" s="1">
        <v>4.1</v>
      </c>
      <c r="E2248" s="1">
        <v>30056.0</v>
      </c>
      <c r="F2248" s="10">
        <f t="shared" si="1"/>
        <v>4.333333333</v>
      </c>
      <c r="G2248" s="10">
        <f t="array" ref="G2248">index('Player ID'!C:C,match(E2248,'Player ID'!B:B,0))</f>
        <v>701581</v>
      </c>
    </row>
    <row r="2249">
      <c r="A2249" s="76">
        <v>45763.0</v>
      </c>
      <c r="B2249" s="1" t="s">
        <v>476</v>
      </c>
      <c r="C2249" s="1" t="s">
        <v>14</v>
      </c>
      <c r="D2249" s="1">
        <v>5.2</v>
      </c>
      <c r="E2249" s="1">
        <v>11423.0</v>
      </c>
      <c r="F2249" s="10">
        <f t="shared" si="1"/>
        <v>5.666666667</v>
      </c>
      <c r="G2249" s="10">
        <f t="array" ref="G2249">index('Player ID'!C:C,match(E2249,'Player ID'!B:B,0))</f>
        <v>500779</v>
      </c>
    </row>
    <row r="2250">
      <c r="A2250" s="76">
        <v>45763.0</v>
      </c>
      <c r="B2250" s="1" t="s">
        <v>13</v>
      </c>
      <c r="C2250" s="1" t="s">
        <v>14</v>
      </c>
      <c r="D2250" s="1">
        <v>1.0</v>
      </c>
      <c r="E2250" s="1">
        <v>17722.0</v>
      </c>
      <c r="F2250" s="10">
        <f t="shared" si="1"/>
        <v>1</v>
      </c>
      <c r="G2250" s="10">
        <f t="array" ref="G2250">index('Player ID'!C:C,match(E2250,'Player ID'!B:B,0))</f>
        <v>656730</v>
      </c>
    </row>
    <row r="2251">
      <c r="A2251" s="76">
        <v>45763.0</v>
      </c>
      <c r="B2251" s="1" t="s">
        <v>131</v>
      </c>
      <c r="C2251" s="1" t="s">
        <v>62</v>
      </c>
      <c r="D2251" s="1">
        <v>1.0</v>
      </c>
      <c r="E2251" s="1">
        <v>19769.0</v>
      </c>
      <c r="F2251" s="10">
        <f t="shared" si="1"/>
        <v>1</v>
      </c>
      <c r="G2251" s="10">
        <f t="array" ref="G2251">index('Player ID'!C:C,match(E2251,'Player ID'!B:B,0))</f>
        <v>676684</v>
      </c>
    </row>
    <row r="2252">
      <c r="A2252" s="76">
        <v>45763.0</v>
      </c>
      <c r="B2252" s="1" t="s">
        <v>318</v>
      </c>
      <c r="C2252" s="1" t="s">
        <v>14</v>
      </c>
      <c r="D2252" s="1">
        <v>1.0</v>
      </c>
      <c r="E2252" s="1">
        <v>20546.0</v>
      </c>
      <c r="F2252" s="10">
        <f t="shared" si="1"/>
        <v>1</v>
      </c>
      <c r="G2252" s="10">
        <f t="array" ref="G2252">index('Player ID'!C:C,match(E2252,'Player ID'!B:B,0))</f>
        <v>681982</v>
      </c>
    </row>
    <row r="2253">
      <c r="A2253" s="76">
        <v>45763.0</v>
      </c>
      <c r="B2253" s="1" t="s">
        <v>331</v>
      </c>
      <c r="C2253" s="1" t="s">
        <v>62</v>
      </c>
      <c r="D2253" s="1">
        <v>5.0</v>
      </c>
      <c r="E2253" s="1">
        <v>22630.0</v>
      </c>
      <c r="F2253" s="10">
        <f t="shared" si="1"/>
        <v>5</v>
      </c>
      <c r="G2253" s="10">
        <f t="array" ref="G2253">index('Player ID'!C:C,match(E2253,'Player ID'!B:B,0))</f>
        <v>672456</v>
      </c>
    </row>
    <row r="2254">
      <c r="A2254" s="76">
        <v>45763.0</v>
      </c>
      <c r="B2254" s="1" t="s">
        <v>279</v>
      </c>
      <c r="C2254" s="1" t="s">
        <v>14</v>
      </c>
      <c r="D2254" s="1">
        <v>0.1</v>
      </c>
      <c r="E2254" s="1">
        <v>25327.0</v>
      </c>
      <c r="F2254" s="10">
        <f t="shared" si="1"/>
        <v>0.3333333333</v>
      </c>
      <c r="G2254" s="10">
        <f t="array" ref="G2254">index('Player ID'!C:C,match(E2254,'Player ID'!B:B,0))</f>
        <v>682842</v>
      </c>
    </row>
    <row r="2255">
      <c r="A2255" s="76">
        <v>45763.0</v>
      </c>
      <c r="B2255" s="1" t="s">
        <v>418</v>
      </c>
      <c r="C2255" s="1" t="s">
        <v>14</v>
      </c>
      <c r="D2255" s="1">
        <v>1.0</v>
      </c>
      <c r="E2255" s="1">
        <v>27517.0</v>
      </c>
      <c r="F2255" s="10">
        <f t="shared" si="1"/>
        <v>1</v>
      </c>
      <c r="G2255" s="10">
        <f t="array" ref="G2255">index('Player ID'!C:C,match(E2255,'Player ID'!B:B,0))</f>
        <v>657649</v>
      </c>
    </row>
    <row r="2256">
      <c r="A2256" s="76">
        <v>45763.0</v>
      </c>
      <c r="B2256" s="1" t="s">
        <v>487</v>
      </c>
      <c r="C2256" s="1" t="s">
        <v>62</v>
      </c>
      <c r="D2256" s="1">
        <v>2.0</v>
      </c>
      <c r="E2256" s="1">
        <v>30133.0</v>
      </c>
      <c r="F2256" s="10">
        <f t="shared" si="1"/>
        <v>2</v>
      </c>
      <c r="G2256" s="10">
        <f t="array" ref="G2256">index('Player ID'!C:C,match(E2256,'Player ID'!B:B,0))</f>
        <v>676428</v>
      </c>
    </row>
    <row r="2257">
      <c r="A2257" s="76">
        <v>45763.0</v>
      </c>
      <c r="B2257" s="1" t="s">
        <v>83</v>
      </c>
      <c r="C2257" s="1" t="s">
        <v>72</v>
      </c>
      <c r="D2257" s="1">
        <v>5.0</v>
      </c>
      <c r="E2257" s="1">
        <v>13361.0</v>
      </c>
      <c r="F2257" s="10">
        <f t="shared" si="1"/>
        <v>5</v>
      </c>
      <c r="G2257" s="10">
        <f t="array" ref="G2257">index('Player ID'!C:C,match(E2257,'Player ID'!B:B,0))</f>
        <v>571927</v>
      </c>
    </row>
    <row r="2258">
      <c r="A2258" s="76">
        <v>45763.0</v>
      </c>
      <c r="B2258" s="1" t="s">
        <v>38</v>
      </c>
      <c r="C2258" s="1" t="s">
        <v>39</v>
      </c>
      <c r="D2258" s="1">
        <v>1.1</v>
      </c>
      <c r="E2258" s="1">
        <v>13580.0</v>
      </c>
      <c r="F2258" s="10">
        <f t="shared" si="1"/>
        <v>1.333333333</v>
      </c>
      <c r="G2258" s="10">
        <f t="array" ref="G2258">index('Player ID'!C:C,match(E2258,'Player ID'!B:B,0))</f>
        <v>595345</v>
      </c>
    </row>
    <row r="2259">
      <c r="A2259" s="76">
        <v>45763.0</v>
      </c>
      <c r="B2259" s="1" t="s">
        <v>447</v>
      </c>
      <c r="C2259" s="1" t="s">
        <v>39</v>
      </c>
      <c r="D2259" s="1">
        <v>1.0</v>
      </c>
      <c r="E2259" s="1">
        <v>13652.0</v>
      </c>
      <c r="F2259" s="10">
        <f t="shared" si="1"/>
        <v>1</v>
      </c>
      <c r="G2259" s="10">
        <f t="array" ref="G2259">index('Player ID'!C:C,match(E2259,'Player ID'!B:B,0))</f>
        <v>605463</v>
      </c>
    </row>
    <row r="2260">
      <c r="A2260" s="76">
        <v>45763.0</v>
      </c>
      <c r="B2260" s="1" t="s">
        <v>190</v>
      </c>
      <c r="C2260" s="1" t="s">
        <v>72</v>
      </c>
      <c r="D2260" s="1">
        <v>1.0</v>
      </c>
      <c r="E2260" s="1">
        <v>18064.0</v>
      </c>
      <c r="F2260" s="10">
        <f t="shared" si="1"/>
        <v>1</v>
      </c>
      <c r="G2260" s="10">
        <f t="array" ref="G2260">index('Player ID'!C:C,match(E2260,'Player ID'!B:B,0))</f>
        <v>664208</v>
      </c>
    </row>
    <row r="2261">
      <c r="A2261" s="76">
        <v>45763.0</v>
      </c>
      <c r="B2261" s="1" t="s">
        <v>270</v>
      </c>
      <c r="C2261" s="1" t="s">
        <v>72</v>
      </c>
      <c r="D2261" s="1">
        <v>1.0</v>
      </c>
      <c r="E2261" s="1">
        <v>18138.0</v>
      </c>
      <c r="F2261" s="10">
        <f t="shared" si="1"/>
        <v>1</v>
      </c>
      <c r="G2261" s="10">
        <f t="array" ref="G2261">index('Player ID'!C:C,match(E2261,'Player ID'!B:B,0))</f>
        <v>664854</v>
      </c>
    </row>
    <row r="2262">
      <c r="A2262" s="76">
        <v>45763.0</v>
      </c>
      <c r="B2262" s="1" t="s">
        <v>314</v>
      </c>
      <c r="C2262" s="1" t="s">
        <v>39</v>
      </c>
      <c r="D2262" s="1">
        <v>5.0</v>
      </c>
      <c r="E2262" s="1">
        <v>19407.0</v>
      </c>
      <c r="F2262" s="10">
        <f t="shared" si="1"/>
        <v>5</v>
      </c>
      <c r="G2262" s="10">
        <f t="array" ref="G2262">index('Player ID'!C:C,match(E2262,'Player ID'!B:B,0))</f>
        <v>669854</v>
      </c>
    </row>
    <row r="2263">
      <c r="A2263" s="76">
        <v>45763.0</v>
      </c>
      <c r="B2263" s="1" t="s">
        <v>102</v>
      </c>
      <c r="C2263" s="1" t="s">
        <v>39</v>
      </c>
      <c r="D2263" s="1">
        <v>0.1</v>
      </c>
      <c r="E2263" s="1">
        <v>21345.0</v>
      </c>
      <c r="F2263" s="10">
        <f t="shared" si="1"/>
        <v>0.3333333333</v>
      </c>
      <c r="G2263" s="10">
        <f t="array" ref="G2263">index('Player ID'!C:C,match(E2263,'Player ID'!B:B,0))</f>
        <v>656986</v>
      </c>
    </row>
    <row r="2264">
      <c r="A2264" s="76">
        <v>45763.0</v>
      </c>
      <c r="B2264" s="1" t="s">
        <v>170</v>
      </c>
      <c r="C2264" s="1" t="s">
        <v>72</v>
      </c>
      <c r="D2264" s="1">
        <v>1.0</v>
      </c>
      <c r="E2264" s="1">
        <v>24763.0</v>
      </c>
      <c r="F2264" s="10">
        <f t="shared" si="1"/>
        <v>1</v>
      </c>
      <c r="G2264" s="10">
        <f t="array" ref="G2264">index('Player ID'!C:C,match(E2264,'Player ID'!B:B,0))</f>
        <v>681517</v>
      </c>
    </row>
    <row r="2265">
      <c r="A2265" s="76">
        <v>45763.0</v>
      </c>
      <c r="B2265" s="1" t="s">
        <v>378</v>
      </c>
      <c r="C2265" s="1" t="s">
        <v>72</v>
      </c>
      <c r="D2265" s="1">
        <v>1.0</v>
      </c>
      <c r="E2265" s="1">
        <v>24862.0</v>
      </c>
      <c r="F2265" s="10">
        <f t="shared" si="1"/>
        <v>1</v>
      </c>
      <c r="G2265" s="10">
        <f t="array" ref="G2265">index('Player ID'!C:C,match(E2265,'Player ID'!B:B,0))</f>
        <v>681676</v>
      </c>
    </row>
    <row r="2266">
      <c r="A2266" s="76">
        <v>45763.0</v>
      </c>
      <c r="B2266" s="1" t="s">
        <v>794</v>
      </c>
      <c r="C2266" s="1" t="s">
        <v>39</v>
      </c>
      <c r="D2266" s="1">
        <v>0.1</v>
      </c>
      <c r="E2266" s="1">
        <v>31884.0</v>
      </c>
      <c r="F2266" s="10">
        <f t="shared" si="1"/>
        <v>0.3333333333</v>
      </c>
      <c r="G2266" s="10">
        <f t="array" ref="G2266">index('Player ID'!C:C,match(E2266,'Player ID'!B:B,0))</f>
        <v>701121</v>
      </c>
    </row>
    <row r="2267">
      <c r="A2267" s="76">
        <v>45763.0</v>
      </c>
      <c r="B2267" s="1" t="s">
        <v>404</v>
      </c>
      <c r="C2267" s="1" t="s">
        <v>26</v>
      </c>
      <c r="D2267" s="1">
        <v>1.0</v>
      </c>
      <c r="E2267" s="1">
        <v>14295.0</v>
      </c>
      <c r="F2267" s="10">
        <f t="shared" si="1"/>
        <v>1</v>
      </c>
      <c r="G2267" s="10">
        <f t="array" ref="G2267">index('Player ID'!C:C,match(E2267,'Player ID'!B:B,0))</f>
        <v>593974</v>
      </c>
    </row>
    <row r="2268">
      <c r="A2268" s="76">
        <v>45763.0</v>
      </c>
      <c r="B2268" s="1" t="s">
        <v>246</v>
      </c>
      <c r="C2268" s="1" t="s">
        <v>34</v>
      </c>
      <c r="D2268" s="1">
        <v>5.1</v>
      </c>
      <c r="E2268" s="1">
        <v>15440.0</v>
      </c>
      <c r="F2268" s="10">
        <f t="shared" si="1"/>
        <v>5.333333333</v>
      </c>
      <c r="G2268" s="10">
        <f t="array" ref="G2268">index('Player ID'!C:C,match(E2268,'Player ID'!B:B,0))</f>
        <v>571510</v>
      </c>
    </row>
    <row r="2269">
      <c r="A2269" s="76">
        <v>45763.0</v>
      </c>
      <c r="B2269" s="1" t="s">
        <v>109</v>
      </c>
      <c r="C2269" s="1" t="s">
        <v>26</v>
      </c>
      <c r="D2269" s="1">
        <v>6.0</v>
      </c>
      <c r="E2269" s="1">
        <v>15454.0</v>
      </c>
      <c r="F2269" s="10">
        <f t="shared" si="1"/>
        <v>6</v>
      </c>
      <c r="G2269" s="10">
        <f t="array" ref="G2269">index('Player ID'!C:C,match(E2269,'Player ID'!B:B,0))</f>
        <v>601713</v>
      </c>
    </row>
    <row r="2270">
      <c r="A2270" s="76">
        <v>45763.0</v>
      </c>
      <c r="B2270" s="1" t="s">
        <v>94</v>
      </c>
      <c r="C2270" s="1" t="s">
        <v>26</v>
      </c>
      <c r="D2270" s="1">
        <v>1.0</v>
      </c>
      <c r="E2270" s="1">
        <v>22210.0</v>
      </c>
      <c r="F2270" s="10">
        <f t="shared" si="1"/>
        <v>1</v>
      </c>
      <c r="G2270" s="10">
        <f t="array" ref="G2270">index('Player ID'!C:C,match(E2270,'Player ID'!B:B,0))</f>
        <v>669093</v>
      </c>
    </row>
    <row r="2271">
      <c r="A2271" s="76">
        <v>45763.0</v>
      </c>
      <c r="B2271" s="1" t="s">
        <v>789</v>
      </c>
      <c r="C2271" s="1" t="s">
        <v>34</v>
      </c>
      <c r="D2271" s="1">
        <v>0.1</v>
      </c>
      <c r="E2271" s="1">
        <v>24930.0</v>
      </c>
      <c r="F2271" s="10">
        <f t="shared" si="1"/>
        <v>0.3333333333</v>
      </c>
      <c r="G2271" s="10">
        <f t="array" ref="G2271">index('Player ID'!C:C,match(E2271,'Player ID'!B:B,0))</f>
        <v>681799</v>
      </c>
    </row>
    <row r="2272">
      <c r="A2272" s="76">
        <v>45763.0</v>
      </c>
      <c r="B2272" s="1" t="s">
        <v>167</v>
      </c>
      <c r="C2272" s="1" t="s">
        <v>34</v>
      </c>
      <c r="D2272" s="1">
        <v>1.2</v>
      </c>
      <c r="E2272" s="1">
        <v>27914.0</v>
      </c>
      <c r="F2272" s="10">
        <f t="shared" si="1"/>
        <v>1.666666667</v>
      </c>
      <c r="G2272" s="10">
        <f t="array" ref="G2272">index('Player ID'!C:C,match(E2272,'Player ID'!B:B,0))</f>
        <v>694037</v>
      </c>
    </row>
    <row r="2273">
      <c r="A2273" s="76">
        <v>45763.0</v>
      </c>
      <c r="B2273" s="1" t="s">
        <v>802</v>
      </c>
      <c r="C2273" s="1" t="s">
        <v>34</v>
      </c>
      <c r="D2273" s="1">
        <v>0.2</v>
      </c>
      <c r="E2273" s="1">
        <v>28036.0</v>
      </c>
      <c r="F2273" s="10">
        <f t="shared" si="1"/>
        <v>0.6666666667</v>
      </c>
      <c r="G2273" s="10">
        <f t="array" ref="G2273">index('Player ID'!C:C,match(E2273,'Player ID'!B:B,0))</f>
        <v>681432</v>
      </c>
    </row>
    <row r="2274">
      <c r="A2274" s="76">
        <v>45763.0</v>
      </c>
      <c r="B2274" s="1" t="s">
        <v>81</v>
      </c>
      <c r="C2274" s="1" t="s">
        <v>26</v>
      </c>
      <c r="D2274" s="1">
        <v>1.0</v>
      </c>
      <c r="E2274" s="1">
        <v>30115.0</v>
      </c>
      <c r="F2274" s="10">
        <f t="shared" si="1"/>
        <v>1</v>
      </c>
      <c r="G2274" s="10">
        <f t="array" ref="G2274">index('Player ID'!C:C,match(E2274,'Player ID'!B:B,0))</f>
        <v>663158</v>
      </c>
    </row>
    <row r="2275">
      <c r="A2275" s="76">
        <v>45763.0</v>
      </c>
      <c r="B2275" s="1" t="s">
        <v>765</v>
      </c>
      <c r="C2275" s="1" t="s">
        <v>70</v>
      </c>
      <c r="D2275" s="1">
        <v>1.0</v>
      </c>
      <c r="E2275" s="1">
        <v>18000.0</v>
      </c>
      <c r="F2275" s="10">
        <f t="shared" si="1"/>
        <v>1</v>
      </c>
      <c r="G2275" s="10">
        <f t="array" ref="G2275">index('Player ID'!C:C,match(E2275,'Player ID'!B:B,0))</f>
        <v>663474</v>
      </c>
    </row>
    <row r="2276">
      <c r="A2276" s="76">
        <v>45763.0</v>
      </c>
      <c r="B2276" s="1" t="s">
        <v>294</v>
      </c>
      <c r="C2276" s="1" t="s">
        <v>68</v>
      </c>
      <c r="D2276" s="1">
        <v>5.1</v>
      </c>
      <c r="E2276" s="1">
        <v>19350.0</v>
      </c>
      <c r="F2276" s="10">
        <f t="shared" si="1"/>
        <v>5.333333333</v>
      </c>
      <c r="G2276" s="10">
        <f t="array" ref="G2276">index('Player ID'!C:C,match(E2276,'Player ID'!B:B,0))</f>
        <v>665152</v>
      </c>
    </row>
    <row r="2277">
      <c r="A2277" s="76">
        <v>45763.0</v>
      </c>
      <c r="B2277" s="1" t="s">
        <v>231</v>
      </c>
      <c r="C2277" s="1" t="s">
        <v>68</v>
      </c>
      <c r="D2277" s="1">
        <v>1.0</v>
      </c>
      <c r="E2277" s="1">
        <v>19362.0</v>
      </c>
      <c r="F2277" s="10">
        <f t="shared" si="1"/>
        <v>1</v>
      </c>
      <c r="G2277" s="10">
        <f t="array" ref="G2277">index('Player ID'!C:C,match(E2277,'Player ID'!B:B,0))</f>
        <v>669211</v>
      </c>
    </row>
    <row r="2278">
      <c r="A2278" s="76">
        <v>45763.0</v>
      </c>
      <c r="B2278" s="1" t="s">
        <v>433</v>
      </c>
      <c r="C2278" s="1" t="s">
        <v>68</v>
      </c>
      <c r="D2278" s="1">
        <v>0.1</v>
      </c>
      <c r="E2278" s="1">
        <v>19677.0</v>
      </c>
      <c r="F2278" s="10">
        <f t="shared" si="1"/>
        <v>0.3333333333</v>
      </c>
      <c r="G2278" s="10">
        <f t="array" ref="G2278">index('Player ID'!C:C,match(E2278,'Player ID'!B:B,0))</f>
        <v>642397</v>
      </c>
    </row>
    <row r="2279">
      <c r="A2279" s="76">
        <v>45763.0</v>
      </c>
      <c r="B2279" s="1" t="s">
        <v>240</v>
      </c>
      <c r="C2279" s="1" t="s">
        <v>68</v>
      </c>
      <c r="D2279" s="1">
        <v>1.1</v>
      </c>
      <c r="E2279" s="1">
        <v>19804.0</v>
      </c>
      <c r="F2279" s="10">
        <f t="shared" si="1"/>
        <v>1.333333333</v>
      </c>
      <c r="G2279" s="10">
        <f t="array" ref="G2279">index('Player ID'!C:C,match(E2279,'Player ID'!B:B,0))</f>
        <v>641329</v>
      </c>
    </row>
    <row r="2280">
      <c r="A2280" s="76">
        <v>45763.0</v>
      </c>
      <c r="B2280" s="1" t="s">
        <v>398</v>
      </c>
      <c r="C2280" s="1" t="s">
        <v>70</v>
      </c>
      <c r="D2280" s="1">
        <v>0.1</v>
      </c>
      <c r="E2280" s="1">
        <v>23335.0</v>
      </c>
      <c r="F2280" s="10">
        <f t="shared" si="1"/>
        <v>0.3333333333</v>
      </c>
      <c r="G2280" s="10">
        <f t="array" ref="G2280">index('Player ID'!C:C,match(E2280,'Player ID'!B:B,0))</f>
        <v>676282</v>
      </c>
    </row>
    <row r="2281">
      <c r="A2281" s="76">
        <v>45763.0</v>
      </c>
      <c r="B2281" s="1" t="s">
        <v>235</v>
      </c>
      <c r="C2281" s="1" t="s">
        <v>68</v>
      </c>
      <c r="D2281" s="1">
        <v>1.0</v>
      </c>
      <c r="E2281" s="1">
        <v>25911.0</v>
      </c>
      <c r="F2281" s="10">
        <f t="shared" si="1"/>
        <v>1</v>
      </c>
      <c r="G2281" s="10">
        <f t="array" ref="G2281">index('Player ID'!C:C,match(E2281,'Player ID'!B:B,0))</f>
        <v>666974</v>
      </c>
    </row>
    <row r="2282">
      <c r="A2282" s="76">
        <v>45763.0</v>
      </c>
      <c r="B2282" s="1" t="s">
        <v>376</v>
      </c>
      <c r="C2282" s="1" t="s">
        <v>70</v>
      </c>
      <c r="D2282" s="1">
        <v>6.2</v>
      </c>
      <c r="E2282" s="1">
        <v>30122.0</v>
      </c>
      <c r="F2282" s="10">
        <f t="shared" si="1"/>
        <v>6.666666667</v>
      </c>
      <c r="G2282" s="10">
        <f t="array" ref="G2282">index('Player ID'!C:C,match(E2282,'Player ID'!B:B,0))</f>
        <v>668909</v>
      </c>
    </row>
    <row r="2283">
      <c r="A2283" s="76">
        <v>45763.0</v>
      </c>
      <c r="B2283" s="1" t="s">
        <v>719</v>
      </c>
      <c r="C2283" s="1" t="s">
        <v>80</v>
      </c>
      <c r="D2283" s="1">
        <v>0.2</v>
      </c>
      <c r="E2283" s="1">
        <v>14527.0</v>
      </c>
      <c r="F2283" s="10">
        <f t="shared" si="1"/>
        <v>0.6666666667</v>
      </c>
      <c r="G2283" s="10">
        <f t="array" ref="G2283">index('Player ID'!C:C,match(E2283,'Player ID'!B:B,0))</f>
        <v>605347</v>
      </c>
    </row>
    <row r="2284">
      <c r="A2284" s="76">
        <v>45763.0</v>
      </c>
      <c r="B2284" s="1" t="s">
        <v>107</v>
      </c>
      <c r="C2284" s="1" t="s">
        <v>60</v>
      </c>
      <c r="D2284" s="1">
        <v>1.0</v>
      </c>
      <c r="E2284" s="1">
        <v>19349.0</v>
      </c>
      <c r="F2284" s="10">
        <f t="shared" si="1"/>
        <v>1</v>
      </c>
      <c r="G2284" s="10">
        <f t="array" ref="G2284">index('Player ID'!C:C,match(E2284,'Player ID'!B:B,0))</f>
        <v>657571</v>
      </c>
    </row>
    <row r="2285">
      <c r="A2285" s="76">
        <v>45763.0</v>
      </c>
      <c r="B2285" s="1" t="s">
        <v>220</v>
      </c>
      <c r="C2285" s="1" t="s">
        <v>60</v>
      </c>
      <c r="D2285" s="1">
        <v>7.0</v>
      </c>
      <c r="E2285" s="1">
        <v>20070.0</v>
      </c>
      <c r="F2285" s="10">
        <f t="shared" si="1"/>
        <v>7</v>
      </c>
      <c r="G2285" s="10">
        <f t="array" ref="G2285">index('Player ID'!C:C,match(E2285,'Player ID'!B:B,0))</f>
        <v>663559</v>
      </c>
    </row>
    <row r="2286">
      <c r="A2286" s="76">
        <v>45763.0</v>
      </c>
      <c r="B2286" s="1" t="s">
        <v>463</v>
      </c>
      <c r="C2286" s="1" t="s">
        <v>60</v>
      </c>
      <c r="D2286" s="1">
        <v>1.0</v>
      </c>
      <c r="E2286" s="1">
        <v>21544.0</v>
      </c>
      <c r="F2286" s="10">
        <f t="shared" si="1"/>
        <v>1</v>
      </c>
      <c r="G2286" s="10">
        <f t="array" ref="G2286">index('Player ID'!C:C,match(E2286,'Player ID'!B:B,0))</f>
        <v>663767</v>
      </c>
    </row>
    <row r="2287">
      <c r="A2287" s="76">
        <v>45763.0</v>
      </c>
      <c r="B2287" s="1" t="s">
        <v>508</v>
      </c>
      <c r="C2287" s="1" t="s">
        <v>80</v>
      </c>
      <c r="D2287" s="1">
        <v>0.1</v>
      </c>
      <c r="E2287" s="1">
        <v>23135.0</v>
      </c>
      <c r="F2287" s="10">
        <f t="shared" si="1"/>
        <v>0.3333333333</v>
      </c>
      <c r="G2287" s="10">
        <f t="array" ref="G2287">index('Player ID'!C:C,match(E2287,'Player ID'!B:B,0))</f>
        <v>674285</v>
      </c>
    </row>
    <row r="2288">
      <c r="A2288" s="76">
        <v>45763.0</v>
      </c>
      <c r="B2288" s="1" t="s">
        <v>507</v>
      </c>
      <c r="C2288" s="1" t="s">
        <v>80</v>
      </c>
      <c r="D2288" s="1">
        <v>1.0</v>
      </c>
      <c r="E2288" s="1">
        <v>27570.0</v>
      </c>
      <c r="F2288" s="10">
        <f t="shared" si="1"/>
        <v>1</v>
      </c>
      <c r="G2288" s="10">
        <f t="array" ref="G2288">index('Player ID'!C:C,match(E2288,'Player ID'!B:B,0))</f>
        <v>669371</v>
      </c>
    </row>
    <row r="2289">
      <c r="A2289" s="76">
        <v>45763.0</v>
      </c>
      <c r="B2289" s="1" t="s">
        <v>330</v>
      </c>
      <c r="C2289" s="1" t="s">
        <v>80</v>
      </c>
      <c r="D2289" s="1">
        <v>6.0</v>
      </c>
      <c r="E2289" s="1">
        <v>27636.0</v>
      </c>
      <c r="F2289" s="10">
        <f t="shared" si="1"/>
        <v>6</v>
      </c>
      <c r="G2289" s="10">
        <f t="array" ref="G2289">index('Player ID'!C:C,match(E2289,'Player ID'!B:B,0))</f>
        <v>680730</v>
      </c>
    </row>
    <row r="2290">
      <c r="A2290" s="76">
        <v>45763.0</v>
      </c>
      <c r="B2290" s="1" t="s">
        <v>226</v>
      </c>
      <c r="C2290" s="1" t="s">
        <v>66</v>
      </c>
      <c r="D2290" s="1">
        <v>4.2</v>
      </c>
      <c r="E2290" s="1">
        <v>12730.0</v>
      </c>
      <c r="F2290" s="10">
        <f t="shared" si="1"/>
        <v>4.666666667</v>
      </c>
      <c r="G2290" s="10">
        <f t="array" ref="G2290">index('Player ID'!C:C,match(E2290,'Player ID'!B:B,0))</f>
        <v>607259</v>
      </c>
    </row>
    <row r="2291">
      <c r="A2291" s="76">
        <v>45763.0</v>
      </c>
      <c r="B2291" s="1" t="s">
        <v>362</v>
      </c>
      <c r="C2291" s="1" t="s">
        <v>66</v>
      </c>
      <c r="D2291" s="1">
        <v>1.0</v>
      </c>
      <c r="E2291" s="1">
        <v>13449.0</v>
      </c>
      <c r="F2291" s="10">
        <f t="shared" si="1"/>
        <v>1</v>
      </c>
      <c r="G2291" s="10">
        <f t="array" ref="G2291">index('Player ID'!C:C,match(E2291,'Player ID'!B:B,0))</f>
        <v>573124</v>
      </c>
    </row>
    <row r="2292">
      <c r="A2292" s="76">
        <v>45763.0</v>
      </c>
      <c r="B2292" s="1" t="s">
        <v>417</v>
      </c>
      <c r="C2292" s="1" t="s">
        <v>66</v>
      </c>
      <c r="D2292" s="1">
        <v>1.1</v>
      </c>
      <c r="E2292" s="1">
        <v>13942.0</v>
      </c>
      <c r="F2292" s="10">
        <f t="shared" si="1"/>
        <v>1.333333333</v>
      </c>
      <c r="G2292" s="10">
        <f t="array" ref="G2292">index('Player ID'!C:C,match(E2292,'Player ID'!B:B,0))</f>
        <v>608718</v>
      </c>
    </row>
    <row r="2293">
      <c r="A2293" s="76">
        <v>45763.0</v>
      </c>
      <c r="B2293" s="1" t="s">
        <v>475</v>
      </c>
      <c r="C2293" s="1" t="s">
        <v>66</v>
      </c>
      <c r="D2293" s="1">
        <v>1.1</v>
      </c>
      <c r="E2293" s="1">
        <v>14993.0</v>
      </c>
      <c r="F2293" s="10">
        <f t="shared" si="1"/>
        <v>1.333333333</v>
      </c>
      <c r="G2293" s="10">
        <f t="array" ref="G2293">index('Player ID'!C:C,match(E2293,'Player ID'!B:B,0))</f>
        <v>605130</v>
      </c>
    </row>
    <row r="2294">
      <c r="A2294" s="76">
        <v>45763.0</v>
      </c>
      <c r="B2294" s="1" t="s">
        <v>53</v>
      </c>
      <c r="C2294" s="1" t="s">
        <v>37</v>
      </c>
      <c r="D2294" s="1">
        <v>1.0</v>
      </c>
      <c r="E2294" s="1">
        <v>17170.0</v>
      </c>
      <c r="F2294" s="10">
        <f t="shared" si="1"/>
        <v>1</v>
      </c>
      <c r="G2294" s="10">
        <f t="array" ref="G2294">index('Player ID'!C:C,match(E2294,'Player ID'!B:B,0))</f>
        <v>642100</v>
      </c>
    </row>
    <row r="2295">
      <c r="A2295" s="76">
        <v>45763.0</v>
      </c>
      <c r="B2295" s="1" t="s">
        <v>653</v>
      </c>
      <c r="C2295" s="1" t="s">
        <v>66</v>
      </c>
      <c r="D2295" s="1">
        <v>0.2</v>
      </c>
      <c r="E2295" s="1">
        <v>17871.0</v>
      </c>
      <c r="F2295" s="10">
        <f t="shared" si="1"/>
        <v>0.6666666667</v>
      </c>
      <c r="G2295" s="10">
        <f t="array" ref="G2295">index('Player ID'!C:C,match(E2295,'Player ID'!B:B,0))</f>
        <v>664139</v>
      </c>
    </row>
    <row r="2296">
      <c r="A2296" s="76">
        <v>45763.0</v>
      </c>
      <c r="B2296" s="1" t="s">
        <v>108</v>
      </c>
      <c r="C2296" s="1" t="s">
        <v>37</v>
      </c>
      <c r="D2296" s="1">
        <v>1.0</v>
      </c>
      <c r="E2296" s="1">
        <v>17948.0</v>
      </c>
      <c r="F2296" s="10">
        <f t="shared" si="1"/>
        <v>1</v>
      </c>
      <c r="G2296" s="10">
        <f t="array" ref="G2296">index('Player ID'!C:C,match(E2296,'Player ID'!B:B,0))</f>
        <v>663423</v>
      </c>
    </row>
    <row r="2297">
      <c r="A2297" s="76">
        <v>45763.0</v>
      </c>
      <c r="B2297" s="1" t="s">
        <v>670</v>
      </c>
      <c r="C2297" s="1" t="s">
        <v>37</v>
      </c>
      <c r="D2297" s="1">
        <v>1.0</v>
      </c>
      <c r="E2297" s="1">
        <v>20373.0</v>
      </c>
      <c r="F2297" s="10">
        <f t="shared" si="1"/>
        <v>1</v>
      </c>
      <c r="G2297" s="10">
        <f t="array" ref="G2297">index('Player ID'!C:C,match(E2297,'Player ID'!B:B,0))</f>
        <v>662253</v>
      </c>
    </row>
    <row r="2298">
      <c r="A2298" s="76">
        <v>45763.0</v>
      </c>
      <c r="B2298" s="1" t="s">
        <v>101</v>
      </c>
      <c r="C2298" s="1" t="s">
        <v>37</v>
      </c>
      <c r="D2298" s="1">
        <v>1.0</v>
      </c>
      <c r="E2298" s="1">
        <v>22915.0</v>
      </c>
      <c r="F2298" s="10">
        <f t="shared" si="1"/>
        <v>1</v>
      </c>
      <c r="G2298" s="10">
        <f t="array" ref="G2298">index('Player ID'!C:C,match(E2298,'Player ID'!B:B,0))</f>
        <v>672841</v>
      </c>
    </row>
    <row r="2299">
      <c r="A2299" s="76">
        <v>45763.0</v>
      </c>
      <c r="B2299" s="1" t="s">
        <v>343</v>
      </c>
      <c r="C2299" s="1" t="s">
        <v>37</v>
      </c>
      <c r="D2299" s="1">
        <v>5.0</v>
      </c>
      <c r="E2299" s="1">
        <v>29837.0</v>
      </c>
      <c r="F2299" s="10">
        <f t="shared" si="1"/>
        <v>5</v>
      </c>
      <c r="G2299" s="10">
        <f t="array" ref="G2299">index('Player ID'!C:C,match(E2299,'Player ID'!B:B,0))</f>
        <v>682243</v>
      </c>
    </row>
    <row r="2300">
      <c r="A2300" s="76">
        <v>45763.0</v>
      </c>
      <c r="B2300" s="1" t="s">
        <v>804</v>
      </c>
      <c r="C2300" s="1" t="s">
        <v>37</v>
      </c>
      <c r="D2300" s="1">
        <v>0.0</v>
      </c>
      <c r="E2300" s="1">
        <v>31883.0</v>
      </c>
      <c r="F2300" s="10">
        <f t="shared" si="1"/>
        <v>0</v>
      </c>
      <c r="G2300" s="10">
        <f t="array" ref="G2300">index('Player ID'!C:C,match(E2300,'Player ID'!B:B,0))</f>
        <v>700187</v>
      </c>
    </row>
    <row r="2301">
      <c r="A2301" s="76">
        <v>45763.0</v>
      </c>
      <c r="B2301" s="1" t="s">
        <v>103</v>
      </c>
      <c r="C2301" s="1" t="s">
        <v>64</v>
      </c>
      <c r="D2301" s="1">
        <v>1.0</v>
      </c>
      <c r="E2301" s="1">
        <v>10197.0</v>
      </c>
      <c r="F2301" s="10">
        <f t="shared" si="1"/>
        <v>1</v>
      </c>
      <c r="G2301" s="10">
        <f t="array" ref="G2301">index('Player ID'!C:C,match(E2301,'Player ID'!B:B,0))</f>
        <v>571946</v>
      </c>
    </row>
    <row r="2302">
      <c r="A2302" s="76">
        <v>45763.0</v>
      </c>
      <c r="B2302" s="1" t="s">
        <v>489</v>
      </c>
      <c r="C2302" s="1" t="s">
        <v>64</v>
      </c>
      <c r="D2302" s="1">
        <v>0.1</v>
      </c>
      <c r="E2302" s="1">
        <v>17192.0</v>
      </c>
      <c r="F2302" s="10">
        <f t="shared" si="1"/>
        <v>0.3333333333</v>
      </c>
      <c r="G2302" s="10">
        <f t="array" ref="G2302">index('Player ID'!C:C,match(E2302,'Player ID'!B:B,0))</f>
        <v>656222</v>
      </c>
    </row>
    <row r="2303">
      <c r="A2303" s="76">
        <v>45763.0</v>
      </c>
      <c r="B2303" s="1" t="s">
        <v>735</v>
      </c>
      <c r="C2303" s="1" t="s">
        <v>64</v>
      </c>
      <c r="D2303" s="1">
        <v>1.0</v>
      </c>
      <c r="E2303" s="1">
        <v>19343.0</v>
      </c>
      <c r="F2303" s="10">
        <f t="shared" si="1"/>
        <v>1</v>
      </c>
      <c r="G2303" s="10">
        <f t="array" ref="G2303">index('Player ID'!C:C,match(E2303,'Player ID'!B:B,0))</f>
        <v>640462</v>
      </c>
    </row>
    <row r="2304">
      <c r="A2304" s="76">
        <v>45763.0</v>
      </c>
      <c r="B2304" s="1" t="s">
        <v>61</v>
      </c>
      <c r="C2304" s="1" t="s">
        <v>36</v>
      </c>
      <c r="D2304" s="1">
        <v>1.2</v>
      </c>
      <c r="E2304" s="1">
        <v>20629.0</v>
      </c>
      <c r="F2304" s="10">
        <f t="shared" si="1"/>
        <v>1.666666667</v>
      </c>
      <c r="G2304" s="10">
        <f t="array" ref="G2304">index('Player ID'!C:C,match(E2304,'Player ID'!B:B,0))</f>
        <v>663969</v>
      </c>
    </row>
    <row r="2305">
      <c r="A2305" s="76">
        <v>45763.0</v>
      </c>
      <c r="B2305" s="1" t="s">
        <v>714</v>
      </c>
      <c r="C2305" s="1" t="s">
        <v>64</v>
      </c>
      <c r="D2305" s="1">
        <v>1.0</v>
      </c>
      <c r="E2305" s="1">
        <v>24453.0</v>
      </c>
      <c r="F2305" s="10">
        <f t="shared" si="1"/>
        <v>1</v>
      </c>
      <c r="G2305" s="10">
        <f t="array" ref="G2305">index('Player ID'!C:C,match(E2305,'Player ID'!B:B,0))</f>
        <v>679885</v>
      </c>
    </row>
    <row r="2306">
      <c r="A2306" s="76">
        <v>45763.0</v>
      </c>
      <c r="B2306" s="1" t="s">
        <v>676</v>
      </c>
      <c r="C2306" s="1" t="s">
        <v>36</v>
      </c>
      <c r="D2306" s="1">
        <v>1.1</v>
      </c>
      <c r="E2306" s="1">
        <v>27453.0</v>
      </c>
      <c r="F2306" s="10">
        <f t="shared" si="1"/>
        <v>1.333333333</v>
      </c>
      <c r="G2306" s="10">
        <f t="array" ref="G2306">index('Player ID'!C:C,match(E2306,'Player ID'!B:B,0))</f>
        <v>685107</v>
      </c>
    </row>
    <row r="2307">
      <c r="A2307" s="76">
        <v>45763.0</v>
      </c>
      <c r="B2307" s="1" t="s">
        <v>121</v>
      </c>
      <c r="C2307" s="1" t="s">
        <v>36</v>
      </c>
      <c r="D2307" s="1">
        <v>6.0</v>
      </c>
      <c r="E2307" s="1">
        <v>27474.0</v>
      </c>
      <c r="F2307" s="10">
        <f t="shared" si="1"/>
        <v>6</v>
      </c>
      <c r="G2307" s="10">
        <f t="array" ref="G2307">index('Player ID'!C:C,match(E2307,'Player ID'!B:B,0))</f>
        <v>676974</v>
      </c>
    </row>
    <row r="2308">
      <c r="A2308" s="76">
        <v>45763.0</v>
      </c>
      <c r="B2308" s="1" t="s">
        <v>263</v>
      </c>
      <c r="C2308" s="1" t="s">
        <v>64</v>
      </c>
      <c r="D2308" s="1">
        <v>5.2</v>
      </c>
      <c r="E2308" s="1">
        <v>27782.0</v>
      </c>
      <c r="F2308" s="10">
        <f t="shared" si="1"/>
        <v>5.666666667</v>
      </c>
      <c r="G2308" s="10">
        <f t="array" ref="G2308">index('Player ID'!C:C,match(E2308,'Player ID'!B:B,0))</f>
        <v>694297</v>
      </c>
    </row>
    <row r="2309">
      <c r="A2309" s="76">
        <v>45763.0</v>
      </c>
      <c r="B2309" s="1" t="s">
        <v>303</v>
      </c>
      <c r="C2309" s="1" t="s">
        <v>31</v>
      </c>
      <c r="D2309" s="1">
        <v>4.0</v>
      </c>
      <c r="E2309" s="1">
        <v>11486.0</v>
      </c>
      <c r="F2309" s="10">
        <f t="shared" si="1"/>
        <v>4</v>
      </c>
      <c r="G2309" s="10">
        <f t="array" ref="G2309">index('Player ID'!C:C,match(E2309,'Player ID'!B:B,0))</f>
        <v>592662</v>
      </c>
    </row>
    <row r="2310">
      <c r="A2310" s="76">
        <v>45763.0</v>
      </c>
      <c r="B2310" s="1" t="s">
        <v>360</v>
      </c>
      <c r="C2310" s="1" t="s">
        <v>45</v>
      </c>
      <c r="D2310" s="1">
        <v>1.0</v>
      </c>
      <c r="E2310" s="1">
        <v>12972.0</v>
      </c>
      <c r="F2310" s="10">
        <f t="shared" si="1"/>
        <v>1</v>
      </c>
      <c r="G2310" s="10">
        <f t="array" ref="G2310">index('Player ID'!C:C,match(E2310,'Player ID'!B:B,0))</f>
        <v>605452</v>
      </c>
    </row>
    <row r="2311">
      <c r="A2311" s="76">
        <v>45763.0</v>
      </c>
      <c r="B2311" s="1" t="s">
        <v>699</v>
      </c>
      <c r="C2311" s="1" t="s">
        <v>45</v>
      </c>
      <c r="D2311" s="1">
        <v>0.2</v>
      </c>
      <c r="E2311" s="1">
        <v>14552.0</v>
      </c>
      <c r="F2311" s="10">
        <f t="shared" si="1"/>
        <v>0.6666666667</v>
      </c>
      <c r="G2311" s="10">
        <f t="array" ref="G2311">index('Player ID'!C:C,match(E2311,'Player ID'!B:B,0))</f>
        <v>614179</v>
      </c>
    </row>
    <row r="2312">
      <c r="A2312" s="76">
        <v>45763.0</v>
      </c>
      <c r="B2312" s="1" t="s">
        <v>503</v>
      </c>
      <c r="C2312" s="1" t="s">
        <v>31</v>
      </c>
      <c r="D2312" s="1">
        <v>2.0</v>
      </c>
      <c r="E2312" s="1">
        <v>15043.0</v>
      </c>
      <c r="F2312" s="10">
        <f t="shared" si="1"/>
        <v>2</v>
      </c>
      <c r="G2312" s="10">
        <f t="array" ref="G2312">index('Player ID'!C:C,match(E2312,'Player ID'!B:B,0))</f>
        <v>642152</v>
      </c>
    </row>
    <row r="2313">
      <c r="A2313" s="76">
        <v>45763.0</v>
      </c>
      <c r="B2313" s="1" t="s">
        <v>98</v>
      </c>
      <c r="C2313" s="1" t="s">
        <v>45</v>
      </c>
      <c r="D2313" s="1">
        <v>5.1</v>
      </c>
      <c r="E2313" s="1">
        <v>16149.0</v>
      </c>
      <c r="F2313" s="10">
        <f t="shared" si="1"/>
        <v>5.333333333</v>
      </c>
      <c r="G2313" s="10">
        <f t="array" ref="G2313">index('Player ID'!C:C,match(E2313,'Player ID'!B:B,0))</f>
        <v>605400</v>
      </c>
    </row>
    <row r="2314">
      <c r="A2314" s="76">
        <v>45763.0</v>
      </c>
      <c r="B2314" s="1" t="s">
        <v>304</v>
      </c>
      <c r="C2314" s="1" t="s">
        <v>31</v>
      </c>
      <c r="D2314" s="1">
        <v>1.0</v>
      </c>
      <c r="E2314" s="1">
        <v>21992.0</v>
      </c>
      <c r="F2314" s="10">
        <f t="shared" si="1"/>
        <v>1</v>
      </c>
      <c r="G2314" s="10">
        <f t="array" ref="G2314">index('Player ID'!C:C,match(E2314,'Player ID'!B:B,0))</f>
        <v>666808</v>
      </c>
    </row>
    <row r="2315">
      <c r="A2315" s="76">
        <v>45763.0</v>
      </c>
      <c r="B2315" s="1" t="s">
        <v>701</v>
      </c>
      <c r="C2315" s="1" t="s">
        <v>45</v>
      </c>
      <c r="D2315" s="1">
        <v>2.0</v>
      </c>
      <c r="E2315" s="1">
        <v>22713.0</v>
      </c>
      <c r="F2315" s="10">
        <f t="shared" si="1"/>
        <v>2</v>
      </c>
      <c r="G2315" s="10">
        <f t="array" ref="G2315">index('Player ID'!C:C,match(E2315,'Player ID'!B:B,0))</f>
        <v>672578</v>
      </c>
    </row>
    <row r="2316">
      <c r="A2316" s="76">
        <v>45763.0</v>
      </c>
      <c r="B2316" s="1" t="s">
        <v>276</v>
      </c>
      <c r="C2316" s="1" t="s">
        <v>31</v>
      </c>
      <c r="D2316" s="1">
        <v>2.0</v>
      </c>
      <c r="E2316" s="1">
        <v>30226.0</v>
      </c>
      <c r="F2316" s="10">
        <f t="shared" si="1"/>
        <v>2</v>
      </c>
      <c r="G2316" s="10">
        <f t="array" ref="G2316">index('Player ID'!C:C,match(E2316,'Player ID'!B:B,0))</f>
        <v>702352</v>
      </c>
    </row>
    <row r="2317">
      <c r="A2317" s="76">
        <v>45763.0</v>
      </c>
      <c r="B2317" s="1" t="s">
        <v>177</v>
      </c>
      <c r="C2317" s="1" t="s">
        <v>54</v>
      </c>
      <c r="D2317" s="1">
        <v>6.0</v>
      </c>
      <c r="E2317" s="1">
        <v>15823.0</v>
      </c>
      <c r="F2317" s="10">
        <f t="shared" si="1"/>
        <v>6</v>
      </c>
      <c r="G2317" s="10">
        <f t="array" ref="G2317">index('Player ID'!C:C,match(E2317,'Player ID'!B:B,0))</f>
        <v>641793</v>
      </c>
    </row>
    <row r="2318">
      <c r="A2318" s="76">
        <v>45763.0</v>
      </c>
      <c r="B2318" s="1" t="s">
        <v>415</v>
      </c>
      <c r="C2318" s="1" t="s">
        <v>22</v>
      </c>
      <c r="D2318" s="1">
        <v>4.2</v>
      </c>
      <c r="E2318" s="1">
        <v>16943.0</v>
      </c>
      <c r="F2318" s="10">
        <f t="shared" si="1"/>
        <v>4.666666667</v>
      </c>
      <c r="G2318" s="10">
        <f t="array" ref="G2318">index('Player ID'!C:C,match(E2318,'Player ID'!B:B,0))</f>
        <v>656794</v>
      </c>
    </row>
    <row r="2319">
      <c r="A2319" s="76">
        <v>45763.0</v>
      </c>
      <c r="B2319" s="1" t="s">
        <v>185</v>
      </c>
      <c r="C2319" s="1" t="s">
        <v>54</v>
      </c>
      <c r="D2319" s="1">
        <v>1.0</v>
      </c>
      <c r="E2319" s="1">
        <v>17897.0</v>
      </c>
      <c r="F2319" s="10">
        <f t="shared" si="1"/>
        <v>1</v>
      </c>
      <c r="G2319" s="10">
        <f t="array" ref="G2319">index('Player ID'!C:C,match(E2319,'Player ID'!B:B,0))</f>
        <v>664076</v>
      </c>
    </row>
    <row r="2320">
      <c r="A2320" s="76">
        <v>45763.0</v>
      </c>
      <c r="B2320" s="1" t="s">
        <v>250</v>
      </c>
      <c r="C2320" s="1" t="s">
        <v>22</v>
      </c>
      <c r="D2320" s="1">
        <v>2.0</v>
      </c>
      <c r="E2320" s="1">
        <v>20191.0</v>
      </c>
      <c r="F2320" s="10">
        <f t="shared" si="1"/>
        <v>2</v>
      </c>
      <c r="G2320" s="10">
        <f t="array" ref="G2320">index('Player ID'!C:C,match(E2320,'Player ID'!B:B,0))</f>
        <v>676477</v>
      </c>
    </row>
    <row r="2321">
      <c r="A2321" s="76">
        <v>45763.0</v>
      </c>
      <c r="B2321" s="1" t="s">
        <v>406</v>
      </c>
      <c r="C2321" s="1" t="s">
        <v>22</v>
      </c>
      <c r="D2321" s="1">
        <v>1.1</v>
      </c>
      <c r="E2321" s="1">
        <v>20375.0</v>
      </c>
      <c r="F2321" s="10">
        <f t="shared" si="1"/>
        <v>1.333333333</v>
      </c>
      <c r="G2321" s="10">
        <f t="array" ref="G2321">index('Player ID'!C:C,match(E2321,'Player ID'!B:B,0))</f>
        <v>669711</v>
      </c>
    </row>
    <row r="2322">
      <c r="A2322" s="76">
        <v>45763.0</v>
      </c>
      <c r="B2322" s="1" t="s">
        <v>204</v>
      </c>
      <c r="C2322" s="1" t="s">
        <v>54</v>
      </c>
      <c r="D2322" s="1">
        <v>1.0</v>
      </c>
      <c r="E2322" s="1">
        <v>22288.0</v>
      </c>
      <c r="F2322" s="10">
        <f t="shared" si="1"/>
        <v>1</v>
      </c>
      <c r="G2322" s="10">
        <f t="array" ref="G2322">index('Player ID'!C:C,match(E2322,'Player ID'!B:B,0))</f>
        <v>669438</v>
      </c>
    </row>
    <row r="2323">
      <c r="A2323" s="76">
        <v>45763.0</v>
      </c>
      <c r="B2323" s="1" t="s">
        <v>645</v>
      </c>
      <c r="C2323" s="1" t="s">
        <v>22</v>
      </c>
      <c r="D2323" s="1">
        <v>1.0</v>
      </c>
      <c r="E2323" s="1">
        <v>25648.0</v>
      </c>
      <c r="F2323" s="10">
        <f t="shared" si="1"/>
        <v>1</v>
      </c>
      <c r="G2323" s="10">
        <f t="array" ref="G2323">index('Player ID'!C:C,match(E2323,'Player ID'!B:B,0))</f>
        <v>686580</v>
      </c>
    </row>
    <row r="2324">
      <c r="A2324" s="76">
        <v>45763.0</v>
      </c>
      <c r="B2324" s="1" t="s">
        <v>257</v>
      </c>
      <c r="C2324" s="1" t="s">
        <v>54</v>
      </c>
      <c r="D2324" s="1">
        <v>1.0</v>
      </c>
      <c r="E2324" s="1">
        <v>27626.0</v>
      </c>
      <c r="F2324" s="10">
        <f t="shared" si="1"/>
        <v>1</v>
      </c>
      <c r="G2324" s="10">
        <f t="array" ref="G2324">index('Player ID'!C:C,match(E2324,'Player ID'!B:B,0))</f>
        <v>679358</v>
      </c>
    </row>
    <row r="2325">
      <c r="A2325" s="76">
        <v>45763.0</v>
      </c>
      <c r="B2325" s="1" t="s">
        <v>422</v>
      </c>
      <c r="C2325" s="1" t="s">
        <v>58</v>
      </c>
      <c r="D2325" s="1">
        <v>2.0</v>
      </c>
      <c r="E2325" s="1">
        <v>7048.0</v>
      </c>
      <c r="F2325" s="10">
        <f t="shared" si="1"/>
        <v>2</v>
      </c>
      <c r="G2325" s="10">
        <f t="array" ref="G2325">index('Player ID'!C:C,match(E2325,'Player ID'!B:B,0))</f>
        <v>518585</v>
      </c>
    </row>
    <row r="2326">
      <c r="A2326" s="76">
        <v>45763.0</v>
      </c>
      <c r="B2326" s="1" t="s">
        <v>467</v>
      </c>
      <c r="C2326" s="1" t="s">
        <v>58</v>
      </c>
      <c r="D2326" s="1">
        <v>1.1</v>
      </c>
      <c r="E2326" s="1">
        <v>15551.0</v>
      </c>
      <c r="F2326" s="10">
        <f t="shared" si="1"/>
        <v>1.333333333</v>
      </c>
      <c r="G2326" s="10">
        <f t="array" ref="G2326">index('Player ID'!C:C,match(E2326,'Player ID'!B:B,0))</f>
        <v>643410</v>
      </c>
    </row>
    <row r="2327">
      <c r="A2327" s="76">
        <v>45763.0</v>
      </c>
      <c r="B2327" s="1" t="s">
        <v>408</v>
      </c>
      <c r="C2327" s="1" t="s">
        <v>58</v>
      </c>
      <c r="D2327" s="1">
        <v>5.2</v>
      </c>
      <c r="E2327" s="1">
        <v>19899.0</v>
      </c>
      <c r="F2327" s="10">
        <f t="shared" si="1"/>
        <v>5.666666667</v>
      </c>
      <c r="G2327" s="10">
        <f t="array" ref="G2327">index('Player ID'!C:C,match(E2327,'Player ID'!B:B,0))</f>
        <v>657376</v>
      </c>
    </row>
    <row r="2328">
      <c r="A2328" s="76">
        <v>45763.0</v>
      </c>
      <c r="B2328" s="1" t="s">
        <v>144</v>
      </c>
      <c r="C2328" s="1" t="s">
        <v>29</v>
      </c>
      <c r="D2328" s="1">
        <v>0.2</v>
      </c>
      <c r="E2328" s="1">
        <v>20020.0</v>
      </c>
      <c r="F2328" s="10">
        <f t="shared" si="1"/>
        <v>0.6666666667</v>
      </c>
      <c r="G2328" s="10">
        <f t="array" ref="G2328">index('Player ID'!C:C,match(E2328,'Player ID'!B:B,0))</f>
        <v>670167</v>
      </c>
    </row>
    <row r="2329">
      <c r="A2329" s="76">
        <v>45763.0</v>
      </c>
      <c r="B2329" s="1" t="s">
        <v>163</v>
      </c>
      <c r="C2329" s="1" t="s">
        <v>29</v>
      </c>
      <c r="D2329" s="1">
        <v>5.1</v>
      </c>
      <c r="E2329" s="1">
        <v>21455.0</v>
      </c>
      <c r="F2329" s="10">
        <f t="shared" si="1"/>
        <v>5.333333333</v>
      </c>
      <c r="G2329" s="10">
        <f t="array" ref="G2329">index('Player ID'!C:C,match(E2329,'Player ID'!B:B,0))</f>
        <v>663460</v>
      </c>
    </row>
    <row r="2330">
      <c r="A2330" s="76">
        <v>45763.0</v>
      </c>
      <c r="B2330" s="1" t="s">
        <v>293</v>
      </c>
      <c r="C2330" s="1" t="s">
        <v>29</v>
      </c>
      <c r="D2330" s="1">
        <v>1.0</v>
      </c>
      <c r="E2330" s="1">
        <v>21537.0</v>
      </c>
      <c r="F2330" s="10">
        <f t="shared" si="1"/>
        <v>1</v>
      </c>
      <c r="G2330" s="10">
        <f t="array" ref="G2330">index('Player ID'!C:C,match(E2330,'Player ID'!B:B,0))</f>
        <v>663738</v>
      </c>
    </row>
    <row r="2331">
      <c r="A2331" s="76">
        <v>45763.0</v>
      </c>
      <c r="B2331" s="1" t="s">
        <v>140</v>
      </c>
      <c r="C2331" s="1" t="s">
        <v>29</v>
      </c>
      <c r="D2331" s="1">
        <v>1.0</v>
      </c>
      <c r="E2331" s="1">
        <v>22717.0</v>
      </c>
      <c r="F2331" s="10">
        <f t="shared" si="1"/>
        <v>1</v>
      </c>
      <c r="G2331" s="10">
        <f t="array" ref="G2331">index('Player ID'!C:C,match(E2331,'Player ID'!B:B,0))</f>
        <v>672582</v>
      </c>
    </row>
    <row r="2332">
      <c r="A2332" s="76">
        <v>45763.0</v>
      </c>
      <c r="B2332" s="1" t="s">
        <v>668</v>
      </c>
      <c r="C2332" s="1" t="s">
        <v>52</v>
      </c>
      <c r="D2332" s="1">
        <v>0.1</v>
      </c>
      <c r="E2332" s="1">
        <v>3237.0</v>
      </c>
      <c r="F2332" s="10">
        <f t="shared" si="1"/>
        <v>0.3333333333</v>
      </c>
      <c r="G2332" s="10">
        <f t="array" ref="G2332">index('Player ID'!C:C,match(E2332,'Player ID'!B:B,0))</f>
        <v>519008</v>
      </c>
    </row>
    <row r="2333">
      <c r="A2333" s="76">
        <v>45763.0</v>
      </c>
      <c r="B2333" s="1" t="s">
        <v>669</v>
      </c>
      <c r="C2333" s="1" t="s">
        <v>52</v>
      </c>
      <c r="D2333" s="1">
        <v>0.2</v>
      </c>
      <c r="E2333" s="1">
        <v>14524.0</v>
      </c>
      <c r="F2333" s="10">
        <f t="shared" si="1"/>
        <v>0.6666666667</v>
      </c>
      <c r="G2333" s="10">
        <f t="array" ref="G2333">index('Player ID'!C:C,match(E2333,'Player ID'!B:B,0))</f>
        <v>600917</v>
      </c>
    </row>
    <row r="2334">
      <c r="A2334" s="76">
        <v>45763.0</v>
      </c>
      <c r="B2334" s="1" t="s">
        <v>478</v>
      </c>
      <c r="C2334" s="1" t="s">
        <v>78</v>
      </c>
      <c r="D2334" s="1">
        <v>1.0</v>
      </c>
      <c r="E2334" s="1">
        <v>17964.0</v>
      </c>
      <c r="F2334" s="10">
        <f t="shared" si="1"/>
        <v>1</v>
      </c>
      <c r="G2334" s="10">
        <f t="array" ref="G2334">index('Player ID'!C:C,match(E2334,'Player ID'!B:B,0))</f>
        <v>656457</v>
      </c>
    </row>
    <row r="2335">
      <c r="A2335" s="76">
        <v>45763.0</v>
      </c>
      <c r="B2335" s="1" t="s">
        <v>505</v>
      </c>
      <c r="C2335" s="1" t="s">
        <v>52</v>
      </c>
      <c r="D2335" s="1">
        <v>1.1</v>
      </c>
      <c r="E2335" s="1">
        <v>19481.0</v>
      </c>
      <c r="F2335" s="10">
        <f t="shared" si="1"/>
        <v>1.333333333</v>
      </c>
      <c r="G2335" s="10">
        <f t="array" ref="G2335">index('Player ID'!C:C,match(E2335,'Player ID'!B:B,0))</f>
        <v>621053</v>
      </c>
    </row>
    <row r="2336">
      <c r="A2336" s="76">
        <v>45763.0</v>
      </c>
      <c r="B2336" s="1" t="s">
        <v>454</v>
      </c>
      <c r="C2336" s="1" t="s">
        <v>52</v>
      </c>
      <c r="D2336" s="1">
        <v>5.2</v>
      </c>
      <c r="E2336" s="1">
        <v>23150.0</v>
      </c>
      <c r="F2336" s="10">
        <f t="shared" si="1"/>
        <v>5.666666667</v>
      </c>
      <c r="G2336" s="10">
        <f t="array" ref="G2336">index('Player ID'!C:C,match(E2336,'Player ID'!B:B,0))</f>
        <v>674370</v>
      </c>
    </row>
    <row r="2337">
      <c r="A2337" s="76">
        <v>45763.0</v>
      </c>
      <c r="B2337" s="1" t="s">
        <v>317</v>
      </c>
      <c r="C2337" s="1" t="s">
        <v>78</v>
      </c>
      <c r="D2337" s="1">
        <v>0.2</v>
      </c>
      <c r="E2337" s="1">
        <v>29950.0</v>
      </c>
      <c r="F2337" s="10">
        <f t="shared" si="1"/>
        <v>0.6666666667</v>
      </c>
      <c r="G2337" s="10">
        <f t="array" ref="G2337">index('Player ID'!C:C,match(E2337,'Player ID'!B:B,0))</f>
        <v>673929</v>
      </c>
    </row>
    <row r="2338">
      <c r="A2338" s="76">
        <v>45763.0</v>
      </c>
      <c r="B2338" s="1" t="s">
        <v>497</v>
      </c>
      <c r="C2338" s="1" t="s">
        <v>78</v>
      </c>
      <c r="D2338" s="1">
        <v>3.0</v>
      </c>
      <c r="E2338" s="1">
        <v>30105.0</v>
      </c>
      <c r="F2338" s="10">
        <f t="shared" si="1"/>
        <v>3</v>
      </c>
      <c r="G2338" s="10">
        <f t="array" ref="G2338">index('Player ID'!C:C,match(E2338,'Player ID'!B:B,0))</f>
        <v>678024</v>
      </c>
    </row>
    <row r="2339">
      <c r="A2339" s="76">
        <v>45763.0</v>
      </c>
      <c r="B2339" s="1" t="s">
        <v>361</v>
      </c>
      <c r="C2339" s="1" t="s">
        <v>78</v>
      </c>
      <c r="D2339" s="1">
        <v>4.1</v>
      </c>
      <c r="E2339" s="1">
        <v>31730.0</v>
      </c>
      <c r="F2339" s="10">
        <f t="shared" si="1"/>
        <v>4.333333333</v>
      </c>
      <c r="G2339" s="10">
        <f t="array" ref="G2339">index('Player ID'!C:C,match(E2339,'Player ID'!B:B,0))</f>
        <v>686563</v>
      </c>
    </row>
    <row r="2340">
      <c r="A2340" s="76">
        <v>45763.0</v>
      </c>
      <c r="B2340" s="1" t="s">
        <v>286</v>
      </c>
      <c r="C2340" s="1" t="s">
        <v>52</v>
      </c>
      <c r="D2340" s="1">
        <v>1.0</v>
      </c>
      <c r="E2340" s="1">
        <v>31757.0</v>
      </c>
      <c r="F2340" s="10">
        <f t="shared" si="1"/>
        <v>1</v>
      </c>
      <c r="G2340" s="10">
        <f t="array" ref="G2340">index('Player ID'!C:C,match(E2340,'Player ID'!B:B,0))</f>
        <v>695243</v>
      </c>
    </row>
    <row r="2341">
      <c r="A2341" s="76">
        <v>45763.0</v>
      </c>
      <c r="B2341" s="1" t="s">
        <v>245</v>
      </c>
      <c r="C2341" s="1" t="s">
        <v>56</v>
      </c>
      <c r="D2341" s="1">
        <v>5.1</v>
      </c>
      <c r="E2341" s="1">
        <v>9323.0</v>
      </c>
      <c r="F2341" s="10">
        <f t="shared" si="1"/>
        <v>5.333333333</v>
      </c>
      <c r="G2341" s="10">
        <f t="array" ref="G2341">index('Player ID'!C:C,match(E2341,'Player ID'!B:B,0))</f>
        <v>571578</v>
      </c>
    </row>
    <row r="2342">
      <c r="A2342" s="76">
        <v>45763.0</v>
      </c>
      <c r="B2342" s="1" t="s">
        <v>162</v>
      </c>
      <c r="C2342" s="1" t="s">
        <v>56</v>
      </c>
      <c r="D2342" s="1">
        <v>1.0</v>
      </c>
      <c r="E2342" s="1">
        <v>11752.0</v>
      </c>
      <c r="F2342" s="10">
        <f t="shared" si="1"/>
        <v>1</v>
      </c>
      <c r="G2342" s="10">
        <f t="array" ref="G2342">index('Player ID'!C:C,match(E2342,'Player ID'!B:B,0))</f>
        <v>592426</v>
      </c>
    </row>
    <row r="2343">
      <c r="A2343" s="76">
        <v>45763.0</v>
      </c>
      <c r="B2343" s="1" t="s">
        <v>440</v>
      </c>
      <c r="C2343" s="1" t="s">
        <v>56</v>
      </c>
      <c r="D2343" s="1">
        <v>1.1</v>
      </c>
      <c r="E2343" s="1">
        <v>12857.0</v>
      </c>
      <c r="F2343" s="10">
        <f t="shared" si="1"/>
        <v>1.333333333</v>
      </c>
      <c r="G2343" s="10">
        <f t="array" ref="G2343">index('Player ID'!C:C,match(E2343,'Player ID'!B:B,0))</f>
        <v>542888</v>
      </c>
    </row>
    <row r="2344">
      <c r="A2344" s="76">
        <v>45763.0</v>
      </c>
      <c r="B2344" s="1" t="s">
        <v>291</v>
      </c>
      <c r="C2344" s="1" t="s">
        <v>25</v>
      </c>
      <c r="D2344" s="1">
        <v>1.1</v>
      </c>
      <c r="E2344" s="1">
        <v>17968.0</v>
      </c>
      <c r="F2344" s="10">
        <f t="shared" si="1"/>
        <v>1.333333333</v>
      </c>
      <c r="G2344" s="10">
        <f t="array" ref="G2344">index('Player ID'!C:C,match(E2344,'Player ID'!B:B,0))</f>
        <v>656271</v>
      </c>
    </row>
    <row r="2345">
      <c r="A2345" s="76">
        <v>45763.0</v>
      </c>
      <c r="B2345" s="1" t="s">
        <v>87</v>
      </c>
      <c r="C2345" s="1" t="s">
        <v>56</v>
      </c>
      <c r="D2345" s="1">
        <v>1.1</v>
      </c>
      <c r="E2345" s="1">
        <v>19274.0</v>
      </c>
      <c r="F2345" s="10">
        <f t="shared" si="1"/>
        <v>1.333333333</v>
      </c>
      <c r="G2345" s="10">
        <f t="array" ref="G2345">index('Player ID'!C:C,match(E2345,'Player ID'!B:B,0))</f>
        <v>657097</v>
      </c>
    </row>
    <row r="2346">
      <c r="A2346" s="76">
        <v>45763.0</v>
      </c>
      <c r="B2346" s="1" t="s">
        <v>695</v>
      </c>
      <c r="C2346" s="1" t="s">
        <v>25</v>
      </c>
      <c r="D2346" s="1">
        <v>5.2</v>
      </c>
      <c r="E2346" s="1">
        <v>22100.0</v>
      </c>
      <c r="F2346" s="10">
        <f t="shared" si="1"/>
        <v>5.666666667</v>
      </c>
      <c r="G2346" s="10">
        <f t="array" ref="G2346">index('Player ID'!C:C,match(E2346,'Player ID'!B:B,0))</f>
        <v>667755</v>
      </c>
    </row>
    <row r="2347">
      <c r="A2347" s="76">
        <v>45763.0</v>
      </c>
      <c r="B2347" s="1" t="s">
        <v>792</v>
      </c>
      <c r="C2347" s="1" t="s">
        <v>25</v>
      </c>
      <c r="D2347" s="1">
        <v>1.0</v>
      </c>
      <c r="E2347" s="1">
        <v>31501.0</v>
      </c>
      <c r="F2347" s="10">
        <f t="shared" si="1"/>
        <v>1</v>
      </c>
      <c r="G2347" s="10">
        <f t="array" ref="G2347">index('Player ID'!C:C,match(E2347,'Player ID'!B:B,0))</f>
        <v>690382</v>
      </c>
    </row>
    <row r="2348">
      <c r="A2348" s="76">
        <v>45763.0</v>
      </c>
      <c r="B2348" s="1" t="s">
        <v>704</v>
      </c>
      <c r="C2348" s="1" t="s">
        <v>75</v>
      </c>
      <c r="D2348" s="1">
        <v>1.1</v>
      </c>
      <c r="E2348" s="1">
        <v>10591.0</v>
      </c>
      <c r="F2348" s="10">
        <f t="shared" si="1"/>
        <v>1.333333333</v>
      </c>
      <c r="G2348" s="10">
        <f t="array" ref="G2348">index('Player ID'!C:C,match(E2348,'Player ID'!B:B,0))</f>
        <v>518397</v>
      </c>
    </row>
    <row r="2349">
      <c r="A2349" s="76">
        <v>45763.0</v>
      </c>
      <c r="B2349" s="1" t="s">
        <v>310</v>
      </c>
      <c r="C2349" s="1" t="s">
        <v>33</v>
      </c>
      <c r="D2349" s="1">
        <v>1.0</v>
      </c>
      <c r="E2349" s="1">
        <v>14706.0</v>
      </c>
      <c r="F2349" s="10">
        <f t="shared" si="1"/>
        <v>1</v>
      </c>
      <c r="G2349" s="10">
        <f t="array" ref="G2349">index('Player ID'!C:C,match(E2349,'Player ID'!B:B,0))</f>
        <v>607455</v>
      </c>
    </row>
    <row r="2350">
      <c r="A2350" s="76">
        <v>45763.0</v>
      </c>
      <c r="B2350" s="1" t="s">
        <v>746</v>
      </c>
      <c r="C2350" s="1" t="s">
        <v>75</v>
      </c>
      <c r="D2350" s="1">
        <v>0.2</v>
      </c>
      <c r="E2350" s="1">
        <v>15038.0</v>
      </c>
      <c r="F2350" s="10">
        <f t="shared" si="1"/>
        <v>0.6666666667</v>
      </c>
      <c r="G2350" s="10">
        <f t="array" ref="G2350">index('Player ID'!C:C,match(E2350,'Player ID'!B:B,0))</f>
        <v>608566</v>
      </c>
    </row>
    <row r="2351">
      <c r="A2351" s="76">
        <v>45763.0</v>
      </c>
      <c r="B2351" s="1" t="s">
        <v>32</v>
      </c>
      <c r="C2351" s="1" t="s">
        <v>33</v>
      </c>
      <c r="D2351" s="1">
        <v>1.0</v>
      </c>
      <c r="E2351" s="1">
        <v>17586.0</v>
      </c>
      <c r="F2351" s="10">
        <f t="shared" si="1"/>
        <v>1</v>
      </c>
      <c r="G2351" s="10">
        <f t="array" ref="G2351">index('Player ID'!C:C,match(E2351,'Player ID'!B:B,0))</f>
        <v>656945</v>
      </c>
    </row>
    <row r="2352">
      <c r="A2352" s="76">
        <v>45763.0</v>
      </c>
      <c r="B2352" s="1" t="s">
        <v>288</v>
      </c>
      <c r="C2352" s="1" t="s">
        <v>75</v>
      </c>
      <c r="D2352" s="1">
        <v>1.1</v>
      </c>
      <c r="E2352" s="1">
        <v>18297.0</v>
      </c>
      <c r="F2352" s="10">
        <f t="shared" si="1"/>
        <v>1.333333333</v>
      </c>
      <c r="G2352" s="10">
        <f t="array" ref="G2352">index('Player ID'!C:C,match(E2352,'Player ID'!B:B,0))</f>
        <v>641755</v>
      </c>
    </row>
    <row r="2353">
      <c r="A2353" s="76">
        <v>45763.0</v>
      </c>
      <c r="B2353" s="1" t="s">
        <v>548</v>
      </c>
      <c r="C2353" s="1" t="s">
        <v>75</v>
      </c>
      <c r="D2353" s="1">
        <v>1.1</v>
      </c>
      <c r="E2353" s="1">
        <v>24203.0</v>
      </c>
      <c r="F2353" s="10">
        <f t="shared" si="1"/>
        <v>1.333333333</v>
      </c>
      <c r="G2353" s="10">
        <f t="array" ref="G2353">index('Player ID'!C:C,match(E2353,'Player ID'!B:B,0))</f>
        <v>678821</v>
      </c>
    </row>
    <row r="2354">
      <c r="A2354" s="76">
        <v>45763.0</v>
      </c>
      <c r="B2354" s="1" t="s">
        <v>365</v>
      </c>
      <c r="C2354" s="1" t="s">
        <v>75</v>
      </c>
      <c r="D2354" s="1">
        <v>1.0</v>
      </c>
      <c r="E2354" s="1">
        <v>24614.0</v>
      </c>
      <c r="F2354" s="10">
        <f t="shared" si="1"/>
        <v>1</v>
      </c>
      <c r="G2354" s="10">
        <f t="array" ref="G2354">index('Player ID'!C:C,match(E2354,'Player ID'!B:B,0))</f>
        <v>680767</v>
      </c>
    </row>
    <row r="2355">
      <c r="A2355" s="76">
        <v>45763.0</v>
      </c>
      <c r="B2355" s="1" t="s">
        <v>92</v>
      </c>
      <c r="C2355" s="1" t="s">
        <v>33</v>
      </c>
      <c r="D2355" s="1">
        <v>1.0</v>
      </c>
      <c r="E2355" s="1">
        <v>25007.0</v>
      </c>
      <c r="F2355" s="10">
        <f t="shared" si="1"/>
        <v>1</v>
      </c>
      <c r="G2355" s="10">
        <f t="array" ref="G2355">index('Player ID'!C:C,match(E2355,'Player ID'!B:B,0))</f>
        <v>681911</v>
      </c>
    </row>
    <row r="2356">
      <c r="A2356" s="76">
        <v>45763.0</v>
      </c>
      <c r="B2356" s="1" t="s">
        <v>486</v>
      </c>
      <c r="C2356" s="1" t="s">
        <v>75</v>
      </c>
      <c r="D2356" s="1">
        <v>2.1</v>
      </c>
      <c r="E2356" s="1">
        <v>26790.0</v>
      </c>
      <c r="F2356" s="10">
        <f t="shared" si="1"/>
        <v>2.333333333</v>
      </c>
      <c r="G2356" s="10">
        <f t="array" ref="G2356">index('Player ID'!C:C,match(E2356,'Player ID'!B:B,0))</f>
        <v>683409</v>
      </c>
    </row>
    <row r="2357">
      <c r="A2357" s="76">
        <v>45763.0</v>
      </c>
      <c r="B2357" s="1" t="s">
        <v>580</v>
      </c>
      <c r="C2357" s="1" t="s">
        <v>33</v>
      </c>
      <c r="D2357" s="1">
        <v>3.0</v>
      </c>
      <c r="E2357" s="1">
        <v>27483.0</v>
      </c>
      <c r="F2357" s="10">
        <f t="shared" si="1"/>
        <v>3</v>
      </c>
      <c r="G2357" s="10">
        <f t="array" ref="G2357">index('Player ID'!C:C,match(E2357,'Player ID'!B:B,0))</f>
        <v>676272</v>
      </c>
    </row>
    <row r="2358">
      <c r="A2358" s="76">
        <v>45763.0</v>
      </c>
      <c r="B2358" s="1" t="s">
        <v>104</v>
      </c>
      <c r="C2358" s="1" t="s">
        <v>33</v>
      </c>
      <c r="D2358" s="1">
        <v>3.0</v>
      </c>
      <c r="E2358" s="1">
        <v>30085.0</v>
      </c>
      <c r="F2358" s="10">
        <f t="shared" si="1"/>
        <v>3</v>
      </c>
      <c r="G2358" s="10">
        <f t="array" ref="G2358">index('Player ID'!C:C,match(E2358,'Player ID'!B:B,0))</f>
        <v>676508</v>
      </c>
    </row>
    <row r="2359">
      <c r="A2359" s="76">
        <v>45764.0</v>
      </c>
      <c r="B2359" s="1" t="s">
        <v>368</v>
      </c>
      <c r="C2359" s="1" t="s">
        <v>64</v>
      </c>
      <c r="D2359" s="1">
        <v>5.1</v>
      </c>
      <c r="E2359" s="1">
        <v>13164.0</v>
      </c>
      <c r="F2359" s="10">
        <f t="shared" si="1"/>
        <v>5.333333333</v>
      </c>
      <c r="G2359" s="10">
        <f t="array" ref="G2359">index('Player ID'!C:C,match(E2359,'Player ID'!B:B,0))</f>
        <v>593958</v>
      </c>
    </row>
    <row r="2360">
      <c r="A2360" s="76">
        <v>45764.0</v>
      </c>
      <c r="B2360" s="1" t="s">
        <v>219</v>
      </c>
      <c r="C2360" s="1" t="s">
        <v>64</v>
      </c>
      <c r="D2360" s="1">
        <v>1.1</v>
      </c>
      <c r="E2360" s="1">
        <v>16647.0</v>
      </c>
      <c r="F2360" s="10">
        <f t="shared" si="1"/>
        <v>1.333333333</v>
      </c>
      <c r="G2360" s="10">
        <f t="array" ref="G2360">index('Player ID'!C:C,match(E2360,'Player ID'!B:B,0))</f>
        <v>657044</v>
      </c>
    </row>
    <row r="2361">
      <c r="A2361" s="76">
        <v>45764.0</v>
      </c>
      <c r="B2361" s="1" t="s">
        <v>489</v>
      </c>
      <c r="C2361" s="1" t="s">
        <v>64</v>
      </c>
      <c r="D2361" s="1">
        <v>1.0</v>
      </c>
      <c r="E2361" s="1">
        <v>17192.0</v>
      </c>
      <c r="F2361" s="10">
        <f t="shared" si="1"/>
        <v>1</v>
      </c>
      <c r="G2361" s="10">
        <f t="array" ref="G2361">index('Player ID'!C:C,match(E2361,'Player ID'!B:B,0))</f>
        <v>656222</v>
      </c>
    </row>
    <row r="2362">
      <c r="A2362" s="76">
        <v>45764.0</v>
      </c>
      <c r="B2362" s="1" t="s">
        <v>241</v>
      </c>
      <c r="C2362" s="1" t="s">
        <v>36</v>
      </c>
      <c r="D2362" s="1">
        <v>2.1</v>
      </c>
      <c r="E2362" s="1">
        <v>19222.0</v>
      </c>
      <c r="F2362" s="10">
        <f t="shared" si="1"/>
        <v>2.333333333</v>
      </c>
      <c r="G2362" s="10">
        <f t="array" ref="G2362">index('Player ID'!C:C,match(E2362,'Player ID'!B:B,0))</f>
        <v>669199</v>
      </c>
    </row>
    <row r="2363">
      <c r="A2363" s="76">
        <v>45764.0</v>
      </c>
      <c r="B2363" s="1" t="s">
        <v>735</v>
      </c>
      <c r="C2363" s="1" t="s">
        <v>64</v>
      </c>
      <c r="D2363" s="1">
        <v>1.0</v>
      </c>
      <c r="E2363" s="1">
        <v>19343.0</v>
      </c>
      <c r="F2363" s="10">
        <f t="shared" si="1"/>
        <v>1</v>
      </c>
      <c r="G2363" s="10">
        <f t="array" ref="G2363">index('Player ID'!C:C,match(E2363,'Player ID'!B:B,0))</f>
        <v>640462</v>
      </c>
    </row>
    <row r="2364">
      <c r="A2364" s="76">
        <v>45764.0</v>
      </c>
      <c r="B2364" s="1" t="s">
        <v>262</v>
      </c>
      <c r="C2364" s="1" t="s">
        <v>36</v>
      </c>
      <c r="D2364" s="1">
        <v>1.0</v>
      </c>
      <c r="E2364" s="1">
        <v>20116.0</v>
      </c>
      <c r="F2364" s="10">
        <f t="shared" si="1"/>
        <v>1</v>
      </c>
      <c r="G2364" s="10">
        <f t="array" ref="G2364">index('Player ID'!C:C,match(E2364,'Player ID'!B:B,0))</f>
        <v>676534</v>
      </c>
    </row>
    <row r="2365">
      <c r="A2365" s="76">
        <v>45764.0</v>
      </c>
      <c r="B2365" s="1" t="s">
        <v>171</v>
      </c>
      <c r="C2365" s="1" t="s">
        <v>36</v>
      </c>
      <c r="D2365" s="1">
        <v>4.0</v>
      </c>
      <c r="E2365" s="1">
        <v>21690.0</v>
      </c>
      <c r="F2365" s="10">
        <f t="shared" si="1"/>
        <v>4</v>
      </c>
      <c r="G2365" s="10">
        <f t="array" ref="G2365">index('Player ID'!C:C,match(E2365,'Player ID'!B:B,0))</f>
        <v>665795</v>
      </c>
    </row>
    <row r="2366">
      <c r="A2366" s="76">
        <v>45764.0</v>
      </c>
      <c r="B2366" s="1" t="s">
        <v>123</v>
      </c>
      <c r="C2366" s="1" t="s">
        <v>36</v>
      </c>
      <c r="D2366" s="1">
        <v>1.2</v>
      </c>
      <c r="E2366" s="1">
        <v>24094.0</v>
      </c>
      <c r="F2366" s="10">
        <f t="shared" si="1"/>
        <v>1.666666667</v>
      </c>
      <c r="G2366" s="10">
        <f t="array" ref="G2366">index('Player ID'!C:C,match(E2366,'Player ID'!B:B,0))</f>
        <v>678692</v>
      </c>
    </row>
    <row r="2367">
      <c r="A2367" s="76">
        <v>45764.0</v>
      </c>
      <c r="B2367" s="1" t="s">
        <v>714</v>
      </c>
      <c r="C2367" s="1" t="s">
        <v>64</v>
      </c>
      <c r="D2367" s="1">
        <v>0.1</v>
      </c>
      <c r="E2367" s="1">
        <v>24453.0</v>
      </c>
      <c r="F2367" s="10">
        <f t="shared" si="1"/>
        <v>0.3333333333</v>
      </c>
      <c r="G2367" s="10">
        <f t="array" ref="G2367">index('Player ID'!C:C,match(E2367,'Player ID'!B:B,0))</f>
        <v>679885</v>
      </c>
    </row>
    <row r="2368">
      <c r="A2368" s="76">
        <v>45764.0</v>
      </c>
      <c r="B2368" s="1" t="s">
        <v>642</v>
      </c>
      <c r="C2368" s="1" t="s">
        <v>80</v>
      </c>
      <c r="D2368" s="1">
        <v>1.0</v>
      </c>
      <c r="E2368" s="1">
        <v>13470.0</v>
      </c>
      <c r="F2368" s="10">
        <f t="shared" si="1"/>
        <v>1</v>
      </c>
      <c r="G2368" s="10">
        <f t="array" ref="G2368">index('Player ID'!C:C,match(E2368,'Player ID'!B:B,0))</f>
        <v>608371</v>
      </c>
    </row>
    <row r="2369">
      <c r="A2369" s="76">
        <v>45764.0</v>
      </c>
      <c r="B2369" s="1" t="s">
        <v>256</v>
      </c>
      <c r="C2369" s="1" t="s">
        <v>60</v>
      </c>
      <c r="D2369" s="1">
        <v>7.1</v>
      </c>
      <c r="E2369" s="1">
        <v>15423.0</v>
      </c>
      <c r="F2369" s="10">
        <f t="shared" si="1"/>
        <v>7.333333333</v>
      </c>
      <c r="G2369" s="10">
        <f t="array" ref="G2369">index('Player ID'!C:C,match(E2369,'Player ID'!B:B,0))</f>
        <v>571760</v>
      </c>
    </row>
    <row r="2370">
      <c r="A2370" s="76">
        <v>45764.0</v>
      </c>
      <c r="B2370" s="1" t="s">
        <v>443</v>
      </c>
      <c r="C2370" s="1" t="s">
        <v>60</v>
      </c>
      <c r="D2370" s="1">
        <v>1.0</v>
      </c>
      <c r="E2370" s="1">
        <v>16350.0</v>
      </c>
      <c r="F2370" s="10">
        <f t="shared" si="1"/>
        <v>1</v>
      </c>
      <c r="G2370" s="10">
        <f t="array" ref="G2370">index('Player ID'!C:C,match(E2370,'Player ID'!B:B,0))</f>
        <v>621366</v>
      </c>
    </row>
    <row r="2371">
      <c r="A2371" s="76">
        <v>45764.0</v>
      </c>
      <c r="B2371" s="1" t="s">
        <v>148</v>
      </c>
      <c r="C2371" s="1" t="s">
        <v>80</v>
      </c>
      <c r="D2371" s="1">
        <v>5.0</v>
      </c>
      <c r="E2371" s="1">
        <v>16977.0</v>
      </c>
      <c r="F2371" s="10">
        <f t="shared" si="1"/>
        <v>5</v>
      </c>
      <c r="G2371" s="10">
        <f t="array" ref="G2371">index('Player ID'!C:C,match(E2371,'Player ID'!B:B,0))</f>
        <v>592866</v>
      </c>
    </row>
    <row r="2372">
      <c r="A2372" s="76">
        <v>45764.0</v>
      </c>
      <c r="B2372" s="1" t="s">
        <v>217</v>
      </c>
      <c r="C2372" s="1" t="s">
        <v>60</v>
      </c>
      <c r="D2372" s="1">
        <v>0.2</v>
      </c>
      <c r="E2372" s="1">
        <v>17878.0</v>
      </c>
      <c r="F2372" s="10">
        <f t="shared" si="1"/>
        <v>0.6666666667</v>
      </c>
      <c r="G2372" s="10">
        <f t="array" ref="G2372">index('Player ID'!C:C,match(E2372,'Player ID'!B:B,0))</f>
        <v>642701</v>
      </c>
    </row>
    <row r="2373">
      <c r="A2373" s="76">
        <v>45764.0</v>
      </c>
      <c r="B2373" s="1" t="s">
        <v>86</v>
      </c>
      <c r="C2373" s="1" t="s">
        <v>80</v>
      </c>
      <c r="D2373" s="1">
        <v>2.0</v>
      </c>
      <c r="E2373" s="1">
        <v>24017.0</v>
      </c>
      <c r="F2373" s="10">
        <f t="shared" si="1"/>
        <v>2</v>
      </c>
      <c r="G2373" s="10">
        <f t="array" ref="G2373">index('Player ID'!C:C,match(E2373,'Player ID'!B:B,0))</f>
        <v>678606</v>
      </c>
    </row>
    <row r="2374">
      <c r="A2374" s="76">
        <v>45764.0</v>
      </c>
      <c r="B2374" s="1" t="s">
        <v>362</v>
      </c>
      <c r="C2374" s="1" t="s">
        <v>66</v>
      </c>
      <c r="D2374" s="1">
        <v>0.2</v>
      </c>
      <c r="E2374" s="1">
        <v>13449.0</v>
      </c>
      <c r="F2374" s="10">
        <f t="shared" si="1"/>
        <v>0.6666666667</v>
      </c>
      <c r="G2374" s="10">
        <f t="array" ref="G2374">index('Player ID'!C:C,match(E2374,'Player ID'!B:B,0))</f>
        <v>573124</v>
      </c>
    </row>
    <row r="2375">
      <c r="A2375" s="76">
        <v>45764.0</v>
      </c>
      <c r="B2375" s="1" t="s">
        <v>417</v>
      </c>
      <c r="C2375" s="1" t="s">
        <v>66</v>
      </c>
      <c r="D2375" s="1">
        <v>0.1</v>
      </c>
      <c r="E2375" s="1">
        <v>13942.0</v>
      </c>
      <c r="F2375" s="10">
        <f t="shared" si="1"/>
        <v>0.3333333333</v>
      </c>
      <c r="G2375" s="10">
        <f t="array" ref="G2375">index('Player ID'!C:C,match(E2375,'Player ID'!B:B,0))</f>
        <v>608718</v>
      </c>
    </row>
    <row r="2376">
      <c r="A2376" s="76">
        <v>45764.0</v>
      </c>
      <c r="B2376" s="1" t="s">
        <v>651</v>
      </c>
      <c r="C2376" s="1" t="s">
        <v>66</v>
      </c>
      <c r="D2376" s="1">
        <v>1.0</v>
      </c>
      <c r="E2376" s="1">
        <v>14771.0</v>
      </c>
      <c r="F2376" s="10">
        <f t="shared" si="1"/>
        <v>1</v>
      </c>
      <c r="G2376" s="10">
        <f t="array" ref="G2376">index('Player ID'!C:C,match(E2376,'Player ID'!B:B,0))</f>
        <v>641941</v>
      </c>
    </row>
    <row r="2377">
      <c r="A2377" s="76">
        <v>45764.0</v>
      </c>
      <c r="B2377" s="1" t="s">
        <v>53</v>
      </c>
      <c r="C2377" s="1" t="s">
        <v>37</v>
      </c>
      <c r="D2377" s="1">
        <v>0.1</v>
      </c>
      <c r="E2377" s="1">
        <v>17170.0</v>
      </c>
      <c r="F2377" s="10">
        <f t="shared" si="1"/>
        <v>0.3333333333</v>
      </c>
      <c r="G2377" s="10">
        <f t="array" ref="G2377">index('Player ID'!C:C,match(E2377,'Player ID'!B:B,0))</f>
        <v>642100</v>
      </c>
    </row>
    <row r="2378">
      <c r="A2378" s="76">
        <v>45764.0</v>
      </c>
      <c r="B2378" s="1" t="s">
        <v>653</v>
      </c>
      <c r="C2378" s="1" t="s">
        <v>66</v>
      </c>
      <c r="D2378" s="1">
        <v>1.0</v>
      </c>
      <c r="E2378" s="1">
        <v>17871.0</v>
      </c>
      <c r="F2378" s="10">
        <f t="shared" si="1"/>
        <v>1</v>
      </c>
      <c r="G2378" s="10">
        <f t="array" ref="G2378">index('Player ID'!C:C,match(E2378,'Player ID'!B:B,0))</f>
        <v>664139</v>
      </c>
    </row>
    <row r="2379">
      <c r="A2379" s="76">
        <v>45764.0</v>
      </c>
      <c r="B2379" s="1" t="s">
        <v>108</v>
      </c>
      <c r="C2379" s="1" t="s">
        <v>37</v>
      </c>
      <c r="D2379" s="1">
        <v>0.1</v>
      </c>
      <c r="E2379" s="1">
        <v>17948.0</v>
      </c>
      <c r="F2379" s="10">
        <f t="shared" si="1"/>
        <v>0.3333333333</v>
      </c>
      <c r="G2379" s="10">
        <f t="array" ref="G2379">index('Player ID'!C:C,match(E2379,'Player ID'!B:B,0))</f>
        <v>663423</v>
      </c>
    </row>
    <row r="2380">
      <c r="A2380" s="76">
        <v>45764.0</v>
      </c>
      <c r="B2380" s="1" t="s">
        <v>345</v>
      </c>
      <c r="C2380" s="1" t="s">
        <v>66</v>
      </c>
      <c r="D2380" s="1">
        <v>0.2</v>
      </c>
      <c r="E2380" s="1">
        <v>19926.0</v>
      </c>
      <c r="F2380" s="10">
        <f t="shared" si="1"/>
        <v>0.6666666667</v>
      </c>
      <c r="G2380" s="10">
        <f t="array" ref="G2380">index('Player ID'!C:C,match(E2380,'Player ID'!B:B,0))</f>
        <v>663574</v>
      </c>
    </row>
    <row r="2381">
      <c r="A2381" s="76">
        <v>45764.0</v>
      </c>
      <c r="B2381" s="1" t="s">
        <v>670</v>
      </c>
      <c r="C2381" s="1" t="s">
        <v>37</v>
      </c>
      <c r="D2381" s="1">
        <v>1.0</v>
      </c>
      <c r="E2381" s="1">
        <v>20373.0</v>
      </c>
      <c r="F2381" s="10">
        <f t="shared" si="1"/>
        <v>1</v>
      </c>
      <c r="G2381" s="10">
        <f t="array" ref="G2381">index('Player ID'!C:C,match(E2381,'Player ID'!B:B,0))</f>
        <v>662253</v>
      </c>
    </row>
    <row r="2382">
      <c r="A2382" s="76">
        <v>45764.0</v>
      </c>
      <c r="B2382" s="1" t="s">
        <v>157</v>
      </c>
      <c r="C2382" s="1" t="s">
        <v>37</v>
      </c>
      <c r="D2382" s="1">
        <v>1.0</v>
      </c>
      <c r="E2382" s="1">
        <v>20997.0</v>
      </c>
      <c r="F2382" s="10">
        <f t="shared" si="1"/>
        <v>1</v>
      </c>
      <c r="G2382" s="10">
        <f t="array" ref="G2382">index('Player ID'!C:C,match(E2382,'Player ID'!B:B,0))</f>
        <v>660825</v>
      </c>
    </row>
    <row r="2383">
      <c r="A2383" s="76">
        <v>45764.0</v>
      </c>
      <c r="B2383" s="1" t="s">
        <v>801</v>
      </c>
      <c r="C2383" s="1" t="s">
        <v>66</v>
      </c>
      <c r="D2383" s="1">
        <v>1.0</v>
      </c>
      <c r="E2383" s="1">
        <v>21132.0</v>
      </c>
      <c r="F2383" s="10">
        <f t="shared" si="1"/>
        <v>1</v>
      </c>
      <c r="G2383" s="10">
        <f t="array" ref="G2383">index('Player ID'!C:C,match(E2383,'Player ID'!B:B,0))</f>
        <v>664747</v>
      </c>
    </row>
    <row r="2384">
      <c r="A2384" s="76">
        <v>45764.0</v>
      </c>
      <c r="B2384" s="1" t="s">
        <v>101</v>
      </c>
      <c r="C2384" s="1" t="s">
        <v>37</v>
      </c>
      <c r="D2384" s="1">
        <v>0.2</v>
      </c>
      <c r="E2384" s="1">
        <v>22915.0</v>
      </c>
      <c r="F2384" s="10">
        <f t="shared" si="1"/>
        <v>0.6666666667</v>
      </c>
      <c r="G2384" s="10">
        <f t="array" ref="G2384">index('Player ID'!C:C,match(E2384,'Player ID'!B:B,0))</f>
        <v>672841</v>
      </c>
    </row>
    <row r="2385">
      <c r="A2385" s="76">
        <v>45764.0</v>
      </c>
      <c r="B2385" s="1" t="s">
        <v>683</v>
      </c>
      <c r="C2385" s="1" t="s">
        <v>37</v>
      </c>
      <c r="D2385" s="1">
        <v>0.2</v>
      </c>
      <c r="E2385" s="1">
        <v>23307.0</v>
      </c>
      <c r="F2385" s="10">
        <f t="shared" si="1"/>
        <v>0.6666666667</v>
      </c>
      <c r="G2385" s="10">
        <f t="array" ref="G2385">index('Player ID'!C:C,match(E2385,'Player ID'!B:B,0))</f>
        <v>676092</v>
      </c>
    </row>
    <row r="2386">
      <c r="A2386" s="76">
        <v>45764.0</v>
      </c>
      <c r="B2386" s="1" t="s">
        <v>353</v>
      </c>
      <c r="C2386" s="1" t="s">
        <v>66</v>
      </c>
      <c r="D2386" s="1">
        <v>4.1</v>
      </c>
      <c r="E2386" s="1">
        <v>25377.0</v>
      </c>
      <c r="F2386" s="10">
        <f t="shared" si="1"/>
        <v>4.333333333</v>
      </c>
      <c r="G2386" s="10">
        <f t="array" ref="G2386">index('Player ID'!C:C,match(E2386,'Player ID'!B:B,0))</f>
        <v>663903</v>
      </c>
    </row>
    <row r="2387">
      <c r="A2387" s="76">
        <v>45764.0</v>
      </c>
      <c r="B2387" s="1" t="s">
        <v>340</v>
      </c>
      <c r="C2387" s="1" t="s">
        <v>37</v>
      </c>
      <c r="D2387" s="1">
        <v>1.0</v>
      </c>
      <c r="E2387" s="1">
        <v>25921.0</v>
      </c>
      <c r="F2387" s="10">
        <f t="shared" si="1"/>
        <v>1</v>
      </c>
      <c r="G2387" s="10">
        <f t="array" ref="G2387">index('Player ID'!C:C,match(E2387,'Player ID'!B:B,0))</f>
        <v>668984</v>
      </c>
    </row>
    <row r="2388">
      <c r="A2388" s="76">
        <v>45764.0</v>
      </c>
      <c r="B2388" s="1" t="s">
        <v>509</v>
      </c>
      <c r="C2388" s="1" t="s">
        <v>37</v>
      </c>
      <c r="D2388" s="1">
        <v>5.0</v>
      </c>
      <c r="E2388" s="1">
        <v>27470.0</v>
      </c>
      <c r="F2388" s="10">
        <f t="shared" si="1"/>
        <v>5</v>
      </c>
      <c r="G2388" s="10">
        <f t="array" ref="G2388">index('Player ID'!C:C,match(E2388,'Player ID'!B:B,0))</f>
        <v>676106</v>
      </c>
    </row>
    <row r="2389">
      <c r="A2389" s="76">
        <v>45764.0</v>
      </c>
      <c r="B2389" s="1" t="s">
        <v>211</v>
      </c>
      <c r="C2389" s="1" t="s">
        <v>66</v>
      </c>
      <c r="D2389" s="1">
        <v>1.0</v>
      </c>
      <c r="E2389" s="1">
        <v>27552.0</v>
      </c>
      <c r="F2389" s="10">
        <f t="shared" si="1"/>
        <v>1</v>
      </c>
      <c r="G2389" s="10">
        <f t="array" ref="G2389">index('Player ID'!C:C,match(E2389,'Player ID'!B:B,0))</f>
        <v>668933</v>
      </c>
    </row>
    <row r="2390">
      <c r="A2390" s="76">
        <v>45764.0</v>
      </c>
      <c r="B2390" s="1" t="s">
        <v>668</v>
      </c>
      <c r="C2390" s="1" t="s">
        <v>52</v>
      </c>
      <c r="D2390" s="1">
        <v>0.1</v>
      </c>
      <c r="E2390" s="1">
        <v>3237.0</v>
      </c>
      <c r="F2390" s="10">
        <f t="shared" si="1"/>
        <v>0.3333333333</v>
      </c>
      <c r="G2390" s="10">
        <f t="array" ref="G2390">index('Player ID'!C:C,match(E2390,'Player ID'!B:B,0))</f>
        <v>519008</v>
      </c>
    </row>
    <row r="2391">
      <c r="A2391" s="76">
        <v>45764.0</v>
      </c>
      <c r="B2391" s="1" t="s">
        <v>264</v>
      </c>
      <c r="C2391" s="1" t="s">
        <v>52</v>
      </c>
      <c r="D2391" s="1">
        <v>1.0</v>
      </c>
      <c r="E2391" s="1">
        <v>19666.0</v>
      </c>
      <c r="F2391" s="10">
        <f t="shared" si="1"/>
        <v>1</v>
      </c>
      <c r="G2391" s="10">
        <f t="array" ref="G2391">index('Player ID'!C:C,match(E2391,'Player ID'!B:B,0))</f>
        <v>669920</v>
      </c>
    </row>
    <row r="2392">
      <c r="A2392" s="76">
        <v>45764.0</v>
      </c>
      <c r="B2392" s="1" t="s">
        <v>387</v>
      </c>
      <c r="C2392" s="1" t="s">
        <v>78</v>
      </c>
      <c r="D2392" s="1">
        <v>1.0</v>
      </c>
      <c r="E2392" s="1">
        <v>19990.0</v>
      </c>
      <c r="F2392" s="10">
        <f t="shared" si="1"/>
        <v>1</v>
      </c>
      <c r="G2392" s="10">
        <f t="array" ref="G2392">index('Player ID'!C:C,match(E2392,'Player ID'!B:B,0))</f>
        <v>669060</v>
      </c>
    </row>
    <row r="2393">
      <c r="A2393" s="76">
        <v>45764.0</v>
      </c>
      <c r="B2393" s="1" t="s">
        <v>116</v>
      </c>
      <c r="C2393" s="1" t="s">
        <v>78</v>
      </c>
      <c r="D2393" s="1">
        <v>0.2</v>
      </c>
      <c r="E2393" s="1">
        <v>20353.0</v>
      </c>
      <c r="F2393" s="10">
        <f t="shared" si="1"/>
        <v>0.6666666667</v>
      </c>
      <c r="G2393" s="10">
        <f t="array" ref="G2393">index('Player ID'!C:C,match(E2393,'Player ID'!B:B,0))</f>
        <v>621051</v>
      </c>
    </row>
    <row r="2394">
      <c r="A2394" s="76">
        <v>45764.0</v>
      </c>
      <c r="B2394" s="1" t="s">
        <v>335</v>
      </c>
      <c r="C2394" s="1" t="s">
        <v>78</v>
      </c>
      <c r="D2394" s="1">
        <v>5.1</v>
      </c>
      <c r="E2394" s="1">
        <v>21448.0</v>
      </c>
      <c r="F2394" s="10">
        <f t="shared" si="1"/>
        <v>5.333333333</v>
      </c>
      <c r="G2394" s="10">
        <f t="array" ref="G2394">index('Player ID'!C:C,match(E2394,'Player ID'!B:B,0))</f>
        <v>663436</v>
      </c>
    </row>
    <row r="2395">
      <c r="A2395" s="76">
        <v>45764.0</v>
      </c>
      <c r="B2395" s="1" t="s">
        <v>251</v>
      </c>
      <c r="C2395" s="1" t="s">
        <v>52</v>
      </c>
      <c r="D2395" s="1">
        <v>6.0</v>
      </c>
      <c r="E2395" s="1">
        <v>23429.0</v>
      </c>
      <c r="F2395" s="10">
        <f t="shared" si="1"/>
        <v>6</v>
      </c>
      <c r="G2395" s="10">
        <f t="array" ref="G2395">index('Player ID'!C:C,match(E2395,'Player ID'!B:B,0))</f>
        <v>676664</v>
      </c>
    </row>
    <row r="2396">
      <c r="A2396" s="76">
        <v>45764.0</v>
      </c>
      <c r="B2396" s="1" t="s">
        <v>367</v>
      </c>
      <c r="C2396" s="1" t="s">
        <v>78</v>
      </c>
      <c r="D2396" s="1">
        <v>2.0</v>
      </c>
      <c r="E2396" s="1">
        <v>27668.0</v>
      </c>
      <c r="F2396" s="10">
        <f t="shared" si="1"/>
        <v>2</v>
      </c>
      <c r="G2396" s="10">
        <f t="array" ref="G2396">index('Player ID'!C:C,match(E2396,'Player ID'!B:B,0))</f>
        <v>685126</v>
      </c>
    </row>
    <row r="2397">
      <c r="A2397" s="76">
        <v>45764.0</v>
      </c>
      <c r="B2397" s="1" t="s">
        <v>717</v>
      </c>
      <c r="C2397" s="1" t="s">
        <v>52</v>
      </c>
      <c r="D2397" s="1">
        <v>1.2</v>
      </c>
      <c r="E2397" s="1">
        <v>27908.0</v>
      </c>
      <c r="F2397" s="10">
        <f t="shared" si="1"/>
        <v>1.666666667</v>
      </c>
      <c r="G2397" s="10">
        <f t="array" ref="G2397">index('Player ID'!C:C,match(E2397,'Player ID'!B:B,0))</f>
        <v>668716</v>
      </c>
    </row>
    <row r="2398">
      <c r="A2398" s="76">
        <v>45764.0</v>
      </c>
      <c r="B2398" s="1" t="s">
        <v>20</v>
      </c>
      <c r="C2398" s="1" t="s">
        <v>31</v>
      </c>
      <c r="D2398" s="1">
        <v>0.1</v>
      </c>
      <c r="E2398" s="1">
        <v>15541.0</v>
      </c>
      <c r="F2398" s="10">
        <f t="shared" si="1"/>
        <v>0.3333333333</v>
      </c>
      <c r="G2398" s="10">
        <f t="array" ref="G2398">index('Player ID'!C:C,match(E2398,'Player ID'!B:B,0))</f>
        <v>643511</v>
      </c>
    </row>
    <row r="2399">
      <c r="A2399" s="76">
        <v>45764.0</v>
      </c>
      <c r="B2399" s="1" t="s">
        <v>643</v>
      </c>
      <c r="C2399" s="1" t="s">
        <v>45</v>
      </c>
      <c r="D2399" s="1">
        <v>1.0</v>
      </c>
      <c r="E2399" s="1">
        <v>17780.0</v>
      </c>
      <c r="F2399" s="10">
        <f t="shared" si="1"/>
        <v>1</v>
      </c>
      <c r="G2399" s="10">
        <f t="array" ref="G2399">index('Player ID'!C:C,match(E2399,'Player ID'!B:B,0))</f>
        <v>621237</v>
      </c>
    </row>
    <row r="2400">
      <c r="A2400" s="76">
        <v>45764.0</v>
      </c>
      <c r="B2400" s="1" t="s">
        <v>445</v>
      </c>
      <c r="C2400" s="1" t="s">
        <v>31</v>
      </c>
      <c r="D2400" s="1">
        <v>7.0</v>
      </c>
      <c r="E2400" s="1">
        <v>19618.0</v>
      </c>
      <c r="F2400" s="10">
        <f t="shared" si="1"/>
        <v>7</v>
      </c>
      <c r="G2400" s="10">
        <f t="array" ref="G2400">index('Player ID'!C:C,match(E2400,'Player ID'!B:B,0))</f>
        <v>663855</v>
      </c>
    </row>
    <row r="2401">
      <c r="A2401" s="76">
        <v>45764.0</v>
      </c>
      <c r="B2401" s="1" t="s">
        <v>747</v>
      </c>
      <c r="C2401" s="1" t="s">
        <v>45</v>
      </c>
      <c r="D2401" s="1">
        <v>7.0</v>
      </c>
      <c r="E2401" s="1">
        <v>20778.0</v>
      </c>
      <c r="F2401" s="10">
        <f t="shared" si="1"/>
        <v>7</v>
      </c>
      <c r="G2401" s="10">
        <f t="array" ref="G2401">index('Player ID'!C:C,match(E2401,'Player ID'!B:B,0))</f>
        <v>650911</v>
      </c>
    </row>
    <row r="2402">
      <c r="A2402" s="76">
        <v>45764.0</v>
      </c>
      <c r="B2402" s="1" t="s">
        <v>655</v>
      </c>
      <c r="C2402" s="1" t="s">
        <v>31</v>
      </c>
      <c r="D2402" s="1">
        <v>0.2</v>
      </c>
      <c r="E2402" s="1">
        <v>26252.0</v>
      </c>
      <c r="F2402" s="10">
        <f t="shared" si="1"/>
        <v>0.6666666667</v>
      </c>
      <c r="G2402" s="10">
        <f t="array" ref="G2402">index('Player ID'!C:C,match(E2402,'Player ID'!B:B,0))</f>
        <v>669062</v>
      </c>
    </row>
    <row r="2403">
      <c r="A2403" s="76">
        <v>45764.0</v>
      </c>
      <c r="B2403" s="1" t="s">
        <v>165</v>
      </c>
      <c r="C2403" s="1" t="s">
        <v>45</v>
      </c>
      <c r="D2403" s="1">
        <v>1.0</v>
      </c>
      <c r="E2403" s="1">
        <v>31776.0</v>
      </c>
      <c r="F2403" s="10">
        <f t="shared" si="1"/>
        <v>1</v>
      </c>
      <c r="G2403" s="10">
        <f t="array" ref="G2403">index('Player ID'!C:C,match(E2403,'Player ID'!B:B,0))</f>
        <v>689147</v>
      </c>
    </row>
    <row r="2404">
      <c r="A2404" s="76">
        <v>45764.0</v>
      </c>
      <c r="B2404" s="1" t="s">
        <v>117</v>
      </c>
      <c r="C2404" s="1" t="s">
        <v>70</v>
      </c>
      <c r="D2404" s="1">
        <v>0.2</v>
      </c>
      <c r="E2404" s="1">
        <v>13619.0</v>
      </c>
      <c r="F2404" s="10">
        <f t="shared" si="1"/>
        <v>0.6666666667</v>
      </c>
      <c r="G2404" s="10">
        <f t="array" ref="G2404">index('Player ID'!C:C,match(E2404,'Player ID'!B:B,0))</f>
        <v>596001</v>
      </c>
    </row>
    <row r="2405">
      <c r="A2405" s="76">
        <v>45764.0</v>
      </c>
      <c r="B2405" s="1" t="s">
        <v>639</v>
      </c>
      <c r="C2405" s="1" t="s">
        <v>68</v>
      </c>
      <c r="D2405" s="1">
        <v>0.1</v>
      </c>
      <c r="E2405" s="1">
        <v>19249.0</v>
      </c>
      <c r="F2405" s="10">
        <f t="shared" si="1"/>
        <v>0.3333333333</v>
      </c>
      <c r="G2405" s="10">
        <f t="array" ref="G2405">index('Player ID'!C:C,match(E2405,'Player ID'!B:B,0))</f>
        <v>622554</v>
      </c>
    </row>
    <row r="2406">
      <c r="A2406" s="76">
        <v>45764.0</v>
      </c>
      <c r="B2406" s="1" t="s">
        <v>231</v>
      </c>
      <c r="C2406" s="1" t="s">
        <v>68</v>
      </c>
      <c r="D2406" s="1">
        <v>0.2</v>
      </c>
      <c r="E2406" s="1">
        <v>19362.0</v>
      </c>
      <c r="F2406" s="10">
        <f t="shared" si="1"/>
        <v>0.6666666667</v>
      </c>
      <c r="G2406" s="10">
        <f t="array" ref="G2406">index('Player ID'!C:C,match(E2406,'Player ID'!B:B,0))</f>
        <v>669211</v>
      </c>
    </row>
    <row r="2407">
      <c r="A2407" s="76">
        <v>45764.0</v>
      </c>
      <c r="B2407" s="1" t="s">
        <v>698</v>
      </c>
      <c r="C2407" s="1" t="s">
        <v>68</v>
      </c>
      <c r="D2407" s="1">
        <v>1.0</v>
      </c>
      <c r="E2407" s="1">
        <v>20666.0</v>
      </c>
      <c r="F2407" s="10">
        <f t="shared" si="1"/>
        <v>1</v>
      </c>
      <c r="G2407" s="10">
        <f t="array" ref="G2407">index('Player ID'!C:C,match(E2407,'Player ID'!B:B,0))</f>
        <v>642585</v>
      </c>
    </row>
    <row r="2408">
      <c r="A2408" s="76">
        <v>45764.0</v>
      </c>
      <c r="B2408" s="1" t="s">
        <v>519</v>
      </c>
      <c r="C2408" s="1" t="s">
        <v>70</v>
      </c>
      <c r="D2408" s="1">
        <v>1.0</v>
      </c>
      <c r="E2408" s="1">
        <v>25139.0</v>
      </c>
      <c r="F2408" s="10">
        <f t="shared" si="1"/>
        <v>1</v>
      </c>
      <c r="G2408" s="10">
        <f t="array" ref="G2408">index('Player ID'!C:C,match(E2408,'Player ID'!B:B,0))</f>
        <v>682120</v>
      </c>
    </row>
    <row r="2409">
      <c r="A2409" s="76">
        <v>45764.0</v>
      </c>
      <c r="B2409" s="1" t="s">
        <v>238</v>
      </c>
      <c r="C2409" s="1" t="s">
        <v>70</v>
      </c>
      <c r="D2409" s="1">
        <v>0.2</v>
      </c>
      <c r="E2409" s="1">
        <v>25636.0</v>
      </c>
      <c r="F2409" s="10">
        <f t="shared" si="1"/>
        <v>0.6666666667</v>
      </c>
      <c r="G2409" s="10">
        <f t="array" ref="G2409">index('Player ID'!C:C,match(E2409,'Player ID'!B:B,0))</f>
        <v>683769</v>
      </c>
    </row>
    <row r="2410">
      <c r="A2410" s="76">
        <v>45764.0</v>
      </c>
      <c r="B2410" s="1" t="s">
        <v>308</v>
      </c>
      <c r="C2410" s="1" t="s">
        <v>70</v>
      </c>
      <c r="D2410" s="1">
        <v>5.2</v>
      </c>
      <c r="E2410" s="1">
        <v>30134.0</v>
      </c>
      <c r="F2410" s="10">
        <f t="shared" si="1"/>
        <v>5.666666667</v>
      </c>
      <c r="G2410" s="10">
        <f t="array" ref="G2410">index('Player ID'!C:C,match(E2410,'Player ID'!B:B,0))</f>
        <v>676440</v>
      </c>
    </row>
    <row r="2411">
      <c r="A2411" s="76">
        <v>45764.0</v>
      </c>
      <c r="B2411" s="1" t="s">
        <v>158</v>
      </c>
      <c r="C2411" s="1" t="s">
        <v>68</v>
      </c>
      <c r="D2411" s="1">
        <v>7.0</v>
      </c>
      <c r="E2411" s="1">
        <v>35321.0</v>
      </c>
      <c r="F2411" s="10">
        <f t="shared" si="1"/>
        <v>7</v>
      </c>
      <c r="G2411" s="10">
        <f t="array" ref="G2411">index('Player ID'!C:C,match(E2411,'Player ID'!B:B,0))</f>
        <v>608372</v>
      </c>
    </row>
    <row r="2412">
      <c r="A2412" s="76">
        <v>45764.0</v>
      </c>
      <c r="B2412" s="1" t="s">
        <v>439</v>
      </c>
      <c r="C2412" s="1" t="s">
        <v>62</v>
      </c>
      <c r="D2412" s="1">
        <v>2.0</v>
      </c>
      <c r="E2412" s="1">
        <v>11384.0</v>
      </c>
      <c r="F2412" s="10">
        <f t="shared" si="1"/>
        <v>2</v>
      </c>
      <c r="G2412" s="10">
        <f t="array" ref="G2412">index('Player ID'!C:C,match(E2412,'Player ID'!B:B,0))</f>
        <v>592454</v>
      </c>
    </row>
    <row r="2413">
      <c r="A2413" s="76">
        <v>45764.0</v>
      </c>
      <c r="B2413" s="1" t="s">
        <v>726</v>
      </c>
      <c r="C2413" s="1" t="s">
        <v>29</v>
      </c>
      <c r="D2413" s="1">
        <v>1.2</v>
      </c>
      <c r="E2413" s="1">
        <v>13761.0</v>
      </c>
      <c r="F2413" s="10">
        <f t="shared" si="1"/>
        <v>1.666666667</v>
      </c>
      <c r="G2413" s="10">
        <f t="array" ref="G2413">index('Player ID'!C:C,match(E2413,'Player ID'!B:B,0))</f>
        <v>608717</v>
      </c>
    </row>
    <row r="2414">
      <c r="A2414" s="76">
        <v>45764.0</v>
      </c>
      <c r="B2414" s="1" t="s">
        <v>420</v>
      </c>
      <c r="C2414" s="1" t="s">
        <v>29</v>
      </c>
      <c r="D2414" s="1">
        <v>4.2</v>
      </c>
      <c r="E2414" s="1">
        <v>14843.0</v>
      </c>
      <c r="F2414" s="10">
        <f t="shared" si="1"/>
        <v>4.666666667</v>
      </c>
      <c r="G2414" s="10">
        <f t="array" ref="G2414">index('Player ID'!C:C,match(E2414,'Player ID'!B:B,0))</f>
        <v>547179</v>
      </c>
    </row>
    <row r="2415">
      <c r="A2415" s="76">
        <v>45764.0</v>
      </c>
      <c r="B2415" s="1" t="s">
        <v>214</v>
      </c>
      <c r="C2415" s="1" t="s">
        <v>29</v>
      </c>
      <c r="D2415" s="1">
        <v>0.1</v>
      </c>
      <c r="E2415" s="1">
        <v>23165.0</v>
      </c>
      <c r="F2415" s="10">
        <f t="shared" si="1"/>
        <v>0.3333333333</v>
      </c>
      <c r="G2415" s="10">
        <f t="array" ref="G2415">index('Player ID'!C:C,match(E2415,'Player ID'!B:B,0))</f>
        <v>674444</v>
      </c>
    </row>
    <row r="2416">
      <c r="A2416" s="76">
        <v>45764.0</v>
      </c>
      <c r="B2416" s="1" t="s">
        <v>419</v>
      </c>
      <c r="C2416" s="1" t="s">
        <v>62</v>
      </c>
      <c r="D2416" s="1">
        <v>5.0</v>
      </c>
      <c r="E2416" s="1">
        <v>24968.0</v>
      </c>
      <c r="F2416" s="10">
        <f t="shared" si="1"/>
        <v>5</v>
      </c>
      <c r="G2416" s="10">
        <f t="array" ref="G2416">index('Player ID'!C:C,match(E2416,'Player ID'!B:B,0))</f>
        <v>681857</v>
      </c>
    </row>
    <row r="2417">
      <c r="A2417" s="76">
        <v>45764.0</v>
      </c>
      <c r="B2417" s="1" t="s">
        <v>734</v>
      </c>
      <c r="C2417" s="1" t="s">
        <v>29</v>
      </c>
      <c r="D2417" s="1">
        <v>1.1</v>
      </c>
      <c r="E2417" s="1">
        <v>24995.0</v>
      </c>
      <c r="F2417" s="10">
        <f t="shared" si="1"/>
        <v>1.333333333</v>
      </c>
      <c r="G2417" s="10">
        <f t="array" ref="G2417">index('Player ID'!C:C,match(E2417,'Player ID'!B:B,0))</f>
        <v>681895</v>
      </c>
    </row>
    <row r="2418">
      <c r="A2418" s="76">
        <v>45764.0</v>
      </c>
      <c r="B2418" s="1" t="s">
        <v>667</v>
      </c>
      <c r="C2418" s="1" t="s">
        <v>62</v>
      </c>
      <c r="D2418" s="1">
        <v>1.0</v>
      </c>
      <c r="E2418" s="1">
        <v>26079.0</v>
      </c>
      <c r="F2418" s="10">
        <f t="shared" si="1"/>
        <v>1</v>
      </c>
      <c r="G2418" s="10">
        <f t="array" ref="G2418">index('Player ID'!C:C,match(E2418,'Player ID'!B:B,0))</f>
        <v>689225</v>
      </c>
    </row>
    <row r="2419">
      <c r="A2419" s="76">
        <v>45764.0</v>
      </c>
      <c r="B2419" s="1" t="s">
        <v>82</v>
      </c>
      <c r="C2419" s="1" t="s">
        <v>62</v>
      </c>
      <c r="D2419" s="1">
        <v>1.0</v>
      </c>
      <c r="E2419" s="1">
        <v>26231.0</v>
      </c>
      <c r="F2419" s="10">
        <f t="shared" si="1"/>
        <v>1</v>
      </c>
      <c r="G2419" s="10">
        <f t="array" ref="G2419">index('Player ID'!C:C,match(E2419,'Player ID'!B:B,0))</f>
        <v>663947</v>
      </c>
    </row>
    <row r="2420">
      <c r="A2420" s="76">
        <v>45764.0</v>
      </c>
      <c r="B2420" s="1" t="s">
        <v>114</v>
      </c>
      <c r="C2420" s="1" t="s">
        <v>58</v>
      </c>
      <c r="D2420" s="1">
        <v>1.0</v>
      </c>
      <c r="E2420" s="1">
        <v>15816.0</v>
      </c>
      <c r="F2420" s="10">
        <f t="shared" si="1"/>
        <v>1</v>
      </c>
      <c r="G2420" s="10">
        <f t="array" ref="G2420">index('Player ID'!C:C,match(E2420,'Player ID'!B:B,0))</f>
        <v>642207</v>
      </c>
    </row>
    <row r="2421">
      <c r="A2421" s="76">
        <v>45764.0</v>
      </c>
      <c r="B2421" s="1" t="s">
        <v>192</v>
      </c>
      <c r="C2421" s="1" t="s">
        <v>58</v>
      </c>
      <c r="D2421" s="1">
        <v>2.2</v>
      </c>
      <c r="E2421" s="1">
        <v>16502.0</v>
      </c>
      <c r="F2421" s="10">
        <f t="shared" si="1"/>
        <v>2.666666667</v>
      </c>
      <c r="G2421" s="10">
        <f t="array" ref="G2421">index('Player ID'!C:C,match(E2421,'Player ID'!B:B,0))</f>
        <v>642232</v>
      </c>
    </row>
    <row r="2422">
      <c r="A2422" s="76">
        <v>45764.0</v>
      </c>
      <c r="B2422" s="1" t="s">
        <v>69</v>
      </c>
      <c r="C2422" s="1" t="s">
        <v>58</v>
      </c>
      <c r="D2422" s="1">
        <v>2.0</v>
      </c>
      <c r="E2422" s="1">
        <v>16814.0</v>
      </c>
      <c r="F2422" s="10">
        <f t="shared" si="1"/>
        <v>2</v>
      </c>
      <c r="G2422" s="10">
        <f t="array" ref="G2422">index('Player ID'!C:C,match(E2422,'Player ID'!B:B,0))</f>
        <v>657612</v>
      </c>
    </row>
    <row r="2423">
      <c r="A2423" s="76">
        <v>45764.0</v>
      </c>
      <c r="B2423" s="1" t="s">
        <v>261</v>
      </c>
      <c r="C2423" s="1" t="s">
        <v>54</v>
      </c>
      <c r="D2423" s="1">
        <v>1.0</v>
      </c>
      <c r="E2423" s="1">
        <v>17998.0</v>
      </c>
      <c r="F2423" s="10">
        <f t="shared" si="1"/>
        <v>1</v>
      </c>
      <c r="G2423" s="10">
        <f t="array" ref="G2423">index('Player ID'!C:C,match(E2423,'Player ID'!B:B,0))</f>
        <v>664126</v>
      </c>
    </row>
    <row r="2424">
      <c r="A2424" s="76">
        <v>45764.0</v>
      </c>
      <c r="B2424" s="1" t="s">
        <v>520</v>
      </c>
      <c r="C2424" s="1" t="s">
        <v>58</v>
      </c>
      <c r="D2424" s="1">
        <v>1.2</v>
      </c>
      <c r="E2424" s="1">
        <v>19261.0</v>
      </c>
      <c r="F2424" s="10">
        <f t="shared" si="1"/>
        <v>1.666666667</v>
      </c>
      <c r="G2424" s="10">
        <f t="array" ref="G2424">index('Player ID'!C:C,match(E2424,'Player ID'!B:B,0))</f>
        <v>641656</v>
      </c>
    </row>
    <row r="2425">
      <c r="A2425" s="76">
        <v>45764.0</v>
      </c>
      <c r="B2425" s="1" t="s">
        <v>705</v>
      </c>
      <c r="C2425" s="1" t="s">
        <v>54</v>
      </c>
      <c r="D2425" s="1">
        <v>0.2</v>
      </c>
      <c r="E2425" s="1">
        <v>20794.0</v>
      </c>
      <c r="F2425" s="10">
        <f t="shared" si="1"/>
        <v>0.6666666667</v>
      </c>
      <c r="G2425" s="10">
        <f t="array" ref="G2425">index('Player ID'!C:C,match(E2425,'Player ID'!B:B,0))</f>
        <v>655889</v>
      </c>
    </row>
    <row r="2426">
      <c r="A2426" s="76">
        <v>45764.0</v>
      </c>
      <c r="B2426" s="1" t="s">
        <v>413</v>
      </c>
      <c r="C2426" s="1" t="s">
        <v>54</v>
      </c>
      <c r="D2426" s="1">
        <v>5.1</v>
      </c>
      <c r="E2426" s="1">
        <v>22543.0</v>
      </c>
      <c r="F2426" s="10">
        <f t="shared" si="1"/>
        <v>5.333333333</v>
      </c>
      <c r="G2426" s="10">
        <f t="array" ref="G2426">index('Player ID'!C:C,match(E2426,'Player ID'!B:B,0))</f>
        <v>671737</v>
      </c>
    </row>
    <row r="2427">
      <c r="A2427" s="76">
        <v>45764.0</v>
      </c>
      <c r="B2427" s="1" t="s">
        <v>257</v>
      </c>
      <c r="C2427" s="1" t="s">
        <v>54</v>
      </c>
      <c r="D2427" s="1">
        <v>1.0</v>
      </c>
      <c r="E2427" s="1">
        <v>27626.0</v>
      </c>
      <c r="F2427" s="10">
        <f t="shared" si="1"/>
        <v>1</v>
      </c>
      <c r="G2427" s="10">
        <f t="array" ref="G2427">index('Player ID'!C:C,match(E2427,'Player ID'!B:B,0))</f>
        <v>679358</v>
      </c>
    </row>
    <row r="2428">
      <c r="A2428" s="76">
        <v>45764.0</v>
      </c>
      <c r="B2428" s="1" t="s">
        <v>334</v>
      </c>
      <c r="C2428" s="1" t="s">
        <v>54</v>
      </c>
      <c r="D2428" s="1">
        <v>1.0</v>
      </c>
      <c r="E2428" s="1">
        <v>29770.0</v>
      </c>
      <c r="F2428" s="10">
        <f t="shared" si="1"/>
        <v>1</v>
      </c>
      <c r="G2428" s="10">
        <f t="array" ref="G2428">index('Player ID'!C:C,match(E2428,'Player ID'!B:B,0))</f>
        <v>682254</v>
      </c>
    </row>
    <row r="2429">
      <c r="A2429" s="76">
        <v>45764.0</v>
      </c>
      <c r="B2429" s="1" t="s">
        <v>344</v>
      </c>
      <c r="C2429" s="1" t="s">
        <v>58</v>
      </c>
      <c r="D2429" s="1">
        <v>1.2</v>
      </c>
      <c r="E2429" s="1">
        <v>30182.0</v>
      </c>
      <c r="F2429" s="10">
        <f t="shared" si="1"/>
        <v>1.666666667</v>
      </c>
      <c r="G2429" s="10">
        <f t="array" ref="G2429">index('Player ID'!C:C,match(E2429,'Player ID'!B:B,0))</f>
        <v>701542</v>
      </c>
    </row>
    <row r="2430">
      <c r="A2430" s="76">
        <v>45764.0</v>
      </c>
      <c r="B2430" s="1" t="s">
        <v>679</v>
      </c>
      <c r="C2430" s="1" t="s">
        <v>51</v>
      </c>
      <c r="D2430" s="1">
        <v>1.0</v>
      </c>
      <c r="E2430" s="1">
        <v>14710.0</v>
      </c>
      <c r="F2430" s="10">
        <f t="shared" si="1"/>
        <v>1</v>
      </c>
      <c r="G2430" s="10">
        <f t="array" ref="G2430">index('Player ID'!C:C,match(E2430,'Player ID'!B:B,0))</f>
        <v>621242</v>
      </c>
    </row>
    <row r="2431">
      <c r="A2431" s="76">
        <v>45764.0</v>
      </c>
      <c r="B2431" s="1" t="s">
        <v>295</v>
      </c>
      <c r="C2431" s="1" t="s">
        <v>51</v>
      </c>
      <c r="D2431" s="1">
        <v>1.0</v>
      </c>
      <c r="E2431" s="1">
        <v>16866.0</v>
      </c>
      <c r="F2431" s="10">
        <f t="shared" si="1"/>
        <v>1</v>
      </c>
      <c r="G2431" s="10">
        <f t="array" ref="G2431">index('Player ID'!C:C,match(E2431,'Player ID'!B:B,0))</f>
        <v>657585</v>
      </c>
    </row>
    <row r="2432">
      <c r="A2432" s="76">
        <v>45764.0</v>
      </c>
      <c r="B2432" s="1" t="s">
        <v>674</v>
      </c>
      <c r="C2432" s="1" t="s">
        <v>51</v>
      </c>
      <c r="D2432" s="1">
        <v>1.0</v>
      </c>
      <c r="E2432" s="1">
        <v>18655.0</v>
      </c>
      <c r="F2432" s="10">
        <f t="shared" si="1"/>
        <v>1</v>
      </c>
      <c r="G2432" s="10">
        <f t="array" ref="G2432">index('Player ID'!C:C,match(E2432,'Player ID'!B:B,0))</f>
        <v>621345</v>
      </c>
    </row>
    <row r="2433">
      <c r="A2433" s="76">
        <v>45764.0</v>
      </c>
      <c r="B2433" s="1" t="s">
        <v>382</v>
      </c>
      <c r="C2433" s="1" t="s">
        <v>51</v>
      </c>
      <c r="D2433" s="1">
        <v>6.0</v>
      </c>
      <c r="E2433" s="1">
        <v>19867.0</v>
      </c>
      <c r="F2433" s="10">
        <f t="shared" si="1"/>
        <v>6</v>
      </c>
      <c r="G2433" s="10">
        <f t="array" ref="G2433">index('Player ID'!C:C,match(E2433,'Player ID'!B:B,0))</f>
        <v>656288</v>
      </c>
    </row>
    <row r="2434">
      <c r="A2434" s="76">
        <v>45764.0</v>
      </c>
      <c r="B2434" s="1" t="s">
        <v>273</v>
      </c>
      <c r="C2434" s="1" t="s">
        <v>72</v>
      </c>
      <c r="D2434" s="1">
        <v>1.0</v>
      </c>
      <c r="E2434" s="1">
        <v>22051.0</v>
      </c>
      <c r="F2434" s="10">
        <f t="shared" si="1"/>
        <v>1</v>
      </c>
      <c r="G2434" s="10">
        <f t="array" ref="G2434">index('Player ID'!C:C,match(E2434,'Player ID'!B:B,0))</f>
        <v>667463</v>
      </c>
    </row>
    <row r="2435">
      <c r="A2435" s="76">
        <v>45764.0</v>
      </c>
      <c r="B2435" s="1" t="s">
        <v>432</v>
      </c>
      <c r="C2435" s="1" t="s">
        <v>72</v>
      </c>
      <c r="D2435" s="1">
        <v>6.0</v>
      </c>
      <c r="E2435" s="1">
        <v>26108.0</v>
      </c>
      <c r="F2435" s="10">
        <f t="shared" si="1"/>
        <v>6</v>
      </c>
      <c r="G2435" s="10">
        <f t="array" ref="G2435">index('Player ID'!C:C,match(E2435,'Player ID'!B:B,0))</f>
        <v>669467</v>
      </c>
    </row>
    <row r="2436">
      <c r="A2436" s="76">
        <v>45764.0</v>
      </c>
      <c r="B2436" s="1" t="s">
        <v>223</v>
      </c>
      <c r="C2436" s="1" t="s">
        <v>72</v>
      </c>
      <c r="D2436" s="1">
        <v>1.0</v>
      </c>
      <c r="E2436" s="1">
        <v>29629.0</v>
      </c>
      <c r="F2436" s="10">
        <f t="shared" si="1"/>
        <v>1</v>
      </c>
      <c r="G2436" s="10">
        <f t="array" ref="G2436">index('Player ID'!C:C,match(E2436,'Player ID'!B:B,0))</f>
        <v>694335</v>
      </c>
    </row>
    <row r="2437">
      <c r="A2437" s="76">
        <v>45764.0</v>
      </c>
      <c r="B2437" s="1" t="s">
        <v>74</v>
      </c>
      <c r="C2437" s="1" t="s">
        <v>56</v>
      </c>
      <c r="D2437" s="1">
        <v>1.0</v>
      </c>
      <c r="E2437" s="1">
        <v>11847.0</v>
      </c>
      <c r="F2437" s="10">
        <f t="shared" si="1"/>
        <v>1</v>
      </c>
      <c r="G2437" s="10">
        <f t="array" ref="G2437">index('Player ID'!C:C,match(E2437,'Player ID'!B:B,0))</f>
        <v>455119</v>
      </c>
    </row>
    <row r="2438">
      <c r="A2438" s="76">
        <v>45764.0</v>
      </c>
      <c r="B2438" s="1" t="s">
        <v>775</v>
      </c>
      <c r="C2438" s="1" t="s">
        <v>25</v>
      </c>
      <c r="D2438" s="1">
        <v>1.0</v>
      </c>
      <c r="E2438" s="1">
        <v>19951.0</v>
      </c>
      <c r="F2438" s="10">
        <f t="shared" si="1"/>
        <v>1</v>
      </c>
      <c r="G2438" s="10">
        <f t="array" ref="G2438">index('Player ID'!C:C,match(E2438,'Player ID'!B:B,0))</f>
        <v>666120</v>
      </c>
    </row>
    <row r="2439">
      <c r="A2439" s="76">
        <v>45764.0</v>
      </c>
      <c r="B2439" s="1" t="s">
        <v>268</v>
      </c>
      <c r="C2439" s="1" t="s">
        <v>56</v>
      </c>
      <c r="D2439" s="1">
        <v>1.0</v>
      </c>
      <c r="E2439" s="1">
        <v>23363.0</v>
      </c>
      <c r="F2439" s="10">
        <f t="shared" si="1"/>
        <v>1</v>
      </c>
      <c r="G2439" s="10">
        <f t="array" ref="G2439">index('Player ID'!C:C,match(E2439,'Player ID'!B:B,0))</f>
        <v>676395</v>
      </c>
    </row>
    <row r="2440">
      <c r="A2440" s="76">
        <v>45764.0</v>
      </c>
      <c r="B2440" s="1" t="s">
        <v>385</v>
      </c>
      <c r="C2440" s="1" t="s">
        <v>25</v>
      </c>
      <c r="D2440" s="1">
        <v>1.0</v>
      </c>
      <c r="E2440" s="1">
        <v>25420.0</v>
      </c>
      <c r="F2440" s="10">
        <f t="shared" si="1"/>
        <v>1</v>
      </c>
      <c r="G2440" s="10">
        <f t="array" ref="G2440">index('Player ID'!C:C,match(E2440,'Player ID'!B:B,0))</f>
        <v>666171</v>
      </c>
    </row>
    <row r="2441">
      <c r="A2441" s="76">
        <v>45764.0</v>
      </c>
      <c r="B2441" s="1" t="s">
        <v>521</v>
      </c>
      <c r="C2441" s="1" t="s">
        <v>25</v>
      </c>
      <c r="D2441" s="1">
        <v>4.2</v>
      </c>
      <c r="E2441" s="1">
        <v>27688.0</v>
      </c>
      <c r="F2441" s="10">
        <f t="shared" si="1"/>
        <v>4.666666667</v>
      </c>
      <c r="G2441" s="10">
        <f t="array" ref="G2441">index('Player ID'!C:C,match(E2441,'Player ID'!B:B,0))</f>
        <v>686799</v>
      </c>
    </row>
    <row r="2442">
      <c r="A2442" s="76">
        <v>45764.0</v>
      </c>
      <c r="B2442" s="1" t="s">
        <v>477</v>
      </c>
      <c r="C2442" s="1" t="s">
        <v>56</v>
      </c>
      <c r="D2442" s="1">
        <v>7.0</v>
      </c>
      <c r="E2442" s="1">
        <v>31843.0</v>
      </c>
      <c r="F2442" s="10">
        <f t="shared" si="1"/>
        <v>7</v>
      </c>
      <c r="G2442" s="10">
        <f t="array" ref="G2442">index('Player ID'!C:C,match(E2442,'Player ID'!B:B,0))</f>
        <v>677958</v>
      </c>
    </row>
    <row r="2443">
      <c r="A2443" s="76">
        <v>45764.0</v>
      </c>
      <c r="B2443" s="1" t="s">
        <v>659</v>
      </c>
      <c r="C2443" s="1" t="s">
        <v>25</v>
      </c>
      <c r="D2443" s="1">
        <v>1.1</v>
      </c>
      <c r="E2443" s="1">
        <v>35325.0</v>
      </c>
      <c r="F2443" s="10">
        <f t="shared" si="1"/>
        <v>1.333333333</v>
      </c>
      <c r="G2443" s="10">
        <f t="array" ref="G2443">index('Player ID'!C:C,match(E2443,'Player ID'!B:B,0))</f>
        <v>696270</v>
      </c>
    </row>
    <row r="2444">
      <c r="A2444" s="76">
        <v>45765.0</v>
      </c>
      <c r="B2444" s="1" t="s">
        <v>460</v>
      </c>
      <c r="C2444" s="1" t="s">
        <v>34</v>
      </c>
      <c r="D2444" s="1">
        <v>1.0</v>
      </c>
      <c r="E2444" s="1">
        <v>7005.0</v>
      </c>
      <c r="F2444" s="10">
        <f t="shared" si="1"/>
        <v>1</v>
      </c>
      <c r="G2444" s="10">
        <f t="array" ref="G2444">index('Player ID'!C:C,match(E2444,'Player ID'!B:B,0))</f>
        <v>519151</v>
      </c>
    </row>
    <row r="2445">
      <c r="A2445" s="76">
        <v>45765.0</v>
      </c>
      <c r="B2445" s="1" t="s">
        <v>71</v>
      </c>
      <c r="C2445" s="1" t="s">
        <v>34</v>
      </c>
      <c r="D2445" s="1">
        <v>0.1</v>
      </c>
      <c r="E2445" s="1">
        <v>10078.0</v>
      </c>
      <c r="F2445" s="10">
        <f t="shared" si="1"/>
        <v>0.3333333333</v>
      </c>
      <c r="G2445" s="10">
        <f t="array" ref="G2445">index('Player ID'!C:C,match(E2445,'Player ID'!B:B,0))</f>
        <v>573204</v>
      </c>
    </row>
    <row r="2446">
      <c r="A2446" s="76">
        <v>45765.0</v>
      </c>
      <c r="B2446" s="1" t="s">
        <v>313</v>
      </c>
      <c r="C2446" s="1" t="s">
        <v>34</v>
      </c>
      <c r="D2446" s="1">
        <v>4.2</v>
      </c>
      <c r="E2446" s="1">
        <v>12317.0</v>
      </c>
      <c r="F2446" s="10">
        <f t="shared" si="1"/>
        <v>4.666666667</v>
      </c>
      <c r="G2446" s="10">
        <f t="array" ref="G2446">index('Player ID'!C:C,match(E2446,'Player ID'!B:B,0))</f>
        <v>607067</v>
      </c>
    </row>
    <row r="2447">
      <c r="A2447" s="76">
        <v>45765.0</v>
      </c>
      <c r="B2447" s="1" t="s">
        <v>685</v>
      </c>
      <c r="C2447" s="1" t="s">
        <v>64</v>
      </c>
      <c r="D2447" s="1">
        <v>0.2</v>
      </c>
      <c r="E2447" s="1">
        <v>14857.0</v>
      </c>
      <c r="F2447" s="10">
        <f t="shared" si="1"/>
        <v>0.6666666667</v>
      </c>
      <c r="G2447" s="10">
        <f t="array" ref="G2447">index('Player ID'!C:C,match(E2447,'Player ID'!B:B,0))</f>
        <v>573009</v>
      </c>
    </row>
    <row r="2448">
      <c r="A2448" s="76">
        <v>45765.0</v>
      </c>
      <c r="B2448" s="1" t="s">
        <v>297</v>
      </c>
      <c r="C2448" s="1" t="s">
        <v>34</v>
      </c>
      <c r="D2448" s="1">
        <v>1.0</v>
      </c>
      <c r="E2448" s="1">
        <v>15734.0</v>
      </c>
      <c r="F2448" s="10">
        <f t="shared" si="1"/>
        <v>1</v>
      </c>
      <c r="G2448" s="10">
        <f t="array" ref="G2448">index('Player ID'!C:C,match(E2448,'Player ID'!B:B,0))</f>
        <v>641745</v>
      </c>
    </row>
    <row r="2449">
      <c r="A2449" s="76">
        <v>45765.0</v>
      </c>
      <c r="B2449" s="1" t="s">
        <v>632</v>
      </c>
      <c r="C2449" s="1" t="s">
        <v>34</v>
      </c>
      <c r="D2449" s="1">
        <v>1.0</v>
      </c>
      <c r="E2449" s="1">
        <v>16703.0</v>
      </c>
      <c r="F2449" s="10">
        <f t="shared" si="1"/>
        <v>1</v>
      </c>
      <c r="G2449" s="10">
        <f t="array" ref="G2449">index('Player ID'!C:C,match(E2449,'Player ID'!B:B,0))</f>
        <v>657240</v>
      </c>
    </row>
    <row r="2450">
      <c r="A2450" s="76">
        <v>45765.0</v>
      </c>
      <c r="B2450" s="1" t="s">
        <v>431</v>
      </c>
      <c r="C2450" s="1" t="s">
        <v>64</v>
      </c>
      <c r="D2450" s="1">
        <v>6.0</v>
      </c>
      <c r="E2450" s="1">
        <v>19361.0</v>
      </c>
      <c r="F2450" s="10">
        <f t="shared" si="1"/>
        <v>6</v>
      </c>
      <c r="G2450" s="10">
        <f t="array" ref="G2450">index('Player ID'!C:C,match(E2450,'Player ID'!B:B,0))</f>
        <v>669203</v>
      </c>
    </row>
    <row r="2451">
      <c r="A2451" s="76">
        <v>45765.0</v>
      </c>
      <c r="B2451" s="1" t="s">
        <v>789</v>
      </c>
      <c r="C2451" s="1" t="s">
        <v>34</v>
      </c>
      <c r="D2451" s="1">
        <v>0.1</v>
      </c>
      <c r="E2451" s="1">
        <v>24930.0</v>
      </c>
      <c r="F2451" s="10">
        <f t="shared" si="1"/>
        <v>0.3333333333</v>
      </c>
      <c r="G2451" s="10">
        <f t="array" ref="G2451">index('Player ID'!C:C,match(E2451,'Player ID'!B:B,0))</f>
        <v>681799</v>
      </c>
    </row>
    <row r="2452">
      <c r="A2452" s="76">
        <v>45765.0</v>
      </c>
      <c r="B2452" s="1" t="s">
        <v>93</v>
      </c>
      <c r="C2452" s="1" t="s">
        <v>64</v>
      </c>
      <c r="D2452" s="1">
        <v>0.2</v>
      </c>
      <c r="E2452" s="1">
        <v>26253.0</v>
      </c>
      <c r="F2452" s="10">
        <f t="shared" si="1"/>
        <v>0.6666666667</v>
      </c>
      <c r="G2452" s="10">
        <f t="array" ref="G2452">index('Player ID'!C:C,match(E2452,'Player ID'!B:B,0))</f>
        <v>669194</v>
      </c>
    </row>
    <row r="2453">
      <c r="A2453" s="76">
        <v>45765.0</v>
      </c>
      <c r="B2453" s="1" t="s">
        <v>388</v>
      </c>
      <c r="C2453" s="1" t="s">
        <v>34</v>
      </c>
      <c r="D2453" s="1">
        <v>0.2</v>
      </c>
      <c r="E2453" s="1">
        <v>26413.0</v>
      </c>
      <c r="F2453" s="10">
        <f t="shared" si="1"/>
        <v>0.6666666667</v>
      </c>
      <c r="G2453" s="10">
        <f t="array" ref="G2453">index('Player ID'!C:C,match(E2453,'Player ID'!B:B,0))</f>
        <v>687863</v>
      </c>
    </row>
    <row r="2454">
      <c r="A2454" s="76">
        <v>45765.0</v>
      </c>
      <c r="B2454" s="1" t="s">
        <v>598</v>
      </c>
      <c r="C2454" s="1" t="s">
        <v>64</v>
      </c>
      <c r="D2454" s="1">
        <v>0.2</v>
      </c>
      <c r="E2454" s="1">
        <v>27477.0</v>
      </c>
      <c r="F2454" s="10">
        <f t="shared" si="1"/>
        <v>0.6666666667</v>
      </c>
      <c r="G2454" s="10">
        <f t="array" ref="G2454">index('Player ID'!C:C,match(E2454,'Player ID'!B:B,0))</f>
        <v>686826</v>
      </c>
    </row>
    <row r="2455">
      <c r="A2455" s="76">
        <v>45765.0</v>
      </c>
      <c r="B2455" s="1" t="s">
        <v>556</v>
      </c>
      <c r="C2455" s="1" t="s">
        <v>34</v>
      </c>
      <c r="D2455" s="1">
        <v>0.0</v>
      </c>
      <c r="E2455" s="1">
        <v>30094.0</v>
      </c>
      <c r="F2455" s="10">
        <f t="shared" si="1"/>
        <v>0</v>
      </c>
      <c r="G2455" s="10">
        <f t="array" ref="G2455">index('Player ID'!C:C,match(E2455,'Player ID'!B:B,0))</f>
        <v>696136</v>
      </c>
    </row>
    <row r="2456">
      <c r="A2456" s="76">
        <v>45765.0</v>
      </c>
      <c r="B2456" s="1" t="s">
        <v>439</v>
      </c>
      <c r="C2456" s="1" t="s">
        <v>62</v>
      </c>
      <c r="D2456" s="1">
        <v>0.2</v>
      </c>
      <c r="E2456" s="1">
        <v>11384.0</v>
      </c>
      <c r="F2456" s="10">
        <f t="shared" si="1"/>
        <v>0.6666666667</v>
      </c>
      <c r="G2456" s="10">
        <f t="array" ref="G2456">index('Player ID'!C:C,match(E2456,'Player ID'!B:B,0))</f>
        <v>592454</v>
      </c>
    </row>
    <row r="2457">
      <c r="A2457" s="76">
        <v>45765.0</v>
      </c>
      <c r="B2457" s="1" t="s">
        <v>666</v>
      </c>
      <c r="C2457" s="1" t="s">
        <v>62</v>
      </c>
      <c r="D2457" s="1">
        <v>1.0</v>
      </c>
      <c r="E2457" s="1">
        <v>12777.0</v>
      </c>
      <c r="F2457" s="10">
        <f t="shared" si="1"/>
        <v>1</v>
      </c>
      <c r="G2457" s="10">
        <f t="array" ref="G2457">index('Player ID'!C:C,match(E2457,'Player ID'!B:B,0))</f>
        <v>605154</v>
      </c>
    </row>
    <row r="2458">
      <c r="A2458" s="76">
        <v>45765.0</v>
      </c>
      <c r="B2458" s="1" t="s">
        <v>726</v>
      </c>
      <c r="C2458" s="1" t="s">
        <v>29</v>
      </c>
      <c r="D2458" s="1">
        <v>1.0</v>
      </c>
      <c r="E2458" s="1">
        <v>13761.0</v>
      </c>
      <c r="F2458" s="10">
        <f t="shared" si="1"/>
        <v>1</v>
      </c>
      <c r="G2458" s="10">
        <f t="array" ref="G2458">index('Player ID'!C:C,match(E2458,'Player ID'!B:B,0))</f>
        <v>608717</v>
      </c>
    </row>
    <row r="2459">
      <c r="A2459" s="76">
        <v>45765.0</v>
      </c>
      <c r="B2459" s="1" t="s">
        <v>715</v>
      </c>
      <c r="C2459" s="1" t="s">
        <v>62</v>
      </c>
      <c r="D2459" s="1">
        <v>0.1</v>
      </c>
      <c r="E2459" s="1">
        <v>18498.0</v>
      </c>
      <c r="F2459" s="10">
        <f t="shared" si="1"/>
        <v>0.3333333333</v>
      </c>
      <c r="G2459" s="10">
        <f t="array" ref="G2459">index('Player ID'!C:C,match(E2459,'Player ID'!B:B,0))</f>
        <v>628317</v>
      </c>
    </row>
    <row r="2460">
      <c r="A2460" s="76">
        <v>45765.0</v>
      </c>
      <c r="B2460" s="1" t="s">
        <v>407</v>
      </c>
      <c r="C2460" s="1" t="s">
        <v>29</v>
      </c>
      <c r="D2460" s="1">
        <v>0.2</v>
      </c>
      <c r="E2460" s="1">
        <v>19360.0</v>
      </c>
      <c r="F2460" s="10">
        <f t="shared" si="1"/>
        <v>0.6666666667</v>
      </c>
      <c r="G2460" s="10">
        <f t="array" ref="G2460">index('Player ID'!C:C,match(E2460,'Player ID'!B:B,0))</f>
        <v>668674</v>
      </c>
    </row>
    <row r="2461">
      <c r="A2461" s="76">
        <v>45765.0</v>
      </c>
      <c r="B2461" s="1" t="s">
        <v>131</v>
      </c>
      <c r="C2461" s="1" t="s">
        <v>62</v>
      </c>
      <c r="D2461" s="1">
        <v>1.0</v>
      </c>
      <c r="E2461" s="1">
        <v>19769.0</v>
      </c>
      <c r="F2461" s="10">
        <f t="shared" si="1"/>
        <v>1</v>
      </c>
      <c r="G2461" s="10">
        <f t="array" ref="G2461">index('Player ID'!C:C,match(E2461,'Player ID'!B:B,0))</f>
        <v>676684</v>
      </c>
    </row>
    <row r="2462">
      <c r="A2462" s="76">
        <v>45765.0</v>
      </c>
      <c r="B2462" s="1" t="s">
        <v>144</v>
      </c>
      <c r="C2462" s="1" t="s">
        <v>29</v>
      </c>
      <c r="D2462" s="1">
        <v>1.0</v>
      </c>
      <c r="E2462" s="1">
        <v>20020.0</v>
      </c>
      <c r="F2462" s="10">
        <f t="shared" si="1"/>
        <v>1</v>
      </c>
      <c r="G2462" s="10">
        <f t="array" ref="G2462">index('Player ID'!C:C,match(E2462,'Player ID'!B:B,0))</f>
        <v>670167</v>
      </c>
    </row>
    <row r="2463">
      <c r="A2463" s="76">
        <v>45765.0</v>
      </c>
      <c r="B2463" s="1" t="s">
        <v>205</v>
      </c>
      <c r="C2463" s="1" t="s">
        <v>29</v>
      </c>
      <c r="D2463" s="1">
        <v>4.0</v>
      </c>
      <c r="E2463" s="1">
        <v>21846.0</v>
      </c>
      <c r="F2463" s="10">
        <f t="shared" si="1"/>
        <v>4</v>
      </c>
      <c r="G2463" s="10">
        <f t="array" ref="G2463">index('Player ID'!C:C,match(E2463,'Player ID'!B:B,0))</f>
        <v>666142</v>
      </c>
    </row>
    <row r="2464">
      <c r="A2464" s="76">
        <v>45765.0</v>
      </c>
      <c r="B2464" s="1" t="s">
        <v>289</v>
      </c>
      <c r="C2464" s="1" t="s">
        <v>62</v>
      </c>
      <c r="D2464" s="1">
        <v>0.2</v>
      </c>
      <c r="E2464" s="1">
        <v>22304.0</v>
      </c>
      <c r="F2464" s="10">
        <f t="shared" si="1"/>
        <v>0.6666666667</v>
      </c>
      <c r="G2464" s="10">
        <f t="array" ref="G2464">index('Player ID'!C:C,match(E2464,'Player ID'!B:B,0))</f>
        <v>669724</v>
      </c>
    </row>
    <row r="2465">
      <c r="A2465" s="76">
        <v>45765.0</v>
      </c>
      <c r="B2465" s="1" t="s">
        <v>140</v>
      </c>
      <c r="C2465" s="1" t="s">
        <v>29</v>
      </c>
      <c r="D2465" s="1">
        <v>0.1</v>
      </c>
      <c r="E2465" s="1">
        <v>22717.0</v>
      </c>
      <c r="F2465" s="10">
        <f t="shared" si="1"/>
        <v>0.3333333333</v>
      </c>
      <c r="G2465" s="10">
        <f t="array" ref="G2465">index('Player ID'!C:C,match(E2465,'Player ID'!B:B,0))</f>
        <v>672582</v>
      </c>
    </row>
    <row r="2466">
      <c r="A2466" s="76">
        <v>45765.0</v>
      </c>
      <c r="B2466" s="1" t="s">
        <v>214</v>
      </c>
      <c r="C2466" s="1" t="s">
        <v>29</v>
      </c>
      <c r="D2466" s="1">
        <v>1.0</v>
      </c>
      <c r="E2466" s="1">
        <v>23165.0</v>
      </c>
      <c r="F2466" s="10">
        <f t="shared" si="1"/>
        <v>1</v>
      </c>
      <c r="G2466" s="10">
        <f t="array" ref="G2466">index('Player ID'!C:C,match(E2466,'Player ID'!B:B,0))</f>
        <v>674444</v>
      </c>
    </row>
    <row r="2467">
      <c r="A2467" s="76">
        <v>45765.0</v>
      </c>
      <c r="B2467" s="1" t="s">
        <v>82</v>
      </c>
      <c r="C2467" s="1" t="s">
        <v>62</v>
      </c>
      <c r="D2467" s="1">
        <v>0.1</v>
      </c>
      <c r="E2467" s="1">
        <v>26231.0</v>
      </c>
      <c r="F2467" s="10">
        <f t="shared" si="1"/>
        <v>0.3333333333</v>
      </c>
      <c r="G2467" s="10">
        <f t="array" ref="G2467">index('Player ID'!C:C,match(E2467,'Player ID'!B:B,0))</f>
        <v>663947</v>
      </c>
    </row>
    <row r="2468">
      <c r="A2468" s="76">
        <v>45765.0</v>
      </c>
      <c r="B2468" s="1" t="s">
        <v>377</v>
      </c>
      <c r="C2468" s="1" t="s">
        <v>62</v>
      </c>
      <c r="D2468" s="1">
        <v>5.0</v>
      </c>
      <c r="E2468" s="1">
        <v>30203.0</v>
      </c>
      <c r="F2468" s="10">
        <f t="shared" si="1"/>
        <v>5</v>
      </c>
      <c r="G2468" s="10">
        <f t="array" ref="G2468">index('Player ID'!C:C,match(E2468,'Player ID'!B:B,0))</f>
        <v>695549</v>
      </c>
    </row>
    <row r="2469">
      <c r="A2469" s="76">
        <v>45765.0</v>
      </c>
      <c r="B2469" s="1" t="s">
        <v>117</v>
      </c>
      <c r="C2469" s="1" t="s">
        <v>70</v>
      </c>
      <c r="D2469" s="1">
        <v>1.1</v>
      </c>
      <c r="E2469" s="1">
        <v>13619.0</v>
      </c>
      <c r="F2469" s="10">
        <f t="shared" si="1"/>
        <v>1.333333333</v>
      </c>
      <c r="G2469" s="10">
        <f t="array" ref="G2469">index('Player ID'!C:C,match(E2469,'Player ID'!B:B,0))</f>
        <v>596001</v>
      </c>
    </row>
    <row r="2470">
      <c r="A2470" s="76">
        <v>45765.0</v>
      </c>
      <c r="B2470" s="1" t="s">
        <v>648</v>
      </c>
      <c r="C2470" s="1" t="s">
        <v>70</v>
      </c>
      <c r="D2470" s="1">
        <v>0.2</v>
      </c>
      <c r="E2470" s="1">
        <v>13892.0</v>
      </c>
      <c r="F2470" s="10">
        <f t="shared" si="1"/>
        <v>0.6666666667</v>
      </c>
      <c r="G2470" s="10">
        <f t="array" ref="G2470">index('Player ID'!C:C,match(E2470,'Player ID'!B:B,0))</f>
        <v>623149</v>
      </c>
    </row>
    <row r="2471">
      <c r="A2471" s="76">
        <v>45765.0</v>
      </c>
      <c r="B2471" s="1" t="s">
        <v>707</v>
      </c>
      <c r="C2471" s="1" t="s">
        <v>60</v>
      </c>
      <c r="D2471" s="1">
        <v>1.2</v>
      </c>
      <c r="E2471" s="1">
        <v>15042.0</v>
      </c>
      <c r="F2471" s="10">
        <f t="shared" si="1"/>
        <v>1.666666667</v>
      </c>
      <c r="G2471" s="10">
        <f t="array" ref="G2471">index('Player ID'!C:C,match(E2471,'Player ID'!B:B,0))</f>
        <v>641835</v>
      </c>
    </row>
    <row r="2472">
      <c r="A2472" s="76">
        <v>45765.0</v>
      </c>
      <c r="B2472" s="1" t="s">
        <v>686</v>
      </c>
      <c r="C2472" s="1" t="s">
        <v>60</v>
      </c>
      <c r="D2472" s="1">
        <v>1.0</v>
      </c>
      <c r="E2472" s="1">
        <v>17639.0</v>
      </c>
      <c r="F2472" s="10">
        <f t="shared" si="1"/>
        <v>1</v>
      </c>
      <c r="G2472" s="10">
        <f t="array" ref="G2472">index('Player ID'!C:C,match(E2472,'Player ID'!B:B,0))</f>
        <v>664875</v>
      </c>
    </row>
    <row r="2473">
      <c r="A2473" s="76">
        <v>45765.0</v>
      </c>
      <c r="B2473" s="1" t="s">
        <v>384</v>
      </c>
      <c r="C2473" s="1" t="s">
        <v>60</v>
      </c>
      <c r="D2473" s="1">
        <v>2.0</v>
      </c>
      <c r="E2473" s="1">
        <v>19962.0</v>
      </c>
      <c r="F2473" s="10">
        <f t="shared" si="1"/>
        <v>2</v>
      </c>
      <c r="G2473" s="10">
        <f t="array" ref="G2473">index('Player ID'!C:C,match(E2473,'Player ID'!B:B,0))</f>
        <v>666214</v>
      </c>
    </row>
    <row r="2474">
      <c r="A2474" s="76">
        <v>45765.0</v>
      </c>
      <c r="B2474" s="1" t="s">
        <v>132</v>
      </c>
      <c r="C2474" s="1" t="s">
        <v>70</v>
      </c>
      <c r="D2474" s="1">
        <v>0.1</v>
      </c>
      <c r="E2474" s="1">
        <v>21032.0</v>
      </c>
      <c r="F2474" s="10">
        <f t="shared" si="1"/>
        <v>0.3333333333</v>
      </c>
      <c r="G2474" s="10">
        <f t="array" ref="G2474">index('Player ID'!C:C,match(E2474,'Player ID'!B:B,0))</f>
        <v>661403</v>
      </c>
    </row>
    <row r="2475">
      <c r="A2475" s="76">
        <v>45765.0</v>
      </c>
      <c r="B2475" s="1" t="s">
        <v>519</v>
      </c>
      <c r="C2475" s="1" t="s">
        <v>70</v>
      </c>
      <c r="D2475" s="1">
        <v>0.2</v>
      </c>
      <c r="E2475" s="1">
        <v>25139.0</v>
      </c>
      <c r="F2475" s="10">
        <f t="shared" si="1"/>
        <v>0.6666666667</v>
      </c>
      <c r="G2475" s="10">
        <f t="array" ref="G2475">index('Player ID'!C:C,match(E2475,'Player ID'!B:B,0))</f>
        <v>682120</v>
      </c>
    </row>
    <row r="2476">
      <c r="A2476" s="76">
        <v>45765.0</v>
      </c>
      <c r="B2476" s="1" t="s">
        <v>267</v>
      </c>
      <c r="C2476" s="1" t="s">
        <v>60</v>
      </c>
      <c r="D2476" s="1">
        <v>4.0</v>
      </c>
      <c r="E2476" s="1">
        <v>27572.0</v>
      </c>
      <c r="F2476" s="10">
        <f t="shared" si="1"/>
        <v>4</v>
      </c>
      <c r="G2476" s="10">
        <f t="array" ref="G2476">index('Player ID'!C:C,match(E2476,'Player ID'!B:B,0))</f>
        <v>669387</v>
      </c>
    </row>
    <row r="2477">
      <c r="A2477" s="76">
        <v>45765.0</v>
      </c>
      <c r="B2477" s="1" t="s">
        <v>484</v>
      </c>
      <c r="C2477" s="1" t="s">
        <v>70</v>
      </c>
      <c r="D2477" s="1">
        <v>5.0</v>
      </c>
      <c r="E2477" s="1">
        <v>27646.0</v>
      </c>
      <c r="F2477" s="10">
        <f t="shared" si="1"/>
        <v>5</v>
      </c>
      <c r="G2477" s="10">
        <f t="array" ref="G2477">index('Player ID'!C:C,match(E2477,'Player ID'!B:B,0))</f>
        <v>682847</v>
      </c>
    </row>
    <row r="2478">
      <c r="A2478" s="76">
        <v>45765.0</v>
      </c>
      <c r="B2478" s="1" t="s">
        <v>482</v>
      </c>
      <c r="C2478" s="1" t="s">
        <v>60</v>
      </c>
      <c r="D2478" s="1">
        <v>0.1</v>
      </c>
      <c r="E2478" s="1">
        <v>27775.0</v>
      </c>
      <c r="F2478" s="10">
        <f t="shared" si="1"/>
        <v>0.3333333333</v>
      </c>
      <c r="G2478" s="10">
        <f t="array" ref="G2478">index('Player ID'!C:C,match(E2478,'Player ID'!B:B,0))</f>
        <v>693312</v>
      </c>
    </row>
    <row r="2479">
      <c r="A2479" s="76">
        <v>45765.0</v>
      </c>
      <c r="B2479" s="1" t="s">
        <v>135</v>
      </c>
      <c r="C2479" s="1" t="s">
        <v>70</v>
      </c>
      <c r="D2479" s="1">
        <v>1.0</v>
      </c>
      <c r="E2479" s="1">
        <v>27867.0</v>
      </c>
      <c r="F2479" s="10">
        <f t="shared" si="1"/>
        <v>1</v>
      </c>
      <c r="G2479" s="10">
        <f t="array" ref="G2479">index('Player ID'!C:C,match(E2479,'Player ID'!B:B,0))</f>
        <v>671922</v>
      </c>
    </row>
    <row r="2480">
      <c r="A2480" s="76">
        <v>45765.0</v>
      </c>
      <c r="B2480" s="1" t="s">
        <v>79</v>
      </c>
      <c r="C2480" s="1" t="s">
        <v>45</v>
      </c>
      <c r="D2480" s="1">
        <v>7.0</v>
      </c>
      <c r="E2480" s="1">
        <v>10310.0</v>
      </c>
      <c r="F2480" s="10">
        <f t="shared" si="1"/>
        <v>7</v>
      </c>
      <c r="G2480" s="10">
        <f t="array" ref="G2480">index('Player ID'!C:C,match(E2480,'Player ID'!B:B,0))</f>
        <v>554430</v>
      </c>
    </row>
    <row r="2481">
      <c r="A2481" s="76">
        <v>45765.0</v>
      </c>
      <c r="B2481" s="1" t="s">
        <v>699</v>
      </c>
      <c r="C2481" s="1" t="s">
        <v>45</v>
      </c>
      <c r="D2481" s="1">
        <v>1.0</v>
      </c>
      <c r="E2481" s="1">
        <v>14552.0</v>
      </c>
      <c r="F2481" s="10">
        <f t="shared" si="1"/>
        <v>1</v>
      </c>
      <c r="G2481" s="10">
        <f t="array" ref="G2481">index('Player ID'!C:C,match(E2481,'Player ID'!B:B,0))</f>
        <v>614179</v>
      </c>
    </row>
    <row r="2482">
      <c r="A2482" s="76">
        <v>45765.0</v>
      </c>
      <c r="B2482" s="1" t="s">
        <v>661</v>
      </c>
      <c r="C2482" s="1" t="s">
        <v>36</v>
      </c>
      <c r="D2482" s="1">
        <v>1.0</v>
      </c>
      <c r="E2482" s="1">
        <v>16300.0</v>
      </c>
      <c r="F2482" s="10">
        <f t="shared" si="1"/>
        <v>1</v>
      </c>
      <c r="G2482" s="10">
        <f t="array" ref="G2482">index('Player ID'!C:C,match(E2482,'Player ID'!B:B,0))</f>
        <v>622786</v>
      </c>
    </row>
    <row r="2483">
      <c r="A2483" s="76">
        <v>45765.0</v>
      </c>
      <c r="B2483" s="1" t="s">
        <v>138</v>
      </c>
      <c r="C2483" s="1" t="s">
        <v>45</v>
      </c>
      <c r="D2483" s="1">
        <v>1.0</v>
      </c>
      <c r="E2483" s="1">
        <v>16990.0</v>
      </c>
      <c r="F2483" s="10">
        <f t="shared" si="1"/>
        <v>1</v>
      </c>
      <c r="G2483" s="10">
        <f t="array" ref="G2483">index('Player ID'!C:C,match(E2483,'Player ID'!B:B,0))</f>
        <v>621383</v>
      </c>
    </row>
    <row r="2484">
      <c r="A2484" s="76">
        <v>45765.0</v>
      </c>
      <c r="B2484" s="1" t="s">
        <v>229</v>
      </c>
      <c r="C2484" s="1" t="s">
        <v>36</v>
      </c>
      <c r="D2484" s="1">
        <v>2.0</v>
      </c>
      <c r="E2484" s="1">
        <v>18684.0</v>
      </c>
      <c r="F2484" s="10">
        <f t="shared" si="1"/>
        <v>2</v>
      </c>
      <c r="G2484" s="10">
        <f t="array" ref="G2484">index('Player ID'!C:C,match(E2484,'Player ID'!B:B,0))</f>
        <v>645261</v>
      </c>
    </row>
    <row r="2485">
      <c r="A2485" s="76">
        <v>45765.0</v>
      </c>
      <c r="B2485" s="1" t="s">
        <v>61</v>
      </c>
      <c r="C2485" s="1" t="s">
        <v>36</v>
      </c>
      <c r="D2485" s="1">
        <v>1.0</v>
      </c>
      <c r="E2485" s="1">
        <v>20629.0</v>
      </c>
      <c r="F2485" s="10">
        <f t="shared" si="1"/>
        <v>1</v>
      </c>
      <c r="G2485" s="10">
        <f t="array" ref="G2485">index('Player ID'!C:C,match(E2485,'Player ID'!B:B,0))</f>
        <v>663969</v>
      </c>
    </row>
    <row r="2486">
      <c r="A2486" s="76">
        <v>45765.0</v>
      </c>
      <c r="B2486" s="1" t="s">
        <v>469</v>
      </c>
      <c r="C2486" s="1" t="s">
        <v>36</v>
      </c>
      <c r="D2486" s="1">
        <v>1.2</v>
      </c>
      <c r="E2486" s="1">
        <v>21863.0</v>
      </c>
      <c r="F2486" s="10">
        <f t="shared" si="1"/>
        <v>1.666666667</v>
      </c>
      <c r="G2486" s="10">
        <f t="array" ref="G2486">index('Player ID'!C:C,match(E2486,'Player ID'!B:B,0))</f>
        <v>666277</v>
      </c>
    </row>
    <row r="2487">
      <c r="A2487" s="76">
        <v>45765.0</v>
      </c>
      <c r="B2487" s="1" t="s">
        <v>676</v>
      </c>
      <c r="C2487" s="1" t="s">
        <v>36</v>
      </c>
      <c r="D2487" s="1">
        <v>2.1</v>
      </c>
      <c r="E2487" s="1">
        <v>27453.0</v>
      </c>
      <c r="F2487" s="10">
        <f t="shared" si="1"/>
        <v>2.333333333</v>
      </c>
      <c r="G2487" s="10">
        <f t="array" ref="G2487">index('Player ID'!C:C,match(E2487,'Player ID'!B:B,0))</f>
        <v>685107</v>
      </c>
    </row>
    <row r="2488">
      <c r="A2488" s="76">
        <v>45765.0</v>
      </c>
      <c r="B2488" s="1" t="s">
        <v>422</v>
      </c>
      <c r="C2488" s="1" t="s">
        <v>58</v>
      </c>
      <c r="D2488" s="1">
        <v>1.0</v>
      </c>
      <c r="E2488" s="1">
        <v>7048.0</v>
      </c>
      <c r="F2488" s="10">
        <f t="shared" si="1"/>
        <v>1</v>
      </c>
      <c r="G2488" s="10">
        <f t="array" ref="G2488">index('Player ID'!C:C,match(E2488,'Player ID'!B:B,0))</f>
        <v>518585</v>
      </c>
    </row>
    <row r="2489">
      <c r="A2489" s="76">
        <v>45765.0</v>
      </c>
      <c r="B2489" s="1" t="s">
        <v>467</v>
      </c>
      <c r="C2489" s="1" t="s">
        <v>58</v>
      </c>
      <c r="D2489" s="1">
        <v>1.0</v>
      </c>
      <c r="E2489" s="1">
        <v>15551.0</v>
      </c>
      <c r="F2489" s="10">
        <f t="shared" si="1"/>
        <v>1</v>
      </c>
      <c r="G2489" s="10">
        <f t="array" ref="G2489">index('Player ID'!C:C,match(E2489,'Player ID'!B:B,0))</f>
        <v>643410</v>
      </c>
    </row>
    <row r="2490">
      <c r="A2490" s="76">
        <v>45765.0</v>
      </c>
      <c r="B2490" s="1" t="s">
        <v>635</v>
      </c>
      <c r="C2490" s="1" t="s">
        <v>58</v>
      </c>
      <c r="D2490" s="1">
        <v>6.0</v>
      </c>
      <c r="E2490" s="1">
        <v>16137.0</v>
      </c>
      <c r="F2490" s="10">
        <f t="shared" si="1"/>
        <v>6</v>
      </c>
      <c r="G2490" s="10">
        <f t="array" ref="G2490">index('Player ID'!C:C,match(E2490,'Player ID'!B:B,0))</f>
        <v>607074</v>
      </c>
    </row>
    <row r="2491">
      <c r="A2491" s="76">
        <v>45765.0</v>
      </c>
      <c r="B2491" s="1" t="s">
        <v>225</v>
      </c>
      <c r="C2491" s="1" t="s">
        <v>58</v>
      </c>
      <c r="D2491" s="1">
        <v>1.0</v>
      </c>
      <c r="E2491" s="1">
        <v>16918.0</v>
      </c>
      <c r="F2491" s="10">
        <f t="shared" si="1"/>
        <v>1</v>
      </c>
      <c r="G2491" s="10">
        <f t="array" ref="G2491">index('Player ID'!C:C,match(E2491,'Player ID'!B:B,0))</f>
        <v>596133</v>
      </c>
    </row>
    <row r="2492">
      <c r="A2492" s="76">
        <v>45765.0</v>
      </c>
      <c r="B2492" s="1" t="s">
        <v>185</v>
      </c>
      <c r="C2492" s="1" t="s">
        <v>54</v>
      </c>
      <c r="D2492" s="1">
        <v>1.1</v>
      </c>
      <c r="E2492" s="1">
        <v>17897.0</v>
      </c>
      <c r="F2492" s="10">
        <f t="shared" si="1"/>
        <v>1.333333333</v>
      </c>
      <c r="G2492" s="10">
        <f t="array" ref="G2492">index('Player ID'!C:C,match(E2492,'Player ID'!B:B,0))</f>
        <v>664076</v>
      </c>
    </row>
    <row r="2493">
      <c r="A2493" s="76">
        <v>45765.0</v>
      </c>
      <c r="B2493" s="1" t="s">
        <v>400</v>
      </c>
      <c r="C2493" s="1" t="s">
        <v>54</v>
      </c>
      <c r="D2493" s="1">
        <v>1.0</v>
      </c>
      <c r="E2493" s="1">
        <v>20539.0</v>
      </c>
      <c r="F2493" s="10">
        <f t="shared" si="1"/>
        <v>1</v>
      </c>
      <c r="G2493" s="10">
        <f t="array" ref="G2493">index('Player ID'!C:C,match(E2493,'Player ID'!B:B,0))</f>
        <v>670955</v>
      </c>
    </row>
    <row r="2494">
      <c r="A2494" s="76">
        <v>45765.0</v>
      </c>
      <c r="B2494" s="1" t="s">
        <v>97</v>
      </c>
      <c r="C2494" s="1" t="s">
        <v>54</v>
      </c>
      <c r="D2494" s="1">
        <v>5.2</v>
      </c>
      <c r="E2494" s="1">
        <v>25385.0</v>
      </c>
      <c r="F2494" s="10">
        <f t="shared" si="1"/>
        <v>5.666666667</v>
      </c>
      <c r="G2494" s="10">
        <f t="array" ref="G2494">index('Player ID'!C:C,match(E2494,'Player ID'!B:B,0))</f>
        <v>656876</v>
      </c>
    </row>
    <row r="2495">
      <c r="A2495" s="76">
        <v>45765.0</v>
      </c>
      <c r="B2495" s="1" t="s">
        <v>671</v>
      </c>
      <c r="C2495" s="1" t="s">
        <v>54</v>
      </c>
      <c r="D2495" s="1">
        <v>1.0</v>
      </c>
      <c r="E2495" s="1">
        <v>26259.0</v>
      </c>
      <c r="F2495" s="10">
        <f t="shared" si="1"/>
        <v>1</v>
      </c>
      <c r="G2495" s="10">
        <f t="array" ref="G2495">index('Player ID'!C:C,match(E2495,'Player ID'!B:B,0))</f>
        <v>685801</v>
      </c>
    </row>
    <row r="2496">
      <c r="A2496" s="76">
        <v>45765.0</v>
      </c>
      <c r="B2496" s="1" t="s">
        <v>723</v>
      </c>
      <c r="C2496" s="1" t="s">
        <v>68</v>
      </c>
      <c r="D2496" s="1">
        <v>1.0</v>
      </c>
      <c r="E2496" s="1">
        <v>13528.0</v>
      </c>
      <c r="F2496" s="10">
        <f t="shared" si="1"/>
        <v>1</v>
      </c>
      <c r="G2496" s="10">
        <f t="array" ref="G2496">index('Player ID'!C:C,match(E2496,'Player ID'!B:B,0))</f>
        <v>621199</v>
      </c>
    </row>
    <row r="2497">
      <c r="A2497" s="76">
        <v>45765.0</v>
      </c>
      <c r="B2497" s="1" t="s">
        <v>475</v>
      </c>
      <c r="C2497" s="1" t="s">
        <v>66</v>
      </c>
      <c r="D2497" s="1">
        <v>2.0</v>
      </c>
      <c r="E2497" s="1">
        <v>14993.0</v>
      </c>
      <c r="F2497" s="10">
        <f t="shared" si="1"/>
        <v>2</v>
      </c>
      <c r="G2497" s="10">
        <f t="array" ref="G2497">index('Player ID'!C:C,match(E2497,'Player ID'!B:B,0))</f>
        <v>605130</v>
      </c>
    </row>
    <row r="2498">
      <c r="A2498" s="76">
        <v>45765.0</v>
      </c>
      <c r="B2498" s="1" t="s">
        <v>233</v>
      </c>
      <c r="C2498" s="1" t="s">
        <v>68</v>
      </c>
      <c r="D2498" s="1">
        <v>2.2</v>
      </c>
      <c r="E2498" s="1">
        <v>16427.0</v>
      </c>
      <c r="F2498" s="10">
        <f t="shared" si="1"/>
        <v>2.666666667</v>
      </c>
      <c r="G2498" s="10">
        <f t="array" ref="G2498">index('Player ID'!C:C,match(E2498,'Player ID'!B:B,0))</f>
        <v>656240</v>
      </c>
    </row>
    <row r="2499">
      <c r="A2499" s="76">
        <v>45765.0</v>
      </c>
      <c r="B2499" s="1" t="s">
        <v>675</v>
      </c>
      <c r="C2499" s="1" t="s">
        <v>68</v>
      </c>
      <c r="D2499" s="1">
        <v>2.0</v>
      </c>
      <c r="E2499" s="1">
        <v>19614.0</v>
      </c>
      <c r="F2499" s="10">
        <f t="shared" si="1"/>
        <v>2</v>
      </c>
      <c r="G2499" s="10">
        <f t="array" ref="G2499">index('Player ID'!C:C,match(E2499,'Player ID'!B:B,0))</f>
        <v>672335</v>
      </c>
    </row>
    <row r="2500">
      <c r="A2500" s="76">
        <v>45765.0</v>
      </c>
      <c r="B2500" s="1" t="s">
        <v>801</v>
      </c>
      <c r="C2500" s="1" t="s">
        <v>66</v>
      </c>
      <c r="D2500" s="1">
        <v>1.0</v>
      </c>
      <c r="E2500" s="1">
        <v>21132.0</v>
      </c>
      <c r="F2500" s="10">
        <f t="shared" si="1"/>
        <v>1</v>
      </c>
      <c r="G2500" s="10">
        <f t="array" ref="G2500">index('Player ID'!C:C,match(E2500,'Player ID'!B:B,0))</f>
        <v>664747</v>
      </c>
    </row>
    <row r="2501">
      <c r="A2501" s="76">
        <v>45765.0</v>
      </c>
      <c r="B2501" s="1" t="s">
        <v>169</v>
      </c>
      <c r="C2501" s="1" t="s">
        <v>66</v>
      </c>
      <c r="D2501" s="1">
        <v>6.0</v>
      </c>
      <c r="E2501" s="1">
        <v>29911.0</v>
      </c>
      <c r="F2501" s="10">
        <f t="shared" si="1"/>
        <v>6</v>
      </c>
      <c r="G2501" s="10">
        <f t="array" ref="G2501">index('Player ID'!C:C,match(E2501,'Player ID'!B:B,0))</f>
        <v>671096</v>
      </c>
    </row>
    <row r="2502">
      <c r="A2502" s="76">
        <v>45765.0</v>
      </c>
      <c r="B2502" s="1" t="s">
        <v>347</v>
      </c>
      <c r="C2502" s="1" t="s">
        <v>68</v>
      </c>
      <c r="D2502" s="1">
        <v>3.1</v>
      </c>
      <c r="E2502" s="1">
        <v>30055.0</v>
      </c>
      <c r="F2502" s="10">
        <f t="shared" si="1"/>
        <v>3.333333333</v>
      </c>
      <c r="G2502" s="10">
        <f t="array" ref="G2502">index('Player ID'!C:C,match(E2502,'Player ID'!B:B,0))</f>
        <v>700249</v>
      </c>
    </row>
    <row r="2503">
      <c r="A2503" s="76">
        <v>45765.0</v>
      </c>
      <c r="B2503" s="1" t="s">
        <v>558</v>
      </c>
      <c r="C2503" s="1" t="s">
        <v>37</v>
      </c>
      <c r="D2503" s="1">
        <v>1.0</v>
      </c>
      <c r="E2503" s="1">
        <v>11121.0</v>
      </c>
      <c r="F2503" s="10">
        <f t="shared" si="1"/>
        <v>1</v>
      </c>
      <c r="G2503" s="10">
        <f t="array" ref="G2503">index('Player ID'!C:C,match(E2503,'Player ID'!B:B,0))</f>
        <v>596271</v>
      </c>
    </row>
    <row r="2504">
      <c r="A2504" s="76">
        <v>45765.0</v>
      </c>
      <c r="B2504" s="1" t="s">
        <v>673</v>
      </c>
      <c r="C2504" s="1" t="s">
        <v>40</v>
      </c>
      <c r="D2504" s="1">
        <v>1.0</v>
      </c>
      <c r="E2504" s="1">
        <v>12095.0</v>
      </c>
      <c r="F2504" s="10">
        <f t="shared" si="1"/>
        <v>1</v>
      </c>
      <c r="G2504" s="10">
        <f t="array" ref="G2504">index('Player ID'!C:C,match(E2504,'Player ID'!B:B,0))</f>
        <v>554340</v>
      </c>
    </row>
    <row r="2505">
      <c r="A2505" s="76">
        <v>45765.0</v>
      </c>
      <c r="B2505" s="1" t="s">
        <v>174</v>
      </c>
      <c r="C2505" s="1" t="s">
        <v>40</v>
      </c>
      <c r="D2505" s="1">
        <v>0.1</v>
      </c>
      <c r="E2505" s="1">
        <v>15552.0</v>
      </c>
      <c r="F2505" s="10">
        <f t="shared" si="1"/>
        <v>0.3333333333</v>
      </c>
      <c r="G2505" s="10">
        <f t="array" ref="G2505">index('Player ID'!C:C,match(E2505,'Player ID'!B:B,0))</f>
        <v>643338</v>
      </c>
    </row>
    <row r="2506">
      <c r="A2506" s="76">
        <v>45765.0</v>
      </c>
      <c r="B2506" s="1" t="s">
        <v>311</v>
      </c>
      <c r="C2506" s="1" t="s">
        <v>40</v>
      </c>
      <c r="D2506" s="1">
        <v>1.0</v>
      </c>
      <c r="E2506" s="1">
        <v>17432.0</v>
      </c>
      <c r="F2506" s="10">
        <f t="shared" si="1"/>
        <v>1</v>
      </c>
      <c r="G2506" s="10">
        <f t="array" ref="G2506">index('Player ID'!C:C,match(E2506,'Player ID'!B:B,0))</f>
        <v>656546</v>
      </c>
    </row>
    <row r="2507">
      <c r="A2507" s="76">
        <v>45765.0</v>
      </c>
      <c r="B2507" s="1" t="s">
        <v>428</v>
      </c>
      <c r="C2507" s="1" t="s">
        <v>40</v>
      </c>
      <c r="D2507" s="1">
        <v>6.0</v>
      </c>
      <c r="E2507" s="1">
        <v>20548.0</v>
      </c>
      <c r="F2507" s="10">
        <f t="shared" si="1"/>
        <v>6</v>
      </c>
      <c r="G2507" s="10">
        <f t="array" ref="G2507">index('Player ID'!C:C,match(E2507,'Player ID'!B:B,0))</f>
        <v>670102</v>
      </c>
    </row>
    <row r="2508">
      <c r="A2508" s="76">
        <v>45765.0</v>
      </c>
      <c r="B2508" s="1" t="s">
        <v>90</v>
      </c>
      <c r="C2508" s="1" t="s">
        <v>37</v>
      </c>
      <c r="D2508" s="1">
        <v>7.0</v>
      </c>
      <c r="E2508" s="1">
        <v>30279.0</v>
      </c>
      <c r="F2508" s="10">
        <f t="shared" si="1"/>
        <v>7</v>
      </c>
      <c r="G2508" s="10">
        <f t="array" ref="G2508">index('Player ID'!C:C,match(E2508,'Player ID'!B:B,0))</f>
        <v>693433</v>
      </c>
    </row>
    <row r="2509">
      <c r="A2509" s="76">
        <v>45765.0</v>
      </c>
      <c r="B2509" s="1" t="s">
        <v>142</v>
      </c>
      <c r="C2509" s="1" t="s">
        <v>40</v>
      </c>
      <c r="D2509" s="1">
        <v>0.2</v>
      </c>
      <c r="E2509" s="1">
        <v>31553.0</v>
      </c>
      <c r="F2509" s="10">
        <f t="shared" si="1"/>
        <v>0.6666666667</v>
      </c>
      <c r="G2509" s="10">
        <f t="array" ref="G2509">index('Player ID'!C:C,match(E2509,'Player ID'!B:B,0))</f>
        <v>689254</v>
      </c>
    </row>
    <row r="2510">
      <c r="A2510" s="76">
        <v>45765.0</v>
      </c>
      <c r="B2510" s="1" t="s">
        <v>646</v>
      </c>
      <c r="C2510" s="1" t="s">
        <v>51</v>
      </c>
      <c r="D2510" s="1">
        <v>1.0</v>
      </c>
      <c r="E2510" s="1">
        <v>6107.0</v>
      </c>
      <c r="F2510" s="10">
        <f t="shared" si="1"/>
        <v>1</v>
      </c>
      <c r="G2510" s="10">
        <f t="array" ref="G2510">index('Player ID'!C:C,match(E2510,'Player ID'!B:B,0))</f>
        <v>623211</v>
      </c>
    </row>
    <row r="2511">
      <c r="A2511" s="76">
        <v>45765.0</v>
      </c>
      <c r="B2511" s="1" t="s">
        <v>287</v>
      </c>
      <c r="C2511" s="1" t="s">
        <v>72</v>
      </c>
      <c r="D2511" s="1">
        <v>4.2</v>
      </c>
      <c r="E2511" s="1">
        <v>9803.0</v>
      </c>
      <c r="F2511" s="10">
        <f t="shared" si="1"/>
        <v>4.666666667</v>
      </c>
      <c r="G2511" s="10">
        <f t="array" ref="G2511">index('Player ID'!C:C,match(E2511,'Player ID'!B:B,0))</f>
        <v>571945</v>
      </c>
    </row>
    <row r="2512">
      <c r="A2512" s="76">
        <v>45765.0</v>
      </c>
      <c r="B2512" s="1" t="s">
        <v>292</v>
      </c>
      <c r="C2512" s="1" t="s">
        <v>51</v>
      </c>
      <c r="D2512" s="1">
        <v>1.0</v>
      </c>
      <c r="E2512" s="1">
        <v>15947.0</v>
      </c>
      <c r="F2512" s="10">
        <f t="shared" si="1"/>
        <v>1</v>
      </c>
      <c r="G2512" s="10">
        <f t="array" ref="G2512">index('Player ID'!C:C,match(E2512,'Player ID'!B:B,0))</f>
        <v>592773</v>
      </c>
    </row>
    <row r="2513">
      <c r="A2513" s="76">
        <v>45765.0</v>
      </c>
      <c r="B2513" s="1" t="s">
        <v>190</v>
      </c>
      <c r="C2513" s="1" t="s">
        <v>72</v>
      </c>
      <c r="D2513" s="1">
        <v>1.1</v>
      </c>
      <c r="E2513" s="1">
        <v>18064.0</v>
      </c>
      <c r="F2513" s="10">
        <f t="shared" si="1"/>
        <v>1.333333333</v>
      </c>
      <c r="G2513" s="10">
        <f t="array" ref="G2513">index('Player ID'!C:C,match(E2513,'Player ID'!B:B,0))</f>
        <v>664208</v>
      </c>
    </row>
    <row r="2514">
      <c r="A2514" s="76">
        <v>45765.0</v>
      </c>
      <c r="B2514" s="1" t="s">
        <v>193</v>
      </c>
      <c r="C2514" s="1" t="s">
        <v>72</v>
      </c>
      <c r="D2514" s="1">
        <v>0.1</v>
      </c>
      <c r="E2514" s="1">
        <v>19574.0</v>
      </c>
      <c r="F2514" s="10">
        <f t="shared" si="1"/>
        <v>0.3333333333</v>
      </c>
      <c r="G2514" s="10">
        <f t="array" ref="G2514">index('Player ID'!C:C,match(E2514,'Player ID'!B:B,0))</f>
        <v>668941</v>
      </c>
    </row>
    <row r="2515">
      <c r="A2515" s="76">
        <v>45765.0</v>
      </c>
      <c r="B2515" s="1" t="s">
        <v>307</v>
      </c>
      <c r="C2515" s="1" t="s">
        <v>51</v>
      </c>
      <c r="D2515" s="1">
        <v>5.1</v>
      </c>
      <c r="E2515" s="1">
        <v>20302.0</v>
      </c>
      <c r="F2515" s="10">
        <f t="shared" si="1"/>
        <v>5.333333333</v>
      </c>
      <c r="G2515" s="10">
        <f t="array" ref="G2515">index('Player ID'!C:C,match(E2515,'Player ID'!B:B,0))</f>
        <v>656849</v>
      </c>
    </row>
    <row r="2516">
      <c r="A2516" s="76">
        <v>45765.0</v>
      </c>
      <c r="B2516" s="1" t="s">
        <v>273</v>
      </c>
      <c r="C2516" s="1" t="s">
        <v>72</v>
      </c>
      <c r="D2516" s="1">
        <v>0.1</v>
      </c>
      <c r="E2516" s="1">
        <v>22051.0</v>
      </c>
      <c r="F2516" s="10">
        <f t="shared" si="1"/>
        <v>0.3333333333</v>
      </c>
      <c r="G2516" s="10">
        <f t="array" ref="G2516">index('Player ID'!C:C,match(E2516,'Player ID'!B:B,0))</f>
        <v>667463</v>
      </c>
    </row>
    <row r="2517">
      <c r="A2517" s="76">
        <v>45765.0</v>
      </c>
      <c r="B2517" s="1" t="s">
        <v>50</v>
      </c>
      <c r="C2517" s="1" t="s">
        <v>51</v>
      </c>
      <c r="D2517" s="1">
        <v>1.2</v>
      </c>
      <c r="E2517" s="1">
        <v>22175.0</v>
      </c>
      <c r="F2517" s="10">
        <f t="shared" si="1"/>
        <v>1.666666667</v>
      </c>
      <c r="G2517" s="10">
        <f t="array" ref="G2517">index('Player ID'!C:C,match(E2517,'Player ID'!B:B,0))</f>
        <v>668820</v>
      </c>
    </row>
    <row r="2518">
      <c r="A2518" s="76">
        <v>45765.0</v>
      </c>
      <c r="B2518" s="1" t="s">
        <v>170</v>
      </c>
      <c r="C2518" s="1" t="s">
        <v>72</v>
      </c>
      <c r="D2518" s="1">
        <v>1.1</v>
      </c>
      <c r="E2518" s="1">
        <v>24763.0</v>
      </c>
      <c r="F2518" s="10">
        <f t="shared" si="1"/>
        <v>1.333333333</v>
      </c>
      <c r="G2518" s="10">
        <f t="array" ref="G2518">index('Player ID'!C:C,match(E2518,'Player ID'!B:B,0))</f>
        <v>681517</v>
      </c>
    </row>
    <row r="2519">
      <c r="A2519" s="76">
        <v>45765.0</v>
      </c>
      <c r="B2519" s="1" t="s">
        <v>378</v>
      </c>
      <c r="C2519" s="1" t="s">
        <v>72</v>
      </c>
      <c r="D2519" s="1">
        <v>0.0</v>
      </c>
      <c r="E2519" s="1">
        <v>24862.0</v>
      </c>
      <c r="F2519" s="10">
        <f t="shared" si="1"/>
        <v>0</v>
      </c>
      <c r="G2519" s="10">
        <f t="array" ref="G2519">index('Player ID'!C:C,match(E2519,'Player ID'!B:B,0))</f>
        <v>681676</v>
      </c>
    </row>
    <row r="2520">
      <c r="A2520" s="76">
        <v>45765.0</v>
      </c>
      <c r="B2520" s="1" t="s">
        <v>738</v>
      </c>
      <c r="C2520" s="1" t="s">
        <v>78</v>
      </c>
      <c r="D2520" s="1">
        <v>3.0</v>
      </c>
      <c r="E2520" s="1">
        <v>6902.0</v>
      </c>
      <c r="F2520" s="10">
        <f t="shared" si="1"/>
        <v>3</v>
      </c>
      <c r="G2520" s="10">
        <f t="array" ref="G2520">index('Player ID'!C:C,match(E2520,'Player ID'!B:B,0))</f>
        <v>527048</v>
      </c>
    </row>
    <row r="2521">
      <c r="A2521" s="76">
        <v>45765.0</v>
      </c>
      <c r="B2521" s="1" t="s">
        <v>493</v>
      </c>
      <c r="C2521" s="1" t="s">
        <v>22</v>
      </c>
      <c r="D2521" s="1">
        <v>1.0</v>
      </c>
      <c r="E2521" s="1">
        <v>16835.0</v>
      </c>
      <c r="F2521" s="10">
        <f t="shared" si="1"/>
        <v>1</v>
      </c>
      <c r="G2521" s="10">
        <f t="array" ref="G2521">index('Player ID'!C:C,match(E2521,'Player ID'!B:B,0))</f>
        <v>657514</v>
      </c>
    </row>
    <row r="2522">
      <c r="A2522" s="76">
        <v>45765.0</v>
      </c>
      <c r="B2522" s="1" t="s">
        <v>478</v>
      </c>
      <c r="C2522" s="1" t="s">
        <v>78</v>
      </c>
      <c r="D2522" s="1">
        <v>1.1</v>
      </c>
      <c r="E2522" s="1">
        <v>17964.0</v>
      </c>
      <c r="F2522" s="10">
        <f t="shared" si="1"/>
        <v>1.333333333</v>
      </c>
      <c r="G2522" s="10">
        <f t="array" ref="G2522">index('Player ID'!C:C,match(E2522,'Player ID'!B:B,0))</f>
        <v>656457</v>
      </c>
    </row>
    <row r="2523">
      <c r="A2523" s="76">
        <v>45765.0</v>
      </c>
      <c r="B2523" s="1" t="s">
        <v>387</v>
      </c>
      <c r="C2523" s="1" t="s">
        <v>78</v>
      </c>
      <c r="D2523" s="1">
        <v>1.0</v>
      </c>
      <c r="E2523" s="1">
        <v>19990.0</v>
      </c>
      <c r="F2523" s="10">
        <f t="shared" si="1"/>
        <v>1</v>
      </c>
      <c r="G2523" s="10">
        <f t="array" ref="G2523">index('Player ID'!C:C,match(E2523,'Player ID'!B:B,0))</f>
        <v>669060</v>
      </c>
    </row>
    <row r="2524">
      <c r="A2524" s="76">
        <v>45765.0</v>
      </c>
      <c r="B2524" s="1" t="s">
        <v>600</v>
      </c>
      <c r="C2524" s="1" t="s">
        <v>22</v>
      </c>
      <c r="D2524" s="1">
        <v>2.0</v>
      </c>
      <c r="E2524" s="1">
        <v>22387.0</v>
      </c>
      <c r="F2524" s="10">
        <f t="shared" si="1"/>
        <v>2</v>
      </c>
      <c r="G2524" s="10">
        <f t="array" ref="G2524">index('Player ID'!C:C,match(E2524,'Player ID'!B:B,0))</f>
        <v>670174</v>
      </c>
    </row>
    <row r="2525">
      <c r="A2525" s="76">
        <v>45765.0</v>
      </c>
      <c r="B2525" s="1" t="s">
        <v>658</v>
      </c>
      <c r="C2525" s="1" t="s">
        <v>78</v>
      </c>
      <c r="D2525" s="1">
        <v>2.0</v>
      </c>
      <c r="E2525" s="1">
        <v>25174.0</v>
      </c>
      <c r="F2525" s="10">
        <f t="shared" si="1"/>
        <v>2</v>
      </c>
      <c r="G2525" s="10">
        <f t="array" ref="G2525">index('Player ID'!C:C,match(E2525,'Player ID'!B:B,0))</f>
        <v>682171</v>
      </c>
    </row>
    <row r="2526">
      <c r="A2526" s="76">
        <v>45765.0</v>
      </c>
      <c r="B2526" s="1" t="s">
        <v>317</v>
      </c>
      <c r="C2526" s="1" t="s">
        <v>78</v>
      </c>
      <c r="D2526" s="1">
        <v>0.2</v>
      </c>
      <c r="E2526" s="1">
        <v>29950.0</v>
      </c>
      <c r="F2526" s="10">
        <f t="shared" si="1"/>
        <v>0.6666666667</v>
      </c>
      <c r="G2526" s="10">
        <f t="array" ref="G2526">index('Player ID'!C:C,match(E2526,'Player ID'!B:B,0))</f>
        <v>673929</v>
      </c>
    </row>
    <row r="2527">
      <c r="A2527" s="76">
        <v>45765.0</v>
      </c>
      <c r="B2527" s="1" t="s">
        <v>143</v>
      </c>
      <c r="C2527" s="1" t="s">
        <v>22</v>
      </c>
      <c r="D2527" s="1">
        <v>6.0</v>
      </c>
      <c r="E2527" s="1">
        <v>30240.0</v>
      </c>
      <c r="F2527" s="10">
        <f t="shared" si="1"/>
        <v>6</v>
      </c>
      <c r="G2527" s="10">
        <f t="array" ref="G2527">index('Player ID'!C:C,match(E2527,'Player ID'!B:B,0))</f>
        <v>690928</v>
      </c>
    </row>
    <row r="2528">
      <c r="A2528" s="76">
        <v>45765.0</v>
      </c>
      <c r="B2528" s="1" t="s">
        <v>435</v>
      </c>
      <c r="C2528" s="1" t="s">
        <v>16</v>
      </c>
      <c r="D2528" s="1">
        <v>1.0</v>
      </c>
      <c r="E2528" s="1">
        <v>13293.0</v>
      </c>
      <c r="F2528" s="10">
        <f t="shared" si="1"/>
        <v>1</v>
      </c>
      <c r="G2528" s="10">
        <f t="array" ref="G2528">index('Player ID'!C:C,match(E2528,'Player ID'!B:B,0))</f>
        <v>543056</v>
      </c>
    </row>
    <row r="2529">
      <c r="A2529" s="76">
        <v>45765.0</v>
      </c>
      <c r="B2529" s="1" t="s">
        <v>319</v>
      </c>
      <c r="C2529" s="1" t="s">
        <v>46</v>
      </c>
      <c r="D2529" s="1">
        <v>1.1</v>
      </c>
      <c r="E2529" s="1">
        <v>16258.0</v>
      </c>
      <c r="F2529" s="10">
        <f t="shared" si="1"/>
        <v>1.333333333</v>
      </c>
      <c r="G2529" s="10">
        <f t="array" ref="G2529">index('Player ID'!C:C,match(E2529,'Player ID'!B:B,0))</f>
        <v>607481</v>
      </c>
    </row>
    <row r="2530">
      <c r="A2530" s="76">
        <v>45765.0</v>
      </c>
      <c r="B2530" s="1" t="s">
        <v>184</v>
      </c>
      <c r="C2530" s="1" t="s">
        <v>46</v>
      </c>
      <c r="D2530" s="1">
        <v>1.0</v>
      </c>
      <c r="E2530" s="1">
        <v>17130.0</v>
      </c>
      <c r="F2530" s="10">
        <f t="shared" si="1"/>
        <v>1</v>
      </c>
      <c r="G2530" s="10">
        <f t="array" ref="G2530">index('Player ID'!C:C,match(E2530,'Player ID'!B:B,0))</f>
        <v>628452</v>
      </c>
    </row>
    <row r="2531">
      <c r="A2531" s="76">
        <v>45765.0</v>
      </c>
      <c r="B2531" s="1" t="s">
        <v>346</v>
      </c>
      <c r="C2531" s="1" t="s">
        <v>46</v>
      </c>
      <c r="D2531" s="1">
        <v>1.2</v>
      </c>
      <c r="E2531" s="1">
        <v>18403.0</v>
      </c>
      <c r="F2531" s="10">
        <f t="shared" si="1"/>
        <v>1.666666667</v>
      </c>
      <c r="G2531" s="10">
        <f t="array" ref="G2531">index('Player ID'!C:C,match(E2531,'Player ID'!B:B,0))</f>
        <v>660853</v>
      </c>
    </row>
    <row r="2532">
      <c r="A2532" s="76">
        <v>45765.0</v>
      </c>
      <c r="B2532" s="1" t="s">
        <v>133</v>
      </c>
      <c r="C2532" s="1" t="s">
        <v>16</v>
      </c>
      <c r="D2532" s="1">
        <v>5.0</v>
      </c>
      <c r="E2532" s="1">
        <v>20099.0</v>
      </c>
      <c r="F2532" s="10">
        <f t="shared" si="1"/>
        <v>5</v>
      </c>
      <c r="G2532" s="10">
        <f t="array" ref="G2532">index('Player ID'!C:C,match(E2532,'Player ID'!B:B,0))</f>
        <v>663978</v>
      </c>
    </row>
    <row r="2533">
      <c r="A2533" s="76">
        <v>45765.0</v>
      </c>
      <c r="B2533" s="1" t="s">
        <v>28</v>
      </c>
      <c r="C2533" s="1" t="s">
        <v>16</v>
      </c>
      <c r="D2533" s="1">
        <v>0.1</v>
      </c>
      <c r="E2533" s="1">
        <v>20253.0</v>
      </c>
      <c r="F2533" s="10">
        <f t="shared" si="1"/>
        <v>0.3333333333</v>
      </c>
      <c r="G2533" s="10">
        <f t="array" ref="G2533">index('Player ID'!C:C,match(E2533,'Player ID'!B:B,0))</f>
        <v>643377</v>
      </c>
    </row>
    <row r="2534">
      <c r="A2534" s="76">
        <v>45765.0</v>
      </c>
      <c r="B2534" s="1" t="s">
        <v>237</v>
      </c>
      <c r="C2534" s="1" t="s">
        <v>16</v>
      </c>
      <c r="D2534" s="1">
        <v>0.2</v>
      </c>
      <c r="E2534" s="1">
        <v>21461.0</v>
      </c>
      <c r="F2534" s="10">
        <f t="shared" si="1"/>
        <v>0.6666666667</v>
      </c>
      <c r="G2534" s="10">
        <f t="array" ref="G2534">index('Player ID'!C:C,match(E2534,'Player ID'!B:B,0))</f>
        <v>663485</v>
      </c>
    </row>
    <row r="2535">
      <c r="A2535" s="76">
        <v>45765.0</v>
      </c>
      <c r="B2535" s="1" t="s">
        <v>47</v>
      </c>
      <c r="C2535" s="1" t="s">
        <v>16</v>
      </c>
      <c r="D2535" s="1">
        <v>1.0</v>
      </c>
      <c r="E2535" s="1">
        <v>27691.0</v>
      </c>
      <c r="F2535" s="10">
        <f t="shared" si="1"/>
        <v>1</v>
      </c>
      <c r="G2535" s="10">
        <f t="array" ref="G2535">index('Player ID'!C:C,match(E2535,'Player ID'!B:B,0))</f>
        <v>686973</v>
      </c>
    </row>
    <row r="2536">
      <c r="A2536" s="76">
        <v>45765.0</v>
      </c>
      <c r="B2536" s="1" t="s">
        <v>275</v>
      </c>
      <c r="C2536" s="1" t="s">
        <v>46</v>
      </c>
      <c r="D2536" s="1">
        <v>5.0</v>
      </c>
      <c r="E2536" s="1">
        <v>27779.0</v>
      </c>
      <c r="F2536" s="10">
        <f t="shared" si="1"/>
        <v>5</v>
      </c>
      <c r="G2536" s="10">
        <f t="array" ref="G2536">index('Player ID'!C:C,match(E2536,'Player ID'!B:B,0))</f>
        <v>693821</v>
      </c>
    </row>
    <row r="2537">
      <c r="A2537" s="76">
        <v>45765.0</v>
      </c>
      <c r="B2537" s="1" t="s">
        <v>392</v>
      </c>
      <c r="C2537" s="1" t="s">
        <v>33</v>
      </c>
      <c r="D2537" s="1">
        <v>1.0</v>
      </c>
      <c r="E2537" s="1">
        <v>9073.0</v>
      </c>
      <c r="F2537" s="10">
        <f t="shared" si="1"/>
        <v>1</v>
      </c>
      <c r="G2537" s="10">
        <f t="array" ref="G2537">index('Player ID'!C:C,match(E2537,'Player ID'!B:B,0))</f>
        <v>489446</v>
      </c>
    </row>
    <row r="2538">
      <c r="A2538" s="76">
        <v>45765.0</v>
      </c>
      <c r="B2538" s="1" t="s">
        <v>57</v>
      </c>
      <c r="C2538" s="1" t="s">
        <v>56</v>
      </c>
      <c r="D2538" s="1">
        <v>7.0</v>
      </c>
      <c r="E2538" s="1">
        <v>10954.0</v>
      </c>
      <c r="F2538" s="10">
        <f t="shared" si="1"/>
        <v>7</v>
      </c>
      <c r="G2538" s="10">
        <f t="array" ref="G2538">index('Player ID'!C:C,match(E2538,'Player ID'!B:B,0))</f>
        <v>594798</v>
      </c>
    </row>
    <row r="2539">
      <c r="A2539" s="76">
        <v>45765.0</v>
      </c>
      <c r="B2539" s="1" t="s">
        <v>440</v>
      </c>
      <c r="C2539" s="1" t="s">
        <v>56</v>
      </c>
      <c r="D2539" s="1">
        <v>0.2</v>
      </c>
      <c r="E2539" s="1">
        <v>12857.0</v>
      </c>
      <c r="F2539" s="10">
        <f t="shared" si="1"/>
        <v>0.6666666667</v>
      </c>
      <c r="G2539" s="10">
        <f t="array" ref="G2539">index('Player ID'!C:C,match(E2539,'Player ID'!B:B,0))</f>
        <v>542888</v>
      </c>
    </row>
    <row r="2540">
      <c r="A2540" s="76">
        <v>45765.0</v>
      </c>
      <c r="B2540" s="1" t="s">
        <v>151</v>
      </c>
      <c r="C2540" s="1" t="s">
        <v>56</v>
      </c>
      <c r="D2540" s="1">
        <v>1.1</v>
      </c>
      <c r="E2540" s="1">
        <v>13346.0</v>
      </c>
      <c r="F2540" s="10">
        <f t="shared" si="1"/>
        <v>1.333333333</v>
      </c>
      <c r="G2540" s="10">
        <f t="array" ref="G2540">index('Player ID'!C:C,match(E2540,'Player ID'!B:B,0))</f>
        <v>571948</v>
      </c>
    </row>
    <row r="2541">
      <c r="A2541" s="76">
        <v>45765.0</v>
      </c>
      <c r="B2541" s="1" t="s">
        <v>32</v>
      </c>
      <c r="C2541" s="1" t="s">
        <v>33</v>
      </c>
      <c r="D2541" s="1">
        <v>1.0</v>
      </c>
      <c r="E2541" s="1">
        <v>17586.0</v>
      </c>
      <c r="F2541" s="10">
        <f t="shared" si="1"/>
        <v>1</v>
      </c>
      <c r="G2541" s="10">
        <f t="array" ref="G2541">index('Player ID'!C:C,match(E2541,'Player ID'!B:B,0))</f>
        <v>656945</v>
      </c>
    </row>
    <row r="2542">
      <c r="A2542" s="76">
        <v>45765.0</v>
      </c>
      <c r="B2542" s="1" t="s">
        <v>85</v>
      </c>
      <c r="C2542" s="1" t="s">
        <v>33</v>
      </c>
      <c r="D2542" s="1">
        <v>7.0</v>
      </c>
      <c r="E2542" s="1">
        <v>33825.0</v>
      </c>
      <c r="F2542" s="10">
        <f t="shared" si="1"/>
        <v>7</v>
      </c>
      <c r="G2542" s="10">
        <f t="array" ref="G2542">index('Player ID'!C:C,match(E2542,'Player ID'!B:B,0))</f>
        <v>808967</v>
      </c>
    </row>
    <row r="2543">
      <c r="A2543" s="76">
        <v>45765.0</v>
      </c>
      <c r="B2543" s="1" t="s">
        <v>38</v>
      </c>
      <c r="C2543" s="1" t="s">
        <v>39</v>
      </c>
      <c r="D2543" s="1">
        <v>1.0</v>
      </c>
      <c r="E2543" s="1">
        <v>13580.0</v>
      </c>
      <c r="F2543" s="10">
        <f t="shared" si="1"/>
        <v>1</v>
      </c>
      <c r="G2543" s="10">
        <f t="array" ref="G2543">index('Player ID'!C:C,match(E2543,'Player ID'!B:B,0))</f>
        <v>595345</v>
      </c>
    </row>
    <row r="2544">
      <c r="A2544" s="76">
        <v>45765.0</v>
      </c>
      <c r="B2544" s="1" t="s">
        <v>59</v>
      </c>
      <c r="C2544" s="1" t="s">
        <v>39</v>
      </c>
      <c r="D2544" s="1">
        <v>1.0</v>
      </c>
      <c r="E2544" s="1">
        <v>14212.0</v>
      </c>
      <c r="F2544" s="10">
        <f t="shared" si="1"/>
        <v>1</v>
      </c>
      <c r="G2544" s="10">
        <f t="array" ref="G2544">index('Player ID'!C:C,match(E2544,'Player ID'!B:B,0))</f>
        <v>623352</v>
      </c>
    </row>
    <row r="2545">
      <c r="A2545" s="76">
        <v>45765.0</v>
      </c>
      <c r="B2545" s="1" t="s">
        <v>210</v>
      </c>
      <c r="C2545" s="1" t="s">
        <v>39</v>
      </c>
      <c r="D2545" s="1">
        <v>1.0</v>
      </c>
      <c r="E2545" s="1">
        <v>16609.0</v>
      </c>
      <c r="F2545" s="10">
        <f t="shared" si="1"/>
        <v>1</v>
      </c>
      <c r="G2545" s="10">
        <f t="array" ref="G2545">index('Player ID'!C:C,match(E2545,'Player ID'!B:B,0))</f>
        <v>650556</v>
      </c>
    </row>
    <row r="2546">
      <c r="A2546" s="76">
        <v>45765.0</v>
      </c>
      <c r="B2546" s="1" t="s">
        <v>271</v>
      </c>
      <c r="C2546" s="1" t="s">
        <v>26</v>
      </c>
      <c r="D2546" s="1">
        <v>5.0</v>
      </c>
      <c r="E2546" s="1">
        <v>19646.0</v>
      </c>
      <c r="F2546" s="10">
        <f t="shared" si="1"/>
        <v>5</v>
      </c>
      <c r="G2546" s="10">
        <f t="array" ref="G2546">index('Player ID'!C:C,match(E2546,'Player ID'!B:B,0))</f>
        <v>606996</v>
      </c>
    </row>
    <row r="2547">
      <c r="A2547" s="76">
        <v>45765.0</v>
      </c>
      <c r="B2547" s="1" t="s">
        <v>76</v>
      </c>
      <c r="C2547" s="1" t="s">
        <v>39</v>
      </c>
      <c r="D2547" s="1">
        <v>1.0</v>
      </c>
      <c r="E2547" s="1">
        <v>25890.0</v>
      </c>
      <c r="F2547" s="10">
        <f t="shared" si="1"/>
        <v>1</v>
      </c>
      <c r="G2547" s="10">
        <f t="array" ref="G2547">index('Player ID'!C:C,match(E2547,'Player ID'!B:B,0))</f>
        <v>687911</v>
      </c>
    </row>
    <row r="2548">
      <c r="A2548" s="76">
        <v>45765.0</v>
      </c>
      <c r="B2548" s="1" t="s">
        <v>228</v>
      </c>
      <c r="C2548" s="1" t="s">
        <v>39</v>
      </c>
      <c r="D2548" s="1">
        <v>5.0</v>
      </c>
      <c r="E2548" s="1">
        <v>26440.0</v>
      </c>
      <c r="F2548" s="10">
        <f t="shared" si="1"/>
        <v>5</v>
      </c>
      <c r="G2548" s="10">
        <f t="array" ref="G2548">index('Player ID'!C:C,match(E2548,'Player ID'!B:B,0))</f>
        <v>687473</v>
      </c>
    </row>
    <row r="2549">
      <c r="A2549" s="76">
        <v>45765.0</v>
      </c>
      <c r="B2549" s="1" t="s">
        <v>391</v>
      </c>
      <c r="C2549" s="1" t="s">
        <v>26</v>
      </c>
      <c r="D2549" s="1">
        <v>2.0</v>
      </c>
      <c r="E2549" s="1">
        <v>29628.0</v>
      </c>
      <c r="F2549" s="10">
        <f t="shared" si="1"/>
        <v>2</v>
      </c>
      <c r="G2549" s="10">
        <f t="array" ref="G2549">index('Player ID'!C:C,match(E2549,'Player ID'!B:B,0))</f>
        <v>689690</v>
      </c>
    </row>
    <row r="2550">
      <c r="A2550" s="76">
        <v>45765.0</v>
      </c>
      <c r="B2550" s="1" t="s">
        <v>284</v>
      </c>
      <c r="C2550" s="1" t="s">
        <v>26</v>
      </c>
      <c r="D2550" s="1">
        <v>1.0</v>
      </c>
      <c r="E2550" s="1">
        <v>33826.0</v>
      </c>
      <c r="F2550" s="10">
        <f t="shared" si="1"/>
        <v>1</v>
      </c>
      <c r="G2550" s="10">
        <f t="array" ref="G2550">index('Player ID'!C:C,match(E2550,'Player ID'!B:B,0))</f>
        <v>673513</v>
      </c>
    </row>
    <row r="2551">
      <c r="A2551" s="76">
        <v>45765.0</v>
      </c>
      <c r="B2551" s="1" t="s">
        <v>669</v>
      </c>
      <c r="C2551" s="1" t="s">
        <v>52</v>
      </c>
      <c r="D2551" s="1">
        <v>1.0</v>
      </c>
      <c r="E2551" s="1">
        <v>14524.0</v>
      </c>
      <c r="F2551" s="10">
        <f t="shared" si="1"/>
        <v>1</v>
      </c>
      <c r="G2551" s="10">
        <f t="array" ref="G2551">index('Player ID'!C:C,match(E2551,'Player ID'!B:B,0))</f>
        <v>600917</v>
      </c>
    </row>
    <row r="2552">
      <c r="A2552" s="76">
        <v>45765.0</v>
      </c>
      <c r="B2552" s="1" t="s">
        <v>13</v>
      </c>
      <c r="C2552" s="1" t="s">
        <v>14</v>
      </c>
      <c r="D2552" s="1">
        <v>0.2</v>
      </c>
      <c r="E2552" s="1">
        <v>17722.0</v>
      </c>
      <c r="F2552" s="10">
        <f t="shared" si="1"/>
        <v>0.6666666667</v>
      </c>
      <c r="G2552" s="10">
        <f t="array" ref="G2552">index('Player ID'!C:C,match(E2552,'Player ID'!B:B,0))</f>
        <v>656730</v>
      </c>
    </row>
    <row r="2553">
      <c r="A2553" s="76">
        <v>45765.0</v>
      </c>
      <c r="B2553" s="1" t="s">
        <v>180</v>
      </c>
      <c r="C2553" s="1" t="s">
        <v>14</v>
      </c>
      <c r="D2553" s="1">
        <v>5.0</v>
      </c>
      <c r="E2553" s="1">
        <v>18679.0</v>
      </c>
      <c r="F2553" s="10">
        <f t="shared" si="1"/>
        <v>5</v>
      </c>
      <c r="G2553" s="10">
        <f t="array" ref="G2553">index('Player ID'!C:C,match(E2553,'Player ID'!B:B,0))</f>
        <v>642547</v>
      </c>
    </row>
    <row r="2554">
      <c r="A2554" s="76">
        <v>45765.0</v>
      </c>
      <c r="B2554" s="1" t="s">
        <v>636</v>
      </c>
      <c r="C2554" s="1" t="s">
        <v>14</v>
      </c>
      <c r="D2554" s="1">
        <v>0.1</v>
      </c>
      <c r="E2554" s="1">
        <v>19924.0</v>
      </c>
      <c r="F2554" s="10">
        <f t="shared" si="1"/>
        <v>0.3333333333</v>
      </c>
      <c r="G2554" s="10">
        <f t="array" ref="G2554">index('Player ID'!C:C,match(E2554,'Player ID'!B:B,0))</f>
        <v>663542</v>
      </c>
    </row>
    <row r="2555">
      <c r="A2555" s="76">
        <v>45765.0</v>
      </c>
      <c r="B2555" s="1" t="s">
        <v>318</v>
      </c>
      <c r="C2555" s="1" t="s">
        <v>14</v>
      </c>
      <c r="D2555" s="1">
        <v>1.0</v>
      </c>
      <c r="E2555" s="1">
        <v>20546.0</v>
      </c>
      <c r="F2555" s="10">
        <f t="shared" si="1"/>
        <v>1</v>
      </c>
      <c r="G2555" s="10">
        <f t="array" ref="G2555">index('Player ID'!C:C,match(E2555,'Player ID'!B:B,0))</f>
        <v>681982</v>
      </c>
    </row>
    <row r="2556">
      <c r="A2556" s="76">
        <v>45765.0</v>
      </c>
      <c r="B2556" s="1" t="s">
        <v>389</v>
      </c>
      <c r="C2556" s="1" t="s">
        <v>52</v>
      </c>
      <c r="D2556" s="1">
        <v>1.1</v>
      </c>
      <c r="E2556" s="1">
        <v>25098.0</v>
      </c>
      <c r="F2556" s="10">
        <f t="shared" si="1"/>
        <v>1.333333333</v>
      </c>
      <c r="G2556" s="10">
        <f t="array" ref="G2556">index('Player ID'!C:C,match(E2556,'Player ID'!B:B,0))</f>
        <v>682052</v>
      </c>
    </row>
    <row r="2557">
      <c r="A2557" s="76">
        <v>45765.0</v>
      </c>
      <c r="B2557" s="1" t="s">
        <v>279</v>
      </c>
      <c r="C2557" s="1" t="s">
        <v>14</v>
      </c>
      <c r="D2557" s="1">
        <v>1.0</v>
      </c>
      <c r="E2557" s="1">
        <v>25327.0</v>
      </c>
      <c r="F2557" s="10">
        <f t="shared" si="1"/>
        <v>1</v>
      </c>
      <c r="G2557" s="10">
        <f t="array" ref="G2557">index('Player ID'!C:C,match(E2557,'Player ID'!B:B,0))</f>
        <v>682842</v>
      </c>
    </row>
    <row r="2558">
      <c r="A2558" s="76">
        <v>45765.0</v>
      </c>
      <c r="B2558" s="1" t="s">
        <v>112</v>
      </c>
      <c r="C2558" s="1" t="s">
        <v>14</v>
      </c>
      <c r="D2558" s="1">
        <v>1.0</v>
      </c>
      <c r="E2558" s="1">
        <v>25376.0</v>
      </c>
      <c r="F2558" s="10">
        <f t="shared" si="1"/>
        <v>1</v>
      </c>
      <c r="G2558" s="10">
        <f t="array" ref="G2558">index('Player ID'!C:C,match(E2558,'Player ID'!B:B,0))</f>
        <v>683232</v>
      </c>
    </row>
    <row r="2559">
      <c r="A2559" s="76">
        <v>45765.0</v>
      </c>
      <c r="B2559" s="1" t="s">
        <v>213</v>
      </c>
      <c r="C2559" s="1" t="s">
        <v>52</v>
      </c>
      <c r="D2559" s="1">
        <v>1.0</v>
      </c>
      <c r="E2559" s="1">
        <v>27694.0</v>
      </c>
      <c r="F2559" s="10">
        <f t="shared" si="1"/>
        <v>1</v>
      </c>
      <c r="G2559" s="10">
        <f t="array" ref="G2559">index('Player ID'!C:C,match(E2559,'Player ID'!B:B,0))</f>
        <v>686993</v>
      </c>
    </row>
    <row r="2560">
      <c r="A2560" s="76">
        <v>45765.0</v>
      </c>
      <c r="B2560" s="1" t="s">
        <v>296</v>
      </c>
      <c r="C2560" s="1" t="s">
        <v>52</v>
      </c>
      <c r="D2560" s="1">
        <v>4.2</v>
      </c>
      <c r="E2560" s="1">
        <v>27889.0</v>
      </c>
      <c r="F2560" s="10">
        <f t="shared" si="1"/>
        <v>4.666666667</v>
      </c>
      <c r="G2560" s="10">
        <f t="array" ref="G2560">index('Player ID'!C:C,match(E2560,'Player ID'!B:B,0))</f>
        <v>669372</v>
      </c>
    </row>
    <row r="2561">
      <c r="A2561" s="76">
        <v>45765.0</v>
      </c>
      <c r="B2561" s="1" t="s">
        <v>154</v>
      </c>
      <c r="C2561" s="1" t="s">
        <v>25</v>
      </c>
      <c r="D2561" s="1">
        <v>1.0</v>
      </c>
      <c r="E2561" s="1">
        <v>3096.0</v>
      </c>
      <c r="F2561" s="10">
        <f t="shared" si="1"/>
        <v>1</v>
      </c>
      <c r="G2561" s="10">
        <f t="array" ref="G2561">index('Player ID'!C:C,match(E2561,'Player ID'!B:B,0))</f>
        <v>445276</v>
      </c>
    </row>
    <row r="2562">
      <c r="A2562" s="76">
        <v>45765.0</v>
      </c>
      <c r="B2562" s="1" t="s">
        <v>278</v>
      </c>
      <c r="C2562" s="1" t="s">
        <v>25</v>
      </c>
      <c r="D2562" s="1">
        <v>6.0</v>
      </c>
      <c r="E2562" s="1">
        <v>12880.0</v>
      </c>
      <c r="F2562" s="10">
        <f t="shared" si="1"/>
        <v>6</v>
      </c>
      <c r="G2562" s="10">
        <f t="array" ref="G2562">index('Player ID'!C:C,match(E2562,'Player ID'!B:B,0))</f>
        <v>542881</v>
      </c>
    </row>
    <row r="2563">
      <c r="A2563" s="76">
        <v>45765.0</v>
      </c>
      <c r="B2563" s="1" t="s">
        <v>503</v>
      </c>
      <c r="C2563" s="1" t="s">
        <v>31</v>
      </c>
      <c r="D2563" s="1">
        <v>1.0</v>
      </c>
      <c r="E2563" s="1">
        <v>15043.0</v>
      </c>
      <c r="F2563" s="10">
        <f t="shared" si="1"/>
        <v>1</v>
      </c>
      <c r="G2563" s="10">
        <f t="array" ref="G2563">index('Player ID'!C:C,match(E2563,'Player ID'!B:B,0))</f>
        <v>642152</v>
      </c>
    </row>
    <row r="2564">
      <c r="A2564" s="76">
        <v>45765.0</v>
      </c>
      <c r="B2564" s="1" t="s">
        <v>291</v>
      </c>
      <c r="C2564" s="1" t="s">
        <v>25</v>
      </c>
      <c r="D2564" s="1">
        <v>1.0</v>
      </c>
      <c r="E2564" s="1">
        <v>17968.0</v>
      </c>
      <c r="F2564" s="10">
        <f t="shared" si="1"/>
        <v>1</v>
      </c>
      <c r="G2564" s="10">
        <f t="array" ref="G2564">index('Player ID'!C:C,match(E2564,'Player ID'!B:B,0))</f>
        <v>656271</v>
      </c>
    </row>
    <row r="2565">
      <c r="A2565" s="76">
        <v>45765.0</v>
      </c>
      <c r="B2565" s="1" t="s">
        <v>77</v>
      </c>
      <c r="C2565" s="1" t="s">
        <v>31</v>
      </c>
      <c r="D2565" s="1">
        <v>6.0</v>
      </c>
      <c r="E2565" s="1">
        <v>17995.0</v>
      </c>
      <c r="F2565" s="10">
        <f t="shared" si="1"/>
        <v>6</v>
      </c>
      <c r="G2565" s="10">
        <f t="array" ref="G2565">index('Player ID'!C:C,match(E2565,'Player ID'!B:B,0))</f>
        <v>657277</v>
      </c>
    </row>
    <row r="2566">
      <c r="A2566" s="76">
        <v>45765.0</v>
      </c>
      <c r="B2566" s="1" t="s">
        <v>654</v>
      </c>
      <c r="C2566" s="1" t="s">
        <v>31</v>
      </c>
      <c r="D2566" s="1">
        <v>1.0</v>
      </c>
      <c r="E2566" s="1">
        <v>23974.0</v>
      </c>
      <c r="F2566" s="10">
        <f t="shared" si="1"/>
        <v>1</v>
      </c>
      <c r="G2566" s="10">
        <f t="array" ref="G2566">index('Player ID'!C:C,match(E2566,'Player ID'!B:B,0))</f>
        <v>678495</v>
      </c>
    </row>
    <row r="2567">
      <c r="A2567" s="76">
        <v>45765.0</v>
      </c>
      <c r="B2567" s="1" t="s">
        <v>385</v>
      </c>
      <c r="C2567" s="1" t="s">
        <v>25</v>
      </c>
      <c r="D2567" s="1">
        <v>1.0</v>
      </c>
      <c r="E2567" s="1">
        <v>25420.0</v>
      </c>
      <c r="F2567" s="10">
        <f t="shared" si="1"/>
        <v>1</v>
      </c>
      <c r="G2567" s="10">
        <f t="array" ref="G2567">index('Player ID'!C:C,match(E2567,'Player ID'!B:B,0))</f>
        <v>666171</v>
      </c>
    </row>
    <row r="2568">
      <c r="A2568" s="76">
        <v>45766.0</v>
      </c>
      <c r="B2568" s="1" t="s">
        <v>453</v>
      </c>
      <c r="C2568" s="1" t="s">
        <v>45</v>
      </c>
      <c r="D2568" s="1">
        <v>4.0</v>
      </c>
      <c r="E2568" s="1">
        <v>11836.0</v>
      </c>
      <c r="F2568" s="10">
        <f t="shared" si="1"/>
        <v>4</v>
      </c>
      <c r="G2568" s="10">
        <f t="array" ref="G2568">index('Player ID'!C:C,match(E2568,'Player ID'!B:B,0))</f>
        <v>592836</v>
      </c>
    </row>
    <row r="2569">
      <c r="A2569" s="76">
        <v>45766.0</v>
      </c>
      <c r="B2569" s="1" t="s">
        <v>360</v>
      </c>
      <c r="C2569" s="1" t="s">
        <v>45</v>
      </c>
      <c r="D2569" s="1">
        <v>2.0</v>
      </c>
      <c r="E2569" s="1">
        <v>12972.0</v>
      </c>
      <c r="F2569" s="10">
        <f t="shared" si="1"/>
        <v>2</v>
      </c>
      <c r="G2569" s="10">
        <f t="array" ref="G2569">index('Player ID'!C:C,match(E2569,'Player ID'!B:B,0))</f>
        <v>605452</v>
      </c>
    </row>
    <row r="2570">
      <c r="A2570" s="76">
        <v>45766.0</v>
      </c>
      <c r="B2570" s="1" t="s">
        <v>182</v>
      </c>
      <c r="C2570" s="1" t="s">
        <v>45</v>
      </c>
      <c r="D2570" s="1">
        <v>1.0</v>
      </c>
      <c r="E2570" s="1">
        <v>13799.0</v>
      </c>
      <c r="F2570" s="10">
        <f t="shared" si="1"/>
        <v>1</v>
      </c>
      <c r="G2570" s="10">
        <f t="array" ref="G2570">index('Player ID'!C:C,match(E2570,'Player ID'!B:B,0))</f>
        <v>621381</v>
      </c>
    </row>
    <row r="2571">
      <c r="A2571" s="76">
        <v>45766.0</v>
      </c>
      <c r="B2571" s="1" t="s">
        <v>208</v>
      </c>
      <c r="C2571" s="1" t="s">
        <v>45</v>
      </c>
      <c r="D2571" s="1">
        <v>0.2</v>
      </c>
      <c r="E2571" s="1">
        <v>16122.0</v>
      </c>
      <c r="F2571" s="10">
        <f t="shared" si="1"/>
        <v>0.6666666667</v>
      </c>
      <c r="G2571" s="10">
        <f t="array" ref="G2571">index('Player ID'!C:C,match(E2571,'Player ID'!B:B,0))</f>
        <v>605447</v>
      </c>
    </row>
    <row r="2572">
      <c r="A2572" s="76">
        <v>45766.0</v>
      </c>
      <c r="B2572" s="1" t="s">
        <v>643</v>
      </c>
      <c r="C2572" s="1" t="s">
        <v>45</v>
      </c>
      <c r="D2572" s="1">
        <v>0.1</v>
      </c>
      <c r="E2572" s="1">
        <v>17780.0</v>
      </c>
      <c r="F2572" s="10">
        <f t="shared" si="1"/>
        <v>0.3333333333</v>
      </c>
      <c r="G2572" s="10">
        <f t="array" ref="G2572">index('Player ID'!C:C,match(E2572,'Player ID'!B:B,0))</f>
        <v>621237</v>
      </c>
    </row>
    <row r="2573">
      <c r="A2573" s="76">
        <v>45766.0</v>
      </c>
      <c r="B2573" s="1" t="s">
        <v>464</v>
      </c>
      <c r="C2573" s="1" t="s">
        <v>36</v>
      </c>
      <c r="D2573" s="1">
        <v>3.1</v>
      </c>
      <c r="E2573" s="1">
        <v>19312.0</v>
      </c>
      <c r="F2573" s="10">
        <f t="shared" si="1"/>
        <v>3.333333333</v>
      </c>
      <c r="G2573" s="10">
        <f t="array" ref="G2573">index('Player ID'!C:C,match(E2573,'Player ID'!B:B,0))</f>
        <v>615698</v>
      </c>
    </row>
    <row r="2574">
      <c r="A2574" s="76">
        <v>45766.0</v>
      </c>
      <c r="B2574" s="1" t="s">
        <v>89</v>
      </c>
      <c r="C2574" s="1" t="s">
        <v>36</v>
      </c>
      <c r="D2574" s="1">
        <v>1.0</v>
      </c>
      <c r="E2574" s="1">
        <v>19742.0</v>
      </c>
      <c r="F2574" s="10">
        <f t="shared" si="1"/>
        <v>1</v>
      </c>
      <c r="G2574" s="10">
        <f t="array" ref="G2574">index('Player ID'!C:C,match(E2574,'Player ID'!B:B,0))</f>
        <v>669622</v>
      </c>
    </row>
    <row r="2575">
      <c r="A2575" s="76">
        <v>45766.0</v>
      </c>
      <c r="B2575" s="1" t="s">
        <v>701</v>
      </c>
      <c r="C2575" s="1" t="s">
        <v>45</v>
      </c>
      <c r="D2575" s="1">
        <v>1.0</v>
      </c>
      <c r="E2575" s="1">
        <v>22713.0</v>
      </c>
      <c r="F2575" s="10">
        <f t="shared" si="1"/>
        <v>1</v>
      </c>
      <c r="G2575" s="10">
        <f t="array" ref="G2575">index('Player ID'!C:C,match(E2575,'Player ID'!B:B,0))</f>
        <v>672578</v>
      </c>
    </row>
    <row r="2576">
      <c r="A2576" s="76">
        <v>45766.0</v>
      </c>
      <c r="B2576" s="1" t="s">
        <v>612</v>
      </c>
      <c r="C2576" s="1" t="s">
        <v>36</v>
      </c>
      <c r="D2576" s="1">
        <v>3.2</v>
      </c>
      <c r="E2576" s="1">
        <v>29564.0</v>
      </c>
      <c r="F2576" s="10">
        <f t="shared" si="1"/>
        <v>3.666666667</v>
      </c>
      <c r="G2576" s="10">
        <f t="array" ref="G2576">index('Player ID'!C:C,match(E2576,'Player ID'!B:B,0))</f>
        <v>687287</v>
      </c>
    </row>
    <row r="2577">
      <c r="A2577" s="76">
        <v>45766.0</v>
      </c>
      <c r="B2577" s="1" t="s">
        <v>452</v>
      </c>
      <c r="C2577" s="1" t="s">
        <v>29</v>
      </c>
      <c r="D2577" s="1">
        <v>6.2</v>
      </c>
      <c r="E2577" s="1">
        <v>12447.0</v>
      </c>
      <c r="F2577" s="10">
        <f t="shared" si="1"/>
        <v>6.666666667</v>
      </c>
      <c r="G2577" s="10">
        <f t="array" ref="G2577">index('Player ID'!C:C,match(E2577,'Player ID'!B:B,0))</f>
        <v>607625</v>
      </c>
    </row>
    <row r="2578">
      <c r="A2578" s="76">
        <v>45766.0</v>
      </c>
      <c r="B2578" s="1" t="s">
        <v>649</v>
      </c>
      <c r="C2578" s="1" t="s">
        <v>29</v>
      </c>
      <c r="D2578" s="1">
        <v>1.0</v>
      </c>
      <c r="E2578" s="1">
        <v>14542.0</v>
      </c>
      <c r="F2578" s="10">
        <f t="shared" si="1"/>
        <v>1</v>
      </c>
      <c r="G2578" s="10">
        <f t="array" ref="G2578">index('Player ID'!C:C,match(E2578,'Player ID'!B:B,0))</f>
        <v>608032</v>
      </c>
    </row>
    <row r="2579">
      <c r="A2579" s="76">
        <v>45766.0</v>
      </c>
      <c r="B2579" s="1" t="s">
        <v>131</v>
      </c>
      <c r="C2579" s="1" t="s">
        <v>62</v>
      </c>
      <c r="D2579" s="1">
        <v>1.0</v>
      </c>
      <c r="E2579" s="1">
        <v>19769.0</v>
      </c>
      <c r="F2579" s="10">
        <f t="shared" si="1"/>
        <v>1</v>
      </c>
      <c r="G2579" s="10">
        <f t="array" ref="G2579">index('Player ID'!C:C,match(E2579,'Player ID'!B:B,0))</f>
        <v>676684</v>
      </c>
    </row>
    <row r="2580">
      <c r="A2580" s="76">
        <v>45766.0</v>
      </c>
      <c r="B2580" s="1" t="s">
        <v>125</v>
      </c>
      <c r="C2580" s="1" t="s">
        <v>62</v>
      </c>
      <c r="D2580" s="1">
        <v>7.0</v>
      </c>
      <c r="E2580" s="1">
        <v>20492.0</v>
      </c>
      <c r="F2580" s="10">
        <f t="shared" si="1"/>
        <v>7</v>
      </c>
      <c r="G2580" s="10">
        <f t="array" ref="G2580">index('Player ID'!C:C,match(E2580,'Player ID'!B:B,0))</f>
        <v>663554</v>
      </c>
    </row>
    <row r="2581">
      <c r="A2581" s="76">
        <v>45766.0</v>
      </c>
      <c r="B2581" s="1" t="s">
        <v>293</v>
      </c>
      <c r="C2581" s="1" t="s">
        <v>29</v>
      </c>
      <c r="D2581" s="1">
        <v>0.1</v>
      </c>
      <c r="E2581" s="1">
        <v>21537.0</v>
      </c>
      <c r="F2581" s="10">
        <f t="shared" si="1"/>
        <v>0.3333333333</v>
      </c>
      <c r="G2581" s="10">
        <f t="array" ref="G2581">index('Player ID'!C:C,match(E2581,'Player ID'!B:B,0))</f>
        <v>663738</v>
      </c>
    </row>
    <row r="2582">
      <c r="A2582" s="76">
        <v>45766.0</v>
      </c>
      <c r="B2582" s="1" t="s">
        <v>289</v>
      </c>
      <c r="C2582" s="1" t="s">
        <v>62</v>
      </c>
      <c r="D2582" s="1">
        <v>1.0</v>
      </c>
      <c r="E2582" s="1">
        <v>22304.0</v>
      </c>
      <c r="F2582" s="10">
        <f t="shared" si="1"/>
        <v>1</v>
      </c>
      <c r="G2582" s="10">
        <f t="array" ref="G2582">index('Player ID'!C:C,match(E2582,'Player ID'!B:B,0))</f>
        <v>669724</v>
      </c>
    </row>
    <row r="2583">
      <c r="A2583" s="76">
        <v>45766.0</v>
      </c>
      <c r="B2583" s="1" t="s">
        <v>71</v>
      </c>
      <c r="C2583" s="1" t="s">
        <v>34</v>
      </c>
      <c r="D2583" s="1">
        <v>2.0</v>
      </c>
      <c r="E2583" s="1">
        <v>10078.0</v>
      </c>
      <c r="F2583" s="10">
        <f t="shared" si="1"/>
        <v>2</v>
      </c>
      <c r="G2583" s="10">
        <f t="array" ref="G2583">index('Player ID'!C:C,match(E2583,'Player ID'!B:B,0))</f>
        <v>573204</v>
      </c>
    </row>
    <row r="2584">
      <c r="A2584" s="76">
        <v>45766.0</v>
      </c>
      <c r="B2584" s="1" t="s">
        <v>297</v>
      </c>
      <c r="C2584" s="1" t="s">
        <v>34</v>
      </c>
      <c r="D2584" s="1">
        <v>1.0</v>
      </c>
      <c r="E2584" s="1">
        <v>15734.0</v>
      </c>
      <c r="F2584" s="10">
        <f t="shared" si="1"/>
        <v>1</v>
      </c>
      <c r="G2584" s="10">
        <f t="array" ref="G2584">index('Player ID'!C:C,match(E2584,'Player ID'!B:B,0))</f>
        <v>641745</v>
      </c>
    </row>
    <row r="2585">
      <c r="A2585" s="76">
        <v>45766.0</v>
      </c>
      <c r="B2585" s="1" t="s">
        <v>805</v>
      </c>
      <c r="C2585" s="1" t="s">
        <v>64</v>
      </c>
      <c r="D2585" s="1">
        <v>1.0</v>
      </c>
      <c r="E2585" s="1">
        <v>16610.0</v>
      </c>
      <c r="F2585" s="10">
        <f t="shared" si="1"/>
        <v>1</v>
      </c>
      <c r="G2585" s="10">
        <f t="array" ref="G2585">index('Player ID'!C:C,match(E2585,'Player ID'!B:B,0))</f>
        <v>656420</v>
      </c>
    </row>
    <row r="2586">
      <c r="A2586" s="76">
        <v>45766.0</v>
      </c>
      <c r="B2586" s="1" t="s">
        <v>195</v>
      </c>
      <c r="C2586" s="1" t="s">
        <v>64</v>
      </c>
      <c r="D2586" s="1">
        <v>6.0</v>
      </c>
      <c r="E2586" s="1">
        <v>19291.0</v>
      </c>
      <c r="F2586" s="10">
        <f t="shared" si="1"/>
        <v>6</v>
      </c>
      <c r="G2586" s="10">
        <f t="array" ref="G2586">index('Player ID'!C:C,match(E2586,'Player ID'!B:B,0))</f>
        <v>668678</v>
      </c>
    </row>
    <row r="2587">
      <c r="A2587" s="76">
        <v>45766.0</v>
      </c>
      <c r="B2587" s="1" t="s">
        <v>370</v>
      </c>
      <c r="C2587" s="1" t="s">
        <v>64</v>
      </c>
      <c r="D2587" s="1">
        <v>1.0</v>
      </c>
      <c r="E2587" s="1">
        <v>21924.0</v>
      </c>
      <c r="F2587" s="10">
        <f t="shared" si="1"/>
        <v>1</v>
      </c>
      <c r="G2587" s="10">
        <f t="array" ref="G2587">index('Player ID'!C:C,match(E2587,'Player ID'!B:B,0))</f>
        <v>666661</v>
      </c>
    </row>
    <row r="2588">
      <c r="A2588" s="76">
        <v>45766.0</v>
      </c>
      <c r="B2588" s="1" t="s">
        <v>341</v>
      </c>
      <c r="C2588" s="1" t="s">
        <v>34</v>
      </c>
      <c r="D2588" s="1">
        <v>4.0</v>
      </c>
      <c r="E2588" s="1">
        <v>23590.0</v>
      </c>
      <c r="F2588" s="10">
        <f t="shared" si="1"/>
        <v>4</v>
      </c>
      <c r="G2588" s="10">
        <f t="array" ref="G2588">index('Player ID'!C:C,match(E2588,'Player ID'!B:B,0))</f>
        <v>676962</v>
      </c>
    </row>
    <row r="2589">
      <c r="A2589" s="76">
        <v>45766.0</v>
      </c>
      <c r="B2589" s="1" t="s">
        <v>167</v>
      </c>
      <c r="C2589" s="1" t="s">
        <v>34</v>
      </c>
      <c r="D2589" s="1">
        <v>2.0</v>
      </c>
      <c r="E2589" s="1">
        <v>27914.0</v>
      </c>
      <c r="F2589" s="10">
        <f t="shared" si="1"/>
        <v>2</v>
      </c>
      <c r="G2589" s="10">
        <f t="array" ref="G2589">index('Player ID'!C:C,match(E2589,'Player ID'!B:B,0))</f>
        <v>694037</v>
      </c>
    </row>
    <row r="2590">
      <c r="A2590" s="76">
        <v>45766.0</v>
      </c>
      <c r="B2590" s="1" t="s">
        <v>558</v>
      </c>
      <c r="C2590" s="1" t="s">
        <v>37</v>
      </c>
      <c r="D2590" s="1">
        <v>1.0</v>
      </c>
      <c r="E2590" s="1">
        <v>11121.0</v>
      </c>
      <c r="F2590" s="10">
        <f t="shared" si="1"/>
        <v>1</v>
      </c>
      <c r="G2590" s="10">
        <f t="array" ref="G2590">index('Player ID'!C:C,match(E2590,'Player ID'!B:B,0))</f>
        <v>596271</v>
      </c>
    </row>
    <row r="2591">
      <c r="A2591" s="76">
        <v>45766.0</v>
      </c>
      <c r="B2591" s="1" t="s">
        <v>637</v>
      </c>
      <c r="C2591" s="1" t="s">
        <v>40</v>
      </c>
      <c r="D2591" s="1">
        <v>1.0</v>
      </c>
      <c r="E2591" s="1">
        <v>12323.0</v>
      </c>
      <c r="F2591" s="10">
        <f t="shared" si="1"/>
        <v>1</v>
      </c>
      <c r="G2591" s="10">
        <f t="array" ref="G2591">index('Player ID'!C:C,match(E2591,'Player ID'!B:B,0))</f>
        <v>606930</v>
      </c>
    </row>
    <row r="2592">
      <c r="A2592" s="76">
        <v>45766.0</v>
      </c>
      <c r="B2592" s="1" t="s">
        <v>638</v>
      </c>
      <c r="C2592" s="1" t="s">
        <v>40</v>
      </c>
      <c r="D2592" s="1">
        <v>6.0</v>
      </c>
      <c r="E2592" s="1">
        <v>14168.0</v>
      </c>
      <c r="F2592" s="10">
        <f t="shared" si="1"/>
        <v>6</v>
      </c>
      <c r="G2592" s="10">
        <f t="array" ref="G2592">index('Player ID'!C:C,match(E2592,'Player ID'!B:B,0))</f>
        <v>621244</v>
      </c>
    </row>
    <row r="2593">
      <c r="A2593" s="76">
        <v>45766.0</v>
      </c>
      <c r="B2593" s="1" t="s">
        <v>174</v>
      </c>
      <c r="C2593" s="1" t="s">
        <v>40</v>
      </c>
      <c r="D2593" s="1">
        <v>1.0</v>
      </c>
      <c r="E2593" s="1">
        <v>15552.0</v>
      </c>
      <c r="F2593" s="10">
        <f t="shared" si="1"/>
        <v>1</v>
      </c>
      <c r="G2593" s="10">
        <f t="array" ref="G2593">index('Player ID'!C:C,match(E2593,'Player ID'!B:B,0))</f>
        <v>643338</v>
      </c>
    </row>
    <row r="2594">
      <c r="A2594" s="76">
        <v>45766.0</v>
      </c>
      <c r="B2594" s="1" t="s">
        <v>670</v>
      </c>
      <c r="C2594" s="1" t="s">
        <v>37</v>
      </c>
      <c r="D2594" s="1">
        <v>1.0</v>
      </c>
      <c r="E2594" s="1">
        <v>20373.0</v>
      </c>
      <c r="F2594" s="10">
        <f t="shared" si="1"/>
        <v>1</v>
      </c>
      <c r="G2594" s="10">
        <f t="array" ref="G2594">index('Player ID'!C:C,match(E2594,'Player ID'!B:B,0))</f>
        <v>662253</v>
      </c>
    </row>
    <row r="2595">
      <c r="A2595" s="76">
        <v>45766.0</v>
      </c>
      <c r="B2595" s="1" t="s">
        <v>641</v>
      </c>
      <c r="C2595" s="1" t="s">
        <v>40</v>
      </c>
      <c r="D2595" s="1">
        <v>1.0</v>
      </c>
      <c r="E2595" s="1">
        <v>20517.0</v>
      </c>
      <c r="F2595" s="10">
        <f t="shared" si="1"/>
        <v>1</v>
      </c>
      <c r="G2595" s="10">
        <f t="array" ref="G2595">index('Player ID'!C:C,match(E2595,'Player ID'!B:B,0))</f>
        <v>680704</v>
      </c>
    </row>
    <row r="2596">
      <c r="A2596" s="76">
        <v>45766.0</v>
      </c>
      <c r="B2596" s="1" t="s">
        <v>157</v>
      </c>
      <c r="C2596" s="1" t="s">
        <v>37</v>
      </c>
      <c r="D2596" s="1">
        <v>1.0</v>
      </c>
      <c r="E2596" s="1">
        <v>20997.0</v>
      </c>
      <c r="F2596" s="10">
        <f t="shared" si="1"/>
        <v>1</v>
      </c>
      <c r="G2596" s="10">
        <f t="array" ref="G2596">index('Player ID'!C:C,match(E2596,'Player ID'!B:B,0))</f>
        <v>660825</v>
      </c>
    </row>
    <row r="2597">
      <c r="A2597" s="76">
        <v>45766.0</v>
      </c>
      <c r="B2597" s="1" t="s">
        <v>395</v>
      </c>
      <c r="C2597" s="1" t="s">
        <v>40</v>
      </c>
      <c r="D2597" s="1">
        <v>1.0</v>
      </c>
      <c r="E2597" s="1">
        <v>21574.0</v>
      </c>
      <c r="F2597" s="10">
        <f t="shared" si="1"/>
        <v>1</v>
      </c>
      <c r="G2597" s="10">
        <f t="array" ref="G2597">index('Player ID'!C:C,match(E2597,'Player ID'!B:B,0))</f>
        <v>663893</v>
      </c>
    </row>
    <row r="2598">
      <c r="A2598" s="76">
        <v>45766.0</v>
      </c>
      <c r="B2598" s="1" t="s">
        <v>153</v>
      </c>
      <c r="C2598" s="1" t="s">
        <v>37</v>
      </c>
      <c r="D2598" s="1">
        <v>4.2</v>
      </c>
      <c r="E2598" s="1">
        <v>22250.0</v>
      </c>
      <c r="F2598" s="10">
        <f t="shared" si="1"/>
        <v>4.666666667</v>
      </c>
      <c r="G2598" s="10">
        <f t="array" ref="G2598">index('Player ID'!C:C,match(E2598,'Player ID'!B:B,0))</f>
        <v>669302</v>
      </c>
    </row>
    <row r="2599">
      <c r="A2599" s="76">
        <v>45766.0</v>
      </c>
      <c r="B2599" s="1" t="s">
        <v>101</v>
      </c>
      <c r="C2599" s="1" t="s">
        <v>37</v>
      </c>
      <c r="D2599" s="1">
        <v>2.0</v>
      </c>
      <c r="E2599" s="1">
        <v>22915.0</v>
      </c>
      <c r="F2599" s="10">
        <f t="shared" si="1"/>
        <v>2</v>
      </c>
      <c r="G2599" s="10">
        <f t="array" ref="G2599">index('Player ID'!C:C,match(E2599,'Player ID'!B:B,0))</f>
        <v>672841</v>
      </c>
    </row>
    <row r="2600">
      <c r="A2600" s="76">
        <v>45766.0</v>
      </c>
      <c r="B2600" s="1" t="s">
        <v>683</v>
      </c>
      <c r="C2600" s="1" t="s">
        <v>37</v>
      </c>
      <c r="D2600" s="1">
        <v>1.1</v>
      </c>
      <c r="E2600" s="1">
        <v>23307.0</v>
      </c>
      <c r="F2600" s="10">
        <f t="shared" si="1"/>
        <v>1.333333333</v>
      </c>
      <c r="G2600" s="10">
        <f t="array" ref="G2600">index('Player ID'!C:C,match(E2600,'Player ID'!B:B,0))</f>
        <v>676092</v>
      </c>
    </row>
    <row r="2601">
      <c r="A2601" s="76">
        <v>45766.0</v>
      </c>
      <c r="B2601" s="1" t="s">
        <v>340</v>
      </c>
      <c r="C2601" s="1" t="s">
        <v>37</v>
      </c>
      <c r="D2601" s="1">
        <v>1.0</v>
      </c>
      <c r="E2601" s="1">
        <v>25921.0</v>
      </c>
      <c r="F2601" s="10">
        <f t="shared" si="1"/>
        <v>1</v>
      </c>
      <c r="G2601" s="10">
        <f t="array" ref="G2601">index('Player ID'!C:C,match(E2601,'Player ID'!B:B,0))</f>
        <v>668984</v>
      </c>
    </row>
    <row r="2602">
      <c r="A2602" s="76">
        <v>45766.0</v>
      </c>
      <c r="B2602" s="1" t="s">
        <v>427</v>
      </c>
      <c r="C2602" s="1" t="s">
        <v>40</v>
      </c>
      <c r="D2602" s="1">
        <v>2.0</v>
      </c>
      <c r="E2602" s="1">
        <v>33838.0</v>
      </c>
      <c r="F2602" s="10">
        <f t="shared" si="1"/>
        <v>2</v>
      </c>
      <c r="G2602" s="10">
        <f t="array" ref="G2602">index('Player ID'!C:C,match(E2602,'Player ID'!B:B,0))</f>
        <v>684320</v>
      </c>
    </row>
    <row r="2603">
      <c r="A2603" s="76">
        <v>45766.0</v>
      </c>
      <c r="B2603" s="1" t="s">
        <v>642</v>
      </c>
      <c r="C2603" s="1" t="s">
        <v>80</v>
      </c>
      <c r="D2603" s="1">
        <v>0.1</v>
      </c>
      <c r="E2603" s="1">
        <v>13470.0</v>
      </c>
      <c r="F2603" s="10">
        <f t="shared" si="1"/>
        <v>0.3333333333</v>
      </c>
      <c r="G2603" s="10">
        <f t="array" ref="G2603">index('Player ID'!C:C,match(E2603,'Player ID'!B:B,0))</f>
        <v>608371</v>
      </c>
    </row>
    <row r="2604">
      <c r="A2604" s="76">
        <v>45766.0</v>
      </c>
      <c r="B2604" s="1" t="s">
        <v>139</v>
      </c>
      <c r="C2604" s="1" t="s">
        <v>80</v>
      </c>
      <c r="D2604" s="1">
        <v>1.0</v>
      </c>
      <c r="E2604" s="1">
        <v>15009.0</v>
      </c>
      <c r="F2604" s="10">
        <f t="shared" si="1"/>
        <v>1</v>
      </c>
      <c r="G2604" s="10">
        <f t="array" ref="G2604">index('Player ID'!C:C,match(E2604,'Player ID'!B:B,0))</f>
        <v>640448</v>
      </c>
    </row>
    <row r="2605">
      <c r="A2605" s="76">
        <v>45766.0</v>
      </c>
      <c r="B2605" s="1" t="s">
        <v>451</v>
      </c>
      <c r="C2605" s="1" t="s">
        <v>75</v>
      </c>
      <c r="D2605" s="1">
        <v>1.1</v>
      </c>
      <c r="E2605" s="1">
        <v>17556.0</v>
      </c>
      <c r="F2605" s="10">
        <f t="shared" si="1"/>
        <v>1.333333333</v>
      </c>
      <c r="G2605" s="10">
        <f t="array" ref="G2605">index('Player ID'!C:C,match(E2605,'Player ID'!B:B,0))</f>
        <v>623474</v>
      </c>
    </row>
    <row r="2606">
      <c r="A2606" s="76">
        <v>45766.0</v>
      </c>
      <c r="B2606" s="1" t="s">
        <v>288</v>
      </c>
      <c r="C2606" s="1" t="s">
        <v>75</v>
      </c>
      <c r="D2606" s="1">
        <v>1.0</v>
      </c>
      <c r="E2606" s="1">
        <v>18297.0</v>
      </c>
      <c r="F2606" s="10">
        <f t="shared" si="1"/>
        <v>1</v>
      </c>
      <c r="G2606" s="10">
        <f t="array" ref="G2606">index('Player ID'!C:C,match(E2606,'Player ID'!B:B,0))</f>
        <v>641755</v>
      </c>
    </row>
    <row r="2607">
      <c r="A2607" s="76">
        <v>45766.0</v>
      </c>
      <c r="B2607" s="1" t="s">
        <v>644</v>
      </c>
      <c r="C2607" s="1" t="s">
        <v>80</v>
      </c>
      <c r="D2607" s="1">
        <v>0.1</v>
      </c>
      <c r="E2607" s="1">
        <v>19403.0</v>
      </c>
      <c r="F2607" s="10">
        <f t="shared" si="1"/>
        <v>0.3333333333</v>
      </c>
      <c r="G2607" s="10">
        <f t="array" ref="G2607">index('Player ID'!C:C,match(E2607,'Player ID'!B:B,0))</f>
        <v>621363</v>
      </c>
    </row>
    <row r="2608">
      <c r="A2608" s="76">
        <v>45766.0</v>
      </c>
      <c r="B2608" s="1" t="s">
        <v>215</v>
      </c>
      <c r="C2608" s="1" t="s">
        <v>75</v>
      </c>
      <c r="D2608" s="1">
        <v>2.0</v>
      </c>
      <c r="E2608" s="1">
        <v>21267.0</v>
      </c>
      <c r="F2608" s="10">
        <f t="shared" si="1"/>
        <v>2</v>
      </c>
      <c r="G2608" s="10">
        <f t="array" ref="G2608">index('Player ID'!C:C,match(E2608,'Player ID'!B:B,0))</f>
        <v>656234</v>
      </c>
    </row>
    <row r="2609">
      <c r="A2609" s="76">
        <v>45766.0</v>
      </c>
      <c r="B2609" s="1" t="s">
        <v>354</v>
      </c>
      <c r="C2609" s="1" t="s">
        <v>80</v>
      </c>
      <c r="D2609" s="1">
        <v>6.0</v>
      </c>
      <c r="E2609" s="1">
        <v>22201.0</v>
      </c>
      <c r="F2609" s="10">
        <f t="shared" si="1"/>
        <v>6</v>
      </c>
      <c r="G2609" s="10">
        <f t="array" ref="G2609">index('Player ID'!C:C,match(E2609,'Player ID'!B:B,0))</f>
        <v>669022</v>
      </c>
    </row>
    <row r="2610">
      <c r="A2610" s="76">
        <v>45766.0</v>
      </c>
      <c r="B2610" s="1" t="s">
        <v>86</v>
      </c>
      <c r="C2610" s="1" t="s">
        <v>80</v>
      </c>
      <c r="D2610" s="1">
        <v>1.1</v>
      </c>
      <c r="E2610" s="1">
        <v>24017.0</v>
      </c>
      <c r="F2610" s="10">
        <f t="shared" si="1"/>
        <v>1.333333333</v>
      </c>
      <c r="G2610" s="10">
        <f t="array" ref="G2610">index('Player ID'!C:C,match(E2610,'Player ID'!B:B,0))</f>
        <v>678606</v>
      </c>
    </row>
    <row r="2611">
      <c r="A2611" s="76">
        <v>45766.0</v>
      </c>
      <c r="B2611" s="1" t="s">
        <v>548</v>
      </c>
      <c r="C2611" s="1" t="s">
        <v>75</v>
      </c>
      <c r="D2611" s="1">
        <v>0.2</v>
      </c>
      <c r="E2611" s="1">
        <v>24203.0</v>
      </c>
      <c r="F2611" s="10">
        <f t="shared" si="1"/>
        <v>0.6666666667</v>
      </c>
      <c r="G2611" s="10">
        <f t="array" ref="G2611">index('Player ID'!C:C,match(E2611,'Player ID'!B:B,0))</f>
        <v>678821</v>
      </c>
    </row>
    <row r="2612">
      <c r="A2612" s="76">
        <v>45766.0</v>
      </c>
      <c r="B2612" s="1" t="s">
        <v>495</v>
      </c>
      <c r="C2612" s="1" t="s">
        <v>75</v>
      </c>
      <c r="D2612" s="1">
        <v>4.0</v>
      </c>
      <c r="E2612" s="1">
        <v>33482.0</v>
      </c>
      <c r="F2612" s="10">
        <f t="shared" si="1"/>
        <v>4</v>
      </c>
      <c r="G2612" s="10">
        <f t="array" ref="G2612">index('Player ID'!C:C,match(E2612,'Player ID'!B:B,0))</f>
        <v>801403</v>
      </c>
    </row>
    <row r="2613">
      <c r="A2613" s="76">
        <v>45766.0</v>
      </c>
      <c r="B2613" s="1" t="s">
        <v>362</v>
      </c>
      <c r="C2613" s="1" t="s">
        <v>66</v>
      </c>
      <c r="D2613" s="1">
        <v>1.0</v>
      </c>
      <c r="E2613" s="1">
        <v>13449.0</v>
      </c>
      <c r="F2613" s="10">
        <f t="shared" si="1"/>
        <v>1</v>
      </c>
      <c r="G2613" s="10">
        <f t="array" ref="G2613">index('Player ID'!C:C,match(E2613,'Player ID'!B:B,0))</f>
        <v>573124</v>
      </c>
    </row>
    <row r="2614">
      <c r="A2614" s="76">
        <v>45766.0</v>
      </c>
      <c r="B2614" s="1" t="s">
        <v>723</v>
      </c>
      <c r="C2614" s="1" t="s">
        <v>68</v>
      </c>
      <c r="D2614" s="1">
        <v>0.0</v>
      </c>
      <c r="E2614" s="1">
        <v>13528.0</v>
      </c>
      <c r="F2614" s="10">
        <f t="shared" si="1"/>
        <v>0</v>
      </c>
      <c r="G2614" s="10">
        <f t="array" ref="G2614">index('Player ID'!C:C,match(E2614,'Player ID'!B:B,0))</f>
        <v>621199</v>
      </c>
    </row>
    <row r="2615">
      <c r="A2615" s="76">
        <v>45766.0</v>
      </c>
      <c r="B2615" s="1" t="s">
        <v>639</v>
      </c>
      <c r="C2615" s="1" t="s">
        <v>68</v>
      </c>
      <c r="D2615" s="1">
        <v>1.0</v>
      </c>
      <c r="E2615" s="1">
        <v>19249.0</v>
      </c>
      <c r="F2615" s="10">
        <f t="shared" si="1"/>
        <v>1</v>
      </c>
      <c r="G2615" s="10">
        <f t="array" ref="G2615">index('Player ID'!C:C,match(E2615,'Player ID'!B:B,0))</f>
        <v>622554</v>
      </c>
    </row>
    <row r="2616">
      <c r="A2616" s="76">
        <v>45766.0</v>
      </c>
      <c r="B2616" s="1" t="s">
        <v>231</v>
      </c>
      <c r="C2616" s="1" t="s">
        <v>68</v>
      </c>
      <c r="D2616" s="1">
        <v>0.1</v>
      </c>
      <c r="E2616" s="1">
        <v>19362.0</v>
      </c>
      <c r="F2616" s="10">
        <f t="shared" si="1"/>
        <v>0.3333333333</v>
      </c>
      <c r="G2616" s="10">
        <f t="array" ref="G2616">index('Player ID'!C:C,match(E2616,'Player ID'!B:B,0))</f>
        <v>669211</v>
      </c>
    </row>
    <row r="2617">
      <c r="A2617" s="76">
        <v>45766.0</v>
      </c>
      <c r="B2617" s="1" t="s">
        <v>433</v>
      </c>
      <c r="C2617" s="1" t="s">
        <v>68</v>
      </c>
      <c r="D2617" s="1">
        <v>0.2</v>
      </c>
      <c r="E2617" s="1">
        <v>19677.0</v>
      </c>
      <c r="F2617" s="10">
        <f t="shared" si="1"/>
        <v>0.6666666667</v>
      </c>
      <c r="G2617" s="10">
        <f t="array" ref="G2617">index('Player ID'!C:C,match(E2617,'Player ID'!B:B,0))</f>
        <v>642397</v>
      </c>
    </row>
    <row r="2618">
      <c r="A2618" s="76">
        <v>45766.0</v>
      </c>
      <c r="B2618" s="1" t="s">
        <v>240</v>
      </c>
      <c r="C2618" s="1" t="s">
        <v>68</v>
      </c>
      <c r="D2618" s="1">
        <v>1.0</v>
      </c>
      <c r="E2618" s="1">
        <v>19804.0</v>
      </c>
      <c r="F2618" s="10">
        <f t="shared" si="1"/>
        <v>1</v>
      </c>
      <c r="G2618" s="10">
        <f t="array" ref="G2618">index('Player ID'!C:C,match(E2618,'Player ID'!B:B,0))</f>
        <v>641329</v>
      </c>
    </row>
    <row r="2619">
      <c r="A2619" s="76">
        <v>45766.0</v>
      </c>
      <c r="B2619" s="1" t="s">
        <v>698</v>
      </c>
      <c r="C2619" s="1" t="s">
        <v>68</v>
      </c>
      <c r="D2619" s="1">
        <v>1.0</v>
      </c>
      <c r="E2619" s="1">
        <v>20666.0</v>
      </c>
      <c r="F2619" s="10">
        <f t="shared" si="1"/>
        <v>1</v>
      </c>
      <c r="G2619" s="10">
        <f t="array" ref="G2619">index('Player ID'!C:C,match(E2619,'Player ID'!B:B,0))</f>
        <v>642585</v>
      </c>
    </row>
    <row r="2620">
      <c r="A2620" s="76">
        <v>45766.0</v>
      </c>
      <c r="B2620" s="1" t="s">
        <v>73</v>
      </c>
      <c r="C2620" s="1" t="s">
        <v>66</v>
      </c>
      <c r="D2620" s="1">
        <v>3.0</v>
      </c>
      <c r="E2620" s="1">
        <v>22182.0</v>
      </c>
      <c r="F2620" s="10">
        <f t="shared" si="1"/>
        <v>3</v>
      </c>
      <c r="G2620" s="10">
        <f t="array" ref="G2620">index('Player ID'!C:C,match(E2620,'Player ID'!B:B,0))</f>
        <v>668881</v>
      </c>
    </row>
    <row r="2621">
      <c r="A2621" s="76">
        <v>45766.0</v>
      </c>
      <c r="B2621" s="1" t="s">
        <v>235</v>
      </c>
      <c r="C2621" s="1" t="s">
        <v>68</v>
      </c>
      <c r="D2621" s="1">
        <v>1.0</v>
      </c>
      <c r="E2621" s="1">
        <v>25911.0</v>
      </c>
      <c r="F2621" s="10">
        <f t="shared" si="1"/>
        <v>1</v>
      </c>
      <c r="G2621" s="10">
        <f t="array" ref="G2621">index('Player ID'!C:C,match(E2621,'Player ID'!B:B,0))</f>
        <v>666974</v>
      </c>
    </row>
    <row r="2622">
      <c r="A2622" s="76">
        <v>45766.0</v>
      </c>
      <c r="B2622" s="1" t="s">
        <v>579</v>
      </c>
      <c r="C2622" s="1" t="s">
        <v>66</v>
      </c>
      <c r="D2622" s="1">
        <v>4.0</v>
      </c>
      <c r="E2622" s="1">
        <v>27685.0</v>
      </c>
      <c r="F2622" s="10">
        <f t="shared" si="1"/>
        <v>4</v>
      </c>
      <c r="G2622" s="10">
        <f t="array" ref="G2622">index('Player ID'!C:C,match(E2622,'Player ID'!B:B,0))</f>
        <v>686730</v>
      </c>
    </row>
    <row r="2623">
      <c r="A2623" s="76">
        <v>45766.0</v>
      </c>
      <c r="B2623" s="1" t="s">
        <v>191</v>
      </c>
      <c r="C2623" s="1" t="s">
        <v>68</v>
      </c>
      <c r="D2623" s="1">
        <v>4.0</v>
      </c>
      <c r="E2623" s="1">
        <v>27819.0</v>
      </c>
      <c r="F2623" s="10">
        <f t="shared" si="1"/>
        <v>4</v>
      </c>
      <c r="G2623" s="10">
        <f t="array" ref="G2623">index('Player ID'!C:C,match(E2623,'Player ID'!B:B,0))</f>
        <v>687064</v>
      </c>
    </row>
    <row r="2624">
      <c r="A2624" s="76">
        <v>45766.0</v>
      </c>
      <c r="B2624" s="1" t="s">
        <v>298</v>
      </c>
      <c r="C2624" s="1" t="s">
        <v>70</v>
      </c>
      <c r="D2624" s="1">
        <v>5.1</v>
      </c>
      <c r="E2624" s="1">
        <v>14932.0</v>
      </c>
      <c r="F2624" s="10">
        <f t="shared" si="1"/>
        <v>5.333333333</v>
      </c>
      <c r="G2624" s="10">
        <f t="array" ref="G2624">index('Player ID'!C:C,match(E2624,'Player ID'!B:B,0))</f>
        <v>594902</v>
      </c>
    </row>
    <row r="2625">
      <c r="A2625" s="76">
        <v>45766.0</v>
      </c>
      <c r="B2625" s="1" t="s">
        <v>107</v>
      </c>
      <c r="C2625" s="1" t="s">
        <v>60</v>
      </c>
      <c r="D2625" s="1">
        <v>1.0</v>
      </c>
      <c r="E2625" s="1">
        <v>19349.0</v>
      </c>
      <c r="F2625" s="10">
        <f t="shared" si="1"/>
        <v>1</v>
      </c>
      <c r="G2625" s="10">
        <f t="array" ref="G2625">index('Player ID'!C:C,match(E2625,'Player ID'!B:B,0))</f>
        <v>657571</v>
      </c>
    </row>
    <row r="2626">
      <c r="A2626" s="76">
        <v>45766.0</v>
      </c>
      <c r="B2626" s="1" t="s">
        <v>183</v>
      </c>
      <c r="C2626" s="1" t="s">
        <v>60</v>
      </c>
      <c r="D2626" s="1">
        <v>1.0</v>
      </c>
      <c r="E2626" s="1">
        <v>19569.0</v>
      </c>
      <c r="F2626" s="10">
        <f t="shared" si="1"/>
        <v>1</v>
      </c>
      <c r="G2626" s="10">
        <f t="array" ref="G2626">index('Player ID'!C:C,match(E2626,'Player ID'!B:B,0))</f>
        <v>670280</v>
      </c>
    </row>
    <row r="2627">
      <c r="A2627" s="76">
        <v>45766.0</v>
      </c>
      <c r="B2627" s="1" t="s">
        <v>132</v>
      </c>
      <c r="C2627" s="1" t="s">
        <v>70</v>
      </c>
      <c r="D2627" s="1">
        <v>1.0</v>
      </c>
      <c r="E2627" s="1">
        <v>21032.0</v>
      </c>
      <c r="F2627" s="10">
        <f t="shared" si="1"/>
        <v>1</v>
      </c>
      <c r="G2627" s="10">
        <f t="array" ref="G2627">index('Player ID'!C:C,match(E2627,'Player ID'!B:B,0))</f>
        <v>661403</v>
      </c>
    </row>
    <row r="2628">
      <c r="A2628" s="76">
        <v>45766.0</v>
      </c>
      <c r="B2628" s="1" t="s">
        <v>519</v>
      </c>
      <c r="C2628" s="1" t="s">
        <v>70</v>
      </c>
      <c r="D2628" s="1">
        <v>1.0</v>
      </c>
      <c r="E2628" s="1">
        <v>25139.0</v>
      </c>
      <c r="F2628" s="10">
        <f t="shared" si="1"/>
        <v>1</v>
      </c>
      <c r="G2628" s="10">
        <f t="array" ref="G2628">index('Player ID'!C:C,match(E2628,'Player ID'!B:B,0))</f>
        <v>682120</v>
      </c>
    </row>
    <row r="2629">
      <c r="A2629" s="76">
        <v>45766.0</v>
      </c>
      <c r="B2629" s="1" t="s">
        <v>238</v>
      </c>
      <c r="C2629" s="1" t="s">
        <v>70</v>
      </c>
      <c r="D2629" s="1">
        <v>0.2</v>
      </c>
      <c r="E2629" s="1">
        <v>25636.0</v>
      </c>
      <c r="F2629" s="10">
        <f t="shared" si="1"/>
        <v>0.6666666667</v>
      </c>
      <c r="G2629" s="10">
        <f t="array" ref="G2629">index('Player ID'!C:C,match(E2629,'Player ID'!B:B,0))</f>
        <v>683769</v>
      </c>
    </row>
    <row r="2630">
      <c r="A2630" s="76">
        <v>45766.0</v>
      </c>
      <c r="B2630" s="1" t="s">
        <v>135</v>
      </c>
      <c r="C2630" s="1" t="s">
        <v>70</v>
      </c>
      <c r="D2630" s="1">
        <v>1.0</v>
      </c>
      <c r="E2630" s="1">
        <v>27867.0</v>
      </c>
      <c r="F2630" s="10">
        <f t="shared" si="1"/>
        <v>1</v>
      </c>
      <c r="G2630" s="10">
        <f t="array" ref="G2630">index('Player ID'!C:C,match(E2630,'Player ID'!B:B,0))</f>
        <v>671922</v>
      </c>
    </row>
    <row r="2631">
      <c r="A2631" s="76">
        <v>45766.0</v>
      </c>
      <c r="B2631" s="1" t="s">
        <v>88</v>
      </c>
      <c r="C2631" s="1" t="s">
        <v>60</v>
      </c>
      <c r="D2631" s="1">
        <v>7.0</v>
      </c>
      <c r="E2631" s="1">
        <v>33677.0</v>
      </c>
      <c r="F2631" s="10">
        <f t="shared" si="1"/>
        <v>7</v>
      </c>
      <c r="G2631" s="10">
        <f t="array" ref="G2631">index('Player ID'!C:C,match(E2631,'Player ID'!B:B,0))</f>
        <v>694973</v>
      </c>
    </row>
    <row r="2632">
      <c r="A2632" s="76">
        <v>45766.0</v>
      </c>
      <c r="B2632" s="1" t="s">
        <v>679</v>
      </c>
      <c r="C2632" s="1" t="s">
        <v>51</v>
      </c>
      <c r="D2632" s="1">
        <v>1.0</v>
      </c>
      <c r="E2632" s="1">
        <v>14710.0</v>
      </c>
      <c r="F2632" s="10">
        <f t="shared" si="1"/>
        <v>1</v>
      </c>
      <c r="G2632" s="10">
        <f t="array" ref="G2632">index('Player ID'!C:C,match(E2632,'Player ID'!B:B,0))</f>
        <v>621242</v>
      </c>
    </row>
    <row r="2633">
      <c r="A2633" s="76">
        <v>45766.0</v>
      </c>
      <c r="B2633" s="1" t="s">
        <v>295</v>
      </c>
      <c r="C2633" s="1" t="s">
        <v>51</v>
      </c>
      <c r="D2633" s="1">
        <v>1.1</v>
      </c>
      <c r="E2633" s="1">
        <v>16866.0</v>
      </c>
      <c r="F2633" s="10">
        <f t="shared" si="1"/>
        <v>1.333333333</v>
      </c>
      <c r="G2633" s="10">
        <f t="array" ref="G2633">index('Player ID'!C:C,match(E2633,'Player ID'!B:B,0))</f>
        <v>657585</v>
      </c>
    </row>
    <row r="2634">
      <c r="A2634" s="76">
        <v>45766.0</v>
      </c>
      <c r="B2634" s="1" t="s">
        <v>674</v>
      </c>
      <c r="C2634" s="1" t="s">
        <v>51</v>
      </c>
      <c r="D2634" s="1">
        <v>1.0</v>
      </c>
      <c r="E2634" s="1">
        <v>18655.0</v>
      </c>
      <c r="F2634" s="10">
        <f t="shared" si="1"/>
        <v>1</v>
      </c>
      <c r="G2634" s="10">
        <f t="array" ref="G2634">index('Player ID'!C:C,match(E2634,'Player ID'!B:B,0))</f>
        <v>621345</v>
      </c>
    </row>
    <row r="2635">
      <c r="A2635" s="76">
        <v>45766.0</v>
      </c>
      <c r="B2635" s="1" t="s">
        <v>273</v>
      </c>
      <c r="C2635" s="1" t="s">
        <v>72</v>
      </c>
      <c r="D2635" s="1">
        <v>1.1</v>
      </c>
      <c r="E2635" s="1">
        <v>22051.0</v>
      </c>
      <c r="F2635" s="10">
        <f t="shared" si="1"/>
        <v>1.333333333</v>
      </c>
      <c r="G2635" s="10">
        <f t="array" ref="G2635">index('Player ID'!C:C,match(E2635,'Player ID'!B:B,0))</f>
        <v>667463</v>
      </c>
    </row>
    <row r="2636">
      <c r="A2636" s="76">
        <v>45766.0</v>
      </c>
      <c r="B2636" s="1" t="s">
        <v>290</v>
      </c>
      <c r="C2636" s="1" t="s">
        <v>72</v>
      </c>
      <c r="D2636" s="1">
        <v>6.2</v>
      </c>
      <c r="E2636" s="1">
        <v>22294.0</v>
      </c>
      <c r="F2636" s="10">
        <f t="shared" si="1"/>
        <v>6.666666667</v>
      </c>
      <c r="G2636" s="10">
        <f t="array" ref="G2636">index('Player ID'!C:C,match(E2636,'Player ID'!B:B,0))</f>
        <v>669461</v>
      </c>
    </row>
    <row r="2637">
      <c r="A2637" s="76">
        <v>45766.0</v>
      </c>
      <c r="B2637" s="1" t="s">
        <v>461</v>
      </c>
      <c r="C2637" s="1" t="s">
        <v>51</v>
      </c>
      <c r="D2637" s="1">
        <v>5.2</v>
      </c>
      <c r="E2637" s="1">
        <v>31838.0</v>
      </c>
      <c r="F2637" s="10">
        <f t="shared" si="1"/>
        <v>5.666666667</v>
      </c>
      <c r="G2637" s="10">
        <f t="array" ref="G2637">index('Player ID'!C:C,match(E2637,'Player ID'!B:B,0))</f>
        <v>673540</v>
      </c>
    </row>
    <row r="2638">
      <c r="A2638" s="76">
        <v>45766.0</v>
      </c>
      <c r="B2638" s="1" t="s">
        <v>392</v>
      </c>
      <c r="C2638" s="1" t="s">
        <v>33</v>
      </c>
      <c r="D2638" s="1">
        <v>0.0</v>
      </c>
      <c r="E2638" s="1">
        <v>9073.0</v>
      </c>
      <c r="F2638" s="10">
        <f t="shared" si="1"/>
        <v>0</v>
      </c>
      <c r="G2638" s="10">
        <f t="array" ref="G2638">index('Player ID'!C:C,match(E2638,'Player ID'!B:B,0))</f>
        <v>489446</v>
      </c>
    </row>
    <row r="2639">
      <c r="A2639" s="76">
        <v>45766.0</v>
      </c>
      <c r="B2639" s="1" t="s">
        <v>115</v>
      </c>
      <c r="C2639" s="1" t="s">
        <v>56</v>
      </c>
      <c r="D2639" s="1">
        <v>6.0</v>
      </c>
      <c r="E2639" s="1">
        <v>9132.0</v>
      </c>
      <c r="F2639" s="10">
        <f t="shared" si="1"/>
        <v>6</v>
      </c>
      <c r="G2639" s="10">
        <f t="array" ref="G2639">index('Player ID'!C:C,match(E2639,'Player ID'!B:B,0))</f>
        <v>543135</v>
      </c>
    </row>
    <row r="2640">
      <c r="A2640" s="76">
        <v>45766.0</v>
      </c>
      <c r="B2640" s="1" t="s">
        <v>694</v>
      </c>
      <c r="C2640" s="1" t="s">
        <v>33</v>
      </c>
      <c r="D2640" s="1">
        <v>0.2</v>
      </c>
      <c r="E2640" s="1">
        <v>17734.0</v>
      </c>
      <c r="F2640" s="10">
        <f t="shared" si="1"/>
        <v>0.6666666667</v>
      </c>
      <c r="G2640" s="10">
        <f t="array" ref="G2640">index('Player ID'!C:C,match(E2640,'Player ID'!B:B,0))</f>
        <v>623465</v>
      </c>
    </row>
    <row r="2641">
      <c r="A2641" s="76">
        <v>45766.0</v>
      </c>
      <c r="B2641" s="1" t="s">
        <v>87</v>
      </c>
      <c r="C2641" s="1" t="s">
        <v>56</v>
      </c>
      <c r="D2641" s="1">
        <v>2.0</v>
      </c>
      <c r="E2641" s="1">
        <v>19274.0</v>
      </c>
      <c r="F2641" s="10">
        <f t="shared" si="1"/>
        <v>2</v>
      </c>
      <c r="G2641" s="10">
        <f t="array" ref="G2641">index('Player ID'!C:C,match(E2641,'Player ID'!B:B,0))</f>
        <v>657097</v>
      </c>
    </row>
    <row r="2642">
      <c r="A2642" s="76">
        <v>45766.0</v>
      </c>
      <c r="B2642" s="1" t="s">
        <v>268</v>
      </c>
      <c r="C2642" s="1" t="s">
        <v>56</v>
      </c>
      <c r="D2642" s="1">
        <v>1.0</v>
      </c>
      <c r="E2642" s="1">
        <v>23363.0</v>
      </c>
      <c r="F2642" s="10">
        <f t="shared" si="1"/>
        <v>1</v>
      </c>
      <c r="G2642" s="10">
        <f t="array" ref="G2642">index('Player ID'!C:C,match(E2642,'Player ID'!B:B,0))</f>
        <v>676395</v>
      </c>
    </row>
    <row r="2643">
      <c r="A2643" s="76">
        <v>45766.0</v>
      </c>
      <c r="B2643" s="1" t="s">
        <v>92</v>
      </c>
      <c r="C2643" s="1" t="s">
        <v>33</v>
      </c>
      <c r="D2643" s="1">
        <v>0.1</v>
      </c>
      <c r="E2643" s="1">
        <v>25007.0</v>
      </c>
      <c r="F2643" s="10">
        <f t="shared" si="1"/>
        <v>0.3333333333</v>
      </c>
      <c r="G2643" s="10">
        <f t="array" ref="G2643">index('Player ID'!C:C,match(E2643,'Player ID'!B:B,0))</f>
        <v>681911</v>
      </c>
    </row>
    <row r="2644">
      <c r="A2644" s="76">
        <v>45766.0</v>
      </c>
      <c r="B2644" s="1" t="s">
        <v>206</v>
      </c>
      <c r="C2644" s="1" t="s">
        <v>33</v>
      </c>
      <c r="D2644" s="1">
        <v>1.0</v>
      </c>
      <c r="E2644" s="1">
        <v>30249.0</v>
      </c>
      <c r="F2644" s="10">
        <f t="shared" si="1"/>
        <v>1</v>
      </c>
      <c r="G2644" s="10">
        <f t="array" ref="G2644">index('Player ID'!C:C,match(E2644,'Player ID'!B:B,0))</f>
        <v>676263</v>
      </c>
    </row>
    <row r="2645">
      <c r="A2645" s="76">
        <v>45766.0</v>
      </c>
      <c r="B2645" s="1" t="s">
        <v>522</v>
      </c>
      <c r="C2645" s="1" t="s">
        <v>33</v>
      </c>
      <c r="D2645" s="1">
        <v>6.0</v>
      </c>
      <c r="E2645" s="1">
        <v>35323.0</v>
      </c>
      <c r="F2645" s="10">
        <f t="shared" si="1"/>
        <v>6</v>
      </c>
      <c r="G2645" s="10">
        <f t="array" ref="G2645">index('Player ID'!C:C,match(E2645,'Player ID'!B:B,0))</f>
        <v>808963</v>
      </c>
    </row>
    <row r="2646">
      <c r="A2646" s="76">
        <v>45766.0</v>
      </c>
      <c r="B2646" s="1" t="s">
        <v>41</v>
      </c>
      <c r="C2646" s="1" t="s">
        <v>22</v>
      </c>
      <c r="D2646" s="1">
        <v>1.0</v>
      </c>
      <c r="E2646" s="1">
        <v>10233.0</v>
      </c>
      <c r="F2646" s="10">
        <f t="shared" si="1"/>
        <v>1</v>
      </c>
      <c r="G2646" s="10">
        <f t="array" ref="G2646">index('Player ID'!C:C,match(E2646,'Player ID'!B:B,0))</f>
        <v>547973</v>
      </c>
    </row>
    <row r="2647">
      <c r="A2647" s="76">
        <v>45766.0</v>
      </c>
      <c r="B2647" s="1" t="s">
        <v>252</v>
      </c>
      <c r="C2647" s="1" t="s">
        <v>78</v>
      </c>
      <c r="D2647" s="1">
        <v>1.0</v>
      </c>
      <c r="E2647" s="1">
        <v>16061.0</v>
      </c>
      <c r="F2647" s="10">
        <f t="shared" si="1"/>
        <v>1</v>
      </c>
      <c r="G2647" s="10">
        <f t="array" ref="G2647">index('Player ID'!C:C,match(E2647,'Player ID'!B:B,0))</f>
        <v>592155</v>
      </c>
    </row>
    <row r="2648">
      <c r="A2648" s="76">
        <v>45766.0</v>
      </c>
      <c r="B2648" s="1" t="s">
        <v>250</v>
      </c>
      <c r="C2648" s="1" t="s">
        <v>22</v>
      </c>
      <c r="D2648" s="1">
        <v>1.0</v>
      </c>
      <c r="E2648" s="1">
        <v>20191.0</v>
      </c>
      <c r="F2648" s="10">
        <f t="shared" si="1"/>
        <v>1</v>
      </c>
      <c r="G2648" s="10">
        <f t="array" ref="G2648">index('Player ID'!C:C,match(E2648,'Player ID'!B:B,0))</f>
        <v>676477</v>
      </c>
    </row>
    <row r="2649">
      <c r="A2649" s="76">
        <v>45766.0</v>
      </c>
      <c r="B2649" s="1" t="s">
        <v>116</v>
      </c>
      <c r="C2649" s="1" t="s">
        <v>78</v>
      </c>
      <c r="D2649" s="1">
        <v>1.0</v>
      </c>
      <c r="E2649" s="1">
        <v>20353.0</v>
      </c>
      <c r="F2649" s="10">
        <f t="shared" si="1"/>
        <v>1</v>
      </c>
      <c r="G2649" s="10">
        <f t="array" ref="G2649">index('Player ID'!C:C,match(E2649,'Player ID'!B:B,0))</f>
        <v>621051</v>
      </c>
    </row>
    <row r="2650">
      <c r="A2650" s="76">
        <v>45766.0</v>
      </c>
      <c r="B2650" s="1" t="s">
        <v>406</v>
      </c>
      <c r="C2650" s="1" t="s">
        <v>22</v>
      </c>
      <c r="D2650" s="1">
        <v>1.0</v>
      </c>
      <c r="E2650" s="1">
        <v>20375.0</v>
      </c>
      <c r="F2650" s="10">
        <f t="shared" si="1"/>
        <v>1</v>
      </c>
      <c r="G2650" s="10">
        <f t="array" ref="G2650">index('Player ID'!C:C,match(E2650,'Player ID'!B:B,0))</f>
        <v>669711</v>
      </c>
    </row>
    <row r="2651">
      <c r="A2651" s="76">
        <v>45766.0</v>
      </c>
      <c r="B2651" s="1" t="s">
        <v>645</v>
      </c>
      <c r="C2651" s="1" t="s">
        <v>22</v>
      </c>
      <c r="D2651" s="1">
        <v>1.0</v>
      </c>
      <c r="E2651" s="1">
        <v>25648.0</v>
      </c>
      <c r="F2651" s="10">
        <f t="shared" si="1"/>
        <v>1</v>
      </c>
      <c r="G2651" s="10">
        <f t="array" ref="G2651">index('Player ID'!C:C,match(E2651,'Player ID'!B:B,0))</f>
        <v>686580</v>
      </c>
    </row>
    <row r="2652">
      <c r="A2652" s="76">
        <v>45766.0</v>
      </c>
      <c r="B2652" s="1" t="s">
        <v>100</v>
      </c>
      <c r="C2652" s="1" t="s">
        <v>22</v>
      </c>
      <c r="D2652" s="1">
        <v>6.0</v>
      </c>
      <c r="E2652" s="1">
        <v>27463.0</v>
      </c>
      <c r="F2652" s="10">
        <f t="shared" si="1"/>
        <v>6</v>
      </c>
      <c r="G2652" s="10">
        <f t="array" ref="G2652">index('Player ID'!C:C,match(E2652,'Player ID'!B:B,0))</f>
        <v>676979</v>
      </c>
    </row>
    <row r="2653">
      <c r="A2653" s="76">
        <v>45766.0</v>
      </c>
      <c r="B2653" s="1" t="s">
        <v>706</v>
      </c>
      <c r="C2653" s="1" t="s">
        <v>78</v>
      </c>
      <c r="D2653" s="1">
        <v>1.1</v>
      </c>
      <c r="E2653" s="1">
        <v>27472.0</v>
      </c>
      <c r="F2653" s="10">
        <f t="shared" si="1"/>
        <v>1.333333333</v>
      </c>
      <c r="G2653" s="10">
        <f t="array" ref="G2653">index('Player ID'!C:C,match(E2653,'Player ID'!B:B,0))</f>
        <v>694363</v>
      </c>
    </row>
    <row r="2654">
      <c r="A2654" s="76">
        <v>45766.0</v>
      </c>
      <c r="B2654" s="1" t="s">
        <v>317</v>
      </c>
      <c r="C2654" s="1" t="s">
        <v>78</v>
      </c>
      <c r="D2654" s="1">
        <v>1.0</v>
      </c>
      <c r="E2654" s="1">
        <v>29950.0</v>
      </c>
      <c r="F2654" s="10">
        <f t="shared" si="1"/>
        <v>1</v>
      </c>
      <c r="G2654" s="10">
        <f t="array" ref="G2654">index('Player ID'!C:C,match(E2654,'Player ID'!B:B,0))</f>
        <v>673929</v>
      </c>
    </row>
    <row r="2655">
      <c r="A2655" s="76">
        <v>45766.0</v>
      </c>
      <c r="B2655" s="1" t="s">
        <v>497</v>
      </c>
      <c r="C2655" s="1" t="s">
        <v>78</v>
      </c>
      <c r="D2655" s="1">
        <v>0.1</v>
      </c>
      <c r="E2655" s="1">
        <v>30105.0</v>
      </c>
      <c r="F2655" s="10">
        <f t="shared" si="1"/>
        <v>0.3333333333</v>
      </c>
      <c r="G2655" s="10">
        <f t="array" ref="G2655">index('Player ID'!C:C,match(E2655,'Player ID'!B:B,0))</f>
        <v>678024</v>
      </c>
    </row>
    <row r="2656">
      <c r="A2656" s="76">
        <v>45766.0</v>
      </c>
      <c r="B2656" s="1" t="s">
        <v>470</v>
      </c>
      <c r="C2656" s="1" t="s">
        <v>78</v>
      </c>
      <c r="D2656" s="1">
        <v>4.2</v>
      </c>
      <c r="E2656" s="1">
        <v>31687.0</v>
      </c>
      <c r="F2656" s="10">
        <f t="shared" si="1"/>
        <v>4.666666667</v>
      </c>
      <c r="G2656" s="10">
        <f t="array" ref="G2656">index('Player ID'!C:C,match(E2656,'Player ID'!B:B,0))</f>
        <v>681343</v>
      </c>
    </row>
    <row r="2657">
      <c r="A2657" s="76">
        <v>45766.0</v>
      </c>
      <c r="B2657" s="1" t="s">
        <v>324</v>
      </c>
      <c r="C2657" s="1" t="s">
        <v>58</v>
      </c>
      <c r="D2657" s="1">
        <v>4.0</v>
      </c>
      <c r="E2657" s="1">
        <v>6632.0</v>
      </c>
      <c r="F2657" s="10">
        <f t="shared" si="1"/>
        <v>4</v>
      </c>
      <c r="G2657" s="10">
        <f t="array" ref="G2657">index('Player ID'!C:C,match(E2657,'Player ID'!B:B,0))</f>
        <v>471911</v>
      </c>
    </row>
    <row r="2658">
      <c r="A2658" s="76">
        <v>45766.0</v>
      </c>
      <c r="B2658" s="1" t="s">
        <v>467</v>
      </c>
      <c r="C2658" s="1" t="s">
        <v>58</v>
      </c>
      <c r="D2658" s="1">
        <v>1.0</v>
      </c>
      <c r="E2658" s="1">
        <v>15551.0</v>
      </c>
      <c r="F2658" s="10">
        <f t="shared" si="1"/>
        <v>1</v>
      </c>
      <c r="G2658" s="10">
        <f t="array" ref="G2658">index('Player ID'!C:C,match(E2658,'Player ID'!B:B,0))</f>
        <v>643410</v>
      </c>
    </row>
    <row r="2659">
      <c r="A2659" s="76">
        <v>45766.0</v>
      </c>
      <c r="B2659" s="1" t="s">
        <v>114</v>
      </c>
      <c r="C2659" s="1" t="s">
        <v>58</v>
      </c>
      <c r="D2659" s="1">
        <v>1.0</v>
      </c>
      <c r="E2659" s="1">
        <v>15816.0</v>
      </c>
      <c r="F2659" s="10">
        <f t="shared" si="1"/>
        <v>1</v>
      </c>
      <c r="G2659" s="10">
        <f t="array" ref="G2659">index('Player ID'!C:C,match(E2659,'Player ID'!B:B,0))</f>
        <v>642207</v>
      </c>
    </row>
    <row r="2660">
      <c r="A2660" s="76">
        <v>45766.0</v>
      </c>
      <c r="B2660" s="1" t="s">
        <v>225</v>
      </c>
      <c r="C2660" s="1" t="s">
        <v>58</v>
      </c>
      <c r="D2660" s="1">
        <v>1.0</v>
      </c>
      <c r="E2660" s="1">
        <v>16918.0</v>
      </c>
      <c r="F2660" s="10">
        <f t="shared" si="1"/>
        <v>1</v>
      </c>
      <c r="G2660" s="10">
        <f t="array" ref="G2660">index('Player ID'!C:C,match(E2660,'Player ID'!B:B,0))</f>
        <v>596133</v>
      </c>
    </row>
    <row r="2661">
      <c r="A2661" s="76">
        <v>45766.0</v>
      </c>
      <c r="B2661" s="1" t="s">
        <v>261</v>
      </c>
      <c r="C2661" s="1" t="s">
        <v>54</v>
      </c>
      <c r="D2661" s="1">
        <v>0.2</v>
      </c>
      <c r="E2661" s="1">
        <v>17998.0</v>
      </c>
      <c r="F2661" s="10">
        <f t="shared" si="1"/>
        <v>0.6666666667</v>
      </c>
      <c r="G2661" s="10">
        <f t="array" ref="G2661">index('Player ID'!C:C,match(E2661,'Player ID'!B:B,0))</f>
        <v>664126</v>
      </c>
    </row>
    <row r="2662">
      <c r="A2662" s="76">
        <v>45766.0</v>
      </c>
      <c r="B2662" s="1" t="s">
        <v>520</v>
      </c>
      <c r="C2662" s="1" t="s">
        <v>58</v>
      </c>
      <c r="D2662" s="1">
        <v>2.0</v>
      </c>
      <c r="E2662" s="1">
        <v>19261.0</v>
      </c>
      <c r="F2662" s="10">
        <f t="shared" si="1"/>
        <v>2</v>
      </c>
      <c r="G2662" s="10">
        <f t="array" ref="G2662">index('Player ID'!C:C,match(E2662,'Player ID'!B:B,0))</f>
        <v>641656</v>
      </c>
    </row>
    <row r="2663">
      <c r="A2663" s="76">
        <v>45766.0</v>
      </c>
      <c r="B2663" s="1" t="s">
        <v>400</v>
      </c>
      <c r="C2663" s="1" t="s">
        <v>54</v>
      </c>
      <c r="D2663" s="1">
        <v>1.1</v>
      </c>
      <c r="E2663" s="1">
        <v>20539.0</v>
      </c>
      <c r="F2663" s="10">
        <f t="shared" si="1"/>
        <v>1.333333333</v>
      </c>
      <c r="G2663" s="10">
        <f t="array" ref="G2663">index('Player ID'!C:C,match(E2663,'Player ID'!B:B,0))</f>
        <v>670955</v>
      </c>
    </row>
    <row r="2664">
      <c r="A2664" s="76">
        <v>45766.0</v>
      </c>
      <c r="B2664" s="1" t="s">
        <v>705</v>
      </c>
      <c r="C2664" s="1" t="s">
        <v>54</v>
      </c>
      <c r="D2664" s="1">
        <v>0.2</v>
      </c>
      <c r="E2664" s="1">
        <v>20794.0</v>
      </c>
      <c r="F2664" s="10">
        <f t="shared" si="1"/>
        <v>0.6666666667</v>
      </c>
      <c r="G2664" s="10">
        <f t="array" ref="G2664">index('Player ID'!C:C,match(E2664,'Player ID'!B:B,0))</f>
        <v>655889</v>
      </c>
    </row>
    <row r="2665">
      <c r="A2665" s="76">
        <v>45766.0</v>
      </c>
      <c r="B2665" s="1" t="s">
        <v>242</v>
      </c>
      <c r="C2665" s="1" t="s">
        <v>54</v>
      </c>
      <c r="D2665" s="1">
        <v>3.1</v>
      </c>
      <c r="E2665" s="1">
        <v>22264.0</v>
      </c>
      <c r="F2665" s="10">
        <f t="shared" si="1"/>
        <v>3.333333333</v>
      </c>
      <c r="G2665" s="10">
        <f t="array" ref="G2665">index('Player ID'!C:C,match(E2665,'Player ID'!B:B,0))</f>
        <v>669358</v>
      </c>
    </row>
    <row r="2666">
      <c r="A2666" s="76">
        <v>45766.0</v>
      </c>
      <c r="B2666" s="1" t="s">
        <v>204</v>
      </c>
      <c r="C2666" s="1" t="s">
        <v>54</v>
      </c>
      <c r="D2666" s="1">
        <v>2.0</v>
      </c>
      <c r="E2666" s="1">
        <v>22288.0</v>
      </c>
      <c r="F2666" s="10">
        <f t="shared" si="1"/>
        <v>2</v>
      </c>
      <c r="G2666" s="10">
        <f t="array" ref="G2666">index('Player ID'!C:C,match(E2666,'Player ID'!B:B,0))</f>
        <v>669438</v>
      </c>
    </row>
    <row r="2667">
      <c r="A2667" s="76">
        <v>45766.0</v>
      </c>
      <c r="B2667" s="1" t="s">
        <v>691</v>
      </c>
      <c r="C2667" s="1" t="s">
        <v>58</v>
      </c>
      <c r="D2667" s="1">
        <v>0.0</v>
      </c>
      <c r="E2667" s="1">
        <v>22872.0</v>
      </c>
      <c r="F2667" s="10">
        <f t="shared" si="1"/>
        <v>0</v>
      </c>
      <c r="G2667" s="10">
        <f t="array" ref="G2667">index('Player ID'!C:C,match(E2667,'Player ID'!B:B,0))</f>
        <v>672782</v>
      </c>
    </row>
    <row r="2668">
      <c r="A2668" s="76">
        <v>45766.0</v>
      </c>
      <c r="B2668" s="1" t="s">
        <v>671</v>
      </c>
      <c r="C2668" s="1" t="s">
        <v>54</v>
      </c>
      <c r="D2668" s="1">
        <v>1.0</v>
      </c>
      <c r="E2668" s="1">
        <v>26259.0</v>
      </c>
      <c r="F2668" s="10">
        <f t="shared" si="1"/>
        <v>1</v>
      </c>
      <c r="G2668" s="10">
        <f t="array" ref="G2668">index('Player ID'!C:C,match(E2668,'Player ID'!B:B,0))</f>
        <v>685801</v>
      </c>
    </row>
    <row r="2669">
      <c r="A2669" s="76">
        <v>45766.0</v>
      </c>
      <c r="B2669" s="1" t="s">
        <v>334</v>
      </c>
      <c r="C2669" s="1" t="s">
        <v>54</v>
      </c>
      <c r="D2669" s="1">
        <v>1.0</v>
      </c>
      <c r="E2669" s="1">
        <v>29770.0</v>
      </c>
      <c r="F2669" s="10">
        <f t="shared" si="1"/>
        <v>1</v>
      </c>
      <c r="G2669" s="10">
        <f t="array" ref="G2669">index('Player ID'!C:C,match(E2669,'Player ID'!B:B,0))</f>
        <v>682254</v>
      </c>
    </row>
    <row r="2670">
      <c r="A2670" s="76">
        <v>45766.0</v>
      </c>
      <c r="B2670" s="1" t="s">
        <v>447</v>
      </c>
      <c r="C2670" s="1" t="s">
        <v>39</v>
      </c>
      <c r="D2670" s="1">
        <v>2.0</v>
      </c>
      <c r="E2670" s="1">
        <v>13652.0</v>
      </c>
      <c r="F2670" s="10">
        <f t="shared" si="1"/>
        <v>2</v>
      </c>
      <c r="G2670" s="10">
        <f t="array" ref="G2670">index('Player ID'!C:C,match(E2670,'Player ID'!B:B,0))</f>
        <v>605463</v>
      </c>
    </row>
    <row r="2671">
      <c r="A2671" s="76">
        <v>45766.0</v>
      </c>
      <c r="B2671" s="1" t="s">
        <v>59</v>
      </c>
      <c r="C2671" s="1" t="s">
        <v>39</v>
      </c>
      <c r="D2671" s="1">
        <v>1.0</v>
      </c>
      <c r="E2671" s="1">
        <v>14212.0</v>
      </c>
      <c r="F2671" s="10">
        <f t="shared" si="1"/>
        <v>1</v>
      </c>
      <c r="G2671" s="10">
        <f t="array" ref="G2671">index('Player ID'!C:C,match(E2671,'Player ID'!B:B,0))</f>
        <v>623352</v>
      </c>
    </row>
    <row r="2672">
      <c r="A2672" s="76">
        <v>45766.0</v>
      </c>
      <c r="B2672" s="1" t="s">
        <v>210</v>
      </c>
      <c r="C2672" s="1" t="s">
        <v>39</v>
      </c>
      <c r="D2672" s="1">
        <v>1.0</v>
      </c>
      <c r="E2672" s="1">
        <v>16609.0</v>
      </c>
      <c r="F2672" s="10">
        <f t="shared" si="1"/>
        <v>1</v>
      </c>
      <c r="G2672" s="10">
        <f t="array" ref="G2672">index('Player ID'!C:C,match(E2672,'Player ID'!B:B,0))</f>
        <v>650556</v>
      </c>
    </row>
    <row r="2673">
      <c r="A2673" s="76">
        <v>45766.0</v>
      </c>
      <c r="B2673" s="1" t="s">
        <v>207</v>
      </c>
      <c r="C2673" s="1" t="s">
        <v>26</v>
      </c>
      <c r="D2673" s="1">
        <v>5.2</v>
      </c>
      <c r="E2673" s="1">
        <v>19853.0</v>
      </c>
      <c r="F2673" s="10">
        <f t="shared" si="1"/>
        <v>5.666666667</v>
      </c>
      <c r="G2673" s="10">
        <f t="array" ref="G2673">index('Player ID'!C:C,match(E2673,'Player ID'!B:B,0))</f>
        <v>650633</v>
      </c>
    </row>
    <row r="2674">
      <c r="A2674" s="76">
        <v>45766.0</v>
      </c>
      <c r="B2674" s="1" t="s">
        <v>49</v>
      </c>
      <c r="C2674" s="1" t="s">
        <v>26</v>
      </c>
      <c r="D2674" s="1">
        <v>1.0</v>
      </c>
      <c r="E2674" s="1">
        <v>20039.0</v>
      </c>
      <c r="F2674" s="10">
        <f t="shared" si="1"/>
        <v>1</v>
      </c>
      <c r="G2674" s="10">
        <f t="array" ref="G2674">index('Player ID'!C:C,match(E2674,'Player ID'!B:B,0))</f>
        <v>670970</v>
      </c>
    </row>
    <row r="2675">
      <c r="A2675" s="76">
        <v>45766.0</v>
      </c>
      <c r="B2675" s="1" t="s">
        <v>94</v>
      </c>
      <c r="C2675" s="1" t="s">
        <v>26</v>
      </c>
      <c r="D2675" s="1">
        <v>1.1</v>
      </c>
      <c r="E2675" s="1">
        <v>22210.0</v>
      </c>
      <c r="F2675" s="10">
        <f t="shared" si="1"/>
        <v>1.333333333</v>
      </c>
      <c r="G2675" s="10">
        <f t="array" ref="G2675">index('Player ID'!C:C,match(E2675,'Player ID'!B:B,0))</f>
        <v>669093</v>
      </c>
    </row>
    <row r="2676">
      <c r="A2676" s="76">
        <v>45766.0</v>
      </c>
      <c r="B2676" s="1" t="s">
        <v>562</v>
      </c>
      <c r="C2676" s="1" t="s">
        <v>39</v>
      </c>
      <c r="D2676" s="1">
        <v>5.0</v>
      </c>
      <c r="E2676" s="1">
        <v>27581.0</v>
      </c>
      <c r="F2676" s="10">
        <f t="shared" si="1"/>
        <v>5</v>
      </c>
      <c r="G2676" s="10">
        <f t="array" ref="G2676">index('Player ID'!C:C,match(E2676,'Player ID'!B:B,0))</f>
        <v>669713</v>
      </c>
    </row>
    <row r="2677">
      <c r="A2677" s="76">
        <v>45766.0</v>
      </c>
      <c r="B2677" s="1" t="s">
        <v>634</v>
      </c>
      <c r="C2677" s="1" t="s">
        <v>14</v>
      </c>
      <c r="D2677" s="1">
        <v>1.0</v>
      </c>
      <c r="E2677" s="1">
        <v>14332.0</v>
      </c>
      <c r="F2677" s="10">
        <f t="shared" si="1"/>
        <v>1</v>
      </c>
      <c r="G2677" s="10">
        <f t="array" ref="G2677">index('Player ID'!C:C,match(E2677,'Player ID'!B:B,0))</f>
        <v>606303</v>
      </c>
    </row>
    <row r="2678">
      <c r="A2678" s="76">
        <v>45766.0</v>
      </c>
      <c r="B2678" s="1" t="s">
        <v>281</v>
      </c>
      <c r="C2678" s="1" t="s">
        <v>52</v>
      </c>
      <c r="D2678" s="1">
        <v>8.0</v>
      </c>
      <c r="E2678" s="1">
        <v>15890.0</v>
      </c>
      <c r="F2678" s="10">
        <f t="shared" si="1"/>
        <v>8</v>
      </c>
      <c r="G2678" s="10">
        <f t="array" ref="G2678">index('Player ID'!C:C,match(E2678,'Player ID'!B:B,0))</f>
        <v>622663</v>
      </c>
    </row>
    <row r="2679">
      <c r="A2679" s="76">
        <v>45766.0</v>
      </c>
      <c r="B2679" s="1" t="s">
        <v>318</v>
      </c>
      <c r="C2679" s="1" t="s">
        <v>14</v>
      </c>
      <c r="D2679" s="1">
        <v>1.0</v>
      </c>
      <c r="E2679" s="1">
        <v>20546.0</v>
      </c>
      <c r="F2679" s="10">
        <f t="shared" si="1"/>
        <v>1</v>
      </c>
      <c r="G2679" s="10">
        <f t="array" ref="G2679">index('Player ID'!C:C,match(E2679,'Player ID'!B:B,0))</f>
        <v>681982</v>
      </c>
    </row>
    <row r="2680">
      <c r="A2680" s="76">
        <v>45766.0</v>
      </c>
      <c r="B2680" s="1" t="s">
        <v>418</v>
      </c>
      <c r="C2680" s="1" t="s">
        <v>14</v>
      </c>
      <c r="D2680" s="1">
        <v>1.0</v>
      </c>
      <c r="E2680" s="1">
        <v>27517.0</v>
      </c>
      <c r="F2680" s="10">
        <f t="shared" si="1"/>
        <v>1</v>
      </c>
      <c r="G2680" s="10">
        <f t="array" ref="G2680">index('Player ID'!C:C,match(E2680,'Player ID'!B:B,0))</f>
        <v>657649</v>
      </c>
    </row>
    <row r="2681">
      <c r="A2681" s="76">
        <v>45766.0</v>
      </c>
      <c r="B2681" s="1" t="s">
        <v>496</v>
      </c>
      <c r="C2681" s="1" t="s">
        <v>14</v>
      </c>
      <c r="D2681" s="1">
        <v>6.0</v>
      </c>
      <c r="E2681" s="1">
        <v>30113.0</v>
      </c>
      <c r="F2681" s="10">
        <f t="shared" si="1"/>
        <v>6</v>
      </c>
      <c r="G2681" s="10">
        <f t="array" ref="G2681">index('Player ID'!C:C,match(E2681,'Player ID'!B:B,0))</f>
        <v>694477</v>
      </c>
    </row>
    <row r="2682">
      <c r="A2682" s="76">
        <v>45766.0</v>
      </c>
      <c r="B2682" s="1" t="s">
        <v>286</v>
      </c>
      <c r="C2682" s="1" t="s">
        <v>52</v>
      </c>
      <c r="D2682" s="1">
        <v>1.0</v>
      </c>
      <c r="E2682" s="1">
        <v>31757.0</v>
      </c>
      <c r="F2682" s="10">
        <f t="shared" si="1"/>
        <v>1</v>
      </c>
      <c r="G2682" s="10">
        <f t="array" ref="G2682">index('Player ID'!C:C,match(E2682,'Player ID'!B:B,0))</f>
        <v>695243</v>
      </c>
    </row>
    <row r="2683">
      <c r="A2683" s="76">
        <v>45766.0</v>
      </c>
      <c r="B2683" s="1" t="s">
        <v>156</v>
      </c>
      <c r="C2683" s="1" t="s">
        <v>46</v>
      </c>
      <c r="D2683" s="1">
        <v>4.1</v>
      </c>
      <c r="E2683" s="1">
        <v>10603.0</v>
      </c>
      <c r="F2683" s="10">
        <f t="shared" si="1"/>
        <v>4.333333333</v>
      </c>
      <c r="G2683" s="10">
        <f t="array" ref="G2683">index('Player ID'!C:C,match(E2683,'Player ID'!B:B,0))</f>
        <v>519242</v>
      </c>
    </row>
    <row r="2684">
      <c r="A2684" s="76">
        <v>45766.0</v>
      </c>
      <c r="B2684" s="1" t="s">
        <v>326</v>
      </c>
      <c r="C2684" s="1" t="s">
        <v>46</v>
      </c>
      <c r="D2684" s="1">
        <v>1.0</v>
      </c>
      <c r="E2684" s="1">
        <v>12760.0</v>
      </c>
      <c r="F2684" s="10">
        <f t="shared" si="1"/>
        <v>1</v>
      </c>
      <c r="G2684" s="10">
        <f t="array" ref="G2684">index('Player ID'!C:C,match(E2684,'Player ID'!B:B,0))</f>
        <v>606160</v>
      </c>
    </row>
    <row r="2685">
      <c r="A2685" s="76">
        <v>45766.0</v>
      </c>
      <c r="B2685" s="1" t="s">
        <v>178</v>
      </c>
      <c r="C2685" s="1" t="s">
        <v>46</v>
      </c>
      <c r="D2685" s="1">
        <v>0.2</v>
      </c>
      <c r="E2685" s="1">
        <v>13435.0</v>
      </c>
      <c r="F2685" s="10">
        <f t="shared" si="1"/>
        <v>0.6666666667</v>
      </c>
      <c r="G2685" s="10">
        <f t="array" ref="G2685">index('Player ID'!C:C,match(E2685,'Player ID'!B:B,0))</f>
        <v>572955</v>
      </c>
    </row>
    <row r="2686">
      <c r="A2686" s="76">
        <v>45766.0</v>
      </c>
      <c r="B2686" s="1" t="s">
        <v>146</v>
      </c>
      <c r="C2686" s="1" t="s">
        <v>16</v>
      </c>
      <c r="D2686" s="1">
        <v>1.0</v>
      </c>
      <c r="E2686" s="1">
        <v>15145.0</v>
      </c>
      <c r="F2686" s="10">
        <f t="shared" si="1"/>
        <v>1</v>
      </c>
      <c r="G2686" s="10">
        <f t="array" ref="G2686">index('Player ID'!C:C,match(E2686,'Player ID'!B:B,0))</f>
        <v>623437</v>
      </c>
    </row>
    <row r="2687">
      <c r="A2687" s="76">
        <v>45766.0</v>
      </c>
      <c r="B2687" s="1" t="s">
        <v>249</v>
      </c>
      <c r="C2687" s="1" t="s">
        <v>16</v>
      </c>
      <c r="D2687" s="1">
        <v>0.2</v>
      </c>
      <c r="E2687" s="1">
        <v>16727.0</v>
      </c>
      <c r="F2687" s="10">
        <f t="shared" si="1"/>
        <v>0.6666666667</v>
      </c>
      <c r="G2687" s="10">
        <f t="array" ref="G2687">index('Player ID'!C:C,match(E2687,'Player ID'!B:B,0))</f>
        <v>592779</v>
      </c>
    </row>
    <row r="2688">
      <c r="A2688" s="76">
        <v>45766.0</v>
      </c>
      <c r="B2688" s="1" t="s">
        <v>184</v>
      </c>
      <c r="C2688" s="1" t="s">
        <v>46</v>
      </c>
      <c r="D2688" s="1">
        <v>1.0</v>
      </c>
      <c r="E2688" s="1">
        <v>17130.0</v>
      </c>
      <c r="F2688" s="10">
        <f t="shared" si="1"/>
        <v>1</v>
      </c>
      <c r="G2688" s="10">
        <f t="array" ref="G2688">index('Player ID'!C:C,match(E2688,'Player ID'!B:B,0))</f>
        <v>628452</v>
      </c>
    </row>
    <row r="2689">
      <c r="A2689" s="76">
        <v>45766.0</v>
      </c>
      <c r="B2689" s="1" t="s">
        <v>397</v>
      </c>
      <c r="C2689" s="1" t="s">
        <v>16</v>
      </c>
      <c r="D2689" s="1">
        <v>2.0</v>
      </c>
      <c r="E2689" s="1">
        <v>19459.0</v>
      </c>
      <c r="F2689" s="10">
        <f t="shared" si="1"/>
        <v>2</v>
      </c>
      <c r="G2689" s="10">
        <f t="array" ref="G2689">index('Player ID'!C:C,match(E2689,'Player ID'!B:B,0))</f>
        <v>660896</v>
      </c>
    </row>
    <row r="2690">
      <c r="A2690" s="76">
        <v>45766.0</v>
      </c>
      <c r="B2690" s="1" t="s">
        <v>91</v>
      </c>
      <c r="C2690" s="1" t="s">
        <v>46</v>
      </c>
      <c r="D2690" s="1">
        <v>1.0</v>
      </c>
      <c r="E2690" s="1">
        <v>19996.0</v>
      </c>
      <c r="F2690" s="10">
        <f t="shared" si="1"/>
        <v>1</v>
      </c>
      <c r="G2690" s="10">
        <f t="array" ref="G2690">index('Player ID'!C:C,match(E2690,'Player ID'!B:B,0))</f>
        <v>669276</v>
      </c>
    </row>
    <row r="2691">
      <c r="A2691" s="76">
        <v>45766.0</v>
      </c>
      <c r="B2691" s="1" t="s">
        <v>688</v>
      </c>
      <c r="C2691" s="1" t="s">
        <v>46</v>
      </c>
      <c r="D2691" s="1">
        <v>1.0</v>
      </c>
      <c r="E2691" s="1">
        <v>20271.0</v>
      </c>
      <c r="F2691" s="10">
        <f t="shared" si="1"/>
        <v>1</v>
      </c>
      <c r="G2691" s="10">
        <f t="array" ref="G2691">index('Player ID'!C:C,match(E2691,'Player ID'!B:B,0))</f>
        <v>678226</v>
      </c>
    </row>
    <row r="2692">
      <c r="A2692" s="76">
        <v>45766.0</v>
      </c>
      <c r="B2692" s="1" t="s">
        <v>490</v>
      </c>
      <c r="C2692" s="1" t="s">
        <v>16</v>
      </c>
      <c r="D2692" s="1">
        <v>4.1</v>
      </c>
      <c r="E2692" s="1">
        <v>24494.0</v>
      </c>
      <c r="F2692" s="10">
        <f t="shared" si="1"/>
        <v>4.333333333</v>
      </c>
      <c r="G2692" s="10">
        <f t="array" ref="G2692">index('Player ID'!C:C,match(E2692,'Player ID'!B:B,0))</f>
        <v>680573</v>
      </c>
    </row>
    <row r="2693">
      <c r="A2693" s="76">
        <v>45766.0</v>
      </c>
      <c r="B2693" s="1" t="s">
        <v>399</v>
      </c>
      <c r="C2693" s="1" t="s">
        <v>25</v>
      </c>
      <c r="D2693" s="1">
        <v>5.0</v>
      </c>
      <c r="E2693" s="1">
        <v>12049.0</v>
      </c>
      <c r="F2693" s="10">
        <f t="shared" si="1"/>
        <v>5</v>
      </c>
      <c r="G2693" s="10">
        <f t="array" ref="G2693">index('Player ID'!C:C,match(E2693,'Player ID'!B:B,0))</f>
        <v>543294</v>
      </c>
    </row>
    <row r="2694">
      <c r="A2694" s="76">
        <v>45766.0</v>
      </c>
      <c r="B2694" s="1" t="s">
        <v>20</v>
      </c>
      <c r="C2694" s="1" t="s">
        <v>31</v>
      </c>
      <c r="D2694" s="1">
        <v>1.0</v>
      </c>
      <c r="E2694" s="1">
        <v>15541.0</v>
      </c>
      <c r="F2694" s="10">
        <f t="shared" si="1"/>
        <v>1</v>
      </c>
      <c r="G2694" s="10">
        <f t="array" ref="G2694">index('Player ID'!C:C,match(E2694,'Player ID'!B:B,0))</f>
        <v>643511</v>
      </c>
    </row>
    <row r="2695">
      <c r="A2695" s="76">
        <v>45766.0</v>
      </c>
      <c r="B2695" s="1" t="s">
        <v>403</v>
      </c>
      <c r="C2695" s="1" t="s">
        <v>31</v>
      </c>
      <c r="D2695" s="1">
        <v>1.0</v>
      </c>
      <c r="E2695" s="1">
        <v>20423.0</v>
      </c>
      <c r="F2695" s="10">
        <f t="shared" si="1"/>
        <v>1</v>
      </c>
      <c r="G2695" s="10">
        <f t="array" ref="G2695">index('Player ID'!C:C,match(E2695,'Player ID'!B:B,0))</f>
        <v>676254</v>
      </c>
    </row>
    <row r="2696">
      <c r="A2696" s="76">
        <v>45766.0</v>
      </c>
      <c r="B2696" s="1" t="s">
        <v>24</v>
      </c>
      <c r="C2696" s="1" t="s">
        <v>25</v>
      </c>
      <c r="D2696" s="1">
        <v>2.2</v>
      </c>
      <c r="E2696" s="1">
        <v>27468.0</v>
      </c>
      <c r="F2696" s="10">
        <f t="shared" si="1"/>
        <v>2.666666667</v>
      </c>
      <c r="G2696" s="10">
        <f t="array" ref="G2696">index('Player ID'!C:C,match(E2696,'Player ID'!B:B,0))</f>
        <v>672282</v>
      </c>
    </row>
    <row r="2697">
      <c r="A2697" s="76">
        <v>45766.0</v>
      </c>
      <c r="B2697" s="1" t="s">
        <v>209</v>
      </c>
      <c r="C2697" s="1" t="s">
        <v>31</v>
      </c>
      <c r="D2697" s="1">
        <v>7.0</v>
      </c>
      <c r="E2697" s="1">
        <v>30076.0</v>
      </c>
      <c r="F2697" s="10">
        <f t="shared" si="1"/>
        <v>7</v>
      </c>
      <c r="G2697" s="10">
        <f t="array" ref="G2697">index('Player ID'!C:C,match(E2697,'Player ID'!B:B,0))</f>
        <v>694738</v>
      </c>
    </row>
    <row r="2698">
      <c r="A2698" s="76">
        <v>45766.0</v>
      </c>
      <c r="B2698" s="1" t="s">
        <v>659</v>
      </c>
      <c r="C2698" s="1" t="s">
        <v>25</v>
      </c>
      <c r="D2698" s="1">
        <v>1.1</v>
      </c>
      <c r="E2698" s="1">
        <v>35325.0</v>
      </c>
      <c r="F2698" s="10">
        <f t="shared" si="1"/>
        <v>1.333333333</v>
      </c>
      <c r="G2698" s="10">
        <f t="array" ref="G2698">index('Player ID'!C:C,match(E2698,'Player ID'!B:B,0))</f>
        <v>696270</v>
      </c>
    </row>
    <row r="2699">
      <c r="A2699" s="76">
        <v>45767.0</v>
      </c>
      <c r="B2699" s="1" t="s">
        <v>719</v>
      </c>
      <c r="C2699" s="1" t="s">
        <v>80</v>
      </c>
      <c r="D2699" s="1">
        <v>0.2</v>
      </c>
      <c r="E2699" s="1">
        <v>14527.0</v>
      </c>
      <c r="F2699" s="10">
        <f t="shared" si="1"/>
        <v>0.6666666667</v>
      </c>
      <c r="G2699" s="10">
        <f t="array" ref="G2699">index('Player ID'!C:C,match(E2699,'Player ID'!B:B,0))</f>
        <v>605347</v>
      </c>
    </row>
    <row r="2700">
      <c r="A2700" s="76">
        <v>45767.0</v>
      </c>
      <c r="B2700" s="1" t="s">
        <v>481</v>
      </c>
      <c r="C2700" s="1" t="s">
        <v>75</v>
      </c>
      <c r="D2700" s="1">
        <v>6.0</v>
      </c>
      <c r="E2700" s="1">
        <v>15488.0</v>
      </c>
      <c r="F2700" s="10">
        <f t="shared" si="1"/>
        <v>6</v>
      </c>
      <c r="G2700" s="10">
        <f t="array" ref="G2700">index('Player ID'!C:C,match(E2700,'Player ID'!B:B,0))</f>
        <v>622608</v>
      </c>
    </row>
    <row r="2701">
      <c r="A2701" s="76">
        <v>45767.0</v>
      </c>
      <c r="B2701" s="1" t="s">
        <v>288</v>
      </c>
      <c r="C2701" s="1" t="s">
        <v>75</v>
      </c>
      <c r="D2701" s="1">
        <v>1.0</v>
      </c>
      <c r="E2701" s="1">
        <v>18297.0</v>
      </c>
      <c r="F2701" s="10">
        <f t="shared" si="1"/>
        <v>1</v>
      </c>
      <c r="G2701" s="10">
        <f t="array" ref="G2701">index('Player ID'!C:C,match(E2701,'Player ID'!B:B,0))</f>
        <v>641755</v>
      </c>
    </row>
    <row r="2702">
      <c r="A2702" s="76">
        <v>45767.0</v>
      </c>
      <c r="B2702" s="1" t="s">
        <v>644</v>
      </c>
      <c r="C2702" s="1" t="s">
        <v>80</v>
      </c>
      <c r="D2702" s="1">
        <v>1.0</v>
      </c>
      <c r="E2702" s="1">
        <v>19403.0</v>
      </c>
      <c r="F2702" s="10">
        <f t="shared" si="1"/>
        <v>1</v>
      </c>
      <c r="G2702" s="10">
        <f t="array" ref="G2702">index('Player ID'!C:C,match(E2702,'Player ID'!B:B,0))</f>
        <v>621363</v>
      </c>
    </row>
    <row r="2703">
      <c r="A2703" s="76">
        <v>45767.0</v>
      </c>
      <c r="B2703" s="1" t="s">
        <v>215</v>
      </c>
      <c r="C2703" s="1" t="s">
        <v>75</v>
      </c>
      <c r="D2703" s="1">
        <v>1.0</v>
      </c>
      <c r="E2703" s="1">
        <v>21267.0</v>
      </c>
      <c r="F2703" s="10">
        <f t="shared" si="1"/>
        <v>1</v>
      </c>
      <c r="G2703" s="10">
        <f t="array" ref="G2703">index('Player ID'!C:C,match(E2703,'Player ID'!B:B,0))</f>
        <v>656234</v>
      </c>
    </row>
    <row r="2704">
      <c r="A2704" s="76">
        <v>45767.0</v>
      </c>
      <c r="B2704" s="1" t="s">
        <v>508</v>
      </c>
      <c r="C2704" s="1" t="s">
        <v>80</v>
      </c>
      <c r="D2704" s="1">
        <v>0.1</v>
      </c>
      <c r="E2704" s="1">
        <v>23135.0</v>
      </c>
      <c r="F2704" s="10">
        <f t="shared" si="1"/>
        <v>0.3333333333</v>
      </c>
      <c r="G2704" s="10">
        <f t="array" ref="G2704">index('Player ID'!C:C,match(E2704,'Player ID'!B:B,0))</f>
        <v>674285</v>
      </c>
    </row>
    <row r="2705">
      <c r="A2705" s="76">
        <v>45767.0</v>
      </c>
      <c r="B2705" s="1" t="s">
        <v>511</v>
      </c>
      <c r="C2705" s="1" t="s">
        <v>80</v>
      </c>
      <c r="D2705" s="1">
        <v>2.0</v>
      </c>
      <c r="E2705" s="1">
        <v>26215.0</v>
      </c>
      <c r="F2705" s="10">
        <f t="shared" si="1"/>
        <v>2</v>
      </c>
      <c r="G2705" s="10">
        <f t="array" ref="G2705">index('Player ID'!C:C,match(E2705,'Player ID'!B:B,0))</f>
        <v>671131</v>
      </c>
    </row>
    <row r="2706">
      <c r="A2706" s="76">
        <v>45767.0</v>
      </c>
      <c r="B2706" s="1" t="s">
        <v>512</v>
      </c>
      <c r="C2706" s="1" t="s">
        <v>75</v>
      </c>
      <c r="D2706" s="1">
        <v>1.0</v>
      </c>
      <c r="E2706" s="1">
        <v>31552.0</v>
      </c>
      <c r="F2706" s="10">
        <f t="shared" si="1"/>
        <v>1</v>
      </c>
      <c r="G2706" s="10">
        <f t="array" ref="G2706">index('Player ID'!C:C,match(E2706,'Player ID'!B:B,0))</f>
        <v>688642</v>
      </c>
    </row>
    <row r="2707">
      <c r="A2707" s="76">
        <v>45767.0</v>
      </c>
      <c r="B2707" s="1" t="s">
        <v>437</v>
      </c>
      <c r="C2707" s="1" t="s">
        <v>80</v>
      </c>
      <c r="D2707" s="1">
        <v>4.0</v>
      </c>
      <c r="E2707" s="1">
        <v>31972.0</v>
      </c>
      <c r="F2707" s="10">
        <f t="shared" si="1"/>
        <v>4</v>
      </c>
      <c r="G2707" s="10">
        <f t="array" ref="G2707">index('Player ID'!C:C,match(E2707,'Player ID'!B:B,0))</f>
        <v>695418</v>
      </c>
    </row>
    <row r="2708">
      <c r="A2708" s="76">
        <v>45767.0</v>
      </c>
      <c r="B2708" s="1" t="s">
        <v>757</v>
      </c>
      <c r="C2708" s="1" t="s">
        <v>22</v>
      </c>
      <c r="D2708" s="1">
        <v>1.0</v>
      </c>
      <c r="E2708" s="1">
        <v>3548.0</v>
      </c>
      <c r="F2708" s="10">
        <f t="shared" si="1"/>
        <v>1</v>
      </c>
      <c r="G2708" s="10">
        <f t="array" ref="G2708">index('Player ID'!C:C,match(E2708,'Player ID'!B:B,0))</f>
        <v>521230</v>
      </c>
    </row>
    <row r="2709">
      <c r="A2709" s="76">
        <v>45767.0</v>
      </c>
      <c r="B2709" s="1" t="s">
        <v>230</v>
      </c>
      <c r="C2709" s="1" t="s">
        <v>22</v>
      </c>
      <c r="D2709" s="1">
        <v>1.0</v>
      </c>
      <c r="E2709" s="1">
        <v>4301.0</v>
      </c>
      <c r="F2709" s="10">
        <f t="shared" si="1"/>
        <v>1</v>
      </c>
      <c r="G2709" s="10">
        <f t="array" ref="G2709">index('Player ID'!C:C,match(E2709,'Player ID'!B:B,0))</f>
        <v>458677</v>
      </c>
    </row>
    <row r="2710">
      <c r="A2710" s="76">
        <v>45767.0</v>
      </c>
      <c r="B2710" s="1" t="s">
        <v>252</v>
      </c>
      <c r="C2710" s="1" t="s">
        <v>78</v>
      </c>
      <c r="D2710" s="1">
        <v>1.0</v>
      </c>
      <c r="E2710" s="1">
        <v>16061.0</v>
      </c>
      <c r="F2710" s="10">
        <f t="shared" si="1"/>
        <v>1</v>
      </c>
      <c r="G2710" s="10">
        <f t="array" ref="G2710">index('Player ID'!C:C,match(E2710,'Player ID'!B:B,0))</f>
        <v>592155</v>
      </c>
    </row>
    <row r="2711">
      <c r="A2711" s="76">
        <v>45767.0</v>
      </c>
      <c r="B2711" s="1" t="s">
        <v>493</v>
      </c>
      <c r="C2711" s="1" t="s">
        <v>22</v>
      </c>
      <c r="D2711" s="1">
        <v>1.0</v>
      </c>
      <c r="E2711" s="1">
        <v>16835.0</v>
      </c>
      <c r="F2711" s="10">
        <f t="shared" si="1"/>
        <v>1</v>
      </c>
      <c r="G2711" s="10">
        <f t="array" ref="G2711">index('Player ID'!C:C,match(E2711,'Player ID'!B:B,0))</f>
        <v>657514</v>
      </c>
    </row>
    <row r="2712">
      <c r="A2712" s="76">
        <v>45767.0</v>
      </c>
      <c r="B2712" s="1" t="s">
        <v>301</v>
      </c>
      <c r="C2712" s="1" t="s">
        <v>22</v>
      </c>
      <c r="D2712" s="1">
        <v>6.0</v>
      </c>
      <c r="E2712" s="1">
        <v>19879.0</v>
      </c>
      <c r="F2712" s="10">
        <f t="shared" si="1"/>
        <v>6</v>
      </c>
      <c r="G2712" s="10">
        <f t="array" ref="G2712">index('Player ID'!C:C,match(E2712,'Player ID'!B:B,0))</f>
        <v>656557</v>
      </c>
    </row>
    <row r="2713">
      <c r="A2713" s="76">
        <v>45767.0</v>
      </c>
      <c r="B2713" s="1" t="s">
        <v>134</v>
      </c>
      <c r="C2713" s="1" t="s">
        <v>22</v>
      </c>
      <c r="D2713" s="1">
        <v>0.0</v>
      </c>
      <c r="E2713" s="1">
        <v>20349.0</v>
      </c>
      <c r="F2713" s="10">
        <f t="shared" si="1"/>
        <v>0</v>
      </c>
      <c r="G2713" s="10">
        <f t="array" ref="G2713">index('Player ID'!C:C,match(E2713,'Player ID'!B:B,0))</f>
        <v>677161</v>
      </c>
    </row>
    <row r="2714">
      <c r="A2714" s="76">
        <v>45767.0</v>
      </c>
      <c r="B2714" s="1" t="s">
        <v>116</v>
      </c>
      <c r="C2714" s="1" t="s">
        <v>78</v>
      </c>
      <c r="D2714" s="1">
        <v>1.1</v>
      </c>
      <c r="E2714" s="1">
        <v>20353.0</v>
      </c>
      <c r="F2714" s="10">
        <f t="shared" si="1"/>
        <v>1.333333333</v>
      </c>
      <c r="G2714" s="10">
        <f t="array" ref="G2714">index('Player ID'!C:C,match(E2714,'Player ID'!B:B,0))</f>
        <v>621051</v>
      </c>
    </row>
    <row r="2715">
      <c r="A2715" s="76">
        <v>45767.0</v>
      </c>
      <c r="B2715" s="1" t="s">
        <v>367</v>
      </c>
      <c r="C2715" s="1" t="s">
        <v>78</v>
      </c>
      <c r="D2715" s="1">
        <v>1.2</v>
      </c>
      <c r="E2715" s="1">
        <v>27668.0</v>
      </c>
      <c r="F2715" s="10">
        <f t="shared" si="1"/>
        <v>1.666666667</v>
      </c>
      <c r="G2715" s="10">
        <f t="array" ref="G2715">index('Player ID'!C:C,match(E2715,'Player ID'!B:B,0))</f>
        <v>685126</v>
      </c>
    </row>
    <row r="2716">
      <c r="A2716" s="76">
        <v>45767.0</v>
      </c>
      <c r="B2716" s="1" t="s">
        <v>356</v>
      </c>
      <c r="C2716" s="1" t="s">
        <v>78</v>
      </c>
      <c r="D2716" s="1">
        <v>5.0</v>
      </c>
      <c r="E2716" s="1">
        <v>29878.0</v>
      </c>
      <c r="F2716" s="10">
        <f t="shared" si="1"/>
        <v>5</v>
      </c>
      <c r="G2716" s="10">
        <f t="array" ref="G2716">index('Player ID'!C:C,match(E2716,'Player ID'!B:B,0))</f>
        <v>680732</v>
      </c>
    </row>
    <row r="2717">
      <c r="A2717" s="76">
        <v>45767.0</v>
      </c>
      <c r="B2717" s="1" t="s">
        <v>474</v>
      </c>
      <c r="C2717" s="1" t="s">
        <v>68</v>
      </c>
      <c r="D2717" s="1">
        <v>2.1</v>
      </c>
      <c r="E2717" s="1">
        <v>4676.0</v>
      </c>
      <c r="F2717" s="10">
        <f t="shared" si="1"/>
        <v>2.333333333</v>
      </c>
      <c r="G2717" s="10">
        <f t="array" ref="G2717">index('Player ID'!C:C,match(E2717,'Player ID'!B:B,0))</f>
        <v>450203</v>
      </c>
    </row>
    <row r="2718">
      <c r="A2718" s="76">
        <v>45767.0</v>
      </c>
      <c r="B2718" s="1" t="s">
        <v>808</v>
      </c>
      <c r="C2718" s="1" t="s">
        <v>68</v>
      </c>
      <c r="D2718" s="1">
        <v>1.0</v>
      </c>
      <c r="E2718" s="1">
        <v>11442.0</v>
      </c>
      <c r="F2718" s="10">
        <f t="shared" si="1"/>
        <v>1</v>
      </c>
      <c r="G2718" s="10">
        <f t="array" ref="G2718">index('Player ID'!C:C,match(E2718,'Player ID'!B:B,0))</f>
        <v>596142</v>
      </c>
    </row>
    <row r="2719">
      <c r="A2719" s="76">
        <v>45767.0</v>
      </c>
      <c r="B2719" s="1" t="s">
        <v>362</v>
      </c>
      <c r="C2719" s="1" t="s">
        <v>66</v>
      </c>
      <c r="D2719" s="1">
        <v>1.0</v>
      </c>
      <c r="E2719" s="1">
        <v>13449.0</v>
      </c>
      <c r="F2719" s="10">
        <f t="shared" si="1"/>
        <v>1</v>
      </c>
      <c r="G2719" s="10">
        <f t="array" ref="G2719">index('Player ID'!C:C,match(E2719,'Player ID'!B:B,0))</f>
        <v>573124</v>
      </c>
    </row>
    <row r="2720">
      <c r="A2720" s="76">
        <v>45767.0</v>
      </c>
      <c r="B2720" s="1" t="s">
        <v>417</v>
      </c>
      <c r="C2720" s="1" t="s">
        <v>66</v>
      </c>
      <c r="D2720" s="1">
        <v>3.0</v>
      </c>
      <c r="E2720" s="1">
        <v>13942.0</v>
      </c>
      <c r="F2720" s="10">
        <f t="shared" si="1"/>
        <v>3</v>
      </c>
      <c r="G2720" s="10">
        <f t="array" ref="G2720">index('Player ID'!C:C,match(E2720,'Player ID'!B:B,0))</f>
        <v>608718</v>
      </c>
    </row>
    <row r="2721">
      <c r="A2721" s="76">
        <v>45767.0</v>
      </c>
      <c r="B2721" s="1" t="s">
        <v>475</v>
      </c>
      <c r="C2721" s="1" t="s">
        <v>66</v>
      </c>
      <c r="D2721" s="1">
        <v>1.0</v>
      </c>
      <c r="E2721" s="1">
        <v>14993.0</v>
      </c>
      <c r="F2721" s="10">
        <f t="shared" si="1"/>
        <v>1</v>
      </c>
      <c r="G2721" s="10">
        <f t="array" ref="G2721">index('Player ID'!C:C,match(E2721,'Player ID'!B:B,0))</f>
        <v>605130</v>
      </c>
    </row>
    <row r="2722">
      <c r="A2722" s="76">
        <v>45767.0</v>
      </c>
      <c r="B2722" s="1" t="s">
        <v>809</v>
      </c>
      <c r="C2722" s="1" t="s">
        <v>68</v>
      </c>
      <c r="D2722" s="1">
        <v>1.0</v>
      </c>
      <c r="E2722" s="1">
        <v>17273.0</v>
      </c>
      <c r="F2722" s="10">
        <f t="shared" si="1"/>
        <v>1</v>
      </c>
      <c r="G2722" s="10">
        <f t="array" ref="G2722">index('Player ID'!C:C,match(E2722,'Player ID'!B:B,0))</f>
        <v>622761</v>
      </c>
    </row>
    <row r="2723">
      <c r="A2723" s="76">
        <v>45767.0</v>
      </c>
      <c r="B2723" s="1" t="s">
        <v>653</v>
      </c>
      <c r="C2723" s="1" t="s">
        <v>66</v>
      </c>
      <c r="D2723" s="1">
        <v>1.0</v>
      </c>
      <c r="E2723" s="1">
        <v>17871.0</v>
      </c>
      <c r="F2723" s="10">
        <f t="shared" si="1"/>
        <v>1</v>
      </c>
      <c r="G2723" s="10">
        <f t="array" ref="G2723">index('Player ID'!C:C,match(E2723,'Player ID'!B:B,0))</f>
        <v>664139</v>
      </c>
    </row>
    <row r="2724">
      <c r="A2724" s="76">
        <v>45767.0</v>
      </c>
      <c r="B2724" s="1" t="s">
        <v>608</v>
      </c>
      <c r="C2724" s="1" t="s">
        <v>68</v>
      </c>
      <c r="D2724" s="1">
        <v>2.2</v>
      </c>
      <c r="E2724" s="1">
        <v>18769.0</v>
      </c>
      <c r="F2724" s="10">
        <f t="shared" si="1"/>
        <v>2.666666667</v>
      </c>
      <c r="G2724" s="10">
        <f t="array" ref="G2724">index('Player ID'!C:C,match(E2724,'Player ID'!B:B,0))</f>
        <v>547001</v>
      </c>
    </row>
    <row r="2725">
      <c r="A2725" s="76">
        <v>45767.0</v>
      </c>
      <c r="B2725" s="1" t="s">
        <v>675</v>
      </c>
      <c r="C2725" s="1" t="s">
        <v>68</v>
      </c>
      <c r="D2725" s="1">
        <v>2.0</v>
      </c>
      <c r="E2725" s="1">
        <v>19614.0</v>
      </c>
      <c r="F2725" s="10">
        <f t="shared" si="1"/>
        <v>2</v>
      </c>
      <c r="G2725" s="10">
        <f t="array" ref="G2725">index('Player ID'!C:C,match(E2725,'Player ID'!B:B,0))</f>
        <v>672335</v>
      </c>
    </row>
    <row r="2726">
      <c r="A2726" s="76">
        <v>45767.0</v>
      </c>
      <c r="B2726" s="1" t="s">
        <v>786</v>
      </c>
      <c r="C2726" s="1" t="s">
        <v>66</v>
      </c>
      <c r="D2726" s="1">
        <v>3.0</v>
      </c>
      <c r="E2726" s="1">
        <v>25804.0</v>
      </c>
      <c r="F2726" s="10">
        <f t="shared" si="1"/>
        <v>3</v>
      </c>
      <c r="G2726" s="10">
        <f t="array" ref="G2726">index('Player ID'!C:C,match(E2726,'Player ID'!B:B,0))</f>
        <v>691094</v>
      </c>
    </row>
    <row r="2727">
      <c r="A2727" s="76">
        <v>45767.0</v>
      </c>
      <c r="B2727" s="1" t="s">
        <v>117</v>
      </c>
      <c r="C2727" s="1" t="s">
        <v>70</v>
      </c>
      <c r="D2727" s="1">
        <v>1.0</v>
      </c>
      <c r="E2727" s="1">
        <v>13619.0</v>
      </c>
      <c r="F2727" s="10">
        <f t="shared" si="1"/>
        <v>1</v>
      </c>
      <c r="G2727" s="10">
        <f t="array" ref="G2727">index('Player ID'!C:C,match(E2727,'Player ID'!B:B,0))</f>
        <v>596001</v>
      </c>
    </row>
    <row r="2728">
      <c r="A2728" s="76">
        <v>45767.0</v>
      </c>
      <c r="B2728" s="1" t="s">
        <v>648</v>
      </c>
      <c r="C2728" s="1" t="s">
        <v>70</v>
      </c>
      <c r="D2728" s="1">
        <v>0.1</v>
      </c>
      <c r="E2728" s="1">
        <v>13892.0</v>
      </c>
      <c r="F2728" s="10">
        <f t="shared" si="1"/>
        <v>0.3333333333</v>
      </c>
      <c r="G2728" s="10">
        <f t="array" ref="G2728">index('Player ID'!C:C,match(E2728,'Player ID'!B:B,0))</f>
        <v>623149</v>
      </c>
    </row>
    <row r="2729">
      <c r="A2729" s="76">
        <v>45767.0</v>
      </c>
      <c r="B2729" s="1" t="s">
        <v>423</v>
      </c>
      <c r="C2729" s="1" t="s">
        <v>60</v>
      </c>
      <c r="D2729" s="1">
        <v>5.0</v>
      </c>
      <c r="E2729" s="1">
        <v>17594.0</v>
      </c>
      <c r="F2729" s="10">
        <f t="shared" si="1"/>
        <v>5</v>
      </c>
      <c r="G2729" s="10">
        <f t="array" ref="G2729">index('Player ID'!C:C,match(E2729,'Player ID'!B:B,0))</f>
        <v>656605</v>
      </c>
    </row>
    <row r="2730">
      <c r="A2730" s="76">
        <v>45767.0</v>
      </c>
      <c r="B2730" s="1" t="s">
        <v>686</v>
      </c>
      <c r="C2730" s="1" t="s">
        <v>60</v>
      </c>
      <c r="D2730" s="1">
        <v>1.0</v>
      </c>
      <c r="E2730" s="1">
        <v>17639.0</v>
      </c>
      <c r="F2730" s="10">
        <f t="shared" si="1"/>
        <v>1</v>
      </c>
      <c r="G2730" s="10">
        <f t="array" ref="G2730">index('Player ID'!C:C,match(E2730,'Player ID'!B:B,0))</f>
        <v>664875</v>
      </c>
    </row>
    <row r="2731">
      <c r="A2731" s="76">
        <v>45767.0</v>
      </c>
      <c r="B2731" s="1" t="s">
        <v>217</v>
      </c>
      <c r="C2731" s="1" t="s">
        <v>60</v>
      </c>
      <c r="D2731" s="1">
        <v>1.0</v>
      </c>
      <c r="E2731" s="1">
        <v>17878.0</v>
      </c>
      <c r="F2731" s="10">
        <f t="shared" si="1"/>
        <v>1</v>
      </c>
      <c r="G2731" s="10">
        <f t="array" ref="G2731">index('Player ID'!C:C,match(E2731,'Player ID'!B:B,0))</f>
        <v>642701</v>
      </c>
    </row>
    <row r="2732">
      <c r="A2732" s="76">
        <v>45767.0</v>
      </c>
      <c r="B2732" s="1" t="s">
        <v>384</v>
      </c>
      <c r="C2732" s="1" t="s">
        <v>60</v>
      </c>
      <c r="D2732" s="1">
        <v>1.0</v>
      </c>
      <c r="E2732" s="1">
        <v>19962.0</v>
      </c>
      <c r="F2732" s="10">
        <f t="shared" si="1"/>
        <v>1</v>
      </c>
      <c r="G2732" s="10">
        <f t="array" ref="G2732">index('Player ID'!C:C,match(E2732,'Player ID'!B:B,0))</f>
        <v>666214</v>
      </c>
    </row>
    <row r="2733">
      <c r="A2733" s="76">
        <v>45767.0</v>
      </c>
      <c r="B2733" s="1" t="s">
        <v>132</v>
      </c>
      <c r="C2733" s="1" t="s">
        <v>70</v>
      </c>
      <c r="D2733" s="1">
        <v>1.0</v>
      </c>
      <c r="E2733" s="1">
        <v>21032.0</v>
      </c>
      <c r="F2733" s="10">
        <f t="shared" si="1"/>
        <v>1</v>
      </c>
      <c r="G2733" s="10">
        <f t="array" ref="G2733">index('Player ID'!C:C,match(E2733,'Player ID'!B:B,0))</f>
        <v>661403</v>
      </c>
    </row>
    <row r="2734">
      <c r="A2734" s="76">
        <v>45767.0</v>
      </c>
      <c r="B2734" s="1" t="s">
        <v>463</v>
      </c>
      <c r="C2734" s="1" t="s">
        <v>60</v>
      </c>
      <c r="D2734" s="1">
        <v>2.0</v>
      </c>
      <c r="E2734" s="1">
        <v>21544.0</v>
      </c>
      <c r="F2734" s="10">
        <f t="shared" si="1"/>
        <v>2</v>
      </c>
      <c r="G2734" s="10">
        <f t="array" ref="G2734">index('Player ID'!C:C,match(E2734,'Player ID'!B:B,0))</f>
        <v>663767</v>
      </c>
    </row>
    <row r="2735">
      <c r="A2735" s="76">
        <v>45767.0</v>
      </c>
      <c r="B2735" s="1" t="s">
        <v>398</v>
      </c>
      <c r="C2735" s="1" t="s">
        <v>70</v>
      </c>
      <c r="D2735" s="1">
        <v>1.0</v>
      </c>
      <c r="E2735" s="1">
        <v>23335.0</v>
      </c>
      <c r="F2735" s="10">
        <f t="shared" si="1"/>
        <v>1</v>
      </c>
      <c r="G2735" s="10">
        <f t="array" ref="G2735">index('Player ID'!C:C,match(E2735,'Player ID'!B:B,0))</f>
        <v>676282</v>
      </c>
    </row>
    <row r="2736">
      <c r="A2736" s="76">
        <v>45767.0</v>
      </c>
      <c r="B2736" s="1" t="s">
        <v>238</v>
      </c>
      <c r="C2736" s="1" t="s">
        <v>70</v>
      </c>
      <c r="D2736" s="1">
        <v>1.0</v>
      </c>
      <c r="E2736" s="1">
        <v>25636.0</v>
      </c>
      <c r="F2736" s="10">
        <f t="shared" si="1"/>
        <v>1</v>
      </c>
      <c r="G2736" s="10">
        <f t="array" ref="G2736">index('Player ID'!C:C,match(E2736,'Player ID'!B:B,0))</f>
        <v>683769</v>
      </c>
    </row>
    <row r="2737">
      <c r="A2737" s="76">
        <v>45767.0</v>
      </c>
      <c r="B2737" s="1" t="s">
        <v>372</v>
      </c>
      <c r="C2737" s="1" t="s">
        <v>70</v>
      </c>
      <c r="D2737" s="1">
        <v>5.2</v>
      </c>
      <c r="E2737" s="1">
        <v>27589.0</v>
      </c>
      <c r="F2737" s="10">
        <f t="shared" si="1"/>
        <v>5.666666667</v>
      </c>
      <c r="G2737" s="10">
        <f t="array" ref="G2737">index('Player ID'!C:C,match(E2737,'Player ID'!B:B,0))</f>
        <v>671106</v>
      </c>
    </row>
    <row r="2738">
      <c r="A2738" s="76">
        <v>45767.0</v>
      </c>
      <c r="B2738" s="1" t="s">
        <v>435</v>
      </c>
      <c r="C2738" s="1" t="s">
        <v>16</v>
      </c>
      <c r="D2738" s="1">
        <v>1.0</v>
      </c>
      <c r="E2738" s="1">
        <v>13293.0</v>
      </c>
      <c r="F2738" s="10">
        <f t="shared" si="1"/>
        <v>1</v>
      </c>
      <c r="G2738" s="10">
        <f t="array" ref="G2738">index('Player ID'!C:C,match(E2738,'Player ID'!B:B,0))</f>
        <v>543056</v>
      </c>
    </row>
    <row r="2739">
      <c r="A2739" s="76">
        <v>45767.0</v>
      </c>
      <c r="B2739" s="1" t="s">
        <v>178</v>
      </c>
      <c r="C2739" s="1" t="s">
        <v>46</v>
      </c>
      <c r="D2739" s="1">
        <v>2.0</v>
      </c>
      <c r="E2739" s="1">
        <v>13435.0</v>
      </c>
      <c r="F2739" s="10">
        <f t="shared" si="1"/>
        <v>2</v>
      </c>
      <c r="G2739" s="10">
        <f t="array" ref="G2739">index('Player ID'!C:C,match(E2739,'Player ID'!B:B,0))</f>
        <v>572955</v>
      </c>
    </row>
    <row r="2740">
      <c r="A2740" s="76">
        <v>45767.0</v>
      </c>
      <c r="B2740" s="1" t="s">
        <v>366</v>
      </c>
      <c r="C2740" s="1" t="s">
        <v>46</v>
      </c>
      <c r="D2740" s="1">
        <v>5.2</v>
      </c>
      <c r="E2740" s="1">
        <v>16944.0</v>
      </c>
      <c r="F2740" s="10">
        <f t="shared" si="1"/>
        <v>5.666666667</v>
      </c>
      <c r="G2740" s="10">
        <f t="array" ref="G2740">index('Player ID'!C:C,match(E2740,'Player ID'!B:B,0))</f>
        <v>656550</v>
      </c>
    </row>
    <row r="2741">
      <c r="A2741" s="76">
        <v>45767.0</v>
      </c>
      <c r="B2741" s="1" t="s">
        <v>346</v>
      </c>
      <c r="C2741" s="1" t="s">
        <v>46</v>
      </c>
      <c r="D2741" s="1">
        <v>1.1</v>
      </c>
      <c r="E2741" s="1">
        <v>18403.0</v>
      </c>
      <c r="F2741" s="10">
        <f t="shared" si="1"/>
        <v>1.333333333</v>
      </c>
      <c r="G2741" s="10">
        <f t="array" ref="G2741">index('Player ID'!C:C,match(E2741,'Player ID'!B:B,0))</f>
        <v>660853</v>
      </c>
    </row>
    <row r="2742">
      <c r="A2742" s="76">
        <v>45767.0</v>
      </c>
      <c r="B2742" s="1" t="s">
        <v>122</v>
      </c>
      <c r="C2742" s="1" t="s">
        <v>16</v>
      </c>
      <c r="D2742" s="1">
        <v>1.0</v>
      </c>
      <c r="E2742" s="1">
        <v>21029.0</v>
      </c>
      <c r="F2742" s="10">
        <f t="shared" si="1"/>
        <v>1</v>
      </c>
      <c r="G2742" s="10">
        <f t="array" ref="G2742">index('Player ID'!C:C,match(E2742,'Player ID'!B:B,0))</f>
        <v>661395</v>
      </c>
    </row>
    <row r="2743">
      <c r="A2743" s="76">
        <v>45767.0</v>
      </c>
      <c r="B2743" s="1" t="s">
        <v>150</v>
      </c>
      <c r="C2743" s="1" t="s">
        <v>16</v>
      </c>
      <c r="D2743" s="1">
        <v>5.0</v>
      </c>
      <c r="E2743" s="1">
        <v>21390.0</v>
      </c>
      <c r="F2743" s="10">
        <f t="shared" si="1"/>
        <v>5</v>
      </c>
      <c r="G2743" s="10">
        <f t="array" ref="G2743">index('Player ID'!C:C,match(E2743,'Player ID'!B:B,0))</f>
        <v>657746</v>
      </c>
    </row>
    <row r="2744">
      <c r="A2744" s="76">
        <v>45767.0</v>
      </c>
      <c r="B2744" s="1" t="s">
        <v>47</v>
      </c>
      <c r="C2744" s="1" t="s">
        <v>16</v>
      </c>
      <c r="D2744" s="1">
        <v>1.0</v>
      </c>
      <c r="E2744" s="1">
        <v>27691.0</v>
      </c>
      <c r="F2744" s="10">
        <f t="shared" si="1"/>
        <v>1</v>
      </c>
      <c r="G2744" s="10">
        <f t="array" ref="G2744">index('Player ID'!C:C,match(E2744,'Player ID'!B:B,0))</f>
        <v>686973</v>
      </c>
    </row>
    <row r="2745">
      <c r="A2745" s="76">
        <v>45767.0</v>
      </c>
      <c r="B2745" s="1" t="s">
        <v>182</v>
      </c>
      <c r="C2745" s="1" t="s">
        <v>45</v>
      </c>
      <c r="D2745" s="1">
        <v>1.0</v>
      </c>
      <c r="E2745" s="1">
        <v>13799.0</v>
      </c>
      <c r="F2745" s="10">
        <f t="shared" si="1"/>
        <v>1</v>
      </c>
      <c r="G2745" s="10">
        <f t="array" ref="G2745">index('Player ID'!C:C,match(E2745,'Player ID'!B:B,0))</f>
        <v>621381</v>
      </c>
    </row>
    <row r="2746">
      <c r="A2746" s="76">
        <v>45767.0</v>
      </c>
      <c r="B2746" s="1" t="s">
        <v>661</v>
      </c>
      <c r="C2746" s="1" t="s">
        <v>36</v>
      </c>
      <c r="D2746" s="1">
        <v>1.0</v>
      </c>
      <c r="E2746" s="1">
        <v>16300.0</v>
      </c>
      <c r="F2746" s="10">
        <f t="shared" si="1"/>
        <v>1</v>
      </c>
      <c r="G2746" s="10">
        <f t="array" ref="G2746">index('Player ID'!C:C,match(E2746,'Player ID'!B:B,0))</f>
        <v>622786</v>
      </c>
    </row>
    <row r="2747">
      <c r="A2747" s="76">
        <v>45767.0</v>
      </c>
      <c r="B2747" s="1" t="s">
        <v>643</v>
      </c>
      <c r="C2747" s="1" t="s">
        <v>45</v>
      </c>
      <c r="D2747" s="1">
        <v>1.0</v>
      </c>
      <c r="E2747" s="1">
        <v>17780.0</v>
      </c>
      <c r="F2747" s="10">
        <f t="shared" si="1"/>
        <v>1</v>
      </c>
      <c r="G2747" s="10">
        <f t="array" ref="G2747">index('Player ID'!C:C,match(E2747,'Player ID'!B:B,0))</f>
        <v>621237</v>
      </c>
    </row>
    <row r="2748">
      <c r="A2748" s="76">
        <v>45767.0</v>
      </c>
      <c r="B2748" s="1" t="s">
        <v>89</v>
      </c>
      <c r="C2748" s="1" t="s">
        <v>36</v>
      </c>
      <c r="D2748" s="1">
        <v>0.2</v>
      </c>
      <c r="E2748" s="1">
        <v>19742.0</v>
      </c>
      <c r="F2748" s="10">
        <f t="shared" si="1"/>
        <v>0.6666666667</v>
      </c>
      <c r="G2748" s="10">
        <f t="array" ref="G2748">index('Player ID'!C:C,match(E2748,'Player ID'!B:B,0))</f>
        <v>669622</v>
      </c>
    </row>
    <row r="2749">
      <c r="A2749" s="76">
        <v>45767.0</v>
      </c>
      <c r="B2749" s="1" t="s">
        <v>700</v>
      </c>
      <c r="C2749" s="1" t="s">
        <v>45</v>
      </c>
      <c r="D2749" s="1">
        <v>7.0</v>
      </c>
      <c r="E2749" s="1">
        <v>19959.0</v>
      </c>
      <c r="F2749" s="10">
        <f t="shared" si="1"/>
        <v>7</v>
      </c>
      <c r="G2749" s="10">
        <f t="array" ref="G2749">index('Player ID'!C:C,match(E2749,'Player ID'!B:B,0))</f>
        <v>666200</v>
      </c>
    </row>
    <row r="2750">
      <c r="A2750" s="76">
        <v>45767.0</v>
      </c>
      <c r="B2750" s="1" t="s">
        <v>262</v>
      </c>
      <c r="C2750" s="1" t="s">
        <v>36</v>
      </c>
      <c r="D2750" s="1">
        <v>1.0</v>
      </c>
      <c r="E2750" s="1">
        <v>20116.0</v>
      </c>
      <c r="F2750" s="10">
        <f t="shared" si="1"/>
        <v>1</v>
      </c>
      <c r="G2750" s="10">
        <f t="array" ref="G2750">index('Player ID'!C:C,match(E2750,'Player ID'!B:B,0))</f>
        <v>676534</v>
      </c>
    </row>
    <row r="2751">
      <c r="A2751" s="76">
        <v>45767.0</v>
      </c>
      <c r="B2751" s="1" t="s">
        <v>561</v>
      </c>
      <c r="C2751" s="1" t="s">
        <v>36</v>
      </c>
      <c r="D2751" s="1">
        <v>5.0</v>
      </c>
      <c r="E2751" s="1">
        <v>26171.0</v>
      </c>
      <c r="F2751" s="10">
        <f t="shared" si="1"/>
        <v>5</v>
      </c>
      <c r="G2751" s="10">
        <f t="array" ref="G2751">index('Player ID'!C:C,match(E2751,'Player ID'!B:B,0))</f>
        <v>687362</v>
      </c>
    </row>
    <row r="2752">
      <c r="A2752" s="76">
        <v>45767.0</v>
      </c>
      <c r="B2752" s="1" t="s">
        <v>165</v>
      </c>
      <c r="C2752" s="1" t="s">
        <v>45</v>
      </c>
      <c r="D2752" s="1">
        <v>1.0</v>
      </c>
      <c r="E2752" s="1">
        <v>31776.0</v>
      </c>
      <c r="F2752" s="10">
        <f t="shared" si="1"/>
        <v>1</v>
      </c>
      <c r="G2752" s="10">
        <f t="array" ref="G2752">index('Player ID'!C:C,match(E2752,'Player ID'!B:B,0))</f>
        <v>689147</v>
      </c>
    </row>
    <row r="2753">
      <c r="A2753" s="76">
        <v>45767.0</v>
      </c>
      <c r="B2753" s="1" t="s">
        <v>266</v>
      </c>
      <c r="C2753" s="1" t="s">
        <v>36</v>
      </c>
      <c r="D2753" s="1">
        <v>2.1</v>
      </c>
      <c r="E2753" s="1">
        <v>31815.0</v>
      </c>
      <c r="F2753" s="10">
        <f t="shared" si="1"/>
        <v>2.333333333</v>
      </c>
      <c r="G2753" s="10">
        <f t="array" ref="G2753">index('Player ID'!C:C,match(E2753,'Player ID'!B:B,0))</f>
        <v>806188</v>
      </c>
    </row>
    <row r="2754">
      <c r="A2754" s="76">
        <v>45767.0</v>
      </c>
      <c r="B2754" s="1" t="s">
        <v>272</v>
      </c>
      <c r="C2754" s="1" t="s">
        <v>37</v>
      </c>
      <c r="D2754" s="1">
        <v>5.0</v>
      </c>
      <c r="E2754" s="1">
        <v>15689.0</v>
      </c>
      <c r="F2754" s="10">
        <f t="shared" si="1"/>
        <v>5</v>
      </c>
      <c r="G2754" s="10">
        <f t="array" ref="G2754">index('Player ID'!C:C,match(E2754,'Player ID'!B:B,0))</f>
        <v>622491</v>
      </c>
    </row>
    <row r="2755">
      <c r="A2755" s="76">
        <v>45767.0</v>
      </c>
      <c r="B2755" s="1" t="s">
        <v>53</v>
      </c>
      <c r="C2755" s="1" t="s">
        <v>37</v>
      </c>
      <c r="D2755" s="1">
        <v>1.0</v>
      </c>
      <c r="E2755" s="1">
        <v>17170.0</v>
      </c>
      <c r="F2755" s="10">
        <f t="shared" si="1"/>
        <v>1</v>
      </c>
      <c r="G2755" s="10">
        <f t="array" ref="G2755">index('Player ID'!C:C,match(E2755,'Player ID'!B:B,0))</f>
        <v>642100</v>
      </c>
    </row>
    <row r="2756">
      <c r="A2756" s="76">
        <v>45767.0</v>
      </c>
      <c r="B2756" s="1" t="s">
        <v>811</v>
      </c>
      <c r="C2756" s="1" t="s">
        <v>40</v>
      </c>
      <c r="D2756" s="1">
        <v>1.1</v>
      </c>
      <c r="E2756" s="1">
        <v>17796.0</v>
      </c>
      <c r="F2756" s="10">
        <f t="shared" si="1"/>
        <v>1.333333333</v>
      </c>
      <c r="G2756" s="10">
        <f t="array" ref="G2756">index('Player ID'!C:C,match(E2756,'Player ID'!B:B,0))</f>
        <v>622253</v>
      </c>
    </row>
    <row r="2757">
      <c r="A2757" s="76">
        <v>45767.0</v>
      </c>
      <c r="B2757" s="1" t="s">
        <v>108</v>
      </c>
      <c r="C2757" s="1" t="s">
        <v>37</v>
      </c>
      <c r="D2757" s="1">
        <v>1.0</v>
      </c>
      <c r="E2757" s="1">
        <v>17948.0</v>
      </c>
      <c r="F2757" s="10">
        <f t="shared" si="1"/>
        <v>1</v>
      </c>
      <c r="G2757" s="10">
        <f t="array" ref="G2757">index('Player ID'!C:C,match(E2757,'Player ID'!B:B,0))</f>
        <v>663423</v>
      </c>
    </row>
    <row r="2758">
      <c r="A2758" s="76">
        <v>45767.0</v>
      </c>
      <c r="B2758" s="1" t="s">
        <v>683</v>
      </c>
      <c r="C2758" s="1" t="s">
        <v>37</v>
      </c>
      <c r="D2758" s="1">
        <v>1.0</v>
      </c>
      <c r="E2758" s="1">
        <v>23307.0</v>
      </c>
      <c r="F2758" s="10">
        <f t="shared" si="1"/>
        <v>1</v>
      </c>
      <c r="G2758" s="10">
        <f t="array" ref="G2758">index('Player ID'!C:C,match(E2758,'Player ID'!B:B,0))</f>
        <v>676092</v>
      </c>
    </row>
    <row r="2759">
      <c r="A2759" s="76">
        <v>45767.0</v>
      </c>
      <c r="B2759" s="1" t="s">
        <v>568</v>
      </c>
      <c r="C2759" s="1" t="s">
        <v>40</v>
      </c>
      <c r="D2759" s="1">
        <v>4.1</v>
      </c>
      <c r="E2759" s="1">
        <v>25501.0</v>
      </c>
      <c r="F2759" s="10">
        <f t="shared" si="1"/>
        <v>4.333333333</v>
      </c>
      <c r="G2759" s="10">
        <f t="array" ref="G2759">index('Player ID'!C:C,match(E2759,'Player ID'!B:B,0))</f>
        <v>687606</v>
      </c>
    </row>
    <row r="2760">
      <c r="A2760" s="76">
        <v>45767.0</v>
      </c>
      <c r="B2760" s="1" t="s">
        <v>340</v>
      </c>
      <c r="C2760" s="1" t="s">
        <v>37</v>
      </c>
      <c r="D2760" s="1">
        <v>1.0</v>
      </c>
      <c r="E2760" s="1">
        <v>25921.0</v>
      </c>
      <c r="F2760" s="10">
        <f t="shared" si="1"/>
        <v>1</v>
      </c>
      <c r="G2760" s="10">
        <f t="array" ref="G2760">index('Player ID'!C:C,match(E2760,'Player ID'!B:B,0))</f>
        <v>668984</v>
      </c>
    </row>
    <row r="2761">
      <c r="A2761" s="76">
        <v>45767.0</v>
      </c>
      <c r="B2761" s="1" t="s">
        <v>577</v>
      </c>
      <c r="C2761" s="1" t="s">
        <v>40</v>
      </c>
      <c r="D2761" s="1">
        <v>1.2</v>
      </c>
      <c r="E2761" s="1">
        <v>26058.0</v>
      </c>
      <c r="F2761" s="10">
        <f t="shared" si="1"/>
        <v>1.666666667</v>
      </c>
      <c r="G2761" s="10">
        <f t="array" ref="G2761">index('Player ID'!C:C,match(E2761,'Player ID'!B:B,0))</f>
        <v>687922</v>
      </c>
    </row>
    <row r="2762">
      <c r="A2762" s="76">
        <v>45767.0</v>
      </c>
      <c r="B2762" s="1" t="s">
        <v>142</v>
      </c>
      <c r="C2762" s="1" t="s">
        <v>40</v>
      </c>
      <c r="D2762" s="1">
        <v>1.2</v>
      </c>
      <c r="E2762" s="1">
        <v>31553.0</v>
      </c>
      <c r="F2762" s="10">
        <f t="shared" si="1"/>
        <v>1.666666667</v>
      </c>
      <c r="G2762" s="10">
        <f t="array" ref="G2762">index('Player ID'!C:C,match(E2762,'Player ID'!B:B,0))</f>
        <v>689254</v>
      </c>
    </row>
    <row r="2763">
      <c r="A2763" s="76">
        <v>45767.0</v>
      </c>
      <c r="B2763" s="1" t="s">
        <v>95</v>
      </c>
      <c r="C2763" s="1" t="s">
        <v>72</v>
      </c>
      <c r="D2763" s="1">
        <v>6.0</v>
      </c>
      <c r="E2763" s="1">
        <v>12768.0</v>
      </c>
      <c r="F2763" s="10">
        <f t="shared" si="1"/>
        <v>6</v>
      </c>
      <c r="G2763" s="10">
        <f t="array" ref="G2763">index('Player ID'!C:C,match(E2763,'Player ID'!B:B,0))</f>
        <v>543243</v>
      </c>
    </row>
    <row r="2764">
      <c r="A2764" s="76">
        <v>45767.0</v>
      </c>
      <c r="B2764" s="1" t="s">
        <v>269</v>
      </c>
      <c r="C2764" s="1" t="s">
        <v>51</v>
      </c>
      <c r="D2764" s="1">
        <v>6.0</v>
      </c>
      <c r="E2764" s="1">
        <v>13649.0</v>
      </c>
      <c r="F2764" s="10">
        <f t="shared" si="1"/>
        <v>6</v>
      </c>
      <c r="G2764" s="10">
        <f t="array" ref="G2764">index('Player ID'!C:C,match(E2764,'Player ID'!B:B,0))</f>
        <v>605280</v>
      </c>
    </row>
    <row r="2765">
      <c r="A2765" s="76">
        <v>45767.0</v>
      </c>
      <c r="B2765" s="1" t="s">
        <v>292</v>
      </c>
      <c r="C2765" s="1" t="s">
        <v>51</v>
      </c>
      <c r="D2765" s="1">
        <v>1.0</v>
      </c>
      <c r="E2765" s="1">
        <v>15947.0</v>
      </c>
      <c r="F2765" s="10">
        <f t="shared" si="1"/>
        <v>1</v>
      </c>
      <c r="G2765" s="10">
        <f t="array" ref="G2765">index('Player ID'!C:C,match(E2765,'Player ID'!B:B,0))</f>
        <v>592773</v>
      </c>
    </row>
    <row r="2766">
      <c r="A2766" s="76">
        <v>45767.0</v>
      </c>
      <c r="B2766" s="1" t="s">
        <v>190</v>
      </c>
      <c r="C2766" s="1" t="s">
        <v>72</v>
      </c>
      <c r="D2766" s="1">
        <v>0.2</v>
      </c>
      <c r="E2766" s="1">
        <v>18064.0</v>
      </c>
      <c r="F2766" s="10">
        <f t="shared" si="1"/>
        <v>0.6666666667</v>
      </c>
      <c r="G2766" s="10">
        <f t="array" ref="G2766">index('Player ID'!C:C,match(E2766,'Player ID'!B:B,0))</f>
        <v>664208</v>
      </c>
    </row>
    <row r="2767">
      <c r="A2767" s="76">
        <v>45767.0</v>
      </c>
      <c r="B2767" s="1" t="s">
        <v>647</v>
      </c>
      <c r="C2767" s="1" t="s">
        <v>51</v>
      </c>
      <c r="D2767" s="1">
        <v>0.2</v>
      </c>
      <c r="E2767" s="1">
        <v>18439.0</v>
      </c>
      <c r="F2767" s="10">
        <f t="shared" si="1"/>
        <v>0.6666666667</v>
      </c>
      <c r="G2767" s="10">
        <f t="array" ref="G2767">index('Player ID'!C:C,match(E2767,'Player ID'!B:B,0))</f>
        <v>664849</v>
      </c>
    </row>
    <row r="2768">
      <c r="A2768" s="76">
        <v>45767.0</v>
      </c>
      <c r="B2768" s="1" t="s">
        <v>193</v>
      </c>
      <c r="C2768" s="1" t="s">
        <v>72</v>
      </c>
      <c r="D2768" s="1">
        <v>0.1</v>
      </c>
      <c r="E2768" s="1">
        <v>19574.0</v>
      </c>
      <c r="F2768" s="10">
        <f t="shared" si="1"/>
        <v>0.3333333333</v>
      </c>
      <c r="G2768" s="10">
        <f t="array" ref="G2768">index('Player ID'!C:C,match(E2768,'Player ID'!B:B,0))</f>
        <v>668941</v>
      </c>
    </row>
    <row r="2769">
      <c r="A2769" s="76">
        <v>45767.0</v>
      </c>
      <c r="B2769" s="1" t="s">
        <v>712</v>
      </c>
      <c r="C2769" s="1" t="s">
        <v>51</v>
      </c>
      <c r="D2769" s="1">
        <v>1.1</v>
      </c>
      <c r="E2769" s="1">
        <v>23313.0</v>
      </c>
      <c r="F2769" s="10">
        <f t="shared" si="1"/>
        <v>1.333333333</v>
      </c>
      <c r="G2769" s="10">
        <f t="array" ref="G2769">index('Player ID'!C:C,match(E2769,'Player ID'!B:B,0))</f>
        <v>676130</v>
      </c>
    </row>
    <row r="2770">
      <c r="A2770" s="76">
        <v>45767.0</v>
      </c>
      <c r="B2770" s="1" t="s">
        <v>378</v>
      </c>
      <c r="C2770" s="1" t="s">
        <v>72</v>
      </c>
      <c r="D2770" s="1">
        <v>1.0</v>
      </c>
      <c r="E2770" s="1">
        <v>24862.0</v>
      </c>
      <c r="F2770" s="10">
        <f t="shared" si="1"/>
        <v>1</v>
      </c>
      <c r="G2770" s="10">
        <f t="array" ref="G2770">index('Player ID'!C:C,match(E2770,'Player ID'!B:B,0))</f>
        <v>681676</v>
      </c>
    </row>
    <row r="2771">
      <c r="A2771" s="76">
        <v>45767.0</v>
      </c>
      <c r="B2771" s="1" t="s">
        <v>439</v>
      </c>
      <c r="C2771" s="1" t="s">
        <v>62</v>
      </c>
      <c r="D2771" s="1">
        <v>1.0</v>
      </c>
      <c r="E2771" s="1">
        <v>11384.0</v>
      </c>
      <c r="F2771" s="10">
        <f t="shared" si="1"/>
        <v>1</v>
      </c>
      <c r="G2771" s="10">
        <f t="array" ref="G2771">index('Player ID'!C:C,match(E2771,'Player ID'!B:B,0))</f>
        <v>592454</v>
      </c>
    </row>
    <row r="2772">
      <c r="A2772" s="76">
        <v>45767.0</v>
      </c>
      <c r="B2772" s="1" t="s">
        <v>147</v>
      </c>
      <c r="C2772" s="1" t="s">
        <v>29</v>
      </c>
      <c r="D2772" s="1">
        <v>5.1</v>
      </c>
      <c r="E2772" s="1">
        <v>14078.0</v>
      </c>
      <c r="F2772" s="10">
        <f t="shared" si="1"/>
        <v>5.333333333</v>
      </c>
      <c r="G2772" s="10">
        <f t="array" ref="G2772">index('Player ID'!C:C,match(E2772,'Player ID'!B:B,0))</f>
        <v>608379</v>
      </c>
    </row>
    <row r="2773">
      <c r="A2773" s="76">
        <v>45767.0</v>
      </c>
      <c r="B2773" s="1" t="s">
        <v>649</v>
      </c>
      <c r="C2773" s="1" t="s">
        <v>29</v>
      </c>
      <c r="D2773" s="1">
        <v>2.0</v>
      </c>
      <c r="E2773" s="1">
        <v>14542.0</v>
      </c>
      <c r="F2773" s="10">
        <f t="shared" si="1"/>
        <v>2</v>
      </c>
      <c r="G2773" s="10">
        <f t="array" ref="G2773">index('Player ID'!C:C,match(E2773,'Player ID'!B:B,0))</f>
        <v>608032</v>
      </c>
    </row>
    <row r="2774">
      <c r="A2774" s="76">
        <v>45767.0</v>
      </c>
      <c r="B2774" s="1" t="s">
        <v>144</v>
      </c>
      <c r="C2774" s="1" t="s">
        <v>29</v>
      </c>
      <c r="D2774" s="1">
        <v>1.2</v>
      </c>
      <c r="E2774" s="1">
        <v>20020.0</v>
      </c>
      <c r="F2774" s="10">
        <f t="shared" si="1"/>
        <v>1.666666667</v>
      </c>
      <c r="G2774" s="10">
        <f t="array" ref="G2774">index('Player ID'!C:C,match(E2774,'Player ID'!B:B,0))</f>
        <v>670167</v>
      </c>
    </row>
    <row r="2775">
      <c r="A2775" s="76">
        <v>45767.0</v>
      </c>
      <c r="B2775" s="1" t="s">
        <v>293</v>
      </c>
      <c r="C2775" s="1" t="s">
        <v>29</v>
      </c>
      <c r="D2775" s="1">
        <v>1.0</v>
      </c>
      <c r="E2775" s="1">
        <v>21537.0</v>
      </c>
      <c r="F2775" s="10">
        <f t="shared" si="1"/>
        <v>1</v>
      </c>
      <c r="G2775" s="10">
        <f t="array" ref="G2775">index('Player ID'!C:C,match(E2775,'Player ID'!B:B,0))</f>
        <v>663738</v>
      </c>
    </row>
    <row r="2776">
      <c r="A2776" s="76">
        <v>45767.0</v>
      </c>
      <c r="B2776" s="1" t="s">
        <v>84</v>
      </c>
      <c r="C2776" s="1" t="s">
        <v>62</v>
      </c>
      <c r="D2776" s="1">
        <v>5.0</v>
      </c>
      <c r="E2776" s="1">
        <v>22267.0</v>
      </c>
      <c r="F2776" s="10">
        <f t="shared" si="1"/>
        <v>5</v>
      </c>
      <c r="G2776" s="10">
        <f t="array" ref="G2776">index('Player ID'!C:C,match(E2776,'Player ID'!B:B,0))</f>
        <v>669373</v>
      </c>
    </row>
    <row r="2777">
      <c r="A2777" s="76">
        <v>45767.0</v>
      </c>
      <c r="B2777" s="1" t="s">
        <v>82</v>
      </c>
      <c r="C2777" s="1" t="s">
        <v>62</v>
      </c>
      <c r="D2777" s="1">
        <v>2.0</v>
      </c>
      <c r="E2777" s="1">
        <v>26231.0</v>
      </c>
      <c r="F2777" s="10">
        <f t="shared" si="1"/>
        <v>2</v>
      </c>
      <c r="G2777" s="10">
        <f t="array" ref="G2777">index('Player ID'!C:C,match(E2777,'Player ID'!B:B,0))</f>
        <v>663947</v>
      </c>
    </row>
    <row r="2778">
      <c r="A2778" s="76">
        <v>45767.0</v>
      </c>
      <c r="B2778" s="1" t="s">
        <v>487</v>
      </c>
      <c r="C2778" s="1" t="s">
        <v>62</v>
      </c>
      <c r="D2778" s="1">
        <v>2.0</v>
      </c>
      <c r="E2778" s="1">
        <v>30133.0</v>
      </c>
      <c r="F2778" s="10">
        <f t="shared" si="1"/>
        <v>2</v>
      </c>
      <c r="G2778" s="10">
        <f t="array" ref="G2778">index('Player ID'!C:C,match(E2778,'Player ID'!B:B,0))</f>
        <v>676428</v>
      </c>
    </row>
    <row r="2779">
      <c r="A2779" s="76">
        <v>45767.0</v>
      </c>
      <c r="B2779" s="1" t="s">
        <v>422</v>
      </c>
      <c r="C2779" s="1" t="s">
        <v>58</v>
      </c>
      <c r="D2779" s="1">
        <v>1.1</v>
      </c>
      <c r="E2779" s="1">
        <v>7048.0</v>
      </c>
      <c r="F2779" s="10">
        <f t="shared" si="1"/>
        <v>1.333333333</v>
      </c>
      <c r="G2779" s="10">
        <f t="array" ref="G2779">index('Player ID'!C:C,match(E2779,'Player ID'!B:B,0))</f>
        <v>518585</v>
      </c>
    </row>
    <row r="2780">
      <c r="A2780" s="76">
        <v>45767.0</v>
      </c>
      <c r="B2780" s="1" t="s">
        <v>166</v>
      </c>
      <c r="C2780" s="1" t="s">
        <v>58</v>
      </c>
      <c r="D2780" s="1">
        <v>7.2</v>
      </c>
      <c r="E2780" s="1">
        <v>13743.0</v>
      </c>
      <c r="F2780" s="10">
        <f t="shared" si="1"/>
        <v>7.666666667</v>
      </c>
      <c r="G2780" s="10">
        <f t="array" ref="G2780">index('Player ID'!C:C,match(E2780,'Player ID'!B:B,0))</f>
        <v>608331</v>
      </c>
    </row>
    <row r="2781">
      <c r="A2781" s="76">
        <v>45767.0</v>
      </c>
      <c r="B2781" s="1" t="s">
        <v>185</v>
      </c>
      <c r="C2781" s="1" t="s">
        <v>54</v>
      </c>
      <c r="D2781" s="1">
        <v>1.0</v>
      </c>
      <c r="E2781" s="1">
        <v>17897.0</v>
      </c>
      <c r="F2781" s="10">
        <f t="shared" si="1"/>
        <v>1</v>
      </c>
      <c r="G2781" s="10">
        <f t="array" ref="G2781">index('Player ID'!C:C,match(E2781,'Player ID'!B:B,0))</f>
        <v>664076</v>
      </c>
    </row>
    <row r="2782">
      <c r="A2782" s="76">
        <v>45767.0</v>
      </c>
      <c r="B2782" s="1" t="s">
        <v>129</v>
      </c>
      <c r="C2782" s="1" t="s">
        <v>54</v>
      </c>
      <c r="D2782" s="1">
        <v>6.0</v>
      </c>
      <c r="E2782" s="1">
        <v>26221.0</v>
      </c>
      <c r="F2782" s="10">
        <f t="shared" si="1"/>
        <v>6</v>
      </c>
      <c r="G2782" s="10">
        <f t="array" ref="G2782">index('Player ID'!C:C,match(E2782,'Player ID'!B:B,0))</f>
        <v>686752</v>
      </c>
    </row>
    <row r="2783">
      <c r="A2783" s="76">
        <v>45767.0</v>
      </c>
      <c r="B2783" s="1" t="s">
        <v>257</v>
      </c>
      <c r="C2783" s="1" t="s">
        <v>54</v>
      </c>
      <c r="D2783" s="1">
        <v>2.0</v>
      </c>
      <c r="E2783" s="1">
        <v>27626.0</v>
      </c>
      <c r="F2783" s="10">
        <f t="shared" si="1"/>
        <v>2</v>
      </c>
      <c r="G2783" s="10">
        <f t="array" ref="G2783">index('Player ID'!C:C,match(E2783,'Player ID'!B:B,0))</f>
        <v>679358</v>
      </c>
    </row>
    <row r="2784">
      <c r="A2784" s="76">
        <v>45767.0</v>
      </c>
      <c r="B2784" s="1" t="s">
        <v>668</v>
      </c>
      <c r="C2784" s="1" t="s">
        <v>52</v>
      </c>
      <c r="D2784" s="1">
        <v>1.0</v>
      </c>
      <c r="E2784" s="1">
        <v>3237.0</v>
      </c>
      <c r="F2784" s="10">
        <f t="shared" si="1"/>
        <v>1</v>
      </c>
      <c r="G2784" s="10">
        <f t="array" ref="G2784">index('Player ID'!C:C,match(E2784,'Player ID'!B:B,0))</f>
        <v>519008</v>
      </c>
    </row>
    <row r="2785">
      <c r="A2785" s="76">
        <v>45767.0</v>
      </c>
      <c r="B2785" s="1" t="s">
        <v>336</v>
      </c>
      <c r="C2785" s="1" t="s">
        <v>52</v>
      </c>
      <c r="D2785" s="1">
        <v>2.1</v>
      </c>
      <c r="E2785" s="1">
        <v>17677.0</v>
      </c>
      <c r="F2785" s="10">
        <f t="shared" si="1"/>
        <v>2.333333333</v>
      </c>
      <c r="G2785" s="10">
        <f t="array" ref="G2785">index('Player ID'!C:C,match(E2785,'Player ID'!B:B,0))</f>
        <v>605488</v>
      </c>
    </row>
    <row r="2786">
      <c r="A2786" s="76">
        <v>45767.0</v>
      </c>
      <c r="B2786" s="1" t="s">
        <v>187</v>
      </c>
      <c r="C2786" s="1" t="s">
        <v>14</v>
      </c>
      <c r="D2786" s="1">
        <v>3.0</v>
      </c>
      <c r="E2786" s="1">
        <v>17735.0</v>
      </c>
      <c r="F2786" s="10">
        <f t="shared" si="1"/>
        <v>3</v>
      </c>
      <c r="G2786" s="10">
        <f t="array" ref="G2786">index('Player ID'!C:C,match(E2786,'Player ID'!B:B,0))</f>
        <v>641302</v>
      </c>
    </row>
    <row r="2787">
      <c r="A2787" s="76">
        <v>45767.0</v>
      </c>
      <c r="B2787" s="1" t="s">
        <v>389</v>
      </c>
      <c r="C2787" s="1" t="s">
        <v>52</v>
      </c>
      <c r="D2787" s="1">
        <v>1.1</v>
      </c>
      <c r="E2787" s="1">
        <v>25098.0</v>
      </c>
      <c r="F2787" s="10">
        <f t="shared" si="1"/>
        <v>1.333333333</v>
      </c>
      <c r="G2787" s="10">
        <f t="array" ref="G2787">index('Player ID'!C:C,match(E2787,'Player ID'!B:B,0))</f>
        <v>682052</v>
      </c>
    </row>
    <row r="2788">
      <c r="A2788" s="76">
        <v>45767.0</v>
      </c>
      <c r="B2788" s="1" t="s">
        <v>127</v>
      </c>
      <c r="C2788" s="1" t="s">
        <v>52</v>
      </c>
      <c r="D2788" s="1">
        <v>2.2</v>
      </c>
      <c r="E2788" s="1">
        <v>27707.0</v>
      </c>
      <c r="F2788" s="10">
        <f t="shared" si="1"/>
        <v>2.666666667</v>
      </c>
      <c r="G2788" s="10">
        <f t="array" ref="G2788">index('Player ID'!C:C,match(E2788,'Player ID'!B:B,0))</f>
        <v>687765</v>
      </c>
    </row>
    <row r="2789">
      <c r="A2789" s="76">
        <v>45767.0</v>
      </c>
      <c r="B2789" s="1" t="s">
        <v>717</v>
      </c>
      <c r="C2789" s="1" t="s">
        <v>52</v>
      </c>
      <c r="D2789" s="1">
        <v>0.2</v>
      </c>
      <c r="E2789" s="1">
        <v>27908.0</v>
      </c>
      <c r="F2789" s="10">
        <f t="shared" si="1"/>
        <v>0.6666666667</v>
      </c>
      <c r="G2789" s="10">
        <f t="array" ref="G2789">index('Player ID'!C:C,match(E2789,'Player ID'!B:B,0))</f>
        <v>668716</v>
      </c>
    </row>
    <row r="2790">
      <c r="A2790" s="76">
        <v>45767.0</v>
      </c>
      <c r="B2790" s="1" t="s">
        <v>555</v>
      </c>
      <c r="C2790" s="1" t="s">
        <v>14</v>
      </c>
      <c r="D2790" s="1">
        <v>6.0</v>
      </c>
      <c r="E2790" s="1">
        <v>31475.0</v>
      </c>
      <c r="F2790" s="10">
        <f t="shared" si="1"/>
        <v>6</v>
      </c>
      <c r="G2790" s="10">
        <f t="array" ref="G2790">index('Player ID'!C:C,match(E2790,'Player ID'!B:B,0))</f>
        <v>701656</v>
      </c>
    </row>
    <row r="2791">
      <c r="A2791" s="76">
        <v>45767.0</v>
      </c>
      <c r="B2791" s="1" t="s">
        <v>460</v>
      </c>
      <c r="C2791" s="1" t="s">
        <v>34</v>
      </c>
      <c r="D2791" s="1">
        <v>1.0</v>
      </c>
      <c r="E2791" s="1">
        <v>7005.0</v>
      </c>
      <c r="F2791" s="10">
        <f t="shared" si="1"/>
        <v>1</v>
      </c>
      <c r="G2791" s="10">
        <f t="array" ref="G2791">index('Player ID'!C:C,match(E2791,'Player ID'!B:B,0))</f>
        <v>519151</v>
      </c>
    </row>
    <row r="2792">
      <c r="A2792" s="76">
        <v>45767.0</v>
      </c>
      <c r="B2792" s="1" t="s">
        <v>103</v>
      </c>
      <c r="C2792" s="1" t="s">
        <v>64</v>
      </c>
      <c r="D2792" s="1">
        <v>2.0</v>
      </c>
      <c r="E2792" s="1">
        <v>10197.0</v>
      </c>
      <c r="F2792" s="10">
        <f t="shared" si="1"/>
        <v>2</v>
      </c>
      <c r="G2792" s="10">
        <f t="array" ref="G2792">index('Player ID'!C:C,match(E2792,'Player ID'!B:B,0))</f>
        <v>571946</v>
      </c>
    </row>
    <row r="2793">
      <c r="A2793" s="76">
        <v>45767.0</v>
      </c>
      <c r="B2793" s="1" t="s">
        <v>222</v>
      </c>
      <c r="C2793" s="1" t="s">
        <v>64</v>
      </c>
      <c r="D2793" s="1">
        <v>5.2</v>
      </c>
      <c r="E2793" s="1">
        <v>11156.0</v>
      </c>
      <c r="F2793" s="10">
        <f t="shared" si="1"/>
        <v>5.666666667</v>
      </c>
      <c r="G2793" s="10">
        <f t="array" ref="G2793">index('Player ID'!C:C,match(E2793,'Player ID'!B:B,0))</f>
        <v>518876</v>
      </c>
    </row>
    <row r="2794">
      <c r="A2794" s="76">
        <v>45767.0</v>
      </c>
      <c r="B2794" s="1" t="s">
        <v>99</v>
      </c>
      <c r="C2794" s="1" t="s">
        <v>34</v>
      </c>
      <c r="D2794" s="1">
        <v>5.0</v>
      </c>
      <c r="E2794" s="1">
        <v>11674.0</v>
      </c>
      <c r="F2794" s="10">
        <f t="shared" si="1"/>
        <v>5</v>
      </c>
      <c r="G2794" s="10">
        <f t="array" ref="G2794">index('Player ID'!C:C,match(E2794,'Player ID'!B:B,0))</f>
        <v>592791</v>
      </c>
    </row>
    <row r="2795">
      <c r="A2795" s="76">
        <v>45767.0</v>
      </c>
      <c r="B2795" s="1" t="s">
        <v>219</v>
      </c>
      <c r="C2795" s="1" t="s">
        <v>64</v>
      </c>
      <c r="D2795" s="1">
        <v>1.0</v>
      </c>
      <c r="E2795" s="1">
        <v>16647.0</v>
      </c>
      <c r="F2795" s="10">
        <f t="shared" si="1"/>
        <v>1</v>
      </c>
      <c r="G2795" s="10">
        <f t="array" ref="G2795">index('Player ID'!C:C,match(E2795,'Player ID'!B:B,0))</f>
        <v>657044</v>
      </c>
    </row>
    <row r="2796">
      <c r="A2796" s="76">
        <v>45767.0</v>
      </c>
      <c r="B2796" s="1" t="s">
        <v>632</v>
      </c>
      <c r="C2796" s="1" t="s">
        <v>34</v>
      </c>
      <c r="D2796" s="1">
        <v>1.0</v>
      </c>
      <c r="E2796" s="1">
        <v>16703.0</v>
      </c>
      <c r="F2796" s="10">
        <f t="shared" si="1"/>
        <v>1</v>
      </c>
      <c r="G2796" s="10">
        <f t="array" ref="G2796">index('Player ID'!C:C,match(E2796,'Player ID'!B:B,0))</f>
        <v>657240</v>
      </c>
    </row>
    <row r="2797">
      <c r="A2797" s="76">
        <v>45767.0</v>
      </c>
      <c r="B2797" s="1" t="s">
        <v>489</v>
      </c>
      <c r="C2797" s="1" t="s">
        <v>64</v>
      </c>
      <c r="D2797" s="1">
        <v>1.1</v>
      </c>
      <c r="E2797" s="1">
        <v>17192.0</v>
      </c>
      <c r="F2797" s="10">
        <f t="shared" si="1"/>
        <v>1.333333333</v>
      </c>
      <c r="G2797" s="10">
        <f t="array" ref="G2797">index('Player ID'!C:C,match(E2797,'Player ID'!B:B,0))</f>
        <v>656222</v>
      </c>
    </row>
    <row r="2798">
      <c r="A2798" s="76">
        <v>45767.0</v>
      </c>
      <c r="B2798" s="1" t="s">
        <v>789</v>
      </c>
      <c r="C2798" s="1" t="s">
        <v>34</v>
      </c>
      <c r="D2798" s="1">
        <v>1.0</v>
      </c>
      <c r="E2798" s="1">
        <v>24930.0</v>
      </c>
      <c r="F2798" s="10">
        <f t="shared" si="1"/>
        <v>1</v>
      </c>
      <c r="G2798" s="10">
        <f t="array" ref="G2798">index('Player ID'!C:C,match(E2798,'Player ID'!B:B,0))</f>
        <v>681799</v>
      </c>
    </row>
    <row r="2799">
      <c r="A2799" s="76">
        <v>45767.0</v>
      </c>
      <c r="B2799" s="1" t="s">
        <v>813</v>
      </c>
      <c r="C2799" s="1" t="s">
        <v>64</v>
      </c>
      <c r="D2799" s="1">
        <v>1.0</v>
      </c>
      <c r="E2799" s="1">
        <v>26260.0</v>
      </c>
      <c r="F2799" s="10">
        <f t="shared" si="1"/>
        <v>1</v>
      </c>
      <c r="G2799" s="10">
        <f t="array" ref="G2799">index('Player ID'!C:C,match(E2799,'Player ID'!B:B,0))</f>
        <v>686753</v>
      </c>
    </row>
    <row r="2800">
      <c r="A2800" s="76">
        <v>45767.0</v>
      </c>
      <c r="B2800" s="1" t="s">
        <v>388</v>
      </c>
      <c r="C2800" s="1" t="s">
        <v>34</v>
      </c>
      <c r="D2800" s="1">
        <v>1.0</v>
      </c>
      <c r="E2800" s="1">
        <v>26413.0</v>
      </c>
      <c r="F2800" s="10">
        <f t="shared" si="1"/>
        <v>1</v>
      </c>
      <c r="G2800" s="10">
        <f t="array" ref="G2800">index('Player ID'!C:C,match(E2800,'Player ID'!B:B,0))</f>
        <v>687863</v>
      </c>
    </row>
    <row r="2801">
      <c r="A2801" s="76">
        <v>45767.0</v>
      </c>
      <c r="B2801" s="1" t="s">
        <v>556</v>
      </c>
      <c r="C2801" s="1" t="s">
        <v>34</v>
      </c>
      <c r="D2801" s="1">
        <v>2.0</v>
      </c>
      <c r="E2801" s="1">
        <v>30094.0</v>
      </c>
      <c r="F2801" s="10">
        <f t="shared" si="1"/>
        <v>2</v>
      </c>
      <c r="G2801" s="10">
        <f t="array" ref="G2801">index('Player ID'!C:C,match(E2801,'Player ID'!B:B,0))</f>
        <v>696136</v>
      </c>
    </row>
    <row r="2802">
      <c r="A2802" s="76">
        <v>45767.0</v>
      </c>
      <c r="B2802" s="1" t="s">
        <v>595</v>
      </c>
      <c r="C2802" s="1" t="s">
        <v>33</v>
      </c>
      <c r="D2802" s="1">
        <v>0.2</v>
      </c>
      <c r="E2802" s="1">
        <v>6984.0</v>
      </c>
      <c r="F2802" s="10">
        <f t="shared" si="1"/>
        <v>0.6666666667</v>
      </c>
      <c r="G2802" s="10">
        <f t="array" ref="G2802">index('Player ID'!C:C,match(E2802,'Player ID'!B:B,0))</f>
        <v>472610</v>
      </c>
    </row>
    <row r="2803">
      <c r="A2803" s="76">
        <v>45767.0</v>
      </c>
      <c r="B2803" s="1" t="s">
        <v>74</v>
      </c>
      <c r="C2803" s="1" t="s">
        <v>56</v>
      </c>
      <c r="D2803" s="1">
        <v>1.0</v>
      </c>
      <c r="E2803" s="1">
        <v>11847.0</v>
      </c>
      <c r="F2803" s="10">
        <f t="shared" si="1"/>
        <v>1</v>
      </c>
      <c r="G2803" s="10">
        <f t="array" ref="G2803">index('Player ID'!C:C,match(E2803,'Player ID'!B:B,0))</f>
        <v>455119</v>
      </c>
    </row>
    <row r="2804">
      <c r="A2804" s="76">
        <v>45767.0</v>
      </c>
      <c r="B2804" s="1" t="s">
        <v>151</v>
      </c>
      <c r="C2804" s="1" t="s">
        <v>56</v>
      </c>
      <c r="D2804" s="1">
        <v>1.0</v>
      </c>
      <c r="E2804" s="1">
        <v>13346.0</v>
      </c>
      <c r="F2804" s="10">
        <f t="shared" si="1"/>
        <v>1</v>
      </c>
      <c r="G2804" s="10">
        <f t="array" ref="G2804">index('Player ID'!C:C,match(E2804,'Player ID'!B:B,0))</f>
        <v>571948</v>
      </c>
    </row>
    <row r="2805">
      <c r="A2805" s="76">
        <v>45767.0</v>
      </c>
      <c r="B2805" s="1" t="s">
        <v>421</v>
      </c>
      <c r="C2805" s="1" t="s">
        <v>33</v>
      </c>
      <c r="D2805" s="1">
        <v>4.0</v>
      </c>
      <c r="E2805" s="1">
        <v>14374.0</v>
      </c>
      <c r="F2805" s="10">
        <f t="shared" si="1"/>
        <v>4</v>
      </c>
      <c r="G2805" s="10">
        <f t="array" ref="G2805">index('Player ID'!C:C,match(E2805,'Player ID'!B:B,0))</f>
        <v>607192</v>
      </c>
    </row>
    <row r="2806">
      <c r="A2806" s="76">
        <v>45767.0</v>
      </c>
      <c r="B2806" s="1" t="s">
        <v>310</v>
      </c>
      <c r="C2806" s="1" t="s">
        <v>33</v>
      </c>
      <c r="D2806" s="1">
        <v>0.2</v>
      </c>
      <c r="E2806" s="1">
        <v>14706.0</v>
      </c>
      <c r="F2806" s="10">
        <f t="shared" si="1"/>
        <v>0.6666666667</v>
      </c>
      <c r="G2806" s="10">
        <f t="array" ref="G2806">index('Player ID'!C:C,match(E2806,'Player ID'!B:B,0))</f>
        <v>607455</v>
      </c>
    </row>
    <row r="2807">
      <c r="A2807" s="76">
        <v>45767.0</v>
      </c>
      <c r="B2807" s="1" t="s">
        <v>55</v>
      </c>
      <c r="C2807" s="1" t="s">
        <v>56</v>
      </c>
      <c r="D2807" s="1">
        <v>7.0</v>
      </c>
      <c r="E2807" s="1">
        <v>16358.0</v>
      </c>
      <c r="F2807" s="10">
        <f t="shared" si="1"/>
        <v>7</v>
      </c>
      <c r="G2807" s="10">
        <f t="array" ref="G2807">index('Player ID'!C:C,match(E2807,'Player ID'!B:B,0))</f>
        <v>641816</v>
      </c>
    </row>
    <row r="2808">
      <c r="A2808" s="76">
        <v>45767.0</v>
      </c>
      <c r="B2808" s="1" t="s">
        <v>32</v>
      </c>
      <c r="C2808" s="1" t="s">
        <v>33</v>
      </c>
      <c r="D2808" s="1">
        <v>1.0</v>
      </c>
      <c r="E2808" s="1">
        <v>17586.0</v>
      </c>
      <c r="F2808" s="10">
        <f t="shared" si="1"/>
        <v>1</v>
      </c>
      <c r="G2808" s="10">
        <f t="array" ref="G2808">index('Player ID'!C:C,match(E2808,'Player ID'!B:B,0))</f>
        <v>656945</v>
      </c>
    </row>
    <row r="2809">
      <c r="A2809" s="76">
        <v>45767.0</v>
      </c>
      <c r="B2809" s="1" t="s">
        <v>694</v>
      </c>
      <c r="C2809" s="1" t="s">
        <v>33</v>
      </c>
      <c r="D2809" s="1">
        <v>0.1</v>
      </c>
      <c r="E2809" s="1">
        <v>17734.0</v>
      </c>
      <c r="F2809" s="10">
        <f t="shared" si="1"/>
        <v>0.3333333333</v>
      </c>
      <c r="G2809" s="10">
        <f t="array" ref="G2809">index('Player ID'!C:C,match(E2809,'Player ID'!B:B,0))</f>
        <v>623465</v>
      </c>
    </row>
    <row r="2810">
      <c r="A2810" s="76">
        <v>45767.0</v>
      </c>
      <c r="B2810" s="1" t="s">
        <v>104</v>
      </c>
      <c r="C2810" s="1" t="s">
        <v>33</v>
      </c>
      <c r="D2810" s="1">
        <v>1.2</v>
      </c>
      <c r="E2810" s="1">
        <v>30085.0</v>
      </c>
      <c r="F2810" s="10">
        <f t="shared" si="1"/>
        <v>1.666666667</v>
      </c>
      <c r="G2810" s="10">
        <f t="array" ref="G2810">index('Player ID'!C:C,match(E2810,'Player ID'!B:B,0))</f>
        <v>676508</v>
      </c>
    </row>
    <row r="2811">
      <c r="A2811" s="76">
        <v>45767.0</v>
      </c>
      <c r="B2811" s="1" t="s">
        <v>206</v>
      </c>
      <c r="C2811" s="1" t="s">
        <v>33</v>
      </c>
      <c r="D2811" s="1">
        <v>0.2</v>
      </c>
      <c r="E2811" s="1">
        <v>30249.0</v>
      </c>
      <c r="F2811" s="10">
        <f t="shared" si="1"/>
        <v>0.6666666667</v>
      </c>
      <c r="G2811" s="10">
        <f t="array" ref="G2811">index('Player ID'!C:C,match(E2811,'Player ID'!B:B,0))</f>
        <v>676263</v>
      </c>
    </row>
    <row r="2812">
      <c r="A2812" s="76">
        <v>45767.0</v>
      </c>
      <c r="B2812" s="1" t="s">
        <v>704</v>
      </c>
      <c r="C2812" s="1" t="s">
        <v>75</v>
      </c>
      <c r="D2812" s="1">
        <v>0.2</v>
      </c>
      <c r="E2812" s="1">
        <v>10591.0</v>
      </c>
      <c r="F2812" s="10">
        <f t="shared" si="1"/>
        <v>0.6666666667</v>
      </c>
      <c r="G2812" s="10">
        <f t="array" ref="G2812">index('Player ID'!C:C,match(E2812,'Player ID'!B:B,0))</f>
        <v>518397</v>
      </c>
    </row>
    <row r="2813">
      <c r="A2813" s="76">
        <v>45767.0</v>
      </c>
      <c r="B2813" s="1" t="s">
        <v>139</v>
      </c>
      <c r="C2813" s="1" t="s">
        <v>80</v>
      </c>
      <c r="D2813" s="1">
        <v>1.0</v>
      </c>
      <c r="E2813" s="1">
        <v>15009.0</v>
      </c>
      <c r="F2813" s="10">
        <f t="shared" si="1"/>
        <v>1</v>
      </c>
      <c r="G2813" s="10">
        <f t="array" ref="G2813">index('Player ID'!C:C,match(E2813,'Player ID'!B:B,0))</f>
        <v>640448</v>
      </c>
    </row>
    <row r="2814">
      <c r="A2814" s="76">
        <v>45767.0</v>
      </c>
      <c r="B2814" s="1" t="s">
        <v>189</v>
      </c>
      <c r="C2814" s="1" t="s">
        <v>75</v>
      </c>
      <c r="D2814" s="1">
        <v>2.0</v>
      </c>
      <c r="E2814" s="1">
        <v>16256.0</v>
      </c>
      <c r="F2814" s="10">
        <f t="shared" si="1"/>
        <v>2</v>
      </c>
      <c r="G2814" s="10">
        <f t="array" ref="G2814">index('Player ID'!C:C,match(E2814,'Player ID'!B:B,0))</f>
        <v>607536</v>
      </c>
    </row>
    <row r="2815">
      <c r="A2815" s="76">
        <v>45767.0</v>
      </c>
      <c r="B2815" s="1" t="s">
        <v>451</v>
      </c>
      <c r="C2815" s="1" t="s">
        <v>75</v>
      </c>
      <c r="D2815" s="1">
        <v>2.0</v>
      </c>
      <c r="E2815" s="1">
        <v>17556.0</v>
      </c>
      <c r="F2815" s="10">
        <f t="shared" si="1"/>
        <v>2</v>
      </c>
      <c r="G2815" s="10">
        <f t="array" ref="G2815">index('Player ID'!C:C,match(E2815,'Player ID'!B:B,0))</f>
        <v>623474</v>
      </c>
    </row>
    <row r="2816">
      <c r="A2816" s="76">
        <v>45767.0</v>
      </c>
      <c r="B2816" s="1" t="s">
        <v>396</v>
      </c>
      <c r="C2816" s="1" t="s">
        <v>80</v>
      </c>
      <c r="D2816" s="1">
        <v>6.1</v>
      </c>
      <c r="E2816" s="1">
        <v>21504.0</v>
      </c>
      <c r="F2816" s="10">
        <f t="shared" si="1"/>
        <v>6.333333333</v>
      </c>
      <c r="G2816" s="10">
        <f t="array" ref="G2816">index('Player ID'!C:C,match(E2816,'Player ID'!B:B,0))</f>
        <v>663623</v>
      </c>
    </row>
    <row r="2817">
      <c r="A2817" s="76">
        <v>45767.0</v>
      </c>
      <c r="B2817" s="1" t="s">
        <v>86</v>
      </c>
      <c r="C2817" s="1" t="s">
        <v>80</v>
      </c>
      <c r="D2817" s="1">
        <v>1.2</v>
      </c>
      <c r="E2817" s="1">
        <v>24017.0</v>
      </c>
      <c r="F2817" s="10">
        <f t="shared" si="1"/>
        <v>1.666666667</v>
      </c>
      <c r="G2817" s="10">
        <f t="array" ref="G2817">index('Player ID'!C:C,match(E2817,'Player ID'!B:B,0))</f>
        <v>678606</v>
      </c>
    </row>
    <row r="2818">
      <c r="A2818" s="76">
        <v>45767.0</v>
      </c>
      <c r="B2818" s="1" t="s">
        <v>486</v>
      </c>
      <c r="C2818" s="1" t="s">
        <v>75</v>
      </c>
      <c r="D2818" s="1">
        <v>3.0</v>
      </c>
      <c r="E2818" s="1">
        <v>26790.0</v>
      </c>
      <c r="F2818" s="10">
        <f t="shared" si="1"/>
        <v>3</v>
      </c>
      <c r="G2818" s="10">
        <f t="array" ref="G2818">index('Player ID'!C:C,match(E2818,'Player ID'!B:B,0))</f>
        <v>683409</v>
      </c>
    </row>
    <row r="2819">
      <c r="A2819" s="76">
        <v>45767.0</v>
      </c>
      <c r="B2819" s="1" t="s">
        <v>488</v>
      </c>
      <c r="C2819" s="1" t="s">
        <v>75</v>
      </c>
      <c r="D2819" s="1">
        <v>1.1</v>
      </c>
      <c r="E2819" s="1">
        <v>33294.0</v>
      </c>
      <c r="F2819" s="10">
        <f t="shared" si="1"/>
        <v>1.333333333</v>
      </c>
      <c r="G2819" s="10">
        <f t="array" ref="G2819">index('Player ID'!C:C,match(E2819,'Player ID'!B:B,0))</f>
        <v>678020</v>
      </c>
    </row>
    <row r="2820">
      <c r="A2820" s="76">
        <v>45767.0</v>
      </c>
      <c r="B2820" s="1" t="s">
        <v>358</v>
      </c>
      <c r="C2820" s="1" t="s">
        <v>31</v>
      </c>
      <c r="D2820" s="1">
        <v>6.0</v>
      </c>
      <c r="E2820" s="1">
        <v>8700.0</v>
      </c>
      <c r="F2820" s="10">
        <f t="shared" si="1"/>
        <v>6</v>
      </c>
      <c r="G2820" s="10">
        <f t="array" ref="G2820">index('Player ID'!C:C,match(E2820,'Player ID'!B:B,0))</f>
        <v>434378</v>
      </c>
    </row>
    <row r="2821">
      <c r="A2821" s="76">
        <v>45767.0</v>
      </c>
      <c r="B2821" s="1" t="s">
        <v>20</v>
      </c>
      <c r="C2821" s="1" t="s">
        <v>31</v>
      </c>
      <c r="D2821" s="1">
        <v>1.0</v>
      </c>
      <c r="E2821" s="1">
        <v>15541.0</v>
      </c>
      <c r="F2821" s="10">
        <f t="shared" si="1"/>
        <v>1</v>
      </c>
      <c r="G2821" s="10">
        <f t="array" ref="G2821">index('Player ID'!C:C,match(E2821,'Player ID'!B:B,0))</f>
        <v>643511</v>
      </c>
    </row>
    <row r="2822">
      <c r="A2822" s="76">
        <v>45767.0</v>
      </c>
      <c r="B2822" s="1" t="s">
        <v>291</v>
      </c>
      <c r="C2822" s="1" t="s">
        <v>25</v>
      </c>
      <c r="D2822" s="1">
        <v>0.2</v>
      </c>
      <c r="E2822" s="1">
        <v>17968.0</v>
      </c>
      <c r="F2822" s="10">
        <f t="shared" si="1"/>
        <v>0.6666666667</v>
      </c>
      <c r="G2822" s="10">
        <f t="array" ref="G2822">index('Player ID'!C:C,match(E2822,'Player ID'!B:B,0))</f>
        <v>656271</v>
      </c>
    </row>
    <row r="2823">
      <c r="A2823" s="76">
        <v>45767.0</v>
      </c>
      <c r="B2823" s="1" t="s">
        <v>775</v>
      </c>
      <c r="C2823" s="1" t="s">
        <v>25</v>
      </c>
      <c r="D2823" s="1">
        <v>1.1</v>
      </c>
      <c r="E2823" s="1">
        <v>19951.0</v>
      </c>
      <c r="F2823" s="10">
        <f t="shared" si="1"/>
        <v>1.333333333</v>
      </c>
      <c r="G2823" s="10">
        <f t="array" ref="G2823">index('Player ID'!C:C,match(E2823,'Player ID'!B:B,0))</f>
        <v>666120</v>
      </c>
    </row>
    <row r="2824">
      <c r="A2824" s="76">
        <v>45767.0</v>
      </c>
      <c r="B2824" s="1" t="s">
        <v>403</v>
      </c>
      <c r="C2824" s="1" t="s">
        <v>31</v>
      </c>
      <c r="D2824" s="1">
        <v>0.1</v>
      </c>
      <c r="E2824" s="1">
        <v>20423.0</v>
      </c>
      <c r="F2824" s="10">
        <f t="shared" si="1"/>
        <v>0.3333333333</v>
      </c>
      <c r="G2824" s="10">
        <f t="array" ref="G2824">index('Player ID'!C:C,match(E2824,'Player ID'!B:B,0))</f>
        <v>676254</v>
      </c>
    </row>
    <row r="2825">
      <c r="A2825" s="76">
        <v>45767.0</v>
      </c>
      <c r="B2825" s="1" t="s">
        <v>232</v>
      </c>
      <c r="C2825" s="1" t="s">
        <v>25</v>
      </c>
      <c r="D2825" s="1">
        <v>5.1</v>
      </c>
      <c r="E2825" s="1">
        <v>20633.0</v>
      </c>
      <c r="F2825" s="10">
        <f t="shared" si="1"/>
        <v>5.333333333</v>
      </c>
      <c r="G2825" s="10">
        <f t="array" ref="G2825">index('Player ID'!C:C,match(E2825,'Player ID'!B:B,0))</f>
        <v>579328</v>
      </c>
    </row>
    <row r="2826">
      <c r="A2826" s="76">
        <v>45767.0</v>
      </c>
      <c r="B2826" s="1" t="s">
        <v>304</v>
      </c>
      <c r="C2826" s="1" t="s">
        <v>31</v>
      </c>
      <c r="D2826" s="1">
        <v>1.0</v>
      </c>
      <c r="E2826" s="1">
        <v>21992.0</v>
      </c>
      <c r="F2826" s="10">
        <f t="shared" si="1"/>
        <v>1</v>
      </c>
      <c r="G2826" s="10">
        <f t="array" ref="G2826">index('Player ID'!C:C,match(E2826,'Player ID'!B:B,0))</f>
        <v>666808</v>
      </c>
    </row>
    <row r="2827">
      <c r="A2827" s="76">
        <v>45767.0</v>
      </c>
      <c r="B2827" s="1" t="s">
        <v>792</v>
      </c>
      <c r="C2827" s="1" t="s">
        <v>25</v>
      </c>
      <c r="D2827" s="1">
        <v>1.2</v>
      </c>
      <c r="E2827" s="1">
        <v>31501.0</v>
      </c>
      <c r="F2827" s="10">
        <f t="shared" si="1"/>
        <v>1.666666667</v>
      </c>
      <c r="G2827" s="10">
        <f t="array" ref="G2827">index('Player ID'!C:C,match(E2827,'Player ID'!B:B,0))</f>
        <v>690382</v>
      </c>
    </row>
    <row r="2828">
      <c r="A2828" s="76">
        <v>45767.0</v>
      </c>
      <c r="B2828" s="1" t="s">
        <v>342</v>
      </c>
      <c r="C2828" s="1" t="s">
        <v>26</v>
      </c>
      <c r="D2828" s="1">
        <v>1.2</v>
      </c>
      <c r="E2828" s="1">
        <v>11861.0</v>
      </c>
      <c r="F2828" s="10">
        <f t="shared" si="1"/>
        <v>1.666666667</v>
      </c>
      <c r="G2828" s="10">
        <f t="array" ref="G2828">index('Player ID'!C:C,match(E2828,'Player ID'!B:B,0))</f>
        <v>592094</v>
      </c>
    </row>
    <row r="2829">
      <c r="A2829" s="76">
        <v>45767.0</v>
      </c>
      <c r="B2829" s="1" t="s">
        <v>38</v>
      </c>
      <c r="C2829" s="1" t="s">
        <v>39</v>
      </c>
      <c r="D2829" s="1">
        <v>1.0</v>
      </c>
      <c r="E2829" s="1">
        <v>13580.0</v>
      </c>
      <c r="F2829" s="10">
        <f t="shared" si="1"/>
        <v>1</v>
      </c>
      <c r="G2829" s="10">
        <f t="array" ref="G2829">index('Player ID'!C:C,match(E2829,'Player ID'!B:B,0))</f>
        <v>595345</v>
      </c>
    </row>
    <row r="2830">
      <c r="A2830" s="76">
        <v>45767.0</v>
      </c>
      <c r="B2830" s="1" t="s">
        <v>447</v>
      </c>
      <c r="C2830" s="1" t="s">
        <v>39</v>
      </c>
      <c r="D2830" s="1">
        <v>0.2</v>
      </c>
      <c r="E2830" s="1">
        <v>13652.0</v>
      </c>
      <c r="F2830" s="10">
        <f t="shared" si="1"/>
        <v>0.6666666667</v>
      </c>
      <c r="G2830" s="10">
        <f t="array" ref="G2830">index('Player ID'!C:C,match(E2830,'Player ID'!B:B,0))</f>
        <v>605463</v>
      </c>
    </row>
    <row r="2831">
      <c r="A2831" s="76">
        <v>45767.0</v>
      </c>
      <c r="B2831" s="1" t="s">
        <v>113</v>
      </c>
      <c r="C2831" s="1" t="s">
        <v>39</v>
      </c>
      <c r="D2831" s="1">
        <v>6.0</v>
      </c>
      <c r="E2831" s="1">
        <v>17295.0</v>
      </c>
      <c r="F2831" s="10">
        <f t="shared" si="1"/>
        <v>6</v>
      </c>
      <c r="G2831" s="10">
        <f t="array" ref="G2831">index('Player ID'!C:C,match(E2831,'Player ID'!B:B,0))</f>
        <v>664285</v>
      </c>
    </row>
    <row r="2832">
      <c r="A2832" s="76">
        <v>45767.0</v>
      </c>
      <c r="B2832" s="1" t="s">
        <v>282</v>
      </c>
      <c r="C2832" s="1" t="s">
        <v>26</v>
      </c>
      <c r="D2832" s="1">
        <v>5.0</v>
      </c>
      <c r="E2832" s="1">
        <v>18525.0</v>
      </c>
      <c r="F2832" s="10">
        <f t="shared" si="1"/>
        <v>5</v>
      </c>
      <c r="G2832" s="10">
        <f t="array" ref="G2832">index('Player ID'!C:C,match(E2832,'Player ID'!B:B,0))</f>
        <v>656302</v>
      </c>
    </row>
    <row r="2833">
      <c r="A2833" s="76">
        <v>45767.0</v>
      </c>
      <c r="B2833" s="1" t="s">
        <v>76</v>
      </c>
      <c r="C2833" s="1" t="s">
        <v>39</v>
      </c>
      <c r="D2833" s="1">
        <v>1.0</v>
      </c>
      <c r="E2833" s="1">
        <v>25890.0</v>
      </c>
      <c r="F2833" s="10">
        <f t="shared" si="1"/>
        <v>1</v>
      </c>
      <c r="G2833" s="10">
        <f t="array" ref="G2833">index('Player ID'!C:C,match(E2833,'Player ID'!B:B,0))</f>
        <v>687911</v>
      </c>
    </row>
    <row r="2834">
      <c r="A2834" s="76">
        <v>45767.0</v>
      </c>
      <c r="B2834" s="1" t="s">
        <v>391</v>
      </c>
      <c r="C2834" s="1" t="s">
        <v>26</v>
      </c>
      <c r="D2834" s="1">
        <v>1.1</v>
      </c>
      <c r="E2834" s="1">
        <v>29628.0</v>
      </c>
      <c r="F2834" s="10">
        <f t="shared" si="1"/>
        <v>1.333333333</v>
      </c>
      <c r="G2834" s="10">
        <f t="array" ref="G2834">index('Player ID'!C:C,match(E2834,'Player ID'!B:B,0))</f>
        <v>689690</v>
      </c>
    </row>
    <row r="2835">
      <c r="A2835" s="76">
        <v>45767.0</v>
      </c>
      <c r="B2835" s="1" t="s">
        <v>81</v>
      </c>
      <c r="C2835" s="1" t="s">
        <v>26</v>
      </c>
      <c r="D2835" s="1">
        <v>1.0</v>
      </c>
      <c r="E2835" s="1">
        <v>30115.0</v>
      </c>
      <c r="F2835" s="10">
        <f t="shared" si="1"/>
        <v>1</v>
      </c>
      <c r="G2835" s="10">
        <f t="array" ref="G2835">index('Player ID'!C:C,match(E2835,'Player ID'!B:B,0))</f>
        <v>663158</v>
      </c>
    </row>
    <row r="2836">
      <c r="A2836" s="76">
        <v>45767.0</v>
      </c>
      <c r="B2836" s="1" t="s">
        <v>794</v>
      </c>
      <c r="C2836" s="1" t="s">
        <v>39</v>
      </c>
      <c r="D2836" s="1">
        <v>0.1</v>
      </c>
      <c r="E2836" s="1">
        <v>31884.0</v>
      </c>
      <c r="F2836" s="10">
        <f t="shared" si="1"/>
        <v>0.3333333333</v>
      </c>
      <c r="G2836" s="10">
        <f t="array" ref="G2836">index('Player ID'!C:C,match(E2836,'Player ID'!B:B,0))</f>
        <v>701121</v>
      </c>
    </row>
    <row r="2837">
      <c r="A2837" s="76">
        <v>45768.0</v>
      </c>
      <c r="B2837" s="1" t="s">
        <v>41</v>
      </c>
      <c r="C2837" s="1" t="s">
        <v>22</v>
      </c>
      <c r="D2837" s="1">
        <v>1.0</v>
      </c>
      <c r="E2837" s="1">
        <v>10233.0</v>
      </c>
      <c r="F2837" s="10">
        <f t="shared" si="1"/>
        <v>1</v>
      </c>
      <c r="G2837" s="10">
        <f t="array" ref="G2837">index('Player ID'!C:C,match(E2837,'Player ID'!B:B,0))</f>
        <v>547973</v>
      </c>
    </row>
    <row r="2838">
      <c r="A2838" s="76">
        <v>45768.0</v>
      </c>
      <c r="B2838" s="1" t="s">
        <v>478</v>
      </c>
      <c r="C2838" s="1" t="s">
        <v>78</v>
      </c>
      <c r="D2838" s="1">
        <v>1.0</v>
      </c>
      <c r="E2838" s="1">
        <v>17964.0</v>
      </c>
      <c r="F2838" s="10">
        <f t="shared" si="1"/>
        <v>1</v>
      </c>
      <c r="G2838" s="10">
        <f t="array" ref="G2838">index('Player ID'!C:C,match(E2838,'Player ID'!B:B,0))</f>
        <v>656457</v>
      </c>
    </row>
    <row r="2839">
      <c r="A2839" s="76">
        <v>45768.0</v>
      </c>
      <c r="B2839" s="1" t="s">
        <v>405</v>
      </c>
      <c r="C2839" s="1" t="s">
        <v>22</v>
      </c>
      <c r="D2839" s="1">
        <v>7.0</v>
      </c>
      <c r="E2839" s="1">
        <v>19374.0</v>
      </c>
      <c r="F2839" s="10">
        <f t="shared" si="1"/>
        <v>7</v>
      </c>
      <c r="G2839" s="10">
        <f t="array" ref="G2839">index('Player ID'!C:C,match(E2839,'Player ID'!B:B,0))</f>
        <v>621111</v>
      </c>
    </row>
    <row r="2840">
      <c r="A2840" s="76">
        <v>45768.0</v>
      </c>
      <c r="B2840" s="1" t="s">
        <v>658</v>
      </c>
      <c r="C2840" s="1" t="s">
        <v>78</v>
      </c>
      <c r="D2840" s="1">
        <v>1.0</v>
      </c>
      <c r="E2840" s="1">
        <v>25174.0</v>
      </c>
      <c r="F2840" s="10">
        <f t="shared" si="1"/>
        <v>1</v>
      </c>
      <c r="G2840" s="10">
        <f t="array" ref="G2840">index('Player ID'!C:C,match(E2840,'Player ID'!B:B,0))</f>
        <v>682171</v>
      </c>
    </row>
    <row r="2841">
      <c r="A2841" s="76">
        <v>45768.0</v>
      </c>
      <c r="B2841" s="1" t="s">
        <v>645</v>
      </c>
      <c r="C2841" s="1" t="s">
        <v>22</v>
      </c>
      <c r="D2841" s="1">
        <v>1.0</v>
      </c>
      <c r="E2841" s="1">
        <v>25648.0</v>
      </c>
      <c r="F2841" s="10">
        <f t="shared" si="1"/>
        <v>1</v>
      </c>
      <c r="G2841" s="10">
        <f t="array" ref="G2841">index('Player ID'!C:C,match(E2841,'Player ID'!B:B,0))</f>
        <v>686580</v>
      </c>
    </row>
    <row r="2842">
      <c r="A2842" s="76">
        <v>45768.0</v>
      </c>
      <c r="B2842" s="1" t="s">
        <v>361</v>
      </c>
      <c r="C2842" s="1" t="s">
        <v>78</v>
      </c>
      <c r="D2842" s="1">
        <v>6.0</v>
      </c>
      <c r="E2842" s="1">
        <v>31730.0</v>
      </c>
      <c r="F2842" s="10">
        <f t="shared" si="1"/>
        <v>6</v>
      </c>
      <c r="G2842" s="10">
        <f t="array" ref="G2842">index('Player ID'!C:C,match(E2842,'Player ID'!B:B,0))</f>
        <v>686563</v>
      </c>
    </row>
    <row r="2843">
      <c r="A2843" s="76">
        <v>45768.0</v>
      </c>
      <c r="B2843" s="1" t="s">
        <v>648</v>
      </c>
      <c r="C2843" s="1" t="s">
        <v>70</v>
      </c>
      <c r="D2843" s="1">
        <v>1.1</v>
      </c>
      <c r="E2843" s="1">
        <v>13892.0</v>
      </c>
      <c r="F2843" s="10">
        <f t="shared" si="1"/>
        <v>1.333333333</v>
      </c>
      <c r="G2843" s="10">
        <f t="array" ref="G2843">index('Player ID'!C:C,match(E2843,'Player ID'!B:B,0))</f>
        <v>623149</v>
      </c>
    </row>
    <row r="2844">
      <c r="A2844" s="76">
        <v>45768.0</v>
      </c>
      <c r="B2844" s="1" t="s">
        <v>192</v>
      </c>
      <c r="C2844" s="1" t="s">
        <v>58</v>
      </c>
      <c r="D2844" s="1">
        <v>1.0</v>
      </c>
      <c r="E2844" s="1">
        <v>16502.0</v>
      </c>
      <c r="F2844" s="10">
        <f t="shared" si="1"/>
        <v>1</v>
      </c>
      <c r="G2844" s="10">
        <f t="array" ref="G2844">index('Player ID'!C:C,match(E2844,'Player ID'!B:B,0))</f>
        <v>642232</v>
      </c>
    </row>
    <row r="2845">
      <c r="A2845" s="76">
        <v>45768.0</v>
      </c>
      <c r="B2845" s="1" t="s">
        <v>408</v>
      </c>
      <c r="C2845" s="1" t="s">
        <v>58</v>
      </c>
      <c r="D2845" s="1">
        <v>4.0</v>
      </c>
      <c r="E2845" s="1">
        <v>19899.0</v>
      </c>
      <c r="F2845" s="10">
        <f t="shared" si="1"/>
        <v>4</v>
      </c>
      <c r="G2845" s="10">
        <f t="array" ref="G2845">index('Player ID'!C:C,match(E2845,'Player ID'!B:B,0))</f>
        <v>657376</v>
      </c>
    </row>
    <row r="2846">
      <c r="A2846" s="76">
        <v>45768.0</v>
      </c>
      <c r="B2846" s="1" t="s">
        <v>691</v>
      </c>
      <c r="C2846" s="1" t="s">
        <v>58</v>
      </c>
      <c r="D2846" s="1">
        <v>3.0</v>
      </c>
      <c r="E2846" s="1">
        <v>22872.0</v>
      </c>
      <c r="F2846" s="10">
        <f t="shared" si="1"/>
        <v>3</v>
      </c>
      <c r="G2846" s="10">
        <f t="array" ref="G2846">index('Player ID'!C:C,match(E2846,'Player ID'!B:B,0))</f>
        <v>672782</v>
      </c>
    </row>
    <row r="2847">
      <c r="A2847" s="76">
        <v>45768.0</v>
      </c>
      <c r="B2847" s="1" t="s">
        <v>398</v>
      </c>
      <c r="C2847" s="1" t="s">
        <v>70</v>
      </c>
      <c r="D2847" s="1">
        <v>0.1</v>
      </c>
      <c r="E2847" s="1">
        <v>23335.0</v>
      </c>
      <c r="F2847" s="10">
        <f t="shared" si="1"/>
        <v>0.3333333333</v>
      </c>
      <c r="G2847" s="10">
        <f t="array" ref="G2847">index('Player ID'!C:C,match(E2847,'Player ID'!B:B,0))</f>
        <v>676282</v>
      </c>
    </row>
    <row r="2848">
      <c r="A2848" s="76">
        <v>45768.0</v>
      </c>
      <c r="B2848" s="1" t="s">
        <v>135</v>
      </c>
      <c r="C2848" s="1" t="s">
        <v>70</v>
      </c>
      <c r="D2848" s="1">
        <v>1.0</v>
      </c>
      <c r="E2848" s="1">
        <v>27867.0</v>
      </c>
      <c r="F2848" s="10">
        <f t="shared" si="1"/>
        <v>1</v>
      </c>
      <c r="G2848" s="10">
        <f t="array" ref="G2848">index('Player ID'!C:C,match(E2848,'Player ID'!B:B,0))</f>
        <v>671922</v>
      </c>
    </row>
    <row r="2849">
      <c r="A2849" s="76">
        <v>45768.0</v>
      </c>
      <c r="B2849" s="1" t="s">
        <v>376</v>
      </c>
      <c r="C2849" s="1" t="s">
        <v>70</v>
      </c>
      <c r="D2849" s="1">
        <v>6.1</v>
      </c>
      <c r="E2849" s="1">
        <v>30122.0</v>
      </c>
      <c r="F2849" s="10">
        <f t="shared" si="1"/>
        <v>6.333333333</v>
      </c>
      <c r="G2849" s="10">
        <f t="array" ref="G2849">index('Player ID'!C:C,match(E2849,'Player ID'!B:B,0))</f>
        <v>668909</v>
      </c>
    </row>
    <row r="2850">
      <c r="A2850" s="76">
        <v>45768.0</v>
      </c>
      <c r="B2850" s="1" t="s">
        <v>404</v>
      </c>
      <c r="C2850" s="1" t="s">
        <v>26</v>
      </c>
      <c r="D2850" s="1">
        <v>1.1</v>
      </c>
      <c r="E2850" s="1">
        <v>14295.0</v>
      </c>
      <c r="F2850" s="10">
        <f t="shared" si="1"/>
        <v>1.333333333</v>
      </c>
      <c r="G2850" s="10">
        <f t="array" ref="G2850">index('Player ID'!C:C,match(E2850,'Player ID'!B:B,0))</f>
        <v>593974</v>
      </c>
    </row>
    <row r="2851">
      <c r="A2851" s="76">
        <v>45768.0</v>
      </c>
      <c r="B2851" s="1" t="s">
        <v>131</v>
      </c>
      <c r="C2851" s="1" t="s">
        <v>62</v>
      </c>
      <c r="D2851" s="1">
        <v>1.0</v>
      </c>
      <c r="E2851" s="1">
        <v>19769.0</v>
      </c>
      <c r="F2851" s="10">
        <f t="shared" si="1"/>
        <v>1</v>
      </c>
      <c r="G2851" s="10">
        <f t="array" ref="G2851">index('Player ID'!C:C,match(E2851,'Player ID'!B:B,0))</f>
        <v>676684</v>
      </c>
    </row>
    <row r="2852">
      <c r="A2852" s="76">
        <v>45768.0</v>
      </c>
      <c r="B2852" s="1" t="s">
        <v>289</v>
      </c>
      <c r="C2852" s="1" t="s">
        <v>62</v>
      </c>
      <c r="D2852" s="1">
        <v>2.0</v>
      </c>
      <c r="E2852" s="1">
        <v>22304.0</v>
      </c>
      <c r="F2852" s="10">
        <f t="shared" si="1"/>
        <v>2</v>
      </c>
      <c r="G2852" s="10">
        <f t="array" ref="G2852">index('Player ID'!C:C,match(E2852,'Player ID'!B:B,0))</f>
        <v>669724</v>
      </c>
    </row>
    <row r="2853">
      <c r="A2853" s="76">
        <v>45768.0</v>
      </c>
      <c r="B2853" s="1" t="s">
        <v>591</v>
      </c>
      <c r="C2853" s="1" t="s">
        <v>26</v>
      </c>
      <c r="D2853" s="1">
        <v>2.2</v>
      </c>
      <c r="E2853" s="1">
        <v>22461.0</v>
      </c>
      <c r="F2853" s="10">
        <f t="shared" si="1"/>
        <v>2.666666667</v>
      </c>
      <c r="G2853" s="10">
        <f t="array" ref="G2853">index('Player ID'!C:C,match(E2853,'Player ID'!B:B,0))</f>
        <v>670810</v>
      </c>
    </row>
    <row r="2854">
      <c r="A2854" s="76">
        <v>45768.0</v>
      </c>
      <c r="B2854" s="1" t="s">
        <v>331</v>
      </c>
      <c r="C2854" s="1" t="s">
        <v>62</v>
      </c>
      <c r="D2854" s="1">
        <v>4.1</v>
      </c>
      <c r="E2854" s="1">
        <v>22630.0</v>
      </c>
      <c r="F2854" s="10">
        <f t="shared" si="1"/>
        <v>4.333333333</v>
      </c>
      <c r="G2854" s="10">
        <f t="array" ref="G2854">index('Player ID'!C:C,match(E2854,'Player ID'!B:B,0))</f>
        <v>672456</v>
      </c>
    </row>
    <row r="2855">
      <c r="A2855" s="76">
        <v>45768.0</v>
      </c>
      <c r="B2855" s="1" t="s">
        <v>713</v>
      </c>
      <c r="C2855" s="1" t="s">
        <v>26</v>
      </c>
      <c r="D2855" s="1">
        <v>2.0</v>
      </c>
      <c r="E2855" s="1">
        <v>24719.0</v>
      </c>
      <c r="F2855" s="10">
        <f t="shared" si="1"/>
        <v>2</v>
      </c>
      <c r="G2855" s="10">
        <f t="array" ref="G2855">index('Player ID'!C:C,match(E2855,'Player ID'!B:B,0))</f>
        <v>681190</v>
      </c>
    </row>
    <row r="2856">
      <c r="A2856" s="76">
        <v>45768.0</v>
      </c>
      <c r="B2856" s="1" t="s">
        <v>487</v>
      </c>
      <c r="C2856" s="1" t="s">
        <v>62</v>
      </c>
      <c r="D2856" s="1">
        <v>1.2</v>
      </c>
      <c r="E2856" s="1">
        <v>30133.0</v>
      </c>
      <c r="F2856" s="10">
        <f t="shared" si="1"/>
        <v>1.666666667</v>
      </c>
      <c r="G2856" s="10">
        <f t="array" ref="G2856">index('Player ID'!C:C,match(E2856,'Player ID'!B:B,0))</f>
        <v>676428</v>
      </c>
    </row>
    <row r="2857">
      <c r="A2857" s="76">
        <v>45768.0</v>
      </c>
      <c r="B2857" s="1" t="s">
        <v>284</v>
      </c>
      <c r="C2857" s="1" t="s">
        <v>26</v>
      </c>
      <c r="D2857" s="1">
        <v>2.0</v>
      </c>
      <c r="E2857" s="1">
        <v>33826.0</v>
      </c>
      <c r="F2857" s="10">
        <f t="shared" si="1"/>
        <v>2</v>
      </c>
      <c r="G2857" s="10">
        <f t="array" ref="G2857">index('Player ID'!C:C,match(E2857,'Player ID'!B:B,0))</f>
        <v>673513</v>
      </c>
    </row>
    <row r="2858">
      <c r="A2858" s="76">
        <v>45768.0</v>
      </c>
      <c r="B2858" s="1" t="s">
        <v>651</v>
      </c>
      <c r="C2858" s="1" t="s">
        <v>66</v>
      </c>
      <c r="D2858" s="1">
        <v>1.0</v>
      </c>
      <c r="E2858" s="1">
        <v>14771.0</v>
      </c>
      <c r="F2858" s="10">
        <f t="shared" si="1"/>
        <v>1</v>
      </c>
      <c r="G2858" s="10">
        <f t="array" ref="G2858">index('Player ID'!C:C,match(E2858,'Player ID'!B:B,0))</f>
        <v>641941</v>
      </c>
    </row>
    <row r="2859">
      <c r="A2859" s="76">
        <v>45768.0</v>
      </c>
      <c r="B2859" s="1" t="s">
        <v>661</v>
      </c>
      <c r="C2859" s="1" t="s">
        <v>36</v>
      </c>
      <c r="D2859" s="1">
        <v>1.0</v>
      </c>
      <c r="E2859" s="1">
        <v>16300.0</v>
      </c>
      <c r="F2859" s="10">
        <f t="shared" si="1"/>
        <v>1</v>
      </c>
      <c r="G2859" s="10">
        <f t="array" ref="G2859">index('Player ID'!C:C,match(E2859,'Player ID'!B:B,0))</f>
        <v>622786</v>
      </c>
    </row>
    <row r="2860">
      <c r="A2860" s="76">
        <v>45768.0</v>
      </c>
      <c r="B2860" s="1" t="s">
        <v>61</v>
      </c>
      <c r="C2860" s="1" t="s">
        <v>36</v>
      </c>
      <c r="D2860" s="1">
        <v>1.0</v>
      </c>
      <c r="E2860" s="1">
        <v>20629.0</v>
      </c>
      <c r="F2860" s="10">
        <f t="shared" si="1"/>
        <v>1</v>
      </c>
      <c r="G2860" s="10">
        <f t="array" ref="G2860">index('Player ID'!C:C,match(E2860,'Player ID'!B:B,0))</f>
        <v>663969</v>
      </c>
    </row>
    <row r="2861">
      <c r="A2861" s="76">
        <v>45768.0</v>
      </c>
      <c r="B2861" s="1" t="s">
        <v>801</v>
      </c>
      <c r="C2861" s="1" t="s">
        <v>66</v>
      </c>
      <c r="D2861" s="1">
        <v>1.1</v>
      </c>
      <c r="E2861" s="1">
        <v>21132.0</v>
      </c>
      <c r="F2861" s="10">
        <f t="shared" si="1"/>
        <v>1.333333333</v>
      </c>
      <c r="G2861" s="10">
        <f t="array" ref="G2861">index('Player ID'!C:C,match(E2861,'Player ID'!B:B,0))</f>
        <v>664747</v>
      </c>
    </row>
    <row r="2862">
      <c r="A2862" s="76">
        <v>45768.0</v>
      </c>
      <c r="B2862" s="1" t="s">
        <v>123</v>
      </c>
      <c r="C2862" s="1" t="s">
        <v>36</v>
      </c>
      <c r="D2862" s="1">
        <v>1.0</v>
      </c>
      <c r="E2862" s="1">
        <v>24094.0</v>
      </c>
      <c r="F2862" s="10">
        <f t="shared" si="1"/>
        <v>1</v>
      </c>
      <c r="G2862" s="10">
        <f t="array" ref="G2862">index('Player ID'!C:C,match(E2862,'Player ID'!B:B,0))</f>
        <v>678692</v>
      </c>
    </row>
    <row r="2863">
      <c r="A2863" s="76">
        <v>45768.0</v>
      </c>
      <c r="B2863" s="1" t="s">
        <v>194</v>
      </c>
      <c r="C2863" s="1" t="s">
        <v>66</v>
      </c>
      <c r="D2863" s="1">
        <v>5.2</v>
      </c>
      <c r="E2863" s="1">
        <v>26378.0</v>
      </c>
      <c r="F2863" s="10">
        <f t="shared" si="1"/>
        <v>5.666666667</v>
      </c>
      <c r="G2863" s="10">
        <f t="array" ref="G2863">index('Player ID'!C:C,match(E2863,'Player ID'!B:B,0))</f>
        <v>666157</v>
      </c>
    </row>
    <row r="2864">
      <c r="A2864" s="76">
        <v>45768.0</v>
      </c>
      <c r="B2864" s="1" t="s">
        <v>121</v>
      </c>
      <c r="C2864" s="1" t="s">
        <v>36</v>
      </c>
      <c r="D2864" s="1">
        <v>6.0</v>
      </c>
      <c r="E2864" s="1">
        <v>27474.0</v>
      </c>
      <c r="F2864" s="10">
        <f t="shared" si="1"/>
        <v>6</v>
      </c>
      <c r="G2864" s="10">
        <f t="array" ref="G2864">index('Player ID'!C:C,match(E2864,'Player ID'!B:B,0))</f>
        <v>676974</v>
      </c>
    </row>
    <row r="2865">
      <c r="A2865" s="76">
        <v>45768.0</v>
      </c>
      <c r="B2865" s="1" t="s">
        <v>699</v>
      </c>
      <c r="C2865" s="1" t="s">
        <v>45</v>
      </c>
      <c r="D2865" s="1">
        <v>0.2</v>
      </c>
      <c r="E2865" s="1">
        <v>14552.0</v>
      </c>
      <c r="F2865" s="10">
        <f t="shared" si="1"/>
        <v>0.6666666667</v>
      </c>
      <c r="G2865" s="10">
        <f t="array" ref="G2865">index('Player ID'!C:C,match(E2865,'Player ID'!B:B,0))</f>
        <v>614179</v>
      </c>
    </row>
    <row r="2866">
      <c r="A2866" s="76">
        <v>45768.0</v>
      </c>
      <c r="B2866" s="1" t="s">
        <v>679</v>
      </c>
      <c r="C2866" s="1" t="s">
        <v>51</v>
      </c>
      <c r="D2866" s="1">
        <v>1.0</v>
      </c>
      <c r="E2866" s="1">
        <v>14710.0</v>
      </c>
      <c r="F2866" s="10">
        <f t="shared" si="1"/>
        <v>1</v>
      </c>
      <c r="G2866" s="10">
        <f t="array" ref="G2866">index('Player ID'!C:C,match(E2866,'Player ID'!B:B,0))</f>
        <v>621242</v>
      </c>
    </row>
    <row r="2867">
      <c r="A2867" s="76">
        <v>45768.0</v>
      </c>
      <c r="B2867" s="1" t="s">
        <v>98</v>
      </c>
      <c r="C2867" s="1" t="s">
        <v>45</v>
      </c>
      <c r="D2867" s="1">
        <v>6.1</v>
      </c>
      <c r="E2867" s="1">
        <v>16149.0</v>
      </c>
      <c r="F2867" s="10">
        <f t="shared" si="1"/>
        <v>6.333333333</v>
      </c>
      <c r="G2867" s="10">
        <f t="array" ref="G2867">index('Player ID'!C:C,match(E2867,'Player ID'!B:B,0))</f>
        <v>605400</v>
      </c>
    </row>
    <row r="2868">
      <c r="A2868" s="76">
        <v>45768.0</v>
      </c>
      <c r="B2868" s="1" t="s">
        <v>295</v>
      </c>
      <c r="C2868" s="1" t="s">
        <v>51</v>
      </c>
      <c r="D2868" s="1">
        <v>0.2</v>
      </c>
      <c r="E2868" s="1">
        <v>16866.0</v>
      </c>
      <c r="F2868" s="10">
        <f t="shared" si="1"/>
        <v>0.6666666667</v>
      </c>
      <c r="G2868" s="10">
        <f t="array" ref="G2868">index('Player ID'!C:C,match(E2868,'Player ID'!B:B,0))</f>
        <v>657585</v>
      </c>
    </row>
    <row r="2869">
      <c r="A2869" s="76">
        <v>45768.0</v>
      </c>
      <c r="B2869" s="1" t="s">
        <v>138</v>
      </c>
      <c r="C2869" s="1" t="s">
        <v>45</v>
      </c>
      <c r="D2869" s="1">
        <v>1.0</v>
      </c>
      <c r="E2869" s="1">
        <v>16990.0</v>
      </c>
      <c r="F2869" s="10">
        <f t="shared" si="1"/>
        <v>1</v>
      </c>
      <c r="G2869" s="10">
        <f t="array" ref="G2869">index('Player ID'!C:C,match(E2869,'Player ID'!B:B,0))</f>
        <v>621383</v>
      </c>
    </row>
    <row r="2870">
      <c r="A2870" s="76">
        <v>45768.0</v>
      </c>
      <c r="B2870" s="1" t="s">
        <v>386</v>
      </c>
      <c r="C2870" s="1" t="s">
        <v>51</v>
      </c>
      <c r="D2870" s="1">
        <v>5.1</v>
      </c>
      <c r="E2870" s="1">
        <v>21318.0</v>
      </c>
      <c r="F2870" s="10">
        <f t="shared" si="1"/>
        <v>5.333333333</v>
      </c>
      <c r="G2870" s="10">
        <f t="array" ref="G2870">index('Player ID'!C:C,match(E2870,'Player ID'!B:B,0))</f>
        <v>656731</v>
      </c>
    </row>
    <row r="2871">
      <c r="A2871" s="76">
        <v>45768.0</v>
      </c>
      <c r="B2871" s="1" t="s">
        <v>50</v>
      </c>
      <c r="C2871" s="1" t="s">
        <v>51</v>
      </c>
      <c r="D2871" s="1">
        <v>2.0</v>
      </c>
      <c r="E2871" s="1">
        <v>22175.0</v>
      </c>
      <c r="F2871" s="10">
        <f t="shared" si="1"/>
        <v>2</v>
      </c>
      <c r="G2871" s="10">
        <f t="array" ref="G2871">index('Player ID'!C:C,match(E2871,'Player ID'!B:B,0))</f>
        <v>668820</v>
      </c>
    </row>
    <row r="2872">
      <c r="A2872" s="76">
        <v>45768.0</v>
      </c>
      <c r="B2872" s="1" t="s">
        <v>184</v>
      </c>
      <c r="C2872" s="1" t="s">
        <v>46</v>
      </c>
      <c r="D2872" s="1">
        <v>1.0</v>
      </c>
      <c r="E2872" s="1">
        <v>17130.0</v>
      </c>
      <c r="F2872" s="10">
        <f t="shared" si="1"/>
        <v>1</v>
      </c>
      <c r="G2872" s="10">
        <f t="array" ref="G2872">index('Player ID'!C:C,match(E2872,'Player ID'!B:B,0))</f>
        <v>628452</v>
      </c>
    </row>
    <row r="2873">
      <c r="A2873" s="76">
        <v>45768.0</v>
      </c>
      <c r="B2873" s="1" t="s">
        <v>321</v>
      </c>
      <c r="C2873" s="1" t="s">
        <v>72</v>
      </c>
      <c r="D2873" s="1">
        <v>6.0</v>
      </c>
      <c r="E2873" s="1">
        <v>17425.0</v>
      </c>
      <c r="F2873" s="10">
        <f t="shared" si="1"/>
        <v>6</v>
      </c>
      <c r="G2873" s="10">
        <f t="array" ref="G2873">index('Player ID'!C:C,match(E2873,'Player ID'!B:B,0))</f>
        <v>607200</v>
      </c>
    </row>
    <row r="2874">
      <c r="A2874" s="76">
        <v>45768.0</v>
      </c>
      <c r="B2874" s="1" t="s">
        <v>190</v>
      </c>
      <c r="C2874" s="1" t="s">
        <v>72</v>
      </c>
      <c r="D2874" s="1">
        <v>0.1</v>
      </c>
      <c r="E2874" s="1">
        <v>18064.0</v>
      </c>
      <c r="F2874" s="10">
        <f t="shared" si="1"/>
        <v>0.3333333333</v>
      </c>
      <c r="G2874" s="10">
        <f t="array" ref="G2874">index('Player ID'!C:C,match(E2874,'Player ID'!B:B,0))</f>
        <v>664208</v>
      </c>
    </row>
    <row r="2875">
      <c r="A2875" s="76">
        <v>45768.0</v>
      </c>
      <c r="B2875" s="1" t="s">
        <v>193</v>
      </c>
      <c r="C2875" s="1" t="s">
        <v>72</v>
      </c>
      <c r="D2875" s="1">
        <v>0.2</v>
      </c>
      <c r="E2875" s="1">
        <v>19574.0</v>
      </c>
      <c r="F2875" s="10">
        <f t="shared" si="1"/>
        <v>0.6666666667</v>
      </c>
      <c r="G2875" s="10">
        <f t="array" ref="G2875">index('Player ID'!C:C,match(E2875,'Player ID'!B:B,0))</f>
        <v>668941</v>
      </c>
    </row>
    <row r="2876">
      <c r="A2876" s="76">
        <v>45768.0</v>
      </c>
      <c r="B2876" s="1" t="s">
        <v>688</v>
      </c>
      <c r="C2876" s="1" t="s">
        <v>46</v>
      </c>
      <c r="D2876" s="1">
        <v>1.0</v>
      </c>
      <c r="E2876" s="1">
        <v>20271.0</v>
      </c>
      <c r="F2876" s="10">
        <f t="shared" si="1"/>
        <v>1</v>
      </c>
      <c r="G2876" s="10">
        <f t="array" ref="G2876">index('Player ID'!C:C,match(E2876,'Player ID'!B:B,0))</f>
        <v>678226</v>
      </c>
    </row>
    <row r="2877">
      <c r="A2877" s="76">
        <v>45768.0</v>
      </c>
      <c r="B2877" s="1" t="s">
        <v>170</v>
      </c>
      <c r="C2877" s="1" t="s">
        <v>72</v>
      </c>
      <c r="D2877" s="1">
        <v>1.0</v>
      </c>
      <c r="E2877" s="1">
        <v>24763.0</v>
      </c>
      <c r="F2877" s="10">
        <f t="shared" si="1"/>
        <v>1</v>
      </c>
      <c r="G2877" s="10">
        <f t="array" ref="G2877">index('Player ID'!C:C,match(E2877,'Player ID'!B:B,0))</f>
        <v>681517</v>
      </c>
    </row>
    <row r="2878">
      <c r="A2878" s="76">
        <v>45768.0</v>
      </c>
      <c r="B2878" s="1" t="s">
        <v>65</v>
      </c>
      <c r="C2878" s="1" t="s">
        <v>46</v>
      </c>
      <c r="D2878" s="1">
        <v>7.0</v>
      </c>
      <c r="E2878" s="1">
        <v>31846.0</v>
      </c>
      <c r="F2878" s="10">
        <f t="shared" si="1"/>
        <v>7</v>
      </c>
      <c r="G2878" s="10">
        <f t="array" ref="G2878">index('Player ID'!C:C,match(E2878,'Player ID'!B:B,0))</f>
        <v>680885</v>
      </c>
    </row>
    <row r="2879">
      <c r="A2879" s="76">
        <v>45768.0</v>
      </c>
      <c r="B2879" s="1" t="s">
        <v>155</v>
      </c>
      <c r="C2879" s="1" t="s">
        <v>40</v>
      </c>
      <c r="D2879" s="1">
        <v>6.0</v>
      </c>
      <c r="E2879" s="1">
        <v>14107.0</v>
      </c>
      <c r="F2879" s="10">
        <f t="shared" si="1"/>
        <v>6</v>
      </c>
      <c r="G2879" s="10">
        <f t="array" ref="G2879">index('Player ID'!C:C,match(E2879,'Player ID'!B:B,0))</f>
        <v>592332</v>
      </c>
    </row>
    <row r="2880">
      <c r="A2880" s="76">
        <v>45768.0</v>
      </c>
      <c r="B2880" s="1" t="s">
        <v>736</v>
      </c>
      <c r="C2880" s="1" t="s">
        <v>39</v>
      </c>
      <c r="D2880" s="1">
        <v>2.0</v>
      </c>
      <c r="E2880" s="1">
        <v>19586.0</v>
      </c>
      <c r="F2880" s="10">
        <f t="shared" si="1"/>
        <v>2</v>
      </c>
      <c r="G2880" s="10">
        <f t="array" ref="G2880">index('Player ID'!C:C,match(E2880,'Player ID'!B:B,0))</f>
        <v>666215</v>
      </c>
    </row>
    <row r="2881">
      <c r="A2881" s="76">
        <v>45768.0</v>
      </c>
      <c r="B2881" s="1" t="s">
        <v>709</v>
      </c>
      <c r="C2881" s="1" t="s">
        <v>40</v>
      </c>
      <c r="D2881" s="1">
        <v>2.0</v>
      </c>
      <c r="E2881" s="1">
        <v>23617.0</v>
      </c>
      <c r="F2881" s="10">
        <f t="shared" si="1"/>
        <v>2</v>
      </c>
      <c r="G2881" s="10">
        <f t="array" ref="G2881">index('Player ID'!C:C,match(E2881,'Player ID'!B:B,0))</f>
        <v>677020</v>
      </c>
    </row>
    <row r="2882">
      <c r="A2882" s="76">
        <v>45768.0</v>
      </c>
      <c r="B2882" s="1" t="s">
        <v>339</v>
      </c>
      <c r="C2882" s="1" t="s">
        <v>39</v>
      </c>
      <c r="D2882" s="1">
        <v>7.0</v>
      </c>
      <c r="E2882" s="1">
        <v>25880.0</v>
      </c>
      <c r="F2882" s="10">
        <f t="shared" si="1"/>
        <v>7</v>
      </c>
      <c r="G2882" s="10">
        <f t="array" ref="G2882">index('Player ID'!C:C,match(E2882,'Player ID'!B:B,0))</f>
        <v>686613</v>
      </c>
    </row>
    <row r="2883">
      <c r="A2883" s="76">
        <v>45768.0</v>
      </c>
      <c r="B2883" s="1" t="s">
        <v>303</v>
      </c>
      <c r="C2883" s="1" t="s">
        <v>31</v>
      </c>
      <c r="D2883" s="1">
        <v>5.0</v>
      </c>
      <c r="E2883" s="1">
        <v>11486.0</v>
      </c>
      <c r="F2883" s="10">
        <f t="shared" si="1"/>
        <v>5</v>
      </c>
      <c r="G2883" s="10">
        <f t="array" ref="G2883">index('Player ID'!C:C,match(E2883,'Player ID'!B:B,0))</f>
        <v>592662</v>
      </c>
    </row>
    <row r="2884">
      <c r="A2884" s="76">
        <v>45768.0</v>
      </c>
      <c r="B2884" s="1" t="s">
        <v>634</v>
      </c>
      <c r="C2884" s="1" t="s">
        <v>14</v>
      </c>
      <c r="D2884" s="1">
        <v>0.1</v>
      </c>
      <c r="E2884" s="1">
        <v>14332.0</v>
      </c>
      <c r="F2884" s="10">
        <f t="shared" si="1"/>
        <v>0.3333333333</v>
      </c>
      <c r="G2884" s="10">
        <f t="array" ref="G2884">index('Player ID'!C:C,match(E2884,'Player ID'!B:B,0))</f>
        <v>606303</v>
      </c>
    </row>
    <row r="2885">
      <c r="A2885" s="76">
        <v>45768.0</v>
      </c>
      <c r="B2885" s="1" t="s">
        <v>318</v>
      </c>
      <c r="C2885" s="1" t="s">
        <v>14</v>
      </c>
      <c r="D2885" s="1">
        <v>1.0</v>
      </c>
      <c r="E2885" s="1">
        <v>20546.0</v>
      </c>
      <c r="F2885" s="10">
        <f t="shared" si="1"/>
        <v>1</v>
      </c>
      <c r="G2885" s="10">
        <f t="array" ref="G2885">index('Player ID'!C:C,match(E2885,'Player ID'!B:B,0))</f>
        <v>681982</v>
      </c>
    </row>
    <row r="2886">
      <c r="A2886" s="76">
        <v>45768.0</v>
      </c>
      <c r="B2886" s="1" t="s">
        <v>304</v>
      </c>
      <c r="C2886" s="1" t="s">
        <v>31</v>
      </c>
      <c r="D2886" s="1">
        <v>1.0</v>
      </c>
      <c r="E2886" s="1">
        <v>21992.0</v>
      </c>
      <c r="F2886" s="10">
        <f t="shared" si="1"/>
        <v>1</v>
      </c>
      <c r="G2886" s="10">
        <f t="array" ref="G2886">index('Player ID'!C:C,match(E2886,'Player ID'!B:B,0))</f>
        <v>666808</v>
      </c>
    </row>
    <row r="2887">
      <c r="A2887" s="76">
        <v>45768.0</v>
      </c>
      <c r="B2887" s="1" t="s">
        <v>112</v>
      </c>
      <c r="C2887" s="1" t="s">
        <v>14</v>
      </c>
      <c r="D2887" s="1">
        <v>1.0</v>
      </c>
      <c r="E2887" s="1">
        <v>25376.0</v>
      </c>
      <c r="F2887" s="10">
        <f t="shared" si="1"/>
        <v>1</v>
      </c>
      <c r="G2887" s="10">
        <f t="array" ref="G2887">index('Player ID'!C:C,match(E2887,'Player ID'!B:B,0))</f>
        <v>683232</v>
      </c>
    </row>
    <row r="2888">
      <c r="A2888" s="76">
        <v>45768.0</v>
      </c>
      <c r="B2888" s="1" t="s">
        <v>450</v>
      </c>
      <c r="C2888" s="1" t="s">
        <v>14</v>
      </c>
      <c r="D2888" s="1">
        <v>4.0</v>
      </c>
      <c r="E2888" s="1">
        <v>25977.0</v>
      </c>
      <c r="F2888" s="10">
        <f t="shared" si="1"/>
        <v>4</v>
      </c>
      <c r="G2888" s="10">
        <f t="array" ref="G2888">index('Player ID'!C:C,match(E2888,'Player ID'!B:B,0))</f>
        <v>682990</v>
      </c>
    </row>
    <row r="2889">
      <c r="A2889" s="76">
        <v>45768.0</v>
      </c>
      <c r="B2889" s="1" t="s">
        <v>418</v>
      </c>
      <c r="C2889" s="1" t="s">
        <v>14</v>
      </c>
      <c r="D2889" s="1">
        <v>0.2</v>
      </c>
      <c r="E2889" s="1">
        <v>27517.0</v>
      </c>
      <c r="F2889" s="10">
        <f t="shared" si="1"/>
        <v>0.6666666667</v>
      </c>
      <c r="G2889" s="10">
        <f t="array" ref="G2889">index('Player ID'!C:C,match(E2889,'Player ID'!B:B,0))</f>
        <v>657649</v>
      </c>
    </row>
    <row r="2890">
      <c r="A2890" s="76">
        <v>45768.0</v>
      </c>
      <c r="B2890" s="1" t="s">
        <v>514</v>
      </c>
      <c r="C2890" s="1" t="s">
        <v>31</v>
      </c>
      <c r="D2890" s="1">
        <v>3.0</v>
      </c>
      <c r="E2890" s="1">
        <v>31635.0</v>
      </c>
      <c r="F2890" s="10">
        <f t="shared" si="1"/>
        <v>3</v>
      </c>
      <c r="G2890" s="10">
        <f t="array" ref="G2890">index('Player ID'!C:C,match(E2890,'Player ID'!B:B,0))</f>
        <v>806185</v>
      </c>
    </row>
    <row r="2891">
      <c r="A2891" s="76">
        <v>45768.0</v>
      </c>
      <c r="B2891" s="1" t="s">
        <v>815</v>
      </c>
      <c r="C2891" s="1" t="s">
        <v>14</v>
      </c>
      <c r="D2891" s="1">
        <v>1.0</v>
      </c>
      <c r="E2891" s="1">
        <v>33248.0</v>
      </c>
      <c r="F2891" s="10">
        <f t="shared" si="1"/>
        <v>1</v>
      </c>
      <c r="G2891" s="10">
        <f t="array" ref="G2891">index('Player ID'!C:C,match(E2891,'Player ID'!B:B,0))</f>
        <v>684974</v>
      </c>
    </row>
    <row r="2892">
      <c r="A2892" s="76">
        <v>45769.0</v>
      </c>
      <c r="B2892" s="1" t="s">
        <v>467</v>
      </c>
      <c r="C2892" s="1" t="s">
        <v>58</v>
      </c>
      <c r="D2892" s="1">
        <v>0.2</v>
      </c>
      <c r="E2892" s="1">
        <v>15551.0</v>
      </c>
      <c r="F2892" s="10">
        <f t="shared" si="1"/>
        <v>0.6666666667</v>
      </c>
      <c r="G2892" s="10">
        <f t="array" ref="G2892">index('Player ID'!C:C,match(E2892,'Player ID'!B:B,0))</f>
        <v>643410</v>
      </c>
    </row>
    <row r="2893">
      <c r="A2893" s="76">
        <v>45769.0</v>
      </c>
      <c r="B2893" s="1" t="s">
        <v>69</v>
      </c>
      <c r="C2893" s="1" t="s">
        <v>58</v>
      </c>
      <c r="D2893" s="1">
        <v>1.1</v>
      </c>
      <c r="E2893" s="1">
        <v>16814.0</v>
      </c>
      <c r="F2893" s="10">
        <f t="shared" si="1"/>
        <v>1.333333333</v>
      </c>
      <c r="G2893" s="10">
        <f t="array" ref="G2893">index('Player ID'!C:C,match(E2893,'Player ID'!B:B,0))</f>
        <v>657612</v>
      </c>
    </row>
    <row r="2894">
      <c r="A2894" s="76">
        <v>45769.0</v>
      </c>
      <c r="B2894" s="1" t="s">
        <v>225</v>
      </c>
      <c r="C2894" s="1" t="s">
        <v>58</v>
      </c>
      <c r="D2894" s="1">
        <v>1.0</v>
      </c>
      <c r="E2894" s="1">
        <v>16918.0</v>
      </c>
      <c r="F2894" s="10">
        <f t="shared" si="1"/>
        <v>1</v>
      </c>
      <c r="G2894" s="10">
        <f t="array" ref="G2894">index('Player ID'!C:C,match(E2894,'Player ID'!B:B,0))</f>
        <v>596133</v>
      </c>
    </row>
    <row r="2895">
      <c r="A2895" s="76">
        <v>45769.0</v>
      </c>
      <c r="B2895" s="1" t="s">
        <v>519</v>
      </c>
      <c r="C2895" s="1" t="s">
        <v>70</v>
      </c>
      <c r="D2895" s="1">
        <v>1.0</v>
      </c>
      <c r="E2895" s="1">
        <v>25139.0</v>
      </c>
      <c r="F2895" s="10">
        <f t="shared" si="1"/>
        <v>1</v>
      </c>
      <c r="G2895" s="10">
        <f t="array" ref="G2895">index('Player ID'!C:C,match(E2895,'Player ID'!B:B,0))</f>
        <v>682120</v>
      </c>
    </row>
    <row r="2896">
      <c r="A2896" s="76">
        <v>45769.0</v>
      </c>
      <c r="B2896" s="1" t="s">
        <v>238</v>
      </c>
      <c r="C2896" s="1" t="s">
        <v>70</v>
      </c>
      <c r="D2896" s="1">
        <v>1.0</v>
      </c>
      <c r="E2896" s="1">
        <v>25636.0</v>
      </c>
      <c r="F2896" s="10">
        <f t="shared" si="1"/>
        <v>1</v>
      </c>
      <c r="G2896" s="10">
        <f t="array" ref="G2896">index('Player ID'!C:C,match(E2896,'Player ID'!B:B,0))</f>
        <v>683769</v>
      </c>
    </row>
    <row r="2897">
      <c r="A2897" s="76">
        <v>45769.0</v>
      </c>
      <c r="B2897" s="1" t="s">
        <v>135</v>
      </c>
      <c r="C2897" s="1" t="s">
        <v>70</v>
      </c>
      <c r="D2897" s="1">
        <v>1.0</v>
      </c>
      <c r="E2897" s="1">
        <v>27867.0</v>
      </c>
      <c r="F2897" s="10">
        <f t="shared" si="1"/>
        <v>1</v>
      </c>
      <c r="G2897" s="10">
        <f t="array" ref="G2897">index('Player ID'!C:C,match(E2897,'Player ID'!B:B,0))</f>
        <v>671922</v>
      </c>
    </row>
    <row r="2898">
      <c r="A2898" s="76">
        <v>45769.0</v>
      </c>
      <c r="B2898" s="1" t="s">
        <v>308</v>
      </c>
      <c r="C2898" s="1" t="s">
        <v>70</v>
      </c>
      <c r="D2898" s="1">
        <v>6.0</v>
      </c>
      <c r="E2898" s="1">
        <v>30134.0</v>
      </c>
      <c r="F2898" s="10">
        <f t="shared" si="1"/>
        <v>6</v>
      </c>
      <c r="G2898" s="10">
        <f t="array" ref="G2898">index('Player ID'!C:C,match(E2898,'Player ID'!B:B,0))</f>
        <v>676440</v>
      </c>
    </row>
    <row r="2899">
      <c r="A2899" s="76">
        <v>45769.0</v>
      </c>
      <c r="B2899" s="1" t="s">
        <v>344</v>
      </c>
      <c r="C2899" s="1" t="s">
        <v>58</v>
      </c>
      <c r="D2899" s="1">
        <v>5.0</v>
      </c>
      <c r="E2899" s="1">
        <v>30182.0</v>
      </c>
      <c r="F2899" s="10">
        <f t="shared" si="1"/>
        <v>5</v>
      </c>
      <c r="G2899" s="10">
        <f t="array" ref="G2899">index('Player ID'!C:C,match(E2899,'Player ID'!B:B,0))</f>
        <v>701542</v>
      </c>
    </row>
    <row r="2900">
      <c r="A2900" s="76">
        <v>45769.0</v>
      </c>
      <c r="B2900" s="1" t="s">
        <v>342</v>
      </c>
      <c r="C2900" s="1" t="s">
        <v>26</v>
      </c>
      <c r="D2900" s="1">
        <v>1.0</v>
      </c>
      <c r="E2900" s="1">
        <v>11861.0</v>
      </c>
      <c r="F2900" s="10">
        <f t="shared" si="1"/>
        <v>1</v>
      </c>
      <c r="G2900" s="10">
        <f t="array" ref="G2900">index('Player ID'!C:C,match(E2900,'Player ID'!B:B,0))</f>
        <v>592094</v>
      </c>
    </row>
    <row r="2901">
      <c r="A2901" s="76">
        <v>45769.0</v>
      </c>
      <c r="B2901" s="1" t="s">
        <v>109</v>
      </c>
      <c r="C2901" s="1" t="s">
        <v>26</v>
      </c>
      <c r="D2901" s="1">
        <v>7.0</v>
      </c>
      <c r="E2901" s="1">
        <v>15454.0</v>
      </c>
      <c r="F2901" s="10">
        <f t="shared" si="1"/>
        <v>7</v>
      </c>
      <c r="G2901" s="10">
        <f t="array" ref="G2901">index('Player ID'!C:C,match(E2901,'Player ID'!B:B,0))</f>
        <v>601713</v>
      </c>
    </row>
    <row r="2902">
      <c r="A2902" s="76">
        <v>45769.0</v>
      </c>
      <c r="B2902" s="1" t="s">
        <v>316</v>
      </c>
      <c r="C2902" s="1" t="s">
        <v>62</v>
      </c>
      <c r="D2902" s="1">
        <v>6.0</v>
      </c>
      <c r="E2902" s="1">
        <v>17479.0</v>
      </c>
      <c r="F2902" s="10">
        <f t="shared" si="1"/>
        <v>6</v>
      </c>
      <c r="G2902" s="10">
        <f t="array" ref="G2902">index('Player ID'!C:C,match(E2902,'Player ID'!B:B,0))</f>
        <v>656427</v>
      </c>
    </row>
    <row r="2903">
      <c r="A2903" s="76">
        <v>45769.0</v>
      </c>
      <c r="B2903" s="1" t="s">
        <v>733</v>
      </c>
      <c r="C2903" s="1" t="s">
        <v>62</v>
      </c>
      <c r="D2903" s="1">
        <v>1.1</v>
      </c>
      <c r="E2903" s="1">
        <v>27753.0</v>
      </c>
      <c r="F2903" s="10">
        <f t="shared" si="1"/>
        <v>1.333333333</v>
      </c>
      <c r="G2903" s="10">
        <f t="array" ref="G2903">index('Player ID'!C:C,match(E2903,'Player ID'!B:B,0))</f>
        <v>690544</v>
      </c>
    </row>
    <row r="2904">
      <c r="A2904" s="76">
        <v>45769.0</v>
      </c>
      <c r="B2904" s="1" t="s">
        <v>160</v>
      </c>
      <c r="C2904" s="1" t="s">
        <v>62</v>
      </c>
      <c r="D2904" s="1">
        <v>1.2</v>
      </c>
      <c r="E2904" s="1">
        <v>29574.0</v>
      </c>
      <c r="F2904" s="10">
        <f t="shared" si="1"/>
        <v>1.666666667</v>
      </c>
      <c r="G2904" s="10">
        <f t="array" ref="G2904">index('Player ID'!C:C,match(E2904,'Player ID'!B:B,0))</f>
        <v>695445</v>
      </c>
    </row>
    <row r="2905">
      <c r="A2905" s="76">
        <v>45769.0</v>
      </c>
      <c r="B2905" s="1" t="s">
        <v>81</v>
      </c>
      <c r="C2905" s="1" t="s">
        <v>26</v>
      </c>
      <c r="D2905" s="1">
        <v>1.0</v>
      </c>
      <c r="E2905" s="1">
        <v>30115.0</v>
      </c>
      <c r="F2905" s="10">
        <f t="shared" si="1"/>
        <v>1</v>
      </c>
      <c r="G2905" s="10">
        <f t="array" ref="G2905">index('Player ID'!C:C,match(E2905,'Player ID'!B:B,0))</f>
        <v>663158</v>
      </c>
    </row>
    <row r="2906">
      <c r="A2906" s="76">
        <v>45769.0</v>
      </c>
      <c r="B2906" s="1" t="s">
        <v>226</v>
      </c>
      <c r="C2906" s="1" t="s">
        <v>66</v>
      </c>
      <c r="D2906" s="1">
        <v>5.2</v>
      </c>
      <c r="E2906" s="1">
        <v>12730.0</v>
      </c>
      <c r="F2906" s="10">
        <f t="shared" si="1"/>
        <v>5.666666667</v>
      </c>
      <c r="G2906" s="10">
        <f t="array" ref="G2906">index('Player ID'!C:C,match(E2906,'Player ID'!B:B,0))</f>
        <v>607259</v>
      </c>
    </row>
    <row r="2907">
      <c r="A2907" s="76">
        <v>45769.0</v>
      </c>
      <c r="B2907" s="1" t="s">
        <v>475</v>
      </c>
      <c r="C2907" s="1" t="s">
        <v>66</v>
      </c>
      <c r="D2907" s="1">
        <v>0.2</v>
      </c>
      <c r="E2907" s="1">
        <v>14993.0</v>
      </c>
      <c r="F2907" s="10">
        <f t="shared" si="1"/>
        <v>0.6666666667</v>
      </c>
      <c r="G2907" s="10">
        <f t="array" ref="G2907">index('Player ID'!C:C,match(E2907,'Player ID'!B:B,0))</f>
        <v>605130</v>
      </c>
    </row>
    <row r="2908">
      <c r="A2908" s="76">
        <v>45769.0</v>
      </c>
      <c r="B2908" s="1" t="s">
        <v>241</v>
      </c>
      <c r="C2908" s="1" t="s">
        <v>36</v>
      </c>
      <c r="D2908" s="1">
        <v>1.0</v>
      </c>
      <c r="E2908" s="1">
        <v>19222.0</v>
      </c>
      <c r="F2908" s="10">
        <f t="shared" si="1"/>
        <v>1</v>
      </c>
      <c r="G2908" s="10">
        <f t="array" ref="G2908">index('Player ID'!C:C,match(E2908,'Player ID'!B:B,0))</f>
        <v>669199</v>
      </c>
    </row>
    <row r="2909">
      <c r="A2909" s="76">
        <v>45769.0</v>
      </c>
      <c r="B2909" s="1" t="s">
        <v>89</v>
      </c>
      <c r="C2909" s="1" t="s">
        <v>36</v>
      </c>
      <c r="D2909" s="1">
        <v>1.0</v>
      </c>
      <c r="E2909" s="1">
        <v>19742.0</v>
      </c>
      <c r="F2909" s="10">
        <f t="shared" si="1"/>
        <v>1</v>
      </c>
      <c r="G2909" s="10">
        <f t="array" ref="G2909">index('Player ID'!C:C,match(E2909,'Player ID'!B:B,0))</f>
        <v>669622</v>
      </c>
    </row>
    <row r="2910">
      <c r="A2910" s="76">
        <v>45769.0</v>
      </c>
      <c r="B2910" s="1" t="s">
        <v>345</v>
      </c>
      <c r="C2910" s="1" t="s">
        <v>66</v>
      </c>
      <c r="D2910" s="1">
        <v>0.2</v>
      </c>
      <c r="E2910" s="1">
        <v>19926.0</v>
      </c>
      <c r="F2910" s="10">
        <f t="shared" si="1"/>
        <v>0.6666666667</v>
      </c>
      <c r="G2910" s="10">
        <f t="array" ref="G2910">index('Player ID'!C:C,match(E2910,'Player ID'!B:B,0))</f>
        <v>663574</v>
      </c>
    </row>
    <row r="2911">
      <c r="A2911" s="76">
        <v>45769.0</v>
      </c>
      <c r="B2911" s="1" t="s">
        <v>262</v>
      </c>
      <c r="C2911" s="1" t="s">
        <v>36</v>
      </c>
      <c r="D2911" s="1">
        <v>1.0</v>
      </c>
      <c r="E2911" s="1">
        <v>20116.0</v>
      </c>
      <c r="F2911" s="10">
        <f t="shared" si="1"/>
        <v>1</v>
      </c>
      <c r="G2911" s="10">
        <f t="array" ref="G2911">index('Player ID'!C:C,match(E2911,'Player ID'!B:B,0))</f>
        <v>676534</v>
      </c>
    </row>
    <row r="2912">
      <c r="A2912" s="76">
        <v>45769.0</v>
      </c>
      <c r="B2912" s="1" t="s">
        <v>171</v>
      </c>
      <c r="C2912" s="1" t="s">
        <v>36</v>
      </c>
      <c r="D2912" s="1">
        <v>5.0</v>
      </c>
      <c r="E2912" s="1">
        <v>21690.0</v>
      </c>
      <c r="F2912" s="10">
        <f t="shared" si="1"/>
        <v>5</v>
      </c>
      <c r="G2912" s="10">
        <f t="array" ref="G2912">index('Player ID'!C:C,match(E2912,'Player ID'!B:B,0))</f>
        <v>665795</v>
      </c>
    </row>
    <row r="2913">
      <c r="A2913" s="76">
        <v>45769.0</v>
      </c>
      <c r="B2913" s="1" t="s">
        <v>676</v>
      </c>
      <c r="C2913" s="1" t="s">
        <v>36</v>
      </c>
      <c r="D2913" s="1">
        <v>1.0</v>
      </c>
      <c r="E2913" s="1">
        <v>27453.0</v>
      </c>
      <c r="F2913" s="10">
        <f t="shared" si="1"/>
        <v>1</v>
      </c>
      <c r="G2913" s="10">
        <f t="array" ref="G2913">index('Player ID'!C:C,match(E2913,'Player ID'!B:B,0))</f>
        <v>685107</v>
      </c>
    </row>
    <row r="2914">
      <c r="A2914" s="76">
        <v>45769.0</v>
      </c>
      <c r="B2914" s="1" t="s">
        <v>211</v>
      </c>
      <c r="C2914" s="1" t="s">
        <v>66</v>
      </c>
      <c r="D2914" s="1">
        <v>1.0</v>
      </c>
      <c r="E2914" s="1">
        <v>27552.0</v>
      </c>
      <c r="F2914" s="10">
        <f t="shared" si="1"/>
        <v>1</v>
      </c>
      <c r="G2914" s="10">
        <f t="array" ref="G2914">index('Player ID'!C:C,match(E2914,'Player ID'!B:B,0))</f>
        <v>668933</v>
      </c>
    </row>
    <row r="2915">
      <c r="A2915" s="76">
        <v>45769.0</v>
      </c>
      <c r="B2915" s="1" t="s">
        <v>757</v>
      </c>
      <c r="C2915" s="1" t="s">
        <v>22</v>
      </c>
      <c r="D2915" s="1">
        <v>1.0</v>
      </c>
      <c r="E2915" s="1">
        <v>3548.0</v>
      </c>
      <c r="F2915" s="10">
        <f t="shared" si="1"/>
        <v>1</v>
      </c>
      <c r="G2915" s="10">
        <f t="array" ref="G2915">index('Player ID'!C:C,match(E2915,'Player ID'!B:B,0))</f>
        <v>521230</v>
      </c>
    </row>
    <row r="2916">
      <c r="A2916" s="76">
        <v>45769.0</v>
      </c>
      <c r="B2916" s="1" t="s">
        <v>230</v>
      </c>
      <c r="C2916" s="1" t="s">
        <v>22</v>
      </c>
      <c r="D2916" s="1">
        <v>0.2</v>
      </c>
      <c r="E2916" s="1">
        <v>4301.0</v>
      </c>
      <c r="F2916" s="10">
        <f t="shared" si="1"/>
        <v>0.6666666667</v>
      </c>
      <c r="G2916" s="10">
        <f t="array" ref="G2916">index('Player ID'!C:C,match(E2916,'Player ID'!B:B,0))</f>
        <v>458677</v>
      </c>
    </row>
    <row r="2917">
      <c r="A2917" s="76">
        <v>45769.0</v>
      </c>
      <c r="B2917" s="1" t="s">
        <v>108</v>
      </c>
      <c r="C2917" s="1" t="s">
        <v>37</v>
      </c>
      <c r="D2917" s="1">
        <v>0.1</v>
      </c>
      <c r="E2917" s="1">
        <v>17948.0</v>
      </c>
      <c r="F2917" s="10">
        <f t="shared" si="1"/>
        <v>0.3333333333</v>
      </c>
      <c r="G2917" s="10">
        <f t="array" ref="G2917">index('Player ID'!C:C,match(E2917,'Player ID'!B:B,0))</f>
        <v>663423</v>
      </c>
    </row>
    <row r="2918">
      <c r="A2918" s="76">
        <v>45769.0</v>
      </c>
      <c r="B2918" s="1" t="s">
        <v>250</v>
      </c>
      <c r="C2918" s="1" t="s">
        <v>22</v>
      </c>
      <c r="D2918" s="1">
        <v>2.0</v>
      </c>
      <c r="E2918" s="1">
        <v>20191.0</v>
      </c>
      <c r="F2918" s="10">
        <f t="shared" si="1"/>
        <v>2</v>
      </c>
      <c r="G2918" s="10">
        <f t="array" ref="G2918">index('Player ID'!C:C,match(E2918,'Player ID'!B:B,0))</f>
        <v>676477</v>
      </c>
    </row>
    <row r="2919">
      <c r="A2919" s="76">
        <v>45769.0</v>
      </c>
      <c r="B2919" s="1" t="s">
        <v>406</v>
      </c>
      <c r="C2919" s="1" t="s">
        <v>22</v>
      </c>
      <c r="D2919" s="1">
        <v>0.1</v>
      </c>
      <c r="E2919" s="1">
        <v>20375.0</v>
      </c>
      <c r="F2919" s="10">
        <f t="shared" si="1"/>
        <v>0.3333333333</v>
      </c>
      <c r="G2919" s="10">
        <f t="array" ref="G2919">index('Player ID'!C:C,match(E2919,'Player ID'!B:B,0))</f>
        <v>669711</v>
      </c>
    </row>
    <row r="2920">
      <c r="A2920" s="76">
        <v>45769.0</v>
      </c>
      <c r="B2920" s="1" t="s">
        <v>157</v>
      </c>
      <c r="C2920" s="1" t="s">
        <v>37</v>
      </c>
      <c r="D2920" s="1">
        <v>1.1</v>
      </c>
      <c r="E2920" s="1">
        <v>20997.0</v>
      </c>
      <c r="F2920" s="10">
        <f t="shared" si="1"/>
        <v>1.333333333</v>
      </c>
      <c r="G2920" s="10">
        <f t="array" ref="G2920">index('Player ID'!C:C,match(E2920,'Player ID'!B:B,0))</f>
        <v>660825</v>
      </c>
    </row>
    <row r="2921">
      <c r="A2921" s="76">
        <v>45769.0</v>
      </c>
      <c r="B2921" s="1" t="s">
        <v>732</v>
      </c>
      <c r="C2921" s="1" t="s">
        <v>37</v>
      </c>
      <c r="D2921" s="1">
        <v>1.2</v>
      </c>
      <c r="E2921" s="1">
        <v>21922.0</v>
      </c>
      <c r="F2921" s="10">
        <f t="shared" si="1"/>
        <v>1.666666667</v>
      </c>
      <c r="G2921" s="10">
        <f t="array" ref="G2921">index('Player ID'!C:C,match(E2921,'Player ID'!B:B,0))</f>
        <v>666659</v>
      </c>
    </row>
    <row r="2922">
      <c r="A2922" s="76">
        <v>45769.0</v>
      </c>
      <c r="B2922" s="1" t="s">
        <v>410</v>
      </c>
      <c r="C2922" s="1" t="s">
        <v>22</v>
      </c>
      <c r="D2922" s="1">
        <v>5.0</v>
      </c>
      <c r="E2922" s="1">
        <v>23920.0</v>
      </c>
      <c r="F2922" s="10">
        <f t="shared" si="1"/>
        <v>5</v>
      </c>
      <c r="G2922" s="10">
        <f t="array" ref="G2922">index('Player ID'!C:C,match(E2922,'Player ID'!B:B,0))</f>
        <v>678394</v>
      </c>
    </row>
    <row r="2923">
      <c r="A2923" s="76">
        <v>45769.0</v>
      </c>
      <c r="B2923" s="1" t="s">
        <v>343</v>
      </c>
      <c r="C2923" s="1" t="s">
        <v>37</v>
      </c>
      <c r="D2923" s="1">
        <v>4.2</v>
      </c>
      <c r="E2923" s="1">
        <v>29837.0</v>
      </c>
      <c r="F2923" s="10">
        <f t="shared" si="1"/>
        <v>4.666666667</v>
      </c>
      <c r="G2923" s="10">
        <f t="array" ref="G2923">index('Player ID'!C:C,match(E2923,'Player ID'!B:B,0))</f>
        <v>682243</v>
      </c>
    </row>
    <row r="2924">
      <c r="A2924" s="76">
        <v>45769.0</v>
      </c>
      <c r="B2924" s="1" t="s">
        <v>723</v>
      </c>
      <c r="C2924" s="1" t="s">
        <v>68</v>
      </c>
      <c r="D2924" s="1">
        <v>1.2</v>
      </c>
      <c r="E2924" s="1">
        <v>13528.0</v>
      </c>
      <c r="F2924" s="10">
        <f t="shared" si="1"/>
        <v>1.666666667</v>
      </c>
      <c r="G2924" s="10">
        <f t="array" ref="G2924">index('Player ID'!C:C,match(E2924,'Player ID'!B:B,0))</f>
        <v>621199</v>
      </c>
    </row>
    <row r="2925">
      <c r="A2925" s="76">
        <v>45769.0</v>
      </c>
      <c r="B2925" s="1" t="s">
        <v>294</v>
      </c>
      <c r="C2925" s="1" t="s">
        <v>68</v>
      </c>
      <c r="D2925" s="1">
        <v>5.1</v>
      </c>
      <c r="E2925" s="1">
        <v>19350.0</v>
      </c>
      <c r="F2925" s="10">
        <f t="shared" si="1"/>
        <v>5.333333333</v>
      </c>
      <c r="G2925" s="10">
        <f t="array" ref="G2925">index('Player ID'!C:C,match(E2925,'Player ID'!B:B,0))</f>
        <v>665152</v>
      </c>
    </row>
    <row r="2926">
      <c r="A2926" s="76">
        <v>45769.0</v>
      </c>
      <c r="B2926" s="1" t="s">
        <v>231</v>
      </c>
      <c r="C2926" s="1" t="s">
        <v>68</v>
      </c>
      <c r="D2926" s="1">
        <v>1.0</v>
      </c>
      <c r="E2926" s="1">
        <v>19362.0</v>
      </c>
      <c r="F2926" s="10">
        <f t="shared" si="1"/>
        <v>1</v>
      </c>
      <c r="G2926" s="10">
        <f t="array" ref="G2926">index('Player ID'!C:C,match(E2926,'Player ID'!B:B,0))</f>
        <v>669211</v>
      </c>
    </row>
    <row r="2927">
      <c r="A2927" s="76">
        <v>45769.0</v>
      </c>
      <c r="B2927" s="1" t="s">
        <v>644</v>
      </c>
      <c r="C2927" s="1" t="s">
        <v>80</v>
      </c>
      <c r="D2927" s="1">
        <v>0.1</v>
      </c>
      <c r="E2927" s="1">
        <v>19403.0</v>
      </c>
      <c r="F2927" s="10">
        <f t="shared" si="1"/>
        <v>0.3333333333</v>
      </c>
      <c r="G2927" s="10">
        <f t="array" ref="G2927">index('Player ID'!C:C,match(E2927,'Player ID'!B:B,0))</f>
        <v>621363</v>
      </c>
    </row>
    <row r="2928">
      <c r="A2928" s="76">
        <v>45769.0</v>
      </c>
      <c r="B2928" s="1" t="s">
        <v>507</v>
      </c>
      <c r="C2928" s="1" t="s">
        <v>80</v>
      </c>
      <c r="D2928" s="1">
        <v>0.2</v>
      </c>
      <c r="E2928" s="1">
        <v>27570.0</v>
      </c>
      <c r="F2928" s="10">
        <f t="shared" si="1"/>
        <v>0.6666666667</v>
      </c>
      <c r="G2928" s="10">
        <f t="array" ref="G2928">index('Player ID'!C:C,match(E2928,'Player ID'!B:B,0))</f>
        <v>669371</v>
      </c>
    </row>
    <row r="2929">
      <c r="A2929" s="76">
        <v>45769.0</v>
      </c>
      <c r="B2929" s="1" t="s">
        <v>330</v>
      </c>
      <c r="C2929" s="1" t="s">
        <v>80</v>
      </c>
      <c r="D2929" s="1">
        <v>8.0</v>
      </c>
      <c r="E2929" s="1">
        <v>27636.0</v>
      </c>
      <c r="F2929" s="10">
        <f t="shared" si="1"/>
        <v>8</v>
      </c>
      <c r="G2929" s="10">
        <f t="array" ref="G2929">index('Player ID'!C:C,match(E2929,'Player ID'!B:B,0))</f>
        <v>680730</v>
      </c>
    </row>
    <row r="2930">
      <c r="A2930" s="76">
        <v>45769.0</v>
      </c>
      <c r="B2930" s="1" t="s">
        <v>646</v>
      </c>
      <c r="C2930" s="1" t="s">
        <v>51</v>
      </c>
      <c r="D2930" s="1">
        <v>1.0</v>
      </c>
      <c r="E2930" s="1">
        <v>6107.0</v>
      </c>
      <c r="F2930" s="10">
        <f t="shared" si="1"/>
        <v>1</v>
      </c>
      <c r="G2930" s="10">
        <f t="array" ref="G2930">index('Player ID'!C:C,match(E2930,'Player ID'!B:B,0))</f>
        <v>623211</v>
      </c>
    </row>
    <row r="2931">
      <c r="A2931" s="76">
        <v>45769.0</v>
      </c>
      <c r="B2931" s="1" t="s">
        <v>360</v>
      </c>
      <c r="C2931" s="1" t="s">
        <v>45</v>
      </c>
      <c r="D2931" s="1">
        <v>3.0</v>
      </c>
      <c r="E2931" s="1">
        <v>12972.0</v>
      </c>
      <c r="F2931" s="10">
        <f t="shared" si="1"/>
        <v>3</v>
      </c>
      <c r="G2931" s="10">
        <f t="array" ref="G2931">index('Player ID'!C:C,match(E2931,'Player ID'!B:B,0))</f>
        <v>605452</v>
      </c>
    </row>
    <row r="2932">
      <c r="A2932" s="76">
        <v>45769.0</v>
      </c>
      <c r="B2932" s="1" t="s">
        <v>292</v>
      </c>
      <c r="C2932" s="1" t="s">
        <v>51</v>
      </c>
      <c r="D2932" s="1">
        <v>1.0</v>
      </c>
      <c r="E2932" s="1">
        <v>15947.0</v>
      </c>
      <c r="F2932" s="10">
        <f t="shared" si="1"/>
        <v>1</v>
      </c>
      <c r="G2932" s="10">
        <f t="array" ref="G2932">index('Player ID'!C:C,match(E2932,'Player ID'!B:B,0))</f>
        <v>592773</v>
      </c>
    </row>
    <row r="2933">
      <c r="A2933" s="76">
        <v>45769.0</v>
      </c>
      <c r="B2933" s="1" t="s">
        <v>208</v>
      </c>
      <c r="C2933" s="1" t="s">
        <v>45</v>
      </c>
      <c r="D2933" s="1">
        <v>1.0</v>
      </c>
      <c r="E2933" s="1">
        <v>16122.0</v>
      </c>
      <c r="F2933" s="10">
        <f t="shared" si="1"/>
        <v>1</v>
      </c>
      <c r="G2933" s="10">
        <f t="array" ref="G2933">index('Player ID'!C:C,match(E2933,'Player ID'!B:B,0))</f>
        <v>605447</v>
      </c>
    </row>
    <row r="2934">
      <c r="A2934" s="76">
        <v>45769.0</v>
      </c>
      <c r="B2934" s="1" t="s">
        <v>138</v>
      </c>
      <c r="C2934" s="1" t="s">
        <v>45</v>
      </c>
      <c r="D2934" s="1">
        <v>0.2</v>
      </c>
      <c r="E2934" s="1">
        <v>16990.0</v>
      </c>
      <c r="F2934" s="10">
        <f t="shared" si="1"/>
        <v>0.6666666667</v>
      </c>
      <c r="G2934" s="10">
        <f t="array" ref="G2934">index('Player ID'!C:C,match(E2934,'Player ID'!B:B,0))</f>
        <v>621383</v>
      </c>
    </row>
    <row r="2935">
      <c r="A2935" s="76">
        <v>45769.0</v>
      </c>
      <c r="B2935" s="1" t="s">
        <v>674</v>
      </c>
      <c r="C2935" s="1" t="s">
        <v>51</v>
      </c>
      <c r="D2935" s="1">
        <v>1.0</v>
      </c>
      <c r="E2935" s="1">
        <v>18655.0</v>
      </c>
      <c r="F2935" s="10">
        <f t="shared" si="1"/>
        <v>1</v>
      </c>
      <c r="G2935" s="10">
        <f t="array" ref="G2935">index('Player ID'!C:C,match(E2935,'Player ID'!B:B,0))</f>
        <v>621345</v>
      </c>
    </row>
    <row r="2936">
      <c r="A2936" s="76">
        <v>45769.0</v>
      </c>
      <c r="B2936" s="1" t="s">
        <v>382</v>
      </c>
      <c r="C2936" s="1" t="s">
        <v>51</v>
      </c>
      <c r="D2936" s="1">
        <v>5.0</v>
      </c>
      <c r="E2936" s="1">
        <v>19867.0</v>
      </c>
      <c r="F2936" s="10">
        <f t="shared" si="1"/>
        <v>5</v>
      </c>
      <c r="G2936" s="10">
        <f t="array" ref="G2936">index('Player ID'!C:C,match(E2936,'Player ID'!B:B,0))</f>
        <v>656288</v>
      </c>
    </row>
    <row r="2937">
      <c r="A2937" s="76">
        <v>45769.0</v>
      </c>
      <c r="B2937" s="1" t="s">
        <v>747</v>
      </c>
      <c r="C2937" s="1" t="s">
        <v>45</v>
      </c>
      <c r="D2937" s="1">
        <v>2.0</v>
      </c>
      <c r="E2937" s="1">
        <v>20778.0</v>
      </c>
      <c r="F2937" s="10">
        <f t="shared" si="1"/>
        <v>2</v>
      </c>
      <c r="G2937" s="10">
        <f t="array" ref="G2937">index('Player ID'!C:C,match(E2937,'Player ID'!B:B,0))</f>
        <v>650911</v>
      </c>
    </row>
    <row r="2938">
      <c r="A2938" s="76">
        <v>45769.0</v>
      </c>
      <c r="B2938" s="1" t="s">
        <v>701</v>
      </c>
      <c r="C2938" s="1" t="s">
        <v>45</v>
      </c>
      <c r="D2938" s="1">
        <v>1.0</v>
      </c>
      <c r="E2938" s="1">
        <v>22713.0</v>
      </c>
      <c r="F2938" s="10">
        <f t="shared" si="1"/>
        <v>1</v>
      </c>
      <c r="G2938" s="10">
        <f t="array" ref="G2938">index('Player ID'!C:C,match(E2938,'Player ID'!B:B,0))</f>
        <v>672578</v>
      </c>
    </row>
    <row r="2939">
      <c r="A2939" s="76">
        <v>45769.0</v>
      </c>
      <c r="B2939" s="1" t="s">
        <v>712</v>
      </c>
      <c r="C2939" s="1" t="s">
        <v>51</v>
      </c>
      <c r="D2939" s="1">
        <v>1.0</v>
      </c>
      <c r="E2939" s="1">
        <v>23313.0</v>
      </c>
      <c r="F2939" s="10">
        <f t="shared" si="1"/>
        <v>1</v>
      </c>
      <c r="G2939" s="10">
        <f t="array" ref="G2939">index('Player ID'!C:C,match(E2939,'Player ID'!B:B,0))</f>
        <v>676130</v>
      </c>
    </row>
    <row r="2940">
      <c r="A2940" s="76">
        <v>45769.0</v>
      </c>
      <c r="B2940" s="1" t="s">
        <v>165</v>
      </c>
      <c r="C2940" s="1" t="s">
        <v>45</v>
      </c>
      <c r="D2940" s="1">
        <v>0.1</v>
      </c>
      <c r="E2940" s="1">
        <v>31776.0</v>
      </c>
      <c r="F2940" s="10">
        <f t="shared" si="1"/>
        <v>0.3333333333</v>
      </c>
      <c r="G2940" s="10">
        <f t="array" ref="G2940">index('Player ID'!C:C,match(E2940,'Player ID'!B:B,0))</f>
        <v>689147</v>
      </c>
    </row>
    <row r="2941">
      <c r="A2941" s="76">
        <v>45769.0</v>
      </c>
      <c r="B2941" s="1" t="s">
        <v>326</v>
      </c>
      <c r="C2941" s="1" t="s">
        <v>46</v>
      </c>
      <c r="D2941" s="1">
        <v>0.1</v>
      </c>
      <c r="E2941" s="1">
        <v>12760.0</v>
      </c>
      <c r="F2941" s="10">
        <f t="shared" si="1"/>
        <v>0.3333333333</v>
      </c>
      <c r="G2941" s="10">
        <f t="array" ref="G2941">index('Player ID'!C:C,match(E2941,'Player ID'!B:B,0))</f>
        <v>606160</v>
      </c>
    </row>
    <row r="2942">
      <c r="A2942" s="76">
        <v>45769.0</v>
      </c>
      <c r="B2942" s="1" t="s">
        <v>83</v>
      </c>
      <c r="C2942" s="1" t="s">
        <v>72</v>
      </c>
      <c r="D2942" s="1">
        <v>2.2</v>
      </c>
      <c r="E2942" s="1">
        <v>13361.0</v>
      </c>
      <c r="F2942" s="10">
        <f t="shared" si="1"/>
        <v>2.666666667</v>
      </c>
      <c r="G2942" s="10">
        <f t="array" ref="G2942">index('Player ID'!C:C,match(E2942,'Player ID'!B:B,0))</f>
        <v>571927</v>
      </c>
    </row>
    <row r="2943">
      <c r="A2943" s="76">
        <v>45769.0</v>
      </c>
      <c r="B2943" s="1" t="s">
        <v>319</v>
      </c>
      <c r="C2943" s="1" t="s">
        <v>46</v>
      </c>
      <c r="D2943" s="1">
        <v>2.0</v>
      </c>
      <c r="E2943" s="1">
        <v>16258.0</v>
      </c>
      <c r="F2943" s="10">
        <f t="shared" si="1"/>
        <v>2</v>
      </c>
      <c r="G2943" s="10">
        <f t="array" ref="G2943">index('Player ID'!C:C,match(E2943,'Player ID'!B:B,0))</f>
        <v>607481</v>
      </c>
    </row>
    <row r="2944">
      <c r="A2944" s="76">
        <v>45769.0</v>
      </c>
      <c r="B2944" s="1" t="s">
        <v>233</v>
      </c>
      <c r="C2944" s="1" t="s">
        <v>46</v>
      </c>
      <c r="D2944" s="1">
        <v>3.0</v>
      </c>
      <c r="E2944" s="1">
        <v>16427.0</v>
      </c>
      <c r="F2944" s="10">
        <f t="shared" si="1"/>
        <v>3</v>
      </c>
      <c r="G2944" s="10">
        <f t="array" ref="G2944">index('Player ID'!C:C,match(E2944,'Player ID'!B:B,0))</f>
        <v>656240</v>
      </c>
    </row>
    <row r="2945">
      <c r="A2945" s="76">
        <v>45769.0</v>
      </c>
      <c r="B2945" s="1" t="s">
        <v>270</v>
      </c>
      <c r="C2945" s="1" t="s">
        <v>72</v>
      </c>
      <c r="D2945" s="1">
        <v>1.0</v>
      </c>
      <c r="E2945" s="1">
        <v>18138.0</v>
      </c>
      <c r="F2945" s="10">
        <f t="shared" si="1"/>
        <v>1</v>
      </c>
      <c r="G2945" s="10">
        <f t="array" ref="G2945">index('Player ID'!C:C,match(E2945,'Player ID'!B:B,0))</f>
        <v>664854</v>
      </c>
    </row>
    <row r="2946">
      <c r="A2946" s="76">
        <v>45769.0</v>
      </c>
      <c r="B2946" s="1" t="s">
        <v>346</v>
      </c>
      <c r="C2946" s="1" t="s">
        <v>46</v>
      </c>
      <c r="D2946" s="1">
        <v>1.0</v>
      </c>
      <c r="E2946" s="1">
        <v>18403.0</v>
      </c>
      <c r="F2946" s="10">
        <f t="shared" si="1"/>
        <v>1</v>
      </c>
      <c r="G2946" s="10">
        <f t="array" ref="G2946">index('Player ID'!C:C,match(E2946,'Player ID'!B:B,0))</f>
        <v>660853</v>
      </c>
    </row>
    <row r="2947">
      <c r="A2947" s="76">
        <v>45769.0</v>
      </c>
      <c r="B2947" s="1" t="s">
        <v>91</v>
      </c>
      <c r="C2947" s="1" t="s">
        <v>46</v>
      </c>
      <c r="D2947" s="1">
        <v>1.2</v>
      </c>
      <c r="E2947" s="1">
        <v>19996.0</v>
      </c>
      <c r="F2947" s="10">
        <f t="shared" si="1"/>
        <v>1.666666667</v>
      </c>
      <c r="G2947" s="10">
        <f t="array" ref="G2947">index('Player ID'!C:C,match(E2947,'Player ID'!B:B,0))</f>
        <v>669276</v>
      </c>
    </row>
    <row r="2948">
      <c r="A2948" s="76">
        <v>45769.0</v>
      </c>
      <c r="B2948" s="1" t="s">
        <v>170</v>
      </c>
      <c r="C2948" s="1" t="s">
        <v>72</v>
      </c>
      <c r="D2948" s="1">
        <v>1.0</v>
      </c>
      <c r="E2948" s="1">
        <v>24763.0</v>
      </c>
      <c r="F2948" s="10">
        <f t="shared" si="1"/>
        <v>1</v>
      </c>
      <c r="G2948" s="10">
        <f t="array" ref="G2948">index('Player ID'!C:C,match(E2948,'Player ID'!B:B,0))</f>
        <v>681517</v>
      </c>
    </row>
    <row r="2949">
      <c r="A2949" s="76">
        <v>45769.0</v>
      </c>
      <c r="B2949" s="1" t="s">
        <v>756</v>
      </c>
      <c r="C2949" s="1" t="s">
        <v>46</v>
      </c>
      <c r="D2949" s="1">
        <v>1.0</v>
      </c>
      <c r="E2949" s="1">
        <v>25474.0</v>
      </c>
      <c r="F2949" s="10">
        <f t="shared" si="1"/>
        <v>1</v>
      </c>
      <c r="G2949" s="10">
        <f t="array" ref="G2949">index('Player ID'!C:C,match(E2949,'Player ID'!B:B,0))</f>
        <v>686249</v>
      </c>
    </row>
    <row r="2950">
      <c r="A2950" s="76">
        <v>45769.0</v>
      </c>
      <c r="B2950" s="1" t="s">
        <v>432</v>
      </c>
      <c r="C2950" s="1" t="s">
        <v>72</v>
      </c>
      <c r="D2950" s="1">
        <v>4.1</v>
      </c>
      <c r="E2950" s="1">
        <v>26108.0</v>
      </c>
      <c r="F2950" s="10">
        <f t="shared" si="1"/>
        <v>4.333333333</v>
      </c>
      <c r="G2950" s="10">
        <f t="array" ref="G2950">index('Player ID'!C:C,match(E2950,'Player ID'!B:B,0))</f>
        <v>669467</v>
      </c>
    </row>
    <row r="2951">
      <c r="A2951" s="76">
        <v>45769.0</v>
      </c>
      <c r="B2951" s="1" t="s">
        <v>28</v>
      </c>
      <c r="C2951" s="1" t="s">
        <v>16</v>
      </c>
      <c r="D2951" s="1">
        <v>1.0</v>
      </c>
      <c r="E2951" s="1">
        <v>20253.0</v>
      </c>
      <c r="F2951" s="10">
        <f t="shared" si="1"/>
        <v>1</v>
      </c>
      <c r="G2951" s="10">
        <f t="array" ref="G2951">index('Player ID'!C:C,match(E2951,'Player ID'!B:B,0))</f>
        <v>643377</v>
      </c>
    </row>
    <row r="2952">
      <c r="A2952" s="76">
        <v>45769.0</v>
      </c>
      <c r="B2952" s="1" t="s">
        <v>122</v>
      </c>
      <c r="C2952" s="1" t="s">
        <v>16</v>
      </c>
      <c r="D2952" s="1">
        <v>1.0</v>
      </c>
      <c r="E2952" s="1">
        <v>21029.0</v>
      </c>
      <c r="F2952" s="10">
        <f t="shared" si="1"/>
        <v>1</v>
      </c>
      <c r="G2952" s="10">
        <f t="array" ref="G2952">index('Player ID'!C:C,match(E2952,'Player ID'!B:B,0))</f>
        <v>661395</v>
      </c>
    </row>
    <row r="2953">
      <c r="A2953" s="76">
        <v>45769.0</v>
      </c>
      <c r="B2953" s="1" t="s">
        <v>173</v>
      </c>
      <c r="C2953" s="1" t="s">
        <v>16</v>
      </c>
      <c r="D2953" s="1">
        <v>6.0</v>
      </c>
      <c r="E2953" s="1">
        <v>21224.0</v>
      </c>
      <c r="F2953" s="10">
        <f t="shared" si="1"/>
        <v>6</v>
      </c>
      <c r="G2953" s="10">
        <f t="array" ref="G2953">index('Player ID'!C:C,match(E2953,'Player ID'!B:B,0))</f>
        <v>641927</v>
      </c>
    </row>
    <row r="2954">
      <c r="A2954" s="76">
        <v>45769.0</v>
      </c>
      <c r="B2954" s="1" t="s">
        <v>335</v>
      </c>
      <c r="C2954" s="1" t="s">
        <v>78</v>
      </c>
      <c r="D2954" s="1">
        <v>5.0</v>
      </c>
      <c r="E2954" s="1">
        <v>21448.0</v>
      </c>
      <c r="F2954" s="10">
        <f t="shared" si="1"/>
        <v>5</v>
      </c>
      <c r="G2954" s="10">
        <f t="array" ref="G2954">index('Player ID'!C:C,match(E2954,'Player ID'!B:B,0))</f>
        <v>663436</v>
      </c>
    </row>
    <row r="2955">
      <c r="A2955" s="76">
        <v>45769.0</v>
      </c>
      <c r="B2955" s="1" t="s">
        <v>47</v>
      </c>
      <c r="C2955" s="1" t="s">
        <v>16</v>
      </c>
      <c r="D2955" s="1">
        <v>1.0</v>
      </c>
      <c r="E2955" s="1">
        <v>27691.0</v>
      </c>
      <c r="F2955" s="10">
        <f t="shared" si="1"/>
        <v>1</v>
      </c>
      <c r="G2955" s="10">
        <f t="array" ref="G2955">index('Player ID'!C:C,match(E2955,'Player ID'!B:B,0))</f>
        <v>686973</v>
      </c>
    </row>
    <row r="2956">
      <c r="A2956" s="76">
        <v>45769.0</v>
      </c>
      <c r="B2956" s="1" t="s">
        <v>497</v>
      </c>
      <c r="C2956" s="1" t="s">
        <v>78</v>
      </c>
      <c r="D2956" s="1">
        <v>3.0</v>
      </c>
      <c r="E2956" s="1">
        <v>30105.0</v>
      </c>
      <c r="F2956" s="10">
        <f t="shared" si="1"/>
        <v>3</v>
      </c>
      <c r="G2956" s="10">
        <f t="array" ref="G2956">index('Player ID'!C:C,match(E2956,'Player ID'!B:B,0))</f>
        <v>678024</v>
      </c>
    </row>
    <row r="2957">
      <c r="A2957" s="76">
        <v>45769.0</v>
      </c>
      <c r="B2957" s="1" t="s">
        <v>649</v>
      </c>
      <c r="C2957" s="1" t="s">
        <v>29</v>
      </c>
      <c r="D2957" s="1">
        <v>1.0</v>
      </c>
      <c r="E2957" s="1">
        <v>14542.0</v>
      </c>
      <c r="F2957" s="10">
        <f t="shared" si="1"/>
        <v>1</v>
      </c>
      <c r="G2957" s="10">
        <f t="array" ref="G2957">index('Player ID'!C:C,match(E2957,'Player ID'!B:B,0))</f>
        <v>608032</v>
      </c>
    </row>
    <row r="2958">
      <c r="A2958" s="76">
        <v>45769.0</v>
      </c>
      <c r="B2958" s="1" t="s">
        <v>288</v>
      </c>
      <c r="C2958" s="1" t="s">
        <v>75</v>
      </c>
      <c r="D2958" s="1">
        <v>1.0</v>
      </c>
      <c r="E2958" s="1">
        <v>18297.0</v>
      </c>
      <c r="F2958" s="10">
        <f t="shared" si="1"/>
        <v>1</v>
      </c>
      <c r="G2958" s="10">
        <f t="array" ref="G2958">index('Player ID'!C:C,match(E2958,'Player ID'!B:B,0))</f>
        <v>641755</v>
      </c>
    </row>
    <row r="2959">
      <c r="A2959" s="76">
        <v>45769.0</v>
      </c>
      <c r="B2959" s="1" t="s">
        <v>407</v>
      </c>
      <c r="C2959" s="1" t="s">
        <v>29</v>
      </c>
      <c r="D2959" s="1">
        <v>1.0</v>
      </c>
      <c r="E2959" s="1">
        <v>19360.0</v>
      </c>
      <c r="F2959" s="10">
        <f t="shared" si="1"/>
        <v>1</v>
      </c>
      <c r="G2959" s="10">
        <f t="array" ref="G2959">index('Player ID'!C:C,match(E2959,'Player ID'!B:B,0))</f>
        <v>668674</v>
      </c>
    </row>
    <row r="2960">
      <c r="A2960" s="76">
        <v>45769.0</v>
      </c>
      <c r="B2960" s="1" t="s">
        <v>144</v>
      </c>
      <c r="C2960" s="1" t="s">
        <v>29</v>
      </c>
      <c r="D2960" s="1">
        <v>1.0</v>
      </c>
      <c r="E2960" s="1">
        <v>20020.0</v>
      </c>
      <c r="F2960" s="10">
        <f t="shared" si="1"/>
        <v>1</v>
      </c>
      <c r="G2960" s="10">
        <f t="array" ref="G2960">index('Player ID'!C:C,match(E2960,'Player ID'!B:B,0))</f>
        <v>670167</v>
      </c>
    </row>
    <row r="2961">
      <c r="A2961" s="76">
        <v>45769.0</v>
      </c>
      <c r="B2961" s="1" t="s">
        <v>504</v>
      </c>
      <c r="C2961" s="1" t="s">
        <v>75</v>
      </c>
      <c r="D2961" s="1">
        <v>7.0</v>
      </c>
      <c r="E2961" s="1">
        <v>21446.0</v>
      </c>
      <c r="F2961" s="10">
        <f t="shared" si="1"/>
        <v>7</v>
      </c>
      <c r="G2961" s="10">
        <f t="array" ref="G2961">index('Player ID'!C:C,match(E2961,'Player ID'!B:B,0))</f>
        <v>663372</v>
      </c>
    </row>
    <row r="2962">
      <c r="A2962" s="76">
        <v>45769.0</v>
      </c>
      <c r="B2962" s="1" t="s">
        <v>163</v>
      </c>
      <c r="C2962" s="1" t="s">
        <v>29</v>
      </c>
      <c r="D2962" s="1">
        <v>7.0</v>
      </c>
      <c r="E2962" s="1">
        <v>21455.0</v>
      </c>
      <c r="F2962" s="10">
        <f t="shared" si="1"/>
        <v>7</v>
      </c>
      <c r="G2962" s="10">
        <f t="array" ref="G2962">index('Player ID'!C:C,match(E2962,'Player ID'!B:B,0))</f>
        <v>663460</v>
      </c>
    </row>
    <row r="2963">
      <c r="A2963" s="76">
        <v>45769.0</v>
      </c>
      <c r="B2963" s="1" t="s">
        <v>293</v>
      </c>
      <c r="C2963" s="1" t="s">
        <v>29</v>
      </c>
      <c r="D2963" s="1">
        <v>1.0</v>
      </c>
      <c r="E2963" s="1">
        <v>21537.0</v>
      </c>
      <c r="F2963" s="10">
        <f t="shared" si="1"/>
        <v>1</v>
      </c>
      <c r="G2963" s="10">
        <f t="array" ref="G2963">index('Player ID'!C:C,match(E2963,'Player ID'!B:B,0))</f>
        <v>663738</v>
      </c>
    </row>
    <row r="2964">
      <c r="A2964" s="76">
        <v>45769.0</v>
      </c>
      <c r="B2964" s="1" t="s">
        <v>728</v>
      </c>
      <c r="C2964" s="1" t="s">
        <v>75</v>
      </c>
      <c r="D2964" s="1">
        <v>1.0</v>
      </c>
      <c r="E2964" s="1">
        <v>30250.0</v>
      </c>
      <c r="F2964" s="10">
        <f t="shared" si="1"/>
        <v>1</v>
      </c>
      <c r="G2964" s="10">
        <f t="array" ref="G2964">index('Player ID'!C:C,match(E2964,'Player ID'!B:B,0))</f>
        <v>677955</v>
      </c>
    </row>
    <row r="2965">
      <c r="A2965" s="76">
        <v>45769.0</v>
      </c>
      <c r="B2965" s="1" t="s">
        <v>488</v>
      </c>
      <c r="C2965" s="1" t="s">
        <v>75</v>
      </c>
      <c r="D2965" s="1">
        <v>1.0</v>
      </c>
      <c r="E2965" s="1">
        <v>33294.0</v>
      </c>
      <c r="F2965" s="10">
        <f t="shared" si="1"/>
        <v>1</v>
      </c>
      <c r="G2965" s="10">
        <f t="array" ref="G2965">index('Player ID'!C:C,match(E2965,'Player ID'!B:B,0))</f>
        <v>678020</v>
      </c>
    </row>
    <row r="2966">
      <c r="A2966" s="76">
        <v>45769.0</v>
      </c>
      <c r="B2966" s="1" t="s">
        <v>595</v>
      </c>
      <c r="C2966" s="1" t="s">
        <v>33</v>
      </c>
      <c r="D2966" s="1">
        <v>1.0</v>
      </c>
      <c r="E2966" s="1">
        <v>6984.0</v>
      </c>
      <c r="F2966" s="10">
        <f t="shared" si="1"/>
        <v>1</v>
      </c>
      <c r="G2966" s="10">
        <f t="array" ref="G2966">index('Player ID'!C:C,match(E2966,'Player ID'!B:B,0))</f>
        <v>472610</v>
      </c>
    </row>
    <row r="2967">
      <c r="A2967" s="76">
        <v>45769.0</v>
      </c>
      <c r="B2967" s="1" t="s">
        <v>392</v>
      </c>
      <c r="C2967" s="1" t="s">
        <v>33</v>
      </c>
      <c r="D2967" s="1">
        <v>0.1</v>
      </c>
      <c r="E2967" s="1">
        <v>9073.0</v>
      </c>
      <c r="F2967" s="10">
        <f t="shared" si="1"/>
        <v>0.3333333333</v>
      </c>
      <c r="G2967" s="10">
        <f t="array" ref="G2967">index('Player ID'!C:C,match(E2967,'Player ID'!B:B,0))</f>
        <v>489446</v>
      </c>
    </row>
    <row r="2968">
      <c r="A2968" s="76">
        <v>45769.0</v>
      </c>
      <c r="B2968" s="1" t="s">
        <v>310</v>
      </c>
      <c r="C2968" s="1" t="s">
        <v>33</v>
      </c>
      <c r="D2968" s="1">
        <v>1.0</v>
      </c>
      <c r="E2968" s="1">
        <v>14706.0</v>
      </c>
      <c r="F2968" s="10">
        <f t="shared" si="1"/>
        <v>1</v>
      </c>
      <c r="G2968" s="10">
        <f t="array" ref="G2968">index('Player ID'!C:C,match(E2968,'Player ID'!B:B,0))</f>
        <v>607455</v>
      </c>
    </row>
    <row r="2969">
      <c r="A2969" s="76">
        <v>45769.0</v>
      </c>
      <c r="B2969" s="1" t="s">
        <v>297</v>
      </c>
      <c r="C2969" s="1" t="s">
        <v>34</v>
      </c>
      <c r="D2969" s="1">
        <v>0.1</v>
      </c>
      <c r="E2969" s="1">
        <v>15734.0</v>
      </c>
      <c r="F2969" s="10">
        <f t="shared" si="1"/>
        <v>0.3333333333</v>
      </c>
      <c r="G2969" s="10">
        <f t="array" ref="G2969">index('Player ID'!C:C,match(E2969,'Player ID'!B:B,0))</f>
        <v>641745</v>
      </c>
    </row>
    <row r="2970">
      <c r="A2970" s="76">
        <v>45769.0</v>
      </c>
      <c r="B2970" s="1" t="s">
        <v>32</v>
      </c>
      <c r="C2970" s="1" t="s">
        <v>33</v>
      </c>
      <c r="D2970" s="1">
        <v>1.0</v>
      </c>
      <c r="E2970" s="1">
        <v>17586.0</v>
      </c>
      <c r="F2970" s="10">
        <f t="shared" si="1"/>
        <v>1</v>
      </c>
      <c r="G2970" s="10">
        <f t="array" ref="G2970">index('Player ID'!C:C,match(E2970,'Player ID'!B:B,0))</f>
        <v>656945</v>
      </c>
    </row>
    <row r="2971">
      <c r="A2971" s="76">
        <v>45769.0</v>
      </c>
      <c r="B2971" s="1" t="s">
        <v>329</v>
      </c>
      <c r="C2971" s="1" t="s">
        <v>33</v>
      </c>
      <c r="D2971" s="1">
        <v>5.0</v>
      </c>
      <c r="E2971" s="1">
        <v>19716.0</v>
      </c>
      <c r="F2971" s="10">
        <f t="shared" si="1"/>
        <v>5</v>
      </c>
      <c r="G2971" s="10">
        <f t="array" ref="G2971">index('Player ID'!C:C,match(E2971,'Player ID'!B:B,0))</f>
        <v>669160</v>
      </c>
    </row>
    <row r="2972">
      <c r="A2972" s="76">
        <v>45769.0</v>
      </c>
      <c r="B2972" s="1" t="s">
        <v>789</v>
      </c>
      <c r="C2972" s="1" t="s">
        <v>34</v>
      </c>
      <c r="D2972" s="1">
        <v>1.0</v>
      </c>
      <c r="E2972" s="1">
        <v>24930.0</v>
      </c>
      <c r="F2972" s="10">
        <f t="shared" si="1"/>
        <v>1</v>
      </c>
      <c r="G2972" s="10">
        <f t="array" ref="G2972">index('Player ID'!C:C,match(E2972,'Player ID'!B:B,0))</f>
        <v>681799</v>
      </c>
    </row>
    <row r="2973">
      <c r="A2973" s="76">
        <v>45769.0</v>
      </c>
      <c r="B2973" s="1" t="s">
        <v>92</v>
      </c>
      <c r="C2973" s="1" t="s">
        <v>33</v>
      </c>
      <c r="D2973" s="1">
        <v>0.2</v>
      </c>
      <c r="E2973" s="1">
        <v>25007.0</v>
      </c>
      <c r="F2973" s="10">
        <f t="shared" si="1"/>
        <v>0.6666666667</v>
      </c>
      <c r="G2973" s="10">
        <f t="array" ref="G2973">index('Player ID'!C:C,match(E2973,'Player ID'!B:B,0))</f>
        <v>681911</v>
      </c>
    </row>
    <row r="2974">
      <c r="A2974" s="76">
        <v>45769.0</v>
      </c>
      <c r="B2974" s="1" t="s">
        <v>787</v>
      </c>
      <c r="C2974" s="1" t="s">
        <v>34</v>
      </c>
      <c r="D2974" s="1">
        <v>2.0</v>
      </c>
      <c r="E2974" s="1">
        <v>25427.0</v>
      </c>
      <c r="F2974" s="10">
        <f t="shared" si="1"/>
        <v>2</v>
      </c>
      <c r="G2974" s="10">
        <f t="array" ref="G2974">index('Player ID'!C:C,match(E2974,'Player ID'!B:B,0))</f>
        <v>668970</v>
      </c>
    </row>
    <row r="2975">
      <c r="A2975" s="76">
        <v>45769.0</v>
      </c>
      <c r="B2975" s="1" t="s">
        <v>816</v>
      </c>
      <c r="C2975" s="1" t="s">
        <v>33</v>
      </c>
      <c r="D2975" s="1">
        <v>0.0</v>
      </c>
      <c r="E2975" s="1">
        <v>25862.0</v>
      </c>
      <c r="F2975" s="10">
        <f t="shared" si="1"/>
        <v>0</v>
      </c>
      <c r="G2975" s="10">
        <f t="array" ref="G2975">index('Player ID'!C:C,match(E2975,'Player ID'!B:B,0))</f>
        <v>663562</v>
      </c>
    </row>
    <row r="2976">
      <c r="A2976" s="76">
        <v>45769.0</v>
      </c>
      <c r="B2976" s="1" t="s">
        <v>388</v>
      </c>
      <c r="C2976" s="1" t="s">
        <v>34</v>
      </c>
      <c r="D2976" s="1">
        <v>1.0</v>
      </c>
      <c r="E2976" s="1">
        <v>26413.0</v>
      </c>
      <c r="F2976" s="10">
        <f t="shared" si="1"/>
        <v>1</v>
      </c>
      <c r="G2976" s="10">
        <f t="array" ref="G2976">index('Player ID'!C:C,match(E2976,'Player ID'!B:B,0))</f>
        <v>687863</v>
      </c>
    </row>
    <row r="2977">
      <c r="A2977" s="76">
        <v>45769.0</v>
      </c>
      <c r="B2977" s="1" t="s">
        <v>67</v>
      </c>
      <c r="C2977" s="1" t="s">
        <v>34</v>
      </c>
      <c r="D2977" s="1">
        <v>5.2</v>
      </c>
      <c r="E2977" s="1">
        <v>33829.0</v>
      </c>
      <c r="F2977" s="10">
        <f t="shared" si="1"/>
        <v>5.666666667</v>
      </c>
      <c r="G2977" s="10">
        <f t="array" ref="G2977">index('Player ID'!C:C,match(E2977,'Player ID'!B:B,0))</f>
        <v>684007</v>
      </c>
    </row>
    <row r="2978">
      <c r="A2978" s="76">
        <v>45769.0</v>
      </c>
      <c r="B2978" s="1" t="s">
        <v>456</v>
      </c>
      <c r="C2978" s="1" t="s">
        <v>40</v>
      </c>
      <c r="D2978" s="1">
        <v>5.1</v>
      </c>
      <c r="E2978" s="1">
        <v>12304.0</v>
      </c>
      <c r="F2978" s="10">
        <f t="shared" si="1"/>
        <v>5.333333333</v>
      </c>
      <c r="G2978" s="10">
        <f t="array" ref="G2978">index('Player ID'!C:C,match(E2978,'Player ID'!B:B,0))</f>
        <v>605135</v>
      </c>
    </row>
    <row r="2979">
      <c r="A2979" s="76">
        <v>45769.0</v>
      </c>
      <c r="B2979" s="1" t="s">
        <v>59</v>
      </c>
      <c r="C2979" s="1" t="s">
        <v>39</v>
      </c>
      <c r="D2979" s="1">
        <v>1.0</v>
      </c>
      <c r="E2979" s="1">
        <v>14212.0</v>
      </c>
      <c r="F2979" s="10">
        <f t="shared" si="1"/>
        <v>1</v>
      </c>
      <c r="G2979" s="10">
        <f t="array" ref="G2979">index('Player ID'!C:C,match(E2979,'Player ID'!B:B,0))</f>
        <v>623352</v>
      </c>
    </row>
    <row r="2980">
      <c r="A2980" s="76">
        <v>45769.0</v>
      </c>
      <c r="B2980" s="1" t="s">
        <v>210</v>
      </c>
      <c r="C2980" s="1" t="s">
        <v>39</v>
      </c>
      <c r="D2980" s="1">
        <v>1.0</v>
      </c>
      <c r="E2980" s="1">
        <v>16609.0</v>
      </c>
      <c r="F2980" s="10">
        <f t="shared" si="1"/>
        <v>1</v>
      </c>
      <c r="G2980" s="10">
        <f t="array" ref="G2980">index('Player ID'!C:C,match(E2980,'Player ID'!B:B,0))</f>
        <v>650556</v>
      </c>
    </row>
    <row r="2981">
      <c r="A2981" s="76">
        <v>45769.0</v>
      </c>
      <c r="B2981" s="1" t="s">
        <v>314</v>
      </c>
      <c r="C2981" s="1" t="s">
        <v>39</v>
      </c>
      <c r="D2981" s="1">
        <v>6.2</v>
      </c>
      <c r="E2981" s="1">
        <v>19407.0</v>
      </c>
      <c r="F2981" s="10">
        <f t="shared" si="1"/>
        <v>6.666666667</v>
      </c>
      <c r="G2981" s="10">
        <f t="array" ref="G2981">index('Player ID'!C:C,match(E2981,'Player ID'!B:B,0))</f>
        <v>669854</v>
      </c>
    </row>
    <row r="2982">
      <c r="A2982" s="76">
        <v>45769.0</v>
      </c>
      <c r="B2982" s="1" t="s">
        <v>395</v>
      </c>
      <c r="C2982" s="1" t="s">
        <v>40</v>
      </c>
      <c r="D2982" s="1">
        <v>0.2</v>
      </c>
      <c r="E2982" s="1">
        <v>21574.0</v>
      </c>
      <c r="F2982" s="10">
        <f t="shared" si="1"/>
        <v>0.6666666667</v>
      </c>
      <c r="G2982" s="10">
        <f t="array" ref="G2982">index('Player ID'!C:C,match(E2982,'Player ID'!B:B,0))</f>
        <v>663893</v>
      </c>
    </row>
    <row r="2983">
      <c r="A2983" s="76">
        <v>45769.0</v>
      </c>
      <c r="B2983" s="1" t="s">
        <v>76</v>
      </c>
      <c r="C2983" s="1" t="s">
        <v>39</v>
      </c>
      <c r="D2983" s="1">
        <v>0.1</v>
      </c>
      <c r="E2983" s="1">
        <v>25890.0</v>
      </c>
      <c r="F2983" s="10">
        <f t="shared" si="1"/>
        <v>0.3333333333</v>
      </c>
      <c r="G2983" s="10">
        <f t="array" ref="G2983">index('Player ID'!C:C,match(E2983,'Player ID'!B:B,0))</f>
        <v>687911</v>
      </c>
    </row>
    <row r="2984">
      <c r="A2984" s="76">
        <v>45769.0</v>
      </c>
      <c r="B2984" s="1" t="s">
        <v>142</v>
      </c>
      <c r="C2984" s="1" t="s">
        <v>40</v>
      </c>
      <c r="D2984" s="1">
        <v>1.0</v>
      </c>
      <c r="E2984" s="1">
        <v>31553.0</v>
      </c>
      <c r="F2984" s="10">
        <f t="shared" si="1"/>
        <v>1</v>
      </c>
      <c r="G2984" s="10">
        <f t="array" ref="G2984">index('Player ID'!C:C,match(E2984,'Player ID'!B:B,0))</f>
        <v>689254</v>
      </c>
    </row>
    <row r="2985">
      <c r="A2985" s="76">
        <v>45769.0</v>
      </c>
      <c r="B2985" s="1" t="s">
        <v>427</v>
      </c>
      <c r="C2985" s="1" t="s">
        <v>40</v>
      </c>
      <c r="D2985" s="1">
        <v>1.0</v>
      </c>
      <c r="E2985" s="1">
        <v>33838.0</v>
      </c>
      <c r="F2985" s="10">
        <f t="shared" si="1"/>
        <v>1</v>
      </c>
      <c r="G2985" s="10">
        <f t="array" ref="G2985">index('Player ID'!C:C,match(E2985,'Player ID'!B:B,0))</f>
        <v>684320</v>
      </c>
    </row>
    <row r="2986">
      <c r="A2986" s="76">
        <v>45769.0</v>
      </c>
      <c r="B2986" s="1" t="s">
        <v>443</v>
      </c>
      <c r="C2986" s="1" t="s">
        <v>60</v>
      </c>
      <c r="D2986" s="1">
        <v>1.0</v>
      </c>
      <c r="E2986" s="1">
        <v>16350.0</v>
      </c>
      <c r="F2986" s="10">
        <f t="shared" si="1"/>
        <v>1</v>
      </c>
      <c r="G2986" s="10">
        <f t="array" ref="G2986">index('Player ID'!C:C,match(E2986,'Player ID'!B:B,0))</f>
        <v>621366</v>
      </c>
    </row>
    <row r="2987">
      <c r="A2987" s="76">
        <v>45769.0</v>
      </c>
      <c r="B2987" s="1" t="s">
        <v>686</v>
      </c>
      <c r="C2987" s="1" t="s">
        <v>60</v>
      </c>
      <c r="D2987" s="1">
        <v>0.2</v>
      </c>
      <c r="E2987" s="1">
        <v>17639.0</v>
      </c>
      <c r="F2987" s="10">
        <f t="shared" si="1"/>
        <v>0.6666666667</v>
      </c>
      <c r="G2987" s="10">
        <f t="array" ref="G2987">index('Player ID'!C:C,match(E2987,'Player ID'!B:B,0))</f>
        <v>664875</v>
      </c>
    </row>
    <row r="2988">
      <c r="A2988" s="76">
        <v>45769.0</v>
      </c>
      <c r="B2988" s="1" t="s">
        <v>217</v>
      </c>
      <c r="C2988" s="1" t="s">
        <v>60</v>
      </c>
      <c r="D2988" s="1">
        <v>0.1</v>
      </c>
      <c r="E2988" s="1">
        <v>17878.0</v>
      </c>
      <c r="F2988" s="10">
        <f t="shared" si="1"/>
        <v>0.3333333333</v>
      </c>
      <c r="G2988" s="10">
        <f t="array" ref="G2988">index('Player ID'!C:C,match(E2988,'Player ID'!B:B,0))</f>
        <v>642701</v>
      </c>
    </row>
    <row r="2989">
      <c r="A2989" s="76">
        <v>45769.0</v>
      </c>
      <c r="B2989" s="1" t="s">
        <v>291</v>
      </c>
      <c r="C2989" s="1" t="s">
        <v>25</v>
      </c>
      <c r="D2989" s="1">
        <v>1.0</v>
      </c>
      <c r="E2989" s="1">
        <v>17968.0</v>
      </c>
      <c r="F2989" s="10">
        <f t="shared" si="1"/>
        <v>1</v>
      </c>
      <c r="G2989" s="10">
        <f t="array" ref="G2989">index('Player ID'!C:C,match(E2989,'Player ID'!B:B,0))</f>
        <v>656271</v>
      </c>
    </row>
    <row r="2990">
      <c r="A2990" s="76">
        <v>45769.0</v>
      </c>
      <c r="B2990" s="1" t="s">
        <v>183</v>
      </c>
      <c r="C2990" s="1" t="s">
        <v>60</v>
      </c>
      <c r="D2990" s="1">
        <v>1.0</v>
      </c>
      <c r="E2990" s="1">
        <v>19569.0</v>
      </c>
      <c r="F2990" s="10">
        <f t="shared" si="1"/>
        <v>1</v>
      </c>
      <c r="G2990" s="10">
        <f t="array" ref="G2990">index('Player ID'!C:C,match(E2990,'Player ID'!B:B,0))</f>
        <v>670280</v>
      </c>
    </row>
    <row r="2991">
      <c r="A2991" s="76">
        <v>45769.0</v>
      </c>
      <c r="B2991" s="1" t="s">
        <v>775</v>
      </c>
      <c r="C2991" s="1" t="s">
        <v>25</v>
      </c>
      <c r="D2991" s="1">
        <v>1.0</v>
      </c>
      <c r="E2991" s="1">
        <v>19951.0</v>
      </c>
      <c r="F2991" s="10">
        <f t="shared" si="1"/>
        <v>1</v>
      </c>
      <c r="G2991" s="10">
        <f t="array" ref="G2991">index('Player ID'!C:C,match(E2991,'Player ID'!B:B,0))</f>
        <v>666120</v>
      </c>
    </row>
    <row r="2992">
      <c r="A2992" s="76">
        <v>45769.0</v>
      </c>
      <c r="B2992" s="1" t="s">
        <v>220</v>
      </c>
      <c r="C2992" s="1" t="s">
        <v>60</v>
      </c>
      <c r="D2992" s="1">
        <v>4.0</v>
      </c>
      <c r="E2992" s="1">
        <v>20070.0</v>
      </c>
      <c r="F2992" s="10">
        <f t="shared" si="1"/>
        <v>4</v>
      </c>
      <c r="G2992" s="10">
        <f t="array" ref="G2992">index('Player ID'!C:C,match(E2992,'Player ID'!B:B,0))</f>
        <v>663559</v>
      </c>
    </row>
    <row r="2993">
      <c r="A2993" s="76">
        <v>45769.0</v>
      </c>
      <c r="B2993" s="1" t="s">
        <v>463</v>
      </c>
      <c r="C2993" s="1" t="s">
        <v>60</v>
      </c>
      <c r="D2993" s="1">
        <v>2.0</v>
      </c>
      <c r="E2993" s="1">
        <v>21544.0</v>
      </c>
      <c r="F2993" s="10">
        <f t="shared" si="1"/>
        <v>2</v>
      </c>
      <c r="G2993" s="10">
        <f t="array" ref="G2993">index('Player ID'!C:C,match(E2993,'Player ID'!B:B,0))</f>
        <v>663767</v>
      </c>
    </row>
    <row r="2994">
      <c r="A2994" s="76">
        <v>45769.0</v>
      </c>
      <c r="B2994" s="1" t="s">
        <v>695</v>
      </c>
      <c r="C2994" s="1" t="s">
        <v>25</v>
      </c>
      <c r="D2994" s="1">
        <v>3.1</v>
      </c>
      <c r="E2994" s="1">
        <v>22100.0</v>
      </c>
      <c r="F2994" s="10">
        <f t="shared" si="1"/>
        <v>3.333333333</v>
      </c>
      <c r="G2994" s="10">
        <f t="array" ref="G2994">index('Player ID'!C:C,match(E2994,'Player ID'!B:B,0))</f>
        <v>667755</v>
      </c>
    </row>
    <row r="2995">
      <c r="A2995" s="76">
        <v>45769.0</v>
      </c>
      <c r="B2995" s="1" t="s">
        <v>792</v>
      </c>
      <c r="C2995" s="1" t="s">
        <v>25</v>
      </c>
      <c r="D2995" s="1">
        <v>2.0</v>
      </c>
      <c r="E2995" s="1">
        <v>31501.0</v>
      </c>
      <c r="F2995" s="10">
        <f t="shared" si="1"/>
        <v>2</v>
      </c>
      <c r="G2995" s="10">
        <f t="array" ref="G2995">index('Player ID'!C:C,match(E2995,'Player ID'!B:B,0))</f>
        <v>690382</v>
      </c>
    </row>
    <row r="2996">
      <c r="A2996" s="76">
        <v>45769.0</v>
      </c>
      <c r="B2996" s="1" t="s">
        <v>760</v>
      </c>
      <c r="C2996" s="1" t="s">
        <v>25</v>
      </c>
      <c r="D2996" s="1">
        <v>1.2</v>
      </c>
      <c r="E2996" s="1">
        <v>31751.0</v>
      </c>
      <c r="F2996" s="10">
        <f t="shared" si="1"/>
        <v>1.666666667</v>
      </c>
      <c r="G2996" s="10">
        <f t="array" ref="G2996">index('Player ID'!C:C,match(E2996,'Player ID'!B:B,0))</f>
        <v>680729</v>
      </c>
    </row>
    <row r="2997">
      <c r="A2997" s="76">
        <v>45769.0</v>
      </c>
      <c r="B2997" s="1" t="s">
        <v>177</v>
      </c>
      <c r="C2997" s="1" t="s">
        <v>54</v>
      </c>
      <c r="D2997" s="1">
        <v>6.0</v>
      </c>
      <c r="E2997" s="1">
        <v>15823.0</v>
      </c>
      <c r="F2997" s="10">
        <f t="shared" si="1"/>
        <v>6</v>
      </c>
      <c r="G2997" s="10">
        <f t="array" ref="G2997">index('Player ID'!C:C,match(E2997,'Player ID'!B:B,0))</f>
        <v>641793</v>
      </c>
    </row>
    <row r="2998">
      <c r="A2998" s="76">
        <v>45769.0</v>
      </c>
      <c r="B2998" s="1" t="s">
        <v>219</v>
      </c>
      <c r="C2998" s="1" t="s">
        <v>64</v>
      </c>
      <c r="D2998" s="1">
        <v>1.0</v>
      </c>
      <c r="E2998" s="1">
        <v>16647.0</v>
      </c>
      <c r="F2998" s="10">
        <f t="shared" si="1"/>
        <v>1</v>
      </c>
      <c r="G2998" s="10">
        <f t="array" ref="G2998">index('Player ID'!C:C,match(E2998,'Player ID'!B:B,0))</f>
        <v>657044</v>
      </c>
    </row>
    <row r="2999">
      <c r="A2999" s="76">
        <v>45769.0</v>
      </c>
      <c r="B2999" s="1" t="s">
        <v>489</v>
      </c>
      <c r="C2999" s="1" t="s">
        <v>64</v>
      </c>
      <c r="D2999" s="1">
        <v>1.0</v>
      </c>
      <c r="E2999" s="1">
        <v>17192.0</v>
      </c>
      <c r="F2999" s="10">
        <f t="shared" si="1"/>
        <v>1</v>
      </c>
      <c r="G2999" s="10">
        <f t="array" ref="G2999">index('Player ID'!C:C,match(E2999,'Player ID'!B:B,0))</f>
        <v>656222</v>
      </c>
    </row>
    <row r="3000">
      <c r="A3000" s="76">
        <v>45769.0</v>
      </c>
      <c r="B3000" s="1" t="s">
        <v>370</v>
      </c>
      <c r="C3000" s="1" t="s">
        <v>64</v>
      </c>
      <c r="D3000" s="1">
        <v>1.0</v>
      </c>
      <c r="E3000" s="1">
        <v>21924.0</v>
      </c>
      <c r="F3000" s="10">
        <f t="shared" si="1"/>
        <v>1</v>
      </c>
      <c r="G3000" s="10">
        <f t="array" ref="G3000">index('Player ID'!C:C,match(E3000,'Player ID'!B:B,0))</f>
        <v>666661</v>
      </c>
    </row>
    <row r="3001">
      <c r="A3001" s="76">
        <v>45769.0</v>
      </c>
      <c r="B3001" s="1" t="s">
        <v>204</v>
      </c>
      <c r="C3001" s="1" t="s">
        <v>54</v>
      </c>
      <c r="D3001" s="1">
        <v>2.0</v>
      </c>
      <c r="E3001" s="1">
        <v>22288.0</v>
      </c>
      <c r="F3001" s="10">
        <f t="shared" si="1"/>
        <v>2</v>
      </c>
      <c r="G3001" s="10">
        <f t="array" ref="G3001">index('Player ID'!C:C,match(E3001,'Player ID'!B:B,0))</f>
        <v>669438</v>
      </c>
    </row>
    <row r="3002">
      <c r="A3002" s="76">
        <v>45769.0</v>
      </c>
      <c r="B3002" s="1" t="s">
        <v>263</v>
      </c>
      <c r="C3002" s="1" t="s">
        <v>64</v>
      </c>
      <c r="D3002" s="1">
        <v>6.0</v>
      </c>
      <c r="E3002" s="1">
        <v>27782.0</v>
      </c>
      <c r="F3002" s="10">
        <f t="shared" si="1"/>
        <v>6</v>
      </c>
      <c r="G3002" s="10">
        <f t="array" ref="G3002">index('Player ID'!C:C,match(E3002,'Player ID'!B:B,0))</f>
        <v>694297</v>
      </c>
    </row>
    <row r="3003">
      <c r="A3003" s="76">
        <v>45769.0</v>
      </c>
      <c r="B3003" s="1" t="s">
        <v>476</v>
      </c>
      <c r="C3003" s="1" t="s">
        <v>14</v>
      </c>
      <c r="D3003" s="1">
        <v>6.0</v>
      </c>
      <c r="E3003" s="1">
        <v>11423.0</v>
      </c>
      <c r="F3003" s="10">
        <f t="shared" si="1"/>
        <v>6</v>
      </c>
      <c r="G3003" s="10">
        <f t="array" ref="G3003">index('Player ID'!C:C,match(E3003,'Player ID'!B:B,0))</f>
        <v>500779</v>
      </c>
    </row>
    <row r="3004">
      <c r="A3004" s="76">
        <v>45769.0</v>
      </c>
      <c r="B3004" s="1" t="s">
        <v>634</v>
      </c>
      <c r="C3004" s="1" t="s">
        <v>14</v>
      </c>
      <c r="D3004" s="1">
        <v>1.0</v>
      </c>
      <c r="E3004" s="1">
        <v>14332.0</v>
      </c>
      <c r="F3004" s="10">
        <f t="shared" si="1"/>
        <v>1</v>
      </c>
      <c r="G3004" s="10">
        <f t="array" ref="G3004">index('Player ID'!C:C,match(E3004,'Player ID'!B:B,0))</f>
        <v>606303</v>
      </c>
    </row>
    <row r="3005">
      <c r="A3005" s="76">
        <v>45769.0</v>
      </c>
      <c r="B3005" s="1" t="s">
        <v>503</v>
      </c>
      <c r="C3005" s="1" t="s">
        <v>31</v>
      </c>
      <c r="D3005" s="1">
        <v>0.2</v>
      </c>
      <c r="E3005" s="1">
        <v>15043.0</v>
      </c>
      <c r="F3005" s="10">
        <f t="shared" si="1"/>
        <v>0.6666666667</v>
      </c>
      <c r="G3005" s="10">
        <f t="array" ref="G3005">index('Player ID'!C:C,match(E3005,'Player ID'!B:B,0))</f>
        <v>642152</v>
      </c>
    </row>
    <row r="3006">
      <c r="A3006" s="76">
        <v>45769.0</v>
      </c>
      <c r="B3006" s="1" t="s">
        <v>445</v>
      </c>
      <c r="C3006" s="1" t="s">
        <v>31</v>
      </c>
      <c r="D3006" s="1">
        <v>5.0</v>
      </c>
      <c r="E3006" s="1">
        <v>19618.0</v>
      </c>
      <c r="F3006" s="10">
        <f t="shared" si="1"/>
        <v>5</v>
      </c>
      <c r="G3006" s="10">
        <f t="array" ref="G3006">index('Player ID'!C:C,match(E3006,'Player ID'!B:B,0))</f>
        <v>663855</v>
      </c>
    </row>
    <row r="3007">
      <c r="A3007" s="76">
        <v>45769.0</v>
      </c>
      <c r="B3007" s="1" t="s">
        <v>636</v>
      </c>
      <c r="C3007" s="1" t="s">
        <v>14</v>
      </c>
      <c r="D3007" s="1">
        <v>1.0</v>
      </c>
      <c r="E3007" s="1">
        <v>19924.0</v>
      </c>
      <c r="F3007" s="10">
        <f t="shared" si="1"/>
        <v>1</v>
      </c>
      <c r="G3007" s="10">
        <f t="array" ref="G3007">index('Player ID'!C:C,match(E3007,'Player ID'!B:B,0))</f>
        <v>663542</v>
      </c>
    </row>
    <row r="3008">
      <c r="A3008" s="76">
        <v>45769.0</v>
      </c>
      <c r="B3008" s="1" t="s">
        <v>318</v>
      </c>
      <c r="C3008" s="1" t="s">
        <v>14</v>
      </c>
      <c r="D3008" s="1">
        <v>1.0</v>
      </c>
      <c r="E3008" s="1">
        <v>20546.0</v>
      </c>
      <c r="F3008" s="10">
        <f t="shared" si="1"/>
        <v>1</v>
      </c>
      <c r="G3008" s="10">
        <f t="array" ref="G3008">index('Player ID'!C:C,match(E3008,'Player ID'!B:B,0))</f>
        <v>681982</v>
      </c>
    </row>
    <row r="3009">
      <c r="A3009" s="76">
        <v>45769.0</v>
      </c>
      <c r="B3009" s="1" t="s">
        <v>770</v>
      </c>
      <c r="C3009" s="1" t="s">
        <v>31</v>
      </c>
      <c r="D3009" s="1">
        <v>1.0</v>
      </c>
      <c r="E3009" s="1">
        <v>27653.0</v>
      </c>
      <c r="F3009" s="10">
        <f t="shared" si="1"/>
        <v>1</v>
      </c>
      <c r="G3009" s="10">
        <f t="array" ref="G3009">index('Player ID'!C:C,match(E3009,'Player ID'!B:B,0))</f>
        <v>683766</v>
      </c>
    </row>
    <row r="3010">
      <c r="A3010" s="76">
        <v>45769.0</v>
      </c>
      <c r="B3010" s="1" t="s">
        <v>276</v>
      </c>
      <c r="C3010" s="1" t="s">
        <v>31</v>
      </c>
      <c r="D3010" s="1">
        <v>2.1</v>
      </c>
      <c r="E3010" s="1">
        <v>30226.0</v>
      </c>
      <c r="F3010" s="10">
        <f t="shared" si="1"/>
        <v>2.333333333</v>
      </c>
      <c r="G3010" s="10">
        <f t="array" ref="G3010">index('Player ID'!C:C,match(E3010,'Player ID'!B:B,0))</f>
        <v>702352</v>
      </c>
    </row>
    <row r="3011">
      <c r="A3011" s="76">
        <v>45769.0</v>
      </c>
      <c r="B3011" s="1" t="s">
        <v>668</v>
      </c>
      <c r="C3011" s="1" t="s">
        <v>52</v>
      </c>
      <c r="D3011" s="1">
        <v>0.2</v>
      </c>
      <c r="E3011" s="1">
        <v>3237.0</v>
      </c>
      <c r="F3011" s="10">
        <f t="shared" si="1"/>
        <v>0.6666666667</v>
      </c>
      <c r="G3011" s="10">
        <f t="array" ref="G3011">index('Player ID'!C:C,match(E3011,'Player ID'!B:B,0))</f>
        <v>519008</v>
      </c>
    </row>
    <row r="3012">
      <c r="A3012" s="76">
        <v>45769.0</v>
      </c>
      <c r="B3012" s="1" t="s">
        <v>245</v>
      </c>
      <c r="C3012" s="1" t="s">
        <v>56</v>
      </c>
      <c r="D3012" s="1">
        <v>5.0</v>
      </c>
      <c r="E3012" s="1">
        <v>9323.0</v>
      </c>
      <c r="F3012" s="10">
        <f t="shared" si="1"/>
        <v>5</v>
      </c>
      <c r="G3012" s="10">
        <f t="array" ref="G3012">index('Player ID'!C:C,match(E3012,'Player ID'!B:B,0))</f>
        <v>571578</v>
      </c>
    </row>
    <row r="3013">
      <c r="A3013" s="76">
        <v>45769.0</v>
      </c>
      <c r="B3013" s="1" t="s">
        <v>162</v>
      </c>
      <c r="C3013" s="1" t="s">
        <v>56</v>
      </c>
      <c r="D3013" s="1">
        <v>1.0</v>
      </c>
      <c r="E3013" s="1">
        <v>11752.0</v>
      </c>
      <c r="F3013" s="10">
        <f t="shared" si="1"/>
        <v>1</v>
      </c>
      <c r="G3013" s="10">
        <f t="array" ref="G3013">index('Player ID'!C:C,match(E3013,'Player ID'!B:B,0))</f>
        <v>592426</v>
      </c>
    </row>
    <row r="3014">
      <c r="A3014" s="76">
        <v>45769.0</v>
      </c>
      <c r="B3014" s="1" t="s">
        <v>440</v>
      </c>
      <c r="C3014" s="1" t="s">
        <v>56</v>
      </c>
      <c r="D3014" s="1">
        <v>0.2</v>
      </c>
      <c r="E3014" s="1">
        <v>12857.0</v>
      </c>
      <c r="F3014" s="10">
        <f t="shared" si="1"/>
        <v>0.6666666667</v>
      </c>
      <c r="G3014" s="10">
        <f t="array" ref="G3014">index('Player ID'!C:C,match(E3014,'Player ID'!B:B,0))</f>
        <v>542888</v>
      </c>
    </row>
    <row r="3015">
      <c r="A3015" s="76">
        <v>45769.0</v>
      </c>
      <c r="B3015" s="1" t="s">
        <v>151</v>
      </c>
      <c r="C3015" s="1" t="s">
        <v>56</v>
      </c>
      <c r="D3015" s="1">
        <v>1.0</v>
      </c>
      <c r="E3015" s="1">
        <v>13346.0</v>
      </c>
      <c r="F3015" s="10">
        <f t="shared" si="1"/>
        <v>1</v>
      </c>
      <c r="G3015" s="10">
        <f t="array" ref="G3015">index('Player ID'!C:C,match(E3015,'Player ID'!B:B,0))</f>
        <v>571948</v>
      </c>
    </row>
    <row r="3016">
      <c r="A3016" s="76">
        <v>45769.0</v>
      </c>
      <c r="B3016" s="1" t="s">
        <v>669</v>
      </c>
      <c r="C3016" s="1" t="s">
        <v>52</v>
      </c>
      <c r="D3016" s="1">
        <v>0.1</v>
      </c>
      <c r="E3016" s="1">
        <v>14524.0</v>
      </c>
      <c r="F3016" s="10">
        <f t="shared" si="1"/>
        <v>0.3333333333</v>
      </c>
      <c r="G3016" s="10">
        <f t="array" ref="G3016">index('Player ID'!C:C,match(E3016,'Player ID'!B:B,0))</f>
        <v>600917</v>
      </c>
    </row>
    <row r="3017">
      <c r="A3017" s="76">
        <v>45769.0</v>
      </c>
      <c r="B3017" s="1" t="s">
        <v>87</v>
      </c>
      <c r="C3017" s="1" t="s">
        <v>56</v>
      </c>
      <c r="D3017" s="1">
        <v>1.0</v>
      </c>
      <c r="E3017" s="1">
        <v>19274.0</v>
      </c>
      <c r="F3017" s="10">
        <f t="shared" si="1"/>
        <v>1</v>
      </c>
      <c r="G3017" s="10">
        <f t="array" ref="G3017">index('Player ID'!C:C,match(E3017,'Player ID'!B:B,0))</f>
        <v>657097</v>
      </c>
    </row>
    <row r="3018">
      <c r="A3018" s="76">
        <v>45769.0</v>
      </c>
      <c r="B3018" s="1" t="s">
        <v>505</v>
      </c>
      <c r="C3018" s="1" t="s">
        <v>52</v>
      </c>
      <c r="D3018" s="1">
        <v>1.0</v>
      </c>
      <c r="E3018" s="1">
        <v>19481.0</v>
      </c>
      <c r="F3018" s="10">
        <f t="shared" si="1"/>
        <v>1</v>
      </c>
      <c r="G3018" s="10">
        <f t="array" ref="G3018">index('Player ID'!C:C,match(E3018,'Player ID'!B:B,0))</f>
        <v>621053</v>
      </c>
    </row>
    <row r="3019">
      <c r="A3019" s="76">
        <v>45769.0</v>
      </c>
      <c r="B3019" s="1" t="s">
        <v>454</v>
      </c>
      <c r="C3019" s="1" t="s">
        <v>52</v>
      </c>
      <c r="D3019" s="1">
        <v>5.1</v>
      </c>
      <c r="E3019" s="1">
        <v>23150.0</v>
      </c>
      <c r="F3019" s="10">
        <f t="shared" si="1"/>
        <v>5.333333333</v>
      </c>
      <c r="G3019" s="10">
        <f t="array" ref="G3019">index('Player ID'!C:C,match(E3019,'Player ID'!B:B,0))</f>
        <v>674370</v>
      </c>
    </row>
    <row r="3020">
      <c r="A3020" s="76">
        <v>45769.0</v>
      </c>
      <c r="B3020" s="1" t="s">
        <v>268</v>
      </c>
      <c r="C3020" s="1" t="s">
        <v>56</v>
      </c>
      <c r="D3020" s="1">
        <v>0.1</v>
      </c>
      <c r="E3020" s="1">
        <v>23363.0</v>
      </c>
      <c r="F3020" s="10">
        <f t="shared" si="1"/>
        <v>0.3333333333</v>
      </c>
      <c r="G3020" s="10">
        <f t="array" ref="G3020">index('Player ID'!C:C,match(E3020,'Player ID'!B:B,0))</f>
        <v>676395</v>
      </c>
    </row>
    <row r="3021">
      <c r="A3021" s="76">
        <v>45769.0</v>
      </c>
      <c r="B3021" s="1" t="s">
        <v>389</v>
      </c>
      <c r="C3021" s="1" t="s">
        <v>52</v>
      </c>
      <c r="D3021" s="1">
        <v>1.2</v>
      </c>
      <c r="E3021" s="1">
        <v>25098.0</v>
      </c>
      <c r="F3021" s="10">
        <f t="shared" si="1"/>
        <v>1.666666667</v>
      </c>
      <c r="G3021" s="10">
        <f t="array" ref="G3021">index('Player ID'!C:C,match(E3021,'Player ID'!B:B,0))</f>
        <v>682052</v>
      </c>
    </row>
    <row r="3022">
      <c r="A3022" s="76">
        <v>45770.0</v>
      </c>
      <c r="B3022" s="1" t="s">
        <v>287</v>
      </c>
      <c r="C3022" s="1" t="s">
        <v>72</v>
      </c>
      <c r="D3022" s="1">
        <v>6.0</v>
      </c>
      <c r="E3022" s="1">
        <v>9803.0</v>
      </c>
      <c r="F3022" s="10">
        <f t="shared" si="1"/>
        <v>6</v>
      </c>
      <c r="G3022" s="10">
        <f t="array" ref="G3022">index('Player ID'!C:C,match(E3022,'Player ID'!B:B,0))</f>
        <v>571945</v>
      </c>
    </row>
    <row r="3023">
      <c r="A3023" s="76">
        <v>45770.0</v>
      </c>
      <c r="B3023" s="1" t="s">
        <v>326</v>
      </c>
      <c r="C3023" s="1" t="s">
        <v>46</v>
      </c>
      <c r="D3023" s="1">
        <v>0.2</v>
      </c>
      <c r="E3023" s="1">
        <v>12760.0</v>
      </c>
      <c r="F3023" s="10">
        <f t="shared" si="1"/>
        <v>0.6666666667</v>
      </c>
      <c r="G3023" s="10">
        <f t="array" ref="G3023">index('Player ID'!C:C,match(E3023,'Player ID'!B:B,0))</f>
        <v>606160</v>
      </c>
    </row>
    <row r="3024">
      <c r="A3024" s="76">
        <v>45770.0</v>
      </c>
      <c r="B3024" s="1" t="s">
        <v>178</v>
      </c>
      <c r="C3024" s="1" t="s">
        <v>46</v>
      </c>
      <c r="D3024" s="1">
        <v>1.0</v>
      </c>
      <c r="E3024" s="1">
        <v>13435.0</v>
      </c>
      <c r="F3024" s="10">
        <f t="shared" si="1"/>
        <v>1</v>
      </c>
      <c r="G3024" s="10">
        <f t="array" ref="G3024">index('Player ID'!C:C,match(E3024,'Player ID'!B:B,0))</f>
        <v>572955</v>
      </c>
    </row>
    <row r="3025">
      <c r="A3025" s="76">
        <v>45770.0</v>
      </c>
      <c r="B3025" s="1" t="s">
        <v>193</v>
      </c>
      <c r="C3025" s="1" t="s">
        <v>72</v>
      </c>
      <c r="D3025" s="1">
        <v>0.1</v>
      </c>
      <c r="E3025" s="1">
        <v>19574.0</v>
      </c>
      <c r="F3025" s="10">
        <f t="shared" si="1"/>
        <v>0.3333333333</v>
      </c>
      <c r="G3025" s="10">
        <f t="array" ref="G3025">index('Player ID'!C:C,match(E3025,'Player ID'!B:B,0))</f>
        <v>668941</v>
      </c>
    </row>
    <row r="3026">
      <c r="A3026" s="76">
        <v>45770.0</v>
      </c>
      <c r="B3026" s="1" t="s">
        <v>688</v>
      </c>
      <c r="C3026" s="1" t="s">
        <v>46</v>
      </c>
      <c r="D3026" s="1">
        <v>1.1</v>
      </c>
      <c r="E3026" s="1">
        <v>20271.0</v>
      </c>
      <c r="F3026" s="10">
        <f t="shared" si="1"/>
        <v>1.333333333</v>
      </c>
      <c r="G3026" s="10">
        <f t="array" ref="G3026">index('Player ID'!C:C,match(E3026,'Player ID'!B:B,0))</f>
        <v>678226</v>
      </c>
    </row>
    <row r="3027">
      <c r="A3027" s="76">
        <v>45770.0</v>
      </c>
      <c r="B3027" s="1" t="s">
        <v>273</v>
      </c>
      <c r="C3027" s="1" t="s">
        <v>72</v>
      </c>
      <c r="D3027" s="1">
        <v>0.1</v>
      </c>
      <c r="E3027" s="1">
        <v>22051.0</v>
      </c>
      <c r="F3027" s="10">
        <f t="shared" si="1"/>
        <v>0.3333333333</v>
      </c>
      <c r="G3027" s="10">
        <f t="array" ref="G3027">index('Player ID'!C:C,match(E3027,'Player ID'!B:B,0))</f>
        <v>667463</v>
      </c>
    </row>
    <row r="3028">
      <c r="A3028" s="76">
        <v>45770.0</v>
      </c>
      <c r="B3028" s="1" t="s">
        <v>170</v>
      </c>
      <c r="C3028" s="1" t="s">
        <v>72</v>
      </c>
      <c r="D3028" s="1">
        <v>0.2</v>
      </c>
      <c r="E3028" s="1">
        <v>24763.0</v>
      </c>
      <c r="F3028" s="10">
        <f t="shared" si="1"/>
        <v>0.6666666667</v>
      </c>
      <c r="G3028" s="10">
        <f t="array" ref="G3028">index('Player ID'!C:C,match(E3028,'Player ID'!B:B,0))</f>
        <v>681517</v>
      </c>
    </row>
    <row r="3029">
      <c r="A3029" s="76">
        <v>45770.0</v>
      </c>
      <c r="B3029" s="1" t="s">
        <v>378</v>
      </c>
      <c r="C3029" s="1" t="s">
        <v>72</v>
      </c>
      <c r="D3029" s="1">
        <v>0.2</v>
      </c>
      <c r="E3029" s="1">
        <v>24862.0</v>
      </c>
      <c r="F3029" s="10">
        <f t="shared" si="1"/>
        <v>0.6666666667</v>
      </c>
      <c r="G3029" s="10">
        <f t="array" ref="G3029">index('Player ID'!C:C,match(E3029,'Player ID'!B:B,0))</f>
        <v>681676</v>
      </c>
    </row>
    <row r="3030">
      <c r="A3030" s="76">
        <v>45770.0</v>
      </c>
      <c r="B3030" s="1" t="s">
        <v>275</v>
      </c>
      <c r="C3030" s="1" t="s">
        <v>46</v>
      </c>
      <c r="D3030" s="1">
        <v>6.0</v>
      </c>
      <c r="E3030" s="1">
        <v>27779.0</v>
      </c>
      <c r="F3030" s="10">
        <f t="shared" si="1"/>
        <v>6</v>
      </c>
      <c r="G3030" s="10">
        <f t="array" ref="G3030">index('Player ID'!C:C,match(E3030,'Player ID'!B:B,0))</f>
        <v>693821</v>
      </c>
    </row>
    <row r="3031">
      <c r="A3031" s="76">
        <v>45770.0</v>
      </c>
      <c r="B3031" s="1" t="s">
        <v>422</v>
      </c>
      <c r="C3031" s="1" t="s">
        <v>58</v>
      </c>
      <c r="D3031" s="1">
        <v>1.0</v>
      </c>
      <c r="E3031" s="1">
        <v>7048.0</v>
      </c>
      <c r="F3031" s="10">
        <f t="shared" si="1"/>
        <v>1</v>
      </c>
      <c r="G3031" s="10">
        <f t="array" ref="G3031">index('Player ID'!C:C,match(E3031,'Player ID'!B:B,0))</f>
        <v>518585</v>
      </c>
    </row>
    <row r="3032">
      <c r="A3032" s="76">
        <v>45770.0</v>
      </c>
      <c r="B3032" s="1" t="s">
        <v>635</v>
      </c>
      <c r="C3032" s="1" t="s">
        <v>58</v>
      </c>
      <c r="D3032" s="1">
        <v>7.0</v>
      </c>
      <c r="E3032" s="1">
        <v>16137.0</v>
      </c>
      <c r="F3032" s="10">
        <f t="shared" si="1"/>
        <v>7</v>
      </c>
      <c r="G3032" s="10">
        <f t="array" ref="G3032">index('Player ID'!C:C,match(E3032,'Player ID'!B:B,0))</f>
        <v>607074</v>
      </c>
    </row>
    <row r="3033">
      <c r="A3033" s="76">
        <v>45770.0</v>
      </c>
      <c r="B3033" s="1" t="s">
        <v>225</v>
      </c>
      <c r="C3033" s="1" t="s">
        <v>58</v>
      </c>
      <c r="D3033" s="1">
        <v>1.0</v>
      </c>
      <c r="E3033" s="1">
        <v>16918.0</v>
      </c>
      <c r="F3033" s="10">
        <f t="shared" si="1"/>
        <v>1</v>
      </c>
      <c r="G3033" s="10">
        <f t="array" ref="G3033">index('Player ID'!C:C,match(E3033,'Player ID'!B:B,0))</f>
        <v>596133</v>
      </c>
    </row>
    <row r="3034">
      <c r="A3034" s="76">
        <v>45770.0</v>
      </c>
      <c r="B3034" s="1" t="s">
        <v>398</v>
      </c>
      <c r="C3034" s="1" t="s">
        <v>70</v>
      </c>
      <c r="D3034" s="1">
        <v>1.2</v>
      </c>
      <c r="E3034" s="1">
        <v>23335.0</v>
      </c>
      <c r="F3034" s="10">
        <f t="shared" si="1"/>
        <v>1.666666667</v>
      </c>
      <c r="G3034" s="10">
        <f t="array" ref="G3034">index('Player ID'!C:C,match(E3034,'Player ID'!B:B,0))</f>
        <v>676282</v>
      </c>
    </row>
    <row r="3035">
      <c r="A3035" s="76">
        <v>45770.0</v>
      </c>
      <c r="B3035" s="1" t="s">
        <v>727</v>
      </c>
      <c r="C3035" s="1" t="s">
        <v>70</v>
      </c>
      <c r="D3035" s="1">
        <v>3.0</v>
      </c>
      <c r="E3035" s="1">
        <v>25703.0</v>
      </c>
      <c r="F3035" s="10">
        <f t="shared" si="1"/>
        <v>3</v>
      </c>
      <c r="G3035" s="10">
        <f t="array" ref="G3035">index('Player ID'!C:C,match(E3035,'Player ID'!B:B,0))</f>
        <v>687849</v>
      </c>
    </row>
    <row r="3036">
      <c r="A3036" s="76">
        <v>45770.0</v>
      </c>
      <c r="B3036" s="1" t="s">
        <v>484</v>
      </c>
      <c r="C3036" s="1" t="s">
        <v>70</v>
      </c>
      <c r="D3036" s="1">
        <v>4.1</v>
      </c>
      <c r="E3036" s="1">
        <v>27646.0</v>
      </c>
      <c r="F3036" s="10">
        <f t="shared" si="1"/>
        <v>4.333333333</v>
      </c>
      <c r="G3036" s="10">
        <f t="array" ref="G3036">index('Player ID'!C:C,match(E3036,'Player ID'!B:B,0))</f>
        <v>682847</v>
      </c>
    </row>
    <row r="3037">
      <c r="A3037" s="76">
        <v>45770.0</v>
      </c>
      <c r="B3037" s="1" t="s">
        <v>439</v>
      </c>
      <c r="C3037" s="1" t="s">
        <v>62</v>
      </c>
      <c r="D3037" s="1">
        <v>0.2</v>
      </c>
      <c r="E3037" s="1">
        <v>11384.0</v>
      </c>
      <c r="F3037" s="10">
        <f t="shared" si="1"/>
        <v>0.6666666667</v>
      </c>
      <c r="G3037" s="10">
        <f t="array" ref="G3037">index('Player ID'!C:C,match(E3037,'Player ID'!B:B,0))</f>
        <v>592454</v>
      </c>
    </row>
    <row r="3038">
      <c r="A3038" s="76">
        <v>45770.0</v>
      </c>
      <c r="B3038" s="1" t="s">
        <v>271</v>
      </c>
      <c r="C3038" s="1" t="s">
        <v>26</v>
      </c>
      <c r="D3038" s="1">
        <v>4.1</v>
      </c>
      <c r="E3038" s="1">
        <v>19646.0</v>
      </c>
      <c r="F3038" s="10">
        <f t="shared" si="1"/>
        <v>4.333333333</v>
      </c>
      <c r="G3038" s="10">
        <f t="array" ref="G3038">index('Player ID'!C:C,match(E3038,'Player ID'!B:B,0))</f>
        <v>606996</v>
      </c>
    </row>
    <row r="3039">
      <c r="A3039" s="76">
        <v>45770.0</v>
      </c>
      <c r="B3039" s="1" t="s">
        <v>131</v>
      </c>
      <c r="C3039" s="1" t="s">
        <v>62</v>
      </c>
      <c r="D3039" s="1">
        <v>1.0</v>
      </c>
      <c r="E3039" s="1">
        <v>19769.0</v>
      </c>
      <c r="F3039" s="10">
        <f t="shared" si="1"/>
        <v>1</v>
      </c>
      <c r="G3039" s="10">
        <f t="array" ref="G3039">index('Player ID'!C:C,match(E3039,'Player ID'!B:B,0))</f>
        <v>676684</v>
      </c>
    </row>
    <row r="3040">
      <c r="A3040" s="76">
        <v>45770.0</v>
      </c>
      <c r="B3040" s="1" t="s">
        <v>49</v>
      </c>
      <c r="C3040" s="1" t="s">
        <v>26</v>
      </c>
      <c r="D3040" s="1">
        <v>1.0</v>
      </c>
      <c r="E3040" s="1">
        <v>20039.0</v>
      </c>
      <c r="F3040" s="10">
        <f t="shared" si="1"/>
        <v>1</v>
      </c>
      <c r="G3040" s="10">
        <f t="array" ref="G3040">index('Player ID'!C:C,match(E3040,'Player ID'!B:B,0))</f>
        <v>670970</v>
      </c>
    </row>
    <row r="3041">
      <c r="A3041" s="76">
        <v>45770.0</v>
      </c>
      <c r="B3041" s="1" t="s">
        <v>419</v>
      </c>
      <c r="C3041" s="1" t="s">
        <v>62</v>
      </c>
      <c r="D3041" s="1">
        <v>7.1</v>
      </c>
      <c r="E3041" s="1">
        <v>24968.0</v>
      </c>
      <c r="F3041" s="10">
        <f t="shared" si="1"/>
        <v>7.333333333</v>
      </c>
      <c r="G3041" s="10">
        <f t="array" ref="G3041">index('Player ID'!C:C,match(E3041,'Player ID'!B:B,0))</f>
        <v>681857</v>
      </c>
    </row>
    <row r="3042">
      <c r="A3042" s="76">
        <v>45770.0</v>
      </c>
      <c r="B3042" s="1" t="s">
        <v>391</v>
      </c>
      <c r="C3042" s="1" t="s">
        <v>26</v>
      </c>
      <c r="D3042" s="1">
        <v>1.2</v>
      </c>
      <c r="E3042" s="1">
        <v>29628.0</v>
      </c>
      <c r="F3042" s="10">
        <f t="shared" si="1"/>
        <v>1.666666667</v>
      </c>
      <c r="G3042" s="10">
        <f t="array" ref="G3042">index('Player ID'!C:C,match(E3042,'Player ID'!B:B,0))</f>
        <v>689690</v>
      </c>
    </row>
    <row r="3043">
      <c r="A3043" s="76">
        <v>45770.0</v>
      </c>
      <c r="B3043" s="1" t="s">
        <v>284</v>
      </c>
      <c r="C3043" s="1" t="s">
        <v>26</v>
      </c>
      <c r="D3043" s="1">
        <v>1.0</v>
      </c>
      <c r="E3043" s="1">
        <v>33826.0</v>
      </c>
      <c r="F3043" s="10">
        <f t="shared" si="1"/>
        <v>1</v>
      </c>
      <c r="G3043" s="10">
        <f t="array" ref="G3043">index('Player ID'!C:C,match(E3043,'Player ID'!B:B,0))</f>
        <v>673513</v>
      </c>
    </row>
    <row r="3044">
      <c r="A3044" s="76">
        <v>45770.0</v>
      </c>
      <c r="B3044" s="1" t="s">
        <v>646</v>
      </c>
      <c r="C3044" s="1" t="s">
        <v>51</v>
      </c>
      <c r="D3044" s="1">
        <v>1.0</v>
      </c>
      <c r="E3044" s="1">
        <v>6107.0</v>
      </c>
      <c r="F3044" s="10">
        <f t="shared" si="1"/>
        <v>1</v>
      </c>
      <c r="G3044" s="10">
        <f t="array" ref="G3044">index('Player ID'!C:C,match(E3044,'Player ID'!B:B,0))</f>
        <v>623211</v>
      </c>
    </row>
    <row r="3045">
      <c r="A3045" s="76">
        <v>45770.0</v>
      </c>
      <c r="B3045" s="1" t="s">
        <v>79</v>
      </c>
      <c r="C3045" s="1" t="s">
        <v>45</v>
      </c>
      <c r="D3045" s="1">
        <v>6.0</v>
      </c>
      <c r="E3045" s="1">
        <v>10310.0</v>
      </c>
      <c r="F3045" s="10">
        <f t="shared" si="1"/>
        <v>6</v>
      </c>
      <c r="G3045" s="10">
        <f t="array" ref="G3045">index('Player ID'!C:C,match(E3045,'Player ID'!B:B,0))</f>
        <v>554430</v>
      </c>
    </row>
    <row r="3046">
      <c r="A3046" s="76">
        <v>45770.0</v>
      </c>
      <c r="B3046" s="1" t="s">
        <v>182</v>
      </c>
      <c r="C3046" s="1" t="s">
        <v>45</v>
      </c>
      <c r="D3046" s="1">
        <v>1.0</v>
      </c>
      <c r="E3046" s="1">
        <v>13799.0</v>
      </c>
      <c r="F3046" s="10">
        <f t="shared" si="1"/>
        <v>1</v>
      </c>
      <c r="G3046" s="10">
        <f t="array" ref="G3046">index('Player ID'!C:C,match(E3046,'Player ID'!B:B,0))</f>
        <v>621381</v>
      </c>
    </row>
    <row r="3047">
      <c r="A3047" s="76">
        <v>45770.0</v>
      </c>
      <c r="B3047" s="1" t="s">
        <v>679</v>
      </c>
      <c r="C3047" s="1" t="s">
        <v>51</v>
      </c>
      <c r="D3047" s="1">
        <v>1.1</v>
      </c>
      <c r="E3047" s="1">
        <v>14710.0</v>
      </c>
      <c r="F3047" s="10">
        <f t="shared" si="1"/>
        <v>1.333333333</v>
      </c>
      <c r="G3047" s="10">
        <f t="array" ref="G3047">index('Player ID'!C:C,match(E3047,'Player ID'!B:B,0))</f>
        <v>621242</v>
      </c>
    </row>
    <row r="3048">
      <c r="A3048" s="76">
        <v>45770.0</v>
      </c>
      <c r="B3048" s="1" t="s">
        <v>208</v>
      </c>
      <c r="C3048" s="1" t="s">
        <v>45</v>
      </c>
      <c r="D3048" s="1">
        <v>0.2</v>
      </c>
      <c r="E3048" s="1">
        <v>16122.0</v>
      </c>
      <c r="F3048" s="10">
        <f t="shared" si="1"/>
        <v>0.6666666667</v>
      </c>
      <c r="G3048" s="10">
        <f t="array" ref="G3048">index('Player ID'!C:C,match(E3048,'Player ID'!B:B,0))</f>
        <v>605447</v>
      </c>
    </row>
    <row r="3049">
      <c r="A3049" s="76">
        <v>45770.0</v>
      </c>
      <c r="B3049" s="1" t="s">
        <v>643</v>
      </c>
      <c r="C3049" s="1" t="s">
        <v>45</v>
      </c>
      <c r="D3049" s="1">
        <v>2.0</v>
      </c>
      <c r="E3049" s="1">
        <v>17780.0</v>
      </c>
      <c r="F3049" s="10">
        <f t="shared" si="1"/>
        <v>2</v>
      </c>
      <c r="G3049" s="10">
        <f t="array" ref="G3049">index('Player ID'!C:C,match(E3049,'Player ID'!B:B,0))</f>
        <v>621237</v>
      </c>
    </row>
    <row r="3050">
      <c r="A3050" s="76">
        <v>45770.0</v>
      </c>
      <c r="B3050" s="1" t="s">
        <v>647</v>
      </c>
      <c r="C3050" s="1" t="s">
        <v>51</v>
      </c>
      <c r="D3050" s="1">
        <v>0.2</v>
      </c>
      <c r="E3050" s="1">
        <v>18439.0</v>
      </c>
      <c r="F3050" s="10">
        <f t="shared" si="1"/>
        <v>0.6666666667</v>
      </c>
      <c r="G3050" s="10">
        <f t="array" ref="G3050">index('Player ID'!C:C,match(E3050,'Player ID'!B:B,0))</f>
        <v>664849</v>
      </c>
    </row>
    <row r="3051">
      <c r="A3051" s="76">
        <v>45770.0</v>
      </c>
      <c r="B3051" s="1" t="s">
        <v>307</v>
      </c>
      <c r="C3051" s="1" t="s">
        <v>51</v>
      </c>
      <c r="D3051" s="1">
        <v>5.1</v>
      </c>
      <c r="E3051" s="1">
        <v>20302.0</v>
      </c>
      <c r="F3051" s="10">
        <f t="shared" si="1"/>
        <v>5.333333333</v>
      </c>
      <c r="G3051" s="10">
        <f t="array" ref="G3051">index('Player ID'!C:C,match(E3051,'Player ID'!B:B,0))</f>
        <v>656849</v>
      </c>
    </row>
    <row r="3052">
      <c r="A3052" s="76">
        <v>45770.0</v>
      </c>
      <c r="B3052" s="1" t="s">
        <v>50</v>
      </c>
      <c r="C3052" s="1" t="s">
        <v>51</v>
      </c>
      <c r="D3052" s="1">
        <v>0.2</v>
      </c>
      <c r="E3052" s="1">
        <v>22175.0</v>
      </c>
      <c r="F3052" s="10">
        <f t="shared" si="1"/>
        <v>0.6666666667</v>
      </c>
      <c r="G3052" s="10">
        <f t="array" ref="G3052">index('Player ID'!C:C,match(E3052,'Player ID'!B:B,0))</f>
        <v>668820</v>
      </c>
    </row>
    <row r="3053">
      <c r="A3053" s="76">
        <v>45770.0</v>
      </c>
      <c r="B3053" s="1" t="s">
        <v>712</v>
      </c>
      <c r="C3053" s="1" t="s">
        <v>51</v>
      </c>
      <c r="D3053" s="1">
        <v>1.0</v>
      </c>
      <c r="E3053" s="1">
        <v>23313.0</v>
      </c>
      <c r="F3053" s="10">
        <f t="shared" si="1"/>
        <v>1</v>
      </c>
      <c r="G3053" s="10">
        <f t="array" ref="G3053">index('Player ID'!C:C,match(E3053,'Player ID'!B:B,0))</f>
        <v>676130</v>
      </c>
    </row>
    <row r="3054">
      <c r="A3054" s="76">
        <v>45770.0</v>
      </c>
      <c r="B3054" s="1" t="s">
        <v>651</v>
      </c>
      <c r="C3054" s="1" t="s">
        <v>66</v>
      </c>
      <c r="D3054" s="1">
        <v>1.0</v>
      </c>
      <c r="E3054" s="1">
        <v>14771.0</v>
      </c>
      <c r="F3054" s="10">
        <f t="shared" si="1"/>
        <v>1</v>
      </c>
      <c r="G3054" s="10">
        <f t="array" ref="G3054">index('Player ID'!C:C,match(E3054,'Player ID'!B:B,0))</f>
        <v>641941</v>
      </c>
    </row>
    <row r="3055">
      <c r="A3055" s="76">
        <v>45770.0</v>
      </c>
      <c r="B3055" s="1" t="s">
        <v>653</v>
      </c>
      <c r="C3055" s="1" t="s">
        <v>66</v>
      </c>
      <c r="D3055" s="1">
        <v>1.0</v>
      </c>
      <c r="E3055" s="1">
        <v>17871.0</v>
      </c>
      <c r="F3055" s="10">
        <f t="shared" si="1"/>
        <v>1</v>
      </c>
      <c r="G3055" s="10">
        <f t="array" ref="G3055">index('Player ID'!C:C,match(E3055,'Player ID'!B:B,0))</f>
        <v>664139</v>
      </c>
    </row>
    <row r="3056">
      <c r="A3056" s="76">
        <v>45770.0</v>
      </c>
      <c r="B3056" s="1" t="s">
        <v>229</v>
      </c>
      <c r="C3056" s="1" t="s">
        <v>36</v>
      </c>
      <c r="D3056" s="1">
        <v>6.0</v>
      </c>
      <c r="E3056" s="1">
        <v>18684.0</v>
      </c>
      <c r="F3056" s="10">
        <f t="shared" si="1"/>
        <v>6</v>
      </c>
      <c r="G3056" s="10">
        <f t="array" ref="G3056">index('Player ID'!C:C,match(E3056,'Player ID'!B:B,0))</f>
        <v>645261</v>
      </c>
    </row>
    <row r="3057">
      <c r="A3057" s="76">
        <v>45770.0</v>
      </c>
      <c r="B3057" s="1" t="s">
        <v>345</v>
      </c>
      <c r="C3057" s="1" t="s">
        <v>66</v>
      </c>
      <c r="D3057" s="1">
        <v>1.0</v>
      </c>
      <c r="E3057" s="1">
        <v>19926.0</v>
      </c>
      <c r="F3057" s="10">
        <f t="shared" si="1"/>
        <v>1</v>
      </c>
      <c r="G3057" s="10">
        <f t="array" ref="G3057">index('Player ID'!C:C,match(E3057,'Player ID'!B:B,0))</f>
        <v>663574</v>
      </c>
    </row>
    <row r="3058">
      <c r="A3058" s="76">
        <v>45770.0</v>
      </c>
      <c r="B3058" s="1" t="s">
        <v>469</v>
      </c>
      <c r="C3058" s="1" t="s">
        <v>36</v>
      </c>
      <c r="D3058" s="1">
        <v>1.2</v>
      </c>
      <c r="E3058" s="1">
        <v>21863.0</v>
      </c>
      <c r="F3058" s="10">
        <f t="shared" si="1"/>
        <v>1.666666667</v>
      </c>
      <c r="G3058" s="10">
        <f t="array" ref="G3058">index('Player ID'!C:C,match(E3058,'Player ID'!B:B,0))</f>
        <v>666277</v>
      </c>
    </row>
    <row r="3059">
      <c r="A3059" s="76">
        <v>45770.0</v>
      </c>
      <c r="B3059" s="1" t="s">
        <v>123</v>
      </c>
      <c r="C3059" s="1" t="s">
        <v>36</v>
      </c>
      <c r="D3059" s="1">
        <v>1.0</v>
      </c>
      <c r="E3059" s="1">
        <v>24094.0</v>
      </c>
      <c r="F3059" s="10">
        <f t="shared" si="1"/>
        <v>1</v>
      </c>
      <c r="G3059" s="10">
        <f t="array" ref="G3059">index('Player ID'!C:C,match(E3059,'Player ID'!B:B,0))</f>
        <v>678692</v>
      </c>
    </row>
    <row r="3060">
      <c r="A3060" s="76">
        <v>45770.0</v>
      </c>
      <c r="B3060" s="1" t="s">
        <v>353</v>
      </c>
      <c r="C3060" s="1" t="s">
        <v>66</v>
      </c>
      <c r="D3060" s="1">
        <v>6.0</v>
      </c>
      <c r="E3060" s="1">
        <v>25377.0</v>
      </c>
      <c r="F3060" s="10">
        <f t="shared" si="1"/>
        <v>6</v>
      </c>
      <c r="G3060" s="10">
        <f t="array" ref="G3060">index('Player ID'!C:C,match(E3060,'Player ID'!B:B,0))</f>
        <v>663903</v>
      </c>
    </row>
    <row r="3061">
      <c r="A3061" s="76">
        <v>45770.0</v>
      </c>
      <c r="B3061" s="1" t="s">
        <v>676</v>
      </c>
      <c r="C3061" s="1" t="s">
        <v>36</v>
      </c>
      <c r="D3061" s="1">
        <v>0.1</v>
      </c>
      <c r="E3061" s="1">
        <v>27453.0</v>
      </c>
      <c r="F3061" s="10">
        <f t="shared" si="1"/>
        <v>0.3333333333</v>
      </c>
      <c r="G3061" s="10">
        <f t="array" ref="G3061">index('Player ID'!C:C,match(E3061,'Player ID'!B:B,0))</f>
        <v>685107</v>
      </c>
    </row>
    <row r="3062">
      <c r="A3062" s="76">
        <v>45770.0</v>
      </c>
      <c r="B3062" s="1" t="s">
        <v>493</v>
      </c>
      <c r="C3062" s="1" t="s">
        <v>22</v>
      </c>
      <c r="D3062" s="1">
        <v>1.0</v>
      </c>
      <c r="E3062" s="1">
        <v>16835.0</v>
      </c>
      <c r="F3062" s="10">
        <f t="shared" si="1"/>
        <v>1</v>
      </c>
      <c r="G3062" s="10">
        <f t="array" ref="G3062">index('Player ID'!C:C,match(E3062,'Player ID'!B:B,0))</f>
        <v>657514</v>
      </c>
    </row>
    <row r="3063">
      <c r="A3063" s="76">
        <v>45770.0</v>
      </c>
      <c r="B3063" s="1" t="s">
        <v>415</v>
      </c>
      <c r="C3063" s="1" t="s">
        <v>22</v>
      </c>
      <c r="D3063" s="1">
        <v>5.0</v>
      </c>
      <c r="E3063" s="1">
        <v>16943.0</v>
      </c>
      <c r="F3063" s="10">
        <f t="shared" si="1"/>
        <v>5</v>
      </c>
      <c r="G3063" s="10">
        <f t="array" ref="G3063">index('Player ID'!C:C,match(E3063,'Player ID'!B:B,0))</f>
        <v>656794</v>
      </c>
    </row>
    <row r="3064">
      <c r="A3064" s="76">
        <v>45770.0</v>
      </c>
      <c r="B3064" s="1" t="s">
        <v>53</v>
      </c>
      <c r="C3064" s="1" t="s">
        <v>37</v>
      </c>
      <c r="D3064" s="1">
        <v>1.0</v>
      </c>
      <c r="E3064" s="1">
        <v>17170.0</v>
      </c>
      <c r="F3064" s="10">
        <f t="shared" si="1"/>
        <v>1</v>
      </c>
      <c r="G3064" s="10">
        <f t="array" ref="G3064">index('Player ID'!C:C,match(E3064,'Player ID'!B:B,0))</f>
        <v>642100</v>
      </c>
    </row>
    <row r="3065">
      <c r="A3065" s="76">
        <v>45770.0</v>
      </c>
      <c r="B3065" s="1" t="s">
        <v>670</v>
      </c>
      <c r="C3065" s="1" t="s">
        <v>37</v>
      </c>
      <c r="D3065" s="1">
        <v>1.0</v>
      </c>
      <c r="E3065" s="1">
        <v>20373.0</v>
      </c>
      <c r="F3065" s="10">
        <f t="shared" si="1"/>
        <v>1</v>
      </c>
      <c r="G3065" s="10">
        <f t="array" ref="G3065">index('Player ID'!C:C,match(E3065,'Player ID'!B:B,0))</f>
        <v>662253</v>
      </c>
    </row>
    <row r="3066">
      <c r="A3066" s="76">
        <v>45770.0</v>
      </c>
      <c r="B3066" s="1" t="s">
        <v>600</v>
      </c>
      <c r="C3066" s="1" t="s">
        <v>22</v>
      </c>
      <c r="D3066" s="1">
        <v>3.0</v>
      </c>
      <c r="E3066" s="1">
        <v>22387.0</v>
      </c>
      <c r="F3066" s="10">
        <f t="shared" si="1"/>
        <v>3</v>
      </c>
      <c r="G3066" s="10">
        <f t="array" ref="G3066">index('Player ID'!C:C,match(E3066,'Player ID'!B:B,0))</f>
        <v>670174</v>
      </c>
    </row>
    <row r="3067">
      <c r="A3067" s="76">
        <v>45770.0</v>
      </c>
      <c r="B3067" s="1" t="s">
        <v>340</v>
      </c>
      <c r="C3067" s="1" t="s">
        <v>37</v>
      </c>
      <c r="D3067" s="1">
        <v>1.0</v>
      </c>
      <c r="E3067" s="1">
        <v>25921.0</v>
      </c>
      <c r="F3067" s="10">
        <f t="shared" si="1"/>
        <v>1</v>
      </c>
      <c r="G3067" s="10">
        <f t="array" ref="G3067">index('Player ID'!C:C,match(E3067,'Player ID'!B:B,0))</f>
        <v>668984</v>
      </c>
    </row>
    <row r="3068">
      <c r="A3068" s="76">
        <v>45770.0</v>
      </c>
      <c r="B3068" s="1" t="s">
        <v>509</v>
      </c>
      <c r="C3068" s="1" t="s">
        <v>37</v>
      </c>
      <c r="D3068" s="1">
        <v>6.0</v>
      </c>
      <c r="E3068" s="1">
        <v>27470.0</v>
      </c>
      <c r="F3068" s="10">
        <f t="shared" si="1"/>
        <v>6</v>
      </c>
      <c r="G3068" s="10">
        <f t="array" ref="G3068">index('Player ID'!C:C,match(E3068,'Player ID'!B:B,0))</f>
        <v>676106</v>
      </c>
    </row>
    <row r="3069">
      <c r="A3069" s="76">
        <v>45770.0</v>
      </c>
      <c r="B3069" s="1" t="s">
        <v>719</v>
      </c>
      <c r="C3069" s="1" t="s">
        <v>80</v>
      </c>
      <c r="D3069" s="1">
        <v>1.2</v>
      </c>
      <c r="E3069" s="1">
        <v>14527.0</v>
      </c>
      <c r="F3069" s="10">
        <f t="shared" si="1"/>
        <v>1.666666667</v>
      </c>
      <c r="G3069" s="10">
        <f t="array" ref="G3069">index('Player ID'!C:C,match(E3069,'Player ID'!B:B,0))</f>
        <v>605347</v>
      </c>
    </row>
    <row r="3070">
      <c r="A3070" s="76">
        <v>45770.0</v>
      </c>
      <c r="B3070" s="1" t="s">
        <v>139</v>
      </c>
      <c r="C3070" s="1" t="s">
        <v>80</v>
      </c>
      <c r="D3070" s="1">
        <v>1.0</v>
      </c>
      <c r="E3070" s="1">
        <v>15009.0</v>
      </c>
      <c r="F3070" s="10">
        <f t="shared" si="1"/>
        <v>1</v>
      </c>
      <c r="G3070" s="10">
        <f t="array" ref="G3070">index('Player ID'!C:C,match(E3070,'Player ID'!B:B,0))</f>
        <v>640448</v>
      </c>
    </row>
    <row r="3071">
      <c r="A3071" s="76">
        <v>45770.0</v>
      </c>
      <c r="B3071" s="1" t="s">
        <v>148</v>
      </c>
      <c r="C3071" s="1" t="s">
        <v>80</v>
      </c>
      <c r="D3071" s="1">
        <v>5.0</v>
      </c>
      <c r="E3071" s="1">
        <v>16977.0</v>
      </c>
      <c r="F3071" s="10">
        <f t="shared" si="1"/>
        <v>5</v>
      </c>
      <c r="G3071" s="10">
        <f t="array" ref="G3071">index('Player ID'!C:C,match(E3071,'Player ID'!B:B,0))</f>
        <v>592866</v>
      </c>
    </row>
    <row r="3072">
      <c r="A3072" s="76">
        <v>45770.0</v>
      </c>
      <c r="B3072" s="1" t="s">
        <v>433</v>
      </c>
      <c r="C3072" s="1" t="s">
        <v>68</v>
      </c>
      <c r="D3072" s="1">
        <v>1.0</v>
      </c>
      <c r="E3072" s="1">
        <v>19677.0</v>
      </c>
      <c r="F3072" s="10">
        <f t="shared" si="1"/>
        <v>1</v>
      </c>
      <c r="G3072" s="10">
        <f t="array" ref="G3072">index('Player ID'!C:C,match(E3072,'Player ID'!B:B,0))</f>
        <v>642397</v>
      </c>
    </row>
    <row r="3073">
      <c r="A3073" s="76">
        <v>45770.0</v>
      </c>
      <c r="B3073" s="1" t="s">
        <v>86</v>
      </c>
      <c r="C3073" s="1" t="s">
        <v>80</v>
      </c>
      <c r="D3073" s="1">
        <v>0.1</v>
      </c>
      <c r="E3073" s="1">
        <v>24017.0</v>
      </c>
      <c r="F3073" s="10">
        <f t="shared" si="1"/>
        <v>0.3333333333</v>
      </c>
      <c r="G3073" s="10">
        <f t="array" ref="G3073">index('Player ID'!C:C,match(E3073,'Player ID'!B:B,0))</f>
        <v>678606</v>
      </c>
    </row>
    <row r="3074">
      <c r="A3074" s="76">
        <v>45770.0</v>
      </c>
      <c r="B3074" s="1" t="s">
        <v>511</v>
      </c>
      <c r="C3074" s="1" t="s">
        <v>80</v>
      </c>
      <c r="D3074" s="1">
        <v>1.0</v>
      </c>
      <c r="E3074" s="1">
        <v>26215.0</v>
      </c>
      <c r="F3074" s="10">
        <f t="shared" si="1"/>
        <v>1</v>
      </c>
      <c r="G3074" s="10">
        <f t="array" ref="G3074">index('Player ID'!C:C,match(E3074,'Player ID'!B:B,0))</f>
        <v>671131</v>
      </c>
    </row>
    <row r="3075">
      <c r="A3075" s="76">
        <v>45770.0</v>
      </c>
      <c r="B3075" s="1" t="s">
        <v>158</v>
      </c>
      <c r="C3075" s="1" t="s">
        <v>68</v>
      </c>
      <c r="D3075" s="1">
        <v>7.0</v>
      </c>
      <c r="E3075" s="1">
        <v>35321.0</v>
      </c>
      <c r="F3075" s="10">
        <f t="shared" si="1"/>
        <v>7</v>
      </c>
      <c r="G3075" s="10">
        <f t="array" ref="G3075">index('Player ID'!C:C,match(E3075,'Player ID'!B:B,0))</f>
        <v>608372</v>
      </c>
    </row>
    <row r="3076">
      <c r="A3076" s="76">
        <v>45770.0</v>
      </c>
      <c r="B3076" s="1" t="s">
        <v>595</v>
      </c>
      <c r="C3076" s="1" t="s">
        <v>33</v>
      </c>
      <c r="D3076" s="1">
        <v>1.0</v>
      </c>
      <c r="E3076" s="1">
        <v>6984.0</v>
      </c>
      <c r="F3076" s="10">
        <f t="shared" si="1"/>
        <v>1</v>
      </c>
      <c r="G3076" s="10">
        <f t="array" ref="G3076">index('Player ID'!C:C,match(E3076,'Player ID'!B:B,0))</f>
        <v>472610</v>
      </c>
    </row>
    <row r="3077">
      <c r="A3077" s="76">
        <v>45770.0</v>
      </c>
      <c r="B3077" s="1" t="s">
        <v>392</v>
      </c>
      <c r="C3077" s="1" t="s">
        <v>33</v>
      </c>
      <c r="D3077" s="1">
        <v>1.0</v>
      </c>
      <c r="E3077" s="1">
        <v>9073.0</v>
      </c>
      <c r="F3077" s="10">
        <f t="shared" si="1"/>
        <v>1</v>
      </c>
      <c r="G3077" s="10">
        <f t="array" ref="G3077">index('Player ID'!C:C,match(E3077,'Player ID'!B:B,0))</f>
        <v>489446</v>
      </c>
    </row>
    <row r="3078">
      <c r="A3078" s="76">
        <v>45770.0</v>
      </c>
      <c r="B3078" s="1" t="s">
        <v>310</v>
      </c>
      <c r="C3078" s="1" t="s">
        <v>33</v>
      </c>
      <c r="D3078" s="1">
        <v>0.2</v>
      </c>
      <c r="E3078" s="1">
        <v>14706.0</v>
      </c>
      <c r="F3078" s="10">
        <f t="shared" si="1"/>
        <v>0.6666666667</v>
      </c>
      <c r="G3078" s="10">
        <f t="array" ref="G3078">index('Player ID'!C:C,match(E3078,'Player ID'!B:B,0))</f>
        <v>607455</v>
      </c>
    </row>
    <row r="3079">
      <c r="A3079" s="76">
        <v>45770.0</v>
      </c>
      <c r="B3079" s="1" t="s">
        <v>246</v>
      </c>
      <c r="C3079" s="1" t="s">
        <v>34</v>
      </c>
      <c r="D3079" s="1">
        <v>6.0</v>
      </c>
      <c r="E3079" s="1">
        <v>15440.0</v>
      </c>
      <c r="F3079" s="10">
        <f t="shared" si="1"/>
        <v>6</v>
      </c>
      <c r="G3079" s="10">
        <f t="array" ref="G3079">index('Player ID'!C:C,match(E3079,'Player ID'!B:B,0))</f>
        <v>571510</v>
      </c>
    </row>
    <row r="3080">
      <c r="A3080" s="76">
        <v>45770.0</v>
      </c>
      <c r="B3080" s="1" t="s">
        <v>632</v>
      </c>
      <c r="C3080" s="1" t="s">
        <v>34</v>
      </c>
      <c r="D3080" s="1">
        <v>1.0</v>
      </c>
      <c r="E3080" s="1">
        <v>16703.0</v>
      </c>
      <c r="F3080" s="10">
        <f t="shared" si="1"/>
        <v>1</v>
      </c>
      <c r="G3080" s="10">
        <f t="array" ref="G3080">index('Player ID'!C:C,match(E3080,'Player ID'!B:B,0))</f>
        <v>657240</v>
      </c>
    </row>
    <row r="3081">
      <c r="A3081" s="76">
        <v>45770.0</v>
      </c>
      <c r="B3081" s="1" t="s">
        <v>694</v>
      </c>
      <c r="C3081" s="1" t="s">
        <v>33</v>
      </c>
      <c r="D3081" s="1">
        <v>1.0</v>
      </c>
      <c r="E3081" s="1">
        <v>17734.0</v>
      </c>
      <c r="F3081" s="10">
        <f t="shared" si="1"/>
        <v>1</v>
      </c>
      <c r="G3081" s="10">
        <f t="array" ref="G3081">index('Player ID'!C:C,match(E3081,'Player ID'!B:B,0))</f>
        <v>623465</v>
      </c>
    </row>
    <row r="3082">
      <c r="A3082" s="76">
        <v>45770.0</v>
      </c>
      <c r="B3082" s="1" t="s">
        <v>816</v>
      </c>
      <c r="C3082" s="1" t="s">
        <v>33</v>
      </c>
      <c r="D3082" s="1">
        <v>0.2</v>
      </c>
      <c r="E3082" s="1">
        <v>25862.0</v>
      </c>
      <c r="F3082" s="10">
        <f t="shared" si="1"/>
        <v>0.6666666667</v>
      </c>
      <c r="G3082" s="10">
        <f t="array" ref="G3082">index('Player ID'!C:C,match(E3082,'Player ID'!B:B,0))</f>
        <v>663562</v>
      </c>
    </row>
    <row r="3083">
      <c r="A3083" s="76">
        <v>45770.0</v>
      </c>
      <c r="B3083" s="1" t="s">
        <v>388</v>
      </c>
      <c r="C3083" s="1" t="s">
        <v>34</v>
      </c>
      <c r="D3083" s="1">
        <v>1.0</v>
      </c>
      <c r="E3083" s="1">
        <v>26413.0</v>
      </c>
      <c r="F3083" s="10">
        <f t="shared" si="1"/>
        <v>1</v>
      </c>
      <c r="G3083" s="10">
        <f t="array" ref="G3083">index('Player ID'!C:C,match(E3083,'Player ID'!B:B,0))</f>
        <v>687863</v>
      </c>
    </row>
    <row r="3084">
      <c r="A3084" s="76">
        <v>45770.0</v>
      </c>
      <c r="B3084" s="1" t="s">
        <v>167</v>
      </c>
      <c r="C3084" s="1" t="s">
        <v>34</v>
      </c>
      <c r="D3084" s="1">
        <v>1.0</v>
      </c>
      <c r="E3084" s="1">
        <v>27914.0</v>
      </c>
      <c r="F3084" s="10">
        <f t="shared" si="1"/>
        <v>1</v>
      </c>
      <c r="G3084" s="10">
        <f t="array" ref="G3084">index('Player ID'!C:C,match(E3084,'Player ID'!B:B,0))</f>
        <v>694037</v>
      </c>
    </row>
    <row r="3085">
      <c r="A3085" s="76">
        <v>45770.0</v>
      </c>
      <c r="B3085" s="1" t="s">
        <v>104</v>
      </c>
      <c r="C3085" s="1" t="s">
        <v>33</v>
      </c>
      <c r="D3085" s="1">
        <v>2.2</v>
      </c>
      <c r="E3085" s="1">
        <v>30085.0</v>
      </c>
      <c r="F3085" s="10">
        <f t="shared" si="1"/>
        <v>2.666666667</v>
      </c>
      <c r="G3085" s="10">
        <f t="array" ref="G3085">index('Player ID'!C:C,match(E3085,'Player ID'!B:B,0))</f>
        <v>676508</v>
      </c>
    </row>
    <row r="3086">
      <c r="A3086" s="76">
        <v>45770.0</v>
      </c>
      <c r="B3086" s="1" t="s">
        <v>206</v>
      </c>
      <c r="C3086" s="1" t="s">
        <v>33</v>
      </c>
      <c r="D3086" s="1">
        <v>1.0</v>
      </c>
      <c r="E3086" s="1">
        <v>30249.0</v>
      </c>
      <c r="F3086" s="10">
        <f t="shared" si="1"/>
        <v>1</v>
      </c>
      <c r="G3086" s="10">
        <f t="array" ref="G3086">index('Player ID'!C:C,match(E3086,'Player ID'!B:B,0))</f>
        <v>676263</v>
      </c>
    </row>
    <row r="3087">
      <c r="A3087" s="76">
        <v>45770.0</v>
      </c>
      <c r="B3087" s="1" t="s">
        <v>673</v>
      </c>
      <c r="C3087" s="1" t="s">
        <v>40</v>
      </c>
      <c r="D3087" s="1">
        <v>1.0</v>
      </c>
      <c r="E3087" s="1">
        <v>12095.0</v>
      </c>
      <c r="F3087" s="10">
        <f t="shared" si="1"/>
        <v>1</v>
      </c>
      <c r="G3087" s="10">
        <f t="array" ref="G3087">index('Player ID'!C:C,match(E3087,'Player ID'!B:B,0))</f>
        <v>554340</v>
      </c>
    </row>
    <row r="3088">
      <c r="A3088" s="76">
        <v>45770.0</v>
      </c>
      <c r="B3088" s="1" t="s">
        <v>59</v>
      </c>
      <c r="C3088" s="1" t="s">
        <v>39</v>
      </c>
      <c r="D3088" s="1">
        <v>1.0</v>
      </c>
      <c r="E3088" s="1">
        <v>14212.0</v>
      </c>
      <c r="F3088" s="10">
        <f t="shared" si="1"/>
        <v>1</v>
      </c>
      <c r="G3088" s="10">
        <f t="array" ref="G3088">index('Player ID'!C:C,match(E3088,'Player ID'!B:B,0))</f>
        <v>623352</v>
      </c>
    </row>
    <row r="3089">
      <c r="A3089" s="76">
        <v>45770.0</v>
      </c>
      <c r="B3089" s="1" t="s">
        <v>174</v>
      </c>
      <c r="C3089" s="1" t="s">
        <v>40</v>
      </c>
      <c r="D3089" s="1">
        <v>1.1</v>
      </c>
      <c r="E3089" s="1">
        <v>15552.0</v>
      </c>
      <c r="F3089" s="10">
        <f t="shared" si="1"/>
        <v>1.333333333</v>
      </c>
      <c r="G3089" s="10">
        <f t="array" ref="G3089">index('Player ID'!C:C,match(E3089,'Player ID'!B:B,0))</f>
        <v>643338</v>
      </c>
    </row>
    <row r="3090">
      <c r="A3090" s="76">
        <v>45770.0</v>
      </c>
      <c r="B3090" s="1" t="s">
        <v>210</v>
      </c>
      <c r="C3090" s="1" t="s">
        <v>39</v>
      </c>
      <c r="D3090" s="1">
        <v>1.0</v>
      </c>
      <c r="E3090" s="1">
        <v>16609.0</v>
      </c>
      <c r="F3090" s="10">
        <f t="shared" si="1"/>
        <v>1</v>
      </c>
      <c r="G3090" s="10">
        <f t="array" ref="G3090">index('Player ID'!C:C,match(E3090,'Player ID'!B:B,0))</f>
        <v>650556</v>
      </c>
    </row>
    <row r="3091">
      <c r="A3091" s="76">
        <v>45770.0</v>
      </c>
      <c r="B3091" s="1" t="s">
        <v>311</v>
      </c>
      <c r="C3091" s="1" t="s">
        <v>40</v>
      </c>
      <c r="D3091" s="1">
        <v>1.0</v>
      </c>
      <c r="E3091" s="1">
        <v>17432.0</v>
      </c>
      <c r="F3091" s="10">
        <f t="shared" si="1"/>
        <v>1</v>
      </c>
      <c r="G3091" s="10">
        <f t="array" ref="G3091">index('Player ID'!C:C,match(E3091,'Player ID'!B:B,0))</f>
        <v>656546</v>
      </c>
    </row>
    <row r="3092">
      <c r="A3092" s="76">
        <v>45770.0</v>
      </c>
      <c r="B3092" s="1" t="s">
        <v>428</v>
      </c>
      <c r="C3092" s="1" t="s">
        <v>40</v>
      </c>
      <c r="D3092" s="1">
        <v>4.2</v>
      </c>
      <c r="E3092" s="1">
        <v>20548.0</v>
      </c>
      <c r="F3092" s="10">
        <f t="shared" si="1"/>
        <v>4.666666667</v>
      </c>
      <c r="G3092" s="10">
        <f t="array" ref="G3092">index('Player ID'!C:C,match(E3092,'Player ID'!B:B,0))</f>
        <v>670102</v>
      </c>
    </row>
    <row r="3093">
      <c r="A3093" s="76">
        <v>45770.0</v>
      </c>
      <c r="B3093" s="1" t="s">
        <v>76</v>
      </c>
      <c r="C3093" s="1" t="s">
        <v>39</v>
      </c>
      <c r="D3093" s="1">
        <v>1.1</v>
      </c>
      <c r="E3093" s="1">
        <v>25890.0</v>
      </c>
      <c r="F3093" s="10">
        <f t="shared" si="1"/>
        <v>1.333333333</v>
      </c>
      <c r="G3093" s="10">
        <f t="array" ref="G3093">index('Player ID'!C:C,match(E3093,'Player ID'!B:B,0))</f>
        <v>687911</v>
      </c>
    </row>
    <row r="3094">
      <c r="A3094" s="76">
        <v>45770.0</v>
      </c>
      <c r="B3094" s="1" t="s">
        <v>228</v>
      </c>
      <c r="C3094" s="1" t="s">
        <v>39</v>
      </c>
      <c r="D3094" s="1">
        <v>5.2</v>
      </c>
      <c r="E3094" s="1">
        <v>26440.0</v>
      </c>
      <c r="F3094" s="10">
        <f t="shared" si="1"/>
        <v>5.666666667</v>
      </c>
      <c r="G3094" s="10">
        <f t="array" ref="G3094">index('Player ID'!C:C,match(E3094,'Player ID'!B:B,0))</f>
        <v>687473</v>
      </c>
    </row>
    <row r="3095">
      <c r="A3095" s="76">
        <v>45770.0</v>
      </c>
      <c r="B3095" s="1" t="s">
        <v>435</v>
      </c>
      <c r="C3095" s="1" t="s">
        <v>16</v>
      </c>
      <c r="D3095" s="1">
        <v>1.0</v>
      </c>
      <c r="E3095" s="1">
        <v>13293.0</v>
      </c>
      <c r="F3095" s="10">
        <f t="shared" si="1"/>
        <v>1</v>
      </c>
      <c r="G3095" s="10">
        <f t="array" ref="G3095">index('Player ID'!C:C,match(E3095,'Player ID'!B:B,0))</f>
        <v>543056</v>
      </c>
    </row>
    <row r="3096">
      <c r="A3096" s="76">
        <v>45770.0</v>
      </c>
      <c r="B3096" s="1" t="s">
        <v>146</v>
      </c>
      <c r="C3096" s="1" t="s">
        <v>16</v>
      </c>
      <c r="D3096" s="1">
        <v>1.0</v>
      </c>
      <c r="E3096" s="1">
        <v>15145.0</v>
      </c>
      <c r="F3096" s="10">
        <f t="shared" si="1"/>
        <v>1</v>
      </c>
      <c r="G3096" s="10">
        <f t="array" ref="G3096">index('Player ID'!C:C,match(E3096,'Player ID'!B:B,0))</f>
        <v>623437</v>
      </c>
    </row>
    <row r="3097">
      <c r="A3097" s="76">
        <v>45770.0</v>
      </c>
      <c r="B3097" s="1" t="s">
        <v>252</v>
      </c>
      <c r="C3097" s="1" t="s">
        <v>78</v>
      </c>
      <c r="D3097" s="1">
        <v>0.2</v>
      </c>
      <c r="E3097" s="1">
        <v>16061.0</v>
      </c>
      <c r="F3097" s="10">
        <f t="shared" si="1"/>
        <v>0.6666666667</v>
      </c>
      <c r="G3097" s="10">
        <f t="array" ref="G3097">index('Player ID'!C:C,match(E3097,'Player ID'!B:B,0))</f>
        <v>592155</v>
      </c>
    </row>
    <row r="3098">
      <c r="A3098" s="76">
        <v>45770.0</v>
      </c>
      <c r="B3098" s="1" t="s">
        <v>249</v>
      </c>
      <c r="C3098" s="1" t="s">
        <v>16</v>
      </c>
      <c r="D3098" s="1">
        <v>1.0</v>
      </c>
      <c r="E3098" s="1">
        <v>16727.0</v>
      </c>
      <c r="F3098" s="10">
        <f t="shared" si="1"/>
        <v>1</v>
      </c>
      <c r="G3098" s="10">
        <f t="array" ref="G3098">index('Player ID'!C:C,match(E3098,'Player ID'!B:B,0))</f>
        <v>592779</v>
      </c>
    </row>
    <row r="3099">
      <c r="A3099" s="76">
        <v>45770.0</v>
      </c>
      <c r="B3099" s="1" t="s">
        <v>387</v>
      </c>
      <c r="C3099" s="1" t="s">
        <v>78</v>
      </c>
      <c r="D3099" s="1">
        <v>2.2</v>
      </c>
      <c r="E3099" s="1">
        <v>19990.0</v>
      </c>
      <c r="F3099" s="10">
        <f t="shared" si="1"/>
        <v>2.666666667</v>
      </c>
      <c r="G3099" s="10">
        <f t="array" ref="G3099">index('Player ID'!C:C,match(E3099,'Player ID'!B:B,0))</f>
        <v>669060</v>
      </c>
    </row>
    <row r="3100">
      <c r="A3100" s="76">
        <v>45770.0</v>
      </c>
      <c r="B3100" s="1" t="s">
        <v>28</v>
      </c>
      <c r="C3100" s="1" t="s">
        <v>16</v>
      </c>
      <c r="D3100" s="1">
        <v>1.0</v>
      </c>
      <c r="E3100" s="1">
        <v>20253.0</v>
      </c>
      <c r="F3100" s="10">
        <f t="shared" si="1"/>
        <v>1</v>
      </c>
      <c r="G3100" s="10">
        <f t="array" ref="G3100">index('Player ID'!C:C,match(E3100,'Player ID'!B:B,0))</f>
        <v>643377</v>
      </c>
    </row>
    <row r="3101">
      <c r="A3101" s="76">
        <v>45770.0</v>
      </c>
      <c r="B3101" s="1" t="s">
        <v>116</v>
      </c>
      <c r="C3101" s="1" t="s">
        <v>78</v>
      </c>
      <c r="D3101" s="1">
        <v>1.0</v>
      </c>
      <c r="E3101" s="1">
        <v>20353.0</v>
      </c>
      <c r="F3101" s="10">
        <f t="shared" si="1"/>
        <v>1</v>
      </c>
      <c r="G3101" s="10">
        <f t="array" ref="G3101">index('Player ID'!C:C,match(E3101,'Player ID'!B:B,0))</f>
        <v>621051</v>
      </c>
    </row>
    <row r="3102">
      <c r="A3102" s="76">
        <v>45770.0</v>
      </c>
      <c r="B3102" s="1" t="s">
        <v>237</v>
      </c>
      <c r="C3102" s="1" t="s">
        <v>16</v>
      </c>
      <c r="D3102" s="1">
        <v>1.0</v>
      </c>
      <c r="E3102" s="1">
        <v>21461.0</v>
      </c>
      <c r="F3102" s="10">
        <f t="shared" si="1"/>
        <v>1</v>
      </c>
      <c r="G3102" s="10">
        <f t="array" ref="G3102">index('Player ID'!C:C,match(E3102,'Player ID'!B:B,0))</f>
        <v>663485</v>
      </c>
    </row>
    <row r="3103">
      <c r="A3103" s="76">
        <v>45770.0</v>
      </c>
      <c r="B3103" s="1" t="s">
        <v>658</v>
      </c>
      <c r="C3103" s="1" t="s">
        <v>78</v>
      </c>
      <c r="D3103" s="1">
        <v>0.1</v>
      </c>
      <c r="E3103" s="1">
        <v>25174.0</v>
      </c>
      <c r="F3103" s="10">
        <f t="shared" si="1"/>
        <v>0.3333333333</v>
      </c>
      <c r="G3103" s="10">
        <f t="array" ref="G3103">index('Player ID'!C:C,match(E3103,'Player ID'!B:B,0))</f>
        <v>682171</v>
      </c>
    </row>
    <row r="3104">
      <c r="A3104" s="76">
        <v>45770.0</v>
      </c>
      <c r="B3104" s="1" t="s">
        <v>706</v>
      </c>
      <c r="C3104" s="1" t="s">
        <v>78</v>
      </c>
      <c r="D3104" s="1">
        <v>1.1</v>
      </c>
      <c r="E3104" s="1">
        <v>27472.0</v>
      </c>
      <c r="F3104" s="10">
        <f t="shared" si="1"/>
        <v>1.333333333</v>
      </c>
      <c r="G3104" s="10">
        <f t="array" ref="G3104">index('Player ID'!C:C,match(E3104,'Player ID'!B:B,0))</f>
        <v>694363</v>
      </c>
    </row>
    <row r="3105">
      <c r="A3105" s="76">
        <v>45770.0</v>
      </c>
      <c r="B3105" s="1" t="s">
        <v>367</v>
      </c>
      <c r="C3105" s="1" t="s">
        <v>78</v>
      </c>
      <c r="D3105" s="1">
        <v>1.0</v>
      </c>
      <c r="E3105" s="1">
        <v>27668.0</v>
      </c>
      <c r="F3105" s="10">
        <f t="shared" si="1"/>
        <v>1</v>
      </c>
      <c r="G3105" s="10">
        <f t="array" ref="G3105">index('Player ID'!C:C,match(E3105,'Player ID'!B:B,0))</f>
        <v>685126</v>
      </c>
    </row>
    <row r="3106">
      <c r="A3106" s="76">
        <v>45770.0</v>
      </c>
      <c r="B3106" s="1" t="s">
        <v>317</v>
      </c>
      <c r="C3106" s="1" t="s">
        <v>78</v>
      </c>
      <c r="D3106" s="1">
        <v>1.0</v>
      </c>
      <c r="E3106" s="1">
        <v>29950.0</v>
      </c>
      <c r="F3106" s="10">
        <f t="shared" si="1"/>
        <v>1</v>
      </c>
      <c r="G3106" s="10">
        <f t="array" ref="G3106">index('Player ID'!C:C,match(E3106,'Player ID'!B:B,0))</f>
        <v>673929</v>
      </c>
    </row>
    <row r="3107">
      <c r="A3107" s="76">
        <v>45770.0</v>
      </c>
      <c r="B3107" s="1" t="s">
        <v>253</v>
      </c>
      <c r="C3107" s="1" t="s">
        <v>16</v>
      </c>
      <c r="D3107" s="1">
        <v>4.0</v>
      </c>
      <c r="E3107" s="1">
        <v>30056.0</v>
      </c>
      <c r="F3107" s="10">
        <f t="shared" si="1"/>
        <v>4</v>
      </c>
      <c r="G3107" s="10">
        <f t="array" ref="G3107">index('Player ID'!C:C,match(E3107,'Player ID'!B:B,0))</f>
        <v>701581</v>
      </c>
    </row>
    <row r="3108">
      <c r="A3108" s="76">
        <v>45770.0</v>
      </c>
      <c r="B3108" s="1" t="s">
        <v>803</v>
      </c>
      <c r="C3108" s="1" t="s">
        <v>25</v>
      </c>
      <c r="D3108" s="1">
        <v>1.0</v>
      </c>
      <c r="E3108" s="1">
        <v>13607.0</v>
      </c>
      <c r="F3108" s="10">
        <f t="shared" si="1"/>
        <v>1</v>
      </c>
      <c r="G3108" s="10">
        <f t="array" ref="G3108">index('Player ID'!C:C,match(E3108,'Player ID'!B:B,0))</f>
        <v>605218</v>
      </c>
    </row>
    <row r="3109">
      <c r="A3109" s="76">
        <v>45770.0</v>
      </c>
      <c r="B3109" s="1" t="s">
        <v>256</v>
      </c>
      <c r="C3109" s="1" t="s">
        <v>60</v>
      </c>
      <c r="D3109" s="1">
        <v>6.0</v>
      </c>
      <c r="E3109" s="1">
        <v>15423.0</v>
      </c>
      <c r="F3109" s="10">
        <f t="shared" si="1"/>
        <v>6</v>
      </c>
      <c r="G3109" s="10">
        <f t="array" ref="G3109">index('Player ID'!C:C,match(E3109,'Player ID'!B:B,0))</f>
        <v>571760</v>
      </c>
    </row>
    <row r="3110">
      <c r="A3110" s="76">
        <v>45770.0</v>
      </c>
      <c r="B3110" s="1" t="s">
        <v>217</v>
      </c>
      <c r="C3110" s="1" t="s">
        <v>60</v>
      </c>
      <c r="D3110" s="1">
        <v>1.0</v>
      </c>
      <c r="E3110" s="1">
        <v>17878.0</v>
      </c>
      <c r="F3110" s="10">
        <f t="shared" si="1"/>
        <v>1</v>
      </c>
      <c r="G3110" s="10">
        <f t="array" ref="G3110">index('Player ID'!C:C,match(E3110,'Player ID'!B:B,0))</f>
        <v>642701</v>
      </c>
    </row>
    <row r="3111">
      <c r="A3111" s="76">
        <v>45770.0</v>
      </c>
      <c r="B3111" s="1" t="s">
        <v>107</v>
      </c>
      <c r="C3111" s="1" t="s">
        <v>60</v>
      </c>
      <c r="D3111" s="1">
        <v>1.0</v>
      </c>
      <c r="E3111" s="1">
        <v>19349.0</v>
      </c>
      <c r="F3111" s="10">
        <f t="shared" si="1"/>
        <v>1</v>
      </c>
      <c r="G3111" s="10">
        <f t="array" ref="G3111">index('Player ID'!C:C,match(E3111,'Player ID'!B:B,0))</f>
        <v>657571</v>
      </c>
    </row>
    <row r="3112">
      <c r="A3112" s="76">
        <v>45770.0</v>
      </c>
      <c r="B3112" s="1" t="s">
        <v>183</v>
      </c>
      <c r="C3112" s="1" t="s">
        <v>60</v>
      </c>
      <c r="D3112" s="1">
        <v>1.0</v>
      </c>
      <c r="E3112" s="1">
        <v>19569.0</v>
      </c>
      <c r="F3112" s="10">
        <f t="shared" si="1"/>
        <v>1</v>
      </c>
      <c r="G3112" s="10">
        <f t="array" ref="G3112">index('Player ID'!C:C,match(E3112,'Player ID'!B:B,0))</f>
        <v>670280</v>
      </c>
    </row>
    <row r="3113">
      <c r="A3113" s="76">
        <v>45770.0</v>
      </c>
      <c r="B3113" s="1" t="s">
        <v>24</v>
      </c>
      <c r="C3113" s="1" t="s">
        <v>25</v>
      </c>
      <c r="D3113" s="1">
        <v>2.0</v>
      </c>
      <c r="E3113" s="1">
        <v>27468.0</v>
      </c>
      <c r="F3113" s="10">
        <f t="shared" si="1"/>
        <v>2</v>
      </c>
      <c r="G3113" s="10">
        <f t="array" ref="G3113">index('Player ID'!C:C,match(E3113,'Player ID'!B:B,0))</f>
        <v>672282</v>
      </c>
    </row>
    <row r="3114">
      <c r="A3114" s="76">
        <v>45770.0</v>
      </c>
      <c r="B3114" s="1" t="s">
        <v>521</v>
      </c>
      <c r="C3114" s="1" t="s">
        <v>25</v>
      </c>
      <c r="D3114" s="1">
        <v>6.0</v>
      </c>
      <c r="E3114" s="1">
        <v>27688.0</v>
      </c>
      <c r="F3114" s="10">
        <f t="shared" si="1"/>
        <v>6</v>
      </c>
      <c r="G3114" s="10">
        <f t="array" ref="G3114">index('Player ID'!C:C,match(E3114,'Player ID'!B:B,0))</f>
        <v>686799</v>
      </c>
    </row>
    <row r="3115">
      <c r="A3115" s="76">
        <v>45770.0</v>
      </c>
      <c r="B3115" s="1" t="s">
        <v>103</v>
      </c>
      <c r="C3115" s="1" t="s">
        <v>64</v>
      </c>
      <c r="D3115" s="1">
        <v>0.1</v>
      </c>
      <c r="E3115" s="1">
        <v>10197.0</v>
      </c>
      <c r="F3115" s="10">
        <f t="shared" si="1"/>
        <v>0.3333333333</v>
      </c>
      <c r="G3115" s="10">
        <f t="array" ref="G3115">index('Player ID'!C:C,match(E3115,'Player ID'!B:B,0))</f>
        <v>571946</v>
      </c>
    </row>
    <row r="3116">
      <c r="A3116" s="76">
        <v>45770.0</v>
      </c>
      <c r="B3116" s="1" t="s">
        <v>368</v>
      </c>
      <c r="C3116" s="1" t="s">
        <v>64</v>
      </c>
      <c r="D3116" s="1">
        <v>6.2</v>
      </c>
      <c r="E3116" s="1">
        <v>13164.0</v>
      </c>
      <c r="F3116" s="10">
        <f t="shared" si="1"/>
        <v>6.666666667</v>
      </c>
      <c r="G3116" s="10">
        <f t="array" ref="G3116">index('Player ID'!C:C,match(E3116,'Player ID'!B:B,0))</f>
        <v>593958</v>
      </c>
    </row>
    <row r="3117">
      <c r="A3117" s="76">
        <v>45770.0</v>
      </c>
      <c r="B3117" s="1" t="s">
        <v>219</v>
      </c>
      <c r="C3117" s="1" t="s">
        <v>64</v>
      </c>
      <c r="D3117" s="1">
        <v>1.0</v>
      </c>
      <c r="E3117" s="1">
        <v>16647.0</v>
      </c>
      <c r="F3117" s="10">
        <f t="shared" si="1"/>
        <v>1</v>
      </c>
      <c r="G3117" s="10">
        <f t="array" ref="G3117">index('Player ID'!C:C,match(E3117,'Player ID'!B:B,0))</f>
        <v>657044</v>
      </c>
    </row>
    <row r="3118">
      <c r="A3118" s="76">
        <v>45770.0</v>
      </c>
      <c r="B3118" s="1" t="s">
        <v>185</v>
      </c>
      <c r="C3118" s="1" t="s">
        <v>54</v>
      </c>
      <c r="D3118" s="1">
        <v>1.1</v>
      </c>
      <c r="E3118" s="1">
        <v>17897.0</v>
      </c>
      <c r="F3118" s="10">
        <f t="shared" si="1"/>
        <v>1.333333333</v>
      </c>
      <c r="G3118" s="10">
        <f t="array" ref="G3118">index('Player ID'!C:C,match(E3118,'Player ID'!B:B,0))</f>
        <v>664076</v>
      </c>
    </row>
    <row r="3119">
      <c r="A3119" s="76">
        <v>45770.0</v>
      </c>
      <c r="B3119" s="1" t="s">
        <v>261</v>
      </c>
      <c r="C3119" s="1" t="s">
        <v>54</v>
      </c>
      <c r="D3119" s="1">
        <v>0.2</v>
      </c>
      <c r="E3119" s="1">
        <v>17998.0</v>
      </c>
      <c r="F3119" s="10">
        <f t="shared" si="1"/>
        <v>0.6666666667</v>
      </c>
      <c r="G3119" s="10">
        <f t="array" ref="G3119">index('Player ID'!C:C,match(E3119,'Player ID'!B:B,0))</f>
        <v>664126</v>
      </c>
    </row>
    <row r="3120">
      <c r="A3120" s="76">
        <v>45770.0</v>
      </c>
      <c r="B3120" s="1" t="s">
        <v>400</v>
      </c>
      <c r="C3120" s="1" t="s">
        <v>54</v>
      </c>
      <c r="D3120" s="1">
        <v>1.0</v>
      </c>
      <c r="E3120" s="1">
        <v>20539.0</v>
      </c>
      <c r="F3120" s="10">
        <f t="shared" si="1"/>
        <v>1</v>
      </c>
      <c r="G3120" s="10">
        <f t="array" ref="G3120">index('Player ID'!C:C,match(E3120,'Player ID'!B:B,0))</f>
        <v>670955</v>
      </c>
    </row>
    <row r="3121">
      <c r="A3121" s="76">
        <v>45770.0</v>
      </c>
      <c r="B3121" s="1" t="s">
        <v>370</v>
      </c>
      <c r="C3121" s="1" t="s">
        <v>64</v>
      </c>
      <c r="D3121" s="1">
        <v>1.0</v>
      </c>
      <c r="E3121" s="1">
        <v>21924.0</v>
      </c>
      <c r="F3121" s="10">
        <f t="shared" si="1"/>
        <v>1</v>
      </c>
      <c r="G3121" s="10">
        <f t="array" ref="G3121">index('Player ID'!C:C,match(E3121,'Player ID'!B:B,0))</f>
        <v>666661</v>
      </c>
    </row>
    <row r="3122">
      <c r="A3122" s="76">
        <v>45770.0</v>
      </c>
      <c r="B3122" s="1" t="s">
        <v>413</v>
      </c>
      <c r="C3122" s="1" t="s">
        <v>54</v>
      </c>
      <c r="D3122" s="1">
        <v>6.0</v>
      </c>
      <c r="E3122" s="1">
        <v>22543.0</v>
      </c>
      <c r="F3122" s="10">
        <f t="shared" si="1"/>
        <v>6</v>
      </c>
      <c r="G3122" s="10">
        <f t="array" ref="G3122">index('Player ID'!C:C,match(E3122,'Player ID'!B:B,0))</f>
        <v>671737</v>
      </c>
    </row>
    <row r="3123">
      <c r="A3123" s="76">
        <v>45770.0</v>
      </c>
      <c r="B3123" s="1" t="s">
        <v>714</v>
      </c>
      <c r="C3123" s="1" t="s">
        <v>64</v>
      </c>
      <c r="D3123" s="1">
        <v>1.0</v>
      </c>
      <c r="E3123" s="1">
        <v>24453.0</v>
      </c>
      <c r="F3123" s="10">
        <f t="shared" si="1"/>
        <v>1</v>
      </c>
      <c r="G3123" s="10">
        <f t="array" ref="G3123">index('Player ID'!C:C,match(E3123,'Player ID'!B:B,0))</f>
        <v>679885</v>
      </c>
    </row>
    <row r="3124">
      <c r="A3124" s="76">
        <v>45770.0</v>
      </c>
      <c r="B3124" s="1" t="s">
        <v>813</v>
      </c>
      <c r="C3124" s="1" t="s">
        <v>64</v>
      </c>
      <c r="D3124" s="1">
        <v>1.0</v>
      </c>
      <c r="E3124" s="1">
        <v>26260.0</v>
      </c>
      <c r="F3124" s="10">
        <f t="shared" si="1"/>
        <v>1</v>
      </c>
      <c r="G3124" s="10">
        <f t="array" ref="G3124">index('Player ID'!C:C,match(E3124,'Player ID'!B:B,0))</f>
        <v>686753</v>
      </c>
    </row>
    <row r="3125">
      <c r="A3125" s="76">
        <v>45770.0</v>
      </c>
      <c r="B3125" s="1" t="s">
        <v>257</v>
      </c>
      <c r="C3125" s="1" t="s">
        <v>54</v>
      </c>
      <c r="D3125" s="1">
        <v>1.0</v>
      </c>
      <c r="E3125" s="1">
        <v>27626.0</v>
      </c>
      <c r="F3125" s="10">
        <f t="shared" si="1"/>
        <v>1</v>
      </c>
      <c r="G3125" s="10">
        <f t="array" ref="G3125">index('Player ID'!C:C,match(E3125,'Player ID'!B:B,0))</f>
        <v>679358</v>
      </c>
    </row>
    <row r="3126">
      <c r="A3126" s="76">
        <v>45770.0</v>
      </c>
      <c r="B3126" s="1" t="s">
        <v>334</v>
      </c>
      <c r="C3126" s="1" t="s">
        <v>54</v>
      </c>
      <c r="D3126" s="1">
        <v>1.0</v>
      </c>
      <c r="E3126" s="1">
        <v>29770.0</v>
      </c>
      <c r="F3126" s="10">
        <f t="shared" si="1"/>
        <v>1</v>
      </c>
      <c r="G3126" s="10">
        <f t="array" ref="G3126">index('Player ID'!C:C,match(E3126,'Player ID'!B:B,0))</f>
        <v>682254</v>
      </c>
    </row>
    <row r="3127">
      <c r="A3127" s="76">
        <v>45770.0</v>
      </c>
      <c r="B3127" s="1" t="s">
        <v>20</v>
      </c>
      <c r="C3127" s="1" t="s">
        <v>31</v>
      </c>
      <c r="D3127" s="1">
        <v>1.0</v>
      </c>
      <c r="E3127" s="1">
        <v>15541.0</v>
      </c>
      <c r="F3127" s="10">
        <f t="shared" si="1"/>
        <v>1</v>
      </c>
      <c r="G3127" s="10">
        <f t="array" ref="G3127">index('Player ID'!C:C,match(E3127,'Player ID'!B:B,0))</f>
        <v>643511</v>
      </c>
    </row>
    <row r="3128">
      <c r="A3128" s="76">
        <v>45770.0</v>
      </c>
      <c r="B3128" s="1" t="s">
        <v>77</v>
      </c>
      <c r="C3128" s="1" t="s">
        <v>31</v>
      </c>
      <c r="D3128" s="1">
        <v>6.1</v>
      </c>
      <c r="E3128" s="1">
        <v>17995.0</v>
      </c>
      <c r="F3128" s="10">
        <f t="shared" si="1"/>
        <v>6.333333333</v>
      </c>
      <c r="G3128" s="10">
        <f t="array" ref="G3128">index('Player ID'!C:C,match(E3128,'Player ID'!B:B,0))</f>
        <v>657277</v>
      </c>
    </row>
    <row r="3129">
      <c r="A3129" s="76">
        <v>45770.0</v>
      </c>
      <c r="B3129" s="1" t="s">
        <v>180</v>
      </c>
      <c r="C3129" s="1" t="s">
        <v>14</v>
      </c>
      <c r="D3129" s="1">
        <v>5.0</v>
      </c>
      <c r="E3129" s="1">
        <v>18679.0</v>
      </c>
      <c r="F3129" s="10">
        <f t="shared" si="1"/>
        <v>5</v>
      </c>
      <c r="G3129" s="10">
        <f t="array" ref="G3129">index('Player ID'!C:C,match(E3129,'Player ID'!B:B,0))</f>
        <v>642547</v>
      </c>
    </row>
    <row r="3130">
      <c r="A3130" s="76">
        <v>45770.0</v>
      </c>
      <c r="B3130" s="1" t="s">
        <v>636</v>
      </c>
      <c r="C3130" s="1" t="s">
        <v>14</v>
      </c>
      <c r="D3130" s="1">
        <v>1.0</v>
      </c>
      <c r="E3130" s="1">
        <v>19924.0</v>
      </c>
      <c r="F3130" s="10">
        <f t="shared" si="1"/>
        <v>1</v>
      </c>
      <c r="G3130" s="10">
        <f t="array" ref="G3130">index('Player ID'!C:C,match(E3130,'Player ID'!B:B,0))</f>
        <v>663542</v>
      </c>
    </row>
    <row r="3131">
      <c r="A3131" s="76">
        <v>45770.0</v>
      </c>
      <c r="B3131" s="1" t="s">
        <v>403</v>
      </c>
      <c r="C3131" s="1" t="s">
        <v>31</v>
      </c>
      <c r="D3131" s="1">
        <v>0.1</v>
      </c>
      <c r="E3131" s="1">
        <v>20423.0</v>
      </c>
      <c r="F3131" s="10">
        <f t="shared" si="1"/>
        <v>0.3333333333</v>
      </c>
      <c r="G3131" s="10">
        <f t="array" ref="G3131">index('Player ID'!C:C,match(E3131,'Player ID'!B:B,0))</f>
        <v>676254</v>
      </c>
    </row>
    <row r="3132">
      <c r="A3132" s="76">
        <v>45770.0</v>
      </c>
      <c r="B3132" s="1" t="s">
        <v>304</v>
      </c>
      <c r="C3132" s="1" t="s">
        <v>31</v>
      </c>
      <c r="D3132" s="1">
        <v>0.2</v>
      </c>
      <c r="E3132" s="1">
        <v>21992.0</v>
      </c>
      <c r="F3132" s="10">
        <f t="shared" si="1"/>
        <v>0.6666666667</v>
      </c>
      <c r="G3132" s="10">
        <f t="array" ref="G3132">index('Player ID'!C:C,match(E3132,'Player ID'!B:B,0))</f>
        <v>666808</v>
      </c>
    </row>
    <row r="3133">
      <c r="A3133" s="76">
        <v>45770.0</v>
      </c>
      <c r="B3133" s="1" t="s">
        <v>112</v>
      </c>
      <c r="C3133" s="1" t="s">
        <v>14</v>
      </c>
      <c r="D3133" s="1">
        <v>1.0</v>
      </c>
      <c r="E3133" s="1">
        <v>25376.0</v>
      </c>
      <c r="F3133" s="10">
        <f t="shared" si="1"/>
        <v>1</v>
      </c>
      <c r="G3133" s="10">
        <f t="array" ref="G3133">index('Player ID'!C:C,match(E3133,'Player ID'!B:B,0))</f>
        <v>683232</v>
      </c>
    </row>
    <row r="3134">
      <c r="A3134" s="76">
        <v>45770.0</v>
      </c>
      <c r="B3134" s="1" t="s">
        <v>655</v>
      </c>
      <c r="C3134" s="1" t="s">
        <v>31</v>
      </c>
      <c r="D3134" s="1">
        <v>0.2</v>
      </c>
      <c r="E3134" s="1">
        <v>26252.0</v>
      </c>
      <c r="F3134" s="10">
        <f t="shared" si="1"/>
        <v>0.6666666667</v>
      </c>
      <c r="G3134" s="10">
        <f t="array" ref="G3134">index('Player ID'!C:C,match(E3134,'Player ID'!B:B,0))</f>
        <v>669062</v>
      </c>
    </row>
    <row r="3135">
      <c r="A3135" s="76">
        <v>45770.0</v>
      </c>
      <c r="B3135" s="1" t="s">
        <v>815</v>
      </c>
      <c r="C3135" s="1" t="s">
        <v>14</v>
      </c>
      <c r="D3135" s="1">
        <v>1.0</v>
      </c>
      <c r="E3135" s="1">
        <v>33248.0</v>
      </c>
      <c r="F3135" s="10">
        <f t="shared" si="1"/>
        <v>1</v>
      </c>
      <c r="G3135" s="10">
        <f t="array" ref="G3135">index('Player ID'!C:C,match(E3135,'Player ID'!B:B,0))</f>
        <v>684974</v>
      </c>
    </row>
    <row r="3136">
      <c r="A3136" s="76">
        <v>45770.0</v>
      </c>
      <c r="B3136" s="1" t="s">
        <v>505</v>
      </c>
      <c r="C3136" s="1" t="s">
        <v>52</v>
      </c>
      <c r="D3136" s="1">
        <v>1.0</v>
      </c>
      <c r="E3136" s="1">
        <v>19481.0</v>
      </c>
      <c r="F3136" s="10">
        <f t="shared" si="1"/>
        <v>1</v>
      </c>
      <c r="G3136" s="10">
        <f t="array" ref="G3136">index('Player ID'!C:C,match(E3136,'Player ID'!B:B,0))</f>
        <v>621053</v>
      </c>
    </row>
    <row r="3137">
      <c r="A3137" s="76">
        <v>45770.0</v>
      </c>
      <c r="B3137" s="1" t="s">
        <v>349</v>
      </c>
      <c r="C3137" s="1" t="s">
        <v>56</v>
      </c>
      <c r="D3137" s="1">
        <v>2.0</v>
      </c>
      <c r="E3137" s="1">
        <v>19736.0</v>
      </c>
      <c r="F3137" s="10">
        <f t="shared" si="1"/>
        <v>2</v>
      </c>
      <c r="G3137" s="10">
        <f t="array" ref="G3137">index('Player ID'!C:C,match(E3137,'Player ID'!B:B,0))</f>
        <v>676961</v>
      </c>
    </row>
    <row r="3138">
      <c r="A3138" s="76">
        <v>45770.0</v>
      </c>
      <c r="B3138" s="1" t="s">
        <v>111</v>
      </c>
      <c r="C3138" s="1" t="s">
        <v>56</v>
      </c>
      <c r="D3138" s="1">
        <v>4.1</v>
      </c>
      <c r="E3138" s="1">
        <v>21306.0</v>
      </c>
      <c r="F3138" s="10">
        <f t="shared" si="1"/>
        <v>4.333333333</v>
      </c>
      <c r="G3138" s="10">
        <f t="array" ref="G3138">index('Player ID'!C:C,match(E3138,'Player ID'!B:B,0))</f>
        <v>656641</v>
      </c>
    </row>
    <row r="3139">
      <c r="A3139" s="76">
        <v>45770.0</v>
      </c>
      <c r="B3139" s="1" t="s">
        <v>251</v>
      </c>
      <c r="C3139" s="1" t="s">
        <v>52</v>
      </c>
      <c r="D3139" s="1">
        <v>5.0</v>
      </c>
      <c r="E3139" s="1">
        <v>23429.0</v>
      </c>
      <c r="F3139" s="10">
        <f t="shared" si="1"/>
        <v>5</v>
      </c>
      <c r="G3139" s="10">
        <f t="array" ref="G3139">index('Player ID'!C:C,match(E3139,'Player ID'!B:B,0))</f>
        <v>676664</v>
      </c>
    </row>
    <row r="3140">
      <c r="A3140" s="76">
        <v>45770.0</v>
      </c>
      <c r="B3140" s="1" t="s">
        <v>213</v>
      </c>
      <c r="C3140" s="1" t="s">
        <v>52</v>
      </c>
      <c r="D3140" s="1">
        <v>1.0</v>
      </c>
      <c r="E3140" s="1">
        <v>27694.0</v>
      </c>
      <c r="F3140" s="10">
        <f t="shared" si="1"/>
        <v>1</v>
      </c>
      <c r="G3140" s="10">
        <f t="array" ref="G3140">index('Player ID'!C:C,match(E3140,'Player ID'!B:B,0))</f>
        <v>686993</v>
      </c>
    </row>
    <row r="3141">
      <c r="A3141" s="76">
        <v>45770.0</v>
      </c>
      <c r="B3141" s="1" t="s">
        <v>127</v>
      </c>
      <c r="C3141" s="1" t="s">
        <v>52</v>
      </c>
      <c r="D3141" s="1">
        <v>1.0</v>
      </c>
      <c r="E3141" s="1">
        <v>27707.0</v>
      </c>
      <c r="F3141" s="10">
        <f t="shared" si="1"/>
        <v>1</v>
      </c>
      <c r="G3141" s="10">
        <f t="array" ref="G3141">index('Player ID'!C:C,match(E3141,'Player ID'!B:B,0))</f>
        <v>687765</v>
      </c>
    </row>
    <row r="3142">
      <c r="A3142" s="76">
        <v>45770.0</v>
      </c>
      <c r="B3142" s="1" t="s">
        <v>286</v>
      </c>
      <c r="C3142" s="1" t="s">
        <v>52</v>
      </c>
      <c r="D3142" s="1">
        <v>1.0</v>
      </c>
      <c r="E3142" s="1">
        <v>31757.0</v>
      </c>
      <c r="F3142" s="10">
        <f t="shared" si="1"/>
        <v>1</v>
      </c>
      <c r="G3142" s="10">
        <f t="array" ref="G3142">index('Player ID'!C:C,match(E3142,'Player ID'!B:B,0))</f>
        <v>695243</v>
      </c>
    </row>
    <row r="3143">
      <c r="A3143" s="76">
        <v>45770.0</v>
      </c>
      <c r="B3143" s="1" t="s">
        <v>477</v>
      </c>
      <c r="C3143" s="1" t="s">
        <v>56</v>
      </c>
      <c r="D3143" s="1">
        <v>1.2</v>
      </c>
      <c r="E3143" s="1">
        <v>31843.0</v>
      </c>
      <c r="F3143" s="10">
        <f t="shared" si="1"/>
        <v>1.666666667</v>
      </c>
      <c r="G3143" s="10">
        <f t="array" ref="G3143">index('Player ID'!C:C,match(E3143,'Player ID'!B:B,0))</f>
        <v>677958</v>
      </c>
    </row>
    <row r="3144">
      <c r="A3144" s="76">
        <v>45771.0</v>
      </c>
      <c r="B3144" s="1" t="s">
        <v>420</v>
      </c>
      <c r="C3144" s="1" t="s">
        <v>29</v>
      </c>
      <c r="D3144" s="1">
        <v>6.0</v>
      </c>
      <c r="E3144" s="1">
        <v>14843.0</v>
      </c>
      <c r="F3144" s="10">
        <f t="shared" si="1"/>
        <v>6</v>
      </c>
      <c r="G3144" s="10">
        <f t="array" ref="G3144">index('Player ID'!C:C,match(E3144,'Player ID'!B:B,0))</f>
        <v>547179</v>
      </c>
    </row>
    <row r="3145">
      <c r="A3145" s="76">
        <v>45771.0</v>
      </c>
      <c r="B3145" s="1" t="s">
        <v>144</v>
      </c>
      <c r="C3145" s="1" t="s">
        <v>29</v>
      </c>
      <c r="D3145" s="1">
        <v>1.0</v>
      </c>
      <c r="E3145" s="1">
        <v>20020.0</v>
      </c>
      <c r="F3145" s="10">
        <f t="shared" si="1"/>
        <v>1</v>
      </c>
      <c r="G3145" s="10">
        <f t="array" ref="G3145">index('Player ID'!C:C,match(E3145,'Player ID'!B:B,0))</f>
        <v>670167</v>
      </c>
    </row>
    <row r="3146">
      <c r="A3146" s="76">
        <v>45771.0</v>
      </c>
      <c r="B3146" s="1" t="s">
        <v>293</v>
      </c>
      <c r="C3146" s="1" t="s">
        <v>29</v>
      </c>
      <c r="D3146" s="1">
        <v>2.0</v>
      </c>
      <c r="E3146" s="1">
        <v>21537.0</v>
      </c>
      <c r="F3146" s="10">
        <f t="shared" si="1"/>
        <v>2</v>
      </c>
      <c r="G3146" s="10">
        <f t="array" ref="G3146">index('Player ID'!C:C,match(E3146,'Player ID'!B:B,0))</f>
        <v>663738</v>
      </c>
    </row>
    <row r="3147">
      <c r="A3147" s="76">
        <v>45771.0</v>
      </c>
      <c r="B3147" s="1" t="s">
        <v>468</v>
      </c>
      <c r="C3147" s="1" t="s">
        <v>75</v>
      </c>
      <c r="D3147" s="1">
        <v>1.0</v>
      </c>
      <c r="E3147" s="1">
        <v>23237.0</v>
      </c>
      <c r="F3147" s="10">
        <f t="shared" si="1"/>
        <v>1</v>
      </c>
      <c r="G3147" s="10">
        <f t="array" ref="G3147">index('Player ID'!C:C,match(E3147,'Player ID'!B:B,0))</f>
        <v>675848</v>
      </c>
    </row>
    <row r="3148">
      <c r="A3148" s="76">
        <v>45771.0</v>
      </c>
      <c r="B3148" s="1" t="s">
        <v>728</v>
      </c>
      <c r="C3148" s="1" t="s">
        <v>75</v>
      </c>
      <c r="D3148" s="1">
        <v>1.1</v>
      </c>
      <c r="E3148" s="1">
        <v>30250.0</v>
      </c>
      <c r="F3148" s="10">
        <f t="shared" si="1"/>
        <v>1.333333333</v>
      </c>
      <c r="G3148" s="10">
        <f t="array" ref="G3148">index('Player ID'!C:C,match(E3148,'Player ID'!B:B,0))</f>
        <v>677955</v>
      </c>
    </row>
    <row r="3149">
      <c r="A3149" s="76">
        <v>45771.0</v>
      </c>
      <c r="B3149" s="1" t="s">
        <v>512</v>
      </c>
      <c r="C3149" s="1" t="s">
        <v>75</v>
      </c>
      <c r="D3149" s="1">
        <v>1.0</v>
      </c>
      <c r="E3149" s="1">
        <v>31552.0</v>
      </c>
      <c r="F3149" s="10">
        <f t="shared" si="1"/>
        <v>1</v>
      </c>
      <c r="G3149" s="10">
        <f t="array" ref="G3149">index('Player ID'!C:C,match(E3149,'Player ID'!B:B,0))</f>
        <v>688642</v>
      </c>
    </row>
    <row r="3150">
      <c r="A3150" s="76">
        <v>45771.0</v>
      </c>
      <c r="B3150" s="1" t="s">
        <v>495</v>
      </c>
      <c r="C3150" s="1" t="s">
        <v>75</v>
      </c>
      <c r="D3150" s="1">
        <v>4.2</v>
      </c>
      <c r="E3150" s="1">
        <v>33482.0</v>
      </c>
      <c r="F3150" s="10">
        <f t="shared" si="1"/>
        <v>4.666666667</v>
      </c>
      <c r="G3150" s="10">
        <f t="array" ref="G3150">index('Player ID'!C:C,match(E3150,'Player ID'!B:B,0))</f>
        <v>801403</v>
      </c>
    </row>
    <row r="3151">
      <c r="A3151" s="76">
        <v>45771.0</v>
      </c>
      <c r="B3151" s="1" t="s">
        <v>397</v>
      </c>
      <c r="C3151" s="1" t="s">
        <v>16</v>
      </c>
      <c r="D3151" s="1">
        <v>2.0</v>
      </c>
      <c r="E3151" s="1">
        <v>19459.0</v>
      </c>
      <c r="F3151" s="10">
        <f t="shared" si="1"/>
        <v>2</v>
      </c>
      <c r="G3151" s="10">
        <f t="array" ref="G3151">index('Player ID'!C:C,match(E3151,'Player ID'!B:B,0))</f>
        <v>660896</v>
      </c>
    </row>
    <row r="3152">
      <c r="A3152" s="76">
        <v>45771.0</v>
      </c>
      <c r="B3152" s="1" t="s">
        <v>133</v>
      </c>
      <c r="C3152" s="1" t="s">
        <v>16</v>
      </c>
      <c r="D3152" s="1">
        <v>5.0</v>
      </c>
      <c r="E3152" s="1">
        <v>20099.0</v>
      </c>
      <c r="F3152" s="10">
        <f t="shared" si="1"/>
        <v>5</v>
      </c>
      <c r="G3152" s="10">
        <f t="array" ref="G3152">index('Player ID'!C:C,match(E3152,'Player ID'!B:B,0))</f>
        <v>663978</v>
      </c>
    </row>
    <row r="3153">
      <c r="A3153" s="76">
        <v>45771.0</v>
      </c>
      <c r="B3153" s="1" t="s">
        <v>367</v>
      </c>
      <c r="C3153" s="1" t="s">
        <v>78</v>
      </c>
      <c r="D3153" s="1">
        <v>1.0</v>
      </c>
      <c r="E3153" s="1">
        <v>27668.0</v>
      </c>
      <c r="F3153" s="10">
        <f t="shared" si="1"/>
        <v>1</v>
      </c>
      <c r="G3153" s="10">
        <f t="array" ref="G3153">index('Player ID'!C:C,match(E3153,'Player ID'!B:B,0))</f>
        <v>685126</v>
      </c>
    </row>
    <row r="3154">
      <c r="A3154" s="76">
        <v>45771.0</v>
      </c>
      <c r="B3154" s="1" t="s">
        <v>317</v>
      </c>
      <c r="C3154" s="1" t="s">
        <v>78</v>
      </c>
      <c r="D3154" s="1">
        <v>1.0</v>
      </c>
      <c r="E3154" s="1">
        <v>29950.0</v>
      </c>
      <c r="F3154" s="10">
        <f t="shared" si="1"/>
        <v>1</v>
      </c>
      <c r="G3154" s="10">
        <f t="array" ref="G3154">index('Player ID'!C:C,match(E3154,'Player ID'!B:B,0))</f>
        <v>673929</v>
      </c>
    </row>
    <row r="3155">
      <c r="A3155" s="76">
        <v>45771.0</v>
      </c>
      <c r="B3155" s="1" t="s">
        <v>470</v>
      </c>
      <c r="C3155" s="1" t="s">
        <v>78</v>
      </c>
      <c r="D3155" s="1">
        <v>5.0</v>
      </c>
      <c r="E3155" s="1">
        <v>31687.0</v>
      </c>
      <c r="F3155" s="10">
        <f t="shared" si="1"/>
        <v>5</v>
      </c>
      <c r="G3155" s="10">
        <f t="array" ref="G3155">index('Player ID'!C:C,match(E3155,'Player ID'!B:B,0))</f>
        <v>681343</v>
      </c>
    </row>
    <row r="3156">
      <c r="A3156" s="76">
        <v>45771.0</v>
      </c>
      <c r="B3156" s="1" t="s">
        <v>757</v>
      </c>
      <c r="C3156" s="1" t="s">
        <v>22</v>
      </c>
      <c r="D3156" s="1">
        <v>1.0</v>
      </c>
      <c r="E3156" s="1">
        <v>3548.0</v>
      </c>
      <c r="F3156" s="10">
        <f t="shared" si="1"/>
        <v>1</v>
      </c>
      <c r="G3156" s="10">
        <f t="array" ref="G3156">index('Player ID'!C:C,match(E3156,'Player ID'!B:B,0))</f>
        <v>521230</v>
      </c>
    </row>
    <row r="3157">
      <c r="A3157" s="76">
        <v>45771.0</v>
      </c>
      <c r="B3157" s="1" t="s">
        <v>53</v>
      </c>
      <c r="C3157" s="1" t="s">
        <v>37</v>
      </c>
      <c r="D3157" s="1">
        <v>0.2</v>
      </c>
      <c r="E3157" s="1">
        <v>17170.0</v>
      </c>
      <c r="F3157" s="10">
        <f t="shared" si="1"/>
        <v>0.6666666667</v>
      </c>
      <c r="G3157" s="10">
        <f t="array" ref="G3157">index('Player ID'!C:C,match(E3157,'Player ID'!B:B,0))</f>
        <v>642100</v>
      </c>
    </row>
    <row r="3158">
      <c r="A3158" s="76">
        <v>45771.0</v>
      </c>
      <c r="B3158" s="1" t="s">
        <v>108</v>
      </c>
      <c r="C3158" s="1" t="s">
        <v>37</v>
      </c>
      <c r="D3158" s="1">
        <v>0.1</v>
      </c>
      <c r="E3158" s="1">
        <v>17948.0</v>
      </c>
      <c r="F3158" s="10">
        <f t="shared" si="1"/>
        <v>0.3333333333</v>
      </c>
      <c r="G3158" s="10">
        <f t="array" ref="G3158">index('Player ID'!C:C,match(E3158,'Player ID'!B:B,0))</f>
        <v>663423</v>
      </c>
    </row>
    <row r="3159">
      <c r="A3159" s="76">
        <v>45771.0</v>
      </c>
      <c r="B3159" s="1" t="s">
        <v>670</v>
      </c>
      <c r="C3159" s="1" t="s">
        <v>37</v>
      </c>
      <c r="D3159" s="1">
        <v>1.0</v>
      </c>
      <c r="E3159" s="1">
        <v>20373.0</v>
      </c>
      <c r="F3159" s="10">
        <f t="shared" si="1"/>
        <v>1</v>
      </c>
      <c r="G3159" s="10">
        <f t="array" ref="G3159">index('Player ID'!C:C,match(E3159,'Player ID'!B:B,0))</f>
        <v>662253</v>
      </c>
    </row>
    <row r="3160">
      <c r="A3160" s="76">
        <v>45771.0</v>
      </c>
      <c r="B3160" s="1" t="s">
        <v>406</v>
      </c>
      <c r="C3160" s="1" t="s">
        <v>22</v>
      </c>
      <c r="D3160" s="1">
        <v>1.0</v>
      </c>
      <c r="E3160" s="1">
        <v>20375.0</v>
      </c>
      <c r="F3160" s="10">
        <f t="shared" si="1"/>
        <v>1</v>
      </c>
      <c r="G3160" s="10">
        <f t="array" ref="G3160">index('Player ID'!C:C,match(E3160,'Player ID'!B:B,0))</f>
        <v>669711</v>
      </c>
    </row>
    <row r="3161">
      <c r="A3161" s="76">
        <v>45771.0</v>
      </c>
      <c r="B3161" s="1" t="s">
        <v>683</v>
      </c>
      <c r="C3161" s="1" t="s">
        <v>37</v>
      </c>
      <c r="D3161" s="1">
        <v>1.0</v>
      </c>
      <c r="E3161" s="1">
        <v>23307.0</v>
      </c>
      <c r="F3161" s="10">
        <f t="shared" si="1"/>
        <v>1</v>
      </c>
      <c r="G3161" s="10">
        <f t="array" ref="G3161">index('Player ID'!C:C,match(E3161,'Player ID'!B:B,0))</f>
        <v>676092</v>
      </c>
    </row>
    <row r="3162">
      <c r="A3162" s="76">
        <v>45771.0</v>
      </c>
      <c r="B3162" s="1" t="s">
        <v>100</v>
      </c>
      <c r="C3162" s="1" t="s">
        <v>22</v>
      </c>
      <c r="D3162" s="1">
        <v>5.0</v>
      </c>
      <c r="E3162" s="1">
        <v>27463.0</v>
      </c>
      <c r="F3162" s="10">
        <f t="shared" si="1"/>
        <v>5</v>
      </c>
      <c r="G3162" s="10">
        <f t="array" ref="G3162">index('Player ID'!C:C,match(E3162,'Player ID'!B:B,0))</f>
        <v>676979</v>
      </c>
    </row>
    <row r="3163">
      <c r="A3163" s="76">
        <v>45771.0</v>
      </c>
      <c r="B3163" s="1" t="s">
        <v>90</v>
      </c>
      <c r="C3163" s="1" t="s">
        <v>37</v>
      </c>
      <c r="D3163" s="1">
        <v>6.0</v>
      </c>
      <c r="E3163" s="1">
        <v>30279.0</v>
      </c>
      <c r="F3163" s="10">
        <f t="shared" si="1"/>
        <v>6</v>
      </c>
      <c r="G3163" s="10">
        <f t="array" ref="G3163">index('Player ID'!C:C,match(E3163,'Player ID'!B:B,0))</f>
        <v>693433</v>
      </c>
    </row>
    <row r="3164">
      <c r="A3164" s="76">
        <v>45771.0</v>
      </c>
      <c r="B3164" s="1" t="s">
        <v>720</v>
      </c>
      <c r="C3164" s="1" t="s">
        <v>22</v>
      </c>
      <c r="D3164" s="1">
        <v>2.0</v>
      </c>
      <c r="E3164" s="1">
        <v>31184.0</v>
      </c>
      <c r="F3164" s="10">
        <f t="shared" si="1"/>
        <v>2</v>
      </c>
      <c r="G3164" s="10">
        <f t="array" ref="G3164">index('Player ID'!C:C,match(E3164,'Player ID'!B:B,0))</f>
        <v>692285</v>
      </c>
    </row>
    <row r="3165">
      <c r="A3165" s="76">
        <v>45771.0</v>
      </c>
      <c r="B3165" s="1" t="s">
        <v>649</v>
      </c>
      <c r="C3165" s="1" t="s">
        <v>29</v>
      </c>
      <c r="D3165" s="1">
        <v>1.0</v>
      </c>
      <c r="E3165" s="1">
        <v>14542.0</v>
      </c>
      <c r="F3165" s="10">
        <f t="shared" si="1"/>
        <v>1</v>
      </c>
      <c r="G3165" s="10">
        <f t="array" ref="G3165">index('Player ID'!C:C,match(E3165,'Player ID'!B:B,0))</f>
        <v>608032</v>
      </c>
    </row>
    <row r="3166">
      <c r="A3166" s="76">
        <v>45771.0</v>
      </c>
      <c r="B3166" s="1" t="s">
        <v>746</v>
      </c>
      <c r="C3166" s="1" t="s">
        <v>75</v>
      </c>
      <c r="D3166" s="1">
        <v>4.0</v>
      </c>
      <c r="E3166" s="1">
        <v>15038.0</v>
      </c>
      <c r="F3166" s="10">
        <f t="shared" si="1"/>
        <v>4</v>
      </c>
      <c r="G3166" s="10">
        <f t="array" ref="G3166">index('Player ID'!C:C,match(E3166,'Player ID'!B:B,0))</f>
        <v>608566</v>
      </c>
    </row>
    <row r="3167">
      <c r="A3167" s="76">
        <v>45771.0</v>
      </c>
      <c r="B3167" s="1" t="s">
        <v>451</v>
      </c>
      <c r="C3167" s="1" t="s">
        <v>75</v>
      </c>
      <c r="D3167" s="1">
        <v>2.0</v>
      </c>
      <c r="E3167" s="1">
        <v>17556.0</v>
      </c>
      <c r="F3167" s="10">
        <f t="shared" si="1"/>
        <v>2</v>
      </c>
      <c r="G3167" s="10">
        <f t="array" ref="G3167">index('Player ID'!C:C,match(E3167,'Player ID'!B:B,0))</f>
        <v>623474</v>
      </c>
    </row>
    <row r="3168">
      <c r="A3168" s="76">
        <v>45771.0</v>
      </c>
      <c r="B3168" s="1" t="s">
        <v>407</v>
      </c>
      <c r="C3168" s="1" t="s">
        <v>29</v>
      </c>
      <c r="D3168" s="1">
        <v>1.0</v>
      </c>
      <c r="E3168" s="1">
        <v>19360.0</v>
      </c>
      <c r="F3168" s="10">
        <f t="shared" si="1"/>
        <v>1</v>
      </c>
      <c r="G3168" s="10">
        <f t="array" ref="G3168">index('Player ID'!C:C,match(E3168,'Player ID'!B:B,0))</f>
        <v>668674</v>
      </c>
    </row>
    <row r="3169">
      <c r="A3169" s="76">
        <v>45771.0</v>
      </c>
      <c r="B3169" s="1" t="s">
        <v>215</v>
      </c>
      <c r="C3169" s="1" t="s">
        <v>75</v>
      </c>
      <c r="D3169" s="1">
        <v>2.0</v>
      </c>
      <c r="E3169" s="1">
        <v>21267.0</v>
      </c>
      <c r="F3169" s="10">
        <f t="shared" si="1"/>
        <v>2</v>
      </c>
      <c r="G3169" s="10">
        <f t="array" ref="G3169">index('Player ID'!C:C,match(E3169,'Player ID'!B:B,0))</f>
        <v>656234</v>
      </c>
    </row>
    <row r="3170">
      <c r="A3170" s="76">
        <v>45771.0</v>
      </c>
      <c r="B3170" s="1" t="s">
        <v>205</v>
      </c>
      <c r="C3170" s="1" t="s">
        <v>29</v>
      </c>
      <c r="D3170" s="1">
        <v>3.0</v>
      </c>
      <c r="E3170" s="1">
        <v>21846.0</v>
      </c>
      <c r="F3170" s="10">
        <f t="shared" si="1"/>
        <v>3</v>
      </c>
      <c r="G3170" s="10">
        <f t="array" ref="G3170">index('Player ID'!C:C,match(E3170,'Player ID'!B:B,0))</f>
        <v>666142</v>
      </c>
    </row>
    <row r="3171">
      <c r="A3171" s="76">
        <v>45771.0</v>
      </c>
      <c r="B3171" s="1" t="s">
        <v>140</v>
      </c>
      <c r="C3171" s="1" t="s">
        <v>29</v>
      </c>
      <c r="D3171" s="1">
        <v>2.0</v>
      </c>
      <c r="E3171" s="1">
        <v>22717.0</v>
      </c>
      <c r="F3171" s="10">
        <f t="shared" si="1"/>
        <v>2</v>
      </c>
      <c r="G3171" s="10">
        <f t="array" ref="G3171">index('Player ID'!C:C,match(E3171,'Player ID'!B:B,0))</f>
        <v>672582</v>
      </c>
    </row>
    <row r="3172">
      <c r="A3172" s="76">
        <v>45771.0</v>
      </c>
      <c r="B3172" s="1" t="s">
        <v>214</v>
      </c>
      <c r="C3172" s="1" t="s">
        <v>29</v>
      </c>
      <c r="D3172" s="1">
        <v>2.0</v>
      </c>
      <c r="E3172" s="1">
        <v>23165.0</v>
      </c>
      <c r="F3172" s="10">
        <f t="shared" si="1"/>
        <v>2</v>
      </c>
      <c r="G3172" s="10">
        <f t="array" ref="G3172">index('Player ID'!C:C,match(E3172,'Player ID'!B:B,0))</f>
        <v>674444</v>
      </c>
    </row>
    <row r="3173">
      <c r="A3173" s="76">
        <v>45771.0</v>
      </c>
      <c r="B3173" s="1" t="s">
        <v>20</v>
      </c>
      <c r="C3173" s="1" t="s">
        <v>31</v>
      </c>
      <c r="D3173" s="1">
        <v>1.0</v>
      </c>
      <c r="E3173" s="1">
        <v>15541.0</v>
      </c>
      <c r="F3173" s="10">
        <f t="shared" si="1"/>
        <v>1</v>
      </c>
      <c r="G3173" s="10">
        <f t="array" ref="G3173">index('Player ID'!C:C,match(E3173,'Player ID'!B:B,0))</f>
        <v>643511</v>
      </c>
    </row>
    <row r="3174">
      <c r="A3174" s="76">
        <v>45771.0</v>
      </c>
      <c r="B3174" s="1" t="s">
        <v>13</v>
      </c>
      <c r="C3174" s="1" t="s">
        <v>14</v>
      </c>
      <c r="D3174" s="1">
        <v>0.2</v>
      </c>
      <c r="E3174" s="1">
        <v>17722.0</v>
      </c>
      <c r="F3174" s="10">
        <f t="shared" si="1"/>
        <v>0.6666666667</v>
      </c>
      <c r="G3174" s="10">
        <f t="array" ref="G3174">index('Player ID'!C:C,match(E3174,'Player ID'!B:B,0))</f>
        <v>656730</v>
      </c>
    </row>
    <row r="3175">
      <c r="A3175" s="76">
        <v>45771.0</v>
      </c>
      <c r="B3175" s="1" t="s">
        <v>187</v>
      </c>
      <c r="C3175" s="1" t="s">
        <v>14</v>
      </c>
      <c r="D3175" s="1">
        <v>0.1</v>
      </c>
      <c r="E3175" s="1">
        <v>17735.0</v>
      </c>
      <c r="F3175" s="10">
        <f t="shared" si="1"/>
        <v>0.3333333333</v>
      </c>
      <c r="G3175" s="10">
        <f t="array" ref="G3175">index('Player ID'!C:C,match(E3175,'Player ID'!B:B,0))</f>
        <v>641302</v>
      </c>
    </row>
    <row r="3176">
      <c r="A3176" s="76">
        <v>45771.0</v>
      </c>
      <c r="B3176" s="1" t="s">
        <v>304</v>
      </c>
      <c r="C3176" s="1" t="s">
        <v>31</v>
      </c>
      <c r="D3176" s="1">
        <v>1.0</v>
      </c>
      <c r="E3176" s="1">
        <v>21992.0</v>
      </c>
      <c r="F3176" s="10">
        <f t="shared" si="1"/>
        <v>1</v>
      </c>
      <c r="G3176" s="10">
        <f t="array" ref="G3176">index('Player ID'!C:C,match(E3176,'Player ID'!B:B,0))</f>
        <v>666808</v>
      </c>
    </row>
    <row r="3177">
      <c r="A3177" s="76">
        <v>45771.0</v>
      </c>
      <c r="B3177" s="1" t="s">
        <v>221</v>
      </c>
      <c r="C3177" s="1" t="s">
        <v>14</v>
      </c>
      <c r="D3177" s="1">
        <v>4.0</v>
      </c>
      <c r="E3177" s="1">
        <v>22191.0</v>
      </c>
      <c r="F3177" s="10">
        <f t="shared" si="1"/>
        <v>4</v>
      </c>
      <c r="G3177" s="10">
        <f t="array" ref="G3177">index('Player ID'!C:C,match(E3177,'Player ID'!B:B,0))</f>
        <v>668964</v>
      </c>
    </row>
    <row r="3178">
      <c r="A3178" s="76">
        <v>45771.0</v>
      </c>
      <c r="B3178" s="1" t="s">
        <v>279</v>
      </c>
      <c r="C3178" s="1" t="s">
        <v>14</v>
      </c>
      <c r="D3178" s="1">
        <v>1.0</v>
      </c>
      <c r="E3178" s="1">
        <v>25327.0</v>
      </c>
      <c r="F3178" s="10">
        <f t="shared" si="1"/>
        <v>1</v>
      </c>
      <c r="G3178" s="10">
        <f t="array" ref="G3178">index('Player ID'!C:C,match(E3178,'Player ID'!B:B,0))</f>
        <v>682842</v>
      </c>
    </row>
    <row r="3179">
      <c r="A3179" s="76">
        <v>45771.0</v>
      </c>
      <c r="B3179" s="1" t="s">
        <v>112</v>
      </c>
      <c r="C3179" s="1" t="s">
        <v>14</v>
      </c>
      <c r="D3179" s="1">
        <v>1.0</v>
      </c>
      <c r="E3179" s="1">
        <v>25376.0</v>
      </c>
      <c r="F3179" s="10">
        <f t="shared" si="1"/>
        <v>1</v>
      </c>
      <c r="G3179" s="10">
        <f t="array" ref="G3179">index('Player ID'!C:C,match(E3179,'Player ID'!B:B,0))</f>
        <v>683232</v>
      </c>
    </row>
    <row r="3180">
      <c r="A3180" s="76">
        <v>45771.0</v>
      </c>
      <c r="B3180" s="1" t="s">
        <v>655</v>
      </c>
      <c r="C3180" s="1" t="s">
        <v>31</v>
      </c>
      <c r="D3180" s="1">
        <v>1.1</v>
      </c>
      <c r="E3180" s="1">
        <v>26252.0</v>
      </c>
      <c r="F3180" s="10">
        <f t="shared" si="1"/>
        <v>1.333333333</v>
      </c>
      <c r="G3180" s="10">
        <f t="array" ref="G3180">index('Player ID'!C:C,match(E3180,'Player ID'!B:B,0))</f>
        <v>669062</v>
      </c>
    </row>
    <row r="3181">
      <c r="A3181" s="76">
        <v>45771.0</v>
      </c>
      <c r="B3181" s="1" t="s">
        <v>418</v>
      </c>
      <c r="C3181" s="1" t="s">
        <v>14</v>
      </c>
      <c r="D3181" s="1">
        <v>1.0</v>
      </c>
      <c r="E3181" s="1">
        <v>27517.0</v>
      </c>
      <c r="F3181" s="10">
        <f t="shared" si="1"/>
        <v>1</v>
      </c>
      <c r="G3181" s="10">
        <f t="array" ref="G3181">index('Player ID'!C:C,match(E3181,'Player ID'!B:B,0))</f>
        <v>657649</v>
      </c>
    </row>
    <row r="3182">
      <c r="A3182" s="76">
        <v>45771.0</v>
      </c>
      <c r="B3182" s="1" t="s">
        <v>209</v>
      </c>
      <c r="C3182" s="1" t="s">
        <v>31</v>
      </c>
      <c r="D3182" s="1">
        <v>3.2</v>
      </c>
      <c r="E3182" s="1">
        <v>30076.0</v>
      </c>
      <c r="F3182" s="10">
        <f t="shared" si="1"/>
        <v>3.666666667</v>
      </c>
      <c r="G3182" s="10">
        <f t="array" ref="G3182">index('Player ID'!C:C,match(E3182,'Player ID'!B:B,0))</f>
        <v>694738</v>
      </c>
    </row>
    <row r="3183">
      <c r="A3183" s="76">
        <v>45771.0</v>
      </c>
      <c r="B3183" s="1" t="s">
        <v>276</v>
      </c>
      <c r="C3183" s="1" t="s">
        <v>31</v>
      </c>
      <c r="D3183" s="1">
        <v>2.0</v>
      </c>
      <c r="E3183" s="1">
        <v>30226.0</v>
      </c>
      <c r="F3183" s="10">
        <f t="shared" si="1"/>
        <v>2</v>
      </c>
      <c r="G3183" s="10">
        <f t="array" ref="G3183">index('Player ID'!C:C,match(E3183,'Player ID'!B:B,0))</f>
        <v>702352</v>
      </c>
    </row>
    <row r="3184">
      <c r="A3184" s="76">
        <v>45771.0</v>
      </c>
      <c r="B3184" s="1" t="s">
        <v>433</v>
      </c>
      <c r="C3184" s="1" t="s">
        <v>68</v>
      </c>
      <c r="D3184" s="1">
        <v>1.0</v>
      </c>
      <c r="E3184" s="1">
        <v>19677.0</v>
      </c>
      <c r="F3184" s="10">
        <f t="shared" si="1"/>
        <v>1</v>
      </c>
      <c r="G3184" s="10">
        <f t="array" ref="G3184">index('Player ID'!C:C,match(E3184,'Player ID'!B:B,0))</f>
        <v>642397</v>
      </c>
    </row>
    <row r="3185">
      <c r="A3185" s="76">
        <v>45771.0</v>
      </c>
      <c r="B3185" s="1" t="s">
        <v>698</v>
      </c>
      <c r="C3185" s="1" t="s">
        <v>68</v>
      </c>
      <c r="D3185" s="1">
        <v>1.0</v>
      </c>
      <c r="E3185" s="1">
        <v>20666.0</v>
      </c>
      <c r="F3185" s="10">
        <f t="shared" si="1"/>
        <v>1</v>
      </c>
      <c r="G3185" s="10">
        <f t="array" ref="G3185">index('Player ID'!C:C,match(E3185,'Player ID'!B:B,0))</f>
        <v>642585</v>
      </c>
    </row>
    <row r="3186">
      <c r="A3186" s="76">
        <v>45771.0</v>
      </c>
      <c r="B3186" s="1" t="s">
        <v>354</v>
      </c>
      <c r="C3186" s="1" t="s">
        <v>80</v>
      </c>
      <c r="D3186" s="1">
        <v>6.0</v>
      </c>
      <c r="E3186" s="1">
        <v>22201.0</v>
      </c>
      <c r="F3186" s="10">
        <f t="shared" si="1"/>
        <v>6</v>
      </c>
      <c r="G3186" s="10">
        <f t="array" ref="G3186">index('Player ID'!C:C,match(E3186,'Player ID'!B:B,0))</f>
        <v>669022</v>
      </c>
    </row>
    <row r="3187">
      <c r="A3187" s="76">
        <v>45771.0</v>
      </c>
      <c r="B3187" s="1" t="s">
        <v>86</v>
      </c>
      <c r="C3187" s="1" t="s">
        <v>80</v>
      </c>
      <c r="D3187" s="1">
        <v>1.0</v>
      </c>
      <c r="E3187" s="1">
        <v>24017.0</v>
      </c>
      <c r="F3187" s="10">
        <f t="shared" si="1"/>
        <v>1</v>
      </c>
      <c r="G3187" s="10">
        <f t="array" ref="G3187">index('Player ID'!C:C,match(E3187,'Player ID'!B:B,0))</f>
        <v>678606</v>
      </c>
    </row>
    <row r="3188">
      <c r="A3188" s="76">
        <v>45771.0</v>
      </c>
      <c r="B3188" s="1" t="s">
        <v>235</v>
      </c>
      <c r="C3188" s="1" t="s">
        <v>68</v>
      </c>
      <c r="D3188" s="1">
        <v>0.1</v>
      </c>
      <c r="E3188" s="1">
        <v>25911.0</v>
      </c>
      <c r="F3188" s="10">
        <f t="shared" si="1"/>
        <v>0.3333333333</v>
      </c>
      <c r="G3188" s="10">
        <f t="array" ref="G3188">index('Player ID'!C:C,match(E3188,'Player ID'!B:B,0))</f>
        <v>666974</v>
      </c>
    </row>
    <row r="3189">
      <c r="A3189" s="76">
        <v>45771.0</v>
      </c>
      <c r="B3189" s="1" t="s">
        <v>507</v>
      </c>
      <c r="C3189" s="1" t="s">
        <v>80</v>
      </c>
      <c r="D3189" s="1">
        <v>2.0</v>
      </c>
      <c r="E3189" s="1">
        <v>27570.0</v>
      </c>
      <c r="F3189" s="10">
        <f t="shared" si="1"/>
        <v>2</v>
      </c>
      <c r="G3189" s="10">
        <f t="array" ref="G3189">index('Player ID'!C:C,match(E3189,'Player ID'!B:B,0))</f>
        <v>669371</v>
      </c>
    </row>
    <row r="3190">
      <c r="A3190" s="76">
        <v>45771.0</v>
      </c>
      <c r="B3190" s="1" t="s">
        <v>347</v>
      </c>
      <c r="C3190" s="1" t="s">
        <v>68</v>
      </c>
      <c r="D3190" s="1">
        <v>6.2</v>
      </c>
      <c r="E3190" s="1">
        <v>30055.0</v>
      </c>
      <c r="F3190" s="10">
        <f t="shared" si="1"/>
        <v>6.666666667</v>
      </c>
      <c r="G3190" s="10">
        <f t="array" ref="G3190">index('Player ID'!C:C,match(E3190,'Player ID'!B:B,0))</f>
        <v>700249</v>
      </c>
    </row>
    <row r="3191">
      <c r="A3191" s="76">
        <v>45771.0</v>
      </c>
      <c r="B3191" s="1" t="s">
        <v>154</v>
      </c>
      <c r="C3191" s="1" t="s">
        <v>25</v>
      </c>
      <c r="D3191" s="1">
        <v>1.0</v>
      </c>
      <c r="E3191" s="1">
        <v>3096.0</v>
      </c>
      <c r="F3191" s="10">
        <f t="shared" si="1"/>
        <v>1</v>
      </c>
      <c r="G3191" s="10">
        <f t="array" ref="G3191">index('Player ID'!C:C,match(E3191,'Player ID'!B:B,0))</f>
        <v>445276</v>
      </c>
    </row>
    <row r="3192">
      <c r="A3192" s="76">
        <v>45771.0</v>
      </c>
      <c r="B3192" s="1" t="s">
        <v>278</v>
      </c>
      <c r="C3192" s="1" t="s">
        <v>25</v>
      </c>
      <c r="D3192" s="1">
        <v>6.0</v>
      </c>
      <c r="E3192" s="1">
        <v>12880.0</v>
      </c>
      <c r="F3192" s="10">
        <f t="shared" si="1"/>
        <v>6</v>
      </c>
      <c r="G3192" s="10">
        <f t="array" ref="G3192">index('Player ID'!C:C,match(E3192,'Player ID'!B:B,0))</f>
        <v>542881</v>
      </c>
    </row>
    <row r="3193">
      <c r="A3193" s="76">
        <v>45771.0</v>
      </c>
      <c r="B3193" s="1" t="s">
        <v>463</v>
      </c>
      <c r="C3193" s="1" t="s">
        <v>60</v>
      </c>
      <c r="D3193" s="1">
        <v>1.0</v>
      </c>
      <c r="E3193" s="1">
        <v>21544.0</v>
      </c>
      <c r="F3193" s="10">
        <f t="shared" si="1"/>
        <v>1</v>
      </c>
      <c r="G3193" s="10">
        <f t="array" ref="G3193">index('Player ID'!C:C,match(E3193,'Player ID'!B:B,0))</f>
        <v>663767</v>
      </c>
    </row>
    <row r="3194">
      <c r="A3194" s="76">
        <v>45771.0</v>
      </c>
      <c r="B3194" s="1" t="s">
        <v>385</v>
      </c>
      <c r="C3194" s="1" t="s">
        <v>25</v>
      </c>
      <c r="D3194" s="1">
        <v>1.0</v>
      </c>
      <c r="E3194" s="1">
        <v>25420.0</v>
      </c>
      <c r="F3194" s="10">
        <f t="shared" si="1"/>
        <v>1</v>
      </c>
      <c r="G3194" s="10">
        <f t="array" ref="G3194">index('Player ID'!C:C,match(E3194,'Player ID'!B:B,0))</f>
        <v>666171</v>
      </c>
    </row>
    <row r="3195">
      <c r="A3195" s="76">
        <v>45771.0</v>
      </c>
      <c r="B3195" s="1" t="s">
        <v>267</v>
      </c>
      <c r="C3195" s="1" t="s">
        <v>60</v>
      </c>
      <c r="D3195" s="1">
        <v>5.0</v>
      </c>
      <c r="E3195" s="1">
        <v>27572.0</v>
      </c>
      <c r="F3195" s="10">
        <f t="shared" si="1"/>
        <v>5</v>
      </c>
      <c r="G3195" s="10">
        <f t="array" ref="G3195">index('Player ID'!C:C,match(E3195,'Player ID'!B:B,0))</f>
        <v>669387</v>
      </c>
    </row>
    <row r="3196">
      <c r="A3196" s="76">
        <v>45771.0</v>
      </c>
      <c r="B3196" s="1" t="s">
        <v>482</v>
      </c>
      <c r="C3196" s="1" t="s">
        <v>60</v>
      </c>
      <c r="D3196" s="1">
        <v>2.0</v>
      </c>
      <c r="E3196" s="1">
        <v>27775.0</v>
      </c>
      <c r="F3196" s="10">
        <f t="shared" si="1"/>
        <v>2</v>
      </c>
      <c r="G3196" s="10">
        <f t="array" ref="G3196">index('Player ID'!C:C,match(E3196,'Player ID'!B:B,0))</f>
        <v>693312</v>
      </c>
    </row>
    <row r="3197">
      <c r="A3197" s="76">
        <v>45771.0</v>
      </c>
      <c r="B3197" s="1" t="s">
        <v>659</v>
      </c>
      <c r="C3197" s="1" t="s">
        <v>25</v>
      </c>
      <c r="D3197" s="1">
        <v>1.0</v>
      </c>
      <c r="E3197" s="1">
        <v>35325.0</v>
      </c>
      <c r="F3197" s="10">
        <f t="shared" si="1"/>
        <v>1</v>
      </c>
      <c r="G3197" s="10">
        <f t="array" ref="G3197">index('Player ID'!C:C,match(E3197,'Player ID'!B:B,0))</f>
        <v>696270</v>
      </c>
    </row>
    <row r="3198">
      <c r="A3198" s="76">
        <v>45771.0</v>
      </c>
      <c r="B3198" s="1" t="s">
        <v>103</v>
      </c>
      <c r="C3198" s="1" t="s">
        <v>64</v>
      </c>
      <c r="D3198" s="1">
        <v>0.1</v>
      </c>
      <c r="E3198" s="1">
        <v>10197.0</v>
      </c>
      <c r="F3198" s="10">
        <f t="shared" si="1"/>
        <v>0.3333333333</v>
      </c>
      <c r="G3198" s="10">
        <f t="array" ref="G3198">index('Player ID'!C:C,match(E3198,'Player ID'!B:B,0))</f>
        <v>571946</v>
      </c>
    </row>
    <row r="3199">
      <c r="A3199" s="76">
        <v>45771.0</v>
      </c>
      <c r="B3199" s="1" t="s">
        <v>805</v>
      </c>
      <c r="C3199" s="1" t="s">
        <v>64</v>
      </c>
      <c r="D3199" s="1">
        <v>1.0</v>
      </c>
      <c r="E3199" s="1">
        <v>16610.0</v>
      </c>
      <c r="F3199" s="10">
        <f t="shared" si="1"/>
        <v>1</v>
      </c>
      <c r="G3199" s="10">
        <f t="array" ref="G3199">index('Player ID'!C:C,match(E3199,'Player ID'!B:B,0))</f>
        <v>656420</v>
      </c>
    </row>
    <row r="3200">
      <c r="A3200" s="76">
        <v>45771.0</v>
      </c>
      <c r="B3200" s="1" t="s">
        <v>489</v>
      </c>
      <c r="C3200" s="1" t="s">
        <v>64</v>
      </c>
      <c r="D3200" s="1">
        <v>1.0</v>
      </c>
      <c r="E3200" s="1">
        <v>17192.0</v>
      </c>
      <c r="F3200" s="10">
        <f t="shared" si="1"/>
        <v>1</v>
      </c>
      <c r="G3200" s="10">
        <f t="array" ref="G3200">index('Player ID'!C:C,match(E3200,'Player ID'!B:B,0))</f>
        <v>656222</v>
      </c>
    </row>
    <row r="3201">
      <c r="A3201" s="76">
        <v>45771.0</v>
      </c>
      <c r="B3201" s="1" t="s">
        <v>261</v>
      </c>
      <c r="C3201" s="1" t="s">
        <v>54</v>
      </c>
      <c r="D3201" s="1">
        <v>1.0</v>
      </c>
      <c r="E3201" s="1">
        <v>17998.0</v>
      </c>
      <c r="F3201" s="10">
        <f t="shared" si="1"/>
        <v>1</v>
      </c>
      <c r="G3201" s="10">
        <f t="array" ref="G3201">index('Player ID'!C:C,match(E3201,'Player ID'!B:B,0))</f>
        <v>664126</v>
      </c>
    </row>
    <row r="3202">
      <c r="A3202" s="76">
        <v>45771.0</v>
      </c>
      <c r="B3202" s="1" t="s">
        <v>431</v>
      </c>
      <c r="C3202" s="1" t="s">
        <v>64</v>
      </c>
      <c r="D3202" s="1">
        <v>5.1</v>
      </c>
      <c r="E3202" s="1">
        <v>19361.0</v>
      </c>
      <c r="F3202" s="10">
        <f t="shared" si="1"/>
        <v>5.333333333</v>
      </c>
      <c r="G3202" s="10">
        <f t="array" ref="G3202">index('Player ID'!C:C,match(E3202,'Player ID'!B:B,0))</f>
        <v>669203</v>
      </c>
    </row>
    <row r="3203">
      <c r="A3203" s="76">
        <v>45771.0</v>
      </c>
      <c r="B3203" s="1" t="s">
        <v>400</v>
      </c>
      <c r="C3203" s="1" t="s">
        <v>54</v>
      </c>
      <c r="D3203" s="1">
        <v>1.0</v>
      </c>
      <c r="E3203" s="1">
        <v>20539.0</v>
      </c>
      <c r="F3203" s="10">
        <f t="shared" si="1"/>
        <v>1</v>
      </c>
      <c r="G3203" s="10">
        <f t="array" ref="G3203">index('Player ID'!C:C,match(E3203,'Player ID'!B:B,0))</f>
        <v>670955</v>
      </c>
    </row>
    <row r="3204">
      <c r="A3204" s="76">
        <v>45771.0</v>
      </c>
      <c r="B3204" s="1" t="s">
        <v>705</v>
      </c>
      <c r="C3204" s="1" t="s">
        <v>54</v>
      </c>
      <c r="D3204" s="1">
        <v>1.0</v>
      </c>
      <c r="E3204" s="1">
        <v>20794.0</v>
      </c>
      <c r="F3204" s="10">
        <f t="shared" si="1"/>
        <v>1</v>
      </c>
      <c r="G3204" s="10">
        <f t="array" ref="G3204">index('Player ID'!C:C,match(E3204,'Player ID'!B:B,0))</f>
        <v>655889</v>
      </c>
    </row>
    <row r="3205">
      <c r="A3205" s="76">
        <v>45771.0</v>
      </c>
      <c r="B3205" s="1" t="s">
        <v>97</v>
      </c>
      <c r="C3205" s="1" t="s">
        <v>54</v>
      </c>
      <c r="D3205" s="1">
        <v>5.0</v>
      </c>
      <c r="E3205" s="1">
        <v>25385.0</v>
      </c>
      <c r="F3205" s="10">
        <f t="shared" si="1"/>
        <v>5</v>
      </c>
      <c r="G3205" s="10">
        <f t="array" ref="G3205">index('Player ID'!C:C,match(E3205,'Player ID'!B:B,0))</f>
        <v>656876</v>
      </c>
    </row>
    <row r="3206">
      <c r="A3206" s="76">
        <v>45771.0</v>
      </c>
      <c r="B3206" s="1" t="s">
        <v>93</v>
      </c>
      <c r="C3206" s="1" t="s">
        <v>64</v>
      </c>
      <c r="D3206" s="1">
        <v>2.1</v>
      </c>
      <c r="E3206" s="1">
        <v>26253.0</v>
      </c>
      <c r="F3206" s="10">
        <f t="shared" si="1"/>
        <v>2.333333333</v>
      </c>
      <c r="G3206" s="10">
        <f t="array" ref="G3206">index('Player ID'!C:C,match(E3206,'Player ID'!B:B,0))</f>
        <v>669194</v>
      </c>
    </row>
    <row r="3207">
      <c r="A3207" s="76">
        <v>45771.0</v>
      </c>
      <c r="B3207" s="1" t="s">
        <v>671</v>
      </c>
      <c r="C3207" s="1" t="s">
        <v>54</v>
      </c>
      <c r="D3207" s="1">
        <v>2.0</v>
      </c>
      <c r="E3207" s="1">
        <v>26259.0</v>
      </c>
      <c r="F3207" s="10">
        <f t="shared" si="1"/>
        <v>2</v>
      </c>
      <c r="G3207" s="10">
        <f t="array" ref="G3207">index('Player ID'!C:C,match(E3207,'Player ID'!B:B,0))</f>
        <v>685801</v>
      </c>
    </row>
    <row r="3208">
      <c r="A3208" s="76">
        <v>45771.0</v>
      </c>
      <c r="B3208" s="1" t="s">
        <v>57</v>
      </c>
      <c r="C3208" s="1" t="s">
        <v>56</v>
      </c>
      <c r="D3208" s="1">
        <v>5.1</v>
      </c>
      <c r="E3208" s="1">
        <v>10954.0</v>
      </c>
      <c r="F3208" s="10">
        <f t="shared" si="1"/>
        <v>5.333333333</v>
      </c>
      <c r="G3208" s="10">
        <f t="array" ref="G3208">index('Player ID'!C:C,match(E3208,'Player ID'!B:B,0))</f>
        <v>594798</v>
      </c>
    </row>
    <row r="3209">
      <c r="A3209" s="76">
        <v>45771.0</v>
      </c>
      <c r="B3209" s="1" t="s">
        <v>162</v>
      </c>
      <c r="C3209" s="1" t="s">
        <v>56</v>
      </c>
      <c r="D3209" s="1">
        <v>1.0</v>
      </c>
      <c r="E3209" s="1">
        <v>11752.0</v>
      </c>
      <c r="F3209" s="10">
        <f t="shared" si="1"/>
        <v>1</v>
      </c>
      <c r="G3209" s="10">
        <f t="array" ref="G3209">index('Player ID'!C:C,match(E3209,'Player ID'!B:B,0))</f>
        <v>592426</v>
      </c>
    </row>
    <row r="3210">
      <c r="A3210" s="76">
        <v>45771.0</v>
      </c>
      <c r="B3210" s="1" t="s">
        <v>74</v>
      </c>
      <c r="C3210" s="1" t="s">
        <v>56</v>
      </c>
      <c r="D3210" s="1">
        <v>1.0</v>
      </c>
      <c r="E3210" s="1">
        <v>11847.0</v>
      </c>
      <c r="F3210" s="10">
        <f t="shared" si="1"/>
        <v>1</v>
      </c>
      <c r="G3210" s="10">
        <f t="array" ref="G3210">index('Player ID'!C:C,match(E3210,'Player ID'!B:B,0))</f>
        <v>455119</v>
      </c>
    </row>
    <row r="3211">
      <c r="A3211" s="76">
        <v>45771.0</v>
      </c>
      <c r="B3211" s="1" t="s">
        <v>151</v>
      </c>
      <c r="C3211" s="1" t="s">
        <v>56</v>
      </c>
      <c r="D3211" s="1">
        <v>0.2</v>
      </c>
      <c r="E3211" s="1">
        <v>13346.0</v>
      </c>
      <c r="F3211" s="10">
        <f t="shared" si="1"/>
        <v>0.6666666667</v>
      </c>
      <c r="G3211" s="10">
        <f t="array" ref="G3211">index('Player ID'!C:C,match(E3211,'Player ID'!B:B,0))</f>
        <v>571948</v>
      </c>
    </row>
    <row r="3212">
      <c r="A3212" s="76">
        <v>45771.0</v>
      </c>
      <c r="B3212" s="1" t="s">
        <v>227</v>
      </c>
      <c r="C3212" s="1" t="s">
        <v>52</v>
      </c>
      <c r="D3212" s="1">
        <v>2.1</v>
      </c>
      <c r="E3212" s="1">
        <v>21520.0</v>
      </c>
      <c r="F3212" s="10">
        <f t="shared" si="1"/>
        <v>2.333333333</v>
      </c>
      <c r="G3212" s="10">
        <f t="array" ref="G3212">index('Player ID'!C:C,match(E3212,'Player ID'!B:B,0))</f>
        <v>663687</v>
      </c>
    </row>
    <row r="3213">
      <c r="A3213" s="76">
        <v>45771.0</v>
      </c>
      <c r="B3213" s="1" t="s">
        <v>268</v>
      </c>
      <c r="C3213" s="1" t="s">
        <v>56</v>
      </c>
      <c r="D3213" s="1">
        <v>0.2</v>
      </c>
      <c r="E3213" s="1">
        <v>23363.0</v>
      </c>
      <c r="F3213" s="10">
        <f t="shared" si="1"/>
        <v>0.6666666667</v>
      </c>
      <c r="G3213" s="10">
        <f t="array" ref="G3213">index('Player ID'!C:C,match(E3213,'Player ID'!B:B,0))</f>
        <v>676395</v>
      </c>
    </row>
    <row r="3214">
      <c r="A3214" s="76">
        <v>45771.0</v>
      </c>
      <c r="B3214" s="1" t="s">
        <v>296</v>
      </c>
      <c r="C3214" s="1" t="s">
        <v>52</v>
      </c>
      <c r="D3214" s="1">
        <v>3.2</v>
      </c>
      <c r="E3214" s="1">
        <v>27889.0</v>
      </c>
      <c r="F3214" s="10">
        <f t="shared" si="1"/>
        <v>3.666666667</v>
      </c>
      <c r="G3214" s="10">
        <f t="array" ref="G3214">index('Player ID'!C:C,match(E3214,'Player ID'!B:B,0))</f>
        <v>669372</v>
      </c>
    </row>
    <row r="3215">
      <c r="A3215" s="76">
        <v>45771.0</v>
      </c>
      <c r="B3215" s="1" t="s">
        <v>717</v>
      </c>
      <c r="C3215" s="1" t="s">
        <v>52</v>
      </c>
      <c r="D3215" s="1">
        <v>1.0</v>
      </c>
      <c r="E3215" s="1">
        <v>27908.0</v>
      </c>
      <c r="F3215" s="10">
        <f t="shared" si="1"/>
        <v>1</v>
      </c>
      <c r="G3215" s="10">
        <f t="array" ref="G3215">index('Player ID'!C:C,match(E3215,'Player ID'!B:B,0))</f>
        <v>668716</v>
      </c>
    </row>
    <row r="3216">
      <c r="A3216" s="76">
        <v>45771.0</v>
      </c>
      <c r="B3216" s="1" t="s">
        <v>681</v>
      </c>
      <c r="C3216" s="1" t="s">
        <v>52</v>
      </c>
      <c r="D3216" s="1">
        <v>2.0</v>
      </c>
      <c r="E3216" s="1">
        <v>30002.0</v>
      </c>
      <c r="F3216" s="10">
        <f t="shared" si="1"/>
        <v>2</v>
      </c>
      <c r="G3216" s="10">
        <f t="array" ref="G3216">index('Player ID'!C:C,match(E3216,'Player ID'!B:B,0))</f>
        <v>680880</v>
      </c>
    </row>
    <row r="3217">
      <c r="A3217" s="76">
        <v>45772.0</v>
      </c>
      <c r="B3217" s="1" t="s">
        <v>71</v>
      </c>
      <c r="C3217" s="1" t="s">
        <v>34</v>
      </c>
      <c r="D3217" s="1">
        <v>1.0</v>
      </c>
      <c r="E3217" s="1">
        <v>10078.0</v>
      </c>
      <c r="F3217" s="10">
        <f t="shared" si="1"/>
        <v>1</v>
      </c>
      <c r="G3217" s="10">
        <f t="array" ref="G3217">index('Player ID'!C:C,match(E3217,'Player ID'!B:B,0))</f>
        <v>573204</v>
      </c>
    </row>
    <row r="3218">
      <c r="A3218" s="76">
        <v>45772.0</v>
      </c>
      <c r="B3218" s="1" t="s">
        <v>203</v>
      </c>
      <c r="C3218" s="1" t="s">
        <v>34</v>
      </c>
      <c r="D3218" s="1">
        <v>1.0</v>
      </c>
      <c r="E3218" s="1">
        <v>11426.0</v>
      </c>
      <c r="F3218" s="10">
        <f t="shared" si="1"/>
        <v>1</v>
      </c>
      <c r="G3218" s="10">
        <f t="array" ref="G3218">index('Player ID'!C:C,match(E3218,'Player ID'!B:B,0))</f>
        <v>519141</v>
      </c>
    </row>
    <row r="3219">
      <c r="A3219" s="76">
        <v>45772.0</v>
      </c>
      <c r="B3219" s="1" t="s">
        <v>453</v>
      </c>
      <c r="C3219" s="1" t="s">
        <v>45</v>
      </c>
      <c r="D3219" s="1">
        <v>3.0</v>
      </c>
      <c r="E3219" s="1">
        <v>11836.0</v>
      </c>
      <c r="F3219" s="10">
        <f t="shared" si="1"/>
        <v>3</v>
      </c>
      <c r="G3219" s="10">
        <f t="array" ref="G3219">index('Player ID'!C:C,match(E3219,'Player ID'!B:B,0))</f>
        <v>592836</v>
      </c>
    </row>
    <row r="3220">
      <c r="A3220" s="76">
        <v>45772.0</v>
      </c>
      <c r="B3220" s="1" t="s">
        <v>313</v>
      </c>
      <c r="C3220" s="1" t="s">
        <v>34</v>
      </c>
      <c r="D3220" s="1">
        <v>5.0</v>
      </c>
      <c r="E3220" s="1">
        <v>12317.0</v>
      </c>
      <c r="F3220" s="10">
        <f t="shared" si="1"/>
        <v>5</v>
      </c>
      <c r="G3220" s="10">
        <f t="array" ref="G3220">index('Player ID'!C:C,match(E3220,'Player ID'!B:B,0))</f>
        <v>607067</v>
      </c>
    </row>
    <row r="3221">
      <c r="A3221" s="76">
        <v>45772.0</v>
      </c>
      <c r="B3221" s="1" t="s">
        <v>699</v>
      </c>
      <c r="C3221" s="1" t="s">
        <v>45</v>
      </c>
      <c r="D3221" s="1">
        <v>2.0</v>
      </c>
      <c r="E3221" s="1">
        <v>14552.0</v>
      </c>
      <c r="F3221" s="10">
        <f t="shared" si="1"/>
        <v>2</v>
      </c>
      <c r="G3221" s="10">
        <f t="array" ref="G3221">index('Player ID'!C:C,match(E3221,'Player ID'!B:B,0))</f>
        <v>614179</v>
      </c>
    </row>
    <row r="3222">
      <c r="A3222" s="76">
        <v>45772.0</v>
      </c>
      <c r="B3222" s="1" t="s">
        <v>297</v>
      </c>
      <c r="C3222" s="1" t="s">
        <v>34</v>
      </c>
      <c r="D3222" s="1">
        <v>1.0</v>
      </c>
      <c r="E3222" s="1">
        <v>15734.0</v>
      </c>
      <c r="F3222" s="10">
        <f t="shared" si="1"/>
        <v>1</v>
      </c>
      <c r="G3222" s="10">
        <f t="array" ref="G3222">index('Player ID'!C:C,match(E3222,'Player ID'!B:B,0))</f>
        <v>641745</v>
      </c>
    </row>
    <row r="3223">
      <c r="A3223" s="76">
        <v>45772.0</v>
      </c>
      <c r="B3223" s="1" t="s">
        <v>138</v>
      </c>
      <c r="C3223" s="1" t="s">
        <v>45</v>
      </c>
      <c r="D3223" s="1">
        <v>1.0</v>
      </c>
      <c r="E3223" s="1">
        <v>16990.0</v>
      </c>
      <c r="F3223" s="10">
        <f t="shared" si="1"/>
        <v>1</v>
      </c>
      <c r="G3223" s="10">
        <f t="array" ref="G3223">index('Player ID'!C:C,match(E3223,'Player ID'!B:B,0))</f>
        <v>621383</v>
      </c>
    </row>
    <row r="3224">
      <c r="A3224" s="76">
        <v>45772.0</v>
      </c>
      <c r="B3224" s="1" t="s">
        <v>701</v>
      </c>
      <c r="C3224" s="1" t="s">
        <v>45</v>
      </c>
      <c r="D3224" s="1">
        <v>1.0</v>
      </c>
      <c r="E3224" s="1">
        <v>22713.0</v>
      </c>
      <c r="F3224" s="10">
        <f t="shared" si="1"/>
        <v>1</v>
      </c>
      <c r="G3224" s="10">
        <f t="array" ref="G3224">index('Player ID'!C:C,match(E3224,'Player ID'!B:B,0))</f>
        <v>672578</v>
      </c>
    </row>
    <row r="3225">
      <c r="A3225" s="76">
        <v>45772.0</v>
      </c>
      <c r="B3225" s="1" t="s">
        <v>167</v>
      </c>
      <c r="C3225" s="1" t="s">
        <v>34</v>
      </c>
      <c r="D3225" s="1">
        <v>1.0</v>
      </c>
      <c r="E3225" s="1">
        <v>27914.0</v>
      </c>
      <c r="F3225" s="10">
        <f t="shared" si="1"/>
        <v>1</v>
      </c>
      <c r="G3225" s="10">
        <f t="array" ref="G3225">index('Player ID'!C:C,match(E3225,'Player ID'!B:B,0))</f>
        <v>694037</v>
      </c>
    </row>
    <row r="3226">
      <c r="A3226" s="76">
        <v>45772.0</v>
      </c>
      <c r="B3226" s="1" t="s">
        <v>165</v>
      </c>
      <c r="C3226" s="1" t="s">
        <v>45</v>
      </c>
      <c r="D3226" s="1">
        <v>1.0</v>
      </c>
      <c r="E3226" s="1">
        <v>31776.0</v>
      </c>
      <c r="F3226" s="10">
        <f t="shared" si="1"/>
        <v>1</v>
      </c>
      <c r="G3226" s="10">
        <f t="array" ref="G3226">index('Player ID'!C:C,match(E3226,'Player ID'!B:B,0))</f>
        <v>689147</v>
      </c>
    </row>
    <row r="3227">
      <c r="A3227" s="76">
        <v>45772.0</v>
      </c>
      <c r="B3227" s="1" t="s">
        <v>646</v>
      </c>
      <c r="C3227" s="1" t="s">
        <v>51</v>
      </c>
      <c r="D3227" s="1">
        <v>1.0</v>
      </c>
      <c r="E3227" s="1">
        <v>6107.0</v>
      </c>
      <c r="F3227" s="10">
        <f t="shared" si="1"/>
        <v>1</v>
      </c>
      <c r="G3227" s="10">
        <f t="array" ref="G3227">index('Player ID'!C:C,match(E3227,'Player ID'!B:B,0))</f>
        <v>623211</v>
      </c>
    </row>
    <row r="3228">
      <c r="A3228" s="76">
        <v>45772.0</v>
      </c>
      <c r="B3228" s="1" t="s">
        <v>719</v>
      </c>
      <c r="C3228" s="1" t="s">
        <v>80</v>
      </c>
      <c r="D3228" s="1">
        <v>1.0</v>
      </c>
      <c r="E3228" s="1">
        <v>14527.0</v>
      </c>
      <c r="F3228" s="10">
        <f t="shared" si="1"/>
        <v>1</v>
      </c>
      <c r="G3228" s="10">
        <f t="array" ref="G3228">index('Player ID'!C:C,match(E3228,'Player ID'!B:B,0))</f>
        <v>605347</v>
      </c>
    </row>
    <row r="3229">
      <c r="A3229" s="76">
        <v>45772.0</v>
      </c>
      <c r="B3229" s="1" t="s">
        <v>139</v>
      </c>
      <c r="C3229" s="1" t="s">
        <v>80</v>
      </c>
      <c r="D3229" s="1">
        <v>0.1</v>
      </c>
      <c r="E3229" s="1">
        <v>15009.0</v>
      </c>
      <c r="F3229" s="10">
        <f t="shared" si="1"/>
        <v>0.3333333333</v>
      </c>
      <c r="G3229" s="10">
        <f t="array" ref="G3229">index('Player ID'!C:C,match(E3229,'Player ID'!B:B,0))</f>
        <v>640448</v>
      </c>
    </row>
    <row r="3230">
      <c r="A3230" s="76">
        <v>45772.0</v>
      </c>
      <c r="B3230" s="1" t="s">
        <v>292</v>
      </c>
      <c r="C3230" s="1" t="s">
        <v>51</v>
      </c>
      <c r="D3230" s="1">
        <v>0.1</v>
      </c>
      <c r="E3230" s="1">
        <v>15947.0</v>
      </c>
      <c r="F3230" s="10">
        <f t="shared" si="1"/>
        <v>0.3333333333</v>
      </c>
      <c r="G3230" s="10">
        <f t="array" ref="G3230">index('Player ID'!C:C,match(E3230,'Player ID'!B:B,0))</f>
        <v>592773</v>
      </c>
    </row>
    <row r="3231">
      <c r="A3231" s="76">
        <v>45772.0</v>
      </c>
      <c r="B3231" s="1" t="s">
        <v>295</v>
      </c>
      <c r="C3231" s="1" t="s">
        <v>51</v>
      </c>
      <c r="D3231" s="1">
        <v>1.0</v>
      </c>
      <c r="E3231" s="1">
        <v>16866.0</v>
      </c>
      <c r="F3231" s="10">
        <f t="shared" si="1"/>
        <v>1</v>
      </c>
      <c r="G3231" s="10">
        <f t="array" ref="G3231">index('Player ID'!C:C,match(E3231,'Player ID'!B:B,0))</f>
        <v>657585</v>
      </c>
    </row>
    <row r="3232">
      <c r="A3232" s="76">
        <v>45772.0</v>
      </c>
      <c r="B3232" s="1" t="s">
        <v>674</v>
      </c>
      <c r="C3232" s="1" t="s">
        <v>51</v>
      </c>
      <c r="D3232" s="1">
        <v>0.1</v>
      </c>
      <c r="E3232" s="1">
        <v>18655.0</v>
      </c>
      <c r="F3232" s="10">
        <f t="shared" si="1"/>
        <v>0.3333333333</v>
      </c>
      <c r="G3232" s="10">
        <f t="array" ref="G3232">index('Player ID'!C:C,match(E3232,'Player ID'!B:B,0))</f>
        <v>621345</v>
      </c>
    </row>
    <row r="3233">
      <c r="A3233" s="76">
        <v>45772.0</v>
      </c>
      <c r="B3233" s="1" t="s">
        <v>396</v>
      </c>
      <c r="C3233" s="1" t="s">
        <v>80</v>
      </c>
      <c r="D3233" s="1">
        <v>7.1</v>
      </c>
      <c r="E3233" s="1">
        <v>21504.0</v>
      </c>
      <c r="F3233" s="10">
        <f t="shared" si="1"/>
        <v>7.333333333</v>
      </c>
      <c r="G3233" s="10">
        <f t="array" ref="G3233">index('Player ID'!C:C,match(E3233,'Player ID'!B:B,0))</f>
        <v>663623</v>
      </c>
    </row>
    <row r="3234">
      <c r="A3234" s="76">
        <v>45772.0</v>
      </c>
      <c r="B3234" s="1" t="s">
        <v>86</v>
      </c>
      <c r="C3234" s="1" t="s">
        <v>80</v>
      </c>
      <c r="D3234" s="1">
        <v>0.1</v>
      </c>
      <c r="E3234" s="1">
        <v>24017.0</v>
      </c>
      <c r="F3234" s="10">
        <f t="shared" si="1"/>
        <v>0.3333333333</v>
      </c>
      <c r="G3234" s="10">
        <f t="array" ref="G3234">index('Player ID'!C:C,match(E3234,'Player ID'!B:B,0))</f>
        <v>678606</v>
      </c>
    </row>
    <row r="3235">
      <c r="A3235" s="76">
        <v>45772.0</v>
      </c>
      <c r="B3235" s="1" t="s">
        <v>461</v>
      </c>
      <c r="C3235" s="1" t="s">
        <v>51</v>
      </c>
      <c r="D3235" s="1">
        <v>6.0</v>
      </c>
      <c r="E3235" s="1">
        <v>31838.0</v>
      </c>
      <c r="F3235" s="10">
        <f t="shared" si="1"/>
        <v>6</v>
      </c>
      <c r="G3235" s="10">
        <f t="array" ref="G3235">index('Player ID'!C:C,match(E3235,'Player ID'!B:B,0))</f>
        <v>673540</v>
      </c>
    </row>
    <row r="3236">
      <c r="A3236" s="76">
        <v>45772.0</v>
      </c>
      <c r="B3236" s="1" t="s">
        <v>324</v>
      </c>
      <c r="C3236" s="1" t="s">
        <v>58</v>
      </c>
      <c r="D3236" s="1">
        <v>5.0</v>
      </c>
      <c r="E3236" s="1">
        <v>6632.0</v>
      </c>
      <c r="F3236" s="10">
        <f t="shared" si="1"/>
        <v>5</v>
      </c>
      <c r="G3236" s="10">
        <f t="array" ref="G3236">index('Player ID'!C:C,match(E3236,'Player ID'!B:B,0))</f>
        <v>471911</v>
      </c>
    </row>
    <row r="3237">
      <c r="A3237" s="76">
        <v>45772.0</v>
      </c>
      <c r="B3237" s="1" t="s">
        <v>422</v>
      </c>
      <c r="C3237" s="1" t="s">
        <v>58</v>
      </c>
      <c r="D3237" s="1">
        <v>1.0</v>
      </c>
      <c r="E3237" s="1">
        <v>7048.0</v>
      </c>
      <c r="F3237" s="10">
        <f t="shared" si="1"/>
        <v>1</v>
      </c>
      <c r="G3237" s="10">
        <f t="array" ref="G3237">index('Player ID'!C:C,match(E3237,'Player ID'!B:B,0))</f>
        <v>518585</v>
      </c>
    </row>
    <row r="3238">
      <c r="A3238" s="76">
        <v>45772.0</v>
      </c>
      <c r="B3238" s="1" t="s">
        <v>673</v>
      </c>
      <c r="C3238" s="1" t="s">
        <v>40</v>
      </c>
      <c r="D3238" s="1">
        <v>0.2</v>
      </c>
      <c r="E3238" s="1">
        <v>12095.0</v>
      </c>
      <c r="F3238" s="10">
        <f t="shared" si="1"/>
        <v>0.6666666667</v>
      </c>
      <c r="G3238" s="10">
        <f t="array" ref="G3238">index('Player ID'!C:C,match(E3238,'Player ID'!B:B,0))</f>
        <v>554340</v>
      </c>
    </row>
    <row r="3239">
      <c r="A3239" s="76">
        <v>45772.0</v>
      </c>
      <c r="B3239" s="1" t="s">
        <v>638</v>
      </c>
      <c r="C3239" s="1" t="s">
        <v>40</v>
      </c>
      <c r="D3239" s="1">
        <v>5.1</v>
      </c>
      <c r="E3239" s="1">
        <v>14168.0</v>
      </c>
      <c r="F3239" s="10">
        <f t="shared" si="1"/>
        <v>5.333333333</v>
      </c>
      <c r="G3239" s="10">
        <f t="array" ref="G3239">index('Player ID'!C:C,match(E3239,'Player ID'!B:B,0))</f>
        <v>621244</v>
      </c>
    </row>
    <row r="3240">
      <c r="A3240" s="76">
        <v>45772.0</v>
      </c>
      <c r="B3240" s="1" t="s">
        <v>467</v>
      </c>
      <c r="C3240" s="1" t="s">
        <v>58</v>
      </c>
      <c r="D3240" s="1">
        <v>1.0</v>
      </c>
      <c r="E3240" s="1">
        <v>15551.0</v>
      </c>
      <c r="F3240" s="10">
        <f t="shared" si="1"/>
        <v>1</v>
      </c>
      <c r="G3240" s="10">
        <f t="array" ref="G3240">index('Player ID'!C:C,match(E3240,'Player ID'!B:B,0))</f>
        <v>643410</v>
      </c>
    </row>
    <row r="3241">
      <c r="A3241" s="76">
        <v>45772.0</v>
      </c>
      <c r="B3241" s="1" t="s">
        <v>114</v>
      </c>
      <c r="C3241" s="1" t="s">
        <v>58</v>
      </c>
      <c r="D3241" s="1">
        <v>0.0</v>
      </c>
      <c r="E3241" s="1">
        <v>15816.0</v>
      </c>
      <c r="F3241" s="10">
        <f t="shared" si="1"/>
        <v>0</v>
      </c>
      <c r="G3241" s="10">
        <f t="array" ref="G3241">index('Player ID'!C:C,match(E3241,'Player ID'!B:B,0))</f>
        <v>642207</v>
      </c>
    </row>
    <row r="3242">
      <c r="A3242" s="76">
        <v>45772.0</v>
      </c>
      <c r="B3242" s="1" t="s">
        <v>69</v>
      </c>
      <c r="C3242" s="1" t="s">
        <v>58</v>
      </c>
      <c r="D3242" s="1">
        <v>1.1</v>
      </c>
      <c r="E3242" s="1">
        <v>16814.0</v>
      </c>
      <c r="F3242" s="10">
        <f t="shared" si="1"/>
        <v>1.333333333</v>
      </c>
      <c r="G3242" s="10">
        <f t="array" ref="G3242">index('Player ID'!C:C,match(E3242,'Player ID'!B:B,0))</f>
        <v>657612</v>
      </c>
    </row>
    <row r="3243">
      <c r="A3243" s="76">
        <v>45772.0</v>
      </c>
      <c r="B3243" s="1" t="s">
        <v>311</v>
      </c>
      <c r="C3243" s="1" t="s">
        <v>40</v>
      </c>
      <c r="D3243" s="1">
        <v>1.0</v>
      </c>
      <c r="E3243" s="1">
        <v>17432.0</v>
      </c>
      <c r="F3243" s="10">
        <f t="shared" si="1"/>
        <v>1</v>
      </c>
      <c r="G3243" s="10">
        <f t="array" ref="G3243">index('Player ID'!C:C,match(E3243,'Player ID'!B:B,0))</f>
        <v>656546</v>
      </c>
    </row>
    <row r="3244">
      <c r="A3244" s="76">
        <v>45772.0</v>
      </c>
      <c r="B3244" s="1" t="s">
        <v>520</v>
      </c>
      <c r="C3244" s="1" t="s">
        <v>58</v>
      </c>
      <c r="D3244" s="1">
        <v>0.2</v>
      </c>
      <c r="E3244" s="1">
        <v>19261.0</v>
      </c>
      <c r="F3244" s="10">
        <f t="shared" si="1"/>
        <v>0.6666666667</v>
      </c>
      <c r="G3244" s="10">
        <f t="array" ref="G3244">index('Player ID'!C:C,match(E3244,'Player ID'!B:B,0))</f>
        <v>641656</v>
      </c>
    </row>
    <row r="3245">
      <c r="A3245" s="76">
        <v>45772.0</v>
      </c>
      <c r="B3245" s="1" t="s">
        <v>395</v>
      </c>
      <c r="C3245" s="1" t="s">
        <v>40</v>
      </c>
      <c r="D3245" s="1">
        <v>1.1</v>
      </c>
      <c r="E3245" s="1">
        <v>21574.0</v>
      </c>
      <c r="F3245" s="10">
        <f t="shared" si="1"/>
        <v>1.333333333</v>
      </c>
      <c r="G3245" s="10">
        <f t="array" ref="G3245">index('Player ID'!C:C,match(E3245,'Player ID'!B:B,0))</f>
        <v>663893</v>
      </c>
    </row>
    <row r="3246">
      <c r="A3246" s="76">
        <v>45772.0</v>
      </c>
      <c r="B3246" s="1" t="s">
        <v>142</v>
      </c>
      <c r="C3246" s="1" t="s">
        <v>40</v>
      </c>
      <c r="D3246" s="1">
        <v>0.2</v>
      </c>
      <c r="E3246" s="1">
        <v>31553.0</v>
      </c>
      <c r="F3246" s="10">
        <f t="shared" si="1"/>
        <v>0.6666666667</v>
      </c>
      <c r="G3246" s="10">
        <f t="array" ref="G3246">index('Player ID'!C:C,match(E3246,'Player ID'!B:B,0))</f>
        <v>689254</v>
      </c>
    </row>
    <row r="3247">
      <c r="A3247" s="76">
        <v>45772.0</v>
      </c>
      <c r="B3247" s="1" t="s">
        <v>452</v>
      </c>
      <c r="C3247" s="1" t="s">
        <v>29</v>
      </c>
      <c r="D3247" s="1">
        <v>8.0</v>
      </c>
      <c r="E3247" s="1">
        <v>12447.0</v>
      </c>
      <c r="F3247" s="10">
        <f t="shared" si="1"/>
        <v>8</v>
      </c>
      <c r="G3247" s="10">
        <f t="array" ref="G3247">index('Player ID'!C:C,match(E3247,'Player ID'!B:B,0))</f>
        <v>607625</v>
      </c>
    </row>
    <row r="3248">
      <c r="A3248" s="76">
        <v>45772.0</v>
      </c>
      <c r="B3248" s="1" t="s">
        <v>38</v>
      </c>
      <c r="C3248" s="1" t="s">
        <v>39</v>
      </c>
      <c r="D3248" s="1">
        <v>1.0</v>
      </c>
      <c r="E3248" s="1">
        <v>13580.0</v>
      </c>
      <c r="F3248" s="10">
        <f t="shared" si="1"/>
        <v>1</v>
      </c>
      <c r="G3248" s="10">
        <f t="array" ref="G3248">index('Player ID'!C:C,match(E3248,'Player ID'!B:B,0))</f>
        <v>595345</v>
      </c>
    </row>
    <row r="3249">
      <c r="A3249" s="76">
        <v>45772.0</v>
      </c>
      <c r="B3249" s="1" t="s">
        <v>447</v>
      </c>
      <c r="C3249" s="1" t="s">
        <v>39</v>
      </c>
      <c r="D3249" s="1">
        <v>1.0</v>
      </c>
      <c r="E3249" s="1">
        <v>13652.0</v>
      </c>
      <c r="F3249" s="10">
        <f t="shared" si="1"/>
        <v>1</v>
      </c>
      <c r="G3249" s="10">
        <f t="array" ref="G3249">index('Player ID'!C:C,match(E3249,'Player ID'!B:B,0))</f>
        <v>605463</v>
      </c>
    </row>
    <row r="3250">
      <c r="A3250" s="76">
        <v>45772.0</v>
      </c>
      <c r="B3250" s="1" t="s">
        <v>407</v>
      </c>
      <c r="C3250" s="1" t="s">
        <v>29</v>
      </c>
      <c r="D3250" s="1">
        <v>1.0</v>
      </c>
      <c r="E3250" s="1">
        <v>19360.0</v>
      </c>
      <c r="F3250" s="10">
        <f t="shared" si="1"/>
        <v>1</v>
      </c>
      <c r="G3250" s="10">
        <f t="array" ref="G3250">index('Player ID'!C:C,match(E3250,'Player ID'!B:B,0))</f>
        <v>668674</v>
      </c>
    </row>
    <row r="3251">
      <c r="A3251" s="76">
        <v>45772.0</v>
      </c>
      <c r="B3251" s="1" t="s">
        <v>102</v>
      </c>
      <c r="C3251" s="1" t="s">
        <v>39</v>
      </c>
      <c r="D3251" s="1">
        <v>1.0</v>
      </c>
      <c r="E3251" s="1">
        <v>21345.0</v>
      </c>
      <c r="F3251" s="10">
        <f t="shared" si="1"/>
        <v>1</v>
      </c>
      <c r="G3251" s="10">
        <f t="array" ref="G3251">index('Player ID'!C:C,match(E3251,'Player ID'!B:B,0))</f>
        <v>656986</v>
      </c>
    </row>
    <row r="3252">
      <c r="A3252" s="76">
        <v>45772.0</v>
      </c>
      <c r="B3252" s="1" t="s">
        <v>562</v>
      </c>
      <c r="C3252" s="1" t="s">
        <v>39</v>
      </c>
      <c r="D3252" s="1">
        <v>5.0</v>
      </c>
      <c r="E3252" s="1">
        <v>27581.0</v>
      </c>
      <c r="F3252" s="10">
        <f t="shared" si="1"/>
        <v>5</v>
      </c>
      <c r="G3252" s="10">
        <f t="array" ref="G3252">index('Player ID'!C:C,match(E3252,'Player ID'!B:B,0))</f>
        <v>669713</v>
      </c>
    </row>
    <row r="3253">
      <c r="A3253" s="76">
        <v>45772.0</v>
      </c>
      <c r="B3253" s="1" t="s">
        <v>399</v>
      </c>
      <c r="C3253" s="1" t="s">
        <v>25</v>
      </c>
      <c r="D3253" s="1">
        <v>3.0</v>
      </c>
      <c r="E3253" s="1">
        <v>12049.0</v>
      </c>
      <c r="F3253" s="10">
        <f t="shared" si="1"/>
        <v>3</v>
      </c>
      <c r="G3253" s="10">
        <f t="array" ref="G3253">index('Player ID'!C:C,match(E3253,'Player ID'!B:B,0))</f>
        <v>543294</v>
      </c>
    </row>
    <row r="3254">
      <c r="A3254" s="76">
        <v>45772.0</v>
      </c>
      <c r="B3254" s="1" t="s">
        <v>435</v>
      </c>
      <c r="C3254" s="1" t="s">
        <v>16</v>
      </c>
      <c r="D3254" s="1">
        <v>1.0</v>
      </c>
      <c r="E3254" s="1">
        <v>13293.0</v>
      </c>
      <c r="F3254" s="10">
        <f t="shared" si="1"/>
        <v>1</v>
      </c>
      <c r="G3254" s="10">
        <f t="array" ref="G3254">index('Player ID'!C:C,match(E3254,'Player ID'!B:B,0))</f>
        <v>543056</v>
      </c>
    </row>
    <row r="3255">
      <c r="A3255" s="76">
        <v>45772.0</v>
      </c>
      <c r="B3255" s="1" t="s">
        <v>803</v>
      </c>
      <c r="C3255" s="1" t="s">
        <v>25</v>
      </c>
      <c r="D3255" s="1">
        <v>2.0</v>
      </c>
      <c r="E3255" s="1">
        <v>13607.0</v>
      </c>
      <c r="F3255" s="10">
        <f t="shared" si="1"/>
        <v>2</v>
      </c>
      <c r="G3255" s="10">
        <f t="array" ref="G3255">index('Player ID'!C:C,match(E3255,'Player ID'!B:B,0))</f>
        <v>605218</v>
      </c>
    </row>
    <row r="3256">
      <c r="A3256" s="76">
        <v>45772.0</v>
      </c>
      <c r="B3256" s="1" t="s">
        <v>146</v>
      </c>
      <c r="C3256" s="1" t="s">
        <v>16</v>
      </c>
      <c r="D3256" s="1">
        <v>1.0</v>
      </c>
      <c r="E3256" s="1">
        <v>15145.0</v>
      </c>
      <c r="F3256" s="10">
        <f t="shared" si="1"/>
        <v>1</v>
      </c>
      <c r="G3256" s="10">
        <f t="array" ref="G3256">index('Player ID'!C:C,match(E3256,'Player ID'!B:B,0))</f>
        <v>623437</v>
      </c>
    </row>
    <row r="3257">
      <c r="A3257" s="76">
        <v>45772.0</v>
      </c>
      <c r="B3257" s="1" t="s">
        <v>664</v>
      </c>
      <c r="C3257" s="1" t="s">
        <v>16</v>
      </c>
      <c r="D3257" s="1">
        <v>5.0</v>
      </c>
      <c r="E3257" s="1">
        <v>17085.0</v>
      </c>
      <c r="F3257" s="10">
        <f t="shared" si="1"/>
        <v>5</v>
      </c>
      <c r="G3257" s="10">
        <f t="array" ref="G3257">index('Player ID'!C:C,match(E3257,'Player ID'!B:B,0))</f>
        <v>641154</v>
      </c>
    </row>
    <row r="3258">
      <c r="A3258" s="76">
        <v>45772.0</v>
      </c>
      <c r="B3258" s="1" t="s">
        <v>237</v>
      </c>
      <c r="C3258" s="1" t="s">
        <v>16</v>
      </c>
      <c r="D3258" s="1">
        <v>1.0</v>
      </c>
      <c r="E3258" s="1">
        <v>21461.0</v>
      </c>
      <c r="F3258" s="10">
        <f t="shared" si="1"/>
        <v>1</v>
      </c>
      <c r="G3258" s="10">
        <f t="array" ref="G3258">index('Player ID'!C:C,match(E3258,'Player ID'!B:B,0))</f>
        <v>663485</v>
      </c>
    </row>
    <row r="3259">
      <c r="A3259" s="76">
        <v>45772.0</v>
      </c>
      <c r="B3259" s="1" t="s">
        <v>47</v>
      </c>
      <c r="C3259" s="1" t="s">
        <v>16</v>
      </c>
      <c r="D3259" s="1">
        <v>1.0</v>
      </c>
      <c r="E3259" s="1">
        <v>27691.0</v>
      </c>
      <c r="F3259" s="10">
        <f t="shared" si="1"/>
        <v>1</v>
      </c>
      <c r="G3259" s="10">
        <f t="array" ref="G3259">index('Player ID'!C:C,match(E3259,'Player ID'!B:B,0))</f>
        <v>686973</v>
      </c>
    </row>
    <row r="3260">
      <c r="A3260" s="76">
        <v>45772.0</v>
      </c>
      <c r="B3260" s="1" t="s">
        <v>592</v>
      </c>
      <c r="C3260" s="1" t="s">
        <v>25</v>
      </c>
      <c r="D3260" s="1">
        <v>3.0</v>
      </c>
      <c r="E3260" s="1">
        <v>31533.0</v>
      </c>
      <c r="F3260" s="10">
        <f t="shared" si="1"/>
        <v>3</v>
      </c>
      <c r="G3260" s="10">
        <f t="array" ref="G3260">index('Player ID'!C:C,match(E3260,'Player ID'!B:B,0))</f>
        <v>682989</v>
      </c>
    </row>
    <row r="3261">
      <c r="A3261" s="76">
        <v>45772.0</v>
      </c>
      <c r="B3261" s="1" t="s">
        <v>187</v>
      </c>
      <c r="C3261" s="1" t="s">
        <v>14</v>
      </c>
      <c r="D3261" s="1">
        <v>1.0</v>
      </c>
      <c r="E3261" s="1">
        <v>17735.0</v>
      </c>
      <c r="F3261" s="10">
        <f t="shared" si="1"/>
        <v>1</v>
      </c>
      <c r="G3261" s="10">
        <f t="array" ref="G3261">index('Player ID'!C:C,match(E3261,'Player ID'!B:B,0))</f>
        <v>641302</v>
      </c>
    </row>
    <row r="3262">
      <c r="A3262" s="76">
        <v>45772.0</v>
      </c>
      <c r="B3262" s="1" t="s">
        <v>190</v>
      </c>
      <c r="C3262" s="1" t="s">
        <v>72</v>
      </c>
      <c r="D3262" s="1">
        <v>1.0</v>
      </c>
      <c r="E3262" s="1">
        <v>18064.0</v>
      </c>
      <c r="F3262" s="10">
        <f t="shared" si="1"/>
        <v>1</v>
      </c>
      <c r="G3262" s="10">
        <f t="array" ref="G3262">index('Player ID'!C:C,match(E3262,'Player ID'!B:B,0))</f>
        <v>664208</v>
      </c>
    </row>
    <row r="3263">
      <c r="A3263" s="76">
        <v>45772.0</v>
      </c>
      <c r="B3263" s="1" t="s">
        <v>270</v>
      </c>
      <c r="C3263" s="1" t="s">
        <v>72</v>
      </c>
      <c r="D3263" s="1">
        <v>1.0</v>
      </c>
      <c r="E3263" s="1">
        <v>18138.0</v>
      </c>
      <c r="F3263" s="10">
        <f t="shared" si="1"/>
        <v>1</v>
      </c>
      <c r="G3263" s="10">
        <f t="array" ref="G3263">index('Player ID'!C:C,match(E3263,'Player ID'!B:B,0))</f>
        <v>664854</v>
      </c>
    </row>
    <row r="3264">
      <c r="A3264" s="76">
        <v>45772.0</v>
      </c>
      <c r="B3264" s="1" t="s">
        <v>318</v>
      </c>
      <c r="C3264" s="1" t="s">
        <v>14</v>
      </c>
      <c r="D3264" s="1">
        <v>1.0</v>
      </c>
      <c r="E3264" s="1">
        <v>20546.0</v>
      </c>
      <c r="F3264" s="10">
        <f t="shared" si="1"/>
        <v>1</v>
      </c>
      <c r="G3264" s="10">
        <f t="array" ref="G3264">index('Player ID'!C:C,match(E3264,'Player ID'!B:B,0))</f>
        <v>681982</v>
      </c>
    </row>
    <row r="3265">
      <c r="A3265" s="76">
        <v>45772.0</v>
      </c>
      <c r="B3265" s="1" t="s">
        <v>290</v>
      </c>
      <c r="C3265" s="1" t="s">
        <v>72</v>
      </c>
      <c r="D3265" s="1">
        <v>6.0</v>
      </c>
      <c r="E3265" s="1">
        <v>22294.0</v>
      </c>
      <c r="F3265" s="10">
        <f t="shared" si="1"/>
        <v>6</v>
      </c>
      <c r="G3265" s="10">
        <f t="array" ref="G3265">index('Player ID'!C:C,match(E3265,'Player ID'!B:B,0))</f>
        <v>669461</v>
      </c>
    </row>
    <row r="3266">
      <c r="A3266" s="76">
        <v>45772.0</v>
      </c>
      <c r="B3266" s="1" t="s">
        <v>170</v>
      </c>
      <c r="C3266" s="1" t="s">
        <v>72</v>
      </c>
      <c r="D3266" s="1">
        <v>1.0</v>
      </c>
      <c r="E3266" s="1">
        <v>24763.0</v>
      </c>
      <c r="F3266" s="10">
        <f t="shared" si="1"/>
        <v>1</v>
      </c>
      <c r="G3266" s="10">
        <f t="array" ref="G3266">index('Player ID'!C:C,match(E3266,'Player ID'!B:B,0))</f>
        <v>681517</v>
      </c>
    </row>
    <row r="3267">
      <c r="A3267" s="76">
        <v>45772.0</v>
      </c>
      <c r="B3267" s="1" t="s">
        <v>496</v>
      </c>
      <c r="C3267" s="1" t="s">
        <v>14</v>
      </c>
      <c r="D3267" s="1">
        <v>4.1</v>
      </c>
      <c r="E3267" s="1">
        <v>30113.0</v>
      </c>
      <c r="F3267" s="10">
        <f t="shared" si="1"/>
        <v>4.333333333</v>
      </c>
      <c r="G3267" s="10">
        <f t="array" ref="G3267">index('Player ID'!C:C,match(E3267,'Player ID'!B:B,0))</f>
        <v>694477</v>
      </c>
    </row>
    <row r="3268">
      <c r="A3268" s="76">
        <v>45772.0</v>
      </c>
      <c r="B3268" s="1" t="s">
        <v>815</v>
      </c>
      <c r="C3268" s="1" t="s">
        <v>14</v>
      </c>
      <c r="D3268" s="1">
        <v>1.2</v>
      </c>
      <c r="E3268" s="1">
        <v>33248.0</v>
      </c>
      <c r="F3268" s="10">
        <f t="shared" si="1"/>
        <v>1.666666667</v>
      </c>
      <c r="G3268" s="10">
        <f t="array" ref="G3268">index('Player ID'!C:C,match(E3268,'Player ID'!B:B,0))</f>
        <v>684974</v>
      </c>
    </row>
    <row r="3269">
      <c r="A3269" s="76">
        <v>45772.0</v>
      </c>
      <c r="B3269" s="1" t="s">
        <v>704</v>
      </c>
      <c r="C3269" s="1" t="s">
        <v>75</v>
      </c>
      <c r="D3269" s="1">
        <v>0.1</v>
      </c>
      <c r="E3269" s="1">
        <v>10591.0</v>
      </c>
      <c r="F3269" s="10">
        <f t="shared" si="1"/>
        <v>0.3333333333</v>
      </c>
      <c r="G3269" s="10">
        <f t="array" ref="G3269">index('Player ID'!C:C,match(E3269,'Player ID'!B:B,0))</f>
        <v>518397</v>
      </c>
    </row>
    <row r="3270">
      <c r="A3270" s="76">
        <v>45772.0</v>
      </c>
      <c r="B3270" s="1" t="s">
        <v>362</v>
      </c>
      <c r="C3270" s="1" t="s">
        <v>66</v>
      </c>
      <c r="D3270" s="1">
        <v>1.0</v>
      </c>
      <c r="E3270" s="1">
        <v>13449.0</v>
      </c>
      <c r="F3270" s="10">
        <f t="shared" si="1"/>
        <v>1</v>
      </c>
      <c r="G3270" s="10">
        <f t="array" ref="G3270">index('Player ID'!C:C,match(E3270,'Player ID'!B:B,0))</f>
        <v>573124</v>
      </c>
    </row>
    <row r="3271">
      <c r="A3271" s="76">
        <v>45772.0</v>
      </c>
      <c r="B3271" s="1" t="s">
        <v>651</v>
      </c>
      <c r="C3271" s="1" t="s">
        <v>66</v>
      </c>
      <c r="D3271" s="1">
        <v>1.0</v>
      </c>
      <c r="E3271" s="1">
        <v>14771.0</v>
      </c>
      <c r="F3271" s="10">
        <f t="shared" si="1"/>
        <v>1</v>
      </c>
      <c r="G3271" s="10">
        <f t="array" ref="G3271">index('Player ID'!C:C,match(E3271,'Player ID'!B:B,0))</f>
        <v>641941</v>
      </c>
    </row>
    <row r="3272">
      <c r="A3272" s="76">
        <v>45772.0</v>
      </c>
      <c r="B3272" s="1" t="s">
        <v>189</v>
      </c>
      <c r="C3272" s="1" t="s">
        <v>75</v>
      </c>
      <c r="D3272" s="1">
        <v>4.1</v>
      </c>
      <c r="E3272" s="1">
        <v>16256.0</v>
      </c>
      <c r="F3272" s="10">
        <f t="shared" si="1"/>
        <v>4.333333333</v>
      </c>
      <c r="G3272" s="10">
        <f t="array" ref="G3272">index('Player ID'!C:C,match(E3272,'Player ID'!B:B,0))</f>
        <v>607536</v>
      </c>
    </row>
    <row r="3273">
      <c r="A3273" s="76">
        <v>45772.0</v>
      </c>
      <c r="B3273" s="1" t="s">
        <v>653</v>
      </c>
      <c r="C3273" s="1" t="s">
        <v>66</v>
      </c>
      <c r="D3273" s="1">
        <v>1.0</v>
      </c>
      <c r="E3273" s="1">
        <v>17871.0</v>
      </c>
      <c r="F3273" s="10">
        <f t="shared" si="1"/>
        <v>1</v>
      </c>
      <c r="G3273" s="10">
        <f t="array" ref="G3273">index('Player ID'!C:C,match(E3273,'Player ID'!B:B,0))</f>
        <v>664139</v>
      </c>
    </row>
    <row r="3274">
      <c r="A3274" s="76">
        <v>45772.0</v>
      </c>
      <c r="B3274" s="1" t="s">
        <v>345</v>
      </c>
      <c r="C3274" s="1" t="s">
        <v>66</v>
      </c>
      <c r="D3274" s="1">
        <v>1.0</v>
      </c>
      <c r="E3274" s="1">
        <v>19926.0</v>
      </c>
      <c r="F3274" s="10">
        <f t="shared" si="1"/>
        <v>1</v>
      </c>
      <c r="G3274" s="10">
        <f t="array" ref="G3274">index('Player ID'!C:C,match(E3274,'Player ID'!B:B,0))</f>
        <v>663574</v>
      </c>
    </row>
    <row r="3275">
      <c r="A3275" s="76">
        <v>45772.0</v>
      </c>
      <c r="B3275" s="1" t="s">
        <v>486</v>
      </c>
      <c r="C3275" s="1" t="s">
        <v>75</v>
      </c>
      <c r="D3275" s="1">
        <v>2.0</v>
      </c>
      <c r="E3275" s="1">
        <v>26790.0</v>
      </c>
      <c r="F3275" s="10">
        <f t="shared" si="1"/>
        <v>2</v>
      </c>
      <c r="G3275" s="10">
        <f t="array" ref="G3275">index('Player ID'!C:C,match(E3275,'Player ID'!B:B,0))</f>
        <v>683409</v>
      </c>
    </row>
    <row r="3276">
      <c r="A3276" s="76">
        <v>45772.0</v>
      </c>
      <c r="B3276" s="1" t="s">
        <v>211</v>
      </c>
      <c r="C3276" s="1" t="s">
        <v>66</v>
      </c>
      <c r="D3276" s="1">
        <v>1.0</v>
      </c>
      <c r="E3276" s="1">
        <v>27552.0</v>
      </c>
      <c r="F3276" s="10">
        <f t="shared" si="1"/>
        <v>1</v>
      </c>
      <c r="G3276" s="10">
        <f t="array" ref="G3276">index('Player ID'!C:C,match(E3276,'Player ID'!B:B,0))</f>
        <v>668933</v>
      </c>
    </row>
    <row r="3277">
      <c r="A3277" s="76">
        <v>45772.0</v>
      </c>
      <c r="B3277" s="1" t="s">
        <v>169</v>
      </c>
      <c r="C3277" s="1" t="s">
        <v>66</v>
      </c>
      <c r="D3277" s="1">
        <v>4.0</v>
      </c>
      <c r="E3277" s="1">
        <v>29911.0</v>
      </c>
      <c r="F3277" s="10">
        <f t="shared" si="1"/>
        <v>4</v>
      </c>
      <c r="G3277" s="10">
        <f t="array" ref="G3277">index('Player ID'!C:C,match(E3277,'Player ID'!B:B,0))</f>
        <v>671096</v>
      </c>
    </row>
    <row r="3278">
      <c r="A3278" s="76">
        <v>45772.0</v>
      </c>
      <c r="B3278" s="1" t="s">
        <v>512</v>
      </c>
      <c r="C3278" s="1" t="s">
        <v>75</v>
      </c>
      <c r="D3278" s="1">
        <v>1.1</v>
      </c>
      <c r="E3278" s="1">
        <v>31552.0</v>
      </c>
      <c r="F3278" s="10">
        <f t="shared" si="1"/>
        <v>1.333333333</v>
      </c>
      <c r="G3278" s="10">
        <f t="array" ref="G3278">index('Player ID'!C:C,match(E3278,'Player ID'!B:B,0))</f>
        <v>688642</v>
      </c>
    </row>
    <row r="3279">
      <c r="A3279" s="76">
        <v>45772.0</v>
      </c>
      <c r="B3279" s="1" t="s">
        <v>488</v>
      </c>
      <c r="C3279" s="1" t="s">
        <v>75</v>
      </c>
      <c r="D3279" s="1">
        <v>1.0</v>
      </c>
      <c r="E3279" s="1">
        <v>33294.0</v>
      </c>
      <c r="F3279" s="10">
        <f t="shared" si="1"/>
        <v>1</v>
      </c>
      <c r="G3279" s="10">
        <f t="array" ref="G3279">index('Player ID'!C:C,match(E3279,'Player ID'!B:B,0))</f>
        <v>678020</v>
      </c>
    </row>
    <row r="3280">
      <c r="A3280" s="76">
        <v>45772.0</v>
      </c>
      <c r="B3280" s="1" t="s">
        <v>404</v>
      </c>
      <c r="C3280" s="1" t="s">
        <v>26</v>
      </c>
      <c r="D3280" s="1">
        <v>1.0</v>
      </c>
      <c r="E3280" s="1">
        <v>14295.0</v>
      </c>
      <c r="F3280" s="10">
        <f t="shared" si="1"/>
        <v>1</v>
      </c>
      <c r="G3280" s="10">
        <f t="array" ref="G3280">index('Player ID'!C:C,match(E3280,'Player ID'!B:B,0))</f>
        <v>593974</v>
      </c>
    </row>
    <row r="3281">
      <c r="A3281" s="76">
        <v>45772.0</v>
      </c>
      <c r="B3281" s="1" t="s">
        <v>185</v>
      </c>
      <c r="C3281" s="1" t="s">
        <v>54</v>
      </c>
      <c r="D3281" s="1">
        <v>1.0</v>
      </c>
      <c r="E3281" s="1">
        <v>17897.0</v>
      </c>
      <c r="F3281" s="10">
        <f t="shared" si="1"/>
        <v>1</v>
      </c>
      <c r="G3281" s="10">
        <f t="array" ref="G3281">index('Player ID'!C:C,match(E3281,'Player ID'!B:B,0))</f>
        <v>664076</v>
      </c>
    </row>
    <row r="3282">
      <c r="A3282" s="76">
        <v>45772.0</v>
      </c>
      <c r="B3282" s="1" t="s">
        <v>207</v>
      </c>
      <c r="C3282" s="1" t="s">
        <v>26</v>
      </c>
      <c r="D3282" s="1">
        <v>5.0</v>
      </c>
      <c r="E3282" s="1">
        <v>19853.0</v>
      </c>
      <c r="F3282" s="10">
        <f t="shared" si="1"/>
        <v>5</v>
      </c>
      <c r="G3282" s="10">
        <f t="array" ref="G3282">index('Player ID'!C:C,match(E3282,'Player ID'!B:B,0))</f>
        <v>650633</v>
      </c>
    </row>
    <row r="3283">
      <c r="A3283" s="76">
        <v>45772.0</v>
      </c>
      <c r="B3283" s="1" t="s">
        <v>49</v>
      </c>
      <c r="C3283" s="1" t="s">
        <v>26</v>
      </c>
      <c r="D3283" s="1">
        <v>1.0</v>
      </c>
      <c r="E3283" s="1">
        <v>20039.0</v>
      </c>
      <c r="F3283" s="10">
        <f t="shared" si="1"/>
        <v>1</v>
      </c>
      <c r="G3283" s="10">
        <f t="array" ref="G3283">index('Player ID'!C:C,match(E3283,'Player ID'!B:B,0))</f>
        <v>670970</v>
      </c>
    </row>
    <row r="3284">
      <c r="A3284" s="76">
        <v>45772.0</v>
      </c>
      <c r="B3284" s="1" t="s">
        <v>705</v>
      </c>
      <c r="C3284" s="1" t="s">
        <v>54</v>
      </c>
      <c r="D3284" s="1">
        <v>1.0</v>
      </c>
      <c r="E3284" s="1">
        <v>20794.0</v>
      </c>
      <c r="F3284" s="10">
        <f t="shared" si="1"/>
        <v>1</v>
      </c>
      <c r="G3284" s="10">
        <f t="array" ref="G3284">index('Player ID'!C:C,match(E3284,'Player ID'!B:B,0))</f>
        <v>655889</v>
      </c>
    </row>
    <row r="3285">
      <c r="A3285" s="76">
        <v>45772.0</v>
      </c>
      <c r="B3285" s="1" t="s">
        <v>94</v>
      </c>
      <c r="C3285" s="1" t="s">
        <v>26</v>
      </c>
      <c r="D3285" s="1">
        <v>1.0</v>
      </c>
      <c r="E3285" s="1">
        <v>22210.0</v>
      </c>
      <c r="F3285" s="10">
        <f t="shared" si="1"/>
        <v>1</v>
      </c>
      <c r="G3285" s="10">
        <f t="array" ref="G3285">index('Player ID'!C:C,match(E3285,'Player ID'!B:B,0))</f>
        <v>669093</v>
      </c>
    </row>
    <row r="3286">
      <c r="A3286" s="76">
        <v>45772.0</v>
      </c>
      <c r="B3286" s="1" t="s">
        <v>242</v>
      </c>
      <c r="C3286" s="1" t="s">
        <v>54</v>
      </c>
      <c r="D3286" s="1">
        <v>7.0</v>
      </c>
      <c r="E3286" s="1">
        <v>22264.0</v>
      </c>
      <c r="F3286" s="10">
        <f t="shared" si="1"/>
        <v>7</v>
      </c>
      <c r="G3286" s="10">
        <f t="array" ref="G3286">index('Player ID'!C:C,match(E3286,'Player ID'!B:B,0))</f>
        <v>669358</v>
      </c>
    </row>
    <row r="3287">
      <c r="A3287" s="76">
        <v>45772.0</v>
      </c>
      <c r="B3287" s="1" t="s">
        <v>391</v>
      </c>
      <c r="C3287" s="1" t="s">
        <v>26</v>
      </c>
      <c r="D3287" s="1">
        <v>1.0</v>
      </c>
      <c r="E3287" s="1">
        <v>29628.0</v>
      </c>
      <c r="F3287" s="10">
        <f t="shared" si="1"/>
        <v>1</v>
      </c>
      <c r="G3287" s="10">
        <f t="array" ref="G3287">index('Player ID'!C:C,match(E3287,'Player ID'!B:B,0))</f>
        <v>689690</v>
      </c>
    </row>
    <row r="3288">
      <c r="A3288" s="76">
        <v>45772.0</v>
      </c>
      <c r="B3288" s="1" t="s">
        <v>620</v>
      </c>
      <c r="C3288" s="1" t="s">
        <v>46</v>
      </c>
      <c r="D3288" s="1">
        <v>1.0</v>
      </c>
      <c r="E3288" s="1">
        <v>5448.0</v>
      </c>
      <c r="F3288" s="10">
        <f t="shared" si="1"/>
        <v>1</v>
      </c>
      <c r="G3288" s="10">
        <f t="array" ref="G3288">index('Player ID'!C:C,match(E3288,'Player ID'!B:B,0))</f>
        <v>445926</v>
      </c>
    </row>
    <row r="3289">
      <c r="A3289" s="76">
        <v>45772.0</v>
      </c>
      <c r="B3289" s="1" t="s">
        <v>156</v>
      </c>
      <c r="C3289" s="1" t="s">
        <v>46</v>
      </c>
      <c r="D3289" s="1">
        <v>5.0</v>
      </c>
      <c r="E3289" s="1">
        <v>10603.0</v>
      </c>
      <c r="F3289" s="10">
        <f t="shared" si="1"/>
        <v>5</v>
      </c>
      <c r="G3289" s="10">
        <f t="array" ref="G3289">index('Player ID'!C:C,match(E3289,'Player ID'!B:B,0))</f>
        <v>519242</v>
      </c>
    </row>
    <row r="3290">
      <c r="A3290" s="76">
        <v>45772.0</v>
      </c>
      <c r="B3290" s="1" t="s">
        <v>319</v>
      </c>
      <c r="C3290" s="1" t="s">
        <v>46</v>
      </c>
      <c r="D3290" s="1">
        <v>1.0</v>
      </c>
      <c r="E3290" s="1">
        <v>16258.0</v>
      </c>
      <c r="F3290" s="10">
        <f t="shared" si="1"/>
        <v>1</v>
      </c>
      <c r="G3290" s="10">
        <f t="array" ref="G3290">index('Player ID'!C:C,match(E3290,'Player ID'!B:B,0))</f>
        <v>607481</v>
      </c>
    </row>
    <row r="3291">
      <c r="A3291" s="76">
        <v>45772.0</v>
      </c>
      <c r="B3291" s="1" t="s">
        <v>346</v>
      </c>
      <c r="C3291" s="1" t="s">
        <v>46</v>
      </c>
      <c r="D3291" s="1">
        <v>1.0</v>
      </c>
      <c r="E3291" s="1">
        <v>18403.0</v>
      </c>
      <c r="F3291" s="10">
        <f t="shared" si="1"/>
        <v>1</v>
      </c>
      <c r="G3291" s="10">
        <f t="array" ref="G3291">index('Player ID'!C:C,match(E3291,'Player ID'!B:B,0))</f>
        <v>660853</v>
      </c>
    </row>
    <row r="3292">
      <c r="A3292" s="76">
        <v>45772.0</v>
      </c>
      <c r="B3292" s="1" t="s">
        <v>195</v>
      </c>
      <c r="C3292" s="1" t="s">
        <v>64</v>
      </c>
      <c r="D3292" s="1">
        <v>5.0</v>
      </c>
      <c r="E3292" s="1">
        <v>19291.0</v>
      </c>
      <c r="F3292" s="10">
        <f t="shared" si="1"/>
        <v>5</v>
      </c>
      <c r="G3292" s="10">
        <f t="array" ref="G3292">index('Player ID'!C:C,match(E3292,'Player ID'!B:B,0))</f>
        <v>668678</v>
      </c>
    </row>
    <row r="3293">
      <c r="A3293" s="76">
        <v>45772.0</v>
      </c>
      <c r="B3293" s="1" t="s">
        <v>91</v>
      </c>
      <c r="C3293" s="1" t="s">
        <v>46</v>
      </c>
      <c r="D3293" s="1">
        <v>1.0</v>
      </c>
      <c r="E3293" s="1">
        <v>19996.0</v>
      </c>
      <c r="F3293" s="10">
        <f t="shared" si="1"/>
        <v>1</v>
      </c>
      <c r="G3293" s="10">
        <f t="array" ref="G3293">index('Player ID'!C:C,match(E3293,'Player ID'!B:B,0))</f>
        <v>669276</v>
      </c>
    </row>
    <row r="3294">
      <c r="A3294" s="76">
        <v>45772.0</v>
      </c>
      <c r="B3294" s="1" t="s">
        <v>370</v>
      </c>
      <c r="C3294" s="1" t="s">
        <v>64</v>
      </c>
      <c r="D3294" s="1">
        <v>1.0</v>
      </c>
      <c r="E3294" s="1">
        <v>21924.0</v>
      </c>
      <c r="F3294" s="10">
        <f t="shared" si="1"/>
        <v>1</v>
      </c>
      <c r="G3294" s="10">
        <f t="array" ref="G3294">index('Player ID'!C:C,match(E3294,'Player ID'!B:B,0))</f>
        <v>666661</v>
      </c>
    </row>
    <row r="3295">
      <c r="A3295" s="76">
        <v>45772.0</v>
      </c>
      <c r="B3295" s="1" t="s">
        <v>819</v>
      </c>
      <c r="C3295" s="1" t="s">
        <v>64</v>
      </c>
      <c r="D3295" s="1">
        <v>3.0</v>
      </c>
      <c r="E3295" s="1">
        <v>29271.0</v>
      </c>
      <c r="F3295" s="10">
        <f t="shared" si="1"/>
        <v>3</v>
      </c>
      <c r="G3295" s="10">
        <f t="array" ref="G3295">index('Player ID'!C:C,match(E3295,'Player ID'!B:B,0))</f>
        <v>700270</v>
      </c>
    </row>
    <row r="3296">
      <c r="A3296" s="76">
        <v>45772.0</v>
      </c>
      <c r="B3296" s="1" t="s">
        <v>558</v>
      </c>
      <c r="C3296" s="1" t="s">
        <v>37</v>
      </c>
      <c r="D3296" s="1">
        <v>5.0</v>
      </c>
      <c r="E3296" s="1">
        <v>11121.0</v>
      </c>
      <c r="F3296" s="10">
        <f t="shared" si="1"/>
        <v>5</v>
      </c>
      <c r="G3296" s="10">
        <f t="array" ref="G3296">index('Player ID'!C:C,match(E3296,'Player ID'!B:B,0))</f>
        <v>596271</v>
      </c>
    </row>
    <row r="3297">
      <c r="A3297" s="76">
        <v>45772.0</v>
      </c>
      <c r="B3297" s="1" t="s">
        <v>661</v>
      </c>
      <c r="C3297" s="1" t="s">
        <v>36</v>
      </c>
      <c r="D3297" s="1">
        <v>1.1</v>
      </c>
      <c r="E3297" s="1">
        <v>16300.0</v>
      </c>
      <c r="F3297" s="10">
        <f t="shared" si="1"/>
        <v>1.333333333</v>
      </c>
      <c r="G3297" s="10">
        <f t="array" ref="G3297">index('Player ID'!C:C,match(E3297,'Player ID'!B:B,0))</f>
        <v>622786</v>
      </c>
    </row>
    <row r="3298">
      <c r="A3298" s="76">
        <v>45772.0</v>
      </c>
      <c r="B3298" s="1" t="s">
        <v>464</v>
      </c>
      <c r="C3298" s="1" t="s">
        <v>36</v>
      </c>
      <c r="D3298" s="1">
        <v>5.2</v>
      </c>
      <c r="E3298" s="1">
        <v>19312.0</v>
      </c>
      <c r="F3298" s="10">
        <f t="shared" si="1"/>
        <v>5.666666667</v>
      </c>
      <c r="G3298" s="10">
        <f t="array" ref="G3298">index('Player ID'!C:C,match(E3298,'Player ID'!B:B,0))</f>
        <v>615698</v>
      </c>
    </row>
    <row r="3299">
      <c r="A3299" s="76">
        <v>45772.0</v>
      </c>
      <c r="B3299" s="1" t="s">
        <v>262</v>
      </c>
      <c r="C3299" s="1" t="s">
        <v>36</v>
      </c>
      <c r="D3299" s="1">
        <v>1.0</v>
      </c>
      <c r="E3299" s="1">
        <v>20116.0</v>
      </c>
      <c r="F3299" s="10">
        <f t="shared" si="1"/>
        <v>1</v>
      </c>
      <c r="G3299" s="10">
        <f t="array" ref="G3299">index('Player ID'!C:C,match(E3299,'Player ID'!B:B,0))</f>
        <v>676534</v>
      </c>
    </row>
    <row r="3300">
      <c r="A3300" s="76">
        <v>45772.0</v>
      </c>
      <c r="B3300" s="1" t="s">
        <v>157</v>
      </c>
      <c r="C3300" s="1" t="s">
        <v>37</v>
      </c>
      <c r="D3300" s="1">
        <v>1.0</v>
      </c>
      <c r="E3300" s="1">
        <v>20997.0</v>
      </c>
      <c r="F3300" s="10">
        <f t="shared" si="1"/>
        <v>1</v>
      </c>
      <c r="G3300" s="10">
        <f t="array" ref="G3300">index('Player ID'!C:C,match(E3300,'Player ID'!B:B,0))</f>
        <v>660825</v>
      </c>
    </row>
    <row r="3301">
      <c r="A3301" s="76">
        <v>45772.0</v>
      </c>
      <c r="B3301" s="1" t="s">
        <v>153</v>
      </c>
      <c r="C3301" s="1" t="s">
        <v>37</v>
      </c>
      <c r="D3301" s="1">
        <v>3.0</v>
      </c>
      <c r="E3301" s="1">
        <v>22250.0</v>
      </c>
      <c r="F3301" s="10">
        <f t="shared" si="1"/>
        <v>3</v>
      </c>
      <c r="G3301" s="10">
        <f t="array" ref="G3301">index('Player ID'!C:C,match(E3301,'Player ID'!B:B,0))</f>
        <v>669302</v>
      </c>
    </row>
    <row r="3302">
      <c r="A3302" s="76">
        <v>45772.0</v>
      </c>
      <c r="B3302" s="1" t="s">
        <v>123</v>
      </c>
      <c r="C3302" s="1" t="s">
        <v>36</v>
      </c>
      <c r="D3302" s="1">
        <v>1.0</v>
      </c>
      <c r="E3302" s="1">
        <v>24094.0</v>
      </c>
      <c r="F3302" s="10">
        <f t="shared" si="1"/>
        <v>1</v>
      </c>
      <c r="G3302" s="10">
        <f t="array" ref="G3302">index('Player ID'!C:C,match(E3302,'Player ID'!B:B,0))</f>
        <v>678692</v>
      </c>
    </row>
    <row r="3303">
      <c r="A3303" s="76">
        <v>45772.0</v>
      </c>
      <c r="B3303" s="1" t="s">
        <v>281</v>
      </c>
      <c r="C3303" s="1" t="s">
        <v>52</v>
      </c>
      <c r="D3303" s="1">
        <v>6.0</v>
      </c>
      <c r="E3303" s="1">
        <v>15890.0</v>
      </c>
      <c r="F3303" s="10">
        <f t="shared" si="1"/>
        <v>6</v>
      </c>
      <c r="G3303" s="10">
        <f t="array" ref="G3303">index('Player ID'!C:C,match(E3303,'Player ID'!B:B,0))</f>
        <v>622663</v>
      </c>
    </row>
    <row r="3304">
      <c r="A3304" s="76">
        <v>45772.0</v>
      </c>
      <c r="B3304" s="1" t="s">
        <v>478</v>
      </c>
      <c r="C3304" s="1" t="s">
        <v>78</v>
      </c>
      <c r="D3304" s="1">
        <v>1.0</v>
      </c>
      <c r="E3304" s="1">
        <v>17964.0</v>
      </c>
      <c r="F3304" s="10">
        <f t="shared" si="1"/>
        <v>1</v>
      </c>
      <c r="G3304" s="10">
        <f t="array" ref="G3304">index('Player ID'!C:C,match(E3304,'Player ID'!B:B,0))</f>
        <v>656457</v>
      </c>
    </row>
    <row r="3305">
      <c r="A3305" s="76">
        <v>45772.0</v>
      </c>
      <c r="B3305" s="1" t="s">
        <v>658</v>
      </c>
      <c r="C3305" s="1" t="s">
        <v>78</v>
      </c>
      <c r="D3305" s="1">
        <v>0.2</v>
      </c>
      <c r="E3305" s="1">
        <v>25174.0</v>
      </c>
      <c r="F3305" s="10">
        <f t="shared" si="1"/>
        <v>0.6666666667</v>
      </c>
      <c r="G3305" s="10">
        <f t="array" ref="G3305">index('Player ID'!C:C,match(E3305,'Player ID'!B:B,0))</f>
        <v>682171</v>
      </c>
    </row>
    <row r="3306">
      <c r="A3306" s="76">
        <v>45772.0</v>
      </c>
      <c r="B3306" s="1" t="s">
        <v>706</v>
      </c>
      <c r="C3306" s="1" t="s">
        <v>78</v>
      </c>
      <c r="D3306" s="1">
        <v>1.0</v>
      </c>
      <c r="E3306" s="1">
        <v>27472.0</v>
      </c>
      <c r="F3306" s="10">
        <f t="shared" si="1"/>
        <v>1</v>
      </c>
      <c r="G3306" s="10">
        <f t="array" ref="G3306">index('Player ID'!C:C,match(E3306,'Player ID'!B:B,0))</f>
        <v>694363</v>
      </c>
    </row>
    <row r="3307">
      <c r="A3307" s="76">
        <v>45772.0</v>
      </c>
      <c r="B3307" s="1" t="s">
        <v>213</v>
      </c>
      <c r="C3307" s="1" t="s">
        <v>52</v>
      </c>
      <c r="D3307" s="1">
        <v>1.1</v>
      </c>
      <c r="E3307" s="1">
        <v>27694.0</v>
      </c>
      <c r="F3307" s="10">
        <f t="shared" si="1"/>
        <v>1.333333333</v>
      </c>
      <c r="G3307" s="10">
        <f t="array" ref="G3307">index('Player ID'!C:C,match(E3307,'Player ID'!B:B,0))</f>
        <v>686993</v>
      </c>
    </row>
    <row r="3308">
      <c r="A3308" s="76">
        <v>45772.0</v>
      </c>
      <c r="B3308" s="1" t="s">
        <v>127</v>
      </c>
      <c r="C3308" s="1" t="s">
        <v>52</v>
      </c>
      <c r="D3308" s="1">
        <v>0.2</v>
      </c>
      <c r="E3308" s="1">
        <v>27707.0</v>
      </c>
      <c r="F3308" s="10">
        <f t="shared" si="1"/>
        <v>0.6666666667</v>
      </c>
      <c r="G3308" s="10">
        <f t="array" ref="G3308">index('Player ID'!C:C,match(E3308,'Player ID'!B:B,0))</f>
        <v>687765</v>
      </c>
    </row>
    <row r="3309">
      <c r="A3309" s="76">
        <v>45772.0</v>
      </c>
      <c r="B3309" s="1" t="s">
        <v>356</v>
      </c>
      <c r="C3309" s="1" t="s">
        <v>78</v>
      </c>
      <c r="D3309" s="1">
        <v>5.1</v>
      </c>
      <c r="E3309" s="1">
        <v>29878.0</v>
      </c>
      <c r="F3309" s="10">
        <f t="shared" si="1"/>
        <v>5.333333333</v>
      </c>
      <c r="G3309" s="10">
        <f t="array" ref="G3309">index('Player ID'!C:C,match(E3309,'Player ID'!B:B,0))</f>
        <v>680732</v>
      </c>
    </row>
    <row r="3310">
      <c r="A3310" s="76">
        <v>45772.0</v>
      </c>
      <c r="B3310" s="1" t="s">
        <v>286</v>
      </c>
      <c r="C3310" s="1" t="s">
        <v>52</v>
      </c>
      <c r="D3310" s="1">
        <v>1.0</v>
      </c>
      <c r="E3310" s="1">
        <v>31757.0</v>
      </c>
      <c r="F3310" s="10">
        <f t="shared" si="1"/>
        <v>1</v>
      </c>
      <c r="G3310" s="10">
        <f t="array" ref="G3310">index('Player ID'!C:C,match(E3310,'Player ID'!B:B,0))</f>
        <v>695243</v>
      </c>
    </row>
    <row r="3311">
      <c r="A3311" s="76">
        <v>45772.0</v>
      </c>
      <c r="B3311" s="1" t="s">
        <v>595</v>
      </c>
      <c r="C3311" s="1" t="s">
        <v>33</v>
      </c>
      <c r="D3311" s="1">
        <v>1.0</v>
      </c>
      <c r="E3311" s="1">
        <v>6984.0</v>
      </c>
      <c r="F3311" s="10">
        <f t="shared" si="1"/>
        <v>1</v>
      </c>
      <c r="G3311" s="10">
        <f t="array" ref="G3311">index('Player ID'!C:C,match(E3311,'Player ID'!B:B,0))</f>
        <v>472610</v>
      </c>
    </row>
    <row r="3312">
      <c r="A3312" s="76">
        <v>45772.0</v>
      </c>
      <c r="B3312" s="1" t="s">
        <v>443</v>
      </c>
      <c r="C3312" s="1" t="s">
        <v>60</v>
      </c>
      <c r="D3312" s="1">
        <v>0.2</v>
      </c>
      <c r="E3312" s="1">
        <v>16350.0</v>
      </c>
      <c r="F3312" s="10">
        <f t="shared" si="1"/>
        <v>0.6666666667</v>
      </c>
      <c r="G3312" s="10">
        <f t="array" ref="G3312">index('Player ID'!C:C,match(E3312,'Player ID'!B:B,0))</f>
        <v>621366</v>
      </c>
    </row>
    <row r="3313">
      <c r="A3313" s="76">
        <v>45772.0</v>
      </c>
      <c r="B3313" s="1" t="s">
        <v>217</v>
      </c>
      <c r="C3313" s="1" t="s">
        <v>60</v>
      </c>
      <c r="D3313" s="1">
        <v>1.0</v>
      </c>
      <c r="E3313" s="1">
        <v>17878.0</v>
      </c>
      <c r="F3313" s="10">
        <f t="shared" si="1"/>
        <v>1</v>
      </c>
      <c r="G3313" s="10">
        <f t="array" ref="G3313">index('Player ID'!C:C,match(E3313,'Player ID'!B:B,0))</f>
        <v>642701</v>
      </c>
    </row>
    <row r="3314">
      <c r="A3314" s="76">
        <v>45772.0</v>
      </c>
      <c r="B3314" s="1" t="s">
        <v>183</v>
      </c>
      <c r="C3314" s="1" t="s">
        <v>60</v>
      </c>
      <c r="D3314" s="1">
        <v>1.0</v>
      </c>
      <c r="E3314" s="1">
        <v>19569.0</v>
      </c>
      <c r="F3314" s="10">
        <f t="shared" si="1"/>
        <v>1</v>
      </c>
      <c r="G3314" s="10">
        <f t="array" ref="G3314">index('Player ID'!C:C,match(E3314,'Player ID'!B:B,0))</f>
        <v>670280</v>
      </c>
    </row>
    <row r="3315">
      <c r="A3315" s="76">
        <v>45772.0</v>
      </c>
      <c r="B3315" s="1" t="s">
        <v>92</v>
      </c>
      <c r="C3315" s="1" t="s">
        <v>33</v>
      </c>
      <c r="D3315" s="1">
        <v>1.0</v>
      </c>
      <c r="E3315" s="1">
        <v>25007.0</v>
      </c>
      <c r="F3315" s="10">
        <f t="shared" si="1"/>
        <v>1</v>
      </c>
      <c r="G3315" s="10">
        <f t="array" ref="G3315">index('Player ID'!C:C,match(E3315,'Player ID'!B:B,0))</f>
        <v>681911</v>
      </c>
    </row>
    <row r="3316">
      <c r="A3316" s="76">
        <v>45772.0</v>
      </c>
      <c r="B3316" s="1" t="s">
        <v>816</v>
      </c>
      <c r="C3316" s="1" t="s">
        <v>33</v>
      </c>
      <c r="D3316" s="1">
        <v>2.0</v>
      </c>
      <c r="E3316" s="1">
        <v>25862.0</v>
      </c>
      <c r="F3316" s="10">
        <f t="shared" si="1"/>
        <v>2</v>
      </c>
      <c r="G3316" s="10">
        <f t="array" ref="G3316">index('Player ID'!C:C,match(E3316,'Player ID'!B:B,0))</f>
        <v>663562</v>
      </c>
    </row>
    <row r="3317">
      <c r="A3317" s="76">
        <v>45772.0</v>
      </c>
      <c r="B3317" s="1" t="s">
        <v>88</v>
      </c>
      <c r="C3317" s="1" t="s">
        <v>60</v>
      </c>
      <c r="D3317" s="1">
        <v>6.1</v>
      </c>
      <c r="E3317" s="1">
        <v>33677.0</v>
      </c>
      <c r="F3317" s="10">
        <f t="shared" si="1"/>
        <v>6.333333333</v>
      </c>
      <c r="G3317" s="10">
        <f t="array" ref="G3317">index('Player ID'!C:C,match(E3317,'Player ID'!B:B,0))</f>
        <v>694973</v>
      </c>
    </row>
    <row r="3318">
      <c r="A3318" s="76">
        <v>45772.0</v>
      </c>
      <c r="B3318" s="1" t="s">
        <v>85</v>
      </c>
      <c r="C3318" s="1" t="s">
        <v>33</v>
      </c>
      <c r="D3318" s="1">
        <v>5.0</v>
      </c>
      <c r="E3318" s="1">
        <v>33825.0</v>
      </c>
      <c r="F3318" s="10">
        <f t="shared" si="1"/>
        <v>5</v>
      </c>
      <c r="G3318" s="10">
        <f t="array" ref="G3318">index('Player ID'!C:C,match(E3318,'Player ID'!B:B,0))</f>
        <v>808967</v>
      </c>
    </row>
    <row r="3319">
      <c r="A3319" s="76">
        <v>45772.0</v>
      </c>
      <c r="B3319" s="1" t="s">
        <v>358</v>
      </c>
      <c r="C3319" s="1" t="s">
        <v>31</v>
      </c>
      <c r="D3319" s="1">
        <v>6.0</v>
      </c>
      <c r="E3319" s="1">
        <v>8700.0</v>
      </c>
      <c r="F3319" s="10">
        <f t="shared" si="1"/>
        <v>6</v>
      </c>
      <c r="G3319" s="10">
        <f t="array" ref="G3319">index('Player ID'!C:C,match(E3319,'Player ID'!B:B,0))</f>
        <v>434378</v>
      </c>
    </row>
    <row r="3320">
      <c r="A3320" s="76">
        <v>45772.0</v>
      </c>
      <c r="B3320" s="1" t="s">
        <v>115</v>
      </c>
      <c r="C3320" s="1" t="s">
        <v>56</v>
      </c>
      <c r="D3320" s="1">
        <v>6.0</v>
      </c>
      <c r="E3320" s="1">
        <v>9132.0</v>
      </c>
      <c r="F3320" s="10">
        <f t="shared" si="1"/>
        <v>6</v>
      </c>
      <c r="G3320" s="10">
        <f t="array" ref="G3320">index('Player ID'!C:C,match(E3320,'Player ID'!B:B,0))</f>
        <v>543135</v>
      </c>
    </row>
    <row r="3321">
      <c r="A3321" s="76">
        <v>45772.0</v>
      </c>
      <c r="B3321" s="1" t="s">
        <v>162</v>
      </c>
      <c r="C3321" s="1" t="s">
        <v>56</v>
      </c>
      <c r="D3321" s="1">
        <v>0.2</v>
      </c>
      <c r="E3321" s="1">
        <v>11752.0</v>
      </c>
      <c r="F3321" s="10">
        <f t="shared" si="1"/>
        <v>0.6666666667</v>
      </c>
      <c r="G3321" s="10">
        <f t="array" ref="G3321">index('Player ID'!C:C,match(E3321,'Player ID'!B:B,0))</f>
        <v>592426</v>
      </c>
    </row>
    <row r="3322">
      <c r="A3322" s="76">
        <v>45772.0</v>
      </c>
      <c r="B3322" s="1" t="s">
        <v>74</v>
      </c>
      <c r="C3322" s="1" t="s">
        <v>56</v>
      </c>
      <c r="D3322" s="1">
        <v>1.1</v>
      </c>
      <c r="E3322" s="1">
        <v>11847.0</v>
      </c>
      <c r="F3322" s="10">
        <f t="shared" si="1"/>
        <v>1.333333333</v>
      </c>
      <c r="G3322" s="10">
        <f t="array" ref="G3322">index('Player ID'!C:C,match(E3322,'Player ID'!B:B,0))</f>
        <v>455119</v>
      </c>
    </row>
    <row r="3323">
      <c r="A3323" s="76">
        <v>45772.0</v>
      </c>
      <c r="B3323" s="1" t="s">
        <v>403</v>
      </c>
      <c r="C3323" s="1" t="s">
        <v>31</v>
      </c>
      <c r="D3323" s="1">
        <v>1.0</v>
      </c>
      <c r="E3323" s="1">
        <v>20423.0</v>
      </c>
      <c r="F3323" s="10">
        <f t="shared" si="1"/>
        <v>1</v>
      </c>
      <c r="G3323" s="10">
        <f t="array" ref="G3323">index('Player ID'!C:C,match(E3323,'Player ID'!B:B,0))</f>
        <v>676254</v>
      </c>
    </row>
    <row r="3324">
      <c r="A3324" s="76">
        <v>45772.0</v>
      </c>
      <c r="B3324" s="1" t="s">
        <v>268</v>
      </c>
      <c r="C3324" s="1" t="s">
        <v>56</v>
      </c>
      <c r="D3324" s="1">
        <v>1.0</v>
      </c>
      <c r="E3324" s="1">
        <v>23363.0</v>
      </c>
      <c r="F3324" s="10">
        <f t="shared" si="1"/>
        <v>1</v>
      </c>
      <c r="G3324" s="10">
        <f t="array" ref="G3324">index('Player ID'!C:C,match(E3324,'Player ID'!B:B,0))</f>
        <v>676395</v>
      </c>
    </row>
    <row r="3325">
      <c r="A3325" s="76">
        <v>45772.0</v>
      </c>
      <c r="B3325" s="1" t="s">
        <v>654</v>
      </c>
      <c r="C3325" s="1" t="s">
        <v>31</v>
      </c>
      <c r="D3325" s="1">
        <v>2.0</v>
      </c>
      <c r="E3325" s="1">
        <v>23974.0</v>
      </c>
      <c r="F3325" s="10">
        <f t="shared" si="1"/>
        <v>2</v>
      </c>
      <c r="G3325" s="10">
        <f t="array" ref="G3325">index('Player ID'!C:C,match(E3325,'Player ID'!B:B,0))</f>
        <v>678495</v>
      </c>
    </row>
    <row r="3326">
      <c r="A3326" s="76">
        <v>45773.0</v>
      </c>
      <c r="B3326" s="1" t="s">
        <v>474</v>
      </c>
      <c r="C3326" s="1" t="s">
        <v>68</v>
      </c>
      <c r="D3326" s="1">
        <v>3.2</v>
      </c>
      <c r="E3326" s="1">
        <v>4676.0</v>
      </c>
      <c r="F3326" s="10">
        <f t="shared" si="1"/>
        <v>3.666666667</v>
      </c>
      <c r="G3326" s="10">
        <f t="array" ref="G3326">index('Player ID'!C:C,match(E3326,'Player ID'!B:B,0))</f>
        <v>450203</v>
      </c>
    </row>
    <row r="3327">
      <c r="A3327" s="76">
        <v>45773.0</v>
      </c>
      <c r="B3327" s="1" t="s">
        <v>439</v>
      </c>
      <c r="C3327" s="1" t="s">
        <v>62</v>
      </c>
      <c r="D3327" s="1">
        <v>1.0</v>
      </c>
      <c r="E3327" s="1">
        <v>11384.0</v>
      </c>
      <c r="F3327" s="10">
        <f t="shared" si="1"/>
        <v>1</v>
      </c>
      <c r="G3327" s="10">
        <f t="array" ref="G3327">index('Player ID'!C:C,match(E3327,'Player ID'!B:B,0))</f>
        <v>592454</v>
      </c>
    </row>
    <row r="3328">
      <c r="A3328" s="76">
        <v>45773.0</v>
      </c>
      <c r="B3328" s="1" t="s">
        <v>639</v>
      </c>
      <c r="C3328" s="1" t="s">
        <v>68</v>
      </c>
      <c r="D3328" s="1">
        <v>1.1</v>
      </c>
      <c r="E3328" s="1">
        <v>19249.0</v>
      </c>
      <c r="F3328" s="10">
        <f t="shared" si="1"/>
        <v>1.333333333</v>
      </c>
      <c r="G3328" s="10">
        <f t="array" ref="G3328">index('Player ID'!C:C,match(E3328,'Player ID'!B:B,0))</f>
        <v>622554</v>
      </c>
    </row>
    <row r="3329">
      <c r="A3329" s="76">
        <v>45773.0</v>
      </c>
      <c r="B3329" s="1" t="s">
        <v>231</v>
      </c>
      <c r="C3329" s="1" t="s">
        <v>68</v>
      </c>
      <c r="D3329" s="1">
        <v>1.2</v>
      </c>
      <c r="E3329" s="1">
        <v>19362.0</v>
      </c>
      <c r="F3329" s="10">
        <f t="shared" si="1"/>
        <v>1.666666667</v>
      </c>
      <c r="G3329" s="10">
        <f t="array" ref="G3329">index('Player ID'!C:C,match(E3329,'Player ID'!B:B,0))</f>
        <v>669211</v>
      </c>
    </row>
    <row r="3330">
      <c r="A3330" s="76">
        <v>45773.0</v>
      </c>
      <c r="B3330" s="1" t="s">
        <v>721</v>
      </c>
      <c r="C3330" s="1" t="s">
        <v>62</v>
      </c>
      <c r="D3330" s="1">
        <v>0.2</v>
      </c>
      <c r="E3330" s="1">
        <v>20045.0</v>
      </c>
      <c r="F3330" s="10">
        <f t="shared" si="1"/>
        <v>0.6666666667</v>
      </c>
      <c r="G3330" s="10">
        <f t="array" ref="G3330">index('Player ID'!C:C,match(E3330,'Player ID'!B:B,0))</f>
        <v>674944</v>
      </c>
    </row>
    <row r="3331">
      <c r="A3331" s="76">
        <v>45773.0</v>
      </c>
      <c r="B3331" s="1" t="s">
        <v>441</v>
      </c>
      <c r="C3331" s="1" t="s">
        <v>68</v>
      </c>
      <c r="D3331" s="1">
        <v>0.1</v>
      </c>
      <c r="E3331" s="1">
        <v>21623.0</v>
      </c>
      <c r="F3331" s="10">
        <f t="shared" si="1"/>
        <v>0.3333333333</v>
      </c>
      <c r="G3331" s="10">
        <f t="array" ref="G3331">index('Player ID'!C:C,match(E3331,'Player ID'!B:B,0))</f>
        <v>664991</v>
      </c>
    </row>
    <row r="3332">
      <c r="A3332" s="76">
        <v>45773.0</v>
      </c>
      <c r="B3332" s="1" t="s">
        <v>331</v>
      </c>
      <c r="C3332" s="1" t="s">
        <v>62</v>
      </c>
      <c r="D3332" s="1">
        <v>4.1</v>
      </c>
      <c r="E3332" s="1">
        <v>22630.0</v>
      </c>
      <c r="F3332" s="10">
        <f t="shared" si="1"/>
        <v>4.333333333</v>
      </c>
      <c r="G3332" s="10">
        <f t="array" ref="G3332">index('Player ID'!C:C,match(E3332,'Player ID'!B:B,0))</f>
        <v>672456</v>
      </c>
    </row>
    <row r="3333">
      <c r="A3333" s="76">
        <v>45773.0</v>
      </c>
      <c r="B3333" s="1" t="s">
        <v>782</v>
      </c>
      <c r="C3333" s="1" t="s">
        <v>68</v>
      </c>
      <c r="D3333" s="1">
        <v>1.0</v>
      </c>
      <c r="E3333" s="1">
        <v>24986.0</v>
      </c>
      <c r="F3333" s="10">
        <f t="shared" si="1"/>
        <v>1</v>
      </c>
      <c r="G3333" s="10">
        <f t="array" ref="G3333">index('Player ID'!C:C,match(E3333,'Player ID'!B:B,0))</f>
        <v>681882</v>
      </c>
    </row>
    <row r="3334">
      <c r="A3334" s="76">
        <v>45773.0</v>
      </c>
      <c r="B3334" s="1" t="s">
        <v>160</v>
      </c>
      <c r="C3334" s="1" t="s">
        <v>62</v>
      </c>
      <c r="D3334" s="1">
        <v>0.2</v>
      </c>
      <c r="E3334" s="1">
        <v>29574.0</v>
      </c>
      <c r="F3334" s="10">
        <f t="shared" si="1"/>
        <v>0.6666666667</v>
      </c>
      <c r="G3334" s="10">
        <f t="array" ref="G3334">index('Player ID'!C:C,match(E3334,'Player ID'!B:B,0))</f>
        <v>695445</v>
      </c>
    </row>
    <row r="3335">
      <c r="A3335" s="76">
        <v>45773.0</v>
      </c>
      <c r="B3335" s="1" t="s">
        <v>487</v>
      </c>
      <c r="C3335" s="1" t="s">
        <v>62</v>
      </c>
      <c r="D3335" s="1">
        <v>2.1</v>
      </c>
      <c r="E3335" s="1">
        <v>30133.0</v>
      </c>
      <c r="F3335" s="10">
        <f t="shared" si="1"/>
        <v>2.333333333</v>
      </c>
      <c r="G3335" s="10">
        <f t="array" ref="G3335">index('Player ID'!C:C,match(E3335,'Player ID'!B:B,0))</f>
        <v>676428</v>
      </c>
    </row>
    <row r="3336">
      <c r="A3336" s="76">
        <v>45773.0</v>
      </c>
      <c r="B3336" s="1" t="s">
        <v>298</v>
      </c>
      <c r="C3336" s="1" t="s">
        <v>70</v>
      </c>
      <c r="D3336" s="1">
        <v>5.0</v>
      </c>
      <c r="E3336" s="1">
        <v>14932.0</v>
      </c>
      <c r="F3336" s="10">
        <f t="shared" si="1"/>
        <v>5</v>
      </c>
      <c r="G3336" s="10">
        <f t="array" ref="G3336">index('Player ID'!C:C,match(E3336,'Player ID'!B:B,0))</f>
        <v>594902</v>
      </c>
    </row>
    <row r="3337">
      <c r="A3337" s="76">
        <v>45773.0</v>
      </c>
      <c r="B3337" s="1" t="s">
        <v>493</v>
      </c>
      <c r="C3337" s="1" t="s">
        <v>22</v>
      </c>
      <c r="D3337" s="1">
        <v>0.2</v>
      </c>
      <c r="E3337" s="1">
        <v>16835.0</v>
      </c>
      <c r="F3337" s="10">
        <f t="shared" si="1"/>
        <v>0.6666666667</v>
      </c>
      <c r="G3337" s="10">
        <f t="array" ref="G3337">index('Player ID'!C:C,match(E3337,'Player ID'!B:B,0))</f>
        <v>657514</v>
      </c>
    </row>
    <row r="3338">
      <c r="A3338" s="76">
        <v>45773.0</v>
      </c>
      <c r="B3338" s="1" t="s">
        <v>301</v>
      </c>
      <c r="C3338" s="1" t="s">
        <v>22</v>
      </c>
      <c r="D3338" s="1">
        <v>5.0</v>
      </c>
      <c r="E3338" s="1">
        <v>19879.0</v>
      </c>
      <c r="F3338" s="10">
        <f t="shared" si="1"/>
        <v>5</v>
      </c>
      <c r="G3338" s="10">
        <f t="array" ref="G3338">index('Player ID'!C:C,match(E3338,'Player ID'!B:B,0))</f>
        <v>656557</v>
      </c>
    </row>
    <row r="3339">
      <c r="A3339" s="76">
        <v>45773.0</v>
      </c>
      <c r="B3339" s="1" t="s">
        <v>406</v>
      </c>
      <c r="C3339" s="1" t="s">
        <v>22</v>
      </c>
      <c r="D3339" s="1">
        <v>1.1</v>
      </c>
      <c r="E3339" s="1">
        <v>20375.0</v>
      </c>
      <c r="F3339" s="10">
        <f t="shared" si="1"/>
        <v>1.333333333</v>
      </c>
      <c r="G3339" s="10">
        <f t="array" ref="G3339">index('Player ID'!C:C,match(E3339,'Player ID'!B:B,0))</f>
        <v>669711</v>
      </c>
    </row>
    <row r="3340">
      <c r="A3340" s="76">
        <v>45773.0</v>
      </c>
      <c r="B3340" s="1" t="s">
        <v>132</v>
      </c>
      <c r="C3340" s="1" t="s">
        <v>70</v>
      </c>
      <c r="D3340" s="1">
        <v>1.0</v>
      </c>
      <c r="E3340" s="1">
        <v>21032.0</v>
      </c>
      <c r="F3340" s="10">
        <f t="shared" si="1"/>
        <v>1</v>
      </c>
      <c r="G3340" s="10">
        <f t="array" ref="G3340">index('Player ID'!C:C,match(E3340,'Player ID'!B:B,0))</f>
        <v>661403</v>
      </c>
    </row>
    <row r="3341">
      <c r="A3341" s="76">
        <v>45773.0</v>
      </c>
      <c r="B3341" s="1" t="s">
        <v>519</v>
      </c>
      <c r="C3341" s="1" t="s">
        <v>70</v>
      </c>
      <c r="D3341" s="1">
        <v>1.0</v>
      </c>
      <c r="E3341" s="1">
        <v>25139.0</v>
      </c>
      <c r="F3341" s="10">
        <f t="shared" si="1"/>
        <v>1</v>
      </c>
      <c r="G3341" s="10">
        <f t="array" ref="G3341">index('Player ID'!C:C,match(E3341,'Player ID'!B:B,0))</f>
        <v>682120</v>
      </c>
    </row>
    <row r="3342">
      <c r="A3342" s="76">
        <v>45773.0</v>
      </c>
      <c r="B3342" s="1" t="s">
        <v>238</v>
      </c>
      <c r="C3342" s="1" t="s">
        <v>70</v>
      </c>
      <c r="D3342" s="1">
        <v>1.0</v>
      </c>
      <c r="E3342" s="1">
        <v>25636.0</v>
      </c>
      <c r="F3342" s="10">
        <f t="shared" si="1"/>
        <v>1</v>
      </c>
      <c r="G3342" s="10">
        <f t="array" ref="G3342">index('Player ID'!C:C,match(E3342,'Player ID'!B:B,0))</f>
        <v>683769</v>
      </c>
    </row>
    <row r="3343">
      <c r="A3343" s="76">
        <v>45773.0</v>
      </c>
      <c r="B3343" s="1" t="s">
        <v>135</v>
      </c>
      <c r="C3343" s="1" t="s">
        <v>70</v>
      </c>
      <c r="D3343" s="1">
        <v>1.0</v>
      </c>
      <c r="E3343" s="1">
        <v>27867.0</v>
      </c>
      <c r="F3343" s="10">
        <f t="shared" si="1"/>
        <v>1</v>
      </c>
      <c r="G3343" s="10">
        <f t="array" ref="G3343">index('Player ID'!C:C,match(E3343,'Player ID'!B:B,0))</f>
        <v>671922</v>
      </c>
    </row>
    <row r="3344">
      <c r="A3344" s="76">
        <v>45773.0</v>
      </c>
      <c r="B3344" s="1" t="s">
        <v>720</v>
      </c>
      <c r="C3344" s="1" t="s">
        <v>22</v>
      </c>
      <c r="D3344" s="1">
        <v>1.0</v>
      </c>
      <c r="E3344" s="1">
        <v>31184.0</v>
      </c>
      <c r="F3344" s="10">
        <f t="shared" si="1"/>
        <v>1</v>
      </c>
      <c r="G3344" s="10">
        <f t="array" ref="G3344">index('Player ID'!C:C,match(E3344,'Player ID'!B:B,0))</f>
        <v>692285</v>
      </c>
    </row>
    <row r="3345">
      <c r="A3345" s="76">
        <v>45773.0</v>
      </c>
      <c r="B3345" s="1" t="s">
        <v>723</v>
      </c>
      <c r="C3345" s="1" t="s">
        <v>68</v>
      </c>
      <c r="D3345" s="1">
        <v>1.2</v>
      </c>
      <c r="E3345" s="1">
        <v>13528.0</v>
      </c>
      <c r="F3345" s="10">
        <f t="shared" si="1"/>
        <v>1.666666667</v>
      </c>
      <c r="G3345" s="10">
        <f t="array" ref="G3345">index('Player ID'!C:C,match(E3345,'Player ID'!B:B,0))</f>
        <v>621199</v>
      </c>
    </row>
    <row r="3346">
      <c r="A3346" s="76">
        <v>45773.0</v>
      </c>
      <c r="B3346" s="1" t="s">
        <v>675</v>
      </c>
      <c r="C3346" s="1" t="s">
        <v>68</v>
      </c>
      <c r="D3346" s="1">
        <v>1.1</v>
      </c>
      <c r="E3346" s="1">
        <v>19614.0</v>
      </c>
      <c r="F3346" s="10">
        <f t="shared" si="1"/>
        <v>1.333333333</v>
      </c>
      <c r="G3346" s="10">
        <f t="array" ref="G3346">index('Player ID'!C:C,match(E3346,'Player ID'!B:B,0))</f>
        <v>672335</v>
      </c>
    </row>
    <row r="3347">
      <c r="A3347" s="76">
        <v>45773.0</v>
      </c>
      <c r="B3347" s="1" t="s">
        <v>131</v>
      </c>
      <c r="C3347" s="1" t="s">
        <v>62</v>
      </c>
      <c r="D3347" s="1">
        <v>1.1</v>
      </c>
      <c r="E3347" s="1">
        <v>19769.0</v>
      </c>
      <c r="F3347" s="10">
        <f t="shared" si="1"/>
        <v>1.333333333</v>
      </c>
      <c r="G3347" s="10">
        <f t="array" ref="G3347">index('Player ID'!C:C,match(E3347,'Player ID'!B:B,0))</f>
        <v>676684</v>
      </c>
    </row>
    <row r="3348">
      <c r="A3348" s="76">
        <v>45773.0</v>
      </c>
      <c r="B3348" s="1" t="s">
        <v>240</v>
      </c>
      <c r="C3348" s="1" t="s">
        <v>68</v>
      </c>
      <c r="D3348" s="1">
        <v>0.1</v>
      </c>
      <c r="E3348" s="1">
        <v>19804.0</v>
      </c>
      <c r="F3348" s="10">
        <f t="shared" si="1"/>
        <v>0.3333333333</v>
      </c>
      <c r="G3348" s="10">
        <f t="array" ref="G3348">index('Player ID'!C:C,match(E3348,'Player ID'!B:B,0))</f>
        <v>641329</v>
      </c>
    </row>
    <row r="3349">
      <c r="A3349" s="76">
        <v>45773.0</v>
      </c>
      <c r="B3349" s="1" t="s">
        <v>125</v>
      </c>
      <c r="C3349" s="1" t="s">
        <v>62</v>
      </c>
      <c r="D3349" s="1">
        <v>5.1</v>
      </c>
      <c r="E3349" s="1">
        <v>20492.0</v>
      </c>
      <c r="F3349" s="10">
        <f t="shared" si="1"/>
        <v>5.333333333</v>
      </c>
      <c r="G3349" s="10">
        <f t="array" ref="G3349">index('Player ID'!C:C,match(E3349,'Player ID'!B:B,0))</f>
        <v>663554</v>
      </c>
    </row>
    <row r="3350">
      <c r="A3350" s="76">
        <v>45773.0</v>
      </c>
      <c r="B3350" s="1" t="s">
        <v>289</v>
      </c>
      <c r="C3350" s="1" t="s">
        <v>62</v>
      </c>
      <c r="D3350" s="1">
        <v>1.1</v>
      </c>
      <c r="E3350" s="1">
        <v>22304.0</v>
      </c>
      <c r="F3350" s="10">
        <f t="shared" si="1"/>
        <v>1.333333333</v>
      </c>
      <c r="G3350" s="10">
        <f t="array" ref="G3350">index('Player ID'!C:C,match(E3350,'Player ID'!B:B,0))</f>
        <v>669724</v>
      </c>
    </row>
    <row r="3351">
      <c r="A3351" s="76">
        <v>45773.0</v>
      </c>
      <c r="B3351" s="1" t="s">
        <v>82</v>
      </c>
      <c r="C3351" s="1" t="s">
        <v>62</v>
      </c>
      <c r="D3351" s="1">
        <v>1.0</v>
      </c>
      <c r="E3351" s="1">
        <v>26231.0</v>
      </c>
      <c r="F3351" s="10">
        <f t="shared" si="1"/>
        <v>1</v>
      </c>
      <c r="G3351" s="10">
        <f t="array" ref="G3351">index('Player ID'!C:C,match(E3351,'Player ID'!B:B,0))</f>
        <v>663947</v>
      </c>
    </row>
    <row r="3352">
      <c r="A3352" s="76">
        <v>45773.0</v>
      </c>
      <c r="B3352" s="1" t="s">
        <v>191</v>
      </c>
      <c r="C3352" s="1" t="s">
        <v>68</v>
      </c>
      <c r="D3352" s="1">
        <v>4.2</v>
      </c>
      <c r="E3352" s="1">
        <v>27819.0</v>
      </c>
      <c r="F3352" s="10">
        <f t="shared" si="1"/>
        <v>4.666666667</v>
      </c>
      <c r="G3352" s="10">
        <f t="array" ref="G3352">index('Player ID'!C:C,match(E3352,'Player ID'!B:B,0))</f>
        <v>687064</v>
      </c>
    </row>
    <row r="3353">
      <c r="A3353" s="76">
        <v>45773.0</v>
      </c>
      <c r="B3353" s="1" t="s">
        <v>249</v>
      </c>
      <c r="C3353" s="1" t="s">
        <v>16</v>
      </c>
      <c r="D3353" s="1">
        <v>0.2</v>
      </c>
      <c r="E3353" s="1">
        <v>16727.0</v>
      </c>
      <c r="F3353" s="10">
        <f t="shared" si="1"/>
        <v>0.6666666667</v>
      </c>
      <c r="G3353" s="10">
        <f t="array" ref="G3353">index('Player ID'!C:C,match(E3353,'Player ID'!B:B,0))</f>
        <v>592779</v>
      </c>
    </row>
    <row r="3354">
      <c r="A3354" s="76">
        <v>45773.0</v>
      </c>
      <c r="B3354" s="1" t="s">
        <v>28</v>
      </c>
      <c r="C3354" s="1" t="s">
        <v>16</v>
      </c>
      <c r="D3354" s="1">
        <v>1.0</v>
      </c>
      <c r="E3354" s="1">
        <v>20253.0</v>
      </c>
      <c r="F3354" s="10">
        <f t="shared" si="1"/>
        <v>1</v>
      </c>
      <c r="G3354" s="10">
        <f t="array" ref="G3354">index('Player ID'!C:C,match(E3354,'Player ID'!B:B,0))</f>
        <v>643377</v>
      </c>
    </row>
    <row r="3355">
      <c r="A3355" s="76">
        <v>45773.0</v>
      </c>
      <c r="B3355" s="1" t="s">
        <v>232</v>
      </c>
      <c r="C3355" s="1" t="s">
        <v>25</v>
      </c>
      <c r="D3355" s="1">
        <v>2.0</v>
      </c>
      <c r="E3355" s="1">
        <v>20633.0</v>
      </c>
      <c r="F3355" s="10">
        <f t="shared" si="1"/>
        <v>2</v>
      </c>
      <c r="G3355" s="10">
        <f t="array" ref="G3355">index('Player ID'!C:C,match(E3355,'Player ID'!B:B,0))</f>
        <v>579328</v>
      </c>
    </row>
    <row r="3356">
      <c r="A3356" s="76">
        <v>45773.0</v>
      </c>
      <c r="B3356" s="1" t="s">
        <v>122</v>
      </c>
      <c r="C3356" s="1" t="s">
        <v>16</v>
      </c>
      <c r="D3356" s="1">
        <v>1.0</v>
      </c>
      <c r="E3356" s="1">
        <v>21029.0</v>
      </c>
      <c r="F3356" s="10">
        <f t="shared" si="1"/>
        <v>1</v>
      </c>
      <c r="G3356" s="10">
        <f t="array" ref="G3356">index('Player ID'!C:C,match(E3356,'Player ID'!B:B,0))</f>
        <v>661395</v>
      </c>
    </row>
    <row r="3357">
      <c r="A3357" s="76">
        <v>45773.0</v>
      </c>
      <c r="B3357" s="1" t="s">
        <v>490</v>
      </c>
      <c r="C3357" s="1" t="s">
        <v>16</v>
      </c>
      <c r="D3357" s="1">
        <v>5.1</v>
      </c>
      <c r="E3357" s="1">
        <v>24494.0</v>
      </c>
      <c r="F3357" s="10">
        <f t="shared" si="1"/>
        <v>5.333333333</v>
      </c>
      <c r="G3357" s="10">
        <f t="array" ref="G3357">index('Player ID'!C:C,match(E3357,'Player ID'!B:B,0))</f>
        <v>680573</v>
      </c>
    </row>
    <row r="3358">
      <c r="A3358" s="76">
        <v>45773.0</v>
      </c>
      <c r="B3358" s="1" t="s">
        <v>24</v>
      </c>
      <c r="C3358" s="1" t="s">
        <v>25</v>
      </c>
      <c r="D3358" s="1">
        <v>2.0</v>
      </c>
      <c r="E3358" s="1">
        <v>27468.0</v>
      </c>
      <c r="F3358" s="10">
        <f t="shared" si="1"/>
        <v>2</v>
      </c>
      <c r="G3358" s="10">
        <f t="array" ref="G3358">index('Player ID'!C:C,match(E3358,'Player ID'!B:B,0))</f>
        <v>672282</v>
      </c>
    </row>
    <row r="3359">
      <c r="A3359" s="76">
        <v>45773.0</v>
      </c>
      <c r="B3359" s="1" t="s">
        <v>47</v>
      </c>
      <c r="C3359" s="1" t="s">
        <v>16</v>
      </c>
      <c r="D3359" s="1">
        <v>1.0</v>
      </c>
      <c r="E3359" s="1">
        <v>27691.0</v>
      </c>
      <c r="F3359" s="10">
        <f t="shared" si="1"/>
        <v>1</v>
      </c>
      <c r="G3359" s="10">
        <f t="array" ref="G3359">index('Player ID'!C:C,match(E3359,'Player ID'!B:B,0))</f>
        <v>686973</v>
      </c>
    </row>
    <row r="3360">
      <c r="A3360" s="76">
        <v>45773.0</v>
      </c>
      <c r="B3360" s="1" t="s">
        <v>760</v>
      </c>
      <c r="C3360" s="1" t="s">
        <v>25</v>
      </c>
      <c r="D3360" s="1">
        <v>1.0</v>
      </c>
      <c r="E3360" s="1">
        <v>31751.0</v>
      </c>
      <c r="F3360" s="10">
        <f t="shared" si="1"/>
        <v>1</v>
      </c>
      <c r="G3360" s="10">
        <f t="array" ref="G3360">index('Player ID'!C:C,match(E3360,'Player ID'!B:B,0))</f>
        <v>680729</v>
      </c>
    </row>
    <row r="3361">
      <c r="A3361" s="76">
        <v>45773.0</v>
      </c>
      <c r="B3361" s="1" t="s">
        <v>381</v>
      </c>
      <c r="C3361" s="1" t="s">
        <v>25</v>
      </c>
      <c r="D3361" s="1">
        <v>1.0</v>
      </c>
      <c r="E3361" s="1">
        <v>33908.0</v>
      </c>
      <c r="F3361" s="10">
        <f t="shared" si="1"/>
        <v>1</v>
      </c>
      <c r="G3361" s="10">
        <f t="array" ref="G3361">index('Player ID'!C:C,match(E3361,'Player ID'!B:B,0))</f>
        <v>820862</v>
      </c>
    </row>
    <row r="3362">
      <c r="A3362" s="76">
        <v>45773.0</v>
      </c>
      <c r="B3362" s="1" t="s">
        <v>659</v>
      </c>
      <c r="C3362" s="1" t="s">
        <v>25</v>
      </c>
      <c r="D3362" s="1">
        <v>2.0</v>
      </c>
      <c r="E3362" s="1">
        <v>35325.0</v>
      </c>
      <c r="F3362" s="10">
        <f t="shared" si="1"/>
        <v>2</v>
      </c>
      <c r="G3362" s="10">
        <f t="array" ref="G3362">index('Player ID'!C:C,match(E3362,'Player ID'!B:B,0))</f>
        <v>696270</v>
      </c>
    </row>
    <row r="3363">
      <c r="A3363" s="76">
        <v>45773.0</v>
      </c>
      <c r="B3363" s="1" t="s">
        <v>95</v>
      </c>
      <c r="C3363" s="1" t="s">
        <v>72</v>
      </c>
      <c r="D3363" s="1">
        <v>6.0</v>
      </c>
      <c r="E3363" s="1">
        <v>12768.0</v>
      </c>
      <c r="F3363" s="10">
        <f t="shared" si="1"/>
        <v>6</v>
      </c>
      <c r="G3363" s="10">
        <f t="array" ref="G3363">index('Player ID'!C:C,match(E3363,'Player ID'!B:B,0))</f>
        <v>543243</v>
      </c>
    </row>
    <row r="3364">
      <c r="A3364" s="76">
        <v>45773.0</v>
      </c>
      <c r="B3364" s="1" t="s">
        <v>83</v>
      </c>
      <c r="C3364" s="1" t="s">
        <v>72</v>
      </c>
      <c r="D3364" s="1">
        <v>0.2</v>
      </c>
      <c r="E3364" s="1">
        <v>13361.0</v>
      </c>
      <c r="F3364" s="10">
        <f t="shared" si="1"/>
        <v>0.6666666667</v>
      </c>
      <c r="G3364" s="10">
        <f t="array" ref="G3364">index('Player ID'!C:C,match(E3364,'Player ID'!B:B,0))</f>
        <v>571927</v>
      </c>
    </row>
    <row r="3365">
      <c r="A3365" s="76">
        <v>45773.0</v>
      </c>
      <c r="B3365" s="1" t="s">
        <v>634</v>
      </c>
      <c r="C3365" s="1" t="s">
        <v>14</v>
      </c>
      <c r="D3365" s="1">
        <v>2.0</v>
      </c>
      <c r="E3365" s="1">
        <v>14332.0</v>
      </c>
      <c r="F3365" s="10">
        <f t="shared" si="1"/>
        <v>2</v>
      </c>
      <c r="G3365" s="10">
        <f t="array" ref="G3365">index('Player ID'!C:C,match(E3365,'Player ID'!B:B,0))</f>
        <v>606303</v>
      </c>
    </row>
    <row r="3366">
      <c r="A3366" s="76">
        <v>45773.0</v>
      </c>
      <c r="B3366" s="1" t="s">
        <v>13</v>
      </c>
      <c r="C3366" s="1" t="s">
        <v>14</v>
      </c>
      <c r="D3366" s="1">
        <v>0.1</v>
      </c>
      <c r="E3366" s="1">
        <v>17722.0</v>
      </c>
      <c r="F3366" s="10">
        <f t="shared" si="1"/>
        <v>0.3333333333</v>
      </c>
      <c r="G3366" s="10">
        <f t="array" ref="G3366">index('Player ID'!C:C,match(E3366,'Player ID'!B:B,0))</f>
        <v>656730</v>
      </c>
    </row>
    <row r="3367">
      <c r="A3367" s="76">
        <v>45773.0</v>
      </c>
      <c r="B3367" s="1" t="s">
        <v>190</v>
      </c>
      <c r="C3367" s="1" t="s">
        <v>72</v>
      </c>
      <c r="D3367" s="1">
        <v>1.0</v>
      </c>
      <c r="E3367" s="1">
        <v>18064.0</v>
      </c>
      <c r="F3367" s="10">
        <f t="shared" si="1"/>
        <v>1</v>
      </c>
      <c r="G3367" s="10">
        <f t="array" ref="G3367">index('Player ID'!C:C,match(E3367,'Player ID'!B:B,0))</f>
        <v>664208</v>
      </c>
    </row>
    <row r="3368">
      <c r="A3368" s="76">
        <v>45773.0</v>
      </c>
      <c r="B3368" s="1" t="s">
        <v>270</v>
      </c>
      <c r="C3368" s="1" t="s">
        <v>72</v>
      </c>
      <c r="D3368" s="1">
        <v>1.0</v>
      </c>
      <c r="E3368" s="1">
        <v>18138.0</v>
      </c>
      <c r="F3368" s="10">
        <f t="shared" si="1"/>
        <v>1</v>
      </c>
      <c r="G3368" s="10">
        <f t="array" ref="G3368">index('Player ID'!C:C,match(E3368,'Player ID'!B:B,0))</f>
        <v>664854</v>
      </c>
    </row>
    <row r="3369">
      <c r="A3369" s="76">
        <v>45773.0</v>
      </c>
      <c r="B3369" s="1" t="s">
        <v>409</v>
      </c>
      <c r="C3369" s="1" t="s">
        <v>72</v>
      </c>
      <c r="D3369" s="1">
        <v>0.1</v>
      </c>
      <c r="E3369" s="1">
        <v>20348.0</v>
      </c>
      <c r="F3369" s="10">
        <f t="shared" si="1"/>
        <v>0.3333333333</v>
      </c>
      <c r="G3369" s="10">
        <f t="array" ref="G3369">index('Player ID'!C:C,match(E3369,'Player ID'!B:B,0))</f>
        <v>676617</v>
      </c>
    </row>
    <row r="3370">
      <c r="A3370" s="76">
        <v>45773.0</v>
      </c>
      <c r="B3370" s="1" t="s">
        <v>279</v>
      </c>
      <c r="C3370" s="1" t="s">
        <v>14</v>
      </c>
      <c r="D3370" s="1">
        <v>1.0</v>
      </c>
      <c r="E3370" s="1">
        <v>25327.0</v>
      </c>
      <c r="F3370" s="10">
        <f t="shared" si="1"/>
        <v>1</v>
      </c>
      <c r="G3370" s="10">
        <f t="array" ref="G3370">index('Player ID'!C:C,match(E3370,'Player ID'!B:B,0))</f>
        <v>682842</v>
      </c>
    </row>
    <row r="3371">
      <c r="A3371" s="76">
        <v>45773.0</v>
      </c>
      <c r="B3371" s="1" t="s">
        <v>450</v>
      </c>
      <c r="C3371" s="1" t="s">
        <v>14</v>
      </c>
      <c r="D3371" s="1">
        <v>5.0</v>
      </c>
      <c r="E3371" s="1">
        <v>25977.0</v>
      </c>
      <c r="F3371" s="10">
        <f t="shared" si="1"/>
        <v>5</v>
      </c>
      <c r="G3371" s="10">
        <f t="array" ref="G3371">index('Player ID'!C:C,match(E3371,'Player ID'!B:B,0))</f>
        <v>682990</v>
      </c>
    </row>
    <row r="3372">
      <c r="A3372" s="76">
        <v>45773.0</v>
      </c>
      <c r="B3372" s="1" t="s">
        <v>651</v>
      </c>
      <c r="C3372" s="1" t="s">
        <v>66</v>
      </c>
      <c r="D3372" s="1">
        <v>1.0</v>
      </c>
      <c r="E3372" s="1">
        <v>14771.0</v>
      </c>
      <c r="F3372" s="10">
        <f t="shared" si="1"/>
        <v>1</v>
      </c>
      <c r="G3372" s="10">
        <f t="array" ref="G3372">index('Player ID'!C:C,match(E3372,'Player ID'!B:B,0))</f>
        <v>641941</v>
      </c>
    </row>
    <row r="3373">
      <c r="A3373" s="76">
        <v>45773.0</v>
      </c>
      <c r="B3373" s="1" t="s">
        <v>475</v>
      </c>
      <c r="C3373" s="1" t="s">
        <v>66</v>
      </c>
      <c r="D3373" s="1">
        <v>1.0</v>
      </c>
      <c r="E3373" s="1">
        <v>14993.0</v>
      </c>
      <c r="F3373" s="10">
        <f t="shared" si="1"/>
        <v>1</v>
      </c>
      <c r="G3373" s="10">
        <f t="array" ref="G3373">index('Player ID'!C:C,match(E3373,'Player ID'!B:B,0))</f>
        <v>605130</v>
      </c>
    </row>
    <row r="3374">
      <c r="A3374" s="76">
        <v>45773.0</v>
      </c>
      <c r="B3374" s="1" t="s">
        <v>481</v>
      </c>
      <c r="C3374" s="1" t="s">
        <v>75</v>
      </c>
      <c r="D3374" s="1">
        <v>5.0</v>
      </c>
      <c r="E3374" s="1">
        <v>15488.0</v>
      </c>
      <c r="F3374" s="10">
        <f t="shared" si="1"/>
        <v>5</v>
      </c>
      <c r="G3374" s="10">
        <f t="array" ref="G3374">index('Player ID'!C:C,match(E3374,'Player ID'!B:B,0))</f>
        <v>622608</v>
      </c>
    </row>
    <row r="3375">
      <c r="A3375" s="76">
        <v>45773.0</v>
      </c>
      <c r="B3375" s="1" t="s">
        <v>288</v>
      </c>
      <c r="C3375" s="1" t="s">
        <v>75</v>
      </c>
      <c r="D3375" s="1">
        <v>0.2</v>
      </c>
      <c r="E3375" s="1">
        <v>18297.0</v>
      </c>
      <c r="F3375" s="10">
        <f t="shared" si="1"/>
        <v>0.6666666667</v>
      </c>
      <c r="G3375" s="10">
        <f t="array" ref="G3375">index('Player ID'!C:C,match(E3375,'Player ID'!B:B,0))</f>
        <v>641755</v>
      </c>
    </row>
    <row r="3376">
      <c r="A3376" s="76">
        <v>45773.0</v>
      </c>
      <c r="B3376" s="1" t="s">
        <v>801</v>
      </c>
      <c r="C3376" s="1" t="s">
        <v>66</v>
      </c>
      <c r="D3376" s="1">
        <v>1.0</v>
      </c>
      <c r="E3376" s="1">
        <v>21132.0</v>
      </c>
      <c r="F3376" s="10">
        <f t="shared" si="1"/>
        <v>1</v>
      </c>
      <c r="G3376" s="10">
        <f t="array" ref="G3376">index('Player ID'!C:C,match(E3376,'Player ID'!B:B,0))</f>
        <v>664747</v>
      </c>
    </row>
    <row r="3377">
      <c r="A3377" s="76">
        <v>45773.0</v>
      </c>
      <c r="B3377" s="1" t="s">
        <v>215</v>
      </c>
      <c r="C3377" s="1" t="s">
        <v>75</v>
      </c>
      <c r="D3377" s="1">
        <v>2.0</v>
      </c>
      <c r="E3377" s="1">
        <v>21267.0</v>
      </c>
      <c r="F3377" s="10">
        <f t="shared" si="1"/>
        <v>2</v>
      </c>
      <c r="G3377" s="10">
        <f t="array" ref="G3377">index('Player ID'!C:C,match(E3377,'Player ID'!B:B,0))</f>
        <v>656234</v>
      </c>
    </row>
    <row r="3378">
      <c r="A3378" s="76">
        <v>45773.0</v>
      </c>
      <c r="B3378" s="1" t="s">
        <v>73</v>
      </c>
      <c r="C3378" s="1" t="s">
        <v>66</v>
      </c>
      <c r="D3378" s="1">
        <v>6.0</v>
      </c>
      <c r="E3378" s="1">
        <v>22182.0</v>
      </c>
      <c r="F3378" s="10">
        <f t="shared" si="1"/>
        <v>6</v>
      </c>
      <c r="G3378" s="10">
        <f t="array" ref="G3378">index('Player ID'!C:C,match(E3378,'Player ID'!B:B,0))</f>
        <v>668881</v>
      </c>
    </row>
    <row r="3379">
      <c r="A3379" s="76">
        <v>45773.0</v>
      </c>
      <c r="B3379" s="1" t="s">
        <v>728</v>
      </c>
      <c r="C3379" s="1" t="s">
        <v>75</v>
      </c>
      <c r="D3379" s="1">
        <v>0.1</v>
      </c>
      <c r="E3379" s="1">
        <v>30250.0</v>
      </c>
      <c r="F3379" s="10">
        <f t="shared" si="1"/>
        <v>0.3333333333</v>
      </c>
      <c r="G3379" s="10">
        <f t="array" ref="G3379">index('Player ID'!C:C,match(E3379,'Player ID'!B:B,0))</f>
        <v>677955</v>
      </c>
    </row>
    <row r="3380">
      <c r="A3380" s="76">
        <v>45773.0</v>
      </c>
      <c r="B3380" s="1" t="s">
        <v>488</v>
      </c>
      <c r="C3380" s="1" t="s">
        <v>75</v>
      </c>
      <c r="D3380" s="1">
        <v>1.0</v>
      </c>
      <c r="E3380" s="1">
        <v>33294.0</v>
      </c>
      <c r="F3380" s="10">
        <f t="shared" si="1"/>
        <v>1</v>
      </c>
      <c r="G3380" s="10">
        <f t="array" ref="G3380">index('Player ID'!C:C,match(E3380,'Player ID'!B:B,0))</f>
        <v>678020</v>
      </c>
    </row>
    <row r="3381">
      <c r="A3381" s="76">
        <v>45773.0</v>
      </c>
      <c r="B3381" s="1" t="s">
        <v>336</v>
      </c>
      <c r="C3381" s="1" t="s">
        <v>52</v>
      </c>
      <c r="D3381" s="1">
        <v>6.0</v>
      </c>
      <c r="E3381" s="1">
        <v>17677.0</v>
      </c>
      <c r="F3381" s="10">
        <f t="shared" si="1"/>
        <v>6</v>
      </c>
      <c r="G3381" s="10">
        <f t="array" ref="G3381">index('Player ID'!C:C,match(E3381,'Player ID'!B:B,0))</f>
        <v>605488</v>
      </c>
    </row>
    <row r="3382">
      <c r="A3382" s="76">
        <v>45773.0</v>
      </c>
      <c r="B3382" s="1" t="s">
        <v>478</v>
      </c>
      <c r="C3382" s="1" t="s">
        <v>78</v>
      </c>
      <c r="D3382" s="1">
        <v>1.0</v>
      </c>
      <c r="E3382" s="1">
        <v>17964.0</v>
      </c>
      <c r="F3382" s="10">
        <f t="shared" si="1"/>
        <v>1</v>
      </c>
      <c r="G3382" s="10">
        <f t="array" ref="G3382">index('Player ID'!C:C,match(E3382,'Player ID'!B:B,0))</f>
        <v>656457</v>
      </c>
    </row>
    <row r="3383">
      <c r="A3383" s="76">
        <v>45773.0</v>
      </c>
      <c r="B3383" s="1" t="s">
        <v>658</v>
      </c>
      <c r="C3383" s="1" t="s">
        <v>78</v>
      </c>
      <c r="D3383" s="1">
        <v>0.1</v>
      </c>
      <c r="E3383" s="1">
        <v>25174.0</v>
      </c>
      <c r="F3383" s="10">
        <f t="shared" si="1"/>
        <v>0.3333333333</v>
      </c>
      <c r="G3383" s="10">
        <f t="array" ref="G3383">index('Player ID'!C:C,match(E3383,'Player ID'!B:B,0))</f>
        <v>682171</v>
      </c>
    </row>
    <row r="3384">
      <c r="A3384" s="76">
        <v>45773.0</v>
      </c>
      <c r="B3384" s="1" t="s">
        <v>717</v>
      </c>
      <c r="C3384" s="1" t="s">
        <v>52</v>
      </c>
      <c r="D3384" s="1">
        <v>2.0</v>
      </c>
      <c r="E3384" s="1">
        <v>27908.0</v>
      </c>
      <c r="F3384" s="10">
        <f t="shared" si="1"/>
        <v>2</v>
      </c>
      <c r="G3384" s="10">
        <f t="array" ref="G3384">index('Player ID'!C:C,match(E3384,'Player ID'!B:B,0))</f>
        <v>668716</v>
      </c>
    </row>
    <row r="3385">
      <c r="A3385" s="76">
        <v>45773.0</v>
      </c>
      <c r="B3385" s="1" t="s">
        <v>681</v>
      </c>
      <c r="C3385" s="1" t="s">
        <v>52</v>
      </c>
      <c r="D3385" s="1">
        <v>1.0</v>
      </c>
      <c r="E3385" s="1">
        <v>30002.0</v>
      </c>
      <c r="F3385" s="10">
        <f t="shared" si="1"/>
        <v>1</v>
      </c>
      <c r="G3385" s="10">
        <f t="array" ref="G3385">index('Player ID'!C:C,match(E3385,'Player ID'!B:B,0))</f>
        <v>680880</v>
      </c>
    </row>
    <row r="3386">
      <c r="A3386" s="76">
        <v>45773.0</v>
      </c>
      <c r="B3386" s="1" t="s">
        <v>361</v>
      </c>
      <c r="C3386" s="1" t="s">
        <v>78</v>
      </c>
      <c r="D3386" s="1">
        <v>7.2</v>
      </c>
      <c r="E3386" s="1">
        <v>31730.0</v>
      </c>
      <c r="F3386" s="10">
        <f t="shared" si="1"/>
        <v>7.666666667</v>
      </c>
      <c r="G3386" s="10">
        <f t="array" ref="G3386">index('Player ID'!C:C,match(E3386,'Player ID'!B:B,0))</f>
        <v>686563</v>
      </c>
    </row>
    <row r="3387">
      <c r="A3387" s="76">
        <v>45773.0</v>
      </c>
      <c r="B3387" s="1" t="s">
        <v>642</v>
      </c>
      <c r="C3387" s="1" t="s">
        <v>80</v>
      </c>
      <c r="D3387" s="1">
        <v>1.0</v>
      </c>
      <c r="E3387" s="1">
        <v>13470.0</v>
      </c>
      <c r="F3387" s="10">
        <f t="shared" si="1"/>
        <v>1</v>
      </c>
      <c r="G3387" s="10">
        <f t="array" ref="G3387">index('Player ID'!C:C,match(E3387,'Player ID'!B:B,0))</f>
        <v>608371</v>
      </c>
    </row>
    <row r="3388">
      <c r="A3388" s="76">
        <v>45773.0</v>
      </c>
      <c r="B3388" s="1" t="s">
        <v>269</v>
      </c>
      <c r="C3388" s="1" t="s">
        <v>51</v>
      </c>
      <c r="D3388" s="1">
        <v>5.0</v>
      </c>
      <c r="E3388" s="1">
        <v>13649.0</v>
      </c>
      <c r="F3388" s="10">
        <f t="shared" si="1"/>
        <v>5</v>
      </c>
      <c r="G3388" s="10">
        <f t="array" ref="G3388">index('Player ID'!C:C,match(E3388,'Player ID'!B:B,0))</f>
        <v>605280</v>
      </c>
    </row>
    <row r="3389">
      <c r="A3389" s="76">
        <v>45773.0</v>
      </c>
      <c r="B3389" s="1" t="s">
        <v>679</v>
      </c>
      <c r="C3389" s="1" t="s">
        <v>51</v>
      </c>
      <c r="D3389" s="1">
        <v>1.0</v>
      </c>
      <c r="E3389" s="1">
        <v>14710.0</v>
      </c>
      <c r="F3389" s="10">
        <f t="shared" si="1"/>
        <v>1</v>
      </c>
      <c r="G3389" s="10">
        <f t="array" ref="G3389">index('Player ID'!C:C,match(E3389,'Player ID'!B:B,0))</f>
        <v>621242</v>
      </c>
    </row>
    <row r="3390">
      <c r="A3390" s="76">
        <v>45773.0</v>
      </c>
      <c r="B3390" s="1" t="s">
        <v>295</v>
      </c>
      <c r="C3390" s="1" t="s">
        <v>51</v>
      </c>
      <c r="D3390" s="1">
        <v>1.0</v>
      </c>
      <c r="E3390" s="1">
        <v>16866.0</v>
      </c>
      <c r="F3390" s="10">
        <f t="shared" si="1"/>
        <v>1</v>
      </c>
      <c r="G3390" s="10">
        <f t="array" ref="G3390">index('Player ID'!C:C,match(E3390,'Player ID'!B:B,0))</f>
        <v>657585</v>
      </c>
    </row>
    <row r="3391">
      <c r="A3391" s="76">
        <v>45773.0</v>
      </c>
      <c r="B3391" s="1" t="s">
        <v>647</v>
      </c>
      <c r="C3391" s="1" t="s">
        <v>51</v>
      </c>
      <c r="D3391" s="1">
        <v>1.0</v>
      </c>
      <c r="E3391" s="1">
        <v>18439.0</v>
      </c>
      <c r="F3391" s="10">
        <f t="shared" si="1"/>
        <v>1</v>
      </c>
      <c r="G3391" s="10">
        <f t="array" ref="G3391">index('Player ID'!C:C,match(E3391,'Player ID'!B:B,0))</f>
        <v>664849</v>
      </c>
    </row>
    <row r="3392">
      <c r="A3392" s="76">
        <v>45773.0</v>
      </c>
      <c r="B3392" s="1" t="s">
        <v>674</v>
      </c>
      <c r="C3392" s="1" t="s">
        <v>51</v>
      </c>
      <c r="D3392" s="1">
        <v>0.1</v>
      </c>
      <c r="E3392" s="1">
        <v>18655.0</v>
      </c>
      <c r="F3392" s="10">
        <f t="shared" si="1"/>
        <v>0.3333333333</v>
      </c>
      <c r="G3392" s="10">
        <f t="array" ref="G3392">index('Player ID'!C:C,match(E3392,'Player ID'!B:B,0))</f>
        <v>621345</v>
      </c>
    </row>
    <row r="3393">
      <c r="A3393" s="76">
        <v>45773.0</v>
      </c>
      <c r="B3393" s="1" t="s">
        <v>50</v>
      </c>
      <c r="C3393" s="1" t="s">
        <v>51</v>
      </c>
      <c r="D3393" s="1">
        <v>0.2</v>
      </c>
      <c r="E3393" s="1">
        <v>22175.0</v>
      </c>
      <c r="F3393" s="10">
        <f t="shared" si="1"/>
        <v>0.6666666667</v>
      </c>
      <c r="G3393" s="10">
        <f t="array" ref="G3393">index('Player ID'!C:C,match(E3393,'Player ID'!B:B,0))</f>
        <v>668820</v>
      </c>
    </row>
    <row r="3394">
      <c r="A3394" s="76">
        <v>45773.0</v>
      </c>
      <c r="B3394" s="1" t="s">
        <v>508</v>
      </c>
      <c r="C3394" s="1" t="s">
        <v>80</v>
      </c>
      <c r="D3394" s="1">
        <v>2.0</v>
      </c>
      <c r="E3394" s="1">
        <v>23135.0</v>
      </c>
      <c r="F3394" s="10">
        <f t="shared" si="1"/>
        <v>2</v>
      </c>
      <c r="G3394" s="10">
        <f t="array" ref="G3394">index('Player ID'!C:C,match(E3394,'Player ID'!B:B,0))</f>
        <v>674285</v>
      </c>
    </row>
    <row r="3395">
      <c r="A3395" s="76">
        <v>45773.0</v>
      </c>
      <c r="B3395" s="1" t="s">
        <v>511</v>
      </c>
      <c r="C3395" s="1" t="s">
        <v>80</v>
      </c>
      <c r="D3395" s="1">
        <v>0.2</v>
      </c>
      <c r="E3395" s="1">
        <v>26215.0</v>
      </c>
      <c r="F3395" s="10">
        <f t="shared" si="1"/>
        <v>0.6666666667</v>
      </c>
      <c r="G3395" s="10">
        <f t="array" ref="G3395">index('Player ID'!C:C,match(E3395,'Player ID'!B:B,0))</f>
        <v>671131</v>
      </c>
    </row>
    <row r="3396">
      <c r="A3396" s="76">
        <v>45773.0</v>
      </c>
      <c r="B3396" s="1" t="s">
        <v>507</v>
      </c>
      <c r="C3396" s="1" t="s">
        <v>80</v>
      </c>
      <c r="D3396" s="1">
        <v>1.1</v>
      </c>
      <c r="E3396" s="1">
        <v>27570.0</v>
      </c>
      <c r="F3396" s="10">
        <f t="shared" si="1"/>
        <v>1.333333333</v>
      </c>
      <c r="G3396" s="10">
        <f t="array" ref="G3396">index('Player ID'!C:C,match(E3396,'Player ID'!B:B,0))</f>
        <v>669371</v>
      </c>
    </row>
    <row r="3397">
      <c r="A3397" s="76">
        <v>45773.0</v>
      </c>
      <c r="B3397" s="1" t="s">
        <v>437</v>
      </c>
      <c r="C3397" s="1" t="s">
        <v>80</v>
      </c>
      <c r="D3397" s="1">
        <v>4.0</v>
      </c>
      <c r="E3397" s="1">
        <v>31972.0</v>
      </c>
      <c r="F3397" s="10">
        <f t="shared" si="1"/>
        <v>4</v>
      </c>
      <c r="G3397" s="10">
        <f t="array" ref="G3397">index('Player ID'!C:C,match(E3397,'Player ID'!B:B,0))</f>
        <v>695418</v>
      </c>
    </row>
    <row r="3398">
      <c r="A3398" s="76">
        <v>45773.0</v>
      </c>
      <c r="B3398" s="1" t="s">
        <v>303</v>
      </c>
      <c r="C3398" s="1" t="s">
        <v>31</v>
      </c>
      <c r="D3398" s="1">
        <v>7.0</v>
      </c>
      <c r="E3398" s="1">
        <v>11486.0</v>
      </c>
      <c r="F3398" s="10">
        <f t="shared" si="1"/>
        <v>7</v>
      </c>
      <c r="G3398" s="10">
        <f t="array" ref="G3398">index('Player ID'!C:C,match(E3398,'Player ID'!B:B,0))</f>
        <v>592662</v>
      </c>
    </row>
    <row r="3399">
      <c r="A3399" s="76">
        <v>45773.0</v>
      </c>
      <c r="B3399" s="1" t="s">
        <v>440</v>
      </c>
      <c r="C3399" s="1" t="s">
        <v>56</v>
      </c>
      <c r="D3399" s="1">
        <v>1.2</v>
      </c>
      <c r="E3399" s="1">
        <v>12857.0</v>
      </c>
      <c r="F3399" s="10">
        <f t="shared" si="1"/>
        <v>1.666666667</v>
      </c>
      <c r="G3399" s="10">
        <f t="array" ref="G3399">index('Player ID'!C:C,match(E3399,'Player ID'!B:B,0))</f>
        <v>542888</v>
      </c>
    </row>
    <row r="3400">
      <c r="A3400" s="76">
        <v>45773.0</v>
      </c>
      <c r="B3400" s="1" t="s">
        <v>151</v>
      </c>
      <c r="C3400" s="1" t="s">
        <v>56</v>
      </c>
      <c r="D3400" s="1">
        <v>1.0</v>
      </c>
      <c r="E3400" s="1">
        <v>13346.0</v>
      </c>
      <c r="F3400" s="10">
        <f t="shared" si="1"/>
        <v>1</v>
      </c>
      <c r="G3400" s="10">
        <f t="array" ref="G3400">index('Player ID'!C:C,match(E3400,'Player ID'!B:B,0))</f>
        <v>571948</v>
      </c>
    </row>
    <row r="3401">
      <c r="A3401" s="76">
        <v>45773.0</v>
      </c>
      <c r="B3401" s="1" t="s">
        <v>20</v>
      </c>
      <c r="C3401" s="1" t="s">
        <v>31</v>
      </c>
      <c r="D3401" s="1">
        <v>1.0</v>
      </c>
      <c r="E3401" s="1">
        <v>15541.0</v>
      </c>
      <c r="F3401" s="10">
        <f t="shared" si="1"/>
        <v>1</v>
      </c>
      <c r="G3401" s="10">
        <f t="array" ref="G3401">index('Player ID'!C:C,match(E3401,'Player ID'!B:B,0))</f>
        <v>643511</v>
      </c>
    </row>
    <row r="3402">
      <c r="A3402" s="76">
        <v>45773.0</v>
      </c>
      <c r="B3402" s="1" t="s">
        <v>55</v>
      </c>
      <c r="C3402" s="1" t="s">
        <v>56</v>
      </c>
      <c r="D3402" s="1">
        <v>5.0</v>
      </c>
      <c r="E3402" s="1">
        <v>16358.0</v>
      </c>
      <c r="F3402" s="10">
        <f t="shared" si="1"/>
        <v>5</v>
      </c>
      <c r="G3402" s="10">
        <f t="array" ref="G3402">index('Player ID'!C:C,match(E3402,'Player ID'!B:B,0))</f>
        <v>641816</v>
      </c>
    </row>
    <row r="3403">
      <c r="A3403" s="76">
        <v>45773.0</v>
      </c>
      <c r="B3403" s="1" t="s">
        <v>87</v>
      </c>
      <c r="C3403" s="1" t="s">
        <v>56</v>
      </c>
      <c r="D3403" s="1">
        <v>0.2</v>
      </c>
      <c r="E3403" s="1">
        <v>19274.0</v>
      </c>
      <c r="F3403" s="10">
        <f t="shared" si="1"/>
        <v>0.6666666667</v>
      </c>
      <c r="G3403" s="10">
        <f t="array" ref="G3403">index('Player ID'!C:C,match(E3403,'Player ID'!B:B,0))</f>
        <v>657097</v>
      </c>
    </row>
    <row r="3404">
      <c r="A3404" s="76">
        <v>45773.0</v>
      </c>
      <c r="B3404" s="1" t="s">
        <v>403</v>
      </c>
      <c r="C3404" s="1" t="s">
        <v>31</v>
      </c>
      <c r="D3404" s="1">
        <v>1.0</v>
      </c>
      <c r="E3404" s="1">
        <v>20423.0</v>
      </c>
      <c r="F3404" s="10">
        <f t="shared" si="1"/>
        <v>1</v>
      </c>
      <c r="G3404" s="10">
        <f t="array" ref="G3404">index('Player ID'!C:C,match(E3404,'Player ID'!B:B,0))</f>
        <v>676254</v>
      </c>
    </row>
    <row r="3405">
      <c r="A3405" s="76">
        <v>45773.0</v>
      </c>
      <c r="B3405" s="1" t="s">
        <v>111</v>
      </c>
      <c r="C3405" s="1" t="s">
        <v>56</v>
      </c>
      <c r="D3405" s="1">
        <v>0.0</v>
      </c>
      <c r="E3405" s="1">
        <v>21306.0</v>
      </c>
      <c r="F3405" s="10">
        <f t="shared" si="1"/>
        <v>0</v>
      </c>
      <c r="G3405" s="10">
        <f t="array" ref="G3405">index('Player ID'!C:C,match(E3405,'Player ID'!B:B,0))</f>
        <v>656641</v>
      </c>
    </row>
    <row r="3406">
      <c r="A3406" s="76">
        <v>45773.0</v>
      </c>
      <c r="B3406" s="1" t="s">
        <v>203</v>
      </c>
      <c r="C3406" s="1" t="s">
        <v>34</v>
      </c>
      <c r="D3406" s="1">
        <v>1.1</v>
      </c>
      <c r="E3406" s="1">
        <v>11426.0</v>
      </c>
      <c r="F3406" s="10">
        <f t="shared" si="1"/>
        <v>1.333333333</v>
      </c>
      <c r="G3406" s="10">
        <f t="array" ref="G3406">index('Player ID'!C:C,match(E3406,'Player ID'!B:B,0))</f>
        <v>519141</v>
      </c>
    </row>
    <row r="3407">
      <c r="A3407" s="76">
        <v>45773.0</v>
      </c>
      <c r="B3407" s="1" t="s">
        <v>360</v>
      </c>
      <c r="C3407" s="1" t="s">
        <v>45</v>
      </c>
      <c r="D3407" s="1">
        <v>1.2</v>
      </c>
      <c r="E3407" s="1">
        <v>12972.0</v>
      </c>
      <c r="F3407" s="10">
        <f t="shared" si="1"/>
        <v>1.666666667</v>
      </c>
      <c r="G3407" s="10">
        <f t="array" ref="G3407">index('Player ID'!C:C,match(E3407,'Player ID'!B:B,0))</f>
        <v>605452</v>
      </c>
    </row>
    <row r="3408">
      <c r="A3408" s="76">
        <v>45773.0</v>
      </c>
      <c r="B3408" s="1" t="s">
        <v>182</v>
      </c>
      <c r="C3408" s="1" t="s">
        <v>45</v>
      </c>
      <c r="D3408" s="1">
        <v>0.1</v>
      </c>
      <c r="E3408" s="1">
        <v>13799.0</v>
      </c>
      <c r="F3408" s="10">
        <f t="shared" si="1"/>
        <v>0.3333333333</v>
      </c>
      <c r="G3408" s="10">
        <f t="array" ref="G3408">index('Player ID'!C:C,match(E3408,'Player ID'!B:B,0))</f>
        <v>621381</v>
      </c>
    </row>
    <row r="3409">
      <c r="A3409" s="76">
        <v>45773.0</v>
      </c>
      <c r="B3409" s="1" t="s">
        <v>297</v>
      </c>
      <c r="C3409" s="1" t="s">
        <v>34</v>
      </c>
      <c r="D3409" s="1">
        <v>1.0</v>
      </c>
      <c r="E3409" s="1">
        <v>15734.0</v>
      </c>
      <c r="F3409" s="10">
        <f t="shared" si="1"/>
        <v>1</v>
      </c>
      <c r="G3409" s="10">
        <f t="array" ref="G3409">index('Player ID'!C:C,match(E3409,'Player ID'!B:B,0))</f>
        <v>641745</v>
      </c>
    </row>
    <row r="3410">
      <c r="A3410" s="76">
        <v>45773.0</v>
      </c>
      <c r="B3410" s="1" t="s">
        <v>700</v>
      </c>
      <c r="C3410" s="1" t="s">
        <v>45</v>
      </c>
      <c r="D3410" s="1">
        <v>6.0</v>
      </c>
      <c r="E3410" s="1">
        <v>19959.0</v>
      </c>
      <c r="F3410" s="10">
        <f t="shared" si="1"/>
        <v>6</v>
      </c>
      <c r="G3410" s="10">
        <f t="array" ref="G3410">index('Player ID'!C:C,match(E3410,'Player ID'!B:B,0))</f>
        <v>666200</v>
      </c>
    </row>
    <row r="3411">
      <c r="A3411" s="76">
        <v>45773.0</v>
      </c>
      <c r="B3411" s="1" t="s">
        <v>701</v>
      </c>
      <c r="C3411" s="1" t="s">
        <v>45</v>
      </c>
      <c r="D3411" s="1">
        <v>1.0</v>
      </c>
      <c r="E3411" s="1">
        <v>22713.0</v>
      </c>
      <c r="F3411" s="10">
        <f t="shared" si="1"/>
        <v>1</v>
      </c>
      <c r="G3411" s="10">
        <f t="array" ref="G3411">index('Player ID'!C:C,match(E3411,'Player ID'!B:B,0))</f>
        <v>672578</v>
      </c>
    </row>
    <row r="3412">
      <c r="A3412" s="76">
        <v>45773.0</v>
      </c>
      <c r="B3412" s="1" t="s">
        <v>341</v>
      </c>
      <c r="C3412" s="1" t="s">
        <v>34</v>
      </c>
      <c r="D3412" s="1">
        <v>3.2</v>
      </c>
      <c r="E3412" s="1">
        <v>23590.0</v>
      </c>
      <c r="F3412" s="10">
        <f t="shared" si="1"/>
        <v>3.666666667</v>
      </c>
      <c r="G3412" s="10">
        <f t="array" ref="G3412">index('Player ID'!C:C,match(E3412,'Player ID'!B:B,0))</f>
        <v>676962</v>
      </c>
    </row>
    <row r="3413">
      <c r="A3413" s="76">
        <v>45773.0</v>
      </c>
      <c r="B3413" s="1" t="s">
        <v>789</v>
      </c>
      <c r="C3413" s="1" t="s">
        <v>34</v>
      </c>
      <c r="D3413" s="1">
        <v>2.0</v>
      </c>
      <c r="E3413" s="1">
        <v>24930.0</v>
      </c>
      <c r="F3413" s="10">
        <f t="shared" si="1"/>
        <v>2</v>
      </c>
      <c r="G3413" s="10">
        <f t="array" ref="G3413">index('Player ID'!C:C,match(E3413,'Player ID'!B:B,0))</f>
        <v>681799</v>
      </c>
    </row>
    <row r="3414">
      <c r="A3414" s="76">
        <v>45773.0</v>
      </c>
      <c r="B3414" s="1" t="s">
        <v>167</v>
      </c>
      <c r="C3414" s="1" t="s">
        <v>34</v>
      </c>
      <c r="D3414" s="1">
        <v>1.0</v>
      </c>
      <c r="E3414" s="1">
        <v>27914.0</v>
      </c>
      <c r="F3414" s="10">
        <f t="shared" si="1"/>
        <v>1</v>
      </c>
      <c r="G3414" s="10">
        <f t="array" ref="G3414">index('Player ID'!C:C,match(E3414,'Player ID'!B:B,0))</f>
        <v>694037</v>
      </c>
    </row>
    <row r="3415">
      <c r="A3415" s="76">
        <v>45773.0</v>
      </c>
      <c r="B3415" s="1" t="s">
        <v>230</v>
      </c>
      <c r="C3415" s="1" t="s">
        <v>22</v>
      </c>
      <c r="D3415" s="1">
        <v>1.0</v>
      </c>
      <c r="E3415" s="1">
        <v>4301.0</v>
      </c>
      <c r="F3415" s="10">
        <f t="shared" si="1"/>
        <v>1</v>
      </c>
      <c r="G3415" s="10">
        <f t="array" ref="G3415">index('Player ID'!C:C,match(E3415,'Player ID'!B:B,0))</f>
        <v>458677</v>
      </c>
    </row>
    <row r="3416">
      <c r="A3416" s="76">
        <v>45773.0</v>
      </c>
      <c r="B3416" s="1" t="s">
        <v>41</v>
      </c>
      <c r="C3416" s="1" t="s">
        <v>22</v>
      </c>
      <c r="D3416" s="1">
        <v>1.0</v>
      </c>
      <c r="E3416" s="1">
        <v>10233.0</v>
      </c>
      <c r="F3416" s="10">
        <f t="shared" si="1"/>
        <v>1</v>
      </c>
      <c r="G3416" s="10">
        <f t="array" ref="G3416">index('Player ID'!C:C,match(E3416,'Player ID'!B:B,0))</f>
        <v>547973</v>
      </c>
    </row>
    <row r="3417">
      <c r="A3417" s="76">
        <v>45773.0</v>
      </c>
      <c r="B3417" s="1" t="s">
        <v>259</v>
      </c>
      <c r="C3417" s="1" t="s">
        <v>70</v>
      </c>
      <c r="D3417" s="1">
        <v>6.0</v>
      </c>
      <c r="E3417" s="1">
        <v>18694.0</v>
      </c>
      <c r="F3417" s="10">
        <f t="shared" si="1"/>
        <v>6</v>
      </c>
      <c r="G3417" s="10">
        <f t="array" ref="G3417">index('Player ID'!C:C,match(E3417,'Player ID'!B:B,0))</f>
        <v>663465</v>
      </c>
    </row>
    <row r="3418">
      <c r="A3418" s="76">
        <v>45773.0</v>
      </c>
      <c r="B3418" s="1" t="s">
        <v>405</v>
      </c>
      <c r="C3418" s="1" t="s">
        <v>22</v>
      </c>
      <c r="D3418" s="1">
        <v>6.0</v>
      </c>
      <c r="E3418" s="1">
        <v>19374.0</v>
      </c>
      <c r="F3418" s="10">
        <f t="shared" si="1"/>
        <v>6</v>
      </c>
      <c r="G3418" s="10">
        <f t="array" ref="G3418">index('Player ID'!C:C,match(E3418,'Player ID'!B:B,0))</f>
        <v>621111</v>
      </c>
    </row>
    <row r="3419">
      <c r="A3419" s="76">
        <v>45773.0</v>
      </c>
      <c r="B3419" s="1" t="s">
        <v>645</v>
      </c>
      <c r="C3419" s="1" t="s">
        <v>22</v>
      </c>
      <c r="D3419" s="1">
        <v>1.0</v>
      </c>
      <c r="E3419" s="1">
        <v>25648.0</v>
      </c>
      <c r="F3419" s="10">
        <f t="shared" si="1"/>
        <v>1</v>
      </c>
      <c r="G3419" s="10">
        <f t="array" ref="G3419">index('Player ID'!C:C,match(E3419,'Player ID'!B:B,0))</f>
        <v>686580</v>
      </c>
    </row>
    <row r="3420">
      <c r="A3420" s="76">
        <v>45773.0</v>
      </c>
      <c r="B3420" s="1" t="s">
        <v>623</v>
      </c>
      <c r="C3420" s="1" t="s">
        <v>70</v>
      </c>
      <c r="D3420" s="1">
        <v>3.0</v>
      </c>
      <c r="E3420" s="1">
        <v>30142.0</v>
      </c>
      <c r="F3420" s="10">
        <f t="shared" si="1"/>
        <v>3</v>
      </c>
      <c r="G3420" s="10">
        <f t="array" ref="G3420">index('Player ID'!C:C,match(E3420,'Player ID'!B:B,0))</f>
        <v>680951</v>
      </c>
    </row>
    <row r="3421">
      <c r="A3421" s="76">
        <v>45773.0</v>
      </c>
      <c r="B3421" s="1" t="s">
        <v>147</v>
      </c>
      <c r="C3421" s="1" t="s">
        <v>29</v>
      </c>
      <c r="D3421" s="1">
        <v>6.0</v>
      </c>
      <c r="E3421" s="1">
        <v>14078.0</v>
      </c>
      <c r="F3421" s="10">
        <f t="shared" si="1"/>
        <v>6</v>
      </c>
      <c r="G3421" s="10">
        <f t="array" ref="G3421">index('Player ID'!C:C,match(E3421,'Player ID'!B:B,0))</f>
        <v>608379</v>
      </c>
    </row>
    <row r="3422">
      <c r="A3422" s="76">
        <v>45773.0</v>
      </c>
      <c r="B3422" s="1" t="s">
        <v>649</v>
      </c>
      <c r="C3422" s="1" t="s">
        <v>29</v>
      </c>
      <c r="D3422" s="1">
        <v>1.0</v>
      </c>
      <c r="E3422" s="1">
        <v>14542.0</v>
      </c>
      <c r="F3422" s="10">
        <f t="shared" si="1"/>
        <v>1</v>
      </c>
      <c r="G3422" s="10">
        <f t="array" ref="G3422">index('Player ID'!C:C,match(E3422,'Player ID'!B:B,0))</f>
        <v>608032</v>
      </c>
    </row>
    <row r="3423">
      <c r="A3423" s="76">
        <v>45773.0</v>
      </c>
      <c r="B3423" s="1" t="s">
        <v>113</v>
      </c>
      <c r="C3423" s="1" t="s">
        <v>39</v>
      </c>
      <c r="D3423" s="1">
        <v>8.0</v>
      </c>
      <c r="E3423" s="1">
        <v>17295.0</v>
      </c>
      <c r="F3423" s="10">
        <f t="shared" si="1"/>
        <v>8</v>
      </c>
      <c r="G3423" s="10">
        <f t="array" ref="G3423">index('Player ID'!C:C,match(E3423,'Player ID'!B:B,0))</f>
        <v>664285</v>
      </c>
    </row>
    <row r="3424">
      <c r="A3424" s="76">
        <v>45773.0</v>
      </c>
      <c r="B3424" s="1" t="s">
        <v>144</v>
      </c>
      <c r="C3424" s="1" t="s">
        <v>29</v>
      </c>
      <c r="D3424" s="1">
        <v>1.0</v>
      </c>
      <c r="E3424" s="1">
        <v>20020.0</v>
      </c>
      <c r="F3424" s="10">
        <f t="shared" si="1"/>
        <v>1</v>
      </c>
      <c r="G3424" s="10">
        <f t="array" ref="G3424">index('Player ID'!C:C,match(E3424,'Player ID'!B:B,0))</f>
        <v>670167</v>
      </c>
    </row>
    <row r="3425">
      <c r="A3425" s="76">
        <v>45773.0</v>
      </c>
      <c r="B3425" s="1" t="s">
        <v>214</v>
      </c>
      <c r="C3425" s="1" t="s">
        <v>29</v>
      </c>
      <c r="D3425" s="1">
        <v>1.0</v>
      </c>
      <c r="E3425" s="1">
        <v>23165.0</v>
      </c>
      <c r="F3425" s="10">
        <f t="shared" si="1"/>
        <v>1</v>
      </c>
      <c r="G3425" s="10">
        <f t="array" ref="G3425">index('Player ID'!C:C,match(E3425,'Player ID'!B:B,0))</f>
        <v>674444</v>
      </c>
    </row>
    <row r="3426">
      <c r="A3426" s="76">
        <v>45773.0</v>
      </c>
      <c r="B3426" s="1" t="s">
        <v>222</v>
      </c>
      <c r="C3426" s="1" t="s">
        <v>64</v>
      </c>
      <c r="D3426" s="1">
        <v>6.0</v>
      </c>
      <c r="E3426" s="1">
        <v>11156.0</v>
      </c>
      <c r="F3426" s="10">
        <f t="shared" si="1"/>
        <v>6</v>
      </c>
      <c r="G3426" s="10">
        <f t="array" ref="G3426">index('Player ID'!C:C,match(E3426,'Player ID'!B:B,0))</f>
        <v>518876</v>
      </c>
    </row>
    <row r="3427">
      <c r="A3427" s="76">
        <v>45773.0</v>
      </c>
      <c r="B3427" s="1" t="s">
        <v>233</v>
      </c>
      <c r="C3427" s="1" t="s">
        <v>46</v>
      </c>
      <c r="D3427" s="1">
        <v>1.1</v>
      </c>
      <c r="E3427" s="1">
        <v>16427.0</v>
      </c>
      <c r="F3427" s="10">
        <f t="shared" si="1"/>
        <v>1.333333333</v>
      </c>
      <c r="G3427" s="10">
        <f t="array" ref="G3427">index('Player ID'!C:C,match(E3427,'Player ID'!B:B,0))</f>
        <v>656240</v>
      </c>
    </row>
    <row r="3428">
      <c r="A3428" s="76">
        <v>45773.0</v>
      </c>
      <c r="B3428" s="1" t="s">
        <v>219</v>
      </c>
      <c r="C3428" s="1" t="s">
        <v>64</v>
      </c>
      <c r="D3428" s="1">
        <v>1.0</v>
      </c>
      <c r="E3428" s="1">
        <v>16647.0</v>
      </c>
      <c r="F3428" s="10">
        <f t="shared" si="1"/>
        <v>1</v>
      </c>
      <c r="G3428" s="10">
        <f t="array" ref="G3428">index('Player ID'!C:C,match(E3428,'Player ID'!B:B,0))</f>
        <v>657044</v>
      </c>
    </row>
    <row r="3429">
      <c r="A3429" s="76">
        <v>45773.0</v>
      </c>
      <c r="B3429" s="1" t="s">
        <v>366</v>
      </c>
      <c r="C3429" s="1" t="s">
        <v>46</v>
      </c>
      <c r="D3429" s="1">
        <v>5.2</v>
      </c>
      <c r="E3429" s="1">
        <v>16944.0</v>
      </c>
      <c r="F3429" s="10">
        <f t="shared" si="1"/>
        <v>5.666666667</v>
      </c>
      <c r="G3429" s="10">
        <f t="array" ref="G3429">index('Player ID'!C:C,match(E3429,'Player ID'!B:B,0))</f>
        <v>656550</v>
      </c>
    </row>
    <row r="3430">
      <c r="A3430" s="76">
        <v>45773.0</v>
      </c>
      <c r="B3430" s="1" t="s">
        <v>184</v>
      </c>
      <c r="C3430" s="1" t="s">
        <v>46</v>
      </c>
      <c r="D3430" s="1">
        <v>1.0</v>
      </c>
      <c r="E3430" s="1">
        <v>17130.0</v>
      </c>
      <c r="F3430" s="10">
        <f t="shared" si="1"/>
        <v>1</v>
      </c>
      <c r="G3430" s="10">
        <f t="array" ref="G3430">index('Player ID'!C:C,match(E3430,'Player ID'!B:B,0))</f>
        <v>628452</v>
      </c>
    </row>
    <row r="3431">
      <c r="A3431" s="76">
        <v>45773.0</v>
      </c>
      <c r="B3431" s="1" t="s">
        <v>489</v>
      </c>
      <c r="C3431" s="1" t="s">
        <v>64</v>
      </c>
      <c r="D3431" s="1">
        <v>1.0</v>
      </c>
      <c r="E3431" s="1">
        <v>17192.0</v>
      </c>
      <c r="F3431" s="10">
        <f t="shared" si="1"/>
        <v>1</v>
      </c>
      <c r="G3431" s="10">
        <f t="array" ref="G3431">index('Player ID'!C:C,match(E3431,'Player ID'!B:B,0))</f>
        <v>656222</v>
      </c>
    </row>
    <row r="3432">
      <c r="A3432" s="76">
        <v>45773.0</v>
      </c>
      <c r="B3432" s="1" t="s">
        <v>91</v>
      </c>
      <c r="C3432" s="1" t="s">
        <v>46</v>
      </c>
      <c r="D3432" s="1">
        <v>1.0</v>
      </c>
      <c r="E3432" s="1">
        <v>19996.0</v>
      </c>
      <c r="F3432" s="10">
        <f t="shared" si="1"/>
        <v>1</v>
      </c>
      <c r="G3432" s="10">
        <f t="array" ref="G3432">index('Player ID'!C:C,match(E3432,'Player ID'!B:B,0))</f>
        <v>669276</v>
      </c>
    </row>
    <row r="3433">
      <c r="A3433" s="76">
        <v>45773.0</v>
      </c>
      <c r="B3433" s="1" t="s">
        <v>688</v>
      </c>
      <c r="C3433" s="1" t="s">
        <v>46</v>
      </c>
      <c r="D3433" s="1">
        <v>1.0</v>
      </c>
      <c r="E3433" s="1">
        <v>20271.0</v>
      </c>
      <c r="F3433" s="10">
        <f t="shared" si="1"/>
        <v>1</v>
      </c>
      <c r="G3433" s="10">
        <f t="array" ref="G3433">index('Player ID'!C:C,match(E3433,'Player ID'!B:B,0))</f>
        <v>678226</v>
      </c>
    </row>
    <row r="3434">
      <c r="A3434" s="76">
        <v>45773.0</v>
      </c>
      <c r="B3434" s="1" t="s">
        <v>714</v>
      </c>
      <c r="C3434" s="1" t="s">
        <v>64</v>
      </c>
      <c r="D3434" s="1">
        <v>1.0</v>
      </c>
      <c r="E3434" s="1">
        <v>24453.0</v>
      </c>
      <c r="F3434" s="10">
        <f t="shared" si="1"/>
        <v>1</v>
      </c>
      <c r="G3434" s="10">
        <f t="array" ref="G3434">index('Player ID'!C:C,match(E3434,'Player ID'!B:B,0))</f>
        <v>679885</v>
      </c>
    </row>
    <row r="3435">
      <c r="A3435" s="76">
        <v>45773.0</v>
      </c>
      <c r="B3435" s="1" t="s">
        <v>813</v>
      </c>
      <c r="C3435" s="1" t="s">
        <v>64</v>
      </c>
      <c r="D3435" s="1">
        <v>1.0</v>
      </c>
      <c r="E3435" s="1">
        <v>26260.0</v>
      </c>
      <c r="F3435" s="10">
        <f t="shared" si="1"/>
        <v>1</v>
      </c>
      <c r="G3435" s="10">
        <f t="array" ref="G3435">index('Player ID'!C:C,match(E3435,'Player ID'!B:B,0))</f>
        <v>686753</v>
      </c>
    </row>
    <row r="3436">
      <c r="A3436" s="76">
        <v>45773.0</v>
      </c>
      <c r="B3436" s="1" t="s">
        <v>342</v>
      </c>
      <c r="C3436" s="1" t="s">
        <v>26</v>
      </c>
      <c r="D3436" s="1">
        <v>1.0</v>
      </c>
      <c r="E3436" s="1">
        <v>11861.0</v>
      </c>
      <c r="F3436" s="10">
        <f t="shared" si="1"/>
        <v>1</v>
      </c>
      <c r="G3436" s="10">
        <f t="array" ref="G3436">index('Player ID'!C:C,match(E3436,'Player ID'!B:B,0))</f>
        <v>592094</v>
      </c>
    </row>
    <row r="3437">
      <c r="A3437" s="76">
        <v>45773.0</v>
      </c>
      <c r="B3437" s="1" t="s">
        <v>404</v>
      </c>
      <c r="C3437" s="1" t="s">
        <v>26</v>
      </c>
      <c r="D3437" s="1">
        <v>1.0</v>
      </c>
      <c r="E3437" s="1">
        <v>14295.0</v>
      </c>
      <c r="F3437" s="10">
        <f t="shared" si="1"/>
        <v>1</v>
      </c>
      <c r="G3437" s="10">
        <f t="array" ref="G3437">index('Player ID'!C:C,match(E3437,'Player ID'!B:B,0))</f>
        <v>593974</v>
      </c>
    </row>
    <row r="3438">
      <c r="A3438" s="76">
        <v>45773.0</v>
      </c>
      <c r="B3438" s="1" t="s">
        <v>261</v>
      </c>
      <c r="C3438" s="1" t="s">
        <v>54</v>
      </c>
      <c r="D3438" s="1">
        <v>1.0</v>
      </c>
      <c r="E3438" s="1">
        <v>17998.0</v>
      </c>
      <c r="F3438" s="10">
        <f t="shared" si="1"/>
        <v>1</v>
      </c>
      <c r="G3438" s="10">
        <f t="array" ref="G3438">index('Player ID'!C:C,match(E3438,'Player ID'!B:B,0))</f>
        <v>664126</v>
      </c>
    </row>
    <row r="3439">
      <c r="A3439" s="76">
        <v>45773.0</v>
      </c>
      <c r="B3439" s="1" t="s">
        <v>282</v>
      </c>
      <c r="C3439" s="1" t="s">
        <v>26</v>
      </c>
      <c r="D3439" s="1">
        <v>4.1</v>
      </c>
      <c r="E3439" s="1">
        <v>18525.0</v>
      </c>
      <c r="F3439" s="10">
        <f t="shared" si="1"/>
        <v>4.333333333</v>
      </c>
      <c r="G3439" s="10">
        <f t="array" ref="G3439">index('Player ID'!C:C,match(E3439,'Player ID'!B:B,0))</f>
        <v>656302</v>
      </c>
    </row>
    <row r="3440">
      <c r="A3440" s="76">
        <v>45773.0</v>
      </c>
      <c r="B3440" s="1" t="s">
        <v>400</v>
      </c>
      <c r="C3440" s="1" t="s">
        <v>54</v>
      </c>
      <c r="D3440" s="1">
        <v>1.0</v>
      </c>
      <c r="E3440" s="1">
        <v>20539.0</v>
      </c>
      <c r="F3440" s="10">
        <f t="shared" si="1"/>
        <v>1</v>
      </c>
      <c r="G3440" s="10">
        <f t="array" ref="G3440">index('Player ID'!C:C,match(E3440,'Player ID'!B:B,0))</f>
        <v>670955</v>
      </c>
    </row>
    <row r="3441">
      <c r="A3441" s="76">
        <v>45773.0</v>
      </c>
      <c r="B3441" s="1" t="s">
        <v>591</v>
      </c>
      <c r="C3441" s="1" t="s">
        <v>26</v>
      </c>
      <c r="D3441" s="1">
        <v>0.1</v>
      </c>
      <c r="E3441" s="1">
        <v>22461.0</v>
      </c>
      <c r="F3441" s="10">
        <f t="shared" si="1"/>
        <v>0.3333333333</v>
      </c>
      <c r="G3441" s="10">
        <f t="array" ref="G3441">index('Player ID'!C:C,match(E3441,'Player ID'!B:B,0))</f>
        <v>670810</v>
      </c>
    </row>
    <row r="3442">
      <c r="A3442" s="76">
        <v>45773.0</v>
      </c>
      <c r="B3442" s="1" t="s">
        <v>129</v>
      </c>
      <c r="C3442" s="1" t="s">
        <v>54</v>
      </c>
      <c r="D3442" s="1">
        <v>6.0</v>
      </c>
      <c r="E3442" s="1">
        <v>26221.0</v>
      </c>
      <c r="F3442" s="10">
        <f t="shared" si="1"/>
        <v>6</v>
      </c>
      <c r="G3442" s="10">
        <f t="array" ref="G3442">index('Player ID'!C:C,match(E3442,'Player ID'!B:B,0))</f>
        <v>686752</v>
      </c>
    </row>
    <row r="3443">
      <c r="A3443" s="76">
        <v>45773.0</v>
      </c>
      <c r="B3443" s="1" t="s">
        <v>671</v>
      </c>
      <c r="C3443" s="1" t="s">
        <v>54</v>
      </c>
      <c r="D3443" s="1">
        <v>1.0</v>
      </c>
      <c r="E3443" s="1">
        <v>26259.0</v>
      </c>
      <c r="F3443" s="10">
        <f t="shared" si="1"/>
        <v>1</v>
      </c>
      <c r="G3443" s="10">
        <f t="array" ref="G3443">index('Player ID'!C:C,match(E3443,'Player ID'!B:B,0))</f>
        <v>685801</v>
      </c>
    </row>
    <row r="3444">
      <c r="A3444" s="76">
        <v>45773.0</v>
      </c>
      <c r="B3444" s="1" t="s">
        <v>224</v>
      </c>
      <c r="C3444" s="1" t="s">
        <v>26</v>
      </c>
      <c r="D3444" s="1">
        <v>1.0</v>
      </c>
      <c r="E3444" s="1">
        <v>29863.0</v>
      </c>
      <c r="F3444" s="10">
        <f t="shared" si="1"/>
        <v>1</v>
      </c>
      <c r="G3444" s="10">
        <f t="array" ref="G3444">index('Player ID'!C:C,match(E3444,'Player ID'!B:B,0))</f>
        <v>686701</v>
      </c>
    </row>
    <row r="3445">
      <c r="A3445" s="76">
        <v>45773.0</v>
      </c>
      <c r="B3445" s="1" t="s">
        <v>284</v>
      </c>
      <c r="C3445" s="1" t="s">
        <v>26</v>
      </c>
      <c r="D3445" s="1">
        <v>1.1</v>
      </c>
      <c r="E3445" s="1">
        <v>33826.0</v>
      </c>
      <c r="F3445" s="10">
        <f t="shared" si="1"/>
        <v>1.333333333</v>
      </c>
      <c r="G3445" s="10">
        <f t="array" ref="G3445">index('Player ID'!C:C,match(E3445,'Player ID'!B:B,0))</f>
        <v>673513</v>
      </c>
    </row>
    <row r="3446">
      <c r="A3446" s="76">
        <v>45773.0</v>
      </c>
      <c r="B3446" s="1" t="s">
        <v>392</v>
      </c>
      <c r="C3446" s="1" t="s">
        <v>33</v>
      </c>
      <c r="D3446" s="1">
        <v>1.0</v>
      </c>
      <c r="E3446" s="1">
        <v>9073.0</v>
      </c>
      <c r="F3446" s="10">
        <f t="shared" si="1"/>
        <v>1</v>
      </c>
      <c r="G3446" s="10">
        <f t="array" ref="G3446">index('Player ID'!C:C,match(E3446,'Player ID'!B:B,0))</f>
        <v>489446</v>
      </c>
    </row>
    <row r="3447">
      <c r="A3447" s="76">
        <v>45773.0</v>
      </c>
      <c r="B3447" s="1" t="s">
        <v>32</v>
      </c>
      <c r="C3447" s="1" t="s">
        <v>33</v>
      </c>
      <c r="D3447" s="1">
        <v>1.0</v>
      </c>
      <c r="E3447" s="1">
        <v>17586.0</v>
      </c>
      <c r="F3447" s="10">
        <f t="shared" si="1"/>
        <v>1</v>
      </c>
      <c r="G3447" s="10">
        <f t="array" ref="G3447">index('Player ID'!C:C,match(E3447,'Player ID'!B:B,0))</f>
        <v>656945</v>
      </c>
    </row>
    <row r="3448">
      <c r="A3448" s="76">
        <v>45773.0</v>
      </c>
      <c r="B3448" s="1" t="s">
        <v>423</v>
      </c>
      <c r="C3448" s="1" t="s">
        <v>60</v>
      </c>
      <c r="D3448" s="1">
        <v>6.0</v>
      </c>
      <c r="E3448" s="1">
        <v>17594.0</v>
      </c>
      <c r="F3448" s="10">
        <f t="shared" si="1"/>
        <v>6</v>
      </c>
      <c r="G3448" s="10">
        <f t="array" ref="G3448">index('Player ID'!C:C,match(E3448,'Player ID'!B:B,0))</f>
        <v>656605</v>
      </c>
    </row>
    <row r="3449">
      <c r="A3449" s="76">
        <v>45773.0</v>
      </c>
      <c r="B3449" s="1" t="s">
        <v>694</v>
      </c>
      <c r="C3449" s="1" t="s">
        <v>33</v>
      </c>
      <c r="D3449" s="1">
        <v>0.2</v>
      </c>
      <c r="E3449" s="1">
        <v>17734.0</v>
      </c>
      <c r="F3449" s="10">
        <f t="shared" si="1"/>
        <v>0.6666666667</v>
      </c>
      <c r="G3449" s="10">
        <f t="array" ref="G3449">index('Player ID'!C:C,match(E3449,'Player ID'!B:B,0))</f>
        <v>623465</v>
      </c>
    </row>
    <row r="3450">
      <c r="A3450" s="76">
        <v>45773.0</v>
      </c>
      <c r="B3450" s="1" t="s">
        <v>107</v>
      </c>
      <c r="C3450" s="1" t="s">
        <v>60</v>
      </c>
      <c r="D3450" s="1">
        <v>1.0</v>
      </c>
      <c r="E3450" s="1">
        <v>19349.0</v>
      </c>
      <c r="F3450" s="10">
        <f t="shared" si="1"/>
        <v>1</v>
      </c>
      <c r="G3450" s="10">
        <f t="array" ref="G3450">index('Player ID'!C:C,match(E3450,'Player ID'!B:B,0))</f>
        <v>657571</v>
      </c>
    </row>
    <row r="3451">
      <c r="A3451" s="76">
        <v>45773.0</v>
      </c>
      <c r="B3451" s="1" t="s">
        <v>384</v>
      </c>
      <c r="C3451" s="1" t="s">
        <v>60</v>
      </c>
      <c r="D3451" s="1">
        <v>0.2</v>
      </c>
      <c r="E3451" s="1">
        <v>19962.0</v>
      </c>
      <c r="F3451" s="10">
        <f t="shared" si="1"/>
        <v>0.6666666667</v>
      </c>
      <c r="G3451" s="10">
        <f t="array" ref="G3451">index('Player ID'!C:C,match(E3451,'Player ID'!B:B,0))</f>
        <v>666214</v>
      </c>
    </row>
    <row r="3452">
      <c r="A3452" s="76">
        <v>45773.0</v>
      </c>
      <c r="B3452" s="1" t="s">
        <v>463</v>
      </c>
      <c r="C3452" s="1" t="s">
        <v>60</v>
      </c>
      <c r="D3452" s="1">
        <v>0.1</v>
      </c>
      <c r="E3452" s="1">
        <v>21544.0</v>
      </c>
      <c r="F3452" s="10">
        <f t="shared" si="1"/>
        <v>0.3333333333</v>
      </c>
      <c r="G3452" s="10">
        <f t="array" ref="G3452">index('Player ID'!C:C,match(E3452,'Player ID'!B:B,0))</f>
        <v>663767</v>
      </c>
    </row>
    <row r="3453">
      <c r="A3453" s="76">
        <v>45773.0</v>
      </c>
      <c r="B3453" s="1" t="s">
        <v>663</v>
      </c>
      <c r="C3453" s="1" t="s">
        <v>60</v>
      </c>
      <c r="D3453" s="1">
        <v>0.0</v>
      </c>
      <c r="E3453" s="1">
        <v>22361.0</v>
      </c>
      <c r="F3453" s="10">
        <f t="shared" si="1"/>
        <v>0</v>
      </c>
      <c r="G3453" s="10">
        <f t="array" ref="G3453">index('Player ID'!C:C,match(E3453,'Player ID'!B:B,0))</f>
        <v>670059</v>
      </c>
    </row>
    <row r="3454">
      <c r="A3454" s="76">
        <v>45773.0</v>
      </c>
      <c r="B3454" s="1" t="s">
        <v>206</v>
      </c>
      <c r="C3454" s="1" t="s">
        <v>33</v>
      </c>
      <c r="D3454" s="1">
        <v>0.2</v>
      </c>
      <c r="E3454" s="1">
        <v>30249.0</v>
      </c>
      <c r="F3454" s="10">
        <f t="shared" si="1"/>
        <v>0.6666666667</v>
      </c>
      <c r="G3454" s="10">
        <f t="array" ref="G3454">index('Player ID'!C:C,match(E3454,'Player ID'!B:B,0))</f>
        <v>676263</v>
      </c>
    </row>
    <row r="3455">
      <c r="A3455" s="76">
        <v>45773.0</v>
      </c>
      <c r="B3455" s="1" t="s">
        <v>522</v>
      </c>
      <c r="C3455" s="1" t="s">
        <v>33</v>
      </c>
      <c r="D3455" s="1">
        <v>5.2</v>
      </c>
      <c r="E3455" s="1">
        <v>35323.0</v>
      </c>
      <c r="F3455" s="10">
        <f t="shared" si="1"/>
        <v>5.666666667</v>
      </c>
      <c r="G3455" s="10">
        <f t="array" ref="G3455">index('Player ID'!C:C,match(E3455,'Player ID'!B:B,0))</f>
        <v>808963</v>
      </c>
    </row>
    <row r="3456">
      <c r="A3456" s="76">
        <v>45773.0</v>
      </c>
      <c r="B3456" s="1" t="s">
        <v>272</v>
      </c>
      <c r="C3456" s="1" t="s">
        <v>37</v>
      </c>
      <c r="D3456" s="1">
        <v>6.0</v>
      </c>
      <c r="E3456" s="1">
        <v>15689.0</v>
      </c>
      <c r="F3456" s="10">
        <f t="shared" si="1"/>
        <v>6</v>
      </c>
      <c r="G3456" s="10">
        <f t="array" ref="G3456">index('Player ID'!C:C,match(E3456,'Player ID'!B:B,0))</f>
        <v>622491</v>
      </c>
    </row>
    <row r="3457">
      <c r="A3457" s="76">
        <v>45773.0</v>
      </c>
      <c r="B3457" s="1" t="s">
        <v>682</v>
      </c>
      <c r="C3457" s="1" t="s">
        <v>37</v>
      </c>
      <c r="D3457" s="1">
        <v>1.0</v>
      </c>
      <c r="E3457" s="1">
        <v>17888.0</v>
      </c>
      <c r="F3457" s="10">
        <f t="shared" si="1"/>
        <v>1</v>
      </c>
      <c r="G3457" s="10">
        <f t="array" ref="G3457">index('Player ID'!C:C,match(E3457,'Player ID'!B:B,0))</f>
        <v>642048</v>
      </c>
    </row>
    <row r="3458">
      <c r="A3458" s="76">
        <v>45773.0</v>
      </c>
      <c r="B3458" s="1" t="s">
        <v>241</v>
      </c>
      <c r="C3458" s="1" t="s">
        <v>36</v>
      </c>
      <c r="D3458" s="1">
        <v>0.2</v>
      </c>
      <c r="E3458" s="1">
        <v>19222.0</v>
      </c>
      <c r="F3458" s="10">
        <f t="shared" si="1"/>
        <v>0.6666666667</v>
      </c>
      <c r="G3458" s="10">
        <f t="array" ref="G3458">index('Player ID'!C:C,match(E3458,'Player ID'!B:B,0))</f>
        <v>669199</v>
      </c>
    </row>
    <row r="3459">
      <c r="A3459" s="76">
        <v>45773.0</v>
      </c>
      <c r="B3459" s="1" t="s">
        <v>61</v>
      </c>
      <c r="C3459" s="1" t="s">
        <v>36</v>
      </c>
      <c r="D3459" s="1">
        <v>1.0</v>
      </c>
      <c r="E3459" s="1">
        <v>20629.0</v>
      </c>
      <c r="F3459" s="10">
        <f t="shared" si="1"/>
        <v>1</v>
      </c>
      <c r="G3459" s="10">
        <f t="array" ref="G3459">index('Player ID'!C:C,match(E3459,'Player ID'!B:B,0))</f>
        <v>663969</v>
      </c>
    </row>
    <row r="3460">
      <c r="A3460" s="76">
        <v>45773.0</v>
      </c>
      <c r="B3460" s="1" t="s">
        <v>469</v>
      </c>
      <c r="C3460" s="1" t="s">
        <v>36</v>
      </c>
      <c r="D3460" s="1">
        <v>1.1</v>
      </c>
      <c r="E3460" s="1">
        <v>21863.0</v>
      </c>
      <c r="F3460" s="10">
        <f t="shared" si="1"/>
        <v>1.333333333</v>
      </c>
      <c r="G3460" s="10">
        <f t="array" ref="G3460">index('Player ID'!C:C,match(E3460,'Player ID'!B:B,0))</f>
        <v>666277</v>
      </c>
    </row>
    <row r="3461">
      <c r="A3461" s="76">
        <v>45773.0</v>
      </c>
      <c r="B3461" s="1" t="s">
        <v>340</v>
      </c>
      <c r="C3461" s="1" t="s">
        <v>37</v>
      </c>
      <c r="D3461" s="1">
        <v>1.0</v>
      </c>
      <c r="E3461" s="1">
        <v>25921.0</v>
      </c>
      <c r="F3461" s="10">
        <f t="shared" si="1"/>
        <v>1</v>
      </c>
      <c r="G3461" s="10">
        <f t="array" ref="G3461">index('Player ID'!C:C,match(E3461,'Player ID'!B:B,0))</f>
        <v>668984</v>
      </c>
    </row>
    <row r="3462">
      <c r="A3462" s="76">
        <v>45773.0</v>
      </c>
      <c r="B3462" s="1" t="s">
        <v>561</v>
      </c>
      <c r="C3462" s="1" t="s">
        <v>36</v>
      </c>
      <c r="D3462" s="1">
        <v>2.0</v>
      </c>
      <c r="E3462" s="1">
        <v>26171.0</v>
      </c>
      <c r="F3462" s="10">
        <f t="shared" si="1"/>
        <v>2</v>
      </c>
      <c r="G3462" s="10">
        <f t="array" ref="G3462">index('Player ID'!C:C,match(E3462,'Player ID'!B:B,0))</f>
        <v>687362</v>
      </c>
    </row>
    <row r="3463">
      <c r="A3463" s="76">
        <v>45773.0</v>
      </c>
      <c r="B3463" s="1" t="s">
        <v>676</v>
      </c>
      <c r="C3463" s="1" t="s">
        <v>36</v>
      </c>
      <c r="D3463" s="1">
        <v>1.0</v>
      </c>
      <c r="E3463" s="1">
        <v>27453.0</v>
      </c>
      <c r="F3463" s="10">
        <f t="shared" si="1"/>
        <v>1</v>
      </c>
      <c r="G3463" s="10">
        <f t="array" ref="G3463">index('Player ID'!C:C,match(E3463,'Player ID'!B:B,0))</f>
        <v>685107</v>
      </c>
    </row>
    <row r="3464">
      <c r="A3464" s="76">
        <v>45773.0</v>
      </c>
      <c r="B3464" s="1" t="s">
        <v>781</v>
      </c>
      <c r="C3464" s="1" t="s">
        <v>36</v>
      </c>
      <c r="D3464" s="1">
        <v>2.0</v>
      </c>
      <c r="E3464" s="1">
        <v>28253.0</v>
      </c>
      <c r="F3464" s="10">
        <f t="shared" si="1"/>
        <v>2</v>
      </c>
      <c r="G3464" s="10">
        <f t="array" ref="G3464">index('Player ID'!C:C,match(E3464,'Player ID'!B:B,0))</f>
        <v>691594</v>
      </c>
    </row>
    <row r="3465">
      <c r="A3465" s="76">
        <v>45773.0</v>
      </c>
      <c r="B3465" s="1" t="s">
        <v>804</v>
      </c>
      <c r="C3465" s="1" t="s">
        <v>37</v>
      </c>
      <c r="D3465" s="1">
        <v>1.0</v>
      </c>
      <c r="E3465" s="1">
        <v>31883.0</v>
      </c>
      <c r="F3465" s="10">
        <f t="shared" si="1"/>
        <v>1</v>
      </c>
      <c r="G3465" s="10">
        <f t="array" ref="G3465">index('Player ID'!C:C,match(E3465,'Player ID'!B:B,0))</f>
        <v>700187</v>
      </c>
    </row>
    <row r="3466">
      <c r="A3466" s="76">
        <v>45774.0</v>
      </c>
      <c r="B3466" s="1" t="s">
        <v>422</v>
      </c>
      <c r="C3466" s="1" t="s">
        <v>58</v>
      </c>
      <c r="D3466" s="1">
        <v>1.0</v>
      </c>
      <c r="E3466" s="1">
        <v>7048.0</v>
      </c>
      <c r="F3466" s="10">
        <f t="shared" si="1"/>
        <v>1</v>
      </c>
      <c r="G3466" s="10">
        <f t="array" ref="G3466">index('Player ID'!C:C,match(E3466,'Player ID'!B:B,0))</f>
        <v>518585</v>
      </c>
    </row>
    <row r="3467">
      <c r="A3467" s="76">
        <v>45774.0</v>
      </c>
      <c r="B3467" s="1" t="s">
        <v>456</v>
      </c>
      <c r="C3467" s="1" t="s">
        <v>40</v>
      </c>
      <c r="D3467" s="1">
        <v>5.2</v>
      </c>
      <c r="E3467" s="1">
        <v>12304.0</v>
      </c>
      <c r="F3467" s="10">
        <f t="shared" si="1"/>
        <v>5.666666667</v>
      </c>
      <c r="G3467" s="10">
        <f t="array" ref="G3467">index('Player ID'!C:C,match(E3467,'Player ID'!B:B,0))</f>
        <v>605135</v>
      </c>
    </row>
    <row r="3468">
      <c r="A3468" s="76">
        <v>45774.0</v>
      </c>
      <c r="B3468" s="1" t="s">
        <v>467</v>
      </c>
      <c r="C3468" s="1" t="s">
        <v>58</v>
      </c>
      <c r="D3468" s="1">
        <v>1.0</v>
      </c>
      <c r="E3468" s="1">
        <v>15551.0</v>
      </c>
      <c r="F3468" s="10">
        <f t="shared" si="1"/>
        <v>1</v>
      </c>
      <c r="G3468" s="10">
        <f t="array" ref="G3468">index('Player ID'!C:C,match(E3468,'Player ID'!B:B,0))</f>
        <v>643410</v>
      </c>
    </row>
    <row r="3469">
      <c r="A3469" s="76">
        <v>45774.0</v>
      </c>
      <c r="B3469" s="1" t="s">
        <v>174</v>
      </c>
      <c r="C3469" s="1" t="s">
        <v>40</v>
      </c>
      <c r="D3469" s="1">
        <v>1.0</v>
      </c>
      <c r="E3469" s="1">
        <v>15552.0</v>
      </c>
      <c r="F3469" s="10">
        <f t="shared" si="1"/>
        <v>1</v>
      </c>
      <c r="G3469" s="10">
        <f t="array" ref="G3469">index('Player ID'!C:C,match(E3469,'Player ID'!B:B,0))</f>
        <v>643338</v>
      </c>
    </row>
    <row r="3470">
      <c r="A3470" s="76">
        <v>45774.0</v>
      </c>
      <c r="B3470" s="1" t="s">
        <v>69</v>
      </c>
      <c r="C3470" s="1" t="s">
        <v>58</v>
      </c>
      <c r="D3470" s="1">
        <v>1.0</v>
      </c>
      <c r="E3470" s="1">
        <v>16814.0</v>
      </c>
      <c r="F3470" s="10">
        <f t="shared" si="1"/>
        <v>1</v>
      </c>
      <c r="G3470" s="10">
        <f t="array" ref="G3470">index('Player ID'!C:C,match(E3470,'Player ID'!B:B,0))</f>
        <v>657612</v>
      </c>
    </row>
    <row r="3471">
      <c r="A3471" s="76">
        <v>45774.0</v>
      </c>
      <c r="B3471" s="1" t="s">
        <v>225</v>
      </c>
      <c r="C3471" s="1" t="s">
        <v>58</v>
      </c>
      <c r="D3471" s="1">
        <v>1.0</v>
      </c>
      <c r="E3471" s="1">
        <v>16918.0</v>
      </c>
      <c r="F3471" s="10">
        <f t="shared" si="1"/>
        <v>1</v>
      </c>
      <c r="G3471" s="10">
        <f t="array" ref="G3471">index('Player ID'!C:C,match(E3471,'Player ID'!B:B,0))</f>
        <v>596133</v>
      </c>
    </row>
    <row r="3472">
      <c r="A3472" s="76">
        <v>45774.0</v>
      </c>
      <c r="B3472" s="1" t="s">
        <v>408</v>
      </c>
      <c r="C3472" s="1" t="s">
        <v>58</v>
      </c>
      <c r="D3472" s="1">
        <v>5.0</v>
      </c>
      <c r="E3472" s="1">
        <v>19899.0</v>
      </c>
      <c r="F3472" s="10">
        <f t="shared" si="1"/>
        <v>5</v>
      </c>
      <c r="G3472" s="10">
        <f t="array" ref="G3472">index('Player ID'!C:C,match(E3472,'Player ID'!B:B,0))</f>
        <v>657376</v>
      </c>
    </row>
    <row r="3473">
      <c r="A3473" s="76">
        <v>45774.0</v>
      </c>
      <c r="B3473" s="1" t="s">
        <v>395</v>
      </c>
      <c r="C3473" s="1" t="s">
        <v>40</v>
      </c>
      <c r="D3473" s="1">
        <v>0.0</v>
      </c>
      <c r="E3473" s="1">
        <v>21574.0</v>
      </c>
      <c r="F3473" s="10">
        <f t="shared" si="1"/>
        <v>0</v>
      </c>
      <c r="G3473" s="10">
        <f t="array" ref="G3473">index('Player ID'!C:C,match(E3473,'Player ID'!B:B,0))</f>
        <v>663893</v>
      </c>
    </row>
    <row r="3474">
      <c r="A3474" s="76">
        <v>45774.0</v>
      </c>
      <c r="B3474" s="1" t="s">
        <v>427</v>
      </c>
      <c r="C3474" s="1" t="s">
        <v>40</v>
      </c>
      <c r="D3474" s="1">
        <v>1.1</v>
      </c>
      <c r="E3474" s="1">
        <v>33838.0</v>
      </c>
      <c r="F3474" s="10">
        <f t="shared" si="1"/>
        <v>1.333333333</v>
      </c>
      <c r="G3474" s="10">
        <f t="array" ref="G3474">index('Player ID'!C:C,match(E3474,'Player ID'!B:B,0))</f>
        <v>684320</v>
      </c>
    </row>
    <row r="3475">
      <c r="A3475" s="76">
        <v>45774.0</v>
      </c>
      <c r="B3475" s="1" t="s">
        <v>730</v>
      </c>
      <c r="C3475" s="1" t="s">
        <v>58</v>
      </c>
      <c r="D3475" s="1">
        <v>1.0</v>
      </c>
      <c r="E3475" s="1">
        <v>10058.0</v>
      </c>
      <c r="F3475" s="10">
        <f t="shared" si="1"/>
        <v>1</v>
      </c>
      <c r="G3475" s="10">
        <f t="array" ref="G3475">index('Player ID'!C:C,match(E3475,'Player ID'!B:B,0))</f>
        <v>554431</v>
      </c>
    </row>
    <row r="3476">
      <c r="A3476" s="76">
        <v>45774.0</v>
      </c>
      <c r="B3476" s="1" t="s">
        <v>166</v>
      </c>
      <c r="C3476" s="1" t="s">
        <v>58</v>
      </c>
      <c r="D3476" s="1">
        <v>6.0</v>
      </c>
      <c r="E3476" s="1">
        <v>13743.0</v>
      </c>
      <c r="F3476" s="10">
        <f t="shared" si="1"/>
        <v>6</v>
      </c>
      <c r="G3476" s="10">
        <f t="array" ref="G3476">index('Player ID'!C:C,match(E3476,'Player ID'!B:B,0))</f>
        <v>608331</v>
      </c>
    </row>
    <row r="3477">
      <c r="A3477" s="76">
        <v>45774.0</v>
      </c>
      <c r="B3477" s="1" t="s">
        <v>155</v>
      </c>
      <c r="C3477" s="1" t="s">
        <v>40</v>
      </c>
      <c r="D3477" s="1">
        <v>2.2</v>
      </c>
      <c r="E3477" s="1">
        <v>14107.0</v>
      </c>
      <c r="F3477" s="10">
        <f t="shared" si="1"/>
        <v>2.666666667</v>
      </c>
      <c r="G3477" s="10">
        <f t="array" ref="G3477">index('Player ID'!C:C,match(E3477,'Player ID'!B:B,0))</f>
        <v>592332</v>
      </c>
    </row>
    <row r="3478">
      <c r="A3478" s="76">
        <v>45774.0</v>
      </c>
      <c r="B3478" s="1" t="s">
        <v>811</v>
      </c>
      <c r="C3478" s="1" t="s">
        <v>40</v>
      </c>
      <c r="D3478" s="1">
        <v>1.1</v>
      </c>
      <c r="E3478" s="1">
        <v>17796.0</v>
      </c>
      <c r="F3478" s="10">
        <f t="shared" si="1"/>
        <v>1.333333333</v>
      </c>
      <c r="G3478" s="10">
        <f t="array" ref="G3478">index('Player ID'!C:C,match(E3478,'Player ID'!B:B,0))</f>
        <v>622253</v>
      </c>
    </row>
    <row r="3479">
      <c r="A3479" s="76">
        <v>45774.0</v>
      </c>
      <c r="B3479" s="1" t="s">
        <v>309</v>
      </c>
      <c r="C3479" s="1" t="s">
        <v>58</v>
      </c>
      <c r="D3479" s="1">
        <v>2.0</v>
      </c>
      <c r="E3479" s="1">
        <v>21420.0</v>
      </c>
      <c r="F3479" s="10">
        <f t="shared" si="1"/>
        <v>2</v>
      </c>
      <c r="G3479" s="10">
        <f t="array" ref="G3479">index('Player ID'!C:C,match(E3479,'Player ID'!B:B,0))</f>
        <v>660787</v>
      </c>
    </row>
    <row r="3480">
      <c r="A3480" s="76">
        <v>45774.0</v>
      </c>
      <c r="B3480" s="1" t="s">
        <v>709</v>
      </c>
      <c r="C3480" s="1" t="s">
        <v>40</v>
      </c>
      <c r="D3480" s="1">
        <v>1.2</v>
      </c>
      <c r="E3480" s="1">
        <v>23617.0</v>
      </c>
      <c r="F3480" s="10">
        <f t="shared" si="1"/>
        <v>1.666666667</v>
      </c>
      <c r="G3480" s="10">
        <f t="array" ref="G3480">index('Player ID'!C:C,match(E3480,'Player ID'!B:B,0))</f>
        <v>677020</v>
      </c>
    </row>
    <row r="3481">
      <c r="A3481" s="76">
        <v>45774.0</v>
      </c>
      <c r="B3481" s="1" t="s">
        <v>568</v>
      </c>
      <c r="C3481" s="1" t="s">
        <v>40</v>
      </c>
      <c r="D3481" s="1">
        <v>2.1</v>
      </c>
      <c r="E3481" s="1">
        <v>25501.0</v>
      </c>
      <c r="F3481" s="10">
        <f t="shared" si="1"/>
        <v>2.333333333</v>
      </c>
      <c r="G3481" s="10">
        <f t="array" ref="G3481">index('Player ID'!C:C,match(E3481,'Player ID'!B:B,0))</f>
        <v>687606</v>
      </c>
    </row>
    <row r="3482">
      <c r="A3482" s="76">
        <v>45774.0</v>
      </c>
      <c r="B3482" s="1" t="s">
        <v>646</v>
      </c>
      <c r="C3482" s="1" t="s">
        <v>51</v>
      </c>
      <c r="D3482" s="1">
        <v>1.0</v>
      </c>
      <c r="E3482" s="1">
        <v>6107.0</v>
      </c>
      <c r="F3482" s="10">
        <f t="shared" si="1"/>
        <v>1</v>
      </c>
      <c r="G3482" s="10">
        <f t="array" ref="G3482">index('Player ID'!C:C,match(E3482,'Player ID'!B:B,0))</f>
        <v>623211</v>
      </c>
    </row>
    <row r="3483">
      <c r="A3483" s="76">
        <v>45774.0</v>
      </c>
      <c r="B3483" s="1" t="s">
        <v>642</v>
      </c>
      <c r="C3483" s="1" t="s">
        <v>80</v>
      </c>
      <c r="D3483" s="1">
        <v>1.0</v>
      </c>
      <c r="E3483" s="1">
        <v>13470.0</v>
      </c>
      <c r="F3483" s="10">
        <f t="shared" si="1"/>
        <v>1</v>
      </c>
      <c r="G3483" s="10">
        <f t="array" ref="G3483">index('Player ID'!C:C,match(E3483,'Player ID'!B:B,0))</f>
        <v>608371</v>
      </c>
    </row>
    <row r="3484">
      <c r="A3484" s="76">
        <v>45774.0</v>
      </c>
      <c r="B3484" s="1" t="s">
        <v>719</v>
      </c>
      <c r="C3484" s="1" t="s">
        <v>80</v>
      </c>
      <c r="D3484" s="1">
        <v>0.1</v>
      </c>
      <c r="E3484" s="1">
        <v>14527.0</v>
      </c>
      <c r="F3484" s="10">
        <f t="shared" si="1"/>
        <v>0.3333333333</v>
      </c>
      <c r="G3484" s="10">
        <f t="array" ref="G3484">index('Player ID'!C:C,match(E3484,'Player ID'!B:B,0))</f>
        <v>605347</v>
      </c>
    </row>
    <row r="3485">
      <c r="A3485" s="76">
        <v>45774.0</v>
      </c>
      <c r="B3485" s="1" t="s">
        <v>292</v>
      </c>
      <c r="C3485" s="1" t="s">
        <v>51</v>
      </c>
      <c r="D3485" s="1">
        <v>0.1</v>
      </c>
      <c r="E3485" s="1">
        <v>15947.0</v>
      </c>
      <c r="F3485" s="10">
        <f t="shared" si="1"/>
        <v>0.3333333333</v>
      </c>
      <c r="G3485" s="10">
        <f t="array" ref="G3485">index('Player ID'!C:C,match(E3485,'Player ID'!B:B,0))</f>
        <v>592773</v>
      </c>
    </row>
    <row r="3486">
      <c r="A3486" s="76">
        <v>45774.0</v>
      </c>
      <c r="B3486" s="1" t="s">
        <v>644</v>
      </c>
      <c r="C3486" s="1" t="s">
        <v>80</v>
      </c>
      <c r="D3486" s="1">
        <v>1.0</v>
      </c>
      <c r="E3486" s="1">
        <v>19403.0</v>
      </c>
      <c r="F3486" s="10">
        <f t="shared" si="1"/>
        <v>1</v>
      </c>
      <c r="G3486" s="10">
        <f t="array" ref="G3486">index('Player ID'!C:C,match(E3486,'Player ID'!B:B,0))</f>
        <v>621363</v>
      </c>
    </row>
    <row r="3487">
      <c r="A3487" s="76">
        <v>45774.0</v>
      </c>
      <c r="B3487" s="1" t="s">
        <v>386</v>
      </c>
      <c r="C3487" s="1" t="s">
        <v>51</v>
      </c>
      <c r="D3487" s="1">
        <v>6.1</v>
      </c>
      <c r="E3487" s="1">
        <v>21318.0</v>
      </c>
      <c r="F3487" s="10">
        <f t="shared" si="1"/>
        <v>6.333333333</v>
      </c>
      <c r="G3487" s="10">
        <f t="array" ref="G3487">index('Player ID'!C:C,match(E3487,'Player ID'!B:B,0))</f>
        <v>656731</v>
      </c>
    </row>
    <row r="3488">
      <c r="A3488" s="76">
        <v>45774.0</v>
      </c>
      <c r="B3488" s="1" t="s">
        <v>712</v>
      </c>
      <c r="C3488" s="1" t="s">
        <v>51</v>
      </c>
      <c r="D3488" s="1">
        <v>0.2</v>
      </c>
      <c r="E3488" s="1">
        <v>23313.0</v>
      </c>
      <c r="F3488" s="10">
        <f t="shared" si="1"/>
        <v>0.6666666667</v>
      </c>
      <c r="G3488" s="10">
        <f t="array" ref="G3488">index('Player ID'!C:C,match(E3488,'Player ID'!B:B,0))</f>
        <v>676130</v>
      </c>
    </row>
    <row r="3489">
      <c r="A3489" s="76">
        <v>45774.0</v>
      </c>
      <c r="B3489" s="1" t="s">
        <v>511</v>
      </c>
      <c r="C3489" s="1" t="s">
        <v>80</v>
      </c>
      <c r="D3489" s="1">
        <v>1.2</v>
      </c>
      <c r="E3489" s="1">
        <v>26215.0</v>
      </c>
      <c r="F3489" s="10">
        <f t="shared" si="1"/>
        <v>1.666666667</v>
      </c>
      <c r="G3489" s="10">
        <f t="array" ref="G3489">index('Player ID'!C:C,match(E3489,'Player ID'!B:B,0))</f>
        <v>671131</v>
      </c>
    </row>
    <row r="3490">
      <c r="A3490" s="76">
        <v>45774.0</v>
      </c>
      <c r="B3490" s="1" t="s">
        <v>330</v>
      </c>
      <c r="C3490" s="1" t="s">
        <v>80</v>
      </c>
      <c r="D3490" s="1">
        <v>5.0</v>
      </c>
      <c r="E3490" s="1">
        <v>27636.0</v>
      </c>
      <c r="F3490" s="10">
        <f t="shared" si="1"/>
        <v>5</v>
      </c>
      <c r="G3490" s="10">
        <f t="array" ref="G3490">index('Player ID'!C:C,match(E3490,'Player ID'!B:B,0))</f>
        <v>680730</v>
      </c>
    </row>
    <row r="3491">
      <c r="A3491" s="76">
        <v>45774.0</v>
      </c>
      <c r="B3491" s="1" t="s">
        <v>757</v>
      </c>
      <c r="C3491" s="1" t="s">
        <v>22</v>
      </c>
      <c r="D3491" s="1">
        <v>1.0</v>
      </c>
      <c r="E3491" s="1">
        <v>3548.0</v>
      </c>
      <c r="F3491" s="10">
        <f t="shared" si="1"/>
        <v>1</v>
      </c>
      <c r="G3491" s="10">
        <f t="array" ref="G3491">index('Player ID'!C:C,match(E3491,'Player ID'!B:B,0))</f>
        <v>521230</v>
      </c>
    </row>
    <row r="3492">
      <c r="A3492" s="76">
        <v>45774.0</v>
      </c>
      <c r="B3492" s="1" t="s">
        <v>774</v>
      </c>
      <c r="C3492" s="1" t="s">
        <v>70</v>
      </c>
      <c r="D3492" s="1">
        <v>1.0</v>
      </c>
      <c r="E3492" s="1">
        <v>12976.0</v>
      </c>
      <c r="F3492" s="10">
        <f t="shared" si="1"/>
        <v>1</v>
      </c>
      <c r="G3492" s="10">
        <f t="array" ref="G3492">index('Player ID'!C:C,match(E3492,'Player ID'!B:B,0))</f>
        <v>595978</v>
      </c>
    </row>
    <row r="3493">
      <c r="A3493" s="76">
        <v>45774.0</v>
      </c>
      <c r="B3493" s="1" t="s">
        <v>117</v>
      </c>
      <c r="C3493" s="1" t="s">
        <v>70</v>
      </c>
      <c r="D3493" s="1">
        <v>1.0</v>
      </c>
      <c r="E3493" s="1">
        <v>13619.0</v>
      </c>
      <c r="F3493" s="10">
        <f t="shared" si="1"/>
        <v>1</v>
      </c>
      <c r="G3493" s="10">
        <f t="array" ref="G3493">index('Player ID'!C:C,match(E3493,'Player ID'!B:B,0))</f>
        <v>596001</v>
      </c>
    </row>
    <row r="3494">
      <c r="A3494" s="76">
        <v>45774.0</v>
      </c>
      <c r="B3494" s="1" t="s">
        <v>648</v>
      </c>
      <c r="C3494" s="1" t="s">
        <v>70</v>
      </c>
      <c r="D3494" s="1">
        <v>0.2</v>
      </c>
      <c r="E3494" s="1">
        <v>13892.0</v>
      </c>
      <c r="F3494" s="10">
        <f t="shared" si="1"/>
        <v>0.6666666667</v>
      </c>
      <c r="G3494" s="10">
        <f t="array" ref="G3494">index('Player ID'!C:C,match(E3494,'Player ID'!B:B,0))</f>
        <v>623149</v>
      </c>
    </row>
    <row r="3495">
      <c r="A3495" s="76">
        <v>45774.0</v>
      </c>
      <c r="B3495" s="1" t="s">
        <v>415</v>
      </c>
      <c r="C3495" s="1" t="s">
        <v>22</v>
      </c>
      <c r="D3495" s="1">
        <v>1.0</v>
      </c>
      <c r="E3495" s="1">
        <v>16943.0</v>
      </c>
      <c r="F3495" s="10">
        <f t="shared" si="1"/>
        <v>1</v>
      </c>
      <c r="G3495" s="10">
        <f t="array" ref="G3495">index('Player ID'!C:C,match(E3495,'Player ID'!B:B,0))</f>
        <v>656794</v>
      </c>
    </row>
    <row r="3496">
      <c r="A3496" s="76">
        <v>45774.0</v>
      </c>
      <c r="B3496" s="1" t="s">
        <v>250</v>
      </c>
      <c r="C3496" s="1" t="s">
        <v>22</v>
      </c>
      <c r="D3496" s="1">
        <v>1.0</v>
      </c>
      <c r="E3496" s="1">
        <v>20191.0</v>
      </c>
      <c r="F3496" s="10">
        <f t="shared" si="1"/>
        <v>1</v>
      </c>
      <c r="G3496" s="10">
        <f t="array" ref="G3496">index('Player ID'!C:C,match(E3496,'Player ID'!B:B,0))</f>
        <v>676477</v>
      </c>
    </row>
    <row r="3497">
      <c r="A3497" s="76">
        <v>45774.0</v>
      </c>
      <c r="B3497" s="1" t="s">
        <v>398</v>
      </c>
      <c r="C3497" s="1" t="s">
        <v>70</v>
      </c>
      <c r="D3497" s="1">
        <v>2.0</v>
      </c>
      <c r="E3497" s="1">
        <v>23335.0</v>
      </c>
      <c r="F3497" s="10">
        <f t="shared" si="1"/>
        <v>2</v>
      </c>
      <c r="G3497" s="10">
        <f t="array" ref="G3497">index('Player ID'!C:C,match(E3497,'Player ID'!B:B,0))</f>
        <v>676282</v>
      </c>
    </row>
    <row r="3498">
      <c r="A3498" s="76">
        <v>45774.0</v>
      </c>
      <c r="B3498" s="1" t="s">
        <v>410</v>
      </c>
      <c r="C3498" s="1" t="s">
        <v>22</v>
      </c>
      <c r="D3498" s="1">
        <v>6.0</v>
      </c>
      <c r="E3498" s="1">
        <v>23920.0</v>
      </c>
      <c r="F3498" s="10">
        <f t="shared" si="1"/>
        <v>6</v>
      </c>
      <c r="G3498" s="10">
        <f t="array" ref="G3498">index('Player ID'!C:C,match(E3498,'Player ID'!B:B,0))</f>
        <v>678394</v>
      </c>
    </row>
    <row r="3499">
      <c r="A3499" s="76">
        <v>45774.0</v>
      </c>
      <c r="B3499" s="1" t="s">
        <v>372</v>
      </c>
      <c r="C3499" s="1" t="s">
        <v>70</v>
      </c>
      <c r="D3499" s="1">
        <v>4.1</v>
      </c>
      <c r="E3499" s="1">
        <v>27589.0</v>
      </c>
      <c r="F3499" s="10">
        <f t="shared" si="1"/>
        <v>4.333333333</v>
      </c>
      <c r="G3499" s="10">
        <f t="array" ref="G3499">index('Player ID'!C:C,match(E3499,'Player ID'!B:B,0))</f>
        <v>671106</v>
      </c>
    </row>
    <row r="3500">
      <c r="A3500" s="76">
        <v>45774.0</v>
      </c>
      <c r="B3500" s="1" t="s">
        <v>723</v>
      </c>
      <c r="C3500" s="1" t="s">
        <v>68</v>
      </c>
      <c r="D3500" s="1">
        <v>1.0</v>
      </c>
      <c r="E3500" s="1">
        <v>13528.0</v>
      </c>
      <c r="F3500" s="10">
        <f t="shared" si="1"/>
        <v>1</v>
      </c>
      <c r="G3500" s="10">
        <f t="array" ref="G3500">index('Player ID'!C:C,match(E3500,'Player ID'!B:B,0))</f>
        <v>621199</v>
      </c>
    </row>
    <row r="3501">
      <c r="A3501" s="76">
        <v>45774.0</v>
      </c>
      <c r="B3501" s="1" t="s">
        <v>715</v>
      </c>
      <c r="C3501" s="1" t="s">
        <v>62</v>
      </c>
      <c r="D3501" s="1">
        <v>1.0</v>
      </c>
      <c r="E3501" s="1">
        <v>18498.0</v>
      </c>
      <c r="F3501" s="10">
        <f t="shared" si="1"/>
        <v>1</v>
      </c>
      <c r="G3501" s="10">
        <f t="array" ref="G3501">index('Player ID'!C:C,match(E3501,'Player ID'!B:B,0))</f>
        <v>628317</v>
      </c>
    </row>
    <row r="3502">
      <c r="A3502" s="76">
        <v>45774.0</v>
      </c>
      <c r="B3502" s="1" t="s">
        <v>294</v>
      </c>
      <c r="C3502" s="1" t="s">
        <v>68</v>
      </c>
      <c r="D3502" s="1">
        <v>5.2</v>
      </c>
      <c r="E3502" s="1">
        <v>19350.0</v>
      </c>
      <c r="F3502" s="10">
        <f t="shared" si="1"/>
        <v>5.666666667</v>
      </c>
      <c r="G3502" s="10">
        <f t="array" ref="G3502">index('Player ID'!C:C,match(E3502,'Player ID'!B:B,0))</f>
        <v>665152</v>
      </c>
    </row>
    <row r="3503">
      <c r="A3503" s="76">
        <v>45774.0</v>
      </c>
      <c r="B3503" s="1" t="s">
        <v>675</v>
      </c>
      <c r="C3503" s="1" t="s">
        <v>68</v>
      </c>
      <c r="D3503" s="1">
        <v>0.1</v>
      </c>
      <c r="E3503" s="1">
        <v>19614.0</v>
      </c>
      <c r="F3503" s="10">
        <f t="shared" si="1"/>
        <v>0.3333333333</v>
      </c>
      <c r="G3503" s="10">
        <f t="array" ref="G3503">index('Player ID'!C:C,match(E3503,'Player ID'!B:B,0))</f>
        <v>672335</v>
      </c>
    </row>
    <row r="3504">
      <c r="A3504" s="76">
        <v>45774.0</v>
      </c>
      <c r="B3504" s="1" t="s">
        <v>721</v>
      </c>
      <c r="C3504" s="1" t="s">
        <v>62</v>
      </c>
      <c r="D3504" s="1">
        <v>2.0</v>
      </c>
      <c r="E3504" s="1">
        <v>20045.0</v>
      </c>
      <c r="F3504" s="10">
        <f t="shared" si="1"/>
        <v>2</v>
      </c>
      <c r="G3504" s="10">
        <f t="array" ref="G3504">index('Player ID'!C:C,match(E3504,'Player ID'!B:B,0))</f>
        <v>674944</v>
      </c>
    </row>
    <row r="3505">
      <c r="A3505" s="76">
        <v>45774.0</v>
      </c>
      <c r="B3505" s="1" t="s">
        <v>441</v>
      </c>
      <c r="C3505" s="1" t="s">
        <v>68</v>
      </c>
      <c r="D3505" s="1">
        <v>1.0</v>
      </c>
      <c r="E3505" s="1">
        <v>21623.0</v>
      </c>
      <c r="F3505" s="10">
        <f t="shared" si="1"/>
        <v>1</v>
      </c>
      <c r="G3505" s="10">
        <f t="array" ref="G3505">index('Player ID'!C:C,match(E3505,'Player ID'!B:B,0))</f>
        <v>664991</v>
      </c>
    </row>
    <row r="3506">
      <c r="A3506" s="76">
        <v>45774.0</v>
      </c>
      <c r="B3506" s="1" t="s">
        <v>84</v>
      </c>
      <c r="C3506" s="1" t="s">
        <v>62</v>
      </c>
      <c r="D3506" s="1">
        <v>6.0</v>
      </c>
      <c r="E3506" s="1">
        <v>22267.0</v>
      </c>
      <c r="F3506" s="10">
        <f t="shared" si="1"/>
        <v>6</v>
      </c>
      <c r="G3506" s="10">
        <f t="array" ref="G3506">index('Player ID'!C:C,match(E3506,'Player ID'!B:B,0))</f>
        <v>669373</v>
      </c>
    </row>
    <row r="3507">
      <c r="A3507" s="76">
        <v>45774.0</v>
      </c>
      <c r="B3507" s="1" t="s">
        <v>38</v>
      </c>
      <c r="C3507" s="1" t="s">
        <v>39</v>
      </c>
      <c r="D3507" s="1">
        <v>1.0</v>
      </c>
      <c r="E3507" s="1">
        <v>13580.0</v>
      </c>
      <c r="F3507" s="10">
        <f t="shared" si="1"/>
        <v>1</v>
      </c>
      <c r="G3507" s="10">
        <f t="array" ref="G3507">index('Player ID'!C:C,match(E3507,'Player ID'!B:B,0))</f>
        <v>595345</v>
      </c>
    </row>
    <row r="3508">
      <c r="A3508" s="76">
        <v>45774.0</v>
      </c>
      <c r="B3508" s="1" t="s">
        <v>447</v>
      </c>
      <c r="C3508" s="1" t="s">
        <v>39</v>
      </c>
      <c r="D3508" s="1">
        <v>1.0</v>
      </c>
      <c r="E3508" s="1">
        <v>13652.0</v>
      </c>
      <c r="F3508" s="10">
        <f t="shared" si="1"/>
        <v>1</v>
      </c>
      <c r="G3508" s="10">
        <f t="array" ref="G3508">index('Player ID'!C:C,match(E3508,'Player ID'!B:B,0))</f>
        <v>605463</v>
      </c>
    </row>
    <row r="3509">
      <c r="A3509" s="76">
        <v>45774.0</v>
      </c>
      <c r="B3509" s="1" t="s">
        <v>726</v>
      </c>
      <c r="C3509" s="1" t="s">
        <v>29</v>
      </c>
      <c r="D3509" s="1">
        <v>1.0</v>
      </c>
      <c r="E3509" s="1">
        <v>13761.0</v>
      </c>
      <c r="F3509" s="10">
        <f t="shared" si="1"/>
        <v>1</v>
      </c>
      <c r="G3509" s="10">
        <f t="array" ref="G3509">index('Player ID'!C:C,match(E3509,'Player ID'!B:B,0))</f>
        <v>608717</v>
      </c>
    </row>
    <row r="3510">
      <c r="A3510" s="76">
        <v>45774.0</v>
      </c>
      <c r="B3510" s="1" t="s">
        <v>163</v>
      </c>
      <c r="C3510" s="1" t="s">
        <v>29</v>
      </c>
      <c r="D3510" s="1">
        <v>5.0</v>
      </c>
      <c r="E3510" s="1">
        <v>21455.0</v>
      </c>
      <c r="F3510" s="10">
        <f t="shared" si="1"/>
        <v>5</v>
      </c>
      <c r="G3510" s="10">
        <f t="array" ref="G3510">index('Player ID'!C:C,match(E3510,'Player ID'!B:B,0))</f>
        <v>663460</v>
      </c>
    </row>
    <row r="3511">
      <c r="A3511" s="76">
        <v>45774.0</v>
      </c>
      <c r="B3511" s="1" t="s">
        <v>140</v>
      </c>
      <c r="C3511" s="1" t="s">
        <v>29</v>
      </c>
      <c r="D3511" s="1">
        <v>1.0</v>
      </c>
      <c r="E3511" s="1">
        <v>22717.0</v>
      </c>
      <c r="F3511" s="10">
        <f t="shared" si="1"/>
        <v>1</v>
      </c>
      <c r="G3511" s="10">
        <f t="array" ref="G3511">index('Player ID'!C:C,match(E3511,'Player ID'!B:B,0))</f>
        <v>672582</v>
      </c>
    </row>
    <row r="3512">
      <c r="A3512" s="76">
        <v>45774.0</v>
      </c>
      <c r="B3512" s="1" t="s">
        <v>236</v>
      </c>
      <c r="C3512" s="1" t="s">
        <v>29</v>
      </c>
      <c r="D3512" s="1">
        <v>2.0</v>
      </c>
      <c r="E3512" s="1">
        <v>24607.0</v>
      </c>
      <c r="F3512" s="10">
        <f t="shared" si="1"/>
        <v>2</v>
      </c>
      <c r="G3512" s="10">
        <f t="array" ref="G3512">index('Player ID'!C:C,match(E3512,'Player ID'!B:B,0))</f>
        <v>680742</v>
      </c>
    </row>
    <row r="3513">
      <c r="A3513" s="76">
        <v>45774.0</v>
      </c>
      <c r="B3513" s="1" t="s">
        <v>339</v>
      </c>
      <c r="C3513" s="1" t="s">
        <v>39</v>
      </c>
      <c r="D3513" s="1">
        <v>6.0</v>
      </c>
      <c r="E3513" s="1">
        <v>25880.0</v>
      </c>
      <c r="F3513" s="10">
        <f t="shared" si="1"/>
        <v>6</v>
      </c>
      <c r="G3513" s="10">
        <f t="array" ref="G3513">index('Player ID'!C:C,match(E3513,'Player ID'!B:B,0))</f>
        <v>686613</v>
      </c>
    </row>
    <row r="3514">
      <c r="A3514" s="76">
        <v>45774.0</v>
      </c>
      <c r="B3514" s="1" t="s">
        <v>76</v>
      </c>
      <c r="C3514" s="1" t="s">
        <v>39</v>
      </c>
      <c r="D3514" s="1">
        <v>1.0</v>
      </c>
      <c r="E3514" s="1">
        <v>25890.0</v>
      </c>
      <c r="F3514" s="10">
        <f t="shared" si="1"/>
        <v>1</v>
      </c>
      <c r="G3514" s="10">
        <f t="array" ref="G3514">index('Player ID'!C:C,match(E3514,'Player ID'!B:B,0))</f>
        <v>687911</v>
      </c>
    </row>
    <row r="3515">
      <c r="A3515" s="76">
        <v>45774.0</v>
      </c>
      <c r="B3515" s="1" t="s">
        <v>146</v>
      </c>
      <c r="C3515" s="1" t="s">
        <v>16</v>
      </c>
      <c r="D3515" s="1">
        <v>2.0</v>
      </c>
      <c r="E3515" s="1">
        <v>15145.0</v>
      </c>
      <c r="F3515" s="10">
        <f t="shared" si="1"/>
        <v>2</v>
      </c>
      <c r="G3515" s="10">
        <f t="array" ref="G3515">index('Player ID'!C:C,match(E3515,'Player ID'!B:B,0))</f>
        <v>623437</v>
      </c>
    </row>
    <row r="3516">
      <c r="A3516" s="76">
        <v>45774.0</v>
      </c>
      <c r="B3516" s="1" t="s">
        <v>291</v>
      </c>
      <c r="C3516" s="1" t="s">
        <v>25</v>
      </c>
      <c r="D3516" s="1">
        <v>1.0</v>
      </c>
      <c r="E3516" s="1">
        <v>17968.0</v>
      </c>
      <c r="F3516" s="10">
        <f t="shared" si="1"/>
        <v>1</v>
      </c>
      <c r="G3516" s="10">
        <f t="array" ref="G3516">index('Player ID'!C:C,match(E3516,'Player ID'!B:B,0))</f>
        <v>656271</v>
      </c>
    </row>
    <row r="3517">
      <c r="A3517" s="76">
        <v>45774.0</v>
      </c>
      <c r="B3517" s="1" t="s">
        <v>150</v>
      </c>
      <c r="C3517" s="1" t="s">
        <v>16</v>
      </c>
      <c r="D3517" s="1">
        <v>7.0</v>
      </c>
      <c r="E3517" s="1">
        <v>21390.0</v>
      </c>
      <c r="F3517" s="10">
        <f t="shared" si="1"/>
        <v>7</v>
      </c>
      <c r="G3517" s="10">
        <f t="array" ref="G3517">index('Player ID'!C:C,match(E3517,'Player ID'!B:B,0))</f>
        <v>657746</v>
      </c>
    </row>
    <row r="3518">
      <c r="A3518" s="76">
        <v>45774.0</v>
      </c>
      <c r="B3518" s="1" t="s">
        <v>695</v>
      </c>
      <c r="C3518" s="1" t="s">
        <v>25</v>
      </c>
      <c r="D3518" s="1">
        <v>5.0</v>
      </c>
      <c r="E3518" s="1">
        <v>22100.0</v>
      </c>
      <c r="F3518" s="10">
        <f t="shared" si="1"/>
        <v>5</v>
      </c>
      <c r="G3518" s="10">
        <f t="array" ref="G3518">index('Player ID'!C:C,match(E3518,'Player ID'!B:B,0))</f>
        <v>667755</v>
      </c>
    </row>
    <row r="3519">
      <c r="A3519" s="76">
        <v>45774.0</v>
      </c>
      <c r="B3519" s="1" t="s">
        <v>385</v>
      </c>
      <c r="C3519" s="1" t="s">
        <v>25</v>
      </c>
      <c r="D3519" s="1">
        <v>1.0</v>
      </c>
      <c r="E3519" s="1">
        <v>25420.0</v>
      </c>
      <c r="F3519" s="10">
        <f t="shared" si="1"/>
        <v>1</v>
      </c>
      <c r="G3519" s="10">
        <f t="array" ref="G3519">index('Player ID'!C:C,match(E3519,'Player ID'!B:B,0))</f>
        <v>666171</v>
      </c>
    </row>
    <row r="3520">
      <c r="A3520" s="76">
        <v>45774.0</v>
      </c>
      <c r="B3520" s="1" t="s">
        <v>604</v>
      </c>
      <c r="C3520" s="1" t="s">
        <v>25</v>
      </c>
      <c r="D3520" s="1">
        <v>1.0</v>
      </c>
      <c r="E3520" s="1">
        <v>27590.0</v>
      </c>
      <c r="F3520" s="10">
        <f t="shared" si="1"/>
        <v>1</v>
      </c>
      <c r="G3520" s="10">
        <f t="array" ref="G3520">index('Player ID'!C:C,match(E3520,'Player ID'!B:B,0))</f>
        <v>671109</v>
      </c>
    </row>
    <row r="3521">
      <c r="A3521" s="76">
        <v>45774.0</v>
      </c>
      <c r="B3521" s="1" t="s">
        <v>476</v>
      </c>
      <c r="C3521" s="1" t="s">
        <v>14</v>
      </c>
      <c r="D3521" s="1">
        <v>5.0</v>
      </c>
      <c r="E3521" s="1">
        <v>11423.0</v>
      </c>
      <c r="F3521" s="10">
        <f t="shared" si="1"/>
        <v>5</v>
      </c>
      <c r="G3521" s="10">
        <f t="array" ref="G3521">index('Player ID'!C:C,match(E3521,'Player ID'!B:B,0))</f>
        <v>500779</v>
      </c>
    </row>
    <row r="3522">
      <c r="A3522" s="76">
        <v>45774.0</v>
      </c>
      <c r="B3522" s="1" t="s">
        <v>321</v>
      </c>
      <c r="C3522" s="1" t="s">
        <v>72</v>
      </c>
      <c r="D3522" s="1">
        <v>5.2</v>
      </c>
      <c r="E3522" s="1">
        <v>17425.0</v>
      </c>
      <c r="F3522" s="10">
        <f t="shared" si="1"/>
        <v>5.666666667</v>
      </c>
      <c r="G3522" s="10">
        <f t="array" ref="G3522">index('Player ID'!C:C,match(E3522,'Player ID'!B:B,0))</f>
        <v>607200</v>
      </c>
    </row>
    <row r="3523">
      <c r="A3523" s="76">
        <v>45774.0</v>
      </c>
      <c r="B3523" s="1" t="s">
        <v>193</v>
      </c>
      <c r="C3523" s="1" t="s">
        <v>72</v>
      </c>
      <c r="D3523" s="1">
        <v>0.2</v>
      </c>
      <c r="E3523" s="1">
        <v>19574.0</v>
      </c>
      <c r="F3523" s="10">
        <f t="shared" si="1"/>
        <v>0.6666666667</v>
      </c>
      <c r="G3523" s="10">
        <f t="array" ref="G3523">index('Player ID'!C:C,match(E3523,'Player ID'!B:B,0))</f>
        <v>668941</v>
      </c>
    </row>
    <row r="3524">
      <c r="A3524" s="76">
        <v>45774.0</v>
      </c>
      <c r="B3524" s="1" t="s">
        <v>318</v>
      </c>
      <c r="C3524" s="1" t="s">
        <v>14</v>
      </c>
      <c r="D3524" s="1">
        <v>1.1</v>
      </c>
      <c r="E3524" s="1">
        <v>20546.0</v>
      </c>
      <c r="F3524" s="10">
        <f t="shared" si="1"/>
        <v>1.333333333</v>
      </c>
      <c r="G3524" s="10">
        <f t="array" ref="G3524">index('Player ID'!C:C,match(E3524,'Player ID'!B:B,0))</f>
        <v>681982</v>
      </c>
    </row>
    <row r="3525">
      <c r="A3525" s="76">
        <v>45774.0</v>
      </c>
      <c r="B3525" s="1" t="s">
        <v>273</v>
      </c>
      <c r="C3525" s="1" t="s">
        <v>72</v>
      </c>
      <c r="D3525" s="1">
        <v>1.0</v>
      </c>
      <c r="E3525" s="1">
        <v>22051.0</v>
      </c>
      <c r="F3525" s="10">
        <f t="shared" si="1"/>
        <v>1</v>
      </c>
      <c r="G3525" s="10">
        <f t="array" ref="G3525">index('Player ID'!C:C,match(E3525,'Player ID'!B:B,0))</f>
        <v>667463</v>
      </c>
    </row>
    <row r="3526">
      <c r="A3526" s="76">
        <v>45774.0</v>
      </c>
      <c r="B3526" s="1" t="s">
        <v>112</v>
      </c>
      <c r="C3526" s="1" t="s">
        <v>14</v>
      </c>
      <c r="D3526" s="1">
        <v>1.2</v>
      </c>
      <c r="E3526" s="1">
        <v>25376.0</v>
      </c>
      <c r="F3526" s="10">
        <f t="shared" si="1"/>
        <v>1.666666667</v>
      </c>
      <c r="G3526" s="10">
        <f t="array" ref="G3526">index('Player ID'!C:C,match(E3526,'Player ID'!B:B,0))</f>
        <v>683232</v>
      </c>
    </row>
    <row r="3527">
      <c r="A3527" s="76">
        <v>45774.0</v>
      </c>
      <c r="B3527" s="1" t="s">
        <v>418</v>
      </c>
      <c r="C3527" s="1" t="s">
        <v>14</v>
      </c>
      <c r="D3527" s="1">
        <v>1.0</v>
      </c>
      <c r="E3527" s="1">
        <v>27517.0</v>
      </c>
      <c r="F3527" s="10">
        <f t="shared" si="1"/>
        <v>1</v>
      </c>
      <c r="G3527" s="10">
        <f t="array" ref="G3527">index('Player ID'!C:C,match(E3527,'Player ID'!B:B,0))</f>
        <v>657649</v>
      </c>
    </row>
    <row r="3528">
      <c r="A3528" s="76">
        <v>45774.0</v>
      </c>
      <c r="B3528" s="1" t="s">
        <v>223</v>
      </c>
      <c r="C3528" s="1" t="s">
        <v>72</v>
      </c>
      <c r="D3528" s="1">
        <v>1.2</v>
      </c>
      <c r="E3528" s="1">
        <v>29629.0</v>
      </c>
      <c r="F3528" s="10">
        <f t="shared" si="1"/>
        <v>1.666666667</v>
      </c>
      <c r="G3528" s="10">
        <f t="array" ref="G3528">index('Player ID'!C:C,match(E3528,'Player ID'!B:B,0))</f>
        <v>694335</v>
      </c>
    </row>
    <row r="3529">
      <c r="A3529" s="76">
        <v>45774.0</v>
      </c>
      <c r="B3529" s="1" t="s">
        <v>704</v>
      </c>
      <c r="C3529" s="1" t="s">
        <v>75</v>
      </c>
      <c r="D3529" s="1">
        <v>1.0</v>
      </c>
      <c r="E3529" s="1">
        <v>10591.0</v>
      </c>
      <c r="F3529" s="10">
        <f t="shared" si="1"/>
        <v>1</v>
      </c>
      <c r="G3529" s="10">
        <f t="array" ref="G3529">index('Player ID'!C:C,match(E3529,'Player ID'!B:B,0))</f>
        <v>518397</v>
      </c>
    </row>
    <row r="3530">
      <c r="A3530" s="76">
        <v>45774.0</v>
      </c>
      <c r="B3530" s="1" t="s">
        <v>417</v>
      </c>
      <c r="C3530" s="1" t="s">
        <v>66</v>
      </c>
      <c r="D3530" s="1">
        <v>1.0</v>
      </c>
      <c r="E3530" s="1">
        <v>13942.0</v>
      </c>
      <c r="F3530" s="10">
        <f t="shared" si="1"/>
        <v>1</v>
      </c>
      <c r="G3530" s="10">
        <f t="array" ref="G3530">index('Player ID'!C:C,match(E3530,'Player ID'!B:B,0))</f>
        <v>608718</v>
      </c>
    </row>
    <row r="3531">
      <c r="A3531" s="76">
        <v>45774.0</v>
      </c>
      <c r="B3531" s="1" t="s">
        <v>451</v>
      </c>
      <c r="C3531" s="1" t="s">
        <v>75</v>
      </c>
      <c r="D3531" s="1">
        <v>2.0</v>
      </c>
      <c r="E3531" s="1">
        <v>17556.0</v>
      </c>
      <c r="F3531" s="10">
        <f t="shared" si="1"/>
        <v>2</v>
      </c>
      <c r="G3531" s="10">
        <f t="array" ref="G3531">index('Player ID'!C:C,match(E3531,'Player ID'!B:B,0))</f>
        <v>623474</v>
      </c>
    </row>
    <row r="3532">
      <c r="A3532" s="76">
        <v>45774.0</v>
      </c>
      <c r="B3532" s="1" t="s">
        <v>518</v>
      </c>
      <c r="C3532" s="1" t="s">
        <v>66</v>
      </c>
      <c r="D3532" s="1">
        <v>1.0</v>
      </c>
      <c r="E3532" s="1">
        <v>24581.0</v>
      </c>
      <c r="F3532" s="10">
        <f t="shared" si="1"/>
        <v>1</v>
      </c>
      <c r="G3532" s="10">
        <f t="array" ref="G3532">index('Player ID'!C:C,match(E3532,'Player ID'!B:B,0))</f>
        <v>680689</v>
      </c>
    </row>
    <row r="3533">
      <c r="A3533" s="76">
        <v>45774.0</v>
      </c>
      <c r="B3533" s="1" t="s">
        <v>194</v>
      </c>
      <c r="C3533" s="1" t="s">
        <v>66</v>
      </c>
      <c r="D3533" s="1">
        <v>7.0</v>
      </c>
      <c r="E3533" s="1">
        <v>26378.0</v>
      </c>
      <c r="F3533" s="10">
        <f t="shared" si="1"/>
        <v>7</v>
      </c>
      <c r="G3533" s="10">
        <f t="array" ref="G3533">index('Player ID'!C:C,match(E3533,'Player ID'!B:B,0))</f>
        <v>666157</v>
      </c>
    </row>
    <row r="3534">
      <c r="A3534" s="76">
        <v>45774.0</v>
      </c>
      <c r="B3534" s="1" t="s">
        <v>466</v>
      </c>
      <c r="C3534" s="1" t="s">
        <v>75</v>
      </c>
      <c r="D3534" s="1">
        <v>4.0</v>
      </c>
      <c r="E3534" s="1">
        <v>26419.0</v>
      </c>
      <c r="F3534" s="10">
        <f t="shared" si="1"/>
        <v>4</v>
      </c>
      <c r="G3534" s="10">
        <f t="array" ref="G3534">index('Player ID'!C:C,match(E3534,'Player ID'!B:B,0))</f>
        <v>687134</v>
      </c>
    </row>
    <row r="3535">
      <c r="A3535" s="76">
        <v>45774.0</v>
      </c>
      <c r="B3535" s="1" t="s">
        <v>512</v>
      </c>
      <c r="C3535" s="1" t="s">
        <v>75</v>
      </c>
      <c r="D3535" s="1">
        <v>2.0</v>
      </c>
      <c r="E3535" s="1">
        <v>31552.0</v>
      </c>
      <c r="F3535" s="10">
        <f t="shared" si="1"/>
        <v>2</v>
      </c>
      <c r="G3535" s="10">
        <f t="array" ref="G3535">index('Player ID'!C:C,match(E3535,'Player ID'!B:B,0))</f>
        <v>688642</v>
      </c>
    </row>
    <row r="3536">
      <c r="A3536" s="76">
        <v>45774.0</v>
      </c>
      <c r="B3536" s="1" t="s">
        <v>668</v>
      </c>
      <c r="C3536" s="1" t="s">
        <v>52</v>
      </c>
      <c r="D3536" s="1">
        <v>0.2</v>
      </c>
      <c r="E3536" s="1">
        <v>3237.0</v>
      </c>
      <c r="F3536" s="10">
        <f t="shared" si="1"/>
        <v>0.6666666667</v>
      </c>
      <c r="G3536" s="10">
        <f t="array" ref="G3536">index('Player ID'!C:C,match(E3536,'Player ID'!B:B,0))</f>
        <v>519008</v>
      </c>
    </row>
    <row r="3537">
      <c r="A3537" s="76">
        <v>45774.0</v>
      </c>
      <c r="B3537" s="1" t="s">
        <v>252</v>
      </c>
      <c r="C3537" s="1" t="s">
        <v>78</v>
      </c>
      <c r="D3537" s="1">
        <v>1.0</v>
      </c>
      <c r="E3537" s="1">
        <v>16061.0</v>
      </c>
      <c r="F3537" s="10">
        <f t="shared" si="1"/>
        <v>1</v>
      </c>
      <c r="G3537" s="10">
        <f t="array" ref="G3537">index('Player ID'!C:C,match(E3537,'Player ID'!B:B,0))</f>
        <v>592155</v>
      </c>
    </row>
    <row r="3538">
      <c r="A3538" s="76">
        <v>45774.0</v>
      </c>
      <c r="B3538" s="1" t="s">
        <v>505</v>
      </c>
      <c r="C3538" s="1" t="s">
        <v>52</v>
      </c>
      <c r="D3538" s="1">
        <v>1.0</v>
      </c>
      <c r="E3538" s="1">
        <v>19481.0</v>
      </c>
      <c r="F3538" s="10">
        <f t="shared" si="1"/>
        <v>1</v>
      </c>
      <c r="G3538" s="10">
        <f t="array" ref="G3538">index('Player ID'!C:C,match(E3538,'Player ID'!B:B,0))</f>
        <v>621053</v>
      </c>
    </row>
    <row r="3539">
      <c r="A3539" s="76">
        <v>45774.0</v>
      </c>
      <c r="B3539" s="1" t="s">
        <v>116</v>
      </c>
      <c r="C3539" s="1" t="s">
        <v>78</v>
      </c>
      <c r="D3539" s="1">
        <v>1.0</v>
      </c>
      <c r="E3539" s="1">
        <v>20353.0</v>
      </c>
      <c r="F3539" s="10">
        <f t="shared" si="1"/>
        <v>1</v>
      </c>
      <c r="G3539" s="10">
        <f t="array" ref="G3539">index('Player ID'!C:C,match(E3539,'Player ID'!B:B,0))</f>
        <v>621051</v>
      </c>
    </row>
    <row r="3540">
      <c r="A3540" s="76">
        <v>45774.0</v>
      </c>
      <c r="B3540" s="1" t="s">
        <v>335</v>
      </c>
      <c r="C3540" s="1" t="s">
        <v>78</v>
      </c>
      <c r="D3540" s="1">
        <v>6.0</v>
      </c>
      <c r="E3540" s="1">
        <v>21448.0</v>
      </c>
      <c r="F3540" s="10">
        <f t="shared" si="1"/>
        <v>6</v>
      </c>
      <c r="G3540" s="10">
        <f t="array" ref="G3540">index('Player ID'!C:C,match(E3540,'Player ID'!B:B,0))</f>
        <v>663436</v>
      </c>
    </row>
    <row r="3541">
      <c r="A3541" s="76">
        <v>45774.0</v>
      </c>
      <c r="B3541" s="1" t="s">
        <v>454</v>
      </c>
      <c r="C3541" s="1" t="s">
        <v>52</v>
      </c>
      <c r="D3541" s="1">
        <v>5.1</v>
      </c>
      <c r="E3541" s="1">
        <v>23150.0</v>
      </c>
      <c r="F3541" s="10">
        <f t="shared" si="1"/>
        <v>5.333333333</v>
      </c>
      <c r="G3541" s="10">
        <f t="array" ref="G3541">index('Player ID'!C:C,match(E3541,'Player ID'!B:B,0))</f>
        <v>674370</v>
      </c>
    </row>
    <row r="3542">
      <c r="A3542" s="76">
        <v>45774.0</v>
      </c>
      <c r="B3542" s="1" t="s">
        <v>367</v>
      </c>
      <c r="C3542" s="1" t="s">
        <v>78</v>
      </c>
      <c r="D3542" s="1">
        <v>1.0</v>
      </c>
      <c r="E3542" s="1">
        <v>27668.0</v>
      </c>
      <c r="F3542" s="10">
        <f t="shared" si="1"/>
        <v>1</v>
      </c>
      <c r="G3542" s="10">
        <f t="array" ref="G3542">index('Player ID'!C:C,match(E3542,'Player ID'!B:B,0))</f>
        <v>685126</v>
      </c>
    </row>
    <row r="3543">
      <c r="A3543" s="76">
        <v>45774.0</v>
      </c>
      <c r="B3543" s="1" t="s">
        <v>213</v>
      </c>
      <c r="C3543" s="1" t="s">
        <v>52</v>
      </c>
      <c r="D3543" s="1">
        <v>1.0</v>
      </c>
      <c r="E3543" s="1">
        <v>27694.0</v>
      </c>
      <c r="F3543" s="10">
        <f t="shared" si="1"/>
        <v>1</v>
      </c>
      <c r="G3543" s="10">
        <f t="array" ref="G3543">index('Player ID'!C:C,match(E3543,'Player ID'!B:B,0))</f>
        <v>686993</v>
      </c>
    </row>
    <row r="3544">
      <c r="A3544" s="76">
        <v>45774.0</v>
      </c>
      <c r="B3544" s="1" t="s">
        <v>317</v>
      </c>
      <c r="C3544" s="1" t="s">
        <v>78</v>
      </c>
      <c r="D3544" s="1">
        <v>0.1</v>
      </c>
      <c r="E3544" s="1">
        <v>29950.0</v>
      </c>
      <c r="F3544" s="10">
        <f t="shared" si="1"/>
        <v>0.3333333333</v>
      </c>
      <c r="G3544" s="10">
        <f t="array" ref="G3544">index('Player ID'!C:C,match(E3544,'Player ID'!B:B,0))</f>
        <v>673929</v>
      </c>
    </row>
    <row r="3545">
      <c r="A3545" s="76">
        <v>45774.0</v>
      </c>
      <c r="B3545" s="1" t="s">
        <v>681</v>
      </c>
      <c r="C3545" s="1" t="s">
        <v>52</v>
      </c>
      <c r="D3545" s="1">
        <v>1.0</v>
      </c>
      <c r="E3545" s="1">
        <v>30002.0</v>
      </c>
      <c r="F3545" s="10">
        <f t="shared" si="1"/>
        <v>1</v>
      </c>
      <c r="G3545" s="10">
        <f t="array" ref="G3545">index('Player ID'!C:C,match(E3545,'Player ID'!B:B,0))</f>
        <v>680880</v>
      </c>
    </row>
    <row r="3546">
      <c r="A3546" s="76">
        <v>45774.0</v>
      </c>
      <c r="B3546" s="1" t="s">
        <v>286</v>
      </c>
      <c r="C3546" s="1" t="s">
        <v>52</v>
      </c>
      <c r="D3546" s="1">
        <v>1.0</v>
      </c>
      <c r="E3546" s="1">
        <v>31757.0</v>
      </c>
      <c r="F3546" s="10">
        <f t="shared" si="1"/>
        <v>1</v>
      </c>
      <c r="G3546" s="10">
        <f t="array" ref="G3546">index('Player ID'!C:C,match(E3546,'Player ID'!B:B,0))</f>
        <v>695243</v>
      </c>
    </row>
    <row r="3547">
      <c r="A3547" s="76">
        <v>45774.0</v>
      </c>
      <c r="B3547" s="1" t="s">
        <v>162</v>
      </c>
      <c r="C3547" s="1" t="s">
        <v>56</v>
      </c>
      <c r="D3547" s="1">
        <v>0.0</v>
      </c>
      <c r="E3547" s="1">
        <v>11752.0</v>
      </c>
      <c r="F3547" s="10">
        <f t="shared" si="1"/>
        <v>0</v>
      </c>
      <c r="G3547" s="10">
        <f t="array" ref="G3547">index('Player ID'!C:C,match(E3547,'Player ID'!B:B,0))</f>
        <v>592426</v>
      </c>
    </row>
    <row r="3548">
      <c r="A3548" s="76">
        <v>45774.0</v>
      </c>
      <c r="B3548" s="1" t="s">
        <v>74</v>
      </c>
      <c r="C3548" s="1" t="s">
        <v>56</v>
      </c>
      <c r="D3548" s="1">
        <v>0.2</v>
      </c>
      <c r="E3548" s="1">
        <v>11847.0</v>
      </c>
      <c r="F3548" s="10">
        <f t="shared" si="1"/>
        <v>0.6666666667</v>
      </c>
      <c r="G3548" s="10">
        <f t="array" ref="G3548">index('Player ID'!C:C,match(E3548,'Player ID'!B:B,0))</f>
        <v>455119</v>
      </c>
    </row>
    <row r="3549">
      <c r="A3549" s="76">
        <v>45774.0</v>
      </c>
      <c r="B3549" s="1" t="s">
        <v>445</v>
      </c>
      <c r="C3549" s="1" t="s">
        <v>31</v>
      </c>
      <c r="D3549" s="1">
        <v>5.0</v>
      </c>
      <c r="E3549" s="1">
        <v>19618.0</v>
      </c>
      <c r="F3549" s="10">
        <f t="shared" si="1"/>
        <v>5</v>
      </c>
      <c r="G3549" s="10">
        <f t="array" ref="G3549">index('Player ID'!C:C,match(E3549,'Player ID'!B:B,0))</f>
        <v>663855</v>
      </c>
    </row>
    <row r="3550">
      <c r="A3550" s="76">
        <v>45774.0</v>
      </c>
      <c r="B3550" s="1" t="s">
        <v>349</v>
      </c>
      <c r="C3550" s="1" t="s">
        <v>56</v>
      </c>
      <c r="D3550" s="1">
        <v>2.0</v>
      </c>
      <c r="E3550" s="1">
        <v>19736.0</v>
      </c>
      <c r="F3550" s="10">
        <f t="shared" si="1"/>
        <v>2</v>
      </c>
      <c r="G3550" s="10">
        <f t="array" ref="G3550">index('Player ID'!C:C,match(E3550,'Player ID'!B:B,0))</f>
        <v>676961</v>
      </c>
    </row>
    <row r="3551">
      <c r="A3551" s="76">
        <v>45774.0</v>
      </c>
      <c r="B3551" s="1" t="s">
        <v>111</v>
      </c>
      <c r="C3551" s="1" t="s">
        <v>56</v>
      </c>
      <c r="D3551" s="1">
        <v>1.1</v>
      </c>
      <c r="E3551" s="1">
        <v>21306.0</v>
      </c>
      <c r="F3551" s="10">
        <f t="shared" si="1"/>
        <v>1.333333333</v>
      </c>
      <c r="G3551" s="10">
        <f t="array" ref="G3551">index('Player ID'!C:C,match(E3551,'Player ID'!B:B,0))</f>
        <v>656641</v>
      </c>
    </row>
    <row r="3552">
      <c r="A3552" s="76">
        <v>45774.0</v>
      </c>
      <c r="B3552" s="1" t="s">
        <v>304</v>
      </c>
      <c r="C3552" s="1" t="s">
        <v>31</v>
      </c>
      <c r="D3552" s="1">
        <v>1.0</v>
      </c>
      <c r="E3552" s="1">
        <v>21992.0</v>
      </c>
      <c r="F3552" s="10">
        <f t="shared" si="1"/>
        <v>1</v>
      </c>
      <c r="G3552" s="10">
        <f t="array" ref="G3552">index('Player ID'!C:C,match(E3552,'Player ID'!B:B,0))</f>
        <v>666808</v>
      </c>
    </row>
    <row r="3553">
      <c r="A3553" s="76">
        <v>45774.0</v>
      </c>
      <c r="B3553" s="1" t="s">
        <v>268</v>
      </c>
      <c r="C3553" s="1" t="s">
        <v>56</v>
      </c>
      <c r="D3553" s="1">
        <v>0.2</v>
      </c>
      <c r="E3553" s="1">
        <v>23363.0</v>
      </c>
      <c r="F3553" s="10">
        <f t="shared" si="1"/>
        <v>0.6666666667</v>
      </c>
      <c r="G3553" s="10">
        <f t="array" ref="G3553">index('Player ID'!C:C,match(E3553,'Player ID'!B:B,0))</f>
        <v>676395</v>
      </c>
    </row>
    <row r="3554">
      <c r="A3554" s="76">
        <v>45774.0</v>
      </c>
      <c r="B3554" s="1" t="s">
        <v>374</v>
      </c>
      <c r="C3554" s="1" t="s">
        <v>56</v>
      </c>
      <c r="D3554" s="1">
        <v>3.1</v>
      </c>
      <c r="E3554" s="1">
        <v>30146.0</v>
      </c>
      <c r="F3554" s="10">
        <f t="shared" si="1"/>
        <v>3.333333333</v>
      </c>
      <c r="G3554" s="10">
        <f t="array" ref="G3554">index('Player ID'!C:C,match(E3554,'Player ID'!B:B,0))</f>
        <v>683004</v>
      </c>
    </row>
    <row r="3555">
      <c r="A3555" s="76">
        <v>45774.0</v>
      </c>
      <c r="B3555" s="1" t="s">
        <v>514</v>
      </c>
      <c r="C3555" s="1" t="s">
        <v>31</v>
      </c>
      <c r="D3555" s="1">
        <v>3.0</v>
      </c>
      <c r="E3555" s="1">
        <v>31635.0</v>
      </c>
      <c r="F3555" s="10">
        <f t="shared" si="1"/>
        <v>3</v>
      </c>
      <c r="G3555" s="10">
        <f t="array" ref="G3555">index('Player ID'!C:C,match(E3555,'Player ID'!B:B,0))</f>
        <v>806185</v>
      </c>
    </row>
    <row r="3556">
      <c r="A3556" s="76">
        <v>45774.0</v>
      </c>
      <c r="B3556" s="1" t="s">
        <v>595</v>
      </c>
      <c r="C3556" s="1" t="s">
        <v>33</v>
      </c>
      <c r="D3556" s="1">
        <v>0.2</v>
      </c>
      <c r="E3556" s="1">
        <v>6984.0</v>
      </c>
      <c r="F3556" s="10">
        <f t="shared" si="1"/>
        <v>0.6666666667</v>
      </c>
      <c r="G3556" s="10">
        <f t="array" ref="G3556">index('Player ID'!C:C,match(E3556,'Player ID'!B:B,0))</f>
        <v>472610</v>
      </c>
    </row>
    <row r="3557">
      <c r="A3557" s="76">
        <v>45774.0</v>
      </c>
      <c r="B3557" s="1" t="s">
        <v>421</v>
      </c>
      <c r="C3557" s="1" t="s">
        <v>33</v>
      </c>
      <c r="D3557" s="1">
        <v>1.0</v>
      </c>
      <c r="E3557" s="1">
        <v>14374.0</v>
      </c>
      <c r="F3557" s="10">
        <f t="shared" si="1"/>
        <v>1</v>
      </c>
      <c r="G3557" s="10">
        <f t="array" ref="G3557">index('Player ID'!C:C,match(E3557,'Player ID'!B:B,0))</f>
        <v>607192</v>
      </c>
    </row>
    <row r="3558">
      <c r="A3558" s="76">
        <v>45774.0</v>
      </c>
      <c r="B3558" s="1" t="s">
        <v>220</v>
      </c>
      <c r="C3558" s="1" t="s">
        <v>60</v>
      </c>
      <c r="D3558" s="1">
        <v>4.1</v>
      </c>
      <c r="E3558" s="1">
        <v>20070.0</v>
      </c>
      <c r="F3558" s="10">
        <f t="shared" si="1"/>
        <v>4.333333333</v>
      </c>
      <c r="G3558" s="10">
        <f t="array" ref="G3558">index('Player ID'!C:C,match(E3558,'Player ID'!B:B,0))</f>
        <v>663559</v>
      </c>
    </row>
    <row r="3559">
      <c r="A3559" s="76">
        <v>45774.0</v>
      </c>
      <c r="B3559" s="1" t="s">
        <v>463</v>
      </c>
      <c r="C3559" s="1" t="s">
        <v>60</v>
      </c>
      <c r="D3559" s="1">
        <v>1.0</v>
      </c>
      <c r="E3559" s="1">
        <v>21544.0</v>
      </c>
      <c r="F3559" s="10">
        <f t="shared" si="1"/>
        <v>1</v>
      </c>
      <c r="G3559" s="10">
        <f t="array" ref="G3559">index('Player ID'!C:C,match(E3559,'Player ID'!B:B,0))</f>
        <v>663767</v>
      </c>
    </row>
    <row r="3560">
      <c r="A3560" s="76">
        <v>45774.0</v>
      </c>
      <c r="B3560" s="1" t="s">
        <v>663</v>
      </c>
      <c r="C3560" s="1" t="s">
        <v>60</v>
      </c>
      <c r="D3560" s="1">
        <v>1.1</v>
      </c>
      <c r="E3560" s="1">
        <v>22361.0</v>
      </c>
      <c r="F3560" s="10">
        <f t="shared" si="1"/>
        <v>1.333333333</v>
      </c>
      <c r="G3560" s="10">
        <f t="array" ref="G3560">index('Player ID'!C:C,match(E3560,'Player ID'!B:B,0))</f>
        <v>670059</v>
      </c>
    </row>
    <row r="3561">
      <c r="A3561" s="76">
        <v>45774.0</v>
      </c>
      <c r="B3561" s="1" t="s">
        <v>691</v>
      </c>
      <c r="C3561" s="1" t="s">
        <v>33</v>
      </c>
      <c r="D3561" s="1">
        <v>3.0</v>
      </c>
      <c r="E3561" s="1">
        <v>22872.0</v>
      </c>
      <c r="F3561" s="10">
        <f t="shared" si="1"/>
        <v>3</v>
      </c>
      <c r="G3561" s="10">
        <f t="array" ref="G3561">index('Player ID'!C:C,match(E3561,'Player ID'!B:B,0))</f>
        <v>672782</v>
      </c>
    </row>
    <row r="3562">
      <c r="A3562" s="76">
        <v>45774.0</v>
      </c>
      <c r="B3562" s="1" t="s">
        <v>92</v>
      </c>
      <c r="C3562" s="1" t="s">
        <v>33</v>
      </c>
      <c r="D3562" s="1">
        <v>0.2</v>
      </c>
      <c r="E3562" s="1">
        <v>25007.0</v>
      </c>
      <c r="F3562" s="10">
        <f t="shared" si="1"/>
        <v>0.6666666667</v>
      </c>
      <c r="G3562" s="10">
        <f t="array" ref="G3562">index('Player ID'!C:C,match(E3562,'Player ID'!B:B,0))</f>
        <v>681911</v>
      </c>
    </row>
    <row r="3563">
      <c r="A3563" s="76">
        <v>45774.0</v>
      </c>
      <c r="B3563" s="1" t="s">
        <v>482</v>
      </c>
      <c r="C3563" s="1" t="s">
        <v>60</v>
      </c>
      <c r="D3563" s="1">
        <v>1.1</v>
      </c>
      <c r="E3563" s="1">
        <v>27775.0</v>
      </c>
      <c r="F3563" s="10">
        <f t="shared" si="1"/>
        <v>1.333333333</v>
      </c>
      <c r="G3563" s="10">
        <f t="array" ref="G3563">index('Player ID'!C:C,match(E3563,'Player ID'!B:B,0))</f>
        <v>693312</v>
      </c>
    </row>
    <row r="3564">
      <c r="A3564" s="76">
        <v>45774.0</v>
      </c>
      <c r="B3564" s="1" t="s">
        <v>104</v>
      </c>
      <c r="C3564" s="1" t="s">
        <v>33</v>
      </c>
      <c r="D3564" s="1">
        <v>3.2</v>
      </c>
      <c r="E3564" s="1">
        <v>30085.0</v>
      </c>
      <c r="F3564" s="10">
        <f t="shared" si="1"/>
        <v>3.666666667</v>
      </c>
      <c r="G3564" s="10">
        <f t="array" ref="G3564">index('Player ID'!C:C,match(E3564,'Player ID'!B:B,0))</f>
        <v>676508</v>
      </c>
    </row>
    <row r="3565">
      <c r="A3565" s="76">
        <v>45774.0</v>
      </c>
      <c r="B3565" s="1" t="s">
        <v>342</v>
      </c>
      <c r="C3565" s="1" t="s">
        <v>26</v>
      </c>
      <c r="D3565" s="1">
        <v>1.0</v>
      </c>
      <c r="E3565" s="1">
        <v>11861.0</v>
      </c>
      <c r="F3565" s="10">
        <f t="shared" si="1"/>
        <v>1</v>
      </c>
      <c r="G3565" s="10">
        <f t="array" ref="G3565">index('Player ID'!C:C,match(E3565,'Player ID'!B:B,0))</f>
        <v>592094</v>
      </c>
    </row>
    <row r="3566">
      <c r="A3566" s="76">
        <v>45774.0</v>
      </c>
      <c r="B3566" s="1" t="s">
        <v>177</v>
      </c>
      <c r="C3566" s="1" t="s">
        <v>54</v>
      </c>
      <c r="D3566" s="1">
        <v>5.0</v>
      </c>
      <c r="E3566" s="1">
        <v>15823.0</v>
      </c>
      <c r="F3566" s="10">
        <f t="shared" si="1"/>
        <v>5</v>
      </c>
      <c r="G3566" s="10">
        <f t="array" ref="G3566">index('Player ID'!C:C,match(E3566,'Player ID'!B:B,0))</f>
        <v>641793</v>
      </c>
    </row>
    <row r="3567">
      <c r="A3567" s="76">
        <v>45774.0</v>
      </c>
      <c r="B3567" s="1" t="s">
        <v>261</v>
      </c>
      <c r="C3567" s="1" t="s">
        <v>54</v>
      </c>
      <c r="D3567" s="1">
        <v>1.0</v>
      </c>
      <c r="E3567" s="1">
        <v>17998.0</v>
      </c>
      <c r="F3567" s="10">
        <f t="shared" si="1"/>
        <v>1</v>
      </c>
      <c r="G3567" s="10">
        <f t="array" ref="G3567">index('Player ID'!C:C,match(E3567,'Player ID'!B:B,0))</f>
        <v>664126</v>
      </c>
    </row>
    <row r="3568">
      <c r="A3568" s="76">
        <v>45774.0</v>
      </c>
      <c r="B3568" s="1" t="s">
        <v>49</v>
      </c>
      <c r="C3568" s="1" t="s">
        <v>26</v>
      </c>
      <c r="D3568" s="1">
        <v>1.1</v>
      </c>
      <c r="E3568" s="1">
        <v>20039.0</v>
      </c>
      <c r="F3568" s="10">
        <f t="shared" si="1"/>
        <v>1.333333333</v>
      </c>
      <c r="G3568" s="10">
        <f t="array" ref="G3568">index('Player ID'!C:C,match(E3568,'Player ID'!B:B,0))</f>
        <v>670970</v>
      </c>
    </row>
    <row r="3569">
      <c r="A3569" s="76">
        <v>45774.0</v>
      </c>
      <c r="B3569" s="1" t="s">
        <v>400</v>
      </c>
      <c r="C3569" s="1" t="s">
        <v>54</v>
      </c>
      <c r="D3569" s="1">
        <v>1.1</v>
      </c>
      <c r="E3569" s="1">
        <v>20539.0</v>
      </c>
      <c r="F3569" s="10">
        <f t="shared" si="1"/>
        <v>1.333333333</v>
      </c>
      <c r="G3569" s="10">
        <f t="array" ref="G3569">index('Player ID'!C:C,match(E3569,'Player ID'!B:B,0))</f>
        <v>670955</v>
      </c>
    </row>
    <row r="3570">
      <c r="A3570" s="76">
        <v>45774.0</v>
      </c>
      <c r="B3570" s="1" t="s">
        <v>705</v>
      </c>
      <c r="C3570" s="1" t="s">
        <v>54</v>
      </c>
      <c r="D3570" s="1">
        <v>1.0</v>
      </c>
      <c r="E3570" s="1">
        <v>20794.0</v>
      </c>
      <c r="F3570" s="10">
        <f t="shared" si="1"/>
        <v>1</v>
      </c>
      <c r="G3570" s="10">
        <f t="array" ref="G3570">index('Player ID'!C:C,match(E3570,'Player ID'!B:B,0))</f>
        <v>655889</v>
      </c>
    </row>
    <row r="3571">
      <c r="A3571" s="76">
        <v>45774.0</v>
      </c>
      <c r="B3571" s="1" t="s">
        <v>94</v>
      </c>
      <c r="C3571" s="1" t="s">
        <v>26</v>
      </c>
      <c r="D3571" s="1">
        <v>1.0</v>
      </c>
      <c r="E3571" s="1">
        <v>22210.0</v>
      </c>
      <c r="F3571" s="10">
        <f t="shared" si="1"/>
        <v>1</v>
      </c>
      <c r="G3571" s="10">
        <f t="array" ref="G3571">index('Player ID'!C:C,match(E3571,'Player ID'!B:B,0))</f>
        <v>669093</v>
      </c>
    </row>
    <row r="3572">
      <c r="A3572" s="76">
        <v>45774.0</v>
      </c>
      <c r="B3572" s="1" t="s">
        <v>713</v>
      </c>
      <c r="C3572" s="1" t="s">
        <v>26</v>
      </c>
      <c r="D3572" s="1">
        <v>4.2</v>
      </c>
      <c r="E3572" s="1">
        <v>24719.0</v>
      </c>
      <c r="F3572" s="10">
        <f t="shared" si="1"/>
        <v>4.666666667</v>
      </c>
      <c r="G3572" s="10">
        <f t="array" ref="G3572">index('Player ID'!C:C,match(E3572,'Player ID'!B:B,0))</f>
        <v>681190</v>
      </c>
    </row>
    <row r="3573">
      <c r="A3573" s="76">
        <v>45774.0</v>
      </c>
      <c r="B3573" s="1" t="s">
        <v>334</v>
      </c>
      <c r="C3573" s="1" t="s">
        <v>54</v>
      </c>
      <c r="D3573" s="1">
        <v>0.2</v>
      </c>
      <c r="E3573" s="1">
        <v>29770.0</v>
      </c>
      <c r="F3573" s="10">
        <f t="shared" si="1"/>
        <v>0.6666666667</v>
      </c>
      <c r="G3573" s="10">
        <f t="array" ref="G3573">index('Player ID'!C:C,match(E3573,'Player ID'!B:B,0))</f>
        <v>682254</v>
      </c>
    </row>
    <row r="3574">
      <c r="A3574" s="76">
        <v>45774.0</v>
      </c>
      <c r="B3574" s="1" t="s">
        <v>81</v>
      </c>
      <c r="C3574" s="1" t="s">
        <v>26</v>
      </c>
      <c r="D3574" s="1">
        <v>1.0</v>
      </c>
      <c r="E3574" s="1">
        <v>30115.0</v>
      </c>
      <c r="F3574" s="10">
        <f t="shared" si="1"/>
        <v>1</v>
      </c>
      <c r="G3574" s="10">
        <f t="array" ref="G3574">index('Player ID'!C:C,match(E3574,'Player ID'!B:B,0))</f>
        <v>663158</v>
      </c>
    </row>
    <row r="3575">
      <c r="A3575" s="76">
        <v>45774.0</v>
      </c>
      <c r="B3575" s="1" t="s">
        <v>103</v>
      </c>
      <c r="C3575" s="1" t="s">
        <v>64</v>
      </c>
      <c r="D3575" s="1">
        <v>1.0</v>
      </c>
      <c r="E3575" s="1">
        <v>10197.0</v>
      </c>
      <c r="F3575" s="10">
        <f t="shared" si="1"/>
        <v>1</v>
      </c>
      <c r="G3575" s="10">
        <f t="array" ref="G3575">index('Player ID'!C:C,match(E3575,'Player ID'!B:B,0))</f>
        <v>571946</v>
      </c>
    </row>
    <row r="3576">
      <c r="A3576" s="76">
        <v>45774.0</v>
      </c>
      <c r="B3576" s="1" t="s">
        <v>326</v>
      </c>
      <c r="C3576" s="1" t="s">
        <v>46</v>
      </c>
      <c r="D3576" s="1">
        <v>0.1</v>
      </c>
      <c r="E3576" s="1">
        <v>12760.0</v>
      </c>
      <c r="F3576" s="10">
        <f t="shared" si="1"/>
        <v>0.3333333333</v>
      </c>
      <c r="G3576" s="10">
        <f t="array" ref="G3576">index('Player ID'!C:C,match(E3576,'Player ID'!B:B,0))</f>
        <v>606160</v>
      </c>
    </row>
    <row r="3577">
      <c r="A3577" s="76">
        <v>45774.0</v>
      </c>
      <c r="B3577" s="1" t="s">
        <v>319</v>
      </c>
      <c r="C3577" s="1" t="s">
        <v>46</v>
      </c>
      <c r="D3577" s="1">
        <v>0.2</v>
      </c>
      <c r="E3577" s="1">
        <v>16258.0</v>
      </c>
      <c r="F3577" s="10">
        <f t="shared" si="1"/>
        <v>0.6666666667</v>
      </c>
      <c r="G3577" s="10">
        <f t="array" ref="G3577">index('Player ID'!C:C,match(E3577,'Player ID'!B:B,0))</f>
        <v>607481</v>
      </c>
    </row>
    <row r="3578">
      <c r="A3578" s="76">
        <v>45774.0</v>
      </c>
      <c r="B3578" s="1" t="s">
        <v>219</v>
      </c>
      <c r="C3578" s="1" t="s">
        <v>64</v>
      </c>
      <c r="D3578" s="1">
        <v>1.0</v>
      </c>
      <c r="E3578" s="1">
        <v>16647.0</v>
      </c>
      <c r="F3578" s="10">
        <f t="shared" si="1"/>
        <v>1</v>
      </c>
      <c r="G3578" s="10">
        <f t="array" ref="G3578">index('Player ID'!C:C,match(E3578,'Player ID'!B:B,0))</f>
        <v>657044</v>
      </c>
    </row>
    <row r="3579">
      <c r="A3579" s="76">
        <v>45774.0</v>
      </c>
      <c r="B3579" s="1" t="s">
        <v>714</v>
      </c>
      <c r="C3579" s="1" t="s">
        <v>64</v>
      </c>
      <c r="D3579" s="1">
        <v>1.0</v>
      </c>
      <c r="E3579" s="1">
        <v>24453.0</v>
      </c>
      <c r="F3579" s="10">
        <f t="shared" si="1"/>
        <v>1</v>
      </c>
      <c r="G3579" s="10">
        <f t="array" ref="G3579">index('Player ID'!C:C,match(E3579,'Player ID'!B:B,0))</f>
        <v>679885</v>
      </c>
    </row>
    <row r="3580">
      <c r="A3580" s="76">
        <v>45774.0</v>
      </c>
      <c r="B3580" s="1" t="s">
        <v>586</v>
      </c>
      <c r="C3580" s="1" t="s">
        <v>46</v>
      </c>
      <c r="D3580" s="1">
        <v>1.0</v>
      </c>
      <c r="E3580" s="1">
        <v>27582.0</v>
      </c>
      <c r="F3580" s="10">
        <f t="shared" si="1"/>
        <v>1</v>
      </c>
      <c r="G3580" s="10">
        <f t="array" ref="G3580">index('Player ID'!C:C,match(E3580,'Player ID'!B:B,0))</f>
        <v>669721</v>
      </c>
    </row>
    <row r="3581">
      <c r="A3581" s="76">
        <v>45774.0</v>
      </c>
      <c r="B3581" s="1" t="s">
        <v>263</v>
      </c>
      <c r="C3581" s="1" t="s">
        <v>64</v>
      </c>
      <c r="D3581" s="1">
        <v>6.0</v>
      </c>
      <c r="E3581" s="1">
        <v>27782.0</v>
      </c>
      <c r="F3581" s="10">
        <f t="shared" si="1"/>
        <v>6</v>
      </c>
      <c r="G3581" s="10">
        <f t="array" ref="G3581">index('Player ID'!C:C,match(E3581,'Player ID'!B:B,0))</f>
        <v>694297</v>
      </c>
    </row>
    <row r="3582">
      <c r="A3582" s="76">
        <v>45774.0</v>
      </c>
      <c r="B3582" s="1" t="s">
        <v>65</v>
      </c>
      <c r="C3582" s="1" t="s">
        <v>46</v>
      </c>
      <c r="D3582" s="1">
        <v>6.0</v>
      </c>
      <c r="E3582" s="1">
        <v>31846.0</v>
      </c>
      <c r="F3582" s="10">
        <f t="shared" si="1"/>
        <v>6</v>
      </c>
      <c r="G3582" s="10">
        <f t="array" ref="G3582">index('Player ID'!C:C,match(E3582,'Player ID'!B:B,0))</f>
        <v>680885</v>
      </c>
    </row>
    <row r="3583">
      <c r="A3583" s="76">
        <v>45774.0</v>
      </c>
      <c r="B3583" s="1" t="s">
        <v>53</v>
      </c>
      <c r="C3583" s="1" t="s">
        <v>37</v>
      </c>
      <c r="D3583" s="1">
        <v>1.0</v>
      </c>
      <c r="E3583" s="1">
        <v>17170.0</v>
      </c>
      <c r="F3583" s="10">
        <f t="shared" si="1"/>
        <v>1</v>
      </c>
      <c r="G3583" s="10">
        <f t="array" ref="G3583">index('Player ID'!C:C,match(E3583,'Player ID'!B:B,0))</f>
        <v>642100</v>
      </c>
    </row>
    <row r="3584">
      <c r="A3584" s="76">
        <v>45774.0</v>
      </c>
      <c r="B3584" s="1" t="s">
        <v>108</v>
      </c>
      <c r="C3584" s="1" t="s">
        <v>37</v>
      </c>
      <c r="D3584" s="1">
        <v>1.0</v>
      </c>
      <c r="E3584" s="1">
        <v>17948.0</v>
      </c>
      <c r="F3584" s="10">
        <f t="shared" si="1"/>
        <v>1</v>
      </c>
      <c r="G3584" s="10">
        <f t="array" ref="G3584">index('Player ID'!C:C,match(E3584,'Player ID'!B:B,0))</f>
        <v>663423</v>
      </c>
    </row>
    <row r="3585">
      <c r="A3585" s="76">
        <v>45774.0</v>
      </c>
      <c r="B3585" s="1" t="s">
        <v>670</v>
      </c>
      <c r="C3585" s="1" t="s">
        <v>37</v>
      </c>
      <c r="D3585" s="1">
        <v>1.0</v>
      </c>
      <c r="E3585" s="1">
        <v>20373.0</v>
      </c>
      <c r="F3585" s="10">
        <f t="shared" si="1"/>
        <v>1</v>
      </c>
      <c r="G3585" s="10">
        <f t="array" ref="G3585">index('Player ID'!C:C,match(E3585,'Player ID'!B:B,0))</f>
        <v>662253</v>
      </c>
    </row>
    <row r="3586">
      <c r="A3586" s="76">
        <v>45774.0</v>
      </c>
      <c r="B3586" s="1" t="s">
        <v>61</v>
      </c>
      <c r="C3586" s="1" t="s">
        <v>36</v>
      </c>
      <c r="D3586" s="1">
        <v>1.0</v>
      </c>
      <c r="E3586" s="1">
        <v>20629.0</v>
      </c>
      <c r="F3586" s="10">
        <f t="shared" si="1"/>
        <v>1</v>
      </c>
      <c r="G3586" s="10">
        <f t="array" ref="G3586">index('Player ID'!C:C,match(E3586,'Player ID'!B:B,0))</f>
        <v>663969</v>
      </c>
    </row>
    <row r="3587">
      <c r="A3587" s="76">
        <v>45774.0</v>
      </c>
      <c r="B3587" s="1" t="s">
        <v>683</v>
      </c>
      <c r="C3587" s="1" t="s">
        <v>37</v>
      </c>
      <c r="D3587" s="1">
        <v>1.0</v>
      </c>
      <c r="E3587" s="1">
        <v>23307.0</v>
      </c>
      <c r="F3587" s="10">
        <f t="shared" si="1"/>
        <v>1</v>
      </c>
      <c r="G3587" s="10">
        <f t="array" ref="G3587">index('Player ID'!C:C,match(E3587,'Player ID'!B:B,0))</f>
        <v>676092</v>
      </c>
    </row>
    <row r="3588">
      <c r="A3588" s="76">
        <v>45774.0</v>
      </c>
      <c r="B3588" s="1" t="s">
        <v>754</v>
      </c>
      <c r="C3588" s="1" t="s">
        <v>36</v>
      </c>
      <c r="D3588" s="1">
        <v>2.0</v>
      </c>
      <c r="E3588" s="1">
        <v>23811.0</v>
      </c>
      <c r="F3588" s="10">
        <f t="shared" si="1"/>
        <v>2</v>
      </c>
      <c r="G3588" s="10">
        <f t="array" ref="G3588">index('Player ID'!C:C,match(E3588,'Player ID'!B:B,0))</f>
        <v>678215</v>
      </c>
    </row>
    <row r="3589">
      <c r="A3589" s="76">
        <v>45774.0</v>
      </c>
      <c r="B3589" s="1" t="s">
        <v>123</v>
      </c>
      <c r="C3589" s="1" t="s">
        <v>36</v>
      </c>
      <c r="D3589" s="1">
        <v>1.0</v>
      </c>
      <c r="E3589" s="1">
        <v>24094.0</v>
      </c>
      <c r="F3589" s="10">
        <f t="shared" si="1"/>
        <v>1</v>
      </c>
      <c r="G3589" s="10">
        <f t="array" ref="G3589">index('Player ID'!C:C,match(E3589,'Player ID'!B:B,0))</f>
        <v>678692</v>
      </c>
    </row>
    <row r="3590">
      <c r="A3590" s="76">
        <v>45774.0</v>
      </c>
      <c r="B3590" s="1" t="s">
        <v>121</v>
      </c>
      <c r="C3590" s="1" t="s">
        <v>36</v>
      </c>
      <c r="D3590" s="1">
        <v>4.0</v>
      </c>
      <c r="E3590" s="1">
        <v>27474.0</v>
      </c>
      <c r="F3590" s="10">
        <f t="shared" si="1"/>
        <v>4</v>
      </c>
      <c r="G3590" s="10">
        <f t="array" ref="G3590">index('Player ID'!C:C,match(E3590,'Player ID'!B:B,0))</f>
        <v>676974</v>
      </c>
    </row>
    <row r="3591">
      <c r="A3591" s="76">
        <v>45774.0</v>
      </c>
      <c r="B3591" s="1" t="s">
        <v>255</v>
      </c>
      <c r="C3591" s="1" t="s">
        <v>37</v>
      </c>
      <c r="D3591" s="1">
        <v>5.0</v>
      </c>
      <c r="E3591" s="1">
        <v>33699.0</v>
      </c>
      <c r="F3591" s="10">
        <f t="shared" si="1"/>
        <v>5</v>
      </c>
      <c r="G3591" s="10">
        <f t="array" ref="G3591">index('Player ID'!C:C,match(E3591,'Player ID'!B:B,0))</f>
        <v>688138</v>
      </c>
    </row>
    <row r="3592">
      <c r="A3592" s="76">
        <v>45774.0</v>
      </c>
      <c r="B3592" s="1" t="s">
        <v>460</v>
      </c>
      <c r="C3592" s="1" t="s">
        <v>34</v>
      </c>
      <c r="D3592" s="1">
        <v>1.0</v>
      </c>
      <c r="E3592" s="1">
        <v>7005.0</v>
      </c>
      <c r="F3592" s="10">
        <f t="shared" si="1"/>
        <v>1</v>
      </c>
      <c r="G3592" s="10">
        <f t="array" ref="G3592">index('Player ID'!C:C,match(E3592,'Player ID'!B:B,0))</f>
        <v>519151</v>
      </c>
    </row>
    <row r="3593">
      <c r="A3593" s="76">
        <v>45774.0</v>
      </c>
      <c r="B3593" s="1" t="s">
        <v>71</v>
      </c>
      <c r="C3593" s="1" t="s">
        <v>34</v>
      </c>
      <c r="D3593" s="1">
        <v>0.1</v>
      </c>
      <c r="E3593" s="1">
        <v>10078.0</v>
      </c>
      <c r="F3593" s="10">
        <f t="shared" si="1"/>
        <v>0.3333333333</v>
      </c>
      <c r="G3593" s="10">
        <f t="array" ref="G3593">index('Player ID'!C:C,match(E3593,'Player ID'!B:B,0))</f>
        <v>573204</v>
      </c>
    </row>
    <row r="3594">
      <c r="A3594" s="76">
        <v>45774.0</v>
      </c>
      <c r="B3594" s="1" t="s">
        <v>99</v>
      </c>
      <c r="C3594" s="1" t="s">
        <v>34</v>
      </c>
      <c r="D3594" s="1">
        <v>7.0</v>
      </c>
      <c r="E3594" s="1">
        <v>11674.0</v>
      </c>
      <c r="F3594" s="10">
        <f t="shared" si="1"/>
        <v>7</v>
      </c>
      <c r="G3594" s="10">
        <f t="array" ref="G3594">index('Player ID'!C:C,match(E3594,'Player ID'!B:B,0))</f>
        <v>592791</v>
      </c>
    </row>
    <row r="3595">
      <c r="A3595" s="76">
        <v>45774.0</v>
      </c>
      <c r="B3595" s="1" t="s">
        <v>208</v>
      </c>
      <c r="C3595" s="1" t="s">
        <v>45</v>
      </c>
      <c r="D3595" s="1">
        <v>1.0</v>
      </c>
      <c r="E3595" s="1">
        <v>16122.0</v>
      </c>
      <c r="F3595" s="10">
        <f t="shared" si="1"/>
        <v>1</v>
      </c>
      <c r="G3595" s="10">
        <f t="array" ref="G3595">index('Player ID'!C:C,match(E3595,'Player ID'!B:B,0))</f>
        <v>605447</v>
      </c>
    </row>
    <row r="3596">
      <c r="A3596" s="76">
        <v>45774.0</v>
      </c>
      <c r="B3596" s="1" t="s">
        <v>98</v>
      </c>
      <c r="C3596" s="1" t="s">
        <v>45</v>
      </c>
      <c r="D3596" s="1">
        <v>7.0</v>
      </c>
      <c r="E3596" s="1">
        <v>16149.0</v>
      </c>
      <c r="F3596" s="10">
        <f t="shared" si="1"/>
        <v>7</v>
      </c>
      <c r="G3596" s="10">
        <f t="array" ref="G3596">index('Player ID'!C:C,match(E3596,'Player ID'!B:B,0))</f>
        <v>605400</v>
      </c>
    </row>
    <row r="3597">
      <c r="A3597" s="76">
        <v>45774.0</v>
      </c>
      <c r="B3597" s="1" t="s">
        <v>632</v>
      </c>
      <c r="C3597" s="1" t="s">
        <v>34</v>
      </c>
      <c r="D3597" s="1">
        <v>0.2</v>
      </c>
      <c r="E3597" s="1">
        <v>16703.0</v>
      </c>
      <c r="F3597" s="10">
        <f t="shared" si="1"/>
        <v>0.6666666667</v>
      </c>
      <c r="G3597" s="10">
        <f t="array" ref="G3597">index('Player ID'!C:C,match(E3597,'Player ID'!B:B,0))</f>
        <v>657240</v>
      </c>
    </row>
    <row r="3598">
      <c r="A3598" s="76">
        <v>45774.0</v>
      </c>
      <c r="B3598" s="1" t="s">
        <v>643</v>
      </c>
      <c r="C3598" s="1" t="s">
        <v>45</v>
      </c>
      <c r="D3598" s="1">
        <v>1.0</v>
      </c>
      <c r="E3598" s="1">
        <v>17780.0</v>
      </c>
      <c r="F3598" s="10">
        <f t="shared" si="1"/>
        <v>1</v>
      </c>
      <c r="G3598" s="10">
        <f t="array" ref="G3598">index('Player ID'!C:C,match(E3598,'Player ID'!B:B,0))</f>
        <v>621237</v>
      </c>
    </row>
    <row r="3599">
      <c r="A3599" s="76">
        <v>45774.0</v>
      </c>
      <c r="B3599" s="1" t="s">
        <v>388</v>
      </c>
      <c r="C3599" s="1" t="s">
        <v>34</v>
      </c>
      <c r="D3599" s="1">
        <v>1.0</v>
      </c>
      <c r="E3599" s="1">
        <v>26413.0</v>
      </c>
      <c r="F3599" s="10">
        <f t="shared" si="1"/>
        <v>1</v>
      </c>
      <c r="G3599" s="10">
        <f t="array" ref="G3599">index('Player ID'!C:C,match(E3599,'Player ID'!B:B,0))</f>
        <v>687863</v>
      </c>
    </row>
    <row r="3600">
      <c r="A3600" s="76">
        <v>45774.0</v>
      </c>
      <c r="B3600" s="1" t="s">
        <v>165</v>
      </c>
      <c r="C3600" s="1" t="s">
        <v>45</v>
      </c>
      <c r="D3600" s="1">
        <v>1.0</v>
      </c>
      <c r="E3600" s="1">
        <v>31776.0</v>
      </c>
      <c r="F3600" s="10">
        <f t="shared" si="1"/>
        <v>1</v>
      </c>
      <c r="G3600" s="10">
        <f t="array" ref="G3600">index('Player ID'!C:C,match(E3600,'Player ID'!B:B,0))</f>
        <v>689147</v>
      </c>
    </row>
    <row r="3601">
      <c r="A3601" s="76">
        <v>45775.0</v>
      </c>
      <c r="B3601" s="1" t="s">
        <v>822</v>
      </c>
      <c r="C3601" s="1" t="s">
        <v>51</v>
      </c>
      <c r="D3601" s="1">
        <v>3.0</v>
      </c>
      <c r="E3601" s="1">
        <v>11589.0</v>
      </c>
      <c r="F3601" s="10">
        <f t="shared" si="1"/>
        <v>3</v>
      </c>
      <c r="G3601" s="10">
        <f t="array" ref="G3601">index('Player ID'!C:C,match(E3601,'Player ID'!B:B,0))</f>
        <v>570632</v>
      </c>
    </row>
    <row r="3602">
      <c r="A3602" s="76">
        <v>45775.0</v>
      </c>
      <c r="B3602" s="1" t="s">
        <v>807</v>
      </c>
      <c r="C3602" s="1" t="s">
        <v>80</v>
      </c>
      <c r="D3602" s="1">
        <v>1.0</v>
      </c>
      <c r="E3602" s="1">
        <v>15518.0</v>
      </c>
      <c r="F3602" s="10">
        <f t="shared" si="1"/>
        <v>1</v>
      </c>
      <c r="G3602" s="10">
        <f t="array" ref="G3602">index('Player ID'!C:C,match(E3602,'Player ID'!B:B,0))</f>
        <v>642708</v>
      </c>
    </row>
    <row r="3603">
      <c r="A3603" s="76">
        <v>45775.0</v>
      </c>
      <c r="B3603" s="1" t="s">
        <v>148</v>
      </c>
      <c r="C3603" s="1" t="s">
        <v>80</v>
      </c>
      <c r="D3603" s="1">
        <v>5.1</v>
      </c>
      <c r="E3603" s="1">
        <v>16977.0</v>
      </c>
      <c r="F3603" s="10">
        <f t="shared" si="1"/>
        <v>5.333333333</v>
      </c>
      <c r="G3603" s="10">
        <f t="array" ref="G3603">index('Player ID'!C:C,match(E3603,'Player ID'!B:B,0))</f>
        <v>592866</v>
      </c>
    </row>
    <row r="3604">
      <c r="A3604" s="76">
        <v>45775.0</v>
      </c>
      <c r="B3604" s="1" t="s">
        <v>644</v>
      </c>
      <c r="C3604" s="1" t="s">
        <v>80</v>
      </c>
      <c r="D3604" s="1">
        <v>0.2</v>
      </c>
      <c r="E3604" s="1">
        <v>19403.0</v>
      </c>
      <c r="F3604" s="10">
        <f t="shared" si="1"/>
        <v>0.6666666667</v>
      </c>
      <c r="G3604" s="10">
        <f t="array" ref="G3604">index('Player ID'!C:C,match(E3604,'Player ID'!B:B,0))</f>
        <v>621363</v>
      </c>
    </row>
    <row r="3605">
      <c r="A3605" s="76">
        <v>45775.0</v>
      </c>
      <c r="B3605" s="1" t="s">
        <v>382</v>
      </c>
      <c r="C3605" s="1" t="s">
        <v>51</v>
      </c>
      <c r="D3605" s="1">
        <v>5.0</v>
      </c>
      <c r="E3605" s="1">
        <v>19867.0</v>
      </c>
      <c r="F3605" s="10">
        <f t="shared" si="1"/>
        <v>5</v>
      </c>
      <c r="G3605" s="10">
        <f t="array" ref="G3605">index('Player ID'!C:C,match(E3605,'Player ID'!B:B,0))</f>
        <v>656288</v>
      </c>
    </row>
    <row r="3606">
      <c r="A3606" s="76">
        <v>45775.0</v>
      </c>
      <c r="B3606" s="1" t="s">
        <v>50</v>
      </c>
      <c r="C3606" s="1" t="s">
        <v>51</v>
      </c>
      <c r="D3606" s="1">
        <v>1.0</v>
      </c>
      <c r="E3606" s="1">
        <v>22175.0</v>
      </c>
      <c r="F3606" s="10">
        <f t="shared" si="1"/>
        <v>1</v>
      </c>
      <c r="G3606" s="10">
        <f t="array" ref="G3606">index('Player ID'!C:C,match(E3606,'Player ID'!B:B,0))</f>
        <v>668820</v>
      </c>
    </row>
    <row r="3607">
      <c r="A3607" s="76">
        <v>45775.0</v>
      </c>
      <c r="B3607" s="1" t="s">
        <v>508</v>
      </c>
      <c r="C3607" s="1" t="s">
        <v>80</v>
      </c>
      <c r="D3607" s="1">
        <v>1.0</v>
      </c>
      <c r="E3607" s="1">
        <v>23135.0</v>
      </c>
      <c r="F3607" s="10">
        <f t="shared" si="1"/>
        <v>1</v>
      </c>
      <c r="G3607" s="10">
        <f t="array" ref="G3607">index('Player ID'!C:C,match(E3607,'Player ID'!B:B,0))</f>
        <v>674285</v>
      </c>
    </row>
    <row r="3608">
      <c r="A3608" s="76">
        <v>45775.0</v>
      </c>
      <c r="B3608" s="1" t="s">
        <v>507</v>
      </c>
      <c r="C3608" s="1" t="s">
        <v>80</v>
      </c>
      <c r="D3608" s="1">
        <v>1.0</v>
      </c>
      <c r="E3608" s="1">
        <v>27570.0</v>
      </c>
      <c r="F3608" s="10">
        <f t="shared" si="1"/>
        <v>1</v>
      </c>
      <c r="G3608" s="10">
        <f t="array" ref="G3608">index('Player ID'!C:C,match(E3608,'Player ID'!B:B,0))</f>
        <v>669371</v>
      </c>
    </row>
    <row r="3609">
      <c r="A3609" s="76">
        <v>45775.0</v>
      </c>
      <c r="B3609" s="1" t="s">
        <v>117</v>
      </c>
      <c r="C3609" s="1" t="s">
        <v>70</v>
      </c>
      <c r="D3609" s="1">
        <v>2.0</v>
      </c>
      <c r="E3609" s="1">
        <v>13619.0</v>
      </c>
      <c r="F3609" s="10">
        <f t="shared" si="1"/>
        <v>2</v>
      </c>
      <c r="G3609" s="10">
        <f t="array" ref="G3609">index('Player ID'!C:C,match(E3609,'Player ID'!B:B,0))</f>
        <v>596001</v>
      </c>
    </row>
    <row r="3610">
      <c r="A3610" s="76">
        <v>45775.0</v>
      </c>
      <c r="B3610" s="1" t="s">
        <v>648</v>
      </c>
      <c r="C3610" s="1" t="s">
        <v>70</v>
      </c>
      <c r="D3610" s="1">
        <v>0.2</v>
      </c>
      <c r="E3610" s="1">
        <v>13892.0</v>
      </c>
      <c r="F3610" s="10">
        <f t="shared" si="1"/>
        <v>0.6666666667</v>
      </c>
      <c r="G3610" s="10">
        <f t="array" ref="G3610">index('Player ID'!C:C,match(E3610,'Player ID'!B:B,0))</f>
        <v>623149</v>
      </c>
    </row>
    <row r="3611">
      <c r="A3611" s="76">
        <v>45775.0</v>
      </c>
      <c r="B3611" s="1" t="s">
        <v>397</v>
      </c>
      <c r="C3611" s="1" t="s">
        <v>16</v>
      </c>
      <c r="D3611" s="1">
        <v>1.1</v>
      </c>
      <c r="E3611" s="1">
        <v>19459.0</v>
      </c>
      <c r="F3611" s="10">
        <f t="shared" si="1"/>
        <v>1.333333333</v>
      </c>
      <c r="G3611" s="10">
        <f t="array" ref="G3611">index('Player ID'!C:C,match(E3611,'Player ID'!B:B,0))</f>
        <v>660896</v>
      </c>
    </row>
    <row r="3612">
      <c r="A3612" s="76">
        <v>45775.0</v>
      </c>
      <c r="B3612" s="1" t="s">
        <v>173</v>
      </c>
      <c r="C3612" s="1" t="s">
        <v>16</v>
      </c>
      <c r="D3612" s="1">
        <v>7.2</v>
      </c>
      <c r="E3612" s="1">
        <v>21224.0</v>
      </c>
      <c r="F3612" s="10">
        <f t="shared" si="1"/>
        <v>7.666666667</v>
      </c>
      <c r="G3612" s="10">
        <f t="array" ref="G3612">index('Player ID'!C:C,match(E3612,'Player ID'!B:B,0))</f>
        <v>641927</v>
      </c>
    </row>
    <row r="3613">
      <c r="A3613" s="76">
        <v>45775.0</v>
      </c>
      <c r="B3613" s="1" t="s">
        <v>749</v>
      </c>
      <c r="C3613" s="1" t="s">
        <v>70</v>
      </c>
      <c r="D3613" s="1">
        <v>2.0</v>
      </c>
      <c r="E3613" s="1">
        <v>23265.0</v>
      </c>
      <c r="F3613" s="10">
        <f t="shared" si="1"/>
        <v>2</v>
      </c>
      <c r="G3613" s="10">
        <f t="array" ref="G3613">index('Player ID'!C:C,match(E3613,'Player ID'!B:B,0))</f>
        <v>675989</v>
      </c>
    </row>
    <row r="3614">
      <c r="A3614" s="76">
        <v>45775.0</v>
      </c>
      <c r="B3614" s="1" t="s">
        <v>519</v>
      </c>
      <c r="C3614" s="1" t="s">
        <v>70</v>
      </c>
      <c r="D3614" s="1">
        <v>0.1</v>
      </c>
      <c r="E3614" s="1">
        <v>25139.0</v>
      </c>
      <c r="F3614" s="10">
        <f t="shared" si="1"/>
        <v>0.3333333333</v>
      </c>
      <c r="G3614" s="10">
        <f t="array" ref="G3614">index('Player ID'!C:C,match(E3614,'Player ID'!B:B,0))</f>
        <v>682120</v>
      </c>
    </row>
    <row r="3615">
      <c r="A3615" s="76">
        <v>45775.0</v>
      </c>
      <c r="B3615" s="1" t="s">
        <v>799</v>
      </c>
      <c r="C3615" s="1" t="s">
        <v>70</v>
      </c>
      <c r="D3615" s="1">
        <v>2.0</v>
      </c>
      <c r="E3615" s="1">
        <v>25434.0</v>
      </c>
      <c r="F3615" s="10">
        <f t="shared" si="1"/>
        <v>2</v>
      </c>
      <c r="G3615" s="10">
        <f t="array" ref="G3615">index('Player ID'!C:C,match(E3615,'Player ID'!B:B,0))</f>
        <v>669717</v>
      </c>
    </row>
    <row r="3616">
      <c r="A3616" s="76">
        <v>45775.0</v>
      </c>
      <c r="B3616" s="1" t="s">
        <v>376</v>
      </c>
      <c r="C3616" s="1" t="s">
        <v>70</v>
      </c>
      <c r="D3616" s="1">
        <v>2.0</v>
      </c>
      <c r="E3616" s="1">
        <v>30122.0</v>
      </c>
      <c r="F3616" s="10">
        <f t="shared" si="1"/>
        <v>2</v>
      </c>
      <c r="G3616" s="10">
        <f t="array" ref="G3616">index('Player ID'!C:C,match(E3616,'Player ID'!B:B,0))</f>
        <v>668909</v>
      </c>
    </row>
    <row r="3617">
      <c r="A3617" s="76">
        <v>45775.0</v>
      </c>
      <c r="B3617" s="1" t="s">
        <v>114</v>
      </c>
      <c r="C3617" s="1" t="s">
        <v>58</v>
      </c>
      <c r="D3617" s="1">
        <v>1.0</v>
      </c>
      <c r="E3617" s="1">
        <v>15816.0</v>
      </c>
      <c r="F3617" s="10">
        <f t="shared" si="1"/>
        <v>1</v>
      </c>
      <c r="G3617" s="10">
        <f t="array" ref="G3617">index('Player ID'!C:C,match(E3617,'Player ID'!B:B,0))</f>
        <v>642207</v>
      </c>
    </row>
    <row r="3618">
      <c r="A3618" s="76">
        <v>45775.0</v>
      </c>
      <c r="B3618" s="1" t="s">
        <v>192</v>
      </c>
      <c r="C3618" s="1" t="s">
        <v>58</v>
      </c>
      <c r="D3618" s="1">
        <v>3.2</v>
      </c>
      <c r="E3618" s="1">
        <v>16502.0</v>
      </c>
      <c r="F3618" s="10">
        <f t="shared" si="1"/>
        <v>3.666666667</v>
      </c>
      <c r="G3618" s="10">
        <f t="array" ref="G3618">index('Player ID'!C:C,match(E3618,'Player ID'!B:B,0))</f>
        <v>642232</v>
      </c>
    </row>
    <row r="3619">
      <c r="A3619" s="76">
        <v>45775.0</v>
      </c>
      <c r="B3619" s="1" t="s">
        <v>231</v>
      </c>
      <c r="C3619" s="1" t="s">
        <v>68</v>
      </c>
      <c r="D3619" s="1">
        <v>1.1</v>
      </c>
      <c r="E3619" s="1">
        <v>19362.0</v>
      </c>
      <c r="F3619" s="10">
        <f t="shared" si="1"/>
        <v>1.333333333</v>
      </c>
      <c r="G3619" s="10">
        <f t="array" ref="G3619">index('Player ID'!C:C,match(E3619,'Player ID'!B:B,0))</f>
        <v>669211</v>
      </c>
    </row>
    <row r="3620">
      <c r="A3620" s="76">
        <v>45775.0</v>
      </c>
      <c r="B3620" s="1" t="s">
        <v>433</v>
      </c>
      <c r="C3620" s="1" t="s">
        <v>68</v>
      </c>
      <c r="D3620" s="1">
        <v>1.1</v>
      </c>
      <c r="E3620" s="1">
        <v>19677.0</v>
      </c>
      <c r="F3620" s="10">
        <f t="shared" si="1"/>
        <v>1.333333333</v>
      </c>
      <c r="G3620" s="10">
        <f t="array" ref="G3620">index('Player ID'!C:C,match(E3620,'Player ID'!B:B,0))</f>
        <v>642397</v>
      </c>
    </row>
    <row r="3621">
      <c r="A3621" s="76">
        <v>45775.0</v>
      </c>
      <c r="B3621" s="1" t="s">
        <v>698</v>
      </c>
      <c r="C3621" s="1" t="s">
        <v>68</v>
      </c>
      <c r="D3621" s="1">
        <v>1.0</v>
      </c>
      <c r="E3621" s="1">
        <v>20666.0</v>
      </c>
      <c r="F3621" s="10">
        <f t="shared" si="1"/>
        <v>1</v>
      </c>
      <c r="G3621" s="10">
        <f t="array" ref="G3621">index('Player ID'!C:C,match(E3621,'Player ID'!B:B,0))</f>
        <v>642585</v>
      </c>
    </row>
    <row r="3622">
      <c r="A3622" s="76">
        <v>45775.0</v>
      </c>
      <c r="B3622" s="1" t="s">
        <v>235</v>
      </c>
      <c r="C3622" s="1" t="s">
        <v>68</v>
      </c>
      <c r="D3622" s="1">
        <v>0.1</v>
      </c>
      <c r="E3622" s="1">
        <v>25911.0</v>
      </c>
      <c r="F3622" s="10">
        <f t="shared" si="1"/>
        <v>0.3333333333</v>
      </c>
      <c r="G3622" s="10">
        <f t="array" ref="G3622">index('Player ID'!C:C,match(E3622,'Player ID'!B:B,0))</f>
        <v>666974</v>
      </c>
    </row>
    <row r="3623">
      <c r="A3623" s="76">
        <v>45775.0</v>
      </c>
      <c r="B3623" s="1" t="s">
        <v>344</v>
      </c>
      <c r="C3623" s="1" t="s">
        <v>58</v>
      </c>
      <c r="D3623" s="1">
        <v>3.1</v>
      </c>
      <c r="E3623" s="1">
        <v>30182.0</v>
      </c>
      <c r="F3623" s="10">
        <f t="shared" si="1"/>
        <v>3.333333333</v>
      </c>
      <c r="G3623" s="10">
        <f t="array" ref="G3623">index('Player ID'!C:C,match(E3623,'Player ID'!B:B,0))</f>
        <v>701542</v>
      </c>
    </row>
    <row r="3624">
      <c r="A3624" s="76">
        <v>45775.0</v>
      </c>
      <c r="B3624" s="1" t="s">
        <v>158</v>
      </c>
      <c r="C3624" s="1" t="s">
        <v>68</v>
      </c>
      <c r="D3624" s="1">
        <v>5.0</v>
      </c>
      <c r="E3624" s="1">
        <v>35321.0</v>
      </c>
      <c r="F3624" s="10">
        <f t="shared" si="1"/>
        <v>5</v>
      </c>
      <c r="G3624" s="10">
        <f t="array" ref="G3624">index('Player ID'!C:C,match(E3624,'Player ID'!B:B,0))</f>
        <v>608372</v>
      </c>
    </row>
    <row r="3625">
      <c r="A3625" s="76">
        <v>45775.0</v>
      </c>
      <c r="B3625" s="1" t="s">
        <v>226</v>
      </c>
      <c r="C3625" s="1" t="s">
        <v>66</v>
      </c>
      <c r="D3625" s="1">
        <v>6.0</v>
      </c>
      <c r="E3625" s="1">
        <v>12730.0</v>
      </c>
      <c r="F3625" s="10">
        <f t="shared" si="1"/>
        <v>6</v>
      </c>
      <c r="G3625" s="10">
        <f t="array" ref="G3625">index('Player ID'!C:C,match(E3625,'Player ID'!B:B,0))</f>
        <v>607259</v>
      </c>
    </row>
    <row r="3626">
      <c r="A3626" s="76">
        <v>45775.0</v>
      </c>
      <c r="B3626" s="1" t="s">
        <v>651</v>
      </c>
      <c r="C3626" s="1" t="s">
        <v>66</v>
      </c>
      <c r="D3626" s="1">
        <v>1.0</v>
      </c>
      <c r="E3626" s="1">
        <v>14771.0</v>
      </c>
      <c r="F3626" s="10">
        <f t="shared" si="1"/>
        <v>1</v>
      </c>
      <c r="G3626" s="10">
        <f t="array" ref="G3626">index('Player ID'!C:C,match(E3626,'Player ID'!B:B,0))</f>
        <v>641941</v>
      </c>
    </row>
    <row r="3627">
      <c r="A3627" s="76">
        <v>45775.0</v>
      </c>
      <c r="B3627" s="1" t="s">
        <v>345</v>
      </c>
      <c r="C3627" s="1" t="s">
        <v>66</v>
      </c>
      <c r="D3627" s="1">
        <v>1.0</v>
      </c>
      <c r="E3627" s="1">
        <v>19926.0</v>
      </c>
      <c r="F3627" s="10">
        <f t="shared" si="1"/>
        <v>1</v>
      </c>
      <c r="G3627" s="10">
        <f t="array" ref="G3627">index('Player ID'!C:C,match(E3627,'Player ID'!B:B,0))</f>
        <v>663574</v>
      </c>
    </row>
    <row r="3628">
      <c r="A3628" s="76">
        <v>45775.0</v>
      </c>
      <c r="B3628" s="1" t="s">
        <v>409</v>
      </c>
      <c r="C3628" s="1" t="s">
        <v>72</v>
      </c>
      <c r="D3628" s="1">
        <v>0.2</v>
      </c>
      <c r="E3628" s="1">
        <v>20348.0</v>
      </c>
      <c r="F3628" s="10">
        <f t="shared" si="1"/>
        <v>0.6666666667</v>
      </c>
      <c r="G3628" s="10">
        <f t="array" ref="G3628">index('Player ID'!C:C,match(E3628,'Player ID'!B:B,0))</f>
        <v>676617</v>
      </c>
    </row>
    <row r="3629">
      <c r="A3629" s="76">
        <v>45775.0</v>
      </c>
      <c r="B3629" s="1" t="s">
        <v>273</v>
      </c>
      <c r="C3629" s="1" t="s">
        <v>72</v>
      </c>
      <c r="D3629" s="1">
        <v>1.1</v>
      </c>
      <c r="E3629" s="1">
        <v>22051.0</v>
      </c>
      <c r="F3629" s="10">
        <f t="shared" si="1"/>
        <v>1.333333333</v>
      </c>
      <c r="G3629" s="10">
        <f t="array" ref="G3629">index('Player ID'!C:C,match(E3629,'Player ID'!B:B,0))</f>
        <v>667463</v>
      </c>
    </row>
    <row r="3630">
      <c r="A3630" s="76">
        <v>45775.0</v>
      </c>
      <c r="B3630" s="1" t="s">
        <v>432</v>
      </c>
      <c r="C3630" s="1" t="s">
        <v>72</v>
      </c>
      <c r="D3630" s="1">
        <v>6.0</v>
      </c>
      <c r="E3630" s="1">
        <v>26108.0</v>
      </c>
      <c r="F3630" s="10">
        <f t="shared" si="1"/>
        <v>6</v>
      </c>
      <c r="G3630" s="10">
        <f t="array" ref="G3630">index('Player ID'!C:C,match(E3630,'Player ID'!B:B,0))</f>
        <v>669467</v>
      </c>
    </row>
    <row r="3631">
      <c r="A3631" s="76">
        <v>45775.0</v>
      </c>
      <c r="B3631" s="1" t="s">
        <v>211</v>
      </c>
      <c r="C3631" s="1" t="s">
        <v>66</v>
      </c>
      <c r="D3631" s="1">
        <v>1.0</v>
      </c>
      <c r="E3631" s="1">
        <v>27552.0</v>
      </c>
      <c r="F3631" s="10">
        <f t="shared" si="1"/>
        <v>1</v>
      </c>
      <c r="G3631" s="10">
        <f t="array" ref="G3631">index('Player ID'!C:C,match(E3631,'Player ID'!B:B,0))</f>
        <v>668933</v>
      </c>
    </row>
    <row r="3632">
      <c r="A3632" s="76">
        <v>45775.0</v>
      </c>
      <c r="B3632" s="1" t="s">
        <v>245</v>
      </c>
      <c r="C3632" s="1" t="s">
        <v>56</v>
      </c>
      <c r="D3632" s="1">
        <v>4.2</v>
      </c>
      <c r="E3632" s="1">
        <v>9323.0</v>
      </c>
      <c r="F3632" s="10">
        <f t="shared" si="1"/>
        <v>4.666666667</v>
      </c>
      <c r="G3632" s="10">
        <f t="array" ref="G3632">index('Player ID'!C:C,match(E3632,'Player ID'!B:B,0))</f>
        <v>571578</v>
      </c>
    </row>
    <row r="3633">
      <c r="A3633" s="76">
        <v>45775.0</v>
      </c>
      <c r="B3633" s="1" t="s">
        <v>440</v>
      </c>
      <c r="C3633" s="1" t="s">
        <v>56</v>
      </c>
      <c r="D3633" s="1">
        <v>2.0</v>
      </c>
      <c r="E3633" s="1">
        <v>12857.0</v>
      </c>
      <c r="F3633" s="10">
        <f t="shared" si="1"/>
        <v>2</v>
      </c>
      <c r="G3633" s="10">
        <f t="array" ref="G3633">index('Player ID'!C:C,match(E3633,'Player ID'!B:B,0))</f>
        <v>542888</v>
      </c>
    </row>
    <row r="3634">
      <c r="A3634" s="76">
        <v>45775.0</v>
      </c>
      <c r="B3634" s="1" t="s">
        <v>151</v>
      </c>
      <c r="C3634" s="1" t="s">
        <v>56</v>
      </c>
      <c r="D3634" s="1">
        <v>1.0</v>
      </c>
      <c r="E3634" s="1">
        <v>13346.0</v>
      </c>
      <c r="F3634" s="10">
        <f t="shared" si="1"/>
        <v>1</v>
      </c>
      <c r="G3634" s="10">
        <f t="array" ref="G3634">index('Player ID'!C:C,match(E3634,'Player ID'!B:B,0))</f>
        <v>571948</v>
      </c>
    </row>
    <row r="3635">
      <c r="A3635" s="76">
        <v>45775.0</v>
      </c>
      <c r="B3635" s="1" t="s">
        <v>87</v>
      </c>
      <c r="C3635" s="1" t="s">
        <v>56</v>
      </c>
      <c r="D3635" s="1">
        <v>1.1</v>
      </c>
      <c r="E3635" s="1">
        <v>19274.0</v>
      </c>
      <c r="F3635" s="10">
        <f t="shared" si="1"/>
        <v>1.333333333</v>
      </c>
      <c r="G3635" s="10">
        <f t="array" ref="G3635">index('Player ID'!C:C,match(E3635,'Player ID'!B:B,0))</f>
        <v>657097</v>
      </c>
    </row>
    <row r="3636">
      <c r="A3636" s="76">
        <v>45775.0</v>
      </c>
      <c r="B3636" s="1" t="s">
        <v>505</v>
      </c>
      <c r="C3636" s="1" t="s">
        <v>52</v>
      </c>
      <c r="D3636" s="1">
        <v>1.0</v>
      </c>
      <c r="E3636" s="1">
        <v>19481.0</v>
      </c>
      <c r="F3636" s="10">
        <f t="shared" si="1"/>
        <v>1</v>
      </c>
      <c r="G3636" s="10">
        <f t="array" ref="G3636">index('Player ID'!C:C,match(E3636,'Player ID'!B:B,0))</f>
        <v>621053</v>
      </c>
    </row>
    <row r="3637">
      <c r="A3637" s="76">
        <v>45775.0</v>
      </c>
      <c r="B3637" s="1" t="s">
        <v>251</v>
      </c>
      <c r="C3637" s="1" t="s">
        <v>52</v>
      </c>
      <c r="D3637" s="1">
        <v>5.2</v>
      </c>
      <c r="E3637" s="1">
        <v>23429.0</v>
      </c>
      <c r="F3637" s="10">
        <f t="shared" si="1"/>
        <v>5.666666667</v>
      </c>
      <c r="G3637" s="10">
        <f t="array" ref="G3637">index('Player ID'!C:C,match(E3637,'Player ID'!B:B,0))</f>
        <v>676664</v>
      </c>
    </row>
    <row r="3638">
      <c r="A3638" s="76">
        <v>45775.0</v>
      </c>
      <c r="B3638" s="1" t="s">
        <v>127</v>
      </c>
      <c r="C3638" s="1" t="s">
        <v>52</v>
      </c>
      <c r="D3638" s="1">
        <v>1.1</v>
      </c>
      <c r="E3638" s="1">
        <v>27707.0</v>
      </c>
      <c r="F3638" s="10">
        <f t="shared" si="1"/>
        <v>1.333333333</v>
      </c>
      <c r="G3638" s="10">
        <f t="array" ref="G3638">index('Player ID'!C:C,match(E3638,'Player ID'!B:B,0))</f>
        <v>687765</v>
      </c>
    </row>
    <row r="3639">
      <c r="A3639" s="76">
        <v>45775.0</v>
      </c>
      <c r="B3639" s="1" t="s">
        <v>286</v>
      </c>
      <c r="C3639" s="1" t="s">
        <v>52</v>
      </c>
      <c r="D3639" s="1">
        <v>1.0</v>
      </c>
      <c r="E3639" s="1">
        <v>31757.0</v>
      </c>
      <c r="F3639" s="10">
        <f t="shared" si="1"/>
        <v>1</v>
      </c>
      <c r="G3639" s="10">
        <f t="array" ref="G3639">index('Player ID'!C:C,match(E3639,'Player ID'!B:B,0))</f>
        <v>695243</v>
      </c>
    </row>
    <row r="3640">
      <c r="A3640" s="76">
        <v>45775.0</v>
      </c>
      <c r="B3640" s="1" t="s">
        <v>38</v>
      </c>
      <c r="C3640" s="1" t="s">
        <v>39</v>
      </c>
      <c r="D3640" s="1">
        <v>1.0</v>
      </c>
      <c r="E3640" s="1">
        <v>13580.0</v>
      </c>
      <c r="F3640" s="10">
        <f t="shared" si="1"/>
        <v>1</v>
      </c>
      <c r="G3640" s="10">
        <f t="array" ref="G3640">index('Player ID'!C:C,match(E3640,'Player ID'!B:B,0))</f>
        <v>595345</v>
      </c>
    </row>
    <row r="3641">
      <c r="A3641" s="76">
        <v>45775.0</v>
      </c>
      <c r="B3641" s="1" t="s">
        <v>59</v>
      </c>
      <c r="C3641" s="1" t="s">
        <v>39</v>
      </c>
      <c r="D3641" s="1">
        <v>1.0</v>
      </c>
      <c r="E3641" s="1">
        <v>14212.0</v>
      </c>
      <c r="F3641" s="10">
        <f t="shared" si="1"/>
        <v>1</v>
      </c>
      <c r="G3641" s="10">
        <f t="array" ref="G3641">index('Player ID'!C:C,match(E3641,'Player ID'!B:B,0))</f>
        <v>623352</v>
      </c>
    </row>
    <row r="3642">
      <c r="A3642" s="76">
        <v>45775.0</v>
      </c>
      <c r="B3642" s="1" t="s">
        <v>210</v>
      </c>
      <c r="C3642" s="1" t="s">
        <v>39</v>
      </c>
      <c r="D3642" s="1">
        <v>0.1</v>
      </c>
      <c r="E3642" s="1">
        <v>16609.0</v>
      </c>
      <c r="F3642" s="10">
        <f t="shared" si="1"/>
        <v>0.3333333333</v>
      </c>
      <c r="G3642" s="10">
        <f t="array" ref="G3642">index('Player ID'!C:C,match(E3642,'Player ID'!B:B,0))</f>
        <v>650556</v>
      </c>
    </row>
    <row r="3643">
      <c r="A3643" s="76">
        <v>45775.0</v>
      </c>
      <c r="B3643" s="1" t="s">
        <v>316</v>
      </c>
      <c r="C3643" s="1" t="s">
        <v>62</v>
      </c>
      <c r="D3643" s="1">
        <v>5.0</v>
      </c>
      <c r="E3643" s="1">
        <v>17479.0</v>
      </c>
      <c r="F3643" s="10">
        <f t="shared" si="1"/>
        <v>5</v>
      </c>
      <c r="G3643" s="10">
        <f t="array" ref="G3643">index('Player ID'!C:C,match(E3643,'Player ID'!B:B,0))</f>
        <v>656427</v>
      </c>
    </row>
    <row r="3644">
      <c r="A3644" s="76">
        <v>45775.0</v>
      </c>
      <c r="B3644" s="1" t="s">
        <v>314</v>
      </c>
      <c r="C3644" s="1" t="s">
        <v>39</v>
      </c>
      <c r="D3644" s="1">
        <v>5.0</v>
      </c>
      <c r="E3644" s="1">
        <v>19407.0</v>
      </c>
      <c r="F3644" s="10">
        <f t="shared" si="1"/>
        <v>5</v>
      </c>
      <c r="G3644" s="10">
        <f t="array" ref="G3644">index('Player ID'!C:C,match(E3644,'Player ID'!B:B,0))</f>
        <v>669854</v>
      </c>
    </row>
    <row r="3645">
      <c r="A3645" s="76">
        <v>45775.0</v>
      </c>
      <c r="B3645" s="1" t="s">
        <v>359</v>
      </c>
      <c r="C3645" s="1" t="s">
        <v>39</v>
      </c>
      <c r="D3645" s="1">
        <v>1.0</v>
      </c>
      <c r="E3645" s="1">
        <v>20061.0</v>
      </c>
      <c r="F3645" s="10">
        <f t="shared" si="1"/>
        <v>1</v>
      </c>
      <c r="G3645" s="10">
        <f t="array" ref="G3645">index('Player ID'!C:C,match(E3645,'Player ID'!B:B,0))</f>
        <v>672391</v>
      </c>
    </row>
    <row r="3646">
      <c r="A3646" s="76">
        <v>45775.0</v>
      </c>
      <c r="B3646" s="1" t="s">
        <v>289</v>
      </c>
      <c r="C3646" s="1" t="s">
        <v>62</v>
      </c>
      <c r="D3646" s="1">
        <v>1.1</v>
      </c>
      <c r="E3646" s="1">
        <v>22304.0</v>
      </c>
      <c r="F3646" s="10">
        <f t="shared" si="1"/>
        <v>1.333333333</v>
      </c>
      <c r="G3646" s="10">
        <f t="array" ref="G3646">index('Player ID'!C:C,match(E3646,'Player ID'!B:B,0))</f>
        <v>669724</v>
      </c>
    </row>
    <row r="3647">
      <c r="A3647" s="76">
        <v>45775.0</v>
      </c>
      <c r="B3647" s="1" t="s">
        <v>76</v>
      </c>
      <c r="C3647" s="1" t="s">
        <v>39</v>
      </c>
      <c r="D3647" s="1">
        <v>0.2</v>
      </c>
      <c r="E3647" s="1">
        <v>25890.0</v>
      </c>
      <c r="F3647" s="10">
        <f t="shared" si="1"/>
        <v>0.6666666667</v>
      </c>
      <c r="G3647" s="10">
        <f t="array" ref="G3647">index('Player ID'!C:C,match(E3647,'Player ID'!B:B,0))</f>
        <v>687911</v>
      </c>
    </row>
    <row r="3648">
      <c r="A3648" s="76">
        <v>45775.0</v>
      </c>
      <c r="B3648" s="1" t="s">
        <v>82</v>
      </c>
      <c r="C3648" s="1" t="s">
        <v>62</v>
      </c>
      <c r="D3648" s="1">
        <v>1.0</v>
      </c>
      <c r="E3648" s="1">
        <v>26231.0</v>
      </c>
      <c r="F3648" s="10">
        <f t="shared" si="1"/>
        <v>1</v>
      </c>
      <c r="G3648" s="10">
        <f t="array" ref="G3648">index('Player ID'!C:C,match(E3648,'Player ID'!B:B,0))</f>
        <v>663947</v>
      </c>
    </row>
    <row r="3649">
      <c r="A3649" s="76">
        <v>45775.0</v>
      </c>
      <c r="B3649" s="1" t="s">
        <v>160</v>
      </c>
      <c r="C3649" s="1" t="s">
        <v>62</v>
      </c>
      <c r="D3649" s="1">
        <v>0.2</v>
      </c>
      <c r="E3649" s="1">
        <v>29574.0</v>
      </c>
      <c r="F3649" s="10">
        <f t="shared" si="1"/>
        <v>0.6666666667</v>
      </c>
      <c r="G3649" s="10">
        <f t="array" ref="G3649">index('Player ID'!C:C,match(E3649,'Player ID'!B:B,0))</f>
        <v>695445</v>
      </c>
    </row>
    <row r="3650">
      <c r="A3650" s="76">
        <v>45775.0</v>
      </c>
      <c r="B3650" s="1" t="s">
        <v>178</v>
      </c>
      <c r="C3650" s="1" t="s">
        <v>46</v>
      </c>
      <c r="D3650" s="1">
        <v>1.0</v>
      </c>
      <c r="E3650" s="1">
        <v>13435.0</v>
      </c>
      <c r="F3650" s="10">
        <f t="shared" si="1"/>
        <v>1</v>
      </c>
      <c r="G3650" s="10">
        <f t="array" ref="G3650">index('Player ID'!C:C,match(E3650,'Player ID'!B:B,0))</f>
        <v>572955</v>
      </c>
    </row>
    <row r="3651">
      <c r="A3651" s="76">
        <v>45775.0</v>
      </c>
      <c r="B3651" s="1" t="s">
        <v>184</v>
      </c>
      <c r="C3651" s="1" t="s">
        <v>46</v>
      </c>
      <c r="D3651" s="1">
        <v>1.0</v>
      </c>
      <c r="E3651" s="1">
        <v>17130.0</v>
      </c>
      <c r="F3651" s="10">
        <f t="shared" si="1"/>
        <v>1</v>
      </c>
      <c r="G3651" s="10">
        <f t="array" ref="G3651">index('Player ID'!C:C,match(E3651,'Player ID'!B:B,0))</f>
        <v>628452</v>
      </c>
    </row>
    <row r="3652">
      <c r="A3652" s="76">
        <v>45775.0</v>
      </c>
      <c r="B3652" s="1" t="s">
        <v>688</v>
      </c>
      <c r="C3652" s="1" t="s">
        <v>46</v>
      </c>
      <c r="D3652" s="1">
        <v>1.0</v>
      </c>
      <c r="E3652" s="1">
        <v>20271.0</v>
      </c>
      <c r="F3652" s="10">
        <f t="shared" si="1"/>
        <v>1</v>
      </c>
      <c r="G3652" s="10">
        <f t="array" ref="G3652">index('Player ID'!C:C,match(E3652,'Player ID'!B:B,0))</f>
        <v>678226</v>
      </c>
    </row>
    <row r="3653">
      <c r="A3653" s="76">
        <v>45775.0</v>
      </c>
      <c r="B3653" s="1" t="s">
        <v>215</v>
      </c>
      <c r="C3653" s="1" t="s">
        <v>75</v>
      </c>
      <c r="D3653" s="1">
        <v>1.0</v>
      </c>
      <c r="E3653" s="1">
        <v>21267.0</v>
      </c>
      <c r="F3653" s="10">
        <f t="shared" si="1"/>
        <v>1</v>
      </c>
      <c r="G3653" s="10">
        <f t="array" ref="G3653">index('Player ID'!C:C,match(E3653,'Player ID'!B:B,0))</f>
        <v>656234</v>
      </c>
    </row>
    <row r="3654">
      <c r="A3654" s="76">
        <v>45775.0</v>
      </c>
      <c r="B3654" s="1" t="s">
        <v>504</v>
      </c>
      <c r="C3654" s="1" t="s">
        <v>75</v>
      </c>
      <c r="D3654" s="1">
        <v>4.2</v>
      </c>
      <c r="E3654" s="1">
        <v>21446.0</v>
      </c>
      <c r="F3654" s="10">
        <f t="shared" si="1"/>
        <v>4.666666667</v>
      </c>
      <c r="G3654" s="10">
        <f t="array" ref="G3654">index('Player ID'!C:C,match(E3654,'Player ID'!B:B,0))</f>
        <v>663372</v>
      </c>
    </row>
    <row r="3655">
      <c r="A3655" s="76">
        <v>45775.0</v>
      </c>
      <c r="B3655" s="1" t="s">
        <v>468</v>
      </c>
      <c r="C3655" s="1" t="s">
        <v>75</v>
      </c>
      <c r="D3655" s="1">
        <v>1.0</v>
      </c>
      <c r="E3655" s="1">
        <v>23237.0</v>
      </c>
      <c r="F3655" s="10">
        <f t="shared" si="1"/>
        <v>1</v>
      </c>
      <c r="G3655" s="10">
        <f t="array" ref="G3655">index('Player ID'!C:C,match(E3655,'Player ID'!B:B,0))</f>
        <v>675848</v>
      </c>
    </row>
    <row r="3656">
      <c r="A3656" s="76">
        <v>45775.0</v>
      </c>
      <c r="B3656" s="1" t="s">
        <v>486</v>
      </c>
      <c r="C3656" s="1" t="s">
        <v>75</v>
      </c>
      <c r="D3656" s="1">
        <v>2.1</v>
      </c>
      <c r="E3656" s="1">
        <v>26790.0</v>
      </c>
      <c r="F3656" s="10">
        <f t="shared" si="1"/>
        <v>2.333333333</v>
      </c>
      <c r="G3656" s="10">
        <f t="array" ref="G3656">index('Player ID'!C:C,match(E3656,'Player ID'!B:B,0))</f>
        <v>683409</v>
      </c>
    </row>
    <row r="3657">
      <c r="A3657" s="76">
        <v>45775.0</v>
      </c>
      <c r="B3657" s="1" t="s">
        <v>275</v>
      </c>
      <c r="C3657" s="1" t="s">
        <v>46</v>
      </c>
      <c r="D3657" s="1">
        <v>6.0</v>
      </c>
      <c r="E3657" s="1">
        <v>27779.0</v>
      </c>
      <c r="F3657" s="10">
        <f t="shared" si="1"/>
        <v>6</v>
      </c>
      <c r="G3657" s="10">
        <f t="array" ref="G3657">index('Player ID'!C:C,match(E3657,'Player ID'!B:B,0))</f>
        <v>693821</v>
      </c>
    </row>
    <row r="3658">
      <c r="A3658" s="76">
        <v>45775.0</v>
      </c>
      <c r="B3658" s="1" t="s">
        <v>392</v>
      </c>
      <c r="C3658" s="1" t="s">
        <v>33</v>
      </c>
      <c r="D3658" s="1">
        <v>1.0</v>
      </c>
      <c r="E3658" s="1">
        <v>9073.0</v>
      </c>
      <c r="F3658" s="10">
        <f t="shared" si="1"/>
        <v>1</v>
      </c>
      <c r="G3658" s="10">
        <f t="array" ref="G3658">index('Player ID'!C:C,match(E3658,'Player ID'!B:B,0))</f>
        <v>489446</v>
      </c>
    </row>
    <row r="3659">
      <c r="A3659" s="76">
        <v>45775.0</v>
      </c>
      <c r="B3659" s="1" t="s">
        <v>310</v>
      </c>
      <c r="C3659" s="1" t="s">
        <v>33</v>
      </c>
      <c r="D3659" s="1">
        <v>1.2</v>
      </c>
      <c r="E3659" s="1">
        <v>14706.0</v>
      </c>
      <c r="F3659" s="10">
        <f t="shared" si="1"/>
        <v>1.666666667</v>
      </c>
      <c r="G3659" s="10">
        <f t="array" ref="G3659">index('Player ID'!C:C,match(E3659,'Player ID'!B:B,0))</f>
        <v>607455</v>
      </c>
    </row>
    <row r="3660">
      <c r="A3660" s="76">
        <v>45775.0</v>
      </c>
      <c r="B3660" s="1" t="s">
        <v>661</v>
      </c>
      <c r="C3660" s="1" t="s">
        <v>36</v>
      </c>
      <c r="D3660" s="1">
        <v>1.0</v>
      </c>
      <c r="E3660" s="1">
        <v>16300.0</v>
      </c>
      <c r="F3660" s="10">
        <f t="shared" si="1"/>
        <v>1</v>
      </c>
      <c r="G3660" s="10">
        <f t="array" ref="G3660">index('Player ID'!C:C,match(E3660,'Player ID'!B:B,0))</f>
        <v>622786</v>
      </c>
    </row>
    <row r="3661">
      <c r="A3661" s="76">
        <v>45775.0</v>
      </c>
      <c r="B3661" s="1" t="s">
        <v>32</v>
      </c>
      <c r="C3661" s="1" t="s">
        <v>33</v>
      </c>
      <c r="D3661" s="1">
        <v>1.0</v>
      </c>
      <c r="E3661" s="1">
        <v>17586.0</v>
      </c>
      <c r="F3661" s="10">
        <f t="shared" si="1"/>
        <v>1</v>
      </c>
      <c r="G3661" s="10">
        <f t="array" ref="G3661">index('Player ID'!C:C,match(E3661,'Player ID'!B:B,0))</f>
        <v>656945</v>
      </c>
    </row>
    <row r="3662">
      <c r="A3662" s="76">
        <v>45775.0</v>
      </c>
      <c r="B3662" s="1" t="s">
        <v>694</v>
      </c>
      <c r="C3662" s="1" t="s">
        <v>33</v>
      </c>
      <c r="D3662" s="1">
        <v>1.0</v>
      </c>
      <c r="E3662" s="1">
        <v>17734.0</v>
      </c>
      <c r="F3662" s="10">
        <f t="shared" si="1"/>
        <v>1</v>
      </c>
      <c r="G3662" s="10">
        <f t="array" ref="G3662">index('Player ID'!C:C,match(E3662,'Player ID'!B:B,0))</f>
        <v>623465</v>
      </c>
    </row>
    <row r="3663">
      <c r="A3663" s="76">
        <v>45775.0</v>
      </c>
      <c r="B3663" s="1" t="s">
        <v>241</v>
      </c>
      <c r="C3663" s="1" t="s">
        <v>36</v>
      </c>
      <c r="D3663" s="1">
        <v>1.0</v>
      </c>
      <c r="E3663" s="1">
        <v>19222.0</v>
      </c>
      <c r="F3663" s="10">
        <f t="shared" si="1"/>
        <v>1</v>
      </c>
      <c r="G3663" s="10">
        <f t="array" ref="G3663">index('Player ID'!C:C,match(E3663,'Player ID'!B:B,0))</f>
        <v>669199</v>
      </c>
    </row>
    <row r="3664">
      <c r="A3664" s="76">
        <v>45775.0</v>
      </c>
      <c r="B3664" s="1" t="s">
        <v>329</v>
      </c>
      <c r="C3664" s="1" t="s">
        <v>33</v>
      </c>
      <c r="D3664" s="1">
        <v>5.1</v>
      </c>
      <c r="E3664" s="1">
        <v>19716.0</v>
      </c>
      <c r="F3664" s="10">
        <f t="shared" si="1"/>
        <v>5.333333333</v>
      </c>
      <c r="G3664" s="10">
        <f t="array" ref="G3664">index('Player ID'!C:C,match(E3664,'Player ID'!B:B,0))</f>
        <v>669160</v>
      </c>
    </row>
    <row r="3665">
      <c r="A3665" s="76">
        <v>45775.0</v>
      </c>
      <c r="B3665" s="1" t="s">
        <v>89</v>
      </c>
      <c r="C3665" s="1" t="s">
        <v>36</v>
      </c>
      <c r="D3665" s="1">
        <v>1.0</v>
      </c>
      <c r="E3665" s="1">
        <v>19742.0</v>
      </c>
      <c r="F3665" s="10">
        <f t="shared" si="1"/>
        <v>1</v>
      </c>
      <c r="G3665" s="10">
        <f t="array" ref="G3665">index('Player ID'!C:C,match(E3665,'Player ID'!B:B,0))</f>
        <v>669622</v>
      </c>
    </row>
    <row r="3666">
      <c r="A3666" s="76">
        <v>45775.0</v>
      </c>
      <c r="B3666" s="1" t="s">
        <v>262</v>
      </c>
      <c r="C3666" s="1" t="s">
        <v>36</v>
      </c>
      <c r="D3666" s="1">
        <v>1.0</v>
      </c>
      <c r="E3666" s="1">
        <v>20116.0</v>
      </c>
      <c r="F3666" s="10">
        <f t="shared" si="1"/>
        <v>1</v>
      </c>
      <c r="G3666" s="10">
        <f t="array" ref="G3666">index('Player ID'!C:C,match(E3666,'Player ID'!B:B,0))</f>
        <v>676534</v>
      </c>
    </row>
    <row r="3667">
      <c r="A3667" s="76">
        <v>45775.0</v>
      </c>
      <c r="B3667" s="1" t="s">
        <v>171</v>
      </c>
      <c r="C3667" s="1" t="s">
        <v>36</v>
      </c>
      <c r="D3667" s="1">
        <v>4.0</v>
      </c>
      <c r="E3667" s="1">
        <v>21690.0</v>
      </c>
      <c r="F3667" s="10">
        <f t="shared" si="1"/>
        <v>4</v>
      </c>
      <c r="G3667" s="10">
        <f t="array" ref="G3667">index('Player ID'!C:C,match(E3667,'Player ID'!B:B,0))</f>
        <v>665795</v>
      </c>
    </row>
    <row r="3668">
      <c r="A3668" s="76">
        <v>45775.0</v>
      </c>
      <c r="B3668" s="1" t="s">
        <v>123</v>
      </c>
      <c r="C3668" s="1" t="s">
        <v>36</v>
      </c>
      <c r="D3668" s="1">
        <v>0.1</v>
      </c>
      <c r="E3668" s="1">
        <v>24094.0</v>
      </c>
      <c r="F3668" s="10">
        <f t="shared" si="1"/>
        <v>0.3333333333</v>
      </c>
      <c r="G3668" s="10">
        <f t="array" ref="G3668">index('Player ID'!C:C,match(E3668,'Player ID'!B:B,0))</f>
        <v>678692</v>
      </c>
    </row>
    <row r="3669">
      <c r="A3669" s="76">
        <v>45775.0</v>
      </c>
      <c r="B3669" s="1" t="s">
        <v>676</v>
      </c>
      <c r="C3669" s="1" t="s">
        <v>36</v>
      </c>
      <c r="D3669" s="1">
        <v>1.0</v>
      </c>
      <c r="E3669" s="1">
        <v>27453.0</v>
      </c>
      <c r="F3669" s="10">
        <f t="shared" si="1"/>
        <v>1</v>
      </c>
      <c r="G3669" s="10">
        <f t="array" ref="G3669">index('Player ID'!C:C,match(E3669,'Player ID'!B:B,0))</f>
        <v>685107</v>
      </c>
    </row>
    <row r="3670">
      <c r="A3670" s="76">
        <v>45776.0</v>
      </c>
      <c r="B3670" s="1" t="s">
        <v>249</v>
      </c>
      <c r="C3670" s="1" t="s">
        <v>16</v>
      </c>
      <c r="D3670" s="1">
        <v>1.0</v>
      </c>
      <c r="E3670" s="1">
        <v>16727.0</v>
      </c>
      <c r="F3670" s="10">
        <f t="shared" si="1"/>
        <v>1</v>
      </c>
      <c r="G3670" s="10">
        <f t="array" ref="G3670">index('Player ID'!C:C,match(E3670,'Player ID'!B:B,0))</f>
        <v>592779</v>
      </c>
    </row>
    <row r="3671">
      <c r="A3671" s="76">
        <v>45776.0</v>
      </c>
      <c r="B3671" s="1" t="s">
        <v>133</v>
      </c>
      <c r="C3671" s="1" t="s">
        <v>16</v>
      </c>
      <c r="D3671" s="1">
        <v>5.0</v>
      </c>
      <c r="E3671" s="1">
        <v>20099.0</v>
      </c>
      <c r="F3671" s="10">
        <f t="shared" si="1"/>
        <v>5</v>
      </c>
      <c r="G3671" s="10">
        <f t="array" ref="G3671">index('Player ID'!C:C,match(E3671,'Player ID'!B:B,0))</f>
        <v>663978</v>
      </c>
    </row>
    <row r="3672">
      <c r="A3672" s="76">
        <v>45776.0</v>
      </c>
      <c r="B3672" s="1" t="s">
        <v>28</v>
      </c>
      <c r="C3672" s="1" t="s">
        <v>16</v>
      </c>
      <c r="D3672" s="1">
        <v>1.0</v>
      </c>
      <c r="E3672" s="1">
        <v>20253.0</v>
      </c>
      <c r="F3672" s="10">
        <f t="shared" si="1"/>
        <v>1</v>
      </c>
      <c r="G3672" s="10">
        <f t="array" ref="G3672">index('Player ID'!C:C,match(E3672,'Player ID'!B:B,0))</f>
        <v>643377</v>
      </c>
    </row>
    <row r="3673">
      <c r="A3673" s="76">
        <v>45776.0</v>
      </c>
      <c r="B3673" s="1" t="s">
        <v>122</v>
      </c>
      <c r="C3673" s="1" t="s">
        <v>16</v>
      </c>
      <c r="D3673" s="1">
        <v>1.0</v>
      </c>
      <c r="E3673" s="1">
        <v>21029.0</v>
      </c>
      <c r="F3673" s="10">
        <f t="shared" si="1"/>
        <v>1</v>
      </c>
      <c r="G3673" s="10">
        <f t="array" ref="G3673">index('Player ID'!C:C,match(E3673,'Player ID'!B:B,0))</f>
        <v>661395</v>
      </c>
    </row>
    <row r="3674">
      <c r="A3674" s="76">
        <v>45776.0</v>
      </c>
      <c r="B3674" s="1" t="s">
        <v>132</v>
      </c>
      <c r="C3674" s="1" t="s">
        <v>70</v>
      </c>
      <c r="D3674" s="1">
        <v>1.0</v>
      </c>
      <c r="E3674" s="1">
        <v>21032.0</v>
      </c>
      <c r="F3674" s="10">
        <f t="shared" si="1"/>
        <v>1</v>
      </c>
      <c r="G3674" s="10">
        <f t="array" ref="G3674">index('Player ID'!C:C,match(E3674,'Player ID'!B:B,0))</f>
        <v>661403</v>
      </c>
    </row>
    <row r="3675">
      <c r="A3675" s="76">
        <v>45776.0</v>
      </c>
      <c r="B3675" s="1" t="s">
        <v>47</v>
      </c>
      <c r="C3675" s="1" t="s">
        <v>16</v>
      </c>
      <c r="D3675" s="1">
        <v>0.0</v>
      </c>
      <c r="E3675" s="1">
        <v>27691.0</v>
      </c>
      <c r="F3675" s="10">
        <f t="shared" si="1"/>
        <v>0</v>
      </c>
      <c r="G3675" s="10">
        <f t="array" ref="G3675">index('Player ID'!C:C,match(E3675,'Player ID'!B:B,0))</f>
        <v>686973</v>
      </c>
    </row>
    <row r="3676">
      <c r="A3676" s="76">
        <v>45776.0</v>
      </c>
      <c r="B3676" s="1" t="s">
        <v>135</v>
      </c>
      <c r="C3676" s="1" t="s">
        <v>70</v>
      </c>
      <c r="D3676" s="1">
        <v>1.0</v>
      </c>
      <c r="E3676" s="1">
        <v>27867.0</v>
      </c>
      <c r="F3676" s="10">
        <f t="shared" si="1"/>
        <v>1</v>
      </c>
      <c r="G3676" s="10">
        <f t="array" ref="G3676">index('Player ID'!C:C,match(E3676,'Player ID'!B:B,0))</f>
        <v>671922</v>
      </c>
    </row>
    <row r="3677">
      <c r="A3677" s="76">
        <v>45776.0</v>
      </c>
      <c r="B3677" s="1" t="s">
        <v>308</v>
      </c>
      <c r="C3677" s="1" t="s">
        <v>70</v>
      </c>
      <c r="D3677" s="1">
        <v>7.0</v>
      </c>
      <c r="E3677" s="1">
        <v>30134.0</v>
      </c>
      <c r="F3677" s="10">
        <f t="shared" si="1"/>
        <v>7</v>
      </c>
      <c r="G3677" s="10">
        <f t="array" ref="G3677">index('Player ID'!C:C,match(E3677,'Player ID'!B:B,0))</f>
        <v>676440</v>
      </c>
    </row>
    <row r="3678">
      <c r="A3678" s="76">
        <v>45776.0</v>
      </c>
      <c r="B3678" s="1" t="s">
        <v>474</v>
      </c>
      <c r="C3678" s="1" t="s">
        <v>68</v>
      </c>
      <c r="D3678" s="1">
        <v>2.1</v>
      </c>
      <c r="E3678" s="1">
        <v>4676.0</v>
      </c>
      <c r="F3678" s="10">
        <f t="shared" si="1"/>
        <v>2.333333333</v>
      </c>
      <c r="G3678" s="10">
        <f t="array" ref="G3678">index('Player ID'!C:C,match(E3678,'Player ID'!B:B,0))</f>
        <v>450203</v>
      </c>
    </row>
    <row r="3679">
      <c r="A3679" s="76">
        <v>45776.0</v>
      </c>
      <c r="B3679" s="1" t="s">
        <v>730</v>
      </c>
      <c r="C3679" s="1" t="s">
        <v>58</v>
      </c>
      <c r="D3679" s="1">
        <v>1.0</v>
      </c>
      <c r="E3679" s="1">
        <v>10058.0</v>
      </c>
      <c r="F3679" s="10">
        <f t="shared" si="1"/>
        <v>1</v>
      </c>
      <c r="G3679" s="10">
        <f t="array" ref="G3679">index('Player ID'!C:C,match(E3679,'Player ID'!B:B,0))</f>
        <v>554431</v>
      </c>
    </row>
    <row r="3680">
      <c r="A3680" s="76">
        <v>45776.0</v>
      </c>
      <c r="B3680" s="1" t="s">
        <v>588</v>
      </c>
      <c r="C3680" s="1" t="s">
        <v>68</v>
      </c>
      <c r="D3680" s="1">
        <v>3.2</v>
      </c>
      <c r="E3680" s="1">
        <v>10123.0</v>
      </c>
      <c r="F3680" s="10">
        <f t="shared" si="1"/>
        <v>3.666666667</v>
      </c>
      <c r="G3680" s="10">
        <f t="array" ref="G3680">index('Player ID'!C:C,match(E3680,'Player ID'!B:B,0))</f>
        <v>502043</v>
      </c>
    </row>
    <row r="3681">
      <c r="A3681" s="76">
        <v>45776.0</v>
      </c>
      <c r="B3681" s="1" t="s">
        <v>723</v>
      </c>
      <c r="C3681" s="1" t="s">
        <v>68</v>
      </c>
      <c r="D3681" s="1">
        <v>1.0</v>
      </c>
      <c r="E3681" s="1">
        <v>13528.0</v>
      </c>
      <c r="F3681" s="10">
        <f t="shared" si="1"/>
        <v>1</v>
      </c>
      <c r="G3681" s="10">
        <f t="array" ref="G3681">index('Player ID'!C:C,match(E3681,'Player ID'!B:B,0))</f>
        <v>621199</v>
      </c>
    </row>
    <row r="3682">
      <c r="A3682" s="76">
        <v>45776.0</v>
      </c>
      <c r="B3682" s="1" t="s">
        <v>635</v>
      </c>
      <c r="C3682" s="1" t="s">
        <v>58</v>
      </c>
      <c r="D3682" s="1">
        <v>6.0</v>
      </c>
      <c r="E3682" s="1">
        <v>16137.0</v>
      </c>
      <c r="F3682" s="10">
        <f t="shared" si="1"/>
        <v>6</v>
      </c>
      <c r="G3682" s="10">
        <f t="array" ref="G3682">index('Player ID'!C:C,match(E3682,'Player ID'!B:B,0))</f>
        <v>607074</v>
      </c>
    </row>
    <row r="3683">
      <c r="A3683" s="76">
        <v>45776.0</v>
      </c>
      <c r="B3683" s="1" t="s">
        <v>520</v>
      </c>
      <c r="C3683" s="1" t="s">
        <v>58</v>
      </c>
      <c r="D3683" s="1">
        <v>2.0</v>
      </c>
      <c r="E3683" s="1">
        <v>19261.0</v>
      </c>
      <c r="F3683" s="10">
        <f t="shared" si="1"/>
        <v>2</v>
      </c>
      <c r="G3683" s="10">
        <f t="array" ref="G3683">index('Player ID'!C:C,match(E3683,'Player ID'!B:B,0))</f>
        <v>641656</v>
      </c>
    </row>
    <row r="3684">
      <c r="A3684" s="76">
        <v>45776.0</v>
      </c>
      <c r="B3684" s="1" t="s">
        <v>675</v>
      </c>
      <c r="C3684" s="1" t="s">
        <v>68</v>
      </c>
      <c r="D3684" s="1">
        <v>1.0</v>
      </c>
      <c r="E3684" s="1">
        <v>19614.0</v>
      </c>
      <c r="F3684" s="10">
        <f t="shared" si="1"/>
        <v>1</v>
      </c>
      <c r="G3684" s="10">
        <f t="array" ref="G3684">index('Player ID'!C:C,match(E3684,'Player ID'!B:B,0))</f>
        <v>672335</v>
      </c>
    </row>
    <row r="3685">
      <c r="A3685" s="76">
        <v>45776.0</v>
      </c>
      <c r="B3685" s="1" t="s">
        <v>240</v>
      </c>
      <c r="C3685" s="1" t="s">
        <v>68</v>
      </c>
      <c r="D3685" s="1">
        <v>1.0</v>
      </c>
      <c r="E3685" s="1">
        <v>19804.0</v>
      </c>
      <c r="F3685" s="10">
        <f t="shared" si="1"/>
        <v>1</v>
      </c>
      <c r="G3685" s="10">
        <f t="array" ref="G3685">index('Player ID'!C:C,match(E3685,'Player ID'!B:B,0))</f>
        <v>641329</v>
      </c>
    </row>
    <row r="3686">
      <c r="A3686" s="76">
        <v>45776.0</v>
      </c>
      <c r="B3686" s="1" t="s">
        <v>71</v>
      </c>
      <c r="C3686" s="1" t="s">
        <v>34</v>
      </c>
      <c r="D3686" s="1">
        <v>1.0</v>
      </c>
      <c r="E3686" s="1">
        <v>10078.0</v>
      </c>
      <c r="F3686" s="10">
        <f t="shared" si="1"/>
        <v>1</v>
      </c>
      <c r="G3686" s="10">
        <f t="array" ref="G3686">index('Player ID'!C:C,match(E3686,'Player ID'!B:B,0))</f>
        <v>573204</v>
      </c>
    </row>
    <row r="3687">
      <c r="A3687" s="76">
        <v>45776.0</v>
      </c>
      <c r="B3687" s="1" t="s">
        <v>256</v>
      </c>
      <c r="C3687" s="1" t="s">
        <v>60</v>
      </c>
      <c r="D3687" s="1">
        <v>4.2</v>
      </c>
      <c r="E3687" s="1">
        <v>15423.0</v>
      </c>
      <c r="F3687" s="10">
        <f t="shared" si="1"/>
        <v>4.666666667</v>
      </c>
      <c r="G3687" s="10">
        <f t="array" ref="G3687">index('Player ID'!C:C,match(E3687,'Player ID'!B:B,0))</f>
        <v>571760</v>
      </c>
    </row>
    <row r="3688">
      <c r="A3688" s="76">
        <v>45776.0</v>
      </c>
      <c r="B3688" s="1" t="s">
        <v>183</v>
      </c>
      <c r="C3688" s="1" t="s">
        <v>60</v>
      </c>
      <c r="D3688" s="1">
        <v>1.0</v>
      </c>
      <c r="E3688" s="1">
        <v>19569.0</v>
      </c>
      <c r="F3688" s="10">
        <f t="shared" si="1"/>
        <v>1</v>
      </c>
      <c r="G3688" s="10">
        <f t="array" ref="G3688">index('Player ID'!C:C,match(E3688,'Player ID'!B:B,0))</f>
        <v>670280</v>
      </c>
    </row>
    <row r="3689">
      <c r="A3689" s="76">
        <v>45776.0</v>
      </c>
      <c r="B3689" s="1" t="s">
        <v>384</v>
      </c>
      <c r="C3689" s="1" t="s">
        <v>60</v>
      </c>
      <c r="D3689" s="1">
        <v>0.1</v>
      </c>
      <c r="E3689" s="1">
        <v>19962.0</v>
      </c>
      <c r="F3689" s="10">
        <f t="shared" si="1"/>
        <v>0.3333333333</v>
      </c>
      <c r="G3689" s="10">
        <f t="array" ref="G3689">index('Player ID'!C:C,match(E3689,'Player ID'!B:B,0))</f>
        <v>666214</v>
      </c>
    </row>
    <row r="3690">
      <c r="A3690" s="76">
        <v>45776.0</v>
      </c>
      <c r="B3690" s="1" t="s">
        <v>663</v>
      </c>
      <c r="C3690" s="1" t="s">
        <v>60</v>
      </c>
      <c r="D3690" s="1">
        <v>1.0</v>
      </c>
      <c r="E3690" s="1">
        <v>22361.0</v>
      </c>
      <c r="F3690" s="10">
        <f t="shared" si="1"/>
        <v>1</v>
      </c>
      <c r="G3690" s="10">
        <f t="array" ref="G3690">index('Player ID'!C:C,match(E3690,'Player ID'!B:B,0))</f>
        <v>670059</v>
      </c>
    </row>
    <row r="3691">
      <c r="A3691" s="76">
        <v>45776.0</v>
      </c>
      <c r="B3691" s="1" t="s">
        <v>729</v>
      </c>
      <c r="C3691" s="1" t="s">
        <v>34</v>
      </c>
      <c r="D3691" s="1">
        <v>2.0</v>
      </c>
      <c r="E3691" s="1">
        <v>23443.0</v>
      </c>
      <c r="F3691" s="10">
        <f t="shared" si="1"/>
        <v>2</v>
      </c>
      <c r="G3691" s="10">
        <f t="array" ref="G3691">index('Player ID'!C:C,match(E3691,'Player ID'!B:B,0))</f>
        <v>676680</v>
      </c>
    </row>
    <row r="3692">
      <c r="A3692" s="76">
        <v>45776.0</v>
      </c>
      <c r="B3692" s="1" t="s">
        <v>812</v>
      </c>
      <c r="C3692" s="1" t="s">
        <v>60</v>
      </c>
      <c r="D3692" s="1">
        <v>0.2</v>
      </c>
      <c r="E3692" s="1">
        <v>23455.0</v>
      </c>
      <c r="F3692" s="10">
        <f t="shared" si="1"/>
        <v>0.6666666667</v>
      </c>
      <c r="G3692" s="10">
        <f t="array" ref="G3692">index('Player ID'!C:C,match(E3692,'Player ID'!B:B,0))</f>
        <v>676702</v>
      </c>
    </row>
    <row r="3693">
      <c r="A3693" s="76">
        <v>45776.0</v>
      </c>
      <c r="B3693" s="1" t="s">
        <v>482</v>
      </c>
      <c r="C3693" s="1" t="s">
        <v>60</v>
      </c>
      <c r="D3693" s="1">
        <v>1.1</v>
      </c>
      <c r="E3693" s="1">
        <v>27775.0</v>
      </c>
      <c r="F3693" s="10">
        <f t="shared" si="1"/>
        <v>1.333333333</v>
      </c>
      <c r="G3693" s="10">
        <f t="array" ref="G3693">index('Player ID'!C:C,match(E3693,'Player ID'!B:B,0))</f>
        <v>693312</v>
      </c>
    </row>
    <row r="3694">
      <c r="A3694" s="76">
        <v>45776.0</v>
      </c>
      <c r="B3694" s="1" t="s">
        <v>167</v>
      </c>
      <c r="C3694" s="1" t="s">
        <v>34</v>
      </c>
      <c r="D3694" s="1">
        <v>1.0</v>
      </c>
      <c r="E3694" s="1">
        <v>27914.0</v>
      </c>
      <c r="F3694" s="10">
        <f t="shared" si="1"/>
        <v>1</v>
      </c>
      <c r="G3694" s="10">
        <f t="array" ref="G3694">index('Player ID'!C:C,match(E3694,'Player ID'!B:B,0))</f>
        <v>694037</v>
      </c>
    </row>
    <row r="3695">
      <c r="A3695" s="76">
        <v>45776.0</v>
      </c>
      <c r="B3695" s="1" t="s">
        <v>67</v>
      </c>
      <c r="C3695" s="1" t="s">
        <v>34</v>
      </c>
      <c r="D3695" s="1">
        <v>5.0</v>
      </c>
      <c r="E3695" s="1">
        <v>33829.0</v>
      </c>
      <c r="F3695" s="10">
        <f t="shared" si="1"/>
        <v>5</v>
      </c>
      <c r="G3695" s="10">
        <f t="array" ref="G3695">index('Player ID'!C:C,match(E3695,'Player ID'!B:B,0))</f>
        <v>684007</v>
      </c>
    </row>
    <row r="3696">
      <c r="A3696" s="76">
        <v>45776.0</v>
      </c>
      <c r="B3696" s="1" t="s">
        <v>79</v>
      </c>
      <c r="C3696" s="1" t="s">
        <v>45</v>
      </c>
      <c r="D3696" s="1">
        <v>6.2</v>
      </c>
      <c r="E3696" s="1">
        <v>10310.0</v>
      </c>
      <c r="F3696" s="10">
        <f t="shared" si="1"/>
        <v>6.666666667</v>
      </c>
      <c r="G3696" s="10">
        <f t="array" ref="G3696">index('Player ID'!C:C,match(E3696,'Player ID'!B:B,0))</f>
        <v>554430</v>
      </c>
    </row>
    <row r="3697">
      <c r="A3697" s="76">
        <v>45776.0</v>
      </c>
      <c r="B3697" s="1" t="s">
        <v>642</v>
      </c>
      <c r="C3697" s="1" t="s">
        <v>80</v>
      </c>
      <c r="D3697" s="1">
        <v>0.2</v>
      </c>
      <c r="E3697" s="1">
        <v>13470.0</v>
      </c>
      <c r="F3697" s="10">
        <f t="shared" si="1"/>
        <v>0.6666666667</v>
      </c>
      <c r="G3697" s="10">
        <f t="array" ref="G3697">index('Player ID'!C:C,match(E3697,'Player ID'!B:B,0))</f>
        <v>608371</v>
      </c>
    </row>
    <row r="3698">
      <c r="A3698" s="76">
        <v>45776.0</v>
      </c>
      <c r="B3698" s="1" t="s">
        <v>182</v>
      </c>
      <c r="C3698" s="1" t="s">
        <v>45</v>
      </c>
      <c r="D3698" s="1">
        <v>0.1</v>
      </c>
      <c r="E3698" s="1">
        <v>13799.0</v>
      </c>
      <c r="F3698" s="10">
        <f t="shared" si="1"/>
        <v>0.3333333333</v>
      </c>
      <c r="G3698" s="10">
        <f t="array" ref="G3698">index('Player ID'!C:C,match(E3698,'Player ID'!B:B,0))</f>
        <v>621381</v>
      </c>
    </row>
    <row r="3699">
      <c r="A3699" s="76">
        <v>45776.0</v>
      </c>
      <c r="B3699" s="1" t="s">
        <v>719</v>
      </c>
      <c r="C3699" s="1" t="s">
        <v>80</v>
      </c>
      <c r="D3699" s="1">
        <v>1.0</v>
      </c>
      <c r="E3699" s="1">
        <v>14527.0</v>
      </c>
      <c r="F3699" s="10">
        <f t="shared" si="1"/>
        <v>1</v>
      </c>
      <c r="G3699" s="10">
        <f t="array" ref="G3699">index('Player ID'!C:C,match(E3699,'Player ID'!B:B,0))</f>
        <v>605347</v>
      </c>
    </row>
    <row r="3700">
      <c r="A3700" s="76">
        <v>45776.0</v>
      </c>
      <c r="B3700" s="1" t="s">
        <v>139</v>
      </c>
      <c r="C3700" s="1" t="s">
        <v>80</v>
      </c>
      <c r="D3700" s="1">
        <v>0.2</v>
      </c>
      <c r="E3700" s="1">
        <v>15009.0</v>
      </c>
      <c r="F3700" s="10">
        <f t="shared" si="1"/>
        <v>0.6666666667</v>
      </c>
      <c r="G3700" s="10">
        <f t="array" ref="G3700">index('Player ID'!C:C,match(E3700,'Player ID'!B:B,0))</f>
        <v>640448</v>
      </c>
    </row>
    <row r="3701">
      <c r="A3701" s="76">
        <v>45776.0</v>
      </c>
      <c r="B3701" s="1" t="s">
        <v>643</v>
      </c>
      <c r="C3701" s="1" t="s">
        <v>45</v>
      </c>
      <c r="D3701" s="1">
        <v>1.0</v>
      </c>
      <c r="E3701" s="1">
        <v>17780.0</v>
      </c>
      <c r="F3701" s="10">
        <f t="shared" si="1"/>
        <v>1</v>
      </c>
      <c r="G3701" s="10">
        <f t="array" ref="G3701">index('Player ID'!C:C,match(E3701,'Player ID'!B:B,0))</f>
        <v>621237</v>
      </c>
    </row>
    <row r="3702">
      <c r="A3702" s="76">
        <v>45776.0</v>
      </c>
      <c r="B3702" s="1" t="s">
        <v>354</v>
      </c>
      <c r="C3702" s="1" t="s">
        <v>80</v>
      </c>
      <c r="D3702" s="1">
        <v>6.0</v>
      </c>
      <c r="E3702" s="1">
        <v>22201.0</v>
      </c>
      <c r="F3702" s="10">
        <f t="shared" si="1"/>
        <v>6</v>
      </c>
      <c r="G3702" s="10">
        <f t="array" ref="G3702">index('Player ID'!C:C,match(E3702,'Player ID'!B:B,0))</f>
        <v>669022</v>
      </c>
    </row>
    <row r="3703">
      <c r="A3703" s="76">
        <v>45776.0</v>
      </c>
      <c r="B3703" s="1" t="s">
        <v>86</v>
      </c>
      <c r="C3703" s="1" t="s">
        <v>80</v>
      </c>
      <c r="D3703" s="1">
        <v>0.1</v>
      </c>
      <c r="E3703" s="1">
        <v>24017.0</v>
      </c>
      <c r="F3703" s="10">
        <f t="shared" si="1"/>
        <v>0.3333333333</v>
      </c>
      <c r="G3703" s="10">
        <f t="array" ref="G3703">index('Player ID'!C:C,match(E3703,'Player ID'!B:B,0))</f>
        <v>678606</v>
      </c>
    </row>
    <row r="3704">
      <c r="A3704" s="76">
        <v>45776.0</v>
      </c>
      <c r="B3704" s="1" t="s">
        <v>165</v>
      </c>
      <c r="C3704" s="1" t="s">
        <v>45</v>
      </c>
      <c r="D3704" s="1">
        <v>1.0</v>
      </c>
      <c r="E3704" s="1">
        <v>31776.0</v>
      </c>
      <c r="F3704" s="10">
        <f t="shared" si="1"/>
        <v>1</v>
      </c>
      <c r="G3704" s="10">
        <f t="array" ref="G3704">index('Player ID'!C:C,match(E3704,'Player ID'!B:B,0))</f>
        <v>689147</v>
      </c>
    </row>
    <row r="3705">
      <c r="A3705" s="76">
        <v>45776.0</v>
      </c>
      <c r="B3705" s="1" t="s">
        <v>649</v>
      </c>
      <c r="C3705" s="1" t="s">
        <v>29</v>
      </c>
      <c r="D3705" s="1">
        <v>1.0</v>
      </c>
      <c r="E3705" s="1">
        <v>14542.0</v>
      </c>
      <c r="F3705" s="10">
        <f t="shared" si="1"/>
        <v>1</v>
      </c>
      <c r="G3705" s="10">
        <f t="array" ref="G3705">index('Player ID'!C:C,match(E3705,'Player ID'!B:B,0))</f>
        <v>608032</v>
      </c>
    </row>
    <row r="3706">
      <c r="A3706" s="76">
        <v>45776.0</v>
      </c>
      <c r="B3706" s="1" t="s">
        <v>420</v>
      </c>
      <c r="C3706" s="1" t="s">
        <v>29</v>
      </c>
      <c r="D3706" s="1">
        <v>6.0</v>
      </c>
      <c r="E3706" s="1">
        <v>14843.0</v>
      </c>
      <c r="F3706" s="10">
        <f t="shared" si="1"/>
        <v>6</v>
      </c>
      <c r="G3706" s="10">
        <f t="array" ref="G3706">index('Player ID'!C:C,match(E3706,'Player ID'!B:B,0))</f>
        <v>547179</v>
      </c>
    </row>
    <row r="3707">
      <c r="A3707" s="76">
        <v>45776.0</v>
      </c>
      <c r="B3707" s="1" t="s">
        <v>407</v>
      </c>
      <c r="C3707" s="1" t="s">
        <v>29</v>
      </c>
      <c r="D3707" s="1">
        <v>1.0</v>
      </c>
      <c r="E3707" s="1">
        <v>19360.0</v>
      </c>
      <c r="F3707" s="10">
        <f t="shared" si="1"/>
        <v>1</v>
      </c>
      <c r="G3707" s="10">
        <f t="array" ref="G3707">index('Player ID'!C:C,match(E3707,'Player ID'!B:B,0))</f>
        <v>668674</v>
      </c>
    </row>
    <row r="3708">
      <c r="A3708" s="76">
        <v>45776.0</v>
      </c>
      <c r="B3708" s="1" t="s">
        <v>705</v>
      </c>
      <c r="C3708" s="1" t="s">
        <v>54</v>
      </c>
      <c r="D3708" s="1">
        <v>1.0</v>
      </c>
      <c r="E3708" s="1">
        <v>20794.0</v>
      </c>
      <c r="F3708" s="10">
        <f t="shared" si="1"/>
        <v>1</v>
      </c>
      <c r="G3708" s="10">
        <f t="array" ref="G3708">index('Player ID'!C:C,match(E3708,'Player ID'!B:B,0))</f>
        <v>655889</v>
      </c>
    </row>
    <row r="3709">
      <c r="A3709" s="76">
        <v>45776.0</v>
      </c>
      <c r="B3709" s="1" t="s">
        <v>413</v>
      </c>
      <c r="C3709" s="1" t="s">
        <v>54</v>
      </c>
      <c r="D3709" s="1">
        <v>7.0</v>
      </c>
      <c r="E3709" s="1">
        <v>22543.0</v>
      </c>
      <c r="F3709" s="10">
        <f t="shared" si="1"/>
        <v>7</v>
      </c>
      <c r="G3709" s="10">
        <f t="array" ref="G3709">index('Player ID'!C:C,match(E3709,'Player ID'!B:B,0))</f>
        <v>671737</v>
      </c>
    </row>
    <row r="3710">
      <c r="A3710" s="76">
        <v>45776.0</v>
      </c>
      <c r="B3710" s="1" t="s">
        <v>140</v>
      </c>
      <c r="C3710" s="1" t="s">
        <v>29</v>
      </c>
      <c r="D3710" s="1">
        <v>1.0</v>
      </c>
      <c r="E3710" s="1">
        <v>22717.0</v>
      </c>
      <c r="F3710" s="10">
        <f t="shared" si="1"/>
        <v>1</v>
      </c>
      <c r="G3710" s="10">
        <f t="array" ref="G3710">index('Player ID'!C:C,match(E3710,'Player ID'!B:B,0))</f>
        <v>672582</v>
      </c>
    </row>
    <row r="3711">
      <c r="A3711" s="76">
        <v>45776.0</v>
      </c>
      <c r="B3711" s="1" t="s">
        <v>257</v>
      </c>
      <c r="C3711" s="1" t="s">
        <v>54</v>
      </c>
      <c r="D3711" s="1">
        <v>1.0</v>
      </c>
      <c r="E3711" s="1">
        <v>27626.0</v>
      </c>
      <c r="F3711" s="10">
        <f t="shared" si="1"/>
        <v>1</v>
      </c>
      <c r="G3711" s="10">
        <f t="array" ref="G3711">index('Player ID'!C:C,match(E3711,'Player ID'!B:B,0))</f>
        <v>679358</v>
      </c>
    </row>
    <row r="3712">
      <c r="A3712" s="76">
        <v>45776.0</v>
      </c>
      <c r="B3712" s="1" t="s">
        <v>558</v>
      </c>
      <c r="C3712" s="1" t="s">
        <v>40</v>
      </c>
      <c r="D3712" s="1">
        <v>2.2</v>
      </c>
      <c r="E3712" s="1">
        <v>11121.0</v>
      </c>
      <c r="F3712" s="10">
        <f t="shared" si="1"/>
        <v>2.666666667</v>
      </c>
      <c r="G3712" s="10">
        <f t="array" ref="G3712">index('Player ID'!C:C,match(E3712,'Player ID'!B:B,0))</f>
        <v>596271</v>
      </c>
    </row>
    <row r="3713">
      <c r="A3713" s="76">
        <v>45776.0</v>
      </c>
      <c r="B3713" s="1" t="s">
        <v>493</v>
      </c>
      <c r="C3713" s="1" t="s">
        <v>22</v>
      </c>
      <c r="D3713" s="1">
        <v>1.0</v>
      </c>
      <c r="E3713" s="1">
        <v>16835.0</v>
      </c>
      <c r="F3713" s="10">
        <f t="shared" si="1"/>
        <v>1</v>
      </c>
      <c r="G3713" s="10">
        <f t="array" ref="G3713">index('Player ID'!C:C,match(E3713,'Player ID'!B:B,0))</f>
        <v>657514</v>
      </c>
    </row>
    <row r="3714">
      <c r="A3714" s="76">
        <v>45776.0</v>
      </c>
      <c r="B3714" s="1" t="s">
        <v>811</v>
      </c>
      <c r="C3714" s="1" t="s">
        <v>40</v>
      </c>
      <c r="D3714" s="1">
        <v>1.1</v>
      </c>
      <c r="E3714" s="1">
        <v>17796.0</v>
      </c>
      <c r="F3714" s="10">
        <f t="shared" si="1"/>
        <v>1.333333333</v>
      </c>
      <c r="G3714" s="10">
        <f t="array" ref="G3714">index('Player ID'!C:C,match(E3714,'Player ID'!B:B,0))</f>
        <v>622253</v>
      </c>
    </row>
    <row r="3715">
      <c r="A3715" s="76">
        <v>45776.0</v>
      </c>
      <c r="B3715" s="1" t="s">
        <v>428</v>
      </c>
      <c r="C3715" s="1" t="s">
        <v>40</v>
      </c>
      <c r="D3715" s="1">
        <v>3.0</v>
      </c>
      <c r="E3715" s="1">
        <v>20548.0</v>
      </c>
      <c r="F3715" s="10">
        <f t="shared" si="1"/>
        <v>3</v>
      </c>
      <c r="G3715" s="10">
        <f t="array" ref="G3715">index('Player ID'!C:C,match(E3715,'Player ID'!B:B,0))</f>
        <v>670102</v>
      </c>
    </row>
    <row r="3716">
      <c r="A3716" s="76">
        <v>45776.0</v>
      </c>
      <c r="B3716" s="1" t="s">
        <v>100</v>
      </c>
      <c r="C3716" s="1" t="s">
        <v>22</v>
      </c>
      <c r="D3716" s="1">
        <v>7.0</v>
      </c>
      <c r="E3716" s="1">
        <v>27463.0</v>
      </c>
      <c r="F3716" s="10">
        <f t="shared" si="1"/>
        <v>7</v>
      </c>
      <c r="G3716" s="10">
        <f t="array" ref="G3716">index('Player ID'!C:C,match(E3716,'Player ID'!B:B,0))</f>
        <v>676979</v>
      </c>
    </row>
    <row r="3717">
      <c r="A3717" s="76">
        <v>45776.0</v>
      </c>
      <c r="B3717" s="1" t="s">
        <v>720</v>
      </c>
      <c r="C3717" s="1" t="s">
        <v>22</v>
      </c>
      <c r="D3717" s="1">
        <v>1.0</v>
      </c>
      <c r="E3717" s="1">
        <v>31184.0</v>
      </c>
      <c r="F3717" s="10">
        <f t="shared" si="1"/>
        <v>1</v>
      </c>
      <c r="G3717" s="10">
        <f t="array" ref="G3717">index('Player ID'!C:C,match(E3717,'Player ID'!B:B,0))</f>
        <v>692285</v>
      </c>
    </row>
    <row r="3718">
      <c r="A3718" s="76">
        <v>45776.0</v>
      </c>
      <c r="B3718" s="1" t="s">
        <v>142</v>
      </c>
      <c r="C3718" s="1" t="s">
        <v>40</v>
      </c>
      <c r="D3718" s="1">
        <v>2.0</v>
      </c>
      <c r="E3718" s="1">
        <v>31553.0</v>
      </c>
      <c r="F3718" s="10">
        <f t="shared" si="1"/>
        <v>2</v>
      </c>
      <c r="G3718" s="10">
        <f t="array" ref="G3718">index('Player ID'!C:C,match(E3718,'Player ID'!B:B,0))</f>
        <v>689254</v>
      </c>
    </row>
    <row r="3719">
      <c r="A3719" s="76">
        <v>45776.0</v>
      </c>
      <c r="B3719" s="1" t="s">
        <v>368</v>
      </c>
      <c r="C3719" s="1" t="s">
        <v>64</v>
      </c>
      <c r="D3719" s="1">
        <v>4.0</v>
      </c>
      <c r="E3719" s="1">
        <v>13164.0</v>
      </c>
      <c r="F3719" s="10">
        <f t="shared" si="1"/>
        <v>4</v>
      </c>
      <c r="G3719" s="10">
        <f t="array" ref="G3719">index('Player ID'!C:C,match(E3719,'Player ID'!B:B,0))</f>
        <v>593958</v>
      </c>
    </row>
    <row r="3720">
      <c r="A3720" s="76">
        <v>45776.0</v>
      </c>
      <c r="B3720" s="1" t="s">
        <v>748</v>
      </c>
      <c r="C3720" s="1" t="s">
        <v>51</v>
      </c>
      <c r="D3720" s="1">
        <v>2.0</v>
      </c>
      <c r="E3720" s="1">
        <v>15369.0</v>
      </c>
      <c r="F3720" s="10">
        <f t="shared" si="1"/>
        <v>2</v>
      </c>
      <c r="G3720" s="10">
        <f t="array" ref="G3720">index('Player ID'!C:C,match(E3720,'Player ID'!B:B,0))</f>
        <v>643361</v>
      </c>
    </row>
    <row r="3721">
      <c r="A3721" s="76">
        <v>45776.0</v>
      </c>
      <c r="B3721" s="1" t="s">
        <v>307</v>
      </c>
      <c r="C3721" s="1" t="s">
        <v>51</v>
      </c>
      <c r="D3721" s="1">
        <v>5.0</v>
      </c>
      <c r="E3721" s="1">
        <v>20302.0</v>
      </c>
      <c r="F3721" s="10">
        <f t="shared" si="1"/>
        <v>5</v>
      </c>
      <c r="G3721" s="10">
        <f t="array" ref="G3721">index('Player ID'!C:C,match(E3721,'Player ID'!B:B,0))</f>
        <v>656849</v>
      </c>
    </row>
    <row r="3722">
      <c r="A3722" s="76">
        <v>45776.0</v>
      </c>
      <c r="B3722" s="1" t="s">
        <v>712</v>
      </c>
      <c r="C3722" s="1" t="s">
        <v>51</v>
      </c>
      <c r="D3722" s="1">
        <v>2.0</v>
      </c>
      <c r="E3722" s="1">
        <v>23313.0</v>
      </c>
      <c r="F3722" s="10">
        <f t="shared" si="1"/>
        <v>2</v>
      </c>
      <c r="G3722" s="10">
        <f t="array" ref="G3722">index('Player ID'!C:C,match(E3722,'Player ID'!B:B,0))</f>
        <v>676130</v>
      </c>
    </row>
    <row r="3723">
      <c r="A3723" s="76">
        <v>45776.0</v>
      </c>
      <c r="B3723" s="1" t="s">
        <v>93</v>
      </c>
      <c r="C3723" s="1" t="s">
        <v>64</v>
      </c>
      <c r="D3723" s="1">
        <v>4.0</v>
      </c>
      <c r="E3723" s="1">
        <v>26253.0</v>
      </c>
      <c r="F3723" s="10">
        <f t="shared" si="1"/>
        <v>4</v>
      </c>
      <c r="G3723" s="10">
        <f t="array" ref="G3723">index('Player ID'!C:C,match(E3723,'Player ID'!B:B,0))</f>
        <v>669194</v>
      </c>
    </row>
    <row r="3724">
      <c r="A3724" s="76">
        <v>45776.0</v>
      </c>
      <c r="B3724" s="1" t="s">
        <v>634</v>
      </c>
      <c r="C3724" s="1" t="s">
        <v>14</v>
      </c>
      <c r="D3724" s="1">
        <v>1.0</v>
      </c>
      <c r="E3724" s="1">
        <v>14332.0</v>
      </c>
      <c r="F3724" s="10">
        <f t="shared" si="1"/>
        <v>1</v>
      </c>
      <c r="G3724" s="10">
        <f t="array" ref="G3724">index('Player ID'!C:C,match(E3724,'Player ID'!B:B,0))</f>
        <v>606303</v>
      </c>
    </row>
    <row r="3725">
      <c r="A3725" s="76">
        <v>45776.0</v>
      </c>
      <c r="B3725" s="1" t="s">
        <v>478</v>
      </c>
      <c r="C3725" s="1" t="s">
        <v>78</v>
      </c>
      <c r="D3725" s="1">
        <v>2.0</v>
      </c>
      <c r="E3725" s="1">
        <v>17964.0</v>
      </c>
      <c r="F3725" s="10">
        <f t="shared" si="1"/>
        <v>2</v>
      </c>
      <c r="G3725" s="10">
        <f t="array" ref="G3725">index('Player ID'!C:C,match(E3725,'Player ID'!B:B,0))</f>
        <v>656457</v>
      </c>
    </row>
    <row r="3726">
      <c r="A3726" s="76">
        <v>45776.0</v>
      </c>
      <c r="B3726" s="1" t="s">
        <v>180</v>
      </c>
      <c r="C3726" s="1" t="s">
        <v>14</v>
      </c>
      <c r="D3726" s="1">
        <v>6.0</v>
      </c>
      <c r="E3726" s="1">
        <v>18679.0</v>
      </c>
      <c r="F3726" s="10">
        <f t="shared" si="1"/>
        <v>6</v>
      </c>
      <c r="G3726" s="10">
        <f t="array" ref="G3726">index('Player ID'!C:C,match(E3726,'Player ID'!B:B,0))</f>
        <v>642547</v>
      </c>
    </row>
    <row r="3727">
      <c r="A3727" s="76">
        <v>45776.0</v>
      </c>
      <c r="B3727" s="1" t="s">
        <v>387</v>
      </c>
      <c r="C3727" s="1" t="s">
        <v>78</v>
      </c>
      <c r="D3727" s="1">
        <v>3.1</v>
      </c>
      <c r="E3727" s="1">
        <v>19990.0</v>
      </c>
      <c r="F3727" s="10">
        <f t="shared" si="1"/>
        <v>3.333333333</v>
      </c>
      <c r="G3727" s="10">
        <f t="array" ref="G3727">index('Player ID'!C:C,match(E3727,'Player ID'!B:B,0))</f>
        <v>669060</v>
      </c>
    </row>
    <row r="3728">
      <c r="A3728" s="76">
        <v>45776.0</v>
      </c>
      <c r="B3728" s="1" t="s">
        <v>658</v>
      </c>
      <c r="C3728" s="1" t="s">
        <v>78</v>
      </c>
      <c r="D3728" s="1">
        <v>1.0</v>
      </c>
      <c r="E3728" s="1">
        <v>25174.0</v>
      </c>
      <c r="F3728" s="10">
        <f t="shared" si="1"/>
        <v>1</v>
      </c>
      <c r="G3728" s="10">
        <f t="array" ref="G3728">index('Player ID'!C:C,match(E3728,'Player ID'!B:B,0))</f>
        <v>682171</v>
      </c>
    </row>
    <row r="3729">
      <c r="A3729" s="76">
        <v>45776.0</v>
      </c>
      <c r="B3729" s="1" t="s">
        <v>279</v>
      </c>
      <c r="C3729" s="1" t="s">
        <v>14</v>
      </c>
      <c r="D3729" s="1">
        <v>1.0</v>
      </c>
      <c r="E3729" s="1">
        <v>25327.0</v>
      </c>
      <c r="F3729" s="10">
        <f t="shared" si="1"/>
        <v>1</v>
      </c>
      <c r="G3729" s="10">
        <f t="array" ref="G3729">index('Player ID'!C:C,match(E3729,'Player ID'!B:B,0))</f>
        <v>682842</v>
      </c>
    </row>
    <row r="3730">
      <c r="A3730" s="76">
        <v>45776.0</v>
      </c>
      <c r="B3730" s="1" t="s">
        <v>706</v>
      </c>
      <c r="C3730" s="1" t="s">
        <v>78</v>
      </c>
      <c r="D3730" s="1">
        <v>1.0</v>
      </c>
      <c r="E3730" s="1">
        <v>27472.0</v>
      </c>
      <c r="F3730" s="10">
        <f t="shared" si="1"/>
        <v>1</v>
      </c>
      <c r="G3730" s="10">
        <f t="array" ref="G3730">index('Player ID'!C:C,match(E3730,'Player ID'!B:B,0))</f>
        <v>694363</v>
      </c>
    </row>
    <row r="3731">
      <c r="A3731" s="76">
        <v>45776.0</v>
      </c>
      <c r="B3731" s="1" t="s">
        <v>367</v>
      </c>
      <c r="C3731" s="1" t="s">
        <v>78</v>
      </c>
      <c r="D3731" s="1">
        <v>0.2</v>
      </c>
      <c r="E3731" s="1">
        <v>27668.0</v>
      </c>
      <c r="F3731" s="10">
        <f t="shared" si="1"/>
        <v>0.6666666667</v>
      </c>
      <c r="G3731" s="10">
        <f t="array" ref="G3731">index('Player ID'!C:C,match(E3731,'Player ID'!B:B,0))</f>
        <v>685126</v>
      </c>
    </row>
    <row r="3732">
      <c r="A3732" s="76">
        <v>45776.0</v>
      </c>
      <c r="B3732" s="1" t="s">
        <v>497</v>
      </c>
      <c r="C3732" s="1" t="s">
        <v>78</v>
      </c>
      <c r="D3732" s="1">
        <v>1.0</v>
      </c>
      <c r="E3732" s="1">
        <v>30105.0</v>
      </c>
      <c r="F3732" s="10">
        <f t="shared" si="1"/>
        <v>1</v>
      </c>
      <c r="G3732" s="10">
        <f t="array" ref="G3732">index('Player ID'!C:C,match(E3732,'Player ID'!B:B,0))</f>
        <v>678024</v>
      </c>
    </row>
    <row r="3733">
      <c r="A3733" s="76">
        <v>45776.0</v>
      </c>
      <c r="B3733" s="1" t="s">
        <v>815</v>
      </c>
      <c r="C3733" s="1" t="s">
        <v>14</v>
      </c>
      <c r="D3733" s="1">
        <v>1.0</v>
      </c>
      <c r="E3733" s="1">
        <v>33248.0</v>
      </c>
      <c r="F3733" s="10">
        <f t="shared" si="1"/>
        <v>1</v>
      </c>
      <c r="G3733" s="10">
        <f t="array" ref="G3733">index('Player ID'!C:C,match(E3733,'Player ID'!B:B,0))</f>
        <v>684974</v>
      </c>
    </row>
    <row r="3734">
      <c r="A3734" s="76">
        <v>45776.0</v>
      </c>
      <c r="B3734" s="1" t="s">
        <v>668</v>
      </c>
      <c r="C3734" s="1" t="s">
        <v>52</v>
      </c>
      <c r="D3734" s="1">
        <v>1.2</v>
      </c>
      <c r="E3734" s="1">
        <v>3237.0</v>
      </c>
      <c r="F3734" s="10">
        <f t="shared" si="1"/>
        <v>1.666666667</v>
      </c>
      <c r="G3734" s="10">
        <f t="array" ref="G3734">index('Player ID'!C:C,match(E3734,'Player ID'!B:B,0))</f>
        <v>519008</v>
      </c>
    </row>
    <row r="3735">
      <c r="A3735" s="76">
        <v>45776.0</v>
      </c>
      <c r="B3735" s="1" t="s">
        <v>57</v>
      </c>
      <c r="C3735" s="1" t="s">
        <v>56</v>
      </c>
      <c r="D3735" s="1">
        <v>6.0</v>
      </c>
      <c r="E3735" s="1">
        <v>10954.0</v>
      </c>
      <c r="F3735" s="10">
        <f t="shared" si="1"/>
        <v>6</v>
      </c>
      <c r="G3735" s="10">
        <f t="array" ref="G3735">index('Player ID'!C:C,match(E3735,'Player ID'!B:B,0))</f>
        <v>594798</v>
      </c>
    </row>
    <row r="3736">
      <c r="A3736" s="76">
        <v>45776.0</v>
      </c>
      <c r="B3736" s="1" t="s">
        <v>796</v>
      </c>
      <c r="C3736" s="1" t="s">
        <v>56</v>
      </c>
      <c r="D3736" s="1">
        <v>3.0</v>
      </c>
      <c r="E3736" s="1">
        <v>19409.0</v>
      </c>
      <c r="F3736" s="10">
        <f t="shared" si="1"/>
        <v>3</v>
      </c>
      <c r="G3736" s="10">
        <f t="array" ref="G3736">index('Player ID'!C:C,match(E3736,'Player ID'!B:B,0))</f>
        <v>641540</v>
      </c>
    </row>
    <row r="3737">
      <c r="A3737" s="76">
        <v>45776.0</v>
      </c>
      <c r="B3737" s="1" t="s">
        <v>768</v>
      </c>
      <c r="C3737" s="1" t="s">
        <v>52</v>
      </c>
      <c r="D3737" s="1">
        <v>1.0</v>
      </c>
      <c r="E3737" s="1">
        <v>19802.0</v>
      </c>
      <c r="F3737" s="10">
        <f t="shared" si="1"/>
        <v>1</v>
      </c>
      <c r="G3737" s="10">
        <f t="array" ref="G3737">index('Player ID'!C:C,match(E3737,'Player ID'!B:B,0))</f>
        <v>640902</v>
      </c>
    </row>
    <row r="3738">
      <c r="A3738" s="76">
        <v>45776.0</v>
      </c>
      <c r="B3738" s="1" t="s">
        <v>227</v>
      </c>
      <c r="C3738" s="1" t="s">
        <v>52</v>
      </c>
      <c r="D3738" s="1">
        <v>2.2</v>
      </c>
      <c r="E3738" s="1">
        <v>21520.0</v>
      </c>
      <c r="F3738" s="10">
        <f t="shared" si="1"/>
        <v>2.666666667</v>
      </c>
      <c r="G3738" s="10">
        <f t="array" ref="G3738">index('Player ID'!C:C,match(E3738,'Player ID'!B:B,0))</f>
        <v>663687</v>
      </c>
    </row>
    <row r="3739">
      <c r="A3739" s="76">
        <v>45776.0</v>
      </c>
      <c r="B3739" s="1" t="s">
        <v>389</v>
      </c>
      <c r="C3739" s="1" t="s">
        <v>52</v>
      </c>
      <c r="D3739" s="1">
        <v>2.2</v>
      </c>
      <c r="E3739" s="1">
        <v>25098.0</v>
      </c>
      <c r="F3739" s="10">
        <f t="shared" si="1"/>
        <v>2.666666667</v>
      </c>
      <c r="G3739" s="10">
        <f t="array" ref="G3739">index('Player ID'!C:C,match(E3739,'Player ID'!B:B,0))</f>
        <v>682052</v>
      </c>
    </row>
    <row r="3740">
      <c r="A3740" s="76">
        <v>45776.0</v>
      </c>
      <c r="B3740" s="1" t="s">
        <v>717</v>
      </c>
      <c r="C3740" s="1" t="s">
        <v>52</v>
      </c>
      <c r="D3740" s="1">
        <v>0.0</v>
      </c>
      <c r="E3740" s="1">
        <v>27908.0</v>
      </c>
      <c r="F3740" s="10">
        <f t="shared" si="1"/>
        <v>0</v>
      </c>
      <c r="G3740" s="10">
        <f t="array" ref="G3740">index('Player ID'!C:C,match(E3740,'Player ID'!B:B,0))</f>
        <v>668716</v>
      </c>
    </row>
    <row r="3741">
      <c r="A3741" s="76">
        <v>45776.0</v>
      </c>
      <c r="B3741" s="1" t="s">
        <v>447</v>
      </c>
      <c r="C3741" s="1" t="s">
        <v>39</v>
      </c>
      <c r="D3741" s="1">
        <v>1.0</v>
      </c>
      <c r="E3741" s="1">
        <v>13652.0</v>
      </c>
      <c r="F3741" s="10">
        <f t="shared" si="1"/>
        <v>1</v>
      </c>
      <c r="G3741" s="10">
        <f t="array" ref="G3741">index('Player ID'!C:C,match(E3741,'Player ID'!B:B,0))</f>
        <v>605463</v>
      </c>
    </row>
    <row r="3742">
      <c r="A3742" s="76">
        <v>45776.0</v>
      </c>
      <c r="B3742" s="1" t="s">
        <v>59</v>
      </c>
      <c r="C3742" s="1" t="s">
        <v>39</v>
      </c>
      <c r="D3742" s="1">
        <v>1.0</v>
      </c>
      <c r="E3742" s="1">
        <v>14212.0</v>
      </c>
      <c r="F3742" s="10">
        <f t="shared" si="1"/>
        <v>1</v>
      </c>
      <c r="G3742" s="10">
        <f t="array" ref="G3742">index('Player ID'!C:C,match(E3742,'Player ID'!B:B,0))</f>
        <v>623352</v>
      </c>
    </row>
    <row r="3743">
      <c r="A3743" s="76">
        <v>45776.0</v>
      </c>
      <c r="B3743" s="1" t="s">
        <v>210</v>
      </c>
      <c r="C3743" s="1" t="s">
        <v>39</v>
      </c>
      <c r="D3743" s="1">
        <v>1.0</v>
      </c>
      <c r="E3743" s="1">
        <v>16609.0</v>
      </c>
      <c r="F3743" s="10">
        <f t="shared" si="1"/>
        <v>1</v>
      </c>
      <c r="G3743" s="10">
        <f t="array" ref="G3743">index('Player ID'!C:C,match(E3743,'Player ID'!B:B,0))</f>
        <v>650556</v>
      </c>
    </row>
    <row r="3744">
      <c r="A3744" s="76">
        <v>45776.0</v>
      </c>
      <c r="B3744" s="1" t="s">
        <v>715</v>
      </c>
      <c r="C3744" s="1" t="s">
        <v>62</v>
      </c>
      <c r="D3744" s="1">
        <v>1.0</v>
      </c>
      <c r="E3744" s="1">
        <v>18498.0</v>
      </c>
      <c r="F3744" s="10">
        <f t="shared" si="1"/>
        <v>1</v>
      </c>
      <c r="G3744" s="10">
        <f t="array" ref="G3744">index('Player ID'!C:C,match(E3744,'Player ID'!B:B,0))</f>
        <v>628317</v>
      </c>
    </row>
    <row r="3745">
      <c r="A3745" s="76">
        <v>45776.0</v>
      </c>
      <c r="B3745" s="1" t="s">
        <v>131</v>
      </c>
      <c r="C3745" s="1" t="s">
        <v>62</v>
      </c>
      <c r="D3745" s="1">
        <v>1.0</v>
      </c>
      <c r="E3745" s="1">
        <v>19769.0</v>
      </c>
      <c r="F3745" s="10">
        <f t="shared" si="1"/>
        <v>1</v>
      </c>
      <c r="G3745" s="10">
        <f t="array" ref="G3745">index('Player ID'!C:C,match(E3745,'Player ID'!B:B,0))</f>
        <v>676684</v>
      </c>
    </row>
    <row r="3746">
      <c r="A3746" s="76">
        <v>45776.0</v>
      </c>
      <c r="B3746" s="1" t="s">
        <v>102</v>
      </c>
      <c r="C3746" s="1" t="s">
        <v>39</v>
      </c>
      <c r="D3746" s="1">
        <v>1.2</v>
      </c>
      <c r="E3746" s="1">
        <v>21345.0</v>
      </c>
      <c r="F3746" s="10">
        <f t="shared" si="1"/>
        <v>1.666666667</v>
      </c>
      <c r="G3746" s="10">
        <f t="array" ref="G3746">index('Player ID'!C:C,match(E3746,'Player ID'!B:B,0))</f>
        <v>656986</v>
      </c>
    </row>
    <row r="3747">
      <c r="A3747" s="76">
        <v>45776.0</v>
      </c>
      <c r="B3747" s="1" t="s">
        <v>419</v>
      </c>
      <c r="C3747" s="1" t="s">
        <v>62</v>
      </c>
      <c r="D3747" s="1">
        <v>5.2</v>
      </c>
      <c r="E3747" s="1">
        <v>24968.0</v>
      </c>
      <c r="F3747" s="10">
        <f t="shared" si="1"/>
        <v>5.666666667</v>
      </c>
      <c r="G3747" s="10">
        <f t="array" ref="G3747">index('Player ID'!C:C,match(E3747,'Player ID'!B:B,0))</f>
        <v>681857</v>
      </c>
    </row>
    <row r="3748">
      <c r="A3748" s="76">
        <v>45776.0</v>
      </c>
      <c r="B3748" s="1" t="s">
        <v>228</v>
      </c>
      <c r="C3748" s="1" t="s">
        <v>39</v>
      </c>
      <c r="D3748" s="1">
        <v>4.1</v>
      </c>
      <c r="E3748" s="1">
        <v>26440.0</v>
      </c>
      <c r="F3748" s="10">
        <f t="shared" si="1"/>
        <v>4.333333333</v>
      </c>
      <c r="G3748" s="10">
        <f t="array" ref="G3748">index('Player ID'!C:C,match(E3748,'Player ID'!B:B,0))</f>
        <v>687473</v>
      </c>
    </row>
    <row r="3749">
      <c r="A3749" s="76">
        <v>45776.0</v>
      </c>
      <c r="B3749" s="1" t="s">
        <v>160</v>
      </c>
      <c r="C3749" s="1" t="s">
        <v>62</v>
      </c>
      <c r="D3749" s="1">
        <v>0.1</v>
      </c>
      <c r="E3749" s="1">
        <v>29574.0</v>
      </c>
      <c r="F3749" s="10">
        <f t="shared" si="1"/>
        <v>0.3333333333</v>
      </c>
      <c r="G3749" s="10">
        <f t="array" ref="G3749">index('Player ID'!C:C,match(E3749,'Player ID'!B:B,0))</f>
        <v>695445</v>
      </c>
    </row>
    <row r="3750">
      <c r="A3750" s="76">
        <v>45776.0</v>
      </c>
      <c r="B3750" s="1" t="s">
        <v>704</v>
      </c>
      <c r="C3750" s="1" t="s">
        <v>75</v>
      </c>
      <c r="D3750" s="1">
        <v>1.0</v>
      </c>
      <c r="E3750" s="1">
        <v>10591.0</v>
      </c>
      <c r="F3750" s="10">
        <f t="shared" si="1"/>
        <v>1</v>
      </c>
      <c r="G3750" s="10">
        <f t="array" ref="G3750">index('Player ID'!C:C,match(E3750,'Player ID'!B:B,0))</f>
        <v>518397</v>
      </c>
    </row>
    <row r="3751">
      <c r="A3751" s="76">
        <v>45776.0</v>
      </c>
      <c r="B3751" s="1" t="s">
        <v>326</v>
      </c>
      <c r="C3751" s="1" t="s">
        <v>46</v>
      </c>
      <c r="D3751" s="1">
        <v>1.0</v>
      </c>
      <c r="E3751" s="1">
        <v>12760.0</v>
      </c>
      <c r="F3751" s="10">
        <f t="shared" si="1"/>
        <v>1</v>
      </c>
      <c r="G3751" s="10">
        <f t="array" ref="G3751">index('Player ID'!C:C,match(E3751,'Player ID'!B:B,0))</f>
        <v>606160</v>
      </c>
    </row>
    <row r="3752">
      <c r="A3752" s="76">
        <v>45776.0</v>
      </c>
      <c r="B3752" s="1" t="s">
        <v>746</v>
      </c>
      <c r="C3752" s="1" t="s">
        <v>75</v>
      </c>
      <c r="D3752" s="1">
        <v>5.1</v>
      </c>
      <c r="E3752" s="1">
        <v>15038.0</v>
      </c>
      <c r="F3752" s="10">
        <f t="shared" si="1"/>
        <v>5.333333333</v>
      </c>
      <c r="G3752" s="10">
        <f t="array" ref="G3752">index('Player ID'!C:C,match(E3752,'Player ID'!B:B,0))</f>
        <v>608566</v>
      </c>
    </row>
    <row r="3753">
      <c r="A3753" s="76">
        <v>45776.0</v>
      </c>
      <c r="B3753" s="1" t="s">
        <v>233</v>
      </c>
      <c r="C3753" s="1" t="s">
        <v>46</v>
      </c>
      <c r="D3753" s="1">
        <v>1.0</v>
      </c>
      <c r="E3753" s="1">
        <v>16427.0</v>
      </c>
      <c r="F3753" s="10">
        <f t="shared" si="1"/>
        <v>1</v>
      </c>
      <c r="G3753" s="10">
        <f t="array" ref="G3753">index('Player ID'!C:C,match(E3753,'Player ID'!B:B,0))</f>
        <v>656240</v>
      </c>
    </row>
    <row r="3754">
      <c r="A3754" s="76">
        <v>45776.0</v>
      </c>
      <c r="B3754" s="1" t="s">
        <v>451</v>
      </c>
      <c r="C3754" s="1" t="s">
        <v>75</v>
      </c>
      <c r="D3754" s="1">
        <v>1.2</v>
      </c>
      <c r="E3754" s="1">
        <v>17556.0</v>
      </c>
      <c r="F3754" s="10">
        <f t="shared" si="1"/>
        <v>1.666666667</v>
      </c>
      <c r="G3754" s="10">
        <f t="array" ref="G3754">index('Player ID'!C:C,match(E3754,'Player ID'!B:B,0))</f>
        <v>623474</v>
      </c>
    </row>
    <row r="3755">
      <c r="A3755" s="76">
        <v>45776.0</v>
      </c>
      <c r="B3755" s="1" t="s">
        <v>346</v>
      </c>
      <c r="C3755" s="1" t="s">
        <v>46</v>
      </c>
      <c r="D3755" s="1">
        <v>1.2</v>
      </c>
      <c r="E3755" s="1">
        <v>18403.0</v>
      </c>
      <c r="F3755" s="10">
        <f t="shared" si="1"/>
        <v>1.666666667</v>
      </c>
      <c r="G3755" s="10">
        <f t="array" ref="G3755">index('Player ID'!C:C,match(E3755,'Player ID'!B:B,0))</f>
        <v>660853</v>
      </c>
    </row>
    <row r="3756">
      <c r="A3756" s="76">
        <v>45776.0</v>
      </c>
      <c r="B3756" s="1" t="s">
        <v>516</v>
      </c>
      <c r="C3756" s="1" t="s">
        <v>46</v>
      </c>
      <c r="D3756" s="1">
        <v>5.1</v>
      </c>
      <c r="E3756" s="1">
        <v>29960.0</v>
      </c>
      <c r="F3756" s="10">
        <f t="shared" si="1"/>
        <v>5.333333333</v>
      </c>
      <c r="G3756" s="10">
        <f t="array" ref="G3756">index('Player ID'!C:C,match(E3756,'Player ID'!B:B,0))</f>
        <v>700363</v>
      </c>
    </row>
    <row r="3757">
      <c r="A3757" s="76">
        <v>45776.0</v>
      </c>
      <c r="B3757" s="1" t="s">
        <v>488</v>
      </c>
      <c r="C3757" s="1" t="s">
        <v>75</v>
      </c>
      <c r="D3757" s="1">
        <v>1.0</v>
      </c>
      <c r="E3757" s="1">
        <v>33294.0</v>
      </c>
      <c r="F3757" s="10">
        <f t="shared" si="1"/>
        <v>1</v>
      </c>
      <c r="G3757" s="10">
        <f t="array" ref="G3757">index('Player ID'!C:C,match(E3757,'Player ID'!B:B,0))</f>
        <v>678020</v>
      </c>
    </row>
    <row r="3758">
      <c r="A3758" s="76">
        <v>45776.0</v>
      </c>
      <c r="B3758" s="1" t="s">
        <v>53</v>
      </c>
      <c r="C3758" s="1" t="s">
        <v>37</v>
      </c>
      <c r="D3758" s="1">
        <v>0.1</v>
      </c>
      <c r="E3758" s="1">
        <v>17170.0</v>
      </c>
      <c r="F3758" s="10">
        <f t="shared" si="1"/>
        <v>0.3333333333</v>
      </c>
      <c r="G3758" s="10">
        <f t="array" ref="G3758">index('Player ID'!C:C,match(E3758,'Player ID'!B:B,0))</f>
        <v>642100</v>
      </c>
    </row>
    <row r="3759">
      <c r="A3759" s="76">
        <v>45776.0</v>
      </c>
      <c r="B3759" s="1" t="s">
        <v>670</v>
      </c>
      <c r="C3759" s="1" t="s">
        <v>37</v>
      </c>
      <c r="D3759" s="1">
        <v>1.0</v>
      </c>
      <c r="E3759" s="1">
        <v>20373.0</v>
      </c>
      <c r="F3759" s="10">
        <f t="shared" si="1"/>
        <v>1</v>
      </c>
      <c r="G3759" s="10">
        <f t="array" ref="G3759">index('Player ID'!C:C,match(E3759,'Player ID'!B:B,0))</f>
        <v>662253</v>
      </c>
    </row>
    <row r="3760">
      <c r="A3760" s="76">
        <v>45776.0</v>
      </c>
      <c r="B3760" s="1" t="s">
        <v>101</v>
      </c>
      <c r="C3760" s="1" t="s">
        <v>37</v>
      </c>
      <c r="D3760" s="1">
        <v>1.0</v>
      </c>
      <c r="E3760" s="1">
        <v>22915.0</v>
      </c>
      <c r="F3760" s="10">
        <f t="shared" si="1"/>
        <v>1</v>
      </c>
      <c r="G3760" s="10">
        <f t="array" ref="G3760">index('Player ID'!C:C,match(E3760,'Player ID'!B:B,0))</f>
        <v>672841</v>
      </c>
    </row>
    <row r="3761">
      <c r="A3761" s="76">
        <v>45776.0</v>
      </c>
      <c r="B3761" s="1" t="s">
        <v>683</v>
      </c>
      <c r="C3761" s="1" t="s">
        <v>37</v>
      </c>
      <c r="D3761" s="1">
        <v>1.0</v>
      </c>
      <c r="E3761" s="1">
        <v>23307.0</v>
      </c>
      <c r="F3761" s="10">
        <f t="shared" si="1"/>
        <v>1</v>
      </c>
      <c r="G3761" s="10">
        <f t="array" ref="G3761">index('Player ID'!C:C,match(E3761,'Player ID'!B:B,0))</f>
        <v>676092</v>
      </c>
    </row>
    <row r="3762">
      <c r="A3762" s="76">
        <v>45776.0</v>
      </c>
      <c r="B3762" s="1" t="s">
        <v>340</v>
      </c>
      <c r="C3762" s="1" t="s">
        <v>37</v>
      </c>
      <c r="D3762" s="1">
        <v>0.2</v>
      </c>
      <c r="E3762" s="1">
        <v>25921.0</v>
      </c>
      <c r="F3762" s="10">
        <f t="shared" si="1"/>
        <v>0.6666666667</v>
      </c>
      <c r="G3762" s="10">
        <f t="array" ref="G3762">index('Player ID'!C:C,match(E3762,'Player ID'!B:B,0))</f>
        <v>668984</v>
      </c>
    </row>
    <row r="3763">
      <c r="A3763" s="76">
        <v>45776.0</v>
      </c>
      <c r="B3763" s="1" t="s">
        <v>521</v>
      </c>
      <c r="C3763" s="1" t="s">
        <v>25</v>
      </c>
      <c r="D3763" s="1">
        <v>6.0</v>
      </c>
      <c r="E3763" s="1">
        <v>27688.0</v>
      </c>
      <c r="F3763" s="10">
        <f t="shared" si="1"/>
        <v>6</v>
      </c>
      <c r="G3763" s="10">
        <f t="array" ref="G3763">index('Player ID'!C:C,match(E3763,'Player ID'!B:B,0))</f>
        <v>686799</v>
      </c>
    </row>
    <row r="3764">
      <c r="A3764" s="76">
        <v>45776.0</v>
      </c>
      <c r="B3764" s="1" t="s">
        <v>343</v>
      </c>
      <c r="C3764" s="1" t="s">
        <v>37</v>
      </c>
      <c r="D3764" s="1">
        <v>5.0</v>
      </c>
      <c r="E3764" s="1">
        <v>29837.0</v>
      </c>
      <c r="F3764" s="10">
        <f t="shared" si="1"/>
        <v>5</v>
      </c>
      <c r="G3764" s="10">
        <f t="array" ref="G3764">index('Player ID'!C:C,match(E3764,'Player ID'!B:B,0))</f>
        <v>682243</v>
      </c>
    </row>
    <row r="3765">
      <c r="A3765" s="76">
        <v>45776.0</v>
      </c>
      <c r="B3765" s="1" t="s">
        <v>760</v>
      </c>
      <c r="C3765" s="1" t="s">
        <v>25</v>
      </c>
      <c r="D3765" s="1">
        <v>1.2</v>
      </c>
      <c r="E3765" s="1">
        <v>31751.0</v>
      </c>
      <c r="F3765" s="10">
        <f t="shared" si="1"/>
        <v>1.666666667</v>
      </c>
      <c r="G3765" s="10">
        <f t="array" ref="G3765">index('Player ID'!C:C,match(E3765,'Player ID'!B:B,0))</f>
        <v>680729</v>
      </c>
    </row>
    <row r="3766">
      <c r="A3766" s="76">
        <v>45776.0</v>
      </c>
      <c r="B3766" s="1" t="s">
        <v>381</v>
      </c>
      <c r="C3766" s="1" t="s">
        <v>25</v>
      </c>
      <c r="D3766" s="1">
        <v>0.1</v>
      </c>
      <c r="E3766" s="1">
        <v>33908.0</v>
      </c>
      <c r="F3766" s="10">
        <f t="shared" si="1"/>
        <v>0.3333333333</v>
      </c>
      <c r="G3766" s="10">
        <f t="array" ref="G3766">index('Player ID'!C:C,match(E3766,'Player ID'!B:B,0))</f>
        <v>820862</v>
      </c>
    </row>
    <row r="3767">
      <c r="A3767" s="76">
        <v>45776.0</v>
      </c>
      <c r="B3767" s="1" t="s">
        <v>342</v>
      </c>
      <c r="C3767" s="1" t="s">
        <v>26</v>
      </c>
      <c r="D3767" s="1">
        <v>1.0</v>
      </c>
      <c r="E3767" s="1">
        <v>11861.0</v>
      </c>
      <c r="F3767" s="10">
        <f t="shared" si="1"/>
        <v>1</v>
      </c>
      <c r="G3767" s="10">
        <f t="array" ref="G3767">index('Player ID'!C:C,match(E3767,'Player ID'!B:B,0))</f>
        <v>592094</v>
      </c>
    </row>
    <row r="3768">
      <c r="A3768" s="76">
        <v>45776.0</v>
      </c>
      <c r="B3768" s="1" t="s">
        <v>503</v>
      </c>
      <c r="C3768" s="1" t="s">
        <v>31</v>
      </c>
      <c r="D3768" s="1">
        <v>1.0</v>
      </c>
      <c r="E3768" s="1">
        <v>15043.0</v>
      </c>
      <c r="F3768" s="10">
        <f t="shared" si="1"/>
        <v>1</v>
      </c>
      <c r="G3768" s="10">
        <f t="array" ref="G3768">index('Player ID'!C:C,match(E3768,'Player ID'!B:B,0))</f>
        <v>642152</v>
      </c>
    </row>
    <row r="3769">
      <c r="A3769" s="76">
        <v>45776.0</v>
      </c>
      <c r="B3769" s="1" t="s">
        <v>109</v>
      </c>
      <c r="C3769" s="1" t="s">
        <v>26</v>
      </c>
      <c r="D3769" s="1">
        <v>5.1</v>
      </c>
      <c r="E3769" s="1">
        <v>15454.0</v>
      </c>
      <c r="F3769" s="10">
        <f t="shared" si="1"/>
        <v>5.333333333</v>
      </c>
      <c r="G3769" s="10">
        <f t="array" ref="G3769">index('Player ID'!C:C,match(E3769,'Player ID'!B:B,0))</f>
        <v>601713</v>
      </c>
    </row>
    <row r="3770">
      <c r="A3770" s="76">
        <v>45776.0</v>
      </c>
      <c r="B3770" s="1" t="s">
        <v>77</v>
      </c>
      <c r="C3770" s="1" t="s">
        <v>31</v>
      </c>
      <c r="D3770" s="1">
        <v>5.0</v>
      </c>
      <c r="E3770" s="1">
        <v>17995.0</v>
      </c>
      <c r="F3770" s="10">
        <f t="shared" si="1"/>
        <v>5</v>
      </c>
      <c r="G3770" s="10">
        <f t="array" ref="G3770">index('Player ID'!C:C,match(E3770,'Player ID'!B:B,0))</f>
        <v>657277</v>
      </c>
    </row>
    <row r="3771">
      <c r="A3771" s="76">
        <v>45776.0</v>
      </c>
      <c r="B3771" s="1" t="s">
        <v>49</v>
      </c>
      <c r="C3771" s="1" t="s">
        <v>26</v>
      </c>
      <c r="D3771" s="1">
        <v>1.0</v>
      </c>
      <c r="E3771" s="1">
        <v>20039.0</v>
      </c>
      <c r="F3771" s="10">
        <f t="shared" si="1"/>
        <v>1</v>
      </c>
      <c r="G3771" s="10">
        <f t="array" ref="G3771">index('Player ID'!C:C,match(E3771,'Player ID'!B:B,0))</f>
        <v>670970</v>
      </c>
    </row>
    <row r="3772">
      <c r="A3772" s="76">
        <v>45776.0</v>
      </c>
      <c r="B3772" s="1" t="s">
        <v>94</v>
      </c>
      <c r="C3772" s="1" t="s">
        <v>26</v>
      </c>
      <c r="D3772" s="1">
        <v>0.2</v>
      </c>
      <c r="E3772" s="1">
        <v>22210.0</v>
      </c>
      <c r="F3772" s="10">
        <f t="shared" si="1"/>
        <v>0.6666666667</v>
      </c>
      <c r="G3772" s="10">
        <f t="array" ref="G3772">index('Player ID'!C:C,match(E3772,'Player ID'!B:B,0))</f>
        <v>669093</v>
      </c>
    </row>
    <row r="3773">
      <c r="A3773" s="76">
        <v>45776.0</v>
      </c>
      <c r="B3773" s="1" t="s">
        <v>654</v>
      </c>
      <c r="C3773" s="1" t="s">
        <v>31</v>
      </c>
      <c r="D3773" s="1">
        <v>1.0</v>
      </c>
      <c r="E3773" s="1">
        <v>23974.0</v>
      </c>
      <c r="F3773" s="10">
        <f t="shared" si="1"/>
        <v>1</v>
      </c>
      <c r="G3773" s="10">
        <f t="array" ref="G3773">index('Player ID'!C:C,match(E3773,'Player ID'!B:B,0))</f>
        <v>678495</v>
      </c>
    </row>
    <row r="3774">
      <c r="A3774" s="76">
        <v>45776.0</v>
      </c>
      <c r="B3774" s="1" t="s">
        <v>655</v>
      </c>
      <c r="C3774" s="1" t="s">
        <v>31</v>
      </c>
      <c r="D3774" s="1">
        <v>1.0</v>
      </c>
      <c r="E3774" s="1">
        <v>26252.0</v>
      </c>
      <c r="F3774" s="10">
        <f t="shared" si="1"/>
        <v>1</v>
      </c>
      <c r="G3774" s="10">
        <f t="array" ref="G3774">index('Player ID'!C:C,match(E3774,'Player ID'!B:B,0))</f>
        <v>669062</v>
      </c>
    </row>
    <row r="3775">
      <c r="A3775" s="76">
        <v>45776.0</v>
      </c>
      <c r="B3775" s="1" t="s">
        <v>81</v>
      </c>
      <c r="C3775" s="1" t="s">
        <v>26</v>
      </c>
      <c r="D3775" s="1">
        <v>1.0</v>
      </c>
      <c r="E3775" s="1">
        <v>30115.0</v>
      </c>
      <c r="F3775" s="10">
        <f t="shared" si="1"/>
        <v>1</v>
      </c>
      <c r="G3775" s="10">
        <f t="array" ref="G3775">index('Player ID'!C:C,match(E3775,'Player ID'!B:B,0))</f>
        <v>663158</v>
      </c>
    </row>
    <row r="3776">
      <c r="A3776" s="76">
        <v>45776.0</v>
      </c>
      <c r="B3776" s="1" t="s">
        <v>595</v>
      </c>
      <c r="C3776" s="1" t="s">
        <v>33</v>
      </c>
      <c r="D3776" s="1">
        <v>1.0</v>
      </c>
      <c r="E3776" s="1">
        <v>6984.0</v>
      </c>
      <c r="F3776" s="10">
        <f t="shared" si="1"/>
        <v>1</v>
      </c>
      <c r="G3776" s="10">
        <f t="array" ref="G3776">index('Player ID'!C:C,match(E3776,'Player ID'!B:B,0))</f>
        <v>472610</v>
      </c>
    </row>
    <row r="3777">
      <c r="A3777" s="76">
        <v>45776.0</v>
      </c>
      <c r="B3777" s="1" t="s">
        <v>824</v>
      </c>
      <c r="C3777" s="1" t="s">
        <v>33</v>
      </c>
      <c r="D3777" s="1">
        <v>1.0</v>
      </c>
      <c r="E3777" s="1">
        <v>10472.0</v>
      </c>
      <c r="F3777" s="10">
        <f t="shared" si="1"/>
        <v>1</v>
      </c>
      <c r="G3777" s="10">
        <f t="array" ref="G3777">index('Player ID'!C:C,match(E3777,'Player ID'!B:B,0))</f>
        <v>571771</v>
      </c>
    </row>
    <row r="3778">
      <c r="A3778" s="76">
        <v>45776.0</v>
      </c>
      <c r="B3778" s="1" t="s">
        <v>229</v>
      </c>
      <c r="C3778" s="1" t="s">
        <v>36</v>
      </c>
      <c r="D3778" s="1">
        <v>2.2</v>
      </c>
      <c r="E3778" s="1">
        <v>18684.0</v>
      </c>
      <c r="F3778" s="10">
        <f t="shared" si="1"/>
        <v>2.666666667</v>
      </c>
      <c r="G3778" s="10">
        <f t="array" ref="G3778">index('Player ID'!C:C,match(E3778,'Player ID'!B:B,0))</f>
        <v>645261</v>
      </c>
    </row>
    <row r="3779">
      <c r="A3779" s="76">
        <v>45776.0</v>
      </c>
      <c r="B3779" s="1" t="s">
        <v>61</v>
      </c>
      <c r="C3779" s="1" t="s">
        <v>36</v>
      </c>
      <c r="D3779" s="1">
        <v>2.1</v>
      </c>
      <c r="E3779" s="1">
        <v>20629.0</v>
      </c>
      <c r="F3779" s="10">
        <f t="shared" si="1"/>
        <v>2.333333333</v>
      </c>
      <c r="G3779" s="10">
        <f t="array" ref="G3779">index('Player ID'!C:C,match(E3779,'Player ID'!B:B,0))</f>
        <v>663969</v>
      </c>
    </row>
    <row r="3780">
      <c r="A3780" s="76">
        <v>45776.0</v>
      </c>
      <c r="B3780" s="1" t="s">
        <v>469</v>
      </c>
      <c r="C3780" s="1" t="s">
        <v>36</v>
      </c>
      <c r="D3780" s="1">
        <v>1.2</v>
      </c>
      <c r="E3780" s="1">
        <v>21863.0</v>
      </c>
      <c r="F3780" s="10">
        <f t="shared" si="1"/>
        <v>1.666666667</v>
      </c>
      <c r="G3780" s="10">
        <f t="array" ref="G3780">index('Player ID'!C:C,match(E3780,'Player ID'!B:B,0))</f>
        <v>666277</v>
      </c>
    </row>
    <row r="3781">
      <c r="A3781" s="76">
        <v>45776.0</v>
      </c>
      <c r="B3781" s="1" t="s">
        <v>390</v>
      </c>
      <c r="C3781" s="1" t="s">
        <v>33</v>
      </c>
      <c r="D3781" s="1">
        <v>5.0</v>
      </c>
      <c r="E3781" s="1">
        <v>22284.0</v>
      </c>
      <c r="F3781" s="10">
        <f t="shared" si="1"/>
        <v>5</v>
      </c>
      <c r="G3781" s="10">
        <f t="array" ref="G3781">index('Player ID'!C:C,match(E3781,'Player ID'!B:B,0))</f>
        <v>669422</v>
      </c>
    </row>
    <row r="3782">
      <c r="A3782" s="76">
        <v>45776.0</v>
      </c>
      <c r="B3782" s="1" t="s">
        <v>781</v>
      </c>
      <c r="C3782" s="1" t="s">
        <v>36</v>
      </c>
      <c r="D3782" s="1">
        <v>1.1</v>
      </c>
      <c r="E3782" s="1">
        <v>28253.0</v>
      </c>
      <c r="F3782" s="10">
        <f t="shared" si="1"/>
        <v>1.333333333</v>
      </c>
      <c r="G3782" s="10">
        <f t="array" ref="G3782">index('Player ID'!C:C,match(E3782,'Player ID'!B:B,0))</f>
        <v>691594</v>
      </c>
    </row>
    <row r="3783">
      <c r="A3783" s="76">
        <v>45776.0</v>
      </c>
      <c r="B3783" s="1" t="s">
        <v>206</v>
      </c>
      <c r="C3783" s="1" t="s">
        <v>33</v>
      </c>
      <c r="D3783" s="1">
        <v>2.0</v>
      </c>
      <c r="E3783" s="1">
        <v>30249.0</v>
      </c>
      <c r="F3783" s="10">
        <f t="shared" si="1"/>
        <v>2</v>
      </c>
      <c r="G3783" s="10">
        <f t="array" ref="G3783">index('Player ID'!C:C,match(E3783,'Player ID'!B:B,0))</f>
        <v>676263</v>
      </c>
    </row>
    <row r="3784">
      <c r="A3784" s="76">
        <v>45777.0</v>
      </c>
      <c r="B3784" s="1" t="s">
        <v>287</v>
      </c>
      <c r="C3784" s="1" t="s">
        <v>72</v>
      </c>
      <c r="D3784" s="1">
        <v>5.1</v>
      </c>
      <c r="E3784" s="1">
        <v>9803.0</v>
      </c>
      <c r="F3784" s="10">
        <f t="shared" si="1"/>
        <v>5.333333333</v>
      </c>
      <c r="G3784" s="10">
        <f t="array" ref="G3784">index('Player ID'!C:C,match(E3784,'Player ID'!B:B,0))</f>
        <v>571945</v>
      </c>
    </row>
    <row r="3785">
      <c r="A3785" s="76">
        <v>45777.0</v>
      </c>
      <c r="B3785" s="1" t="s">
        <v>362</v>
      </c>
      <c r="C3785" s="1" t="s">
        <v>66</v>
      </c>
      <c r="D3785" s="1">
        <v>1.0</v>
      </c>
      <c r="E3785" s="1">
        <v>13449.0</v>
      </c>
      <c r="F3785" s="10">
        <f t="shared" si="1"/>
        <v>1</v>
      </c>
      <c r="G3785" s="10">
        <f t="array" ref="G3785">index('Player ID'!C:C,match(E3785,'Player ID'!B:B,0))</f>
        <v>573124</v>
      </c>
    </row>
    <row r="3786">
      <c r="A3786" s="76">
        <v>45777.0</v>
      </c>
      <c r="B3786" s="1" t="s">
        <v>475</v>
      </c>
      <c r="C3786" s="1" t="s">
        <v>66</v>
      </c>
      <c r="D3786" s="1">
        <v>1.0</v>
      </c>
      <c r="E3786" s="1">
        <v>14993.0</v>
      </c>
      <c r="F3786" s="10">
        <f t="shared" si="1"/>
        <v>1</v>
      </c>
      <c r="G3786" s="10">
        <f t="array" ref="G3786">index('Player ID'!C:C,match(E3786,'Player ID'!B:B,0))</f>
        <v>605130</v>
      </c>
    </row>
    <row r="3787">
      <c r="A3787" s="76">
        <v>45777.0</v>
      </c>
      <c r="B3787" s="1" t="s">
        <v>193</v>
      </c>
      <c r="C3787" s="1" t="s">
        <v>72</v>
      </c>
      <c r="D3787" s="1">
        <v>1.0</v>
      </c>
      <c r="E3787" s="1">
        <v>19574.0</v>
      </c>
      <c r="F3787" s="10">
        <f t="shared" si="1"/>
        <v>1</v>
      </c>
      <c r="G3787" s="10">
        <f t="array" ref="G3787">index('Player ID'!C:C,match(E3787,'Player ID'!B:B,0))</f>
        <v>668941</v>
      </c>
    </row>
    <row r="3788">
      <c r="A3788" s="76">
        <v>45777.0</v>
      </c>
      <c r="B3788" s="1" t="s">
        <v>801</v>
      </c>
      <c r="C3788" s="1" t="s">
        <v>66</v>
      </c>
      <c r="D3788" s="1">
        <v>1.0</v>
      </c>
      <c r="E3788" s="1">
        <v>21132.0</v>
      </c>
      <c r="F3788" s="10">
        <f t="shared" si="1"/>
        <v>1</v>
      </c>
      <c r="G3788" s="10">
        <f t="array" ref="G3788">index('Player ID'!C:C,match(E3788,'Player ID'!B:B,0))</f>
        <v>664747</v>
      </c>
    </row>
    <row r="3789">
      <c r="A3789" s="76">
        <v>45777.0</v>
      </c>
      <c r="B3789" s="1" t="s">
        <v>170</v>
      </c>
      <c r="C3789" s="1" t="s">
        <v>72</v>
      </c>
      <c r="D3789" s="1">
        <v>1.2</v>
      </c>
      <c r="E3789" s="1">
        <v>24763.0</v>
      </c>
      <c r="F3789" s="10">
        <f t="shared" si="1"/>
        <v>1.666666667</v>
      </c>
      <c r="G3789" s="10">
        <f t="array" ref="G3789">index('Player ID'!C:C,match(E3789,'Player ID'!B:B,0))</f>
        <v>681517</v>
      </c>
    </row>
    <row r="3790">
      <c r="A3790" s="76">
        <v>45777.0</v>
      </c>
      <c r="B3790" s="1" t="s">
        <v>353</v>
      </c>
      <c r="C3790" s="1" t="s">
        <v>66</v>
      </c>
      <c r="D3790" s="1">
        <v>6.0</v>
      </c>
      <c r="E3790" s="1">
        <v>25377.0</v>
      </c>
      <c r="F3790" s="10">
        <f t="shared" si="1"/>
        <v>6</v>
      </c>
      <c r="G3790" s="10">
        <f t="array" ref="G3790">index('Player ID'!C:C,match(E3790,'Player ID'!B:B,0))</f>
        <v>663903</v>
      </c>
    </row>
    <row r="3791">
      <c r="A3791" s="76">
        <v>45777.0</v>
      </c>
      <c r="B3791" s="1" t="s">
        <v>223</v>
      </c>
      <c r="C3791" s="1" t="s">
        <v>72</v>
      </c>
      <c r="D3791" s="1">
        <v>1.0</v>
      </c>
      <c r="E3791" s="1">
        <v>29629.0</v>
      </c>
      <c r="F3791" s="10">
        <f t="shared" si="1"/>
        <v>1</v>
      </c>
      <c r="G3791" s="10">
        <f t="array" ref="G3791">index('Player ID'!C:C,match(E3791,'Player ID'!B:B,0))</f>
        <v>694335</v>
      </c>
    </row>
    <row r="3792">
      <c r="A3792" s="76">
        <v>45777.0</v>
      </c>
      <c r="B3792" s="1" t="s">
        <v>439</v>
      </c>
      <c r="C3792" s="1" t="s">
        <v>62</v>
      </c>
      <c r="D3792" s="1">
        <v>1.1</v>
      </c>
      <c r="E3792" s="1">
        <v>11384.0</v>
      </c>
      <c r="F3792" s="10">
        <f t="shared" si="1"/>
        <v>1.333333333</v>
      </c>
      <c r="G3792" s="10">
        <f t="array" ref="G3792">index('Player ID'!C:C,match(E3792,'Player ID'!B:B,0))</f>
        <v>592454</v>
      </c>
    </row>
    <row r="3793">
      <c r="A3793" s="76">
        <v>45777.0</v>
      </c>
      <c r="B3793" s="1" t="s">
        <v>38</v>
      </c>
      <c r="C3793" s="1" t="s">
        <v>39</v>
      </c>
      <c r="D3793" s="1">
        <v>1.0</v>
      </c>
      <c r="E3793" s="1">
        <v>13580.0</v>
      </c>
      <c r="F3793" s="10">
        <f t="shared" si="1"/>
        <v>1</v>
      </c>
      <c r="G3793" s="10">
        <f t="array" ref="G3793">index('Player ID'!C:C,match(E3793,'Player ID'!B:B,0))</f>
        <v>595345</v>
      </c>
    </row>
    <row r="3794">
      <c r="A3794" s="76">
        <v>45777.0</v>
      </c>
      <c r="B3794" s="1" t="s">
        <v>359</v>
      </c>
      <c r="C3794" s="1" t="s">
        <v>39</v>
      </c>
      <c r="D3794" s="1">
        <v>1.0</v>
      </c>
      <c r="E3794" s="1">
        <v>20061.0</v>
      </c>
      <c r="F3794" s="10">
        <f t="shared" si="1"/>
        <v>1</v>
      </c>
      <c r="G3794" s="10">
        <f t="array" ref="G3794">index('Player ID'!C:C,match(E3794,'Player ID'!B:B,0))</f>
        <v>672391</v>
      </c>
    </row>
    <row r="3795">
      <c r="A3795" s="76">
        <v>45777.0</v>
      </c>
      <c r="B3795" s="1" t="s">
        <v>289</v>
      </c>
      <c r="C3795" s="1" t="s">
        <v>62</v>
      </c>
      <c r="D3795" s="1">
        <v>2.0</v>
      </c>
      <c r="E3795" s="1">
        <v>22304.0</v>
      </c>
      <c r="F3795" s="10">
        <f t="shared" si="1"/>
        <v>2</v>
      </c>
      <c r="G3795" s="10">
        <f t="array" ref="G3795">index('Player ID'!C:C,match(E3795,'Player ID'!B:B,0))</f>
        <v>669724</v>
      </c>
    </row>
    <row r="3796">
      <c r="A3796" s="76">
        <v>45777.0</v>
      </c>
      <c r="B3796" s="1" t="s">
        <v>76</v>
      </c>
      <c r="C3796" s="1" t="s">
        <v>39</v>
      </c>
      <c r="D3796" s="1">
        <v>1.0</v>
      </c>
      <c r="E3796" s="1">
        <v>25890.0</v>
      </c>
      <c r="F3796" s="10">
        <f t="shared" si="1"/>
        <v>1</v>
      </c>
      <c r="G3796" s="10">
        <f t="array" ref="G3796">index('Player ID'!C:C,match(E3796,'Player ID'!B:B,0))</f>
        <v>687911</v>
      </c>
    </row>
    <row r="3797">
      <c r="A3797" s="76">
        <v>45777.0</v>
      </c>
      <c r="B3797" s="1" t="s">
        <v>82</v>
      </c>
      <c r="C3797" s="1" t="s">
        <v>62</v>
      </c>
      <c r="D3797" s="1">
        <v>1.2</v>
      </c>
      <c r="E3797" s="1">
        <v>26231.0</v>
      </c>
      <c r="F3797" s="10">
        <f t="shared" si="1"/>
        <v>1.666666667</v>
      </c>
      <c r="G3797" s="10">
        <f t="array" ref="G3797">index('Player ID'!C:C,match(E3797,'Player ID'!B:B,0))</f>
        <v>663947</v>
      </c>
    </row>
    <row r="3798">
      <c r="A3798" s="76">
        <v>45777.0</v>
      </c>
      <c r="B3798" s="1" t="s">
        <v>377</v>
      </c>
      <c r="C3798" s="1" t="s">
        <v>62</v>
      </c>
      <c r="D3798" s="1">
        <v>4.0</v>
      </c>
      <c r="E3798" s="1">
        <v>30203.0</v>
      </c>
      <c r="F3798" s="10">
        <f t="shared" si="1"/>
        <v>4</v>
      </c>
      <c r="G3798" s="10">
        <f t="array" ref="G3798">index('Player ID'!C:C,match(E3798,'Player ID'!B:B,0))</f>
        <v>695549</v>
      </c>
    </row>
    <row r="3799">
      <c r="A3799" s="76">
        <v>45777.0</v>
      </c>
      <c r="B3799" s="1" t="s">
        <v>544</v>
      </c>
      <c r="C3799" s="1" t="s">
        <v>39</v>
      </c>
      <c r="D3799" s="1">
        <v>4.0</v>
      </c>
      <c r="E3799" s="1">
        <v>31764.0</v>
      </c>
      <c r="F3799" s="10">
        <f t="shared" si="1"/>
        <v>4</v>
      </c>
      <c r="G3799" s="10">
        <f t="array" ref="G3799">index('Player ID'!C:C,match(E3799,'Player ID'!B:B,0))</f>
        <v>805123</v>
      </c>
    </row>
    <row r="3800">
      <c r="A3800" s="76">
        <v>45777.0</v>
      </c>
      <c r="B3800" s="1" t="s">
        <v>794</v>
      </c>
      <c r="C3800" s="1" t="s">
        <v>39</v>
      </c>
      <c r="D3800" s="1">
        <v>2.0</v>
      </c>
      <c r="E3800" s="1">
        <v>31884.0</v>
      </c>
      <c r="F3800" s="10">
        <f t="shared" si="1"/>
        <v>2</v>
      </c>
      <c r="G3800" s="10">
        <f t="array" ref="G3800">index('Player ID'!C:C,match(E3800,'Player ID'!B:B,0))</f>
        <v>701121</v>
      </c>
    </row>
    <row r="3801">
      <c r="A3801" s="76">
        <v>45777.0</v>
      </c>
      <c r="B3801" s="1" t="s">
        <v>156</v>
      </c>
      <c r="C3801" s="1" t="s">
        <v>46</v>
      </c>
      <c r="D3801" s="1">
        <v>7.0</v>
      </c>
      <c r="E3801" s="1">
        <v>10603.0</v>
      </c>
      <c r="F3801" s="10">
        <f t="shared" si="1"/>
        <v>7</v>
      </c>
      <c r="G3801" s="10">
        <f t="array" ref="G3801">index('Player ID'!C:C,match(E3801,'Player ID'!B:B,0))</f>
        <v>519242</v>
      </c>
    </row>
    <row r="3802">
      <c r="A3802" s="76">
        <v>45777.0</v>
      </c>
      <c r="B3802" s="1" t="s">
        <v>178</v>
      </c>
      <c r="C3802" s="1" t="s">
        <v>46</v>
      </c>
      <c r="D3802" s="1">
        <v>1.0</v>
      </c>
      <c r="E3802" s="1">
        <v>13435.0</v>
      </c>
      <c r="F3802" s="10">
        <f t="shared" si="1"/>
        <v>1</v>
      </c>
      <c r="G3802" s="10">
        <f t="array" ref="G3802">index('Player ID'!C:C,match(E3802,'Player ID'!B:B,0))</f>
        <v>572955</v>
      </c>
    </row>
    <row r="3803">
      <c r="A3803" s="76">
        <v>45777.0</v>
      </c>
      <c r="B3803" s="1" t="s">
        <v>215</v>
      </c>
      <c r="C3803" s="1" t="s">
        <v>75</v>
      </c>
      <c r="D3803" s="1">
        <v>1.1</v>
      </c>
      <c r="E3803" s="1">
        <v>21267.0</v>
      </c>
      <c r="F3803" s="10">
        <f t="shared" si="1"/>
        <v>1.333333333</v>
      </c>
      <c r="G3803" s="10">
        <f t="array" ref="G3803">index('Player ID'!C:C,match(E3803,'Player ID'!B:B,0))</f>
        <v>656234</v>
      </c>
    </row>
    <row r="3804">
      <c r="A3804" s="76">
        <v>45777.0</v>
      </c>
      <c r="B3804" s="1" t="s">
        <v>512</v>
      </c>
      <c r="C3804" s="1" t="s">
        <v>75</v>
      </c>
      <c r="D3804" s="1">
        <v>1.0</v>
      </c>
      <c r="E3804" s="1">
        <v>31552.0</v>
      </c>
      <c r="F3804" s="10">
        <f t="shared" si="1"/>
        <v>1</v>
      </c>
      <c r="G3804" s="10">
        <f t="array" ref="G3804">index('Player ID'!C:C,match(E3804,'Player ID'!B:B,0))</f>
        <v>688642</v>
      </c>
    </row>
    <row r="3805">
      <c r="A3805" s="76">
        <v>45777.0</v>
      </c>
      <c r="B3805" s="1" t="s">
        <v>488</v>
      </c>
      <c r="C3805" s="1" t="s">
        <v>75</v>
      </c>
      <c r="D3805" s="1">
        <v>1.0</v>
      </c>
      <c r="E3805" s="1">
        <v>33294.0</v>
      </c>
      <c r="F3805" s="10">
        <f t="shared" si="1"/>
        <v>1</v>
      </c>
      <c r="G3805" s="10">
        <f t="array" ref="G3805">index('Player ID'!C:C,match(E3805,'Player ID'!B:B,0))</f>
        <v>678020</v>
      </c>
    </row>
    <row r="3806">
      <c r="A3806" s="76">
        <v>45777.0</v>
      </c>
      <c r="B3806" s="1" t="s">
        <v>495</v>
      </c>
      <c r="C3806" s="1" t="s">
        <v>75</v>
      </c>
      <c r="D3806" s="1">
        <v>5.2</v>
      </c>
      <c r="E3806" s="1">
        <v>33482.0</v>
      </c>
      <c r="F3806" s="10">
        <f t="shared" si="1"/>
        <v>5.666666667</v>
      </c>
      <c r="G3806" s="10">
        <f t="array" ref="G3806">index('Player ID'!C:C,match(E3806,'Player ID'!B:B,0))</f>
        <v>801403</v>
      </c>
    </row>
    <row r="3807">
      <c r="A3807" s="76">
        <v>45777.0</v>
      </c>
      <c r="B3807" s="1" t="s">
        <v>310</v>
      </c>
      <c r="C3807" s="1" t="s">
        <v>33</v>
      </c>
      <c r="D3807" s="1">
        <v>1.0</v>
      </c>
      <c r="E3807" s="1">
        <v>14706.0</v>
      </c>
      <c r="F3807" s="10">
        <f t="shared" si="1"/>
        <v>1</v>
      </c>
      <c r="G3807" s="10">
        <f t="array" ref="G3807">index('Player ID'!C:C,match(E3807,'Player ID'!B:B,0))</f>
        <v>607455</v>
      </c>
    </row>
    <row r="3808">
      <c r="A3808" s="76">
        <v>45777.0</v>
      </c>
      <c r="B3808" s="1" t="s">
        <v>661</v>
      </c>
      <c r="C3808" s="1" t="s">
        <v>36</v>
      </c>
      <c r="D3808" s="1">
        <v>0.1</v>
      </c>
      <c r="E3808" s="1">
        <v>16300.0</v>
      </c>
      <c r="F3808" s="10">
        <f t="shared" si="1"/>
        <v>0.3333333333</v>
      </c>
      <c r="G3808" s="10">
        <f t="array" ref="G3808">index('Player ID'!C:C,match(E3808,'Player ID'!B:B,0))</f>
        <v>622786</v>
      </c>
    </row>
    <row r="3809">
      <c r="A3809" s="76">
        <v>45777.0</v>
      </c>
      <c r="B3809" s="1" t="s">
        <v>241</v>
      </c>
      <c r="C3809" s="1" t="s">
        <v>36</v>
      </c>
      <c r="D3809" s="1">
        <v>1.0</v>
      </c>
      <c r="E3809" s="1">
        <v>19222.0</v>
      </c>
      <c r="F3809" s="10">
        <f t="shared" si="1"/>
        <v>1</v>
      </c>
      <c r="G3809" s="10">
        <f t="array" ref="G3809">index('Player ID'!C:C,match(E3809,'Player ID'!B:B,0))</f>
        <v>669199</v>
      </c>
    </row>
    <row r="3810">
      <c r="A3810" s="76">
        <v>45777.0</v>
      </c>
      <c r="B3810" s="1" t="s">
        <v>464</v>
      </c>
      <c r="C3810" s="1" t="s">
        <v>36</v>
      </c>
      <c r="D3810" s="1">
        <v>3.2</v>
      </c>
      <c r="E3810" s="1">
        <v>19312.0</v>
      </c>
      <c r="F3810" s="10">
        <f t="shared" si="1"/>
        <v>3.666666667</v>
      </c>
      <c r="G3810" s="10">
        <f t="array" ref="G3810">index('Player ID'!C:C,match(E3810,'Player ID'!B:B,0))</f>
        <v>615698</v>
      </c>
    </row>
    <row r="3811">
      <c r="A3811" s="76">
        <v>45777.0</v>
      </c>
      <c r="B3811" s="1" t="s">
        <v>459</v>
      </c>
      <c r="C3811" s="1" t="s">
        <v>33</v>
      </c>
      <c r="D3811" s="1">
        <v>6.0</v>
      </c>
      <c r="E3811" s="1">
        <v>19388.0</v>
      </c>
      <c r="F3811" s="10">
        <f t="shared" si="1"/>
        <v>6</v>
      </c>
      <c r="G3811" s="10">
        <f t="array" ref="G3811">index('Player ID'!C:C,match(E3811,'Player ID'!B:B,0))</f>
        <v>664062</v>
      </c>
    </row>
    <row r="3812">
      <c r="A3812" s="76">
        <v>45777.0</v>
      </c>
      <c r="B3812" s="1" t="s">
        <v>89</v>
      </c>
      <c r="C3812" s="1" t="s">
        <v>36</v>
      </c>
      <c r="D3812" s="1">
        <v>1.0</v>
      </c>
      <c r="E3812" s="1">
        <v>19742.0</v>
      </c>
      <c r="F3812" s="10">
        <f t="shared" si="1"/>
        <v>1</v>
      </c>
      <c r="G3812" s="10">
        <f t="array" ref="G3812">index('Player ID'!C:C,match(E3812,'Player ID'!B:B,0))</f>
        <v>669622</v>
      </c>
    </row>
    <row r="3813">
      <c r="A3813" s="76">
        <v>45777.0</v>
      </c>
      <c r="B3813" s="1" t="s">
        <v>691</v>
      </c>
      <c r="C3813" s="1" t="s">
        <v>33</v>
      </c>
      <c r="D3813" s="1">
        <v>1.0</v>
      </c>
      <c r="E3813" s="1">
        <v>22872.0</v>
      </c>
      <c r="F3813" s="10">
        <f t="shared" si="1"/>
        <v>1</v>
      </c>
      <c r="G3813" s="10">
        <f t="array" ref="G3813">index('Player ID'!C:C,match(E3813,'Player ID'!B:B,0))</f>
        <v>672782</v>
      </c>
    </row>
    <row r="3814">
      <c r="A3814" s="76">
        <v>45777.0</v>
      </c>
      <c r="B3814" s="1" t="s">
        <v>754</v>
      </c>
      <c r="C3814" s="1" t="s">
        <v>36</v>
      </c>
      <c r="D3814" s="1">
        <v>1.0</v>
      </c>
      <c r="E3814" s="1">
        <v>23811.0</v>
      </c>
      <c r="F3814" s="10">
        <f t="shared" si="1"/>
        <v>1</v>
      </c>
      <c r="G3814" s="10">
        <f t="array" ref="G3814">index('Player ID'!C:C,match(E3814,'Player ID'!B:B,0))</f>
        <v>678215</v>
      </c>
    </row>
    <row r="3815">
      <c r="A3815" s="76">
        <v>45777.0</v>
      </c>
      <c r="B3815" s="1" t="s">
        <v>92</v>
      </c>
      <c r="C3815" s="1" t="s">
        <v>33</v>
      </c>
      <c r="D3815" s="1">
        <v>1.0</v>
      </c>
      <c r="E3815" s="1">
        <v>25007.0</v>
      </c>
      <c r="F3815" s="10">
        <f t="shared" si="1"/>
        <v>1</v>
      </c>
      <c r="G3815" s="10">
        <f t="array" ref="G3815">index('Player ID'!C:C,match(E3815,'Player ID'!B:B,0))</f>
        <v>681911</v>
      </c>
    </row>
    <row r="3816">
      <c r="A3816" s="76">
        <v>45777.0</v>
      </c>
      <c r="B3816" s="1" t="s">
        <v>676</v>
      </c>
      <c r="C3816" s="1" t="s">
        <v>36</v>
      </c>
      <c r="D3816" s="1">
        <v>1.0</v>
      </c>
      <c r="E3816" s="1">
        <v>27453.0</v>
      </c>
      <c r="F3816" s="10">
        <f t="shared" si="1"/>
        <v>1</v>
      </c>
      <c r="G3816" s="10">
        <f t="array" ref="G3816">index('Player ID'!C:C,match(E3816,'Player ID'!B:B,0))</f>
        <v>685107</v>
      </c>
    </row>
    <row r="3817">
      <c r="A3817" s="76">
        <v>45777.0</v>
      </c>
      <c r="B3817" s="1" t="s">
        <v>278</v>
      </c>
      <c r="C3817" s="1" t="s">
        <v>25</v>
      </c>
      <c r="D3817" s="1">
        <v>6.0</v>
      </c>
      <c r="E3817" s="1">
        <v>12880.0</v>
      </c>
      <c r="F3817" s="10">
        <f t="shared" si="1"/>
        <v>6</v>
      </c>
      <c r="G3817" s="10">
        <f t="array" ref="G3817">index('Player ID'!C:C,match(E3817,'Player ID'!B:B,0))</f>
        <v>542881</v>
      </c>
    </row>
    <row r="3818">
      <c r="A3818" s="76">
        <v>45777.0</v>
      </c>
      <c r="B3818" s="1" t="s">
        <v>157</v>
      </c>
      <c r="C3818" s="1" t="s">
        <v>37</v>
      </c>
      <c r="D3818" s="1">
        <v>1.0</v>
      </c>
      <c r="E3818" s="1">
        <v>20997.0</v>
      </c>
      <c r="F3818" s="10">
        <f t="shared" si="1"/>
        <v>1</v>
      </c>
      <c r="G3818" s="10">
        <f t="array" ref="G3818">index('Player ID'!C:C,match(E3818,'Player ID'!B:B,0))</f>
        <v>660825</v>
      </c>
    </row>
    <row r="3819">
      <c r="A3819" s="76">
        <v>45777.0</v>
      </c>
      <c r="B3819" s="1" t="s">
        <v>340</v>
      </c>
      <c r="C3819" s="1" t="s">
        <v>37</v>
      </c>
      <c r="D3819" s="1">
        <v>1.0</v>
      </c>
      <c r="E3819" s="1">
        <v>25921.0</v>
      </c>
      <c r="F3819" s="10">
        <f t="shared" si="1"/>
        <v>1</v>
      </c>
      <c r="G3819" s="10">
        <f t="array" ref="G3819">index('Player ID'!C:C,match(E3819,'Player ID'!B:B,0))</f>
        <v>668984</v>
      </c>
    </row>
    <row r="3820">
      <c r="A3820" s="76">
        <v>45777.0</v>
      </c>
      <c r="B3820" s="1" t="s">
        <v>24</v>
      </c>
      <c r="C3820" s="1" t="s">
        <v>25</v>
      </c>
      <c r="D3820" s="1">
        <v>0.0</v>
      </c>
      <c r="E3820" s="1">
        <v>27468.0</v>
      </c>
      <c r="F3820" s="10">
        <f t="shared" si="1"/>
        <v>0</v>
      </c>
      <c r="G3820" s="10">
        <f t="array" ref="G3820">index('Player ID'!C:C,match(E3820,'Player ID'!B:B,0))</f>
        <v>672282</v>
      </c>
    </row>
    <row r="3821">
      <c r="A3821" s="76">
        <v>45777.0</v>
      </c>
      <c r="B3821" s="1" t="s">
        <v>509</v>
      </c>
      <c r="C3821" s="1" t="s">
        <v>37</v>
      </c>
      <c r="D3821" s="1">
        <v>6.0</v>
      </c>
      <c r="E3821" s="1">
        <v>27470.0</v>
      </c>
      <c r="F3821" s="10">
        <f t="shared" si="1"/>
        <v>6</v>
      </c>
      <c r="G3821" s="10">
        <f t="array" ref="G3821">index('Player ID'!C:C,match(E3821,'Player ID'!B:B,0))</f>
        <v>676106</v>
      </c>
    </row>
    <row r="3822">
      <c r="A3822" s="76">
        <v>45777.0</v>
      </c>
      <c r="B3822" s="1" t="s">
        <v>604</v>
      </c>
      <c r="C3822" s="1" t="s">
        <v>25</v>
      </c>
      <c r="D3822" s="1">
        <v>1.0</v>
      </c>
      <c r="E3822" s="1">
        <v>27590.0</v>
      </c>
      <c r="F3822" s="10">
        <f t="shared" si="1"/>
        <v>1</v>
      </c>
      <c r="G3822" s="10">
        <f t="array" ref="G3822">index('Player ID'!C:C,match(E3822,'Player ID'!B:B,0))</f>
        <v>671109</v>
      </c>
    </row>
    <row r="3823">
      <c r="A3823" s="76">
        <v>45777.0</v>
      </c>
      <c r="B3823" s="1" t="s">
        <v>804</v>
      </c>
      <c r="C3823" s="1" t="s">
        <v>37</v>
      </c>
      <c r="D3823" s="1">
        <v>1.0</v>
      </c>
      <c r="E3823" s="1">
        <v>31883.0</v>
      </c>
      <c r="F3823" s="10">
        <f t="shared" si="1"/>
        <v>1</v>
      </c>
      <c r="G3823" s="10">
        <f t="array" ref="G3823">index('Player ID'!C:C,match(E3823,'Player ID'!B:B,0))</f>
        <v>700187</v>
      </c>
    </row>
    <row r="3824">
      <c r="A3824" s="76">
        <v>45777.0</v>
      </c>
      <c r="B3824" s="1" t="s">
        <v>659</v>
      </c>
      <c r="C3824" s="1" t="s">
        <v>25</v>
      </c>
      <c r="D3824" s="1">
        <v>1.0</v>
      </c>
      <c r="E3824" s="1">
        <v>35325.0</v>
      </c>
      <c r="F3824" s="10">
        <f t="shared" si="1"/>
        <v>1</v>
      </c>
      <c r="G3824" s="10">
        <f t="array" ref="G3824">index('Player ID'!C:C,match(E3824,'Player ID'!B:B,0))</f>
        <v>696270</v>
      </c>
    </row>
    <row r="3825">
      <c r="A3825" s="76">
        <v>45777.0</v>
      </c>
      <c r="B3825" s="1" t="s">
        <v>342</v>
      </c>
      <c r="C3825" s="1" t="s">
        <v>26</v>
      </c>
      <c r="D3825" s="1">
        <v>1.0</v>
      </c>
      <c r="E3825" s="1">
        <v>11861.0</v>
      </c>
      <c r="F3825" s="10">
        <f t="shared" si="1"/>
        <v>1</v>
      </c>
      <c r="G3825" s="10">
        <f t="array" ref="G3825">index('Player ID'!C:C,match(E3825,'Player ID'!B:B,0))</f>
        <v>592094</v>
      </c>
    </row>
    <row r="3826">
      <c r="A3826" s="76">
        <v>45777.0</v>
      </c>
      <c r="B3826" s="1" t="s">
        <v>20</v>
      </c>
      <c r="C3826" s="1" t="s">
        <v>31</v>
      </c>
      <c r="D3826" s="1">
        <v>1.0</v>
      </c>
      <c r="E3826" s="1">
        <v>15541.0</v>
      </c>
      <c r="F3826" s="10">
        <f t="shared" si="1"/>
        <v>1</v>
      </c>
      <c r="G3826" s="10">
        <f t="array" ref="G3826">index('Player ID'!C:C,match(E3826,'Player ID'!B:B,0))</f>
        <v>643511</v>
      </c>
    </row>
    <row r="3827">
      <c r="A3827" s="76">
        <v>45777.0</v>
      </c>
      <c r="B3827" s="1" t="s">
        <v>207</v>
      </c>
      <c r="C3827" s="1" t="s">
        <v>26</v>
      </c>
      <c r="D3827" s="1">
        <v>5.2</v>
      </c>
      <c r="E3827" s="1">
        <v>19853.0</v>
      </c>
      <c r="F3827" s="10">
        <f t="shared" si="1"/>
        <v>5.666666667</v>
      </c>
      <c r="G3827" s="10">
        <f t="array" ref="G3827">index('Player ID'!C:C,match(E3827,'Player ID'!B:B,0))</f>
        <v>650633</v>
      </c>
    </row>
    <row r="3828">
      <c r="A3828" s="76">
        <v>45777.0</v>
      </c>
      <c r="B3828" s="1" t="s">
        <v>49</v>
      </c>
      <c r="C3828" s="1" t="s">
        <v>26</v>
      </c>
      <c r="D3828" s="1">
        <v>0.2</v>
      </c>
      <c r="E3828" s="1">
        <v>20039.0</v>
      </c>
      <c r="F3828" s="10">
        <f t="shared" si="1"/>
        <v>0.6666666667</v>
      </c>
      <c r="G3828" s="10">
        <f t="array" ref="G3828">index('Player ID'!C:C,match(E3828,'Player ID'!B:B,0))</f>
        <v>670970</v>
      </c>
    </row>
    <row r="3829">
      <c r="A3829" s="76">
        <v>45777.0</v>
      </c>
      <c r="B3829" s="1" t="s">
        <v>304</v>
      </c>
      <c r="C3829" s="1" t="s">
        <v>31</v>
      </c>
      <c r="D3829" s="1">
        <v>1.0</v>
      </c>
      <c r="E3829" s="1">
        <v>21992.0</v>
      </c>
      <c r="F3829" s="10">
        <f t="shared" si="1"/>
        <v>1</v>
      </c>
      <c r="G3829" s="10">
        <f t="array" ref="G3829">index('Player ID'!C:C,match(E3829,'Player ID'!B:B,0))</f>
        <v>666808</v>
      </c>
    </row>
    <row r="3830">
      <c r="A3830" s="76">
        <v>45777.0</v>
      </c>
      <c r="B3830" s="1" t="s">
        <v>94</v>
      </c>
      <c r="C3830" s="1" t="s">
        <v>26</v>
      </c>
      <c r="D3830" s="1">
        <v>0.2</v>
      </c>
      <c r="E3830" s="1">
        <v>22210.0</v>
      </c>
      <c r="F3830" s="10">
        <f t="shared" si="1"/>
        <v>0.6666666667</v>
      </c>
      <c r="G3830" s="10">
        <f t="array" ref="G3830">index('Player ID'!C:C,match(E3830,'Player ID'!B:B,0))</f>
        <v>669093</v>
      </c>
    </row>
    <row r="3831">
      <c r="A3831" s="76">
        <v>45777.0</v>
      </c>
      <c r="B3831" s="1" t="s">
        <v>209</v>
      </c>
      <c r="C3831" s="1" t="s">
        <v>31</v>
      </c>
      <c r="D3831" s="1">
        <v>4.1</v>
      </c>
      <c r="E3831" s="1">
        <v>30076.0</v>
      </c>
      <c r="F3831" s="10">
        <f t="shared" si="1"/>
        <v>4.333333333</v>
      </c>
      <c r="G3831" s="10">
        <f t="array" ref="G3831">index('Player ID'!C:C,match(E3831,'Player ID'!B:B,0))</f>
        <v>694738</v>
      </c>
    </row>
    <row r="3832">
      <c r="A3832" s="76">
        <v>45777.0</v>
      </c>
      <c r="B3832" s="1" t="s">
        <v>81</v>
      </c>
      <c r="C3832" s="1" t="s">
        <v>26</v>
      </c>
      <c r="D3832" s="1">
        <v>1.0</v>
      </c>
      <c r="E3832" s="1">
        <v>30115.0</v>
      </c>
      <c r="F3832" s="10">
        <f t="shared" si="1"/>
        <v>1</v>
      </c>
      <c r="G3832" s="10">
        <f t="array" ref="G3832">index('Player ID'!C:C,match(E3832,'Player ID'!B:B,0))</f>
        <v>663158</v>
      </c>
    </row>
    <row r="3833">
      <c r="A3833" s="76">
        <v>45777.0</v>
      </c>
      <c r="B3833" s="1" t="s">
        <v>276</v>
      </c>
      <c r="C3833" s="1" t="s">
        <v>31</v>
      </c>
      <c r="D3833" s="1">
        <v>1.2</v>
      </c>
      <c r="E3833" s="1">
        <v>30226.0</v>
      </c>
      <c r="F3833" s="10">
        <f t="shared" si="1"/>
        <v>1.666666667</v>
      </c>
      <c r="G3833" s="10">
        <f t="array" ref="G3833">index('Player ID'!C:C,match(E3833,'Player ID'!B:B,0))</f>
        <v>702352</v>
      </c>
    </row>
    <row r="3834">
      <c r="A3834" s="76">
        <v>45777.0</v>
      </c>
      <c r="B3834" s="1" t="s">
        <v>435</v>
      </c>
      <c r="C3834" s="1" t="s">
        <v>16</v>
      </c>
      <c r="D3834" s="1">
        <v>1.0</v>
      </c>
      <c r="E3834" s="1">
        <v>13293.0</v>
      </c>
      <c r="F3834" s="10">
        <f t="shared" si="1"/>
        <v>1</v>
      </c>
      <c r="G3834" s="10">
        <f t="array" ref="G3834">index('Player ID'!C:C,match(E3834,'Player ID'!B:B,0))</f>
        <v>543056</v>
      </c>
    </row>
    <row r="3835">
      <c r="A3835" s="76">
        <v>45777.0</v>
      </c>
      <c r="B3835" s="1" t="s">
        <v>249</v>
      </c>
      <c r="C3835" s="1" t="s">
        <v>16</v>
      </c>
      <c r="D3835" s="1">
        <v>0.2</v>
      </c>
      <c r="E3835" s="1">
        <v>16727.0</v>
      </c>
      <c r="F3835" s="10">
        <f t="shared" si="1"/>
        <v>0.6666666667</v>
      </c>
      <c r="G3835" s="10">
        <f t="array" ref="G3835">index('Player ID'!C:C,match(E3835,'Player ID'!B:B,0))</f>
        <v>592779</v>
      </c>
    </row>
    <row r="3836">
      <c r="A3836" s="76">
        <v>45777.0</v>
      </c>
      <c r="B3836" s="1" t="s">
        <v>664</v>
      </c>
      <c r="C3836" s="1" t="s">
        <v>16</v>
      </c>
      <c r="D3836" s="1">
        <v>6.1</v>
      </c>
      <c r="E3836" s="1">
        <v>17085.0</v>
      </c>
      <c r="F3836" s="10">
        <f t="shared" si="1"/>
        <v>6.333333333</v>
      </c>
      <c r="G3836" s="10">
        <f t="array" ref="G3836">index('Player ID'!C:C,match(E3836,'Player ID'!B:B,0))</f>
        <v>641154</v>
      </c>
    </row>
    <row r="3837">
      <c r="A3837" s="76">
        <v>45777.0</v>
      </c>
      <c r="B3837" s="1" t="s">
        <v>132</v>
      </c>
      <c r="C3837" s="1" t="s">
        <v>70</v>
      </c>
      <c r="D3837" s="1">
        <v>1.0</v>
      </c>
      <c r="E3837" s="1">
        <v>21032.0</v>
      </c>
      <c r="F3837" s="10">
        <f t="shared" si="1"/>
        <v>1</v>
      </c>
      <c r="G3837" s="10">
        <f t="array" ref="G3837">index('Player ID'!C:C,match(E3837,'Player ID'!B:B,0))</f>
        <v>661403</v>
      </c>
    </row>
    <row r="3838">
      <c r="A3838" s="76">
        <v>45777.0</v>
      </c>
      <c r="B3838" s="1" t="s">
        <v>238</v>
      </c>
      <c r="C3838" s="1" t="s">
        <v>70</v>
      </c>
      <c r="D3838" s="1">
        <v>1.0</v>
      </c>
      <c r="E3838" s="1">
        <v>25636.0</v>
      </c>
      <c r="F3838" s="10">
        <f t="shared" si="1"/>
        <v>1</v>
      </c>
      <c r="G3838" s="10">
        <f t="array" ref="G3838">index('Player ID'!C:C,match(E3838,'Player ID'!B:B,0))</f>
        <v>683769</v>
      </c>
    </row>
    <row r="3839">
      <c r="A3839" s="76">
        <v>45777.0</v>
      </c>
      <c r="B3839" s="1" t="s">
        <v>484</v>
      </c>
      <c r="C3839" s="1" t="s">
        <v>70</v>
      </c>
      <c r="D3839" s="1">
        <v>6.1</v>
      </c>
      <c r="E3839" s="1">
        <v>27646.0</v>
      </c>
      <c r="F3839" s="10">
        <f t="shared" si="1"/>
        <v>6.333333333</v>
      </c>
      <c r="G3839" s="10">
        <f t="array" ref="G3839">index('Player ID'!C:C,match(E3839,'Player ID'!B:B,0))</f>
        <v>682847</v>
      </c>
    </row>
    <row r="3840">
      <c r="A3840" s="76">
        <v>45777.0</v>
      </c>
      <c r="B3840" s="1" t="s">
        <v>135</v>
      </c>
      <c r="C3840" s="1" t="s">
        <v>70</v>
      </c>
      <c r="D3840" s="1">
        <v>0.2</v>
      </c>
      <c r="E3840" s="1">
        <v>27867.0</v>
      </c>
      <c r="F3840" s="10">
        <f t="shared" si="1"/>
        <v>0.6666666667</v>
      </c>
      <c r="G3840" s="10">
        <f t="array" ref="G3840">index('Player ID'!C:C,match(E3840,'Player ID'!B:B,0))</f>
        <v>671922</v>
      </c>
    </row>
    <row r="3841">
      <c r="A3841" s="76">
        <v>45777.0</v>
      </c>
      <c r="B3841" s="1" t="s">
        <v>324</v>
      </c>
      <c r="C3841" s="1" t="s">
        <v>58</v>
      </c>
      <c r="D3841" s="1">
        <v>3.1</v>
      </c>
      <c r="E3841" s="1">
        <v>6632.0</v>
      </c>
      <c r="F3841" s="10">
        <f t="shared" si="1"/>
        <v>3.333333333</v>
      </c>
      <c r="G3841" s="10">
        <f t="array" ref="G3841">index('Player ID'!C:C,match(E3841,'Player ID'!B:B,0))</f>
        <v>471911</v>
      </c>
    </row>
    <row r="3842">
      <c r="A3842" s="76">
        <v>45777.0</v>
      </c>
      <c r="B3842" s="1" t="s">
        <v>422</v>
      </c>
      <c r="C3842" s="1" t="s">
        <v>58</v>
      </c>
      <c r="D3842" s="1">
        <v>1.2</v>
      </c>
      <c r="E3842" s="1">
        <v>7048.0</v>
      </c>
      <c r="F3842" s="10">
        <f t="shared" si="1"/>
        <v>1.666666667</v>
      </c>
      <c r="G3842" s="10">
        <f t="array" ref="G3842">index('Player ID'!C:C,match(E3842,'Player ID'!B:B,0))</f>
        <v>518585</v>
      </c>
    </row>
    <row r="3843">
      <c r="A3843" s="76">
        <v>45777.0</v>
      </c>
      <c r="B3843" s="1" t="s">
        <v>467</v>
      </c>
      <c r="C3843" s="1" t="s">
        <v>58</v>
      </c>
      <c r="D3843" s="1">
        <v>1.0</v>
      </c>
      <c r="E3843" s="1">
        <v>15551.0</v>
      </c>
      <c r="F3843" s="10">
        <f t="shared" si="1"/>
        <v>1</v>
      </c>
      <c r="G3843" s="10">
        <f t="array" ref="G3843">index('Player ID'!C:C,match(E3843,'Player ID'!B:B,0))</f>
        <v>643410</v>
      </c>
    </row>
    <row r="3844">
      <c r="A3844" s="76">
        <v>45777.0</v>
      </c>
      <c r="B3844" s="1" t="s">
        <v>114</v>
      </c>
      <c r="C3844" s="1" t="s">
        <v>58</v>
      </c>
      <c r="D3844" s="1">
        <v>1.0</v>
      </c>
      <c r="E3844" s="1">
        <v>15816.0</v>
      </c>
      <c r="F3844" s="10">
        <f t="shared" si="1"/>
        <v>1</v>
      </c>
      <c r="G3844" s="10">
        <f t="array" ref="G3844">index('Player ID'!C:C,match(E3844,'Player ID'!B:B,0))</f>
        <v>642207</v>
      </c>
    </row>
    <row r="3845">
      <c r="A3845" s="76">
        <v>45777.0</v>
      </c>
      <c r="B3845" s="1" t="s">
        <v>69</v>
      </c>
      <c r="C3845" s="1" t="s">
        <v>58</v>
      </c>
      <c r="D3845" s="1">
        <v>1.0</v>
      </c>
      <c r="E3845" s="1">
        <v>16814.0</v>
      </c>
      <c r="F3845" s="10">
        <f t="shared" si="1"/>
        <v>1</v>
      </c>
      <c r="G3845" s="10">
        <f t="array" ref="G3845">index('Player ID'!C:C,match(E3845,'Player ID'!B:B,0))</f>
        <v>657612</v>
      </c>
    </row>
    <row r="3846">
      <c r="A3846" s="76">
        <v>45777.0</v>
      </c>
      <c r="B3846" s="1" t="s">
        <v>639</v>
      </c>
      <c r="C3846" s="1" t="s">
        <v>68</v>
      </c>
      <c r="D3846" s="1">
        <v>0.1</v>
      </c>
      <c r="E3846" s="1">
        <v>19249.0</v>
      </c>
      <c r="F3846" s="10">
        <f t="shared" si="1"/>
        <v>0.3333333333</v>
      </c>
      <c r="G3846" s="10">
        <f t="array" ref="G3846">index('Player ID'!C:C,match(E3846,'Player ID'!B:B,0))</f>
        <v>622554</v>
      </c>
    </row>
    <row r="3847">
      <c r="A3847" s="76">
        <v>45777.0</v>
      </c>
      <c r="B3847" s="1" t="s">
        <v>231</v>
      </c>
      <c r="C3847" s="1" t="s">
        <v>68</v>
      </c>
      <c r="D3847" s="1">
        <v>1.0</v>
      </c>
      <c r="E3847" s="1">
        <v>19362.0</v>
      </c>
      <c r="F3847" s="10">
        <f t="shared" si="1"/>
        <v>1</v>
      </c>
      <c r="G3847" s="10">
        <f t="array" ref="G3847">index('Player ID'!C:C,match(E3847,'Player ID'!B:B,0))</f>
        <v>669211</v>
      </c>
    </row>
    <row r="3848">
      <c r="A3848" s="76">
        <v>45777.0</v>
      </c>
      <c r="B3848" s="1" t="s">
        <v>433</v>
      </c>
      <c r="C3848" s="1" t="s">
        <v>68</v>
      </c>
      <c r="D3848" s="1">
        <v>0.1</v>
      </c>
      <c r="E3848" s="1">
        <v>19677.0</v>
      </c>
      <c r="F3848" s="10">
        <f t="shared" si="1"/>
        <v>0.3333333333</v>
      </c>
      <c r="G3848" s="10">
        <f t="array" ref="G3848">index('Player ID'!C:C,match(E3848,'Player ID'!B:B,0))</f>
        <v>642397</v>
      </c>
    </row>
    <row r="3849">
      <c r="A3849" s="76">
        <v>45777.0</v>
      </c>
      <c r="B3849" s="1" t="s">
        <v>240</v>
      </c>
      <c r="C3849" s="1" t="s">
        <v>68</v>
      </c>
      <c r="D3849" s="1">
        <v>1.0</v>
      </c>
      <c r="E3849" s="1">
        <v>19804.0</v>
      </c>
      <c r="F3849" s="10">
        <f t="shared" si="1"/>
        <v>1</v>
      </c>
      <c r="G3849" s="10">
        <f t="array" ref="G3849">index('Player ID'!C:C,match(E3849,'Player ID'!B:B,0))</f>
        <v>641329</v>
      </c>
    </row>
    <row r="3850">
      <c r="A3850" s="76">
        <v>45777.0</v>
      </c>
      <c r="B3850" s="1" t="s">
        <v>698</v>
      </c>
      <c r="C3850" s="1" t="s">
        <v>68</v>
      </c>
      <c r="D3850" s="1">
        <v>1.0</v>
      </c>
      <c r="E3850" s="1">
        <v>20666.0</v>
      </c>
      <c r="F3850" s="10">
        <f t="shared" si="1"/>
        <v>1</v>
      </c>
      <c r="G3850" s="10">
        <f t="array" ref="G3850">index('Player ID'!C:C,match(E3850,'Player ID'!B:B,0))</f>
        <v>642585</v>
      </c>
    </row>
    <row r="3851">
      <c r="A3851" s="76">
        <v>45777.0</v>
      </c>
      <c r="B3851" s="1" t="s">
        <v>235</v>
      </c>
      <c r="C3851" s="1" t="s">
        <v>68</v>
      </c>
      <c r="D3851" s="1">
        <v>0.2</v>
      </c>
      <c r="E3851" s="1">
        <v>25911.0</v>
      </c>
      <c r="F3851" s="10">
        <f t="shared" si="1"/>
        <v>0.6666666667</v>
      </c>
      <c r="G3851" s="10">
        <f t="array" ref="G3851">index('Player ID'!C:C,match(E3851,'Player ID'!B:B,0))</f>
        <v>666974</v>
      </c>
    </row>
    <row r="3852">
      <c r="A3852" s="76">
        <v>45777.0</v>
      </c>
      <c r="B3852" s="1" t="s">
        <v>347</v>
      </c>
      <c r="C3852" s="1" t="s">
        <v>68</v>
      </c>
      <c r="D3852" s="1">
        <v>4.2</v>
      </c>
      <c r="E3852" s="1">
        <v>30055.0</v>
      </c>
      <c r="F3852" s="10">
        <f t="shared" si="1"/>
        <v>4.666666667</v>
      </c>
      <c r="G3852" s="10">
        <f t="array" ref="G3852">index('Player ID'!C:C,match(E3852,'Player ID'!B:B,0))</f>
        <v>700249</v>
      </c>
    </row>
    <row r="3853">
      <c r="A3853" s="76">
        <v>45777.0</v>
      </c>
      <c r="B3853" s="1" t="s">
        <v>71</v>
      </c>
      <c r="C3853" s="1" t="s">
        <v>34</v>
      </c>
      <c r="D3853" s="1">
        <v>0.1</v>
      </c>
      <c r="E3853" s="1">
        <v>10078.0</v>
      </c>
      <c r="F3853" s="10">
        <f t="shared" si="1"/>
        <v>0.3333333333</v>
      </c>
      <c r="G3853" s="10">
        <f t="array" ref="G3853">index('Player ID'!C:C,match(E3853,'Player ID'!B:B,0))</f>
        <v>573204</v>
      </c>
    </row>
    <row r="3854">
      <c r="A3854" s="76">
        <v>45777.0</v>
      </c>
      <c r="B3854" s="1" t="s">
        <v>203</v>
      </c>
      <c r="C3854" s="1" t="s">
        <v>34</v>
      </c>
      <c r="D3854" s="1">
        <v>1.0</v>
      </c>
      <c r="E3854" s="1">
        <v>11426.0</v>
      </c>
      <c r="F3854" s="10">
        <f t="shared" si="1"/>
        <v>1</v>
      </c>
      <c r="G3854" s="10">
        <f t="array" ref="G3854">index('Player ID'!C:C,match(E3854,'Player ID'!B:B,0))</f>
        <v>519141</v>
      </c>
    </row>
    <row r="3855">
      <c r="A3855" s="76">
        <v>45777.0</v>
      </c>
      <c r="B3855" s="1" t="s">
        <v>246</v>
      </c>
      <c r="C3855" s="1" t="s">
        <v>34</v>
      </c>
      <c r="D3855" s="1">
        <v>5.0</v>
      </c>
      <c r="E3855" s="1">
        <v>15440.0</v>
      </c>
      <c r="F3855" s="10">
        <f t="shared" si="1"/>
        <v>5</v>
      </c>
      <c r="G3855" s="10">
        <f t="array" ref="G3855">index('Player ID'!C:C,match(E3855,'Player ID'!B:B,0))</f>
        <v>571510</v>
      </c>
    </row>
    <row r="3856">
      <c r="A3856" s="76">
        <v>45777.0</v>
      </c>
      <c r="B3856" s="1" t="s">
        <v>297</v>
      </c>
      <c r="C3856" s="1" t="s">
        <v>34</v>
      </c>
      <c r="D3856" s="1">
        <v>1.1</v>
      </c>
      <c r="E3856" s="1">
        <v>15734.0</v>
      </c>
      <c r="F3856" s="10">
        <f t="shared" si="1"/>
        <v>1.333333333</v>
      </c>
      <c r="G3856" s="10">
        <f t="array" ref="G3856">index('Player ID'!C:C,match(E3856,'Player ID'!B:B,0))</f>
        <v>641745</v>
      </c>
    </row>
    <row r="3857">
      <c r="A3857" s="76">
        <v>45777.0</v>
      </c>
      <c r="B3857" s="1" t="s">
        <v>443</v>
      </c>
      <c r="C3857" s="1" t="s">
        <v>60</v>
      </c>
      <c r="D3857" s="1">
        <v>1.0</v>
      </c>
      <c r="E3857" s="1">
        <v>16350.0</v>
      </c>
      <c r="F3857" s="10">
        <f t="shared" si="1"/>
        <v>1</v>
      </c>
      <c r="G3857" s="10">
        <f t="array" ref="G3857">index('Player ID'!C:C,match(E3857,'Player ID'!B:B,0))</f>
        <v>621366</v>
      </c>
    </row>
    <row r="3858">
      <c r="A3858" s="76">
        <v>45777.0</v>
      </c>
      <c r="B3858" s="1" t="s">
        <v>107</v>
      </c>
      <c r="C3858" s="1" t="s">
        <v>60</v>
      </c>
      <c r="D3858" s="1">
        <v>1.1</v>
      </c>
      <c r="E3858" s="1">
        <v>19349.0</v>
      </c>
      <c r="F3858" s="10">
        <f t="shared" si="1"/>
        <v>1.333333333</v>
      </c>
      <c r="G3858" s="10">
        <f t="array" ref="G3858">index('Player ID'!C:C,match(E3858,'Player ID'!B:B,0))</f>
        <v>657571</v>
      </c>
    </row>
    <row r="3859">
      <c r="A3859" s="76">
        <v>45777.0</v>
      </c>
      <c r="B3859" s="1" t="s">
        <v>183</v>
      </c>
      <c r="C3859" s="1" t="s">
        <v>60</v>
      </c>
      <c r="D3859" s="1">
        <v>1.0</v>
      </c>
      <c r="E3859" s="1">
        <v>19569.0</v>
      </c>
      <c r="F3859" s="10">
        <f t="shared" si="1"/>
        <v>1</v>
      </c>
      <c r="G3859" s="10">
        <f t="array" ref="G3859">index('Player ID'!C:C,match(E3859,'Player ID'!B:B,0))</f>
        <v>670280</v>
      </c>
    </row>
    <row r="3860">
      <c r="A3860" s="76">
        <v>45777.0</v>
      </c>
      <c r="B3860" s="1" t="s">
        <v>463</v>
      </c>
      <c r="C3860" s="1" t="s">
        <v>60</v>
      </c>
      <c r="D3860" s="1">
        <v>1.2</v>
      </c>
      <c r="E3860" s="1">
        <v>21544.0</v>
      </c>
      <c r="F3860" s="10">
        <f t="shared" si="1"/>
        <v>1.666666667</v>
      </c>
      <c r="G3860" s="10">
        <f t="array" ref="G3860">index('Player ID'!C:C,match(E3860,'Player ID'!B:B,0))</f>
        <v>663767</v>
      </c>
    </row>
    <row r="3861">
      <c r="A3861" s="76">
        <v>45777.0</v>
      </c>
      <c r="B3861" s="1" t="s">
        <v>388</v>
      </c>
      <c r="C3861" s="1" t="s">
        <v>34</v>
      </c>
      <c r="D3861" s="1">
        <v>0.1</v>
      </c>
      <c r="E3861" s="1">
        <v>26413.0</v>
      </c>
      <c r="F3861" s="10">
        <f t="shared" si="1"/>
        <v>0.3333333333</v>
      </c>
      <c r="G3861" s="10">
        <f t="array" ref="G3861">index('Player ID'!C:C,match(E3861,'Player ID'!B:B,0))</f>
        <v>687863</v>
      </c>
    </row>
    <row r="3862">
      <c r="A3862" s="76">
        <v>45777.0</v>
      </c>
      <c r="B3862" s="1" t="s">
        <v>267</v>
      </c>
      <c r="C3862" s="1" t="s">
        <v>60</v>
      </c>
      <c r="D3862" s="1">
        <v>4.0</v>
      </c>
      <c r="E3862" s="1">
        <v>27572.0</v>
      </c>
      <c r="F3862" s="10">
        <f t="shared" si="1"/>
        <v>4</v>
      </c>
      <c r="G3862" s="10">
        <f t="array" ref="G3862">index('Player ID'!C:C,match(E3862,'Player ID'!B:B,0))</f>
        <v>669387</v>
      </c>
    </row>
    <row r="3863">
      <c r="A3863" s="76">
        <v>45777.0</v>
      </c>
      <c r="B3863" s="1" t="s">
        <v>83</v>
      </c>
      <c r="C3863" s="1" t="s">
        <v>72</v>
      </c>
      <c r="D3863" s="1">
        <v>4.0</v>
      </c>
      <c r="E3863" s="1">
        <v>13361.0</v>
      </c>
      <c r="F3863" s="10">
        <f t="shared" si="1"/>
        <v>4</v>
      </c>
      <c r="G3863" s="10">
        <f t="array" ref="G3863">index('Player ID'!C:C,match(E3863,'Player ID'!B:B,0))</f>
        <v>571927</v>
      </c>
    </row>
    <row r="3864">
      <c r="A3864" s="76">
        <v>45777.0</v>
      </c>
      <c r="B3864" s="1" t="s">
        <v>417</v>
      </c>
      <c r="C3864" s="1" t="s">
        <v>66</v>
      </c>
      <c r="D3864" s="1">
        <v>3.2</v>
      </c>
      <c r="E3864" s="1">
        <v>13942.0</v>
      </c>
      <c r="F3864" s="10">
        <f t="shared" si="1"/>
        <v>3.666666667</v>
      </c>
      <c r="G3864" s="10">
        <f t="array" ref="G3864">index('Player ID'!C:C,match(E3864,'Player ID'!B:B,0))</f>
        <v>608718</v>
      </c>
    </row>
    <row r="3865">
      <c r="A3865" s="76">
        <v>45777.0</v>
      </c>
      <c r="B3865" s="1" t="s">
        <v>518</v>
      </c>
      <c r="C3865" s="1" t="s">
        <v>66</v>
      </c>
      <c r="D3865" s="1">
        <v>3.0</v>
      </c>
      <c r="E3865" s="1">
        <v>24581.0</v>
      </c>
      <c r="F3865" s="10">
        <f t="shared" si="1"/>
        <v>3</v>
      </c>
      <c r="G3865" s="10">
        <f t="array" ref="G3865">index('Player ID'!C:C,match(E3865,'Player ID'!B:B,0))</f>
        <v>680689</v>
      </c>
    </row>
    <row r="3866">
      <c r="A3866" s="76">
        <v>45777.0</v>
      </c>
      <c r="B3866" s="1" t="s">
        <v>337</v>
      </c>
      <c r="C3866" s="1" t="s">
        <v>72</v>
      </c>
      <c r="D3866" s="1">
        <v>5.0</v>
      </c>
      <c r="E3866" s="1">
        <v>29519.0</v>
      </c>
      <c r="F3866" s="10">
        <f t="shared" si="1"/>
        <v>5</v>
      </c>
      <c r="G3866" s="10">
        <f t="array" ref="G3866">index('Player ID'!C:C,match(E3866,'Player ID'!B:B,0))</f>
        <v>700669</v>
      </c>
    </row>
    <row r="3867">
      <c r="A3867" s="76">
        <v>45777.0</v>
      </c>
      <c r="B3867" s="1" t="s">
        <v>602</v>
      </c>
      <c r="C3867" s="1" t="s">
        <v>66</v>
      </c>
      <c r="D3867" s="1">
        <v>2.1</v>
      </c>
      <c r="E3867" s="1">
        <v>30170.0</v>
      </c>
      <c r="F3867" s="10">
        <f t="shared" si="1"/>
        <v>2.333333333</v>
      </c>
      <c r="G3867" s="10">
        <f t="array" ref="G3867">index('Player ID'!C:C,match(E3867,'Player ID'!B:B,0))</f>
        <v>695534</v>
      </c>
    </row>
    <row r="3868">
      <c r="A3868" s="76">
        <v>45777.0</v>
      </c>
      <c r="B3868" s="1" t="s">
        <v>699</v>
      </c>
      <c r="C3868" s="1" t="s">
        <v>45</v>
      </c>
      <c r="D3868" s="1">
        <v>1.1</v>
      </c>
      <c r="E3868" s="1">
        <v>14552.0</v>
      </c>
      <c r="F3868" s="10">
        <f t="shared" si="1"/>
        <v>1.333333333</v>
      </c>
      <c r="G3868" s="10">
        <f t="array" ref="G3868">index('Player ID'!C:C,match(E3868,'Player ID'!B:B,0))</f>
        <v>614179</v>
      </c>
    </row>
    <row r="3869">
      <c r="A3869" s="76">
        <v>45777.0</v>
      </c>
      <c r="B3869" s="1" t="s">
        <v>138</v>
      </c>
      <c r="C3869" s="1" t="s">
        <v>45</v>
      </c>
      <c r="D3869" s="1">
        <v>1.2</v>
      </c>
      <c r="E3869" s="1">
        <v>16990.0</v>
      </c>
      <c r="F3869" s="10">
        <f t="shared" si="1"/>
        <v>1.666666667</v>
      </c>
      <c r="G3869" s="10">
        <f t="array" ref="G3869">index('Player ID'!C:C,match(E3869,'Player ID'!B:B,0))</f>
        <v>621383</v>
      </c>
    </row>
    <row r="3870">
      <c r="A3870" s="76">
        <v>45777.0</v>
      </c>
      <c r="B3870" s="1" t="s">
        <v>644</v>
      </c>
      <c r="C3870" s="1" t="s">
        <v>80</v>
      </c>
      <c r="D3870" s="1">
        <v>1.0</v>
      </c>
      <c r="E3870" s="1">
        <v>19403.0</v>
      </c>
      <c r="F3870" s="10">
        <f t="shared" si="1"/>
        <v>1</v>
      </c>
      <c r="G3870" s="10">
        <f t="array" ref="G3870">index('Player ID'!C:C,match(E3870,'Player ID'!B:B,0))</f>
        <v>621363</v>
      </c>
    </row>
    <row r="3871">
      <c r="A3871" s="76">
        <v>45777.0</v>
      </c>
      <c r="B3871" s="1" t="s">
        <v>747</v>
      </c>
      <c r="C3871" s="1" t="s">
        <v>45</v>
      </c>
      <c r="D3871" s="1">
        <v>5.0</v>
      </c>
      <c r="E3871" s="1">
        <v>20778.0</v>
      </c>
      <c r="F3871" s="10">
        <f t="shared" si="1"/>
        <v>5</v>
      </c>
      <c r="G3871" s="10">
        <f t="array" ref="G3871">index('Player ID'!C:C,match(E3871,'Player ID'!B:B,0))</f>
        <v>650911</v>
      </c>
    </row>
    <row r="3872">
      <c r="A3872" s="76">
        <v>45777.0</v>
      </c>
      <c r="B3872" s="1" t="s">
        <v>396</v>
      </c>
      <c r="C3872" s="1" t="s">
        <v>80</v>
      </c>
      <c r="D3872" s="1">
        <v>6.0</v>
      </c>
      <c r="E3872" s="1">
        <v>21504.0</v>
      </c>
      <c r="F3872" s="10">
        <f t="shared" si="1"/>
        <v>6</v>
      </c>
      <c r="G3872" s="10">
        <f t="array" ref="G3872">index('Player ID'!C:C,match(E3872,'Player ID'!B:B,0))</f>
        <v>663623</v>
      </c>
    </row>
    <row r="3873">
      <c r="A3873" s="76">
        <v>45777.0</v>
      </c>
      <c r="B3873" s="1" t="s">
        <v>701</v>
      </c>
      <c r="C3873" s="1" t="s">
        <v>45</v>
      </c>
      <c r="D3873" s="1">
        <v>1.0</v>
      </c>
      <c r="E3873" s="1">
        <v>22713.0</v>
      </c>
      <c r="F3873" s="10">
        <f t="shared" si="1"/>
        <v>1</v>
      </c>
      <c r="G3873" s="10">
        <f t="array" ref="G3873">index('Player ID'!C:C,match(E3873,'Player ID'!B:B,0))</f>
        <v>672578</v>
      </c>
    </row>
    <row r="3874">
      <c r="A3874" s="76">
        <v>45777.0</v>
      </c>
      <c r="B3874" s="1" t="s">
        <v>508</v>
      </c>
      <c r="C3874" s="1" t="s">
        <v>80</v>
      </c>
      <c r="D3874" s="1">
        <v>1.0</v>
      </c>
      <c r="E3874" s="1">
        <v>23135.0</v>
      </c>
      <c r="F3874" s="10">
        <f t="shared" si="1"/>
        <v>1</v>
      </c>
      <c r="G3874" s="10">
        <f t="array" ref="G3874">index('Player ID'!C:C,match(E3874,'Player ID'!B:B,0))</f>
        <v>674285</v>
      </c>
    </row>
    <row r="3875">
      <c r="A3875" s="76">
        <v>45777.0</v>
      </c>
      <c r="B3875" s="1" t="s">
        <v>649</v>
      </c>
      <c r="C3875" s="1" t="s">
        <v>29</v>
      </c>
      <c r="D3875" s="1">
        <v>1.0</v>
      </c>
      <c r="E3875" s="1">
        <v>14542.0</v>
      </c>
      <c r="F3875" s="10">
        <f t="shared" si="1"/>
        <v>1</v>
      </c>
      <c r="G3875" s="10">
        <f t="array" ref="G3875">index('Player ID'!C:C,match(E3875,'Player ID'!B:B,0))</f>
        <v>608032</v>
      </c>
    </row>
    <row r="3876">
      <c r="A3876" s="76">
        <v>45777.0</v>
      </c>
      <c r="B3876" s="1" t="s">
        <v>407</v>
      </c>
      <c r="C3876" s="1" t="s">
        <v>29</v>
      </c>
      <c r="D3876" s="1">
        <v>1.0</v>
      </c>
      <c r="E3876" s="1">
        <v>19360.0</v>
      </c>
      <c r="F3876" s="10">
        <f t="shared" si="1"/>
        <v>1</v>
      </c>
      <c r="G3876" s="10">
        <f t="array" ref="G3876">index('Player ID'!C:C,match(E3876,'Player ID'!B:B,0))</f>
        <v>668674</v>
      </c>
    </row>
    <row r="3877">
      <c r="A3877" s="76">
        <v>45777.0</v>
      </c>
      <c r="B3877" s="1" t="s">
        <v>144</v>
      </c>
      <c r="C3877" s="1" t="s">
        <v>29</v>
      </c>
      <c r="D3877" s="1">
        <v>0.2</v>
      </c>
      <c r="E3877" s="1">
        <v>20020.0</v>
      </c>
      <c r="F3877" s="10">
        <f t="shared" si="1"/>
        <v>0.6666666667</v>
      </c>
      <c r="G3877" s="10">
        <f t="array" ref="G3877">index('Player ID'!C:C,match(E3877,'Player ID'!B:B,0))</f>
        <v>670167</v>
      </c>
    </row>
    <row r="3878">
      <c r="A3878" s="76">
        <v>45777.0</v>
      </c>
      <c r="B3878" s="1" t="s">
        <v>204</v>
      </c>
      <c r="C3878" s="1" t="s">
        <v>54</v>
      </c>
      <c r="D3878" s="1">
        <v>3.0</v>
      </c>
      <c r="E3878" s="1">
        <v>22288.0</v>
      </c>
      <c r="F3878" s="10">
        <f t="shared" si="1"/>
        <v>3</v>
      </c>
      <c r="G3878" s="10">
        <f t="array" ref="G3878">index('Player ID'!C:C,match(E3878,'Player ID'!B:B,0))</f>
        <v>669438</v>
      </c>
    </row>
    <row r="3879">
      <c r="A3879" s="76">
        <v>45777.0</v>
      </c>
      <c r="B3879" s="1" t="s">
        <v>97</v>
      </c>
      <c r="C3879" s="1" t="s">
        <v>54</v>
      </c>
      <c r="D3879" s="1">
        <v>5.0</v>
      </c>
      <c r="E3879" s="1">
        <v>25385.0</v>
      </c>
      <c r="F3879" s="10">
        <f t="shared" si="1"/>
        <v>5</v>
      </c>
      <c r="G3879" s="10">
        <f t="array" ref="G3879">index('Player ID'!C:C,match(E3879,'Player ID'!B:B,0))</f>
        <v>656876</v>
      </c>
    </row>
    <row r="3880">
      <c r="A3880" s="76">
        <v>45777.0</v>
      </c>
      <c r="B3880" s="1" t="s">
        <v>671</v>
      </c>
      <c r="C3880" s="1" t="s">
        <v>54</v>
      </c>
      <c r="D3880" s="1">
        <v>1.0</v>
      </c>
      <c r="E3880" s="1">
        <v>26259.0</v>
      </c>
      <c r="F3880" s="10">
        <f t="shared" si="1"/>
        <v>1</v>
      </c>
      <c r="G3880" s="10">
        <f t="array" ref="G3880">index('Player ID'!C:C,match(E3880,'Player ID'!B:B,0))</f>
        <v>685801</v>
      </c>
    </row>
    <row r="3881">
      <c r="A3881" s="76">
        <v>45777.0</v>
      </c>
      <c r="B3881" s="1" t="s">
        <v>161</v>
      </c>
      <c r="C3881" s="1" t="s">
        <v>29</v>
      </c>
      <c r="D3881" s="1">
        <v>6.1</v>
      </c>
      <c r="E3881" s="1">
        <v>30184.0</v>
      </c>
      <c r="F3881" s="10">
        <f t="shared" si="1"/>
        <v>6.333333333</v>
      </c>
      <c r="G3881" s="10">
        <f t="array" ref="G3881">index('Player ID'!C:C,match(E3881,'Player ID'!B:B,0))</f>
        <v>702070</v>
      </c>
    </row>
    <row r="3882">
      <c r="A3882" s="76">
        <v>45777.0</v>
      </c>
      <c r="B3882" s="1" t="s">
        <v>41</v>
      </c>
      <c r="C3882" s="1" t="s">
        <v>22</v>
      </c>
      <c r="D3882" s="1">
        <v>1.0</v>
      </c>
      <c r="E3882" s="1">
        <v>10233.0</v>
      </c>
      <c r="F3882" s="10">
        <f t="shared" si="1"/>
        <v>1</v>
      </c>
      <c r="G3882" s="10">
        <f t="array" ref="G3882">index('Player ID'!C:C,match(E3882,'Player ID'!B:B,0))</f>
        <v>547973</v>
      </c>
    </row>
    <row r="3883">
      <c r="A3883" s="76">
        <v>45777.0</v>
      </c>
      <c r="B3883" s="1" t="s">
        <v>673</v>
      </c>
      <c r="C3883" s="1" t="s">
        <v>40</v>
      </c>
      <c r="D3883" s="1">
        <v>1.0</v>
      </c>
      <c r="E3883" s="1">
        <v>12095.0</v>
      </c>
      <c r="F3883" s="10">
        <f t="shared" si="1"/>
        <v>1</v>
      </c>
      <c r="G3883" s="10">
        <f t="array" ref="G3883">index('Player ID'!C:C,match(E3883,'Player ID'!B:B,0))</f>
        <v>554340</v>
      </c>
    </row>
    <row r="3884">
      <c r="A3884" s="76">
        <v>45777.0</v>
      </c>
      <c r="B3884" s="1" t="s">
        <v>416</v>
      </c>
      <c r="C3884" s="1" t="s">
        <v>22</v>
      </c>
      <c r="D3884" s="1">
        <v>6.0</v>
      </c>
      <c r="E3884" s="1">
        <v>15474.0</v>
      </c>
      <c r="F3884" s="10">
        <f t="shared" si="1"/>
        <v>6</v>
      </c>
      <c r="G3884" s="10">
        <f t="array" ref="G3884">index('Player ID'!C:C,match(E3884,'Player ID'!B:B,0))</f>
        <v>608337</v>
      </c>
    </row>
    <row r="3885">
      <c r="A3885" s="76">
        <v>45777.0</v>
      </c>
      <c r="B3885" s="1" t="s">
        <v>174</v>
      </c>
      <c r="C3885" s="1" t="s">
        <v>40</v>
      </c>
      <c r="D3885" s="1">
        <v>1.0</v>
      </c>
      <c r="E3885" s="1">
        <v>15552.0</v>
      </c>
      <c r="F3885" s="10">
        <f t="shared" si="1"/>
        <v>1</v>
      </c>
      <c r="G3885" s="10">
        <f t="array" ref="G3885">index('Player ID'!C:C,match(E3885,'Player ID'!B:B,0))</f>
        <v>643338</v>
      </c>
    </row>
    <row r="3886">
      <c r="A3886" s="76">
        <v>45777.0</v>
      </c>
      <c r="B3886" s="1" t="s">
        <v>311</v>
      </c>
      <c r="C3886" s="1" t="s">
        <v>40</v>
      </c>
      <c r="D3886" s="1">
        <v>2.0</v>
      </c>
      <c r="E3886" s="1">
        <v>17432.0</v>
      </c>
      <c r="F3886" s="10">
        <f t="shared" si="1"/>
        <v>2</v>
      </c>
      <c r="G3886" s="10">
        <f t="array" ref="G3886">index('Player ID'!C:C,match(E3886,'Player ID'!B:B,0))</f>
        <v>656546</v>
      </c>
    </row>
    <row r="3887">
      <c r="A3887" s="76">
        <v>45777.0</v>
      </c>
      <c r="B3887" s="1" t="s">
        <v>332</v>
      </c>
      <c r="C3887" s="1" t="s">
        <v>40</v>
      </c>
      <c r="D3887" s="1">
        <v>4.0</v>
      </c>
      <c r="E3887" s="1">
        <v>19316.0</v>
      </c>
      <c r="F3887" s="10">
        <f t="shared" si="1"/>
        <v>4</v>
      </c>
      <c r="G3887" s="10">
        <f t="array" ref="G3887">index('Player ID'!C:C,match(E3887,'Player ID'!B:B,0))</f>
        <v>641778</v>
      </c>
    </row>
    <row r="3888">
      <c r="A3888" s="76">
        <v>45777.0</v>
      </c>
      <c r="B3888" s="1" t="s">
        <v>250</v>
      </c>
      <c r="C3888" s="1" t="s">
        <v>22</v>
      </c>
      <c r="D3888" s="1">
        <v>2.0</v>
      </c>
      <c r="E3888" s="1">
        <v>20191.0</v>
      </c>
      <c r="F3888" s="10">
        <f t="shared" si="1"/>
        <v>2</v>
      </c>
      <c r="G3888" s="10">
        <f t="array" ref="G3888">index('Player ID'!C:C,match(E3888,'Player ID'!B:B,0))</f>
        <v>676477</v>
      </c>
    </row>
    <row r="3889">
      <c r="A3889" s="76">
        <v>45777.0</v>
      </c>
      <c r="B3889" s="1" t="s">
        <v>395</v>
      </c>
      <c r="C3889" s="1" t="s">
        <v>40</v>
      </c>
      <c r="D3889" s="1">
        <v>1.0</v>
      </c>
      <c r="E3889" s="1">
        <v>21574.0</v>
      </c>
      <c r="F3889" s="10">
        <f t="shared" si="1"/>
        <v>1</v>
      </c>
      <c r="G3889" s="10">
        <f t="array" ref="G3889">index('Player ID'!C:C,match(E3889,'Player ID'!B:B,0))</f>
        <v>663893</v>
      </c>
    </row>
    <row r="3890">
      <c r="A3890" s="76">
        <v>45777.0</v>
      </c>
      <c r="B3890" s="1" t="s">
        <v>645</v>
      </c>
      <c r="C3890" s="1" t="s">
        <v>22</v>
      </c>
      <c r="D3890" s="1">
        <v>0.1</v>
      </c>
      <c r="E3890" s="1">
        <v>25648.0</v>
      </c>
      <c r="F3890" s="10">
        <f t="shared" si="1"/>
        <v>0.3333333333</v>
      </c>
      <c r="G3890" s="10">
        <f t="array" ref="G3890">index('Player ID'!C:C,match(E3890,'Player ID'!B:B,0))</f>
        <v>686580</v>
      </c>
    </row>
    <row r="3891">
      <c r="A3891" s="76">
        <v>45777.0</v>
      </c>
      <c r="B3891" s="1" t="s">
        <v>427</v>
      </c>
      <c r="C3891" s="1" t="s">
        <v>40</v>
      </c>
      <c r="D3891" s="1">
        <v>1.0</v>
      </c>
      <c r="E3891" s="1">
        <v>33838.0</v>
      </c>
      <c r="F3891" s="10">
        <f t="shared" si="1"/>
        <v>1</v>
      </c>
      <c r="G3891" s="10">
        <f t="array" ref="G3891">index('Player ID'!C:C,match(E3891,'Player ID'!B:B,0))</f>
        <v>684320</v>
      </c>
    </row>
    <row r="3892">
      <c r="A3892" s="76">
        <v>45777.0</v>
      </c>
      <c r="B3892" s="1" t="s">
        <v>646</v>
      </c>
      <c r="C3892" s="1" t="s">
        <v>51</v>
      </c>
      <c r="D3892" s="1">
        <v>2.0</v>
      </c>
      <c r="E3892" s="1">
        <v>6107.0</v>
      </c>
      <c r="F3892" s="10">
        <f t="shared" si="1"/>
        <v>2</v>
      </c>
      <c r="G3892" s="10">
        <f t="array" ref="G3892">index('Player ID'!C:C,match(E3892,'Player ID'!B:B,0))</f>
        <v>623211</v>
      </c>
    </row>
    <row r="3893">
      <c r="A3893" s="76">
        <v>45777.0</v>
      </c>
      <c r="B3893" s="1" t="s">
        <v>103</v>
      </c>
      <c r="C3893" s="1" t="s">
        <v>64</v>
      </c>
      <c r="D3893" s="1">
        <v>1.0</v>
      </c>
      <c r="E3893" s="1">
        <v>10197.0</v>
      </c>
      <c r="F3893" s="10">
        <f t="shared" si="1"/>
        <v>1</v>
      </c>
      <c r="G3893" s="10">
        <f t="array" ref="G3893">index('Player ID'!C:C,match(E3893,'Player ID'!B:B,0))</f>
        <v>571946</v>
      </c>
    </row>
    <row r="3894">
      <c r="A3894" s="76">
        <v>45777.0</v>
      </c>
      <c r="B3894" s="1" t="s">
        <v>742</v>
      </c>
      <c r="C3894" s="1" t="s">
        <v>51</v>
      </c>
      <c r="D3894" s="1">
        <v>2.0</v>
      </c>
      <c r="E3894" s="1">
        <v>12763.0</v>
      </c>
      <c r="F3894" s="10">
        <f t="shared" si="1"/>
        <v>2</v>
      </c>
      <c r="G3894" s="10">
        <f t="array" ref="G3894">index('Player ID'!C:C,match(E3894,'Player ID'!B:B,0))</f>
        <v>606965</v>
      </c>
    </row>
    <row r="3895">
      <c r="A3895" s="76">
        <v>45777.0</v>
      </c>
      <c r="B3895" s="1" t="s">
        <v>292</v>
      </c>
      <c r="C3895" s="1" t="s">
        <v>51</v>
      </c>
      <c r="D3895" s="1">
        <v>0.2</v>
      </c>
      <c r="E3895" s="1">
        <v>15947.0</v>
      </c>
      <c r="F3895" s="10">
        <f t="shared" si="1"/>
        <v>0.6666666667</v>
      </c>
      <c r="G3895" s="10">
        <f t="array" ref="G3895">index('Player ID'!C:C,match(E3895,'Player ID'!B:B,0))</f>
        <v>592773</v>
      </c>
    </row>
    <row r="3896">
      <c r="A3896" s="76">
        <v>45777.0</v>
      </c>
      <c r="B3896" s="1" t="s">
        <v>219</v>
      </c>
      <c r="C3896" s="1" t="s">
        <v>64</v>
      </c>
      <c r="D3896" s="1">
        <v>1.0</v>
      </c>
      <c r="E3896" s="1">
        <v>16647.0</v>
      </c>
      <c r="F3896" s="10">
        <f t="shared" si="1"/>
        <v>1</v>
      </c>
      <c r="G3896" s="10">
        <f t="array" ref="G3896">index('Player ID'!C:C,match(E3896,'Player ID'!B:B,0))</f>
        <v>657044</v>
      </c>
    </row>
    <row r="3897">
      <c r="A3897" s="76">
        <v>45777.0</v>
      </c>
      <c r="B3897" s="1" t="s">
        <v>489</v>
      </c>
      <c r="C3897" s="1" t="s">
        <v>64</v>
      </c>
      <c r="D3897" s="1">
        <v>0.2</v>
      </c>
      <c r="E3897" s="1">
        <v>17192.0</v>
      </c>
      <c r="F3897" s="10">
        <f t="shared" si="1"/>
        <v>0.6666666667</v>
      </c>
      <c r="G3897" s="10">
        <f t="array" ref="G3897">index('Player ID'!C:C,match(E3897,'Player ID'!B:B,0))</f>
        <v>656222</v>
      </c>
    </row>
    <row r="3898">
      <c r="A3898" s="76">
        <v>45777.0</v>
      </c>
      <c r="B3898" s="1" t="s">
        <v>186</v>
      </c>
      <c r="C3898" s="1" t="s">
        <v>51</v>
      </c>
      <c r="D3898" s="1">
        <v>4.1</v>
      </c>
      <c r="E3898" s="1">
        <v>18347.0</v>
      </c>
      <c r="F3898" s="10">
        <f t="shared" si="1"/>
        <v>4.333333333</v>
      </c>
      <c r="G3898" s="10">
        <f t="array" ref="G3898">index('Player ID'!C:C,match(E3898,'Player ID'!B:B,0))</f>
        <v>663399</v>
      </c>
    </row>
    <row r="3899">
      <c r="A3899" s="76">
        <v>45777.0</v>
      </c>
      <c r="B3899" s="1" t="s">
        <v>431</v>
      </c>
      <c r="C3899" s="1" t="s">
        <v>64</v>
      </c>
      <c r="D3899" s="1">
        <v>6.0</v>
      </c>
      <c r="E3899" s="1">
        <v>19361.0</v>
      </c>
      <c r="F3899" s="10">
        <f t="shared" si="1"/>
        <v>6</v>
      </c>
      <c r="G3899" s="10">
        <f t="array" ref="G3899">index('Player ID'!C:C,match(E3899,'Player ID'!B:B,0))</f>
        <v>669203</v>
      </c>
    </row>
    <row r="3900">
      <c r="A3900" s="76">
        <v>45777.0</v>
      </c>
      <c r="B3900" s="1" t="s">
        <v>823</v>
      </c>
      <c r="C3900" s="1" t="s">
        <v>64</v>
      </c>
      <c r="D3900" s="1">
        <v>0.1</v>
      </c>
      <c r="E3900" s="1">
        <v>19876.0</v>
      </c>
      <c r="F3900" s="10">
        <f t="shared" si="1"/>
        <v>0.3333333333</v>
      </c>
      <c r="G3900" s="10">
        <f t="array" ref="G3900">index('Player ID'!C:C,match(E3900,'Player ID'!B:B,0))</f>
        <v>656464</v>
      </c>
    </row>
    <row r="3901">
      <c r="A3901" s="76">
        <v>45777.0</v>
      </c>
      <c r="B3901" s="1" t="s">
        <v>714</v>
      </c>
      <c r="C3901" s="1" t="s">
        <v>64</v>
      </c>
      <c r="D3901" s="1">
        <v>0.0</v>
      </c>
      <c r="E3901" s="1">
        <v>24453.0</v>
      </c>
      <c r="F3901" s="10">
        <f t="shared" si="1"/>
        <v>0</v>
      </c>
      <c r="G3901" s="10">
        <f t="array" ref="G3901">index('Player ID'!C:C,match(E3901,'Player ID'!B:B,0))</f>
        <v>679885</v>
      </c>
    </row>
    <row r="3902">
      <c r="A3902" s="76">
        <v>45777.0</v>
      </c>
      <c r="B3902" s="1" t="s">
        <v>252</v>
      </c>
      <c r="C3902" s="1" t="s">
        <v>78</v>
      </c>
      <c r="D3902" s="1">
        <v>0.1</v>
      </c>
      <c r="E3902" s="1">
        <v>16061.0</v>
      </c>
      <c r="F3902" s="10">
        <f t="shared" si="1"/>
        <v>0.3333333333</v>
      </c>
      <c r="G3902" s="10">
        <f t="array" ref="G3902">index('Player ID'!C:C,match(E3902,'Player ID'!B:B,0))</f>
        <v>592155</v>
      </c>
    </row>
    <row r="3903">
      <c r="A3903" s="76">
        <v>45777.0</v>
      </c>
      <c r="B3903" s="1" t="s">
        <v>13</v>
      </c>
      <c r="C3903" s="1" t="s">
        <v>14</v>
      </c>
      <c r="D3903" s="1">
        <v>1.0</v>
      </c>
      <c r="E3903" s="1">
        <v>17722.0</v>
      </c>
      <c r="F3903" s="10">
        <f t="shared" si="1"/>
        <v>1</v>
      </c>
      <c r="G3903" s="10">
        <f t="array" ref="G3903">index('Player ID'!C:C,match(E3903,'Player ID'!B:B,0))</f>
        <v>656730</v>
      </c>
    </row>
    <row r="3904">
      <c r="A3904" s="76">
        <v>45777.0</v>
      </c>
      <c r="B3904" s="1" t="s">
        <v>187</v>
      </c>
      <c r="C3904" s="1" t="s">
        <v>14</v>
      </c>
      <c r="D3904" s="1">
        <v>2.2</v>
      </c>
      <c r="E3904" s="1">
        <v>17735.0</v>
      </c>
      <c r="F3904" s="10">
        <f t="shared" si="1"/>
        <v>2.666666667</v>
      </c>
      <c r="G3904" s="10">
        <f t="array" ref="G3904">index('Player ID'!C:C,match(E3904,'Player ID'!B:B,0))</f>
        <v>641302</v>
      </c>
    </row>
    <row r="3905">
      <c r="A3905" s="76">
        <v>45777.0</v>
      </c>
      <c r="B3905" s="1" t="s">
        <v>116</v>
      </c>
      <c r="C3905" s="1" t="s">
        <v>78</v>
      </c>
      <c r="D3905" s="1">
        <v>1.2</v>
      </c>
      <c r="E3905" s="1">
        <v>20353.0</v>
      </c>
      <c r="F3905" s="10">
        <f t="shared" si="1"/>
        <v>1.666666667</v>
      </c>
      <c r="G3905" s="10">
        <f t="array" ref="G3905">index('Player ID'!C:C,match(E3905,'Player ID'!B:B,0))</f>
        <v>621051</v>
      </c>
    </row>
    <row r="3906">
      <c r="A3906" s="76">
        <v>45777.0</v>
      </c>
      <c r="B3906" s="1" t="s">
        <v>318</v>
      </c>
      <c r="C3906" s="1" t="s">
        <v>14</v>
      </c>
      <c r="D3906" s="1">
        <v>0.1</v>
      </c>
      <c r="E3906" s="1">
        <v>20546.0</v>
      </c>
      <c r="F3906" s="10">
        <f t="shared" si="1"/>
        <v>0.3333333333</v>
      </c>
      <c r="G3906" s="10">
        <f t="array" ref="G3906">index('Player ID'!C:C,match(E3906,'Player ID'!B:B,0))</f>
        <v>681982</v>
      </c>
    </row>
    <row r="3907">
      <c r="A3907" s="76">
        <v>45777.0</v>
      </c>
      <c r="B3907" s="1" t="s">
        <v>221</v>
      </c>
      <c r="C3907" s="1" t="s">
        <v>14</v>
      </c>
      <c r="D3907" s="1">
        <v>2.0</v>
      </c>
      <c r="E3907" s="1">
        <v>22191.0</v>
      </c>
      <c r="F3907" s="10">
        <f t="shared" si="1"/>
        <v>2</v>
      </c>
      <c r="G3907" s="10">
        <f t="array" ref="G3907">index('Player ID'!C:C,match(E3907,'Player ID'!B:B,0))</f>
        <v>668964</v>
      </c>
    </row>
    <row r="3908">
      <c r="A3908" s="76">
        <v>45777.0</v>
      </c>
      <c r="B3908" s="1" t="s">
        <v>279</v>
      </c>
      <c r="C3908" s="1" t="s">
        <v>14</v>
      </c>
      <c r="D3908" s="1">
        <v>1.0</v>
      </c>
      <c r="E3908" s="1">
        <v>25327.0</v>
      </c>
      <c r="F3908" s="10">
        <f t="shared" si="1"/>
        <v>1</v>
      </c>
      <c r="G3908" s="10">
        <f t="array" ref="G3908">index('Player ID'!C:C,match(E3908,'Player ID'!B:B,0))</f>
        <v>682842</v>
      </c>
    </row>
    <row r="3909">
      <c r="A3909" s="76">
        <v>45777.0</v>
      </c>
      <c r="B3909" s="1" t="s">
        <v>112</v>
      </c>
      <c r="C3909" s="1" t="s">
        <v>14</v>
      </c>
      <c r="D3909" s="1">
        <v>1.0</v>
      </c>
      <c r="E3909" s="1">
        <v>25376.0</v>
      </c>
      <c r="F3909" s="10">
        <f t="shared" si="1"/>
        <v>1</v>
      </c>
      <c r="G3909" s="10">
        <f t="array" ref="G3909">index('Player ID'!C:C,match(E3909,'Player ID'!B:B,0))</f>
        <v>683232</v>
      </c>
    </row>
    <row r="3910">
      <c r="A3910" s="76">
        <v>45777.0</v>
      </c>
      <c r="B3910" s="1" t="s">
        <v>418</v>
      </c>
      <c r="C3910" s="1" t="s">
        <v>14</v>
      </c>
      <c r="D3910" s="1">
        <v>1.0</v>
      </c>
      <c r="E3910" s="1">
        <v>27517.0</v>
      </c>
      <c r="F3910" s="10">
        <f t="shared" si="1"/>
        <v>1</v>
      </c>
      <c r="G3910" s="10">
        <f t="array" ref="G3910">index('Player ID'!C:C,match(E3910,'Player ID'!B:B,0))</f>
        <v>657649</v>
      </c>
    </row>
    <row r="3911">
      <c r="A3911" s="76">
        <v>45777.0</v>
      </c>
      <c r="B3911" s="1" t="s">
        <v>718</v>
      </c>
      <c r="C3911" s="1" t="s">
        <v>78</v>
      </c>
      <c r="D3911" s="1">
        <v>1.0</v>
      </c>
      <c r="E3911" s="1">
        <v>29530.0</v>
      </c>
      <c r="F3911" s="10">
        <f t="shared" si="1"/>
        <v>1</v>
      </c>
      <c r="G3911" s="10">
        <f t="array" ref="G3911">index('Player ID'!C:C,match(E3911,'Player ID'!B:B,0))</f>
        <v>686642</v>
      </c>
    </row>
    <row r="3912">
      <c r="A3912" s="76">
        <v>45777.0</v>
      </c>
      <c r="B3912" s="1" t="s">
        <v>317</v>
      </c>
      <c r="C3912" s="1" t="s">
        <v>78</v>
      </c>
      <c r="D3912" s="1">
        <v>1.0</v>
      </c>
      <c r="E3912" s="1">
        <v>29950.0</v>
      </c>
      <c r="F3912" s="10">
        <f t="shared" si="1"/>
        <v>1</v>
      </c>
      <c r="G3912" s="10">
        <f t="array" ref="G3912">index('Player ID'!C:C,match(E3912,'Player ID'!B:B,0))</f>
        <v>673929</v>
      </c>
    </row>
    <row r="3913">
      <c r="A3913" s="76">
        <v>45777.0</v>
      </c>
      <c r="B3913" s="1" t="s">
        <v>470</v>
      </c>
      <c r="C3913" s="1" t="s">
        <v>78</v>
      </c>
      <c r="D3913" s="1">
        <v>5.0</v>
      </c>
      <c r="E3913" s="1">
        <v>31687.0</v>
      </c>
      <c r="F3913" s="10">
        <f t="shared" si="1"/>
        <v>5</v>
      </c>
      <c r="G3913" s="10">
        <f t="array" ref="G3913">index('Player ID'!C:C,match(E3913,'Player ID'!B:B,0))</f>
        <v>681343</v>
      </c>
    </row>
    <row r="3914">
      <c r="A3914" s="76">
        <v>45777.0</v>
      </c>
      <c r="B3914" s="1" t="s">
        <v>115</v>
      </c>
      <c r="C3914" s="1" t="s">
        <v>56</v>
      </c>
      <c r="D3914" s="1">
        <v>6.0</v>
      </c>
      <c r="E3914" s="1">
        <v>9132.0</v>
      </c>
      <c r="F3914" s="10">
        <f t="shared" si="1"/>
        <v>6</v>
      </c>
      <c r="G3914" s="10">
        <f t="array" ref="G3914">index('Player ID'!C:C,match(E3914,'Player ID'!B:B,0))</f>
        <v>543135</v>
      </c>
    </row>
    <row r="3915">
      <c r="A3915" s="76">
        <v>45777.0</v>
      </c>
      <c r="B3915" s="1" t="s">
        <v>162</v>
      </c>
      <c r="C3915" s="1" t="s">
        <v>56</v>
      </c>
      <c r="D3915" s="1">
        <v>0.1</v>
      </c>
      <c r="E3915" s="1">
        <v>11752.0</v>
      </c>
      <c r="F3915" s="10">
        <f t="shared" si="1"/>
        <v>0.3333333333</v>
      </c>
      <c r="G3915" s="10">
        <f t="array" ref="G3915">index('Player ID'!C:C,match(E3915,'Player ID'!B:B,0))</f>
        <v>592426</v>
      </c>
    </row>
    <row r="3916">
      <c r="A3916" s="76">
        <v>45777.0</v>
      </c>
      <c r="B3916" s="1" t="s">
        <v>74</v>
      </c>
      <c r="C3916" s="1" t="s">
        <v>56</v>
      </c>
      <c r="D3916" s="1">
        <v>1.1</v>
      </c>
      <c r="E3916" s="1">
        <v>11847.0</v>
      </c>
      <c r="F3916" s="10">
        <f t="shared" si="1"/>
        <v>1.333333333</v>
      </c>
      <c r="G3916" s="10">
        <f t="array" ref="G3916">index('Player ID'!C:C,match(E3916,'Player ID'!B:B,0))</f>
        <v>455119</v>
      </c>
    </row>
    <row r="3917">
      <c r="A3917" s="76">
        <v>45777.0</v>
      </c>
      <c r="B3917" s="1" t="s">
        <v>440</v>
      </c>
      <c r="C3917" s="1" t="s">
        <v>56</v>
      </c>
      <c r="D3917" s="1">
        <v>0.2</v>
      </c>
      <c r="E3917" s="1">
        <v>12857.0</v>
      </c>
      <c r="F3917" s="10">
        <f t="shared" si="1"/>
        <v>0.6666666667</v>
      </c>
      <c r="G3917" s="10">
        <f t="array" ref="G3917">index('Player ID'!C:C,match(E3917,'Player ID'!B:B,0))</f>
        <v>542888</v>
      </c>
    </row>
    <row r="3918">
      <c r="A3918" s="76">
        <v>45777.0</v>
      </c>
      <c r="B3918" s="1" t="s">
        <v>281</v>
      </c>
      <c r="C3918" s="1" t="s">
        <v>52</v>
      </c>
      <c r="D3918" s="1">
        <v>5.0</v>
      </c>
      <c r="E3918" s="1">
        <v>15890.0</v>
      </c>
      <c r="F3918" s="10">
        <f t="shared" si="1"/>
        <v>5</v>
      </c>
      <c r="G3918" s="10">
        <f t="array" ref="G3918">index('Player ID'!C:C,match(E3918,'Player ID'!B:B,0))</f>
        <v>622663</v>
      </c>
    </row>
    <row r="3919">
      <c r="A3919" s="76">
        <v>45777.0</v>
      </c>
      <c r="B3919" s="1" t="s">
        <v>505</v>
      </c>
      <c r="C3919" s="1" t="s">
        <v>52</v>
      </c>
      <c r="D3919" s="1">
        <v>1.0</v>
      </c>
      <c r="E3919" s="1">
        <v>19481.0</v>
      </c>
      <c r="F3919" s="10">
        <f t="shared" si="1"/>
        <v>1</v>
      </c>
      <c r="G3919" s="10">
        <f t="array" ref="G3919">index('Player ID'!C:C,match(E3919,'Player ID'!B:B,0))</f>
        <v>621053</v>
      </c>
    </row>
    <row r="3920">
      <c r="A3920" s="76">
        <v>45777.0</v>
      </c>
      <c r="B3920" s="1" t="s">
        <v>268</v>
      </c>
      <c r="C3920" s="1" t="s">
        <v>56</v>
      </c>
      <c r="D3920" s="1">
        <v>0.2</v>
      </c>
      <c r="E3920" s="1">
        <v>23363.0</v>
      </c>
      <c r="F3920" s="10">
        <f t="shared" si="1"/>
        <v>0.6666666667</v>
      </c>
      <c r="G3920" s="10">
        <f t="array" ref="G3920">index('Player ID'!C:C,match(E3920,'Player ID'!B:B,0))</f>
        <v>676395</v>
      </c>
    </row>
    <row r="3921">
      <c r="A3921" s="76">
        <v>45777.0</v>
      </c>
      <c r="B3921" s="1" t="s">
        <v>213</v>
      </c>
      <c r="C3921" s="1" t="s">
        <v>52</v>
      </c>
      <c r="D3921" s="1">
        <v>1.0</v>
      </c>
      <c r="E3921" s="1">
        <v>27694.0</v>
      </c>
      <c r="F3921" s="10">
        <f t="shared" si="1"/>
        <v>1</v>
      </c>
      <c r="G3921" s="10">
        <f t="array" ref="G3921">index('Player ID'!C:C,match(E3921,'Player ID'!B:B,0))</f>
        <v>686993</v>
      </c>
    </row>
    <row r="3922">
      <c r="A3922" s="76">
        <v>45777.0</v>
      </c>
      <c r="B3922" s="1" t="s">
        <v>681</v>
      </c>
      <c r="C3922" s="1" t="s">
        <v>52</v>
      </c>
      <c r="D3922" s="1">
        <v>2.0</v>
      </c>
      <c r="E3922" s="1">
        <v>30002.0</v>
      </c>
      <c r="F3922" s="10">
        <f t="shared" si="1"/>
        <v>2</v>
      </c>
      <c r="G3922" s="10">
        <f t="array" ref="G3922">index('Player ID'!C:C,match(E3922,'Player ID'!B:B,0))</f>
        <v>680880</v>
      </c>
    </row>
    <row r="3923">
      <c r="A3923" s="76">
        <v>45778.0</v>
      </c>
      <c r="B3923" s="1" t="s">
        <v>460</v>
      </c>
      <c r="C3923" s="1" t="s">
        <v>34</v>
      </c>
      <c r="D3923" s="1">
        <v>1.0</v>
      </c>
      <c r="E3923" s="1">
        <v>7005.0</v>
      </c>
      <c r="F3923" s="10">
        <f t="shared" si="1"/>
        <v>1</v>
      </c>
      <c r="G3923" s="10">
        <f t="array" ref="G3923">index('Player ID'!C:C,match(E3923,'Player ID'!B:B,0))</f>
        <v>519151</v>
      </c>
    </row>
    <row r="3924">
      <c r="A3924" s="76">
        <v>45778.0</v>
      </c>
      <c r="B3924" s="1" t="s">
        <v>313</v>
      </c>
      <c r="C3924" s="1" t="s">
        <v>34</v>
      </c>
      <c r="D3924" s="1">
        <v>6.0</v>
      </c>
      <c r="E3924" s="1">
        <v>12317.0</v>
      </c>
      <c r="F3924" s="10">
        <f t="shared" si="1"/>
        <v>6</v>
      </c>
      <c r="G3924" s="10">
        <f t="array" ref="G3924">index('Player ID'!C:C,match(E3924,'Player ID'!B:B,0))</f>
        <v>607067</v>
      </c>
    </row>
    <row r="3925">
      <c r="A3925" s="76">
        <v>45778.0</v>
      </c>
      <c r="B3925" s="1" t="s">
        <v>632</v>
      </c>
      <c r="C3925" s="1" t="s">
        <v>34</v>
      </c>
      <c r="D3925" s="1">
        <v>1.0</v>
      </c>
      <c r="E3925" s="1">
        <v>16703.0</v>
      </c>
      <c r="F3925" s="10">
        <f t="shared" si="1"/>
        <v>1</v>
      </c>
      <c r="G3925" s="10">
        <f t="array" ref="G3925">index('Player ID'!C:C,match(E3925,'Player ID'!B:B,0))</f>
        <v>657240</v>
      </c>
    </row>
    <row r="3926">
      <c r="A3926" s="76">
        <v>45778.0</v>
      </c>
      <c r="B3926" s="1" t="s">
        <v>384</v>
      </c>
      <c r="C3926" s="1" t="s">
        <v>60</v>
      </c>
      <c r="D3926" s="1">
        <v>1.2</v>
      </c>
      <c r="E3926" s="1">
        <v>19962.0</v>
      </c>
      <c r="F3926" s="10">
        <f t="shared" si="1"/>
        <v>1.666666667</v>
      </c>
      <c r="G3926" s="10">
        <f t="array" ref="G3926">index('Player ID'!C:C,match(E3926,'Player ID'!B:B,0))</f>
        <v>666214</v>
      </c>
    </row>
    <row r="3927">
      <c r="A3927" s="76">
        <v>45778.0</v>
      </c>
      <c r="B3927" s="1" t="s">
        <v>812</v>
      </c>
      <c r="C3927" s="1" t="s">
        <v>60</v>
      </c>
      <c r="D3927" s="1">
        <v>1.0</v>
      </c>
      <c r="E3927" s="1">
        <v>23455.0</v>
      </c>
      <c r="F3927" s="10">
        <f t="shared" si="1"/>
        <v>1</v>
      </c>
      <c r="G3927" s="10">
        <f t="array" ref="G3927">index('Player ID'!C:C,match(E3927,'Player ID'!B:B,0))</f>
        <v>676702</v>
      </c>
    </row>
    <row r="3928">
      <c r="A3928" s="76">
        <v>45778.0</v>
      </c>
      <c r="B3928" s="1" t="s">
        <v>388</v>
      </c>
      <c r="C3928" s="1" t="s">
        <v>34</v>
      </c>
      <c r="D3928" s="1">
        <v>1.0</v>
      </c>
      <c r="E3928" s="1">
        <v>26413.0</v>
      </c>
      <c r="F3928" s="10">
        <f t="shared" si="1"/>
        <v>1</v>
      </c>
      <c r="G3928" s="10">
        <f t="array" ref="G3928">index('Player ID'!C:C,match(E3928,'Player ID'!B:B,0))</f>
        <v>687863</v>
      </c>
    </row>
    <row r="3929">
      <c r="A3929" s="76">
        <v>45778.0</v>
      </c>
      <c r="B3929" s="1" t="s">
        <v>482</v>
      </c>
      <c r="C3929" s="1" t="s">
        <v>60</v>
      </c>
      <c r="D3929" s="1">
        <v>1.1</v>
      </c>
      <c r="E3929" s="1">
        <v>27775.0</v>
      </c>
      <c r="F3929" s="10">
        <f t="shared" si="1"/>
        <v>1.333333333</v>
      </c>
      <c r="G3929" s="10">
        <f t="array" ref="G3929">index('Player ID'!C:C,match(E3929,'Player ID'!B:B,0))</f>
        <v>693312</v>
      </c>
    </row>
    <row r="3930">
      <c r="A3930" s="76">
        <v>45778.0</v>
      </c>
      <c r="B3930" s="1" t="s">
        <v>88</v>
      </c>
      <c r="C3930" s="1" t="s">
        <v>60</v>
      </c>
      <c r="D3930" s="1">
        <v>5.0</v>
      </c>
      <c r="E3930" s="1">
        <v>33677.0</v>
      </c>
      <c r="F3930" s="10">
        <f t="shared" si="1"/>
        <v>5</v>
      </c>
      <c r="G3930" s="10">
        <f t="array" ref="G3930">index('Player ID'!C:C,match(E3930,'Player ID'!B:B,0))</f>
        <v>694973</v>
      </c>
    </row>
    <row r="3931">
      <c r="A3931" s="76">
        <v>45778.0</v>
      </c>
      <c r="B3931" s="1" t="s">
        <v>362</v>
      </c>
      <c r="C3931" s="1" t="s">
        <v>66</v>
      </c>
      <c r="D3931" s="1">
        <v>1.0</v>
      </c>
      <c r="E3931" s="1">
        <v>13449.0</v>
      </c>
      <c r="F3931" s="10">
        <f t="shared" si="1"/>
        <v>1</v>
      </c>
      <c r="G3931" s="10">
        <f t="array" ref="G3931">index('Player ID'!C:C,match(E3931,'Player ID'!B:B,0))</f>
        <v>573124</v>
      </c>
    </row>
    <row r="3932">
      <c r="A3932" s="76">
        <v>45778.0</v>
      </c>
      <c r="B3932" s="1" t="s">
        <v>409</v>
      </c>
      <c r="C3932" s="1" t="s">
        <v>72</v>
      </c>
      <c r="D3932" s="1">
        <v>1.2</v>
      </c>
      <c r="E3932" s="1">
        <v>20348.0</v>
      </c>
      <c r="F3932" s="10">
        <f t="shared" si="1"/>
        <v>1.666666667</v>
      </c>
      <c r="G3932" s="10">
        <f t="array" ref="G3932">index('Player ID'!C:C,match(E3932,'Player ID'!B:B,0))</f>
        <v>676617</v>
      </c>
    </row>
    <row r="3933">
      <c r="A3933" s="76">
        <v>45778.0</v>
      </c>
      <c r="B3933" s="1" t="s">
        <v>273</v>
      </c>
      <c r="C3933" s="1" t="s">
        <v>72</v>
      </c>
      <c r="D3933" s="1">
        <v>1.1</v>
      </c>
      <c r="E3933" s="1">
        <v>22051.0</v>
      </c>
      <c r="F3933" s="10">
        <f t="shared" si="1"/>
        <v>1.333333333</v>
      </c>
      <c r="G3933" s="10">
        <f t="array" ref="G3933">index('Player ID'!C:C,match(E3933,'Player ID'!B:B,0))</f>
        <v>667463</v>
      </c>
    </row>
    <row r="3934">
      <c r="A3934" s="76">
        <v>45778.0</v>
      </c>
      <c r="B3934" s="1" t="s">
        <v>290</v>
      </c>
      <c r="C3934" s="1" t="s">
        <v>72</v>
      </c>
      <c r="D3934" s="1">
        <v>3.0</v>
      </c>
      <c r="E3934" s="1">
        <v>22294.0</v>
      </c>
      <c r="F3934" s="10">
        <f t="shared" si="1"/>
        <v>3</v>
      </c>
      <c r="G3934" s="10">
        <f t="array" ref="G3934">index('Player ID'!C:C,match(E3934,'Player ID'!B:B,0))</f>
        <v>669461</v>
      </c>
    </row>
    <row r="3935">
      <c r="A3935" s="76">
        <v>45778.0</v>
      </c>
      <c r="B3935" s="1" t="s">
        <v>550</v>
      </c>
      <c r="C3935" s="1" t="s">
        <v>66</v>
      </c>
      <c r="D3935" s="1">
        <v>1.0</v>
      </c>
      <c r="E3935" s="1">
        <v>25620.0</v>
      </c>
      <c r="F3935" s="10">
        <f t="shared" si="1"/>
        <v>1</v>
      </c>
      <c r="G3935" s="10">
        <f t="array" ref="G3935">index('Player ID'!C:C,match(E3935,'Player ID'!B:B,0))</f>
        <v>682825</v>
      </c>
    </row>
    <row r="3936">
      <c r="A3936" s="76">
        <v>45778.0</v>
      </c>
      <c r="B3936" s="1" t="s">
        <v>211</v>
      </c>
      <c r="C3936" s="1" t="s">
        <v>66</v>
      </c>
      <c r="D3936" s="1">
        <v>3.0</v>
      </c>
      <c r="E3936" s="1">
        <v>27552.0</v>
      </c>
      <c r="F3936" s="10">
        <f t="shared" si="1"/>
        <v>3</v>
      </c>
      <c r="G3936" s="10">
        <f t="array" ref="G3936">index('Player ID'!C:C,match(E3936,'Player ID'!B:B,0))</f>
        <v>668933</v>
      </c>
    </row>
    <row r="3937">
      <c r="A3937" s="76">
        <v>45778.0</v>
      </c>
      <c r="B3937" s="1" t="s">
        <v>223</v>
      </c>
      <c r="C3937" s="1" t="s">
        <v>72</v>
      </c>
      <c r="D3937" s="1">
        <v>2.0</v>
      </c>
      <c r="E3937" s="1">
        <v>29629.0</v>
      </c>
      <c r="F3937" s="10">
        <f t="shared" si="1"/>
        <v>2</v>
      </c>
      <c r="G3937" s="10">
        <f t="array" ref="G3937">index('Player ID'!C:C,match(E3937,'Player ID'!B:B,0))</f>
        <v>694335</v>
      </c>
    </row>
    <row r="3938">
      <c r="A3938" s="76">
        <v>45778.0</v>
      </c>
      <c r="B3938" s="1" t="s">
        <v>169</v>
      </c>
      <c r="C3938" s="1" t="s">
        <v>66</v>
      </c>
      <c r="D3938" s="1">
        <v>4.0</v>
      </c>
      <c r="E3938" s="1">
        <v>29911.0</v>
      </c>
      <c r="F3938" s="10">
        <f t="shared" si="1"/>
        <v>4</v>
      </c>
      <c r="G3938" s="10">
        <f t="array" ref="G3938">index('Player ID'!C:C,match(E3938,'Player ID'!B:B,0))</f>
        <v>671096</v>
      </c>
    </row>
    <row r="3939">
      <c r="A3939" s="76">
        <v>45778.0</v>
      </c>
      <c r="B3939" s="1" t="s">
        <v>452</v>
      </c>
      <c r="C3939" s="1" t="s">
        <v>29</v>
      </c>
      <c r="D3939" s="1">
        <v>6.0</v>
      </c>
      <c r="E3939" s="1">
        <v>12447.0</v>
      </c>
      <c r="F3939" s="10">
        <f t="shared" si="1"/>
        <v>6</v>
      </c>
      <c r="G3939" s="10">
        <f t="array" ref="G3939">index('Player ID'!C:C,match(E3939,'Player ID'!B:B,0))</f>
        <v>607625</v>
      </c>
    </row>
    <row r="3940">
      <c r="A3940" s="76">
        <v>45778.0</v>
      </c>
      <c r="B3940" s="1" t="s">
        <v>726</v>
      </c>
      <c r="C3940" s="1" t="s">
        <v>29</v>
      </c>
      <c r="D3940" s="1">
        <v>1.0</v>
      </c>
      <c r="E3940" s="1">
        <v>13761.0</v>
      </c>
      <c r="F3940" s="10">
        <f t="shared" si="1"/>
        <v>1</v>
      </c>
      <c r="G3940" s="10">
        <f t="array" ref="G3940">index('Player ID'!C:C,match(E3940,'Player ID'!B:B,0))</f>
        <v>608717</v>
      </c>
    </row>
    <row r="3941">
      <c r="A3941" s="76">
        <v>45778.0</v>
      </c>
      <c r="B3941" s="1" t="s">
        <v>293</v>
      </c>
      <c r="C3941" s="1" t="s">
        <v>29</v>
      </c>
      <c r="D3941" s="1">
        <v>1.0</v>
      </c>
      <c r="E3941" s="1">
        <v>21537.0</v>
      </c>
      <c r="F3941" s="10">
        <f t="shared" si="1"/>
        <v>1</v>
      </c>
      <c r="G3941" s="10">
        <f t="array" ref="G3941">index('Player ID'!C:C,match(E3941,'Player ID'!B:B,0))</f>
        <v>663738</v>
      </c>
    </row>
    <row r="3942">
      <c r="A3942" s="76">
        <v>45778.0</v>
      </c>
      <c r="B3942" s="1" t="s">
        <v>242</v>
      </c>
      <c r="C3942" s="1" t="s">
        <v>54</v>
      </c>
      <c r="D3942" s="1">
        <v>5.2</v>
      </c>
      <c r="E3942" s="1">
        <v>22264.0</v>
      </c>
      <c r="F3942" s="10">
        <f t="shared" si="1"/>
        <v>5.666666667</v>
      </c>
      <c r="G3942" s="10">
        <f t="array" ref="G3942">index('Player ID'!C:C,match(E3942,'Player ID'!B:B,0))</f>
        <v>669358</v>
      </c>
    </row>
    <row r="3943">
      <c r="A3943" s="76">
        <v>45778.0</v>
      </c>
      <c r="B3943" s="1" t="s">
        <v>140</v>
      </c>
      <c r="C3943" s="1" t="s">
        <v>29</v>
      </c>
      <c r="D3943" s="1">
        <v>1.0</v>
      </c>
      <c r="E3943" s="1">
        <v>22717.0</v>
      </c>
      <c r="F3943" s="10">
        <f t="shared" si="1"/>
        <v>1</v>
      </c>
      <c r="G3943" s="10">
        <f t="array" ref="G3943">index('Player ID'!C:C,match(E3943,'Player ID'!B:B,0))</f>
        <v>672582</v>
      </c>
    </row>
    <row r="3944">
      <c r="A3944" s="76">
        <v>45778.0</v>
      </c>
      <c r="B3944" s="1" t="s">
        <v>671</v>
      </c>
      <c r="C3944" s="1" t="s">
        <v>54</v>
      </c>
      <c r="D3944" s="1">
        <v>1.0</v>
      </c>
      <c r="E3944" s="1">
        <v>26259.0</v>
      </c>
      <c r="F3944" s="10">
        <f t="shared" si="1"/>
        <v>1</v>
      </c>
      <c r="G3944" s="10">
        <f t="array" ref="G3944">index('Player ID'!C:C,match(E3944,'Player ID'!B:B,0))</f>
        <v>685801</v>
      </c>
    </row>
    <row r="3945">
      <c r="A3945" s="76">
        <v>45778.0</v>
      </c>
      <c r="B3945" s="1" t="s">
        <v>257</v>
      </c>
      <c r="C3945" s="1" t="s">
        <v>54</v>
      </c>
      <c r="D3945" s="1">
        <v>1.1</v>
      </c>
      <c r="E3945" s="1">
        <v>27626.0</v>
      </c>
      <c r="F3945" s="10">
        <f t="shared" si="1"/>
        <v>1.333333333</v>
      </c>
      <c r="G3945" s="10">
        <f t="array" ref="G3945">index('Player ID'!C:C,match(E3945,'Player ID'!B:B,0))</f>
        <v>679358</v>
      </c>
    </row>
    <row r="3946">
      <c r="A3946" s="76">
        <v>45778.0</v>
      </c>
      <c r="B3946" s="1" t="s">
        <v>334</v>
      </c>
      <c r="C3946" s="1" t="s">
        <v>54</v>
      </c>
      <c r="D3946" s="1">
        <v>1.0</v>
      </c>
      <c r="E3946" s="1">
        <v>29770.0</v>
      </c>
      <c r="F3946" s="10">
        <f t="shared" si="1"/>
        <v>1</v>
      </c>
      <c r="G3946" s="10">
        <f t="array" ref="G3946">index('Player ID'!C:C,match(E3946,'Player ID'!B:B,0))</f>
        <v>682254</v>
      </c>
    </row>
    <row r="3947">
      <c r="A3947" s="76">
        <v>45778.0</v>
      </c>
      <c r="B3947" s="1" t="s">
        <v>103</v>
      </c>
      <c r="C3947" s="1" t="s">
        <v>64</v>
      </c>
      <c r="D3947" s="1">
        <v>1.0</v>
      </c>
      <c r="E3947" s="1">
        <v>10197.0</v>
      </c>
      <c r="F3947" s="10">
        <f t="shared" si="1"/>
        <v>1</v>
      </c>
      <c r="G3947" s="10">
        <f t="array" ref="G3947">index('Player ID'!C:C,match(E3947,'Player ID'!B:B,0))</f>
        <v>571946</v>
      </c>
    </row>
    <row r="3948">
      <c r="A3948" s="76">
        <v>45778.0</v>
      </c>
      <c r="B3948" s="1" t="s">
        <v>219</v>
      </c>
      <c r="C3948" s="1" t="s">
        <v>64</v>
      </c>
      <c r="D3948" s="1">
        <v>1.0</v>
      </c>
      <c r="E3948" s="1">
        <v>16647.0</v>
      </c>
      <c r="F3948" s="10">
        <f t="shared" si="1"/>
        <v>1</v>
      </c>
      <c r="G3948" s="10">
        <f t="array" ref="G3948">index('Player ID'!C:C,match(E3948,'Player ID'!B:B,0))</f>
        <v>657044</v>
      </c>
    </row>
    <row r="3949">
      <c r="A3949" s="76">
        <v>45778.0</v>
      </c>
      <c r="B3949" s="1" t="s">
        <v>295</v>
      </c>
      <c r="C3949" s="1" t="s">
        <v>51</v>
      </c>
      <c r="D3949" s="1">
        <v>1.2</v>
      </c>
      <c r="E3949" s="1">
        <v>16866.0</v>
      </c>
      <c r="F3949" s="10">
        <f t="shared" si="1"/>
        <v>1.666666667</v>
      </c>
      <c r="G3949" s="10">
        <f t="array" ref="G3949">index('Player ID'!C:C,match(E3949,'Player ID'!B:B,0))</f>
        <v>657585</v>
      </c>
    </row>
    <row r="3950">
      <c r="A3950" s="76">
        <v>45778.0</v>
      </c>
      <c r="B3950" s="1" t="s">
        <v>825</v>
      </c>
      <c r="C3950" s="1" t="s">
        <v>51</v>
      </c>
      <c r="D3950" s="1">
        <v>0.1</v>
      </c>
      <c r="E3950" s="1">
        <v>17490.0</v>
      </c>
      <c r="F3950" s="10">
        <f t="shared" si="1"/>
        <v>0.3333333333</v>
      </c>
      <c r="G3950" s="10">
        <f t="array" ref="G3950">index('Player ID'!C:C,match(E3950,'Player ID'!B:B,0))</f>
        <v>650893</v>
      </c>
    </row>
    <row r="3951">
      <c r="A3951" s="76">
        <v>45778.0</v>
      </c>
      <c r="B3951" s="1" t="s">
        <v>195</v>
      </c>
      <c r="C3951" s="1" t="s">
        <v>64</v>
      </c>
      <c r="D3951" s="1">
        <v>6.0</v>
      </c>
      <c r="E3951" s="1">
        <v>19291.0</v>
      </c>
      <c r="F3951" s="10">
        <f t="shared" si="1"/>
        <v>6</v>
      </c>
      <c r="G3951" s="10">
        <f t="array" ref="G3951">index('Player ID'!C:C,match(E3951,'Player ID'!B:B,0))</f>
        <v>668678</v>
      </c>
    </row>
    <row r="3952">
      <c r="A3952" s="76">
        <v>45778.0</v>
      </c>
      <c r="B3952" s="1" t="s">
        <v>823</v>
      </c>
      <c r="C3952" s="1" t="s">
        <v>64</v>
      </c>
      <c r="D3952" s="1">
        <v>1.0</v>
      </c>
      <c r="E3952" s="1">
        <v>19876.0</v>
      </c>
      <c r="F3952" s="10">
        <f t="shared" si="1"/>
        <v>1</v>
      </c>
      <c r="G3952" s="10">
        <f t="array" ref="G3952">index('Player ID'!C:C,match(E3952,'Player ID'!B:B,0))</f>
        <v>656464</v>
      </c>
    </row>
    <row r="3953">
      <c r="A3953" s="76">
        <v>45778.0</v>
      </c>
      <c r="B3953" s="1" t="s">
        <v>50</v>
      </c>
      <c r="C3953" s="1" t="s">
        <v>51</v>
      </c>
      <c r="D3953" s="1">
        <v>2.2</v>
      </c>
      <c r="E3953" s="1">
        <v>22175.0</v>
      </c>
      <c r="F3953" s="10">
        <f t="shared" si="1"/>
        <v>2.666666667</v>
      </c>
      <c r="G3953" s="10">
        <f t="array" ref="G3953">index('Player ID'!C:C,match(E3953,'Player ID'!B:B,0))</f>
        <v>668820</v>
      </c>
    </row>
    <row r="3954">
      <c r="A3954" s="76">
        <v>45778.0</v>
      </c>
      <c r="B3954" s="1" t="s">
        <v>780</v>
      </c>
      <c r="C3954" s="1" t="s">
        <v>51</v>
      </c>
      <c r="D3954" s="1">
        <v>0.1</v>
      </c>
      <c r="E3954" s="1">
        <v>25651.0</v>
      </c>
      <c r="F3954" s="10">
        <f t="shared" si="1"/>
        <v>0.3333333333</v>
      </c>
      <c r="G3954" s="10">
        <f t="array" ref="G3954">index('Player ID'!C:C,match(E3954,'Player ID'!B:B,0))</f>
        <v>686654</v>
      </c>
    </row>
    <row r="3955">
      <c r="A3955" s="76">
        <v>45778.0</v>
      </c>
      <c r="B3955" s="1" t="s">
        <v>461</v>
      </c>
      <c r="C3955" s="1" t="s">
        <v>51</v>
      </c>
      <c r="D3955" s="1">
        <v>4.0</v>
      </c>
      <c r="E3955" s="1">
        <v>31838.0</v>
      </c>
      <c r="F3955" s="10">
        <f t="shared" si="1"/>
        <v>4</v>
      </c>
      <c r="G3955" s="10">
        <f t="array" ref="G3955">index('Player ID'!C:C,match(E3955,'Player ID'!B:B,0))</f>
        <v>673540</v>
      </c>
    </row>
    <row r="3956">
      <c r="A3956" s="76">
        <v>45778.0</v>
      </c>
      <c r="B3956" s="1" t="s">
        <v>117</v>
      </c>
      <c r="C3956" s="1" t="s">
        <v>70</v>
      </c>
      <c r="D3956" s="1">
        <v>0.2</v>
      </c>
      <c r="E3956" s="1">
        <v>13619.0</v>
      </c>
      <c r="F3956" s="10">
        <f t="shared" si="1"/>
        <v>0.6666666667</v>
      </c>
      <c r="G3956" s="10">
        <f t="array" ref="G3956">index('Player ID'!C:C,match(E3956,'Player ID'!B:B,0))</f>
        <v>596001</v>
      </c>
    </row>
    <row r="3957">
      <c r="A3957" s="76">
        <v>45778.0</v>
      </c>
      <c r="B3957" s="1" t="s">
        <v>298</v>
      </c>
      <c r="C3957" s="1" t="s">
        <v>70</v>
      </c>
      <c r="D3957" s="1">
        <v>5.2</v>
      </c>
      <c r="E3957" s="1">
        <v>14932.0</v>
      </c>
      <c r="F3957" s="10">
        <f t="shared" si="1"/>
        <v>5.666666667</v>
      </c>
      <c r="G3957" s="10">
        <f t="array" ref="G3957">index('Player ID'!C:C,match(E3957,'Player ID'!B:B,0))</f>
        <v>594902</v>
      </c>
    </row>
    <row r="3958">
      <c r="A3958" s="76">
        <v>45778.0</v>
      </c>
      <c r="B3958" s="1" t="s">
        <v>146</v>
      </c>
      <c r="C3958" s="1" t="s">
        <v>16</v>
      </c>
      <c r="D3958" s="1">
        <v>0.1</v>
      </c>
      <c r="E3958" s="1">
        <v>15145.0</v>
      </c>
      <c r="F3958" s="10">
        <f t="shared" si="1"/>
        <v>0.3333333333</v>
      </c>
      <c r="G3958" s="10">
        <f t="array" ref="G3958">index('Player ID'!C:C,match(E3958,'Player ID'!B:B,0))</f>
        <v>623437</v>
      </c>
    </row>
    <row r="3959">
      <c r="A3959" s="76">
        <v>45778.0</v>
      </c>
      <c r="B3959" s="1" t="s">
        <v>259</v>
      </c>
      <c r="C3959" s="1" t="s">
        <v>70</v>
      </c>
      <c r="D3959" s="1">
        <v>1.0</v>
      </c>
      <c r="E3959" s="1">
        <v>18694.0</v>
      </c>
      <c r="F3959" s="10">
        <f t="shared" si="1"/>
        <v>1</v>
      </c>
      <c r="G3959" s="10">
        <f t="array" ref="G3959">index('Player ID'!C:C,match(E3959,'Player ID'!B:B,0))</f>
        <v>663465</v>
      </c>
    </row>
    <row r="3960">
      <c r="A3960" s="76">
        <v>45778.0</v>
      </c>
      <c r="B3960" s="1" t="s">
        <v>28</v>
      </c>
      <c r="C3960" s="1" t="s">
        <v>16</v>
      </c>
      <c r="D3960" s="1">
        <v>1.0</v>
      </c>
      <c r="E3960" s="1">
        <v>20253.0</v>
      </c>
      <c r="F3960" s="10">
        <f t="shared" si="1"/>
        <v>1</v>
      </c>
      <c r="G3960" s="10">
        <f t="array" ref="G3960">index('Player ID'!C:C,match(E3960,'Player ID'!B:B,0))</f>
        <v>643377</v>
      </c>
    </row>
    <row r="3961">
      <c r="A3961" s="76">
        <v>45778.0</v>
      </c>
      <c r="B3961" s="1" t="s">
        <v>122</v>
      </c>
      <c r="C3961" s="1" t="s">
        <v>16</v>
      </c>
      <c r="D3961" s="1">
        <v>1.0</v>
      </c>
      <c r="E3961" s="1">
        <v>21029.0</v>
      </c>
      <c r="F3961" s="10">
        <f t="shared" si="1"/>
        <v>1</v>
      </c>
      <c r="G3961" s="10">
        <f t="array" ref="G3961">index('Player ID'!C:C,match(E3961,'Player ID'!B:B,0))</f>
        <v>661395</v>
      </c>
    </row>
    <row r="3962">
      <c r="A3962" s="76">
        <v>45778.0</v>
      </c>
      <c r="B3962" s="1" t="s">
        <v>237</v>
      </c>
      <c r="C3962" s="1" t="s">
        <v>16</v>
      </c>
      <c r="D3962" s="1">
        <v>1.1</v>
      </c>
      <c r="E3962" s="1">
        <v>21461.0</v>
      </c>
      <c r="F3962" s="10">
        <f t="shared" si="1"/>
        <v>1.333333333</v>
      </c>
      <c r="G3962" s="10">
        <f t="array" ref="G3962">index('Player ID'!C:C,match(E3962,'Player ID'!B:B,0))</f>
        <v>663485</v>
      </c>
    </row>
    <row r="3963">
      <c r="A3963" s="76">
        <v>45778.0</v>
      </c>
      <c r="B3963" s="1" t="s">
        <v>398</v>
      </c>
      <c r="C3963" s="1" t="s">
        <v>70</v>
      </c>
      <c r="D3963" s="1">
        <v>0.2</v>
      </c>
      <c r="E3963" s="1">
        <v>23335.0</v>
      </c>
      <c r="F3963" s="10">
        <f t="shared" si="1"/>
        <v>0.6666666667</v>
      </c>
      <c r="G3963" s="10">
        <f t="array" ref="G3963">index('Player ID'!C:C,match(E3963,'Player ID'!B:B,0))</f>
        <v>676282</v>
      </c>
    </row>
    <row r="3964">
      <c r="A3964" s="76">
        <v>45778.0</v>
      </c>
      <c r="B3964" s="1" t="s">
        <v>490</v>
      </c>
      <c r="C3964" s="1" t="s">
        <v>16</v>
      </c>
      <c r="D3964" s="1">
        <v>4.2</v>
      </c>
      <c r="E3964" s="1">
        <v>24494.0</v>
      </c>
      <c r="F3964" s="10">
        <f t="shared" si="1"/>
        <v>4.666666667</v>
      </c>
      <c r="G3964" s="10">
        <f t="array" ref="G3964">index('Player ID'!C:C,match(E3964,'Player ID'!B:B,0))</f>
        <v>680573</v>
      </c>
    </row>
    <row r="3965">
      <c r="A3965" s="76">
        <v>45778.0</v>
      </c>
      <c r="B3965" s="1" t="s">
        <v>519</v>
      </c>
      <c r="C3965" s="1" t="s">
        <v>70</v>
      </c>
      <c r="D3965" s="1">
        <v>1.1</v>
      </c>
      <c r="E3965" s="1">
        <v>25139.0</v>
      </c>
      <c r="F3965" s="10">
        <f t="shared" si="1"/>
        <v>1.333333333</v>
      </c>
      <c r="G3965" s="10">
        <f t="array" ref="G3965">index('Player ID'!C:C,match(E3965,'Player ID'!B:B,0))</f>
        <v>682120</v>
      </c>
    </row>
    <row r="3966">
      <c r="A3966" s="76">
        <v>45778.0</v>
      </c>
      <c r="B3966" s="1" t="s">
        <v>238</v>
      </c>
      <c r="C3966" s="1" t="s">
        <v>70</v>
      </c>
      <c r="D3966" s="1">
        <v>0.2</v>
      </c>
      <c r="E3966" s="1">
        <v>25636.0</v>
      </c>
      <c r="F3966" s="10">
        <f t="shared" si="1"/>
        <v>0.6666666667</v>
      </c>
      <c r="G3966" s="10">
        <f t="array" ref="G3966">index('Player ID'!C:C,match(E3966,'Player ID'!B:B,0))</f>
        <v>683769</v>
      </c>
    </row>
    <row r="3967">
      <c r="A3967" s="76">
        <v>45778.0</v>
      </c>
      <c r="B3967" s="1" t="s">
        <v>47</v>
      </c>
      <c r="C3967" s="1" t="s">
        <v>16</v>
      </c>
      <c r="D3967" s="1">
        <v>1.0</v>
      </c>
      <c r="E3967" s="1">
        <v>27691.0</v>
      </c>
      <c r="F3967" s="10">
        <f t="shared" si="1"/>
        <v>1</v>
      </c>
      <c r="G3967" s="10">
        <f t="array" ref="G3967">index('Player ID'!C:C,match(E3967,'Player ID'!B:B,0))</f>
        <v>686973</v>
      </c>
    </row>
    <row r="3968">
      <c r="A3968" s="76">
        <v>45778.0</v>
      </c>
      <c r="B3968" s="1" t="s">
        <v>634</v>
      </c>
      <c r="C3968" s="1" t="s">
        <v>14</v>
      </c>
      <c r="D3968" s="1">
        <v>0.1</v>
      </c>
      <c r="E3968" s="1">
        <v>14332.0</v>
      </c>
      <c r="F3968" s="10">
        <f t="shared" si="1"/>
        <v>0.3333333333</v>
      </c>
      <c r="G3968" s="10">
        <f t="array" ref="G3968">index('Player ID'!C:C,match(E3968,'Player ID'!B:B,0))</f>
        <v>606303</v>
      </c>
    </row>
    <row r="3969">
      <c r="A3969" s="76">
        <v>45778.0</v>
      </c>
      <c r="B3969" s="1" t="s">
        <v>689</v>
      </c>
      <c r="C3969" s="1" t="s">
        <v>14</v>
      </c>
      <c r="D3969" s="1">
        <v>1.0</v>
      </c>
      <c r="E3969" s="1">
        <v>15194.0</v>
      </c>
      <c r="F3969" s="10">
        <f t="shared" si="1"/>
        <v>1</v>
      </c>
      <c r="G3969" s="10">
        <f t="array" ref="G3969">index('Player ID'!C:C,match(E3969,'Player ID'!B:B,0))</f>
        <v>641343</v>
      </c>
    </row>
    <row r="3970">
      <c r="A3970" s="76">
        <v>45778.0</v>
      </c>
      <c r="B3970" s="1" t="s">
        <v>706</v>
      </c>
      <c r="C3970" s="1" t="s">
        <v>78</v>
      </c>
      <c r="D3970" s="1">
        <v>1.0</v>
      </c>
      <c r="E3970" s="1">
        <v>27472.0</v>
      </c>
      <c r="F3970" s="10">
        <f t="shared" si="1"/>
        <v>1</v>
      </c>
      <c r="G3970" s="10">
        <f t="array" ref="G3970">index('Player ID'!C:C,match(E3970,'Player ID'!B:B,0))</f>
        <v>694363</v>
      </c>
    </row>
    <row r="3971">
      <c r="A3971" s="76">
        <v>45778.0</v>
      </c>
      <c r="B3971" s="1" t="s">
        <v>367</v>
      </c>
      <c r="C3971" s="1" t="s">
        <v>78</v>
      </c>
      <c r="D3971" s="1">
        <v>1.0</v>
      </c>
      <c r="E3971" s="1">
        <v>27668.0</v>
      </c>
      <c r="F3971" s="10">
        <f t="shared" si="1"/>
        <v>1</v>
      </c>
      <c r="G3971" s="10">
        <f t="array" ref="G3971">index('Player ID'!C:C,match(E3971,'Player ID'!B:B,0))</f>
        <v>685126</v>
      </c>
    </row>
    <row r="3972">
      <c r="A3972" s="76">
        <v>45778.0</v>
      </c>
      <c r="B3972" s="1" t="s">
        <v>356</v>
      </c>
      <c r="C3972" s="1" t="s">
        <v>78</v>
      </c>
      <c r="D3972" s="1">
        <v>6.0</v>
      </c>
      <c r="E3972" s="1">
        <v>29878.0</v>
      </c>
      <c r="F3972" s="10">
        <f t="shared" si="1"/>
        <v>6</v>
      </c>
      <c r="G3972" s="10">
        <f t="array" ref="G3972">index('Player ID'!C:C,match(E3972,'Player ID'!B:B,0))</f>
        <v>680732</v>
      </c>
    </row>
    <row r="3973">
      <c r="A3973" s="76">
        <v>45778.0</v>
      </c>
      <c r="B3973" s="1" t="s">
        <v>497</v>
      </c>
      <c r="C3973" s="1" t="s">
        <v>78</v>
      </c>
      <c r="D3973" s="1">
        <v>1.0</v>
      </c>
      <c r="E3973" s="1">
        <v>30105.0</v>
      </c>
      <c r="F3973" s="10">
        <f t="shared" si="1"/>
        <v>1</v>
      </c>
      <c r="G3973" s="10">
        <f t="array" ref="G3973">index('Player ID'!C:C,match(E3973,'Player ID'!B:B,0))</f>
        <v>678024</v>
      </c>
    </row>
    <row r="3974">
      <c r="A3974" s="76">
        <v>45778.0</v>
      </c>
      <c r="B3974" s="1" t="s">
        <v>496</v>
      </c>
      <c r="C3974" s="1" t="s">
        <v>14</v>
      </c>
      <c r="D3974" s="1">
        <v>5.2</v>
      </c>
      <c r="E3974" s="1">
        <v>30113.0</v>
      </c>
      <c r="F3974" s="10">
        <f t="shared" si="1"/>
        <v>5.666666667</v>
      </c>
      <c r="G3974" s="10">
        <f t="array" ref="G3974">index('Player ID'!C:C,match(E3974,'Player ID'!B:B,0))</f>
        <v>694477</v>
      </c>
    </row>
    <row r="3975">
      <c r="A3975" s="76">
        <v>45778.0</v>
      </c>
      <c r="B3975" s="1" t="s">
        <v>815</v>
      </c>
      <c r="C3975" s="1" t="s">
        <v>14</v>
      </c>
      <c r="D3975" s="1">
        <v>1.0</v>
      </c>
      <c r="E3975" s="1">
        <v>33248.0</v>
      </c>
      <c r="F3975" s="10">
        <f t="shared" si="1"/>
        <v>1</v>
      </c>
      <c r="G3975" s="10">
        <f t="array" ref="G3975">index('Player ID'!C:C,match(E3975,'Player ID'!B:B,0))</f>
        <v>684974</v>
      </c>
    </row>
    <row r="3976">
      <c r="A3976" s="76">
        <v>45778.0</v>
      </c>
      <c r="B3976" s="1" t="s">
        <v>668</v>
      </c>
      <c r="C3976" s="1" t="s">
        <v>52</v>
      </c>
      <c r="D3976" s="1">
        <v>0.1</v>
      </c>
      <c r="E3976" s="1">
        <v>3237.0</v>
      </c>
      <c r="F3976" s="10">
        <f t="shared" si="1"/>
        <v>0.3333333333</v>
      </c>
      <c r="G3976" s="10">
        <f t="array" ref="G3976">index('Player ID'!C:C,match(E3976,'Player ID'!B:B,0))</f>
        <v>519008</v>
      </c>
    </row>
    <row r="3977">
      <c r="A3977" s="76">
        <v>45778.0</v>
      </c>
      <c r="B3977" s="1" t="s">
        <v>440</v>
      </c>
      <c r="C3977" s="1" t="s">
        <v>56</v>
      </c>
      <c r="D3977" s="1">
        <v>1.0</v>
      </c>
      <c r="E3977" s="1">
        <v>12857.0</v>
      </c>
      <c r="F3977" s="10">
        <f t="shared" si="1"/>
        <v>1</v>
      </c>
      <c r="G3977" s="10">
        <f t="array" ref="G3977">index('Player ID'!C:C,match(E3977,'Player ID'!B:B,0))</f>
        <v>542888</v>
      </c>
    </row>
    <row r="3978">
      <c r="A3978" s="76">
        <v>45778.0</v>
      </c>
      <c r="B3978" s="1" t="s">
        <v>151</v>
      </c>
      <c r="C3978" s="1" t="s">
        <v>56</v>
      </c>
      <c r="D3978" s="1">
        <v>0.2</v>
      </c>
      <c r="E3978" s="1">
        <v>13346.0</v>
      </c>
      <c r="F3978" s="10">
        <f t="shared" si="1"/>
        <v>0.6666666667</v>
      </c>
      <c r="G3978" s="10">
        <f t="array" ref="G3978">index('Player ID'!C:C,match(E3978,'Player ID'!B:B,0))</f>
        <v>571948</v>
      </c>
    </row>
    <row r="3979">
      <c r="A3979" s="76">
        <v>45778.0</v>
      </c>
      <c r="B3979" s="1" t="s">
        <v>55</v>
      </c>
      <c r="C3979" s="1" t="s">
        <v>56</v>
      </c>
      <c r="D3979" s="1">
        <v>6.0</v>
      </c>
      <c r="E3979" s="1">
        <v>16358.0</v>
      </c>
      <c r="F3979" s="10">
        <f t="shared" si="1"/>
        <v>6</v>
      </c>
      <c r="G3979" s="10">
        <f t="array" ref="G3979">index('Player ID'!C:C,match(E3979,'Player ID'!B:B,0))</f>
        <v>641816</v>
      </c>
    </row>
    <row r="3980">
      <c r="A3980" s="76">
        <v>45778.0</v>
      </c>
      <c r="B3980" s="1" t="s">
        <v>336</v>
      </c>
      <c r="C3980" s="1" t="s">
        <v>52</v>
      </c>
      <c r="D3980" s="1">
        <v>6.0</v>
      </c>
      <c r="E3980" s="1">
        <v>17677.0</v>
      </c>
      <c r="F3980" s="10">
        <f t="shared" si="1"/>
        <v>6</v>
      </c>
      <c r="G3980" s="10">
        <f t="array" ref="G3980">index('Player ID'!C:C,match(E3980,'Player ID'!B:B,0))</f>
        <v>605488</v>
      </c>
    </row>
    <row r="3981">
      <c r="A3981" s="76">
        <v>45778.0</v>
      </c>
      <c r="B3981" s="1" t="s">
        <v>87</v>
      </c>
      <c r="C3981" s="1" t="s">
        <v>56</v>
      </c>
      <c r="D3981" s="1">
        <v>0.1</v>
      </c>
      <c r="E3981" s="1">
        <v>19274.0</v>
      </c>
      <c r="F3981" s="10">
        <f t="shared" si="1"/>
        <v>0.3333333333</v>
      </c>
      <c r="G3981" s="10">
        <f t="array" ref="G3981">index('Player ID'!C:C,match(E3981,'Player ID'!B:B,0))</f>
        <v>657097</v>
      </c>
    </row>
    <row r="3982">
      <c r="A3982" s="76">
        <v>45778.0</v>
      </c>
      <c r="B3982" s="1" t="s">
        <v>111</v>
      </c>
      <c r="C3982" s="1" t="s">
        <v>56</v>
      </c>
      <c r="D3982" s="1">
        <v>1.0</v>
      </c>
      <c r="E3982" s="1">
        <v>21306.0</v>
      </c>
      <c r="F3982" s="10">
        <f t="shared" si="1"/>
        <v>1</v>
      </c>
      <c r="G3982" s="10">
        <f t="array" ref="G3982">index('Player ID'!C:C,match(E3982,'Player ID'!B:B,0))</f>
        <v>656641</v>
      </c>
    </row>
    <row r="3983">
      <c r="A3983" s="76">
        <v>45778.0</v>
      </c>
      <c r="B3983" s="1" t="s">
        <v>213</v>
      </c>
      <c r="C3983" s="1" t="s">
        <v>52</v>
      </c>
      <c r="D3983" s="1">
        <v>1.0</v>
      </c>
      <c r="E3983" s="1">
        <v>27694.0</v>
      </c>
      <c r="F3983" s="10">
        <f t="shared" si="1"/>
        <v>1</v>
      </c>
      <c r="G3983" s="10">
        <f t="array" ref="G3983">index('Player ID'!C:C,match(E3983,'Player ID'!B:B,0))</f>
        <v>686993</v>
      </c>
    </row>
    <row r="3984">
      <c r="A3984" s="76">
        <v>45778.0</v>
      </c>
      <c r="B3984" s="1" t="s">
        <v>127</v>
      </c>
      <c r="C3984" s="1" t="s">
        <v>52</v>
      </c>
      <c r="D3984" s="1">
        <v>0.2</v>
      </c>
      <c r="E3984" s="1">
        <v>27707.0</v>
      </c>
      <c r="F3984" s="10">
        <f t="shared" si="1"/>
        <v>0.6666666667</v>
      </c>
      <c r="G3984" s="10">
        <f t="array" ref="G3984">index('Player ID'!C:C,match(E3984,'Player ID'!B:B,0))</f>
        <v>687765</v>
      </c>
    </row>
    <row r="3985">
      <c r="A3985" s="76">
        <v>45778.0</v>
      </c>
      <c r="B3985" s="1" t="s">
        <v>286</v>
      </c>
      <c r="C3985" s="1" t="s">
        <v>52</v>
      </c>
      <c r="D3985" s="1">
        <v>1.0</v>
      </c>
      <c r="E3985" s="1">
        <v>31757.0</v>
      </c>
      <c r="F3985" s="10">
        <f t="shared" si="1"/>
        <v>1</v>
      </c>
      <c r="G3985" s="10">
        <f t="array" ref="G3985">index('Player ID'!C:C,match(E3985,'Player ID'!B:B,0))</f>
        <v>695243</v>
      </c>
    </row>
    <row r="3986">
      <c r="A3986" s="76">
        <v>45778.0</v>
      </c>
      <c r="B3986" s="1" t="s">
        <v>453</v>
      </c>
      <c r="C3986" s="1" t="s">
        <v>45</v>
      </c>
      <c r="D3986" s="1">
        <v>5.2</v>
      </c>
      <c r="E3986" s="1">
        <v>11836.0</v>
      </c>
      <c r="F3986" s="10">
        <f t="shared" si="1"/>
        <v>5.666666667</v>
      </c>
      <c r="G3986" s="10">
        <f t="array" ref="G3986">index('Player ID'!C:C,match(E3986,'Player ID'!B:B,0))</f>
        <v>592836</v>
      </c>
    </row>
    <row r="3987">
      <c r="A3987" s="76">
        <v>45778.0</v>
      </c>
      <c r="B3987" s="1" t="s">
        <v>360</v>
      </c>
      <c r="C3987" s="1" t="s">
        <v>45</v>
      </c>
      <c r="D3987" s="1">
        <v>2.0</v>
      </c>
      <c r="E3987" s="1">
        <v>12972.0</v>
      </c>
      <c r="F3987" s="10">
        <f t="shared" si="1"/>
        <v>2</v>
      </c>
      <c r="G3987" s="10">
        <f t="array" ref="G3987">index('Player ID'!C:C,match(E3987,'Player ID'!B:B,0))</f>
        <v>605452</v>
      </c>
    </row>
    <row r="3988">
      <c r="A3988" s="76">
        <v>45778.0</v>
      </c>
      <c r="B3988" s="1" t="s">
        <v>719</v>
      </c>
      <c r="C3988" s="1" t="s">
        <v>80</v>
      </c>
      <c r="D3988" s="1">
        <v>1.0</v>
      </c>
      <c r="E3988" s="1">
        <v>14527.0</v>
      </c>
      <c r="F3988" s="10">
        <f t="shared" si="1"/>
        <v>1</v>
      </c>
      <c r="G3988" s="10">
        <f t="array" ref="G3988">index('Player ID'!C:C,match(E3988,'Player ID'!B:B,0))</f>
        <v>605347</v>
      </c>
    </row>
    <row r="3989">
      <c r="A3989" s="76">
        <v>45778.0</v>
      </c>
      <c r="B3989" s="1" t="s">
        <v>139</v>
      </c>
      <c r="C3989" s="1" t="s">
        <v>80</v>
      </c>
      <c r="D3989" s="1">
        <v>1.0</v>
      </c>
      <c r="E3989" s="1">
        <v>15009.0</v>
      </c>
      <c r="F3989" s="10">
        <f t="shared" si="1"/>
        <v>1</v>
      </c>
      <c r="G3989" s="10">
        <f t="array" ref="G3989">index('Player ID'!C:C,match(E3989,'Player ID'!B:B,0))</f>
        <v>640448</v>
      </c>
    </row>
    <row r="3990">
      <c r="A3990" s="76">
        <v>45778.0</v>
      </c>
      <c r="B3990" s="1" t="s">
        <v>701</v>
      </c>
      <c r="C3990" s="1" t="s">
        <v>45</v>
      </c>
      <c r="D3990" s="1">
        <v>1.0</v>
      </c>
      <c r="E3990" s="1">
        <v>22713.0</v>
      </c>
      <c r="F3990" s="10">
        <f t="shared" si="1"/>
        <v>1</v>
      </c>
      <c r="G3990" s="10">
        <f t="array" ref="G3990">index('Player ID'!C:C,match(E3990,'Player ID'!B:B,0))</f>
        <v>672578</v>
      </c>
    </row>
    <row r="3991">
      <c r="A3991" s="76">
        <v>45778.0</v>
      </c>
      <c r="B3991" s="1" t="s">
        <v>86</v>
      </c>
      <c r="C3991" s="1" t="s">
        <v>80</v>
      </c>
      <c r="D3991" s="1">
        <v>2.0</v>
      </c>
      <c r="E3991" s="1">
        <v>24017.0</v>
      </c>
      <c r="F3991" s="10">
        <f t="shared" si="1"/>
        <v>2</v>
      </c>
      <c r="G3991" s="10">
        <f t="array" ref="G3991">index('Player ID'!C:C,match(E3991,'Player ID'!B:B,0))</f>
        <v>678606</v>
      </c>
    </row>
    <row r="3992">
      <c r="A3992" s="76">
        <v>45778.0</v>
      </c>
      <c r="B3992" s="1" t="s">
        <v>165</v>
      </c>
      <c r="C3992" s="1" t="s">
        <v>45</v>
      </c>
      <c r="D3992" s="1">
        <v>0.1</v>
      </c>
      <c r="E3992" s="1">
        <v>31776.0</v>
      </c>
      <c r="F3992" s="10">
        <f t="shared" si="1"/>
        <v>0.3333333333</v>
      </c>
      <c r="G3992" s="10">
        <f t="array" ref="G3992">index('Player ID'!C:C,match(E3992,'Player ID'!B:B,0))</f>
        <v>689147</v>
      </c>
    </row>
    <row r="3993">
      <c r="A3993" s="76">
        <v>45778.0</v>
      </c>
      <c r="B3993" s="1" t="s">
        <v>437</v>
      </c>
      <c r="C3993" s="1" t="s">
        <v>80</v>
      </c>
      <c r="D3993" s="1">
        <v>5.0</v>
      </c>
      <c r="E3993" s="1">
        <v>31972.0</v>
      </c>
      <c r="F3993" s="10">
        <f t="shared" si="1"/>
        <v>5</v>
      </c>
      <c r="G3993" s="10">
        <f t="array" ref="G3993">index('Player ID'!C:C,match(E3993,'Player ID'!B:B,0))</f>
        <v>695418</v>
      </c>
    </row>
    <row r="3994">
      <c r="A3994" s="76">
        <v>45778.0</v>
      </c>
      <c r="B3994" s="1" t="s">
        <v>673</v>
      </c>
      <c r="C3994" s="1" t="s">
        <v>40</v>
      </c>
      <c r="D3994" s="1">
        <v>1.0</v>
      </c>
      <c r="E3994" s="1">
        <v>12095.0</v>
      </c>
      <c r="F3994" s="10">
        <f t="shared" si="1"/>
        <v>1</v>
      </c>
      <c r="G3994" s="10">
        <f t="array" ref="G3994">index('Player ID'!C:C,match(E3994,'Player ID'!B:B,0))</f>
        <v>554340</v>
      </c>
    </row>
    <row r="3995">
      <c r="A3995" s="76">
        <v>45778.0</v>
      </c>
      <c r="B3995" s="1" t="s">
        <v>638</v>
      </c>
      <c r="C3995" s="1" t="s">
        <v>40</v>
      </c>
      <c r="D3995" s="1">
        <v>6.2</v>
      </c>
      <c r="E3995" s="1">
        <v>14168.0</v>
      </c>
      <c r="F3995" s="10">
        <f t="shared" si="1"/>
        <v>6.666666667</v>
      </c>
      <c r="G3995" s="10">
        <f t="array" ref="G3995">index('Player ID'!C:C,match(E3995,'Player ID'!B:B,0))</f>
        <v>621244</v>
      </c>
    </row>
    <row r="3996">
      <c r="A3996" s="76">
        <v>45778.0</v>
      </c>
      <c r="B3996" s="1" t="s">
        <v>301</v>
      </c>
      <c r="C3996" s="1" t="s">
        <v>22</v>
      </c>
      <c r="D3996" s="1">
        <v>7.0</v>
      </c>
      <c r="E3996" s="1">
        <v>19879.0</v>
      </c>
      <c r="F3996" s="10">
        <f t="shared" si="1"/>
        <v>7</v>
      </c>
      <c r="G3996" s="10">
        <f t="array" ref="G3996">index('Player ID'!C:C,match(E3996,'Player ID'!B:B,0))</f>
        <v>656557</v>
      </c>
    </row>
    <row r="3997">
      <c r="A3997" s="76">
        <v>45778.0</v>
      </c>
      <c r="B3997" s="1" t="s">
        <v>645</v>
      </c>
      <c r="C3997" s="1" t="s">
        <v>22</v>
      </c>
      <c r="D3997" s="1">
        <v>1.0</v>
      </c>
      <c r="E3997" s="1">
        <v>25648.0</v>
      </c>
      <c r="F3997" s="10">
        <f t="shared" si="1"/>
        <v>1</v>
      </c>
      <c r="G3997" s="10">
        <f t="array" ref="G3997">index('Player ID'!C:C,match(E3997,'Player ID'!B:B,0))</f>
        <v>686580</v>
      </c>
    </row>
    <row r="3998">
      <c r="A3998" s="76">
        <v>45778.0</v>
      </c>
      <c r="B3998" s="1" t="s">
        <v>142</v>
      </c>
      <c r="C3998" s="1" t="s">
        <v>40</v>
      </c>
      <c r="D3998" s="1">
        <v>1.1</v>
      </c>
      <c r="E3998" s="1">
        <v>31553.0</v>
      </c>
      <c r="F3998" s="10">
        <f t="shared" si="1"/>
        <v>1.333333333</v>
      </c>
      <c r="G3998" s="10">
        <f t="array" ref="G3998">index('Player ID'!C:C,match(E3998,'Player ID'!B:B,0))</f>
        <v>689254</v>
      </c>
    </row>
    <row r="3999">
      <c r="A3999" s="76">
        <v>45778.0</v>
      </c>
      <c r="B3999" s="1" t="s">
        <v>439</v>
      </c>
      <c r="C3999" s="1" t="s">
        <v>62</v>
      </c>
      <c r="D3999" s="1">
        <v>1.0</v>
      </c>
      <c r="E3999" s="1">
        <v>11384.0</v>
      </c>
      <c r="F3999" s="10">
        <f t="shared" si="1"/>
        <v>1</v>
      </c>
      <c r="G3999" s="10">
        <f t="array" ref="G3999">index('Player ID'!C:C,match(E3999,'Player ID'!B:B,0))</f>
        <v>592454</v>
      </c>
    </row>
    <row r="4000">
      <c r="A4000" s="76">
        <v>45778.0</v>
      </c>
      <c r="B4000" s="1" t="s">
        <v>291</v>
      </c>
      <c r="C4000" s="1" t="s">
        <v>25</v>
      </c>
      <c r="D4000" s="1">
        <v>1.0</v>
      </c>
      <c r="E4000" s="1">
        <v>17968.0</v>
      </c>
      <c r="F4000" s="10">
        <f t="shared" si="1"/>
        <v>1</v>
      </c>
      <c r="G4000" s="10">
        <f t="array" ref="G4000">index('Player ID'!C:C,match(E4000,'Player ID'!B:B,0))</f>
        <v>656271</v>
      </c>
    </row>
    <row r="4001">
      <c r="A4001" s="76">
        <v>45778.0</v>
      </c>
      <c r="B4001" s="1" t="s">
        <v>125</v>
      </c>
      <c r="C4001" s="1" t="s">
        <v>62</v>
      </c>
      <c r="D4001" s="1">
        <v>7.0</v>
      </c>
      <c r="E4001" s="1">
        <v>20492.0</v>
      </c>
      <c r="F4001" s="10">
        <f t="shared" si="1"/>
        <v>7</v>
      </c>
      <c r="G4001" s="10">
        <f t="array" ref="G4001">index('Player ID'!C:C,match(E4001,'Player ID'!B:B,0))</f>
        <v>663554</v>
      </c>
    </row>
    <row r="4002">
      <c r="A4002" s="76">
        <v>45778.0</v>
      </c>
      <c r="B4002" s="1" t="s">
        <v>232</v>
      </c>
      <c r="C4002" s="1" t="s">
        <v>25</v>
      </c>
      <c r="D4002" s="1">
        <v>5.0</v>
      </c>
      <c r="E4002" s="1">
        <v>20633.0</v>
      </c>
      <c r="F4002" s="10">
        <f t="shared" si="1"/>
        <v>5</v>
      </c>
      <c r="G4002" s="10">
        <f t="array" ref="G4002">index('Player ID'!C:C,match(E4002,'Player ID'!B:B,0))</f>
        <v>579328</v>
      </c>
    </row>
    <row r="4003">
      <c r="A4003" s="76">
        <v>45778.0</v>
      </c>
      <c r="B4003" s="1" t="s">
        <v>385</v>
      </c>
      <c r="C4003" s="1" t="s">
        <v>25</v>
      </c>
      <c r="D4003" s="1">
        <v>1.0</v>
      </c>
      <c r="E4003" s="1">
        <v>25420.0</v>
      </c>
      <c r="F4003" s="10">
        <f t="shared" si="1"/>
        <v>1</v>
      </c>
      <c r="G4003" s="10">
        <f t="array" ref="G4003">index('Player ID'!C:C,match(E4003,'Player ID'!B:B,0))</f>
        <v>666171</v>
      </c>
    </row>
    <row r="4004">
      <c r="A4004" s="76">
        <v>45778.0</v>
      </c>
      <c r="B4004" s="1" t="s">
        <v>753</v>
      </c>
      <c r="C4004" s="1" t="s">
        <v>62</v>
      </c>
      <c r="D4004" s="1">
        <v>1.0</v>
      </c>
      <c r="E4004" s="1">
        <v>26030.0</v>
      </c>
      <c r="F4004" s="10">
        <f t="shared" si="1"/>
        <v>1</v>
      </c>
      <c r="G4004" s="10">
        <f t="array" ref="G4004">index('Player ID'!C:C,match(E4004,'Player ID'!B:B,0))</f>
        <v>687074</v>
      </c>
    </row>
    <row r="4005">
      <c r="A4005" s="76">
        <v>45778.0</v>
      </c>
      <c r="B4005" s="1" t="s">
        <v>24</v>
      </c>
      <c r="C4005" s="1" t="s">
        <v>25</v>
      </c>
      <c r="D4005" s="1">
        <v>0.1</v>
      </c>
      <c r="E4005" s="1">
        <v>27468.0</v>
      </c>
      <c r="F4005" s="10">
        <f t="shared" si="1"/>
        <v>0.3333333333</v>
      </c>
      <c r="G4005" s="10">
        <f t="array" ref="G4005">index('Player ID'!C:C,match(E4005,'Player ID'!B:B,0))</f>
        <v>672282</v>
      </c>
    </row>
    <row r="4006">
      <c r="A4006" s="76">
        <v>45778.0</v>
      </c>
      <c r="B4006" s="1" t="s">
        <v>760</v>
      </c>
      <c r="C4006" s="1" t="s">
        <v>25</v>
      </c>
      <c r="D4006" s="1">
        <v>1.0</v>
      </c>
      <c r="E4006" s="1">
        <v>31751.0</v>
      </c>
      <c r="F4006" s="10">
        <f t="shared" si="1"/>
        <v>1</v>
      </c>
      <c r="G4006" s="10">
        <f t="array" ref="G4006">index('Player ID'!C:C,match(E4006,'Player ID'!B:B,0))</f>
        <v>680729</v>
      </c>
    </row>
    <row r="4007">
      <c r="A4007" s="76">
        <v>45778.0</v>
      </c>
      <c r="B4007" s="1" t="s">
        <v>381</v>
      </c>
      <c r="C4007" s="1" t="s">
        <v>25</v>
      </c>
      <c r="D4007" s="1">
        <v>0.2</v>
      </c>
      <c r="E4007" s="1">
        <v>33908.0</v>
      </c>
      <c r="F4007" s="10">
        <f t="shared" si="1"/>
        <v>0.6666666667</v>
      </c>
      <c r="G4007" s="10">
        <f t="array" ref="G4007">index('Player ID'!C:C,match(E4007,'Player ID'!B:B,0))</f>
        <v>820862</v>
      </c>
    </row>
    <row r="4008">
      <c r="A4008" s="76">
        <v>45778.0</v>
      </c>
      <c r="B4008" s="1" t="s">
        <v>358</v>
      </c>
      <c r="C4008" s="1" t="s">
        <v>31</v>
      </c>
      <c r="D4008" s="1">
        <v>6.1</v>
      </c>
      <c r="E4008" s="1">
        <v>8700.0</v>
      </c>
      <c r="F4008" s="10">
        <f t="shared" si="1"/>
        <v>6.333333333</v>
      </c>
      <c r="G4008" s="10">
        <f t="array" ref="G4008">index('Player ID'!C:C,match(E4008,'Player ID'!B:B,0))</f>
        <v>434378</v>
      </c>
    </row>
    <row r="4009">
      <c r="A4009" s="76">
        <v>45778.0</v>
      </c>
      <c r="B4009" s="1" t="s">
        <v>704</v>
      </c>
      <c r="C4009" s="1" t="s">
        <v>75</v>
      </c>
      <c r="D4009" s="1">
        <v>0.2</v>
      </c>
      <c r="E4009" s="1">
        <v>10591.0</v>
      </c>
      <c r="F4009" s="10">
        <f t="shared" si="1"/>
        <v>0.6666666667</v>
      </c>
      <c r="G4009" s="10">
        <f t="array" ref="G4009">index('Player ID'!C:C,match(E4009,'Player ID'!B:B,0))</f>
        <v>518397</v>
      </c>
    </row>
    <row r="4010">
      <c r="A4010" s="76">
        <v>45778.0</v>
      </c>
      <c r="B4010" s="1" t="s">
        <v>20</v>
      </c>
      <c r="C4010" s="1" t="s">
        <v>31</v>
      </c>
      <c r="D4010" s="1">
        <v>1.0</v>
      </c>
      <c r="E4010" s="1">
        <v>15541.0</v>
      </c>
      <c r="F4010" s="10">
        <f t="shared" si="1"/>
        <v>1</v>
      </c>
      <c r="G4010" s="10">
        <f t="array" ref="G4010">index('Player ID'!C:C,match(E4010,'Player ID'!B:B,0))</f>
        <v>643511</v>
      </c>
    </row>
    <row r="4011">
      <c r="A4011" s="76">
        <v>45778.0</v>
      </c>
      <c r="B4011" s="1" t="s">
        <v>189</v>
      </c>
      <c r="C4011" s="1" t="s">
        <v>75</v>
      </c>
      <c r="D4011" s="1">
        <v>6.0</v>
      </c>
      <c r="E4011" s="1">
        <v>16256.0</v>
      </c>
      <c r="F4011" s="10">
        <f t="shared" si="1"/>
        <v>6</v>
      </c>
      <c r="G4011" s="10">
        <f t="array" ref="G4011">index('Player ID'!C:C,match(E4011,'Player ID'!B:B,0))</f>
        <v>607536</v>
      </c>
    </row>
    <row r="4012">
      <c r="A4012" s="76">
        <v>45778.0</v>
      </c>
      <c r="B4012" s="1" t="s">
        <v>304</v>
      </c>
      <c r="C4012" s="1" t="s">
        <v>31</v>
      </c>
      <c r="D4012" s="1">
        <v>0.2</v>
      </c>
      <c r="E4012" s="1">
        <v>21992.0</v>
      </c>
      <c r="F4012" s="10">
        <f t="shared" si="1"/>
        <v>0.6666666667</v>
      </c>
      <c r="G4012" s="10">
        <f t="array" ref="G4012">index('Player ID'!C:C,match(E4012,'Player ID'!B:B,0))</f>
        <v>666808</v>
      </c>
    </row>
    <row r="4013">
      <c r="A4013" s="76">
        <v>45778.0</v>
      </c>
      <c r="B4013" s="1" t="s">
        <v>654</v>
      </c>
      <c r="C4013" s="1" t="s">
        <v>31</v>
      </c>
      <c r="D4013" s="1">
        <v>1.0</v>
      </c>
      <c r="E4013" s="1">
        <v>23974.0</v>
      </c>
      <c r="F4013" s="10">
        <f t="shared" si="1"/>
        <v>1</v>
      </c>
      <c r="G4013" s="10">
        <f t="array" ref="G4013">index('Player ID'!C:C,match(E4013,'Player ID'!B:B,0))</f>
        <v>678495</v>
      </c>
    </row>
    <row r="4014">
      <c r="A4014" s="76">
        <v>45778.0</v>
      </c>
      <c r="B4014" s="1" t="s">
        <v>486</v>
      </c>
      <c r="C4014" s="1" t="s">
        <v>75</v>
      </c>
      <c r="D4014" s="1">
        <v>1.1</v>
      </c>
      <c r="E4014" s="1">
        <v>26790.0</v>
      </c>
      <c r="F4014" s="10">
        <f t="shared" si="1"/>
        <v>1.333333333</v>
      </c>
      <c r="G4014" s="10">
        <f t="array" ref="G4014">index('Player ID'!C:C,match(E4014,'Player ID'!B:B,0))</f>
        <v>683409</v>
      </c>
    </row>
    <row r="4015">
      <c r="A4015" s="76">
        <v>45778.0</v>
      </c>
      <c r="B4015" s="1" t="s">
        <v>512</v>
      </c>
      <c r="C4015" s="1" t="s">
        <v>75</v>
      </c>
      <c r="D4015" s="1">
        <v>1.0</v>
      </c>
      <c r="E4015" s="1">
        <v>31552.0</v>
      </c>
      <c r="F4015" s="10">
        <f t="shared" si="1"/>
        <v>1</v>
      </c>
      <c r="G4015" s="10">
        <f t="array" ref="G4015">index('Player ID'!C:C,match(E4015,'Player ID'!B:B,0))</f>
        <v>688642</v>
      </c>
    </row>
    <row r="4016">
      <c r="A4016" s="76">
        <v>45779.0</v>
      </c>
      <c r="B4016" s="1" t="s">
        <v>642</v>
      </c>
      <c r="C4016" s="1" t="s">
        <v>80</v>
      </c>
      <c r="D4016" s="1">
        <v>1.0</v>
      </c>
      <c r="E4016" s="1">
        <v>13470.0</v>
      </c>
      <c r="F4016" s="10">
        <f t="shared" si="1"/>
        <v>1</v>
      </c>
      <c r="G4016" s="10">
        <f t="array" ref="G4016">index('Player ID'!C:C,match(E4016,'Player ID'!B:B,0))</f>
        <v>608371</v>
      </c>
    </row>
    <row r="4017">
      <c r="A4017" s="76">
        <v>45779.0</v>
      </c>
      <c r="B4017" s="1" t="s">
        <v>651</v>
      </c>
      <c r="C4017" s="1" t="s">
        <v>66</v>
      </c>
      <c r="D4017" s="1">
        <v>1.0</v>
      </c>
      <c r="E4017" s="1">
        <v>14771.0</v>
      </c>
      <c r="F4017" s="10">
        <f t="shared" si="1"/>
        <v>1</v>
      </c>
      <c r="G4017" s="10">
        <f t="array" ref="G4017">index('Player ID'!C:C,match(E4017,'Player ID'!B:B,0))</f>
        <v>641941</v>
      </c>
    </row>
    <row r="4018">
      <c r="A4018" s="76">
        <v>45779.0</v>
      </c>
      <c r="B4018" s="1" t="s">
        <v>475</v>
      </c>
      <c r="C4018" s="1" t="s">
        <v>66</v>
      </c>
      <c r="D4018" s="1">
        <v>1.0</v>
      </c>
      <c r="E4018" s="1">
        <v>14993.0</v>
      </c>
      <c r="F4018" s="10">
        <f t="shared" si="1"/>
        <v>1</v>
      </c>
      <c r="G4018" s="10">
        <f t="array" ref="G4018">index('Player ID'!C:C,match(E4018,'Player ID'!B:B,0))</f>
        <v>605130</v>
      </c>
    </row>
    <row r="4019">
      <c r="A4019" s="76">
        <v>45779.0</v>
      </c>
      <c r="B4019" s="1" t="s">
        <v>345</v>
      </c>
      <c r="C4019" s="1" t="s">
        <v>66</v>
      </c>
      <c r="D4019" s="1">
        <v>1.0</v>
      </c>
      <c r="E4019" s="1">
        <v>19926.0</v>
      </c>
      <c r="F4019" s="10">
        <f t="shared" si="1"/>
        <v>1</v>
      </c>
      <c r="G4019" s="10">
        <f t="array" ref="G4019">index('Player ID'!C:C,match(E4019,'Player ID'!B:B,0))</f>
        <v>663574</v>
      </c>
    </row>
    <row r="4020">
      <c r="A4020" s="76">
        <v>45779.0</v>
      </c>
      <c r="B4020" s="1" t="s">
        <v>73</v>
      </c>
      <c r="C4020" s="1" t="s">
        <v>66</v>
      </c>
      <c r="D4020" s="1">
        <v>6.0</v>
      </c>
      <c r="E4020" s="1">
        <v>22182.0</v>
      </c>
      <c r="F4020" s="10">
        <f t="shared" si="1"/>
        <v>6</v>
      </c>
      <c r="G4020" s="10">
        <f t="array" ref="G4020">index('Player ID'!C:C,match(E4020,'Player ID'!B:B,0))</f>
        <v>668881</v>
      </c>
    </row>
    <row r="4021">
      <c r="A4021" s="76">
        <v>45779.0</v>
      </c>
      <c r="B4021" s="1" t="s">
        <v>508</v>
      </c>
      <c r="C4021" s="1" t="s">
        <v>80</v>
      </c>
      <c r="D4021" s="1">
        <v>1.0</v>
      </c>
      <c r="E4021" s="1">
        <v>23135.0</v>
      </c>
      <c r="F4021" s="10">
        <f t="shared" si="1"/>
        <v>1</v>
      </c>
      <c r="G4021" s="10">
        <f t="array" ref="G4021">index('Player ID'!C:C,match(E4021,'Player ID'!B:B,0))</f>
        <v>674285</v>
      </c>
    </row>
    <row r="4022">
      <c r="A4022" s="76">
        <v>45779.0</v>
      </c>
      <c r="B4022" s="1" t="s">
        <v>511</v>
      </c>
      <c r="C4022" s="1" t="s">
        <v>80</v>
      </c>
      <c r="D4022" s="1">
        <v>1.0</v>
      </c>
      <c r="E4022" s="1">
        <v>26215.0</v>
      </c>
      <c r="F4022" s="10">
        <f t="shared" si="1"/>
        <v>1</v>
      </c>
      <c r="G4022" s="10">
        <f t="array" ref="G4022">index('Player ID'!C:C,match(E4022,'Player ID'!B:B,0))</f>
        <v>671131</v>
      </c>
    </row>
    <row r="4023">
      <c r="A4023" s="76">
        <v>45779.0</v>
      </c>
      <c r="B4023" s="1" t="s">
        <v>507</v>
      </c>
      <c r="C4023" s="1" t="s">
        <v>80</v>
      </c>
      <c r="D4023" s="1">
        <v>1.0</v>
      </c>
      <c r="E4023" s="1">
        <v>27570.0</v>
      </c>
      <c r="F4023" s="10">
        <f t="shared" si="1"/>
        <v>1</v>
      </c>
      <c r="G4023" s="10">
        <f t="array" ref="G4023">index('Player ID'!C:C,match(E4023,'Player ID'!B:B,0))</f>
        <v>669371</v>
      </c>
    </row>
    <row r="4024">
      <c r="A4024" s="76">
        <v>45779.0</v>
      </c>
      <c r="B4024" s="1" t="s">
        <v>330</v>
      </c>
      <c r="C4024" s="1" t="s">
        <v>80</v>
      </c>
      <c r="D4024" s="1">
        <v>4.0</v>
      </c>
      <c r="E4024" s="1">
        <v>27636.0</v>
      </c>
      <c r="F4024" s="10">
        <f t="shared" si="1"/>
        <v>4</v>
      </c>
      <c r="G4024" s="10">
        <f t="array" ref="G4024">index('Player ID'!C:C,match(E4024,'Player ID'!B:B,0))</f>
        <v>680730</v>
      </c>
    </row>
    <row r="4025">
      <c r="A4025" s="76">
        <v>45779.0</v>
      </c>
      <c r="B4025" s="1" t="s">
        <v>404</v>
      </c>
      <c r="C4025" s="1" t="s">
        <v>26</v>
      </c>
      <c r="D4025" s="1">
        <v>0.2</v>
      </c>
      <c r="E4025" s="1">
        <v>14295.0</v>
      </c>
      <c r="F4025" s="10">
        <f t="shared" si="1"/>
        <v>0.6666666667</v>
      </c>
      <c r="G4025" s="10">
        <f t="array" ref="G4025">index('Player ID'!C:C,match(E4025,'Player ID'!B:B,0))</f>
        <v>593974</v>
      </c>
    </row>
    <row r="4026">
      <c r="A4026" s="76">
        <v>45779.0</v>
      </c>
      <c r="B4026" s="1" t="s">
        <v>443</v>
      </c>
      <c r="C4026" s="1" t="s">
        <v>60</v>
      </c>
      <c r="D4026" s="1">
        <v>1.1</v>
      </c>
      <c r="E4026" s="1">
        <v>16350.0</v>
      </c>
      <c r="F4026" s="10">
        <f t="shared" si="1"/>
        <v>1.333333333</v>
      </c>
      <c r="G4026" s="10">
        <f t="array" ref="G4026">index('Player ID'!C:C,match(E4026,'Player ID'!B:B,0))</f>
        <v>621366</v>
      </c>
    </row>
    <row r="4027">
      <c r="A4027" s="76">
        <v>45779.0</v>
      </c>
      <c r="B4027" s="1" t="s">
        <v>423</v>
      </c>
      <c r="C4027" s="1" t="s">
        <v>60</v>
      </c>
      <c r="D4027" s="1">
        <v>5.0</v>
      </c>
      <c r="E4027" s="1">
        <v>17594.0</v>
      </c>
      <c r="F4027" s="10">
        <f t="shared" si="1"/>
        <v>5</v>
      </c>
      <c r="G4027" s="10">
        <f t="array" ref="G4027">index('Player ID'!C:C,match(E4027,'Player ID'!B:B,0))</f>
        <v>656605</v>
      </c>
    </row>
    <row r="4028">
      <c r="A4028" s="76">
        <v>45779.0</v>
      </c>
      <c r="B4028" s="1" t="s">
        <v>282</v>
      </c>
      <c r="C4028" s="1" t="s">
        <v>26</v>
      </c>
      <c r="D4028" s="1">
        <v>4.0</v>
      </c>
      <c r="E4028" s="1">
        <v>18525.0</v>
      </c>
      <c r="F4028" s="10">
        <f t="shared" si="1"/>
        <v>4</v>
      </c>
      <c r="G4028" s="10">
        <f t="array" ref="G4028">index('Player ID'!C:C,match(E4028,'Player ID'!B:B,0))</f>
        <v>656302</v>
      </c>
    </row>
    <row r="4029">
      <c r="A4029" s="76">
        <v>45779.0</v>
      </c>
      <c r="B4029" s="1" t="s">
        <v>107</v>
      </c>
      <c r="C4029" s="1" t="s">
        <v>60</v>
      </c>
      <c r="D4029" s="1">
        <v>0.1</v>
      </c>
      <c r="E4029" s="1">
        <v>19349.0</v>
      </c>
      <c r="F4029" s="10">
        <f t="shared" si="1"/>
        <v>0.3333333333</v>
      </c>
      <c r="G4029" s="10">
        <f t="array" ref="G4029">index('Player ID'!C:C,match(E4029,'Player ID'!B:B,0))</f>
        <v>657571</v>
      </c>
    </row>
    <row r="4030">
      <c r="A4030" s="76">
        <v>45779.0</v>
      </c>
      <c r="B4030" s="1" t="s">
        <v>49</v>
      </c>
      <c r="C4030" s="1" t="s">
        <v>26</v>
      </c>
      <c r="D4030" s="1">
        <v>1.0</v>
      </c>
      <c r="E4030" s="1">
        <v>20039.0</v>
      </c>
      <c r="F4030" s="10">
        <f t="shared" si="1"/>
        <v>1</v>
      </c>
      <c r="G4030" s="10">
        <f t="array" ref="G4030">index('Player ID'!C:C,match(E4030,'Player ID'!B:B,0))</f>
        <v>670970</v>
      </c>
    </row>
    <row r="4031">
      <c r="A4031" s="76">
        <v>45779.0</v>
      </c>
      <c r="B4031" s="1" t="s">
        <v>463</v>
      </c>
      <c r="C4031" s="1" t="s">
        <v>60</v>
      </c>
      <c r="D4031" s="1">
        <v>1.0</v>
      </c>
      <c r="E4031" s="1">
        <v>21544.0</v>
      </c>
      <c r="F4031" s="10">
        <f t="shared" si="1"/>
        <v>1</v>
      </c>
      <c r="G4031" s="10">
        <f t="array" ref="G4031">index('Player ID'!C:C,match(E4031,'Player ID'!B:B,0))</f>
        <v>663767</v>
      </c>
    </row>
    <row r="4032">
      <c r="A4032" s="76">
        <v>45779.0</v>
      </c>
      <c r="B4032" s="1" t="s">
        <v>94</v>
      </c>
      <c r="C4032" s="1" t="s">
        <v>26</v>
      </c>
      <c r="D4032" s="1">
        <v>1.0</v>
      </c>
      <c r="E4032" s="1">
        <v>22210.0</v>
      </c>
      <c r="F4032" s="10">
        <f t="shared" si="1"/>
        <v>1</v>
      </c>
      <c r="G4032" s="10">
        <f t="array" ref="G4032">index('Player ID'!C:C,match(E4032,'Player ID'!B:B,0))</f>
        <v>669093</v>
      </c>
    </row>
    <row r="4033">
      <c r="A4033" s="76">
        <v>45779.0</v>
      </c>
      <c r="B4033" s="1" t="s">
        <v>663</v>
      </c>
      <c r="C4033" s="1" t="s">
        <v>60</v>
      </c>
      <c r="D4033" s="1">
        <v>1.1</v>
      </c>
      <c r="E4033" s="1">
        <v>22361.0</v>
      </c>
      <c r="F4033" s="10">
        <f t="shared" si="1"/>
        <v>1.333333333</v>
      </c>
      <c r="G4033" s="10">
        <f t="array" ref="G4033">index('Player ID'!C:C,match(E4033,'Player ID'!B:B,0))</f>
        <v>670059</v>
      </c>
    </row>
    <row r="4034">
      <c r="A4034" s="76">
        <v>45779.0</v>
      </c>
      <c r="B4034" s="1" t="s">
        <v>391</v>
      </c>
      <c r="C4034" s="1" t="s">
        <v>26</v>
      </c>
      <c r="D4034" s="1">
        <v>0.2</v>
      </c>
      <c r="E4034" s="1">
        <v>29628.0</v>
      </c>
      <c r="F4034" s="10">
        <f t="shared" si="1"/>
        <v>0.6666666667</v>
      </c>
      <c r="G4034" s="10">
        <f t="array" ref="G4034">index('Player ID'!C:C,match(E4034,'Player ID'!B:B,0))</f>
        <v>689690</v>
      </c>
    </row>
    <row r="4035">
      <c r="A4035" s="76">
        <v>45779.0</v>
      </c>
      <c r="B4035" s="1" t="s">
        <v>224</v>
      </c>
      <c r="C4035" s="1" t="s">
        <v>26</v>
      </c>
      <c r="D4035" s="1">
        <v>1.0</v>
      </c>
      <c r="E4035" s="1">
        <v>29863.0</v>
      </c>
      <c r="F4035" s="10">
        <f t="shared" si="1"/>
        <v>1</v>
      </c>
      <c r="G4035" s="10">
        <f t="array" ref="G4035">index('Player ID'!C:C,match(E4035,'Player ID'!B:B,0))</f>
        <v>686701</v>
      </c>
    </row>
    <row r="4036">
      <c r="A4036" s="76">
        <v>45779.0</v>
      </c>
      <c r="B4036" s="1" t="s">
        <v>284</v>
      </c>
      <c r="C4036" s="1" t="s">
        <v>26</v>
      </c>
      <c r="D4036" s="1">
        <v>0.2</v>
      </c>
      <c r="E4036" s="1">
        <v>33826.0</v>
      </c>
      <c r="F4036" s="10">
        <f t="shared" si="1"/>
        <v>0.6666666667</v>
      </c>
      <c r="G4036" s="10">
        <f t="array" ref="G4036">index('Player ID'!C:C,match(E4036,'Player ID'!B:B,0))</f>
        <v>673513</v>
      </c>
    </row>
    <row r="4037">
      <c r="A4037" s="76">
        <v>45779.0</v>
      </c>
      <c r="B4037" s="1" t="s">
        <v>222</v>
      </c>
      <c r="C4037" s="1" t="s">
        <v>64</v>
      </c>
      <c r="D4037" s="1">
        <v>5.0</v>
      </c>
      <c r="E4037" s="1">
        <v>11156.0</v>
      </c>
      <c r="F4037" s="10">
        <f t="shared" si="1"/>
        <v>5</v>
      </c>
      <c r="G4037" s="10">
        <f t="array" ref="G4037">index('Player ID'!C:C,match(E4037,'Player ID'!B:B,0))</f>
        <v>518876</v>
      </c>
    </row>
    <row r="4038">
      <c r="A4038" s="76">
        <v>45779.0</v>
      </c>
      <c r="B4038" s="1" t="s">
        <v>182</v>
      </c>
      <c r="C4038" s="1" t="s">
        <v>45</v>
      </c>
      <c r="D4038" s="1">
        <v>0.2</v>
      </c>
      <c r="E4038" s="1">
        <v>13799.0</v>
      </c>
      <c r="F4038" s="10">
        <f t="shared" si="1"/>
        <v>0.6666666667</v>
      </c>
      <c r="G4038" s="10">
        <f t="array" ref="G4038">index('Player ID'!C:C,match(E4038,'Player ID'!B:B,0))</f>
        <v>621381</v>
      </c>
    </row>
    <row r="4039">
      <c r="A4039" s="76">
        <v>45779.0</v>
      </c>
      <c r="B4039" s="1" t="s">
        <v>208</v>
      </c>
      <c r="C4039" s="1" t="s">
        <v>45</v>
      </c>
      <c r="D4039" s="1">
        <v>1.0</v>
      </c>
      <c r="E4039" s="1">
        <v>16122.0</v>
      </c>
      <c r="F4039" s="10">
        <f t="shared" si="1"/>
        <v>1</v>
      </c>
      <c r="G4039" s="10">
        <f t="array" ref="G4039">index('Player ID'!C:C,match(E4039,'Player ID'!B:B,0))</f>
        <v>605447</v>
      </c>
    </row>
    <row r="4040">
      <c r="A4040" s="76">
        <v>45779.0</v>
      </c>
      <c r="B4040" s="1" t="s">
        <v>138</v>
      </c>
      <c r="C4040" s="1" t="s">
        <v>45</v>
      </c>
      <c r="D4040" s="1">
        <v>1.0</v>
      </c>
      <c r="E4040" s="1">
        <v>16990.0</v>
      </c>
      <c r="F4040" s="10">
        <f t="shared" si="1"/>
        <v>1</v>
      </c>
      <c r="G4040" s="10">
        <f t="array" ref="G4040">index('Player ID'!C:C,match(E4040,'Player ID'!B:B,0))</f>
        <v>621383</v>
      </c>
    </row>
    <row r="4041">
      <c r="A4041" s="76">
        <v>45779.0</v>
      </c>
      <c r="B4041" s="1" t="s">
        <v>826</v>
      </c>
      <c r="C4041" s="1" t="s">
        <v>64</v>
      </c>
      <c r="D4041" s="1">
        <v>1.0</v>
      </c>
      <c r="E4041" s="1">
        <v>17169.0</v>
      </c>
      <c r="F4041" s="10">
        <f t="shared" si="1"/>
        <v>1</v>
      </c>
      <c r="G4041" s="10">
        <f t="array" ref="G4041">index('Player ID'!C:C,match(E4041,'Player ID'!B:B,0))</f>
        <v>620454</v>
      </c>
    </row>
    <row r="4042">
      <c r="A4042" s="76">
        <v>45779.0</v>
      </c>
      <c r="B4042" s="1" t="s">
        <v>489</v>
      </c>
      <c r="C4042" s="1" t="s">
        <v>64</v>
      </c>
      <c r="D4042" s="1">
        <v>1.0</v>
      </c>
      <c r="E4042" s="1">
        <v>17192.0</v>
      </c>
      <c r="F4042" s="10">
        <f t="shared" si="1"/>
        <v>1</v>
      </c>
      <c r="G4042" s="10">
        <f t="array" ref="G4042">index('Player ID'!C:C,match(E4042,'Player ID'!B:B,0))</f>
        <v>656222</v>
      </c>
    </row>
    <row r="4043">
      <c r="A4043" s="76">
        <v>45779.0</v>
      </c>
      <c r="B4043" s="1" t="s">
        <v>643</v>
      </c>
      <c r="C4043" s="1" t="s">
        <v>45</v>
      </c>
      <c r="D4043" s="1">
        <v>1.0</v>
      </c>
      <c r="E4043" s="1">
        <v>17780.0</v>
      </c>
      <c r="F4043" s="10">
        <f t="shared" si="1"/>
        <v>1</v>
      </c>
      <c r="G4043" s="10">
        <f t="array" ref="G4043">index('Player ID'!C:C,match(E4043,'Player ID'!B:B,0))</f>
        <v>621237</v>
      </c>
    </row>
    <row r="4044">
      <c r="A4044" s="76">
        <v>45779.0</v>
      </c>
      <c r="B4044" s="1" t="s">
        <v>700</v>
      </c>
      <c r="C4044" s="1" t="s">
        <v>45</v>
      </c>
      <c r="D4044" s="1">
        <v>5.1</v>
      </c>
      <c r="E4044" s="1">
        <v>19959.0</v>
      </c>
      <c r="F4044" s="10">
        <f t="shared" si="1"/>
        <v>5.333333333</v>
      </c>
      <c r="G4044" s="10">
        <f t="array" ref="G4044">index('Player ID'!C:C,match(E4044,'Player ID'!B:B,0))</f>
        <v>666200</v>
      </c>
    </row>
    <row r="4045">
      <c r="A4045" s="76">
        <v>45779.0</v>
      </c>
      <c r="B4045" s="1" t="s">
        <v>370</v>
      </c>
      <c r="C4045" s="1" t="s">
        <v>64</v>
      </c>
      <c r="D4045" s="1">
        <v>1.0</v>
      </c>
      <c r="E4045" s="1">
        <v>21924.0</v>
      </c>
      <c r="F4045" s="10">
        <f t="shared" si="1"/>
        <v>1</v>
      </c>
      <c r="G4045" s="10">
        <f t="array" ref="G4045">index('Player ID'!C:C,match(E4045,'Player ID'!B:B,0))</f>
        <v>666661</v>
      </c>
    </row>
    <row r="4046">
      <c r="A4046" s="76">
        <v>45779.0</v>
      </c>
      <c r="B4046" s="1" t="s">
        <v>147</v>
      </c>
      <c r="C4046" s="1" t="s">
        <v>29</v>
      </c>
      <c r="D4046" s="1">
        <v>6.1</v>
      </c>
      <c r="E4046" s="1">
        <v>14078.0</v>
      </c>
      <c r="F4046" s="10">
        <f t="shared" si="1"/>
        <v>6.333333333</v>
      </c>
      <c r="G4046" s="10">
        <f t="array" ref="G4046">index('Player ID'!C:C,match(E4046,'Player ID'!B:B,0))</f>
        <v>608379</v>
      </c>
    </row>
    <row r="4047">
      <c r="A4047" s="76">
        <v>45779.0</v>
      </c>
      <c r="B4047" s="1" t="s">
        <v>199</v>
      </c>
      <c r="C4047" s="1" t="s">
        <v>29</v>
      </c>
      <c r="D4047" s="1">
        <v>1.0</v>
      </c>
      <c r="E4047" s="1">
        <v>17611.0</v>
      </c>
      <c r="F4047" s="10">
        <f t="shared" si="1"/>
        <v>1</v>
      </c>
      <c r="G4047" s="10">
        <f t="array" ref="G4047">index('Player ID'!C:C,match(E4047,'Player ID'!B:B,0))</f>
        <v>664199</v>
      </c>
    </row>
    <row r="4048">
      <c r="A4048" s="76">
        <v>45779.0</v>
      </c>
      <c r="B4048" s="1" t="s">
        <v>294</v>
      </c>
      <c r="C4048" s="1" t="s">
        <v>68</v>
      </c>
      <c r="D4048" s="1">
        <v>7.0</v>
      </c>
      <c r="E4048" s="1">
        <v>19350.0</v>
      </c>
      <c r="F4048" s="10">
        <f t="shared" si="1"/>
        <v>7</v>
      </c>
      <c r="G4048" s="10">
        <f t="array" ref="G4048">index('Player ID'!C:C,match(E4048,'Player ID'!B:B,0))</f>
        <v>665152</v>
      </c>
    </row>
    <row r="4049">
      <c r="A4049" s="76">
        <v>45779.0</v>
      </c>
      <c r="B4049" s="1" t="s">
        <v>698</v>
      </c>
      <c r="C4049" s="1" t="s">
        <v>68</v>
      </c>
      <c r="D4049" s="1">
        <v>1.0</v>
      </c>
      <c r="E4049" s="1">
        <v>20666.0</v>
      </c>
      <c r="F4049" s="10">
        <f t="shared" si="1"/>
        <v>1</v>
      </c>
      <c r="G4049" s="10">
        <f t="array" ref="G4049">index('Player ID'!C:C,match(E4049,'Player ID'!B:B,0))</f>
        <v>642585</v>
      </c>
    </row>
    <row r="4050">
      <c r="A4050" s="76">
        <v>45779.0</v>
      </c>
      <c r="B4050" s="1" t="s">
        <v>214</v>
      </c>
      <c r="C4050" s="1" t="s">
        <v>29</v>
      </c>
      <c r="D4050" s="1">
        <v>0.2</v>
      </c>
      <c r="E4050" s="1">
        <v>23165.0</v>
      </c>
      <c r="F4050" s="10">
        <f t="shared" si="1"/>
        <v>0.6666666667</v>
      </c>
      <c r="G4050" s="10">
        <f t="array" ref="G4050">index('Player ID'!C:C,match(E4050,'Player ID'!B:B,0))</f>
        <v>674444</v>
      </c>
    </row>
    <row r="4051">
      <c r="A4051" s="76">
        <v>45779.0</v>
      </c>
      <c r="B4051" s="1" t="s">
        <v>235</v>
      </c>
      <c r="C4051" s="1" t="s">
        <v>68</v>
      </c>
      <c r="D4051" s="1">
        <v>1.0</v>
      </c>
      <c r="E4051" s="1">
        <v>25911.0</v>
      </c>
      <c r="F4051" s="10">
        <f t="shared" si="1"/>
        <v>1</v>
      </c>
      <c r="G4051" s="10">
        <f t="array" ref="G4051">index('Player ID'!C:C,match(E4051,'Player ID'!B:B,0))</f>
        <v>666974</v>
      </c>
    </row>
    <row r="4052">
      <c r="A4052" s="76">
        <v>45779.0</v>
      </c>
      <c r="B4052" s="1" t="s">
        <v>166</v>
      </c>
      <c r="C4052" s="1" t="s">
        <v>58</v>
      </c>
      <c r="D4052" s="1">
        <v>7.0</v>
      </c>
      <c r="E4052" s="1">
        <v>13743.0</v>
      </c>
      <c r="F4052" s="10">
        <f t="shared" si="1"/>
        <v>7</v>
      </c>
      <c r="G4052" s="10">
        <f t="array" ref="G4052">index('Player ID'!C:C,match(E4052,'Player ID'!B:B,0))</f>
        <v>608331</v>
      </c>
    </row>
    <row r="4053">
      <c r="A4053" s="76">
        <v>45779.0</v>
      </c>
      <c r="B4053" s="1" t="s">
        <v>114</v>
      </c>
      <c r="C4053" s="1" t="s">
        <v>58</v>
      </c>
      <c r="D4053" s="1">
        <v>1.0</v>
      </c>
      <c r="E4053" s="1">
        <v>15816.0</v>
      </c>
      <c r="F4053" s="10">
        <f t="shared" si="1"/>
        <v>1</v>
      </c>
      <c r="G4053" s="10">
        <f t="array" ref="G4053">index('Player ID'!C:C,match(E4053,'Player ID'!B:B,0))</f>
        <v>642207</v>
      </c>
    </row>
    <row r="4054">
      <c r="A4054" s="76">
        <v>45779.0</v>
      </c>
      <c r="B4054" s="1" t="s">
        <v>225</v>
      </c>
      <c r="C4054" s="1" t="s">
        <v>58</v>
      </c>
      <c r="D4054" s="1">
        <v>1.0</v>
      </c>
      <c r="E4054" s="1">
        <v>16918.0</v>
      </c>
      <c r="F4054" s="10">
        <f t="shared" si="1"/>
        <v>1</v>
      </c>
      <c r="G4054" s="10">
        <f t="array" ref="G4054">index('Player ID'!C:C,match(E4054,'Player ID'!B:B,0))</f>
        <v>596133</v>
      </c>
    </row>
    <row r="4055">
      <c r="A4055" s="76">
        <v>45779.0</v>
      </c>
      <c r="B4055" s="1" t="s">
        <v>185</v>
      </c>
      <c r="C4055" s="1" t="s">
        <v>54</v>
      </c>
      <c r="D4055" s="1">
        <v>1.0</v>
      </c>
      <c r="E4055" s="1">
        <v>17897.0</v>
      </c>
      <c r="F4055" s="10">
        <f t="shared" si="1"/>
        <v>1</v>
      </c>
      <c r="G4055" s="10">
        <f t="array" ref="G4055">index('Player ID'!C:C,match(E4055,'Player ID'!B:B,0))</f>
        <v>664076</v>
      </c>
    </row>
    <row r="4056">
      <c r="A4056" s="76">
        <v>45779.0</v>
      </c>
      <c r="B4056" s="1" t="s">
        <v>705</v>
      </c>
      <c r="C4056" s="1" t="s">
        <v>54</v>
      </c>
      <c r="D4056" s="1">
        <v>1.0</v>
      </c>
      <c r="E4056" s="1">
        <v>20794.0</v>
      </c>
      <c r="F4056" s="10">
        <f t="shared" si="1"/>
        <v>1</v>
      </c>
      <c r="G4056" s="10">
        <f t="array" ref="G4056">index('Player ID'!C:C,match(E4056,'Player ID'!B:B,0))</f>
        <v>655889</v>
      </c>
    </row>
    <row r="4057">
      <c r="A4057" s="76">
        <v>45779.0</v>
      </c>
      <c r="B4057" s="1" t="s">
        <v>129</v>
      </c>
      <c r="C4057" s="1" t="s">
        <v>54</v>
      </c>
      <c r="D4057" s="1">
        <v>4.1</v>
      </c>
      <c r="E4057" s="1">
        <v>26221.0</v>
      </c>
      <c r="F4057" s="10">
        <f t="shared" si="1"/>
        <v>4.333333333</v>
      </c>
      <c r="G4057" s="10">
        <f t="array" ref="G4057">index('Player ID'!C:C,match(E4057,'Player ID'!B:B,0))</f>
        <v>686752</v>
      </c>
    </row>
    <row r="4058">
      <c r="A4058" s="76">
        <v>45779.0</v>
      </c>
      <c r="B4058" s="1" t="s">
        <v>257</v>
      </c>
      <c r="C4058" s="1" t="s">
        <v>54</v>
      </c>
      <c r="D4058" s="1">
        <v>1.0</v>
      </c>
      <c r="E4058" s="1">
        <v>27626.0</v>
      </c>
      <c r="F4058" s="10">
        <f t="shared" si="1"/>
        <v>1</v>
      </c>
      <c r="G4058" s="10">
        <f t="array" ref="G4058">index('Player ID'!C:C,match(E4058,'Player ID'!B:B,0))</f>
        <v>679358</v>
      </c>
    </row>
    <row r="4059">
      <c r="A4059" s="76">
        <v>45779.0</v>
      </c>
      <c r="B4059" s="1" t="s">
        <v>334</v>
      </c>
      <c r="C4059" s="1" t="s">
        <v>54</v>
      </c>
      <c r="D4059" s="1">
        <v>0.2</v>
      </c>
      <c r="E4059" s="1">
        <v>29770.0</v>
      </c>
      <c r="F4059" s="10">
        <f t="shared" si="1"/>
        <v>0.6666666667</v>
      </c>
      <c r="G4059" s="10">
        <f t="array" ref="G4059">index('Player ID'!C:C,match(E4059,'Player ID'!B:B,0))</f>
        <v>682254</v>
      </c>
    </row>
    <row r="4060">
      <c r="A4060" s="76">
        <v>45779.0</v>
      </c>
      <c r="B4060" s="1" t="s">
        <v>456</v>
      </c>
      <c r="C4060" s="1" t="s">
        <v>40</v>
      </c>
      <c r="D4060" s="1">
        <v>5.1</v>
      </c>
      <c r="E4060" s="1">
        <v>12304.0</v>
      </c>
      <c r="F4060" s="10">
        <f t="shared" si="1"/>
        <v>5.333333333</v>
      </c>
      <c r="G4060" s="10">
        <f t="array" ref="G4060">index('Player ID'!C:C,match(E4060,'Player ID'!B:B,0))</f>
        <v>605135</v>
      </c>
    </row>
    <row r="4061">
      <c r="A4061" s="76">
        <v>45779.0</v>
      </c>
      <c r="B4061" s="1" t="s">
        <v>117</v>
      </c>
      <c r="C4061" s="1" t="s">
        <v>70</v>
      </c>
      <c r="D4061" s="1">
        <v>0.2</v>
      </c>
      <c r="E4061" s="1">
        <v>13619.0</v>
      </c>
      <c r="F4061" s="10">
        <f t="shared" si="1"/>
        <v>0.6666666667</v>
      </c>
      <c r="G4061" s="10">
        <f t="array" ref="G4061">index('Player ID'!C:C,match(E4061,'Player ID'!B:B,0))</f>
        <v>596001</v>
      </c>
    </row>
    <row r="4062">
      <c r="A4062" s="76">
        <v>45779.0</v>
      </c>
      <c r="B4062" s="1" t="s">
        <v>174</v>
      </c>
      <c r="C4062" s="1" t="s">
        <v>40</v>
      </c>
      <c r="D4062" s="1">
        <v>1.0</v>
      </c>
      <c r="E4062" s="1">
        <v>15552.0</v>
      </c>
      <c r="F4062" s="10">
        <f t="shared" si="1"/>
        <v>1</v>
      </c>
      <c r="G4062" s="10">
        <f t="array" ref="G4062">index('Player ID'!C:C,match(E4062,'Player ID'!B:B,0))</f>
        <v>643338</v>
      </c>
    </row>
    <row r="4063">
      <c r="A4063" s="76">
        <v>45779.0</v>
      </c>
      <c r="B4063" s="1" t="s">
        <v>311</v>
      </c>
      <c r="C4063" s="1" t="s">
        <v>40</v>
      </c>
      <c r="D4063" s="1">
        <v>1.0</v>
      </c>
      <c r="E4063" s="1">
        <v>17432.0</v>
      </c>
      <c r="F4063" s="10">
        <f t="shared" si="1"/>
        <v>1</v>
      </c>
      <c r="G4063" s="10">
        <f t="array" ref="G4063">index('Player ID'!C:C,match(E4063,'Player ID'!B:B,0))</f>
        <v>656546</v>
      </c>
    </row>
    <row r="4064">
      <c r="A4064" s="76">
        <v>45779.0</v>
      </c>
      <c r="B4064" s="1" t="s">
        <v>141</v>
      </c>
      <c r="C4064" s="1" t="s">
        <v>70</v>
      </c>
      <c r="D4064" s="1">
        <v>1.1</v>
      </c>
      <c r="E4064" s="1">
        <v>19330.0</v>
      </c>
      <c r="F4064" s="10">
        <f t="shared" si="1"/>
        <v>1.333333333</v>
      </c>
      <c r="G4064" s="10">
        <f t="array" ref="G4064">index('Player ID'!C:C,match(E4064,'Player ID'!B:B,0))</f>
        <v>670036</v>
      </c>
    </row>
    <row r="4065">
      <c r="A4065" s="76">
        <v>45779.0</v>
      </c>
      <c r="B4065" s="1" t="s">
        <v>395</v>
      </c>
      <c r="C4065" s="1" t="s">
        <v>40</v>
      </c>
      <c r="D4065" s="1">
        <v>1.2</v>
      </c>
      <c r="E4065" s="1">
        <v>21574.0</v>
      </c>
      <c r="F4065" s="10">
        <f t="shared" si="1"/>
        <v>1.666666667</v>
      </c>
      <c r="G4065" s="10">
        <f t="array" ref="G4065">index('Player ID'!C:C,match(E4065,'Player ID'!B:B,0))</f>
        <v>663893</v>
      </c>
    </row>
    <row r="4066">
      <c r="A4066" s="76">
        <v>45779.0</v>
      </c>
      <c r="B4066" s="1" t="s">
        <v>398</v>
      </c>
      <c r="C4066" s="1" t="s">
        <v>70</v>
      </c>
      <c r="D4066" s="1">
        <v>0.1</v>
      </c>
      <c r="E4066" s="1">
        <v>23335.0</v>
      </c>
      <c r="F4066" s="10">
        <f t="shared" si="1"/>
        <v>0.3333333333</v>
      </c>
      <c r="G4066" s="10">
        <f t="array" ref="G4066">index('Player ID'!C:C,match(E4066,'Player ID'!B:B,0))</f>
        <v>676282</v>
      </c>
    </row>
    <row r="4067">
      <c r="A4067" s="76">
        <v>45779.0</v>
      </c>
      <c r="B4067" s="1" t="s">
        <v>372</v>
      </c>
      <c r="C4067" s="1" t="s">
        <v>70</v>
      </c>
      <c r="D4067" s="1">
        <v>5.2</v>
      </c>
      <c r="E4067" s="1">
        <v>27589.0</v>
      </c>
      <c r="F4067" s="10">
        <f t="shared" si="1"/>
        <v>5.666666667</v>
      </c>
      <c r="G4067" s="10">
        <f t="array" ref="G4067">index('Player ID'!C:C,match(E4067,'Player ID'!B:B,0))</f>
        <v>671106</v>
      </c>
    </row>
    <row r="4068">
      <c r="A4068" s="76">
        <v>45779.0</v>
      </c>
      <c r="B4068" s="1" t="s">
        <v>61</v>
      </c>
      <c r="C4068" s="1" t="s">
        <v>36</v>
      </c>
      <c r="D4068" s="1">
        <v>3.0</v>
      </c>
      <c r="E4068" s="1">
        <v>20629.0</v>
      </c>
      <c r="F4068" s="10">
        <f t="shared" si="1"/>
        <v>3</v>
      </c>
      <c r="G4068" s="10">
        <f t="array" ref="G4068">index('Player ID'!C:C,match(E4068,'Player ID'!B:B,0))</f>
        <v>663969</v>
      </c>
    </row>
    <row r="4069">
      <c r="A4069" s="76">
        <v>45779.0</v>
      </c>
      <c r="B4069" s="1" t="s">
        <v>227</v>
      </c>
      <c r="C4069" s="1" t="s">
        <v>52</v>
      </c>
      <c r="D4069" s="1">
        <v>2.0</v>
      </c>
      <c r="E4069" s="1">
        <v>21520.0</v>
      </c>
      <c r="F4069" s="10">
        <f t="shared" si="1"/>
        <v>2</v>
      </c>
      <c r="G4069" s="10">
        <f t="array" ref="G4069">index('Player ID'!C:C,match(E4069,'Player ID'!B:B,0))</f>
        <v>663687</v>
      </c>
    </row>
    <row r="4070">
      <c r="A4070" s="76">
        <v>45779.0</v>
      </c>
      <c r="B4070" s="1" t="s">
        <v>322</v>
      </c>
      <c r="C4070" s="1" t="s">
        <v>36</v>
      </c>
      <c r="D4070" s="1">
        <v>4.2</v>
      </c>
      <c r="E4070" s="1">
        <v>23899.0</v>
      </c>
      <c r="F4070" s="10">
        <f t="shared" si="1"/>
        <v>4.666666667</v>
      </c>
      <c r="G4070" s="10">
        <f t="array" ref="G4070">index('Player ID'!C:C,match(E4070,'Player ID'!B:B,0))</f>
        <v>678368</v>
      </c>
    </row>
    <row r="4071">
      <c r="A4071" s="76">
        <v>45779.0</v>
      </c>
      <c r="B4071" s="1" t="s">
        <v>123</v>
      </c>
      <c r="C4071" s="1" t="s">
        <v>36</v>
      </c>
      <c r="D4071" s="1">
        <v>1.1</v>
      </c>
      <c r="E4071" s="1">
        <v>24094.0</v>
      </c>
      <c r="F4071" s="10">
        <f t="shared" si="1"/>
        <v>1.333333333</v>
      </c>
      <c r="G4071" s="10">
        <f t="array" ref="G4071">index('Player ID'!C:C,match(E4071,'Player ID'!B:B,0))</f>
        <v>678692</v>
      </c>
    </row>
    <row r="4072">
      <c r="A4072" s="76">
        <v>45779.0</v>
      </c>
      <c r="B4072" s="1" t="s">
        <v>717</v>
      </c>
      <c r="C4072" s="1" t="s">
        <v>52</v>
      </c>
      <c r="D4072" s="1">
        <v>1.0</v>
      </c>
      <c r="E4072" s="1">
        <v>27908.0</v>
      </c>
      <c r="F4072" s="10">
        <f t="shared" si="1"/>
        <v>1</v>
      </c>
      <c r="G4072" s="10">
        <f t="array" ref="G4072">index('Player ID'!C:C,match(E4072,'Player ID'!B:B,0))</f>
        <v>668716</v>
      </c>
    </row>
    <row r="4073">
      <c r="A4073" s="76">
        <v>45779.0</v>
      </c>
      <c r="B4073" s="1" t="s">
        <v>243</v>
      </c>
      <c r="C4073" s="1" t="s">
        <v>52</v>
      </c>
      <c r="D4073" s="1">
        <v>6.0</v>
      </c>
      <c r="E4073" s="1">
        <v>31318.0</v>
      </c>
      <c r="F4073" s="10">
        <f t="shared" si="1"/>
        <v>6</v>
      </c>
      <c r="G4073" s="10">
        <f t="array" ref="G4073">index('Player ID'!C:C,match(E4073,'Player ID'!B:B,0))</f>
        <v>680684</v>
      </c>
    </row>
    <row r="4074">
      <c r="A4074" s="76">
        <v>45779.0</v>
      </c>
      <c r="B4074" s="1" t="s">
        <v>757</v>
      </c>
      <c r="C4074" s="1" t="s">
        <v>22</v>
      </c>
      <c r="D4074" s="1">
        <v>1.0</v>
      </c>
      <c r="E4074" s="1">
        <v>3548.0</v>
      </c>
      <c r="F4074" s="10">
        <f t="shared" si="1"/>
        <v>1</v>
      </c>
      <c r="G4074" s="10">
        <f t="array" ref="G4074">index('Player ID'!C:C,match(E4074,'Player ID'!B:B,0))</f>
        <v>521230</v>
      </c>
    </row>
    <row r="4075">
      <c r="A4075" s="76">
        <v>45779.0</v>
      </c>
      <c r="B4075" s="1" t="s">
        <v>435</v>
      </c>
      <c r="C4075" s="1" t="s">
        <v>16</v>
      </c>
      <c r="D4075" s="1">
        <v>0.2</v>
      </c>
      <c r="E4075" s="1">
        <v>13293.0</v>
      </c>
      <c r="F4075" s="10">
        <f t="shared" si="1"/>
        <v>0.6666666667</v>
      </c>
      <c r="G4075" s="10">
        <f t="array" ref="G4075">index('Player ID'!C:C,match(E4075,'Player ID'!B:B,0))</f>
        <v>543056</v>
      </c>
    </row>
    <row r="4076">
      <c r="A4076" s="76">
        <v>45779.0</v>
      </c>
      <c r="B4076" s="1" t="s">
        <v>397</v>
      </c>
      <c r="C4076" s="1" t="s">
        <v>16</v>
      </c>
      <c r="D4076" s="1">
        <v>1.0</v>
      </c>
      <c r="E4076" s="1">
        <v>19459.0</v>
      </c>
      <c r="F4076" s="10">
        <f t="shared" si="1"/>
        <v>1</v>
      </c>
      <c r="G4076" s="10">
        <f t="array" ref="G4076">index('Player ID'!C:C,match(E4076,'Player ID'!B:B,0))</f>
        <v>660896</v>
      </c>
    </row>
    <row r="4077">
      <c r="A4077" s="76">
        <v>45779.0</v>
      </c>
      <c r="B4077" s="1" t="s">
        <v>406</v>
      </c>
      <c r="C4077" s="1" t="s">
        <v>22</v>
      </c>
      <c r="D4077" s="1">
        <v>1.0</v>
      </c>
      <c r="E4077" s="1">
        <v>20375.0</v>
      </c>
      <c r="F4077" s="10">
        <f t="shared" si="1"/>
        <v>1</v>
      </c>
      <c r="G4077" s="10">
        <f t="array" ref="G4077">index('Player ID'!C:C,match(E4077,'Player ID'!B:B,0))</f>
        <v>669711</v>
      </c>
    </row>
    <row r="4078">
      <c r="A4078" s="76">
        <v>45779.0</v>
      </c>
      <c r="B4078" s="1" t="s">
        <v>150</v>
      </c>
      <c r="C4078" s="1" t="s">
        <v>16</v>
      </c>
      <c r="D4078" s="1">
        <v>6.0</v>
      </c>
      <c r="E4078" s="1">
        <v>21390.0</v>
      </c>
      <c r="F4078" s="10">
        <f t="shared" si="1"/>
        <v>6</v>
      </c>
      <c r="G4078" s="10">
        <f t="array" ref="G4078">index('Player ID'!C:C,match(E4078,'Player ID'!B:B,0))</f>
        <v>657746</v>
      </c>
    </row>
    <row r="4079">
      <c r="A4079" s="76">
        <v>45779.0</v>
      </c>
      <c r="B4079" s="1" t="s">
        <v>410</v>
      </c>
      <c r="C4079" s="1" t="s">
        <v>22</v>
      </c>
      <c r="D4079" s="1">
        <v>6.2</v>
      </c>
      <c r="E4079" s="1">
        <v>23920.0</v>
      </c>
      <c r="F4079" s="10">
        <f t="shared" si="1"/>
        <v>6.666666667</v>
      </c>
      <c r="G4079" s="10">
        <f t="array" ref="G4079">index('Player ID'!C:C,match(E4079,'Player ID'!B:B,0))</f>
        <v>678394</v>
      </c>
    </row>
    <row r="4080">
      <c r="A4080" s="76">
        <v>45779.0</v>
      </c>
      <c r="B4080" s="1" t="s">
        <v>47</v>
      </c>
      <c r="C4080" s="1" t="s">
        <v>16</v>
      </c>
      <c r="D4080" s="1">
        <v>0.1</v>
      </c>
      <c r="E4080" s="1">
        <v>27691.0</v>
      </c>
      <c r="F4080" s="10">
        <f t="shared" si="1"/>
        <v>0.3333333333</v>
      </c>
      <c r="G4080" s="10">
        <f t="array" ref="G4080">index('Player ID'!C:C,match(E4080,'Player ID'!B:B,0))</f>
        <v>686973</v>
      </c>
    </row>
    <row r="4081">
      <c r="A4081" s="76">
        <v>45779.0</v>
      </c>
      <c r="B4081" s="1" t="s">
        <v>392</v>
      </c>
      <c r="C4081" s="1" t="s">
        <v>33</v>
      </c>
      <c r="D4081" s="1">
        <v>1.0</v>
      </c>
      <c r="E4081" s="1">
        <v>9073.0</v>
      </c>
      <c r="F4081" s="10">
        <f t="shared" si="1"/>
        <v>1</v>
      </c>
      <c r="G4081" s="10">
        <f t="array" ref="G4081">index('Player ID'!C:C,match(E4081,'Player ID'!B:B,0))</f>
        <v>489446</v>
      </c>
    </row>
    <row r="4082">
      <c r="A4082" s="76">
        <v>45779.0</v>
      </c>
      <c r="B4082" s="1" t="s">
        <v>326</v>
      </c>
      <c r="C4082" s="1" t="s">
        <v>46</v>
      </c>
      <c r="D4082" s="1">
        <v>1.0</v>
      </c>
      <c r="E4082" s="1">
        <v>12760.0</v>
      </c>
      <c r="F4082" s="10">
        <f t="shared" si="1"/>
        <v>1</v>
      </c>
      <c r="G4082" s="10">
        <f t="array" ref="G4082">index('Player ID'!C:C,match(E4082,'Player ID'!B:B,0))</f>
        <v>606160</v>
      </c>
    </row>
    <row r="4083">
      <c r="A4083" s="76">
        <v>45779.0</v>
      </c>
      <c r="B4083" s="1" t="s">
        <v>366</v>
      </c>
      <c r="C4083" s="1" t="s">
        <v>46</v>
      </c>
      <c r="D4083" s="1">
        <v>6.0</v>
      </c>
      <c r="E4083" s="1">
        <v>16944.0</v>
      </c>
      <c r="F4083" s="10">
        <f t="shared" si="1"/>
        <v>6</v>
      </c>
      <c r="G4083" s="10">
        <f t="array" ref="G4083">index('Player ID'!C:C,match(E4083,'Player ID'!B:B,0))</f>
        <v>656550</v>
      </c>
    </row>
    <row r="4084">
      <c r="A4084" s="76">
        <v>45779.0</v>
      </c>
      <c r="B4084" s="1" t="s">
        <v>32</v>
      </c>
      <c r="C4084" s="1" t="s">
        <v>33</v>
      </c>
      <c r="D4084" s="1">
        <v>1.0</v>
      </c>
      <c r="E4084" s="1">
        <v>17586.0</v>
      </c>
      <c r="F4084" s="10">
        <f t="shared" si="1"/>
        <v>1</v>
      </c>
      <c r="G4084" s="10">
        <f t="array" ref="G4084">index('Player ID'!C:C,match(E4084,'Player ID'!B:B,0))</f>
        <v>656945</v>
      </c>
    </row>
    <row r="4085">
      <c r="A4085" s="76">
        <v>45779.0</v>
      </c>
      <c r="B4085" s="1" t="s">
        <v>694</v>
      </c>
      <c r="C4085" s="1" t="s">
        <v>33</v>
      </c>
      <c r="D4085" s="1">
        <v>1.0</v>
      </c>
      <c r="E4085" s="1">
        <v>17734.0</v>
      </c>
      <c r="F4085" s="10">
        <f t="shared" si="1"/>
        <v>1</v>
      </c>
      <c r="G4085" s="10">
        <f t="array" ref="G4085">index('Player ID'!C:C,match(E4085,'Player ID'!B:B,0))</f>
        <v>623465</v>
      </c>
    </row>
    <row r="4086">
      <c r="A4086" s="76">
        <v>45779.0</v>
      </c>
      <c r="B4086" s="1" t="s">
        <v>91</v>
      </c>
      <c r="C4086" s="1" t="s">
        <v>46</v>
      </c>
      <c r="D4086" s="1">
        <v>1.0</v>
      </c>
      <c r="E4086" s="1">
        <v>19996.0</v>
      </c>
      <c r="F4086" s="10">
        <f t="shared" si="1"/>
        <v>1</v>
      </c>
      <c r="G4086" s="10">
        <f t="array" ref="G4086">index('Player ID'!C:C,match(E4086,'Player ID'!B:B,0))</f>
        <v>669276</v>
      </c>
    </row>
    <row r="4087">
      <c r="A4087" s="76">
        <v>45779.0</v>
      </c>
      <c r="B4087" s="1" t="s">
        <v>688</v>
      </c>
      <c r="C4087" s="1" t="s">
        <v>46</v>
      </c>
      <c r="D4087" s="1">
        <v>1.0</v>
      </c>
      <c r="E4087" s="1">
        <v>20271.0</v>
      </c>
      <c r="F4087" s="10">
        <f t="shared" si="1"/>
        <v>1</v>
      </c>
      <c r="G4087" s="10">
        <f t="array" ref="G4087">index('Player ID'!C:C,match(E4087,'Player ID'!B:B,0))</f>
        <v>678226</v>
      </c>
    </row>
    <row r="4088">
      <c r="A4088" s="76">
        <v>45779.0</v>
      </c>
      <c r="B4088" s="1" t="s">
        <v>85</v>
      </c>
      <c r="C4088" s="1" t="s">
        <v>33</v>
      </c>
      <c r="D4088" s="1">
        <v>6.0</v>
      </c>
      <c r="E4088" s="1">
        <v>33825.0</v>
      </c>
      <c r="F4088" s="10">
        <f t="shared" si="1"/>
        <v>6</v>
      </c>
      <c r="G4088" s="10">
        <f t="array" ref="G4088">index('Player ID'!C:C,match(E4088,'Player ID'!B:B,0))</f>
        <v>808967</v>
      </c>
    </row>
    <row r="4089">
      <c r="A4089" s="76">
        <v>45779.0</v>
      </c>
      <c r="B4089" s="1" t="s">
        <v>447</v>
      </c>
      <c r="C4089" s="1" t="s">
        <v>39</v>
      </c>
      <c r="D4089" s="1">
        <v>1.1</v>
      </c>
      <c r="E4089" s="1">
        <v>13652.0</v>
      </c>
      <c r="F4089" s="10">
        <f t="shared" si="1"/>
        <v>1.333333333</v>
      </c>
      <c r="G4089" s="10">
        <f t="array" ref="G4089">index('Player ID'!C:C,match(E4089,'Player ID'!B:B,0))</f>
        <v>605463</v>
      </c>
    </row>
    <row r="4090">
      <c r="A4090" s="76">
        <v>45779.0</v>
      </c>
      <c r="B4090" s="1" t="s">
        <v>252</v>
      </c>
      <c r="C4090" s="1" t="s">
        <v>78</v>
      </c>
      <c r="D4090" s="1">
        <v>1.0</v>
      </c>
      <c r="E4090" s="1">
        <v>16061.0</v>
      </c>
      <c r="F4090" s="10">
        <f t="shared" si="1"/>
        <v>1</v>
      </c>
      <c r="G4090" s="10">
        <f t="array" ref="G4090">index('Player ID'!C:C,match(E4090,'Player ID'!B:B,0))</f>
        <v>592155</v>
      </c>
    </row>
    <row r="4091">
      <c r="A4091" s="76">
        <v>45779.0</v>
      </c>
      <c r="B4091" s="1" t="s">
        <v>113</v>
      </c>
      <c r="C4091" s="1" t="s">
        <v>39</v>
      </c>
      <c r="D4091" s="1">
        <v>5.0</v>
      </c>
      <c r="E4091" s="1">
        <v>17295.0</v>
      </c>
      <c r="F4091" s="10">
        <f t="shared" si="1"/>
        <v>5</v>
      </c>
      <c r="G4091" s="10">
        <f t="array" ref="G4091">index('Player ID'!C:C,match(E4091,'Player ID'!B:B,0))</f>
        <v>664285</v>
      </c>
    </row>
    <row r="4092">
      <c r="A4092" s="76">
        <v>45779.0</v>
      </c>
      <c r="B4092" s="1" t="s">
        <v>359</v>
      </c>
      <c r="C4092" s="1" t="s">
        <v>39</v>
      </c>
      <c r="D4092" s="1">
        <v>1.0</v>
      </c>
      <c r="E4092" s="1">
        <v>20061.0</v>
      </c>
      <c r="F4092" s="10">
        <f t="shared" si="1"/>
        <v>1</v>
      </c>
      <c r="G4092" s="10">
        <f t="array" ref="G4092">index('Player ID'!C:C,match(E4092,'Player ID'!B:B,0))</f>
        <v>672391</v>
      </c>
    </row>
    <row r="4093">
      <c r="A4093" s="76">
        <v>45779.0</v>
      </c>
      <c r="B4093" s="1" t="s">
        <v>116</v>
      </c>
      <c r="C4093" s="1" t="s">
        <v>78</v>
      </c>
      <c r="D4093" s="1">
        <v>1.0</v>
      </c>
      <c r="E4093" s="1">
        <v>20353.0</v>
      </c>
      <c r="F4093" s="10">
        <f t="shared" si="1"/>
        <v>1</v>
      </c>
      <c r="G4093" s="10">
        <f t="array" ref="G4093">index('Player ID'!C:C,match(E4093,'Player ID'!B:B,0))</f>
        <v>621051</v>
      </c>
    </row>
    <row r="4094">
      <c r="A4094" s="76">
        <v>45779.0</v>
      </c>
      <c r="B4094" s="1" t="s">
        <v>102</v>
      </c>
      <c r="C4094" s="1" t="s">
        <v>39</v>
      </c>
      <c r="D4094" s="1">
        <v>0.2</v>
      </c>
      <c r="E4094" s="1">
        <v>21345.0</v>
      </c>
      <c r="F4094" s="10">
        <f t="shared" si="1"/>
        <v>0.6666666667</v>
      </c>
      <c r="G4094" s="10">
        <f t="array" ref="G4094">index('Player ID'!C:C,match(E4094,'Player ID'!B:B,0))</f>
        <v>656986</v>
      </c>
    </row>
    <row r="4095">
      <c r="A4095" s="76">
        <v>45779.0</v>
      </c>
      <c r="B4095" s="1" t="s">
        <v>317</v>
      </c>
      <c r="C4095" s="1" t="s">
        <v>78</v>
      </c>
      <c r="D4095" s="1">
        <v>1.0</v>
      </c>
      <c r="E4095" s="1">
        <v>29950.0</v>
      </c>
      <c r="F4095" s="10">
        <f t="shared" si="1"/>
        <v>1</v>
      </c>
      <c r="G4095" s="10">
        <f t="array" ref="G4095">index('Player ID'!C:C,match(E4095,'Player ID'!B:B,0))</f>
        <v>673929</v>
      </c>
    </row>
    <row r="4096">
      <c r="A4096" s="76">
        <v>45779.0</v>
      </c>
      <c r="B4096" s="1" t="s">
        <v>361</v>
      </c>
      <c r="C4096" s="1" t="s">
        <v>78</v>
      </c>
      <c r="D4096" s="1">
        <v>6.0</v>
      </c>
      <c r="E4096" s="1">
        <v>31730.0</v>
      </c>
      <c r="F4096" s="10">
        <f t="shared" si="1"/>
        <v>6</v>
      </c>
      <c r="G4096" s="10">
        <f t="array" ref="G4096">index('Player ID'!C:C,match(E4096,'Player ID'!B:B,0))</f>
        <v>686563</v>
      </c>
    </row>
    <row r="4097">
      <c r="A4097" s="76">
        <v>45779.0</v>
      </c>
      <c r="B4097" s="1" t="s">
        <v>776</v>
      </c>
      <c r="C4097" s="1" t="s">
        <v>56</v>
      </c>
      <c r="D4097" s="1">
        <v>2.0</v>
      </c>
      <c r="E4097" s="1">
        <v>10200.0</v>
      </c>
      <c r="F4097" s="10">
        <f t="shared" si="1"/>
        <v>2</v>
      </c>
      <c r="G4097" s="10">
        <f t="array" ref="G4097">index('Player ID'!C:C,match(E4097,'Player ID'!B:B,0))</f>
        <v>571466</v>
      </c>
    </row>
    <row r="4098">
      <c r="A4098" s="76">
        <v>45779.0</v>
      </c>
      <c r="B4098" s="1" t="s">
        <v>108</v>
      </c>
      <c r="C4098" s="1" t="s">
        <v>37</v>
      </c>
      <c r="D4098" s="1">
        <v>1.2</v>
      </c>
      <c r="E4098" s="1">
        <v>17948.0</v>
      </c>
      <c r="F4098" s="10">
        <f t="shared" si="1"/>
        <v>1.666666667</v>
      </c>
      <c r="G4098" s="10">
        <f t="array" ref="G4098">index('Player ID'!C:C,match(E4098,'Player ID'!B:B,0))</f>
        <v>663423</v>
      </c>
    </row>
    <row r="4099">
      <c r="A4099" s="76">
        <v>45779.0</v>
      </c>
      <c r="B4099" s="1" t="s">
        <v>349</v>
      </c>
      <c r="C4099" s="1" t="s">
        <v>56</v>
      </c>
      <c r="D4099" s="1">
        <v>1.0</v>
      </c>
      <c r="E4099" s="1">
        <v>19736.0</v>
      </c>
      <c r="F4099" s="10">
        <f t="shared" si="1"/>
        <v>1</v>
      </c>
      <c r="G4099" s="10">
        <f t="array" ref="G4099">index('Player ID'!C:C,match(E4099,'Player ID'!B:B,0))</f>
        <v>676961</v>
      </c>
    </row>
    <row r="4100">
      <c r="A4100" s="76">
        <v>45779.0</v>
      </c>
      <c r="B4100" s="1" t="s">
        <v>111</v>
      </c>
      <c r="C4100" s="1" t="s">
        <v>56</v>
      </c>
      <c r="D4100" s="1">
        <v>1.2</v>
      </c>
      <c r="E4100" s="1">
        <v>21306.0</v>
      </c>
      <c r="F4100" s="10">
        <f t="shared" si="1"/>
        <v>1.666666667</v>
      </c>
      <c r="G4100" s="10">
        <f t="array" ref="G4100">index('Player ID'!C:C,match(E4100,'Player ID'!B:B,0))</f>
        <v>656641</v>
      </c>
    </row>
    <row r="4101">
      <c r="A4101" s="76">
        <v>45779.0</v>
      </c>
      <c r="B4101" s="1" t="s">
        <v>374</v>
      </c>
      <c r="C4101" s="1" t="s">
        <v>56</v>
      </c>
      <c r="D4101" s="1">
        <v>4.1</v>
      </c>
      <c r="E4101" s="1">
        <v>30146.0</v>
      </c>
      <c r="F4101" s="10">
        <f t="shared" si="1"/>
        <v>4.333333333</v>
      </c>
      <c r="G4101" s="10">
        <f t="array" ref="G4101">index('Player ID'!C:C,match(E4101,'Player ID'!B:B,0))</f>
        <v>683004</v>
      </c>
    </row>
    <row r="4102">
      <c r="A4102" s="76">
        <v>45779.0</v>
      </c>
      <c r="B4102" s="1" t="s">
        <v>90</v>
      </c>
      <c r="C4102" s="1" t="s">
        <v>37</v>
      </c>
      <c r="D4102" s="1">
        <v>6.1</v>
      </c>
      <c r="E4102" s="1">
        <v>30279.0</v>
      </c>
      <c r="F4102" s="10">
        <f t="shared" si="1"/>
        <v>6.333333333</v>
      </c>
      <c r="G4102" s="10">
        <f t="array" ref="G4102">index('Player ID'!C:C,match(E4102,'Player ID'!B:B,0))</f>
        <v>693433</v>
      </c>
    </row>
    <row r="4103">
      <c r="A4103" s="76">
        <v>45779.0</v>
      </c>
      <c r="B4103" s="1" t="s">
        <v>804</v>
      </c>
      <c r="C4103" s="1" t="s">
        <v>37</v>
      </c>
      <c r="D4103" s="1">
        <v>1.0</v>
      </c>
      <c r="E4103" s="1">
        <v>31883.0</v>
      </c>
      <c r="F4103" s="10">
        <f t="shared" si="1"/>
        <v>1</v>
      </c>
      <c r="G4103" s="10">
        <f t="array" ref="G4103">index('Player ID'!C:C,match(E4103,'Player ID'!B:B,0))</f>
        <v>700187</v>
      </c>
    </row>
    <row r="4104">
      <c r="A4104" s="76">
        <v>45779.0</v>
      </c>
      <c r="B4104" s="1" t="s">
        <v>462</v>
      </c>
      <c r="C4104" s="1" t="s">
        <v>34</v>
      </c>
      <c r="D4104" s="1">
        <v>3.0</v>
      </c>
      <c r="E4104" s="1">
        <v>13896.0</v>
      </c>
      <c r="F4104" s="10">
        <f t="shared" si="1"/>
        <v>3</v>
      </c>
      <c r="G4104" s="10">
        <f t="array" ref="G4104">index('Player ID'!C:C,match(E4104,'Player ID'!B:B,0))</f>
        <v>623167</v>
      </c>
    </row>
    <row r="4105">
      <c r="A4105" s="76">
        <v>45779.0</v>
      </c>
      <c r="B4105" s="1" t="s">
        <v>634</v>
      </c>
      <c r="C4105" s="1" t="s">
        <v>14</v>
      </c>
      <c r="D4105" s="1">
        <v>1.0</v>
      </c>
      <c r="E4105" s="1">
        <v>14332.0</v>
      </c>
      <c r="F4105" s="10">
        <f t="shared" si="1"/>
        <v>1</v>
      </c>
      <c r="G4105" s="10">
        <f t="array" ref="G4105">index('Player ID'!C:C,match(E4105,'Player ID'!B:B,0))</f>
        <v>606303</v>
      </c>
    </row>
    <row r="4106">
      <c r="A4106" s="76">
        <v>45779.0</v>
      </c>
      <c r="B4106" s="1" t="s">
        <v>689</v>
      </c>
      <c r="C4106" s="1" t="s">
        <v>14</v>
      </c>
      <c r="D4106" s="1">
        <v>1.0</v>
      </c>
      <c r="E4106" s="1">
        <v>15194.0</v>
      </c>
      <c r="F4106" s="10">
        <f t="shared" si="1"/>
        <v>1</v>
      </c>
      <c r="G4106" s="10">
        <f t="array" ref="G4106">index('Player ID'!C:C,match(E4106,'Player ID'!B:B,0))</f>
        <v>641343</v>
      </c>
    </row>
    <row r="4107">
      <c r="A4107" s="76">
        <v>45779.0</v>
      </c>
      <c r="B4107" s="1" t="s">
        <v>187</v>
      </c>
      <c r="C4107" s="1" t="s">
        <v>14</v>
      </c>
      <c r="D4107" s="1">
        <v>0.2</v>
      </c>
      <c r="E4107" s="1">
        <v>17735.0</v>
      </c>
      <c r="F4107" s="10">
        <f t="shared" si="1"/>
        <v>0.6666666667</v>
      </c>
      <c r="G4107" s="10">
        <f t="array" ref="G4107">index('Player ID'!C:C,match(E4107,'Player ID'!B:B,0))</f>
        <v>641302</v>
      </c>
    </row>
    <row r="4108">
      <c r="A4108" s="76">
        <v>45779.0</v>
      </c>
      <c r="B4108" s="1" t="s">
        <v>318</v>
      </c>
      <c r="C4108" s="1" t="s">
        <v>14</v>
      </c>
      <c r="D4108" s="1">
        <v>1.0</v>
      </c>
      <c r="E4108" s="1">
        <v>20546.0</v>
      </c>
      <c r="F4108" s="10">
        <f t="shared" si="1"/>
        <v>1</v>
      </c>
      <c r="G4108" s="10">
        <f t="array" ref="G4108">index('Player ID'!C:C,match(E4108,'Player ID'!B:B,0))</f>
        <v>681982</v>
      </c>
    </row>
    <row r="4109">
      <c r="A4109" s="76">
        <v>45779.0</v>
      </c>
      <c r="B4109" s="1" t="s">
        <v>221</v>
      </c>
      <c r="C4109" s="1" t="s">
        <v>14</v>
      </c>
      <c r="D4109" s="1">
        <v>1.0</v>
      </c>
      <c r="E4109" s="1">
        <v>22191.0</v>
      </c>
      <c r="F4109" s="10">
        <f t="shared" si="1"/>
        <v>1</v>
      </c>
      <c r="G4109" s="10">
        <f t="array" ref="G4109">index('Player ID'!C:C,match(E4109,'Player ID'!B:B,0))</f>
        <v>668964</v>
      </c>
    </row>
    <row r="4110">
      <c r="A4110" s="76">
        <v>45779.0</v>
      </c>
      <c r="B4110" s="1" t="s">
        <v>341</v>
      </c>
      <c r="C4110" s="1" t="s">
        <v>34</v>
      </c>
      <c r="D4110" s="1">
        <v>6.0</v>
      </c>
      <c r="E4110" s="1">
        <v>23590.0</v>
      </c>
      <c r="F4110" s="10">
        <f t="shared" si="1"/>
        <v>6</v>
      </c>
      <c r="G4110" s="10">
        <f t="array" ref="G4110">index('Player ID'!C:C,match(E4110,'Player ID'!B:B,0))</f>
        <v>676962</v>
      </c>
    </row>
    <row r="4111">
      <c r="A4111" s="76">
        <v>45779.0</v>
      </c>
      <c r="B4111" s="1" t="s">
        <v>450</v>
      </c>
      <c r="C4111" s="1" t="s">
        <v>14</v>
      </c>
      <c r="D4111" s="1">
        <v>4.1</v>
      </c>
      <c r="E4111" s="1">
        <v>25977.0</v>
      </c>
      <c r="F4111" s="10">
        <f t="shared" si="1"/>
        <v>4.333333333</v>
      </c>
      <c r="G4111" s="10">
        <f t="array" ref="G4111">index('Player ID'!C:C,match(E4111,'Player ID'!B:B,0))</f>
        <v>682990</v>
      </c>
    </row>
    <row r="4112">
      <c r="A4112" s="76">
        <v>45779.0</v>
      </c>
      <c r="B4112" s="1" t="s">
        <v>95</v>
      </c>
      <c r="C4112" s="1" t="s">
        <v>72</v>
      </c>
      <c r="D4112" s="1">
        <v>4.1</v>
      </c>
      <c r="E4112" s="1">
        <v>12768.0</v>
      </c>
      <c r="F4112" s="10">
        <f t="shared" si="1"/>
        <v>4.333333333</v>
      </c>
      <c r="G4112" s="10">
        <f t="array" ref="G4112">index('Player ID'!C:C,match(E4112,'Player ID'!B:B,0))</f>
        <v>543243</v>
      </c>
    </row>
    <row r="4113">
      <c r="A4113" s="76">
        <v>45779.0</v>
      </c>
      <c r="B4113" s="1" t="s">
        <v>269</v>
      </c>
      <c r="C4113" s="1" t="s">
        <v>51</v>
      </c>
      <c r="D4113" s="1">
        <v>6.0</v>
      </c>
      <c r="E4113" s="1">
        <v>13649.0</v>
      </c>
      <c r="F4113" s="10">
        <f t="shared" si="1"/>
        <v>6</v>
      </c>
      <c r="G4113" s="10">
        <f t="array" ref="G4113">index('Player ID'!C:C,match(E4113,'Player ID'!B:B,0))</f>
        <v>605280</v>
      </c>
    </row>
    <row r="4114">
      <c r="A4114" s="76">
        <v>45779.0</v>
      </c>
      <c r="B4114" s="1" t="s">
        <v>292</v>
      </c>
      <c r="C4114" s="1" t="s">
        <v>51</v>
      </c>
      <c r="D4114" s="1">
        <v>1.0</v>
      </c>
      <c r="E4114" s="1">
        <v>15947.0</v>
      </c>
      <c r="F4114" s="10">
        <f t="shared" si="1"/>
        <v>1</v>
      </c>
      <c r="G4114" s="10">
        <f t="array" ref="G4114">index('Player ID'!C:C,match(E4114,'Player ID'!B:B,0))</f>
        <v>592773</v>
      </c>
    </row>
    <row r="4115">
      <c r="A4115" s="76">
        <v>45779.0</v>
      </c>
      <c r="B4115" s="1" t="s">
        <v>270</v>
      </c>
      <c r="C4115" s="1" t="s">
        <v>72</v>
      </c>
      <c r="D4115" s="1">
        <v>1.0</v>
      </c>
      <c r="E4115" s="1">
        <v>18138.0</v>
      </c>
      <c r="F4115" s="10">
        <f t="shared" si="1"/>
        <v>1</v>
      </c>
      <c r="G4115" s="10">
        <f t="array" ref="G4115">index('Player ID'!C:C,match(E4115,'Player ID'!B:B,0))</f>
        <v>664854</v>
      </c>
    </row>
    <row r="4116">
      <c r="A4116" s="76">
        <v>45779.0</v>
      </c>
      <c r="B4116" s="1" t="s">
        <v>273</v>
      </c>
      <c r="C4116" s="1" t="s">
        <v>72</v>
      </c>
      <c r="D4116" s="1">
        <v>1.0</v>
      </c>
      <c r="E4116" s="1">
        <v>22051.0</v>
      </c>
      <c r="F4116" s="10">
        <f t="shared" si="1"/>
        <v>1</v>
      </c>
      <c r="G4116" s="10">
        <f t="array" ref="G4116">index('Player ID'!C:C,match(E4116,'Player ID'!B:B,0))</f>
        <v>667463</v>
      </c>
    </row>
    <row r="4117">
      <c r="A4117" s="76">
        <v>45779.0</v>
      </c>
      <c r="B4117" s="1" t="s">
        <v>712</v>
      </c>
      <c r="C4117" s="1" t="s">
        <v>51</v>
      </c>
      <c r="D4117" s="1">
        <v>2.0</v>
      </c>
      <c r="E4117" s="1">
        <v>23313.0</v>
      </c>
      <c r="F4117" s="10">
        <f t="shared" si="1"/>
        <v>2</v>
      </c>
      <c r="G4117" s="10">
        <f t="array" ref="G4117">index('Player ID'!C:C,match(E4117,'Player ID'!B:B,0))</f>
        <v>676130</v>
      </c>
    </row>
    <row r="4118">
      <c r="A4118" s="76">
        <v>45779.0</v>
      </c>
      <c r="B4118" s="1" t="s">
        <v>795</v>
      </c>
      <c r="C4118" s="1" t="s">
        <v>72</v>
      </c>
      <c r="D4118" s="1">
        <v>2.0</v>
      </c>
      <c r="E4118" s="1">
        <v>25311.0</v>
      </c>
      <c r="F4118" s="10">
        <f t="shared" si="1"/>
        <v>2</v>
      </c>
      <c r="G4118" s="10">
        <f t="array" ref="G4118">index('Player ID'!C:C,match(E4118,'Player ID'!B:B,0))</f>
        <v>682610</v>
      </c>
    </row>
    <row r="4119">
      <c r="A4119" s="76">
        <v>45779.0</v>
      </c>
      <c r="B4119" s="1" t="s">
        <v>665</v>
      </c>
      <c r="C4119" s="1" t="s">
        <v>72</v>
      </c>
      <c r="D4119" s="1">
        <v>0.2</v>
      </c>
      <c r="E4119" s="1">
        <v>31261.0</v>
      </c>
      <c r="F4119" s="10">
        <f t="shared" si="1"/>
        <v>0.6666666667</v>
      </c>
      <c r="G4119" s="10">
        <f t="array" ref="G4119">index('Player ID'!C:C,match(E4119,'Player ID'!B:B,0))</f>
        <v>688297</v>
      </c>
    </row>
    <row r="4120">
      <c r="A4120" s="76">
        <v>45779.0</v>
      </c>
      <c r="B4120" s="1" t="s">
        <v>154</v>
      </c>
      <c r="C4120" s="1" t="s">
        <v>25</v>
      </c>
      <c r="D4120" s="1">
        <v>0.2</v>
      </c>
      <c r="E4120" s="1">
        <v>3096.0</v>
      </c>
      <c r="F4120" s="10">
        <f t="shared" si="1"/>
        <v>0.6666666667</v>
      </c>
      <c r="G4120" s="10">
        <f t="array" ref="G4120">index('Player ID'!C:C,match(E4120,'Player ID'!B:B,0))</f>
        <v>445276</v>
      </c>
    </row>
    <row r="4121">
      <c r="A4121" s="76">
        <v>45779.0</v>
      </c>
      <c r="B4121" s="1" t="s">
        <v>695</v>
      </c>
      <c r="C4121" s="1" t="s">
        <v>25</v>
      </c>
      <c r="D4121" s="1">
        <v>6.0</v>
      </c>
      <c r="E4121" s="1">
        <v>22100.0</v>
      </c>
      <c r="F4121" s="10">
        <f t="shared" si="1"/>
        <v>6</v>
      </c>
      <c r="G4121" s="10">
        <f t="array" ref="G4121">index('Player ID'!C:C,match(E4121,'Player ID'!B:B,0))</f>
        <v>667755</v>
      </c>
    </row>
    <row r="4122">
      <c r="A4122" s="76">
        <v>45779.0</v>
      </c>
      <c r="B4122" s="1" t="s">
        <v>84</v>
      </c>
      <c r="C4122" s="1" t="s">
        <v>62</v>
      </c>
      <c r="D4122" s="1">
        <v>6.0</v>
      </c>
      <c r="E4122" s="1">
        <v>22267.0</v>
      </c>
      <c r="F4122" s="10">
        <f t="shared" si="1"/>
        <v>6</v>
      </c>
      <c r="G4122" s="10">
        <f t="array" ref="G4122">index('Player ID'!C:C,match(E4122,'Player ID'!B:B,0))</f>
        <v>669373</v>
      </c>
    </row>
    <row r="4123">
      <c r="A4123" s="76">
        <v>45779.0</v>
      </c>
      <c r="B4123" s="1" t="s">
        <v>385</v>
      </c>
      <c r="C4123" s="1" t="s">
        <v>25</v>
      </c>
      <c r="D4123" s="1">
        <v>1.0</v>
      </c>
      <c r="E4123" s="1">
        <v>25420.0</v>
      </c>
      <c r="F4123" s="10">
        <f t="shared" si="1"/>
        <v>1</v>
      </c>
      <c r="G4123" s="10">
        <f t="array" ref="G4123">index('Player ID'!C:C,match(E4123,'Player ID'!B:B,0))</f>
        <v>666171</v>
      </c>
    </row>
    <row r="4124">
      <c r="A4124" s="76">
        <v>45779.0</v>
      </c>
      <c r="B4124" s="1" t="s">
        <v>753</v>
      </c>
      <c r="C4124" s="1" t="s">
        <v>62</v>
      </c>
      <c r="D4124" s="1">
        <v>1.0</v>
      </c>
      <c r="E4124" s="1">
        <v>26030.0</v>
      </c>
      <c r="F4124" s="10">
        <f t="shared" si="1"/>
        <v>1</v>
      </c>
      <c r="G4124" s="10">
        <f t="array" ref="G4124">index('Player ID'!C:C,match(E4124,'Player ID'!B:B,0))</f>
        <v>687074</v>
      </c>
    </row>
    <row r="4125">
      <c r="A4125" s="76">
        <v>45779.0</v>
      </c>
      <c r="B4125" s="1" t="s">
        <v>82</v>
      </c>
      <c r="C4125" s="1" t="s">
        <v>62</v>
      </c>
      <c r="D4125" s="1">
        <v>1.0</v>
      </c>
      <c r="E4125" s="1">
        <v>26231.0</v>
      </c>
      <c r="F4125" s="10">
        <f t="shared" si="1"/>
        <v>1</v>
      </c>
      <c r="G4125" s="10">
        <f t="array" ref="G4125">index('Player ID'!C:C,match(E4125,'Player ID'!B:B,0))</f>
        <v>663947</v>
      </c>
    </row>
    <row r="4126">
      <c r="A4126" s="76">
        <v>45779.0</v>
      </c>
      <c r="B4126" s="1" t="s">
        <v>604</v>
      </c>
      <c r="C4126" s="1" t="s">
        <v>25</v>
      </c>
      <c r="D4126" s="1">
        <v>0.1</v>
      </c>
      <c r="E4126" s="1">
        <v>27590.0</v>
      </c>
      <c r="F4126" s="10">
        <f t="shared" si="1"/>
        <v>0.3333333333</v>
      </c>
      <c r="G4126" s="10">
        <f t="array" ref="G4126">index('Player ID'!C:C,match(E4126,'Player ID'!B:B,0))</f>
        <v>671109</v>
      </c>
    </row>
    <row r="4127">
      <c r="A4127" s="76">
        <v>45779.0</v>
      </c>
      <c r="B4127" s="1" t="s">
        <v>160</v>
      </c>
      <c r="C4127" s="1" t="s">
        <v>62</v>
      </c>
      <c r="D4127" s="1">
        <v>1.0</v>
      </c>
      <c r="E4127" s="1">
        <v>29574.0</v>
      </c>
      <c r="F4127" s="10">
        <f t="shared" si="1"/>
        <v>1</v>
      </c>
      <c r="G4127" s="10">
        <f t="array" ref="G4127">index('Player ID'!C:C,match(E4127,'Player ID'!B:B,0))</f>
        <v>695445</v>
      </c>
    </row>
    <row r="4128">
      <c r="A4128" s="76">
        <v>45779.0</v>
      </c>
      <c r="B4128" s="1" t="s">
        <v>659</v>
      </c>
      <c r="C4128" s="1" t="s">
        <v>25</v>
      </c>
      <c r="D4128" s="1">
        <v>1.0</v>
      </c>
      <c r="E4128" s="1">
        <v>35325.0</v>
      </c>
      <c r="F4128" s="10">
        <f t="shared" si="1"/>
        <v>1</v>
      </c>
      <c r="G4128" s="10">
        <f t="array" ref="G4128">index('Player ID'!C:C,match(E4128,'Player ID'!B:B,0))</f>
        <v>696270</v>
      </c>
    </row>
    <row r="4129">
      <c r="A4129" s="76">
        <v>45779.0</v>
      </c>
      <c r="B4129" s="1" t="s">
        <v>303</v>
      </c>
      <c r="C4129" s="1" t="s">
        <v>31</v>
      </c>
      <c r="D4129" s="1">
        <v>7.0</v>
      </c>
      <c r="E4129" s="1">
        <v>11486.0</v>
      </c>
      <c r="F4129" s="10">
        <f t="shared" si="1"/>
        <v>7</v>
      </c>
      <c r="G4129" s="10">
        <f t="array" ref="G4129">index('Player ID'!C:C,match(E4129,'Player ID'!B:B,0))</f>
        <v>592662</v>
      </c>
    </row>
    <row r="4130">
      <c r="A4130" s="76">
        <v>45779.0</v>
      </c>
      <c r="B4130" s="1" t="s">
        <v>481</v>
      </c>
      <c r="C4130" s="1" t="s">
        <v>75</v>
      </c>
      <c r="D4130" s="1">
        <v>5.0</v>
      </c>
      <c r="E4130" s="1">
        <v>15488.0</v>
      </c>
      <c r="F4130" s="10">
        <f t="shared" si="1"/>
        <v>5</v>
      </c>
      <c r="G4130" s="10">
        <f t="array" ref="G4130">index('Player ID'!C:C,match(E4130,'Player ID'!B:B,0))</f>
        <v>622608</v>
      </c>
    </row>
    <row r="4131">
      <c r="A4131" s="76">
        <v>45779.0</v>
      </c>
      <c r="B4131" s="1" t="s">
        <v>451</v>
      </c>
      <c r="C4131" s="1" t="s">
        <v>75</v>
      </c>
      <c r="D4131" s="1">
        <v>1.0</v>
      </c>
      <c r="E4131" s="1">
        <v>17556.0</v>
      </c>
      <c r="F4131" s="10">
        <f t="shared" si="1"/>
        <v>1</v>
      </c>
      <c r="G4131" s="10">
        <f t="array" ref="G4131">index('Player ID'!C:C,match(E4131,'Player ID'!B:B,0))</f>
        <v>623474</v>
      </c>
    </row>
    <row r="4132">
      <c r="A4132" s="76">
        <v>45779.0</v>
      </c>
      <c r="B4132" s="1" t="s">
        <v>288</v>
      </c>
      <c r="C4132" s="1" t="s">
        <v>75</v>
      </c>
      <c r="D4132" s="1">
        <v>1.0</v>
      </c>
      <c r="E4132" s="1">
        <v>18297.0</v>
      </c>
      <c r="F4132" s="10">
        <f t="shared" si="1"/>
        <v>1</v>
      </c>
      <c r="G4132" s="10">
        <f t="array" ref="G4132">index('Player ID'!C:C,match(E4132,'Player ID'!B:B,0))</f>
        <v>641755</v>
      </c>
    </row>
    <row r="4133">
      <c r="A4133" s="76">
        <v>45779.0</v>
      </c>
      <c r="B4133" s="1" t="s">
        <v>468</v>
      </c>
      <c r="C4133" s="1" t="s">
        <v>75</v>
      </c>
      <c r="D4133" s="1">
        <v>1.0</v>
      </c>
      <c r="E4133" s="1">
        <v>23237.0</v>
      </c>
      <c r="F4133" s="10">
        <f t="shared" si="1"/>
        <v>1</v>
      </c>
      <c r="G4133" s="10">
        <f t="array" ref="G4133">index('Player ID'!C:C,match(E4133,'Player ID'!B:B,0))</f>
        <v>675848</v>
      </c>
    </row>
    <row r="4134">
      <c r="A4134" s="76">
        <v>45779.0</v>
      </c>
      <c r="B4134" s="1" t="s">
        <v>514</v>
      </c>
      <c r="C4134" s="1" t="s">
        <v>31</v>
      </c>
      <c r="D4134" s="1">
        <v>2.0</v>
      </c>
      <c r="E4134" s="1">
        <v>31635.0</v>
      </c>
      <c r="F4134" s="10">
        <f t="shared" si="1"/>
        <v>2</v>
      </c>
      <c r="G4134" s="10">
        <f t="array" ref="G4134">index('Player ID'!C:C,match(E4134,'Player ID'!B:B,0))</f>
        <v>806185</v>
      </c>
    </row>
    <row r="4135">
      <c r="A4135" s="76">
        <v>45780.0</v>
      </c>
      <c r="B4135" s="1" t="s">
        <v>422</v>
      </c>
      <c r="C4135" s="1" t="s">
        <v>58</v>
      </c>
      <c r="D4135" s="1">
        <v>2.0</v>
      </c>
      <c r="E4135" s="1">
        <v>7048.0</v>
      </c>
      <c r="F4135" s="10">
        <f t="shared" si="1"/>
        <v>2</v>
      </c>
      <c r="G4135" s="10">
        <f t="array" ref="G4135">index('Player ID'!C:C,match(E4135,'Player ID'!B:B,0))</f>
        <v>518585</v>
      </c>
    </row>
    <row r="4136">
      <c r="A4136" s="76">
        <v>45780.0</v>
      </c>
      <c r="B4136" s="1" t="s">
        <v>467</v>
      </c>
      <c r="C4136" s="1" t="s">
        <v>58</v>
      </c>
      <c r="D4136" s="1">
        <v>0.1</v>
      </c>
      <c r="E4136" s="1">
        <v>15551.0</v>
      </c>
      <c r="F4136" s="10">
        <f t="shared" si="1"/>
        <v>0.3333333333</v>
      </c>
      <c r="G4136" s="10">
        <f t="array" ref="G4136">index('Player ID'!C:C,match(E4136,'Player ID'!B:B,0))</f>
        <v>643410</v>
      </c>
    </row>
    <row r="4137">
      <c r="A4137" s="76">
        <v>45780.0</v>
      </c>
      <c r="B4137" s="1" t="s">
        <v>177</v>
      </c>
      <c r="C4137" s="1" t="s">
        <v>54</v>
      </c>
      <c r="D4137" s="1">
        <v>7.0</v>
      </c>
      <c r="E4137" s="1">
        <v>15823.0</v>
      </c>
      <c r="F4137" s="10">
        <f t="shared" si="1"/>
        <v>7</v>
      </c>
      <c r="G4137" s="10">
        <f t="array" ref="G4137">index('Player ID'!C:C,match(E4137,'Player ID'!B:B,0))</f>
        <v>641793</v>
      </c>
    </row>
    <row r="4138">
      <c r="A4138" s="76">
        <v>45780.0</v>
      </c>
      <c r="B4138" s="1" t="s">
        <v>192</v>
      </c>
      <c r="C4138" s="1" t="s">
        <v>58</v>
      </c>
      <c r="D4138" s="1">
        <v>4.0</v>
      </c>
      <c r="E4138" s="1">
        <v>16502.0</v>
      </c>
      <c r="F4138" s="10">
        <f t="shared" si="1"/>
        <v>4</v>
      </c>
      <c r="G4138" s="10">
        <f t="array" ref="G4138">index('Player ID'!C:C,match(E4138,'Player ID'!B:B,0))</f>
        <v>642232</v>
      </c>
    </row>
    <row r="4139">
      <c r="A4139" s="76">
        <v>45780.0</v>
      </c>
      <c r="B4139" s="1" t="s">
        <v>69</v>
      </c>
      <c r="C4139" s="1" t="s">
        <v>58</v>
      </c>
      <c r="D4139" s="1">
        <v>1.2</v>
      </c>
      <c r="E4139" s="1">
        <v>16814.0</v>
      </c>
      <c r="F4139" s="10">
        <f t="shared" si="1"/>
        <v>1.666666667</v>
      </c>
      <c r="G4139" s="10">
        <f t="array" ref="G4139">index('Player ID'!C:C,match(E4139,'Player ID'!B:B,0))</f>
        <v>657612</v>
      </c>
    </row>
    <row r="4140">
      <c r="A4140" s="76">
        <v>45780.0</v>
      </c>
      <c r="B4140" s="1" t="s">
        <v>185</v>
      </c>
      <c r="C4140" s="1" t="s">
        <v>54</v>
      </c>
      <c r="D4140" s="1">
        <v>0.2</v>
      </c>
      <c r="E4140" s="1">
        <v>17897.0</v>
      </c>
      <c r="F4140" s="10">
        <f t="shared" si="1"/>
        <v>0.6666666667</v>
      </c>
      <c r="G4140" s="10">
        <f t="array" ref="G4140">index('Player ID'!C:C,match(E4140,'Player ID'!B:B,0))</f>
        <v>664076</v>
      </c>
    </row>
    <row r="4141">
      <c r="A4141" s="76">
        <v>45780.0</v>
      </c>
      <c r="B4141" s="1" t="s">
        <v>261</v>
      </c>
      <c r="C4141" s="1" t="s">
        <v>54</v>
      </c>
      <c r="D4141" s="1">
        <v>1.0</v>
      </c>
      <c r="E4141" s="1">
        <v>17998.0</v>
      </c>
      <c r="F4141" s="10">
        <f t="shared" si="1"/>
        <v>1</v>
      </c>
      <c r="G4141" s="10">
        <f t="array" ref="G4141">index('Player ID'!C:C,match(E4141,'Player ID'!B:B,0))</f>
        <v>664126</v>
      </c>
    </row>
    <row r="4142">
      <c r="A4142" s="76">
        <v>45780.0</v>
      </c>
      <c r="B4142" s="1" t="s">
        <v>520</v>
      </c>
      <c r="C4142" s="1" t="s">
        <v>58</v>
      </c>
      <c r="D4142" s="1">
        <v>1.0</v>
      </c>
      <c r="E4142" s="1">
        <v>19261.0</v>
      </c>
      <c r="F4142" s="10">
        <f t="shared" si="1"/>
        <v>1</v>
      </c>
      <c r="G4142" s="10">
        <f t="array" ref="G4142">index('Player ID'!C:C,match(E4142,'Player ID'!B:B,0))</f>
        <v>641656</v>
      </c>
    </row>
    <row r="4143">
      <c r="A4143" s="76">
        <v>45780.0</v>
      </c>
      <c r="B4143" s="1" t="s">
        <v>400</v>
      </c>
      <c r="C4143" s="1" t="s">
        <v>54</v>
      </c>
      <c r="D4143" s="1">
        <v>0.1</v>
      </c>
      <c r="E4143" s="1">
        <v>20539.0</v>
      </c>
      <c r="F4143" s="10">
        <f t="shared" si="1"/>
        <v>0.3333333333</v>
      </c>
      <c r="G4143" s="10">
        <f t="array" ref="G4143">index('Player ID'!C:C,match(E4143,'Player ID'!B:B,0))</f>
        <v>670955</v>
      </c>
    </row>
    <row r="4144">
      <c r="A4144" s="76">
        <v>45780.0</v>
      </c>
      <c r="B4144" s="1" t="s">
        <v>210</v>
      </c>
      <c r="C4144" s="1" t="s">
        <v>39</v>
      </c>
      <c r="D4144" s="1">
        <v>1.0</v>
      </c>
      <c r="E4144" s="1">
        <v>16609.0</v>
      </c>
      <c r="F4144" s="10">
        <f t="shared" si="1"/>
        <v>1</v>
      </c>
      <c r="G4144" s="10">
        <f t="array" ref="G4144">index('Player ID'!C:C,match(E4144,'Player ID'!B:B,0))</f>
        <v>650556</v>
      </c>
    </row>
    <row r="4145">
      <c r="A4145" s="76">
        <v>45780.0</v>
      </c>
      <c r="B4145" s="1" t="s">
        <v>335</v>
      </c>
      <c r="C4145" s="1" t="s">
        <v>78</v>
      </c>
      <c r="D4145" s="1">
        <v>5.0</v>
      </c>
      <c r="E4145" s="1">
        <v>21448.0</v>
      </c>
      <c r="F4145" s="10">
        <f t="shared" si="1"/>
        <v>5</v>
      </c>
      <c r="G4145" s="10">
        <f t="array" ref="G4145">index('Player ID'!C:C,match(E4145,'Player ID'!B:B,0))</f>
        <v>663436</v>
      </c>
    </row>
    <row r="4146">
      <c r="A4146" s="76">
        <v>45780.0</v>
      </c>
      <c r="B4146" s="1" t="s">
        <v>658</v>
      </c>
      <c r="C4146" s="1" t="s">
        <v>78</v>
      </c>
      <c r="D4146" s="1">
        <v>1.1</v>
      </c>
      <c r="E4146" s="1">
        <v>25174.0</v>
      </c>
      <c r="F4146" s="10">
        <f t="shared" si="1"/>
        <v>1.333333333</v>
      </c>
      <c r="G4146" s="10">
        <f t="array" ref="G4146">index('Player ID'!C:C,match(E4146,'Player ID'!B:B,0))</f>
        <v>682171</v>
      </c>
    </row>
    <row r="4147">
      <c r="A4147" s="76">
        <v>45780.0</v>
      </c>
      <c r="B4147" s="1" t="s">
        <v>339</v>
      </c>
      <c r="C4147" s="1" t="s">
        <v>39</v>
      </c>
      <c r="D4147" s="1">
        <v>6.0</v>
      </c>
      <c r="E4147" s="1">
        <v>25880.0</v>
      </c>
      <c r="F4147" s="10">
        <f t="shared" si="1"/>
        <v>6</v>
      </c>
      <c r="G4147" s="10">
        <f t="array" ref="G4147">index('Player ID'!C:C,match(E4147,'Player ID'!B:B,0))</f>
        <v>686613</v>
      </c>
    </row>
    <row r="4148">
      <c r="A4148" s="76">
        <v>45780.0</v>
      </c>
      <c r="B4148" s="1" t="s">
        <v>76</v>
      </c>
      <c r="C4148" s="1" t="s">
        <v>39</v>
      </c>
      <c r="D4148" s="1">
        <v>1.0</v>
      </c>
      <c r="E4148" s="1">
        <v>25890.0</v>
      </c>
      <c r="F4148" s="10">
        <f t="shared" si="1"/>
        <v>1</v>
      </c>
      <c r="G4148" s="10">
        <f t="array" ref="G4148">index('Player ID'!C:C,match(E4148,'Player ID'!B:B,0))</f>
        <v>687911</v>
      </c>
    </row>
    <row r="4149">
      <c r="A4149" s="76">
        <v>45780.0</v>
      </c>
      <c r="B4149" s="1" t="s">
        <v>706</v>
      </c>
      <c r="C4149" s="1" t="s">
        <v>78</v>
      </c>
      <c r="D4149" s="1">
        <v>2.0</v>
      </c>
      <c r="E4149" s="1">
        <v>27472.0</v>
      </c>
      <c r="F4149" s="10">
        <f t="shared" si="1"/>
        <v>2</v>
      </c>
      <c r="G4149" s="10">
        <f t="array" ref="G4149">index('Player ID'!C:C,match(E4149,'Player ID'!B:B,0))</f>
        <v>694363</v>
      </c>
    </row>
    <row r="4150">
      <c r="A4150" s="76">
        <v>45780.0</v>
      </c>
      <c r="B4150" s="1" t="s">
        <v>718</v>
      </c>
      <c r="C4150" s="1" t="s">
        <v>78</v>
      </c>
      <c r="D4150" s="1">
        <v>0.2</v>
      </c>
      <c r="E4150" s="1">
        <v>29530.0</v>
      </c>
      <c r="F4150" s="10">
        <f t="shared" si="1"/>
        <v>0.6666666667</v>
      </c>
      <c r="G4150" s="10">
        <f t="array" ref="G4150">index('Player ID'!C:C,match(E4150,'Player ID'!B:B,0))</f>
        <v>686642</v>
      </c>
    </row>
    <row r="4151">
      <c r="A4151" s="76">
        <v>45780.0</v>
      </c>
      <c r="B4151" s="1" t="s">
        <v>794</v>
      </c>
      <c r="C4151" s="1" t="s">
        <v>39</v>
      </c>
      <c r="D4151" s="1">
        <v>1.0</v>
      </c>
      <c r="E4151" s="1">
        <v>31884.0</v>
      </c>
      <c r="F4151" s="10">
        <f t="shared" si="1"/>
        <v>1</v>
      </c>
      <c r="G4151" s="10">
        <f t="array" ref="G4151">index('Player ID'!C:C,match(E4151,'Player ID'!B:B,0))</f>
        <v>701121</v>
      </c>
    </row>
    <row r="4152">
      <c r="A4152" s="76">
        <v>45780.0</v>
      </c>
      <c r="B4152" s="1" t="s">
        <v>673</v>
      </c>
      <c r="C4152" s="1" t="s">
        <v>40</v>
      </c>
      <c r="D4152" s="1">
        <v>0.2</v>
      </c>
      <c r="E4152" s="1">
        <v>12095.0</v>
      </c>
      <c r="F4152" s="10">
        <f t="shared" si="1"/>
        <v>0.6666666667</v>
      </c>
      <c r="G4152" s="10">
        <f t="array" ref="G4152">index('Player ID'!C:C,match(E4152,'Player ID'!B:B,0))</f>
        <v>554340</v>
      </c>
    </row>
    <row r="4153">
      <c r="A4153" s="76">
        <v>45780.0</v>
      </c>
      <c r="B4153" s="1" t="s">
        <v>155</v>
      </c>
      <c r="C4153" s="1" t="s">
        <v>40</v>
      </c>
      <c r="D4153" s="1">
        <v>6.0</v>
      </c>
      <c r="E4153" s="1">
        <v>14107.0</v>
      </c>
      <c r="F4153" s="10">
        <f t="shared" si="1"/>
        <v>6</v>
      </c>
      <c r="G4153" s="10">
        <f t="array" ref="G4153">index('Player ID'!C:C,match(E4153,'Player ID'!B:B,0))</f>
        <v>592332</v>
      </c>
    </row>
    <row r="4154">
      <c r="A4154" s="76">
        <v>45780.0</v>
      </c>
      <c r="B4154" s="1" t="s">
        <v>174</v>
      </c>
      <c r="C4154" s="1" t="s">
        <v>40</v>
      </c>
      <c r="D4154" s="1">
        <v>1.0</v>
      </c>
      <c r="E4154" s="1">
        <v>15552.0</v>
      </c>
      <c r="F4154" s="10">
        <f t="shared" si="1"/>
        <v>1</v>
      </c>
      <c r="G4154" s="10">
        <f t="array" ref="G4154">index('Player ID'!C:C,match(E4154,'Player ID'!B:B,0))</f>
        <v>643338</v>
      </c>
    </row>
    <row r="4155">
      <c r="A4155" s="76">
        <v>45780.0</v>
      </c>
      <c r="B4155" s="1" t="s">
        <v>259</v>
      </c>
      <c r="C4155" s="1" t="s">
        <v>70</v>
      </c>
      <c r="D4155" s="1">
        <v>4.0</v>
      </c>
      <c r="E4155" s="1">
        <v>18694.0</v>
      </c>
      <c r="F4155" s="10">
        <f t="shared" si="1"/>
        <v>4</v>
      </c>
      <c r="G4155" s="10">
        <f t="array" ref="G4155">index('Player ID'!C:C,match(E4155,'Player ID'!B:B,0))</f>
        <v>663465</v>
      </c>
    </row>
    <row r="4156">
      <c r="A4156" s="76">
        <v>45780.0</v>
      </c>
      <c r="B4156" s="1" t="s">
        <v>132</v>
      </c>
      <c r="C4156" s="1" t="s">
        <v>70</v>
      </c>
      <c r="D4156" s="1">
        <v>1.0</v>
      </c>
      <c r="E4156" s="1">
        <v>21032.0</v>
      </c>
      <c r="F4156" s="10">
        <f t="shared" si="1"/>
        <v>1</v>
      </c>
      <c r="G4156" s="10">
        <f t="array" ref="G4156">index('Player ID'!C:C,match(E4156,'Player ID'!B:B,0))</f>
        <v>661403</v>
      </c>
    </row>
    <row r="4157">
      <c r="A4157" s="76">
        <v>45780.0</v>
      </c>
      <c r="B4157" s="1" t="s">
        <v>376</v>
      </c>
      <c r="C4157" s="1" t="s">
        <v>70</v>
      </c>
      <c r="D4157" s="1">
        <v>4.0</v>
      </c>
      <c r="E4157" s="1">
        <v>30122.0</v>
      </c>
      <c r="F4157" s="10">
        <f t="shared" si="1"/>
        <v>4</v>
      </c>
      <c r="G4157" s="10">
        <f t="array" ref="G4157">index('Player ID'!C:C,match(E4157,'Player ID'!B:B,0))</f>
        <v>668909</v>
      </c>
    </row>
    <row r="4158">
      <c r="A4158" s="76">
        <v>45780.0</v>
      </c>
      <c r="B4158" s="1" t="s">
        <v>142</v>
      </c>
      <c r="C4158" s="1" t="s">
        <v>40</v>
      </c>
      <c r="D4158" s="1">
        <v>1.0</v>
      </c>
      <c r="E4158" s="1">
        <v>31553.0</v>
      </c>
      <c r="F4158" s="10">
        <f t="shared" si="1"/>
        <v>1</v>
      </c>
      <c r="G4158" s="10">
        <f t="array" ref="G4158">index('Player ID'!C:C,match(E4158,'Player ID'!B:B,0))</f>
        <v>689254</v>
      </c>
    </row>
    <row r="4159">
      <c r="A4159" s="76">
        <v>45780.0</v>
      </c>
      <c r="B4159" s="1" t="s">
        <v>427</v>
      </c>
      <c r="C4159" s="1" t="s">
        <v>40</v>
      </c>
      <c r="D4159" s="1">
        <v>0.1</v>
      </c>
      <c r="E4159" s="1">
        <v>33838.0</v>
      </c>
      <c r="F4159" s="10">
        <f t="shared" si="1"/>
        <v>0.3333333333</v>
      </c>
      <c r="G4159" s="10">
        <f t="array" ref="G4159">index('Player ID'!C:C,match(E4159,'Player ID'!B:B,0))</f>
        <v>684320</v>
      </c>
    </row>
    <row r="4160">
      <c r="A4160" s="76">
        <v>45780.0</v>
      </c>
      <c r="B4160" s="1" t="s">
        <v>342</v>
      </c>
      <c r="C4160" s="1" t="s">
        <v>26</v>
      </c>
      <c r="D4160" s="1">
        <v>1.0</v>
      </c>
      <c r="E4160" s="1">
        <v>11861.0</v>
      </c>
      <c r="F4160" s="10">
        <f t="shared" si="1"/>
        <v>1</v>
      </c>
      <c r="G4160" s="10">
        <f t="array" ref="G4160">index('Player ID'!C:C,match(E4160,'Player ID'!B:B,0))</f>
        <v>592094</v>
      </c>
    </row>
    <row r="4161">
      <c r="A4161" s="76">
        <v>45780.0</v>
      </c>
      <c r="B4161" s="1" t="s">
        <v>183</v>
      </c>
      <c r="C4161" s="1" t="s">
        <v>60</v>
      </c>
      <c r="D4161" s="1">
        <v>1.0</v>
      </c>
      <c r="E4161" s="1">
        <v>19569.0</v>
      </c>
      <c r="F4161" s="10">
        <f t="shared" si="1"/>
        <v>1</v>
      </c>
      <c r="G4161" s="10">
        <f t="array" ref="G4161">index('Player ID'!C:C,match(E4161,'Player ID'!B:B,0))</f>
        <v>670280</v>
      </c>
    </row>
    <row r="4162">
      <c r="A4162" s="76">
        <v>45780.0</v>
      </c>
      <c r="B4162" s="1" t="s">
        <v>220</v>
      </c>
      <c r="C4162" s="1" t="s">
        <v>60</v>
      </c>
      <c r="D4162" s="1">
        <v>7.0</v>
      </c>
      <c r="E4162" s="1">
        <v>20070.0</v>
      </c>
      <c r="F4162" s="10">
        <f t="shared" si="1"/>
        <v>7</v>
      </c>
      <c r="G4162" s="10">
        <f t="array" ref="G4162">index('Player ID'!C:C,match(E4162,'Player ID'!B:B,0))</f>
        <v>663559</v>
      </c>
    </row>
    <row r="4163">
      <c r="A4163" s="76">
        <v>45780.0</v>
      </c>
      <c r="B4163" s="1" t="s">
        <v>463</v>
      </c>
      <c r="C4163" s="1" t="s">
        <v>60</v>
      </c>
      <c r="D4163" s="1">
        <v>1.0</v>
      </c>
      <c r="E4163" s="1">
        <v>21544.0</v>
      </c>
      <c r="F4163" s="10">
        <f t="shared" si="1"/>
        <v>1</v>
      </c>
      <c r="G4163" s="10">
        <f t="array" ref="G4163">index('Player ID'!C:C,match(E4163,'Player ID'!B:B,0))</f>
        <v>663767</v>
      </c>
    </row>
    <row r="4164">
      <c r="A4164" s="76">
        <v>45780.0</v>
      </c>
      <c r="B4164" s="1" t="s">
        <v>713</v>
      </c>
      <c r="C4164" s="1" t="s">
        <v>26</v>
      </c>
      <c r="D4164" s="1">
        <v>5.0</v>
      </c>
      <c r="E4164" s="1">
        <v>24719.0</v>
      </c>
      <c r="F4164" s="10">
        <f t="shared" si="1"/>
        <v>5</v>
      </c>
      <c r="G4164" s="10">
        <f t="array" ref="G4164">index('Player ID'!C:C,match(E4164,'Player ID'!B:B,0))</f>
        <v>681190</v>
      </c>
    </row>
    <row r="4165">
      <c r="A4165" s="76">
        <v>45780.0</v>
      </c>
      <c r="B4165" s="1" t="s">
        <v>391</v>
      </c>
      <c r="C4165" s="1" t="s">
        <v>26</v>
      </c>
      <c r="D4165" s="1">
        <v>1.0</v>
      </c>
      <c r="E4165" s="1">
        <v>29628.0</v>
      </c>
      <c r="F4165" s="10">
        <f t="shared" si="1"/>
        <v>1</v>
      </c>
      <c r="G4165" s="10">
        <f t="array" ref="G4165">index('Player ID'!C:C,match(E4165,'Player ID'!B:B,0))</f>
        <v>689690</v>
      </c>
    </row>
    <row r="4166">
      <c r="A4166" s="76">
        <v>45780.0</v>
      </c>
      <c r="B4166" s="1" t="s">
        <v>81</v>
      </c>
      <c r="C4166" s="1" t="s">
        <v>26</v>
      </c>
      <c r="D4166" s="1">
        <v>1.0</v>
      </c>
      <c r="E4166" s="1">
        <v>30115.0</v>
      </c>
      <c r="F4166" s="10">
        <f t="shared" si="1"/>
        <v>1</v>
      </c>
      <c r="G4166" s="10">
        <f t="array" ref="G4166">index('Player ID'!C:C,match(E4166,'Player ID'!B:B,0))</f>
        <v>663158</v>
      </c>
    </row>
    <row r="4167">
      <c r="A4167" s="76">
        <v>45780.0</v>
      </c>
      <c r="B4167" s="1" t="s">
        <v>284</v>
      </c>
      <c r="C4167" s="1" t="s">
        <v>26</v>
      </c>
      <c r="D4167" s="1">
        <v>1.0</v>
      </c>
      <c r="E4167" s="1">
        <v>33826.0</v>
      </c>
      <c r="F4167" s="10">
        <f t="shared" si="1"/>
        <v>1</v>
      </c>
      <c r="G4167" s="10">
        <f t="array" ref="G4167">index('Player ID'!C:C,match(E4167,'Player ID'!B:B,0))</f>
        <v>673513</v>
      </c>
    </row>
    <row r="4168">
      <c r="A4168" s="76">
        <v>45780.0</v>
      </c>
      <c r="B4168" s="1" t="s">
        <v>451</v>
      </c>
      <c r="C4168" s="1" t="s">
        <v>75</v>
      </c>
      <c r="D4168" s="1">
        <v>1.1</v>
      </c>
      <c r="E4168" s="1">
        <v>17556.0</v>
      </c>
      <c r="F4168" s="10">
        <f t="shared" si="1"/>
        <v>1.333333333</v>
      </c>
      <c r="G4168" s="10">
        <f t="array" ref="G4168">index('Player ID'!C:C,match(E4168,'Player ID'!B:B,0))</f>
        <v>623474</v>
      </c>
    </row>
    <row r="4169">
      <c r="A4169" s="76">
        <v>45780.0</v>
      </c>
      <c r="B4169" s="1" t="s">
        <v>445</v>
      </c>
      <c r="C4169" s="1" t="s">
        <v>31</v>
      </c>
      <c r="D4169" s="1">
        <v>5.0</v>
      </c>
      <c r="E4169" s="1">
        <v>19618.0</v>
      </c>
      <c r="F4169" s="10">
        <f t="shared" si="1"/>
        <v>5</v>
      </c>
      <c r="G4169" s="10">
        <f t="array" ref="G4169">index('Player ID'!C:C,match(E4169,'Player ID'!B:B,0))</f>
        <v>663855</v>
      </c>
    </row>
    <row r="4170">
      <c r="A4170" s="76">
        <v>45780.0</v>
      </c>
      <c r="B4170" s="1" t="s">
        <v>403</v>
      </c>
      <c r="C4170" s="1" t="s">
        <v>31</v>
      </c>
      <c r="D4170" s="1">
        <v>1.0</v>
      </c>
      <c r="E4170" s="1">
        <v>20423.0</v>
      </c>
      <c r="F4170" s="10">
        <f t="shared" si="1"/>
        <v>1</v>
      </c>
      <c r="G4170" s="10">
        <f t="array" ref="G4170">index('Player ID'!C:C,match(E4170,'Player ID'!B:B,0))</f>
        <v>676254</v>
      </c>
    </row>
    <row r="4171">
      <c r="A4171" s="76">
        <v>45780.0</v>
      </c>
      <c r="B4171" s="1" t="s">
        <v>215</v>
      </c>
      <c r="C4171" s="1" t="s">
        <v>75</v>
      </c>
      <c r="D4171" s="1">
        <v>1.1</v>
      </c>
      <c r="E4171" s="1">
        <v>21267.0</v>
      </c>
      <c r="F4171" s="10">
        <f t="shared" si="1"/>
        <v>1.333333333</v>
      </c>
      <c r="G4171" s="10">
        <f t="array" ref="G4171">index('Player ID'!C:C,match(E4171,'Player ID'!B:B,0))</f>
        <v>656234</v>
      </c>
    </row>
    <row r="4172">
      <c r="A4172" s="76">
        <v>45780.0</v>
      </c>
      <c r="B4172" s="1" t="s">
        <v>304</v>
      </c>
      <c r="C4172" s="1" t="s">
        <v>31</v>
      </c>
      <c r="D4172" s="1">
        <v>1.0</v>
      </c>
      <c r="E4172" s="1">
        <v>21992.0</v>
      </c>
      <c r="F4172" s="10">
        <f t="shared" si="1"/>
        <v>1</v>
      </c>
      <c r="G4172" s="10">
        <f t="array" ref="G4172">index('Player ID'!C:C,match(E4172,'Player ID'!B:B,0))</f>
        <v>666808</v>
      </c>
    </row>
    <row r="4173">
      <c r="A4173" s="76">
        <v>45780.0</v>
      </c>
      <c r="B4173" s="1" t="s">
        <v>654</v>
      </c>
      <c r="C4173" s="1" t="s">
        <v>31</v>
      </c>
      <c r="D4173" s="1">
        <v>1.0</v>
      </c>
      <c r="E4173" s="1">
        <v>23974.0</v>
      </c>
      <c r="F4173" s="10">
        <f t="shared" si="1"/>
        <v>1</v>
      </c>
      <c r="G4173" s="10">
        <f t="array" ref="G4173">index('Player ID'!C:C,match(E4173,'Player ID'!B:B,0))</f>
        <v>678495</v>
      </c>
    </row>
    <row r="4174">
      <c r="A4174" s="76">
        <v>45780.0</v>
      </c>
      <c r="B4174" s="1" t="s">
        <v>655</v>
      </c>
      <c r="C4174" s="1" t="s">
        <v>31</v>
      </c>
      <c r="D4174" s="1">
        <v>1.0</v>
      </c>
      <c r="E4174" s="1">
        <v>26252.0</v>
      </c>
      <c r="F4174" s="10">
        <f t="shared" si="1"/>
        <v>1</v>
      </c>
      <c r="G4174" s="10">
        <f t="array" ref="G4174">index('Player ID'!C:C,match(E4174,'Player ID'!B:B,0))</f>
        <v>669062</v>
      </c>
    </row>
    <row r="4175">
      <c r="A4175" s="76">
        <v>45780.0</v>
      </c>
      <c r="B4175" s="1" t="s">
        <v>466</v>
      </c>
      <c r="C4175" s="1" t="s">
        <v>75</v>
      </c>
      <c r="D4175" s="1">
        <v>5.1</v>
      </c>
      <c r="E4175" s="1">
        <v>26419.0</v>
      </c>
      <c r="F4175" s="10">
        <f t="shared" si="1"/>
        <v>5.333333333</v>
      </c>
      <c r="G4175" s="10">
        <f t="array" ref="G4175">index('Player ID'!C:C,match(E4175,'Player ID'!B:B,0))</f>
        <v>687134</v>
      </c>
    </row>
    <row r="4176">
      <c r="A4176" s="76">
        <v>45780.0</v>
      </c>
      <c r="B4176" s="1" t="s">
        <v>230</v>
      </c>
      <c r="C4176" s="1" t="s">
        <v>22</v>
      </c>
      <c r="D4176" s="1">
        <v>1.0</v>
      </c>
      <c r="E4176" s="1">
        <v>4301.0</v>
      </c>
      <c r="F4176" s="10">
        <f t="shared" si="1"/>
        <v>1</v>
      </c>
      <c r="G4176" s="10">
        <f t="array" ref="G4176">index('Player ID'!C:C,match(E4176,'Player ID'!B:B,0))</f>
        <v>458677</v>
      </c>
    </row>
    <row r="4177">
      <c r="A4177" s="76">
        <v>45780.0</v>
      </c>
      <c r="B4177" s="1" t="s">
        <v>249</v>
      </c>
      <c r="C4177" s="1" t="s">
        <v>16</v>
      </c>
      <c r="D4177" s="1">
        <v>0.1</v>
      </c>
      <c r="E4177" s="1">
        <v>16727.0</v>
      </c>
      <c r="F4177" s="10">
        <f t="shared" si="1"/>
        <v>0.3333333333</v>
      </c>
      <c r="G4177" s="10">
        <f t="array" ref="G4177">index('Player ID'!C:C,match(E4177,'Player ID'!B:B,0))</f>
        <v>592779</v>
      </c>
    </row>
    <row r="4178">
      <c r="A4178" s="76">
        <v>45780.0</v>
      </c>
      <c r="B4178" s="1" t="s">
        <v>493</v>
      </c>
      <c r="C4178" s="1" t="s">
        <v>22</v>
      </c>
      <c r="D4178" s="1">
        <v>0.2</v>
      </c>
      <c r="E4178" s="1">
        <v>16835.0</v>
      </c>
      <c r="F4178" s="10">
        <f t="shared" si="1"/>
        <v>0.6666666667</v>
      </c>
      <c r="G4178" s="10">
        <f t="array" ref="G4178">index('Player ID'!C:C,match(E4178,'Player ID'!B:B,0))</f>
        <v>657514</v>
      </c>
    </row>
    <row r="4179">
      <c r="A4179" s="76">
        <v>45780.0</v>
      </c>
      <c r="B4179" s="1" t="s">
        <v>28</v>
      </c>
      <c r="C4179" s="1" t="s">
        <v>16</v>
      </c>
      <c r="D4179" s="1">
        <v>0.2</v>
      </c>
      <c r="E4179" s="1">
        <v>20253.0</v>
      </c>
      <c r="F4179" s="10">
        <f t="shared" si="1"/>
        <v>0.6666666667</v>
      </c>
      <c r="G4179" s="10">
        <f t="array" ref="G4179">index('Player ID'!C:C,match(E4179,'Player ID'!B:B,0))</f>
        <v>643377</v>
      </c>
    </row>
    <row r="4180">
      <c r="A4180" s="76">
        <v>45780.0</v>
      </c>
      <c r="B4180" s="1" t="s">
        <v>406</v>
      </c>
      <c r="C4180" s="1" t="s">
        <v>22</v>
      </c>
      <c r="D4180" s="1">
        <v>1.2</v>
      </c>
      <c r="E4180" s="1">
        <v>20375.0</v>
      </c>
      <c r="F4180" s="10">
        <f t="shared" si="1"/>
        <v>1.666666667</v>
      </c>
      <c r="G4180" s="10">
        <f t="array" ref="G4180">index('Player ID'!C:C,match(E4180,'Player ID'!B:B,0))</f>
        <v>669711</v>
      </c>
    </row>
    <row r="4181">
      <c r="A4181" s="76">
        <v>45780.0</v>
      </c>
      <c r="B4181" s="1" t="s">
        <v>122</v>
      </c>
      <c r="C4181" s="1" t="s">
        <v>16</v>
      </c>
      <c r="D4181" s="1">
        <v>1.0</v>
      </c>
      <c r="E4181" s="1">
        <v>21029.0</v>
      </c>
      <c r="F4181" s="10">
        <f t="shared" si="1"/>
        <v>1</v>
      </c>
      <c r="G4181" s="10">
        <f t="array" ref="G4181">index('Player ID'!C:C,match(E4181,'Player ID'!B:B,0))</f>
        <v>661395</v>
      </c>
    </row>
    <row r="4182">
      <c r="A4182" s="76">
        <v>45780.0</v>
      </c>
      <c r="B4182" s="1" t="s">
        <v>173</v>
      </c>
      <c r="C4182" s="1" t="s">
        <v>16</v>
      </c>
      <c r="D4182" s="1">
        <v>6.0</v>
      </c>
      <c r="E4182" s="1">
        <v>21224.0</v>
      </c>
      <c r="F4182" s="10">
        <f t="shared" si="1"/>
        <v>6</v>
      </c>
      <c r="G4182" s="10">
        <f t="array" ref="G4182">index('Player ID'!C:C,match(E4182,'Player ID'!B:B,0))</f>
        <v>641927</v>
      </c>
    </row>
    <row r="4183">
      <c r="A4183" s="76">
        <v>45780.0</v>
      </c>
      <c r="B4183" s="1" t="s">
        <v>237</v>
      </c>
      <c r="C4183" s="1" t="s">
        <v>16</v>
      </c>
      <c r="D4183" s="1">
        <v>1.0</v>
      </c>
      <c r="E4183" s="1">
        <v>21461.0</v>
      </c>
      <c r="F4183" s="10">
        <f t="shared" si="1"/>
        <v>1</v>
      </c>
      <c r="G4183" s="10">
        <f t="array" ref="G4183">index('Player ID'!C:C,match(E4183,'Player ID'!B:B,0))</f>
        <v>663485</v>
      </c>
    </row>
    <row r="4184">
      <c r="A4184" s="76">
        <v>45780.0</v>
      </c>
      <c r="B4184" s="1" t="s">
        <v>143</v>
      </c>
      <c r="C4184" s="1" t="s">
        <v>22</v>
      </c>
      <c r="D4184" s="1">
        <v>5.2</v>
      </c>
      <c r="E4184" s="1">
        <v>30240.0</v>
      </c>
      <c r="F4184" s="10">
        <f t="shared" si="1"/>
        <v>5.666666667</v>
      </c>
      <c r="G4184" s="10">
        <f t="array" ref="G4184">index('Player ID'!C:C,match(E4184,'Player ID'!B:B,0))</f>
        <v>690928</v>
      </c>
    </row>
    <row r="4185">
      <c r="A4185" s="76">
        <v>45780.0</v>
      </c>
      <c r="B4185" s="1" t="s">
        <v>668</v>
      </c>
      <c r="C4185" s="1" t="s">
        <v>52</v>
      </c>
      <c r="D4185" s="1">
        <v>0.1</v>
      </c>
      <c r="E4185" s="1">
        <v>3237.0</v>
      </c>
      <c r="F4185" s="10">
        <f t="shared" si="1"/>
        <v>0.3333333333</v>
      </c>
      <c r="G4185" s="10">
        <f t="array" ref="G4185">index('Player ID'!C:C,match(E4185,'Player ID'!B:B,0))</f>
        <v>519008</v>
      </c>
    </row>
    <row r="4186">
      <c r="A4186" s="76">
        <v>45780.0</v>
      </c>
      <c r="B4186" s="1" t="s">
        <v>241</v>
      </c>
      <c r="C4186" s="1" t="s">
        <v>36</v>
      </c>
      <c r="D4186" s="1">
        <v>2.0</v>
      </c>
      <c r="E4186" s="1">
        <v>19222.0</v>
      </c>
      <c r="F4186" s="10">
        <f t="shared" si="1"/>
        <v>2</v>
      </c>
      <c r="G4186" s="10">
        <f t="array" ref="G4186">index('Player ID'!C:C,match(E4186,'Player ID'!B:B,0))</f>
        <v>669199</v>
      </c>
    </row>
    <row r="4187">
      <c r="A4187" s="76">
        <v>45780.0</v>
      </c>
      <c r="B4187" s="1" t="s">
        <v>505</v>
      </c>
      <c r="C4187" s="1" t="s">
        <v>52</v>
      </c>
      <c r="D4187" s="1">
        <v>0.2</v>
      </c>
      <c r="E4187" s="1">
        <v>19481.0</v>
      </c>
      <c r="F4187" s="10">
        <f t="shared" si="1"/>
        <v>0.6666666667</v>
      </c>
      <c r="G4187" s="10">
        <f t="array" ref="G4187">index('Player ID'!C:C,match(E4187,'Player ID'!B:B,0))</f>
        <v>621053</v>
      </c>
    </row>
    <row r="4188">
      <c r="A4188" s="76">
        <v>45780.0</v>
      </c>
      <c r="B4188" s="1" t="s">
        <v>89</v>
      </c>
      <c r="C4188" s="1" t="s">
        <v>36</v>
      </c>
      <c r="D4188" s="1">
        <v>1.0</v>
      </c>
      <c r="E4188" s="1">
        <v>19742.0</v>
      </c>
      <c r="F4188" s="10">
        <f t="shared" si="1"/>
        <v>1</v>
      </c>
      <c r="G4188" s="10">
        <f t="array" ref="G4188">index('Player ID'!C:C,match(E4188,'Player ID'!B:B,0))</f>
        <v>669622</v>
      </c>
    </row>
    <row r="4189">
      <c r="A4189" s="76">
        <v>45780.0</v>
      </c>
      <c r="B4189" s="1" t="s">
        <v>454</v>
      </c>
      <c r="C4189" s="1" t="s">
        <v>52</v>
      </c>
      <c r="D4189" s="1">
        <v>5.0</v>
      </c>
      <c r="E4189" s="1">
        <v>23150.0</v>
      </c>
      <c r="F4189" s="10">
        <f t="shared" si="1"/>
        <v>5</v>
      </c>
      <c r="G4189" s="10">
        <f t="array" ref="G4189">index('Player ID'!C:C,match(E4189,'Player ID'!B:B,0))</f>
        <v>674370</v>
      </c>
    </row>
    <row r="4190">
      <c r="A4190" s="76">
        <v>45780.0</v>
      </c>
      <c r="B4190" s="1" t="s">
        <v>676</v>
      </c>
      <c r="C4190" s="1" t="s">
        <v>36</v>
      </c>
      <c r="D4190" s="1">
        <v>1.0</v>
      </c>
      <c r="E4190" s="1">
        <v>27453.0</v>
      </c>
      <c r="F4190" s="10">
        <f t="shared" si="1"/>
        <v>1</v>
      </c>
      <c r="G4190" s="10">
        <f t="array" ref="G4190">index('Player ID'!C:C,match(E4190,'Player ID'!B:B,0))</f>
        <v>685107</v>
      </c>
    </row>
    <row r="4191">
      <c r="A4191" s="76">
        <v>45780.0</v>
      </c>
      <c r="B4191" s="1" t="s">
        <v>121</v>
      </c>
      <c r="C4191" s="1" t="s">
        <v>36</v>
      </c>
      <c r="D4191" s="1">
        <v>5.0</v>
      </c>
      <c r="E4191" s="1">
        <v>27474.0</v>
      </c>
      <c r="F4191" s="10">
        <f t="shared" si="1"/>
        <v>5</v>
      </c>
      <c r="G4191" s="10">
        <f t="array" ref="G4191">index('Player ID'!C:C,match(E4191,'Player ID'!B:B,0))</f>
        <v>676974</v>
      </c>
    </row>
    <row r="4192">
      <c r="A4192" s="76">
        <v>45780.0</v>
      </c>
      <c r="B4192" s="1" t="s">
        <v>213</v>
      </c>
      <c r="C4192" s="1" t="s">
        <v>52</v>
      </c>
      <c r="D4192" s="1">
        <v>1.0</v>
      </c>
      <c r="E4192" s="1">
        <v>27694.0</v>
      </c>
      <c r="F4192" s="10">
        <f t="shared" si="1"/>
        <v>1</v>
      </c>
      <c r="G4192" s="10">
        <f t="array" ref="G4192">index('Player ID'!C:C,match(E4192,'Player ID'!B:B,0))</f>
        <v>686993</v>
      </c>
    </row>
    <row r="4193">
      <c r="A4193" s="76">
        <v>45780.0</v>
      </c>
      <c r="B4193" s="1" t="s">
        <v>681</v>
      </c>
      <c r="C4193" s="1" t="s">
        <v>52</v>
      </c>
      <c r="D4193" s="1">
        <v>1.0</v>
      </c>
      <c r="E4193" s="1">
        <v>30002.0</v>
      </c>
      <c r="F4193" s="10">
        <f t="shared" si="1"/>
        <v>1</v>
      </c>
      <c r="G4193" s="10">
        <f t="array" ref="G4193">index('Player ID'!C:C,match(E4193,'Player ID'!B:B,0))</f>
        <v>680880</v>
      </c>
    </row>
    <row r="4194">
      <c r="A4194" s="76">
        <v>45780.0</v>
      </c>
      <c r="B4194" s="1" t="s">
        <v>286</v>
      </c>
      <c r="C4194" s="1" t="s">
        <v>52</v>
      </c>
      <c r="D4194" s="1">
        <v>0.2</v>
      </c>
      <c r="E4194" s="1">
        <v>31757.0</v>
      </c>
      <c r="F4194" s="10">
        <f t="shared" si="1"/>
        <v>0.6666666667</v>
      </c>
      <c r="G4194" s="10">
        <f t="array" ref="G4194">index('Player ID'!C:C,match(E4194,'Player ID'!B:B,0))</f>
        <v>695243</v>
      </c>
    </row>
    <row r="4195">
      <c r="A4195" s="76">
        <v>45780.0</v>
      </c>
      <c r="B4195" s="1" t="s">
        <v>745</v>
      </c>
      <c r="C4195" s="1" t="s">
        <v>64</v>
      </c>
      <c r="D4195" s="1">
        <v>2.0</v>
      </c>
      <c r="E4195" s="1">
        <v>12056.0</v>
      </c>
      <c r="F4195" s="10">
        <f t="shared" si="1"/>
        <v>2</v>
      </c>
      <c r="G4195" s="10">
        <f t="array" ref="G4195">index('Player ID'!C:C,match(E4195,'Player ID'!B:B,0))</f>
        <v>543518</v>
      </c>
    </row>
    <row r="4196">
      <c r="A4196" s="76">
        <v>45780.0</v>
      </c>
      <c r="B4196" s="1" t="s">
        <v>360</v>
      </c>
      <c r="C4196" s="1" t="s">
        <v>45</v>
      </c>
      <c r="D4196" s="1">
        <v>1.0</v>
      </c>
      <c r="E4196" s="1">
        <v>12972.0</v>
      </c>
      <c r="F4196" s="10">
        <f t="shared" si="1"/>
        <v>1</v>
      </c>
      <c r="G4196" s="10">
        <f t="array" ref="G4196">index('Player ID'!C:C,match(E4196,'Player ID'!B:B,0))</f>
        <v>605452</v>
      </c>
    </row>
    <row r="4197">
      <c r="A4197" s="76">
        <v>45780.0</v>
      </c>
      <c r="B4197" s="1" t="s">
        <v>98</v>
      </c>
      <c r="C4197" s="1" t="s">
        <v>45</v>
      </c>
      <c r="D4197" s="1">
        <v>6.0</v>
      </c>
      <c r="E4197" s="1">
        <v>16149.0</v>
      </c>
      <c r="F4197" s="10">
        <f t="shared" si="1"/>
        <v>6</v>
      </c>
      <c r="G4197" s="10">
        <f t="array" ref="G4197">index('Player ID'!C:C,match(E4197,'Player ID'!B:B,0))</f>
        <v>605400</v>
      </c>
    </row>
    <row r="4198">
      <c r="A4198" s="76">
        <v>45780.0</v>
      </c>
      <c r="B4198" s="1" t="s">
        <v>138</v>
      </c>
      <c r="C4198" s="1" t="s">
        <v>45</v>
      </c>
      <c r="D4198" s="1">
        <v>1.0</v>
      </c>
      <c r="E4198" s="1">
        <v>16990.0</v>
      </c>
      <c r="F4198" s="10">
        <f t="shared" si="1"/>
        <v>1</v>
      </c>
      <c r="G4198" s="10">
        <f t="array" ref="G4198">index('Player ID'!C:C,match(E4198,'Player ID'!B:B,0))</f>
        <v>621383</v>
      </c>
    </row>
    <row r="4199">
      <c r="A4199" s="76">
        <v>45780.0</v>
      </c>
      <c r="B4199" s="1" t="s">
        <v>826</v>
      </c>
      <c r="C4199" s="1" t="s">
        <v>64</v>
      </c>
      <c r="D4199" s="1">
        <v>1.1</v>
      </c>
      <c r="E4199" s="1">
        <v>17169.0</v>
      </c>
      <c r="F4199" s="10">
        <f t="shared" si="1"/>
        <v>1.333333333</v>
      </c>
      <c r="G4199" s="10">
        <f t="array" ref="G4199">index('Player ID'!C:C,match(E4199,'Player ID'!B:B,0))</f>
        <v>620454</v>
      </c>
    </row>
    <row r="4200">
      <c r="A4200" s="76">
        <v>45780.0</v>
      </c>
      <c r="B4200" s="1" t="s">
        <v>701</v>
      </c>
      <c r="C4200" s="1" t="s">
        <v>45</v>
      </c>
      <c r="D4200" s="1">
        <v>1.0</v>
      </c>
      <c r="E4200" s="1">
        <v>22713.0</v>
      </c>
      <c r="F4200" s="10">
        <f t="shared" si="1"/>
        <v>1</v>
      </c>
      <c r="G4200" s="10">
        <f t="array" ref="G4200">index('Player ID'!C:C,match(E4200,'Player ID'!B:B,0))</f>
        <v>672578</v>
      </c>
    </row>
    <row r="4201">
      <c r="A4201" s="76">
        <v>45780.0</v>
      </c>
      <c r="B4201" s="1" t="s">
        <v>263</v>
      </c>
      <c r="C4201" s="1" t="s">
        <v>64</v>
      </c>
      <c r="D4201" s="1">
        <v>4.2</v>
      </c>
      <c r="E4201" s="1">
        <v>27782.0</v>
      </c>
      <c r="F4201" s="10">
        <f t="shared" si="1"/>
        <v>4.666666667</v>
      </c>
      <c r="G4201" s="10">
        <f t="array" ref="G4201">index('Player ID'!C:C,match(E4201,'Player ID'!B:B,0))</f>
        <v>694297</v>
      </c>
    </row>
    <row r="4202">
      <c r="A4202" s="76">
        <v>45780.0</v>
      </c>
      <c r="B4202" s="1" t="s">
        <v>506</v>
      </c>
      <c r="C4202" s="1" t="s">
        <v>80</v>
      </c>
      <c r="D4202" s="1">
        <v>0.2</v>
      </c>
      <c r="E4202" s="1">
        <v>12988.0</v>
      </c>
      <c r="F4202" s="10">
        <f t="shared" si="1"/>
        <v>0.6666666667</v>
      </c>
      <c r="G4202" s="10">
        <f t="array" ref="G4202">index('Player ID'!C:C,match(E4202,'Player ID'!B:B,0))</f>
        <v>605177</v>
      </c>
    </row>
    <row r="4203">
      <c r="A4203" s="76">
        <v>45780.0</v>
      </c>
      <c r="B4203" s="1" t="s">
        <v>417</v>
      </c>
      <c r="C4203" s="1" t="s">
        <v>66</v>
      </c>
      <c r="D4203" s="1">
        <v>1.1</v>
      </c>
      <c r="E4203" s="1">
        <v>13942.0</v>
      </c>
      <c r="F4203" s="10">
        <f t="shared" si="1"/>
        <v>1.333333333</v>
      </c>
      <c r="G4203" s="10">
        <f t="array" ref="G4203">index('Player ID'!C:C,match(E4203,'Player ID'!B:B,0))</f>
        <v>608718</v>
      </c>
    </row>
    <row r="4204">
      <c r="A4204" s="76">
        <v>45780.0</v>
      </c>
      <c r="B4204" s="1" t="s">
        <v>148</v>
      </c>
      <c r="C4204" s="1" t="s">
        <v>80</v>
      </c>
      <c r="D4204" s="1">
        <v>5.1</v>
      </c>
      <c r="E4204" s="1">
        <v>16977.0</v>
      </c>
      <c r="F4204" s="10">
        <f t="shared" si="1"/>
        <v>5.333333333</v>
      </c>
      <c r="G4204" s="10">
        <f t="array" ref="G4204">index('Player ID'!C:C,match(E4204,'Player ID'!B:B,0))</f>
        <v>592866</v>
      </c>
    </row>
    <row r="4205">
      <c r="A4205" s="76">
        <v>45780.0</v>
      </c>
      <c r="B4205" s="1" t="s">
        <v>508</v>
      </c>
      <c r="C4205" s="1" t="s">
        <v>80</v>
      </c>
      <c r="D4205" s="1">
        <v>1.0</v>
      </c>
      <c r="E4205" s="1">
        <v>23135.0</v>
      </c>
      <c r="F4205" s="10">
        <f t="shared" si="1"/>
        <v>1</v>
      </c>
      <c r="G4205" s="10">
        <f t="array" ref="G4205">index('Player ID'!C:C,match(E4205,'Player ID'!B:B,0))</f>
        <v>674285</v>
      </c>
    </row>
    <row r="4206">
      <c r="A4206" s="76">
        <v>45780.0</v>
      </c>
      <c r="B4206" s="1" t="s">
        <v>86</v>
      </c>
      <c r="C4206" s="1" t="s">
        <v>80</v>
      </c>
      <c r="D4206" s="1">
        <v>1.0</v>
      </c>
      <c r="E4206" s="1">
        <v>24017.0</v>
      </c>
      <c r="F4206" s="10">
        <f t="shared" si="1"/>
        <v>1</v>
      </c>
      <c r="G4206" s="10">
        <f t="array" ref="G4206">index('Player ID'!C:C,match(E4206,'Player ID'!B:B,0))</f>
        <v>678606</v>
      </c>
    </row>
    <row r="4207">
      <c r="A4207" s="76">
        <v>45780.0</v>
      </c>
      <c r="B4207" s="1" t="s">
        <v>550</v>
      </c>
      <c r="C4207" s="1" t="s">
        <v>66</v>
      </c>
      <c r="D4207" s="1">
        <v>1.0</v>
      </c>
      <c r="E4207" s="1">
        <v>25620.0</v>
      </c>
      <c r="F4207" s="10">
        <f t="shared" si="1"/>
        <v>1</v>
      </c>
      <c r="G4207" s="10">
        <f t="array" ref="G4207">index('Player ID'!C:C,match(E4207,'Player ID'!B:B,0))</f>
        <v>682825</v>
      </c>
    </row>
    <row r="4208">
      <c r="A4208" s="76">
        <v>45780.0</v>
      </c>
      <c r="B4208" s="1" t="s">
        <v>511</v>
      </c>
      <c r="C4208" s="1" t="s">
        <v>80</v>
      </c>
      <c r="D4208" s="1">
        <v>1.0</v>
      </c>
      <c r="E4208" s="1">
        <v>26215.0</v>
      </c>
      <c r="F4208" s="10">
        <f t="shared" si="1"/>
        <v>1</v>
      </c>
      <c r="G4208" s="10">
        <f t="array" ref="G4208">index('Player ID'!C:C,match(E4208,'Player ID'!B:B,0))</f>
        <v>671131</v>
      </c>
    </row>
    <row r="4209">
      <c r="A4209" s="76">
        <v>45780.0</v>
      </c>
      <c r="B4209" s="1" t="s">
        <v>194</v>
      </c>
      <c r="C4209" s="1" t="s">
        <v>66</v>
      </c>
      <c r="D4209" s="1">
        <v>5.1</v>
      </c>
      <c r="E4209" s="1">
        <v>26378.0</v>
      </c>
      <c r="F4209" s="10">
        <f t="shared" si="1"/>
        <v>5.333333333</v>
      </c>
      <c r="G4209" s="10">
        <f t="array" ref="G4209">index('Player ID'!C:C,match(E4209,'Player ID'!B:B,0))</f>
        <v>666157</v>
      </c>
    </row>
    <row r="4210">
      <c r="A4210" s="76">
        <v>45780.0</v>
      </c>
      <c r="B4210" s="1" t="s">
        <v>761</v>
      </c>
      <c r="C4210" s="1" t="s">
        <v>66</v>
      </c>
      <c r="D4210" s="1">
        <v>1.1</v>
      </c>
      <c r="E4210" s="1">
        <v>27765.0</v>
      </c>
      <c r="F4210" s="10">
        <f t="shared" si="1"/>
        <v>1.333333333</v>
      </c>
      <c r="G4210" s="10">
        <f t="array" ref="G4210">index('Player ID'!C:C,match(E4210,'Player ID'!B:B,0))</f>
        <v>691172</v>
      </c>
    </row>
    <row r="4211">
      <c r="A4211" s="76">
        <v>45780.0</v>
      </c>
      <c r="B4211" s="1" t="s">
        <v>245</v>
      </c>
      <c r="C4211" s="1" t="s">
        <v>56</v>
      </c>
      <c r="D4211" s="1">
        <v>5.2</v>
      </c>
      <c r="E4211" s="1">
        <v>9323.0</v>
      </c>
      <c r="F4211" s="10">
        <f t="shared" si="1"/>
        <v>5.666666667</v>
      </c>
      <c r="G4211" s="10">
        <f t="array" ref="G4211">index('Player ID'!C:C,match(E4211,'Player ID'!B:B,0))</f>
        <v>571578</v>
      </c>
    </row>
    <row r="4212">
      <c r="A4212" s="76">
        <v>45780.0</v>
      </c>
      <c r="B4212" s="1" t="s">
        <v>74</v>
      </c>
      <c r="C4212" s="1" t="s">
        <v>56</v>
      </c>
      <c r="D4212" s="1">
        <v>1.0</v>
      </c>
      <c r="E4212" s="1">
        <v>11847.0</v>
      </c>
      <c r="F4212" s="10">
        <f t="shared" si="1"/>
        <v>1</v>
      </c>
      <c r="G4212" s="10">
        <f t="array" ref="G4212">index('Player ID'!C:C,match(E4212,'Player ID'!B:B,0))</f>
        <v>455119</v>
      </c>
    </row>
    <row r="4213">
      <c r="A4213" s="76">
        <v>45780.0</v>
      </c>
      <c r="B4213" s="1" t="s">
        <v>151</v>
      </c>
      <c r="C4213" s="1" t="s">
        <v>56</v>
      </c>
      <c r="D4213" s="1">
        <v>1.0</v>
      </c>
      <c r="E4213" s="1">
        <v>13346.0</v>
      </c>
      <c r="F4213" s="10">
        <f t="shared" si="1"/>
        <v>1</v>
      </c>
      <c r="G4213" s="10">
        <f t="array" ref="G4213">index('Player ID'!C:C,match(E4213,'Player ID'!B:B,0))</f>
        <v>571948</v>
      </c>
    </row>
    <row r="4214">
      <c r="A4214" s="76">
        <v>45780.0</v>
      </c>
      <c r="B4214" s="1" t="s">
        <v>272</v>
      </c>
      <c r="C4214" s="1" t="s">
        <v>37</v>
      </c>
      <c r="D4214" s="1">
        <v>6.0</v>
      </c>
      <c r="E4214" s="1">
        <v>15689.0</v>
      </c>
      <c r="F4214" s="10">
        <f t="shared" si="1"/>
        <v>6</v>
      </c>
      <c r="G4214" s="10">
        <f t="array" ref="G4214">index('Player ID'!C:C,match(E4214,'Player ID'!B:B,0))</f>
        <v>622491</v>
      </c>
    </row>
    <row r="4215">
      <c r="A4215" s="76">
        <v>45780.0</v>
      </c>
      <c r="B4215" s="1" t="s">
        <v>53</v>
      </c>
      <c r="C4215" s="1" t="s">
        <v>37</v>
      </c>
      <c r="D4215" s="1">
        <v>1.0</v>
      </c>
      <c r="E4215" s="1">
        <v>17170.0</v>
      </c>
      <c r="F4215" s="10">
        <f t="shared" si="1"/>
        <v>1</v>
      </c>
      <c r="G4215" s="10">
        <f t="array" ref="G4215">index('Player ID'!C:C,match(E4215,'Player ID'!B:B,0))</f>
        <v>642100</v>
      </c>
    </row>
    <row r="4216">
      <c r="A4216" s="76">
        <v>45780.0</v>
      </c>
      <c r="B4216" s="1" t="s">
        <v>670</v>
      </c>
      <c r="C4216" s="1" t="s">
        <v>37</v>
      </c>
      <c r="D4216" s="1">
        <v>1.0</v>
      </c>
      <c r="E4216" s="1">
        <v>20373.0</v>
      </c>
      <c r="F4216" s="10">
        <f t="shared" si="1"/>
        <v>1</v>
      </c>
      <c r="G4216" s="10">
        <f t="array" ref="G4216">index('Player ID'!C:C,match(E4216,'Player ID'!B:B,0))</f>
        <v>662253</v>
      </c>
    </row>
    <row r="4217">
      <c r="A4217" s="76">
        <v>45780.0</v>
      </c>
      <c r="B4217" s="1" t="s">
        <v>268</v>
      </c>
      <c r="C4217" s="1" t="s">
        <v>56</v>
      </c>
      <c r="D4217" s="1">
        <v>1.1</v>
      </c>
      <c r="E4217" s="1">
        <v>23363.0</v>
      </c>
      <c r="F4217" s="10">
        <f t="shared" si="1"/>
        <v>1.333333333</v>
      </c>
      <c r="G4217" s="10">
        <f t="array" ref="G4217">index('Player ID'!C:C,match(E4217,'Player ID'!B:B,0))</f>
        <v>676395</v>
      </c>
    </row>
    <row r="4218">
      <c r="A4218" s="76">
        <v>45780.0</v>
      </c>
      <c r="B4218" s="1" t="s">
        <v>254</v>
      </c>
      <c r="C4218" s="1" t="s">
        <v>37</v>
      </c>
      <c r="D4218" s="1">
        <v>1.0</v>
      </c>
      <c r="E4218" s="1">
        <v>25756.0</v>
      </c>
      <c r="F4218" s="10">
        <f t="shared" si="1"/>
        <v>1</v>
      </c>
      <c r="G4218" s="10">
        <f t="array" ref="G4218">index('Player ID'!C:C,match(E4218,'Player ID'!B:B,0))</f>
        <v>666374</v>
      </c>
    </row>
    <row r="4219">
      <c r="A4219" s="76">
        <v>45780.0</v>
      </c>
      <c r="B4219" s="1" t="s">
        <v>476</v>
      </c>
      <c r="C4219" s="1" t="s">
        <v>14</v>
      </c>
      <c r="D4219" s="1">
        <v>5.0</v>
      </c>
      <c r="E4219" s="1">
        <v>11423.0</v>
      </c>
      <c r="F4219" s="10">
        <f t="shared" si="1"/>
        <v>5</v>
      </c>
      <c r="G4219" s="10">
        <f t="array" ref="G4219">index('Player ID'!C:C,match(E4219,'Player ID'!B:B,0))</f>
        <v>500779</v>
      </c>
    </row>
    <row r="4220">
      <c r="A4220" s="76">
        <v>45780.0</v>
      </c>
      <c r="B4220" s="1" t="s">
        <v>99</v>
      </c>
      <c r="C4220" s="1" t="s">
        <v>34</v>
      </c>
      <c r="D4220" s="1">
        <v>6.0</v>
      </c>
      <c r="E4220" s="1">
        <v>11674.0</v>
      </c>
      <c r="F4220" s="10">
        <f t="shared" si="1"/>
        <v>6</v>
      </c>
      <c r="G4220" s="10">
        <f t="array" ref="G4220">index('Player ID'!C:C,match(E4220,'Player ID'!B:B,0))</f>
        <v>592791</v>
      </c>
    </row>
    <row r="4221">
      <c r="A4221" s="76">
        <v>45780.0</v>
      </c>
      <c r="B4221" s="1" t="s">
        <v>297</v>
      </c>
      <c r="C4221" s="1" t="s">
        <v>34</v>
      </c>
      <c r="D4221" s="1">
        <v>2.0</v>
      </c>
      <c r="E4221" s="1">
        <v>15734.0</v>
      </c>
      <c r="F4221" s="10">
        <f t="shared" si="1"/>
        <v>2</v>
      </c>
      <c r="G4221" s="10">
        <f t="array" ref="G4221">index('Player ID'!C:C,match(E4221,'Player ID'!B:B,0))</f>
        <v>641745</v>
      </c>
    </row>
    <row r="4222">
      <c r="A4222" s="76">
        <v>45780.0</v>
      </c>
      <c r="B4222" s="1" t="s">
        <v>632</v>
      </c>
      <c r="C4222" s="1" t="s">
        <v>34</v>
      </c>
      <c r="D4222" s="1">
        <v>1.0</v>
      </c>
      <c r="E4222" s="1">
        <v>16703.0</v>
      </c>
      <c r="F4222" s="10">
        <f t="shared" si="1"/>
        <v>1</v>
      </c>
      <c r="G4222" s="10">
        <f t="array" ref="G4222">index('Player ID'!C:C,match(E4222,'Player ID'!B:B,0))</f>
        <v>657240</v>
      </c>
    </row>
    <row r="4223">
      <c r="A4223" s="76">
        <v>45780.0</v>
      </c>
      <c r="B4223" s="1" t="s">
        <v>318</v>
      </c>
      <c r="C4223" s="1" t="s">
        <v>14</v>
      </c>
      <c r="D4223" s="1">
        <v>1.0</v>
      </c>
      <c r="E4223" s="1">
        <v>20546.0</v>
      </c>
      <c r="F4223" s="10">
        <f t="shared" si="1"/>
        <v>1</v>
      </c>
      <c r="G4223" s="10">
        <f t="array" ref="G4223">index('Player ID'!C:C,match(E4223,'Player ID'!B:B,0))</f>
        <v>681982</v>
      </c>
    </row>
    <row r="4224">
      <c r="A4224" s="76">
        <v>45780.0</v>
      </c>
      <c r="B4224" s="1" t="s">
        <v>744</v>
      </c>
      <c r="C4224" s="1" t="s">
        <v>14</v>
      </c>
      <c r="D4224" s="1">
        <v>1.0</v>
      </c>
      <c r="E4224" s="1">
        <v>20962.0</v>
      </c>
      <c r="F4224" s="10">
        <f t="shared" si="1"/>
        <v>1</v>
      </c>
      <c r="G4224" s="10">
        <f t="array" ref="G4224">index('Player ID'!C:C,match(E4224,'Player ID'!B:B,0))</f>
        <v>660730</v>
      </c>
    </row>
    <row r="4225">
      <c r="A4225" s="76">
        <v>45780.0</v>
      </c>
      <c r="B4225" s="1" t="s">
        <v>279</v>
      </c>
      <c r="C4225" s="1" t="s">
        <v>14</v>
      </c>
      <c r="D4225" s="1">
        <v>1.0</v>
      </c>
      <c r="E4225" s="1">
        <v>25327.0</v>
      </c>
      <c r="F4225" s="10">
        <f t="shared" si="1"/>
        <v>1</v>
      </c>
      <c r="G4225" s="10">
        <f t="array" ref="G4225">index('Player ID'!C:C,match(E4225,'Player ID'!B:B,0))</f>
        <v>682842</v>
      </c>
    </row>
    <row r="4226">
      <c r="A4226" s="76">
        <v>45780.0</v>
      </c>
      <c r="B4226" s="1" t="s">
        <v>112</v>
      </c>
      <c r="C4226" s="1" t="s">
        <v>14</v>
      </c>
      <c r="D4226" s="1">
        <v>1.0</v>
      </c>
      <c r="E4226" s="1">
        <v>25376.0</v>
      </c>
      <c r="F4226" s="10">
        <f t="shared" si="1"/>
        <v>1</v>
      </c>
      <c r="G4226" s="10">
        <f t="array" ref="G4226">index('Player ID'!C:C,match(E4226,'Player ID'!B:B,0))</f>
        <v>683232</v>
      </c>
    </row>
    <row r="4227">
      <c r="A4227" s="76">
        <v>45780.0</v>
      </c>
      <c r="B4227" s="1" t="s">
        <v>639</v>
      </c>
      <c r="C4227" s="1" t="s">
        <v>68</v>
      </c>
      <c r="D4227" s="1">
        <v>0.2</v>
      </c>
      <c r="E4227" s="1">
        <v>19249.0</v>
      </c>
      <c r="F4227" s="10">
        <f t="shared" si="1"/>
        <v>0.6666666667</v>
      </c>
      <c r="G4227" s="10">
        <f t="array" ref="G4227">index('Player ID'!C:C,match(E4227,'Player ID'!B:B,0))</f>
        <v>622554</v>
      </c>
    </row>
    <row r="4228">
      <c r="A4228" s="76">
        <v>45780.0</v>
      </c>
      <c r="B4228" s="1" t="s">
        <v>407</v>
      </c>
      <c r="C4228" s="1" t="s">
        <v>29</v>
      </c>
      <c r="D4228" s="1">
        <v>1.0</v>
      </c>
      <c r="E4228" s="1">
        <v>19360.0</v>
      </c>
      <c r="F4228" s="10">
        <f t="shared" si="1"/>
        <v>1</v>
      </c>
      <c r="G4228" s="10">
        <f t="array" ref="G4228">index('Player ID'!C:C,match(E4228,'Player ID'!B:B,0))</f>
        <v>668674</v>
      </c>
    </row>
    <row r="4229">
      <c r="A4229" s="76">
        <v>45780.0</v>
      </c>
      <c r="B4229" s="1" t="s">
        <v>675</v>
      </c>
      <c r="C4229" s="1" t="s">
        <v>68</v>
      </c>
      <c r="D4229" s="1">
        <v>1.1</v>
      </c>
      <c r="E4229" s="1">
        <v>19614.0</v>
      </c>
      <c r="F4229" s="10">
        <f t="shared" si="1"/>
        <v>1.333333333</v>
      </c>
      <c r="G4229" s="10">
        <f t="array" ref="G4229">index('Player ID'!C:C,match(E4229,'Player ID'!B:B,0))</f>
        <v>672335</v>
      </c>
    </row>
    <row r="4230">
      <c r="A4230" s="76">
        <v>45780.0</v>
      </c>
      <c r="B4230" s="1" t="s">
        <v>240</v>
      </c>
      <c r="C4230" s="1" t="s">
        <v>68</v>
      </c>
      <c r="D4230" s="1">
        <v>1.0</v>
      </c>
      <c r="E4230" s="1">
        <v>19804.0</v>
      </c>
      <c r="F4230" s="10">
        <f t="shared" si="1"/>
        <v>1</v>
      </c>
      <c r="G4230" s="10">
        <f t="array" ref="G4230">index('Player ID'!C:C,match(E4230,'Player ID'!B:B,0))</f>
        <v>641329</v>
      </c>
    </row>
    <row r="4231">
      <c r="A4231" s="76">
        <v>45780.0</v>
      </c>
      <c r="B4231" s="1" t="s">
        <v>144</v>
      </c>
      <c r="C4231" s="1" t="s">
        <v>29</v>
      </c>
      <c r="D4231" s="1">
        <v>1.0</v>
      </c>
      <c r="E4231" s="1">
        <v>20020.0</v>
      </c>
      <c r="F4231" s="10">
        <f t="shared" si="1"/>
        <v>1</v>
      </c>
      <c r="G4231" s="10">
        <f t="array" ref="G4231">index('Player ID'!C:C,match(E4231,'Player ID'!B:B,0))</f>
        <v>670167</v>
      </c>
    </row>
    <row r="4232">
      <c r="A4232" s="76">
        <v>45780.0</v>
      </c>
      <c r="B4232" s="1" t="s">
        <v>163</v>
      </c>
      <c r="C4232" s="1" t="s">
        <v>29</v>
      </c>
      <c r="D4232" s="1">
        <v>5.0</v>
      </c>
      <c r="E4232" s="1">
        <v>21455.0</v>
      </c>
      <c r="F4232" s="10">
        <f t="shared" si="1"/>
        <v>5</v>
      </c>
      <c r="G4232" s="10">
        <f t="array" ref="G4232">index('Player ID'!C:C,match(E4232,'Player ID'!B:B,0))</f>
        <v>663460</v>
      </c>
    </row>
    <row r="4233">
      <c r="A4233" s="76">
        <v>45780.0</v>
      </c>
      <c r="B4233" s="1" t="s">
        <v>293</v>
      </c>
      <c r="C4233" s="1" t="s">
        <v>29</v>
      </c>
      <c r="D4233" s="1">
        <v>2.0</v>
      </c>
      <c r="E4233" s="1">
        <v>21537.0</v>
      </c>
      <c r="F4233" s="10">
        <f t="shared" si="1"/>
        <v>2</v>
      </c>
      <c r="G4233" s="10">
        <f t="array" ref="G4233">index('Player ID'!C:C,match(E4233,'Player ID'!B:B,0))</f>
        <v>663738</v>
      </c>
    </row>
    <row r="4234">
      <c r="A4234" s="76">
        <v>45780.0</v>
      </c>
      <c r="B4234" s="1" t="s">
        <v>158</v>
      </c>
      <c r="C4234" s="1" t="s">
        <v>68</v>
      </c>
      <c r="D4234" s="1">
        <v>6.0</v>
      </c>
      <c r="E4234" s="1">
        <v>35321.0</v>
      </c>
      <c r="F4234" s="10">
        <f t="shared" si="1"/>
        <v>6</v>
      </c>
      <c r="G4234" s="10">
        <f t="array" ref="G4234">index('Player ID'!C:C,match(E4234,'Player ID'!B:B,0))</f>
        <v>608372</v>
      </c>
    </row>
    <row r="4235">
      <c r="A4235" s="76">
        <v>45780.0</v>
      </c>
      <c r="B4235" s="1" t="s">
        <v>595</v>
      </c>
      <c r="C4235" s="1" t="s">
        <v>33</v>
      </c>
      <c r="D4235" s="1">
        <v>1.0</v>
      </c>
      <c r="E4235" s="1">
        <v>6984.0</v>
      </c>
      <c r="F4235" s="10">
        <f t="shared" si="1"/>
        <v>1</v>
      </c>
      <c r="G4235" s="10">
        <f t="array" ref="G4235">index('Player ID'!C:C,match(E4235,'Player ID'!B:B,0))</f>
        <v>472610</v>
      </c>
    </row>
    <row r="4236">
      <c r="A4236" s="76">
        <v>45780.0</v>
      </c>
      <c r="B4236" s="1" t="s">
        <v>392</v>
      </c>
      <c r="C4236" s="1" t="s">
        <v>33</v>
      </c>
      <c r="D4236" s="1">
        <v>0.2</v>
      </c>
      <c r="E4236" s="1">
        <v>9073.0</v>
      </c>
      <c r="F4236" s="10">
        <f t="shared" si="1"/>
        <v>0.6666666667</v>
      </c>
      <c r="G4236" s="10">
        <f t="array" ref="G4236">index('Player ID'!C:C,match(E4236,'Player ID'!B:B,0))</f>
        <v>489446</v>
      </c>
    </row>
    <row r="4237">
      <c r="A4237" s="76">
        <v>45780.0</v>
      </c>
      <c r="B4237" s="1" t="s">
        <v>310</v>
      </c>
      <c r="C4237" s="1" t="s">
        <v>33</v>
      </c>
      <c r="D4237" s="1">
        <v>1.1</v>
      </c>
      <c r="E4237" s="1">
        <v>14706.0</v>
      </c>
      <c r="F4237" s="10">
        <f t="shared" si="1"/>
        <v>1.333333333</v>
      </c>
      <c r="G4237" s="10">
        <f t="array" ref="G4237">index('Player ID'!C:C,match(E4237,'Player ID'!B:B,0))</f>
        <v>607455</v>
      </c>
    </row>
    <row r="4238">
      <c r="A4238" s="76">
        <v>45780.0</v>
      </c>
      <c r="B4238" s="1" t="s">
        <v>319</v>
      </c>
      <c r="C4238" s="1" t="s">
        <v>46</v>
      </c>
      <c r="D4238" s="1">
        <v>2.0</v>
      </c>
      <c r="E4238" s="1">
        <v>16258.0</v>
      </c>
      <c r="F4238" s="10">
        <f t="shared" si="1"/>
        <v>2</v>
      </c>
      <c r="G4238" s="10">
        <f t="array" ref="G4238">index('Player ID'!C:C,match(E4238,'Player ID'!B:B,0))</f>
        <v>607481</v>
      </c>
    </row>
    <row r="4239">
      <c r="A4239" s="76">
        <v>45780.0</v>
      </c>
      <c r="B4239" s="1" t="s">
        <v>233</v>
      </c>
      <c r="C4239" s="1" t="s">
        <v>46</v>
      </c>
      <c r="D4239" s="1">
        <v>1.0</v>
      </c>
      <c r="E4239" s="1">
        <v>16427.0</v>
      </c>
      <c r="F4239" s="10">
        <f t="shared" si="1"/>
        <v>1</v>
      </c>
      <c r="G4239" s="10">
        <f t="array" ref="G4239">index('Player ID'!C:C,match(E4239,'Player ID'!B:B,0))</f>
        <v>656240</v>
      </c>
    </row>
    <row r="4240">
      <c r="A4240" s="76">
        <v>45780.0</v>
      </c>
      <c r="B4240" s="1" t="s">
        <v>184</v>
      </c>
      <c r="C4240" s="1" t="s">
        <v>46</v>
      </c>
      <c r="D4240" s="1">
        <v>1.0</v>
      </c>
      <c r="E4240" s="1">
        <v>17130.0</v>
      </c>
      <c r="F4240" s="10">
        <f t="shared" si="1"/>
        <v>1</v>
      </c>
      <c r="G4240" s="10">
        <f t="array" ref="G4240">index('Player ID'!C:C,match(E4240,'Player ID'!B:B,0))</f>
        <v>628452</v>
      </c>
    </row>
    <row r="4241">
      <c r="A4241" s="76">
        <v>45780.0</v>
      </c>
      <c r="B4241" s="1" t="s">
        <v>346</v>
      </c>
      <c r="C4241" s="1" t="s">
        <v>46</v>
      </c>
      <c r="D4241" s="1">
        <v>1.1</v>
      </c>
      <c r="E4241" s="1">
        <v>18403.0</v>
      </c>
      <c r="F4241" s="10">
        <f t="shared" si="1"/>
        <v>1.333333333</v>
      </c>
      <c r="G4241" s="10">
        <f t="array" ref="G4241">index('Player ID'!C:C,match(E4241,'Player ID'!B:B,0))</f>
        <v>660853</v>
      </c>
    </row>
    <row r="4242">
      <c r="A4242" s="76">
        <v>45780.0</v>
      </c>
      <c r="B4242" s="1" t="s">
        <v>92</v>
      </c>
      <c r="C4242" s="1" t="s">
        <v>33</v>
      </c>
      <c r="D4242" s="1">
        <v>1.0</v>
      </c>
      <c r="E4242" s="1">
        <v>25007.0</v>
      </c>
      <c r="F4242" s="10">
        <f t="shared" si="1"/>
        <v>1</v>
      </c>
      <c r="G4242" s="10">
        <f t="array" ref="G4242">index('Player ID'!C:C,match(E4242,'Player ID'!B:B,0))</f>
        <v>681911</v>
      </c>
    </row>
    <row r="4243">
      <c r="A4243" s="76">
        <v>45780.0</v>
      </c>
      <c r="B4243" s="1" t="s">
        <v>65</v>
      </c>
      <c r="C4243" s="1" t="s">
        <v>46</v>
      </c>
      <c r="D4243" s="1">
        <v>3.2</v>
      </c>
      <c r="E4243" s="1">
        <v>31846.0</v>
      </c>
      <c r="F4243" s="10">
        <f t="shared" si="1"/>
        <v>3.666666667</v>
      </c>
      <c r="G4243" s="10">
        <f t="array" ref="G4243">index('Player ID'!C:C,match(E4243,'Player ID'!B:B,0))</f>
        <v>680885</v>
      </c>
    </row>
    <row r="4244">
      <c r="A4244" s="76">
        <v>45780.0</v>
      </c>
      <c r="B4244" s="1" t="s">
        <v>522</v>
      </c>
      <c r="C4244" s="1" t="s">
        <v>33</v>
      </c>
      <c r="D4244" s="1">
        <v>5.0</v>
      </c>
      <c r="E4244" s="1">
        <v>35323.0</v>
      </c>
      <c r="F4244" s="10">
        <f t="shared" si="1"/>
        <v>5</v>
      </c>
      <c r="G4244" s="10">
        <f t="array" ref="G4244">index('Player ID'!C:C,match(E4244,'Player ID'!B:B,0))</f>
        <v>808963</v>
      </c>
    </row>
    <row r="4245">
      <c r="A4245" s="76">
        <v>45780.0</v>
      </c>
      <c r="B4245" s="1" t="s">
        <v>154</v>
      </c>
      <c r="C4245" s="1" t="s">
        <v>25</v>
      </c>
      <c r="D4245" s="1">
        <v>0.2</v>
      </c>
      <c r="E4245" s="1">
        <v>3096.0</v>
      </c>
      <c r="F4245" s="10">
        <f t="shared" si="1"/>
        <v>0.6666666667</v>
      </c>
      <c r="G4245" s="10">
        <f t="array" ref="G4245">index('Player ID'!C:C,match(E4245,'Player ID'!B:B,0))</f>
        <v>445276</v>
      </c>
    </row>
    <row r="4246">
      <c r="A4246" s="76">
        <v>45780.0</v>
      </c>
      <c r="B4246" s="1" t="s">
        <v>399</v>
      </c>
      <c r="C4246" s="1" t="s">
        <v>25</v>
      </c>
      <c r="D4246" s="1">
        <v>7.2</v>
      </c>
      <c r="E4246" s="1">
        <v>12049.0</v>
      </c>
      <c r="F4246" s="10">
        <f t="shared" si="1"/>
        <v>7.666666667</v>
      </c>
      <c r="G4246" s="10">
        <f t="array" ref="G4246">index('Player ID'!C:C,match(E4246,'Player ID'!B:B,0))</f>
        <v>543294</v>
      </c>
    </row>
    <row r="4247">
      <c r="A4247" s="76">
        <v>45780.0</v>
      </c>
      <c r="B4247" s="1" t="s">
        <v>316</v>
      </c>
      <c r="C4247" s="1" t="s">
        <v>62</v>
      </c>
      <c r="D4247" s="1">
        <v>5.2</v>
      </c>
      <c r="E4247" s="1">
        <v>17479.0</v>
      </c>
      <c r="F4247" s="10">
        <f t="shared" si="1"/>
        <v>5.666666667</v>
      </c>
      <c r="G4247" s="10">
        <f t="array" ref="G4247">index('Player ID'!C:C,match(E4247,'Player ID'!B:B,0))</f>
        <v>656427</v>
      </c>
    </row>
    <row r="4248">
      <c r="A4248" s="76">
        <v>45780.0</v>
      </c>
      <c r="B4248" s="1" t="s">
        <v>291</v>
      </c>
      <c r="C4248" s="1" t="s">
        <v>25</v>
      </c>
      <c r="D4248" s="1">
        <v>0.2</v>
      </c>
      <c r="E4248" s="1">
        <v>17968.0</v>
      </c>
      <c r="F4248" s="10">
        <f t="shared" si="1"/>
        <v>0.6666666667</v>
      </c>
      <c r="G4248" s="10">
        <f t="array" ref="G4248">index('Player ID'!C:C,match(E4248,'Player ID'!B:B,0))</f>
        <v>656271</v>
      </c>
    </row>
    <row r="4249">
      <c r="A4249" s="76">
        <v>45780.0</v>
      </c>
      <c r="B4249" s="1" t="s">
        <v>721</v>
      </c>
      <c r="C4249" s="1" t="s">
        <v>62</v>
      </c>
      <c r="D4249" s="1">
        <v>1.0</v>
      </c>
      <c r="E4249" s="1">
        <v>20045.0</v>
      </c>
      <c r="F4249" s="10">
        <f t="shared" si="1"/>
        <v>1</v>
      </c>
      <c r="G4249" s="10">
        <f t="array" ref="G4249">index('Player ID'!C:C,match(E4249,'Player ID'!B:B,0))</f>
        <v>674944</v>
      </c>
    </row>
    <row r="4250">
      <c r="A4250" s="76">
        <v>45780.0</v>
      </c>
      <c r="B4250" s="1" t="s">
        <v>667</v>
      </c>
      <c r="C4250" s="1" t="s">
        <v>62</v>
      </c>
      <c r="D4250" s="1">
        <v>0.1</v>
      </c>
      <c r="E4250" s="1">
        <v>26079.0</v>
      </c>
      <c r="F4250" s="10">
        <f t="shared" si="1"/>
        <v>0.3333333333</v>
      </c>
      <c r="G4250" s="10">
        <f t="array" ref="G4250">index('Player ID'!C:C,match(E4250,'Player ID'!B:B,0))</f>
        <v>689225</v>
      </c>
    </row>
    <row r="4251">
      <c r="A4251" s="76">
        <v>45780.0</v>
      </c>
      <c r="B4251" s="1" t="s">
        <v>487</v>
      </c>
      <c r="C4251" s="1" t="s">
        <v>62</v>
      </c>
      <c r="D4251" s="1">
        <v>1.0</v>
      </c>
      <c r="E4251" s="1">
        <v>30133.0</v>
      </c>
      <c r="F4251" s="10">
        <f t="shared" si="1"/>
        <v>1</v>
      </c>
      <c r="G4251" s="10">
        <f t="array" ref="G4251">index('Player ID'!C:C,match(E4251,'Player ID'!B:B,0))</f>
        <v>676428</v>
      </c>
    </row>
    <row r="4252">
      <c r="A4252" s="76">
        <v>45781.0</v>
      </c>
      <c r="B4252" s="1" t="s">
        <v>646</v>
      </c>
      <c r="C4252" s="1" t="s">
        <v>51</v>
      </c>
      <c r="D4252" s="1">
        <v>0.1</v>
      </c>
      <c r="E4252" s="1">
        <v>6107.0</v>
      </c>
      <c r="F4252" s="10">
        <f t="shared" si="1"/>
        <v>0.3333333333</v>
      </c>
      <c r="G4252" s="10">
        <f t="array" ref="G4252">index('Player ID'!C:C,match(E4252,'Player ID'!B:B,0))</f>
        <v>623211</v>
      </c>
    </row>
    <row r="4253">
      <c r="A4253" s="76">
        <v>45781.0</v>
      </c>
      <c r="B4253" s="1" t="s">
        <v>295</v>
      </c>
      <c r="C4253" s="1" t="s">
        <v>51</v>
      </c>
      <c r="D4253" s="1">
        <v>1.0</v>
      </c>
      <c r="E4253" s="1">
        <v>16866.0</v>
      </c>
      <c r="F4253" s="10">
        <f t="shared" si="1"/>
        <v>1</v>
      </c>
      <c r="G4253" s="10">
        <f t="array" ref="G4253">index('Player ID'!C:C,match(E4253,'Player ID'!B:B,0))</f>
        <v>657585</v>
      </c>
    </row>
    <row r="4254">
      <c r="A4254" s="76">
        <v>45781.0</v>
      </c>
      <c r="B4254" s="1" t="s">
        <v>321</v>
      </c>
      <c r="C4254" s="1" t="s">
        <v>72</v>
      </c>
      <c r="D4254" s="1">
        <v>5.0</v>
      </c>
      <c r="E4254" s="1">
        <v>17425.0</v>
      </c>
      <c r="F4254" s="10">
        <f t="shared" si="1"/>
        <v>5</v>
      </c>
      <c r="G4254" s="10">
        <f t="array" ref="G4254">index('Player ID'!C:C,match(E4254,'Player ID'!B:B,0))</f>
        <v>607200</v>
      </c>
    </row>
    <row r="4255">
      <c r="A4255" s="76">
        <v>45781.0</v>
      </c>
      <c r="B4255" s="1" t="s">
        <v>825</v>
      </c>
      <c r="C4255" s="1" t="s">
        <v>51</v>
      </c>
      <c r="D4255" s="1">
        <v>2.0</v>
      </c>
      <c r="E4255" s="1">
        <v>17490.0</v>
      </c>
      <c r="F4255" s="10">
        <f t="shared" si="1"/>
        <v>2</v>
      </c>
      <c r="G4255" s="10">
        <f t="array" ref="G4255">index('Player ID'!C:C,match(E4255,'Player ID'!B:B,0))</f>
        <v>650893</v>
      </c>
    </row>
    <row r="4256">
      <c r="A4256" s="76">
        <v>45781.0</v>
      </c>
      <c r="B4256" s="1" t="s">
        <v>190</v>
      </c>
      <c r="C4256" s="1" t="s">
        <v>72</v>
      </c>
      <c r="D4256" s="1">
        <v>0.1</v>
      </c>
      <c r="E4256" s="1">
        <v>18064.0</v>
      </c>
      <c r="F4256" s="10">
        <f t="shared" si="1"/>
        <v>0.3333333333</v>
      </c>
      <c r="G4256" s="10">
        <f t="array" ref="G4256">index('Player ID'!C:C,match(E4256,'Player ID'!B:B,0))</f>
        <v>664208</v>
      </c>
    </row>
    <row r="4257">
      <c r="A4257" s="76">
        <v>45781.0</v>
      </c>
      <c r="B4257" s="1" t="s">
        <v>270</v>
      </c>
      <c r="C4257" s="1" t="s">
        <v>72</v>
      </c>
      <c r="D4257" s="1">
        <v>1.0</v>
      </c>
      <c r="E4257" s="1">
        <v>18138.0</v>
      </c>
      <c r="F4257" s="10">
        <f t="shared" si="1"/>
        <v>1</v>
      </c>
      <c r="G4257" s="10">
        <f t="array" ref="G4257">index('Player ID'!C:C,match(E4257,'Player ID'!B:B,0))</f>
        <v>664854</v>
      </c>
    </row>
    <row r="4258">
      <c r="A4258" s="76">
        <v>45781.0</v>
      </c>
      <c r="B4258" s="1" t="s">
        <v>193</v>
      </c>
      <c r="C4258" s="1" t="s">
        <v>72</v>
      </c>
      <c r="D4258" s="1">
        <v>0.2</v>
      </c>
      <c r="E4258" s="1">
        <v>19574.0</v>
      </c>
      <c r="F4258" s="10">
        <f t="shared" si="1"/>
        <v>0.6666666667</v>
      </c>
      <c r="G4258" s="10">
        <f t="array" ref="G4258">index('Player ID'!C:C,match(E4258,'Player ID'!B:B,0))</f>
        <v>668941</v>
      </c>
    </row>
    <row r="4259">
      <c r="A4259" s="76">
        <v>45781.0</v>
      </c>
      <c r="B4259" s="1" t="s">
        <v>170</v>
      </c>
      <c r="C4259" s="1" t="s">
        <v>72</v>
      </c>
      <c r="D4259" s="1">
        <v>2.0</v>
      </c>
      <c r="E4259" s="1">
        <v>24763.0</v>
      </c>
      <c r="F4259" s="10">
        <f t="shared" si="1"/>
        <v>2</v>
      </c>
      <c r="G4259" s="10">
        <f t="array" ref="G4259">index('Player ID'!C:C,match(E4259,'Player ID'!B:B,0))</f>
        <v>681517</v>
      </c>
    </row>
    <row r="4260">
      <c r="A4260" s="76">
        <v>45781.0</v>
      </c>
      <c r="B4260" s="1" t="s">
        <v>773</v>
      </c>
      <c r="C4260" s="1" t="s">
        <v>51</v>
      </c>
      <c r="D4260" s="1">
        <v>1.0</v>
      </c>
      <c r="E4260" s="1">
        <v>24937.0</v>
      </c>
      <c r="F4260" s="10">
        <f t="shared" si="1"/>
        <v>1</v>
      </c>
      <c r="G4260" s="10">
        <f t="array" ref="G4260">index('Player ID'!C:C,match(E4260,'Player ID'!B:B,0))</f>
        <v>681810</v>
      </c>
    </row>
    <row r="4261">
      <c r="A4261" s="76">
        <v>45781.0</v>
      </c>
      <c r="B4261" s="1" t="s">
        <v>574</v>
      </c>
      <c r="C4261" s="1" t="s">
        <v>51</v>
      </c>
      <c r="D4261" s="1">
        <v>3.2</v>
      </c>
      <c r="E4261" s="1">
        <v>31701.0</v>
      </c>
      <c r="F4261" s="10">
        <f t="shared" si="1"/>
        <v>3.666666667</v>
      </c>
      <c r="G4261" s="10">
        <f t="array" ref="G4261">index('Player ID'!C:C,match(E4261,'Player ID'!B:B,0))</f>
        <v>694918</v>
      </c>
    </row>
    <row r="4262">
      <c r="A4262" s="76">
        <v>45781.0</v>
      </c>
      <c r="B4262" s="1" t="s">
        <v>342</v>
      </c>
      <c r="C4262" s="1" t="s">
        <v>26</v>
      </c>
      <c r="D4262" s="1">
        <v>1.0</v>
      </c>
      <c r="E4262" s="1">
        <v>11861.0</v>
      </c>
      <c r="F4262" s="10">
        <f t="shared" si="1"/>
        <v>1</v>
      </c>
      <c r="G4262" s="10">
        <f t="array" ref="G4262">index('Player ID'!C:C,match(E4262,'Player ID'!B:B,0))</f>
        <v>592094</v>
      </c>
    </row>
    <row r="4263">
      <c r="A4263" s="76">
        <v>45781.0</v>
      </c>
      <c r="B4263" s="1" t="s">
        <v>404</v>
      </c>
      <c r="C4263" s="1" t="s">
        <v>26</v>
      </c>
      <c r="D4263" s="1">
        <v>1.0</v>
      </c>
      <c r="E4263" s="1">
        <v>14295.0</v>
      </c>
      <c r="F4263" s="10">
        <f t="shared" si="1"/>
        <v>1</v>
      </c>
      <c r="G4263" s="10">
        <f t="array" ref="G4263">index('Player ID'!C:C,match(E4263,'Player ID'!B:B,0))</f>
        <v>593974</v>
      </c>
    </row>
    <row r="4264">
      <c r="A4264" s="76">
        <v>45781.0</v>
      </c>
      <c r="B4264" s="1" t="s">
        <v>256</v>
      </c>
      <c r="C4264" s="1" t="s">
        <v>60</v>
      </c>
      <c r="D4264" s="1">
        <v>3.2</v>
      </c>
      <c r="E4264" s="1">
        <v>15423.0</v>
      </c>
      <c r="F4264" s="10">
        <f t="shared" si="1"/>
        <v>3.666666667</v>
      </c>
      <c r="G4264" s="10">
        <f t="array" ref="G4264">index('Player ID'!C:C,match(E4264,'Player ID'!B:B,0))</f>
        <v>571760</v>
      </c>
    </row>
    <row r="4265">
      <c r="A4265" s="76">
        <v>45781.0</v>
      </c>
      <c r="B4265" s="1" t="s">
        <v>716</v>
      </c>
      <c r="C4265" s="1" t="s">
        <v>60</v>
      </c>
      <c r="D4265" s="1">
        <v>1.0</v>
      </c>
      <c r="E4265" s="1">
        <v>17610.0</v>
      </c>
      <c r="F4265" s="10">
        <f t="shared" si="1"/>
        <v>1</v>
      </c>
      <c r="G4265" s="10">
        <f t="array" ref="G4265">index('Player ID'!C:C,match(E4265,'Player ID'!B:B,0))</f>
        <v>663432</v>
      </c>
    </row>
    <row r="4266">
      <c r="A4266" s="76">
        <v>45781.0</v>
      </c>
      <c r="B4266" s="1" t="s">
        <v>217</v>
      </c>
      <c r="C4266" s="1" t="s">
        <v>60</v>
      </c>
      <c r="D4266" s="1">
        <v>1.0</v>
      </c>
      <c r="E4266" s="1">
        <v>17878.0</v>
      </c>
      <c r="F4266" s="10">
        <f t="shared" si="1"/>
        <v>1</v>
      </c>
      <c r="G4266" s="10">
        <f t="array" ref="G4266">index('Player ID'!C:C,match(E4266,'Player ID'!B:B,0))</f>
        <v>642701</v>
      </c>
    </row>
    <row r="4267">
      <c r="A4267" s="76">
        <v>45781.0</v>
      </c>
      <c r="B4267" s="1" t="s">
        <v>384</v>
      </c>
      <c r="C4267" s="1" t="s">
        <v>60</v>
      </c>
      <c r="D4267" s="1">
        <v>1.0</v>
      </c>
      <c r="E4267" s="1">
        <v>19962.0</v>
      </c>
      <c r="F4267" s="10">
        <f t="shared" si="1"/>
        <v>1</v>
      </c>
      <c r="G4267" s="10">
        <f t="array" ref="G4267">index('Player ID'!C:C,match(E4267,'Player ID'!B:B,0))</f>
        <v>666214</v>
      </c>
    </row>
    <row r="4268">
      <c r="A4268" s="76">
        <v>45781.0</v>
      </c>
      <c r="B4268" s="1" t="s">
        <v>49</v>
      </c>
      <c r="C4268" s="1" t="s">
        <v>26</v>
      </c>
      <c r="D4268" s="1">
        <v>1.0</v>
      </c>
      <c r="E4268" s="1">
        <v>20039.0</v>
      </c>
      <c r="F4268" s="10">
        <f t="shared" si="1"/>
        <v>1</v>
      </c>
      <c r="G4268" s="10">
        <f t="array" ref="G4268">index('Player ID'!C:C,match(E4268,'Player ID'!B:B,0))</f>
        <v>670970</v>
      </c>
    </row>
    <row r="4269">
      <c r="A4269" s="76">
        <v>45781.0</v>
      </c>
      <c r="B4269" s="1" t="s">
        <v>179</v>
      </c>
      <c r="C4269" s="1" t="s">
        <v>26</v>
      </c>
      <c r="D4269" s="1">
        <v>5.1</v>
      </c>
      <c r="E4269" s="1">
        <v>21487.0</v>
      </c>
      <c r="F4269" s="10">
        <f t="shared" si="1"/>
        <v>5.333333333</v>
      </c>
      <c r="G4269" s="10">
        <f t="array" ref="G4269">index('Player ID'!C:C,match(E4269,'Player ID'!B:B,0))</f>
        <v>663568</v>
      </c>
    </row>
    <row r="4270">
      <c r="A4270" s="76">
        <v>45781.0</v>
      </c>
      <c r="B4270" s="1" t="s">
        <v>94</v>
      </c>
      <c r="C4270" s="1" t="s">
        <v>26</v>
      </c>
      <c r="D4270" s="1">
        <v>0.2</v>
      </c>
      <c r="E4270" s="1">
        <v>22210.0</v>
      </c>
      <c r="F4270" s="10">
        <f t="shared" si="1"/>
        <v>0.6666666667</v>
      </c>
      <c r="G4270" s="10">
        <f t="array" ref="G4270">index('Player ID'!C:C,match(E4270,'Player ID'!B:B,0))</f>
        <v>669093</v>
      </c>
    </row>
    <row r="4271">
      <c r="A4271" s="76">
        <v>45781.0</v>
      </c>
      <c r="B4271" s="1" t="s">
        <v>663</v>
      </c>
      <c r="C4271" s="1" t="s">
        <v>60</v>
      </c>
      <c r="D4271" s="1">
        <v>2.1</v>
      </c>
      <c r="E4271" s="1">
        <v>22361.0</v>
      </c>
      <c r="F4271" s="10">
        <f t="shared" si="1"/>
        <v>2.333333333</v>
      </c>
      <c r="G4271" s="10">
        <f t="array" ref="G4271">index('Player ID'!C:C,match(E4271,'Player ID'!B:B,0))</f>
        <v>670059</v>
      </c>
    </row>
    <row r="4272">
      <c r="A4272" s="76">
        <v>45781.0</v>
      </c>
      <c r="B4272" s="1" t="s">
        <v>474</v>
      </c>
      <c r="C4272" s="1" t="s">
        <v>68</v>
      </c>
      <c r="D4272" s="1">
        <v>1.0</v>
      </c>
      <c r="E4272" s="1">
        <v>4676.0</v>
      </c>
      <c r="F4272" s="10">
        <f t="shared" si="1"/>
        <v>1</v>
      </c>
      <c r="G4272" s="10">
        <f t="array" ref="G4272">index('Player ID'!C:C,match(E4272,'Player ID'!B:B,0))</f>
        <v>450203</v>
      </c>
    </row>
    <row r="4273">
      <c r="A4273" s="76">
        <v>45781.0</v>
      </c>
      <c r="B4273" s="1" t="s">
        <v>588</v>
      </c>
      <c r="C4273" s="1" t="s">
        <v>68</v>
      </c>
      <c r="D4273" s="1">
        <v>4.0</v>
      </c>
      <c r="E4273" s="1">
        <v>10123.0</v>
      </c>
      <c r="F4273" s="10">
        <f t="shared" si="1"/>
        <v>4</v>
      </c>
      <c r="G4273" s="10">
        <f t="array" ref="G4273">index('Player ID'!C:C,match(E4273,'Player ID'!B:B,0))</f>
        <v>502043</v>
      </c>
    </row>
    <row r="4274">
      <c r="A4274" s="76">
        <v>45781.0</v>
      </c>
      <c r="B4274" s="1" t="s">
        <v>723</v>
      </c>
      <c r="C4274" s="1" t="s">
        <v>68</v>
      </c>
      <c r="D4274" s="1">
        <v>1.0</v>
      </c>
      <c r="E4274" s="1">
        <v>13528.0</v>
      </c>
      <c r="F4274" s="10">
        <f t="shared" si="1"/>
        <v>1</v>
      </c>
      <c r="G4274" s="10">
        <f t="array" ref="G4274">index('Player ID'!C:C,match(E4274,'Player ID'!B:B,0))</f>
        <v>621199</v>
      </c>
    </row>
    <row r="4275">
      <c r="A4275" s="76">
        <v>45781.0</v>
      </c>
      <c r="B4275" s="1" t="s">
        <v>420</v>
      </c>
      <c r="C4275" s="1" t="s">
        <v>29</v>
      </c>
      <c r="D4275" s="1">
        <v>4.2</v>
      </c>
      <c r="E4275" s="1">
        <v>14843.0</v>
      </c>
      <c r="F4275" s="10">
        <f t="shared" si="1"/>
        <v>4.666666667</v>
      </c>
      <c r="G4275" s="10">
        <f t="array" ref="G4275">index('Player ID'!C:C,match(E4275,'Player ID'!B:B,0))</f>
        <v>547179</v>
      </c>
    </row>
    <row r="4276">
      <c r="A4276" s="76">
        <v>45781.0</v>
      </c>
      <c r="B4276" s="1" t="s">
        <v>199</v>
      </c>
      <c r="C4276" s="1" t="s">
        <v>29</v>
      </c>
      <c r="D4276" s="1">
        <v>1.0</v>
      </c>
      <c r="E4276" s="1">
        <v>17611.0</v>
      </c>
      <c r="F4276" s="10">
        <f t="shared" si="1"/>
        <v>1</v>
      </c>
      <c r="G4276" s="10">
        <f t="array" ref="G4276">index('Player ID'!C:C,match(E4276,'Player ID'!B:B,0))</f>
        <v>664199</v>
      </c>
    </row>
    <row r="4277">
      <c r="A4277" s="76">
        <v>45781.0</v>
      </c>
      <c r="B4277" s="1" t="s">
        <v>407</v>
      </c>
      <c r="C4277" s="1" t="s">
        <v>29</v>
      </c>
      <c r="D4277" s="1">
        <v>1.0</v>
      </c>
      <c r="E4277" s="1">
        <v>19360.0</v>
      </c>
      <c r="F4277" s="10">
        <f t="shared" si="1"/>
        <v>1</v>
      </c>
      <c r="G4277" s="10">
        <f t="array" ref="G4277">index('Player ID'!C:C,match(E4277,'Player ID'!B:B,0))</f>
        <v>668674</v>
      </c>
    </row>
    <row r="4278">
      <c r="A4278" s="76">
        <v>45781.0</v>
      </c>
      <c r="B4278" s="1" t="s">
        <v>231</v>
      </c>
      <c r="C4278" s="1" t="s">
        <v>68</v>
      </c>
      <c r="D4278" s="1">
        <v>1.0</v>
      </c>
      <c r="E4278" s="1">
        <v>19362.0</v>
      </c>
      <c r="F4278" s="10">
        <f t="shared" si="1"/>
        <v>1</v>
      </c>
      <c r="G4278" s="10">
        <f t="array" ref="G4278">index('Player ID'!C:C,match(E4278,'Player ID'!B:B,0))</f>
        <v>669211</v>
      </c>
    </row>
    <row r="4279">
      <c r="A4279" s="76">
        <v>45781.0</v>
      </c>
      <c r="B4279" s="1" t="s">
        <v>240</v>
      </c>
      <c r="C4279" s="1" t="s">
        <v>68</v>
      </c>
      <c r="D4279" s="1">
        <v>1.0</v>
      </c>
      <c r="E4279" s="1">
        <v>19804.0</v>
      </c>
      <c r="F4279" s="10">
        <f t="shared" si="1"/>
        <v>1</v>
      </c>
      <c r="G4279" s="10">
        <f t="array" ref="G4279">index('Player ID'!C:C,match(E4279,'Player ID'!B:B,0))</f>
        <v>641329</v>
      </c>
    </row>
    <row r="4280">
      <c r="A4280" s="76">
        <v>45781.0</v>
      </c>
      <c r="B4280" s="1" t="s">
        <v>140</v>
      </c>
      <c r="C4280" s="1" t="s">
        <v>29</v>
      </c>
      <c r="D4280" s="1">
        <v>1.2</v>
      </c>
      <c r="E4280" s="1">
        <v>22717.0</v>
      </c>
      <c r="F4280" s="10">
        <f t="shared" si="1"/>
        <v>1.666666667</v>
      </c>
      <c r="G4280" s="10">
        <f t="array" ref="G4280">index('Player ID'!C:C,match(E4280,'Player ID'!B:B,0))</f>
        <v>672582</v>
      </c>
    </row>
    <row r="4281">
      <c r="A4281" s="76">
        <v>45781.0</v>
      </c>
      <c r="B4281" s="1" t="s">
        <v>214</v>
      </c>
      <c r="C4281" s="1" t="s">
        <v>29</v>
      </c>
      <c r="D4281" s="1">
        <v>0.2</v>
      </c>
      <c r="E4281" s="1">
        <v>23165.0</v>
      </c>
      <c r="F4281" s="10">
        <f t="shared" si="1"/>
        <v>0.6666666667</v>
      </c>
      <c r="G4281" s="10">
        <f t="array" ref="G4281">index('Player ID'!C:C,match(E4281,'Player ID'!B:B,0))</f>
        <v>674444</v>
      </c>
    </row>
    <row r="4282">
      <c r="A4282" s="76">
        <v>45781.0</v>
      </c>
      <c r="B4282" s="1" t="s">
        <v>235</v>
      </c>
      <c r="C4282" s="1" t="s">
        <v>68</v>
      </c>
      <c r="D4282" s="1">
        <v>1.0</v>
      </c>
      <c r="E4282" s="1">
        <v>25911.0</v>
      </c>
      <c r="F4282" s="10">
        <f t="shared" si="1"/>
        <v>1</v>
      </c>
      <c r="G4282" s="10">
        <f t="array" ref="G4282">index('Player ID'!C:C,match(E4282,'Player ID'!B:B,0))</f>
        <v>666974</v>
      </c>
    </row>
    <row r="4283">
      <c r="A4283" s="76">
        <v>45781.0</v>
      </c>
      <c r="B4283" s="1" t="s">
        <v>757</v>
      </c>
      <c r="C4283" s="1" t="s">
        <v>22</v>
      </c>
      <c r="D4283" s="1">
        <v>1.0</v>
      </c>
      <c r="E4283" s="1">
        <v>3548.0</v>
      </c>
      <c r="F4283" s="10">
        <f t="shared" si="1"/>
        <v>1</v>
      </c>
      <c r="G4283" s="10">
        <f t="array" ref="G4283">index('Player ID'!C:C,match(E4283,'Player ID'!B:B,0))</f>
        <v>521230</v>
      </c>
    </row>
    <row r="4284">
      <c r="A4284" s="76">
        <v>45781.0</v>
      </c>
      <c r="B4284" s="1" t="s">
        <v>249</v>
      </c>
      <c r="C4284" s="1" t="s">
        <v>16</v>
      </c>
      <c r="D4284" s="1">
        <v>1.0</v>
      </c>
      <c r="E4284" s="1">
        <v>16727.0</v>
      </c>
      <c r="F4284" s="10">
        <f t="shared" si="1"/>
        <v>1</v>
      </c>
      <c r="G4284" s="10">
        <f t="array" ref="G4284">index('Player ID'!C:C,match(E4284,'Player ID'!B:B,0))</f>
        <v>592779</v>
      </c>
    </row>
    <row r="4285">
      <c r="A4285" s="76">
        <v>45781.0</v>
      </c>
      <c r="B4285" s="1" t="s">
        <v>133</v>
      </c>
      <c r="C4285" s="1" t="s">
        <v>16</v>
      </c>
      <c r="D4285" s="1">
        <v>5.0</v>
      </c>
      <c r="E4285" s="1">
        <v>20099.0</v>
      </c>
      <c r="F4285" s="10">
        <f t="shared" si="1"/>
        <v>5</v>
      </c>
      <c r="G4285" s="10">
        <f t="array" ref="G4285">index('Player ID'!C:C,match(E4285,'Player ID'!B:B,0))</f>
        <v>663978</v>
      </c>
    </row>
    <row r="4286">
      <c r="A4286" s="76">
        <v>45781.0</v>
      </c>
      <c r="B4286" s="1" t="s">
        <v>250</v>
      </c>
      <c r="C4286" s="1" t="s">
        <v>22</v>
      </c>
      <c r="D4286" s="1">
        <v>2.0</v>
      </c>
      <c r="E4286" s="1">
        <v>20191.0</v>
      </c>
      <c r="F4286" s="10">
        <f t="shared" si="1"/>
        <v>2</v>
      </c>
      <c r="G4286" s="10">
        <f t="array" ref="G4286">index('Player ID'!C:C,match(E4286,'Player ID'!B:B,0))</f>
        <v>676477</v>
      </c>
    </row>
    <row r="4287">
      <c r="A4287" s="76">
        <v>45781.0</v>
      </c>
      <c r="B4287" s="1" t="s">
        <v>28</v>
      </c>
      <c r="C4287" s="1" t="s">
        <v>16</v>
      </c>
      <c r="D4287" s="1">
        <v>1.0</v>
      </c>
      <c r="E4287" s="1">
        <v>20253.0</v>
      </c>
      <c r="F4287" s="10">
        <f t="shared" si="1"/>
        <v>1</v>
      </c>
      <c r="G4287" s="10">
        <f t="array" ref="G4287">index('Player ID'!C:C,match(E4287,'Player ID'!B:B,0))</f>
        <v>643377</v>
      </c>
    </row>
    <row r="4288">
      <c r="A4288" s="76">
        <v>45781.0</v>
      </c>
      <c r="B4288" s="1" t="s">
        <v>122</v>
      </c>
      <c r="C4288" s="1" t="s">
        <v>16</v>
      </c>
      <c r="D4288" s="1">
        <v>1.0</v>
      </c>
      <c r="E4288" s="1">
        <v>21029.0</v>
      </c>
      <c r="F4288" s="10">
        <f t="shared" si="1"/>
        <v>1</v>
      </c>
      <c r="G4288" s="10">
        <f t="array" ref="G4288">index('Player ID'!C:C,match(E4288,'Player ID'!B:B,0))</f>
        <v>661395</v>
      </c>
    </row>
    <row r="4289">
      <c r="A4289" s="76">
        <v>45781.0</v>
      </c>
      <c r="B4289" s="1" t="s">
        <v>645</v>
      </c>
      <c r="C4289" s="1" t="s">
        <v>22</v>
      </c>
      <c r="D4289" s="1">
        <v>1.0</v>
      </c>
      <c r="E4289" s="1">
        <v>25648.0</v>
      </c>
      <c r="F4289" s="10">
        <f t="shared" si="1"/>
        <v>1</v>
      </c>
      <c r="G4289" s="10">
        <f t="array" ref="G4289">index('Player ID'!C:C,match(E4289,'Player ID'!B:B,0))</f>
        <v>686580</v>
      </c>
    </row>
    <row r="4290">
      <c r="A4290" s="76">
        <v>45781.0</v>
      </c>
      <c r="B4290" s="1" t="s">
        <v>100</v>
      </c>
      <c r="C4290" s="1" t="s">
        <v>22</v>
      </c>
      <c r="D4290" s="1">
        <v>5.0</v>
      </c>
      <c r="E4290" s="1">
        <v>27463.0</v>
      </c>
      <c r="F4290" s="10">
        <f t="shared" si="1"/>
        <v>5</v>
      </c>
      <c r="G4290" s="10">
        <f t="array" ref="G4290">index('Player ID'!C:C,match(E4290,'Player ID'!B:B,0))</f>
        <v>676979</v>
      </c>
    </row>
    <row r="4291">
      <c r="A4291" s="76">
        <v>45781.0</v>
      </c>
      <c r="B4291" s="1" t="s">
        <v>47</v>
      </c>
      <c r="C4291" s="1" t="s">
        <v>16</v>
      </c>
      <c r="D4291" s="1">
        <v>1.0</v>
      </c>
      <c r="E4291" s="1">
        <v>27691.0</v>
      </c>
      <c r="F4291" s="10">
        <f t="shared" si="1"/>
        <v>1</v>
      </c>
      <c r="G4291" s="10">
        <f t="array" ref="G4291">index('Player ID'!C:C,match(E4291,'Player ID'!B:B,0))</f>
        <v>686973</v>
      </c>
    </row>
    <row r="4292">
      <c r="A4292" s="76">
        <v>45781.0</v>
      </c>
      <c r="B4292" s="1" t="s">
        <v>324</v>
      </c>
      <c r="C4292" s="1" t="s">
        <v>58</v>
      </c>
      <c r="D4292" s="1">
        <v>3.0</v>
      </c>
      <c r="E4292" s="1">
        <v>6632.0</v>
      </c>
      <c r="F4292" s="10">
        <f t="shared" si="1"/>
        <v>3</v>
      </c>
      <c r="G4292" s="10">
        <f t="array" ref="G4292">index('Player ID'!C:C,match(E4292,'Player ID'!B:B,0))</f>
        <v>471911</v>
      </c>
    </row>
    <row r="4293">
      <c r="A4293" s="76">
        <v>45781.0</v>
      </c>
      <c r="B4293" s="1" t="s">
        <v>730</v>
      </c>
      <c r="C4293" s="1" t="s">
        <v>58</v>
      </c>
      <c r="D4293" s="1">
        <v>1.1</v>
      </c>
      <c r="E4293" s="1">
        <v>10058.0</v>
      </c>
      <c r="F4293" s="10">
        <f t="shared" si="1"/>
        <v>1.333333333</v>
      </c>
      <c r="G4293" s="10">
        <f t="array" ref="G4293">index('Player ID'!C:C,match(E4293,'Player ID'!B:B,0))</f>
        <v>554431</v>
      </c>
    </row>
    <row r="4294">
      <c r="A4294" s="76">
        <v>45781.0</v>
      </c>
      <c r="B4294" s="1" t="s">
        <v>261</v>
      </c>
      <c r="C4294" s="1" t="s">
        <v>54</v>
      </c>
      <c r="D4294" s="1">
        <v>1.0</v>
      </c>
      <c r="E4294" s="1">
        <v>17998.0</v>
      </c>
      <c r="F4294" s="10">
        <f t="shared" si="1"/>
        <v>1</v>
      </c>
      <c r="G4294" s="10">
        <f t="array" ref="G4294">index('Player ID'!C:C,match(E4294,'Player ID'!B:B,0))</f>
        <v>664126</v>
      </c>
    </row>
    <row r="4295">
      <c r="A4295" s="76">
        <v>45781.0</v>
      </c>
      <c r="B4295" s="1" t="s">
        <v>400</v>
      </c>
      <c r="C4295" s="1" t="s">
        <v>54</v>
      </c>
      <c r="D4295" s="1">
        <v>1.0</v>
      </c>
      <c r="E4295" s="1">
        <v>20539.0</v>
      </c>
      <c r="F4295" s="10">
        <f t="shared" si="1"/>
        <v>1</v>
      </c>
      <c r="G4295" s="10">
        <f t="array" ref="G4295">index('Player ID'!C:C,match(E4295,'Player ID'!B:B,0))</f>
        <v>670955</v>
      </c>
    </row>
    <row r="4296">
      <c r="A4296" s="76">
        <v>45781.0</v>
      </c>
      <c r="B4296" s="1" t="s">
        <v>705</v>
      </c>
      <c r="C4296" s="1" t="s">
        <v>54</v>
      </c>
      <c r="D4296" s="1">
        <v>1.0</v>
      </c>
      <c r="E4296" s="1">
        <v>20794.0</v>
      </c>
      <c r="F4296" s="10">
        <f t="shared" si="1"/>
        <v>1</v>
      </c>
      <c r="G4296" s="10">
        <f t="array" ref="G4296">index('Player ID'!C:C,match(E4296,'Player ID'!B:B,0))</f>
        <v>655889</v>
      </c>
    </row>
    <row r="4297">
      <c r="A4297" s="76">
        <v>45781.0</v>
      </c>
      <c r="B4297" s="1" t="s">
        <v>204</v>
      </c>
      <c r="C4297" s="1" t="s">
        <v>54</v>
      </c>
      <c r="D4297" s="1">
        <v>0.0</v>
      </c>
      <c r="E4297" s="1">
        <v>22288.0</v>
      </c>
      <c r="F4297" s="10">
        <f t="shared" si="1"/>
        <v>0</v>
      </c>
      <c r="G4297" s="10">
        <f t="array" ref="G4297">index('Player ID'!C:C,match(E4297,'Player ID'!B:B,0))</f>
        <v>669438</v>
      </c>
    </row>
    <row r="4298">
      <c r="A4298" s="76">
        <v>45781.0</v>
      </c>
      <c r="B4298" s="1" t="s">
        <v>413</v>
      </c>
      <c r="C4298" s="1" t="s">
        <v>54</v>
      </c>
      <c r="D4298" s="1">
        <v>5.1</v>
      </c>
      <c r="E4298" s="1">
        <v>22543.0</v>
      </c>
      <c r="F4298" s="10">
        <f t="shared" si="1"/>
        <v>5.333333333</v>
      </c>
      <c r="G4298" s="10">
        <f t="array" ref="G4298">index('Player ID'!C:C,match(E4298,'Player ID'!B:B,0))</f>
        <v>671737</v>
      </c>
    </row>
    <row r="4299">
      <c r="A4299" s="76">
        <v>45781.0</v>
      </c>
      <c r="B4299" s="1" t="s">
        <v>334</v>
      </c>
      <c r="C4299" s="1" t="s">
        <v>54</v>
      </c>
      <c r="D4299" s="1">
        <v>0.2</v>
      </c>
      <c r="E4299" s="1">
        <v>29770.0</v>
      </c>
      <c r="F4299" s="10">
        <f t="shared" si="1"/>
        <v>0.6666666667</v>
      </c>
      <c r="G4299" s="10">
        <f t="array" ref="G4299">index('Player ID'!C:C,match(E4299,'Player ID'!B:B,0))</f>
        <v>682254</v>
      </c>
    </row>
    <row r="4300">
      <c r="A4300" s="76">
        <v>45781.0</v>
      </c>
      <c r="B4300" s="1" t="s">
        <v>344</v>
      </c>
      <c r="C4300" s="1" t="s">
        <v>58</v>
      </c>
      <c r="D4300" s="1">
        <v>4.2</v>
      </c>
      <c r="E4300" s="1">
        <v>30182.0</v>
      </c>
      <c r="F4300" s="10">
        <f t="shared" si="1"/>
        <v>4.666666667</v>
      </c>
      <c r="G4300" s="10">
        <f t="array" ref="G4300">index('Player ID'!C:C,match(E4300,'Player ID'!B:B,0))</f>
        <v>701542</v>
      </c>
    </row>
    <row r="4301">
      <c r="A4301" s="76">
        <v>45781.0</v>
      </c>
      <c r="B4301" s="1" t="s">
        <v>811</v>
      </c>
      <c r="C4301" s="1" t="s">
        <v>40</v>
      </c>
      <c r="D4301" s="1">
        <v>1.0</v>
      </c>
      <c r="E4301" s="1">
        <v>17796.0</v>
      </c>
      <c r="F4301" s="10">
        <f t="shared" si="1"/>
        <v>1</v>
      </c>
      <c r="G4301" s="10">
        <f t="array" ref="G4301">index('Player ID'!C:C,match(E4301,'Player ID'!B:B,0))</f>
        <v>622253</v>
      </c>
    </row>
    <row r="4302">
      <c r="A4302" s="76">
        <v>45781.0</v>
      </c>
      <c r="B4302" s="1" t="s">
        <v>428</v>
      </c>
      <c r="C4302" s="1" t="s">
        <v>40</v>
      </c>
      <c r="D4302" s="1">
        <v>4.1</v>
      </c>
      <c r="E4302" s="1">
        <v>20548.0</v>
      </c>
      <c r="F4302" s="10">
        <f t="shared" si="1"/>
        <v>4.333333333</v>
      </c>
      <c r="G4302" s="10">
        <f t="array" ref="G4302">index('Player ID'!C:C,match(E4302,'Player ID'!B:B,0))</f>
        <v>670102</v>
      </c>
    </row>
    <row r="4303">
      <c r="A4303" s="76">
        <v>45781.0</v>
      </c>
      <c r="B4303" s="1" t="s">
        <v>132</v>
      </c>
      <c r="C4303" s="1" t="s">
        <v>70</v>
      </c>
      <c r="D4303" s="1">
        <v>1.0</v>
      </c>
      <c r="E4303" s="1">
        <v>21032.0</v>
      </c>
      <c r="F4303" s="10">
        <f t="shared" si="1"/>
        <v>1</v>
      </c>
      <c r="G4303" s="10">
        <f t="array" ref="G4303">index('Player ID'!C:C,match(E4303,'Player ID'!B:B,0))</f>
        <v>661403</v>
      </c>
    </row>
    <row r="4304">
      <c r="A4304" s="76">
        <v>45781.0</v>
      </c>
      <c r="B4304" s="1" t="s">
        <v>395</v>
      </c>
      <c r="C4304" s="1" t="s">
        <v>40</v>
      </c>
      <c r="D4304" s="1">
        <v>1.0</v>
      </c>
      <c r="E4304" s="1">
        <v>21574.0</v>
      </c>
      <c r="F4304" s="10">
        <f t="shared" si="1"/>
        <v>1</v>
      </c>
      <c r="G4304" s="10">
        <f t="array" ref="G4304">index('Player ID'!C:C,match(E4304,'Player ID'!B:B,0))</f>
        <v>663893</v>
      </c>
    </row>
    <row r="4305">
      <c r="A4305" s="76">
        <v>45781.0</v>
      </c>
      <c r="B4305" s="1" t="s">
        <v>709</v>
      </c>
      <c r="C4305" s="1" t="s">
        <v>40</v>
      </c>
      <c r="D4305" s="1">
        <v>1.1</v>
      </c>
      <c r="E4305" s="1">
        <v>23617.0</v>
      </c>
      <c r="F4305" s="10">
        <f t="shared" si="1"/>
        <v>1.333333333</v>
      </c>
      <c r="G4305" s="10">
        <f t="array" ref="G4305">index('Player ID'!C:C,match(E4305,'Player ID'!B:B,0))</f>
        <v>677020</v>
      </c>
    </row>
    <row r="4306">
      <c r="A4306" s="76">
        <v>45781.0</v>
      </c>
      <c r="B4306" s="1" t="s">
        <v>519</v>
      </c>
      <c r="C4306" s="1" t="s">
        <v>70</v>
      </c>
      <c r="D4306" s="1">
        <v>1.0</v>
      </c>
      <c r="E4306" s="1">
        <v>25139.0</v>
      </c>
      <c r="F4306" s="10">
        <f t="shared" si="1"/>
        <v>1</v>
      </c>
      <c r="G4306" s="10">
        <f t="array" ref="G4306">index('Player ID'!C:C,match(E4306,'Player ID'!B:B,0))</f>
        <v>682120</v>
      </c>
    </row>
    <row r="4307">
      <c r="A4307" s="76">
        <v>45781.0</v>
      </c>
      <c r="B4307" s="1" t="s">
        <v>238</v>
      </c>
      <c r="C4307" s="1" t="s">
        <v>70</v>
      </c>
      <c r="D4307" s="1">
        <v>1.0</v>
      </c>
      <c r="E4307" s="1">
        <v>25636.0</v>
      </c>
      <c r="F4307" s="10">
        <f t="shared" si="1"/>
        <v>1</v>
      </c>
      <c r="G4307" s="10">
        <f t="array" ref="G4307">index('Player ID'!C:C,match(E4307,'Player ID'!B:B,0))</f>
        <v>683769</v>
      </c>
    </row>
    <row r="4308">
      <c r="A4308" s="76">
        <v>45781.0</v>
      </c>
      <c r="B4308" s="1" t="s">
        <v>135</v>
      </c>
      <c r="C4308" s="1" t="s">
        <v>70</v>
      </c>
      <c r="D4308" s="1">
        <v>1.0</v>
      </c>
      <c r="E4308" s="1">
        <v>27867.0</v>
      </c>
      <c r="F4308" s="10">
        <f t="shared" si="1"/>
        <v>1</v>
      </c>
      <c r="G4308" s="10">
        <f t="array" ref="G4308">index('Player ID'!C:C,match(E4308,'Player ID'!B:B,0))</f>
        <v>671922</v>
      </c>
    </row>
    <row r="4309">
      <c r="A4309" s="76">
        <v>45781.0</v>
      </c>
      <c r="B4309" s="1" t="s">
        <v>308</v>
      </c>
      <c r="C4309" s="1" t="s">
        <v>70</v>
      </c>
      <c r="D4309" s="1">
        <v>5.0</v>
      </c>
      <c r="E4309" s="1">
        <v>30134.0</v>
      </c>
      <c r="F4309" s="10">
        <f t="shared" si="1"/>
        <v>5</v>
      </c>
      <c r="G4309" s="10">
        <f t="array" ref="G4309">index('Player ID'!C:C,match(E4309,'Player ID'!B:B,0))</f>
        <v>676440</v>
      </c>
    </row>
    <row r="4310">
      <c r="A4310" s="76">
        <v>45781.0</v>
      </c>
      <c r="B4310" s="1" t="s">
        <v>427</v>
      </c>
      <c r="C4310" s="1" t="s">
        <v>40</v>
      </c>
      <c r="D4310" s="1">
        <v>1.1</v>
      </c>
      <c r="E4310" s="1">
        <v>33838.0</v>
      </c>
      <c r="F4310" s="10">
        <f t="shared" si="1"/>
        <v>1.333333333</v>
      </c>
      <c r="G4310" s="10">
        <f t="array" ref="G4310">index('Player ID'!C:C,match(E4310,'Player ID'!B:B,0))</f>
        <v>684320</v>
      </c>
    </row>
    <row r="4311">
      <c r="A4311" s="76">
        <v>45781.0</v>
      </c>
      <c r="B4311" s="1" t="s">
        <v>661</v>
      </c>
      <c r="C4311" s="1" t="s">
        <v>36</v>
      </c>
      <c r="D4311" s="1">
        <v>1.0</v>
      </c>
      <c r="E4311" s="1">
        <v>16300.0</v>
      </c>
      <c r="F4311" s="10">
        <f t="shared" si="1"/>
        <v>1</v>
      </c>
      <c r="G4311" s="10">
        <f t="array" ref="G4311">index('Player ID'!C:C,match(E4311,'Player ID'!B:B,0))</f>
        <v>622786</v>
      </c>
    </row>
    <row r="4312">
      <c r="A4312" s="76">
        <v>45781.0</v>
      </c>
      <c r="B4312" s="1" t="s">
        <v>505</v>
      </c>
      <c r="C4312" s="1" t="s">
        <v>52</v>
      </c>
      <c r="D4312" s="1">
        <v>1.0</v>
      </c>
      <c r="E4312" s="1">
        <v>19481.0</v>
      </c>
      <c r="F4312" s="10">
        <f t="shared" si="1"/>
        <v>1</v>
      </c>
      <c r="G4312" s="10">
        <f t="array" ref="G4312">index('Player ID'!C:C,match(E4312,'Player ID'!B:B,0))</f>
        <v>621053</v>
      </c>
    </row>
    <row r="4313">
      <c r="A4313" s="76">
        <v>45781.0</v>
      </c>
      <c r="B4313" s="1" t="s">
        <v>89</v>
      </c>
      <c r="C4313" s="1" t="s">
        <v>36</v>
      </c>
      <c r="D4313" s="1">
        <v>1.0</v>
      </c>
      <c r="E4313" s="1">
        <v>19742.0</v>
      </c>
      <c r="F4313" s="10">
        <f t="shared" si="1"/>
        <v>1</v>
      </c>
      <c r="G4313" s="10">
        <f t="array" ref="G4313">index('Player ID'!C:C,match(E4313,'Player ID'!B:B,0))</f>
        <v>669622</v>
      </c>
    </row>
    <row r="4314">
      <c r="A4314" s="76">
        <v>45781.0</v>
      </c>
      <c r="B4314" s="1" t="s">
        <v>262</v>
      </c>
      <c r="C4314" s="1" t="s">
        <v>36</v>
      </c>
      <c r="D4314" s="1">
        <v>1.0</v>
      </c>
      <c r="E4314" s="1">
        <v>20116.0</v>
      </c>
      <c r="F4314" s="10">
        <f t="shared" si="1"/>
        <v>1</v>
      </c>
      <c r="G4314" s="10">
        <f t="array" ref="G4314">index('Player ID'!C:C,match(E4314,'Player ID'!B:B,0))</f>
        <v>676534</v>
      </c>
    </row>
    <row r="4315">
      <c r="A4315" s="76">
        <v>45781.0</v>
      </c>
      <c r="B4315" s="1" t="s">
        <v>171</v>
      </c>
      <c r="C4315" s="1" t="s">
        <v>36</v>
      </c>
      <c r="D4315" s="1">
        <v>5.2</v>
      </c>
      <c r="E4315" s="1">
        <v>21690.0</v>
      </c>
      <c r="F4315" s="10">
        <f t="shared" si="1"/>
        <v>5.666666667</v>
      </c>
      <c r="G4315" s="10">
        <f t="array" ref="G4315">index('Player ID'!C:C,match(E4315,'Player ID'!B:B,0))</f>
        <v>665795</v>
      </c>
    </row>
    <row r="4316">
      <c r="A4316" s="76">
        <v>45781.0</v>
      </c>
      <c r="B4316" s="1" t="s">
        <v>251</v>
      </c>
      <c r="C4316" s="1" t="s">
        <v>52</v>
      </c>
      <c r="D4316" s="1">
        <v>6.1</v>
      </c>
      <c r="E4316" s="1">
        <v>23429.0</v>
      </c>
      <c r="F4316" s="10">
        <f t="shared" si="1"/>
        <v>6.333333333</v>
      </c>
      <c r="G4316" s="10">
        <f t="array" ref="G4316">index('Player ID'!C:C,match(E4316,'Player ID'!B:B,0))</f>
        <v>676664</v>
      </c>
    </row>
    <row r="4317">
      <c r="A4317" s="76">
        <v>45781.0</v>
      </c>
      <c r="B4317" s="1" t="s">
        <v>676</v>
      </c>
      <c r="C4317" s="1" t="s">
        <v>36</v>
      </c>
      <c r="D4317" s="1">
        <v>0.1</v>
      </c>
      <c r="E4317" s="1">
        <v>27453.0</v>
      </c>
      <c r="F4317" s="10">
        <f t="shared" si="1"/>
        <v>0.3333333333</v>
      </c>
      <c r="G4317" s="10">
        <f t="array" ref="G4317">index('Player ID'!C:C,match(E4317,'Player ID'!B:B,0))</f>
        <v>685107</v>
      </c>
    </row>
    <row r="4318">
      <c r="A4318" s="76">
        <v>45781.0</v>
      </c>
      <c r="B4318" s="1" t="s">
        <v>127</v>
      </c>
      <c r="C4318" s="1" t="s">
        <v>52</v>
      </c>
      <c r="D4318" s="1">
        <v>1.2</v>
      </c>
      <c r="E4318" s="1">
        <v>27707.0</v>
      </c>
      <c r="F4318" s="10">
        <f t="shared" si="1"/>
        <v>1.666666667</v>
      </c>
      <c r="G4318" s="10">
        <f t="array" ref="G4318">index('Player ID'!C:C,match(E4318,'Player ID'!B:B,0))</f>
        <v>687765</v>
      </c>
    </row>
    <row r="4319">
      <c r="A4319" s="76">
        <v>45781.0</v>
      </c>
      <c r="B4319" s="1" t="s">
        <v>103</v>
      </c>
      <c r="C4319" s="1" t="s">
        <v>64</v>
      </c>
      <c r="D4319" s="1">
        <v>1.0</v>
      </c>
      <c r="E4319" s="1">
        <v>10197.0</v>
      </c>
      <c r="F4319" s="10">
        <f t="shared" si="1"/>
        <v>1</v>
      </c>
      <c r="G4319" s="10">
        <f t="array" ref="G4319">index('Player ID'!C:C,match(E4319,'Player ID'!B:B,0))</f>
        <v>571946</v>
      </c>
    </row>
    <row r="4320">
      <c r="A4320" s="76">
        <v>45781.0</v>
      </c>
      <c r="B4320" s="1" t="s">
        <v>360</v>
      </c>
      <c r="C4320" s="1" t="s">
        <v>45</v>
      </c>
      <c r="D4320" s="1">
        <v>1.0</v>
      </c>
      <c r="E4320" s="1">
        <v>12972.0</v>
      </c>
      <c r="F4320" s="10">
        <f t="shared" si="1"/>
        <v>1</v>
      </c>
      <c r="G4320" s="10">
        <f t="array" ref="G4320">index('Player ID'!C:C,match(E4320,'Player ID'!B:B,0))</f>
        <v>605452</v>
      </c>
    </row>
    <row r="4321">
      <c r="A4321" s="76">
        <v>45781.0</v>
      </c>
      <c r="B4321" s="1" t="s">
        <v>368</v>
      </c>
      <c r="C4321" s="1" t="s">
        <v>64</v>
      </c>
      <c r="D4321" s="1">
        <v>5.1</v>
      </c>
      <c r="E4321" s="1">
        <v>13164.0</v>
      </c>
      <c r="F4321" s="10">
        <f t="shared" si="1"/>
        <v>5.333333333</v>
      </c>
      <c r="G4321" s="10">
        <f t="array" ref="G4321">index('Player ID'!C:C,match(E4321,'Player ID'!B:B,0))</f>
        <v>593958</v>
      </c>
    </row>
    <row r="4322">
      <c r="A4322" s="76">
        <v>45781.0</v>
      </c>
      <c r="B4322" s="1" t="s">
        <v>182</v>
      </c>
      <c r="C4322" s="1" t="s">
        <v>45</v>
      </c>
      <c r="D4322" s="1">
        <v>1.0</v>
      </c>
      <c r="E4322" s="1">
        <v>13799.0</v>
      </c>
      <c r="F4322" s="10">
        <f t="shared" si="1"/>
        <v>1</v>
      </c>
      <c r="G4322" s="10">
        <f t="array" ref="G4322">index('Player ID'!C:C,match(E4322,'Player ID'!B:B,0))</f>
        <v>621381</v>
      </c>
    </row>
    <row r="4323">
      <c r="A4323" s="76">
        <v>45781.0</v>
      </c>
      <c r="B4323" s="1" t="s">
        <v>208</v>
      </c>
      <c r="C4323" s="1" t="s">
        <v>45</v>
      </c>
      <c r="D4323" s="1">
        <v>1.0</v>
      </c>
      <c r="E4323" s="1">
        <v>16122.0</v>
      </c>
      <c r="F4323" s="10">
        <f t="shared" si="1"/>
        <v>1</v>
      </c>
      <c r="G4323" s="10">
        <f t="array" ref="G4323">index('Player ID'!C:C,match(E4323,'Player ID'!B:B,0))</f>
        <v>605447</v>
      </c>
    </row>
    <row r="4324">
      <c r="A4324" s="76">
        <v>45781.0</v>
      </c>
      <c r="B4324" s="1" t="s">
        <v>219</v>
      </c>
      <c r="C4324" s="1" t="s">
        <v>64</v>
      </c>
      <c r="D4324" s="1">
        <v>1.0</v>
      </c>
      <c r="E4324" s="1">
        <v>16647.0</v>
      </c>
      <c r="F4324" s="10">
        <f t="shared" si="1"/>
        <v>1</v>
      </c>
      <c r="G4324" s="10">
        <f t="array" ref="G4324">index('Player ID'!C:C,match(E4324,'Player ID'!B:B,0))</f>
        <v>657044</v>
      </c>
    </row>
    <row r="4325">
      <c r="A4325" s="76">
        <v>45781.0</v>
      </c>
      <c r="B4325" s="1" t="s">
        <v>489</v>
      </c>
      <c r="C4325" s="1" t="s">
        <v>64</v>
      </c>
      <c r="D4325" s="1">
        <v>1.0</v>
      </c>
      <c r="E4325" s="1">
        <v>17192.0</v>
      </c>
      <c r="F4325" s="10">
        <f t="shared" si="1"/>
        <v>1</v>
      </c>
      <c r="G4325" s="10">
        <f t="array" ref="G4325">index('Player ID'!C:C,match(E4325,'Player ID'!B:B,0))</f>
        <v>656222</v>
      </c>
    </row>
    <row r="4326">
      <c r="A4326" s="76">
        <v>45781.0</v>
      </c>
      <c r="B4326" s="1" t="s">
        <v>827</v>
      </c>
      <c r="C4326" s="1" t="s">
        <v>45</v>
      </c>
      <c r="D4326" s="1">
        <v>3.2</v>
      </c>
      <c r="E4326" s="1">
        <v>17277.0</v>
      </c>
      <c r="F4326" s="10">
        <f t="shared" si="1"/>
        <v>3.666666667</v>
      </c>
      <c r="G4326" s="10">
        <f t="array" ref="G4326">index('Player ID'!C:C,match(E4326,'Player ID'!B:B,0))</f>
        <v>624133</v>
      </c>
    </row>
    <row r="4327">
      <c r="A4327" s="76">
        <v>45781.0</v>
      </c>
      <c r="B4327" s="1" t="s">
        <v>643</v>
      </c>
      <c r="C4327" s="1" t="s">
        <v>45</v>
      </c>
      <c r="D4327" s="1">
        <v>1.1</v>
      </c>
      <c r="E4327" s="1">
        <v>17780.0</v>
      </c>
      <c r="F4327" s="10">
        <f t="shared" si="1"/>
        <v>1.333333333</v>
      </c>
      <c r="G4327" s="10">
        <f t="array" ref="G4327">index('Player ID'!C:C,match(E4327,'Player ID'!B:B,0))</f>
        <v>621237</v>
      </c>
    </row>
    <row r="4328">
      <c r="A4328" s="76">
        <v>45781.0</v>
      </c>
      <c r="B4328" s="1" t="s">
        <v>823</v>
      </c>
      <c r="C4328" s="1" t="s">
        <v>64</v>
      </c>
      <c r="D4328" s="1">
        <v>1.0</v>
      </c>
      <c r="E4328" s="1">
        <v>19876.0</v>
      </c>
      <c r="F4328" s="10">
        <f t="shared" si="1"/>
        <v>1</v>
      </c>
      <c r="G4328" s="10">
        <f t="array" ref="G4328">index('Player ID'!C:C,match(E4328,'Player ID'!B:B,0))</f>
        <v>656464</v>
      </c>
    </row>
    <row r="4329">
      <c r="A4329" s="76">
        <v>45781.0</v>
      </c>
      <c r="B4329" s="1" t="s">
        <v>370</v>
      </c>
      <c r="C4329" s="1" t="s">
        <v>64</v>
      </c>
      <c r="D4329" s="1">
        <v>0.2</v>
      </c>
      <c r="E4329" s="1">
        <v>21924.0</v>
      </c>
      <c r="F4329" s="10">
        <f t="shared" si="1"/>
        <v>0.6666666667</v>
      </c>
      <c r="G4329" s="10">
        <f t="array" ref="G4329">index('Player ID'!C:C,match(E4329,'Player ID'!B:B,0))</f>
        <v>666661</v>
      </c>
    </row>
    <row r="4330">
      <c r="A4330" s="76">
        <v>45781.0</v>
      </c>
      <c r="B4330" s="1" t="s">
        <v>701</v>
      </c>
      <c r="C4330" s="1" t="s">
        <v>45</v>
      </c>
      <c r="D4330" s="1">
        <v>0.2</v>
      </c>
      <c r="E4330" s="1">
        <v>22713.0</v>
      </c>
      <c r="F4330" s="10">
        <f t="shared" si="1"/>
        <v>0.6666666667</v>
      </c>
      <c r="G4330" s="10">
        <f t="array" ref="G4330">index('Player ID'!C:C,match(E4330,'Player ID'!B:B,0))</f>
        <v>672578</v>
      </c>
    </row>
    <row r="4331">
      <c r="A4331" s="76">
        <v>45781.0</v>
      </c>
      <c r="B4331" s="1" t="s">
        <v>165</v>
      </c>
      <c r="C4331" s="1" t="s">
        <v>45</v>
      </c>
      <c r="D4331" s="1">
        <v>1.1</v>
      </c>
      <c r="E4331" s="1">
        <v>31776.0</v>
      </c>
      <c r="F4331" s="10">
        <f t="shared" si="1"/>
        <v>1.333333333</v>
      </c>
      <c r="G4331" s="10">
        <f t="array" ref="G4331">index('Player ID'!C:C,match(E4331,'Player ID'!B:B,0))</f>
        <v>689147</v>
      </c>
    </row>
    <row r="4332">
      <c r="A4332" s="76">
        <v>45781.0</v>
      </c>
      <c r="B4332" s="1" t="s">
        <v>38</v>
      </c>
      <c r="C4332" s="1" t="s">
        <v>39</v>
      </c>
      <c r="D4332" s="1">
        <v>1.0</v>
      </c>
      <c r="E4332" s="1">
        <v>13580.0</v>
      </c>
      <c r="F4332" s="10">
        <f t="shared" si="1"/>
        <v>1</v>
      </c>
      <c r="G4332" s="10">
        <f t="array" ref="G4332">index('Player ID'!C:C,match(E4332,'Player ID'!B:B,0))</f>
        <v>595345</v>
      </c>
    </row>
    <row r="4333">
      <c r="A4333" s="76">
        <v>45781.0</v>
      </c>
      <c r="B4333" s="1" t="s">
        <v>447</v>
      </c>
      <c r="C4333" s="1" t="s">
        <v>39</v>
      </c>
      <c r="D4333" s="1">
        <v>0.1</v>
      </c>
      <c r="E4333" s="1">
        <v>13652.0</v>
      </c>
      <c r="F4333" s="10">
        <f t="shared" si="1"/>
        <v>0.3333333333</v>
      </c>
      <c r="G4333" s="10">
        <f t="array" ref="G4333">index('Player ID'!C:C,match(E4333,'Player ID'!B:B,0))</f>
        <v>605463</v>
      </c>
    </row>
    <row r="4334">
      <c r="A4334" s="76">
        <v>45781.0</v>
      </c>
      <c r="B4334" s="1" t="s">
        <v>394</v>
      </c>
      <c r="C4334" s="1" t="s">
        <v>39</v>
      </c>
      <c r="D4334" s="1">
        <v>3.2</v>
      </c>
      <c r="E4334" s="1">
        <v>14120.0</v>
      </c>
      <c r="F4334" s="10">
        <f t="shared" si="1"/>
        <v>3.666666667</v>
      </c>
      <c r="G4334" s="10">
        <f t="array" ref="G4334">index('Player ID'!C:C,match(E4334,'Player ID'!B:B,0))</f>
        <v>621121</v>
      </c>
    </row>
    <row r="4335">
      <c r="A4335" s="76">
        <v>45781.0</v>
      </c>
      <c r="B4335" s="1" t="s">
        <v>387</v>
      </c>
      <c r="C4335" s="1" t="s">
        <v>78</v>
      </c>
      <c r="D4335" s="1">
        <v>4.2</v>
      </c>
      <c r="E4335" s="1">
        <v>19990.0</v>
      </c>
      <c r="F4335" s="10">
        <f t="shared" si="1"/>
        <v>4.666666667</v>
      </c>
      <c r="G4335" s="10">
        <f t="array" ref="G4335">index('Player ID'!C:C,match(E4335,'Player ID'!B:B,0))</f>
        <v>669060</v>
      </c>
    </row>
    <row r="4336">
      <c r="A4336" s="76">
        <v>45781.0</v>
      </c>
      <c r="B4336" s="1" t="s">
        <v>359</v>
      </c>
      <c r="C4336" s="1" t="s">
        <v>39</v>
      </c>
      <c r="D4336" s="1">
        <v>0.1</v>
      </c>
      <c r="E4336" s="1">
        <v>20061.0</v>
      </c>
      <c r="F4336" s="10">
        <f t="shared" si="1"/>
        <v>0.3333333333</v>
      </c>
      <c r="G4336" s="10">
        <f t="array" ref="G4336">index('Player ID'!C:C,match(E4336,'Player ID'!B:B,0))</f>
        <v>672391</v>
      </c>
    </row>
    <row r="4337">
      <c r="A4337" s="76">
        <v>45781.0</v>
      </c>
      <c r="B4337" s="1" t="s">
        <v>228</v>
      </c>
      <c r="C4337" s="1" t="s">
        <v>39</v>
      </c>
      <c r="D4337" s="1">
        <v>0.2</v>
      </c>
      <c r="E4337" s="1">
        <v>26440.0</v>
      </c>
      <c r="F4337" s="10">
        <f t="shared" si="1"/>
        <v>0.6666666667</v>
      </c>
      <c r="G4337" s="10">
        <f t="array" ref="G4337">index('Player ID'!C:C,match(E4337,'Player ID'!B:B,0))</f>
        <v>687473</v>
      </c>
    </row>
    <row r="4338">
      <c r="A4338" s="76">
        <v>45781.0</v>
      </c>
      <c r="B4338" s="1" t="s">
        <v>497</v>
      </c>
      <c r="C4338" s="1" t="s">
        <v>78</v>
      </c>
      <c r="D4338" s="1">
        <v>2.1</v>
      </c>
      <c r="E4338" s="1">
        <v>30105.0</v>
      </c>
      <c r="F4338" s="10">
        <f t="shared" si="1"/>
        <v>2.333333333</v>
      </c>
      <c r="G4338" s="10">
        <f t="array" ref="G4338">index('Player ID'!C:C,match(E4338,'Player ID'!B:B,0))</f>
        <v>678024</v>
      </c>
    </row>
    <row r="4339">
      <c r="A4339" s="76">
        <v>45781.0</v>
      </c>
      <c r="B4339" s="1" t="s">
        <v>203</v>
      </c>
      <c r="C4339" s="1" t="s">
        <v>34</v>
      </c>
      <c r="D4339" s="1">
        <v>1.0</v>
      </c>
      <c r="E4339" s="1">
        <v>11426.0</v>
      </c>
      <c r="F4339" s="10">
        <f t="shared" si="1"/>
        <v>1</v>
      </c>
      <c r="G4339" s="10">
        <f t="array" ref="G4339">index('Player ID'!C:C,match(E4339,'Player ID'!B:B,0))</f>
        <v>519141</v>
      </c>
    </row>
    <row r="4340">
      <c r="A4340" s="76">
        <v>45781.0</v>
      </c>
      <c r="B4340" s="1" t="s">
        <v>632</v>
      </c>
      <c r="C4340" s="1" t="s">
        <v>34</v>
      </c>
      <c r="D4340" s="1">
        <v>0.1</v>
      </c>
      <c r="E4340" s="1">
        <v>16703.0</v>
      </c>
      <c r="F4340" s="10">
        <f t="shared" si="1"/>
        <v>0.3333333333</v>
      </c>
      <c r="G4340" s="10">
        <f t="array" ref="G4340">index('Player ID'!C:C,match(E4340,'Player ID'!B:B,0))</f>
        <v>657240</v>
      </c>
    </row>
    <row r="4341">
      <c r="A4341" s="76">
        <v>45781.0</v>
      </c>
      <c r="B4341" s="1" t="s">
        <v>13</v>
      </c>
      <c r="C4341" s="1" t="s">
        <v>14</v>
      </c>
      <c r="D4341" s="1">
        <v>1.0</v>
      </c>
      <c r="E4341" s="1">
        <v>17722.0</v>
      </c>
      <c r="F4341" s="10">
        <f t="shared" si="1"/>
        <v>1</v>
      </c>
      <c r="G4341" s="10">
        <f t="array" ref="G4341">index('Player ID'!C:C,match(E4341,'Player ID'!B:B,0))</f>
        <v>656730</v>
      </c>
    </row>
    <row r="4342">
      <c r="A4342" s="76">
        <v>45781.0</v>
      </c>
      <c r="B4342" s="1" t="s">
        <v>180</v>
      </c>
      <c r="C4342" s="1" t="s">
        <v>14</v>
      </c>
      <c r="D4342" s="1">
        <v>6.0</v>
      </c>
      <c r="E4342" s="1">
        <v>18679.0</v>
      </c>
      <c r="F4342" s="10">
        <f t="shared" si="1"/>
        <v>6</v>
      </c>
      <c r="G4342" s="10">
        <f t="array" ref="G4342">index('Player ID'!C:C,match(E4342,'Player ID'!B:B,0))</f>
        <v>642547</v>
      </c>
    </row>
    <row r="4343">
      <c r="A4343" s="76">
        <v>45781.0</v>
      </c>
      <c r="B4343" s="1" t="s">
        <v>279</v>
      </c>
      <c r="C4343" s="1" t="s">
        <v>14</v>
      </c>
      <c r="D4343" s="1">
        <v>1.0</v>
      </c>
      <c r="E4343" s="1">
        <v>25327.0</v>
      </c>
      <c r="F4343" s="10">
        <f t="shared" si="1"/>
        <v>1</v>
      </c>
      <c r="G4343" s="10">
        <f t="array" ref="G4343">index('Player ID'!C:C,match(E4343,'Player ID'!B:B,0))</f>
        <v>682842</v>
      </c>
    </row>
    <row r="4344">
      <c r="A4344" s="76">
        <v>45781.0</v>
      </c>
      <c r="B4344" s="1" t="s">
        <v>418</v>
      </c>
      <c r="C4344" s="1" t="s">
        <v>14</v>
      </c>
      <c r="D4344" s="1">
        <v>1.0</v>
      </c>
      <c r="E4344" s="1">
        <v>27517.0</v>
      </c>
      <c r="F4344" s="10">
        <f t="shared" si="1"/>
        <v>1</v>
      </c>
      <c r="G4344" s="10">
        <f t="array" ref="G4344">index('Player ID'!C:C,match(E4344,'Player ID'!B:B,0))</f>
        <v>657649</v>
      </c>
    </row>
    <row r="4345">
      <c r="A4345" s="76">
        <v>45781.0</v>
      </c>
      <c r="B4345" s="1" t="s">
        <v>167</v>
      </c>
      <c r="C4345" s="1" t="s">
        <v>34</v>
      </c>
      <c r="D4345" s="1">
        <v>1.0</v>
      </c>
      <c r="E4345" s="1">
        <v>27914.0</v>
      </c>
      <c r="F4345" s="10">
        <f t="shared" si="1"/>
        <v>1</v>
      </c>
      <c r="G4345" s="10">
        <f t="array" ref="G4345">index('Player ID'!C:C,match(E4345,'Player ID'!B:B,0))</f>
        <v>694037</v>
      </c>
    </row>
    <row r="4346">
      <c r="A4346" s="76">
        <v>45781.0</v>
      </c>
      <c r="B4346" s="1" t="s">
        <v>67</v>
      </c>
      <c r="C4346" s="1" t="s">
        <v>34</v>
      </c>
      <c r="D4346" s="1">
        <v>5.2</v>
      </c>
      <c r="E4346" s="1">
        <v>33829.0</v>
      </c>
      <c r="F4346" s="10">
        <f t="shared" si="1"/>
        <v>5.666666667</v>
      </c>
      <c r="G4346" s="10">
        <f t="array" ref="G4346">index('Player ID'!C:C,match(E4346,'Player ID'!B:B,0))</f>
        <v>684007</v>
      </c>
    </row>
    <row r="4347">
      <c r="A4347" s="76">
        <v>45781.0</v>
      </c>
      <c r="B4347" s="1" t="s">
        <v>679</v>
      </c>
      <c r="C4347" s="1" t="s">
        <v>51</v>
      </c>
      <c r="D4347" s="1">
        <v>1.0</v>
      </c>
      <c r="E4347" s="1">
        <v>14710.0</v>
      </c>
      <c r="F4347" s="10">
        <f t="shared" si="1"/>
        <v>1</v>
      </c>
      <c r="G4347" s="10">
        <f t="array" ref="G4347">index('Player ID'!C:C,match(E4347,'Player ID'!B:B,0))</f>
        <v>621242</v>
      </c>
    </row>
    <row r="4348">
      <c r="A4348" s="76">
        <v>45781.0</v>
      </c>
      <c r="B4348" s="1" t="s">
        <v>292</v>
      </c>
      <c r="C4348" s="1" t="s">
        <v>51</v>
      </c>
      <c r="D4348" s="1">
        <v>1.0</v>
      </c>
      <c r="E4348" s="1">
        <v>15947.0</v>
      </c>
      <c r="F4348" s="10">
        <f t="shared" si="1"/>
        <v>1</v>
      </c>
      <c r="G4348" s="10">
        <f t="array" ref="G4348">index('Player ID'!C:C,match(E4348,'Player ID'!B:B,0))</f>
        <v>592773</v>
      </c>
    </row>
    <row r="4349">
      <c r="A4349" s="76">
        <v>45781.0</v>
      </c>
      <c r="B4349" s="1" t="s">
        <v>386</v>
      </c>
      <c r="C4349" s="1" t="s">
        <v>51</v>
      </c>
      <c r="D4349" s="1">
        <v>5.0</v>
      </c>
      <c r="E4349" s="1">
        <v>21318.0</v>
      </c>
      <c r="F4349" s="10">
        <f t="shared" si="1"/>
        <v>5</v>
      </c>
      <c r="G4349" s="10">
        <f t="array" ref="G4349">index('Player ID'!C:C,match(E4349,'Player ID'!B:B,0))</f>
        <v>656731</v>
      </c>
    </row>
    <row r="4350">
      <c r="A4350" s="76">
        <v>45781.0</v>
      </c>
      <c r="B4350" s="1" t="s">
        <v>50</v>
      </c>
      <c r="C4350" s="1" t="s">
        <v>51</v>
      </c>
      <c r="D4350" s="1">
        <v>1.0</v>
      </c>
      <c r="E4350" s="1">
        <v>22175.0</v>
      </c>
      <c r="F4350" s="10">
        <f t="shared" si="1"/>
        <v>1</v>
      </c>
      <c r="G4350" s="10">
        <f t="array" ref="G4350">index('Player ID'!C:C,match(E4350,'Player ID'!B:B,0))</f>
        <v>668820</v>
      </c>
    </row>
    <row r="4351">
      <c r="A4351" s="76">
        <v>45781.0</v>
      </c>
      <c r="B4351" s="1" t="s">
        <v>432</v>
      </c>
      <c r="C4351" s="1" t="s">
        <v>72</v>
      </c>
      <c r="D4351" s="1">
        <v>3.1</v>
      </c>
      <c r="E4351" s="1">
        <v>26108.0</v>
      </c>
      <c r="F4351" s="10">
        <f t="shared" si="1"/>
        <v>3.333333333</v>
      </c>
      <c r="G4351" s="10">
        <f t="array" ref="G4351">index('Player ID'!C:C,match(E4351,'Player ID'!B:B,0))</f>
        <v>669467</v>
      </c>
    </row>
    <row r="4352">
      <c r="A4352" s="76">
        <v>45781.0</v>
      </c>
      <c r="B4352" s="1" t="s">
        <v>145</v>
      </c>
      <c r="C4352" s="1" t="s">
        <v>72</v>
      </c>
      <c r="D4352" s="1">
        <v>5.2</v>
      </c>
      <c r="E4352" s="1">
        <v>29869.0</v>
      </c>
      <c r="F4352" s="10">
        <f t="shared" si="1"/>
        <v>5.666666667</v>
      </c>
      <c r="G4352" s="10">
        <f t="array" ref="G4352">index('Player ID'!C:C,match(E4352,'Player ID'!B:B,0))</f>
        <v>700241</v>
      </c>
    </row>
    <row r="4353">
      <c r="A4353" s="76">
        <v>45781.0</v>
      </c>
      <c r="B4353" s="1" t="s">
        <v>57</v>
      </c>
      <c r="C4353" s="1" t="s">
        <v>56</v>
      </c>
      <c r="D4353" s="1">
        <v>5.0</v>
      </c>
      <c r="E4353" s="1">
        <v>10954.0</v>
      </c>
      <c r="F4353" s="10">
        <f t="shared" si="1"/>
        <v>5</v>
      </c>
      <c r="G4353" s="10">
        <f t="array" ref="G4353">index('Player ID'!C:C,match(E4353,'Player ID'!B:B,0))</f>
        <v>594798</v>
      </c>
    </row>
    <row r="4354">
      <c r="A4354" s="76">
        <v>45781.0</v>
      </c>
      <c r="B4354" s="1" t="s">
        <v>162</v>
      </c>
      <c r="C4354" s="1" t="s">
        <v>56</v>
      </c>
      <c r="D4354" s="1">
        <v>1.0</v>
      </c>
      <c r="E4354" s="1">
        <v>11752.0</v>
      </c>
      <c r="F4354" s="10">
        <f t="shared" si="1"/>
        <v>1</v>
      </c>
      <c r="G4354" s="10">
        <f t="array" ref="G4354">index('Player ID'!C:C,match(E4354,'Player ID'!B:B,0))</f>
        <v>592426</v>
      </c>
    </row>
    <row r="4355">
      <c r="A4355" s="76">
        <v>45781.0</v>
      </c>
      <c r="B4355" s="1" t="s">
        <v>151</v>
      </c>
      <c r="C4355" s="1" t="s">
        <v>56</v>
      </c>
      <c r="D4355" s="1">
        <v>1.0</v>
      </c>
      <c r="E4355" s="1">
        <v>13346.0</v>
      </c>
      <c r="F4355" s="10">
        <f t="shared" si="1"/>
        <v>1</v>
      </c>
      <c r="G4355" s="10">
        <f t="array" ref="G4355">index('Player ID'!C:C,match(E4355,'Player ID'!B:B,0))</f>
        <v>571948</v>
      </c>
    </row>
    <row r="4356">
      <c r="A4356" s="76">
        <v>45781.0</v>
      </c>
      <c r="B4356" s="1" t="s">
        <v>87</v>
      </c>
      <c r="C4356" s="1" t="s">
        <v>56</v>
      </c>
      <c r="D4356" s="1">
        <v>2.0</v>
      </c>
      <c r="E4356" s="1">
        <v>19274.0</v>
      </c>
      <c r="F4356" s="10">
        <f t="shared" si="1"/>
        <v>2</v>
      </c>
      <c r="G4356" s="10">
        <f t="array" ref="G4356">index('Player ID'!C:C,match(E4356,'Player ID'!B:B,0))</f>
        <v>657097</v>
      </c>
    </row>
    <row r="4357">
      <c r="A4357" s="76">
        <v>45781.0</v>
      </c>
      <c r="B4357" s="1" t="s">
        <v>157</v>
      </c>
      <c r="C4357" s="1" t="s">
        <v>37</v>
      </c>
      <c r="D4357" s="1">
        <v>2.0</v>
      </c>
      <c r="E4357" s="1">
        <v>20997.0</v>
      </c>
      <c r="F4357" s="10">
        <f t="shared" si="1"/>
        <v>2</v>
      </c>
      <c r="G4357" s="10">
        <f t="array" ref="G4357">index('Player ID'!C:C,match(E4357,'Player ID'!B:B,0))</f>
        <v>660825</v>
      </c>
    </row>
    <row r="4358">
      <c r="A4358" s="76">
        <v>45781.0</v>
      </c>
      <c r="B4358" s="1" t="s">
        <v>340</v>
      </c>
      <c r="C4358" s="1" t="s">
        <v>37</v>
      </c>
      <c r="D4358" s="1">
        <v>1.0</v>
      </c>
      <c r="E4358" s="1">
        <v>25921.0</v>
      </c>
      <c r="F4358" s="10">
        <f t="shared" si="1"/>
        <v>1</v>
      </c>
      <c r="G4358" s="10">
        <f t="array" ref="G4358">index('Player ID'!C:C,match(E4358,'Player ID'!B:B,0))</f>
        <v>668984</v>
      </c>
    </row>
    <row r="4359">
      <c r="A4359" s="76">
        <v>45781.0</v>
      </c>
      <c r="B4359" s="1" t="s">
        <v>255</v>
      </c>
      <c r="C4359" s="1" t="s">
        <v>37</v>
      </c>
      <c r="D4359" s="1">
        <v>5.0</v>
      </c>
      <c r="E4359" s="1">
        <v>33699.0</v>
      </c>
      <c r="F4359" s="10">
        <f t="shared" si="1"/>
        <v>5</v>
      </c>
      <c r="G4359" s="10">
        <f t="array" ref="G4359">index('Player ID'!C:C,match(E4359,'Player ID'!B:B,0))</f>
        <v>688138</v>
      </c>
    </row>
    <row r="4360">
      <c r="A4360" s="76">
        <v>45781.0</v>
      </c>
      <c r="B4360" s="1" t="s">
        <v>746</v>
      </c>
      <c r="C4360" s="1" t="s">
        <v>75</v>
      </c>
      <c r="D4360" s="1">
        <v>4.1</v>
      </c>
      <c r="E4360" s="1">
        <v>15038.0</v>
      </c>
      <c r="F4360" s="10">
        <f t="shared" si="1"/>
        <v>4.333333333</v>
      </c>
      <c r="G4360" s="10">
        <f t="array" ref="G4360">index('Player ID'!C:C,match(E4360,'Player ID'!B:B,0))</f>
        <v>608566</v>
      </c>
    </row>
    <row r="4361">
      <c r="A4361" s="76">
        <v>45781.0</v>
      </c>
      <c r="B4361" s="1" t="s">
        <v>503</v>
      </c>
      <c r="C4361" s="1" t="s">
        <v>31</v>
      </c>
      <c r="D4361" s="1">
        <v>1.0</v>
      </c>
      <c r="E4361" s="1">
        <v>15043.0</v>
      </c>
      <c r="F4361" s="10">
        <f t="shared" si="1"/>
        <v>1</v>
      </c>
      <c r="G4361" s="10">
        <f t="array" ref="G4361">index('Player ID'!C:C,match(E4361,'Player ID'!B:B,0))</f>
        <v>642152</v>
      </c>
    </row>
    <row r="4362">
      <c r="A4362" s="76">
        <v>45781.0</v>
      </c>
      <c r="B4362" s="1" t="s">
        <v>77</v>
      </c>
      <c r="C4362" s="1" t="s">
        <v>31</v>
      </c>
      <c r="D4362" s="1">
        <v>7.0</v>
      </c>
      <c r="E4362" s="1">
        <v>17995.0</v>
      </c>
      <c r="F4362" s="10">
        <f t="shared" si="1"/>
        <v>7</v>
      </c>
      <c r="G4362" s="10">
        <f t="array" ref="G4362">index('Player ID'!C:C,match(E4362,'Player ID'!B:B,0))</f>
        <v>657277</v>
      </c>
    </row>
    <row r="4363">
      <c r="A4363" s="76">
        <v>45781.0</v>
      </c>
      <c r="B4363" s="1" t="s">
        <v>288</v>
      </c>
      <c r="C4363" s="1" t="s">
        <v>75</v>
      </c>
      <c r="D4363" s="1">
        <v>0.2</v>
      </c>
      <c r="E4363" s="1">
        <v>18297.0</v>
      </c>
      <c r="F4363" s="10">
        <f t="shared" si="1"/>
        <v>0.6666666667</v>
      </c>
      <c r="G4363" s="10">
        <f t="array" ref="G4363">index('Player ID'!C:C,match(E4363,'Player ID'!B:B,0))</f>
        <v>641755</v>
      </c>
    </row>
    <row r="4364">
      <c r="A4364" s="76">
        <v>45781.0</v>
      </c>
      <c r="B4364" s="1" t="s">
        <v>468</v>
      </c>
      <c r="C4364" s="1" t="s">
        <v>75</v>
      </c>
      <c r="D4364" s="1">
        <v>1.0</v>
      </c>
      <c r="E4364" s="1">
        <v>23237.0</v>
      </c>
      <c r="F4364" s="10">
        <f t="shared" si="1"/>
        <v>1</v>
      </c>
      <c r="G4364" s="10">
        <f t="array" ref="G4364">index('Player ID'!C:C,match(E4364,'Player ID'!B:B,0))</f>
        <v>675848</v>
      </c>
    </row>
    <row r="4365">
      <c r="A4365" s="76">
        <v>45781.0</v>
      </c>
      <c r="B4365" s="1" t="s">
        <v>486</v>
      </c>
      <c r="C4365" s="1" t="s">
        <v>75</v>
      </c>
      <c r="D4365" s="1">
        <v>1.2</v>
      </c>
      <c r="E4365" s="1">
        <v>26790.0</v>
      </c>
      <c r="F4365" s="10">
        <f t="shared" si="1"/>
        <v>1.666666667</v>
      </c>
      <c r="G4365" s="10">
        <f t="array" ref="G4365">index('Player ID'!C:C,match(E4365,'Player ID'!B:B,0))</f>
        <v>683409</v>
      </c>
    </row>
    <row r="4366">
      <c r="A4366" s="76">
        <v>45781.0</v>
      </c>
      <c r="B4366" s="1" t="s">
        <v>276</v>
      </c>
      <c r="C4366" s="1" t="s">
        <v>31</v>
      </c>
      <c r="D4366" s="1">
        <v>1.0</v>
      </c>
      <c r="E4366" s="1">
        <v>30226.0</v>
      </c>
      <c r="F4366" s="10">
        <f t="shared" si="1"/>
        <v>1</v>
      </c>
      <c r="G4366" s="10">
        <f t="array" ref="G4366">index('Player ID'!C:C,match(E4366,'Player ID'!B:B,0))</f>
        <v>702352</v>
      </c>
    </row>
    <row r="4367">
      <c r="A4367" s="76">
        <v>45781.0</v>
      </c>
      <c r="B4367" s="1" t="s">
        <v>488</v>
      </c>
      <c r="C4367" s="1" t="s">
        <v>75</v>
      </c>
      <c r="D4367" s="1">
        <v>0.1</v>
      </c>
      <c r="E4367" s="1">
        <v>33294.0</v>
      </c>
      <c r="F4367" s="10">
        <f t="shared" si="1"/>
        <v>0.3333333333</v>
      </c>
      <c r="G4367" s="10">
        <f t="array" ref="G4367">index('Player ID'!C:C,match(E4367,'Player ID'!B:B,0))</f>
        <v>678020</v>
      </c>
    </row>
    <row r="4368">
      <c r="A4368" s="76">
        <v>45781.0</v>
      </c>
      <c r="B4368" s="1" t="s">
        <v>743</v>
      </c>
      <c r="C4368" s="1" t="s">
        <v>25</v>
      </c>
      <c r="D4368" s="1">
        <v>2.0</v>
      </c>
      <c r="E4368" s="1">
        <v>16929.0</v>
      </c>
      <c r="F4368" s="10">
        <f t="shared" si="1"/>
        <v>2</v>
      </c>
      <c r="G4368" s="10">
        <f t="array" ref="G4368">index('Player ID'!C:C,match(E4368,'Player ID'!B:B,0))</f>
        <v>657053</v>
      </c>
    </row>
    <row r="4369">
      <c r="A4369" s="76">
        <v>45781.0</v>
      </c>
      <c r="B4369" s="1" t="s">
        <v>131</v>
      </c>
      <c r="C4369" s="1" t="s">
        <v>62</v>
      </c>
      <c r="D4369" s="1">
        <v>1.0</v>
      </c>
      <c r="E4369" s="1">
        <v>19769.0</v>
      </c>
      <c r="F4369" s="10">
        <f t="shared" si="1"/>
        <v>1</v>
      </c>
      <c r="G4369" s="10">
        <f t="array" ref="G4369">index('Player ID'!C:C,match(E4369,'Player ID'!B:B,0))</f>
        <v>676684</v>
      </c>
    </row>
    <row r="4370">
      <c r="A4370" s="76">
        <v>45781.0</v>
      </c>
      <c r="B4370" s="1" t="s">
        <v>289</v>
      </c>
      <c r="C4370" s="1" t="s">
        <v>62</v>
      </c>
      <c r="D4370" s="1">
        <v>1.1</v>
      </c>
      <c r="E4370" s="1">
        <v>22304.0</v>
      </c>
      <c r="F4370" s="10">
        <f t="shared" si="1"/>
        <v>1.333333333</v>
      </c>
      <c r="G4370" s="10">
        <f t="array" ref="G4370">index('Player ID'!C:C,match(E4370,'Player ID'!B:B,0))</f>
        <v>669724</v>
      </c>
    </row>
    <row r="4371">
      <c r="A4371" s="76">
        <v>45781.0</v>
      </c>
      <c r="B4371" s="1" t="s">
        <v>419</v>
      </c>
      <c r="C4371" s="1" t="s">
        <v>62</v>
      </c>
      <c r="D4371" s="1">
        <v>5.2</v>
      </c>
      <c r="E4371" s="1">
        <v>24968.0</v>
      </c>
      <c r="F4371" s="10">
        <f t="shared" si="1"/>
        <v>5.666666667</v>
      </c>
      <c r="G4371" s="10">
        <f t="array" ref="G4371">index('Player ID'!C:C,match(E4371,'Player ID'!B:B,0))</f>
        <v>681857</v>
      </c>
    </row>
    <row r="4372">
      <c r="A4372" s="76">
        <v>45781.0</v>
      </c>
      <c r="B4372" s="1" t="s">
        <v>667</v>
      </c>
      <c r="C4372" s="1" t="s">
        <v>62</v>
      </c>
      <c r="D4372" s="1">
        <v>1.0</v>
      </c>
      <c r="E4372" s="1">
        <v>26079.0</v>
      </c>
      <c r="F4372" s="10">
        <f t="shared" si="1"/>
        <v>1</v>
      </c>
      <c r="G4372" s="10">
        <f t="array" ref="G4372">index('Player ID'!C:C,match(E4372,'Player ID'!B:B,0))</f>
        <v>689225</v>
      </c>
    </row>
    <row r="4373">
      <c r="A4373" s="76">
        <v>45781.0</v>
      </c>
      <c r="B4373" s="1" t="s">
        <v>521</v>
      </c>
      <c r="C4373" s="1" t="s">
        <v>25</v>
      </c>
      <c r="D4373" s="1">
        <v>5.0</v>
      </c>
      <c r="E4373" s="1">
        <v>27688.0</v>
      </c>
      <c r="F4373" s="10">
        <f t="shared" si="1"/>
        <v>5</v>
      </c>
      <c r="G4373" s="10">
        <f t="array" ref="G4373">index('Player ID'!C:C,match(E4373,'Player ID'!B:B,0))</f>
        <v>686799</v>
      </c>
    </row>
    <row r="4374">
      <c r="A4374" s="76">
        <v>45781.0</v>
      </c>
      <c r="B4374" s="1" t="s">
        <v>792</v>
      </c>
      <c r="C4374" s="1" t="s">
        <v>25</v>
      </c>
      <c r="D4374" s="1">
        <v>1.0</v>
      </c>
      <c r="E4374" s="1">
        <v>31501.0</v>
      </c>
      <c r="F4374" s="10">
        <f t="shared" si="1"/>
        <v>1</v>
      </c>
      <c r="G4374" s="10">
        <f t="array" ref="G4374">index('Player ID'!C:C,match(E4374,'Player ID'!B:B,0))</f>
        <v>690382</v>
      </c>
    </row>
    <row r="4375">
      <c r="A4375" s="76">
        <v>45781.0</v>
      </c>
      <c r="B4375" s="1" t="s">
        <v>381</v>
      </c>
      <c r="C4375" s="1" t="s">
        <v>25</v>
      </c>
      <c r="D4375" s="1">
        <v>1.0</v>
      </c>
      <c r="E4375" s="1">
        <v>33908.0</v>
      </c>
      <c r="F4375" s="10">
        <f t="shared" si="1"/>
        <v>1</v>
      </c>
      <c r="G4375" s="10">
        <f t="array" ref="G4375">index('Player ID'!C:C,match(E4375,'Player ID'!B:B,0))</f>
        <v>820862</v>
      </c>
    </row>
    <row r="4376">
      <c r="A4376" s="76">
        <v>45781.0</v>
      </c>
      <c r="B4376" s="1" t="s">
        <v>226</v>
      </c>
      <c r="C4376" s="1" t="s">
        <v>66</v>
      </c>
      <c r="D4376" s="1">
        <v>6.0</v>
      </c>
      <c r="E4376" s="1">
        <v>12730.0</v>
      </c>
      <c r="F4376" s="10">
        <f t="shared" si="1"/>
        <v>6</v>
      </c>
      <c r="G4376" s="10">
        <f t="array" ref="G4376">index('Player ID'!C:C,match(E4376,'Player ID'!B:B,0))</f>
        <v>607259</v>
      </c>
    </row>
    <row r="4377">
      <c r="A4377" s="76">
        <v>45781.0</v>
      </c>
      <c r="B4377" s="1" t="s">
        <v>362</v>
      </c>
      <c r="C4377" s="1" t="s">
        <v>66</v>
      </c>
      <c r="D4377" s="1">
        <v>0.1</v>
      </c>
      <c r="E4377" s="1">
        <v>13449.0</v>
      </c>
      <c r="F4377" s="10">
        <f t="shared" si="1"/>
        <v>0.3333333333</v>
      </c>
      <c r="G4377" s="10">
        <f t="array" ref="G4377">index('Player ID'!C:C,match(E4377,'Player ID'!B:B,0))</f>
        <v>573124</v>
      </c>
    </row>
    <row r="4378">
      <c r="A4378" s="76">
        <v>45781.0</v>
      </c>
      <c r="B4378" s="1" t="s">
        <v>719</v>
      </c>
      <c r="C4378" s="1" t="s">
        <v>80</v>
      </c>
      <c r="D4378" s="1">
        <v>2.0</v>
      </c>
      <c r="E4378" s="1">
        <v>14527.0</v>
      </c>
      <c r="F4378" s="10">
        <f t="shared" si="1"/>
        <v>2</v>
      </c>
      <c r="G4378" s="10">
        <f t="array" ref="G4378">index('Player ID'!C:C,match(E4378,'Player ID'!B:B,0))</f>
        <v>605347</v>
      </c>
    </row>
    <row r="4379">
      <c r="A4379" s="76">
        <v>45781.0</v>
      </c>
      <c r="B4379" s="1" t="s">
        <v>475</v>
      </c>
      <c r="C4379" s="1" t="s">
        <v>66</v>
      </c>
      <c r="D4379" s="1">
        <v>1.0</v>
      </c>
      <c r="E4379" s="1">
        <v>14993.0</v>
      </c>
      <c r="F4379" s="10">
        <f t="shared" si="1"/>
        <v>1</v>
      </c>
      <c r="G4379" s="10">
        <f t="array" ref="G4379">index('Player ID'!C:C,match(E4379,'Player ID'!B:B,0))</f>
        <v>605130</v>
      </c>
    </row>
    <row r="4380">
      <c r="A4380" s="76">
        <v>45781.0</v>
      </c>
      <c r="B4380" s="1" t="s">
        <v>139</v>
      </c>
      <c r="C4380" s="1" t="s">
        <v>80</v>
      </c>
      <c r="D4380" s="1">
        <v>1.0</v>
      </c>
      <c r="E4380" s="1">
        <v>15009.0</v>
      </c>
      <c r="F4380" s="10">
        <f t="shared" si="1"/>
        <v>1</v>
      </c>
      <c r="G4380" s="10">
        <f t="array" ref="G4380">index('Player ID'!C:C,match(E4380,'Player ID'!B:B,0))</f>
        <v>640448</v>
      </c>
    </row>
    <row r="4381">
      <c r="A4381" s="76">
        <v>45781.0</v>
      </c>
      <c r="B4381" s="1" t="s">
        <v>354</v>
      </c>
      <c r="C4381" s="1" t="s">
        <v>80</v>
      </c>
      <c r="D4381" s="1">
        <v>5.0</v>
      </c>
      <c r="E4381" s="1">
        <v>22201.0</v>
      </c>
      <c r="F4381" s="10">
        <f t="shared" si="1"/>
        <v>5</v>
      </c>
      <c r="G4381" s="10">
        <f t="array" ref="G4381">index('Player ID'!C:C,match(E4381,'Player ID'!B:B,0))</f>
        <v>669022</v>
      </c>
    </row>
    <row r="4382">
      <c r="A4382" s="76">
        <v>45781.0</v>
      </c>
      <c r="B4382" s="1" t="s">
        <v>86</v>
      </c>
      <c r="C4382" s="1" t="s">
        <v>80</v>
      </c>
      <c r="D4382" s="1">
        <v>1.0</v>
      </c>
      <c r="E4382" s="1">
        <v>24017.0</v>
      </c>
      <c r="F4382" s="10">
        <f t="shared" si="1"/>
        <v>1</v>
      </c>
      <c r="G4382" s="10">
        <f t="array" ref="G4382">index('Player ID'!C:C,match(E4382,'Player ID'!B:B,0))</f>
        <v>678606</v>
      </c>
    </row>
    <row r="4383">
      <c r="A4383" s="76">
        <v>45781.0</v>
      </c>
      <c r="B4383" s="1" t="s">
        <v>211</v>
      </c>
      <c r="C4383" s="1" t="s">
        <v>66</v>
      </c>
      <c r="D4383" s="1">
        <v>0.2</v>
      </c>
      <c r="E4383" s="1">
        <v>27552.0</v>
      </c>
      <c r="F4383" s="10">
        <f t="shared" si="1"/>
        <v>0.6666666667</v>
      </c>
      <c r="G4383" s="10">
        <f t="array" ref="G4383">index('Player ID'!C:C,match(E4383,'Player ID'!B:B,0))</f>
        <v>668933</v>
      </c>
    </row>
    <row r="4384">
      <c r="A4384" s="76">
        <v>45781.0</v>
      </c>
      <c r="B4384" s="1" t="s">
        <v>761</v>
      </c>
      <c r="C4384" s="1" t="s">
        <v>66</v>
      </c>
      <c r="D4384" s="1">
        <v>1.0</v>
      </c>
      <c r="E4384" s="1">
        <v>27765.0</v>
      </c>
      <c r="F4384" s="10">
        <f t="shared" si="1"/>
        <v>1</v>
      </c>
      <c r="G4384" s="10">
        <f t="array" ref="G4384">index('Player ID'!C:C,match(E4384,'Player ID'!B:B,0))</f>
        <v>691172</v>
      </c>
    </row>
    <row r="4385">
      <c r="A4385" s="76">
        <v>45781.0</v>
      </c>
      <c r="B4385" s="1" t="s">
        <v>595</v>
      </c>
      <c r="C4385" s="1" t="s">
        <v>33</v>
      </c>
      <c r="D4385" s="1">
        <v>0.2</v>
      </c>
      <c r="E4385" s="1">
        <v>6984.0</v>
      </c>
      <c r="F4385" s="10">
        <f t="shared" si="1"/>
        <v>0.6666666667</v>
      </c>
      <c r="G4385" s="10">
        <f t="array" ref="G4385">index('Player ID'!C:C,match(E4385,'Player ID'!B:B,0))</f>
        <v>472610</v>
      </c>
    </row>
    <row r="4386">
      <c r="A4386" s="76">
        <v>45781.0</v>
      </c>
      <c r="B4386" s="1" t="s">
        <v>178</v>
      </c>
      <c r="C4386" s="1" t="s">
        <v>46</v>
      </c>
      <c r="D4386" s="1">
        <v>1.1</v>
      </c>
      <c r="E4386" s="1">
        <v>13435.0</v>
      </c>
      <c r="F4386" s="10">
        <f t="shared" si="1"/>
        <v>1.333333333</v>
      </c>
      <c r="G4386" s="10">
        <f t="array" ref="G4386">index('Player ID'!C:C,match(E4386,'Player ID'!B:B,0))</f>
        <v>572955</v>
      </c>
    </row>
    <row r="4387">
      <c r="A4387" s="76">
        <v>45781.0</v>
      </c>
      <c r="B4387" s="1" t="s">
        <v>310</v>
      </c>
      <c r="C4387" s="1" t="s">
        <v>33</v>
      </c>
      <c r="D4387" s="1">
        <v>1.1</v>
      </c>
      <c r="E4387" s="1">
        <v>14706.0</v>
      </c>
      <c r="F4387" s="10">
        <f t="shared" si="1"/>
        <v>1.333333333</v>
      </c>
      <c r="G4387" s="10">
        <f t="array" ref="G4387">index('Player ID'!C:C,match(E4387,'Player ID'!B:B,0))</f>
        <v>607455</v>
      </c>
    </row>
    <row r="4388">
      <c r="A4388" s="76">
        <v>45781.0</v>
      </c>
      <c r="B4388" s="1" t="s">
        <v>184</v>
      </c>
      <c r="C4388" s="1" t="s">
        <v>46</v>
      </c>
      <c r="D4388" s="1">
        <v>1.0</v>
      </c>
      <c r="E4388" s="1">
        <v>17130.0</v>
      </c>
      <c r="F4388" s="10">
        <f t="shared" si="1"/>
        <v>1</v>
      </c>
      <c r="G4388" s="10">
        <f t="array" ref="G4388">index('Player ID'!C:C,match(E4388,'Player ID'!B:B,0))</f>
        <v>628452</v>
      </c>
    </row>
    <row r="4389">
      <c r="A4389" s="76">
        <v>45781.0</v>
      </c>
      <c r="B4389" s="1" t="s">
        <v>329</v>
      </c>
      <c r="C4389" s="1" t="s">
        <v>33</v>
      </c>
      <c r="D4389" s="1">
        <v>5.2</v>
      </c>
      <c r="E4389" s="1">
        <v>19716.0</v>
      </c>
      <c r="F4389" s="10">
        <f t="shared" si="1"/>
        <v>5.666666667</v>
      </c>
      <c r="G4389" s="10">
        <f t="array" ref="G4389">index('Player ID'!C:C,match(E4389,'Player ID'!B:B,0))</f>
        <v>669160</v>
      </c>
    </row>
    <row r="4390">
      <c r="A4390" s="76">
        <v>45781.0</v>
      </c>
      <c r="B4390" s="1" t="s">
        <v>91</v>
      </c>
      <c r="C4390" s="1" t="s">
        <v>46</v>
      </c>
      <c r="D4390" s="1">
        <v>0.1</v>
      </c>
      <c r="E4390" s="1">
        <v>19996.0</v>
      </c>
      <c r="F4390" s="10">
        <f t="shared" si="1"/>
        <v>0.3333333333</v>
      </c>
      <c r="G4390" s="10">
        <f t="array" ref="G4390">index('Player ID'!C:C,match(E4390,'Player ID'!B:B,0))</f>
        <v>669276</v>
      </c>
    </row>
    <row r="4391">
      <c r="A4391" s="76">
        <v>45781.0</v>
      </c>
      <c r="B4391" s="1" t="s">
        <v>688</v>
      </c>
      <c r="C4391" s="1" t="s">
        <v>46</v>
      </c>
      <c r="D4391" s="1">
        <v>1.1</v>
      </c>
      <c r="E4391" s="1">
        <v>20271.0</v>
      </c>
      <c r="F4391" s="10">
        <f t="shared" si="1"/>
        <v>1.333333333</v>
      </c>
      <c r="G4391" s="10">
        <f t="array" ref="G4391">index('Player ID'!C:C,match(E4391,'Player ID'!B:B,0))</f>
        <v>678226</v>
      </c>
    </row>
    <row r="4392">
      <c r="A4392" s="76">
        <v>45781.0</v>
      </c>
      <c r="B4392" s="1" t="s">
        <v>275</v>
      </c>
      <c r="C4392" s="1" t="s">
        <v>46</v>
      </c>
      <c r="D4392" s="1">
        <v>5.0</v>
      </c>
      <c r="E4392" s="1">
        <v>27779.0</v>
      </c>
      <c r="F4392" s="10">
        <f t="shared" si="1"/>
        <v>5</v>
      </c>
      <c r="G4392" s="10">
        <f t="array" ref="G4392">index('Player ID'!C:C,match(E4392,'Player ID'!B:B,0))</f>
        <v>693821</v>
      </c>
    </row>
    <row r="4393">
      <c r="A4393" s="76">
        <v>45781.0</v>
      </c>
      <c r="B4393" s="1" t="s">
        <v>206</v>
      </c>
      <c r="C4393" s="1" t="s">
        <v>33</v>
      </c>
      <c r="D4393" s="1">
        <v>0.1</v>
      </c>
      <c r="E4393" s="1">
        <v>30249.0</v>
      </c>
      <c r="F4393" s="10">
        <f t="shared" si="1"/>
        <v>0.3333333333</v>
      </c>
      <c r="G4393" s="10">
        <f t="array" ref="G4393">index('Player ID'!C:C,match(E4393,'Player ID'!B:B,0))</f>
        <v>676263</v>
      </c>
    </row>
    <row r="4394">
      <c r="A4394" s="76">
        <v>45782.0</v>
      </c>
      <c r="B4394" s="1" t="s">
        <v>392</v>
      </c>
      <c r="C4394" s="1" t="s">
        <v>33</v>
      </c>
      <c r="D4394" s="1">
        <v>1.0</v>
      </c>
      <c r="E4394" s="1">
        <v>9073.0</v>
      </c>
      <c r="F4394" s="10">
        <f t="shared" si="1"/>
        <v>1</v>
      </c>
      <c r="G4394" s="10">
        <f t="array" ref="G4394">index('Player ID'!C:C,match(E4394,'Player ID'!B:B,0))</f>
        <v>489446</v>
      </c>
    </row>
    <row r="4395">
      <c r="A4395" s="76">
        <v>45782.0</v>
      </c>
      <c r="B4395" s="1" t="s">
        <v>32</v>
      </c>
      <c r="C4395" s="1" t="s">
        <v>33</v>
      </c>
      <c r="D4395" s="1">
        <v>0.2</v>
      </c>
      <c r="E4395" s="1">
        <v>17586.0</v>
      </c>
      <c r="F4395" s="10">
        <f t="shared" si="1"/>
        <v>0.6666666667</v>
      </c>
      <c r="G4395" s="10">
        <f t="array" ref="G4395">index('Player ID'!C:C,match(E4395,'Player ID'!B:B,0))</f>
        <v>656945</v>
      </c>
    </row>
    <row r="4396">
      <c r="A4396" s="76">
        <v>45782.0</v>
      </c>
      <c r="B4396" s="1" t="s">
        <v>694</v>
      </c>
      <c r="C4396" s="1" t="s">
        <v>33</v>
      </c>
      <c r="D4396" s="1">
        <v>1.0</v>
      </c>
      <c r="E4396" s="1">
        <v>17734.0</v>
      </c>
      <c r="F4396" s="10">
        <f t="shared" si="1"/>
        <v>1</v>
      </c>
      <c r="G4396" s="10">
        <f t="array" ref="G4396">index('Player ID'!C:C,match(E4396,'Player ID'!B:B,0))</f>
        <v>623465</v>
      </c>
    </row>
    <row r="4397">
      <c r="A4397" s="76">
        <v>45782.0</v>
      </c>
      <c r="B4397" s="1" t="s">
        <v>229</v>
      </c>
      <c r="C4397" s="1" t="s">
        <v>36</v>
      </c>
      <c r="D4397" s="1">
        <v>5.0</v>
      </c>
      <c r="E4397" s="1">
        <v>18684.0</v>
      </c>
      <c r="F4397" s="10">
        <f t="shared" si="1"/>
        <v>5</v>
      </c>
      <c r="G4397" s="10">
        <f t="array" ref="G4397">index('Player ID'!C:C,match(E4397,'Player ID'!B:B,0))</f>
        <v>645261</v>
      </c>
    </row>
    <row r="4398">
      <c r="A4398" s="76">
        <v>45782.0</v>
      </c>
      <c r="B4398" s="1" t="s">
        <v>61</v>
      </c>
      <c r="C4398" s="1" t="s">
        <v>36</v>
      </c>
      <c r="D4398" s="1">
        <v>2.0</v>
      </c>
      <c r="E4398" s="1">
        <v>20629.0</v>
      </c>
      <c r="F4398" s="10">
        <f t="shared" si="1"/>
        <v>2</v>
      </c>
      <c r="G4398" s="10">
        <f t="array" ref="G4398">index('Player ID'!C:C,match(E4398,'Player ID'!B:B,0))</f>
        <v>663969</v>
      </c>
    </row>
    <row r="4399">
      <c r="A4399" s="76">
        <v>45782.0</v>
      </c>
      <c r="B4399" s="1" t="s">
        <v>469</v>
      </c>
      <c r="C4399" s="1" t="s">
        <v>36</v>
      </c>
      <c r="D4399" s="1">
        <v>2.0</v>
      </c>
      <c r="E4399" s="1">
        <v>21863.0</v>
      </c>
      <c r="F4399" s="10">
        <f t="shared" si="1"/>
        <v>2</v>
      </c>
      <c r="G4399" s="10">
        <f t="array" ref="G4399">index('Player ID'!C:C,match(E4399,'Player ID'!B:B,0))</f>
        <v>666277</v>
      </c>
    </row>
    <row r="4400">
      <c r="A4400" s="76">
        <v>45782.0</v>
      </c>
      <c r="B4400" s="1" t="s">
        <v>691</v>
      </c>
      <c r="C4400" s="1" t="s">
        <v>33</v>
      </c>
      <c r="D4400" s="1">
        <v>0.1</v>
      </c>
      <c r="E4400" s="1">
        <v>22872.0</v>
      </c>
      <c r="F4400" s="10">
        <f t="shared" si="1"/>
        <v>0.3333333333</v>
      </c>
      <c r="G4400" s="10">
        <f t="array" ref="G4400">index('Player ID'!C:C,match(E4400,'Player ID'!B:B,0))</f>
        <v>672782</v>
      </c>
    </row>
    <row r="4401">
      <c r="A4401" s="76">
        <v>45782.0</v>
      </c>
      <c r="B4401" s="1" t="s">
        <v>92</v>
      </c>
      <c r="C4401" s="1" t="s">
        <v>33</v>
      </c>
      <c r="D4401" s="1">
        <v>0.2</v>
      </c>
      <c r="E4401" s="1">
        <v>25007.0</v>
      </c>
      <c r="F4401" s="10">
        <f t="shared" si="1"/>
        <v>0.6666666667</v>
      </c>
      <c r="G4401" s="10">
        <f t="array" ref="G4401">index('Player ID'!C:C,match(E4401,'Player ID'!B:B,0))</f>
        <v>681911</v>
      </c>
    </row>
    <row r="4402">
      <c r="A4402" s="76">
        <v>45782.0</v>
      </c>
      <c r="B4402" s="1" t="s">
        <v>104</v>
      </c>
      <c r="C4402" s="1" t="s">
        <v>33</v>
      </c>
      <c r="D4402" s="1">
        <v>4.0</v>
      </c>
      <c r="E4402" s="1">
        <v>30085.0</v>
      </c>
      <c r="F4402" s="10">
        <f t="shared" si="1"/>
        <v>4</v>
      </c>
      <c r="G4402" s="10">
        <f t="array" ref="G4402">index('Player ID'!C:C,match(E4402,'Player ID'!B:B,0))</f>
        <v>676508</v>
      </c>
    </row>
    <row r="4403">
      <c r="A4403" s="76">
        <v>45782.0</v>
      </c>
      <c r="B4403" s="1" t="s">
        <v>206</v>
      </c>
      <c r="C4403" s="1" t="s">
        <v>33</v>
      </c>
      <c r="D4403" s="1">
        <v>1.1</v>
      </c>
      <c r="E4403" s="1">
        <v>30249.0</v>
      </c>
      <c r="F4403" s="10">
        <f t="shared" si="1"/>
        <v>1.333333333</v>
      </c>
      <c r="G4403" s="10">
        <f t="array" ref="G4403">index('Player ID'!C:C,match(E4403,'Player ID'!B:B,0))</f>
        <v>676263</v>
      </c>
    </row>
    <row r="4404">
      <c r="A4404" s="76">
        <v>45782.0</v>
      </c>
      <c r="B4404" s="1" t="s">
        <v>109</v>
      </c>
      <c r="C4404" s="1" t="s">
        <v>26</v>
      </c>
      <c r="D4404" s="1">
        <v>5.0</v>
      </c>
      <c r="E4404" s="1">
        <v>15454.0</v>
      </c>
      <c r="F4404" s="10">
        <f t="shared" si="1"/>
        <v>5</v>
      </c>
      <c r="G4404" s="10">
        <f t="array" ref="G4404">index('Player ID'!C:C,match(E4404,'Player ID'!B:B,0))</f>
        <v>601713</v>
      </c>
    </row>
    <row r="4405">
      <c r="A4405" s="76">
        <v>45782.0</v>
      </c>
      <c r="B4405" s="1" t="s">
        <v>114</v>
      </c>
      <c r="C4405" s="1" t="s">
        <v>58</v>
      </c>
      <c r="D4405" s="1">
        <v>0.2</v>
      </c>
      <c r="E4405" s="1">
        <v>15816.0</v>
      </c>
      <c r="F4405" s="10">
        <f t="shared" si="1"/>
        <v>0.6666666667</v>
      </c>
      <c r="G4405" s="10">
        <f t="array" ref="G4405">index('Player ID'!C:C,match(E4405,'Player ID'!B:B,0))</f>
        <v>642207</v>
      </c>
    </row>
    <row r="4406">
      <c r="A4406" s="76">
        <v>45782.0</v>
      </c>
      <c r="B4406" s="1" t="s">
        <v>635</v>
      </c>
      <c r="C4406" s="1" t="s">
        <v>58</v>
      </c>
      <c r="D4406" s="1">
        <v>6.2</v>
      </c>
      <c r="E4406" s="1">
        <v>16137.0</v>
      </c>
      <c r="F4406" s="10">
        <f t="shared" si="1"/>
        <v>6.666666667</v>
      </c>
      <c r="G4406" s="10">
        <f t="array" ref="G4406">index('Player ID'!C:C,match(E4406,'Player ID'!B:B,0))</f>
        <v>607074</v>
      </c>
    </row>
    <row r="4407">
      <c r="A4407" s="76">
        <v>45782.0</v>
      </c>
      <c r="B4407" s="1" t="s">
        <v>69</v>
      </c>
      <c r="C4407" s="1" t="s">
        <v>58</v>
      </c>
      <c r="D4407" s="1">
        <v>1.0</v>
      </c>
      <c r="E4407" s="1">
        <v>16814.0</v>
      </c>
      <c r="F4407" s="10">
        <f t="shared" si="1"/>
        <v>1</v>
      </c>
      <c r="G4407" s="10">
        <f t="array" ref="G4407">index('Player ID'!C:C,match(E4407,'Player ID'!B:B,0))</f>
        <v>657612</v>
      </c>
    </row>
    <row r="4408">
      <c r="A4408" s="76">
        <v>45782.0</v>
      </c>
      <c r="B4408" s="1" t="s">
        <v>225</v>
      </c>
      <c r="C4408" s="1" t="s">
        <v>58</v>
      </c>
      <c r="D4408" s="1">
        <v>0.1</v>
      </c>
      <c r="E4408" s="1">
        <v>16918.0</v>
      </c>
      <c r="F4408" s="10">
        <f t="shared" si="1"/>
        <v>0.3333333333</v>
      </c>
      <c r="G4408" s="10">
        <f t="array" ref="G4408">index('Player ID'!C:C,match(E4408,'Player ID'!B:B,0))</f>
        <v>596133</v>
      </c>
    </row>
    <row r="4409">
      <c r="A4409" s="76">
        <v>45782.0</v>
      </c>
      <c r="B4409" s="1" t="s">
        <v>94</v>
      </c>
      <c r="C4409" s="1" t="s">
        <v>26</v>
      </c>
      <c r="D4409" s="1">
        <v>1.0</v>
      </c>
      <c r="E4409" s="1">
        <v>22210.0</v>
      </c>
      <c r="F4409" s="10">
        <f t="shared" si="1"/>
        <v>1</v>
      </c>
      <c r="G4409" s="10">
        <f t="array" ref="G4409">index('Player ID'!C:C,match(E4409,'Player ID'!B:B,0))</f>
        <v>669093</v>
      </c>
    </row>
    <row r="4410">
      <c r="A4410" s="76">
        <v>45782.0</v>
      </c>
      <c r="B4410" s="1" t="s">
        <v>224</v>
      </c>
      <c r="C4410" s="1" t="s">
        <v>26</v>
      </c>
      <c r="D4410" s="1">
        <v>1.0</v>
      </c>
      <c r="E4410" s="1">
        <v>29863.0</v>
      </c>
      <c r="F4410" s="10">
        <f t="shared" si="1"/>
        <v>1</v>
      </c>
      <c r="G4410" s="10">
        <f t="array" ref="G4410">index('Player ID'!C:C,match(E4410,'Player ID'!B:B,0))</f>
        <v>686701</v>
      </c>
    </row>
    <row r="4411">
      <c r="A4411" s="76">
        <v>45782.0</v>
      </c>
      <c r="B4411" s="1" t="s">
        <v>81</v>
      </c>
      <c r="C4411" s="1" t="s">
        <v>26</v>
      </c>
      <c r="D4411" s="1">
        <v>1.0</v>
      </c>
      <c r="E4411" s="1">
        <v>30115.0</v>
      </c>
      <c r="F4411" s="10">
        <f t="shared" si="1"/>
        <v>1</v>
      </c>
      <c r="G4411" s="10">
        <f t="array" ref="G4411">index('Player ID'!C:C,match(E4411,'Player ID'!B:B,0))</f>
        <v>663158</v>
      </c>
    </row>
    <row r="4412">
      <c r="A4412" s="76">
        <v>45782.0</v>
      </c>
      <c r="B4412" s="1" t="s">
        <v>284</v>
      </c>
      <c r="C4412" s="1" t="s">
        <v>26</v>
      </c>
      <c r="D4412" s="1">
        <v>1.0</v>
      </c>
      <c r="E4412" s="1">
        <v>33826.0</v>
      </c>
      <c r="F4412" s="10">
        <f t="shared" si="1"/>
        <v>1</v>
      </c>
      <c r="G4412" s="10">
        <f t="array" ref="G4412">index('Player ID'!C:C,match(E4412,'Player ID'!B:B,0))</f>
        <v>673513</v>
      </c>
    </row>
    <row r="4413">
      <c r="A4413" s="76">
        <v>45782.0</v>
      </c>
      <c r="B4413" s="1" t="s">
        <v>475</v>
      </c>
      <c r="C4413" s="1" t="s">
        <v>66</v>
      </c>
      <c r="D4413" s="1">
        <v>1.0</v>
      </c>
      <c r="E4413" s="1">
        <v>14993.0</v>
      </c>
      <c r="F4413" s="10">
        <f t="shared" si="1"/>
        <v>1</v>
      </c>
      <c r="G4413" s="10">
        <f t="array" ref="G4413">index('Player ID'!C:C,match(E4413,'Player ID'!B:B,0))</f>
        <v>605130</v>
      </c>
    </row>
    <row r="4414">
      <c r="A4414" s="76">
        <v>45782.0</v>
      </c>
      <c r="B4414" s="1" t="s">
        <v>346</v>
      </c>
      <c r="C4414" s="1" t="s">
        <v>46</v>
      </c>
      <c r="D4414" s="1">
        <v>1.0</v>
      </c>
      <c r="E4414" s="1">
        <v>18403.0</v>
      </c>
      <c r="F4414" s="10">
        <f t="shared" si="1"/>
        <v>1</v>
      </c>
      <c r="G4414" s="10">
        <f t="array" ref="G4414">index('Player ID'!C:C,match(E4414,'Player ID'!B:B,0))</f>
        <v>660853</v>
      </c>
    </row>
    <row r="4415">
      <c r="A4415" s="76">
        <v>45782.0</v>
      </c>
      <c r="B4415" s="1" t="s">
        <v>353</v>
      </c>
      <c r="C4415" s="1" t="s">
        <v>66</v>
      </c>
      <c r="D4415" s="1">
        <v>6.0</v>
      </c>
      <c r="E4415" s="1">
        <v>25377.0</v>
      </c>
      <c r="F4415" s="10">
        <f t="shared" si="1"/>
        <v>6</v>
      </c>
      <c r="G4415" s="10">
        <f t="array" ref="G4415">index('Player ID'!C:C,match(E4415,'Player ID'!B:B,0))</f>
        <v>663903</v>
      </c>
    </row>
    <row r="4416">
      <c r="A4416" s="76">
        <v>45782.0</v>
      </c>
      <c r="B4416" s="1" t="s">
        <v>550</v>
      </c>
      <c r="C4416" s="1" t="s">
        <v>66</v>
      </c>
      <c r="D4416" s="1">
        <v>1.0</v>
      </c>
      <c r="E4416" s="1">
        <v>25620.0</v>
      </c>
      <c r="F4416" s="10">
        <f t="shared" si="1"/>
        <v>1</v>
      </c>
      <c r="G4416" s="10">
        <f t="array" ref="G4416">index('Player ID'!C:C,match(E4416,'Player ID'!B:B,0))</f>
        <v>682825</v>
      </c>
    </row>
    <row r="4417">
      <c r="A4417" s="76">
        <v>45782.0</v>
      </c>
      <c r="B4417" s="1" t="s">
        <v>516</v>
      </c>
      <c r="C4417" s="1" t="s">
        <v>46</v>
      </c>
      <c r="D4417" s="1">
        <v>8.0</v>
      </c>
      <c r="E4417" s="1">
        <v>29960.0</v>
      </c>
      <c r="F4417" s="10">
        <f t="shared" si="1"/>
        <v>8</v>
      </c>
      <c r="G4417" s="10">
        <f t="array" ref="G4417">index('Player ID'!C:C,match(E4417,'Player ID'!B:B,0))</f>
        <v>700363</v>
      </c>
    </row>
    <row r="4418">
      <c r="A4418" s="76">
        <v>45782.0</v>
      </c>
      <c r="B4418" s="1" t="s">
        <v>649</v>
      </c>
      <c r="C4418" s="1" t="s">
        <v>29</v>
      </c>
      <c r="D4418" s="1">
        <v>1.0</v>
      </c>
      <c r="E4418" s="1">
        <v>14542.0</v>
      </c>
      <c r="F4418" s="10">
        <f t="shared" si="1"/>
        <v>1</v>
      </c>
      <c r="G4418" s="10">
        <f t="array" ref="G4418">index('Player ID'!C:C,match(E4418,'Player ID'!B:B,0))</f>
        <v>608032</v>
      </c>
    </row>
    <row r="4419">
      <c r="A4419" s="76">
        <v>45782.0</v>
      </c>
      <c r="B4419" s="1" t="s">
        <v>252</v>
      </c>
      <c r="C4419" s="1" t="s">
        <v>78</v>
      </c>
      <c r="D4419" s="1">
        <v>1.0</v>
      </c>
      <c r="E4419" s="1">
        <v>16061.0</v>
      </c>
      <c r="F4419" s="10">
        <f t="shared" si="1"/>
        <v>1</v>
      </c>
      <c r="G4419" s="10">
        <f t="array" ref="G4419">index('Player ID'!C:C,match(E4419,'Player ID'!B:B,0))</f>
        <v>592155</v>
      </c>
    </row>
    <row r="4420">
      <c r="A4420" s="76">
        <v>45782.0</v>
      </c>
      <c r="B4420" s="1" t="s">
        <v>144</v>
      </c>
      <c r="C4420" s="1" t="s">
        <v>29</v>
      </c>
      <c r="D4420" s="1">
        <v>1.0</v>
      </c>
      <c r="E4420" s="1">
        <v>20020.0</v>
      </c>
      <c r="F4420" s="10">
        <f t="shared" si="1"/>
        <v>1</v>
      </c>
      <c r="G4420" s="10">
        <f t="array" ref="G4420">index('Player ID'!C:C,match(E4420,'Player ID'!B:B,0))</f>
        <v>670167</v>
      </c>
    </row>
    <row r="4421">
      <c r="A4421" s="76">
        <v>45782.0</v>
      </c>
      <c r="B4421" s="1" t="s">
        <v>293</v>
      </c>
      <c r="C4421" s="1" t="s">
        <v>29</v>
      </c>
      <c r="D4421" s="1">
        <v>1.0</v>
      </c>
      <c r="E4421" s="1">
        <v>21537.0</v>
      </c>
      <c r="F4421" s="10">
        <f t="shared" si="1"/>
        <v>1</v>
      </c>
      <c r="G4421" s="10">
        <f t="array" ref="G4421">index('Player ID'!C:C,match(E4421,'Player ID'!B:B,0))</f>
        <v>663738</v>
      </c>
    </row>
    <row r="4422">
      <c r="A4422" s="76">
        <v>45782.0</v>
      </c>
      <c r="B4422" s="1" t="s">
        <v>205</v>
      </c>
      <c r="C4422" s="1" t="s">
        <v>29</v>
      </c>
      <c r="D4422" s="1">
        <v>5.0</v>
      </c>
      <c r="E4422" s="1">
        <v>21846.0</v>
      </c>
      <c r="F4422" s="10">
        <f t="shared" si="1"/>
        <v>5</v>
      </c>
      <c r="G4422" s="10">
        <f t="array" ref="G4422">index('Player ID'!C:C,match(E4422,'Player ID'!B:B,0))</f>
        <v>666142</v>
      </c>
    </row>
    <row r="4423">
      <c r="A4423" s="76">
        <v>45782.0</v>
      </c>
      <c r="B4423" s="1" t="s">
        <v>214</v>
      </c>
      <c r="C4423" s="1" t="s">
        <v>29</v>
      </c>
      <c r="D4423" s="1">
        <v>1.0</v>
      </c>
      <c r="E4423" s="1">
        <v>23165.0</v>
      </c>
      <c r="F4423" s="10">
        <f t="shared" si="1"/>
        <v>1</v>
      </c>
      <c r="G4423" s="10">
        <f t="array" ref="G4423">index('Player ID'!C:C,match(E4423,'Player ID'!B:B,0))</f>
        <v>674444</v>
      </c>
    </row>
    <row r="4424">
      <c r="A4424" s="76">
        <v>45782.0</v>
      </c>
      <c r="B4424" s="1" t="s">
        <v>806</v>
      </c>
      <c r="C4424" s="1" t="s">
        <v>78</v>
      </c>
      <c r="D4424" s="1">
        <v>1.0</v>
      </c>
      <c r="E4424" s="1">
        <v>26255.0</v>
      </c>
      <c r="F4424" s="10">
        <f t="shared" si="1"/>
        <v>1</v>
      </c>
      <c r="G4424" s="10">
        <f t="array" ref="G4424">index('Player ID'!C:C,match(E4424,'Player ID'!B:B,0))</f>
        <v>673965</v>
      </c>
    </row>
    <row r="4425">
      <c r="A4425" s="76">
        <v>45782.0</v>
      </c>
      <c r="B4425" s="1" t="s">
        <v>367</v>
      </c>
      <c r="C4425" s="1" t="s">
        <v>78</v>
      </c>
      <c r="D4425" s="1">
        <v>1.0</v>
      </c>
      <c r="E4425" s="1">
        <v>27668.0</v>
      </c>
      <c r="F4425" s="10">
        <f t="shared" si="1"/>
        <v>1</v>
      </c>
      <c r="G4425" s="10">
        <f t="array" ref="G4425">index('Player ID'!C:C,match(E4425,'Player ID'!B:B,0))</f>
        <v>685126</v>
      </c>
    </row>
    <row r="4426">
      <c r="A4426" s="76">
        <v>45782.0</v>
      </c>
      <c r="B4426" s="1" t="s">
        <v>470</v>
      </c>
      <c r="C4426" s="1" t="s">
        <v>78</v>
      </c>
      <c r="D4426" s="1">
        <v>5.0</v>
      </c>
      <c r="E4426" s="1">
        <v>31687.0</v>
      </c>
      <c r="F4426" s="10">
        <f t="shared" si="1"/>
        <v>5</v>
      </c>
      <c r="G4426" s="10">
        <f t="array" ref="G4426">index('Player ID'!C:C,match(E4426,'Player ID'!B:B,0))</f>
        <v>681343</v>
      </c>
    </row>
    <row r="4427">
      <c r="A4427" s="76">
        <v>45782.0</v>
      </c>
      <c r="B4427" s="1" t="s">
        <v>71</v>
      </c>
      <c r="C4427" s="1" t="s">
        <v>34</v>
      </c>
      <c r="D4427" s="1">
        <v>1.0</v>
      </c>
      <c r="E4427" s="1">
        <v>10078.0</v>
      </c>
      <c r="F4427" s="10">
        <f t="shared" si="1"/>
        <v>1</v>
      </c>
      <c r="G4427" s="10">
        <f t="array" ref="G4427">index('Player ID'!C:C,match(E4427,'Player ID'!B:B,0))</f>
        <v>573204</v>
      </c>
    </row>
    <row r="4428">
      <c r="A4428" s="76">
        <v>45782.0</v>
      </c>
      <c r="B4428" s="1" t="s">
        <v>246</v>
      </c>
      <c r="C4428" s="1" t="s">
        <v>34</v>
      </c>
      <c r="D4428" s="1">
        <v>6.0</v>
      </c>
      <c r="E4428" s="1">
        <v>15440.0</v>
      </c>
      <c r="F4428" s="10">
        <f t="shared" si="1"/>
        <v>6</v>
      </c>
      <c r="G4428" s="10">
        <f t="array" ref="G4428">index('Player ID'!C:C,match(E4428,'Player ID'!B:B,0))</f>
        <v>571510</v>
      </c>
    </row>
    <row r="4429">
      <c r="A4429" s="76">
        <v>45782.0</v>
      </c>
      <c r="B4429" s="1" t="s">
        <v>787</v>
      </c>
      <c r="C4429" s="1" t="s">
        <v>34</v>
      </c>
      <c r="D4429" s="1">
        <v>2.0</v>
      </c>
      <c r="E4429" s="1">
        <v>25427.0</v>
      </c>
      <c r="F4429" s="10">
        <f t="shared" si="1"/>
        <v>2</v>
      </c>
      <c r="G4429" s="10">
        <f t="array" ref="G4429">index('Player ID'!C:C,match(E4429,'Player ID'!B:B,0))</f>
        <v>668970</v>
      </c>
    </row>
    <row r="4430">
      <c r="A4430" s="76">
        <v>45782.0</v>
      </c>
      <c r="B4430" s="1" t="s">
        <v>209</v>
      </c>
      <c r="C4430" s="1" t="s">
        <v>31</v>
      </c>
      <c r="D4430" s="1">
        <v>5.0</v>
      </c>
      <c r="E4430" s="1">
        <v>30076.0</v>
      </c>
      <c r="F4430" s="10">
        <f t="shared" si="1"/>
        <v>5</v>
      </c>
      <c r="G4430" s="10">
        <f t="array" ref="G4430">index('Player ID'!C:C,match(E4430,'Player ID'!B:B,0))</f>
        <v>694738</v>
      </c>
    </row>
    <row r="4431">
      <c r="A4431" s="76">
        <v>45782.0</v>
      </c>
      <c r="B4431" s="1" t="s">
        <v>276</v>
      </c>
      <c r="C4431" s="1" t="s">
        <v>31</v>
      </c>
      <c r="D4431" s="1">
        <v>2.2</v>
      </c>
      <c r="E4431" s="1">
        <v>30226.0</v>
      </c>
      <c r="F4431" s="10">
        <f t="shared" si="1"/>
        <v>2.666666667</v>
      </c>
      <c r="G4431" s="10">
        <f t="array" ref="G4431">index('Player ID'!C:C,match(E4431,'Player ID'!B:B,0))</f>
        <v>702352</v>
      </c>
    </row>
    <row r="4432">
      <c r="A4432" s="76">
        <v>45782.0</v>
      </c>
      <c r="B4432" s="1" t="s">
        <v>514</v>
      </c>
      <c r="C4432" s="1" t="s">
        <v>31</v>
      </c>
      <c r="D4432" s="1">
        <v>0.1</v>
      </c>
      <c r="E4432" s="1">
        <v>31635.0</v>
      </c>
      <c r="F4432" s="10">
        <f t="shared" si="1"/>
        <v>0.3333333333</v>
      </c>
      <c r="G4432" s="10">
        <f t="array" ref="G4432">index('Player ID'!C:C,match(E4432,'Player ID'!B:B,0))</f>
        <v>806185</v>
      </c>
    </row>
    <row r="4433">
      <c r="A4433" s="76">
        <v>45782.0</v>
      </c>
      <c r="B4433" s="1" t="s">
        <v>634</v>
      </c>
      <c r="C4433" s="1" t="s">
        <v>14</v>
      </c>
      <c r="D4433" s="1">
        <v>1.0</v>
      </c>
      <c r="E4433" s="1">
        <v>14332.0</v>
      </c>
      <c r="F4433" s="10">
        <f t="shared" si="1"/>
        <v>1</v>
      </c>
      <c r="G4433" s="10">
        <f t="array" ref="G4433">index('Player ID'!C:C,match(E4433,'Player ID'!B:B,0))</f>
        <v>606303</v>
      </c>
    </row>
    <row r="4434">
      <c r="A4434" s="76">
        <v>45782.0</v>
      </c>
      <c r="B4434" s="1" t="s">
        <v>314</v>
      </c>
      <c r="C4434" s="1" t="s">
        <v>39</v>
      </c>
      <c r="D4434" s="1">
        <v>6.0</v>
      </c>
      <c r="E4434" s="1">
        <v>19407.0</v>
      </c>
      <c r="F4434" s="10">
        <f t="shared" si="1"/>
        <v>6</v>
      </c>
      <c r="G4434" s="10">
        <f t="array" ref="G4434">index('Player ID'!C:C,match(E4434,'Player ID'!B:B,0))</f>
        <v>669854</v>
      </c>
    </row>
    <row r="4435">
      <c r="A4435" s="76">
        <v>45782.0</v>
      </c>
      <c r="B4435" s="1" t="s">
        <v>359</v>
      </c>
      <c r="C4435" s="1" t="s">
        <v>39</v>
      </c>
      <c r="D4435" s="1">
        <v>1.0</v>
      </c>
      <c r="E4435" s="1">
        <v>20061.0</v>
      </c>
      <c r="F4435" s="10">
        <f t="shared" si="1"/>
        <v>1</v>
      </c>
      <c r="G4435" s="10">
        <f t="array" ref="G4435">index('Player ID'!C:C,match(E4435,'Player ID'!B:B,0))</f>
        <v>672391</v>
      </c>
    </row>
    <row r="4436">
      <c r="A4436" s="76">
        <v>45782.0</v>
      </c>
      <c r="B4436" s="1" t="s">
        <v>318</v>
      </c>
      <c r="C4436" s="1" t="s">
        <v>14</v>
      </c>
      <c r="D4436" s="1">
        <v>1.0</v>
      </c>
      <c r="E4436" s="1">
        <v>20546.0</v>
      </c>
      <c r="F4436" s="10">
        <f t="shared" si="1"/>
        <v>1</v>
      </c>
      <c r="G4436" s="10">
        <f t="array" ref="G4436">index('Player ID'!C:C,match(E4436,'Player ID'!B:B,0))</f>
        <v>681982</v>
      </c>
    </row>
    <row r="4437">
      <c r="A4437" s="76">
        <v>45782.0</v>
      </c>
      <c r="B4437" s="1" t="s">
        <v>102</v>
      </c>
      <c r="C4437" s="1" t="s">
        <v>39</v>
      </c>
      <c r="D4437" s="1">
        <v>1.0</v>
      </c>
      <c r="E4437" s="1">
        <v>21345.0</v>
      </c>
      <c r="F4437" s="10">
        <f t="shared" si="1"/>
        <v>1</v>
      </c>
      <c r="G4437" s="10">
        <f t="array" ref="G4437">index('Player ID'!C:C,match(E4437,'Player ID'!B:B,0))</f>
        <v>656986</v>
      </c>
    </row>
    <row r="4438">
      <c r="A4438" s="76">
        <v>45782.0</v>
      </c>
      <c r="B4438" s="1" t="s">
        <v>221</v>
      </c>
      <c r="C4438" s="1" t="s">
        <v>14</v>
      </c>
      <c r="D4438" s="1">
        <v>5.1</v>
      </c>
      <c r="E4438" s="1">
        <v>22191.0</v>
      </c>
      <c r="F4438" s="10">
        <f t="shared" si="1"/>
        <v>5.333333333</v>
      </c>
      <c r="G4438" s="10">
        <f t="array" ref="G4438">index('Player ID'!C:C,match(E4438,'Player ID'!B:B,0))</f>
        <v>668964</v>
      </c>
    </row>
    <row r="4439">
      <c r="A4439" s="76">
        <v>45782.0</v>
      </c>
      <c r="B4439" s="1" t="s">
        <v>112</v>
      </c>
      <c r="C4439" s="1" t="s">
        <v>14</v>
      </c>
      <c r="D4439" s="1">
        <v>0.2</v>
      </c>
      <c r="E4439" s="1">
        <v>25376.0</v>
      </c>
      <c r="F4439" s="10">
        <f t="shared" si="1"/>
        <v>0.6666666667</v>
      </c>
      <c r="G4439" s="10">
        <f t="array" ref="G4439">index('Player ID'!C:C,match(E4439,'Player ID'!B:B,0))</f>
        <v>683232</v>
      </c>
    </row>
    <row r="4440">
      <c r="A4440" s="76">
        <v>45782.0</v>
      </c>
      <c r="B4440" s="1" t="s">
        <v>418</v>
      </c>
      <c r="C4440" s="1" t="s">
        <v>14</v>
      </c>
      <c r="D4440" s="1">
        <v>1.0</v>
      </c>
      <c r="E4440" s="1">
        <v>27517.0</v>
      </c>
      <c r="F4440" s="10">
        <f t="shared" si="1"/>
        <v>1</v>
      </c>
      <c r="G4440" s="10">
        <f t="array" ref="G4440">index('Player ID'!C:C,match(E4440,'Player ID'!B:B,0))</f>
        <v>657649</v>
      </c>
    </row>
    <row r="4441">
      <c r="A4441" s="76">
        <v>45782.0</v>
      </c>
      <c r="B4441" s="1" t="s">
        <v>287</v>
      </c>
      <c r="C4441" s="1" t="s">
        <v>72</v>
      </c>
      <c r="D4441" s="1">
        <v>5.0</v>
      </c>
      <c r="E4441" s="1">
        <v>9803.0</v>
      </c>
      <c r="F4441" s="10">
        <f t="shared" si="1"/>
        <v>5</v>
      </c>
      <c r="G4441" s="10">
        <f t="array" ref="G4441">index('Player ID'!C:C,match(E4441,'Player ID'!B:B,0))</f>
        <v>571945</v>
      </c>
    </row>
    <row r="4442">
      <c r="A4442" s="76">
        <v>45782.0</v>
      </c>
      <c r="B4442" s="1" t="s">
        <v>443</v>
      </c>
      <c r="C4442" s="1" t="s">
        <v>60</v>
      </c>
      <c r="D4442" s="1">
        <v>0.2</v>
      </c>
      <c r="E4442" s="1">
        <v>16350.0</v>
      </c>
      <c r="F4442" s="10">
        <f t="shared" si="1"/>
        <v>0.6666666667</v>
      </c>
      <c r="G4442" s="10">
        <f t="array" ref="G4442">index('Player ID'!C:C,match(E4442,'Player ID'!B:B,0))</f>
        <v>621366</v>
      </c>
    </row>
    <row r="4443">
      <c r="A4443" s="76">
        <v>45782.0</v>
      </c>
      <c r="B4443" s="1" t="s">
        <v>190</v>
      </c>
      <c r="C4443" s="1" t="s">
        <v>72</v>
      </c>
      <c r="D4443" s="1">
        <v>1.0</v>
      </c>
      <c r="E4443" s="1">
        <v>18064.0</v>
      </c>
      <c r="F4443" s="10">
        <f t="shared" si="1"/>
        <v>1</v>
      </c>
      <c r="G4443" s="10">
        <f t="array" ref="G4443">index('Player ID'!C:C,match(E4443,'Player ID'!B:B,0))</f>
        <v>664208</v>
      </c>
    </row>
    <row r="4444">
      <c r="A4444" s="76">
        <v>45782.0</v>
      </c>
      <c r="B4444" s="1" t="s">
        <v>270</v>
      </c>
      <c r="C4444" s="1" t="s">
        <v>72</v>
      </c>
      <c r="D4444" s="1">
        <v>1.0</v>
      </c>
      <c r="E4444" s="1">
        <v>18138.0</v>
      </c>
      <c r="F4444" s="10">
        <f t="shared" si="1"/>
        <v>1</v>
      </c>
      <c r="G4444" s="10">
        <f t="array" ref="G4444">index('Player ID'!C:C,match(E4444,'Player ID'!B:B,0))</f>
        <v>664854</v>
      </c>
    </row>
    <row r="4445">
      <c r="A4445" s="76">
        <v>45782.0</v>
      </c>
      <c r="B4445" s="1" t="s">
        <v>107</v>
      </c>
      <c r="C4445" s="1" t="s">
        <v>60</v>
      </c>
      <c r="D4445" s="1">
        <v>0.2</v>
      </c>
      <c r="E4445" s="1">
        <v>19349.0</v>
      </c>
      <c r="F4445" s="10">
        <f t="shared" si="1"/>
        <v>0.6666666667</v>
      </c>
      <c r="G4445" s="10">
        <f t="array" ref="G4445">index('Player ID'!C:C,match(E4445,'Player ID'!B:B,0))</f>
        <v>657571</v>
      </c>
    </row>
    <row r="4446">
      <c r="A4446" s="76">
        <v>45782.0</v>
      </c>
      <c r="B4446" s="1" t="s">
        <v>384</v>
      </c>
      <c r="C4446" s="1" t="s">
        <v>60</v>
      </c>
      <c r="D4446" s="1">
        <v>2.0</v>
      </c>
      <c r="E4446" s="1">
        <v>19962.0</v>
      </c>
      <c r="F4446" s="10">
        <f t="shared" si="1"/>
        <v>2</v>
      </c>
      <c r="G4446" s="10">
        <f t="array" ref="G4446">index('Player ID'!C:C,match(E4446,'Player ID'!B:B,0))</f>
        <v>666214</v>
      </c>
    </row>
    <row r="4447">
      <c r="A4447" s="76">
        <v>45782.0</v>
      </c>
      <c r="B4447" s="1" t="s">
        <v>463</v>
      </c>
      <c r="C4447" s="1" t="s">
        <v>60</v>
      </c>
      <c r="D4447" s="1">
        <v>0.0</v>
      </c>
      <c r="E4447" s="1">
        <v>21544.0</v>
      </c>
      <c r="F4447" s="10">
        <f t="shared" si="1"/>
        <v>0</v>
      </c>
      <c r="G4447" s="10">
        <f t="array" ref="G4447">index('Player ID'!C:C,match(E4447,'Player ID'!B:B,0))</f>
        <v>663767</v>
      </c>
    </row>
    <row r="4448">
      <c r="A4448" s="76">
        <v>45782.0</v>
      </c>
      <c r="B4448" s="1" t="s">
        <v>170</v>
      </c>
      <c r="C4448" s="1" t="s">
        <v>72</v>
      </c>
      <c r="D4448" s="1">
        <v>1.0</v>
      </c>
      <c r="E4448" s="1">
        <v>24763.0</v>
      </c>
      <c r="F4448" s="10">
        <f t="shared" si="1"/>
        <v>1</v>
      </c>
      <c r="G4448" s="10">
        <f t="array" ref="G4448">index('Player ID'!C:C,match(E4448,'Player ID'!B:B,0))</f>
        <v>681517</v>
      </c>
    </row>
    <row r="4449">
      <c r="A4449" s="76">
        <v>45782.0</v>
      </c>
      <c r="B4449" s="1" t="s">
        <v>267</v>
      </c>
      <c r="C4449" s="1" t="s">
        <v>60</v>
      </c>
      <c r="D4449" s="1">
        <v>4.2</v>
      </c>
      <c r="E4449" s="1">
        <v>27572.0</v>
      </c>
      <c r="F4449" s="10">
        <f t="shared" si="1"/>
        <v>4.666666667</v>
      </c>
      <c r="G4449" s="10">
        <f t="array" ref="G4449">index('Player ID'!C:C,match(E4449,'Player ID'!B:B,0))</f>
        <v>669387</v>
      </c>
    </row>
    <row r="4450">
      <c r="A4450" s="76">
        <v>45782.0</v>
      </c>
      <c r="B4450" s="1" t="s">
        <v>337</v>
      </c>
      <c r="C4450" s="1" t="s">
        <v>72</v>
      </c>
      <c r="D4450" s="1">
        <v>1.0</v>
      </c>
      <c r="E4450" s="1">
        <v>29519.0</v>
      </c>
      <c r="F4450" s="10">
        <f t="shared" si="1"/>
        <v>1</v>
      </c>
      <c r="G4450" s="10">
        <f t="array" ref="G4450">index('Player ID'!C:C,match(E4450,'Player ID'!B:B,0))</f>
        <v>700669</v>
      </c>
    </row>
    <row r="4451">
      <c r="A4451" s="76">
        <v>45782.0</v>
      </c>
      <c r="B4451" s="1" t="s">
        <v>646</v>
      </c>
      <c r="C4451" s="1" t="s">
        <v>51</v>
      </c>
      <c r="D4451" s="1">
        <v>2.0</v>
      </c>
      <c r="E4451" s="1">
        <v>6107.0</v>
      </c>
      <c r="F4451" s="10">
        <f t="shared" si="1"/>
        <v>2</v>
      </c>
      <c r="G4451" s="10">
        <f t="array" ref="G4451">index('Player ID'!C:C,match(E4451,'Player ID'!B:B,0))</f>
        <v>623211</v>
      </c>
    </row>
    <row r="4452">
      <c r="A4452" s="76">
        <v>45782.0</v>
      </c>
      <c r="B4452" s="1" t="s">
        <v>679</v>
      </c>
      <c r="C4452" s="1" t="s">
        <v>51</v>
      </c>
      <c r="D4452" s="1">
        <v>1.0</v>
      </c>
      <c r="E4452" s="1">
        <v>14710.0</v>
      </c>
      <c r="F4452" s="10">
        <f t="shared" si="1"/>
        <v>1</v>
      </c>
      <c r="G4452" s="10">
        <f t="array" ref="G4452">index('Player ID'!C:C,match(E4452,'Player ID'!B:B,0))</f>
        <v>621242</v>
      </c>
    </row>
    <row r="4453">
      <c r="A4453" s="76">
        <v>45782.0</v>
      </c>
      <c r="B4453" s="1" t="s">
        <v>219</v>
      </c>
      <c r="C4453" s="1" t="s">
        <v>64</v>
      </c>
      <c r="D4453" s="1">
        <v>0.1</v>
      </c>
      <c r="E4453" s="1">
        <v>16647.0</v>
      </c>
      <c r="F4453" s="10">
        <f t="shared" si="1"/>
        <v>0.3333333333</v>
      </c>
      <c r="G4453" s="10">
        <f t="array" ref="G4453">index('Player ID'!C:C,match(E4453,'Player ID'!B:B,0))</f>
        <v>657044</v>
      </c>
    </row>
    <row r="4454">
      <c r="A4454" s="76">
        <v>45782.0</v>
      </c>
      <c r="B4454" s="1" t="s">
        <v>295</v>
      </c>
      <c r="C4454" s="1" t="s">
        <v>51</v>
      </c>
      <c r="D4454" s="1">
        <v>1.0</v>
      </c>
      <c r="E4454" s="1">
        <v>16866.0</v>
      </c>
      <c r="F4454" s="10">
        <f t="shared" si="1"/>
        <v>1</v>
      </c>
      <c r="G4454" s="10">
        <f t="array" ref="G4454">index('Player ID'!C:C,match(E4454,'Player ID'!B:B,0))</f>
        <v>657585</v>
      </c>
    </row>
    <row r="4455">
      <c r="A4455" s="76">
        <v>45782.0</v>
      </c>
      <c r="B4455" s="1" t="s">
        <v>826</v>
      </c>
      <c r="C4455" s="1" t="s">
        <v>64</v>
      </c>
      <c r="D4455" s="1">
        <v>0.2</v>
      </c>
      <c r="E4455" s="1">
        <v>17169.0</v>
      </c>
      <c r="F4455" s="10">
        <f t="shared" si="1"/>
        <v>0.6666666667</v>
      </c>
      <c r="G4455" s="10">
        <f t="array" ref="G4455">index('Player ID'!C:C,match(E4455,'Player ID'!B:B,0))</f>
        <v>620454</v>
      </c>
    </row>
    <row r="4456">
      <c r="A4456" s="76">
        <v>45782.0</v>
      </c>
      <c r="B4456" s="1" t="s">
        <v>382</v>
      </c>
      <c r="C4456" s="1" t="s">
        <v>51</v>
      </c>
      <c r="D4456" s="1">
        <v>5.0</v>
      </c>
      <c r="E4456" s="1">
        <v>19867.0</v>
      </c>
      <c r="F4456" s="10">
        <f t="shared" si="1"/>
        <v>5</v>
      </c>
      <c r="G4456" s="10">
        <f t="array" ref="G4456">index('Player ID'!C:C,match(E4456,'Player ID'!B:B,0))</f>
        <v>656288</v>
      </c>
    </row>
    <row r="4457">
      <c r="A4457" s="76">
        <v>45782.0</v>
      </c>
      <c r="B4457" s="1" t="s">
        <v>370</v>
      </c>
      <c r="C4457" s="1" t="s">
        <v>64</v>
      </c>
      <c r="D4457" s="1">
        <v>1.0</v>
      </c>
      <c r="E4457" s="1">
        <v>21924.0</v>
      </c>
      <c r="F4457" s="10">
        <f t="shared" si="1"/>
        <v>1</v>
      </c>
      <c r="G4457" s="10">
        <f t="array" ref="G4457">index('Player ID'!C:C,match(E4457,'Player ID'!B:B,0))</f>
        <v>666661</v>
      </c>
    </row>
    <row r="4458">
      <c r="A4458" s="76">
        <v>45782.0</v>
      </c>
      <c r="B4458" s="1" t="s">
        <v>829</v>
      </c>
      <c r="C4458" s="1" t="s">
        <v>51</v>
      </c>
      <c r="D4458" s="1">
        <v>0.0</v>
      </c>
      <c r="E4458" s="1">
        <v>23055.0</v>
      </c>
      <c r="F4458" s="10">
        <f t="shared" si="1"/>
        <v>0</v>
      </c>
      <c r="G4458" s="10">
        <f t="array" ref="G4458">index('Player ID'!C:C,match(E4458,'Player ID'!B:B,0))</f>
        <v>673380</v>
      </c>
    </row>
    <row r="4459">
      <c r="A4459" s="76">
        <v>45782.0</v>
      </c>
      <c r="B4459" s="1" t="s">
        <v>93</v>
      </c>
      <c r="C4459" s="1" t="s">
        <v>64</v>
      </c>
      <c r="D4459" s="1">
        <v>4.1</v>
      </c>
      <c r="E4459" s="1">
        <v>26253.0</v>
      </c>
      <c r="F4459" s="10">
        <f t="shared" si="1"/>
        <v>4.333333333</v>
      </c>
      <c r="G4459" s="10">
        <f t="array" ref="G4459">index('Player ID'!C:C,match(E4459,'Player ID'!B:B,0))</f>
        <v>669194</v>
      </c>
    </row>
    <row r="4460">
      <c r="A4460" s="76">
        <v>45782.0</v>
      </c>
      <c r="B4460" s="1" t="s">
        <v>596</v>
      </c>
      <c r="C4460" s="1" t="s">
        <v>64</v>
      </c>
      <c r="D4460" s="1">
        <v>2.2</v>
      </c>
      <c r="E4460" s="1">
        <v>26285.0</v>
      </c>
      <c r="F4460" s="10">
        <f t="shared" si="1"/>
        <v>2.666666667</v>
      </c>
      <c r="G4460" s="10">
        <f t="array" ref="G4460">index('Player ID'!C:C,match(E4460,'Player ID'!B:B,0))</f>
        <v>674072</v>
      </c>
    </row>
    <row r="4461">
      <c r="A4461" s="76">
        <v>45782.0</v>
      </c>
      <c r="B4461" s="1" t="s">
        <v>281</v>
      </c>
      <c r="C4461" s="1" t="s">
        <v>52</v>
      </c>
      <c r="D4461" s="1">
        <v>6.0</v>
      </c>
      <c r="E4461" s="1">
        <v>15890.0</v>
      </c>
      <c r="F4461" s="10">
        <f t="shared" si="1"/>
        <v>6</v>
      </c>
      <c r="G4461" s="10">
        <f t="array" ref="G4461">index('Player ID'!C:C,match(E4461,'Player ID'!B:B,0))</f>
        <v>622663</v>
      </c>
    </row>
    <row r="4462">
      <c r="A4462" s="76">
        <v>45782.0</v>
      </c>
      <c r="B4462" s="1" t="s">
        <v>108</v>
      </c>
      <c r="C4462" s="1" t="s">
        <v>37</v>
      </c>
      <c r="D4462" s="1">
        <v>2.0</v>
      </c>
      <c r="E4462" s="1">
        <v>17948.0</v>
      </c>
      <c r="F4462" s="10">
        <f t="shared" si="1"/>
        <v>2</v>
      </c>
      <c r="G4462" s="10">
        <f t="array" ref="G4462">index('Player ID'!C:C,match(E4462,'Player ID'!B:B,0))</f>
        <v>663423</v>
      </c>
    </row>
    <row r="4463">
      <c r="A4463" s="76">
        <v>45782.0</v>
      </c>
      <c r="B4463" s="1" t="s">
        <v>505</v>
      </c>
      <c r="C4463" s="1" t="s">
        <v>52</v>
      </c>
      <c r="D4463" s="1">
        <v>1.0</v>
      </c>
      <c r="E4463" s="1">
        <v>19481.0</v>
      </c>
      <c r="F4463" s="10">
        <f t="shared" si="1"/>
        <v>1</v>
      </c>
      <c r="G4463" s="10">
        <f t="array" ref="G4463">index('Player ID'!C:C,match(E4463,'Player ID'!B:B,0))</f>
        <v>621053</v>
      </c>
    </row>
    <row r="4464">
      <c r="A4464" s="76">
        <v>45782.0</v>
      </c>
      <c r="B4464" s="1" t="s">
        <v>670</v>
      </c>
      <c r="C4464" s="1" t="s">
        <v>37</v>
      </c>
      <c r="D4464" s="1">
        <v>1.0</v>
      </c>
      <c r="E4464" s="1">
        <v>20373.0</v>
      </c>
      <c r="F4464" s="10">
        <f t="shared" si="1"/>
        <v>1</v>
      </c>
      <c r="G4464" s="10">
        <f t="array" ref="G4464">index('Player ID'!C:C,match(E4464,'Player ID'!B:B,0))</f>
        <v>662253</v>
      </c>
    </row>
    <row r="4465">
      <c r="A4465" s="76">
        <v>45782.0</v>
      </c>
      <c r="B4465" s="1" t="s">
        <v>227</v>
      </c>
      <c r="C4465" s="1" t="s">
        <v>52</v>
      </c>
      <c r="D4465" s="1">
        <v>1.0</v>
      </c>
      <c r="E4465" s="1">
        <v>21520.0</v>
      </c>
      <c r="F4465" s="10">
        <f t="shared" si="1"/>
        <v>1</v>
      </c>
      <c r="G4465" s="10">
        <f t="array" ref="G4465">index('Player ID'!C:C,match(E4465,'Player ID'!B:B,0))</f>
        <v>663687</v>
      </c>
    </row>
    <row r="4466">
      <c r="A4466" s="76">
        <v>45782.0</v>
      </c>
      <c r="B4466" s="1" t="s">
        <v>101</v>
      </c>
      <c r="C4466" s="1" t="s">
        <v>37</v>
      </c>
      <c r="D4466" s="1">
        <v>2.0</v>
      </c>
      <c r="E4466" s="1">
        <v>22915.0</v>
      </c>
      <c r="F4466" s="10">
        <f t="shared" si="1"/>
        <v>2</v>
      </c>
      <c r="G4466" s="10">
        <f t="array" ref="G4466">index('Player ID'!C:C,match(E4466,'Player ID'!B:B,0))</f>
        <v>672841</v>
      </c>
    </row>
    <row r="4467">
      <c r="A4467" s="76">
        <v>45782.0</v>
      </c>
      <c r="B4467" s="1" t="s">
        <v>683</v>
      </c>
      <c r="C4467" s="1" t="s">
        <v>37</v>
      </c>
      <c r="D4467" s="1">
        <v>1.0</v>
      </c>
      <c r="E4467" s="1">
        <v>23307.0</v>
      </c>
      <c r="F4467" s="10">
        <f t="shared" si="1"/>
        <v>1</v>
      </c>
      <c r="G4467" s="10">
        <f t="array" ref="G4467">index('Player ID'!C:C,match(E4467,'Player ID'!B:B,0))</f>
        <v>676092</v>
      </c>
    </row>
    <row r="4468">
      <c r="A4468" s="76">
        <v>45782.0</v>
      </c>
      <c r="B4468" s="1" t="s">
        <v>340</v>
      </c>
      <c r="C4468" s="1" t="s">
        <v>37</v>
      </c>
      <c r="D4468" s="1">
        <v>0.1</v>
      </c>
      <c r="E4468" s="1">
        <v>25921.0</v>
      </c>
      <c r="F4468" s="10">
        <f t="shared" si="1"/>
        <v>0.3333333333</v>
      </c>
      <c r="G4468" s="10">
        <f t="array" ref="G4468">index('Player ID'!C:C,match(E4468,'Player ID'!B:B,0))</f>
        <v>668984</v>
      </c>
    </row>
    <row r="4469">
      <c r="A4469" s="76">
        <v>45782.0</v>
      </c>
      <c r="B4469" s="1" t="s">
        <v>127</v>
      </c>
      <c r="C4469" s="1" t="s">
        <v>52</v>
      </c>
      <c r="D4469" s="1">
        <v>0.1</v>
      </c>
      <c r="E4469" s="1">
        <v>27707.0</v>
      </c>
      <c r="F4469" s="10">
        <f t="shared" si="1"/>
        <v>0.3333333333</v>
      </c>
      <c r="G4469" s="10">
        <f t="array" ref="G4469">index('Player ID'!C:C,match(E4469,'Player ID'!B:B,0))</f>
        <v>687765</v>
      </c>
    </row>
    <row r="4470">
      <c r="A4470" s="76">
        <v>45782.0</v>
      </c>
      <c r="B4470" s="1" t="s">
        <v>343</v>
      </c>
      <c r="C4470" s="1" t="s">
        <v>37</v>
      </c>
      <c r="D4470" s="1">
        <v>4.0</v>
      </c>
      <c r="E4470" s="1">
        <v>29837.0</v>
      </c>
      <c r="F4470" s="10">
        <f t="shared" si="1"/>
        <v>4</v>
      </c>
      <c r="G4470" s="10">
        <f t="array" ref="G4470">index('Player ID'!C:C,match(E4470,'Player ID'!B:B,0))</f>
        <v>682243</v>
      </c>
    </row>
    <row r="4471">
      <c r="A4471" s="76">
        <v>45782.0</v>
      </c>
      <c r="B4471" s="1" t="s">
        <v>681</v>
      </c>
      <c r="C4471" s="1" t="s">
        <v>52</v>
      </c>
      <c r="D4471" s="1">
        <v>1.2</v>
      </c>
      <c r="E4471" s="1">
        <v>30002.0</v>
      </c>
      <c r="F4471" s="10">
        <f t="shared" si="1"/>
        <v>1.666666667</v>
      </c>
      <c r="G4471" s="10">
        <f t="array" ref="G4471">index('Player ID'!C:C,match(E4471,'Player ID'!B:B,0))</f>
        <v>680880</v>
      </c>
    </row>
    <row r="4472">
      <c r="A4472" s="76">
        <v>45782.0</v>
      </c>
      <c r="B4472" s="1" t="s">
        <v>286</v>
      </c>
      <c r="C4472" s="1" t="s">
        <v>52</v>
      </c>
      <c r="D4472" s="1">
        <v>1.0</v>
      </c>
      <c r="E4472" s="1">
        <v>31757.0</v>
      </c>
      <c r="F4472" s="10">
        <f t="shared" si="1"/>
        <v>1</v>
      </c>
      <c r="G4472" s="10">
        <f t="array" ref="G4472">index('Player ID'!C:C,match(E4472,'Player ID'!B:B,0))</f>
        <v>695243</v>
      </c>
    </row>
    <row r="4473">
      <c r="A4473" s="76">
        <v>45783.0</v>
      </c>
      <c r="B4473" s="1" t="s">
        <v>506</v>
      </c>
      <c r="C4473" s="1" t="s">
        <v>80</v>
      </c>
      <c r="D4473" s="1">
        <v>0.2</v>
      </c>
      <c r="E4473" s="1">
        <v>12988.0</v>
      </c>
      <c r="F4473" s="10">
        <f t="shared" si="1"/>
        <v>0.6666666667</v>
      </c>
      <c r="G4473" s="10">
        <f t="array" ref="G4473">index('Player ID'!C:C,match(E4473,'Player ID'!B:B,0))</f>
        <v>605177</v>
      </c>
    </row>
    <row r="4474">
      <c r="A4474" s="76">
        <v>45783.0</v>
      </c>
      <c r="B4474" s="1" t="s">
        <v>719</v>
      </c>
      <c r="C4474" s="1" t="s">
        <v>80</v>
      </c>
      <c r="D4474" s="1">
        <v>1.2</v>
      </c>
      <c r="E4474" s="1">
        <v>14527.0</v>
      </c>
      <c r="F4474" s="10">
        <f t="shared" si="1"/>
        <v>1.666666667</v>
      </c>
      <c r="G4474" s="10">
        <f t="array" ref="G4474">index('Player ID'!C:C,match(E4474,'Player ID'!B:B,0))</f>
        <v>605347</v>
      </c>
    </row>
    <row r="4475">
      <c r="A4475" s="76">
        <v>45783.0</v>
      </c>
      <c r="B4475" s="1" t="s">
        <v>139</v>
      </c>
      <c r="C4475" s="1" t="s">
        <v>80</v>
      </c>
      <c r="D4475" s="1">
        <v>1.0</v>
      </c>
      <c r="E4475" s="1">
        <v>15009.0</v>
      </c>
      <c r="F4475" s="10">
        <f t="shared" si="1"/>
        <v>1</v>
      </c>
      <c r="G4475" s="10">
        <f t="array" ref="G4475">index('Player ID'!C:C,match(E4475,'Player ID'!B:B,0))</f>
        <v>640448</v>
      </c>
    </row>
    <row r="4476">
      <c r="A4476" s="76">
        <v>45783.0</v>
      </c>
      <c r="B4476" s="1" t="s">
        <v>141</v>
      </c>
      <c r="C4476" s="1" t="s">
        <v>70</v>
      </c>
      <c r="D4476" s="1">
        <v>0.2</v>
      </c>
      <c r="E4476" s="1">
        <v>19330.0</v>
      </c>
      <c r="F4476" s="10">
        <f t="shared" si="1"/>
        <v>0.6666666667</v>
      </c>
      <c r="G4476" s="10">
        <f t="array" ref="G4476">index('Player ID'!C:C,match(E4476,'Player ID'!B:B,0))</f>
        <v>670036</v>
      </c>
    </row>
    <row r="4477">
      <c r="A4477" s="76">
        <v>45783.0</v>
      </c>
      <c r="B4477" s="1" t="s">
        <v>396</v>
      </c>
      <c r="C4477" s="1" t="s">
        <v>80</v>
      </c>
      <c r="D4477" s="1">
        <v>5.1</v>
      </c>
      <c r="E4477" s="1">
        <v>21504.0</v>
      </c>
      <c r="F4477" s="10">
        <f t="shared" si="1"/>
        <v>5.333333333</v>
      </c>
      <c r="G4477" s="10">
        <f t="array" ref="G4477">index('Player ID'!C:C,match(E4477,'Player ID'!B:B,0))</f>
        <v>663623</v>
      </c>
    </row>
    <row r="4478">
      <c r="A4478" s="76">
        <v>45783.0</v>
      </c>
      <c r="B4478" s="1" t="s">
        <v>398</v>
      </c>
      <c r="C4478" s="1" t="s">
        <v>70</v>
      </c>
      <c r="D4478" s="1">
        <v>1.0</v>
      </c>
      <c r="E4478" s="1">
        <v>23335.0</v>
      </c>
      <c r="F4478" s="10">
        <f t="shared" si="1"/>
        <v>1</v>
      </c>
      <c r="G4478" s="10">
        <f t="array" ref="G4478">index('Player ID'!C:C,match(E4478,'Player ID'!B:B,0))</f>
        <v>676282</v>
      </c>
    </row>
    <row r="4479">
      <c r="A4479" s="76">
        <v>45783.0</v>
      </c>
      <c r="B4479" s="1" t="s">
        <v>86</v>
      </c>
      <c r="C4479" s="1" t="s">
        <v>80</v>
      </c>
      <c r="D4479" s="1">
        <v>0.1</v>
      </c>
      <c r="E4479" s="1">
        <v>24017.0</v>
      </c>
      <c r="F4479" s="10">
        <f t="shared" si="1"/>
        <v>0.3333333333</v>
      </c>
      <c r="G4479" s="10">
        <f t="array" ref="G4479">index('Player ID'!C:C,match(E4479,'Player ID'!B:B,0))</f>
        <v>678606</v>
      </c>
    </row>
    <row r="4480">
      <c r="A4480" s="76">
        <v>45783.0</v>
      </c>
      <c r="B4480" s="1" t="s">
        <v>238</v>
      </c>
      <c r="C4480" s="1" t="s">
        <v>70</v>
      </c>
      <c r="D4480" s="1">
        <v>0.1</v>
      </c>
      <c r="E4480" s="1">
        <v>25636.0</v>
      </c>
      <c r="F4480" s="10">
        <f t="shared" si="1"/>
        <v>0.3333333333</v>
      </c>
      <c r="G4480" s="10">
        <f t="array" ref="G4480">index('Player ID'!C:C,match(E4480,'Player ID'!B:B,0))</f>
        <v>683769</v>
      </c>
    </row>
    <row r="4481">
      <c r="A4481" s="76">
        <v>45783.0</v>
      </c>
      <c r="B4481" s="1" t="s">
        <v>484</v>
      </c>
      <c r="C4481" s="1" t="s">
        <v>70</v>
      </c>
      <c r="D4481" s="1">
        <v>5.1</v>
      </c>
      <c r="E4481" s="1">
        <v>27646.0</v>
      </c>
      <c r="F4481" s="10">
        <f t="shared" si="1"/>
        <v>5.333333333</v>
      </c>
      <c r="G4481" s="10">
        <f t="array" ref="G4481">index('Player ID'!C:C,match(E4481,'Player ID'!B:B,0))</f>
        <v>682847</v>
      </c>
    </row>
    <row r="4482">
      <c r="A4482" s="76">
        <v>45783.0</v>
      </c>
      <c r="B4482" s="1" t="s">
        <v>135</v>
      </c>
      <c r="C4482" s="1" t="s">
        <v>70</v>
      </c>
      <c r="D4482" s="1">
        <v>0.2</v>
      </c>
      <c r="E4482" s="1">
        <v>27867.0</v>
      </c>
      <c r="F4482" s="10">
        <f t="shared" si="1"/>
        <v>0.6666666667</v>
      </c>
      <c r="G4482" s="10">
        <f t="array" ref="G4482">index('Player ID'!C:C,match(E4482,'Player ID'!B:B,0))</f>
        <v>671922</v>
      </c>
    </row>
    <row r="4483">
      <c r="A4483" s="76">
        <v>45783.0</v>
      </c>
      <c r="B4483" s="1" t="s">
        <v>595</v>
      </c>
      <c r="C4483" s="1" t="s">
        <v>33</v>
      </c>
      <c r="D4483" s="1">
        <v>1.0</v>
      </c>
      <c r="E4483" s="1">
        <v>6984.0</v>
      </c>
      <c r="F4483" s="10">
        <f t="shared" si="1"/>
        <v>1</v>
      </c>
      <c r="G4483" s="10">
        <f t="array" ref="G4483">index('Player ID'!C:C,match(E4483,'Player ID'!B:B,0))</f>
        <v>472610</v>
      </c>
    </row>
    <row r="4484">
      <c r="A4484" s="76">
        <v>45783.0</v>
      </c>
      <c r="B4484" s="1" t="s">
        <v>310</v>
      </c>
      <c r="C4484" s="1" t="s">
        <v>33</v>
      </c>
      <c r="D4484" s="1">
        <v>1.0</v>
      </c>
      <c r="E4484" s="1">
        <v>14706.0</v>
      </c>
      <c r="F4484" s="10">
        <f t="shared" si="1"/>
        <v>1</v>
      </c>
      <c r="G4484" s="10">
        <f t="array" ref="G4484">index('Player ID'!C:C,match(E4484,'Player ID'!B:B,0))</f>
        <v>607455</v>
      </c>
    </row>
    <row r="4485">
      <c r="A4485" s="76">
        <v>45783.0</v>
      </c>
      <c r="B4485" s="1" t="s">
        <v>661</v>
      </c>
      <c r="C4485" s="1" t="s">
        <v>36</v>
      </c>
      <c r="D4485" s="1">
        <v>2.0</v>
      </c>
      <c r="E4485" s="1">
        <v>16300.0</v>
      </c>
      <c r="F4485" s="10">
        <f t="shared" si="1"/>
        <v>2</v>
      </c>
      <c r="G4485" s="10">
        <f t="array" ref="G4485">index('Player ID'!C:C,match(E4485,'Player ID'!B:B,0))</f>
        <v>622786</v>
      </c>
    </row>
    <row r="4486">
      <c r="A4486" s="76">
        <v>45783.0</v>
      </c>
      <c r="B4486" s="1" t="s">
        <v>805</v>
      </c>
      <c r="C4486" s="1" t="s">
        <v>33</v>
      </c>
      <c r="D4486" s="1">
        <v>0.0</v>
      </c>
      <c r="E4486" s="1">
        <v>16610.0</v>
      </c>
      <c r="F4486" s="10">
        <f t="shared" si="1"/>
        <v>0</v>
      </c>
      <c r="G4486" s="10">
        <f t="array" ref="G4486">index('Player ID'!C:C,match(E4486,'Player ID'!B:B,0))</f>
        <v>656420</v>
      </c>
    </row>
    <row r="4487">
      <c r="A4487" s="76">
        <v>45783.0</v>
      </c>
      <c r="B4487" s="1" t="s">
        <v>32</v>
      </c>
      <c r="C4487" s="1" t="s">
        <v>33</v>
      </c>
      <c r="D4487" s="1">
        <v>1.0</v>
      </c>
      <c r="E4487" s="1">
        <v>17586.0</v>
      </c>
      <c r="F4487" s="10">
        <f t="shared" si="1"/>
        <v>1</v>
      </c>
      <c r="G4487" s="10">
        <f t="array" ref="G4487">index('Player ID'!C:C,match(E4487,'Player ID'!B:B,0))</f>
        <v>656945</v>
      </c>
    </row>
    <row r="4488">
      <c r="A4488" s="76">
        <v>45783.0</v>
      </c>
      <c r="B4488" s="1" t="s">
        <v>241</v>
      </c>
      <c r="C4488" s="1" t="s">
        <v>36</v>
      </c>
      <c r="D4488" s="1">
        <v>0.2</v>
      </c>
      <c r="E4488" s="1">
        <v>19222.0</v>
      </c>
      <c r="F4488" s="10">
        <f t="shared" si="1"/>
        <v>0.6666666667</v>
      </c>
      <c r="G4488" s="10">
        <f t="array" ref="G4488">index('Player ID'!C:C,match(E4488,'Player ID'!B:B,0))</f>
        <v>669199</v>
      </c>
    </row>
    <row r="4489">
      <c r="A4489" s="76">
        <v>45783.0</v>
      </c>
      <c r="B4489" s="1" t="s">
        <v>464</v>
      </c>
      <c r="C4489" s="1" t="s">
        <v>36</v>
      </c>
      <c r="D4489" s="1">
        <v>5.0</v>
      </c>
      <c r="E4489" s="1">
        <v>19312.0</v>
      </c>
      <c r="F4489" s="10">
        <f t="shared" si="1"/>
        <v>5</v>
      </c>
      <c r="G4489" s="10">
        <f t="array" ref="G4489">index('Player ID'!C:C,match(E4489,'Player ID'!B:B,0))</f>
        <v>615698</v>
      </c>
    </row>
    <row r="4490">
      <c r="A4490" s="76">
        <v>45783.0</v>
      </c>
      <c r="B4490" s="1" t="s">
        <v>459</v>
      </c>
      <c r="C4490" s="1" t="s">
        <v>33</v>
      </c>
      <c r="D4490" s="1">
        <v>5.0</v>
      </c>
      <c r="E4490" s="1">
        <v>19388.0</v>
      </c>
      <c r="F4490" s="10">
        <f t="shared" si="1"/>
        <v>5</v>
      </c>
      <c r="G4490" s="10">
        <f t="array" ref="G4490">index('Player ID'!C:C,match(E4490,'Player ID'!B:B,0))</f>
        <v>664062</v>
      </c>
    </row>
    <row r="4491">
      <c r="A4491" s="76">
        <v>45783.0</v>
      </c>
      <c r="B4491" s="1" t="s">
        <v>89</v>
      </c>
      <c r="C4491" s="1" t="s">
        <v>36</v>
      </c>
      <c r="D4491" s="1">
        <v>1.0</v>
      </c>
      <c r="E4491" s="1">
        <v>19742.0</v>
      </c>
      <c r="F4491" s="10">
        <f t="shared" si="1"/>
        <v>1</v>
      </c>
      <c r="G4491" s="10">
        <f t="array" ref="G4491">index('Player ID'!C:C,match(E4491,'Player ID'!B:B,0))</f>
        <v>669622</v>
      </c>
    </row>
    <row r="4492">
      <c r="A4492" s="76">
        <v>45783.0</v>
      </c>
      <c r="B4492" s="1" t="s">
        <v>262</v>
      </c>
      <c r="C4492" s="1" t="s">
        <v>36</v>
      </c>
      <c r="D4492" s="1">
        <v>0.2</v>
      </c>
      <c r="E4492" s="1">
        <v>20116.0</v>
      </c>
      <c r="F4492" s="10">
        <f t="shared" si="1"/>
        <v>0.6666666667</v>
      </c>
      <c r="G4492" s="10">
        <f t="array" ref="G4492">index('Player ID'!C:C,match(E4492,'Player ID'!B:B,0))</f>
        <v>676534</v>
      </c>
    </row>
    <row r="4493">
      <c r="A4493" s="76">
        <v>45783.0</v>
      </c>
      <c r="B4493" s="1" t="s">
        <v>92</v>
      </c>
      <c r="C4493" s="1" t="s">
        <v>33</v>
      </c>
      <c r="D4493" s="1">
        <v>1.0</v>
      </c>
      <c r="E4493" s="1">
        <v>25007.0</v>
      </c>
      <c r="F4493" s="10">
        <f t="shared" si="1"/>
        <v>1</v>
      </c>
      <c r="G4493" s="10">
        <f t="array" ref="G4493">index('Player ID'!C:C,match(E4493,'Player ID'!B:B,0))</f>
        <v>681911</v>
      </c>
    </row>
    <row r="4494">
      <c r="A4494" s="76">
        <v>45783.0</v>
      </c>
      <c r="B4494" s="1" t="s">
        <v>676</v>
      </c>
      <c r="C4494" s="1" t="s">
        <v>36</v>
      </c>
      <c r="D4494" s="1">
        <v>0.2</v>
      </c>
      <c r="E4494" s="1">
        <v>27453.0</v>
      </c>
      <c r="F4494" s="10">
        <f t="shared" si="1"/>
        <v>0.6666666667</v>
      </c>
      <c r="G4494" s="10">
        <f t="array" ref="G4494">index('Player ID'!C:C,match(E4494,'Player ID'!B:B,0))</f>
        <v>685107</v>
      </c>
    </row>
    <row r="4495">
      <c r="A4495" s="76">
        <v>45783.0</v>
      </c>
      <c r="B4495" s="1" t="s">
        <v>115</v>
      </c>
      <c r="C4495" s="1" t="s">
        <v>56</v>
      </c>
      <c r="D4495" s="1">
        <v>6.0</v>
      </c>
      <c r="E4495" s="1">
        <v>9132.0</v>
      </c>
      <c r="F4495" s="10">
        <f t="shared" si="1"/>
        <v>6</v>
      </c>
      <c r="G4495" s="10">
        <f t="array" ref="G4495">index('Player ID'!C:C,match(E4495,'Player ID'!B:B,0))</f>
        <v>543135</v>
      </c>
    </row>
    <row r="4496">
      <c r="A4496" s="76">
        <v>45783.0</v>
      </c>
      <c r="B4496" s="1" t="s">
        <v>74</v>
      </c>
      <c r="C4496" s="1" t="s">
        <v>56</v>
      </c>
      <c r="D4496" s="1">
        <v>1.0</v>
      </c>
      <c r="E4496" s="1">
        <v>11847.0</v>
      </c>
      <c r="F4496" s="10">
        <f t="shared" si="1"/>
        <v>1</v>
      </c>
      <c r="G4496" s="10">
        <f t="array" ref="G4496">index('Player ID'!C:C,match(E4496,'Player ID'!B:B,0))</f>
        <v>455119</v>
      </c>
    </row>
    <row r="4497">
      <c r="A4497" s="76">
        <v>45783.0</v>
      </c>
      <c r="B4497" s="1" t="s">
        <v>440</v>
      </c>
      <c r="C4497" s="1" t="s">
        <v>56</v>
      </c>
      <c r="D4497" s="1">
        <v>1.1</v>
      </c>
      <c r="E4497" s="1">
        <v>12857.0</v>
      </c>
      <c r="F4497" s="10">
        <f t="shared" si="1"/>
        <v>1.333333333</v>
      </c>
      <c r="G4497" s="10">
        <f t="array" ref="G4497">index('Player ID'!C:C,match(E4497,'Player ID'!B:B,0))</f>
        <v>542888</v>
      </c>
    </row>
    <row r="4498">
      <c r="A4498" s="76">
        <v>45783.0</v>
      </c>
      <c r="B4498" s="1" t="s">
        <v>416</v>
      </c>
      <c r="C4498" s="1" t="s">
        <v>22</v>
      </c>
      <c r="D4498" s="1">
        <v>3.2</v>
      </c>
      <c r="E4498" s="1">
        <v>15474.0</v>
      </c>
      <c r="F4498" s="10">
        <f t="shared" si="1"/>
        <v>3.666666667</v>
      </c>
      <c r="G4498" s="10">
        <f t="array" ref="G4498">index('Player ID'!C:C,match(E4498,'Player ID'!B:B,0))</f>
        <v>608337</v>
      </c>
    </row>
    <row r="4499">
      <c r="A4499" s="76">
        <v>45783.0</v>
      </c>
      <c r="B4499" s="1" t="s">
        <v>493</v>
      </c>
      <c r="C4499" s="1" t="s">
        <v>22</v>
      </c>
      <c r="D4499" s="1">
        <v>1.1</v>
      </c>
      <c r="E4499" s="1">
        <v>16835.0</v>
      </c>
      <c r="F4499" s="10">
        <f t="shared" si="1"/>
        <v>1.333333333</v>
      </c>
      <c r="G4499" s="10">
        <f t="array" ref="G4499">index('Player ID'!C:C,match(E4499,'Player ID'!B:B,0))</f>
        <v>657514</v>
      </c>
    </row>
    <row r="4500">
      <c r="A4500" s="76">
        <v>45783.0</v>
      </c>
      <c r="B4500" s="1" t="s">
        <v>415</v>
      </c>
      <c r="C4500" s="1" t="s">
        <v>22</v>
      </c>
      <c r="D4500" s="1">
        <v>4.0</v>
      </c>
      <c r="E4500" s="1">
        <v>16943.0</v>
      </c>
      <c r="F4500" s="10">
        <f t="shared" si="1"/>
        <v>4</v>
      </c>
      <c r="G4500" s="10">
        <f t="array" ref="G4500">index('Player ID'!C:C,match(E4500,'Player ID'!B:B,0))</f>
        <v>656794</v>
      </c>
    </row>
    <row r="4501">
      <c r="A4501" s="76">
        <v>45783.0</v>
      </c>
      <c r="B4501" s="1" t="s">
        <v>268</v>
      </c>
      <c r="C4501" s="1" t="s">
        <v>56</v>
      </c>
      <c r="D4501" s="1">
        <v>0.2</v>
      </c>
      <c r="E4501" s="1">
        <v>23363.0</v>
      </c>
      <c r="F4501" s="10">
        <f t="shared" si="1"/>
        <v>0.6666666667</v>
      </c>
      <c r="G4501" s="10">
        <f t="array" ref="G4501">index('Player ID'!C:C,match(E4501,'Player ID'!B:B,0))</f>
        <v>676395</v>
      </c>
    </row>
    <row r="4502">
      <c r="A4502" s="76">
        <v>45783.0</v>
      </c>
      <c r="B4502" s="1" t="s">
        <v>642</v>
      </c>
      <c r="C4502" s="1" t="s">
        <v>80</v>
      </c>
      <c r="D4502" s="1">
        <v>0.1</v>
      </c>
      <c r="E4502" s="1">
        <v>13470.0</v>
      </c>
      <c r="F4502" s="10">
        <f t="shared" si="1"/>
        <v>0.3333333333</v>
      </c>
      <c r="G4502" s="10">
        <f t="array" ref="G4502">index('Player ID'!C:C,match(E4502,'Player ID'!B:B,0))</f>
        <v>608371</v>
      </c>
    </row>
    <row r="4503">
      <c r="A4503" s="76">
        <v>45783.0</v>
      </c>
      <c r="B4503" s="1" t="s">
        <v>117</v>
      </c>
      <c r="C4503" s="1" t="s">
        <v>70</v>
      </c>
      <c r="D4503" s="1">
        <v>2.0</v>
      </c>
      <c r="E4503" s="1">
        <v>13619.0</v>
      </c>
      <c r="F4503" s="10">
        <f t="shared" si="1"/>
        <v>2</v>
      </c>
      <c r="G4503" s="10">
        <f t="array" ref="G4503">index('Player ID'!C:C,match(E4503,'Player ID'!B:B,0))</f>
        <v>596001</v>
      </c>
    </row>
    <row r="4504">
      <c r="A4504" s="76">
        <v>45783.0</v>
      </c>
      <c r="B4504" s="1" t="s">
        <v>298</v>
      </c>
      <c r="C4504" s="1" t="s">
        <v>70</v>
      </c>
      <c r="D4504" s="1">
        <v>5.1</v>
      </c>
      <c r="E4504" s="1">
        <v>14932.0</v>
      </c>
      <c r="F4504" s="10">
        <f t="shared" si="1"/>
        <v>5.333333333</v>
      </c>
      <c r="G4504" s="10">
        <f t="array" ref="G4504">index('Player ID'!C:C,match(E4504,'Player ID'!B:B,0))</f>
        <v>594902</v>
      </c>
    </row>
    <row r="4505">
      <c r="A4505" s="76">
        <v>45783.0</v>
      </c>
      <c r="B4505" s="1" t="s">
        <v>508</v>
      </c>
      <c r="C4505" s="1" t="s">
        <v>80</v>
      </c>
      <c r="D4505" s="1">
        <v>1.0</v>
      </c>
      <c r="E4505" s="1">
        <v>23135.0</v>
      </c>
      <c r="F4505" s="10">
        <f t="shared" si="1"/>
        <v>1</v>
      </c>
      <c r="G4505" s="10">
        <f t="array" ref="G4505">index('Player ID'!C:C,match(E4505,'Player ID'!B:B,0))</f>
        <v>674285</v>
      </c>
    </row>
    <row r="4506">
      <c r="A4506" s="76">
        <v>45783.0</v>
      </c>
      <c r="B4506" s="1" t="s">
        <v>519</v>
      </c>
      <c r="C4506" s="1" t="s">
        <v>70</v>
      </c>
      <c r="D4506" s="1">
        <v>0.2</v>
      </c>
      <c r="E4506" s="1">
        <v>25139.0</v>
      </c>
      <c r="F4506" s="10">
        <f t="shared" si="1"/>
        <v>0.6666666667</v>
      </c>
      <c r="G4506" s="10">
        <f t="array" ref="G4506">index('Player ID'!C:C,match(E4506,'Player ID'!B:B,0))</f>
        <v>682120</v>
      </c>
    </row>
    <row r="4507">
      <c r="A4507" s="76">
        <v>45783.0</v>
      </c>
      <c r="B4507" s="1" t="s">
        <v>727</v>
      </c>
      <c r="C4507" s="1" t="s">
        <v>70</v>
      </c>
      <c r="D4507" s="1">
        <v>1.0</v>
      </c>
      <c r="E4507" s="1">
        <v>25703.0</v>
      </c>
      <c r="F4507" s="10">
        <f t="shared" si="1"/>
        <v>1</v>
      </c>
      <c r="G4507" s="10">
        <f t="array" ref="G4507">index('Player ID'!C:C,match(E4507,'Player ID'!B:B,0))</f>
        <v>687849</v>
      </c>
    </row>
    <row r="4508">
      <c r="A4508" s="76">
        <v>45783.0</v>
      </c>
      <c r="B4508" s="1" t="s">
        <v>511</v>
      </c>
      <c r="C4508" s="1" t="s">
        <v>80</v>
      </c>
      <c r="D4508" s="1">
        <v>0.2</v>
      </c>
      <c r="E4508" s="1">
        <v>26215.0</v>
      </c>
      <c r="F4508" s="10">
        <f t="shared" si="1"/>
        <v>0.6666666667</v>
      </c>
      <c r="G4508" s="10">
        <f t="array" ref="G4508">index('Player ID'!C:C,match(E4508,'Player ID'!B:B,0))</f>
        <v>671131</v>
      </c>
    </row>
    <row r="4509">
      <c r="A4509" s="76">
        <v>45783.0</v>
      </c>
      <c r="B4509" s="1" t="s">
        <v>818</v>
      </c>
      <c r="C4509" s="1" t="s">
        <v>80</v>
      </c>
      <c r="D4509" s="1">
        <v>1.0</v>
      </c>
      <c r="E4509" s="1">
        <v>27783.0</v>
      </c>
      <c r="F4509" s="10">
        <f t="shared" si="1"/>
        <v>1</v>
      </c>
      <c r="G4509" s="10">
        <f t="array" ref="G4509">index('Player ID'!C:C,match(E4509,'Player ID'!B:B,0))</f>
        <v>694350</v>
      </c>
    </row>
    <row r="4510">
      <c r="A4510" s="76">
        <v>45783.0</v>
      </c>
      <c r="B4510" s="1" t="s">
        <v>437</v>
      </c>
      <c r="C4510" s="1" t="s">
        <v>80</v>
      </c>
      <c r="D4510" s="1">
        <v>6.0</v>
      </c>
      <c r="E4510" s="1">
        <v>31972.0</v>
      </c>
      <c r="F4510" s="10">
        <f t="shared" si="1"/>
        <v>6</v>
      </c>
      <c r="G4510" s="10">
        <f t="array" ref="G4510">index('Player ID'!C:C,match(E4510,'Player ID'!B:B,0))</f>
        <v>695418</v>
      </c>
    </row>
    <row r="4511">
      <c r="A4511" s="76">
        <v>45783.0</v>
      </c>
      <c r="B4511" s="1" t="s">
        <v>79</v>
      </c>
      <c r="C4511" s="1" t="s">
        <v>45</v>
      </c>
      <c r="D4511" s="1">
        <v>7.0</v>
      </c>
      <c r="E4511" s="1">
        <v>10310.0</v>
      </c>
      <c r="F4511" s="10">
        <f t="shared" si="1"/>
        <v>7</v>
      </c>
      <c r="G4511" s="10">
        <f t="array" ref="G4511">index('Player ID'!C:C,match(E4511,'Player ID'!B:B,0))</f>
        <v>554430</v>
      </c>
    </row>
    <row r="4512">
      <c r="A4512" s="76">
        <v>45783.0</v>
      </c>
      <c r="B4512" s="1" t="s">
        <v>182</v>
      </c>
      <c r="C4512" s="1" t="s">
        <v>45</v>
      </c>
      <c r="D4512" s="1">
        <v>1.0</v>
      </c>
      <c r="E4512" s="1">
        <v>13799.0</v>
      </c>
      <c r="F4512" s="10">
        <f t="shared" si="1"/>
        <v>1</v>
      </c>
      <c r="G4512" s="10">
        <f t="array" ref="G4512">index('Player ID'!C:C,match(E4512,'Player ID'!B:B,0))</f>
        <v>621381</v>
      </c>
    </row>
    <row r="4513">
      <c r="A4513" s="76">
        <v>45783.0</v>
      </c>
      <c r="B4513" s="1" t="s">
        <v>784</v>
      </c>
      <c r="C4513" s="1" t="s">
        <v>54</v>
      </c>
      <c r="D4513" s="1">
        <v>1.0</v>
      </c>
      <c r="E4513" s="1">
        <v>15256.0</v>
      </c>
      <c r="F4513" s="10">
        <f t="shared" si="1"/>
        <v>1</v>
      </c>
      <c r="G4513" s="10">
        <f t="array" ref="G4513">index('Player ID'!C:C,match(E4513,'Player ID'!B:B,0))</f>
        <v>642121</v>
      </c>
    </row>
    <row r="4514">
      <c r="A4514" s="76">
        <v>45783.0</v>
      </c>
      <c r="B4514" s="1" t="s">
        <v>204</v>
      </c>
      <c r="C4514" s="1" t="s">
        <v>54</v>
      </c>
      <c r="D4514" s="1">
        <v>1.0</v>
      </c>
      <c r="E4514" s="1">
        <v>22288.0</v>
      </c>
      <c r="F4514" s="10">
        <f t="shared" si="1"/>
        <v>1</v>
      </c>
      <c r="G4514" s="10">
        <f t="array" ref="G4514">index('Player ID'!C:C,match(E4514,'Player ID'!B:B,0))</f>
        <v>669438</v>
      </c>
    </row>
    <row r="4515">
      <c r="A4515" s="76">
        <v>45783.0</v>
      </c>
      <c r="B4515" s="1" t="s">
        <v>97</v>
      </c>
      <c r="C4515" s="1" t="s">
        <v>54</v>
      </c>
      <c r="D4515" s="1">
        <v>4.1</v>
      </c>
      <c r="E4515" s="1">
        <v>25385.0</v>
      </c>
      <c r="F4515" s="10">
        <f t="shared" si="1"/>
        <v>4.333333333</v>
      </c>
      <c r="G4515" s="10">
        <f t="array" ref="G4515">index('Player ID'!C:C,match(E4515,'Player ID'!B:B,0))</f>
        <v>656876</v>
      </c>
    </row>
    <row r="4516">
      <c r="A4516" s="76">
        <v>45783.0</v>
      </c>
      <c r="B4516" s="1" t="s">
        <v>257</v>
      </c>
      <c r="C4516" s="1" t="s">
        <v>54</v>
      </c>
      <c r="D4516" s="1">
        <v>2.0</v>
      </c>
      <c r="E4516" s="1">
        <v>27626.0</v>
      </c>
      <c r="F4516" s="10">
        <f t="shared" si="1"/>
        <v>2</v>
      </c>
      <c r="G4516" s="10">
        <f t="array" ref="G4516">index('Player ID'!C:C,match(E4516,'Player ID'!B:B,0))</f>
        <v>679358</v>
      </c>
    </row>
    <row r="4517">
      <c r="A4517" s="76">
        <v>45783.0</v>
      </c>
      <c r="B4517" s="1" t="s">
        <v>334</v>
      </c>
      <c r="C4517" s="1" t="s">
        <v>54</v>
      </c>
      <c r="D4517" s="1">
        <v>0.2</v>
      </c>
      <c r="E4517" s="1">
        <v>29770.0</v>
      </c>
      <c r="F4517" s="10">
        <f t="shared" si="1"/>
        <v>0.6666666667</v>
      </c>
      <c r="G4517" s="10">
        <f t="array" ref="G4517">index('Player ID'!C:C,match(E4517,'Player ID'!B:B,0))</f>
        <v>682254</v>
      </c>
    </row>
    <row r="4518">
      <c r="A4518" s="76">
        <v>45783.0</v>
      </c>
      <c r="B4518" s="1" t="s">
        <v>165</v>
      </c>
      <c r="C4518" s="1" t="s">
        <v>45</v>
      </c>
      <c r="D4518" s="1">
        <v>1.0</v>
      </c>
      <c r="E4518" s="1">
        <v>31776.0</v>
      </c>
      <c r="F4518" s="10">
        <f t="shared" si="1"/>
        <v>1</v>
      </c>
      <c r="G4518" s="10">
        <f t="array" ref="G4518">index('Player ID'!C:C,match(E4518,'Player ID'!B:B,0))</f>
        <v>689147</v>
      </c>
    </row>
    <row r="4519">
      <c r="A4519" s="76">
        <v>45783.0</v>
      </c>
      <c r="B4519" s="1" t="s">
        <v>422</v>
      </c>
      <c r="C4519" s="1" t="s">
        <v>58</v>
      </c>
      <c r="D4519" s="1">
        <v>0.2</v>
      </c>
      <c r="E4519" s="1">
        <v>7048.0</v>
      </c>
      <c r="F4519" s="10">
        <f t="shared" si="1"/>
        <v>0.6666666667</v>
      </c>
      <c r="G4519" s="10">
        <f t="array" ref="G4519">index('Player ID'!C:C,match(E4519,'Player ID'!B:B,0))</f>
        <v>518585</v>
      </c>
    </row>
    <row r="4520">
      <c r="A4520" s="76">
        <v>45783.0</v>
      </c>
      <c r="B4520" s="1" t="s">
        <v>730</v>
      </c>
      <c r="C4520" s="1" t="s">
        <v>58</v>
      </c>
      <c r="D4520" s="1">
        <v>1.0</v>
      </c>
      <c r="E4520" s="1">
        <v>10058.0</v>
      </c>
      <c r="F4520" s="10">
        <f t="shared" si="1"/>
        <v>1</v>
      </c>
      <c r="G4520" s="10">
        <f t="array" ref="G4520">index('Player ID'!C:C,match(E4520,'Player ID'!B:B,0))</f>
        <v>554431</v>
      </c>
    </row>
    <row r="4521">
      <c r="A4521" s="76">
        <v>45783.0</v>
      </c>
      <c r="B4521" s="1" t="s">
        <v>404</v>
      </c>
      <c r="C4521" s="1" t="s">
        <v>26</v>
      </c>
      <c r="D4521" s="1">
        <v>0.2</v>
      </c>
      <c r="E4521" s="1">
        <v>14295.0</v>
      </c>
      <c r="F4521" s="10">
        <f t="shared" si="1"/>
        <v>0.6666666667</v>
      </c>
      <c r="G4521" s="10">
        <f t="array" ref="G4521">index('Player ID'!C:C,match(E4521,'Player ID'!B:B,0))</f>
        <v>593974</v>
      </c>
    </row>
    <row r="4522">
      <c r="A4522" s="76">
        <v>45783.0</v>
      </c>
      <c r="B4522" s="1" t="s">
        <v>69</v>
      </c>
      <c r="C4522" s="1" t="s">
        <v>58</v>
      </c>
      <c r="D4522" s="1">
        <v>0.1</v>
      </c>
      <c r="E4522" s="1">
        <v>16814.0</v>
      </c>
      <c r="F4522" s="10">
        <f t="shared" si="1"/>
        <v>0.3333333333</v>
      </c>
      <c r="G4522" s="10">
        <f t="array" ref="G4522">index('Player ID'!C:C,match(E4522,'Player ID'!B:B,0))</f>
        <v>657612</v>
      </c>
    </row>
    <row r="4523">
      <c r="A4523" s="76">
        <v>45783.0</v>
      </c>
      <c r="B4523" s="1" t="s">
        <v>207</v>
      </c>
      <c r="C4523" s="1" t="s">
        <v>26</v>
      </c>
      <c r="D4523" s="1">
        <v>6.0</v>
      </c>
      <c r="E4523" s="1">
        <v>19853.0</v>
      </c>
      <c r="F4523" s="10">
        <f t="shared" si="1"/>
        <v>6</v>
      </c>
      <c r="G4523" s="10">
        <f t="array" ref="G4523">index('Player ID'!C:C,match(E4523,'Player ID'!B:B,0))</f>
        <v>650633</v>
      </c>
    </row>
    <row r="4524">
      <c r="A4524" s="76">
        <v>45783.0</v>
      </c>
      <c r="B4524" s="1" t="s">
        <v>408</v>
      </c>
      <c r="C4524" s="1" t="s">
        <v>58</v>
      </c>
      <c r="D4524" s="1">
        <v>6.0</v>
      </c>
      <c r="E4524" s="1">
        <v>19899.0</v>
      </c>
      <c r="F4524" s="10">
        <f t="shared" si="1"/>
        <v>6</v>
      </c>
      <c r="G4524" s="10">
        <f t="array" ref="G4524">index('Player ID'!C:C,match(E4524,'Player ID'!B:B,0))</f>
        <v>657376</v>
      </c>
    </row>
    <row r="4525">
      <c r="A4525" s="76">
        <v>45783.0</v>
      </c>
      <c r="B4525" s="1" t="s">
        <v>49</v>
      </c>
      <c r="C4525" s="1" t="s">
        <v>26</v>
      </c>
      <c r="D4525" s="1">
        <v>0.1</v>
      </c>
      <c r="E4525" s="1">
        <v>20039.0</v>
      </c>
      <c r="F4525" s="10">
        <f t="shared" si="1"/>
        <v>0.3333333333</v>
      </c>
      <c r="G4525" s="10">
        <f t="array" ref="G4525">index('Player ID'!C:C,match(E4525,'Player ID'!B:B,0))</f>
        <v>670970</v>
      </c>
    </row>
    <row r="4526">
      <c r="A4526" s="76">
        <v>45783.0</v>
      </c>
      <c r="B4526" s="1" t="s">
        <v>309</v>
      </c>
      <c r="C4526" s="1" t="s">
        <v>58</v>
      </c>
      <c r="D4526" s="1">
        <v>1.0</v>
      </c>
      <c r="E4526" s="1">
        <v>21420.0</v>
      </c>
      <c r="F4526" s="10">
        <f t="shared" si="1"/>
        <v>1</v>
      </c>
      <c r="G4526" s="10">
        <f t="array" ref="G4526">index('Player ID'!C:C,match(E4526,'Player ID'!B:B,0))</f>
        <v>660787</v>
      </c>
    </row>
    <row r="4527">
      <c r="A4527" s="76">
        <v>45783.0</v>
      </c>
      <c r="B4527" s="1" t="s">
        <v>224</v>
      </c>
      <c r="C4527" s="1" t="s">
        <v>26</v>
      </c>
      <c r="D4527" s="1">
        <v>1.0</v>
      </c>
      <c r="E4527" s="1">
        <v>29863.0</v>
      </c>
      <c r="F4527" s="10">
        <f t="shared" si="1"/>
        <v>1</v>
      </c>
      <c r="G4527" s="10">
        <f t="array" ref="G4527">index('Player ID'!C:C,match(E4527,'Player ID'!B:B,0))</f>
        <v>686701</v>
      </c>
    </row>
    <row r="4528">
      <c r="A4528" s="76">
        <v>45783.0</v>
      </c>
      <c r="B4528" s="1" t="s">
        <v>156</v>
      </c>
      <c r="C4528" s="1" t="s">
        <v>46</v>
      </c>
      <c r="D4528" s="1">
        <v>6.2</v>
      </c>
      <c r="E4528" s="1">
        <v>10603.0</v>
      </c>
      <c r="F4528" s="10">
        <f t="shared" si="1"/>
        <v>6.666666667</v>
      </c>
      <c r="G4528" s="10">
        <f t="array" ref="G4528">index('Player ID'!C:C,match(E4528,'Player ID'!B:B,0))</f>
        <v>519242</v>
      </c>
    </row>
    <row r="4529">
      <c r="A4529" s="76">
        <v>45783.0</v>
      </c>
      <c r="B4529" s="1" t="s">
        <v>326</v>
      </c>
      <c r="C4529" s="1" t="s">
        <v>46</v>
      </c>
      <c r="D4529" s="1">
        <v>1.0</v>
      </c>
      <c r="E4529" s="1">
        <v>12760.0</v>
      </c>
      <c r="F4529" s="10">
        <f t="shared" si="1"/>
        <v>1</v>
      </c>
      <c r="G4529" s="10">
        <f t="array" ref="G4529">index('Player ID'!C:C,match(E4529,'Player ID'!B:B,0))</f>
        <v>606160</v>
      </c>
    </row>
    <row r="4530">
      <c r="A4530" s="76">
        <v>45783.0</v>
      </c>
      <c r="B4530" s="1" t="s">
        <v>178</v>
      </c>
      <c r="C4530" s="1" t="s">
        <v>46</v>
      </c>
      <c r="D4530" s="1">
        <v>0.1</v>
      </c>
      <c r="E4530" s="1">
        <v>13435.0</v>
      </c>
      <c r="F4530" s="10">
        <f t="shared" si="1"/>
        <v>0.3333333333</v>
      </c>
      <c r="G4530" s="10">
        <f t="array" ref="G4530">index('Player ID'!C:C,match(E4530,'Player ID'!B:B,0))</f>
        <v>572955</v>
      </c>
    </row>
    <row r="4531">
      <c r="A4531" s="76">
        <v>45783.0</v>
      </c>
      <c r="B4531" s="1" t="s">
        <v>651</v>
      </c>
      <c r="C4531" s="1" t="s">
        <v>66</v>
      </c>
      <c r="D4531" s="1">
        <v>1.0</v>
      </c>
      <c r="E4531" s="1">
        <v>14771.0</v>
      </c>
      <c r="F4531" s="10">
        <f t="shared" si="1"/>
        <v>1</v>
      </c>
      <c r="G4531" s="10">
        <f t="array" ref="G4531">index('Player ID'!C:C,match(E4531,'Player ID'!B:B,0))</f>
        <v>641941</v>
      </c>
    </row>
    <row r="4532">
      <c r="A4532" s="76">
        <v>45783.0</v>
      </c>
      <c r="B4532" s="1" t="s">
        <v>184</v>
      </c>
      <c r="C4532" s="1" t="s">
        <v>46</v>
      </c>
      <c r="D4532" s="1">
        <v>1.0</v>
      </c>
      <c r="E4532" s="1">
        <v>17130.0</v>
      </c>
      <c r="F4532" s="10">
        <f t="shared" si="1"/>
        <v>1</v>
      </c>
      <c r="G4532" s="10">
        <f t="array" ref="G4532">index('Player ID'!C:C,match(E4532,'Player ID'!B:B,0))</f>
        <v>628452</v>
      </c>
    </row>
    <row r="4533">
      <c r="A4533" s="76">
        <v>45783.0</v>
      </c>
      <c r="B4533" s="1" t="s">
        <v>345</v>
      </c>
      <c r="C4533" s="1" t="s">
        <v>66</v>
      </c>
      <c r="D4533" s="1">
        <v>2.0</v>
      </c>
      <c r="E4533" s="1">
        <v>19926.0</v>
      </c>
      <c r="F4533" s="10">
        <f t="shared" si="1"/>
        <v>2</v>
      </c>
      <c r="G4533" s="10">
        <f t="array" ref="G4533">index('Player ID'!C:C,match(E4533,'Player ID'!B:B,0))</f>
        <v>663574</v>
      </c>
    </row>
    <row r="4534">
      <c r="A4534" s="76">
        <v>45783.0</v>
      </c>
      <c r="B4534" s="1" t="s">
        <v>688</v>
      </c>
      <c r="C4534" s="1" t="s">
        <v>46</v>
      </c>
      <c r="D4534" s="1">
        <v>1.0</v>
      </c>
      <c r="E4534" s="1">
        <v>20271.0</v>
      </c>
      <c r="F4534" s="10">
        <f t="shared" si="1"/>
        <v>1</v>
      </c>
      <c r="G4534" s="10">
        <f t="array" ref="G4534">index('Player ID'!C:C,match(E4534,'Player ID'!B:B,0))</f>
        <v>678226</v>
      </c>
    </row>
    <row r="4535">
      <c r="A4535" s="76">
        <v>45783.0</v>
      </c>
      <c r="B4535" s="1" t="s">
        <v>518</v>
      </c>
      <c r="C4535" s="1" t="s">
        <v>66</v>
      </c>
      <c r="D4535" s="1">
        <v>0.0</v>
      </c>
      <c r="E4535" s="1">
        <v>24581.0</v>
      </c>
      <c r="F4535" s="10">
        <f t="shared" si="1"/>
        <v>0</v>
      </c>
      <c r="G4535" s="10">
        <f t="array" ref="G4535">index('Player ID'!C:C,match(E4535,'Player ID'!B:B,0))</f>
        <v>680689</v>
      </c>
    </row>
    <row r="4536">
      <c r="A4536" s="76">
        <v>45783.0</v>
      </c>
      <c r="B4536" s="1" t="s">
        <v>211</v>
      </c>
      <c r="C4536" s="1" t="s">
        <v>66</v>
      </c>
      <c r="D4536" s="1">
        <v>1.0</v>
      </c>
      <c r="E4536" s="1">
        <v>27552.0</v>
      </c>
      <c r="F4536" s="10">
        <f t="shared" si="1"/>
        <v>1</v>
      </c>
      <c r="G4536" s="10">
        <f t="array" ref="G4536">index('Player ID'!C:C,match(E4536,'Player ID'!B:B,0))</f>
        <v>668933</v>
      </c>
    </row>
    <row r="4537">
      <c r="A4537" s="76">
        <v>45783.0</v>
      </c>
      <c r="B4537" s="1" t="s">
        <v>169</v>
      </c>
      <c r="C4537" s="1" t="s">
        <v>66</v>
      </c>
      <c r="D4537" s="1">
        <v>5.0</v>
      </c>
      <c r="E4537" s="1">
        <v>29911.0</v>
      </c>
      <c r="F4537" s="10">
        <f t="shared" si="1"/>
        <v>5</v>
      </c>
      <c r="G4537" s="10">
        <f t="array" ref="G4537">index('Player ID'!C:C,match(E4537,'Player ID'!B:B,0))</f>
        <v>671096</v>
      </c>
    </row>
    <row r="4538">
      <c r="A4538" s="76">
        <v>45783.0</v>
      </c>
      <c r="B4538" s="1" t="s">
        <v>435</v>
      </c>
      <c r="C4538" s="1" t="s">
        <v>16</v>
      </c>
      <c r="D4538" s="1">
        <v>1.0</v>
      </c>
      <c r="E4538" s="1">
        <v>13293.0</v>
      </c>
      <c r="F4538" s="10">
        <f t="shared" si="1"/>
        <v>1</v>
      </c>
      <c r="G4538" s="10">
        <f t="array" ref="G4538">index('Player ID'!C:C,match(E4538,'Player ID'!B:B,0))</f>
        <v>543056</v>
      </c>
    </row>
    <row r="4539">
      <c r="A4539" s="76">
        <v>45783.0</v>
      </c>
      <c r="B4539" s="1" t="s">
        <v>723</v>
      </c>
      <c r="C4539" s="1" t="s">
        <v>68</v>
      </c>
      <c r="D4539" s="1">
        <v>0.2</v>
      </c>
      <c r="E4539" s="1">
        <v>13528.0</v>
      </c>
      <c r="F4539" s="10">
        <f t="shared" si="1"/>
        <v>0.6666666667</v>
      </c>
      <c r="G4539" s="10">
        <f t="array" ref="G4539">index('Player ID'!C:C,match(E4539,'Player ID'!B:B,0))</f>
        <v>621199</v>
      </c>
    </row>
    <row r="4540">
      <c r="A4540" s="76">
        <v>45783.0</v>
      </c>
      <c r="B4540" s="1" t="s">
        <v>664</v>
      </c>
      <c r="C4540" s="1" t="s">
        <v>16</v>
      </c>
      <c r="D4540" s="1">
        <v>5.0</v>
      </c>
      <c r="E4540" s="1">
        <v>17085.0</v>
      </c>
      <c r="F4540" s="10">
        <f t="shared" si="1"/>
        <v>5</v>
      </c>
      <c r="G4540" s="10">
        <f t="array" ref="G4540">index('Player ID'!C:C,match(E4540,'Player ID'!B:B,0))</f>
        <v>641154</v>
      </c>
    </row>
    <row r="4541">
      <c r="A4541" s="76">
        <v>45783.0</v>
      </c>
      <c r="B4541" s="1" t="s">
        <v>397</v>
      </c>
      <c r="C4541" s="1" t="s">
        <v>16</v>
      </c>
      <c r="D4541" s="1">
        <v>1.0</v>
      </c>
      <c r="E4541" s="1">
        <v>19459.0</v>
      </c>
      <c r="F4541" s="10">
        <f t="shared" si="1"/>
        <v>1</v>
      </c>
      <c r="G4541" s="10">
        <f t="array" ref="G4541">index('Player ID'!C:C,match(E4541,'Player ID'!B:B,0))</f>
        <v>660896</v>
      </c>
    </row>
    <row r="4542">
      <c r="A4542" s="76">
        <v>45783.0</v>
      </c>
      <c r="B4542" s="1" t="s">
        <v>675</v>
      </c>
      <c r="C4542" s="1" t="s">
        <v>68</v>
      </c>
      <c r="D4542" s="1">
        <v>0.1</v>
      </c>
      <c r="E4542" s="1">
        <v>19614.0</v>
      </c>
      <c r="F4542" s="10">
        <f t="shared" si="1"/>
        <v>0.3333333333</v>
      </c>
      <c r="G4542" s="10">
        <f t="array" ref="G4542">index('Player ID'!C:C,match(E4542,'Player ID'!B:B,0))</f>
        <v>672335</v>
      </c>
    </row>
    <row r="4543">
      <c r="A4543" s="76">
        <v>45783.0</v>
      </c>
      <c r="B4543" s="1" t="s">
        <v>433</v>
      </c>
      <c r="C4543" s="1" t="s">
        <v>68</v>
      </c>
      <c r="D4543" s="1">
        <v>1.0</v>
      </c>
      <c r="E4543" s="1">
        <v>19677.0</v>
      </c>
      <c r="F4543" s="10">
        <f t="shared" si="1"/>
        <v>1</v>
      </c>
      <c r="G4543" s="10">
        <f t="array" ref="G4543">index('Player ID'!C:C,match(E4543,'Player ID'!B:B,0))</f>
        <v>642397</v>
      </c>
    </row>
    <row r="4544">
      <c r="A4544" s="76">
        <v>45783.0</v>
      </c>
      <c r="B4544" s="1" t="s">
        <v>237</v>
      </c>
      <c r="C4544" s="1" t="s">
        <v>16</v>
      </c>
      <c r="D4544" s="1">
        <v>1.0</v>
      </c>
      <c r="E4544" s="1">
        <v>21461.0</v>
      </c>
      <c r="F4544" s="10">
        <f t="shared" si="1"/>
        <v>1</v>
      </c>
      <c r="G4544" s="10">
        <f t="array" ref="G4544">index('Player ID'!C:C,match(E4544,'Player ID'!B:B,0))</f>
        <v>663485</v>
      </c>
    </row>
    <row r="4545">
      <c r="A4545" s="76">
        <v>45783.0</v>
      </c>
      <c r="B4545" s="1" t="s">
        <v>47</v>
      </c>
      <c r="C4545" s="1" t="s">
        <v>16</v>
      </c>
      <c r="D4545" s="1">
        <v>1.0</v>
      </c>
      <c r="E4545" s="1">
        <v>27691.0</v>
      </c>
      <c r="F4545" s="10">
        <f t="shared" si="1"/>
        <v>1</v>
      </c>
      <c r="G4545" s="10">
        <f t="array" ref="G4545">index('Player ID'!C:C,match(E4545,'Player ID'!B:B,0))</f>
        <v>686973</v>
      </c>
    </row>
    <row r="4546">
      <c r="A4546" s="76">
        <v>45783.0</v>
      </c>
      <c r="B4546" s="1" t="s">
        <v>347</v>
      </c>
      <c r="C4546" s="1" t="s">
        <v>68</v>
      </c>
      <c r="D4546" s="1">
        <v>6.0</v>
      </c>
      <c r="E4546" s="1">
        <v>30055.0</v>
      </c>
      <c r="F4546" s="10">
        <f t="shared" si="1"/>
        <v>6</v>
      </c>
      <c r="G4546" s="10">
        <f t="array" ref="G4546">index('Player ID'!C:C,match(E4546,'Player ID'!B:B,0))</f>
        <v>700249</v>
      </c>
    </row>
    <row r="4547">
      <c r="A4547" s="76">
        <v>45783.0</v>
      </c>
      <c r="B4547" s="1" t="s">
        <v>460</v>
      </c>
      <c r="C4547" s="1" t="s">
        <v>34</v>
      </c>
      <c r="D4547" s="1">
        <v>0.0</v>
      </c>
      <c r="E4547" s="1">
        <v>7005.0</v>
      </c>
      <c r="F4547" s="10">
        <f t="shared" si="1"/>
        <v>0</v>
      </c>
      <c r="G4547" s="10">
        <f t="array" ref="G4547">index('Player ID'!C:C,match(E4547,'Player ID'!B:B,0))</f>
        <v>519151</v>
      </c>
    </row>
    <row r="4548">
      <c r="A4548" s="76">
        <v>45783.0</v>
      </c>
      <c r="B4548" s="1" t="s">
        <v>358</v>
      </c>
      <c r="C4548" s="1" t="s">
        <v>31</v>
      </c>
      <c r="D4548" s="1">
        <v>5.0</v>
      </c>
      <c r="E4548" s="1">
        <v>8700.0</v>
      </c>
      <c r="F4548" s="10">
        <f t="shared" si="1"/>
        <v>5</v>
      </c>
      <c r="G4548" s="10">
        <f t="array" ref="G4548">index('Player ID'!C:C,match(E4548,'Player ID'!B:B,0))</f>
        <v>434378</v>
      </c>
    </row>
    <row r="4549">
      <c r="A4549" s="76">
        <v>45783.0</v>
      </c>
      <c r="B4549" s="1" t="s">
        <v>71</v>
      </c>
      <c r="C4549" s="1" t="s">
        <v>34</v>
      </c>
      <c r="D4549" s="1">
        <v>1.0</v>
      </c>
      <c r="E4549" s="1">
        <v>10078.0</v>
      </c>
      <c r="F4549" s="10">
        <f t="shared" si="1"/>
        <v>1</v>
      </c>
      <c r="G4549" s="10">
        <f t="array" ref="G4549">index('Player ID'!C:C,match(E4549,'Player ID'!B:B,0))</f>
        <v>573204</v>
      </c>
    </row>
    <row r="4550">
      <c r="A4550" s="76">
        <v>45783.0</v>
      </c>
      <c r="B4550" s="1" t="s">
        <v>203</v>
      </c>
      <c r="C4550" s="1" t="s">
        <v>34</v>
      </c>
      <c r="D4550" s="1">
        <v>1.0</v>
      </c>
      <c r="E4550" s="1">
        <v>11426.0</v>
      </c>
      <c r="F4550" s="10">
        <f t="shared" si="1"/>
        <v>1</v>
      </c>
      <c r="G4550" s="10">
        <f t="array" ref="G4550">index('Player ID'!C:C,match(E4550,'Player ID'!B:B,0))</f>
        <v>519141</v>
      </c>
    </row>
    <row r="4551">
      <c r="A4551" s="76">
        <v>45783.0</v>
      </c>
      <c r="B4551" s="1" t="s">
        <v>313</v>
      </c>
      <c r="C4551" s="1" t="s">
        <v>34</v>
      </c>
      <c r="D4551" s="1">
        <v>5.0</v>
      </c>
      <c r="E4551" s="1">
        <v>12317.0</v>
      </c>
      <c r="F4551" s="10">
        <f t="shared" si="1"/>
        <v>5</v>
      </c>
      <c r="G4551" s="10">
        <f t="array" ref="G4551">index('Player ID'!C:C,match(E4551,'Player ID'!B:B,0))</f>
        <v>607067</v>
      </c>
    </row>
    <row r="4552">
      <c r="A4552" s="76">
        <v>45783.0</v>
      </c>
      <c r="B4552" s="1" t="s">
        <v>462</v>
      </c>
      <c r="C4552" s="1" t="s">
        <v>34</v>
      </c>
      <c r="D4552" s="1">
        <v>1.0</v>
      </c>
      <c r="E4552" s="1">
        <v>13896.0</v>
      </c>
      <c r="F4552" s="10">
        <f t="shared" si="1"/>
        <v>1</v>
      </c>
      <c r="G4552" s="10">
        <f t="array" ref="G4552">index('Player ID'!C:C,match(E4552,'Player ID'!B:B,0))</f>
        <v>623167</v>
      </c>
    </row>
    <row r="4553">
      <c r="A4553" s="76">
        <v>45783.0</v>
      </c>
      <c r="B4553" s="1" t="s">
        <v>20</v>
      </c>
      <c r="C4553" s="1" t="s">
        <v>31</v>
      </c>
      <c r="D4553" s="1">
        <v>1.0</v>
      </c>
      <c r="E4553" s="1">
        <v>15541.0</v>
      </c>
      <c r="F4553" s="10">
        <f t="shared" si="1"/>
        <v>1</v>
      </c>
      <c r="G4553" s="10">
        <f t="array" ref="G4553">index('Player ID'!C:C,match(E4553,'Player ID'!B:B,0))</f>
        <v>643511</v>
      </c>
    </row>
    <row r="4554">
      <c r="A4554" s="76">
        <v>45783.0</v>
      </c>
      <c r="B4554" s="1" t="s">
        <v>297</v>
      </c>
      <c r="C4554" s="1" t="s">
        <v>34</v>
      </c>
      <c r="D4554" s="1">
        <v>1.0</v>
      </c>
      <c r="E4554" s="1">
        <v>15734.0</v>
      </c>
      <c r="F4554" s="10">
        <f t="shared" si="1"/>
        <v>1</v>
      </c>
      <c r="G4554" s="10">
        <f t="array" ref="G4554">index('Player ID'!C:C,match(E4554,'Player ID'!B:B,0))</f>
        <v>641745</v>
      </c>
    </row>
    <row r="4555">
      <c r="A4555" s="76">
        <v>45783.0</v>
      </c>
      <c r="B4555" s="1" t="s">
        <v>403</v>
      </c>
      <c r="C4555" s="1" t="s">
        <v>31</v>
      </c>
      <c r="D4555" s="1">
        <v>0.2</v>
      </c>
      <c r="E4555" s="1">
        <v>20423.0</v>
      </c>
      <c r="F4555" s="10">
        <f t="shared" si="1"/>
        <v>0.6666666667</v>
      </c>
      <c r="G4555" s="10">
        <f t="array" ref="G4555">index('Player ID'!C:C,match(E4555,'Player ID'!B:B,0))</f>
        <v>676254</v>
      </c>
    </row>
    <row r="4556">
      <c r="A4556" s="76">
        <v>45783.0</v>
      </c>
      <c r="B4556" s="1" t="s">
        <v>304</v>
      </c>
      <c r="C4556" s="1" t="s">
        <v>31</v>
      </c>
      <c r="D4556" s="1">
        <v>1.0</v>
      </c>
      <c r="E4556" s="1">
        <v>21992.0</v>
      </c>
      <c r="F4556" s="10">
        <f t="shared" si="1"/>
        <v>1</v>
      </c>
      <c r="G4556" s="10">
        <f t="array" ref="G4556">index('Player ID'!C:C,match(E4556,'Player ID'!B:B,0))</f>
        <v>666808</v>
      </c>
    </row>
    <row r="4557">
      <c r="A4557" s="76">
        <v>45783.0</v>
      </c>
      <c r="B4557" s="1" t="s">
        <v>654</v>
      </c>
      <c r="C4557" s="1" t="s">
        <v>31</v>
      </c>
      <c r="D4557" s="1">
        <v>1.0</v>
      </c>
      <c r="E4557" s="1">
        <v>23974.0</v>
      </c>
      <c r="F4557" s="10">
        <f t="shared" si="1"/>
        <v>1</v>
      </c>
      <c r="G4557" s="10">
        <f t="array" ref="G4557">index('Player ID'!C:C,match(E4557,'Player ID'!B:B,0))</f>
        <v>678495</v>
      </c>
    </row>
    <row r="4558">
      <c r="A4558" s="76">
        <v>45783.0</v>
      </c>
      <c r="B4558" s="1" t="s">
        <v>655</v>
      </c>
      <c r="C4558" s="1" t="s">
        <v>31</v>
      </c>
      <c r="D4558" s="1">
        <v>1.1</v>
      </c>
      <c r="E4558" s="1">
        <v>26252.0</v>
      </c>
      <c r="F4558" s="10">
        <f t="shared" si="1"/>
        <v>1.333333333</v>
      </c>
      <c r="G4558" s="10">
        <f t="array" ref="G4558">index('Player ID'!C:C,match(E4558,'Player ID'!B:B,0))</f>
        <v>669062</v>
      </c>
    </row>
    <row r="4559">
      <c r="A4559" s="76">
        <v>45783.0</v>
      </c>
      <c r="B4559" s="1" t="s">
        <v>388</v>
      </c>
      <c r="C4559" s="1" t="s">
        <v>34</v>
      </c>
      <c r="D4559" s="1">
        <v>1.0</v>
      </c>
      <c r="E4559" s="1">
        <v>26413.0</v>
      </c>
      <c r="F4559" s="10">
        <f t="shared" si="1"/>
        <v>1</v>
      </c>
      <c r="G4559" s="10">
        <f t="array" ref="G4559">index('Player ID'!C:C,match(E4559,'Player ID'!B:B,0))</f>
        <v>687863</v>
      </c>
    </row>
    <row r="4560">
      <c r="A4560" s="76">
        <v>45783.0</v>
      </c>
      <c r="B4560" s="1" t="s">
        <v>96</v>
      </c>
      <c r="C4560" s="1" t="s">
        <v>31</v>
      </c>
      <c r="D4560" s="1">
        <v>1.0</v>
      </c>
      <c r="E4560" s="1">
        <v>27758.0</v>
      </c>
      <c r="F4560" s="10">
        <f t="shared" si="1"/>
        <v>1</v>
      </c>
      <c r="G4560" s="10">
        <f t="array" ref="G4560">index('Player ID'!C:C,match(E4560,'Player ID'!B:B,0))</f>
        <v>690986</v>
      </c>
    </row>
    <row r="4561">
      <c r="A4561" s="76">
        <v>45783.0</v>
      </c>
      <c r="B4561" s="1" t="s">
        <v>167</v>
      </c>
      <c r="C4561" s="1" t="s">
        <v>34</v>
      </c>
      <c r="D4561" s="1">
        <v>1.0</v>
      </c>
      <c r="E4561" s="1">
        <v>27914.0</v>
      </c>
      <c r="F4561" s="10">
        <f t="shared" si="1"/>
        <v>1</v>
      </c>
      <c r="G4561" s="10">
        <f t="array" ref="G4561">index('Player ID'!C:C,match(E4561,'Player ID'!B:B,0))</f>
        <v>694037</v>
      </c>
    </row>
    <row r="4562">
      <c r="A4562" s="76">
        <v>45783.0</v>
      </c>
      <c r="B4562" s="1" t="s">
        <v>452</v>
      </c>
      <c r="C4562" s="1" t="s">
        <v>29</v>
      </c>
      <c r="D4562" s="1">
        <v>6.2</v>
      </c>
      <c r="E4562" s="1">
        <v>12447.0</v>
      </c>
      <c r="F4562" s="10">
        <f t="shared" si="1"/>
        <v>6.666666667</v>
      </c>
      <c r="G4562" s="10">
        <f t="array" ref="G4562">index('Player ID'!C:C,match(E4562,'Player ID'!B:B,0))</f>
        <v>607625</v>
      </c>
    </row>
    <row r="4563">
      <c r="A4563" s="76">
        <v>45783.0</v>
      </c>
      <c r="B4563" s="1" t="s">
        <v>252</v>
      </c>
      <c r="C4563" s="1" t="s">
        <v>78</v>
      </c>
      <c r="D4563" s="1">
        <v>0.1</v>
      </c>
      <c r="E4563" s="1">
        <v>16061.0</v>
      </c>
      <c r="F4563" s="10">
        <f t="shared" si="1"/>
        <v>0.3333333333</v>
      </c>
      <c r="G4563" s="10">
        <f t="array" ref="G4563">index('Player ID'!C:C,match(E4563,'Player ID'!B:B,0))</f>
        <v>592155</v>
      </c>
    </row>
    <row r="4564">
      <c r="A4564" s="76">
        <v>45783.0</v>
      </c>
      <c r="B4564" s="1" t="s">
        <v>199</v>
      </c>
      <c r="C4564" s="1" t="s">
        <v>29</v>
      </c>
      <c r="D4564" s="1">
        <v>1.1</v>
      </c>
      <c r="E4564" s="1">
        <v>17611.0</v>
      </c>
      <c r="F4564" s="10">
        <f t="shared" si="1"/>
        <v>1.333333333</v>
      </c>
      <c r="G4564" s="10">
        <f t="array" ref="G4564">index('Player ID'!C:C,match(E4564,'Player ID'!B:B,0))</f>
        <v>664199</v>
      </c>
    </row>
    <row r="4565">
      <c r="A4565" s="76">
        <v>45783.0</v>
      </c>
      <c r="B4565" s="1" t="s">
        <v>116</v>
      </c>
      <c r="C4565" s="1" t="s">
        <v>78</v>
      </c>
      <c r="D4565" s="1">
        <v>1.1</v>
      </c>
      <c r="E4565" s="1">
        <v>20353.0</v>
      </c>
      <c r="F4565" s="10">
        <f t="shared" si="1"/>
        <v>1.333333333</v>
      </c>
      <c r="G4565" s="10">
        <f t="array" ref="G4565">index('Player ID'!C:C,match(E4565,'Player ID'!B:B,0))</f>
        <v>621051</v>
      </c>
    </row>
    <row r="4566">
      <c r="A4566" s="76">
        <v>45783.0</v>
      </c>
      <c r="B4566" s="1" t="s">
        <v>140</v>
      </c>
      <c r="C4566" s="1" t="s">
        <v>29</v>
      </c>
      <c r="D4566" s="1">
        <v>1.0</v>
      </c>
      <c r="E4566" s="1">
        <v>22717.0</v>
      </c>
      <c r="F4566" s="10">
        <f t="shared" si="1"/>
        <v>1</v>
      </c>
      <c r="G4566" s="10">
        <f t="array" ref="G4566">index('Player ID'!C:C,match(E4566,'Player ID'!B:B,0))</f>
        <v>672582</v>
      </c>
    </row>
    <row r="4567">
      <c r="A4567" s="76">
        <v>45783.0</v>
      </c>
      <c r="B4567" s="1" t="s">
        <v>356</v>
      </c>
      <c r="C4567" s="1" t="s">
        <v>78</v>
      </c>
      <c r="D4567" s="1">
        <v>6.1</v>
      </c>
      <c r="E4567" s="1">
        <v>29878.0</v>
      </c>
      <c r="F4567" s="10">
        <f t="shared" si="1"/>
        <v>6.333333333</v>
      </c>
      <c r="G4567" s="10">
        <f t="array" ref="G4567">index('Player ID'!C:C,match(E4567,'Player ID'!B:B,0))</f>
        <v>680732</v>
      </c>
    </row>
    <row r="4568">
      <c r="A4568" s="76">
        <v>45783.0</v>
      </c>
      <c r="B4568" s="1" t="s">
        <v>317</v>
      </c>
      <c r="C4568" s="1" t="s">
        <v>78</v>
      </c>
      <c r="D4568" s="1">
        <v>0.1</v>
      </c>
      <c r="E4568" s="1">
        <v>29950.0</v>
      </c>
      <c r="F4568" s="10">
        <f t="shared" si="1"/>
        <v>0.3333333333</v>
      </c>
      <c r="G4568" s="10">
        <f t="array" ref="G4568">index('Player ID'!C:C,match(E4568,'Player ID'!B:B,0))</f>
        <v>673929</v>
      </c>
    </row>
    <row r="4569">
      <c r="A4569" s="76">
        <v>45783.0</v>
      </c>
      <c r="B4569" s="1" t="s">
        <v>38</v>
      </c>
      <c r="C4569" s="1" t="s">
        <v>39</v>
      </c>
      <c r="D4569" s="1">
        <v>2.0</v>
      </c>
      <c r="E4569" s="1">
        <v>13580.0</v>
      </c>
      <c r="F4569" s="10">
        <f t="shared" si="1"/>
        <v>2</v>
      </c>
      <c r="G4569" s="10">
        <f t="array" ref="G4569">index('Player ID'!C:C,match(E4569,'Player ID'!B:B,0))</f>
        <v>595345</v>
      </c>
    </row>
    <row r="4570">
      <c r="A4570" s="76">
        <v>45783.0</v>
      </c>
      <c r="B4570" s="1" t="s">
        <v>447</v>
      </c>
      <c r="C4570" s="1" t="s">
        <v>39</v>
      </c>
      <c r="D4570" s="1">
        <v>0.1</v>
      </c>
      <c r="E4570" s="1">
        <v>13652.0</v>
      </c>
      <c r="F4570" s="10">
        <f t="shared" si="1"/>
        <v>0.3333333333</v>
      </c>
      <c r="G4570" s="10">
        <f t="array" ref="G4570">index('Player ID'!C:C,match(E4570,'Player ID'!B:B,0))</f>
        <v>605463</v>
      </c>
    </row>
    <row r="4571">
      <c r="A4571" s="76">
        <v>45783.0</v>
      </c>
      <c r="B4571" s="1" t="s">
        <v>210</v>
      </c>
      <c r="C4571" s="1" t="s">
        <v>39</v>
      </c>
      <c r="D4571" s="1">
        <v>1.0</v>
      </c>
      <c r="E4571" s="1">
        <v>16609.0</v>
      </c>
      <c r="F4571" s="10">
        <f t="shared" si="1"/>
        <v>1</v>
      </c>
      <c r="G4571" s="10">
        <f t="array" ref="G4571">index('Player ID'!C:C,match(E4571,'Player ID'!B:B,0))</f>
        <v>650556</v>
      </c>
    </row>
    <row r="4572">
      <c r="A4572" s="76">
        <v>45783.0</v>
      </c>
      <c r="B4572" s="1" t="s">
        <v>13</v>
      </c>
      <c r="C4572" s="1" t="s">
        <v>14</v>
      </c>
      <c r="D4572" s="1">
        <v>1.0</v>
      </c>
      <c r="E4572" s="1">
        <v>17722.0</v>
      </c>
      <c r="F4572" s="10">
        <f t="shared" si="1"/>
        <v>1</v>
      </c>
      <c r="G4572" s="10">
        <f t="array" ref="G4572">index('Player ID'!C:C,match(E4572,'Player ID'!B:B,0))</f>
        <v>656730</v>
      </c>
    </row>
    <row r="4573">
      <c r="A4573" s="76">
        <v>45783.0</v>
      </c>
      <c r="B4573" s="1" t="s">
        <v>279</v>
      </c>
      <c r="C4573" s="1" t="s">
        <v>14</v>
      </c>
      <c r="D4573" s="1">
        <v>1.0</v>
      </c>
      <c r="E4573" s="1">
        <v>25327.0</v>
      </c>
      <c r="F4573" s="10">
        <f t="shared" si="1"/>
        <v>1</v>
      </c>
      <c r="G4573" s="10">
        <f t="array" ref="G4573">index('Player ID'!C:C,match(E4573,'Player ID'!B:B,0))</f>
        <v>682842</v>
      </c>
    </row>
    <row r="4574">
      <c r="A4574" s="76">
        <v>45783.0</v>
      </c>
      <c r="B4574" s="1" t="s">
        <v>112</v>
      </c>
      <c r="C4574" s="1" t="s">
        <v>14</v>
      </c>
      <c r="D4574" s="1">
        <v>0.1</v>
      </c>
      <c r="E4574" s="1">
        <v>25376.0</v>
      </c>
      <c r="F4574" s="10">
        <f t="shared" si="1"/>
        <v>0.3333333333</v>
      </c>
      <c r="G4574" s="10">
        <f t="array" ref="G4574">index('Player ID'!C:C,match(E4574,'Player ID'!B:B,0))</f>
        <v>683232</v>
      </c>
    </row>
    <row r="4575">
      <c r="A4575" s="76">
        <v>45783.0</v>
      </c>
      <c r="B4575" s="1" t="s">
        <v>76</v>
      </c>
      <c r="C4575" s="1" t="s">
        <v>39</v>
      </c>
      <c r="D4575" s="1">
        <v>0.2</v>
      </c>
      <c r="E4575" s="1">
        <v>25890.0</v>
      </c>
      <c r="F4575" s="10">
        <f t="shared" si="1"/>
        <v>0.6666666667</v>
      </c>
      <c r="G4575" s="10">
        <f t="array" ref="G4575">index('Player ID'!C:C,match(E4575,'Player ID'!B:B,0))</f>
        <v>687911</v>
      </c>
    </row>
    <row r="4576">
      <c r="A4576" s="76">
        <v>45783.0</v>
      </c>
      <c r="B4576" s="1" t="s">
        <v>562</v>
      </c>
      <c r="C4576" s="1" t="s">
        <v>39</v>
      </c>
      <c r="D4576" s="1">
        <v>4.0</v>
      </c>
      <c r="E4576" s="1">
        <v>27581.0</v>
      </c>
      <c r="F4576" s="10">
        <f t="shared" si="1"/>
        <v>4</v>
      </c>
      <c r="G4576" s="10">
        <f t="array" ref="G4576">index('Player ID'!C:C,match(E4576,'Player ID'!B:B,0))</f>
        <v>669713</v>
      </c>
    </row>
    <row r="4577">
      <c r="A4577" s="76">
        <v>45783.0</v>
      </c>
      <c r="B4577" s="1" t="s">
        <v>496</v>
      </c>
      <c r="C4577" s="1" t="s">
        <v>14</v>
      </c>
      <c r="D4577" s="1">
        <v>6.2</v>
      </c>
      <c r="E4577" s="1">
        <v>30113.0</v>
      </c>
      <c r="F4577" s="10">
        <f t="shared" si="1"/>
        <v>6.666666667</v>
      </c>
      <c r="G4577" s="10">
        <f t="array" ref="G4577">index('Player ID'!C:C,match(E4577,'Player ID'!B:B,0))</f>
        <v>694477</v>
      </c>
    </row>
    <row r="4578">
      <c r="A4578" s="76">
        <v>45783.0</v>
      </c>
      <c r="B4578" s="1" t="s">
        <v>83</v>
      </c>
      <c r="C4578" s="1" t="s">
        <v>72</v>
      </c>
      <c r="D4578" s="1">
        <v>1.0</v>
      </c>
      <c r="E4578" s="1">
        <v>13361.0</v>
      </c>
      <c r="F4578" s="10">
        <f t="shared" si="1"/>
        <v>1</v>
      </c>
      <c r="G4578" s="10">
        <f t="array" ref="G4578">index('Player ID'!C:C,match(E4578,'Player ID'!B:B,0))</f>
        <v>571927</v>
      </c>
    </row>
    <row r="4579">
      <c r="A4579" s="76">
        <v>45783.0</v>
      </c>
      <c r="B4579" s="1" t="s">
        <v>217</v>
      </c>
      <c r="C4579" s="1" t="s">
        <v>60</v>
      </c>
      <c r="D4579" s="1">
        <v>1.0</v>
      </c>
      <c r="E4579" s="1">
        <v>17878.0</v>
      </c>
      <c r="F4579" s="10">
        <f t="shared" si="1"/>
        <v>1</v>
      </c>
      <c r="G4579" s="10">
        <f t="array" ref="G4579">index('Player ID'!C:C,match(E4579,'Player ID'!B:B,0))</f>
        <v>642701</v>
      </c>
    </row>
    <row r="4580">
      <c r="A4580" s="76">
        <v>45783.0</v>
      </c>
      <c r="B4580" s="1" t="s">
        <v>183</v>
      </c>
      <c r="C4580" s="1" t="s">
        <v>60</v>
      </c>
      <c r="D4580" s="1">
        <v>1.0</v>
      </c>
      <c r="E4580" s="1">
        <v>19569.0</v>
      </c>
      <c r="F4580" s="10">
        <f t="shared" si="1"/>
        <v>1</v>
      </c>
      <c r="G4580" s="10">
        <f t="array" ref="G4580">index('Player ID'!C:C,match(E4580,'Player ID'!B:B,0))</f>
        <v>670280</v>
      </c>
    </row>
    <row r="4581">
      <c r="A4581" s="76">
        <v>45783.0</v>
      </c>
      <c r="B4581" s="1" t="s">
        <v>290</v>
      </c>
      <c r="C4581" s="1" t="s">
        <v>72</v>
      </c>
      <c r="D4581" s="1">
        <v>7.0</v>
      </c>
      <c r="E4581" s="1">
        <v>22294.0</v>
      </c>
      <c r="F4581" s="10">
        <f t="shared" si="1"/>
        <v>7</v>
      </c>
      <c r="G4581" s="10">
        <f t="array" ref="G4581">index('Player ID'!C:C,match(E4581,'Player ID'!B:B,0))</f>
        <v>669461</v>
      </c>
    </row>
    <row r="4582">
      <c r="A4582" s="76">
        <v>45783.0</v>
      </c>
      <c r="B4582" s="1" t="s">
        <v>337</v>
      </c>
      <c r="C4582" s="1" t="s">
        <v>72</v>
      </c>
      <c r="D4582" s="1">
        <v>1.0</v>
      </c>
      <c r="E4582" s="1">
        <v>29519.0</v>
      </c>
      <c r="F4582" s="10">
        <f t="shared" si="1"/>
        <v>1</v>
      </c>
      <c r="G4582" s="10">
        <f t="array" ref="G4582">index('Player ID'!C:C,match(E4582,'Player ID'!B:B,0))</f>
        <v>700669</v>
      </c>
    </row>
    <row r="4583">
      <c r="A4583" s="76">
        <v>45783.0</v>
      </c>
      <c r="B4583" s="1" t="s">
        <v>88</v>
      </c>
      <c r="C4583" s="1" t="s">
        <v>60</v>
      </c>
      <c r="D4583" s="1">
        <v>6.0</v>
      </c>
      <c r="E4583" s="1">
        <v>33677.0</v>
      </c>
      <c r="F4583" s="10">
        <f t="shared" si="1"/>
        <v>6</v>
      </c>
      <c r="G4583" s="10">
        <f t="array" ref="G4583">index('Player ID'!C:C,match(E4583,'Player ID'!B:B,0))</f>
        <v>694973</v>
      </c>
    </row>
    <row r="4584">
      <c r="A4584" s="76">
        <v>45783.0</v>
      </c>
      <c r="B4584" s="1" t="s">
        <v>822</v>
      </c>
      <c r="C4584" s="1" t="s">
        <v>40</v>
      </c>
      <c r="D4584" s="1">
        <v>4.1</v>
      </c>
      <c r="E4584" s="1">
        <v>11589.0</v>
      </c>
      <c r="F4584" s="10">
        <f t="shared" si="1"/>
        <v>4.333333333</v>
      </c>
      <c r="G4584" s="10">
        <f t="array" ref="G4584">index('Player ID'!C:C,match(E4584,'Player ID'!B:B,0))</f>
        <v>570632</v>
      </c>
    </row>
    <row r="4585">
      <c r="A4585" s="76">
        <v>45783.0</v>
      </c>
      <c r="B4585" s="1" t="s">
        <v>660</v>
      </c>
      <c r="C4585" s="1" t="s">
        <v>25</v>
      </c>
      <c r="D4585" s="1">
        <v>0.2</v>
      </c>
      <c r="E4585" s="1">
        <v>11804.0</v>
      </c>
      <c r="F4585" s="10">
        <f t="shared" si="1"/>
        <v>0.6666666667</v>
      </c>
      <c r="G4585" s="10">
        <f t="array" ref="G4585">index('Player ID'!C:C,match(E4585,'Player ID'!B:B,0))</f>
        <v>593576</v>
      </c>
    </row>
    <row r="4586">
      <c r="A4586" s="76">
        <v>45783.0</v>
      </c>
      <c r="B4586" s="1" t="s">
        <v>673</v>
      </c>
      <c r="C4586" s="1" t="s">
        <v>40</v>
      </c>
      <c r="D4586" s="1">
        <v>0.1</v>
      </c>
      <c r="E4586" s="1">
        <v>12095.0</v>
      </c>
      <c r="F4586" s="10">
        <f t="shared" si="1"/>
        <v>0.3333333333</v>
      </c>
      <c r="G4586" s="10">
        <f t="array" ref="G4586">index('Player ID'!C:C,match(E4586,'Player ID'!B:B,0))</f>
        <v>554340</v>
      </c>
    </row>
    <row r="4587">
      <c r="A4587" s="76">
        <v>45783.0</v>
      </c>
      <c r="B4587" s="1" t="s">
        <v>278</v>
      </c>
      <c r="C4587" s="1" t="s">
        <v>25</v>
      </c>
      <c r="D4587" s="1">
        <v>6.2</v>
      </c>
      <c r="E4587" s="1">
        <v>12880.0</v>
      </c>
      <c r="F4587" s="10">
        <f t="shared" si="1"/>
        <v>6.666666667</v>
      </c>
      <c r="G4587" s="10">
        <f t="array" ref="G4587">index('Player ID'!C:C,match(E4587,'Player ID'!B:B,0))</f>
        <v>542881</v>
      </c>
    </row>
    <row r="4588">
      <c r="A4588" s="76">
        <v>45783.0</v>
      </c>
      <c r="B4588" s="1" t="s">
        <v>174</v>
      </c>
      <c r="C4588" s="1" t="s">
        <v>40</v>
      </c>
      <c r="D4588" s="1">
        <v>1.1</v>
      </c>
      <c r="E4588" s="1">
        <v>15552.0</v>
      </c>
      <c r="F4588" s="10">
        <f t="shared" si="1"/>
        <v>1.333333333</v>
      </c>
      <c r="G4588" s="10">
        <f t="array" ref="G4588">index('Player ID'!C:C,match(E4588,'Player ID'!B:B,0))</f>
        <v>643338</v>
      </c>
    </row>
    <row r="4589">
      <c r="A4589" s="76">
        <v>45783.0</v>
      </c>
      <c r="B4589" s="1" t="s">
        <v>311</v>
      </c>
      <c r="C4589" s="1" t="s">
        <v>40</v>
      </c>
      <c r="D4589" s="1">
        <v>0.1</v>
      </c>
      <c r="E4589" s="1">
        <v>17432.0</v>
      </c>
      <c r="F4589" s="10">
        <f t="shared" si="1"/>
        <v>0.3333333333</v>
      </c>
      <c r="G4589" s="10">
        <f t="array" ref="G4589">index('Player ID'!C:C,match(E4589,'Player ID'!B:B,0))</f>
        <v>656546</v>
      </c>
    </row>
    <row r="4590">
      <c r="A4590" s="76">
        <v>45783.0</v>
      </c>
      <c r="B4590" s="1" t="s">
        <v>811</v>
      </c>
      <c r="C4590" s="1" t="s">
        <v>40</v>
      </c>
      <c r="D4590" s="1">
        <v>0.1</v>
      </c>
      <c r="E4590" s="1">
        <v>17796.0</v>
      </c>
      <c r="F4590" s="10">
        <f t="shared" si="1"/>
        <v>0.3333333333</v>
      </c>
      <c r="G4590" s="10">
        <f t="array" ref="G4590">index('Player ID'!C:C,match(E4590,'Player ID'!B:B,0))</f>
        <v>622253</v>
      </c>
    </row>
    <row r="4591">
      <c r="A4591" s="76">
        <v>45783.0</v>
      </c>
      <c r="B4591" s="1" t="s">
        <v>332</v>
      </c>
      <c r="C4591" s="1" t="s">
        <v>40</v>
      </c>
      <c r="D4591" s="1">
        <v>0.1</v>
      </c>
      <c r="E4591" s="1">
        <v>19316.0</v>
      </c>
      <c r="F4591" s="10">
        <f t="shared" si="1"/>
        <v>0.3333333333</v>
      </c>
      <c r="G4591" s="10">
        <f t="array" ref="G4591">index('Player ID'!C:C,match(E4591,'Player ID'!B:B,0))</f>
        <v>641778</v>
      </c>
    </row>
    <row r="4592">
      <c r="A4592" s="76">
        <v>45783.0</v>
      </c>
      <c r="B4592" s="1" t="s">
        <v>142</v>
      </c>
      <c r="C4592" s="1" t="s">
        <v>40</v>
      </c>
      <c r="D4592" s="1">
        <v>1.0</v>
      </c>
      <c r="E4592" s="1">
        <v>31553.0</v>
      </c>
      <c r="F4592" s="10">
        <f t="shared" si="1"/>
        <v>1</v>
      </c>
      <c r="G4592" s="10">
        <f t="array" ref="G4592">index('Player ID'!C:C,match(E4592,'Player ID'!B:B,0))</f>
        <v>689254</v>
      </c>
    </row>
    <row r="4593">
      <c r="A4593" s="76">
        <v>45783.0</v>
      </c>
      <c r="B4593" s="1" t="s">
        <v>381</v>
      </c>
      <c r="C4593" s="1" t="s">
        <v>25</v>
      </c>
      <c r="D4593" s="1">
        <v>1.0</v>
      </c>
      <c r="E4593" s="1">
        <v>33908.0</v>
      </c>
      <c r="F4593" s="10">
        <f t="shared" si="1"/>
        <v>1</v>
      </c>
      <c r="G4593" s="10">
        <f t="array" ref="G4593">index('Player ID'!C:C,match(E4593,'Player ID'!B:B,0))</f>
        <v>820862</v>
      </c>
    </row>
    <row r="4594">
      <c r="A4594" s="76">
        <v>45783.0</v>
      </c>
      <c r="B4594" s="1" t="s">
        <v>659</v>
      </c>
      <c r="C4594" s="1" t="s">
        <v>25</v>
      </c>
      <c r="D4594" s="1">
        <v>0.2</v>
      </c>
      <c r="E4594" s="1">
        <v>35325.0</v>
      </c>
      <c r="F4594" s="10">
        <f t="shared" si="1"/>
        <v>0.6666666667</v>
      </c>
      <c r="G4594" s="10">
        <f t="array" ref="G4594">index('Player ID'!C:C,match(E4594,'Player ID'!B:B,0))</f>
        <v>696270</v>
      </c>
    </row>
    <row r="4595">
      <c r="A4595" s="76">
        <v>45783.0</v>
      </c>
      <c r="B4595" s="1" t="s">
        <v>103</v>
      </c>
      <c r="C4595" s="1" t="s">
        <v>64</v>
      </c>
      <c r="D4595" s="1">
        <v>1.0</v>
      </c>
      <c r="E4595" s="1">
        <v>10197.0</v>
      </c>
      <c r="F4595" s="10">
        <f t="shared" si="1"/>
        <v>1</v>
      </c>
      <c r="G4595" s="10">
        <f t="array" ref="G4595">index('Player ID'!C:C,match(E4595,'Player ID'!B:B,0))</f>
        <v>571946</v>
      </c>
    </row>
    <row r="4596">
      <c r="A4596" s="76">
        <v>45783.0</v>
      </c>
      <c r="B4596" s="1" t="s">
        <v>195</v>
      </c>
      <c r="C4596" s="1" t="s">
        <v>64</v>
      </c>
      <c r="D4596" s="1">
        <v>7.0</v>
      </c>
      <c r="E4596" s="1">
        <v>19291.0</v>
      </c>
      <c r="F4596" s="10">
        <f t="shared" si="1"/>
        <v>7</v>
      </c>
      <c r="G4596" s="10">
        <f t="array" ref="G4596">index('Player ID'!C:C,match(E4596,'Player ID'!B:B,0))</f>
        <v>668678</v>
      </c>
    </row>
    <row r="4597">
      <c r="A4597" s="76">
        <v>45783.0</v>
      </c>
      <c r="B4597" s="1" t="s">
        <v>823</v>
      </c>
      <c r="C4597" s="1" t="s">
        <v>64</v>
      </c>
      <c r="D4597" s="1">
        <v>1.0</v>
      </c>
      <c r="E4597" s="1">
        <v>19876.0</v>
      </c>
      <c r="F4597" s="10">
        <f t="shared" si="1"/>
        <v>1</v>
      </c>
      <c r="G4597" s="10">
        <f t="array" ref="G4597">index('Player ID'!C:C,match(E4597,'Player ID'!B:B,0))</f>
        <v>656464</v>
      </c>
    </row>
    <row r="4598">
      <c r="A4598" s="76">
        <v>45783.0</v>
      </c>
      <c r="B4598" s="1" t="s">
        <v>307</v>
      </c>
      <c r="C4598" s="1" t="s">
        <v>51</v>
      </c>
      <c r="D4598" s="1">
        <v>6.0</v>
      </c>
      <c r="E4598" s="1">
        <v>20302.0</v>
      </c>
      <c r="F4598" s="10">
        <f t="shared" si="1"/>
        <v>6</v>
      </c>
      <c r="G4598" s="10">
        <f t="array" ref="G4598">index('Player ID'!C:C,match(E4598,'Player ID'!B:B,0))</f>
        <v>656849</v>
      </c>
    </row>
    <row r="4599">
      <c r="A4599" s="76">
        <v>45783.0</v>
      </c>
      <c r="B4599" s="1" t="s">
        <v>712</v>
      </c>
      <c r="C4599" s="1" t="s">
        <v>51</v>
      </c>
      <c r="D4599" s="1">
        <v>2.0</v>
      </c>
      <c r="E4599" s="1">
        <v>23313.0</v>
      </c>
      <c r="F4599" s="10">
        <f t="shared" si="1"/>
        <v>2</v>
      </c>
      <c r="G4599" s="10">
        <f t="array" ref="G4599">index('Player ID'!C:C,match(E4599,'Player ID'!B:B,0))</f>
        <v>676130</v>
      </c>
    </row>
    <row r="4600">
      <c r="A4600" s="76">
        <v>45783.0</v>
      </c>
      <c r="B4600" s="1" t="s">
        <v>668</v>
      </c>
      <c r="C4600" s="1" t="s">
        <v>52</v>
      </c>
      <c r="D4600" s="1">
        <v>0.1</v>
      </c>
      <c r="E4600" s="1">
        <v>3237.0</v>
      </c>
      <c r="F4600" s="10">
        <f t="shared" si="1"/>
        <v>0.3333333333</v>
      </c>
      <c r="G4600" s="10">
        <f t="array" ref="G4600">index('Player ID'!C:C,match(E4600,'Player ID'!B:B,0))</f>
        <v>519008</v>
      </c>
    </row>
    <row r="4601">
      <c r="A4601" s="76">
        <v>45783.0</v>
      </c>
      <c r="B4601" s="1" t="s">
        <v>53</v>
      </c>
      <c r="C4601" s="1" t="s">
        <v>37</v>
      </c>
      <c r="D4601" s="1">
        <v>0.1</v>
      </c>
      <c r="E4601" s="1">
        <v>17170.0</v>
      </c>
      <c r="F4601" s="10">
        <f t="shared" si="1"/>
        <v>0.3333333333</v>
      </c>
      <c r="G4601" s="10">
        <f t="array" ref="G4601">index('Player ID'!C:C,match(E4601,'Player ID'!B:B,0))</f>
        <v>642100</v>
      </c>
    </row>
    <row r="4602">
      <c r="A4602" s="76">
        <v>45783.0</v>
      </c>
      <c r="B4602" s="1" t="s">
        <v>336</v>
      </c>
      <c r="C4602" s="1" t="s">
        <v>52</v>
      </c>
      <c r="D4602" s="1">
        <v>5.0</v>
      </c>
      <c r="E4602" s="1">
        <v>17677.0</v>
      </c>
      <c r="F4602" s="10">
        <f t="shared" si="1"/>
        <v>5</v>
      </c>
      <c r="G4602" s="10">
        <f t="array" ref="G4602">index('Player ID'!C:C,match(E4602,'Player ID'!B:B,0))</f>
        <v>605488</v>
      </c>
    </row>
    <row r="4603">
      <c r="A4603" s="76">
        <v>45783.0</v>
      </c>
      <c r="B4603" s="1" t="s">
        <v>505</v>
      </c>
      <c r="C4603" s="1" t="s">
        <v>52</v>
      </c>
      <c r="D4603" s="1">
        <v>0.2</v>
      </c>
      <c r="E4603" s="1">
        <v>19481.0</v>
      </c>
      <c r="F4603" s="10">
        <f t="shared" si="1"/>
        <v>0.6666666667</v>
      </c>
      <c r="G4603" s="10">
        <f t="array" ref="G4603">index('Player ID'!C:C,match(E4603,'Player ID'!B:B,0))</f>
        <v>621053</v>
      </c>
    </row>
    <row r="4604">
      <c r="A4604" s="76">
        <v>45783.0</v>
      </c>
      <c r="B4604" s="1" t="s">
        <v>227</v>
      </c>
      <c r="C4604" s="1" t="s">
        <v>52</v>
      </c>
      <c r="D4604" s="1">
        <v>0.1</v>
      </c>
      <c r="E4604" s="1">
        <v>21520.0</v>
      </c>
      <c r="F4604" s="10">
        <f t="shared" si="1"/>
        <v>0.3333333333</v>
      </c>
      <c r="G4604" s="10">
        <f t="array" ref="G4604">index('Player ID'!C:C,match(E4604,'Player ID'!B:B,0))</f>
        <v>663687</v>
      </c>
    </row>
    <row r="4605">
      <c r="A4605" s="76">
        <v>45783.0</v>
      </c>
      <c r="B4605" s="1" t="s">
        <v>101</v>
      </c>
      <c r="C4605" s="1" t="s">
        <v>37</v>
      </c>
      <c r="D4605" s="1">
        <v>1.0</v>
      </c>
      <c r="E4605" s="1">
        <v>22915.0</v>
      </c>
      <c r="F4605" s="10">
        <f t="shared" si="1"/>
        <v>1</v>
      </c>
      <c r="G4605" s="10">
        <f t="array" ref="G4605">index('Player ID'!C:C,match(E4605,'Player ID'!B:B,0))</f>
        <v>672841</v>
      </c>
    </row>
    <row r="4606">
      <c r="A4606" s="76">
        <v>45783.0</v>
      </c>
      <c r="B4606" s="1" t="s">
        <v>683</v>
      </c>
      <c r="C4606" s="1" t="s">
        <v>37</v>
      </c>
      <c r="D4606" s="1">
        <v>1.0</v>
      </c>
      <c r="E4606" s="1">
        <v>23307.0</v>
      </c>
      <c r="F4606" s="10">
        <f t="shared" si="1"/>
        <v>1</v>
      </c>
      <c r="G4606" s="10">
        <f t="array" ref="G4606">index('Player ID'!C:C,match(E4606,'Player ID'!B:B,0))</f>
        <v>676092</v>
      </c>
    </row>
    <row r="4607">
      <c r="A4607" s="76">
        <v>45783.0</v>
      </c>
      <c r="B4607" s="1" t="s">
        <v>254</v>
      </c>
      <c r="C4607" s="1" t="s">
        <v>37</v>
      </c>
      <c r="D4607" s="1">
        <v>0.2</v>
      </c>
      <c r="E4607" s="1">
        <v>25756.0</v>
      </c>
      <c r="F4607" s="10">
        <f t="shared" si="1"/>
        <v>0.6666666667</v>
      </c>
      <c r="G4607" s="10">
        <f t="array" ref="G4607">index('Player ID'!C:C,match(E4607,'Player ID'!B:B,0))</f>
        <v>666374</v>
      </c>
    </row>
    <row r="4608">
      <c r="A4608" s="76">
        <v>45783.0</v>
      </c>
      <c r="B4608" s="1" t="s">
        <v>509</v>
      </c>
      <c r="C4608" s="1" t="s">
        <v>37</v>
      </c>
      <c r="D4608" s="1">
        <v>6.0</v>
      </c>
      <c r="E4608" s="1">
        <v>27470.0</v>
      </c>
      <c r="F4608" s="10">
        <f t="shared" si="1"/>
        <v>6</v>
      </c>
      <c r="G4608" s="10">
        <f t="array" ref="G4608">index('Player ID'!C:C,match(E4608,'Player ID'!B:B,0))</f>
        <v>676106</v>
      </c>
    </row>
    <row r="4609">
      <c r="A4609" s="76">
        <v>45783.0</v>
      </c>
      <c r="B4609" s="1" t="s">
        <v>213</v>
      </c>
      <c r="C4609" s="1" t="s">
        <v>52</v>
      </c>
      <c r="D4609" s="1">
        <v>1.2</v>
      </c>
      <c r="E4609" s="1">
        <v>27694.0</v>
      </c>
      <c r="F4609" s="10">
        <f t="shared" si="1"/>
        <v>1.666666667</v>
      </c>
      <c r="G4609" s="10">
        <f t="array" ref="G4609">index('Player ID'!C:C,match(E4609,'Player ID'!B:B,0))</f>
        <v>686993</v>
      </c>
    </row>
    <row r="4610">
      <c r="A4610" s="76">
        <v>45783.0</v>
      </c>
      <c r="B4610" s="1" t="s">
        <v>717</v>
      </c>
      <c r="C4610" s="1" t="s">
        <v>52</v>
      </c>
      <c r="D4610" s="1">
        <v>1.0</v>
      </c>
      <c r="E4610" s="1">
        <v>27908.0</v>
      </c>
      <c r="F4610" s="10">
        <f t="shared" si="1"/>
        <v>1</v>
      </c>
      <c r="G4610" s="10">
        <f t="array" ref="G4610">index('Player ID'!C:C,match(E4610,'Player ID'!B:B,0))</f>
        <v>668716</v>
      </c>
    </row>
    <row r="4611">
      <c r="A4611" s="76">
        <v>45784.0</v>
      </c>
      <c r="B4611" s="1" t="s">
        <v>506</v>
      </c>
      <c r="C4611" s="1" t="s">
        <v>80</v>
      </c>
      <c r="D4611" s="1">
        <v>1.0</v>
      </c>
      <c r="E4611" s="1">
        <v>12988.0</v>
      </c>
      <c r="F4611" s="10">
        <f t="shared" si="1"/>
        <v>1</v>
      </c>
      <c r="G4611" s="10">
        <f t="array" ref="G4611">index('Player ID'!C:C,match(E4611,'Player ID'!B:B,0))</f>
        <v>605177</v>
      </c>
    </row>
    <row r="4612">
      <c r="A4612" s="76">
        <v>45784.0</v>
      </c>
      <c r="B4612" s="1" t="s">
        <v>719</v>
      </c>
      <c r="C4612" s="1" t="s">
        <v>80</v>
      </c>
      <c r="D4612" s="1">
        <v>0.0</v>
      </c>
      <c r="E4612" s="1">
        <v>14527.0</v>
      </c>
      <c r="F4612" s="10">
        <f t="shared" si="1"/>
        <v>0</v>
      </c>
      <c r="G4612" s="10">
        <f t="array" ref="G4612">index('Player ID'!C:C,match(E4612,'Player ID'!B:B,0))</f>
        <v>605347</v>
      </c>
    </row>
    <row r="4613">
      <c r="A4613" s="76">
        <v>45784.0</v>
      </c>
      <c r="B4613" s="1" t="s">
        <v>480</v>
      </c>
      <c r="C4613" s="1" t="s">
        <v>80</v>
      </c>
      <c r="D4613" s="1">
        <v>5.0</v>
      </c>
      <c r="E4613" s="1">
        <v>18383.0</v>
      </c>
      <c r="F4613" s="10">
        <f t="shared" si="1"/>
        <v>5</v>
      </c>
      <c r="G4613" s="10">
        <f t="array" ref="G4613">index('Player ID'!C:C,match(E4613,'Player ID'!B:B,0))</f>
        <v>647336</v>
      </c>
    </row>
    <row r="4614">
      <c r="A4614" s="76">
        <v>45784.0</v>
      </c>
      <c r="B4614" s="1" t="s">
        <v>259</v>
      </c>
      <c r="C4614" s="1" t="s">
        <v>70</v>
      </c>
      <c r="D4614" s="1">
        <v>1.0</v>
      </c>
      <c r="E4614" s="1">
        <v>18694.0</v>
      </c>
      <c r="F4614" s="10">
        <f t="shared" si="1"/>
        <v>1</v>
      </c>
      <c r="G4614" s="10">
        <f t="array" ref="G4614">index('Player ID'!C:C,match(E4614,'Player ID'!B:B,0))</f>
        <v>663465</v>
      </c>
    </row>
    <row r="4615">
      <c r="A4615" s="76">
        <v>45784.0</v>
      </c>
      <c r="B4615" s="1" t="s">
        <v>141</v>
      </c>
      <c r="C4615" s="1" t="s">
        <v>70</v>
      </c>
      <c r="D4615" s="1">
        <v>0.2</v>
      </c>
      <c r="E4615" s="1">
        <v>19330.0</v>
      </c>
      <c r="F4615" s="10">
        <f t="shared" si="1"/>
        <v>0.6666666667</v>
      </c>
      <c r="G4615" s="10">
        <f t="array" ref="G4615">index('Player ID'!C:C,match(E4615,'Player ID'!B:B,0))</f>
        <v>670036</v>
      </c>
    </row>
    <row r="4616">
      <c r="A4616" s="76">
        <v>45784.0</v>
      </c>
      <c r="B4616" s="1" t="s">
        <v>132</v>
      </c>
      <c r="C4616" s="1" t="s">
        <v>70</v>
      </c>
      <c r="D4616" s="1">
        <v>1.0</v>
      </c>
      <c r="E4616" s="1">
        <v>21032.0</v>
      </c>
      <c r="F4616" s="10">
        <f t="shared" si="1"/>
        <v>1</v>
      </c>
      <c r="G4616" s="10">
        <f t="array" ref="G4616">index('Player ID'!C:C,match(E4616,'Player ID'!B:B,0))</f>
        <v>661403</v>
      </c>
    </row>
    <row r="4617">
      <c r="A4617" s="76">
        <v>45784.0</v>
      </c>
      <c r="B4617" s="1" t="s">
        <v>398</v>
      </c>
      <c r="C4617" s="1" t="s">
        <v>70</v>
      </c>
      <c r="D4617" s="1">
        <v>1.0</v>
      </c>
      <c r="E4617" s="1">
        <v>23335.0</v>
      </c>
      <c r="F4617" s="10">
        <f t="shared" si="1"/>
        <v>1</v>
      </c>
      <c r="G4617" s="10">
        <f t="array" ref="G4617">index('Player ID'!C:C,match(E4617,'Player ID'!B:B,0))</f>
        <v>676282</v>
      </c>
    </row>
    <row r="4618">
      <c r="A4618" s="76">
        <v>45784.0</v>
      </c>
      <c r="B4618" s="1" t="s">
        <v>519</v>
      </c>
      <c r="C4618" s="1" t="s">
        <v>70</v>
      </c>
      <c r="D4618" s="1">
        <v>0.2</v>
      </c>
      <c r="E4618" s="1">
        <v>25139.0</v>
      </c>
      <c r="F4618" s="10">
        <f t="shared" si="1"/>
        <v>0.6666666667</v>
      </c>
      <c r="G4618" s="10">
        <f t="array" ref="G4618">index('Player ID'!C:C,match(E4618,'Player ID'!B:B,0))</f>
        <v>682120</v>
      </c>
    </row>
    <row r="4619">
      <c r="A4619" s="76">
        <v>45784.0</v>
      </c>
      <c r="B4619" s="1" t="s">
        <v>238</v>
      </c>
      <c r="C4619" s="1" t="s">
        <v>70</v>
      </c>
      <c r="D4619" s="1">
        <v>0.1</v>
      </c>
      <c r="E4619" s="1">
        <v>25636.0</v>
      </c>
      <c r="F4619" s="10">
        <f t="shared" si="1"/>
        <v>0.3333333333</v>
      </c>
      <c r="G4619" s="10">
        <f t="array" ref="G4619">index('Player ID'!C:C,match(E4619,'Player ID'!B:B,0))</f>
        <v>683769</v>
      </c>
    </row>
    <row r="4620">
      <c r="A4620" s="76">
        <v>45784.0</v>
      </c>
      <c r="B4620" s="1" t="s">
        <v>507</v>
      </c>
      <c r="C4620" s="1" t="s">
        <v>80</v>
      </c>
      <c r="D4620" s="1">
        <v>3.0</v>
      </c>
      <c r="E4620" s="1">
        <v>27570.0</v>
      </c>
      <c r="F4620" s="10">
        <f t="shared" si="1"/>
        <v>3</v>
      </c>
      <c r="G4620" s="10">
        <f t="array" ref="G4620">index('Player ID'!C:C,match(E4620,'Player ID'!B:B,0))</f>
        <v>669371</v>
      </c>
    </row>
    <row r="4621">
      <c r="A4621" s="76">
        <v>45784.0</v>
      </c>
      <c r="B4621" s="1" t="s">
        <v>372</v>
      </c>
      <c r="C4621" s="1" t="s">
        <v>70</v>
      </c>
      <c r="D4621" s="1">
        <v>4.0</v>
      </c>
      <c r="E4621" s="1">
        <v>27589.0</v>
      </c>
      <c r="F4621" s="10">
        <f t="shared" si="1"/>
        <v>4</v>
      </c>
      <c r="G4621" s="10">
        <f t="array" ref="G4621">index('Player ID'!C:C,match(E4621,'Player ID'!B:B,0))</f>
        <v>671106</v>
      </c>
    </row>
    <row r="4622">
      <c r="A4622" s="76">
        <v>45784.0</v>
      </c>
      <c r="B4622" s="1" t="s">
        <v>135</v>
      </c>
      <c r="C4622" s="1" t="s">
        <v>70</v>
      </c>
      <c r="D4622" s="1">
        <v>0.1</v>
      </c>
      <c r="E4622" s="1">
        <v>27867.0</v>
      </c>
      <c r="F4622" s="10">
        <f t="shared" si="1"/>
        <v>0.3333333333</v>
      </c>
      <c r="G4622" s="10">
        <f t="array" ref="G4622">index('Player ID'!C:C,match(E4622,'Player ID'!B:B,0))</f>
        <v>671922</v>
      </c>
    </row>
    <row r="4623">
      <c r="A4623" s="76">
        <v>45784.0</v>
      </c>
      <c r="B4623" s="1" t="s">
        <v>59</v>
      </c>
      <c r="C4623" s="1" t="s">
        <v>39</v>
      </c>
      <c r="D4623" s="1">
        <v>1.0</v>
      </c>
      <c r="E4623" s="1">
        <v>14212.0</v>
      </c>
      <c r="F4623" s="10">
        <f t="shared" si="1"/>
        <v>1</v>
      </c>
      <c r="G4623" s="10">
        <f t="array" ref="G4623">index('Player ID'!C:C,match(E4623,'Player ID'!B:B,0))</f>
        <v>623352</v>
      </c>
    </row>
    <row r="4624">
      <c r="A4624" s="76">
        <v>45784.0</v>
      </c>
      <c r="B4624" s="1" t="s">
        <v>210</v>
      </c>
      <c r="C4624" s="1" t="s">
        <v>39</v>
      </c>
      <c r="D4624" s="1">
        <v>1.0</v>
      </c>
      <c r="E4624" s="1">
        <v>16609.0</v>
      </c>
      <c r="F4624" s="10">
        <f t="shared" si="1"/>
        <v>1</v>
      </c>
      <c r="G4624" s="10">
        <f t="array" ref="G4624">index('Player ID'!C:C,match(E4624,'Player ID'!B:B,0))</f>
        <v>650556</v>
      </c>
    </row>
    <row r="4625">
      <c r="A4625" s="76">
        <v>45784.0</v>
      </c>
      <c r="B4625" s="1" t="s">
        <v>113</v>
      </c>
      <c r="C4625" s="1" t="s">
        <v>39</v>
      </c>
      <c r="D4625" s="1">
        <v>7.0</v>
      </c>
      <c r="E4625" s="1">
        <v>17295.0</v>
      </c>
      <c r="F4625" s="10">
        <f t="shared" si="1"/>
        <v>7</v>
      </c>
      <c r="G4625" s="10">
        <f t="array" ref="G4625">index('Player ID'!C:C,match(E4625,'Player ID'!B:B,0))</f>
        <v>664285</v>
      </c>
    </row>
    <row r="4626">
      <c r="A4626" s="76">
        <v>45784.0</v>
      </c>
      <c r="B4626" s="1" t="s">
        <v>187</v>
      </c>
      <c r="C4626" s="1" t="s">
        <v>14</v>
      </c>
      <c r="D4626" s="1">
        <v>0.2</v>
      </c>
      <c r="E4626" s="1">
        <v>17735.0</v>
      </c>
      <c r="F4626" s="10">
        <f t="shared" si="1"/>
        <v>0.6666666667</v>
      </c>
      <c r="G4626" s="10">
        <f t="array" ref="G4626">index('Player ID'!C:C,match(E4626,'Player ID'!B:B,0))</f>
        <v>641302</v>
      </c>
    </row>
    <row r="4627">
      <c r="A4627" s="76">
        <v>45784.0</v>
      </c>
      <c r="B4627" s="1" t="s">
        <v>744</v>
      </c>
      <c r="C4627" s="1" t="s">
        <v>14</v>
      </c>
      <c r="D4627" s="1">
        <v>3.1</v>
      </c>
      <c r="E4627" s="1">
        <v>20962.0</v>
      </c>
      <c r="F4627" s="10">
        <f t="shared" si="1"/>
        <v>3.333333333</v>
      </c>
      <c r="G4627" s="10">
        <f t="array" ref="G4627">index('Player ID'!C:C,match(E4627,'Player ID'!B:B,0))</f>
        <v>660730</v>
      </c>
    </row>
    <row r="4628">
      <c r="A4628" s="76">
        <v>45784.0</v>
      </c>
      <c r="B4628" s="1" t="s">
        <v>450</v>
      </c>
      <c r="C4628" s="1" t="s">
        <v>14</v>
      </c>
      <c r="D4628" s="1">
        <v>5.0</v>
      </c>
      <c r="E4628" s="1">
        <v>25977.0</v>
      </c>
      <c r="F4628" s="10">
        <f t="shared" si="1"/>
        <v>5</v>
      </c>
      <c r="G4628" s="10">
        <f t="array" ref="G4628">index('Player ID'!C:C,match(E4628,'Player ID'!B:B,0))</f>
        <v>682990</v>
      </c>
    </row>
    <row r="4629">
      <c r="A4629" s="76">
        <v>45784.0</v>
      </c>
      <c r="B4629" s="1" t="s">
        <v>95</v>
      </c>
      <c r="C4629" s="1" t="s">
        <v>72</v>
      </c>
      <c r="D4629" s="1">
        <v>7.0</v>
      </c>
      <c r="E4629" s="1">
        <v>12768.0</v>
      </c>
      <c r="F4629" s="10">
        <f t="shared" si="1"/>
        <v>7</v>
      </c>
      <c r="G4629" s="10">
        <f t="array" ref="G4629">index('Player ID'!C:C,match(E4629,'Player ID'!B:B,0))</f>
        <v>543243</v>
      </c>
    </row>
    <row r="4630">
      <c r="A4630" s="76">
        <v>45784.0</v>
      </c>
      <c r="B4630" s="1" t="s">
        <v>443</v>
      </c>
      <c r="C4630" s="1" t="s">
        <v>60</v>
      </c>
      <c r="D4630" s="1">
        <v>1.0</v>
      </c>
      <c r="E4630" s="1">
        <v>16350.0</v>
      </c>
      <c r="F4630" s="10">
        <f t="shared" si="1"/>
        <v>1</v>
      </c>
      <c r="G4630" s="10">
        <f t="array" ref="G4630">index('Player ID'!C:C,match(E4630,'Player ID'!B:B,0))</f>
        <v>621366</v>
      </c>
    </row>
    <row r="4631">
      <c r="A4631" s="76">
        <v>45784.0</v>
      </c>
      <c r="B4631" s="1" t="s">
        <v>423</v>
      </c>
      <c r="C4631" s="1" t="s">
        <v>60</v>
      </c>
      <c r="D4631" s="1">
        <v>6.0</v>
      </c>
      <c r="E4631" s="1">
        <v>17594.0</v>
      </c>
      <c r="F4631" s="10">
        <f t="shared" si="1"/>
        <v>6</v>
      </c>
      <c r="G4631" s="10">
        <f t="array" ref="G4631">index('Player ID'!C:C,match(E4631,'Player ID'!B:B,0))</f>
        <v>656605</v>
      </c>
    </row>
    <row r="4632">
      <c r="A4632" s="76">
        <v>45784.0</v>
      </c>
      <c r="B4632" s="1" t="s">
        <v>107</v>
      </c>
      <c r="C4632" s="1" t="s">
        <v>60</v>
      </c>
      <c r="D4632" s="1">
        <v>0.2</v>
      </c>
      <c r="E4632" s="1">
        <v>19349.0</v>
      </c>
      <c r="F4632" s="10">
        <f t="shared" si="1"/>
        <v>0.6666666667</v>
      </c>
      <c r="G4632" s="10">
        <f t="array" ref="G4632">index('Player ID'!C:C,match(E4632,'Player ID'!B:B,0))</f>
        <v>657571</v>
      </c>
    </row>
    <row r="4633">
      <c r="A4633" s="76">
        <v>45784.0</v>
      </c>
      <c r="B4633" s="1" t="s">
        <v>663</v>
      </c>
      <c r="C4633" s="1" t="s">
        <v>60</v>
      </c>
      <c r="D4633" s="1">
        <v>0.1</v>
      </c>
      <c r="E4633" s="1">
        <v>22361.0</v>
      </c>
      <c r="F4633" s="10">
        <f t="shared" si="1"/>
        <v>0.3333333333</v>
      </c>
      <c r="G4633" s="10">
        <f t="array" ref="G4633">index('Player ID'!C:C,match(E4633,'Player ID'!B:B,0))</f>
        <v>670059</v>
      </c>
    </row>
    <row r="4634">
      <c r="A4634" s="76">
        <v>45784.0</v>
      </c>
      <c r="B4634" s="1" t="s">
        <v>170</v>
      </c>
      <c r="C4634" s="1" t="s">
        <v>72</v>
      </c>
      <c r="D4634" s="1">
        <v>1.0</v>
      </c>
      <c r="E4634" s="1">
        <v>24763.0</v>
      </c>
      <c r="F4634" s="10">
        <f t="shared" si="1"/>
        <v>1</v>
      </c>
      <c r="G4634" s="10">
        <f t="array" ref="G4634">index('Player ID'!C:C,match(E4634,'Player ID'!B:B,0))</f>
        <v>681517</v>
      </c>
    </row>
    <row r="4635">
      <c r="A4635" s="76">
        <v>45784.0</v>
      </c>
      <c r="B4635" s="1" t="s">
        <v>665</v>
      </c>
      <c r="C4635" s="1" t="s">
        <v>72</v>
      </c>
      <c r="D4635" s="1">
        <v>1.0</v>
      </c>
      <c r="E4635" s="1">
        <v>31261.0</v>
      </c>
      <c r="F4635" s="10">
        <f t="shared" si="1"/>
        <v>1</v>
      </c>
      <c r="G4635" s="10">
        <f t="array" ref="G4635">index('Player ID'!C:C,match(E4635,'Player ID'!B:B,0))</f>
        <v>688297</v>
      </c>
    </row>
    <row r="4636">
      <c r="A4636" s="76">
        <v>45784.0</v>
      </c>
      <c r="B4636" s="1" t="s">
        <v>203</v>
      </c>
      <c r="C4636" s="1" t="s">
        <v>34</v>
      </c>
      <c r="D4636" s="1">
        <v>0.1</v>
      </c>
      <c r="E4636" s="1">
        <v>11426.0</v>
      </c>
      <c r="F4636" s="10">
        <f t="shared" si="1"/>
        <v>0.3333333333</v>
      </c>
      <c r="G4636" s="10">
        <f t="array" ref="G4636">index('Player ID'!C:C,match(E4636,'Player ID'!B:B,0))</f>
        <v>519141</v>
      </c>
    </row>
    <row r="4637">
      <c r="A4637" s="76">
        <v>45784.0</v>
      </c>
      <c r="B4637" s="1" t="s">
        <v>303</v>
      </c>
      <c r="C4637" s="1" t="s">
        <v>31</v>
      </c>
      <c r="D4637" s="1">
        <v>6.0</v>
      </c>
      <c r="E4637" s="1">
        <v>11486.0</v>
      </c>
      <c r="F4637" s="10">
        <f t="shared" si="1"/>
        <v>6</v>
      </c>
      <c r="G4637" s="10">
        <f t="array" ref="G4637">index('Player ID'!C:C,match(E4637,'Player ID'!B:B,0))</f>
        <v>592662</v>
      </c>
    </row>
    <row r="4638">
      <c r="A4638" s="76">
        <v>45784.0</v>
      </c>
      <c r="B4638" s="1" t="s">
        <v>462</v>
      </c>
      <c r="C4638" s="1" t="s">
        <v>34</v>
      </c>
      <c r="D4638" s="1">
        <v>1.0</v>
      </c>
      <c r="E4638" s="1">
        <v>13896.0</v>
      </c>
      <c r="F4638" s="10">
        <f t="shared" si="1"/>
        <v>1</v>
      </c>
      <c r="G4638" s="10">
        <f t="array" ref="G4638">index('Player ID'!C:C,match(E4638,'Player ID'!B:B,0))</f>
        <v>623167</v>
      </c>
    </row>
    <row r="4639">
      <c r="A4639" s="76">
        <v>45784.0</v>
      </c>
      <c r="B4639" s="1" t="s">
        <v>20</v>
      </c>
      <c r="C4639" s="1" t="s">
        <v>31</v>
      </c>
      <c r="D4639" s="1">
        <v>1.0</v>
      </c>
      <c r="E4639" s="1">
        <v>15541.0</v>
      </c>
      <c r="F4639" s="10">
        <f t="shared" si="1"/>
        <v>1</v>
      </c>
      <c r="G4639" s="10">
        <f t="array" ref="G4639">index('Player ID'!C:C,match(E4639,'Player ID'!B:B,0))</f>
        <v>643511</v>
      </c>
    </row>
    <row r="4640">
      <c r="A4640" s="76">
        <v>45784.0</v>
      </c>
      <c r="B4640" s="1" t="s">
        <v>297</v>
      </c>
      <c r="C4640" s="1" t="s">
        <v>34</v>
      </c>
      <c r="D4640" s="1">
        <v>1.0</v>
      </c>
      <c r="E4640" s="1">
        <v>15734.0</v>
      </c>
      <c r="F4640" s="10">
        <f t="shared" si="1"/>
        <v>1</v>
      </c>
      <c r="G4640" s="10">
        <f t="array" ref="G4640">index('Player ID'!C:C,match(E4640,'Player ID'!B:B,0))</f>
        <v>641745</v>
      </c>
    </row>
    <row r="4641">
      <c r="A4641" s="76">
        <v>45784.0</v>
      </c>
      <c r="B4641" s="1" t="s">
        <v>632</v>
      </c>
      <c r="C4641" s="1" t="s">
        <v>34</v>
      </c>
      <c r="D4641" s="1">
        <v>1.0</v>
      </c>
      <c r="E4641" s="1">
        <v>16703.0</v>
      </c>
      <c r="F4641" s="10">
        <f t="shared" si="1"/>
        <v>1</v>
      </c>
      <c r="G4641" s="10">
        <f t="array" ref="G4641">index('Player ID'!C:C,match(E4641,'Player ID'!B:B,0))</f>
        <v>657240</v>
      </c>
    </row>
    <row r="4642">
      <c r="A4642" s="76">
        <v>45784.0</v>
      </c>
      <c r="B4642" s="1" t="s">
        <v>403</v>
      </c>
      <c r="C4642" s="1" t="s">
        <v>31</v>
      </c>
      <c r="D4642" s="1">
        <v>1.0</v>
      </c>
      <c r="E4642" s="1">
        <v>20423.0</v>
      </c>
      <c r="F4642" s="10">
        <f t="shared" si="1"/>
        <v>1</v>
      </c>
      <c r="G4642" s="10">
        <f t="array" ref="G4642">index('Player ID'!C:C,match(E4642,'Player ID'!B:B,0))</f>
        <v>676254</v>
      </c>
    </row>
    <row r="4643">
      <c r="A4643" s="76">
        <v>45784.0</v>
      </c>
      <c r="B4643" s="1" t="s">
        <v>304</v>
      </c>
      <c r="C4643" s="1" t="s">
        <v>31</v>
      </c>
      <c r="D4643" s="1">
        <v>1.0</v>
      </c>
      <c r="E4643" s="1">
        <v>21992.0</v>
      </c>
      <c r="F4643" s="10">
        <f t="shared" si="1"/>
        <v>1</v>
      </c>
      <c r="G4643" s="10">
        <f t="array" ref="G4643">index('Player ID'!C:C,match(E4643,'Player ID'!B:B,0))</f>
        <v>666808</v>
      </c>
    </row>
    <row r="4644">
      <c r="A4644" s="76">
        <v>45784.0</v>
      </c>
      <c r="B4644" s="1" t="s">
        <v>341</v>
      </c>
      <c r="C4644" s="1" t="s">
        <v>34</v>
      </c>
      <c r="D4644" s="1">
        <v>5.0</v>
      </c>
      <c r="E4644" s="1">
        <v>23590.0</v>
      </c>
      <c r="F4644" s="10">
        <f t="shared" si="1"/>
        <v>5</v>
      </c>
      <c r="G4644" s="10">
        <f t="array" ref="G4644">index('Player ID'!C:C,match(E4644,'Player ID'!B:B,0))</f>
        <v>676962</v>
      </c>
    </row>
    <row r="4645">
      <c r="A4645" s="76">
        <v>45784.0</v>
      </c>
      <c r="B4645" s="1" t="s">
        <v>787</v>
      </c>
      <c r="C4645" s="1" t="s">
        <v>34</v>
      </c>
      <c r="D4645" s="1">
        <v>0.2</v>
      </c>
      <c r="E4645" s="1">
        <v>25427.0</v>
      </c>
      <c r="F4645" s="10">
        <f t="shared" si="1"/>
        <v>0.6666666667</v>
      </c>
      <c r="G4645" s="10">
        <f t="array" ref="G4645">index('Player ID'!C:C,match(E4645,'Player ID'!B:B,0))</f>
        <v>668970</v>
      </c>
    </row>
    <row r="4646">
      <c r="A4646" s="76">
        <v>45784.0</v>
      </c>
      <c r="B4646" s="1" t="s">
        <v>668</v>
      </c>
      <c r="C4646" s="1" t="s">
        <v>52</v>
      </c>
      <c r="D4646" s="1">
        <v>0.2</v>
      </c>
      <c r="E4646" s="1">
        <v>3237.0</v>
      </c>
      <c r="F4646" s="10">
        <f t="shared" si="1"/>
        <v>0.6666666667</v>
      </c>
      <c r="G4646" s="10">
        <f t="array" ref="G4646">index('Player ID'!C:C,match(E4646,'Player ID'!B:B,0))</f>
        <v>519008</v>
      </c>
    </row>
    <row r="4647">
      <c r="A4647" s="76">
        <v>45784.0</v>
      </c>
      <c r="B4647" s="1" t="s">
        <v>53</v>
      </c>
      <c r="C4647" s="1" t="s">
        <v>37</v>
      </c>
      <c r="D4647" s="1">
        <v>0.2</v>
      </c>
      <c r="E4647" s="1">
        <v>17170.0</v>
      </c>
      <c r="F4647" s="10">
        <f t="shared" si="1"/>
        <v>0.6666666667</v>
      </c>
      <c r="G4647" s="10">
        <f t="array" ref="G4647">index('Player ID'!C:C,match(E4647,'Player ID'!B:B,0))</f>
        <v>642100</v>
      </c>
    </row>
    <row r="4648">
      <c r="A4648" s="76">
        <v>45784.0</v>
      </c>
      <c r="B4648" s="1" t="s">
        <v>670</v>
      </c>
      <c r="C4648" s="1" t="s">
        <v>37</v>
      </c>
      <c r="D4648" s="1">
        <v>1.0</v>
      </c>
      <c r="E4648" s="1">
        <v>20373.0</v>
      </c>
      <c r="F4648" s="10">
        <f t="shared" si="1"/>
        <v>1</v>
      </c>
      <c r="G4648" s="10">
        <f t="array" ref="G4648">index('Player ID'!C:C,match(E4648,'Player ID'!B:B,0))</f>
        <v>662253</v>
      </c>
    </row>
    <row r="4649">
      <c r="A4649" s="76">
        <v>45784.0</v>
      </c>
      <c r="B4649" s="1" t="s">
        <v>157</v>
      </c>
      <c r="C4649" s="1" t="s">
        <v>37</v>
      </c>
      <c r="D4649" s="1">
        <v>1.1</v>
      </c>
      <c r="E4649" s="1">
        <v>20997.0</v>
      </c>
      <c r="F4649" s="10">
        <f t="shared" si="1"/>
        <v>1.333333333</v>
      </c>
      <c r="G4649" s="10">
        <f t="array" ref="G4649">index('Player ID'!C:C,match(E4649,'Player ID'!B:B,0))</f>
        <v>660825</v>
      </c>
    </row>
    <row r="4650">
      <c r="A4650" s="76">
        <v>45784.0</v>
      </c>
      <c r="B4650" s="1" t="s">
        <v>213</v>
      </c>
      <c r="C4650" s="1" t="s">
        <v>52</v>
      </c>
      <c r="D4650" s="1">
        <v>0.1</v>
      </c>
      <c r="E4650" s="1">
        <v>27694.0</v>
      </c>
      <c r="F4650" s="10">
        <f t="shared" si="1"/>
        <v>0.3333333333</v>
      </c>
      <c r="G4650" s="10">
        <f t="array" ref="G4650">index('Player ID'!C:C,match(E4650,'Player ID'!B:B,0))</f>
        <v>686993</v>
      </c>
    </row>
    <row r="4651">
      <c r="A4651" s="76">
        <v>45784.0</v>
      </c>
      <c r="B4651" s="1" t="s">
        <v>127</v>
      </c>
      <c r="C4651" s="1" t="s">
        <v>52</v>
      </c>
      <c r="D4651" s="1">
        <v>0.2</v>
      </c>
      <c r="E4651" s="1">
        <v>27707.0</v>
      </c>
      <c r="F4651" s="10">
        <f t="shared" si="1"/>
        <v>0.6666666667</v>
      </c>
      <c r="G4651" s="10">
        <f t="array" ref="G4651">index('Player ID'!C:C,match(E4651,'Player ID'!B:B,0))</f>
        <v>687765</v>
      </c>
    </row>
    <row r="4652">
      <c r="A4652" s="76">
        <v>45784.0</v>
      </c>
      <c r="B4652" s="1" t="s">
        <v>717</v>
      </c>
      <c r="C4652" s="1" t="s">
        <v>52</v>
      </c>
      <c r="D4652" s="1">
        <v>1.0</v>
      </c>
      <c r="E4652" s="1">
        <v>27908.0</v>
      </c>
      <c r="F4652" s="10">
        <f t="shared" si="1"/>
        <v>1</v>
      </c>
      <c r="G4652" s="10">
        <f t="array" ref="G4652">index('Player ID'!C:C,match(E4652,'Player ID'!B:B,0))</f>
        <v>668716</v>
      </c>
    </row>
    <row r="4653">
      <c r="A4653" s="76">
        <v>45784.0</v>
      </c>
      <c r="B4653" s="1" t="s">
        <v>681</v>
      </c>
      <c r="C4653" s="1" t="s">
        <v>52</v>
      </c>
      <c r="D4653" s="1">
        <v>1.0</v>
      </c>
      <c r="E4653" s="1">
        <v>30002.0</v>
      </c>
      <c r="F4653" s="10">
        <f t="shared" si="1"/>
        <v>1</v>
      </c>
      <c r="G4653" s="10">
        <f t="array" ref="G4653">index('Player ID'!C:C,match(E4653,'Player ID'!B:B,0))</f>
        <v>680880</v>
      </c>
    </row>
    <row r="4654">
      <c r="A4654" s="76">
        <v>45784.0</v>
      </c>
      <c r="B4654" s="1" t="s">
        <v>90</v>
      </c>
      <c r="C4654" s="1" t="s">
        <v>37</v>
      </c>
      <c r="D4654" s="1">
        <v>6.0</v>
      </c>
      <c r="E4654" s="1">
        <v>30279.0</v>
      </c>
      <c r="F4654" s="10">
        <f t="shared" si="1"/>
        <v>6</v>
      </c>
      <c r="G4654" s="10">
        <f t="array" ref="G4654">index('Player ID'!C:C,match(E4654,'Player ID'!B:B,0))</f>
        <v>693433</v>
      </c>
    </row>
    <row r="4655">
      <c r="A4655" s="76">
        <v>45784.0</v>
      </c>
      <c r="B4655" s="1" t="s">
        <v>243</v>
      </c>
      <c r="C4655" s="1" t="s">
        <v>52</v>
      </c>
      <c r="D4655" s="1">
        <v>5.1</v>
      </c>
      <c r="E4655" s="1">
        <v>31318.0</v>
      </c>
      <c r="F4655" s="10">
        <f t="shared" si="1"/>
        <v>5.333333333</v>
      </c>
      <c r="G4655" s="10">
        <f t="array" ref="G4655">index('Player ID'!C:C,match(E4655,'Player ID'!B:B,0))</f>
        <v>680684</v>
      </c>
    </row>
    <row r="4656">
      <c r="A4656" s="76">
        <v>45784.0</v>
      </c>
      <c r="B4656" s="1" t="s">
        <v>646</v>
      </c>
      <c r="C4656" s="1" t="s">
        <v>51</v>
      </c>
      <c r="D4656" s="1">
        <v>0.2</v>
      </c>
      <c r="E4656" s="1">
        <v>6107.0</v>
      </c>
      <c r="F4656" s="10">
        <f t="shared" si="1"/>
        <v>0.6666666667</v>
      </c>
      <c r="G4656" s="10">
        <f t="array" ref="G4656">index('Player ID'!C:C,match(E4656,'Player ID'!B:B,0))</f>
        <v>623211</v>
      </c>
    </row>
    <row r="4657">
      <c r="A4657" s="76">
        <v>45784.0</v>
      </c>
      <c r="B4657" s="1" t="s">
        <v>222</v>
      </c>
      <c r="C4657" s="1" t="s">
        <v>64</v>
      </c>
      <c r="D4657" s="1">
        <v>6.1</v>
      </c>
      <c r="E4657" s="1">
        <v>11156.0</v>
      </c>
      <c r="F4657" s="10">
        <f t="shared" si="1"/>
        <v>6.333333333</v>
      </c>
      <c r="G4657" s="10">
        <f t="array" ref="G4657">index('Player ID'!C:C,match(E4657,'Player ID'!B:B,0))</f>
        <v>518876</v>
      </c>
    </row>
    <row r="4658">
      <c r="A4658" s="76">
        <v>45784.0</v>
      </c>
      <c r="B4658" s="1" t="s">
        <v>292</v>
      </c>
      <c r="C4658" s="1" t="s">
        <v>51</v>
      </c>
      <c r="D4658" s="1">
        <v>1.0</v>
      </c>
      <c r="E4658" s="1">
        <v>15947.0</v>
      </c>
      <c r="F4658" s="10">
        <f t="shared" si="1"/>
        <v>1</v>
      </c>
      <c r="G4658" s="10">
        <f t="array" ref="G4658">index('Player ID'!C:C,match(E4658,'Player ID'!B:B,0))</f>
        <v>592773</v>
      </c>
    </row>
    <row r="4659">
      <c r="A4659" s="76">
        <v>45784.0</v>
      </c>
      <c r="B4659" s="1" t="s">
        <v>826</v>
      </c>
      <c r="C4659" s="1" t="s">
        <v>64</v>
      </c>
      <c r="D4659" s="1">
        <v>1.1</v>
      </c>
      <c r="E4659" s="1">
        <v>17169.0</v>
      </c>
      <c r="F4659" s="10">
        <f t="shared" si="1"/>
        <v>1.333333333</v>
      </c>
      <c r="G4659" s="10">
        <f t="array" ref="G4659">index('Player ID'!C:C,match(E4659,'Player ID'!B:B,0))</f>
        <v>620454</v>
      </c>
    </row>
    <row r="4660">
      <c r="A4660" s="76">
        <v>45784.0</v>
      </c>
      <c r="B4660" s="1" t="s">
        <v>489</v>
      </c>
      <c r="C4660" s="1" t="s">
        <v>64</v>
      </c>
      <c r="D4660" s="1">
        <v>1.1</v>
      </c>
      <c r="E4660" s="1">
        <v>17192.0</v>
      </c>
      <c r="F4660" s="10">
        <f t="shared" si="1"/>
        <v>1.333333333</v>
      </c>
      <c r="G4660" s="10">
        <f t="array" ref="G4660">index('Player ID'!C:C,match(E4660,'Player ID'!B:B,0))</f>
        <v>656222</v>
      </c>
    </row>
    <row r="4661">
      <c r="A4661" s="76">
        <v>45784.0</v>
      </c>
      <c r="B4661" s="1" t="s">
        <v>50</v>
      </c>
      <c r="C4661" s="1" t="s">
        <v>51</v>
      </c>
      <c r="D4661" s="1">
        <v>1.1</v>
      </c>
      <c r="E4661" s="1">
        <v>22175.0</v>
      </c>
      <c r="F4661" s="10">
        <f t="shared" si="1"/>
        <v>1.333333333</v>
      </c>
      <c r="G4661" s="10">
        <f t="array" ref="G4661">index('Player ID'!C:C,match(E4661,'Player ID'!B:B,0))</f>
        <v>668820</v>
      </c>
    </row>
    <row r="4662">
      <c r="A4662" s="76">
        <v>45784.0</v>
      </c>
      <c r="B4662" s="1" t="s">
        <v>461</v>
      </c>
      <c r="C4662" s="1" t="s">
        <v>51</v>
      </c>
      <c r="D4662" s="1">
        <v>6.0</v>
      </c>
      <c r="E4662" s="1">
        <v>31838.0</v>
      </c>
      <c r="F4662" s="10">
        <f t="shared" si="1"/>
        <v>6</v>
      </c>
      <c r="G4662" s="10">
        <f t="array" ref="G4662">index('Player ID'!C:C,match(E4662,'Player ID'!B:B,0))</f>
        <v>673540</v>
      </c>
    </row>
    <row r="4663">
      <c r="A4663" s="76">
        <v>45784.0</v>
      </c>
      <c r="B4663" s="1" t="s">
        <v>241</v>
      </c>
      <c r="C4663" s="1" t="s">
        <v>36</v>
      </c>
      <c r="D4663" s="1">
        <v>0.1</v>
      </c>
      <c r="E4663" s="1">
        <v>19222.0</v>
      </c>
      <c r="F4663" s="10">
        <f t="shared" si="1"/>
        <v>0.3333333333</v>
      </c>
      <c r="G4663" s="10">
        <f t="array" ref="G4663">index('Player ID'!C:C,match(E4663,'Player ID'!B:B,0))</f>
        <v>669199</v>
      </c>
    </row>
    <row r="4664">
      <c r="A4664" s="76">
        <v>45784.0</v>
      </c>
      <c r="B4664" s="1" t="s">
        <v>61</v>
      </c>
      <c r="C4664" s="1" t="s">
        <v>36</v>
      </c>
      <c r="D4664" s="1">
        <v>1.0</v>
      </c>
      <c r="E4664" s="1">
        <v>20629.0</v>
      </c>
      <c r="F4664" s="10">
        <f t="shared" si="1"/>
        <v>1</v>
      </c>
      <c r="G4664" s="10">
        <f t="array" ref="G4664">index('Player ID'!C:C,match(E4664,'Player ID'!B:B,0))</f>
        <v>663969</v>
      </c>
    </row>
    <row r="4665">
      <c r="A4665" s="76">
        <v>45784.0</v>
      </c>
      <c r="B4665" s="1" t="s">
        <v>390</v>
      </c>
      <c r="C4665" s="1" t="s">
        <v>33</v>
      </c>
      <c r="D4665" s="1">
        <v>4.0</v>
      </c>
      <c r="E4665" s="1">
        <v>22284.0</v>
      </c>
      <c r="F4665" s="10">
        <f t="shared" si="1"/>
        <v>4</v>
      </c>
      <c r="G4665" s="10">
        <f t="array" ref="G4665">index('Player ID'!C:C,match(E4665,'Player ID'!B:B,0))</f>
        <v>669422</v>
      </c>
    </row>
    <row r="4666">
      <c r="A4666" s="76">
        <v>45784.0</v>
      </c>
      <c r="B4666" s="1" t="s">
        <v>322</v>
      </c>
      <c r="C4666" s="1" t="s">
        <v>36</v>
      </c>
      <c r="D4666" s="1">
        <v>5.1</v>
      </c>
      <c r="E4666" s="1">
        <v>23899.0</v>
      </c>
      <c r="F4666" s="10">
        <f t="shared" si="1"/>
        <v>5.333333333</v>
      </c>
      <c r="G4666" s="10">
        <f t="array" ref="G4666">index('Player ID'!C:C,match(E4666,'Player ID'!B:B,0))</f>
        <v>678368</v>
      </c>
    </row>
    <row r="4667">
      <c r="A4667" s="76">
        <v>45784.0</v>
      </c>
      <c r="B4667" s="1" t="s">
        <v>123</v>
      </c>
      <c r="C4667" s="1" t="s">
        <v>36</v>
      </c>
      <c r="D4667" s="1">
        <v>1.1</v>
      </c>
      <c r="E4667" s="1">
        <v>24094.0</v>
      </c>
      <c r="F4667" s="10">
        <f t="shared" si="1"/>
        <v>1.333333333</v>
      </c>
      <c r="G4667" s="10">
        <f t="array" ref="G4667">index('Player ID'!C:C,match(E4667,'Player ID'!B:B,0))</f>
        <v>678692</v>
      </c>
    </row>
    <row r="4668">
      <c r="A4668" s="76">
        <v>45784.0</v>
      </c>
      <c r="B4668" s="1" t="s">
        <v>351</v>
      </c>
      <c r="C4668" s="1" t="s">
        <v>33</v>
      </c>
      <c r="D4668" s="1">
        <v>5.0</v>
      </c>
      <c r="E4668" s="1">
        <v>27487.0</v>
      </c>
      <c r="F4668" s="10">
        <f t="shared" si="1"/>
        <v>5</v>
      </c>
      <c r="G4668" s="10">
        <f t="array" ref="G4668">index('Player ID'!C:C,match(E4668,'Player ID'!B:B,0))</f>
        <v>689017</v>
      </c>
    </row>
    <row r="4669">
      <c r="A4669" s="76">
        <v>45784.0</v>
      </c>
      <c r="B4669" s="1" t="s">
        <v>266</v>
      </c>
      <c r="C4669" s="1" t="s">
        <v>36</v>
      </c>
      <c r="D4669" s="1">
        <v>1.0</v>
      </c>
      <c r="E4669" s="1">
        <v>31815.0</v>
      </c>
      <c r="F4669" s="10">
        <f t="shared" si="1"/>
        <v>1</v>
      </c>
      <c r="G4669" s="10">
        <f t="array" ref="G4669">index('Player ID'!C:C,match(E4669,'Player ID'!B:B,0))</f>
        <v>806188</v>
      </c>
    </row>
    <row r="4670">
      <c r="A4670" s="76">
        <v>45784.0</v>
      </c>
      <c r="B4670" s="1" t="s">
        <v>230</v>
      </c>
      <c r="C4670" s="1" t="s">
        <v>22</v>
      </c>
      <c r="D4670" s="1">
        <v>1.1</v>
      </c>
      <c r="E4670" s="1">
        <v>4301.0</v>
      </c>
      <c r="F4670" s="10">
        <f t="shared" si="1"/>
        <v>1.333333333</v>
      </c>
      <c r="G4670" s="10">
        <f t="array" ref="G4670">index('Player ID'!C:C,match(E4670,'Player ID'!B:B,0))</f>
        <v>458677</v>
      </c>
    </row>
    <row r="4671">
      <c r="A4671" s="76">
        <v>45784.0</v>
      </c>
      <c r="B4671" s="1" t="s">
        <v>41</v>
      </c>
      <c r="C4671" s="1" t="s">
        <v>22</v>
      </c>
      <c r="D4671" s="1">
        <v>1.0</v>
      </c>
      <c r="E4671" s="1">
        <v>10233.0</v>
      </c>
      <c r="F4671" s="10">
        <f t="shared" si="1"/>
        <v>1</v>
      </c>
      <c r="G4671" s="10">
        <f t="array" ref="G4671">index('Player ID'!C:C,match(E4671,'Player ID'!B:B,0))</f>
        <v>547973</v>
      </c>
    </row>
    <row r="4672">
      <c r="A4672" s="76">
        <v>45784.0</v>
      </c>
      <c r="B4672" s="1" t="s">
        <v>151</v>
      </c>
      <c r="C4672" s="1" t="s">
        <v>56</v>
      </c>
      <c r="D4672" s="1">
        <v>0.1</v>
      </c>
      <c r="E4672" s="1">
        <v>13346.0</v>
      </c>
      <c r="F4672" s="10">
        <f t="shared" si="1"/>
        <v>0.3333333333</v>
      </c>
      <c r="G4672" s="10">
        <f t="array" ref="G4672">index('Player ID'!C:C,match(E4672,'Player ID'!B:B,0))</f>
        <v>571948</v>
      </c>
    </row>
    <row r="4673">
      <c r="A4673" s="76">
        <v>45784.0</v>
      </c>
      <c r="B4673" s="1" t="s">
        <v>55</v>
      </c>
      <c r="C4673" s="1" t="s">
        <v>56</v>
      </c>
      <c r="D4673" s="1">
        <v>5.0</v>
      </c>
      <c r="E4673" s="1">
        <v>16358.0</v>
      </c>
      <c r="F4673" s="10">
        <f t="shared" si="1"/>
        <v>5</v>
      </c>
      <c r="G4673" s="10">
        <f t="array" ref="G4673">index('Player ID'!C:C,match(E4673,'Player ID'!B:B,0))</f>
        <v>641816</v>
      </c>
    </row>
    <row r="4674">
      <c r="A4674" s="76">
        <v>45784.0</v>
      </c>
      <c r="B4674" s="1" t="s">
        <v>493</v>
      </c>
      <c r="C4674" s="1" t="s">
        <v>22</v>
      </c>
      <c r="D4674" s="1">
        <v>1.0</v>
      </c>
      <c r="E4674" s="1">
        <v>16835.0</v>
      </c>
      <c r="F4674" s="10">
        <f t="shared" si="1"/>
        <v>1</v>
      </c>
      <c r="G4674" s="10">
        <f t="array" ref="G4674">index('Player ID'!C:C,match(E4674,'Player ID'!B:B,0))</f>
        <v>657514</v>
      </c>
    </row>
    <row r="4675">
      <c r="A4675" s="76">
        <v>45784.0</v>
      </c>
      <c r="B4675" s="1" t="s">
        <v>87</v>
      </c>
      <c r="C4675" s="1" t="s">
        <v>56</v>
      </c>
      <c r="D4675" s="1">
        <v>0.2</v>
      </c>
      <c r="E4675" s="1">
        <v>19274.0</v>
      </c>
      <c r="F4675" s="10">
        <f t="shared" si="1"/>
        <v>0.6666666667</v>
      </c>
      <c r="G4675" s="10">
        <f t="array" ref="G4675">index('Player ID'!C:C,match(E4675,'Player ID'!B:B,0))</f>
        <v>657097</v>
      </c>
    </row>
    <row r="4676">
      <c r="A4676" s="76">
        <v>45784.0</v>
      </c>
      <c r="B4676" s="1" t="s">
        <v>349</v>
      </c>
      <c r="C4676" s="1" t="s">
        <v>56</v>
      </c>
      <c r="D4676" s="1">
        <v>1.0</v>
      </c>
      <c r="E4676" s="1">
        <v>19736.0</v>
      </c>
      <c r="F4676" s="10">
        <f t="shared" si="1"/>
        <v>1</v>
      </c>
      <c r="G4676" s="10">
        <f t="array" ref="G4676">index('Player ID'!C:C,match(E4676,'Player ID'!B:B,0))</f>
        <v>676961</v>
      </c>
    </row>
    <row r="4677">
      <c r="A4677" s="76">
        <v>45784.0</v>
      </c>
      <c r="B4677" s="1" t="s">
        <v>301</v>
      </c>
      <c r="C4677" s="1" t="s">
        <v>22</v>
      </c>
      <c r="D4677" s="1">
        <v>4.2</v>
      </c>
      <c r="E4677" s="1">
        <v>19879.0</v>
      </c>
      <c r="F4677" s="10">
        <f t="shared" si="1"/>
        <v>4.666666667</v>
      </c>
      <c r="G4677" s="10">
        <f t="array" ref="G4677">index('Player ID'!C:C,match(E4677,'Player ID'!B:B,0))</f>
        <v>656557</v>
      </c>
    </row>
    <row r="4678">
      <c r="A4678" s="76">
        <v>45784.0</v>
      </c>
      <c r="B4678" s="1" t="s">
        <v>406</v>
      </c>
      <c r="C4678" s="1" t="s">
        <v>22</v>
      </c>
      <c r="D4678" s="1">
        <v>1.0</v>
      </c>
      <c r="E4678" s="1">
        <v>20375.0</v>
      </c>
      <c r="F4678" s="10">
        <f t="shared" si="1"/>
        <v>1</v>
      </c>
      <c r="G4678" s="10">
        <f t="array" ref="G4678">index('Player ID'!C:C,match(E4678,'Player ID'!B:B,0))</f>
        <v>669711</v>
      </c>
    </row>
    <row r="4679">
      <c r="A4679" s="76">
        <v>45784.0</v>
      </c>
      <c r="B4679" s="1" t="s">
        <v>268</v>
      </c>
      <c r="C4679" s="1" t="s">
        <v>56</v>
      </c>
      <c r="D4679" s="1">
        <v>1.0</v>
      </c>
      <c r="E4679" s="1">
        <v>23363.0</v>
      </c>
      <c r="F4679" s="10">
        <f t="shared" si="1"/>
        <v>1</v>
      </c>
      <c r="G4679" s="10">
        <f t="array" ref="G4679">index('Player ID'!C:C,match(E4679,'Player ID'!B:B,0))</f>
        <v>676395</v>
      </c>
    </row>
    <row r="4680">
      <c r="A4680" s="76">
        <v>45784.0</v>
      </c>
      <c r="B4680" s="1" t="s">
        <v>453</v>
      </c>
      <c r="C4680" s="1" t="s">
        <v>45</v>
      </c>
      <c r="D4680" s="1">
        <v>3.0</v>
      </c>
      <c r="E4680" s="1">
        <v>11836.0</v>
      </c>
      <c r="F4680" s="10">
        <f t="shared" si="1"/>
        <v>3</v>
      </c>
      <c r="G4680" s="10">
        <f t="array" ref="G4680">index('Player ID'!C:C,match(E4680,'Player ID'!B:B,0))</f>
        <v>592836</v>
      </c>
    </row>
    <row r="4681">
      <c r="A4681" s="76">
        <v>45784.0</v>
      </c>
      <c r="B4681" s="1" t="s">
        <v>784</v>
      </c>
      <c r="C4681" s="1" t="s">
        <v>54</v>
      </c>
      <c r="D4681" s="1">
        <v>1.2</v>
      </c>
      <c r="E4681" s="1">
        <v>15256.0</v>
      </c>
      <c r="F4681" s="10">
        <f t="shared" si="1"/>
        <v>1.666666667</v>
      </c>
      <c r="G4681" s="10">
        <f t="array" ref="G4681">index('Player ID'!C:C,match(E4681,'Player ID'!B:B,0))</f>
        <v>642121</v>
      </c>
    </row>
    <row r="4682">
      <c r="A4682" s="76">
        <v>45784.0</v>
      </c>
      <c r="B4682" s="1" t="s">
        <v>185</v>
      </c>
      <c r="C4682" s="1" t="s">
        <v>54</v>
      </c>
      <c r="D4682" s="1">
        <v>1.0</v>
      </c>
      <c r="E4682" s="1">
        <v>17897.0</v>
      </c>
      <c r="F4682" s="10">
        <f t="shared" si="1"/>
        <v>1</v>
      </c>
      <c r="G4682" s="10">
        <f t="array" ref="G4682">index('Player ID'!C:C,match(E4682,'Player ID'!B:B,0))</f>
        <v>664076</v>
      </c>
    </row>
    <row r="4683">
      <c r="A4683" s="76">
        <v>45784.0</v>
      </c>
      <c r="B4683" s="1" t="s">
        <v>261</v>
      </c>
      <c r="C4683" s="1" t="s">
        <v>54</v>
      </c>
      <c r="D4683" s="1">
        <v>1.0</v>
      </c>
      <c r="E4683" s="1">
        <v>17998.0</v>
      </c>
      <c r="F4683" s="10">
        <f t="shared" si="1"/>
        <v>1</v>
      </c>
      <c r="G4683" s="10">
        <f t="array" ref="G4683">index('Player ID'!C:C,match(E4683,'Player ID'!B:B,0))</f>
        <v>664126</v>
      </c>
    </row>
    <row r="4684">
      <c r="A4684" s="76">
        <v>45784.0</v>
      </c>
      <c r="B4684" s="1" t="s">
        <v>400</v>
      </c>
      <c r="C4684" s="1" t="s">
        <v>54</v>
      </c>
      <c r="D4684" s="1">
        <v>1.0</v>
      </c>
      <c r="E4684" s="1">
        <v>20539.0</v>
      </c>
      <c r="F4684" s="10">
        <f t="shared" si="1"/>
        <v>1</v>
      </c>
      <c r="G4684" s="10">
        <f t="array" ref="G4684">index('Player ID'!C:C,match(E4684,'Player ID'!B:B,0))</f>
        <v>670955</v>
      </c>
    </row>
    <row r="4685">
      <c r="A4685" s="76">
        <v>45784.0</v>
      </c>
      <c r="B4685" s="1" t="s">
        <v>747</v>
      </c>
      <c r="C4685" s="1" t="s">
        <v>45</v>
      </c>
      <c r="D4685" s="1">
        <v>6.0</v>
      </c>
      <c r="E4685" s="1">
        <v>20778.0</v>
      </c>
      <c r="F4685" s="10">
        <f t="shared" si="1"/>
        <v>6</v>
      </c>
      <c r="G4685" s="10">
        <f t="array" ref="G4685">index('Player ID'!C:C,match(E4685,'Player ID'!B:B,0))</f>
        <v>650911</v>
      </c>
    </row>
    <row r="4686">
      <c r="A4686" s="76">
        <v>45784.0</v>
      </c>
      <c r="B4686" s="1" t="s">
        <v>705</v>
      </c>
      <c r="C4686" s="1" t="s">
        <v>54</v>
      </c>
      <c r="D4686" s="1">
        <v>1.0</v>
      </c>
      <c r="E4686" s="1">
        <v>20794.0</v>
      </c>
      <c r="F4686" s="10">
        <f t="shared" si="1"/>
        <v>1</v>
      </c>
      <c r="G4686" s="10">
        <f t="array" ref="G4686">index('Player ID'!C:C,match(E4686,'Player ID'!B:B,0))</f>
        <v>655889</v>
      </c>
    </row>
    <row r="4687">
      <c r="A4687" s="76">
        <v>45784.0</v>
      </c>
      <c r="B4687" s="1" t="s">
        <v>242</v>
      </c>
      <c r="C4687" s="1" t="s">
        <v>54</v>
      </c>
      <c r="D4687" s="1">
        <v>3.1</v>
      </c>
      <c r="E4687" s="1">
        <v>22264.0</v>
      </c>
      <c r="F4687" s="10">
        <f t="shared" si="1"/>
        <v>3.333333333</v>
      </c>
      <c r="G4687" s="10">
        <f t="array" ref="G4687">index('Player ID'!C:C,match(E4687,'Player ID'!B:B,0))</f>
        <v>669358</v>
      </c>
    </row>
    <row r="4688">
      <c r="A4688" s="76">
        <v>45784.0</v>
      </c>
      <c r="B4688" s="1" t="s">
        <v>342</v>
      </c>
      <c r="C4688" s="1" t="s">
        <v>26</v>
      </c>
      <c r="D4688" s="1">
        <v>1.1</v>
      </c>
      <c r="E4688" s="1">
        <v>11861.0</v>
      </c>
      <c r="F4688" s="10">
        <f t="shared" si="1"/>
        <v>1.333333333</v>
      </c>
      <c r="G4688" s="10">
        <f t="array" ref="G4688">index('Player ID'!C:C,match(E4688,'Player ID'!B:B,0))</f>
        <v>592094</v>
      </c>
    </row>
    <row r="4689">
      <c r="A4689" s="76">
        <v>45784.0</v>
      </c>
      <c r="B4689" s="1" t="s">
        <v>166</v>
      </c>
      <c r="C4689" s="1" t="s">
        <v>58</v>
      </c>
      <c r="D4689" s="1">
        <v>7.0</v>
      </c>
      <c r="E4689" s="1">
        <v>13743.0</v>
      </c>
      <c r="F4689" s="10">
        <f t="shared" si="1"/>
        <v>7</v>
      </c>
      <c r="G4689" s="10">
        <f t="array" ref="G4689">index('Player ID'!C:C,match(E4689,'Player ID'!B:B,0))</f>
        <v>608331</v>
      </c>
    </row>
    <row r="4690">
      <c r="A4690" s="76">
        <v>45784.0</v>
      </c>
      <c r="B4690" s="1" t="s">
        <v>114</v>
      </c>
      <c r="C4690" s="1" t="s">
        <v>58</v>
      </c>
      <c r="D4690" s="1">
        <v>1.0</v>
      </c>
      <c r="E4690" s="1">
        <v>15816.0</v>
      </c>
      <c r="F4690" s="10">
        <f t="shared" si="1"/>
        <v>1</v>
      </c>
      <c r="G4690" s="10">
        <f t="array" ref="G4690">index('Player ID'!C:C,match(E4690,'Player ID'!B:B,0))</f>
        <v>642207</v>
      </c>
    </row>
    <row r="4691">
      <c r="A4691" s="76">
        <v>45784.0</v>
      </c>
      <c r="B4691" s="1" t="s">
        <v>225</v>
      </c>
      <c r="C4691" s="1" t="s">
        <v>58</v>
      </c>
      <c r="D4691" s="1">
        <v>1.2</v>
      </c>
      <c r="E4691" s="1">
        <v>16918.0</v>
      </c>
      <c r="F4691" s="10">
        <f t="shared" si="1"/>
        <v>1.666666667</v>
      </c>
      <c r="G4691" s="10">
        <f t="array" ref="G4691">index('Player ID'!C:C,match(E4691,'Player ID'!B:B,0))</f>
        <v>596133</v>
      </c>
    </row>
    <row r="4692">
      <c r="A4692" s="76">
        <v>45784.0</v>
      </c>
      <c r="B4692" s="1" t="s">
        <v>282</v>
      </c>
      <c r="C4692" s="1" t="s">
        <v>26</v>
      </c>
      <c r="D4692" s="1">
        <v>6.2</v>
      </c>
      <c r="E4692" s="1">
        <v>18525.0</v>
      </c>
      <c r="F4692" s="10">
        <f t="shared" si="1"/>
        <v>6.666666667</v>
      </c>
      <c r="G4692" s="10">
        <f t="array" ref="G4692">index('Player ID'!C:C,match(E4692,'Player ID'!B:B,0))</f>
        <v>656302</v>
      </c>
    </row>
    <row r="4693">
      <c r="A4693" s="76">
        <v>45784.0</v>
      </c>
      <c r="B4693" s="1" t="s">
        <v>520</v>
      </c>
      <c r="C4693" s="1" t="s">
        <v>58</v>
      </c>
      <c r="D4693" s="1">
        <v>0.1</v>
      </c>
      <c r="E4693" s="1">
        <v>19261.0</v>
      </c>
      <c r="F4693" s="10">
        <f t="shared" si="1"/>
        <v>0.3333333333</v>
      </c>
      <c r="G4693" s="10">
        <f t="array" ref="G4693">index('Player ID'!C:C,match(E4693,'Player ID'!B:B,0))</f>
        <v>641656</v>
      </c>
    </row>
    <row r="4694">
      <c r="A4694" s="76">
        <v>45784.0</v>
      </c>
      <c r="B4694" s="1" t="s">
        <v>94</v>
      </c>
      <c r="C4694" s="1" t="s">
        <v>26</v>
      </c>
      <c r="D4694" s="1">
        <v>0.2</v>
      </c>
      <c r="E4694" s="1">
        <v>22210.0</v>
      </c>
      <c r="F4694" s="10">
        <f t="shared" si="1"/>
        <v>0.6666666667</v>
      </c>
      <c r="G4694" s="10">
        <f t="array" ref="G4694">index('Player ID'!C:C,match(E4694,'Player ID'!B:B,0))</f>
        <v>669093</v>
      </c>
    </row>
    <row r="4695">
      <c r="A4695" s="76">
        <v>45784.0</v>
      </c>
      <c r="B4695" s="1" t="s">
        <v>81</v>
      </c>
      <c r="C4695" s="1" t="s">
        <v>26</v>
      </c>
      <c r="D4695" s="1">
        <v>1.0</v>
      </c>
      <c r="E4695" s="1">
        <v>30115.0</v>
      </c>
      <c r="F4695" s="10">
        <f t="shared" si="1"/>
        <v>1</v>
      </c>
      <c r="G4695" s="10">
        <f t="array" ref="G4695">index('Player ID'!C:C,match(E4695,'Player ID'!B:B,0))</f>
        <v>663158</v>
      </c>
    </row>
    <row r="4696">
      <c r="A4696" s="76">
        <v>45784.0</v>
      </c>
      <c r="B4696" s="1" t="s">
        <v>362</v>
      </c>
      <c r="C4696" s="1" t="s">
        <v>66</v>
      </c>
      <c r="D4696" s="1">
        <v>0.2</v>
      </c>
      <c r="E4696" s="1">
        <v>13449.0</v>
      </c>
      <c r="F4696" s="10">
        <f t="shared" si="1"/>
        <v>0.6666666667</v>
      </c>
      <c r="G4696" s="10">
        <f t="array" ref="G4696">index('Player ID'!C:C,match(E4696,'Player ID'!B:B,0))</f>
        <v>573124</v>
      </c>
    </row>
    <row r="4697">
      <c r="A4697" s="76">
        <v>45784.0</v>
      </c>
      <c r="B4697" s="1" t="s">
        <v>417</v>
      </c>
      <c r="C4697" s="1" t="s">
        <v>66</v>
      </c>
      <c r="D4697" s="1">
        <v>2.0</v>
      </c>
      <c r="E4697" s="1">
        <v>13942.0</v>
      </c>
      <c r="F4697" s="10">
        <f t="shared" si="1"/>
        <v>2</v>
      </c>
      <c r="G4697" s="10">
        <f t="array" ref="G4697">index('Player ID'!C:C,match(E4697,'Player ID'!B:B,0))</f>
        <v>608718</v>
      </c>
    </row>
    <row r="4698">
      <c r="A4698" s="76">
        <v>45784.0</v>
      </c>
      <c r="B4698" s="1" t="s">
        <v>651</v>
      </c>
      <c r="C4698" s="1" t="s">
        <v>66</v>
      </c>
      <c r="D4698" s="1">
        <v>1.0</v>
      </c>
      <c r="E4698" s="1">
        <v>14771.0</v>
      </c>
      <c r="F4698" s="10">
        <f t="shared" si="1"/>
        <v>1</v>
      </c>
      <c r="G4698" s="10">
        <f t="array" ref="G4698">index('Player ID'!C:C,match(E4698,'Player ID'!B:B,0))</f>
        <v>641941</v>
      </c>
    </row>
    <row r="4699">
      <c r="A4699" s="76">
        <v>45784.0</v>
      </c>
      <c r="B4699" s="1" t="s">
        <v>475</v>
      </c>
      <c r="C4699" s="1" t="s">
        <v>66</v>
      </c>
      <c r="D4699" s="1">
        <v>0.1</v>
      </c>
      <c r="E4699" s="1">
        <v>14993.0</v>
      </c>
      <c r="F4699" s="10">
        <f t="shared" si="1"/>
        <v>0.3333333333</v>
      </c>
      <c r="G4699" s="10">
        <f t="array" ref="G4699">index('Player ID'!C:C,match(E4699,'Player ID'!B:B,0))</f>
        <v>605130</v>
      </c>
    </row>
    <row r="4700">
      <c r="A4700" s="76">
        <v>45784.0</v>
      </c>
      <c r="B4700" s="1" t="s">
        <v>319</v>
      </c>
      <c r="C4700" s="1" t="s">
        <v>46</v>
      </c>
      <c r="D4700" s="1">
        <v>1.2</v>
      </c>
      <c r="E4700" s="1">
        <v>16258.0</v>
      </c>
      <c r="F4700" s="10">
        <f t="shared" si="1"/>
        <v>1.666666667</v>
      </c>
      <c r="G4700" s="10">
        <f t="array" ref="G4700">index('Player ID'!C:C,match(E4700,'Player ID'!B:B,0))</f>
        <v>607481</v>
      </c>
    </row>
    <row r="4701">
      <c r="A4701" s="76">
        <v>45784.0</v>
      </c>
      <c r="B4701" s="1" t="s">
        <v>366</v>
      </c>
      <c r="C4701" s="1" t="s">
        <v>46</v>
      </c>
      <c r="D4701" s="1">
        <v>5.1</v>
      </c>
      <c r="E4701" s="1">
        <v>16944.0</v>
      </c>
      <c r="F4701" s="10">
        <f t="shared" si="1"/>
        <v>5.333333333</v>
      </c>
      <c r="G4701" s="10">
        <f t="array" ref="G4701">index('Player ID'!C:C,match(E4701,'Player ID'!B:B,0))</f>
        <v>656550</v>
      </c>
    </row>
    <row r="4702">
      <c r="A4702" s="76">
        <v>45784.0</v>
      </c>
      <c r="B4702" s="1" t="s">
        <v>346</v>
      </c>
      <c r="C4702" s="1" t="s">
        <v>46</v>
      </c>
      <c r="D4702" s="1">
        <v>1.0</v>
      </c>
      <c r="E4702" s="1">
        <v>18403.0</v>
      </c>
      <c r="F4702" s="10">
        <f t="shared" si="1"/>
        <v>1</v>
      </c>
      <c r="G4702" s="10">
        <f t="array" ref="G4702">index('Player ID'!C:C,match(E4702,'Player ID'!B:B,0))</f>
        <v>660853</v>
      </c>
    </row>
    <row r="4703">
      <c r="A4703" s="76">
        <v>45784.0</v>
      </c>
      <c r="B4703" s="1" t="s">
        <v>345</v>
      </c>
      <c r="C4703" s="1" t="s">
        <v>66</v>
      </c>
      <c r="D4703" s="1">
        <v>1.0</v>
      </c>
      <c r="E4703" s="1">
        <v>19926.0</v>
      </c>
      <c r="F4703" s="10">
        <f t="shared" si="1"/>
        <v>1</v>
      </c>
      <c r="G4703" s="10">
        <f t="array" ref="G4703">index('Player ID'!C:C,match(E4703,'Player ID'!B:B,0))</f>
        <v>663574</v>
      </c>
    </row>
    <row r="4704">
      <c r="A4704" s="76">
        <v>45784.0</v>
      </c>
      <c r="B4704" s="1" t="s">
        <v>91</v>
      </c>
      <c r="C4704" s="1" t="s">
        <v>46</v>
      </c>
      <c r="D4704" s="1">
        <v>1.0</v>
      </c>
      <c r="E4704" s="1">
        <v>19996.0</v>
      </c>
      <c r="F4704" s="10">
        <f t="shared" si="1"/>
        <v>1</v>
      </c>
      <c r="G4704" s="10">
        <f t="array" ref="G4704">index('Player ID'!C:C,match(E4704,'Player ID'!B:B,0))</f>
        <v>669276</v>
      </c>
    </row>
    <row r="4705">
      <c r="A4705" s="76">
        <v>45784.0</v>
      </c>
      <c r="B4705" s="1" t="s">
        <v>73</v>
      </c>
      <c r="C4705" s="1" t="s">
        <v>66</v>
      </c>
      <c r="D4705" s="1">
        <v>3.0</v>
      </c>
      <c r="E4705" s="1">
        <v>22182.0</v>
      </c>
      <c r="F4705" s="10">
        <f t="shared" si="1"/>
        <v>3</v>
      </c>
      <c r="G4705" s="10">
        <f t="array" ref="G4705">index('Player ID'!C:C,match(E4705,'Player ID'!B:B,0))</f>
        <v>668881</v>
      </c>
    </row>
    <row r="4706">
      <c r="A4706" s="76">
        <v>45784.0</v>
      </c>
      <c r="B4706" s="1" t="s">
        <v>550</v>
      </c>
      <c r="C4706" s="1" t="s">
        <v>66</v>
      </c>
      <c r="D4706" s="1">
        <v>1.0</v>
      </c>
      <c r="E4706" s="1">
        <v>25620.0</v>
      </c>
      <c r="F4706" s="10">
        <f t="shared" si="1"/>
        <v>1</v>
      </c>
      <c r="G4706" s="10">
        <f t="array" ref="G4706">index('Player ID'!C:C,match(E4706,'Player ID'!B:B,0))</f>
        <v>682825</v>
      </c>
    </row>
    <row r="4707">
      <c r="A4707" s="76">
        <v>45784.0</v>
      </c>
      <c r="B4707" s="1" t="s">
        <v>474</v>
      </c>
      <c r="C4707" s="1" t="s">
        <v>68</v>
      </c>
      <c r="D4707" s="1">
        <v>4.0</v>
      </c>
      <c r="E4707" s="1">
        <v>4676.0</v>
      </c>
      <c r="F4707" s="10">
        <f t="shared" si="1"/>
        <v>4</v>
      </c>
      <c r="G4707" s="10">
        <f t="array" ref="G4707">index('Player ID'!C:C,match(E4707,'Player ID'!B:B,0))</f>
        <v>450203</v>
      </c>
    </row>
    <row r="4708">
      <c r="A4708" s="76">
        <v>45784.0</v>
      </c>
      <c r="B4708" s="1" t="s">
        <v>435</v>
      </c>
      <c r="C4708" s="1" t="s">
        <v>16</v>
      </c>
      <c r="D4708" s="1">
        <v>1.0</v>
      </c>
      <c r="E4708" s="1">
        <v>13293.0</v>
      </c>
      <c r="F4708" s="10">
        <f t="shared" si="1"/>
        <v>1</v>
      </c>
      <c r="G4708" s="10">
        <f t="array" ref="G4708">index('Player ID'!C:C,match(E4708,'Player ID'!B:B,0))</f>
        <v>543056</v>
      </c>
    </row>
    <row r="4709">
      <c r="A4709" s="76">
        <v>45784.0</v>
      </c>
      <c r="B4709" s="1" t="s">
        <v>723</v>
      </c>
      <c r="C4709" s="1" t="s">
        <v>68</v>
      </c>
      <c r="D4709" s="1">
        <v>1.0</v>
      </c>
      <c r="E4709" s="1">
        <v>13528.0</v>
      </c>
      <c r="F4709" s="10">
        <f t="shared" si="1"/>
        <v>1</v>
      </c>
      <c r="G4709" s="10">
        <f t="array" ref="G4709">index('Player ID'!C:C,match(E4709,'Player ID'!B:B,0))</f>
        <v>621199</v>
      </c>
    </row>
    <row r="4710">
      <c r="A4710" s="76">
        <v>45784.0</v>
      </c>
      <c r="B4710" s="1" t="s">
        <v>249</v>
      </c>
      <c r="C4710" s="1" t="s">
        <v>16</v>
      </c>
      <c r="D4710" s="1">
        <v>1.0</v>
      </c>
      <c r="E4710" s="1">
        <v>16727.0</v>
      </c>
      <c r="F4710" s="10">
        <f t="shared" si="1"/>
        <v>1</v>
      </c>
      <c r="G4710" s="10">
        <f t="array" ref="G4710">index('Player ID'!C:C,match(E4710,'Player ID'!B:B,0))</f>
        <v>592779</v>
      </c>
    </row>
    <row r="4711">
      <c r="A4711" s="76">
        <v>45784.0</v>
      </c>
      <c r="B4711" s="1" t="s">
        <v>639</v>
      </c>
      <c r="C4711" s="1" t="s">
        <v>68</v>
      </c>
      <c r="D4711" s="1">
        <v>1.0</v>
      </c>
      <c r="E4711" s="1">
        <v>19249.0</v>
      </c>
      <c r="F4711" s="10">
        <f t="shared" si="1"/>
        <v>1</v>
      </c>
      <c r="G4711" s="10">
        <f t="array" ref="G4711">index('Player ID'!C:C,match(E4711,'Player ID'!B:B,0))</f>
        <v>622554</v>
      </c>
    </row>
    <row r="4712">
      <c r="A4712" s="76">
        <v>45784.0</v>
      </c>
      <c r="B4712" s="1" t="s">
        <v>231</v>
      </c>
      <c r="C4712" s="1" t="s">
        <v>68</v>
      </c>
      <c r="D4712" s="1">
        <v>1.0</v>
      </c>
      <c r="E4712" s="1">
        <v>19362.0</v>
      </c>
      <c r="F4712" s="10">
        <f t="shared" si="1"/>
        <v>1</v>
      </c>
      <c r="G4712" s="10">
        <f t="array" ref="G4712">index('Player ID'!C:C,match(E4712,'Player ID'!B:B,0))</f>
        <v>669211</v>
      </c>
    </row>
    <row r="4713">
      <c r="A4713" s="76">
        <v>45784.0</v>
      </c>
      <c r="B4713" s="1" t="s">
        <v>240</v>
      </c>
      <c r="C4713" s="1" t="s">
        <v>68</v>
      </c>
      <c r="D4713" s="1">
        <v>1.0</v>
      </c>
      <c r="E4713" s="1">
        <v>19804.0</v>
      </c>
      <c r="F4713" s="10">
        <f t="shared" si="1"/>
        <v>1</v>
      </c>
      <c r="G4713" s="10">
        <f t="array" ref="G4713">index('Player ID'!C:C,match(E4713,'Player ID'!B:B,0))</f>
        <v>641329</v>
      </c>
    </row>
    <row r="4714">
      <c r="A4714" s="76">
        <v>45784.0</v>
      </c>
      <c r="B4714" s="1" t="s">
        <v>28</v>
      </c>
      <c r="C4714" s="1" t="s">
        <v>16</v>
      </c>
      <c r="D4714" s="1">
        <v>1.0</v>
      </c>
      <c r="E4714" s="1">
        <v>20253.0</v>
      </c>
      <c r="F4714" s="10">
        <f t="shared" si="1"/>
        <v>1</v>
      </c>
      <c r="G4714" s="10">
        <f t="array" ref="G4714">index('Player ID'!C:C,match(E4714,'Player ID'!B:B,0))</f>
        <v>643377</v>
      </c>
    </row>
    <row r="4715">
      <c r="A4715" s="76">
        <v>45784.0</v>
      </c>
      <c r="B4715" s="1" t="s">
        <v>122</v>
      </c>
      <c r="C4715" s="1" t="s">
        <v>16</v>
      </c>
      <c r="D4715" s="1">
        <v>1.0</v>
      </c>
      <c r="E4715" s="1">
        <v>21029.0</v>
      </c>
      <c r="F4715" s="10">
        <f t="shared" si="1"/>
        <v>1</v>
      </c>
      <c r="G4715" s="10">
        <f t="array" ref="G4715">index('Player ID'!C:C,match(E4715,'Player ID'!B:B,0))</f>
        <v>661395</v>
      </c>
    </row>
    <row r="4716">
      <c r="A4716" s="76">
        <v>45784.0</v>
      </c>
      <c r="B4716" s="1" t="s">
        <v>490</v>
      </c>
      <c r="C4716" s="1" t="s">
        <v>16</v>
      </c>
      <c r="D4716" s="1">
        <v>4.2</v>
      </c>
      <c r="E4716" s="1">
        <v>24494.0</v>
      </c>
      <c r="F4716" s="10">
        <f t="shared" si="1"/>
        <v>4.666666667</v>
      </c>
      <c r="G4716" s="10">
        <f t="array" ref="G4716">index('Player ID'!C:C,match(E4716,'Player ID'!B:B,0))</f>
        <v>680573</v>
      </c>
    </row>
    <row r="4717">
      <c r="A4717" s="76">
        <v>45784.0</v>
      </c>
      <c r="B4717" s="1" t="s">
        <v>47</v>
      </c>
      <c r="C4717" s="1" t="s">
        <v>16</v>
      </c>
      <c r="D4717" s="1">
        <v>0.1</v>
      </c>
      <c r="E4717" s="1">
        <v>27691.0</v>
      </c>
      <c r="F4717" s="10">
        <f t="shared" si="1"/>
        <v>0.3333333333</v>
      </c>
      <c r="G4717" s="10">
        <f t="array" ref="G4717">index('Player ID'!C:C,match(E4717,'Player ID'!B:B,0))</f>
        <v>686973</v>
      </c>
    </row>
    <row r="4718">
      <c r="A4718" s="76">
        <v>45784.0</v>
      </c>
      <c r="B4718" s="1" t="s">
        <v>147</v>
      </c>
      <c r="C4718" s="1" t="s">
        <v>29</v>
      </c>
      <c r="D4718" s="1">
        <v>7.0</v>
      </c>
      <c r="E4718" s="1">
        <v>14078.0</v>
      </c>
      <c r="F4718" s="10">
        <f t="shared" si="1"/>
        <v>7</v>
      </c>
      <c r="G4718" s="10">
        <f t="array" ref="G4718">index('Player ID'!C:C,match(E4718,'Player ID'!B:B,0))</f>
        <v>608379</v>
      </c>
    </row>
    <row r="4719">
      <c r="A4719" s="76">
        <v>45784.0</v>
      </c>
      <c r="B4719" s="1" t="s">
        <v>649</v>
      </c>
      <c r="C4719" s="1" t="s">
        <v>29</v>
      </c>
      <c r="D4719" s="1">
        <v>1.0</v>
      </c>
      <c r="E4719" s="1">
        <v>14542.0</v>
      </c>
      <c r="F4719" s="10">
        <f t="shared" si="1"/>
        <v>1</v>
      </c>
      <c r="G4719" s="10">
        <f t="array" ref="G4719">index('Player ID'!C:C,match(E4719,'Player ID'!B:B,0))</f>
        <v>608032</v>
      </c>
    </row>
    <row r="4720">
      <c r="A4720" s="76">
        <v>45784.0</v>
      </c>
      <c r="B4720" s="1" t="s">
        <v>478</v>
      </c>
      <c r="C4720" s="1" t="s">
        <v>78</v>
      </c>
      <c r="D4720" s="1">
        <v>1.1</v>
      </c>
      <c r="E4720" s="1">
        <v>17964.0</v>
      </c>
      <c r="F4720" s="10">
        <f t="shared" si="1"/>
        <v>1.333333333</v>
      </c>
      <c r="G4720" s="10">
        <f t="array" ref="G4720">index('Player ID'!C:C,match(E4720,'Player ID'!B:B,0))</f>
        <v>656457</v>
      </c>
    </row>
    <row r="4721">
      <c r="A4721" s="76">
        <v>45784.0</v>
      </c>
      <c r="B4721" s="1" t="s">
        <v>407</v>
      </c>
      <c r="C4721" s="1" t="s">
        <v>29</v>
      </c>
      <c r="D4721" s="1">
        <v>1.0</v>
      </c>
      <c r="E4721" s="1">
        <v>19360.0</v>
      </c>
      <c r="F4721" s="10">
        <f t="shared" si="1"/>
        <v>1</v>
      </c>
      <c r="G4721" s="10">
        <f t="array" ref="G4721">index('Player ID'!C:C,match(E4721,'Player ID'!B:B,0))</f>
        <v>668674</v>
      </c>
    </row>
    <row r="4722">
      <c r="A4722" s="76">
        <v>45784.0</v>
      </c>
      <c r="B4722" s="1" t="s">
        <v>806</v>
      </c>
      <c r="C4722" s="1" t="s">
        <v>78</v>
      </c>
      <c r="D4722" s="1">
        <v>0.2</v>
      </c>
      <c r="E4722" s="1">
        <v>26255.0</v>
      </c>
      <c r="F4722" s="10">
        <f t="shared" si="1"/>
        <v>0.6666666667</v>
      </c>
      <c r="G4722" s="10">
        <f t="array" ref="G4722">index('Player ID'!C:C,match(E4722,'Player ID'!B:B,0))</f>
        <v>673965</v>
      </c>
    </row>
    <row r="4723">
      <c r="A4723" s="76">
        <v>45784.0</v>
      </c>
      <c r="B4723" s="1" t="s">
        <v>361</v>
      </c>
      <c r="C4723" s="1" t="s">
        <v>78</v>
      </c>
      <c r="D4723" s="1">
        <v>6.0</v>
      </c>
      <c r="E4723" s="1">
        <v>31730.0</v>
      </c>
      <c r="F4723" s="10">
        <f t="shared" si="1"/>
        <v>6</v>
      </c>
      <c r="G4723" s="10">
        <f t="array" ref="G4723">index('Player ID'!C:C,match(E4723,'Player ID'!B:B,0))</f>
        <v>686563</v>
      </c>
    </row>
    <row r="4724">
      <c r="A4724" s="76">
        <v>45784.0</v>
      </c>
      <c r="B4724" s="1" t="s">
        <v>704</v>
      </c>
      <c r="C4724" s="1" t="s">
        <v>75</v>
      </c>
      <c r="D4724" s="1">
        <v>0.1</v>
      </c>
      <c r="E4724" s="1">
        <v>10591.0</v>
      </c>
      <c r="F4724" s="10">
        <f t="shared" si="1"/>
        <v>0.3333333333</v>
      </c>
      <c r="G4724" s="10">
        <f t="array" ref="G4724">index('Player ID'!C:C,match(E4724,'Player ID'!B:B,0))</f>
        <v>518397</v>
      </c>
    </row>
    <row r="4725">
      <c r="A4725" s="76">
        <v>45784.0</v>
      </c>
      <c r="B4725" s="1" t="s">
        <v>439</v>
      </c>
      <c r="C4725" s="1" t="s">
        <v>62</v>
      </c>
      <c r="D4725" s="1">
        <v>1.0</v>
      </c>
      <c r="E4725" s="1">
        <v>11384.0</v>
      </c>
      <c r="F4725" s="10">
        <f t="shared" si="1"/>
        <v>1</v>
      </c>
      <c r="G4725" s="10">
        <f t="array" ref="G4725">index('Player ID'!C:C,match(E4725,'Player ID'!B:B,0))</f>
        <v>592454</v>
      </c>
    </row>
    <row r="4726">
      <c r="A4726" s="76">
        <v>45784.0</v>
      </c>
      <c r="B4726" s="1" t="s">
        <v>131</v>
      </c>
      <c r="C4726" s="1" t="s">
        <v>62</v>
      </c>
      <c r="D4726" s="1">
        <v>2.0</v>
      </c>
      <c r="E4726" s="1">
        <v>19769.0</v>
      </c>
      <c r="F4726" s="10">
        <f t="shared" si="1"/>
        <v>2</v>
      </c>
      <c r="G4726" s="10">
        <f t="array" ref="G4726">index('Player ID'!C:C,match(E4726,'Player ID'!B:B,0))</f>
        <v>676684</v>
      </c>
    </row>
    <row r="4727">
      <c r="A4727" s="76">
        <v>45784.0</v>
      </c>
      <c r="B4727" s="1" t="s">
        <v>215</v>
      </c>
      <c r="C4727" s="1" t="s">
        <v>75</v>
      </c>
      <c r="D4727" s="1">
        <v>3.0</v>
      </c>
      <c r="E4727" s="1">
        <v>21267.0</v>
      </c>
      <c r="F4727" s="10">
        <f t="shared" si="1"/>
        <v>3</v>
      </c>
      <c r="G4727" s="10">
        <f t="array" ref="G4727">index('Player ID'!C:C,match(E4727,'Player ID'!B:B,0))</f>
        <v>656234</v>
      </c>
    </row>
    <row r="4728">
      <c r="A4728" s="76">
        <v>45784.0</v>
      </c>
      <c r="B4728" s="1" t="s">
        <v>289</v>
      </c>
      <c r="C4728" s="1" t="s">
        <v>62</v>
      </c>
      <c r="D4728" s="1">
        <v>1.0</v>
      </c>
      <c r="E4728" s="1">
        <v>22304.0</v>
      </c>
      <c r="F4728" s="10">
        <f t="shared" si="1"/>
        <v>1</v>
      </c>
      <c r="G4728" s="10">
        <f t="array" ref="G4728">index('Player ID'!C:C,match(E4728,'Player ID'!B:B,0))</f>
        <v>669724</v>
      </c>
    </row>
    <row r="4729">
      <c r="A4729" s="76">
        <v>45784.0</v>
      </c>
      <c r="B4729" s="1" t="s">
        <v>487</v>
      </c>
      <c r="C4729" s="1" t="s">
        <v>62</v>
      </c>
      <c r="D4729" s="1">
        <v>2.1</v>
      </c>
      <c r="E4729" s="1">
        <v>30133.0</v>
      </c>
      <c r="F4729" s="10">
        <f t="shared" si="1"/>
        <v>2.333333333</v>
      </c>
      <c r="G4729" s="10">
        <f t="array" ref="G4729">index('Player ID'!C:C,match(E4729,'Player ID'!B:B,0))</f>
        <v>676428</v>
      </c>
    </row>
    <row r="4730">
      <c r="A4730" s="76">
        <v>45784.0</v>
      </c>
      <c r="B4730" s="1" t="s">
        <v>377</v>
      </c>
      <c r="C4730" s="1" t="s">
        <v>62</v>
      </c>
      <c r="D4730" s="1">
        <v>3.2</v>
      </c>
      <c r="E4730" s="1">
        <v>30203.0</v>
      </c>
      <c r="F4730" s="10">
        <f t="shared" si="1"/>
        <v>3.666666667</v>
      </c>
      <c r="G4730" s="10">
        <f t="array" ref="G4730">index('Player ID'!C:C,match(E4730,'Player ID'!B:B,0))</f>
        <v>695549</v>
      </c>
    </row>
    <row r="4731">
      <c r="A4731" s="76">
        <v>45784.0</v>
      </c>
      <c r="B4731" s="1" t="s">
        <v>512</v>
      </c>
      <c r="C4731" s="1" t="s">
        <v>75</v>
      </c>
      <c r="D4731" s="1">
        <v>2.0</v>
      </c>
      <c r="E4731" s="1">
        <v>31552.0</v>
      </c>
      <c r="F4731" s="10">
        <f t="shared" si="1"/>
        <v>2</v>
      </c>
      <c r="G4731" s="10">
        <f t="array" ref="G4731">index('Player ID'!C:C,match(E4731,'Player ID'!B:B,0))</f>
        <v>688642</v>
      </c>
    </row>
    <row r="4732">
      <c r="A4732" s="76">
        <v>45784.0</v>
      </c>
      <c r="B4732" s="1" t="s">
        <v>488</v>
      </c>
      <c r="C4732" s="1" t="s">
        <v>75</v>
      </c>
      <c r="D4732" s="1">
        <v>1.2</v>
      </c>
      <c r="E4732" s="1">
        <v>33294.0</v>
      </c>
      <c r="F4732" s="10">
        <f t="shared" si="1"/>
        <v>1.666666667</v>
      </c>
      <c r="G4732" s="10">
        <f t="array" ref="G4732">index('Player ID'!C:C,match(E4732,'Player ID'!B:B,0))</f>
        <v>678020</v>
      </c>
    </row>
    <row r="4733">
      <c r="A4733" s="76">
        <v>45784.0</v>
      </c>
      <c r="B4733" s="1" t="s">
        <v>495</v>
      </c>
      <c r="C4733" s="1" t="s">
        <v>75</v>
      </c>
      <c r="D4733" s="1">
        <v>3.0</v>
      </c>
      <c r="E4733" s="1">
        <v>33482.0</v>
      </c>
      <c r="F4733" s="10">
        <f t="shared" si="1"/>
        <v>3</v>
      </c>
      <c r="G4733" s="10">
        <f t="array" ref="G4733">index('Player ID'!C:C,match(E4733,'Player ID'!B:B,0))</f>
        <v>801403</v>
      </c>
    </row>
    <row r="4734">
      <c r="A4734" s="76">
        <v>45784.0</v>
      </c>
      <c r="B4734" s="1" t="s">
        <v>638</v>
      </c>
      <c r="C4734" s="1" t="s">
        <v>40</v>
      </c>
      <c r="D4734" s="1">
        <v>6.0</v>
      </c>
      <c r="E4734" s="1">
        <v>14168.0</v>
      </c>
      <c r="F4734" s="10">
        <f t="shared" si="1"/>
        <v>6</v>
      </c>
      <c r="G4734" s="10">
        <f t="array" ref="G4734">index('Player ID'!C:C,match(E4734,'Player ID'!B:B,0))</f>
        <v>621244</v>
      </c>
    </row>
    <row r="4735">
      <c r="A4735" s="76">
        <v>45784.0</v>
      </c>
      <c r="B4735" s="1" t="s">
        <v>311</v>
      </c>
      <c r="C4735" s="1" t="s">
        <v>40</v>
      </c>
      <c r="D4735" s="1">
        <v>0.1</v>
      </c>
      <c r="E4735" s="1">
        <v>17432.0</v>
      </c>
      <c r="F4735" s="10">
        <f t="shared" si="1"/>
        <v>0.3333333333</v>
      </c>
      <c r="G4735" s="10">
        <f t="array" ref="G4735">index('Player ID'!C:C,match(E4735,'Player ID'!B:B,0))</f>
        <v>656546</v>
      </c>
    </row>
    <row r="4736">
      <c r="A4736" s="76">
        <v>45784.0</v>
      </c>
      <c r="B4736" s="1" t="s">
        <v>291</v>
      </c>
      <c r="C4736" s="1" t="s">
        <v>25</v>
      </c>
      <c r="D4736" s="1">
        <v>1.0</v>
      </c>
      <c r="E4736" s="1">
        <v>17968.0</v>
      </c>
      <c r="F4736" s="10">
        <f t="shared" si="1"/>
        <v>1</v>
      </c>
      <c r="G4736" s="10">
        <f t="array" ref="G4736">index('Player ID'!C:C,match(E4736,'Player ID'!B:B,0))</f>
        <v>656271</v>
      </c>
    </row>
    <row r="4737">
      <c r="A4737" s="76">
        <v>45784.0</v>
      </c>
      <c r="B4737" s="1" t="s">
        <v>232</v>
      </c>
      <c r="C4737" s="1" t="s">
        <v>25</v>
      </c>
      <c r="D4737" s="1">
        <v>6.0</v>
      </c>
      <c r="E4737" s="1">
        <v>20633.0</v>
      </c>
      <c r="F4737" s="10">
        <f t="shared" si="1"/>
        <v>6</v>
      </c>
      <c r="G4737" s="10">
        <f t="array" ref="G4737">index('Player ID'!C:C,match(E4737,'Player ID'!B:B,0))</f>
        <v>579328</v>
      </c>
    </row>
    <row r="4738">
      <c r="A4738" s="76">
        <v>45784.0</v>
      </c>
      <c r="B4738" s="1" t="s">
        <v>283</v>
      </c>
      <c r="C4738" s="1" t="s">
        <v>25</v>
      </c>
      <c r="D4738" s="1">
        <v>1.0</v>
      </c>
      <c r="E4738" s="1">
        <v>21205.0</v>
      </c>
      <c r="F4738" s="10">
        <f t="shared" si="1"/>
        <v>1</v>
      </c>
      <c r="G4738" s="10">
        <f t="array" ref="G4738">index('Player ID'!C:C,match(E4738,'Player ID'!B:B,0))</f>
        <v>641401</v>
      </c>
    </row>
    <row r="4739">
      <c r="A4739" s="76">
        <v>45784.0</v>
      </c>
      <c r="B4739" s="1" t="s">
        <v>395</v>
      </c>
      <c r="C4739" s="1" t="s">
        <v>40</v>
      </c>
      <c r="D4739" s="1">
        <v>0.2</v>
      </c>
      <c r="E4739" s="1">
        <v>21574.0</v>
      </c>
      <c r="F4739" s="10">
        <f t="shared" si="1"/>
        <v>0.6666666667</v>
      </c>
      <c r="G4739" s="10">
        <f t="array" ref="G4739">index('Player ID'!C:C,match(E4739,'Player ID'!B:B,0))</f>
        <v>663893</v>
      </c>
    </row>
    <row r="4740">
      <c r="A4740" s="76">
        <v>45784.0</v>
      </c>
      <c r="B4740" s="1" t="s">
        <v>385</v>
      </c>
      <c r="C4740" s="1" t="s">
        <v>25</v>
      </c>
      <c r="D4740" s="1">
        <v>1.0</v>
      </c>
      <c r="E4740" s="1">
        <v>25420.0</v>
      </c>
      <c r="F4740" s="10">
        <f t="shared" si="1"/>
        <v>1</v>
      </c>
      <c r="G4740" s="10">
        <f t="array" ref="G4740">index('Player ID'!C:C,match(E4740,'Player ID'!B:B,0))</f>
        <v>666171</v>
      </c>
    </row>
    <row r="4741">
      <c r="A4741" s="76">
        <v>45784.0</v>
      </c>
      <c r="B4741" s="1" t="s">
        <v>24</v>
      </c>
      <c r="C4741" s="1" t="s">
        <v>25</v>
      </c>
      <c r="D4741" s="1">
        <v>0.0</v>
      </c>
      <c r="E4741" s="1">
        <v>27468.0</v>
      </c>
      <c r="F4741" s="10">
        <f t="shared" si="1"/>
        <v>0</v>
      </c>
      <c r="G4741" s="10">
        <f t="array" ref="G4741">index('Player ID'!C:C,match(E4741,'Player ID'!B:B,0))</f>
        <v>672282</v>
      </c>
    </row>
    <row r="4742">
      <c r="A4742" s="76">
        <v>45784.0</v>
      </c>
      <c r="B4742" s="1" t="s">
        <v>427</v>
      </c>
      <c r="C4742" s="1" t="s">
        <v>40</v>
      </c>
      <c r="D4742" s="1">
        <v>1.1</v>
      </c>
      <c r="E4742" s="1">
        <v>33838.0</v>
      </c>
      <c r="F4742" s="10">
        <f t="shared" si="1"/>
        <v>1.333333333</v>
      </c>
      <c r="G4742" s="10">
        <f t="array" ref="G4742">index('Player ID'!C:C,match(E4742,'Player ID'!B:B,0))</f>
        <v>684320</v>
      </c>
    </row>
    <row r="4743">
      <c r="A4743" s="76">
        <v>45785.0</v>
      </c>
      <c r="B4743" s="1" t="s">
        <v>704</v>
      </c>
      <c r="C4743" s="1" t="s">
        <v>75</v>
      </c>
      <c r="D4743" s="1">
        <v>0.1</v>
      </c>
      <c r="E4743" s="1">
        <v>10591.0</v>
      </c>
      <c r="F4743" s="10">
        <f t="shared" si="1"/>
        <v>0.3333333333</v>
      </c>
      <c r="G4743" s="10">
        <f t="array" ref="G4743">index('Player ID'!C:C,match(E4743,'Player ID'!B:B,0))</f>
        <v>518397</v>
      </c>
    </row>
    <row r="4744">
      <c r="A4744" s="76">
        <v>45785.0</v>
      </c>
      <c r="B4744" s="1" t="s">
        <v>288</v>
      </c>
      <c r="C4744" s="1" t="s">
        <v>75</v>
      </c>
      <c r="D4744" s="1">
        <v>1.1</v>
      </c>
      <c r="E4744" s="1">
        <v>18297.0</v>
      </c>
      <c r="F4744" s="10">
        <f t="shared" si="1"/>
        <v>1.333333333</v>
      </c>
      <c r="G4744" s="10">
        <f t="array" ref="G4744">index('Player ID'!C:C,match(E4744,'Player ID'!B:B,0))</f>
        <v>641755</v>
      </c>
    </row>
    <row r="4745">
      <c r="A4745" s="76">
        <v>45785.0</v>
      </c>
      <c r="B4745" s="1" t="s">
        <v>766</v>
      </c>
      <c r="C4745" s="1" t="s">
        <v>75</v>
      </c>
      <c r="D4745" s="1">
        <v>1.0</v>
      </c>
      <c r="E4745" s="1">
        <v>20056.0</v>
      </c>
      <c r="F4745" s="10">
        <f t="shared" si="1"/>
        <v>1</v>
      </c>
      <c r="G4745" s="10">
        <f t="array" ref="G4745">index('Player ID'!C:C,match(E4745,'Player ID'!B:B,0))</f>
        <v>676701</v>
      </c>
    </row>
    <row r="4746">
      <c r="A4746" s="76">
        <v>45785.0</v>
      </c>
      <c r="B4746" s="1" t="s">
        <v>331</v>
      </c>
      <c r="C4746" s="1" t="s">
        <v>62</v>
      </c>
      <c r="D4746" s="1">
        <v>8.0</v>
      </c>
      <c r="E4746" s="1">
        <v>22630.0</v>
      </c>
      <c r="F4746" s="10">
        <f t="shared" si="1"/>
        <v>8</v>
      </c>
      <c r="G4746" s="10">
        <f t="array" ref="G4746">index('Player ID'!C:C,match(E4746,'Player ID'!B:B,0))</f>
        <v>672456</v>
      </c>
    </row>
    <row r="4747">
      <c r="A4747" s="76">
        <v>45785.0</v>
      </c>
      <c r="B4747" s="1" t="s">
        <v>667</v>
      </c>
      <c r="C4747" s="1" t="s">
        <v>62</v>
      </c>
      <c r="D4747" s="1">
        <v>1.0</v>
      </c>
      <c r="E4747" s="1">
        <v>26079.0</v>
      </c>
      <c r="F4747" s="10">
        <f t="shared" si="1"/>
        <v>1</v>
      </c>
      <c r="G4747" s="10">
        <f t="array" ref="G4747">index('Player ID'!C:C,match(E4747,'Player ID'!B:B,0))</f>
        <v>689225</v>
      </c>
    </row>
    <row r="4748">
      <c r="A4748" s="76">
        <v>45785.0</v>
      </c>
      <c r="B4748" s="1" t="s">
        <v>352</v>
      </c>
      <c r="C4748" s="1" t="s">
        <v>75</v>
      </c>
      <c r="D4748" s="1">
        <v>6.1</v>
      </c>
      <c r="E4748" s="1">
        <v>27669.0</v>
      </c>
      <c r="F4748" s="10">
        <f t="shared" si="1"/>
        <v>6.333333333</v>
      </c>
      <c r="G4748" s="10">
        <f t="array" ref="G4748">index('Player ID'!C:C,match(E4748,'Player ID'!B:B,0))</f>
        <v>685299</v>
      </c>
    </row>
    <row r="4749">
      <c r="A4749" s="76">
        <v>45785.0</v>
      </c>
      <c r="B4749" s="1" t="s">
        <v>146</v>
      </c>
      <c r="C4749" s="1" t="s">
        <v>16</v>
      </c>
      <c r="D4749" s="1">
        <v>1.0</v>
      </c>
      <c r="E4749" s="1">
        <v>15145.0</v>
      </c>
      <c r="F4749" s="10">
        <f t="shared" si="1"/>
        <v>1</v>
      </c>
      <c r="G4749" s="10">
        <f t="array" ref="G4749">index('Player ID'!C:C,match(E4749,'Player ID'!B:B,0))</f>
        <v>623437</v>
      </c>
    </row>
    <row r="4750">
      <c r="A4750" s="76">
        <v>45785.0</v>
      </c>
      <c r="B4750" s="1" t="s">
        <v>294</v>
      </c>
      <c r="C4750" s="1" t="s">
        <v>68</v>
      </c>
      <c r="D4750" s="1">
        <v>7.0</v>
      </c>
      <c r="E4750" s="1">
        <v>19350.0</v>
      </c>
      <c r="F4750" s="10">
        <f t="shared" si="1"/>
        <v>7</v>
      </c>
      <c r="G4750" s="10">
        <f t="array" ref="G4750">index('Player ID'!C:C,match(E4750,'Player ID'!B:B,0))</f>
        <v>665152</v>
      </c>
    </row>
    <row r="4751">
      <c r="A4751" s="76">
        <v>45785.0</v>
      </c>
      <c r="B4751" s="1" t="s">
        <v>433</v>
      </c>
      <c r="C4751" s="1" t="s">
        <v>68</v>
      </c>
      <c r="D4751" s="1">
        <v>0.2</v>
      </c>
      <c r="E4751" s="1">
        <v>19677.0</v>
      </c>
      <c r="F4751" s="10">
        <f t="shared" si="1"/>
        <v>0.6666666667</v>
      </c>
      <c r="G4751" s="10">
        <f t="array" ref="G4751">index('Player ID'!C:C,match(E4751,'Player ID'!B:B,0))</f>
        <v>642397</v>
      </c>
    </row>
    <row r="4752">
      <c r="A4752" s="76">
        <v>45785.0</v>
      </c>
      <c r="B4752" s="1" t="s">
        <v>28</v>
      </c>
      <c r="C4752" s="1" t="s">
        <v>16</v>
      </c>
      <c r="D4752" s="1">
        <v>1.0</v>
      </c>
      <c r="E4752" s="1">
        <v>20253.0</v>
      </c>
      <c r="F4752" s="10">
        <f t="shared" si="1"/>
        <v>1</v>
      </c>
      <c r="G4752" s="10">
        <f t="array" ref="G4752">index('Player ID'!C:C,match(E4752,'Player ID'!B:B,0))</f>
        <v>643377</v>
      </c>
    </row>
    <row r="4753">
      <c r="A4753" s="76">
        <v>45785.0</v>
      </c>
      <c r="B4753" s="1" t="s">
        <v>122</v>
      </c>
      <c r="C4753" s="1" t="s">
        <v>16</v>
      </c>
      <c r="D4753" s="1">
        <v>1.0</v>
      </c>
      <c r="E4753" s="1">
        <v>21029.0</v>
      </c>
      <c r="F4753" s="10">
        <f t="shared" si="1"/>
        <v>1</v>
      </c>
      <c r="G4753" s="10">
        <f t="array" ref="G4753">index('Player ID'!C:C,match(E4753,'Player ID'!B:B,0))</f>
        <v>661395</v>
      </c>
    </row>
    <row r="4754">
      <c r="A4754" s="76">
        <v>45785.0</v>
      </c>
      <c r="B4754" s="1" t="s">
        <v>173</v>
      </c>
      <c r="C4754" s="1" t="s">
        <v>16</v>
      </c>
      <c r="D4754" s="1">
        <v>5.0</v>
      </c>
      <c r="E4754" s="1">
        <v>21224.0</v>
      </c>
      <c r="F4754" s="10">
        <f t="shared" si="1"/>
        <v>5</v>
      </c>
      <c r="G4754" s="10">
        <f t="array" ref="G4754">index('Player ID'!C:C,match(E4754,'Player ID'!B:B,0))</f>
        <v>641927</v>
      </c>
    </row>
    <row r="4755">
      <c r="A4755" s="76">
        <v>45785.0</v>
      </c>
      <c r="B4755" s="1" t="s">
        <v>237</v>
      </c>
      <c r="C4755" s="1" t="s">
        <v>16</v>
      </c>
      <c r="D4755" s="1">
        <v>1.0</v>
      </c>
      <c r="E4755" s="1">
        <v>21461.0</v>
      </c>
      <c r="F4755" s="10">
        <f t="shared" si="1"/>
        <v>1</v>
      </c>
      <c r="G4755" s="10">
        <f t="array" ref="G4755">index('Player ID'!C:C,match(E4755,'Player ID'!B:B,0))</f>
        <v>663485</v>
      </c>
    </row>
    <row r="4756">
      <c r="A4756" s="76">
        <v>45785.0</v>
      </c>
      <c r="B4756" s="1" t="s">
        <v>235</v>
      </c>
      <c r="C4756" s="1" t="s">
        <v>68</v>
      </c>
      <c r="D4756" s="1">
        <v>0.1</v>
      </c>
      <c r="E4756" s="1">
        <v>25911.0</v>
      </c>
      <c r="F4756" s="10">
        <f t="shared" si="1"/>
        <v>0.3333333333</v>
      </c>
      <c r="G4756" s="10">
        <f t="array" ref="G4756">index('Player ID'!C:C,match(E4756,'Player ID'!B:B,0))</f>
        <v>666974</v>
      </c>
    </row>
    <row r="4757">
      <c r="A4757" s="76">
        <v>45785.0</v>
      </c>
      <c r="B4757" s="1" t="s">
        <v>757</v>
      </c>
      <c r="C4757" s="1" t="s">
        <v>22</v>
      </c>
      <c r="D4757" s="1">
        <v>2.0</v>
      </c>
      <c r="E4757" s="1">
        <v>3548.0</v>
      </c>
      <c r="F4757" s="10">
        <f t="shared" si="1"/>
        <v>2</v>
      </c>
      <c r="G4757" s="10">
        <f t="array" ref="G4757">index('Player ID'!C:C,match(E4757,'Player ID'!B:B,0))</f>
        <v>521230</v>
      </c>
    </row>
    <row r="4758">
      <c r="A4758" s="76">
        <v>45785.0</v>
      </c>
      <c r="B4758" s="1" t="s">
        <v>250</v>
      </c>
      <c r="C4758" s="1" t="s">
        <v>22</v>
      </c>
      <c r="D4758" s="1">
        <v>1.0</v>
      </c>
      <c r="E4758" s="1">
        <v>20191.0</v>
      </c>
      <c r="F4758" s="10">
        <f t="shared" si="1"/>
        <v>1</v>
      </c>
      <c r="G4758" s="10">
        <f t="array" ref="G4758">index('Player ID'!C:C,match(E4758,'Player ID'!B:B,0))</f>
        <v>676477</v>
      </c>
    </row>
    <row r="4759">
      <c r="A4759" s="76">
        <v>45785.0</v>
      </c>
      <c r="B4759" s="1" t="s">
        <v>111</v>
      </c>
      <c r="C4759" s="1" t="s">
        <v>56</v>
      </c>
      <c r="D4759" s="1">
        <v>2.2</v>
      </c>
      <c r="E4759" s="1">
        <v>21306.0</v>
      </c>
      <c r="F4759" s="10">
        <f t="shared" si="1"/>
        <v>2.666666667</v>
      </c>
      <c r="G4759" s="10">
        <f t="array" ref="G4759">index('Player ID'!C:C,match(E4759,'Player ID'!B:B,0))</f>
        <v>656641</v>
      </c>
    </row>
    <row r="4760">
      <c r="A4760" s="76">
        <v>45785.0</v>
      </c>
      <c r="B4760" s="1" t="s">
        <v>410</v>
      </c>
      <c r="C4760" s="1" t="s">
        <v>22</v>
      </c>
      <c r="D4760" s="1">
        <v>4.2</v>
      </c>
      <c r="E4760" s="1">
        <v>23920.0</v>
      </c>
      <c r="F4760" s="10">
        <f t="shared" si="1"/>
        <v>4.666666667</v>
      </c>
      <c r="G4760" s="10">
        <f t="array" ref="G4760">index('Player ID'!C:C,match(E4760,'Player ID'!B:B,0))</f>
        <v>678394</v>
      </c>
    </row>
    <row r="4761">
      <c r="A4761" s="76">
        <v>45785.0</v>
      </c>
      <c r="B4761" s="1" t="s">
        <v>645</v>
      </c>
      <c r="C4761" s="1" t="s">
        <v>22</v>
      </c>
      <c r="D4761" s="1">
        <v>1.1</v>
      </c>
      <c r="E4761" s="1">
        <v>25648.0</v>
      </c>
      <c r="F4761" s="10">
        <f t="shared" si="1"/>
        <v>1.333333333</v>
      </c>
      <c r="G4761" s="10">
        <f t="array" ref="G4761">index('Player ID'!C:C,match(E4761,'Player ID'!B:B,0))</f>
        <v>686580</v>
      </c>
    </row>
    <row r="4762">
      <c r="A4762" s="76">
        <v>45785.0</v>
      </c>
      <c r="B4762" s="1" t="s">
        <v>374</v>
      </c>
      <c r="C4762" s="1" t="s">
        <v>56</v>
      </c>
      <c r="D4762" s="1">
        <v>5.1</v>
      </c>
      <c r="E4762" s="1">
        <v>30146.0</v>
      </c>
      <c r="F4762" s="10">
        <f t="shared" si="1"/>
        <v>5.333333333</v>
      </c>
      <c r="G4762" s="10">
        <f t="array" ref="G4762">index('Player ID'!C:C,match(E4762,'Player ID'!B:B,0))</f>
        <v>683004</v>
      </c>
    </row>
    <row r="4763">
      <c r="A4763" s="76">
        <v>45785.0</v>
      </c>
      <c r="B4763" s="1" t="s">
        <v>726</v>
      </c>
      <c r="C4763" s="1" t="s">
        <v>29</v>
      </c>
      <c r="D4763" s="1">
        <v>1.0</v>
      </c>
      <c r="E4763" s="1">
        <v>13761.0</v>
      </c>
      <c r="F4763" s="10">
        <f t="shared" si="1"/>
        <v>1</v>
      </c>
      <c r="G4763" s="10">
        <f t="array" ref="G4763">index('Player ID'!C:C,match(E4763,'Player ID'!B:B,0))</f>
        <v>608717</v>
      </c>
    </row>
    <row r="4764">
      <c r="A4764" s="76">
        <v>45785.0</v>
      </c>
      <c r="B4764" s="1" t="s">
        <v>335</v>
      </c>
      <c r="C4764" s="1" t="s">
        <v>78</v>
      </c>
      <c r="D4764" s="1">
        <v>4.1</v>
      </c>
      <c r="E4764" s="1">
        <v>21448.0</v>
      </c>
      <c r="F4764" s="10">
        <f t="shared" si="1"/>
        <v>4.333333333</v>
      </c>
      <c r="G4764" s="10">
        <f t="array" ref="G4764">index('Player ID'!C:C,match(E4764,'Player ID'!B:B,0))</f>
        <v>663436</v>
      </c>
    </row>
    <row r="4765">
      <c r="A4765" s="76">
        <v>45785.0</v>
      </c>
      <c r="B4765" s="1" t="s">
        <v>163</v>
      </c>
      <c r="C4765" s="1" t="s">
        <v>29</v>
      </c>
      <c r="D4765" s="1">
        <v>7.0</v>
      </c>
      <c r="E4765" s="1">
        <v>21455.0</v>
      </c>
      <c r="F4765" s="10">
        <f t="shared" si="1"/>
        <v>7</v>
      </c>
      <c r="G4765" s="10">
        <f t="array" ref="G4765">index('Player ID'!C:C,match(E4765,'Player ID'!B:B,0))</f>
        <v>663460</v>
      </c>
    </row>
    <row r="4766">
      <c r="A4766" s="76">
        <v>45785.0</v>
      </c>
      <c r="B4766" s="1" t="s">
        <v>214</v>
      </c>
      <c r="C4766" s="1" t="s">
        <v>29</v>
      </c>
      <c r="D4766" s="1">
        <v>1.0</v>
      </c>
      <c r="E4766" s="1">
        <v>23165.0</v>
      </c>
      <c r="F4766" s="10">
        <f t="shared" si="1"/>
        <v>1</v>
      </c>
      <c r="G4766" s="10">
        <f t="array" ref="G4766">index('Player ID'!C:C,match(E4766,'Player ID'!B:B,0))</f>
        <v>674444</v>
      </c>
    </row>
    <row r="4767">
      <c r="A4767" s="76">
        <v>45785.0</v>
      </c>
      <c r="B4767" s="1" t="s">
        <v>767</v>
      </c>
      <c r="C4767" s="1" t="s">
        <v>78</v>
      </c>
      <c r="D4767" s="1">
        <v>1.0</v>
      </c>
      <c r="E4767" s="1">
        <v>23296.0</v>
      </c>
      <c r="F4767" s="10">
        <f t="shared" si="1"/>
        <v>1</v>
      </c>
      <c r="G4767" s="10">
        <f t="array" ref="G4767">index('Player ID'!C:C,match(E4767,'Player ID'!B:B,0))</f>
        <v>676070</v>
      </c>
    </row>
    <row r="4768">
      <c r="A4768" s="76">
        <v>45785.0</v>
      </c>
      <c r="B4768" s="1" t="s">
        <v>706</v>
      </c>
      <c r="C4768" s="1" t="s">
        <v>78</v>
      </c>
      <c r="D4768" s="1">
        <v>1.1</v>
      </c>
      <c r="E4768" s="1">
        <v>27472.0</v>
      </c>
      <c r="F4768" s="10">
        <f t="shared" si="1"/>
        <v>1.333333333</v>
      </c>
      <c r="G4768" s="10">
        <f t="array" ref="G4768">index('Player ID'!C:C,match(E4768,'Player ID'!B:B,0))</f>
        <v>694363</v>
      </c>
    </row>
    <row r="4769">
      <c r="A4769" s="76">
        <v>45785.0</v>
      </c>
      <c r="B4769" s="1" t="s">
        <v>497</v>
      </c>
      <c r="C4769" s="1" t="s">
        <v>78</v>
      </c>
      <c r="D4769" s="1">
        <v>1.1</v>
      </c>
      <c r="E4769" s="1">
        <v>30105.0</v>
      </c>
      <c r="F4769" s="10">
        <f t="shared" si="1"/>
        <v>1.333333333</v>
      </c>
      <c r="G4769" s="10">
        <f t="array" ref="G4769">index('Player ID'!C:C,match(E4769,'Player ID'!B:B,0))</f>
        <v>678024</v>
      </c>
    </row>
    <row r="4770">
      <c r="A4770" s="76">
        <v>45785.0</v>
      </c>
      <c r="B4770" s="1" t="s">
        <v>189</v>
      </c>
      <c r="C4770" s="1" t="s">
        <v>75</v>
      </c>
      <c r="D4770" s="1">
        <v>3.0</v>
      </c>
      <c r="E4770" s="1">
        <v>16256.0</v>
      </c>
      <c r="F4770" s="10">
        <f t="shared" si="1"/>
        <v>3</v>
      </c>
      <c r="G4770" s="10">
        <f t="array" ref="G4770">index('Player ID'!C:C,match(E4770,'Player ID'!B:B,0))</f>
        <v>607536</v>
      </c>
    </row>
    <row r="4771">
      <c r="A4771" s="76">
        <v>45785.0</v>
      </c>
      <c r="B4771" s="1" t="s">
        <v>721</v>
      </c>
      <c r="C4771" s="1" t="s">
        <v>62</v>
      </c>
      <c r="D4771" s="1">
        <v>1.0</v>
      </c>
      <c r="E4771" s="1">
        <v>20045.0</v>
      </c>
      <c r="F4771" s="10">
        <f t="shared" si="1"/>
        <v>1</v>
      </c>
      <c r="G4771" s="10">
        <f t="array" ref="G4771">index('Player ID'!C:C,match(E4771,'Player ID'!B:B,0))</f>
        <v>674944</v>
      </c>
    </row>
    <row r="4772">
      <c r="A4772" s="76">
        <v>45785.0</v>
      </c>
      <c r="B4772" s="1" t="s">
        <v>125</v>
      </c>
      <c r="C4772" s="1" t="s">
        <v>62</v>
      </c>
      <c r="D4772" s="1">
        <v>6.0</v>
      </c>
      <c r="E4772" s="1">
        <v>20492.0</v>
      </c>
      <c r="F4772" s="10">
        <f t="shared" si="1"/>
        <v>6</v>
      </c>
      <c r="G4772" s="10">
        <f t="array" ref="G4772">index('Player ID'!C:C,match(E4772,'Player ID'!B:B,0))</f>
        <v>663554</v>
      </c>
    </row>
    <row r="4773">
      <c r="A4773" s="76">
        <v>45785.0</v>
      </c>
      <c r="B4773" s="1" t="s">
        <v>468</v>
      </c>
      <c r="C4773" s="1" t="s">
        <v>75</v>
      </c>
      <c r="D4773" s="1">
        <v>2.1</v>
      </c>
      <c r="E4773" s="1">
        <v>23237.0</v>
      </c>
      <c r="F4773" s="10">
        <f t="shared" si="1"/>
        <v>2.333333333</v>
      </c>
      <c r="G4773" s="10">
        <f t="array" ref="G4773">index('Player ID'!C:C,match(E4773,'Player ID'!B:B,0))</f>
        <v>675848</v>
      </c>
    </row>
    <row r="4774">
      <c r="A4774" s="76">
        <v>45785.0</v>
      </c>
      <c r="B4774" s="1" t="s">
        <v>486</v>
      </c>
      <c r="C4774" s="1" t="s">
        <v>75</v>
      </c>
      <c r="D4774" s="1">
        <v>3.2</v>
      </c>
      <c r="E4774" s="1">
        <v>26790.0</v>
      </c>
      <c r="F4774" s="10">
        <f t="shared" si="1"/>
        <v>3.666666667</v>
      </c>
      <c r="G4774" s="10">
        <f t="array" ref="G4774">index('Player ID'!C:C,match(E4774,'Player ID'!B:B,0))</f>
        <v>683409</v>
      </c>
    </row>
    <row r="4775">
      <c r="A4775" s="76">
        <v>45785.0</v>
      </c>
      <c r="B4775" s="1" t="s">
        <v>160</v>
      </c>
      <c r="C4775" s="1" t="s">
        <v>62</v>
      </c>
      <c r="D4775" s="1">
        <v>2.0</v>
      </c>
      <c r="E4775" s="1">
        <v>29574.0</v>
      </c>
      <c r="F4775" s="10">
        <f t="shared" si="1"/>
        <v>2</v>
      </c>
      <c r="G4775" s="10">
        <f t="array" ref="G4775">index('Player ID'!C:C,match(E4775,'Player ID'!B:B,0))</f>
        <v>695445</v>
      </c>
    </row>
    <row r="4776">
      <c r="A4776" s="76">
        <v>45785.0</v>
      </c>
      <c r="B4776" s="1" t="s">
        <v>182</v>
      </c>
      <c r="C4776" s="1" t="s">
        <v>45</v>
      </c>
      <c r="D4776" s="1">
        <v>1.0</v>
      </c>
      <c r="E4776" s="1">
        <v>13799.0</v>
      </c>
      <c r="F4776" s="10">
        <f t="shared" si="1"/>
        <v>1</v>
      </c>
      <c r="G4776" s="10">
        <f t="array" ref="G4776">index('Player ID'!C:C,match(E4776,'Player ID'!B:B,0))</f>
        <v>621381</v>
      </c>
    </row>
    <row r="4777">
      <c r="A4777" s="76">
        <v>45785.0</v>
      </c>
      <c r="B4777" s="1" t="s">
        <v>208</v>
      </c>
      <c r="C4777" s="1" t="s">
        <v>45</v>
      </c>
      <c r="D4777" s="1">
        <v>1.0</v>
      </c>
      <c r="E4777" s="1">
        <v>16122.0</v>
      </c>
      <c r="F4777" s="10">
        <f t="shared" si="1"/>
        <v>1</v>
      </c>
      <c r="G4777" s="10">
        <f t="array" ref="G4777">index('Player ID'!C:C,match(E4777,'Player ID'!B:B,0))</f>
        <v>605447</v>
      </c>
    </row>
    <row r="4778">
      <c r="A4778" s="76">
        <v>45785.0</v>
      </c>
      <c r="B4778" s="1" t="s">
        <v>138</v>
      </c>
      <c r="C4778" s="1" t="s">
        <v>45</v>
      </c>
      <c r="D4778" s="1">
        <v>1.0</v>
      </c>
      <c r="E4778" s="1">
        <v>16990.0</v>
      </c>
      <c r="F4778" s="10">
        <f t="shared" si="1"/>
        <v>1</v>
      </c>
      <c r="G4778" s="10">
        <f t="array" ref="G4778">index('Player ID'!C:C,match(E4778,'Player ID'!B:B,0))</f>
        <v>621383</v>
      </c>
    </row>
    <row r="4779">
      <c r="A4779" s="76">
        <v>45785.0</v>
      </c>
      <c r="B4779" s="1" t="s">
        <v>643</v>
      </c>
      <c r="C4779" s="1" t="s">
        <v>45</v>
      </c>
      <c r="D4779" s="1">
        <v>1.0</v>
      </c>
      <c r="E4779" s="1">
        <v>17780.0</v>
      </c>
      <c r="F4779" s="10">
        <f t="shared" si="1"/>
        <v>1</v>
      </c>
      <c r="G4779" s="10">
        <f t="array" ref="G4779">index('Player ID'!C:C,match(E4779,'Player ID'!B:B,0))</f>
        <v>621237</v>
      </c>
    </row>
    <row r="4780">
      <c r="A4780" s="76">
        <v>45785.0</v>
      </c>
      <c r="B4780" s="1" t="s">
        <v>185</v>
      </c>
      <c r="C4780" s="1" t="s">
        <v>54</v>
      </c>
      <c r="D4780" s="1">
        <v>1.0</v>
      </c>
      <c r="E4780" s="1">
        <v>17897.0</v>
      </c>
      <c r="F4780" s="10">
        <f t="shared" si="1"/>
        <v>1</v>
      </c>
      <c r="G4780" s="10">
        <f t="array" ref="G4780">index('Player ID'!C:C,match(E4780,'Player ID'!B:B,0))</f>
        <v>664076</v>
      </c>
    </row>
    <row r="4781">
      <c r="A4781" s="76">
        <v>45785.0</v>
      </c>
      <c r="B4781" s="1" t="s">
        <v>261</v>
      </c>
      <c r="C4781" s="1" t="s">
        <v>54</v>
      </c>
      <c r="D4781" s="1">
        <v>1.0</v>
      </c>
      <c r="E4781" s="1">
        <v>17998.0</v>
      </c>
      <c r="F4781" s="10">
        <f t="shared" si="1"/>
        <v>1</v>
      </c>
      <c r="G4781" s="10">
        <f t="array" ref="G4781">index('Player ID'!C:C,match(E4781,'Player ID'!B:B,0))</f>
        <v>664126</v>
      </c>
    </row>
    <row r="4782">
      <c r="A4782" s="76">
        <v>45785.0</v>
      </c>
      <c r="B4782" s="1" t="s">
        <v>700</v>
      </c>
      <c r="C4782" s="1" t="s">
        <v>45</v>
      </c>
      <c r="D4782" s="1">
        <v>5.1</v>
      </c>
      <c r="E4782" s="1">
        <v>19959.0</v>
      </c>
      <c r="F4782" s="10">
        <f t="shared" si="1"/>
        <v>5.333333333</v>
      </c>
      <c r="G4782" s="10">
        <f t="array" ref="G4782">index('Player ID'!C:C,match(E4782,'Player ID'!B:B,0))</f>
        <v>666200</v>
      </c>
    </row>
    <row r="4783">
      <c r="A4783" s="76">
        <v>45785.0</v>
      </c>
      <c r="B4783" s="1" t="s">
        <v>400</v>
      </c>
      <c r="C4783" s="1" t="s">
        <v>54</v>
      </c>
      <c r="D4783" s="1">
        <v>0.2</v>
      </c>
      <c r="E4783" s="1">
        <v>20539.0</v>
      </c>
      <c r="F4783" s="10">
        <f t="shared" si="1"/>
        <v>0.6666666667</v>
      </c>
      <c r="G4783" s="10">
        <f t="array" ref="G4783">index('Player ID'!C:C,match(E4783,'Player ID'!B:B,0))</f>
        <v>670955</v>
      </c>
    </row>
    <row r="4784">
      <c r="A4784" s="76">
        <v>45785.0</v>
      </c>
      <c r="B4784" s="1" t="s">
        <v>705</v>
      </c>
      <c r="C4784" s="1" t="s">
        <v>54</v>
      </c>
      <c r="D4784" s="1">
        <v>1.0</v>
      </c>
      <c r="E4784" s="1">
        <v>20794.0</v>
      </c>
      <c r="F4784" s="10">
        <f t="shared" si="1"/>
        <v>1</v>
      </c>
      <c r="G4784" s="10">
        <f t="array" ref="G4784">index('Player ID'!C:C,match(E4784,'Player ID'!B:B,0))</f>
        <v>655889</v>
      </c>
    </row>
    <row r="4785">
      <c r="A4785" s="76">
        <v>45785.0</v>
      </c>
      <c r="B4785" s="1" t="s">
        <v>701</v>
      </c>
      <c r="C4785" s="1" t="s">
        <v>45</v>
      </c>
      <c r="D4785" s="1">
        <v>0.2</v>
      </c>
      <c r="E4785" s="1">
        <v>22713.0</v>
      </c>
      <c r="F4785" s="10">
        <f t="shared" si="1"/>
        <v>0.6666666667</v>
      </c>
      <c r="G4785" s="10">
        <f t="array" ref="G4785">index('Player ID'!C:C,match(E4785,'Player ID'!B:B,0))</f>
        <v>672578</v>
      </c>
    </row>
    <row r="4786">
      <c r="A4786" s="76">
        <v>45785.0</v>
      </c>
      <c r="B4786" s="1" t="s">
        <v>129</v>
      </c>
      <c r="C4786" s="1" t="s">
        <v>54</v>
      </c>
      <c r="D4786" s="1">
        <v>6.0</v>
      </c>
      <c r="E4786" s="1">
        <v>26221.0</v>
      </c>
      <c r="F4786" s="10">
        <f t="shared" si="1"/>
        <v>6</v>
      </c>
      <c r="G4786" s="10">
        <f t="array" ref="G4786">index('Player ID'!C:C,match(E4786,'Player ID'!B:B,0))</f>
        <v>686752</v>
      </c>
    </row>
    <row r="4787">
      <c r="A4787" s="76">
        <v>45785.0</v>
      </c>
      <c r="B4787" s="1" t="s">
        <v>334</v>
      </c>
      <c r="C4787" s="1" t="s">
        <v>54</v>
      </c>
      <c r="D4787" s="1">
        <v>0.1</v>
      </c>
      <c r="E4787" s="1">
        <v>29770.0</v>
      </c>
      <c r="F4787" s="10">
        <f t="shared" si="1"/>
        <v>0.3333333333</v>
      </c>
      <c r="G4787" s="10">
        <f t="array" ref="G4787">index('Player ID'!C:C,match(E4787,'Player ID'!B:B,0))</f>
        <v>682254</v>
      </c>
    </row>
    <row r="4788">
      <c r="A4788" s="76">
        <v>45785.0</v>
      </c>
      <c r="B4788" s="1" t="s">
        <v>326</v>
      </c>
      <c r="C4788" s="1" t="s">
        <v>46</v>
      </c>
      <c r="D4788" s="1">
        <v>0.1</v>
      </c>
      <c r="E4788" s="1">
        <v>12760.0</v>
      </c>
      <c r="F4788" s="10">
        <f t="shared" si="1"/>
        <v>0.3333333333</v>
      </c>
      <c r="G4788" s="10">
        <f t="array" ref="G4788">index('Player ID'!C:C,match(E4788,'Player ID'!B:B,0))</f>
        <v>606160</v>
      </c>
    </row>
    <row r="4789">
      <c r="A4789" s="76">
        <v>45785.0</v>
      </c>
      <c r="B4789" s="1" t="s">
        <v>178</v>
      </c>
      <c r="C4789" s="1" t="s">
        <v>46</v>
      </c>
      <c r="D4789" s="1">
        <v>1.0</v>
      </c>
      <c r="E4789" s="1">
        <v>13435.0</v>
      </c>
      <c r="F4789" s="10">
        <f t="shared" si="1"/>
        <v>1</v>
      </c>
      <c r="G4789" s="10">
        <f t="array" ref="G4789">index('Player ID'!C:C,match(E4789,'Player ID'!B:B,0))</f>
        <v>572955</v>
      </c>
    </row>
    <row r="4790">
      <c r="A4790" s="76">
        <v>45785.0</v>
      </c>
      <c r="B4790" s="1" t="s">
        <v>362</v>
      </c>
      <c r="C4790" s="1" t="s">
        <v>66</v>
      </c>
      <c r="D4790" s="1">
        <v>0.2</v>
      </c>
      <c r="E4790" s="1">
        <v>13449.0</v>
      </c>
      <c r="F4790" s="10">
        <f t="shared" si="1"/>
        <v>0.6666666667</v>
      </c>
      <c r="G4790" s="10">
        <f t="array" ref="G4790">index('Player ID'!C:C,match(E4790,'Player ID'!B:B,0))</f>
        <v>573124</v>
      </c>
    </row>
    <row r="4791">
      <c r="A4791" s="76">
        <v>45785.0</v>
      </c>
      <c r="B4791" s="1" t="s">
        <v>233</v>
      </c>
      <c r="C4791" s="1" t="s">
        <v>46</v>
      </c>
      <c r="D4791" s="1">
        <v>2.0</v>
      </c>
      <c r="E4791" s="1">
        <v>16427.0</v>
      </c>
      <c r="F4791" s="10">
        <f t="shared" si="1"/>
        <v>2</v>
      </c>
      <c r="G4791" s="10">
        <f t="array" ref="G4791">index('Player ID'!C:C,match(E4791,'Player ID'!B:B,0))</f>
        <v>656240</v>
      </c>
    </row>
    <row r="4792">
      <c r="A4792" s="76">
        <v>45785.0</v>
      </c>
      <c r="B4792" s="1" t="s">
        <v>184</v>
      </c>
      <c r="C4792" s="1" t="s">
        <v>46</v>
      </c>
      <c r="D4792" s="1">
        <v>1.0</v>
      </c>
      <c r="E4792" s="1">
        <v>17130.0</v>
      </c>
      <c r="F4792" s="10">
        <f t="shared" si="1"/>
        <v>1</v>
      </c>
      <c r="G4792" s="10">
        <f t="array" ref="G4792">index('Player ID'!C:C,match(E4792,'Player ID'!B:B,0))</f>
        <v>628452</v>
      </c>
    </row>
    <row r="4793">
      <c r="A4793" s="76">
        <v>45785.0</v>
      </c>
      <c r="B4793" s="1" t="s">
        <v>91</v>
      </c>
      <c r="C4793" s="1" t="s">
        <v>46</v>
      </c>
      <c r="D4793" s="1">
        <v>0.2</v>
      </c>
      <c r="E4793" s="1">
        <v>19996.0</v>
      </c>
      <c r="F4793" s="10">
        <f t="shared" si="1"/>
        <v>0.6666666667</v>
      </c>
      <c r="G4793" s="10">
        <f t="array" ref="G4793">index('Player ID'!C:C,match(E4793,'Player ID'!B:B,0))</f>
        <v>669276</v>
      </c>
    </row>
    <row r="4794">
      <c r="A4794" s="76">
        <v>45785.0</v>
      </c>
      <c r="B4794" s="1" t="s">
        <v>518</v>
      </c>
      <c r="C4794" s="1" t="s">
        <v>66</v>
      </c>
      <c r="D4794" s="1">
        <v>2.0</v>
      </c>
      <c r="E4794" s="1">
        <v>24581.0</v>
      </c>
      <c r="F4794" s="10">
        <f t="shared" si="1"/>
        <v>2</v>
      </c>
      <c r="G4794" s="10">
        <f t="array" ref="G4794">index('Player ID'!C:C,match(E4794,'Player ID'!B:B,0))</f>
        <v>680689</v>
      </c>
    </row>
    <row r="4795">
      <c r="A4795" s="76">
        <v>45785.0</v>
      </c>
      <c r="B4795" s="1" t="s">
        <v>550</v>
      </c>
      <c r="C4795" s="1" t="s">
        <v>66</v>
      </c>
      <c r="D4795" s="1">
        <v>1.0</v>
      </c>
      <c r="E4795" s="1">
        <v>25620.0</v>
      </c>
      <c r="F4795" s="10">
        <f t="shared" si="1"/>
        <v>1</v>
      </c>
      <c r="G4795" s="10">
        <f t="array" ref="G4795">index('Player ID'!C:C,match(E4795,'Player ID'!B:B,0))</f>
        <v>682825</v>
      </c>
    </row>
    <row r="4796">
      <c r="A4796" s="76">
        <v>45785.0</v>
      </c>
      <c r="B4796" s="1" t="s">
        <v>194</v>
      </c>
      <c r="C4796" s="1" t="s">
        <v>66</v>
      </c>
      <c r="D4796" s="1">
        <v>6.0</v>
      </c>
      <c r="E4796" s="1">
        <v>26378.0</v>
      </c>
      <c r="F4796" s="10">
        <f t="shared" si="1"/>
        <v>6</v>
      </c>
      <c r="G4796" s="10">
        <f t="array" ref="G4796">index('Player ID'!C:C,match(E4796,'Player ID'!B:B,0))</f>
        <v>666157</v>
      </c>
    </row>
    <row r="4797">
      <c r="A4797" s="76">
        <v>45785.0</v>
      </c>
      <c r="B4797" s="1" t="s">
        <v>211</v>
      </c>
      <c r="C4797" s="1" t="s">
        <v>66</v>
      </c>
      <c r="D4797" s="1">
        <v>1.0</v>
      </c>
      <c r="E4797" s="1">
        <v>27552.0</v>
      </c>
      <c r="F4797" s="10">
        <f t="shared" si="1"/>
        <v>1</v>
      </c>
      <c r="G4797" s="10">
        <f t="array" ref="G4797">index('Player ID'!C:C,match(E4797,'Player ID'!B:B,0))</f>
        <v>668933</v>
      </c>
    </row>
    <row r="4798">
      <c r="A4798" s="76">
        <v>45785.0</v>
      </c>
      <c r="B4798" s="1" t="s">
        <v>65</v>
      </c>
      <c r="C4798" s="1" t="s">
        <v>46</v>
      </c>
      <c r="D4798" s="1">
        <v>6.0</v>
      </c>
      <c r="E4798" s="1">
        <v>31846.0</v>
      </c>
      <c r="F4798" s="10">
        <f t="shared" si="1"/>
        <v>6</v>
      </c>
      <c r="G4798" s="10">
        <f t="array" ref="G4798">index('Player ID'!C:C,match(E4798,'Player ID'!B:B,0))</f>
        <v>680885</v>
      </c>
    </row>
    <row r="4799">
      <c r="A4799" s="76">
        <v>45785.0</v>
      </c>
      <c r="B4799" s="1" t="s">
        <v>456</v>
      </c>
      <c r="C4799" s="1" t="s">
        <v>40</v>
      </c>
      <c r="D4799" s="1">
        <v>6.0</v>
      </c>
      <c r="E4799" s="1">
        <v>12304.0</v>
      </c>
      <c r="F4799" s="10">
        <f t="shared" si="1"/>
        <v>6</v>
      </c>
      <c r="G4799" s="10">
        <f t="array" ref="G4799">index('Player ID'!C:C,match(E4799,'Player ID'!B:B,0))</f>
        <v>605135</v>
      </c>
    </row>
    <row r="4800">
      <c r="A4800" s="76">
        <v>45785.0</v>
      </c>
      <c r="B4800" s="1" t="s">
        <v>174</v>
      </c>
      <c r="C4800" s="1" t="s">
        <v>40</v>
      </c>
      <c r="D4800" s="1">
        <v>1.0</v>
      </c>
      <c r="E4800" s="1">
        <v>15552.0</v>
      </c>
      <c r="F4800" s="10">
        <f t="shared" si="1"/>
        <v>1</v>
      </c>
      <c r="G4800" s="10">
        <f t="array" ref="G4800">index('Player ID'!C:C,match(E4800,'Player ID'!B:B,0))</f>
        <v>643338</v>
      </c>
    </row>
    <row r="4801">
      <c r="A4801" s="76">
        <v>45785.0</v>
      </c>
      <c r="B4801" s="1" t="s">
        <v>291</v>
      </c>
      <c r="C4801" s="1" t="s">
        <v>25</v>
      </c>
      <c r="D4801" s="1">
        <v>1.0</v>
      </c>
      <c r="E4801" s="1">
        <v>17968.0</v>
      </c>
      <c r="F4801" s="10">
        <f t="shared" si="1"/>
        <v>1</v>
      </c>
      <c r="G4801" s="10">
        <f t="array" ref="G4801">index('Player ID'!C:C,match(E4801,'Player ID'!B:B,0))</f>
        <v>656271</v>
      </c>
    </row>
    <row r="4802">
      <c r="A4802" s="76">
        <v>45785.0</v>
      </c>
      <c r="B4802" s="1" t="s">
        <v>283</v>
      </c>
      <c r="C4802" s="1" t="s">
        <v>25</v>
      </c>
      <c r="D4802" s="1">
        <v>2.0</v>
      </c>
      <c r="E4802" s="1">
        <v>21205.0</v>
      </c>
      <c r="F4802" s="10">
        <f t="shared" si="1"/>
        <v>2</v>
      </c>
      <c r="G4802" s="10">
        <f t="array" ref="G4802">index('Player ID'!C:C,match(E4802,'Player ID'!B:B,0))</f>
        <v>641401</v>
      </c>
    </row>
    <row r="4803">
      <c r="A4803" s="76">
        <v>45785.0</v>
      </c>
      <c r="B4803" s="1" t="s">
        <v>695</v>
      </c>
      <c r="C4803" s="1" t="s">
        <v>25</v>
      </c>
      <c r="D4803" s="1">
        <v>5.0</v>
      </c>
      <c r="E4803" s="1">
        <v>22100.0</v>
      </c>
      <c r="F4803" s="10">
        <f t="shared" si="1"/>
        <v>5</v>
      </c>
      <c r="G4803" s="10">
        <f t="array" ref="G4803">index('Player ID'!C:C,match(E4803,'Player ID'!B:B,0))</f>
        <v>667755</v>
      </c>
    </row>
    <row r="4804">
      <c r="A4804" s="76">
        <v>45785.0</v>
      </c>
      <c r="B4804" s="1" t="s">
        <v>427</v>
      </c>
      <c r="C4804" s="1" t="s">
        <v>40</v>
      </c>
      <c r="D4804" s="1">
        <v>2.0</v>
      </c>
      <c r="E4804" s="1">
        <v>33838.0</v>
      </c>
      <c r="F4804" s="10">
        <f t="shared" si="1"/>
        <v>2</v>
      </c>
      <c r="G4804" s="10">
        <f t="array" ref="G4804">index('Player ID'!C:C,match(E4804,'Player ID'!B:B,0))</f>
        <v>684320</v>
      </c>
    </row>
    <row r="4805">
      <c r="A4805" s="76">
        <v>45785.0</v>
      </c>
      <c r="B4805" s="1" t="s">
        <v>381</v>
      </c>
      <c r="C4805" s="1" t="s">
        <v>25</v>
      </c>
      <c r="D4805" s="1">
        <v>1.0</v>
      </c>
      <c r="E4805" s="1">
        <v>33908.0</v>
      </c>
      <c r="F4805" s="10">
        <f t="shared" si="1"/>
        <v>1</v>
      </c>
      <c r="G4805" s="10">
        <f t="array" ref="G4805">index('Player ID'!C:C,match(E4805,'Player ID'!B:B,0))</f>
        <v>820862</v>
      </c>
    </row>
    <row r="4806">
      <c r="A4806" s="76">
        <v>45785.0</v>
      </c>
      <c r="B4806" s="1" t="s">
        <v>659</v>
      </c>
      <c r="C4806" s="1" t="s">
        <v>25</v>
      </c>
      <c r="D4806" s="1">
        <v>0.0</v>
      </c>
      <c r="E4806" s="1">
        <v>35325.0</v>
      </c>
      <c r="F4806" s="10">
        <f t="shared" si="1"/>
        <v>0</v>
      </c>
      <c r="G4806" s="10">
        <f t="array" ref="G4806">index('Player ID'!C:C,match(E4806,'Player ID'!B:B,0))</f>
        <v>696270</v>
      </c>
    </row>
    <row r="4807">
      <c r="A4807" s="76">
        <v>45785.0</v>
      </c>
      <c r="B4807" s="1" t="s">
        <v>489</v>
      </c>
      <c r="C4807" s="1" t="s">
        <v>64</v>
      </c>
      <c r="D4807" s="1">
        <v>0.2</v>
      </c>
      <c r="E4807" s="1">
        <v>17192.0</v>
      </c>
      <c r="F4807" s="10">
        <f t="shared" si="1"/>
        <v>0.6666666667</v>
      </c>
      <c r="G4807" s="10">
        <f t="array" ref="G4807">index('Player ID'!C:C,match(E4807,'Player ID'!B:B,0))</f>
        <v>656222</v>
      </c>
    </row>
    <row r="4808">
      <c r="A4808" s="76">
        <v>45785.0</v>
      </c>
      <c r="B4808" s="1" t="s">
        <v>823</v>
      </c>
      <c r="C4808" s="1" t="s">
        <v>64</v>
      </c>
      <c r="D4808" s="1">
        <v>1.0</v>
      </c>
      <c r="E4808" s="1">
        <v>19876.0</v>
      </c>
      <c r="F4808" s="10">
        <f t="shared" si="1"/>
        <v>1</v>
      </c>
      <c r="G4808" s="10">
        <f t="array" ref="G4808">index('Player ID'!C:C,match(E4808,'Player ID'!B:B,0))</f>
        <v>656464</v>
      </c>
    </row>
    <row r="4809">
      <c r="A4809" s="76">
        <v>45785.0</v>
      </c>
      <c r="B4809" s="1" t="s">
        <v>370</v>
      </c>
      <c r="C4809" s="1" t="s">
        <v>64</v>
      </c>
      <c r="D4809" s="1">
        <v>1.0</v>
      </c>
      <c r="E4809" s="1">
        <v>21924.0</v>
      </c>
      <c r="F4809" s="10">
        <f t="shared" si="1"/>
        <v>1</v>
      </c>
      <c r="G4809" s="10">
        <f t="array" ref="G4809">index('Player ID'!C:C,match(E4809,'Player ID'!B:B,0))</f>
        <v>666661</v>
      </c>
    </row>
    <row r="4810">
      <c r="A4810" s="76">
        <v>45785.0</v>
      </c>
      <c r="B4810" s="1" t="s">
        <v>263</v>
      </c>
      <c r="C4810" s="1" t="s">
        <v>64</v>
      </c>
      <c r="D4810" s="1">
        <v>6.1</v>
      </c>
      <c r="E4810" s="1">
        <v>27782.0</v>
      </c>
      <c r="F4810" s="10">
        <f t="shared" si="1"/>
        <v>6.333333333</v>
      </c>
      <c r="G4810" s="10">
        <f t="array" ref="G4810">index('Player ID'!C:C,match(E4810,'Player ID'!B:B,0))</f>
        <v>694297</v>
      </c>
    </row>
    <row r="4811">
      <c r="A4811" s="76">
        <v>45785.0</v>
      </c>
      <c r="B4811" s="1" t="s">
        <v>206</v>
      </c>
      <c r="C4811" s="1" t="s">
        <v>33</v>
      </c>
      <c r="D4811" s="1">
        <v>3.0</v>
      </c>
      <c r="E4811" s="1">
        <v>30249.0</v>
      </c>
      <c r="F4811" s="10">
        <f t="shared" si="1"/>
        <v>3</v>
      </c>
      <c r="G4811" s="10">
        <f t="array" ref="G4811">index('Player ID'!C:C,match(E4811,'Player ID'!B:B,0))</f>
        <v>676263</v>
      </c>
    </row>
    <row r="4812">
      <c r="A4812" s="76">
        <v>45785.0</v>
      </c>
      <c r="B4812" s="1" t="s">
        <v>85</v>
      </c>
      <c r="C4812" s="1" t="s">
        <v>33</v>
      </c>
      <c r="D4812" s="1">
        <v>5.0</v>
      </c>
      <c r="E4812" s="1">
        <v>33825.0</v>
      </c>
      <c r="F4812" s="10">
        <f t="shared" si="1"/>
        <v>5</v>
      </c>
      <c r="G4812" s="10">
        <f t="array" ref="G4812">index('Player ID'!C:C,match(E4812,'Player ID'!B:B,0))</f>
        <v>808967</v>
      </c>
    </row>
    <row r="4813">
      <c r="A4813" s="76">
        <v>45786.0</v>
      </c>
      <c r="B4813" s="1" t="s">
        <v>245</v>
      </c>
      <c r="C4813" s="1" t="s">
        <v>56</v>
      </c>
      <c r="D4813" s="1">
        <v>7.0</v>
      </c>
      <c r="E4813" s="1">
        <v>9323.0</v>
      </c>
      <c r="F4813" s="10">
        <f t="shared" si="1"/>
        <v>7</v>
      </c>
      <c r="G4813" s="10">
        <f t="array" ref="G4813">index('Player ID'!C:C,match(E4813,'Player ID'!B:B,0))</f>
        <v>571578</v>
      </c>
    </row>
    <row r="4814">
      <c r="A4814" s="76">
        <v>45786.0</v>
      </c>
      <c r="B4814" s="1" t="s">
        <v>439</v>
      </c>
      <c r="C4814" s="1" t="s">
        <v>62</v>
      </c>
      <c r="D4814" s="1">
        <v>1.0</v>
      </c>
      <c r="E4814" s="1">
        <v>11384.0</v>
      </c>
      <c r="F4814" s="10">
        <f t="shared" si="1"/>
        <v>1</v>
      </c>
      <c r="G4814" s="10">
        <f t="array" ref="G4814">index('Player ID'!C:C,match(E4814,'Player ID'!B:B,0))</f>
        <v>592454</v>
      </c>
    </row>
    <row r="4815">
      <c r="A4815" s="76">
        <v>45786.0</v>
      </c>
      <c r="B4815" s="1" t="s">
        <v>87</v>
      </c>
      <c r="C4815" s="1" t="s">
        <v>56</v>
      </c>
      <c r="D4815" s="1">
        <v>1.0</v>
      </c>
      <c r="E4815" s="1">
        <v>19274.0</v>
      </c>
      <c r="F4815" s="10">
        <f t="shared" si="1"/>
        <v>1</v>
      </c>
      <c r="G4815" s="10">
        <f t="array" ref="G4815">index('Player ID'!C:C,match(E4815,'Player ID'!B:B,0))</f>
        <v>657097</v>
      </c>
    </row>
    <row r="4816">
      <c r="A4816" s="76">
        <v>45786.0</v>
      </c>
      <c r="B4816" s="1" t="s">
        <v>131</v>
      </c>
      <c r="C4816" s="1" t="s">
        <v>62</v>
      </c>
      <c r="D4816" s="1">
        <v>1.0</v>
      </c>
      <c r="E4816" s="1">
        <v>19769.0</v>
      </c>
      <c r="F4816" s="10">
        <f t="shared" si="1"/>
        <v>1</v>
      </c>
      <c r="G4816" s="10">
        <f t="array" ref="G4816">index('Player ID'!C:C,match(E4816,'Player ID'!B:B,0))</f>
        <v>676684</v>
      </c>
    </row>
    <row r="4817">
      <c r="A4817" s="76">
        <v>45786.0</v>
      </c>
      <c r="B4817" s="1" t="s">
        <v>84</v>
      </c>
      <c r="C4817" s="1" t="s">
        <v>62</v>
      </c>
      <c r="D4817" s="1">
        <v>7.0</v>
      </c>
      <c r="E4817" s="1">
        <v>22267.0</v>
      </c>
      <c r="F4817" s="10">
        <f t="shared" si="1"/>
        <v>7</v>
      </c>
      <c r="G4817" s="10">
        <f t="array" ref="G4817">index('Player ID'!C:C,match(E4817,'Player ID'!B:B,0))</f>
        <v>669373</v>
      </c>
    </row>
    <row r="4818">
      <c r="A4818" s="76">
        <v>45786.0</v>
      </c>
      <c r="B4818" s="1" t="s">
        <v>319</v>
      </c>
      <c r="C4818" s="1" t="s">
        <v>46</v>
      </c>
      <c r="D4818" s="1">
        <v>1.0</v>
      </c>
      <c r="E4818" s="1">
        <v>16258.0</v>
      </c>
      <c r="F4818" s="10">
        <f t="shared" si="1"/>
        <v>1</v>
      </c>
      <c r="G4818" s="10">
        <f t="array" ref="G4818">index('Player ID'!C:C,match(E4818,'Player ID'!B:B,0))</f>
        <v>607481</v>
      </c>
    </row>
    <row r="4819">
      <c r="A4819" s="76">
        <v>45786.0</v>
      </c>
      <c r="B4819" s="1" t="s">
        <v>217</v>
      </c>
      <c r="C4819" s="1" t="s">
        <v>60</v>
      </c>
      <c r="D4819" s="1">
        <v>1.0</v>
      </c>
      <c r="E4819" s="1">
        <v>17878.0</v>
      </c>
      <c r="F4819" s="10">
        <f t="shared" si="1"/>
        <v>1</v>
      </c>
      <c r="G4819" s="10">
        <f t="array" ref="G4819">index('Player ID'!C:C,match(E4819,'Player ID'!B:B,0))</f>
        <v>642701</v>
      </c>
    </row>
    <row r="4820">
      <c r="A4820" s="76">
        <v>45786.0</v>
      </c>
      <c r="B4820" s="1" t="s">
        <v>346</v>
      </c>
      <c r="C4820" s="1" t="s">
        <v>46</v>
      </c>
      <c r="D4820" s="1">
        <v>1.0</v>
      </c>
      <c r="E4820" s="1">
        <v>18403.0</v>
      </c>
      <c r="F4820" s="10">
        <f t="shared" si="1"/>
        <v>1</v>
      </c>
      <c r="G4820" s="10">
        <f t="array" ref="G4820">index('Player ID'!C:C,match(E4820,'Player ID'!B:B,0))</f>
        <v>660853</v>
      </c>
    </row>
    <row r="4821">
      <c r="A4821" s="76">
        <v>45786.0</v>
      </c>
      <c r="B4821" s="1" t="s">
        <v>107</v>
      </c>
      <c r="C4821" s="1" t="s">
        <v>60</v>
      </c>
      <c r="D4821" s="1">
        <v>0.1</v>
      </c>
      <c r="E4821" s="1">
        <v>19349.0</v>
      </c>
      <c r="F4821" s="10">
        <f t="shared" si="1"/>
        <v>0.3333333333</v>
      </c>
      <c r="G4821" s="10">
        <f t="array" ref="G4821">index('Player ID'!C:C,match(E4821,'Player ID'!B:B,0))</f>
        <v>657571</v>
      </c>
    </row>
    <row r="4822">
      <c r="A4822" s="76">
        <v>45786.0</v>
      </c>
      <c r="B4822" s="1" t="s">
        <v>183</v>
      </c>
      <c r="C4822" s="1" t="s">
        <v>60</v>
      </c>
      <c r="D4822" s="1">
        <v>1.0</v>
      </c>
      <c r="E4822" s="1">
        <v>19569.0</v>
      </c>
      <c r="F4822" s="10">
        <f t="shared" si="1"/>
        <v>1</v>
      </c>
      <c r="G4822" s="10">
        <f t="array" ref="G4822">index('Player ID'!C:C,match(E4822,'Player ID'!B:B,0))</f>
        <v>670280</v>
      </c>
    </row>
    <row r="4823">
      <c r="A4823" s="76">
        <v>45786.0</v>
      </c>
      <c r="B4823" s="1" t="s">
        <v>220</v>
      </c>
      <c r="C4823" s="1" t="s">
        <v>60</v>
      </c>
      <c r="D4823" s="1">
        <v>6.0</v>
      </c>
      <c r="E4823" s="1">
        <v>20070.0</v>
      </c>
      <c r="F4823" s="10">
        <f t="shared" si="1"/>
        <v>6</v>
      </c>
      <c r="G4823" s="10">
        <f t="array" ref="G4823">index('Player ID'!C:C,match(E4823,'Player ID'!B:B,0))</f>
        <v>663559</v>
      </c>
    </row>
    <row r="4824">
      <c r="A4824" s="76">
        <v>45786.0</v>
      </c>
      <c r="B4824" s="1" t="s">
        <v>463</v>
      </c>
      <c r="C4824" s="1" t="s">
        <v>60</v>
      </c>
      <c r="D4824" s="1">
        <v>0.2</v>
      </c>
      <c r="E4824" s="1">
        <v>21544.0</v>
      </c>
      <c r="F4824" s="10">
        <f t="shared" si="1"/>
        <v>0.6666666667</v>
      </c>
      <c r="G4824" s="10">
        <f t="array" ref="G4824">index('Player ID'!C:C,match(E4824,'Player ID'!B:B,0))</f>
        <v>663767</v>
      </c>
    </row>
    <row r="4825">
      <c r="A4825" s="76">
        <v>45786.0</v>
      </c>
      <c r="B4825" s="1" t="s">
        <v>275</v>
      </c>
      <c r="C4825" s="1" t="s">
        <v>46</v>
      </c>
      <c r="D4825" s="1">
        <v>6.0</v>
      </c>
      <c r="E4825" s="1">
        <v>27779.0</v>
      </c>
      <c r="F4825" s="10">
        <f t="shared" si="1"/>
        <v>6</v>
      </c>
      <c r="G4825" s="10">
        <f t="array" ref="G4825">index('Player ID'!C:C,match(E4825,'Player ID'!B:B,0))</f>
        <v>693821</v>
      </c>
    </row>
    <row r="4826">
      <c r="A4826" s="76">
        <v>45786.0</v>
      </c>
      <c r="B4826" s="1" t="s">
        <v>506</v>
      </c>
      <c r="C4826" s="1" t="s">
        <v>80</v>
      </c>
      <c r="D4826" s="1">
        <v>1.1</v>
      </c>
      <c r="E4826" s="1">
        <v>12988.0</v>
      </c>
      <c r="F4826" s="10">
        <f t="shared" si="1"/>
        <v>1.333333333</v>
      </c>
      <c r="G4826" s="10">
        <f t="array" ref="G4826">index('Player ID'!C:C,match(E4826,'Player ID'!B:B,0))</f>
        <v>605177</v>
      </c>
    </row>
    <row r="4827">
      <c r="A4827" s="76">
        <v>45786.0</v>
      </c>
      <c r="B4827" s="1" t="s">
        <v>642</v>
      </c>
      <c r="C4827" s="1" t="s">
        <v>80</v>
      </c>
      <c r="D4827" s="1">
        <v>0.2</v>
      </c>
      <c r="E4827" s="1">
        <v>13470.0</v>
      </c>
      <c r="F4827" s="10">
        <f t="shared" si="1"/>
        <v>0.6666666667</v>
      </c>
      <c r="G4827" s="10">
        <f t="array" ref="G4827">index('Player ID'!C:C,match(E4827,'Player ID'!B:B,0))</f>
        <v>608371</v>
      </c>
    </row>
    <row r="4828">
      <c r="A4828" s="76">
        <v>45786.0</v>
      </c>
      <c r="B4828" s="1" t="s">
        <v>321</v>
      </c>
      <c r="C4828" s="1" t="s">
        <v>72</v>
      </c>
      <c r="D4828" s="1">
        <v>9.0</v>
      </c>
      <c r="E4828" s="1">
        <v>17425.0</v>
      </c>
      <c r="F4828" s="10">
        <f t="shared" si="1"/>
        <v>9</v>
      </c>
      <c r="G4828" s="10">
        <f t="array" ref="G4828">index('Player ID'!C:C,match(E4828,'Player ID'!B:B,0))</f>
        <v>607200</v>
      </c>
    </row>
    <row r="4829">
      <c r="A4829" s="76">
        <v>45786.0</v>
      </c>
      <c r="B4829" s="1" t="s">
        <v>511</v>
      </c>
      <c r="C4829" s="1" t="s">
        <v>80</v>
      </c>
      <c r="D4829" s="1">
        <v>3.0</v>
      </c>
      <c r="E4829" s="1">
        <v>26215.0</v>
      </c>
      <c r="F4829" s="10">
        <f t="shared" si="1"/>
        <v>3</v>
      </c>
      <c r="G4829" s="10">
        <f t="array" ref="G4829">index('Player ID'!C:C,match(E4829,'Player ID'!B:B,0))</f>
        <v>671131</v>
      </c>
    </row>
    <row r="4830">
      <c r="A4830" s="76">
        <v>45786.0</v>
      </c>
      <c r="B4830" s="1" t="s">
        <v>330</v>
      </c>
      <c r="C4830" s="1" t="s">
        <v>80</v>
      </c>
      <c r="D4830" s="1">
        <v>4.0</v>
      </c>
      <c r="E4830" s="1">
        <v>27636.0</v>
      </c>
      <c r="F4830" s="10">
        <f t="shared" si="1"/>
        <v>4</v>
      </c>
      <c r="G4830" s="10">
        <f t="array" ref="G4830">index('Player ID'!C:C,match(E4830,'Player ID'!B:B,0))</f>
        <v>680730</v>
      </c>
    </row>
    <row r="4831">
      <c r="A4831" s="76">
        <v>45786.0</v>
      </c>
      <c r="B4831" s="1" t="s">
        <v>476</v>
      </c>
      <c r="C4831" s="1" t="s">
        <v>14</v>
      </c>
      <c r="D4831" s="1">
        <v>5.1</v>
      </c>
      <c r="E4831" s="1">
        <v>11423.0</v>
      </c>
      <c r="F4831" s="10">
        <f t="shared" si="1"/>
        <v>5.333333333</v>
      </c>
      <c r="G4831" s="10">
        <f t="array" ref="G4831">index('Player ID'!C:C,match(E4831,'Player ID'!B:B,0))</f>
        <v>500779</v>
      </c>
    </row>
    <row r="4832">
      <c r="A4832" s="76">
        <v>45786.0</v>
      </c>
      <c r="B4832" s="1" t="s">
        <v>634</v>
      </c>
      <c r="C4832" s="1" t="s">
        <v>14</v>
      </c>
      <c r="D4832" s="1">
        <v>0.1</v>
      </c>
      <c r="E4832" s="1">
        <v>14332.0</v>
      </c>
      <c r="F4832" s="10">
        <f t="shared" si="1"/>
        <v>0.3333333333</v>
      </c>
      <c r="G4832" s="10">
        <f t="array" ref="G4832">index('Player ID'!C:C,match(E4832,'Player ID'!B:B,0))</f>
        <v>606303</v>
      </c>
    </row>
    <row r="4833">
      <c r="A4833" s="76">
        <v>45786.0</v>
      </c>
      <c r="B4833" s="1" t="s">
        <v>784</v>
      </c>
      <c r="C4833" s="1" t="s">
        <v>54</v>
      </c>
      <c r="D4833" s="1">
        <v>1.0</v>
      </c>
      <c r="E4833" s="1">
        <v>15256.0</v>
      </c>
      <c r="F4833" s="10">
        <f t="shared" si="1"/>
        <v>1</v>
      </c>
      <c r="G4833" s="10">
        <f t="array" ref="G4833">index('Player ID'!C:C,match(E4833,'Player ID'!B:B,0))</f>
        <v>642121</v>
      </c>
    </row>
    <row r="4834">
      <c r="A4834" s="76">
        <v>45786.0</v>
      </c>
      <c r="B4834" s="1" t="s">
        <v>177</v>
      </c>
      <c r="C4834" s="1" t="s">
        <v>54</v>
      </c>
      <c r="D4834" s="1">
        <v>6.0</v>
      </c>
      <c r="E4834" s="1">
        <v>15823.0</v>
      </c>
      <c r="F4834" s="10">
        <f t="shared" si="1"/>
        <v>6</v>
      </c>
      <c r="G4834" s="10">
        <f t="array" ref="G4834">index('Player ID'!C:C,match(E4834,'Player ID'!B:B,0))</f>
        <v>641793</v>
      </c>
    </row>
    <row r="4835">
      <c r="A4835" s="76">
        <v>45786.0</v>
      </c>
      <c r="B4835" s="1" t="s">
        <v>318</v>
      </c>
      <c r="C4835" s="1" t="s">
        <v>14</v>
      </c>
      <c r="D4835" s="1">
        <v>1.0</v>
      </c>
      <c r="E4835" s="1">
        <v>20546.0</v>
      </c>
      <c r="F4835" s="10">
        <f t="shared" si="1"/>
        <v>1</v>
      </c>
      <c r="G4835" s="10">
        <f t="array" ref="G4835">index('Player ID'!C:C,match(E4835,'Player ID'!B:B,0))</f>
        <v>681982</v>
      </c>
    </row>
    <row r="4836">
      <c r="A4836" s="76">
        <v>45786.0</v>
      </c>
      <c r="B4836" s="1" t="s">
        <v>112</v>
      </c>
      <c r="C4836" s="1" t="s">
        <v>14</v>
      </c>
      <c r="D4836" s="1">
        <v>0.2</v>
      </c>
      <c r="E4836" s="1">
        <v>25376.0</v>
      </c>
      <c r="F4836" s="10">
        <f t="shared" si="1"/>
        <v>0.6666666667</v>
      </c>
      <c r="G4836" s="10">
        <f t="array" ref="G4836">index('Player ID'!C:C,match(E4836,'Player ID'!B:B,0))</f>
        <v>683232</v>
      </c>
    </row>
    <row r="4837">
      <c r="A4837" s="76">
        <v>45786.0</v>
      </c>
      <c r="B4837" s="1" t="s">
        <v>418</v>
      </c>
      <c r="C4837" s="1" t="s">
        <v>14</v>
      </c>
      <c r="D4837" s="1">
        <v>0.2</v>
      </c>
      <c r="E4837" s="1">
        <v>27517.0</v>
      </c>
      <c r="F4837" s="10">
        <f t="shared" si="1"/>
        <v>0.6666666667</v>
      </c>
      <c r="G4837" s="10">
        <f t="array" ref="G4837">index('Player ID'!C:C,match(E4837,'Player ID'!B:B,0))</f>
        <v>657649</v>
      </c>
    </row>
    <row r="4838">
      <c r="A4838" s="76">
        <v>45786.0</v>
      </c>
      <c r="B4838" s="1" t="s">
        <v>257</v>
      </c>
      <c r="C4838" s="1" t="s">
        <v>54</v>
      </c>
      <c r="D4838" s="1">
        <v>1.0</v>
      </c>
      <c r="E4838" s="1">
        <v>27626.0</v>
      </c>
      <c r="F4838" s="10">
        <f t="shared" si="1"/>
        <v>1</v>
      </c>
      <c r="G4838" s="10">
        <f t="array" ref="G4838">index('Player ID'!C:C,match(E4838,'Player ID'!B:B,0))</f>
        <v>679358</v>
      </c>
    </row>
    <row r="4839">
      <c r="A4839" s="76">
        <v>45786.0</v>
      </c>
      <c r="B4839" s="1" t="s">
        <v>334</v>
      </c>
      <c r="C4839" s="1" t="s">
        <v>54</v>
      </c>
      <c r="D4839" s="1">
        <v>1.0</v>
      </c>
      <c r="E4839" s="1">
        <v>29770.0</v>
      </c>
      <c r="F4839" s="10">
        <f t="shared" si="1"/>
        <v>1</v>
      </c>
      <c r="G4839" s="10">
        <f t="array" ref="G4839">index('Player ID'!C:C,match(E4839,'Player ID'!B:B,0))</f>
        <v>682254</v>
      </c>
    </row>
    <row r="4840">
      <c r="A4840" s="76">
        <v>45786.0</v>
      </c>
      <c r="B4840" s="1" t="s">
        <v>460</v>
      </c>
      <c r="C4840" s="1" t="s">
        <v>34</v>
      </c>
      <c r="D4840" s="1">
        <v>1.0</v>
      </c>
      <c r="E4840" s="1">
        <v>7005.0</v>
      </c>
      <c r="F4840" s="10">
        <f t="shared" si="1"/>
        <v>1</v>
      </c>
      <c r="G4840" s="10">
        <f t="array" ref="G4840">index('Player ID'!C:C,match(E4840,'Player ID'!B:B,0))</f>
        <v>519151</v>
      </c>
    </row>
    <row r="4841">
      <c r="A4841" s="76">
        <v>45786.0</v>
      </c>
      <c r="B4841" s="1" t="s">
        <v>99</v>
      </c>
      <c r="C4841" s="1" t="s">
        <v>34</v>
      </c>
      <c r="D4841" s="1">
        <v>4.0</v>
      </c>
      <c r="E4841" s="1">
        <v>11674.0</v>
      </c>
      <c r="F4841" s="10">
        <f t="shared" si="1"/>
        <v>4</v>
      </c>
      <c r="G4841" s="10">
        <f t="array" ref="G4841">index('Player ID'!C:C,match(E4841,'Player ID'!B:B,0))</f>
        <v>592791</v>
      </c>
    </row>
    <row r="4842">
      <c r="A4842" s="76">
        <v>45786.0</v>
      </c>
      <c r="B4842" s="1" t="s">
        <v>269</v>
      </c>
      <c r="C4842" s="1" t="s">
        <v>51</v>
      </c>
      <c r="D4842" s="1">
        <v>6.0</v>
      </c>
      <c r="E4842" s="1">
        <v>13649.0</v>
      </c>
      <c r="F4842" s="10">
        <f t="shared" si="1"/>
        <v>6</v>
      </c>
      <c r="G4842" s="10">
        <f t="array" ref="G4842">index('Player ID'!C:C,match(E4842,'Player ID'!B:B,0))</f>
        <v>605280</v>
      </c>
    </row>
    <row r="4843">
      <c r="A4843" s="76">
        <v>45786.0</v>
      </c>
      <c r="B4843" s="1" t="s">
        <v>292</v>
      </c>
      <c r="C4843" s="1" t="s">
        <v>51</v>
      </c>
      <c r="D4843" s="1">
        <v>1.0</v>
      </c>
      <c r="E4843" s="1">
        <v>15947.0</v>
      </c>
      <c r="F4843" s="10">
        <f t="shared" si="1"/>
        <v>1</v>
      </c>
      <c r="G4843" s="10">
        <f t="array" ref="G4843">index('Player ID'!C:C,match(E4843,'Player ID'!B:B,0))</f>
        <v>592773</v>
      </c>
    </row>
    <row r="4844">
      <c r="A4844" s="76">
        <v>45786.0</v>
      </c>
      <c r="B4844" s="1" t="s">
        <v>295</v>
      </c>
      <c r="C4844" s="1" t="s">
        <v>51</v>
      </c>
      <c r="D4844" s="1">
        <v>0.1</v>
      </c>
      <c r="E4844" s="1">
        <v>16866.0</v>
      </c>
      <c r="F4844" s="10">
        <f t="shared" si="1"/>
        <v>0.3333333333</v>
      </c>
      <c r="G4844" s="10">
        <f t="array" ref="G4844">index('Player ID'!C:C,match(E4844,'Player ID'!B:B,0))</f>
        <v>657585</v>
      </c>
    </row>
    <row r="4845">
      <c r="A4845" s="76">
        <v>45786.0</v>
      </c>
      <c r="B4845" s="1" t="s">
        <v>829</v>
      </c>
      <c r="C4845" s="1" t="s">
        <v>51</v>
      </c>
      <c r="D4845" s="1">
        <v>0.2</v>
      </c>
      <c r="E4845" s="1">
        <v>23055.0</v>
      </c>
      <c r="F4845" s="10">
        <f t="shared" si="1"/>
        <v>0.6666666667</v>
      </c>
      <c r="G4845" s="10">
        <f t="array" ref="G4845">index('Player ID'!C:C,match(E4845,'Player ID'!B:B,0))</f>
        <v>673380</v>
      </c>
    </row>
    <row r="4846">
      <c r="A4846" s="76">
        <v>45786.0</v>
      </c>
      <c r="B4846" s="1" t="s">
        <v>712</v>
      </c>
      <c r="C4846" s="1" t="s">
        <v>51</v>
      </c>
      <c r="D4846" s="1">
        <v>1.0</v>
      </c>
      <c r="E4846" s="1">
        <v>23313.0</v>
      </c>
      <c r="F4846" s="10">
        <f t="shared" si="1"/>
        <v>1</v>
      </c>
      <c r="G4846" s="10">
        <f t="array" ref="G4846">index('Player ID'!C:C,match(E4846,'Player ID'!B:B,0))</f>
        <v>676130</v>
      </c>
    </row>
    <row r="4847">
      <c r="A4847" s="76">
        <v>45786.0</v>
      </c>
      <c r="B4847" s="1" t="s">
        <v>729</v>
      </c>
      <c r="C4847" s="1" t="s">
        <v>34</v>
      </c>
      <c r="D4847" s="1">
        <v>2.0</v>
      </c>
      <c r="E4847" s="1">
        <v>23443.0</v>
      </c>
      <c r="F4847" s="10">
        <f t="shared" si="1"/>
        <v>2</v>
      </c>
      <c r="G4847" s="10">
        <f t="array" ref="G4847">index('Player ID'!C:C,match(E4847,'Player ID'!B:B,0))</f>
        <v>676680</v>
      </c>
    </row>
    <row r="4848">
      <c r="A4848" s="76">
        <v>45786.0</v>
      </c>
      <c r="B4848" s="1" t="s">
        <v>787</v>
      </c>
      <c r="C4848" s="1" t="s">
        <v>34</v>
      </c>
      <c r="D4848" s="1">
        <v>1.0</v>
      </c>
      <c r="E4848" s="1">
        <v>25427.0</v>
      </c>
      <c r="F4848" s="10">
        <f t="shared" si="1"/>
        <v>1</v>
      </c>
      <c r="G4848" s="10">
        <f t="array" ref="G4848">index('Player ID'!C:C,match(E4848,'Player ID'!B:B,0))</f>
        <v>668970</v>
      </c>
    </row>
    <row r="4849">
      <c r="A4849" s="76">
        <v>45786.0</v>
      </c>
      <c r="B4849" s="1" t="s">
        <v>360</v>
      </c>
      <c r="C4849" s="1" t="s">
        <v>45</v>
      </c>
      <c r="D4849" s="1">
        <v>1.0</v>
      </c>
      <c r="E4849" s="1">
        <v>12972.0</v>
      </c>
      <c r="F4849" s="10">
        <f t="shared" si="1"/>
        <v>1</v>
      </c>
      <c r="G4849" s="10">
        <f t="array" ref="G4849">index('Player ID'!C:C,match(E4849,'Player ID'!B:B,0))</f>
        <v>605452</v>
      </c>
    </row>
    <row r="4850">
      <c r="A4850" s="76">
        <v>45786.0</v>
      </c>
      <c r="B4850" s="1" t="s">
        <v>98</v>
      </c>
      <c r="C4850" s="1" t="s">
        <v>45</v>
      </c>
      <c r="D4850" s="1">
        <v>5.0</v>
      </c>
      <c r="E4850" s="1">
        <v>16149.0</v>
      </c>
      <c r="F4850" s="10">
        <f t="shared" si="1"/>
        <v>5</v>
      </c>
      <c r="G4850" s="10">
        <f t="array" ref="G4850">index('Player ID'!C:C,match(E4850,'Player ID'!B:B,0))</f>
        <v>605400</v>
      </c>
    </row>
    <row r="4851">
      <c r="A4851" s="76">
        <v>45786.0</v>
      </c>
      <c r="B4851" s="1" t="s">
        <v>138</v>
      </c>
      <c r="C4851" s="1" t="s">
        <v>45</v>
      </c>
      <c r="D4851" s="1">
        <v>1.0</v>
      </c>
      <c r="E4851" s="1">
        <v>16990.0</v>
      </c>
      <c r="F4851" s="10">
        <f t="shared" si="1"/>
        <v>1</v>
      </c>
      <c r="G4851" s="10">
        <f t="array" ref="G4851">index('Player ID'!C:C,match(E4851,'Player ID'!B:B,0))</f>
        <v>621383</v>
      </c>
    </row>
    <row r="4852">
      <c r="A4852" s="76">
        <v>45786.0</v>
      </c>
      <c r="B4852" s="1" t="s">
        <v>141</v>
      </c>
      <c r="C4852" s="1" t="s">
        <v>70</v>
      </c>
      <c r="D4852" s="1">
        <v>2.0</v>
      </c>
      <c r="E4852" s="1">
        <v>19330.0</v>
      </c>
      <c r="F4852" s="10">
        <f t="shared" si="1"/>
        <v>2</v>
      </c>
      <c r="G4852" s="10">
        <f t="array" ref="G4852">index('Player ID'!C:C,match(E4852,'Player ID'!B:B,0))</f>
        <v>670036</v>
      </c>
    </row>
    <row r="4853">
      <c r="A4853" s="76">
        <v>45786.0</v>
      </c>
      <c r="B4853" s="1" t="s">
        <v>519</v>
      </c>
      <c r="C4853" s="1" t="s">
        <v>70</v>
      </c>
      <c r="D4853" s="1">
        <v>1.0</v>
      </c>
      <c r="E4853" s="1">
        <v>25139.0</v>
      </c>
      <c r="F4853" s="10">
        <f t="shared" si="1"/>
        <v>1</v>
      </c>
      <c r="G4853" s="10">
        <f t="array" ref="G4853">index('Player ID'!C:C,match(E4853,'Player ID'!B:B,0))</f>
        <v>682120</v>
      </c>
    </row>
    <row r="4854">
      <c r="A4854" s="76">
        <v>45786.0</v>
      </c>
      <c r="B4854" s="1" t="s">
        <v>238</v>
      </c>
      <c r="C4854" s="1" t="s">
        <v>70</v>
      </c>
      <c r="D4854" s="1">
        <v>1.0</v>
      </c>
      <c r="E4854" s="1">
        <v>25636.0</v>
      </c>
      <c r="F4854" s="10">
        <f t="shared" si="1"/>
        <v>1</v>
      </c>
      <c r="G4854" s="10">
        <f t="array" ref="G4854">index('Player ID'!C:C,match(E4854,'Player ID'!B:B,0))</f>
        <v>683769</v>
      </c>
    </row>
    <row r="4855">
      <c r="A4855" s="76">
        <v>45786.0</v>
      </c>
      <c r="B4855" s="1" t="s">
        <v>376</v>
      </c>
      <c r="C4855" s="1" t="s">
        <v>70</v>
      </c>
      <c r="D4855" s="1">
        <v>5.0</v>
      </c>
      <c r="E4855" s="1">
        <v>30122.0</v>
      </c>
      <c r="F4855" s="10">
        <f t="shared" si="1"/>
        <v>5</v>
      </c>
      <c r="G4855" s="10">
        <f t="array" ref="G4855">index('Player ID'!C:C,match(E4855,'Player ID'!B:B,0))</f>
        <v>668909</v>
      </c>
    </row>
    <row r="4856">
      <c r="A4856" s="76">
        <v>45786.0</v>
      </c>
      <c r="B4856" s="1" t="s">
        <v>165</v>
      </c>
      <c r="C4856" s="1" t="s">
        <v>45</v>
      </c>
      <c r="D4856" s="1">
        <v>1.0</v>
      </c>
      <c r="E4856" s="1">
        <v>31776.0</v>
      </c>
      <c r="F4856" s="10">
        <f t="shared" si="1"/>
        <v>1</v>
      </c>
      <c r="G4856" s="10">
        <f t="array" ref="G4856">index('Player ID'!C:C,match(E4856,'Player ID'!B:B,0))</f>
        <v>689147</v>
      </c>
    </row>
    <row r="4857">
      <c r="A4857" s="76">
        <v>45786.0</v>
      </c>
      <c r="B4857" s="1" t="s">
        <v>230</v>
      </c>
      <c r="C4857" s="1" t="s">
        <v>22</v>
      </c>
      <c r="D4857" s="1">
        <v>0.2</v>
      </c>
      <c r="E4857" s="1">
        <v>4301.0</v>
      </c>
      <c r="F4857" s="10">
        <f t="shared" si="1"/>
        <v>0.6666666667</v>
      </c>
      <c r="G4857" s="10">
        <f t="array" ref="G4857">index('Player ID'!C:C,match(E4857,'Player ID'!B:B,0))</f>
        <v>458677</v>
      </c>
    </row>
    <row r="4858">
      <c r="A4858" s="76">
        <v>45786.0</v>
      </c>
      <c r="B4858" s="1" t="s">
        <v>41</v>
      </c>
      <c r="C4858" s="1" t="s">
        <v>22</v>
      </c>
      <c r="D4858" s="1">
        <v>1.0</v>
      </c>
      <c r="E4858" s="1">
        <v>10233.0</v>
      </c>
      <c r="F4858" s="10">
        <f t="shared" si="1"/>
        <v>1</v>
      </c>
      <c r="G4858" s="10">
        <f t="array" ref="G4858">index('Player ID'!C:C,match(E4858,'Player ID'!B:B,0))</f>
        <v>547973</v>
      </c>
    </row>
    <row r="4859">
      <c r="A4859" s="76">
        <v>45786.0</v>
      </c>
      <c r="B4859" s="1" t="s">
        <v>649</v>
      </c>
      <c r="C4859" s="1" t="s">
        <v>29</v>
      </c>
      <c r="D4859" s="1">
        <v>1.0</v>
      </c>
      <c r="E4859" s="1">
        <v>14542.0</v>
      </c>
      <c r="F4859" s="10">
        <f t="shared" si="1"/>
        <v>1</v>
      </c>
      <c r="G4859" s="10">
        <f t="array" ref="G4859">index('Player ID'!C:C,match(E4859,'Player ID'!B:B,0))</f>
        <v>608032</v>
      </c>
    </row>
    <row r="4860">
      <c r="A4860" s="76">
        <v>45786.0</v>
      </c>
      <c r="B4860" s="1" t="s">
        <v>420</v>
      </c>
      <c r="C4860" s="1" t="s">
        <v>29</v>
      </c>
      <c r="D4860" s="1">
        <v>7.0</v>
      </c>
      <c r="E4860" s="1">
        <v>14843.0</v>
      </c>
      <c r="F4860" s="10">
        <f t="shared" si="1"/>
        <v>7</v>
      </c>
      <c r="G4860" s="10">
        <f t="array" ref="G4860">index('Player ID'!C:C,match(E4860,'Player ID'!B:B,0))</f>
        <v>547179</v>
      </c>
    </row>
    <row r="4861">
      <c r="A4861" s="76">
        <v>45786.0</v>
      </c>
      <c r="B4861" s="1" t="s">
        <v>493</v>
      </c>
      <c r="C4861" s="1" t="s">
        <v>22</v>
      </c>
      <c r="D4861" s="1">
        <v>0.1</v>
      </c>
      <c r="E4861" s="1">
        <v>16835.0</v>
      </c>
      <c r="F4861" s="10">
        <f t="shared" si="1"/>
        <v>0.3333333333</v>
      </c>
      <c r="G4861" s="10">
        <f t="array" ref="G4861">index('Player ID'!C:C,match(E4861,'Player ID'!B:B,0))</f>
        <v>657514</v>
      </c>
    </row>
    <row r="4862">
      <c r="A4862" s="76">
        <v>45786.0</v>
      </c>
      <c r="B4862" s="1" t="s">
        <v>415</v>
      </c>
      <c r="C4862" s="1" t="s">
        <v>22</v>
      </c>
      <c r="D4862" s="1">
        <v>0.1</v>
      </c>
      <c r="E4862" s="1">
        <v>16943.0</v>
      </c>
      <c r="F4862" s="10">
        <f t="shared" si="1"/>
        <v>0.3333333333</v>
      </c>
      <c r="G4862" s="10">
        <f t="array" ref="G4862">index('Player ID'!C:C,match(E4862,'Player ID'!B:B,0))</f>
        <v>656794</v>
      </c>
    </row>
    <row r="4863">
      <c r="A4863" s="76">
        <v>45786.0</v>
      </c>
      <c r="B4863" s="1" t="s">
        <v>407</v>
      </c>
      <c r="C4863" s="1" t="s">
        <v>29</v>
      </c>
      <c r="D4863" s="1">
        <v>1.1</v>
      </c>
      <c r="E4863" s="1">
        <v>19360.0</v>
      </c>
      <c r="F4863" s="10">
        <f t="shared" si="1"/>
        <v>1.333333333</v>
      </c>
      <c r="G4863" s="10">
        <f t="array" ref="G4863">index('Player ID'!C:C,match(E4863,'Player ID'!B:B,0))</f>
        <v>668674</v>
      </c>
    </row>
    <row r="4864">
      <c r="A4864" s="76">
        <v>45786.0</v>
      </c>
      <c r="B4864" s="1" t="s">
        <v>144</v>
      </c>
      <c r="C4864" s="1" t="s">
        <v>29</v>
      </c>
      <c r="D4864" s="1">
        <v>0.2</v>
      </c>
      <c r="E4864" s="1">
        <v>20020.0</v>
      </c>
      <c r="F4864" s="10">
        <f t="shared" si="1"/>
        <v>0.6666666667</v>
      </c>
      <c r="G4864" s="10">
        <f t="array" ref="G4864">index('Player ID'!C:C,match(E4864,'Player ID'!B:B,0))</f>
        <v>670167</v>
      </c>
    </row>
    <row r="4865">
      <c r="A4865" s="76">
        <v>45786.0</v>
      </c>
      <c r="B4865" s="1" t="s">
        <v>250</v>
      </c>
      <c r="C4865" s="1" t="s">
        <v>22</v>
      </c>
      <c r="D4865" s="1">
        <v>0.2</v>
      </c>
      <c r="E4865" s="1">
        <v>20191.0</v>
      </c>
      <c r="F4865" s="10">
        <f t="shared" si="1"/>
        <v>0.6666666667</v>
      </c>
      <c r="G4865" s="10">
        <f t="array" ref="G4865">index('Player ID'!C:C,match(E4865,'Player ID'!B:B,0))</f>
        <v>676477</v>
      </c>
    </row>
    <row r="4866">
      <c r="A4866" s="76">
        <v>45786.0</v>
      </c>
      <c r="B4866" s="1" t="s">
        <v>406</v>
      </c>
      <c r="C4866" s="1" t="s">
        <v>22</v>
      </c>
      <c r="D4866" s="1">
        <v>1.0</v>
      </c>
      <c r="E4866" s="1">
        <v>20375.0</v>
      </c>
      <c r="F4866" s="10">
        <f t="shared" si="1"/>
        <v>1</v>
      </c>
      <c r="G4866" s="10">
        <f t="array" ref="G4866">index('Player ID'!C:C,match(E4866,'Player ID'!B:B,0))</f>
        <v>669711</v>
      </c>
    </row>
    <row r="4867">
      <c r="A4867" s="76">
        <v>45786.0</v>
      </c>
      <c r="B4867" s="1" t="s">
        <v>293</v>
      </c>
      <c r="C4867" s="1" t="s">
        <v>29</v>
      </c>
      <c r="D4867" s="1">
        <v>1.1</v>
      </c>
      <c r="E4867" s="1">
        <v>21537.0</v>
      </c>
      <c r="F4867" s="10">
        <f t="shared" si="1"/>
        <v>1.333333333</v>
      </c>
      <c r="G4867" s="10">
        <f t="array" ref="G4867">index('Player ID'!C:C,match(E4867,'Player ID'!B:B,0))</f>
        <v>663738</v>
      </c>
    </row>
    <row r="4868">
      <c r="A4868" s="76">
        <v>45786.0</v>
      </c>
      <c r="B4868" s="1" t="s">
        <v>214</v>
      </c>
      <c r="C4868" s="1" t="s">
        <v>29</v>
      </c>
      <c r="D4868" s="1">
        <v>0.2</v>
      </c>
      <c r="E4868" s="1">
        <v>23165.0</v>
      </c>
      <c r="F4868" s="10">
        <f t="shared" si="1"/>
        <v>0.6666666667</v>
      </c>
      <c r="G4868" s="10">
        <f t="array" ref="G4868">index('Player ID'!C:C,match(E4868,'Player ID'!B:B,0))</f>
        <v>674444</v>
      </c>
    </row>
    <row r="4869">
      <c r="A4869" s="76">
        <v>45786.0</v>
      </c>
      <c r="B4869" s="1" t="s">
        <v>645</v>
      </c>
      <c r="C4869" s="1" t="s">
        <v>22</v>
      </c>
      <c r="D4869" s="1">
        <v>1.1</v>
      </c>
      <c r="E4869" s="1">
        <v>25648.0</v>
      </c>
      <c r="F4869" s="10">
        <f t="shared" si="1"/>
        <v>1.333333333</v>
      </c>
      <c r="G4869" s="10">
        <f t="array" ref="G4869">index('Player ID'!C:C,match(E4869,'Player ID'!B:B,0))</f>
        <v>686580</v>
      </c>
    </row>
    <row r="4870">
      <c r="A4870" s="76">
        <v>45786.0</v>
      </c>
      <c r="B4870" s="1" t="s">
        <v>143</v>
      </c>
      <c r="C4870" s="1" t="s">
        <v>22</v>
      </c>
      <c r="D4870" s="1">
        <v>6.0</v>
      </c>
      <c r="E4870" s="1">
        <v>30240.0</v>
      </c>
      <c r="F4870" s="10">
        <f t="shared" si="1"/>
        <v>6</v>
      </c>
      <c r="G4870" s="10">
        <f t="array" ref="G4870">index('Player ID'!C:C,match(E4870,'Player ID'!B:B,0))</f>
        <v>690928</v>
      </c>
    </row>
    <row r="4871">
      <c r="A4871" s="76">
        <v>45786.0</v>
      </c>
      <c r="B4871" s="1" t="s">
        <v>252</v>
      </c>
      <c r="C4871" s="1" t="s">
        <v>78</v>
      </c>
      <c r="D4871" s="1">
        <v>0.2</v>
      </c>
      <c r="E4871" s="1">
        <v>16061.0</v>
      </c>
      <c r="F4871" s="10">
        <f t="shared" si="1"/>
        <v>0.6666666667</v>
      </c>
      <c r="G4871" s="10">
        <f t="array" ref="G4871">index('Player ID'!C:C,match(E4871,'Player ID'!B:B,0))</f>
        <v>592155</v>
      </c>
    </row>
    <row r="4872">
      <c r="A4872" s="76">
        <v>45786.0</v>
      </c>
      <c r="B4872" s="1" t="s">
        <v>387</v>
      </c>
      <c r="C4872" s="1" t="s">
        <v>78</v>
      </c>
      <c r="D4872" s="1">
        <v>5.0</v>
      </c>
      <c r="E4872" s="1">
        <v>19990.0</v>
      </c>
      <c r="F4872" s="10">
        <f t="shared" si="1"/>
        <v>5</v>
      </c>
      <c r="G4872" s="10">
        <f t="array" ref="G4872">index('Player ID'!C:C,match(E4872,'Player ID'!B:B,0))</f>
        <v>669060</v>
      </c>
    </row>
    <row r="4873">
      <c r="A4873" s="76">
        <v>45786.0</v>
      </c>
      <c r="B4873" s="1" t="s">
        <v>116</v>
      </c>
      <c r="C4873" s="1" t="s">
        <v>78</v>
      </c>
      <c r="D4873" s="1">
        <v>1.0</v>
      </c>
      <c r="E4873" s="1">
        <v>20353.0</v>
      </c>
      <c r="F4873" s="10">
        <f t="shared" si="1"/>
        <v>1</v>
      </c>
      <c r="G4873" s="10">
        <f t="array" ref="G4873">index('Player ID'!C:C,match(E4873,'Player ID'!B:B,0))</f>
        <v>621051</v>
      </c>
    </row>
    <row r="4874">
      <c r="A4874" s="76">
        <v>45786.0</v>
      </c>
      <c r="B4874" s="1" t="s">
        <v>123</v>
      </c>
      <c r="C4874" s="1" t="s">
        <v>36</v>
      </c>
      <c r="D4874" s="1">
        <v>0.2</v>
      </c>
      <c r="E4874" s="1">
        <v>24094.0</v>
      </c>
      <c r="F4874" s="10">
        <f t="shared" si="1"/>
        <v>0.6666666667</v>
      </c>
      <c r="G4874" s="10">
        <f t="array" ref="G4874">index('Player ID'!C:C,match(E4874,'Player ID'!B:B,0))</f>
        <v>678692</v>
      </c>
    </row>
    <row r="4875">
      <c r="A4875" s="76">
        <v>45786.0</v>
      </c>
      <c r="B4875" s="1" t="s">
        <v>806</v>
      </c>
      <c r="C4875" s="1" t="s">
        <v>78</v>
      </c>
      <c r="D4875" s="1">
        <v>0.1</v>
      </c>
      <c r="E4875" s="1">
        <v>26255.0</v>
      </c>
      <c r="F4875" s="10">
        <f t="shared" si="1"/>
        <v>0.3333333333</v>
      </c>
      <c r="G4875" s="10">
        <f t="array" ref="G4875">index('Player ID'!C:C,match(E4875,'Player ID'!B:B,0))</f>
        <v>673965</v>
      </c>
    </row>
    <row r="4876">
      <c r="A4876" s="76">
        <v>45786.0</v>
      </c>
      <c r="B4876" s="1" t="s">
        <v>121</v>
      </c>
      <c r="C4876" s="1" t="s">
        <v>36</v>
      </c>
      <c r="D4876" s="1">
        <v>6.1</v>
      </c>
      <c r="E4876" s="1">
        <v>27474.0</v>
      </c>
      <c r="F4876" s="10">
        <f t="shared" si="1"/>
        <v>6.333333333</v>
      </c>
      <c r="G4876" s="10">
        <f t="array" ref="G4876">index('Player ID'!C:C,match(E4876,'Player ID'!B:B,0))</f>
        <v>676974</v>
      </c>
    </row>
    <row r="4877">
      <c r="A4877" s="76">
        <v>45786.0</v>
      </c>
      <c r="B4877" s="1" t="s">
        <v>367</v>
      </c>
      <c r="C4877" s="1" t="s">
        <v>78</v>
      </c>
      <c r="D4877" s="1">
        <v>1.0</v>
      </c>
      <c r="E4877" s="1">
        <v>27668.0</v>
      </c>
      <c r="F4877" s="10">
        <f t="shared" si="1"/>
        <v>1</v>
      </c>
      <c r="G4877" s="10">
        <f t="array" ref="G4877">index('Player ID'!C:C,match(E4877,'Player ID'!B:B,0))</f>
        <v>685126</v>
      </c>
    </row>
    <row r="4878">
      <c r="A4878" s="76">
        <v>45786.0</v>
      </c>
      <c r="B4878" s="1" t="s">
        <v>317</v>
      </c>
      <c r="C4878" s="1" t="s">
        <v>78</v>
      </c>
      <c r="D4878" s="1">
        <v>1.0</v>
      </c>
      <c r="E4878" s="1">
        <v>29950.0</v>
      </c>
      <c r="F4878" s="10">
        <f t="shared" si="1"/>
        <v>1</v>
      </c>
      <c r="G4878" s="10">
        <f t="array" ref="G4878">index('Player ID'!C:C,match(E4878,'Player ID'!B:B,0))</f>
        <v>673929</v>
      </c>
    </row>
    <row r="4879">
      <c r="A4879" s="76">
        <v>45786.0</v>
      </c>
      <c r="B4879" s="1" t="s">
        <v>266</v>
      </c>
      <c r="C4879" s="1" t="s">
        <v>36</v>
      </c>
      <c r="D4879" s="1">
        <v>1.0</v>
      </c>
      <c r="E4879" s="1">
        <v>31815.0</v>
      </c>
      <c r="F4879" s="10">
        <f t="shared" si="1"/>
        <v>1</v>
      </c>
      <c r="G4879" s="10">
        <f t="array" ref="G4879">index('Player ID'!C:C,match(E4879,'Player ID'!B:B,0))</f>
        <v>806188</v>
      </c>
    </row>
    <row r="4880">
      <c r="A4880" s="76">
        <v>45786.0</v>
      </c>
      <c r="B4880" s="1" t="s">
        <v>226</v>
      </c>
      <c r="C4880" s="1" t="s">
        <v>66</v>
      </c>
      <c r="D4880" s="1">
        <v>6.0</v>
      </c>
      <c r="E4880" s="1">
        <v>12730.0</v>
      </c>
      <c r="F4880" s="10">
        <f t="shared" si="1"/>
        <v>6</v>
      </c>
      <c r="G4880" s="10">
        <f t="array" ref="G4880">index('Player ID'!C:C,match(E4880,'Player ID'!B:B,0))</f>
        <v>607259</v>
      </c>
    </row>
    <row r="4881">
      <c r="A4881" s="76">
        <v>45786.0</v>
      </c>
      <c r="B4881" s="1" t="s">
        <v>417</v>
      </c>
      <c r="C4881" s="1" t="s">
        <v>66</v>
      </c>
      <c r="D4881" s="1">
        <v>2.0</v>
      </c>
      <c r="E4881" s="1">
        <v>13942.0</v>
      </c>
      <c r="F4881" s="10">
        <f t="shared" si="1"/>
        <v>2</v>
      </c>
      <c r="G4881" s="10">
        <f t="array" ref="G4881">index('Player ID'!C:C,match(E4881,'Player ID'!B:B,0))</f>
        <v>608718</v>
      </c>
    </row>
    <row r="4882">
      <c r="A4882" s="76">
        <v>45786.0</v>
      </c>
      <c r="B4882" s="1" t="s">
        <v>59</v>
      </c>
      <c r="C4882" s="1" t="s">
        <v>39</v>
      </c>
      <c r="D4882" s="1">
        <v>1.0</v>
      </c>
      <c r="E4882" s="1">
        <v>14212.0</v>
      </c>
      <c r="F4882" s="10">
        <f t="shared" si="1"/>
        <v>1</v>
      </c>
      <c r="G4882" s="10">
        <f t="array" ref="G4882">index('Player ID'!C:C,match(E4882,'Player ID'!B:B,0))</f>
        <v>623352</v>
      </c>
    </row>
    <row r="4883">
      <c r="A4883" s="76">
        <v>45786.0</v>
      </c>
      <c r="B4883" s="1" t="s">
        <v>210</v>
      </c>
      <c r="C4883" s="1" t="s">
        <v>39</v>
      </c>
      <c r="D4883" s="1">
        <v>1.0</v>
      </c>
      <c r="E4883" s="1">
        <v>16609.0</v>
      </c>
      <c r="F4883" s="10">
        <f t="shared" si="1"/>
        <v>1</v>
      </c>
      <c r="G4883" s="10">
        <f t="array" ref="G4883">index('Player ID'!C:C,match(E4883,'Player ID'!B:B,0))</f>
        <v>650556</v>
      </c>
    </row>
    <row r="4884">
      <c r="A4884" s="76">
        <v>45786.0</v>
      </c>
      <c r="B4884" s="1" t="s">
        <v>359</v>
      </c>
      <c r="C4884" s="1" t="s">
        <v>39</v>
      </c>
      <c r="D4884" s="1">
        <v>0.1</v>
      </c>
      <c r="E4884" s="1">
        <v>20061.0</v>
      </c>
      <c r="F4884" s="10">
        <f t="shared" si="1"/>
        <v>0.3333333333</v>
      </c>
      <c r="G4884" s="10">
        <f t="array" ref="G4884">index('Player ID'!C:C,match(E4884,'Player ID'!B:B,0))</f>
        <v>672391</v>
      </c>
    </row>
    <row r="4885">
      <c r="A4885" s="76">
        <v>45786.0</v>
      </c>
      <c r="B4885" s="1" t="s">
        <v>339</v>
      </c>
      <c r="C4885" s="1" t="s">
        <v>39</v>
      </c>
      <c r="D4885" s="1">
        <v>5.2</v>
      </c>
      <c r="E4885" s="1">
        <v>25880.0</v>
      </c>
      <c r="F4885" s="10">
        <f t="shared" si="1"/>
        <v>5.666666667</v>
      </c>
      <c r="G4885" s="10">
        <f t="array" ref="G4885">index('Player ID'!C:C,match(E4885,'Player ID'!B:B,0))</f>
        <v>686613</v>
      </c>
    </row>
    <row r="4886">
      <c r="A4886" s="76">
        <v>45786.0</v>
      </c>
      <c r="B4886" s="1" t="s">
        <v>76</v>
      </c>
      <c r="C4886" s="1" t="s">
        <v>39</v>
      </c>
      <c r="D4886" s="1">
        <v>1.0</v>
      </c>
      <c r="E4886" s="1">
        <v>25890.0</v>
      </c>
      <c r="F4886" s="10">
        <f t="shared" si="1"/>
        <v>1</v>
      </c>
      <c r="G4886" s="10">
        <f t="array" ref="G4886">index('Player ID'!C:C,match(E4886,'Player ID'!B:B,0))</f>
        <v>687911</v>
      </c>
    </row>
    <row r="4887">
      <c r="A4887" s="76">
        <v>45786.0</v>
      </c>
      <c r="B4887" s="1" t="s">
        <v>435</v>
      </c>
      <c r="C4887" s="1" t="s">
        <v>16</v>
      </c>
      <c r="D4887" s="1">
        <v>1.0</v>
      </c>
      <c r="E4887" s="1">
        <v>13293.0</v>
      </c>
      <c r="F4887" s="10">
        <f t="shared" si="1"/>
        <v>1</v>
      </c>
      <c r="G4887" s="10">
        <f t="array" ref="G4887">index('Player ID'!C:C,match(E4887,'Player ID'!B:B,0))</f>
        <v>543056</v>
      </c>
    </row>
    <row r="4888">
      <c r="A4888" s="76">
        <v>45786.0</v>
      </c>
      <c r="B4888" s="1" t="s">
        <v>445</v>
      </c>
      <c r="C4888" s="1" t="s">
        <v>31</v>
      </c>
      <c r="D4888" s="1">
        <v>6.0</v>
      </c>
      <c r="E4888" s="1">
        <v>19618.0</v>
      </c>
      <c r="F4888" s="10">
        <f t="shared" si="1"/>
        <v>6</v>
      </c>
      <c r="G4888" s="10">
        <f t="array" ref="G4888">index('Player ID'!C:C,match(E4888,'Player ID'!B:B,0))</f>
        <v>663855</v>
      </c>
    </row>
    <row r="4889">
      <c r="A4889" s="76">
        <v>45786.0</v>
      </c>
      <c r="B4889" s="1" t="s">
        <v>133</v>
      </c>
      <c r="C4889" s="1" t="s">
        <v>16</v>
      </c>
      <c r="D4889" s="1">
        <v>7.1</v>
      </c>
      <c r="E4889" s="1">
        <v>20099.0</v>
      </c>
      <c r="F4889" s="10">
        <f t="shared" si="1"/>
        <v>7.333333333</v>
      </c>
      <c r="G4889" s="10">
        <f t="array" ref="G4889">index('Player ID'!C:C,match(E4889,'Player ID'!B:B,0))</f>
        <v>663978</v>
      </c>
    </row>
    <row r="4890">
      <c r="A4890" s="76">
        <v>45786.0</v>
      </c>
      <c r="B4890" s="1" t="s">
        <v>47</v>
      </c>
      <c r="C4890" s="1" t="s">
        <v>16</v>
      </c>
      <c r="D4890" s="1">
        <v>0.2</v>
      </c>
      <c r="E4890" s="1">
        <v>27691.0</v>
      </c>
      <c r="F4890" s="10">
        <f t="shared" si="1"/>
        <v>0.6666666667</v>
      </c>
      <c r="G4890" s="10">
        <f t="array" ref="G4890">index('Player ID'!C:C,match(E4890,'Player ID'!B:B,0))</f>
        <v>686973</v>
      </c>
    </row>
    <row r="4891">
      <c r="A4891" s="76">
        <v>45786.0</v>
      </c>
      <c r="B4891" s="1" t="s">
        <v>96</v>
      </c>
      <c r="C4891" s="1" t="s">
        <v>31</v>
      </c>
      <c r="D4891" s="1">
        <v>2.0</v>
      </c>
      <c r="E4891" s="1">
        <v>27758.0</v>
      </c>
      <c r="F4891" s="10">
        <f t="shared" si="1"/>
        <v>2</v>
      </c>
      <c r="G4891" s="10">
        <f t="array" ref="G4891">index('Player ID'!C:C,match(E4891,'Player ID'!B:B,0))</f>
        <v>690986</v>
      </c>
    </row>
    <row r="4892">
      <c r="A4892" s="76">
        <v>45786.0</v>
      </c>
      <c r="B4892" s="1" t="s">
        <v>404</v>
      </c>
      <c r="C4892" s="1" t="s">
        <v>26</v>
      </c>
      <c r="D4892" s="1">
        <v>0.1</v>
      </c>
      <c r="E4892" s="1">
        <v>14295.0</v>
      </c>
      <c r="F4892" s="10">
        <f t="shared" si="1"/>
        <v>0.3333333333</v>
      </c>
      <c r="G4892" s="10">
        <f t="array" ref="G4892">index('Player ID'!C:C,match(E4892,'Player ID'!B:B,0))</f>
        <v>593974</v>
      </c>
    </row>
    <row r="4893">
      <c r="A4893" s="76">
        <v>45786.0</v>
      </c>
      <c r="B4893" s="1" t="s">
        <v>481</v>
      </c>
      <c r="C4893" s="1" t="s">
        <v>75</v>
      </c>
      <c r="D4893" s="1">
        <v>4.2</v>
      </c>
      <c r="E4893" s="1">
        <v>15488.0</v>
      </c>
      <c r="F4893" s="10">
        <f t="shared" si="1"/>
        <v>4.666666667</v>
      </c>
      <c r="G4893" s="10">
        <f t="array" ref="G4893">index('Player ID'!C:C,match(E4893,'Player ID'!B:B,0))</f>
        <v>622608</v>
      </c>
    </row>
    <row r="4894">
      <c r="A4894" s="76">
        <v>45786.0</v>
      </c>
      <c r="B4894" s="1" t="s">
        <v>451</v>
      </c>
      <c r="C4894" s="1" t="s">
        <v>75</v>
      </c>
      <c r="D4894" s="1">
        <v>1.1</v>
      </c>
      <c r="E4894" s="1">
        <v>17556.0</v>
      </c>
      <c r="F4894" s="10">
        <f t="shared" si="1"/>
        <v>1.333333333</v>
      </c>
      <c r="G4894" s="10">
        <f t="array" ref="G4894">index('Player ID'!C:C,match(E4894,'Player ID'!B:B,0))</f>
        <v>623474</v>
      </c>
    </row>
    <row r="4895">
      <c r="A4895" s="76">
        <v>45786.0</v>
      </c>
      <c r="B4895" s="1" t="s">
        <v>215</v>
      </c>
      <c r="C4895" s="1" t="s">
        <v>75</v>
      </c>
      <c r="D4895" s="1">
        <v>1.0</v>
      </c>
      <c r="E4895" s="1">
        <v>21267.0</v>
      </c>
      <c r="F4895" s="10">
        <f t="shared" si="1"/>
        <v>1</v>
      </c>
      <c r="G4895" s="10">
        <f t="array" ref="G4895">index('Player ID'!C:C,match(E4895,'Player ID'!B:B,0))</f>
        <v>656234</v>
      </c>
    </row>
    <row r="4896">
      <c r="A4896" s="76">
        <v>45786.0</v>
      </c>
      <c r="B4896" s="1" t="s">
        <v>797</v>
      </c>
      <c r="C4896" s="1" t="s">
        <v>26</v>
      </c>
      <c r="D4896" s="1">
        <v>0.2</v>
      </c>
      <c r="E4896" s="1">
        <v>22253.0</v>
      </c>
      <c r="F4896" s="10">
        <f t="shared" si="1"/>
        <v>0.6666666667</v>
      </c>
      <c r="G4896" s="10">
        <f t="array" ref="G4896">index('Player ID'!C:C,match(E4896,'Player ID'!B:B,0))</f>
        <v>669308</v>
      </c>
    </row>
    <row r="4897">
      <c r="A4897" s="76">
        <v>45786.0</v>
      </c>
      <c r="B4897" s="1" t="s">
        <v>713</v>
      </c>
      <c r="C4897" s="1" t="s">
        <v>26</v>
      </c>
      <c r="D4897" s="1">
        <v>6.0</v>
      </c>
      <c r="E4897" s="1">
        <v>24719.0</v>
      </c>
      <c r="F4897" s="10">
        <f t="shared" si="1"/>
        <v>6</v>
      </c>
      <c r="G4897" s="10">
        <f t="array" ref="G4897">index('Player ID'!C:C,match(E4897,'Player ID'!B:B,0))</f>
        <v>681190</v>
      </c>
    </row>
    <row r="4898">
      <c r="A4898" s="76">
        <v>45786.0</v>
      </c>
      <c r="B4898" s="1" t="s">
        <v>391</v>
      </c>
      <c r="C4898" s="1" t="s">
        <v>26</v>
      </c>
      <c r="D4898" s="1">
        <v>0.1</v>
      </c>
      <c r="E4898" s="1">
        <v>29628.0</v>
      </c>
      <c r="F4898" s="10">
        <f t="shared" si="1"/>
        <v>0.3333333333</v>
      </c>
      <c r="G4898" s="10">
        <f t="array" ref="G4898">index('Player ID'!C:C,match(E4898,'Player ID'!B:B,0))</f>
        <v>689690</v>
      </c>
    </row>
    <row r="4899">
      <c r="A4899" s="76">
        <v>45786.0</v>
      </c>
      <c r="B4899" s="1" t="s">
        <v>81</v>
      </c>
      <c r="C4899" s="1" t="s">
        <v>26</v>
      </c>
      <c r="D4899" s="1">
        <v>0.2</v>
      </c>
      <c r="E4899" s="1">
        <v>30115.0</v>
      </c>
      <c r="F4899" s="10">
        <f t="shared" si="1"/>
        <v>0.6666666667</v>
      </c>
      <c r="G4899" s="10">
        <f t="array" ref="G4899">index('Player ID'!C:C,match(E4899,'Player ID'!B:B,0))</f>
        <v>663158</v>
      </c>
    </row>
    <row r="4900">
      <c r="A4900" s="76">
        <v>45786.0</v>
      </c>
      <c r="B4900" s="1" t="s">
        <v>512</v>
      </c>
      <c r="C4900" s="1" t="s">
        <v>75</v>
      </c>
      <c r="D4900" s="1">
        <v>1.0</v>
      </c>
      <c r="E4900" s="1">
        <v>31552.0</v>
      </c>
      <c r="F4900" s="10">
        <f t="shared" si="1"/>
        <v>1</v>
      </c>
      <c r="G4900" s="10">
        <f t="array" ref="G4900">index('Player ID'!C:C,match(E4900,'Player ID'!B:B,0))</f>
        <v>688642</v>
      </c>
    </row>
    <row r="4901">
      <c r="A4901" s="76">
        <v>45786.0</v>
      </c>
      <c r="B4901" s="1" t="s">
        <v>488</v>
      </c>
      <c r="C4901" s="1" t="s">
        <v>75</v>
      </c>
      <c r="D4901" s="1">
        <v>1.0</v>
      </c>
      <c r="E4901" s="1">
        <v>33294.0</v>
      </c>
      <c r="F4901" s="10">
        <f t="shared" si="1"/>
        <v>1</v>
      </c>
      <c r="G4901" s="10">
        <f t="array" ref="G4901">index('Player ID'!C:C,match(E4901,'Player ID'!B:B,0))</f>
        <v>678020</v>
      </c>
    </row>
    <row r="4902">
      <c r="A4902" s="76">
        <v>45786.0</v>
      </c>
      <c r="B4902" s="1" t="s">
        <v>284</v>
      </c>
      <c r="C4902" s="1" t="s">
        <v>26</v>
      </c>
      <c r="D4902" s="1">
        <v>1.0</v>
      </c>
      <c r="E4902" s="1">
        <v>33826.0</v>
      </c>
      <c r="F4902" s="10">
        <f t="shared" si="1"/>
        <v>1</v>
      </c>
      <c r="G4902" s="10">
        <f t="array" ref="G4902">index('Player ID'!C:C,match(E4902,'Player ID'!B:B,0))</f>
        <v>673513</v>
      </c>
    </row>
    <row r="4903">
      <c r="A4903" s="76">
        <v>45786.0</v>
      </c>
      <c r="B4903" s="1" t="s">
        <v>154</v>
      </c>
      <c r="C4903" s="1" t="s">
        <v>25</v>
      </c>
      <c r="D4903" s="1">
        <v>0.2</v>
      </c>
      <c r="E4903" s="1">
        <v>3096.0</v>
      </c>
      <c r="F4903" s="10">
        <f t="shared" si="1"/>
        <v>0.6666666667</v>
      </c>
      <c r="G4903" s="10">
        <f t="array" ref="G4903">index('Player ID'!C:C,match(E4903,'Player ID'!B:B,0))</f>
        <v>445276</v>
      </c>
    </row>
    <row r="4904">
      <c r="A4904" s="76">
        <v>45786.0</v>
      </c>
      <c r="B4904" s="1" t="s">
        <v>660</v>
      </c>
      <c r="C4904" s="1" t="s">
        <v>25</v>
      </c>
      <c r="D4904" s="1">
        <v>1.0</v>
      </c>
      <c r="E4904" s="1">
        <v>11804.0</v>
      </c>
      <c r="F4904" s="10">
        <f t="shared" si="1"/>
        <v>1</v>
      </c>
      <c r="G4904" s="10">
        <f t="array" ref="G4904">index('Player ID'!C:C,match(E4904,'Player ID'!B:B,0))</f>
        <v>593576</v>
      </c>
    </row>
    <row r="4905">
      <c r="A4905" s="76">
        <v>45786.0</v>
      </c>
      <c r="B4905" s="1" t="s">
        <v>399</v>
      </c>
      <c r="C4905" s="1" t="s">
        <v>25</v>
      </c>
      <c r="D4905" s="1">
        <v>5.0</v>
      </c>
      <c r="E4905" s="1">
        <v>12049.0</v>
      </c>
      <c r="F4905" s="10">
        <f t="shared" si="1"/>
        <v>5</v>
      </c>
      <c r="G4905" s="10">
        <f t="array" ref="G4905">index('Player ID'!C:C,match(E4905,'Player ID'!B:B,0))</f>
        <v>543294</v>
      </c>
    </row>
    <row r="4906">
      <c r="A4906" s="76">
        <v>45786.0</v>
      </c>
      <c r="B4906" s="1" t="s">
        <v>231</v>
      </c>
      <c r="C4906" s="1" t="s">
        <v>68</v>
      </c>
      <c r="D4906" s="1">
        <v>0.1</v>
      </c>
      <c r="E4906" s="1">
        <v>19362.0</v>
      </c>
      <c r="F4906" s="10">
        <f t="shared" si="1"/>
        <v>0.3333333333</v>
      </c>
      <c r="G4906" s="10">
        <f t="array" ref="G4906">index('Player ID'!C:C,match(E4906,'Player ID'!B:B,0))</f>
        <v>669211</v>
      </c>
    </row>
    <row r="4907">
      <c r="A4907" s="76">
        <v>45786.0</v>
      </c>
      <c r="B4907" s="1" t="s">
        <v>722</v>
      </c>
      <c r="C4907" s="1" t="s">
        <v>25</v>
      </c>
      <c r="D4907" s="1">
        <v>1.1</v>
      </c>
      <c r="E4907" s="1">
        <v>19453.0</v>
      </c>
      <c r="F4907" s="10">
        <f t="shared" si="1"/>
        <v>1.333333333</v>
      </c>
      <c r="G4907" s="10">
        <f t="array" ref="G4907">index('Player ID'!C:C,match(E4907,'Player ID'!B:B,0))</f>
        <v>641312</v>
      </c>
    </row>
    <row r="4908">
      <c r="A4908" s="76">
        <v>45786.0</v>
      </c>
      <c r="B4908" s="1" t="s">
        <v>698</v>
      </c>
      <c r="C4908" s="1" t="s">
        <v>68</v>
      </c>
      <c r="D4908" s="1">
        <v>1.0</v>
      </c>
      <c r="E4908" s="1">
        <v>20666.0</v>
      </c>
      <c r="F4908" s="10">
        <f t="shared" si="1"/>
        <v>1</v>
      </c>
      <c r="G4908" s="10">
        <f t="array" ref="G4908">index('Player ID'!C:C,match(E4908,'Player ID'!B:B,0))</f>
        <v>642585</v>
      </c>
    </row>
    <row r="4909">
      <c r="A4909" s="76">
        <v>45786.0</v>
      </c>
      <c r="B4909" s="1" t="s">
        <v>235</v>
      </c>
      <c r="C4909" s="1" t="s">
        <v>68</v>
      </c>
      <c r="D4909" s="1">
        <v>0.1</v>
      </c>
      <c r="E4909" s="1">
        <v>25911.0</v>
      </c>
      <c r="F4909" s="10">
        <f t="shared" si="1"/>
        <v>0.3333333333</v>
      </c>
      <c r="G4909" s="10">
        <f t="array" ref="G4909">index('Player ID'!C:C,match(E4909,'Player ID'!B:B,0))</f>
        <v>666974</v>
      </c>
    </row>
    <row r="4910">
      <c r="A4910" s="76">
        <v>45786.0</v>
      </c>
      <c r="B4910" s="1" t="s">
        <v>24</v>
      </c>
      <c r="C4910" s="1" t="s">
        <v>25</v>
      </c>
      <c r="D4910" s="1">
        <v>1.0</v>
      </c>
      <c r="E4910" s="1">
        <v>27468.0</v>
      </c>
      <c r="F4910" s="10">
        <f t="shared" si="1"/>
        <v>1</v>
      </c>
      <c r="G4910" s="10">
        <f t="array" ref="G4910">index('Player ID'!C:C,match(E4910,'Player ID'!B:B,0))</f>
        <v>672282</v>
      </c>
    </row>
    <row r="4911">
      <c r="A4911" s="76">
        <v>45786.0</v>
      </c>
      <c r="B4911" s="1" t="s">
        <v>158</v>
      </c>
      <c r="C4911" s="1" t="s">
        <v>68</v>
      </c>
      <c r="D4911" s="1">
        <v>7.1</v>
      </c>
      <c r="E4911" s="1">
        <v>35321.0</v>
      </c>
      <c r="F4911" s="10">
        <f t="shared" si="1"/>
        <v>7.333333333</v>
      </c>
      <c r="G4911" s="10">
        <f t="array" ref="G4911">index('Player ID'!C:C,match(E4911,'Player ID'!B:B,0))</f>
        <v>608372</v>
      </c>
    </row>
    <row r="4912">
      <c r="A4912" s="76">
        <v>45786.0</v>
      </c>
      <c r="B4912" s="1" t="s">
        <v>595</v>
      </c>
      <c r="C4912" s="1" t="s">
        <v>33</v>
      </c>
      <c r="D4912" s="1">
        <v>1.1</v>
      </c>
      <c r="E4912" s="1">
        <v>6984.0</v>
      </c>
      <c r="F4912" s="10">
        <f t="shared" si="1"/>
        <v>1.333333333</v>
      </c>
      <c r="G4912" s="10">
        <f t="array" ref="G4912">index('Player ID'!C:C,match(E4912,'Player ID'!B:B,0))</f>
        <v>472610</v>
      </c>
    </row>
    <row r="4913">
      <c r="A4913" s="76">
        <v>45786.0</v>
      </c>
      <c r="B4913" s="1" t="s">
        <v>103</v>
      </c>
      <c r="C4913" s="1" t="s">
        <v>64</v>
      </c>
      <c r="D4913" s="1">
        <v>1.0</v>
      </c>
      <c r="E4913" s="1">
        <v>10197.0</v>
      </c>
      <c r="F4913" s="10">
        <f t="shared" si="1"/>
        <v>1</v>
      </c>
      <c r="G4913" s="10">
        <f t="array" ref="G4913">index('Player ID'!C:C,match(E4913,'Player ID'!B:B,0))</f>
        <v>571946</v>
      </c>
    </row>
    <row r="4914">
      <c r="A4914" s="76">
        <v>45786.0</v>
      </c>
      <c r="B4914" s="1" t="s">
        <v>368</v>
      </c>
      <c r="C4914" s="1" t="s">
        <v>64</v>
      </c>
      <c r="D4914" s="1">
        <v>2.2</v>
      </c>
      <c r="E4914" s="1">
        <v>13164.0</v>
      </c>
      <c r="F4914" s="10">
        <f t="shared" si="1"/>
        <v>2.666666667</v>
      </c>
      <c r="G4914" s="10">
        <f t="array" ref="G4914">index('Player ID'!C:C,match(E4914,'Player ID'!B:B,0))</f>
        <v>593958</v>
      </c>
    </row>
    <row r="4915">
      <c r="A4915" s="76">
        <v>45786.0</v>
      </c>
      <c r="B4915" s="1" t="s">
        <v>310</v>
      </c>
      <c r="C4915" s="1" t="s">
        <v>33</v>
      </c>
      <c r="D4915" s="1">
        <v>1.2</v>
      </c>
      <c r="E4915" s="1">
        <v>14706.0</v>
      </c>
      <c r="F4915" s="10">
        <f t="shared" si="1"/>
        <v>1.666666667</v>
      </c>
      <c r="G4915" s="10">
        <f t="array" ref="G4915">index('Player ID'!C:C,match(E4915,'Player ID'!B:B,0))</f>
        <v>607455</v>
      </c>
    </row>
    <row r="4916">
      <c r="A4916" s="76">
        <v>45786.0</v>
      </c>
      <c r="B4916" s="1" t="s">
        <v>219</v>
      </c>
      <c r="C4916" s="1" t="s">
        <v>64</v>
      </c>
      <c r="D4916" s="1">
        <v>0.2</v>
      </c>
      <c r="E4916" s="1">
        <v>16647.0</v>
      </c>
      <c r="F4916" s="10">
        <f t="shared" si="1"/>
        <v>0.6666666667</v>
      </c>
      <c r="G4916" s="10">
        <f t="array" ref="G4916">index('Player ID'!C:C,match(E4916,'Player ID'!B:B,0))</f>
        <v>657044</v>
      </c>
    </row>
    <row r="4917">
      <c r="A4917" s="76">
        <v>45786.0</v>
      </c>
      <c r="B4917" s="1" t="s">
        <v>489</v>
      </c>
      <c r="C4917" s="1" t="s">
        <v>64</v>
      </c>
      <c r="D4917" s="1">
        <v>0.2</v>
      </c>
      <c r="E4917" s="1">
        <v>17192.0</v>
      </c>
      <c r="F4917" s="10">
        <f t="shared" si="1"/>
        <v>0.6666666667</v>
      </c>
      <c r="G4917" s="10">
        <f t="array" ref="G4917">index('Player ID'!C:C,match(E4917,'Player ID'!B:B,0))</f>
        <v>656222</v>
      </c>
    </row>
    <row r="4918">
      <c r="A4918" s="76">
        <v>45786.0</v>
      </c>
      <c r="B4918" s="1" t="s">
        <v>32</v>
      </c>
      <c r="C4918" s="1" t="s">
        <v>33</v>
      </c>
      <c r="D4918" s="1">
        <v>1.0</v>
      </c>
      <c r="E4918" s="1">
        <v>17586.0</v>
      </c>
      <c r="F4918" s="10">
        <f t="shared" si="1"/>
        <v>1</v>
      </c>
      <c r="G4918" s="10">
        <f t="array" ref="G4918">index('Player ID'!C:C,match(E4918,'Player ID'!B:B,0))</f>
        <v>656945</v>
      </c>
    </row>
    <row r="4919">
      <c r="A4919" s="76">
        <v>45786.0</v>
      </c>
      <c r="B4919" s="1" t="s">
        <v>823</v>
      </c>
      <c r="C4919" s="1" t="s">
        <v>64</v>
      </c>
      <c r="D4919" s="1">
        <v>0.1</v>
      </c>
      <c r="E4919" s="1">
        <v>19876.0</v>
      </c>
      <c r="F4919" s="10">
        <f t="shared" si="1"/>
        <v>0.3333333333</v>
      </c>
      <c r="G4919" s="10">
        <f t="array" ref="G4919">index('Player ID'!C:C,match(E4919,'Player ID'!B:B,0))</f>
        <v>656464</v>
      </c>
    </row>
    <row r="4920">
      <c r="A4920" s="76">
        <v>45786.0</v>
      </c>
      <c r="B4920" s="1" t="s">
        <v>92</v>
      </c>
      <c r="C4920" s="1" t="s">
        <v>33</v>
      </c>
      <c r="D4920" s="1">
        <v>1.0</v>
      </c>
      <c r="E4920" s="1">
        <v>25007.0</v>
      </c>
      <c r="F4920" s="10">
        <f t="shared" si="1"/>
        <v>1</v>
      </c>
      <c r="G4920" s="10">
        <f t="array" ref="G4920">index('Player ID'!C:C,match(E4920,'Player ID'!B:B,0))</f>
        <v>681911</v>
      </c>
    </row>
    <row r="4921">
      <c r="A4921" s="76">
        <v>45786.0</v>
      </c>
      <c r="B4921" s="1" t="s">
        <v>703</v>
      </c>
      <c r="C4921" s="1" t="s">
        <v>64</v>
      </c>
      <c r="D4921" s="1">
        <v>3.2</v>
      </c>
      <c r="E4921" s="1">
        <v>27974.0</v>
      </c>
      <c r="F4921" s="10">
        <f t="shared" si="1"/>
        <v>3.666666667</v>
      </c>
      <c r="G4921" s="10">
        <f t="array" ref="G4921">index('Player ID'!C:C,match(E4921,'Player ID'!B:B,0))</f>
        <v>691441</v>
      </c>
    </row>
    <row r="4922">
      <c r="A4922" s="76">
        <v>45786.0</v>
      </c>
      <c r="B4922" s="1" t="s">
        <v>522</v>
      </c>
      <c r="C4922" s="1" t="s">
        <v>33</v>
      </c>
      <c r="D4922" s="1">
        <v>4.0</v>
      </c>
      <c r="E4922" s="1">
        <v>35323.0</v>
      </c>
      <c r="F4922" s="10">
        <f t="shared" si="1"/>
        <v>4</v>
      </c>
      <c r="G4922" s="10">
        <f t="array" ref="G4922">index('Player ID'!C:C,match(E4922,'Player ID'!B:B,0))</f>
        <v>808963</v>
      </c>
    </row>
    <row r="4923">
      <c r="A4923" s="76">
        <v>45786.0</v>
      </c>
      <c r="B4923" s="1" t="s">
        <v>673</v>
      </c>
      <c r="C4923" s="1" t="s">
        <v>40</v>
      </c>
      <c r="D4923" s="1">
        <v>1.0</v>
      </c>
      <c r="E4923" s="1">
        <v>12095.0</v>
      </c>
      <c r="F4923" s="10">
        <f t="shared" si="1"/>
        <v>1</v>
      </c>
      <c r="G4923" s="10">
        <f t="array" ref="G4923">index('Player ID'!C:C,match(E4923,'Player ID'!B:B,0))</f>
        <v>554340</v>
      </c>
    </row>
    <row r="4924">
      <c r="A4924" s="76">
        <v>45786.0</v>
      </c>
      <c r="B4924" s="1" t="s">
        <v>155</v>
      </c>
      <c r="C4924" s="1" t="s">
        <v>40</v>
      </c>
      <c r="D4924" s="1">
        <v>5.1</v>
      </c>
      <c r="E4924" s="1">
        <v>14107.0</v>
      </c>
      <c r="F4924" s="10">
        <f t="shared" si="1"/>
        <v>5.333333333</v>
      </c>
      <c r="G4924" s="10">
        <f t="array" ref="G4924">index('Player ID'!C:C,match(E4924,'Player ID'!B:B,0))</f>
        <v>592332</v>
      </c>
    </row>
    <row r="4925">
      <c r="A4925" s="76">
        <v>45786.0</v>
      </c>
      <c r="B4925" s="1" t="s">
        <v>272</v>
      </c>
      <c r="C4925" s="1" t="s">
        <v>37</v>
      </c>
      <c r="D4925" s="1">
        <v>5.0</v>
      </c>
      <c r="E4925" s="1">
        <v>15689.0</v>
      </c>
      <c r="F4925" s="10">
        <f t="shared" si="1"/>
        <v>5</v>
      </c>
      <c r="G4925" s="10">
        <f t="array" ref="G4925">index('Player ID'!C:C,match(E4925,'Player ID'!B:B,0))</f>
        <v>622491</v>
      </c>
    </row>
    <row r="4926">
      <c r="A4926" s="76">
        <v>45786.0</v>
      </c>
      <c r="B4926" s="1" t="s">
        <v>311</v>
      </c>
      <c r="C4926" s="1" t="s">
        <v>40</v>
      </c>
      <c r="D4926" s="1">
        <v>1.0</v>
      </c>
      <c r="E4926" s="1">
        <v>17432.0</v>
      </c>
      <c r="F4926" s="10">
        <f t="shared" si="1"/>
        <v>1</v>
      </c>
      <c r="G4926" s="10">
        <f t="array" ref="G4926">index('Player ID'!C:C,match(E4926,'Player ID'!B:B,0))</f>
        <v>656546</v>
      </c>
    </row>
    <row r="4927">
      <c r="A4927" s="76">
        <v>45786.0</v>
      </c>
      <c r="B4927" s="1" t="s">
        <v>395</v>
      </c>
      <c r="C4927" s="1" t="s">
        <v>40</v>
      </c>
      <c r="D4927" s="1">
        <v>1.2</v>
      </c>
      <c r="E4927" s="1">
        <v>21574.0</v>
      </c>
      <c r="F4927" s="10">
        <f t="shared" si="1"/>
        <v>1.666666667</v>
      </c>
      <c r="G4927" s="10">
        <f t="array" ref="G4927">index('Player ID'!C:C,match(E4927,'Player ID'!B:B,0))</f>
        <v>663893</v>
      </c>
    </row>
    <row r="4928">
      <c r="A4928" s="76">
        <v>45786.0</v>
      </c>
      <c r="B4928" s="1" t="s">
        <v>683</v>
      </c>
      <c r="C4928" s="1" t="s">
        <v>37</v>
      </c>
      <c r="D4928" s="1">
        <v>1.0</v>
      </c>
      <c r="E4928" s="1">
        <v>23307.0</v>
      </c>
      <c r="F4928" s="10">
        <f t="shared" si="1"/>
        <v>1</v>
      </c>
      <c r="G4928" s="10">
        <f t="array" ref="G4928">index('Player ID'!C:C,match(E4928,'Player ID'!B:B,0))</f>
        <v>676092</v>
      </c>
    </row>
    <row r="4929">
      <c r="A4929" s="76">
        <v>45786.0</v>
      </c>
      <c r="B4929" s="1" t="s">
        <v>340</v>
      </c>
      <c r="C4929" s="1" t="s">
        <v>37</v>
      </c>
      <c r="D4929" s="1">
        <v>2.0</v>
      </c>
      <c r="E4929" s="1">
        <v>25921.0</v>
      </c>
      <c r="F4929" s="10">
        <f t="shared" si="1"/>
        <v>2</v>
      </c>
      <c r="G4929" s="10">
        <f t="array" ref="G4929">index('Player ID'!C:C,match(E4929,'Player ID'!B:B,0))</f>
        <v>668984</v>
      </c>
    </row>
    <row r="4930">
      <c r="A4930" s="76">
        <v>45786.0</v>
      </c>
      <c r="B4930" s="1" t="s">
        <v>804</v>
      </c>
      <c r="C4930" s="1" t="s">
        <v>37</v>
      </c>
      <c r="D4930" s="1">
        <v>1.0</v>
      </c>
      <c r="E4930" s="1">
        <v>31883.0</v>
      </c>
      <c r="F4930" s="10">
        <f t="shared" si="1"/>
        <v>1</v>
      </c>
      <c r="G4930" s="10">
        <f t="array" ref="G4930">index('Player ID'!C:C,match(E4930,'Player ID'!B:B,0))</f>
        <v>700187</v>
      </c>
    </row>
    <row r="4931">
      <c r="A4931" s="76">
        <v>45786.0</v>
      </c>
      <c r="B4931" s="1" t="s">
        <v>467</v>
      </c>
      <c r="C4931" s="1" t="s">
        <v>58</v>
      </c>
      <c r="D4931" s="1">
        <v>0.2</v>
      </c>
      <c r="E4931" s="1">
        <v>15551.0</v>
      </c>
      <c r="F4931" s="10">
        <f t="shared" si="1"/>
        <v>0.6666666667</v>
      </c>
      <c r="G4931" s="10">
        <f t="array" ref="G4931">index('Player ID'!C:C,match(E4931,'Player ID'!B:B,0))</f>
        <v>643410</v>
      </c>
    </row>
    <row r="4932">
      <c r="A4932" s="76">
        <v>45786.0</v>
      </c>
      <c r="B4932" s="1" t="s">
        <v>309</v>
      </c>
      <c r="C4932" s="1" t="s">
        <v>58</v>
      </c>
      <c r="D4932" s="1">
        <v>1.0</v>
      </c>
      <c r="E4932" s="1">
        <v>21420.0</v>
      </c>
      <c r="F4932" s="10">
        <f t="shared" si="1"/>
        <v>1</v>
      </c>
      <c r="G4932" s="10">
        <f t="array" ref="G4932">index('Player ID'!C:C,match(E4932,'Player ID'!B:B,0))</f>
        <v>660787</v>
      </c>
    </row>
    <row r="4933">
      <c r="A4933" s="76">
        <v>45786.0</v>
      </c>
      <c r="B4933" s="1" t="s">
        <v>227</v>
      </c>
      <c r="C4933" s="1" t="s">
        <v>52</v>
      </c>
      <c r="D4933" s="1">
        <v>2.0</v>
      </c>
      <c r="E4933" s="1">
        <v>21520.0</v>
      </c>
      <c r="F4933" s="10">
        <f t="shared" si="1"/>
        <v>2</v>
      </c>
      <c r="G4933" s="10">
        <f t="array" ref="G4933">index('Player ID'!C:C,match(E4933,'Player ID'!B:B,0))</f>
        <v>663687</v>
      </c>
    </row>
    <row r="4934">
      <c r="A4934" s="76">
        <v>45786.0</v>
      </c>
      <c r="B4934" s="1" t="s">
        <v>471</v>
      </c>
      <c r="C4934" s="1" t="s">
        <v>52</v>
      </c>
      <c r="D4934" s="1">
        <v>1.2</v>
      </c>
      <c r="E4934" s="1">
        <v>21662.0</v>
      </c>
      <c r="F4934" s="10">
        <f t="shared" si="1"/>
        <v>1.666666667</v>
      </c>
      <c r="G4934" s="10">
        <f t="array" ref="G4934">index('Player ID'!C:C,match(E4934,'Player ID'!B:B,0))</f>
        <v>665660</v>
      </c>
    </row>
    <row r="4935">
      <c r="A4935" s="76">
        <v>45786.0</v>
      </c>
      <c r="B4935" s="1" t="s">
        <v>454</v>
      </c>
      <c r="C4935" s="1" t="s">
        <v>52</v>
      </c>
      <c r="D4935" s="1">
        <v>5.1</v>
      </c>
      <c r="E4935" s="1">
        <v>23150.0</v>
      </c>
      <c r="F4935" s="10">
        <f t="shared" si="1"/>
        <v>5.333333333</v>
      </c>
      <c r="G4935" s="10">
        <f t="array" ref="G4935">index('Player ID'!C:C,match(E4935,'Player ID'!B:B,0))</f>
        <v>674370</v>
      </c>
    </row>
    <row r="4936">
      <c r="A4936" s="76">
        <v>45786.0</v>
      </c>
      <c r="B4936" s="1" t="s">
        <v>344</v>
      </c>
      <c r="C4936" s="1" t="s">
        <v>58</v>
      </c>
      <c r="D4936" s="1">
        <v>7.1</v>
      </c>
      <c r="E4936" s="1">
        <v>30182.0</v>
      </c>
      <c r="F4936" s="10">
        <f t="shared" si="1"/>
        <v>7.333333333</v>
      </c>
      <c r="G4936" s="10">
        <f t="array" ref="G4936">index('Player ID'!C:C,match(E4936,'Player ID'!B:B,0))</f>
        <v>701542</v>
      </c>
    </row>
    <row r="4937">
      <c r="A4937" s="76">
        <v>45787.0</v>
      </c>
      <c r="B4937" s="1" t="s">
        <v>148</v>
      </c>
      <c r="C4937" s="1" t="s">
        <v>80</v>
      </c>
      <c r="D4937" s="1">
        <v>6.0</v>
      </c>
      <c r="E4937" s="1">
        <v>16977.0</v>
      </c>
      <c r="F4937" s="10">
        <f t="shared" si="1"/>
        <v>6</v>
      </c>
      <c r="G4937" s="10">
        <f t="array" ref="G4937">index('Player ID'!C:C,match(E4937,'Player ID'!B:B,0))</f>
        <v>592866</v>
      </c>
    </row>
    <row r="4938">
      <c r="A4938" s="76">
        <v>45787.0</v>
      </c>
      <c r="B4938" s="1" t="s">
        <v>270</v>
      </c>
      <c r="C4938" s="1" t="s">
        <v>72</v>
      </c>
      <c r="D4938" s="1">
        <v>1.0</v>
      </c>
      <c r="E4938" s="1">
        <v>18138.0</v>
      </c>
      <c r="F4938" s="10">
        <f t="shared" si="1"/>
        <v>1</v>
      </c>
      <c r="G4938" s="10">
        <f t="array" ref="G4938">index('Player ID'!C:C,match(E4938,'Player ID'!B:B,0))</f>
        <v>664854</v>
      </c>
    </row>
    <row r="4939">
      <c r="A4939" s="76">
        <v>45787.0</v>
      </c>
      <c r="B4939" s="1" t="s">
        <v>193</v>
      </c>
      <c r="C4939" s="1" t="s">
        <v>72</v>
      </c>
      <c r="D4939" s="1">
        <v>0.2</v>
      </c>
      <c r="E4939" s="1">
        <v>19574.0</v>
      </c>
      <c r="F4939" s="10">
        <f t="shared" si="1"/>
        <v>0.6666666667</v>
      </c>
      <c r="G4939" s="10">
        <f t="array" ref="G4939">index('Player ID'!C:C,match(E4939,'Player ID'!B:B,0))</f>
        <v>668941</v>
      </c>
    </row>
    <row r="4940">
      <c r="A4940" s="76">
        <v>45787.0</v>
      </c>
      <c r="B4940" s="1" t="s">
        <v>86</v>
      </c>
      <c r="C4940" s="1" t="s">
        <v>80</v>
      </c>
      <c r="D4940" s="1">
        <v>1.0</v>
      </c>
      <c r="E4940" s="1">
        <v>24017.0</v>
      </c>
      <c r="F4940" s="10">
        <f t="shared" si="1"/>
        <v>1</v>
      </c>
      <c r="G4940" s="10">
        <f t="array" ref="G4940">index('Player ID'!C:C,match(E4940,'Player ID'!B:B,0))</f>
        <v>678606</v>
      </c>
    </row>
    <row r="4941">
      <c r="A4941" s="76">
        <v>45787.0</v>
      </c>
      <c r="B4941" s="1" t="s">
        <v>432</v>
      </c>
      <c r="C4941" s="1" t="s">
        <v>72</v>
      </c>
      <c r="D4941" s="1">
        <v>7.1</v>
      </c>
      <c r="E4941" s="1">
        <v>26108.0</v>
      </c>
      <c r="F4941" s="10">
        <f t="shared" si="1"/>
        <v>7.333333333</v>
      </c>
      <c r="G4941" s="10">
        <f t="array" ref="G4941">index('Player ID'!C:C,match(E4941,'Player ID'!B:B,0))</f>
        <v>669467</v>
      </c>
    </row>
    <row r="4942">
      <c r="A4942" s="76">
        <v>45787.0</v>
      </c>
      <c r="B4942" s="1" t="s">
        <v>507</v>
      </c>
      <c r="C4942" s="1" t="s">
        <v>80</v>
      </c>
      <c r="D4942" s="1">
        <v>1.1</v>
      </c>
      <c r="E4942" s="1">
        <v>27570.0</v>
      </c>
      <c r="F4942" s="10">
        <f t="shared" si="1"/>
        <v>1.333333333</v>
      </c>
      <c r="G4942" s="10">
        <f t="array" ref="G4942">index('Player ID'!C:C,match(E4942,'Player ID'!B:B,0))</f>
        <v>669371</v>
      </c>
    </row>
    <row r="4943">
      <c r="A4943" s="76">
        <v>45787.0</v>
      </c>
      <c r="B4943" s="1" t="s">
        <v>818</v>
      </c>
      <c r="C4943" s="1" t="s">
        <v>80</v>
      </c>
      <c r="D4943" s="1">
        <v>0.2</v>
      </c>
      <c r="E4943" s="1">
        <v>27783.0</v>
      </c>
      <c r="F4943" s="10">
        <f t="shared" si="1"/>
        <v>0.6666666667</v>
      </c>
      <c r="G4943" s="10">
        <f t="array" ref="G4943">index('Player ID'!C:C,match(E4943,'Player ID'!B:B,0))</f>
        <v>694350</v>
      </c>
    </row>
    <row r="4944">
      <c r="A4944" s="76">
        <v>45787.0</v>
      </c>
      <c r="B4944" s="1" t="s">
        <v>422</v>
      </c>
      <c r="C4944" s="1" t="s">
        <v>58</v>
      </c>
      <c r="D4944" s="1">
        <v>0.2</v>
      </c>
      <c r="E4944" s="1">
        <v>7048.0</v>
      </c>
      <c r="F4944" s="10">
        <f t="shared" si="1"/>
        <v>0.6666666667</v>
      </c>
      <c r="G4944" s="10">
        <f t="array" ref="G4944">index('Player ID'!C:C,match(E4944,'Player ID'!B:B,0))</f>
        <v>518585</v>
      </c>
    </row>
    <row r="4945">
      <c r="A4945" s="76">
        <v>45787.0</v>
      </c>
      <c r="B4945" s="1" t="s">
        <v>730</v>
      </c>
      <c r="C4945" s="1" t="s">
        <v>58</v>
      </c>
      <c r="D4945" s="1">
        <v>0.1</v>
      </c>
      <c r="E4945" s="1">
        <v>10058.0</v>
      </c>
      <c r="F4945" s="10">
        <f t="shared" si="1"/>
        <v>0.3333333333</v>
      </c>
      <c r="G4945" s="10">
        <f t="array" ref="G4945">index('Player ID'!C:C,match(E4945,'Player ID'!B:B,0))</f>
        <v>554431</v>
      </c>
    </row>
    <row r="4946">
      <c r="A4946" s="76">
        <v>45787.0</v>
      </c>
      <c r="B4946" s="1" t="s">
        <v>635</v>
      </c>
      <c r="C4946" s="1" t="s">
        <v>58</v>
      </c>
      <c r="D4946" s="1">
        <v>6.0</v>
      </c>
      <c r="E4946" s="1">
        <v>16137.0</v>
      </c>
      <c r="F4946" s="10">
        <f t="shared" si="1"/>
        <v>6</v>
      </c>
      <c r="G4946" s="10">
        <f t="array" ref="G4946">index('Player ID'!C:C,match(E4946,'Player ID'!B:B,0))</f>
        <v>607074</v>
      </c>
    </row>
    <row r="4947">
      <c r="A4947" s="76">
        <v>45787.0</v>
      </c>
      <c r="B4947" s="1" t="s">
        <v>69</v>
      </c>
      <c r="C4947" s="1" t="s">
        <v>58</v>
      </c>
      <c r="D4947" s="1">
        <v>0.1</v>
      </c>
      <c r="E4947" s="1">
        <v>16814.0</v>
      </c>
      <c r="F4947" s="10">
        <f t="shared" si="1"/>
        <v>0.3333333333</v>
      </c>
      <c r="G4947" s="10">
        <f t="array" ref="G4947">index('Player ID'!C:C,match(E4947,'Player ID'!B:B,0))</f>
        <v>657612</v>
      </c>
    </row>
    <row r="4948">
      <c r="A4948" s="76">
        <v>45787.0</v>
      </c>
      <c r="B4948" s="1" t="s">
        <v>520</v>
      </c>
      <c r="C4948" s="1" t="s">
        <v>58</v>
      </c>
      <c r="D4948" s="1">
        <v>0.2</v>
      </c>
      <c r="E4948" s="1">
        <v>19261.0</v>
      </c>
      <c r="F4948" s="10">
        <f t="shared" si="1"/>
        <v>0.6666666667</v>
      </c>
      <c r="G4948" s="10">
        <f t="array" ref="G4948">index('Player ID'!C:C,match(E4948,'Player ID'!B:B,0))</f>
        <v>641656</v>
      </c>
    </row>
    <row r="4949">
      <c r="A4949" s="76">
        <v>45787.0</v>
      </c>
      <c r="B4949" s="1" t="s">
        <v>505</v>
      </c>
      <c r="C4949" s="1" t="s">
        <v>52</v>
      </c>
      <c r="D4949" s="1">
        <v>0.1</v>
      </c>
      <c r="E4949" s="1">
        <v>19481.0</v>
      </c>
      <c r="F4949" s="10">
        <f t="shared" si="1"/>
        <v>0.3333333333</v>
      </c>
      <c r="G4949" s="10">
        <f t="array" ref="G4949">index('Player ID'!C:C,match(E4949,'Player ID'!B:B,0))</f>
        <v>621053</v>
      </c>
    </row>
    <row r="4950">
      <c r="A4950" s="76">
        <v>45787.0</v>
      </c>
      <c r="B4950" s="1" t="s">
        <v>251</v>
      </c>
      <c r="C4950" s="1" t="s">
        <v>52</v>
      </c>
      <c r="D4950" s="1">
        <v>5.0</v>
      </c>
      <c r="E4950" s="1">
        <v>23429.0</v>
      </c>
      <c r="F4950" s="10">
        <f t="shared" si="1"/>
        <v>5</v>
      </c>
      <c r="G4950" s="10">
        <f t="array" ref="G4950">index('Player ID'!C:C,match(E4950,'Player ID'!B:B,0))</f>
        <v>676664</v>
      </c>
    </row>
    <row r="4951">
      <c r="A4951" s="76">
        <v>45787.0</v>
      </c>
      <c r="B4951" s="1" t="s">
        <v>213</v>
      </c>
      <c r="C4951" s="1" t="s">
        <v>52</v>
      </c>
      <c r="D4951" s="1">
        <v>0.2</v>
      </c>
      <c r="E4951" s="1">
        <v>27694.0</v>
      </c>
      <c r="F4951" s="10">
        <f t="shared" si="1"/>
        <v>0.6666666667</v>
      </c>
      <c r="G4951" s="10">
        <f t="array" ref="G4951">index('Player ID'!C:C,match(E4951,'Player ID'!B:B,0))</f>
        <v>686993</v>
      </c>
    </row>
    <row r="4952">
      <c r="A4952" s="76">
        <v>45787.0</v>
      </c>
      <c r="B4952" s="1" t="s">
        <v>681</v>
      </c>
      <c r="C4952" s="1" t="s">
        <v>52</v>
      </c>
      <c r="D4952" s="1">
        <v>1.1</v>
      </c>
      <c r="E4952" s="1">
        <v>30002.0</v>
      </c>
      <c r="F4952" s="10">
        <f t="shared" si="1"/>
        <v>1.333333333</v>
      </c>
      <c r="G4952" s="10">
        <f t="array" ref="G4952">index('Player ID'!C:C,match(E4952,'Player ID'!B:B,0))</f>
        <v>680880</v>
      </c>
    </row>
    <row r="4953">
      <c r="A4953" s="76">
        <v>45787.0</v>
      </c>
      <c r="B4953" s="1" t="s">
        <v>286</v>
      </c>
      <c r="C4953" s="1" t="s">
        <v>52</v>
      </c>
      <c r="D4953" s="1">
        <v>1.2</v>
      </c>
      <c r="E4953" s="1">
        <v>31757.0</v>
      </c>
      <c r="F4953" s="10">
        <f t="shared" si="1"/>
        <v>1.666666667</v>
      </c>
      <c r="G4953" s="10">
        <f t="array" ref="G4953">index('Player ID'!C:C,match(E4953,'Player ID'!B:B,0))</f>
        <v>695243</v>
      </c>
    </row>
    <row r="4954">
      <c r="A4954" s="76">
        <v>45787.0</v>
      </c>
      <c r="B4954" s="1" t="s">
        <v>326</v>
      </c>
      <c r="C4954" s="1" t="s">
        <v>46</v>
      </c>
      <c r="D4954" s="1">
        <v>0.2</v>
      </c>
      <c r="E4954" s="1">
        <v>12760.0</v>
      </c>
      <c r="F4954" s="10">
        <f t="shared" si="1"/>
        <v>0.6666666667</v>
      </c>
      <c r="G4954" s="10">
        <f t="array" ref="G4954">index('Player ID'!C:C,match(E4954,'Player ID'!B:B,0))</f>
        <v>606160</v>
      </c>
    </row>
    <row r="4955">
      <c r="A4955" s="76">
        <v>45787.0</v>
      </c>
      <c r="B4955" s="1" t="s">
        <v>178</v>
      </c>
      <c r="C4955" s="1" t="s">
        <v>46</v>
      </c>
      <c r="D4955" s="1">
        <v>0.2</v>
      </c>
      <c r="E4955" s="1">
        <v>13435.0</v>
      </c>
      <c r="F4955" s="10">
        <f t="shared" si="1"/>
        <v>0.6666666667</v>
      </c>
      <c r="G4955" s="10">
        <f t="array" ref="G4955">index('Player ID'!C:C,match(E4955,'Player ID'!B:B,0))</f>
        <v>572955</v>
      </c>
    </row>
    <row r="4956">
      <c r="A4956" s="76">
        <v>45787.0</v>
      </c>
      <c r="B4956" s="1" t="s">
        <v>256</v>
      </c>
      <c r="C4956" s="1" t="s">
        <v>60</v>
      </c>
      <c r="D4956" s="1">
        <v>6.0</v>
      </c>
      <c r="E4956" s="1">
        <v>15423.0</v>
      </c>
      <c r="F4956" s="10">
        <f t="shared" si="1"/>
        <v>6</v>
      </c>
      <c r="G4956" s="10">
        <f t="array" ref="G4956">index('Player ID'!C:C,match(E4956,'Player ID'!B:B,0))</f>
        <v>571760</v>
      </c>
    </row>
    <row r="4957">
      <c r="A4957" s="76">
        <v>45787.0</v>
      </c>
      <c r="B4957" s="1" t="s">
        <v>233</v>
      </c>
      <c r="C4957" s="1" t="s">
        <v>46</v>
      </c>
      <c r="D4957" s="1">
        <v>2.0</v>
      </c>
      <c r="E4957" s="1">
        <v>16427.0</v>
      </c>
      <c r="F4957" s="10">
        <f t="shared" si="1"/>
        <v>2</v>
      </c>
      <c r="G4957" s="10">
        <f t="array" ref="G4957">index('Player ID'!C:C,match(E4957,'Player ID'!B:B,0))</f>
        <v>656240</v>
      </c>
    </row>
    <row r="4958">
      <c r="A4958" s="76">
        <v>45787.0</v>
      </c>
      <c r="B4958" s="1" t="s">
        <v>716</v>
      </c>
      <c r="C4958" s="1" t="s">
        <v>60</v>
      </c>
      <c r="D4958" s="1">
        <v>1.0</v>
      </c>
      <c r="E4958" s="1">
        <v>17610.0</v>
      </c>
      <c r="F4958" s="10">
        <f t="shared" si="1"/>
        <v>1</v>
      </c>
      <c r="G4958" s="10">
        <f t="array" ref="G4958">index('Player ID'!C:C,match(E4958,'Player ID'!B:B,0))</f>
        <v>663432</v>
      </c>
    </row>
    <row r="4959">
      <c r="A4959" s="76">
        <v>45787.0</v>
      </c>
      <c r="B4959" s="1" t="s">
        <v>217</v>
      </c>
      <c r="C4959" s="1" t="s">
        <v>60</v>
      </c>
      <c r="D4959" s="1">
        <v>1.0</v>
      </c>
      <c r="E4959" s="1">
        <v>17878.0</v>
      </c>
      <c r="F4959" s="10">
        <f t="shared" si="1"/>
        <v>1</v>
      </c>
      <c r="G4959" s="10">
        <f t="array" ref="G4959">index('Player ID'!C:C,match(E4959,'Player ID'!B:B,0))</f>
        <v>642701</v>
      </c>
    </row>
    <row r="4960">
      <c r="A4960" s="76">
        <v>45787.0</v>
      </c>
      <c r="B4960" s="1" t="s">
        <v>107</v>
      </c>
      <c r="C4960" s="1" t="s">
        <v>60</v>
      </c>
      <c r="D4960" s="1">
        <v>1.0</v>
      </c>
      <c r="E4960" s="1">
        <v>19349.0</v>
      </c>
      <c r="F4960" s="10">
        <f t="shared" si="1"/>
        <v>1</v>
      </c>
      <c r="G4960" s="10">
        <f t="array" ref="G4960">index('Player ID'!C:C,match(E4960,'Player ID'!B:B,0))</f>
        <v>657571</v>
      </c>
    </row>
    <row r="4961">
      <c r="A4961" s="76">
        <v>45787.0</v>
      </c>
      <c r="B4961" s="1" t="s">
        <v>183</v>
      </c>
      <c r="C4961" s="1" t="s">
        <v>60</v>
      </c>
      <c r="D4961" s="1">
        <v>1.0</v>
      </c>
      <c r="E4961" s="1">
        <v>19569.0</v>
      </c>
      <c r="F4961" s="10">
        <f t="shared" si="1"/>
        <v>1</v>
      </c>
      <c r="G4961" s="10">
        <f t="array" ref="G4961">index('Player ID'!C:C,match(E4961,'Player ID'!B:B,0))</f>
        <v>670280</v>
      </c>
    </row>
    <row r="4962">
      <c r="A4962" s="76">
        <v>45787.0</v>
      </c>
      <c r="B4962" s="1" t="s">
        <v>91</v>
      </c>
      <c r="C4962" s="1" t="s">
        <v>46</v>
      </c>
      <c r="D4962" s="1">
        <v>0.2</v>
      </c>
      <c r="E4962" s="1">
        <v>19996.0</v>
      </c>
      <c r="F4962" s="10">
        <f t="shared" si="1"/>
        <v>0.6666666667</v>
      </c>
      <c r="G4962" s="10">
        <f t="array" ref="G4962">index('Player ID'!C:C,match(E4962,'Player ID'!B:B,0))</f>
        <v>669276</v>
      </c>
    </row>
    <row r="4963">
      <c r="A4963" s="76">
        <v>45787.0</v>
      </c>
      <c r="B4963" s="1" t="s">
        <v>688</v>
      </c>
      <c r="C4963" s="1" t="s">
        <v>46</v>
      </c>
      <c r="D4963" s="1">
        <v>1.1</v>
      </c>
      <c r="E4963" s="1">
        <v>20271.0</v>
      </c>
      <c r="F4963" s="10">
        <f t="shared" si="1"/>
        <v>1.333333333</v>
      </c>
      <c r="G4963" s="10">
        <f t="array" ref="G4963">index('Player ID'!C:C,match(E4963,'Player ID'!B:B,0))</f>
        <v>678226</v>
      </c>
    </row>
    <row r="4964">
      <c r="A4964" s="76">
        <v>45787.0</v>
      </c>
      <c r="B4964" s="1" t="s">
        <v>463</v>
      </c>
      <c r="C4964" s="1" t="s">
        <v>60</v>
      </c>
      <c r="D4964" s="1">
        <v>1.0</v>
      </c>
      <c r="E4964" s="1">
        <v>21544.0</v>
      </c>
      <c r="F4964" s="10">
        <f t="shared" si="1"/>
        <v>1</v>
      </c>
      <c r="G4964" s="10">
        <f t="array" ref="G4964">index('Player ID'!C:C,match(E4964,'Player ID'!B:B,0))</f>
        <v>663767</v>
      </c>
    </row>
    <row r="4965">
      <c r="A4965" s="76">
        <v>45787.0</v>
      </c>
      <c r="B4965" s="1" t="s">
        <v>516</v>
      </c>
      <c r="C4965" s="1" t="s">
        <v>46</v>
      </c>
      <c r="D4965" s="1">
        <v>5.2</v>
      </c>
      <c r="E4965" s="1">
        <v>29960.0</v>
      </c>
      <c r="F4965" s="10">
        <f t="shared" si="1"/>
        <v>5.666666667</v>
      </c>
      <c r="G4965" s="10">
        <f t="array" ref="G4965">index('Player ID'!C:C,match(E4965,'Player ID'!B:B,0))</f>
        <v>700363</v>
      </c>
    </row>
    <row r="4966">
      <c r="A4966" s="76">
        <v>45787.0</v>
      </c>
      <c r="B4966" s="1" t="s">
        <v>13</v>
      </c>
      <c r="C4966" s="1" t="s">
        <v>14</v>
      </c>
      <c r="D4966" s="1">
        <v>0.0</v>
      </c>
      <c r="E4966" s="1">
        <v>17722.0</v>
      </c>
      <c r="F4966" s="10">
        <f t="shared" si="1"/>
        <v>0</v>
      </c>
      <c r="G4966" s="10">
        <f t="array" ref="G4966">index('Player ID'!C:C,match(E4966,'Player ID'!B:B,0))</f>
        <v>656730</v>
      </c>
    </row>
    <row r="4967">
      <c r="A4967" s="76">
        <v>45787.0</v>
      </c>
      <c r="B4967" s="1" t="s">
        <v>187</v>
      </c>
      <c r="C4967" s="1" t="s">
        <v>14</v>
      </c>
      <c r="D4967" s="1">
        <v>1.0</v>
      </c>
      <c r="E4967" s="1">
        <v>17735.0</v>
      </c>
      <c r="F4967" s="10">
        <f t="shared" si="1"/>
        <v>1</v>
      </c>
      <c r="G4967" s="10">
        <f t="array" ref="G4967">index('Player ID'!C:C,match(E4967,'Player ID'!B:B,0))</f>
        <v>641302</v>
      </c>
    </row>
    <row r="4968">
      <c r="A4968" s="76">
        <v>45787.0</v>
      </c>
      <c r="B4968" s="1" t="s">
        <v>261</v>
      </c>
      <c r="C4968" s="1" t="s">
        <v>54</v>
      </c>
      <c r="D4968" s="1">
        <v>1.0</v>
      </c>
      <c r="E4968" s="1">
        <v>17998.0</v>
      </c>
      <c r="F4968" s="10">
        <f t="shared" si="1"/>
        <v>1</v>
      </c>
      <c r="G4968" s="10">
        <f t="array" ref="G4968">index('Player ID'!C:C,match(E4968,'Player ID'!B:B,0))</f>
        <v>664126</v>
      </c>
    </row>
    <row r="4969">
      <c r="A4969" s="76">
        <v>45787.0</v>
      </c>
      <c r="B4969" s="1" t="s">
        <v>400</v>
      </c>
      <c r="C4969" s="1" t="s">
        <v>54</v>
      </c>
      <c r="D4969" s="1">
        <v>1.0</v>
      </c>
      <c r="E4969" s="1">
        <v>20539.0</v>
      </c>
      <c r="F4969" s="10">
        <f t="shared" si="1"/>
        <v>1</v>
      </c>
      <c r="G4969" s="10">
        <f t="array" ref="G4969">index('Player ID'!C:C,match(E4969,'Player ID'!B:B,0))</f>
        <v>670955</v>
      </c>
    </row>
    <row r="4970">
      <c r="A4970" s="76">
        <v>45787.0</v>
      </c>
      <c r="B4970" s="1" t="s">
        <v>318</v>
      </c>
      <c r="C4970" s="1" t="s">
        <v>14</v>
      </c>
      <c r="D4970" s="1">
        <v>0.2</v>
      </c>
      <c r="E4970" s="1">
        <v>20546.0</v>
      </c>
      <c r="F4970" s="10">
        <f t="shared" si="1"/>
        <v>0.6666666667</v>
      </c>
      <c r="G4970" s="10">
        <f t="array" ref="G4970">index('Player ID'!C:C,match(E4970,'Player ID'!B:B,0))</f>
        <v>681982</v>
      </c>
    </row>
    <row r="4971">
      <c r="A4971" s="76">
        <v>45787.0</v>
      </c>
      <c r="B4971" s="1" t="s">
        <v>705</v>
      </c>
      <c r="C4971" s="1" t="s">
        <v>54</v>
      </c>
      <c r="D4971" s="1">
        <v>1.0</v>
      </c>
      <c r="E4971" s="1">
        <v>20794.0</v>
      </c>
      <c r="F4971" s="10">
        <f t="shared" si="1"/>
        <v>1</v>
      </c>
      <c r="G4971" s="10">
        <f t="array" ref="G4971">index('Player ID'!C:C,match(E4971,'Player ID'!B:B,0))</f>
        <v>655889</v>
      </c>
    </row>
    <row r="4972">
      <c r="A4972" s="76">
        <v>45787.0</v>
      </c>
      <c r="B4972" s="1" t="s">
        <v>221</v>
      </c>
      <c r="C4972" s="1" t="s">
        <v>14</v>
      </c>
      <c r="D4972" s="1">
        <v>4.0</v>
      </c>
      <c r="E4972" s="1">
        <v>22191.0</v>
      </c>
      <c r="F4972" s="10">
        <f t="shared" si="1"/>
        <v>4</v>
      </c>
      <c r="G4972" s="10">
        <f t="array" ref="G4972">index('Player ID'!C:C,match(E4972,'Player ID'!B:B,0))</f>
        <v>668964</v>
      </c>
    </row>
    <row r="4973">
      <c r="A4973" s="76">
        <v>45787.0</v>
      </c>
      <c r="B4973" s="1" t="s">
        <v>413</v>
      </c>
      <c r="C4973" s="1" t="s">
        <v>54</v>
      </c>
      <c r="D4973" s="1">
        <v>6.0</v>
      </c>
      <c r="E4973" s="1">
        <v>22543.0</v>
      </c>
      <c r="F4973" s="10">
        <f t="shared" si="1"/>
        <v>6</v>
      </c>
      <c r="G4973" s="10">
        <f t="array" ref="G4973">index('Player ID'!C:C,match(E4973,'Player ID'!B:B,0))</f>
        <v>671737</v>
      </c>
    </row>
    <row r="4974">
      <c r="A4974" s="76">
        <v>45787.0</v>
      </c>
      <c r="B4974" s="1" t="s">
        <v>279</v>
      </c>
      <c r="C4974" s="1" t="s">
        <v>14</v>
      </c>
      <c r="D4974" s="1">
        <v>1.0</v>
      </c>
      <c r="E4974" s="1">
        <v>25327.0</v>
      </c>
      <c r="F4974" s="10">
        <f t="shared" si="1"/>
        <v>1</v>
      </c>
      <c r="G4974" s="10">
        <f t="array" ref="G4974">index('Player ID'!C:C,match(E4974,'Player ID'!B:B,0))</f>
        <v>682842</v>
      </c>
    </row>
    <row r="4975">
      <c r="A4975" s="76">
        <v>45787.0</v>
      </c>
      <c r="B4975" s="1" t="s">
        <v>112</v>
      </c>
      <c r="C4975" s="1" t="s">
        <v>14</v>
      </c>
      <c r="D4975" s="1">
        <v>1.0</v>
      </c>
      <c r="E4975" s="1">
        <v>25376.0</v>
      </c>
      <c r="F4975" s="10">
        <f t="shared" si="1"/>
        <v>1</v>
      </c>
      <c r="G4975" s="10">
        <f t="array" ref="G4975">index('Player ID'!C:C,match(E4975,'Player ID'!B:B,0))</f>
        <v>683232</v>
      </c>
    </row>
    <row r="4976">
      <c r="A4976" s="76">
        <v>45787.0</v>
      </c>
      <c r="B4976" s="1" t="s">
        <v>418</v>
      </c>
      <c r="C4976" s="1" t="s">
        <v>14</v>
      </c>
      <c r="D4976" s="1">
        <v>1.0</v>
      </c>
      <c r="E4976" s="1">
        <v>27517.0</v>
      </c>
      <c r="F4976" s="10">
        <f t="shared" si="1"/>
        <v>1</v>
      </c>
      <c r="G4976" s="10">
        <f t="array" ref="G4976">index('Player ID'!C:C,match(E4976,'Player ID'!B:B,0))</f>
        <v>657649</v>
      </c>
    </row>
    <row r="4977">
      <c r="A4977" s="76">
        <v>45787.0</v>
      </c>
      <c r="B4977" s="1" t="s">
        <v>57</v>
      </c>
      <c r="C4977" s="1" t="s">
        <v>56</v>
      </c>
      <c r="D4977" s="1">
        <v>5.0</v>
      </c>
      <c r="E4977" s="1">
        <v>10954.0</v>
      </c>
      <c r="F4977" s="10">
        <f t="shared" si="1"/>
        <v>5</v>
      </c>
      <c r="G4977" s="10">
        <f t="array" ref="G4977">index('Player ID'!C:C,match(E4977,'Player ID'!B:B,0))</f>
        <v>594798</v>
      </c>
    </row>
    <row r="4978">
      <c r="A4978" s="76">
        <v>45787.0</v>
      </c>
      <c r="B4978" s="1" t="s">
        <v>162</v>
      </c>
      <c r="C4978" s="1" t="s">
        <v>56</v>
      </c>
      <c r="D4978" s="1">
        <v>1.0</v>
      </c>
      <c r="E4978" s="1">
        <v>11752.0</v>
      </c>
      <c r="F4978" s="10">
        <f t="shared" si="1"/>
        <v>1</v>
      </c>
      <c r="G4978" s="10">
        <f t="array" ref="G4978">index('Player ID'!C:C,match(E4978,'Player ID'!B:B,0))</f>
        <v>592426</v>
      </c>
    </row>
    <row r="4979">
      <c r="A4979" s="76">
        <v>45787.0</v>
      </c>
      <c r="B4979" s="1" t="s">
        <v>666</v>
      </c>
      <c r="C4979" s="1" t="s">
        <v>62</v>
      </c>
      <c r="D4979" s="1">
        <v>2.0</v>
      </c>
      <c r="E4979" s="1">
        <v>12777.0</v>
      </c>
      <c r="F4979" s="10">
        <f t="shared" si="1"/>
        <v>2</v>
      </c>
      <c r="G4979" s="10">
        <f t="array" ref="G4979">index('Player ID'!C:C,match(E4979,'Player ID'!B:B,0))</f>
        <v>605154</v>
      </c>
    </row>
    <row r="4980">
      <c r="A4980" s="76">
        <v>45787.0</v>
      </c>
      <c r="B4980" s="1" t="s">
        <v>440</v>
      </c>
      <c r="C4980" s="1" t="s">
        <v>56</v>
      </c>
      <c r="D4980" s="1">
        <v>1.1</v>
      </c>
      <c r="E4980" s="1">
        <v>12857.0</v>
      </c>
      <c r="F4980" s="10">
        <f t="shared" si="1"/>
        <v>1.333333333</v>
      </c>
      <c r="G4980" s="10">
        <f t="array" ref="G4980">index('Player ID'!C:C,match(E4980,'Player ID'!B:B,0))</f>
        <v>542888</v>
      </c>
    </row>
    <row r="4981">
      <c r="A4981" s="76">
        <v>45787.0</v>
      </c>
      <c r="B4981" s="1" t="s">
        <v>151</v>
      </c>
      <c r="C4981" s="1" t="s">
        <v>56</v>
      </c>
      <c r="D4981" s="1">
        <v>1.2</v>
      </c>
      <c r="E4981" s="1">
        <v>13346.0</v>
      </c>
      <c r="F4981" s="10">
        <f t="shared" si="1"/>
        <v>1.666666667</v>
      </c>
      <c r="G4981" s="10">
        <f t="array" ref="G4981">index('Player ID'!C:C,match(E4981,'Player ID'!B:B,0))</f>
        <v>571948</v>
      </c>
    </row>
    <row r="4982">
      <c r="A4982" s="76">
        <v>45787.0</v>
      </c>
      <c r="B4982" s="1" t="s">
        <v>316</v>
      </c>
      <c r="C4982" s="1" t="s">
        <v>62</v>
      </c>
      <c r="D4982" s="1">
        <v>3.0</v>
      </c>
      <c r="E4982" s="1">
        <v>17479.0</v>
      </c>
      <c r="F4982" s="10">
        <f t="shared" si="1"/>
        <v>3</v>
      </c>
      <c r="G4982" s="10">
        <f t="array" ref="G4982">index('Player ID'!C:C,match(E4982,'Player ID'!B:B,0))</f>
        <v>656427</v>
      </c>
    </row>
    <row r="4983">
      <c r="A4983" s="76">
        <v>45787.0</v>
      </c>
      <c r="B4983" s="1" t="s">
        <v>721</v>
      </c>
      <c r="C4983" s="1" t="s">
        <v>62</v>
      </c>
      <c r="D4983" s="1">
        <v>1.1</v>
      </c>
      <c r="E4983" s="1">
        <v>20045.0</v>
      </c>
      <c r="F4983" s="10">
        <f t="shared" si="1"/>
        <v>1.333333333</v>
      </c>
      <c r="G4983" s="10">
        <f t="array" ref="G4983">index('Player ID'!C:C,match(E4983,'Player ID'!B:B,0))</f>
        <v>674944</v>
      </c>
    </row>
    <row r="4984">
      <c r="A4984" s="76">
        <v>45787.0</v>
      </c>
      <c r="B4984" s="1" t="s">
        <v>82</v>
      </c>
      <c r="C4984" s="1" t="s">
        <v>62</v>
      </c>
      <c r="D4984" s="1">
        <v>1.0</v>
      </c>
      <c r="E4984" s="1">
        <v>26231.0</v>
      </c>
      <c r="F4984" s="10">
        <f t="shared" si="1"/>
        <v>1</v>
      </c>
      <c r="G4984" s="10">
        <f t="array" ref="G4984">index('Player ID'!C:C,match(E4984,'Player ID'!B:B,0))</f>
        <v>663947</v>
      </c>
    </row>
    <row r="4985">
      <c r="A4985" s="76">
        <v>45787.0</v>
      </c>
      <c r="B4985" s="1" t="s">
        <v>160</v>
      </c>
      <c r="C4985" s="1" t="s">
        <v>62</v>
      </c>
      <c r="D4985" s="1">
        <v>1.2</v>
      </c>
      <c r="E4985" s="1">
        <v>29574.0</v>
      </c>
      <c r="F4985" s="10">
        <f t="shared" si="1"/>
        <v>1.666666667</v>
      </c>
      <c r="G4985" s="10">
        <f t="array" ref="G4985">index('Player ID'!C:C,match(E4985,'Player ID'!B:B,0))</f>
        <v>695445</v>
      </c>
    </row>
    <row r="4986">
      <c r="A4986" s="76">
        <v>45787.0</v>
      </c>
      <c r="B4986" s="1" t="s">
        <v>360</v>
      </c>
      <c r="C4986" s="1" t="s">
        <v>45</v>
      </c>
      <c r="D4986" s="1">
        <v>1.0</v>
      </c>
      <c r="E4986" s="1">
        <v>12972.0</v>
      </c>
      <c r="F4986" s="10">
        <f t="shared" si="1"/>
        <v>1</v>
      </c>
      <c r="G4986" s="10">
        <f t="array" ref="G4986">index('Player ID'!C:C,match(E4986,'Player ID'!B:B,0))</f>
        <v>605452</v>
      </c>
    </row>
    <row r="4987">
      <c r="A4987" s="76">
        <v>45787.0</v>
      </c>
      <c r="B4987" s="1" t="s">
        <v>117</v>
      </c>
      <c r="C4987" s="1" t="s">
        <v>70</v>
      </c>
      <c r="D4987" s="1">
        <v>0.2</v>
      </c>
      <c r="E4987" s="1">
        <v>13619.0</v>
      </c>
      <c r="F4987" s="10">
        <f t="shared" si="1"/>
        <v>0.6666666667</v>
      </c>
      <c r="G4987" s="10">
        <f t="array" ref="G4987">index('Player ID'!C:C,match(E4987,'Player ID'!B:B,0))</f>
        <v>596001</v>
      </c>
    </row>
    <row r="4988">
      <c r="A4988" s="76">
        <v>45787.0</v>
      </c>
      <c r="B4988" s="1" t="s">
        <v>827</v>
      </c>
      <c r="C4988" s="1" t="s">
        <v>45</v>
      </c>
      <c r="D4988" s="1">
        <v>7.0</v>
      </c>
      <c r="E4988" s="1">
        <v>17277.0</v>
      </c>
      <c r="F4988" s="10">
        <f t="shared" si="1"/>
        <v>7</v>
      </c>
      <c r="G4988" s="10">
        <f t="array" ref="G4988">index('Player ID'!C:C,match(E4988,'Player ID'!B:B,0))</f>
        <v>624133</v>
      </c>
    </row>
    <row r="4989">
      <c r="A4989" s="76">
        <v>45787.0</v>
      </c>
      <c r="B4989" s="1" t="s">
        <v>701</v>
      </c>
      <c r="C4989" s="1" t="s">
        <v>45</v>
      </c>
      <c r="D4989" s="1">
        <v>1.0</v>
      </c>
      <c r="E4989" s="1">
        <v>22713.0</v>
      </c>
      <c r="F4989" s="10">
        <f t="shared" si="1"/>
        <v>1</v>
      </c>
      <c r="G4989" s="10">
        <f t="array" ref="G4989">index('Player ID'!C:C,match(E4989,'Player ID'!B:B,0))</f>
        <v>672578</v>
      </c>
    </row>
    <row r="4990">
      <c r="A4990" s="76">
        <v>45787.0</v>
      </c>
      <c r="B4990" s="1" t="s">
        <v>398</v>
      </c>
      <c r="C4990" s="1" t="s">
        <v>70</v>
      </c>
      <c r="D4990" s="1">
        <v>1.1</v>
      </c>
      <c r="E4990" s="1">
        <v>23335.0</v>
      </c>
      <c r="F4990" s="10">
        <f t="shared" si="1"/>
        <v>1.333333333</v>
      </c>
      <c r="G4990" s="10">
        <f t="array" ref="G4990">index('Player ID'!C:C,match(E4990,'Player ID'!B:B,0))</f>
        <v>676282</v>
      </c>
    </row>
    <row r="4991">
      <c r="A4991" s="76">
        <v>45787.0</v>
      </c>
      <c r="B4991" s="1" t="s">
        <v>308</v>
      </c>
      <c r="C4991" s="1" t="s">
        <v>70</v>
      </c>
      <c r="D4991" s="1">
        <v>7.0</v>
      </c>
      <c r="E4991" s="1">
        <v>30134.0</v>
      </c>
      <c r="F4991" s="10">
        <f t="shared" si="1"/>
        <v>7</v>
      </c>
      <c r="G4991" s="10">
        <f t="array" ref="G4991">index('Player ID'!C:C,match(E4991,'Player ID'!B:B,0))</f>
        <v>676440</v>
      </c>
    </row>
    <row r="4992">
      <c r="A4992" s="76">
        <v>45787.0</v>
      </c>
      <c r="B4992" s="1" t="s">
        <v>757</v>
      </c>
      <c r="C4992" s="1" t="s">
        <v>22</v>
      </c>
      <c r="D4992" s="1">
        <v>1.0</v>
      </c>
      <c r="E4992" s="1">
        <v>3548.0</v>
      </c>
      <c r="F4992" s="10">
        <f t="shared" si="1"/>
        <v>1</v>
      </c>
      <c r="G4992" s="10">
        <f t="array" ref="G4992">index('Player ID'!C:C,match(E4992,'Player ID'!B:B,0))</f>
        <v>521230</v>
      </c>
    </row>
    <row r="4993">
      <c r="A4993" s="76">
        <v>45787.0</v>
      </c>
      <c r="B4993" s="1" t="s">
        <v>726</v>
      </c>
      <c r="C4993" s="1" t="s">
        <v>29</v>
      </c>
      <c r="D4993" s="1">
        <v>2.0</v>
      </c>
      <c r="E4993" s="1">
        <v>13761.0</v>
      </c>
      <c r="F4993" s="10">
        <f t="shared" si="1"/>
        <v>2</v>
      </c>
      <c r="G4993" s="10">
        <f t="array" ref="G4993">index('Player ID'!C:C,match(E4993,'Player ID'!B:B,0))</f>
        <v>608717</v>
      </c>
    </row>
    <row r="4994">
      <c r="A4994" s="76">
        <v>45787.0</v>
      </c>
      <c r="B4994" s="1" t="s">
        <v>493</v>
      </c>
      <c r="C4994" s="1" t="s">
        <v>22</v>
      </c>
      <c r="D4994" s="1">
        <v>1.0</v>
      </c>
      <c r="E4994" s="1">
        <v>16835.0</v>
      </c>
      <c r="F4994" s="10">
        <f t="shared" si="1"/>
        <v>1</v>
      </c>
      <c r="G4994" s="10">
        <f t="array" ref="G4994">index('Player ID'!C:C,match(E4994,'Player ID'!B:B,0))</f>
        <v>657514</v>
      </c>
    </row>
    <row r="4995">
      <c r="A4995" s="76">
        <v>45787.0</v>
      </c>
      <c r="B4995" s="1" t="s">
        <v>199</v>
      </c>
      <c r="C4995" s="1" t="s">
        <v>29</v>
      </c>
      <c r="D4995" s="1">
        <v>1.0</v>
      </c>
      <c r="E4995" s="1">
        <v>17611.0</v>
      </c>
      <c r="F4995" s="10">
        <f t="shared" si="1"/>
        <v>1</v>
      </c>
      <c r="G4995" s="10">
        <f t="array" ref="G4995">index('Player ID'!C:C,match(E4995,'Player ID'!B:B,0))</f>
        <v>664199</v>
      </c>
    </row>
    <row r="4996">
      <c r="A4996" s="76">
        <v>45787.0</v>
      </c>
      <c r="B4996" s="1" t="s">
        <v>205</v>
      </c>
      <c r="C4996" s="1" t="s">
        <v>29</v>
      </c>
      <c r="D4996" s="1">
        <v>5.0</v>
      </c>
      <c r="E4996" s="1">
        <v>21846.0</v>
      </c>
      <c r="F4996" s="10">
        <f t="shared" si="1"/>
        <v>5</v>
      </c>
      <c r="G4996" s="10">
        <f t="array" ref="G4996">index('Player ID'!C:C,match(E4996,'Player ID'!B:B,0))</f>
        <v>666142</v>
      </c>
    </row>
    <row r="4997">
      <c r="A4997" s="76">
        <v>45787.0</v>
      </c>
      <c r="B4997" s="1" t="s">
        <v>140</v>
      </c>
      <c r="C4997" s="1" t="s">
        <v>29</v>
      </c>
      <c r="D4997" s="1">
        <v>1.0</v>
      </c>
      <c r="E4997" s="1">
        <v>22717.0</v>
      </c>
      <c r="F4997" s="10">
        <f t="shared" si="1"/>
        <v>1</v>
      </c>
      <c r="G4997" s="10">
        <f t="array" ref="G4997">index('Player ID'!C:C,match(E4997,'Player ID'!B:B,0))</f>
        <v>672582</v>
      </c>
    </row>
    <row r="4998">
      <c r="A4998" s="76">
        <v>45787.0</v>
      </c>
      <c r="B4998" s="1" t="s">
        <v>100</v>
      </c>
      <c r="C4998" s="1" t="s">
        <v>22</v>
      </c>
      <c r="D4998" s="1">
        <v>7.0</v>
      </c>
      <c r="E4998" s="1">
        <v>27463.0</v>
      </c>
      <c r="F4998" s="10">
        <f t="shared" si="1"/>
        <v>7</v>
      </c>
      <c r="G4998" s="10">
        <f t="array" ref="G4998">index('Player ID'!C:C,match(E4998,'Player ID'!B:B,0))</f>
        <v>676979</v>
      </c>
    </row>
    <row r="4999">
      <c r="A4999" s="76">
        <v>45787.0</v>
      </c>
      <c r="B4999" s="1" t="s">
        <v>38</v>
      </c>
      <c r="C4999" s="1" t="s">
        <v>39</v>
      </c>
      <c r="D4999" s="1">
        <v>2.0</v>
      </c>
      <c r="E4999" s="1">
        <v>13580.0</v>
      </c>
      <c r="F4999" s="10">
        <f t="shared" si="1"/>
        <v>2</v>
      </c>
      <c r="G4999" s="10">
        <f t="array" ref="G4999">index('Player ID'!C:C,match(E4999,'Player ID'!B:B,0))</f>
        <v>595345</v>
      </c>
    </row>
    <row r="5000">
      <c r="A5000" s="76">
        <v>45787.0</v>
      </c>
      <c r="B5000" s="1" t="s">
        <v>447</v>
      </c>
      <c r="C5000" s="1" t="s">
        <v>39</v>
      </c>
      <c r="D5000" s="1">
        <v>2.0</v>
      </c>
      <c r="E5000" s="1">
        <v>13652.0</v>
      </c>
      <c r="F5000" s="10">
        <f t="shared" si="1"/>
        <v>2</v>
      </c>
      <c r="G5000" s="10">
        <f t="array" ref="G5000">index('Player ID'!C:C,match(E5000,'Player ID'!B:B,0))</f>
        <v>605463</v>
      </c>
    </row>
    <row r="5001">
      <c r="A5001" s="76">
        <v>45787.0</v>
      </c>
      <c r="B5001" s="1" t="s">
        <v>394</v>
      </c>
      <c r="C5001" s="1" t="s">
        <v>39</v>
      </c>
      <c r="D5001" s="1">
        <v>0.1</v>
      </c>
      <c r="E5001" s="1">
        <v>14120.0</v>
      </c>
      <c r="F5001" s="10">
        <f t="shared" si="1"/>
        <v>0.3333333333</v>
      </c>
      <c r="G5001" s="10">
        <f t="array" ref="G5001">index('Player ID'!C:C,match(E5001,'Player ID'!B:B,0))</f>
        <v>621121</v>
      </c>
    </row>
    <row r="5002">
      <c r="A5002" s="76">
        <v>45787.0</v>
      </c>
      <c r="B5002" s="1" t="s">
        <v>651</v>
      </c>
      <c r="C5002" s="1" t="s">
        <v>66</v>
      </c>
      <c r="D5002" s="1">
        <v>1.0</v>
      </c>
      <c r="E5002" s="1">
        <v>14771.0</v>
      </c>
      <c r="F5002" s="10">
        <f t="shared" si="1"/>
        <v>1</v>
      </c>
      <c r="G5002" s="10">
        <f t="array" ref="G5002">index('Player ID'!C:C,match(E5002,'Player ID'!B:B,0))</f>
        <v>641941</v>
      </c>
    </row>
    <row r="5003">
      <c r="A5003" s="76">
        <v>45787.0</v>
      </c>
      <c r="B5003" s="1" t="s">
        <v>475</v>
      </c>
      <c r="C5003" s="1" t="s">
        <v>66</v>
      </c>
      <c r="D5003" s="1">
        <v>0.1</v>
      </c>
      <c r="E5003" s="1">
        <v>14993.0</v>
      </c>
      <c r="F5003" s="10">
        <f t="shared" si="1"/>
        <v>0.3333333333</v>
      </c>
      <c r="G5003" s="10">
        <f t="array" ref="G5003">index('Player ID'!C:C,match(E5003,'Player ID'!B:B,0))</f>
        <v>605130</v>
      </c>
    </row>
    <row r="5004">
      <c r="A5004" s="76">
        <v>45787.0</v>
      </c>
      <c r="B5004" s="1" t="s">
        <v>345</v>
      </c>
      <c r="C5004" s="1" t="s">
        <v>66</v>
      </c>
      <c r="D5004" s="1">
        <v>1.0</v>
      </c>
      <c r="E5004" s="1">
        <v>19926.0</v>
      </c>
      <c r="F5004" s="10">
        <f t="shared" si="1"/>
        <v>1</v>
      </c>
      <c r="G5004" s="10">
        <f t="array" ref="G5004">index('Player ID'!C:C,match(E5004,'Player ID'!B:B,0))</f>
        <v>663574</v>
      </c>
    </row>
    <row r="5005">
      <c r="A5005" s="76">
        <v>45787.0</v>
      </c>
      <c r="B5005" s="1" t="s">
        <v>359</v>
      </c>
      <c r="C5005" s="1" t="s">
        <v>39</v>
      </c>
      <c r="D5005" s="1">
        <v>1.0</v>
      </c>
      <c r="E5005" s="1">
        <v>20061.0</v>
      </c>
      <c r="F5005" s="10">
        <f t="shared" si="1"/>
        <v>1</v>
      </c>
      <c r="G5005" s="10">
        <f t="array" ref="G5005">index('Player ID'!C:C,match(E5005,'Player ID'!B:B,0))</f>
        <v>672391</v>
      </c>
    </row>
    <row r="5006">
      <c r="A5006" s="76">
        <v>45787.0</v>
      </c>
      <c r="B5006" s="1" t="s">
        <v>102</v>
      </c>
      <c r="C5006" s="1" t="s">
        <v>39</v>
      </c>
      <c r="D5006" s="1">
        <v>1.2</v>
      </c>
      <c r="E5006" s="1">
        <v>21345.0</v>
      </c>
      <c r="F5006" s="10">
        <f t="shared" si="1"/>
        <v>1.666666667</v>
      </c>
      <c r="G5006" s="10">
        <f t="array" ref="G5006">index('Player ID'!C:C,match(E5006,'Player ID'!B:B,0))</f>
        <v>656986</v>
      </c>
    </row>
    <row r="5007">
      <c r="A5007" s="76">
        <v>45787.0</v>
      </c>
      <c r="B5007" s="1" t="s">
        <v>518</v>
      </c>
      <c r="C5007" s="1" t="s">
        <v>66</v>
      </c>
      <c r="D5007" s="1">
        <v>1.2</v>
      </c>
      <c r="E5007" s="1">
        <v>24581.0</v>
      </c>
      <c r="F5007" s="10">
        <f t="shared" si="1"/>
        <v>1.666666667</v>
      </c>
      <c r="G5007" s="10">
        <f t="array" ref="G5007">index('Player ID'!C:C,match(E5007,'Player ID'!B:B,0))</f>
        <v>680689</v>
      </c>
    </row>
    <row r="5008">
      <c r="A5008" s="76">
        <v>45787.0</v>
      </c>
      <c r="B5008" s="1" t="s">
        <v>353</v>
      </c>
      <c r="C5008" s="1" t="s">
        <v>66</v>
      </c>
      <c r="D5008" s="1">
        <v>2.1</v>
      </c>
      <c r="E5008" s="1">
        <v>25377.0</v>
      </c>
      <c r="F5008" s="10">
        <f t="shared" si="1"/>
        <v>2.333333333</v>
      </c>
      <c r="G5008" s="10">
        <f t="array" ref="G5008">index('Player ID'!C:C,match(E5008,'Player ID'!B:B,0))</f>
        <v>663903</v>
      </c>
    </row>
    <row r="5009">
      <c r="A5009" s="76">
        <v>45787.0</v>
      </c>
      <c r="B5009" s="1" t="s">
        <v>550</v>
      </c>
      <c r="C5009" s="1" t="s">
        <v>66</v>
      </c>
      <c r="D5009" s="1">
        <v>1.0</v>
      </c>
      <c r="E5009" s="1">
        <v>25620.0</v>
      </c>
      <c r="F5009" s="10">
        <f t="shared" si="1"/>
        <v>1</v>
      </c>
      <c r="G5009" s="10">
        <f t="array" ref="G5009">index('Player ID'!C:C,match(E5009,'Player ID'!B:B,0))</f>
        <v>682825</v>
      </c>
    </row>
    <row r="5010">
      <c r="A5010" s="76">
        <v>45787.0</v>
      </c>
      <c r="B5010" s="1" t="s">
        <v>211</v>
      </c>
      <c r="C5010" s="1" t="s">
        <v>66</v>
      </c>
      <c r="D5010" s="1">
        <v>1.2</v>
      </c>
      <c r="E5010" s="1">
        <v>27552.0</v>
      </c>
      <c r="F5010" s="10">
        <f t="shared" si="1"/>
        <v>1.666666667</v>
      </c>
      <c r="G5010" s="10">
        <f t="array" ref="G5010">index('Player ID'!C:C,match(E5010,'Player ID'!B:B,0))</f>
        <v>668933</v>
      </c>
    </row>
    <row r="5011">
      <c r="A5011" s="76">
        <v>45787.0</v>
      </c>
      <c r="B5011" s="1" t="s">
        <v>794</v>
      </c>
      <c r="C5011" s="1" t="s">
        <v>39</v>
      </c>
      <c r="D5011" s="1">
        <v>2.0</v>
      </c>
      <c r="E5011" s="1">
        <v>31884.0</v>
      </c>
      <c r="F5011" s="10">
        <f t="shared" si="1"/>
        <v>2</v>
      </c>
      <c r="G5011" s="10">
        <f t="array" ref="G5011">index('Player ID'!C:C,match(E5011,'Player ID'!B:B,0))</f>
        <v>701121</v>
      </c>
    </row>
    <row r="5012">
      <c r="A5012" s="76">
        <v>45787.0</v>
      </c>
      <c r="B5012" s="1" t="s">
        <v>661</v>
      </c>
      <c r="C5012" s="1" t="s">
        <v>36</v>
      </c>
      <c r="D5012" s="1">
        <v>1.0</v>
      </c>
      <c r="E5012" s="1">
        <v>16300.0</v>
      </c>
      <c r="F5012" s="10">
        <f t="shared" si="1"/>
        <v>1</v>
      </c>
      <c r="G5012" s="10">
        <f t="array" ref="G5012">index('Player ID'!C:C,match(E5012,'Player ID'!B:B,0))</f>
        <v>622786</v>
      </c>
    </row>
    <row r="5013">
      <c r="A5013" s="76">
        <v>45787.0</v>
      </c>
      <c r="B5013" s="1" t="s">
        <v>478</v>
      </c>
      <c r="C5013" s="1" t="s">
        <v>78</v>
      </c>
      <c r="D5013" s="1">
        <v>0.2</v>
      </c>
      <c r="E5013" s="1">
        <v>17964.0</v>
      </c>
      <c r="F5013" s="10">
        <f t="shared" si="1"/>
        <v>0.6666666667</v>
      </c>
      <c r="G5013" s="10">
        <f t="array" ref="G5013">index('Player ID'!C:C,match(E5013,'Player ID'!B:B,0))</f>
        <v>656457</v>
      </c>
    </row>
    <row r="5014">
      <c r="A5014" s="76">
        <v>45787.0</v>
      </c>
      <c r="B5014" s="1" t="s">
        <v>241</v>
      </c>
      <c r="C5014" s="1" t="s">
        <v>36</v>
      </c>
      <c r="D5014" s="1">
        <v>1.0</v>
      </c>
      <c r="E5014" s="1">
        <v>19222.0</v>
      </c>
      <c r="F5014" s="10">
        <f t="shared" si="1"/>
        <v>1</v>
      </c>
      <c r="G5014" s="10">
        <f t="array" ref="G5014">index('Player ID'!C:C,match(E5014,'Player ID'!B:B,0))</f>
        <v>669199</v>
      </c>
    </row>
    <row r="5015">
      <c r="A5015" s="76">
        <v>45787.0</v>
      </c>
      <c r="B5015" s="1" t="s">
        <v>89</v>
      </c>
      <c r="C5015" s="1" t="s">
        <v>36</v>
      </c>
      <c r="D5015" s="1">
        <v>1.0</v>
      </c>
      <c r="E5015" s="1">
        <v>19742.0</v>
      </c>
      <c r="F5015" s="10">
        <f t="shared" si="1"/>
        <v>1</v>
      </c>
      <c r="G5015" s="10">
        <f t="array" ref="G5015">index('Player ID'!C:C,match(E5015,'Player ID'!B:B,0))</f>
        <v>669622</v>
      </c>
    </row>
    <row r="5016">
      <c r="A5016" s="76">
        <v>45787.0</v>
      </c>
      <c r="B5016" s="1" t="s">
        <v>262</v>
      </c>
      <c r="C5016" s="1" t="s">
        <v>36</v>
      </c>
      <c r="D5016" s="1">
        <v>1.0</v>
      </c>
      <c r="E5016" s="1">
        <v>20116.0</v>
      </c>
      <c r="F5016" s="10">
        <f t="shared" si="1"/>
        <v>1</v>
      </c>
      <c r="G5016" s="10">
        <f t="array" ref="G5016">index('Player ID'!C:C,match(E5016,'Player ID'!B:B,0))</f>
        <v>676534</v>
      </c>
    </row>
    <row r="5017">
      <c r="A5017" s="76">
        <v>45787.0</v>
      </c>
      <c r="B5017" s="1" t="s">
        <v>116</v>
      </c>
      <c r="C5017" s="1" t="s">
        <v>78</v>
      </c>
      <c r="D5017" s="1">
        <v>1.0</v>
      </c>
      <c r="E5017" s="1">
        <v>20353.0</v>
      </c>
      <c r="F5017" s="10">
        <f t="shared" si="1"/>
        <v>1</v>
      </c>
      <c r="G5017" s="10">
        <f t="array" ref="G5017">index('Player ID'!C:C,match(E5017,'Player ID'!B:B,0))</f>
        <v>621051</v>
      </c>
    </row>
    <row r="5018">
      <c r="A5018" s="76">
        <v>45787.0</v>
      </c>
      <c r="B5018" s="1" t="s">
        <v>171</v>
      </c>
      <c r="C5018" s="1" t="s">
        <v>36</v>
      </c>
      <c r="D5018" s="1">
        <v>5.0</v>
      </c>
      <c r="E5018" s="1">
        <v>21690.0</v>
      </c>
      <c r="F5018" s="10">
        <f t="shared" si="1"/>
        <v>5</v>
      </c>
      <c r="G5018" s="10">
        <f t="array" ref="G5018">index('Player ID'!C:C,match(E5018,'Player ID'!B:B,0))</f>
        <v>665795</v>
      </c>
    </row>
    <row r="5019">
      <c r="A5019" s="76">
        <v>45787.0</v>
      </c>
      <c r="B5019" s="1" t="s">
        <v>806</v>
      </c>
      <c r="C5019" s="1" t="s">
        <v>78</v>
      </c>
      <c r="D5019" s="1">
        <v>0.1</v>
      </c>
      <c r="E5019" s="1">
        <v>26255.0</v>
      </c>
      <c r="F5019" s="10">
        <f t="shared" si="1"/>
        <v>0.3333333333</v>
      </c>
      <c r="G5019" s="10">
        <f t="array" ref="G5019">index('Player ID'!C:C,match(E5019,'Player ID'!B:B,0))</f>
        <v>673965</v>
      </c>
    </row>
    <row r="5020">
      <c r="A5020" s="76">
        <v>45787.0</v>
      </c>
      <c r="B5020" s="1" t="s">
        <v>367</v>
      </c>
      <c r="C5020" s="1" t="s">
        <v>78</v>
      </c>
      <c r="D5020" s="1">
        <v>0.1</v>
      </c>
      <c r="E5020" s="1">
        <v>27668.0</v>
      </c>
      <c r="F5020" s="10">
        <f t="shared" si="1"/>
        <v>0.3333333333</v>
      </c>
      <c r="G5020" s="10">
        <f t="array" ref="G5020">index('Player ID'!C:C,match(E5020,'Player ID'!B:B,0))</f>
        <v>685126</v>
      </c>
    </row>
    <row r="5021">
      <c r="A5021" s="76">
        <v>45787.0</v>
      </c>
      <c r="B5021" s="1" t="s">
        <v>317</v>
      </c>
      <c r="C5021" s="1" t="s">
        <v>78</v>
      </c>
      <c r="D5021" s="1">
        <v>0.2</v>
      </c>
      <c r="E5021" s="1">
        <v>29950.0</v>
      </c>
      <c r="F5021" s="10">
        <f t="shared" si="1"/>
        <v>0.6666666667</v>
      </c>
      <c r="G5021" s="10">
        <f t="array" ref="G5021">index('Player ID'!C:C,match(E5021,'Player ID'!B:B,0))</f>
        <v>673929</v>
      </c>
    </row>
    <row r="5022">
      <c r="A5022" s="76">
        <v>45787.0</v>
      </c>
      <c r="B5022" s="1" t="s">
        <v>470</v>
      </c>
      <c r="C5022" s="1" t="s">
        <v>78</v>
      </c>
      <c r="D5022" s="1">
        <v>6.0</v>
      </c>
      <c r="E5022" s="1">
        <v>31687.0</v>
      </c>
      <c r="F5022" s="10">
        <f t="shared" si="1"/>
        <v>6</v>
      </c>
      <c r="G5022" s="10">
        <f t="array" ref="G5022">index('Player ID'!C:C,match(E5022,'Player ID'!B:B,0))</f>
        <v>681343</v>
      </c>
    </row>
    <row r="5023">
      <c r="A5023" s="76">
        <v>45787.0</v>
      </c>
      <c r="B5023" s="1" t="s">
        <v>646</v>
      </c>
      <c r="C5023" s="1" t="s">
        <v>51</v>
      </c>
      <c r="D5023" s="1">
        <v>1.2</v>
      </c>
      <c r="E5023" s="1">
        <v>6107.0</v>
      </c>
      <c r="F5023" s="10">
        <f t="shared" si="1"/>
        <v>1.666666667</v>
      </c>
      <c r="G5023" s="10">
        <f t="array" ref="G5023">index('Player ID'!C:C,match(E5023,'Player ID'!B:B,0))</f>
        <v>623211</v>
      </c>
    </row>
    <row r="5024">
      <c r="A5024" s="76">
        <v>45787.0</v>
      </c>
      <c r="B5024" s="1" t="s">
        <v>203</v>
      </c>
      <c r="C5024" s="1" t="s">
        <v>34</v>
      </c>
      <c r="D5024" s="1">
        <v>1.0</v>
      </c>
      <c r="E5024" s="1">
        <v>11426.0</v>
      </c>
      <c r="F5024" s="10">
        <f t="shared" si="1"/>
        <v>1</v>
      </c>
      <c r="G5024" s="10">
        <f t="array" ref="G5024">index('Player ID'!C:C,match(E5024,'Player ID'!B:B,0))</f>
        <v>519141</v>
      </c>
    </row>
    <row r="5025">
      <c r="A5025" s="76">
        <v>45787.0</v>
      </c>
      <c r="B5025" s="1" t="s">
        <v>679</v>
      </c>
      <c r="C5025" s="1" t="s">
        <v>51</v>
      </c>
      <c r="D5025" s="1">
        <v>1.0</v>
      </c>
      <c r="E5025" s="1">
        <v>14710.0</v>
      </c>
      <c r="F5025" s="10">
        <f t="shared" si="1"/>
        <v>1</v>
      </c>
      <c r="G5025" s="10">
        <f t="array" ref="G5025">index('Player ID'!C:C,match(E5025,'Player ID'!B:B,0))</f>
        <v>621242</v>
      </c>
    </row>
    <row r="5026">
      <c r="A5026" s="76">
        <v>45787.0</v>
      </c>
      <c r="B5026" s="1" t="s">
        <v>297</v>
      </c>
      <c r="C5026" s="1" t="s">
        <v>34</v>
      </c>
      <c r="D5026" s="1">
        <v>1.0</v>
      </c>
      <c r="E5026" s="1">
        <v>15734.0</v>
      </c>
      <c r="F5026" s="10">
        <f t="shared" si="1"/>
        <v>1</v>
      </c>
      <c r="G5026" s="10">
        <f t="array" ref="G5026">index('Player ID'!C:C,match(E5026,'Player ID'!B:B,0))</f>
        <v>641745</v>
      </c>
    </row>
    <row r="5027">
      <c r="A5027" s="76">
        <v>45787.0</v>
      </c>
      <c r="B5027" s="1" t="s">
        <v>632</v>
      </c>
      <c r="C5027" s="1" t="s">
        <v>34</v>
      </c>
      <c r="D5027" s="1">
        <v>1.0</v>
      </c>
      <c r="E5027" s="1">
        <v>16703.0</v>
      </c>
      <c r="F5027" s="10">
        <f t="shared" si="1"/>
        <v>1</v>
      </c>
      <c r="G5027" s="10">
        <f t="array" ref="G5027">index('Player ID'!C:C,match(E5027,'Player ID'!B:B,0))</f>
        <v>657240</v>
      </c>
    </row>
    <row r="5028">
      <c r="A5028" s="76">
        <v>45787.0</v>
      </c>
      <c r="B5028" s="1" t="s">
        <v>825</v>
      </c>
      <c r="C5028" s="1" t="s">
        <v>51</v>
      </c>
      <c r="D5028" s="1">
        <v>0.2</v>
      </c>
      <c r="E5028" s="1">
        <v>17490.0</v>
      </c>
      <c r="F5028" s="10">
        <f t="shared" si="1"/>
        <v>0.6666666667</v>
      </c>
      <c r="G5028" s="10">
        <f t="array" ref="G5028">index('Player ID'!C:C,match(E5028,'Player ID'!B:B,0))</f>
        <v>650893</v>
      </c>
    </row>
    <row r="5029">
      <c r="A5029" s="76">
        <v>45787.0</v>
      </c>
      <c r="B5029" s="1" t="s">
        <v>386</v>
      </c>
      <c r="C5029" s="1" t="s">
        <v>51</v>
      </c>
      <c r="D5029" s="1">
        <v>4.2</v>
      </c>
      <c r="E5029" s="1">
        <v>21318.0</v>
      </c>
      <c r="F5029" s="10">
        <f t="shared" si="1"/>
        <v>4.666666667</v>
      </c>
      <c r="G5029" s="10">
        <f t="array" ref="G5029">index('Player ID'!C:C,match(E5029,'Player ID'!B:B,0))</f>
        <v>656731</v>
      </c>
    </row>
    <row r="5030">
      <c r="A5030" s="76">
        <v>45787.0</v>
      </c>
      <c r="B5030" s="1" t="s">
        <v>50</v>
      </c>
      <c r="C5030" s="1" t="s">
        <v>51</v>
      </c>
      <c r="D5030" s="1">
        <v>1.0</v>
      </c>
      <c r="E5030" s="1">
        <v>22175.0</v>
      </c>
      <c r="F5030" s="10">
        <f t="shared" si="1"/>
        <v>1</v>
      </c>
      <c r="G5030" s="10">
        <f t="array" ref="G5030">index('Player ID'!C:C,match(E5030,'Player ID'!B:B,0))</f>
        <v>668820</v>
      </c>
    </row>
    <row r="5031">
      <c r="A5031" s="76">
        <v>45787.0</v>
      </c>
      <c r="B5031" s="1" t="s">
        <v>388</v>
      </c>
      <c r="C5031" s="1" t="s">
        <v>34</v>
      </c>
      <c r="D5031" s="1">
        <v>1.0</v>
      </c>
      <c r="E5031" s="1">
        <v>26413.0</v>
      </c>
      <c r="F5031" s="10">
        <f t="shared" si="1"/>
        <v>1</v>
      </c>
      <c r="G5031" s="10">
        <f t="array" ref="G5031">index('Player ID'!C:C,match(E5031,'Player ID'!B:B,0))</f>
        <v>687863</v>
      </c>
    </row>
    <row r="5032">
      <c r="A5032" s="76">
        <v>45787.0</v>
      </c>
      <c r="B5032" s="1" t="s">
        <v>167</v>
      </c>
      <c r="C5032" s="1" t="s">
        <v>34</v>
      </c>
      <c r="D5032" s="1">
        <v>1.0</v>
      </c>
      <c r="E5032" s="1">
        <v>27914.0</v>
      </c>
      <c r="F5032" s="10">
        <f t="shared" si="1"/>
        <v>1</v>
      </c>
      <c r="G5032" s="10">
        <f t="array" ref="G5032">index('Player ID'!C:C,match(E5032,'Player ID'!B:B,0))</f>
        <v>694037</v>
      </c>
    </row>
    <row r="5033">
      <c r="A5033" s="76">
        <v>45787.0</v>
      </c>
      <c r="B5033" s="1" t="s">
        <v>434</v>
      </c>
      <c r="C5033" s="1" t="s">
        <v>34</v>
      </c>
      <c r="D5033" s="1">
        <v>4.0</v>
      </c>
      <c r="E5033" s="1">
        <v>31872.0</v>
      </c>
      <c r="F5033" s="10">
        <f t="shared" si="1"/>
        <v>4</v>
      </c>
      <c r="G5033" s="10">
        <f t="array" ref="G5033">index('Player ID'!C:C,match(E5033,'Player ID'!B:B,0))</f>
        <v>690990</v>
      </c>
    </row>
    <row r="5034">
      <c r="A5034" s="76">
        <v>45787.0</v>
      </c>
      <c r="B5034" s="1" t="s">
        <v>77</v>
      </c>
      <c r="C5034" s="1" t="s">
        <v>31</v>
      </c>
      <c r="D5034" s="1">
        <v>7.0</v>
      </c>
      <c r="E5034" s="1">
        <v>17995.0</v>
      </c>
      <c r="F5034" s="10">
        <f t="shared" si="1"/>
        <v>7</v>
      </c>
      <c r="G5034" s="10">
        <f t="array" ref="G5034">index('Player ID'!C:C,match(E5034,'Player ID'!B:B,0))</f>
        <v>657277</v>
      </c>
    </row>
    <row r="5035">
      <c r="A5035" s="76">
        <v>45787.0</v>
      </c>
      <c r="B5035" s="1" t="s">
        <v>28</v>
      </c>
      <c r="C5035" s="1" t="s">
        <v>16</v>
      </c>
      <c r="D5035" s="1">
        <v>1.0</v>
      </c>
      <c r="E5035" s="1">
        <v>20253.0</v>
      </c>
      <c r="F5035" s="10">
        <f t="shared" si="1"/>
        <v>1</v>
      </c>
      <c r="G5035" s="10">
        <f t="array" ref="G5035">index('Player ID'!C:C,match(E5035,'Player ID'!B:B,0))</f>
        <v>643377</v>
      </c>
    </row>
    <row r="5036">
      <c r="A5036" s="76">
        <v>45787.0</v>
      </c>
      <c r="B5036" s="1" t="s">
        <v>122</v>
      </c>
      <c r="C5036" s="1" t="s">
        <v>16</v>
      </c>
      <c r="D5036" s="1">
        <v>1.0</v>
      </c>
      <c r="E5036" s="1">
        <v>21029.0</v>
      </c>
      <c r="F5036" s="10">
        <f t="shared" si="1"/>
        <v>1</v>
      </c>
      <c r="G5036" s="10">
        <f t="array" ref="G5036">index('Player ID'!C:C,match(E5036,'Player ID'!B:B,0))</f>
        <v>661395</v>
      </c>
    </row>
    <row r="5037">
      <c r="A5037" s="76">
        <v>45787.0</v>
      </c>
      <c r="B5037" s="1" t="s">
        <v>150</v>
      </c>
      <c r="C5037" s="1" t="s">
        <v>16</v>
      </c>
      <c r="D5037" s="1">
        <v>6.0</v>
      </c>
      <c r="E5037" s="1">
        <v>21390.0</v>
      </c>
      <c r="F5037" s="10">
        <f t="shared" si="1"/>
        <v>6</v>
      </c>
      <c r="G5037" s="10">
        <f t="array" ref="G5037">index('Player ID'!C:C,match(E5037,'Player ID'!B:B,0))</f>
        <v>657746</v>
      </c>
    </row>
    <row r="5038">
      <c r="A5038" s="76">
        <v>45787.0</v>
      </c>
      <c r="B5038" s="1" t="s">
        <v>237</v>
      </c>
      <c r="C5038" s="1" t="s">
        <v>16</v>
      </c>
      <c r="D5038" s="1">
        <v>1.0</v>
      </c>
      <c r="E5038" s="1">
        <v>21461.0</v>
      </c>
      <c r="F5038" s="10">
        <f t="shared" si="1"/>
        <v>1</v>
      </c>
      <c r="G5038" s="10">
        <f t="array" ref="G5038">index('Player ID'!C:C,match(E5038,'Player ID'!B:B,0))</f>
        <v>663485</v>
      </c>
    </row>
    <row r="5039">
      <c r="A5039" s="76">
        <v>45787.0</v>
      </c>
      <c r="B5039" s="1" t="s">
        <v>654</v>
      </c>
      <c r="C5039" s="1" t="s">
        <v>31</v>
      </c>
      <c r="D5039" s="1">
        <v>1.0</v>
      </c>
      <c r="E5039" s="1">
        <v>23974.0</v>
      </c>
      <c r="F5039" s="10">
        <f t="shared" si="1"/>
        <v>1</v>
      </c>
      <c r="G5039" s="10">
        <f t="array" ref="G5039">index('Player ID'!C:C,match(E5039,'Player ID'!B:B,0))</f>
        <v>678495</v>
      </c>
    </row>
    <row r="5040">
      <c r="A5040" s="76">
        <v>45787.0</v>
      </c>
      <c r="B5040" s="1" t="s">
        <v>392</v>
      </c>
      <c r="C5040" s="1" t="s">
        <v>33</v>
      </c>
      <c r="D5040" s="1">
        <v>1.0</v>
      </c>
      <c r="E5040" s="1">
        <v>9073.0</v>
      </c>
      <c r="F5040" s="10">
        <f t="shared" si="1"/>
        <v>1</v>
      </c>
      <c r="G5040" s="10">
        <f t="array" ref="G5040">index('Player ID'!C:C,match(E5040,'Player ID'!B:B,0))</f>
        <v>489446</v>
      </c>
    </row>
    <row r="5041">
      <c r="A5041" s="76">
        <v>45787.0</v>
      </c>
      <c r="B5041" s="1" t="s">
        <v>431</v>
      </c>
      <c r="C5041" s="1" t="s">
        <v>64</v>
      </c>
      <c r="D5041" s="1">
        <v>7.0</v>
      </c>
      <c r="E5041" s="1">
        <v>19361.0</v>
      </c>
      <c r="F5041" s="10">
        <f t="shared" si="1"/>
        <v>7</v>
      </c>
      <c r="G5041" s="10">
        <f t="array" ref="G5041">index('Player ID'!C:C,match(E5041,'Player ID'!B:B,0))</f>
        <v>669203</v>
      </c>
    </row>
    <row r="5042">
      <c r="A5042" s="76">
        <v>45787.0</v>
      </c>
      <c r="B5042" s="1" t="s">
        <v>329</v>
      </c>
      <c r="C5042" s="1" t="s">
        <v>33</v>
      </c>
      <c r="D5042" s="1">
        <v>6.2</v>
      </c>
      <c r="E5042" s="1">
        <v>19716.0</v>
      </c>
      <c r="F5042" s="10">
        <f t="shared" si="1"/>
        <v>6.666666667</v>
      </c>
      <c r="G5042" s="10">
        <f t="array" ref="G5042">index('Player ID'!C:C,match(E5042,'Player ID'!B:B,0))</f>
        <v>669160</v>
      </c>
    </row>
    <row r="5043">
      <c r="A5043" s="76">
        <v>45787.0</v>
      </c>
      <c r="B5043" s="1" t="s">
        <v>92</v>
      </c>
      <c r="C5043" s="1" t="s">
        <v>33</v>
      </c>
      <c r="D5043" s="1">
        <v>0.1</v>
      </c>
      <c r="E5043" s="1">
        <v>25007.0</v>
      </c>
      <c r="F5043" s="10">
        <f t="shared" si="1"/>
        <v>0.3333333333</v>
      </c>
      <c r="G5043" s="10">
        <f t="array" ref="G5043">index('Player ID'!C:C,match(E5043,'Player ID'!B:B,0))</f>
        <v>681911</v>
      </c>
    </row>
    <row r="5044">
      <c r="A5044" s="76">
        <v>45787.0</v>
      </c>
      <c r="B5044" s="1" t="s">
        <v>93</v>
      </c>
      <c r="C5044" s="1" t="s">
        <v>64</v>
      </c>
      <c r="D5044" s="1">
        <v>2.0</v>
      </c>
      <c r="E5044" s="1">
        <v>26253.0</v>
      </c>
      <c r="F5044" s="10">
        <f t="shared" si="1"/>
        <v>2</v>
      </c>
      <c r="G5044" s="10">
        <f t="array" ref="G5044">index('Player ID'!C:C,match(E5044,'Player ID'!B:B,0))</f>
        <v>669194</v>
      </c>
    </row>
    <row r="5045">
      <c r="A5045" s="76">
        <v>45787.0</v>
      </c>
      <c r="B5045" s="1" t="s">
        <v>704</v>
      </c>
      <c r="C5045" s="1" t="s">
        <v>75</v>
      </c>
      <c r="D5045" s="1">
        <v>1.0</v>
      </c>
      <c r="E5045" s="1">
        <v>10591.0</v>
      </c>
      <c r="F5045" s="10">
        <f t="shared" si="1"/>
        <v>1</v>
      </c>
      <c r="G5045" s="10">
        <f t="array" ref="G5045">index('Player ID'!C:C,match(E5045,'Player ID'!B:B,0))</f>
        <v>518397</v>
      </c>
    </row>
    <row r="5046">
      <c r="A5046" s="76">
        <v>45787.0</v>
      </c>
      <c r="B5046" s="1" t="s">
        <v>751</v>
      </c>
      <c r="C5046" s="1" t="s">
        <v>75</v>
      </c>
      <c r="D5046" s="1">
        <v>2.0</v>
      </c>
      <c r="E5046" s="1">
        <v>13723.0</v>
      </c>
      <c r="F5046" s="10">
        <f t="shared" si="1"/>
        <v>2</v>
      </c>
      <c r="G5046" s="10">
        <f t="array" ref="G5046">index('Player ID'!C:C,match(E5046,'Player ID'!B:B,0))</f>
        <v>607732</v>
      </c>
    </row>
    <row r="5047">
      <c r="A5047" s="76">
        <v>45787.0</v>
      </c>
      <c r="B5047" s="1" t="s">
        <v>288</v>
      </c>
      <c r="C5047" s="1" t="s">
        <v>75</v>
      </c>
      <c r="D5047" s="1">
        <v>1.0</v>
      </c>
      <c r="E5047" s="1">
        <v>18297.0</v>
      </c>
      <c r="F5047" s="10">
        <f t="shared" si="1"/>
        <v>1</v>
      </c>
      <c r="G5047" s="10">
        <f t="array" ref="G5047">index('Player ID'!C:C,match(E5047,'Player ID'!B:B,0))</f>
        <v>641755</v>
      </c>
    </row>
    <row r="5048">
      <c r="A5048" s="76">
        <v>45787.0</v>
      </c>
      <c r="B5048" s="1" t="s">
        <v>179</v>
      </c>
      <c r="C5048" s="1" t="s">
        <v>26</v>
      </c>
      <c r="D5048" s="1">
        <v>9.0</v>
      </c>
      <c r="E5048" s="1">
        <v>21487.0</v>
      </c>
      <c r="F5048" s="10">
        <f t="shared" si="1"/>
        <v>9</v>
      </c>
      <c r="G5048" s="10">
        <f t="array" ref="G5048">index('Player ID'!C:C,match(E5048,'Player ID'!B:B,0))</f>
        <v>663568</v>
      </c>
    </row>
    <row r="5049">
      <c r="A5049" s="76">
        <v>45787.0</v>
      </c>
      <c r="B5049" s="1" t="s">
        <v>468</v>
      </c>
      <c r="C5049" s="1" t="s">
        <v>75</v>
      </c>
      <c r="D5049" s="1">
        <v>1.1</v>
      </c>
      <c r="E5049" s="1">
        <v>23237.0</v>
      </c>
      <c r="F5049" s="10">
        <f t="shared" si="1"/>
        <v>1.333333333</v>
      </c>
      <c r="G5049" s="10">
        <f t="array" ref="G5049">index('Player ID'!C:C,match(E5049,'Player ID'!B:B,0))</f>
        <v>675848</v>
      </c>
    </row>
    <row r="5050">
      <c r="A5050" s="76">
        <v>45787.0</v>
      </c>
      <c r="B5050" s="1" t="s">
        <v>466</v>
      </c>
      <c r="C5050" s="1" t="s">
        <v>75</v>
      </c>
      <c r="D5050" s="1">
        <v>3.2</v>
      </c>
      <c r="E5050" s="1">
        <v>26419.0</v>
      </c>
      <c r="F5050" s="10">
        <f t="shared" si="1"/>
        <v>3.666666667</v>
      </c>
      <c r="G5050" s="10">
        <f t="array" ref="G5050">index('Player ID'!C:C,match(E5050,'Player ID'!B:B,0))</f>
        <v>687134</v>
      </c>
    </row>
    <row r="5051">
      <c r="A5051" s="76">
        <v>45787.0</v>
      </c>
      <c r="B5051" s="1" t="s">
        <v>474</v>
      </c>
      <c r="C5051" s="1" t="s">
        <v>68</v>
      </c>
      <c r="D5051" s="1">
        <v>2.0</v>
      </c>
      <c r="E5051" s="1">
        <v>4676.0</v>
      </c>
      <c r="F5051" s="10">
        <f t="shared" si="1"/>
        <v>2</v>
      </c>
      <c r="G5051" s="10">
        <f t="array" ref="G5051">index('Player ID'!C:C,match(E5051,'Player ID'!B:B,0))</f>
        <v>450203</v>
      </c>
    </row>
    <row r="5052">
      <c r="A5052" s="76">
        <v>45787.0</v>
      </c>
      <c r="B5052" s="1" t="s">
        <v>588</v>
      </c>
      <c r="C5052" s="1" t="s">
        <v>68</v>
      </c>
      <c r="D5052" s="1">
        <v>4.0</v>
      </c>
      <c r="E5052" s="1">
        <v>10123.0</v>
      </c>
      <c r="F5052" s="10">
        <f t="shared" si="1"/>
        <v>4</v>
      </c>
      <c r="G5052" s="10">
        <f t="array" ref="G5052">index('Player ID'!C:C,match(E5052,'Player ID'!B:B,0))</f>
        <v>502043</v>
      </c>
    </row>
    <row r="5053">
      <c r="A5053" s="76">
        <v>45787.0</v>
      </c>
      <c r="B5053" s="1" t="s">
        <v>660</v>
      </c>
      <c r="C5053" s="1" t="s">
        <v>25</v>
      </c>
      <c r="D5053" s="1">
        <v>0.1</v>
      </c>
      <c r="E5053" s="1">
        <v>11804.0</v>
      </c>
      <c r="F5053" s="10">
        <f t="shared" si="1"/>
        <v>0.3333333333</v>
      </c>
      <c r="G5053" s="10">
        <f t="array" ref="G5053">index('Player ID'!C:C,match(E5053,'Player ID'!B:B,0))</f>
        <v>593576</v>
      </c>
    </row>
    <row r="5054">
      <c r="A5054" s="76">
        <v>45787.0</v>
      </c>
      <c r="B5054" s="1" t="s">
        <v>291</v>
      </c>
      <c r="C5054" s="1" t="s">
        <v>25</v>
      </c>
      <c r="D5054" s="1">
        <v>1.0</v>
      </c>
      <c r="E5054" s="1">
        <v>17968.0</v>
      </c>
      <c r="F5054" s="10">
        <f t="shared" si="1"/>
        <v>1</v>
      </c>
      <c r="G5054" s="10">
        <f t="array" ref="G5054">index('Player ID'!C:C,match(E5054,'Player ID'!B:B,0))</f>
        <v>656271</v>
      </c>
    </row>
    <row r="5055">
      <c r="A5055" s="76">
        <v>45787.0</v>
      </c>
      <c r="B5055" s="1" t="s">
        <v>675</v>
      </c>
      <c r="C5055" s="1" t="s">
        <v>68</v>
      </c>
      <c r="D5055" s="1">
        <v>0.1</v>
      </c>
      <c r="E5055" s="1">
        <v>19614.0</v>
      </c>
      <c r="F5055" s="10">
        <f t="shared" si="1"/>
        <v>0.3333333333</v>
      </c>
      <c r="G5055" s="10">
        <f t="array" ref="G5055">index('Player ID'!C:C,match(E5055,'Player ID'!B:B,0))</f>
        <v>672335</v>
      </c>
    </row>
    <row r="5056">
      <c r="A5056" s="76">
        <v>45787.0</v>
      </c>
      <c r="B5056" s="1" t="s">
        <v>782</v>
      </c>
      <c r="C5056" s="1" t="s">
        <v>68</v>
      </c>
      <c r="D5056" s="1">
        <v>1.2</v>
      </c>
      <c r="E5056" s="1">
        <v>24986.0</v>
      </c>
      <c r="F5056" s="10">
        <f t="shared" si="1"/>
        <v>1.666666667</v>
      </c>
      <c r="G5056" s="10">
        <f t="array" ref="G5056">index('Player ID'!C:C,match(E5056,'Player ID'!B:B,0))</f>
        <v>681882</v>
      </c>
    </row>
    <row r="5057">
      <c r="A5057" s="76">
        <v>45787.0</v>
      </c>
      <c r="B5057" s="1" t="s">
        <v>385</v>
      </c>
      <c r="C5057" s="1" t="s">
        <v>25</v>
      </c>
      <c r="D5057" s="1">
        <v>1.0</v>
      </c>
      <c r="E5057" s="1">
        <v>25420.0</v>
      </c>
      <c r="F5057" s="10">
        <f t="shared" si="1"/>
        <v>1</v>
      </c>
      <c r="G5057" s="10">
        <f t="array" ref="G5057">index('Player ID'!C:C,match(E5057,'Player ID'!B:B,0))</f>
        <v>666171</v>
      </c>
    </row>
    <row r="5058">
      <c r="A5058" s="76">
        <v>45787.0</v>
      </c>
      <c r="B5058" s="1" t="s">
        <v>521</v>
      </c>
      <c r="C5058" s="1" t="s">
        <v>25</v>
      </c>
      <c r="D5058" s="1">
        <v>5.2</v>
      </c>
      <c r="E5058" s="1">
        <v>27688.0</v>
      </c>
      <c r="F5058" s="10">
        <f t="shared" si="1"/>
        <v>5.666666667</v>
      </c>
      <c r="G5058" s="10">
        <f t="array" ref="G5058">index('Player ID'!C:C,match(E5058,'Player ID'!B:B,0))</f>
        <v>686799</v>
      </c>
    </row>
    <row r="5059">
      <c r="A5059" s="76">
        <v>45787.0</v>
      </c>
      <c r="B5059" s="1" t="s">
        <v>381</v>
      </c>
      <c r="C5059" s="1" t="s">
        <v>25</v>
      </c>
      <c r="D5059" s="1">
        <v>1.0</v>
      </c>
      <c r="E5059" s="1">
        <v>33908.0</v>
      </c>
      <c r="F5059" s="10">
        <f t="shared" si="1"/>
        <v>1</v>
      </c>
      <c r="G5059" s="10">
        <f t="array" ref="G5059">index('Player ID'!C:C,match(E5059,'Player ID'!B:B,0))</f>
        <v>820862</v>
      </c>
    </row>
    <row r="5060">
      <c r="A5060" s="76">
        <v>45787.0</v>
      </c>
      <c r="B5060" s="1" t="s">
        <v>53</v>
      </c>
      <c r="C5060" s="1" t="s">
        <v>37</v>
      </c>
      <c r="D5060" s="1">
        <v>1.0</v>
      </c>
      <c r="E5060" s="1">
        <v>17170.0</v>
      </c>
      <c r="F5060" s="10">
        <f t="shared" si="1"/>
        <v>1</v>
      </c>
      <c r="G5060" s="10">
        <f t="array" ref="G5060">index('Player ID'!C:C,match(E5060,'Player ID'!B:B,0))</f>
        <v>642100</v>
      </c>
    </row>
    <row r="5061">
      <c r="A5061" s="76">
        <v>45787.0</v>
      </c>
      <c r="B5061" s="1" t="s">
        <v>311</v>
      </c>
      <c r="C5061" s="1" t="s">
        <v>40</v>
      </c>
      <c r="D5061" s="1">
        <v>1.0</v>
      </c>
      <c r="E5061" s="1">
        <v>17432.0</v>
      </c>
      <c r="F5061" s="10">
        <f t="shared" si="1"/>
        <v>1</v>
      </c>
      <c r="G5061" s="10">
        <f t="array" ref="G5061">index('Player ID'!C:C,match(E5061,'Player ID'!B:B,0))</f>
        <v>656546</v>
      </c>
    </row>
    <row r="5062">
      <c r="A5062" s="76">
        <v>45787.0</v>
      </c>
      <c r="B5062" s="1" t="s">
        <v>428</v>
      </c>
      <c r="C5062" s="1" t="s">
        <v>40</v>
      </c>
      <c r="D5062" s="1">
        <v>6.2</v>
      </c>
      <c r="E5062" s="1">
        <v>20548.0</v>
      </c>
      <c r="F5062" s="10">
        <f t="shared" si="1"/>
        <v>6.666666667</v>
      </c>
      <c r="G5062" s="10">
        <f t="array" ref="G5062">index('Player ID'!C:C,match(E5062,'Player ID'!B:B,0))</f>
        <v>670102</v>
      </c>
    </row>
    <row r="5063">
      <c r="A5063" s="76">
        <v>45787.0</v>
      </c>
      <c r="B5063" s="1" t="s">
        <v>157</v>
      </c>
      <c r="C5063" s="1" t="s">
        <v>37</v>
      </c>
      <c r="D5063" s="1">
        <v>1.1</v>
      </c>
      <c r="E5063" s="1">
        <v>20997.0</v>
      </c>
      <c r="F5063" s="10">
        <f t="shared" si="1"/>
        <v>1.333333333</v>
      </c>
      <c r="G5063" s="10">
        <f t="array" ref="G5063">index('Player ID'!C:C,match(E5063,'Player ID'!B:B,0))</f>
        <v>660825</v>
      </c>
    </row>
    <row r="5064">
      <c r="A5064" s="76">
        <v>45787.0</v>
      </c>
      <c r="B5064" s="1" t="s">
        <v>101</v>
      </c>
      <c r="C5064" s="1" t="s">
        <v>37</v>
      </c>
      <c r="D5064" s="1">
        <v>0.2</v>
      </c>
      <c r="E5064" s="1">
        <v>22915.0</v>
      </c>
      <c r="F5064" s="10">
        <f t="shared" si="1"/>
        <v>0.6666666667</v>
      </c>
      <c r="G5064" s="10">
        <f t="array" ref="G5064">index('Player ID'!C:C,match(E5064,'Player ID'!B:B,0))</f>
        <v>672841</v>
      </c>
    </row>
    <row r="5065">
      <c r="A5065" s="76">
        <v>45787.0</v>
      </c>
      <c r="B5065" s="1" t="s">
        <v>254</v>
      </c>
      <c r="C5065" s="1" t="s">
        <v>37</v>
      </c>
      <c r="D5065" s="1">
        <v>1.0</v>
      </c>
      <c r="E5065" s="1">
        <v>25756.0</v>
      </c>
      <c r="F5065" s="10">
        <f t="shared" si="1"/>
        <v>1</v>
      </c>
      <c r="G5065" s="10">
        <f t="array" ref="G5065">index('Player ID'!C:C,match(E5065,'Player ID'!B:B,0))</f>
        <v>666374</v>
      </c>
    </row>
    <row r="5066">
      <c r="A5066" s="76">
        <v>45787.0</v>
      </c>
      <c r="B5066" s="1" t="s">
        <v>142</v>
      </c>
      <c r="C5066" s="1" t="s">
        <v>40</v>
      </c>
      <c r="D5066" s="1">
        <v>1.1</v>
      </c>
      <c r="E5066" s="1">
        <v>31553.0</v>
      </c>
      <c r="F5066" s="10">
        <f t="shared" si="1"/>
        <v>1.333333333</v>
      </c>
      <c r="G5066" s="10">
        <f t="array" ref="G5066">index('Player ID'!C:C,match(E5066,'Player ID'!B:B,0))</f>
        <v>689254</v>
      </c>
    </row>
    <row r="5067">
      <c r="A5067" s="76">
        <v>45787.0</v>
      </c>
      <c r="B5067" s="1" t="s">
        <v>255</v>
      </c>
      <c r="C5067" s="1" t="s">
        <v>37</v>
      </c>
      <c r="D5067" s="1">
        <v>5.0</v>
      </c>
      <c r="E5067" s="1">
        <v>33699.0</v>
      </c>
      <c r="F5067" s="10">
        <f t="shared" si="1"/>
        <v>5</v>
      </c>
      <c r="G5067" s="10">
        <f t="array" ref="G5067">index('Player ID'!C:C,match(E5067,'Player ID'!B:B,0))</f>
        <v>688138</v>
      </c>
    </row>
    <row r="5068">
      <c r="A5068" s="76">
        <v>45788.0</v>
      </c>
      <c r="B5068" s="1" t="s">
        <v>679</v>
      </c>
      <c r="C5068" s="1" t="s">
        <v>51</v>
      </c>
      <c r="D5068" s="1">
        <v>1.0</v>
      </c>
      <c r="E5068" s="1">
        <v>14710.0</v>
      </c>
      <c r="F5068" s="10">
        <f t="shared" si="1"/>
        <v>1</v>
      </c>
      <c r="G5068" s="10">
        <f t="array" ref="G5068">index('Player ID'!C:C,match(E5068,'Player ID'!B:B,0))</f>
        <v>621242</v>
      </c>
    </row>
    <row r="5069">
      <c r="A5069" s="76">
        <v>45788.0</v>
      </c>
      <c r="B5069" s="1" t="s">
        <v>246</v>
      </c>
      <c r="C5069" s="1" t="s">
        <v>34</v>
      </c>
      <c r="D5069" s="1">
        <v>6.0</v>
      </c>
      <c r="E5069" s="1">
        <v>15440.0</v>
      </c>
      <c r="F5069" s="10">
        <f t="shared" si="1"/>
        <v>6</v>
      </c>
      <c r="G5069" s="10">
        <f t="array" ref="G5069">index('Player ID'!C:C,match(E5069,'Player ID'!B:B,0))</f>
        <v>571510</v>
      </c>
    </row>
    <row r="5070">
      <c r="A5070" s="76">
        <v>45788.0</v>
      </c>
      <c r="B5070" s="1" t="s">
        <v>297</v>
      </c>
      <c r="C5070" s="1" t="s">
        <v>34</v>
      </c>
      <c r="D5070" s="1">
        <v>1.0</v>
      </c>
      <c r="E5070" s="1">
        <v>15734.0</v>
      </c>
      <c r="F5070" s="10">
        <f t="shared" si="1"/>
        <v>1</v>
      </c>
      <c r="G5070" s="10">
        <f t="array" ref="G5070">index('Player ID'!C:C,match(E5070,'Player ID'!B:B,0))</f>
        <v>641745</v>
      </c>
    </row>
    <row r="5071">
      <c r="A5071" s="76">
        <v>45788.0</v>
      </c>
      <c r="B5071" s="1" t="s">
        <v>292</v>
      </c>
      <c r="C5071" s="1" t="s">
        <v>51</v>
      </c>
      <c r="D5071" s="1">
        <v>1.0</v>
      </c>
      <c r="E5071" s="1">
        <v>15947.0</v>
      </c>
      <c r="F5071" s="10">
        <f t="shared" si="1"/>
        <v>1</v>
      </c>
      <c r="G5071" s="10">
        <f t="array" ref="G5071">index('Player ID'!C:C,match(E5071,'Player ID'!B:B,0))</f>
        <v>592773</v>
      </c>
    </row>
    <row r="5072">
      <c r="A5072" s="76">
        <v>45788.0</v>
      </c>
      <c r="B5072" s="1" t="s">
        <v>295</v>
      </c>
      <c r="C5072" s="1" t="s">
        <v>51</v>
      </c>
      <c r="D5072" s="1">
        <v>1.0</v>
      </c>
      <c r="E5072" s="1">
        <v>16866.0</v>
      </c>
      <c r="F5072" s="10">
        <f t="shared" si="1"/>
        <v>1</v>
      </c>
      <c r="G5072" s="10">
        <f t="array" ref="G5072">index('Player ID'!C:C,match(E5072,'Player ID'!B:B,0))</f>
        <v>657585</v>
      </c>
    </row>
    <row r="5073">
      <c r="A5073" s="76">
        <v>45788.0</v>
      </c>
      <c r="B5073" s="1" t="s">
        <v>382</v>
      </c>
      <c r="C5073" s="1" t="s">
        <v>51</v>
      </c>
      <c r="D5073" s="1">
        <v>6.0</v>
      </c>
      <c r="E5073" s="1">
        <v>19867.0</v>
      </c>
      <c r="F5073" s="10">
        <f t="shared" si="1"/>
        <v>6</v>
      </c>
      <c r="G5073" s="10">
        <f t="array" ref="G5073">index('Player ID'!C:C,match(E5073,'Player ID'!B:B,0))</f>
        <v>656288</v>
      </c>
    </row>
    <row r="5074">
      <c r="A5074" s="76">
        <v>45788.0</v>
      </c>
      <c r="B5074" s="1" t="s">
        <v>787</v>
      </c>
      <c r="C5074" s="1" t="s">
        <v>34</v>
      </c>
      <c r="D5074" s="1">
        <v>0.2</v>
      </c>
      <c r="E5074" s="1">
        <v>25427.0</v>
      </c>
      <c r="F5074" s="10">
        <f t="shared" si="1"/>
        <v>0.6666666667</v>
      </c>
      <c r="G5074" s="10">
        <f t="array" ref="G5074">index('Player ID'!C:C,match(E5074,'Player ID'!B:B,0))</f>
        <v>668970</v>
      </c>
    </row>
    <row r="5075">
      <c r="A5075" s="76">
        <v>45788.0</v>
      </c>
      <c r="B5075" s="1" t="s">
        <v>388</v>
      </c>
      <c r="C5075" s="1" t="s">
        <v>34</v>
      </c>
      <c r="D5075" s="1">
        <v>0.1</v>
      </c>
      <c r="E5075" s="1">
        <v>26413.0</v>
      </c>
      <c r="F5075" s="10">
        <f t="shared" si="1"/>
        <v>0.3333333333</v>
      </c>
      <c r="G5075" s="10">
        <f t="array" ref="G5075">index('Player ID'!C:C,match(E5075,'Player ID'!B:B,0))</f>
        <v>687863</v>
      </c>
    </row>
    <row r="5076">
      <c r="A5076" s="76">
        <v>45788.0</v>
      </c>
      <c r="B5076" s="1" t="s">
        <v>287</v>
      </c>
      <c r="C5076" s="1" t="s">
        <v>72</v>
      </c>
      <c r="D5076" s="1">
        <v>5.1</v>
      </c>
      <c r="E5076" s="1">
        <v>9803.0</v>
      </c>
      <c r="F5076" s="10">
        <f t="shared" si="1"/>
        <v>5.333333333</v>
      </c>
      <c r="G5076" s="10">
        <f t="array" ref="G5076">index('Player ID'!C:C,match(E5076,'Player ID'!B:B,0))</f>
        <v>571945</v>
      </c>
    </row>
    <row r="5077">
      <c r="A5077" s="76">
        <v>45788.0</v>
      </c>
      <c r="B5077" s="1" t="s">
        <v>506</v>
      </c>
      <c r="C5077" s="1" t="s">
        <v>80</v>
      </c>
      <c r="D5077" s="1">
        <v>0.1</v>
      </c>
      <c r="E5077" s="1">
        <v>12988.0</v>
      </c>
      <c r="F5077" s="10">
        <f t="shared" si="1"/>
        <v>0.3333333333</v>
      </c>
      <c r="G5077" s="10">
        <f t="array" ref="G5077">index('Player ID'!C:C,match(E5077,'Player ID'!B:B,0))</f>
        <v>605177</v>
      </c>
    </row>
    <row r="5078">
      <c r="A5078" s="76">
        <v>45788.0</v>
      </c>
      <c r="B5078" s="1" t="s">
        <v>83</v>
      </c>
      <c r="C5078" s="1" t="s">
        <v>72</v>
      </c>
      <c r="D5078" s="1">
        <v>1.2</v>
      </c>
      <c r="E5078" s="1">
        <v>13361.0</v>
      </c>
      <c r="F5078" s="10">
        <f t="shared" si="1"/>
        <v>1.666666667</v>
      </c>
      <c r="G5078" s="10">
        <f t="array" ref="G5078">index('Player ID'!C:C,match(E5078,'Player ID'!B:B,0))</f>
        <v>571927</v>
      </c>
    </row>
    <row r="5079">
      <c r="A5079" s="76">
        <v>45788.0</v>
      </c>
      <c r="B5079" s="1" t="s">
        <v>190</v>
      </c>
      <c r="C5079" s="1" t="s">
        <v>72</v>
      </c>
      <c r="D5079" s="1">
        <v>1.0</v>
      </c>
      <c r="E5079" s="1">
        <v>18064.0</v>
      </c>
      <c r="F5079" s="10">
        <f t="shared" si="1"/>
        <v>1</v>
      </c>
      <c r="G5079" s="10">
        <f t="array" ref="G5079">index('Player ID'!C:C,match(E5079,'Player ID'!B:B,0))</f>
        <v>664208</v>
      </c>
    </row>
    <row r="5080">
      <c r="A5080" s="76">
        <v>45788.0</v>
      </c>
      <c r="B5080" s="1" t="s">
        <v>273</v>
      </c>
      <c r="C5080" s="1" t="s">
        <v>72</v>
      </c>
      <c r="D5080" s="1">
        <v>1.0</v>
      </c>
      <c r="E5080" s="1">
        <v>22051.0</v>
      </c>
      <c r="F5080" s="10">
        <f t="shared" si="1"/>
        <v>1</v>
      </c>
      <c r="G5080" s="10">
        <f t="array" ref="G5080">index('Player ID'!C:C,match(E5080,'Player ID'!B:B,0))</f>
        <v>667463</v>
      </c>
    </row>
    <row r="5081">
      <c r="A5081" s="76">
        <v>45788.0</v>
      </c>
      <c r="B5081" s="1" t="s">
        <v>354</v>
      </c>
      <c r="C5081" s="1" t="s">
        <v>80</v>
      </c>
      <c r="D5081" s="1">
        <v>6.2</v>
      </c>
      <c r="E5081" s="1">
        <v>22201.0</v>
      </c>
      <c r="F5081" s="10">
        <f t="shared" si="1"/>
        <v>6.666666667</v>
      </c>
      <c r="G5081" s="10">
        <f t="array" ref="G5081">index('Player ID'!C:C,match(E5081,'Player ID'!B:B,0))</f>
        <v>669022</v>
      </c>
    </row>
    <row r="5082">
      <c r="A5082" s="76">
        <v>45788.0</v>
      </c>
      <c r="B5082" s="1" t="s">
        <v>818</v>
      </c>
      <c r="C5082" s="1" t="s">
        <v>80</v>
      </c>
      <c r="D5082" s="1">
        <v>1.0</v>
      </c>
      <c r="E5082" s="1">
        <v>27783.0</v>
      </c>
      <c r="F5082" s="10">
        <f t="shared" si="1"/>
        <v>1</v>
      </c>
      <c r="G5082" s="10">
        <f t="array" ref="G5082">index('Player ID'!C:C,match(E5082,'Player ID'!B:B,0))</f>
        <v>694350</v>
      </c>
    </row>
    <row r="5083">
      <c r="A5083" s="76">
        <v>45788.0</v>
      </c>
      <c r="B5083" s="1" t="s">
        <v>437</v>
      </c>
      <c r="C5083" s="1" t="s">
        <v>80</v>
      </c>
      <c r="D5083" s="1">
        <v>1.0</v>
      </c>
      <c r="E5083" s="1">
        <v>31972.0</v>
      </c>
      <c r="F5083" s="10">
        <f t="shared" si="1"/>
        <v>1</v>
      </c>
      <c r="G5083" s="10">
        <f t="array" ref="G5083">index('Player ID'!C:C,match(E5083,'Player ID'!B:B,0))</f>
        <v>695418</v>
      </c>
    </row>
    <row r="5084">
      <c r="A5084" s="76">
        <v>45788.0</v>
      </c>
      <c r="B5084" s="1" t="s">
        <v>156</v>
      </c>
      <c r="C5084" s="1" t="s">
        <v>46</v>
      </c>
      <c r="D5084" s="1">
        <v>5.2</v>
      </c>
      <c r="E5084" s="1">
        <v>10603.0</v>
      </c>
      <c r="F5084" s="10">
        <f t="shared" si="1"/>
        <v>5.666666667</v>
      </c>
      <c r="G5084" s="10">
        <f t="array" ref="G5084">index('Player ID'!C:C,match(E5084,'Player ID'!B:B,0))</f>
        <v>519242</v>
      </c>
    </row>
    <row r="5085">
      <c r="A5085" s="76">
        <v>45788.0</v>
      </c>
      <c r="B5085" s="1" t="s">
        <v>319</v>
      </c>
      <c r="C5085" s="1" t="s">
        <v>46</v>
      </c>
      <c r="D5085" s="1">
        <v>1.0</v>
      </c>
      <c r="E5085" s="1">
        <v>16258.0</v>
      </c>
      <c r="F5085" s="10">
        <f t="shared" si="1"/>
        <v>1</v>
      </c>
      <c r="G5085" s="10">
        <f t="array" ref="G5085">index('Player ID'!C:C,match(E5085,'Player ID'!B:B,0))</f>
        <v>607481</v>
      </c>
    </row>
    <row r="5086">
      <c r="A5086" s="76">
        <v>45788.0</v>
      </c>
      <c r="B5086" s="1" t="s">
        <v>443</v>
      </c>
      <c r="C5086" s="1" t="s">
        <v>60</v>
      </c>
      <c r="D5086" s="1">
        <v>2.0</v>
      </c>
      <c r="E5086" s="1">
        <v>16350.0</v>
      </c>
      <c r="F5086" s="10">
        <f t="shared" si="1"/>
        <v>2</v>
      </c>
      <c r="G5086" s="10">
        <f t="array" ref="G5086">index('Player ID'!C:C,match(E5086,'Player ID'!B:B,0))</f>
        <v>621366</v>
      </c>
    </row>
    <row r="5087">
      <c r="A5087" s="76">
        <v>45788.0</v>
      </c>
      <c r="B5087" s="1" t="s">
        <v>184</v>
      </c>
      <c r="C5087" s="1" t="s">
        <v>46</v>
      </c>
      <c r="D5087" s="1">
        <v>0.1</v>
      </c>
      <c r="E5087" s="1">
        <v>17130.0</v>
      </c>
      <c r="F5087" s="10">
        <f t="shared" si="1"/>
        <v>0.3333333333</v>
      </c>
      <c r="G5087" s="10">
        <f t="array" ref="G5087">index('Player ID'!C:C,match(E5087,'Player ID'!B:B,0))</f>
        <v>628452</v>
      </c>
    </row>
    <row r="5088">
      <c r="A5088" s="76">
        <v>45788.0</v>
      </c>
      <c r="B5088" s="1" t="s">
        <v>716</v>
      </c>
      <c r="C5088" s="1" t="s">
        <v>60</v>
      </c>
      <c r="D5088" s="1">
        <v>0.0</v>
      </c>
      <c r="E5088" s="1">
        <v>17610.0</v>
      </c>
      <c r="F5088" s="10">
        <f t="shared" si="1"/>
        <v>0</v>
      </c>
      <c r="G5088" s="10">
        <f t="array" ref="G5088">index('Player ID'!C:C,match(E5088,'Player ID'!B:B,0))</f>
        <v>663432</v>
      </c>
    </row>
    <row r="5089">
      <c r="A5089" s="76">
        <v>45788.0</v>
      </c>
      <c r="B5089" s="1" t="s">
        <v>217</v>
      </c>
      <c r="C5089" s="1" t="s">
        <v>60</v>
      </c>
      <c r="D5089" s="1">
        <v>1.0</v>
      </c>
      <c r="E5089" s="1">
        <v>17878.0</v>
      </c>
      <c r="F5089" s="10">
        <f t="shared" si="1"/>
        <v>1</v>
      </c>
      <c r="G5089" s="10">
        <f t="array" ref="G5089">index('Player ID'!C:C,match(E5089,'Player ID'!B:B,0))</f>
        <v>642701</v>
      </c>
    </row>
    <row r="5090">
      <c r="A5090" s="76">
        <v>45788.0</v>
      </c>
      <c r="B5090" s="1" t="s">
        <v>346</v>
      </c>
      <c r="C5090" s="1" t="s">
        <v>46</v>
      </c>
      <c r="D5090" s="1">
        <v>1.1</v>
      </c>
      <c r="E5090" s="1">
        <v>18403.0</v>
      </c>
      <c r="F5090" s="10">
        <f t="shared" si="1"/>
        <v>1.333333333</v>
      </c>
      <c r="G5090" s="10">
        <f t="array" ref="G5090">index('Player ID'!C:C,match(E5090,'Player ID'!B:B,0))</f>
        <v>660853</v>
      </c>
    </row>
    <row r="5091">
      <c r="A5091" s="76">
        <v>45788.0</v>
      </c>
      <c r="B5091" s="1" t="s">
        <v>384</v>
      </c>
      <c r="C5091" s="1" t="s">
        <v>60</v>
      </c>
      <c r="D5091" s="1">
        <v>0.1</v>
      </c>
      <c r="E5091" s="1">
        <v>19962.0</v>
      </c>
      <c r="F5091" s="10">
        <f t="shared" si="1"/>
        <v>0.3333333333</v>
      </c>
      <c r="G5091" s="10">
        <f t="array" ref="G5091">index('Player ID'!C:C,match(E5091,'Player ID'!B:B,0))</f>
        <v>666214</v>
      </c>
    </row>
    <row r="5092">
      <c r="A5092" s="76">
        <v>45788.0</v>
      </c>
      <c r="B5092" s="1" t="s">
        <v>267</v>
      </c>
      <c r="C5092" s="1" t="s">
        <v>60</v>
      </c>
      <c r="D5092" s="1">
        <v>5.2</v>
      </c>
      <c r="E5092" s="1">
        <v>27572.0</v>
      </c>
      <c r="F5092" s="10">
        <f t="shared" si="1"/>
        <v>5.666666667</v>
      </c>
      <c r="G5092" s="10">
        <f t="array" ref="G5092">index('Player ID'!C:C,match(E5092,'Player ID'!B:B,0))</f>
        <v>669387</v>
      </c>
    </row>
    <row r="5093">
      <c r="A5093" s="76">
        <v>45788.0</v>
      </c>
      <c r="B5093" s="1" t="s">
        <v>115</v>
      </c>
      <c r="C5093" s="1" t="s">
        <v>56</v>
      </c>
      <c r="D5093" s="1">
        <v>7.0</v>
      </c>
      <c r="E5093" s="1">
        <v>9132.0</v>
      </c>
      <c r="F5093" s="10">
        <f t="shared" si="1"/>
        <v>7</v>
      </c>
      <c r="G5093" s="10">
        <f t="array" ref="G5093">index('Player ID'!C:C,match(E5093,'Player ID'!B:B,0))</f>
        <v>543135</v>
      </c>
    </row>
    <row r="5094">
      <c r="A5094" s="76">
        <v>45788.0</v>
      </c>
      <c r="B5094" s="1" t="s">
        <v>74</v>
      </c>
      <c r="C5094" s="1" t="s">
        <v>56</v>
      </c>
      <c r="D5094" s="1">
        <v>1.0</v>
      </c>
      <c r="E5094" s="1">
        <v>11847.0</v>
      </c>
      <c r="F5094" s="10">
        <f t="shared" si="1"/>
        <v>1</v>
      </c>
      <c r="G5094" s="10">
        <f t="array" ref="G5094">index('Player ID'!C:C,match(E5094,'Player ID'!B:B,0))</f>
        <v>455119</v>
      </c>
    </row>
    <row r="5095">
      <c r="A5095" s="76">
        <v>45788.0</v>
      </c>
      <c r="B5095" s="1" t="s">
        <v>111</v>
      </c>
      <c r="C5095" s="1" t="s">
        <v>56</v>
      </c>
      <c r="D5095" s="1">
        <v>0.1</v>
      </c>
      <c r="E5095" s="1">
        <v>21306.0</v>
      </c>
      <c r="F5095" s="10">
        <f t="shared" si="1"/>
        <v>0.3333333333</v>
      </c>
      <c r="G5095" s="10">
        <f t="array" ref="G5095">index('Player ID'!C:C,match(E5095,'Player ID'!B:B,0))</f>
        <v>656641</v>
      </c>
    </row>
    <row r="5096">
      <c r="A5096" s="76">
        <v>45788.0</v>
      </c>
      <c r="B5096" s="1" t="s">
        <v>289</v>
      </c>
      <c r="C5096" s="1" t="s">
        <v>62</v>
      </c>
      <c r="D5096" s="1">
        <v>1.0</v>
      </c>
      <c r="E5096" s="1">
        <v>22304.0</v>
      </c>
      <c r="F5096" s="10">
        <f t="shared" si="1"/>
        <v>1</v>
      </c>
      <c r="G5096" s="10">
        <f t="array" ref="G5096">index('Player ID'!C:C,match(E5096,'Player ID'!B:B,0))</f>
        <v>669724</v>
      </c>
    </row>
    <row r="5097">
      <c r="A5097" s="76">
        <v>45788.0</v>
      </c>
      <c r="B5097" s="1" t="s">
        <v>268</v>
      </c>
      <c r="C5097" s="1" t="s">
        <v>56</v>
      </c>
      <c r="D5097" s="1">
        <v>0.2</v>
      </c>
      <c r="E5097" s="1">
        <v>23363.0</v>
      </c>
      <c r="F5097" s="10">
        <f t="shared" si="1"/>
        <v>0.6666666667</v>
      </c>
      <c r="G5097" s="10">
        <f t="array" ref="G5097">index('Player ID'!C:C,match(E5097,'Player ID'!B:B,0))</f>
        <v>676395</v>
      </c>
    </row>
    <row r="5098">
      <c r="A5098" s="76">
        <v>45788.0</v>
      </c>
      <c r="B5098" s="1" t="s">
        <v>419</v>
      </c>
      <c r="C5098" s="1" t="s">
        <v>62</v>
      </c>
      <c r="D5098" s="1">
        <v>4.0</v>
      </c>
      <c r="E5098" s="1">
        <v>24968.0</v>
      </c>
      <c r="F5098" s="10">
        <f t="shared" si="1"/>
        <v>4</v>
      </c>
      <c r="G5098" s="10">
        <f t="array" ref="G5098">index('Player ID'!C:C,match(E5098,'Player ID'!B:B,0))</f>
        <v>681857</v>
      </c>
    </row>
    <row r="5099">
      <c r="A5099" s="76">
        <v>45788.0</v>
      </c>
      <c r="B5099" s="1" t="s">
        <v>667</v>
      </c>
      <c r="C5099" s="1" t="s">
        <v>62</v>
      </c>
      <c r="D5099" s="1">
        <v>2.0</v>
      </c>
      <c r="E5099" s="1">
        <v>26079.0</v>
      </c>
      <c r="F5099" s="10">
        <f t="shared" si="1"/>
        <v>2</v>
      </c>
      <c r="G5099" s="10">
        <f t="array" ref="G5099">index('Player ID'!C:C,match(E5099,'Player ID'!B:B,0))</f>
        <v>689225</v>
      </c>
    </row>
    <row r="5100">
      <c r="A5100" s="76">
        <v>45788.0</v>
      </c>
      <c r="B5100" s="1" t="s">
        <v>160</v>
      </c>
      <c r="C5100" s="1" t="s">
        <v>62</v>
      </c>
      <c r="D5100" s="1">
        <v>1.0</v>
      </c>
      <c r="E5100" s="1">
        <v>29574.0</v>
      </c>
      <c r="F5100" s="10">
        <f t="shared" si="1"/>
        <v>1</v>
      </c>
      <c r="G5100" s="10">
        <f t="array" ref="G5100">index('Player ID'!C:C,match(E5100,'Player ID'!B:B,0))</f>
        <v>695445</v>
      </c>
    </row>
    <row r="5101">
      <c r="A5101" s="76">
        <v>45788.0</v>
      </c>
      <c r="B5101" s="1" t="s">
        <v>487</v>
      </c>
      <c r="C5101" s="1" t="s">
        <v>62</v>
      </c>
      <c r="D5101" s="1">
        <v>1.0</v>
      </c>
      <c r="E5101" s="1">
        <v>30133.0</v>
      </c>
      <c r="F5101" s="10">
        <f t="shared" si="1"/>
        <v>1</v>
      </c>
      <c r="G5101" s="10">
        <f t="array" ref="G5101">index('Player ID'!C:C,match(E5101,'Player ID'!B:B,0))</f>
        <v>676428</v>
      </c>
    </row>
    <row r="5102">
      <c r="A5102" s="76">
        <v>45788.0</v>
      </c>
      <c r="B5102" s="1" t="s">
        <v>634</v>
      </c>
      <c r="C5102" s="1" t="s">
        <v>14</v>
      </c>
      <c r="D5102" s="1">
        <v>1.0</v>
      </c>
      <c r="E5102" s="1">
        <v>14332.0</v>
      </c>
      <c r="F5102" s="10">
        <f t="shared" si="1"/>
        <v>1</v>
      </c>
      <c r="G5102" s="10">
        <f t="array" ref="G5102">index('Player ID'!C:C,match(E5102,'Player ID'!B:B,0))</f>
        <v>606303</v>
      </c>
    </row>
    <row r="5103">
      <c r="A5103" s="76">
        <v>45788.0</v>
      </c>
      <c r="B5103" s="1" t="s">
        <v>784</v>
      </c>
      <c r="C5103" s="1" t="s">
        <v>54</v>
      </c>
      <c r="D5103" s="1">
        <v>1.0</v>
      </c>
      <c r="E5103" s="1">
        <v>15256.0</v>
      </c>
      <c r="F5103" s="10">
        <f t="shared" si="1"/>
        <v>1</v>
      </c>
      <c r="G5103" s="10">
        <f t="array" ref="G5103">index('Player ID'!C:C,match(E5103,'Player ID'!B:B,0))</f>
        <v>642121</v>
      </c>
    </row>
    <row r="5104">
      <c r="A5104" s="76">
        <v>45788.0</v>
      </c>
      <c r="B5104" s="1" t="s">
        <v>13</v>
      </c>
      <c r="C5104" s="1" t="s">
        <v>14</v>
      </c>
      <c r="D5104" s="1">
        <v>1.0</v>
      </c>
      <c r="E5104" s="1">
        <v>17722.0</v>
      </c>
      <c r="F5104" s="10">
        <f t="shared" si="1"/>
        <v>1</v>
      </c>
      <c r="G5104" s="10">
        <f t="array" ref="G5104">index('Player ID'!C:C,match(E5104,'Player ID'!B:B,0))</f>
        <v>656730</v>
      </c>
    </row>
    <row r="5105">
      <c r="A5105" s="76">
        <v>45788.0</v>
      </c>
      <c r="B5105" s="1" t="s">
        <v>187</v>
      </c>
      <c r="C5105" s="1" t="s">
        <v>14</v>
      </c>
      <c r="D5105" s="1">
        <v>1.2</v>
      </c>
      <c r="E5105" s="1">
        <v>17735.0</v>
      </c>
      <c r="F5105" s="10">
        <f t="shared" si="1"/>
        <v>1.666666667</v>
      </c>
      <c r="G5105" s="10">
        <f t="array" ref="G5105">index('Player ID'!C:C,match(E5105,'Player ID'!B:B,0))</f>
        <v>641302</v>
      </c>
    </row>
    <row r="5106">
      <c r="A5106" s="76">
        <v>45788.0</v>
      </c>
      <c r="B5106" s="1" t="s">
        <v>185</v>
      </c>
      <c r="C5106" s="1" t="s">
        <v>54</v>
      </c>
      <c r="D5106" s="1">
        <v>0.2</v>
      </c>
      <c r="E5106" s="1">
        <v>17897.0</v>
      </c>
      <c r="F5106" s="10">
        <f t="shared" si="1"/>
        <v>0.6666666667</v>
      </c>
      <c r="G5106" s="10">
        <f t="array" ref="G5106">index('Player ID'!C:C,match(E5106,'Player ID'!B:B,0))</f>
        <v>664076</v>
      </c>
    </row>
    <row r="5107">
      <c r="A5107" s="76">
        <v>45788.0</v>
      </c>
      <c r="B5107" s="1" t="s">
        <v>705</v>
      </c>
      <c r="C5107" s="1" t="s">
        <v>54</v>
      </c>
      <c r="D5107" s="1">
        <v>0.1</v>
      </c>
      <c r="E5107" s="1">
        <v>20794.0</v>
      </c>
      <c r="F5107" s="10">
        <f t="shared" si="1"/>
        <v>0.3333333333</v>
      </c>
      <c r="G5107" s="10">
        <f t="array" ref="G5107">index('Player ID'!C:C,match(E5107,'Player ID'!B:B,0))</f>
        <v>655889</v>
      </c>
    </row>
    <row r="5108">
      <c r="A5108" s="76">
        <v>45788.0</v>
      </c>
      <c r="B5108" s="1" t="s">
        <v>279</v>
      </c>
      <c r="C5108" s="1" t="s">
        <v>14</v>
      </c>
      <c r="D5108" s="1">
        <v>1.0</v>
      </c>
      <c r="E5108" s="1">
        <v>25327.0</v>
      </c>
      <c r="F5108" s="10">
        <f t="shared" si="1"/>
        <v>1</v>
      </c>
      <c r="G5108" s="10">
        <f t="array" ref="G5108">index('Player ID'!C:C,match(E5108,'Player ID'!B:B,0))</f>
        <v>682842</v>
      </c>
    </row>
    <row r="5109">
      <c r="A5109" s="76">
        <v>45788.0</v>
      </c>
      <c r="B5109" s="1" t="s">
        <v>97</v>
      </c>
      <c r="C5109" s="1" t="s">
        <v>54</v>
      </c>
      <c r="D5109" s="1">
        <v>5.0</v>
      </c>
      <c r="E5109" s="1">
        <v>25385.0</v>
      </c>
      <c r="F5109" s="10">
        <f t="shared" si="1"/>
        <v>5</v>
      </c>
      <c r="G5109" s="10">
        <f t="array" ref="G5109">index('Player ID'!C:C,match(E5109,'Player ID'!B:B,0))</f>
        <v>656876</v>
      </c>
    </row>
    <row r="5110">
      <c r="A5110" s="76">
        <v>45788.0</v>
      </c>
      <c r="B5110" s="1" t="s">
        <v>257</v>
      </c>
      <c r="C5110" s="1" t="s">
        <v>54</v>
      </c>
      <c r="D5110" s="1">
        <v>1.0</v>
      </c>
      <c r="E5110" s="1">
        <v>27626.0</v>
      </c>
      <c r="F5110" s="10">
        <f t="shared" si="1"/>
        <v>1</v>
      </c>
      <c r="G5110" s="10">
        <f t="array" ref="G5110">index('Player ID'!C:C,match(E5110,'Player ID'!B:B,0))</f>
        <v>679358</v>
      </c>
    </row>
    <row r="5111">
      <c r="A5111" s="76">
        <v>45788.0</v>
      </c>
      <c r="B5111" s="1" t="s">
        <v>334</v>
      </c>
      <c r="C5111" s="1" t="s">
        <v>54</v>
      </c>
      <c r="D5111" s="1">
        <v>1.0</v>
      </c>
      <c r="E5111" s="1">
        <v>29770.0</v>
      </c>
      <c r="F5111" s="10">
        <f t="shared" si="1"/>
        <v>1</v>
      </c>
      <c r="G5111" s="10">
        <f t="array" ref="G5111">index('Player ID'!C:C,match(E5111,'Player ID'!B:B,0))</f>
        <v>682254</v>
      </c>
    </row>
    <row r="5112">
      <c r="A5112" s="76">
        <v>45788.0</v>
      </c>
      <c r="B5112" s="1" t="s">
        <v>496</v>
      </c>
      <c r="C5112" s="1" t="s">
        <v>14</v>
      </c>
      <c r="D5112" s="1">
        <v>4.1</v>
      </c>
      <c r="E5112" s="1">
        <v>30113.0</v>
      </c>
      <c r="F5112" s="10">
        <f t="shared" si="1"/>
        <v>4.333333333</v>
      </c>
      <c r="G5112" s="10">
        <f t="array" ref="G5112">index('Player ID'!C:C,match(E5112,'Player ID'!B:B,0))</f>
        <v>694477</v>
      </c>
    </row>
    <row r="5113">
      <c r="A5113" s="76">
        <v>45788.0</v>
      </c>
      <c r="B5113" s="1" t="s">
        <v>230</v>
      </c>
      <c r="C5113" s="1" t="s">
        <v>22</v>
      </c>
      <c r="D5113" s="1">
        <v>1.0</v>
      </c>
      <c r="E5113" s="1">
        <v>4301.0</v>
      </c>
      <c r="F5113" s="10">
        <f t="shared" si="1"/>
        <v>1</v>
      </c>
      <c r="G5113" s="10">
        <f t="array" ref="G5113">index('Player ID'!C:C,match(E5113,'Player ID'!B:B,0))</f>
        <v>458677</v>
      </c>
    </row>
    <row r="5114">
      <c r="A5114" s="76">
        <v>45788.0</v>
      </c>
      <c r="B5114" s="1" t="s">
        <v>41</v>
      </c>
      <c r="C5114" s="1" t="s">
        <v>22</v>
      </c>
      <c r="D5114" s="1">
        <v>1.0</v>
      </c>
      <c r="E5114" s="1">
        <v>10233.0</v>
      </c>
      <c r="F5114" s="10">
        <f t="shared" si="1"/>
        <v>1</v>
      </c>
      <c r="G5114" s="10">
        <f t="array" ref="G5114">index('Player ID'!C:C,match(E5114,'Player ID'!B:B,0))</f>
        <v>547973</v>
      </c>
    </row>
    <row r="5115">
      <c r="A5115" s="76">
        <v>45788.0</v>
      </c>
      <c r="B5115" s="1" t="s">
        <v>452</v>
      </c>
      <c r="C5115" s="1" t="s">
        <v>29</v>
      </c>
      <c r="D5115" s="1">
        <v>6.0</v>
      </c>
      <c r="E5115" s="1">
        <v>12447.0</v>
      </c>
      <c r="F5115" s="10">
        <f t="shared" si="1"/>
        <v>6</v>
      </c>
      <c r="G5115" s="10">
        <f t="array" ref="G5115">index('Player ID'!C:C,match(E5115,'Player ID'!B:B,0))</f>
        <v>607625</v>
      </c>
    </row>
    <row r="5116">
      <c r="A5116" s="76">
        <v>45788.0</v>
      </c>
      <c r="B5116" s="1" t="s">
        <v>416</v>
      </c>
      <c r="C5116" s="1" t="s">
        <v>22</v>
      </c>
      <c r="D5116" s="1">
        <v>6.2</v>
      </c>
      <c r="E5116" s="1">
        <v>15474.0</v>
      </c>
      <c r="F5116" s="10">
        <f t="shared" si="1"/>
        <v>6.666666667</v>
      </c>
      <c r="G5116" s="10">
        <f t="array" ref="G5116">index('Player ID'!C:C,match(E5116,'Player ID'!B:B,0))</f>
        <v>608337</v>
      </c>
    </row>
    <row r="5117">
      <c r="A5117" s="76">
        <v>45788.0</v>
      </c>
      <c r="B5117" s="1" t="s">
        <v>199</v>
      </c>
      <c r="C5117" s="1" t="s">
        <v>29</v>
      </c>
      <c r="D5117" s="1">
        <v>1.0</v>
      </c>
      <c r="E5117" s="1">
        <v>17611.0</v>
      </c>
      <c r="F5117" s="10">
        <f t="shared" si="1"/>
        <v>1</v>
      </c>
      <c r="G5117" s="10">
        <f t="array" ref="G5117">index('Player ID'!C:C,match(E5117,'Player ID'!B:B,0))</f>
        <v>664199</v>
      </c>
    </row>
    <row r="5118">
      <c r="A5118" s="76">
        <v>45788.0</v>
      </c>
      <c r="B5118" s="1" t="s">
        <v>144</v>
      </c>
      <c r="C5118" s="1" t="s">
        <v>29</v>
      </c>
      <c r="D5118" s="1">
        <v>0.1</v>
      </c>
      <c r="E5118" s="1">
        <v>20020.0</v>
      </c>
      <c r="F5118" s="10">
        <f t="shared" si="1"/>
        <v>0.3333333333</v>
      </c>
      <c r="G5118" s="10">
        <f t="array" ref="G5118">index('Player ID'!C:C,match(E5118,'Player ID'!B:B,0))</f>
        <v>670167</v>
      </c>
    </row>
    <row r="5119">
      <c r="A5119" s="76">
        <v>45788.0</v>
      </c>
      <c r="B5119" s="1" t="s">
        <v>406</v>
      </c>
      <c r="C5119" s="1" t="s">
        <v>22</v>
      </c>
      <c r="D5119" s="1">
        <v>0.1</v>
      </c>
      <c r="E5119" s="1">
        <v>20375.0</v>
      </c>
      <c r="F5119" s="10">
        <f t="shared" si="1"/>
        <v>0.3333333333</v>
      </c>
      <c r="G5119" s="10">
        <f t="array" ref="G5119">index('Player ID'!C:C,match(E5119,'Player ID'!B:B,0))</f>
        <v>669711</v>
      </c>
    </row>
    <row r="5120">
      <c r="A5120" s="76">
        <v>45788.0</v>
      </c>
      <c r="B5120" s="1" t="s">
        <v>293</v>
      </c>
      <c r="C5120" s="1" t="s">
        <v>29</v>
      </c>
      <c r="D5120" s="1">
        <v>0.2</v>
      </c>
      <c r="E5120" s="1">
        <v>21537.0</v>
      </c>
      <c r="F5120" s="10">
        <f t="shared" si="1"/>
        <v>0.6666666667</v>
      </c>
      <c r="G5120" s="10">
        <f t="array" ref="G5120">index('Player ID'!C:C,match(E5120,'Player ID'!B:B,0))</f>
        <v>663738</v>
      </c>
    </row>
    <row r="5121">
      <c r="A5121" s="76">
        <v>45788.0</v>
      </c>
      <c r="B5121" s="1" t="s">
        <v>214</v>
      </c>
      <c r="C5121" s="1" t="s">
        <v>29</v>
      </c>
      <c r="D5121" s="1">
        <v>1.0</v>
      </c>
      <c r="E5121" s="1">
        <v>23165.0</v>
      </c>
      <c r="F5121" s="10">
        <f t="shared" si="1"/>
        <v>1</v>
      </c>
      <c r="G5121" s="10">
        <f t="array" ref="G5121">index('Player ID'!C:C,match(E5121,'Player ID'!B:B,0))</f>
        <v>674444</v>
      </c>
    </row>
    <row r="5122">
      <c r="A5122" s="76">
        <v>45788.0</v>
      </c>
      <c r="B5122" s="1" t="s">
        <v>362</v>
      </c>
      <c r="C5122" s="1" t="s">
        <v>66</v>
      </c>
      <c r="D5122" s="1">
        <v>2.0</v>
      </c>
      <c r="E5122" s="1">
        <v>13449.0</v>
      </c>
      <c r="F5122" s="10">
        <f t="shared" si="1"/>
        <v>2</v>
      </c>
      <c r="G5122" s="10">
        <f t="array" ref="G5122">index('Player ID'!C:C,match(E5122,'Player ID'!B:B,0))</f>
        <v>573124</v>
      </c>
    </row>
    <row r="5123">
      <c r="A5123" s="76">
        <v>45788.0</v>
      </c>
      <c r="B5123" s="1" t="s">
        <v>417</v>
      </c>
      <c r="C5123" s="1" t="s">
        <v>66</v>
      </c>
      <c r="D5123" s="1">
        <v>1.0</v>
      </c>
      <c r="E5123" s="1">
        <v>13942.0</v>
      </c>
      <c r="F5123" s="10">
        <f t="shared" si="1"/>
        <v>1</v>
      </c>
      <c r="G5123" s="10">
        <f t="array" ref="G5123">index('Player ID'!C:C,match(E5123,'Player ID'!B:B,0))</f>
        <v>608718</v>
      </c>
    </row>
    <row r="5124">
      <c r="A5124" s="76">
        <v>45788.0</v>
      </c>
      <c r="B5124" s="1" t="s">
        <v>475</v>
      </c>
      <c r="C5124" s="1" t="s">
        <v>66</v>
      </c>
      <c r="D5124" s="1">
        <v>1.0</v>
      </c>
      <c r="E5124" s="1">
        <v>14993.0</v>
      </c>
      <c r="F5124" s="10">
        <f t="shared" si="1"/>
        <v>1</v>
      </c>
      <c r="G5124" s="10">
        <f t="array" ref="G5124">index('Player ID'!C:C,match(E5124,'Player ID'!B:B,0))</f>
        <v>605130</v>
      </c>
    </row>
    <row r="5125">
      <c r="A5125" s="76">
        <v>45788.0</v>
      </c>
      <c r="B5125" s="1" t="s">
        <v>314</v>
      </c>
      <c r="C5125" s="1" t="s">
        <v>39</v>
      </c>
      <c r="D5125" s="1">
        <v>8.0</v>
      </c>
      <c r="E5125" s="1">
        <v>19407.0</v>
      </c>
      <c r="F5125" s="10">
        <f t="shared" si="1"/>
        <v>8</v>
      </c>
      <c r="G5125" s="10">
        <f t="array" ref="G5125">index('Player ID'!C:C,match(E5125,'Player ID'!B:B,0))</f>
        <v>669854</v>
      </c>
    </row>
    <row r="5126">
      <c r="A5126" s="76">
        <v>45788.0</v>
      </c>
      <c r="B5126" s="1" t="s">
        <v>518</v>
      </c>
      <c r="C5126" s="1" t="s">
        <v>66</v>
      </c>
      <c r="D5126" s="1">
        <v>1.0</v>
      </c>
      <c r="E5126" s="1">
        <v>24581.0</v>
      </c>
      <c r="F5126" s="10">
        <f t="shared" si="1"/>
        <v>1</v>
      </c>
      <c r="G5126" s="10">
        <f t="array" ref="G5126">index('Player ID'!C:C,match(E5126,'Player ID'!B:B,0))</f>
        <v>680689</v>
      </c>
    </row>
    <row r="5127">
      <c r="A5127" s="76">
        <v>45788.0</v>
      </c>
      <c r="B5127" s="1" t="s">
        <v>444</v>
      </c>
      <c r="C5127" s="1" t="s">
        <v>39</v>
      </c>
      <c r="D5127" s="1">
        <v>1.0</v>
      </c>
      <c r="E5127" s="1">
        <v>24977.0</v>
      </c>
      <c r="F5127" s="10">
        <f t="shared" si="1"/>
        <v>1</v>
      </c>
      <c r="G5127" s="10">
        <f t="array" ref="G5127">index('Player ID'!C:C,match(E5127,'Player ID'!B:B,0))</f>
        <v>681869</v>
      </c>
    </row>
    <row r="5128">
      <c r="A5128" s="76">
        <v>45788.0</v>
      </c>
      <c r="B5128" s="1" t="s">
        <v>602</v>
      </c>
      <c r="C5128" s="1" t="s">
        <v>66</v>
      </c>
      <c r="D5128" s="1">
        <v>3.0</v>
      </c>
      <c r="E5128" s="1">
        <v>30170.0</v>
      </c>
      <c r="F5128" s="10">
        <f t="shared" si="1"/>
        <v>3</v>
      </c>
      <c r="G5128" s="10">
        <f t="array" ref="G5128">index('Player ID'!C:C,match(E5128,'Player ID'!B:B,0))</f>
        <v>695534</v>
      </c>
    </row>
    <row r="5129">
      <c r="A5129" s="76">
        <v>45788.0</v>
      </c>
      <c r="B5129" s="1" t="s">
        <v>435</v>
      </c>
      <c r="C5129" s="1" t="s">
        <v>16</v>
      </c>
      <c r="D5129" s="1">
        <v>1.0</v>
      </c>
      <c r="E5129" s="1">
        <v>13293.0</v>
      </c>
      <c r="F5129" s="10">
        <f t="shared" si="1"/>
        <v>1</v>
      </c>
      <c r="G5129" s="10">
        <f t="array" ref="G5129">index('Player ID'!C:C,match(E5129,'Player ID'!B:B,0))</f>
        <v>543056</v>
      </c>
    </row>
    <row r="5130">
      <c r="A5130" s="76">
        <v>45788.0</v>
      </c>
      <c r="B5130" s="1" t="s">
        <v>20</v>
      </c>
      <c r="C5130" s="1" t="s">
        <v>31</v>
      </c>
      <c r="D5130" s="1">
        <v>1.0</v>
      </c>
      <c r="E5130" s="1">
        <v>15541.0</v>
      </c>
      <c r="F5130" s="10">
        <f t="shared" si="1"/>
        <v>1</v>
      </c>
      <c r="G5130" s="10">
        <f t="array" ref="G5130">index('Player ID'!C:C,match(E5130,'Player ID'!B:B,0))</f>
        <v>643511</v>
      </c>
    </row>
    <row r="5131">
      <c r="A5131" s="76">
        <v>45788.0</v>
      </c>
      <c r="B5131" s="1" t="s">
        <v>664</v>
      </c>
      <c r="C5131" s="1" t="s">
        <v>16</v>
      </c>
      <c r="D5131" s="1">
        <v>6.0</v>
      </c>
      <c r="E5131" s="1">
        <v>17085.0</v>
      </c>
      <c r="F5131" s="10">
        <f t="shared" si="1"/>
        <v>6</v>
      </c>
      <c r="G5131" s="10">
        <f t="array" ref="G5131">index('Player ID'!C:C,match(E5131,'Player ID'!B:B,0))</f>
        <v>641154</v>
      </c>
    </row>
    <row r="5132">
      <c r="A5132" s="76">
        <v>45788.0</v>
      </c>
      <c r="B5132" s="1" t="s">
        <v>28</v>
      </c>
      <c r="C5132" s="1" t="s">
        <v>16</v>
      </c>
      <c r="D5132" s="1">
        <v>1.0</v>
      </c>
      <c r="E5132" s="1">
        <v>20253.0</v>
      </c>
      <c r="F5132" s="10">
        <f t="shared" si="1"/>
        <v>1</v>
      </c>
      <c r="G5132" s="10">
        <f t="array" ref="G5132">index('Player ID'!C:C,match(E5132,'Player ID'!B:B,0))</f>
        <v>643377</v>
      </c>
    </row>
    <row r="5133">
      <c r="A5133" s="76">
        <v>45788.0</v>
      </c>
      <c r="B5133" s="1" t="s">
        <v>403</v>
      </c>
      <c r="C5133" s="1" t="s">
        <v>31</v>
      </c>
      <c r="D5133" s="1">
        <v>0.2</v>
      </c>
      <c r="E5133" s="1">
        <v>20423.0</v>
      </c>
      <c r="F5133" s="10">
        <f t="shared" si="1"/>
        <v>0.6666666667</v>
      </c>
      <c r="G5133" s="10">
        <f t="array" ref="G5133">index('Player ID'!C:C,match(E5133,'Player ID'!B:B,0))</f>
        <v>676254</v>
      </c>
    </row>
    <row r="5134">
      <c r="A5134" s="76">
        <v>45788.0</v>
      </c>
      <c r="B5134" s="1" t="s">
        <v>122</v>
      </c>
      <c r="C5134" s="1" t="s">
        <v>16</v>
      </c>
      <c r="D5134" s="1">
        <v>1.0</v>
      </c>
      <c r="E5134" s="1">
        <v>21029.0</v>
      </c>
      <c r="F5134" s="10">
        <f t="shared" si="1"/>
        <v>1</v>
      </c>
      <c r="G5134" s="10">
        <f t="array" ref="G5134">index('Player ID'!C:C,match(E5134,'Player ID'!B:B,0))</f>
        <v>661395</v>
      </c>
    </row>
    <row r="5135">
      <c r="A5135" s="76">
        <v>45788.0</v>
      </c>
      <c r="B5135" s="1" t="s">
        <v>304</v>
      </c>
      <c r="C5135" s="1" t="s">
        <v>31</v>
      </c>
      <c r="D5135" s="1">
        <v>1.0</v>
      </c>
      <c r="E5135" s="1">
        <v>21992.0</v>
      </c>
      <c r="F5135" s="10">
        <f t="shared" si="1"/>
        <v>1</v>
      </c>
      <c r="G5135" s="10">
        <f t="array" ref="G5135">index('Player ID'!C:C,match(E5135,'Player ID'!B:B,0))</f>
        <v>666808</v>
      </c>
    </row>
    <row r="5136">
      <c r="A5136" s="76">
        <v>45788.0</v>
      </c>
      <c r="B5136" s="1" t="s">
        <v>655</v>
      </c>
      <c r="C5136" s="1" t="s">
        <v>31</v>
      </c>
      <c r="D5136" s="1">
        <v>0.0</v>
      </c>
      <c r="E5136" s="1">
        <v>26252.0</v>
      </c>
      <c r="F5136" s="10">
        <f t="shared" si="1"/>
        <v>0</v>
      </c>
      <c r="G5136" s="10">
        <f t="array" ref="G5136">index('Player ID'!C:C,match(E5136,'Player ID'!B:B,0))</f>
        <v>669062</v>
      </c>
    </row>
    <row r="5137">
      <c r="A5137" s="76">
        <v>45788.0</v>
      </c>
      <c r="B5137" s="1" t="s">
        <v>47</v>
      </c>
      <c r="C5137" s="1" t="s">
        <v>16</v>
      </c>
      <c r="D5137" s="1">
        <v>1.0</v>
      </c>
      <c r="E5137" s="1">
        <v>27691.0</v>
      </c>
      <c r="F5137" s="10">
        <f t="shared" si="1"/>
        <v>1</v>
      </c>
      <c r="G5137" s="10">
        <f t="array" ref="G5137">index('Player ID'!C:C,match(E5137,'Player ID'!B:B,0))</f>
        <v>686973</v>
      </c>
    </row>
    <row r="5138">
      <c r="A5138" s="76">
        <v>45788.0</v>
      </c>
      <c r="B5138" s="1" t="s">
        <v>209</v>
      </c>
      <c r="C5138" s="1" t="s">
        <v>31</v>
      </c>
      <c r="D5138" s="1">
        <v>5.0</v>
      </c>
      <c r="E5138" s="1">
        <v>30076.0</v>
      </c>
      <c r="F5138" s="10">
        <f t="shared" si="1"/>
        <v>5</v>
      </c>
      <c r="G5138" s="10">
        <f t="array" ref="G5138">index('Player ID'!C:C,match(E5138,'Player ID'!B:B,0))</f>
        <v>694738</v>
      </c>
    </row>
    <row r="5139">
      <c r="A5139" s="76">
        <v>45788.0</v>
      </c>
      <c r="B5139" s="1" t="s">
        <v>514</v>
      </c>
      <c r="C5139" s="1" t="s">
        <v>31</v>
      </c>
      <c r="D5139" s="1">
        <v>2.0</v>
      </c>
      <c r="E5139" s="1">
        <v>31635.0</v>
      </c>
      <c r="F5139" s="10">
        <f t="shared" si="1"/>
        <v>2</v>
      </c>
      <c r="G5139" s="10">
        <f t="array" ref="G5139">index('Player ID'!C:C,match(E5139,'Player ID'!B:B,0))</f>
        <v>806185</v>
      </c>
    </row>
    <row r="5140">
      <c r="A5140" s="76">
        <v>45788.0</v>
      </c>
      <c r="B5140" s="1" t="s">
        <v>252</v>
      </c>
      <c r="C5140" s="1" t="s">
        <v>78</v>
      </c>
      <c r="D5140" s="1">
        <v>1.0</v>
      </c>
      <c r="E5140" s="1">
        <v>16061.0</v>
      </c>
      <c r="F5140" s="10">
        <f t="shared" si="1"/>
        <v>1</v>
      </c>
      <c r="G5140" s="10">
        <f t="array" ref="G5140">index('Player ID'!C:C,match(E5140,'Player ID'!B:B,0))</f>
        <v>592155</v>
      </c>
    </row>
    <row r="5141">
      <c r="A5141" s="76">
        <v>45788.0</v>
      </c>
      <c r="B5141" s="1" t="s">
        <v>478</v>
      </c>
      <c r="C5141" s="1" t="s">
        <v>78</v>
      </c>
      <c r="D5141" s="1">
        <v>1.0</v>
      </c>
      <c r="E5141" s="1">
        <v>17964.0</v>
      </c>
      <c r="F5141" s="10">
        <f t="shared" si="1"/>
        <v>1</v>
      </c>
      <c r="G5141" s="10">
        <f t="array" ref="G5141">index('Player ID'!C:C,match(E5141,'Player ID'!B:B,0))</f>
        <v>656457</v>
      </c>
    </row>
    <row r="5142">
      <c r="A5142" s="76">
        <v>45788.0</v>
      </c>
      <c r="B5142" s="1" t="s">
        <v>229</v>
      </c>
      <c r="C5142" s="1" t="s">
        <v>36</v>
      </c>
      <c r="D5142" s="1">
        <v>5.2</v>
      </c>
      <c r="E5142" s="1">
        <v>18684.0</v>
      </c>
      <c r="F5142" s="10">
        <f t="shared" si="1"/>
        <v>5.666666667</v>
      </c>
      <c r="G5142" s="10">
        <f t="array" ref="G5142">index('Player ID'!C:C,match(E5142,'Player ID'!B:B,0))</f>
        <v>645261</v>
      </c>
    </row>
    <row r="5143">
      <c r="A5143" s="76">
        <v>45788.0</v>
      </c>
      <c r="B5143" s="1" t="s">
        <v>61</v>
      </c>
      <c r="C5143" s="1" t="s">
        <v>36</v>
      </c>
      <c r="D5143" s="1">
        <v>1.0</v>
      </c>
      <c r="E5143" s="1">
        <v>20629.0</v>
      </c>
      <c r="F5143" s="10">
        <f t="shared" si="1"/>
        <v>1</v>
      </c>
      <c r="G5143" s="10">
        <f t="array" ref="G5143">index('Player ID'!C:C,match(E5143,'Player ID'!B:B,0))</f>
        <v>663969</v>
      </c>
    </row>
    <row r="5144">
      <c r="A5144" s="76">
        <v>45788.0</v>
      </c>
      <c r="B5144" s="1" t="s">
        <v>123</v>
      </c>
      <c r="C5144" s="1" t="s">
        <v>36</v>
      </c>
      <c r="D5144" s="1">
        <v>0.1</v>
      </c>
      <c r="E5144" s="1">
        <v>24094.0</v>
      </c>
      <c r="F5144" s="10">
        <f t="shared" si="1"/>
        <v>0.3333333333</v>
      </c>
      <c r="G5144" s="10">
        <f t="array" ref="G5144">index('Player ID'!C:C,match(E5144,'Player ID'!B:B,0))</f>
        <v>678692</v>
      </c>
    </row>
    <row r="5145">
      <c r="A5145" s="76">
        <v>45788.0</v>
      </c>
      <c r="B5145" s="1" t="s">
        <v>676</v>
      </c>
      <c r="C5145" s="1" t="s">
        <v>36</v>
      </c>
      <c r="D5145" s="1">
        <v>1.0</v>
      </c>
      <c r="E5145" s="1">
        <v>27453.0</v>
      </c>
      <c r="F5145" s="10">
        <f t="shared" si="1"/>
        <v>1</v>
      </c>
      <c r="G5145" s="10">
        <f t="array" ref="G5145">index('Player ID'!C:C,match(E5145,'Player ID'!B:B,0))</f>
        <v>685107</v>
      </c>
    </row>
    <row r="5146">
      <c r="A5146" s="76">
        <v>45788.0</v>
      </c>
      <c r="B5146" s="1" t="s">
        <v>356</v>
      </c>
      <c r="C5146" s="1" t="s">
        <v>78</v>
      </c>
      <c r="D5146" s="1">
        <v>4.0</v>
      </c>
      <c r="E5146" s="1">
        <v>29878.0</v>
      </c>
      <c r="F5146" s="10">
        <f t="shared" si="1"/>
        <v>4</v>
      </c>
      <c r="G5146" s="10">
        <f t="array" ref="G5146">index('Player ID'!C:C,match(E5146,'Player ID'!B:B,0))</f>
        <v>680732</v>
      </c>
    </row>
    <row r="5147">
      <c r="A5147" s="76">
        <v>45788.0</v>
      </c>
      <c r="B5147" s="1" t="s">
        <v>497</v>
      </c>
      <c r="C5147" s="1" t="s">
        <v>78</v>
      </c>
      <c r="D5147" s="1">
        <v>3.0</v>
      </c>
      <c r="E5147" s="1">
        <v>30105.0</v>
      </c>
      <c r="F5147" s="10">
        <f t="shared" si="1"/>
        <v>3</v>
      </c>
      <c r="G5147" s="10">
        <f t="array" ref="G5147">index('Player ID'!C:C,match(E5147,'Player ID'!B:B,0))</f>
        <v>678024</v>
      </c>
    </row>
    <row r="5148">
      <c r="A5148" s="76">
        <v>45788.0</v>
      </c>
      <c r="B5148" s="1" t="s">
        <v>404</v>
      </c>
      <c r="C5148" s="1" t="s">
        <v>26</v>
      </c>
      <c r="D5148" s="1">
        <v>1.0</v>
      </c>
      <c r="E5148" s="1">
        <v>14295.0</v>
      </c>
      <c r="F5148" s="10">
        <f t="shared" si="1"/>
        <v>1</v>
      </c>
      <c r="G5148" s="10">
        <f t="array" ref="G5148">index('Player ID'!C:C,match(E5148,'Player ID'!B:B,0))</f>
        <v>593974</v>
      </c>
    </row>
    <row r="5149">
      <c r="A5149" s="76">
        <v>45788.0</v>
      </c>
      <c r="B5149" s="1" t="s">
        <v>746</v>
      </c>
      <c r="C5149" s="1" t="s">
        <v>75</v>
      </c>
      <c r="D5149" s="1">
        <v>7.0</v>
      </c>
      <c r="E5149" s="1">
        <v>15038.0</v>
      </c>
      <c r="F5149" s="10">
        <f t="shared" si="1"/>
        <v>7</v>
      </c>
      <c r="G5149" s="10">
        <f t="array" ref="G5149">index('Player ID'!C:C,match(E5149,'Player ID'!B:B,0))</f>
        <v>608566</v>
      </c>
    </row>
    <row r="5150">
      <c r="A5150" s="76">
        <v>45788.0</v>
      </c>
      <c r="B5150" s="1" t="s">
        <v>109</v>
      </c>
      <c r="C5150" s="1" t="s">
        <v>26</v>
      </c>
      <c r="D5150" s="1">
        <v>4.0</v>
      </c>
      <c r="E5150" s="1">
        <v>15454.0</v>
      </c>
      <c r="F5150" s="10">
        <f t="shared" si="1"/>
        <v>4</v>
      </c>
      <c r="G5150" s="10">
        <f t="array" ref="G5150">index('Player ID'!C:C,match(E5150,'Player ID'!B:B,0))</f>
        <v>601713</v>
      </c>
    </row>
    <row r="5151">
      <c r="A5151" s="76">
        <v>45788.0</v>
      </c>
      <c r="B5151" s="1" t="s">
        <v>797</v>
      </c>
      <c r="C5151" s="1" t="s">
        <v>26</v>
      </c>
      <c r="D5151" s="1">
        <v>1.0</v>
      </c>
      <c r="E5151" s="1">
        <v>22253.0</v>
      </c>
      <c r="F5151" s="10">
        <f t="shared" si="1"/>
        <v>1</v>
      </c>
      <c r="G5151" s="10">
        <f t="array" ref="G5151">index('Player ID'!C:C,match(E5151,'Player ID'!B:B,0))</f>
        <v>669308</v>
      </c>
    </row>
    <row r="5152">
      <c r="A5152" s="76">
        <v>45788.0</v>
      </c>
      <c r="B5152" s="1" t="s">
        <v>486</v>
      </c>
      <c r="C5152" s="1" t="s">
        <v>75</v>
      </c>
      <c r="D5152" s="1">
        <v>1.0</v>
      </c>
      <c r="E5152" s="1">
        <v>26790.0</v>
      </c>
      <c r="F5152" s="10">
        <f t="shared" si="1"/>
        <v>1</v>
      </c>
      <c r="G5152" s="10">
        <f t="array" ref="G5152">index('Player ID'!C:C,match(E5152,'Player ID'!B:B,0))</f>
        <v>683409</v>
      </c>
    </row>
    <row r="5153">
      <c r="A5153" s="76">
        <v>45788.0</v>
      </c>
      <c r="B5153" s="1" t="s">
        <v>391</v>
      </c>
      <c r="C5153" s="1" t="s">
        <v>26</v>
      </c>
      <c r="D5153" s="1">
        <v>1.0</v>
      </c>
      <c r="E5153" s="1">
        <v>29628.0</v>
      </c>
      <c r="F5153" s="10">
        <f t="shared" si="1"/>
        <v>1</v>
      </c>
      <c r="G5153" s="10">
        <f t="array" ref="G5153">index('Player ID'!C:C,match(E5153,'Player ID'!B:B,0))</f>
        <v>689690</v>
      </c>
    </row>
    <row r="5154">
      <c r="A5154" s="76">
        <v>45788.0</v>
      </c>
      <c r="B5154" s="1" t="s">
        <v>488</v>
      </c>
      <c r="C5154" s="1" t="s">
        <v>75</v>
      </c>
      <c r="D5154" s="1">
        <v>1.0</v>
      </c>
      <c r="E5154" s="1">
        <v>33294.0</v>
      </c>
      <c r="F5154" s="10">
        <f t="shared" si="1"/>
        <v>1</v>
      </c>
      <c r="G5154" s="10">
        <f t="array" ref="G5154">index('Player ID'!C:C,match(E5154,'Player ID'!B:B,0))</f>
        <v>678020</v>
      </c>
    </row>
    <row r="5155">
      <c r="A5155" s="76">
        <v>45788.0</v>
      </c>
      <c r="B5155" s="1" t="s">
        <v>284</v>
      </c>
      <c r="C5155" s="1" t="s">
        <v>26</v>
      </c>
      <c r="D5155" s="1">
        <v>1.0</v>
      </c>
      <c r="E5155" s="1">
        <v>33826.0</v>
      </c>
      <c r="F5155" s="10">
        <f t="shared" si="1"/>
        <v>1</v>
      </c>
      <c r="G5155" s="10">
        <f t="array" ref="G5155">index('Player ID'!C:C,match(E5155,'Player ID'!B:B,0))</f>
        <v>673513</v>
      </c>
    </row>
    <row r="5156">
      <c r="A5156" s="76">
        <v>45788.0</v>
      </c>
      <c r="B5156" s="1" t="s">
        <v>668</v>
      </c>
      <c r="C5156" s="1" t="s">
        <v>52</v>
      </c>
      <c r="D5156" s="1">
        <v>0.1</v>
      </c>
      <c r="E5156" s="1">
        <v>3237.0</v>
      </c>
      <c r="F5156" s="10">
        <f t="shared" si="1"/>
        <v>0.3333333333</v>
      </c>
      <c r="G5156" s="10">
        <f t="array" ref="G5156">index('Player ID'!C:C,match(E5156,'Player ID'!B:B,0))</f>
        <v>519008</v>
      </c>
    </row>
    <row r="5157">
      <c r="A5157" s="76">
        <v>45788.0</v>
      </c>
      <c r="B5157" s="1" t="s">
        <v>730</v>
      </c>
      <c r="C5157" s="1" t="s">
        <v>58</v>
      </c>
      <c r="D5157" s="1">
        <v>1.0</v>
      </c>
      <c r="E5157" s="1">
        <v>10058.0</v>
      </c>
      <c r="F5157" s="10">
        <f t="shared" si="1"/>
        <v>1</v>
      </c>
      <c r="G5157" s="10">
        <f t="array" ref="G5157">index('Player ID'!C:C,match(E5157,'Player ID'!B:B,0))</f>
        <v>554431</v>
      </c>
    </row>
    <row r="5158">
      <c r="A5158" s="76">
        <v>45788.0</v>
      </c>
      <c r="B5158" s="1" t="s">
        <v>281</v>
      </c>
      <c r="C5158" s="1" t="s">
        <v>52</v>
      </c>
      <c r="D5158" s="1">
        <v>4.0</v>
      </c>
      <c r="E5158" s="1">
        <v>15890.0</v>
      </c>
      <c r="F5158" s="10">
        <f t="shared" si="1"/>
        <v>4</v>
      </c>
      <c r="G5158" s="10">
        <f t="array" ref="G5158">index('Player ID'!C:C,match(E5158,'Player ID'!B:B,0))</f>
        <v>622663</v>
      </c>
    </row>
    <row r="5159">
      <c r="A5159" s="76">
        <v>45788.0</v>
      </c>
      <c r="B5159" s="1" t="s">
        <v>192</v>
      </c>
      <c r="C5159" s="1" t="s">
        <v>58</v>
      </c>
      <c r="D5159" s="1">
        <v>5.0</v>
      </c>
      <c r="E5159" s="1">
        <v>16502.0</v>
      </c>
      <c r="F5159" s="10">
        <f t="shared" si="1"/>
        <v>5</v>
      </c>
      <c r="G5159" s="10">
        <f t="array" ref="G5159">index('Player ID'!C:C,match(E5159,'Player ID'!B:B,0))</f>
        <v>642232</v>
      </c>
    </row>
    <row r="5160">
      <c r="A5160" s="76">
        <v>45788.0</v>
      </c>
      <c r="B5160" s="1" t="s">
        <v>309</v>
      </c>
      <c r="C5160" s="1" t="s">
        <v>58</v>
      </c>
      <c r="D5160" s="1">
        <v>3.0</v>
      </c>
      <c r="E5160" s="1">
        <v>21420.0</v>
      </c>
      <c r="F5160" s="10">
        <f t="shared" si="1"/>
        <v>3</v>
      </c>
      <c r="G5160" s="10">
        <f t="array" ref="G5160">index('Player ID'!C:C,match(E5160,'Player ID'!B:B,0))</f>
        <v>660787</v>
      </c>
    </row>
    <row r="5161">
      <c r="A5161" s="76">
        <v>45788.0</v>
      </c>
      <c r="B5161" s="1" t="s">
        <v>227</v>
      </c>
      <c r="C5161" s="1" t="s">
        <v>52</v>
      </c>
      <c r="D5161" s="1">
        <v>1.2</v>
      </c>
      <c r="E5161" s="1">
        <v>21520.0</v>
      </c>
      <c r="F5161" s="10">
        <f t="shared" si="1"/>
        <v>1.666666667</v>
      </c>
      <c r="G5161" s="10">
        <f t="array" ref="G5161">index('Player ID'!C:C,match(E5161,'Player ID'!B:B,0))</f>
        <v>663687</v>
      </c>
    </row>
    <row r="5162">
      <c r="A5162" s="76">
        <v>45788.0</v>
      </c>
      <c r="B5162" s="1" t="s">
        <v>471</v>
      </c>
      <c r="C5162" s="1" t="s">
        <v>52</v>
      </c>
      <c r="D5162" s="1">
        <v>1.0</v>
      </c>
      <c r="E5162" s="1">
        <v>21662.0</v>
      </c>
      <c r="F5162" s="10">
        <f t="shared" si="1"/>
        <v>1</v>
      </c>
      <c r="G5162" s="10">
        <f t="array" ref="G5162">index('Player ID'!C:C,match(E5162,'Player ID'!B:B,0))</f>
        <v>665660</v>
      </c>
    </row>
    <row r="5163">
      <c r="A5163" s="76">
        <v>45788.0</v>
      </c>
      <c r="B5163" s="1" t="s">
        <v>127</v>
      </c>
      <c r="C5163" s="1" t="s">
        <v>52</v>
      </c>
      <c r="D5163" s="1">
        <v>2.0</v>
      </c>
      <c r="E5163" s="1">
        <v>27707.0</v>
      </c>
      <c r="F5163" s="10">
        <f t="shared" si="1"/>
        <v>2</v>
      </c>
      <c r="G5163" s="10">
        <f t="array" ref="G5163">index('Player ID'!C:C,match(E5163,'Player ID'!B:B,0))</f>
        <v>687765</v>
      </c>
    </row>
    <row r="5164">
      <c r="A5164" s="76">
        <v>45788.0</v>
      </c>
      <c r="B5164" s="1" t="s">
        <v>278</v>
      </c>
      <c r="C5164" s="1" t="s">
        <v>25</v>
      </c>
      <c r="D5164" s="1">
        <v>5.0</v>
      </c>
      <c r="E5164" s="1">
        <v>12880.0</v>
      </c>
      <c r="F5164" s="10">
        <f t="shared" si="1"/>
        <v>5</v>
      </c>
      <c r="G5164" s="10">
        <f t="array" ref="G5164">index('Player ID'!C:C,match(E5164,'Player ID'!B:B,0))</f>
        <v>542881</v>
      </c>
    </row>
    <row r="5165">
      <c r="A5165" s="76">
        <v>45788.0</v>
      </c>
      <c r="B5165" s="1" t="s">
        <v>216</v>
      </c>
      <c r="C5165" s="1" t="s">
        <v>68</v>
      </c>
      <c r="D5165" s="1">
        <v>5.0</v>
      </c>
      <c r="E5165" s="1">
        <v>13774.0</v>
      </c>
      <c r="F5165" s="10">
        <f t="shared" si="1"/>
        <v>5</v>
      </c>
      <c r="G5165" s="10">
        <f t="array" ref="G5165">index('Player ID'!C:C,match(E5165,'Player ID'!B:B,0))</f>
        <v>621107</v>
      </c>
    </row>
    <row r="5166">
      <c r="A5166" s="76">
        <v>45788.0</v>
      </c>
      <c r="B5166" s="1" t="s">
        <v>639</v>
      </c>
      <c r="C5166" s="1" t="s">
        <v>68</v>
      </c>
      <c r="D5166" s="1">
        <v>1.0</v>
      </c>
      <c r="E5166" s="1">
        <v>19249.0</v>
      </c>
      <c r="F5166" s="10">
        <f t="shared" si="1"/>
        <v>1</v>
      </c>
      <c r="G5166" s="10">
        <f t="array" ref="G5166">index('Player ID'!C:C,match(E5166,'Player ID'!B:B,0))</f>
        <v>622554</v>
      </c>
    </row>
    <row r="5167">
      <c r="A5167" s="76">
        <v>45788.0</v>
      </c>
      <c r="B5167" s="1" t="s">
        <v>722</v>
      </c>
      <c r="C5167" s="1" t="s">
        <v>25</v>
      </c>
      <c r="D5167" s="1">
        <v>3.1</v>
      </c>
      <c r="E5167" s="1">
        <v>19453.0</v>
      </c>
      <c r="F5167" s="10">
        <f t="shared" si="1"/>
        <v>3.333333333</v>
      </c>
      <c r="G5167" s="10">
        <f t="array" ref="G5167">index('Player ID'!C:C,match(E5167,'Player ID'!B:B,0))</f>
        <v>641312</v>
      </c>
    </row>
    <row r="5168">
      <c r="A5168" s="76">
        <v>45788.0</v>
      </c>
      <c r="B5168" s="1" t="s">
        <v>240</v>
      </c>
      <c r="C5168" s="1" t="s">
        <v>68</v>
      </c>
      <c r="D5168" s="1">
        <v>1.0</v>
      </c>
      <c r="E5168" s="1">
        <v>19804.0</v>
      </c>
      <c r="F5168" s="10">
        <f t="shared" si="1"/>
        <v>1</v>
      </c>
      <c r="G5168" s="10">
        <f t="array" ref="G5168">index('Player ID'!C:C,match(E5168,'Player ID'!B:B,0))</f>
        <v>641329</v>
      </c>
    </row>
    <row r="5169">
      <c r="A5169" s="76">
        <v>45788.0</v>
      </c>
      <c r="B5169" s="1" t="s">
        <v>698</v>
      </c>
      <c r="C5169" s="1" t="s">
        <v>68</v>
      </c>
      <c r="D5169" s="1">
        <v>1.0</v>
      </c>
      <c r="E5169" s="1">
        <v>20666.0</v>
      </c>
      <c r="F5169" s="10">
        <f t="shared" si="1"/>
        <v>1</v>
      </c>
      <c r="G5169" s="10">
        <f t="array" ref="G5169">index('Player ID'!C:C,match(E5169,'Player ID'!B:B,0))</f>
        <v>642585</v>
      </c>
    </row>
    <row r="5170">
      <c r="A5170" s="76">
        <v>45788.0</v>
      </c>
      <c r="B5170" s="1" t="s">
        <v>283</v>
      </c>
      <c r="C5170" s="1" t="s">
        <v>25</v>
      </c>
      <c r="D5170" s="1">
        <v>0.2</v>
      </c>
      <c r="E5170" s="1">
        <v>21205.0</v>
      </c>
      <c r="F5170" s="10">
        <f t="shared" si="1"/>
        <v>0.6666666667</v>
      </c>
      <c r="G5170" s="10">
        <f t="array" ref="G5170">index('Player ID'!C:C,match(E5170,'Player ID'!B:B,0))</f>
        <v>641401</v>
      </c>
    </row>
    <row r="5171">
      <c r="A5171" s="76">
        <v>45788.0</v>
      </c>
      <c r="B5171" s="1" t="s">
        <v>235</v>
      </c>
      <c r="C5171" s="1" t="s">
        <v>68</v>
      </c>
      <c r="D5171" s="1">
        <v>1.0</v>
      </c>
      <c r="E5171" s="1">
        <v>25911.0</v>
      </c>
      <c r="F5171" s="10">
        <f t="shared" si="1"/>
        <v>1</v>
      </c>
      <c r="G5171" s="10">
        <f t="array" ref="G5171">index('Player ID'!C:C,match(E5171,'Player ID'!B:B,0))</f>
        <v>666974</v>
      </c>
    </row>
    <row r="5172">
      <c r="A5172" s="76">
        <v>45788.0</v>
      </c>
      <c r="B5172" s="1" t="s">
        <v>685</v>
      </c>
      <c r="C5172" s="1" t="s">
        <v>64</v>
      </c>
      <c r="D5172" s="1">
        <v>1.1</v>
      </c>
      <c r="E5172" s="1">
        <v>14857.0</v>
      </c>
      <c r="F5172" s="10">
        <f t="shared" si="1"/>
        <v>1.333333333</v>
      </c>
      <c r="G5172" s="10">
        <f t="array" ref="G5172">index('Player ID'!C:C,match(E5172,'Player ID'!B:B,0))</f>
        <v>573009</v>
      </c>
    </row>
    <row r="5173">
      <c r="A5173" s="76">
        <v>45788.0</v>
      </c>
      <c r="B5173" s="1" t="s">
        <v>826</v>
      </c>
      <c r="C5173" s="1" t="s">
        <v>64</v>
      </c>
      <c r="D5173" s="1">
        <v>2.0</v>
      </c>
      <c r="E5173" s="1">
        <v>17169.0</v>
      </c>
      <c r="F5173" s="10">
        <f t="shared" si="1"/>
        <v>2</v>
      </c>
      <c r="G5173" s="10">
        <f t="array" ref="G5173">index('Player ID'!C:C,match(E5173,'Player ID'!B:B,0))</f>
        <v>620454</v>
      </c>
    </row>
    <row r="5174">
      <c r="A5174" s="76">
        <v>45788.0</v>
      </c>
      <c r="B5174" s="1" t="s">
        <v>32</v>
      </c>
      <c r="C5174" s="1" t="s">
        <v>33</v>
      </c>
      <c r="D5174" s="1">
        <v>1.0</v>
      </c>
      <c r="E5174" s="1">
        <v>17586.0</v>
      </c>
      <c r="F5174" s="10">
        <f t="shared" si="1"/>
        <v>1</v>
      </c>
      <c r="G5174" s="10">
        <f t="array" ref="G5174">index('Player ID'!C:C,match(E5174,'Player ID'!B:B,0))</f>
        <v>656945</v>
      </c>
    </row>
    <row r="5175">
      <c r="A5175" s="76">
        <v>45788.0</v>
      </c>
      <c r="B5175" s="1" t="s">
        <v>195</v>
      </c>
      <c r="C5175" s="1" t="s">
        <v>64</v>
      </c>
      <c r="D5175" s="1">
        <v>5.2</v>
      </c>
      <c r="E5175" s="1">
        <v>19291.0</v>
      </c>
      <c r="F5175" s="10">
        <f t="shared" si="1"/>
        <v>5.666666667</v>
      </c>
      <c r="G5175" s="10">
        <f t="array" ref="G5175">index('Player ID'!C:C,match(E5175,'Player ID'!B:B,0))</f>
        <v>668678</v>
      </c>
    </row>
    <row r="5176">
      <c r="A5176" s="76">
        <v>45788.0</v>
      </c>
      <c r="B5176" s="1" t="s">
        <v>459</v>
      </c>
      <c r="C5176" s="1" t="s">
        <v>33</v>
      </c>
      <c r="D5176" s="1">
        <v>5.0</v>
      </c>
      <c r="E5176" s="1">
        <v>19388.0</v>
      </c>
      <c r="F5176" s="10">
        <f t="shared" si="1"/>
        <v>5</v>
      </c>
      <c r="G5176" s="10">
        <f t="array" ref="G5176">index('Player ID'!C:C,match(E5176,'Player ID'!B:B,0))</f>
        <v>664062</v>
      </c>
    </row>
    <row r="5177">
      <c r="A5177" s="76">
        <v>45788.0</v>
      </c>
      <c r="B5177" s="1" t="s">
        <v>390</v>
      </c>
      <c r="C5177" s="1" t="s">
        <v>33</v>
      </c>
      <c r="D5177" s="1">
        <v>1.0</v>
      </c>
      <c r="E5177" s="1">
        <v>22284.0</v>
      </c>
      <c r="F5177" s="10">
        <f t="shared" si="1"/>
        <v>1</v>
      </c>
      <c r="G5177" s="10">
        <f t="array" ref="G5177">index('Player ID'!C:C,match(E5177,'Player ID'!B:B,0))</f>
        <v>669422</v>
      </c>
    </row>
    <row r="5178">
      <c r="A5178" s="76">
        <v>45788.0</v>
      </c>
      <c r="B5178" s="1" t="s">
        <v>104</v>
      </c>
      <c r="C5178" s="1" t="s">
        <v>33</v>
      </c>
      <c r="D5178" s="1">
        <v>1.1</v>
      </c>
      <c r="E5178" s="1">
        <v>30085.0</v>
      </c>
      <c r="F5178" s="10">
        <f t="shared" si="1"/>
        <v>1.333333333</v>
      </c>
      <c r="G5178" s="10">
        <f t="array" ref="G5178">index('Player ID'!C:C,match(E5178,'Player ID'!B:B,0))</f>
        <v>676508</v>
      </c>
    </row>
    <row r="5179">
      <c r="A5179" s="76">
        <v>45788.0</v>
      </c>
      <c r="B5179" s="1" t="s">
        <v>206</v>
      </c>
      <c r="C5179" s="1" t="s">
        <v>33</v>
      </c>
      <c r="D5179" s="1">
        <v>0.2</v>
      </c>
      <c r="E5179" s="1">
        <v>30249.0</v>
      </c>
      <c r="F5179" s="10">
        <f t="shared" si="1"/>
        <v>0.6666666667</v>
      </c>
      <c r="G5179" s="10">
        <f t="array" ref="G5179">index('Player ID'!C:C,match(E5179,'Player ID'!B:B,0))</f>
        <v>676263</v>
      </c>
    </row>
    <row r="5180">
      <c r="A5180" s="76">
        <v>45788.0</v>
      </c>
      <c r="B5180" s="1" t="s">
        <v>822</v>
      </c>
      <c r="C5180" s="1" t="s">
        <v>40</v>
      </c>
      <c r="D5180" s="1">
        <v>2.0</v>
      </c>
      <c r="E5180" s="1">
        <v>11589.0</v>
      </c>
      <c r="F5180" s="10">
        <f t="shared" si="1"/>
        <v>2</v>
      </c>
      <c r="G5180" s="10">
        <f t="array" ref="G5180">index('Player ID'!C:C,match(E5180,'Player ID'!B:B,0))</f>
        <v>570632</v>
      </c>
    </row>
    <row r="5181">
      <c r="A5181" s="76">
        <v>45788.0</v>
      </c>
      <c r="B5181" s="1" t="s">
        <v>332</v>
      </c>
      <c r="C5181" s="1" t="s">
        <v>40</v>
      </c>
      <c r="D5181" s="1">
        <v>4.2</v>
      </c>
      <c r="E5181" s="1">
        <v>19316.0</v>
      </c>
      <c r="F5181" s="10">
        <f t="shared" si="1"/>
        <v>4.666666667</v>
      </c>
      <c r="G5181" s="10">
        <f t="array" ref="G5181">index('Player ID'!C:C,match(E5181,'Player ID'!B:B,0))</f>
        <v>641778</v>
      </c>
    </row>
    <row r="5182">
      <c r="A5182" s="76">
        <v>45788.0</v>
      </c>
      <c r="B5182" s="1" t="s">
        <v>779</v>
      </c>
      <c r="C5182" s="1" t="s">
        <v>37</v>
      </c>
      <c r="D5182" s="1">
        <v>1.0</v>
      </c>
      <c r="E5182" s="1">
        <v>21009.0</v>
      </c>
      <c r="F5182" s="10">
        <f t="shared" si="1"/>
        <v>1</v>
      </c>
      <c r="G5182" s="10">
        <f t="array" ref="G5182">index('Player ID'!C:C,match(E5182,'Player ID'!B:B,0))</f>
        <v>660844</v>
      </c>
    </row>
    <row r="5183">
      <c r="A5183" s="76">
        <v>45788.0</v>
      </c>
      <c r="B5183" s="1" t="s">
        <v>683</v>
      </c>
      <c r="C5183" s="1" t="s">
        <v>37</v>
      </c>
      <c r="D5183" s="1">
        <v>2.0</v>
      </c>
      <c r="E5183" s="1">
        <v>23307.0</v>
      </c>
      <c r="F5183" s="10">
        <f t="shared" si="1"/>
        <v>2</v>
      </c>
      <c r="G5183" s="10">
        <f t="array" ref="G5183">index('Player ID'!C:C,match(E5183,'Player ID'!B:B,0))</f>
        <v>676092</v>
      </c>
    </row>
    <row r="5184">
      <c r="A5184" s="76">
        <v>45788.0</v>
      </c>
      <c r="B5184" s="1" t="s">
        <v>315</v>
      </c>
      <c r="C5184" s="1" t="s">
        <v>40</v>
      </c>
      <c r="D5184" s="1">
        <v>1.0</v>
      </c>
      <c r="E5184" s="1">
        <v>24609.0</v>
      </c>
      <c r="F5184" s="10">
        <f t="shared" si="1"/>
        <v>1</v>
      </c>
      <c r="G5184" s="10">
        <f t="array" ref="G5184">index('Player ID'!C:C,match(E5184,'Player ID'!B:B,0))</f>
        <v>680755</v>
      </c>
    </row>
    <row r="5185">
      <c r="A5185" s="76">
        <v>45788.0</v>
      </c>
      <c r="B5185" s="1" t="s">
        <v>343</v>
      </c>
      <c r="C5185" s="1" t="s">
        <v>37</v>
      </c>
      <c r="D5185" s="1">
        <v>5.0</v>
      </c>
      <c r="E5185" s="1">
        <v>29837.0</v>
      </c>
      <c r="F5185" s="10">
        <f t="shared" si="1"/>
        <v>5</v>
      </c>
      <c r="G5185" s="10">
        <f t="array" ref="G5185">index('Player ID'!C:C,match(E5185,'Player ID'!B:B,0))</f>
        <v>682243</v>
      </c>
    </row>
    <row r="5186">
      <c r="A5186" s="76">
        <v>45788.0</v>
      </c>
      <c r="B5186" s="1" t="s">
        <v>804</v>
      </c>
      <c r="C5186" s="1" t="s">
        <v>37</v>
      </c>
      <c r="D5186" s="1">
        <v>1.0</v>
      </c>
      <c r="E5186" s="1">
        <v>31883.0</v>
      </c>
      <c r="F5186" s="10">
        <f t="shared" si="1"/>
        <v>1</v>
      </c>
      <c r="G5186" s="10">
        <f t="array" ref="G5186">index('Player ID'!C:C,match(E5186,'Player ID'!B:B,0))</f>
        <v>700187</v>
      </c>
    </row>
    <row r="5187">
      <c r="A5187" s="76">
        <v>45788.0</v>
      </c>
      <c r="B5187" s="1" t="s">
        <v>427</v>
      </c>
      <c r="C5187" s="1" t="s">
        <v>40</v>
      </c>
      <c r="D5187" s="1">
        <v>1.1</v>
      </c>
      <c r="E5187" s="1">
        <v>33838.0</v>
      </c>
      <c r="F5187" s="10">
        <f t="shared" si="1"/>
        <v>1.333333333</v>
      </c>
      <c r="G5187" s="10">
        <f t="array" ref="G5187">index('Player ID'!C:C,match(E5187,'Player ID'!B:B,0))</f>
        <v>684320</v>
      </c>
    </row>
    <row r="5188">
      <c r="A5188" s="76">
        <v>45788.0</v>
      </c>
      <c r="B5188" s="1" t="s">
        <v>79</v>
      </c>
      <c r="C5188" s="1" t="s">
        <v>45</v>
      </c>
      <c r="D5188" s="1">
        <v>7.0</v>
      </c>
      <c r="E5188" s="1">
        <v>10310.0</v>
      </c>
      <c r="F5188" s="10">
        <f t="shared" si="1"/>
        <v>7</v>
      </c>
      <c r="G5188" s="10">
        <f t="array" ref="G5188">index('Player ID'!C:C,match(E5188,'Player ID'!B:B,0))</f>
        <v>554430</v>
      </c>
    </row>
    <row r="5189">
      <c r="A5189" s="76">
        <v>45788.0</v>
      </c>
      <c r="B5189" s="1" t="s">
        <v>208</v>
      </c>
      <c r="C5189" s="1" t="s">
        <v>45</v>
      </c>
      <c r="D5189" s="1">
        <v>1.0</v>
      </c>
      <c r="E5189" s="1">
        <v>16122.0</v>
      </c>
      <c r="F5189" s="10">
        <f t="shared" si="1"/>
        <v>1</v>
      </c>
      <c r="G5189" s="10">
        <f t="array" ref="G5189">index('Player ID'!C:C,match(E5189,'Player ID'!B:B,0))</f>
        <v>605447</v>
      </c>
    </row>
    <row r="5190">
      <c r="A5190" s="76">
        <v>45788.0</v>
      </c>
      <c r="B5190" s="1" t="s">
        <v>643</v>
      </c>
      <c r="C5190" s="1" t="s">
        <v>45</v>
      </c>
      <c r="D5190" s="1">
        <v>1.0</v>
      </c>
      <c r="E5190" s="1">
        <v>17780.0</v>
      </c>
      <c r="F5190" s="10">
        <f t="shared" si="1"/>
        <v>1</v>
      </c>
      <c r="G5190" s="10">
        <f t="array" ref="G5190">index('Player ID'!C:C,match(E5190,'Player ID'!B:B,0))</f>
        <v>621237</v>
      </c>
    </row>
    <row r="5191">
      <c r="A5191" s="76">
        <v>45788.0</v>
      </c>
      <c r="B5191" s="1" t="s">
        <v>141</v>
      </c>
      <c r="C5191" s="1" t="s">
        <v>70</v>
      </c>
      <c r="D5191" s="1">
        <v>0.1</v>
      </c>
      <c r="E5191" s="1">
        <v>19330.0</v>
      </c>
      <c r="F5191" s="10">
        <f t="shared" si="1"/>
        <v>0.3333333333</v>
      </c>
      <c r="G5191" s="10">
        <f t="array" ref="G5191">index('Player ID'!C:C,match(E5191,'Player ID'!B:B,0))</f>
        <v>670036</v>
      </c>
    </row>
    <row r="5192">
      <c r="A5192" s="76">
        <v>45788.0</v>
      </c>
      <c r="B5192" s="1" t="s">
        <v>132</v>
      </c>
      <c r="C5192" s="1" t="s">
        <v>70</v>
      </c>
      <c r="D5192" s="1">
        <v>1.0</v>
      </c>
      <c r="E5192" s="1">
        <v>21032.0</v>
      </c>
      <c r="F5192" s="10">
        <f t="shared" si="1"/>
        <v>1</v>
      </c>
      <c r="G5192" s="10">
        <f t="array" ref="G5192">index('Player ID'!C:C,match(E5192,'Player ID'!B:B,0))</f>
        <v>661403</v>
      </c>
    </row>
    <row r="5193">
      <c r="A5193" s="76">
        <v>45788.0</v>
      </c>
      <c r="B5193" s="1" t="s">
        <v>519</v>
      </c>
      <c r="C5193" s="1" t="s">
        <v>70</v>
      </c>
      <c r="D5193" s="1">
        <v>0.2</v>
      </c>
      <c r="E5193" s="1">
        <v>25139.0</v>
      </c>
      <c r="F5193" s="10">
        <f t="shared" si="1"/>
        <v>0.6666666667</v>
      </c>
      <c r="G5193" s="10">
        <f t="array" ref="G5193">index('Player ID'!C:C,match(E5193,'Player ID'!B:B,0))</f>
        <v>682120</v>
      </c>
    </row>
    <row r="5194">
      <c r="A5194" s="76">
        <v>45788.0</v>
      </c>
      <c r="B5194" s="1" t="s">
        <v>484</v>
      </c>
      <c r="C5194" s="1" t="s">
        <v>70</v>
      </c>
      <c r="D5194" s="1">
        <v>6.0</v>
      </c>
      <c r="E5194" s="1">
        <v>27646.0</v>
      </c>
      <c r="F5194" s="10">
        <f t="shared" si="1"/>
        <v>6</v>
      </c>
      <c r="G5194" s="10">
        <f t="array" ref="G5194">index('Player ID'!C:C,match(E5194,'Player ID'!B:B,0))</f>
        <v>682847</v>
      </c>
    </row>
    <row r="5195">
      <c r="A5195" s="76">
        <v>45788.0</v>
      </c>
      <c r="B5195" s="1" t="s">
        <v>135</v>
      </c>
      <c r="C5195" s="1" t="s">
        <v>70</v>
      </c>
      <c r="D5195" s="1">
        <v>1.0</v>
      </c>
      <c r="E5195" s="1">
        <v>27867.0</v>
      </c>
      <c r="F5195" s="10">
        <f t="shared" si="1"/>
        <v>1</v>
      </c>
      <c r="G5195" s="10">
        <f t="array" ref="G5195">index('Player ID'!C:C,match(E5195,'Player ID'!B:B,0))</f>
        <v>671922</v>
      </c>
    </row>
    <row r="5196">
      <c r="A5196" s="76">
        <v>45789.0</v>
      </c>
      <c r="B5196" s="1" t="s">
        <v>117</v>
      </c>
      <c r="C5196" s="1" t="s">
        <v>70</v>
      </c>
      <c r="D5196" s="1">
        <v>1.0</v>
      </c>
      <c r="E5196" s="1">
        <v>13619.0</v>
      </c>
      <c r="F5196" s="10">
        <f t="shared" si="1"/>
        <v>1</v>
      </c>
      <c r="G5196" s="10">
        <f t="array" ref="G5196">index('Player ID'!C:C,match(E5196,'Player ID'!B:B,0))</f>
        <v>596001</v>
      </c>
    </row>
    <row r="5197">
      <c r="A5197" s="76">
        <v>45789.0</v>
      </c>
      <c r="B5197" s="1" t="s">
        <v>298</v>
      </c>
      <c r="C5197" s="1" t="s">
        <v>70</v>
      </c>
      <c r="D5197" s="1">
        <v>3.0</v>
      </c>
      <c r="E5197" s="1">
        <v>14932.0</v>
      </c>
      <c r="F5197" s="10">
        <f t="shared" si="1"/>
        <v>3</v>
      </c>
      <c r="G5197" s="10">
        <f t="array" ref="G5197">index('Player ID'!C:C,match(E5197,'Player ID'!B:B,0))</f>
        <v>594902</v>
      </c>
    </row>
    <row r="5198">
      <c r="A5198" s="76">
        <v>45789.0</v>
      </c>
      <c r="B5198" s="1" t="s">
        <v>180</v>
      </c>
      <c r="C5198" s="1" t="s">
        <v>14</v>
      </c>
      <c r="D5198" s="1">
        <v>5.1</v>
      </c>
      <c r="E5198" s="1">
        <v>18679.0</v>
      </c>
      <c r="F5198" s="10">
        <f t="shared" si="1"/>
        <v>5.333333333</v>
      </c>
      <c r="G5198" s="10">
        <f t="array" ref="G5198">index('Player ID'!C:C,match(E5198,'Player ID'!B:B,0))</f>
        <v>642547</v>
      </c>
    </row>
    <row r="5199">
      <c r="A5199" s="76">
        <v>45789.0</v>
      </c>
      <c r="B5199" s="1" t="s">
        <v>259</v>
      </c>
      <c r="C5199" s="1" t="s">
        <v>70</v>
      </c>
      <c r="D5199" s="1">
        <v>3.0</v>
      </c>
      <c r="E5199" s="1">
        <v>18694.0</v>
      </c>
      <c r="F5199" s="10">
        <f t="shared" si="1"/>
        <v>3</v>
      </c>
      <c r="G5199" s="10">
        <f t="array" ref="G5199">index('Player ID'!C:C,match(E5199,'Player ID'!B:B,0))</f>
        <v>663465</v>
      </c>
    </row>
    <row r="5200">
      <c r="A5200" s="76">
        <v>45789.0</v>
      </c>
      <c r="B5200" s="1" t="s">
        <v>636</v>
      </c>
      <c r="C5200" s="1" t="s">
        <v>14</v>
      </c>
      <c r="D5200" s="1">
        <v>1.2</v>
      </c>
      <c r="E5200" s="1">
        <v>19924.0</v>
      </c>
      <c r="F5200" s="10">
        <f t="shared" si="1"/>
        <v>1.666666667</v>
      </c>
      <c r="G5200" s="10">
        <f t="array" ref="G5200">index('Player ID'!C:C,match(E5200,'Player ID'!B:B,0))</f>
        <v>663542</v>
      </c>
    </row>
    <row r="5201">
      <c r="A5201" s="76">
        <v>45789.0</v>
      </c>
      <c r="B5201" s="1" t="s">
        <v>690</v>
      </c>
      <c r="C5201" s="1" t="s">
        <v>14</v>
      </c>
      <c r="D5201" s="1">
        <v>1.0</v>
      </c>
      <c r="E5201" s="1">
        <v>21652.0</v>
      </c>
      <c r="F5201" s="10">
        <f t="shared" si="1"/>
        <v>1</v>
      </c>
      <c r="G5201" s="10">
        <f t="array" ref="G5201">index('Player ID'!C:C,match(E5201,'Player ID'!B:B,0))</f>
        <v>665625</v>
      </c>
    </row>
    <row r="5202">
      <c r="A5202" s="76">
        <v>45789.0</v>
      </c>
      <c r="B5202" s="1" t="s">
        <v>238</v>
      </c>
      <c r="C5202" s="1" t="s">
        <v>70</v>
      </c>
      <c r="D5202" s="1">
        <v>1.0</v>
      </c>
      <c r="E5202" s="1">
        <v>25636.0</v>
      </c>
      <c r="F5202" s="10">
        <f t="shared" si="1"/>
        <v>1</v>
      </c>
      <c r="G5202" s="10">
        <f t="array" ref="G5202">index('Player ID'!C:C,match(E5202,'Player ID'!B:B,0))</f>
        <v>683769</v>
      </c>
    </row>
    <row r="5203">
      <c r="A5203" s="76">
        <v>45789.0</v>
      </c>
      <c r="B5203" s="1" t="s">
        <v>135</v>
      </c>
      <c r="C5203" s="1" t="s">
        <v>70</v>
      </c>
      <c r="D5203" s="1">
        <v>1.0</v>
      </c>
      <c r="E5203" s="1">
        <v>27867.0</v>
      </c>
      <c r="F5203" s="10">
        <f t="shared" si="1"/>
        <v>1</v>
      </c>
      <c r="G5203" s="10">
        <f t="array" ref="G5203">index('Player ID'!C:C,match(E5203,'Player ID'!B:B,0))</f>
        <v>671922</v>
      </c>
    </row>
    <row r="5204">
      <c r="A5204" s="76">
        <v>45789.0</v>
      </c>
      <c r="B5204" s="1" t="s">
        <v>666</v>
      </c>
      <c r="C5204" s="1" t="s">
        <v>62</v>
      </c>
      <c r="D5204" s="1">
        <v>1.1</v>
      </c>
      <c r="E5204" s="1">
        <v>12777.0</v>
      </c>
      <c r="F5204" s="10">
        <f t="shared" si="1"/>
        <v>1.333333333</v>
      </c>
      <c r="G5204" s="10">
        <f t="array" ref="G5204">index('Player ID'!C:C,match(E5204,'Player ID'!B:B,0))</f>
        <v>605154</v>
      </c>
    </row>
    <row r="5205">
      <c r="A5205" s="76">
        <v>45789.0</v>
      </c>
      <c r="B5205" s="1" t="s">
        <v>415</v>
      </c>
      <c r="C5205" s="1" t="s">
        <v>22</v>
      </c>
      <c r="D5205" s="1">
        <v>5.2</v>
      </c>
      <c r="E5205" s="1">
        <v>16943.0</v>
      </c>
      <c r="F5205" s="10">
        <f t="shared" si="1"/>
        <v>5.666666667</v>
      </c>
      <c r="G5205" s="10">
        <f t="array" ref="G5205">index('Player ID'!C:C,match(E5205,'Player ID'!B:B,0))</f>
        <v>656794</v>
      </c>
    </row>
    <row r="5206">
      <c r="A5206" s="76">
        <v>45789.0</v>
      </c>
      <c r="B5206" s="1" t="s">
        <v>301</v>
      </c>
      <c r="C5206" s="1" t="s">
        <v>22</v>
      </c>
      <c r="D5206" s="1">
        <v>2.1</v>
      </c>
      <c r="E5206" s="1">
        <v>19879.0</v>
      </c>
      <c r="F5206" s="10">
        <f t="shared" si="1"/>
        <v>2.333333333</v>
      </c>
      <c r="G5206" s="10">
        <f t="array" ref="G5206">index('Player ID'!C:C,match(E5206,'Player ID'!B:B,0))</f>
        <v>656557</v>
      </c>
    </row>
    <row r="5207">
      <c r="A5207" s="76">
        <v>45789.0</v>
      </c>
      <c r="B5207" s="1" t="s">
        <v>721</v>
      </c>
      <c r="C5207" s="1" t="s">
        <v>62</v>
      </c>
      <c r="D5207" s="1">
        <v>2.0</v>
      </c>
      <c r="E5207" s="1">
        <v>20045.0</v>
      </c>
      <c r="F5207" s="10">
        <f t="shared" si="1"/>
        <v>2</v>
      </c>
      <c r="G5207" s="10">
        <f t="array" ref="G5207">index('Player ID'!C:C,match(E5207,'Player ID'!B:B,0))</f>
        <v>674944</v>
      </c>
    </row>
    <row r="5208">
      <c r="A5208" s="76">
        <v>45789.0</v>
      </c>
      <c r="B5208" s="1" t="s">
        <v>377</v>
      </c>
      <c r="C5208" s="1" t="s">
        <v>62</v>
      </c>
      <c r="D5208" s="1">
        <v>5.2</v>
      </c>
      <c r="E5208" s="1">
        <v>30203.0</v>
      </c>
      <c r="F5208" s="10">
        <f t="shared" si="1"/>
        <v>5.666666667</v>
      </c>
      <c r="G5208" s="10">
        <f t="array" ref="G5208">index('Player ID'!C:C,match(E5208,'Player ID'!B:B,0))</f>
        <v>695549</v>
      </c>
    </row>
    <row r="5209">
      <c r="A5209" s="76">
        <v>45789.0</v>
      </c>
      <c r="B5209" s="1" t="s">
        <v>182</v>
      </c>
      <c r="C5209" s="1" t="s">
        <v>45</v>
      </c>
      <c r="D5209" s="1">
        <v>1.0</v>
      </c>
      <c r="E5209" s="1">
        <v>13799.0</v>
      </c>
      <c r="F5209" s="10">
        <f t="shared" si="1"/>
        <v>1</v>
      </c>
      <c r="G5209" s="10">
        <f t="array" ref="G5209">index('Player ID'!C:C,match(E5209,'Player ID'!B:B,0))</f>
        <v>621381</v>
      </c>
    </row>
    <row r="5210">
      <c r="A5210" s="76">
        <v>45789.0</v>
      </c>
      <c r="B5210" s="1" t="s">
        <v>138</v>
      </c>
      <c r="C5210" s="1" t="s">
        <v>45</v>
      </c>
      <c r="D5210" s="1">
        <v>1.0</v>
      </c>
      <c r="E5210" s="1">
        <v>16990.0</v>
      </c>
      <c r="F5210" s="10">
        <f t="shared" si="1"/>
        <v>1</v>
      </c>
      <c r="G5210" s="10">
        <f t="array" ref="G5210">index('Player ID'!C:C,match(E5210,'Player ID'!B:B,0))</f>
        <v>621383</v>
      </c>
    </row>
    <row r="5211">
      <c r="A5211" s="76">
        <v>45789.0</v>
      </c>
      <c r="B5211" s="1" t="s">
        <v>270</v>
      </c>
      <c r="C5211" s="1" t="s">
        <v>72</v>
      </c>
      <c r="D5211" s="1">
        <v>1.0</v>
      </c>
      <c r="E5211" s="1">
        <v>18138.0</v>
      </c>
      <c r="F5211" s="10">
        <f t="shared" si="1"/>
        <v>1</v>
      </c>
      <c r="G5211" s="10">
        <f t="array" ref="G5211">index('Player ID'!C:C,match(E5211,'Player ID'!B:B,0))</f>
        <v>664854</v>
      </c>
    </row>
    <row r="5212">
      <c r="A5212" s="76">
        <v>45789.0</v>
      </c>
      <c r="B5212" s="1" t="s">
        <v>193</v>
      </c>
      <c r="C5212" s="1" t="s">
        <v>72</v>
      </c>
      <c r="D5212" s="1">
        <v>0.1</v>
      </c>
      <c r="E5212" s="1">
        <v>19574.0</v>
      </c>
      <c r="F5212" s="10">
        <f t="shared" si="1"/>
        <v>0.3333333333</v>
      </c>
      <c r="G5212" s="10">
        <f t="array" ref="G5212">index('Player ID'!C:C,match(E5212,'Player ID'!B:B,0))</f>
        <v>668941</v>
      </c>
    </row>
    <row r="5213">
      <c r="A5213" s="76">
        <v>45789.0</v>
      </c>
      <c r="B5213" s="1" t="s">
        <v>747</v>
      </c>
      <c r="C5213" s="1" t="s">
        <v>45</v>
      </c>
      <c r="D5213" s="1">
        <v>6.0</v>
      </c>
      <c r="E5213" s="1">
        <v>20778.0</v>
      </c>
      <c r="F5213" s="10">
        <f t="shared" si="1"/>
        <v>6</v>
      </c>
      <c r="G5213" s="10">
        <f t="array" ref="G5213">index('Player ID'!C:C,match(E5213,'Player ID'!B:B,0))</f>
        <v>650911</v>
      </c>
    </row>
    <row r="5214">
      <c r="A5214" s="76">
        <v>45789.0</v>
      </c>
      <c r="B5214" s="1" t="s">
        <v>290</v>
      </c>
      <c r="C5214" s="1" t="s">
        <v>72</v>
      </c>
      <c r="D5214" s="1">
        <v>5.1</v>
      </c>
      <c r="E5214" s="1">
        <v>22294.0</v>
      </c>
      <c r="F5214" s="10">
        <f t="shared" si="1"/>
        <v>5.333333333</v>
      </c>
      <c r="G5214" s="10">
        <f t="array" ref="G5214">index('Player ID'!C:C,match(E5214,'Player ID'!B:B,0))</f>
        <v>669461</v>
      </c>
    </row>
    <row r="5215">
      <c r="A5215" s="76">
        <v>45789.0</v>
      </c>
      <c r="B5215" s="1" t="s">
        <v>170</v>
      </c>
      <c r="C5215" s="1" t="s">
        <v>72</v>
      </c>
      <c r="D5215" s="1">
        <v>2.1</v>
      </c>
      <c r="E5215" s="1">
        <v>24763.0</v>
      </c>
      <c r="F5215" s="10">
        <f t="shared" si="1"/>
        <v>2.333333333</v>
      </c>
      <c r="G5215" s="10">
        <f t="array" ref="G5215">index('Player ID'!C:C,match(E5215,'Player ID'!B:B,0))</f>
        <v>681517</v>
      </c>
    </row>
    <row r="5216">
      <c r="A5216" s="76">
        <v>45789.0</v>
      </c>
      <c r="B5216" s="1" t="s">
        <v>165</v>
      </c>
      <c r="C5216" s="1" t="s">
        <v>45</v>
      </c>
      <c r="D5216" s="1">
        <v>1.0</v>
      </c>
      <c r="E5216" s="1">
        <v>31776.0</v>
      </c>
      <c r="F5216" s="10">
        <f t="shared" si="1"/>
        <v>1</v>
      </c>
      <c r="G5216" s="10">
        <f t="array" ref="G5216">index('Player ID'!C:C,match(E5216,'Player ID'!B:B,0))</f>
        <v>689147</v>
      </c>
    </row>
    <row r="5217">
      <c r="A5217" s="76">
        <v>45789.0</v>
      </c>
      <c r="B5217" s="1" t="s">
        <v>646</v>
      </c>
      <c r="C5217" s="1" t="s">
        <v>51</v>
      </c>
      <c r="D5217" s="1">
        <v>1.0</v>
      </c>
      <c r="E5217" s="1">
        <v>6107.0</v>
      </c>
      <c r="F5217" s="10">
        <f t="shared" si="1"/>
        <v>1</v>
      </c>
      <c r="G5217" s="10">
        <f t="array" ref="G5217">index('Player ID'!C:C,match(E5217,'Player ID'!B:B,0))</f>
        <v>623211</v>
      </c>
    </row>
    <row r="5218">
      <c r="A5218" s="76">
        <v>45789.0</v>
      </c>
      <c r="B5218" s="1" t="s">
        <v>107</v>
      </c>
      <c r="C5218" s="1" t="s">
        <v>60</v>
      </c>
      <c r="D5218" s="1">
        <v>0.2</v>
      </c>
      <c r="E5218" s="1">
        <v>19349.0</v>
      </c>
      <c r="F5218" s="10">
        <f t="shared" si="1"/>
        <v>0.6666666667</v>
      </c>
      <c r="G5218" s="10">
        <f t="array" ref="G5218">index('Player ID'!C:C,match(E5218,'Player ID'!B:B,0))</f>
        <v>657571</v>
      </c>
    </row>
    <row r="5219">
      <c r="A5219" s="76">
        <v>45789.0</v>
      </c>
      <c r="B5219" s="1" t="s">
        <v>183</v>
      </c>
      <c r="C5219" s="1" t="s">
        <v>60</v>
      </c>
      <c r="D5219" s="1">
        <v>0.2</v>
      </c>
      <c r="E5219" s="1">
        <v>19569.0</v>
      </c>
      <c r="F5219" s="10">
        <f t="shared" si="1"/>
        <v>0.6666666667</v>
      </c>
      <c r="G5219" s="10">
        <f t="array" ref="G5219">index('Player ID'!C:C,match(E5219,'Player ID'!B:B,0))</f>
        <v>670280</v>
      </c>
    </row>
    <row r="5220">
      <c r="A5220" s="76">
        <v>45789.0</v>
      </c>
      <c r="B5220" s="1" t="s">
        <v>307</v>
      </c>
      <c r="C5220" s="1" t="s">
        <v>51</v>
      </c>
      <c r="D5220" s="1">
        <v>6.0</v>
      </c>
      <c r="E5220" s="1">
        <v>20302.0</v>
      </c>
      <c r="F5220" s="10">
        <f t="shared" si="1"/>
        <v>6</v>
      </c>
      <c r="G5220" s="10">
        <f t="array" ref="G5220">index('Player ID'!C:C,match(E5220,'Player ID'!B:B,0))</f>
        <v>656849</v>
      </c>
    </row>
    <row r="5221">
      <c r="A5221" s="76">
        <v>45789.0</v>
      </c>
      <c r="B5221" s="1" t="s">
        <v>663</v>
      </c>
      <c r="C5221" s="1" t="s">
        <v>60</v>
      </c>
      <c r="D5221" s="1">
        <v>1.1</v>
      </c>
      <c r="E5221" s="1">
        <v>22361.0</v>
      </c>
      <c r="F5221" s="10">
        <f t="shared" si="1"/>
        <v>1.333333333</v>
      </c>
      <c r="G5221" s="10">
        <f t="array" ref="G5221">index('Player ID'!C:C,match(E5221,'Player ID'!B:B,0))</f>
        <v>670059</v>
      </c>
    </row>
    <row r="5222">
      <c r="A5222" s="76">
        <v>45789.0</v>
      </c>
      <c r="B5222" s="1" t="s">
        <v>829</v>
      </c>
      <c r="C5222" s="1" t="s">
        <v>51</v>
      </c>
      <c r="D5222" s="1">
        <v>1.0</v>
      </c>
      <c r="E5222" s="1">
        <v>23055.0</v>
      </c>
      <c r="F5222" s="10">
        <f t="shared" si="1"/>
        <v>1</v>
      </c>
      <c r="G5222" s="10">
        <f t="array" ref="G5222">index('Player ID'!C:C,match(E5222,'Player ID'!B:B,0))</f>
        <v>673380</v>
      </c>
    </row>
    <row r="5223">
      <c r="A5223" s="76">
        <v>45789.0</v>
      </c>
      <c r="B5223" s="1" t="s">
        <v>712</v>
      </c>
      <c r="C5223" s="1" t="s">
        <v>51</v>
      </c>
      <c r="D5223" s="1">
        <v>1.0</v>
      </c>
      <c r="E5223" s="1">
        <v>23313.0</v>
      </c>
      <c r="F5223" s="10">
        <f t="shared" si="1"/>
        <v>1</v>
      </c>
      <c r="G5223" s="10">
        <f t="array" ref="G5223">index('Player ID'!C:C,match(E5223,'Player ID'!B:B,0))</f>
        <v>676130</v>
      </c>
    </row>
    <row r="5224">
      <c r="A5224" s="76">
        <v>45789.0</v>
      </c>
      <c r="B5224" s="1" t="s">
        <v>88</v>
      </c>
      <c r="C5224" s="1" t="s">
        <v>60</v>
      </c>
      <c r="D5224" s="1">
        <v>6.0</v>
      </c>
      <c r="E5224" s="1">
        <v>33677.0</v>
      </c>
      <c r="F5224" s="10">
        <f t="shared" si="1"/>
        <v>6</v>
      </c>
      <c r="G5224" s="10">
        <f t="array" ref="G5224">index('Player ID'!C:C,match(E5224,'Player ID'!B:B,0))</f>
        <v>694973</v>
      </c>
    </row>
    <row r="5225">
      <c r="A5225" s="76">
        <v>45789.0</v>
      </c>
      <c r="B5225" s="1" t="s">
        <v>506</v>
      </c>
      <c r="C5225" s="1" t="s">
        <v>80</v>
      </c>
      <c r="D5225" s="1">
        <v>0.0</v>
      </c>
      <c r="E5225" s="1">
        <v>12988.0</v>
      </c>
      <c r="F5225" s="10">
        <f t="shared" si="1"/>
        <v>0</v>
      </c>
      <c r="G5225" s="10">
        <f t="array" ref="G5225">index('Player ID'!C:C,match(E5225,'Player ID'!B:B,0))</f>
        <v>605177</v>
      </c>
    </row>
    <row r="5226">
      <c r="A5226" s="76">
        <v>45789.0</v>
      </c>
      <c r="B5226" s="1" t="s">
        <v>719</v>
      </c>
      <c r="C5226" s="1" t="s">
        <v>80</v>
      </c>
      <c r="D5226" s="1">
        <v>0.1</v>
      </c>
      <c r="E5226" s="1">
        <v>14527.0</v>
      </c>
      <c r="F5226" s="10">
        <f t="shared" si="1"/>
        <v>0.3333333333</v>
      </c>
      <c r="G5226" s="10">
        <f t="array" ref="G5226">index('Player ID'!C:C,match(E5226,'Player ID'!B:B,0))</f>
        <v>605347</v>
      </c>
    </row>
    <row r="5227">
      <c r="A5227" s="76">
        <v>45789.0</v>
      </c>
      <c r="B5227" s="1" t="s">
        <v>366</v>
      </c>
      <c r="C5227" s="1" t="s">
        <v>46</v>
      </c>
      <c r="D5227" s="1">
        <v>6.1</v>
      </c>
      <c r="E5227" s="1">
        <v>16944.0</v>
      </c>
      <c r="F5227" s="10">
        <f t="shared" si="1"/>
        <v>6.333333333</v>
      </c>
      <c r="G5227" s="10">
        <f t="array" ref="G5227">index('Player ID'!C:C,match(E5227,'Player ID'!B:B,0))</f>
        <v>656550</v>
      </c>
    </row>
    <row r="5228">
      <c r="A5228" s="76">
        <v>45789.0</v>
      </c>
      <c r="B5228" s="1" t="s">
        <v>184</v>
      </c>
      <c r="C5228" s="1" t="s">
        <v>46</v>
      </c>
      <c r="D5228" s="1">
        <v>1.0</v>
      </c>
      <c r="E5228" s="1">
        <v>17130.0</v>
      </c>
      <c r="F5228" s="10">
        <f t="shared" si="1"/>
        <v>1</v>
      </c>
      <c r="G5228" s="10">
        <f t="array" ref="G5228">index('Player ID'!C:C,match(E5228,'Player ID'!B:B,0))</f>
        <v>628452</v>
      </c>
    </row>
    <row r="5229">
      <c r="A5229" s="76">
        <v>45789.0</v>
      </c>
      <c r="B5229" s="1" t="s">
        <v>91</v>
      </c>
      <c r="C5229" s="1" t="s">
        <v>46</v>
      </c>
      <c r="D5229" s="1">
        <v>0.2</v>
      </c>
      <c r="E5229" s="1">
        <v>19996.0</v>
      </c>
      <c r="F5229" s="10">
        <f t="shared" si="1"/>
        <v>0.6666666667</v>
      </c>
      <c r="G5229" s="10">
        <f t="array" ref="G5229">index('Player ID'!C:C,match(E5229,'Player ID'!B:B,0))</f>
        <v>669276</v>
      </c>
    </row>
    <row r="5230">
      <c r="A5230" s="76">
        <v>45789.0</v>
      </c>
      <c r="B5230" s="1" t="s">
        <v>688</v>
      </c>
      <c r="C5230" s="1" t="s">
        <v>46</v>
      </c>
      <c r="D5230" s="1">
        <v>1.0</v>
      </c>
      <c r="E5230" s="1">
        <v>20271.0</v>
      </c>
      <c r="F5230" s="10">
        <f t="shared" si="1"/>
        <v>1</v>
      </c>
      <c r="G5230" s="10">
        <f t="array" ref="G5230">index('Player ID'!C:C,match(E5230,'Player ID'!B:B,0))</f>
        <v>678226</v>
      </c>
    </row>
    <row r="5231">
      <c r="A5231" s="76">
        <v>45789.0</v>
      </c>
      <c r="B5231" s="1" t="s">
        <v>396</v>
      </c>
      <c r="C5231" s="1" t="s">
        <v>80</v>
      </c>
      <c r="D5231" s="1">
        <v>6.0</v>
      </c>
      <c r="E5231" s="1">
        <v>21504.0</v>
      </c>
      <c r="F5231" s="10">
        <f t="shared" si="1"/>
        <v>6</v>
      </c>
      <c r="G5231" s="10">
        <f t="array" ref="G5231">index('Player ID'!C:C,match(E5231,'Player ID'!B:B,0))</f>
        <v>663623</v>
      </c>
    </row>
    <row r="5232">
      <c r="A5232" s="76">
        <v>45789.0</v>
      </c>
      <c r="B5232" s="1" t="s">
        <v>86</v>
      </c>
      <c r="C5232" s="1" t="s">
        <v>80</v>
      </c>
      <c r="D5232" s="1">
        <v>0.2</v>
      </c>
      <c r="E5232" s="1">
        <v>24017.0</v>
      </c>
      <c r="F5232" s="10">
        <f t="shared" si="1"/>
        <v>0.6666666667</v>
      </c>
      <c r="G5232" s="10">
        <f t="array" ref="G5232">index('Player ID'!C:C,match(E5232,'Player ID'!B:B,0))</f>
        <v>678606</v>
      </c>
    </row>
    <row r="5233">
      <c r="A5233" s="76">
        <v>45789.0</v>
      </c>
      <c r="B5233" s="1" t="s">
        <v>511</v>
      </c>
      <c r="C5233" s="1" t="s">
        <v>80</v>
      </c>
      <c r="D5233" s="1">
        <v>1.1</v>
      </c>
      <c r="E5233" s="1">
        <v>26215.0</v>
      </c>
      <c r="F5233" s="10">
        <f t="shared" si="1"/>
        <v>1.333333333</v>
      </c>
      <c r="G5233" s="10">
        <f t="array" ref="G5233">index('Player ID'!C:C,match(E5233,'Player ID'!B:B,0))</f>
        <v>671131</v>
      </c>
    </row>
    <row r="5234">
      <c r="A5234" s="76">
        <v>45789.0</v>
      </c>
      <c r="B5234" s="1" t="s">
        <v>203</v>
      </c>
      <c r="C5234" s="1" t="s">
        <v>34</v>
      </c>
      <c r="D5234" s="1">
        <v>1.0</v>
      </c>
      <c r="E5234" s="1">
        <v>11426.0</v>
      </c>
      <c r="F5234" s="10">
        <f t="shared" si="1"/>
        <v>1</v>
      </c>
      <c r="G5234" s="10">
        <f t="array" ref="G5234">index('Player ID'!C:C,match(E5234,'Player ID'!B:B,0))</f>
        <v>519141</v>
      </c>
    </row>
    <row r="5235">
      <c r="A5235" s="76">
        <v>45789.0</v>
      </c>
      <c r="B5235" s="1" t="s">
        <v>313</v>
      </c>
      <c r="C5235" s="1" t="s">
        <v>34</v>
      </c>
      <c r="D5235" s="1">
        <v>6.2</v>
      </c>
      <c r="E5235" s="1">
        <v>12317.0</v>
      </c>
      <c r="F5235" s="10">
        <f t="shared" si="1"/>
        <v>6.666666667</v>
      </c>
      <c r="G5235" s="10">
        <f t="array" ref="G5235">index('Player ID'!C:C,match(E5235,'Player ID'!B:B,0))</f>
        <v>607067</v>
      </c>
    </row>
    <row r="5236">
      <c r="A5236" s="76">
        <v>45789.0</v>
      </c>
      <c r="B5236" s="1" t="s">
        <v>464</v>
      </c>
      <c r="C5236" s="1" t="s">
        <v>36</v>
      </c>
      <c r="D5236" s="1">
        <v>4.1</v>
      </c>
      <c r="E5236" s="1">
        <v>19312.0</v>
      </c>
      <c r="F5236" s="10">
        <f t="shared" si="1"/>
        <v>4.333333333</v>
      </c>
      <c r="G5236" s="10">
        <f t="array" ref="G5236">index('Player ID'!C:C,match(E5236,'Player ID'!B:B,0))</f>
        <v>615698</v>
      </c>
    </row>
    <row r="5237">
      <c r="A5237" s="76">
        <v>45789.0</v>
      </c>
      <c r="B5237" s="1" t="s">
        <v>676</v>
      </c>
      <c r="C5237" s="1" t="s">
        <v>36</v>
      </c>
      <c r="D5237" s="1">
        <v>0.2</v>
      </c>
      <c r="E5237" s="1">
        <v>27453.0</v>
      </c>
      <c r="F5237" s="10">
        <f t="shared" si="1"/>
        <v>0.6666666667</v>
      </c>
      <c r="G5237" s="10">
        <f t="array" ref="G5237">index('Player ID'!C:C,match(E5237,'Player ID'!B:B,0))</f>
        <v>685107</v>
      </c>
    </row>
    <row r="5238">
      <c r="A5238" s="76">
        <v>45789.0</v>
      </c>
      <c r="B5238" s="1" t="s">
        <v>167</v>
      </c>
      <c r="C5238" s="1" t="s">
        <v>34</v>
      </c>
      <c r="D5238" s="1">
        <v>1.1</v>
      </c>
      <c r="E5238" s="1">
        <v>27914.0</v>
      </c>
      <c r="F5238" s="10">
        <f t="shared" si="1"/>
        <v>1.333333333</v>
      </c>
      <c r="G5238" s="10">
        <f t="array" ref="G5238">index('Player ID'!C:C,match(E5238,'Player ID'!B:B,0))</f>
        <v>694037</v>
      </c>
    </row>
    <row r="5239">
      <c r="A5239" s="76">
        <v>45789.0</v>
      </c>
      <c r="B5239" s="1" t="s">
        <v>266</v>
      </c>
      <c r="C5239" s="1" t="s">
        <v>36</v>
      </c>
      <c r="D5239" s="1">
        <v>3.0</v>
      </c>
      <c r="E5239" s="1">
        <v>31815.0</v>
      </c>
      <c r="F5239" s="10">
        <f t="shared" si="1"/>
        <v>3</v>
      </c>
      <c r="G5239" s="10">
        <f t="array" ref="G5239">index('Player ID'!C:C,match(E5239,'Player ID'!B:B,0))</f>
        <v>806188</v>
      </c>
    </row>
    <row r="5240">
      <c r="A5240" s="76">
        <v>45789.0</v>
      </c>
      <c r="B5240" s="1" t="s">
        <v>162</v>
      </c>
      <c r="C5240" s="1" t="s">
        <v>56</v>
      </c>
      <c r="D5240" s="1">
        <v>0.0</v>
      </c>
      <c r="E5240" s="1">
        <v>11752.0</v>
      </c>
      <c r="F5240" s="10">
        <f t="shared" si="1"/>
        <v>0</v>
      </c>
      <c r="G5240" s="10">
        <f t="array" ref="G5240">index('Player ID'!C:C,match(E5240,'Player ID'!B:B,0))</f>
        <v>592426</v>
      </c>
    </row>
    <row r="5241">
      <c r="A5241" s="76">
        <v>45789.0</v>
      </c>
      <c r="B5241" s="1" t="s">
        <v>74</v>
      </c>
      <c r="C5241" s="1" t="s">
        <v>56</v>
      </c>
      <c r="D5241" s="1">
        <v>1.0</v>
      </c>
      <c r="E5241" s="1">
        <v>11847.0</v>
      </c>
      <c r="F5241" s="10">
        <f t="shared" si="1"/>
        <v>1</v>
      </c>
      <c r="G5241" s="10">
        <f t="array" ref="G5241">index('Player ID'!C:C,match(E5241,'Player ID'!B:B,0))</f>
        <v>455119</v>
      </c>
    </row>
    <row r="5242">
      <c r="A5242" s="76">
        <v>45789.0</v>
      </c>
      <c r="B5242" s="1" t="s">
        <v>55</v>
      </c>
      <c r="C5242" s="1" t="s">
        <v>56</v>
      </c>
      <c r="D5242" s="1">
        <v>6.1</v>
      </c>
      <c r="E5242" s="1">
        <v>16358.0</v>
      </c>
      <c r="F5242" s="10">
        <f t="shared" si="1"/>
        <v>6.333333333</v>
      </c>
      <c r="G5242" s="10">
        <f t="array" ref="G5242">index('Player ID'!C:C,match(E5242,'Player ID'!B:B,0))</f>
        <v>641816</v>
      </c>
    </row>
    <row r="5243">
      <c r="A5243" s="76">
        <v>45789.0</v>
      </c>
      <c r="B5243" s="1" t="s">
        <v>288</v>
      </c>
      <c r="C5243" s="1" t="s">
        <v>75</v>
      </c>
      <c r="D5243" s="1">
        <v>1.0</v>
      </c>
      <c r="E5243" s="1">
        <v>18297.0</v>
      </c>
      <c r="F5243" s="10">
        <f t="shared" si="1"/>
        <v>1</v>
      </c>
      <c r="G5243" s="10">
        <f t="array" ref="G5243">index('Player ID'!C:C,match(E5243,'Player ID'!B:B,0))</f>
        <v>641755</v>
      </c>
    </row>
    <row r="5244">
      <c r="A5244" s="76">
        <v>45789.0</v>
      </c>
      <c r="B5244" s="1" t="s">
        <v>87</v>
      </c>
      <c r="C5244" s="1" t="s">
        <v>56</v>
      </c>
      <c r="D5244" s="1">
        <v>1.0</v>
      </c>
      <c r="E5244" s="1">
        <v>19274.0</v>
      </c>
      <c r="F5244" s="10">
        <f t="shared" si="1"/>
        <v>1</v>
      </c>
      <c r="G5244" s="10">
        <f t="array" ref="G5244">index('Player ID'!C:C,match(E5244,'Player ID'!B:B,0))</f>
        <v>657097</v>
      </c>
    </row>
    <row r="5245">
      <c r="A5245" s="76">
        <v>45789.0</v>
      </c>
      <c r="B5245" s="1" t="s">
        <v>215</v>
      </c>
      <c r="C5245" s="1" t="s">
        <v>75</v>
      </c>
      <c r="D5245" s="1">
        <v>1.0</v>
      </c>
      <c r="E5245" s="1">
        <v>21267.0</v>
      </c>
      <c r="F5245" s="10">
        <f t="shared" si="1"/>
        <v>1</v>
      </c>
      <c r="G5245" s="10">
        <f t="array" ref="G5245">index('Player ID'!C:C,match(E5245,'Player ID'!B:B,0))</f>
        <v>656234</v>
      </c>
    </row>
    <row r="5246">
      <c r="A5246" s="76">
        <v>45789.0</v>
      </c>
      <c r="B5246" s="1" t="s">
        <v>268</v>
      </c>
      <c r="C5246" s="1" t="s">
        <v>56</v>
      </c>
      <c r="D5246" s="1">
        <v>0.2</v>
      </c>
      <c r="E5246" s="1">
        <v>23363.0</v>
      </c>
      <c r="F5246" s="10">
        <f t="shared" si="1"/>
        <v>0.6666666667</v>
      </c>
      <c r="G5246" s="10">
        <f t="array" ref="G5246">index('Player ID'!C:C,match(E5246,'Player ID'!B:B,0))</f>
        <v>676395</v>
      </c>
    </row>
    <row r="5247">
      <c r="A5247" s="76">
        <v>45789.0</v>
      </c>
      <c r="B5247" s="1" t="s">
        <v>495</v>
      </c>
      <c r="C5247" s="1" t="s">
        <v>75</v>
      </c>
      <c r="D5247" s="1">
        <v>6.0</v>
      </c>
      <c r="E5247" s="1">
        <v>33482.0</v>
      </c>
      <c r="F5247" s="10">
        <f t="shared" si="1"/>
        <v>6</v>
      </c>
      <c r="G5247" s="10">
        <f t="array" ref="G5247">index('Player ID'!C:C,match(E5247,'Player ID'!B:B,0))</f>
        <v>801403</v>
      </c>
    </row>
    <row r="5248">
      <c r="A5248" s="76">
        <v>45789.0</v>
      </c>
      <c r="B5248" s="1" t="s">
        <v>38</v>
      </c>
      <c r="C5248" s="1" t="s">
        <v>39</v>
      </c>
      <c r="D5248" s="1">
        <v>2.0</v>
      </c>
      <c r="E5248" s="1">
        <v>13580.0</v>
      </c>
      <c r="F5248" s="10">
        <f t="shared" si="1"/>
        <v>2</v>
      </c>
      <c r="G5248" s="10">
        <f t="array" ref="G5248">index('Player ID'!C:C,match(E5248,'Player ID'!B:B,0))</f>
        <v>595345</v>
      </c>
    </row>
    <row r="5249">
      <c r="A5249" s="76">
        <v>45789.0</v>
      </c>
      <c r="B5249" s="1" t="s">
        <v>447</v>
      </c>
      <c r="C5249" s="1" t="s">
        <v>39</v>
      </c>
      <c r="D5249" s="1">
        <v>1.2</v>
      </c>
      <c r="E5249" s="1">
        <v>13652.0</v>
      </c>
      <c r="F5249" s="10">
        <f t="shared" si="1"/>
        <v>1.666666667</v>
      </c>
      <c r="G5249" s="10">
        <f t="array" ref="G5249">index('Player ID'!C:C,match(E5249,'Player ID'!B:B,0))</f>
        <v>605463</v>
      </c>
    </row>
    <row r="5250">
      <c r="A5250" s="76">
        <v>45789.0</v>
      </c>
      <c r="B5250" s="1" t="s">
        <v>147</v>
      </c>
      <c r="C5250" s="1" t="s">
        <v>29</v>
      </c>
      <c r="D5250" s="1">
        <v>6.1</v>
      </c>
      <c r="E5250" s="1">
        <v>14078.0</v>
      </c>
      <c r="F5250" s="10">
        <f t="shared" si="1"/>
        <v>6.333333333</v>
      </c>
      <c r="G5250" s="10">
        <f t="array" ref="G5250">index('Player ID'!C:C,match(E5250,'Player ID'!B:B,0))</f>
        <v>608379</v>
      </c>
    </row>
    <row r="5251">
      <c r="A5251" s="76">
        <v>45789.0</v>
      </c>
      <c r="B5251" s="1" t="s">
        <v>649</v>
      </c>
      <c r="C5251" s="1" t="s">
        <v>29</v>
      </c>
      <c r="D5251" s="1">
        <v>1.0</v>
      </c>
      <c r="E5251" s="1">
        <v>14542.0</v>
      </c>
      <c r="F5251" s="10">
        <f t="shared" si="1"/>
        <v>1</v>
      </c>
      <c r="G5251" s="10">
        <f t="array" ref="G5251">index('Player ID'!C:C,match(E5251,'Player ID'!B:B,0))</f>
        <v>608032</v>
      </c>
    </row>
    <row r="5252">
      <c r="A5252" s="76">
        <v>45789.0</v>
      </c>
      <c r="B5252" s="1" t="s">
        <v>407</v>
      </c>
      <c r="C5252" s="1" t="s">
        <v>29</v>
      </c>
      <c r="D5252" s="1">
        <v>0.2</v>
      </c>
      <c r="E5252" s="1">
        <v>19360.0</v>
      </c>
      <c r="F5252" s="10">
        <f t="shared" si="1"/>
        <v>0.6666666667</v>
      </c>
      <c r="G5252" s="10">
        <f t="array" ref="G5252">index('Player ID'!C:C,match(E5252,'Player ID'!B:B,0))</f>
        <v>668674</v>
      </c>
    </row>
    <row r="5253">
      <c r="A5253" s="76">
        <v>45789.0</v>
      </c>
      <c r="B5253" s="1" t="s">
        <v>144</v>
      </c>
      <c r="C5253" s="1" t="s">
        <v>29</v>
      </c>
      <c r="D5253" s="1">
        <v>0.2</v>
      </c>
      <c r="E5253" s="1">
        <v>20020.0</v>
      </c>
      <c r="F5253" s="10">
        <f t="shared" si="1"/>
        <v>0.6666666667</v>
      </c>
      <c r="G5253" s="10">
        <f t="array" ref="G5253">index('Player ID'!C:C,match(E5253,'Player ID'!B:B,0))</f>
        <v>670167</v>
      </c>
    </row>
    <row r="5254">
      <c r="A5254" s="76">
        <v>45789.0</v>
      </c>
      <c r="B5254" s="1" t="s">
        <v>359</v>
      </c>
      <c r="C5254" s="1" t="s">
        <v>39</v>
      </c>
      <c r="D5254" s="1">
        <v>1.0</v>
      </c>
      <c r="E5254" s="1">
        <v>20061.0</v>
      </c>
      <c r="F5254" s="10">
        <f t="shared" si="1"/>
        <v>1</v>
      </c>
      <c r="G5254" s="10">
        <f t="array" ref="G5254">index('Player ID'!C:C,match(E5254,'Player ID'!B:B,0))</f>
        <v>672391</v>
      </c>
    </row>
    <row r="5255">
      <c r="A5255" s="76">
        <v>45789.0</v>
      </c>
      <c r="B5255" s="1" t="s">
        <v>102</v>
      </c>
      <c r="C5255" s="1" t="s">
        <v>39</v>
      </c>
      <c r="D5255" s="1">
        <v>2.0</v>
      </c>
      <c r="E5255" s="1">
        <v>21345.0</v>
      </c>
      <c r="F5255" s="10">
        <f t="shared" si="1"/>
        <v>2</v>
      </c>
      <c r="G5255" s="10">
        <f t="array" ref="G5255">index('Player ID'!C:C,match(E5255,'Player ID'!B:B,0))</f>
        <v>656986</v>
      </c>
    </row>
    <row r="5256">
      <c r="A5256" s="76">
        <v>45789.0</v>
      </c>
      <c r="B5256" s="1" t="s">
        <v>214</v>
      </c>
      <c r="C5256" s="1" t="s">
        <v>29</v>
      </c>
      <c r="D5256" s="1">
        <v>0.1</v>
      </c>
      <c r="E5256" s="1">
        <v>23165.0</v>
      </c>
      <c r="F5256" s="10">
        <f t="shared" si="1"/>
        <v>0.3333333333</v>
      </c>
      <c r="G5256" s="10">
        <f t="array" ref="G5256">index('Player ID'!C:C,match(E5256,'Player ID'!B:B,0))</f>
        <v>674444</v>
      </c>
    </row>
    <row r="5257">
      <c r="A5257" s="76">
        <v>45789.0</v>
      </c>
      <c r="B5257" s="1" t="s">
        <v>228</v>
      </c>
      <c r="C5257" s="1" t="s">
        <v>39</v>
      </c>
      <c r="D5257" s="1">
        <v>2.1</v>
      </c>
      <c r="E5257" s="1">
        <v>26440.0</v>
      </c>
      <c r="F5257" s="10">
        <f t="shared" si="1"/>
        <v>2.333333333</v>
      </c>
      <c r="G5257" s="10">
        <f t="array" ref="G5257">index('Player ID'!C:C,match(E5257,'Player ID'!B:B,0))</f>
        <v>687473</v>
      </c>
    </row>
    <row r="5258">
      <c r="A5258" s="76">
        <v>45789.0</v>
      </c>
      <c r="B5258" s="1" t="s">
        <v>154</v>
      </c>
      <c r="C5258" s="1" t="s">
        <v>25</v>
      </c>
      <c r="D5258" s="1">
        <v>1.0</v>
      </c>
      <c r="E5258" s="1">
        <v>3096.0</v>
      </c>
      <c r="F5258" s="10">
        <f t="shared" si="1"/>
        <v>1</v>
      </c>
      <c r="G5258" s="10">
        <f t="array" ref="G5258">index('Player ID'!C:C,match(E5258,'Player ID'!B:B,0))</f>
        <v>445276</v>
      </c>
    </row>
    <row r="5259">
      <c r="A5259" s="76">
        <v>45789.0</v>
      </c>
      <c r="B5259" s="1" t="s">
        <v>342</v>
      </c>
      <c r="C5259" s="1" t="s">
        <v>26</v>
      </c>
      <c r="D5259" s="1">
        <v>1.0</v>
      </c>
      <c r="E5259" s="1">
        <v>11861.0</v>
      </c>
      <c r="F5259" s="10">
        <f t="shared" si="1"/>
        <v>1</v>
      </c>
      <c r="G5259" s="10">
        <f t="array" ref="G5259">index('Player ID'!C:C,match(E5259,'Player ID'!B:B,0))</f>
        <v>592094</v>
      </c>
    </row>
    <row r="5260">
      <c r="A5260" s="76">
        <v>45789.0</v>
      </c>
      <c r="B5260" s="1" t="s">
        <v>291</v>
      </c>
      <c r="C5260" s="1" t="s">
        <v>25</v>
      </c>
      <c r="D5260" s="1">
        <v>1.0</v>
      </c>
      <c r="E5260" s="1">
        <v>17968.0</v>
      </c>
      <c r="F5260" s="10">
        <f t="shared" si="1"/>
        <v>1</v>
      </c>
      <c r="G5260" s="10">
        <f t="array" ref="G5260">index('Player ID'!C:C,match(E5260,'Player ID'!B:B,0))</f>
        <v>656271</v>
      </c>
    </row>
    <row r="5261">
      <c r="A5261" s="76">
        <v>45789.0</v>
      </c>
      <c r="B5261" s="1" t="s">
        <v>207</v>
      </c>
      <c r="C5261" s="1" t="s">
        <v>26</v>
      </c>
      <c r="D5261" s="1">
        <v>5.2</v>
      </c>
      <c r="E5261" s="1">
        <v>19853.0</v>
      </c>
      <c r="F5261" s="10">
        <f t="shared" si="1"/>
        <v>5.666666667</v>
      </c>
      <c r="G5261" s="10">
        <f t="array" ref="G5261">index('Player ID'!C:C,match(E5261,'Player ID'!B:B,0))</f>
        <v>650633</v>
      </c>
    </row>
    <row r="5262">
      <c r="A5262" s="76">
        <v>45789.0</v>
      </c>
      <c r="B5262" s="1" t="s">
        <v>49</v>
      </c>
      <c r="C5262" s="1" t="s">
        <v>26</v>
      </c>
      <c r="D5262" s="1">
        <v>0.1</v>
      </c>
      <c r="E5262" s="1">
        <v>20039.0</v>
      </c>
      <c r="F5262" s="10">
        <f t="shared" si="1"/>
        <v>0.3333333333</v>
      </c>
      <c r="G5262" s="10">
        <f t="array" ref="G5262">index('Player ID'!C:C,match(E5262,'Player ID'!B:B,0))</f>
        <v>670970</v>
      </c>
    </row>
    <row r="5263">
      <c r="A5263" s="76">
        <v>45789.0</v>
      </c>
      <c r="B5263" s="1" t="s">
        <v>232</v>
      </c>
      <c r="C5263" s="1" t="s">
        <v>25</v>
      </c>
      <c r="D5263" s="1">
        <v>6.0</v>
      </c>
      <c r="E5263" s="1">
        <v>20633.0</v>
      </c>
      <c r="F5263" s="10">
        <f t="shared" si="1"/>
        <v>6</v>
      </c>
      <c r="G5263" s="10">
        <f t="array" ref="G5263">index('Player ID'!C:C,match(E5263,'Player ID'!B:B,0))</f>
        <v>579328</v>
      </c>
    </row>
    <row r="5264">
      <c r="A5264" s="76">
        <v>45789.0</v>
      </c>
      <c r="B5264" s="1" t="s">
        <v>94</v>
      </c>
      <c r="C5264" s="1" t="s">
        <v>26</v>
      </c>
      <c r="D5264" s="1">
        <v>1.0</v>
      </c>
      <c r="E5264" s="1">
        <v>22210.0</v>
      </c>
      <c r="F5264" s="10">
        <f t="shared" si="1"/>
        <v>1</v>
      </c>
      <c r="G5264" s="10">
        <f t="array" ref="G5264">index('Player ID'!C:C,match(E5264,'Player ID'!B:B,0))</f>
        <v>669093</v>
      </c>
    </row>
    <row r="5265">
      <c r="A5265" s="76">
        <v>45789.0</v>
      </c>
      <c r="B5265" s="1" t="s">
        <v>391</v>
      </c>
      <c r="C5265" s="1" t="s">
        <v>26</v>
      </c>
      <c r="D5265" s="1">
        <v>0.2</v>
      </c>
      <c r="E5265" s="1">
        <v>29628.0</v>
      </c>
      <c r="F5265" s="10">
        <f t="shared" si="1"/>
        <v>0.6666666667</v>
      </c>
      <c r="G5265" s="10">
        <f t="array" ref="G5265">index('Player ID'!C:C,match(E5265,'Player ID'!B:B,0))</f>
        <v>689690</v>
      </c>
    </row>
    <row r="5266">
      <c r="A5266" s="76">
        <v>45789.0</v>
      </c>
      <c r="B5266" s="1" t="s">
        <v>81</v>
      </c>
      <c r="C5266" s="1" t="s">
        <v>26</v>
      </c>
      <c r="D5266" s="1">
        <v>0.1</v>
      </c>
      <c r="E5266" s="1">
        <v>30115.0</v>
      </c>
      <c r="F5266" s="10">
        <f t="shared" si="1"/>
        <v>0.3333333333</v>
      </c>
      <c r="G5266" s="10">
        <f t="array" ref="G5266">index('Player ID'!C:C,match(E5266,'Player ID'!B:B,0))</f>
        <v>663158</v>
      </c>
    </row>
    <row r="5267">
      <c r="A5267" s="76">
        <v>45789.0</v>
      </c>
      <c r="B5267" s="1" t="s">
        <v>381</v>
      </c>
      <c r="C5267" s="1" t="s">
        <v>25</v>
      </c>
      <c r="D5267" s="1">
        <v>1.0</v>
      </c>
      <c r="E5267" s="1">
        <v>33908.0</v>
      </c>
      <c r="F5267" s="10">
        <f t="shared" si="1"/>
        <v>1</v>
      </c>
      <c r="G5267" s="10">
        <f t="array" ref="G5267">index('Player ID'!C:C,match(E5267,'Player ID'!B:B,0))</f>
        <v>820862</v>
      </c>
    </row>
    <row r="5268">
      <c r="A5268" s="76">
        <v>45789.0</v>
      </c>
      <c r="B5268" s="1" t="s">
        <v>467</v>
      </c>
      <c r="C5268" s="1" t="s">
        <v>58</v>
      </c>
      <c r="D5268" s="1">
        <v>1.0</v>
      </c>
      <c r="E5268" s="1">
        <v>15551.0</v>
      </c>
      <c r="F5268" s="10">
        <f t="shared" si="1"/>
        <v>1</v>
      </c>
      <c r="G5268" s="10">
        <f t="array" ref="G5268">index('Player ID'!C:C,match(E5268,'Player ID'!B:B,0))</f>
        <v>643410</v>
      </c>
    </row>
    <row r="5269">
      <c r="A5269" s="76">
        <v>45789.0</v>
      </c>
      <c r="B5269" s="1" t="s">
        <v>114</v>
      </c>
      <c r="C5269" s="1" t="s">
        <v>58</v>
      </c>
      <c r="D5269" s="1">
        <v>0.1</v>
      </c>
      <c r="E5269" s="1">
        <v>15816.0</v>
      </c>
      <c r="F5269" s="10">
        <f t="shared" si="1"/>
        <v>0.3333333333</v>
      </c>
      <c r="G5269" s="10">
        <f t="array" ref="G5269">index('Player ID'!C:C,match(E5269,'Player ID'!B:B,0))</f>
        <v>642207</v>
      </c>
    </row>
    <row r="5270">
      <c r="A5270" s="76">
        <v>45789.0</v>
      </c>
      <c r="B5270" s="1" t="s">
        <v>69</v>
      </c>
      <c r="C5270" s="1" t="s">
        <v>58</v>
      </c>
      <c r="D5270" s="1">
        <v>0.2</v>
      </c>
      <c r="E5270" s="1">
        <v>16814.0</v>
      </c>
      <c r="F5270" s="10">
        <f t="shared" si="1"/>
        <v>0.6666666667</v>
      </c>
      <c r="G5270" s="10">
        <f t="array" ref="G5270">index('Player ID'!C:C,match(E5270,'Player ID'!B:B,0))</f>
        <v>657612</v>
      </c>
    </row>
    <row r="5271">
      <c r="A5271" s="76">
        <v>45789.0</v>
      </c>
      <c r="B5271" s="1" t="s">
        <v>520</v>
      </c>
      <c r="C5271" s="1" t="s">
        <v>58</v>
      </c>
      <c r="D5271" s="1">
        <v>1.0</v>
      </c>
      <c r="E5271" s="1">
        <v>19261.0</v>
      </c>
      <c r="F5271" s="10">
        <f t="shared" si="1"/>
        <v>1</v>
      </c>
      <c r="G5271" s="10">
        <f t="array" ref="G5271">index('Player ID'!C:C,match(E5271,'Player ID'!B:B,0))</f>
        <v>641656</v>
      </c>
    </row>
    <row r="5272">
      <c r="A5272" s="76">
        <v>45789.0</v>
      </c>
      <c r="B5272" s="1" t="s">
        <v>408</v>
      </c>
      <c r="C5272" s="1" t="s">
        <v>58</v>
      </c>
      <c r="D5272" s="1">
        <v>6.0</v>
      </c>
      <c r="E5272" s="1">
        <v>19899.0</v>
      </c>
      <c r="F5272" s="10">
        <f t="shared" si="1"/>
        <v>6</v>
      </c>
      <c r="G5272" s="10">
        <f t="array" ref="G5272">index('Player ID'!C:C,match(E5272,'Player ID'!B:B,0))</f>
        <v>657376</v>
      </c>
    </row>
    <row r="5273">
      <c r="A5273" s="76">
        <v>45789.0</v>
      </c>
      <c r="B5273" s="1" t="s">
        <v>157</v>
      </c>
      <c r="C5273" s="1" t="s">
        <v>37</v>
      </c>
      <c r="D5273" s="1">
        <v>2.0</v>
      </c>
      <c r="E5273" s="1">
        <v>20997.0</v>
      </c>
      <c r="F5273" s="10">
        <f t="shared" si="1"/>
        <v>2</v>
      </c>
      <c r="G5273" s="10">
        <f t="array" ref="G5273">index('Player ID'!C:C,match(E5273,'Player ID'!B:B,0))</f>
        <v>660825</v>
      </c>
    </row>
    <row r="5274">
      <c r="A5274" s="76">
        <v>45789.0</v>
      </c>
      <c r="B5274" s="1" t="s">
        <v>340</v>
      </c>
      <c r="C5274" s="1" t="s">
        <v>37</v>
      </c>
      <c r="D5274" s="1">
        <v>1.0</v>
      </c>
      <c r="E5274" s="1">
        <v>25921.0</v>
      </c>
      <c r="F5274" s="10">
        <f t="shared" si="1"/>
        <v>1</v>
      </c>
      <c r="G5274" s="10">
        <f t="array" ref="G5274">index('Player ID'!C:C,match(E5274,'Player ID'!B:B,0))</f>
        <v>668984</v>
      </c>
    </row>
    <row r="5275">
      <c r="A5275" s="76">
        <v>45789.0</v>
      </c>
      <c r="B5275" s="1" t="s">
        <v>509</v>
      </c>
      <c r="C5275" s="1" t="s">
        <v>37</v>
      </c>
      <c r="D5275" s="1">
        <v>5.0</v>
      </c>
      <c r="E5275" s="1">
        <v>27470.0</v>
      </c>
      <c r="F5275" s="10">
        <f t="shared" si="1"/>
        <v>5</v>
      </c>
      <c r="G5275" s="10">
        <f t="array" ref="G5275">index('Player ID'!C:C,match(E5275,'Player ID'!B:B,0))</f>
        <v>676106</v>
      </c>
    </row>
    <row r="5276">
      <c r="A5276" s="76">
        <v>45789.0</v>
      </c>
      <c r="B5276" s="1" t="s">
        <v>804</v>
      </c>
      <c r="C5276" s="1" t="s">
        <v>37</v>
      </c>
      <c r="D5276" s="1">
        <v>1.0</v>
      </c>
      <c r="E5276" s="1">
        <v>31883.0</v>
      </c>
      <c r="F5276" s="10">
        <f t="shared" si="1"/>
        <v>1</v>
      </c>
      <c r="G5276" s="10">
        <f t="array" ref="G5276">index('Player ID'!C:C,match(E5276,'Player ID'!B:B,0))</f>
        <v>700187</v>
      </c>
    </row>
    <row r="5277">
      <c r="A5277" s="76">
        <v>45789.0</v>
      </c>
      <c r="B5277" s="1" t="s">
        <v>358</v>
      </c>
      <c r="C5277" s="1" t="s">
        <v>31</v>
      </c>
      <c r="D5277" s="1">
        <v>6.0</v>
      </c>
      <c r="E5277" s="1">
        <v>8700.0</v>
      </c>
      <c r="F5277" s="10">
        <f t="shared" si="1"/>
        <v>6</v>
      </c>
      <c r="G5277" s="10">
        <f t="array" ref="G5277">index('Player ID'!C:C,match(E5277,'Player ID'!B:B,0))</f>
        <v>434378</v>
      </c>
    </row>
    <row r="5278">
      <c r="A5278" s="76">
        <v>45789.0</v>
      </c>
      <c r="B5278" s="1" t="s">
        <v>103</v>
      </c>
      <c r="C5278" s="1" t="s">
        <v>64</v>
      </c>
      <c r="D5278" s="1">
        <v>1.0</v>
      </c>
      <c r="E5278" s="1">
        <v>10197.0</v>
      </c>
      <c r="F5278" s="10">
        <f t="shared" si="1"/>
        <v>1</v>
      </c>
      <c r="G5278" s="10">
        <f t="array" ref="G5278">index('Player ID'!C:C,match(E5278,'Player ID'!B:B,0))</f>
        <v>571946</v>
      </c>
    </row>
    <row r="5279">
      <c r="A5279" s="76">
        <v>45789.0</v>
      </c>
      <c r="B5279" s="1" t="s">
        <v>222</v>
      </c>
      <c r="C5279" s="1" t="s">
        <v>64</v>
      </c>
      <c r="D5279" s="1">
        <v>7.0</v>
      </c>
      <c r="E5279" s="1">
        <v>11156.0</v>
      </c>
      <c r="F5279" s="10">
        <f t="shared" si="1"/>
        <v>7</v>
      </c>
      <c r="G5279" s="10">
        <f t="array" ref="G5279">index('Player ID'!C:C,match(E5279,'Player ID'!B:B,0))</f>
        <v>518876</v>
      </c>
    </row>
    <row r="5280">
      <c r="A5280" s="76">
        <v>45789.0</v>
      </c>
      <c r="B5280" s="1" t="s">
        <v>20</v>
      </c>
      <c r="C5280" s="1" t="s">
        <v>31</v>
      </c>
      <c r="D5280" s="1">
        <v>1.0</v>
      </c>
      <c r="E5280" s="1">
        <v>15541.0</v>
      </c>
      <c r="F5280" s="10">
        <f t="shared" si="1"/>
        <v>1</v>
      </c>
      <c r="G5280" s="10">
        <f t="array" ref="G5280">index('Player ID'!C:C,match(E5280,'Player ID'!B:B,0))</f>
        <v>643511</v>
      </c>
    </row>
    <row r="5281">
      <c r="A5281" s="76">
        <v>45789.0</v>
      </c>
      <c r="B5281" s="1" t="s">
        <v>489</v>
      </c>
      <c r="C5281" s="1" t="s">
        <v>64</v>
      </c>
      <c r="D5281" s="1">
        <v>1.0</v>
      </c>
      <c r="E5281" s="1">
        <v>17192.0</v>
      </c>
      <c r="F5281" s="10">
        <f t="shared" si="1"/>
        <v>1</v>
      </c>
      <c r="G5281" s="10">
        <f t="array" ref="G5281">index('Player ID'!C:C,match(E5281,'Player ID'!B:B,0))</f>
        <v>656222</v>
      </c>
    </row>
    <row r="5282">
      <c r="A5282" s="76">
        <v>45789.0</v>
      </c>
      <c r="B5282" s="1" t="s">
        <v>654</v>
      </c>
      <c r="C5282" s="1" t="s">
        <v>31</v>
      </c>
      <c r="D5282" s="1">
        <v>1.0</v>
      </c>
      <c r="E5282" s="1">
        <v>23974.0</v>
      </c>
      <c r="F5282" s="10">
        <f t="shared" si="1"/>
        <v>1</v>
      </c>
      <c r="G5282" s="10">
        <f t="array" ref="G5282">index('Player ID'!C:C,match(E5282,'Player ID'!B:B,0))</f>
        <v>678495</v>
      </c>
    </row>
    <row r="5283">
      <c r="A5283" s="76">
        <v>45789.0</v>
      </c>
      <c r="B5283" s="1" t="s">
        <v>655</v>
      </c>
      <c r="C5283" s="1" t="s">
        <v>31</v>
      </c>
      <c r="D5283" s="1">
        <v>1.0</v>
      </c>
      <c r="E5283" s="1">
        <v>26252.0</v>
      </c>
      <c r="F5283" s="10">
        <f t="shared" si="1"/>
        <v>1</v>
      </c>
      <c r="G5283" s="10">
        <f t="array" ref="G5283">index('Player ID'!C:C,match(E5283,'Player ID'!B:B,0))</f>
        <v>669062</v>
      </c>
    </row>
    <row r="5284">
      <c r="A5284" s="76">
        <v>45790.0</v>
      </c>
      <c r="B5284" s="1" t="s">
        <v>634</v>
      </c>
      <c r="C5284" s="1" t="s">
        <v>14</v>
      </c>
      <c r="D5284" s="1">
        <v>1.0</v>
      </c>
      <c r="E5284" s="1">
        <v>14332.0</v>
      </c>
      <c r="F5284" s="10">
        <f t="shared" si="1"/>
        <v>1</v>
      </c>
      <c r="G5284" s="10">
        <f t="array" ref="G5284">index('Player ID'!C:C,match(E5284,'Player ID'!B:B,0))</f>
        <v>606303</v>
      </c>
    </row>
    <row r="5285">
      <c r="A5285" s="76">
        <v>45790.0</v>
      </c>
      <c r="B5285" s="1" t="s">
        <v>187</v>
      </c>
      <c r="C5285" s="1" t="s">
        <v>14</v>
      </c>
      <c r="D5285" s="1">
        <v>0.1</v>
      </c>
      <c r="E5285" s="1">
        <v>17735.0</v>
      </c>
      <c r="F5285" s="10">
        <f t="shared" si="1"/>
        <v>0.3333333333</v>
      </c>
      <c r="G5285" s="10">
        <f t="array" ref="G5285">index('Player ID'!C:C,match(E5285,'Player ID'!B:B,0))</f>
        <v>641302</v>
      </c>
    </row>
    <row r="5286">
      <c r="A5286" s="76">
        <v>45790.0</v>
      </c>
      <c r="B5286" s="1" t="s">
        <v>141</v>
      </c>
      <c r="C5286" s="1" t="s">
        <v>70</v>
      </c>
      <c r="D5286" s="1">
        <v>1.0</v>
      </c>
      <c r="E5286" s="1">
        <v>19330.0</v>
      </c>
      <c r="F5286" s="10">
        <f t="shared" si="1"/>
        <v>1</v>
      </c>
      <c r="G5286" s="10">
        <f t="array" ref="G5286">index('Player ID'!C:C,match(E5286,'Player ID'!B:B,0))</f>
        <v>670036</v>
      </c>
    </row>
    <row r="5287">
      <c r="A5287" s="76">
        <v>45790.0</v>
      </c>
      <c r="B5287" s="1" t="s">
        <v>132</v>
      </c>
      <c r="C5287" s="1" t="s">
        <v>70</v>
      </c>
      <c r="D5287" s="1">
        <v>1.0</v>
      </c>
      <c r="E5287" s="1">
        <v>21032.0</v>
      </c>
      <c r="F5287" s="10">
        <f t="shared" si="1"/>
        <v>1</v>
      </c>
      <c r="G5287" s="10">
        <f t="array" ref="G5287">index('Player ID'!C:C,match(E5287,'Player ID'!B:B,0))</f>
        <v>661403</v>
      </c>
    </row>
    <row r="5288">
      <c r="A5288" s="76">
        <v>45790.0</v>
      </c>
      <c r="B5288" s="1" t="s">
        <v>279</v>
      </c>
      <c r="C5288" s="1" t="s">
        <v>14</v>
      </c>
      <c r="D5288" s="1">
        <v>0.2</v>
      </c>
      <c r="E5288" s="1">
        <v>25327.0</v>
      </c>
      <c r="F5288" s="10">
        <f t="shared" si="1"/>
        <v>0.6666666667</v>
      </c>
      <c r="G5288" s="10">
        <f t="array" ref="G5288">index('Player ID'!C:C,match(E5288,'Player ID'!B:B,0))</f>
        <v>682842</v>
      </c>
    </row>
    <row r="5289">
      <c r="A5289" s="76">
        <v>45790.0</v>
      </c>
      <c r="B5289" s="1" t="s">
        <v>112</v>
      </c>
      <c r="C5289" s="1" t="s">
        <v>14</v>
      </c>
      <c r="D5289" s="1">
        <v>0.2</v>
      </c>
      <c r="E5289" s="1">
        <v>25376.0</v>
      </c>
      <c r="F5289" s="10">
        <f t="shared" si="1"/>
        <v>0.6666666667</v>
      </c>
      <c r="G5289" s="10">
        <f t="array" ref="G5289">index('Player ID'!C:C,match(E5289,'Player ID'!B:B,0))</f>
        <v>683232</v>
      </c>
    </row>
    <row r="5290">
      <c r="A5290" s="76">
        <v>45790.0</v>
      </c>
      <c r="B5290" s="1" t="s">
        <v>238</v>
      </c>
      <c r="C5290" s="1" t="s">
        <v>70</v>
      </c>
      <c r="D5290" s="1">
        <v>1.0</v>
      </c>
      <c r="E5290" s="1">
        <v>25636.0</v>
      </c>
      <c r="F5290" s="10">
        <f t="shared" si="1"/>
        <v>1</v>
      </c>
      <c r="G5290" s="10">
        <f t="array" ref="G5290">index('Player ID'!C:C,match(E5290,'Player ID'!B:B,0))</f>
        <v>683769</v>
      </c>
    </row>
    <row r="5291">
      <c r="A5291" s="76">
        <v>45790.0</v>
      </c>
      <c r="B5291" s="1" t="s">
        <v>450</v>
      </c>
      <c r="C5291" s="1" t="s">
        <v>14</v>
      </c>
      <c r="D5291" s="1">
        <v>5.0</v>
      </c>
      <c r="E5291" s="1">
        <v>25977.0</v>
      </c>
      <c r="F5291" s="10">
        <f t="shared" si="1"/>
        <v>5</v>
      </c>
      <c r="G5291" s="10">
        <f t="array" ref="G5291">index('Player ID'!C:C,match(E5291,'Player ID'!B:B,0))</f>
        <v>682990</v>
      </c>
    </row>
    <row r="5292">
      <c r="A5292" s="76">
        <v>45790.0</v>
      </c>
      <c r="B5292" s="1" t="s">
        <v>418</v>
      </c>
      <c r="C5292" s="1" t="s">
        <v>14</v>
      </c>
      <c r="D5292" s="1">
        <v>0.1</v>
      </c>
      <c r="E5292" s="1">
        <v>27517.0</v>
      </c>
      <c r="F5292" s="10">
        <f t="shared" si="1"/>
        <v>0.3333333333</v>
      </c>
      <c r="G5292" s="10">
        <f t="array" ref="G5292">index('Player ID'!C:C,match(E5292,'Player ID'!B:B,0))</f>
        <v>657649</v>
      </c>
    </row>
    <row r="5293">
      <c r="A5293" s="76">
        <v>45790.0</v>
      </c>
      <c r="B5293" s="1" t="s">
        <v>372</v>
      </c>
      <c r="C5293" s="1" t="s">
        <v>70</v>
      </c>
      <c r="D5293" s="1">
        <v>6.0</v>
      </c>
      <c r="E5293" s="1">
        <v>27589.0</v>
      </c>
      <c r="F5293" s="10">
        <f t="shared" si="1"/>
        <v>6</v>
      </c>
      <c r="G5293" s="10">
        <f t="array" ref="G5293">index('Player ID'!C:C,match(E5293,'Player ID'!B:B,0))</f>
        <v>671106</v>
      </c>
    </row>
    <row r="5294">
      <c r="A5294" s="76">
        <v>45790.0</v>
      </c>
      <c r="B5294" s="1" t="s">
        <v>651</v>
      </c>
      <c r="C5294" s="1" t="s">
        <v>66</v>
      </c>
      <c r="D5294" s="1">
        <v>1.2</v>
      </c>
      <c r="E5294" s="1">
        <v>14771.0</v>
      </c>
      <c r="F5294" s="10">
        <f t="shared" si="1"/>
        <v>1.666666667</v>
      </c>
      <c r="G5294" s="10">
        <f t="array" ref="G5294">index('Player ID'!C:C,match(E5294,'Player ID'!B:B,0))</f>
        <v>641941</v>
      </c>
    </row>
    <row r="5295">
      <c r="A5295" s="76">
        <v>45790.0</v>
      </c>
      <c r="B5295" s="1" t="s">
        <v>252</v>
      </c>
      <c r="C5295" s="1" t="s">
        <v>78</v>
      </c>
      <c r="D5295" s="1">
        <v>1.0</v>
      </c>
      <c r="E5295" s="1">
        <v>16061.0</v>
      </c>
      <c r="F5295" s="10">
        <f t="shared" si="1"/>
        <v>1</v>
      </c>
      <c r="G5295" s="10">
        <f t="array" ref="G5295">index('Player ID'!C:C,match(E5295,'Player ID'!B:B,0))</f>
        <v>592155</v>
      </c>
    </row>
    <row r="5296">
      <c r="A5296" s="76">
        <v>45790.0</v>
      </c>
      <c r="B5296" s="1" t="s">
        <v>345</v>
      </c>
      <c r="C5296" s="1" t="s">
        <v>66</v>
      </c>
      <c r="D5296" s="1">
        <v>1.0</v>
      </c>
      <c r="E5296" s="1">
        <v>19926.0</v>
      </c>
      <c r="F5296" s="10">
        <f t="shared" si="1"/>
        <v>1</v>
      </c>
      <c r="G5296" s="10">
        <f t="array" ref="G5296">index('Player ID'!C:C,match(E5296,'Player ID'!B:B,0))</f>
        <v>663574</v>
      </c>
    </row>
    <row r="5297">
      <c r="A5297" s="76">
        <v>45790.0</v>
      </c>
      <c r="B5297" s="1" t="s">
        <v>116</v>
      </c>
      <c r="C5297" s="1" t="s">
        <v>78</v>
      </c>
      <c r="D5297" s="1">
        <v>1.0</v>
      </c>
      <c r="E5297" s="1">
        <v>20353.0</v>
      </c>
      <c r="F5297" s="10">
        <f t="shared" si="1"/>
        <v>1</v>
      </c>
      <c r="G5297" s="10">
        <f t="array" ref="G5297">index('Player ID'!C:C,match(E5297,'Player ID'!B:B,0))</f>
        <v>621051</v>
      </c>
    </row>
    <row r="5298">
      <c r="A5298" s="76">
        <v>45790.0</v>
      </c>
      <c r="B5298" s="1" t="s">
        <v>550</v>
      </c>
      <c r="C5298" s="1" t="s">
        <v>66</v>
      </c>
      <c r="D5298" s="1">
        <v>0.1</v>
      </c>
      <c r="E5298" s="1">
        <v>25620.0</v>
      </c>
      <c r="F5298" s="10">
        <f t="shared" si="1"/>
        <v>0.3333333333</v>
      </c>
      <c r="G5298" s="10">
        <f t="array" ref="G5298">index('Player ID'!C:C,match(E5298,'Player ID'!B:B,0))</f>
        <v>682825</v>
      </c>
    </row>
    <row r="5299">
      <c r="A5299" s="76">
        <v>45790.0</v>
      </c>
      <c r="B5299" s="1" t="s">
        <v>211</v>
      </c>
      <c r="C5299" s="1" t="s">
        <v>66</v>
      </c>
      <c r="D5299" s="1">
        <v>1.0</v>
      </c>
      <c r="E5299" s="1">
        <v>27552.0</v>
      </c>
      <c r="F5299" s="10">
        <f t="shared" si="1"/>
        <v>1</v>
      </c>
      <c r="G5299" s="10">
        <f t="array" ref="G5299">index('Player ID'!C:C,match(E5299,'Player ID'!B:B,0))</f>
        <v>668933</v>
      </c>
    </row>
    <row r="5300">
      <c r="A5300" s="76">
        <v>45790.0</v>
      </c>
      <c r="B5300" s="1" t="s">
        <v>367</v>
      </c>
      <c r="C5300" s="1" t="s">
        <v>78</v>
      </c>
      <c r="D5300" s="1">
        <v>1.0</v>
      </c>
      <c r="E5300" s="1">
        <v>27668.0</v>
      </c>
      <c r="F5300" s="10">
        <f t="shared" si="1"/>
        <v>1</v>
      </c>
      <c r="G5300" s="10">
        <f t="array" ref="G5300">index('Player ID'!C:C,match(E5300,'Player ID'!B:B,0))</f>
        <v>685126</v>
      </c>
    </row>
    <row r="5301">
      <c r="A5301" s="76">
        <v>45790.0</v>
      </c>
      <c r="B5301" s="1" t="s">
        <v>169</v>
      </c>
      <c r="C5301" s="1" t="s">
        <v>66</v>
      </c>
      <c r="D5301" s="1">
        <v>6.0</v>
      </c>
      <c r="E5301" s="1">
        <v>29911.0</v>
      </c>
      <c r="F5301" s="10">
        <f t="shared" si="1"/>
        <v>6</v>
      </c>
      <c r="G5301" s="10">
        <f t="array" ref="G5301">index('Player ID'!C:C,match(E5301,'Player ID'!B:B,0))</f>
        <v>671096</v>
      </c>
    </row>
    <row r="5302">
      <c r="A5302" s="76">
        <v>45790.0</v>
      </c>
      <c r="B5302" s="1" t="s">
        <v>317</v>
      </c>
      <c r="C5302" s="1" t="s">
        <v>78</v>
      </c>
      <c r="D5302" s="1">
        <v>1.0</v>
      </c>
      <c r="E5302" s="1">
        <v>29950.0</v>
      </c>
      <c r="F5302" s="10">
        <f t="shared" si="1"/>
        <v>1</v>
      </c>
      <c r="G5302" s="10">
        <f t="array" ref="G5302">index('Player ID'!C:C,match(E5302,'Player ID'!B:B,0))</f>
        <v>673929</v>
      </c>
    </row>
    <row r="5303">
      <c r="A5303" s="76">
        <v>45790.0</v>
      </c>
      <c r="B5303" s="1" t="s">
        <v>361</v>
      </c>
      <c r="C5303" s="1" t="s">
        <v>78</v>
      </c>
      <c r="D5303" s="1">
        <v>6.0</v>
      </c>
      <c r="E5303" s="1">
        <v>31730.0</v>
      </c>
      <c r="F5303" s="10">
        <f t="shared" si="1"/>
        <v>6</v>
      </c>
      <c r="G5303" s="10">
        <f t="array" ref="G5303">index('Player ID'!C:C,match(E5303,'Player ID'!B:B,0))</f>
        <v>686563</v>
      </c>
    </row>
    <row r="5304">
      <c r="A5304" s="76">
        <v>45790.0</v>
      </c>
      <c r="B5304" s="1" t="s">
        <v>230</v>
      </c>
      <c r="C5304" s="1" t="s">
        <v>22</v>
      </c>
      <c r="D5304" s="1">
        <v>0.1</v>
      </c>
      <c r="E5304" s="1">
        <v>4301.0</v>
      </c>
      <c r="F5304" s="10">
        <f t="shared" si="1"/>
        <v>0.3333333333</v>
      </c>
      <c r="G5304" s="10">
        <f t="array" ref="G5304">index('Player ID'!C:C,match(E5304,'Player ID'!B:B,0))</f>
        <v>458677</v>
      </c>
    </row>
    <row r="5305">
      <c r="A5305" s="76">
        <v>45790.0</v>
      </c>
      <c r="B5305" s="1" t="s">
        <v>41</v>
      </c>
      <c r="C5305" s="1" t="s">
        <v>22</v>
      </c>
      <c r="D5305" s="1">
        <v>1.0</v>
      </c>
      <c r="E5305" s="1">
        <v>10233.0</v>
      </c>
      <c r="F5305" s="10">
        <f t="shared" si="1"/>
        <v>1</v>
      </c>
      <c r="G5305" s="10">
        <f t="array" ref="G5305">index('Player ID'!C:C,match(E5305,'Player ID'!B:B,0))</f>
        <v>547973</v>
      </c>
    </row>
    <row r="5306">
      <c r="A5306" s="76">
        <v>45790.0</v>
      </c>
      <c r="B5306" s="1" t="s">
        <v>439</v>
      </c>
      <c r="C5306" s="1" t="s">
        <v>62</v>
      </c>
      <c r="D5306" s="1">
        <v>0.1</v>
      </c>
      <c r="E5306" s="1">
        <v>11384.0</v>
      </c>
      <c r="F5306" s="10">
        <f t="shared" si="1"/>
        <v>0.3333333333</v>
      </c>
      <c r="G5306" s="10">
        <f t="array" ref="G5306">index('Player ID'!C:C,match(E5306,'Player ID'!B:B,0))</f>
        <v>592454</v>
      </c>
    </row>
    <row r="5307">
      <c r="A5307" s="76">
        <v>45790.0</v>
      </c>
      <c r="B5307" s="1" t="s">
        <v>493</v>
      </c>
      <c r="C5307" s="1" t="s">
        <v>22</v>
      </c>
      <c r="D5307" s="1">
        <v>1.0</v>
      </c>
      <c r="E5307" s="1">
        <v>16835.0</v>
      </c>
      <c r="F5307" s="10">
        <f t="shared" si="1"/>
        <v>1</v>
      </c>
      <c r="G5307" s="10">
        <f t="array" ref="G5307">index('Player ID'!C:C,match(E5307,'Player ID'!B:B,0))</f>
        <v>657514</v>
      </c>
    </row>
    <row r="5308">
      <c r="A5308" s="76">
        <v>45790.0</v>
      </c>
      <c r="B5308" s="1" t="s">
        <v>131</v>
      </c>
      <c r="C5308" s="1" t="s">
        <v>62</v>
      </c>
      <c r="D5308" s="1">
        <v>2.0</v>
      </c>
      <c r="E5308" s="1">
        <v>19769.0</v>
      </c>
      <c r="F5308" s="10">
        <f t="shared" si="1"/>
        <v>2</v>
      </c>
      <c r="G5308" s="10">
        <f t="array" ref="G5308">index('Player ID'!C:C,match(E5308,'Player ID'!B:B,0))</f>
        <v>676684</v>
      </c>
    </row>
    <row r="5309">
      <c r="A5309" s="76">
        <v>45790.0</v>
      </c>
      <c r="B5309" s="1" t="s">
        <v>250</v>
      </c>
      <c r="C5309" s="1" t="s">
        <v>22</v>
      </c>
      <c r="D5309" s="1">
        <v>1.0</v>
      </c>
      <c r="E5309" s="1">
        <v>20191.0</v>
      </c>
      <c r="F5309" s="10">
        <f t="shared" si="1"/>
        <v>1</v>
      </c>
      <c r="G5309" s="10">
        <f t="array" ref="G5309">index('Player ID'!C:C,match(E5309,'Player ID'!B:B,0))</f>
        <v>676477</v>
      </c>
    </row>
    <row r="5310">
      <c r="A5310" s="76">
        <v>45790.0</v>
      </c>
      <c r="B5310" s="1" t="s">
        <v>406</v>
      </c>
      <c r="C5310" s="1" t="s">
        <v>22</v>
      </c>
      <c r="D5310" s="1">
        <v>1.0</v>
      </c>
      <c r="E5310" s="1">
        <v>20375.0</v>
      </c>
      <c r="F5310" s="10">
        <f t="shared" si="1"/>
        <v>1</v>
      </c>
      <c r="G5310" s="10">
        <f t="array" ref="G5310">index('Player ID'!C:C,match(E5310,'Player ID'!B:B,0))</f>
        <v>669711</v>
      </c>
    </row>
    <row r="5311">
      <c r="A5311" s="76">
        <v>45790.0</v>
      </c>
      <c r="B5311" s="1" t="s">
        <v>289</v>
      </c>
      <c r="C5311" s="1" t="s">
        <v>62</v>
      </c>
      <c r="D5311" s="1">
        <v>1.1</v>
      </c>
      <c r="E5311" s="1">
        <v>22304.0</v>
      </c>
      <c r="F5311" s="10">
        <f t="shared" si="1"/>
        <v>1.333333333</v>
      </c>
      <c r="G5311" s="10">
        <f t="array" ref="G5311">index('Player ID'!C:C,match(E5311,'Player ID'!B:B,0))</f>
        <v>669724</v>
      </c>
    </row>
    <row r="5312">
      <c r="A5312" s="76">
        <v>45790.0</v>
      </c>
      <c r="B5312" s="1" t="s">
        <v>331</v>
      </c>
      <c r="C5312" s="1" t="s">
        <v>62</v>
      </c>
      <c r="D5312" s="1">
        <v>3.1</v>
      </c>
      <c r="E5312" s="1">
        <v>22630.0</v>
      </c>
      <c r="F5312" s="10">
        <f t="shared" si="1"/>
        <v>3.333333333</v>
      </c>
      <c r="G5312" s="10">
        <f t="array" ref="G5312">index('Player ID'!C:C,match(E5312,'Player ID'!B:B,0))</f>
        <v>672456</v>
      </c>
    </row>
    <row r="5313">
      <c r="A5313" s="76">
        <v>45790.0</v>
      </c>
      <c r="B5313" s="1" t="s">
        <v>410</v>
      </c>
      <c r="C5313" s="1" t="s">
        <v>22</v>
      </c>
      <c r="D5313" s="1">
        <v>4.2</v>
      </c>
      <c r="E5313" s="1">
        <v>23920.0</v>
      </c>
      <c r="F5313" s="10">
        <f t="shared" si="1"/>
        <v>4.666666667</v>
      </c>
      <c r="G5313" s="10">
        <f t="array" ref="G5313">index('Player ID'!C:C,match(E5313,'Player ID'!B:B,0))</f>
        <v>678394</v>
      </c>
    </row>
    <row r="5314">
      <c r="A5314" s="76">
        <v>45790.0</v>
      </c>
      <c r="B5314" s="1" t="s">
        <v>645</v>
      </c>
      <c r="C5314" s="1" t="s">
        <v>22</v>
      </c>
      <c r="D5314" s="1">
        <v>1.0</v>
      </c>
      <c r="E5314" s="1">
        <v>25648.0</v>
      </c>
      <c r="F5314" s="10">
        <f t="shared" si="1"/>
        <v>1</v>
      </c>
      <c r="G5314" s="10">
        <f t="array" ref="G5314">index('Player ID'!C:C,match(E5314,'Player ID'!B:B,0))</f>
        <v>686580</v>
      </c>
    </row>
    <row r="5315">
      <c r="A5315" s="76">
        <v>45790.0</v>
      </c>
      <c r="B5315" s="1" t="s">
        <v>667</v>
      </c>
      <c r="C5315" s="1" t="s">
        <v>62</v>
      </c>
      <c r="D5315" s="1">
        <v>1.0</v>
      </c>
      <c r="E5315" s="1">
        <v>26079.0</v>
      </c>
      <c r="F5315" s="10">
        <f t="shared" si="1"/>
        <v>1</v>
      </c>
      <c r="G5315" s="10">
        <f t="array" ref="G5315">index('Player ID'!C:C,match(E5315,'Player ID'!B:B,0))</f>
        <v>689225</v>
      </c>
    </row>
    <row r="5316">
      <c r="A5316" s="76">
        <v>45790.0</v>
      </c>
      <c r="B5316" s="1" t="s">
        <v>82</v>
      </c>
      <c r="C5316" s="1" t="s">
        <v>62</v>
      </c>
      <c r="D5316" s="1">
        <v>1.2</v>
      </c>
      <c r="E5316" s="1">
        <v>26231.0</v>
      </c>
      <c r="F5316" s="10">
        <f t="shared" si="1"/>
        <v>1.666666667</v>
      </c>
      <c r="G5316" s="10">
        <f t="array" ref="G5316">index('Player ID'!C:C,match(E5316,'Player ID'!B:B,0))</f>
        <v>663947</v>
      </c>
    </row>
    <row r="5317">
      <c r="A5317" s="76">
        <v>45790.0</v>
      </c>
      <c r="B5317" s="1" t="s">
        <v>487</v>
      </c>
      <c r="C5317" s="1" t="s">
        <v>62</v>
      </c>
      <c r="D5317" s="1">
        <v>1.1</v>
      </c>
      <c r="E5317" s="1">
        <v>30133.0</v>
      </c>
      <c r="F5317" s="10">
        <f t="shared" si="1"/>
        <v>1.333333333</v>
      </c>
      <c r="G5317" s="10">
        <f t="array" ref="G5317">index('Player ID'!C:C,match(E5317,'Player ID'!B:B,0))</f>
        <v>676428</v>
      </c>
    </row>
    <row r="5318">
      <c r="A5318" s="76">
        <v>45790.0</v>
      </c>
      <c r="B5318" s="1" t="s">
        <v>638</v>
      </c>
      <c r="C5318" s="1" t="s">
        <v>40</v>
      </c>
      <c r="D5318" s="1">
        <v>5.1</v>
      </c>
      <c r="E5318" s="1">
        <v>14168.0</v>
      </c>
      <c r="F5318" s="10">
        <f t="shared" si="1"/>
        <v>5.333333333</v>
      </c>
      <c r="G5318" s="10">
        <f t="array" ref="G5318">index('Player ID'!C:C,match(E5318,'Player ID'!B:B,0))</f>
        <v>621244</v>
      </c>
    </row>
    <row r="5319">
      <c r="A5319" s="76">
        <v>45790.0</v>
      </c>
      <c r="B5319" s="1" t="s">
        <v>174</v>
      </c>
      <c r="C5319" s="1" t="s">
        <v>40</v>
      </c>
      <c r="D5319" s="1">
        <v>1.1</v>
      </c>
      <c r="E5319" s="1">
        <v>15552.0</v>
      </c>
      <c r="F5319" s="10">
        <f t="shared" si="1"/>
        <v>1.333333333</v>
      </c>
      <c r="G5319" s="10">
        <f t="array" ref="G5319">index('Player ID'!C:C,match(E5319,'Player ID'!B:B,0))</f>
        <v>643338</v>
      </c>
    </row>
    <row r="5320">
      <c r="A5320" s="76">
        <v>45790.0</v>
      </c>
      <c r="B5320" s="1" t="s">
        <v>311</v>
      </c>
      <c r="C5320" s="1" t="s">
        <v>40</v>
      </c>
      <c r="D5320" s="1">
        <v>0.1</v>
      </c>
      <c r="E5320" s="1">
        <v>17432.0</v>
      </c>
      <c r="F5320" s="10">
        <f t="shared" si="1"/>
        <v>0.3333333333</v>
      </c>
      <c r="G5320" s="10">
        <f t="array" ref="G5320">index('Player ID'!C:C,match(E5320,'Player ID'!B:B,0))</f>
        <v>656546</v>
      </c>
    </row>
    <row r="5321">
      <c r="A5321" s="76">
        <v>45790.0</v>
      </c>
      <c r="B5321" s="1" t="s">
        <v>185</v>
      </c>
      <c r="C5321" s="1" t="s">
        <v>54</v>
      </c>
      <c r="D5321" s="1">
        <v>1.0</v>
      </c>
      <c r="E5321" s="1">
        <v>17897.0</v>
      </c>
      <c r="F5321" s="10">
        <f t="shared" si="1"/>
        <v>1</v>
      </c>
      <c r="G5321" s="10">
        <f t="array" ref="G5321">index('Player ID'!C:C,match(E5321,'Player ID'!B:B,0))</f>
        <v>664076</v>
      </c>
    </row>
    <row r="5322">
      <c r="A5322" s="76">
        <v>45790.0</v>
      </c>
      <c r="B5322" s="1" t="s">
        <v>261</v>
      </c>
      <c r="C5322" s="1" t="s">
        <v>54</v>
      </c>
      <c r="D5322" s="1">
        <v>0.2</v>
      </c>
      <c r="E5322" s="1">
        <v>17998.0</v>
      </c>
      <c r="F5322" s="10">
        <f t="shared" si="1"/>
        <v>0.6666666667</v>
      </c>
      <c r="G5322" s="10">
        <f t="array" ref="G5322">index('Player ID'!C:C,match(E5322,'Player ID'!B:B,0))</f>
        <v>664126</v>
      </c>
    </row>
    <row r="5323">
      <c r="A5323" s="76">
        <v>45790.0</v>
      </c>
      <c r="B5323" s="1" t="s">
        <v>400</v>
      </c>
      <c r="C5323" s="1" t="s">
        <v>54</v>
      </c>
      <c r="D5323" s="1">
        <v>1.0</v>
      </c>
      <c r="E5323" s="1">
        <v>20539.0</v>
      </c>
      <c r="F5323" s="10">
        <f t="shared" si="1"/>
        <v>1</v>
      </c>
      <c r="G5323" s="10">
        <f t="array" ref="G5323">index('Player ID'!C:C,match(E5323,'Player ID'!B:B,0))</f>
        <v>670955</v>
      </c>
    </row>
    <row r="5324">
      <c r="A5324" s="76">
        <v>45790.0</v>
      </c>
      <c r="B5324" s="1" t="s">
        <v>705</v>
      </c>
      <c r="C5324" s="1" t="s">
        <v>54</v>
      </c>
      <c r="D5324" s="1">
        <v>1.1</v>
      </c>
      <c r="E5324" s="1">
        <v>20794.0</v>
      </c>
      <c r="F5324" s="10">
        <f t="shared" si="1"/>
        <v>1.333333333</v>
      </c>
      <c r="G5324" s="10">
        <f t="array" ref="G5324">index('Player ID'!C:C,match(E5324,'Player ID'!B:B,0))</f>
        <v>655889</v>
      </c>
    </row>
    <row r="5325">
      <c r="A5325" s="76">
        <v>45790.0</v>
      </c>
      <c r="B5325" s="1" t="s">
        <v>242</v>
      </c>
      <c r="C5325" s="1" t="s">
        <v>54</v>
      </c>
      <c r="D5325" s="1">
        <v>4.2</v>
      </c>
      <c r="E5325" s="1">
        <v>22264.0</v>
      </c>
      <c r="F5325" s="10">
        <f t="shared" si="1"/>
        <v>4.666666667</v>
      </c>
      <c r="G5325" s="10">
        <f t="array" ref="G5325">index('Player ID'!C:C,match(E5325,'Player ID'!B:B,0))</f>
        <v>669358</v>
      </c>
    </row>
    <row r="5326">
      <c r="A5326" s="76">
        <v>45790.0</v>
      </c>
      <c r="B5326" s="1" t="s">
        <v>315</v>
      </c>
      <c r="C5326" s="1" t="s">
        <v>40</v>
      </c>
      <c r="D5326" s="1">
        <v>0.2</v>
      </c>
      <c r="E5326" s="1">
        <v>24609.0</v>
      </c>
      <c r="F5326" s="10">
        <f t="shared" si="1"/>
        <v>0.6666666667</v>
      </c>
      <c r="G5326" s="10">
        <f t="array" ref="G5326">index('Player ID'!C:C,match(E5326,'Player ID'!B:B,0))</f>
        <v>680755</v>
      </c>
    </row>
    <row r="5327">
      <c r="A5327" s="76">
        <v>45790.0</v>
      </c>
      <c r="B5327" s="1" t="s">
        <v>334</v>
      </c>
      <c r="C5327" s="1" t="s">
        <v>54</v>
      </c>
      <c r="D5327" s="1">
        <v>0.1</v>
      </c>
      <c r="E5327" s="1">
        <v>29770.0</v>
      </c>
      <c r="F5327" s="10">
        <f t="shared" si="1"/>
        <v>0.3333333333</v>
      </c>
      <c r="G5327" s="10">
        <f t="array" ref="G5327">index('Player ID'!C:C,match(E5327,'Player ID'!B:B,0))</f>
        <v>682254</v>
      </c>
    </row>
    <row r="5328">
      <c r="A5328" s="76">
        <v>45790.0</v>
      </c>
      <c r="B5328" s="1" t="s">
        <v>142</v>
      </c>
      <c r="C5328" s="1" t="s">
        <v>40</v>
      </c>
      <c r="D5328" s="1">
        <v>1.1</v>
      </c>
      <c r="E5328" s="1">
        <v>31553.0</v>
      </c>
      <c r="F5328" s="10">
        <f t="shared" si="1"/>
        <v>1.333333333</v>
      </c>
      <c r="G5328" s="10">
        <f t="array" ref="G5328">index('Player ID'!C:C,match(E5328,'Player ID'!B:B,0))</f>
        <v>689254</v>
      </c>
    </row>
    <row r="5329">
      <c r="A5329" s="76">
        <v>45790.0</v>
      </c>
      <c r="B5329" s="1" t="s">
        <v>679</v>
      </c>
      <c r="C5329" s="1" t="s">
        <v>51</v>
      </c>
      <c r="D5329" s="1">
        <v>1.0</v>
      </c>
      <c r="E5329" s="1">
        <v>14710.0</v>
      </c>
      <c r="F5329" s="10">
        <f t="shared" si="1"/>
        <v>1</v>
      </c>
      <c r="G5329" s="10">
        <f t="array" ref="G5329">index('Player ID'!C:C,match(E5329,'Player ID'!B:B,0))</f>
        <v>621242</v>
      </c>
    </row>
    <row r="5330">
      <c r="A5330" s="76">
        <v>45790.0</v>
      </c>
      <c r="B5330" s="1" t="s">
        <v>292</v>
      </c>
      <c r="C5330" s="1" t="s">
        <v>51</v>
      </c>
      <c r="D5330" s="1">
        <v>1.0</v>
      </c>
      <c r="E5330" s="1">
        <v>15947.0</v>
      </c>
      <c r="F5330" s="10">
        <f t="shared" si="1"/>
        <v>1</v>
      </c>
      <c r="G5330" s="10">
        <f t="array" ref="G5330">index('Player ID'!C:C,match(E5330,'Player ID'!B:B,0))</f>
        <v>592773</v>
      </c>
    </row>
    <row r="5331">
      <c r="A5331" s="76">
        <v>45790.0</v>
      </c>
      <c r="B5331" s="1" t="s">
        <v>443</v>
      </c>
      <c r="C5331" s="1" t="s">
        <v>60</v>
      </c>
      <c r="D5331" s="1">
        <v>1.0</v>
      </c>
      <c r="E5331" s="1">
        <v>16350.0</v>
      </c>
      <c r="F5331" s="10">
        <f t="shared" si="1"/>
        <v>1</v>
      </c>
      <c r="G5331" s="10">
        <f t="array" ref="G5331">index('Player ID'!C:C,match(E5331,'Player ID'!B:B,0))</f>
        <v>621366</v>
      </c>
    </row>
    <row r="5332">
      <c r="A5332" s="76">
        <v>45790.0</v>
      </c>
      <c r="B5332" s="1" t="s">
        <v>295</v>
      </c>
      <c r="C5332" s="1" t="s">
        <v>51</v>
      </c>
      <c r="D5332" s="1">
        <v>0.1</v>
      </c>
      <c r="E5332" s="1">
        <v>16866.0</v>
      </c>
      <c r="F5332" s="10">
        <f t="shared" si="1"/>
        <v>0.3333333333</v>
      </c>
      <c r="G5332" s="10">
        <f t="array" ref="G5332">index('Player ID'!C:C,match(E5332,'Player ID'!B:B,0))</f>
        <v>657585</v>
      </c>
    </row>
    <row r="5333">
      <c r="A5333" s="76">
        <v>45790.0</v>
      </c>
      <c r="B5333" s="1" t="s">
        <v>423</v>
      </c>
      <c r="C5333" s="1" t="s">
        <v>60</v>
      </c>
      <c r="D5333" s="1">
        <v>7.0</v>
      </c>
      <c r="E5333" s="1">
        <v>17594.0</v>
      </c>
      <c r="F5333" s="10">
        <f t="shared" si="1"/>
        <v>7</v>
      </c>
      <c r="G5333" s="10">
        <f t="array" ref="G5333">index('Player ID'!C:C,match(E5333,'Player ID'!B:B,0))</f>
        <v>656605</v>
      </c>
    </row>
    <row r="5334">
      <c r="A5334" s="76">
        <v>45790.0</v>
      </c>
      <c r="B5334" s="1" t="s">
        <v>50</v>
      </c>
      <c r="C5334" s="1" t="s">
        <v>51</v>
      </c>
      <c r="D5334" s="1">
        <v>1.0</v>
      </c>
      <c r="E5334" s="1">
        <v>22175.0</v>
      </c>
      <c r="F5334" s="10">
        <f t="shared" si="1"/>
        <v>1</v>
      </c>
      <c r="G5334" s="10">
        <f t="array" ref="G5334">index('Player ID'!C:C,match(E5334,'Player ID'!B:B,0))</f>
        <v>668820</v>
      </c>
    </row>
    <row r="5335">
      <c r="A5335" s="76">
        <v>45790.0</v>
      </c>
      <c r="B5335" s="1" t="s">
        <v>461</v>
      </c>
      <c r="C5335" s="1" t="s">
        <v>51</v>
      </c>
      <c r="D5335" s="1">
        <v>5.2</v>
      </c>
      <c r="E5335" s="1">
        <v>31838.0</v>
      </c>
      <c r="F5335" s="10">
        <f t="shared" si="1"/>
        <v>5.666666667</v>
      </c>
      <c r="G5335" s="10">
        <f t="array" ref="G5335">index('Player ID'!C:C,match(E5335,'Player ID'!B:B,0))</f>
        <v>673540</v>
      </c>
    </row>
    <row r="5336">
      <c r="A5336" s="76">
        <v>45790.0</v>
      </c>
      <c r="B5336" s="1" t="s">
        <v>178</v>
      </c>
      <c r="C5336" s="1" t="s">
        <v>46</v>
      </c>
      <c r="D5336" s="1">
        <v>1.0</v>
      </c>
      <c r="E5336" s="1">
        <v>13435.0</v>
      </c>
      <c r="F5336" s="10">
        <f t="shared" si="1"/>
        <v>1</v>
      </c>
      <c r="G5336" s="10">
        <f t="array" ref="G5336">index('Player ID'!C:C,match(E5336,'Player ID'!B:B,0))</f>
        <v>572955</v>
      </c>
    </row>
    <row r="5337">
      <c r="A5337" s="76">
        <v>45790.0</v>
      </c>
      <c r="B5337" s="1" t="s">
        <v>719</v>
      </c>
      <c r="C5337" s="1" t="s">
        <v>80</v>
      </c>
      <c r="D5337" s="1">
        <v>0.2</v>
      </c>
      <c r="E5337" s="1">
        <v>14527.0</v>
      </c>
      <c r="F5337" s="10">
        <f t="shared" si="1"/>
        <v>0.6666666667</v>
      </c>
      <c r="G5337" s="10">
        <f t="array" ref="G5337">index('Player ID'!C:C,match(E5337,'Player ID'!B:B,0))</f>
        <v>605347</v>
      </c>
    </row>
    <row r="5338">
      <c r="A5338" s="76">
        <v>45790.0</v>
      </c>
      <c r="B5338" s="1" t="s">
        <v>480</v>
      </c>
      <c r="C5338" s="1" t="s">
        <v>80</v>
      </c>
      <c r="D5338" s="1">
        <v>4.0</v>
      </c>
      <c r="E5338" s="1">
        <v>18383.0</v>
      </c>
      <c r="F5338" s="10">
        <f t="shared" si="1"/>
        <v>4</v>
      </c>
      <c r="G5338" s="10">
        <f t="array" ref="G5338">index('Player ID'!C:C,match(E5338,'Player ID'!B:B,0))</f>
        <v>647336</v>
      </c>
    </row>
    <row r="5339">
      <c r="A5339" s="76">
        <v>45790.0</v>
      </c>
      <c r="B5339" s="1" t="s">
        <v>91</v>
      </c>
      <c r="C5339" s="1" t="s">
        <v>46</v>
      </c>
      <c r="D5339" s="1">
        <v>1.0</v>
      </c>
      <c r="E5339" s="1">
        <v>19996.0</v>
      </c>
      <c r="F5339" s="10">
        <f t="shared" si="1"/>
        <v>1</v>
      </c>
      <c r="G5339" s="10">
        <f t="array" ref="G5339">index('Player ID'!C:C,match(E5339,'Player ID'!B:B,0))</f>
        <v>669276</v>
      </c>
    </row>
    <row r="5340">
      <c r="A5340" s="76">
        <v>45790.0</v>
      </c>
      <c r="B5340" s="1" t="s">
        <v>507</v>
      </c>
      <c r="C5340" s="1" t="s">
        <v>80</v>
      </c>
      <c r="D5340" s="1">
        <v>1.0</v>
      </c>
      <c r="E5340" s="1">
        <v>27570.0</v>
      </c>
      <c r="F5340" s="10">
        <f t="shared" si="1"/>
        <v>1</v>
      </c>
      <c r="G5340" s="10">
        <f t="array" ref="G5340">index('Player ID'!C:C,match(E5340,'Player ID'!B:B,0))</f>
        <v>669371</v>
      </c>
    </row>
    <row r="5341">
      <c r="A5341" s="76">
        <v>45790.0</v>
      </c>
      <c r="B5341" s="1" t="s">
        <v>818</v>
      </c>
      <c r="C5341" s="1" t="s">
        <v>80</v>
      </c>
      <c r="D5341" s="1">
        <v>0.1</v>
      </c>
      <c r="E5341" s="1">
        <v>27783.0</v>
      </c>
      <c r="F5341" s="10">
        <f t="shared" si="1"/>
        <v>0.3333333333</v>
      </c>
      <c r="G5341" s="10">
        <f t="array" ref="G5341">index('Player ID'!C:C,match(E5341,'Player ID'!B:B,0))</f>
        <v>694350</v>
      </c>
    </row>
    <row r="5342">
      <c r="A5342" s="76">
        <v>45790.0</v>
      </c>
      <c r="B5342" s="1" t="s">
        <v>65</v>
      </c>
      <c r="C5342" s="1" t="s">
        <v>46</v>
      </c>
      <c r="D5342" s="1">
        <v>7.0</v>
      </c>
      <c r="E5342" s="1">
        <v>31846.0</v>
      </c>
      <c r="F5342" s="10">
        <f t="shared" si="1"/>
        <v>7</v>
      </c>
      <c r="G5342" s="10">
        <f t="array" ref="G5342">index('Player ID'!C:C,match(E5342,'Player ID'!B:B,0))</f>
        <v>680885</v>
      </c>
    </row>
    <row r="5343">
      <c r="A5343" s="76">
        <v>45790.0</v>
      </c>
      <c r="B5343" s="1" t="s">
        <v>437</v>
      </c>
      <c r="C5343" s="1" t="s">
        <v>80</v>
      </c>
      <c r="D5343" s="1">
        <v>2.0</v>
      </c>
      <c r="E5343" s="1">
        <v>31972.0</v>
      </c>
      <c r="F5343" s="10">
        <f t="shared" si="1"/>
        <v>2</v>
      </c>
      <c r="G5343" s="10">
        <f t="array" ref="G5343">index('Player ID'!C:C,match(E5343,'Player ID'!B:B,0))</f>
        <v>695418</v>
      </c>
    </row>
    <row r="5344">
      <c r="A5344" s="76">
        <v>45790.0</v>
      </c>
      <c r="B5344" s="1" t="s">
        <v>460</v>
      </c>
      <c r="C5344" s="1" t="s">
        <v>34</v>
      </c>
      <c r="D5344" s="1">
        <v>0.1</v>
      </c>
      <c r="E5344" s="1">
        <v>7005.0</v>
      </c>
      <c r="F5344" s="10">
        <f t="shared" si="1"/>
        <v>0.3333333333</v>
      </c>
      <c r="G5344" s="10">
        <f t="array" ref="G5344">index('Player ID'!C:C,match(E5344,'Player ID'!B:B,0))</f>
        <v>519151</v>
      </c>
    </row>
    <row r="5345">
      <c r="A5345" s="76">
        <v>45790.0</v>
      </c>
      <c r="B5345" s="1" t="s">
        <v>71</v>
      </c>
      <c r="C5345" s="1" t="s">
        <v>34</v>
      </c>
      <c r="D5345" s="1">
        <v>0.2</v>
      </c>
      <c r="E5345" s="1">
        <v>10078.0</v>
      </c>
      <c r="F5345" s="10">
        <f t="shared" si="1"/>
        <v>0.6666666667</v>
      </c>
      <c r="G5345" s="10">
        <f t="array" ref="G5345">index('Player ID'!C:C,match(E5345,'Player ID'!B:B,0))</f>
        <v>573204</v>
      </c>
    </row>
    <row r="5346">
      <c r="A5346" s="76">
        <v>45790.0</v>
      </c>
      <c r="B5346" s="1" t="s">
        <v>462</v>
      </c>
      <c r="C5346" s="1" t="s">
        <v>34</v>
      </c>
      <c r="D5346" s="1">
        <v>2.0</v>
      </c>
      <c r="E5346" s="1">
        <v>13896.0</v>
      </c>
      <c r="F5346" s="10">
        <f t="shared" si="1"/>
        <v>2</v>
      </c>
      <c r="G5346" s="10">
        <f t="array" ref="G5346">index('Player ID'!C:C,match(E5346,'Player ID'!B:B,0))</f>
        <v>623167</v>
      </c>
    </row>
    <row r="5347">
      <c r="A5347" s="76">
        <v>45790.0</v>
      </c>
      <c r="B5347" s="1" t="s">
        <v>661</v>
      </c>
      <c r="C5347" s="1" t="s">
        <v>36</v>
      </c>
      <c r="D5347" s="1">
        <v>0.1</v>
      </c>
      <c r="E5347" s="1">
        <v>16300.0</v>
      </c>
      <c r="F5347" s="10">
        <f t="shared" si="1"/>
        <v>0.3333333333</v>
      </c>
      <c r="G5347" s="10">
        <f t="array" ref="G5347">index('Player ID'!C:C,match(E5347,'Player ID'!B:B,0))</f>
        <v>622786</v>
      </c>
    </row>
    <row r="5348">
      <c r="A5348" s="76">
        <v>45790.0</v>
      </c>
      <c r="B5348" s="1" t="s">
        <v>632</v>
      </c>
      <c r="C5348" s="1" t="s">
        <v>34</v>
      </c>
      <c r="D5348" s="1">
        <v>0.2</v>
      </c>
      <c r="E5348" s="1">
        <v>16703.0</v>
      </c>
      <c r="F5348" s="10">
        <f t="shared" si="1"/>
        <v>0.6666666667</v>
      </c>
      <c r="G5348" s="10">
        <f t="array" ref="G5348">index('Player ID'!C:C,match(E5348,'Player ID'!B:B,0))</f>
        <v>657240</v>
      </c>
    </row>
    <row r="5349">
      <c r="A5349" s="76">
        <v>45790.0</v>
      </c>
      <c r="B5349" s="1" t="s">
        <v>89</v>
      </c>
      <c r="C5349" s="1" t="s">
        <v>36</v>
      </c>
      <c r="D5349" s="1">
        <v>1.0</v>
      </c>
      <c r="E5349" s="1">
        <v>19742.0</v>
      </c>
      <c r="F5349" s="10">
        <f t="shared" si="1"/>
        <v>1</v>
      </c>
      <c r="G5349" s="10">
        <f t="array" ref="G5349">index('Player ID'!C:C,match(E5349,'Player ID'!B:B,0))</f>
        <v>669622</v>
      </c>
    </row>
    <row r="5350">
      <c r="A5350" s="76">
        <v>45790.0</v>
      </c>
      <c r="B5350" s="1" t="s">
        <v>262</v>
      </c>
      <c r="C5350" s="1" t="s">
        <v>36</v>
      </c>
      <c r="D5350" s="1">
        <v>1.0</v>
      </c>
      <c r="E5350" s="1">
        <v>20116.0</v>
      </c>
      <c r="F5350" s="10">
        <f t="shared" si="1"/>
        <v>1</v>
      </c>
      <c r="G5350" s="10">
        <f t="array" ref="G5350">index('Player ID'!C:C,match(E5350,'Player ID'!B:B,0))</f>
        <v>676534</v>
      </c>
    </row>
    <row r="5351">
      <c r="A5351" s="76">
        <v>45790.0</v>
      </c>
      <c r="B5351" s="1" t="s">
        <v>341</v>
      </c>
      <c r="C5351" s="1" t="s">
        <v>34</v>
      </c>
      <c r="D5351" s="1">
        <v>5.1</v>
      </c>
      <c r="E5351" s="1">
        <v>23590.0</v>
      </c>
      <c r="F5351" s="10">
        <f t="shared" si="1"/>
        <v>5.333333333</v>
      </c>
      <c r="G5351" s="10">
        <f t="array" ref="G5351">index('Player ID'!C:C,match(E5351,'Player ID'!B:B,0))</f>
        <v>676962</v>
      </c>
    </row>
    <row r="5352">
      <c r="A5352" s="76">
        <v>45790.0</v>
      </c>
      <c r="B5352" s="1" t="s">
        <v>322</v>
      </c>
      <c r="C5352" s="1" t="s">
        <v>36</v>
      </c>
      <c r="D5352" s="1">
        <v>4.0</v>
      </c>
      <c r="E5352" s="1">
        <v>23899.0</v>
      </c>
      <c r="F5352" s="10">
        <f t="shared" si="1"/>
        <v>4</v>
      </c>
      <c r="G5352" s="10">
        <f t="array" ref="G5352">index('Player ID'!C:C,match(E5352,'Player ID'!B:B,0))</f>
        <v>678368</v>
      </c>
    </row>
    <row r="5353">
      <c r="A5353" s="76">
        <v>45790.0</v>
      </c>
      <c r="B5353" s="1" t="s">
        <v>123</v>
      </c>
      <c r="C5353" s="1" t="s">
        <v>36</v>
      </c>
      <c r="D5353" s="1">
        <v>2.0</v>
      </c>
      <c r="E5353" s="1">
        <v>24094.0</v>
      </c>
      <c r="F5353" s="10">
        <f t="shared" si="1"/>
        <v>2</v>
      </c>
      <c r="G5353" s="10">
        <f t="array" ref="G5353">index('Player ID'!C:C,match(E5353,'Player ID'!B:B,0))</f>
        <v>678692</v>
      </c>
    </row>
    <row r="5354">
      <c r="A5354" s="76">
        <v>45790.0</v>
      </c>
      <c r="B5354" s="1" t="s">
        <v>74</v>
      </c>
      <c r="C5354" s="1" t="s">
        <v>56</v>
      </c>
      <c r="D5354" s="1">
        <v>0.0</v>
      </c>
      <c r="E5354" s="1">
        <v>11847.0</v>
      </c>
      <c r="F5354" s="10">
        <f t="shared" si="1"/>
        <v>0</v>
      </c>
      <c r="G5354" s="10">
        <f t="array" ref="G5354">index('Player ID'!C:C,match(E5354,'Player ID'!B:B,0))</f>
        <v>455119</v>
      </c>
    </row>
    <row r="5355">
      <c r="A5355" s="76">
        <v>45790.0</v>
      </c>
      <c r="B5355" s="1" t="s">
        <v>440</v>
      </c>
      <c r="C5355" s="1" t="s">
        <v>56</v>
      </c>
      <c r="D5355" s="1">
        <v>1.0</v>
      </c>
      <c r="E5355" s="1">
        <v>12857.0</v>
      </c>
      <c r="F5355" s="10">
        <f t="shared" si="1"/>
        <v>1</v>
      </c>
      <c r="G5355" s="10">
        <f t="array" ref="G5355">index('Player ID'!C:C,match(E5355,'Player ID'!B:B,0))</f>
        <v>542888</v>
      </c>
    </row>
    <row r="5356">
      <c r="A5356" s="76">
        <v>45790.0</v>
      </c>
      <c r="B5356" s="1" t="s">
        <v>151</v>
      </c>
      <c r="C5356" s="1" t="s">
        <v>56</v>
      </c>
      <c r="D5356" s="1">
        <v>2.0</v>
      </c>
      <c r="E5356" s="1">
        <v>13346.0</v>
      </c>
      <c r="F5356" s="10">
        <f t="shared" si="1"/>
        <v>2</v>
      </c>
      <c r="G5356" s="10">
        <f t="array" ref="G5356">index('Player ID'!C:C,match(E5356,'Player ID'!B:B,0))</f>
        <v>571948</v>
      </c>
    </row>
    <row r="5357">
      <c r="A5357" s="76">
        <v>45790.0</v>
      </c>
      <c r="B5357" s="1" t="s">
        <v>189</v>
      </c>
      <c r="C5357" s="1" t="s">
        <v>75</v>
      </c>
      <c r="D5357" s="1">
        <v>6.0</v>
      </c>
      <c r="E5357" s="1">
        <v>16256.0</v>
      </c>
      <c r="F5357" s="10">
        <f t="shared" si="1"/>
        <v>6</v>
      </c>
      <c r="G5357" s="10">
        <f t="array" ref="G5357">index('Player ID'!C:C,match(E5357,'Player ID'!B:B,0))</f>
        <v>607536</v>
      </c>
    </row>
    <row r="5358">
      <c r="A5358" s="76">
        <v>45790.0</v>
      </c>
      <c r="B5358" s="1" t="s">
        <v>451</v>
      </c>
      <c r="C5358" s="1" t="s">
        <v>75</v>
      </c>
      <c r="D5358" s="1">
        <v>1.0</v>
      </c>
      <c r="E5358" s="1">
        <v>17556.0</v>
      </c>
      <c r="F5358" s="10">
        <f t="shared" si="1"/>
        <v>1</v>
      </c>
      <c r="G5358" s="10">
        <f t="array" ref="G5358">index('Player ID'!C:C,match(E5358,'Player ID'!B:B,0))</f>
        <v>623474</v>
      </c>
    </row>
    <row r="5359">
      <c r="A5359" s="76">
        <v>45790.0</v>
      </c>
      <c r="B5359" s="1" t="s">
        <v>305</v>
      </c>
      <c r="C5359" s="1" t="s">
        <v>75</v>
      </c>
      <c r="D5359" s="1">
        <v>0.1</v>
      </c>
      <c r="E5359" s="1">
        <v>22200.0</v>
      </c>
      <c r="F5359" s="10">
        <f t="shared" si="1"/>
        <v>0.3333333333</v>
      </c>
      <c r="G5359" s="10">
        <f t="array" ref="G5359">index('Player ID'!C:C,match(E5359,'Player ID'!B:B,0))</f>
        <v>669020</v>
      </c>
    </row>
    <row r="5360">
      <c r="A5360" s="76">
        <v>45790.0</v>
      </c>
      <c r="B5360" s="1" t="s">
        <v>374</v>
      </c>
      <c r="C5360" s="1" t="s">
        <v>56</v>
      </c>
      <c r="D5360" s="1">
        <v>6.0</v>
      </c>
      <c r="E5360" s="1">
        <v>30146.0</v>
      </c>
      <c r="F5360" s="10">
        <f t="shared" si="1"/>
        <v>6</v>
      </c>
      <c r="G5360" s="10">
        <f t="array" ref="G5360">index('Player ID'!C:C,match(E5360,'Player ID'!B:B,0))</f>
        <v>683004</v>
      </c>
    </row>
    <row r="5361">
      <c r="A5361" s="76">
        <v>45790.0</v>
      </c>
      <c r="B5361" s="1" t="s">
        <v>512</v>
      </c>
      <c r="C5361" s="1" t="s">
        <v>75</v>
      </c>
      <c r="D5361" s="1">
        <v>0.2</v>
      </c>
      <c r="E5361" s="1">
        <v>31552.0</v>
      </c>
      <c r="F5361" s="10">
        <f t="shared" si="1"/>
        <v>0.6666666667</v>
      </c>
      <c r="G5361" s="10">
        <f t="array" ref="G5361">index('Player ID'!C:C,match(E5361,'Player ID'!B:B,0))</f>
        <v>688642</v>
      </c>
    </row>
    <row r="5362">
      <c r="A5362" s="76">
        <v>45790.0</v>
      </c>
      <c r="B5362" s="1" t="s">
        <v>210</v>
      </c>
      <c r="C5362" s="1" t="s">
        <v>39</v>
      </c>
      <c r="D5362" s="1">
        <v>1.0</v>
      </c>
      <c r="E5362" s="1">
        <v>16609.0</v>
      </c>
      <c r="F5362" s="10">
        <f t="shared" si="1"/>
        <v>1</v>
      </c>
      <c r="G5362" s="10">
        <f t="array" ref="G5362">index('Player ID'!C:C,match(E5362,'Player ID'!B:B,0))</f>
        <v>650556</v>
      </c>
    </row>
    <row r="5363">
      <c r="A5363" s="76">
        <v>45790.0</v>
      </c>
      <c r="B5363" s="1" t="s">
        <v>113</v>
      </c>
      <c r="C5363" s="1" t="s">
        <v>39</v>
      </c>
      <c r="D5363" s="1">
        <v>8.0</v>
      </c>
      <c r="E5363" s="1">
        <v>17295.0</v>
      </c>
      <c r="F5363" s="10">
        <f t="shared" si="1"/>
        <v>8</v>
      </c>
      <c r="G5363" s="10">
        <f t="array" ref="G5363">index('Player ID'!C:C,match(E5363,'Player ID'!B:B,0))</f>
        <v>664285</v>
      </c>
    </row>
    <row r="5364">
      <c r="A5364" s="76">
        <v>45790.0</v>
      </c>
      <c r="B5364" s="1" t="s">
        <v>407</v>
      </c>
      <c r="C5364" s="1" t="s">
        <v>29</v>
      </c>
      <c r="D5364" s="1">
        <v>1.2</v>
      </c>
      <c r="E5364" s="1">
        <v>19360.0</v>
      </c>
      <c r="F5364" s="10">
        <f t="shared" si="1"/>
        <v>1.666666667</v>
      </c>
      <c r="G5364" s="10">
        <f t="array" ref="G5364">index('Player ID'!C:C,match(E5364,'Player ID'!B:B,0))</f>
        <v>668674</v>
      </c>
    </row>
    <row r="5365">
      <c r="A5365" s="76">
        <v>45790.0</v>
      </c>
      <c r="B5365" s="1" t="s">
        <v>144</v>
      </c>
      <c r="C5365" s="1" t="s">
        <v>29</v>
      </c>
      <c r="D5365" s="1">
        <v>0.0</v>
      </c>
      <c r="E5365" s="1">
        <v>20020.0</v>
      </c>
      <c r="F5365" s="10">
        <f t="shared" si="1"/>
        <v>0</v>
      </c>
      <c r="G5365" s="10">
        <f t="array" ref="G5365">index('Player ID'!C:C,match(E5365,'Player ID'!B:B,0))</f>
        <v>670167</v>
      </c>
    </row>
    <row r="5366">
      <c r="A5366" s="76">
        <v>45790.0</v>
      </c>
      <c r="B5366" s="1" t="s">
        <v>163</v>
      </c>
      <c r="C5366" s="1" t="s">
        <v>29</v>
      </c>
      <c r="D5366" s="1">
        <v>6.1</v>
      </c>
      <c r="E5366" s="1">
        <v>21455.0</v>
      </c>
      <c r="F5366" s="10">
        <f t="shared" si="1"/>
        <v>6.333333333</v>
      </c>
      <c r="G5366" s="10">
        <f t="array" ref="G5366">index('Player ID'!C:C,match(E5366,'Player ID'!B:B,0))</f>
        <v>663460</v>
      </c>
    </row>
    <row r="5367">
      <c r="A5367" s="76">
        <v>45790.0</v>
      </c>
      <c r="B5367" s="1" t="s">
        <v>154</v>
      </c>
      <c r="C5367" s="1" t="s">
        <v>25</v>
      </c>
      <c r="D5367" s="1">
        <v>0.0</v>
      </c>
      <c r="E5367" s="1">
        <v>3096.0</v>
      </c>
      <c r="F5367" s="10">
        <f t="shared" si="1"/>
        <v>0</v>
      </c>
      <c r="G5367" s="10">
        <f t="array" ref="G5367">index('Player ID'!C:C,match(E5367,'Player ID'!B:B,0))</f>
        <v>445276</v>
      </c>
    </row>
    <row r="5368">
      <c r="A5368" s="76">
        <v>45790.0</v>
      </c>
      <c r="B5368" s="1" t="s">
        <v>660</v>
      </c>
      <c r="C5368" s="1" t="s">
        <v>25</v>
      </c>
      <c r="D5368" s="1">
        <v>0.1</v>
      </c>
      <c r="E5368" s="1">
        <v>11804.0</v>
      </c>
      <c r="F5368" s="10">
        <f t="shared" si="1"/>
        <v>0.3333333333</v>
      </c>
      <c r="G5368" s="10">
        <f t="array" ref="G5368">index('Player ID'!C:C,match(E5368,'Player ID'!B:B,0))</f>
        <v>593576</v>
      </c>
    </row>
    <row r="5369">
      <c r="A5369" s="76">
        <v>45790.0</v>
      </c>
      <c r="B5369" s="1" t="s">
        <v>342</v>
      </c>
      <c r="C5369" s="1" t="s">
        <v>26</v>
      </c>
      <c r="D5369" s="1">
        <v>1.0</v>
      </c>
      <c r="E5369" s="1">
        <v>11861.0</v>
      </c>
      <c r="F5369" s="10">
        <f t="shared" si="1"/>
        <v>1</v>
      </c>
      <c r="G5369" s="10">
        <f t="array" ref="G5369">index('Player ID'!C:C,match(E5369,'Player ID'!B:B,0))</f>
        <v>592094</v>
      </c>
    </row>
    <row r="5370">
      <c r="A5370" s="76">
        <v>45790.0</v>
      </c>
      <c r="B5370" s="1" t="s">
        <v>282</v>
      </c>
      <c r="C5370" s="1" t="s">
        <v>26</v>
      </c>
      <c r="D5370" s="1">
        <v>6.2</v>
      </c>
      <c r="E5370" s="1">
        <v>18525.0</v>
      </c>
      <c r="F5370" s="10">
        <f t="shared" si="1"/>
        <v>6.666666667</v>
      </c>
      <c r="G5370" s="10">
        <f t="array" ref="G5370">index('Player ID'!C:C,match(E5370,'Player ID'!B:B,0))</f>
        <v>656302</v>
      </c>
    </row>
    <row r="5371">
      <c r="A5371" s="76">
        <v>45790.0</v>
      </c>
      <c r="B5371" s="1" t="s">
        <v>695</v>
      </c>
      <c r="C5371" s="1" t="s">
        <v>25</v>
      </c>
      <c r="D5371" s="1">
        <v>7.0</v>
      </c>
      <c r="E5371" s="1">
        <v>22100.0</v>
      </c>
      <c r="F5371" s="10">
        <f t="shared" si="1"/>
        <v>7</v>
      </c>
      <c r="G5371" s="10">
        <f t="array" ref="G5371">index('Player ID'!C:C,match(E5371,'Player ID'!B:B,0))</f>
        <v>667755</v>
      </c>
    </row>
    <row r="5372">
      <c r="A5372" s="76">
        <v>45790.0</v>
      </c>
      <c r="B5372" s="1" t="s">
        <v>94</v>
      </c>
      <c r="C5372" s="1" t="s">
        <v>26</v>
      </c>
      <c r="D5372" s="1">
        <v>0.1</v>
      </c>
      <c r="E5372" s="1">
        <v>22210.0</v>
      </c>
      <c r="F5372" s="10">
        <f t="shared" si="1"/>
        <v>0.3333333333</v>
      </c>
      <c r="G5372" s="10">
        <f t="array" ref="G5372">index('Player ID'!C:C,match(E5372,'Player ID'!B:B,0))</f>
        <v>669093</v>
      </c>
    </row>
    <row r="5373">
      <c r="A5373" s="76">
        <v>45790.0</v>
      </c>
      <c r="B5373" s="1" t="s">
        <v>385</v>
      </c>
      <c r="C5373" s="1" t="s">
        <v>25</v>
      </c>
      <c r="D5373" s="1">
        <v>0.2</v>
      </c>
      <c r="E5373" s="1">
        <v>25420.0</v>
      </c>
      <c r="F5373" s="10">
        <f t="shared" si="1"/>
        <v>0.6666666667</v>
      </c>
      <c r="G5373" s="10">
        <f t="array" ref="G5373">index('Player ID'!C:C,match(E5373,'Player ID'!B:B,0))</f>
        <v>666171</v>
      </c>
    </row>
    <row r="5374">
      <c r="A5374" s="76">
        <v>45790.0</v>
      </c>
      <c r="B5374" s="1" t="s">
        <v>284</v>
      </c>
      <c r="C5374" s="1" t="s">
        <v>26</v>
      </c>
      <c r="D5374" s="1">
        <v>1.0</v>
      </c>
      <c r="E5374" s="1">
        <v>33826.0</v>
      </c>
      <c r="F5374" s="10">
        <f t="shared" si="1"/>
        <v>1</v>
      </c>
      <c r="G5374" s="10">
        <f t="array" ref="G5374">index('Player ID'!C:C,match(E5374,'Player ID'!B:B,0))</f>
        <v>673513</v>
      </c>
    </row>
    <row r="5375">
      <c r="A5375" s="76">
        <v>45790.0</v>
      </c>
      <c r="B5375" s="1" t="s">
        <v>422</v>
      </c>
      <c r="C5375" s="1" t="s">
        <v>58</v>
      </c>
      <c r="D5375" s="1">
        <v>1.0</v>
      </c>
      <c r="E5375" s="1">
        <v>7048.0</v>
      </c>
      <c r="F5375" s="10">
        <f t="shared" si="1"/>
        <v>1</v>
      </c>
      <c r="G5375" s="10">
        <f t="array" ref="G5375">index('Player ID'!C:C,match(E5375,'Player ID'!B:B,0))</f>
        <v>518585</v>
      </c>
    </row>
    <row r="5376">
      <c r="A5376" s="76">
        <v>45790.0</v>
      </c>
      <c r="B5376" s="1" t="s">
        <v>166</v>
      </c>
      <c r="C5376" s="1" t="s">
        <v>58</v>
      </c>
      <c r="D5376" s="1">
        <v>5.0</v>
      </c>
      <c r="E5376" s="1">
        <v>13743.0</v>
      </c>
      <c r="F5376" s="10">
        <f t="shared" si="1"/>
        <v>5</v>
      </c>
      <c r="G5376" s="10">
        <f t="array" ref="G5376">index('Player ID'!C:C,match(E5376,'Player ID'!B:B,0))</f>
        <v>608331</v>
      </c>
    </row>
    <row r="5377">
      <c r="A5377" s="76">
        <v>45790.0</v>
      </c>
      <c r="B5377" s="1" t="s">
        <v>467</v>
      </c>
      <c r="C5377" s="1" t="s">
        <v>58</v>
      </c>
      <c r="D5377" s="1">
        <v>1.0</v>
      </c>
      <c r="E5377" s="1">
        <v>15551.0</v>
      </c>
      <c r="F5377" s="10">
        <f t="shared" si="1"/>
        <v>1</v>
      </c>
      <c r="G5377" s="10">
        <f t="array" ref="G5377">index('Player ID'!C:C,match(E5377,'Player ID'!B:B,0))</f>
        <v>643410</v>
      </c>
    </row>
    <row r="5378">
      <c r="A5378" s="76">
        <v>45790.0</v>
      </c>
      <c r="B5378" s="1" t="s">
        <v>114</v>
      </c>
      <c r="C5378" s="1" t="s">
        <v>58</v>
      </c>
      <c r="D5378" s="1">
        <v>1.0</v>
      </c>
      <c r="E5378" s="1">
        <v>15816.0</v>
      </c>
      <c r="F5378" s="10">
        <f t="shared" si="1"/>
        <v>1</v>
      </c>
      <c r="G5378" s="10">
        <f t="array" ref="G5378">index('Player ID'!C:C,match(E5378,'Player ID'!B:B,0))</f>
        <v>642207</v>
      </c>
    </row>
    <row r="5379">
      <c r="A5379" s="76">
        <v>45790.0</v>
      </c>
      <c r="B5379" s="1" t="s">
        <v>69</v>
      </c>
      <c r="C5379" s="1" t="s">
        <v>58</v>
      </c>
      <c r="D5379" s="1">
        <v>0.0</v>
      </c>
      <c r="E5379" s="1">
        <v>16814.0</v>
      </c>
      <c r="F5379" s="10">
        <f t="shared" si="1"/>
        <v>0</v>
      </c>
      <c r="G5379" s="10">
        <f t="array" ref="G5379">index('Player ID'!C:C,match(E5379,'Player ID'!B:B,0))</f>
        <v>657612</v>
      </c>
    </row>
    <row r="5380">
      <c r="A5380" s="76">
        <v>45790.0</v>
      </c>
      <c r="B5380" s="1" t="s">
        <v>225</v>
      </c>
      <c r="C5380" s="1" t="s">
        <v>58</v>
      </c>
      <c r="D5380" s="1">
        <v>2.0</v>
      </c>
      <c r="E5380" s="1">
        <v>16918.0</v>
      </c>
      <c r="F5380" s="10">
        <f t="shared" si="1"/>
        <v>2</v>
      </c>
      <c r="G5380" s="10">
        <f t="array" ref="G5380">index('Player ID'!C:C,match(E5380,'Player ID'!B:B,0))</f>
        <v>596133</v>
      </c>
    </row>
    <row r="5381">
      <c r="A5381" s="76">
        <v>45790.0</v>
      </c>
      <c r="B5381" s="1" t="s">
        <v>53</v>
      </c>
      <c r="C5381" s="1" t="s">
        <v>37</v>
      </c>
      <c r="D5381" s="1">
        <v>0.2</v>
      </c>
      <c r="E5381" s="1">
        <v>17170.0</v>
      </c>
      <c r="F5381" s="10">
        <f t="shared" si="1"/>
        <v>0.6666666667</v>
      </c>
      <c r="G5381" s="10">
        <f t="array" ref="G5381">index('Player ID'!C:C,match(E5381,'Player ID'!B:B,0))</f>
        <v>642100</v>
      </c>
    </row>
    <row r="5382">
      <c r="A5382" s="76">
        <v>45790.0</v>
      </c>
      <c r="B5382" s="1" t="s">
        <v>670</v>
      </c>
      <c r="C5382" s="1" t="s">
        <v>37</v>
      </c>
      <c r="D5382" s="1">
        <v>1.0</v>
      </c>
      <c r="E5382" s="1">
        <v>20373.0</v>
      </c>
      <c r="F5382" s="10">
        <f t="shared" si="1"/>
        <v>1</v>
      </c>
      <c r="G5382" s="10">
        <f t="array" ref="G5382">index('Player ID'!C:C,match(E5382,'Player ID'!B:B,0))</f>
        <v>662253</v>
      </c>
    </row>
    <row r="5383">
      <c r="A5383" s="76">
        <v>45790.0</v>
      </c>
      <c r="B5383" s="1" t="s">
        <v>101</v>
      </c>
      <c r="C5383" s="1" t="s">
        <v>37</v>
      </c>
      <c r="D5383" s="1">
        <v>1.0</v>
      </c>
      <c r="E5383" s="1">
        <v>22915.0</v>
      </c>
      <c r="F5383" s="10">
        <f t="shared" si="1"/>
        <v>1</v>
      </c>
      <c r="G5383" s="10">
        <f t="array" ref="G5383">index('Player ID'!C:C,match(E5383,'Player ID'!B:B,0))</f>
        <v>672841</v>
      </c>
    </row>
    <row r="5384">
      <c r="A5384" s="76">
        <v>45790.0</v>
      </c>
      <c r="B5384" s="1" t="s">
        <v>254</v>
      </c>
      <c r="C5384" s="1" t="s">
        <v>37</v>
      </c>
      <c r="D5384" s="1">
        <v>1.0</v>
      </c>
      <c r="E5384" s="1">
        <v>25756.0</v>
      </c>
      <c r="F5384" s="10">
        <f t="shared" si="1"/>
        <v>1</v>
      </c>
      <c r="G5384" s="10">
        <f t="array" ref="G5384">index('Player ID'!C:C,match(E5384,'Player ID'!B:B,0))</f>
        <v>666374</v>
      </c>
    </row>
    <row r="5385">
      <c r="A5385" s="76">
        <v>45790.0</v>
      </c>
      <c r="B5385" s="1" t="s">
        <v>340</v>
      </c>
      <c r="C5385" s="1" t="s">
        <v>37</v>
      </c>
      <c r="D5385" s="1">
        <v>1.0</v>
      </c>
      <c r="E5385" s="1">
        <v>25921.0</v>
      </c>
      <c r="F5385" s="10">
        <f t="shared" si="1"/>
        <v>1</v>
      </c>
      <c r="G5385" s="10">
        <f t="array" ref="G5385">index('Player ID'!C:C,match(E5385,'Player ID'!B:B,0))</f>
        <v>668984</v>
      </c>
    </row>
    <row r="5386">
      <c r="A5386" s="76">
        <v>45790.0</v>
      </c>
      <c r="B5386" s="1" t="s">
        <v>90</v>
      </c>
      <c r="C5386" s="1" t="s">
        <v>37</v>
      </c>
      <c r="D5386" s="1">
        <v>6.1</v>
      </c>
      <c r="E5386" s="1">
        <v>30279.0</v>
      </c>
      <c r="F5386" s="10">
        <f t="shared" si="1"/>
        <v>6.333333333</v>
      </c>
      <c r="G5386" s="10">
        <f t="array" ref="G5386">index('Player ID'!C:C,match(E5386,'Player ID'!B:B,0))</f>
        <v>693433</v>
      </c>
    </row>
    <row r="5387">
      <c r="A5387" s="76">
        <v>45790.0</v>
      </c>
      <c r="B5387" s="1" t="s">
        <v>303</v>
      </c>
      <c r="C5387" s="1" t="s">
        <v>31</v>
      </c>
      <c r="D5387" s="1">
        <v>6.0</v>
      </c>
      <c r="E5387" s="1">
        <v>11486.0</v>
      </c>
      <c r="F5387" s="10">
        <f t="shared" si="1"/>
        <v>6</v>
      </c>
      <c r="G5387" s="10">
        <f t="array" ref="G5387">index('Player ID'!C:C,match(E5387,'Player ID'!B:B,0))</f>
        <v>592662</v>
      </c>
    </row>
    <row r="5388">
      <c r="A5388" s="76">
        <v>45790.0</v>
      </c>
      <c r="B5388" s="1" t="s">
        <v>685</v>
      </c>
      <c r="C5388" s="1" t="s">
        <v>64</v>
      </c>
      <c r="D5388" s="1">
        <v>1.0</v>
      </c>
      <c r="E5388" s="1">
        <v>14857.0</v>
      </c>
      <c r="F5388" s="10">
        <f t="shared" si="1"/>
        <v>1</v>
      </c>
      <c r="G5388" s="10">
        <f t="array" ref="G5388">index('Player ID'!C:C,match(E5388,'Player ID'!B:B,0))</f>
        <v>573009</v>
      </c>
    </row>
    <row r="5389">
      <c r="A5389" s="76">
        <v>45790.0</v>
      </c>
      <c r="B5389" s="1" t="s">
        <v>763</v>
      </c>
      <c r="C5389" s="1" t="s">
        <v>64</v>
      </c>
      <c r="D5389" s="1">
        <v>1.0</v>
      </c>
      <c r="E5389" s="1">
        <v>15514.0</v>
      </c>
      <c r="F5389" s="10">
        <f t="shared" si="1"/>
        <v>1</v>
      </c>
      <c r="G5389" s="10">
        <f t="array" ref="G5389">index('Player ID'!C:C,match(E5389,'Player ID'!B:B,0))</f>
        <v>608665</v>
      </c>
    </row>
    <row r="5390">
      <c r="A5390" s="76">
        <v>45790.0</v>
      </c>
      <c r="B5390" s="1" t="s">
        <v>823</v>
      </c>
      <c r="C5390" s="1" t="s">
        <v>64</v>
      </c>
      <c r="D5390" s="1">
        <v>1.0</v>
      </c>
      <c r="E5390" s="1">
        <v>19876.0</v>
      </c>
      <c r="F5390" s="10">
        <f t="shared" si="1"/>
        <v>1</v>
      </c>
      <c r="G5390" s="10">
        <f t="array" ref="G5390">index('Player ID'!C:C,match(E5390,'Player ID'!B:B,0))</f>
        <v>656464</v>
      </c>
    </row>
    <row r="5391">
      <c r="A5391" s="76">
        <v>45790.0</v>
      </c>
      <c r="B5391" s="1" t="s">
        <v>370</v>
      </c>
      <c r="C5391" s="1" t="s">
        <v>64</v>
      </c>
      <c r="D5391" s="1">
        <v>1.0</v>
      </c>
      <c r="E5391" s="1">
        <v>21924.0</v>
      </c>
      <c r="F5391" s="10">
        <f t="shared" si="1"/>
        <v>1</v>
      </c>
      <c r="G5391" s="10">
        <f t="array" ref="G5391">index('Player ID'!C:C,match(E5391,'Player ID'!B:B,0))</f>
        <v>666661</v>
      </c>
    </row>
    <row r="5392">
      <c r="A5392" s="76">
        <v>45790.0</v>
      </c>
      <c r="B5392" s="1" t="s">
        <v>304</v>
      </c>
      <c r="C5392" s="1" t="s">
        <v>31</v>
      </c>
      <c r="D5392" s="1">
        <v>1.0</v>
      </c>
      <c r="E5392" s="1">
        <v>21992.0</v>
      </c>
      <c r="F5392" s="10">
        <f t="shared" si="1"/>
        <v>1</v>
      </c>
      <c r="G5392" s="10">
        <f t="array" ref="G5392">index('Player ID'!C:C,match(E5392,'Player ID'!B:B,0))</f>
        <v>666808</v>
      </c>
    </row>
    <row r="5393">
      <c r="A5393" s="76">
        <v>45790.0</v>
      </c>
      <c r="B5393" s="1" t="s">
        <v>96</v>
      </c>
      <c r="C5393" s="1" t="s">
        <v>31</v>
      </c>
      <c r="D5393" s="1">
        <v>1.0</v>
      </c>
      <c r="E5393" s="1">
        <v>27758.0</v>
      </c>
      <c r="F5393" s="10">
        <f t="shared" si="1"/>
        <v>1</v>
      </c>
      <c r="G5393" s="10">
        <f t="array" ref="G5393">index('Player ID'!C:C,match(E5393,'Player ID'!B:B,0))</f>
        <v>690986</v>
      </c>
    </row>
    <row r="5394">
      <c r="A5394" s="76">
        <v>45790.0</v>
      </c>
      <c r="B5394" s="1" t="s">
        <v>263</v>
      </c>
      <c r="C5394" s="1" t="s">
        <v>64</v>
      </c>
      <c r="D5394" s="1">
        <v>4.0</v>
      </c>
      <c r="E5394" s="1">
        <v>27782.0</v>
      </c>
      <c r="F5394" s="10">
        <f t="shared" si="1"/>
        <v>4</v>
      </c>
      <c r="G5394" s="10">
        <f t="array" ref="G5394">index('Player ID'!C:C,match(E5394,'Player ID'!B:B,0))</f>
        <v>694297</v>
      </c>
    </row>
    <row r="5395">
      <c r="A5395" s="76">
        <v>45790.0</v>
      </c>
      <c r="B5395" s="1" t="s">
        <v>276</v>
      </c>
      <c r="C5395" s="1" t="s">
        <v>31</v>
      </c>
      <c r="D5395" s="1">
        <v>1.0</v>
      </c>
      <c r="E5395" s="1">
        <v>30226.0</v>
      </c>
      <c r="F5395" s="10">
        <f t="shared" si="1"/>
        <v>1</v>
      </c>
      <c r="G5395" s="10">
        <f t="array" ref="G5395">index('Player ID'!C:C,match(E5395,'Player ID'!B:B,0))</f>
        <v>702352</v>
      </c>
    </row>
    <row r="5396">
      <c r="A5396" s="76">
        <v>45790.0</v>
      </c>
      <c r="B5396" s="1" t="s">
        <v>595</v>
      </c>
      <c r="C5396" s="1" t="s">
        <v>33</v>
      </c>
      <c r="D5396" s="1">
        <v>0.1</v>
      </c>
      <c r="E5396" s="1">
        <v>6984.0</v>
      </c>
      <c r="F5396" s="10">
        <f t="shared" si="1"/>
        <v>0.3333333333</v>
      </c>
      <c r="G5396" s="10">
        <f t="array" ref="G5396">index('Player ID'!C:C,match(E5396,'Player ID'!B:B,0))</f>
        <v>472610</v>
      </c>
    </row>
    <row r="5397">
      <c r="A5397" s="76">
        <v>45790.0</v>
      </c>
      <c r="B5397" s="1" t="s">
        <v>798</v>
      </c>
      <c r="C5397" s="1" t="s">
        <v>33</v>
      </c>
      <c r="D5397" s="1">
        <v>1.0</v>
      </c>
      <c r="E5397" s="1">
        <v>7802.0</v>
      </c>
      <c r="F5397" s="10">
        <f t="shared" si="1"/>
        <v>1</v>
      </c>
      <c r="G5397" s="10">
        <f t="array" ref="G5397">index('Player ID'!C:C,match(E5397,'Player ID'!B:B,0))</f>
        <v>500743</v>
      </c>
    </row>
    <row r="5398">
      <c r="A5398" s="76">
        <v>45790.0</v>
      </c>
      <c r="B5398" s="1" t="s">
        <v>310</v>
      </c>
      <c r="C5398" s="1" t="s">
        <v>33</v>
      </c>
      <c r="D5398" s="1">
        <v>1.0</v>
      </c>
      <c r="E5398" s="1">
        <v>14706.0</v>
      </c>
      <c r="F5398" s="10">
        <f t="shared" si="1"/>
        <v>1</v>
      </c>
      <c r="G5398" s="10">
        <f t="array" ref="G5398">index('Player ID'!C:C,match(E5398,'Player ID'!B:B,0))</f>
        <v>607455</v>
      </c>
    </row>
    <row r="5399">
      <c r="A5399" s="76">
        <v>45790.0</v>
      </c>
      <c r="B5399" s="1" t="s">
        <v>805</v>
      </c>
      <c r="C5399" s="1" t="s">
        <v>33</v>
      </c>
      <c r="D5399" s="1">
        <v>2.0</v>
      </c>
      <c r="E5399" s="1">
        <v>16610.0</v>
      </c>
      <c r="F5399" s="10">
        <f t="shared" si="1"/>
        <v>2</v>
      </c>
      <c r="G5399" s="10">
        <f t="array" ref="G5399">index('Player ID'!C:C,match(E5399,'Player ID'!B:B,0))</f>
        <v>656420</v>
      </c>
    </row>
    <row r="5400">
      <c r="A5400" s="76">
        <v>45790.0</v>
      </c>
      <c r="B5400" s="1" t="s">
        <v>336</v>
      </c>
      <c r="C5400" s="1" t="s">
        <v>52</v>
      </c>
      <c r="D5400" s="1">
        <v>7.0</v>
      </c>
      <c r="E5400" s="1">
        <v>17677.0</v>
      </c>
      <c r="F5400" s="10">
        <f t="shared" si="1"/>
        <v>7</v>
      </c>
      <c r="G5400" s="10">
        <f t="array" ref="G5400">index('Player ID'!C:C,match(E5400,'Player ID'!B:B,0))</f>
        <v>605488</v>
      </c>
    </row>
    <row r="5401">
      <c r="A5401" s="76">
        <v>45790.0</v>
      </c>
      <c r="B5401" s="1" t="s">
        <v>351</v>
      </c>
      <c r="C5401" s="1" t="s">
        <v>33</v>
      </c>
      <c r="D5401" s="1">
        <v>4.2</v>
      </c>
      <c r="E5401" s="1">
        <v>27487.0</v>
      </c>
      <c r="F5401" s="10">
        <f t="shared" si="1"/>
        <v>4.666666667</v>
      </c>
      <c r="G5401" s="10">
        <f t="array" ref="G5401">index('Player ID'!C:C,match(E5401,'Player ID'!B:B,0))</f>
        <v>689017</v>
      </c>
    </row>
    <row r="5402">
      <c r="A5402" s="76">
        <v>45790.0</v>
      </c>
      <c r="B5402" s="1" t="s">
        <v>213</v>
      </c>
      <c r="C5402" s="1" t="s">
        <v>52</v>
      </c>
      <c r="D5402" s="1">
        <v>1.0</v>
      </c>
      <c r="E5402" s="1">
        <v>27694.0</v>
      </c>
      <c r="F5402" s="10">
        <f t="shared" si="1"/>
        <v>1</v>
      </c>
      <c r="G5402" s="10">
        <f t="array" ref="G5402">index('Player ID'!C:C,match(E5402,'Player ID'!B:B,0))</f>
        <v>686993</v>
      </c>
    </row>
    <row r="5403">
      <c r="A5403" s="76">
        <v>45790.0</v>
      </c>
      <c r="B5403" s="1" t="s">
        <v>681</v>
      </c>
      <c r="C5403" s="1" t="s">
        <v>52</v>
      </c>
      <c r="D5403" s="1">
        <v>1.0</v>
      </c>
      <c r="E5403" s="1">
        <v>30002.0</v>
      </c>
      <c r="F5403" s="10">
        <f t="shared" si="1"/>
        <v>1</v>
      </c>
      <c r="G5403" s="10">
        <f t="array" ref="G5403">index('Player ID'!C:C,match(E5403,'Player ID'!B:B,0))</f>
        <v>680880</v>
      </c>
    </row>
    <row r="5404">
      <c r="A5404" s="76">
        <v>45791.0</v>
      </c>
      <c r="B5404" s="1" t="s">
        <v>435</v>
      </c>
      <c r="C5404" s="1" t="s">
        <v>16</v>
      </c>
      <c r="D5404" s="1">
        <v>0.1</v>
      </c>
      <c r="E5404" s="1">
        <v>13293.0</v>
      </c>
      <c r="F5404" s="10">
        <f t="shared" si="1"/>
        <v>0.3333333333</v>
      </c>
      <c r="G5404" s="10">
        <f t="array" ref="G5404">index('Player ID'!C:C,match(E5404,'Player ID'!B:B,0))</f>
        <v>543056</v>
      </c>
    </row>
    <row r="5405">
      <c r="A5405" s="76">
        <v>45791.0</v>
      </c>
      <c r="B5405" s="1" t="s">
        <v>249</v>
      </c>
      <c r="C5405" s="1" t="s">
        <v>16</v>
      </c>
      <c r="D5405" s="1">
        <v>1.0</v>
      </c>
      <c r="E5405" s="1">
        <v>16727.0</v>
      </c>
      <c r="F5405" s="10">
        <f t="shared" si="1"/>
        <v>1</v>
      </c>
      <c r="G5405" s="10">
        <f t="array" ref="G5405">index('Player ID'!C:C,match(E5405,'Player ID'!B:B,0))</f>
        <v>592779</v>
      </c>
    </row>
    <row r="5406">
      <c r="A5406" s="76">
        <v>45791.0</v>
      </c>
      <c r="B5406" s="1" t="s">
        <v>294</v>
      </c>
      <c r="C5406" s="1" t="s">
        <v>68</v>
      </c>
      <c r="D5406" s="1">
        <v>5.2</v>
      </c>
      <c r="E5406" s="1">
        <v>19350.0</v>
      </c>
      <c r="F5406" s="10">
        <f t="shared" si="1"/>
        <v>5.666666667</v>
      </c>
      <c r="G5406" s="10">
        <f t="array" ref="G5406">index('Player ID'!C:C,match(E5406,'Player ID'!B:B,0))</f>
        <v>665152</v>
      </c>
    </row>
    <row r="5407">
      <c r="A5407" s="76">
        <v>45791.0</v>
      </c>
      <c r="B5407" s="1" t="s">
        <v>231</v>
      </c>
      <c r="C5407" s="1" t="s">
        <v>68</v>
      </c>
      <c r="D5407" s="1">
        <v>2.0</v>
      </c>
      <c r="E5407" s="1">
        <v>19362.0</v>
      </c>
      <c r="F5407" s="10">
        <f t="shared" si="1"/>
        <v>2</v>
      </c>
      <c r="G5407" s="10">
        <f t="array" ref="G5407">index('Player ID'!C:C,match(E5407,'Player ID'!B:B,0))</f>
        <v>669211</v>
      </c>
    </row>
    <row r="5408">
      <c r="A5408" s="76">
        <v>45791.0</v>
      </c>
      <c r="B5408" s="1" t="s">
        <v>240</v>
      </c>
      <c r="C5408" s="1" t="s">
        <v>68</v>
      </c>
      <c r="D5408" s="1">
        <v>1.1</v>
      </c>
      <c r="E5408" s="1">
        <v>19804.0</v>
      </c>
      <c r="F5408" s="10">
        <f t="shared" si="1"/>
        <v>1.333333333</v>
      </c>
      <c r="G5408" s="10">
        <f t="array" ref="G5408">index('Player ID'!C:C,match(E5408,'Player ID'!B:B,0))</f>
        <v>641329</v>
      </c>
    </row>
    <row r="5409">
      <c r="A5409" s="76">
        <v>45791.0</v>
      </c>
      <c r="B5409" s="1" t="s">
        <v>28</v>
      </c>
      <c r="C5409" s="1" t="s">
        <v>16</v>
      </c>
      <c r="D5409" s="1">
        <v>1.0</v>
      </c>
      <c r="E5409" s="1">
        <v>20253.0</v>
      </c>
      <c r="F5409" s="10">
        <f t="shared" si="1"/>
        <v>1</v>
      </c>
      <c r="G5409" s="10">
        <f t="array" ref="G5409">index('Player ID'!C:C,match(E5409,'Player ID'!B:B,0))</f>
        <v>643377</v>
      </c>
    </row>
    <row r="5410">
      <c r="A5410" s="76">
        <v>45791.0</v>
      </c>
      <c r="B5410" s="1" t="s">
        <v>122</v>
      </c>
      <c r="C5410" s="1" t="s">
        <v>16</v>
      </c>
      <c r="D5410" s="1">
        <v>1.0</v>
      </c>
      <c r="E5410" s="1">
        <v>21029.0</v>
      </c>
      <c r="F5410" s="10">
        <f t="shared" si="1"/>
        <v>1</v>
      </c>
      <c r="G5410" s="10">
        <f t="array" ref="G5410">index('Player ID'!C:C,match(E5410,'Player ID'!B:B,0))</f>
        <v>661395</v>
      </c>
    </row>
    <row r="5411">
      <c r="A5411" s="76">
        <v>45791.0</v>
      </c>
      <c r="B5411" s="1" t="s">
        <v>173</v>
      </c>
      <c r="C5411" s="1" t="s">
        <v>16</v>
      </c>
      <c r="D5411" s="1">
        <v>4.2</v>
      </c>
      <c r="E5411" s="1">
        <v>21224.0</v>
      </c>
      <c r="F5411" s="10">
        <f t="shared" si="1"/>
        <v>4.666666667</v>
      </c>
      <c r="G5411" s="10">
        <f t="array" ref="G5411">index('Player ID'!C:C,match(E5411,'Player ID'!B:B,0))</f>
        <v>641927</v>
      </c>
    </row>
    <row r="5412">
      <c r="A5412" s="76">
        <v>45791.0</v>
      </c>
      <c r="B5412" s="1" t="s">
        <v>47</v>
      </c>
      <c r="C5412" s="1" t="s">
        <v>16</v>
      </c>
      <c r="D5412" s="1">
        <v>1.0</v>
      </c>
      <c r="E5412" s="1">
        <v>27691.0</v>
      </c>
      <c r="F5412" s="10">
        <f t="shared" si="1"/>
        <v>1</v>
      </c>
      <c r="G5412" s="10">
        <f t="array" ref="G5412">index('Player ID'!C:C,match(E5412,'Player ID'!B:B,0))</f>
        <v>686973</v>
      </c>
    </row>
    <row r="5413">
      <c r="A5413" s="76">
        <v>45791.0</v>
      </c>
      <c r="B5413" s="1" t="s">
        <v>453</v>
      </c>
      <c r="C5413" s="1" t="s">
        <v>45</v>
      </c>
      <c r="D5413" s="1">
        <v>3.0</v>
      </c>
      <c r="E5413" s="1">
        <v>11836.0</v>
      </c>
      <c r="F5413" s="10">
        <f t="shared" si="1"/>
        <v>3</v>
      </c>
      <c r="G5413" s="10">
        <f t="array" ref="G5413">index('Player ID'!C:C,match(E5413,'Player ID'!B:B,0))</f>
        <v>592836</v>
      </c>
    </row>
    <row r="5414">
      <c r="A5414" s="76">
        <v>45791.0</v>
      </c>
      <c r="B5414" s="1" t="s">
        <v>95</v>
      </c>
      <c r="C5414" s="1" t="s">
        <v>72</v>
      </c>
      <c r="D5414" s="1">
        <v>3.2</v>
      </c>
      <c r="E5414" s="1">
        <v>12768.0</v>
      </c>
      <c r="F5414" s="10">
        <f t="shared" si="1"/>
        <v>3.666666667</v>
      </c>
      <c r="G5414" s="10">
        <f t="array" ref="G5414">index('Player ID'!C:C,match(E5414,'Player ID'!B:B,0))</f>
        <v>543243</v>
      </c>
    </row>
    <row r="5415">
      <c r="A5415" s="76">
        <v>45791.0</v>
      </c>
      <c r="B5415" s="1" t="s">
        <v>98</v>
      </c>
      <c r="C5415" s="1" t="s">
        <v>45</v>
      </c>
      <c r="D5415" s="1">
        <v>3.2</v>
      </c>
      <c r="E5415" s="1">
        <v>16149.0</v>
      </c>
      <c r="F5415" s="10">
        <f t="shared" si="1"/>
        <v>3.666666667</v>
      </c>
      <c r="G5415" s="10">
        <f t="array" ref="G5415">index('Player ID'!C:C,match(E5415,'Player ID'!B:B,0))</f>
        <v>605400</v>
      </c>
    </row>
    <row r="5416">
      <c r="A5416" s="76">
        <v>45791.0</v>
      </c>
      <c r="B5416" s="1" t="s">
        <v>138</v>
      </c>
      <c r="C5416" s="1" t="s">
        <v>45</v>
      </c>
      <c r="D5416" s="1">
        <v>1.1</v>
      </c>
      <c r="E5416" s="1">
        <v>16990.0</v>
      </c>
      <c r="F5416" s="10">
        <f t="shared" si="1"/>
        <v>1.333333333</v>
      </c>
      <c r="G5416" s="10">
        <f t="array" ref="G5416">index('Player ID'!C:C,match(E5416,'Player ID'!B:B,0))</f>
        <v>621383</v>
      </c>
    </row>
    <row r="5417">
      <c r="A5417" s="76">
        <v>45791.0</v>
      </c>
      <c r="B5417" s="1" t="s">
        <v>190</v>
      </c>
      <c r="C5417" s="1" t="s">
        <v>72</v>
      </c>
      <c r="D5417" s="1">
        <v>1.0</v>
      </c>
      <c r="E5417" s="1">
        <v>18064.0</v>
      </c>
      <c r="F5417" s="10">
        <f t="shared" si="1"/>
        <v>1</v>
      </c>
      <c r="G5417" s="10">
        <f t="array" ref="G5417">index('Player ID'!C:C,match(E5417,'Player ID'!B:B,0))</f>
        <v>664208</v>
      </c>
    </row>
    <row r="5418">
      <c r="A5418" s="76">
        <v>45791.0</v>
      </c>
      <c r="B5418" s="1" t="s">
        <v>193</v>
      </c>
      <c r="C5418" s="1" t="s">
        <v>72</v>
      </c>
      <c r="D5418" s="1">
        <v>1.0</v>
      </c>
      <c r="E5418" s="1">
        <v>19574.0</v>
      </c>
      <c r="F5418" s="10">
        <f t="shared" si="1"/>
        <v>1</v>
      </c>
      <c r="G5418" s="10">
        <f t="array" ref="G5418">index('Player ID'!C:C,match(E5418,'Player ID'!B:B,0))</f>
        <v>668941</v>
      </c>
    </row>
    <row r="5419">
      <c r="A5419" s="76">
        <v>45791.0</v>
      </c>
      <c r="B5419" s="1" t="s">
        <v>788</v>
      </c>
      <c r="C5419" s="1" t="s">
        <v>45</v>
      </c>
      <c r="D5419" s="1">
        <v>0.1</v>
      </c>
      <c r="E5419" s="1">
        <v>21229.0</v>
      </c>
      <c r="F5419" s="10">
        <f t="shared" si="1"/>
        <v>0.3333333333</v>
      </c>
      <c r="G5419" s="10">
        <f t="array" ref="G5419">index('Player ID'!C:C,match(E5419,'Player ID'!B:B,0))</f>
        <v>642016</v>
      </c>
    </row>
    <row r="5420">
      <c r="A5420" s="76">
        <v>45791.0</v>
      </c>
      <c r="B5420" s="1" t="s">
        <v>273</v>
      </c>
      <c r="C5420" s="1" t="s">
        <v>72</v>
      </c>
      <c r="D5420" s="1">
        <v>1.0</v>
      </c>
      <c r="E5420" s="1">
        <v>22051.0</v>
      </c>
      <c r="F5420" s="10">
        <f t="shared" si="1"/>
        <v>1</v>
      </c>
      <c r="G5420" s="10">
        <f t="array" ref="G5420">index('Player ID'!C:C,match(E5420,'Player ID'!B:B,0))</f>
        <v>667463</v>
      </c>
    </row>
    <row r="5421">
      <c r="A5421" s="76">
        <v>45791.0</v>
      </c>
      <c r="B5421" s="1" t="s">
        <v>701</v>
      </c>
      <c r="C5421" s="1" t="s">
        <v>45</v>
      </c>
      <c r="D5421" s="1">
        <v>0.2</v>
      </c>
      <c r="E5421" s="1">
        <v>22713.0</v>
      </c>
      <c r="F5421" s="10">
        <f t="shared" si="1"/>
        <v>0.6666666667</v>
      </c>
      <c r="G5421" s="10">
        <f t="array" ref="G5421">index('Player ID'!C:C,match(E5421,'Player ID'!B:B,0))</f>
        <v>672578</v>
      </c>
    </row>
    <row r="5422">
      <c r="A5422" s="76">
        <v>45791.0</v>
      </c>
      <c r="B5422" s="1" t="s">
        <v>223</v>
      </c>
      <c r="C5422" s="1" t="s">
        <v>72</v>
      </c>
      <c r="D5422" s="1">
        <v>1.0</v>
      </c>
      <c r="E5422" s="1">
        <v>29629.0</v>
      </c>
      <c r="F5422" s="10">
        <f t="shared" si="1"/>
        <v>1</v>
      </c>
      <c r="G5422" s="10">
        <f t="array" ref="G5422">index('Player ID'!C:C,match(E5422,'Player ID'!B:B,0))</f>
        <v>694335</v>
      </c>
    </row>
    <row r="5423">
      <c r="A5423" s="76">
        <v>45791.0</v>
      </c>
      <c r="B5423" s="1" t="s">
        <v>665</v>
      </c>
      <c r="C5423" s="1" t="s">
        <v>72</v>
      </c>
      <c r="D5423" s="1">
        <v>1.1</v>
      </c>
      <c r="E5423" s="1">
        <v>31261.0</v>
      </c>
      <c r="F5423" s="10">
        <f t="shared" si="1"/>
        <v>1.333333333</v>
      </c>
      <c r="G5423" s="10">
        <f t="array" ref="G5423">index('Player ID'!C:C,match(E5423,'Player ID'!B:B,0))</f>
        <v>688297</v>
      </c>
    </row>
    <row r="5424">
      <c r="A5424" s="76">
        <v>45791.0</v>
      </c>
      <c r="B5424" s="1" t="s">
        <v>83</v>
      </c>
      <c r="C5424" s="1" t="s">
        <v>72</v>
      </c>
      <c r="D5424" s="1">
        <v>1.2</v>
      </c>
      <c r="E5424" s="1">
        <v>13361.0</v>
      </c>
      <c r="F5424" s="10">
        <f t="shared" si="1"/>
        <v>1.666666667</v>
      </c>
      <c r="G5424" s="10">
        <f t="array" ref="G5424">index('Player ID'!C:C,match(E5424,'Player ID'!B:B,0))</f>
        <v>571927</v>
      </c>
    </row>
    <row r="5425">
      <c r="A5425" s="76">
        <v>45791.0</v>
      </c>
      <c r="B5425" s="1" t="s">
        <v>208</v>
      </c>
      <c r="C5425" s="1" t="s">
        <v>45</v>
      </c>
      <c r="D5425" s="1">
        <v>1.0</v>
      </c>
      <c r="E5425" s="1">
        <v>16122.0</v>
      </c>
      <c r="F5425" s="10">
        <f t="shared" si="1"/>
        <v>1</v>
      </c>
      <c r="G5425" s="10">
        <f t="array" ref="G5425">index('Player ID'!C:C,match(E5425,'Player ID'!B:B,0))</f>
        <v>605447</v>
      </c>
    </row>
    <row r="5426">
      <c r="A5426" s="76">
        <v>45791.0</v>
      </c>
      <c r="B5426" s="1" t="s">
        <v>321</v>
      </c>
      <c r="C5426" s="1" t="s">
        <v>72</v>
      </c>
      <c r="D5426" s="1">
        <v>5.2</v>
      </c>
      <c r="E5426" s="1">
        <v>17425.0</v>
      </c>
      <c r="F5426" s="10">
        <f t="shared" si="1"/>
        <v>5.666666667</v>
      </c>
      <c r="G5426" s="10">
        <f t="array" ref="G5426">index('Player ID'!C:C,match(E5426,'Player ID'!B:B,0))</f>
        <v>607200</v>
      </c>
    </row>
    <row r="5427">
      <c r="A5427" s="76">
        <v>45791.0</v>
      </c>
      <c r="B5427" s="1" t="s">
        <v>643</v>
      </c>
      <c r="C5427" s="1" t="s">
        <v>45</v>
      </c>
      <c r="D5427" s="1">
        <v>0.1</v>
      </c>
      <c r="E5427" s="1">
        <v>17780.0</v>
      </c>
      <c r="F5427" s="10">
        <f t="shared" si="1"/>
        <v>0.3333333333</v>
      </c>
      <c r="G5427" s="10">
        <f t="array" ref="G5427">index('Player ID'!C:C,match(E5427,'Player ID'!B:B,0))</f>
        <v>621237</v>
      </c>
    </row>
    <row r="5428">
      <c r="A5428" s="76">
        <v>45791.0</v>
      </c>
      <c r="B5428" s="1" t="s">
        <v>700</v>
      </c>
      <c r="C5428" s="1" t="s">
        <v>45</v>
      </c>
      <c r="D5428" s="1">
        <v>7.0</v>
      </c>
      <c r="E5428" s="1">
        <v>19959.0</v>
      </c>
      <c r="F5428" s="10">
        <f t="shared" si="1"/>
        <v>7</v>
      </c>
      <c r="G5428" s="10">
        <f t="array" ref="G5428">index('Player ID'!C:C,match(E5428,'Player ID'!B:B,0))</f>
        <v>666200</v>
      </c>
    </row>
    <row r="5429">
      <c r="A5429" s="76">
        <v>45791.0</v>
      </c>
      <c r="B5429" s="1" t="s">
        <v>337</v>
      </c>
      <c r="C5429" s="1" t="s">
        <v>72</v>
      </c>
      <c r="D5429" s="1">
        <v>0.2</v>
      </c>
      <c r="E5429" s="1">
        <v>29519.0</v>
      </c>
      <c r="F5429" s="10">
        <f t="shared" si="1"/>
        <v>0.6666666667</v>
      </c>
      <c r="G5429" s="10">
        <f t="array" ref="G5429">index('Player ID'!C:C,match(E5429,'Player ID'!B:B,0))</f>
        <v>700669</v>
      </c>
    </row>
    <row r="5430">
      <c r="A5430" s="76">
        <v>45791.0</v>
      </c>
      <c r="B5430" s="1" t="s">
        <v>165</v>
      </c>
      <c r="C5430" s="1" t="s">
        <v>45</v>
      </c>
      <c r="D5430" s="1">
        <v>0.2</v>
      </c>
      <c r="E5430" s="1">
        <v>31776.0</v>
      </c>
      <c r="F5430" s="10">
        <f t="shared" si="1"/>
        <v>0.6666666667</v>
      </c>
      <c r="G5430" s="10">
        <f t="array" ref="G5430">index('Player ID'!C:C,match(E5430,'Player ID'!B:B,0))</f>
        <v>689147</v>
      </c>
    </row>
    <row r="5431">
      <c r="A5431" s="76">
        <v>45791.0</v>
      </c>
      <c r="B5431" s="1" t="s">
        <v>117</v>
      </c>
      <c r="C5431" s="1" t="s">
        <v>70</v>
      </c>
      <c r="D5431" s="1">
        <v>0.2</v>
      </c>
      <c r="E5431" s="1">
        <v>13619.0</v>
      </c>
      <c r="F5431" s="10">
        <f t="shared" si="1"/>
        <v>0.6666666667</v>
      </c>
      <c r="G5431" s="10">
        <f t="array" ref="G5431">index('Player ID'!C:C,match(E5431,'Player ID'!B:B,0))</f>
        <v>596001</v>
      </c>
    </row>
    <row r="5432">
      <c r="A5432" s="76">
        <v>45791.0</v>
      </c>
      <c r="B5432" s="1" t="s">
        <v>13</v>
      </c>
      <c r="C5432" s="1" t="s">
        <v>14</v>
      </c>
      <c r="D5432" s="1">
        <v>1.0</v>
      </c>
      <c r="E5432" s="1">
        <v>17722.0</v>
      </c>
      <c r="F5432" s="10">
        <f t="shared" si="1"/>
        <v>1</v>
      </c>
      <c r="G5432" s="10">
        <f t="array" ref="G5432">index('Player ID'!C:C,match(E5432,'Player ID'!B:B,0))</f>
        <v>656730</v>
      </c>
    </row>
    <row r="5433">
      <c r="A5433" s="76">
        <v>45791.0</v>
      </c>
      <c r="B5433" s="1" t="s">
        <v>318</v>
      </c>
      <c r="C5433" s="1" t="s">
        <v>14</v>
      </c>
      <c r="D5433" s="1">
        <v>1.1</v>
      </c>
      <c r="E5433" s="1">
        <v>20546.0</v>
      </c>
      <c r="F5433" s="10">
        <f t="shared" si="1"/>
        <v>1.333333333</v>
      </c>
      <c r="G5433" s="10">
        <f t="array" ref="G5433">index('Player ID'!C:C,match(E5433,'Player ID'!B:B,0))</f>
        <v>681982</v>
      </c>
    </row>
    <row r="5434">
      <c r="A5434" s="76">
        <v>45791.0</v>
      </c>
      <c r="B5434" s="1" t="s">
        <v>398</v>
      </c>
      <c r="C5434" s="1" t="s">
        <v>70</v>
      </c>
      <c r="D5434" s="1">
        <v>2.0</v>
      </c>
      <c r="E5434" s="1">
        <v>23335.0</v>
      </c>
      <c r="F5434" s="10">
        <f t="shared" si="1"/>
        <v>2</v>
      </c>
      <c r="G5434" s="10">
        <f t="array" ref="G5434">index('Player ID'!C:C,match(E5434,'Player ID'!B:B,0))</f>
        <v>676282</v>
      </c>
    </row>
    <row r="5435">
      <c r="A5435" s="76">
        <v>45791.0</v>
      </c>
      <c r="B5435" s="1" t="s">
        <v>519</v>
      </c>
      <c r="C5435" s="1" t="s">
        <v>70</v>
      </c>
      <c r="D5435" s="1">
        <v>0.1</v>
      </c>
      <c r="E5435" s="1">
        <v>25139.0</v>
      </c>
      <c r="F5435" s="10">
        <f t="shared" si="1"/>
        <v>0.3333333333</v>
      </c>
      <c r="G5435" s="10">
        <f t="array" ref="G5435">index('Player ID'!C:C,match(E5435,'Player ID'!B:B,0))</f>
        <v>682120</v>
      </c>
    </row>
    <row r="5436">
      <c r="A5436" s="76">
        <v>45791.0</v>
      </c>
      <c r="B5436" s="1" t="s">
        <v>279</v>
      </c>
      <c r="C5436" s="1" t="s">
        <v>14</v>
      </c>
      <c r="D5436" s="1">
        <v>0.1</v>
      </c>
      <c r="E5436" s="1">
        <v>25327.0</v>
      </c>
      <c r="F5436" s="10">
        <f t="shared" si="1"/>
        <v>0.3333333333</v>
      </c>
      <c r="G5436" s="10">
        <f t="array" ref="G5436">index('Player ID'!C:C,match(E5436,'Player ID'!B:B,0))</f>
        <v>682842</v>
      </c>
    </row>
    <row r="5437">
      <c r="A5437" s="76">
        <v>45791.0</v>
      </c>
      <c r="B5437" s="1" t="s">
        <v>112</v>
      </c>
      <c r="C5437" s="1" t="s">
        <v>14</v>
      </c>
      <c r="D5437" s="1">
        <v>1.0</v>
      </c>
      <c r="E5437" s="1">
        <v>25376.0</v>
      </c>
      <c r="F5437" s="10">
        <f t="shared" si="1"/>
        <v>1</v>
      </c>
      <c r="G5437" s="10">
        <f t="array" ref="G5437">index('Player ID'!C:C,match(E5437,'Player ID'!B:B,0))</f>
        <v>683232</v>
      </c>
    </row>
    <row r="5438">
      <c r="A5438" s="76">
        <v>45791.0</v>
      </c>
      <c r="B5438" s="1" t="s">
        <v>727</v>
      </c>
      <c r="C5438" s="1" t="s">
        <v>70</v>
      </c>
      <c r="D5438" s="1">
        <v>1.0</v>
      </c>
      <c r="E5438" s="1">
        <v>25703.0</v>
      </c>
      <c r="F5438" s="10">
        <f t="shared" si="1"/>
        <v>1</v>
      </c>
      <c r="G5438" s="10">
        <f t="array" ref="G5438">index('Player ID'!C:C,match(E5438,'Player ID'!B:B,0))</f>
        <v>687849</v>
      </c>
    </row>
    <row r="5439">
      <c r="A5439" s="76">
        <v>45791.0</v>
      </c>
      <c r="B5439" s="1" t="s">
        <v>418</v>
      </c>
      <c r="C5439" s="1" t="s">
        <v>14</v>
      </c>
      <c r="D5439" s="1">
        <v>0.1</v>
      </c>
      <c r="E5439" s="1">
        <v>27517.0</v>
      </c>
      <c r="F5439" s="10">
        <f t="shared" si="1"/>
        <v>0.3333333333</v>
      </c>
      <c r="G5439" s="10">
        <f t="array" ref="G5439">index('Player ID'!C:C,match(E5439,'Player ID'!B:B,0))</f>
        <v>657649</v>
      </c>
    </row>
    <row r="5440">
      <c r="A5440" s="76">
        <v>45791.0</v>
      </c>
      <c r="B5440" s="1" t="s">
        <v>376</v>
      </c>
      <c r="C5440" s="1" t="s">
        <v>70</v>
      </c>
      <c r="D5440" s="1">
        <v>5.0</v>
      </c>
      <c r="E5440" s="1">
        <v>30122.0</v>
      </c>
      <c r="F5440" s="10">
        <f t="shared" si="1"/>
        <v>5</v>
      </c>
      <c r="G5440" s="10">
        <f t="array" ref="G5440">index('Player ID'!C:C,match(E5440,'Player ID'!B:B,0))</f>
        <v>668909</v>
      </c>
    </row>
    <row r="5441">
      <c r="A5441" s="76">
        <v>45791.0</v>
      </c>
      <c r="B5441" s="1" t="s">
        <v>555</v>
      </c>
      <c r="C5441" s="1" t="s">
        <v>14</v>
      </c>
      <c r="D5441" s="1">
        <v>5.0</v>
      </c>
      <c r="E5441" s="1">
        <v>31475.0</v>
      </c>
      <c r="F5441" s="10">
        <f t="shared" si="1"/>
        <v>5</v>
      </c>
      <c r="G5441" s="10">
        <f t="array" ref="G5441">index('Player ID'!C:C,match(E5441,'Player ID'!B:B,0))</f>
        <v>701656</v>
      </c>
    </row>
    <row r="5442">
      <c r="A5442" s="76">
        <v>45791.0</v>
      </c>
      <c r="B5442" s="1" t="s">
        <v>103</v>
      </c>
      <c r="C5442" s="1" t="s">
        <v>64</v>
      </c>
      <c r="D5442" s="1">
        <v>1.0</v>
      </c>
      <c r="E5442" s="1">
        <v>10197.0</v>
      </c>
      <c r="F5442" s="10">
        <f t="shared" si="1"/>
        <v>1</v>
      </c>
      <c r="G5442" s="10">
        <f t="array" ref="G5442">index('Player ID'!C:C,match(E5442,'Player ID'!B:B,0))</f>
        <v>571946</v>
      </c>
    </row>
    <row r="5443">
      <c r="A5443" s="76">
        <v>45791.0</v>
      </c>
      <c r="B5443" s="1" t="s">
        <v>368</v>
      </c>
      <c r="C5443" s="1" t="s">
        <v>64</v>
      </c>
      <c r="D5443" s="1">
        <v>4.0</v>
      </c>
      <c r="E5443" s="1">
        <v>13164.0</v>
      </c>
      <c r="F5443" s="10">
        <f t="shared" si="1"/>
        <v>4</v>
      </c>
      <c r="G5443" s="10">
        <f t="array" ref="G5443">index('Player ID'!C:C,match(E5443,'Player ID'!B:B,0))</f>
        <v>593958</v>
      </c>
    </row>
    <row r="5444">
      <c r="A5444" s="76">
        <v>45791.0</v>
      </c>
      <c r="B5444" s="1" t="s">
        <v>219</v>
      </c>
      <c r="C5444" s="1" t="s">
        <v>64</v>
      </c>
      <c r="D5444" s="1">
        <v>1.0</v>
      </c>
      <c r="E5444" s="1">
        <v>16647.0</v>
      </c>
      <c r="F5444" s="10">
        <f t="shared" si="1"/>
        <v>1</v>
      </c>
      <c r="G5444" s="10">
        <f t="array" ref="G5444">index('Player ID'!C:C,match(E5444,'Player ID'!B:B,0))</f>
        <v>657044</v>
      </c>
    </row>
    <row r="5445">
      <c r="A5445" s="76">
        <v>45791.0</v>
      </c>
      <c r="B5445" s="1" t="s">
        <v>445</v>
      </c>
      <c r="C5445" s="1" t="s">
        <v>31</v>
      </c>
      <c r="D5445" s="1">
        <v>2.0</v>
      </c>
      <c r="E5445" s="1">
        <v>19618.0</v>
      </c>
      <c r="F5445" s="10">
        <f t="shared" si="1"/>
        <v>2</v>
      </c>
      <c r="G5445" s="10">
        <f t="array" ref="G5445">index('Player ID'!C:C,match(E5445,'Player ID'!B:B,0))</f>
        <v>663855</v>
      </c>
    </row>
    <row r="5446">
      <c r="A5446" s="76">
        <v>45791.0</v>
      </c>
      <c r="B5446" s="1" t="s">
        <v>403</v>
      </c>
      <c r="C5446" s="1" t="s">
        <v>31</v>
      </c>
      <c r="D5446" s="1">
        <v>1.0</v>
      </c>
      <c r="E5446" s="1">
        <v>20423.0</v>
      </c>
      <c r="F5446" s="10">
        <f t="shared" si="1"/>
        <v>1</v>
      </c>
      <c r="G5446" s="10">
        <f t="array" ref="G5446">index('Player ID'!C:C,match(E5446,'Player ID'!B:B,0))</f>
        <v>676254</v>
      </c>
    </row>
    <row r="5447">
      <c r="A5447" s="76">
        <v>45791.0</v>
      </c>
      <c r="B5447" s="1" t="s">
        <v>655</v>
      </c>
      <c r="C5447" s="1" t="s">
        <v>31</v>
      </c>
      <c r="D5447" s="1">
        <v>1.0</v>
      </c>
      <c r="E5447" s="1">
        <v>26252.0</v>
      </c>
      <c r="F5447" s="10">
        <f t="shared" si="1"/>
        <v>1</v>
      </c>
      <c r="G5447" s="10">
        <f t="array" ref="G5447">index('Player ID'!C:C,match(E5447,'Player ID'!B:B,0))</f>
        <v>669062</v>
      </c>
    </row>
    <row r="5448">
      <c r="A5448" s="76">
        <v>45791.0</v>
      </c>
      <c r="B5448" s="1" t="s">
        <v>93</v>
      </c>
      <c r="C5448" s="1" t="s">
        <v>64</v>
      </c>
      <c r="D5448" s="1">
        <v>3.0</v>
      </c>
      <c r="E5448" s="1">
        <v>26253.0</v>
      </c>
      <c r="F5448" s="10">
        <f t="shared" si="1"/>
        <v>3</v>
      </c>
      <c r="G5448" s="10">
        <f t="array" ref="G5448">index('Player ID'!C:C,match(E5448,'Player ID'!B:B,0))</f>
        <v>669194</v>
      </c>
    </row>
    <row r="5449">
      <c r="A5449" s="76">
        <v>45791.0</v>
      </c>
      <c r="B5449" s="1" t="s">
        <v>276</v>
      </c>
      <c r="C5449" s="1" t="s">
        <v>31</v>
      </c>
      <c r="D5449" s="1">
        <v>2.0</v>
      </c>
      <c r="E5449" s="1">
        <v>30226.0</v>
      </c>
      <c r="F5449" s="10">
        <f t="shared" si="1"/>
        <v>2</v>
      </c>
      <c r="G5449" s="10">
        <f t="array" ref="G5449">index('Player ID'!C:C,match(E5449,'Player ID'!B:B,0))</f>
        <v>702352</v>
      </c>
    </row>
    <row r="5450">
      <c r="A5450" s="76">
        <v>45791.0</v>
      </c>
      <c r="B5450" s="1" t="s">
        <v>514</v>
      </c>
      <c r="C5450" s="1" t="s">
        <v>31</v>
      </c>
      <c r="D5450" s="1">
        <v>3.0</v>
      </c>
      <c r="E5450" s="1">
        <v>31635.0</v>
      </c>
      <c r="F5450" s="10">
        <f t="shared" si="1"/>
        <v>3</v>
      </c>
      <c r="G5450" s="10">
        <f t="array" ref="G5450">index('Player ID'!C:C,match(E5450,'Player ID'!B:B,0))</f>
        <v>806185</v>
      </c>
    </row>
    <row r="5451">
      <c r="A5451" s="76">
        <v>45791.0</v>
      </c>
      <c r="B5451" s="1" t="s">
        <v>422</v>
      </c>
      <c r="C5451" s="1" t="s">
        <v>58</v>
      </c>
      <c r="D5451" s="1">
        <v>1.0</v>
      </c>
      <c r="E5451" s="1">
        <v>7048.0</v>
      </c>
      <c r="F5451" s="10">
        <f t="shared" si="1"/>
        <v>1</v>
      </c>
      <c r="G5451" s="10">
        <f t="array" ref="G5451">index('Player ID'!C:C,match(E5451,'Player ID'!B:B,0))</f>
        <v>518585</v>
      </c>
    </row>
    <row r="5452">
      <c r="A5452" s="76">
        <v>45791.0</v>
      </c>
      <c r="B5452" s="1" t="s">
        <v>730</v>
      </c>
      <c r="C5452" s="1" t="s">
        <v>58</v>
      </c>
      <c r="D5452" s="1">
        <v>0.2</v>
      </c>
      <c r="E5452" s="1">
        <v>10058.0</v>
      </c>
      <c r="F5452" s="10">
        <f t="shared" si="1"/>
        <v>0.6666666667</v>
      </c>
      <c r="G5452" s="10">
        <f t="array" ref="G5452">index('Player ID'!C:C,match(E5452,'Player ID'!B:B,0))</f>
        <v>554431</v>
      </c>
    </row>
    <row r="5453">
      <c r="A5453" s="76">
        <v>45791.0</v>
      </c>
      <c r="B5453" s="1" t="s">
        <v>272</v>
      </c>
      <c r="C5453" s="1" t="s">
        <v>37</v>
      </c>
      <c r="D5453" s="1">
        <v>6.0</v>
      </c>
      <c r="E5453" s="1">
        <v>15689.0</v>
      </c>
      <c r="F5453" s="10">
        <f t="shared" si="1"/>
        <v>6</v>
      </c>
      <c r="G5453" s="10">
        <f t="array" ref="G5453">index('Player ID'!C:C,match(E5453,'Player ID'!B:B,0))</f>
        <v>622491</v>
      </c>
    </row>
    <row r="5454">
      <c r="A5454" s="76">
        <v>45791.0</v>
      </c>
      <c r="B5454" s="1" t="s">
        <v>225</v>
      </c>
      <c r="C5454" s="1" t="s">
        <v>58</v>
      </c>
      <c r="D5454" s="1">
        <v>1.0</v>
      </c>
      <c r="E5454" s="1">
        <v>16918.0</v>
      </c>
      <c r="F5454" s="10">
        <f t="shared" si="1"/>
        <v>1</v>
      </c>
      <c r="G5454" s="10">
        <f t="array" ref="G5454">index('Player ID'!C:C,match(E5454,'Player ID'!B:B,0))</f>
        <v>596133</v>
      </c>
    </row>
    <row r="5455">
      <c r="A5455" s="76">
        <v>45791.0</v>
      </c>
      <c r="B5455" s="1" t="s">
        <v>53</v>
      </c>
      <c r="C5455" s="1" t="s">
        <v>37</v>
      </c>
      <c r="D5455" s="1">
        <v>1.0</v>
      </c>
      <c r="E5455" s="1">
        <v>17170.0</v>
      </c>
      <c r="F5455" s="10">
        <f t="shared" si="1"/>
        <v>1</v>
      </c>
      <c r="G5455" s="10">
        <f t="array" ref="G5455">index('Player ID'!C:C,match(E5455,'Player ID'!B:B,0))</f>
        <v>642100</v>
      </c>
    </row>
    <row r="5456">
      <c r="A5456" s="76">
        <v>45791.0</v>
      </c>
      <c r="B5456" s="1" t="s">
        <v>520</v>
      </c>
      <c r="C5456" s="1" t="s">
        <v>58</v>
      </c>
      <c r="D5456" s="1">
        <v>1.1</v>
      </c>
      <c r="E5456" s="1">
        <v>19261.0</v>
      </c>
      <c r="F5456" s="10">
        <f t="shared" si="1"/>
        <v>1.333333333</v>
      </c>
      <c r="G5456" s="10">
        <f t="array" ref="G5456">index('Player ID'!C:C,match(E5456,'Player ID'!B:B,0))</f>
        <v>641656</v>
      </c>
    </row>
    <row r="5457">
      <c r="A5457" s="76">
        <v>45791.0</v>
      </c>
      <c r="B5457" s="1" t="s">
        <v>101</v>
      </c>
      <c r="C5457" s="1" t="s">
        <v>37</v>
      </c>
      <c r="D5457" s="1">
        <v>1.0</v>
      </c>
      <c r="E5457" s="1">
        <v>22915.0</v>
      </c>
      <c r="F5457" s="10">
        <f t="shared" si="1"/>
        <v>1</v>
      </c>
      <c r="G5457" s="10">
        <f t="array" ref="G5457">index('Player ID'!C:C,match(E5457,'Player ID'!B:B,0))</f>
        <v>672841</v>
      </c>
    </row>
    <row r="5458">
      <c r="A5458" s="76">
        <v>45791.0</v>
      </c>
      <c r="B5458" s="1" t="s">
        <v>683</v>
      </c>
      <c r="C5458" s="1" t="s">
        <v>37</v>
      </c>
      <c r="D5458" s="1">
        <v>1.0</v>
      </c>
      <c r="E5458" s="1">
        <v>23307.0</v>
      </c>
      <c r="F5458" s="10">
        <f t="shared" si="1"/>
        <v>1</v>
      </c>
      <c r="G5458" s="10">
        <f t="array" ref="G5458">index('Player ID'!C:C,match(E5458,'Player ID'!B:B,0))</f>
        <v>676092</v>
      </c>
    </row>
    <row r="5459">
      <c r="A5459" s="76">
        <v>45791.0</v>
      </c>
      <c r="B5459" s="1" t="s">
        <v>344</v>
      </c>
      <c r="C5459" s="1" t="s">
        <v>58</v>
      </c>
      <c r="D5459" s="1">
        <v>5.0</v>
      </c>
      <c r="E5459" s="1">
        <v>30182.0</v>
      </c>
      <c r="F5459" s="10">
        <f t="shared" si="1"/>
        <v>5</v>
      </c>
      <c r="G5459" s="10">
        <f t="array" ref="G5459">index('Player ID'!C:C,match(E5459,'Player ID'!B:B,0))</f>
        <v>701542</v>
      </c>
    </row>
    <row r="5460">
      <c r="A5460" s="76">
        <v>45791.0</v>
      </c>
      <c r="B5460" s="1" t="s">
        <v>474</v>
      </c>
      <c r="C5460" s="1" t="s">
        <v>68</v>
      </c>
      <c r="D5460" s="1">
        <v>3.0</v>
      </c>
      <c r="E5460" s="1">
        <v>4676.0</v>
      </c>
      <c r="F5460" s="10">
        <f t="shared" si="1"/>
        <v>3</v>
      </c>
      <c r="G5460" s="10">
        <f t="array" ref="G5460">index('Player ID'!C:C,match(E5460,'Player ID'!B:B,0))</f>
        <v>450203</v>
      </c>
    </row>
    <row r="5461">
      <c r="A5461" s="76">
        <v>45791.0</v>
      </c>
      <c r="B5461" s="1" t="s">
        <v>146</v>
      </c>
      <c r="C5461" s="1" t="s">
        <v>16</v>
      </c>
      <c r="D5461" s="1">
        <v>0.2</v>
      </c>
      <c r="E5461" s="1">
        <v>15145.0</v>
      </c>
      <c r="F5461" s="10">
        <f t="shared" si="1"/>
        <v>0.6666666667</v>
      </c>
      <c r="G5461" s="10">
        <f t="array" ref="G5461">index('Player ID'!C:C,match(E5461,'Player ID'!B:B,0))</f>
        <v>623437</v>
      </c>
    </row>
    <row r="5462">
      <c r="A5462" s="76">
        <v>45791.0</v>
      </c>
      <c r="B5462" s="1" t="s">
        <v>397</v>
      </c>
      <c r="C5462" s="1" t="s">
        <v>16</v>
      </c>
      <c r="D5462" s="1">
        <v>2.0</v>
      </c>
      <c r="E5462" s="1">
        <v>19459.0</v>
      </c>
      <c r="F5462" s="10">
        <f t="shared" si="1"/>
        <v>2</v>
      </c>
      <c r="G5462" s="10">
        <f t="array" ref="G5462">index('Player ID'!C:C,match(E5462,'Player ID'!B:B,0))</f>
        <v>660896</v>
      </c>
    </row>
    <row r="5463">
      <c r="A5463" s="76">
        <v>45791.0</v>
      </c>
      <c r="B5463" s="1" t="s">
        <v>675</v>
      </c>
      <c r="C5463" s="1" t="s">
        <v>68</v>
      </c>
      <c r="D5463" s="1">
        <v>1.0</v>
      </c>
      <c r="E5463" s="1">
        <v>19614.0</v>
      </c>
      <c r="F5463" s="10">
        <f t="shared" si="1"/>
        <v>1</v>
      </c>
      <c r="G5463" s="10">
        <f t="array" ref="G5463">index('Player ID'!C:C,match(E5463,'Player ID'!B:B,0))</f>
        <v>672335</v>
      </c>
    </row>
    <row r="5464">
      <c r="A5464" s="76">
        <v>45791.0</v>
      </c>
      <c r="B5464" s="1" t="s">
        <v>433</v>
      </c>
      <c r="C5464" s="1" t="s">
        <v>68</v>
      </c>
      <c r="D5464" s="1">
        <v>1.0</v>
      </c>
      <c r="E5464" s="1">
        <v>19677.0</v>
      </c>
      <c r="F5464" s="10">
        <f t="shared" si="1"/>
        <v>1</v>
      </c>
      <c r="G5464" s="10">
        <f t="array" ref="G5464">index('Player ID'!C:C,match(E5464,'Player ID'!B:B,0))</f>
        <v>642397</v>
      </c>
    </row>
    <row r="5465">
      <c r="A5465" s="76">
        <v>45791.0</v>
      </c>
      <c r="B5465" s="1" t="s">
        <v>237</v>
      </c>
      <c r="C5465" s="1" t="s">
        <v>16</v>
      </c>
      <c r="D5465" s="1">
        <v>1.0</v>
      </c>
      <c r="E5465" s="1">
        <v>21461.0</v>
      </c>
      <c r="F5465" s="10">
        <f t="shared" si="1"/>
        <v>1</v>
      </c>
      <c r="G5465" s="10">
        <f t="array" ref="G5465">index('Player ID'!C:C,match(E5465,'Player ID'!B:B,0))</f>
        <v>663485</v>
      </c>
    </row>
    <row r="5466">
      <c r="A5466" s="76">
        <v>45791.0</v>
      </c>
      <c r="B5466" s="1" t="s">
        <v>490</v>
      </c>
      <c r="C5466" s="1" t="s">
        <v>16</v>
      </c>
      <c r="D5466" s="1">
        <v>4.0</v>
      </c>
      <c r="E5466" s="1">
        <v>24494.0</v>
      </c>
      <c r="F5466" s="10">
        <f t="shared" si="1"/>
        <v>4</v>
      </c>
      <c r="G5466" s="10">
        <f t="array" ref="G5466">index('Player ID'!C:C,match(E5466,'Player ID'!B:B,0))</f>
        <v>680573</v>
      </c>
    </row>
    <row r="5467">
      <c r="A5467" s="76">
        <v>45791.0</v>
      </c>
      <c r="B5467" s="1" t="s">
        <v>333</v>
      </c>
      <c r="C5467" s="1" t="s">
        <v>16</v>
      </c>
      <c r="D5467" s="1">
        <v>1.1</v>
      </c>
      <c r="E5467" s="1">
        <v>24993.0</v>
      </c>
      <c r="F5467" s="10">
        <f t="shared" si="1"/>
        <v>1.333333333</v>
      </c>
      <c r="G5467" s="10">
        <f t="array" ref="G5467">index('Player ID'!C:C,match(E5467,'Player ID'!B:B,0))</f>
        <v>681892</v>
      </c>
    </row>
    <row r="5468">
      <c r="A5468" s="76">
        <v>45791.0</v>
      </c>
      <c r="B5468" s="1" t="s">
        <v>235</v>
      </c>
      <c r="C5468" s="1" t="s">
        <v>68</v>
      </c>
      <c r="D5468" s="1">
        <v>1.0</v>
      </c>
      <c r="E5468" s="1">
        <v>25911.0</v>
      </c>
      <c r="F5468" s="10">
        <f t="shared" si="1"/>
        <v>1</v>
      </c>
      <c r="G5468" s="10">
        <f t="array" ref="G5468">index('Player ID'!C:C,match(E5468,'Player ID'!B:B,0))</f>
        <v>666974</v>
      </c>
    </row>
    <row r="5469">
      <c r="A5469" s="76">
        <v>45791.0</v>
      </c>
      <c r="B5469" s="1" t="s">
        <v>621</v>
      </c>
      <c r="C5469" s="1" t="s">
        <v>68</v>
      </c>
      <c r="D5469" s="1">
        <v>3.0</v>
      </c>
      <c r="E5469" s="1">
        <v>29866.0</v>
      </c>
      <c r="F5469" s="10">
        <f t="shared" si="1"/>
        <v>3</v>
      </c>
      <c r="G5469" s="10">
        <f t="array" ref="G5469">index('Player ID'!C:C,match(E5469,'Player ID'!B:B,0))</f>
        <v>694646</v>
      </c>
    </row>
    <row r="5470">
      <c r="A5470" s="76">
        <v>45791.0</v>
      </c>
      <c r="B5470" s="1" t="s">
        <v>757</v>
      </c>
      <c r="C5470" s="1" t="s">
        <v>22</v>
      </c>
      <c r="D5470" s="1">
        <v>1.0</v>
      </c>
      <c r="E5470" s="1">
        <v>3548.0</v>
      </c>
      <c r="F5470" s="10">
        <f t="shared" si="1"/>
        <v>1</v>
      </c>
      <c r="G5470" s="10">
        <f t="array" ref="G5470">index('Player ID'!C:C,match(E5470,'Player ID'!B:B,0))</f>
        <v>521230</v>
      </c>
    </row>
    <row r="5471">
      <c r="A5471" s="76">
        <v>45791.0</v>
      </c>
      <c r="B5471" s="1" t="s">
        <v>230</v>
      </c>
      <c r="C5471" s="1" t="s">
        <v>22</v>
      </c>
      <c r="D5471" s="1">
        <v>1.0</v>
      </c>
      <c r="E5471" s="1">
        <v>4301.0</v>
      </c>
      <c r="F5471" s="10">
        <f t="shared" si="1"/>
        <v>1</v>
      </c>
      <c r="G5471" s="10">
        <f t="array" ref="G5471">index('Player ID'!C:C,match(E5471,'Player ID'!B:B,0))</f>
        <v>458677</v>
      </c>
    </row>
    <row r="5472">
      <c r="A5472" s="76">
        <v>45791.0</v>
      </c>
      <c r="B5472" s="1" t="s">
        <v>41</v>
      </c>
      <c r="C5472" s="1" t="s">
        <v>22</v>
      </c>
      <c r="D5472" s="1">
        <v>0.2</v>
      </c>
      <c r="E5472" s="1">
        <v>10233.0</v>
      </c>
      <c r="F5472" s="10">
        <f t="shared" si="1"/>
        <v>0.6666666667</v>
      </c>
      <c r="G5472" s="10">
        <f t="array" ref="G5472">index('Player ID'!C:C,match(E5472,'Player ID'!B:B,0))</f>
        <v>547973</v>
      </c>
    </row>
    <row r="5473">
      <c r="A5473" s="76">
        <v>45791.0</v>
      </c>
      <c r="B5473" s="1" t="s">
        <v>439</v>
      </c>
      <c r="C5473" s="1" t="s">
        <v>62</v>
      </c>
      <c r="D5473" s="1">
        <v>1.2</v>
      </c>
      <c r="E5473" s="1">
        <v>11384.0</v>
      </c>
      <c r="F5473" s="10">
        <f t="shared" si="1"/>
        <v>1.666666667</v>
      </c>
      <c r="G5473" s="10">
        <f t="array" ref="G5473">index('Player ID'!C:C,match(E5473,'Player ID'!B:B,0))</f>
        <v>592454</v>
      </c>
    </row>
    <row r="5474">
      <c r="A5474" s="76">
        <v>45791.0</v>
      </c>
      <c r="B5474" s="1" t="s">
        <v>131</v>
      </c>
      <c r="C5474" s="1" t="s">
        <v>62</v>
      </c>
      <c r="D5474" s="1">
        <v>1.0</v>
      </c>
      <c r="E5474" s="1">
        <v>19769.0</v>
      </c>
      <c r="F5474" s="10">
        <f t="shared" si="1"/>
        <v>1</v>
      </c>
      <c r="G5474" s="10">
        <f t="array" ref="G5474">index('Player ID'!C:C,match(E5474,'Player ID'!B:B,0))</f>
        <v>676684</v>
      </c>
    </row>
    <row r="5475">
      <c r="A5475" s="76">
        <v>45791.0</v>
      </c>
      <c r="B5475" s="1" t="s">
        <v>84</v>
      </c>
      <c r="C5475" s="1" t="s">
        <v>62</v>
      </c>
      <c r="D5475" s="1">
        <v>6.1</v>
      </c>
      <c r="E5475" s="1">
        <v>22267.0</v>
      </c>
      <c r="F5475" s="10">
        <f t="shared" si="1"/>
        <v>6.333333333</v>
      </c>
      <c r="G5475" s="10">
        <f t="array" ref="G5475">index('Player ID'!C:C,match(E5475,'Player ID'!B:B,0))</f>
        <v>669373</v>
      </c>
    </row>
    <row r="5476">
      <c r="A5476" s="76">
        <v>45791.0</v>
      </c>
      <c r="B5476" s="1" t="s">
        <v>645</v>
      </c>
      <c r="C5476" s="1" t="s">
        <v>22</v>
      </c>
      <c r="D5476" s="1">
        <v>1.0</v>
      </c>
      <c r="E5476" s="1">
        <v>25648.0</v>
      </c>
      <c r="F5476" s="10">
        <f t="shared" si="1"/>
        <v>1</v>
      </c>
      <c r="G5476" s="10">
        <f t="array" ref="G5476">index('Player ID'!C:C,match(E5476,'Player ID'!B:B,0))</f>
        <v>686580</v>
      </c>
    </row>
    <row r="5477">
      <c r="A5477" s="76">
        <v>45791.0</v>
      </c>
      <c r="B5477" s="1" t="s">
        <v>82</v>
      </c>
      <c r="C5477" s="1" t="s">
        <v>62</v>
      </c>
      <c r="D5477" s="1">
        <v>0.0</v>
      </c>
      <c r="E5477" s="1">
        <v>26231.0</v>
      </c>
      <c r="F5477" s="10">
        <f t="shared" si="1"/>
        <v>0</v>
      </c>
      <c r="G5477" s="10">
        <f t="array" ref="G5477">index('Player ID'!C:C,match(E5477,'Player ID'!B:B,0))</f>
        <v>663947</v>
      </c>
    </row>
    <row r="5478">
      <c r="A5478" s="76">
        <v>45791.0</v>
      </c>
      <c r="B5478" s="1" t="s">
        <v>143</v>
      </c>
      <c r="C5478" s="1" t="s">
        <v>22</v>
      </c>
      <c r="D5478" s="1">
        <v>5.0</v>
      </c>
      <c r="E5478" s="1">
        <v>30240.0</v>
      </c>
      <c r="F5478" s="10">
        <f t="shared" si="1"/>
        <v>5</v>
      </c>
      <c r="G5478" s="10">
        <f t="array" ref="G5478">index('Player ID'!C:C,match(E5478,'Player ID'!B:B,0))</f>
        <v>690928</v>
      </c>
    </row>
    <row r="5479">
      <c r="A5479" s="76">
        <v>45791.0</v>
      </c>
      <c r="B5479" s="1" t="s">
        <v>673</v>
      </c>
      <c r="C5479" s="1" t="s">
        <v>40</v>
      </c>
      <c r="D5479" s="1">
        <v>1.0</v>
      </c>
      <c r="E5479" s="1">
        <v>12095.0</v>
      </c>
      <c r="F5479" s="10">
        <f t="shared" si="1"/>
        <v>1</v>
      </c>
      <c r="G5479" s="10">
        <f t="array" ref="G5479">index('Player ID'!C:C,match(E5479,'Player ID'!B:B,0))</f>
        <v>554340</v>
      </c>
    </row>
    <row r="5480">
      <c r="A5480" s="76">
        <v>45791.0</v>
      </c>
      <c r="B5480" s="1" t="s">
        <v>456</v>
      </c>
      <c r="C5480" s="1" t="s">
        <v>40</v>
      </c>
      <c r="D5480" s="1">
        <v>5.2</v>
      </c>
      <c r="E5480" s="1">
        <v>12304.0</v>
      </c>
      <c r="F5480" s="10">
        <f t="shared" si="1"/>
        <v>5.666666667</v>
      </c>
      <c r="G5480" s="10">
        <f t="array" ref="G5480">index('Player ID'!C:C,match(E5480,'Player ID'!B:B,0))</f>
        <v>605135</v>
      </c>
    </row>
    <row r="5481">
      <c r="A5481" s="76">
        <v>45791.0</v>
      </c>
      <c r="B5481" s="1" t="s">
        <v>395</v>
      </c>
      <c r="C5481" s="1" t="s">
        <v>40</v>
      </c>
      <c r="D5481" s="1">
        <v>1.1</v>
      </c>
      <c r="E5481" s="1">
        <v>21574.0</v>
      </c>
      <c r="F5481" s="10">
        <f t="shared" si="1"/>
        <v>1.333333333</v>
      </c>
      <c r="G5481" s="10">
        <f t="array" ref="G5481">index('Player ID'!C:C,match(E5481,'Player ID'!B:B,0))</f>
        <v>663893</v>
      </c>
    </row>
    <row r="5482">
      <c r="A5482" s="76">
        <v>45791.0</v>
      </c>
      <c r="B5482" s="1" t="s">
        <v>129</v>
      </c>
      <c r="C5482" s="1" t="s">
        <v>54</v>
      </c>
      <c r="D5482" s="1">
        <v>6.0</v>
      </c>
      <c r="E5482" s="1">
        <v>26221.0</v>
      </c>
      <c r="F5482" s="10">
        <f t="shared" si="1"/>
        <v>6</v>
      </c>
      <c r="G5482" s="10">
        <f t="array" ref="G5482">index('Player ID'!C:C,match(E5482,'Player ID'!B:B,0))</f>
        <v>686752</v>
      </c>
    </row>
    <row r="5483">
      <c r="A5483" s="76">
        <v>45791.0</v>
      </c>
      <c r="B5483" s="1" t="s">
        <v>257</v>
      </c>
      <c r="C5483" s="1" t="s">
        <v>54</v>
      </c>
      <c r="D5483" s="1">
        <v>2.0</v>
      </c>
      <c r="E5483" s="1">
        <v>27626.0</v>
      </c>
      <c r="F5483" s="10">
        <f t="shared" si="1"/>
        <v>2</v>
      </c>
      <c r="G5483" s="10">
        <f t="array" ref="G5483">index('Player ID'!C:C,match(E5483,'Player ID'!B:B,0))</f>
        <v>679358</v>
      </c>
    </row>
    <row r="5484">
      <c r="A5484" s="76">
        <v>45791.0</v>
      </c>
      <c r="B5484" s="1" t="s">
        <v>427</v>
      </c>
      <c r="C5484" s="1" t="s">
        <v>40</v>
      </c>
      <c r="D5484" s="1">
        <v>1.0</v>
      </c>
      <c r="E5484" s="1">
        <v>33838.0</v>
      </c>
      <c r="F5484" s="10">
        <f t="shared" si="1"/>
        <v>1</v>
      </c>
      <c r="G5484" s="10">
        <f t="array" ref="G5484">index('Player ID'!C:C,match(E5484,'Player ID'!B:B,0))</f>
        <v>684320</v>
      </c>
    </row>
    <row r="5485">
      <c r="A5485" s="76">
        <v>45791.0</v>
      </c>
      <c r="B5485" s="1" t="s">
        <v>269</v>
      </c>
      <c r="C5485" s="1" t="s">
        <v>51</v>
      </c>
      <c r="D5485" s="1">
        <v>6.0</v>
      </c>
      <c r="E5485" s="1">
        <v>13649.0</v>
      </c>
      <c r="F5485" s="10">
        <f t="shared" si="1"/>
        <v>6</v>
      </c>
      <c r="G5485" s="10">
        <f t="array" ref="G5485">index('Player ID'!C:C,match(E5485,'Player ID'!B:B,0))</f>
        <v>605280</v>
      </c>
    </row>
    <row r="5486">
      <c r="A5486" s="76">
        <v>45791.0</v>
      </c>
      <c r="B5486" s="1" t="s">
        <v>825</v>
      </c>
      <c r="C5486" s="1" t="s">
        <v>51</v>
      </c>
      <c r="D5486" s="1">
        <v>2.0</v>
      </c>
      <c r="E5486" s="1">
        <v>17490.0</v>
      </c>
      <c r="F5486" s="10">
        <f t="shared" si="1"/>
        <v>2</v>
      </c>
      <c r="G5486" s="10">
        <f t="array" ref="G5486">index('Player ID'!C:C,match(E5486,'Player ID'!B:B,0))</f>
        <v>650893</v>
      </c>
    </row>
    <row r="5487">
      <c r="A5487" s="76">
        <v>45791.0</v>
      </c>
      <c r="B5487" s="1" t="s">
        <v>716</v>
      </c>
      <c r="C5487" s="1" t="s">
        <v>60</v>
      </c>
      <c r="D5487" s="1">
        <v>1.0</v>
      </c>
      <c r="E5487" s="1">
        <v>17610.0</v>
      </c>
      <c r="F5487" s="10">
        <f t="shared" si="1"/>
        <v>1</v>
      </c>
      <c r="G5487" s="10">
        <f t="array" ref="G5487">index('Player ID'!C:C,match(E5487,'Player ID'!B:B,0))</f>
        <v>663432</v>
      </c>
    </row>
    <row r="5488">
      <c r="A5488" s="76">
        <v>45791.0</v>
      </c>
      <c r="B5488" s="1" t="s">
        <v>217</v>
      </c>
      <c r="C5488" s="1" t="s">
        <v>60</v>
      </c>
      <c r="D5488" s="1">
        <v>1.0</v>
      </c>
      <c r="E5488" s="1">
        <v>17878.0</v>
      </c>
      <c r="F5488" s="10">
        <f t="shared" si="1"/>
        <v>1</v>
      </c>
      <c r="G5488" s="10">
        <f t="array" ref="G5488">index('Player ID'!C:C,match(E5488,'Player ID'!B:B,0))</f>
        <v>642701</v>
      </c>
    </row>
    <row r="5489">
      <c r="A5489" s="76">
        <v>45791.0</v>
      </c>
      <c r="B5489" s="1" t="s">
        <v>183</v>
      </c>
      <c r="C5489" s="1" t="s">
        <v>60</v>
      </c>
      <c r="D5489" s="1">
        <v>1.0</v>
      </c>
      <c r="E5489" s="1">
        <v>19569.0</v>
      </c>
      <c r="F5489" s="10">
        <f t="shared" si="1"/>
        <v>1</v>
      </c>
      <c r="G5489" s="10">
        <f t="array" ref="G5489">index('Player ID'!C:C,match(E5489,'Player ID'!B:B,0))</f>
        <v>670280</v>
      </c>
    </row>
    <row r="5490">
      <c r="A5490" s="76">
        <v>45791.0</v>
      </c>
      <c r="B5490" s="1" t="s">
        <v>220</v>
      </c>
      <c r="C5490" s="1" t="s">
        <v>60</v>
      </c>
      <c r="D5490" s="1">
        <v>3.2</v>
      </c>
      <c r="E5490" s="1">
        <v>20070.0</v>
      </c>
      <c r="F5490" s="10">
        <f t="shared" si="1"/>
        <v>3.666666667</v>
      </c>
      <c r="G5490" s="10">
        <f t="array" ref="G5490">index('Player ID'!C:C,match(E5490,'Player ID'!B:B,0))</f>
        <v>663559</v>
      </c>
    </row>
    <row r="5491">
      <c r="A5491" s="76">
        <v>45791.0</v>
      </c>
      <c r="B5491" s="1" t="s">
        <v>463</v>
      </c>
      <c r="C5491" s="1" t="s">
        <v>60</v>
      </c>
      <c r="D5491" s="1">
        <v>2.1</v>
      </c>
      <c r="E5491" s="1">
        <v>21544.0</v>
      </c>
      <c r="F5491" s="10">
        <f t="shared" si="1"/>
        <v>2.333333333</v>
      </c>
      <c r="G5491" s="10">
        <f t="array" ref="G5491">index('Player ID'!C:C,match(E5491,'Player ID'!B:B,0))</f>
        <v>663767</v>
      </c>
    </row>
    <row r="5492">
      <c r="A5492" s="76">
        <v>45791.0</v>
      </c>
      <c r="B5492" s="1" t="s">
        <v>829</v>
      </c>
      <c r="C5492" s="1" t="s">
        <v>51</v>
      </c>
      <c r="D5492" s="1">
        <v>1.0</v>
      </c>
      <c r="E5492" s="1">
        <v>23055.0</v>
      </c>
      <c r="F5492" s="10">
        <f t="shared" si="1"/>
        <v>1</v>
      </c>
      <c r="G5492" s="10">
        <f t="array" ref="G5492">index('Player ID'!C:C,match(E5492,'Player ID'!B:B,0))</f>
        <v>673380</v>
      </c>
    </row>
    <row r="5493">
      <c r="A5493" s="76">
        <v>45791.0</v>
      </c>
      <c r="B5493" s="1" t="s">
        <v>417</v>
      </c>
      <c r="C5493" s="1" t="s">
        <v>66</v>
      </c>
      <c r="D5493" s="1">
        <v>1.0</v>
      </c>
      <c r="E5493" s="1">
        <v>13942.0</v>
      </c>
      <c r="F5493" s="10">
        <f t="shared" si="1"/>
        <v>1</v>
      </c>
      <c r="G5493" s="10">
        <f t="array" ref="G5493">index('Player ID'!C:C,match(E5493,'Player ID'!B:B,0))</f>
        <v>608718</v>
      </c>
    </row>
    <row r="5494">
      <c r="A5494" s="76">
        <v>45791.0</v>
      </c>
      <c r="B5494" s="1" t="s">
        <v>475</v>
      </c>
      <c r="C5494" s="1" t="s">
        <v>66</v>
      </c>
      <c r="D5494" s="1">
        <v>1.2</v>
      </c>
      <c r="E5494" s="1">
        <v>14993.0</v>
      </c>
      <c r="F5494" s="10">
        <f t="shared" si="1"/>
        <v>1.666666667</v>
      </c>
      <c r="G5494" s="10">
        <f t="array" ref="G5494">index('Player ID'!C:C,match(E5494,'Player ID'!B:B,0))</f>
        <v>605130</v>
      </c>
    </row>
    <row r="5495">
      <c r="A5495" s="76">
        <v>45791.0</v>
      </c>
      <c r="B5495" s="1" t="s">
        <v>116</v>
      </c>
      <c r="C5495" s="1" t="s">
        <v>78</v>
      </c>
      <c r="D5495" s="1">
        <v>0.1</v>
      </c>
      <c r="E5495" s="1">
        <v>20353.0</v>
      </c>
      <c r="F5495" s="10">
        <f t="shared" si="1"/>
        <v>0.3333333333</v>
      </c>
      <c r="G5495" s="10">
        <f t="array" ref="G5495">index('Player ID'!C:C,match(E5495,'Player ID'!B:B,0))</f>
        <v>621051</v>
      </c>
    </row>
    <row r="5496">
      <c r="A5496" s="76">
        <v>45791.0</v>
      </c>
      <c r="B5496" s="1" t="s">
        <v>335</v>
      </c>
      <c r="C5496" s="1" t="s">
        <v>78</v>
      </c>
      <c r="D5496" s="1">
        <v>6.2</v>
      </c>
      <c r="E5496" s="1">
        <v>21448.0</v>
      </c>
      <c r="F5496" s="10">
        <f t="shared" si="1"/>
        <v>6.666666667</v>
      </c>
      <c r="G5496" s="10">
        <f t="array" ref="G5496">index('Player ID'!C:C,match(E5496,'Player ID'!B:B,0))</f>
        <v>663436</v>
      </c>
    </row>
    <row r="5497">
      <c r="A5497" s="76">
        <v>45791.0</v>
      </c>
      <c r="B5497" s="1" t="s">
        <v>518</v>
      </c>
      <c r="C5497" s="1" t="s">
        <v>66</v>
      </c>
      <c r="D5497" s="1">
        <v>1.0</v>
      </c>
      <c r="E5497" s="1">
        <v>24581.0</v>
      </c>
      <c r="F5497" s="10">
        <f t="shared" si="1"/>
        <v>1</v>
      </c>
      <c r="G5497" s="10">
        <f t="array" ref="G5497">index('Player ID'!C:C,match(E5497,'Player ID'!B:B,0))</f>
        <v>680689</v>
      </c>
    </row>
    <row r="5498">
      <c r="A5498" s="76">
        <v>45791.0</v>
      </c>
      <c r="B5498" s="1" t="s">
        <v>194</v>
      </c>
      <c r="C5498" s="1" t="s">
        <v>66</v>
      </c>
      <c r="D5498" s="1">
        <v>5.1</v>
      </c>
      <c r="E5498" s="1">
        <v>26378.0</v>
      </c>
      <c r="F5498" s="10">
        <f t="shared" si="1"/>
        <v>5.333333333</v>
      </c>
      <c r="G5498" s="10">
        <f t="array" ref="G5498">index('Player ID'!C:C,match(E5498,'Player ID'!B:B,0))</f>
        <v>666157</v>
      </c>
    </row>
    <row r="5499">
      <c r="A5499" s="76">
        <v>45791.0</v>
      </c>
      <c r="B5499" s="1" t="s">
        <v>367</v>
      </c>
      <c r="C5499" s="1" t="s">
        <v>78</v>
      </c>
      <c r="D5499" s="1">
        <v>0.2</v>
      </c>
      <c r="E5499" s="1">
        <v>27668.0</v>
      </c>
      <c r="F5499" s="10">
        <f t="shared" si="1"/>
        <v>0.6666666667</v>
      </c>
      <c r="G5499" s="10">
        <f t="array" ref="G5499">index('Player ID'!C:C,match(E5499,'Player ID'!B:B,0))</f>
        <v>685126</v>
      </c>
    </row>
    <row r="5500">
      <c r="A5500" s="76">
        <v>45791.0</v>
      </c>
      <c r="B5500" s="1" t="s">
        <v>317</v>
      </c>
      <c r="C5500" s="1" t="s">
        <v>78</v>
      </c>
      <c r="D5500" s="1">
        <v>0.1</v>
      </c>
      <c r="E5500" s="1">
        <v>29950.0</v>
      </c>
      <c r="F5500" s="10">
        <f t="shared" si="1"/>
        <v>0.3333333333</v>
      </c>
      <c r="G5500" s="10">
        <f t="array" ref="G5500">index('Player ID'!C:C,match(E5500,'Player ID'!B:B,0))</f>
        <v>673929</v>
      </c>
    </row>
    <row r="5501">
      <c r="A5501" s="76">
        <v>45791.0</v>
      </c>
      <c r="B5501" s="1" t="s">
        <v>497</v>
      </c>
      <c r="C5501" s="1" t="s">
        <v>78</v>
      </c>
      <c r="D5501" s="1">
        <v>1.0</v>
      </c>
      <c r="E5501" s="1">
        <v>30105.0</v>
      </c>
      <c r="F5501" s="10">
        <f t="shared" si="1"/>
        <v>1</v>
      </c>
      <c r="G5501" s="10">
        <f t="array" ref="G5501">index('Player ID'!C:C,match(E5501,'Player ID'!B:B,0))</f>
        <v>678024</v>
      </c>
    </row>
    <row r="5502">
      <c r="A5502" s="76">
        <v>45791.0</v>
      </c>
      <c r="B5502" s="1" t="s">
        <v>326</v>
      </c>
      <c r="C5502" s="1" t="s">
        <v>46</v>
      </c>
      <c r="D5502" s="1">
        <v>2.0</v>
      </c>
      <c r="E5502" s="1">
        <v>12760.0</v>
      </c>
      <c r="F5502" s="10">
        <f t="shared" si="1"/>
        <v>2</v>
      </c>
      <c r="G5502" s="10">
        <f t="array" ref="G5502">index('Player ID'!C:C,match(E5502,'Player ID'!B:B,0))</f>
        <v>606160</v>
      </c>
    </row>
    <row r="5503">
      <c r="A5503" s="76">
        <v>45791.0</v>
      </c>
      <c r="B5503" s="1" t="s">
        <v>139</v>
      </c>
      <c r="C5503" s="1" t="s">
        <v>80</v>
      </c>
      <c r="D5503" s="1">
        <v>1.0</v>
      </c>
      <c r="E5503" s="1">
        <v>15009.0</v>
      </c>
      <c r="F5503" s="10">
        <f t="shared" si="1"/>
        <v>1</v>
      </c>
      <c r="G5503" s="10">
        <f t="array" ref="G5503">index('Player ID'!C:C,match(E5503,'Player ID'!B:B,0))</f>
        <v>640448</v>
      </c>
    </row>
    <row r="5504">
      <c r="A5504" s="76">
        <v>45791.0</v>
      </c>
      <c r="B5504" s="1" t="s">
        <v>319</v>
      </c>
      <c r="C5504" s="1" t="s">
        <v>46</v>
      </c>
      <c r="D5504" s="1">
        <v>0.2</v>
      </c>
      <c r="E5504" s="1">
        <v>16258.0</v>
      </c>
      <c r="F5504" s="10">
        <f t="shared" si="1"/>
        <v>0.6666666667</v>
      </c>
      <c r="G5504" s="10">
        <f t="array" ref="G5504">index('Player ID'!C:C,match(E5504,'Player ID'!B:B,0))</f>
        <v>607481</v>
      </c>
    </row>
    <row r="5505">
      <c r="A5505" s="76">
        <v>45791.0</v>
      </c>
      <c r="B5505" s="1" t="s">
        <v>346</v>
      </c>
      <c r="C5505" s="1" t="s">
        <v>46</v>
      </c>
      <c r="D5505" s="1">
        <v>0.1</v>
      </c>
      <c r="E5505" s="1">
        <v>18403.0</v>
      </c>
      <c r="F5505" s="10">
        <f t="shared" si="1"/>
        <v>0.3333333333</v>
      </c>
      <c r="G5505" s="10">
        <f t="array" ref="G5505">index('Player ID'!C:C,match(E5505,'Player ID'!B:B,0))</f>
        <v>660853</v>
      </c>
    </row>
    <row r="5506">
      <c r="A5506" s="76">
        <v>45791.0</v>
      </c>
      <c r="B5506" s="1" t="s">
        <v>86</v>
      </c>
      <c r="C5506" s="1" t="s">
        <v>80</v>
      </c>
      <c r="D5506" s="1">
        <v>1.1</v>
      </c>
      <c r="E5506" s="1">
        <v>24017.0</v>
      </c>
      <c r="F5506" s="10">
        <f t="shared" si="1"/>
        <v>1.333333333</v>
      </c>
      <c r="G5506" s="10">
        <f t="array" ref="G5506">index('Player ID'!C:C,match(E5506,'Player ID'!B:B,0))</f>
        <v>678606</v>
      </c>
    </row>
    <row r="5507">
      <c r="A5507" s="76">
        <v>45791.0</v>
      </c>
      <c r="B5507" s="1" t="s">
        <v>511</v>
      </c>
      <c r="C5507" s="1" t="s">
        <v>80</v>
      </c>
      <c r="D5507" s="1">
        <v>1.1</v>
      </c>
      <c r="E5507" s="1">
        <v>26215.0</v>
      </c>
      <c r="F5507" s="10">
        <f t="shared" si="1"/>
        <v>1.333333333</v>
      </c>
      <c r="G5507" s="10">
        <f t="array" ref="G5507">index('Player ID'!C:C,match(E5507,'Player ID'!B:B,0))</f>
        <v>671131</v>
      </c>
    </row>
    <row r="5508">
      <c r="A5508" s="76">
        <v>45791.0</v>
      </c>
      <c r="B5508" s="1" t="s">
        <v>507</v>
      </c>
      <c r="C5508" s="1" t="s">
        <v>80</v>
      </c>
      <c r="D5508" s="1">
        <v>0.2</v>
      </c>
      <c r="E5508" s="1">
        <v>27570.0</v>
      </c>
      <c r="F5508" s="10">
        <f t="shared" si="1"/>
        <v>0.6666666667</v>
      </c>
      <c r="G5508" s="10">
        <f t="array" ref="G5508">index('Player ID'!C:C,match(E5508,'Player ID'!B:B,0))</f>
        <v>669371</v>
      </c>
    </row>
    <row r="5509">
      <c r="A5509" s="76">
        <v>45791.0</v>
      </c>
      <c r="B5509" s="1" t="s">
        <v>330</v>
      </c>
      <c r="C5509" s="1" t="s">
        <v>80</v>
      </c>
      <c r="D5509" s="1">
        <v>4.2</v>
      </c>
      <c r="E5509" s="1">
        <v>27636.0</v>
      </c>
      <c r="F5509" s="10">
        <f t="shared" si="1"/>
        <v>4.666666667</v>
      </c>
      <c r="G5509" s="10">
        <f t="array" ref="G5509">index('Player ID'!C:C,match(E5509,'Player ID'!B:B,0))</f>
        <v>680730</v>
      </c>
    </row>
    <row r="5510">
      <c r="A5510" s="76">
        <v>45791.0</v>
      </c>
      <c r="B5510" s="1" t="s">
        <v>275</v>
      </c>
      <c r="C5510" s="1" t="s">
        <v>46</v>
      </c>
      <c r="D5510" s="1">
        <v>6.0</v>
      </c>
      <c r="E5510" s="1">
        <v>27779.0</v>
      </c>
      <c r="F5510" s="10">
        <f t="shared" si="1"/>
        <v>6</v>
      </c>
      <c r="G5510" s="10">
        <f t="array" ref="G5510">index('Player ID'!C:C,match(E5510,'Player ID'!B:B,0))</f>
        <v>693821</v>
      </c>
    </row>
    <row r="5511">
      <c r="A5511" s="76">
        <v>45791.0</v>
      </c>
      <c r="B5511" s="1" t="s">
        <v>203</v>
      </c>
      <c r="C5511" s="1" t="s">
        <v>34</v>
      </c>
      <c r="D5511" s="1">
        <v>1.0</v>
      </c>
      <c r="E5511" s="1">
        <v>11426.0</v>
      </c>
      <c r="F5511" s="10">
        <f t="shared" si="1"/>
        <v>1</v>
      </c>
      <c r="G5511" s="10">
        <f t="array" ref="G5511">index('Player ID'!C:C,match(E5511,'Player ID'!B:B,0))</f>
        <v>519141</v>
      </c>
    </row>
    <row r="5512">
      <c r="A5512" s="76">
        <v>45791.0</v>
      </c>
      <c r="B5512" s="1" t="s">
        <v>99</v>
      </c>
      <c r="C5512" s="1" t="s">
        <v>34</v>
      </c>
      <c r="D5512" s="1">
        <v>6.0</v>
      </c>
      <c r="E5512" s="1">
        <v>11674.0</v>
      </c>
      <c r="F5512" s="10">
        <f t="shared" si="1"/>
        <v>6</v>
      </c>
      <c r="G5512" s="10">
        <f t="array" ref="G5512">index('Player ID'!C:C,match(E5512,'Player ID'!B:B,0))</f>
        <v>592791</v>
      </c>
    </row>
    <row r="5513">
      <c r="A5513" s="76">
        <v>45791.0</v>
      </c>
      <c r="B5513" s="1" t="s">
        <v>297</v>
      </c>
      <c r="C5513" s="1" t="s">
        <v>34</v>
      </c>
      <c r="D5513" s="1">
        <v>1.0</v>
      </c>
      <c r="E5513" s="1">
        <v>15734.0</v>
      </c>
      <c r="F5513" s="10">
        <f t="shared" si="1"/>
        <v>1</v>
      </c>
      <c r="G5513" s="10">
        <f t="array" ref="G5513">index('Player ID'!C:C,match(E5513,'Player ID'!B:B,0))</f>
        <v>641745</v>
      </c>
    </row>
    <row r="5514">
      <c r="A5514" s="76">
        <v>45791.0</v>
      </c>
      <c r="B5514" s="1" t="s">
        <v>661</v>
      </c>
      <c r="C5514" s="1" t="s">
        <v>36</v>
      </c>
      <c r="D5514" s="1">
        <v>1.0</v>
      </c>
      <c r="E5514" s="1">
        <v>16300.0</v>
      </c>
      <c r="F5514" s="10">
        <f t="shared" si="1"/>
        <v>1</v>
      </c>
      <c r="G5514" s="10">
        <f t="array" ref="G5514">index('Player ID'!C:C,match(E5514,'Player ID'!B:B,0))</f>
        <v>622786</v>
      </c>
    </row>
    <row r="5515">
      <c r="A5515" s="76">
        <v>45791.0</v>
      </c>
      <c r="B5515" s="1" t="s">
        <v>241</v>
      </c>
      <c r="C5515" s="1" t="s">
        <v>36</v>
      </c>
      <c r="D5515" s="1">
        <v>1.0</v>
      </c>
      <c r="E5515" s="1">
        <v>19222.0</v>
      </c>
      <c r="F5515" s="10">
        <f t="shared" si="1"/>
        <v>1</v>
      </c>
      <c r="G5515" s="10">
        <f t="array" ref="G5515">index('Player ID'!C:C,match(E5515,'Player ID'!B:B,0))</f>
        <v>669199</v>
      </c>
    </row>
    <row r="5516">
      <c r="A5516" s="76">
        <v>45791.0</v>
      </c>
      <c r="B5516" s="1" t="s">
        <v>89</v>
      </c>
      <c r="C5516" s="1" t="s">
        <v>36</v>
      </c>
      <c r="D5516" s="1">
        <v>1.0</v>
      </c>
      <c r="E5516" s="1">
        <v>19742.0</v>
      </c>
      <c r="F5516" s="10">
        <f t="shared" si="1"/>
        <v>1</v>
      </c>
      <c r="G5516" s="10">
        <f t="array" ref="G5516">index('Player ID'!C:C,match(E5516,'Player ID'!B:B,0))</f>
        <v>669622</v>
      </c>
    </row>
    <row r="5517">
      <c r="A5517" s="76">
        <v>45791.0</v>
      </c>
      <c r="B5517" s="1" t="s">
        <v>262</v>
      </c>
      <c r="C5517" s="1" t="s">
        <v>36</v>
      </c>
      <c r="D5517" s="1">
        <v>1.0</v>
      </c>
      <c r="E5517" s="1">
        <v>20116.0</v>
      </c>
      <c r="F5517" s="10">
        <f t="shared" si="1"/>
        <v>1</v>
      </c>
      <c r="G5517" s="10">
        <f t="array" ref="G5517">index('Player ID'!C:C,match(E5517,'Player ID'!B:B,0))</f>
        <v>676534</v>
      </c>
    </row>
    <row r="5518">
      <c r="A5518" s="76">
        <v>45791.0</v>
      </c>
      <c r="B5518" s="1" t="s">
        <v>202</v>
      </c>
      <c r="C5518" s="1" t="s">
        <v>36</v>
      </c>
      <c r="D5518" s="1">
        <v>5.0</v>
      </c>
      <c r="E5518" s="1">
        <v>23796.0</v>
      </c>
      <c r="F5518" s="10">
        <f t="shared" si="1"/>
        <v>5</v>
      </c>
      <c r="G5518" s="10">
        <f t="array" ref="G5518">index('Player ID'!C:C,match(E5518,'Player ID'!B:B,0))</f>
        <v>677960</v>
      </c>
    </row>
    <row r="5519">
      <c r="A5519" s="76">
        <v>45791.0</v>
      </c>
      <c r="B5519" s="1" t="s">
        <v>388</v>
      </c>
      <c r="C5519" s="1" t="s">
        <v>34</v>
      </c>
      <c r="D5519" s="1">
        <v>1.0</v>
      </c>
      <c r="E5519" s="1">
        <v>26413.0</v>
      </c>
      <c r="F5519" s="10">
        <f t="shared" si="1"/>
        <v>1</v>
      </c>
      <c r="G5519" s="10">
        <f t="array" ref="G5519">index('Player ID'!C:C,match(E5519,'Player ID'!B:B,0))</f>
        <v>687863</v>
      </c>
    </row>
    <row r="5520">
      <c r="A5520" s="76">
        <v>45791.0</v>
      </c>
      <c r="B5520" s="1" t="s">
        <v>245</v>
      </c>
      <c r="C5520" s="1" t="s">
        <v>56</v>
      </c>
      <c r="D5520" s="1">
        <v>6.0</v>
      </c>
      <c r="E5520" s="1">
        <v>9323.0</v>
      </c>
      <c r="F5520" s="10">
        <f t="shared" si="1"/>
        <v>6</v>
      </c>
      <c r="G5520" s="10">
        <f t="array" ref="G5520">index('Player ID'!C:C,match(E5520,'Player ID'!B:B,0))</f>
        <v>571578</v>
      </c>
    </row>
    <row r="5521">
      <c r="A5521" s="76">
        <v>45791.0</v>
      </c>
      <c r="B5521" s="1" t="s">
        <v>704</v>
      </c>
      <c r="C5521" s="1" t="s">
        <v>75</v>
      </c>
      <c r="D5521" s="1">
        <v>1.0</v>
      </c>
      <c r="E5521" s="1">
        <v>10591.0</v>
      </c>
      <c r="F5521" s="10">
        <f t="shared" si="1"/>
        <v>1</v>
      </c>
      <c r="G5521" s="10">
        <f t="array" ref="G5521">index('Player ID'!C:C,match(E5521,'Player ID'!B:B,0))</f>
        <v>518397</v>
      </c>
    </row>
    <row r="5522">
      <c r="A5522" s="76">
        <v>45791.0</v>
      </c>
      <c r="B5522" s="1" t="s">
        <v>481</v>
      </c>
      <c r="C5522" s="1" t="s">
        <v>75</v>
      </c>
      <c r="D5522" s="1">
        <v>4.2</v>
      </c>
      <c r="E5522" s="1">
        <v>15488.0</v>
      </c>
      <c r="F5522" s="10">
        <f t="shared" si="1"/>
        <v>4.666666667</v>
      </c>
      <c r="G5522" s="10">
        <f t="array" ref="G5522">index('Player ID'!C:C,match(E5522,'Player ID'!B:B,0))</f>
        <v>622608</v>
      </c>
    </row>
    <row r="5523">
      <c r="A5523" s="76">
        <v>45791.0</v>
      </c>
      <c r="B5523" s="1" t="s">
        <v>288</v>
      </c>
      <c r="C5523" s="1" t="s">
        <v>75</v>
      </c>
      <c r="D5523" s="1">
        <v>0.2</v>
      </c>
      <c r="E5523" s="1">
        <v>18297.0</v>
      </c>
      <c r="F5523" s="10">
        <f t="shared" si="1"/>
        <v>0.6666666667</v>
      </c>
      <c r="G5523" s="10">
        <f t="array" ref="G5523">index('Player ID'!C:C,match(E5523,'Player ID'!B:B,0))</f>
        <v>641755</v>
      </c>
    </row>
    <row r="5524">
      <c r="A5524" s="76">
        <v>45791.0</v>
      </c>
      <c r="B5524" s="1" t="s">
        <v>349</v>
      </c>
      <c r="C5524" s="1" t="s">
        <v>56</v>
      </c>
      <c r="D5524" s="1">
        <v>2.1</v>
      </c>
      <c r="E5524" s="1">
        <v>19736.0</v>
      </c>
      <c r="F5524" s="10">
        <f t="shared" si="1"/>
        <v>2.333333333</v>
      </c>
      <c r="G5524" s="10">
        <f t="array" ref="G5524">index('Player ID'!C:C,match(E5524,'Player ID'!B:B,0))</f>
        <v>676961</v>
      </c>
    </row>
    <row r="5525">
      <c r="A5525" s="76">
        <v>45791.0</v>
      </c>
      <c r="B5525" s="1" t="s">
        <v>268</v>
      </c>
      <c r="C5525" s="1" t="s">
        <v>56</v>
      </c>
      <c r="D5525" s="1">
        <v>0.2</v>
      </c>
      <c r="E5525" s="1">
        <v>23363.0</v>
      </c>
      <c r="F5525" s="10">
        <f t="shared" si="1"/>
        <v>0.6666666667</v>
      </c>
      <c r="G5525" s="10">
        <f t="array" ref="G5525">index('Player ID'!C:C,match(E5525,'Player ID'!B:B,0))</f>
        <v>676395</v>
      </c>
    </row>
    <row r="5526">
      <c r="A5526" s="76">
        <v>45791.0</v>
      </c>
      <c r="B5526" s="1" t="s">
        <v>486</v>
      </c>
      <c r="C5526" s="1" t="s">
        <v>75</v>
      </c>
      <c r="D5526" s="1">
        <v>0.2</v>
      </c>
      <c r="E5526" s="1">
        <v>26790.0</v>
      </c>
      <c r="F5526" s="10">
        <f t="shared" si="1"/>
        <v>0.6666666667</v>
      </c>
      <c r="G5526" s="10">
        <f t="array" ref="G5526">index('Player ID'!C:C,match(E5526,'Player ID'!B:B,0))</f>
        <v>683409</v>
      </c>
    </row>
    <row r="5527">
      <c r="A5527" s="76">
        <v>45791.0</v>
      </c>
      <c r="B5527" s="1" t="s">
        <v>517</v>
      </c>
      <c r="C5527" s="1" t="s">
        <v>75</v>
      </c>
      <c r="D5527" s="1">
        <v>1.0</v>
      </c>
      <c r="E5527" s="1">
        <v>26952.0</v>
      </c>
      <c r="F5527" s="10">
        <f t="shared" si="1"/>
        <v>1</v>
      </c>
      <c r="G5527" s="10">
        <f t="array" ref="G5527">index('Player ID'!C:C,match(E5527,'Player ID'!B:B,0))</f>
        <v>683627</v>
      </c>
    </row>
    <row r="5528">
      <c r="A5528" s="76">
        <v>45791.0</v>
      </c>
      <c r="B5528" s="1" t="s">
        <v>59</v>
      </c>
      <c r="C5528" s="1" t="s">
        <v>39</v>
      </c>
      <c r="D5528" s="1">
        <v>1.0</v>
      </c>
      <c r="E5528" s="1">
        <v>14212.0</v>
      </c>
      <c r="F5528" s="10">
        <f t="shared" si="1"/>
        <v>1</v>
      </c>
      <c r="G5528" s="10">
        <f t="array" ref="G5528">index('Player ID'!C:C,match(E5528,'Player ID'!B:B,0))</f>
        <v>623352</v>
      </c>
    </row>
    <row r="5529">
      <c r="A5529" s="76">
        <v>45791.0</v>
      </c>
      <c r="B5529" s="1" t="s">
        <v>649</v>
      </c>
      <c r="C5529" s="1" t="s">
        <v>29</v>
      </c>
      <c r="D5529" s="1">
        <v>0.2</v>
      </c>
      <c r="E5529" s="1">
        <v>14542.0</v>
      </c>
      <c r="F5529" s="10">
        <f t="shared" si="1"/>
        <v>0.6666666667</v>
      </c>
      <c r="G5529" s="10">
        <f t="array" ref="G5529">index('Player ID'!C:C,match(E5529,'Player ID'!B:B,0))</f>
        <v>608032</v>
      </c>
    </row>
    <row r="5530">
      <c r="A5530" s="76">
        <v>45791.0</v>
      </c>
      <c r="B5530" s="1" t="s">
        <v>420</v>
      </c>
      <c r="C5530" s="1" t="s">
        <v>29</v>
      </c>
      <c r="D5530" s="1">
        <v>7.1</v>
      </c>
      <c r="E5530" s="1">
        <v>14843.0</v>
      </c>
      <c r="F5530" s="10">
        <f t="shared" si="1"/>
        <v>7.333333333</v>
      </c>
      <c r="G5530" s="10">
        <f t="array" ref="G5530">index('Player ID'!C:C,match(E5530,'Player ID'!B:B,0))</f>
        <v>547179</v>
      </c>
    </row>
    <row r="5531">
      <c r="A5531" s="76">
        <v>45791.0</v>
      </c>
      <c r="B5531" s="1" t="s">
        <v>359</v>
      </c>
      <c r="C5531" s="1" t="s">
        <v>39</v>
      </c>
      <c r="D5531" s="1">
        <v>1.0</v>
      </c>
      <c r="E5531" s="1">
        <v>20061.0</v>
      </c>
      <c r="F5531" s="10">
        <f t="shared" si="1"/>
        <v>1</v>
      </c>
      <c r="G5531" s="10">
        <f t="array" ref="G5531">index('Player ID'!C:C,match(E5531,'Player ID'!B:B,0))</f>
        <v>672391</v>
      </c>
    </row>
    <row r="5532">
      <c r="A5532" s="76">
        <v>45791.0</v>
      </c>
      <c r="B5532" s="1" t="s">
        <v>444</v>
      </c>
      <c r="C5532" s="1" t="s">
        <v>39</v>
      </c>
      <c r="D5532" s="1">
        <v>1.2</v>
      </c>
      <c r="E5532" s="1">
        <v>24977.0</v>
      </c>
      <c r="F5532" s="10">
        <f t="shared" si="1"/>
        <v>1.666666667</v>
      </c>
      <c r="G5532" s="10">
        <f t="array" ref="G5532">index('Player ID'!C:C,match(E5532,'Player ID'!B:B,0))</f>
        <v>681869</v>
      </c>
    </row>
    <row r="5533">
      <c r="A5533" s="76">
        <v>45791.0</v>
      </c>
      <c r="B5533" s="1" t="s">
        <v>76</v>
      </c>
      <c r="C5533" s="1" t="s">
        <v>39</v>
      </c>
      <c r="D5533" s="1">
        <v>1.0</v>
      </c>
      <c r="E5533" s="1">
        <v>25890.0</v>
      </c>
      <c r="F5533" s="10">
        <f t="shared" si="1"/>
        <v>1</v>
      </c>
      <c r="G5533" s="10">
        <f t="array" ref="G5533">index('Player ID'!C:C,match(E5533,'Player ID'!B:B,0))</f>
        <v>687911</v>
      </c>
    </row>
    <row r="5534">
      <c r="A5534" s="76">
        <v>45791.0</v>
      </c>
      <c r="B5534" s="1" t="s">
        <v>197</v>
      </c>
      <c r="C5534" s="1" t="s">
        <v>39</v>
      </c>
      <c r="D5534" s="1">
        <v>4.1</v>
      </c>
      <c r="E5534" s="1">
        <v>31312.0</v>
      </c>
      <c r="F5534" s="10">
        <f t="shared" si="1"/>
        <v>4.333333333</v>
      </c>
      <c r="G5534" s="10">
        <f t="array" ref="G5534">index('Player ID'!C:C,match(E5534,'Player ID'!B:B,0))</f>
        <v>676467</v>
      </c>
    </row>
    <row r="5535">
      <c r="A5535" s="76">
        <v>45791.0</v>
      </c>
      <c r="B5535" s="1" t="s">
        <v>399</v>
      </c>
      <c r="C5535" s="1" t="s">
        <v>25</v>
      </c>
      <c r="D5535" s="1">
        <v>6.0</v>
      </c>
      <c r="E5535" s="1">
        <v>12049.0</v>
      </c>
      <c r="F5535" s="10">
        <f t="shared" si="1"/>
        <v>6</v>
      </c>
      <c r="G5535" s="10">
        <f t="array" ref="G5535">index('Player ID'!C:C,match(E5535,'Player ID'!B:B,0))</f>
        <v>543294</v>
      </c>
    </row>
    <row r="5536">
      <c r="A5536" s="76">
        <v>45791.0</v>
      </c>
      <c r="B5536" s="1" t="s">
        <v>291</v>
      </c>
      <c r="C5536" s="1" t="s">
        <v>25</v>
      </c>
      <c r="D5536" s="1">
        <v>0.1</v>
      </c>
      <c r="E5536" s="1">
        <v>17968.0</v>
      </c>
      <c r="F5536" s="10">
        <f t="shared" si="1"/>
        <v>0.3333333333</v>
      </c>
      <c r="G5536" s="10">
        <f t="array" ref="G5536">index('Player ID'!C:C,match(E5536,'Player ID'!B:B,0))</f>
        <v>656271</v>
      </c>
    </row>
    <row r="5537">
      <c r="A5537" s="76">
        <v>45791.0</v>
      </c>
      <c r="B5537" s="1" t="s">
        <v>49</v>
      </c>
      <c r="C5537" s="1" t="s">
        <v>26</v>
      </c>
      <c r="D5537" s="1">
        <v>1.0</v>
      </c>
      <c r="E5537" s="1">
        <v>20039.0</v>
      </c>
      <c r="F5537" s="10">
        <f t="shared" si="1"/>
        <v>1</v>
      </c>
      <c r="G5537" s="10">
        <f t="array" ref="G5537">index('Player ID'!C:C,match(E5537,'Player ID'!B:B,0))</f>
        <v>670970</v>
      </c>
    </row>
    <row r="5538">
      <c r="A5538" s="76">
        <v>45791.0</v>
      </c>
      <c r="B5538" s="1" t="s">
        <v>713</v>
      </c>
      <c r="C5538" s="1" t="s">
        <v>26</v>
      </c>
      <c r="D5538" s="1">
        <v>6.0</v>
      </c>
      <c r="E5538" s="1">
        <v>24719.0</v>
      </c>
      <c r="F5538" s="10">
        <f t="shared" si="1"/>
        <v>6</v>
      </c>
      <c r="G5538" s="10">
        <f t="array" ref="G5538">index('Player ID'!C:C,match(E5538,'Player ID'!B:B,0))</f>
        <v>681190</v>
      </c>
    </row>
    <row r="5539">
      <c r="A5539" s="76">
        <v>45791.0</v>
      </c>
      <c r="B5539" s="1" t="s">
        <v>24</v>
      </c>
      <c r="C5539" s="1" t="s">
        <v>25</v>
      </c>
      <c r="D5539" s="1">
        <v>1.0</v>
      </c>
      <c r="E5539" s="1">
        <v>27468.0</v>
      </c>
      <c r="F5539" s="10">
        <f t="shared" si="1"/>
        <v>1</v>
      </c>
      <c r="G5539" s="10">
        <f t="array" ref="G5539">index('Player ID'!C:C,match(E5539,'Player ID'!B:B,0))</f>
        <v>672282</v>
      </c>
    </row>
    <row r="5540">
      <c r="A5540" s="76">
        <v>45791.0</v>
      </c>
      <c r="B5540" s="1" t="s">
        <v>391</v>
      </c>
      <c r="C5540" s="1" t="s">
        <v>26</v>
      </c>
      <c r="D5540" s="1">
        <v>1.0</v>
      </c>
      <c r="E5540" s="1">
        <v>29628.0</v>
      </c>
      <c r="F5540" s="10">
        <f t="shared" si="1"/>
        <v>1</v>
      </c>
      <c r="G5540" s="10">
        <f t="array" ref="G5540">index('Player ID'!C:C,match(E5540,'Player ID'!B:B,0))</f>
        <v>689690</v>
      </c>
    </row>
    <row r="5541">
      <c r="A5541" s="76">
        <v>45791.0</v>
      </c>
      <c r="B5541" s="1" t="s">
        <v>81</v>
      </c>
      <c r="C5541" s="1" t="s">
        <v>26</v>
      </c>
      <c r="D5541" s="1">
        <v>1.0</v>
      </c>
      <c r="E5541" s="1">
        <v>30115.0</v>
      </c>
      <c r="F5541" s="10">
        <f t="shared" si="1"/>
        <v>1</v>
      </c>
      <c r="G5541" s="10">
        <f t="array" ref="G5541">index('Player ID'!C:C,match(E5541,'Player ID'!B:B,0))</f>
        <v>663158</v>
      </c>
    </row>
    <row r="5542">
      <c r="A5542" s="76">
        <v>45791.0</v>
      </c>
      <c r="B5542" s="1" t="s">
        <v>381</v>
      </c>
      <c r="C5542" s="1" t="s">
        <v>25</v>
      </c>
      <c r="D5542" s="1">
        <v>0.2</v>
      </c>
      <c r="E5542" s="1">
        <v>33908.0</v>
      </c>
      <c r="F5542" s="10">
        <f t="shared" si="1"/>
        <v>0.6666666667</v>
      </c>
      <c r="G5542" s="10">
        <f t="array" ref="G5542">index('Player ID'!C:C,match(E5542,'Player ID'!B:B,0))</f>
        <v>820862</v>
      </c>
    </row>
    <row r="5543">
      <c r="A5543" s="76">
        <v>45791.0</v>
      </c>
      <c r="B5543" s="1" t="s">
        <v>392</v>
      </c>
      <c r="C5543" s="1" t="s">
        <v>33</v>
      </c>
      <c r="D5543" s="1">
        <v>1.0</v>
      </c>
      <c r="E5543" s="1">
        <v>9073.0</v>
      </c>
      <c r="F5543" s="10">
        <f t="shared" si="1"/>
        <v>1</v>
      </c>
      <c r="G5543" s="10">
        <f t="array" ref="G5543">index('Player ID'!C:C,match(E5543,'Player ID'!B:B,0))</f>
        <v>489446</v>
      </c>
    </row>
    <row r="5544">
      <c r="A5544" s="76">
        <v>45791.0</v>
      </c>
      <c r="B5544" s="1" t="s">
        <v>505</v>
      </c>
      <c r="C5544" s="1" t="s">
        <v>52</v>
      </c>
      <c r="D5544" s="1">
        <v>1.0</v>
      </c>
      <c r="E5544" s="1">
        <v>19481.0</v>
      </c>
      <c r="F5544" s="10">
        <f t="shared" si="1"/>
        <v>1</v>
      </c>
      <c r="G5544" s="10">
        <f t="array" ref="G5544">index('Player ID'!C:C,match(E5544,'Player ID'!B:B,0))</f>
        <v>621053</v>
      </c>
    </row>
    <row r="5545">
      <c r="A5545" s="76">
        <v>45791.0</v>
      </c>
      <c r="B5545" s="1" t="s">
        <v>227</v>
      </c>
      <c r="C5545" s="1" t="s">
        <v>52</v>
      </c>
      <c r="D5545" s="1">
        <v>0.1</v>
      </c>
      <c r="E5545" s="1">
        <v>21520.0</v>
      </c>
      <c r="F5545" s="10">
        <f t="shared" si="1"/>
        <v>0.3333333333</v>
      </c>
      <c r="G5545" s="10">
        <f t="array" ref="G5545">index('Player ID'!C:C,match(E5545,'Player ID'!B:B,0))</f>
        <v>663687</v>
      </c>
    </row>
    <row r="5546">
      <c r="A5546" s="76">
        <v>45791.0</v>
      </c>
      <c r="B5546" s="1" t="s">
        <v>830</v>
      </c>
      <c r="C5546" s="1" t="s">
        <v>52</v>
      </c>
      <c r="D5546" s="1">
        <v>1.1</v>
      </c>
      <c r="E5546" s="1">
        <v>22533.0</v>
      </c>
      <c r="F5546" s="10">
        <f t="shared" si="1"/>
        <v>1.333333333</v>
      </c>
      <c r="G5546" s="10">
        <f t="array" ref="G5546">index('Player ID'!C:C,match(E5546,'Player ID'!B:B,0))</f>
        <v>671305</v>
      </c>
    </row>
    <row r="5547">
      <c r="A5547" s="76">
        <v>45791.0</v>
      </c>
      <c r="B5547" s="1" t="s">
        <v>92</v>
      </c>
      <c r="C5547" s="1" t="s">
        <v>33</v>
      </c>
      <c r="D5547" s="1">
        <v>1.0</v>
      </c>
      <c r="E5547" s="1">
        <v>25007.0</v>
      </c>
      <c r="F5547" s="10">
        <f t="shared" si="1"/>
        <v>1</v>
      </c>
      <c r="G5547" s="10">
        <f t="array" ref="G5547">index('Player ID'!C:C,match(E5547,'Player ID'!B:B,0))</f>
        <v>681911</v>
      </c>
    </row>
    <row r="5548">
      <c r="A5548" s="76">
        <v>45791.0</v>
      </c>
      <c r="B5548" s="1" t="s">
        <v>104</v>
      </c>
      <c r="C5548" s="1" t="s">
        <v>33</v>
      </c>
      <c r="D5548" s="1">
        <v>1.0</v>
      </c>
      <c r="E5548" s="1">
        <v>30085.0</v>
      </c>
      <c r="F5548" s="10">
        <f t="shared" si="1"/>
        <v>1</v>
      </c>
      <c r="G5548" s="10">
        <f t="array" ref="G5548">index('Player ID'!C:C,match(E5548,'Player ID'!B:B,0))</f>
        <v>676508</v>
      </c>
    </row>
    <row r="5549">
      <c r="A5549" s="76">
        <v>45791.0</v>
      </c>
      <c r="B5549" s="1" t="s">
        <v>243</v>
      </c>
      <c r="C5549" s="1" t="s">
        <v>52</v>
      </c>
      <c r="D5549" s="1">
        <v>5.1</v>
      </c>
      <c r="E5549" s="1">
        <v>31318.0</v>
      </c>
      <c r="F5549" s="10">
        <f t="shared" si="1"/>
        <v>5.333333333</v>
      </c>
      <c r="G5549" s="10">
        <f t="array" ref="G5549">index('Player ID'!C:C,match(E5549,'Player ID'!B:B,0))</f>
        <v>680684</v>
      </c>
    </row>
    <row r="5550">
      <c r="A5550" s="76">
        <v>45791.0</v>
      </c>
      <c r="B5550" s="1" t="s">
        <v>85</v>
      </c>
      <c r="C5550" s="1" t="s">
        <v>33</v>
      </c>
      <c r="D5550" s="1">
        <v>6.0</v>
      </c>
      <c r="E5550" s="1">
        <v>33825.0</v>
      </c>
      <c r="F5550" s="10">
        <f t="shared" si="1"/>
        <v>6</v>
      </c>
      <c r="G5550" s="10">
        <f t="array" ref="G5550">index('Player ID'!C:C,match(E5550,'Player ID'!B:B,0))</f>
        <v>808967</v>
      </c>
    </row>
    <row r="5551">
      <c r="A5551" s="76">
        <v>45792.0</v>
      </c>
      <c r="B5551" s="1" t="s">
        <v>506</v>
      </c>
      <c r="C5551" s="1" t="s">
        <v>80</v>
      </c>
      <c r="D5551" s="1">
        <v>0.1</v>
      </c>
      <c r="E5551" s="1">
        <v>12988.0</v>
      </c>
      <c r="F5551" s="10">
        <f t="shared" si="1"/>
        <v>0.3333333333</v>
      </c>
      <c r="G5551" s="10">
        <f t="array" ref="G5551">index('Player ID'!C:C,match(E5551,'Player ID'!B:B,0))</f>
        <v>605177</v>
      </c>
    </row>
    <row r="5552">
      <c r="A5552" s="76">
        <v>45792.0</v>
      </c>
      <c r="B5552" s="1" t="s">
        <v>178</v>
      </c>
      <c r="C5552" s="1" t="s">
        <v>46</v>
      </c>
      <c r="D5552" s="1">
        <v>1.0</v>
      </c>
      <c r="E5552" s="1">
        <v>13435.0</v>
      </c>
      <c r="F5552" s="10">
        <f t="shared" si="1"/>
        <v>1</v>
      </c>
      <c r="G5552" s="10">
        <f t="array" ref="G5552">index('Player ID'!C:C,match(E5552,'Player ID'!B:B,0))</f>
        <v>572955</v>
      </c>
    </row>
    <row r="5553">
      <c r="A5553" s="76">
        <v>45792.0</v>
      </c>
      <c r="B5553" s="1" t="s">
        <v>719</v>
      </c>
      <c r="C5553" s="1" t="s">
        <v>80</v>
      </c>
      <c r="D5553" s="1">
        <v>1.0</v>
      </c>
      <c r="E5553" s="1">
        <v>14527.0</v>
      </c>
      <c r="F5553" s="10">
        <f t="shared" si="1"/>
        <v>1</v>
      </c>
      <c r="G5553" s="10">
        <f t="array" ref="G5553">index('Player ID'!C:C,match(E5553,'Player ID'!B:B,0))</f>
        <v>605347</v>
      </c>
    </row>
    <row r="5554">
      <c r="A5554" s="76">
        <v>45792.0</v>
      </c>
      <c r="B5554" s="1" t="s">
        <v>148</v>
      </c>
      <c r="C5554" s="1" t="s">
        <v>80</v>
      </c>
      <c r="D5554" s="1">
        <v>4.1</v>
      </c>
      <c r="E5554" s="1">
        <v>16977.0</v>
      </c>
      <c r="F5554" s="10">
        <f t="shared" si="1"/>
        <v>4.333333333</v>
      </c>
      <c r="G5554" s="10">
        <f t="array" ref="G5554">index('Player ID'!C:C,match(E5554,'Player ID'!B:B,0))</f>
        <v>592866</v>
      </c>
    </row>
    <row r="5555">
      <c r="A5555" s="76">
        <v>45792.0</v>
      </c>
      <c r="B5555" s="1" t="s">
        <v>184</v>
      </c>
      <c r="C5555" s="1" t="s">
        <v>46</v>
      </c>
      <c r="D5555" s="1">
        <v>1.0</v>
      </c>
      <c r="E5555" s="1">
        <v>17130.0</v>
      </c>
      <c r="F5555" s="10">
        <f t="shared" si="1"/>
        <v>1</v>
      </c>
      <c r="G5555" s="10">
        <f t="array" ref="G5555">index('Player ID'!C:C,match(E5555,'Player ID'!B:B,0))</f>
        <v>628452</v>
      </c>
    </row>
    <row r="5556">
      <c r="A5556" s="76">
        <v>45792.0</v>
      </c>
      <c r="B5556" s="1" t="s">
        <v>91</v>
      </c>
      <c r="C5556" s="1" t="s">
        <v>46</v>
      </c>
      <c r="D5556" s="1">
        <v>1.0</v>
      </c>
      <c r="E5556" s="1">
        <v>19996.0</v>
      </c>
      <c r="F5556" s="10">
        <f t="shared" si="1"/>
        <v>1</v>
      </c>
      <c r="G5556" s="10">
        <f t="array" ref="G5556">index('Player ID'!C:C,match(E5556,'Player ID'!B:B,0))</f>
        <v>669276</v>
      </c>
    </row>
    <row r="5557">
      <c r="A5557" s="76">
        <v>45792.0</v>
      </c>
      <c r="B5557" s="1" t="s">
        <v>818</v>
      </c>
      <c r="C5557" s="1" t="s">
        <v>80</v>
      </c>
      <c r="D5557" s="1">
        <v>0.2</v>
      </c>
      <c r="E5557" s="1">
        <v>27783.0</v>
      </c>
      <c r="F5557" s="10">
        <f t="shared" si="1"/>
        <v>0.6666666667</v>
      </c>
      <c r="G5557" s="10">
        <f t="array" ref="G5557">index('Player ID'!C:C,match(E5557,'Player ID'!B:B,0))</f>
        <v>694350</v>
      </c>
    </row>
    <row r="5558">
      <c r="A5558" s="76">
        <v>45792.0</v>
      </c>
      <c r="B5558" s="1" t="s">
        <v>516</v>
      </c>
      <c r="C5558" s="1" t="s">
        <v>46</v>
      </c>
      <c r="D5558" s="1">
        <v>6.0</v>
      </c>
      <c r="E5558" s="1">
        <v>29960.0</v>
      </c>
      <c r="F5558" s="10">
        <f t="shared" si="1"/>
        <v>6</v>
      </c>
      <c r="G5558" s="10">
        <f t="array" ref="G5558">index('Player ID'!C:C,match(E5558,'Player ID'!B:B,0))</f>
        <v>700363</v>
      </c>
    </row>
    <row r="5559">
      <c r="A5559" s="76">
        <v>45792.0</v>
      </c>
      <c r="B5559" s="1" t="s">
        <v>437</v>
      </c>
      <c r="C5559" s="1" t="s">
        <v>80</v>
      </c>
      <c r="D5559" s="1">
        <v>1.2</v>
      </c>
      <c r="E5559" s="1">
        <v>31972.0</v>
      </c>
      <c r="F5559" s="10">
        <f t="shared" si="1"/>
        <v>1.666666667</v>
      </c>
      <c r="G5559" s="10">
        <f t="array" ref="G5559">index('Player ID'!C:C,match(E5559,'Player ID'!B:B,0))</f>
        <v>695418</v>
      </c>
    </row>
    <row r="5560">
      <c r="A5560" s="76">
        <v>45792.0</v>
      </c>
      <c r="B5560" s="1" t="s">
        <v>639</v>
      </c>
      <c r="C5560" s="1" t="s">
        <v>68</v>
      </c>
      <c r="D5560" s="1">
        <v>1.0</v>
      </c>
      <c r="E5560" s="1">
        <v>19249.0</v>
      </c>
      <c r="F5560" s="10">
        <f t="shared" si="1"/>
        <v>1</v>
      </c>
      <c r="G5560" s="10">
        <f t="array" ref="G5560">index('Player ID'!C:C,match(E5560,'Player ID'!B:B,0))</f>
        <v>622554</v>
      </c>
    </row>
    <row r="5561">
      <c r="A5561" s="76">
        <v>45792.0</v>
      </c>
      <c r="B5561" s="1" t="s">
        <v>675</v>
      </c>
      <c r="C5561" s="1" t="s">
        <v>68</v>
      </c>
      <c r="D5561" s="1">
        <v>1.2</v>
      </c>
      <c r="E5561" s="1">
        <v>19614.0</v>
      </c>
      <c r="F5561" s="10">
        <f t="shared" si="1"/>
        <v>1.666666667</v>
      </c>
      <c r="G5561" s="10">
        <f t="array" ref="G5561">index('Player ID'!C:C,match(E5561,'Player ID'!B:B,0))</f>
        <v>672335</v>
      </c>
    </row>
    <row r="5562">
      <c r="A5562" s="76">
        <v>45792.0</v>
      </c>
      <c r="B5562" s="1" t="s">
        <v>133</v>
      </c>
      <c r="C5562" s="1" t="s">
        <v>16</v>
      </c>
      <c r="D5562" s="1">
        <v>7.0</v>
      </c>
      <c r="E5562" s="1">
        <v>20099.0</v>
      </c>
      <c r="F5562" s="10">
        <f t="shared" si="1"/>
        <v>7</v>
      </c>
      <c r="G5562" s="10">
        <f t="array" ref="G5562">index('Player ID'!C:C,match(E5562,'Player ID'!B:B,0))</f>
        <v>663978</v>
      </c>
    </row>
    <row r="5563">
      <c r="A5563" s="76">
        <v>45792.0</v>
      </c>
      <c r="B5563" s="1" t="s">
        <v>122</v>
      </c>
      <c r="C5563" s="1" t="s">
        <v>16</v>
      </c>
      <c r="D5563" s="1">
        <v>1.0</v>
      </c>
      <c r="E5563" s="1">
        <v>21029.0</v>
      </c>
      <c r="F5563" s="10">
        <f t="shared" si="1"/>
        <v>1</v>
      </c>
      <c r="G5563" s="10">
        <f t="array" ref="G5563">index('Player ID'!C:C,match(E5563,'Player ID'!B:B,0))</f>
        <v>661395</v>
      </c>
    </row>
    <row r="5564">
      <c r="A5564" s="76">
        <v>45792.0</v>
      </c>
      <c r="B5564" s="1" t="s">
        <v>47</v>
      </c>
      <c r="C5564" s="1" t="s">
        <v>16</v>
      </c>
      <c r="D5564" s="1">
        <v>1.0</v>
      </c>
      <c r="E5564" s="1">
        <v>27691.0</v>
      </c>
      <c r="F5564" s="10">
        <f t="shared" si="1"/>
        <v>1</v>
      </c>
      <c r="G5564" s="10">
        <f t="array" ref="G5564">index('Player ID'!C:C,match(E5564,'Player ID'!B:B,0))</f>
        <v>686973</v>
      </c>
    </row>
    <row r="5565">
      <c r="A5565" s="76">
        <v>45792.0</v>
      </c>
      <c r="B5565" s="1" t="s">
        <v>158</v>
      </c>
      <c r="C5565" s="1" t="s">
        <v>68</v>
      </c>
      <c r="D5565" s="1">
        <v>6.1</v>
      </c>
      <c r="E5565" s="1">
        <v>35321.0</v>
      </c>
      <c r="F5565" s="10">
        <f t="shared" si="1"/>
        <v>6.333333333</v>
      </c>
      <c r="G5565" s="10">
        <f t="array" ref="G5565">index('Player ID'!C:C,match(E5565,'Player ID'!B:B,0))</f>
        <v>608372</v>
      </c>
    </row>
    <row r="5566">
      <c r="A5566" s="76">
        <v>45792.0</v>
      </c>
      <c r="B5566" s="1" t="s">
        <v>226</v>
      </c>
      <c r="C5566" s="1" t="s">
        <v>66</v>
      </c>
      <c r="D5566" s="1">
        <v>7.0</v>
      </c>
      <c r="E5566" s="1">
        <v>12730.0</v>
      </c>
      <c r="F5566" s="10">
        <f t="shared" si="1"/>
        <v>7</v>
      </c>
      <c r="G5566" s="10">
        <f t="array" ref="G5566">index('Player ID'!C:C,match(E5566,'Player ID'!B:B,0))</f>
        <v>607259</v>
      </c>
    </row>
    <row r="5567">
      <c r="A5567" s="76">
        <v>45792.0</v>
      </c>
      <c r="B5567" s="1" t="s">
        <v>362</v>
      </c>
      <c r="C5567" s="1" t="s">
        <v>66</v>
      </c>
      <c r="D5567" s="1">
        <v>1.0</v>
      </c>
      <c r="E5567" s="1">
        <v>13449.0</v>
      </c>
      <c r="F5567" s="10">
        <f t="shared" si="1"/>
        <v>1</v>
      </c>
      <c r="G5567" s="10">
        <f t="array" ref="G5567">index('Player ID'!C:C,match(E5567,'Player ID'!B:B,0))</f>
        <v>573124</v>
      </c>
    </row>
    <row r="5568">
      <c r="A5568" s="76">
        <v>45792.0</v>
      </c>
      <c r="B5568" s="1" t="s">
        <v>387</v>
      </c>
      <c r="C5568" s="1" t="s">
        <v>78</v>
      </c>
      <c r="D5568" s="1">
        <v>5.1</v>
      </c>
      <c r="E5568" s="1">
        <v>19990.0</v>
      </c>
      <c r="F5568" s="10">
        <f t="shared" si="1"/>
        <v>5.333333333</v>
      </c>
      <c r="G5568" s="10">
        <f t="array" ref="G5568">index('Player ID'!C:C,match(E5568,'Player ID'!B:B,0))</f>
        <v>669060</v>
      </c>
    </row>
    <row r="5569">
      <c r="A5569" s="76">
        <v>45792.0</v>
      </c>
      <c r="B5569" s="1" t="s">
        <v>691</v>
      </c>
      <c r="C5569" s="1" t="s">
        <v>78</v>
      </c>
      <c r="D5569" s="1">
        <v>1.0</v>
      </c>
      <c r="E5569" s="1">
        <v>22872.0</v>
      </c>
      <c r="F5569" s="10">
        <f t="shared" si="1"/>
        <v>1</v>
      </c>
      <c r="G5569" s="10">
        <f t="array" ref="G5569">index('Player ID'!C:C,match(E5569,'Player ID'!B:B,0))</f>
        <v>672782</v>
      </c>
    </row>
    <row r="5570">
      <c r="A5570" s="76">
        <v>45792.0</v>
      </c>
      <c r="B5570" s="1" t="s">
        <v>550</v>
      </c>
      <c r="C5570" s="1" t="s">
        <v>66</v>
      </c>
      <c r="D5570" s="1">
        <v>1.0</v>
      </c>
      <c r="E5570" s="1">
        <v>25620.0</v>
      </c>
      <c r="F5570" s="10">
        <f t="shared" si="1"/>
        <v>1</v>
      </c>
      <c r="G5570" s="10">
        <f t="array" ref="G5570">index('Player ID'!C:C,match(E5570,'Player ID'!B:B,0))</f>
        <v>682825</v>
      </c>
    </row>
    <row r="5571">
      <c r="A5571" s="76">
        <v>45792.0</v>
      </c>
      <c r="B5571" s="1" t="s">
        <v>706</v>
      </c>
      <c r="C5571" s="1" t="s">
        <v>78</v>
      </c>
      <c r="D5571" s="1">
        <v>1.2</v>
      </c>
      <c r="E5571" s="1">
        <v>27472.0</v>
      </c>
      <c r="F5571" s="10">
        <f t="shared" si="1"/>
        <v>1.666666667</v>
      </c>
      <c r="G5571" s="10">
        <f t="array" ref="G5571">index('Player ID'!C:C,match(E5571,'Player ID'!B:B,0))</f>
        <v>694363</v>
      </c>
    </row>
    <row r="5572">
      <c r="A5572" s="76">
        <v>45792.0</v>
      </c>
      <c r="B5572" s="1" t="s">
        <v>822</v>
      </c>
      <c r="C5572" s="1" t="s">
        <v>40</v>
      </c>
      <c r="D5572" s="1">
        <v>1.0</v>
      </c>
      <c r="E5572" s="1">
        <v>11589.0</v>
      </c>
      <c r="F5572" s="10">
        <f t="shared" si="1"/>
        <v>1</v>
      </c>
      <c r="G5572" s="10">
        <f t="array" ref="G5572">index('Player ID'!C:C,match(E5572,'Player ID'!B:B,0))</f>
        <v>570632</v>
      </c>
    </row>
    <row r="5573">
      <c r="A5573" s="76">
        <v>45792.0</v>
      </c>
      <c r="B5573" s="1" t="s">
        <v>155</v>
      </c>
      <c r="C5573" s="1" t="s">
        <v>40</v>
      </c>
      <c r="D5573" s="1">
        <v>5.2</v>
      </c>
      <c r="E5573" s="1">
        <v>14107.0</v>
      </c>
      <c r="F5573" s="10">
        <f t="shared" si="1"/>
        <v>5.666666667</v>
      </c>
      <c r="G5573" s="10">
        <f t="array" ref="G5573">index('Player ID'!C:C,match(E5573,'Player ID'!B:B,0))</f>
        <v>592332</v>
      </c>
    </row>
    <row r="5574">
      <c r="A5574" s="76">
        <v>45792.0</v>
      </c>
      <c r="B5574" s="1" t="s">
        <v>784</v>
      </c>
      <c r="C5574" s="1" t="s">
        <v>54</v>
      </c>
      <c r="D5574" s="1">
        <v>1.0</v>
      </c>
      <c r="E5574" s="1">
        <v>15256.0</v>
      </c>
      <c r="F5574" s="10">
        <f t="shared" si="1"/>
        <v>1</v>
      </c>
      <c r="G5574" s="10">
        <f t="array" ref="G5574">index('Player ID'!C:C,match(E5574,'Player ID'!B:B,0))</f>
        <v>642121</v>
      </c>
    </row>
    <row r="5575">
      <c r="A5575" s="76">
        <v>45792.0</v>
      </c>
      <c r="B5575" s="1" t="s">
        <v>177</v>
      </c>
      <c r="C5575" s="1" t="s">
        <v>54</v>
      </c>
      <c r="D5575" s="1">
        <v>7.1</v>
      </c>
      <c r="E5575" s="1">
        <v>15823.0</v>
      </c>
      <c r="F5575" s="10">
        <f t="shared" si="1"/>
        <v>7.333333333</v>
      </c>
      <c r="G5575" s="10">
        <f t="array" ref="G5575">index('Player ID'!C:C,match(E5575,'Player ID'!B:B,0))</f>
        <v>641793</v>
      </c>
    </row>
    <row r="5576">
      <c r="A5576" s="76">
        <v>45792.0</v>
      </c>
      <c r="B5576" s="1" t="s">
        <v>705</v>
      </c>
      <c r="C5576" s="1" t="s">
        <v>54</v>
      </c>
      <c r="D5576" s="1">
        <v>0.2</v>
      </c>
      <c r="E5576" s="1">
        <v>20794.0</v>
      </c>
      <c r="F5576" s="10">
        <f t="shared" si="1"/>
        <v>0.6666666667</v>
      </c>
      <c r="G5576" s="10">
        <f t="array" ref="G5576">index('Player ID'!C:C,match(E5576,'Player ID'!B:B,0))</f>
        <v>655889</v>
      </c>
    </row>
    <row r="5577">
      <c r="A5577" s="76">
        <v>45792.0</v>
      </c>
      <c r="B5577" s="1" t="s">
        <v>315</v>
      </c>
      <c r="C5577" s="1" t="s">
        <v>40</v>
      </c>
      <c r="D5577" s="1">
        <v>2.0</v>
      </c>
      <c r="E5577" s="1">
        <v>24609.0</v>
      </c>
      <c r="F5577" s="10">
        <f t="shared" si="1"/>
        <v>2</v>
      </c>
      <c r="G5577" s="10">
        <f t="array" ref="G5577">index('Player ID'!C:C,match(E5577,'Player ID'!B:B,0))</f>
        <v>680755</v>
      </c>
    </row>
    <row r="5578">
      <c r="A5578" s="76">
        <v>45792.0</v>
      </c>
      <c r="B5578" s="1" t="s">
        <v>142</v>
      </c>
      <c r="C5578" s="1" t="s">
        <v>40</v>
      </c>
      <c r="D5578" s="1">
        <v>0.1</v>
      </c>
      <c r="E5578" s="1">
        <v>31553.0</v>
      </c>
      <c r="F5578" s="10">
        <f t="shared" si="1"/>
        <v>0.3333333333</v>
      </c>
      <c r="G5578" s="10">
        <f t="array" ref="G5578">index('Player ID'!C:C,match(E5578,'Player ID'!B:B,0))</f>
        <v>689254</v>
      </c>
    </row>
    <row r="5579">
      <c r="A5579" s="76">
        <v>45792.0</v>
      </c>
      <c r="B5579" s="1" t="s">
        <v>57</v>
      </c>
      <c r="C5579" s="1" t="s">
        <v>56</v>
      </c>
      <c r="D5579" s="1">
        <v>8.0</v>
      </c>
      <c r="E5579" s="1">
        <v>10954.0</v>
      </c>
      <c r="F5579" s="10">
        <f t="shared" si="1"/>
        <v>8</v>
      </c>
      <c r="G5579" s="10">
        <f t="array" ref="G5579">index('Player ID'!C:C,match(E5579,'Player ID'!B:B,0))</f>
        <v>594798</v>
      </c>
    </row>
    <row r="5580">
      <c r="A5580" s="76">
        <v>45792.0</v>
      </c>
      <c r="B5580" s="1" t="s">
        <v>440</v>
      </c>
      <c r="C5580" s="1" t="s">
        <v>56</v>
      </c>
      <c r="D5580" s="1">
        <v>1.0</v>
      </c>
      <c r="E5580" s="1">
        <v>12857.0</v>
      </c>
      <c r="F5580" s="10">
        <f t="shared" si="1"/>
        <v>1</v>
      </c>
      <c r="G5580" s="10">
        <f t="array" ref="G5580">index('Player ID'!C:C,match(E5580,'Player ID'!B:B,0))</f>
        <v>542888</v>
      </c>
    </row>
    <row r="5581">
      <c r="A5581" s="76">
        <v>45792.0</v>
      </c>
      <c r="B5581" s="1" t="s">
        <v>339</v>
      </c>
      <c r="C5581" s="1" t="s">
        <v>39</v>
      </c>
      <c r="D5581" s="1">
        <v>8.0</v>
      </c>
      <c r="E5581" s="1">
        <v>25880.0</v>
      </c>
      <c r="F5581" s="10">
        <f t="shared" si="1"/>
        <v>8</v>
      </c>
      <c r="G5581" s="10">
        <f t="array" ref="G5581">index('Player ID'!C:C,match(E5581,'Player ID'!B:B,0))</f>
        <v>686613</v>
      </c>
    </row>
    <row r="5582">
      <c r="A5582" s="76">
        <v>45792.0</v>
      </c>
      <c r="B5582" s="1" t="s">
        <v>310</v>
      </c>
      <c r="C5582" s="1" t="s">
        <v>33</v>
      </c>
      <c r="D5582" s="1">
        <v>1.0</v>
      </c>
      <c r="E5582" s="1">
        <v>14706.0</v>
      </c>
      <c r="F5582" s="10">
        <f t="shared" si="1"/>
        <v>1</v>
      </c>
      <c r="G5582" s="10">
        <f t="array" ref="G5582">index('Player ID'!C:C,match(E5582,'Player ID'!B:B,0))</f>
        <v>607455</v>
      </c>
    </row>
    <row r="5583">
      <c r="A5583" s="76">
        <v>45792.0</v>
      </c>
      <c r="B5583" s="1" t="s">
        <v>264</v>
      </c>
      <c r="C5583" s="1" t="s">
        <v>52</v>
      </c>
      <c r="D5583" s="1">
        <v>2.1</v>
      </c>
      <c r="E5583" s="1">
        <v>19666.0</v>
      </c>
      <c r="F5583" s="10">
        <f t="shared" si="1"/>
        <v>2.333333333</v>
      </c>
      <c r="G5583" s="10">
        <f t="array" ref="G5583">index('Player ID'!C:C,match(E5583,'Player ID'!B:B,0))</f>
        <v>669920</v>
      </c>
    </row>
    <row r="5584">
      <c r="A5584" s="76">
        <v>45792.0</v>
      </c>
      <c r="B5584" s="1" t="s">
        <v>768</v>
      </c>
      <c r="C5584" s="1" t="s">
        <v>52</v>
      </c>
      <c r="D5584" s="1">
        <v>1.0</v>
      </c>
      <c r="E5584" s="1">
        <v>19802.0</v>
      </c>
      <c r="F5584" s="10">
        <f t="shared" si="1"/>
        <v>1</v>
      </c>
      <c r="G5584" s="10">
        <f t="array" ref="G5584">index('Player ID'!C:C,match(E5584,'Player ID'!B:B,0))</f>
        <v>640902</v>
      </c>
    </row>
    <row r="5585">
      <c r="A5585" s="76">
        <v>45792.0</v>
      </c>
      <c r="B5585" s="1" t="s">
        <v>390</v>
      </c>
      <c r="C5585" s="1" t="s">
        <v>33</v>
      </c>
      <c r="D5585" s="1">
        <v>4.0</v>
      </c>
      <c r="E5585" s="1">
        <v>22284.0</v>
      </c>
      <c r="F5585" s="10">
        <f t="shared" si="1"/>
        <v>4</v>
      </c>
      <c r="G5585" s="10">
        <f t="array" ref="G5585">index('Player ID'!C:C,match(E5585,'Player ID'!B:B,0))</f>
        <v>669422</v>
      </c>
    </row>
    <row r="5586">
      <c r="A5586" s="76">
        <v>45792.0</v>
      </c>
      <c r="B5586" s="1" t="s">
        <v>454</v>
      </c>
      <c r="C5586" s="1" t="s">
        <v>52</v>
      </c>
      <c r="D5586" s="1">
        <v>1.2</v>
      </c>
      <c r="E5586" s="1">
        <v>23150.0</v>
      </c>
      <c r="F5586" s="10">
        <f t="shared" si="1"/>
        <v>1.666666667</v>
      </c>
      <c r="G5586" s="10">
        <f t="array" ref="G5586">index('Player ID'!C:C,match(E5586,'Player ID'!B:B,0))</f>
        <v>674370</v>
      </c>
    </row>
    <row r="5587">
      <c r="A5587" s="76">
        <v>45792.0</v>
      </c>
      <c r="B5587" s="1" t="s">
        <v>127</v>
      </c>
      <c r="C5587" s="1" t="s">
        <v>52</v>
      </c>
      <c r="D5587" s="1">
        <v>3.0</v>
      </c>
      <c r="E5587" s="1">
        <v>27707.0</v>
      </c>
      <c r="F5587" s="10">
        <f t="shared" si="1"/>
        <v>3</v>
      </c>
      <c r="G5587" s="10">
        <f t="array" ref="G5587">index('Player ID'!C:C,match(E5587,'Player ID'!B:B,0))</f>
        <v>687765</v>
      </c>
    </row>
    <row r="5588">
      <c r="A5588" s="76">
        <v>45792.0</v>
      </c>
      <c r="B5588" s="1" t="s">
        <v>198</v>
      </c>
      <c r="C5588" s="1" t="s">
        <v>33</v>
      </c>
      <c r="D5588" s="1">
        <v>4.0</v>
      </c>
      <c r="E5588" s="1">
        <v>31204.0</v>
      </c>
      <c r="F5588" s="10">
        <f t="shared" si="1"/>
        <v>4</v>
      </c>
      <c r="G5588" s="10">
        <f t="array" ref="G5588">index('Player ID'!C:C,match(E5588,'Player ID'!B:B,0))</f>
        <v>680736</v>
      </c>
    </row>
    <row r="5589">
      <c r="A5589" s="76">
        <v>45793.0</v>
      </c>
      <c r="B5589" s="1" t="s">
        <v>460</v>
      </c>
      <c r="C5589" s="1" t="s">
        <v>34</v>
      </c>
      <c r="D5589" s="1">
        <v>1.0</v>
      </c>
      <c r="E5589" s="1">
        <v>7005.0</v>
      </c>
      <c r="F5589" s="10">
        <f t="shared" si="1"/>
        <v>1</v>
      </c>
      <c r="G5589" s="10">
        <f t="array" ref="G5589">index('Player ID'!C:C,match(E5589,'Player ID'!B:B,0))</f>
        <v>519151</v>
      </c>
    </row>
    <row r="5590">
      <c r="A5590" s="76">
        <v>45793.0</v>
      </c>
      <c r="B5590" s="1" t="s">
        <v>71</v>
      </c>
      <c r="C5590" s="1" t="s">
        <v>34</v>
      </c>
      <c r="D5590" s="1">
        <v>1.0</v>
      </c>
      <c r="E5590" s="1">
        <v>10078.0</v>
      </c>
      <c r="F5590" s="10">
        <f t="shared" si="1"/>
        <v>1</v>
      </c>
      <c r="G5590" s="10">
        <f t="array" ref="G5590">index('Player ID'!C:C,match(E5590,'Player ID'!B:B,0))</f>
        <v>573204</v>
      </c>
    </row>
    <row r="5591">
      <c r="A5591" s="76">
        <v>45793.0</v>
      </c>
      <c r="B5591" s="1" t="s">
        <v>764</v>
      </c>
      <c r="C5591" s="1" t="s">
        <v>78</v>
      </c>
      <c r="D5591" s="1">
        <v>1.1</v>
      </c>
      <c r="E5591" s="1">
        <v>15684.0</v>
      </c>
      <c r="F5591" s="10">
        <f t="shared" si="1"/>
        <v>1.333333333</v>
      </c>
      <c r="G5591" s="10">
        <f t="array" ref="G5591">index('Player ID'!C:C,match(E5591,'Player ID'!B:B,0))</f>
        <v>612434</v>
      </c>
    </row>
    <row r="5592">
      <c r="A5592" s="76">
        <v>45793.0</v>
      </c>
      <c r="B5592" s="1" t="s">
        <v>632</v>
      </c>
      <c r="C5592" s="1" t="s">
        <v>34</v>
      </c>
      <c r="D5592" s="1">
        <v>1.0</v>
      </c>
      <c r="E5592" s="1">
        <v>16703.0</v>
      </c>
      <c r="F5592" s="10">
        <f t="shared" si="1"/>
        <v>1</v>
      </c>
      <c r="G5592" s="10">
        <f t="array" ref="G5592">index('Player ID'!C:C,match(E5592,'Player ID'!B:B,0))</f>
        <v>657240</v>
      </c>
    </row>
    <row r="5593">
      <c r="A5593" s="76">
        <v>45793.0</v>
      </c>
      <c r="B5593" s="1" t="s">
        <v>478</v>
      </c>
      <c r="C5593" s="1" t="s">
        <v>78</v>
      </c>
      <c r="D5593" s="1">
        <v>0.1</v>
      </c>
      <c r="E5593" s="1">
        <v>17964.0</v>
      </c>
      <c r="F5593" s="10">
        <f t="shared" si="1"/>
        <v>0.3333333333</v>
      </c>
      <c r="G5593" s="10">
        <f t="array" ref="G5593">index('Player ID'!C:C,match(E5593,'Player ID'!B:B,0))</f>
        <v>656457</v>
      </c>
    </row>
    <row r="5594">
      <c r="A5594" s="76">
        <v>45793.0</v>
      </c>
      <c r="B5594" s="1" t="s">
        <v>691</v>
      </c>
      <c r="C5594" s="1" t="s">
        <v>78</v>
      </c>
      <c r="D5594" s="1">
        <v>1.0</v>
      </c>
      <c r="E5594" s="1">
        <v>22872.0</v>
      </c>
      <c r="F5594" s="10">
        <f t="shared" si="1"/>
        <v>1</v>
      </c>
      <c r="G5594" s="10">
        <f t="array" ref="G5594">index('Player ID'!C:C,match(E5594,'Player ID'!B:B,0))</f>
        <v>672782</v>
      </c>
    </row>
    <row r="5595">
      <c r="A5595" s="76">
        <v>45793.0</v>
      </c>
      <c r="B5595" s="1" t="s">
        <v>367</v>
      </c>
      <c r="C5595" s="1" t="s">
        <v>78</v>
      </c>
      <c r="D5595" s="1">
        <v>0.1</v>
      </c>
      <c r="E5595" s="1">
        <v>27668.0</v>
      </c>
      <c r="F5595" s="10">
        <f t="shared" si="1"/>
        <v>0.3333333333</v>
      </c>
      <c r="G5595" s="10">
        <f t="array" ref="G5595">index('Player ID'!C:C,match(E5595,'Player ID'!B:B,0))</f>
        <v>685126</v>
      </c>
    </row>
    <row r="5596">
      <c r="A5596" s="76">
        <v>45793.0</v>
      </c>
      <c r="B5596" s="1" t="s">
        <v>167</v>
      </c>
      <c r="C5596" s="1" t="s">
        <v>34</v>
      </c>
      <c r="D5596" s="1">
        <v>1.0</v>
      </c>
      <c r="E5596" s="1">
        <v>27914.0</v>
      </c>
      <c r="F5596" s="10">
        <f t="shared" si="1"/>
        <v>1</v>
      </c>
      <c r="G5596" s="10">
        <f t="array" ref="G5596">index('Player ID'!C:C,match(E5596,'Player ID'!B:B,0))</f>
        <v>694037</v>
      </c>
    </row>
    <row r="5597">
      <c r="A5597" s="76">
        <v>45793.0</v>
      </c>
      <c r="B5597" s="1" t="s">
        <v>470</v>
      </c>
      <c r="C5597" s="1" t="s">
        <v>78</v>
      </c>
      <c r="D5597" s="1">
        <v>5.0</v>
      </c>
      <c r="E5597" s="1">
        <v>31687.0</v>
      </c>
      <c r="F5597" s="10">
        <f t="shared" si="1"/>
        <v>5</v>
      </c>
      <c r="G5597" s="10">
        <f t="array" ref="G5597">index('Player ID'!C:C,match(E5597,'Player ID'!B:B,0))</f>
        <v>681343</v>
      </c>
    </row>
    <row r="5598">
      <c r="A5598" s="76">
        <v>45793.0</v>
      </c>
      <c r="B5598" s="1" t="s">
        <v>434</v>
      </c>
      <c r="C5598" s="1" t="s">
        <v>34</v>
      </c>
      <c r="D5598" s="1">
        <v>5.0</v>
      </c>
      <c r="E5598" s="1">
        <v>31872.0</v>
      </c>
      <c r="F5598" s="10">
        <f t="shared" si="1"/>
        <v>5</v>
      </c>
      <c r="G5598" s="10">
        <f t="array" ref="G5598">index('Player ID'!C:C,match(E5598,'Player ID'!B:B,0))</f>
        <v>690990</v>
      </c>
    </row>
    <row r="5599">
      <c r="A5599" s="76">
        <v>45793.0</v>
      </c>
      <c r="B5599" s="1" t="s">
        <v>362</v>
      </c>
      <c r="C5599" s="1" t="s">
        <v>66</v>
      </c>
      <c r="D5599" s="1">
        <v>1.0</v>
      </c>
      <c r="E5599" s="1">
        <v>13449.0</v>
      </c>
      <c r="F5599" s="10">
        <f t="shared" si="1"/>
        <v>1</v>
      </c>
      <c r="G5599" s="10">
        <f t="array" ref="G5599">index('Player ID'!C:C,match(E5599,'Player ID'!B:B,0))</f>
        <v>573124</v>
      </c>
    </row>
    <row r="5600">
      <c r="A5600" s="76">
        <v>45793.0</v>
      </c>
      <c r="B5600" s="1" t="s">
        <v>651</v>
      </c>
      <c r="C5600" s="1" t="s">
        <v>66</v>
      </c>
      <c r="D5600" s="1">
        <v>1.0</v>
      </c>
      <c r="E5600" s="1">
        <v>14771.0</v>
      </c>
      <c r="F5600" s="10">
        <f t="shared" si="1"/>
        <v>1</v>
      </c>
      <c r="G5600" s="10">
        <f t="array" ref="G5600">index('Player ID'!C:C,match(E5600,'Player ID'!B:B,0))</f>
        <v>641941</v>
      </c>
    </row>
    <row r="5601">
      <c r="A5601" s="76">
        <v>45793.0</v>
      </c>
      <c r="B5601" s="1" t="s">
        <v>141</v>
      </c>
      <c r="C5601" s="1" t="s">
        <v>70</v>
      </c>
      <c r="D5601" s="1">
        <v>2.0</v>
      </c>
      <c r="E5601" s="1">
        <v>19330.0</v>
      </c>
      <c r="F5601" s="10">
        <f t="shared" si="1"/>
        <v>2</v>
      </c>
      <c r="G5601" s="10">
        <f t="array" ref="G5601">index('Player ID'!C:C,match(E5601,'Player ID'!B:B,0))</f>
        <v>670036</v>
      </c>
    </row>
    <row r="5602">
      <c r="A5602" s="76">
        <v>45793.0</v>
      </c>
      <c r="B5602" s="1" t="s">
        <v>345</v>
      </c>
      <c r="C5602" s="1" t="s">
        <v>66</v>
      </c>
      <c r="D5602" s="1">
        <v>1.0</v>
      </c>
      <c r="E5602" s="1">
        <v>19926.0</v>
      </c>
      <c r="F5602" s="10">
        <f t="shared" si="1"/>
        <v>1</v>
      </c>
      <c r="G5602" s="10">
        <f t="array" ref="G5602">index('Player ID'!C:C,match(E5602,'Player ID'!B:B,0))</f>
        <v>663574</v>
      </c>
    </row>
    <row r="5603">
      <c r="A5603" s="76">
        <v>45793.0</v>
      </c>
      <c r="B5603" s="1" t="s">
        <v>353</v>
      </c>
      <c r="C5603" s="1" t="s">
        <v>66</v>
      </c>
      <c r="D5603" s="1">
        <v>5.0</v>
      </c>
      <c r="E5603" s="1">
        <v>25377.0</v>
      </c>
      <c r="F5603" s="10">
        <f t="shared" si="1"/>
        <v>5</v>
      </c>
      <c r="G5603" s="10">
        <f t="array" ref="G5603">index('Player ID'!C:C,match(E5603,'Player ID'!B:B,0))</f>
        <v>663903</v>
      </c>
    </row>
    <row r="5604">
      <c r="A5604" s="76">
        <v>45793.0</v>
      </c>
      <c r="B5604" s="1" t="s">
        <v>211</v>
      </c>
      <c r="C5604" s="1" t="s">
        <v>66</v>
      </c>
      <c r="D5604" s="1">
        <v>1.0</v>
      </c>
      <c r="E5604" s="1">
        <v>27552.0</v>
      </c>
      <c r="F5604" s="10">
        <f t="shared" si="1"/>
        <v>1</v>
      </c>
      <c r="G5604" s="10">
        <f t="array" ref="G5604">index('Player ID'!C:C,match(E5604,'Player ID'!B:B,0))</f>
        <v>668933</v>
      </c>
    </row>
    <row r="5605">
      <c r="A5605" s="76">
        <v>45793.0</v>
      </c>
      <c r="B5605" s="1" t="s">
        <v>308</v>
      </c>
      <c r="C5605" s="1" t="s">
        <v>70</v>
      </c>
      <c r="D5605" s="1">
        <v>6.0</v>
      </c>
      <c r="E5605" s="1">
        <v>30134.0</v>
      </c>
      <c r="F5605" s="10">
        <f t="shared" si="1"/>
        <v>6</v>
      </c>
      <c r="G5605" s="10">
        <f t="array" ref="G5605">index('Player ID'!C:C,match(E5605,'Player ID'!B:B,0))</f>
        <v>676440</v>
      </c>
    </row>
    <row r="5606">
      <c r="A5606" s="76">
        <v>45793.0</v>
      </c>
      <c r="B5606" s="1" t="s">
        <v>256</v>
      </c>
      <c r="C5606" s="1" t="s">
        <v>60</v>
      </c>
      <c r="D5606" s="1">
        <v>5.0</v>
      </c>
      <c r="E5606" s="1">
        <v>15423.0</v>
      </c>
      <c r="F5606" s="10">
        <f t="shared" si="1"/>
        <v>5</v>
      </c>
      <c r="G5606" s="10">
        <f t="array" ref="G5606">index('Player ID'!C:C,match(E5606,'Player ID'!B:B,0))</f>
        <v>571760</v>
      </c>
    </row>
    <row r="5607">
      <c r="A5607" s="76">
        <v>45793.0</v>
      </c>
      <c r="B5607" s="1" t="s">
        <v>208</v>
      </c>
      <c r="C5607" s="1" t="s">
        <v>45</v>
      </c>
      <c r="D5607" s="1">
        <v>1.0</v>
      </c>
      <c r="E5607" s="1">
        <v>16122.0</v>
      </c>
      <c r="F5607" s="10">
        <f t="shared" si="1"/>
        <v>1</v>
      </c>
      <c r="G5607" s="10">
        <f t="array" ref="G5607">index('Player ID'!C:C,match(E5607,'Player ID'!B:B,0))</f>
        <v>605447</v>
      </c>
    </row>
    <row r="5608">
      <c r="A5608" s="76">
        <v>45793.0</v>
      </c>
      <c r="B5608" s="1" t="s">
        <v>443</v>
      </c>
      <c r="C5608" s="1" t="s">
        <v>60</v>
      </c>
      <c r="D5608" s="1">
        <v>0.0</v>
      </c>
      <c r="E5608" s="1">
        <v>16350.0</v>
      </c>
      <c r="F5608" s="10">
        <f t="shared" si="1"/>
        <v>0</v>
      </c>
      <c r="G5608" s="10">
        <f t="array" ref="G5608">index('Player ID'!C:C,match(E5608,'Player ID'!B:B,0))</f>
        <v>621366</v>
      </c>
    </row>
    <row r="5609">
      <c r="A5609" s="76">
        <v>45793.0</v>
      </c>
      <c r="B5609" s="1" t="s">
        <v>827</v>
      </c>
      <c r="C5609" s="1" t="s">
        <v>45</v>
      </c>
      <c r="D5609" s="1">
        <v>7.0</v>
      </c>
      <c r="E5609" s="1">
        <v>17277.0</v>
      </c>
      <c r="F5609" s="10">
        <f t="shared" si="1"/>
        <v>7</v>
      </c>
      <c r="G5609" s="10">
        <f t="array" ref="G5609">index('Player ID'!C:C,match(E5609,'Player ID'!B:B,0))</f>
        <v>624133</v>
      </c>
    </row>
    <row r="5610">
      <c r="A5610" s="76">
        <v>45793.0</v>
      </c>
      <c r="B5610" s="1" t="s">
        <v>716</v>
      </c>
      <c r="C5610" s="1" t="s">
        <v>60</v>
      </c>
      <c r="D5610" s="1">
        <v>0.2</v>
      </c>
      <c r="E5610" s="1">
        <v>17610.0</v>
      </c>
      <c r="F5610" s="10">
        <f t="shared" si="1"/>
        <v>0.6666666667</v>
      </c>
      <c r="G5610" s="10">
        <f t="array" ref="G5610">index('Player ID'!C:C,match(E5610,'Player ID'!B:B,0))</f>
        <v>663432</v>
      </c>
    </row>
    <row r="5611">
      <c r="A5611" s="76">
        <v>45793.0</v>
      </c>
      <c r="B5611" s="1" t="s">
        <v>643</v>
      </c>
      <c r="C5611" s="1" t="s">
        <v>45</v>
      </c>
      <c r="D5611" s="1">
        <v>0.2</v>
      </c>
      <c r="E5611" s="1">
        <v>17780.0</v>
      </c>
      <c r="F5611" s="10">
        <f t="shared" si="1"/>
        <v>0.6666666667</v>
      </c>
      <c r="G5611" s="10">
        <f t="array" ref="G5611">index('Player ID'!C:C,match(E5611,'Player ID'!B:B,0))</f>
        <v>621237</v>
      </c>
    </row>
    <row r="5612">
      <c r="A5612" s="76">
        <v>45793.0</v>
      </c>
      <c r="B5612" s="1" t="s">
        <v>384</v>
      </c>
      <c r="C5612" s="1" t="s">
        <v>60</v>
      </c>
      <c r="D5612" s="1">
        <v>1.0</v>
      </c>
      <c r="E5612" s="1">
        <v>19962.0</v>
      </c>
      <c r="F5612" s="10">
        <f t="shared" si="1"/>
        <v>1</v>
      </c>
      <c r="G5612" s="10">
        <f t="array" ref="G5612">index('Player ID'!C:C,match(E5612,'Player ID'!B:B,0))</f>
        <v>666214</v>
      </c>
    </row>
    <row r="5613">
      <c r="A5613" s="76">
        <v>45793.0</v>
      </c>
      <c r="B5613" s="1" t="s">
        <v>788</v>
      </c>
      <c r="C5613" s="1" t="s">
        <v>45</v>
      </c>
      <c r="D5613" s="1">
        <v>0.1</v>
      </c>
      <c r="E5613" s="1">
        <v>21229.0</v>
      </c>
      <c r="F5613" s="10">
        <f t="shared" si="1"/>
        <v>0.3333333333</v>
      </c>
      <c r="G5613" s="10">
        <f t="array" ref="G5613">index('Player ID'!C:C,match(E5613,'Player ID'!B:B,0))</f>
        <v>642016</v>
      </c>
    </row>
    <row r="5614">
      <c r="A5614" s="76">
        <v>45793.0</v>
      </c>
      <c r="B5614" s="1" t="s">
        <v>663</v>
      </c>
      <c r="C5614" s="1" t="s">
        <v>60</v>
      </c>
      <c r="D5614" s="1">
        <v>1.1</v>
      </c>
      <c r="E5614" s="1">
        <v>22361.0</v>
      </c>
      <c r="F5614" s="10">
        <f t="shared" si="1"/>
        <v>1.333333333</v>
      </c>
      <c r="G5614" s="10">
        <f t="array" ref="G5614">index('Player ID'!C:C,match(E5614,'Player ID'!B:B,0))</f>
        <v>670059</v>
      </c>
    </row>
    <row r="5615">
      <c r="A5615" s="76">
        <v>45793.0</v>
      </c>
      <c r="B5615" s="1" t="s">
        <v>506</v>
      </c>
      <c r="C5615" s="1" t="s">
        <v>80</v>
      </c>
      <c r="D5615" s="1">
        <v>1.0</v>
      </c>
      <c r="E5615" s="1">
        <v>12988.0</v>
      </c>
      <c r="F5615" s="10">
        <f t="shared" si="1"/>
        <v>1</v>
      </c>
      <c r="G5615" s="10">
        <f t="array" ref="G5615">index('Player ID'!C:C,match(E5615,'Player ID'!B:B,0))</f>
        <v>605177</v>
      </c>
    </row>
    <row r="5616">
      <c r="A5616" s="76">
        <v>45793.0</v>
      </c>
      <c r="B5616" s="1" t="s">
        <v>719</v>
      </c>
      <c r="C5616" s="1" t="s">
        <v>80</v>
      </c>
      <c r="D5616" s="1">
        <v>1.0</v>
      </c>
      <c r="E5616" s="1">
        <v>14527.0</v>
      </c>
      <c r="F5616" s="10">
        <f t="shared" si="1"/>
        <v>1</v>
      </c>
      <c r="G5616" s="10">
        <f t="array" ref="G5616">index('Player ID'!C:C,match(E5616,'Player ID'!B:B,0))</f>
        <v>605347</v>
      </c>
    </row>
    <row r="5617">
      <c r="A5617" s="76">
        <v>45793.0</v>
      </c>
      <c r="B5617" s="1" t="s">
        <v>139</v>
      </c>
      <c r="C5617" s="1" t="s">
        <v>80</v>
      </c>
      <c r="D5617" s="1">
        <v>1.0</v>
      </c>
      <c r="E5617" s="1">
        <v>15009.0</v>
      </c>
      <c r="F5617" s="10">
        <f t="shared" si="1"/>
        <v>1</v>
      </c>
      <c r="G5617" s="10">
        <f t="array" ref="G5617">index('Player ID'!C:C,match(E5617,'Player ID'!B:B,0))</f>
        <v>640448</v>
      </c>
    </row>
    <row r="5618">
      <c r="A5618" s="76">
        <v>45793.0</v>
      </c>
      <c r="B5618" s="1" t="s">
        <v>231</v>
      </c>
      <c r="C5618" s="1" t="s">
        <v>68</v>
      </c>
      <c r="D5618" s="1">
        <v>1.0</v>
      </c>
      <c r="E5618" s="1">
        <v>19362.0</v>
      </c>
      <c r="F5618" s="10">
        <f t="shared" si="1"/>
        <v>1</v>
      </c>
      <c r="G5618" s="10">
        <f t="array" ref="G5618">index('Player ID'!C:C,match(E5618,'Player ID'!B:B,0))</f>
        <v>669211</v>
      </c>
    </row>
    <row r="5619">
      <c r="A5619" s="76">
        <v>45793.0</v>
      </c>
      <c r="B5619" s="1" t="s">
        <v>433</v>
      </c>
      <c r="C5619" s="1" t="s">
        <v>68</v>
      </c>
      <c r="D5619" s="1">
        <v>0.2</v>
      </c>
      <c r="E5619" s="1">
        <v>19677.0</v>
      </c>
      <c r="F5619" s="10">
        <f t="shared" si="1"/>
        <v>0.6666666667</v>
      </c>
      <c r="G5619" s="10">
        <f t="array" ref="G5619">index('Player ID'!C:C,match(E5619,'Player ID'!B:B,0))</f>
        <v>642397</v>
      </c>
    </row>
    <row r="5620">
      <c r="A5620" s="76">
        <v>45793.0</v>
      </c>
      <c r="B5620" s="1" t="s">
        <v>240</v>
      </c>
      <c r="C5620" s="1" t="s">
        <v>68</v>
      </c>
      <c r="D5620" s="1">
        <v>0.2</v>
      </c>
      <c r="E5620" s="1">
        <v>19804.0</v>
      </c>
      <c r="F5620" s="10">
        <f t="shared" si="1"/>
        <v>0.6666666667</v>
      </c>
      <c r="G5620" s="10">
        <f t="array" ref="G5620">index('Player ID'!C:C,match(E5620,'Player ID'!B:B,0))</f>
        <v>641329</v>
      </c>
    </row>
    <row r="5621">
      <c r="A5621" s="76">
        <v>45793.0</v>
      </c>
      <c r="B5621" s="1" t="s">
        <v>698</v>
      </c>
      <c r="C5621" s="1" t="s">
        <v>68</v>
      </c>
      <c r="D5621" s="1">
        <v>1.0</v>
      </c>
      <c r="E5621" s="1">
        <v>20666.0</v>
      </c>
      <c r="F5621" s="10">
        <f t="shared" si="1"/>
        <v>1</v>
      </c>
      <c r="G5621" s="10">
        <f t="array" ref="G5621">index('Player ID'!C:C,match(E5621,'Player ID'!B:B,0))</f>
        <v>642585</v>
      </c>
    </row>
    <row r="5622">
      <c r="A5622" s="76">
        <v>45793.0</v>
      </c>
      <c r="B5622" s="1" t="s">
        <v>354</v>
      </c>
      <c r="C5622" s="1" t="s">
        <v>80</v>
      </c>
      <c r="D5622" s="1">
        <v>3.2</v>
      </c>
      <c r="E5622" s="1">
        <v>22201.0</v>
      </c>
      <c r="F5622" s="10">
        <f t="shared" si="1"/>
        <v>3.666666667</v>
      </c>
      <c r="G5622" s="10">
        <f t="array" ref="G5622">index('Player ID'!C:C,match(E5622,'Player ID'!B:B,0))</f>
        <v>669022</v>
      </c>
    </row>
    <row r="5623">
      <c r="A5623" s="76">
        <v>45793.0</v>
      </c>
      <c r="B5623" s="1" t="s">
        <v>86</v>
      </c>
      <c r="C5623" s="1" t="s">
        <v>80</v>
      </c>
      <c r="D5623" s="1">
        <v>1.0</v>
      </c>
      <c r="E5623" s="1">
        <v>24017.0</v>
      </c>
      <c r="F5623" s="10">
        <f t="shared" si="1"/>
        <v>1</v>
      </c>
      <c r="G5623" s="10">
        <f t="array" ref="G5623">index('Player ID'!C:C,match(E5623,'Player ID'!B:B,0))</f>
        <v>678606</v>
      </c>
    </row>
    <row r="5624">
      <c r="A5624" s="76">
        <v>45793.0</v>
      </c>
      <c r="B5624" s="1" t="s">
        <v>511</v>
      </c>
      <c r="C5624" s="1" t="s">
        <v>80</v>
      </c>
      <c r="D5624" s="1">
        <v>1.0</v>
      </c>
      <c r="E5624" s="1">
        <v>26215.0</v>
      </c>
      <c r="F5624" s="10">
        <f t="shared" si="1"/>
        <v>1</v>
      </c>
      <c r="G5624" s="10">
        <f t="array" ref="G5624">index('Player ID'!C:C,match(E5624,'Player ID'!B:B,0))</f>
        <v>671131</v>
      </c>
    </row>
    <row r="5625">
      <c r="A5625" s="76">
        <v>45793.0</v>
      </c>
      <c r="B5625" s="1" t="s">
        <v>507</v>
      </c>
      <c r="C5625" s="1" t="s">
        <v>80</v>
      </c>
      <c r="D5625" s="1">
        <v>0.1</v>
      </c>
      <c r="E5625" s="1">
        <v>27570.0</v>
      </c>
      <c r="F5625" s="10">
        <f t="shared" si="1"/>
        <v>0.3333333333</v>
      </c>
      <c r="G5625" s="10">
        <f t="array" ref="G5625">index('Player ID'!C:C,match(E5625,'Player ID'!B:B,0))</f>
        <v>669371</v>
      </c>
    </row>
    <row r="5626">
      <c r="A5626" s="76">
        <v>45793.0</v>
      </c>
      <c r="B5626" s="1" t="s">
        <v>347</v>
      </c>
      <c r="C5626" s="1" t="s">
        <v>68</v>
      </c>
      <c r="D5626" s="1">
        <v>5.2</v>
      </c>
      <c r="E5626" s="1">
        <v>30055.0</v>
      </c>
      <c r="F5626" s="10">
        <f t="shared" si="1"/>
        <v>5.666666667</v>
      </c>
      <c r="G5626" s="10">
        <f t="array" ref="G5626">index('Player ID'!C:C,match(E5626,'Player ID'!B:B,0))</f>
        <v>700249</v>
      </c>
    </row>
    <row r="5627">
      <c r="A5627" s="76">
        <v>45793.0</v>
      </c>
      <c r="B5627" s="1" t="s">
        <v>467</v>
      </c>
      <c r="C5627" s="1" t="s">
        <v>58</v>
      </c>
      <c r="D5627" s="1">
        <v>1.0</v>
      </c>
      <c r="E5627" s="1">
        <v>15551.0</v>
      </c>
      <c r="F5627" s="10">
        <f t="shared" si="1"/>
        <v>1</v>
      </c>
      <c r="G5627" s="10">
        <f t="array" ref="G5627">index('Player ID'!C:C,match(E5627,'Player ID'!B:B,0))</f>
        <v>643410</v>
      </c>
    </row>
    <row r="5628">
      <c r="A5628" s="76">
        <v>45793.0</v>
      </c>
      <c r="B5628" s="1" t="s">
        <v>114</v>
      </c>
      <c r="C5628" s="1" t="s">
        <v>58</v>
      </c>
      <c r="D5628" s="1">
        <v>1.0</v>
      </c>
      <c r="E5628" s="1">
        <v>15816.0</v>
      </c>
      <c r="F5628" s="10">
        <f t="shared" si="1"/>
        <v>1</v>
      </c>
      <c r="G5628" s="10">
        <f t="array" ref="G5628">index('Player ID'!C:C,match(E5628,'Player ID'!B:B,0))</f>
        <v>642207</v>
      </c>
    </row>
    <row r="5629">
      <c r="A5629" s="76">
        <v>45793.0</v>
      </c>
      <c r="B5629" s="1" t="s">
        <v>635</v>
      </c>
      <c r="C5629" s="1" t="s">
        <v>58</v>
      </c>
      <c r="D5629" s="1">
        <v>5.0</v>
      </c>
      <c r="E5629" s="1">
        <v>16137.0</v>
      </c>
      <c r="F5629" s="10">
        <f t="shared" si="1"/>
        <v>5</v>
      </c>
      <c r="G5629" s="10">
        <f t="array" ref="G5629">index('Player ID'!C:C,match(E5629,'Player ID'!B:B,0))</f>
        <v>607074</v>
      </c>
    </row>
    <row r="5630">
      <c r="A5630" s="76">
        <v>45793.0</v>
      </c>
      <c r="B5630" s="1" t="s">
        <v>225</v>
      </c>
      <c r="C5630" s="1" t="s">
        <v>58</v>
      </c>
      <c r="D5630" s="1">
        <v>0.1</v>
      </c>
      <c r="E5630" s="1">
        <v>16918.0</v>
      </c>
      <c r="F5630" s="10">
        <f t="shared" si="1"/>
        <v>0.3333333333</v>
      </c>
      <c r="G5630" s="10">
        <f t="array" ref="G5630">index('Player ID'!C:C,match(E5630,'Player ID'!B:B,0))</f>
        <v>596133</v>
      </c>
    </row>
    <row r="5631">
      <c r="A5631" s="76">
        <v>45793.0</v>
      </c>
      <c r="B5631" s="1" t="s">
        <v>831</v>
      </c>
      <c r="C5631" s="1" t="s">
        <v>58</v>
      </c>
      <c r="D5631" s="1">
        <v>1.0</v>
      </c>
      <c r="E5631" s="1">
        <v>19753.0</v>
      </c>
      <c r="F5631" s="10">
        <f t="shared" si="1"/>
        <v>1</v>
      </c>
      <c r="G5631" s="10">
        <f t="array" ref="G5631">index('Player ID'!C:C,match(E5631,'Player ID'!B:B,0))</f>
        <v>642528</v>
      </c>
    </row>
    <row r="5632">
      <c r="A5632" s="76">
        <v>45793.0</v>
      </c>
      <c r="B5632" s="1" t="s">
        <v>386</v>
      </c>
      <c r="C5632" s="1" t="s">
        <v>51</v>
      </c>
      <c r="D5632" s="1">
        <v>2.2</v>
      </c>
      <c r="E5632" s="1">
        <v>21318.0</v>
      </c>
      <c r="F5632" s="10">
        <f t="shared" si="1"/>
        <v>2.666666667</v>
      </c>
      <c r="G5632" s="10">
        <f t="array" ref="G5632">index('Player ID'!C:C,match(E5632,'Player ID'!B:B,0))</f>
        <v>656731</v>
      </c>
    </row>
    <row r="5633">
      <c r="A5633" s="76">
        <v>45793.0</v>
      </c>
      <c r="B5633" s="1" t="s">
        <v>309</v>
      </c>
      <c r="C5633" s="1" t="s">
        <v>58</v>
      </c>
      <c r="D5633" s="1">
        <v>0.2</v>
      </c>
      <c r="E5633" s="1">
        <v>21420.0</v>
      </c>
      <c r="F5633" s="10">
        <f t="shared" si="1"/>
        <v>0.6666666667</v>
      </c>
      <c r="G5633" s="10">
        <f t="array" ref="G5633">index('Player ID'!C:C,match(E5633,'Player ID'!B:B,0))</f>
        <v>660787</v>
      </c>
    </row>
    <row r="5634">
      <c r="A5634" s="76">
        <v>45793.0</v>
      </c>
      <c r="B5634" s="1" t="s">
        <v>50</v>
      </c>
      <c r="C5634" s="1" t="s">
        <v>51</v>
      </c>
      <c r="D5634" s="1">
        <v>2.1</v>
      </c>
      <c r="E5634" s="1">
        <v>22175.0</v>
      </c>
      <c r="F5634" s="10">
        <f t="shared" si="1"/>
        <v>2.333333333</v>
      </c>
      <c r="G5634" s="10">
        <f t="array" ref="G5634">index('Player ID'!C:C,match(E5634,'Player ID'!B:B,0))</f>
        <v>668820</v>
      </c>
    </row>
    <row r="5635">
      <c r="A5635" s="76">
        <v>45793.0</v>
      </c>
      <c r="B5635" s="1" t="s">
        <v>829</v>
      </c>
      <c r="C5635" s="1" t="s">
        <v>51</v>
      </c>
      <c r="D5635" s="1">
        <v>1.0</v>
      </c>
      <c r="E5635" s="1">
        <v>23055.0</v>
      </c>
      <c r="F5635" s="10">
        <f t="shared" si="1"/>
        <v>1</v>
      </c>
      <c r="G5635" s="10">
        <f t="array" ref="G5635">index('Player ID'!C:C,match(E5635,'Player ID'!B:B,0))</f>
        <v>673380</v>
      </c>
    </row>
    <row r="5636">
      <c r="A5636" s="76">
        <v>45793.0</v>
      </c>
      <c r="B5636" s="1" t="s">
        <v>712</v>
      </c>
      <c r="C5636" s="1" t="s">
        <v>51</v>
      </c>
      <c r="D5636" s="1">
        <v>2.0</v>
      </c>
      <c r="E5636" s="1">
        <v>23313.0</v>
      </c>
      <c r="F5636" s="10">
        <f t="shared" si="1"/>
        <v>2</v>
      </c>
      <c r="G5636" s="10">
        <f t="array" ref="G5636">index('Player ID'!C:C,match(E5636,'Player ID'!B:B,0))</f>
        <v>676130</v>
      </c>
    </row>
    <row r="5637">
      <c r="A5637" s="76">
        <v>45793.0</v>
      </c>
      <c r="B5637" s="1" t="s">
        <v>439</v>
      </c>
      <c r="C5637" s="1" t="s">
        <v>62</v>
      </c>
      <c r="D5637" s="1">
        <v>1.0</v>
      </c>
      <c r="E5637" s="1">
        <v>11384.0</v>
      </c>
      <c r="F5637" s="10">
        <f t="shared" si="1"/>
        <v>1</v>
      </c>
      <c r="G5637" s="10">
        <f t="array" ref="G5637">index('Player ID'!C:C,match(E5637,'Player ID'!B:B,0))</f>
        <v>592454</v>
      </c>
    </row>
    <row r="5638">
      <c r="A5638" s="76">
        <v>45793.0</v>
      </c>
      <c r="B5638" s="1" t="s">
        <v>174</v>
      </c>
      <c r="C5638" s="1" t="s">
        <v>40</v>
      </c>
      <c r="D5638" s="1">
        <v>1.0</v>
      </c>
      <c r="E5638" s="1">
        <v>15552.0</v>
      </c>
      <c r="F5638" s="10">
        <f t="shared" si="1"/>
        <v>1</v>
      </c>
      <c r="G5638" s="10">
        <f t="array" ref="G5638">index('Player ID'!C:C,match(E5638,'Player ID'!B:B,0))</f>
        <v>643338</v>
      </c>
    </row>
    <row r="5639">
      <c r="A5639" s="76">
        <v>45793.0</v>
      </c>
      <c r="B5639" s="1" t="s">
        <v>316</v>
      </c>
      <c r="C5639" s="1" t="s">
        <v>62</v>
      </c>
      <c r="D5639" s="1">
        <v>5.2</v>
      </c>
      <c r="E5639" s="1">
        <v>17479.0</v>
      </c>
      <c r="F5639" s="10">
        <f t="shared" si="1"/>
        <v>5.666666667</v>
      </c>
      <c r="G5639" s="10">
        <f t="array" ref="G5639">index('Player ID'!C:C,match(E5639,'Player ID'!B:B,0))</f>
        <v>656427</v>
      </c>
    </row>
    <row r="5640">
      <c r="A5640" s="76">
        <v>45793.0</v>
      </c>
      <c r="B5640" s="1" t="s">
        <v>428</v>
      </c>
      <c r="C5640" s="1" t="s">
        <v>40</v>
      </c>
      <c r="D5640" s="1">
        <v>4.2</v>
      </c>
      <c r="E5640" s="1">
        <v>20548.0</v>
      </c>
      <c r="F5640" s="10">
        <f t="shared" si="1"/>
        <v>4.666666667</v>
      </c>
      <c r="G5640" s="10">
        <f t="array" ref="G5640">index('Player ID'!C:C,match(E5640,'Player ID'!B:B,0))</f>
        <v>670102</v>
      </c>
    </row>
    <row r="5641">
      <c r="A5641" s="76">
        <v>45793.0</v>
      </c>
      <c r="B5641" s="1" t="s">
        <v>395</v>
      </c>
      <c r="C5641" s="1" t="s">
        <v>40</v>
      </c>
      <c r="D5641" s="1">
        <v>1.0</v>
      </c>
      <c r="E5641" s="1">
        <v>21574.0</v>
      </c>
      <c r="F5641" s="10">
        <f t="shared" si="1"/>
        <v>1</v>
      </c>
      <c r="G5641" s="10">
        <f t="array" ref="G5641">index('Player ID'!C:C,match(E5641,'Player ID'!B:B,0))</f>
        <v>663893</v>
      </c>
    </row>
    <row r="5642">
      <c r="A5642" s="76">
        <v>45793.0</v>
      </c>
      <c r="B5642" s="1" t="s">
        <v>289</v>
      </c>
      <c r="C5642" s="1" t="s">
        <v>62</v>
      </c>
      <c r="D5642" s="1">
        <v>1.1</v>
      </c>
      <c r="E5642" s="1">
        <v>22304.0</v>
      </c>
      <c r="F5642" s="10">
        <f t="shared" si="1"/>
        <v>1.333333333</v>
      </c>
      <c r="G5642" s="10">
        <f t="array" ref="G5642">index('Player ID'!C:C,match(E5642,'Player ID'!B:B,0))</f>
        <v>669724</v>
      </c>
    </row>
    <row r="5643">
      <c r="A5643" s="76">
        <v>45793.0</v>
      </c>
      <c r="B5643" s="1" t="s">
        <v>667</v>
      </c>
      <c r="C5643" s="1" t="s">
        <v>62</v>
      </c>
      <c r="D5643" s="1">
        <v>1.0</v>
      </c>
      <c r="E5643" s="1">
        <v>26079.0</v>
      </c>
      <c r="F5643" s="10">
        <f t="shared" si="1"/>
        <v>1</v>
      </c>
      <c r="G5643" s="10">
        <f t="array" ref="G5643">index('Player ID'!C:C,match(E5643,'Player ID'!B:B,0))</f>
        <v>689225</v>
      </c>
    </row>
    <row r="5644">
      <c r="A5644" s="76">
        <v>45793.0</v>
      </c>
      <c r="B5644" s="1" t="s">
        <v>142</v>
      </c>
      <c r="C5644" s="1" t="s">
        <v>40</v>
      </c>
      <c r="D5644" s="1">
        <v>1.1</v>
      </c>
      <c r="E5644" s="1">
        <v>31553.0</v>
      </c>
      <c r="F5644" s="10">
        <f t="shared" si="1"/>
        <v>1.333333333</v>
      </c>
      <c r="G5644" s="10">
        <f t="array" ref="G5644">index('Player ID'!C:C,match(E5644,'Player ID'!B:B,0))</f>
        <v>689254</v>
      </c>
    </row>
    <row r="5645">
      <c r="A5645" s="76">
        <v>45793.0</v>
      </c>
      <c r="B5645" s="1" t="s">
        <v>427</v>
      </c>
      <c r="C5645" s="1" t="s">
        <v>40</v>
      </c>
      <c r="D5645" s="1">
        <v>1.0</v>
      </c>
      <c r="E5645" s="1">
        <v>33838.0</v>
      </c>
      <c r="F5645" s="10">
        <f t="shared" si="1"/>
        <v>1</v>
      </c>
      <c r="G5645" s="10">
        <f t="array" ref="G5645">index('Player ID'!C:C,match(E5645,'Player ID'!B:B,0))</f>
        <v>684320</v>
      </c>
    </row>
    <row r="5646">
      <c r="A5646" s="76">
        <v>45793.0</v>
      </c>
      <c r="B5646" s="1" t="s">
        <v>757</v>
      </c>
      <c r="C5646" s="1" t="s">
        <v>22</v>
      </c>
      <c r="D5646" s="1">
        <v>0.2</v>
      </c>
      <c r="E5646" s="1">
        <v>3548.0</v>
      </c>
      <c r="F5646" s="10">
        <f t="shared" si="1"/>
        <v>0.6666666667</v>
      </c>
      <c r="G5646" s="10">
        <f t="array" ref="G5646">index('Player ID'!C:C,match(E5646,'Player ID'!B:B,0))</f>
        <v>521230</v>
      </c>
    </row>
    <row r="5647">
      <c r="A5647" s="76">
        <v>45793.0</v>
      </c>
      <c r="B5647" s="1" t="s">
        <v>156</v>
      </c>
      <c r="C5647" s="1" t="s">
        <v>46</v>
      </c>
      <c r="D5647" s="1">
        <v>7.0</v>
      </c>
      <c r="E5647" s="1">
        <v>10603.0</v>
      </c>
      <c r="F5647" s="10">
        <f t="shared" si="1"/>
        <v>7</v>
      </c>
      <c r="G5647" s="10">
        <f t="array" ref="G5647">index('Player ID'!C:C,match(E5647,'Player ID'!B:B,0))</f>
        <v>519242</v>
      </c>
    </row>
    <row r="5648">
      <c r="A5648" s="76">
        <v>45793.0</v>
      </c>
      <c r="B5648" s="1" t="s">
        <v>762</v>
      </c>
      <c r="C5648" s="1" t="s">
        <v>22</v>
      </c>
      <c r="D5648" s="1">
        <v>0.1</v>
      </c>
      <c r="E5648" s="1">
        <v>16074.0</v>
      </c>
      <c r="F5648" s="10">
        <f t="shared" si="1"/>
        <v>0.3333333333</v>
      </c>
      <c r="G5648" s="10">
        <f t="array" ref="G5648">index('Player ID'!C:C,match(E5648,'Player ID'!B:B,0))</f>
        <v>595897</v>
      </c>
    </row>
    <row r="5649">
      <c r="A5649" s="76">
        <v>45793.0</v>
      </c>
      <c r="B5649" s="1" t="s">
        <v>493</v>
      </c>
      <c r="C5649" s="1" t="s">
        <v>22</v>
      </c>
      <c r="D5649" s="1">
        <v>0.0</v>
      </c>
      <c r="E5649" s="1">
        <v>16835.0</v>
      </c>
      <c r="F5649" s="10">
        <f t="shared" si="1"/>
        <v>0</v>
      </c>
      <c r="G5649" s="10">
        <f t="array" ref="G5649">index('Player ID'!C:C,match(E5649,'Player ID'!B:B,0))</f>
        <v>657514</v>
      </c>
    </row>
    <row r="5650">
      <c r="A5650" s="76">
        <v>45793.0</v>
      </c>
      <c r="B5650" s="1" t="s">
        <v>184</v>
      </c>
      <c r="C5650" s="1" t="s">
        <v>46</v>
      </c>
      <c r="D5650" s="1">
        <v>1.0</v>
      </c>
      <c r="E5650" s="1">
        <v>17130.0</v>
      </c>
      <c r="F5650" s="10">
        <f t="shared" si="1"/>
        <v>1</v>
      </c>
      <c r="G5650" s="10">
        <f t="array" ref="G5650">index('Player ID'!C:C,match(E5650,'Player ID'!B:B,0))</f>
        <v>628452</v>
      </c>
    </row>
    <row r="5651">
      <c r="A5651" s="76">
        <v>45793.0</v>
      </c>
      <c r="B5651" s="1" t="s">
        <v>688</v>
      </c>
      <c r="C5651" s="1" t="s">
        <v>46</v>
      </c>
      <c r="D5651" s="1">
        <v>1.0</v>
      </c>
      <c r="E5651" s="1">
        <v>20271.0</v>
      </c>
      <c r="F5651" s="10">
        <f t="shared" si="1"/>
        <v>1</v>
      </c>
      <c r="G5651" s="10">
        <f t="array" ref="G5651">index('Player ID'!C:C,match(E5651,'Player ID'!B:B,0))</f>
        <v>678226</v>
      </c>
    </row>
    <row r="5652">
      <c r="A5652" s="76">
        <v>45793.0</v>
      </c>
      <c r="B5652" s="1" t="s">
        <v>406</v>
      </c>
      <c r="C5652" s="1" t="s">
        <v>22</v>
      </c>
      <c r="D5652" s="1">
        <v>1.0</v>
      </c>
      <c r="E5652" s="1">
        <v>20375.0</v>
      </c>
      <c r="F5652" s="10">
        <f t="shared" si="1"/>
        <v>1</v>
      </c>
      <c r="G5652" s="10">
        <f t="array" ref="G5652">index('Player ID'!C:C,match(E5652,'Player ID'!B:B,0))</f>
        <v>669711</v>
      </c>
    </row>
    <row r="5653">
      <c r="A5653" s="76">
        <v>45793.0</v>
      </c>
      <c r="B5653" s="1" t="s">
        <v>100</v>
      </c>
      <c r="C5653" s="1" t="s">
        <v>22</v>
      </c>
      <c r="D5653" s="1">
        <v>7.0</v>
      </c>
      <c r="E5653" s="1">
        <v>27463.0</v>
      </c>
      <c r="F5653" s="10">
        <f t="shared" si="1"/>
        <v>7</v>
      </c>
      <c r="G5653" s="10">
        <f t="array" ref="G5653">index('Player ID'!C:C,match(E5653,'Player ID'!B:B,0))</f>
        <v>676979</v>
      </c>
    </row>
    <row r="5654">
      <c r="A5654" s="76">
        <v>45793.0</v>
      </c>
      <c r="B5654" s="1" t="s">
        <v>241</v>
      </c>
      <c r="C5654" s="1" t="s">
        <v>36</v>
      </c>
      <c r="D5654" s="1">
        <v>1.0</v>
      </c>
      <c r="E5654" s="1">
        <v>19222.0</v>
      </c>
      <c r="F5654" s="10">
        <f t="shared" si="1"/>
        <v>1</v>
      </c>
      <c r="G5654" s="10">
        <f t="array" ref="G5654">index('Player ID'!C:C,match(E5654,'Player ID'!B:B,0))</f>
        <v>669199</v>
      </c>
    </row>
    <row r="5655">
      <c r="A5655" s="76">
        <v>45793.0</v>
      </c>
      <c r="B5655" s="1" t="s">
        <v>739</v>
      </c>
      <c r="C5655" s="1" t="s">
        <v>54</v>
      </c>
      <c r="D5655" s="1">
        <v>2.2</v>
      </c>
      <c r="E5655" s="1">
        <v>19695.0</v>
      </c>
      <c r="F5655" s="10">
        <f t="shared" si="1"/>
        <v>2.666666667</v>
      </c>
      <c r="G5655" s="10">
        <f t="array" ref="G5655">index('Player ID'!C:C,match(E5655,'Player ID'!B:B,0))</f>
        <v>657756</v>
      </c>
    </row>
    <row r="5656">
      <c r="A5656" s="76">
        <v>45793.0</v>
      </c>
      <c r="B5656" s="1" t="s">
        <v>61</v>
      </c>
      <c r="C5656" s="1" t="s">
        <v>36</v>
      </c>
      <c r="D5656" s="1">
        <v>2.0</v>
      </c>
      <c r="E5656" s="1">
        <v>20629.0</v>
      </c>
      <c r="F5656" s="10">
        <f t="shared" si="1"/>
        <v>2</v>
      </c>
      <c r="G5656" s="10">
        <f t="array" ref="G5656">index('Player ID'!C:C,match(E5656,'Player ID'!B:B,0))</f>
        <v>663969</v>
      </c>
    </row>
    <row r="5657">
      <c r="A5657" s="76">
        <v>45793.0</v>
      </c>
      <c r="B5657" s="1" t="s">
        <v>413</v>
      </c>
      <c r="C5657" s="1" t="s">
        <v>54</v>
      </c>
      <c r="D5657" s="1">
        <v>4.0</v>
      </c>
      <c r="E5657" s="1">
        <v>22543.0</v>
      </c>
      <c r="F5657" s="10">
        <f t="shared" si="1"/>
        <v>4</v>
      </c>
      <c r="G5657" s="10">
        <f t="array" ref="G5657">index('Player ID'!C:C,match(E5657,'Player ID'!B:B,0))</f>
        <v>671737</v>
      </c>
    </row>
    <row r="5658">
      <c r="A5658" s="76">
        <v>45793.0</v>
      </c>
      <c r="B5658" s="1" t="s">
        <v>123</v>
      </c>
      <c r="C5658" s="1" t="s">
        <v>36</v>
      </c>
      <c r="D5658" s="1">
        <v>1.0</v>
      </c>
      <c r="E5658" s="1">
        <v>24094.0</v>
      </c>
      <c r="F5658" s="10">
        <f t="shared" si="1"/>
        <v>1</v>
      </c>
      <c r="G5658" s="10">
        <f t="array" ref="G5658">index('Player ID'!C:C,match(E5658,'Player ID'!B:B,0))</f>
        <v>678692</v>
      </c>
    </row>
    <row r="5659">
      <c r="A5659" s="76">
        <v>45793.0</v>
      </c>
      <c r="B5659" s="1" t="s">
        <v>121</v>
      </c>
      <c r="C5659" s="1" t="s">
        <v>36</v>
      </c>
      <c r="D5659" s="1">
        <v>5.0</v>
      </c>
      <c r="E5659" s="1">
        <v>27474.0</v>
      </c>
      <c r="F5659" s="10">
        <f t="shared" si="1"/>
        <v>5</v>
      </c>
      <c r="G5659" s="10">
        <f t="array" ref="G5659">index('Player ID'!C:C,match(E5659,'Player ID'!B:B,0))</f>
        <v>676974</v>
      </c>
    </row>
    <row r="5660">
      <c r="A5660" s="76">
        <v>45793.0</v>
      </c>
      <c r="B5660" s="1" t="s">
        <v>257</v>
      </c>
      <c r="C5660" s="1" t="s">
        <v>54</v>
      </c>
      <c r="D5660" s="1">
        <v>1.0</v>
      </c>
      <c r="E5660" s="1">
        <v>27626.0</v>
      </c>
      <c r="F5660" s="10">
        <f t="shared" si="1"/>
        <v>1</v>
      </c>
      <c r="G5660" s="10">
        <f t="array" ref="G5660">index('Player ID'!C:C,match(E5660,'Player ID'!B:B,0))</f>
        <v>679358</v>
      </c>
    </row>
    <row r="5661">
      <c r="A5661" s="76">
        <v>45793.0</v>
      </c>
      <c r="B5661" s="1" t="s">
        <v>334</v>
      </c>
      <c r="C5661" s="1" t="s">
        <v>54</v>
      </c>
      <c r="D5661" s="1">
        <v>0.1</v>
      </c>
      <c r="E5661" s="1">
        <v>29770.0</v>
      </c>
      <c r="F5661" s="10">
        <f t="shared" si="1"/>
        <v>0.3333333333</v>
      </c>
      <c r="G5661" s="10">
        <f t="array" ref="G5661">index('Player ID'!C:C,match(E5661,'Player ID'!B:B,0))</f>
        <v>682254</v>
      </c>
    </row>
    <row r="5662">
      <c r="A5662" s="76">
        <v>45793.0</v>
      </c>
      <c r="B5662" s="1" t="s">
        <v>726</v>
      </c>
      <c r="C5662" s="1" t="s">
        <v>29</v>
      </c>
      <c r="D5662" s="1">
        <v>2.0</v>
      </c>
      <c r="E5662" s="1">
        <v>13761.0</v>
      </c>
      <c r="F5662" s="10">
        <f t="shared" si="1"/>
        <v>2</v>
      </c>
      <c r="G5662" s="10">
        <f t="array" ref="G5662">index('Player ID'!C:C,match(E5662,'Player ID'!B:B,0))</f>
        <v>608717</v>
      </c>
    </row>
    <row r="5663">
      <c r="A5663" s="76">
        <v>45793.0</v>
      </c>
      <c r="B5663" s="1" t="s">
        <v>144</v>
      </c>
      <c r="C5663" s="1" t="s">
        <v>29</v>
      </c>
      <c r="D5663" s="1">
        <v>0.1</v>
      </c>
      <c r="E5663" s="1">
        <v>20020.0</v>
      </c>
      <c r="F5663" s="10">
        <f t="shared" si="1"/>
        <v>0.3333333333</v>
      </c>
      <c r="G5663" s="10">
        <f t="array" ref="G5663">index('Player ID'!C:C,match(E5663,'Player ID'!B:B,0))</f>
        <v>670167</v>
      </c>
    </row>
    <row r="5664">
      <c r="A5664" s="76">
        <v>45793.0</v>
      </c>
      <c r="B5664" s="1" t="s">
        <v>293</v>
      </c>
      <c r="C5664" s="1" t="s">
        <v>29</v>
      </c>
      <c r="D5664" s="1">
        <v>0.2</v>
      </c>
      <c r="E5664" s="1">
        <v>21537.0</v>
      </c>
      <c r="F5664" s="10">
        <f t="shared" si="1"/>
        <v>0.6666666667</v>
      </c>
      <c r="G5664" s="10">
        <f t="array" ref="G5664">index('Player ID'!C:C,match(E5664,'Player ID'!B:B,0))</f>
        <v>663738</v>
      </c>
    </row>
    <row r="5665">
      <c r="A5665" s="76">
        <v>45793.0</v>
      </c>
      <c r="B5665" s="1" t="s">
        <v>205</v>
      </c>
      <c r="C5665" s="1" t="s">
        <v>29</v>
      </c>
      <c r="D5665" s="1">
        <v>5.0</v>
      </c>
      <c r="E5665" s="1">
        <v>21846.0</v>
      </c>
      <c r="F5665" s="10">
        <f t="shared" si="1"/>
        <v>5</v>
      </c>
      <c r="G5665" s="10">
        <f t="array" ref="G5665">index('Player ID'!C:C,match(E5665,'Player ID'!B:B,0))</f>
        <v>666142</v>
      </c>
    </row>
    <row r="5666">
      <c r="A5666" s="76">
        <v>45793.0</v>
      </c>
      <c r="B5666" s="1" t="s">
        <v>140</v>
      </c>
      <c r="C5666" s="1" t="s">
        <v>29</v>
      </c>
      <c r="D5666" s="1">
        <v>1.0</v>
      </c>
      <c r="E5666" s="1">
        <v>22717.0</v>
      </c>
      <c r="F5666" s="10">
        <f t="shared" si="1"/>
        <v>1</v>
      </c>
      <c r="G5666" s="10">
        <f t="array" ref="G5666">index('Player ID'!C:C,match(E5666,'Player ID'!B:B,0))</f>
        <v>672582</v>
      </c>
    </row>
    <row r="5667">
      <c r="A5667" s="76">
        <v>45793.0</v>
      </c>
      <c r="B5667" s="1" t="s">
        <v>432</v>
      </c>
      <c r="C5667" s="1" t="s">
        <v>72</v>
      </c>
      <c r="D5667" s="1">
        <v>7.0</v>
      </c>
      <c r="E5667" s="1">
        <v>26108.0</v>
      </c>
      <c r="F5667" s="10">
        <f t="shared" si="1"/>
        <v>7</v>
      </c>
      <c r="G5667" s="10">
        <f t="array" ref="G5667">index('Player ID'!C:C,match(E5667,'Player ID'!B:B,0))</f>
        <v>669467</v>
      </c>
    </row>
    <row r="5668">
      <c r="A5668" s="76">
        <v>45793.0</v>
      </c>
      <c r="B5668" s="1" t="s">
        <v>337</v>
      </c>
      <c r="C5668" s="1" t="s">
        <v>72</v>
      </c>
      <c r="D5668" s="1">
        <v>2.0</v>
      </c>
      <c r="E5668" s="1">
        <v>29519.0</v>
      </c>
      <c r="F5668" s="10">
        <f t="shared" si="1"/>
        <v>2</v>
      </c>
      <c r="G5668" s="10">
        <f t="array" ref="G5668">index('Player ID'!C:C,match(E5668,'Player ID'!B:B,0))</f>
        <v>700669</v>
      </c>
    </row>
    <row r="5669">
      <c r="A5669" s="76">
        <v>45793.0</v>
      </c>
      <c r="B5669" s="1" t="s">
        <v>115</v>
      </c>
      <c r="C5669" s="1" t="s">
        <v>56</v>
      </c>
      <c r="D5669" s="1">
        <v>5.2</v>
      </c>
      <c r="E5669" s="1">
        <v>9132.0</v>
      </c>
      <c r="F5669" s="10">
        <f t="shared" si="1"/>
        <v>5.666666667</v>
      </c>
      <c r="G5669" s="10">
        <f t="array" ref="G5669">index('Player ID'!C:C,match(E5669,'Player ID'!B:B,0))</f>
        <v>543135</v>
      </c>
    </row>
    <row r="5670">
      <c r="A5670" s="76">
        <v>45793.0</v>
      </c>
      <c r="B5670" s="1" t="s">
        <v>440</v>
      </c>
      <c r="C5670" s="1" t="s">
        <v>56</v>
      </c>
      <c r="D5670" s="1">
        <v>0.0</v>
      </c>
      <c r="E5670" s="1">
        <v>12857.0</v>
      </c>
      <c r="F5670" s="10">
        <f t="shared" si="1"/>
        <v>0</v>
      </c>
      <c r="G5670" s="10">
        <f t="array" ref="G5670">index('Player ID'!C:C,match(E5670,'Player ID'!B:B,0))</f>
        <v>542888</v>
      </c>
    </row>
    <row r="5671">
      <c r="A5671" s="76">
        <v>45793.0</v>
      </c>
      <c r="B5671" s="1" t="s">
        <v>151</v>
      </c>
      <c r="C5671" s="1" t="s">
        <v>56</v>
      </c>
      <c r="D5671" s="1">
        <v>1.0</v>
      </c>
      <c r="E5671" s="1">
        <v>13346.0</v>
      </c>
      <c r="F5671" s="10">
        <f t="shared" si="1"/>
        <v>1</v>
      </c>
      <c r="G5671" s="10">
        <f t="array" ref="G5671">index('Player ID'!C:C,match(E5671,'Player ID'!B:B,0))</f>
        <v>571948</v>
      </c>
    </row>
    <row r="5672">
      <c r="A5672" s="76">
        <v>45793.0</v>
      </c>
      <c r="B5672" s="1" t="s">
        <v>394</v>
      </c>
      <c r="C5672" s="1" t="s">
        <v>39</v>
      </c>
      <c r="D5672" s="1">
        <v>4.0</v>
      </c>
      <c r="E5672" s="1">
        <v>14120.0</v>
      </c>
      <c r="F5672" s="10">
        <f t="shared" si="1"/>
        <v>4</v>
      </c>
      <c r="G5672" s="10">
        <f t="array" ref="G5672">index('Player ID'!C:C,match(E5672,'Player ID'!B:B,0))</f>
        <v>621121</v>
      </c>
    </row>
    <row r="5673">
      <c r="A5673" s="76">
        <v>45793.0</v>
      </c>
      <c r="B5673" s="1" t="s">
        <v>59</v>
      </c>
      <c r="C5673" s="1" t="s">
        <v>39</v>
      </c>
      <c r="D5673" s="1">
        <v>1.0</v>
      </c>
      <c r="E5673" s="1">
        <v>14212.0</v>
      </c>
      <c r="F5673" s="10">
        <f t="shared" si="1"/>
        <v>1</v>
      </c>
      <c r="G5673" s="10">
        <f t="array" ref="G5673">index('Player ID'!C:C,match(E5673,'Player ID'!B:B,0))</f>
        <v>623352</v>
      </c>
    </row>
    <row r="5674">
      <c r="A5674" s="76">
        <v>45793.0</v>
      </c>
      <c r="B5674" s="1" t="s">
        <v>210</v>
      </c>
      <c r="C5674" s="1" t="s">
        <v>39</v>
      </c>
      <c r="D5674" s="1">
        <v>1.0</v>
      </c>
      <c r="E5674" s="1">
        <v>16609.0</v>
      </c>
      <c r="F5674" s="10">
        <f t="shared" si="1"/>
        <v>1</v>
      </c>
      <c r="G5674" s="10">
        <f t="array" ref="G5674">index('Player ID'!C:C,match(E5674,'Player ID'!B:B,0))</f>
        <v>650556</v>
      </c>
    </row>
    <row r="5675">
      <c r="A5675" s="76">
        <v>45793.0</v>
      </c>
      <c r="B5675" s="1" t="s">
        <v>359</v>
      </c>
      <c r="C5675" s="1" t="s">
        <v>39</v>
      </c>
      <c r="D5675" s="1">
        <v>1.0</v>
      </c>
      <c r="E5675" s="1">
        <v>20061.0</v>
      </c>
      <c r="F5675" s="10">
        <f t="shared" si="1"/>
        <v>1</v>
      </c>
      <c r="G5675" s="10">
        <f t="array" ref="G5675">index('Player ID'!C:C,match(E5675,'Player ID'!B:B,0))</f>
        <v>672391</v>
      </c>
    </row>
    <row r="5676">
      <c r="A5676" s="76">
        <v>45793.0</v>
      </c>
      <c r="B5676" s="1" t="s">
        <v>502</v>
      </c>
      <c r="C5676" s="1" t="s">
        <v>56</v>
      </c>
      <c r="D5676" s="1">
        <v>2.1</v>
      </c>
      <c r="E5676" s="1">
        <v>22113.0</v>
      </c>
      <c r="F5676" s="10">
        <f t="shared" si="1"/>
        <v>2.333333333</v>
      </c>
      <c r="G5676" s="10">
        <f t="array" ref="G5676">index('Player ID'!C:C,match(E5676,'Player ID'!B:B,0))</f>
        <v>668390</v>
      </c>
    </row>
    <row r="5677">
      <c r="A5677" s="76">
        <v>45793.0</v>
      </c>
      <c r="B5677" s="1" t="s">
        <v>444</v>
      </c>
      <c r="C5677" s="1" t="s">
        <v>39</v>
      </c>
      <c r="D5677" s="1">
        <v>1.0</v>
      </c>
      <c r="E5677" s="1">
        <v>24977.0</v>
      </c>
      <c r="F5677" s="10">
        <f t="shared" si="1"/>
        <v>1</v>
      </c>
      <c r="G5677" s="10">
        <f t="array" ref="G5677">index('Player ID'!C:C,match(E5677,'Player ID'!B:B,0))</f>
        <v>681869</v>
      </c>
    </row>
    <row r="5678">
      <c r="A5678" s="76">
        <v>45793.0</v>
      </c>
      <c r="B5678" s="1" t="s">
        <v>76</v>
      </c>
      <c r="C5678" s="1" t="s">
        <v>39</v>
      </c>
      <c r="D5678" s="1">
        <v>1.0</v>
      </c>
      <c r="E5678" s="1">
        <v>25890.0</v>
      </c>
      <c r="F5678" s="10">
        <f t="shared" si="1"/>
        <v>1</v>
      </c>
      <c r="G5678" s="10">
        <f t="array" ref="G5678">index('Player ID'!C:C,match(E5678,'Player ID'!B:B,0))</f>
        <v>687911</v>
      </c>
    </row>
    <row r="5679">
      <c r="A5679" s="76">
        <v>45793.0</v>
      </c>
      <c r="B5679" s="1" t="s">
        <v>634</v>
      </c>
      <c r="C5679" s="1" t="s">
        <v>14</v>
      </c>
      <c r="D5679" s="1">
        <v>1.0</v>
      </c>
      <c r="E5679" s="1">
        <v>14332.0</v>
      </c>
      <c r="F5679" s="10">
        <f t="shared" si="1"/>
        <v>1</v>
      </c>
      <c r="G5679" s="10">
        <f t="array" ref="G5679">index('Player ID'!C:C,match(E5679,'Player ID'!B:B,0))</f>
        <v>606303</v>
      </c>
    </row>
    <row r="5680">
      <c r="A5680" s="76">
        <v>45793.0</v>
      </c>
      <c r="B5680" s="1" t="s">
        <v>249</v>
      </c>
      <c r="C5680" s="1" t="s">
        <v>16</v>
      </c>
      <c r="D5680" s="1">
        <v>1.0</v>
      </c>
      <c r="E5680" s="1">
        <v>16727.0</v>
      </c>
      <c r="F5680" s="10">
        <f t="shared" si="1"/>
        <v>1</v>
      </c>
      <c r="G5680" s="10">
        <f t="array" ref="G5680">index('Player ID'!C:C,match(E5680,'Player ID'!B:B,0))</f>
        <v>592779</v>
      </c>
    </row>
    <row r="5681">
      <c r="A5681" s="76">
        <v>45793.0</v>
      </c>
      <c r="B5681" s="1" t="s">
        <v>187</v>
      </c>
      <c r="C5681" s="1" t="s">
        <v>14</v>
      </c>
      <c r="D5681" s="1">
        <v>2.0</v>
      </c>
      <c r="E5681" s="1">
        <v>17735.0</v>
      </c>
      <c r="F5681" s="10">
        <f t="shared" si="1"/>
        <v>2</v>
      </c>
      <c r="G5681" s="10">
        <f t="array" ref="G5681">index('Player ID'!C:C,match(E5681,'Player ID'!B:B,0))</f>
        <v>641302</v>
      </c>
    </row>
    <row r="5682">
      <c r="A5682" s="76">
        <v>45793.0</v>
      </c>
      <c r="B5682" s="1" t="s">
        <v>28</v>
      </c>
      <c r="C5682" s="1" t="s">
        <v>16</v>
      </c>
      <c r="D5682" s="1">
        <v>1.0</v>
      </c>
      <c r="E5682" s="1">
        <v>20253.0</v>
      </c>
      <c r="F5682" s="10">
        <f t="shared" si="1"/>
        <v>1</v>
      </c>
      <c r="G5682" s="10">
        <f t="array" ref="G5682">index('Player ID'!C:C,match(E5682,'Player ID'!B:B,0))</f>
        <v>643377</v>
      </c>
    </row>
    <row r="5683">
      <c r="A5683" s="76">
        <v>45793.0</v>
      </c>
      <c r="B5683" s="1" t="s">
        <v>150</v>
      </c>
      <c r="C5683" s="1" t="s">
        <v>16</v>
      </c>
      <c r="D5683" s="1">
        <v>6.0</v>
      </c>
      <c r="E5683" s="1">
        <v>21390.0</v>
      </c>
      <c r="F5683" s="10">
        <f t="shared" si="1"/>
        <v>6</v>
      </c>
      <c r="G5683" s="10">
        <f t="array" ref="G5683">index('Player ID'!C:C,match(E5683,'Player ID'!B:B,0))</f>
        <v>657746</v>
      </c>
    </row>
    <row r="5684">
      <c r="A5684" s="76">
        <v>45793.0</v>
      </c>
      <c r="B5684" s="1" t="s">
        <v>237</v>
      </c>
      <c r="C5684" s="1" t="s">
        <v>16</v>
      </c>
      <c r="D5684" s="1">
        <v>1.0</v>
      </c>
      <c r="E5684" s="1">
        <v>21461.0</v>
      </c>
      <c r="F5684" s="10">
        <f t="shared" si="1"/>
        <v>1</v>
      </c>
      <c r="G5684" s="10">
        <f t="array" ref="G5684">index('Player ID'!C:C,match(E5684,'Player ID'!B:B,0))</f>
        <v>663485</v>
      </c>
    </row>
    <row r="5685">
      <c r="A5685" s="76">
        <v>45793.0</v>
      </c>
      <c r="B5685" s="1" t="s">
        <v>496</v>
      </c>
      <c r="C5685" s="1" t="s">
        <v>14</v>
      </c>
      <c r="D5685" s="1">
        <v>6.0</v>
      </c>
      <c r="E5685" s="1">
        <v>30113.0</v>
      </c>
      <c r="F5685" s="10">
        <f t="shared" si="1"/>
        <v>6</v>
      </c>
      <c r="G5685" s="10">
        <f t="array" ref="G5685">index('Player ID'!C:C,match(E5685,'Player ID'!B:B,0))</f>
        <v>694477</v>
      </c>
    </row>
    <row r="5686">
      <c r="A5686" s="76">
        <v>45793.0</v>
      </c>
      <c r="B5686" s="1" t="s">
        <v>704</v>
      </c>
      <c r="C5686" s="1" t="s">
        <v>75</v>
      </c>
      <c r="D5686" s="1">
        <v>0.2</v>
      </c>
      <c r="E5686" s="1">
        <v>10591.0</v>
      </c>
      <c r="F5686" s="10">
        <f t="shared" si="1"/>
        <v>0.6666666667</v>
      </c>
      <c r="G5686" s="10">
        <f t="array" ref="G5686">index('Player ID'!C:C,match(E5686,'Player ID'!B:B,0))</f>
        <v>518397</v>
      </c>
    </row>
    <row r="5687">
      <c r="A5687" s="76">
        <v>45793.0</v>
      </c>
      <c r="B5687" s="1" t="s">
        <v>745</v>
      </c>
      <c r="C5687" s="1" t="s">
        <v>64</v>
      </c>
      <c r="D5687" s="1">
        <v>1.0</v>
      </c>
      <c r="E5687" s="1">
        <v>12056.0</v>
      </c>
      <c r="F5687" s="10">
        <f t="shared" si="1"/>
        <v>1</v>
      </c>
      <c r="G5687" s="10">
        <f t="array" ref="G5687">index('Player ID'!C:C,match(E5687,'Player ID'!B:B,0))</f>
        <v>543518</v>
      </c>
    </row>
    <row r="5688">
      <c r="A5688" s="76">
        <v>45793.0</v>
      </c>
      <c r="B5688" s="1" t="s">
        <v>763</v>
      </c>
      <c r="C5688" s="1" t="s">
        <v>64</v>
      </c>
      <c r="D5688" s="1">
        <v>1.0</v>
      </c>
      <c r="E5688" s="1">
        <v>15514.0</v>
      </c>
      <c r="F5688" s="10">
        <f t="shared" si="1"/>
        <v>1</v>
      </c>
      <c r="G5688" s="10">
        <f t="array" ref="G5688">index('Player ID'!C:C,match(E5688,'Player ID'!B:B,0))</f>
        <v>608665</v>
      </c>
    </row>
    <row r="5689">
      <c r="A5689" s="76">
        <v>45793.0</v>
      </c>
      <c r="B5689" s="1" t="s">
        <v>451</v>
      </c>
      <c r="C5689" s="1" t="s">
        <v>75</v>
      </c>
      <c r="D5689" s="1">
        <v>1.2</v>
      </c>
      <c r="E5689" s="1">
        <v>17556.0</v>
      </c>
      <c r="F5689" s="10">
        <f t="shared" si="1"/>
        <v>1.666666667</v>
      </c>
      <c r="G5689" s="10">
        <f t="array" ref="G5689">index('Player ID'!C:C,match(E5689,'Player ID'!B:B,0))</f>
        <v>623474</v>
      </c>
    </row>
    <row r="5690">
      <c r="A5690" s="76">
        <v>45793.0</v>
      </c>
      <c r="B5690" s="1" t="s">
        <v>431</v>
      </c>
      <c r="C5690" s="1" t="s">
        <v>64</v>
      </c>
      <c r="D5690" s="1">
        <v>6.0</v>
      </c>
      <c r="E5690" s="1">
        <v>19361.0</v>
      </c>
      <c r="F5690" s="10">
        <f t="shared" si="1"/>
        <v>6</v>
      </c>
      <c r="G5690" s="10">
        <f t="array" ref="G5690">index('Player ID'!C:C,match(E5690,'Player ID'!B:B,0))</f>
        <v>669203</v>
      </c>
    </row>
    <row r="5691">
      <c r="A5691" s="76">
        <v>45793.0</v>
      </c>
      <c r="B5691" s="1" t="s">
        <v>823</v>
      </c>
      <c r="C5691" s="1" t="s">
        <v>64</v>
      </c>
      <c r="D5691" s="1">
        <v>1.0</v>
      </c>
      <c r="E5691" s="1">
        <v>19876.0</v>
      </c>
      <c r="F5691" s="10">
        <f t="shared" si="1"/>
        <v>1</v>
      </c>
      <c r="G5691" s="10">
        <f t="array" ref="G5691">index('Player ID'!C:C,match(E5691,'Player ID'!B:B,0))</f>
        <v>656464</v>
      </c>
    </row>
    <row r="5692">
      <c r="A5692" s="76">
        <v>45793.0</v>
      </c>
      <c r="B5692" s="1" t="s">
        <v>305</v>
      </c>
      <c r="C5692" s="1" t="s">
        <v>75</v>
      </c>
      <c r="D5692" s="1">
        <v>1.1</v>
      </c>
      <c r="E5692" s="1">
        <v>22200.0</v>
      </c>
      <c r="F5692" s="10">
        <f t="shared" si="1"/>
        <v>1.333333333</v>
      </c>
      <c r="G5692" s="10">
        <f t="array" ref="G5692">index('Player ID'!C:C,match(E5692,'Player ID'!B:B,0))</f>
        <v>669020</v>
      </c>
    </row>
    <row r="5693">
      <c r="A5693" s="76">
        <v>45793.0</v>
      </c>
      <c r="B5693" s="1" t="s">
        <v>449</v>
      </c>
      <c r="C5693" s="1" t="s">
        <v>75</v>
      </c>
      <c r="D5693" s="1">
        <v>4.0</v>
      </c>
      <c r="E5693" s="1">
        <v>31612.0</v>
      </c>
      <c r="F5693" s="10">
        <f t="shared" si="1"/>
        <v>4</v>
      </c>
      <c r="G5693" s="10">
        <f t="array" ref="G5693">index('Player ID'!C:C,match(E5693,'Player ID'!B:B,0))</f>
        <v>687223</v>
      </c>
    </row>
    <row r="5694">
      <c r="A5694" s="76">
        <v>45793.0</v>
      </c>
      <c r="B5694" s="1" t="s">
        <v>488</v>
      </c>
      <c r="C5694" s="1" t="s">
        <v>75</v>
      </c>
      <c r="D5694" s="1">
        <v>0.1</v>
      </c>
      <c r="E5694" s="1">
        <v>33294.0</v>
      </c>
      <c r="F5694" s="10">
        <f t="shared" si="1"/>
        <v>0.3333333333</v>
      </c>
      <c r="G5694" s="10">
        <f t="array" ref="G5694">index('Player ID'!C:C,match(E5694,'Player ID'!B:B,0))</f>
        <v>678020</v>
      </c>
    </row>
    <row r="5695">
      <c r="A5695" s="76">
        <v>45793.0</v>
      </c>
      <c r="B5695" s="1" t="s">
        <v>404</v>
      </c>
      <c r="C5695" s="1" t="s">
        <v>26</v>
      </c>
      <c r="D5695" s="1">
        <v>1.1</v>
      </c>
      <c r="E5695" s="1">
        <v>14295.0</v>
      </c>
      <c r="F5695" s="10">
        <f t="shared" si="1"/>
        <v>1.333333333</v>
      </c>
      <c r="G5695" s="10">
        <f t="array" ref="G5695">index('Player ID'!C:C,match(E5695,'Player ID'!B:B,0))</f>
        <v>593974</v>
      </c>
    </row>
    <row r="5696">
      <c r="A5696" s="76">
        <v>45793.0</v>
      </c>
      <c r="B5696" s="1" t="s">
        <v>179</v>
      </c>
      <c r="C5696" s="1" t="s">
        <v>26</v>
      </c>
      <c r="D5696" s="1">
        <v>5.0</v>
      </c>
      <c r="E5696" s="1">
        <v>21487.0</v>
      </c>
      <c r="F5696" s="10">
        <f t="shared" si="1"/>
        <v>5</v>
      </c>
      <c r="G5696" s="10">
        <f t="array" ref="G5696">index('Player ID'!C:C,match(E5696,'Player ID'!B:B,0))</f>
        <v>663568</v>
      </c>
    </row>
    <row r="5697">
      <c r="A5697" s="76">
        <v>45793.0</v>
      </c>
      <c r="B5697" s="1" t="s">
        <v>797</v>
      </c>
      <c r="C5697" s="1" t="s">
        <v>26</v>
      </c>
      <c r="D5697" s="1">
        <v>2.2</v>
      </c>
      <c r="E5697" s="1">
        <v>22253.0</v>
      </c>
      <c r="F5697" s="10">
        <f t="shared" si="1"/>
        <v>2.666666667</v>
      </c>
      <c r="G5697" s="10">
        <f t="array" ref="G5697">index('Player ID'!C:C,match(E5697,'Player ID'!B:B,0))</f>
        <v>669308</v>
      </c>
    </row>
    <row r="5698">
      <c r="A5698" s="76">
        <v>45793.0</v>
      </c>
      <c r="B5698" s="1" t="s">
        <v>101</v>
      </c>
      <c r="C5698" s="1" t="s">
        <v>37</v>
      </c>
      <c r="D5698" s="1">
        <v>1.0</v>
      </c>
      <c r="E5698" s="1">
        <v>22915.0</v>
      </c>
      <c r="F5698" s="10">
        <f t="shared" si="1"/>
        <v>1</v>
      </c>
      <c r="G5698" s="10">
        <f t="array" ref="G5698">index('Player ID'!C:C,match(E5698,'Player ID'!B:B,0))</f>
        <v>672841</v>
      </c>
    </row>
    <row r="5699">
      <c r="A5699" s="76">
        <v>45793.0</v>
      </c>
      <c r="B5699" s="1" t="s">
        <v>683</v>
      </c>
      <c r="C5699" s="1" t="s">
        <v>37</v>
      </c>
      <c r="D5699" s="1">
        <v>1.0</v>
      </c>
      <c r="E5699" s="1">
        <v>23307.0</v>
      </c>
      <c r="F5699" s="10">
        <f t="shared" si="1"/>
        <v>1</v>
      </c>
      <c r="G5699" s="10">
        <f t="array" ref="G5699">index('Player ID'!C:C,match(E5699,'Player ID'!B:B,0))</f>
        <v>676092</v>
      </c>
    </row>
    <row r="5700">
      <c r="A5700" s="76">
        <v>45793.0</v>
      </c>
      <c r="B5700" s="1" t="s">
        <v>340</v>
      </c>
      <c r="C5700" s="1" t="s">
        <v>37</v>
      </c>
      <c r="D5700" s="1">
        <v>1.0</v>
      </c>
      <c r="E5700" s="1">
        <v>25921.0</v>
      </c>
      <c r="F5700" s="10">
        <f t="shared" si="1"/>
        <v>1</v>
      </c>
      <c r="G5700" s="10">
        <f t="array" ref="G5700">index('Player ID'!C:C,match(E5700,'Player ID'!B:B,0))</f>
        <v>668984</v>
      </c>
    </row>
    <row r="5701">
      <c r="A5701" s="76">
        <v>45793.0</v>
      </c>
      <c r="B5701" s="1" t="s">
        <v>255</v>
      </c>
      <c r="C5701" s="1" t="s">
        <v>37</v>
      </c>
      <c r="D5701" s="1">
        <v>6.0</v>
      </c>
      <c r="E5701" s="1">
        <v>33699.0</v>
      </c>
      <c r="F5701" s="10">
        <f t="shared" si="1"/>
        <v>6</v>
      </c>
      <c r="G5701" s="10">
        <f t="array" ref="G5701">index('Player ID'!C:C,match(E5701,'Player ID'!B:B,0))</f>
        <v>688138</v>
      </c>
    </row>
    <row r="5702">
      <c r="A5702" s="76">
        <v>45793.0</v>
      </c>
      <c r="B5702" s="1" t="s">
        <v>154</v>
      </c>
      <c r="C5702" s="1" t="s">
        <v>25</v>
      </c>
      <c r="D5702" s="1">
        <v>1.0</v>
      </c>
      <c r="E5702" s="1">
        <v>3096.0</v>
      </c>
      <c r="F5702" s="10">
        <f t="shared" si="1"/>
        <v>1</v>
      </c>
      <c r="G5702" s="10">
        <f t="array" ref="G5702">index('Player ID'!C:C,match(E5702,'Player ID'!B:B,0))</f>
        <v>445276</v>
      </c>
    </row>
    <row r="5703">
      <c r="A5703" s="76">
        <v>45793.0</v>
      </c>
      <c r="B5703" s="1" t="s">
        <v>595</v>
      </c>
      <c r="C5703" s="1" t="s">
        <v>33</v>
      </c>
      <c r="D5703" s="1">
        <v>1.0</v>
      </c>
      <c r="E5703" s="1">
        <v>6984.0</v>
      </c>
      <c r="F5703" s="10">
        <f t="shared" si="1"/>
        <v>1</v>
      </c>
      <c r="G5703" s="10">
        <f t="array" ref="G5703">index('Player ID'!C:C,match(E5703,'Player ID'!B:B,0))</f>
        <v>472610</v>
      </c>
    </row>
    <row r="5704">
      <c r="A5704" s="76">
        <v>45793.0</v>
      </c>
      <c r="B5704" s="1" t="s">
        <v>660</v>
      </c>
      <c r="C5704" s="1" t="s">
        <v>25</v>
      </c>
      <c r="D5704" s="1">
        <v>0.1</v>
      </c>
      <c r="E5704" s="1">
        <v>11804.0</v>
      </c>
      <c r="F5704" s="10">
        <f t="shared" si="1"/>
        <v>0.3333333333</v>
      </c>
      <c r="G5704" s="10">
        <f t="array" ref="G5704">index('Player ID'!C:C,match(E5704,'Player ID'!B:B,0))</f>
        <v>593576</v>
      </c>
    </row>
    <row r="5705">
      <c r="A5705" s="76">
        <v>45793.0</v>
      </c>
      <c r="B5705" s="1" t="s">
        <v>329</v>
      </c>
      <c r="C5705" s="1" t="s">
        <v>33</v>
      </c>
      <c r="D5705" s="1">
        <v>5.0</v>
      </c>
      <c r="E5705" s="1">
        <v>19716.0</v>
      </c>
      <c r="F5705" s="10">
        <f t="shared" si="1"/>
        <v>5</v>
      </c>
      <c r="G5705" s="10">
        <f t="array" ref="G5705">index('Player ID'!C:C,match(E5705,'Player ID'!B:B,0))</f>
        <v>669160</v>
      </c>
    </row>
    <row r="5706">
      <c r="A5706" s="76">
        <v>45793.0</v>
      </c>
      <c r="B5706" s="1" t="s">
        <v>385</v>
      </c>
      <c r="C5706" s="1" t="s">
        <v>25</v>
      </c>
      <c r="D5706" s="1">
        <v>1.0</v>
      </c>
      <c r="E5706" s="1">
        <v>25420.0</v>
      </c>
      <c r="F5706" s="10">
        <f t="shared" si="1"/>
        <v>1</v>
      </c>
      <c r="G5706" s="10">
        <f t="array" ref="G5706">index('Player ID'!C:C,match(E5706,'Player ID'!B:B,0))</f>
        <v>666171</v>
      </c>
    </row>
    <row r="5707">
      <c r="A5707" s="76">
        <v>45793.0</v>
      </c>
      <c r="B5707" s="1" t="s">
        <v>521</v>
      </c>
      <c r="C5707" s="1" t="s">
        <v>25</v>
      </c>
      <c r="D5707" s="1">
        <v>6.2</v>
      </c>
      <c r="E5707" s="1">
        <v>27688.0</v>
      </c>
      <c r="F5707" s="10">
        <f t="shared" si="1"/>
        <v>6.666666667</v>
      </c>
      <c r="G5707" s="10">
        <f t="array" ref="G5707">index('Player ID'!C:C,match(E5707,'Player ID'!B:B,0))</f>
        <v>686799</v>
      </c>
    </row>
    <row r="5708">
      <c r="A5708" s="76">
        <v>45793.0</v>
      </c>
      <c r="B5708" s="1" t="s">
        <v>771</v>
      </c>
      <c r="C5708" s="1" t="s">
        <v>33</v>
      </c>
      <c r="D5708" s="1">
        <v>1.0</v>
      </c>
      <c r="E5708" s="1">
        <v>29521.0</v>
      </c>
      <c r="F5708" s="10">
        <f t="shared" si="1"/>
        <v>1</v>
      </c>
      <c r="G5708" s="10">
        <f t="array" ref="G5708">index('Player ID'!C:C,match(E5708,'Player ID'!B:B,0))</f>
        <v>702795</v>
      </c>
    </row>
    <row r="5709">
      <c r="A5709" s="76">
        <v>45793.0</v>
      </c>
      <c r="B5709" s="1" t="s">
        <v>206</v>
      </c>
      <c r="C5709" s="1" t="s">
        <v>33</v>
      </c>
      <c r="D5709" s="1">
        <v>2.0</v>
      </c>
      <c r="E5709" s="1">
        <v>30249.0</v>
      </c>
      <c r="F5709" s="10">
        <f t="shared" si="1"/>
        <v>2</v>
      </c>
      <c r="G5709" s="10">
        <f t="array" ref="G5709">index('Player ID'!C:C,match(E5709,'Player ID'!B:B,0))</f>
        <v>676263</v>
      </c>
    </row>
    <row r="5710">
      <c r="A5710" s="76">
        <v>45793.0</v>
      </c>
      <c r="B5710" s="1" t="s">
        <v>77</v>
      </c>
      <c r="C5710" s="1" t="s">
        <v>31</v>
      </c>
      <c r="D5710" s="1">
        <v>8.0</v>
      </c>
      <c r="E5710" s="1">
        <v>17995.0</v>
      </c>
      <c r="F5710" s="10">
        <f t="shared" si="1"/>
        <v>8</v>
      </c>
      <c r="G5710" s="10">
        <f t="array" ref="G5710">index('Player ID'!C:C,match(E5710,'Player ID'!B:B,0))</f>
        <v>657277</v>
      </c>
    </row>
    <row r="5711">
      <c r="A5711" s="76">
        <v>45793.0</v>
      </c>
      <c r="B5711" s="1" t="s">
        <v>741</v>
      </c>
      <c r="C5711" s="1" t="s">
        <v>52</v>
      </c>
      <c r="D5711" s="1">
        <v>1.2</v>
      </c>
      <c r="E5711" s="1">
        <v>19315.0</v>
      </c>
      <c r="F5711" s="10">
        <f t="shared" si="1"/>
        <v>1.666666667</v>
      </c>
      <c r="G5711" s="10">
        <f t="array" ref="G5711">index('Player ID'!C:C,match(E5711,'Player ID'!B:B,0))</f>
        <v>640454</v>
      </c>
    </row>
    <row r="5712">
      <c r="A5712" s="76">
        <v>45793.0</v>
      </c>
      <c r="B5712" s="1" t="s">
        <v>304</v>
      </c>
      <c r="C5712" s="1" t="s">
        <v>31</v>
      </c>
      <c r="D5712" s="1">
        <v>1.0</v>
      </c>
      <c r="E5712" s="1">
        <v>21992.0</v>
      </c>
      <c r="F5712" s="10">
        <f t="shared" si="1"/>
        <v>1</v>
      </c>
      <c r="G5712" s="10">
        <f t="array" ref="G5712">index('Player ID'!C:C,match(E5712,'Player ID'!B:B,0))</f>
        <v>666808</v>
      </c>
    </row>
    <row r="5713">
      <c r="A5713" s="76">
        <v>45793.0</v>
      </c>
      <c r="B5713" s="1" t="s">
        <v>830</v>
      </c>
      <c r="C5713" s="1" t="s">
        <v>52</v>
      </c>
      <c r="D5713" s="1">
        <v>0.1</v>
      </c>
      <c r="E5713" s="1">
        <v>22533.0</v>
      </c>
      <c r="F5713" s="10">
        <f t="shared" si="1"/>
        <v>0.3333333333</v>
      </c>
      <c r="G5713" s="10">
        <f t="array" ref="G5713">index('Player ID'!C:C,match(E5713,'Player ID'!B:B,0))</f>
        <v>671305</v>
      </c>
    </row>
    <row r="5714">
      <c r="A5714" s="76">
        <v>45793.0</v>
      </c>
      <c r="B5714" s="1" t="s">
        <v>251</v>
      </c>
      <c r="C5714" s="1" t="s">
        <v>52</v>
      </c>
      <c r="D5714" s="1">
        <v>4.0</v>
      </c>
      <c r="E5714" s="1">
        <v>23429.0</v>
      </c>
      <c r="F5714" s="10">
        <f t="shared" si="1"/>
        <v>4</v>
      </c>
      <c r="G5714" s="10">
        <f t="array" ref="G5714">index('Player ID'!C:C,match(E5714,'Player ID'!B:B,0))</f>
        <v>676664</v>
      </c>
    </row>
    <row r="5715">
      <c r="A5715" s="76">
        <v>45793.0</v>
      </c>
      <c r="B5715" s="1" t="s">
        <v>793</v>
      </c>
      <c r="C5715" s="1" t="s">
        <v>52</v>
      </c>
      <c r="D5715" s="1">
        <v>1.0</v>
      </c>
      <c r="E5715" s="1">
        <v>26034.0</v>
      </c>
      <c r="F5715" s="10">
        <f t="shared" si="1"/>
        <v>1</v>
      </c>
      <c r="G5715" s="10">
        <f t="array" ref="G5715">index('Player ID'!C:C,match(E5715,'Player ID'!B:B,0))</f>
        <v>687424</v>
      </c>
    </row>
    <row r="5716">
      <c r="A5716" s="76">
        <v>45793.0</v>
      </c>
      <c r="B5716" s="1" t="s">
        <v>681</v>
      </c>
      <c r="C5716" s="1" t="s">
        <v>52</v>
      </c>
      <c r="D5716" s="1">
        <v>1.0</v>
      </c>
      <c r="E5716" s="1">
        <v>30002.0</v>
      </c>
      <c r="F5716" s="10">
        <f t="shared" si="1"/>
        <v>1</v>
      </c>
      <c r="G5716" s="10">
        <f t="array" ref="G5716">index('Player ID'!C:C,match(E5716,'Player ID'!B:B,0))</f>
        <v>680880</v>
      </c>
    </row>
    <row r="5717">
      <c r="A5717" s="76">
        <v>45794.0</v>
      </c>
      <c r="B5717" s="1" t="s">
        <v>646</v>
      </c>
      <c r="C5717" s="1" t="s">
        <v>51</v>
      </c>
      <c r="D5717" s="1">
        <v>1.2</v>
      </c>
      <c r="E5717" s="1">
        <v>6107.0</v>
      </c>
      <c r="F5717" s="10">
        <f t="shared" si="1"/>
        <v>1.666666667</v>
      </c>
      <c r="G5717" s="10">
        <f t="array" ref="G5717">index('Player ID'!C:C,match(E5717,'Player ID'!B:B,0))</f>
        <v>623211</v>
      </c>
    </row>
    <row r="5718">
      <c r="A5718" s="76">
        <v>45794.0</v>
      </c>
      <c r="B5718" s="1" t="s">
        <v>422</v>
      </c>
      <c r="C5718" s="1" t="s">
        <v>58</v>
      </c>
      <c r="D5718" s="1">
        <v>1.1</v>
      </c>
      <c r="E5718" s="1">
        <v>7048.0</v>
      </c>
      <c r="F5718" s="10">
        <f t="shared" si="1"/>
        <v>1.333333333</v>
      </c>
      <c r="G5718" s="10">
        <f t="array" ref="G5718">index('Player ID'!C:C,match(E5718,'Player ID'!B:B,0))</f>
        <v>518585</v>
      </c>
    </row>
    <row r="5719">
      <c r="A5719" s="76">
        <v>45794.0</v>
      </c>
      <c r="B5719" s="1" t="s">
        <v>679</v>
      </c>
      <c r="C5719" s="1" t="s">
        <v>51</v>
      </c>
      <c r="D5719" s="1">
        <v>1.0</v>
      </c>
      <c r="E5719" s="1">
        <v>14710.0</v>
      </c>
      <c r="F5719" s="10">
        <f t="shared" si="1"/>
        <v>1</v>
      </c>
      <c r="G5719" s="10">
        <f t="array" ref="G5719">index('Player ID'!C:C,match(E5719,'Player ID'!B:B,0))</f>
        <v>621242</v>
      </c>
    </row>
    <row r="5720">
      <c r="A5720" s="76">
        <v>45794.0</v>
      </c>
      <c r="B5720" s="1" t="s">
        <v>467</v>
      </c>
      <c r="C5720" s="1" t="s">
        <v>58</v>
      </c>
      <c r="D5720" s="1">
        <v>1.0</v>
      </c>
      <c r="E5720" s="1">
        <v>15551.0</v>
      </c>
      <c r="F5720" s="10">
        <f t="shared" si="1"/>
        <v>1</v>
      </c>
      <c r="G5720" s="10">
        <f t="array" ref="G5720">index('Player ID'!C:C,match(E5720,'Player ID'!B:B,0))</f>
        <v>643410</v>
      </c>
    </row>
    <row r="5721">
      <c r="A5721" s="76">
        <v>45794.0</v>
      </c>
      <c r="B5721" s="1" t="s">
        <v>69</v>
      </c>
      <c r="C5721" s="1" t="s">
        <v>58</v>
      </c>
      <c r="D5721" s="1">
        <v>0.2</v>
      </c>
      <c r="E5721" s="1">
        <v>16814.0</v>
      </c>
      <c r="F5721" s="10">
        <f t="shared" si="1"/>
        <v>0.6666666667</v>
      </c>
      <c r="G5721" s="10">
        <f t="array" ref="G5721">index('Player ID'!C:C,match(E5721,'Player ID'!B:B,0))</f>
        <v>657612</v>
      </c>
    </row>
    <row r="5722">
      <c r="A5722" s="76">
        <v>45794.0</v>
      </c>
      <c r="B5722" s="1" t="s">
        <v>295</v>
      </c>
      <c r="C5722" s="1" t="s">
        <v>51</v>
      </c>
      <c r="D5722" s="1">
        <v>1.0</v>
      </c>
      <c r="E5722" s="1">
        <v>16866.0</v>
      </c>
      <c r="F5722" s="10">
        <f t="shared" si="1"/>
        <v>1</v>
      </c>
      <c r="G5722" s="10">
        <f t="array" ref="G5722">index('Player ID'!C:C,match(E5722,'Player ID'!B:B,0))</f>
        <v>657585</v>
      </c>
    </row>
    <row r="5723">
      <c r="A5723" s="76">
        <v>45794.0</v>
      </c>
      <c r="B5723" s="1" t="s">
        <v>382</v>
      </c>
      <c r="C5723" s="1" t="s">
        <v>51</v>
      </c>
      <c r="D5723" s="1">
        <v>5.1</v>
      </c>
      <c r="E5723" s="1">
        <v>19867.0</v>
      </c>
      <c r="F5723" s="10">
        <f t="shared" si="1"/>
        <v>5.333333333</v>
      </c>
      <c r="G5723" s="10">
        <f t="array" ref="G5723">index('Player ID'!C:C,match(E5723,'Player ID'!B:B,0))</f>
        <v>656288</v>
      </c>
    </row>
    <row r="5724">
      <c r="A5724" s="76">
        <v>45794.0</v>
      </c>
      <c r="B5724" s="1" t="s">
        <v>408</v>
      </c>
      <c r="C5724" s="1" t="s">
        <v>58</v>
      </c>
      <c r="D5724" s="1">
        <v>6.0</v>
      </c>
      <c r="E5724" s="1">
        <v>19899.0</v>
      </c>
      <c r="F5724" s="10">
        <f t="shared" si="1"/>
        <v>6</v>
      </c>
      <c r="G5724" s="10">
        <f t="array" ref="G5724">index('Player ID'!C:C,match(E5724,'Player ID'!B:B,0))</f>
        <v>657376</v>
      </c>
    </row>
    <row r="5725">
      <c r="A5725" s="76">
        <v>45794.0</v>
      </c>
      <c r="B5725" s="1" t="s">
        <v>246</v>
      </c>
      <c r="C5725" s="1" t="s">
        <v>34</v>
      </c>
      <c r="D5725" s="1">
        <v>6.0</v>
      </c>
      <c r="E5725" s="1">
        <v>15440.0</v>
      </c>
      <c r="F5725" s="10">
        <f t="shared" si="1"/>
        <v>6</v>
      </c>
      <c r="G5725" s="10">
        <f t="array" ref="G5725">index('Player ID'!C:C,match(E5725,'Player ID'!B:B,0))</f>
        <v>571510</v>
      </c>
    </row>
    <row r="5726">
      <c r="A5726" s="76">
        <v>45794.0</v>
      </c>
      <c r="B5726" s="1" t="s">
        <v>297</v>
      </c>
      <c r="C5726" s="1" t="s">
        <v>34</v>
      </c>
      <c r="D5726" s="1">
        <v>1.0</v>
      </c>
      <c r="E5726" s="1">
        <v>15734.0</v>
      </c>
      <c r="F5726" s="10">
        <f t="shared" si="1"/>
        <v>1</v>
      </c>
      <c r="G5726" s="10">
        <f t="array" ref="G5726">index('Player ID'!C:C,match(E5726,'Player ID'!B:B,0))</f>
        <v>641745</v>
      </c>
    </row>
    <row r="5727">
      <c r="A5727" s="76">
        <v>45794.0</v>
      </c>
      <c r="B5727" s="1" t="s">
        <v>252</v>
      </c>
      <c r="C5727" s="1" t="s">
        <v>78</v>
      </c>
      <c r="D5727" s="1">
        <v>0.1</v>
      </c>
      <c r="E5727" s="1">
        <v>16061.0</v>
      </c>
      <c r="F5727" s="10">
        <f t="shared" si="1"/>
        <v>0.3333333333</v>
      </c>
      <c r="G5727" s="10">
        <f t="array" ref="G5727">index('Player ID'!C:C,match(E5727,'Player ID'!B:B,0))</f>
        <v>592155</v>
      </c>
    </row>
    <row r="5728">
      <c r="A5728" s="76">
        <v>45794.0</v>
      </c>
      <c r="B5728" s="1" t="s">
        <v>388</v>
      </c>
      <c r="C5728" s="1" t="s">
        <v>34</v>
      </c>
      <c r="D5728" s="1">
        <v>1.0</v>
      </c>
      <c r="E5728" s="1">
        <v>26413.0</v>
      </c>
      <c r="F5728" s="10">
        <f t="shared" si="1"/>
        <v>1</v>
      </c>
      <c r="G5728" s="10">
        <f t="array" ref="G5728">index('Player ID'!C:C,match(E5728,'Player ID'!B:B,0))</f>
        <v>687863</v>
      </c>
    </row>
    <row r="5729">
      <c r="A5729" s="76">
        <v>45794.0</v>
      </c>
      <c r="B5729" s="1" t="s">
        <v>706</v>
      </c>
      <c r="C5729" s="1" t="s">
        <v>78</v>
      </c>
      <c r="D5729" s="1">
        <v>0.2</v>
      </c>
      <c r="E5729" s="1">
        <v>27472.0</v>
      </c>
      <c r="F5729" s="10">
        <f t="shared" si="1"/>
        <v>0.6666666667</v>
      </c>
      <c r="G5729" s="10">
        <f t="array" ref="G5729">index('Player ID'!C:C,match(E5729,'Player ID'!B:B,0))</f>
        <v>694363</v>
      </c>
    </row>
    <row r="5730">
      <c r="A5730" s="76">
        <v>45794.0</v>
      </c>
      <c r="B5730" s="1" t="s">
        <v>167</v>
      </c>
      <c r="C5730" s="1" t="s">
        <v>34</v>
      </c>
      <c r="D5730" s="1">
        <v>1.0</v>
      </c>
      <c r="E5730" s="1">
        <v>27914.0</v>
      </c>
      <c r="F5730" s="10">
        <f t="shared" si="1"/>
        <v>1</v>
      </c>
      <c r="G5730" s="10">
        <f t="array" ref="G5730">index('Player ID'!C:C,match(E5730,'Player ID'!B:B,0))</f>
        <v>694037</v>
      </c>
    </row>
    <row r="5731">
      <c r="A5731" s="76">
        <v>45794.0</v>
      </c>
      <c r="B5731" s="1" t="s">
        <v>356</v>
      </c>
      <c r="C5731" s="1" t="s">
        <v>78</v>
      </c>
      <c r="D5731" s="1">
        <v>4.2</v>
      </c>
      <c r="E5731" s="1">
        <v>29878.0</v>
      </c>
      <c r="F5731" s="10">
        <f t="shared" si="1"/>
        <v>4.666666667</v>
      </c>
      <c r="G5731" s="10">
        <f t="array" ref="G5731">index('Player ID'!C:C,match(E5731,'Player ID'!B:B,0))</f>
        <v>680732</v>
      </c>
    </row>
    <row r="5732">
      <c r="A5732" s="76">
        <v>45794.0</v>
      </c>
      <c r="B5732" s="1" t="s">
        <v>497</v>
      </c>
      <c r="C5732" s="1" t="s">
        <v>78</v>
      </c>
      <c r="D5732" s="1">
        <v>2.1</v>
      </c>
      <c r="E5732" s="1">
        <v>30105.0</v>
      </c>
      <c r="F5732" s="10">
        <f t="shared" si="1"/>
        <v>2.333333333</v>
      </c>
      <c r="G5732" s="10">
        <f t="array" ref="G5732">index('Player ID'!C:C,match(E5732,'Player ID'!B:B,0))</f>
        <v>678024</v>
      </c>
    </row>
    <row r="5733">
      <c r="A5733" s="76">
        <v>45794.0</v>
      </c>
      <c r="B5733" s="1" t="s">
        <v>673</v>
      </c>
      <c r="C5733" s="1" t="s">
        <v>40</v>
      </c>
      <c r="D5733" s="1">
        <v>1.0</v>
      </c>
      <c r="E5733" s="1">
        <v>12095.0</v>
      </c>
      <c r="F5733" s="10">
        <f t="shared" si="1"/>
        <v>1</v>
      </c>
      <c r="G5733" s="10">
        <f t="array" ref="G5733">index('Player ID'!C:C,match(E5733,'Player ID'!B:B,0))</f>
        <v>554340</v>
      </c>
    </row>
    <row r="5734">
      <c r="A5734" s="76">
        <v>45794.0</v>
      </c>
      <c r="B5734" s="1" t="s">
        <v>174</v>
      </c>
      <c r="C5734" s="1" t="s">
        <v>40</v>
      </c>
      <c r="D5734" s="1">
        <v>1.0</v>
      </c>
      <c r="E5734" s="1">
        <v>15552.0</v>
      </c>
      <c r="F5734" s="10">
        <f t="shared" si="1"/>
        <v>1</v>
      </c>
      <c r="G5734" s="10">
        <f t="array" ref="G5734">index('Player ID'!C:C,match(E5734,'Player ID'!B:B,0))</f>
        <v>643338</v>
      </c>
    </row>
    <row r="5735">
      <c r="A5735" s="76">
        <v>45794.0</v>
      </c>
      <c r="B5735" s="1" t="s">
        <v>311</v>
      </c>
      <c r="C5735" s="1" t="s">
        <v>40</v>
      </c>
      <c r="D5735" s="1">
        <v>1.0</v>
      </c>
      <c r="E5735" s="1">
        <v>17432.0</v>
      </c>
      <c r="F5735" s="10">
        <f t="shared" si="1"/>
        <v>1</v>
      </c>
      <c r="G5735" s="10">
        <f t="array" ref="G5735">index('Player ID'!C:C,match(E5735,'Player ID'!B:B,0))</f>
        <v>656546</v>
      </c>
    </row>
    <row r="5736">
      <c r="A5736" s="76">
        <v>45794.0</v>
      </c>
      <c r="B5736" s="1" t="s">
        <v>332</v>
      </c>
      <c r="C5736" s="1" t="s">
        <v>40</v>
      </c>
      <c r="D5736" s="1">
        <v>3.0</v>
      </c>
      <c r="E5736" s="1">
        <v>19316.0</v>
      </c>
      <c r="F5736" s="10">
        <f t="shared" si="1"/>
        <v>3</v>
      </c>
      <c r="G5736" s="10">
        <f t="array" ref="G5736">index('Player ID'!C:C,match(E5736,'Player ID'!B:B,0))</f>
        <v>641778</v>
      </c>
    </row>
    <row r="5737">
      <c r="A5737" s="76">
        <v>45794.0</v>
      </c>
      <c r="B5737" s="1" t="s">
        <v>131</v>
      </c>
      <c r="C5737" s="1" t="s">
        <v>62</v>
      </c>
      <c r="D5737" s="1">
        <v>0.2</v>
      </c>
      <c r="E5737" s="1">
        <v>19769.0</v>
      </c>
      <c r="F5737" s="10">
        <f t="shared" si="1"/>
        <v>0.6666666667</v>
      </c>
      <c r="G5737" s="10">
        <f t="array" ref="G5737">index('Player ID'!C:C,match(E5737,'Player ID'!B:B,0))</f>
        <v>676684</v>
      </c>
    </row>
    <row r="5738">
      <c r="A5738" s="76">
        <v>45794.0</v>
      </c>
      <c r="B5738" s="1" t="s">
        <v>395</v>
      </c>
      <c r="C5738" s="1" t="s">
        <v>40</v>
      </c>
      <c r="D5738" s="1">
        <v>1.0</v>
      </c>
      <c r="E5738" s="1">
        <v>21574.0</v>
      </c>
      <c r="F5738" s="10">
        <f t="shared" si="1"/>
        <v>1</v>
      </c>
      <c r="G5738" s="10">
        <f t="array" ref="G5738">index('Player ID'!C:C,match(E5738,'Player ID'!B:B,0))</f>
        <v>663893</v>
      </c>
    </row>
    <row r="5739">
      <c r="A5739" s="76">
        <v>45794.0</v>
      </c>
      <c r="B5739" s="1" t="s">
        <v>289</v>
      </c>
      <c r="C5739" s="1" t="s">
        <v>62</v>
      </c>
      <c r="D5739" s="1">
        <v>0.2</v>
      </c>
      <c r="E5739" s="1">
        <v>22304.0</v>
      </c>
      <c r="F5739" s="10">
        <f t="shared" si="1"/>
        <v>0.6666666667</v>
      </c>
      <c r="G5739" s="10">
        <f t="array" ref="G5739">index('Player ID'!C:C,match(E5739,'Player ID'!B:B,0))</f>
        <v>669724</v>
      </c>
    </row>
    <row r="5740">
      <c r="A5740" s="76">
        <v>45794.0</v>
      </c>
      <c r="B5740" s="1" t="s">
        <v>419</v>
      </c>
      <c r="C5740" s="1" t="s">
        <v>62</v>
      </c>
      <c r="D5740" s="1">
        <v>6.0</v>
      </c>
      <c r="E5740" s="1">
        <v>24968.0</v>
      </c>
      <c r="F5740" s="10">
        <f t="shared" si="1"/>
        <v>6</v>
      </c>
      <c r="G5740" s="10">
        <f t="array" ref="G5740">index('Player ID'!C:C,match(E5740,'Player ID'!B:B,0))</f>
        <v>681857</v>
      </c>
    </row>
    <row r="5741">
      <c r="A5741" s="76">
        <v>45794.0</v>
      </c>
      <c r="B5741" s="1" t="s">
        <v>667</v>
      </c>
      <c r="C5741" s="1" t="s">
        <v>62</v>
      </c>
      <c r="D5741" s="1">
        <v>0.1</v>
      </c>
      <c r="E5741" s="1">
        <v>26079.0</v>
      </c>
      <c r="F5741" s="10">
        <f t="shared" si="1"/>
        <v>0.3333333333</v>
      </c>
      <c r="G5741" s="10">
        <f t="array" ref="G5741">index('Player ID'!C:C,match(E5741,'Player ID'!B:B,0))</f>
        <v>689225</v>
      </c>
    </row>
    <row r="5742">
      <c r="A5742" s="76">
        <v>45794.0</v>
      </c>
      <c r="B5742" s="1" t="s">
        <v>82</v>
      </c>
      <c r="C5742" s="1" t="s">
        <v>62</v>
      </c>
      <c r="D5742" s="1">
        <v>1.0</v>
      </c>
      <c r="E5742" s="1">
        <v>26231.0</v>
      </c>
      <c r="F5742" s="10">
        <f t="shared" si="1"/>
        <v>1</v>
      </c>
      <c r="G5742" s="10">
        <f t="array" ref="G5742">index('Player ID'!C:C,match(E5742,'Player ID'!B:B,0))</f>
        <v>663947</v>
      </c>
    </row>
    <row r="5743">
      <c r="A5743" s="76">
        <v>45794.0</v>
      </c>
      <c r="B5743" s="1" t="s">
        <v>427</v>
      </c>
      <c r="C5743" s="1" t="s">
        <v>40</v>
      </c>
      <c r="D5743" s="1">
        <v>2.0</v>
      </c>
      <c r="E5743" s="1">
        <v>33838.0</v>
      </c>
      <c r="F5743" s="10">
        <f t="shared" si="1"/>
        <v>2</v>
      </c>
      <c r="G5743" s="10">
        <f t="array" ref="G5743">index('Player ID'!C:C,match(E5743,'Player ID'!B:B,0))</f>
        <v>684320</v>
      </c>
    </row>
    <row r="5744">
      <c r="A5744" s="76">
        <v>45794.0</v>
      </c>
      <c r="B5744" s="1" t="s">
        <v>474</v>
      </c>
      <c r="C5744" s="1" t="s">
        <v>68</v>
      </c>
      <c r="D5744" s="1">
        <v>4.1</v>
      </c>
      <c r="E5744" s="1">
        <v>4676.0</v>
      </c>
      <c r="F5744" s="10">
        <f t="shared" si="1"/>
        <v>4.333333333</v>
      </c>
      <c r="G5744" s="10">
        <f t="array" ref="G5744">index('Player ID'!C:C,match(E5744,'Player ID'!B:B,0))</f>
        <v>450203</v>
      </c>
    </row>
    <row r="5745">
      <c r="A5745" s="76">
        <v>45794.0</v>
      </c>
      <c r="B5745" s="1" t="s">
        <v>588</v>
      </c>
      <c r="C5745" s="1" t="s">
        <v>68</v>
      </c>
      <c r="D5745" s="1">
        <v>0.2</v>
      </c>
      <c r="E5745" s="1">
        <v>10123.0</v>
      </c>
      <c r="F5745" s="10">
        <f t="shared" si="1"/>
        <v>0.6666666667</v>
      </c>
      <c r="G5745" s="10">
        <f t="array" ref="G5745">index('Player ID'!C:C,match(E5745,'Player ID'!B:B,0))</f>
        <v>502043</v>
      </c>
    </row>
    <row r="5746">
      <c r="A5746" s="76">
        <v>45794.0</v>
      </c>
      <c r="B5746" s="1" t="s">
        <v>639</v>
      </c>
      <c r="C5746" s="1" t="s">
        <v>68</v>
      </c>
      <c r="D5746" s="1">
        <v>0.2</v>
      </c>
      <c r="E5746" s="1">
        <v>19249.0</v>
      </c>
      <c r="F5746" s="10">
        <f t="shared" si="1"/>
        <v>0.6666666667</v>
      </c>
      <c r="G5746" s="10">
        <f t="array" ref="G5746">index('Player ID'!C:C,match(E5746,'Player ID'!B:B,0))</f>
        <v>622554</v>
      </c>
    </row>
    <row r="5747">
      <c r="A5747" s="76">
        <v>45794.0</v>
      </c>
      <c r="B5747" s="1" t="s">
        <v>675</v>
      </c>
      <c r="C5747" s="1" t="s">
        <v>68</v>
      </c>
      <c r="D5747" s="1">
        <v>2.2</v>
      </c>
      <c r="E5747" s="1">
        <v>19614.0</v>
      </c>
      <c r="F5747" s="10">
        <f t="shared" si="1"/>
        <v>2.666666667</v>
      </c>
      <c r="G5747" s="10">
        <f t="array" ref="G5747">index('Player ID'!C:C,match(E5747,'Player ID'!B:B,0))</f>
        <v>672335</v>
      </c>
    </row>
    <row r="5748">
      <c r="A5748" s="76">
        <v>45794.0</v>
      </c>
      <c r="B5748" s="1" t="s">
        <v>396</v>
      </c>
      <c r="C5748" s="1" t="s">
        <v>80</v>
      </c>
      <c r="D5748" s="1">
        <v>6.1</v>
      </c>
      <c r="E5748" s="1">
        <v>21504.0</v>
      </c>
      <c r="F5748" s="10">
        <f t="shared" si="1"/>
        <v>6.333333333</v>
      </c>
      <c r="G5748" s="10">
        <f t="array" ref="G5748">index('Player ID'!C:C,match(E5748,'Player ID'!B:B,0))</f>
        <v>663623</v>
      </c>
    </row>
    <row r="5749">
      <c r="A5749" s="76">
        <v>45794.0</v>
      </c>
      <c r="B5749" s="1" t="s">
        <v>86</v>
      </c>
      <c r="C5749" s="1" t="s">
        <v>80</v>
      </c>
      <c r="D5749" s="1">
        <v>1.2</v>
      </c>
      <c r="E5749" s="1">
        <v>24017.0</v>
      </c>
      <c r="F5749" s="10">
        <f t="shared" si="1"/>
        <v>1.666666667</v>
      </c>
      <c r="G5749" s="10">
        <f t="array" ref="G5749">index('Player ID'!C:C,match(E5749,'Player ID'!B:B,0))</f>
        <v>678606</v>
      </c>
    </row>
    <row r="5750">
      <c r="A5750" s="76">
        <v>45794.0</v>
      </c>
      <c r="B5750" s="1" t="s">
        <v>235</v>
      </c>
      <c r="C5750" s="1" t="s">
        <v>68</v>
      </c>
      <c r="D5750" s="1">
        <v>0.2</v>
      </c>
      <c r="E5750" s="1">
        <v>25911.0</v>
      </c>
      <c r="F5750" s="10">
        <f t="shared" si="1"/>
        <v>0.6666666667</v>
      </c>
      <c r="G5750" s="10">
        <f t="array" ref="G5750">index('Player ID'!C:C,match(E5750,'Player ID'!B:B,0))</f>
        <v>666974</v>
      </c>
    </row>
    <row r="5751">
      <c r="A5751" s="76">
        <v>45794.0</v>
      </c>
      <c r="B5751" s="1" t="s">
        <v>818</v>
      </c>
      <c r="C5751" s="1" t="s">
        <v>80</v>
      </c>
      <c r="D5751" s="1">
        <v>1.0</v>
      </c>
      <c r="E5751" s="1">
        <v>27783.0</v>
      </c>
      <c r="F5751" s="10">
        <f t="shared" si="1"/>
        <v>1</v>
      </c>
      <c r="G5751" s="10">
        <f t="array" ref="G5751">index('Player ID'!C:C,match(E5751,'Player ID'!B:B,0))</f>
        <v>694350</v>
      </c>
    </row>
    <row r="5752">
      <c r="A5752" s="76">
        <v>45794.0</v>
      </c>
      <c r="B5752" s="1" t="s">
        <v>185</v>
      </c>
      <c r="C5752" s="1" t="s">
        <v>54</v>
      </c>
      <c r="D5752" s="1">
        <v>1.0</v>
      </c>
      <c r="E5752" s="1">
        <v>17897.0</v>
      </c>
      <c r="F5752" s="10">
        <f t="shared" si="1"/>
        <v>1</v>
      </c>
      <c r="G5752" s="10">
        <f t="array" ref="G5752">index('Player ID'!C:C,match(E5752,'Player ID'!B:B,0))</f>
        <v>664076</v>
      </c>
    </row>
    <row r="5753">
      <c r="A5753" s="76">
        <v>45794.0</v>
      </c>
      <c r="B5753" s="1" t="s">
        <v>261</v>
      </c>
      <c r="C5753" s="1" t="s">
        <v>54</v>
      </c>
      <c r="D5753" s="1">
        <v>1.0</v>
      </c>
      <c r="E5753" s="1">
        <v>17998.0</v>
      </c>
      <c r="F5753" s="10">
        <f t="shared" si="1"/>
        <v>1</v>
      </c>
      <c r="G5753" s="10">
        <f t="array" ref="G5753">index('Player ID'!C:C,match(E5753,'Player ID'!B:B,0))</f>
        <v>664126</v>
      </c>
    </row>
    <row r="5754">
      <c r="A5754" s="76">
        <v>45794.0</v>
      </c>
      <c r="B5754" s="1" t="s">
        <v>229</v>
      </c>
      <c r="C5754" s="1" t="s">
        <v>36</v>
      </c>
      <c r="D5754" s="1">
        <v>5.0</v>
      </c>
      <c r="E5754" s="1">
        <v>18684.0</v>
      </c>
      <c r="F5754" s="10">
        <f t="shared" si="1"/>
        <v>5</v>
      </c>
      <c r="G5754" s="10">
        <f t="array" ref="G5754">index('Player ID'!C:C,match(E5754,'Player ID'!B:B,0))</f>
        <v>645261</v>
      </c>
    </row>
    <row r="5755">
      <c r="A5755" s="76">
        <v>45794.0</v>
      </c>
      <c r="B5755" s="1" t="s">
        <v>241</v>
      </c>
      <c r="C5755" s="1" t="s">
        <v>36</v>
      </c>
      <c r="D5755" s="1">
        <v>1.0</v>
      </c>
      <c r="E5755" s="1">
        <v>19222.0</v>
      </c>
      <c r="F5755" s="10">
        <f t="shared" si="1"/>
        <v>1</v>
      </c>
      <c r="G5755" s="10">
        <f t="array" ref="G5755">index('Player ID'!C:C,match(E5755,'Player ID'!B:B,0))</f>
        <v>669199</v>
      </c>
    </row>
    <row r="5756">
      <c r="A5756" s="76">
        <v>45794.0</v>
      </c>
      <c r="B5756" s="1" t="s">
        <v>400</v>
      </c>
      <c r="C5756" s="1" t="s">
        <v>54</v>
      </c>
      <c r="D5756" s="1">
        <v>1.0</v>
      </c>
      <c r="E5756" s="1">
        <v>20539.0</v>
      </c>
      <c r="F5756" s="10">
        <f t="shared" si="1"/>
        <v>1</v>
      </c>
      <c r="G5756" s="10">
        <f t="array" ref="G5756">index('Player ID'!C:C,match(E5756,'Player ID'!B:B,0))</f>
        <v>670955</v>
      </c>
    </row>
    <row r="5757">
      <c r="A5757" s="76">
        <v>45794.0</v>
      </c>
      <c r="B5757" s="1" t="s">
        <v>97</v>
      </c>
      <c r="C5757" s="1" t="s">
        <v>54</v>
      </c>
      <c r="D5757" s="1">
        <v>6.0</v>
      </c>
      <c r="E5757" s="1">
        <v>25385.0</v>
      </c>
      <c r="F5757" s="10">
        <f t="shared" si="1"/>
        <v>6</v>
      </c>
      <c r="G5757" s="10">
        <f t="array" ref="G5757">index('Player ID'!C:C,match(E5757,'Player ID'!B:B,0))</f>
        <v>656876</v>
      </c>
    </row>
    <row r="5758">
      <c r="A5758" s="76">
        <v>45794.0</v>
      </c>
      <c r="B5758" s="1" t="s">
        <v>266</v>
      </c>
      <c r="C5758" s="1" t="s">
        <v>36</v>
      </c>
      <c r="D5758" s="1">
        <v>3.0</v>
      </c>
      <c r="E5758" s="1">
        <v>31815.0</v>
      </c>
      <c r="F5758" s="10">
        <f t="shared" si="1"/>
        <v>3</v>
      </c>
      <c r="G5758" s="10">
        <f t="array" ref="G5758">index('Player ID'!C:C,match(E5758,'Player ID'!B:B,0))</f>
        <v>806188</v>
      </c>
    </row>
    <row r="5759">
      <c r="A5759" s="76">
        <v>45794.0</v>
      </c>
      <c r="B5759" s="1" t="s">
        <v>79</v>
      </c>
      <c r="C5759" s="1" t="s">
        <v>45</v>
      </c>
      <c r="D5759" s="1">
        <v>6.0</v>
      </c>
      <c r="E5759" s="1">
        <v>10310.0</v>
      </c>
      <c r="F5759" s="10">
        <f t="shared" si="1"/>
        <v>6</v>
      </c>
      <c r="G5759" s="10">
        <f t="array" ref="G5759">index('Player ID'!C:C,match(E5759,'Player ID'!B:B,0))</f>
        <v>554430</v>
      </c>
    </row>
    <row r="5760">
      <c r="A5760" s="76">
        <v>45794.0</v>
      </c>
      <c r="B5760" s="1" t="s">
        <v>182</v>
      </c>
      <c r="C5760" s="1" t="s">
        <v>45</v>
      </c>
      <c r="D5760" s="1">
        <v>1.0</v>
      </c>
      <c r="E5760" s="1">
        <v>13799.0</v>
      </c>
      <c r="F5760" s="10">
        <f t="shared" si="1"/>
        <v>1</v>
      </c>
      <c r="G5760" s="10">
        <f t="array" ref="G5760">index('Player ID'!C:C,match(E5760,'Player ID'!B:B,0))</f>
        <v>621381</v>
      </c>
    </row>
    <row r="5761">
      <c r="A5761" s="76">
        <v>45794.0</v>
      </c>
      <c r="B5761" s="1" t="s">
        <v>138</v>
      </c>
      <c r="C5761" s="1" t="s">
        <v>45</v>
      </c>
      <c r="D5761" s="1">
        <v>1.0</v>
      </c>
      <c r="E5761" s="1">
        <v>16990.0</v>
      </c>
      <c r="F5761" s="10">
        <f t="shared" si="1"/>
        <v>1</v>
      </c>
      <c r="G5761" s="10">
        <f t="array" ref="G5761">index('Player ID'!C:C,match(E5761,'Player ID'!B:B,0))</f>
        <v>621383</v>
      </c>
    </row>
    <row r="5762">
      <c r="A5762" s="76">
        <v>45794.0</v>
      </c>
      <c r="B5762" s="1" t="s">
        <v>716</v>
      </c>
      <c r="C5762" s="1" t="s">
        <v>60</v>
      </c>
      <c r="D5762" s="1">
        <v>1.0</v>
      </c>
      <c r="E5762" s="1">
        <v>17610.0</v>
      </c>
      <c r="F5762" s="10">
        <f t="shared" si="1"/>
        <v>1</v>
      </c>
      <c r="G5762" s="10">
        <f t="array" ref="G5762">index('Player ID'!C:C,match(E5762,'Player ID'!B:B,0))</f>
        <v>663432</v>
      </c>
    </row>
    <row r="5763">
      <c r="A5763" s="76">
        <v>45794.0</v>
      </c>
      <c r="B5763" s="1" t="s">
        <v>107</v>
      </c>
      <c r="C5763" s="1" t="s">
        <v>60</v>
      </c>
      <c r="D5763" s="1">
        <v>1.0</v>
      </c>
      <c r="E5763" s="1">
        <v>19349.0</v>
      </c>
      <c r="F5763" s="10">
        <f t="shared" si="1"/>
        <v>1</v>
      </c>
      <c r="G5763" s="10">
        <f t="array" ref="G5763">index('Player ID'!C:C,match(E5763,'Player ID'!B:B,0))</f>
        <v>657571</v>
      </c>
    </row>
    <row r="5764">
      <c r="A5764" s="76">
        <v>45794.0</v>
      </c>
      <c r="B5764" s="1" t="s">
        <v>384</v>
      </c>
      <c r="C5764" s="1" t="s">
        <v>60</v>
      </c>
      <c r="D5764" s="1">
        <v>1.2</v>
      </c>
      <c r="E5764" s="1">
        <v>19962.0</v>
      </c>
      <c r="F5764" s="10">
        <f t="shared" si="1"/>
        <v>1.666666667</v>
      </c>
      <c r="G5764" s="10">
        <f t="array" ref="G5764">index('Player ID'!C:C,match(E5764,'Player ID'!B:B,0))</f>
        <v>666214</v>
      </c>
    </row>
    <row r="5765">
      <c r="A5765" s="76">
        <v>45794.0</v>
      </c>
      <c r="B5765" s="1" t="s">
        <v>463</v>
      </c>
      <c r="C5765" s="1" t="s">
        <v>60</v>
      </c>
      <c r="D5765" s="1">
        <v>1.0</v>
      </c>
      <c r="E5765" s="1">
        <v>21544.0</v>
      </c>
      <c r="F5765" s="10">
        <f t="shared" si="1"/>
        <v>1</v>
      </c>
      <c r="G5765" s="10">
        <f t="array" ref="G5765">index('Player ID'!C:C,match(E5765,'Player ID'!B:B,0))</f>
        <v>663767</v>
      </c>
    </row>
    <row r="5766">
      <c r="A5766" s="76">
        <v>45794.0</v>
      </c>
      <c r="B5766" s="1" t="s">
        <v>701</v>
      </c>
      <c r="C5766" s="1" t="s">
        <v>45</v>
      </c>
      <c r="D5766" s="1">
        <v>1.0</v>
      </c>
      <c r="E5766" s="1">
        <v>22713.0</v>
      </c>
      <c r="F5766" s="10">
        <f t="shared" si="1"/>
        <v>1</v>
      </c>
      <c r="G5766" s="10">
        <f t="array" ref="G5766">index('Player ID'!C:C,match(E5766,'Player ID'!B:B,0))</f>
        <v>672578</v>
      </c>
    </row>
    <row r="5767">
      <c r="A5767" s="76">
        <v>45794.0</v>
      </c>
      <c r="B5767" s="1" t="s">
        <v>267</v>
      </c>
      <c r="C5767" s="1" t="s">
        <v>60</v>
      </c>
      <c r="D5767" s="1">
        <v>3.1</v>
      </c>
      <c r="E5767" s="1">
        <v>27572.0</v>
      </c>
      <c r="F5767" s="10">
        <f t="shared" si="1"/>
        <v>3.333333333</v>
      </c>
      <c r="G5767" s="10">
        <f t="array" ref="G5767">index('Player ID'!C:C,match(E5767,'Player ID'!B:B,0))</f>
        <v>669387</v>
      </c>
    </row>
    <row r="5768">
      <c r="A5768" s="76">
        <v>45794.0</v>
      </c>
      <c r="B5768" s="1" t="s">
        <v>117</v>
      </c>
      <c r="C5768" s="1" t="s">
        <v>70</v>
      </c>
      <c r="D5768" s="1">
        <v>1.0</v>
      </c>
      <c r="E5768" s="1">
        <v>13619.0</v>
      </c>
      <c r="F5768" s="10">
        <f t="shared" si="1"/>
        <v>1</v>
      </c>
      <c r="G5768" s="10">
        <f t="array" ref="G5768">index('Player ID'!C:C,match(E5768,'Player ID'!B:B,0))</f>
        <v>596001</v>
      </c>
    </row>
    <row r="5769">
      <c r="A5769" s="76">
        <v>45794.0</v>
      </c>
      <c r="B5769" s="1" t="s">
        <v>417</v>
      </c>
      <c r="C5769" s="1" t="s">
        <v>66</v>
      </c>
      <c r="D5769" s="1">
        <v>3.0</v>
      </c>
      <c r="E5769" s="1">
        <v>13942.0</v>
      </c>
      <c r="F5769" s="10">
        <f t="shared" si="1"/>
        <v>3</v>
      </c>
      <c r="G5769" s="10">
        <f t="array" ref="G5769">index('Player ID'!C:C,match(E5769,'Player ID'!B:B,0))</f>
        <v>608718</v>
      </c>
    </row>
    <row r="5770">
      <c r="A5770" s="76">
        <v>45794.0</v>
      </c>
      <c r="B5770" s="1" t="s">
        <v>651</v>
      </c>
      <c r="C5770" s="1" t="s">
        <v>66</v>
      </c>
      <c r="D5770" s="1">
        <v>1.0</v>
      </c>
      <c r="E5770" s="1">
        <v>14771.0</v>
      </c>
      <c r="F5770" s="10">
        <f t="shared" si="1"/>
        <v>1</v>
      </c>
      <c r="G5770" s="10">
        <f t="array" ref="G5770">index('Player ID'!C:C,match(E5770,'Player ID'!B:B,0))</f>
        <v>641941</v>
      </c>
    </row>
    <row r="5771">
      <c r="A5771" s="76">
        <v>45794.0</v>
      </c>
      <c r="B5771" s="1" t="s">
        <v>345</v>
      </c>
      <c r="C5771" s="1" t="s">
        <v>66</v>
      </c>
      <c r="D5771" s="1">
        <v>1.0</v>
      </c>
      <c r="E5771" s="1">
        <v>19926.0</v>
      </c>
      <c r="F5771" s="10">
        <f t="shared" si="1"/>
        <v>1</v>
      </c>
      <c r="G5771" s="10">
        <f t="array" ref="G5771">index('Player ID'!C:C,match(E5771,'Player ID'!B:B,0))</f>
        <v>663574</v>
      </c>
    </row>
    <row r="5772">
      <c r="A5772" s="76">
        <v>45794.0</v>
      </c>
      <c r="B5772" s="1" t="s">
        <v>132</v>
      </c>
      <c r="C5772" s="1" t="s">
        <v>70</v>
      </c>
      <c r="D5772" s="1">
        <v>0.2</v>
      </c>
      <c r="E5772" s="1">
        <v>21032.0</v>
      </c>
      <c r="F5772" s="10">
        <f t="shared" si="1"/>
        <v>0.6666666667</v>
      </c>
      <c r="G5772" s="10">
        <f t="array" ref="G5772">index('Player ID'!C:C,match(E5772,'Player ID'!B:B,0))</f>
        <v>661403</v>
      </c>
    </row>
    <row r="5773">
      <c r="A5773" s="76">
        <v>45794.0</v>
      </c>
      <c r="B5773" s="1" t="s">
        <v>398</v>
      </c>
      <c r="C5773" s="1" t="s">
        <v>70</v>
      </c>
      <c r="D5773" s="1">
        <v>0.1</v>
      </c>
      <c r="E5773" s="1">
        <v>23335.0</v>
      </c>
      <c r="F5773" s="10">
        <f t="shared" si="1"/>
        <v>0.3333333333</v>
      </c>
      <c r="G5773" s="10">
        <f t="array" ref="G5773">index('Player ID'!C:C,match(E5773,'Player ID'!B:B,0))</f>
        <v>676282</v>
      </c>
    </row>
    <row r="5774">
      <c r="A5774" s="76">
        <v>45794.0</v>
      </c>
      <c r="B5774" s="1" t="s">
        <v>518</v>
      </c>
      <c r="C5774" s="1" t="s">
        <v>66</v>
      </c>
      <c r="D5774" s="1">
        <v>2.0</v>
      </c>
      <c r="E5774" s="1">
        <v>24581.0</v>
      </c>
      <c r="F5774" s="10">
        <f t="shared" si="1"/>
        <v>2</v>
      </c>
      <c r="G5774" s="10">
        <f t="array" ref="G5774">index('Player ID'!C:C,match(E5774,'Player ID'!B:B,0))</f>
        <v>680689</v>
      </c>
    </row>
    <row r="5775">
      <c r="A5775" s="76">
        <v>45794.0</v>
      </c>
      <c r="B5775" s="1" t="s">
        <v>550</v>
      </c>
      <c r="C5775" s="1" t="s">
        <v>66</v>
      </c>
      <c r="D5775" s="1">
        <v>1.0</v>
      </c>
      <c r="E5775" s="1">
        <v>25620.0</v>
      </c>
      <c r="F5775" s="10">
        <f t="shared" si="1"/>
        <v>1</v>
      </c>
      <c r="G5775" s="10">
        <f t="array" ref="G5775">index('Player ID'!C:C,match(E5775,'Player ID'!B:B,0))</f>
        <v>682825</v>
      </c>
    </row>
    <row r="5776">
      <c r="A5776" s="76">
        <v>45794.0</v>
      </c>
      <c r="B5776" s="1" t="s">
        <v>306</v>
      </c>
      <c r="C5776" s="1" t="s">
        <v>70</v>
      </c>
      <c r="D5776" s="1">
        <v>5.0</v>
      </c>
      <c r="E5776" s="1">
        <v>27500.0</v>
      </c>
      <c r="F5776" s="10">
        <f t="shared" si="1"/>
        <v>5</v>
      </c>
      <c r="G5776" s="10">
        <f t="array" ref="G5776">index('Player ID'!C:C,match(E5776,'Player ID'!B:B,0))</f>
        <v>677944</v>
      </c>
    </row>
    <row r="5777">
      <c r="A5777" s="76">
        <v>45794.0</v>
      </c>
      <c r="B5777" s="1" t="s">
        <v>211</v>
      </c>
      <c r="C5777" s="1" t="s">
        <v>66</v>
      </c>
      <c r="D5777" s="1">
        <v>1.0</v>
      </c>
      <c r="E5777" s="1">
        <v>27552.0</v>
      </c>
      <c r="F5777" s="10">
        <f t="shared" si="1"/>
        <v>1</v>
      </c>
      <c r="G5777" s="10">
        <f t="array" ref="G5777">index('Player ID'!C:C,match(E5777,'Player ID'!B:B,0))</f>
        <v>668933</v>
      </c>
    </row>
    <row r="5778">
      <c r="A5778" s="76">
        <v>45794.0</v>
      </c>
      <c r="B5778" s="1" t="s">
        <v>135</v>
      </c>
      <c r="C5778" s="1" t="s">
        <v>70</v>
      </c>
      <c r="D5778" s="1">
        <v>1.0</v>
      </c>
      <c r="E5778" s="1">
        <v>27867.0</v>
      </c>
      <c r="F5778" s="10">
        <f t="shared" si="1"/>
        <v>1</v>
      </c>
      <c r="G5778" s="10">
        <f t="array" ref="G5778">index('Player ID'!C:C,match(E5778,'Player ID'!B:B,0))</f>
        <v>671922</v>
      </c>
    </row>
    <row r="5779">
      <c r="A5779" s="76">
        <v>45794.0</v>
      </c>
      <c r="B5779" s="1" t="s">
        <v>74</v>
      </c>
      <c r="C5779" s="1" t="s">
        <v>56</v>
      </c>
      <c r="D5779" s="1">
        <v>1.0</v>
      </c>
      <c r="E5779" s="1">
        <v>11847.0</v>
      </c>
      <c r="F5779" s="10">
        <f t="shared" si="1"/>
        <v>1</v>
      </c>
      <c r="G5779" s="10">
        <f t="array" ref="G5779">index('Player ID'!C:C,match(E5779,'Player ID'!B:B,0))</f>
        <v>455119</v>
      </c>
    </row>
    <row r="5780">
      <c r="A5780" s="76">
        <v>45794.0</v>
      </c>
      <c r="B5780" s="1" t="s">
        <v>55</v>
      </c>
      <c r="C5780" s="1" t="s">
        <v>56</v>
      </c>
      <c r="D5780" s="1">
        <v>6.0</v>
      </c>
      <c r="E5780" s="1">
        <v>16358.0</v>
      </c>
      <c r="F5780" s="10">
        <f t="shared" si="1"/>
        <v>6</v>
      </c>
      <c r="G5780" s="10">
        <f t="array" ref="G5780">index('Player ID'!C:C,match(E5780,'Player ID'!B:B,0))</f>
        <v>641816</v>
      </c>
    </row>
    <row r="5781">
      <c r="A5781" s="76">
        <v>45794.0</v>
      </c>
      <c r="B5781" s="1" t="s">
        <v>87</v>
      </c>
      <c r="C5781" s="1" t="s">
        <v>56</v>
      </c>
      <c r="D5781" s="1">
        <v>1.0</v>
      </c>
      <c r="E5781" s="1">
        <v>19274.0</v>
      </c>
      <c r="F5781" s="10">
        <f t="shared" si="1"/>
        <v>1</v>
      </c>
      <c r="G5781" s="10">
        <f t="array" ref="G5781">index('Player ID'!C:C,match(E5781,'Player ID'!B:B,0))</f>
        <v>657097</v>
      </c>
    </row>
    <row r="5782">
      <c r="A5782" s="76">
        <v>45794.0</v>
      </c>
      <c r="B5782" s="1" t="s">
        <v>314</v>
      </c>
      <c r="C5782" s="1" t="s">
        <v>39</v>
      </c>
      <c r="D5782" s="1">
        <v>6.0</v>
      </c>
      <c r="E5782" s="1">
        <v>19407.0</v>
      </c>
      <c r="F5782" s="10">
        <f t="shared" si="1"/>
        <v>6</v>
      </c>
      <c r="G5782" s="10">
        <f t="array" ref="G5782">index('Player ID'!C:C,match(E5782,'Player ID'!B:B,0))</f>
        <v>669854</v>
      </c>
    </row>
    <row r="5783">
      <c r="A5783" s="76">
        <v>45794.0</v>
      </c>
      <c r="B5783" s="1" t="s">
        <v>102</v>
      </c>
      <c r="C5783" s="1" t="s">
        <v>39</v>
      </c>
      <c r="D5783" s="1">
        <v>1.0</v>
      </c>
      <c r="E5783" s="1">
        <v>21345.0</v>
      </c>
      <c r="F5783" s="10">
        <f t="shared" si="1"/>
        <v>1</v>
      </c>
      <c r="G5783" s="10">
        <f t="array" ref="G5783">index('Player ID'!C:C,match(E5783,'Player ID'!B:B,0))</f>
        <v>656986</v>
      </c>
    </row>
    <row r="5784">
      <c r="A5784" s="76">
        <v>45794.0</v>
      </c>
      <c r="B5784" s="1" t="s">
        <v>268</v>
      </c>
      <c r="C5784" s="1" t="s">
        <v>56</v>
      </c>
      <c r="D5784" s="1">
        <v>1.0</v>
      </c>
      <c r="E5784" s="1">
        <v>23363.0</v>
      </c>
      <c r="F5784" s="10">
        <f t="shared" si="1"/>
        <v>1</v>
      </c>
      <c r="G5784" s="10">
        <f t="array" ref="G5784">index('Player ID'!C:C,match(E5784,'Player ID'!B:B,0))</f>
        <v>676395</v>
      </c>
    </row>
    <row r="5785">
      <c r="A5785" s="76">
        <v>45794.0</v>
      </c>
      <c r="B5785" s="1" t="s">
        <v>228</v>
      </c>
      <c r="C5785" s="1" t="s">
        <v>39</v>
      </c>
      <c r="D5785" s="1">
        <v>1.0</v>
      </c>
      <c r="E5785" s="1">
        <v>26440.0</v>
      </c>
      <c r="F5785" s="10">
        <f t="shared" si="1"/>
        <v>1</v>
      </c>
      <c r="G5785" s="10">
        <f t="array" ref="G5785">index('Player ID'!C:C,match(E5785,'Player ID'!B:B,0))</f>
        <v>687473</v>
      </c>
    </row>
    <row r="5786">
      <c r="A5786" s="76">
        <v>45794.0</v>
      </c>
      <c r="B5786" s="1" t="s">
        <v>287</v>
      </c>
      <c r="C5786" s="1" t="s">
        <v>72</v>
      </c>
      <c r="D5786" s="1">
        <v>6.0</v>
      </c>
      <c r="E5786" s="1">
        <v>9803.0</v>
      </c>
      <c r="F5786" s="10">
        <f t="shared" si="1"/>
        <v>6</v>
      </c>
      <c r="G5786" s="10">
        <f t="array" ref="G5786">index('Player ID'!C:C,match(E5786,'Player ID'!B:B,0))</f>
        <v>571945</v>
      </c>
    </row>
    <row r="5787">
      <c r="A5787" s="76">
        <v>45794.0</v>
      </c>
      <c r="B5787" s="1" t="s">
        <v>270</v>
      </c>
      <c r="C5787" s="1" t="s">
        <v>72</v>
      </c>
      <c r="D5787" s="1">
        <v>1.0</v>
      </c>
      <c r="E5787" s="1">
        <v>18138.0</v>
      </c>
      <c r="F5787" s="10">
        <f t="shared" si="1"/>
        <v>1</v>
      </c>
      <c r="G5787" s="10">
        <f t="array" ref="G5787">index('Player ID'!C:C,match(E5787,'Player ID'!B:B,0))</f>
        <v>664854</v>
      </c>
    </row>
    <row r="5788">
      <c r="A5788" s="76">
        <v>45794.0</v>
      </c>
      <c r="B5788" s="1" t="s">
        <v>140</v>
      </c>
      <c r="C5788" s="1" t="s">
        <v>29</v>
      </c>
      <c r="D5788" s="1">
        <v>1.0</v>
      </c>
      <c r="E5788" s="1">
        <v>22717.0</v>
      </c>
      <c r="F5788" s="10">
        <f t="shared" si="1"/>
        <v>1</v>
      </c>
      <c r="G5788" s="10">
        <f t="array" ref="G5788">index('Player ID'!C:C,match(E5788,'Player ID'!B:B,0))</f>
        <v>672582</v>
      </c>
    </row>
    <row r="5789">
      <c r="A5789" s="76">
        <v>45794.0</v>
      </c>
      <c r="B5789" s="1" t="s">
        <v>214</v>
      </c>
      <c r="C5789" s="1" t="s">
        <v>29</v>
      </c>
      <c r="D5789" s="1">
        <v>1.2</v>
      </c>
      <c r="E5789" s="1">
        <v>23165.0</v>
      </c>
      <c r="F5789" s="10">
        <f t="shared" si="1"/>
        <v>1.666666667</v>
      </c>
      <c r="G5789" s="10">
        <f t="array" ref="G5789">index('Player ID'!C:C,match(E5789,'Player ID'!B:B,0))</f>
        <v>674444</v>
      </c>
    </row>
    <row r="5790">
      <c r="A5790" s="76">
        <v>45794.0</v>
      </c>
      <c r="B5790" s="1" t="s">
        <v>170</v>
      </c>
      <c r="C5790" s="1" t="s">
        <v>72</v>
      </c>
      <c r="D5790" s="1">
        <v>2.0</v>
      </c>
      <c r="E5790" s="1">
        <v>24763.0</v>
      </c>
      <c r="F5790" s="10">
        <f t="shared" si="1"/>
        <v>2</v>
      </c>
      <c r="G5790" s="10">
        <f t="array" ref="G5790">index('Player ID'!C:C,match(E5790,'Player ID'!B:B,0))</f>
        <v>681517</v>
      </c>
    </row>
    <row r="5791">
      <c r="A5791" s="76">
        <v>45794.0</v>
      </c>
      <c r="B5791" s="1" t="s">
        <v>161</v>
      </c>
      <c r="C5791" s="1" t="s">
        <v>29</v>
      </c>
      <c r="D5791" s="1">
        <v>6.1</v>
      </c>
      <c r="E5791" s="1">
        <v>30184.0</v>
      </c>
      <c r="F5791" s="10">
        <f t="shared" si="1"/>
        <v>6.333333333</v>
      </c>
      <c r="G5791" s="10">
        <f t="array" ref="G5791">index('Player ID'!C:C,match(E5791,'Player ID'!B:B,0))</f>
        <v>702070</v>
      </c>
    </row>
    <row r="5792">
      <c r="A5792" s="76">
        <v>45794.0</v>
      </c>
      <c r="B5792" s="1" t="s">
        <v>41</v>
      </c>
      <c r="C5792" s="1" t="s">
        <v>22</v>
      </c>
      <c r="D5792" s="1">
        <v>1.0</v>
      </c>
      <c r="E5792" s="1">
        <v>10233.0</v>
      </c>
      <c r="F5792" s="10">
        <f t="shared" si="1"/>
        <v>1</v>
      </c>
      <c r="G5792" s="10">
        <f t="array" ref="G5792">index('Player ID'!C:C,match(E5792,'Player ID'!B:B,0))</f>
        <v>547973</v>
      </c>
    </row>
    <row r="5793">
      <c r="A5793" s="76">
        <v>45794.0</v>
      </c>
      <c r="B5793" s="1" t="s">
        <v>326</v>
      </c>
      <c r="C5793" s="1" t="s">
        <v>46</v>
      </c>
      <c r="D5793" s="1">
        <v>0.2</v>
      </c>
      <c r="E5793" s="1">
        <v>12760.0</v>
      </c>
      <c r="F5793" s="10">
        <f t="shared" si="1"/>
        <v>0.6666666667</v>
      </c>
      <c r="G5793" s="10">
        <f t="array" ref="G5793">index('Player ID'!C:C,match(E5793,'Player ID'!B:B,0))</f>
        <v>606160</v>
      </c>
    </row>
    <row r="5794">
      <c r="A5794" s="76">
        <v>45794.0</v>
      </c>
      <c r="B5794" s="1" t="s">
        <v>178</v>
      </c>
      <c r="C5794" s="1" t="s">
        <v>46</v>
      </c>
      <c r="D5794" s="1">
        <v>0.1</v>
      </c>
      <c r="E5794" s="1">
        <v>13435.0</v>
      </c>
      <c r="F5794" s="10">
        <f t="shared" si="1"/>
        <v>0.3333333333</v>
      </c>
      <c r="G5794" s="10">
        <f t="array" ref="G5794">index('Player ID'!C:C,match(E5794,'Player ID'!B:B,0))</f>
        <v>572955</v>
      </c>
    </row>
    <row r="5795">
      <c r="A5795" s="76">
        <v>45794.0</v>
      </c>
      <c r="B5795" s="1" t="s">
        <v>416</v>
      </c>
      <c r="C5795" s="1" t="s">
        <v>22</v>
      </c>
      <c r="D5795" s="1">
        <v>4.0</v>
      </c>
      <c r="E5795" s="1">
        <v>15474.0</v>
      </c>
      <c r="F5795" s="10">
        <f t="shared" si="1"/>
        <v>4</v>
      </c>
      <c r="G5795" s="10">
        <f t="array" ref="G5795">index('Player ID'!C:C,match(E5795,'Player ID'!B:B,0))</f>
        <v>608337</v>
      </c>
    </row>
    <row r="5796">
      <c r="A5796" s="76">
        <v>45794.0</v>
      </c>
      <c r="B5796" s="1" t="s">
        <v>762</v>
      </c>
      <c r="C5796" s="1" t="s">
        <v>22</v>
      </c>
      <c r="D5796" s="1">
        <v>2.0</v>
      </c>
      <c r="E5796" s="1">
        <v>16074.0</v>
      </c>
      <c r="F5796" s="10">
        <f t="shared" si="1"/>
        <v>2</v>
      </c>
      <c r="G5796" s="10">
        <f t="array" ref="G5796">index('Player ID'!C:C,match(E5796,'Player ID'!B:B,0))</f>
        <v>595897</v>
      </c>
    </row>
    <row r="5797">
      <c r="A5797" s="76">
        <v>45794.0</v>
      </c>
      <c r="B5797" s="1" t="s">
        <v>319</v>
      </c>
      <c r="C5797" s="1" t="s">
        <v>46</v>
      </c>
      <c r="D5797" s="1">
        <v>0.1</v>
      </c>
      <c r="E5797" s="1">
        <v>16258.0</v>
      </c>
      <c r="F5797" s="10">
        <f t="shared" si="1"/>
        <v>0.3333333333</v>
      </c>
      <c r="G5797" s="10">
        <f t="array" ref="G5797">index('Player ID'!C:C,match(E5797,'Player ID'!B:B,0))</f>
        <v>607481</v>
      </c>
    </row>
    <row r="5798">
      <c r="A5798" s="76">
        <v>45794.0</v>
      </c>
      <c r="B5798" s="1" t="s">
        <v>493</v>
      </c>
      <c r="C5798" s="1" t="s">
        <v>22</v>
      </c>
      <c r="D5798" s="1">
        <v>1.0</v>
      </c>
      <c r="E5798" s="1">
        <v>16835.0</v>
      </c>
      <c r="F5798" s="10">
        <f t="shared" si="1"/>
        <v>1</v>
      </c>
      <c r="G5798" s="10">
        <f t="array" ref="G5798">index('Player ID'!C:C,match(E5798,'Player ID'!B:B,0))</f>
        <v>657514</v>
      </c>
    </row>
    <row r="5799">
      <c r="A5799" s="76">
        <v>45794.0</v>
      </c>
      <c r="B5799" s="1" t="s">
        <v>366</v>
      </c>
      <c r="C5799" s="1" t="s">
        <v>46</v>
      </c>
      <c r="D5799" s="1">
        <v>6.0</v>
      </c>
      <c r="E5799" s="1">
        <v>16944.0</v>
      </c>
      <c r="F5799" s="10">
        <f t="shared" si="1"/>
        <v>6</v>
      </c>
      <c r="G5799" s="10">
        <f t="array" ref="G5799">index('Player ID'!C:C,match(E5799,'Player ID'!B:B,0))</f>
        <v>656550</v>
      </c>
    </row>
    <row r="5800">
      <c r="A5800" s="76">
        <v>45794.0</v>
      </c>
      <c r="B5800" s="1" t="s">
        <v>346</v>
      </c>
      <c r="C5800" s="1" t="s">
        <v>46</v>
      </c>
      <c r="D5800" s="1">
        <v>0.2</v>
      </c>
      <c r="E5800" s="1">
        <v>18403.0</v>
      </c>
      <c r="F5800" s="10">
        <f t="shared" si="1"/>
        <v>0.6666666667</v>
      </c>
      <c r="G5800" s="10">
        <f t="array" ref="G5800">index('Player ID'!C:C,match(E5800,'Player ID'!B:B,0))</f>
        <v>660853</v>
      </c>
    </row>
    <row r="5801">
      <c r="A5801" s="76">
        <v>45794.0</v>
      </c>
      <c r="B5801" s="1" t="s">
        <v>250</v>
      </c>
      <c r="C5801" s="1" t="s">
        <v>22</v>
      </c>
      <c r="D5801" s="1">
        <v>1.0</v>
      </c>
      <c r="E5801" s="1">
        <v>20191.0</v>
      </c>
      <c r="F5801" s="10">
        <f t="shared" si="1"/>
        <v>1</v>
      </c>
      <c r="G5801" s="10">
        <f t="array" ref="G5801">index('Player ID'!C:C,match(E5801,'Player ID'!B:B,0))</f>
        <v>676477</v>
      </c>
    </row>
    <row r="5802">
      <c r="A5802" s="76">
        <v>45794.0</v>
      </c>
      <c r="B5802" s="1" t="s">
        <v>634</v>
      </c>
      <c r="C5802" s="1" t="s">
        <v>14</v>
      </c>
      <c r="D5802" s="1">
        <v>1.0</v>
      </c>
      <c r="E5802" s="1">
        <v>14332.0</v>
      </c>
      <c r="F5802" s="10">
        <f t="shared" si="1"/>
        <v>1</v>
      </c>
      <c r="G5802" s="10">
        <f t="array" ref="G5802">index('Player ID'!C:C,match(E5802,'Player ID'!B:B,0))</f>
        <v>606303</v>
      </c>
    </row>
    <row r="5803">
      <c r="A5803" s="76">
        <v>45794.0</v>
      </c>
      <c r="B5803" s="1" t="s">
        <v>724</v>
      </c>
      <c r="C5803" s="1" t="s">
        <v>14</v>
      </c>
      <c r="D5803" s="1">
        <v>2.0</v>
      </c>
      <c r="E5803" s="1">
        <v>15094.0</v>
      </c>
      <c r="F5803" s="10">
        <f t="shared" si="1"/>
        <v>2</v>
      </c>
      <c r="G5803" s="10">
        <f t="array" ref="G5803">index('Player ID'!C:C,match(E5803,'Player ID'!B:B,0))</f>
        <v>642239</v>
      </c>
    </row>
    <row r="5804">
      <c r="A5804" s="76">
        <v>45794.0</v>
      </c>
      <c r="B5804" s="1" t="s">
        <v>146</v>
      </c>
      <c r="C5804" s="1" t="s">
        <v>16</v>
      </c>
      <c r="D5804" s="1">
        <v>1.0</v>
      </c>
      <c r="E5804" s="1">
        <v>15145.0</v>
      </c>
      <c r="F5804" s="10">
        <f t="shared" si="1"/>
        <v>1</v>
      </c>
      <c r="G5804" s="10">
        <f t="array" ref="G5804">index('Player ID'!C:C,match(E5804,'Player ID'!B:B,0))</f>
        <v>623437</v>
      </c>
    </row>
    <row r="5805">
      <c r="A5805" s="76">
        <v>45794.0</v>
      </c>
      <c r="B5805" s="1" t="s">
        <v>664</v>
      </c>
      <c r="C5805" s="1" t="s">
        <v>16</v>
      </c>
      <c r="D5805" s="1">
        <v>6.0</v>
      </c>
      <c r="E5805" s="1">
        <v>17085.0</v>
      </c>
      <c r="F5805" s="10">
        <f t="shared" si="1"/>
        <v>6</v>
      </c>
      <c r="G5805" s="10">
        <f t="array" ref="G5805">index('Player ID'!C:C,match(E5805,'Player ID'!B:B,0))</f>
        <v>641154</v>
      </c>
    </row>
    <row r="5806">
      <c r="A5806" s="76">
        <v>45794.0</v>
      </c>
      <c r="B5806" s="1" t="s">
        <v>187</v>
      </c>
      <c r="C5806" s="1" t="s">
        <v>14</v>
      </c>
      <c r="D5806" s="1">
        <v>1.0</v>
      </c>
      <c r="E5806" s="1">
        <v>17735.0</v>
      </c>
      <c r="F5806" s="10">
        <f t="shared" si="1"/>
        <v>1</v>
      </c>
      <c r="G5806" s="10">
        <f t="array" ref="G5806">index('Player ID'!C:C,match(E5806,'Player ID'!B:B,0))</f>
        <v>641302</v>
      </c>
    </row>
    <row r="5807">
      <c r="A5807" s="76">
        <v>45794.0</v>
      </c>
      <c r="B5807" s="1" t="s">
        <v>397</v>
      </c>
      <c r="C5807" s="1" t="s">
        <v>16</v>
      </c>
      <c r="D5807" s="1">
        <v>1.0</v>
      </c>
      <c r="E5807" s="1">
        <v>19459.0</v>
      </c>
      <c r="F5807" s="10">
        <f t="shared" si="1"/>
        <v>1</v>
      </c>
      <c r="G5807" s="10">
        <f t="array" ref="G5807">index('Player ID'!C:C,match(E5807,'Player ID'!B:B,0))</f>
        <v>660896</v>
      </c>
    </row>
    <row r="5808">
      <c r="A5808" s="76">
        <v>45794.0</v>
      </c>
      <c r="B5808" s="1" t="s">
        <v>318</v>
      </c>
      <c r="C5808" s="1" t="s">
        <v>14</v>
      </c>
      <c r="D5808" s="1">
        <v>1.1</v>
      </c>
      <c r="E5808" s="1">
        <v>20546.0</v>
      </c>
      <c r="F5808" s="10">
        <f t="shared" si="1"/>
        <v>1.333333333</v>
      </c>
      <c r="G5808" s="10">
        <f t="array" ref="G5808">index('Player ID'!C:C,match(E5808,'Player ID'!B:B,0))</f>
        <v>681982</v>
      </c>
    </row>
    <row r="5809">
      <c r="A5809" s="76">
        <v>45794.0</v>
      </c>
      <c r="B5809" s="1" t="s">
        <v>221</v>
      </c>
      <c r="C5809" s="1" t="s">
        <v>14</v>
      </c>
      <c r="D5809" s="1">
        <v>3.2</v>
      </c>
      <c r="E5809" s="1">
        <v>22191.0</v>
      </c>
      <c r="F5809" s="10">
        <f t="shared" si="1"/>
        <v>3.666666667</v>
      </c>
      <c r="G5809" s="10">
        <f t="array" ref="G5809">index('Player ID'!C:C,match(E5809,'Player ID'!B:B,0))</f>
        <v>668964</v>
      </c>
    </row>
    <row r="5810">
      <c r="A5810" s="76">
        <v>45794.0</v>
      </c>
      <c r="B5810" s="1" t="s">
        <v>333</v>
      </c>
      <c r="C5810" s="1" t="s">
        <v>16</v>
      </c>
      <c r="D5810" s="1">
        <v>1.0</v>
      </c>
      <c r="E5810" s="1">
        <v>24993.0</v>
      </c>
      <c r="F5810" s="10">
        <f t="shared" si="1"/>
        <v>1</v>
      </c>
      <c r="G5810" s="10">
        <f t="array" ref="G5810">index('Player ID'!C:C,match(E5810,'Player ID'!B:B,0))</f>
        <v>681892</v>
      </c>
    </row>
    <row r="5811">
      <c r="A5811" s="76">
        <v>45794.0</v>
      </c>
      <c r="B5811" s="1" t="s">
        <v>746</v>
      </c>
      <c r="C5811" s="1" t="s">
        <v>75</v>
      </c>
      <c r="D5811" s="1">
        <v>3.0</v>
      </c>
      <c r="E5811" s="1">
        <v>15038.0</v>
      </c>
      <c r="F5811" s="10">
        <f t="shared" si="1"/>
        <v>3</v>
      </c>
      <c r="G5811" s="10">
        <f t="array" ref="G5811">index('Player ID'!C:C,match(E5811,'Player ID'!B:B,0))</f>
        <v>608566</v>
      </c>
    </row>
    <row r="5812">
      <c r="A5812" s="76">
        <v>45794.0</v>
      </c>
      <c r="B5812" s="1" t="s">
        <v>763</v>
      </c>
      <c r="C5812" s="1" t="s">
        <v>64</v>
      </c>
      <c r="D5812" s="1">
        <v>1.0</v>
      </c>
      <c r="E5812" s="1">
        <v>15514.0</v>
      </c>
      <c r="F5812" s="10">
        <f t="shared" si="1"/>
        <v>1</v>
      </c>
      <c r="G5812" s="10">
        <f t="array" ref="G5812">index('Player ID'!C:C,match(E5812,'Player ID'!B:B,0))</f>
        <v>608665</v>
      </c>
    </row>
    <row r="5813">
      <c r="A5813" s="76">
        <v>45794.0</v>
      </c>
      <c r="B5813" s="1" t="s">
        <v>219</v>
      </c>
      <c r="C5813" s="1" t="s">
        <v>64</v>
      </c>
      <c r="D5813" s="1">
        <v>0.2</v>
      </c>
      <c r="E5813" s="1">
        <v>16647.0</v>
      </c>
      <c r="F5813" s="10">
        <f t="shared" si="1"/>
        <v>0.6666666667</v>
      </c>
      <c r="G5813" s="10">
        <f t="array" ref="G5813">index('Player ID'!C:C,match(E5813,'Player ID'!B:B,0))</f>
        <v>657044</v>
      </c>
    </row>
    <row r="5814">
      <c r="A5814" s="76">
        <v>45794.0</v>
      </c>
      <c r="B5814" s="1" t="s">
        <v>489</v>
      </c>
      <c r="C5814" s="1" t="s">
        <v>64</v>
      </c>
      <c r="D5814" s="1">
        <v>0.2</v>
      </c>
      <c r="E5814" s="1">
        <v>17192.0</v>
      </c>
      <c r="F5814" s="10">
        <f t="shared" si="1"/>
        <v>0.6666666667</v>
      </c>
      <c r="G5814" s="10">
        <f t="array" ref="G5814">index('Player ID'!C:C,match(E5814,'Player ID'!B:B,0))</f>
        <v>656222</v>
      </c>
    </row>
    <row r="5815">
      <c r="A5815" s="76">
        <v>45794.0</v>
      </c>
      <c r="B5815" s="1" t="s">
        <v>288</v>
      </c>
      <c r="C5815" s="1" t="s">
        <v>75</v>
      </c>
      <c r="D5815" s="1">
        <v>1.0</v>
      </c>
      <c r="E5815" s="1">
        <v>18297.0</v>
      </c>
      <c r="F5815" s="10">
        <f t="shared" si="1"/>
        <v>1</v>
      </c>
      <c r="G5815" s="10">
        <f t="array" ref="G5815">index('Player ID'!C:C,match(E5815,'Player ID'!B:B,0))</f>
        <v>641755</v>
      </c>
    </row>
    <row r="5816">
      <c r="A5816" s="76">
        <v>45794.0</v>
      </c>
      <c r="B5816" s="1" t="s">
        <v>195</v>
      </c>
      <c r="C5816" s="1" t="s">
        <v>64</v>
      </c>
      <c r="D5816" s="1">
        <v>5.0</v>
      </c>
      <c r="E5816" s="1">
        <v>19291.0</v>
      </c>
      <c r="F5816" s="10">
        <f t="shared" si="1"/>
        <v>5</v>
      </c>
      <c r="G5816" s="10">
        <f t="array" ref="G5816">index('Player ID'!C:C,match(E5816,'Player ID'!B:B,0))</f>
        <v>668678</v>
      </c>
    </row>
    <row r="5817">
      <c r="A5817" s="76">
        <v>45794.0</v>
      </c>
      <c r="B5817" s="1" t="s">
        <v>823</v>
      </c>
      <c r="C5817" s="1" t="s">
        <v>64</v>
      </c>
      <c r="D5817" s="1">
        <v>0.1</v>
      </c>
      <c r="E5817" s="1">
        <v>19876.0</v>
      </c>
      <c r="F5817" s="10">
        <f t="shared" si="1"/>
        <v>0.3333333333</v>
      </c>
      <c r="G5817" s="10">
        <f t="array" ref="G5817">index('Player ID'!C:C,match(E5817,'Player ID'!B:B,0))</f>
        <v>656464</v>
      </c>
    </row>
    <row r="5818">
      <c r="A5818" s="76">
        <v>45794.0</v>
      </c>
      <c r="B5818" s="1" t="s">
        <v>215</v>
      </c>
      <c r="C5818" s="1" t="s">
        <v>75</v>
      </c>
      <c r="D5818" s="1">
        <v>2.0</v>
      </c>
      <c r="E5818" s="1">
        <v>21267.0</v>
      </c>
      <c r="F5818" s="10">
        <f t="shared" si="1"/>
        <v>2</v>
      </c>
      <c r="G5818" s="10">
        <f t="array" ref="G5818">index('Player ID'!C:C,match(E5818,'Player ID'!B:B,0))</f>
        <v>656234</v>
      </c>
    </row>
    <row r="5819">
      <c r="A5819" s="76">
        <v>45794.0</v>
      </c>
      <c r="B5819" s="1" t="s">
        <v>370</v>
      </c>
      <c r="C5819" s="1" t="s">
        <v>64</v>
      </c>
      <c r="D5819" s="1">
        <v>1.1</v>
      </c>
      <c r="E5819" s="1">
        <v>21924.0</v>
      </c>
      <c r="F5819" s="10">
        <f t="shared" si="1"/>
        <v>1.333333333</v>
      </c>
      <c r="G5819" s="10">
        <f t="array" ref="G5819">index('Player ID'!C:C,match(E5819,'Player ID'!B:B,0))</f>
        <v>666661</v>
      </c>
    </row>
    <row r="5820">
      <c r="A5820" s="76">
        <v>45794.0</v>
      </c>
      <c r="B5820" s="1" t="s">
        <v>486</v>
      </c>
      <c r="C5820" s="1" t="s">
        <v>75</v>
      </c>
      <c r="D5820" s="1">
        <v>1.0</v>
      </c>
      <c r="E5820" s="1">
        <v>26790.0</v>
      </c>
      <c r="F5820" s="10">
        <f t="shared" si="1"/>
        <v>1</v>
      </c>
      <c r="G5820" s="10">
        <f t="array" ref="G5820">index('Player ID'!C:C,match(E5820,'Player ID'!B:B,0))</f>
        <v>683409</v>
      </c>
    </row>
    <row r="5821">
      <c r="A5821" s="76">
        <v>45794.0</v>
      </c>
      <c r="B5821" s="1" t="s">
        <v>512</v>
      </c>
      <c r="C5821" s="1" t="s">
        <v>75</v>
      </c>
      <c r="D5821" s="1">
        <v>1.0</v>
      </c>
      <c r="E5821" s="1">
        <v>31552.0</v>
      </c>
      <c r="F5821" s="10">
        <f t="shared" si="1"/>
        <v>1</v>
      </c>
      <c r="G5821" s="10">
        <f t="array" ref="G5821">index('Player ID'!C:C,match(E5821,'Player ID'!B:B,0))</f>
        <v>688642</v>
      </c>
    </row>
    <row r="5822">
      <c r="A5822" s="76">
        <v>45794.0</v>
      </c>
      <c r="B5822" s="1" t="s">
        <v>488</v>
      </c>
      <c r="C5822" s="1" t="s">
        <v>75</v>
      </c>
      <c r="D5822" s="1">
        <v>1.0</v>
      </c>
      <c r="E5822" s="1">
        <v>33294.0</v>
      </c>
      <c r="F5822" s="10">
        <f t="shared" si="1"/>
        <v>1</v>
      </c>
      <c r="G5822" s="10">
        <f t="array" ref="G5822">index('Player ID'!C:C,match(E5822,'Player ID'!B:B,0))</f>
        <v>678020</v>
      </c>
    </row>
    <row r="5823">
      <c r="A5823" s="76">
        <v>45794.0</v>
      </c>
      <c r="B5823" s="1" t="s">
        <v>342</v>
      </c>
      <c r="C5823" s="1" t="s">
        <v>26</v>
      </c>
      <c r="D5823" s="1">
        <v>1.0</v>
      </c>
      <c r="E5823" s="1">
        <v>11861.0</v>
      </c>
      <c r="F5823" s="10">
        <f t="shared" si="1"/>
        <v>1</v>
      </c>
      <c r="G5823" s="10">
        <f t="array" ref="G5823">index('Player ID'!C:C,match(E5823,'Player ID'!B:B,0))</f>
        <v>592094</v>
      </c>
    </row>
    <row r="5824">
      <c r="A5824" s="76">
        <v>45794.0</v>
      </c>
      <c r="B5824" s="1" t="s">
        <v>109</v>
      </c>
      <c r="C5824" s="1" t="s">
        <v>26</v>
      </c>
      <c r="D5824" s="1">
        <v>6.0</v>
      </c>
      <c r="E5824" s="1">
        <v>15454.0</v>
      </c>
      <c r="F5824" s="10">
        <f t="shared" si="1"/>
        <v>6</v>
      </c>
      <c r="G5824" s="10">
        <f t="array" ref="G5824">index('Player ID'!C:C,match(E5824,'Player ID'!B:B,0))</f>
        <v>601713</v>
      </c>
    </row>
    <row r="5825">
      <c r="A5825" s="76">
        <v>45794.0</v>
      </c>
      <c r="B5825" s="1" t="s">
        <v>53</v>
      </c>
      <c r="C5825" s="1" t="s">
        <v>37</v>
      </c>
      <c r="D5825" s="1">
        <v>1.1</v>
      </c>
      <c r="E5825" s="1">
        <v>17170.0</v>
      </c>
      <c r="F5825" s="10">
        <f t="shared" si="1"/>
        <v>1.333333333</v>
      </c>
      <c r="G5825" s="10">
        <f t="array" ref="G5825">index('Player ID'!C:C,match(E5825,'Player ID'!B:B,0))</f>
        <v>642100</v>
      </c>
    </row>
    <row r="5826">
      <c r="A5826" s="76">
        <v>45794.0</v>
      </c>
      <c r="B5826" s="1" t="s">
        <v>49</v>
      </c>
      <c r="C5826" s="1" t="s">
        <v>26</v>
      </c>
      <c r="D5826" s="1">
        <v>0.1</v>
      </c>
      <c r="E5826" s="1">
        <v>20039.0</v>
      </c>
      <c r="F5826" s="10">
        <f t="shared" si="1"/>
        <v>0.3333333333</v>
      </c>
      <c r="G5826" s="10">
        <f t="array" ref="G5826">index('Player ID'!C:C,match(E5826,'Player ID'!B:B,0))</f>
        <v>670970</v>
      </c>
    </row>
    <row r="5827">
      <c r="A5827" s="76">
        <v>45794.0</v>
      </c>
      <c r="B5827" s="1" t="s">
        <v>670</v>
      </c>
      <c r="C5827" s="1" t="s">
        <v>37</v>
      </c>
      <c r="D5827" s="1">
        <v>1.1</v>
      </c>
      <c r="E5827" s="1">
        <v>20373.0</v>
      </c>
      <c r="F5827" s="10">
        <f t="shared" si="1"/>
        <v>1.333333333</v>
      </c>
      <c r="G5827" s="10">
        <f t="array" ref="G5827">index('Player ID'!C:C,match(E5827,'Player ID'!B:B,0))</f>
        <v>662253</v>
      </c>
    </row>
    <row r="5828">
      <c r="A5828" s="76">
        <v>45794.0</v>
      </c>
      <c r="B5828" s="1" t="s">
        <v>94</v>
      </c>
      <c r="C5828" s="1" t="s">
        <v>26</v>
      </c>
      <c r="D5828" s="1">
        <v>0.2</v>
      </c>
      <c r="E5828" s="1">
        <v>22210.0</v>
      </c>
      <c r="F5828" s="10">
        <f t="shared" si="1"/>
        <v>0.6666666667</v>
      </c>
      <c r="G5828" s="10">
        <f t="array" ref="G5828">index('Player ID'!C:C,match(E5828,'Player ID'!B:B,0))</f>
        <v>669093</v>
      </c>
    </row>
    <row r="5829">
      <c r="A5829" s="76">
        <v>45794.0</v>
      </c>
      <c r="B5829" s="1" t="s">
        <v>254</v>
      </c>
      <c r="C5829" s="1" t="s">
        <v>37</v>
      </c>
      <c r="D5829" s="1">
        <v>1.0</v>
      </c>
      <c r="E5829" s="1">
        <v>25756.0</v>
      </c>
      <c r="F5829" s="10">
        <f t="shared" si="1"/>
        <v>1</v>
      </c>
      <c r="G5829" s="10">
        <f t="array" ref="G5829">index('Player ID'!C:C,match(E5829,'Player ID'!B:B,0))</f>
        <v>666374</v>
      </c>
    </row>
    <row r="5830">
      <c r="A5830" s="76">
        <v>45794.0</v>
      </c>
      <c r="B5830" s="1" t="s">
        <v>340</v>
      </c>
      <c r="C5830" s="1" t="s">
        <v>37</v>
      </c>
      <c r="D5830" s="1">
        <v>0.2</v>
      </c>
      <c r="E5830" s="1">
        <v>25921.0</v>
      </c>
      <c r="F5830" s="10">
        <f t="shared" si="1"/>
        <v>0.6666666667</v>
      </c>
      <c r="G5830" s="10">
        <f t="array" ref="G5830">index('Player ID'!C:C,match(E5830,'Player ID'!B:B,0))</f>
        <v>668984</v>
      </c>
    </row>
    <row r="5831">
      <c r="A5831" s="76">
        <v>45794.0</v>
      </c>
      <c r="B5831" s="1" t="s">
        <v>509</v>
      </c>
      <c r="C5831" s="1" t="s">
        <v>37</v>
      </c>
      <c r="D5831" s="1">
        <v>4.2</v>
      </c>
      <c r="E5831" s="1">
        <v>27470.0</v>
      </c>
      <c r="F5831" s="10">
        <f t="shared" si="1"/>
        <v>4.666666667</v>
      </c>
      <c r="G5831" s="10">
        <f t="array" ref="G5831">index('Player ID'!C:C,match(E5831,'Player ID'!B:B,0))</f>
        <v>676106</v>
      </c>
    </row>
    <row r="5832">
      <c r="A5832" s="76">
        <v>45794.0</v>
      </c>
      <c r="B5832" s="1" t="s">
        <v>391</v>
      </c>
      <c r="C5832" s="1" t="s">
        <v>26</v>
      </c>
      <c r="D5832" s="1">
        <v>0.1</v>
      </c>
      <c r="E5832" s="1">
        <v>29628.0</v>
      </c>
      <c r="F5832" s="10">
        <f t="shared" si="1"/>
        <v>0.3333333333</v>
      </c>
      <c r="G5832" s="10">
        <f t="array" ref="G5832">index('Player ID'!C:C,match(E5832,'Player ID'!B:B,0))</f>
        <v>689690</v>
      </c>
    </row>
    <row r="5833">
      <c r="A5833" s="76">
        <v>45794.0</v>
      </c>
      <c r="B5833" s="1" t="s">
        <v>284</v>
      </c>
      <c r="C5833" s="1" t="s">
        <v>26</v>
      </c>
      <c r="D5833" s="1">
        <v>0.2</v>
      </c>
      <c r="E5833" s="1">
        <v>33826.0</v>
      </c>
      <c r="F5833" s="10">
        <f t="shared" si="1"/>
        <v>0.6666666667</v>
      </c>
      <c r="G5833" s="10">
        <f t="array" ref="G5833">index('Player ID'!C:C,match(E5833,'Player ID'!B:B,0))</f>
        <v>673513</v>
      </c>
    </row>
    <row r="5834">
      <c r="A5834" s="76">
        <v>45794.0</v>
      </c>
      <c r="B5834" s="1" t="s">
        <v>20</v>
      </c>
      <c r="C5834" s="1" t="s">
        <v>31</v>
      </c>
      <c r="D5834" s="1">
        <v>1.0</v>
      </c>
      <c r="E5834" s="1">
        <v>15541.0</v>
      </c>
      <c r="F5834" s="10">
        <f t="shared" si="1"/>
        <v>1</v>
      </c>
      <c r="G5834" s="10">
        <f t="array" ref="G5834">index('Player ID'!C:C,match(E5834,'Player ID'!B:B,0))</f>
        <v>643511</v>
      </c>
    </row>
    <row r="5835">
      <c r="A5835" s="76">
        <v>45794.0</v>
      </c>
      <c r="B5835" s="1" t="s">
        <v>281</v>
      </c>
      <c r="C5835" s="1" t="s">
        <v>52</v>
      </c>
      <c r="D5835" s="1">
        <v>6.0</v>
      </c>
      <c r="E5835" s="1">
        <v>15890.0</v>
      </c>
      <c r="F5835" s="10">
        <f t="shared" si="1"/>
        <v>6</v>
      </c>
      <c r="G5835" s="10">
        <f t="array" ref="G5835">index('Player ID'!C:C,match(E5835,'Player ID'!B:B,0))</f>
        <v>622663</v>
      </c>
    </row>
    <row r="5836">
      <c r="A5836" s="76">
        <v>45794.0</v>
      </c>
      <c r="B5836" s="1" t="s">
        <v>505</v>
      </c>
      <c r="C5836" s="1" t="s">
        <v>52</v>
      </c>
      <c r="D5836" s="1">
        <v>1.0</v>
      </c>
      <c r="E5836" s="1">
        <v>19481.0</v>
      </c>
      <c r="F5836" s="10">
        <f t="shared" si="1"/>
        <v>1</v>
      </c>
      <c r="G5836" s="10">
        <f t="array" ref="G5836">index('Player ID'!C:C,match(E5836,'Player ID'!B:B,0))</f>
        <v>621053</v>
      </c>
    </row>
    <row r="5837">
      <c r="A5837" s="76">
        <v>45794.0</v>
      </c>
      <c r="B5837" s="1" t="s">
        <v>403</v>
      </c>
      <c r="C5837" s="1" t="s">
        <v>31</v>
      </c>
      <c r="D5837" s="1">
        <v>1.0</v>
      </c>
      <c r="E5837" s="1">
        <v>20423.0</v>
      </c>
      <c r="F5837" s="10">
        <f t="shared" si="1"/>
        <v>1</v>
      </c>
      <c r="G5837" s="10">
        <f t="array" ref="G5837">index('Player ID'!C:C,match(E5837,'Player ID'!B:B,0))</f>
        <v>676254</v>
      </c>
    </row>
    <row r="5838">
      <c r="A5838" s="76">
        <v>45794.0</v>
      </c>
      <c r="B5838" s="1" t="s">
        <v>304</v>
      </c>
      <c r="C5838" s="1" t="s">
        <v>31</v>
      </c>
      <c r="D5838" s="1">
        <v>1.0</v>
      </c>
      <c r="E5838" s="1">
        <v>21992.0</v>
      </c>
      <c r="F5838" s="10">
        <f t="shared" si="1"/>
        <v>1</v>
      </c>
      <c r="G5838" s="10">
        <f t="array" ref="G5838">index('Player ID'!C:C,match(E5838,'Player ID'!B:B,0))</f>
        <v>666808</v>
      </c>
    </row>
    <row r="5839">
      <c r="A5839" s="76">
        <v>45794.0</v>
      </c>
      <c r="B5839" s="1" t="s">
        <v>654</v>
      </c>
      <c r="C5839" s="1" t="s">
        <v>31</v>
      </c>
      <c r="D5839" s="1">
        <v>1.0</v>
      </c>
      <c r="E5839" s="1">
        <v>23974.0</v>
      </c>
      <c r="F5839" s="10">
        <f t="shared" si="1"/>
        <v>1</v>
      </c>
      <c r="G5839" s="10">
        <f t="array" ref="G5839">index('Player ID'!C:C,match(E5839,'Player ID'!B:B,0))</f>
        <v>678495</v>
      </c>
    </row>
    <row r="5840">
      <c r="A5840" s="76">
        <v>45794.0</v>
      </c>
      <c r="B5840" s="1" t="s">
        <v>213</v>
      </c>
      <c r="C5840" s="1" t="s">
        <v>52</v>
      </c>
      <c r="D5840" s="1">
        <v>2.0</v>
      </c>
      <c r="E5840" s="1">
        <v>27694.0</v>
      </c>
      <c r="F5840" s="10">
        <f t="shared" si="1"/>
        <v>2</v>
      </c>
      <c r="G5840" s="10">
        <f t="array" ref="G5840">index('Player ID'!C:C,match(E5840,'Player ID'!B:B,0))</f>
        <v>686993</v>
      </c>
    </row>
    <row r="5841">
      <c r="A5841" s="76">
        <v>45794.0</v>
      </c>
      <c r="B5841" s="1" t="s">
        <v>209</v>
      </c>
      <c r="C5841" s="1" t="s">
        <v>31</v>
      </c>
      <c r="D5841" s="1">
        <v>6.0</v>
      </c>
      <c r="E5841" s="1">
        <v>30076.0</v>
      </c>
      <c r="F5841" s="10">
        <f t="shared" si="1"/>
        <v>6</v>
      </c>
      <c r="G5841" s="10">
        <f t="array" ref="G5841">index('Player ID'!C:C,match(E5841,'Player ID'!B:B,0))</f>
        <v>694738</v>
      </c>
    </row>
    <row r="5842">
      <c r="A5842" s="76">
        <v>45794.0</v>
      </c>
      <c r="B5842" s="1" t="s">
        <v>286</v>
      </c>
      <c r="C5842" s="1" t="s">
        <v>52</v>
      </c>
      <c r="D5842" s="1">
        <v>0.2</v>
      </c>
      <c r="E5842" s="1">
        <v>31757.0</v>
      </c>
      <c r="F5842" s="10">
        <f t="shared" si="1"/>
        <v>0.6666666667</v>
      </c>
      <c r="G5842" s="10">
        <f t="array" ref="G5842">index('Player ID'!C:C,match(E5842,'Player ID'!B:B,0))</f>
        <v>695243</v>
      </c>
    </row>
    <row r="5843">
      <c r="A5843" s="76">
        <v>45794.0</v>
      </c>
      <c r="B5843" s="1" t="s">
        <v>457</v>
      </c>
      <c r="C5843" s="1" t="s">
        <v>33</v>
      </c>
      <c r="D5843" s="1">
        <v>4.0</v>
      </c>
      <c r="E5843" s="1">
        <v>2036.0</v>
      </c>
      <c r="F5843" s="10">
        <f t="shared" si="1"/>
        <v>4</v>
      </c>
      <c r="G5843" s="10">
        <f t="array" ref="G5843">index('Player ID'!C:C,match(E5843,'Player ID'!B:B,0))</f>
        <v>477132</v>
      </c>
    </row>
    <row r="5844">
      <c r="A5844" s="76">
        <v>45794.0</v>
      </c>
      <c r="B5844" s="1" t="s">
        <v>154</v>
      </c>
      <c r="C5844" s="1" t="s">
        <v>25</v>
      </c>
      <c r="D5844" s="1">
        <v>1.1</v>
      </c>
      <c r="E5844" s="1">
        <v>3096.0</v>
      </c>
      <c r="F5844" s="10">
        <f t="shared" si="1"/>
        <v>1.333333333</v>
      </c>
      <c r="G5844" s="10">
        <f t="array" ref="G5844">index('Player ID'!C:C,match(E5844,'Player ID'!B:B,0))</f>
        <v>445276</v>
      </c>
    </row>
    <row r="5845">
      <c r="A5845" s="76">
        <v>45794.0</v>
      </c>
      <c r="B5845" s="1" t="s">
        <v>595</v>
      </c>
      <c r="C5845" s="1" t="s">
        <v>33</v>
      </c>
      <c r="D5845" s="1">
        <v>0.1</v>
      </c>
      <c r="E5845" s="1">
        <v>6984.0</v>
      </c>
      <c r="F5845" s="10">
        <f t="shared" si="1"/>
        <v>0.3333333333</v>
      </c>
      <c r="G5845" s="10">
        <f t="array" ref="G5845">index('Player ID'!C:C,match(E5845,'Player ID'!B:B,0))</f>
        <v>472610</v>
      </c>
    </row>
    <row r="5846">
      <c r="A5846" s="76">
        <v>45794.0</v>
      </c>
      <c r="B5846" s="1" t="s">
        <v>392</v>
      </c>
      <c r="C5846" s="1" t="s">
        <v>33</v>
      </c>
      <c r="D5846" s="1">
        <v>0.1</v>
      </c>
      <c r="E5846" s="1">
        <v>9073.0</v>
      </c>
      <c r="F5846" s="10">
        <f t="shared" si="1"/>
        <v>0.3333333333</v>
      </c>
      <c r="G5846" s="10">
        <f t="array" ref="G5846">index('Player ID'!C:C,match(E5846,'Player ID'!B:B,0))</f>
        <v>489446</v>
      </c>
    </row>
    <row r="5847">
      <c r="A5847" s="76">
        <v>45794.0</v>
      </c>
      <c r="B5847" s="1" t="s">
        <v>660</v>
      </c>
      <c r="C5847" s="1" t="s">
        <v>25</v>
      </c>
      <c r="D5847" s="1">
        <v>0.0</v>
      </c>
      <c r="E5847" s="1">
        <v>11804.0</v>
      </c>
      <c r="F5847" s="10">
        <f t="shared" si="1"/>
        <v>0</v>
      </c>
      <c r="G5847" s="10">
        <f t="array" ref="G5847">index('Player ID'!C:C,match(E5847,'Player ID'!B:B,0))</f>
        <v>593576</v>
      </c>
    </row>
    <row r="5848">
      <c r="A5848" s="76">
        <v>45794.0</v>
      </c>
      <c r="B5848" s="1" t="s">
        <v>278</v>
      </c>
      <c r="C5848" s="1" t="s">
        <v>25</v>
      </c>
      <c r="D5848" s="1">
        <v>5.0</v>
      </c>
      <c r="E5848" s="1">
        <v>12880.0</v>
      </c>
      <c r="F5848" s="10">
        <f t="shared" si="1"/>
        <v>5</v>
      </c>
      <c r="G5848" s="10">
        <f t="array" ref="G5848">index('Player ID'!C:C,match(E5848,'Player ID'!B:B,0))</f>
        <v>542881</v>
      </c>
    </row>
    <row r="5849">
      <c r="A5849" s="76">
        <v>45794.0</v>
      </c>
      <c r="B5849" s="1" t="s">
        <v>32</v>
      </c>
      <c r="C5849" s="1" t="s">
        <v>33</v>
      </c>
      <c r="D5849" s="1">
        <v>1.0</v>
      </c>
      <c r="E5849" s="1">
        <v>17586.0</v>
      </c>
      <c r="F5849" s="10">
        <f t="shared" si="1"/>
        <v>1</v>
      </c>
      <c r="G5849" s="10">
        <f t="array" ref="G5849">index('Player ID'!C:C,match(E5849,'Player ID'!B:B,0))</f>
        <v>656945</v>
      </c>
    </row>
    <row r="5850">
      <c r="A5850" s="76">
        <v>45794.0</v>
      </c>
      <c r="B5850" s="1" t="s">
        <v>92</v>
      </c>
      <c r="C5850" s="1" t="s">
        <v>33</v>
      </c>
      <c r="D5850" s="1">
        <v>1.0</v>
      </c>
      <c r="E5850" s="1">
        <v>25007.0</v>
      </c>
      <c r="F5850" s="10">
        <f t="shared" si="1"/>
        <v>1</v>
      </c>
      <c r="G5850" s="10">
        <f t="array" ref="G5850">index('Player ID'!C:C,match(E5850,'Player ID'!B:B,0))</f>
        <v>681911</v>
      </c>
    </row>
    <row r="5851">
      <c r="A5851" s="76">
        <v>45794.0</v>
      </c>
      <c r="B5851" s="1" t="s">
        <v>385</v>
      </c>
      <c r="C5851" s="1" t="s">
        <v>25</v>
      </c>
      <c r="D5851" s="1">
        <v>0.2</v>
      </c>
      <c r="E5851" s="1">
        <v>25420.0</v>
      </c>
      <c r="F5851" s="10">
        <f t="shared" si="1"/>
        <v>0.6666666667</v>
      </c>
      <c r="G5851" s="10">
        <f t="array" ref="G5851">index('Player ID'!C:C,match(E5851,'Player ID'!B:B,0))</f>
        <v>666171</v>
      </c>
    </row>
    <row r="5852">
      <c r="A5852" s="76">
        <v>45794.0</v>
      </c>
      <c r="B5852" s="1" t="s">
        <v>24</v>
      </c>
      <c r="C5852" s="1" t="s">
        <v>25</v>
      </c>
      <c r="D5852" s="1">
        <v>2.0</v>
      </c>
      <c r="E5852" s="1">
        <v>27468.0</v>
      </c>
      <c r="F5852" s="10">
        <f t="shared" si="1"/>
        <v>2</v>
      </c>
      <c r="G5852" s="10">
        <f t="array" ref="G5852">index('Player ID'!C:C,match(E5852,'Player ID'!B:B,0))</f>
        <v>672282</v>
      </c>
    </row>
    <row r="5853">
      <c r="A5853" s="76">
        <v>45794.0</v>
      </c>
      <c r="B5853" s="1" t="s">
        <v>104</v>
      </c>
      <c r="C5853" s="1" t="s">
        <v>33</v>
      </c>
      <c r="D5853" s="1">
        <v>2.1</v>
      </c>
      <c r="E5853" s="1">
        <v>30085.0</v>
      </c>
      <c r="F5853" s="10">
        <f t="shared" si="1"/>
        <v>2.333333333</v>
      </c>
      <c r="G5853" s="10">
        <f t="array" ref="G5853">index('Player ID'!C:C,match(E5853,'Player ID'!B:B,0))</f>
        <v>676508</v>
      </c>
    </row>
    <row r="5854">
      <c r="A5854" s="76">
        <v>45795.0</v>
      </c>
      <c r="B5854" s="1" t="s">
        <v>162</v>
      </c>
      <c r="C5854" s="1" t="s">
        <v>56</v>
      </c>
      <c r="D5854" s="1">
        <v>1.0</v>
      </c>
      <c r="E5854" s="1">
        <v>11752.0</v>
      </c>
      <c r="F5854" s="10">
        <f t="shared" si="1"/>
        <v>1</v>
      </c>
      <c r="G5854" s="10">
        <f t="array" ref="G5854">index('Player ID'!C:C,match(E5854,'Player ID'!B:B,0))</f>
        <v>592426</v>
      </c>
    </row>
    <row r="5855">
      <c r="A5855" s="76">
        <v>45795.0</v>
      </c>
      <c r="B5855" s="1" t="s">
        <v>59</v>
      </c>
      <c r="C5855" s="1" t="s">
        <v>39</v>
      </c>
      <c r="D5855" s="1">
        <v>1.0</v>
      </c>
      <c r="E5855" s="1">
        <v>14212.0</v>
      </c>
      <c r="F5855" s="10">
        <f t="shared" si="1"/>
        <v>1</v>
      </c>
      <c r="G5855" s="10">
        <f t="array" ref="G5855">index('Player ID'!C:C,match(E5855,'Player ID'!B:B,0))</f>
        <v>623352</v>
      </c>
    </row>
    <row r="5856">
      <c r="A5856" s="76">
        <v>45795.0</v>
      </c>
      <c r="B5856" s="1" t="s">
        <v>210</v>
      </c>
      <c r="C5856" s="1" t="s">
        <v>39</v>
      </c>
      <c r="D5856" s="1">
        <v>1.0</v>
      </c>
      <c r="E5856" s="1">
        <v>16609.0</v>
      </c>
      <c r="F5856" s="10">
        <f t="shared" si="1"/>
        <v>1</v>
      </c>
      <c r="G5856" s="10">
        <f t="array" ref="G5856">index('Player ID'!C:C,match(E5856,'Player ID'!B:B,0))</f>
        <v>650556</v>
      </c>
    </row>
    <row r="5857">
      <c r="A5857" s="76">
        <v>45795.0</v>
      </c>
      <c r="B5857" s="1" t="s">
        <v>113</v>
      </c>
      <c r="C5857" s="1" t="s">
        <v>39</v>
      </c>
      <c r="D5857" s="1">
        <v>7.0</v>
      </c>
      <c r="E5857" s="1">
        <v>17295.0</v>
      </c>
      <c r="F5857" s="10">
        <f t="shared" si="1"/>
        <v>7</v>
      </c>
      <c r="G5857" s="10">
        <f t="array" ref="G5857">index('Player ID'!C:C,match(E5857,'Player ID'!B:B,0))</f>
        <v>664285</v>
      </c>
    </row>
    <row r="5858">
      <c r="A5858" s="76">
        <v>45795.0</v>
      </c>
      <c r="B5858" s="1" t="s">
        <v>268</v>
      </c>
      <c r="C5858" s="1" t="s">
        <v>56</v>
      </c>
      <c r="D5858" s="1">
        <v>1.0</v>
      </c>
      <c r="E5858" s="1">
        <v>23363.0</v>
      </c>
      <c r="F5858" s="10">
        <f t="shared" si="1"/>
        <v>1</v>
      </c>
      <c r="G5858" s="10">
        <f t="array" ref="G5858">index('Player ID'!C:C,match(E5858,'Player ID'!B:B,0))</f>
        <v>676395</v>
      </c>
    </row>
    <row r="5859">
      <c r="A5859" s="76">
        <v>45795.0</v>
      </c>
      <c r="B5859" s="1" t="s">
        <v>374</v>
      </c>
      <c r="C5859" s="1" t="s">
        <v>56</v>
      </c>
      <c r="D5859" s="1">
        <v>7.0</v>
      </c>
      <c r="E5859" s="1">
        <v>30146.0</v>
      </c>
      <c r="F5859" s="10">
        <f t="shared" si="1"/>
        <v>7</v>
      </c>
      <c r="G5859" s="10">
        <f t="array" ref="G5859">index('Player ID'!C:C,match(E5859,'Player ID'!B:B,0))</f>
        <v>683004</v>
      </c>
    </row>
    <row r="5860">
      <c r="A5860" s="76">
        <v>45795.0</v>
      </c>
      <c r="B5860" s="1" t="s">
        <v>506</v>
      </c>
      <c r="C5860" s="1" t="s">
        <v>80</v>
      </c>
      <c r="D5860" s="1">
        <v>0.1</v>
      </c>
      <c r="E5860" s="1">
        <v>12988.0</v>
      </c>
      <c r="F5860" s="10">
        <f t="shared" si="1"/>
        <v>0.3333333333</v>
      </c>
      <c r="G5860" s="10">
        <f t="array" ref="G5860">index('Player ID'!C:C,match(E5860,'Player ID'!B:B,0))</f>
        <v>605177</v>
      </c>
    </row>
    <row r="5861">
      <c r="A5861" s="76">
        <v>45795.0</v>
      </c>
      <c r="B5861" s="1" t="s">
        <v>216</v>
      </c>
      <c r="C5861" s="1" t="s">
        <v>68</v>
      </c>
      <c r="D5861" s="1">
        <v>5.1</v>
      </c>
      <c r="E5861" s="1">
        <v>13774.0</v>
      </c>
      <c r="F5861" s="10">
        <f t="shared" si="1"/>
        <v>5.333333333</v>
      </c>
      <c r="G5861" s="10">
        <f t="array" ref="G5861">index('Player ID'!C:C,match(E5861,'Player ID'!B:B,0))</f>
        <v>621107</v>
      </c>
    </row>
    <row r="5862">
      <c r="A5862" s="76">
        <v>45795.0</v>
      </c>
      <c r="B5862" s="1" t="s">
        <v>719</v>
      </c>
      <c r="C5862" s="1" t="s">
        <v>80</v>
      </c>
      <c r="D5862" s="1">
        <v>1.0</v>
      </c>
      <c r="E5862" s="1">
        <v>14527.0</v>
      </c>
      <c r="F5862" s="10">
        <f t="shared" si="1"/>
        <v>1</v>
      </c>
      <c r="G5862" s="10">
        <f t="array" ref="G5862">index('Player ID'!C:C,match(E5862,'Player ID'!B:B,0))</f>
        <v>605347</v>
      </c>
    </row>
    <row r="5863">
      <c r="A5863" s="76">
        <v>45795.0</v>
      </c>
      <c r="B5863" s="1" t="s">
        <v>480</v>
      </c>
      <c r="C5863" s="1" t="s">
        <v>80</v>
      </c>
      <c r="D5863" s="1">
        <v>5.2</v>
      </c>
      <c r="E5863" s="1">
        <v>18383.0</v>
      </c>
      <c r="F5863" s="10">
        <f t="shared" si="1"/>
        <v>5.666666667</v>
      </c>
      <c r="G5863" s="10">
        <f t="array" ref="G5863">index('Player ID'!C:C,match(E5863,'Player ID'!B:B,0))</f>
        <v>647336</v>
      </c>
    </row>
    <row r="5864">
      <c r="A5864" s="76">
        <v>45795.0</v>
      </c>
      <c r="B5864" s="1" t="s">
        <v>231</v>
      </c>
      <c r="C5864" s="1" t="s">
        <v>68</v>
      </c>
      <c r="D5864" s="1">
        <v>1.2</v>
      </c>
      <c r="E5864" s="1">
        <v>19362.0</v>
      </c>
      <c r="F5864" s="10">
        <f t="shared" si="1"/>
        <v>1.666666667</v>
      </c>
      <c r="G5864" s="10">
        <f t="array" ref="G5864">index('Player ID'!C:C,match(E5864,'Player ID'!B:B,0))</f>
        <v>669211</v>
      </c>
    </row>
    <row r="5865">
      <c r="A5865" s="76">
        <v>45795.0</v>
      </c>
      <c r="B5865" s="1" t="s">
        <v>240</v>
      </c>
      <c r="C5865" s="1" t="s">
        <v>68</v>
      </c>
      <c r="D5865" s="1">
        <v>1.0</v>
      </c>
      <c r="E5865" s="1">
        <v>19804.0</v>
      </c>
      <c r="F5865" s="10">
        <f t="shared" si="1"/>
        <v>1</v>
      </c>
      <c r="G5865" s="10">
        <f t="array" ref="G5865">index('Player ID'!C:C,match(E5865,'Player ID'!B:B,0))</f>
        <v>641329</v>
      </c>
    </row>
    <row r="5866">
      <c r="A5866" s="76">
        <v>45795.0</v>
      </c>
      <c r="B5866" s="1" t="s">
        <v>758</v>
      </c>
      <c r="C5866" s="1" t="s">
        <v>68</v>
      </c>
      <c r="D5866" s="1">
        <v>1.0</v>
      </c>
      <c r="E5866" s="1">
        <v>26191.0</v>
      </c>
      <c r="F5866" s="10">
        <f t="shared" si="1"/>
        <v>1</v>
      </c>
      <c r="G5866" s="10">
        <f t="array" ref="G5866">index('Player ID'!C:C,match(E5866,'Player ID'!B:B,0))</f>
        <v>669704</v>
      </c>
    </row>
    <row r="5867">
      <c r="A5867" s="76">
        <v>45795.0</v>
      </c>
      <c r="B5867" s="1" t="s">
        <v>507</v>
      </c>
      <c r="C5867" s="1" t="s">
        <v>80</v>
      </c>
      <c r="D5867" s="1">
        <v>1.0</v>
      </c>
      <c r="E5867" s="1">
        <v>27570.0</v>
      </c>
      <c r="F5867" s="10">
        <f t="shared" si="1"/>
        <v>1</v>
      </c>
      <c r="G5867" s="10">
        <f t="array" ref="G5867">index('Player ID'!C:C,match(E5867,'Player ID'!B:B,0))</f>
        <v>669371</v>
      </c>
    </row>
    <row r="5868">
      <c r="A5868" s="76">
        <v>45795.0</v>
      </c>
      <c r="B5868" s="1" t="s">
        <v>437</v>
      </c>
      <c r="C5868" s="1" t="s">
        <v>80</v>
      </c>
      <c r="D5868" s="1">
        <v>1.0</v>
      </c>
      <c r="E5868" s="1">
        <v>31972.0</v>
      </c>
      <c r="F5868" s="10">
        <f t="shared" si="1"/>
        <v>1</v>
      </c>
      <c r="G5868" s="10">
        <f t="array" ref="G5868">index('Player ID'!C:C,match(E5868,'Player ID'!B:B,0))</f>
        <v>695418</v>
      </c>
    </row>
    <row r="5869">
      <c r="A5869" s="76">
        <v>45795.0</v>
      </c>
      <c r="B5869" s="1" t="s">
        <v>182</v>
      </c>
      <c r="C5869" s="1" t="s">
        <v>45</v>
      </c>
      <c r="D5869" s="1">
        <v>1.0</v>
      </c>
      <c r="E5869" s="1">
        <v>13799.0</v>
      </c>
      <c r="F5869" s="10">
        <f t="shared" si="1"/>
        <v>1</v>
      </c>
      <c r="G5869" s="10">
        <f t="array" ref="G5869">index('Player ID'!C:C,match(E5869,'Player ID'!B:B,0))</f>
        <v>621381</v>
      </c>
    </row>
    <row r="5870">
      <c r="A5870" s="76">
        <v>45795.0</v>
      </c>
      <c r="B5870" s="1" t="s">
        <v>208</v>
      </c>
      <c r="C5870" s="1" t="s">
        <v>45</v>
      </c>
      <c r="D5870" s="1">
        <v>1.0</v>
      </c>
      <c r="E5870" s="1">
        <v>16122.0</v>
      </c>
      <c r="F5870" s="10">
        <f t="shared" si="1"/>
        <v>1</v>
      </c>
      <c r="G5870" s="10">
        <f t="array" ref="G5870">index('Player ID'!C:C,match(E5870,'Player ID'!B:B,0))</f>
        <v>605447</v>
      </c>
    </row>
    <row r="5871">
      <c r="A5871" s="76">
        <v>45795.0</v>
      </c>
      <c r="B5871" s="1" t="s">
        <v>393</v>
      </c>
      <c r="C5871" s="1" t="s">
        <v>45</v>
      </c>
      <c r="D5871" s="1">
        <v>6.0</v>
      </c>
      <c r="E5871" s="1">
        <v>27756.0</v>
      </c>
      <c r="F5871" s="10">
        <f t="shared" si="1"/>
        <v>6</v>
      </c>
      <c r="G5871" s="10">
        <f t="array" ref="G5871">index('Player ID'!C:C,match(E5871,'Player ID'!B:B,0))</f>
        <v>690953</v>
      </c>
    </row>
    <row r="5872">
      <c r="A5872" s="76">
        <v>45795.0</v>
      </c>
      <c r="B5872" s="1" t="s">
        <v>165</v>
      </c>
      <c r="C5872" s="1" t="s">
        <v>45</v>
      </c>
      <c r="D5872" s="1">
        <v>1.0</v>
      </c>
      <c r="E5872" s="1">
        <v>31776.0</v>
      </c>
      <c r="F5872" s="10">
        <f t="shared" si="1"/>
        <v>1</v>
      </c>
      <c r="G5872" s="10">
        <f t="array" ref="G5872">index('Player ID'!C:C,match(E5872,'Player ID'!B:B,0))</f>
        <v>689147</v>
      </c>
    </row>
    <row r="5873">
      <c r="A5873" s="76">
        <v>45795.0</v>
      </c>
      <c r="B5873" s="1" t="s">
        <v>88</v>
      </c>
      <c r="C5873" s="1" t="s">
        <v>60</v>
      </c>
      <c r="D5873" s="1">
        <v>8.0</v>
      </c>
      <c r="E5873" s="1">
        <v>33677.0</v>
      </c>
      <c r="F5873" s="10">
        <f t="shared" si="1"/>
        <v>8</v>
      </c>
      <c r="G5873" s="10">
        <f t="array" ref="G5873">index('Player ID'!C:C,match(E5873,'Player ID'!B:B,0))</f>
        <v>694973</v>
      </c>
    </row>
    <row r="5874">
      <c r="A5874" s="76">
        <v>45795.0</v>
      </c>
      <c r="B5874" s="1" t="s">
        <v>233</v>
      </c>
      <c r="C5874" s="1" t="s">
        <v>46</v>
      </c>
      <c r="D5874" s="1">
        <v>1.0</v>
      </c>
      <c r="E5874" s="1">
        <v>16427.0</v>
      </c>
      <c r="F5874" s="10">
        <f t="shared" si="1"/>
        <v>1</v>
      </c>
      <c r="G5874" s="10">
        <f t="array" ref="G5874">index('Player ID'!C:C,match(E5874,'Player ID'!B:B,0))</f>
        <v>656240</v>
      </c>
    </row>
    <row r="5875">
      <c r="A5875" s="76">
        <v>45795.0</v>
      </c>
      <c r="B5875" s="1" t="s">
        <v>415</v>
      </c>
      <c r="C5875" s="1" t="s">
        <v>22</v>
      </c>
      <c r="D5875" s="1">
        <v>4.2</v>
      </c>
      <c r="E5875" s="1">
        <v>16943.0</v>
      </c>
      <c r="F5875" s="10">
        <f t="shared" si="1"/>
        <v>4.666666667</v>
      </c>
      <c r="G5875" s="10">
        <f t="array" ref="G5875">index('Player ID'!C:C,match(E5875,'Player ID'!B:B,0))</f>
        <v>656794</v>
      </c>
    </row>
    <row r="5876">
      <c r="A5876" s="76">
        <v>45795.0</v>
      </c>
      <c r="B5876" s="1" t="s">
        <v>91</v>
      </c>
      <c r="C5876" s="1" t="s">
        <v>46</v>
      </c>
      <c r="D5876" s="1">
        <v>1.0</v>
      </c>
      <c r="E5876" s="1">
        <v>19996.0</v>
      </c>
      <c r="F5876" s="10">
        <f t="shared" si="1"/>
        <v>1</v>
      </c>
      <c r="G5876" s="10">
        <f t="array" ref="G5876">index('Player ID'!C:C,match(E5876,'Player ID'!B:B,0))</f>
        <v>669276</v>
      </c>
    </row>
    <row r="5877">
      <c r="A5877" s="76">
        <v>45795.0</v>
      </c>
      <c r="B5877" s="1" t="s">
        <v>410</v>
      </c>
      <c r="C5877" s="1" t="s">
        <v>22</v>
      </c>
      <c r="D5877" s="1">
        <v>4.1</v>
      </c>
      <c r="E5877" s="1">
        <v>23920.0</v>
      </c>
      <c r="F5877" s="10">
        <f t="shared" si="1"/>
        <v>4.333333333</v>
      </c>
      <c r="G5877" s="10">
        <f t="array" ref="G5877">index('Player ID'!C:C,match(E5877,'Player ID'!B:B,0))</f>
        <v>678394</v>
      </c>
    </row>
    <row r="5878">
      <c r="A5878" s="76">
        <v>45795.0</v>
      </c>
      <c r="B5878" s="1" t="s">
        <v>65</v>
      </c>
      <c r="C5878" s="1" t="s">
        <v>46</v>
      </c>
      <c r="D5878" s="1">
        <v>7.0</v>
      </c>
      <c r="E5878" s="1">
        <v>31846.0</v>
      </c>
      <c r="F5878" s="10">
        <f t="shared" si="1"/>
        <v>7</v>
      </c>
      <c r="G5878" s="10">
        <f t="array" ref="G5878">index('Player ID'!C:C,match(E5878,'Player ID'!B:B,0))</f>
        <v>680885</v>
      </c>
    </row>
    <row r="5879">
      <c r="A5879" s="76">
        <v>45795.0</v>
      </c>
      <c r="B5879" s="1" t="s">
        <v>439</v>
      </c>
      <c r="C5879" s="1" t="s">
        <v>62</v>
      </c>
      <c r="D5879" s="1">
        <v>1.0</v>
      </c>
      <c r="E5879" s="1">
        <v>11384.0</v>
      </c>
      <c r="F5879" s="10">
        <f t="shared" si="1"/>
        <v>1</v>
      </c>
      <c r="G5879" s="10">
        <f t="array" ref="G5879">index('Player ID'!C:C,match(E5879,'Player ID'!B:B,0))</f>
        <v>592454</v>
      </c>
    </row>
    <row r="5880">
      <c r="A5880" s="76">
        <v>45795.0</v>
      </c>
      <c r="B5880" s="1" t="s">
        <v>673</v>
      </c>
      <c r="C5880" s="1" t="s">
        <v>40</v>
      </c>
      <c r="D5880" s="1">
        <v>1.0</v>
      </c>
      <c r="E5880" s="1">
        <v>12095.0</v>
      </c>
      <c r="F5880" s="10">
        <f t="shared" si="1"/>
        <v>1</v>
      </c>
      <c r="G5880" s="10">
        <f t="array" ref="G5880">index('Player ID'!C:C,match(E5880,'Player ID'!B:B,0))</f>
        <v>554340</v>
      </c>
    </row>
    <row r="5881">
      <c r="A5881" s="76">
        <v>45795.0</v>
      </c>
      <c r="B5881" s="1" t="s">
        <v>666</v>
      </c>
      <c r="C5881" s="1" t="s">
        <v>62</v>
      </c>
      <c r="D5881" s="1">
        <v>0.2</v>
      </c>
      <c r="E5881" s="1">
        <v>12777.0</v>
      </c>
      <c r="F5881" s="10">
        <f t="shared" si="1"/>
        <v>0.6666666667</v>
      </c>
      <c r="G5881" s="10">
        <f t="array" ref="G5881">index('Player ID'!C:C,match(E5881,'Player ID'!B:B,0))</f>
        <v>605154</v>
      </c>
    </row>
    <row r="5882">
      <c r="A5882" s="76">
        <v>45795.0</v>
      </c>
      <c r="B5882" s="1" t="s">
        <v>638</v>
      </c>
      <c r="C5882" s="1" t="s">
        <v>40</v>
      </c>
      <c r="D5882" s="1">
        <v>6.0</v>
      </c>
      <c r="E5882" s="1">
        <v>14168.0</v>
      </c>
      <c r="F5882" s="10">
        <f t="shared" si="1"/>
        <v>6</v>
      </c>
      <c r="G5882" s="10">
        <f t="array" ref="G5882">index('Player ID'!C:C,match(E5882,'Player ID'!B:B,0))</f>
        <v>621244</v>
      </c>
    </row>
    <row r="5883">
      <c r="A5883" s="76">
        <v>45795.0</v>
      </c>
      <c r="B5883" s="1" t="s">
        <v>131</v>
      </c>
      <c r="C5883" s="1" t="s">
        <v>62</v>
      </c>
      <c r="D5883" s="1">
        <v>1.0</v>
      </c>
      <c r="E5883" s="1">
        <v>19769.0</v>
      </c>
      <c r="F5883" s="10">
        <f t="shared" si="1"/>
        <v>1</v>
      </c>
      <c r="G5883" s="10">
        <f t="array" ref="G5883">index('Player ID'!C:C,match(E5883,'Player ID'!B:B,0))</f>
        <v>676684</v>
      </c>
    </row>
    <row r="5884">
      <c r="A5884" s="76">
        <v>45795.0</v>
      </c>
      <c r="B5884" s="1" t="s">
        <v>315</v>
      </c>
      <c r="C5884" s="1" t="s">
        <v>40</v>
      </c>
      <c r="D5884" s="1">
        <v>1.1</v>
      </c>
      <c r="E5884" s="1">
        <v>24609.0</v>
      </c>
      <c r="F5884" s="10">
        <f t="shared" si="1"/>
        <v>1.333333333</v>
      </c>
      <c r="G5884" s="10">
        <f t="array" ref="G5884">index('Player ID'!C:C,match(E5884,'Player ID'!B:B,0))</f>
        <v>680755</v>
      </c>
    </row>
    <row r="5885">
      <c r="A5885" s="76">
        <v>45795.0</v>
      </c>
      <c r="B5885" s="1" t="s">
        <v>487</v>
      </c>
      <c r="C5885" s="1" t="s">
        <v>62</v>
      </c>
      <c r="D5885" s="1">
        <v>0.1</v>
      </c>
      <c r="E5885" s="1">
        <v>30133.0</v>
      </c>
      <c r="F5885" s="10">
        <f t="shared" si="1"/>
        <v>0.3333333333</v>
      </c>
      <c r="G5885" s="10">
        <f t="array" ref="G5885">index('Player ID'!C:C,match(E5885,'Player ID'!B:B,0))</f>
        <v>676428</v>
      </c>
    </row>
    <row r="5886">
      <c r="A5886" s="76">
        <v>45795.0</v>
      </c>
      <c r="B5886" s="1" t="s">
        <v>377</v>
      </c>
      <c r="C5886" s="1" t="s">
        <v>62</v>
      </c>
      <c r="D5886" s="1">
        <v>6.0</v>
      </c>
      <c r="E5886" s="1">
        <v>30203.0</v>
      </c>
      <c r="F5886" s="10">
        <f t="shared" si="1"/>
        <v>6</v>
      </c>
      <c r="G5886" s="10">
        <f t="array" ref="G5886">index('Player ID'!C:C,match(E5886,'Player ID'!B:B,0))</f>
        <v>695549</v>
      </c>
    </row>
    <row r="5887">
      <c r="A5887" s="76">
        <v>45795.0</v>
      </c>
      <c r="B5887" s="1" t="s">
        <v>142</v>
      </c>
      <c r="C5887" s="1" t="s">
        <v>40</v>
      </c>
      <c r="D5887" s="1">
        <v>0.2</v>
      </c>
      <c r="E5887" s="1">
        <v>31553.0</v>
      </c>
      <c r="F5887" s="10">
        <f t="shared" si="1"/>
        <v>0.6666666667</v>
      </c>
      <c r="G5887" s="10">
        <f t="array" ref="G5887">index('Player ID'!C:C,match(E5887,'Player ID'!B:B,0))</f>
        <v>689254</v>
      </c>
    </row>
    <row r="5888">
      <c r="A5888" s="76">
        <v>45795.0</v>
      </c>
      <c r="B5888" s="1" t="s">
        <v>362</v>
      </c>
      <c r="C5888" s="1" t="s">
        <v>66</v>
      </c>
      <c r="D5888" s="1">
        <v>0.1</v>
      </c>
      <c r="E5888" s="1">
        <v>13449.0</v>
      </c>
      <c r="F5888" s="10">
        <f t="shared" si="1"/>
        <v>0.3333333333</v>
      </c>
      <c r="G5888" s="10">
        <f t="array" ref="G5888">index('Player ID'!C:C,match(E5888,'Player ID'!B:B,0))</f>
        <v>573124</v>
      </c>
    </row>
    <row r="5889">
      <c r="A5889" s="76">
        <v>45795.0</v>
      </c>
      <c r="B5889" s="1" t="s">
        <v>651</v>
      </c>
      <c r="C5889" s="1" t="s">
        <v>66</v>
      </c>
      <c r="D5889" s="1">
        <v>1.0</v>
      </c>
      <c r="E5889" s="1">
        <v>14771.0</v>
      </c>
      <c r="F5889" s="10">
        <f t="shared" si="1"/>
        <v>1</v>
      </c>
      <c r="G5889" s="10">
        <f t="array" ref="G5889">index('Player ID'!C:C,match(E5889,'Player ID'!B:B,0))</f>
        <v>641941</v>
      </c>
    </row>
    <row r="5890">
      <c r="A5890" s="76">
        <v>45795.0</v>
      </c>
      <c r="B5890" s="1" t="s">
        <v>475</v>
      </c>
      <c r="C5890" s="1" t="s">
        <v>66</v>
      </c>
      <c r="D5890" s="1">
        <v>1.0</v>
      </c>
      <c r="E5890" s="1">
        <v>14993.0</v>
      </c>
      <c r="F5890" s="10">
        <f t="shared" si="1"/>
        <v>1</v>
      </c>
      <c r="G5890" s="10">
        <f t="array" ref="G5890">index('Player ID'!C:C,match(E5890,'Player ID'!B:B,0))</f>
        <v>605130</v>
      </c>
    </row>
    <row r="5891">
      <c r="A5891" s="76">
        <v>45795.0</v>
      </c>
      <c r="B5891" s="1" t="s">
        <v>259</v>
      </c>
      <c r="C5891" s="1" t="s">
        <v>70</v>
      </c>
      <c r="D5891" s="1">
        <v>2.0</v>
      </c>
      <c r="E5891" s="1">
        <v>18694.0</v>
      </c>
      <c r="F5891" s="10">
        <f t="shared" si="1"/>
        <v>2</v>
      </c>
      <c r="G5891" s="10">
        <f t="array" ref="G5891">index('Player ID'!C:C,match(E5891,'Player ID'!B:B,0))</f>
        <v>663465</v>
      </c>
    </row>
    <row r="5892">
      <c r="A5892" s="76">
        <v>45795.0</v>
      </c>
      <c r="B5892" s="1" t="s">
        <v>345</v>
      </c>
      <c r="C5892" s="1" t="s">
        <v>66</v>
      </c>
      <c r="D5892" s="1">
        <v>1.0</v>
      </c>
      <c r="E5892" s="1">
        <v>19926.0</v>
      </c>
      <c r="F5892" s="10">
        <f t="shared" si="1"/>
        <v>1</v>
      </c>
      <c r="G5892" s="10">
        <f t="array" ref="G5892">index('Player ID'!C:C,match(E5892,'Player ID'!B:B,0))</f>
        <v>663574</v>
      </c>
    </row>
    <row r="5893">
      <c r="A5893" s="76">
        <v>45795.0</v>
      </c>
      <c r="B5893" s="1" t="s">
        <v>550</v>
      </c>
      <c r="C5893" s="1" t="s">
        <v>66</v>
      </c>
      <c r="D5893" s="1">
        <v>0.2</v>
      </c>
      <c r="E5893" s="1">
        <v>25620.0</v>
      </c>
      <c r="F5893" s="10">
        <f t="shared" si="1"/>
        <v>0.6666666667</v>
      </c>
      <c r="G5893" s="10">
        <f t="array" ref="G5893">index('Player ID'!C:C,match(E5893,'Player ID'!B:B,0))</f>
        <v>682825</v>
      </c>
    </row>
    <row r="5894">
      <c r="A5894" s="76">
        <v>45795.0</v>
      </c>
      <c r="B5894" s="1" t="s">
        <v>238</v>
      </c>
      <c r="C5894" s="1" t="s">
        <v>70</v>
      </c>
      <c r="D5894" s="1">
        <v>1.0</v>
      </c>
      <c r="E5894" s="1">
        <v>25636.0</v>
      </c>
      <c r="F5894" s="10">
        <f t="shared" si="1"/>
        <v>1</v>
      </c>
      <c r="G5894" s="10">
        <f t="array" ref="G5894">index('Player ID'!C:C,match(E5894,'Player ID'!B:B,0))</f>
        <v>683769</v>
      </c>
    </row>
    <row r="5895">
      <c r="A5895" s="76">
        <v>45795.0</v>
      </c>
      <c r="B5895" s="1" t="s">
        <v>484</v>
      </c>
      <c r="C5895" s="1" t="s">
        <v>70</v>
      </c>
      <c r="D5895" s="1">
        <v>5.0</v>
      </c>
      <c r="E5895" s="1">
        <v>27646.0</v>
      </c>
      <c r="F5895" s="10">
        <f t="shared" si="1"/>
        <v>5</v>
      </c>
      <c r="G5895" s="10">
        <f t="array" ref="G5895">index('Player ID'!C:C,match(E5895,'Player ID'!B:B,0))</f>
        <v>682847</v>
      </c>
    </row>
    <row r="5896">
      <c r="A5896" s="76">
        <v>45795.0</v>
      </c>
      <c r="B5896" s="1" t="s">
        <v>169</v>
      </c>
      <c r="C5896" s="1" t="s">
        <v>66</v>
      </c>
      <c r="D5896" s="1">
        <v>5.0</v>
      </c>
      <c r="E5896" s="1">
        <v>29911.0</v>
      </c>
      <c r="F5896" s="10">
        <f t="shared" si="1"/>
        <v>5</v>
      </c>
      <c r="G5896" s="10">
        <f t="array" ref="G5896">index('Player ID'!C:C,match(E5896,'Player ID'!B:B,0))</f>
        <v>671096</v>
      </c>
    </row>
    <row r="5897">
      <c r="A5897" s="76">
        <v>45795.0</v>
      </c>
      <c r="B5897" s="1" t="s">
        <v>784</v>
      </c>
      <c r="C5897" s="1" t="s">
        <v>54</v>
      </c>
      <c r="D5897" s="1">
        <v>2.0</v>
      </c>
      <c r="E5897" s="1">
        <v>15256.0</v>
      </c>
      <c r="F5897" s="10">
        <f t="shared" si="1"/>
        <v>2</v>
      </c>
      <c r="G5897" s="10">
        <f t="array" ref="G5897">index('Player ID'!C:C,match(E5897,'Player ID'!B:B,0))</f>
        <v>642121</v>
      </c>
    </row>
    <row r="5898">
      <c r="A5898" s="76">
        <v>45795.0</v>
      </c>
      <c r="B5898" s="1" t="s">
        <v>661</v>
      </c>
      <c r="C5898" s="1" t="s">
        <v>36</v>
      </c>
      <c r="D5898" s="1">
        <v>1.0</v>
      </c>
      <c r="E5898" s="1">
        <v>16300.0</v>
      </c>
      <c r="F5898" s="10">
        <f t="shared" si="1"/>
        <v>1</v>
      </c>
      <c r="G5898" s="10">
        <f t="array" ref="G5898">index('Player ID'!C:C,match(E5898,'Player ID'!B:B,0))</f>
        <v>622786</v>
      </c>
    </row>
    <row r="5899">
      <c r="A5899" s="76">
        <v>45795.0</v>
      </c>
      <c r="B5899" s="1" t="s">
        <v>464</v>
      </c>
      <c r="C5899" s="1" t="s">
        <v>36</v>
      </c>
      <c r="D5899" s="1">
        <v>5.0</v>
      </c>
      <c r="E5899" s="1">
        <v>19312.0</v>
      </c>
      <c r="F5899" s="10">
        <f t="shared" si="1"/>
        <v>5</v>
      </c>
      <c r="G5899" s="10">
        <f t="array" ref="G5899">index('Player ID'!C:C,match(E5899,'Player ID'!B:B,0))</f>
        <v>615698</v>
      </c>
    </row>
    <row r="5900">
      <c r="A5900" s="76">
        <v>45795.0</v>
      </c>
      <c r="B5900" s="1" t="s">
        <v>89</v>
      </c>
      <c r="C5900" s="1" t="s">
        <v>36</v>
      </c>
      <c r="D5900" s="1">
        <v>1.0</v>
      </c>
      <c r="E5900" s="1">
        <v>19742.0</v>
      </c>
      <c r="F5900" s="10">
        <f t="shared" si="1"/>
        <v>1</v>
      </c>
      <c r="G5900" s="10">
        <f t="array" ref="G5900">index('Player ID'!C:C,match(E5900,'Player ID'!B:B,0))</f>
        <v>669622</v>
      </c>
    </row>
    <row r="5901">
      <c r="A5901" s="76">
        <v>45795.0</v>
      </c>
      <c r="B5901" s="1" t="s">
        <v>262</v>
      </c>
      <c r="C5901" s="1" t="s">
        <v>36</v>
      </c>
      <c r="D5901" s="1">
        <v>1.0</v>
      </c>
      <c r="E5901" s="1">
        <v>20116.0</v>
      </c>
      <c r="F5901" s="10">
        <f t="shared" si="1"/>
        <v>1</v>
      </c>
      <c r="G5901" s="10">
        <f t="array" ref="G5901">index('Player ID'!C:C,match(E5901,'Player ID'!B:B,0))</f>
        <v>676534</v>
      </c>
    </row>
    <row r="5902">
      <c r="A5902" s="76">
        <v>45795.0</v>
      </c>
      <c r="B5902" s="1" t="s">
        <v>242</v>
      </c>
      <c r="C5902" s="1" t="s">
        <v>54</v>
      </c>
      <c r="D5902" s="1">
        <v>6.0</v>
      </c>
      <c r="E5902" s="1">
        <v>22264.0</v>
      </c>
      <c r="F5902" s="10">
        <f t="shared" si="1"/>
        <v>6</v>
      </c>
      <c r="G5902" s="10">
        <f t="array" ref="G5902">index('Player ID'!C:C,match(E5902,'Player ID'!B:B,0))</f>
        <v>669358</v>
      </c>
    </row>
    <row r="5903">
      <c r="A5903" s="76">
        <v>45795.0</v>
      </c>
      <c r="B5903" s="1" t="s">
        <v>123</v>
      </c>
      <c r="C5903" s="1" t="s">
        <v>36</v>
      </c>
      <c r="D5903" s="1">
        <v>1.0</v>
      </c>
      <c r="E5903" s="1">
        <v>24094.0</v>
      </c>
      <c r="F5903" s="10">
        <f t="shared" si="1"/>
        <v>1</v>
      </c>
      <c r="G5903" s="10">
        <f t="array" ref="G5903">index('Player ID'!C:C,match(E5903,'Player ID'!B:B,0))</f>
        <v>678692</v>
      </c>
    </row>
    <row r="5904">
      <c r="A5904" s="76">
        <v>45795.0</v>
      </c>
      <c r="B5904" s="1" t="s">
        <v>147</v>
      </c>
      <c r="C5904" s="1" t="s">
        <v>29</v>
      </c>
      <c r="D5904" s="1">
        <v>5.0</v>
      </c>
      <c r="E5904" s="1">
        <v>14078.0</v>
      </c>
      <c r="F5904" s="10">
        <f t="shared" si="1"/>
        <v>5</v>
      </c>
      <c r="G5904" s="10">
        <f t="array" ref="G5904">index('Player ID'!C:C,match(E5904,'Player ID'!B:B,0))</f>
        <v>608379</v>
      </c>
    </row>
    <row r="5905">
      <c r="A5905" s="76">
        <v>45795.0</v>
      </c>
      <c r="B5905" s="1" t="s">
        <v>649</v>
      </c>
      <c r="C5905" s="1" t="s">
        <v>29</v>
      </c>
      <c r="D5905" s="1">
        <v>1.0</v>
      </c>
      <c r="E5905" s="1">
        <v>14542.0</v>
      </c>
      <c r="F5905" s="10">
        <f t="shared" si="1"/>
        <v>1</v>
      </c>
      <c r="G5905" s="10">
        <f t="array" ref="G5905">index('Player ID'!C:C,match(E5905,'Player ID'!B:B,0))</f>
        <v>608032</v>
      </c>
    </row>
    <row r="5906">
      <c r="A5906" s="76">
        <v>45795.0</v>
      </c>
      <c r="B5906" s="1" t="s">
        <v>407</v>
      </c>
      <c r="C5906" s="1" t="s">
        <v>29</v>
      </c>
      <c r="D5906" s="1">
        <v>1.2</v>
      </c>
      <c r="E5906" s="1">
        <v>19360.0</v>
      </c>
      <c r="F5906" s="10">
        <f t="shared" si="1"/>
        <v>1.666666667</v>
      </c>
      <c r="G5906" s="10">
        <f t="array" ref="G5906">index('Player ID'!C:C,match(E5906,'Player ID'!B:B,0))</f>
        <v>668674</v>
      </c>
    </row>
    <row r="5907">
      <c r="A5907" s="76">
        <v>45795.0</v>
      </c>
      <c r="B5907" s="1" t="s">
        <v>193</v>
      </c>
      <c r="C5907" s="1" t="s">
        <v>72</v>
      </c>
      <c r="D5907" s="1">
        <v>1.0</v>
      </c>
      <c r="E5907" s="1">
        <v>19574.0</v>
      </c>
      <c r="F5907" s="10">
        <f t="shared" si="1"/>
        <v>1</v>
      </c>
      <c r="G5907" s="10">
        <f t="array" ref="G5907">index('Player ID'!C:C,match(E5907,'Player ID'!B:B,0))</f>
        <v>668941</v>
      </c>
    </row>
    <row r="5908">
      <c r="A5908" s="76">
        <v>45795.0</v>
      </c>
      <c r="B5908" s="1" t="s">
        <v>144</v>
      </c>
      <c r="C5908" s="1" t="s">
        <v>29</v>
      </c>
      <c r="D5908" s="1">
        <v>0.2</v>
      </c>
      <c r="E5908" s="1">
        <v>20020.0</v>
      </c>
      <c r="F5908" s="10">
        <f t="shared" si="1"/>
        <v>0.6666666667</v>
      </c>
      <c r="G5908" s="10">
        <f t="array" ref="G5908">index('Player ID'!C:C,match(E5908,'Player ID'!B:B,0))</f>
        <v>670167</v>
      </c>
    </row>
    <row r="5909">
      <c r="A5909" s="76">
        <v>45795.0</v>
      </c>
      <c r="B5909" s="1" t="s">
        <v>293</v>
      </c>
      <c r="C5909" s="1" t="s">
        <v>29</v>
      </c>
      <c r="D5909" s="1">
        <v>0.2</v>
      </c>
      <c r="E5909" s="1">
        <v>21537.0</v>
      </c>
      <c r="F5909" s="10">
        <f t="shared" si="1"/>
        <v>0.6666666667</v>
      </c>
      <c r="G5909" s="10">
        <f t="array" ref="G5909">index('Player ID'!C:C,match(E5909,'Player ID'!B:B,0))</f>
        <v>663738</v>
      </c>
    </row>
    <row r="5910">
      <c r="A5910" s="76">
        <v>45795.0</v>
      </c>
      <c r="B5910" s="1" t="s">
        <v>290</v>
      </c>
      <c r="C5910" s="1" t="s">
        <v>72</v>
      </c>
      <c r="D5910" s="1">
        <v>6.0</v>
      </c>
      <c r="E5910" s="1">
        <v>22294.0</v>
      </c>
      <c r="F5910" s="10">
        <f t="shared" si="1"/>
        <v>6</v>
      </c>
      <c r="G5910" s="10">
        <f t="array" ref="G5910">index('Player ID'!C:C,match(E5910,'Player ID'!B:B,0))</f>
        <v>669461</v>
      </c>
    </row>
    <row r="5911">
      <c r="A5911" s="76">
        <v>45795.0</v>
      </c>
      <c r="B5911" s="1" t="s">
        <v>665</v>
      </c>
      <c r="C5911" s="1" t="s">
        <v>72</v>
      </c>
      <c r="D5911" s="1">
        <v>1.0</v>
      </c>
      <c r="E5911" s="1">
        <v>31261.0</v>
      </c>
      <c r="F5911" s="10">
        <f t="shared" si="1"/>
        <v>1</v>
      </c>
      <c r="G5911" s="10">
        <f t="array" ref="G5911">index('Player ID'!C:C,match(E5911,'Player ID'!B:B,0))</f>
        <v>688297</v>
      </c>
    </row>
    <row r="5912">
      <c r="A5912" s="76">
        <v>45795.0</v>
      </c>
      <c r="B5912" s="1" t="s">
        <v>146</v>
      </c>
      <c r="C5912" s="1" t="s">
        <v>16</v>
      </c>
      <c r="D5912" s="1">
        <v>1.0</v>
      </c>
      <c r="E5912" s="1">
        <v>15145.0</v>
      </c>
      <c r="F5912" s="10">
        <f t="shared" si="1"/>
        <v>1</v>
      </c>
      <c r="G5912" s="10">
        <f t="array" ref="G5912">index('Player ID'!C:C,match(E5912,'Player ID'!B:B,0))</f>
        <v>623437</v>
      </c>
    </row>
    <row r="5913">
      <c r="A5913" s="76">
        <v>45795.0</v>
      </c>
      <c r="B5913" s="1" t="s">
        <v>249</v>
      </c>
      <c r="C5913" s="1" t="s">
        <v>16</v>
      </c>
      <c r="D5913" s="1">
        <v>1.0</v>
      </c>
      <c r="E5913" s="1">
        <v>16727.0</v>
      </c>
      <c r="F5913" s="10">
        <f t="shared" si="1"/>
        <v>1</v>
      </c>
      <c r="G5913" s="10">
        <f t="array" ref="G5913">index('Player ID'!C:C,match(E5913,'Player ID'!B:B,0))</f>
        <v>592779</v>
      </c>
    </row>
    <row r="5914">
      <c r="A5914" s="76">
        <v>45795.0</v>
      </c>
      <c r="B5914" s="1" t="s">
        <v>13</v>
      </c>
      <c r="C5914" s="1" t="s">
        <v>14</v>
      </c>
      <c r="D5914" s="1">
        <v>1.0</v>
      </c>
      <c r="E5914" s="1">
        <v>17722.0</v>
      </c>
      <c r="F5914" s="10">
        <f t="shared" si="1"/>
        <v>1</v>
      </c>
      <c r="G5914" s="10">
        <f t="array" ref="G5914">index('Player ID'!C:C,match(E5914,'Player ID'!B:B,0))</f>
        <v>656730</v>
      </c>
    </row>
    <row r="5915">
      <c r="A5915" s="76">
        <v>45795.0</v>
      </c>
      <c r="B5915" s="1" t="s">
        <v>180</v>
      </c>
      <c r="C5915" s="1" t="s">
        <v>14</v>
      </c>
      <c r="D5915" s="1">
        <v>5.0</v>
      </c>
      <c r="E5915" s="1">
        <v>18679.0</v>
      </c>
      <c r="F5915" s="10">
        <f t="shared" si="1"/>
        <v>5</v>
      </c>
      <c r="G5915" s="10">
        <f t="array" ref="G5915">index('Player ID'!C:C,match(E5915,'Player ID'!B:B,0))</f>
        <v>642547</v>
      </c>
    </row>
    <row r="5916">
      <c r="A5916" s="76">
        <v>45795.0</v>
      </c>
      <c r="B5916" s="1" t="s">
        <v>397</v>
      </c>
      <c r="C5916" s="1" t="s">
        <v>16</v>
      </c>
      <c r="D5916" s="1">
        <v>1.0</v>
      </c>
      <c r="E5916" s="1">
        <v>19459.0</v>
      </c>
      <c r="F5916" s="10">
        <f t="shared" si="1"/>
        <v>1</v>
      </c>
      <c r="G5916" s="10">
        <f t="array" ref="G5916">index('Player ID'!C:C,match(E5916,'Player ID'!B:B,0))</f>
        <v>660896</v>
      </c>
    </row>
    <row r="5917">
      <c r="A5917" s="76">
        <v>45795.0</v>
      </c>
      <c r="B5917" s="1" t="s">
        <v>237</v>
      </c>
      <c r="C5917" s="1" t="s">
        <v>16</v>
      </c>
      <c r="D5917" s="1">
        <v>2.0</v>
      </c>
      <c r="E5917" s="1">
        <v>21461.0</v>
      </c>
      <c r="F5917" s="10">
        <f t="shared" si="1"/>
        <v>2</v>
      </c>
      <c r="G5917" s="10">
        <f t="array" ref="G5917">index('Player ID'!C:C,match(E5917,'Player ID'!B:B,0))</f>
        <v>663485</v>
      </c>
    </row>
    <row r="5918">
      <c r="A5918" s="76">
        <v>45795.0</v>
      </c>
      <c r="B5918" s="1" t="s">
        <v>279</v>
      </c>
      <c r="C5918" s="1" t="s">
        <v>14</v>
      </c>
      <c r="D5918" s="1">
        <v>1.0</v>
      </c>
      <c r="E5918" s="1">
        <v>25327.0</v>
      </c>
      <c r="F5918" s="10">
        <f t="shared" si="1"/>
        <v>1</v>
      </c>
      <c r="G5918" s="10">
        <f t="array" ref="G5918">index('Player ID'!C:C,match(E5918,'Player ID'!B:B,0))</f>
        <v>682842</v>
      </c>
    </row>
    <row r="5919">
      <c r="A5919" s="76">
        <v>45795.0</v>
      </c>
      <c r="B5919" s="1" t="s">
        <v>112</v>
      </c>
      <c r="C5919" s="1" t="s">
        <v>14</v>
      </c>
      <c r="D5919" s="1">
        <v>1.0</v>
      </c>
      <c r="E5919" s="1">
        <v>25376.0</v>
      </c>
      <c r="F5919" s="10">
        <f t="shared" si="1"/>
        <v>1</v>
      </c>
      <c r="G5919" s="10">
        <f t="array" ref="G5919">index('Player ID'!C:C,match(E5919,'Player ID'!B:B,0))</f>
        <v>683232</v>
      </c>
    </row>
    <row r="5920">
      <c r="A5920" s="76">
        <v>45795.0</v>
      </c>
      <c r="B5920" s="1" t="s">
        <v>418</v>
      </c>
      <c r="C5920" s="1" t="s">
        <v>14</v>
      </c>
      <c r="D5920" s="1">
        <v>1.0</v>
      </c>
      <c r="E5920" s="1">
        <v>27517.0</v>
      </c>
      <c r="F5920" s="10">
        <f t="shared" si="1"/>
        <v>1</v>
      </c>
      <c r="G5920" s="10">
        <f t="array" ref="G5920">index('Player ID'!C:C,match(E5920,'Player ID'!B:B,0))</f>
        <v>657649</v>
      </c>
    </row>
    <row r="5921">
      <c r="A5921" s="76">
        <v>45795.0</v>
      </c>
      <c r="B5921" s="1" t="s">
        <v>212</v>
      </c>
      <c r="C5921" s="1" t="s">
        <v>16</v>
      </c>
      <c r="D5921" s="1">
        <v>3.0</v>
      </c>
      <c r="E5921" s="1">
        <v>31827.0</v>
      </c>
      <c r="F5921" s="10">
        <f t="shared" si="1"/>
        <v>3</v>
      </c>
      <c r="G5921" s="10">
        <f t="array" ref="G5921">index('Player ID'!C:C,match(E5921,'Player ID'!B:B,0))</f>
        <v>805673</v>
      </c>
    </row>
    <row r="5922">
      <c r="A5922" s="76">
        <v>45795.0</v>
      </c>
      <c r="B5922" s="1" t="s">
        <v>460</v>
      </c>
      <c r="C5922" s="1" t="s">
        <v>34</v>
      </c>
      <c r="D5922" s="1">
        <v>1.0</v>
      </c>
      <c r="E5922" s="1">
        <v>7005.0</v>
      </c>
      <c r="F5922" s="10">
        <f t="shared" si="1"/>
        <v>1</v>
      </c>
      <c r="G5922" s="10">
        <f t="array" ref="G5922">index('Player ID'!C:C,match(E5922,'Player ID'!B:B,0))</f>
        <v>519151</v>
      </c>
    </row>
    <row r="5923">
      <c r="A5923" s="76">
        <v>45795.0</v>
      </c>
      <c r="B5923" s="1" t="s">
        <v>203</v>
      </c>
      <c r="C5923" s="1" t="s">
        <v>34</v>
      </c>
      <c r="D5923" s="1">
        <v>0.2</v>
      </c>
      <c r="E5923" s="1">
        <v>11426.0</v>
      </c>
      <c r="F5923" s="10">
        <f t="shared" si="1"/>
        <v>0.6666666667</v>
      </c>
      <c r="G5923" s="10">
        <f t="array" ref="G5923">index('Player ID'!C:C,match(E5923,'Player ID'!B:B,0))</f>
        <v>519141</v>
      </c>
    </row>
    <row r="5924">
      <c r="A5924" s="76">
        <v>45795.0</v>
      </c>
      <c r="B5924" s="1" t="s">
        <v>313</v>
      </c>
      <c r="C5924" s="1" t="s">
        <v>34</v>
      </c>
      <c r="D5924" s="1">
        <v>5.1</v>
      </c>
      <c r="E5924" s="1">
        <v>12317.0</v>
      </c>
      <c r="F5924" s="10">
        <f t="shared" si="1"/>
        <v>5.333333333</v>
      </c>
      <c r="G5924" s="10">
        <f t="array" ref="G5924">index('Player ID'!C:C,match(E5924,'Player ID'!B:B,0))</f>
        <v>607067</v>
      </c>
    </row>
    <row r="5925">
      <c r="A5925" s="76">
        <v>45795.0</v>
      </c>
      <c r="B5925" s="1" t="s">
        <v>764</v>
      </c>
      <c r="C5925" s="1" t="s">
        <v>78</v>
      </c>
      <c r="D5925" s="1">
        <v>1.1</v>
      </c>
      <c r="E5925" s="1">
        <v>15684.0</v>
      </c>
      <c r="F5925" s="10">
        <f t="shared" si="1"/>
        <v>1.333333333</v>
      </c>
      <c r="G5925" s="10">
        <f t="array" ref="G5925">index('Player ID'!C:C,match(E5925,'Player ID'!B:B,0))</f>
        <v>612434</v>
      </c>
    </row>
    <row r="5926">
      <c r="A5926" s="76">
        <v>45795.0</v>
      </c>
      <c r="B5926" s="1" t="s">
        <v>297</v>
      </c>
      <c r="C5926" s="1" t="s">
        <v>34</v>
      </c>
      <c r="D5926" s="1">
        <v>1.0</v>
      </c>
      <c r="E5926" s="1">
        <v>15734.0</v>
      </c>
      <c r="F5926" s="10">
        <f t="shared" si="1"/>
        <v>1</v>
      </c>
      <c r="G5926" s="10">
        <f t="array" ref="G5926">index('Player ID'!C:C,match(E5926,'Player ID'!B:B,0))</f>
        <v>641745</v>
      </c>
    </row>
    <row r="5927">
      <c r="A5927" s="76">
        <v>45795.0</v>
      </c>
      <c r="B5927" s="1" t="s">
        <v>632</v>
      </c>
      <c r="C5927" s="1" t="s">
        <v>34</v>
      </c>
      <c r="D5927" s="1">
        <v>1.0</v>
      </c>
      <c r="E5927" s="1">
        <v>16703.0</v>
      </c>
      <c r="F5927" s="10">
        <f t="shared" si="1"/>
        <v>1</v>
      </c>
      <c r="G5927" s="10">
        <f t="array" ref="G5927">index('Player ID'!C:C,match(E5927,'Player ID'!B:B,0))</f>
        <v>657240</v>
      </c>
    </row>
    <row r="5928">
      <c r="A5928" s="76">
        <v>45795.0</v>
      </c>
      <c r="B5928" s="1" t="s">
        <v>116</v>
      </c>
      <c r="C5928" s="1" t="s">
        <v>78</v>
      </c>
      <c r="D5928" s="1">
        <v>1.0</v>
      </c>
      <c r="E5928" s="1">
        <v>20353.0</v>
      </c>
      <c r="F5928" s="10">
        <f t="shared" si="1"/>
        <v>1</v>
      </c>
      <c r="G5928" s="10">
        <f t="array" ref="G5928">index('Player ID'!C:C,match(E5928,'Player ID'!B:B,0))</f>
        <v>621051</v>
      </c>
    </row>
    <row r="5929">
      <c r="A5929" s="76">
        <v>45795.0</v>
      </c>
      <c r="B5929" s="1" t="s">
        <v>367</v>
      </c>
      <c r="C5929" s="1" t="s">
        <v>78</v>
      </c>
      <c r="D5929" s="1">
        <v>0.2</v>
      </c>
      <c r="E5929" s="1">
        <v>27668.0</v>
      </c>
      <c r="F5929" s="10">
        <f t="shared" si="1"/>
        <v>0.6666666667</v>
      </c>
      <c r="G5929" s="10">
        <f t="array" ref="G5929">index('Player ID'!C:C,match(E5929,'Player ID'!B:B,0))</f>
        <v>685126</v>
      </c>
    </row>
    <row r="5930">
      <c r="A5930" s="76">
        <v>45795.0</v>
      </c>
      <c r="B5930" s="1" t="s">
        <v>361</v>
      </c>
      <c r="C5930" s="1" t="s">
        <v>78</v>
      </c>
      <c r="D5930" s="1">
        <v>5.0</v>
      </c>
      <c r="E5930" s="1">
        <v>31730.0</v>
      </c>
      <c r="F5930" s="10">
        <f t="shared" si="1"/>
        <v>5</v>
      </c>
      <c r="G5930" s="10">
        <f t="array" ref="G5930">index('Player ID'!C:C,match(E5930,'Player ID'!B:B,0))</f>
        <v>686563</v>
      </c>
    </row>
    <row r="5931">
      <c r="A5931" s="76">
        <v>45795.0</v>
      </c>
      <c r="B5931" s="1" t="s">
        <v>358</v>
      </c>
      <c r="C5931" s="1" t="s">
        <v>31</v>
      </c>
      <c r="D5931" s="1">
        <v>4.0</v>
      </c>
      <c r="E5931" s="1">
        <v>8700.0</v>
      </c>
      <c r="F5931" s="10">
        <f t="shared" si="1"/>
        <v>4</v>
      </c>
      <c r="G5931" s="10">
        <f t="array" ref="G5931">index('Player ID'!C:C,match(E5931,'Player ID'!B:B,0))</f>
        <v>434378</v>
      </c>
    </row>
    <row r="5932">
      <c r="A5932" s="76">
        <v>45795.0</v>
      </c>
      <c r="B5932" s="1" t="s">
        <v>336</v>
      </c>
      <c r="C5932" s="1" t="s">
        <v>52</v>
      </c>
      <c r="D5932" s="1">
        <v>6.2</v>
      </c>
      <c r="E5932" s="1">
        <v>17677.0</v>
      </c>
      <c r="F5932" s="10">
        <f t="shared" si="1"/>
        <v>6.666666667</v>
      </c>
      <c r="G5932" s="10">
        <f t="array" ref="G5932">index('Player ID'!C:C,match(E5932,'Player ID'!B:B,0))</f>
        <v>605488</v>
      </c>
    </row>
    <row r="5933">
      <c r="A5933" s="76">
        <v>45795.0</v>
      </c>
      <c r="B5933" s="1" t="s">
        <v>505</v>
      </c>
      <c r="C5933" s="1" t="s">
        <v>52</v>
      </c>
      <c r="D5933" s="1">
        <v>0.2</v>
      </c>
      <c r="E5933" s="1">
        <v>19481.0</v>
      </c>
      <c r="F5933" s="10">
        <f t="shared" si="1"/>
        <v>0.6666666667</v>
      </c>
      <c r="G5933" s="10">
        <f t="array" ref="G5933">index('Player ID'!C:C,match(E5933,'Player ID'!B:B,0))</f>
        <v>621053</v>
      </c>
    </row>
    <row r="5934">
      <c r="A5934" s="76">
        <v>45795.0</v>
      </c>
      <c r="B5934" s="1" t="s">
        <v>403</v>
      </c>
      <c r="C5934" s="1" t="s">
        <v>31</v>
      </c>
      <c r="D5934" s="1">
        <v>1.0</v>
      </c>
      <c r="E5934" s="1">
        <v>20423.0</v>
      </c>
      <c r="F5934" s="10">
        <f t="shared" si="1"/>
        <v>1</v>
      </c>
      <c r="G5934" s="10">
        <f t="array" ref="G5934">index('Player ID'!C:C,match(E5934,'Player ID'!B:B,0))</f>
        <v>676254</v>
      </c>
    </row>
    <row r="5935">
      <c r="A5935" s="76">
        <v>45795.0</v>
      </c>
      <c r="B5935" s="1" t="s">
        <v>654</v>
      </c>
      <c r="C5935" s="1" t="s">
        <v>31</v>
      </c>
      <c r="D5935" s="1">
        <v>1.0</v>
      </c>
      <c r="E5935" s="1">
        <v>23974.0</v>
      </c>
      <c r="F5935" s="10">
        <f t="shared" si="1"/>
        <v>1</v>
      </c>
      <c r="G5935" s="10">
        <f t="array" ref="G5935">index('Player ID'!C:C,match(E5935,'Player ID'!B:B,0))</f>
        <v>678495</v>
      </c>
    </row>
    <row r="5936">
      <c r="A5936" s="76">
        <v>45795.0</v>
      </c>
      <c r="B5936" s="1" t="s">
        <v>655</v>
      </c>
      <c r="C5936" s="1" t="s">
        <v>31</v>
      </c>
      <c r="D5936" s="1">
        <v>1.0</v>
      </c>
      <c r="E5936" s="1">
        <v>26252.0</v>
      </c>
      <c r="F5936" s="10">
        <f t="shared" si="1"/>
        <v>1</v>
      </c>
      <c r="G5936" s="10">
        <f t="array" ref="G5936">index('Player ID'!C:C,match(E5936,'Player ID'!B:B,0))</f>
        <v>669062</v>
      </c>
    </row>
    <row r="5937">
      <c r="A5937" s="76">
        <v>45795.0</v>
      </c>
      <c r="B5937" s="1" t="s">
        <v>213</v>
      </c>
      <c r="C5937" s="1" t="s">
        <v>52</v>
      </c>
      <c r="D5937" s="1">
        <v>0.1</v>
      </c>
      <c r="E5937" s="1">
        <v>27694.0</v>
      </c>
      <c r="F5937" s="10">
        <f t="shared" si="1"/>
        <v>0.3333333333</v>
      </c>
      <c r="G5937" s="10">
        <f t="array" ref="G5937">index('Player ID'!C:C,match(E5937,'Player ID'!B:B,0))</f>
        <v>686993</v>
      </c>
    </row>
    <row r="5938">
      <c r="A5938" s="76">
        <v>45795.0</v>
      </c>
      <c r="B5938" s="1" t="s">
        <v>681</v>
      </c>
      <c r="C5938" s="1" t="s">
        <v>52</v>
      </c>
      <c r="D5938" s="1">
        <v>0.1</v>
      </c>
      <c r="E5938" s="1">
        <v>30002.0</v>
      </c>
      <c r="F5938" s="10">
        <f t="shared" si="1"/>
        <v>0.3333333333</v>
      </c>
      <c r="G5938" s="10">
        <f t="array" ref="G5938">index('Player ID'!C:C,match(E5938,'Player ID'!B:B,0))</f>
        <v>680880</v>
      </c>
    </row>
    <row r="5939">
      <c r="A5939" s="76">
        <v>45795.0</v>
      </c>
      <c r="B5939" s="1" t="s">
        <v>276</v>
      </c>
      <c r="C5939" s="1" t="s">
        <v>31</v>
      </c>
      <c r="D5939" s="1">
        <v>2.0</v>
      </c>
      <c r="E5939" s="1">
        <v>30226.0</v>
      </c>
      <c r="F5939" s="10">
        <f t="shared" si="1"/>
        <v>2</v>
      </c>
      <c r="G5939" s="10">
        <f t="array" ref="G5939">index('Player ID'!C:C,match(E5939,'Player ID'!B:B,0))</f>
        <v>702352</v>
      </c>
    </row>
    <row r="5940">
      <c r="A5940" s="76">
        <v>45795.0</v>
      </c>
      <c r="B5940" s="1" t="s">
        <v>103</v>
      </c>
      <c r="C5940" s="1" t="s">
        <v>64</v>
      </c>
      <c r="D5940" s="1">
        <v>1.0</v>
      </c>
      <c r="E5940" s="1">
        <v>10197.0</v>
      </c>
      <c r="F5940" s="10">
        <f t="shared" si="1"/>
        <v>1</v>
      </c>
      <c r="G5940" s="10">
        <f t="array" ref="G5940">index('Player ID'!C:C,match(E5940,'Player ID'!B:B,0))</f>
        <v>571946</v>
      </c>
    </row>
    <row r="5941">
      <c r="A5941" s="76">
        <v>45795.0</v>
      </c>
      <c r="B5941" s="1" t="s">
        <v>222</v>
      </c>
      <c r="C5941" s="1" t="s">
        <v>64</v>
      </c>
      <c r="D5941" s="1">
        <v>7.0</v>
      </c>
      <c r="E5941" s="1">
        <v>11156.0</v>
      </c>
      <c r="F5941" s="10">
        <f t="shared" si="1"/>
        <v>7</v>
      </c>
      <c r="G5941" s="10">
        <f t="array" ref="G5941">index('Player ID'!C:C,match(E5941,'Player ID'!B:B,0))</f>
        <v>518876</v>
      </c>
    </row>
    <row r="5942">
      <c r="A5942" s="76">
        <v>45795.0</v>
      </c>
      <c r="B5942" s="1" t="s">
        <v>288</v>
      </c>
      <c r="C5942" s="1" t="s">
        <v>75</v>
      </c>
      <c r="D5942" s="1">
        <v>1.0</v>
      </c>
      <c r="E5942" s="1">
        <v>18297.0</v>
      </c>
      <c r="F5942" s="10">
        <f t="shared" si="1"/>
        <v>1</v>
      </c>
      <c r="G5942" s="10">
        <f t="array" ref="G5942">index('Player ID'!C:C,match(E5942,'Player ID'!B:B,0))</f>
        <v>641755</v>
      </c>
    </row>
    <row r="5943">
      <c r="A5943" s="76">
        <v>45795.0</v>
      </c>
      <c r="B5943" s="1" t="s">
        <v>823</v>
      </c>
      <c r="C5943" s="1" t="s">
        <v>64</v>
      </c>
      <c r="D5943" s="1">
        <v>1.0</v>
      </c>
      <c r="E5943" s="1">
        <v>19876.0</v>
      </c>
      <c r="F5943" s="10">
        <f t="shared" si="1"/>
        <v>1</v>
      </c>
      <c r="G5943" s="10">
        <f t="array" ref="G5943">index('Player ID'!C:C,match(E5943,'Player ID'!B:B,0))</f>
        <v>656464</v>
      </c>
    </row>
    <row r="5944">
      <c r="A5944" s="76">
        <v>45795.0</v>
      </c>
      <c r="B5944" s="1" t="s">
        <v>305</v>
      </c>
      <c r="C5944" s="1" t="s">
        <v>75</v>
      </c>
      <c r="D5944" s="1">
        <v>2.1</v>
      </c>
      <c r="E5944" s="1">
        <v>22200.0</v>
      </c>
      <c r="F5944" s="10">
        <f t="shared" si="1"/>
        <v>2.333333333</v>
      </c>
      <c r="G5944" s="10">
        <f t="array" ref="G5944">index('Player ID'!C:C,match(E5944,'Player ID'!B:B,0))</f>
        <v>669020</v>
      </c>
    </row>
    <row r="5945">
      <c r="A5945" s="76">
        <v>45795.0</v>
      </c>
      <c r="B5945" s="1" t="s">
        <v>495</v>
      </c>
      <c r="C5945" s="1" t="s">
        <v>75</v>
      </c>
      <c r="D5945" s="1">
        <v>4.2</v>
      </c>
      <c r="E5945" s="1">
        <v>33482.0</v>
      </c>
      <c r="F5945" s="10">
        <f t="shared" si="1"/>
        <v>4.666666667</v>
      </c>
      <c r="G5945" s="10">
        <f t="array" ref="G5945">index('Player ID'!C:C,match(E5945,'Player ID'!B:B,0))</f>
        <v>801403</v>
      </c>
    </row>
    <row r="5946">
      <c r="A5946" s="76">
        <v>45795.0</v>
      </c>
      <c r="B5946" s="1" t="s">
        <v>595</v>
      </c>
      <c r="C5946" s="1" t="s">
        <v>33</v>
      </c>
      <c r="D5946" s="1">
        <v>1.0</v>
      </c>
      <c r="E5946" s="1">
        <v>6984.0</v>
      </c>
      <c r="F5946" s="10">
        <f t="shared" si="1"/>
        <v>1</v>
      </c>
      <c r="G5946" s="10">
        <f t="array" ref="G5946">index('Player ID'!C:C,match(E5946,'Player ID'!B:B,0))</f>
        <v>472610</v>
      </c>
    </row>
    <row r="5947">
      <c r="A5947" s="76">
        <v>45795.0</v>
      </c>
      <c r="B5947" s="1" t="s">
        <v>310</v>
      </c>
      <c r="C5947" s="1" t="s">
        <v>33</v>
      </c>
      <c r="D5947" s="1">
        <v>2.0</v>
      </c>
      <c r="E5947" s="1">
        <v>14706.0</v>
      </c>
      <c r="F5947" s="10">
        <f t="shared" si="1"/>
        <v>2</v>
      </c>
      <c r="G5947" s="10">
        <f t="array" ref="G5947">index('Player ID'!C:C,match(E5947,'Player ID'!B:B,0))</f>
        <v>607455</v>
      </c>
    </row>
    <row r="5948">
      <c r="A5948" s="76">
        <v>45795.0</v>
      </c>
      <c r="B5948" s="1" t="s">
        <v>503</v>
      </c>
      <c r="C5948" s="1" t="s">
        <v>33</v>
      </c>
      <c r="D5948" s="1">
        <v>2.0</v>
      </c>
      <c r="E5948" s="1">
        <v>15043.0</v>
      </c>
      <c r="F5948" s="10">
        <f t="shared" si="1"/>
        <v>2</v>
      </c>
      <c r="G5948" s="10">
        <f t="array" ref="G5948">index('Player ID'!C:C,match(E5948,'Player ID'!B:B,0))</f>
        <v>642152</v>
      </c>
    </row>
    <row r="5949">
      <c r="A5949" s="76">
        <v>45795.0</v>
      </c>
      <c r="B5949" s="1" t="s">
        <v>291</v>
      </c>
      <c r="C5949" s="1" t="s">
        <v>25</v>
      </c>
      <c r="D5949" s="1">
        <v>0.2</v>
      </c>
      <c r="E5949" s="1">
        <v>17968.0</v>
      </c>
      <c r="F5949" s="10">
        <f t="shared" si="1"/>
        <v>0.6666666667</v>
      </c>
      <c r="G5949" s="10">
        <f t="array" ref="G5949">index('Player ID'!C:C,match(E5949,'Player ID'!B:B,0))</f>
        <v>656271</v>
      </c>
    </row>
    <row r="5950">
      <c r="A5950" s="76">
        <v>45795.0</v>
      </c>
      <c r="B5950" s="1" t="s">
        <v>459</v>
      </c>
      <c r="C5950" s="1" t="s">
        <v>33</v>
      </c>
      <c r="D5950" s="1">
        <v>4.0</v>
      </c>
      <c r="E5950" s="1">
        <v>19388.0</v>
      </c>
      <c r="F5950" s="10">
        <f t="shared" si="1"/>
        <v>4</v>
      </c>
      <c r="G5950" s="10">
        <f t="array" ref="G5950">index('Player ID'!C:C,match(E5950,'Player ID'!B:B,0))</f>
        <v>664062</v>
      </c>
    </row>
    <row r="5951">
      <c r="A5951" s="76">
        <v>45795.0</v>
      </c>
      <c r="B5951" s="1" t="s">
        <v>722</v>
      </c>
      <c r="C5951" s="1" t="s">
        <v>25</v>
      </c>
      <c r="D5951" s="1">
        <v>2.2</v>
      </c>
      <c r="E5951" s="1">
        <v>19453.0</v>
      </c>
      <c r="F5951" s="10">
        <f t="shared" si="1"/>
        <v>2.666666667</v>
      </c>
      <c r="G5951" s="10">
        <f t="array" ref="G5951">index('Player ID'!C:C,match(E5951,'Player ID'!B:B,0))</f>
        <v>641312</v>
      </c>
    </row>
    <row r="5952">
      <c r="A5952" s="76">
        <v>45795.0</v>
      </c>
      <c r="B5952" s="1" t="s">
        <v>232</v>
      </c>
      <c r="C5952" s="1" t="s">
        <v>25</v>
      </c>
      <c r="D5952" s="1">
        <v>5.2</v>
      </c>
      <c r="E5952" s="1">
        <v>20633.0</v>
      </c>
      <c r="F5952" s="10">
        <f t="shared" si="1"/>
        <v>5.666666667</v>
      </c>
      <c r="G5952" s="10">
        <f t="array" ref="G5952">index('Player ID'!C:C,match(E5952,'Player ID'!B:B,0))</f>
        <v>579328</v>
      </c>
    </row>
    <row r="5953">
      <c r="A5953" s="76">
        <v>45795.0</v>
      </c>
      <c r="B5953" s="1" t="s">
        <v>404</v>
      </c>
      <c r="C5953" s="1" t="s">
        <v>26</v>
      </c>
      <c r="D5953" s="1">
        <v>1.0</v>
      </c>
      <c r="E5953" s="1">
        <v>14295.0</v>
      </c>
      <c r="F5953" s="10">
        <f t="shared" si="1"/>
        <v>1</v>
      </c>
      <c r="G5953" s="10">
        <f t="array" ref="G5953">index('Player ID'!C:C,match(E5953,'Player ID'!B:B,0))</f>
        <v>593974</v>
      </c>
    </row>
    <row r="5954">
      <c r="A5954" s="76">
        <v>45795.0</v>
      </c>
      <c r="B5954" s="1" t="s">
        <v>207</v>
      </c>
      <c r="C5954" s="1" t="s">
        <v>26</v>
      </c>
      <c r="D5954" s="1">
        <v>5.1</v>
      </c>
      <c r="E5954" s="1">
        <v>19853.0</v>
      </c>
      <c r="F5954" s="10">
        <f t="shared" si="1"/>
        <v>5.333333333</v>
      </c>
      <c r="G5954" s="10">
        <f t="array" ref="G5954">index('Player ID'!C:C,match(E5954,'Player ID'!B:B,0))</f>
        <v>650633</v>
      </c>
    </row>
    <row r="5955">
      <c r="A5955" s="76">
        <v>45795.0</v>
      </c>
      <c r="B5955" s="1" t="s">
        <v>157</v>
      </c>
      <c r="C5955" s="1" t="s">
        <v>37</v>
      </c>
      <c r="D5955" s="1">
        <v>1.0</v>
      </c>
      <c r="E5955" s="1">
        <v>20997.0</v>
      </c>
      <c r="F5955" s="10">
        <f t="shared" si="1"/>
        <v>1</v>
      </c>
      <c r="G5955" s="10">
        <f t="array" ref="G5955">index('Player ID'!C:C,match(E5955,'Player ID'!B:B,0))</f>
        <v>660825</v>
      </c>
    </row>
    <row r="5956">
      <c r="A5956" s="76">
        <v>45795.0</v>
      </c>
      <c r="B5956" s="1" t="s">
        <v>797</v>
      </c>
      <c r="C5956" s="1" t="s">
        <v>26</v>
      </c>
      <c r="D5956" s="1">
        <v>1.2</v>
      </c>
      <c r="E5956" s="1">
        <v>22253.0</v>
      </c>
      <c r="F5956" s="10">
        <f t="shared" si="1"/>
        <v>1.666666667</v>
      </c>
      <c r="G5956" s="10">
        <f t="array" ref="G5956">index('Player ID'!C:C,match(E5956,'Player ID'!B:B,0))</f>
        <v>669308</v>
      </c>
    </row>
    <row r="5957">
      <c r="A5957" s="76">
        <v>45795.0</v>
      </c>
      <c r="B5957" s="1" t="s">
        <v>101</v>
      </c>
      <c r="C5957" s="1" t="s">
        <v>37</v>
      </c>
      <c r="D5957" s="1">
        <v>1.0</v>
      </c>
      <c r="E5957" s="1">
        <v>22915.0</v>
      </c>
      <c r="F5957" s="10">
        <f t="shared" si="1"/>
        <v>1</v>
      </c>
      <c r="G5957" s="10">
        <f t="array" ref="G5957">index('Player ID'!C:C,match(E5957,'Player ID'!B:B,0))</f>
        <v>672841</v>
      </c>
    </row>
    <row r="5958">
      <c r="A5958" s="76">
        <v>45795.0</v>
      </c>
      <c r="B5958" s="1" t="s">
        <v>391</v>
      </c>
      <c r="C5958" s="1" t="s">
        <v>26</v>
      </c>
      <c r="D5958" s="1">
        <v>1.0</v>
      </c>
      <c r="E5958" s="1">
        <v>29628.0</v>
      </c>
      <c r="F5958" s="10">
        <f t="shared" si="1"/>
        <v>1</v>
      </c>
      <c r="G5958" s="10">
        <f t="array" ref="G5958">index('Player ID'!C:C,match(E5958,'Player ID'!B:B,0))</f>
        <v>689690</v>
      </c>
    </row>
    <row r="5959">
      <c r="A5959" s="76">
        <v>45795.0</v>
      </c>
      <c r="B5959" s="1" t="s">
        <v>90</v>
      </c>
      <c r="C5959" s="1" t="s">
        <v>37</v>
      </c>
      <c r="D5959" s="1">
        <v>7.0</v>
      </c>
      <c r="E5959" s="1">
        <v>30279.0</v>
      </c>
      <c r="F5959" s="10">
        <f t="shared" si="1"/>
        <v>7</v>
      </c>
      <c r="G5959" s="10">
        <f t="array" ref="G5959">index('Player ID'!C:C,match(E5959,'Player ID'!B:B,0))</f>
        <v>693433</v>
      </c>
    </row>
    <row r="5960">
      <c r="A5960" s="76">
        <v>45795.0</v>
      </c>
      <c r="B5960" s="1" t="s">
        <v>284</v>
      </c>
      <c r="C5960" s="1" t="s">
        <v>26</v>
      </c>
      <c r="D5960" s="1">
        <v>0.0</v>
      </c>
      <c r="E5960" s="1">
        <v>33826.0</v>
      </c>
      <c r="F5960" s="10">
        <f t="shared" si="1"/>
        <v>0</v>
      </c>
      <c r="G5960" s="10">
        <f t="array" ref="G5960">index('Player ID'!C:C,match(E5960,'Player ID'!B:B,0))</f>
        <v>673513</v>
      </c>
    </row>
    <row r="5961">
      <c r="A5961" s="76">
        <v>45795.0</v>
      </c>
      <c r="B5961" s="1" t="s">
        <v>646</v>
      </c>
      <c r="C5961" s="1" t="s">
        <v>51</v>
      </c>
      <c r="D5961" s="1">
        <v>1.0</v>
      </c>
      <c r="E5961" s="1">
        <v>6107.0</v>
      </c>
      <c r="F5961" s="10">
        <f t="shared" si="1"/>
        <v>1</v>
      </c>
      <c r="G5961" s="10">
        <f t="array" ref="G5961">index('Player ID'!C:C,match(E5961,'Player ID'!B:B,0))</f>
        <v>623211</v>
      </c>
    </row>
    <row r="5962">
      <c r="A5962" s="76">
        <v>45795.0</v>
      </c>
      <c r="B5962" s="1" t="s">
        <v>166</v>
      </c>
      <c r="C5962" s="1" t="s">
        <v>58</v>
      </c>
      <c r="D5962" s="1">
        <v>6.0</v>
      </c>
      <c r="E5962" s="1">
        <v>13743.0</v>
      </c>
      <c r="F5962" s="10">
        <f t="shared" si="1"/>
        <v>6</v>
      </c>
      <c r="G5962" s="10">
        <f t="array" ref="G5962">index('Player ID'!C:C,match(E5962,'Player ID'!B:B,0))</f>
        <v>608331</v>
      </c>
    </row>
    <row r="5963">
      <c r="A5963" s="76">
        <v>45795.0</v>
      </c>
      <c r="B5963" s="1" t="s">
        <v>114</v>
      </c>
      <c r="C5963" s="1" t="s">
        <v>58</v>
      </c>
      <c r="D5963" s="1">
        <v>1.0</v>
      </c>
      <c r="E5963" s="1">
        <v>15816.0</v>
      </c>
      <c r="F5963" s="10">
        <f t="shared" si="1"/>
        <v>1</v>
      </c>
      <c r="G5963" s="10">
        <f t="array" ref="G5963">index('Player ID'!C:C,match(E5963,'Player ID'!B:B,0))</f>
        <v>642207</v>
      </c>
    </row>
    <row r="5964">
      <c r="A5964" s="76">
        <v>45795.0</v>
      </c>
      <c r="B5964" s="1" t="s">
        <v>292</v>
      </c>
      <c r="C5964" s="1" t="s">
        <v>51</v>
      </c>
      <c r="D5964" s="1">
        <v>0.1</v>
      </c>
      <c r="E5964" s="1">
        <v>15947.0</v>
      </c>
      <c r="F5964" s="10">
        <f t="shared" si="1"/>
        <v>0.3333333333</v>
      </c>
      <c r="G5964" s="10">
        <f t="array" ref="G5964">index('Player ID'!C:C,match(E5964,'Player ID'!B:B,0))</f>
        <v>592773</v>
      </c>
    </row>
    <row r="5965">
      <c r="A5965" s="76">
        <v>45795.0</v>
      </c>
      <c r="B5965" s="1" t="s">
        <v>69</v>
      </c>
      <c r="C5965" s="1" t="s">
        <v>58</v>
      </c>
      <c r="D5965" s="1">
        <v>1.0</v>
      </c>
      <c r="E5965" s="1">
        <v>16814.0</v>
      </c>
      <c r="F5965" s="10">
        <f t="shared" si="1"/>
        <v>1</v>
      </c>
      <c r="G5965" s="10">
        <f t="array" ref="G5965">index('Player ID'!C:C,match(E5965,'Player ID'!B:B,0))</f>
        <v>657612</v>
      </c>
    </row>
    <row r="5966">
      <c r="A5966" s="76">
        <v>45795.0</v>
      </c>
      <c r="B5966" s="1" t="s">
        <v>825</v>
      </c>
      <c r="C5966" s="1" t="s">
        <v>51</v>
      </c>
      <c r="D5966" s="1">
        <v>0.2</v>
      </c>
      <c r="E5966" s="1">
        <v>17490.0</v>
      </c>
      <c r="F5966" s="10">
        <f t="shared" si="1"/>
        <v>0.6666666667</v>
      </c>
      <c r="G5966" s="10">
        <f t="array" ref="G5966">index('Player ID'!C:C,match(E5966,'Player ID'!B:B,0))</f>
        <v>650893</v>
      </c>
    </row>
    <row r="5967">
      <c r="A5967" s="76">
        <v>45795.0</v>
      </c>
      <c r="B5967" s="1" t="s">
        <v>831</v>
      </c>
      <c r="C5967" s="1" t="s">
        <v>58</v>
      </c>
      <c r="D5967" s="1">
        <v>1.0</v>
      </c>
      <c r="E5967" s="1">
        <v>19753.0</v>
      </c>
      <c r="F5967" s="10">
        <f t="shared" si="1"/>
        <v>1</v>
      </c>
      <c r="G5967" s="10">
        <f t="array" ref="G5967">index('Player ID'!C:C,match(E5967,'Player ID'!B:B,0))</f>
        <v>642528</v>
      </c>
    </row>
    <row r="5968">
      <c r="A5968" s="76">
        <v>45795.0</v>
      </c>
      <c r="B5968" s="1" t="s">
        <v>307</v>
      </c>
      <c r="C5968" s="1" t="s">
        <v>51</v>
      </c>
      <c r="D5968" s="1">
        <v>6.0</v>
      </c>
      <c r="E5968" s="1">
        <v>20302.0</v>
      </c>
      <c r="F5968" s="10">
        <f t="shared" si="1"/>
        <v>6</v>
      </c>
      <c r="G5968" s="10">
        <f t="array" ref="G5968">index('Player ID'!C:C,match(E5968,'Player ID'!B:B,0))</f>
        <v>656849</v>
      </c>
    </row>
    <row r="5969">
      <c r="A5969" s="76">
        <v>45796.0</v>
      </c>
      <c r="B5969" s="1" t="s">
        <v>417</v>
      </c>
      <c r="C5969" s="1" t="s">
        <v>66</v>
      </c>
      <c r="D5969" s="1">
        <v>1.0</v>
      </c>
      <c r="E5969" s="1">
        <v>13942.0</v>
      </c>
      <c r="F5969" s="10">
        <f t="shared" si="1"/>
        <v>1</v>
      </c>
      <c r="G5969" s="10">
        <f t="array" ref="G5969">index('Player ID'!C:C,match(E5969,'Player ID'!B:B,0))</f>
        <v>608718</v>
      </c>
    </row>
    <row r="5970">
      <c r="A5970" s="76">
        <v>45796.0</v>
      </c>
      <c r="B5970" s="1" t="s">
        <v>475</v>
      </c>
      <c r="C5970" s="1" t="s">
        <v>66</v>
      </c>
      <c r="D5970" s="1">
        <v>1.0</v>
      </c>
      <c r="E5970" s="1">
        <v>14993.0</v>
      </c>
      <c r="F5970" s="10">
        <f t="shared" si="1"/>
        <v>1</v>
      </c>
      <c r="G5970" s="10">
        <f t="array" ref="G5970">index('Player ID'!C:C,match(E5970,'Player ID'!B:B,0))</f>
        <v>605130</v>
      </c>
    </row>
    <row r="5971">
      <c r="A5971" s="76">
        <v>45796.0</v>
      </c>
      <c r="B5971" s="1" t="s">
        <v>423</v>
      </c>
      <c r="C5971" s="1" t="s">
        <v>60</v>
      </c>
      <c r="D5971" s="1">
        <v>6.0</v>
      </c>
      <c r="E5971" s="1">
        <v>17594.0</v>
      </c>
      <c r="F5971" s="10">
        <f t="shared" si="1"/>
        <v>6</v>
      </c>
      <c r="G5971" s="10">
        <f t="array" ref="G5971">index('Player ID'!C:C,match(E5971,'Player ID'!B:B,0))</f>
        <v>656605</v>
      </c>
    </row>
    <row r="5972">
      <c r="A5972" s="76">
        <v>45796.0</v>
      </c>
      <c r="B5972" s="1" t="s">
        <v>107</v>
      </c>
      <c r="C5972" s="1" t="s">
        <v>60</v>
      </c>
      <c r="D5972" s="1">
        <v>1.0</v>
      </c>
      <c r="E5972" s="1">
        <v>19349.0</v>
      </c>
      <c r="F5972" s="10">
        <f t="shared" si="1"/>
        <v>1</v>
      </c>
      <c r="G5972" s="10">
        <f t="array" ref="G5972">index('Player ID'!C:C,match(E5972,'Player ID'!B:B,0))</f>
        <v>657571</v>
      </c>
    </row>
    <row r="5973">
      <c r="A5973" s="76">
        <v>45796.0</v>
      </c>
      <c r="B5973" s="1" t="s">
        <v>183</v>
      </c>
      <c r="C5973" s="1" t="s">
        <v>60</v>
      </c>
      <c r="D5973" s="1">
        <v>0.2</v>
      </c>
      <c r="E5973" s="1">
        <v>19569.0</v>
      </c>
      <c r="F5973" s="10">
        <f t="shared" si="1"/>
        <v>0.6666666667</v>
      </c>
      <c r="G5973" s="10">
        <f t="array" ref="G5973">index('Player ID'!C:C,match(E5973,'Player ID'!B:B,0))</f>
        <v>670280</v>
      </c>
    </row>
    <row r="5974">
      <c r="A5974" s="76">
        <v>45796.0</v>
      </c>
      <c r="B5974" s="1" t="s">
        <v>663</v>
      </c>
      <c r="C5974" s="1" t="s">
        <v>60</v>
      </c>
      <c r="D5974" s="1">
        <v>1.1</v>
      </c>
      <c r="E5974" s="1">
        <v>22361.0</v>
      </c>
      <c r="F5974" s="10">
        <f t="shared" si="1"/>
        <v>1.333333333</v>
      </c>
      <c r="G5974" s="10">
        <f t="array" ref="G5974">index('Player ID'!C:C,match(E5974,'Player ID'!B:B,0))</f>
        <v>670059</v>
      </c>
    </row>
    <row r="5975">
      <c r="A5975" s="76">
        <v>45796.0</v>
      </c>
      <c r="B5975" s="1" t="s">
        <v>518</v>
      </c>
      <c r="C5975" s="1" t="s">
        <v>66</v>
      </c>
      <c r="D5975" s="1">
        <v>1.0</v>
      </c>
      <c r="E5975" s="1">
        <v>24581.0</v>
      </c>
      <c r="F5975" s="10">
        <f t="shared" si="1"/>
        <v>1</v>
      </c>
      <c r="G5975" s="10">
        <f t="array" ref="G5975">index('Player ID'!C:C,match(E5975,'Player ID'!B:B,0))</f>
        <v>680689</v>
      </c>
    </row>
    <row r="5976">
      <c r="A5976" s="76">
        <v>45796.0</v>
      </c>
      <c r="B5976" s="1" t="s">
        <v>194</v>
      </c>
      <c r="C5976" s="1" t="s">
        <v>66</v>
      </c>
      <c r="D5976" s="1">
        <v>6.0</v>
      </c>
      <c r="E5976" s="1">
        <v>26378.0</v>
      </c>
      <c r="F5976" s="10">
        <f t="shared" si="1"/>
        <v>6</v>
      </c>
      <c r="G5976" s="10">
        <f t="array" ref="G5976">index('Player ID'!C:C,match(E5976,'Player ID'!B:B,0))</f>
        <v>666157</v>
      </c>
    </row>
    <row r="5977">
      <c r="A5977" s="76">
        <v>45796.0</v>
      </c>
      <c r="B5977" s="1" t="s">
        <v>460</v>
      </c>
      <c r="C5977" s="1" t="s">
        <v>34</v>
      </c>
      <c r="D5977" s="1">
        <v>1.0</v>
      </c>
      <c r="E5977" s="1">
        <v>7005.0</v>
      </c>
      <c r="F5977" s="10">
        <f t="shared" si="1"/>
        <v>1</v>
      </c>
      <c r="G5977" s="10">
        <f t="array" ref="G5977">index('Player ID'!C:C,match(E5977,'Player ID'!B:B,0))</f>
        <v>519151</v>
      </c>
    </row>
    <row r="5978">
      <c r="A5978" s="76">
        <v>45796.0</v>
      </c>
      <c r="B5978" s="1" t="s">
        <v>71</v>
      </c>
      <c r="C5978" s="1" t="s">
        <v>34</v>
      </c>
      <c r="D5978" s="1">
        <v>1.1</v>
      </c>
      <c r="E5978" s="1">
        <v>10078.0</v>
      </c>
      <c r="F5978" s="10">
        <f t="shared" si="1"/>
        <v>1.333333333</v>
      </c>
      <c r="G5978" s="10">
        <f t="array" ref="G5978">index('Player ID'!C:C,match(E5978,'Player ID'!B:B,0))</f>
        <v>573204</v>
      </c>
    </row>
    <row r="5979">
      <c r="A5979" s="76">
        <v>45796.0</v>
      </c>
      <c r="B5979" s="1" t="s">
        <v>203</v>
      </c>
      <c r="C5979" s="1" t="s">
        <v>34</v>
      </c>
      <c r="D5979" s="1">
        <v>1.0</v>
      </c>
      <c r="E5979" s="1">
        <v>11426.0</v>
      </c>
      <c r="F5979" s="10">
        <f t="shared" si="1"/>
        <v>1</v>
      </c>
      <c r="G5979" s="10">
        <f t="array" ref="G5979">index('Player ID'!C:C,match(E5979,'Player ID'!B:B,0))</f>
        <v>519141</v>
      </c>
    </row>
    <row r="5980">
      <c r="A5980" s="76">
        <v>45796.0</v>
      </c>
      <c r="B5980" s="1" t="s">
        <v>661</v>
      </c>
      <c r="C5980" s="1" t="s">
        <v>36</v>
      </c>
      <c r="D5980" s="1">
        <v>0.1</v>
      </c>
      <c r="E5980" s="1">
        <v>16300.0</v>
      </c>
      <c r="F5980" s="10">
        <f t="shared" si="1"/>
        <v>0.3333333333</v>
      </c>
      <c r="G5980" s="10">
        <f t="array" ref="G5980">index('Player ID'!C:C,match(E5980,'Player ID'!B:B,0))</f>
        <v>622786</v>
      </c>
    </row>
    <row r="5981">
      <c r="A5981" s="76">
        <v>45796.0</v>
      </c>
      <c r="B5981" s="1" t="s">
        <v>171</v>
      </c>
      <c r="C5981" s="1" t="s">
        <v>36</v>
      </c>
      <c r="D5981" s="1">
        <v>5.0</v>
      </c>
      <c r="E5981" s="1">
        <v>21690.0</v>
      </c>
      <c r="F5981" s="10">
        <f t="shared" si="1"/>
        <v>5</v>
      </c>
      <c r="G5981" s="10">
        <f t="array" ref="G5981">index('Player ID'!C:C,match(E5981,'Player ID'!B:B,0))</f>
        <v>665795</v>
      </c>
    </row>
    <row r="5982">
      <c r="A5982" s="76">
        <v>45796.0</v>
      </c>
      <c r="B5982" s="1" t="s">
        <v>341</v>
      </c>
      <c r="C5982" s="1" t="s">
        <v>34</v>
      </c>
      <c r="D5982" s="1">
        <v>4.2</v>
      </c>
      <c r="E5982" s="1">
        <v>23590.0</v>
      </c>
      <c r="F5982" s="10">
        <f t="shared" si="1"/>
        <v>4.666666667</v>
      </c>
      <c r="G5982" s="10">
        <f t="array" ref="G5982">index('Player ID'!C:C,match(E5982,'Player ID'!B:B,0))</f>
        <v>676962</v>
      </c>
    </row>
    <row r="5983">
      <c r="A5983" s="76">
        <v>45796.0</v>
      </c>
      <c r="B5983" s="1" t="s">
        <v>322</v>
      </c>
      <c r="C5983" s="1" t="s">
        <v>36</v>
      </c>
      <c r="D5983" s="1">
        <v>3.0</v>
      </c>
      <c r="E5983" s="1">
        <v>23899.0</v>
      </c>
      <c r="F5983" s="10">
        <f t="shared" si="1"/>
        <v>3</v>
      </c>
      <c r="G5983" s="10">
        <f t="array" ref="G5983">index('Player ID'!C:C,match(E5983,'Player ID'!B:B,0))</f>
        <v>678368</v>
      </c>
    </row>
    <row r="5984">
      <c r="A5984" s="76">
        <v>45796.0</v>
      </c>
      <c r="B5984" s="1" t="s">
        <v>123</v>
      </c>
      <c r="C5984" s="1" t="s">
        <v>36</v>
      </c>
      <c r="D5984" s="1">
        <v>0.2</v>
      </c>
      <c r="E5984" s="1">
        <v>24094.0</v>
      </c>
      <c r="F5984" s="10">
        <f t="shared" si="1"/>
        <v>0.6666666667</v>
      </c>
      <c r="G5984" s="10">
        <f t="array" ref="G5984">index('Player ID'!C:C,match(E5984,'Player ID'!B:B,0))</f>
        <v>678692</v>
      </c>
    </row>
    <row r="5985">
      <c r="A5985" s="76">
        <v>45796.0</v>
      </c>
      <c r="B5985" s="1" t="s">
        <v>167</v>
      </c>
      <c r="C5985" s="1" t="s">
        <v>34</v>
      </c>
      <c r="D5985" s="1">
        <v>0.2</v>
      </c>
      <c r="E5985" s="1">
        <v>27914.0</v>
      </c>
      <c r="F5985" s="10">
        <f t="shared" si="1"/>
        <v>0.6666666667</v>
      </c>
      <c r="G5985" s="10">
        <f t="array" ref="G5985">index('Player ID'!C:C,match(E5985,'Player ID'!B:B,0))</f>
        <v>694037</v>
      </c>
    </row>
    <row r="5986">
      <c r="A5986" s="76">
        <v>45796.0</v>
      </c>
      <c r="B5986" s="1" t="s">
        <v>230</v>
      </c>
      <c r="C5986" s="1" t="s">
        <v>22</v>
      </c>
      <c r="D5986" s="1">
        <v>1.0</v>
      </c>
      <c r="E5986" s="1">
        <v>4301.0</v>
      </c>
      <c r="F5986" s="10">
        <f t="shared" si="1"/>
        <v>1</v>
      </c>
      <c r="G5986" s="10">
        <f t="array" ref="G5986">index('Player ID'!C:C,match(E5986,'Player ID'!B:B,0))</f>
        <v>458677</v>
      </c>
    </row>
    <row r="5987">
      <c r="A5987" s="76">
        <v>45796.0</v>
      </c>
      <c r="B5987" s="1" t="s">
        <v>41</v>
      </c>
      <c r="C5987" s="1" t="s">
        <v>22</v>
      </c>
      <c r="D5987" s="1">
        <v>1.0</v>
      </c>
      <c r="E5987" s="1">
        <v>10233.0</v>
      </c>
      <c r="F5987" s="10">
        <f t="shared" si="1"/>
        <v>1</v>
      </c>
      <c r="G5987" s="10">
        <f t="array" ref="G5987">index('Player ID'!C:C,match(E5987,'Player ID'!B:B,0))</f>
        <v>547973</v>
      </c>
    </row>
    <row r="5988">
      <c r="A5988" s="76">
        <v>45796.0</v>
      </c>
      <c r="B5988" s="1" t="s">
        <v>826</v>
      </c>
      <c r="C5988" s="1" t="s">
        <v>51</v>
      </c>
      <c r="D5988" s="1">
        <v>1.0</v>
      </c>
      <c r="E5988" s="1">
        <v>17169.0</v>
      </c>
      <c r="F5988" s="10">
        <f t="shared" si="1"/>
        <v>1</v>
      </c>
      <c r="G5988" s="10">
        <f t="array" ref="G5988">index('Player ID'!C:C,match(E5988,'Player ID'!B:B,0))</f>
        <v>620454</v>
      </c>
    </row>
    <row r="5989">
      <c r="A5989" s="76">
        <v>45796.0</v>
      </c>
      <c r="B5989" s="1" t="s">
        <v>406</v>
      </c>
      <c r="C5989" s="1" t="s">
        <v>22</v>
      </c>
      <c r="D5989" s="1">
        <v>1.0</v>
      </c>
      <c r="E5989" s="1">
        <v>20375.0</v>
      </c>
      <c r="F5989" s="10">
        <f t="shared" si="1"/>
        <v>1</v>
      </c>
      <c r="G5989" s="10">
        <f t="array" ref="G5989">index('Player ID'!C:C,match(E5989,'Player ID'!B:B,0))</f>
        <v>669711</v>
      </c>
    </row>
    <row r="5990">
      <c r="A5990" s="76">
        <v>45796.0</v>
      </c>
      <c r="B5990" s="1" t="s">
        <v>712</v>
      </c>
      <c r="C5990" s="1" t="s">
        <v>51</v>
      </c>
      <c r="D5990" s="1">
        <v>1.0</v>
      </c>
      <c r="E5990" s="1">
        <v>23313.0</v>
      </c>
      <c r="F5990" s="10">
        <f t="shared" si="1"/>
        <v>1</v>
      </c>
      <c r="G5990" s="10">
        <f t="array" ref="G5990">index('Player ID'!C:C,match(E5990,'Player ID'!B:B,0))</f>
        <v>676130</v>
      </c>
    </row>
    <row r="5991">
      <c r="A5991" s="76">
        <v>45796.0</v>
      </c>
      <c r="B5991" s="1" t="s">
        <v>645</v>
      </c>
      <c r="C5991" s="1" t="s">
        <v>22</v>
      </c>
      <c r="D5991" s="1">
        <v>1.1</v>
      </c>
      <c r="E5991" s="1">
        <v>25648.0</v>
      </c>
      <c r="F5991" s="10">
        <f t="shared" si="1"/>
        <v>1.333333333</v>
      </c>
      <c r="G5991" s="10">
        <f t="array" ref="G5991">index('Player ID'!C:C,match(E5991,'Player ID'!B:B,0))</f>
        <v>686580</v>
      </c>
    </row>
    <row r="5992">
      <c r="A5992" s="76">
        <v>45796.0</v>
      </c>
      <c r="B5992" s="1" t="s">
        <v>143</v>
      </c>
      <c r="C5992" s="1" t="s">
        <v>22</v>
      </c>
      <c r="D5992" s="1">
        <v>4.2</v>
      </c>
      <c r="E5992" s="1">
        <v>30240.0</v>
      </c>
      <c r="F5992" s="10">
        <f t="shared" si="1"/>
        <v>4.666666667</v>
      </c>
      <c r="G5992" s="10">
        <f t="array" ref="G5992">index('Player ID'!C:C,match(E5992,'Player ID'!B:B,0))</f>
        <v>690928</v>
      </c>
    </row>
    <row r="5993">
      <c r="A5993" s="76">
        <v>45796.0</v>
      </c>
      <c r="B5993" s="1" t="s">
        <v>461</v>
      </c>
      <c r="C5993" s="1" t="s">
        <v>51</v>
      </c>
      <c r="D5993" s="1">
        <v>6.0</v>
      </c>
      <c r="E5993" s="1">
        <v>31838.0</v>
      </c>
      <c r="F5993" s="10">
        <f t="shared" si="1"/>
        <v>6</v>
      </c>
      <c r="G5993" s="10">
        <f t="array" ref="G5993">index('Player ID'!C:C,match(E5993,'Player ID'!B:B,0))</f>
        <v>673540</v>
      </c>
    </row>
    <row r="5994">
      <c r="A5994" s="76">
        <v>45796.0</v>
      </c>
      <c r="B5994" s="1" t="s">
        <v>59</v>
      </c>
      <c r="C5994" s="1" t="s">
        <v>39</v>
      </c>
      <c r="D5994" s="1">
        <v>1.0</v>
      </c>
      <c r="E5994" s="1">
        <v>14212.0</v>
      </c>
      <c r="F5994" s="10">
        <f t="shared" si="1"/>
        <v>1</v>
      </c>
      <c r="G5994" s="10">
        <f t="array" ref="G5994">index('Player ID'!C:C,match(E5994,'Player ID'!B:B,0))</f>
        <v>623352</v>
      </c>
    </row>
    <row r="5995">
      <c r="A5995" s="76">
        <v>45796.0</v>
      </c>
      <c r="B5995" s="1" t="s">
        <v>210</v>
      </c>
      <c r="C5995" s="1" t="s">
        <v>39</v>
      </c>
      <c r="D5995" s="1">
        <v>1.1</v>
      </c>
      <c r="E5995" s="1">
        <v>16609.0</v>
      </c>
      <c r="F5995" s="10">
        <f t="shared" si="1"/>
        <v>1.333333333</v>
      </c>
      <c r="G5995" s="10">
        <f t="array" ref="G5995">index('Player ID'!C:C,match(E5995,'Player ID'!B:B,0))</f>
        <v>650556</v>
      </c>
    </row>
    <row r="5996">
      <c r="A5996" s="76">
        <v>45796.0</v>
      </c>
      <c r="B5996" s="1" t="s">
        <v>705</v>
      </c>
      <c r="C5996" s="1" t="s">
        <v>54</v>
      </c>
      <c r="D5996" s="1">
        <v>1.0</v>
      </c>
      <c r="E5996" s="1">
        <v>20794.0</v>
      </c>
      <c r="F5996" s="10">
        <f t="shared" si="1"/>
        <v>1</v>
      </c>
      <c r="G5996" s="10">
        <f t="array" ref="G5996">index('Player ID'!C:C,match(E5996,'Player ID'!B:B,0))</f>
        <v>655889</v>
      </c>
    </row>
    <row r="5997">
      <c r="A5997" s="76">
        <v>45796.0</v>
      </c>
      <c r="B5997" s="1" t="s">
        <v>76</v>
      </c>
      <c r="C5997" s="1" t="s">
        <v>39</v>
      </c>
      <c r="D5997" s="1">
        <v>1.1</v>
      </c>
      <c r="E5997" s="1">
        <v>25890.0</v>
      </c>
      <c r="F5997" s="10">
        <f t="shared" si="1"/>
        <v>1.333333333</v>
      </c>
      <c r="G5997" s="10">
        <f t="array" ref="G5997">index('Player ID'!C:C,match(E5997,'Player ID'!B:B,0))</f>
        <v>687911</v>
      </c>
    </row>
    <row r="5998">
      <c r="A5998" s="76">
        <v>45796.0</v>
      </c>
      <c r="B5998" s="1" t="s">
        <v>129</v>
      </c>
      <c r="C5998" s="1" t="s">
        <v>54</v>
      </c>
      <c r="D5998" s="1">
        <v>6.0</v>
      </c>
      <c r="E5998" s="1">
        <v>26221.0</v>
      </c>
      <c r="F5998" s="10">
        <f t="shared" si="1"/>
        <v>6</v>
      </c>
      <c r="G5998" s="10">
        <f t="array" ref="G5998">index('Player ID'!C:C,match(E5998,'Player ID'!B:B,0))</f>
        <v>686752</v>
      </c>
    </row>
    <row r="5999">
      <c r="A5999" s="76">
        <v>45796.0</v>
      </c>
      <c r="B5999" s="1" t="s">
        <v>257</v>
      </c>
      <c r="C5999" s="1" t="s">
        <v>54</v>
      </c>
      <c r="D5999" s="1">
        <v>1.0</v>
      </c>
      <c r="E5999" s="1">
        <v>27626.0</v>
      </c>
      <c r="F5999" s="10">
        <f t="shared" si="1"/>
        <v>1</v>
      </c>
      <c r="G5999" s="10">
        <f t="array" ref="G5999">index('Player ID'!C:C,match(E5999,'Player ID'!B:B,0))</f>
        <v>679358</v>
      </c>
    </row>
    <row r="6000">
      <c r="A6000" s="76">
        <v>45796.0</v>
      </c>
      <c r="B6000" s="1" t="s">
        <v>334</v>
      </c>
      <c r="C6000" s="1" t="s">
        <v>54</v>
      </c>
      <c r="D6000" s="1">
        <v>1.0</v>
      </c>
      <c r="E6000" s="1">
        <v>29770.0</v>
      </c>
      <c r="F6000" s="10">
        <f t="shared" si="1"/>
        <v>1</v>
      </c>
      <c r="G6000" s="10">
        <f t="array" ref="G6000">index('Player ID'!C:C,match(E6000,'Player ID'!B:B,0))</f>
        <v>682254</v>
      </c>
    </row>
    <row r="6001">
      <c r="A6001" s="76">
        <v>45796.0</v>
      </c>
      <c r="B6001" s="1" t="s">
        <v>197</v>
      </c>
      <c r="C6001" s="1" t="s">
        <v>39</v>
      </c>
      <c r="D6001" s="1">
        <v>5.1</v>
      </c>
      <c r="E6001" s="1">
        <v>31312.0</v>
      </c>
      <c r="F6001" s="10">
        <f t="shared" si="1"/>
        <v>5.333333333</v>
      </c>
      <c r="G6001" s="10">
        <f t="array" ref="G6001">index('Player ID'!C:C,match(E6001,'Player ID'!B:B,0))</f>
        <v>676467</v>
      </c>
    </row>
    <row r="6002">
      <c r="A6002" s="76">
        <v>45796.0</v>
      </c>
      <c r="B6002" s="1" t="s">
        <v>724</v>
      </c>
      <c r="C6002" s="1" t="s">
        <v>14</v>
      </c>
      <c r="D6002" s="1">
        <v>1.0</v>
      </c>
      <c r="E6002" s="1">
        <v>15094.0</v>
      </c>
      <c r="F6002" s="10">
        <f t="shared" si="1"/>
        <v>1</v>
      </c>
      <c r="G6002" s="10">
        <f t="array" ref="G6002">index('Player ID'!C:C,match(E6002,'Player ID'!B:B,0))</f>
        <v>642239</v>
      </c>
    </row>
    <row r="6003">
      <c r="A6003" s="76">
        <v>45796.0</v>
      </c>
      <c r="B6003" s="1" t="s">
        <v>13</v>
      </c>
      <c r="C6003" s="1" t="s">
        <v>14</v>
      </c>
      <c r="D6003" s="1">
        <v>1.0</v>
      </c>
      <c r="E6003" s="1">
        <v>17722.0</v>
      </c>
      <c r="F6003" s="10">
        <f t="shared" si="1"/>
        <v>1</v>
      </c>
      <c r="G6003" s="10">
        <f t="array" ref="G6003">index('Player ID'!C:C,match(E6003,'Player ID'!B:B,0))</f>
        <v>656730</v>
      </c>
    </row>
    <row r="6004">
      <c r="A6004" s="76">
        <v>45796.0</v>
      </c>
      <c r="B6004" s="1" t="s">
        <v>639</v>
      </c>
      <c r="C6004" s="1" t="s">
        <v>68</v>
      </c>
      <c r="D6004" s="1">
        <v>0.2</v>
      </c>
      <c r="E6004" s="1">
        <v>19249.0</v>
      </c>
      <c r="F6004" s="10">
        <f t="shared" si="1"/>
        <v>0.6666666667</v>
      </c>
      <c r="G6004" s="10">
        <f t="array" ref="G6004">index('Player ID'!C:C,match(E6004,'Player ID'!B:B,0))</f>
        <v>622554</v>
      </c>
    </row>
    <row r="6005">
      <c r="A6005" s="76">
        <v>45796.0</v>
      </c>
      <c r="B6005" s="1" t="s">
        <v>294</v>
      </c>
      <c r="C6005" s="1" t="s">
        <v>68</v>
      </c>
      <c r="D6005" s="1">
        <v>5.1</v>
      </c>
      <c r="E6005" s="1">
        <v>19350.0</v>
      </c>
      <c r="F6005" s="10">
        <f t="shared" si="1"/>
        <v>5.333333333</v>
      </c>
      <c r="G6005" s="10">
        <f t="array" ref="G6005">index('Player ID'!C:C,match(E6005,'Player ID'!B:B,0))</f>
        <v>665152</v>
      </c>
    </row>
    <row r="6006">
      <c r="A6006" s="76">
        <v>45796.0</v>
      </c>
      <c r="B6006" s="1" t="s">
        <v>433</v>
      </c>
      <c r="C6006" s="1" t="s">
        <v>68</v>
      </c>
      <c r="D6006" s="1">
        <v>1.0</v>
      </c>
      <c r="E6006" s="1">
        <v>19677.0</v>
      </c>
      <c r="F6006" s="10">
        <f t="shared" si="1"/>
        <v>1</v>
      </c>
      <c r="G6006" s="10">
        <f t="array" ref="G6006">index('Player ID'!C:C,match(E6006,'Player ID'!B:B,0))</f>
        <v>642397</v>
      </c>
    </row>
    <row r="6007">
      <c r="A6007" s="76">
        <v>45796.0</v>
      </c>
      <c r="B6007" s="1" t="s">
        <v>279</v>
      </c>
      <c r="C6007" s="1" t="s">
        <v>14</v>
      </c>
      <c r="D6007" s="1">
        <v>1.0</v>
      </c>
      <c r="E6007" s="1">
        <v>25327.0</v>
      </c>
      <c r="F6007" s="10">
        <f t="shared" si="1"/>
        <v>1</v>
      </c>
      <c r="G6007" s="10">
        <f t="array" ref="G6007">index('Player ID'!C:C,match(E6007,'Player ID'!B:B,0))</f>
        <v>682842</v>
      </c>
    </row>
    <row r="6008">
      <c r="A6008" s="76">
        <v>45796.0</v>
      </c>
      <c r="B6008" s="1" t="s">
        <v>112</v>
      </c>
      <c r="C6008" s="1" t="s">
        <v>14</v>
      </c>
      <c r="D6008" s="1">
        <v>0.1</v>
      </c>
      <c r="E6008" s="1">
        <v>25376.0</v>
      </c>
      <c r="F6008" s="10">
        <f t="shared" si="1"/>
        <v>0.3333333333</v>
      </c>
      <c r="G6008" s="10">
        <f t="array" ref="G6008">index('Player ID'!C:C,match(E6008,'Player ID'!B:B,0))</f>
        <v>683232</v>
      </c>
    </row>
    <row r="6009">
      <c r="A6009" s="76">
        <v>45796.0</v>
      </c>
      <c r="B6009" s="1" t="s">
        <v>235</v>
      </c>
      <c r="C6009" s="1" t="s">
        <v>68</v>
      </c>
      <c r="D6009" s="1">
        <v>1.0</v>
      </c>
      <c r="E6009" s="1">
        <v>25911.0</v>
      </c>
      <c r="F6009" s="10">
        <f t="shared" si="1"/>
        <v>1</v>
      </c>
      <c r="G6009" s="10">
        <f t="array" ref="G6009">index('Player ID'!C:C,match(E6009,'Player ID'!B:B,0))</f>
        <v>666974</v>
      </c>
    </row>
    <row r="6010">
      <c r="A6010" s="76">
        <v>45796.0</v>
      </c>
      <c r="B6010" s="1" t="s">
        <v>450</v>
      </c>
      <c r="C6010" s="1" t="s">
        <v>14</v>
      </c>
      <c r="D6010" s="1">
        <v>5.1</v>
      </c>
      <c r="E6010" s="1">
        <v>25977.0</v>
      </c>
      <c r="F6010" s="10">
        <f t="shared" si="1"/>
        <v>5.333333333</v>
      </c>
      <c r="G6010" s="10">
        <f t="array" ref="G6010">index('Player ID'!C:C,match(E6010,'Player ID'!B:B,0))</f>
        <v>682990</v>
      </c>
    </row>
    <row r="6011">
      <c r="A6011" s="76">
        <v>45796.0</v>
      </c>
      <c r="B6011" s="1" t="s">
        <v>418</v>
      </c>
      <c r="C6011" s="1" t="s">
        <v>14</v>
      </c>
      <c r="D6011" s="1">
        <v>0.1</v>
      </c>
      <c r="E6011" s="1">
        <v>27517.0</v>
      </c>
      <c r="F6011" s="10">
        <f t="shared" si="1"/>
        <v>0.3333333333</v>
      </c>
      <c r="G6011" s="10">
        <f t="array" ref="G6011">index('Player ID'!C:C,match(E6011,'Player ID'!B:B,0))</f>
        <v>657649</v>
      </c>
    </row>
    <row r="6012">
      <c r="A6012" s="76">
        <v>45796.0</v>
      </c>
      <c r="B6012" s="1" t="s">
        <v>117</v>
      </c>
      <c r="C6012" s="1" t="s">
        <v>70</v>
      </c>
      <c r="D6012" s="1">
        <v>1.2</v>
      </c>
      <c r="E6012" s="1">
        <v>13619.0</v>
      </c>
      <c r="F6012" s="10">
        <f t="shared" si="1"/>
        <v>1.666666667</v>
      </c>
      <c r="G6012" s="10">
        <f t="array" ref="G6012">index('Player ID'!C:C,match(E6012,'Player ID'!B:B,0))</f>
        <v>596001</v>
      </c>
    </row>
    <row r="6013">
      <c r="A6013" s="76">
        <v>45796.0</v>
      </c>
      <c r="B6013" s="1" t="s">
        <v>259</v>
      </c>
      <c r="C6013" s="1" t="s">
        <v>70</v>
      </c>
      <c r="D6013" s="1">
        <v>1.0</v>
      </c>
      <c r="E6013" s="1">
        <v>18694.0</v>
      </c>
      <c r="F6013" s="10">
        <f t="shared" si="1"/>
        <v>1</v>
      </c>
      <c r="G6013" s="10">
        <f t="array" ref="G6013">index('Player ID'!C:C,match(E6013,'Player ID'!B:B,0))</f>
        <v>663465</v>
      </c>
    </row>
    <row r="6014">
      <c r="A6014" s="76">
        <v>45796.0</v>
      </c>
      <c r="B6014" s="1" t="s">
        <v>122</v>
      </c>
      <c r="C6014" s="1" t="s">
        <v>16</v>
      </c>
      <c r="D6014" s="1">
        <v>1.0</v>
      </c>
      <c r="E6014" s="1">
        <v>21029.0</v>
      </c>
      <c r="F6014" s="10">
        <f t="shared" si="1"/>
        <v>1</v>
      </c>
      <c r="G6014" s="10">
        <f t="array" ref="G6014">index('Player ID'!C:C,match(E6014,'Player ID'!B:B,0))</f>
        <v>661395</v>
      </c>
    </row>
    <row r="6015">
      <c r="A6015" s="76">
        <v>45796.0</v>
      </c>
      <c r="B6015" s="1" t="s">
        <v>173</v>
      </c>
      <c r="C6015" s="1" t="s">
        <v>16</v>
      </c>
      <c r="D6015" s="1">
        <v>3.0</v>
      </c>
      <c r="E6015" s="1">
        <v>21224.0</v>
      </c>
      <c r="F6015" s="10">
        <f t="shared" si="1"/>
        <v>3</v>
      </c>
      <c r="G6015" s="10">
        <f t="array" ref="G6015">index('Player ID'!C:C,match(E6015,'Player ID'!B:B,0))</f>
        <v>641927</v>
      </c>
    </row>
    <row r="6016">
      <c r="A6016" s="76">
        <v>45798.0</v>
      </c>
      <c r="B6016" s="1" t="s">
        <v>150</v>
      </c>
      <c r="C6016" s="1" t="s">
        <v>16</v>
      </c>
      <c r="D6016" s="1">
        <v>5.0</v>
      </c>
      <c r="E6016" s="1">
        <v>21390.0</v>
      </c>
      <c r="F6016" s="10">
        <f t="shared" si="1"/>
        <v>5</v>
      </c>
      <c r="G6016" s="10">
        <f t="array" ref="G6016">index('Player ID'!C:C,match(E6016,'Player ID'!B:B,0))</f>
        <v>657746</v>
      </c>
    </row>
    <row r="6017">
      <c r="A6017" s="76">
        <v>45796.0</v>
      </c>
      <c r="B6017" s="1" t="s">
        <v>398</v>
      </c>
      <c r="C6017" s="1" t="s">
        <v>70</v>
      </c>
      <c r="D6017" s="1">
        <v>2.1</v>
      </c>
      <c r="E6017" s="1">
        <v>23335.0</v>
      </c>
      <c r="F6017" s="10">
        <f t="shared" si="1"/>
        <v>2.333333333</v>
      </c>
      <c r="G6017" s="10">
        <f t="array" ref="G6017">index('Player ID'!C:C,match(E6017,'Player ID'!B:B,0))</f>
        <v>676282</v>
      </c>
    </row>
    <row r="6018">
      <c r="A6018" s="76">
        <v>45796.0</v>
      </c>
      <c r="B6018" s="1" t="s">
        <v>372</v>
      </c>
      <c r="C6018" s="1" t="s">
        <v>70</v>
      </c>
      <c r="D6018" s="1">
        <v>3.0</v>
      </c>
      <c r="E6018" s="1">
        <v>27589.0</v>
      </c>
      <c r="F6018" s="10">
        <f t="shared" si="1"/>
        <v>3</v>
      </c>
      <c r="G6018" s="10">
        <f t="array" ref="G6018">index('Player ID'!C:C,match(E6018,'Player ID'!B:B,0))</f>
        <v>671106</v>
      </c>
    </row>
    <row r="6019">
      <c r="A6019" s="76">
        <v>45796.0</v>
      </c>
      <c r="B6019" s="1" t="s">
        <v>135</v>
      </c>
      <c r="C6019" s="1" t="s">
        <v>70</v>
      </c>
      <c r="D6019" s="1">
        <v>0.2</v>
      </c>
      <c r="E6019" s="1">
        <v>27867.0</v>
      </c>
      <c r="F6019" s="10">
        <f t="shared" si="1"/>
        <v>0.6666666667</v>
      </c>
      <c r="G6019" s="10">
        <f t="array" ref="G6019">index('Player ID'!C:C,match(E6019,'Player ID'!B:B,0))</f>
        <v>671922</v>
      </c>
    </row>
    <row r="6020">
      <c r="A6020" s="76">
        <v>45796.0</v>
      </c>
      <c r="B6020" s="1" t="s">
        <v>272</v>
      </c>
      <c r="C6020" s="1" t="s">
        <v>37</v>
      </c>
      <c r="D6020" s="1">
        <v>7.0</v>
      </c>
      <c r="E6020" s="1">
        <v>15689.0</v>
      </c>
      <c r="F6020" s="10">
        <f t="shared" si="1"/>
        <v>7</v>
      </c>
      <c r="G6020" s="10">
        <f t="array" ref="G6020">index('Player ID'!C:C,match(E6020,'Player ID'!B:B,0))</f>
        <v>622491</v>
      </c>
    </row>
    <row r="6021">
      <c r="A6021" s="76">
        <v>45796.0</v>
      </c>
      <c r="B6021" s="1" t="s">
        <v>252</v>
      </c>
      <c r="C6021" s="1" t="s">
        <v>78</v>
      </c>
      <c r="D6021" s="1">
        <v>0.1</v>
      </c>
      <c r="E6021" s="1">
        <v>16061.0</v>
      </c>
      <c r="F6021" s="10">
        <f t="shared" si="1"/>
        <v>0.3333333333</v>
      </c>
      <c r="G6021" s="10">
        <f t="array" ref="G6021">index('Player ID'!C:C,match(E6021,'Player ID'!B:B,0))</f>
        <v>592155</v>
      </c>
    </row>
    <row r="6022">
      <c r="A6022" s="76">
        <v>45796.0</v>
      </c>
      <c r="B6022" s="1" t="s">
        <v>670</v>
      </c>
      <c r="C6022" s="1" t="s">
        <v>37</v>
      </c>
      <c r="D6022" s="1">
        <v>0.1</v>
      </c>
      <c r="E6022" s="1">
        <v>20373.0</v>
      </c>
      <c r="F6022" s="10">
        <f t="shared" si="1"/>
        <v>0.3333333333</v>
      </c>
      <c r="G6022" s="10">
        <f t="array" ref="G6022">index('Player ID'!C:C,match(E6022,'Player ID'!B:B,0))</f>
        <v>662253</v>
      </c>
    </row>
    <row r="6023">
      <c r="A6023" s="76">
        <v>45796.0</v>
      </c>
      <c r="B6023" s="1" t="s">
        <v>335</v>
      </c>
      <c r="C6023" s="1" t="s">
        <v>78</v>
      </c>
      <c r="D6023" s="1">
        <v>7.1</v>
      </c>
      <c r="E6023" s="1">
        <v>21448.0</v>
      </c>
      <c r="F6023" s="10">
        <f t="shared" si="1"/>
        <v>7.333333333</v>
      </c>
      <c r="G6023" s="10">
        <f t="array" ref="G6023">index('Player ID'!C:C,match(E6023,'Player ID'!B:B,0))</f>
        <v>663436</v>
      </c>
    </row>
    <row r="6024">
      <c r="A6024" s="76">
        <v>45796.0</v>
      </c>
      <c r="B6024" s="1" t="s">
        <v>691</v>
      </c>
      <c r="C6024" s="1" t="s">
        <v>78</v>
      </c>
      <c r="D6024" s="1">
        <v>1.1</v>
      </c>
      <c r="E6024" s="1">
        <v>22872.0</v>
      </c>
      <c r="F6024" s="10">
        <f t="shared" si="1"/>
        <v>1.333333333</v>
      </c>
      <c r="G6024" s="10">
        <f t="array" ref="G6024">index('Player ID'!C:C,match(E6024,'Player ID'!B:B,0))</f>
        <v>672782</v>
      </c>
    </row>
    <row r="6025">
      <c r="A6025" s="76">
        <v>45796.0</v>
      </c>
      <c r="B6025" s="1" t="s">
        <v>683</v>
      </c>
      <c r="C6025" s="1" t="s">
        <v>37</v>
      </c>
      <c r="D6025" s="1">
        <v>1.0</v>
      </c>
      <c r="E6025" s="1">
        <v>23307.0</v>
      </c>
      <c r="F6025" s="10">
        <f t="shared" si="1"/>
        <v>1</v>
      </c>
      <c r="G6025" s="10">
        <f t="array" ref="G6025">index('Player ID'!C:C,match(E6025,'Player ID'!B:B,0))</f>
        <v>676092</v>
      </c>
    </row>
    <row r="6026">
      <c r="A6026" s="76">
        <v>45796.0</v>
      </c>
      <c r="B6026" s="1" t="s">
        <v>804</v>
      </c>
      <c r="C6026" s="1" t="s">
        <v>37</v>
      </c>
      <c r="D6026" s="1">
        <v>0.2</v>
      </c>
      <c r="E6026" s="1">
        <v>31883.0</v>
      </c>
      <c r="F6026" s="10">
        <f t="shared" si="1"/>
        <v>0.6666666667</v>
      </c>
      <c r="G6026" s="10">
        <f t="array" ref="G6026">index('Player ID'!C:C,match(E6026,'Player ID'!B:B,0))</f>
        <v>700187</v>
      </c>
    </row>
    <row r="6027">
      <c r="A6027" s="76">
        <v>45796.0</v>
      </c>
      <c r="B6027" s="1" t="s">
        <v>95</v>
      </c>
      <c r="C6027" s="1" t="s">
        <v>72</v>
      </c>
      <c r="D6027" s="1">
        <v>6.0</v>
      </c>
      <c r="E6027" s="1">
        <v>12768.0</v>
      </c>
      <c r="F6027" s="10">
        <f t="shared" si="1"/>
        <v>6</v>
      </c>
      <c r="G6027" s="10">
        <f t="array" ref="G6027">index('Player ID'!C:C,match(E6027,'Player ID'!B:B,0))</f>
        <v>543243</v>
      </c>
    </row>
    <row r="6028">
      <c r="A6028" s="76">
        <v>45796.0</v>
      </c>
      <c r="B6028" s="1" t="s">
        <v>666</v>
      </c>
      <c r="C6028" s="1" t="s">
        <v>62</v>
      </c>
      <c r="D6028" s="1">
        <v>0.1</v>
      </c>
      <c r="E6028" s="1">
        <v>12777.0</v>
      </c>
      <c r="F6028" s="10">
        <f t="shared" si="1"/>
        <v>0.3333333333</v>
      </c>
      <c r="G6028" s="10">
        <f t="array" ref="G6028">index('Player ID'!C:C,match(E6028,'Player ID'!B:B,0))</f>
        <v>605154</v>
      </c>
    </row>
    <row r="6029">
      <c r="A6029" s="76">
        <v>45796.0</v>
      </c>
      <c r="B6029" s="1" t="s">
        <v>833</v>
      </c>
      <c r="C6029" s="1" t="s">
        <v>62</v>
      </c>
      <c r="D6029" s="1">
        <v>1.2</v>
      </c>
      <c r="E6029" s="1">
        <v>13755.0</v>
      </c>
      <c r="F6029" s="10">
        <f t="shared" si="1"/>
        <v>1.666666667</v>
      </c>
      <c r="G6029" s="10" t="str">
        <f t="array" ref="G6029">index('Player ID'!C:C,match(E6029,'Player ID'!B:B,0))</f>
        <v>#N/A</v>
      </c>
    </row>
    <row r="6030">
      <c r="A6030" s="76">
        <v>45796.0</v>
      </c>
      <c r="B6030" s="1" t="s">
        <v>193</v>
      </c>
      <c r="C6030" s="1" t="s">
        <v>72</v>
      </c>
      <c r="D6030" s="1">
        <v>1.0</v>
      </c>
      <c r="E6030" s="1">
        <v>19574.0</v>
      </c>
      <c r="F6030" s="10">
        <f t="shared" si="1"/>
        <v>1</v>
      </c>
      <c r="G6030" s="10">
        <f t="array" ref="G6030">index('Player ID'!C:C,match(E6030,'Player ID'!B:B,0))</f>
        <v>668941</v>
      </c>
    </row>
    <row r="6031">
      <c r="A6031" s="76">
        <v>45796.0</v>
      </c>
      <c r="B6031" s="1" t="s">
        <v>721</v>
      </c>
      <c r="C6031" s="1" t="s">
        <v>62</v>
      </c>
      <c r="D6031" s="1">
        <v>0.1</v>
      </c>
      <c r="E6031" s="1">
        <v>20045.0</v>
      </c>
      <c r="F6031" s="10">
        <f t="shared" si="1"/>
        <v>0.3333333333</v>
      </c>
      <c r="G6031" s="10">
        <f t="array" ref="G6031">index('Player ID'!C:C,match(E6031,'Player ID'!B:B,0))</f>
        <v>674944</v>
      </c>
    </row>
    <row r="6032">
      <c r="A6032" s="76">
        <v>45796.0</v>
      </c>
      <c r="B6032" s="1" t="s">
        <v>273</v>
      </c>
      <c r="C6032" s="1" t="s">
        <v>72</v>
      </c>
      <c r="D6032" s="1">
        <v>1.0</v>
      </c>
      <c r="E6032" s="1">
        <v>22051.0</v>
      </c>
      <c r="F6032" s="10">
        <f t="shared" si="1"/>
        <v>1</v>
      </c>
      <c r="G6032" s="10">
        <f t="array" ref="G6032">index('Player ID'!C:C,match(E6032,'Player ID'!B:B,0))</f>
        <v>667463</v>
      </c>
    </row>
    <row r="6033">
      <c r="A6033" s="76">
        <v>45796.0</v>
      </c>
      <c r="B6033" s="1" t="s">
        <v>331</v>
      </c>
      <c r="C6033" s="1" t="s">
        <v>62</v>
      </c>
      <c r="D6033" s="1">
        <v>5.2</v>
      </c>
      <c r="E6033" s="1">
        <v>22630.0</v>
      </c>
      <c r="F6033" s="10">
        <f t="shared" si="1"/>
        <v>5.666666667</v>
      </c>
      <c r="G6033" s="10">
        <f t="array" ref="G6033">index('Player ID'!C:C,match(E6033,'Player ID'!B:B,0))</f>
        <v>672456</v>
      </c>
    </row>
    <row r="6034">
      <c r="A6034" s="76">
        <v>45796.0</v>
      </c>
      <c r="B6034" s="1" t="s">
        <v>337</v>
      </c>
      <c r="C6034" s="1" t="s">
        <v>72</v>
      </c>
      <c r="D6034" s="1">
        <v>1.0</v>
      </c>
      <c r="E6034" s="1">
        <v>29519.0</v>
      </c>
      <c r="F6034" s="10">
        <f t="shared" si="1"/>
        <v>1</v>
      </c>
      <c r="G6034" s="10">
        <f t="array" ref="G6034">index('Player ID'!C:C,match(E6034,'Player ID'!B:B,0))</f>
        <v>700669</v>
      </c>
    </row>
    <row r="6035">
      <c r="A6035" s="76">
        <v>45796.0</v>
      </c>
      <c r="B6035" s="1" t="s">
        <v>704</v>
      </c>
      <c r="C6035" s="1" t="s">
        <v>75</v>
      </c>
      <c r="D6035" s="1">
        <v>1.1</v>
      </c>
      <c r="E6035" s="1">
        <v>10591.0</v>
      </c>
      <c r="F6035" s="10">
        <f t="shared" si="1"/>
        <v>1.333333333</v>
      </c>
      <c r="G6035" s="10">
        <f t="array" ref="G6035">index('Player ID'!C:C,match(E6035,'Player ID'!B:B,0))</f>
        <v>518397</v>
      </c>
    </row>
    <row r="6036">
      <c r="A6036" s="76">
        <v>45796.0</v>
      </c>
      <c r="B6036" s="1" t="s">
        <v>360</v>
      </c>
      <c r="C6036" s="1" t="s">
        <v>45</v>
      </c>
      <c r="D6036" s="1">
        <v>1.0</v>
      </c>
      <c r="E6036" s="1">
        <v>12972.0</v>
      </c>
      <c r="F6036" s="10">
        <f t="shared" si="1"/>
        <v>1</v>
      </c>
      <c r="G6036" s="10">
        <f t="array" ref="G6036">index('Player ID'!C:C,match(E6036,'Player ID'!B:B,0))</f>
        <v>605452</v>
      </c>
    </row>
    <row r="6037">
      <c r="A6037" s="76">
        <v>45796.0</v>
      </c>
      <c r="B6037" s="1" t="s">
        <v>189</v>
      </c>
      <c r="C6037" s="1" t="s">
        <v>75</v>
      </c>
      <c r="D6037" s="1">
        <v>5.1</v>
      </c>
      <c r="E6037" s="1">
        <v>16256.0</v>
      </c>
      <c r="F6037" s="10">
        <f t="shared" si="1"/>
        <v>5.333333333</v>
      </c>
      <c r="G6037" s="10">
        <f t="array" ref="G6037">index('Player ID'!C:C,match(E6037,'Player ID'!B:B,0))</f>
        <v>607536</v>
      </c>
    </row>
    <row r="6038">
      <c r="A6038" s="76">
        <v>45796.0</v>
      </c>
      <c r="B6038" s="1" t="s">
        <v>138</v>
      </c>
      <c r="C6038" s="1" t="s">
        <v>45</v>
      </c>
      <c r="D6038" s="1">
        <v>1.0</v>
      </c>
      <c r="E6038" s="1">
        <v>16990.0</v>
      </c>
      <c r="F6038" s="10">
        <f t="shared" si="1"/>
        <v>1</v>
      </c>
      <c r="G6038" s="10">
        <f t="array" ref="G6038">index('Player ID'!C:C,match(E6038,'Player ID'!B:B,0))</f>
        <v>621383</v>
      </c>
    </row>
    <row r="6039">
      <c r="A6039" s="76">
        <v>45796.0</v>
      </c>
      <c r="B6039" s="1" t="s">
        <v>747</v>
      </c>
      <c r="C6039" s="1" t="s">
        <v>45</v>
      </c>
      <c r="D6039" s="1">
        <v>6.0</v>
      </c>
      <c r="E6039" s="1">
        <v>20778.0</v>
      </c>
      <c r="F6039" s="10">
        <f t="shared" si="1"/>
        <v>6</v>
      </c>
      <c r="G6039" s="10">
        <f t="array" ref="G6039">index('Player ID'!C:C,match(E6039,'Player ID'!B:B,0))</f>
        <v>650911</v>
      </c>
    </row>
    <row r="6040">
      <c r="A6040" s="76">
        <v>45796.0</v>
      </c>
      <c r="B6040" s="1" t="s">
        <v>215</v>
      </c>
      <c r="C6040" s="1" t="s">
        <v>75</v>
      </c>
      <c r="D6040" s="1">
        <v>1.2</v>
      </c>
      <c r="E6040" s="1">
        <v>21267.0</v>
      </c>
      <c r="F6040" s="10">
        <f t="shared" si="1"/>
        <v>1.666666667</v>
      </c>
      <c r="G6040" s="10">
        <f t="array" ref="G6040">index('Player ID'!C:C,match(E6040,'Player ID'!B:B,0))</f>
        <v>656234</v>
      </c>
    </row>
    <row r="6041">
      <c r="A6041" s="76">
        <v>45796.0</v>
      </c>
      <c r="B6041" s="1" t="s">
        <v>701</v>
      </c>
      <c r="C6041" s="1" t="s">
        <v>45</v>
      </c>
      <c r="D6041" s="1">
        <v>1.0</v>
      </c>
      <c r="E6041" s="1">
        <v>22713.0</v>
      </c>
      <c r="F6041" s="10">
        <f t="shared" si="1"/>
        <v>1</v>
      </c>
      <c r="G6041" s="10">
        <f t="array" ref="G6041">index('Player ID'!C:C,match(E6041,'Player ID'!B:B,0))</f>
        <v>672578</v>
      </c>
    </row>
    <row r="6042">
      <c r="A6042" s="76">
        <v>45796.0</v>
      </c>
      <c r="B6042" s="1" t="s">
        <v>488</v>
      </c>
      <c r="C6042" s="1" t="s">
        <v>75</v>
      </c>
      <c r="D6042" s="1">
        <v>0.2</v>
      </c>
      <c r="E6042" s="1">
        <v>33294.0</v>
      </c>
      <c r="F6042" s="10">
        <f t="shared" si="1"/>
        <v>0.6666666667</v>
      </c>
      <c r="G6042" s="10">
        <f t="array" ref="G6042">index('Player ID'!C:C,match(E6042,'Player ID'!B:B,0))</f>
        <v>678020</v>
      </c>
    </row>
    <row r="6043">
      <c r="A6043" s="76">
        <v>45796.0</v>
      </c>
      <c r="B6043" s="1" t="s">
        <v>303</v>
      </c>
      <c r="C6043" s="1" t="s">
        <v>31</v>
      </c>
      <c r="D6043" s="1">
        <v>7.0</v>
      </c>
      <c r="E6043" s="1">
        <v>11486.0</v>
      </c>
      <c r="F6043" s="10">
        <f t="shared" si="1"/>
        <v>7</v>
      </c>
      <c r="G6043" s="10">
        <f t="array" ref="G6043">index('Player ID'!C:C,match(E6043,'Player ID'!B:B,0))</f>
        <v>592662</v>
      </c>
    </row>
    <row r="6044">
      <c r="A6044" s="76">
        <v>45796.0</v>
      </c>
      <c r="B6044" s="1" t="s">
        <v>649</v>
      </c>
      <c r="C6044" s="1" t="s">
        <v>29</v>
      </c>
      <c r="D6044" s="1">
        <v>1.0</v>
      </c>
      <c r="E6044" s="1">
        <v>14542.0</v>
      </c>
      <c r="F6044" s="10">
        <f t="shared" si="1"/>
        <v>1</v>
      </c>
      <c r="G6044" s="10">
        <f t="array" ref="G6044">index('Player ID'!C:C,match(E6044,'Player ID'!B:B,0))</f>
        <v>608032</v>
      </c>
    </row>
    <row r="6045">
      <c r="A6045" s="76">
        <v>45796.0</v>
      </c>
      <c r="B6045" s="1" t="s">
        <v>20</v>
      </c>
      <c r="C6045" s="1" t="s">
        <v>31</v>
      </c>
      <c r="D6045" s="1">
        <v>1.0</v>
      </c>
      <c r="E6045" s="1">
        <v>15541.0</v>
      </c>
      <c r="F6045" s="10">
        <f t="shared" si="1"/>
        <v>1</v>
      </c>
      <c r="G6045" s="10">
        <f t="array" ref="G6045">index('Player ID'!C:C,match(E6045,'Player ID'!B:B,0))</f>
        <v>643511</v>
      </c>
    </row>
    <row r="6046">
      <c r="A6046" s="76">
        <v>45796.0</v>
      </c>
      <c r="B6046" s="1" t="s">
        <v>445</v>
      </c>
      <c r="C6046" s="1" t="s">
        <v>31</v>
      </c>
      <c r="D6046" s="1">
        <v>1.0</v>
      </c>
      <c r="E6046" s="1">
        <v>19618.0</v>
      </c>
      <c r="F6046" s="10">
        <f t="shared" si="1"/>
        <v>1</v>
      </c>
      <c r="G6046" s="10">
        <f t="array" ref="G6046">index('Player ID'!C:C,match(E6046,'Player ID'!B:B,0))</f>
        <v>663855</v>
      </c>
    </row>
    <row r="6047">
      <c r="A6047" s="76">
        <v>45796.0</v>
      </c>
      <c r="B6047" s="1" t="s">
        <v>144</v>
      </c>
      <c r="C6047" s="1" t="s">
        <v>29</v>
      </c>
      <c r="D6047" s="1">
        <v>0.2</v>
      </c>
      <c r="E6047" s="1">
        <v>20020.0</v>
      </c>
      <c r="F6047" s="10">
        <f t="shared" si="1"/>
        <v>0.6666666667</v>
      </c>
      <c r="G6047" s="10">
        <f t="array" ref="G6047">index('Player ID'!C:C,match(E6047,'Player ID'!B:B,0))</f>
        <v>670167</v>
      </c>
    </row>
    <row r="6048">
      <c r="A6048" s="76">
        <v>45796.0</v>
      </c>
      <c r="B6048" s="1" t="s">
        <v>163</v>
      </c>
      <c r="C6048" s="1" t="s">
        <v>29</v>
      </c>
      <c r="D6048" s="1">
        <v>7.0</v>
      </c>
      <c r="E6048" s="1">
        <v>21455.0</v>
      </c>
      <c r="F6048" s="10">
        <f t="shared" si="1"/>
        <v>7</v>
      </c>
      <c r="G6048" s="10">
        <f t="array" ref="G6048">index('Player ID'!C:C,match(E6048,'Player ID'!B:B,0))</f>
        <v>663460</v>
      </c>
    </row>
    <row r="6049">
      <c r="A6049" s="76">
        <v>45796.0</v>
      </c>
      <c r="B6049" s="1" t="s">
        <v>293</v>
      </c>
      <c r="C6049" s="1" t="s">
        <v>29</v>
      </c>
      <c r="D6049" s="1">
        <v>0.1</v>
      </c>
      <c r="E6049" s="1">
        <v>21537.0</v>
      </c>
      <c r="F6049" s="10">
        <f t="shared" si="1"/>
        <v>0.3333333333</v>
      </c>
      <c r="G6049" s="10">
        <f t="array" ref="G6049">index('Player ID'!C:C,match(E6049,'Player ID'!B:B,0))</f>
        <v>663738</v>
      </c>
    </row>
    <row r="6050">
      <c r="A6050" s="76">
        <v>45796.0</v>
      </c>
      <c r="B6050" s="1" t="s">
        <v>154</v>
      </c>
      <c r="C6050" s="1" t="s">
        <v>25</v>
      </c>
      <c r="D6050" s="1">
        <v>1.0</v>
      </c>
      <c r="E6050" s="1">
        <v>3096.0</v>
      </c>
      <c r="F6050" s="10">
        <f t="shared" si="1"/>
        <v>1</v>
      </c>
      <c r="G6050" s="10">
        <f t="array" ref="G6050">index('Player ID'!C:C,match(E6050,'Player ID'!B:B,0))</f>
        <v>445276</v>
      </c>
    </row>
    <row r="6051">
      <c r="A6051" s="76">
        <v>45796.0</v>
      </c>
      <c r="B6051" s="1" t="s">
        <v>660</v>
      </c>
      <c r="C6051" s="1" t="s">
        <v>25</v>
      </c>
      <c r="D6051" s="1">
        <v>1.0</v>
      </c>
      <c r="E6051" s="1">
        <v>11804.0</v>
      </c>
      <c r="F6051" s="10">
        <f t="shared" si="1"/>
        <v>1</v>
      </c>
      <c r="G6051" s="10">
        <f t="array" ref="G6051">index('Player ID'!C:C,match(E6051,'Player ID'!B:B,0))</f>
        <v>593576</v>
      </c>
    </row>
    <row r="6052">
      <c r="A6052" s="76">
        <v>45796.0</v>
      </c>
      <c r="B6052" s="1" t="s">
        <v>741</v>
      </c>
      <c r="C6052" s="1" t="s">
        <v>52</v>
      </c>
      <c r="D6052" s="1">
        <v>0.1</v>
      </c>
      <c r="E6052" s="1">
        <v>19315.0</v>
      </c>
      <c r="F6052" s="10">
        <f t="shared" si="1"/>
        <v>0.3333333333</v>
      </c>
      <c r="G6052" s="10">
        <f t="array" ref="G6052">index('Player ID'!C:C,match(E6052,'Player ID'!B:B,0))</f>
        <v>640454</v>
      </c>
    </row>
    <row r="6053">
      <c r="A6053" s="76">
        <v>45796.0</v>
      </c>
      <c r="B6053" s="1" t="s">
        <v>695</v>
      </c>
      <c r="C6053" s="1" t="s">
        <v>25</v>
      </c>
      <c r="D6053" s="1">
        <v>6.0</v>
      </c>
      <c r="E6053" s="1">
        <v>22100.0</v>
      </c>
      <c r="F6053" s="10">
        <f t="shared" si="1"/>
        <v>6</v>
      </c>
      <c r="G6053" s="10">
        <f t="array" ref="G6053">index('Player ID'!C:C,match(E6053,'Player ID'!B:B,0))</f>
        <v>667755</v>
      </c>
    </row>
    <row r="6054">
      <c r="A6054" s="76">
        <v>45796.0</v>
      </c>
      <c r="B6054" s="1" t="s">
        <v>830</v>
      </c>
      <c r="C6054" s="1" t="s">
        <v>52</v>
      </c>
      <c r="D6054" s="1">
        <v>2.0</v>
      </c>
      <c r="E6054" s="1">
        <v>22533.0</v>
      </c>
      <c r="F6054" s="10">
        <f t="shared" si="1"/>
        <v>2</v>
      </c>
      <c r="G6054" s="10">
        <f t="array" ref="G6054">index('Player ID'!C:C,match(E6054,'Player ID'!B:B,0))</f>
        <v>671305</v>
      </c>
    </row>
    <row r="6055">
      <c r="A6055" s="76">
        <v>45796.0</v>
      </c>
      <c r="B6055" s="1" t="s">
        <v>385</v>
      </c>
      <c r="C6055" s="1" t="s">
        <v>25</v>
      </c>
      <c r="D6055" s="1">
        <v>1.0</v>
      </c>
      <c r="E6055" s="1">
        <v>25420.0</v>
      </c>
      <c r="F6055" s="10">
        <f t="shared" si="1"/>
        <v>1</v>
      </c>
      <c r="G6055" s="10">
        <f t="array" ref="G6055">index('Player ID'!C:C,match(E6055,'Player ID'!B:B,0))</f>
        <v>666171</v>
      </c>
    </row>
    <row r="6056">
      <c r="A6056" s="76">
        <v>45796.0</v>
      </c>
      <c r="B6056" s="1" t="s">
        <v>127</v>
      </c>
      <c r="C6056" s="1" t="s">
        <v>52</v>
      </c>
      <c r="D6056" s="1">
        <v>2.2</v>
      </c>
      <c r="E6056" s="1">
        <v>27707.0</v>
      </c>
      <c r="F6056" s="10">
        <f t="shared" si="1"/>
        <v>2.666666667</v>
      </c>
      <c r="G6056" s="10">
        <f t="array" ref="G6056">index('Player ID'!C:C,match(E6056,'Player ID'!B:B,0))</f>
        <v>687765</v>
      </c>
    </row>
    <row r="6057">
      <c r="A6057" s="76">
        <v>45796.0</v>
      </c>
      <c r="B6057" s="1" t="s">
        <v>296</v>
      </c>
      <c r="C6057" s="1" t="s">
        <v>52</v>
      </c>
      <c r="D6057" s="1">
        <v>4.0</v>
      </c>
      <c r="E6057" s="1">
        <v>27889.0</v>
      </c>
      <c r="F6057" s="10">
        <f t="shared" si="1"/>
        <v>4</v>
      </c>
      <c r="G6057" s="10">
        <f t="array" ref="G6057">index('Player ID'!C:C,match(E6057,'Player ID'!B:B,0))</f>
        <v>669372</v>
      </c>
    </row>
    <row r="6058">
      <c r="A6058" s="76">
        <v>45796.0</v>
      </c>
      <c r="B6058" s="1" t="s">
        <v>103</v>
      </c>
      <c r="C6058" s="1" t="s">
        <v>64</v>
      </c>
      <c r="D6058" s="1">
        <v>0.1</v>
      </c>
      <c r="E6058" s="1">
        <v>10197.0</v>
      </c>
      <c r="F6058" s="10">
        <f t="shared" si="1"/>
        <v>0.3333333333</v>
      </c>
      <c r="G6058" s="10">
        <f t="array" ref="G6058">index('Player ID'!C:C,match(E6058,'Player ID'!B:B,0))</f>
        <v>571946</v>
      </c>
    </row>
    <row r="6059">
      <c r="A6059" s="76">
        <v>45796.0</v>
      </c>
      <c r="B6059" s="1" t="s">
        <v>745</v>
      </c>
      <c r="C6059" s="1" t="s">
        <v>64</v>
      </c>
      <c r="D6059" s="1">
        <v>1.0</v>
      </c>
      <c r="E6059" s="1">
        <v>12056.0</v>
      </c>
      <c r="F6059" s="10">
        <f t="shared" si="1"/>
        <v>1</v>
      </c>
      <c r="G6059" s="10">
        <f t="array" ref="G6059">index('Player ID'!C:C,match(E6059,'Player ID'!B:B,0))</f>
        <v>543518</v>
      </c>
    </row>
    <row r="6060">
      <c r="A6060" s="76">
        <v>45796.0</v>
      </c>
      <c r="B6060" s="1" t="s">
        <v>219</v>
      </c>
      <c r="C6060" s="1" t="s">
        <v>64</v>
      </c>
      <c r="D6060" s="1">
        <v>0.2</v>
      </c>
      <c r="E6060" s="1">
        <v>16647.0</v>
      </c>
      <c r="F6060" s="10">
        <f t="shared" si="1"/>
        <v>0.6666666667</v>
      </c>
      <c r="G6060" s="10">
        <f t="array" ref="G6060">index('Player ID'!C:C,match(E6060,'Player ID'!B:B,0))</f>
        <v>657044</v>
      </c>
    </row>
    <row r="6061">
      <c r="A6061" s="76">
        <v>45796.0</v>
      </c>
      <c r="B6061" s="1" t="s">
        <v>370</v>
      </c>
      <c r="C6061" s="1" t="s">
        <v>64</v>
      </c>
      <c r="D6061" s="1">
        <v>1.0</v>
      </c>
      <c r="E6061" s="1">
        <v>21924.0</v>
      </c>
      <c r="F6061" s="10">
        <f t="shared" si="1"/>
        <v>1</v>
      </c>
      <c r="G6061" s="10">
        <f t="array" ref="G6061">index('Player ID'!C:C,match(E6061,'Player ID'!B:B,0))</f>
        <v>666661</v>
      </c>
    </row>
    <row r="6062">
      <c r="A6062" s="76">
        <v>45796.0</v>
      </c>
      <c r="B6062" s="1" t="s">
        <v>390</v>
      </c>
      <c r="C6062" s="1" t="s">
        <v>33</v>
      </c>
      <c r="D6062" s="1">
        <v>2.0</v>
      </c>
      <c r="E6062" s="1">
        <v>22284.0</v>
      </c>
      <c r="F6062" s="10">
        <f t="shared" si="1"/>
        <v>2</v>
      </c>
      <c r="G6062" s="10">
        <f t="array" ref="G6062">index('Player ID'!C:C,match(E6062,'Player ID'!B:B,0))</f>
        <v>669422</v>
      </c>
    </row>
    <row r="6063">
      <c r="A6063" s="76">
        <v>45796.0</v>
      </c>
      <c r="B6063" s="1" t="s">
        <v>351</v>
      </c>
      <c r="C6063" s="1" t="s">
        <v>33</v>
      </c>
      <c r="D6063" s="1">
        <v>5.0</v>
      </c>
      <c r="E6063" s="1">
        <v>27487.0</v>
      </c>
      <c r="F6063" s="10">
        <f t="shared" si="1"/>
        <v>5</v>
      </c>
      <c r="G6063" s="10">
        <f t="array" ref="G6063">index('Player ID'!C:C,match(E6063,'Player ID'!B:B,0))</f>
        <v>689017</v>
      </c>
    </row>
    <row r="6064">
      <c r="A6064" s="76">
        <v>45796.0</v>
      </c>
      <c r="B6064" s="1" t="s">
        <v>263</v>
      </c>
      <c r="C6064" s="1" t="s">
        <v>64</v>
      </c>
      <c r="D6064" s="1">
        <v>6.0</v>
      </c>
      <c r="E6064" s="1">
        <v>27782.0</v>
      </c>
      <c r="F6064" s="10">
        <f t="shared" si="1"/>
        <v>6</v>
      </c>
      <c r="G6064" s="10">
        <f t="array" ref="G6064">index('Player ID'!C:C,match(E6064,'Player ID'!B:B,0))</f>
        <v>694297</v>
      </c>
    </row>
    <row r="6065">
      <c r="A6065" s="76">
        <v>45796.0</v>
      </c>
      <c r="B6065" s="1" t="s">
        <v>206</v>
      </c>
      <c r="C6065" s="1" t="s">
        <v>33</v>
      </c>
      <c r="D6065" s="1">
        <v>2.0</v>
      </c>
      <c r="E6065" s="1">
        <v>30249.0</v>
      </c>
      <c r="F6065" s="10">
        <f t="shared" si="1"/>
        <v>2</v>
      </c>
      <c r="G6065" s="10">
        <f t="array" ref="G6065">index('Player ID'!C:C,match(E6065,'Player ID'!B:B,0))</f>
        <v>676263</v>
      </c>
    </row>
    <row r="6066">
      <c r="A6066" s="76">
        <v>45797.0</v>
      </c>
      <c r="B6066" s="1" t="s">
        <v>226</v>
      </c>
      <c r="C6066" s="1" t="s">
        <v>66</v>
      </c>
      <c r="D6066" s="1">
        <v>6.0</v>
      </c>
      <c r="E6066" s="1">
        <v>12730.0</v>
      </c>
      <c r="F6066" s="10">
        <f t="shared" si="1"/>
        <v>6</v>
      </c>
      <c r="G6066" s="10">
        <f t="array" ref="G6066">index('Player ID'!C:C,match(E6066,'Player ID'!B:B,0))</f>
        <v>607259</v>
      </c>
    </row>
    <row r="6067">
      <c r="A6067" s="76">
        <v>45797.0</v>
      </c>
      <c r="B6067" s="1" t="s">
        <v>217</v>
      </c>
      <c r="C6067" s="1" t="s">
        <v>60</v>
      </c>
      <c r="D6067" s="1">
        <v>1.0</v>
      </c>
      <c r="E6067" s="1">
        <v>17878.0</v>
      </c>
      <c r="F6067" s="10">
        <f t="shared" si="1"/>
        <v>1</v>
      </c>
      <c r="G6067" s="10">
        <f t="array" ref="G6067">index('Player ID'!C:C,match(E6067,'Player ID'!B:B,0))</f>
        <v>642701</v>
      </c>
    </row>
    <row r="6068">
      <c r="A6068" s="76">
        <v>45797.0</v>
      </c>
      <c r="B6068" s="1" t="s">
        <v>183</v>
      </c>
      <c r="C6068" s="1" t="s">
        <v>60</v>
      </c>
      <c r="D6068" s="1">
        <v>1.0</v>
      </c>
      <c r="E6068" s="1">
        <v>19569.0</v>
      </c>
      <c r="F6068" s="10">
        <f t="shared" si="1"/>
        <v>1</v>
      </c>
      <c r="G6068" s="10">
        <f t="array" ref="G6068">index('Player ID'!C:C,match(E6068,'Player ID'!B:B,0))</f>
        <v>670280</v>
      </c>
    </row>
    <row r="6069">
      <c r="A6069" s="76">
        <v>45797.0</v>
      </c>
      <c r="B6069" s="1" t="s">
        <v>220</v>
      </c>
      <c r="C6069" s="1" t="s">
        <v>60</v>
      </c>
      <c r="D6069" s="1">
        <v>7.0</v>
      </c>
      <c r="E6069" s="1">
        <v>20070.0</v>
      </c>
      <c r="F6069" s="10">
        <f t="shared" si="1"/>
        <v>7</v>
      </c>
      <c r="G6069" s="10">
        <f t="array" ref="G6069">index('Player ID'!C:C,match(E6069,'Player ID'!B:B,0))</f>
        <v>663559</v>
      </c>
    </row>
    <row r="6070">
      <c r="A6070" s="76">
        <v>45797.0</v>
      </c>
      <c r="B6070" s="1" t="s">
        <v>518</v>
      </c>
      <c r="C6070" s="1" t="s">
        <v>66</v>
      </c>
      <c r="D6070" s="1">
        <v>1.0</v>
      </c>
      <c r="E6070" s="1">
        <v>24581.0</v>
      </c>
      <c r="F6070" s="10">
        <f t="shared" si="1"/>
        <v>1</v>
      </c>
      <c r="G6070" s="10">
        <f t="array" ref="G6070">index('Player ID'!C:C,match(E6070,'Player ID'!B:B,0))</f>
        <v>680689</v>
      </c>
    </row>
    <row r="6071">
      <c r="A6071" s="76">
        <v>45797.0</v>
      </c>
      <c r="B6071" s="1" t="s">
        <v>550</v>
      </c>
      <c r="C6071" s="1" t="s">
        <v>66</v>
      </c>
      <c r="D6071" s="1">
        <v>1.0</v>
      </c>
      <c r="E6071" s="1">
        <v>25620.0</v>
      </c>
      <c r="F6071" s="10">
        <f t="shared" si="1"/>
        <v>1</v>
      </c>
      <c r="G6071" s="10">
        <f t="array" ref="G6071">index('Player ID'!C:C,match(E6071,'Player ID'!B:B,0))</f>
        <v>682825</v>
      </c>
    </row>
    <row r="6072">
      <c r="A6072" s="76">
        <v>45797.0</v>
      </c>
      <c r="B6072" s="1" t="s">
        <v>99</v>
      </c>
      <c r="C6072" s="1" t="s">
        <v>34</v>
      </c>
      <c r="D6072" s="1">
        <v>7.0</v>
      </c>
      <c r="E6072" s="1">
        <v>11674.0</v>
      </c>
      <c r="F6072" s="10">
        <f t="shared" si="1"/>
        <v>7</v>
      </c>
      <c r="G6072" s="10">
        <f t="array" ref="G6072">index('Player ID'!C:C,match(E6072,'Player ID'!B:B,0))</f>
        <v>592791</v>
      </c>
    </row>
    <row r="6073">
      <c r="A6073" s="76">
        <v>45797.0</v>
      </c>
      <c r="B6073" s="1" t="s">
        <v>462</v>
      </c>
      <c r="C6073" s="1" t="s">
        <v>34</v>
      </c>
      <c r="D6073" s="1">
        <v>2.0</v>
      </c>
      <c r="E6073" s="1">
        <v>13896.0</v>
      </c>
      <c r="F6073" s="10">
        <f t="shared" si="1"/>
        <v>2</v>
      </c>
      <c r="G6073" s="10">
        <f t="array" ref="G6073">index('Player ID'!C:C,match(E6073,'Player ID'!B:B,0))</f>
        <v>623167</v>
      </c>
    </row>
    <row r="6074">
      <c r="A6074" s="76">
        <v>45797.0</v>
      </c>
      <c r="B6074" s="1" t="s">
        <v>241</v>
      </c>
      <c r="C6074" s="1" t="s">
        <v>36</v>
      </c>
      <c r="D6074" s="1">
        <v>1.0</v>
      </c>
      <c r="E6074" s="1">
        <v>19222.0</v>
      </c>
      <c r="F6074" s="10">
        <f t="shared" si="1"/>
        <v>1</v>
      </c>
      <c r="G6074" s="10">
        <f t="array" ref="G6074">index('Player ID'!C:C,match(E6074,'Player ID'!B:B,0))</f>
        <v>669199</v>
      </c>
    </row>
    <row r="6075">
      <c r="A6075" s="76">
        <v>45797.0</v>
      </c>
      <c r="B6075" s="1" t="s">
        <v>262</v>
      </c>
      <c r="C6075" s="1" t="s">
        <v>36</v>
      </c>
      <c r="D6075" s="1">
        <v>0.0</v>
      </c>
      <c r="E6075" s="1">
        <v>20116.0</v>
      </c>
      <c r="F6075" s="10">
        <f t="shared" si="1"/>
        <v>0</v>
      </c>
      <c r="G6075" s="10">
        <f t="array" ref="G6075">index('Player ID'!C:C,match(E6075,'Player ID'!B:B,0))</f>
        <v>676534</v>
      </c>
    </row>
    <row r="6076">
      <c r="A6076" s="76">
        <v>45797.0</v>
      </c>
      <c r="B6076" s="1" t="s">
        <v>202</v>
      </c>
      <c r="C6076" s="1" t="s">
        <v>36</v>
      </c>
      <c r="D6076" s="1">
        <v>5.0</v>
      </c>
      <c r="E6076" s="1">
        <v>23796.0</v>
      </c>
      <c r="F6076" s="10">
        <f t="shared" si="1"/>
        <v>5</v>
      </c>
      <c r="G6076" s="10">
        <f t="array" ref="G6076">index('Player ID'!C:C,match(E6076,'Player ID'!B:B,0))</f>
        <v>677960</v>
      </c>
    </row>
    <row r="6077">
      <c r="A6077" s="76">
        <v>45797.0</v>
      </c>
      <c r="B6077" s="1" t="s">
        <v>781</v>
      </c>
      <c r="C6077" s="1" t="s">
        <v>36</v>
      </c>
      <c r="D6077" s="1">
        <v>1.0</v>
      </c>
      <c r="E6077" s="1">
        <v>28253.0</v>
      </c>
      <c r="F6077" s="10">
        <f t="shared" si="1"/>
        <v>1</v>
      </c>
      <c r="G6077" s="10">
        <f t="array" ref="G6077">index('Player ID'!C:C,match(E6077,'Player ID'!B:B,0))</f>
        <v>691594</v>
      </c>
    </row>
    <row r="6078">
      <c r="A6078" s="76">
        <v>45797.0</v>
      </c>
      <c r="B6078" s="1" t="s">
        <v>266</v>
      </c>
      <c r="C6078" s="1" t="s">
        <v>36</v>
      </c>
      <c r="D6078" s="1">
        <v>2.0</v>
      </c>
      <c r="E6078" s="1">
        <v>31815.0</v>
      </c>
      <c r="F6078" s="10">
        <f t="shared" si="1"/>
        <v>2</v>
      </c>
      <c r="G6078" s="10">
        <f t="array" ref="G6078">index('Player ID'!C:C,match(E6078,'Player ID'!B:B,0))</f>
        <v>806188</v>
      </c>
    </row>
    <row r="6079">
      <c r="A6079" s="76">
        <v>45797.0</v>
      </c>
      <c r="B6079" s="1" t="s">
        <v>230</v>
      </c>
      <c r="C6079" s="1" t="s">
        <v>22</v>
      </c>
      <c r="D6079" s="1">
        <v>0.2</v>
      </c>
      <c r="E6079" s="1">
        <v>4301.0</v>
      </c>
      <c r="F6079" s="10">
        <f t="shared" si="1"/>
        <v>0.6666666667</v>
      </c>
      <c r="G6079" s="10">
        <f t="array" ref="G6079">index('Player ID'!C:C,match(E6079,'Player ID'!B:B,0))</f>
        <v>458677</v>
      </c>
    </row>
    <row r="6080">
      <c r="A6080" s="76">
        <v>45797.0</v>
      </c>
      <c r="B6080" s="1" t="s">
        <v>41</v>
      </c>
      <c r="C6080" s="1" t="s">
        <v>22</v>
      </c>
      <c r="D6080" s="1">
        <v>1.0</v>
      </c>
      <c r="E6080" s="1">
        <v>10233.0</v>
      </c>
      <c r="F6080" s="10">
        <f t="shared" si="1"/>
        <v>1</v>
      </c>
      <c r="G6080" s="10">
        <f t="array" ref="G6080">index('Player ID'!C:C,match(E6080,'Player ID'!B:B,0))</f>
        <v>547973</v>
      </c>
    </row>
    <row r="6081">
      <c r="A6081" s="76">
        <v>45797.0</v>
      </c>
      <c r="B6081" s="1" t="s">
        <v>269</v>
      </c>
      <c r="C6081" s="1" t="s">
        <v>51</v>
      </c>
      <c r="D6081" s="1">
        <v>6.0</v>
      </c>
      <c r="E6081" s="1">
        <v>13649.0</v>
      </c>
      <c r="F6081" s="10">
        <f t="shared" si="1"/>
        <v>6</v>
      </c>
      <c r="G6081" s="10">
        <f t="array" ref="G6081">index('Player ID'!C:C,match(E6081,'Player ID'!B:B,0))</f>
        <v>605280</v>
      </c>
    </row>
    <row r="6082">
      <c r="A6082" s="76">
        <v>45797.0</v>
      </c>
      <c r="B6082" s="1" t="s">
        <v>493</v>
      </c>
      <c r="C6082" s="1" t="s">
        <v>22</v>
      </c>
      <c r="D6082" s="1">
        <v>1.2</v>
      </c>
      <c r="E6082" s="1">
        <v>16835.0</v>
      </c>
      <c r="F6082" s="10">
        <f t="shared" si="1"/>
        <v>1.666666667</v>
      </c>
      <c r="G6082" s="10">
        <f t="array" ref="G6082">index('Player ID'!C:C,match(E6082,'Player ID'!B:B,0))</f>
        <v>657514</v>
      </c>
    </row>
    <row r="6083">
      <c r="A6083" s="76">
        <v>45797.0</v>
      </c>
      <c r="B6083" s="1" t="s">
        <v>405</v>
      </c>
      <c r="C6083" s="1" t="s">
        <v>22</v>
      </c>
      <c r="D6083" s="1">
        <v>2.1</v>
      </c>
      <c r="E6083" s="1">
        <v>19374.0</v>
      </c>
      <c r="F6083" s="10">
        <f t="shared" si="1"/>
        <v>2.333333333</v>
      </c>
      <c r="G6083" s="10">
        <f t="array" ref="G6083">index('Player ID'!C:C,match(E6083,'Player ID'!B:B,0))</f>
        <v>621111</v>
      </c>
    </row>
    <row r="6084">
      <c r="A6084" s="76">
        <v>45797.0</v>
      </c>
      <c r="B6084" s="1" t="s">
        <v>250</v>
      </c>
      <c r="C6084" s="1" t="s">
        <v>22</v>
      </c>
      <c r="D6084" s="1">
        <v>1.0</v>
      </c>
      <c r="E6084" s="1">
        <v>20191.0</v>
      </c>
      <c r="F6084" s="10">
        <f t="shared" si="1"/>
        <v>1</v>
      </c>
      <c r="G6084" s="10">
        <f t="array" ref="G6084">index('Player ID'!C:C,match(E6084,'Player ID'!B:B,0))</f>
        <v>676477</v>
      </c>
    </row>
    <row r="6085">
      <c r="A6085" s="76">
        <v>45797.0</v>
      </c>
      <c r="B6085" s="1" t="s">
        <v>406</v>
      </c>
      <c r="C6085" s="1" t="s">
        <v>22</v>
      </c>
      <c r="D6085" s="1">
        <v>0.2</v>
      </c>
      <c r="E6085" s="1">
        <v>20375.0</v>
      </c>
      <c r="F6085" s="10">
        <f t="shared" si="1"/>
        <v>0.6666666667</v>
      </c>
      <c r="G6085" s="10">
        <f t="array" ref="G6085">index('Player ID'!C:C,match(E6085,'Player ID'!B:B,0))</f>
        <v>669711</v>
      </c>
    </row>
    <row r="6086">
      <c r="A6086" s="76">
        <v>45797.0</v>
      </c>
      <c r="B6086" s="1" t="s">
        <v>50</v>
      </c>
      <c r="C6086" s="1" t="s">
        <v>51</v>
      </c>
      <c r="D6086" s="1">
        <v>2.0</v>
      </c>
      <c r="E6086" s="1">
        <v>22175.0</v>
      </c>
      <c r="F6086" s="10">
        <f t="shared" si="1"/>
        <v>2</v>
      </c>
      <c r="G6086" s="10">
        <f t="array" ref="G6086">index('Player ID'!C:C,match(E6086,'Player ID'!B:B,0))</f>
        <v>668820</v>
      </c>
    </row>
    <row r="6087">
      <c r="A6087" s="76">
        <v>45797.0</v>
      </c>
      <c r="B6087" s="1" t="s">
        <v>645</v>
      </c>
      <c r="C6087" s="1" t="s">
        <v>22</v>
      </c>
      <c r="D6087" s="1">
        <v>1.2</v>
      </c>
      <c r="E6087" s="1">
        <v>25648.0</v>
      </c>
      <c r="F6087" s="10">
        <f t="shared" si="1"/>
        <v>1.666666667</v>
      </c>
      <c r="G6087" s="10">
        <f t="array" ref="G6087">index('Player ID'!C:C,match(E6087,'Player ID'!B:B,0))</f>
        <v>686580</v>
      </c>
    </row>
    <row r="6088">
      <c r="A6088" s="76">
        <v>45797.0</v>
      </c>
      <c r="B6088" s="1" t="s">
        <v>326</v>
      </c>
      <c r="C6088" s="1" t="s">
        <v>46</v>
      </c>
      <c r="D6088" s="1">
        <v>1.0</v>
      </c>
      <c r="E6088" s="1">
        <v>12760.0</v>
      </c>
      <c r="F6088" s="10">
        <f t="shared" si="1"/>
        <v>1</v>
      </c>
      <c r="G6088" s="10">
        <f t="array" ref="G6088">index('Player ID'!C:C,match(E6088,'Player ID'!B:B,0))</f>
        <v>606160</v>
      </c>
    </row>
    <row r="6089">
      <c r="A6089" s="76">
        <v>45797.0</v>
      </c>
      <c r="B6089" s="1" t="s">
        <v>719</v>
      </c>
      <c r="C6089" s="1" t="s">
        <v>80</v>
      </c>
      <c r="D6089" s="1">
        <v>1.0</v>
      </c>
      <c r="E6089" s="1">
        <v>14527.0</v>
      </c>
      <c r="F6089" s="10">
        <f t="shared" si="1"/>
        <v>1</v>
      </c>
      <c r="G6089" s="10">
        <f t="array" ref="G6089">index('Player ID'!C:C,match(E6089,'Player ID'!B:B,0))</f>
        <v>605347</v>
      </c>
    </row>
    <row r="6090">
      <c r="A6090" s="76">
        <v>45797.0</v>
      </c>
      <c r="B6090" s="1" t="s">
        <v>139</v>
      </c>
      <c r="C6090" s="1" t="s">
        <v>80</v>
      </c>
      <c r="D6090" s="1">
        <v>1.0</v>
      </c>
      <c r="E6090" s="1">
        <v>15009.0</v>
      </c>
      <c r="F6090" s="10">
        <f t="shared" si="1"/>
        <v>1</v>
      </c>
      <c r="G6090" s="10">
        <f t="array" ref="G6090">index('Player ID'!C:C,match(E6090,'Player ID'!B:B,0))</f>
        <v>640448</v>
      </c>
    </row>
    <row r="6091">
      <c r="A6091" s="76">
        <v>45797.0</v>
      </c>
      <c r="B6091" s="1" t="s">
        <v>319</v>
      </c>
      <c r="C6091" s="1" t="s">
        <v>46</v>
      </c>
      <c r="D6091" s="1">
        <v>1.2</v>
      </c>
      <c r="E6091" s="1">
        <v>16258.0</v>
      </c>
      <c r="F6091" s="10">
        <f t="shared" si="1"/>
        <v>1.666666667</v>
      </c>
      <c r="G6091" s="10">
        <f t="array" ref="G6091">index('Player ID'!C:C,match(E6091,'Player ID'!B:B,0))</f>
        <v>607481</v>
      </c>
    </row>
    <row r="6092">
      <c r="A6092" s="76">
        <v>45797.0</v>
      </c>
      <c r="B6092" s="1" t="s">
        <v>91</v>
      </c>
      <c r="C6092" s="1" t="s">
        <v>46</v>
      </c>
      <c r="D6092" s="1">
        <v>1.0</v>
      </c>
      <c r="E6092" s="1">
        <v>19996.0</v>
      </c>
      <c r="F6092" s="10">
        <f t="shared" si="1"/>
        <v>1</v>
      </c>
      <c r="G6092" s="10">
        <f t="array" ref="G6092">index('Player ID'!C:C,match(E6092,'Player ID'!B:B,0))</f>
        <v>669276</v>
      </c>
    </row>
    <row r="6093">
      <c r="A6093" s="76">
        <v>45797.0</v>
      </c>
      <c r="B6093" s="1" t="s">
        <v>86</v>
      </c>
      <c r="C6093" s="1" t="s">
        <v>80</v>
      </c>
      <c r="D6093" s="1">
        <v>0.2</v>
      </c>
      <c r="E6093" s="1">
        <v>24017.0</v>
      </c>
      <c r="F6093" s="10">
        <f t="shared" si="1"/>
        <v>0.6666666667</v>
      </c>
      <c r="G6093" s="10">
        <f t="array" ref="G6093">index('Player ID'!C:C,match(E6093,'Player ID'!B:B,0))</f>
        <v>678606</v>
      </c>
    </row>
    <row r="6094">
      <c r="A6094" s="76">
        <v>45797.0</v>
      </c>
      <c r="B6094" s="1" t="s">
        <v>472</v>
      </c>
      <c r="C6094" s="1" t="s">
        <v>46</v>
      </c>
      <c r="D6094" s="1">
        <v>4.1</v>
      </c>
      <c r="E6094" s="1">
        <v>27498.0</v>
      </c>
      <c r="F6094" s="10">
        <f t="shared" si="1"/>
        <v>4.333333333</v>
      </c>
      <c r="G6094" s="10">
        <f t="array" ref="G6094">index('Player ID'!C:C,match(E6094,'Player ID'!B:B,0))</f>
        <v>675911</v>
      </c>
    </row>
    <row r="6095">
      <c r="A6095" s="76">
        <v>45797.0</v>
      </c>
      <c r="B6095" s="1" t="s">
        <v>507</v>
      </c>
      <c r="C6095" s="1" t="s">
        <v>80</v>
      </c>
      <c r="D6095" s="1">
        <v>1.0</v>
      </c>
      <c r="E6095" s="1">
        <v>27570.0</v>
      </c>
      <c r="F6095" s="10">
        <f t="shared" si="1"/>
        <v>1</v>
      </c>
      <c r="G6095" s="10">
        <f t="array" ref="G6095">index('Player ID'!C:C,match(E6095,'Player ID'!B:B,0))</f>
        <v>669371</v>
      </c>
    </row>
    <row r="6096">
      <c r="A6096" s="76">
        <v>45797.0</v>
      </c>
      <c r="B6096" s="1" t="s">
        <v>330</v>
      </c>
      <c r="C6096" s="1" t="s">
        <v>80</v>
      </c>
      <c r="D6096" s="1">
        <v>5.1</v>
      </c>
      <c r="E6096" s="1">
        <v>27636.0</v>
      </c>
      <c r="F6096" s="10">
        <f t="shared" si="1"/>
        <v>5.333333333</v>
      </c>
      <c r="G6096" s="10">
        <f t="array" ref="G6096">index('Player ID'!C:C,match(E6096,'Player ID'!B:B,0))</f>
        <v>680730</v>
      </c>
    </row>
    <row r="6097">
      <c r="A6097" s="76">
        <v>45797.0</v>
      </c>
      <c r="B6097" s="1" t="s">
        <v>38</v>
      </c>
      <c r="C6097" s="1" t="s">
        <v>39</v>
      </c>
      <c r="D6097" s="1">
        <v>0.1</v>
      </c>
      <c r="E6097" s="1">
        <v>13580.0</v>
      </c>
      <c r="F6097" s="10">
        <f t="shared" si="1"/>
        <v>0.3333333333</v>
      </c>
      <c r="G6097" s="10">
        <f t="array" ref="G6097">index('Player ID'!C:C,match(E6097,'Player ID'!B:B,0))</f>
        <v>595345</v>
      </c>
    </row>
    <row r="6098">
      <c r="A6098" s="76">
        <v>45797.0</v>
      </c>
      <c r="B6098" s="1" t="s">
        <v>177</v>
      </c>
      <c r="C6098" s="1" t="s">
        <v>54</v>
      </c>
      <c r="D6098" s="1">
        <v>5.0</v>
      </c>
      <c r="E6098" s="1">
        <v>15823.0</v>
      </c>
      <c r="F6098" s="10">
        <f t="shared" si="1"/>
        <v>5</v>
      </c>
      <c r="G6098" s="10">
        <f t="array" ref="G6098">index('Player ID'!C:C,match(E6098,'Player ID'!B:B,0))</f>
        <v>641793</v>
      </c>
    </row>
    <row r="6099">
      <c r="A6099" s="76">
        <v>45797.0</v>
      </c>
      <c r="B6099" s="1" t="s">
        <v>185</v>
      </c>
      <c r="C6099" s="1" t="s">
        <v>54</v>
      </c>
      <c r="D6099" s="1">
        <v>1.0</v>
      </c>
      <c r="E6099" s="1">
        <v>17897.0</v>
      </c>
      <c r="F6099" s="10">
        <f t="shared" si="1"/>
        <v>1</v>
      </c>
      <c r="G6099" s="10">
        <f t="array" ref="G6099">index('Player ID'!C:C,match(E6099,'Player ID'!B:B,0))</f>
        <v>664076</v>
      </c>
    </row>
    <row r="6100">
      <c r="A6100" s="76">
        <v>45797.0</v>
      </c>
      <c r="B6100" s="1" t="s">
        <v>261</v>
      </c>
      <c r="C6100" s="1" t="s">
        <v>54</v>
      </c>
      <c r="D6100" s="1">
        <v>1.0</v>
      </c>
      <c r="E6100" s="1">
        <v>17998.0</v>
      </c>
      <c r="F6100" s="10">
        <f t="shared" si="1"/>
        <v>1</v>
      </c>
      <c r="G6100" s="10">
        <f t="array" ref="G6100">index('Player ID'!C:C,match(E6100,'Player ID'!B:B,0))</f>
        <v>664126</v>
      </c>
    </row>
    <row r="6101">
      <c r="A6101" s="76">
        <v>45797.0</v>
      </c>
      <c r="B6101" s="1" t="s">
        <v>359</v>
      </c>
      <c r="C6101" s="1" t="s">
        <v>39</v>
      </c>
      <c r="D6101" s="1">
        <v>1.1</v>
      </c>
      <c r="E6101" s="1">
        <v>20061.0</v>
      </c>
      <c r="F6101" s="10">
        <f t="shared" si="1"/>
        <v>1.333333333</v>
      </c>
      <c r="G6101" s="10">
        <f t="array" ref="G6101">index('Player ID'!C:C,match(E6101,'Player ID'!B:B,0))</f>
        <v>672391</v>
      </c>
    </row>
    <row r="6102">
      <c r="A6102" s="76">
        <v>45797.0</v>
      </c>
      <c r="B6102" s="1" t="s">
        <v>400</v>
      </c>
      <c r="C6102" s="1" t="s">
        <v>54</v>
      </c>
      <c r="D6102" s="1">
        <v>1.0</v>
      </c>
      <c r="E6102" s="1">
        <v>20539.0</v>
      </c>
      <c r="F6102" s="10">
        <f t="shared" si="1"/>
        <v>1</v>
      </c>
      <c r="G6102" s="10">
        <f t="array" ref="G6102">index('Player ID'!C:C,match(E6102,'Player ID'!B:B,0))</f>
        <v>670955</v>
      </c>
    </row>
    <row r="6103">
      <c r="A6103" s="76">
        <v>45797.0</v>
      </c>
      <c r="B6103" s="1" t="s">
        <v>705</v>
      </c>
      <c r="C6103" s="1" t="s">
        <v>54</v>
      </c>
      <c r="D6103" s="1">
        <v>1.0</v>
      </c>
      <c r="E6103" s="1">
        <v>20794.0</v>
      </c>
      <c r="F6103" s="10">
        <f t="shared" si="1"/>
        <v>1</v>
      </c>
      <c r="G6103" s="10">
        <f t="array" ref="G6103">index('Player ID'!C:C,match(E6103,'Player ID'!B:B,0))</f>
        <v>655889</v>
      </c>
    </row>
    <row r="6104">
      <c r="A6104" s="76">
        <v>45797.0</v>
      </c>
      <c r="B6104" s="1" t="s">
        <v>444</v>
      </c>
      <c r="C6104" s="1" t="s">
        <v>39</v>
      </c>
      <c r="D6104" s="1">
        <v>2.0</v>
      </c>
      <c r="E6104" s="1">
        <v>24977.0</v>
      </c>
      <c r="F6104" s="10">
        <f t="shared" si="1"/>
        <v>2</v>
      </c>
      <c r="G6104" s="10">
        <f t="array" ref="G6104">index('Player ID'!C:C,match(E6104,'Player ID'!B:B,0))</f>
        <v>681869</v>
      </c>
    </row>
    <row r="6105">
      <c r="A6105" s="76">
        <v>45797.0</v>
      </c>
      <c r="B6105" s="1" t="s">
        <v>63</v>
      </c>
      <c r="C6105" s="1" t="s">
        <v>39</v>
      </c>
      <c r="D6105" s="1">
        <v>5.0</v>
      </c>
      <c r="E6105" s="1">
        <v>26056.0</v>
      </c>
      <c r="F6105" s="10">
        <f t="shared" si="1"/>
        <v>5</v>
      </c>
      <c r="G6105" s="10">
        <f t="array" ref="G6105">index('Player ID'!C:C,match(E6105,'Player ID'!B:B,0))</f>
        <v>687888</v>
      </c>
    </row>
    <row r="6106">
      <c r="A6106" s="76">
        <v>45797.0</v>
      </c>
      <c r="B6106" s="1" t="s">
        <v>245</v>
      </c>
      <c r="C6106" s="1" t="s">
        <v>56</v>
      </c>
      <c r="D6106" s="1">
        <v>5.0</v>
      </c>
      <c r="E6106" s="1">
        <v>9323.0</v>
      </c>
      <c r="F6106" s="10">
        <f t="shared" si="1"/>
        <v>5</v>
      </c>
      <c r="G6106" s="10">
        <f t="array" ref="G6106">index('Player ID'!C:C,match(E6106,'Player ID'!B:B,0))</f>
        <v>571578</v>
      </c>
    </row>
    <row r="6107">
      <c r="A6107" s="76">
        <v>45797.0</v>
      </c>
      <c r="B6107" s="1" t="s">
        <v>467</v>
      </c>
      <c r="C6107" s="1" t="s">
        <v>58</v>
      </c>
      <c r="D6107" s="1">
        <v>1.1</v>
      </c>
      <c r="E6107" s="1">
        <v>15551.0</v>
      </c>
      <c r="F6107" s="10">
        <f t="shared" si="1"/>
        <v>1.333333333</v>
      </c>
      <c r="G6107" s="10">
        <f t="array" ref="G6107">index('Player ID'!C:C,match(E6107,'Player ID'!B:B,0))</f>
        <v>643410</v>
      </c>
    </row>
    <row r="6108">
      <c r="A6108" s="76">
        <v>45797.0</v>
      </c>
      <c r="B6108" s="1" t="s">
        <v>114</v>
      </c>
      <c r="C6108" s="1" t="s">
        <v>58</v>
      </c>
      <c r="D6108" s="1">
        <v>1.0</v>
      </c>
      <c r="E6108" s="1">
        <v>15816.0</v>
      </c>
      <c r="F6108" s="10">
        <f t="shared" si="1"/>
        <v>1</v>
      </c>
      <c r="G6108" s="10">
        <f t="array" ref="G6108">index('Player ID'!C:C,match(E6108,'Player ID'!B:B,0))</f>
        <v>642207</v>
      </c>
    </row>
    <row r="6109">
      <c r="A6109" s="76">
        <v>45797.0</v>
      </c>
      <c r="B6109" s="1" t="s">
        <v>225</v>
      </c>
      <c r="C6109" s="1" t="s">
        <v>58</v>
      </c>
      <c r="D6109" s="1">
        <v>0.1</v>
      </c>
      <c r="E6109" s="1">
        <v>16918.0</v>
      </c>
      <c r="F6109" s="10">
        <f t="shared" si="1"/>
        <v>0.3333333333</v>
      </c>
      <c r="G6109" s="10">
        <f t="array" ref="G6109">index('Player ID'!C:C,match(E6109,'Player ID'!B:B,0))</f>
        <v>596133</v>
      </c>
    </row>
    <row r="6110">
      <c r="A6110" s="76">
        <v>45797.0</v>
      </c>
      <c r="B6110" s="1" t="s">
        <v>520</v>
      </c>
      <c r="C6110" s="1" t="s">
        <v>58</v>
      </c>
      <c r="D6110" s="1">
        <v>0.2</v>
      </c>
      <c r="E6110" s="1">
        <v>19261.0</v>
      </c>
      <c r="F6110" s="10">
        <f t="shared" si="1"/>
        <v>0.6666666667</v>
      </c>
      <c r="G6110" s="10">
        <f t="array" ref="G6110">index('Player ID'!C:C,match(E6110,'Player ID'!B:B,0))</f>
        <v>641656</v>
      </c>
    </row>
    <row r="6111">
      <c r="A6111" s="76">
        <v>45797.0</v>
      </c>
      <c r="B6111" s="1" t="s">
        <v>87</v>
      </c>
      <c r="C6111" s="1" t="s">
        <v>56</v>
      </c>
      <c r="D6111" s="1">
        <v>1.0</v>
      </c>
      <c r="E6111" s="1">
        <v>19274.0</v>
      </c>
      <c r="F6111" s="10">
        <f t="shared" si="1"/>
        <v>1</v>
      </c>
      <c r="G6111" s="10">
        <f t="array" ref="G6111">index('Player ID'!C:C,match(E6111,'Player ID'!B:B,0))</f>
        <v>657097</v>
      </c>
    </row>
    <row r="6112">
      <c r="A6112" s="76">
        <v>45797.0</v>
      </c>
      <c r="B6112" s="1" t="s">
        <v>349</v>
      </c>
      <c r="C6112" s="1" t="s">
        <v>56</v>
      </c>
      <c r="D6112" s="1">
        <v>2.0</v>
      </c>
      <c r="E6112" s="1">
        <v>19736.0</v>
      </c>
      <c r="F6112" s="10">
        <f t="shared" si="1"/>
        <v>2</v>
      </c>
      <c r="G6112" s="10">
        <f t="array" ref="G6112">index('Player ID'!C:C,match(E6112,'Player ID'!B:B,0))</f>
        <v>676961</v>
      </c>
    </row>
    <row r="6113">
      <c r="A6113" s="76">
        <v>45797.0</v>
      </c>
      <c r="B6113" s="1" t="s">
        <v>344</v>
      </c>
      <c r="C6113" s="1" t="s">
        <v>58</v>
      </c>
      <c r="D6113" s="1">
        <v>5.2</v>
      </c>
      <c r="E6113" s="1">
        <v>30182.0</v>
      </c>
      <c r="F6113" s="10">
        <f t="shared" si="1"/>
        <v>5.666666667</v>
      </c>
      <c r="G6113" s="10">
        <f t="array" ref="G6113">index('Player ID'!C:C,match(E6113,'Player ID'!B:B,0))</f>
        <v>701542</v>
      </c>
    </row>
    <row r="6114">
      <c r="A6114" s="76">
        <v>45797.0</v>
      </c>
      <c r="B6114" s="1" t="s">
        <v>456</v>
      </c>
      <c r="C6114" s="1" t="s">
        <v>40</v>
      </c>
      <c r="D6114" s="1">
        <v>6.0</v>
      </c>
      <c r="E6114" s="1">
        <v>12304.0</v>
      </c>
      <c r="F6114" s="10">
        <f t="shared" si="1"/>
        <v>6</v>
      </c>
      <c r="G6114" s="10">
        <f t="array" ref="G6114">index('Player ID'!C:C,match(E6114,'Player ID'!B:B,0))</f>
        <v>605135</v>
      </c>
    </row>
    <row r="6115">
      <c r="A6115" s="76">
        <v>45797.0</v>
      </c>
      <c r="B6115" s="1" t="s">
        <v>404</v>
      </c>
      <c r="C6115" s="1" t="s">
        <v>26</v>
      </c>
      <c r="D6115" s="1">
        <v>1.0</v>
      </c>
      <c r="E6115" s="1">
        <v>14295.0</v>
      </c>
      <c r="F6115" s="10">
        <f t="shared" si="1"/>
        <v>1</v>
      </c>
      <c r="G6115" s="10">
        <f t="array" ref="G6115">index('Player ID'!C:C,match(E6115,'Player ID'!B:B,0))</f>
        <v>593974</v>
      </c>
    </row>
    <row r="6116">
      <c r="A6116" s="76">
        <v>45797.0</v>
      </c>
      <c r="B6116" s="1" t="s">
        <v>311</v>
      </c>
      <c r="C6116" s="1" t="s">
        <v>40</v>
      </c>
      <c r="D6116" s="1">
        <v>1.0</v>
      </c>
      <c r="E6116" s="1">
        <v>17432.0</v>
      </c>
      <c r="F6116" s="10">
        <f t="shared" si="1"/>
        <v>1</v>
      </c>
      <c r="G6116" s="10">
        <f t="array" ref="G6116">index('Player ID'!C:C,match(E6116,'Player ID'!B:B,0))</f>
        <v>656546</v>
      </c>
    </row>
    <row r="6117">
      <c r="A6117" s="76">
        <v>45797.0</v>
      </c>
      <c r="B6117" s="1" t="s">
        <v>282</v>
      </c>
      <c r="C6117" s="1" t="s">
        <v>26</v>
      </c>
      <c r="D6117" s="1">
        <v>7.0</v>
      </c>
      <c r="E6117" s="1">
        <v>18525.0</v>
      </c>
      <c r="F6117" s="10">
        <f t="shared" si="1"/>
        <v>7</v>
      </c>
      <c r="G6117" s="10">
        <f t="array" ref="G6117">index('Player ID'!C:C,match(E6117,'Player ID'!B:B,0))</f>
        <v>656302</v>
      </c>
    </row>
    <row r="6118">
      <c r="A6118" s="76">
        <v>45797.0</v>
      </c>
      <c r="B6118" s="1" t="s">
        <v>395</v>
      </c>
      <c r="C6118" s="1" t="s">
        <v>40</v>
      </c>
      <c r="D6118" s="1">
        <v>1.0</v>
      </c>
      <c r="E6118" s="1">
        <v>21574.0</v>
      </c>
      <c r="F6118" s="10">
        <f t="shared" si="1"/>
        <v>1</v>
      </c>
      <c r="G6118" s="10">
        <f t="array" ref="G6118">index('Player ID'!C:C,match(E6118,'Player ID'!B:B,0))</f>
        <v>663893</v>
      </c>
    </row>
    <row r="6119">
      <c r="A6119" s="76">
        <v>45797.0</v>
      </c>
      <c r="B6119" s="1" t="s">
        <v>427</v>
      </c>
      <c r="C6119" s="1" t="s">
        <v>40</v>
      </c>
      <c r="D6119" s="1">
        <v>1.0</v>
      </c>
      <c r="E6119" s="1">
        <v>33838.0</v>
      </c>
      <c r="F6119" s="10">
        <f t="shared" si="1"/>
        <v>1</v>
      </c>
      <c r="G6119" s="10">
        <f t="array" ref="G6119">index('Player ID'!C:C,match(E6119,'Player ID'!B:B,0))</f>
        <v>684320</v>
      </c>
    </row>
    <row r="6120">
      <c r="A6120" s="76">
        <v>45797.0</v>
      </c>
      <c r="B6120" s="1" t="s">
        <v>634</v>
      </c>
      <c r="C6120" s="1" t="s">
        <v>14</v>
      </c>
      <c r="D6120" s="1">
        <v>0.1</v>
      </c>
      <c r="E6120" s="1">
        <v>14332.0</v>
      </c>
      <c r="F6120" s="10">
        <f t="shared" si="1"/>
        <v>0.3333333333</v>
      </c>
      <c r="G6120" s="10">
        <f t="array" ref="G6120">index('Player ID'!C:C,match(E6120,'Player ID'!B:B,0))</f>
        <v>606303</v>
      </c>
    </row>
    <row r="6121">
      <c r="A6121" s="76">
        <v>45797.0</v>
      </c>
      <c r="B6121" s="1" t="s">
        <v>187</v>
      </c>
      <c r="C6121" s="1" t="s">
        <v>14</v>
      </c>
      <c r="D6121" s="1">
        <v>1.2</v>
      </c>
      <c r="E6121" s="1">
        <v>17735.0</v>
      </c>
      <c r="F6121" s="10">
        <f t="shared" si="1"/>
        <v>1.666666667</v>
      </c>
      <c r="G6121" s="10">
        <f t="array" ref="G6121">index('Player ID'!C:C,match(E6121,'Player ID'!B:B,0))</f>
        <v>641302</v>
      </c>
    </row>
    <row r="6122">
      <c r="A6122" s="76">
        <v>45797.0</v>
      </c>
      <c r="B6122" s="1" t="s">
        <v>231</v>
      </c>
      <c r="C6122" s="1" t="s">
        <v>68</v>
      </c>
      <c r="D6122" s="1">
        <v>1.0</v>
      </c>
      <c r="E6122" s="1">
        <v>19362.0</v>
      </c>
      <c r="F6122" s="10">
        <f t="shared" si="1"/>
        <v>1</v>
      </c>
      <c r="G6122" s="10">
        <f t="array" ref="G6122">index('Player ID'!C:C,match(E6122,'Player ID'!B:B,0))</f>
        <v>669211</v>
      </c>
    </row>
    <row r="6123">
      <c r="A6123" s="76">
        <v>45797.0</v>
      </c>
      <c r="B6123" s="1" t="s">
        <v>675</v>
      </c>
      <c r="C6123" s="1" t="s">
        <v>68</v>
      </c>
      <c r="D6123" s="1">
        <v>0.1</v>
      </c>
      <c r="E6123" s="1">
        <v>19614.0</v>
      </c>
      <c r="F6123" s="10">
        <f t="shared" si="1"/>
        <v>0.3333333333</v>
      </c>
      <c r="G6123" s="10">
        <f t="array" ref="G6123">index('Player ID'!C:C,match(E6123,'Player ID'!B:B,0))</f>
        <v>672335</v>
      </c>
    </row>
    <row r="6124">
      <c r="A6124" s="76">
        <v>45797.0</v>
      </c>
      <c r="B6124" s="1" t="s">
        <v>240</v>
      </c>
      <c r="C6124" s="1" t="s">
        <v>68</v>
      </c>
      <c r="D6124" s="1">
        <v>1.1</v>
      </c>
      <c r="E6124" s="1">
        <v>19804.0</v>
      </c>
      <c r="F6124" s="10">
        <f t="shared" si="1"/>
        <v>1.333333333</v>
      </c>
      <c r="G6124" s="10">
        <f t="array" ref="G6124">index('Player ID'!C:C,match(E6124,'Player ID'!B:B,0))</f>
        <v>641329</v>
      </c>
    </row>
    <row r="6125">
      <c r="A6125" s="76">
        <v>45797.0</v>
      </c>
      <c r="B6125" s="1" t="s">
        <v>698</v>
      </c>
      <c r="C6125" s="1" t="s">
        <v>68</v>
      </c>
      <c r="D6125" s="1">
        <v>0.2</v>
      </c>
      <c r="E6125" s="1">
        <v>20666.0</v>
      </c>
      <c r="F6125" s="10">
        <f t="shared" si="1"/>
        <v>0.6666666667</v>
      </c>
      <c r="G6125" s="10">
        <f t="array" ref="G6125">index('Player ID'!C:C,match(E6125,'Player ID'!B:B,0))</f>
        <v>642585</v>
      </c>
    </row>
    <row r="6126">
      <c r="A6126" s="76">
        <v>45797.0</v>
      </c>
      <c r="B6126" s="1" t="s">
        <v>279</v>
      </c>
      <c r="C6126" s="1" t="s">
        <v>14</v>
      </c>
      <c r="D6126" s="1">
        <v>1.0</v>
      </c>
      <c r="E6126" s="1">
        <v>25327.0</v>
      </c>
      <c r="F6126" s="10">
        <f t="shared" si="1"/>
        <v>1</v>
      </c>
      <c r="G6126" s="10">
        <f t="array" ref="G6126">index('Player ID'!C:C,match(E6126,'Player ID'!B:B,0))</f>
        <v>682842</v>
      </c>
    </row>
    <row r="6127">
      <c r="A6127" s="76">
        <v>45797.0</v>
      </c>
      <c r="B6127" s="1" t="s">
        <v>418</v>
      </c>
      <c r="C6127" s="1" t="s">
        <v>14</v>
      </c>
      <c r="D6127" s="1">
        <v>1.0</v>
      </c>
      <c r="E6127" s="1">
        <v>27517.0</v>
      </c>
      <c r="F6127" s="10">
        <f t="shared" si="1"/>
        <v>1</v>
      </c>
      <c r="G6127" s="10">
        <f t="array" ref="G6127">index('Player ID'!C:C,match(E6127,'Player ID'!B:B,0))</f>
        <v>657649</v>
      </c>
    </row>
    <row r="6128">
      <c r="A6128" s="76">
        <v>45797.0</v>
      </c>
      <c r="B6128" s="1" t="s">
        <v>621</v>
      </c>
      <c r="C6128" s="1" t="s">
        <v>68</v>
      </c>
      <c r="D6128" s="1">
        <v>4.2</v>
      </c>
      <c r="E6128" s="1">
        <v>29866.0</v>
      </c>
      <c r="F6128" s="10">
        <f t="shared" si="1"/>
        <v>4.666666667</v>
      </c>
      <c r="G6128" s="10">
        <f t="array" ref="G6128">index('Player ID'!C:C,match(E6128,'Player ID'!B:B,0))</f>
        <v>694646</v>
      </c>
    </row>
    <row r="6129">
      <c r="A6129" s="76">
        <v>45797.0</v>
      </c>
      <c r="B6129" s="1" t="s">
        <v>555</v>
      </c>
      <c r="C6129" s="1" t="s">
        <v>14</v>
      </c>
      <c r="D6129" s="1">
        <v>5.0</v>
      </c>
      <c r="E6129" s="1">
        <v>31475.0</v>
      </c>
      <c r="F6129" s="10">
        <f t="shared" si="1"/>
        <v>5</v>
      </c>
      <c r="G6129" s="10">
        <f t="array" ref="G6129">index('Player ID'!C:C,match(E6129,'Player ID'!B:B,0))</f>
        <v>701656</v>
      </c>
    </row>
    <row r="6130">
      <c r="A6130" s="76">
        <v>45797.0</v>
      </c>
      <c r="B6130" s="1" t="s">
        <v>558</v>
      </c>
      <c r="C6130" s="1" t="s">
        <v>37</v>
      </c>
      <c r="D6130" s="1">
        <v>5.0</v>
      </c>
      <c r="E6130" s="1">
        <v>11121.0</v>
      </c>
      <c r="F6130" s="10">
        <f t="shared" si="1"/>
        <v>5</v>
      </c>
      <c r="G6130" s="10">
        <f t="array" ref="G6130">index('Player ID'!C:C,match(E6130,'Player ID'!B:B,0))</f>
        <v>596271</v>
      </c>
    </row>
    <row r="6131">
      <c r="A6131" s="76">
        <v>45797.0</v>
      </c>
      <c r="B6131" s="1" t="s">
        <v>411</v>
      </c>
      <c r="C6131" s="1" t="s">
        <v>78</v>
      </c>
      <c r="D6131" s="1">
        <v>6.0</v>
      </c>
      <c r="E6131" s="1">
        <v>12718.0</v>
      </c>
      <c r="F6131" s="10">
        <f t="shared" si="1"/>
        <v>6</v>
      </c>
      <c r="G6131" s="10">
        <f t="array" ref="G6131">index('Player ID'!C:C,match(E6131,'Player ID'!B:B,0))</f>
        <v>605288</v>
      </c>
    </row>
    <row r="6132">
      <c r="A6132" s="76">
        <v>45797.0</v>
      </c>
      <c r="B6132" s="1" t="s">
        <v>252</v>
      </c>
      <c r="C6132" s="1" t="s">
        <v>78</v>
      </c>
      <c r="D6132" s="1">
        <v>0.2</v>
      </c>
      <c r="E6132" s="1">
        <v>16061.0</v>
      </c>
      <c r="F6132" s="10">
        <f t="shared" si="1"/>
        <v>0.6666666667</v>
      </c>
      <c r="G6132" s="10">
        <f t="array" ref="G6132">index('Player ID'!C:C,match(E6132,'Player ID'!B:B,0))</f>
        <v>592155</v>
      </c>
    </row>
    <row r="6133">
      <c r="A6133" s="76">
        <v>45797.0</v>
      </c>
      <c r="B6133" s="1" t="s">
        <v>53</v>
      </c>
      <c r="C6133" s="1" t="s">
        <v>37</v>
      </c>
      <c r="D6133" s="1">
        <v>1.0</v>
      </c>
      <c r="E6133" s="1">
        <v>17170.0</v>
      </c>
      <c r="F6133" s="10">
        <f t="shared" si="1"/>
        <v>1</v>
      </c>
      <c r="G6133" s="10">
        <f t="array" ref="G6133">index('Player ID'!C:C,match(E6133,'Player ID'!B:B,0))</f>
        <v>642100</v>
      </c>
    </row>
    <row r="6134">
      <c r="A6134" s="76">
        <v>45797.0</v>
      </c>
      <c r="B6134" s="1" t="s">
        <v>116</v>
      </c>
      <c r="C6134" s="1" t="s">
        <v>78</v>
      </c>
      <c r="D6134" s="1">
        <v>0.1</v>
      </c>
      <c r="E6134" s="1">
        <v>20353.0</v>
      </c>
      <c r="F6134" s="10">
        <f t="shared" si="1"/>
        <v>0.3333333333</v>
      </c>
      <c r="G6134" s="10">
        <f t="array" ref="G6134">index('Player ID'!C:C,match(E6134,'Player ID'!B:B,0))</f>
        <v>621051</v>
      </c>
    </row>
    <row r="6135">
      <c r="A6135" s="76">
        <v>45797.0</v>
      </c>
      <c r="B6135" s="1" t="s">
        <v>101</v>
      </c>
      <c r="C6135" s="1" t="s">
        <v>37</v>
      </c>
      <c r="D6135" s="1">
        <v>1.0</v>
      </c>
      <c r="E6135" s="1">
        <v>22915.0</v>
      </c>
      <c r="F6135" s="10">
        <f t="shared" si="1"/>
        <v>1</v>
      </c>
      <c r="G6135" s="10">
        <f t="array" ref="G6135">index('Player ID'!C:C,match(E6135,'Player ID'!B:B,0))</f>
        <v>672841</v>
      </c>
    </row>
    <row r="6136">
      <c r="A6136" s="76">
        <v>45797.0</v>
      </c>
      <c r="B6136" s="1" t="s">
        <v>340</v>
      </c>
      <c r="C6136" s="1" t="s">
        <v>37</v>
      </c>
      <c r="D6136" s="1">
        <v>1.0</v>
      </c>
      <c r="E6136" s="1">
        <v>25921.0</v>
      </c>
      <c r="F6136" s="10">
        <f t="shared" si="1"/>
        <v>1</v>
      </c>
      <c r="G6136" s="10">
        <f t="array" ref="G6136">index('Player ID'!C:C,match(E6136,'Player ID'!B:B,0))</f>
        <v>668984</v>
      </c>
    </row>
    <row r="6137">
      <c r="A6137" s="76">
        <v>45797.0</v>
      </c>
      <c r="B6137" s="1" t="s">
        <v>367</v>
      </c>
      <c r="C6137" s="1" t="s">
        <v>78</v>
      </c>
      <c r="D6137" s="1">
        <v>1.0</v>
      </c>
      <c r="E6137" s="1">
        <v>27668.0</v>
      </c>
      <c r="F6137" s="10">
        <f t="shared" si="1"/>
        <v>1</v>
      </c>
      <c r="G6137" s="10">
        <f t="array" ref="G6137">index('Player ID'!C:C,match(E6137,'Player ID'!B:B,0))</f>
        <v>685126</v>
      </c>
    </row>
    <row r="6138">
      <c r="A6138" s="76">
        <v>45797.0</v>
      </c>
      <c r="B6138" s="1" t="s">
        <v>317</v>
      </c>
      <c r="C6138" s="1" t="s">
        <v>78</v>
      </c>
      <c r="D6138" s="1">
        <v>1.0</v>
      </c>
      <c r="E6138" s="1">
        <v>29950.0</v>
      </c>
      <c r="F6138" s="10">
        <f t="shared" si="1"/>
        <v>1</v>
      </c>
      <c r="G6138" s="10">
        <f t="array" ref="G6138">index('Player ID'!C:C,match(E6138,'Player ID'!B:B,0))</f>
        <v>673929</v>
      </c>
    </row>
    <row r="6139">
      <c r="A6139" s="76">
        <v>45797.0</v>
      </c>
      <c r="B6139" s="1" t="s">
        <v>439</v>
      </c>
      <c r="C6139" s="1" t="s">
        <v>62</v>
      </c>
      <c r="D6139" s="1">
        <v>1.0</v>
      </c>
      <c r="E6139" s="1">
        <v>11384.0</v>
      </c>
      <c r="F6139" s="10">
        <f t="shared" si="1"/>
        <v>1</v>
      </c>
      <c r="G6139" s="10">
        <f t="array" ref="G6139">index('Player ID'!C:C,match(E6139,'Player ID'!B:B,0))</f>
        <v>592454</v>
      </c>
    </row>
    <row r="6140">
      <c r="A6140" s="76">
        <v>45797.0</v>
      </c>
      <c r="B6140" s="1" t="s">
        <v>83</v>
      </c>
      <c r="C6140" s="1" t="s">
        <v>72</v>
      </c>
      <c r="D6140" s="1">
        <v>2.2</v>
      </c>
      <c r="E6140" s="1">
        <v>13361.0</v>
      </c>
      <c r="F6140" s="10">
        <f t="shared" si="1"/>
        <v>2.666666667</v>
      </c>
      <c r="G6140" s="10">
        <f t="array" ref="G6140">index('Player ID'!C:C,match(E6140,'Player ID'!B:B,0))</f>
        <v>571927</v>
      </c>
    </row>
    <row r="6141">
      <c r="A6141" s="76">
        <v>45797.0</v>
      </c>
      <c r="B6141" s="1" t="s">
        <v>321</v>
      </c>
      <c r="C6141" s="1" t="s">
        <v>72</v>
      </c>
      <c r="D6141" s="1">
        <v>5.0</v>
      </c>
      <c r="E6141" s="1">
        <v>17425.0</v>
      </c>
      <c r="F6141" s="10">
        <f t="shared" si="1"/>
        <v>5</v>
      </c>
      <c r="G6141" s="10">
        <f t="array" ref="G6141">index('Player ID'!C:C,match(E6141,'Player ID'!B:B,0))</f>
        <v>607200</v>
      </c>
    </row>
    <row r="6142">
      <c r="A6142" s="76">
        <v>45797.0</v>
      </c>
      <c r="B6142" s="1" t="s">
        <v>131</v>
      </c>
      <c r="C6142" s="1" t="s">
        <v>62</v>
      </c>
      <c r="D6142" s="1">
        <v>1.0</v>
      </c>
      <c r="E6142" s="1">
        <v>19769.0</v>
      </c>
      <c r="F6142" s="10">
        <f t="shared" si="1"/>
        <v>1</v>
      </c>
      <c r="G6142" s="10">
        <f t="array" ref="G6142">index('Player ID'!C:C,match(E6142,'Player ID'!B:B,0))</f>
        <v>676684</v>
      </c>
    </row>
    <row r="6143">
      <c r="A6143" s="76">
        <v>45797.0</v>
      </c>
      <c r="B6143" s="1" t="s">
        <v>84</v>
      </c>
      <c r="C6143" s="1" t="s">
        <v>62</v>
      </c>
      <c r="D6143" s="1">
        <v>5.2</v>
      </c>
      <c r="E6143" s="1">
        <v>22267.0</v>
      </c>
      <c r="F6143" s="10">
        <f t="shared" si="1"/>
        <v>5.666666667</v>
      </c>
      <c r="G6143" s="10">
        <f t="array" ref="G6143">index('Player ID'!C:C,match(E6143,'Player ID'!B:B,0))</f>
        <v>669373</v>
      </c>
    </row>
    <row r="6144">
      <c r="A6144" s="76">
        <v>45797.0</v>
      </c>
      <c r="B6144" s="1" t="s">
        <v>289</v>
      </c>
      <c r="C6144" s="1" t="s">
        <v>62</v>
      </c>
      <c r="D6144" s="1">
        <v>0.1</v>
      </c>
      <c r="E6144" s="1">
        <v>22304.0</v>
      </c>
      <c r="F6144" s="10">
        <f t="shared" si="1"/>
        <v>0.3333333333</v>
      </c>
      <c r="G6144" s="10">
        <f t="array" ref="G6144">index('Player ID'!C:C,match(E6144,'Player ID'!B:B,0))</f>
        <v>669724</v>
      </c>
    </row>
    <row r="6145">
      <c r="A6145" s="76">
        <v>45797.0</v>
      </c>
      <c r="B6145" s="1" t="s">
        <v>170</v>
      </c>
      <c r="C6145" s="1" t="s">
        <v>72</v>
      </c>
      <c r="D6145" s="1">
        <v>1.1</v>
      </c>
      <c r="E6145" s="1">
        <v>24763.0</v>
      </c>
      <c r="F6145" s="10">
        <f t="shared" si="1"/>
        <v>1.333333333</v>
      </c>
      <c r="G6145" s="10">
        <f t="array" ref="G6145">index('Player ID'!C:C,match(E6145,'Player ID'!B:B,0))</f>
        <v>681517</v>
      </c>
    </row>
    <row r="6146">
      <c r="A6146" s="76">
        <v>45797.0</v>
      </c>
      <c r="B6146" s="1" t="s">
        <v>82</v>
      </c>
      <c r="C6146" s="1" t="s">
        <v>62</v>
      </c>
      <c r="D6146" s="1">
        <v>1.0</v>
      </c>
      <c r="E6146" s="1">
        <v>26231.0</v>
      </c>
      <c r="F6146" s="10">
        <f t="shared" si="1"/>
        <v>1</v>
      </c>
      <c r="G6146" s="10">
        <f t="array" ref="G6146">index('Player ID'!C:C,match(E6146,'Player ID'!B:B,0))</f>
        <v>663947</v>
      </c>
    </row>
    <row r="6147">
      <c r="A6147" s="76">
        <v>45797.0</v>
      </c>
      <c r="B6147" s="1" t="s">
        <v>699</v>
      </c>
      <c r="C6147" s="1" t="s">
        <v>45</v>
      </c>
      <c r="D6147" s="1">
        <v>1.0</v>
      </c>
      <c r="E6147" s="1">
        <v>14552.0</v>
      </c>
      <c r="F6147" s="10">
        <f t="shared" si="1"/>
        <v>1</v>
      </c>
      <c r="G6147" s="10">
        <f t="array" ref="G6147">index('Player ID'!C:C,match(E6147,'Player ID'!B:B,0))</f>
        <v>614179</v>
      </c>
    </row>
    <row r="6148">
      <c r="A6148" s="76">
        <v>45797.0</v>
      </c>
      <c r="B6148" s="1" t="s">
        <v>481</v>
      </c>
      <c r="C6148" s="1" t="s">
        <v>75</v>
      </c>
      <c r="D6148" s="1">
        <v>6.0</v>
      </c>
      <c r="E6148" s="1">
        <v>15488.0</v>
      </c>
      <c r="F6148" s="10">
        <f t="shared" si="1"/>
        <v>6</v>
      </c>
      <c r="G6148" s="10">
        <f t="array" ref="G6148">index('Player ID'!C:C,match(E6148,'Player ID'!B:B,0))</f>
        <v>622608</v>
      </c>
    </row>
    <row r="6149">
      <c r="A6149" s="76">
        <v>45797.0</v>
      </c>
      <c r="B6149" s="1" t="s">
        <v>451</v>
      </c>
      <c r="C6149" s="1" t="s">
        <v>75</v>
      </c>
      <c r="D6149" s="1">
        <v>2.2</v>
      </c>
      <c r="E6149" s="1">
        <v>17556.0</v>
      </c>
      <c r="F6149" s="10">
        <f t="shared" si="1"/>
        <v>2.666666667</v>
      </c>
      <c r="G6149" s="10">
        <f t="array" ref="G6149">index('Player ID'!C:C,match(E6149,'Player ID'!B:B,0))</f>
        <v>623474</v>
      </c>
    </row>
    <row r="6150">
      <c r="A6150" s="76">
        <v>45797.0</v>
      </c>
      <c r="B6150" s="1" t="s">
        <v>700</v>
      </c>
      <c r="C6150" s="1" t="s">
        <v>45</v>
      </c>
      <c r="D6150" s="1">
        <v>6.0</v>
      </c>
      <c r="E6150" s="1">
        <v>19959.0</v>
      </c>
      <c r="F6150" s="10">
        <f t="shared" si="1"/>
        <v>6</v>
      </c>
      <c r="G6150" s="10">
        <f t="array" ref="G6150">index('Player ID'!C:C,match(E6150,'Player ID'!B:B,0))</f>
        <v>666200</v>
      </c>
    </row>
    <row r="6151">
      <c r="A6151" s="76">
        <v>45797.0</v>
      </c>
      <c r="B6151" s="1" t="s">
        <v>305</v>
      </c>
      <c r="C6151" s="1" t="s">
        <v>75</v>
      </c>
      <c r="D6151" s="1">
        <v>0.1</v>
      </c>
      <c r="E6151" s="1">
        <v>22200.0</v>
      </c>
      <c r="F6151" s="10">
        <f t="shared" si="1"/>
        <v>0.3333333333</v>
      </c>
      <c r="G6151" s="10">
        <f t="array" ref="G6151">index('Player ID'!C:C,match(E6151,'Player ID'!B:B,0))</f>
        <v>669020</v>
      </c>
    </row>
    <row r="6152">
      <c r="A6152" s="76">
        <v>45797.0</v>
      </c>
      <c r="B6152" s="1" t="s">
        <v>258</v>
      </c>
      <c r="C6152" s="1" t="s">
        <v>45</v>
      </c>
      <c r="D6152" s="1">
        <v>2.0</v>
      </c>
      <c r="E6152" s="1">
        <v>23426.0</v>
      </c>
      <c r="F6152" s="10">
        <f t="shared" si="1"/>
        <v>2</v>
      </c>
      <c r="G6152" s="10" t="str">
        <f t="array" ref="G6152">index('Player ID'!C:C,match(E6152,'Player ID'!B:B,0))</f>
        <v>#N/A</v>
      </c>
    </row>
    <row r="6153">
      <c r="A6153" s="76">
        <v>45797.0</v>
      </c>
      <c r="B6153" s="1" t="s">
        <v>420</v>
      </c>
      <c r="C6153" s="1" t="s">
        <v>29</v>
      </c>
      <c r="D6153" s="1">
        <v>4.2</v>
      </c>
      <c r="E6153" s="1">
        <v>14843.0</v>
      </c>
      <c r="F6153" s="10">
        <f t="shared" si="1"/>
        <v>4.666666667</v>
      </c>
      <c r="G6153" s="10">
        <f t="array" ref="G6153">index('Player ID'!C:C,match(E6153,'Player ID'!B:B,0))</f>
        <v>547179</v>
      </c>
    </row>
    <row r="6154">
      <c r="A6154" s="76">
        <v>45797.0</v>
      </c>
      <c r="B6154" s="1" t="s">
        <v>403</v>
      </c>
      <c r="C6154" s="1" t="s">
        <v>31</v>
      </c>
      <c r="D6154" s="1">
        <v>1.0</v>
      </c>
      <c r="E6154" s="1">
        <v>20423.0</v>
      </c>
      <c r="F6154" s="10">
        <f t="shared" si="1"/>
        <v>1</v>
      </c>
      <c r="G6154" s="10">
        <f t="array" ref="G6154">index('Player ID'!C:C,match(E6154,'Player ID'!B:B,0))</f>
        <v>676254</v>
      </c>
    </row>
    <row r="6155">
      <c r="A6155" s="76">
        <v>45797.0</v>
      </c>
      <c r="B6155" s="1" t="s">
        <v>304</v>
      </c>
      <c r="C6155" s="1" t="s">
        <v>31</v>
      </c>
      <c r="D6155" s="1">
        <v>0.2</v>
      </c>
      <c r="E6155" s="1">
        <v>21992.0</v>
      </c>
      <c r="F6155" s="10">
        <f t="shared" si="1"/>
        <v>0.6666666667</v>
      </c>
      <c r="G6155" s="10">
        <f t="array" ref="G6155">index('Player ID'!C:C,match(E6155,'Player ID'!B:B,0))</f>
        <v>666808</v>
      </c>
    </row>
    <row r="6156">
      <c r="A6156" s="76">
        <v>45797.0</v>
      </c>
      <c r="B6156" s="1" t="s">
        <v>140</v>
      </c>
      <c r="C6156" s="1" t="s">
        <v>29</v>
      </c>
      <c r="D6156" s="1">
        <v>0.1</v>
      </c>
      <c r="E6156" s="1">
        <v>22717.0</v>
      </c>
      <c r="F6156" s="10">
        <f t="shared" si="1"/>
        <v>0.3333333333</v>
      </c>
      <c r="G6156" s="10">
        <f t="array" ref="G6156">index('Player ID'!C:C,match(E6156,'Player ID'!B:B,0))</f>
        <v>672582</v>
      </c>
    </row>
    <row r="6157">
      <c r="A6157" s="76">
        <v>45797.0</v>
      </c>
      <c r="B6157" s="1" t="s">
        <v>214</v>
      </c>
      <c r="C6157" s="1" t="s">
        <v>29</v>
      </c>
      <c r="D6157" s="1">
        <v>0.2</v>
      </c>
      <c r="E6157" s="1">
        <v>23165.0</v>
      </c>
      <c r="F6157" s="10">
        <f t="shared" si="1"/>
        <v>0.6666666667</v>
      </c>
      <c r="G6157" s="10">
        <f t="array" ref="G6157">index('Player ID'!C:C,match(E6157,'Player ID'!B:B,0))</f>
        <v>674444</v>
      </c>
    </row>
    <row r="6158">
      <c r="A6158" s="76">
        <v>45797.0</v>
      </c>
      <c r="B6158" s="1" t="s">
        <v>654</v>
      </c>
      <c r="C6158" s="1" t="s">
        <v>31</v>
      </c>
      <c r="D6158" s="1">
        <v>1.0</v>
      </c>
      <c r="E6158" s="1">
        <v>23974.0</v>
      </c>
      <c r="F6158" s="10">
        <f t="shared" si="1"/>
        <v>1</v>
      </c>
      <c r="G6158" s="10">
        <f t="array" ref="G6158">index('Player ID'!C:C,match(E6158,'Player ID'!B:B,0))</f>
        <v>678495</v>
      </c>
    </row>
    <row r="6159">
      <c r="A6159" s="76">
        <v>45797.0</v>
      </c>
      <c r="B6159" s="1" t="s">
        <v>236</v>
      </c>
      <c r="C6159" s="1" t="s">
        <v>29</v>
      </c>
      <c r="D6159" s="1">
        <v>1.2</v>
      </c>
      <c r="E6159" s="1">
        <v>24607.0</v>
      </c>
      <c r="F6159" s="10">
        <f t="shared" si="1"/>
        <v>1.666666667</v>
      </c>
      <c r="G6159" s="10">
        <f t="array" ref="G6159">index('Player ID'!C:C,match(E6159,'Player ID'!B:B,0))</f>
        <v>680742</v>
      </c>
    </row>
    <row r="6160">
      <c r="A6160" s="76">
        <v>45797.0</v>
      </c>
      <c r="B6160" s="1" t="s">
        <v>734</v>
      </c>
      <c r="C6160" s="1" t="s">
        <v>29</v>
      </c>
      <c r="D6160" s="1">
        <v>0.2</v>
      </c>
      <c r="E6160" s="1">
        <v>24995.0</v>
      </c>
      <c r="F6160" s="10">
        <f t="shared" si="1"/>
        <v>0.6666666667</v>
      </c>
      <c r="G6160" s="10">
        <f t="array" ref="G6160">index('Player ID'!C:C,match(E6160,'Player ID'!B:B,0))</f>
        <v>681895</v>
      </c>
    </row>
    <row r="6161">
      <c r="A6161" s="76">
        <v>45797.0</v>
      </c>
      <c r="B6161" s="1" t="s">
        <v>96</v>
      </c>
      <c r="C6161" s="1" t="s">
        <v>31</v>
      </c>
      <c r="D6161" s="1">
        <v>1.1</v>
      </c>
      <c r="E6161" s="1">
        <v>27758.0</v>
      </c>
      <c r="F6161" s="10">
        <f t="shared" si="1"/>
        <v>1.333333333</v>
      </c>
      <c r="G6161" s="10">
        <f t="array" ref="G6161">index('Player ID'!C:C,match(E6161,'Player ID'!B:B,0))</f>
        <v>690986</v>
      </c>
    </row>
    <row r="6162">
      <c r="A6162" s="76">
        <v>45797.0</v>
      </c>
      <c r="B6162" s="1" t="s">
        <v>514</v>
      </c>
      <c r="C6162" s="1" t="s">
        <v>31</v>
      </c>
      <c r="D6162" s="1">
        <v>5.0</v>
      </c>
      <c r="E6162" s="1">
        <v>31635.0</v>
      </c>
      <c r="F6162" s="10">
        <f t="shared" si="1"/>
        <v>5</v>
      </c>
      <c r="G6162" s="10">
        <f t="array" ref="G6162">index('Player ID'!C:C,match(E6162,'Player ID'!B:B,0))</f>
        <v>806185</v>
      </c>
    </row>
    <row r="6163">
      <c r="A6163" s="76">
        <v>45797.0</v>
      </c>
      <c r="B6163" s="1" t="s">
        <v>154</v>
      </c>
      <c r="C6163" s="1" t="s">
        <v>25</v>
      </c>
      <c r="D6163" s="1">
        <v>1.0</v>
      </c>
      <c r="E6163" s="1">
        <v>3096.0</v>
      </c>
      <c r="F6163" s="10">
        <f t="shared" si="1"/>
        <v>1</v>
      </c>
      <c r="G6163" s="10">
        <f t="array" ref="G6163">index('Player ID'!C:C,match(E6163,'Player ID'!B:B,0))</f>
        <v>445276</v>
      </c>
    </row>
    <row r="6164">
      <c r="A6164" s="76">
        <v>45797.0</v>
      </c>
      <c r="B6164" s="1" t="s">
        <v>834</v>
      </c>
      <c r="C6164" s="1" t="s">
        <v>25</v>
      </c>
      <c r="D6164" s="1">
        <v>1.0</v>
      </c>
      <c r="E6164" s="1">
        <v>7836.0</v>
      </c>
      <c r="F6164" s="10">
        <f t="shared" si="1"/>
        <v>1</v>
      </c>
      <c r="G6164" s="10" t="str">
        <f t="array" ref="G6164">index('Player ID'!C:C,match(E6164,'Player ID'!B:B,0))</f>
        <v>#N/A</v>
      </c>
    </row>
    <row r="6165">
      <c r="A6165" s="76">
        <v>45797.0</v>
      </c>
      <c r="B6165" s="1" t="s">
        <v>399</v>
      </c>
      <c r="C6165" s="1" t="s">
        <v>25</v>
      </c>
      <c r="D6165" s="1">
        <v>5.2</v>
      </c>
      <c r="E6165" s="1">
        <v>12049.0</v>
      </c>
      <c r="F6165" s="10">
        <f t="shared" si="1"/>
        <v>5.666666667</v>
      </c>
      <c r="G6165" s="10">
        <f t="array" ref="G6165">index('Player ID'!C:C,match(E6165,'Player ID'!B:B,0))</f>
        <v>543294</v>
      </c>
    </row>
    <row r="6166">
      <c r="A6166" s="76">
        <v>45797.0</v>
      </c>
      <c r="B6166" s="1" t="s">
        <v>291</v>
      </c>
      <c r="C6166" s="1" t="s">
        <v>25</v>
      </c>
      <c r="D6166" s="1">
        <v>0.1</v>
      </c>
      <c r="E6166" s="1">
        <v>17968.0</v>
      </c>
      <c r="F6166" s="10">
        <f t="shared" si="1"/>
        <v>0.3333333333</v>
      </c>
      <c r="G6166" s="10">
        <f t="array" ref="G6166">index('Player ID'!C:C,match(E6166,'Player ID'!B:B,0))</f>
        <v>656271</v>
      </c>
    </row>
    <row r="6167">
      <c r="A6167" s="76">
        <v>45797.0</v>
      </c>
      <c r="B6167" s="1" t="s">
        <v>227</v>
      </c>
      <c r="C6167" s="1" t="s">
        <v>52</v>
      </c>
      <c r="D6167" s="1">
        <v>1.0</v>
      </c>
      <c r="E6167" s="1">
        <v>21520.0</v>
      </c>
      <c r="F6167" s="10">
        <f t="shared" si="1"/>
        <v>1</v>
      </c>
      <c r="G6167" s="10">
        <f t="array" ref="G6167">index('Player ID'!C:C,match(E6167,'Player ID'!B:B,0))</f>
        <v>663687</v>
      </c>
    </row>
    <row r="6168">
      <c r="A6168" s="76">
        <v>45797.0</v>
      </c>
      <c r="B6168" s="1" t="s">
        <v>793</v>
      </c>
      <c r="C6168" s="1" t="s">
        <v>52</v>
      </c>
      <c r="D6168" s="1">
        <v>1.0</v>
      </c>
      <c r="E6168" s="1">
        <v>26034.0</v>
      </c>
      <c r="F6168" s="10">
        <f t="shared" si="1"/>
        <v>1</v>
      </c>
      <c r="G6168" s="10">
        <f t="array" ref="G6168">index('Player ID'!C:C,match(E6168,'Player ID'!B:B,0))</f>
        <v>687424</v>
      </c>
    </row>
    <row r="6169">
      <c r="A6169" s="76">
        <v>45797.0</v>
      </c>
      <c r="B6169" s="1" t="s">
        <v>24</v>
      </c>
      <c r="C6169" s="1" t="s">
        <v>25</v>
      </c>
      <c r="D6169" s="1">
        <v>1.0</v>
      </c>
      <c r="E6169" s="1">
        <v>27468.0</v>
      </c>
      <c r="F6169" s="10">
        <f t="shared" si="1"/>
        <v>1</v>
      </c>
      <c r="G6169" s="10">
        <f t="array" ref="G6169">index('Player ID'!C:C,match(E6169,'Player ID'!B:B,0))</f>
        <v>672282</v>
      </c>
    </row>
    <row r="6170">
      <c r="A6170" s="76">
        <v>45797.0</v>
      </c>
      <c r="B6170" s="1" t="s">
        <v>213</v>
      </c>
      <c r="C6170" s="1" t="s">
        <v>52</v>
      </c>
      <c r="D6170" s="1">
        <v>1.1</v>
      </c>
      <c r="E6170" s="1">
        <v>27694.0</v>
      </c>
      <c r="F6170" s="10">
        <f t="shared" si="1"/>
        <v>1.333333333</v>
      </c>
      <c r="G6170" s="10">
        <f t="array" ref="G6170">index('Player ID'!C:C,match(E6170,'Player ID'!B:B,0))</f>
        <v>686993</v>
      </c>
    </row>
    <row r="6171">
      <c r="A6171" s="76">
        <v>45797.0</v>
      </c>
      <c r="B6171" s="1" t="s">
        <v>681</v>
      </c>
      <c r="C6171" s="1" t="s">
        <v>52</v>
      </c>
      <c r="D6171" s="1">
        <v>1.0</v>
      </c>
      <c r="E6171" s="1">
        <v>30002.0</v>
      </c>
      <c r="F6171" s="10">
        <f t="shared" si="1"/>
        <v>1</v>
      </c>
      <c r="G6171" s="10">
        <f t="array" ref="G6171">index('Player ID'!C:C,match(E6171,'Player ID'!B:B,0))</f>
        <v>680880</v>
      </c>
    </row>
    <row r="6172">
      <c r="A6172" s="76">
        <v>45797.0</v>
      </c>
      <c r="B6172" s="1" t="s">
        <v>243</v>
      </c>
      <c r="C6172" s="1" t="s">
        <v>52</v>
      </c>
      <c r="D6172" s="1">
        <v>4.2</v>
      </c>
      <c r="E6172" s="1">
        <v>31318.0</v>
      </c>
      <c r="F6172" s="10">
        <f t="shared" si="1"/>
        <v>4.666666667</v>
      </c>
      <c r="G6172" s="10">
        <f t="array" ref="G6172">index('Player ID'!C:C,match(E6172,'Player ID'!B:B,0))</f>
        <v>680684</v>
      </c>
    </row>
    <row r="6173">
      <c r="A6173" s="76">
        <v>45797.0</v>
      </c>
      <c r="B6173" s="1" t="s">
        <v>103</v>
      </c>
      <c r="C6173" s="1" t="s">
        <v>64</v>
      </c>
      <c r="D6173" s="1">
        <v>0.2</v>
      </c>
      <c r="E6173" s="1">
        <v>10197.0</v>
      </c>
      <c r="F6173" s="10">
        <f t="shared" si="1"/>
        <v>0.6666666667</v>
      </c>
      <c r="G6173" s="10">
        <f t="array" ref="G6173">index('Player ID'!C:C,match(E6173,'Player ID'!B:B,0))</f>
        <v>571946</v>
      </c>
    </row>
    <row r="6174">
      <c r="A6174" s="76">
        <v>45797.0</v>
      </c>
      <c r="B6174" s="1" t="s">
        <v>310</v>
      </c>
      <c r="C6174" s="1" t="s">
        <v>33</v>
      </c>
      <c r="D6174" s="1">
        <v>0.1</v>
      </c>
      <c r="E6174" s="1">
        <v>14706.0</v>
      </c>
      <c r="F6174" s="10">
        <f t="shared" si="1"/>
        <v>0.3333333333</v>
      </c>
      <c r="G6174" s="10">
        <f t="array" ref="G6174">index('Player ID'!C:C,match(E6174,'Player ID'!B:B,0))</f>
        <v>607455</v>
      </c>
    </row>
    <row r="6175">
      <c r="A6175" s="76">
        <v>45797.0</v>
      </c>
      <c r="B6175" s="1" t="s">
        <v>763</v>
      </c>
      <c r="C6175" s="1" t="s">
        <v>64</v>
      </c>
      <c r="D6175" s="1">
        <v>1.0</v>
      </c>
      <c r="E6175" s="1">
        <v>15514.0</v>
      </c>
      <c r="F6175" s="10">
        <f t="shared" si="1"/>
        <v>1</v>
      </c>
      <c r="G6175" s="10">
        <f t="array" ref="G6175">index('Player ID'!C:C,match(E6175,'Player ID'!B:B,0))</f>
        <v>608665</v>
      </c>
    </row>
    <row r="6176">
      <c r="A6176" s="76">
        <v>45797.0</v>
      </c>
      <c r="B6176" s="1" t="s">
        <v>489</v>
      </c>
      <c r="C6176" s="1" t="s">
        <v>64</v>
      </c>
      <c r="D6176" s="1">
        <v>1.0</v>
      </c>
      <c r="E6176" s="1">
        <v>17192.0</v>
      </c>
      <c r="F6176" s="10">
        <f t="shared" si="1"/>
        <v>1</v>
      </c>
      <c r="G6176" s="10">
        <f t="array" ref="G6176">index('Player ID'!C:C,match(E6176,'Player ID'!B:B,0))</f>
        <v>656222</v>
      </c>
    </row>
    <row r="6177">
      <c r="A6177" s="76">
        <v>45797.0</v>
      </c>
      <c r="B6177" s="1" t="s">
        <v>32</v>
      </c>
      <c r="C6177" s="1" t="s">
        <v>33</v>
      </c>
      <c r="D6177" s="1">
        <v>1.2</v>
      </c>
      <c r="E6177" s="1">
        <v>17586.0</v>
      </c>
      <c r="F6177" s="10">
        <f t="shared" si="1"/>
        <v>1.666666667</v>
      </c>
      <c r="G6177" s="10">
        <f t="array" ref="G6177">index('Player ID'!C:C,match(E6177,'Player ID'!B:B,0))</f>
        <v>656945</v>
      </c>
    </row>
    <row r="6178">
      <c r="A6178" s="76">
        <v>45797.0</v>
      </c>
      <c r="B6178" s="1" t="s">
        <v>823</v>
      </c>
      <c r="C6178" s="1" t="s">
        <v>64</v>
      </c>
      <c r="D6178" s="1">
        <v>1.0</v>
      </c>
      <c r="E6178" s="1">
        <v>19876.0</v>
      </c>
      <c r="F6178" s="10">
        <f t="shared" si="1"/>
        <v>1</v>
      </c>
      <c r="G6178" s="10">
        <f t="array" ref="G6178">index('Player ID'!C:C,match(E6178,'Player ID'!B:B,0))</f>
        <v>656464</v>
      </c>
    </row>
    <row r="6179">
      <c r="A6179" s="76">
        <v>45797.0</v>
      </c>
      <c r="B6179" s="1" t="s">
        <v>370</v>
      </c>
      <c r="C6179" s="1" t="s">
        <v>64</v>
      </c>
      <c r="D6179" s="1">
        <v>1.0</v>
      </c>
      <c r="E6179" s="1">
        <v>21924.0</v>
      </c>
      <c r="F6179" s="10">
        <f t="shared" si="1"/>
        <v>1</v>
      </c>
      <c r="G6179" s="10">
        <f t="array" ref="G6179">index('Player ID'!C:C,match(E6179,'Player ID'!B:B,0))</f>
        <v>666661</v>
      </c>
    </row>
    <row r="6180">
      <c r="A6180" s="76">
        <v>45797.0</v>
      </c>
      <c r="B6180" s="1" t="s">
        <v>92</v>
      </c>
      <c r="C6180" s="1" t="s">
        <v>33</v>
      </c>
      <c r="D6180" s="1">
        <v>0.2</v>
      </c>
      <c r="E6180" s="1">
        <v>25007.0</v>
      </c>
      <c r="F6180" s="10">
        <f t="shared" si="1"/>
        <v>0.6666666667</v>
      </c>
      <c r="G6180" s="10">
        <f t="array" ref="G6180">index('Player ID'!C:C,match(E6180,'Player ID'!B:B,0))</f>
        <v>681911</v>
      </c>
    </row>
    <row r="6181">
      <c r="A6181" s="76">
        <v>45797.0</v>
      </c>
      <c r="B6181" s="1" t="s">
        <v>93</v>
      </c>
      <c r="C6181" s="1" t="s">
        <v>64</v>
      </c>
      <c r="D6181" s="1">
        <v>5.0</v>
      </c>
      <c r="E6181" s="1">
        <v>26253.0</v>
      </c>
      <c r="F6181" s="10">
        <f t="shared" si="1"/>
        <v>5</v>
      </c>
      <c r="G6181" s="10">
        <f t="array" ref="G6181">index('Player ID'!C:C,match(E6181,'Player ID'!B:B,0))</f>
        <v>669194</v>
      </c>
    </row>
    <row r="6182">
      <c r="A6182" s="76">
        <v>45797.0</v>
      </c>
      <c r="B6182" s="1" t="s">
        <v>104</v>
      </c>
      <c r="C6182" s="1" t="s">
        <v>33</v>
      </c>
      <c r="D6182" s="1">
        <v>0.1</v>
      </c>
      <c r="E6182" s="1">
        <v>30085.0</v>
      </c>
      <c r="F6182" s="10">
        <f t="shared" si="1"/>
        <v>0.3333333333</v>
      </c>
      <c r="G6182" s="10">
        <f t="array" ref="G6182">index('Player ID'!C:C,match(E6182,'Player ID'!B:B,0))</f>
        <v>676508</v>
      </c>
    </row>
    <row r="6183">
      <c r="A6183" s="76">
        <v>45797.0</v>
      </c>
      <c r="B6183" s="1" t="s">
        <v>85</v>
      </c>
      <c r="C6183" s="1" t="s">
        <v>33</v>
      </c>
      <c r="D6183" s="1">
        <v>7.0</v>
      </c>
      <c r="E6183" s="1">
        <v>33825.0</v>
      </c>
      <c r="F6183" s="10">
        <f t="shared" si="1"/>
        <v>7</v>
      </c>
      <c r="G6183" s="10">
        <f t="array" ref="G6183">index('Player ID'!C:C,match(E6183,'Player ID'!B:B,0))</f>
        <v>808967</v>
      </c>
    </row>
    <row r="6184">
      <c r="A6184" s="76">
        <v>45798.0</v>
      </c>
      <c r="B6184" s="1" t="s">
        <v>362</v>
      </c>
      <c r="C6184" s="1" t="s">
        <v>66</v>
      </c>
      <c r="D6184" s="1">
        <v>1.1</v>
      </c>
      <c r="E6184" s="1">
        <v>13449.0</v>
      </c>
      <c r="F6184" s="10">
        <f t="shared" si="1"/>
        <v>1.333333333</v>
      </c>
      <c r="G6184" s="10">
        <f t="array" ref="G6184">index('Player ID'!C:C,match(E6184,'Player ID'!B:B,0))</f>
        <v>573124</v>
      </c>
    </row>
    <row r="6185">
      <c r="A6185" s="76">
        <v>45798.0</v>
      </c>
      <c r="B6185" s="1" t="s">
        <v>256</v>
      </c>
      <c r="C6185" s="1" t="s">
        <v>60</v>
      </c>
      <c r="D6185" s="1">
        <v>5.0</v>
      </c>
      <c r="E6185" s="1">
        <v>15423.0</v>
      </c>
      <c r="F6185" s="10">
        <f t="shared" si="1"/>
        <v>5</v>
      </c>
      <c r="G6185" s="10">
        <f t="array" ref="G6185">index('Player ID'!C:C,match(E6185,'Player ID'!B:B,0))</f>
        <v>571760</v>
      </c>
    </row>
    <row r="6186">
      <c r="A6186" s="76">
        <v>45798.0</v>
      </c>
      <c r="B6186" s="1" t="s">
        <v>716</v>
      </c>
      <c r="C6186" s="1" t="s">
        <v>60</v>
      </c>
      <c r="D6186" s="1">
        <v>0.2</v>
      </c>
      <c r="E6186" s="1">
        <v>17610.0</v>
      </c>
      <c r="F6186" s="10">
        <f t="shared" si="1"/>
        <v>0.6666666667</v>
      </c>
      <c r="G6186" s="10">
        <f t="array" ref="G6186">index('Player ID'!C:C,match(E6186,'Player ID'!B:B,0))</f>
        <v>663432</v>
      </c>
    </row>
    <row r="6187">
      <c r="A6187" s="76">
        <v>45798.0</v>
      </c>
      <c r="B6187" s="1" t="s">
        <v>653</v>
      </c>
      <c r="C6187" s="1" t="s">
        <v>66</v>
      </c>
      <c r="D6187" s="1">
        <v>0.2</v>
      </c>
      <c r="E6187" s="1">
        <v>17871.0</v>
      </c>
      <c r="F6187" s="10">
        <f t="shared" si="1"/>
        <v>0.6666666667</v>
      </c>
      <c r="G6187" s="10">
        <f t="array" ref="G6187">index('Player ID'!C:C,match(E6187,'Player ID'!B:B,0))</f>
        <v>664139</v>
      </c>
    </row>
    <row r="6188">
      <c r="A6188" s="76">
        <v>45798.0</v>
      </c>
      <c r="B6188" s="1" t="s">
        <v>217</v>
      </c>
      <c r="C6188" s="1" t="s">
        <v>60</v>
      </c>
      <c r="D6188" s="1">
        <v>1.0</v>
      </c>
      <c r="E6188" s="1">
        <v>17878.0</v>
      </c>
      <c r="F6188" s="10">
        <f t="shared" si="1"/>
        <v>1</v>
      </c>
      <c r="G6188" s="10">
        <f t="array" ref="G6188">index('Player ID'!C:C,match(E6188,'Player ID'!B:B,0))</f>
        <v>642701</v>
      </c>
    </row>
    <row r="6189">
      <c r="A6189" s="76">
        <v>45798.0</v>
      </c>
      <c r="B6189" s="1" t="s">
        <v>107</v>
      </c>
      <c r="C6189" s="1" t="s">
        <v>60</v>
      </c>
      <c r="D6189" s="1">
        <v>1.1</v>
      </c>
      <c r="E6189" s="1">
        <v>19349.0</v>
      </c>
      <c r="F6189" s="10">
        <f t="shared" si="1"/>
        <v>1.333333333</v>
      </c>
      <c r="G6189" s="10">
        <f t="array" ref="G6189">index('Player ID'!C:C,match(E6189,'Player ID'!B:B,0))</f>
        <v>657571</v>
      </c>
    </row>
    <row r="6190">
      <c r="A6190" s="76">
        <v>45798.0</v>
      </c>
      <c r="B6190" s="1" t="s">
        <v>463</v>
      </c>
      <c r="C6190" s="1" t="s">
        <v>60</v>
      </c>
      <c r="D6190" s="1">
        <v>1.0</v>
      </c>
      <c r="E6190" s="1">
        <v>21544.0</v>
      </c>
      <c r="F6190" s="10">
        <f t="shared" si="1"/>
        <v>1</v>
      </c>
      <c r="G6190" s="10">
        <f t="array" ref="G6190">index('Player ID'!C:C,match(E6190,'Player ID'!B:B,0))</f>
        <v>663767</v>
      </c>
    </row>
    <row r="6191">
      <c r="A6191" s="76">
        <v>45798.0</v>
      </c>
      <c r="B6191" s="1" t="s">
        <v>353</v>
      </c>
      <c r="C6191" s="1" t="s">
        <v>66</v>
      </c>
      <c r="D6191" s="1">
        <v>5.0</v>
      </c>
      <c r="E6191" s="1">
        <v>25377.0</v>
      </c>
      <c r="F6191" s="10">
        <f t="shared" si="1"/>
        <v>5</v>
      </c>
      <c r="G6191" s="10">
        <f t="array" ref="G6191">index('Player ID'!C:C,match(E6191,'Player ID'!B:B,0))</f>
        <v>663903</v>
      </c>
    </row>
    <row r="6192">
      <c r="A6192" s="76">
        <v>45798.0</v>
      </c>
      <c r="B6192" s="1" t="s">
        <v>211</v>
      </c>
      <c r="C6192" s="1" t="s">
        <v>66</v>
      </c>
      <c r="D6192" s="1">
        <v>1.0</v>
      </c>
      <c r="E6192" s="1">
        <v>27552.0</v>
      </c>
      <c r="F6192" s="10">
        <f t="shared" si="1"/>
        <v>1</v>
      </c>
      <c r="G6192" s="10">
        <f t="array" ref="G6192">index('Player ID'!C:C,match(E6192,'Player ID'!B:B,0))</f>
        <v>668933</v>
      </c>
    </row>
    <row r="6193">
      <c r="A6193" s="76">
        <v>45798.0</v>
      </c>
      <c r="B6193" s="1" t="s">
        <v>38</v>
      </c>
      <c r="C6193" s="1" t="s">
        <v>39</v>
      </c>
      <c r="D6193" s="1">
        <v>0.1</v>
      </c>
      <c r="E6193" s="1">
        <v>13580.0</v>
      </c>
      <c r="F6193" s="10">
        <f t="shared" si="1"/>
        <v>0.3333333333</v>
      </c>
      <c r="G6193" s="10">
        <f t="array" ref="G6193">index('Player ID'!C:C,match(E6193,'Player ID'!B:B,0))</f>
        <v>595345</v>
      </c>
    </row>
    <row r="6194">
      <c r="A6194" s="76">
        <v>45798.0</v>
      </c>
      <c r="B6194" s="1" t="s">
        <v>185</v>
      </c>
      <c r="C6194" s="1" t="s">
        <v>54</v>
      </c>
      <c r="D6194" s="1">
        <v>1.0</v>
      </c>
      <c r="E6194" s="1">
        <v>17897.0</v>
      </c>
      <c r="F6194" s="10">
        <f t="shared" si="1"/>
        <v>1</v>
      </c>
      <c r="G6194" s="10">
        <f t="array" ref="G6194">index('Player ID'!C:C,match(E6194,'Player ID'!B:B,0))</f>
        <v>664076</v>
      </c>
    </row>
    <row r="6195">
      <c r="A6195" s="76">
        <v>45798.0</v>
      </c>
      <c r="B6195" s="1" t="s">
        <v>261</v>
      </c>
      <c r="C6195" s="1" t="s">
        <v>54</v>
      </c>
      <c r="D6195" s="1">
        <v>1.0</v>
      </c>
      <c r="E6195" s="1">
        <v>17998.0</v>
      </c>
      <c r="F6195" s="10">
        <f t="shared" si="1"/>
        <v>1</v>
      </c>
      <c r="G6195" s="10">
        <f t="array" ref="G6195">index('Player ID'!C:C,match(E6195,'Player ID'!B:B,0))</f>
        <v>664126</v>
      </c>
    </row>
    <row r="6196">
      <c r="A6196" s="76">
        <v>45798.0</v>
      </c>
      <c r="B6196" s="1" t="s">
        <v>736</v>
      </c>
      <c r="C6196" s="1" t="s">
        <v>39</v>
      </c>
      <c r="D6196" s="1">
        <v>0.2</v>
      </c>
      <c r="E6196" s="1">
        <v>19586.0</v>
      </c>
      <c r="F6196" s="10">
        <f t="shared" si="1"/>
        <v>0.6666666667</v>
      </c>
      <c r="G6196" s="10">
        <f t="array" ref="G6196">index('Player ID'!C:C,match(E6196,'Player ID'!B:B,0))</f>
        <v>666215</v>
      </c>
    </row>
    <row r="6197">
      <c r="A6197" s="76">
        <v>45798.0</v>
      </c>
      <c r="B6197" s="1" t="s">
        <v>400</v>
      </c>
      <c r="C6197" s="1" t="s">
        <v>54</v>
      </c>
      <c r="D6197" s="1">
        <v>1.0</v>
      </c>
      <c r="E6197" s="1">
        <v>20539.0</v>
      </c>
      <c r="F6197" s="10">
        <f t="shared" si="1"/>
        <v>1</v>
      </c>
      <c r="G6197" s="10">
        <f t="array" ref="G6197">index('Player ID'!C:C,match(E6197,'Player ID'!B:B,0))</f>
        <v>670955</v>
      </c>
    </row>
    <row r="6198">
      <c r="A6198" s="76">
        <v>45798.0</v>
      </c>
      <c r="B6198" s="1" t="s">
        <v>102</v>
      </c>
      <c r="C6198" s="1" t="s">
        <v>39</v>
      </c>
      <c r="D6198" s="1">
        <v>2.0</v>
      </c>
      <c r="E6198" s="1">
        <v>21345.0</v>
      </c>
      <c r="F6198" s="10">
        <f t="shared" si="1"/>
        <v>2</v>
      </c>
      <c r="G6198" s="10">
        <f t="array" ref="G6198">index('Player ID'!C:C,match(E6198,'Player ID'!B:B,0))</f>
        <v>656986</v>
      </c>
    </row>
    <row r="6199">
      <c r="A6199" s="76">
        <v>45798.0</v>
      </c>
      <c r="B6199" s="1" t="s">
        <v>413</v>
      </c>
      <c r="C6199" s="1" t="s">
        <v>54</v>
      </c>
      <c r="D6199" s="1">
        <v>6.0</v>
      </c>
      <c r="E6199" s="1">
        <v>22543.0</v>
      </c>
      <c r="F6199" s="10">
        <f t="shared" si="1"/>
        <v>6</v>
      </c>
      <c r="G6199" s="10">
        <f t="array" ref="G6199">index('Player ID'!C:C,match(E6199,'Player ID'!B:B,0))</f>
        <v>671737</v>
      </c>
    </row>
    <row r="6200">
      <c r="A6200" s="76">
        <v>45798.0</v>
      </c>
      <c r="B6200" s="1" t="s">
        <v>339</v>
      </c>
      <c r="C6200" s="1" t="s">
        <v>39</v>
      </c>
      <c r="D6200" s="1">
        <v>5.0</v>
      </c>
      <c r="E6200" s="1">
        <v>25880.0</v>
      </c>
      <c r="F6200" s="10">
        <f t="shared" si="1"/>
        <v>5</v>
      </c>
      <c r="G6200" s="10">
        <f t="array" ref="G6200">index('Player ID'!C:C,match(E6200,'Player ID'!B:B,0))</f>
        <v>686613</v>
      </c>
    </row>
    <row r="6201">
      <c r="A6201" s="76">
        <v>45798.0</v>
      </c>
      <c r="B6201" s="1" t="s">
        <v>71</v>
      </c>
      <c r="C6201" s="1" t="s">
        <v>34</v>
      </c>
      <c r="D6201" s="1">
        <v>1.0</v>
      </c>
      <c r="E6201" s="1">
        <v>10078.0</v>
      </c>
      <c r="F6201" s="10">
        <f t="shared" si="1"/>
        <v>1</v>
      </c>
      <c r="G6201" s="10">
        <f t="array" ref="G6201">index('Player ID'!C:C,match(E6201,'Player ID'!B:B,0))</f>
        <v>573204</v>
      </c>
    </row>
    <row r="6202">
      <c r="A6202" s="76">
        <v>45798.0</v>
      </c>
      <c r="B6202" s="1" t="s">
        <v>297</v>
      </c>
      <c r="C6202" s="1" t="s">
        <v>34</v>
      </c>
      <c r="D6202" s="1">
        <v>1.2</v>
      </c>
      <c r="E6202" s="1">
        <v>15734.0</v>
      </c>
      <c r="F6202" s="10">
        <f t="shared" si="1"/>
        <v>1.666666667</v>
      </c>
      <c r="G6202" s="10">
        <f t="array" ref="G6202">index('Player ID'!C:C,match(E6202,'Player ID'!B:B,0))</f>
        <v>641745</v>
      </c>
    </row>
    <row r="6203">
      <c r="A6203" s="76">
        <v>45798.0</v>
      </c>
      <c r="B6203" s="1" t="s">
        <v>89</v>
      </c>
      <c r="C6203" s="1" t="s">
        <v>36</v>
      </c>
      <c r="D6203" s="1">
        <v>1.0</v>
      </c>
      <c r="E6203" s="1">
        <v>19742.0</v>
      </c>
      <c r="F6203" s="10">
        <f t="shared" si="1"/>
        <v>1</v>
      </c>
      <c r="G6203" s="10">
        <f t="array" ref="G6203">index('Player ID'!C:C,match(E6203,'Player ID'!B:B,0))</f>
        <v>669622</v>
      </c>
    </row>
    <row r="6204">
      <c r="A6204" s="76">
        <v>45798.0</v>
      </c>
      <c r="B6204" s="1" t="s">
        <v>61</v>
      </c>
      <c r="C6204" s="1" t="s">
        <v>36</v>
      </c>
      <c r="D6204" s="1">
        <v>1.0</v>
      </c>
      <c r="E6204" s="1">
        <v>20629.0</v>
      </c>
      <c r="F6204" s="10">
        <f t="shared" si="1"/>
        <v>1</v>
      </c>
      <c r="G6204" s="10">
        <f t="array" ref="G6204">index('Player ID'!C:C,match(E6204,'Player ID'!B:B,0))</f>
        <v>663969</v>
      </c>
    </row>
    <row r="6205">
      <c r="A6205" s="76">
        <v>45798.0</v>
      </c>
      <c r="B6205" s="1" t="s">
        <v>123</v>
      </c>
      <c r="C6205" s="1" t="s">
        <v>36</v>
      </c>
      <c r="D6205" s="1">
        <v>1.0</v>
      </c>
      <c r="E6205" s="1">
        <v>24094.0</v>
      </c>
      <c r="F6205" s="10">
        <f t="shared" si="1"/>
        <v>1</v>
      </c>
      <c r="G6205" s="10">
        <f t="array" ref="G6205">index('Player ID'!C:C,match(E6205,'Player ID'!B:B,0))</f>
        <v>678692</v>
      </c>
    </row>
    <row r="6206">
      <c r="A6206" s="76">
        <v>45798.0</v>
      </c>
      <c r="B6206" s="1" t="s">
        <v>121</v>
      </c>
      <c r="C6206" s="1" t="s">
        <v>36</v>
      </c>
      <c r="D6206" s="1">
        <v>6.0</v>
      </c>
      <c r="E6206" s="1">
        <v>27474.0</v>
      </c>
      <c r="F6206" s="10">
        <f t="shared" si="1"/>
        <v>6</v>
      </c>
      <c r="G6206" s="10">
        <f t="array" ref="G6206">index('Player ID'!C:C,match(E6206,'Player ID'!B:B,0))</f>
        <v>676974</v>
      </c>
    </row>
    <row r="6207">
      <c r="A6207" s="76">
        <v>45798.0</v>
      </c>
      <c r="B6207" s="1" t="s">
        <v>167</v>
      </c>
      <c r="C6207" s="1" t="s">
        <v>34</v>
      </c>
      <c r="D6207" s="1">
        <v>1.0</v>
      </c>
      <c r="E6207" s="1">
        <v>27914.0</v>
      </c>
      <c r="F6207" s="10">
        <f t="shared" si="1"/>
        <v>1</v>
      </c>
      <c r="G6207" s="10">
        <f t="array" ref="G6207">index('Player ID'!C:C,match(E6207,'Player ID'!B:B,0))</f>
        <v>694037</v>
      </c>
    </row>
    <row r="6208">
      <c r="A6208" s="76">
        <v>45798.0</v>
      </c>
      <c r="B6208" s="1" t="s">
        <v>434</v>
      </c>
      <c r="C6208" s="1" t="s">
        <v>34</v>
      </c>
      <c r="D6208" s="1">
        <v>5.1</v>
      </c>
      <c r="E6208" s="1">
        <v>31872.0</v>
      </c>
      <c r="F6208" s="10">
        <f t="shared" si="1"/>
        <v>5.333333333</v>
      </c>
      <c r="G6208" s="10">
        <f t="array" ref="G6208">index('Player ID'!C:C,match(E6208,'Player ID'!B:B,0))</f>
        <v>690990</v>
      </c>
    </row>
    <row r="6209">
      <c r="A6209" s="76">
        <v>45798.0</v>
      </c>
      <c r="B6209" s="1" t="s">
        <v>133</v>
      </c>
      <c r="C6209" s="1" t="s">
        <v>16</v>
      </c>
      <c r="D6209" s="1">
        <v>5.1</v>
      </c>
      <c r="E6209" s="1">
        <v>20099.0</v>
      </c>
      <c r="F6209" s="10">
        <f t="shared" si="1"/>
        <v>5.333333333</v>
      </c>
      <c r="G6209" s="10">
        <f t="array" ref="G6209">index('Player ID'!C:C,match(E6209,'Player ID'!B:B,0))</f>
        <v>663978</v>
      </c>
    </row>
    <row r="6210">
      <c r="A6210" s="76">
        <v>45798.0</v>
      </c>
      <c r="B6210" s="1" t="s">
        <v>28</v>
      </c>
      <c r="C6210" s="1" t="s">
        <v>16</v>
      </c>
      <c r="D6210" s="1">
        <v>1.0</v>
      </c>
      <c r="E6210" s="1">
        <v>20253.0</v>
      </c>
      <c r="F6210" s="10">
        <f t="shared" si="1"/>
        <v>1</v>
      </c>
      <c r="G6210" s="10">
        <f t="array" ref="G6210">index('Player ID'!C:C,match(E6210,'Player ID'!B:B,0))</f>
        <v>643377</v>
      </c>
    </row>
    <row r="6211">
      <c r="A6211" s="76">
        <v>45798.0</v>
      </c>
      <c r="B6211" s="1" t="s">
        <v>132</v>
      </c>
      <c r="C6211" s="1" t="s">
        <v>70</v>
      </c>
      <c r="D6211" s="1">
        <v>1.0</v>
      </c>
      <c r="E6211" s="1">
        <v>21032.0</v>
      </c>
      <c r="F6211" s="10">
        <f t="shared" si="1"/>
        <v>1</v>
      </c>
      <c r="G6211" s="10">
        <f t="array" ref="G6211">index('Player ID'!C:C,match(E6211,'Player ID'!B:B,0))</f>
        <v>661403</v>
      </c>
    </row>
    <row r="6212">
      <c r="A6212" s="76">
        <v>45798.0</v>
      </c>
      <c r="B6212" s="1" t="s">
        <v>237</v>
      </c>
      <c r="C6212" s="1" t="s">
        <v>16</v>
      </c>
      <c r="D6212" s="1">
        <v>1.0</v>
      </c>
      <c r="E6212" s="1">
        <v>21461.0</v>
      </c>
      <c r="F6212" s="10">
        <f t="shared" si="1"/>
        <v>1</v>
      </c>
      <c r="G6212" s="10">
        <f t="array" ref="G6212">index('Player ID'!C:C,match(E6212,'Player ID'!B:B,0))</f>
        <v>663485</v>
      </c>
    </row>
    <row r="6213">
      <c r="A6213" s="76">
        <v>45798.0</v>
      </c>
      <c r="B6213" s="1" t="s">
        <v>333</v>
      </c>
      <c r="C6213" s="1" t="s">
        <v>16</v>
      </c>
      <c r="D6213" s="1">
        <v>1.0</v>
      </c>
      <c r="E6213" s="1">
        <v>24993.0</v>
      </c>
      <c r="F6213" s="10">
        <f t="shared" si="1"/>
        <v>1</v>
      </c>
      <c r="G6213" s="10">
        <f t="array" ref="G6213">index('Player ID'!C:C,match(E6213,'Player ID'!B:B,0))</f>
        <v>681892</v>
      </c>
    </row>
    <row r="6214">
      <c r="A6214" s="76">
        <v>45798.0</v>
      </c>
      <c r="B6214" s="1" t="s">
        <v>519</v>
      </c>
      <c r="C6214" s="1" t="s">
        <v>70</v>
      </c>
      <c r="D6214" s="1">
        <v>1.0</v>
      </c>
      <c r="E6214" s="1">
        <v>25139.0</v>
      </c>
      <c r="F6214" s="10">
        <f t="shared" si="1"/>
        <v>1</v>
      </c>
      <c r="G6214" s="10">
        <f t="array" ref="G6214">index('Player ID'!C:C,match(E6214,'Player ID'!B:B,0))</f>
        <v>682120</v>
      </c>
    </row>
    <row r="6215">
      <c r="A6215" s="76">
        <v>45798.0</v>
      </c>
      <c r="B6215" s="1" t="s">
        <v>238</v>
      </c>
      <c r="C6215" s="1" t="s">
        <v>70</v>
      </c>
      <c r="D6215" s="1">
        <v>1.0</v>
      </c>
      <c r="E6215" s="1">
        <v>25636.0</v>
      </c>
      <c r="F6215" s="10">
        <f t="shared" si="1"/>
        <v>1</v>
      </c>
      <c r="G6215" s="10">
        <f t="array" ref="G6215">index('Player ID'!C:C,match(E6215,'Player ID'!B:B,0))</f>
        <v>683769</v>
      </c>
    </row>
    <row r="6216">
      <c r="A6216" s="76">
        <v>45798.0</v>
      </c>
      <c r="B6216" s="1" t="s">
        <v>47</v>
      </c>
      <c r="C6216" s="1" t="s">
        <v>16</v>
      </c>
      <c r="D6216" s="1">
        <v>0.2</v>
      </c>
      <c r="E6216" s="1">
        <v>27691.0</v>
      </c>
      <c r="F6216" s="10">
        <f t="shared" si="1"/>
        <v>0.6666666667</v>
      </c>
      <c r="G6216" s="10">
        <f t="array" ref="G6216">index('Player ID'!C:C,match(E6216,'Player ID'!B:B,0))</f>
        <v>686973</v>
      </c>
    </row>
    <row r="6217">
      <c r="A6217" s="76">
        <v>45798.0</v>
      </c>
      <c r="B6217" s="1" t="s">
        <v>376</v>
      </c>
      <c r="C6217" s="1" t="s">
        <v>70</v>
      </c>
      <c r="D6217" s="1">
        <v>6.0</v>
      </c>
      <c r="E6217" s="1">
        <v>30122.0</v>
      </c>
      <c r="F6217" s="10">
        <f t="shared" si="1"/>
        <v>6</v>
      </c>
      <c r="G6217" s="10">
        <f t="array" ref="G6217">index('Player ID'!C:C,match(E6217,'Player ID'!B:B,0))</f>
        <v>668909</v>
      </c>
    </row>
    <row r="6218">
      <c r="A6218" s="76">
        <v>45798.0</v>
      </c>
      <c r="B6218" s="1" t="s">
        <v>48</v>
      </c>
      <c r="C6218" s="1" t="s">
        <v>68</v>
      </c>
      <c r="D6218" s="1">
        <v>1.0</v>
      </c>
      <c r="E6218" s="1">
        <v>12828.0</v>
      </c>
      <c r="F6218" s="10">
        <f t="shared" si="1"/>
        <v>1</v>
      </c>
      <c r="G6218" s="10" t="str">
        <f t="array" ref="G6218">index('Player ID'!C:C,match(E6218,'Player ID'!B:B,0))</f>
        <v>#N/A</v>
      </c>
    </row>
    <row r="6219">
      <c r="A6219" s="76">
        <v>45798.0</v>
      </c>
      <c r="B6219" s="1" t="s">
        <v>634</v>
      </c>
      <c r="C6219" s="1" t="s">
        <v>14</v>
      </c>
      <c r="D6219" s="1">
        <v>0.1</v>
      </c>
      <c r="E6219" s="1">
        <v>14332.0</v>
      </c>
      <c r="F6219" s="10">
        <f t="shared" si="1"/>
        <v>0.3333333333</v>
      </c>
      <c r="G6219" s="10">
        <f t="array" ref="G6219">index('Player ID'!C:C,match(E6219,'Player ID'!B:B,0))</f>
        <v>606303</v>
      </c>
    </row>
    <row r="6220">
      <c r="A6220" s="76">
        <v>45798.0</v>
      </c>
      <c r="B6220" s="1" t="s">
        <v>724</v>
      </c>
      <c r="C6220" s="1" t="s">
        <v>14</v>
      </c>
      <c r="D6220" s="1">
        <v>0.2</v>
      </c>
      <c r="E6220" s="1">
        <v>15094.0</v>
      </c>
      <c r="F6220" s="10">
        <f t="shared" si="1"/>
        <v>0.6666666667</v>
      </c>
      <c r="G6220" s="10">
        <f t="array" ref="G6220">index('Player ID'!C:C,match(E6220,'Player ID'!B:B,0))</f>
        <v>642239</v>
      </c>
    </row>
    <row r="6221">
      <c r="A6221" s="76">
        <v>45798.0</v>
      </c>
      <c r="B6221" s="1" t="s">
        <v>13</v>
      </c>
      <c r="C6221" s="1" t="s">
        <v>14</v>
      </c>
      <c r="D6221" s="1">
        <v>1.0</v>
      </c>
      <c r="E6221" s="1">
        <v>17722.0</v>
      </c>
      <c r="F6221" s="10">
        <f t="shared" si="1"/>
        <v>1</v>
      </c>
      <c r="G6221" s="10">
        <f t="array" ref="G6221">index('Player ID'!C:C,match(E6221,'Player ID'!B:B,0))</f>
        <v>656730</v>
      </c>
    </row>
    <row r="6222">
      <c r="A6222" s="76">
        <v>45798.0</v>
      </c>
      <c r="B6222" s="1" t="s">
        <v>187</v>
      </c>
      <c r="C6222" s="1" t="s">
        <v>14</v>
      </c>
      <c r="D6222" s="1">
        <v>1.0</v>
      </c>
      <c r="E6222" s="1">
        <v>17735.0</v>
      </c>
      <c r="F6222" s="10">
        <f t="shared" si="1"/>
        <v>1</v>
      </c>
      <c r="G6222" s="10">
        <f t="array" ref="G6222">index('Player ID'!C:C,match(E6222,'Player ID'!B:B,0))</f>
        <v>641302</v>
      </c>
    </row>
    <row r="6223">
      <c r="A6223" s="76">
        <v>45798.0</v>
      </c>
      <c r="B6223" s="1" t="s">
        <v>639</v>
      </c>
      <c r="C6223" s="1" t="s">
        <v>68</v>
      </c>
      <c r="D6223" s="1">
        <v>1.0</v>
      </c>
      <c r="E6223" s="1">
        <v>19249.0</v>
      </c>
      <c r="F6223" s="10">
        <f t="shared" si="1"/>
        <v>1</v>
      </c>
      <c r="G6223" s="10">
        <f t="array" ref="G6223">index('Player ID'!C:C,match(E6223,'Player ID'!B:B,0))</f>
        <v>622554</v>
      </c>
    </row>
    <row r="6224">
      <c r="A6224" s="76">
        <v>45798.0</v>
      </c>
      <c r="B6224" s="1" t="s">
        <v>433</v>
      </c>
      <c r="C6224" s="1" t="s">
        <v>68</v>
      </c>
      <c r="D6224" s="1">
        <v>1.0</v>
      </c>
      <c r="E6224" s="1">
        <v>19677.0</v>
      </c>
      <c r="F6224" s="10">
        <f t="shared" si="1"/>
        <v>1</v>
      </c>
      <c r="G6224" s="10">
        <f t="array" ref="G6224">index('Player ID'!C:C,match(E6224,'Player ID'!B:B,0))</f>
        <v>642397</v>
      </c>
    </row>
    <row r="6225">
      <c r="A6225" s="76">
        <v>45798.0</v>
      </c>
      <c r="B6225" s="1" t="s">
        <v>240</v>
      </c>
      <c r="C6225" s="1" t="s">
        <v>68</v>
      </c>
      <c r="D6225" s="1">
        <v>1.0</v>
      </c>
      <c r="E6225" s="1">
        <v>19804.0</v>
      </c>
      <c r="F6225" s="10">
        <f t="shared" si="1"/>
        <v>1</v>
      </c>
      <c r="G6225" s="10">
        <f t="array" ref="G6225">index('Player ID'!C:C,match(E6225,'Player ID'!B:B,0))</f>
        <v>641329</v>
      </c>
    </row>
    <row r="6226">
      <c r="A6226" s="76">
        <v>45798.0</v>
      </c>
      <c r="B6226" s="1" t="s">
        <v>318</v>
      </c>
      <c r="C6226" s="1" t="s">
        <v>14</v>
      </c>
      <c r="D6226" s="1">
        <v>0.2</v>
      </c>
      <c r="E6226" s="1">
        <v>20546.0</v>
      </c>
      <c r="F6226" s="10">
        <f t="shared" si="1"/>
        <v>0.6666666667</v>
      </c>
      <c r="G6226" s="10">
        <f t="array" ref="G6226">index('Player ID'!C:C,match(E6226,'Player ID'!B:B,0))</f>
        <v>681982</v>
      </c>
    </row>
    <row r="6227">
      <c r="A6227" s="76">
        <v>45798.0</v>
      </c>
      <c r="B6227" s="1" t="s">
        <v>698</v>
      </c>
      <c r="C6227" s="1" t="s">
        <v>68</v>
      </c>
      <c r="D6227" s="1">
        <v>1.0</v>
      </c>
      <c r="E6227" s="1">
        <v>20666.0</v>
      </c>
      <c r="F6227" s="10">
        <f t="shared" si="1"/>
        <v>1</v>
      </c>
      <c r="G6227" s="10">
        <f t="array" ref="G6227">index('Player ID'!C:C,match(E6227,'Player ID'!B:B,0))</f>
        <v>642585</v>
      </c>
    </row>
    <row r="6228">
      <c r="A6228" s="76">
        <v>45798.0</v>
      </c>
      <c r="B6228" s="1" t="s">
        <v>835</v>
      </c>
      <c r="C6228" s="1" t="s">
        <v>14</v>
      </c>
      <c r="D6228" s="1">
        <v>1.0</v>
      </c>
      <c r="E6228" s="1">
        <v>22176.0</v>
      </c>
      <c r="F6228" s="10">
        <f t="shared" si="1"/>
        <v>1</v>
      </c>
      <c r="G6228" s="10" t="str">
        <f t="array" ref="G6228">index('Player ID'!C:C,match(E6228,'Player ID'!B:B,0))</f>
        <v>#N/A</v>
      </c>
    </row>
    <row r="6229">
      <c r="A6229" s="76">
        <v>45798.0</v>
      </c>
      <c r="B6229" s="1" t="s">
        <v>112</v>
      </c>
      <c r="C6229" s="1" t="s">
        <v>14</v>
      </c>
      <c r="D6229" s="1">
        <v>1.2</v>
      </c>
      <c r="E6229" s="1">
        <v>25376.0</v>
      </c>
      <c r="F6229" s="10">
        <f t="shared" si="1"/>
        <v>1.666666667</v>
      </c>
      <c r="G6229" s="10">
        <f t="array" ref="G6229">index('Player ID'!C:C,match(E6229,'Player ID'!B:B,0))</f>
        <v>683232</v>
      </c>
    </row>
    <row r="6230">
      <c r="A6230" s="76">
        <v>45798.0</v>
      </c>
      <c r="B6230" s="1" t="s">
        <v>496</v>
      </c>
      <c r="C6230" s="1" t="s">
        <v>14</v>
      </c>
      <c r="D6230" s="1">
        <v>4.2</v>
      </c>
      <c r="E6230" s="1">
        <v>30113.0</v>
      </c>
      <c r="F6230" s="10">
        <f t="shared" si="1"/>
        <v>4.666666667</v>
      </c>
      <c r="G6230" s="10">
        <f t="array" ref="G6230">index('Player ID'!C:C,match(E6230,'Player ID'!B:B,0))</f>
        <v>694477</v>
      </c>
    </row>
    <row r="6231">
      <c r="A6231" s="76">
        <v>45798.0</v>
      </c>
      <c r="B6231" s="1" t="s">
        <v>158</v>
      </c>
      <c r="C6231" s="1" t="s">
        <v>68</v>
      </c>
      <c r="D6231" s="1">
        <v>6.0</v>
      </c>
      <c r="E6231" s="1">
        <v>35321.0</v>
      </c>
      <c r="F6231" s="10">
        <f t="shared" si="1"/>
        <v>6</v>
      </c>
      <c r="G6231" s="10">
        <f t="array" ref="G6231">index('Player ID'!C:C,match(E6231,'Player ID'!B:B,0))</f>
        <v>608372</v>
      </c>
    </row>
    <row r="6232">
      <c r="A6232" s="76">
        <v>45798.0</v>
      </c>
      <c r="B6232" s="1" t="s">
        <v>190</v>
      </c>
      <c r="C6232" s="1" t="s">
        <v>72</v>
      </c>
      <c r="D6232" s="1">
        <v>1.0</v>
      </c>
      <c r="E6232" s="1">
        <v>18064.0</v>
      </c>
      <c r="F6232" s="10">
        <f t="shared" si="1"/>
        <v>1</v>
      </c>
      <c r="G6232" s="10">
        <f t="array" ref="G6232">index('Player ID'!C:C,match(E6232,'Player ID'!B:B,0))</f>
        <v>664208</v>
      </c>
    </row>
    <row r="6233">
      <c r="A6233" s="76">
        <v>45798.0</v>
      </c>
      <c r="B6233" s="1" t="s">
        <v>193</v>
      </c>
      <c r="C6233" s="1" t="s">
        <v>72</v>
      </c>
      <c r="D6233" s="1">
        <v>0.1</v>
      </c>
      <c r="E6233" s="1">
        <v>19574.0</v>
      </c>
      <c r="F6233" s="10">
        <f t="shared" si="1"/>
        <v>0.3333333333</v>
      </c>
      <c r="G6233" s="10">
        <f t="array" ref="G6233">index('Player ID'!C:C,match(E6233,'Player ID'!B:B,0))</f>
        <v>668941</v>
      </c>
    </row>
    <row r="6234">
      <c r="A6234" s="76">
        <v>45798.0</v>
      </c>
      <c r="B6234" s="1" t="s">
        <v>721</v>
      </c>
      <c r="C6234" s="1" t="s">
        <v>62</v>
      </c>
      <c r="D6234" s="1">
        <v>0.2</v>
      </c>
      <c r="E6234" s="1">
        <v>20045.0</v>
      </c>
      <c r="F6234" s="10">
        <f t="shared" si="1"/>
        <v>0.6666666667</v>
      </c>
      <c r="G6234" s="10">
        <f t="array" ref="G6234">index('Player ID'!C:C,match(E6234,'Player ID'!B:B,0))</f>
        <v>674944</v>
      </c>
    </row>
    <row r="6235">
      <c r="A6235" s="76">
        <v>45798.0</v>
      </c>
      <c r="B6235" s="1" t="s">
        <v>273</v>
      </c>
      <c r="C6235" s="1" t="s">
        <v>72</v>
      </c>
      <c r="D6235" s="1">
        <v>1.2</v>
      </c>
      <c r="E6235" s="1">
        <v>22051.0</v>
      </c>
      <c r="F6235" s="10">
        <f t="shared" si="1"/>
        <v>1.666666667</v>
      </c>
      <c r="G6235" s="10">
        <f t="array" ref="G6235">index('Player ID'!C:C,match(E6235,'Player ID'!B:B,0))</f>
        <v>667463</v>
      </c>
    </row>
    <row r="6236">
      <c r="A6236" s="76">
        <v>45798.0</v>
      </c>
      <c r="B6236" s="1" t="s">
        <v>289</v>
      </c>
      <c r="C6236" s="1" t="s">
        <v>62</v>
      </c>
      <c r="D6236" s="1">
        <v>0.2</v>
      </c>
      <c r="E6236" s="1">
        <v>22304.0</v>
      </c>
      <c r="F6236" s="10">
        <f t="shared" si="1"/>
        <v>0.6666666667</v>
      </c>
      <c r="G6236" s="10">
        <f t="array" ref="G6236">index('Player ID'!C:C,match(E6236,'Player ID'!B:B,0))</f>
        <v>669724</v>
      </c>
    </row>
    <row r="6237">
      <c r="A6237" s="76">
        <v>45798.0</v>
      </c>
      <c r="B6237" s="1" t="s">
        <v>667</v>
      </c>
      <c r="C6237" s="1" t="s">
        <v>62</v>
      </c>
      <c r="D6237" s="1">
        <v>2.0</v>
      </c>
      <c r="E6237" s="1">
        <v>26079.0</v>
      </c>
      <c r="F6237" s="10">
        <f t="shared" si="1"/>
        <v>2</v>
      </c>
      <c r="G6237" s="10">
        <f t="array" ref="G6237">index('Player ID'!C:C,match(E6237,'Player ID'!B:B,0))</f>
        <v>689225</v>
      </c>
    </row>
    <row r="6238">
      <c r="A6238" s="76">
        <v>45798.0</v>
      </c>
      <c r="B6238" s="1" t="s">
        <v>432</v>
      </c>
      <c r="C6238" s="1" t="s">
        <v>72</v>
      </c>
      <c r="D6238" s="1">
        <v>5.2</v>
      </c>
      <c r="E6238" s="1">
        <v>26108.0</v>
      </c>
      <c r="F6238" s="10">
        <f t="shared" si="1"/>
        <v>5.666666667</v>
      </c>
      <c r="G6238" s="10">
        <f t="array" ref="G6238">index('Player ID'!C:C,match(E6238,'Player ID'!B:B,0))</f>
        <v>669467</v>
      </c>
    </row>
    <row r="6239">
      <c r="A6239" s="76">
        <v>45798.0</v>
      </c>
      <c r="B6239" s="1" t="s">
        <v>82</v>
      </c>
      <c r="C6239" s="1" t="s">
        <v>62</v>
      </c>
      <c r="D6239" s="1">
        <v>0.2</v>
      </c>
      <c r="E6239" s="1">
        <v>26231.0</v>
      </c>
      <c r="F6239" s="10">
        <f t="shared" si="1"/>
        <v>0.6666666667</v>
      </c>
      <c r="G6239" s="10">
        <f t="array" ref="G6239">index('Player ID'!C:C,match(E6239,'Player ID'!B:B,0))</f>
        <v>663947</v>
      </c>
    </row>
    <row r="6240">
      <c r="A6240" s="76">
        <v>45798.0</v>
      </c>
      <c r="B6240" s="1" t="s">
        <v>160</v>
      </c>
      <c r="C6240" s="1" t="s">
        <v>62</v>
      </c>
      <c r="D6240" s="1">
        <v>2.0</v>
      </c>
      <c r="E6240" s="1">
        <v>29574.0</v>
      </c>
      <c r="F6240" s="10">
        <f t="shared" si="1"/>
        <v>2</v>
      </c>
      <c r="G6240" s="10">
        <f t="array" ref="G6240">index('Player ID'!C:C,match(E6240,'Player ID'!B:B,0))</f>
        <v>695445</v>
      </c>
    </row>
    <row r="6241">
      <c r="A6241" s="76">
        <v>45798.0</v>
      </c>
      <c r="B6241" s="1" t="s">
        <v>487</v>
      </c>
      <c r="C6241" s="1" t="s">
        <v>62</v>
      </c>
      <c r="D6241" s="1">
        <v>3.0</v>
      </c>
      <c r="E6241" s="1">
        <v>30133.0</v>
      </c>
      <c r="F6241" s="10">
        <f t="shared" si="1"/>
        <v>3</v>
      </c>
      <c r="G6241" s="10">
        <f t="array" ref="G6241">index('Player ID'!C:C,match(E6241,'Player ID'!B:B,0))</f>
        <v>676428</v>
      </c>
    </row>
    <row r="6242">
      <c r="A6242" s="76">
        <v>45798.0</v>
      </c>
      <c r="B6242" s="1" t="s">
        <v>665</v>
      </c>
      <c r="C6242" s="1" t="s">
        <v>72</v>
      </c>
      <c r="D6242" s="1">
        <v>0.1</v>
      </c>
      <c r="E6242" s="1">
        <v>31261.0</v>
      </c>
      <c r="F6242" s="10">
        <f t="shared" si="1"/>
        <v>0.3333333333</v>
      </c>
      <c r="G6242" s="10">
        <f t="array" ref="G6242">index('Player ID'!C:C,match(E6242,'Player ID'!B:B,0))</f>
        <v>688297</v>
      </c>
    </row>
    <row r="6243">
      <c r="A6243" s="76">
        <v>45798.0</v>
      </c>
      <c r="B6243" s="1" t="s">
        <v>764</v>
      </c>
      <c r="C6243" s="1" t="s">
        <v>78</v>
      </c>
      <c r="D6243" s="1">
        <v>0.2</v>
      </c>
      <c r="E6243" s="1">
        <v>15684.0</v>
      </c>
      <c r="F6243" s="10">
        <f t="shared" si="1"/>
        <v>0.6666666667</v>
      </c>
      <c r="G6243" s="10">
        <f t="array" ref="G6243">index('Player ID'!C:C,match(E6243,'Player ID'!B:B,0))</f>
        <v>612434</v>
      </c>
    </row>
    <row r="6244">
      <c r="A6244" s="76">
        <v>45798.0</v>
      </c>
      <c r="B6244" s="1" t="s">
        <v>116</v>
      </c>
      <c r="C6244" s="1" t="s">
        <v>78</v>
      </c>
      <c r="D6244" s="1">
        <v>1.0</v>
      </c>
      <c r="E6244" s="1">
        <v>20353.0</v>
      </c>
      <c r="F6244" s="10">
        <f t="shared" si="1"/>
        <v>1</v>
      </c>
      <c r="G6244" s="10">
        <f t="array" ref="G6244">index('Player ID'!C:C,match(E6244,'Player ID'!B:B,0))</f>
        <v>621051</v>
      </c>
    </row>
    <row r="6245">
      <c r="A6245" s="76">
        <v>45798.0</v>
      </c>
      <c r="B6245" s="1" t="s">
        <v>670</v>
      </c>
      <c r="C6245" s="1" t="s">
        <v>37</v>
      </c>
      <c r="D6245" s="1">
        <v>1.0</v>
      </c>
      <c r="E6245" s="1">
        <v>20373.0</v>
      </c>
      <c r="F6245" s="10">
        <f t="shared" si="1"/>
        <v>1</v>
      </c>
      <c r="G6245" s="10">
        <f t="array" ref="G6245">index('Player ID'!C:C,match(E6245,'Player ID'!B:B,0))</f>
        <v>662253</v>
      </c>
    </row>
    <row r="6246">
      <c r="A6246" s="76">
        <v>45798.0</v>
      </c>
      <c r="B6246" s="1" t="s">
        <v>101</v>
      </c>
      <c r="C6246" s="1" t="s">
        <v>37</v>
      </c>
      <c r="D6246" s="1">
        <v>1.0</v>
      </c>
      <c r="E6246" s="1">
        <v>22915.0</v>
      </c>
      <c r="F6246" s="10">
        <f t="shared" si="1"/>
        <v>1</v>
      </c>
      <c r="G6246" s="10">
        <f t="array" ref="G6246">index('Player ID'!C:C,match(E6246,'Player ID'!B:B,0))</f>
        <v>672841</v>
      </c>
    </row>
    <row r="6247">
      <c r="A6247" s="76">
        <v>45798.0</v>
      </c>
      <c r="B6247" s="1" t="s">
        <v>340</v>
      </c>
      <c r="C6247" s="1" t="s">
        <v>37</v>
      </c>
      <c r="D6247" s="1">
        <v>1.0</v>
      </c>
      <c r="E6247" s="1">
        <v>25921.0</v>
      </c>
      <c r="F6247" s="10">
        <f t="shared" si="1"/>
        <v>1</v>
      </c>
      <c r="G6247" s="10">
        <f t="array" ref="G6247">index('Player ID'!C:C,match(E6247,'Player ID'!B:B,0))</f>
        <v>668984</v>
      </c>
    </row>
    <row r="6248">
      <c r="A6248" s="76">
        <v>45798.0</v>
      </c>
      <c r="B6248" s="1" t="s">
        <v>367</v>
      </c>
      <c r="C6248" s="1" t="s">
        <v>78</v>
      </c>
      <c r="D6248" s="1">
        <v>0.2</v>
      </c>
      <c r="E6248" s="1">
        <v>27668.0</v>
      </c>
      <c r="F6248" s="10">
        <f t="shared" si="1"/>
        <v>0.6666666667</v>
      </c>
      <c r="G6248" s="10">
        <f t="array" ref="G6248">index('Player ID'!C:C,match(E6248,'Player ID'!B:B,0))</f>
        <v>685126</v>
      </c>
    </row>
    <row r="6249">
      <c r="A6249" s="76">
        <v>45798.0</v>
      </c>
      <c r="B6249" s="1" t="s">
        <v>317</v>
      </c>
      <c r="C6249" s="1" t="s">
        <v>78</v>
      </c>
      <c r="D6249" s="1">
        <v>0.2</v>
      </c>
      <c r="E6249" s="1">
        <v>29950.0</v>
      </c>
      <c r="F6249" s="10">
        <f t="shared" si="1"/>
        <v>0.6666666667</v>
      </c>
      <c r="G6249" s="10">
        <f t="array" ref="G6249">index('Player ID'!C:C,match(E6249,'Player ID'!B:B,0))</f>
        <v>673929</v>
      </c>
    </row>
    <row r="6250">
      <c r="A6250" s="76">
        <v>45798.0</v>
      </c>
      <c r="B6250" s="1" t="s">
        <v>497</v>
      </c>
      <c r="C6250" s="1" t="s">
        <v>78</v>
      </c>
      <c r="D6250" s="1">
        <v>1.0</v>
      </c>
      <c r="E6250" s="1">
        <v>30105.0</v>
      </c>
      <c r="F6250" s="10">
        <f t="shared" si="1"/>
        <v>1</v>
      </c>
      <c r="G6250" s="10">
        <f t="array" ref="G6250">index('Player ID'!C:C,match(E6250,'Player ID'!B:B,0))</f>
        <v>678024</v>
      </c>
    </row>
    <row r="6251">
      <c r="A6251" s="76">
        <v>45798.0</v>
      </c>
      <c r="B6251" s="1" t="s">
        <v>470</v>
      </c>
      <c r="C6251" s="1" t="s">
        <v>78</v>
      </c>
      <c r="D6251" s="1">
        <v>5.0</v>
      </c>
      <c r="E6251" s="1">
        <v>31687.0</v>
      </c>
      <c r="F6251" s="10">
        <f t="shared" si="1"/>
        <v>5</v>
      </c>
      <c r="G6251" s="10">
        <f t="array" ref="G6251">index('Player ID'!C:C,match(E6251,'Player ID'!B:B,0))</f>
        <v>681343</v>
      </c>
    </row>
    <row r="6252">
      <c r="A6252" s="76">
        <v>45798.0</v>
      </c>
      <c r="B6252" s="1" t="s">
        <v>255</v>
      </c>
      <c r="C6252" s="1" t="s">
        <v>37</v>
      </c>
      <c r="D6252" s="1">
        <v>6.0</v>
      </c>
      <c r="E6252" s="1">
        <v>33699.0</v>
      </c>
      <c r="F6252" s="10">
        <f t="shared" si="1"/>
        <v>6</v>
      </c>
      <c r="G6252" s="10">
        <f t="array" ref="G6252">index('Player ID'!C:C,match(E6252,'Player ID'!B:B,0))</f>
        <v>688138</v>
      </c>
    </row>
    <row r="6253">
      <c r="A6253" s="76">
        <v>45798.0</v>
      </c>
      <c r="B6253" s="1" t="s">
        <v>199</v>
      </c>
      <c r="C6253" s="1" t="s">
        <v>29</v>
      </c>
      <c r="D6253" s="1">
        <v>2.0</v>
      </c>
      <c r="E6253" s="1">
        <v>17611.0</v>
      </c>
      <c r="F6253" s="10">
        <f t="shared" si="1"/>
        <v>2</v>
      </c>
      <c r="G6253" s="10">
        <f t="array" ref="G6253">index('Player ID'!C:C,match(E6253,'Player ID'!B:B,0))</f>
        <v>664199</v>
      </c>
    </row>
    <row r="6254">
      <c r="A6254" s="76">
        <v>45798.0</v>
      </c>
      <c r="B6254" s="1" t="s">
        <v>77</v>
      </c>
      <c r="C6254" s="1" t="s">
        <v>31</v>
      </c>
      <c r="D6254" s="1">
        <v>4.0</v>
      </c>
      <c r="E6254" s="1">
        <v>17995.0</v>
      </c>
      <c r="F6254" s="10">
        <f t="shared" si="1"/>
        <v>4</v>
      </c>
      <c r="G6254" s="10">
        <f t="array" ref="G6254">index('Player ID'!C:C,match(E6254,'Player ID'!B:B,0))</f>
        <v>657277</v>
      </c>
    </row>
    <row r="6255">
      <c r="A6255" s="76">
        <v>45798.0</v>
      </c>
      <c r="B6255" s="1" t="s">
        <v>407</v>
      </c>
      <c r="C6255" s="1" t="s">
        <v>29</v>
      </c>
      <c r="D6255" s="1">
        <v>1.0</v>
      </c>
      <c r="E6255" s="1">
        <v>19360.0</v>
      </c>
      <c r="F6255" s="10">
        <f t="shared" si="1"/>
        <v>1</v>
      </c>
      <c r="G6255" s="10">
        <f t="array" ref="G6255">index('Player ID'!C:C,match(E6255,'Player ID'!B:B,0))</f>
        <v>668674</v>
      </c>
    </row>
    <row r="6256">
      <c r="A6256" s="76">
        <v>45798.0</v>
      </c>
      <c r="B6256" s="1" t="s">
        <v>445</v>
      </c>
      <c r="C6256" s="1" t="s">
        <v>31</v>
      </c>
      <c r="D6256" s="1">
        <v>1.0</v>
      </c>
      <c r="E6256" s="1">
        <v>19618.0</v>
      </c>
      <c r="F6256" s="10">
        <f t="shared" si="1"/>
        <v>1</v>
      </c>
      <c r="G6256" s="10">
        <f t="array" ref="G6256">index('Player ID'!C:C,match(E6256,'Player ID'!B:B,0))</f>
        <v>663855</v>
      </c>
    </row>
    <row r="6257">
      <c r="A6257" s="76">
        <v>45798.0</v>
      </c>
      <c r="B6257" s="1" t="s">
        <v>293</v>
      </c>
      <c r="C6257" s="1" t="s">
        <v>29</v>
      </c>
      <c r="D6257" s="1">
        <v>1.2</v>
      </c>
      <c r="E6257" s="1">
        <v>21537.0</v>
      </c>
      <c r="F6257" s="10">
        <f t="shared" si="1"/>
        <v>1.666666667</v>
      </c>
      <c r="G6257" s="10">
        <f t="array" ref="G6257">index('Player ID'!C:C,match(E6257,'Player ID'!B:B,0))</f>
        <v>663738</v>
      </c>
    </row>
    <row r="6258">
      <c r="A6258" s="76">
        <v>45798.0</v>
      </c>
      <c r="B6258" s="1" t="s">
        <v>140</v>
      </c>
      <c r="C6258" s="1" t="s">
        <v>29</v>
      </c>
      <c r="D6258" s="1">
        <v>1.0</v>
      </c>
      <c r="E6258" s="1">
        <v>22717.0</v>
      </c>
      <c r="F6258" s="10">
        <f t="shared" si="1"/>
        <v>1</v>
      </c>
      <c r="G6258" s="10">
        <f t="array" ref="G6258">index('Player ID'!C:C,match(E6258,'Player ID'!B:B,0))</f>
        <v>672582</v>
      </c>
    </row>
    <row r="6259">
      <c r="A6259" s="76">
        <v>45798.0</v>
      </c>
      <c r="B6259" s="1" t="s">
        <v>214</v>
      </c>
      <c r="C6259" s="1" t="s">
        <v>29</v>
      </c>
      <c r="D6259" s="1">
        <v>2.0</v>
      </c>
      <c r="E6259" s="1">
        <v>23165.0</v>
      </c>
      <c r="F6259" s="10">
        <f t="shared" si="1"/>
        <v>2</v>
      </c>
      <c r="G6259" s="10">
        <f t="array" ref="G6259">index('Player ID'!C:C,match(E6259,'Player ID'!B:B,0))</f>
        <v>674444</v>
      </c>
    </row>
    <row r="6260">
      <c r="A6260" s="76">
        <v>45798.0</v>
      </c>
      <c r="B6260" s="1" t="s">
        <v>236</v>
      </c>
      <c r="C6260" s="1" t="s">
        <v>29</v>
      </c>
      <c r="D6260" s="1">
        <v>1.1</v>
      </c>
      <c r="E6260" s="1">
        <v>24607.0</v>
      </c>
      <c r="F6260" s="10">
        <f t="shared" si="1"/>
        <v>1.333333333</v>
      </c>
      <c r="G6260" s="10">
        <f t="array" ref="G6260">index('Player ID'!C:C,match(E6260,'Player ID'!B:B,0))</f>
        <v>680742</v>
      </c>
    </row>
    <row r="6261">
      <c r="A6261" s="76">
        <v>45798.0</v>
      </c>
      <c r="B6261" s="1" t="s">
        <v>655</v>
      </c>
      <c r="C6261" s="1" t="s">
        <v>31</v>
      </c>
      <c r="D6261" s="1">
        <v>1.0</v>
      </c>
      <c r="E6261" s="1">
        <v>26252.0</v>
      </c>
      <c r="F6261" s="10">
        <f t="shared" si="1"/>
        <v>1</v>
      </c>
      <c r="G6261" s="10">
        <f t="array" ref="G6261">index('Player ID'!C:C,match(E6261,'Player ID'!B:B,0))</f>
        <v>669062</v>
      </c>
    </row>
    <row r="6262">
      <c r="A6262" s="76">
        <v>45798.0</v>
      </c>
      <c r="B6262" s="1" t="s">
        <v>276</v>
      </c>
      <c r="C6262" s="1" t="s">
        <v>31</v>
      </c>
      <c r="D6262" s="1">
        <v>3.0</v>
      </c>
      <c r="E6262" s="1">
        <v>30226.0</v>
      </c>
      <c r="F6262" s="10">
        <f t="shared" si="1"/>
        <v>3</v>
      </c>
      <c r="G6262" s="10">
        <f t="array" ref="G6262">index('Player ID'!C:C,match(E6262,'Player ID'!B:B,0))</f>
        <v>702352</v>
      </c>
    </row>
    <row r="6263">
      <c r="A6263" s="76">
        <v>45798.0</v>
      </c>
      <c r="B6263" s="1" t="s">
        <v>757</v>
      </c>
      <c r="C6263" s="1" t="s">
        <v>22</v>
      </c>
      <c r="D6263" s="1">
        <v>0.2</v>
      </c>
      <c r="E6263" s="1">
        <v>3548.0</v>
      </c>
      <c r="F6263" s="10">
        <f t="shared" si="1"/>
        <v>0.6666666667</v>
      </c>
      <c r="G6263" s="10">
        <f t="array" ref="G6263">index('Player ID'!C:C,match(E6263,'Player ID'!B:B,0))</f>
        <v>521230</v>
      </c>
    </row>
    <row r="6264">
      <c r="A6264" s="76">
        <v>45798.0</v>
      </c>
      <c r="B6264" s="1" t="s">
        <v>646</v>
      </c>
      <c r="C6264" s="1" t="s">
        <v>51</v>
      </c>
      <c r="D6264" s="1">
        <v>2.1</v>
      </c>
      <c r="E6264" s="1">
        <v>6107.0</v>
      </c>
      <c r="F6264" s="10">
        <f t="shared" si="1"/>
        <v>2.333333333</v>
      </c>
      <c r="G6264" s="10">
        <f t="array" ref="G6264">index('Player ID'!C:C,match(E6264,'Player ID'!B:B,0))</f>
        <v>623211</v>
      </c>
    </row>
    <row r="6265">
      <c r="A6265" s="76">
        <v>45798.0</v>
      </c>
      <c r="B6265" s="1" t="s">
        <v>679</v>
      </c>
      <c r="C6265" s="1" t="s">
        <v>51</v>
      </c>
      <c r="D6265" s="1">
        <v>1.0</v>
      </c>
      <c r="E6265" s="1">
        <v>14710.0</v>
      </c>
      <c r="F6265" s="10">
        <f t="shared" si="1"/>
        <v>1</v>
      </c>
      <c r="G6265" s="10">
        <f t="array" ref="G6265">index('Player ID'!C:C,match(E6265,'Player ID'!B:B,0))</f>
        <v>621242</v>
      </c>
    </row>
    <row r="6266">
      <c r="A6266" s="76">
        <v>45798.0</v>
      </c>
      <c r="B6266" s="1" t="s">
        <v>493</v>
      </c>
      <c r="C6266" s="1" t="s">
        <v>22</v>
      </c>
      <c r="D6266" s="1">
        <v>1.0</v>
      </c>
      <c r="E6266" s="1">
        <v>16835.0</v>
      </c>
      <c r="F6266" s="10">
        <f t="shared" si="1"/>
        <v>1</v>
      </c>
      <c r="G6266" s="10">
        <f t="array" ref="G6266">index('Player ID'!C:C,match(E6266,'Player ID'!B:B,0))</f>
        <v>657514</v>
      </c>
    </row>
    <row r="6267">
      <c r="A6267" s="76">
        <v>45798.0</v>
      </c>
      <c r="B6267" s="1" t="s">
        <v>295</v>
      </c>
      <c r="C6267" s="1" t="s">
        <v>51</v>
      </c>
      <c r="D6267" s="1">
        <v>1.0</v>
      </c>
      <c r="E6267" s="1">
        <v>16866.0</v>
      </c>
      <c r="F6267" s="10">
        <f t="shared" si="1"/>
        <v>1</v>
      </c>
      <c r="G6267" s="10">
        <f t="array" ref="G6267">index('Player ID'!C:C,match(E6267,'Player ID'!B:B,0))</f>
        <v>657585</v>
      </c>
    </row>
    <row r="6268">
      <c r="A6268" s="76">
        <v>45798.0</v>
      </c>
      <c r="B6268" s="1" t="s">
        <v>415</v>
      </c>
      <c r="C6268" s="1" t="s">
        <v>22</v>
      </c>
      <c r="D6268" s="1">
        <v>2.0</v>
      </c>
      <c r="E6268" s="1">
        <v>16943.0</v>
      </c>
      <c r="F6268" s="10">
        <f t="shared" si="1"/>
        <v>2</v>
      </c>
      <c r="G6268" s="10">
        <f t="array" ref="G6268">index('Player ID'!C:C,match(E6268,'Player ID'!B:B,0))</f>
        <v>656794</v>
      </c>
    </row>
    <row r="6269">
      <c r="A6269" s="76">
        <v>45798.0</v>
      </c>
      <c r="B6269" s="1" t="s">
        <v>386</v>
      </c>
      <c r="C6269" s="1" t="s">
        <v>51</v>
      </c>
      <c r="D6269" s="1">
        <v>4.2</v>
      </c>
      <c r="E6269" s="1">
        <v>21318.0</v>
      </c>
      <c r="F6269" s="10">
        <f t="shared" si="1"/>
        <v>4.666666667</v>
      </c>
      <c r="G6269" s="10">
        <f t="array" ref="G6269">index('Player ID'!C:C,match(E6269,'Player ID'!B:B,0))</f>
        <v>656731</v>
      </c>
    </row>
    <row r="6270">
      <c r="A6270" s="76">
        <v>45798.0</v>
      </c>
      <c r="B6270" s="1" t="s">
        <v>100</v>
      </c>
      <c r="C6270" s="1" t="s">
        <v>22</v>
      </c>
      <c r="D6270" s="1">
        <v>5.1</v>
      </c>
      <c r="E6270" s="1">
        <v>27463.0</v>
      </c>
      <c r="F6270" s="10">
        <f t="shared" si="1"/>
        <v>5.333333333</v>
      </c>
      <c r="G6270" s="10">
        <f t="array" ref="G6270">index('Player ID'!C:C,match(E6270,'Player ID'!B:B,0))</f>
        <v>676979</v>
      </c>
    </row>
    <row r="6271">
      <c r="A6271" s="76">
        <v>45798.0</v>
      </c>
      <c r="B6271" s="1" t="s">
        <v>57</v>
      </c>
      <c r="C6271" s="1" t="s">
        <v>56</v>
      </c>
      <c r="D6271" s="1">
        <v>7.0</v>
      </c>
      <c r="E6271" s="1">
        <v>10954.0</v>
      </c>
      <c r="F6271" s="10">
        <f t="shared" si="1"/>
        <v>7</v>
      </c>
      <c r="G6271" s="10">
        <f t="array" ref="G6271">index('Player ID'!C:C,match(E6271,'Player ID'!B:B,0))</f>
        <v>594798</v>
      </c>
    </row>
    <row r="6272">
      <c r="A6272" s="76">
        <v>45798.0</v>
      </c>
      <c r="B6272" s="1" t="s">
        <v>162</v>
      </c>
      <c r="C6272" s="1" t="s">
        <v>56</v>
      </c>
      <c r="D6272" s="1">
        <v>0.2</v>
      </c>
      <c r="E6272" s="1">
        <v>11752.0</v>
      </c>
      <c r="F6272" s="10">
        <f t="shared" si="1"/>
        <v>0.6666666667</v>
      </c>
      <c r="G6272" s="10">
        <f t="array" ref="G6272">index('Player ID'!C:C,match(E6272,'Player ID'!B:B,0))</f>
        <v>592426</v>
      </c>
    </row>
    <row r="6273">
      <c r="A6273" s="76">
        <v>45798.0</v>
      </c>
      <c r="B6273" s="1" t="s">
        <v>192</v>
      </c>
      <c r="C6273" s="1" t="s">
        <v>58</v>
      </c>
      <c r="D6273" s="1">
        <v>5.0</v>
      </c>
      <c r="E6273" s="1">
        <v>16502.0</v>
      </c>
      <c r="F6273" s="10">
        <f t="shared" si="1"/>
        <v>5</v>
      </c>
      <c r="G6273" s="10">
        <f t="array" ref="G6273">index('Player ID'!C:C,match(E6273,'Player ID'!B:B,0))</f>
        <v>642232</v>
      </c>
    </row>
    <row r="6274">
      <c r="A6274" s="76">
        <v>45798.0</v>
      </c>
      <c r="B6274" s="1" t="s">
        <v>69</v>
      </c>
      <c r="C6274" s="1" t="s">
        <v>58</v>
      </c>
      <c r="D6274" s="1">
        <v>1.0</v>
      </c>
      <c r="E6274" s="1">
        <v>16814.0</v>
      </c>
      <c r="F6274" s="10">
        <f t="shared" si="1"/>
        <v>1</v>
      </c>
      <c r="G6274" s="10">
        <f t="array" ref="G6274">index('Player ID'!C:C,match(E6274,'Player ID'!B:B,0))</f>
        <v>657612</v>
      </c>
    </row>
    <row r="6275">
      <c r="A6275" s="76">
        <v>45798.0</v>
      </c>
      <c r="B6275" s="1" t="s">
        <v>225</v>
      </c>
      <c r="C6275" s="1" t="s">
        <v>58</v>
      </c>
      <c r="D6275" s="1">
        <v>1.0</v>
      </c>
      <c r="E6275" s="1">
        <v>16918.0</v>
      </c>
      <c r="F6275" s="10">
        <f t="shared" si="1"/>
        <v>1</v>
      </c>
      <c r="G6275" s="10">
        <f t="array" ref="G6275">index('Player ID'!C:C,match(E6275,'Player ID'!B:B,0))</f>
        <v>596133</v>
      </c>
    </row>
    <row r="6276">
      <c r="A6276" s="76">
        <v>45798.0</v>
      </c>
      <c r="B6276" s="1" t="s">
        <v>520</v>
      </c>
      <c r="C6276" s="1" t="s">
        <v>58</v>
      </c>
      <c r="D6276" s="1">
        <v>0.1</v>
      </c>
      <c r="E6276" s="1">
        <v>19261.0</v>
      </c>
      <c r="F6276" s="10">
        <f t="shared" si="1"/>
        <v>0.3333333333</v>
      </c>
      <c r="G6276" s="10">
        <f t="array" ref="G6276">index('Player ID'!C:C,match(E6276,'Player ID'!B:B,0))</f>
        <v>641656</v>
      </c>
    </row>
    <row r="6277">
      <c r="A6277" s="76">
        <v>45798.0</v>
      </c>
      <c r="B6277" s="1" t="s">
        <v>831</v>
      </c>
      <c r="C6277" s="1" t="s">
        <v>58</v>
      </c>
      <c r="D6277" s="1">
        <v>0.2</v>
      </c>
      <c r="E6277" s="1">
        <v>19753.0</v>
      </c>
      <c r="F6277" s="10">
        <f t="shared" si="1"/>
        <v>0.6666666667</v>
      </c>
      <c r="G6277" s="10">
        <f t="array" ref="G6277">index('Player ID'!C:C,match(E6277,'Player ID'!B:B,0))</f>
        <v>642528</v>
      </c>
    </row>
    <row r="6278">
      <c r="A6278" s="76">
        <v>45798.0</v>
      </c>
      <c r="B6278" s="1" t="s">
        <v>309</v>
      </c>
      <c r="C6278" s="1" t="s">
        <v>58</v>
      </c>
      <c r="D6278" s="1">
        <v>1.0</v>
      </c>
      <c r="E6278" s="1">
        <v>21420.0</v>
      </c>
      <c r="F6278" s="10">
        <f t="shared" si="1"/>
        <v>1</v>
      </c>
      <c r="G6278" s="10">
        <f t="array" ref="G6278">index('Player ID'!C:C,match(E6278,'Player ID'!B:B,0))</f>
        <v>660787</v>
      </c>
    </row>
    <row r="6279">
      <c r="A6279" s="76">
        <v>45798.0</v>
      </c>
      <c r="B6279" s="1" t="s">
        <v>268</v>
      </c>
      <c r="C6279" s="1" t="s">
        <v>56</v>
      </c>
      <c r="D6279" s="1">
        <v>0.2</v>
      </c>
      <c r="E6279" s="1">
        <v>23363.0</v>
      </c>
      <c r="F6279" s="10">
        <f t="shared" si="1"/>
        <v>0.6666666667</v>
      </c>
      <c r="G6279" s="10">
        <f t="array" ref="G6279">index('Player ID'!C:C,match(E6279,'Player ID'!B:B,0))</f>
        <v>676395</v>
      </c>
    </row>
    <row r="6280">
      <c r="A6280" s="76">
        <v>45798.0</v>
      </c>
      <c r="B6280" s="1" t="s">
        <v>822</v>
      </c>
      <c r="C6280" s="1" t="s">
        <v>40</v>
      </c>
      <c r="D6280" s="1">
        <v>2.0</v>
      </c>
      <c r="E6280" s="1">
        <v>11589.0</v>
      </c>
      <c r="F6280" s="10">
        <f t="shared" si="1"/>
        <v>2</v>
      </c>
      <c r="G6280" s="10">
        <f t="array" ref="G6280">index('Player ID'!C:C,match(E6280,'Player ID'!B:B,0))</f>
        <v>570632</v>
      </c>
    </row>
    <row r="6281">
      <c r="A6281" s="76">
        <v>45798.0</v>
      </c>
      <c r="B6281" s="1" t="s">
        <v>155</v>
      </c>
      <c r="C6281" s="1" t="s">
        <v>40</v>
      </c>
      <c r="D6281" s="1">
        <v>7.0</v>
      </c>
      <c r="E6281" s="1">
        <v>14107.0</v>
      </c>
      <c r="F6281" s="10">
        <f t="shared" si="1"/>
        <v>7</v>
      </c>
      <c r="G6281" s="10">
        <f t="array" ref="G6281">index('Player ID'!C:C,match(E6281,'Player ID'!B:B,0))</f>
        <v>592332</v>
      </c>
    </row>
    <row r="6282">
      <c r="A6282" s="76">
        <v>45798.0</v>
      </c>
      <c r="B6282" s="1" t="s">
        <v>836</v>
      </c>
      <c r="C6282" s="1" t="s">
        <v>26</v>
      </c>
      <c r="D6282" s="1">
        <v>1.0</v>
      </c>
      <c r="E6282" s="1">
        <v>15730.0</v>
      </c>
      <c r="F6282" s="10">
        <f t="shared" si="1"/>
        <v>1</v>
      </c>
      <c r="G6282" s="10" t="str">
        <f t="array" ref="G6282">index('Player ID'!C:C,match(E6282,'Player ID'!B:B,0))</f>
        <v>#N/A</v>
      </c>
    </row>
    <row r="6283">
      <c r="A6283" s="76">
        <v>45798.0</v>
      </c>
      <c r="B6283" s="1" t="s">
        <v>49</v>
      </c>
      <c r="C6283" s="1" t="s">
        <v>26</v>
      </c>
      <c r="D6283" s="1">
        <v>0.1</v>
      </c>
      <c r="E6283" s="1">
        <v>20039.0</v>
      </c>
      <c r="F6283" s="10">
        <f t="shared" si="1"/>
        <v>0.3333333333</v>
      </c>
      <c r="G6283" s="10">
        <f t="array" ref="G6283">index('Player ID'!C:C,match(E6283,'Player ID'!B:B,0))</f>
        <v>670970</v>
      </c>
    </row>
    <row r="6284">
      <c r="A6284" s="76">
        <v>45798.0</v>
      </c>
      <c r="B6284" s="1" t="s">
        <v>94</v>
      </c>
      <c r="C6284" s="1" t="s">
        <v>26</v>
      </c>
      <c r="D6284" s="1">
        <v>1.1</v>
      </c>
      <c r="E6284" s="1">
        <v>22210.0</v>
      </c>
      <c r="F6284" s="10">
        <f t="shared" si="1"/>
        <v>1.333333333</v>
      </c>
      <c r="G6284" s="10">
        <f t="array" ref="G6284">index('Player ID'!C:C,match(E6284,'Player ID'!B:B,0))</f>
        <v>669093</v>
      </c>
    </row>
    <row r="6285">
      <c r="A6285" s="76">
        <v>45798.0</v>
      </c>
      <c r="B6285" s="1" t="s">
        <v>713</v>
      </c>
      <c r="C6285" s="1" t="s">
        <v>26</v>
      </c>
      <c r="D6285" s="1">
        <v>4.2</v>
      </c>
      <c r="E6285" s="1">
        <v>24719.0</v>
      </c>
      <c r="F6285" s="10">
        <f t="shared" si="1"/>
        <v>4.666666667</v>
      </c>
      <c r="G6285" s="10">
        <f t="array" ref="G6285">index('Player ID'!C:C,match(E6285,'Player ID'!B:B,0))</f>
        <v>681190</v>
      </c>
    </row>
    <row r="6286">
      <c r="A6286" s="76">
        <v>45798.0</v>
      </c>
      <c r="B6286" s="1" t="s">
        <v>391</v>
      </c>
      <c r="C6286" s="1" t="s">
        <v>26</v>
      </c>
      <c r="D6286" s="1">
        <v>0.2</v>
      </c>
      <c r="E6286" s="1">
        <v>29628.0</v>
      </c>
      <c r="F6286" s="10">
        <f t="shared" si="1"/>
        <v>0.6666666667</v>
      </c>
      <c r="G6286" s="10">
        <f t="array" ref="G6286">index('Player ID'!C:C,match(E6286,'Player ID'!B:B,0))</f>
        <v>689690</v>
      </c>
    </row>
    <row r="6287">
      <c r="A6287" s="76">
        <v>45798.0</v>
      </c>
      <c r="B6287" s="1" t="s">
        <v>704</v>
      </c>
      <c r="C6287" s="1" t="s">
        <v>75</v>
      </c>
      <c r="D6287" s="1">
        <v>1.1</v>
      </c>
      <c r="E6287" s="1">
        <v>10591.0</v>
      </c>
      <c r="F6287" s="10">
        <f t="shared" si="1"/>
        <v>1.333333333</v>
      </c>
      <c r="G6287" s="10">
        <f t="array" ref="G6287">index('Player ID'!C:C,match(E6287,'Player ID'!B:B,0))</f>
        <v>518397</v>
      </c>
    </row>
    <row r="6288">
      <c r="A6288" s="76">
        <v>45798.0</v>
      </c>
      <c r="B6288" s="1" t="s">
        <v>453</v>
      </c>
      <c r="C6288" s="1" t="s">
        <v>45</v>
      </c>
      <c r="D6288" s="1">
        <v>5.0</v>
      </c>
      <c r="E6288" s="1">
        <v>11836.0</v>
      </c>
      <c r="F6288" s="10">
        <f t="shared" si="1"/>
        <v>5</v>
      </c>
      <c r="G6288" s="10">
        <f t="array" ref="G6288">index('Player ID'!C:C,match(E6288,'Player ID'!B:B,0))</f>
        <v>592836</v>
      </c>
    </row>
    <row r="6289">
      <c r="A6289" s="76">
        <v>45798.0</v>
      </c>
      <c r="B6289" s="1" t="s">
        <v>360</v>
      </c>
      <c r="C6289" s="1" t="s">
        <v>45</v>
      </c>
      <c r="D6289" s="1">
        <v>2.0</v>
      </c>
      <c r="E6289" s="1">
        <v>12972.0</v>
      </c>
      <c r="F6289" s="10">
        <f t="shared" si="1"/>
        <v>2</v>
      </c>
      <c r="G6289" s="10">
        <f t="array" ref="G6289">index('Player ID'!C:C,match(E6289,'Player ID'!B:B,0))</f>
        <v>605452</v>
      </c>
    </row>
    <row r="6290">
      <c r="A6290" s="76">
        <v>45798.0</v>
      </c>
      <c r="B6290" s="1" t="s">
        <v>138</v>
      </c>
      <c r="C6290" s="1" t="s">
        <v>45</v>
      </c>
      <c r="D6290" s="1">
        <v>1.0</v>
      </c>
      <c r="E6290" s="1">
        <v>16990.0</v>
      </c>
      <c r="F6290" s="10">
        <f t="shared" si="1"/>
        <v>1</v>
      </c>
      <c r="G6290" s="10">
        <f t="array" ref="G6290">index('Player ID'!C:C,match(E6290,'Player ID'!B:B,0))</f>
        <v>621383</v>
      </c>
    </row>
    <row r="6291">
      <c r="A6291" s="76">
        <v>45798.0</v>
      </c>
      <c r="B6291" s="1" t="s">
        <v>701</v>
      </c>
      <c r="C6291" s="1" t="s">
        <v>45</v>
      </c>
      <c r="D6291" s="1">
        <v>1.0</v>
      </c>
      <c r="E6291" s="1">
        <v>22713.0</v>
      </c>
      <c r="F6291" s="10">
        <f t="shared" si="1"/>
        <v>1</v>
      </c>
      <c r="G6291" s="10">
        <f t="array" ref="G6291">index('Player ID'!C:C,match(E6291,'Player ID'!B:B,0))</f>
        <v>672578</v>
      </c>
    </row>
    <row r="6292">
      <c r="A6292" s="76">
        <v>45798.0</v>
      </c>
      <c r="B6292" s="1" t="s">
        <v>486</v>
      </c>
      <c r="C6292" s="1" t="s">
        <v>75</v>
      </c>
      <c r="D6292" s="1">
        <v>2.1</v>
      </c>
      <c r="E6292" s="1">
        <v>26790.0</v>
      </c>
      <c r="F6292" s="10">
        <f t="shared" si="1"/>
        <v>2.333333333</v>
      </c>
      <c r="G6292" s="10">
        <f t="array" ref="G6292">index('Player ID'!C:C,match(E6292,'Player ID'!B:B,0))</f>
        <v>683409</v>
      </c>
    </row>
    <row r="6293">
      <c r="A6293" s="76">
        <v>45798.0</v>
      </c>
      <c r="B6293" s="1" t="s">
        <v>512</v>
      </c>
      <c r="C6293" s="1" t="s">
        <v>75</v>
      </c>
      <c r="D6293" s="1">
        <v>1.0</v>
      </c>
      <c r="E6293" s="1">
        <v>31552.0</v>
      </c>
      <c r="F6293" s="10">
        <f t="shared" si="1"/>
        <v>1</v>
      </c>
      <c r="G6293" s="10">
        <f t="array" ref="G6293">index('Player ID'!C:C,match(E6293,'Player ID'!B:B,0))</f>
        <v>688642</v>
      </c>
    </row>
    <row r="6294">
      <c r="A6294" s="76">
        <v>45798.0</v>
      </c>
      <c r="B6294" s="1" t="s">
        <v>449</v>
      </c>
      <c r="C6294" s="1" t="s">
        <v>75</v>
      </c>
      <c r="D6294" s="1">
        <v>4.1</v>
      </c>
      <c r="E6294" s="1">
        <v>31612.0</v>
      </c>
      <c r="F6294" s="10">
        <f t="shared" si="1"/>
        <v>4.333333333</v>
      </c>
      <c r="G6294" s="10">
        <f t="array" ref="G6294">index('Player ID'!C:C,match(E6294,'Player ID'!B:B,0))</f>
        <v>687223</v>
      </c>
    </row>
    <row r="6295">
      <c r="A6295" s="76">
        <v>45798.0</v>
      </c>
      <c r="B6295" s="1" t="s">
        <v>660</v>
      </c>
      <c r="C6295" s="1" t="s">
        <v>25</v>
      </c>
      <c r="D6295" s="1">
        <v>1.0</v>
      </c>
      <c r="E6295" s="1">
        <v>11804.0</v>
      </c>
      <c r="F6295" s="10">
        <f t="shared" si="1"/>
        <v>1</v>
      </c>
      <c r="G6295" s="10">
        <f t="array" ref="G6295">index('Player ID'!C:C,match(E6295,'Player ID'!B:B,0))</f>
        <v>593576</v>
      </c>
    </row>
    <row r="6296">
      <c r="A6296" s="76">
        <v>45798.0</v>
      </c>
      <c r="B6296" s="1" t="s">
        <v>291</v>
      </c>
      <c r="C6296" s="1" t="s">
        <v>25</v>
      </c>
      <c r="D6296" s="1">
        <v>0.2</v>
      </c>
      <c r="E6296" s="1">
        <v>17968.0</v>
      </c>
      <c r="F6296" s="10">
        <f t="shared" si="1"/>
        <v>0.6666666667</v>
      </c>
      <c r="G6296" s="10">
        <f t="array" ref="G6296">index('Player ID'!C:C,match(E6296,'Player ID'!B:B,0))</f>
        <v>656271</v>
      </c>
    </row>
    <row r="6297">
      <c r="A6297" s="76">
        <v>45798.0</v>
      </c>
      <c r="B6297" s="1" t="s">
        <v>741</v>
      </c>
      <c r="C6297" s="1" t="s">
        <v>52</v>
      </c>
      <c r="D6297" s="1">
        <v>1.1</v>
      </c>
      <c r="E6297" s="1">
        <v>19315.0</v>
      </c>
      <c r="F6297" s="10">
        <f t="shared" si="1"/>
        <v>1.333333333</v>
      </c>
      <c r="G6297" s="10">
        <f t="array" ref="G6297">index('Player ID'!C:C,match(E6297,'Player ID'!B:B,0))</f>
        <v>640454</v>
      </c>
    </row>
    <row r="6298">
      <c r="A6298" s="76">
        <v>45798.0</v>
      </c>
      <c r="B6298" s="1" t="s">
        <v>722</v>
      </c>
      <c r="C6298" s="1" t="s">
        <v>25</v>
      </c>
      <c r="D6298" s="1">
        <v>1.1</v>
      </c>
      <c r="E6298" s="1">
        <v>19453.0</v>
      </c>
      <c r="F6298" s="10">
        <f t="shared" si="1"/>
        <v>1.333333333</v>
      </c>
      <c r="G6298" s="10">
        <f t="array" ref="G6298">index('Player ID'!C:C,match(E6298,'Player ID'!B:B,0))</f>
        <v>641312</v>
      </c>
    </row>
    <row r="6299">
      <c r="A6299" s="76">
        <v>45798.0</v>
      </c>
      <c r="B6299" s="1" t="s">
        <v>505</v>
      </c>
      <c r="C6299" s="1" t="s">
        <v>52</v>
      </c>
      <c r="D6299" s="1">
        <v>2.0</v>
      </c>
      <c r="E6299" s="1">
        <v>19481.0</v>
      </c>
      <c r="F6299" s="10">
        <f t="shared" si="1"/>
        <v>2</v>
      </c>
      <c r="G6299" s="10">
        <f t="array" ref="G6299">index('Player ID'!C:C,match(E6299,'Player ID'!B:B,0))</f>
        <v>621053</v>
      </c>
    </row>
    <row r="6300">
      <c r="A6300" s="76">
        <v>45798.0</v>
      </c>
      <c r="B6300" s="1" t="s">
        <v>283</v>
      </c>
      <c r="C6300" s="1" t="s">
        <v>25</v>
      </c>
      <c r="D6300" s="1">
        <v>1.0</v>
      </c>
      <c r="E6300" s="1">
        <v>21205.0</v>
      </c>
      <c r="F6300" s="10">
        <f t="shared" si="1"/>
        <v>1</v>
      </c>
      <c r="G6300" s="10">
        <f t="array" ref="G6300">index('Player ID'!C:C,match(E6300,'Player ID'!B:B,0))</f>
        <v>641401</v>
      </c>
    </row>
    <row r="6301">
      <c r="A6301" s="76">
        <v>45798.0</v>
      </c>
      <c r="B6301" s="1" t="s">
        <v>830</v>
      </c>
      <c r="C6301" s="1" t="s">
        <v>52</v>
      </c>
      <c r="D6301" s="1">
        <v>0.0</v>
      </c>
      <c r="E6301" s="1">
        <v>22533.0</v>
      </c>
      <c r="F6301" s="10">
        <f t="shared" si="1"/>
        <v>0</v>
      </c>
      <c r="G6301" s="10">
        <f t="array" ref="G6301">index('Player ID'!C:C,match(E6301,'Player ID'!B:B,0))</f>
        <v>671305</v>
      </c>
    </row>
    <row r="6302">
      <c r="A6302" s="76">
        <v>45798.0</v>
      </c>
      <c r="B6302" s="1" t="s">
        <v>251</v>
      </c>
      <c r="C6302" s="1" t="s">
        <v>52</v>
      </c>
      <c r="D6302" s="1">
        <v>5.0</v>
      </c>
      <c r="E6302" s="1">
        <v>23429.0</v>
      </c>
      <c r="F6302" s="10">
        <f t="shared" si="1"/>
        <v>5</v>
      </c>
      <c r="G6302" s="10">
        <f t="array" ref="G6302">index('Player ID'!C:C,match(E6302,'Player ID'!B:B,0))</f>
        <v>676664</v>
      </c>
    </row>
    <row r="6303">
      <c r="A6303" s="76">
        <v>45798.0</v>
      </c>
      <c r="B6303" s="1" t="s">
        <v>385</v>
      </c>
      <c r="C6303" s="1" t="s">
        <v>25</v>
      </c>
      <c r="D6303" s="1">
        <v>1.0</v>
      </c>
      <c r="E6303" s="1">
        <v>25420.0</v>
      </c>
      <c r="F6303" s="10">
        <f t="shared" si="1"/>
        <v>1</v>
      </c>
      <c r="G6303" s="10">
        <f t="array" ref="G6303">index('Player ID'!C:C,match(E6303,'Player ID'!B:B,0))</f>
        <v>666171</v>
      </c>
    </row>
    <row r="6304">
      <c r="A6304" s="76">
        <v>45798.0</v>
      </c>
      <c r="B6304" s="1" t="s">
        <v>793</v>
      </c>
      <c r="C6304" s="1" t="s">
        <v>52</v>
      </c>
      <c r="D6304" s="1">
        <v>0.2</v>
      </c>
      <c r="E6304" s="1">
        <v>26034.0</v>
      </c>
      <c r="F6304" s="10">
        <f t="shared" si="1"/>
        <v>0.6666666667</v>
      </c>
      <c r="G6304" s="10">
        <f t="array" ref="G6304">index('Player ID'!C:C,match(E6304,'Player ID'!B:B,0))</f>
        <v>687424</v>
      </c>
    </row>
    <row r="6305">
      <c r="A6305" s="76">
        <v>45798.0</v>
      </c>
      <c r="B6305" s="1" t="s">
        <v>521</v>
      </c>
      <c r="C6305" s="1" t="s">
        <v>25</v>
      </c>
      <c r="D6305" s="1">
        <v>4.0</v>
      </c>
      <c r="E6305" s="1">
        <v>27688.0</v>
      </c>
      <c r="F6305" s="10">
        <f t="shared" si="1"/>
        <v>4</v>
      </c>
      <c r="G6305" s="10">
        <f t="array" ref="G6305">index('Player ID'!C:C,match(E6305,'Player ID'!B:B,0))</f>
        <v>686799</v>
      </c>
    </row>
    <row r="6306">
      <c r="A6306" s="76">
        <v>45798.0</v>
      </c>
      <c r="B6306" s="1" t="s">
        <v>503</v>
      </c>
      <c r="C6306" s="1" t="s">
        <v>33</v>
      </c>
      <c r="D6306" s="1">
        <v>1.1</v>
      </c>
      <c r="E6306" s="1">
        <v>15043.0</v>
      </c>
      <c r="F6306" s="10">
        <f t="shared" si="1"/>
        <v>1.333333333</v>
      </c>
      <c r="G6306" s="10">
        <f t="array" ref="G6306">index('Player ID'!C:C,match(E6306,'Player ID'!B:B,0))</f>
        <v>642152</v>
      </c>
    </row>
    <row r="6307">
      <c r="A6307" s="76">
        <v>45798.0</v>
      </c>
      <c r="B6307" s="1" t="s">
        <v>489</v>
      </c>
      <c r="C6307" s="1" t="s">
        <v>64</v>
      </c>
      <c r="D6307" s="1">
        <v>1.0</v>
      </c>
      <c r="E6307" s="1">
        <v>17192.0</v>
      </c>
      <c r="F6307" s="10">
        <f t="shared" si="1"/>
        <v>1</v>
      </c>
      <c r="G6307" s="10">
        <f t="array" ref="G6307">index('Player ID'!C:C,match(E6307,'Player ID'!B:B,0))</f>
        <v>656222</v>
      </c>
    </row>
    <row r="6308">
      <c r="A6308" s="76">
        <v>45798.0</v>
      </c>
      <c r="B6308" s="1" t="s">
        <v>32</v>
      </c>
      <c r="C6308" s="1" t="s">
        <v>33</v>
      </c>
      <c r="D6308" s="1">
        <v>1.0</v>
      </c>
      <c r="E6308" s="1">
        <v>17586.0</v>
      </c>
      <c r="F6308" s="10">
        <f t="shared" si="1"/>
        <v>1</v>
      </c>
      <c r="G6308" s="10">
        <f t="array" ref="G6308">index('Player ID'!C:C,match(E6308,'Player ID'!B:B,0))</f>
        <v>656945</v>
      </c>
    </row>
    <row r="6309">
      <c r="A6309" s="76">
        <v>45798.0</v>
      </c>
      <c r="B6309" s="1" t="s">
        <v>431</v>
      </c>
      <c r="C6309" s="1" t="s">
        <v>64</v>
      </c>
      <c r="D6309" s="1">
        <v>7.0</v>
      </c>
      <c r="E6309" s="1">
        <v>19361.0</v>
      </c>
      <c r="F6309" s="10">
        <f t="shared" si="1"/>
        <v>7</v>
      </c>
      <c r="G6309" s="10">
        <f t="array" ref="G6309">index('Player ID'!C:C,match(E6309,'Player ID'!B:B,0))</f>
        <v>669203</v>
      </c>
    </row>
    <row r="6310">
      <c r="A6310" s="76">
        <v>45798.0</v>
      </c>
      <c r="B6310" s="1" t="s">
        <v>329</v>
      </c>
      <c r="C6310" s="1" t="s">
        <v>33</v>
      </c>
      <c r="D6310" s="1">
        <v>6.0</v>
      </c>
      <c r="E6310" s="1">
        <v>19716.0</v>
      </c>
      <c r="F6310" s="10">
        <f t="shared" si="1"/>
        <v>6</v>
      </c>
      <c r="G6310" s="10">
        <f t="array" ref="G6310">index('Player ID'!C:C,match(E6310,'Player ID'!B:B,0))</f>
        <v>669160</v>
      </c>
    </row>
    <row r="6311">
      <c r="A6311" s="76">
        <v>45798.0</v>
      </c>
      <c r="B6311" s="1" t="s">
        <v>206</v>
      </c>
      <c r="C6311" s="1" t="s">
        <v>33</v>
      </c>
      <c r="D6311" s="1">
        <v>0.2</v>
      </c>
      <c r="E6311" s="1">
        <v>30249.0</v>
      </c>
      <c r="F6311" s="10">
        <f t="shared" si="1"/>
        <v>0.6666666667</v>
      </c>
      <c r="G6311" s="10">
        <f t="array" ref="G6311">index('Player ID'!C:C,match(E6311,'Player ID'!B:B,0))</f>
        <v>676263</v>
      </c>
    </row>
    <row r="6312">
      <c r="A6312" s="76">
        <v>45799.0</v>
      </c>
      <c r="B6312" s="1" t="s">
        <v>115</v>
      </c>
      <c r="C6312" s="1" t="s">
        <v>56</v>
      </c>
      <c r="D6312" s="1">
        <v>6.0</v>
      </c>
      <c r="E6312" s="1">
        <v>9132.0</v>
      </c>
      <c r="F6312" s="10">
        <f t="shared" si="1"/>
        <v>6</v>
      </c>
      <c r="G6312" s="10">
        <f t="array" ref="G6312">index('Player ID'!C:C,match(E6312,'Player ID'!B:B,0))</f>
        <v>543135</v>
      </c>
    </row>
    <row r="6313">
      <c r="A6313" s="76">
        <v>45799.0</v>
      </c>
      <c r="B6313" s="1" t="s">
        <v>440</v>
      </c>
      <c r="C6313" s="1" t="s">
        <v>56</v>
      </c>
      <c r="D6313" s="1">
        <v>1.0</v>
      </c>
      <c r="E6313" s="1">
        <v>12857.0</v>
      </c>
      <c r="F6313" s="10">
        <f t="shared" si="1"/>
        <v>1</v>
      </c>
      <c r="G6313" s="10">
        <f t="array" ref="G6313">index('Player ID'!C:C,match(E6313,'Player ID'!B:B,0))</f>
        <v>542888</v>
      </c>
    </row>
    <row r="6314">
      <c r="A6314" s="76">
        <v>45799.0</v>
      </c>
      <c r="B6314" s="1" t="s">
        <v>151</v>
      </c>
      <c r="C6314" s="1" t="s">
        <v>56</v>
      </c>
      <c r="D6314" s="1">
        <v>1.0</v>
      </c>
      <c r="E6314" s="1">
        <v>13346.0</v>
      </c>
      <c r="F6314" s="10">
        <f t="shared" si="1"/>
        <v>1</v>
      </c>
      <c r="G6314" s="10">
        <f t="array" ref="G6314">index('Player ID'!C:C,match(E6314,'Player ID'!B:B,0))</f>
        <v>571948</v>
      </c>
    </row>
    <row r="6315">
      <c r="A6315" s="76">
        <v>45799.0</v>
      </c>
      <c r="B6315" s="1" t="s">
        <v>467</v>
      </c>
      <c r="C6315" s="1" t="s">
        <v>58</v>
      </c>
      <c r="D6315" s="1">
        <v>1.0</v>
      </c>
      <c r="E6315" s="1">
        <v>15551.0</v>
      </c>
      <c r="F6315" s="10">
        <f t="shared" si="1"/>
        <v>1</v>
      </c>
      <c r="G6315" s="10">
        <f t="array" ref="G6315">index('Player ID'!C:C,match(E6315,'Player ID'!B:B,0))</f>
        <v>643410</v>
      </c>
    </row>
    <row r="6316">
      <c r="A6316" s="76">
        <v>45799.0</v>
      </c>
      <c r="B6316" s="1" t="s">
        <v>114</v>
      </c>
      <c r="C6316" s="1" t="s">
        <v>58</v>
      </c>
      <c r="D6316" s="1">
        <v>1.0</v>
      </c>
      <c r="E6316" s="1">
        <v>15816.0</v>
      </c>
      <c r="F6316" s="10">
        <f t="shared" si="1"/>
        <v>1</v>
      </c>
      <c r="G6316" s="10">
        <f t="array" ref="G6316">index('Player ID'!C:C,match(E6316,'Player ID'!B:B,0))</f>
        <v>642207</v>
      </c>
    </row>
    <row r="6317">
      <c r="A6317" s="76">
        <v>45799.0</v>
      </c>
      <c r="B6317" s="1" t="s">
        <v>635</v>
      </c>
      <c r="C6317" s="1" t="s">
        <v>58</v>
      </c>
      <c r="D6317" s="1">
        <v>6.0</v>
      </c>
      <c r="E6317" s="1">
        <v>16137.0</v>
      </c>
      <c r="F6317" s="10">
        <f t="shared" si="1"/>
        <v>6</v>
      </c>
      <c r="G6317" s="10">
        <f t="array" ref="G6317">index('Player ID'!C:C,match(E6317,'Player ID'!B:B,0))</f>
        <v>607074</v>
      </c>
    </row>
    <row r="6318">
      <c r="A6318" s="76">
        <v>45799.0</v>
      </c>
      <c r="B6318" s="1" t="s">
        <v>225</v>
      </c>
      <c r="C6318" s="1" t="s">
        <v>58</v>
      </c>
      <c r="D6318" s="1">
        <v>1.0</v>
      </c>
      <c r="E6318" s="1">
        <v>16918.0</v>
      </c>
      <c r="F6318" s="10">
        <f t="shared" si="1"/>
        <v>1</v>
      </c>
      <c r="G6318" s="10">
        <f t="array" ref="G6318">index('Player ID'!C:C,match(E6318,'Player ID'!B:B,0))</f>
        <v>596133</v>
      </c>
    </row>
    <row r="6319">
      <c r="A6319" s="76">
        <v>45799.0</v>
      </c>
      <c r="B6319" s="1" t="s">
        <v>342</v>
      </c>
      <c r="C6319" s="1" t="s">
        <v>26</v>
      </c>
      <c r="D6319" s="1">
        <v>1.0</v>
      </c>
      <c r="E6319" s="1">
        <v>11861.0</v>
      </c>
      <c r="F6319" s="10">
        <f t="shared" si="1"/>
        <v>1</v>
      </c>
      <c r="G6319" s="10">
        <f t="array" ref="G6319">index('Player ID'!C:C,match(E6319,'Player ID'!B:B,0))</f>
        <v>592094</v>
      </c>
    </row>
    <row r="6320">
      <c r="A6320" s="76">
        <v>45799.0</v>
      </c>
      <c r="B6320" s="1" t="s">
        <v>673</v>
      </c>
      <c r="C6320" s="1" t="s">
        <v>40</v>
      </c>
      <c r="D6320" s="1">
        <v>1.0</v>
      </c>
      <c r="E6320" s="1">
        <v>12095.0</v>
      </c>
      <c r="F6320" s="10">
        <f t="shared" si="1"/>
        <v>1</v>
      </c>
      <c r="G6320" s="10">
        <f t="array" ref="G6320">index('Player ID'!C:C,match(E6320,'Player ID'!B:B,0))</f>
        <v>554340</v>
      </c>
    </row>
    <row r="6321">
      <c r="A6321" s="76">
        <v>45799.0</v>
      </c>
      <c r="B6321" s="1" t="s">
        <v>174</v>
      </c>
      <c r="C6321" s="1" t="s">
        <v>40</v>
      </c>
      <c r="D6321" s="1">
        <v>0.2</v>
      </c>
      <c r="E6321" s="1">
        <v>15552.0</v>
      </c>
      <c r="F6321" s="10">
        <f t="shared" si="1"/>
        <v>0.6666666667</v>
      </c>
      <c r="G6321" s="10">
        <f t="array" ref="G6321">index('Player ID'!C:C,match(E6321,'Player ID'!B:B,0))</f>
        <v>643338</v>
      </c>
    </row>
    <row r="6322">
      <c r="A6322" s="76">
        <v>45799.0</v>
      </c>
      <c r="B6322" s="1" t="s">
        <v>311</v>
      </c>
      <c r="C6322" s="1" t="s">
        <v>40</v>
      </c>
      <c r="D6322" s="1">
        <v>1.0</v>
      </c>
      <c r="E6322" s="1">
        <v>17432.0</v>
      </c>
      <c r="F6322" s="10">
        <f t="shared" si="1"/>
        <v>1</v>
      </c>
      <c r="G6322" s="10">
        <f t="array" ref="G6322">index('Player ID'!C:C,match(E6322,'Player ID'!B:B,0))</f>
        <v>656546</v>
      </c>
    </row>
    <row r="6323">
      <c r="A6323" s="76">
        <v>45799.0</v>
      </c>
      <c r="B6323" s="1" t="s">
        <v>428</v>
      </c>
      <c r="C6323" s="1" t="s">
        <v>40</v>
      </c>
      <c r="D6323" s="1">
        <v>4.0</v>
      </c>
      <c r="E6323" s="1">
        <v>20548.0</v>
      </c>
      <c r="F6323" s="10">
        <f t="shared" si="1"/>
        <v>4</v>
      </c>
      <c r="G6323" s="10">
        <f t="array" ref="G6323">index('Player ID'!C:C,match(E6323,'Player ID'!B:B,0))</f>
        <v>670102</v>
      </c>
    </row>
    <row r="6324">
      <c r="A6324" s="76">
        <v>45799.0</v>
      </c>
      <c r="B6324" s="1" t="s">
        <v>179</v>
      </c>
      <c r="C6324" s="1" t="s">
        <v>26</v>
      </c>
      <c r="D6324" s="1">
        <v>6.0</v>
      </c>
      <c r="E6324" s="1">
        <v>21487.0</v>
      </c>
      <c r="F6324" s="10">
        <f t="shared" si="1"/>
        <v>6</v>
      </c>
      <c r="G6324" s="10">
        <f t="array" ref="G6324">index('Player ID'!C:C,match(E6324,'Player ID'!B:B,0))</f>
        <v>663568</v>
      </c>
    </row>
    <row r="6325">
      <c r="A6325" s="76">
        <v>45799.0</v>
      </c>
      <c r="B6325" s="1" t="s">
        <v>395</v>
      </c>
      <c r="C6325" s="1" t="s">
        <v>40</v>
      </c>
      <c r="D6325" s="1">
        <v>1.2</v>
      </c>
      <c r="E6325" s="1">
        <v>21574.0</v>
      </c>
      <c r="F6325" s="10">
        <f t="shared" si="1"/>
        <v>1.666666667</v>
      </c>
      <c r="G6325" s="10">
        <f t="array" ref="G6325">index('Player ID'!C:C,match(E6325,'Player ID'!B:B,0))</f>
        <v>663893</v>
      </c>
    </row>
    <row r="6326">
      <c r="A6326" s="76">
        <v>45799.0</v>
      </c>
      <c r="B6326" s="1" t="s">
        <v>94</v>
      </c>
      <c r="C6326" s="1" t="s">
        <v>26</v>
      </c>
      <c r="D6326" s="1">
        <v>0.1</v>
      </c>
      <c r="E6326" s="1">
        <v>22210.0</v>
      </c>
      <c r="F6326" s="10">
        <f t="shared" si="1"/>
        <v>0.3333333333</v>
      </c>
      <c r="G6326" s="10">
        <f t="array" ref="G6326">index('Player ID'!C:C,match(E6326,'Player ID'!B:B,0))</f>
        <v>669093</v>
      </c>
    </row>
    <row r="6327">
      <c r="A6327" s="76">
        <v>45799.0</v>
      </c>
      <c r="B6327" s="1" t="s">
        <v>797</v>
      </c>
      <c r="C6327" s="1" t="s">
        <v>26</v>
      </c>
      <c r="D6327" s="1">
        <v>1.0</v>
      </c>
      <c r="E6327" s="1">
        <v>22253.0</v>
      </c>
      <c r="F6327" s="10">
        <f t="shared" si="1"/>
        <v>1</v>
      </c>
      <c r="G6327" s="10">
        <f t="array" ref="G6327">index('Player ID'!C:C,match(E6327,'Player ID'!B:B,0))</f>
        <v>669308</v>
      </c>
    </row>
    <row r="6328">
      <c r="A6328" s="76">
        <v>45799.0</v>
      </c>
      <c r="B6328" s="1" t="s">
        <v>315</v>
      </c>
      <c r="C6328" s="1" t="s">
        <v>40</v>
      </c>
      <c r="D6328" s="1">
        <v>0.1</v>
      </c>
      <c r="E6328" s="1">
        <v>24609.0</v>
      </c>
      <c r="F6328" s="10">
        <f t="shared" si="1"/>
        <v>0.3333333333</v>
      </c>
      <c r="G6328" s="10">
        <f t="array" ref="G6328">index('Player ID'!C:C,match(E6328,'Player ID'!B:B,0))</f>
        <v>680755</v>
      </c>
    </row>
    <row r="6329">
      <c r="A6329" s="76">
        <v>45799.0</v>
      </c>
      <c r="B6329" s="1" t="s">
        <v>81</v>
      </c>
      <c r="C6329" s="1" t="s">
        <v>26</v>
      </c>
      <c r="D6329" s="1">
        <v>1.0</v>
      </c>
      <c r="E6329" s="1">
        <v>30115.0</v>
      </c>
      <c r="F6329" s="10">
        <f t="shared" si="1"/>
        <v>1</v>
      </c>
      <c r="G6329" s="10">
        <f t="array" ref="G6329">index('Player ID'!C:C,match(E6329,'Player ID'!B:B,0))</f>
        <v>663158</v>
      </c>
    </row>
    <row r="6330">
      <c r="A6330" s="76">
        <v>45799.0</v>
      </c>
      <c r="B6330" s="1" t="s">
        <v>142</v>
      </c>
      <c r="C6330" s="1" t="s">
        <v>40</v>
      </c>
      <c r="D6330" s="1">
        <v>1.0</v>
      </c>
      <c r="E6330" s="1">
        <v>31553.0</v>
      </c>
      <c r="F6330" s="10">
        <f t="shared" si="1"/>
        <v>1</v>
      </c>
      <c r="G6330" s="10">
        <f t="array" ref="G6330">index('Player ID'!C:C,match(E6330,'Player ID'!B:B,0))</f>
        <v>689254</v>
      </c>
    </row>
    <row r="6331">
      <c r="A6331" s="76">
        <v>45799.0</v>
      </c>
      <c r="B6331" s="1" t="s">
        <v>284</v>
      </c>
      <c r="C6331" s="1" t="s">
        <v>26</v>
      </c>
      <c r="D6331" s="1">
        <v>1.0</v>
      </c>
      <c r="E6331" s="1">
        <v>33826.0</v>
      </c>
      <c r="F6331" s="10">
        <f t="shared" si="1"/>
        <v>1</v>
      </c>
      <c r="G6331" s="10">
        <f t="array" ref="G6331">index('Player ID'!C:C,match(E6331,'Player ID'!B:B,0))</f>
        <v>673513</v>
      </c>
    </row>
    <row r="6332">
      <c r="A6332" s="76">
        <v>45799.0</v>
      </c>
      <c r="B6332" s="1" t="s">
        <v>427</v>
      </c>
      <c r="C6332" s="1" t="s">
        <v>40</v>
      </c>
      <c r="D6332" s="1">
        <v>1.1</v>
      </c>
      <c r="E6332" s="1">
        <v>33838.0</v>
      </c>
      <c r="F6332" s="10">
        <f t="shared" si="1"/>
        <v>1.333333333</v>
      </c>
      <c r="G6332" s="10">
        <f t="array" ref="G6332">index('Player ID'!C:C,match(E6332,'Player ID'!B:B,0))</f>
        <v>684320</v>
      </c>
    </row>
    <row r="6333">
      <c r="A6333" s="76">
        <v>45799.0</v>
      </c>
      <c r="B6333" s="1" t="s">
        <v>182</v>
      </c>
      <c r="C6333" s="1" t="s">
        <v>45</v>
      </c>
      <c r="D6333" s="1">
        <v>1.0</v>
      </c>
      <c r="E6333" s="1">
        <v>13799.0</v>
      </c>
      <c r="F6333" s="10">
        <f t="shared" si="1"/>
        <v>1</v>
      </c>
      <c r="G6333" s="10">
        <f t="array" ref="G6333">index('Player ID'!C:C,match(E6333,'Player ID'!B:B,0))</f>
        <v>621381</v>
      </c>
    </row>
    <row r="6334">
      <c r="A6334" s="76">
        <v>45799.0</v>
      </c>
      <c r="B6334" s="1" t="s">
        <v>746</v>
      </c>
      <c r="C6334" s="1" t="s">
        <v>75</v>
      </c>
      <c r="D6334" s="1">
        <v>7.0</v>
      </c>
      <c r="E6334" s="1">
        <v>15038.0</v>
      </c>
      <c r="F6334" s="10">
        <f t="shared" si="1"/>
        <v>7</v>
      </c>
      <c r="G6334" s="10">
        <f t="array" ref="G6334">index('Player ID'!C:C,match(E6334,'Player ID'!B:B,0))</f>
        <v>608566</v>
      </c>
    </row>
    <row r="6335">
      <c r="A6335" s="76">
        <v>45799.0</v>
      </c>
      <c r="B6335" s="1" t="s">
        <v>208</v>
      </c>
      <c r="C6335" s="1" t="s">
        <v>45</v>
      </c>
      <c r="D6335" s="1">
        <v>1.0</v>
      </c>
      <c r="E6335" s="1">
        <v>16122.0</v>
      </c>
      <c r="F6335" s="10">
        <f t="shared" si="1"/>
        <v>1</v>
      </c>
      <c r="G6335" s="10">
        <f t="array" ref="G6335">index('Player ID'!C:C,match(E6335,'Player ID'!B:B,0))</f>
        <v>605447</v>
      </c>
    </row>
    <row r="6336">
      <c r="A6336" s="76">
        <v>45799.0</v>
      </c>
      <c r="B6336" s="1" t="s">
        <v>827</v>
      </c>
      <c r="C6336" s="1" t="s">
        <v>45</v>
      </c>
      <c r="D6336" s="1">
        <v>6.2</v>
      </c>
      <c r="E6336" s="1">
        <v>17277.0</v>
      </c>
      <c r="F6336" s="10">
        <f t="shared" si="1"/>
        <v>6.666666667</v>
      </c>
      <c r="G6336" s="10">
        <f t="array" ref="G6336">index('Player ID'!C:C,match(E6336,'Player ID'!B:B,0))</f>
        <v>624133</v>
      </c>
    </row>
    <row r="6337">
      <c r="A6337" s="76">
        <v>45799.0</v>
      </c>
      <c r="B6337" s="1" t="s">
        <v>288</v>
      </c>
      <c r="C6337" s="1" t="s">
        <v>75</v>
      </c>
      <c r="D6337" s="1">
        <v>1.0</v>
      </c>
      <c r="E6337" s="1">
        <v>18297.0</v>
      </c>
      <c r="F6337" s="10">
        <f t="shared" si="1"/>
        <v>1</v>
      </c>
      <c r="G6337" s="10">
        <f t="array" ref="G6337">index('Player ID'!C:C,match(E6337,'Player ID'!B:B,0))</f>
        <v>641755</v>
      </c>
    </row>
    <row r="6338">
      <c r="A6338" s="76">
        <v>45799.0</v>
      </c>
      <c r="B6338" s="1" t="s">
        <v>215</v>
      </c>
      <c r="C6338" s="1" t="s">
        <v>75</v>
      </c>
      <c r="D6338" s="1">
        <v>1.0</v>
      </c>
      <c r="E6338" s="1">
        <v>21267.0</v>
      </c>
      <c r="F6338" s="10">
        <f t="shared" si="1"/>
        <v>1</v>
      </c>
      <c r="G6338" s="10">
        <f t="array" ref="G6338">index('Player ID'!C:C,match(E6338,'Player ID'!B:B,0))</f>
        <v>656234</v>
      </c>
    </row>
    <row r="6339">
      <c r="A6339" s="76">
        <v>45799.0</v>
      </c>
      <c r="B6339" s="1" t="s">
        <v>165</v>
      </c>
      <c r="C6339" s="1" t="s">
        <v>45</v>
      </c>
      <c r="D6339" s="1">
        <v>0.1</v>
      </c>
      <c r="E6339" s="1">
        <v>31776.0</v>
      </c>
      <c r="F6339" s="10">
        <f t="shared" si="1"/>
        <v>0.3333333333</v>
      </c>
      <c r="G6339" s="10">
        <f t="array" ref="G6339">index('Player ID'!C:C,match(E6339,'Player ID'!B:B,0))</f>
        <v>689147</v>
      </c>
    </row>
    <row r="6340">
      <c r="A6340" s="76">
        <v>45799.0</v>
      </c>
      <c r="B6340" s="1" t="s">
        <v>834</v>
      </c>
      <c r="C6340" s="1" t="s">
        <v>25</v>
      </c>
      <c r="D6340" s="1">
        <v>1.1</v>
      </c>
      <c r="E6340" s="1">
        <v>7836.0</v>
      </c>
      <c r="F6340" s="10">
        <f t="shared" si="1"/>
        <v>1.333333333</v>
      </c>
      <c r="G6340" s="10" t="str">
        <f t="array" ref="G6340">index('Player ID'!C:C,match(E6340,'Player ID'!B:B,0))</f>
        <v>#N/A</v>
      </c>
    </row>
    <row r="6341">
      <c r="A6341" s="76">
        <v>45799.0</v>
      </c>
      <c r="B6341" s="1" t="s">
        <v>278</v>
      </c>
      <c r="C6341" s="1" t="s">
        <v>25</v>
      </c>
      <c r="D6341" s="1">
        <v>4.2</v>
      </c>
      <c r="E6341" s="1">
        <v>12880.0</v>
      </c>
      <c r="F6341" s="10">
        <f t="shared" si="1"/>
        <v>4.666666667</v>
      </c>
      <c r="G6341" s="10">
        <f t="array" ref="G6341">index('Player ID'!C:C,match(E6341,'Player ID'!B:B,0))</f>
        <v>542881</v>
      </c>
    </row>
    <row r="6342">
      <c r="A6342" s="76">
        <v>45799.0</v>
      </c>
      <c r="B6342" s="1" t="s">
        <v>281</v>
      </c>
      <c r="C6342" s="1" t="s">
        <v>52</v>
      </c>
      <c r="D6342" s="1">
        <v>6.0</v>
      </c>
      <c r="E6342" s="1">
        <v>15890.0</v>
      </c>
      <c r="F6342" s="10">
        <f t="shared" si="1"/>
        <v>6</v>
      </c>
      <c r="G6342" s="10">
        <f t="array" ref="G6342">index('Player ID'!C:C,match(E6342,'Player ID'!B:B,0))</f>
        <v>622663</v>
      </c>
    </row>
    <row r="6343">
      <c r="A6343" s="76">
        <v>45799.0</v>
      </c>
      <c r="B6343" s="1" t="s">
        <v>283</v>
      </c>
      <c r="C6343" s="1" t="s">
        <v>25</v>
      </c>
      <c r="D6343" s="1">
        <v>1.0</v>
      </c>
      <c r="E6343" s="1">
        <v>21205.0</v>
      </c>
      <c r="F6343" s="10">
        <f t="shared" si="1"/>
        <v>1</v>
      </c>
      <c r="G6343" s="10">
        <f t="array" ref="G6343">index('Player ID'!C:C,match(E6343,'Player ID'!B:B,0))</f>
        <v>641401</v>
      </c>
    </row>
    <row r="6344">
      <c r="A6344" s="76">
        <v>45799.0</v>
      </c>
      <c r="B6344" s="1" t="s">
        <v>227</v>
      </c>
      <c r="C6344" s="1" t="s">
        <v>52</v>
      </c>
      <c r="D6344" s="1">
        <v>0.2</v>
      </c>
      <c r="E6344" s="1">
        <v>21520.0</v>
      </c>
      <c r="F6344" s="10">
        <f t="shared" si="1"/>
        <v>0.6666666667</v>
      </c>
      <c r="G6344" s="10">
        <f t="array" ref="G6344">index('Player ID'!C:C,match(E6344,'Player ID'!B:B,0))</f>
        <v>663687</v>
      </c>
    </row>
    <row r="6345">
      <c r="A6345" s="76">
        <v>45799.0</v>
      </c>
      <c r="B6345" s="1" t="s">
        <v>837</v>
      </c>
      <c r="C6345" s="1" t="s">
        <v>52</v>
      </c>
      <c r="D6345" s="1">
        <v>0.1</v>
      </c>
      <c r="E6345" s="1">
        <v>24458.0</v>
      </c>
      <c r="F6345" s="10">
        <f t="shared" si="1"/>
        <v>0.3333333333</v>
      </c>
      <c r="G6345" s="10" t="str">
        <f t="array" ref="G6345">index('Player ID'!C:C,match(E6345,'Player ID'!B:B,0))</f>
        <v>#N/A</v>
      </c>
    </row>
    <row r="6346">
      <c r="A6346" s="76">
        <v>45799.0</v>
      </c>
      <c r="B6346" s="1" t="s">
        <v>385</v>
      </c>
      <c r="C6346" s="1" t="s">
        <v>25</v>
      </c>
      <c r="D6346" s="1">
        <v>1.0</v>
      </c>
      <c r="E6346" s="1">
        <v>25420.0</v>
      </c>
      <c r="F6346" s="10">
        <f t="shared" si="1"/>
        <v>1</v>
      </c>
      <c r="G6346" s="10">
        <f t="array" ref="G6346">index('Player ID'!C:C,match(E6346,'Player ID'!B:B,0))</f>
        <v>666171</v>
      </c>
    </row>
    <row r="6347">
      <c r="A6347" s="76">
        <v>45799.0</v>
      </c>
      <c r="B6347" s="1" t="s">
        <v>24</v>
      </c>
      <c r="C6347" s="1" t="s">
        <v>25</v>
      </c>
      <c r="D6347" s="1">
        <v>1.0</v>
      </c>
      <c r="E6347" s="1">
        <v>27468.0</v>
      </c>
      <c r="F6347" s="10">
        <f t="shared" si="1"/>
        <v>1</v>
      </c>
      <c r="G6347" s="10">
        <f t="array" ref="G6347">index('Player ID'!C:C,match(E6347,'Player ID'!B:B,0))</f>
        <v>672282</v>
      </c>
    </row>
    <row r="6348">
      <c r="A6348" s="76">
        <v>45799.0</v>
      </c>
      <c r="B6348" s="1" t="s">
        <v>127</v>
      </c>
      <c r="C6348" s="1" t="s">
        <v>52</v>
      </c>
      <c r="D6348" s="1">
        <v>1.1</v>
      </c>
      <c r="E6348" s="1">
        <v>27707.0</v>
      </c>
      <c r="F6348" s="10">
        <f t="shared" si="1"/>
        <v>1.333333333</v>
      </c>
      <c r="G6348" s="10">
        <f t="array" ref="G6348">index('Player ID'!C:C,match(E6348,'Player ID'!B:B,0))</f>
        <v>687765</v>
      </c>
    </row>
    <row r="6349">
      <c r="A6349" s="76">
        <v>45799.0</v>
      </c>
      <c r="B6349" s="1" t="s">
        <v>681</v>
      </c>
      <c r="C6349" s="1" t="s">
        <v>52</v>
      </c>
      <c r="D6349" s="1">
        <v>0.2</v>
      </c>
      <c r="E6349" s="1">
        <v>30002.0</v>
      </c>
      <c r="F6349" s="10">
        <f t="shared" si="1"/>
        <v>0.6666666667</v>
      </c>
      <c r="G6349" s="10">
        <f t="array" ref="G6349">index('Player ID'!C:C,match(E6349,'Player ID'!B:B,0))</f>
        <v>680880</v>
      </c>
    </row>
    <row r="6350">
      <c r="A6350" s="76">
        <v>45799.0</v>
      </c>
      <c r="B6350" s="1" t="s">
        <v>724</v>
      </c>
      <c r="C6350" s="1" t="s">
        <v>14</v>
      </c>
      <c r="D6350" s="1">
        <v>0.2</v>
      </c>
      <c r="E6350" s="1">
        <v>15094.0</v>
      </c>
      <c r="F6350" s="10">
        <f t="shared" si="1"/>
        <v>0.6666666667</v>
      </c>
      <c r="G6350" s="10">
        <f t="array" ref="G6350">index('Player ID'!C:C,match(E6350,'Player ID'!B:B,0))</f>
        <v>642239</v>
      </c>
    </row>
    <row r="6351">
      <c r="A6351" s="76">
        <v>45799.0</v>
      </c>
      <c r="B6351" s="1" t="s">
        <v>443</v>
      </c>
      <c r="C6351" s="1" t="s">
        <v>60</v>
      </c>
      <c r="D6351" s="1">
        <v>1.0</v>
      </c>
      <c r="E6351" s="1">
        <v>16350.0</v>
      </c>
      <c r="F6351" s="10">
        <f t="shared" si="1"/>
        <v>1</v>
      </c>
      <c r="G6351" s="10">
        <f t="array" ref="G6351">index('Player ID'!C:C,match(E6351,'Player ID'!B:B,0))</f>
        <v>621366</v>
      </c>
    </row>
    <row r="6352">
      <c r="A6352" s="76">
        <v>45799.0</v>
      </c>
      <c r="B6352" s="1" t="s">
        <v>13</v>
      </c>
      <c r="C6352" s="1" t="s">
        <v>14</v>
      </c>
      <c r="D6352" s="1">
        <v>1.0</v>
      </c>
      <c r="E6352" s="1">
        <v>17722.0</v>
      </c>
      <c r="F6352" s="10">
        <f t="shared" si="1"/>
        <v>1</v>
      </c>
      <c r="G6352" s="10">
        <f t="array" ref="G6352">index('Player ID'!C:C,match(E6352,'Player ID'!B:B,0))</f>
        <v>656730</v>
      </c>
    </row>
    <row r="6353">
      <c r="A6353" s="76">
        <v>45799.0</v>
      </c>
      <c r="B6353" s="1" t="s">
        <v>491</v>
      </c>
      <c r="C6353" s="1" t="s">
        <v>14</v>
      </c>
      <c r="D6353" s="1">
        <v>4.0</v>
      </c>
      <c r="E6353" s="1">
        <v>19479.0</v>
      </c>
      <c r="F6353" s="10">
        <f t="shared" si="1"/>
        <v>4</v>
      </c>
      <c r="G6353" s="10">
        <f t="array" ref="G6353">index('Player ID'!C:C,match(E6353,'Player ID'!B:B,0))</f>
        <v>650644</v>
      </c>
    </row>
    <row r="6354">
      <c r="A6354" s="76">
        <v>45799.0</v>
      </c>
      <c r="B6354" s="1" t="s">
        <v>384</v>
      </c>
      <c r="C6354" s="1" t="s">
        <v>60</v>
      </c>
      <c r="D6354" s="1">
        <v>1.0</v>
      </c>
      <c r="E6354" s="1">
        <v>19962.0</v>
      </c>
      <c r="F6354" s="10">
        <f t="shared" si="1"/>
        <v>1</v>
      </c>
      <c r="G6354" s="10">
        <f t="array" ref="G6354">index('Player ID'!C:C,match(E6354,'Player ID'!B:B,0))</f>
        <v>666214</v>
      </c>
    </row>
    <row r="6355">
      <c r="A6355" s="76">
        <v>45799.0</v>
      </c>
      <c r="B6355" s="1" t="s">
        <v>338</v>
      </c>
      <c r="C6355" s="1" t="s">
        <v>60</v>
      </c>
      <c r="D6355" s="1">
        <v>1.0</v>
      </c>
      <c r="E6355" s="1">
        <v>20385.0</v>
      </c>
      <c r="F6355" s="10">
        <f t="shared" si="1"/>
        <v>1</v>
      </c>
      <c r="G6355" s="10" t="str">
        <f t="array" ref="G6355">index('Player ID'!C:C,match(E6355,'Player ID'!B:B,0))</f>
        <v>#N/A</v>
      </c>
    </row>
    <row r="6356">
      <c r="A6356" s="76">
        <v>45799.0</v>
      </c>
      <c r="B6356" s="1" t="s">
        <v>463</v>
      </c>
      <c r="C6356" s="1" t="s">
        <v>60</v>
      </c>
      <c r="D6356" s="1">
        <v>1.0</v>
      </c>
      <c r="E6356" s="1">
        <v>21544.0</v>
      </c>
      <c r="F6356" s="10">
        <f t="shared" si="1"/>
        <v>1</v>
      </c>
      <c r="G6356" s="10">
        <f t="array" ref="G6356">index('Player ID'!C:C,match(E6356,'Player ID'!B:B,0))</f>
        <v>663767</v>
      </c>
    </row>
    <row r="6357">
      <c r="A6357" s="76">
        <v>45799.0</v>
      </c>
      <c r="B6357" s="1" t="s">
        <v>320</v>
      </c>
      <c r="C6357" s="1" t="s">
        <v>60</v>
      </c>
      <c r="D6357" s="1">
        <v>5.0</v>
      </c>
      <c r="E6357" s="1">
        <v>24728.0</v>
      </c>
      <c r="F6357" s="10">
        <f t="shared" si="1"/>
        <v>5</v>
      </c>
      <c r="G6357" s="10">
        <f t="array" ref="G6357">index('Player ID'!C:C,match(E6357,'Player ID'!B:B,0))</f>
        <v>681347</v>
      </c>
    </row>
    <row r="6358">
      <c r="A6358" s="76">
        <v>45799.0</v>
      </c>
      <c r="B6358" s="1" t="s">
        <v>587</v>
      </c>
      <c r="C6358" s="1" t="s">
        <v>14</v>
      </c>
      <c r="D6358" s="1">
        <v>3.1</v>
      </c>
      <c r="E6358" s="1">
        <v>30161.0</v>
      </c>
      <c r="F6358" s="10">
        <f t="shared" si="1"/>
        <v>3.333333333</v>
      </c>
      <c r="G6358" s="10">
        <f t="array" ref="G6358">index('Player ID'!C:C,match(E6358,'Player ID'!B:B,0))</f>
        <v>692230</v>
      </c>
    </row>
    <row r="6359">
      <c r="A6359" s="76">
        <v>45799.0</v>
      </c>
      <c r="B6359" s="1" t="s">
        <v>666</v>
      </c>
      <c r="C6359" s="1" t="s">
        <v>62</v>
      </c>
      <c r="D6359" s="1">
        <v>1.0</v>
      </c>
      <c r="E6359" s="1">
        <v>12777.0</v>
      </c>
      <c r="F6359" s="10">
        <f t="shared" si="1"/>
        <v>1</v>
      </c>
      <c r="G6359" s="10">
        <f t="array" ref="G6359">index('Player ID'!C:C,match(E6359,'Player ID'!B:B,0))</f>
        <v>605154</v>
      </c>
    </row>
    <row r="6360">
      <c r="A6360" s="76">
        <v>45799.0</v>
      </c>
      <c r="B6360" s="1" t="s">
        <v>316</v>
      </c>
      <c r="C6360" s="1" t="s">
        <v>62</v>
      </c>
      <c r="D6360" s="1">
        <v>6.2</v>
      </c>
      <c r="E6360" s="1">
        <v>17479.0</v>
      </c>
      <c r="F6360" s="10">
        <f t="shared" si="1"/>
        <v>6.666666667</v>
      </c>
      <c r="G6360" s="10">
        <f t="array" ref="G6360">index('Player ID'!C:C,match(E6360,'Player ID'!B:B,0))</f>
        <v>656427</v>
      </c>
    </row>
    <row r="6361">
      <c r="A6361" s="76">
        <v>45799.0</v>
      </c>
      <c r="B6361" s="1" t="s">
        <v>141</v>
      </c>
      <c r="C6361" s="1" t="s">
        <v>70</v>
      </c>
      <c r="D6361" s="1">
        <v>1.0</v>
      </c>
      <c r="E6361" s="1">
        <v>19330.0</v>
      </c>
      <c r="F6361" s="10">
        <f t="shared" si="1"/>
        <v>1</v>
      </c>
      <c r="G6361" s="10">
        <f t="array" ref="G6361">index('Player ID'!C:C,match(E6361,'Player ID'!B:B,0))</f>
        <v>670036</v>
      </c>
    </row>
    <row r="6362">
      <c r="A6362" s="76">
        <v>45799.0</v>
      </c>
      <c r="B6362" s="1" t="s">
        <v>721</v>
      </c>
      <c r="C6362" s="1" t="s">
        <v>62</v>
      </c>
      <c r="D6362" s="1">
        <v>1.1</v>
      </c>
      <c r="E6362" s="1">
        <v>20045.0</v>
      </c>
      <c r="F6362" s="10">
        <f t="shared" si="1"/>
        <v>1.333333333</v>
      </c>
      <c r="G6362" s="10">
        <f t="array" ref="G6362">index('Player ID'!C:C,match(E6362,'Player ID'!B:B,0))</f>
        <v>674944</v>
      </c>
    </row>
    <row r="6363">
      <c r="A6363" s="76">
        <v>45799.0</v>
      </c>
      <c r="B6363" s="1" t="s">
        <v>519</v>
      </c>
      <c r="C6363" s="1" t="s">
        <v>70</v>
      </c>
      <c r="D6363" s="1">
        <v>0.0</v>
      </c>
      <c r="E6363" s="1">
        <v>25139.0</v>
      </c>
      <c r="F6363" s="10">
        <f t="shared" si="1"/>
        <v>0</v>
      </c>
      <c r="G6363" s="10">
        <f t="array" ref="G6363">index('Player ID'!C:C,match(E6363,'Player ID'!B:B,0))</f>
        <v>682120</v>
      </c>
    </row>
    <row r="6364">
      <c r="A6364" s="76">
        <v>45799.0</v>
      </c>
      <c r="B6364" s="1" t="s">
        <v>135</v>
      </c>
      <c r="C6364" s="1" t="s">
        <v>70</v>
      </c>
      <c r="D6364" s="1">
        <v>1.0</v>
      </c>
      <c r="E6364" s="1">
        <v>27867.0</v>
      </c>
      <c r="F6364" s="10">
        <f t="shared" si="1"/>
        <v>1</v>
      </c>
      <c r="G6364" s="10">
        <f t="array" ref="G6364">index('Player ID'!C:C,match(E6364,'Player ID'!B:B,0))</f>
        <v>671922</v>
      </c>
    </row>
    <row r="6365">
      <c r="A6365" s="76">
        <v>45799.0</v>
      </c>
      <c r="B6365" s="1" t="s">
        <v>308</v>
      </c>
      <c r="C6365" s="1" t="s">
        <v>70</v>
      </c>
      <c r="D6365" s="1">
        <v>7.0</v>
      </c>
      <c r="E6365" s="1">
        <v>30134.0</v>
      </c>
      <c r="F6365" s="10">
        <f t="shared" si="1"/>
        <v>7</v>
      </c>
      <c r="G6365" s="10">
        <f t="array" ref="G6365">index('Player ID'!C:C,match(E6365,'Player ID'!B:B,0))</f>
        <v>676440</v>
      </c>
    </row>
    <row r="6366">
      <c r="A6366" s="76">
        <v>45799.0</v>
      </c>
      <c r="B6366" s="1" t="s">
        <v>178</v>
      </c>
      <c r="C6366" s="1" t="s">
        <v>46</v>
      </c>
      <c r="D6366" s="1">
        <v>1.0</v>
      </c>
      <c r="E6366" s="1">
        <v>13435.0</v>
      </c>
      <c r="F6366" s="10">
        <f t="shared" si="1"/>
        <v>1</v>
      </c>
      <c r="G6366" s="10">
        <f t="array" ref="G6366">index('Player ID'!C:C,match(E6366,'Player ID'!B:B,0))</f>
        <v>572955</v>
      </c>
    </row>
    <row r="6367">
      <c r="A6367" s="76">
        <v>45799.0</v>
      </c>
      <c r="B6367" s="1" t="s">
        <v>719</v>
      </c>
      <c r="C6367" s="1" t="s">
        <v>80</v>
      </c>
      <c r="D6367" s="1">
        <v>1.0</v>
      </c>
      <c r="E6367" s="1">
        <v>14527.0</v>
      </c>
      <c r="F6367" s="10">
        <f t="shared" si="1"/>
        <v>1</v>
      </c>
      <c r="G6367" s="10">
        <f t="array" ref="G6367">index('Player ID'!C:C,match(E6367,'Player ID'!B:B,0))</f>
        <v>605347</v>
      </c>
    </row>
    <row r="6368">
      <c r="A6368" s="76">
        <v>45799.0</v>
      </c>
      <c r="B6368" s="1" t="s">
        <v>139</v>
      </c>
      <c r="C6368" s="1" t="s">
        <v>80</v>
      </c>
      <c r="D6368" s="1">
        <v>1.0</v>
      </c>
      <c r="E6368" s="1">
        <v>15009.0</v>
      </c>
      <c r="F6368" s="10">
        <f t="shared" si="1"/>
        <v>1</v>
      </c>
      <c r="G6368" s="10">
        <f t="array" ref="G6368">index('Player ID'!C:C,match(E6368,'Player ID'!B:B,0))</f>
        <v>640448</v>
      </c>
    </row>
    <row r="6369">
      <c r="A6369" s="76">
        <v>45799.0</v>
      </c>
      <c r="B6369" s="1" t="s">
        <v>319</v>
      </c>
      <c r="C6369" s="1" t="s">
        <v>46</v>
      </c>
      <c r="D6369" s="1">
        <v>1.1</v>
      </c>
      <c r="E6369" s="1">
        <v>16258.0</v>
      </c>
      <c r="F6369" s="10">
        <f t="shared" si="1"/>
        <v>1.333333333</v>
      </c>
      <c r="G6369" s="10">
        <f t="array" ref="G6369">index('Player ID'!C:C,match(E6369,'Player ID'!B:B,0))</f>
        <v>607481</v>
      </c>
    </row>
    <row r="6370">
      <c r="A6370" s="76">
        <v>45799.0</v>
      </c>
      <c r="B6370" s="1" t="s">
        <v>148</v>
      </c>
      <c r="C6370" s="1" t="s">
        <v>80</v>
      </c>
      <c r="D6370" s="1">
        <v>3.2</v>
      </c>
      <c r="E6370" s="1">
        <v>16977.0</v>
      </c>
      <c r="F6370" s="10">
        <f t="shared" si="1"/>
        <v>3.666666667</v>
      </c>
      <c r="G6370" s="10">
        <f t="array" ref="G6370">index('Player ID'!C:C,match(E6370,'Player ID'!B:B,0))</f>
        <v>592866</v>
      </c>
    </row>
    <row r="6371">
      <c r="A6371" s="76">
        <v>45799.0</v>
      </c>
      <c r="B6371" s="1" t="s">
        <v>184</v>
      </c>
      <c r="C6371" s="1" t="s">
        <v>46</v>
      </c>
      <c r="D6371" s="1">
        <v>1.0</v>
      </c>
      <c r="E6371" s="1">
        <v>17130.0</v>
      </c>
      <c r="F6371" s="10">
        <f t="shared" si="1"/>
        <v>1</v>
      </c>
      <c r="G6371" s="10">
        <f t="array" ref="G6371">index('Player ID'!C:C,match(E6371,'Player ID'!B:B,0))</f>
        <v>628452</v>
      </c>
    </row>
    <row r="6372">
      <c r="A6372" s="76">
        <v>45799.0</v>
      </c>
      <c r="B6372" s="1" t="s">
        <v>346</v>
      </c>
      <c r="C6372" s="1" t="s">
        <v>46</v>
      </c>
      <c r="D6372" s="1">
        <v>1.2</v>
      </c>
      <c r="E6372" s="1">
        <v>18403.0</v>
      </c>
      <c r="F6372" s="10">
        <f t="shared" si="1"/>
        <v>1.666666667</v>
      </c>
      <c r="G6372" s="10">
        <f t="array" ref="G6372">index('Player ID'!C:C,match(E6372,'Player ID'!B:B,0))</f>
        <v>660853</v>
      </c>
    </row>
    <row r="6373">
      <c r="A6373" s="76">
        <v>45799.0</v>
      </c>
      <c r="B6373" s="1" t="s">
        <v>91</v>
      </c>
      <c r="C6373" s="1" t="s">
        <v>46</v>
      </c>
      <c r="D6373" s="1">
        <v>0.1</v>
      </c>
      <c r="E6373" s="1">
        <v>19996.0</v>
      </c>
      <c r="F6373" s="10">
        <f t="shared" si="1"/>
        <v>0.3333333333</v>
      </c>
      <c r="G6373" s="10">
        <f t="array" ref="G6373">index('Player ID'!C:C,match(E6373,'Player ID'!B:B,0))</f>
        <v>669276</v>
      </c>
    </row>
    <row r="6374">
      <c r="A6374" s="76">
        <v>45799.0</v>
      </c>
      <c r="B6374" s="1" t="s">
        <v>688</v>
      </c>
      <c r="C6374" s="1" t="s">
        <v>46</v>
      </c>
      <c r="D6374" s="1">
        <v>1.0</v>
      </c>
      <c r="E6374" s="1">
        <v>20271.0</v>
      </c>
      <c r="F6374" s="10">
        <f t="shared" si="1"/>
        <v>1</v>
      </c>
      <c r="G6374" s="10">
        <f t="array" ref="G6374">index('Player ID'!C:C,match(E6374,'Player ID'!B:B,0))</f>
        <v>678226</v>
      </c>
    </row>
    <row r="6375">
      <c r="A6375" s="76">
        <v>45799.0</v>
      </c>
      <c r="B6375" s="1" t="s">
        <v>86</v>
      </c>
      <c r="C6375" s="1" t="s">
        <v>80</v>
      </c>
      <c r="D6375" s="1">
        <v>1.0</v>
      </c>
      <c r="E6375" s="1">
        <v>24017.0</v>
      </c>
      <c r="F6375" s="10">
        <f t="shared" si="1"/>
        <v>1</v>
      </c>
      <c r="G6375" s="10">
        <f t="array" ref="G6375">index('Player ID'!C:C,match(E6375,'Player ID'!B:B,0))</f>
        <v>678606</v>
      </c>
    </row>
    <row r="6376">
      <c r="A6376" s="76">
        <v>45799.0</v>
      </c>
      <c r="B6376" s="1" t="s">
        <v>511</v>
      </c>
      <c r="C6376" s="1" t="s">
        <v>80</v>
      </c>
      <c r="D6376" s="1">
        <v>1.0</v>
      </c>
      <c r="E6376" s="1">
        <v>26215.0</v>
      </c>
      <c r="F6376" s="10">
        <f t="shared" si="1"/>
        <v>1</v>
      </c>
      <c r="G6376" s="10">
        <f t="array" ref="G6376">index('Player ID'!C:C,match(E6376,'Player ID'!B:B,0))</f>
        <v>671131</v>
      </c>
    </row>
    <row r="6377">
      <c r="A6377" s="76">
        <v>45799.0</v>
      </c>
      <c r="B6377" s="1" t="s">
        <v>507</v>
      </c>
      <c r="C6377" s="1" t="s">
        <v>80</v>
      </c>
      <c r="D6377" s="1">
        <v>1.0</v>
      </c>
      <c r="E6377" s="1">
        <v>27570.0</v>
      </c>
      <c r="F6377" s="10">
        <f t="shared" si="1"/>
        <v>1</v>
      </c>
      <c r="G6377" s="10">
        <f t="array" ref="G6377">index('Player ID'!C:C,match(E6377,'Player ID'!B:B,0))</f>
        <v>669371</v>
      </c>
    </row>
    <row r="6378">
      <c r="A6378" s="76">
        <v>45799.0</v>
      </c>
      <c r="B6378" s="1" t="s">
        <v>516</v>
      </c>
      <c r="C6378" s="1" t="s">
        <v>46</v>
      </c>
      <c r="D6378" s="1">
        <v>3.0</v>
      </c>
      <c r="E6378" s="1">
        <v>29960.0</v>
      </c>
      <c r="F6378" s="10">
        <f t="shared" si="1"/>
        <v>3</v>
      </c>
      <c r="G6378" s="10">
        <f t="array" ref="G6378">index('Player ID'!C:C,match(E6378,'Player ID'!B:B,0))</f>
        <v>700363</v>
      </c>
    </row>
    <row r="6379">
      <c r="A6379" s="76">
        <v>45799.0</v>
      </c>
      <c r="B6379" s="1" t="s">
        <v>437</v>
      </c>
      <c r="C6379" s="1" t="s">
        <v>80</v>
      </c>
      <c r="D6379" s="1">
        <v>1.1</v>
      </c>
      <c r="E6379" s="1">
        <v>31972.0</v>
      </c>
      <c r="F6379" s="10">
        <f t="shared" si="1"/>
        <v>1.333333333</v>
      </c>
      <c r="G6379" s="10">
        <f t="array" ref="G6379">index('Player ID'!C:C,match(E6379,'Player ID'!B:B,0))</f>
        <v>695418</v>
      </c>
    </row>
    <row r="6380">
      <c r="A6380" s="76">
        <v>45799.0</v>
      </c>
      <c r="B6380" s="1" t="s">
        <v>783</v>
      </c>
      <c r="C6380" s="1" t="s">
        <v>37</v>
      </c>
      <c r="D6380" s="1">
        <v>1.0</v>
      </c>
      <c r="E6380" s="1">
        <v>13287.0</v>
      </c>
      <c r="F6380" s="10">
        <f t="shared" si="1"/>
        <v>1</v>
      </c>
      <c r="G6380" s="10">
        <f t="array" ref="G6380">index('Player ID'!C:C,match(E6380,'Player ID'!B:B,0))</f>
        <v>534910</v>
      </c>
    </row>
    <row r="6381">
      <c r="A6381" s="76">
        <v>45799.0</v>
      </c>
      <c r="B6381" s="1" t="s">
        <v>38</v>
      </c>
      <c r="C6381" s="1" t="s">
        <v>39</v>
      </c>
      <c r="D6381" s="1">
        <v>1.0</v>
      </c>
      <c r="E6381" s="1">
        <v>13580.0</v>
      </c>
      <c r="F6381" s="10">
        <f t="shared" si="1"/>
        <v>1</v>
      </c>
      <c r="G6381" s="10">
        <f t="array" ref="G6381">index('Player ID'!C:C,match(E6381,'Player ID'!B:B,0))</f>
        <v>595345</v>
      </c>
    </row>
    <row r="6382">
      <c r="A6382" s="76">
        <v>45799.0</v>
      </c>
      <c r="B6382" s="1" t="s">
        <v>394</v>
      </c>
      <c r="C6382" s="1" t="s">
        <v>39</v>
      </c>
      <c r="D6382" s="1">
        <v>4.1</v>
      </c>
      <c r="E6382" s="1">
        <v>14120.0</v>
      </c>
      <c r="F6382" s="10">
        <f t="shared" si="1"/>
        <v>4.333333333</v>
      </c>
      <c r="G6382" s="10">
        <f t="array" ref="G6382">index('Player ID'!C:C,match(E6382,'Player ID'!B:B,0))</f>
        <v>621121</v>
      </c>
    </row>
    <row r="6383">
      <c r="A6383" s="76">
        <v>45799.0</v>
      </c>
      <c r="B6383" s="1" t="s">
        <v>53</v>
      </c>
      <c r="C6383" s="1" t="s">
        <v>37</v>
      </c>
      <c r="D6383" s="1">
        <v>1.0</v>
      </c>
      <c r="E6383" s="1">
        <v>17170.0</v>
      </c>
      <c r="F6383" s="10">
        <f t="shared" si="1"/>
        <v>1</v>
      </c>
      <c r="G6383" s="10">
        <f t="array" ref="G6383">index('Player ID'!C:C,match(E6383,'Player ID'!B:B,0))</f>
        <v>642100</v>
      </c>
    </row>
    <row r="6384">
      <c r="A6384" s="76">
        <v>45799.0</v>
      </c>
      <c r="B6384" s="1" t="s">
        <v>359</v>
      </c>
      <c r="C6384" s="1" t="s">
        <v>39</v>
      </c>
      <c r="D6384" s="1">
        <v>2.0</v>
      </c>
      <c r="E6384" s="1">
        <v>20061.0</v>
      </c>
      <c r="F6384" s="10">
        <f t="shared" si="1"/>
        <v>2</v>
      </c>
      <c r="G6384" s="10">
        <f t="array" ref="G6384">index('Player ID'!C:C,match(E6384,'Player ID'!B:B,0))</f>
        <v>672391</v>
      </c>
    </row>
    <row r="6385">
      <c r="A6385" s="76">
        <v>45799.0</v>
      </c>
      <c r="B6385" s="1" t="s">
        <v>157</v>
      </c>
      <c r="C6385" s="1" t="s">
        <v>37</v>
      </c>
      <c r="D6385" s="1">
        <v>1.1</v>
      </c>
      <c r="E6385" s="1">
        <v>20997.0</v>
      </c>
      <c r="F6385" s="10">
        <f t="shared" si="1"/>
        <v>1.333333333</v>
      </c>
      <c r="G6385" s="10">
        <f t="array" ref="G6385">index('Player ID'!C:C,match(E6385,'Player ID'!B:B,0))</f>
        <v>660825</v>
      </c>
    </row>
    <row r="6386">
      <c r="A6386" s="76">
        <v>45799.0</v>
      </c>
      <c r="B6386" s="1" t="s">
        <v>683</v>
      </c>
      <c r="C6386" s="1" t="s">
        <v>37</v>
      </c>
      <c r="D6386" s="1">
        <v>1.0</v>
      </c>
      <c r="E6386" s="1">
        <v>23307.0</v>
      </c>
      <c r="F6386" s="10">
        <f t="shared" si="1"/>
        <v>1</v>
      </c>
      <c r="G6386" s="10">
        <f t="array" ref="G6386">index('Player ID'!C:C,match(E6386,'Player ID'!B:B,0))</f>
        <v>676092</v>
      </c>
    </row>
    <row r="6387">
      <c r="A6387" s="76">
        <v>45799.0</v>
      </c>
      <c r="B6387" s="1" t="s">
        <v>444</v>
      </c>
      <c r="C6387" s="1" t="s">
        <v>39</v>
      </c>
      <c r="D6387" s="1">
        <v>0.2</v>
      </c>
      <c r="E6387" s="1">
        <v>24977.0</v>
      </c>
      <c r="F6387" s="10">
        <f t="shared" si="1"/>
        <v>0.6666666667</v>
      </c>
      <c r="G6387" s="10">
        <f t="array" ref="G6387">index('Player ID'!C:C,match(E6387,'Player ID'!B:B,0))</f>
        <v>681869</v>
      </c>
    </row>
    <row r="6388">
      <c r="A6388" s="76">
        <v>45799.0</v>
      </c>
      <c r="B6388" s="1" t="s">
        <v>164</v>
      </c>
      <c r="C6388" s="1" t="s">
        <v>37</v>
      </c>
      <c r="D6388" s="1">
        <v>3.2</v>
      </c>
      <c r="E6388" s="1">
        <v>25436.0</v>
      </c>
      <c r="F6388" s="10">
        <f t="shared" si="1"/>
        <v>3.666666667</v>
      </c>
      <c r="G6388" s="10">
        <f t="array" ref="G6388">index('Player ID'!C:C,match(E6388,'Player ID'!B:B,0))</f>
        <v>669923</v>
      </c>
    </row>
    <row r="6389">
      <c r="A6389" s="76">
        <v>45799.0</v>
      </c>
      <c r="B6389" s="1" t="s">
        <v>76</v>
      </c>
      <c r="C6389" s="1" t="s">
        <v>39</v>
      </c>
      <c r="D6389" s="1">
        <v>1.0</v>
      </c>
      <c r="E6389" s="1">
        <v>25890.0</v>
      </c>
      <c r="F6389" s="10">
        <f t="shared" si="1"/>
        <v>1</v>
      </c>
      <c r="G6389" s="10">
        <f t="array" ref="G6389">index('Player ID'!C:C,match(E6389,'Player ID'!B:B,0))</f>
        <v>687911</v>
      </c>
    </row>
    <row r="6390">
      <c r="A6390" s="76">
        <v>45800.0</v>
      </c>
      <c r="B6390" s="1" t="s">
        <v>230</v>
      </c>
      <c r="C6390" s="1" t="s">
        <v>22</v>
      </c>
      <c r="D6390" s="1">
        <v>0.1</v>
      </c>
      <c r="E6390" s="1">
        <v>4301.0</v>
      </c>
      <c r="F6390" s="10">
        <f t="shared" si="1"/>
        <v>0.3333333333</v>
      </c>
      <c r="G6390" s="10">
        <f t="array" ref="G6390">index('Player ID'!C:C,match(E6390,'Player ID'!B:B,0))</f>
        <v>458677</v>
      </c>
    </row>
    <row r="6391">
      <c r="A6391" s="76">
        <v>45800.0</v>
      </c>
      <c r="B6391" s="1" t="s">
        <v>493</v>
      </c>
      <c r="C6391" s="1" t="s">
        <v>22</v>
      </c>
      <c r="D6391" s="1">
        <v>1.0</v>
      </c>
      <c r="E6391" s="1">
        <v>16835.0</v>
      </c>
      <c r="F6391" s="10">
        <f t="shared" si="1"/>
        <v>1</v>
      </c>
      <c r="G6391" s="10">
        <f t="array" ref="G6391">index('Player ID'!C:C,match(E6391,'Player ID'!B:B,0))</f>
        <v>657514</v>
      </c>
    </row>
    <row r="6392">
      <c r="A6392" s="76">
        <v>45800.0</v>
      </c>
      <c r="B6392" s="1" t="s">
        <v>639</v>
      </c>
      <c r="C6392" s="1" t="s">
        <v>68</v>
      </c>
      <c r="D6392" s="1">
        <v>0.1</v>
      </c>
      <c r="E6392" s="1">
        <v>19249.0</v>
      </c>
      <c r="F6392" s="10">
        <f t="shared" si="1"/>
        <v>0.3333333333</v>
      </c>
      <c r="G6392" s="10">
        <f t="array" ref="G6392">index('Player ID'!C:C,match(E6392,'Player ID'!B:B,0))</f>
        <v>622554</v>
      </c>
    </row>
    <row r="6393">
      <c r="A6393" s="76">
        <v>45800.0</v>
      </c>
      <c r="B6393" s="1" t="s">
        <v>675</v>
      </c>
      <c r="C6393" s="1" t="s">
        <v>68</v>
      </c>
      <c r="D6393" s="1">
        <v>1.0</v>
      </c>
      <c r="E6393" s="1">
        <v>19614.0</v>
      </c>
      <c r="F6393" s="10">
        <f t="shared" si="1"/>
        <v>1</v>
      </c>
      <c r="G6393" s="10">
        <f t="array" ref="G6393">index('Player ID'!C:C,match(E6393,'Player ID'!B:B,0))</f>
        <v>672335</v>
      </c>
    </row>
    <row r="6394">
      <c r="A6394" s="76">
        <v>45800.0</v>
      </c>
      <c r="B6394" s="1" t="s">
        <v>433</v>
      </c>
      <c r="C6394" s="1" t="s">
        <v>68</v>
      </c>
      <c r="D6394" s="1">
        <v>0.2</v>
      </c>
      <c r="E6394" s="1">
        <v>19677.0</v>
      </c>
      <c r="F6394" s="10">
        <f t="shared" si="1"/>
        <v>0.6666666667</v>
      </c>
      <c r="G6394" s="10">
        <f t="array" ref="G6394">index('Player ID'!C:C,match(E6394,'Player ID'!B:B,0))</f>
        <v>642397</v>
      </c>
    </row>
    <row r="6395">
      <c r="A6395" s="76">
        <v>45800.0</v>
      </c>
      <c r="B6395" s="1" t="s">
        <v>838</v>
      </c>
      <c r="C6395" s="1" t="s">
        <v>22</v>
      </c>
      <c r="D6395" s="1">
        <v>1.0</v>
      </c>
      <c r="E6395" s="1">
        <v>19844.0</v>
      </c>
      <c r="F6395" s="10">
        <f t="shared" si="1"/>
        <v>1</v>
      </c>
      <c r="G6395" s="10" t="str">
        <f t="array" ref="G6395">index('Player ID'!C:C,match(E6395,'Player ID'!B:B,0))</f>
        <v>#N/A</v>
      </c>
    </row>
    <row r="6396">
      <c r="A6396" s="76">
        <v>45800.0</v>
      </c>
      <c r="B6396" s="1" t="s">
        <v>839</v>
      </c>
      <c r="C6396" s="1" t="s">
        <v>68</v>
      </c>
      <c r="D6396" s="1">
        <v>1.0</v>
      </c>
      <c r="E6396" s="1">
        <v>19890.0</v>
      </c>
      <c r="F6396" s="10">
        <f t="shared" si="1"/>
        <v>1</v>
      </c>
      <c r="G6396" s="10" t="str">
        <f t="array" ref="G6396">index('Player ID'!C:C,match(E6396,'Player ID'!B:B,0))</f>
        <v>#N/A</v>
      </c>
    </row>
    <row r="6397">
      <c r="A6397" s="76">
        <v>45800.0</v>
      </c>
      <c r="B6397" s="1" t="s">
        <v>250</v>
      </c>
      <c r="C6397" s="1" t="s">
        <v>22</v>
      </c>
      <c r="D6397" s="1">
        <v>2.0</v>
      </c>
      <c r="E6397" s="1">
        <v>20191.0</v>
      </c>
      <c r="F6397" s="10">
        <f t="shared" si="1"/>
        <v>2</v>
      </c>
      <c r="G6397" s="10">
        <f t="array" ref="G6397">index('Player ID'!C:C,match(E6397,'Player ID'!B:B,0))</f>
        <v>676477</v>
      </c>
    </row>
    <row r="6398">
      <c r="A6398" s="76">
        <v>45800.0</v>
      </c>
      <c r="B6398" s="1" t="s">
        <v>410</v>
      </c>
      <c r="C6398" s="1" t="s">
        <v>22</v>
      </c>
      <c r="D6398" s="1">
        <v>4.0</v>
      </c>
      <c r="E6398" s="1">
        <v>23920.0</v>
      </c>
      <c r="F6398" s="10">
        <f t="shared" si="1"/>
        <v>4</v>
      </c>
      <c r="G6398" s="10">
        <f t="array" ref="G6398">index('Player ID'!C:C,match(E6398,'Player ID'!B:B,0))</f>
        <v>678394</v>
      </c>
    </row>
    <row r="6399">
      <c r="A6399" s="76">
        <v>45800.0</v>
      </c>
      <c r="B6399" s="1" t="s">
        <v>645</v>
      </c>
      <c r="C6399" s="1" t="s">
        <v>22</v>
      </c>
      <c r="D6399" s="1">
        <v>0.2</v>
      </c>
      <c r="E6399" s="1">
        <v>25648.0</v>
      </c>
      <c r="F6399" s="10">
        <f t="shared" si="1"/>
        <v>0.6666666667</v>
      </c>
      <c r="G6399" s="10">
        <f t="array" ref="G6399">index('Player ID'!C:C,match(E6399,'Player ID'!B:B,0))</f>
        <v>686580</v>
      </c>
    </row>
    <row r="6400">
      <c r="A6400" s="76">
        <v>45800.0</v>
      </c>
      <c r="B6400" s="1" t="s">
        <v>347</v>
      </c>
      <c r="C6400" s="1" t="s">
        <v>68</v>
      </c>
      <c r="D6400" s="1">
        <v>5.0</v>
      </c>
      <c r="E6400" s="1">
        <v>30055.0</v>
      </c>
      <c r="F6400" s="10">
        <f t="shared" si="1"/>
        <v>5</v>
      </c>
      <c r="G6400" s="10">
        <f t="array" ref="G6400">index('Player ID'!C:C,match(E6400,'Player ID'!B:B,0))</f>
        <v>700249</v>
      </c>
    </row>
    <row r="6401">
      <c r="A6401" s="76">
        <v>45800.0</v>
      </c>
      <c r="B6401" s="1" t="s">
        <v>460</v>
      </c>
      <c r="C6401" s="1" t="s">
        <v>34</v>
      </c>
      <c r="D6401" s="1">
        <v>1.0</v>
      </c>
      <c r="E6401" s="1">
        <v>7005.0</v>
      </c>
      <c r="F6401" s="10">
        <f t="shared" si="1"/>
        <v>1</v>
      </c>
      <c r="G6401" s="10">
        <f t="array" ref="G6401">index('Player ID'!C:C,match(E6401,'Player ID'!B:B,0))</f>
        <v>519151</v>
      </c>
    </row>
    <row r="6402">
      <c r="A6402" s="76">
        <v>45800.0</v>
      </c>
      <c r="B6402" s="1" t="s">
        <v>203</v>
      </c>
      <c r="C6402" s="1" t="s">
        <v>34</v>
      </c>
      <c r="D6402" s="1">
        <v>1.0</v>
      </c>
      <c r="E6402" s="1">
        <v>11426.0</v>
      </c>
      <c r="F6402" s="10">
        <f t="shared" si="1"/>
        <v>1</v>
      </c>
      <c r="G6402" s="10">
        <f t="array" ref="G6402">index('Player ID'!C:C,match(E6402,'Player ID'!B:B,0))</f>
        <v>519141</v>
      </c>
    </row>
    <row r="6403">
      <c r="A6403" s="76">
        <v>45800.0</v>
      </c>
      <c r="B6403" s="1" t="s">
        <v>362</v>
      </c>
      <c r="C6403" s="1" t="s">
        <v>66</v>
      </c>
      <c r="D6403" s="1">
        <v>0.2</v>
      </c>
      <c r="E6403" s="1">
        <v>13449.0</v>
      </c>
      <c r="F6403" s="10">
        <f t="shared" si="1"/>
        <v>0.6666666667</v>
      </c>
      <c r="G6403" s="10">
        <f t="array" ref="G6403">index('Player ID'!C:C,match(E6403,'Player ID'!B:B,0))</f>
        <v>573124</v>
      </c>
    </row>
    <row r="6404">
      <c r="A6404" s="76">
        <v>45800.0</v>
      </c>
      <c r="B6404" s="1" t="s">
        <v>462</v>
      </c>
      <c r="C6404" s="1" t="s">
        <v>34</v>
      </c>
      <c r="D6404" s="1">
        <v>1.1</v>
      </c>
      <c r="E6404" s="1">
        <v>13896.0</v>
      </c>
      <c r="F6404" s="10">
        <f t="shared" si="1"/>
        <v>1.333333333</v>
      </c>
      <c r="G6404" s="10">
        <f t="array" ref="G6404">index('Player ID'!C:C,match(E6404,'Player ID'!B:B,0))</f>
        <v>623167</v>
      </c>
    </row>
    <row r="6405">
      <c r="A6405" s="76">
        <v>45800.0</v>
      </c>
      <c r="B6405" s="1" t="s">
        <v>417</v>
      </c>
      <c r="C6405" s="1" t="s">
        <v>66</v>
      </c>
      <c r="D6405" s="1">
        <v>1.2</v>
      </c>
      <c r="E6405" s="1">
        <v>13942.0</v>
      </c>
      <c r="F6405" s="10">
        <f t="shared" si="1"/>
        <v>1.666666667</v>
      </c>
      <c r="G6405" s="10">
        <f t="array" ref="G6405">index('Player ID'!C:C,match(E6405,'Player ID'!B:B,0))</f>
        <v>608718</v>
      </c>
    </row>
    <row r="6406">
      <c r="A6406" s="76">
        <v>45800.0</v>
      </c>
      <c r="B6406" s="1" t="s">
        <v>475</v>
      </c>
      <c r="C6406" s="1" t="s">
        <v>66</v>
      </c>
      <c r="D6406" s="1">
        <v>1.1</v>
      </c>
      <c r="E6406" s="1">
        <v>14993.0</v>
      </c>
      <c r="F6406" s="10">
        <f t="shared" si="1"/>
        <v>1.333333333</v>
      </c>
      <c r="G6406" s="10">
        <f t="array" ref="G6406">index('Player ID'!C:C,match(E6406,'Player ID'!B:B,0))</f>
        <v>605130</v>
      </c>
    </row>
    <row r="6407">
      <c r="A6407" s="76">
        <v>45800.0</v>
      </c>
      <c r="B6407" s="1" t="s">
        <v>246</v>
      </c>
      <c r="C6407" s="1" t="s">
        <v>34</v>
      </c>
      <c r="D6407" s="1">
        <v>4.0</v>
      </c>
      <c r="E6407" s="1">
        <v>15440.0</v>
      </c>
      <c r="F6407" s="10">
        <f t="shared" si="1"/>
        <v>4</v>
      </c>
      <c r="G6407" s="10">
        <f t="array" ref="G6407">index('Player ID'!C:C,match(E6407,'Player ID'!B:B,0))</f>
        <v>571510</v>
      </c>
    </row>
    <row r="6408">
      <c r="A6408" s="76">
        <v>45800.0</v>
      </c>
      <c r="B6408" s="1" t="s">
        <v>297</v>
      </c>
      <c r="C6408" s="1" t="s">
        <v>34</v>
      </c>
      <c r="D6408" s="1">
        <v>1.0</v>
      </c>
      <c r="E6408" s="1">
        <v>15734.0</v>
      </c>
      <c r="F6408" s="10">
        <f t="shared" si="1"/>
        <v>1</v>
      </c>
      <c r="G6408" s="10">
        <f t="array" ref="G6408">index('Player ID'!C:C,match(E6408,'Player ID'!B:B,0))</f>
        <v>641745</v>
      </c>
    </row>
    <row r="6409">
      <c r="A6409" s="76">
        <v>45800.0</v>
      </c>
      <c r="B6409" s="1" t="s">
        <v>632</v>
      </c>
      <c r="C6409" s="1" t="s">
        <v>34</v>
      </c>
      <c r="D6409" s="1">
        <v>0.2</v>
      </c>
      <c r="E6409" s="1">
        <v>16703.0</v>
      </c>
      <c r="F6409" s="10">
        <f t="shared" si="1"/>
        <v>0.6666666667</v>
      </c>
      <c r="G6409" s="10">
        <f t="array" ref="G6409">index('Player ID'!C:C,match(E6409,'Player ID'!B:B,0))</f>
        <v>657240</v>
      </c>
    </row>
    <row r="6410">
      <c r="A6410" s="76">
        <v>45800.0</v>
      </c>
      <c r="B6410" s="1" t="s">
        <v>653</v>
      </c>
      <c r="C6410" s="1" t="s">
        <v>66</v>
      </c>
      <c r="D6410" s="1">
        <v>0.1</v>
      </c>
      <c r="E6410" s="1">
        <v>17871.0</v>
      </c>
      <c r="F6410" s="10">
        <f t="shared" si="1"/>
        <v>0.3333333333</v>
      </c>
      <c r="G6410" s="10">
        <f t="array" ref="G6410">index('Player ID'!C:C,match(E6410,'Player ID'!B:B,0))</f>
        <v>664139</v>
      </c>
    </row>
    <row r="6411">
      <c r="A6411" s="76">
        <v>45800.0</v>
      </c>
      <c r="B6411" s="1" t="s">
        <v>345</v>
      </c>
      <c r="C6411" s="1" t="s">
        <v>66</v>
      </c>
      <c r="D6411" s="1">
        <v>0.0</v>
      </c>
      <c r="E6411" s="1">
        <v>19926.0</v>
      </c>
      <c r="F6411" s="10">
        <f t="shared" si="1"/>
        <v>0</v>
      </c>
      <c r="G6411" s="10">
        <f t="array" ref="G6411">index('Player ID'!C:C,match(E6411,'Player ID'!B:B,0))</f>
        <v>663574</v>
      </c>
    </row>
    <row r="6412">
      <c r="A6412" s="76">
        <v>45800.0</v>
      </c>
      <c r="B6412" s="1" t="s">
        <v>73</v>
      </c>
      <c r="C6412" s="1" t="s">
        <v>66</v>
      </c>
      <c r="D6412" s="1">
        <v>4.0</v>
      </c>
      <c r="E6412" s="1">
        <v>22182.0</v>
      </c>
      <c r="F6412" s="10">
        <f t="shared" si="1"/>
        <v>4</v>
      </c>
      <c r="G6412" s="10">
        <f t="array" ref="G6412">index('Player ID'!C:C,match(E6412,'Player ID'!B:B,0))</f>
        <v>668881</v>
      </c>
    </row>
    <row r="6413">
      <c r="A6413" s="76">
        <v>45800.0</v>
      </c>
      <c r="B6413" s="1" t="s">
        <v>550</v>
      </c>
      <c r="C6413" s="1" t="s">
        <v>66</v>
      </c>
      <c r="D6413" s="1">
        <v>1.0</v>
      </c>
      <c r="E6413" s="1">
        <v>25620.0</v>
      </c>
      <c r="F6413" s="10">
        <f t="shared" si="1"/>
        <v>1</v>
      </c>
      <c r="G6413" s="10">
        <f t="array" ref="G6413">index('Player ID'!C:C,match(E6413,'Player ID'!B:B,0))</f>
        <v>682825</v>
      </c>
    </row>
    <row r="6414">
      <c r="A6414" s="76">
        <v>45800.0</v>
      </c>
      <c r="B6414" s="1" t="s">
        <v>443</v>
      </c>
      <c r="C6414" s="1" t="s">
        <v>60</v>
      </c>
      <c r="D6414" s="1">
        <v>1.0</v>
      </c>
      <c r="E6414" s="1">
        <v>16350.0</v>
      </c>
      <c r="F6414" s="10">
        <f t="shared" si="1"/>
        <v>1</v>
      </c>
      <c r="G6414" s="10">
        <f t="array" ref="G6414">index('Player ID'!C:C,match(E6414,'Player ID'!B:B,0))</f>
        <v>621366</v>
      </c>
    </row>
    <row r="6415">
      <c r="A6415" s="76">
        <v>45800.0</v>
      </c>
      <c r="B6415" s="1" t="s">
        <v>716</v>
      </c>
      <c r="C6415" s="1" t="s">
        <v>60</v>
      </c>
      <c r="D6415" s="1">
        <v>0.1</v>
      </c>
      <c r="E6415" s="1">
        <v>17610.0</v>
      </c>
      <c r="F6415" s="10">
        <f t="shared" si="1"/>
        <v>0.3333333333</v>
      </c>
      <c r="G6415" s="10">
        <f t="array" ref="G6415">index('Player ID'!C:C,match(E6415,'Player ID'!B:B,0))</f>
        <v>663432</v>
      </c>
    </row>
    <row r="6416">
      <c r="A6416" s="76">
        <v>45800.0</v>
      </c>
      <c r="B6416" s="1" t="s">
        <v>217</v>
      </c>
      <c r="C6416" s="1" t="s">
        <v>60</v>
      </c>
      <c r="D6416" s="1">
        <v>1.0</v>
      </c>
      <c r="E6416" s="1">
        <v>17878.0</v>
      </c>
      <c r="F6416" s="10">
        <f t="shared" si="1"/>
        <v>1</v>
      </c>
      <c r="G6416" s="10">
        <f t="array" ref="G6416">index('Player ID'!C:C,match(E6416,'Player ID'!B:B,0))</f>
        <v>642701</v>
      </c>
    </row>
    <row r="6417">
      <c r="A6417" s="76">
        <v>45800.0</v>
      </c>
      <c r="B6417" s="1" t="s">
        <v>180</v>
      </c>
      <c r="C6417" s="1" t="s">
        <v>14</v>
      </c>
      <c r="D6417" s="1">
        <v>4.1</v>
      </c>
      <c r="E6417" s="1">
        <v>18679.0</v>
      </c>
      <c r="F6417" s="10">
        <f t="shared" si="1"/>
        <v>4.333333333</v>
      </c>
      <c r="G6417" s="10">
        <f t="array" ref="G6417">index('Player ID'!C:C,match(E6417,'Player ID'!B:B,0))</f>
        <v>642547</v>
      </c>
    </row>
    <row r="6418">
      <c r="A6418" s="76">
        <v>45800.0</v>
      </c>
      <c r="B6418" s="1" t="s">
        <v>107</v>
      </c>
      <c r="C6418" s="1" t="s">
        <v>60</v>
      </c>
      <c r="D6418" s="1">
        <v>0.2</v>
      </c>
      <c r="E6418" s="1">
        <v>19349.0</v>
      </c>
      <c r="F6418" s="10">
        <f t="shared" si="1"/>
        <v>0.6666666667</v>
      </c>
      <c r="G6418" s="10">
        <f t="array" ref="G6418">index('Player ID'!C:C,match(E6418,'Player ID'!B:B,0))</f>
        <v>657571</v>
      </c>
    </row>
    <row r="6419">
      <c r="A6419" s="76">
        <v>45800.0</v>
      </c>
      <c r="B6419" s="1" t="s">
        <v>183</v>
      </c>
      <c r="C6419" s="1" t="s">
        <v>60</v>
      </c>
      <c r="D6419" s="1">
        <v>0.1</v>
      </c>
      <c r="E6419" s="1">
        <v>19569.0</v>
      </c>
      <c r="F6419" s="10">
        <f t="shared" si="1"/>
        <v>0.3333333333</v>
      </c>
      <c r="G6419" s="10">
        <f t="array" ref="G6419">index('Player ID'!C:C,match(E6419,'Player ID'!B:B,0))</f>
        <v>670280</v>
      </c>
    </row>
    <row r="6420">
      <c r="A6420" s="76">
        <v>45800.0</v>
      </c>
      <c r="B6420" s="1" t="s">
        <v>338</v>
      </c>
      <c r="C6420" s="1" t="s">
        <v>60</v>
      </c>
      <c r="D6420" s="1">
        <v>0.2</v>
      </c>
      <c r="E6420" s="1">
        <v>20385.0</v>
      </c>
      <c r="F6420" s="10">
        <f t="shared" si="1"/>
        <v>0.6666666667</v>
      </c>
      <c r="G6420" s="10" t="str">
        <f t="array" ref="G6420">index('Player ID'!C:C,match(E6420,'Player ID'!B:B,0))</f>
        <v>#N/A</v>
      </c>
    </row>
    <row r="6421">
      <c r="A6421" s="76">
        <v>45800.0</v>
      </c>
      <c r="B6421" s="1" t="s">
        <v>318</v>
      </c>
      <c r="C6421" s="1" t="s">
        <v>14</v>
      </c>
      <c r="D6421" s="1">
        <v>1.2</v>
      </c>
      <c r="E6421" s="1">
        <v>20546.0</v>
      </c>
      <c r="F6421" s="10">
        <f t="shared" si="1"/>
        <v>1.666666667</v>
      </c>
      <c r="G6421" s="10">
        <f t="array" ref="G6421">index('Player ID'!C:C,match(E6421,'Player ID'!B:B,0))</f>
        <v>681982</v>
      </c>
    </row>
    <row r="6422">
      <c r="A6422" s="76">
        <v>45800.0</v>
      </c>
      <c r="B6422" s="1" t="s">
        <v>279</v>
      </c>
      <c r="C6422" s="1" t="s">
        <v>14</v>
      </c>
      <c r="D6422" s="1">
        <v>1.2</v>
      </c>
      <c r="E6422" s="1">
        <v>25327.0</v>
      </c>
      <c r="F6422" s="10">
        <f t="shared" si="1"/>
        <v>1.666666667</v>
      </c>
      <c r="G6422" s="10">
        <f t="array" ref="G6422">index('Player ID'!C:C,match(E6422,'Player ID'!B:B,0))</f>
        <v>682842</v>
      </c>
    </row>
    <row r="6423">
      <c r="A6423" s="76">
        <v>45800.0</v>
      </c>
      <c r="B6423" s="1" t="s">
        <v>112</v>
      </c>
      <c r="C6423" s="1" t="s">
        <v>14</v>
      </c>
      <c r="D6423" s="1">
        <v>1.0</v>
      </c>
      <c r="E6423" s="1">
        <v>25376.0</v>
      </c>
      <c r="F6423" s="10">
        <f t="shared" si="1"/>
        <v>1</v>
      </c>
      <c r="G6423" s="10">
        <f t="array" ref="G6423">index('Player ID'!C:C,match(E6423,'Player ID'!B:B,0))</f>
        <v>683232</v>
      </c>
    </row>
    <row r="6424">
      <c r="A6424" s="76">
        <v>45800.0</v>
      </c>
      <c r="B6424" s="1" t="s">
        <v>418</v>
      </c>
      <c r="C6424" s="1" t="s">
        <v>14</v>
      </c>
      <c r="D6424" s="1">
        <v>1.0</v>
      </c>
      <c r="E6424" s="1">
        <v>27517.0</v>
      </c>
      <c r="F6424" s="10">
        <f t="shared" si="1"/>
        <v>1</v>
      </c>
      <c r="G6424" s="10">
        <f t="array" ref="G6424">index('Player ID'!C:C,match(E6424,'Player ID'!B:B,0))</f>
        <v>657649</v>
      </c>
    </row>
    <row r="6425">
      <c r="A6425" s="76">
        <v>45800.0</v>
      </c>
      <c r="B6425" s="1" t="s">
        <v>88</v>
      </c>
      <c r="C6425" s="1" t="s">
        <v>60</v>
      </c>
      <c r="D6425" s="1">
        <v>6.0</v>
      </c>
      <c r="E6425" s="1">
        <v>33677.0</v>
      </c>
      <c r="F6425" s="10">
        <f t="shared" si="1"/>
        <v>6</v>
      </c>
      <c r="G6425" s="10">
        <f t="array" ref="G6425">index('Player ID'!C:C,match(E6425,'Player ID'!B:B,0))</f>
        <v>694973</v>
      </c>
    </row>
    <row r="6426">
      <c r="A6426" s="76">
        <v>45800.0</v>
      </c>
      <c r="B6426" s="1" t="s">
        <v>506</v>
      </c>
      <c r="C6426" s="1" t="s">
        <v>80</v>
      </c>
      <c r="D6426" s="1">
        <v>1.1</v>
      </c>
      <c r="E6426" s="1">
        <v>12988.0</v>
      </c>
      <c r="F6426" s="10">
        <f t="shared" si="1"/>
        <v>1.333333333</v>
      </c>
      <c r="G6426" s="10">
        <f t="array" ref="G6426">index('Player ID'!C:C,match(E6426,'Player ID'!B:B,0))</f>
        <v>605177</v>
      </c>
    </row>
    <row r="6427">
      <c r="A6427" s="76">
        <v>45800.0</v>
      </c>
      <c r="B6427" s="1" t="s">
        <v>304</v>
      </c>
      <c r="C6427" s="1" t="s">
        <v>31</v>
      </c>
      <c r="D6427" s="1">
        <v>1.0</v>
      </c>
      <c r="E6427" s="1">
        <v>21992.0</v>
      </c>
      <c r="F6427" s="10">
        <f t="shared" si="1"/>
        <v>1</v>
      </c>
      <c r="G6427" s="10">
        <f t="array" ref="G6427">index('Player ID'!C:C,match(E6427,'Player ID'!B:B,0))</f>
        <v>666808</v>
      </c>
    </row>
    <row r="6428">
      <c r="A6428" s="76">
        <v>45800.0</v>
      </c>
      <c r="B6428" s="1" t="s">
        <v>354</v>
      </c>
      <c r="C6428" s="1" t="s">
        <v>80</v>
      </c>
      <c r="D6428" s="1">
        <v>6.0</v>
      </c>
      <c r="E6428" s="1">
        <v>22201.0</v>
      </c>
      <c r="F6428" s="10">
        <f t="shared" si="1"/>
        <v>6</v>
      </c>
      <c r="G6428" s="10">
        <f t="array" ref="G6428">index('Player ID'!C:C,match(E6428,'Player ID'!B:B,0))</f>
        <v>669022</v>
      </c>
    </row>
    <row r="6429">
      <c r="A6429" s="76">
        <v>45800.0</v>
      </c>
      <c r="B6429" s="1" t="s">
        <v>654</v>
      </c>
      <c r="C6429" s="1" t="s">
        <v>31</v>
      </c>
      <c r="D6429" s="1">
        <v>1.0</v>
      </c>
      <c r="E6429" s="1">
        <v>23974.0</v>
      </c>
      <c r="F6429" s="10">
        <f t="shared" si="1"/>
        <v>1</v>
      </c>
      <c r="G6429" s="10">
        <f t="array" ref="G6429">index('Player ID'!C:C,match(E6429,'Player ID'!B:B,0))</f>
        <v>678495</v>
      </c>
    </row>
    <row r="6430">
      <c r="A6430" s="76">
        <v>45800.0</v>
      </c>
      <c r="B6430" s="1" t="s">
        <v>511</v>
      </c>
      <c r="C6430" s="1" t="s">
        <v>80</v>
      </c>
      <c r="D6430" s="1">
        <v>0.2</v>
      </c>
      <c r="E6430" s="1">
        <v>26215.0</v>
      </c>
      <c r="F6430" s="10">
        <f t="shared" si="1"/>
        <v>0.6666666667</v>
      </c>
      <c r="G6430" s="10">
        <f t="array" ref="G6430">index('Player ID'!C:C,match(E6430,'Player ID'!B:B,0))</f>
        <v>671131</v>
      </c>
    </row>
    <row r="6431">
      <c r="A6431" s="76">
        <v>45800.0</v>
      </c>
      <c r="B6431" s="1" t="s">
        <v>655</v>
      </c>
      <c r="C6431" s="1" t="s">
        <v>31</v>
      </c>
      <c r="D6431" s="1">
        <v>1.0</v>
      </c>
      <c r="E6431" s="1">
        <v>26252.0</v>
      </c>
      <c r="F6431" s="10">
        <f t="shared" si="1"/>
        <v>1</v>
      </c>
      <c r="G6431" s="10">
        <f t="array" ref="G6431">index('Player ID'!C:C,match(E6431,'Player ID'!B:B,0))</f>
        <v>669062</v>
      </c>
    </row>
    <row r="6432">
      <c r="A6432" s="76">
        <v>45800.0</v>
      </c>
      <c r="B6432" s="1" t="s">
        <v>818</v>
      </c>
      <c r="C6432" s="1" t="s">
        <v>80</v>
      </c>
      <c r="D6432" s="1">
        <v>1.0</v>
      </c>
      <c r="E6432" s="1">
        <v>27783.0</v>
      </c>
      <c r="F6432" s="10">
        <f t="shared" si="1"/>
        <v>1</v>
      </c>
      <c r="G6432" s="10">
        <f t="array" ref="G6432">index('Player ID'!C:C,match(E6432,'Player ID'!B:B,0))</f>
        <v>694350</v>
      </c>
    </row>
    <row r="6433">
      <c r="A6433" s="76">
        <v>45800.0</v>
      </c>
      <c r="B6433" s="1" t="s">
        <v>209</v>
      </c>
      <c r="C6433" s="1" t="s">
        <v>31</v>
      </c>
      <c r="D6433" s="1">
        <v>6.0</v>
      </c>
      <c r="E6433" s="1">
        <v>30076.0</v>
      </c>
      <c r="F6433" s="10">
        <f t="shared" si="1"/>
        <v>6</v>
      </c>
      <c r="G6433" s="10">
        <f t="array" ref="G6433">index('Player ID'!C:C,match(E6433,'Player ID'!B:B,0))</f>
        <v>694738</v>
      </c>
    </row>
    <row r="6434">
      <c r="A6434" s="76">
        <v>45800.0</v>
      </c>
      <c r="B6434" s="1" t="s">
        <v>822</v>
      </c>
      <c r="C6434" s="1" t="s">
        <v>40</v>
      </c>
      <c r="D6434" s="1">
        <v>1.0</v>
      </c>
      <c r="E6434" s="1">
        <v>11589.0</v>
      </c>
      <c r="F6434" s="10">
        <f t="shared" si="1"/>
        <v>1</v>
      </c>
      <c r="G6434" s="10">
        <f t="array" ref="G6434">index('Player ID'!C:C,match(E6434,'Player ID'!B:B,0))</f>
        <v>570632</v>
      </c>
    </row>
    <row r="6435">
      <c r="A6435" s="76">
        <v>45800.0</v>
      </c>
      <c r="B6435" s="1" t="s">
        <v>174</v>
      </c>
      <c r="C6435" s="1" t="s">
        <v>40</v>
      </c>
      <c r="D6435" s="1">
        <v>1.0</v>
      </c>
      <c r="E6435" s="1">
        <v>15552.0</v>
      </c>
      <c r="F6435" s="10">
        <f t="shared" si="1"/>
        <v>1</v>
      </c>
      <c r="G6435" s="10">
        <f t="array" ref="G6435">index('Player ID'!C:C,match(E6435,'Player ID'!B:B,0))</f>
        <v>643338</v>
      </c>
    </row>
    <row r="6436">
      <c r="A6436" s="76">
        <v>45800.0</v>
      </c>
      <c r="B6436" s="1" t="s">
        <v>261</v>
      </c>
      <c r="C6436" s="1" t="s">
        <v>54</v>
      </c>
      <c r="D6436" s="1">
        <v>1.0</v>
      </c>
      <c r="E6436" s="1">
        <v>17998.0</v>
      </c>
      <c r="F6436" s="10">
        <f t="shared" si="1"/>
        <v>1</v>
      </c>
      <c r="G6436" s="10">
        <f t="array" ref="G6436">index('Player ID'!C:C,match(E6436,'Player ID'!B:B,0))</f>
        <v>664126</v>
      </c>
    </row>
    <row r="6437">
      <c r="A6437" s="76">
        <v>45800.0</v>
      </c>
      <c r="B6437" s="1" t="s">
        <v>332</v>
      </c>
      <c r="C6437" s="1" t="s">
        <v>40</v>
      </c>
      <c r="D6437" s="1">
        <v>4.1</v>
      </c>
      <c r="E6437" s="1">
        <v>19316.0</v>
      </c>
      <c r="F6437" s="10">
        <f t="shared" si="1"/>
        <v>4.333333333</v>
      </c>
      <c r="G6437" s="10">
        <f t="array" ref="G6437">index('Player ID'!C:C,match(E6437,'Player ID'!B:B,0))</f>
        <v>641778</v>
      </c>
    </row>
    <row r="6438">
      <c r="A6438" s="76">
        <v>45800.0</v>
      </c>
      <c r="B6438" s="1" t="s">
        <v>400</v>
      </c>
      <c r="C6438" s="1" t="s">
        <v>54</v>
      </c>
      <c r="D6438" s="1">
        <v>1.0</v>
      </c>
      <c r="E6438" s="1">
        <v>20539.0</v>
      </c>
      <c r="F6438" s="10">
        <f t="shared" si="1"/>
        <v>1</v>
      </c>
      <c r="G6438" s="10">
        <f t="array" ref="G6438">index('Player ID'!C:C,match(E6438,'Player ID'!B:B,0))</f>
        <v>670955</v>
      </c>
    </row>
    <row r="6439">
      <c r="A6439" s="76">
        <v>45800.0</v>
      </c>
      <c r="B6439" s="1" t="s">
        <v>705</v>
      </c>
      <c r="C6439" s="1" t="s">
        <v>54</v>
      </c>
      <c r="D6439" s="1">
        <v>1.0</v>
      </c>
      <c r="E6439" s="1">
        <v>20794.0</v>
      </c>
      <c r="F6439" s="10">
        <f t="shared" si="1"/>
        <v>1</v>
      </c>
      <c r="G6439" s="10">
        <f t="array" ref="G6439">index('Player ID'!C:C,match(E6439,'Player ID'!B:B,0))</f>
        <v>655889</v>
      </c>
    </row>
    <row r="6440">
      <c r="A6440" s="76">
        <v>45800.0</v>
      </c>
      <c r="B6440" s="1" t="s">
        <v>315</v>
      </c>
      <c r="C6440" s="1" t="s">
        <v>40</v>
      </c>
      <c r="D6440" s="1">
        <v>1.2</v>
      </c>
      <c r="E6440" s="1">
        <v>24609.0</v>
      </c>
      <c r="F6440" s="10">
        <f t="shared" si="1"/>
        <v>1.666666667</v>
      </c>
      <c r="G6440" s="10">
        <f t="array" ref="G6440">index('Player ID'!C:C,match(E6440,'Player ID'!B:B,0))</f>
        <v>680755</v>
      </c>
    </row>
    <row r="6441">
      <c r="A6441" s="76">
        <v>45800.0</v>
      </c>
      <c r="B6441" s="1" t="s">
        <v>97</v>
      </c>
      <c r="C6441" s="1" t="s">
        <v>54</v>
      </c>
      <c r="D6441" s="1">
        <v>6.0</v>
      </c>
      <c r="E6441" s="1">
        <v>25385.0</v>
      </c>
      <c r="F6441" s="10">
        <f t="shared" si="1"/>
        <v>6</v>
      </c>
      <c r="G6441" s="10">
        <f t="array" ref="G6441">index('Player ID'!C:C,match(E6441,'Player ID'!B:B,0))</f>
        <v>656876</v>
      </c>
    </row>
    <row r="6442">
      <c r="A6442" s="76">
        <v>45800.0</v>
      </c>
      <c r="B6442" s="1" t="s">
        <v>334</v>
      </c>
      <c r="C6442" s="1" t="s">
        <v>54</v>
      </c>
      <c r="D6442" s="1">
        <v>0.0</v>
      </c>
      <c r="E6442" s="1">
        <v>29770.0</v>
      </c>
      <c r="F6442" s="10">
        <f t="shared" si="1"/>
        <v>0</v>
      </c>
      <c r="G6442" s="10">
        <f t="array" ref="G6442">index('Player ID'!C:C,match(E6442,'Player ID'!B:B,0))</f>
        <v>682254</v>
      </c>
    </row>
    <row r="6443">
      <c r="A6443" s="76">
        <v>45800.0</v>
      </c>
      <c r="B6443" s="1" t="s">
        <v>457</v>
      </c>
      <c r="C6443" s="1" t="s">
        <v>33</v>
      </c>
      <c r="D6443" s="1">
        <v>2.0</v>
      </c>
      <c r="E6443" s="1">
        <v>2036.0</v>
      </c>
      <c r="F6443" s="10">
        <f t="shared" si="1"/>
        <v>2</v>
      </c>
      <c r="G6443" s="10">
        <f t="array" ref="G6443">index('Player ID'!C:C,match(E6443,'Player ID'!B:B,0))</f>
        <v>477132</v>
      </c>
    </row>
    <row r="6444">
      <c r="A6444" s="76">
        <v>45800.0</v>
      </c>
      <c r="B6444" s="1" t="s">
        <v>646</v>
      </c>
      <c r="C6444" s="1" t="s">
        <v>51</v>
      </c>
      <c r="D6444" s="1">
        <v>1.0</v>
      </c>
      <c r="E6444" s="1">
        <v>6107.0</v>
      </c>
      <c r="F6444" s="10">
        <f t="shared" si="1"/>
        <v>1</v>
      </c>
      <c r="G6444" s="10">
        <f t="array" ref="G6444">index('Player ID'!C:C,match(E6444,'Player ID'!B:B,0))</f>
        <v>623211</v>
      </c>
    </row>
    <row r="6445">
      <c r="A6445" s="76">
        <v>45800.0</v>
      </c>
      <c r="B6445" s="1" t="s">
        <v>595</v>
      </c>
      <c r="C6445" s="1" t="s">
        <v>33</v>
      </c>
      <c r="D6445" s="1">
        <v>2.1</v>
      </c>
      <c r="E6445" s="1">
        <v>6984.0</v>
      </c>
      <c r="F6445" s="10">
        <f t="shared" si="1"/>
        <v>2.333333333</v>
      </c>
      <c r="G6445" s="10">
        <f t="array" ref="G6445">index('Player ID'!C:C,match(E6445,'Player ID'!B:B,0))</f>
        <v>472610</v>
      </c>
    </row>
    <row r="6446">
      <c r="A6446" s="76">
        <v>45800.0</v>
      </c>
      <c r="B6446" s="1" t="s">
        <v>310</v>
      </c>
      <c r="C6446" s="1" t="s">
        <v>33</v>
      </c>
      <c r="D6446" s="1">
        <v>0.2</v>
      </c>
      <c r="E6446" s="1">
        <v>14706.0</v>
      </c>
      <c r="F6446" s="10">
        <f t="shared" si="1"/>
        <v>0.6666666667</v>
      </c>
      <c r="G6446" s="10">
        <f t="array" ref="G6446">index('Player ID'!C:C,match(E6446,'Player ID'!B:B,0))</f>
        <v>607455</v>
      </c>
    </row>
    <row r="6447">
      <c r="A6447" s="76">
        <v>45800.0</v>
      </c>
      <c r="B6447" s="1" t="s">
        <v>679</v>
      </c>
      <c r="C6447" s="1" t="s">
        <v>51</v>
      </c>
      <c r="D6447" s="1">
        <v>1.0</v>
      </c>
      <c r="E6447" s="1">
        <v>14710.0</v>
      </c>
      <c r="F6447" s="10">
        <f t="shared" si="1"/>
        <v>1</v>
      </c>
      <c r="G6447" s="10">
        <f t="array" ref="G6447">index('Player ID'!C:C,match(E6447,'Player ID'!B:B,0))</f>
        <v>621242</v>
      </c>
    </row>
    <row r="6448">
      <c r="A6448" s="76">
        <v>45800.0</v>
      </c>
      <c r="B6448" s="1" t="s">
        <v>503</v>
      </c>
      <c r="C6448" s="1" t="s">
        <v>33</v>
      </c>
      <c r="D6448" s="1">
        <v>0.2</v>
      </c>
      <c r="E6448" s="1">
        <v>15043.0</v>
      </c>
      <c r="F6448" s="10">
        <f t="shared" si="1"/>
        <v>0.6666666667</v>
      </c>
      <c r="G6448" s="10">
        <f t="array" ref="G6448">index('Player ID'!C:C,match(E6448,'Player ID'!B:B,0))</f>
        <v>642152</v>
      </c>
    </row>
    <row r="6449">
      <c r="A6449" s="76">
        <v>45800.0</v>
      </c>
      <c r="B6449" s="1" t="s">
        <v>292</v>
      </c>
      <c r="C6449" s="1" t="s">
        <v>51</v>
      </c>
      <c r="D6449" s="1">
        <v>0.2</v>
      </c>
      <c r="E6449" s="1">
        <v>15947.0</v>
      </c>
      <c r="F6449" s="10">
        <f t="shared" si="1"/>
        <v>0.6666666667</v>
      </c>
      <c r="G6449" s="10">
        <f t="array" ref="G6449">index('Player ID'!C:C,match(E6449,'Player ID'!B:B,0))</f>
        <v>592773</v>
      </c>
    </row>
    <row r="6450">
      <c r="A6450" s="76">
        <v>45800.0</v>
      </c>
      <c r="B6450" s="1" t="s">
        <v>295</v>
      </c>
      <c r="C6450" s="1" t="s">
        <v>51</v>
      </c>
      <c r="D6450" s="1">
        <v>2.0</v>
      </c>
      <c r="E6450" s="1">
        <v>16866.0</v>
      </c>
      <c r="F6450" s="10">
        <f t="shared" si="1"/>
        <v>2</v>
      </c>
      <c r="G6450" s="10">
        <f t="array" ref="G6450">index('Player ID'!C:C,match(E6450,'Player ID'!B:B,0))</f>
        <v>657585</v>
      </c>
    </row>
    <row r="6451">
      <c r="A6451" s="76">
        <v>45800.0</v>
      </c>
      <c r="B6451" s="1" t="s">
        <v>826</v>
      </c>
      <c r="C6451" s="1" t="s">
        <v>51</v>
      </c>
      <c r="D6451" s="1">
        <v>1.2</v>
      </c>
      <c r="E6451" s="1">
        <v>17169.0</v>
      </c>
      <c r="F6451" s="10">
        <f t="shared" si="1"/>
        <v>1.666666667</v>
      </c>
      <c r="G6451" s="10">
        <f t="array" ref="G6451">index('Player ID'!C:C,match(E6451,'Player ID'!B:B,0))</f>
        <v>620454</v>
      </c>
    </row>
    <row r="6452">
      <c r="A6452" s="76">
        <v>45800.0</v>
      </c>
      <c r="B6452" s="1" t="s">
        <v>825</v>
      </c>
      <c r="C6452" s="1" t="s">
        <v>51</v>
      </c>
      <c r="D6452" s="1">
        <v>2.0</v>
      </c>
      <c r="E6452" s="1">
        <v>17490.0</v>
      </c>
      <c r="F6452" s="10">
        <f t="shared" si="1"/>
        <v>2</v>
      </c>
      <c r="G6452" s="10">
        <f t="array" ref="G6452">index('Player ID'!C:C,match(E6452,'Player ID'!B:B,0))</f>
        <v>650893</v>
      </c>
    </row>
    <row r="6453">
      <c r="A6453" s="76">
        <v>45800.0</v>
      </c>
      <c r="B6453" s="1" t="s">
        <v>32</v>
      </c>
      <c r="C6453" s="1" t="s">
        <v>33</v>
      </c>
      <c r="D6453" s="1">
        <v>0.1</v>
      </c>
      <c r="E6453" s="1">
        <v>17586.0</v>
      </c>
      <c r="F6453" s="10">
        <f t="shared" si="1"/>
        <v>0.3333333333</v>
      </c>
      <c r="G6453" s="10">
        <f t="array" ref="G6453">index('Player ID'!C:C,match(E6453,'Player ID'!B:B,0))</f>
        <v>656945</v>
      </c>
    </row>
    <row r="6454">
      <c r="A6454" s="76">
        <v>45800.0</v>
      </c>
      <c r="B6454" s="1" t="s">
        <v>382</v>
      </c>
      <c r="C6454" s="1" t="s">
        <v>51</v>
      </c>
      <c r="D6454" s="1">
        <v>2.2</v>
      </c>
      <c r="E6454" s="1">
        <v>19867.0</v>
      </c>
      <c r="F6454" s="10">
        <f t="shared" si="1"/>
        <v>2.666666667</v>
      </c>
      <c r="G6454" s="10">
        <f t="array" ref="G6454">index('Player ID'!C:C,match(E6454,'Player ID'!B:B,0))</f>
        <v>656288</v>
      </c>
    </row>
    <row r="6455">
      <c r="A6455" s="76">
        <v>45800.0</v>
      </c>
      <c r="B6455" s="1" t="s">
        <v>50</v>
      </c>
      <c r="C6455" s="1" t="s">
        <v>51</v>
      </c>
      <c r="D6455" s="1">
        <v>1.1</v>
      </c>
      <c r="E6455" s="1">
        <v>22175.0</v>
      </c>
      <c r="F6455" s="10">
        <f t="shared" si="1"/>
        <v>1.333333333</v>
      </c>
      <c r="G6455" s="10">
        <f t="array" ref="G6455">index('Player ID'!C:C,match(E6455,'Player ID'!B:B,0))</f>
        <v>668820</v>
      </c>
    </row>
    <row r="6456">
      <c r="A6456" s="76">
        <v>45800.0</v>
      </c>
      <c r="B6456" s="1" t="s">
        <v>390</v>
      </c>
      <c r="C6456" s="1" t="s">
        <v>33</v>
      </c>
      <c r="D6456" s="1">
        <v>3.0</v>
      </c>
      <c r="E6456" s="1">
        <v>22284.0</v>
      </c>
      <c r="F6456" s="10">
        <f t="shared" si="1"/>
        <v>3</v>
      </c>
      <c r="G6456" s="10">
        <f t="array" ref="G6456">index('Player ID'!C:C,match(E6456,'Player ID'!B:B,0))</f>
        <v>669422</v>
      </c>
    </row>
    <row r="6457">
      <c r="A6457" s="76">
        <v>45800.0</v>
      </c>
      <c r="B6457" s="1" t="s">
        <v>712</v>
      </c>
      <c r="C6457" s="1" t="s">
        <v>51</v>
      </c>
      <c r="D6457" s="1">
        <v>0.2</v>
      </c>
      <c r="E6457" s="1">
        <v>23313.0</v>
      </c>
      <c r="F6457" s="10">
        <f t="shared" si="1"/>
        <v>0.6666666667</v>
      </c>
      <c r="G6457" s="10">
        <f t="array" ref="G6457">index('Player ID'!C:C,match(E6457,'Player ID'!B:B,0))</f>
        <v>676130</v>
      </c>
    </row>
    <row r="6458">
      <c r="A6458" s="76">
        <v>45800.0</v>
      </c>
      <c r="B6458" s="1" t="s">
        <v>92</v>
      </c>
      <c r="C6458" s="1" t="s">
        <v>33</v>
      </c>
      <c r="D6458" s="1">
        <v>1.0</v>
      </c>
      <c r="E6458" s="1">
        <v>25007.0</v>
      </c>
      <c r="F6458" s="10">
        <f t="shared" si="1"/>
        <v>1</v>
      </c>
      <c r="G6458" s="10">
        <f t="array" ref="G6458">index('Player ID'!C:C,match(E6458,'Player ID'!B:B,0))</f>
        <v>681911</v>
      </c>
    </row>
    <row r="6459">
      <c r="A6459" s="76">
        <v>45800.0</v>
      </c>
      <c r="B6459" s="1" t="s">
        <v>104</v>
      </c>
      <c r="C6459" s="1" t="s">
        <v>33</v>
      </c>
      <c r="D6459" s="1">
        <v>3.0</v>
      </c>
      <c r="E6459" s="1">
        <v>30085.0</v>
      </c>
      <c r="F6459" s="10">
        <f t="shared" si="1"/>
        <v>3</v>
      </c>
      <c r="G6459" s="10">
        <f t="array" ref="G6459">index('Player ID'!C:C,match(E6459,'Player ID'!B:B,0))</f>
        <v>676508</v>
      </c>
    </row>
    <row r="6460">
      <c r="A6460" s="76">
        <v>45800.0</v>
      </c>
      <c r="B6460" s="1" t="s">
        <v>132</v>
      </c>
      <c r="C6460" s="1" t="s">
        <v>70</v>
      </c>
      <c r="D6460" s="1">
        <v>1.0</v>
      </c>
      <c r="E6460" s="1">
        <v>21032.0</v>
      </c>
      <c r="F6460" s="10">
        <f t="shared" si="1"/>
        <v>1</v>
      </c>
      <c r="G6460" s="10">
        <f t="array" ref="G6460">index('Player ID'!C:C,match(E6460,'Player ID'!B:B,0))</f>
        <v>661403</v>
      </c>
    </row>
    <row r="6461">
      <c r="A6461" s="76">
        <v>45800.0</v>
      </c>
      <c r="B6461" s="1" t="s">
        <v>238</v>
      </c>
      <c r="C6461" s="1" t="s">
        <v>70</v>
      </c>
      <c r="D6461" s="1">
        <v>2.0</v>
      </c>
      <c r="E6461" s="1">
        <v>25636.0</v>
      </c>
      <c r="F6461" s="10">
        <f t="shared" si="1"/>
        <v>2</v>
      </c>
      <c r="G6461" s="10">
        <f t="array" ref="G6461">index('Player ID'!C:C,match(E6461,'Player ID'!B:B,0))</f>
        <v>683769</v>
      </c>
    </row>
    <row r="6462">
      <c r="A6462" s="76">
        <v>45800.0</v>
      </c>
      <c r="B6462" s="1" t="s">
        <v>667</v>
      </c>
      <c r="C6462" s="1" t="s">
        <v>62</v>
      </c>
      <c r="D6462" s="1">
        <v>1.0</v>
      </c>
      <c r="E6462" s="1">
        <v>26079.0</v>
      </c>
      <c r="F6462" s="10">
        <f t="shared" si="1"/>
        <v>1</v>
      </c>
      <c r="G6462" s="10">
        <f t="array" ref="G6462">index('Player ID'!C:C,match(E6462,'Player ID'!B:B,0))</f>
        <v>689225</v>
      </c>
    </row>
    <row r="6463">
      <c r="A6463" s="76">
        <v>45800.0</v>
      </c>
      <c r="B6463" s="1" t="s">
        <v>82</v>
      </c>
      <c r="C6463" s="1" t="s">
        <v>62</v>
      </c>
      <c r="D6463" s="1">
        <v>1.2</v>
      </c>
      <c r="E6463" s="1">
        <v>26231.0</v>
      </c>
      <c r="F6463" s="10">
        <f t="shared" si="1"/>
        <v>1.666666667</v>
      </c>
      <c r="G6463" s="10">
        <f t="array" ref="G6463">index('Player ID'!C:C,match(E6463,'Player ID'!B:B,0))</f>
        <v>663947</v>
      </c>
    </row>
    <row r="6464">
      <c r="A6464" s="76">
        <v>45800.0</v>
      </c>
      <c r="B6464" s="1" t="s">
        <v>306</v>
      </c>
      <c r="C6464" s="1" t="s">
        <v>70</v>
      </c>
      <c r="D6464" s="1">
        <v>6.0</v>
      </c>
      <c r="E6464" s="1">
        <v>27500.0</v>
      </c>
      <c r="F6464" s="10">
        <f t="shared" si="1"/>
        <v>6</v>
      </c>
      <c r="G6464" s="10">
        <f t="array" ref="G6464">index('Player ID'!C:C,match(E6464,'Player ID'!B:B,0))</f>
        <v>677944</v>
      </c>
    </row>
    <row r="6465">
      <c r="A6465" s="76">
        <v>45800.0</v>
      </c>
      <c r="B6465" s="1" t="s">
        <v>160</v>
      </c>
      <c r="C6465" s="1" t="s">
        <v>62</v>
      </c>
      <c r="D6465" s="1">
        <v>1.1</v>
      </c>
      <c r="E6465" s="1">
        <v>29574.0</v>
      </c>
      <c r="F6465" s="10">
        <f t="shared" si="1"/>
        <v>1.333333333</v>
      </c>
      <c r="G6465" s="10">
        <f t="array" ref="G6465">index('Player ID'!C:C,match(E6465,'Player ID'!B:B,0))</f>
        <v>695445</v>
      </c>
    </row>
    <row r="6466">
      <c r="A6466" s="76">
        <v>45800.0</v>
      </c>
      <c r="B6466" s="1" t="s">
        <v>377</v>
      </c>
      <c r="C6466" s="1" t="s">
        <v>62</v>
      </c>
      <c r="D6466" s="1">
        <v>5.0</v>
      </c>
      <c r="E6466" s="1">
        <v>30203.0</v>
      </c>
      <c r="F6466" s="10">
        <f t="shared" si="1"/>
        <v>5</v>
      </c>
      <c r="G6466" s="10">
        <f t="array" ref="G6466">index('Player ID'!C:C,match(E6466,'Player ID'!B:B,0))</f>
        <v>695549</v>
      </c>
    </row>
    <row r="6467">
      <c r="A6467" s="76">
        <v>45800.0</v>
      </c>
      <c r="B6467" s="1" t="s">
        <v>156</v>
      </c>
      <c r="C6467" s="1" t="s">
        <v>46</v>
      </c>
      <c r="D6467" s="1">
        <v>7.0</v>
      </c>
      <c r="E6467" s="1">
        <v>10603.0</v>
      </c>
      <c r="F6467" s="10">
        <f t="shared" si="1"/>
        <v>7</v>
      </c>
      <c r="G6467" s="10">
        <f t="array" ref="G6467">index('Player ID'!C:C,match(E6467,'Player ID'!B:B,0))</f>
        <v>519242</v>
      </c>
    </row>
    <row r="6468">
      <c r="A6468" s="76">
        <v>45800.0</v>
      </c>
      <c r="B6468" s="1" t="s">
        <v>342</v>
      </c>
      <c r="C6468" s="1" t="s">
        <v>26</v>
      </c>
      <c r="D6468" s="1">
        <v>0.1</v>
      </c>
      <c r="E6468" s="1">
        <v>11861.0</v>
      </c>
      <c r="F6468" s="10">
        <f t="shared" si="1"/>
        <v>0.3333333333</v>
      </c>
      <c r="G6468" s="10">
        <f t="array" ref="G6468">index('Player ID'!C:C,match(E6468,'Player ID'!B:B,0))</f>
        <v>592094</v>
      </c>
    </row>
    <row r="6469">
      <c r="A6469" s="76">
        <v>45800.0</v>
      </c>
      <c r="B6469" s="1" t="s">
        <v>109</v>
      </c>
      <c r="C6469" s="1" t="s">
        <v>26</v>
      </c>
      <c r="D6469" s="1">
        <v>6.0</v>
      </c>
      <c r="E6469" s="1">
        <v>15454.0</v>
      </c>
      <c r="F6469" s="10">
        <f t="shared" si="1"/>
        <v>6</v>
      </c>
      <c r="G6469" s="10">
        <f t="array" ref="G6469">index('Player ID'!C:C,match(E6469,'Player ID'!B:B,0))</f>
        <v>601713</v>
      </c>
    </row>
    <row r="6470">
      <c r="A6470" s="76">
        <v>45800.0</v>
      </c>
      <c r="B6470" s="1" t="s">
        <v>184</v>
      </c>
      <c r="C6470" s="1" t="s">
        <v>46</v>
      </c>
      <c r="D6470" s="1">
        <v>1.0</v>
      </c>
      <c r="E6470" s="1">
        <v>17130.0</v>
      </c>
      <c r="F6470" s="10">
        <f t="shared" si="1"/>
        <v>1</v>
      </c>
      <c r="G6470" s="10">
        <f t="array" ref="G6470">index('Player ID'!C:C,match(E6470,'Player ID'!B:B,0))</f>
        <v>628452</v>
      </c>
    </row>
    <row r="6471">
      <c r="A6471" s="76">
        <v>45800.0</v>
      </c>
      <c r="B6471" s="1" t="s">
        <v>49</v>
      </c>
      <c r="C6471" s="1" t="s">
        <v>26</v>
      </c>
      <c r="D6471" s="1">
        <v>1.2</v>
      </c>
      <c r="E6471" s="1">
        <v>20039.0</v>
      </c>
      <c r="F6471" s="10">
        <f t="shared" si="1"/>
        <v>1.666666667</v>
      </c>
      <c r="G6471" s="10">
        <f t="array" ref="G6471">index('Player ID'!C:C,match(E6471,'Player ID'!B:B,0))</f>
        <v>670970</v>
      </c>
    </row>
    <row r="6472">
      <c r="A6472" s="76">
        <v>45800.0</v>
      </c>
      <c r="B6472" s="1" t="s">
        <v>688</v>
      </c>
      <c r="C6472" s="1" t="s">
        <v>46</v>
      </c>
      <c r="D6472" s="1">
        <v>1.0</v>
      </c>
      <c r="E6472" s="1">
        <v>20271.0</v>
      </c>
      <c r="F6472" s="10">
        <f t="shared" si="1"/>
        <v>1</v>
      </c>
      <c r="G6472" s="10">
        <f t="array" ref="G6472">index('Player ID'!C:C,match(E6472,'Player ID'!B:B,0))</f>
        <v>678226</v>
      </c>
    </row>
    <row r="6473">
      <c r="A6473" s="76">
        <v>45800.0</v>
      </c>
      <c r="B6473" s="1" t="s">
        <v>81</v>
      </c>
      <c r="C6473" s="1" t="s">
        <v>26</v>
      </c>
      <c r="D6473" s="1">
        <v>1.0</v>
      </c>
      <c r="E6473" s="1">
        <v>30115.0</v>
      </c>
      <c r="F6473" s="10">
        <f t="shared" si="1"/>
        <v>1</v>
      </c>
      <c r="G6473" s="10">
        <f t="array" ref="G6473">index('Player ID'!C:C,match(E6473,'Player ID'!B:B,0))</f>
        <v>663158</v>
      </c>
    </row>
    <row r="6474">
      <c r="A6474" s="76">
        <v>45800.0</v>
      </c>
      <c r="B6474" s="1" t="s">
        <v>252</v>
      </c>
      <c r="C6474" s="1" t="s">
        <v>78</v>
      </c>
      <c r="D6474" s="1">
        <v>1.0</v>
      </c>
      <c r="E6474" s="1">
        <v>16061.0</v>
      </c>
      <c r="F6474" s="10">
        <f t="shared" si="1"/>
        <v>1</v>
      </c>
      <c r="G6474" s="10">
        <f t="array" ref="G6474">index('Player ID'!C:C,match(E6474,'Player ID'!B:B,0))</f>
        <v>592155</v>
      </c>
    </row>
    <row r="6475">
      <c r="A6475" s="76">
        <v>45800.0</v>
      </c>
      <c r="B6475" s="1" t="s">
        <v>55</v>
      </c>
      <c r="C6475" s="1" t="s">
        <v>56</v>
      </c>
      <c r="D6475" s="1">
        <v>5.0</v>
      </c>
      <c r="E6475" s="1">
        <v>16358.0</v>
      </c>
      <c r="F6475" s="10">
        <f t="shared" si="1"/>
        <v>5</v>
      </c>
      <c r="G6475" s="10">
        <f t="array" ref="G6475">index('Player ID'!C:C,match(E6475,'Player ID'!B:B,0))</f>
        <v>641816</v>
      </c>
    </row>
    <row r="6476">
      <c r="A6476" s="76">
        <v>45800.0</v>
      </c>
      <c r="B6476" s="1" t="s">
        <v>349</v>
      </c>
      <c r="C6476" s="1" t="s">
        <v>56</v>
      </c>
      <c r="D6476" s="1">
        <v>1.0</v>
      </c>
      <c r="E6476" s="1">
        <v>19736.0</v>
      </c>
      <c r="F6476" s="10">
        <f t="shared" si="1"/>
        <v>1</v>
      </c>
      <c r="G6476" s="10">
        <f t="array" ref="G6476">index('Player ID'!C:C,match(E6476,'Player ID'!B:B,0))</f>
        <v>676961</v>
      </c>
    </row>
    <row r="6477">
      <c r="A6477" s="76">
        <v>45800.0</v>
      </c>
      <c r="B6477" s="1" t="s">
        <v>116</v>
      </c>
      <c r="C6477" s="1" t="s">
        <v>78</v>
      </c>
      <c r="D6477" s="1">
        <v>1.0</v>
      </c>
      <c r="E6477" s="1">
        <v>20353.0</v>
      </c>
      <c r="F6477" s="10">
        <f t="shared" si="1"/>
        <v>1</v>
      </c>
      <c r="G6477" s="10">
        <f t="array" ref="G6477">index('Player ID'!C:C,match(E6477,'Player ID'!B:B,0))</f>
        <v>621051</v>
      </c>
    </row>
    <row r="6478">
      <c r="A6478" s="76">
        <v>45800.0</v>
      </c>
      <c r="B6478" s="1" t="s">
        <v>111</v>
      </c>
      <c r="C6478" s="1" t="s">
        <v>56</v>
      </c>
      <c r="D6478" s="1">
        <v>1.0</v>
      </c>
      <c r="E6478" s="1">
        <v>21306.0</v>
      </c>
      <c r="F6478" s="10">
        <f t="shared" si="1"/>
        <v>1</v>
      </c>
      <c r="G6478" s="10">
        <f t="array" ref="G6478">index('Player ID'!C:C,match(E6478,'Player ID'!B:B,0))</f>
        <v>656641</v>
      </c>
    </row>
    <row r="6479">
      <c r="A6479" s="76">
        <v>45800.0</v>
      </c>
      <c r="B6479" s="1" t="s">
        <v>502</v>
      </c>
      <c r="C6479" s="1" t="s">
        <v>56</v>
      </c>
      <c r="D6479" s="1">
        <v>1.0</v>
      </c>
      <c r="E6479" s="1">
        <v>22113.0</v>
      </c>
      <c r="F6479" s="10">
        <f t="shared" si="1"/>
        <v>1</v>
      </c>
      <c r="G6479" s="10">
        <f t="array" ref="G6479">index('Player ID'!C:C,match(E6479,'Player ID'!B:B,0))</f>
        <v>668390</v>
      </c>
    </row>
    <row r="6480">
      <c r="A6480" s="76">
        <v>45800.0</v>
      </c>
      <c r="B6480" s="1" t="s">
        <v>356</v>
      </c>
      <c r="C6480" s="1" t="s">
        <v>78</v>
      </c>
      <c r="D6480" s="1">
        <v>6.0</v>
      </c>
      <c r="E6480" s="1">
        <v>29878.0</v>
      </c>
      <c r="F6480" s="10">
        <f t="shared" si="1"/>
        <v>6</v>
      </c>
      <c r="G6480" s="10">
        <f t="array" ref="G6480">index('Player ID'!C:C,match(E6480,'Player ID'!B:B,0))</f>
        <v>680732</v>
      </c>
    </row>
    <row r="6481">
      <c r="A6481" s="76">
        <v>45800.0</v>
      </c>
      <c r="B6481" s="1" t="s">
        <v>317</v>
      </c>
      <c r="C6481" s="1" t="s">
        <v>78</v>
      </c>
      <c r="D6481" s="1">
        <v>1.0</v>
      </c>
      <c r="E6481" s="1">
        <v>29950.0</v>
      </c>
      <c r="F6481" s="10">
        <f t="shared" si="1"/>
        <v>1</v>
      </c>
      <c r="G6481" s="10">
        <f t="array" ref="G6481">index('Player ID'!C:C,match(E6481,'Player ID'!B:B,0))</f>
        <v>673929</v>
      </c>
    </row>
    <row r="6482">
      <c r="A6482" s="76">
        <v>45800.0</v>
      </c>
      <c r="B6482" s="1" t="s">
        <v>59</v>
      </c>
      <c r="C6482" s="1" t="s">
        <v>39</v>
      </c>
      <c r="D6482" s="1">
        <v>1.0</v>
      </c>
      <c r="E6482" s="1">
        <v>14212.0</v>
      </c>
      <c r="F6482" s="10">
        <f t="shared" si="1"/>
        <v>1</v>
      </c>
      <c r="G6482" s="10">
        <f t="array" ref="G6482">index('Player ID'!C:C,match(E6482,'Player ID'!B:B,0))</f>
        <v>623352</v>
      </c>
    </row>
    <row r="6483">
      <c r="A6483" s="76">
        <v>45800.0</v>
      </c>
      <c r="B6483" s="1" t="s">
        <v>210</v>
      </c>
      <c r="C6483" s="1" t="s">
        <v>39</v>
      </c>
      <c r="D6483" s="1">
        <v>1.1</v>
      </c>
      <c r="E6483" s="1">
        <v>16609.0</v>
      </c>
      <c r="F6483" s="10">
        <f t="shared" si="1"/>
        <v>1.333333333</v>
      </c>
      <c r="G6483" s="10">
        <f t="array" ref="G6483">index('Player ID'!C:C,match(E6483,'Player ID'!B:B,0))</f>
        <v>650556</v>
      </c>
    </row>
    <row r="6484">
      <c r="A6484" s="76">
        <v>45800.0</v>
      </c>
      <c r="B6484" s="1" t="s">
        <v>670</v>
      </c>
      <c r="C6484" s="1" t="s">
        <v>37</v>
      </c>
      <c r="D6484" s="1">
        <v>1.0</v>
      </c>
      <c r="E6484" s="1">
        <v>20373.0</v>
      </c>
      <c r="F6484" s="10">
        <f t="shared" si="1"/>
        <v>1</v>
      </c>
      <c r="G6484" s="10">
        <f t="array" ref="G6484">index('Player ID'!C:C,match(E6484,'Player ID'!B:B,0))</f>
        <v>662253</v>
      </c>
    </row>
    <row r="6485">
      <c r="A6485" s="76">
        <v>45800.0</v>
      </c>
      <c r="B6485" s="1" t="s">
        <v>102</v>
      </c>
      <c r="C6485" s="1" t="s">
        <v>39</v>
      </c>
      <c r="D6485" s="1">
        <v>1.0</v>
      </c>
      <c r="E6485" s="1">
        <v>21345.0</v>
      </c>
      <c r="F6485" s="10">
        <f t="shared" si="1"/>
        <v>1</v>
      </c>
      <c r="G6485" s="10">
        <f t="array" ref="G6485">index('Player ID'!C:C,match(E6485,'Player ID'!B:B,0))</f>
        <v>656986</v>
      </c>
    </row>
    <row r="6486">
      <c r="A6486" s="76">
        <v>45800.0</v>
      </c>
      <c r="B6486" s="1" t="s">
        <v>101</v>
      </c>
      <c r="C6486" s="1" t="s">
        <v>37</v>
      </c>
      <c r="D6486" s="1">
        <v>1.0</v>
      </c>
      <c r="E6486" s="1">
        <v>22915.0</v>
      </c>
      <c r="F6486" s="10">
        <f t="shared" si="1"/>
        <v>1</v>
      </c>
      <c r="G6486" s="10">
        <f t="array" ref="G6486">index('Player ID'!C:C,match(E6486,'Player ID'!B:B,0))</f>
        <v>672841</v>
      </c>
    </row>
    <row r="6487">
      <c r="A6487" s="76">
        <v>45800.0</v>
      </c>
      <c r="B6487" s="1" t="s">
        <v>444</v>
      </c>
      <c r="C6487" s="1" t="s">
        <v>39</v>
      </c>
      <c r="D6487" s="1">
        <v>0.2</v>
      </c>
      <c r="E6487" s="1">
        <v>24977.0</v>
      </c>
      <c r="F6487" s="10">
        <f t="shared" si="1"/>
        <v>0.6666666667</v>
      </c>
      <c r="G6487" s="10">
        <f t="array" ref="G6487">index('Player ID'!C:C,match(E6487,'Player ID'!B:B,0))</f>
        <v>681869</v>
      </c>
    </row>
    <row r="6488">
      <c r="A6488" s="76">
        <v>45800.0</v>
      </c>
      <c r="B6488" s="1" t="s">
        <v>254</v>
      </c>
      <c r="C6488" s="1" t="s">
        <v>37</v>
      </c>
      <c r="D6488" s="1">
        <v>1.0</v>
      </c>
      <c r="E6488" s="1">
        <v>25756.0</v>
      </c>
      <c r="F6488" s="10">
        <f t="shared" si="1"/>
        <v>1</v>
      </c>
      <c r="G6488" s="10">
        <f t="array" ref="G6488">index('Player ID'!C:C,match(E6488,'Player ID'!B:B,0))</f>
        <v>666374</v>
      </c>
    </row>
    <row r="6489">
      <c r="A6489" s="76">
        <v>45800.0</v>
      </c>
      <c r="B6489" s="1" t="s">
        <v>76</v>
      </c>
      <c r="C6489" s="1" t="s">
        <v>39</v>
      </c>
      <c r="D6489" s="1">
        <v>0.2</v>
      </c>
      <c r="E6489" s="1">
        <v>25890.0</v>
      </c>
      <c r="F6489" s="10">
        <f t="shared" si="1"/>
        <v>0.6666666667</v>
      </c>
      <c r="G6489" s="10">
        <f t="array" ref="G6489">index('Player ID'!C:C,match(E6489,'Player ID'!B:B,0))</f>
        <v>687911</v>
      </c>
    </row>
    <row r="6490">
      <c r="A6490" s="76">
        <v>45800.0</v>
      </c>
      <c r="B6490" s="1" t="s">
        <v>228</v>
      </c>
      <c r="C6490" s="1" t="s">
        <v>39</v>
      </c>
      <c r="D6490" s="1">
        <v>4.1</v>
      </c>
      <c r="E6490" s="1">
        <v>26440.0</v>
      </c>
      <c r="F6490" s="10">
        <f t="shared" si="1"/>
        <v>4.333333333</v>
      </c>
      <c r="G6490" s="10">
        <f t="array" ref="G6490">index('Player ID'!C:C,match(E6490,'Player ID'!B:B,0))</f>
        <v>687473</v>
      </c>
    </row>
    <row r="6491">
      <c r="A6491" s="76">
        <v>45800.0</v>
      </c>
      <c r="B6491" s="1" t="s">
        <v>509</v>
      </c>
      <c r="C6491" s="1" t="s">
        <v>37</v>
      </c>
      <c r="D6491" s="1">
        <v>6.0</v>
      </c>
      <c r="E6491" s="1">
        <v>27470.0</v>
      </c>
      <c r="F6491" s="10">
        <f t="shared" si="1"/>
        <v>6</v>
      </c>
      <c r="G6491" s="10">
        <f t="array" ref="G6491">index('Player ID'!C:C,match(E6491,'Player ID'!B:B,0))</f>
        <v>676106</v>
      </c>
    </row>
    <row r="6492">
      <c r="A6492" s="76">
        <v>45800.0</v>
      </c>
      <c r="B6492" s="1" t="s">
        <v>249</v>
      </c>
      <c r="C6492" s="1" t="s">
        <v>16</v>
      </c>
      <c r="D6492" s="1">
        <v>0.1</v>
      </c>
      <c r="E6492" s="1">
        <v>16727.0</v>
      </c>
      <c r="F6492" s="10">
        <f t="shared" si="1"/>
        <v>0.3333333333</v>
      </c>
      <c r="G6492" s="10">
        <f t="array" ref="G6492">index('Player ID'!C:C,match(E6492,'Player ID'!B:B,0))</f>
        <v>592779</v>
      </c>
    </row>
    <row r="6493">
      <c r="A6493" s="76">
        <v>45800.0</v>
      </c>
      <c r="B6493" s="1" t="s">
        <v>664</v>
      </c>
      <c r="C6493" s="1" t="s">
        <v>16</v>
      </c>
      <c r="D6493" s="1">
        <v>5.2</v>
      </c>
      <c r="E6493" s="1">
        <v>17085.0</v>
      </c>
      <c r="F6493" s="10">
        <f t="shared" si="1"/>
        <v>5.666666667</v>
      </c>
      <c r="G6493" s="10">
        <f t="array" ref="G6493">index('Player ID'!C:C,match(E6493,'Player ID'!B:B,0))</f>
        <v>641154</v>
      </c>
    </row>
    <row r="6494">
      <c r="A6494" s="76">
        <v>45800.0</v>
      </c>
      <c r="B6494" s="1" t="s">
        <v>407</v>
      </c>
      <c r="C6494" s="1" t="s">
        <v>29</v>
      </c>
      <c r="D6494" s="1">
        <v>0.1</v>
      </c>
      <c r="E6494" s="1">
        <v>19360.0</v>
      </c>
      <c r="F6494" s="10">
        <f t="shared" si="1"/>
        <v>0.3333333333</v>
      </c>
      <c r="G6494" s="10">
        <f t="array" ref="G6494">index('Player ID'!C:C,match(E6494,'Player ID'!B:B,0))</f>
        <v>668674</v>
      </c>
    </row>
    <row r="6495">
      <c r="A6495" s="76">
        <v>45800.0</v>
      </c>
      <c r="B6495" s="1" t="s">
        <v>144</v>
      </c>
      <c r="C6495" s="1" t="s">
        <v>29</v>
      </c>
      <c r="D6495" s="1">
        <v>1.1</v>
      </c>
      <c r="E6495" s="1">
        <v>20020.0</v>
      </c>
      <c r="F6495" s="10">
        <f t="shared" si="1"/>
        <v>1.333333333</v>
      </c>
      <c r="G6495" s="10">
        <f t="array" ref="G6495">index('Player ID'!C:C,match(E6495,'Player ID'!B:B,0))</f>
        <v>670167</v>
      </c>
    </row>
    <row r="6496">
      <c r="A6496" s="76">
        <v>45800.0</v>
      </c>
      <c r="B6496" s="1" t="s">
        <v>28</v>
      </c>
      <c r="C6496" s="1" t="s">
        <v>16</v>
      </c>
      <c r="D6496" s="1">
        <v>1.0</v>
      </c>
      <c r="E6496" s="1">
        <v>20253.0</v>
      </c>
      <c r="F6496" s="10">
        <f t="shared" si="1"/>
        <v>1</v>
      </c>
      <c r="G6496" s="10">
        <f t="array" ref="G6496">index('Player ID'!C:C,match(E6496,'Player ID'!B:B,0))</f>
        <v>643377</v>
      </c>
    </row>
    <row r="6497">
      <c r="A6497" s="76">
        <v>45800.0</v>
      </c>
      <c r="B6497" s="1" t="s">
        <v>237</v>
      </c>
      <c r="C6497" s="1" t="s">
        <v>16</v>
      </c>
      <c r="D6497" s="1">
        <v>1.0</v>
      </c>
      <c r="E6497" s="1">
        <v>21461.0</v>
      </c>
      <c r="F6497" s="10">
        <f t="shared" si="1"/>
        <v>1</v>
      </c>
      <c r="G6497" s="10">
        <f t="array" ref="G6497">index('Player ID'!C:C,match(E6497,'Player ID'!B:B,0))</f>
        <v>663485</v>
      </c>
    </row>
    <row r="6498">
      <c r="A6498" s="76">
        <v>45800.0</v>
      </c>
      <c r="B6498" s="1" t="s">
        <v>47</v>
      </c>
      <c r="C6498" s="1" t="s">
        <v>16</v>
      </c>
      <c r="D6498" s="1">
        <v>1.0</v>
      </c>
      <c r="E6498" s="1">
        <v>27691.0</v>
      </c>
      <c r="F6498" s="10">
        <f t="shared" si="1"/>
        <v>1</v>
      </c>
      <c r="G6498" s="10">
        <f t="array" ref="G6498">index('Player ID'!C:C,match(E6498,'Player ID'!B:B,0))</f>
        <v>686973</v>
      </c>
    </row>
    <row r="6499">
      <c r="A6499" s="76">
        <v>45800.0</v>
      </c>
      <c r="B6499" s="1" t="s">
        <v>161</v>
      </c>
      <c r="C6499" s="1" t="s">
        <v>29</v>
      </c>
      <c r="D6499" s="1">
        <v>6.2</v>
      </c>
      <c r="E6499" s="1">
        <v>30184.0</v>
      </c>
      <c r="F6499" s="10">
        <f t="shared" si="1"/>
        <v>6.666666667</v>
      </c>
      <c r="G6499" s="10">
        <f t="array" ref="G6499">index('Player ID'!C:C,match(E6499,'Player ID'!B:B,0))</f>
        <v>702070</v>
      </c>
    </row>
    <row r="6500">
      <c r="A6500" s="76">
        <v>45800.0</v>
      </c>
      <c r="B6500" s="1" t="s">
        <v>287</v>
      </c>
      <c r="C6500" s="1" t="s">
        <v>72</v>
      </c>
      <c r="D6500" s="1">
        <v>6.0</v>
      </c>
      <c r="E6500" s="1">
        <v>9803.0</v>
      </c>
      <c r="F6500" s="10">
        <f t="shared" si="1"/>
        <v>6</v>
      </c>
      <c r="G6500" s="10">
        <f t="array" ref="G6500">index('Player ID'!C:C,match(E6500,'Player ID'!B:B,0))</f>
        <v>571945</v>
      </c>
    </row>
    <row r="6501">
      <c r="A6501" s="76">
        <v>45800.0</v>
      </c>
      <c r="B6501" s="1" t="s">
        <v>745</v>
      </c>
      <c r="C6501" s="1" t="s">
        <v>64</v>
      </c>
      <c r="D6501" s="1">
        <v>1.0</v>
      </c>
      <c r="E6501" s="1">
        <v>12056.0</v>
      </c>
      <c r="F6501" s="10">
        <f t="shared" si="1"/>
        <v>1</v>
      </c>
      <c r="G6501" s="10">
        <f t="array" ref="G6501">index('Player ID'!C:C,match(E6501,'Player ID'!B:B,0))</f>
        <v>543518</v>
      </c>
    </row>
    <row r="6502">
      <c r="A6502" s="76">
        <v>45800.0</v>
      </c>
      <c r="B6502" s="1" t="s">
        <v>219</v>
      </c>
      <c r="C6502" s="1" t="s">
        <v>64</v>
      </c>
      <c r="D6502" s="1">
        <v>1.0</v>
      </c>
      <c r="E6502" s="1">
        <v>16647.0</v>
      </c>
      <c r="F6502" s="10">
        <f t="shared" si="1"/>
        <v>1</v>
      </c>
      <c r="G6502" s="10">
        <f t="array" ref="G6502">index('Player ID'!C:C,match(E6502,'Player ID'!B:B,0))</f>
        <v>657044</v>
      </c>
    </row>
    <row r="6503">
      <c r="A6503" s="76">
        <v>45800.0</v>
      </c>
      <c r="B6503" s="1" t="s">
        <v>270</v>
      </c>
      <c r="C6503" s="1" t="s">
        <v>72</v>
      </c>
      <c r="D6503" s="1">
        <v>1.0</v>
      </c>
      <c r="E6503" s="1">
        <v>18138.0</v>
      </c>
      <c r="F6503" s="10">
        <f t="shared" si="1"/>
        <v>1</v>
      </c>
      <c r="G6503" s="10">
        <f t="array" ref="G6503">index('Player ID'!C:C,match(E6503,'Player ID'!B:B,0))</f>
        <v>664854</v>
      </c>
    </row>
    <row r="6504">
      <c r="A6504" s="76">
        <v>45800.0</v>
      </c>
      <c r="B6504" s="1" t="s">
        <v>195</v>
      </c>
      <c r="C6504" s="1" t="s">
        <v>64</v>
      </c>
      <c r="D6504" s="1">
        <v>5.2</v>
      </c>
      <c r="E6504" s="1">
        <v>19291.0</v>
      </c>
      <c r="F6504" s="10">
        <f t="shared" si="1"/>
        <v>5.666666667</v>
      </c>
      <c r="G6504" s="10">
        <f t="array" ref="G6504">index('Player ID'!C:C,match(E6504,'Player ID'!B:B,0))</f>
        <v>668678</v>
      </c>
    </row>
    <row r="6505">
      <c r="A6505" s="76">
        <v>45800.0</v>
      </c>
      <c r="B6505" s="1" t="s">
        <v>193</v>
      </c>
      <c r="C6505" s="1" t="s">
        <v>72</v>
      </c>
      <c r="D6505" s="1">
        <v>1.0</v>
      </c>
      <c r="E6505" s="1">
        <v>19574.0</v>
      </c>
      <c r="F6505" s="10">
        <f t="shared" si="1"/>
        <v>1</v>
      </c>
      <c r="G6505" s="10">
        <f t="array" ref="G6505">index('Player ID'!C:C,match(E6505,'Player ID'!B:B,0))</f>
        <v>668941</v>
      </c>
    </row>
    <row r="6506">
      <c r="A6506" s="76">
        <v>45800.0</v>
      </c>
      <c r="B6506" s="1" t="s">
        <v>370</v>
      </c>
      <c r="C6506" s="1" t="s">
        <v>64</v>
      </c>
      <c r="D6506" s="1">
        <v>0.1</v>
      </c>
      <c r="E6506" s="1">
        <v>21924.0</v>
      </c>
      <c r="F6506" s="10">
        <f t="shared" si="1"/>
        <v>0.3333333333</v>
      </c>
      <c r="G6506" s="10">
        <f t="array" ref="G6506">index('Player ID'!C:C,match(E6506,'Player ID'!B:B,0))</f>
        <v>666661</v>
      </c>
    </row>
    <row r="6507">
      <c r="A6507" s="76">
        <v>45800.0</v>
      </c>
      <c r="B6507" s="1" t="s">
        <v>170</v>
      </c>
      <c r="C6507" s="1" t="s">
        <v>72</v>
      </c>
      <c r="D6507" s="1">
        <v>1.0</v>
      </c>
      <c r="E6507" s="1">
        <v>24763.0</v>
      </c>
      <c r="F6507" s="10">
        <f t="shared" si="1"/>
        <v>1</v>
      </c>
      <c r="G6507" s="10">
        <f t="array" ref="G6507">index('Player ID'!C:C,match(E6507,'Player ID'!B:B,0))</f>
        <v>681517</v>
      </c>
    </row>
    <row r="6508">
      <c r="A6508" s="76">
        <v>45800.0</v>
      </c>
      <c r="B6508" s="1" t="s">
        <v>69</v>
      </c>
      <c r="C6508" s="1" t="s">
        <v>58</v>
      </c>
      <c r="D6508" s="1">
        <v>1.1</v>
      </c>
      <c r="E6508" s="1">
        <v>16814.0</v>
      </c>
      <c r="F6508" s="10">
        <f t="shared" si="1"/>
        <v>1.333333333</v>
      </c>
      <c r="G6508" s="10">
        <f t="array" ref="G6508">index('Player ID'!C:C,match(E6508,'Player ID'!B:B,0))</f>
        <v>657612</v>
      </c>
    </row>
    <row r="6509">
      <c r="A6509" s="76">
        <v>45800.0</v>
      </c>
      <c r="B6509" s="1" t="s">
        <v>408</v>
      </c>
      <c r="C6509" s="1" t="s">
        <v>58</v>
      </c>
      <c r="D6509" s="1">
        <v>4.2</v>
      </c>
      <c r="E6509" s="1">
        <v>19899.0</v>
      </c>
      <c r="F6509" s="10">
        <f t="shared" si="1"/>
        <v>4.666666667</v>
      </c>
      <c r="G6509" s="10">
        <f t="array" ref="G6509">index('Player ID'!C:C,match(E6509,'Player ID'!B:B,0))</f>
        <v>657376</v>
      </c>
    </row>
    <row r="6510">
      <c r="A6510" s="76">
        <v>45800.0</v>
      </c>
      <c r="B6510" s="1" t="s">
        <v>215</v>
      </c>
      <c r="C6510" s="1" t="s">
        <v>75</v>
      </c>
      <c r="D6510" s="1">
        <v>1.0</v>
      </c>
      <c r="E6510" s="1">
        <v>21267.0</v>
      </c>
      <c r="F6510" s="10">
        <f t="shared" si="1"/>
        <v>1</v>
      </c>
      <c r="G6510" s="10">
        <f t="array" ref="G6510">index('Player ID'!C:C,match(E6510,'Player ID'!B:B,0))</f>
        <v>656234</v>
      </c>
    </row>
    <row r="6511">
      <c r="A6511" s="76">
        <v>45800.0</v>
      </c>
      <c r="B6511" s="1" t="s">
        <v>309</v>
      </c>
      <c r="C6511" s="1" t="s">
        <v>58</v>
      </c>
      <c r="D6511" s="1">
        <v>1.0</v>
      </c>
      <c r="E6511" s="1">
        <v>21420.0</v>
      </c>
      <c r="F6511" s="10">
        <f t="shared" si="1"/>
        <v>1</v>
      </c>
      <c r="G6511" s="10">
        <f t="array" ref="G6511">index('Player ID'!C:C,match(E6511,'Player ID'!B:B,0))</f>
        <v>660787</v>
      </c>
    </row>
    <row r="6512">
      <c r="A6512" s="76">
        <v>45800.0</v>
      </c>
      <c r="B6512" s="1" t="s">
        <v>352</v>
      </c>
      <c r="C6512" s="1" t="s">
        <v>75</v>
      </c>
      <c r="D6512" s="1">
        <v>6.0</v>
      </c>
      <c r="E6512" s="1">
        <v>27669.0</v>
      </c>
      <c r="F6512" s="10">
        <f t="shared" si="1"/>
        <v>6</v>
      </c>
      <c r="G6512" s="10">
        <f t="array" ref="G6512">index('Player ID'!C:C,match(E6512,'Player ID'!B:B,0))</f>
        <v>685299</v>
      </c>
    </row>
    <row r="6513">
      <c r="A6513" s="76">
        <v>45800.0</v>
      </c>
      <c r="B6513" s="1" t="s">
        <v>693</v>
      </c>
      <c r="C6513" s="1" t="s">
        <v>58</v>
      </c>
      <c r="D6513" s="1">
        <v>1.0</v>
      </c>
      <c r="E6513" s="1">
        <v>27702.0</v>
      </c>
      <c r="F6513" s="10">
        <f t="shared" si="1"/>
        <v>1</v>
      </c>
      <c r="G6513" s="10">
        <f t="array" ref="G6513">index('Player ID'!C:C,match(E6513,'Player ID'!B:B,0))</f>
        <v>687396</v>
      </c>
    </row>
    <row r="6514">
      <c r="A6514" s="76">
        <v>45800.0</v>
      </c>
      <c r="B6514" s="1" t="s">
        <v>512</v>
      </c>
      <c r="C6514" s="1" t="s">
        <v>75</v>
      </c>
      <c r="D6514" s="1">
        <v>1.0</v>
      </c>
      <c r="E6514" s="1">
        <v>31552.0</v>
      </c>
      <c r="F6514" s="10">
        <f t="shared" si="1"/>
        <v>1</v>
      </c>
      <c r="G6514" s="10">
        <f t="array" ref="G6514">index('Player ID'!C:C,match(E6514,'Player ID'!B:B,0))</f>
        <v>688642</v>
      </c>
    </row>
    <row r="6515">
      <c r="A6515" s="76">
        <v>45800.0</v>
      </c>
      <c r="B6515" s="1" t="s">
        <v>488</v>
      </c>
      <c r="C6515" s="1" t="s">
        <v>75</v>
      </c>
      <c r="D6515" s="1">
        <v>1.0</v>
      </c>
      <c r="E6515" s="1">
        <v>33294.0</v>
      </c>
      <c r="F6515" s="10">
        <f t="shared" si="1"/>
        <v>1</v>
      </c>
      <c r="G6515" s="10">
        <f t="array" ref="G6515">index('Player ID'!C:C,match(E6515,'Player ID'!B:B,0))</f>
        <v>678020</v>
      </c>
    </row>
    <row r="6516">
      <c r="A6516" s="76">
        <v>45800.0</v>
      </c>
      <c r="B6516" s="1" t="s">
        <v>154</v>
      </c>
      <c r="C6516" s="1" t="s">
        <v>25</v>
      </c>
      <c r="D6516" s="1">
        <v>1.0</v>
      </c>
      <c r="E6516" s="1">
        <v>3096.0</v>
      </c>
      <c r="F6516" s="10">
        <f t="shared" si="1"/>
        <v>1</v>
      </c>
      <c r="G6516" s="10">
        <f t="array" ref="G6516">index('Player ID'!C:C,match(E6516,'Player ID'!B:B,0))</f>
        <v>445276</v>
      </c>
    </row>
    <row r="6517">
      <c r="A6517" s="76">
        <v>45800.0</v>
      </c>
      <c r="B6517" s="1" t="s">
        <v>834</v>
      </c>
      <c r="C6517" s="1" t="s">
        <v>25</v>
      </c>
      <c r="D6517" s="1">
        <v>0.1</v>
      </c>
      <c r="E6517" s="1">
        <v>7836.0</v>
      </c>
      <c r="F6517" s="10">
        <f t="shared" si="1"/>
        <v>0.3333333333</v>
      </c>
      <c r="G6517" s="10" t="str">
        <f t="array" ref="G6517">index('Player ID'!C:C,match(E6517,'Player ID'!B:B,0))</f>
        <v>#N/A</v>
      </c>
    </row>
    <row r="6518">
      <c r="A6518" s="76">
        <v>45800.0</v>
      </c>
      <c r="B6518" s="1" t="s">
        <v>660</v>
      </c>
      <c r="C6518" s="1" t="s">
        <v>25</v>
      </c>
      <c r="D6518" s="1">
        <v>0.2</v>
      </c>
      <c r="E6518" s="1">
        <v>11804.0</v>
      </c>
      <c r="F6518" s="10">
        <f t="shared" si="1"/>
        <v>0.6666666667</v>
      </c>
      <c r="G6518" s="10">
        <f t="array" ref="G6518">index('Player ID'!C:C,match(E6518,'Player ID'!B:B,0))</f>
        <v>593576</v>
      </c>
    </row>
    <row r="6519">
      <c r="A6519" s="76">
        <v>45800.0</v>
      </c>
      <c r="B6519" s="1" t="s">
        <v>229</v>
      </c>
      <c r="C6519" s="1" t="s">
        <v>36</v>
      </c>
      <c r="D6519" s="1">
        <v>5.1</v>
      </c>
      <c r="E6519" s="1">
        <v>18684.0</v>
      </c>
      <c r="F6519" s="10">
        <f t="shared" si="1"/>
        <v>5.333333333</v>
      </c>
      <c r="G6519" s="10">
        <f t="array" ref="G6519">index('Player ID'!C:C,match(E6519,'Player ID'!B:B,0))</f>
        <v>645261</v>
      </c>
    </row>
    <row r="6520">
      <c r="A6520" s="76">
        <v>45800.0</v>
      </c>
      <c r="B6520" s="1" t="s">
        <v>241</v>
      </c>
      <c r="C6520" s="1" t="s">
        <v>36</v>
      </c>
      <c r="D6520" s="1">
        <v>2.2</v>
      </c>
      <c r="E6520" s="1">
        <v>19222.0</v>
      </c>
      <c r="F6520" s="10">
        <f t="shared" si="1"/>
        <v>2.666666667</v>
      </c>
      <c r="G6520" s="10">
        <f t="array" ref="G6520">index('Player ID'!C:C,match(E6520,'Player ID'!B:B,0))</f>
        <v>669199</v>
      </c>
    </row>
    <row r="6521">
      <c r="A6521" s="76">
        <v>45800.0</v>
      </c>
      <c r="B6521" s="1" t="s">
        <v>722</v>
      </c>
      <c r="C6521" s="1" t="s">
        <v>25</v>
      </c>
      <c r="D6521" s="1">
        <v>1.1</v>
      </c>
      <c r="E6521" s="1">
        <v>19453.0</v>
      </c>
      <c r="F6521" s="10">
        <f t="shared" si="1"/>
        <v>1.333333333</v>
      </c>
      <c r="G6521" s="10">
        <f t="array" ref="G6521">index('Player ID'!C:C,match(E6521,'Player ID'!B:B,0))</f>
        <v>641312</v>
      </c>
    </row>
    <row r="6522">
      <c r="A6522" s="76">
        <v>45800.0</v>
      </c>
      <c r="B6522" s="1" t="s">
        <v>232</v>
      </c>
      <c r="C6522" s="1" t="s">
        <v>25</v>
      </c>
      <c r="D6522" s="1">
        <v>5.2</v>
      </c>
      <c r="E6522" s="1">
        <v>20633.0</v>
      </c>
      <c r="F6522" s="10">
        <f t="shared" si="1"/>
        <v>5.666666667</v>
      </c>
      <c r="G6522" s="10">
        <f t="array" ref="G6522">index('Player ID'!C:C,match(E6522,'Player ID'!B:B,0))</f>
        <v>579328</v>
      </c>
    </row>
    <row r="6523">
      <c r="A6523" s="76">
        <v>45800.0</v>
      </c>
      <c r="B6523" s="1" t="s">
        <v>79</v>
      </c>
      <c r="C6523" s="1" t="s">
        <v>45</v>
      </c>
      <c r="D6523" s="1">
        <v>6.2</v>
      </c>
      <c r="E6523" s="1">
        <v>10310.0</v>
      </c>
      <c r="F6523" s="10">
        <f t="shared" si="1"/>
        <v>6.666666667</v>
      </c>
      <c r="G6523" s="10">
        <f t="array" ref="G6523">index('Player ID'!C:C,match(E6523,'Player ID'!B:B,0))</f>
        <v>554430</v>
      </c>
    </row>
    <row r="6524">
      <c r="A6524" s="76">
        <v>45800.0</v>
      </c>
      <c r="B6524" s="1" t="s">
        <v>182</v>
      </c>
      <c r="C6524" s="1" t="s">
        <v>45</v>
      </c>
      <c r="D6524" s="1">
        <v>1.0</v>
      </c>
      <c r="E6524" s="1">
        <v>13799.0</v>
      </c>
      <c r="F6524" s="10">
        <f t="shared" si="1"/>
        <v>1</v>
      </c>
      <c r="G6524" s="10">
        <f t="array" ref="G6524">index('Player ID'!C:C,match(E6524,'Player ID'!B:B,0))</f>
        <v>621381</v>
      </c>
    </row>
    <row r="6525">
      <c r="A6525" s="76">
        <v>45800.0</v>
      </c>
      <c r="B6525" s="1" t="s">
        <v>208</v>
      </c>
      <c r="C6525" s="1" t="s">
        <v>45</v>
      </c>
      <c r="D6525" s="1">
        <v>0.2</v>
      </c>
      <c r="E6525" s="1">
        <v>16122.0</v>
      </c>
      <c r="F6525" s="10">
        <f t="shared" si="1"/>
        <v>0.6666666667</v>
      </c>
      <c r="G6525" s="10">
        <f t="array" ref="G6525">index('Player ID'!C:C,match(E6525,'Player ID'!B:B,0))</f>
        <v>605447</v>
      </c>
    </row>
    <row r="6526">
      <c r="A6526" s="76">
        <v>45800.0</v>
      </c>
      <c r="B6526" s="1" t="s">
        <v>138</v>
      </c>
      <c r="C6526" s="1" t="s">
        <v>45</v>
      </c>
      <c r="D6526" s="1">
        <v>0.1</v>
      </c>
      <c r="E6526" s="1">
        <v>16990.0</v>
      </c>
      <c r="F6526" s="10">
        <f t="shared" si="1"/>
        <v>0.3333333333</v>
      </c>
      <c r="G6526" s="10">
        <f t="array" ref="G6526">index('Player ID'!C:C,match(E6526,'Player ID'!B:B,0))</f>
        <v>621383</v>
      </c>
    </row>
    <row r="6527">
      <c r="A6527" s="76">
        <v>45800.0</v>
      </c>
      <c r="B6527" s="1" t="s">
        <v>389</v>
      </c>
      <c r="C6527" s="1" t="s">
        <v>52</v>
      </c>
      <c r="D6527" s="1">
        <v>7.0</v>
      </c>
      <c r="E6527" s="1">
        <v>25098.0</v>
      </c>
      <c r="F6527" s="10">
        <f t="shared" si="1"/>
        <v>7</v>
      </c>
      <c r="G6527" s="10">
        <f t="array" ref="G6527">index('Player ID'!C:C,match(E6527,'Player ID'!B:B,0))</f>
        <v>682052</v>
      </c>
    </row>
    <row r="6528">
      <c r="A6528" s="76">
        <v>45800.0</v>
      </c>
      <c r="B6528" s="1" t="s">
        <v>793</v>
      </c>
      <c r="C6528" s="1" t="s">
        <v>52</v>
      </c>
      <c r="D6528" s="1">
        <v>0.1</v>
      </c>
      <c r="E6528" s="1">
        <v>26034.0</v>
      </c>
      <c r="F6528" s="10">
        <f t="shared" si="1"/>
        <v>0.3333333333</v>
      </c>
      <c r="G6528" s="10">
        <f t="array" ref="G6528">index('Player ID'!C:C,match(E6528,'Player ID'!B:B,0))</f>
        <v>687424</v>
      </c>
    </row>
    <row r="6529">
      <c r="A6529" s="76">
        <v>45800.0</v>
      </c>
      <c r="B6529" s="1" t="s">
        <v>213</v>
      </c>
      <c r="C6529" s="1" t="s">
        <v>52</v>
      </c>
      <c r="D6529" s="1">
        <v>1.0</v>
      </c>
      <c r="E6529" s="1">
        <v>27694.0</v>
      </c>
      <c r="F6529" s="10">
        <f t="shared" si="1"/>
        <v>1</v>
      </c>
      <c r="G6529" s="10">
        <f t="array" ref="G6529">index('Player ID'!C:C,match(E6529,'Player ID'!B:B,0))</f>
        <v>686993</v>
      </c>
    </row>
    <row r="6530">
      <c r="A6530" s="76">
        <v>45800.0</v>
      </c>
      <c r="B6530" s="1" t="s">
        <v>286</v>
      </c>
      <c r="C6530" s="1" t="s">
        <v>52</v>
      </c>
      <c r="D6530" s="1">
        <v>0.2</v>
      </c>
      <c r="E6530" s="1">
        <v>31757.0</v>
      </c>
      <c r="F6530" s="10">
        <f t="shared" si="1"/>
        <v>0.6666666667</v>
      </c>
      <c r="G6530" s="10">
        <f t="array" ref="G6530">index('Player ID'!C:C,match(E6530,'Player ID'!B:B,0))</f>
        <v>695243</v>
      </c>
    </row>
    <row r="6531">
      <c r="A6531" s="76">
        <v>45800.0</v>
      </c>
      <c r="B6531" s="1" t="s">
        <v>165</v>
      </c>
      <c r="C6531" s="1" t="s">
        <v>45</v>
      </c>
      <c r="D6531" s="1">
        <v>0.1</v>
      </c>
      <c r="E6531" s="1">
        <v>31776.0</v>
      </c>
      <c r="F6531" s="10">
        <f t="shared" si="1"/>
        <v>0.3333333333</v>
      </c>
      <c r="G6531" s="10">
        <f t="array" ref="G6531">index('Player ID'!C:C,match(E6531,'Player ID'!B:B,0))</f>
        <v>689147</v>
      </c>
    </row>
    <row r="6532">
      <c r="A6532" s="76">
        <v>45801.0</v>
      </c>
      <c r="B6532" s="1" t="s">
        <v>757</v>
      </c>
      <c r="C6532" s="1" t="s">
        <v>22</v>
      </c>
      <c r="D6532" s="1">
        <v>1.0</v>
      </c>
      <c r="E6532" s="1">
        <v>3548.0</v>
      </c>
      <c r="F6532" s="10">
        <f t="shared" si="1"/>
        <v>1</v>
      </c>
      <c r="G6532" s="10">
        <f t="array" ref="G6532">index('Player ID'!C:C,match(E6532,'Player ID'!B:B,0))</f>
        <v>521230</v>
      </c>
    </row>
    <row r="6533">
      <c r="A6533" s="76">
        <v>45801.0</v>
      </c>
      <c r="B6533" s="1" t="s">
        <v>230</v>
      </c>
      <c r="C6533" s="1" t="s">
        <v>22</v>
      </c>
      <c r="D6533" s="1">
        <v>1.0</v>
      </c>
      <c r="E6533" s="1">
        <v>4301.0</v>
      </c>
      <c r="F6533" s="10">
        <f t="shared" si="1"/>
        <v>1</v>
      </c>
      <c r="G6533" s="10">
        <f t="array" ref="G6533">index('Player ID'!C:C,match(E6533,'Player ID'!B:B,0))</f>
        <v>458677</v>
      </c>
    </row>
    <row r="6534">
      <c r="A6534" s="76">
        <v>45801.0</v>
      </c>
      <c r="B6534" s="1" t="s">
        <v>41</v>
      </c>
      <c r="C6534" s="1" t="s">
        <v>22</v>
      </c>
      <c r="D6534" s="1">
        <v>1.0</v>
      </c>
      <c r="E6534" s="1">
        <v>10233.0</v>
      </c>
      <c r="F6534" s="10">
        <f t="shared" si="1"/>
        <v>1</v>
      </c>
      <c r="G6534" s="10">
        <f t="array" ref="G6534">index('Player ID'!C:C,match(E6534,'Player ID'!B:B,0))</f>
        <v>547973</v>
      </c>
    </row>
    <row r="6535">
      <c r="A6535" s="76">
        <v>45801.0</v>
      </c>
      <c r="B6535" s="1" t="s">
        <v>216</v>
      </c>
      <c r="C6535" s="1" t="s">
        <v>68</v>
      </c>
      <c r="D6535" s="1">
        <v>5.0</v>
      </c>
      <c r="E6535" s="1">
        <v>13774.0</v>
      </c>
      <c r="F6535" s="10">
        <f t="shared" si="1"/>
        <v>5</v>
      </c>
      <c r="G6535" s="10">
        <f t="array" ref="G6535">index('Player ID'!C:C,match(E6535,'Player ID'!B:B,0))</f>
        <v>621107</v>
      </c>
    </row>
    <row r="6536">
      <c r="A6536" s="76">
        <v>45801.0</v>
      </c>
      <c r="B6536" s="1" t="s">
        <v>415</v>
      </c>
      <c r="C6536" s="1" t="s">
        <v>22</v>
      </c>
      <c r="D6536" s="1">
        <v>1.0</v>
      </c>
      <c r="E6536" s="1">
        <v>16943.0</v>
      </c>
      <c r="F6536" s="10">
        <f t="shared" si="1"/>
        <v>1</v>
      </c>
      <c r="G6536" s="10">
        <f t="array" ref="G6536">index('Player ID'!C:C,match(E6536,'Player ID'!B:B,0))</f>
        <v>656794</v>
      </c>
    </row>
    <row r="6537">
      <c r="A6537" s="76">
        <v>45801.0</v>
      </c>
      <c r="B6537" s="1" t="s">
        <v>231</v>
      </c>
      <c r="C6537" s="1" t="s">
        <v>68</v>
      </c>
      <c r="D6537" s="1">
        <v>1.0</v>
      </c>
      <c r="E6537" s="1">
        <v>19362.0</v>
      </c>
      <c r="F6537" s="10">
        <f t="shared" si="1"/>
        <v>1</v>
      </c>
      <c r="G6537" s="10">
        <f t="array" ref="G6537">index('Player ID'!C:C,match(E6537,'Player ID'!B:B,0))</f>
        <v>669211</v>
      </c>
    </row>
    <row r="6538">
      <c r="A6538" s="76">
        <v>45801.0</v>
      </c>
      <c r="B6538" s="1" t="s">
        <v>433</v>
      </c>
      <c r="C6538" s="1" t="s">
        <v>68</v>
      </c>
      <c r="D6538" s="1">
        <v>0.1</v>
      </c>
      <c r="E6538" s="1">
        <v>19677.0</v>
      </c>
      <c r="F6538" s="10">
        <f t="shared" si="1"/>
        <v>0.3333333333</v>
      </c>
      <c r="G6538" s="10">
        <f t="array" ref="G6538">index('Player ID'!C:C,match(E6538,'Player ID'!B:B,0))</f>
        <v>642397</v>
      </c>
    </row>
    <row r="6539">
      <c r="A6539" s="76">
        <v>45801.0</v>
      </c>
      <c r="B6539" s="1" t="s">
        <v>240</v>
      </c>
      <c r="C6539" s="1" t="s">
        <v>68</v>
      </c>
      <c r="D6539" s="1">
        <v>1.0</v>
      </c>
      <c r="E6539" s="1">
        <v>19804.0</v>
      </c>
      <c r="F6539" s="10">
        <f t="shared" si="1"/>
        <v>1</v>
      </c>
      <c r="G6539" s="10">
        <f t="array" ref="G6539">index('Player ID'!C:C,match(E6539,'Player ID'!B:B,0))</f>
        <v>641329</v>
      </c>
    </row>
    <row r="6540">
      <c r="A6540" s="76">
        <v>45801.0</v>
      </c>
      <c r="B6540" s="1" t="s">
        <v>406</v>
      </c>
      <c r="C6540" s="1" t="s">
        <v>22</v>
      </c>
      <c r="D6540" s="1">
        <v>1.0</v>
      </c>
      <c r="E6540" s="1">
        <v>20375.0</v>
      </c>
      <c r="F6540" s="10">
        <f t="shared" si="1"/>
        <v>1</v>
      </c>
      <c r="G6540" s="10">
        <f t="array" ref="G6540">index('Player ID'!C:C,match(E6540,'Player ID'!B:B,0))</f>
        <v>669711</v>
      </c>
    </row>
    <row r="6541">
      <c r="A6541" s="76">
        <v>45801.0</v>
      </c>
      <c r="B6541" s="1" t="s">
        <v>698</v>
      </c>
      <c r="C6541" s="1" t="s">
        <v>68</v>
      </c>
      <c r="D6541" s="1">
        <v>1.0</v>
      </c>
      <c r="E6541" s="1">
        <v>20666.0</v>
      </c>
      <c r="F6541" s="10">
        <f t="shared" si="1"/>
        <v>1</v>
      </c>
      <c r="G6541" s="10">
        <f t="array" ref="G6541">index('Player ID'!C:C,match(E6541,'Player ID'!B:B,0))</f>
        <v>642585</v>
      </c>
    </row>
    <row r="6542">
      <c r="A6542" s="76">
        <v>45801.0</v>
      </c>
      <c r="B6542" s="1" t="s">
        <v>645</v>
      </c>
      <c r="C6542" s="1" t="s">
        <v>22</v>
      </c>
      <c r="D6542" s="1">
        <v>1.0</v>
      </c>
      <c r="E6542" s="1">
        <v>25648.0</v>
      </c>
      <c r="F6542" s="10">
        <f t="shared" si="1"/>
        <v>1</v>
      </c>
      <c r="G6542" s="10">
        <f t="array" ref="G6542">index('Player ID'!C:C,match(E6542,'Player ID'!B:B,0))</f>
        <v>686580</v>
      </c>
    </row>
    <row r="6543">
      <c r="A6543" s="76">
        <v>45801.0</v>
      </c>
      <c r="B6543" s="1" t="s">
        <v>235</v>
      </c>
      <c r="C6543" s="1" t="s">
        <v>68</v>
      </c>
      <c r="D6543" s="1">
        <v>1.0</v>
      </c>
      <c r="E6543" s="1">
        <v>25911.0</v>
      </c>
      <c r="F6543" s="10">
        <f t="shared" si="1"/>
        <v>1</v>
      </c>
      <c r="G6543" s="10">
        <f t="array" ref="G6543">index('Player ID'!C:C,match(E6543,'Player ID'!B:B,0))</f>
        <v>666974</v>
      </c>
    </row>
    <row r="6544">
      <c r="A6544" s="76">
        <v>45801.0</v>
      </c>
      <c r="B6544" s="1" t="s">
        <v>143</v>
      </c>
      <c r="C6544" s="1" t="s">
        <v>22</v>
      </c>
      <c r="D6544" s="1">
        <v>4.0</v>
      </c>
      <c r="E6544" s="1">
        <v>30240.0</v>
      </c>
      <c r="F6544" s="10">
        <f t="shared" si="1"/>
        <v>4</v>
      </c>
      <c r="G6544" s="10">
        <f t="array" ref="G6544">index('Player ID'!C:C,match(E6544,'Player ID'!B:B,0))</f>
        <v>690928</v>
      </c>
    </row>
    <row r="6545">
      <c r="A6545" s="76">
        <v>45801.0</v>
      </c>
      <c r="B6545" s="1" t="s">
        <v>147</v>
      </c>
      <c r="C6545" s="1" t="s">
        <v>29</v>
      </c>
      <c r="D6545" s="1">
        <v>5.0</v>
      </c>
      <c r="E6545" s="1">
        <v>14078.0</v>
      </c>
      <c r="F6545" s="10">
        <f t="shared" si="1"/>
        <v>5</v>
      </c>
      <c r="G6545" s="10">
        <f t="array" ref="G6545">index('Player ID'!C:C,match(E6545,'Player ID'!B:B,0))</f>
        <v>608379</v>
      </c>
    </row>
    <row r="6546">
      <c r="A6546" s="76">
        <v>45801.0</v>
      </c>
      <c r="B6546" s="1" t="s">
        <v>146</v>
      </c>
      <c r="C6546" s="1" t="s">
        <v>16</v>
      </c>
      <c r="D6546" s="1">
        <v>1.0</v>
      </c>
      <c r="E6546" s="1">
        <v>15145.0</v>
      </c>
      <c r="F6546" s="10">
        <f t="shared" si="1"/>
        <v>1</v>
      </c>
      <c r="G6546" s="10">
        <f t="array" ref="G6546">index('Player ID'!C:C,match(E6546,'Player ID'!B:B,0))</f>
        <v>623437</v>
      </c>
    </row>
    <row r="6547">
      <c r="A6547" s="76">
        <v>45801.0</v>
      </c>
      <c r="B6547" s="1" t="s">
        <v>249</v>
      </c>
      <c r="C6547" s="1" t="s">
        <v>16</v>
      </c>
      <c r="D6547" s="1">
        <v>1.0</v>
      </c>
      <c r="E6547" s="1">
        <v>16727.0</v>
      </c>
      <c r="F6547" s="10">
        <f t="shared" si="1"/>
        <v>1</v>
      </c>
      <c r="G6547" s="10">
        <f t="array" ref="G6547">index('Player ID'!C:C,match(E6547,'Player ID'!B:B,0))</f>
        <v>592779</v>
      </c>
    </row>
    <row r="6548">
      <c r="A6548" s="76">
        <v>45801.0</v>
      </c>
      <c r="B6548" s="1" t="s">
        <v>407</v>
      </c>
      <c r="C6548" s="1" t="s">
        <v>29</v>
      </c>
      <c r="D6548" s="1">
        <v>1.0</v>
      </c>
      <c r="E6548" s="1">
        <v>19360.0</v>
      </c>
      <c r="F6548" s="10">
        <f t="shared" si="1"/>
        <v>1</v>
      </c>
      <c r="G6548" s="10">
        <f t="array" ref="G6548">index('Player ID'!C:C,match(E6548,'Player ID'!B:B,0))</f>
        <v>668674</v>
      </c>
    </row>
    <row r="6549">
      <c r="A6549" s="76">
        <v>45801.0</v>
      </c>
      <c r="B6549" s="1" t="s">
        <v>397</v>
      </c>
      <c r="C6549" s="1" t="s">
        <v>16</v>
      </c>
      <c r="D6549" s="1">
        <v>1.0</v>
      </c>
      <c r="E6549" s="1">
        <v>19459.0</v>
      </c>
      <c r="F6549" s="10">
        <f t="shared" si="1"/>
        <v>1</v>
      </c>
      <c r="G6549" s="10">
        <f t="array" ref="G6549">index('Player ID'!C:C,match(E6549,'Player ID'!B:B,0))</f>
        <v>660896</v>
      </c>
    </row>
    <row r="6550">
      <c r="A6550" s="76">
        <v>45801.0</v>
      </c>
      <c r="B6550" s="1" t="s">
        <v>144</v>
      </c>
      <c r="C6550" s="1" t="s">
        <v>29</v>
      </c>
      <c r="D6550" s="1">
        <v>1.0</v>
      </c>
      <c r="E6550" s="1">
        <v>20020.0</v>
      </c>
      <c r="F6550" s="10">
        <f t="shared" si="1"/>
        <v>1</v>
      </c>
      <c r="G6550" s="10">
        <f t="array" ref="G6550">index('Player ID'!C:C,match(E6550,'Player ID'!B:B,0))</f>
        <v>670167</v>
      </c>
    </row>
    <row r="6551">
      <c r="A6551" s="76">
        <v>45801.0</v>
      </c>
      <c r="B6551" s="1" t="s">
        <v>28</v>
      </c>
      <c r="C6551" s="1" t="s">
        <v>16</v>
      </c>
      <c r="D6551" s="1">
        <v>1.0</v>
      </c>
      <c r="E6551" s="1">
        <v>20253.0</v>
      </c>
      <c r="F6551" s="10">
        <f t="shared" si="1"/>
        <v>1</v>
      </c>
      <c r="G6551" s="10">
        <f t="array" ref="G6551">index('Player ID'!C:C,match(E6551,'Player ID'!B:B,0))</f>
        <v>643377</v>
      </c>
    </row>
    <row r="6552">
      <c r="A6552" s="76">
        <v>45801.0</v>
      </c>
      <c r="B6552" s="1" t="s">
        <v>122</v>
      </c>
      <c r="C6552" s="1" t="s">
        <v>16</v>
      </c>
      <c r="D6552" s="1">
        <v>1.0</v>
      </c>
      <c r="E6552" s="1">
        <v>21029.0</v>
      </c>
      <c r="F6552" s="10">
        <f t="shared" si="1"/>
        <v>1</v>
      </c>
      <c r="G6552" s="10">
        <f t="array" ref="G6552">index('Player ID'!C:C,match(E6552,'Player ID'!B:B,0))</f>
        <v>661395</v>
      </c>
    </row>
    <row r="6553">
      <c r="A6553" s="76">
        <v>45801.0</v>
      </c>
      <c r="B6553" s="1" t="s">
        <v>293</v>
      </c>
      <c r="C6553" s="1" t="s">
        <v>29</v>
      </c>
      <c r="D6553" s="1">
        <v>0.1</v>
      </c>
      <c r="E6553" s="1">
        <v>21537.0</v>
      </c>
      <c r="F6553" s="10">
        <f t="shared" si="1"/>
        <v>0.3333333333</v>
      </c>
      <c r="G6553" s="10">
        <f t="array" ref="G6553">index('Player ID'!C:C,match(E6553,'Player ID'!B:B,0))</f>
        <v>663738</v>
      </c>
    </row>
    <row r="6554">
      <c r="A6554" s="76">
        <v>45801.0</v>
      </c>
      <c r="B6554" s="1" t="s">
        <v>140</v>
      </c>
      <c r="C6554" s="1" t="s">
        <v>29</v>
      </c>
      <c r="D6554" s="1">
        <v>1.0</v>
      </c>
      <c r="E6554" s="1">
        <v>22717.0</v>
      </c>
      <c r="F6554" s="10">
        <f t="shared" si="1"/>
        <v>1</v>
      </c>
      <c r="G6554" s="10">
        <f t="array" ref="G6554">index('Player ID'!C:C,match(E6554,'Player ID'!B:B,0))</f>
        <v>672582</v>
      </c>
    </row>
    <row r="6555">
      <c r="A6555" s="76">
        <v>45801.0</v>
      </c>
      <c r="B6555" s="1" t="s">
        <v>214</v>
      </c>
      <c r="C6555" s="1" t="s">
        <v>29</v>
      </c>
      <c r="D6555" s="1">
        <v>0.1</v>
      </c>
      <c r="E6555" s="1">
        <v>23165.0</v>
      </c>
      <c r="F6555" s="10">
        <f t="shared" si="1"/>
        <v>0.3333333333</v>
      </c>
      <c r="G6555" s="10">
        <f t="array" ref="G6555">index('Player ID'!C:C,match(E6555,'Player ID'!B:B,0))</f>
        <v>674444</v>
      </c>
    </row>
    <row r="6556">
      <c r="A6556" s="76">
        <v>45801.0</v>
      </c>
      <c r="B6556" s="1" t="s">
        <v>212</v>
      </c>
      <c r="C6556" s="1" t="s">
        <v>16</v>
      </c>
      <c r="D6556" s="1">
        <v>4.0</v>
      </c>
      <c r="E6556" s="1">
        <v>31827.0</v>
      </c>
      <c r="F6556" s="10">
        <f t="shared" si="1"/>
        <v>4</v>
      </c>
      <c r="G6556" s="10">
        <f t="array" ref="G6556">index('Player ID'!C:C,match(E6556,'Player ID'!B:B,0))</f>
        <v>805673</v>
      </c>
    </row>
    <row r="6557">
      <c r="A6557" s="76">
        <v>45801.0</v>
      </c>
      <c r="B6557" s="1" t="s">
        <v>222</v>
      </c>
      <c r="C6557" s="1" t="s">
        <v>64</v>
      </c>
      <c r="D6557" s="1">
        <v>6.0</v>
      </c>
      <c r="E6557" s="1">
        <v>11156.0</v>
      </c>
      <c r="F6557" s="10">
        <f t="shared" si="1"/>
        <v>6</v>
      </c>
      <c r="G6557" s="10">
        <f t="array" ref="G6557">index('Player ID'!C:C,match(E6557,'Player ID'!B:B,0))</f>
        <v>518876</v>
      </c>
    </row>
    <row r="6558">
      <c r="A6558" s="76">
        <v>45801.0</v>
      </c>
      <c r="B6558" s="1" t="s">
        <v>83</v>
      </c>
      <c r="C6558" s="1" t="s">
        <v>72</v>
      </c>
      <c r="D6558" s="1">
        <v>0.2</v>
      </c>
      <c r="E6558" s="1">
        <v>13361.0</v>
      </c>
      <c r="F6558" s="10">
        <f t="shared" si="1"/>
        <v>0.6666666667</v>
      </c>
      <c r="G6558" s="10">
        <f t="array" ref="G6558">index('Player ID'!C:C,match(E6558,'Player ID'!B:B,0))</f>
        <v>571927</v>
      </c>
    </row>
    <row r="6559">
      <c r="A6559" s="76">
        <v>45801.0</v>
      </c>
      <c r="B6559" s="1" t="s">
        <v>489</v>
      </c>
      <c r="C6559" s="1" t="s">
        <v>64</v>
      </c>
      <c r="D6559" s="1">
        <v>1.0</v>
      </c>
      <c r="E6559" s="1">
        <v>17192.0</v>
      </c>
      <c r="F6559" s="10">
        <f t="shared" si="1"/>
        <v>1</v>
      </c>
      <c r="G6559" s="10">
        <f t="array" ref="G6559">index('Player ID'!C:C,match(E6559,'Player ID'!B:B,0))</f>
        <v>656222</v>
      </c>
    </row>
    <row r="6560">
      <c r="A6560" s="76">
        <v>45801.0</v>
      </c>
      <c r="B6560" s="1" t="s">
        <v>270</v>
      </c>
      <c r="C6560" s="1" t="s">
        <v>72</v>
      </c>
      <c r="D6560" s="1">
        <v>1.0</v>
      </c>
      <c r="E6560" s="1">
        <v>18138.0</v>
      </c>
      <c r="F6560" s="10">
        <f t="shared" si="1"/>
        <v>1</v>
      </c>
      <c r="G6560" s="10">
        <f t="array" ref="G6560">index('Player ID'!C:C,match(E6560,'Player ID'!B:B,0))</f>
        <v>664854</v>
      </c>
    </row>
    <row r="6561">
      <c r="A6561" s="76">
        <v>45801.0</v>
      </c>
      <c r="B6561" s="1" t="s">
        <v>290</v>
      </c>
      <c r="C6561" s="1" t="s">
        <v>72</v>
      </c>
      <c r="D6561" s="1">
        <v>7.0</v>
      </c>
      <c r="E6561" s="1">
        <v>22294.0</v>
      </c>
      <c r="F6561" s="10">
        <f t="shared" si="1"/>
        <v>7</v>
      </c>
      <c r="G6561" s="10">
        <f t="array" ref="G6561">index('Player ID'!C:C,match(E6561,'Player ID'!B:B,0))</f>
        <v>669461</v>
      </c>
    </row>
    <row r="6562">
      <c r="A6562" s="76">
        <v>45801.0</v>
      </c>
      <c r="B6562" s="1" t="s">
        <v>714</v>
      </c>
      <c r="C6562" s="1" t="s">
        <v>64</v>
      </c>
      <c r="D6562" s="1">
        <v>1.0</v>
      </c>
      <c r="E6562" s="1">
        <v>24453.0</v>
      </c>
      <c r="F6562" s="10">
        <f t="shared" si="1"/>
        <v>1</v>
      </c>
      <c r="G6562" s="10">
        <f t="array" ref="G6562">index('Player ID'!C:C,match(E6562,'Player ID'!B:B,0))</f>
        <v>679885</v>
      </c>
    </row>
    <row r="6563">
      <c r="A6563" s="76">
        <v>45801.0</v>
      </c>
      <c r="B6563" s="1" t="s">
        <v>170</v>
      </c>
      <c r="C6563" s="1" t="s">
        <v>72</v>
      </c>
      <c r="D6563" s="1">
        <v>0.1</v>
      </c>
      <c r="E6563" s="1">
        <v>24763.0</v>
      </c>
      <c r="F6563" s="10">
        <f t="shared" si="1"/>
        <v>0.3333333333</v>
      </c>
      <c r="G6563" s="10">
        <f t="array" ref="G6563">index('Player ID'!C:C,match(E6563,'Player ID'!B:B,0))</f>
        <v>681517</v>
      </c>
    </row>
    <row r="6564">
      <c r="A6564" s="76">
        <v>45801.0</v>
      </c>
      <c r="B6564" s="1" t="s">
        <v>719</v>
      </c>
      <c r="C6564" s="1" t="s">
        <v>80</v>
      </c>
      <c r="D6564" s="1">
        <v>1.0</v>
      </c>
      <c r="E6564" s="1">
        <v>14527.0</v>
      </c>
      <c r="F6564" s="10">
        <f t="shared" si="1"/>
        <v>1</v>
      </c>
      <c r="G6564" s="10">
        <f t="array" ref="G6564">index('Player ID'!C:C,match(E6564,'Player ID'!B:B,0))</f>
        <v>605347</v>
      </c>
    </row>
    <row r="6565">
      <c r="A6565" s="76">
        <v>45801.0</v>
      </c>
      <c r="B6565" s="1" t="s">
        <v>20</v>
      </c>
      <c r="C6565" s="1" t="s">
        <v>31</v>
      </c>
      <c r="D6565" s="1">
        <v>1.0</v>
      </c>
      <c r="E6565" s="1">
        <v>15541.0</v>
      </c>
      <c r="F6565" s="10">
        <f t="shared" si="1"/>
        <v>1</v>
      </c>
      <c r="G6565" s="10">
        <f t="array" ref="G6565">index('Player ID'!C:C,match(E6565,'Player ID'!B:B,0))</f>
        <v>643511</v>
      </c>
    </row>
    <row r="6566">
      <c r="A6566" s="76">
        <v>45801.0</v>
      </c>
      <c r="B6566" s="1" t="s">
        <v>396</v>
      </c>
      <c r="C6566" s="1" t="s">
        <v>80</v>
      </c>
      <c r="D6566" s="1">
        <v>8.0</v>
      </c>
      <c r="E6566" s="1">
        <v>21504.0</v>
      </c>
      <c r="F6566" s="10">
        <f t="shared" si="1"/>
        <v>8</v>
      </c>
      <c r="G6566" s="10">
        <f t="array" ref="G6566">index('Player ID'!C:C,match(E6566,'Player ID'!B:B,0))</f>
        <v>663623</v>
      </c>
    </row>
    <row r="6567">
      <c r="A6567" s="76">
        <v>45801.0</v>
      </c>
      <c r="B6567" s="1" t="s">
        <v>124</v>
      </c>
      <c r="C6567" s="1" t="s">
        <v>31</v>
      </c>
      <c r="D6567" s="1">
        <v>3.0</v>
      </c>
      <c r="E6567" s="1">
        <v>21584.0</v>
      </c>
      <c r="F6567" s="10">
        <f t="shared" si="1"/>
        <v>3</v>
      </c>
      <c r="G6567" s="10" t="str">
        <f t="array" ref="G6567">index('Player ID'!C:C,match(E6567,'Player ID'!B:B,0))</f>
        <v>#N/A</v>
      </c>
    </row>
    <row r="6568">
      <c r="A6568" s="76">
        <v>45801.0</v>
      </c>
      <c r="B6568" s="1" t="s">
        <v>96</v>
      </c>
      <c r="C6568" s="1" t="s">
        <v>31</v>
      </c>
      <c r="D6568" s="1">
        <v>4.0</v>
      </c>
      <c r="E6568" s="1">
        <v>27758.0</v>
      </c>
      <c r="F6568" s="10">
        <f t="shared" si="1"/>
        <v>4</v>
      </c>
      <c r="G6568" s="10">
        <f t="array" ref="G6568">index('Player ID'!C:C,match(E6568,'Player ID'!B:B,0))</f>
        <v>690986</v>
      </c>
    </row>
    <row r="6569">
      <c r="A6569" s="76">
        <v>45801.0</v>
      </c>
      <c r="B6569" s="1" t="s">
        <v>423</v>
      </c>
      <c r="C6569" s="1" t="s">
        <v>60</v>
      </c>
      <c r="D6569" s="1">
        <v>6.0</v>
      </c>
      <c r="E6569" s="1">
        <v>17594.0</v>
      </c>
      <c r="F6569" s="10">
        <f t="shared" si="1"/>
        <v>6</v>
      </c>
      <c r="G6569" s="10">
        <f t="array" ref="G6569">index('Player ID'!C:C,match(E6569,'Player ID'!B:B,0))</f>
        <v>656605</v>
      </c>
    </row>
    <row r="6570">
      <c r="A6570" s="76">
        <v>45801.0</v>
      </c>
      <c r="B6570" s="1" t="s">
        <v>187</v>
      </c>
      <c r="C6570" s="1" t="s">
        <v>14</v>
      </c>
      <c r="D6570" s="1">
        <v>0.2</v>
      </c>
      <c r="E6570" s="1">
        <v>17735.0</v>
      </c>
      <c r="F6570" s="10">
        <f t="shared" si="1"/>
        <v>0.6666666667</v>
      </c>
      <c r="G6570" s="10">
        <f t="array" ref="G6570">index('Player ID'!C:C,match(E6570,'Player ID'!B:B,0))</f>
        <v>641302</v>
      </c>
    </row>
    <row r="6571">
      <c r="A6571" s="76">
        <v>45801.0</v>
      </c>
      <c r="B6571" s="1" t="s">
        <v>217</v>
      </c>
      <c r="C6571" s="1" t="s">
        <v>60</v>
      </c>
      <c r="D6571" s="1">
        <v>1.0</v>
      </c>
      <c r="E6571" s="1">
        <v>17878.0</v>
      </c>
      <c r="F6571" s="10">
        <f t="shared" si="1"/>
        <v>1</v>
      </c>
      <c r="G6571" s="10">
        <f t="array" ref="G6571">index('Player ID'!C:C,match(E6571,'Player ID'!B:B,0))</f>
        <v>642701</v>
      </c>
    </row>
    <row r="6572">
      <c r="A6572" s="76">
        <v>45801.0</v>
      </c>
      <c r="B6572" s="1" t="s">
        <v>107</v>
      </c>
      <c r="C6572" s="1" t="s">
        <v>60</v>
      </c>
      <c r="D6572" s="1">
        <v>0.2</v>
      </c>
      <c r="E6572" s="1">
        <v>19349.0</v>
      </c>
      <c r="F6572" s="10">
        <f t="shared" si="1"/>
        <v>0.6666666667</v>
      </c>
      <c r="G6572" s="10">
        <f t="array" ref="G6572">index('Player ID'!C:C,match(E6572,'Player ID'!B:B,0))</f>
        <v>657571</v>
      </c>
    </row>
    <row r="6573">
      <c r="A6573" s="76">
        <v>45801.0</v>
      </c>
      <c r="B6573" s="1" t="s">
        <v>183</v>
      </c>
      <c r="C6573" s="1" t="s">
        <v>60</v>
      </c>
      <c r="D6573" s="1">
        <v>1.0</v>
      </c>
      <c r="E6573" s="1">
        <v>19569.0</v>
      </c>
      <c r="F6573" s="10">
        <f t="shared" si="1"/>
        <v>1</v>
      </c>
      <c r="G6573" s="10">
        <f t="array" ref="G6573">index('Player ID'!C:C,match(E6573,'Player ID'!B:B,0))</f>
        <v>670280</v>
      </c>
    </row>
    <row r="6574">
      <c r="A6574" s="76">
        <v>45801.0</v>
      </c>
      <c r="B6574" s="1" t="s">
        <v>318</v>
      </c>
      <c r="C6574" s="1" t="s">
        <v>14</v>
      </c>
      <c r="D6574" s="1">
        <v>0.1</v>
      </c>
      <c r="E6574" s="1">
        <v>20546.0</v>
      </c>
      <c r="F6574" s="10">
        <f t="shared" si="1"/>
        <v>0.3333333333</v>
      </c>
      <c r="G6574" s="10">
        <f t="array" ref="G6574">index('Player ID'!C:C,match(E6574,'Player ID'!B:B,0))</f>
        <v>681982</v>
      </c>
    </row>
    <row r="6575">
      <c r="A6575" s="76">
        <v>45801.0</v>
      </c>
      <c r="B6575" s="1" t="s">
        <v>463</v>
      </c>
      <c r="C6575" s="1" t="s">
        <v>60</v>
      </c>
      <c r="D6575" s="1">
        <v>0.1</v>
      </c>
      <c r="E6575" s="1">
        <v>21544.0</v>
      </c>
      <c r="F6575" s="10">
        <f t="shared" si="1"/>
        <v>0.3333333333</v>
      </c>
      <c r="G6575" s="10">
        <f t="array" ref="G6575">index('Player ID'!C:C,match(E6575,'Player ID'!B:B,0))</f>
        <v>663767</v>
      </c>
    </row>
    <row r="6576">
      <c r="A6576" s="76">
        <v>45801.0</v>
      </c>
      <c r="B6576" s="1" t="s">
        <v>200</v>
      </c>
      <c r="C6576" s="1" t="s">
        <v>14</v>
      </c>
      <c r="D6576" s="1">
        <v>1.0</v>
      </c>
      <c r="E6576" s="1">
        <v>23550.0</v>
      </c>
      <c r="F6576" s="10">
        <f t="shared" si="1"/>
        <v>1</v>
      </c>
      <c r="G6576" s="10" t="str">
        <f t="array" ref="G6576">index('Player ID'!C:C,match(E6576,'Player ID'!B:B,0))</f>
        <v>#N/A</v>
      </c>
    </row>
    <row r="6577">
      <c r="A6577" s="76">
        <v>45801.0</v>
      </c>
      <c r="B6577" s="1" t="s">
        <v>450</v>
      </c>
      <c r="C6577" s="1" t="s">
        <v>14</v>
      </c>
      <c r="D6577" s="1">
        <v>6.0</v>
      </c>
      <c r="E6577" s="1">
        <v>25977.0</v>
      </c>
      <c r="F6577" s="10">
        <f t="shared" si="1"/>
        <v>6</v>
      </c>
      <c r="G6577" s="10">
        <f t="array" ref="G6577">index('Player ID'!C:C,match(E6577,'Player ID'!B:B,0))</f>
        <v>682990</v>
      </c>
    </row>
    <row r="6578">
      <c r="A6578" s="76">
        <v>45801.0</v>
      </c>
      <c r="B6578" s="1" t="s">
        <v>48</v>
      </c>
      <c r="C6578" s="1" t="s">
        <v>68</v>
      </c>
      <c r="D6578" s="1">
        <v>1.0</v>
      </c>
      <c r="E6578" s="1">
        <v>12828.0</v>
      </c>
      <c r="F6578" s="10">
        <f t="shared" si="1"/>
        <v>1</v>
      </c>
      <c r="G6578" s="10" t="str">
        <f t="array" ref="G6578">index('Player ID'!C:C,match(E6578,'Player ID'!B:B,0))</f>
        <v>#N/A</v>
      </c>
    </row>
    <row r="6579">
      <c r="A6579" s="76">
        <v>45801.0</v>
      </c>
      <c r="B6579" s="1" t="s">
        <v>416</v>
      </c>
      <c r="C6579" s="1" t="s">
        <v>22</v>
      </c>
      <c r="D6579" s="1">
        <v>7.0</v>
      </c>
      <c r="E6579" s="1">
        <v>15474.0</v>
      </c>
      <c r="F6579" s="10">
        <f t="shared" si="1"/>
        <v>7</v>
      </c>
      <c r="G6579" s="10">
        <f t="array" ref="G6579">index('Player ID'!C:C,match(E6579,'Player ID'!B:B,0))</f>
        <v>608337</v>
      </c>
    </row>
    <row r="6580">
      <c r="A6580" s="76">
        <v>45801.0</v>
      </c>
      <c r="B6580" s="1" t="s">
        <v>493</v>
      </c>
      <c r="C6580" s="1" t="s">
        <v>22</v>
      </c>
      <c r="D6580" s="1">
        <v>0.2</v>
      </c>
      <c r="E6580" s="1">
        <v>16835.0</v>
      </c>
      <c r="F6580" s="10">
        <f t="shared" si="1"/>
        <v>0.6666666667</v>
      </c>
      <c r="G6580" s="10">
        <f t="array" ref="G6580">index('Player ID'!C:C,match(E6580,'Player ID'!B:B,0))</f>
        <v>657514</v>
      </c>
    </row>
    <row r="6581">
      <c r="A6581" s="76">
        <v>45801.0</v>
      </c>
      <c r="B6581" s="1" t="s">
        <v>639</v>
      </c>
      <c r="C6581" s="1" t="s">
        <v>68</v>
      </c>
      <c r="D6581" s="1">
        <v>1.2</v>
      </c>
      <c r="E6581" s="1">
        <v>19249.0</v>
      </c>
      <c r="F6581" s="10">
        <f t="shared" si="1"/>
        <v>1.666666667</v>
      </c>
      <c r="G6581" s="10">
        <f t="array" ref="G6581">index('Player ID'!C:C,match(E6581,'Player ID'!B:B,0))</f>
        <v>622554</v>
      </c>
    </row>
    <row r="6582">
      <c r="A6582" s="76">
        <v>45801.0</v>
      </c>
      <c r="B6582" s="1" t="s">
        <v>218</v>
      </c>
      <c r="C6582" s="1" t="s">
        <v>68</v>
      </c>
      <c r="D6582" s="1">
        <v>6.1</v>
      </c>
      <c r="E6582" s="1">
        <v>22286.0</v>
      </c>
      <c r="F6582" s="10">
        <f t="shared" si="1"/>
        <v>6.333333333</v>
      </c>
      <c r="G6582" s="10">
        <f t="array" ref="G6582">index('Player ID'!C:C,match(E6582,'Player ID'!B:B,0))</f>
        <v>669432</v>
      </c>
    </row>
    <row r="6583">
      <c r="A6583" s="76">
        <v>45801.0</v>
      </c>
      <c r="B6583" s="1" t="s">
        <v>720</v>
      </c>
      <c r="C6583" s="1" t="s">
        <v>22</v>
      </c>
      <c r="D6583" s="1">
        <v>1.1</v>
      </c>
      <c r="E6583" s="1">
        <v>31184.0</v>
      </c>
      <c r="F6583" s="10">
        <f t="shared" si="1"/>
        <v>1.333333333</v>
      </c>
      <c r="G6583" s="10">
        <f t="array" ref="G6583">index('Player ID'!C:C,match(E6583,'Player ID'!B:B,0))</f>
        <v>692285</v>
      </c>
    </row>
    <row r="6584">
      <c r="A6584" s="76">
        <v>45801.0</v>
      </c>
      <c r="B6584" s="1" t="s">
        <v>629</v>
      </c>
      <c r="C6584" s="1" t="s">
        <v>34</v>
      </c>
      <c r="D6584" s="1">
        <v>1.0</v>
      </c>
      <c r="E6584" s="1">
        <v>5615.0</v>
      </c>
      <c r="F6584" s="10">
        <f t="shared" si="1"/>
        <v>1</v>
      </c>
      <c r="G6584" s="10">
        <f t="array" ref="G6584">index('Player ID'!C:C,match(E6584,'Player ID'!B:B,0))</f>
        <v>518489</v>
      </c>
    </row>
    <row r="6585">
      <c r="A6585" s="76">
        <v>45801.0</v>
      </c>
      <c r="B6585" s="1" t="s">
        <v>313</v>
      </c>
      <c r="C6585" s="1" t="s">
        <v>34</v>
      </c>
      <c r="D6585" s="1">
        <v>5.0</v>
      </c>
      <c r="E6585" s="1">
        <v>12317.0</v>
      </c>
      <c r="F6585" s="10">
        <f t="shared" si="1"/>
        <v>5</v>
      </c>
      <c r="G6585" s="10">
        <f t="array" ref="G6585">index('Player ID'!C:C,match(E6585,'Player ID'!B:B,0))</f>
        <v>607067</v>
      </c>
    </row>
    <row r="6586">
      <c r="A6586" s="76">
        <v>45801.0</v>
      </c>
      <c r="B6586" s="1" t="s">
        <v>651</v>
      </c>
      <c r="C6586" s="1" t="s">
        <v>66</v>
      </c>
      <c r="D6586" s="1">
        <v>1.0</v>
      </c>
      <c r="E6586" s="1">
        <v>14771.0</v>
      </c>
      <c r="F6586" s="10">
        <f t="shared" si="1"/>
        <v>1</v>
      </c>
      <c r="G6586" s="10">
        <f t="array" ref="G6586">index('Player ID'!C:C,match(E6586,'Player ID'!B:B,0))</f>
        <v>641941</v>
      </c>
    </row>
    <row r="6587">
      <c r="A6587" s="76">
        <v>45801.0</v>
      </c>
      <c r="B6587" s="1" t="s">
        <v>345</v>
      </c>
      <c r="C6587" s="1" t="s">
        <v>66</v>
      </c>
      <c r="D6587" s="1">
        <v>1.0</v>
      </c>
      <c r="E6587" s="1">
        <v>19926.0</v>
      </c>
      <c r="F6587" s="10">
        <f t="shared" si="1"/>
        <v>1</v>
      </c>
      <c r="G6587" s="10">
        <f t="array" ref="G6587">index('Player ID'!C:C,match(E6587,'Player ID'!B:B,0))</f>
        <v>663574</v>
      </c>
    </row>
    <row r="6588">
      <c r="A6588" s="76">
        <v>45801.0</v>
      </c>
      <c r="B6588" s="1" t="s">
        <v>840</v>
      </c>
      <c r="C6588" s="1" t="s">
        <v>34</v>
      </c>
      <c r="D6588" s="1">
        <v>2.0</v>
      </c>
      <c r="E6588" s="1">
        <v>21189.0</v>
      </c>
      <c r="F6588" s="10">
        <f t="shared" si="1"/>
        <v>2</v>
      </c>
      <c r="G6588" s="10" t="str">
        <f t="array" ref="G6588">index('Player ID'!C:C,match(E6588,'Player ID'!B:B,0))</f>
        <v>#N/A</v>
      </c>
    </row>
    <row r="6589">
      <c r="A6589" s="76">
        <v>45801.0</v>
      </c>
      <c r="B6589" s="1" t="s">
        <v>211</v>
      </c>
      <c r="C6589" s="1" t="s">
        <v>66</v>
      </c>
      <c r="D6589" s="1">
        <v>1.1</v>
      </c>
      <c r="E6589" s="1">
        <v>27552.0</v>
      </c>
      <c r="F6589" s="10">
        <f t="shared" si="1"/>
        <v>1.333333333</v>
      </c>
      <c r="G6589" s="10">
        <f t="array" ref="G6589">index('Player ID'!C:C,match(E6589,'Player ID'!B:B,0))</f>
        <v>668933</v>
      </c>
    </row>
    <row r="6590">
      <c r="A6590" s="76">
        <v>45801.0</v>
      </c>
      <c r="B6590" s="1" t="s">
        <v>169</v>
      </c>
      <c r="C6590" s="1" t="s">
        <v>66</v>
      </c>
      <c r="D6590" s="1">
        <v>5.2</v>
      </c>
      <c r="E6590" s="1">
        <v>29911.0</v>
      </c>
      <c r="F6590" s="10">
        <f t="shared" si="1"/>
        <v>5.666666667</v>
      </c>
      <c r="G6590" s="10">
        <f t="array" ref="G6590">index('Player ID'!C:C,match(E6590,'Player ID'!B:B,0))</f>
        <v>671096</v>
      </c>
    </row>
    <row r="6591">
      <c r="A6591" s="76">
        <v>45801.0</v>
      </c>
      <c r="B6591" s="1" t="s">
        <v>59</v>
      </c>
      <c r="C6591" s="1" t="s">
        <v>39</v>
      </c>
      <c r="D6591" s="1">
        <v>1.0</v>
      </c>
      <c r="E6591" s="1">
        <v>14212.0</v>
      </c>
      <c r="F6591" s="10">
        <f t="shared" si="1"/>
        <v>1</v>
      </c>
      <c r="G6591" s="10">
        <f t="array" ref="G6591">index('Player ID'!C:C,match(E6591,'Player ID'!B:B,0))</f>
        <v>623352</v>
      </c>
    </row>
    <row r="6592">
      <c r="A6592" s="76">
        <v>45801.0</v>
      </c>
      <c r="B6592" s="1" t="s">
        <v>210</v>
      </c>
      <c r="C6592" s="1" t="s">
        <v>39</v>
      </c>
      <c r="D6592" s="1">
        <v>1.0</v>
      </c>
      <c r="E6592" s="1">
        <v>16609.0</v>
      </c>
      <c r="F6592" s="10">
        <f t="shared" si="1"/>
        <v>1</v>
      </c>
      <c r="G6592" s="10">
        <f t="array" ref="G6592">index('Player ID'!C:C,match(E6592,'Player ID'!B:B,0))</f>
        <v>650556</v>
      </c>
    </row>
    <row r="6593">
      <c r="A6593" s="76">
        <v>45801.0</v>
      </c>
      <c r="B6593" s="1" t="s">
        <v>113</v>
      </c>
      <c r="C6593" s="1" t="s">
        <v>39</v>
      </c>
      <c r="D6593" s="1">
        <v>6.0</v>
      </c>
      <c r="E6593" s="1">
        <v>17295.0</v>
      </c>
      <c r="F6593" s="10">
        <f t="shared" si="1"/>
        <v>6</v>
      </c>
      <c r="G6593" s="10">
        <f t="array" ref="G6593">index('Player ID'!C:C,match(E6593,'Player ID'!B:B,0))</f>
        <v>664285</v>
      </c>
    </row>
    <row r="6594">
      <c r="A6594" s="76">
        <v>45801.0</v>
      </c>
      <c r="B6594" s="1" t="s">
        <v>102</v>
      </c>
      <c r="C6594" s="1" t="s">
        <v>39</v>
      </c>
      <c r="D6594" s="1">
        <v>1.0</v>
      </c>
      <c r="E6594" s="1">
        <v>21345.0</v>
      </c>
      <c r="F6594" s="10">
        <f t="shared" si="1"/>
        <v>1</v>
      </c>
      <c r="G6594" s="10">
        <f t="array" ref="G6594">index('Player ID'!C:C,match(E6594,'Player ID'!B:B,0))</f>
        <v>656986</v>
      </c>
    </row>
    <row r="6595">
      <c r="A6595" s="76">
        <v>45801.0</v>
      </c>
      <c r="B6595" s="1" t="s">
        <v>340</v>
      </c>
      <c r="C6595" s="1" t="s">
        <v>37</v>
      </c>
      <c r="D6595" s="1">
        <v>2.0</v>
      </c>
      <c r="E6595" s="1">
        <v>25921.0</v>
      </c>
      <c r="F6595" s="10">
        <f t="shared" si="1"/>
        <v>2</v>
      </c>
      <c r="G6595" s="10">
        <f t="array" ref="G6595">index('Player ID'!C:C,match(E6595,'Player ID'!B:B,0))</f>
        <v>668984</v>
      </c>
    </row>
    <row r="6596">
      <c r="A6596" s="76">
        <v>45801.0</v>
      </c>
      <c r="B6596" s="1" t="s">
        <v>90</v>
      </c>
      <c r="C6596" s="1" t="s">
        <v>37</v>
      </c>
      <c r="D6596" s="1">
        <v>6.0</v>
      </c>
      <c r="E6596" s="1">
        <v>30279.0</v>
      </c>
      <c r="F6596" s="10">
        <f t="shared" si="1"/>
        <v>6</v>
      </c>
      <c r="G6596" s="10">
        <f t="array" ref="G6596">index('Player ID'!C:C,match(E6596,'Player ID'!B:B,0))</f>
        <v>693433</v>
      </c>
    </row>
    <row r="6597">
      <c r="A6597" s="76">
        <v>45801.0</v>
      </c>
      <c r="B6597" s="1" t="s">
        <v>404</v>
      </c>
      <c r="C6597" s="1" t="s">
        <v>26</v>
      </c>
      <c r="D6597" s="1">
        <v>2.0</v>
      </c>
      <c r="E6597" s="1">
        <v>14295.0</v>
      </c>
      <c r="F6597" s="10">
        <f t="shared" si="1"/>
        <v>2</v>
      </c>
      <c r="G6597" s="10">
        <f t="array" ref="G6597">index('Player ID'!C:C,match(E6597,'Player ID'!B:B,0))</f>
        <v>593974</v>
      </c>
    </row>
    <row r="6598">
      <c r="A6598" s="76">
        <v>45801.0</v>
      </c>
      <c r="B6598" s="1" t="s">
        <v>233</v>
      </c>
      <c r="C6598" s="1" t="s">
        <v>46</v>
      </c>
      <c r="D6598" s="1">
        <v>1.0</v>
      </c>
      <c r="E6598" s="1">
        <v>16427.0</v>
      </c>
      <c r="F6598" s="10">
        <f t="shared" si="1"/>
        <v>1</v>
      </c>
      <c r="G6598" s="10">
        <f t="array" ref="G6598">index('Player ID'!C:C,match(E6598,'Player ID'!B:B,0))</f>
        <v>656240</v>
      </c>
    </row>
    <row r="6599">
      <c r="A6599" s="76">
        <v>45801.0</v>
      </c>
      <c r="B6599" s="1" t="s">
        <v>366</v>
      </c>
      <c r="C6599" s="1" t="s">
        <v>46</v>
      </c>
      <c r="D6599" s="1">
        <v>7.0</v>
      </c>
      <c r="E6599" s="1">
        <v>16944.0</v>
      </c>
      <c r="F6599" s="10">
        <f t="shared" si="1"/>
        <v>7</v>
      </c>
      <c r="G6599" s="10">
        <f t="array" ref="G6599">index('Player ID'!C:C,match(E6599,'Player ID'!B:B,0))</f>
        <v>656550</v>
      </c>
    </row>
    <row r="6600">
      <c r="A6600" s="76">
        <v>45801.0</v>
      </c>
      <c r="B6600" s="1" t="s">
        <v>346</v>
      </c>
      <c r="C6600" s="1" t="s">
        <v>46</v>
      </c>
      <c r="D6600" s="1">
        <v>1.0</v>
      </c>
      <c r="E6600" s="1">
        <v>18403.0</v>
      </c>
      <c r="F6600" s="10">
        <f t="shared" si="1"/>
        <v>1</v>
      </c>
      <c r="G6600" s="10">
        <f t="array" ref="G6600">index('Player ID'!C:C,match(E6600,'Player ID'!B:B,0))</f>
        <v>660853</v>
      </c>
    </row>
    <row r="6601">
      <c r="A6601" s="76">
        <v>45801.0</v>
      </c>
      <c r="B6601" s="1" t="s">
        <v>797</v>
      </c>
      <c r="C6601" s="1" t="s">
        <v>26</v>
      </c>
      <c r="D6601" s="1">
        <v>2.2</v>
      </c>
      <c r="E6601" s="1">
        <v>22253.0</v>
      </c>
      <c r="F6601" s="10">
        <f t="shared" si="1"/>
        <v>2.666666667</v>
      </c>
      <c r="G6601" s="10">
        <f t="array" ref="G6601">index('Player ID'!C:C,match(E6601,'Player ID'!B:B,0))</f>
        <v>669308</v>
      </c>
    </row>
    <row r="6602">
      <c r="A6602" s="76">
        <v>45801.0</v>
      </c>
      <c r="B6602" s="1" t="s">
        <v>391</v>
      </c>
      <c r="C6602" s="1" t="s">
        <v>26</v>
      </c>
      <c r="D6602" s="1">
        <v>1.2</v>
      </c>
      <c r="E6602" s="1">
        <v>29628.0</v>
      </c>
      <c r="F6602" s="10">
        <f t="shared" si="1"/>
        <v>1.666666667</v>
      </c>
      <c r="G6602" s="10">
        <f t="array" ref="G6602">index('Player ID'!C:C,match(E6602,'Player ID'!B:B,0))</f>
        <v>689690</v>
      </c>
    </row>
    <row r="6603">
      <c r="A6603" s="76">
        <v>45801.0</v>
      </c>
      <c r="B6603" s="1" t="s">
        <v>284</v>
      </c>
      <c r="C6603" s="1" t="s">
        <v>26</v>
      </c>
      <c r="D6603" s="1">
        <v>1.2</v>
      </c>
      <c r="E6603" s="1">
        <v>33826.0</v>
      </c>
      <c r="F6603" s="10">
        <f t="shared" si="1"/>
        <v>1.666666667</v>
      </c>
      <c r="G6603" s="10">
        <f t="array" ref="G6603">index('Player ID'!C:C,match(E6603,'Player ID'!B:B,0))</f>
        <v>673513</v>
      </c>
    </row>
    <row r="6604">
      <c r="A6604" s="76">
        <v>45801.0</v>
      </c>
      <c r="B6604" s="1" t="s">
        <v>162</v>
      </c>
      <c r="C6604" s="1" t="s">
        <v>56</v>
      </c>
      <c r="D6604" s="1">
        <v>0.1</v>
      </c>
      <c r="E6604" s="1">
        <v>11752.0</v>
      </c>
      <c r="F6604" s="10">
        <f t="shared" si="1"/>
        <v>0.3333333333</v>
      </c>
      <c r="G6604" s="10">
        <f t="array" ref="G6604">index('Player ID'!C:C,match(E6604,'Player ID'!B:B,0))</f>
        <v>592426</v>
      </c>
    </row>
    <row r="6605">
      <c r="A6605" s="76">
        <v>45801.0</v>
      </c>
      <c r="B6605" s="1" t="s">
        <v>151</v>
      </c>
      <c r="C6605" s="1" t="s">
        <v>56</v>
      </c>
      <c r="D6605" s="1">
        <v>0.0</v>
      </c>
      <c r="E6605" s="1">
        <v>13346.0</v>
      </c>
      <c r="F6605" s="10">
        <f t="shared" si="1"/>
        <v>0</v>
      </c>
      <c r="G6605" s="10">
        <f t="array" ref="G6605">index('Player ID'!C:C,match(E6605,'Player ID'!B:B,0))</f>
        <v>571948</v>
      </c>
    </row>
    <row r="6606">
      <c r="A6606" s="76">
        <v>45801.0</v>
      </c>
      <c r="B6606" s="1" t="s">
        <v>764</v>
      </c>
      <c r="C6606" s="1" t="s">
        <v>78</v>
      </c>
      <c r="D6606" s="1">
        <v>1.0</v>
      </c>
      <c r="E6606" s="1">
        <v>15684.0</v>
      </c>
      <c r="F6606" s="10">
        <f t="shared" si="1"/>
        <v>1</v>
      </c>
      <c r="G6606" s="10">
        <f t="array" ref="G6606">index('Player ID'!C:C,match(E6606,'Player ID'!B:B,0))</f>
        <v>612434</v>
      </c>
    </row>
    <row r="6607">
      <c r="A6607" s="76">
        <v>45801.0</v>
      </c>
      <c r="B6607" s="1" t="s">
        <v>87</v>
      </c>
      <c r="C6607" s="1" t="s">
        <v>56</v>
      </c>
      <c r="D6607" s="1">
        <v>0.2</v>
      </c>
      <c r="E6607" s="1">
        <v>19274.0</v>
      </c>
      <c r="F6607" s="10">
        <f t="shared" si="1"/>
        <v>0.6666666667</v>
      </c>
      <c r="G6607" s="10">
        <f t="array" ref="G6607">index('Player ID'!C:C,match(E6607,'Player ID'!B:B,0))</f>
        <v>657097</v>
      </c>
    </row>
    <row r="6608">
      <c r="A6608" s="76">
        <v>45801.0</v>
      </c>
      <c r="B6608" s="1" t="s">
        <v>349</v>
      </c>
      <c r="C6608" s="1" t="s">
        <v>56</v>
      </c>
      <c r="D6608" s="1">
        <v>2.0</v>
      </c>
      <c r="E6608" s="1">
        <v>19736.0</v>
      </c>
      <c r="F6608" s="10">
        <f t="shared" si="1"/>
        <v>2</v>
      </c>
      <c r="G6608" s="10">
        <f t="array" ref="G6608">index('Player ID'!C:C,match(E6608,'Player ID'!B:B,0))</f>
        <v>676961</v>
      </c>
    </row>
    <row r="6609">
      <c r="A6609" s="76">
        <v>45801.0</v>
      </c>
      <c r="B6609" s="1" t="s">
        <v>387</v>
      </c>
      <c r="C6609" s="1" t="s">
        <v>78</v>
      </c>
      <c r="D6609" s="1">
        <v>4.0</v>
      </c>
      <c r="E6609" s="1">
        <v>19990.0</v>
      </c>
      <c r="F6609" s="10">
        <f t="shared" si="1"/>
        <v>4</v>
      </c>
      <c r="G6609" s="10">
        <f t="array" ref="G6609">index('Player ID'!C:C,match(E6609,'Player ID'!B:B,0))</f>
        <v>669060</v>
      </c>
    </row>
    <row r="6610">
      <c r="A6610" s="76">
        <v>45801.0</v>
      </c>
      <c r="B6610" s="1" t="s">
        <v>367</v>
      </c>
      <c r="C6610" s="1" t="s">
        <v>78</v>
      </c>
      <c r="D6610" s="1">
        <v>1.0</v>
      </c>
      <c r="E6610" s="1">
        <v>27668.0</v>
      </c>
      <c r="F6610" s="10">
        <f t="shared" si="1"/>
        <v>1</v>
      </c>
      <c r="G6610" s="10">
        <f t="array" ref="G6610">index('Player ID'!C:C,match(E6610,'Player ID'!B:B,0))</f>
        <v>685126</v>
      </c>
    </row>
    <row r="6611">
      <c r="A6611" s="76">
        <v>45801.0</v>
      </c>
      <c r="B6611" s="1" t="s">
        <v>497</v>
      </c>
      <c r="C6611" s="1" t="s">
        <v>78</v>
      </c>
      <c r="D6611" s="1">
        <v>3.0</v>
      </c>
      <c r="E6611" s="1">
        <v>30105.0</v>
      </c>
      <c r="F6611" s="10">
        <f t="shared" si="1"/>
        <v>3</v>
      </c>
      <c r="G6611" s="10">
        <f t="array" ref="G6611">index('Player ID'!C:C,match(E6611,'Player ID'!B:B,0))</f>
        <v>678024</v>
      </c>
    </row>
    <row r="6612">
      <c r="A6612" s="76">
        <v>45801.0</v>
      </c>
      <c r="B6612" s="1" t="s">
        <v>374</v>
      </c>
      <c r="C6612" s="1" t="s">
        <v>56</v>
      </c>
      <c r="D6612" s="1">
        <v>5.0</v>
      </c>
      <c r="E6612" s="1">
        <v>30146.0</v>
      </c>
      <c r="F6612" s="10">
        <f t="shared" si="1"/>
        <v>5</v>
      </c>
      <c r="G6612" s="10">
        <f t="array" ref="G6612">index('Player ID'!C:C,match(E6612,'Player ID'!B:B,0))</f>
        <v>683004</v>
      </c>
    </row>
    <row r="6613">
      <c r="A6613" s="76">
        <v>45801.0</v>
      </c>
      <c r="B6613" s="1" t="s">
        <v>166</v>
      </c>
      <c r="C6613" s="1" t="s">
        <v>58</v>
      </c>
      <c r="D6613" s="1">
        <v>7.1</v>
      </c>
      <c r="E6613" s="1">
        <v>13743.0</v>
      </c>
      <c r="F6613" s="10">
        <f t="shared" si="1"/>
        <v>7.333333333</v>
      </c>
      <c r="G6613" s="10">
        <f t="array" ref="G6613">index('Player ID'!C:C,match(E6613,'Player ID'!B:B,0))</f>
        <v>608331</v>
      </c>
    </row>
    <row r="6614">
      <c r="A6614" s="76">
        <v>45801.0</v>
      </c>
      <c r="B6614" s="1" t="s">
        <v>189</v>
      </c>
      <c r="C6614" s="1" t="s">
        <v>75</v>
      </c>
      <c r="D6614" s="1">
        <v>4.2</v>
      </c>
      <c r="E6614" s="1">
        <v>16256.0</v>
      </c>
      <c r="F6614" s="10">
        <f t="shared" si="1"/>
        <v>4.666666667</v>
      </c>
      <c r="G6614" s="10">
        <f t="array" ref="G6614">index('Player ID'!C:C,match(E6614,'Player ID'!B:B,0))</f>
        <v>607536</v>
      </c>
    </row>
    <row r="6615">
      <c r="A6615" s="76">
        <v>45801.0</v>
      </c>
      <c r="B6615" s="1" t="s">
        <v>520</v>
      </c>
      <c r="C6615" s="1" t="s">
        <v>58</v>
      </c>
      <c r="D6615" s="1">
        <v>1.2</v>
      </c>
      <c r="E6615" s="1">
        <v>19261.0</v>
      </c>
      <c r="F6615" s="10">
        <f t="shared" si="1"/>
        <v>1.666666667</v>
      </c>
      <c r="G6615" s="10">
        <f t="array" ref="G6615">index('Player ID'!C:C,match(E6615,'Player ID'!B:B,0))</f>
        <v>641656</v>
      </c>
    </row>
    <row r="6616">
      <c r="A6616" s="76">
        <v>45801.0</v>
      </c>
      <c r="B6616" s="1" t="s">
        <v>305</v>
      </c>
      <c r="C6616" s="1" t="s">
        <v>75</v>
      </c>
      <c r="D6616" s="1">
        <v>2.0</v>
      </c>
      <c r="E6616" s="1">
        <v>22200.0</v>
      </c>
      <c r="F6616" s="10">
        <f t="shared" si="1"/>
        <v>2</v>
      </c>
      <c r="G6616" s="10">
        <f t="array" ref="G6616">index('Player ID'!C:C,match(E6616,'Player ID'!B:B,0))</f>
        <v>669020</v>
      </c>
    </row>
    <row r="6617">
      <c r="A6617" s="76">
        <v>45801.0</v>
      </c>
      <c r="B6617" s="1" t="s">
        <v>468</v>
      </c>
      <c r="C6617" s="1" t="s">
        <v>75</v>
      </c>
      <c r="D6617" s="1">
        <v>2.0</v>
      </c>
      <c r="E6617" s="1">
        <v>23237.0</v>
      </c>
      <c r="F6617" s="10">
        <f t="shared" si="1"/>
        <v>2</v>
      </c>
      <c r="G6617" s="10">
        <f t="array" ref="G6617">index('Player ID'!C:C,match(E6617,'Player ID'!B:B,0))</f>
        <v>675848</v>
      </c>
    </row>
    <row r="6618">
      <c r="A6618" s="76">
        <v>45801.0</v>
      </c>
      <c r="B6618" s="1" t="s">
        <v>486</v>
      </c>
      <c r="C6618" s="1" t="s">
        <v>75</v>
      </c>
      <c r="D6618" s="1">
        <v>0.1</v>
      </c>
      <c r="E6618" s="1">
        <v>26790.0</v>
      </c>
      <c r="F6618" s="10">
        <f t="shared" si="1"/>
        <v>0.3333333333</v>
      </c>
      <c r="G6618" s="10">
        <f t="array" ref="G6618">index('Player ID'!C:C,match(E6618,'Player ID'!B:B,0))</f>
        <v>683409</v>
      </c>
    </row>
    <row r="6619">
      <c r="A6619" s="76">
        <v>45801.0</v>
      </c>
      <c r="B6619" s="1" t="s">
        <v>638</v>
      </c>
      <c r="C6619" s="1" t="s">
        <v>40</v>
      </c>
      <c r="D6619" s="1">
        <v>6.0</v>
      </c>
      <c r="E6619" s="1">
        <v>14168.0</v>
      </c>
      <c r="F6619" s="10">
        <f t="shared" si="1"/>
        <v>6</v>
      </c>
      <c r="G6619" s="10">
        <f t="array" ref="G6619">index('Player ID'!C:C,match(E6619,'Player ID'!B:B,0))</f>
        <v>621244</v>
      </c>
    </row>
    <row r="6620">
      <c r="A6620" s="76">
        <v>45801.0</v>
      </c>
      <c r="B6620" s="1" t="s">
        <v>185</v>
      </c>
      <c r="C6620" s="1" t="s">
        <v>54</v>
      </c>
      <c r="D6620" s="1">
        <v>1.1</v>
      </c>
      <c r="E6620" s="1">
        <v>17897.0</v>
      </c>
      <c r="F6620" s="10">
        <f t="shared" si="1"/>
        <v>1.333333333</v>
      </c>
      <c r="G6620" s="10">
        <f t="array" ref="G6620">index('Player ID'!C:C,match(E6620,'Player ID'!B:B,0))</f>
        <v>664076</v>
      </c>
    </row>
    <row r="6621">
      <c r="A6621" s="76">
        <v>45801.0</v>
      </c>
      <c r="B6621" s="1" t="s">
        <v>261</v>
      </c>
      <c r="C6621" s="1" t="s">
        <v>54</v>
      </c>
      <c r="D6621" s="1">
        <v>1.0</v>
      </c>
      <c r="E6621" s="1">
        <v>17998.0</v>
      </c>
      <c r="F6621" s="10">
        <f t="shared" si="1"/>
        <v>1</v>
      </c>
      <c r="G6621" s="10">
        <f t="array" ref="G6621">index('Player ID'!C:C,match(E6621,'Player ID'!B:B,0))</f>
        <v>664126</v>
      </c>
    </row>
    <row r="6622">
      <c r="A6622" s="76">
        <v>45801.0</v>
      </c>
      <c r="B6622" s="1" t="s">
        <v>705</v>
      </c>
      <c r="C6622" s="1" t="s">
        <v>54</v>
      </c>
      <c r="D6622" s="1">
        <v>1.0</v>
      </c>
      <c r="E6622" s="1">
        <v>20794.0</v>
      </c>
      <c r="F6622" s="10">
        <f t="shared" si="1"/>
        <v>1</v>
      </c>
      <c r="G6622" s="10">
        <f t="array" ref="G6622">index('Player ID'!C:C,match(E6622,'Player ID'!B:B,0))</f>
        <v>655889</v>
      </c>
    </row>
    <row r="6623">
      <c r="A6623" s="76">
        <v>45801.0</v>
      </c>
      <c r="B6623" s="1" t="s">
        <v>242</v>
      </c>
      <c r="C6623" s="1" t="s">
        <v>54</v>
      </c>
      <c r="D6623" s="1">
        <v>5.2</v>
      </c>
      <c r="E6623" s="1">
        <v>22264.0</v>
      </c>
      <c r="F6623" s="10">
        <f t="shared" si="1"/>
        <v>5.666666667</v>
      </c>
      <c r="G6623" s="10">
        <f t="array" ref="G6623">index('Player ID'!C:C,match(E6623,'Player ID'!B:B,0))</f>
        <v>669358</v>
      </c>
    </row>
    <row r="6624">
      <c r="A6624" s="76">
        <v>45801.0</v>
      </c>
      <c r="B6624" s="1" t="s">
        <v>568</v>
      </c>
      <c r="C6624" s="1" t="s">
        <v>40</v>
      </c>
      <c r="D6624" s="1">
        <v>1.0</v>
      </c>
      <c r="E6624" s="1">
        <v>25501.0</v>
      </c>
      <c r="F6624" s="10">
        <f t="shared" si="1"/>
        <v>1</v>
      </c>
      <c r="G6624" s="10">
        <f t="array" ref="G6624">index('Player ID'!C:C,match(E6624,'Player ID'!B:B,0))</f>
        <v>687606</v>
      </c>
    </row>
    <row r="6625">
      <c r="A6625" s="76">
        <v>45801.0</v>
      </c>
      <c r="B6625" s="1" t="s">
        <v>142</v>
      </c>
      <c r="C6625" s="1" t="s">
        <v>40</v>
      </c>
      <c r="D6625" s="1">
        <v>1.0</v>
      </c>
      <c r="E6625" s="1">
        <v>31553.0</v>
      </c>
      <c r="F6625" s="10">
        <f t="shared" si="1"/>
        <v>1</v>
      </c>
      <c r="G6625" s="10">
        <f t="array" ref="G6625">index('Player ID'!C:C,match(E6625,'Player ID'!B:B,0))</f>
        <v>689254</v>
      </c>
    </row>
    <row r="6626">
      <c r="A6626" s="76">
        <v>45801.0</v>
      </c>
      <c r="B6626" s="1" t="s">
        <v>310</v>
      </c>
      <c r="C6626" s="1" t="s">
        <v>33</v>
      </c>
      <c r="D6626" s="1">
        <v>1.0</v>
      </c>
      <c r="E6626" s="1">
        <v>14706.0</v>
      </c>
      <c r="F6626" s="10">
        <f t="shared" si="1"/>
        <v>1</v>
      </c>
      <c r="G6626" s="10">
        <f t="array" ref="G6626">index('Player ID'!C:C,match(E6626,'Player ID'!B:B,0))</f>
        <v>607455</v>
      </c>
    </row>
    <row r="6627">
      <c r="A6627" s="76">
        <v>45801.0</v>
      </c>
      <c r="B6627" s="1" t="s">
        <v>679</v>
      </c>
      <c r="C6627" s="1" t="s">
        <v>51</v>
      </c>
      <c r="D6627" s="1">
        <v>1.1</v>
      </c>
      <c r="E6627" s="1">
        <v>14710.0</v>
      </c>
      <c r="F6627" s="10">
        <f t="shared" si="1"/>
        <v>1.333333333</v>
      </c>
      <c r="G6627" s="10">
        <f t="array" ref="G6627">index('Player ID'!C:C,match(E6627,'Player ID'!B:B,0))</f>
        <v>621242</v>
      </c>
    </row>
    <row r="6628">
      <c r="A6628" s="76">
        <v>45801.0</v>
      </c>
      <c r="B6628" s="1" t="s">
        <v>459</v>
      </c>
      <c r="C6628" s="1" t="s">
        <v>33</v>
      </c>
      <c r="D6628" s="1">
        <v>5.0</v>
      </c>
      <c r="E6628" s="1">
        <v>19388.0</v>
      </c>
      <c r="F6628" s="10">
        <f t="shared" si="1"/>
        <v>5</v>
      </c>
      <c r="G6628" s="10">
        <f t="array" ref="G6628">index('Player ID'!C:C,match(E6628,'Player ID'!B:B,0))</f>
        <v>664062</v>
      </c>
    </row>
    <row r="6629">
      <c r="A6629" s="76">
        <v>45801.0</v>
      </c>
      <c r="B6629" s="1" t="s">
        <v>307</v>
      </c>
      <c r="C6629" s="1" t="s">
        <v>51</v>
      </c>
      <c r="D6629" s="1">
        <v>7.2</v>
      </c>
      <c r="E6629" s="1">
        <v>20302.0</v>
      </c>
      <c r="F6629" s="10">
        <f t="shared" si="1"/>
        <v>7.666666667</v>
      </c>
      <c r="G6629" s="10">
        <f t="array" ref="G6629">index('Player ID'!C:C,match(E6629,'Player ID'!B:B,0))</f>
        <v>656849</v>
      </c>
    </row>
    <row r="6630">
      <c r="A6630" s="76">
        <v>45801.0</v>
      </c>
      <c r="B6630" s="1" t="s">
        <v>580</v>
      </c>
      <c r="C6630" s="1" t="s">
        <v>33</v>
      </c>
      <c r="D6630" s="1">
        <v>2.0</v>
      </c>
      <c r="E6630" s="1">
        <v>27483.0</v>
      </c>
      <c r="F6630" s="10">
        <f t="shared" si="1"/>
        <v>2</v>
      </c>
      <c r="G6630" s="10">
        <f t="array" ref="G6630">index('Player ID'!C:C,match(E6630,'Player ID'!B:B,0))</f>
        <v>676272</v>
      </c>
    </row>
    <row r="6631">
      <c r="A6631" s="76">
        <v>45801.0</v>
      </c>
      <c r="B6631" s="1" t="s">
        <v>439</v>
      </c>
      <c r="C6631" s="1" t="s">
        <v>62</v>
      </c>
      <c r="D6631" s="1">
        <v>1.0</v>
      </c>
      <c r="E6631" s="1">
        <v>11384.0</v>
      </c>
      <c r="F6631" s="10">
        <f t="shared" si="1"/>
        <v>1</v>
      </c>
      <c r="G6631" s="10">
        <f t="array" ref="G6631">index('Player ID'!C:C,match(E6631,'Player ID'!B:B,0))</f>
        <v>592454</v>
      </c>
    </row>
    <row r="6632">
      <c r="A6632" s="76">
        <v>45801.0</v>
      </c>
      <c r="B6632" s="1" t="s">
        <v>141</v>
      </c>
      <c r="C6632" s="1" t="s">
        <v>70</v>
      </c>
      <c r="D6632" s="1">
        <v>1.0</v>
      </c>
      <c r="E6632" s="1">
        <v>19330.0</v>
      </c>
      <c r="F6632" s="10">
        <f t="shared" si="1"/>
        <v>1</v>
      </c>
      <c r="G6632" s="10">
        <f t="array" ref="G6632">index('Player ID'!C:C,match(E6632,'Player ID'!B:B,0))</f>
        <v>670036</v>
      </c>
    </row>
    <row r="6633">
      <c r="A6633" s="76">
        <v>45801.0</v>
      </c>
      <c r="B6633" s="1" t="s">
        <v>131</v>
      </c>
      <c r="C6633" s="1" t="s">
        <v>62</v>
      </c>
      <c r="D6633" s="1">
        <v>1.1</v>
      </c>
      <c r="E6633" s="1">
        <v>19769.0</v>
      </c>
      <c r="F6633" s="10">
        <f t="shared" si="1"/>
        <v>1.333333333</v>
      </c>
      <c r="G6633" s="10">
        <f t="array" ref="G6633">index('Player ID'!C:C,match(E6633,'Player ID'!B:B,0))</f>
        <v>676684</v>
      </c>
    </row>
    <row r="6634">
      <c r="A6634" s="76">
        <v>45801.0</v>
      </c>
      <c r="B6634" s="1" t="s">
        <v>125</v>
      </c>
      <c r="C6634" s="1" t="s">
        <v>62</v>
      </c>
      <c r="D6634" s="1">
        <v>5.0</v>
      </c>
      <c r="E6634" s="1">
        <v>20492.0</v>
      </c>
      <c r="F6634" s="10">
        <f t="shared" si="1"/>
        <v>5</v>
      </c>
      <c r="G6634" s="10">
        <f t="array" ref="G6634">index('Player ID'!C:C,match(E6634,'Player ID'!B:B,0))</f>
        <v>663554</v>
      </c>
    </row>
    <row r="6635">
      <c r="A6635" s="76">
        <v>45801.0</v>
      </c>
      <c r="B6635" s="1" t="s">
        <v>132</v>
      </c>
      <c r="C6635" s="1" t="s">
        <v>70</v>
      </c>
      <c r="D6635" s="1">
        <v>1.0</v>
      </c>
      <c r="E6635" s="1">
        <v>21032.0</v>
      </c>
      <c r="F6635" s="10">
        <f t="shared" si="1"/>
        <v>1</v>
      </c>
      <c r="G6635" s="10">
        <f t="array" ref="G6635">index('Player ID'!C:C,match(E6635,'Player ID'!B:B,0))</f>
        <v>661403</v>
      </c>
    </row>
    <row r="6636">
      <c r="A6636" s="76">
        <v>45801.0</v>
      </c>
      <c r="B6636" s="1" t="s">
        <v>289</v>
      </c>
      <c r="C6636" s="1" t="s">
        <v>62</v>
      </c>
      <c r="D6636" s="1">
        <v>1.0</v>
      </c>
      <c r="E6636" s="1">
        <v>22304.0</v>
      </c>
      <c r="F6636" s="10">
        <f t="shared" si="1"/>
        <v>1</v>
      </c>
      <c r="G6636" s="10">
        <f t="array" ref="G6636">index('Player ID'!C:C,match(E6636,'Player ID'!B:B,0))</f>
        <v>669724</v>
      </c>
    </row>
    <row r="6637">
      <c r="A6637" s="76">
        <v>45801.0</v>
      </c>
      <c r="B6637" s="1" t="s">
        <v>398</v>
      </c>
      <c r="C6637" s="1" t="s">
        <v>70</v>
      </c>
      <c r="D6637" s="1">
        <v>1.0</v>
      </c>
      <c r="E6637" s="1">
        <v>23335.0</v>
      </c>
      <c r="F6637" s="10">
        <f t="shared" si="1"/>
        <v>1</v>
      </c>
      <c r="G6637" s="10">
        <f t="array" ref="G6637">index('Player ID'!C:C,match(E6637,'Player ID'!B:B,0))</f>
        <v>676282</v>
      </c>
    </row>
    <row r="6638">
      <c r="A6638" s="76">
        <v>45801.0</v>
      </c>
      <c r="B6638" s="1" t="s">
        <v>519</v>
      </c>
      <c r="C6638" s="1" t="s">
        <v>70</v>
      </c>
      <c r="D6638" s="1">
        <v>1.0</v>
      </c>
      <c r="E6638" s="1">
        <v>25139.0</v>
      </c>
      <c r="F6638" s="10">
        <f t="shared" si="1"/>
        <v>1</v>
      </c>
      <c r="G6638" s="10">
        <f t="array" ref="G6638">index('Player ID'!C:C,match(E6638,'Player ID'!B:B,0))</f>
        <v>682120</v>
      </c>
    </row>
    <row r="6639">
      <c r="A6639" s="76">
        <v>45801.0</v>
      </c>
      <c r="B6639" s="1" t="s">
        <v>484</v>
      </c>
      <c r="C6639" s="1" t="s">
        <v>70</v>
      </c>
      <c r="D6639" s="1">
        <v>5.0</v>
      </c>
      <c r="E6639" s="1">
        <v>27646.0</v>
      </c>
      <c r="F6639" s="10">
        <f t="shared" si="1"/>
        <v>5</v>
      </c>
      <c r="G6639" s="10">
        <f t="array" ref="G6639">index('Player ID'!C:C,match(E6639,'Player ID'!B:B,0))</f>
        <v>682847</v>
      </c>
    </row>
    <row r="6640">
      <c r="A6640" s="76">
        <v>45801.0</v>
      </c>
      <c r="B6640" s="1" t="s">
        <v>135</v>
      </c>
      <c r="C6640" s="1" t="s">
        <v>70</v>
      </c>
      <c r="D6640" s="1">
        <v>1.0</v>
      </c>
      <c r="E6640" s="1">
        <v>27867.0</v>
      </c>
      <c r="F6640" s="10">
        <f t="shared" si="1"/>
        <v>1</v>
      </c>
      <c r="G6640" s="10">
        <f t="array" ref="G6640">index('Player ID'!C:C,match(E6640,'Player ID'!B:B,0))</f>
        <v>671922</v>
      </c>
    </row>
    <row r="6641">
      <c r="A6641" s="76">
        <v>45801.0</v>
      </c>
      <c r="B6641" s="1" t="s">
        <v>487</v>
      </c>
      <c r="C6641" s="1" t="s">
        <v>62</v>
      </c>
      <c r="D6641" s="1">
        <v>1.2</v>
      </c>
      <c r="E6641" s="1">
        <v>30133.0</v>
      </c>
      <c r="F6641" s="10">
        <f t="shared" si="1"/>
        <v>1.666666667</v>
      </c>
      <c r="G6641" s="10">
        <f t="array" ref="G6641">index('Player ID'!C:C,match(E6641,'Player ID'!B:B,0))</f>
        <v>676428</v>
      </c>
    </row>
    <row r="6642">
      <c r="A6642" s="76">
        <v>45801.0</v>
      </c>
      <c r="B6642" s="1" t="s">
        <v>360</v>
      </c>
      <c r="C6642" s="1" t="s">
        <v>45</v>
      </c>
      <c r="D6642" s="1">
        <v>2.0</v>
      </c>
      <c r="E6642" s="1">
        <v>12972.0</v>
      </c>
      <c r="F6642" s="10">
        <f t="shared" si="1"/>
        <v>2</v>
      </c>
      <c r="G6642" s="10">
        <f t="array" ref="G6642">index('Player ID'!C:C,match(E6642,'Player ID'!B:B,0))</f>
        <v>605452</v>
      </c>
    </row>
    <row r="6643">
      <c r="A6643" s="76">
        <v>45801.0</v>
      </c>
      <c r="B6643" s="1" t="s">
        <v>699</v>
      </c>
      <c r="C6643" s="1" t="s">
        <v>45</v>
      </c>
      <c r="D6643" s="1">
        <v>0.2</v>
      </c>
      <c r="E6643" s="1">
        <v>14552.0</v>
      </c>
      <c r="F6643" s="10">
        <f t="shared" si="1"/>
        <v>0.6666666667</v>
      </c>
      <c r="G6643" s="10">
        <f t="array" ref="G6643">index('Player ID'!C:C,match(E6643,'Player ID'!B:B,0))</f>
        <v>614179</v>
      </c>
    </row>
    <row r="6644">
      <c r="A6644" s="76">
        <v>45801.0</v>
      </c>
      <c r="B6644" s="1" t="s">
        <v>138</v>
      </c>
      <c r="C6644" s="1" t="s">
        <v>45</v>
      </c>
      <c r="D6644" s="1">
        <v>1.0</v>
      </c>
      <c r="E6644" s="1">
        <v>16990.0</v>
      </c>
      <c r="F6644" s="10">
        <f t="shared" si="1"/>
        <v>1</v>
      </c>
      <c r="G6644" s="10">
        <f t="array" ref="G6644">index('Player ID'!C:C,match(E6644,'Player ID'!B:B,0))</f>
        <v>621383</v>
      </c>
    </row>
    <row r="6645">
      <c r="A6645" s="76">
        <v>45801.0</v>
      </c>
      <c r="B6645" s="1" t="s">
        <v>336</v>
      </c>
      <c r="C6645" s="1" t="s">
        <v>52</v>
      </c>
      <c r="D6645" s="1">
        <v>6.0</v>
      </c>
      <c r="E6645" s="1">
        <v>17677.0</v>
      </c>
      <c r="F6645" s="10">
        <f t="shared" si="1"/>
        <v>6</v>
      </c>
      <c r="G6645" s="10">
        <f t="array" ref="G6645">index('Player ID'!C:C,match(E6645,'Player ID'!B:B,0))</f>
        <v>605488</v>
      </c>
    </row>
    <row r="6646">
      <c r="A6646" s="76">
        <v>45801.0</v>
      </c>
      <c r="B6646" s="1" t="s">
        <v>505</v>
      </c>
      <c r="C6646" s="1" t="s">
        <v>52</v>
      </c>
      <c r="D6646" s="1">
        <v>0.2</v>
      </c>
      <c r="E6646" s="1">
        <v>19481.0</v>
      </c>
      <c r="F6646" s="10">
        <f t="shared" si="1"/>
        <v>0.6666666667</v>
      </c>
      <c r="G6646" s="10">
        <f t="array" ref="G6646">index('Player ID'!C:C,match(E6646,'Player ID'!B:B,0))</f>
        <v>621053</v>
      </c>
    </row>
    <row r="6647">
      <c r="A6647" s="76">
        <v>45801.0</v>
      </c>
      <c r="B6647" s="1" t="s">
        <v>747</v>
      </c>
      <c r="C6647" s="1" t="s">
        <v>45</v>
      </c>
      <c r="D6647" s="1">
        <v>4.2</v>
      </c>
      <c r="E6647" s="1">
        <v>20778.0</v>
      </c>
      <c r="F6647" s="10">
        <f t="shared" si="1"/>
        <v>4.666666667</v>
      </c>
      <c r="G6647" s="10">
        <f t="array" ref="G6647">index('Player ID'!C:C,match(E6647,'Player ID'!B:B,0))</f>
        <v>650911</v>
      </c>
    </row>
    <row r="6648">
      <c r="A6648" s="76">
        <v>45801.0</v>
      </c>
      <c r="B6648" s="1" t="s">
        <v>227</v>
      </c>
      <c r="C6648" s="1" t="s">
        <v>52</v>
      </c>
      <c r="D6648" s="1">
        <v>0.1</v>
      </c>
      <c r="E6648" s="1">
        <v>21520.0</v>
      </c>
      <c r="F6648" s="10">
        <f t="shared" si="1"/>
        <v>0.3333333333</v>
      </c>
      <c r="G6648" s="10">
        <f t="array" ref="G6648">index('Player ID'!C:C,match(E6648,'Player ID'!B:B,0))</f>
        <v>663687</v>
      </c>
    </row>
    <row r="6649">
      <c r="A6649" s="76">
        <v>45801.0</v>
      </c>
      <c r="B6649" s="1" t="s">
        <v>830</v>
      </c>
      <c r="C6649" s="1" t="s">
        <v>52</v>
      </c>
      <c r="D6649" s="1">
        <v>0.2</v>
      </c>
      <c r="E6649" s="1">
        <v>22533.0</v>
      </c>
      <c r="F6649" s="10">
        <f t="shared" si="1"/>
        <v>0.6666666667</v>
      </c>
      <c r="G6649" s="10">
        <f t="array" ref="G6649">index('Player ID'!C:C,match(E6649,'Player ID'!B:B,0))</f>
        <v>671305</v>
      </c>
    </row>
    <row r="6650">
      <c r="A6650" s="76">
        <v>45801.0</v>
      </c>
      <c r="B6650" s="1" t="s">
        <v>701</v>
      </c>
      <c r="C6650" s="1" t="s">
        <v>45</v>
      </c>
      <c r="D6650" s="1">
        <v>0.2</v>
      </c>
      <c r="E6650" s="1">
        <v>22713.0</v>
      </c>
      <c r="F6650" s="10">
        <f t="shared" si="1"/>
        <v>0.6666666667</v>
      </c>
      <c r="G6650" s="10">
        <f t="array" ref="G6650">index('Player ID'!C:C,match(E6650,'Player ID'!B:B,0))</f>
        <v>672578</v>
      </c>
    </row>
    <row r="6651">
      <c r="A6651" s="76">
        <v>45801.0</v>
      </c>
      <c r="B6651" s="1" t="s">
        <v>258</v>
      </c>
      <c r="C6651" s="1" t="s">
        <v>45</v>
      </c>
      <c r="D6651" s="1">
        <v>1.0</v>
      </c>
      <c r="E6651" s="1">
        <v>23426.0</v>
      </c>
      <c r="F6651" s="10">
        <f t="shared" si="1"/>
        <v>1</v>
      </c>
      <c r="G6651" s="10" t="str">
        <f t="array" ref="G6651">index('Player ID'!C:C,match(E6651,'Player ID'!B:B,0))</f>
        <v>#N/A</v>
      </c>
    </row>
    <row r="6652">
      <c r="A6652" s="76">
        <v>45801.0</v>
      </c>
      <c r="B6652" s="1" t="s">
        <v>213</v>
      </c>
      <c r="C6652" s="1" t="s">
        <v>52</v>
      </c>
      <c r="D6652" s="1">
        <v>0.1</v>
      </c>
      <c r="E6652" s="1">
        <v>27694.0</v>
      </c>
      <c r="F6652" s="10">
        <f t="shared" si="1"/>
        <v>0.3333333333</v>
      </c>
      <c r="G6652" s="10">
        <f t="array" ref="G6652">index('Player ID'!C:C,match(E6652,'Player ID'!B:B,0))</f>
        <v>686993</v>
      </c>
    </row>
    <row r="6653">
      <c r="A6653" s="76">
        <v>45801.0</v>
      </c>
      <c r="B6653" s="1" t="s">
        <v>127</v>
      </c>
      <c r="C6653" s="1" t="s">
        <v>52</v>
      </c>
      <c r="D6653" s="1">
        <v>1.0</v>
      </c>
      <c r="E6653" s="1">
        <v>27707.0</v>
      </c>
      <c r="F6653" s="10">
        <f t="shared" si="1"/>
        <v>1</v>
      </c>
      <c r="G6653" s="10">
        <f t="array" ref="G6653">index('Player ID'!C:C,match(E6653,'Player ID'!B:B,0))</f>
        <v>687765</v>
      </c>
    </row>
    <row r="6654">
      <c r="A6654" s="76">
        <v>45801.0</v>
      </c>
      <c r="B6654" s="1" t="s">
        <v>681</v>
      </c>
      <c r="C6654" s="1" t="s">
        <v>52</v>
      </c>
      <c r="D6654" s="1">
        <v>1.0</v>
      </c>
      <c r="E6654" s="1">
        <v>30002.0</v>
      </c>
      <c r="F6654" s="10">
        <f t="shared" si="1"/>
        <v>1</v>
      </c>
      <c r="G6654" s="10">
        <f t="array" ref="G6654">index('Player ID'!C:C,match(E6654,'Player ID'!B:B,0))</f>
        <v>680880</v>
      </c>
    </row>
    <row r="6655">
      <c r="A6655" s="76">
        <v>45801.0</v>
      </c>
      <c r="B6655" s="1" t="s">
        <v>286</v>
      </c>
      <c r="C6655" s="1" t="s">
        <v>52</v>
      </c>
      <c r="D6655" s="1">
        <v>1.0</v>
      </c>
      <c r="E6655" s="1">
        <v>31757.0</v>
      </c>
      <c r="F6655" s="10">
        <f t="shared" si="1"/>
        <v>1</v>
      </c>
      <c r="G6655" s="10">
        <f t="array" ref="G6655">index('Player ID'!C:C,match(E6655,'Player ID'!B:B,0))</f>
        <v>695243</v>
      </c>
    </row>
    <row r="6656">
      <c r="A6656" s="76">
        <v>45801.0</v>
      </c>
      <c r="B6656" s="1" t="s">
        <v>165</v>
      </c>
      <c r="C6656" s="1" t="s">
        <v>45</v>
      </c>
      <c r="D6656" s="1">
        <v>1.0</v>
      </c>
      <c r="E6656" s="1">
        <v>31776.0</v>
      </c>
      <c r="F6656" s="10">
        <f t="shared" si="1"/>
        <v>1</v>
      </c>
      <c r="G6656" s="10">
        <f t="array" ref="G6656">index('Player ID'!C:C,match(E6656,'Player ID'!B:B,0))</f>
        <v>689147</v>
      </c>
    </row>
    <row r="6657">
      <c r="A6657" s="76">
        <v>45801.0</v>
      </c>
      <c r="B6657" s="1" t="s">
        <v>291</v>
      </c>
      <c r="C6657" s="1" t="s">
        <v>25</v>
      </c>
      <c r="D6657" s="1">
        <v>1.1</v>
      </c>
      <c r="E6657" s="1">
        <v>17968.0</v>
      </c>
      <c r="F6657" s="10">
        <f t="shared" si="1"/>
        <v>1.333333333</v>
      </c>
      <c r="G6657" s="10">
        <f t="array" ref="G6657">index('Player ID'!C:C,match(E6657,'Player ID'!B:B,0))</f>
        <v>656271</v>
      </c>
    </row>
    <row r="6658">
      <c r="A6658" s="76">
        <v>45801.0</v>
      </c>
      <c r="B6658" s="1" t="s">
        <v>464</v>
      </c>
      <c r="C6658" s="1" t="s">
        <v>36</v>
      </c>
      <c r="D6658" s="1">
        <v>3.1</v>
      </c>
      <c r="E6658" s="1">
        <v>19312.0</v>
      </c>
      <c r="F6658" s="10">
        <f t="shared" si="1"/>
        <v>3.333333333</v>
      </c>
      <c r="G6658" s="10">
        <f t="array" ref="G6658">index('Player ID'!C:C,match(E6658,'Player ID'!B:B,0))</f>
        <v>615698</v>
      </c>
    </row>
    <row r="6659">
      <c r="A6659" s="76">
        <v>45801.0</v>
      </c>
      <c r="B6659" s="1" t="s">
        <v>695</v>
      </c>
      <c r="C6659" s="1" t="s">
        <v>25</v>
      </c>
      <c r="D6659" s="1">
        <v>4.2</v>
      </c>
      <c r="E6659" s="1">
        <v>22100.0</v>
      </c>
      <c r="F6659" s="10">
        <f t="shared" si="1"/>
        <v>4.666666667</v>
      </c>
      <c r="G6659" s="10">
        <f t="array" ref="G6659">index('Player ID'!C:C,match(E6659,'Player ID'!B:B,0))</f>
        <v>667755</v>
      </c>
    </row>
    <row r="6660">
      <c r="A6660" s="76">
        <v>45801.0</v>
      </c>
      <c r="B6660" s="1" t="s">
        <v>35</v>
      </c>
      <c r="C6660" s="1" t="s">
        <v>36</v>
      </c>
      <c r="D6660" s="1">
        <v>5.0</v>
      </c>
      <c r="E6660" s="1">
        <v>23301.0</v>
      </c>
      <c r="F6660" s="10">
        <f t="shared" si="1"/>
        <v>5</v>
      </c>
      <c r="G6660" s="10">
        <f t="array" ref="G6660">index('Player ID'!C:C,match(E6660,'Player ID'!B:B,0))</f>
        <v>676083</v>
      </c>
    </row>
    <row r="6661">
      <c r="A6661" s="76">
        <v>45801.0</v>
      </c>
      <c r="B6661" s="1" t="s">
        <v>123</v>
      </c>
      <c r="C6661" s="1" t="s">
        <v>36</v>
      </c>
      <c r="D6661" s="1">
        <v>0.2</v>
      </c>
      <c r="E6661" s="1">
        <v>24094.0</v>
      </c>
      <c r="F6661" s="10">
        <f t="shared" si="1"/>
        <v>0.6666666667</v>
      </c>
      <c r="G6661" s="10">
        <f t="array" ref="G6661">index('Player ID'!C:C,match(E6661,'Player ID'!B:B,0))</f>
        <v>678692</v>
      </c>
    </row>
    <row r="6662">
      <c r="A6662" s="76">
        <v>45801.0</v>
      </c>
      <c r="B6662" s="1" t="s">
        <v>510</v>
      </c>
      <c r="C6662" s="1" t="s">
        <v>25</v>
      </c>
      <c r="D6662" s="1">
        <v>3.0</v>
      </c>
      <c r="E6662" s="1">
        <v>31508.0</v>
      </c>
      <c r="F6662" s="10">
        <f t="shared" si="1"/>
        <v>3</v>
      </c>
      <c r="G6662" s="10">
        <f t="array" ref="G6662">index('Player ID'!C:C,match(E6662,'Player ID'!B:B,0))</f>
        <v>702674</v>
      </c>
    </row>
    <row r="6663">
      <c r="A6663" s="76">
        <v>45802.0</v>
      </c>
      <c r="B6663" s="1" t="s">
        <v>117</v>
      </c>
      <c r="C6663" s="1" t="s">
        <v>70</v>
      </c>
      <c r="D6663" s="1">
        <v>2.1</v>
      </c>
      <c r="E6663" s="1">
        <v>13619.0</v>
      </c>
      <c r="F6663" s="10">
        <f t="shared" si="1"/>
        <v>2.333333333</v>
      </c>
      <c r="G6663" s="10">
        <f t="array" ref="G6663">index('Player ID'!C:C,match(E6663,'Player ID'!B:B,0))</f>
        <v>596001</v>
      </c>
    </row>
    <row r="6664">
      <c r="A6664" s="76">
        <v>45802.0</v>
      </c>
      <c r="B6664" s="1" t="s">
        <v>84</v>
      </c>
      <c r="C6664" s="1" t="s">
        <v>62</v>
      </c>
      <c r="D6664" s="1">
        <v>9.0</v>
      </c>
      <c r="E6664" s="1">
        <v>22267.0</v>
      </c>
      <c r="F6664" s="10">
        <f t="shared" si="1"/>
        <v>9</v>
      </c>
      <c r="G6664" s="10">
        <f t="array" ref="G6664">index('Player ID'!C:C,match(E6664,'Player ID'!B:B,0))</f>
        <v>669373</v>
      </c>
    </row>
    <row r="6665">
      <c r="A6665" s="76">
        <v>45802.0</v>
      </c>
      <c r="B6665" s="1" t="s">
        <v>375</v>
      </c>
      <c r="C6665" s="1" t="s">
        <v>70</v>
      </c>
      <c r="D6665" s="1">
        <v>2.0</v>
      </c>
      <c r="E6665" s="1">
        <v>25553.0</v>
      </c>
      <c r="F6665" s="10">
        <f t="shared" si="1"/>
        <v>2</v>
      </c>
      <c r="G6665" s="10" t="str">
        <f t="array" ref="G6665">index('Player ID'!C:C,match(E6665,'Player ID'!B:B,0))</f>
        <v>#N/A</v>
      </c>
    </row>
    <row r="6666">
      <c r="A6666" s="76">
        <v>45802.0</v>
      </c>
      <c r="B6666" s="1" t="s">
        <v>372</v>
      </c>
      <c r="C6666" s="1" t="s">
        <v>70</v>
      </c>
      <c r="D6666" s="1">
        <v>3.2</v>
      </c>
      <c r="E6666" s="1">
        <v>27589.0</v>
      </c>
      <c r="F6666" s="10">
        <f t="shared" si="1"/>
        <v>3.666666667</v>
      </c>
      <c r="G6666" s="10">
        <f t="array" ref="G6666">index('Player ID'!C:C,match(E6666,'Player ID'!B:B,0))</f>
        <v>671106</v>
      </c>
    </row>
    <row r="6667">
      <c r="A6667" s="76">
        <v>45802.0</v>
      </c>
      <c r="B6667" s="1" t="s">
        <v>303</v>
      </c>
      <c r="C6667" s="1" t="s">
        <v>31</v>
      </c>
      <c r="D6667" s="1">
        <v>6.0</v>
      </c>
      <c r="E6667" s="1">
        <v>11486.0</v>
      </c>
      <c r="F6667" s="10">
        <f t="shared" si="1"/>
        <v>6</v>
      </c>
      <c r="G6667" s="10">
        <f t="array" ref="G6667">index('Player ID'!C:C,match(E6667,'Player ID'!B:B,0))</f>
        <v>592662</v>
      </c>
    </row>
    <row r="6668">
      <c r="A6668" s="76">
        <v>45802.0</v>
      </c>
      <c r="B6668" s="1" t="s">
        <v>20</v>
      </c>
      <c r="C6668" s="1" t="s">
        <v>31</v>
      </c>
      <c r="D6668" s="1">
        <v>1.0</v>
      </c>
      <c r="E6668" s="1">
        <v>15541.0</v>
      </c>
      <c r="F6668" s="10">
        <f t="shared" si="1"/>
        <v>1</v>
      </c>
      <c r="G6668" s="10">
        <f t="array" ref="G6668">index('Player ID'!C:C,match(E6668,'Player ID'!B:B,0))</f>
        <v>643511</v>
      </c>
    </row>
    <row r="6669">
      <c r="A6669" s="76">
        <v>45802.0</v>
      </c>
      <c r="B6669" s="1" t="s">
        <v>480</v>
      </c>
      <c r="C6669" s="1" t="s">
        <v>80</v>
      </c>
      <c r="D6669" s="1">
        <v>6.0</v>
      </c>
      <c r="E6669" s="1">
        <v>18383.0</v>
      </c>
      <c r="F6669" s="10">
        <f t="shared" si="1"/>
        <v>6</v>
      </c>
      <c r="G6669" s="10">
        <f t="array" ref="G6669">index('Player ID'!C:C,match(E6669,'Player ID'!B:B,0))</f>
        <v>647336</v>
      </c>
    </row>
    <row r="6670">
      <c r="A6670" s="76">
        <v>45802.0</v>
      </c>
      <c r="B6670" s="1" t="s">
        <v>403</v>
      </c>
      <c r="C6670" s="1" t="s">
        <v>31</v>
      </c>
      <c r="D6670" s="1">
        <v>1.0</v>
      </c>
      <c r="E6670" s="1">
        <v>20423.0</v>
      </c>
      <c r="F6670" s="10">
        <f t="shared" si="1"/>
        <v>1</v>
      </c>
      <c r="G6670" s="10">
        <f t="array" ref="G6670">index('Player ID'!C:C,match(E6670,'Player ID'!B:B,0))</f>
        <v>676254</v>
      </c>
    </row>
    <row r="6671">
      <c r="A6671" s="76">
        <v>45802.0</v>
      </c>
      <c r="B6671" s="1" t="s">
        <v>654</v>
      </c>
      <c r="C6671" s="1" t="s">
        <v>31</v>
      </c>
      <c r="D6671" s="1">
        <v>1.0</v>
      </c>
      <c r="E6671" s="1">
        <v>23974.0</v>
      </c>
      <c r="F6671" s="10">
        <f t="shared" si="1"/>
        <v>1</v>
      </c>
      <c r="G6671" s="10">
        <f t="array" ref="G6671">index('Player ID'!C:C,match(E6671,'Player ID'!B:B,0))</f>
        <v>678495</v>
      </c>
    </row>
    <row r="6672">
      <c r="A6672" s="76">
        <v>45802.0</v>
      </c>
      <c r="B6672" s="1" t="s">
        <v>507</v>
      </c>
      <c r="C6672" s="1" t="s">
        <v>80</v>
      </c>
      <c r="D6672" s="1">
        <v>1.0</v>
      </c>
      <c r="E6672" s="1">
        <v>27570.0</v>
      </c>
      <c r="F6672" s="10">
        <f t="shared" si="1"/>
        <v>1</v>
      </c>
      <c r="G6672" s="10">
        <f t="array" ref="G6672">index('Player ID'!C:C,match(E6672,'Player ID'!B:B,0))</f>
        <v>669371</v>
      </c>
    </row>
    <row r="6673">
      <c r="A6673" s="76">
        <v>45802.0</v>
      </c>
      <c r="B6673" s="1" t="s">
        <v>437</v>
      </c>
      <c r="C6673" s="1" t="s">
        <v>80</v>
      </c>
      <c r="D6673" s="1">
        <v>2.0</v>
      </c>
      <c r="E6673" s="1">
        <v>31972.0</v>
      </c>
      <c r="F6673" s="10">
        <f t="shared" si="1"/>
        <v>2</v>
      </c>
      <c r="G6673" s="10">
        <f t="array" ref="G6673">index('Player ID'!C:C,match(E6673,'Player ID'!B:B,0))</f>
        <v>695418</v>
      </c>
    </row>
    <row r="6674">
      <c r="A6674" s="76">
        <v>45802.0</v>
      </c>
      <c r="B6674" s="1" t="s">
        <v>757</v>
      </c>
      <c r="C6674" s="1" t="s">
        <v>22</v>
      </c>
      <c r="D6674" s="1">
        <v>1.0</v>
      </c>
      <c r="E6674" s="1">
        <v>3548.0</v>
      </c>
      <c r="F6674" s="10">
        <f t="shared" si="1"/>
        <v>1</v>
      </c>
      <c r="G6674" s="10">
        <f t="array" ref="G6674">index('Player ID'!C:C,match(E6674,'Player ID'!B:B,0))</f>
        <v>521230</v>
      </c>
    </row>
    <row r="6675">
      <c r="A6675" s="76">
        <v>45802.0</v>
      </c>
      <c r="B6675" s="1" t="s">
        <v>48</v>
      </c>
      <c r="C6675" s="1" t="s">
        <v>68</v>
      </c>
      <c r="D6675" s="1">
        <v>1.0</v>
      </c>
      <c r="E6675" s="1">
        <v>12828.0</v>
      </c>
      <c r="F6675" s="10">
        <f t="shared" si="1"/>
        <v>1</v>
      </c>
      <c r="G6675" s="10" t="str">
        <f t="array" ref="G6675">index('Player ID'!C:C,match(E6675,'Player ID'!B:B,0))</f>
        <v>#N/A</v>
      </c>
    </row>
    <row r="6676">
      <c r="A6676" s="76">
        <v>45802.0</v>
      </c>
      <c r="B6676" s="1" t="s">
        <v>294</v>
      </c>
      <c r="C6676" s="1" t="s">
        <v>68</v>
      </c>
      <c r="D6676" s="1">
        <v>5.1</v>
      </c>
      <c r="E6676" s="1">
        <v>19350.0</v>
      </c>
      <c r="F6676" s="10">
        <f t="shared" si="1"/>
        <v>5.333333333</v>
      </c>
      <c r="G6676" s="10">
        <f t="array" ref="G6676">index('Player ID'!C:C,match(E6676,'Player ID'!B:B,0))</f>
        <v>665152</v>
      </c>
    </row>
    <row r="6677">
      <c r="A6677" s="76">
        <v>45802.0</v>
      </c>
      <c r="B6677" s="1" t="s">
        <v>231</v>
      </c>
      <c r="C6677" s="1" t="s">
        <v>68</v>
      </c>
      <c r="D6677" s="1">
        <v>1.0</v>
      </c>
      <c r="E6677" s="1">
        <v>19362.0</v>
      </c>
      <c r="F6677" s="10">
        <f t="shared" si="1"/>
        <v>1</v>
      </c>
      <c r="G6677" s="10">
        <f t="array" ref="G6677">index('Player ID'!C:C,match(E6677,'Player ID'!B:B,0))</f>
        <v>669211</v>
      </c>
    </row>
    <row r="6678">
      <c r="A6678" s="76">
        <v>45802.0</v>
      </c>
      <c r="B6678" s="1" t="s">
        <v>405</v>
      </c>
      <c r="C6678" s="1" t="s">
        <v>22</v>
      </c>
      <c r="D6678" s="1">
        <v>5.0</v>
      </c>
      <c r="E6678" s="1">
        <v>19374.0</v>
      </c>
      <c r="F6678" s="10">
        <f t="shared" si="1"/>
        <v>5</v>
      </c>
      <c r="G6678" s="10">
        <f t="array" ref="G6678">index('Player ID'!C:C,match(E6678,'Player ID'!B:B,0))</f>
        <v>621111</v>
      </c>
    </row>
    <row r="6679">
      <c r="A6679" s="76">
        <v>45802.0</v>
      </c>
      <c r="B6679" s="1" t="s">
        <v>433</v>
      </c>
      <c r="C6679" s="1" t="s">
        <v>68</v>
      </c>
      <c r="D6679" s="1">
        <v>0.2</v>
      </c>
      <c r="E6679" s="1">
        <v>19677.0</v>
      </c>
      <c r="F6679" s="10">
        <f t="shared" si="1"/>
        <v>0.6666666667</v>
      </c>
      <c r="G6679" s="10">
        <f t="array" ref="G6679">index('Player ID'!C:C,match(E6679,'Player ID'!B:B,0))</f>
        <v>642397</v>
      </c>
    </row>
    <row r="6680">
      <c r="A6680" s="76">
        <v>45802.0</v>
      </c>
      <c r="B6680" s="1" t="s">
        <v>240</v>
      </c>
      <c r="C6680" s="1" t="s">
        <v>68</v>
      </c>
      <c r="D6680" s="1">
        <v>1.0</v>
      </c>
      <c r="E6680" s="1">
        <v>19804.0</v>
      </c>
      <c r="F6680" s="10">
        <f t="shared" si="1"/>
        <v>1</v>
      </c>
      <c r="G6680" s="10">
        <f t="array" ref="G6680">index('Player ID'!C:C,match(E6680,'Player ID'!B:B,0))</f>
        <v>641329</v>
      </c>
    </row>
    <row r="6681">
      <c r="A6681" s="76">
        <v>45802.0</v>
      </c>
      <c r="B6681" s="1" t="s">
        <v>134</v>
      </c>
      <c r="C6681" s="1" t="s">
        <v>22</v>
      </c>
      <c r="D6681" s="1">
        <v>2.0</v>
      </c>
      <c r="E6681" s="1">
        <v>20349.0</v>
      </c>
      <c r="F6681" s="10">
        <f t="shared" si="1"/>
        <v>2</v>
      </c>
      <c r="G6681" s="10">
        <f t="array" ref="G6681">index('Player ID'!C:C,match(E6681,'Player ID'!B:B,0))</f>
        <v>677161</v>
      </c>
    </row>
    <row r="6682">
      <c r="A6682" s="76">
        <v>45802.0</v>
      </c>
      <c r="B6682" s="1" t="s">
        <v>406</v>
      </c>
      <c r="C6682" s="1" t="s">
        <v>22</v>
      </c>
      <c r="D6682" s="1">
        <v>1.0</v>
      </c>
      <c r="E6682" s="1">
        <v>20375.0</v>
      </c>
      <c r="F6682" s="10">
        <f t="shared" si="1"/>
        <v>1</v>
      </c>
      <c r="G6682" s="10">
        <f t="array" ref="G6682">index('Player ID'!C:C,match(E6682,'Player ID'!B:B,0))</f>
        <v>669711</v>
      </c>
    </row>
    <row r="6683">
      <c r="A6683" s="76">
        <v>45802.0</v>
      </c>
      <c r="B6683" s="1" t="s">
        <v>443</v>
      </c>
      <c r="C6683" s="1" t="s">
        <v>60</v>
      </c>
      <c r="D6683" s="1">
        <v>0.2</v>
      </c>
      <c r="E6683" s="1">
        <v>16350.0</v>
      </c>
      <c r="F6683" s="10">
        <f t="shared" si="1"/>
        <v>0.6666666667</v>
      </c>
      <c r="G6683" s="10">
        <f t="array" ref="G6683">index('Player ID'!C:C,match(E6683,'Player ID'!B:B,0))</f>
        <v>621366</v>
      </c>
    </row>
    <row r="6684">
      <c r="A6684" s="76">
        <v>45802.0</v>
      </c>
      <c r="B6684" s="1" t="s">
        <v>13</v>
      </c>
      <c r="C6684" s="1" t="s">
        <v>14</v>
      </c>
      <c r="D6684" s="1">
        <v>1.0</v>
      </c>
      <c r="E6684" s="1">
        <v>17722.0</v>
      </c>
      <c r="F6684" s="10">
        <f t="shared" si="1"/>
        <v>1</v>
      </c>
      <c r="G6684" s="10">
        <f t="array" ref="G6684">index('Player ID'!C:C,match(E6684,'Player ID'!B:B,0))</f>
        <v>656730</v>
      </c>
    </row>
    <row r="6685">
      <c r="A6685" s="76">
        <v>45802.0</v>
      </c>
      <c r="B6685" s="1" t="s">
        <v>220</v>
      </c>
      <c r="C6685" s="1" t="s">
        <v>60</v>
      </c>
      <c r="D6685" s="1">
        <v>5.2</v>
      </c>
      <c r="E6685" s="1">
        <v>20070.0</v>
      </c>
      <c r="F6685" s="10">
        <f t="shared" si="1"/>
        <v>5.666666667</v>
      </c>
      <c r="G6685" s="10">
        <f t="array" ref="G6685">index('Player ID'!C:C,match(E6685,'Player ID'!B:B,0))</f>
        <v>663559</v>
      </c>
    </row>
    <row r="6686">
      <c r="A6686" s="76">
        <v>45802.0</v>
      </c>
      <c r="B6686" s="1" t="s">
        <v>338</v>
      </c>
      <c r="C6686" s="1" t="s">
        <v>60</v>
      </c>
      <c r="D6686" s="1">
        <v>1.1</v>
      </c>
      <c r="E6686" s="1">
        <v>20385.0</v>
      </c>
      <c r="F6686" s="10">
        <f t="shared" si="1"/>
        <v>1.333333333</v>
      </c>
      <c r="G6686" s="10" t="str">
        <f t="array" ref="G6686">index('Player ID'!C:C,match(E6686,'Player ID'!B:B,0))</f>
        <v>#N/A</v>
      </c>
    </row>
    <row r="6687">
      <c r="A6687" s="76">
        <v>45802.0</v>
      </c>
      <c r="B6687" s="1" t="s">
        <v>463</v>
      </c>
      <c r="C6687" s="1" t="s">
        <v>60</v>
      </c>
      <c r="D6687" s="1">
        <v>1.1</v>
      </c>
      <c r="E6687" s="1">
        <v>21544.0</v>
      </c>
      <c r="F6687" s="10">
        <f t="shared" si="1"/>
        <v>1.333333333</v>
      </c>
      <c r="G6687" s="10">
        <f t="array" ref="G6687">index('Player ID'!C:C,match(E6687,'Player ID'!B:B,0))</f>
        <v>663767</v>
      </c>
    </row>
    <row r="6688">
      <c r="A6688" s="76">
        <v>45802.0</v>
      </c>
      <c r="B6688" s="1" t="s">
        <v>279</v>
      </c>
      <c r="C6688" s="1" t="s">
        <v>14</v>
      </c>
      <c r="D6688" s="1">
        <v>1.0</v>
      </c>
      <c r="E6688" s="1">
        <v>25327.0</v>
      </c>
      <c r="F6688" s="10">
        <f t="shared" si="1"/>
        <v>1</v>
      </c>
      <c r="G6688" s="10">
        <f t="array" ref="G6688">index('Player ID'!C:C,match(E6688,'Player ID'!B:B,0))</f>
        <v>682842</v>
      </c>
    </row>
    <row r="6689">
      <c r="A6689" s="76">
        <v>45802.0</v>
      </c>
      <c r="B6689" s="1" t="s">
        <v>112</v>
      </c>
      <c r="C6689" s="1" t="s">
        <v>14</v>
      </c>
      <c r="D6689" s="1">
        <v>0.1</v>
      </c>
      <c r="E6689" s="1">
        <v>25376.0</v>
      </c>
      <c r="F6689" s="10">
        <f t="shared" si="1"/>
        <v>0.3333333333</v>
      </c>
      <c r="G6689" s="10">
        <f t="array" ref="G6689">index('Player ID'!C:C,match(E6689,'Player ID'!B:B,0))</f>
        <v>683232</v>
      </c>
    </row>
    <row r="6690">
      <c r="A6690" s="76">
        <v>45802.0</v>
      </c>
      <c r="B6690" s="1" t="s">
        <v>418</v>
      </c>
      <c r="C6690" s="1" t="s">
        <v>14</v>
      </c>
      <c r="D6690" s="1">
        <v>1.2</v>
      </c>
      <c r="E6690" s="1">
        <v>27517.0</v>
      </c>
      <c r="F6690" s="10">
        <f t="shared" si="1"/>
        <v>1.666666667</v>
      </c>
      <c r="G6690" s="10">
        <f t="array" ref="G6690">index('Player ID'!C:C,match(E6690,'Player ID'!B:B,0))</f>
        <v>657649</v>
      </c>
    </row>
    <row r="6691">
      <c r="A6691" s="76">
        <v>45802.0</v>
      </c>
      <c r="B6691" s="1" t="s">
        <v>555</v>
      </c>
      <c r="C6691" s="1" t="s">
        <v>14</v>
      </c>
      <c r="D6691" s="1">
        <v>5.0</v>
      </c>
      <c r="E6691" s="1">
        <v>31475.0</v>
      </c>
      <c r="F6691" s="10">
        <f t="shared" si="1"/>
        <v>5</v>
      </c>
      <c r="G6691" s="10">
        <f t="array" ref="G6691">index('Player ID'!C:C,match(E6691,'Player ID'!B:B,0))</f>
        <v>701656</v>
      </c>
    </row>
    <row r="6692">
      <c r="A6692" s="76">
        <v>45802.0</v>
      </c>
      <c r="B6692" s="1" t="s">
        <v>456</v>
      </c>
      <c r="C6692" s="1" t="s">
        <v>40</v>
      </c>
      <c r="D6692" s="1">
        <v>4.0</v>
      </c>
      <c r="E6692" s="1">
        <v>12304.0</v>
      </c>
      <c r="F6692" s="10">
        <f t="shared" si="1"/>
        <v>4</v>
      </c>
      <c r="G6692" s="10">
        <f t="array" ref="G6692">index('Player ID'!C:C,match(E6692,'Player ID'!B:B,0))</f>
        <v>605135</v>
      </c>
    </row>
    <row r="6693">
      <c r="A6693" s="76">
        <v>45802.0</v>
      </c>
      <c r="B6693" s="1" t="s">
        <v>784</v>
      </c>
      <c r="C6693" s="1" t="s">
        <v>54</v>
      </c>
      <c r="D6693" s="1">
        <v>1.0</v>
      </c>
      <c r="E6693" s="1">
        <v>15256.0</v>
      </c>
      <c r="F6693" s="10">
        <f t="shared" si="1"/>
        <v>1</v>
      </c>
      <c r="G6693" s="10">
        <f t="array" ref="G6693">index('Player ID'!C:C,match(E6693,'Player ID'!B:B,0))</f>
        <v>642121</v>
      </c>
    </row>
    <row r="6694">
      <c r="A6694" s="76">
        <v>45802.0</v>
      </c>
      <c r="B6694" s="1" t="s">
        <v>842</v>
      </c>
      <c r="C6694" s="1" t="s">
        <v>40</v>
      </c>
      <c r="D6694" s="1">
        <v>1.0</v>
      </c>
      <c r="E6694" s="1">
        <v>25353.0</v>
      </c>
      <c r="F6694" s="10">
        <f t="shared" si="1"/>
        <v>1</v>
      </c>
      <c r="G6694" s="10" t="str">
        <f t="array" ref="G6694">index('Player ID'!C:C,match(E6694,'Player ID'!B:B,0))</f>
        <v>#N/A</v>
      </c>
    </row>
    <row r="6695">
      <c r="A6695" s="76">
        <v>45802.0</v>
      </c>
      <c r="B6695" s="1" t="s">
        <v>568</v>
      </c>
      <c r="C6695" s="1" t="s">
        <v>40</v>
      </c>
      <c r="D6695" s="1">
        <v>3.0</v>
      </c>
      <c r="E6695" s="1">
        <v>25501.0</v>
      </c>
      <c r="F6695" s="10">
        <f t="shared" si="1"/>
        <v>3</v>
      </c>
      <c r="G6695" s="10">
        <f t="array" ref="G6695">index('Player ID'!C:C,match(E6695,'Player ID'!B:B,0))</f>
        <v>687606</v>
      </c>
    </row>
    <row r="6696">
      <c r="A6696" s="76">
        <v>45802.0</v>
      </c>
      <c r="B6696" s="1" t="s">
        <v>129</v>
      </c>
      <c r="C6696" s="1" t="s">
        <v>54</v>
      </c>
      <c r="D6696" s="1">
        <v>7.0</v>
      </c>
      <c r="E6696" s="1">
        <v>26221.0</v>
      </c>
      <c r="F6696" s="10">
        <f t="shared" si="1"/>
        <v>7</v>
      </c>
      <c r="G6696" s="10">
        <f t="array" ref="G6696">index('Player ID'!C:C,match(E6696,'Player ID'!B:B,0))</f>
        <v>686752</v>
      </c>
    </row>
    <row r="6697">
      <c r="A6697" s="76">
        <v>45802.0</v>
      </c>
      <c r="B6697" s="1" t="s">
        <v>257</v>
      </c>
      <c r="C6697" s="1" t="s">
        <v>54</v>
      </c>
      <c r="D6697" s="1">
        <v>1.0</v>
      </c>
      <c r="E6697" s="1">
        <v>27626.0</v>
      </c>
      <c r="F6697" s="10">
        <f t="shared" si="1"/>
        <v>1</v>
      </c>
      <c r="G6697" s="10">
        <f t="array" ref="G6697">index('Player ID'!C:C,match(E6697,'Player ID'!B:B,0))</f>
        <v>679358</v>
      </c>
    </row>
    <row r="6698">
      <c r="A6698" s="76">
        <v>45802.0</v>
      </c>
      <c r="B6698" s="1" t="s">
        <v>142</v>
      </c>
      <c r="C6698" s="1" t="s">
        <v>40</v>
      </c>
      <c r="D6698" s="1">
        <v>0.0</v>
      </c>
      <c r="E6698" s="1">
        <v>31553.0</v>
      </c>
      <c r="F6698" s="10">
        <f t="shared" si="1"/>
        <v>0</v>
      </c>
      <c r="G6698" s="10">
        <f t="array" ref="G6698">index('Player ID'!C:C,match(E6698,'Player ID'!B:B,0))</f>
        <v>689254</v>
      </c>
    </row>
    <row r="6699">
      <c r="A6699" s="76">
        <v>45802.0</v>
      </c>
      <c r="B6699" s="1" t="s">
        <v>629</v>
      </c>
      <c r="C6699" s="1" t="s">
        <v>34</v>
      </c>
      <c r="D6699" s="1">
        <v>1.0</v>
      </c>
      <c r="E6699" s="1">
        <v>5615.0</v>
      </c>
      <c r="F6699" s="10">
        <f t="shared" si="1"/>
        <v>1</v>
      </c>
      <c r="G6699" s="10">
        <f t="array" ref="G6699">index('Player ID'!C:C,match(E6699,'Player ID'!B:B,0))</f>
        <v>518489</v>
      </c>
    </row>
    <row r="6700">
      <c r="A6700" s="76">
        <v>45802.0</v>
      </c>
      <c r="B6700" s="1" t="s">
        <v>71</v>
      </c>
      <c r="C6700" s="1" t="s">
        <v>34</v>
      </c>
      <c r="D6700" s="1">
        <v>0.2</v>
      </c>
      <c r="E6700" s="1">
        <v>10078.0</v>
      </c>
      <c r="F6700" s="10">
        <f t="shared" si="1"/>
        <v>0.6666666667</v>
      </c>
      <c r="G6700" s="10">
        <f t="array" ref="G6700">index('Player ID'!C:C,match(E6700,'Player ID'!B:B,0))</f>
        <v>573204</v>
      </c>
    </row>
    <row r="6701">
      <c r="A6701" s="76">
        <v>45802.0</v>
      </c>
      <c r="B6701" s="1" t="s">
        <v>203</v>
      </c>
      <c r="C6701" s="1" t="s">
        <v>34</v>
      </c>
      <c r="D6701" s="1">
        <v>1.0</v>
      </c>
      <c r="E6701" s="1">
        <v>11426.0</v>
      </c>
      <c r="F6701" s="10">
        <f t="shared" si="1"/>
        <v>1</v>
      </c>
      <c r="G6701" s="10">
        <f t="array" ref="G6701">index('Player ID'!C:C,match(E6701,'Player ID'!B:B,0))</f>
        <v>519141</v>
      </c>
    </row>
    <row r="6702">
      <c r="A6702" s="76">
        <v>45802.0</v>
      </c>
      <c r="B6702" s="1" t="s">
        <v>362</v>
      </c>
      <c r="C6702" s="1" t="s">
        <v>66</v>
      </c>
      <c r="D6702" s="1">
        <v>0.0</v>
      </c>
      <c r="E6702" s="1">
        <v>13449.0</v>
      </c>
      <c r="F6702" s="10">
        <f t="shared" si="1"/>
        <v>0</v>
      </c>
      <c r="G6702" s="10">
        <f t="array" ref="G6702">index('Player ID'!C:C,match(E6702,'Player ID'!B:B,0))</f>
        <v>573124</v>
      </c>
    </row>
    <row r="6703">
      <c r="A6703" s="76">
        <v>45802.0</v>
      </c>
      <c r="B6703" s="1" t="s">
        <v>417</v>
      </c>
      <c r="C6703" s="1" t="s">
        <v>66</v>
      </c>
      <c r="D6703" s="1">
        <v>1.0</v>
      </c>
      <c r="E6703" s="1">
        <v>13942.0</v>
      </c>
      <c r="F6703" s="10">
        <f t="shared" si="1"/>
        <v>1</v>
      </c>
      <c r="G6703" s="10">
        <f t="array" ref="G6703">index('Player ID'!C:C,match(E6703,'Player ID'!B:B,0))</f>
        <v>608718</v>
      </c>
    </row>
    <row r="6704">
      <c r="A6704" s="76">
        <v>45802.0</v>
      </c>
      <c r="B6704" s="1" t="s">
        <v>475</v>
      </c>
      <c r="C6704" s="1" t="s">
        <v>66</v>
      </c>
      <c r="D6704" s="1">
        <v>1.0</v>
      </c>
      <c r="E6704" s="1">
        <v>14993.0</v>
      </c>
      <c r="F6704" s="10">
        <f t="shared" si="1"/>
        <v>1</v>
      </c>
      <c r="G6704" s="10">
        <f t="array" ref="G6704">index('Player ID'!C:C,match(E6704,'Player ID'!B:B,0))</f>
        <v>605130</v>
      </c>
    </row>
    <row r="6705">
      <c r="A6705" s="76">
        <v>45802.0</v>
      </c>
      <c r="B6705" s="1" t="s">
        <v>297</v>
      </c>
      <c r="C6705" s="1" t="s">
        <v>34</v>
      </c>
      <c r="D6705" s="1">
        <v>1.0</v>
      </c>
      <c r="E6705" s="1">
        <v>15734.0</v>
      </c>
      <c r="F6705" s="10">
        <f t="shared" si="1"/>
        <v>1</v>
      </c>
      <c r="G6705" s="10">
        <f t="array" ref="G6705">index('Player ID'!C:C,match(E6705,'Player ID'!B:B,0))</f>
        <v>641745</v>
      </c>
    </row>
    <row r="6706">
      <c r="A6706" s="76">
        <v>45802.0</v>
      </c>
      <c r="B6706" s="1" t="s">
        <v>341</v>
      </c>
      <c r="C6706" s="1" t="s">
        <v>34</v>
      </c>
      <c r="D6706" s="1">
        <v>4.1</v>
      </c>
      <c r="E6706" s="1">
        <v>23590.0</v>
      </c>
      <c r="F6706" s="10">
        <f t="shared" si="1"/>
        <v>4.333333333</v>
      </c>
      <c r="G6706" s="10">
        <f t="array" ref="G6706">index('Player ID'!C:C,match(E6706,'Player ID'!B:B,0))</f>
        <v>676962</v>
      </c>
    </row>
    <row r="6707">
      <c r="A6707" s="76">
        <v>45802.0</v>
      </c>
      <c r="B6707" s="1" t="s">
        <v>550</v>
      </c>
      <c r="C6707" s="1" t="s">
        <v>66</v>
      </c>
      <c r="D6707" s="1">
        <v>1.0</v>
      </c>
      <c r="E6707" s="1">
        <v>25620.0</v>
      </c>
      <c r="F6707" s="10">
        <f t="shared" si="1"/>
        <v>1</v>
      </c>
      <c r="G6707" s="10">
        <f t="array" ref="G6707">index('Player ID'!C:C,match(E6707,'Player ID'!B:B,0))</f>
        <v>682825</v>
      </c>
    </row>
    <row r="6708">
      <c r="A6708" s="76">
        <v>45802.0</v>
      </c>
      <c r="B6708" s="1" t="s">
        <v>194</v>
      </c>
      <c r="C6708" s="1" t="s">
        <v>66</v>
      </c>
      <c r="D6708" s="1">
        <v>5.0</v>
      </c>
      <c r="E6708" s="1">
        <v>26378.0</v>
      </c>
      <c r="F6708" s="10">
        <f t="shared" si="1"/>
        <v>5</v>
      </c>
      <c r="G6708" s="10">
        <f t="array" ref="G6708">index('Player ID'!C:C,match(E6708,'Player ID'!B:B,0))</f>
        <v>666157</v>
      </c>
    </row>
    <row r="6709">
      <c r="A6709" s="76">
        <v>45802.0</v>
      </c>
      <c r="B6709" s="1" t="s">
        <v>211</v>
      </c>
      <c r="C6709" s="1" t="s">
        <v>66</v>
      </c>
      <c r="D6709" s="1">
        <v>1.0</v>
      </c>
      <c r="E6709" s="1">
        <v>27552.0</v>
      </c>
      <c r="F6709" s="10">
        <f t="shared" si="1"/>
        <v>1</v>
      </c>
      <c r="G6709" s="10">
        <f t="array" ref="G6709">index('Player ID'!C:C,match(E6709,'Player ID'!B:B,0))</f>
        <v>668933</v>
      </c>
    </row>
    <row r="6710">
      <c r="A6710" s="76">
        <v>45802.0</v>
      </c>
      <c r="B6710" s="1" t="s">
        <v>167</v>
      </c>
      <c r="C6710" s="1" t="s">
        <v>34</v>
      </c>
      <c r="D6710" s="1">
        <v>1.0</v>
      </c>
      <c r="E6710" s="1">
        <v>27914.0</v>
      </c>
      <c r="F6710" s="10">
        <f t="shared" si="1"/>
        <v>1</v>
      </c>
      <c r="G6710" s="10">
        <f t="array" ref="G6710">index('Player ID'!C:C,match(E6710,'Player ID'!B:B,0))</f>
        <v>694037</v>
      </c>
    </row>
    <row r="6711">
      <c r="A6711" s="76">
        <v>45802.0</v>
      </c>
      <c r="B6711" s="1" t="s">
        <v>272</v>
      </c>
      <c r="C6711" s="1" t="s">
        <v>37</v>
      </c>
      <c r="D6711" s="1">
        <v>6.0</v>
      </c>
      <c r="E6711" s="1">
        <v>15689.0</v>
      </c>
      <c r="F6711" s="10">
        <f t="shared" si="1"/>
        <v>6</v>
      </c>
      <c r="G6711" s="10">
        <f t="array" ref="G6711">index('Player ID'!C:C,match(E6711,'Player ID'!B:B,0))</f>
        <v>622491</v>
      </c>
    </row>
    <row r="6712">
      <c r="A6712" s="76">
        <v>45802.0</v>
      </c>
      <c r="B6712" s="1" t="s">
        <v>359</v>
      </c>
      <c r="C6712" s="1" t="s">
        <v>39</v>
      </c>
      <c r="D6712" s="1">
        <v>1.0</v>
      </c>
      <c r="E6712" s="1">
        <v>20061.0</v>
      </c>
      <c r="F6712" s="10">
        <f t="shared" si="1"/>
        <v>1</v>
      </c>
      <c r="G6712" s="10">
        <f t="array" ref="G6712">index('Player ID'!C:C,match(E6712,'Player ID'!B:B,0))</f>
        <v>672391</v>
      </c>
    </row>
    <row r="6713">
      <c r="A6713" s="76">
        <v>45802.0</v>
      </c>
      <c r="B6713" s="1" t="s">
        <v>101</v>
      </c>
      <c r="C6713" s="1" t="s">
        <v>37</v>
      </c>
      <c r="D6713" s="1">
        <v>1.0</v>
      </c>
      <c r="E6713" s="1">
        <v>22915.0</v>
      </c>
      <c r="F6713" s="10">
        <f t="shared" si="1"/>
        <v>1</v>
      </c>
      <c r="G6713" s="10">
        <f t="array" ref="G6713">index('Player ID'!C:C,match(E6713,'Player ID'!B:B,0))</f>
        <v>672841</v>
      </c>
    </row>
    <row r="6714">
      <c r="A6714" s="76">
        <v>45802.0</v>
      </c>
      <c r="B6714" s="1" t="s">
        <v>683</v>
      </c>
      <c r="C6714" s="1" t="s">
        <v>37</v>
      </c>
      <c r="D6714" s="1">
        <v>0.2</v>
      </c>
      <c r="E6714" s="1">
        <v>23307.0</v>
      </c>
      <c r="F6714" s="10">
        <f t="shared" si="1"/>
        <v>0.6666666667</v>
      </c>
      <c r="G6714" s="10">
        <f t="array" ref="G6714">index('Player ID'!C:C,match(E6714,'Player ID'!B:B,0))</f>
        <v>676092</v>
      </c>
    </row>
    <row r="6715">
      <c r="A6715" s="76">
        <v>45802.0</v>
      </c>
      <c r="B6715" s="1" t="s">
        <v>444</v>
      </c>
      <c r="C6715" s="1" t="s">
        <v>39</v>
      </c>
      <c r="D6715" s="1">
        <v>1.2</v>
      </c>
      <c r="E6715" s="1">
        <v>24977.0</v>
      </c>
      <c r="F6715" s="10">
        <f t="shared" si="1"/>
        <v>1.666666667</v>
      </c>
      <c r="G6715" s="10">
        <f t="array" ref="G6715">index('Player ID'!C:C,match(E6715,'Player ID'!B:B,0))</f>
        <v>681869</v>
      </c>
    </row>
    <row r="6716">
      <c r="A6716" s="76">
        <v>45802.0</v>
      </c>
      <c r="B6716" s="1" t="s">
        <v>254</v>
      </c>
      <c r="C6716" s="1" t="s">
        <v>37</v>
      </c>
      <c r="D6716" s="1">
        <v>0.1</v>
      </c>
      <c r="E6716" s="1">
        <v>25756.0</v>
      </c>
      <c r="F6716" s="10">
        <f t="shared" si="1"/>
        <v>0.3333333333</v>
      </c>
      <c r="G6716" s="10">
        <f t="array" ref="G6716">index('Player ID'!C:C,match(E6716,'Player ID'!B:B,0))</f>
        <v>666374</v>
      </c>
    </row>
    <row r="6717">
      <c r="A6717" s="76">
        <v>45802.0</v>
      </c>
      <c r="B6717" s="1" t="s">
        <v>76</v>
      </c>
      <c r="C6717" s="1" t="s">
        <v>39</v>
      </c>
      <c r="D6717" s="1">
        <v>1.1</v>
      </c>
      <c r="E6717" s="1">
        <v>25890.0</v>
      </c>
      <c r="F6717" s="10">
        <f t="shared" si="1"/>
        <v>1.333333333</v>
      </c>
      <c r="G6717" s="10">
        <f t="array" ref="G6717">index('Player ID'!C:C,match(E6717,'Player ID'!B:B,0))</f>
        <v>687911</v>
      </c>
    </row>
    <row r="6718">
      <c r="A6718" s="76">
        <v>45802.0</v>
      </c>
      <c r="B6718" s="1" t="s">
        <v>340</v>
      </c>
      <c r="C6718" s="1" t="s">
        <v>37</v>
      </c>
      <c r="D6718" s="1">
        <v>0.0</v>
      </c>
      <c r="E6718" s="1">
        <v>25921.0</v>
      </c>
      <c r="F6718" s="10">
        <f t="shared" si="1"/>
        <v>0</v>
      </c>
      <c r="G6718" s="10">
        <f t="array" ref="G6718">index('Player ID'!C:C,match(E6718,'Player ID'!B:B,0))</f>
        <v>668984</v>
      </c>
    </row>
    <row r="6719">
      <c r="A6719" s="76">
        <v>45802.0</v>
      </c>
      <c r="B6719" s="1" t="s">
        <v>197</v>
      </c>
      <c r="C6719" s="1" t="s">
        <v>39</v>
      </c>
      <c r="D6719" s="1">
        <v>5.0</v>
      </c>
      <c r="E6719" s="1">
        <v>31312.0</v>
      </c>
      <c r="F6719" s="10">
        <f t="shared" si="1"/>
        <v>5</v>
      </c>
      <c r="G6719" s="10">
        <f t="array" ref="G6719">index('Player ID'!C:C,match(E6719,'Player ID'!B:B,0))</f>
        <v>676467</v>
      </c>
    </row>
    <row r="6720">
      <c r="A6720" s="76">
        <v>45802.0</v>
      </c>
      <c r="B6720" s="1" t="s">
        <v>649</v>
      </c>
      <c r="C6720" s="1" t="s">
        <v>29</v>
      </c>
      <c r="D6720" s="1">
        <v>1.1</v>
      </c>
      <c r="E6720" s="1">
        <v>14542.0</v>
      </c>
      <c r="F6720" s="10">
        <f t="shared" si="1"/>
        <v>1.333333333</v>
      </c>
      <c r="G6720" s="10">
        <f t="array" ref="G6720">index('Player ID'!C:C,match(E6720,'Player ID'!B:B,0))</f>
        <v>608032</v>
      </c>
    </row>
    <row r="6721">
      <c r="A6721" s="76">
        <v>45802.0</v>
      </c>
      <c r="B6721" s="1" t="s">
        <v>199</v>
      </c>
      <c r="C6721" s="1" t="s">
        <v>29</v>
      </c>
      <c r="D6721" s="1">
        <v>1.0</v>
      </c>
      <c r="E6721" s="1">
        <v>17611.0</v>
      </c>
      <c r="F6721" s="10">
        <f t="shared" si="1"/>
        <v>1</v>
      </c>
      <c r="G6721" s="10">
        <f t="array" ref="G6721">index('Player ID'!C:C,match(E6721,'Player ID'!B:B,0))</f>
        <v>664199</v>
      </c>
    </row>
    <row r="6722">
      <c r="A6722" s="76">
        <v>45802.0</v>
      </c>
      <c r="B6722" s="1" t="s">
        <v>122</v>
      </c>
      <c r="C6722" s="1" t="s">
        <v>16</v>
      </c>
      <c r="D6722" s="1">
        <v>1.0</v>
      </c>
      <c r="E6722" s="1">
        <v>21029.0</v>
      </c>
      <c r="F6722" s="10">
        <f t="shared" si="1"/>
        <v>1</v>
      </c>
      <c r="G6722" s="10">
        <f t="array" ref="G6722">index('Player ID'!C:C,match(E6722,'Player ID'!B:B,0))</f>
        <v>661395</v>
      </c>
    </row>
    <row r="6723">
      <c r="A6723" s="76">
        <v>45802.0</v>
      </c>
      <c r="B6723" s="1" t="s">
        <v>173</v>
      </c>
      <c r="C6723" s="1" t="s">
        <v>16</v>
      </c>
      <c r="D6723" s="1">
        <v>6.2</v>
      </c>
      <c r="E6723" s="1">
        <v>21224.0</v>
      </c>
      <c r="F6723" s="10">
        <f t="shared" si="1"/>
        <v>6.666666667</v>
      </c>
      <c r="G6723" s="10">
        <f t="array" ref="G6723">index('Player ID'!C:C,match(E6723,'Player ID'!B:B,0))</f>
        <v>641927</v>
      </c>
    </row>
    <row r="6724">
      <c r="A6724" s="76">
        <v>45802.0</v>
      </c>
      <c r="B6724" s="1" t="s">
        <v>163</v>
      </c>
      <c r="C6724" s="1" t="s">
        <v>29</v>
      </c>
      <c r="D6724" s="1">
        <v>7.0</v>
      </c>
      <c r="E6724" s="1">
        <v>21455.0</v>
      </c>
      <c r="F6724" s="10">
        <f t="shared" si="1"/>
        <v>7</v>
      </c>
      <c r="G6724" s="10">
        <f t="array" ref="G6724">index('Player ID'!C:C,match(E6724,'Player ID'!B:B,0))</f>
        <v>663460</v>
      </c>
    </row>
    <row r="6725">
      <c r="A6725" s="76">
        <v>45802.0</v>
      </c>
      <c r="B6725" s="1" t="s">
        <v>237</v>
      </c>
      <c r="C6725" s="1" t="s">
        <v>16</v>
      </c>
      <c r="D6725" s="1">
        <v>1.0</v>
      </c>
      <c r="E6725" s="1">
        <v>21461.0</v>
      </c>
      <c r="F6725" s="10">
        <f t="shared" si="1"/>
        <v>1</v>
      </c>
      <c r="G6725" s="10">
        <f t="array" ref="G6725">index('Player ID'!C:C,match(E6725,'Player ID'!B:B,0))</f>
        <v>663485</v>
      </c>
    </row>
    <row r="6726">
      <c r="A6726" s="76">
        <v>45802.0</v>
      </c>
      <c r="B6726" s="1" t="s">
        <v>236</v>
      </c>
      <c r="C6726" s="1" t="s">
        <v>29</v>
      </c>
      <c r="D6726" s="1">
        <v>0.2</v>
      </c>
      <c r="E6726" s="1">
        <v>24607.0</v>
      </c>
      <c r="F6726" s="10">
        <f t="shared" si="1"/>
        <v>0.6666666667</v>
      </c>
      <c r="G6726" s="10">
        <f t="array" ref="G6726">index('Player ID'!C:C,match(E6726,'Player ID'!B:B,0))</f>
        <v>680742</v>
      </c>
    </row>
    <row r="6727">
      <c r="A6727" s="76">
        <v>45802.0</v>
      </c>
      <c r="B6727" s="1" t="s">
        <v>47</v>
      </c>
      <c r="C6727" s="1" t="s">
        <v>16</v>
      </c>
      <c r="D6727" s="1">
        <v>1.1</v>
      </c>
      <c r="E6727" s="1">
        <v>27691.0</v>
      </c>
      <c r="F6727" s="10">
        <f t="shared" si="1"/>
        <v>1.333333333</v>
      </c>
      <c r="G6727" s="10">
        <f t="array" ref="G6727">index('Player ID'!C:C,match(E6727,'Player ID'!B:B,0))</f>
        <v>686973</v>
      </c>
    </row>
    <row r="6728">
      <c r="A6728" s="76">
        <v>45802.0</v>
      </c>
      <c r="B6728" s="1" t="s">
        <v>245</v>
      </c>
      <c r="C6728" s="1" t="s">
        <v>56</v>
      </c>
      <c r="D6728" s="1">
        <v>5.1</v>
      </c>
      <c r="E6728" s="1">
        <v>9323.0</v>
      </c>
      <c r="F6728" s="10">
        <f t="shared" si="1"/>
        <v>5.333333333</v>
      </c>
      <c r="G6728" s="10">
        <f t="array" ref="G6728">index('Player ID'!C:C,match(E6728,'Player ID'!B:B,0))</f>
        <v>571578</v>
      </c>
    </row>
    <row r="6729">
      <c r="A6729" s="76">
        <v>45802.0</v>
      </c>
      <c r="B6729" s="1" t="s">
        <v>162</v>
      </c>
      <c r="C6729" s="1" t="s">
        <v>56</v>
      </c>
      <c r="D6729" s="1">
        <v>0.2</v>
      </c>
      <c r="E6729" s="1">
        <v>11752.0</v>
      </c>
      <c r="F6729" s="10">
        <f t="shared" si="1"/>
        <v>0.6666666667</v>
      </c>
      <c r="G6729" s="10">
        <f t="array" ref="G6729">index('Player ID'!C:C,match(E6729,'Player ID'!B:B,0))</f>
        <v>592426</v>
      </c>
    </row>
    <row r="6730">
      <c r="A6730" s="76">
        <v>45802.0</v>
      </c>
      <c r="B6730" s="1" t="s">
        <v>440</v>
      </c>
      <c r="C6730" s="1" t="s">
        <v>56</v>
      </c>
      <c r="D6730" s="1">
        <v>1.1</v>
      </c>
      <c r="E6730" s="1">
        <v>12857.0</v>
      </c>
      <c r="F6730" s="10">
        <f t="shared" si="1"/>
        <v>1.333333333</v>
      </c>
      <c r="G6730" s="10">
        <f t="array" ref="G6730">index('Player ID'!C:C,match(E6730,'Player ID'!B:B,0))</f>
        <v>542888</v>
      </c>
    </row>
    <row r="6731">
      <c r="A6731" s="76">
        <v>45802.0</v>
      </c>
      <c r="B6731" s="1" t="s">
        <v>764</v>
      </c>
      <c r="C6731" s="1" t="s">
        <v>78</v>
      </c>
      <c r="D6731" s="1">
        <v>1.0</v>
      </c>
      <c r="E6731" s="1">
        <v>15684.0</v>
      </c>
      <c r="F6731" s="10">
        <f t="shared" si="1"/>
        <v>1</v>
      </c>
      <c r="G6731" s="10">
        <f t="array" ref="G6731">index('Player ID'!C:C,match(E6731,'Player ID'!B:B,0))</f>
        <v>612434</v>
      </c>
    </row>
    <row r="6732">
      <c r="A6732" s="76">
        <v>45802.0</v>
      </c>
      <c r="B6732" s="1" t="s">
        <v>252</v>
      </c>
      <c r="C6732" s="1" t="s">
        <v>78</v>
      </c>
      <c r="D6732" s="1">
        <v>1.0</v>
      </c>
      <c r="E6732" s="1">
        <v>16061.0</v>
      </c>
      <c r="F6732" s="10">
        <f t="shared" si="1"/>
        <v>1</v>
      </c>
      <c r="G6732" s="10">
        <f t="array" ref="G6732">index('Player ID'!C:C,match(E6732,'Player ID'!B:B,0))</f>
        <v>592155</v>
      </c>
    </row>
    <row r="6733">
      <c r="A6733" s="76">
        <v>45802.0</v>
      </c>
      <c r="B6733" s="1" t="s">
        <v>111</v>
      </c>
      <c r="C6733" s="1" t="s">
        <v>56</v>
      </c>
      <c r="D6733" s="1">
        <v>0.2</v>
      </c>
      <c r="E6733" s="1">
        <v>21306.0</v>
      </c>
      <c r="F6733" s="10">
        <f t="shared" si="1"/>
        <v>0.6666666667</v>
      </c>
      <c r="G6733" s="10">
        <f t="array" ref="G6733">index('Player ID'!C:C,match(E6733,'Player ID'!B:B,0))</f>
        <v>656641</v>
      </c>
    </row>
    <row r="6734">
      <c r="A6734" s="76">
        <v>45802.0</v>
      </c>
      <c r="B6734" s="1" t="s">
        <v>335</v>
      </c>
      <c r="C6734" s="1" t="s">
        <v>78</v>
      </c>
      <c r="D6734" s="1">
        <v>6.0</v>
      </c>
      <c r="E6734" s="1">
        <v>21448.0</v>
      </c>
      <c r="F6734" s="10">
        <f t="shared" si="1"/>
        <v>6</v>
      </c>
      <c r="G6734" s="10">
        <f t="array" ref="G6734">index('Player ID'!C:C,match(E6734,'Player ID'!B:B,0))</f>
        <v>663436</v>
      </c>
    </row>
    <row r="6735">
      <c r="A6735" s="76">
        <v>45802.0</v>
      </c>
      <c r="B6735" s="1" t="s">
        <v>268</v>
      </c>
      <c r="C6735" s="1" t="s">
        <v>56</v>
      </c>
      <c r="D6735" s="1">
        <v>1.0</v>
      </c>
      <c r="E6735" s="1">
        <v>23363.0</v>
      </c>
      <c r="F6735" s="10">
        <f t="shared" si="1"/>
        <v>1</v>
      </c>
      <c r="G6735" s="10">
        <f t="array" ref="G6735">index('Player ID'!C:C,match(E6735,'Player ID'!B:B,0))</f>
        <v>676395</v>
      </c>
    </row>
    <row r="6736">
      <c r="A6736" s="76">
        <v>45802.0</v>
      </c>
      <c r="B6736" s="1" t="s">
        <v>317</v>
      </c>
      <c r="C6736" s="1" t="s">
        <v>78</v>
      </c>
      <c r="D6736" s="1">
        <v>1.0</v>
      </c>
      <c r="E6736" s="1">
        <v>29950.0</v>
      </c>
      <c r="F6736" s="10">
        <f t="shared" si="1"/>
        <v>1</v>
      </c>
      <c r="G6736" s="10">
        <f t="array" ref="G6736">index('Player ID'!C:C,match(E6736,'Player ID'!B:B,0))</f>
        <v>673929</v>
      </c>
    </row>
    <row r="6737">
      <c r="A6737" s="76">
        <v>45802.0</v>
      </c>
      <c r="B6737" s="1" t="s">
        <v>95</v>
      </c>
      <c r="C6737" s="1" t="s">
        <v>72</v>
      </c>
      <c r="D6737" s="1">
        <v>6.0</v>
      </c>
      <c r="E6737" s="1">
        <v>12768.0</v>
      </c>
      <c r="F6737" s="10">
        <f t="shared" si="1"/>
        <v>6</v>
      </c>
      <c r="G6737" s="10">
        <f t="array" ref="G6737">index('Player ID'!C:C,match(E6737,'Player ID'!B:B,0))</f>
        <v>543243</v>
      </c>
    </row>
    <row r="6738">
      <c r="A6738" s="76">
        <v>45802.0</v>
      </c>
      <c r="B6738" s="1" t="s">
        <v>489</v>
      </c>
      <c r="C6738" s="1" t="s">
        <v>64</v>
      </c>
      <c r="D6738" s="1">
        <v>0.2</v>
      </c>
      <c r="E6738" s="1">
        <v>17192.0</v>
      </c>
      <c r="F6738" s="10">
        <f t="shared" si="1"/>
        <v>0.6666666667</v>
      </c>
      <c r="G6738" s="10">
        <f t="array" ref="G6738">index('Player ID'!C:C,match(E6738,'Player ID'!B:B,0))</f>
        <v>656222</v>
      </c>
    </row>
    <row r="6739">
      <c r="A6739" s="76">
        <v>45802.0</v>
      </c>
      <c r="B6739" s="1" t="s">
        <v>190</v>
      </c>
      <c r="C6739" s="1" t="s">
        <v>72</v>
      </c>
      <c r="D6739" s="1">
        <v>1.0</v>
      </c>
      <c r="E6739" s="1">
        <v>18064.0</v>
      </c>
      <c r="F6739" s="10">
        <f t="shared" si="1"/>
        <v>1</v>
      </c>
      <c r="G6739" s="10">
        <f t="array" ref="G6739">index('Player ID'!C:C,match(E6739,'Player ID'!B:B,0))</f>
        <v>664208</v>
      </c>
    </row>
    <row r="6740">
      <c r="A6740" s="76">
        <v>45802.0</v>
      </c>
      <c r="B6740" s="1" t="s">
        <v>193</v>
      </c>
      <c r="C6740" s="1" t="s">
        <v>72</v>
      </c>
      <c r="D6740" s="1">
        <v>1.0</v>
      </c>
      <c r="E6740" s="1">
        <v>19574.0</v>
      </c>
      <c r="F6740" s="10">
        <f t="shared" si="1"/>
        <v>1</v>
      </c>
      <c r="G6740" s="10">
        <f t="array" ref="G6740">index('Player ID'!C:C,match(E6740,'Player ID'!B:B,0))</f>
        <v>668941</v>
      </c>
    </row>
    <row r="6741">
      <c r="A6741" s="76">
        <v>45802.0</v>
      </c>
      <c r="B6741" s="1" t="s">
        <v>823</v>
      </c>
      <c r="C6741" s="1" t="s">
        <v>64</v>
      </c>
      <c r="D6741" s="1">
        <v>0.2</v>
      </c>
      <c r="E6741" s="1">
        <v>19876.0</v>
      </c>
      <c r="F6741" s="10">
        <f t="shared" si="1"/>
        <v>0.6666666667</v>
      </c>
      <c r="G6741" s="10">
        <f t="array" ref="G6741">index('Player ID'!C:C,match(E6741,'Player ID'!B:B,0))</f>
        <v>656464</v>
      </c>
    </row>
    <row r="6742">
      <c r="A6742" s="76">
        <v>45802.0</v>
      </c>
      <c r="B6742" s="1" t="s">
        <v>370</v>
      </c>
      <c r="C6742" s="1" t="s">
        <v>64</v>
      </c>
      <c r="D6742" s="1">
        <v>1.0</v>
      </c>
      <c r="E6742" s="1">
        <v>21924.0</v>
      </c>
      <c r="F6742" s="10">
        <f t="shared" si="1"/>
        <v>1</v>
      </c>
      <c r="G6742" s="10">
        <f t="array" ref="G6742">index('Player ID'!C:C,match(E6742,'Player ID'!B:B,0))</f>
        <v>666661</v>
      </c>
    </row>
    <row r="6743">
      <c r="A6743" s="76">
        <v>45802.0</v>
      </c>
      <c r="B6743" s="1" t="s">
        <v>273</v>
      </c>
      <c r="C6743" s="1" t="s">
        <v>72</v>
      </c>
      <c r="D6743" s="1">
        <v>1.0</v>
      </c>
      <c r="E6743" s="1">
        <v>22051.0</v>
      </c>
      <c r="F6743" s="10">
        <f t="shared" si="1"/>
        <v>1</v>
      </c>
      <c r="G6743" s="10">
        <f t="array" ref="G6743">index('Player ID'!C:C,match(E6743,'Player ID'!B:B,0))</f>
        <v>667463</v>
      </c>
    </row>
    <row r="6744">
      <c r="A6744" s="76">
        <v>45802.0</v>
      </c>
      <c r="B6744" s="1" t="s">
        <v>263</v>
      </c>
      <c r="C6744" s="1" t="s">
        <v>64</v>
      </c>
      <c r="D6744" s="1">
        <v>5.2</v>
      </c>
      <c r="E6744" s="1">
        <v>27782.0</v>
      </c>
      <c r="F6744" s="10">
        <f t="shared" si="1"/>
        <v>5.666666667</v>
      </c>
      <c r="G6744" s="10">
        <f t="array" ref="G6744">index('Player ID'!C:C,match(E6744,'Player ID'!B:B,0))</f>
        <v>694297</v>
      </c>
    </row>
    <row r="6745">
      <c r="A6745" s="76">
        <v>45802.0</v>
      </c>
      <c r="B6745" s="1" t="s">
        <v>481</v>
      </c>
      <c r="C6745" s="1" t="s">
        <v>75</v>
      </c>
      <c r="D6745" s="1">
        <v>4.1</v>
      </c>
      <c r="E6745" s="1">
        <v>15488.0</v>
      </c>
      <c r="F6745" s="10">
        <f t="shared" si="1"/>
        <v>4.333333333</v>
      </c>
      <c r="G6745" s="10">
        <f t="array" ref="G6745">index('Player ID'!C:C,match(E6745,'Player ID'!B:B,0))</f>
        <v>622608</v>
      </c>
    </row>
    <row r="6746">
      <c r="A6746" s="76">
        <v>45802.0</v>
      </c>
      <c r="B6746" s="1" t="s">
        <v>467</v>
      </c>
      <c r="C6746" s="1" t="s">
        <v>58</v>
      </c>
      <c r="D6746" s="1">
        <v>1.1</v>
      </c>
      <c r="E6746" s="1">
        <v>15551.0</v>
      </c>
      <c r="F6746" s="10">
        <f t="shared" si="1"/>
        <v>1.333333333</v>
      </c>
      <c r="G6746" s="10">
        <f t="array" ref="G6746">index('Player ID'!C:C,match(E6746,'Player ID'!B:B,0))</f>
        <v>643410</v>
      </c>
    </row>
    <row r="6747">
      <c r="A6747" s="76">
        <v>45802.0</v>
      </c>
      <c r="B6747" s="1" t="s">
        <v>114</v>
      </c>
      <c r="C6747" s="1" t="s">
        <v>58</v>
      </c>
      <c r="D6747" s="1">
        <v>1.0</v>
      </c>
      <c r="E6747" s="1">
        <v>15816.0</v>
      </c>
      <c r="F6747" s="10">
        <f t="shared" si="1"/>
        <v>1</v>
      </c>
      <c r="G6747" s="10">
        <f t="array" ref="G6747">index('Player ID'!C:C,match(E6747,'Player ID'!B:B,0))</f>
        <v>642207</v>
      </c>
    </row>
    <row r="6748">
      <c r="A6748" s="76">
        <v>45802.0</v>
      </c>
      <c r="B6748" s="1" t="s">
        <v>225</v>
      </c>
      <c r="C6748" s="1" t="s">
        <v>58</v>
      </c>
      <c r="D6748" s="1">
        <v>1.0</v>
      </c>
      <c r="E6748" s="1">
        <v>16918.0</v>
      </c>
      <c r="F6748" s="10">
        <f t="shared" si="1"/>
        <v>1</v>
      </c>
      <c r="G6748" s="10">
        <f t="array" ref="G6748">index('Player ID'!C:C,match(E6748,'Player ID'!B:B,0))</f>
        <v>596133</v>
      </c>
    </row>
    <row r="6749">
      <c r="A6749" s="76">
        <v>45802.0</v>
      </c>
      <c r="B6749" s="1" t="s">
        <v>451</v>
      </c>
      <c r="C6749" s="1" t="s">
        <v>75</v>
      </c>
      <c r="D6749" s="1">
        <v>2.1</v>
      </c>
      <c r="E6749" s="1">
        <v>17556.0</v>
      </c>
      <c r="F6749" s="10">
        <f t="shared" si="1"/>
        <v>2.333333333</v>
      </c>
      <c r="G6749" s="10">
        <f t="array" ref="G6749">index('Player ID'!C:C,match(E6749,'Player ID'!B:B,0))</f>
        <v>623474</v>
      </c>
    </row>
    <row r="6750">
      <c r="A6750" s="76">
        <v>45802.0</v>
      </c>
      <c r="B6750" s="1" t="s">
        <v>288</v>
      </c>
      <c r="C6750" s="1" t="s">
        <v>75</v>
      </c>
      <c r="D6750" s="1">
        <v>1.0</v>
      </c>
      <c r="E6750" s="1">
        <v>18297.0</v>
      </c>
      <c r="F6750" s="10">
        <f t="shared" si="1"/>
        <v>1</v>
      </c>
      <c r="G6750" s="10">
        <f t="array" ref="G6750">index('Player ID'!C:C,match(E6750,'Player ID'!B:B,0))</f>
        <v>641755</v>
      </c>
    </row>
    <row r="6751">
      <c r="A6751" s="76">
        <v>45802.0</v>
      </c>
      <c r="B6751" s="1" t="s">
        <v>831</v>
      </c>
      <c r="C6751" s="1" t="s">
        <v>58</v>
      </c>
      <c r="D6751" s="1">
        <v>1.2</v>
      </c>
      <c r="E6751" s="1">
        <v>19753.0</v>
      </c>
      <c r="F6751" s="10">
        <f t="shared" si="1"/>
        <v>1.666666667</v>
      </c>
      <c r="G6751" s="10">
        <f t="array" ref="G6751">index('Player ID'!C:C,match(E6751,'Player ID'!B:B,0))</f>
        <v>642528</v>
      </c>
    </row>
    <row r="6752">
      <c r="A6752" s="76">
        <v>45802.0</v>
      </c>
      <c r="B6752" s="1" t="s">
        <v>215</v>
      </c>
      <c r="C6752" s="1" t="s">
        <v>75</v>
      </c>
      <c r="D6752" s="1">
        <v>0.1</v>
      </c>
      <c r="E6752" s="1">
        <v>21267.0</v>
      </c>
      <c r="F6752" s="10">
        <f t="shared" si="1"/>
        <v>0.3333333333</v>
      </c>
      <c r="G6752" s="10">
        <f t="array" ref="G6752">index('Player ID'!C:C,match(E6752,'Player ID'!B:B,0))</f>
        <v>656234</v>
      </c>
    </row>
    <row r="6753">
      <c r="A6753" s="76">
        <v>45802.0</v>
      </c>
      <c r="B6753" s="1" t="s">
        <v>344</v>
      </c>
      <c r="C6753" s="1" t="s">
        <v>58</v>
      </c>
      <c r="D6753" s="1">
        <v>4.0</v>
      </c>
      <c r="E6753" s="1">
        <v>30182.0</v>
      </c>
      <c r="F6753" s="10">
        <f t="shared" si="1"/>
        <v>4</v>
      </c>
      <c r="G6753" s="10">
        <f t="array" ref="G6753">index('Player ID'!C:C,match(E6753,'Player ID'!B:B,0))</f>
        <v>701542</v>
      </c>
    </row>
    <row r="6754">
      <c r="A6754" s="76">
        <v>45802.0</v>
      </c>
      <c r="B6754" s="1" t="s">
        <v>488</v>
      </c>
      <c r="C6754" s="1" t="s">
        <v>75</v>
      </c>
      <c r="D6754" s="1">
        <v>1.0</v>
      </c>
      <c r="E6754" s="1">
        <v>33294.0</v>
      </c>
      <c r="F6754" s="10">
        <f t="shared" si="1"/>
        <v>1</v>
      </c>
      <c r="G6754" s="10">
        <f t="array" ref="G6754">index('Player ID'!C:C,match(E6754,'Player ID'!B:B,0))</f>
        <v>678020</v>
      </c>
    </row>
    <row r="6755">
      <c r="A6755" s="76">
        <v>45802.0</v>
      </c>
      <c r="B6755" s="1" t="s">
        <v>182</v>
      </c>
      <c r="C6755" s="1" t="s">
        <v>45</v>
      </c>
      <c r="D6755" s="1">
        <v>1.0</v>
      </c>
      <c r="E6755" s="1">
        <v>13799.0</v>
      </c>
      <c r="F6755" s="10">
        <f t="shared" si="1"/>
        <v>1</v>
      </c>
      <c r="G6755" s="10">
        <f t="array" ref="G6755">index('Player ID'!C:C,match(E6755,'Player ID'!B:B,0))</f>
        <v>621381</v>
      </c>
    </row>
    <row r="6756">
      <c r="A6756" s="76">
        <v>45802.0</v>
      </c>
      <c r="B6756" s="1" t="s">
        <v>505</v>
      </c>
      <c r="C6756" s="1" t="s">
        <v>52</v>
      </c>
      <c r="D6756" s="1">
        <v>0.1</v>
      </c>
      <c r="E6756" s="1">
        <v>19481.0</v>
      </c>
      <c r="F6756" s="10">
        <f t="shared" si="1"/>
        <v>0.3333333333</v>
      </c>
      <c r="G6756" s="10">
        <f t="array" ref="G6756">index('Player ID'!C:C,match(E6756,'Player ID'!B:B,0))</f>
        <v>621053</v>
      </c>
    </row>
    <row r="6757">
      <c r="A6757" s="76">
        <v>45802.0</v>
      </c>
      <c r="B6757" s="1" t="s">
        <v>700</v>
      </c>
      <c r="C6757" s="1" t="s">
        <v>45</v>
      </c>
      <c r="D6757" s="1">
        <v>7.0</v>
      </c>
      <c r="E6757" s="1">
        <v>19959.0</v>
      </c>
      <c r="F6757" s="10">
        <f t="shared" si="1"/>
        <v>7</v>
      </c>
      <c r="G6757" s="10">
        <f t="array" ref="G6757">index('Player ID'!C:C,match(E6757,'Player ID'!B:B,0))</f>
        <v>666200</v>
      </c>
    </row>
    <row r="6758">
      <c r="A6758" s="76">
        <v>45802.0</v>
      </c>
      <c r="B6758" s="1" t="s">
        <v>227</v>
      </c>
      <c r="C6758" s="1" t="s">
        <v>52</v>
      </c>
      <c r="D6758" s="1">
        <v>2.2</v>
      </c>
      <c r="E6758" s="1">
        <v>21520.0</v>
      </c>
      <c r="F6758" s="10">
        <f t="shared" si="1"/>
        <v>2.666666667</v>
      </c>
      <c r="G6758" s="10">
        <f t="array" ref="G6758">index('Player ID'!C:C,match(E6758,'Player ID'!B:B,0))</f>
        <v>663687</v>
      </c>
    </row>
    <row r="6759">
      <c r="A6759" s="76">
        <v>45802.0</v>
      </c>
      <c r="B6759" s="1" t="s">
        <v>243</v>
      </c>
      <c r="C6759" s="1" t="s">
        <v>52</v>
      </c>
      <c r="D6759" s="1">
        <v>5.0</v>
      </c>
      <c r="E6759" s="1">
        <v>31318.0</v>
      </c>
      <c r="F6759" s="10">
        <f t="shared" si="1"/>
        <v>5</v>
      </c>
      <c r="G6759" s="10">
        <f t="array" ref="G6759">index('Player ID'!C:C,match(E6759,'Player ID'!B:B,0))</f>
        <v>680684</v>
      </c>
    </row>
    <row r="6760">
      <c r="A6760" s="76">
        <v>45802.0</v>
      </c>
      <c r="B6760" s="1" t="s">
        <v>286</v>
      </c>
      <c r="C6760" s="1" t="s">
        <v>52</v>
      </c>
      <c r="D6760" s="1">
        <v>1.0</v>
      </c>
      <c r="E6760" s="1">
        <v>31757.0</v>
      </c>
      <c r="F6760" s="10">
        <f t="shared" si="1"/>
        <v>1</v>
      </c>
      <c r="G6760" s="10">
        <f t="array" ref="G6760">index('Player ID'!C:C,match(E6760,'Player ID'!B:B,0))</f>
        <v>695243</v>
      </c>
    </row>
    <row r="6761">
      <c r="A6761" s="76">
        <v>45802.0</v>
      </c>
      <c r="B6761" s="1" t="s">
        <v>399</v>
      </c>
      <c r="C6761" s="1" t="s">
        <v>25</v>
      </c>
      <c r="D6761" s="1">
        <v>6.0</v>
      </c>
      <c r="E6761" s="1">
        <v>12049.0</v>
      </c>
      <c r="F6761" s="10">
        <f t="shared" si="1"/>
        <v>6</v>
      </c>
      <c r="G6761" s="10">
        <f t="array" ref="G6761">index('Player ID'!C:C,match(E6761,'Player ID'!B:B,0))</f>
        <v>543294</v>
      </c>
    </row>
    <row r="6762">
      <c r="A6762" s="76">
        <v>45802.0</v>
      </c>
      <c r="B6762" s="1" t="s">
        <v>89</v>
      </c>
      <c r="C6762" s="1" t="s">
        <v>36</v>
      </c>
      <c r="D6762" s="1">
        <v>1.1</v>
      </c>
      <c r="E6762" s="1">
        <v>19742.0</v>
      </c>
      <c r="F6762" s="10">
        <f t="shared" si="1"/>
        <v>1.333333333</v>
      </c>
      <c r="G6762" s="10">
        <f t="array" ref="G6762">index('Player ID'!C:C,match(E6762,'Player ID'!B:B,0))</f>
        <v>669622</v>
      </c>
    </row>
    <row r="6763">
      <c r="A6763" s="76">
        <v>45802.0</v>
      </c>
      <c r="B6763" s="1" t="s">
        <v>262</v>
      </c>
      <c r="C6763" s="1" t="s">
        <v>36</v>
      </c>
      <c r="D6763" s="1">
        <v>1.0</v>
      </c>
      <c r="E6763" s="1">
        <v>20116.0</v>
      </c>
      <c r="F6763" s="10">
        <f t="shared" si="1"/>
        <v>1</v>
      </c>
      <c r="G6763" s="10">
        <f t="array" ref="G6763">index('Player ID'!C:C,match(E6763,'Player ID'!B:B,0))</f>
        <v>676534</v>
      </c>
    </row>
    <row r="6764">
      <c r="A6764" s="76">
        <v>45802.0</v>
      </c>
      <c r="B6764" s="1" t="s">
        <v>283</v>
      </c>
      <c r="C6764" s="1" t="s">
        <v>25</v>
      </c>
      <c r="D6764" s="1">
        <v>1.0</v>
      </c>
      <c r="E6764" s="1">
        <v>21205.0</v>
      </c>
      <c r="F6764" s="10">
        <f t="shared" si="1"/>
        <v>1</v>
      </c>
      <c r="G6764" s="10">
        <f t="array" ref="G6764">index('Player ID'!C:C,match(E6764,'Player ID'!B:B,0))</f>
        <v>641401</v>
      </c>
    </row>
    <row r="6765">
      <c r="A6765" s="76">
        <v>45802.0</v>
      </c>
      <c r="B6765" s="1" t="s">
        <v>171</v>
      </c>
      <c r="C6765" s="1" t="s">
        <v>36</v>
      </c>
      <c r="D6765" s="1">
        <v>5.2</v>
      </c>
      <c r="E6765" s="1">
        <v>21690.0</v>
      </c>
      <c r="F6765" s="10">
        <f t="shared" si="1"/>
        <v>5.666666667</v>
      </c>
      <c r="G6765" s="10">
        <f t="array" ref="G6765">index('Player ID'!C:C,match(E6765,'Player ID'!B:B,0))</f>
        <v>665795</v>
      </c>
    </row>
    <row r="6766">
      <c r="A6766" s="76">
        <v>45802.0</v>
      </c>
      <c r="B6766" s="1" t="s">
        <v>123</v>
      </c>
      <c r="C6766" s="1" t="s">
        <v>36</v>
      </c>
      <c r="D6766" s="1">
        <v>1.0</v>
      </c>
      <c r="E6766" s="1">
        <v>24094.0</v>
      </c>
      <c r="F6766" s="10">
        <f t="shared" si="1"/>
        <v>1</v>
      </c>
      <c r="G6766" s="10">
        <f t="array" ref="G6766">index('Player ID'!C:C,match(E6766,'Player ID'!B:B,0))</f>
        <v>678692</v>
      </c>
    </row>
    <row r="6767">
      <c r="A6767" s="76">
        <v>45802.0</v>
      </c>
      <c r="B6767" s="1" t="s">
        <v>604</v>
      </c>
      <c r="C6767" s="1" t="s">
        <v>25</v>
      </c>
      <c r="D6767" s="1">
        <v>2.0</v>
      </c>
      <c r="E6767" s="1">
        <v>27590.0</v>
      </c>
      <c r="F6767" s="10">
        <f t="shared" si="1"/>
        <v>2</v>
      </c>
      <c r="G6767" s="10">
        <f t="array" ref="G6767">index('Player ID'!C:C,match(E6767,'Player ID'!B:B,0))</f>
        <v>671109</v>
      </c>
    </row>
    <row r="6768">
      <c r="A6768" s="76">
        <v>45802.0</v>
      </c>
      <c r="B6768" s="1" t="s">
        <v>342</v>
      </c>
      <c r="C6768" s="1" t="s">
        <v>26</v>
      </c>
      <c r="D6768" s="1">
        <v>1.0</v>
      </c>
      <c r="E6768" s="1">
        <v>11861.0</v>
      </c>
      <c r="F6768" s="10">
        <f t="shared" si="1"/>
        <v>1</v>
      </c>
      <c r="G6768" s="10">
        <f t="array" ref="G6768">index('Player ID'!C:C,match(E6768,'Player ID'!B:B,0))</f>
        <v>592094</v>
      </c>
    </row>
    <row r="6769">
      <c r="A6769" s="76">
        <v>45802.0</v>
      </c>
      <c r="B6769" s="1" t="s">
        <v>178</v>
      </c>
      <c r="C6769" s="1" t="s">
        <v>46</v>
      </c>
      <c r="D6769" s="1">
        <v>1.0</v>
      </c>
      <c r="E6769" s="1">
        <v>13435.0</v>
      </c>
      <c r="F6769" s="10">
        <f t="shared" si="1"/>
        <v>1</v>
      </c>
      <c r="G6769" s="10">
        <f t="array" ref="G6769">index('Player ID'!C:C,match(E6769,'Player ID'!B:B,0))</f>
        <v>572955</v>
      </c>
    </row>
    <row r="6770">
      <c r="A6770" s="76">
        <v>45802.0</v>
      </c>
      <c r="B6770" s="1" t="s">
        <v>282</v>
      </c>
      <c r="C6770" s="1" t="s">
        <v>26</v>
      </c>
      <c r="D6770" s="1">
        <v>5.0</v>
      </c>
      <c r="E6770" s="1">
        <v>18525.0</v>
      </c>
      <c r="F6770" s="10">
        <f t="shared" si="1"/>
        <v>5</v>
      </c>
      <c r="G6770" s="10">
        <f t="array" ref="G6770">index('Player ID'!C:C,match(E6770,'Player ID'!B:B,0))</f>
        <v>656302</v>
      </c>
    </row>
    <row r="6771">
      <c r="A6771" s="76">
        <v>45802.0</v>
      </c>
      <c r="B6771" s="1" t="s">
        <v>91</v>
      </c>
      <c r="C6771" s="1" t="s">
        <v>46</v>
      </c>
      <c r="D6771" s="1">
        <v>1.0</v>
      </c>
      <c r="E6771" s="1">
        <v>19996.0</v>
      </c>
      <c r="F6771" s="10">
        <f t="shared" si="1"/>
        <v>1</v>
      </c>
      <c r="G6771" s="10">
        <f t="array" ref="G6771">index('Player ID'!C:C,match(E6771,'Player ID'!B:B,0))</f>
        <v>669276</v>
      </c>
    </row>
    <row r="6772">
      <c r="A6772" s="76">
        <v>45802.0</v>
      </c>
      <c r="B6772" s="1" t="s">
        <v>49</v>
      </c>
      <c r="C6772" s="1" t="s">
        <v>26</v>
      </c>
      <c r="D6772" s="1">
        <v>1.0</v>
      </c>
      <c r="E6772" s="1">
        <v>20039.0</v>
      </c>
      <c r="F6772" s="10">
        <f t="shared" si="1"/>
        <v>1</v>
      </c>
      <c r="G6772" s="10">
        <f t="array" ref="G6772">index('Player ID'!C:C,match(E6772,'Player ID'!B:B,0))</f>
        <v>670970</v>
      </c>
    </row>
    <row r="6773">
      <c r="A6773" s="76">
        <v>45802.0</v>
      </c>
      <c r="B6773" s="1" t="s">
        <v>94</v>
      </c>
      <c r="C6773" s="1" t="s">
        <v>26</v>
      </c>
      <c r="D6773" s="1">
        <v>1.0</v>
      </c>
      <c r="E6773" s="1">
        <v>22210.0</v>
      </c>
      <c r="F6773" s="10">
        <f t="shared" si="1"/>
        <v>1</v>
      </c>
      <c r="G6773" s="10">
        <f t="array" ref="G6773">index('Player ID'!C:C,match(E6773,'Player ID'!B:B,0))</f>
        <v>669093</v>
      </c>
    </row>
    <row r="6774">
      <c r="A6774" s="76">
        <v>45802.0</v>
      </c>
      <c r="B6774" s="1" t="s">
        <v>81</v>
      </c>
      <c r="C6774" s="1" t="s">
        <v>26</v>
      </c>
      <c r="D6774" s="1">
        <v>1.0</v>
      </c>
      <c r="E6774" s="1">
        <v>30115.0</v>
      </c>
      <c r="F6774" s="10">
        <f t="shared" si="1"/>
        <v>1</v>
      </c>
      <c r="G6774" s="10">
        <f t="array" ref="G6774">index('Player ID'!C:C,match(E6774,'Player ID'!B:B,0))</f>
        <v>663158</v>
      </c>
    </row>
    <row r="6775">
      <c r="A6775" s="76">
        <v>45802.0</v>
      </c>
      <c r="B6775" s="1" t="s">
        <v>65</v>
      </c>
      <c r="C6775" s="1" t="s">
        <v>46</v>
      </c>
      <c r="D6775" s="1">
        <v>7.0</v>
      </c>
      <c r="E6775" s="1">
        <v>31846.0</v>
      </c>
      <c r="F6775" s="10">
        <f t="shared" si="1"/>
        <v>7</v>
      </c>
      <c r="G6775" s="10">
        <f t="array" ref="G6775">index('Player ID'!C:C,match(E6775,'Player ID'!B:B,0))</f>
        <v>680885</v>
      </c>
    </row>
    <row r="6776">
      <c r="A6776" s="76">
        <v>45802.0</v>
      </c>
      <c r="B6776" s="1" t="s">
        <v>503</v>
      </c>
      <c r="C6776" s="1" t="s">
        <v>33</v>
      </c>
      <c r="D6776" s="1">
        <v>1.0</v>
      </c>
      <c r="E6776" s="1">
        <v>15043.0</v>
      </c>
      <c r="F6776" s="10">
        <f t="shared" si="1"/>
        <v>1</v>
      </c>
      <c r="G6776" s="10">
        <f t="array" ref="G6776">index('Player ID'!C:C,match(E6776,'Player ID'!B:B,0))</f>
        <v>642152</v>
      </c>
    </row>
    <row r="6777">
      <c r="A6777" s="76">
        <v>45802.0</v>
      </c>
      <c r="B6777" s="1" t="s">
        <v>292</v>
      </c>
      <c r="C6777" s="1" t="s">
        <v>51</v>
      </c>
      <c r="D6777" s="1">
        <v>0.2</v>
      </c>
      <c r="E6777" s="1">
        <v>15947.0</v>
      </c>
      <c r="F6777" s="10">
        <f t="shared" si="1"/>
        <v>0.6666666667</v>
      </c>
      <c r="G6777" s="10">
        <f t="array" ref="G6777">index('Player ID'!C:C,match(E6777,'Player ID'!B:B,0))</f>
        <v>592773</v>
      </c>
    </row>
    <row r="6778">
      <c r="A6778" s="76">
        <v>45802.0</v>
      </c>
      <c r="B6778" s="1" t="s">
        <v>295</v>
      </c>
      <c r="C6778" s="1" t="s">
        <v>51</v>
      </c>
      <c r="D6778" s="1">
        <v>1.0</v>
      </c>
      <c r="E6778" s="1">
        <v>16866.0</v>
      </c>
      <c r="F6778" s="10">
        <f t="shared" si="1"/>
        <v>1</v>
      </c>
      <c r="G6778" s="10">
        <f t="array" ref="G6778">index('Player ID'!C:C,match(E6778,'Player ID'!B:B,0))</f>
        <v>657585</v>
      </c>
    </row>
    <row r="6779">
      <c r="A6779" s="76">
        <v>45802.0</v>
      </c>
      <c r="B6779" s="1" t="s">
        <v>50</v>
      </c>
      <c r="C6779" s="1" t="s">
        <v>51</v>
      </c>
      <c r="D6779" s="1">
        <v>2.0</v>
      </c>
      <c r="E6779" s="1">
        <v>22175.0</v>
      </c>
      <c r="F6779" s="10">
        <f t="shared" si="1"/>
        <v>2</v>
      </c>
      <c r="G6779" s="10">
        <f t="array" ref="G6779">index('Player ID'!C:C,match(E6779,'Player ID'!B:B,0))</f>
        <v>668820</v>
      </c>
    </row>
    <row r="6780">
      <c r="A6780" s="76">
        <v>45802.0</v>
      </c>
      <c r="B6780" s="1" t="s">
        <v>351</v>
      </c>
      <c r="C6780" s="1" t="s">
        <v>33</v>
      </c>
      <c r="D6780" s="1">
        <v>6.0</v>
      </c>
      <c r="E6780" s="1">
        <v>27487.0</v>
      </c>
      <c r="F6780" s="10">
        <f t="shared" si="1"/>
        <v>6</v>
      </c>
      <c r="G6780" s="10">
        <f t="array" ref="G6780">index('Player ID'!C:C,match(E6780,'Player ID'!B:B,0))</f>
        <v>689017</v>
      </c>
    </row>
    <row r="6781">
      <c r="A6781" s="76">
        <v>45802.0</v>
      </c>
      <c r="B6781" s="1" t="s">
        <v>206</v>
      </c>
      <c r="C6781" s="1" t="s">
        <v>33</v>
      </c>
      <c r="D6781" s="1">
        <v>1.0</v>
      </c>
      <c r="E6781" s="1">
        <v>30249.0</v>
      </c>
      <c r="F6781" s="10">
        <f t="shared" si="1"/>
        <v>1</v>
      </c>
      <c r="G6781" s="10">
        <f t="array" ref="G6781">index('Player ID'!C:C,match(E6781,'Player ID'!B:B,0))</f>
        <v>676263</v>
      </c>
    </row>
    <row r="6782">
      <c r="A6782" s="76">
        <v>45802.0</v>
      </c>
      <c r="B6782" s="1" t="s">
        <v>461</v>
      </c>
      <c r="C6782" s="1" t="s">
        <v>51</v>
      </c>
      <c r="D6782" s="1">
        <v>5.1</v>
      </c>
      <c r="E6782" s="1">
        <v>31838.0</v>
      </c>
      <c r="F6782" s="10">
        <f t="shared" si="1"/>
        <v>5.333333333</v>
      </c>
      <c r="G6782" s="10">
        <f t="array" ref="G6782">index('Player ID'!C:C,match(E6782,'Player ID'!B:B,0))</f>
        <v>673540</v>
      </c>
    </row>
    <row r="6783">
      <c r="A6783" s="76">
        <v>45803.0</v>
      </c>
      <c r="B6783" s="1" t="s">
        <v>439</v>
      </c>
      <c r="C6783" s="1" t="s">
        <v>62</v>
      </c>
      <c r="D6783" s="1">
        <v>1.0</v>
      </c>
      <c r="E6783" s="1">
        <v>11384.0</v>
      </c>
      <c r="F6783" s="10">
        <f t="shared" si="1"/>
        <v>1</v>
      </c>
      <c r="G6783" s="10">
        <f t="array" ref="G6783">index('Player ID'!C:C,match(E6783,'Player ID'!B:B,0))</f>
        <v>592454</v>
      </c>
    </row>
    <row r="6784">
      <c r="A6784" s="76">
        <v>45803.0</v>
      </c>
      <c r="B6784" s="1" t="s">
        <v>445</v>
      </c>
      <c r="C6784" s="1" t="s">
        <v>31</v>
      </c>
      <c r="D6784" s="1">
        <v>1.0</v>
      </c>
      <c r="E6784" s="1">
        <v>19618.0</v>
      </c>
      <c r="F6784" s="10">
        <f t="shared" si="1"/>
        <v>1</v>
      </c>
      <c r="G6784" s="10">
        <f t="array" ref="G6784">index('Player ID'!C:C,match(E6784,'Player ID'!B:B,0))</f>
        <v>663855</v>
      </c>
    </row>
    <row r="6785">
      <c r="A6785" s="76">
        <v>45803.0</v>
      </c>
      <c r="B6785" s="1" t="s">
        <v>131</v>
      </c>
      <c r="C6785" s="1" t="s">
        <v>62</v>
      </c>
      <c r="D6785" s="1">
        <v>1.0</v>
      </c>
      <c r="E6785" s="1">
        <v>19769.0</v>
      </c>
      <c r="F6785" s="10">
        <f t="shared" si="1"/>
        <v>1</v>
      </c>
      <c r="G6785" s="10">
        <f t="array" ref="G6785">index('Player ID'!C:C,match(E6785,'Player ID'!B:B,0))</f>
        <v>676684</v>
      </c>
    </row>
    <row r="6786">
      <c r="A6786" s="76">
        <v>45803.0</v>
      </c>
      <c r="B6786" s="1" t="s">
        <v>289</v>
      </c>
      <c r="C6786" s="1" t="s">
        <v>62</v>
      </c>
      <c r="D6786" s="1">
        <v>0.2</v>
      </c>
      <c r="E6786" s="1">
        <v>22304.0</v>
      </c>
      <c r="F6786" s="10">
        <f t="shared" si="1"/>
        <v>0.6666666667</v>
      </c>
      <c r="G6786" s="10">
        <f t="array" ref="G6786">index('Player ID'!C:C,match(E6786,'Player ID'!B:B,0))</f>
        <v>669724</v>
      </c>
    </row>
    <row r="6787">
      <c r="A6787" s="76">
        <v>45803.0</v>
      </c>
      <c r="B6787" s="1" t="s">
        <v>331</v>
      </c>
      <c r="C6787" s="1" t="s">
        <v>62</v>
      </c>
      <c r="D6787" s="1">
        <v>5.0</v>
      </c>
      <c r="E6787" s="1">
        <v>22630.0</v>
      </c>
      <c r="F6787" s="10">
        <f t="shared" si="1"/>
        <v>5</v>
      </c>
      <c r="G6787" s="10">
        <f t="array" ref="G6787">index('Player ID'!C:C,match(E6787,'Player ID'!B:B,0))</f>
        <v>672456</v>
      </c>
    </row>
    <row r="6788">
      <c r="A6788" s="76">
        <v>45803.0</v>
      </c>
      <c r="B6788" s="1" t="s">
        <v>667</v>
      </c>
      <c r="C6788" s="1" t="s">
        <v>62</v>
      </c>
      <c r="D6788" s="1">
        <v>1.0</v>
      </c>
      <c r="E6788" s="1">
        <v>26079.0</v>
      </c>
      <c r="F6788" s="10">
        <f t="shared" si="1"/>
        <v>1</v>
      </c>
      <c r="G6788" s="10">
        <f t="array" ref="G6788">index('Player ID'!C:C,match(E6788,'Player ID'!B:B,0))</f>
        <v>689225</v>
      </c>
    </row>
    <row r="6789">
      <c r="A6789" s="76">
        <v>45803.0</v>
      </c>
      <c r="B6789" s="1" t="s">
        <v>82</v>
      </c>
      <c r="C6789" s="1" t="s">
        <v>62</v>
      </c>
      <c r="D6789" s="1">
        <v>0.1</v>
      </c>
      <c r="E6789" s="1">
        <v>26231.0</v>
      </c>
      <c r="F6789" s="10">
        <f t="shared" si="1"/>
        <v>0.3333333333</v>
      </c>
      <c r="G6789" s="10">
        <f t="array" ref="G6789">index('Player ID'!C:C,match(E6789,'Player ID'!B:B,0))</f>
        <v>663947</v>
      </c>
    </row>
    <row r="6790">
      <c r="A6790" s="76">
        <v>45803.0</v>
      </c>
      <c r="B6790" s="1" t="s">
        <v>655</v>
      </c>
      <c r="C6790" s="1" t="s">
        <v>31</v>
      </c>
      <c r="D6790" s="1">
        <v>0.2</v>
      </c>
      <c r="E6790" s="1">
        <v>26252.0</v>
      </c>
      <c r="F6790" s="10">
        <f t="shared" si="1"/>
        <v>0.6666666667</v>
      </c>
      <c r="G6790" s="10">
        <f t="array" ref="G6790">index('Player ID'!C:C,match(E6790,'Player ID'!B:B,0))</f>
        <v>669062</v>
      </c>
    </row>
    <row r="6791">
      <c r="A6791" s="76">
        <v>45803.0</v>
      </c>
      <c r="B6791" s="1" t="s">
        <v>276</v>
      </c>
      <c r="C6791" s="1" t="s">
        <v>31</v>
      </c>
      <c r="D6791" s="1">
        <v>2.0</v>
      </c>
      <c r="E6791" s="1">
        <v>30226.0</v>
      </c>
      <c r="F6791" s="10">
        <f t="shared" si="1"/>
        <v>2</v>
      </c>
      <c r="G6791" s="10">
        <f t="array" ref="G6791">index('Player ID'!C:C,match(E6791,'Player ID'!B:B,0))</f>
        <v>702352</v>
      </c>
    </row>
    <row r="6792">
      <c r="A6792" s="76">
        <v>45803.0</v>
      </c>
      <c r="B6792" s="1" t="s">
        <v>514</v>
      </c>
      <c r="C6792" s="1" t="s">
        <v>31</v>
      </c>
      <c r="D6792" s="1">
        <v>4.1</v>
      </c>
      <c r="E6792" s="1">
        <v>31635.0</v>
      </c>
      <c r="F6792" s="10">
        <f t="shared" si="1"/>
        <v>4.333333333</v>
      </c>
      <c r="G6792" s="10">
        <f t="array" ref="G6792">index('Player ID'!C:C,match(E6792,'Player ID'!B:B,0))</f>
        <v>806185</v>
      </c>
    </row>
    <row r="6793">
      <c r="A6793" s="76">
        <v>45803.0</v>
      </c>
      <c r="B6793" s="1" t="s">
        <v>13</v>
      </c>
      <c r="C6793" s="1" t="s">
        <v>14</v>
      </c>
      <c r="D6793" s="1">
        <v>1.0</v>
      </c>
      <c r="E6793" s="1">
        <v>17722.0</v>
      </c>
      <c r="F6793" s="10">
        <f t="shared" si="1"/>
        <v>1</v>
      </c>
      <c r="G6793" s="10">
        <f t="array" ref="G6793">index('Player ID'!C:C,match(E6793,'Player ID'!B:B,0))</f>
        <v>656730</v>
      </c>
    </row>
    <row r="6794">
      <c r="A6794" s="76">
        <v>45803.0</v>
      </c>
      <c r="B6794" s="1" t="s">
        <v>250</v>
      </c>
      <c r="C6794" s="1" t="s">
        <v>22</v>
      </c>
      <c r="D6794" s="1">
        <v>1.1</v>
      </c>
      <c r="E6794" s="1">
        <v>20191.0</v>
      </c>
      <c r="F6794" s="10">
        <f t="shared" si="1"/>
        <v>1.333333333</v>
      </c>
      <c r="G6794" s="10">
        <f t="array" ref="G6794">index('Player ID'!C:C,match(E6794,'Player ID'!B:B,0))</f>
        <v>676477</v>
      </c>
    </row>
    <row r="6795">
      <c r="A6795" s="76">
        <v>45803.0</v>
      </c>
      <c r="B6795" s="1" t="s">
        <v>265</v>
      </c>
      <c r="C6795" s="1" t="s">
        <v>14</v>
      </c>
      <c r="D6795" s="1">
        <v>2.1</v>
      </c>
      <c r="E6795" s="1">
        <v>22207.0</v>
      </c>
      <c r="F6795" s="10">
        <f t="shared" si="1"/>
        <v>2.333333333</v>
      </c>
      <c r="G6795" s="10" t="str">
        <f t="array" ref="G6795">index('Player ID'!C:C,match(E6795,'Player ID'!B:B,0))</f>
        <v>#N/A</v>
      </c>
    </row>
    <row r="6796">
      <c r="A6796" s="76">
        <v>45803.0</v>
      </c>
      <c r="B6796" s="1" t="s">
        <v>279</v>
      </c>
      <c r="C6796" s="1" t="s">
        <v>14</v>
      </c>
      <c r="D6796" s="1">
        <v>1.0</v>
      </c>
      <c r="E6796" s="1">
        <v>25327.0</v>
      </c>
      <c r="F6796" s="10">
        <f t="shared" si="1"/>
        <v>1</v>
      </c>
      <c r="G6796" s="10">
        <f t="array" ref="G6796">index('Player ID'!C:C,match(E6796,'Player ID'!B:B,0))</f>
        <v>682842</v>
      </c>
    </row>
    <row r="6797">
      <c r="A6797" s="76">
        <v>45803.0</v>
      </c>
      <c r="B6797" s="1" t="s">
        <v>100</v>
      </c>
      <c r="C6797" s="1" t="s">
        <v>22</v>
      </c>
      <c r="D6797" s="1">
        <v>6.2</v>
      </c>
      <c r="E6797" s="1">
        <v>27463.0</v>
      </c>
      <c r="F6797" s="10">
        <f t="shared" si="1"/>
        <v>6.666666667</v>
      </c>
      <c r="G6797" s="10">
        <f t="array" ref="G6797">index('Player ID'!C:C,match(E6797,'Player ID'!B:B,0))</f>
        <v>676979</v>
      </c>
    </row>
    <row r="6798">
      <c r="A6798" s="76">
        <v>45803.0</v>
      </c>
      <c r="B6798" s="1" t="s">
        <v>496</v>
      </c>
      <c r="C6798" s="1" t="s">
        <v>14</v>
      </c>
      <c r="D6798" s="1">
        <v>4.2</v>
      </c>
      <c r="E6798" s="1">
        <v>30113.0</v>
      </c>
      <c r="F6798" s="10">
        <f t="shared" si="1"/>
        <v>4.666666667</v>
      </c>
      <c r="G6798" s="10">
        <f t="array" ref="G6798">index('Player ID'!C:C,match(E6798,'Player ID'!B:B,0))</f>
        <v>694477</v>
      </c>
    </row>
    <row r="6799">
      <c r="A6799" s="76">
        <v>45803.0</v>
      </c>
      <c r="B6799" s="1" t="s">
        <v>460</v>
      </c>
      <c r="C6799" s="1" t="s">
        <v>34</v>
      </c>
      <c r="D6799" s="1">
        <v>0.2</v>
      </c>
      <c r="E6799" s="1">
        <v>7005.0</v>
      </c>
      <c r="F6799" s="10">
        <f t="shared" si="1"/>
        <v>0.6666666667</v>
      </c>
      <c r="G6799" s="10">
        <f t="array" ref="G6799">index('Player ID'!C:C,match(E6799,'Player ID'!B:B,0))</f>
        <v>519151</v>
      </c>
    </row>
    <row r="6800">
      <c r="A6800" s="76">
        <v>45803.0</v>
      </c>
      <c r="B6800" s="1" t="s">
        <v>71</v>
      </c>
      <c r="C6800" s="1" t="s">
        <v>34</v>
      </c>
      <c r="D6800" s="1">
        <v>0.2</v>
      </c>
      <c r="E6800" s="1">
        <v>10078.0</v>
      </c>
      <c r="F6800" s="10">
        <f t="shared" si="1"/>
        <v>0.6666666667</v>
      </c>
      <c r="G6800" s="10">
        <f t="array" ref="G6800">index('Player ID'!C:C,match(E6800,'Player ID'!B:B,0))</f>
        <v>573204</v>
      </c>
    </row>
    <row r="6801">
      <c r="A6801" s="76">
        <v>45803.0</v>
      </c>
      <c r="B6801" s="1" t="s">
        <v>203</v>
      </c>
      <c r="C6801" s="1" t="s">
        <v>34</v>
      </c>
      <c r="D6801" s="1">
        <v>0.1</v>
      </c>
      <c r="E6801" s="1">
        <v>11426.0</v>
      </c>
      <c r="F6801" s="10">
        <f t="shared" si="1"/>
        <v>0.3333333333</v>
      </c>
      <c r="G6801" s="10">
        <f t="array" ref="G6801">index('Player ID'!C:C,match(E6801,'Player ID'!B:B,0))</f>
        <v>519141</v>
      </c>
    </row>
    <row r="6802">
      <c r="A6802" s="76">
        <v>45803.0</v>
      </c>
      <c r="B6802" s="1" t="s">
        <v>99</v>
      </c>
      <c r="C6802" s="1" t="s">
        <v>34</v>
      </c>
      <c r="D6802" s="1">
        <v>6.1</v>
      </c>
      <c r="E6802" s="1">
        <v>11674.0</v>
      </c>
      <c r="F6802" s="10">
        <f t="shared" si="1"/>
        <v>6.333333333</v>
      </c>
      <c r="G6802" s="10">
        <f t="array" ref="G6802">index('Player ID'!C:C,match(E6802,'Player ID'!B:B,0))</f>
        <v>592791</v>
      </c>
    </row>
    <row r="6803">
      <c r="A6803" s="76">
        <v>45803.0</v>
      </c>
      <c r="B6803" s="1" t="s">
        <v>468</v>
      </c>
      <c r="C6803" s="1" t="s">
        <v>75</v>
      </c>
      <c r="D6803" s="1">
        <v>2.0</v>
      </c>
      <c r="E6803" s="1">
        <v>23237.0</v>
      </c>
      <c r="F6803" s="10">
        <f t="shared" si="1"/>
        <v>2</v>
      </c>
      <c r="G6803" s="10">
        <f t="array" ref="G6803">index('Player ID'!C:C,match(E6803,'Player ID'!B:B,0))</f>
        <v>675848</v>
      </c>
    </row>
    <row r="6804">
      <c r="A6804" s="76">
        <v>45803.0</v>
      </c>
      <c r="B6804" s="1" t="s">
        <v>167</v>
      </c>
      <c r="C6804" s="1" t="s">
        <v>34</v>
      </c>
      <c r="D6804" s="1">
        <v>1.0</v>
      </c>
      <c r="E6804" s="1">
        <v>27914.0</v>
      </c>
      <c r="F6804" s="10">
        <f t="shared" si="1"/>
        <v>1</v>
      </c>
      <c r="G6804" s="10">
        <f t="array" ref="G6804">index('Player ID'!C:C,match(E6804,'Player ID'!B:B,0))</f>
        <v>694037</v>
      </c>
    </row>
    <row r="6805">
      <c r="A6805" s="76">
        <v>45803.0</v>
      </c>
      <c r="B6805" s="1" t="s">
        <v>512</v>
      </c>
      <c r="C6805" s="1" t="s">
        <v>75</v>
      </c>
      <c r="D6805" s="1">
        <v>1.0</v>
      </c>
      <c r="E6805" s="1">
        <v>31552.0</v>
      </c>
      <c r="F6805" s="10">
        <f t="shared" si="1"/>
        <v>1</v>
      </c>
      <c r="G6805" s="10">
        <f t="array" ref="G6805">index('Player ID'!C:C,match(E6805,'Player ID'!B:B,0))</f>
        <v>688642</v>
      </c>
    </row>
    <row r="6806">
      <c r="A6806" s="76">
        <v>45803.0</v>
      </c>
      <c r="B6806" s="1" t="s">
        <v>449</v>
      </c>
      <c r="C6806" s="1" t="s">
        <v>75</v>
      </c>
      <c r="D6806" s="1">
        <v>5.0</v>
      </c>
      <c r="E6806" s="1">
        <v>31612.0</v>
      </c>
      <c r="F6806" s="10">
        <f t="shared" si="1"/>
        <v>5</v>
      </c>
      <c r="G6806" s="10">
        <f t="array" ref="G6806">index('Player ID'!C:C,match(E6806,'Player ID'!B:B,0))</f>
        <v>687223</v>
      </c>
    </row>
    <row r="6807">
      <c r="A6807" s="76">
        <v>45803.0</v>
      </c>
      <c r="B6807" s="1" t="s">
        <v>474</v>
      </c>
      <c r="C6807" s="1" t="s">
        <v>68</v>
      </c>
      <c r="D6807" s="1">
        <v>6.0</v>
      </c>
      <c r="E6807" s="1">
        <v>4676.0</v>
      </c>
      <c r="F6807" s="10">
        <f t="shared" si="1"/>
        <v>6</v>
      </c>
      <c r="G6807" s="10">
        <f t="array" ref="G6807">index('Player ID'!C:C,match(E6807,'Player ID'!B:B,0))</f>
        <v>450203</v>
      </c>
    </row>
    <row r="6808">
      <c r="A6808" s="76">
        <v>45803.0</v>
      </c>
      <c r="B6808" s="1" t="s">
        <v>321</v>
      </c>
      <c r="C6808" s="1" t="s">
        <v>72</v>
      </c>
      <c r="D6808" s="1">
        <v>5.0</v>
      </c>
      <c r="E6808" s="1">
        <v>17425.0</v>
      </c>
      <c r="F6808" s="10">
        <f t="shared" si="1"/>
        <v>5</v>
      </c>
      <c r="G6808" s="10">
        <f t="array" ref="G6808">index('Player ID'!C:C,match(E6808,'Player ID'!B:B,0))</f>
        <v>607200</v>
      </c>
    </row>
    <row r="6809">
      <c r="A6809" s="76">
        <v>45803.0</v>
      </c>
      <c r="B6809" s="1" t="s">
        <v>639</v>
      </c>
      <c r="C6809" s="1" t="s">
        <v>68</v>
      </c>
      <c r="D6809" s="1">
        <v>1.0</v>
      </c>
      <c r="E6809" s="1">
        <v>19249.0</v>
      </c>
      <c r="F6809" s="10">
        <f t="shared" si="1"/>
        <v>1</v>
      </c>
      <c r="G6809" s="10">
        <f t="array" ref="G6809">index('Player ID'!C:C,match(E6809,'Player ID'!B:B,0))</f>
        <v>622554</v>
      </c>
    </row>
    <row r="6810">
      <c r="A6810" s="76">
        <v>45803.0</v>
      </c>
      <c r="B6810" s="1" t="s">
        <v>698</v>
      </c>
      <c r="C6810" s="1" t="s">
        <v>68</v>
      </c>
      <c r="D6810" s="1">
        <v>1.0</v>
      </c>
      <c r="E6810" s="1">
        <v>20666.0</v>
      </c>
      <c r="F6810" s="10">
        <f t="shared" si="1"/>
        <v>1</v>
      </c>
      <c r="G6810" s="10">
        <f t="array" ref="G6810">index('Player ID'!C:C,match(E6810,'Player ID'!B:B,0))</f>
        <v>642585</v>
      </c>
    </row>
    <row r="6811">
      <c r="A6811" s="76">
        <v>45803.0</v>
      </c>
      <c r="B6811" s="1" t="s">
        <v>273</v>
      </c>
      <c r="C6811" s="1" t="s">
        <v>72</v>
      </c>
      <c r="D6811" s="1">
        <v>1.0</v>
      </c>
      <c r="E6811" s="1">
        <v>22051.0</v>
      </c>
      <c r="F6811" s="10">
        <f t="shared" si="1"/>
        <v>1</v>
      </c>
      <c r="G6811" s="10">
        <f t="array" ref="G6811">index('Player ID'!C:C,match(E6811,'Player ID'!B:B,0))</f>
        <v>667463</v>
      </c>
    </row>
    <row r="6812">
      <c r="A6812" s="76">
        <v>45803.0</v>
      </c>
      <c r="B6812" s="1" t="s">
        <v>235</v>
      </c>
      <c r="C6812" s="1" t="s">
        <v>68</v>
      </c>
      <c r="D6812" s="1">
        <v>1.0</v>
      </c>
      <c r="E6812" s="1">
        <v>25911.0</v>
      </c>
      <c r="F6812" s="10">
        <f t="shared" si="1"/>
        <v>1</v>
      </c>
      <c r="G6812" s="10">
        <f t="array" ref="G6812">index('Player ID'!C:C,match(E6812,'Player ID'!B:B,0))</f>
        <v>666974</v>
      </c>
    </row>
    <row r="6813">
      <c r="A6813" s="76">
        <v>45803.0</v>
      </c>
      <c r="B6813" s="1" t="s">
        <v>337</v>
      </c>
      <c r="C6813" s="1" t="s">
        <v>72</v>
      </c>
      <c r="D6813" s="1">
        <v>1.0</v>
      </c>
      <c r="E6813" s="1">
        <v>29519.0</v>
      </c>
      <c r="F6813" s="10">
        <f t="shared" si="1"/>
        <v>1</v>
      </c>
      <c r="G6813" s="10">
        <f t="array" ref="G6813">index('Player ID'!C:C,match(E6813,'Player ID'!B:B,0))</f>
        <v>700669</v>
      </c>
    </row>
    <row r="6814">
      <c r="A6814" s="76">
        <v>45803.0</v>
      </c>
      <c r="B6814" s="1" t="s">
        <v>223</v>
      </c>
      <c r="C6814" s="1" t="s">
        <v>72</v>
      </c>
      <c r="D6814" s="1">
        <v>1.0</v>
      </c>
      <c r="E6814" s="1">
        <v>29629.0</v>
      </c>
      <c r="F6814" s="10">
        <f t="shared" si="1"/>
        <v>1</v>
      </c>
      <c r="G6814" s="10">
        <f t="array" ref="G6814">index('Player ID'!C:C,match(E6814,'Player ID'!B:B,0))</f>
        <v>694335</v>
      </c>
    </row>
    <row r="6815">
      <c r="A6815" s="76">
        <v>45803.0</v>
      </c>
      <c r="B6815" s="1" t="s">
        <v>57</v>
      </c>
      <c r="C6815" s="1" t="s">
        <v>56</v>
      </c>
      <c r="D6815" s="1">
        <v>5.1</v>
      </c>
      <c r="E6815" s="1">
        <v>10954.0</v>
      </c>
      <c r="F6815" s="10">
        <f t="shared" si="1"/>
        <v>5.333333333</v>
      </c>
      <c r="G6815" s="10">
        <f t="array" ref="G6815">index('Player ID'!C:C,match(E6815,'Player ID'!B:B,0))</f>
        <v>594798</v>
      </c>
    </row>
    <row r="6816">
      <c r="A6816" s="76">
        <v>45803.0</v>
      </c>
      <c r="B6816" s="1" t="s">
        <v>151</v>
      </c>
      <c r="C6816" s="1" t="s">
        <v>56</v>
      </c>
      <c r="D6816" s="1">
        <v>2.0</v>
      </c>
      <c r="E6816" s="1">
        <v>13346.0</v>
      </c>
      <c r="F6816" s="10">
        <f t="shared" si="1"/>
        <v>2</v>
      </c>
      <c r="G6816" s="10">
        <f t="array" ref="G6816">index('Player ID'!C:C,match(E6816,'Player ID'!B:B,0))</f>
        <v>571948</v>
      </c>
    </row>
    <row r="6817">
      <c r="A6817" s="76">
        <v>45803.0</v>
      </c>
      <c r="B6817" s="1" t="s">
        <v>155</v>
      </c>
      <c r="C6817" s="1" t="s">
        <v>40</v>
      </c>
      <c r="D6817" s="1">
        <v>8.0</v>
      </c>
      <c r="E6817" s="1">
        <v>14107.0</v>
      </c>
      <c r="F6817" s="10">
        <f t="shared" si="1"/>
        <v>8</v>
      </c>
      <c r="G6817" s="10">
        <f t="array" ref="G6817">index('Player ID'!C:C,match(E6817,'Player ID'!B:B,0))</f>
        <v>592332</v>
      </c>
    </row>
    <row r="6818">
      <c r="A6818" s="76">
        <v>45803.0</v>
      </c>
      <c r="B6818" s="1" t="s">
        <v>311</v>
      </c>
      <c r="C6818" s="1" t="s">
        <v>40</v>
      </c>
      <c r="D6818" s="1">
        <v>1.0</v>
      </c>
      <c r="E6818" s="1">
        <v>17432.0</v>
      </c>
      <c r="F6818" s="10">
        <f t="shared" si="1"/>
        <v>1</v>
      </c>
      <c r="G6818" s="10">
        <f t="array" ref="G6818">index('Player ID'!C:C,match(E6818,'Player ID'!B:B,0))</f>
        <v>656546</v>
      </c>
    </row>
    <row r="6819">
      <c r="A6819" s="76">
        <v>45803.0</v>
      </c>
      <c r="B6819" s="1" t="s">
        <v>87</v>
      </c>
      <c r="C6819" s="1" t="s">
        <v>56</v>
      </c>
      <c r="D6819" s="1">
        <v>0.2</v>
      </c>
      <c r="E6819" s="1">
        <v>19274.0</v>
      </c>
      <c r="F6819" s="10">
        <f t="shared" si="1"/>
        <v>0.6666666667</v>
      </c>
      <c r="G6819" s="10">
        <f t="array" ref="G6819">index('Player ID'!C:C,match(E6819,'Player ID'!B:B,0))</f>
        <v>657097</v>
      </c>
    </row>
    <row r="6820">
      <c r="A6820" s="76">
        <v>45803.0</v>
      </c>
      <c r="B6820" s="1" t="s">
        <v>502</v>
      </c>
      <c r="C6820" s="1" t="s">
        <v>56</v>
      </c>
      <c r="D6820" s="1">
        <v>1.0</v>
      </c>
      <c r="E6820" s="1">
        <v>22113.0</v>
      </c>
      <c r="F6820" s="10">
        <f t="shared" si="1"/>
        <v>1</v>
      </c>
      <c r="G6820" s="10">
        <f t="array" ref="G6820">index('Player ID'!C:C,match(E6820,'Player ID'!B:B,0))</f>
        <v>668390</v>
      </c>
    </row>
    <row r="6821">
      <c r="A6821" s="76">
        <v>45803.0</v>
      </c>
      <c r="B6821" s="1" t="s">
        <v>226</v>
      </c>
      <c r="C6821" s="1" t="s">
        <v>66</v>
      </c>
      <c r="D6821" s="1">
        <v>7.0</v>
      </c>
      <c r="E6821" s="1">
        <v>12730.0</v>
      </c>
      <c r="F6821" s="10">
        <f t="shared" si="1"/>
        <v>7</v>
      </c>
      <c r="G6821" s="10">
        <f t="array" ref="G6821">index('Player ID'!C:C,match(E6821,'Player ID'!B:B,0))</f>
        <v>607259</v>
      </c>
    </row>
    <row r="6822">
      <c r="A6822" s="76">
        <v>45803.0</v>
      </c>
      <c r="B6822" s="1" t="s">
        <v>651</v>
      </c>
      <c r="C6822" s="1" t="s">
        <v>66</v>
      </c>
      <c r="D6822" s="1">
        <v>1.0</v>
      </c>
      <c r="E6822" s="1">
        <v>14771.0</v>
      </c>
      <c r="F6822" s="10">
        <f t="shared" si="1"/>
        <v>1</v>
      </c>
      <c r="G6822" s="10">
        <f t="array" ref="G6822">index('Player ID'!C:C,match(E6822,'Player ID'!B:B,0))</f>
        <v>641941</v>
      </c>
    </row>
    <row r="6823">
      <c r="A6823" s="76">
        <v>45803.0</v>
      </c>
      <c r="B6823" s="1" t="s">
        <v>420</v>
      </c>
      <c r="C6823" s="1" t="s">
        <v>29</v>
      </c>
      <c r="D6823" s="1">
        <v>5.0</v>
      </c>
      <c r="E6823" s="1">
        <v>14843.0</v>
      </c>
      <c r="F6823" s="10">
        <f t="shared" si="1"/>
        <v>5</v>
      </c>
      <c r="G6823" s="10">
        <f t="array" ref="G6823">index('Player ID'!C:C,match(E6823,'Player ID'!B:B,0))</f>
        <v>547179</v>
      </c>
    </row>
    <row r="6824">
      <c r="A6824" s="76">
        <v>45803.0</v>
      </c>
      <c r="B6824" s="1" t="s">
        <v>345</v>
      </c>
      <c r="C6824" s="1" t="s">
        <v>66</v>
      </c>
      <c r="D6824" s="1">
        <v>1.0</v>
      </c>
      <c r="E6824" s="1">
        <v>19926.0</v>
      </c>
      <c r="F6824" s="10">
        <f t="shared" si="1"/>
        <v>1</v>
      </c>
      <c r="G6824" s="10">
        <f t="array" ref="G6824">index('Player ID'!C:C,match(E6824,'Player ID'!B:B,0))</f>
        <v>663574</v>
      </c>
    </row>
    <row r="6825">
      <c r="A6825" s="76">
        <v>45803.0</v>
      </c>
      <c r="B6825" s="1" t="s">
        <v>140</v>
      </c>
      <c r="C6825" s="1" t="s">
        <v>29</v>
      </c>
      <c r="D6825" s="1">
        <v>1.0</v>
      </c>
      <c r="E6825" s="1">
        <v>22717.0</v>
      </c>
      <c r="F6825" s="10">
        <f t="shared" si="1"/>
        <v>1</v>
      </c>
      <c r="G6825" s="10">
        <f t="array" ref="G6825">index('Player ID'!C:C,match(E6825,'Player ID'!B:B,0))</f>
        <v>672582</v>
      </c>
    </row>
    <row r="6826">
      <c r="A6826" s="76">
        <v>45803.0</v>
      </c>
      <c r="B6826" s="1" t="s">
        <v>214</v>
      </c>
      <c r="C6826" s="1" t="s">
        <v>29</v>
      </c>
      <c r="D6826" s="1">
        <v>1.0</v>
      </c>
      <c r="E6826" s="1">
        <v>23165.0</v>
      </c>
      <c r="F6826" s="10">
        <f t="shared" si="1"/>
        <v>1</v>
      </c>
      <c r="G6826" s="10">
        <f t="array" ref="G6826">index('Player ID'!C:C,match(E6826,'Player ID'!B:B,0))</f>
        <v>674444</v>
      </c>
    </row>
    <row r="6827">
      <c r="A6827" s="76">
        <v>45803.0</v>
      </c>
      <c r="B6827" s="1" t="s">
        <v>734</v>
      </c>
      <c r="C6827" s="1" t="s">
        <v>29</v>
      </c>
      <c r="D6827" s="1">
        <v>2.0</v>
      </c>
      <c r="E6827" s="1">
        <v>24995.0</v>
      </c>
      <c r="F6827" s="10">
        <f t="shared" si="1"/>
        <v>2</v>
      </c>
      <c r="G6827" s="10">
        <f t="array" ref="G6827">index('Player ID'!C:C,match(E6827,'Player ID'!B:B,0))</f>
        <v>681895</v>
      </c>
    </row>
    <row r="6828">
      <c r="A6828" s="76">
        <v>45803.0</v>
      </c>
      <c r="B6828" s="1" t="s">
        <v>646</v>
      </c>
      <c r="C6828" s="1" t="s">
        <v>51</v>
      </c>
      <c r="D6828" s="1">
        <v>1.1</v>
      </c>
      <c r="E6828" s="1">
        <v>6107.0</v>
      </c>
      <c r="F6828" s="10">
        <f t="shared" si="1"/>
        <v>1.333333333</v>
      </c>
      <c r="G6828" s="10">
        <f t="array" ref="G6828">index('Player ID'!C:C,match(E6828,'Player ID'!B:B,0))</f>
        <v>623211</v>
      </c>
    </row>
    <row r="6829">
      <c r="A6829" s="76">
        <v>45803.0</v>
      </c>
      <c r="B6829" s="1" t="s">
        <v>411</v>
      </c>
      <c r="C6829" s="1" t="s">
        <v>78</v>
      </c>
      <c r="D6829" s="1">
        <v>6.0</v>
      </c>
      <c r="E6829" s="1">
        <v>12718.0</v>
      </c>
      <c r="F6829" s="10">
        <f t="shared" si="1"/>
        <v>6</v>
      </c>
      <c r="G6829" s="10">
        <f t="array" ref="G6829">index('Player ID'!C:C,match(E6829,'Player ID'!B:B,0))</f>
        <v>605288</v>
      </c>
    </row>
    <row r="6830">
      <c r="A6830" s="76">
        <v>45803.0</v>
      </c>
      <c r="B6830" s="1" t="s">
        <v>269</v>
      </c>
      <c r="C6830" s="1" t="s">
        <v>51</v>
      </c>
      <c r="D6830" s="1">
        <v>5.2</v>
      </c>
      <c r="E6830" s="1">
        <v>13649.0</v>
      </c>
      <c r="F6830" s="10">
        <f t="shared" si="1"/>
        <v>5.666666667</v>
      </c>
      <c r="G6830" s="10">
        <f t="array" ref="G6830">index('Player ID'!C:C,match(E6830,'Player ID'!B:B,0))</f>
        <v>605280</v>
      </c>
    </row>
    <row r="6831">
      <c r="A6831" s="76">
        <v>45803.0</v>
      </c>
      <c r="B6831" s="1" t="s">
        <v>679</v>
      </c>
      <c r="C6831" s="1" t="s">
        <v>51</v>
      </c>
      <c r="D6831" s="1">
        <v>1.0</v>
      </c>
      <c r="E6831" s="1">
        <v>14710.0</v>
      </c>
      <c r="F6831" s="10">
        <f t="shared" si="1"/>
        <v>1</v>
      </c>
      <c r="G6831" s="10">
        <f t="array" ref="G6831">index('Player ID'!C:C,match(E6831,'Player ID'!B:B,0))</f>
        <v>621242</v>
      </c>
    </row>
    <row r="6832">
      <c r="A6832" s="76">
        <v>45803.0</v>
      </c>
      <c r="B6832" s="1" t="s">
        <v>252</v>
      </c>
      <c r="C6832" s="1" t="s">
        <v>78</v>
      </c>
      <c r="D6832" s="1">
        <v>0.2</v>
      </c>
      <c r="E6832" s="1">
        <v>16061.0</v>
      </c>
      <c r="F6832" s="10">
        <f t="shared" si="1"/>
        <v>0.6666666667</v>
      </c>
      <c r="G6832" s="10">
        <f t="array" ref="G6832">index('Player ID'!C:C,match(E6832,'Player ID'!B:B,0))</f>
        <v>592155</v>
      </c>
    </row>
    <row r="6833">
      <c r="A6833" s="76">
        <v>45803.0</v>
      </c>
      <c r="B6833" s="1" t="s">
        <v>826</v>
      </c>
      <c r="C6833" s="1" t="s">
        <v>51</v>
      </c>
      <c r="D6833" s="1">
        <v>0.1</v>
      </c>
      <c r="E6833" s="1">
        <v>17169.0</v>
      </c>
      <c r="F6833" s="10">
        <f t="shared" si="1"/>
        <v>0.3333333333</v>
      </c>
      <c r="G6833" s="10">
        <f t="array" ref="G6833">index('Player ID'!C:C,match(E6833,'Player ID'!B:B,0))</f>
        <v>620454</v>
      </c>
    </row>
    <row r="6834">
      <c r="A6834" s="76">
        <v>45803.0</v>
      </c>
      <c r="B6834" s="1" t="s">
        <v>116</v>
      </c>
      <c r="C6834" s="1" t="s">
        <v>78</v>
      </c>
      <c r="D6834" s="1">
        <v>0.2</v>
      </c>
      <c r="E6834" s="1">
        <v>20353.0</v>
      </c>
      <c r="F6834" s="10">
        <f t="shared" si="1"/>
        <v>0.6666666667</v>
      </c>
      <c r="G6834" s="10">
        <f t="array" ref="G6834">index('Player ID'!C:C,match(E6834,'Player ID'!B:B,0))</f>
        <v>621051</v>
      </c>
    </row>
    <row r="6835">
      <c r="A6835" s="76">
        <v>45803.0</v>
      </c>
      <c r="B6835" s="1" t="s">
        <v>712</v>
      </c>
      <c r="C6835" s="1" t="s">
        <v>51</v>
      </c>
      <c r="D6835" s="1">
        <v>0.2</v>
      </c>
      <c r="E6835" s="1">
        <v>23313.0</v>
      </c>
      <c r="F6835" s="10">
        <f t="shared" si="1"/>
        <v>0.6666666667</v>
      </c>
      <c r="G6835" s="10">
        <f t="array" ref="G6835">index('Player ID'!C:C,match(E6835,'Player ID'!B:B,0))</f>
        <v>676130</v>
      </c>
    </row>
    <row r="6836">
      <c r="A6836" s="76">
        <v>45803.0</v>
      </c>
      <c r="B6836" s="1" t="s">
        <v>367</v>
      </c>
      <c r="C6836" s="1" t="s">
        <v>78</v>
      </c>
      <c r="D6836" s="1">
        <v>1.0</v>
      </c>
      <c r="E6836" s="1">
        <v>27668.0</v>
      </c>
      <c r="F6836" s="10">
        <f t="shared" si="1"/>
        <v>1</v>
      </c>
      <c r="G6836" s="10">
        <f t="array" ref="G6836">index('Player ID'!C:C,match(E6836,'Player ID'!B:B,0))</f>
        <v>685126</v>
      </c>
    </row>
    <row r="6837">
      <c r="A6837" s="76">
        <v>45803.0</v>
      </c>
      <c r="B6837" s="1" t="s">
        <v>595</v>
      </c>
      <c r="C6837" s="1" t="s">
        <v>33</v>
      </c>
      <c r="D6837" s="1">
        <v>1.0</v>
      </c>
      <c r="E6837" s="1">
        <v>6984.0</v>
      </c>
      <c r="F6837" s="10">
        <f t="shared" si="1"/>
        <v>1</v>
      </c>
      <c r="G6837" s="10">
        <f t="array" ref="G6837">index('Player ID'!C:C,match(E6837,'Player ID'!B:B,0))</f>
        <v>472610</v>
      </c>
    </row>
    <row r="6838">
      <c r="A6838" s="76">
        <v>45803.0</v>
      </c>
      <c r="B6838" s="1" t="s">
        <v>32</v>
      </c>
      <c r="C6838" s="1" t="s">
        <v>33</v>
      </c>
      <c r="D6838" s="1">
        <v>1.0</v>
      </c>
      <c r="E6838" s="1">
        <v>17586.0</v>
      </c>
      <c r="F6838" s="10">
        <f t="shared" si="1"/>
        <v>1</v>
      </c>
      <c r="G6838" s="10">
        <f t="array" ref="G6838">index('Player ID'!C:C,match(E6838,'Player ID'!B:B,0))</f>
        <v>656945</v>
      </c>
    </row>
    <row r="6839">
      <c r="A6839" s="76">
        <v>45803.0</v>
      </c>
      <c r="B6839" s="1" t="s">
        <v>141</v>
      </c>
      <c r="C6839" s="1" t="s">
        <v>70</v>
      </c>
      <c r="D6839" s="1">
        <v>1.1</v>
      </c>
      <c r="E6839" s="1">
        <v>19330.0</v>
      </c>
      <c r="F6839" s="10">
        <f t="shared" si="1"/>
        <v>1.333333333</v>
      </c>
      <c r="G6839" s="10">
        <f t="array" ref="G6839">index('Player ID'!C:C,match(E6839,'Player ID'!B:B,0))</f>
        <v>670036</v>
      </c>
    </row>
    <row r="6840">
      <c r="A6840" s="76">
        <v>45803.0</v>
      </c>
      <c r="B6840" s="1" t="s">
        <v>398</v>
      </c>
      <c r="C6840" s="1" t="s">
        <v>70</v>
      </c>
      <c r="D6840" s="1">
        <v>3.0</v>
      </c>
      <c r="E6840" s="1">
        <v>23335.0</v>
      </c>
      <c r="F6840" s="10">
        <f t="shared" si="1"/>
        <v>3</v>
      </c>
      <c r="G6840" s="10">
        <f t="array" ref="G6840">index('Player ID'!C:C,match(E6840,'Player ID'!B:B,0))</f>
        <v>676282</v>
      </c>
    </row>
    <row r="6841">
      <c r="A6841" s="76">
        <v>45803.0</v>
      </c>
      <c r="B6841" s="1" t="s">
        <v>92</v>
      </c>
      <c r="C6841" s="1" t="s">
        <v>33</v>
      </c>
      <c r="D6841" s="1">
        <v>1.0</v>
      </c>
      <c r="E6841" s="1">
        <v>25007.0</v>
      </c>
      <c r="F6841" s="10">
        <f t="shared" si="1"/>
        <v>1</v>
      </c>
      <c r="G6841" s="10">
        <f t="array" ref="G6841">index('Player ID'!C:C,match(E6841,'Player ID'!B:B,0))</f>
        <v>681911</v>
      </c>
    </row>
    <row r="6842">
      <c r="A6842" s="76">
        <v>45803.0</v>
      </c>
      <c r="B6842" s="1" t="s">
        <v>376</v>
      </c>
      <c r="C6842" s="1" t="s">
        <v>70</v>
      </c>
      <c r="D6842" s="1">
        <v>4.2</v>
      </c>
      <c r="E6842" s="1">
        <v>30122.0</v>
      </c>
      <c r="F6842" s="10">
        <f t="shared" si="1"/>
        <v>4.666666667</v>
      </c>
      <c r="G6842" s="10">
        <f t="array" ref="G6842">index('Player ID'!C:C,match(E6842,'Player ID'!B:B,0))</f>
        <v>668909</v>
      </c>
    </row>
    <row r="6843">
      <c r="A6843" s="76">
        <v>45803.0</v>
      </c>
      <c r="B6843" s="1" t="s">
        <v>85</v>
      </c>
      <c r="C6843" s="1" t="s">
        <v>33</v>
      </c>
      <c r="D6843" s="1">
        <v>6.0</v>
      </c>
      <c r="E6843" s="1">
        <v>33825.0</v>
      </c>
      <c r="F6843" s="10">
        <f t="shared" si="1"/>
        <v>6</v>
      </c>
      <c r="G6843" s="10">
        <f t="array" ref="G6843">index('Player ID'!C:C,match(E6843,'Player ID'!B:B,0))</f>
        <v>808967</v>
      </c>
    </row>
    <row r="6844">
      <c r="A6844" s="76">
        <v>45803.0</v>
      </c>
      <c r="B6844" s="1" t="s">
        <v>146</v>
      </c>
      <c r="C6844" s="1" t="s">
        <v>16</v>
      </c>
      <c r="D6844" s="1">
        <v>1.1</v>
      </c>
      <c r="E6844" s="1">
        <v>15145.0</v>
      </c>
      <c r="F6844" s="10">
        <f t="shared" si="1"/>
        <v>1.333333333</v>
      </c>
      <c r="G6844" s="10">
        <f t="array" ref="G6844">index('Player ID'!C:C,match(E6844,'Player ID'!B:B,0))</f>
        <v>623437</v>
      </c>
    </row>
    <row r="6845">
      <c r="A6845" s="76">
        <v>45803.0</v>
      </c>
      <c r="B6845" s="1" t="s">
        <v>177</v>
      </c>
      <c r="C6845" s="1" t="s">
        <v>54</v>
      </c>
      <c r="D6845" s="1">
        <v>6.1</v>
      </c>
      <c r="E6845" s="1">
        <v>15823.0</v>
      </c>
      <c r="F6845" s="10">
        <f t="shared" si="1"/>
        <v>6.333333333</v>
      </c>
      <c r="G6845" s="10">
        <f t="array" ref="G6845">index('Player ID'!C:C,match(E6845,'Player ID'!B:B,0))</f>
        <v>641793</v>
      </c>
    </row>
    <row r="6846">
      <c r="A6846" s="76">
        <v>45803.0</v>
      </c>
      <c r="B6846" s="1" t="s">
        <v>249</v>
      </c>
      <c r="C6846" s="1" t="s">
        <v>16</v>
      </c>
      <c r="D6846" s="1">
        <v>0.2</v>
      </c>
      <c r="E6846" s="1">
        <v>16727.0</v>
      </c>
      <c r="F6846" s="10">
        <f t="shared" si="1"/>
        <v>0.6666666667</v>
      </c>
      <c r="G6846" s="10">
        <f t="array" ref="G6846">index('Player ID'!C:C,match(E6846,'Player ID'!B:B,0))</f>
        <v>592779</v>
      </c>
    </row>
    <row r="6847">
      <c r="A6847" s="76">
        <v>45803.0</v>
      </c>
      <c r="B6847" s="1" t="s">
        <v>185</v>
      </c>
      <c r="C6847" s="1" t="s">
        <v>54</v>
      </c>
      <c r="D6847" s="1">
        <v>0.2</v>
      </c>
      <c r="E6847" s="1">
        <v>17897.0</v>
      </c>
      <c r="F6847" s="10">
        <f t="shared" si="1"/>
        <v>0.6666666667</v>
      </c>
      <c r="G6847" s="10">
        <f t="array" ref="G6847">index('Player ID'!C:C,match(E6847,'Player ID'!B:B,0))</f>
        <v>664076</v>
      </c>
    </row>
    <row r="6848">
      <c r="A6848" s="76">
        <v>45803.0</v>
      </c>
      <c r="B6848" s="1" t="s">
        <v>133</v>
      </c>
      <c r="C6848" s="1" t="s">
        <v>16</v>
      </c>
      <c r="D6848" s="1">
        <v>5.1</v>
      </c>
      <c r="E6848" s="1">
        <v>20099.0</v>
      </c>
      <c r="F6848" s="10">
        <f t="shared" si="1"/>
        <v>5.333333333</v>
      </c>
      <c r="G6848" s="10">
        <f t="array" ref="G6848">index('Player ID'!C:C,match(E6848,'Player ID'!B:B,0))</f>
        <v>663978</v>
      </c>
    </row>
    <row r="6849">
      <c r="A6849" s="76">
        <v>45803.0</v>
      </c>
      <c r="B6849" s="1" t="s">
        <v>705</v>
      </c>
      <c r="C6849" s="1" t="s">
        <v>54</v>
      </c>
      <c r="D6849" s="1">
        <v>1.0</v>
      </c>
      <c r="E6849" s="1">
        <v>20794.0</v>
      </c>
      <c r="F6849" s="10">
        <f t="shared" si="1"/>
        <v>1</v>
      </c>
      <c r="G6849" s="10">
        <f t="array" ref="G6849">index('Player ID'!C:C,match(E6849,'Player ID'!B:B,0))</f>
        <v>655889</v>
      </c>
    </row>
    <row r="6850">
      <c r="A6850" s="76">
        <v>45803.0</v>
      </c>
      <c r="B6850" s="1" t="s">
        <v>333</v>
      </c>
      <c r="C6850" s="1" t="s">
        <v>16</v>
      </c>
      <c r="D6850" s="1">
        <v>0.2</v>
      </c>
      <c r="E6850" s="1">
        <v>24993.0</v>
      </c>
      <c r="F6850" s="10">
        <f t="shared" si="1"/>
        <v>0.6666666667</v>
      </c>
      <c r="G6850" s="10">
        <f t="array" ref="G6850">index('Player ID'!C:C,match(E6850,'Player ID'!B:B,0))</f>
        <v>681892</v>
      </c>
    </row>
    <row r="6851">
      <c r="A6851" s="76">
        <v>45803.0</v>
      </c>
      <c r="B6851" s="1" t="s">
        <v>334</v>
      </c>
      <c r="C6851" s="1" t="s">
        <v>54</v>
      </c>
      <c r="D6851" s="1">
        <v>1.0</v>
      </c>
      <c r="E6851" s="1">
        <v>29770.0</v>
      </c>
      <c r="F6851" s="10">
        <f t="shared" si="1"/>
        <v>1</v>
      </c>
      <c r="G6851" s="10">
        <f t="array" ref="G6851">index('Player ID'!C:C,match(E6851,'Player ID'!B:B,0))</f>
        <v>682254</v>
      </c>
    </row>
    <row r="6852">
      <c r="A6852" s="76">
        <v>45803.0</v>
      </c>
      <c r="B6852" s="1" t="s">
        <v>745</v>
      </c>
      <c r="C6852" s="1" t="s">
        <v>64</v>
      </c>
      <c r="D6852" s="1">
        <v>0.0</v>
      </c>
      <c r="E6852" s="1">
        <v>12056.0</v>
      </c>
      <c r="F6852" s="10">
        <f t="shared" si="1"/>
        <v>0</v>
      </c>
      <c r="G6852" s="10">
        <f t="array" ref="G6852">index('Player ID'!C:C,match(E6852,'Player ID'!B:B,0))</f>
        <v>543518</v>
      </c>
    </row>
    <row r="6853">
      <c r="A6853" s="76">
        <v>45803.0</v>
      </c>
      <c r="B6853" s="1" t="s">
        <v>256</v>
      </c>
      <c r="C6853" s="1" t="s">
        <v>60</v>
      </c>
      <c r="D6853" s="1">
        <v>5.0</v>
      </c>
      <c r="E6853" s="1">
        <v>15423.0</v>
      </c>
      <c r="F6853" s="10">
        <f t="shared" si="1"/>
        <v>5</v>
      </c>
      <c r="G6853" s="10">
        <f t="array" ref="G6853">index('Player ID'!C:C,match(E6853,'Player ID'!B:B,0))</f>
        <v>571760</v>
      </c>
    </row>
    <row r="6854">
      <c r="A6854" s="76">
        <v>45803.0</v>
      </c>
      <c r="B6854" s="1" t="s">
        <v>763</v>
      </c>
      <c r="C6854" s="1" t="s">
        <v>64</v>
      </c>
      <c r="D6854" s="1">
        <v>0.1</v>
      </c>
      <c r="E6854" s="1">
        <v>15514.0</v>
      </c>
      <c r="F6854" s="10">
        <f t="shared" si="1"/>
        <v>0.3333333333</v>
      </c>
      <c r="G6854" s="10">
        <f t="array" ref="G6854">index('Player ID'!C:C,match(E6854,'Player ID'!B:B,0))</f>
        <v>608665</v>
      </c>
    </row>
    <row r="6855">
      <c r="A6855" s="76">
        <v>45803.0</v>
      </c>
      <c r="B6855" s="1" t="s">
        <v>219</v>
      </c>
      <c r="C6855" s="1" t="s">
        <v>64</v>
      </c>
      <c r="D6855" s="1">
        <v>1.0</v>
      </c>
      <c r="E6855" s="1">
        <v>16647.0</v>
      </c>
      <c r="F6855" s="10">
        <f t="shared" si="1"/>
        <v>1</v>
      </c>
      <c r="G6855" s="10">
        <f t="array" ref="G6855">index('Player ID'!C:C,match(E6855,'Player ID'!B:B,0))</f>
        <v>657044</v>
      </c>
    </row>
    <row r="6856">
      <c r="A6856" s="76">
        <v>45803.0</v>
      </c>
      <c r="B6856" s="1" t="s">
        <v>277</v>
      </c>
      <c r="C6856" s="1" t="s">
        <v>60</v>
      </c>
      <c r="D6856" s="1">
        <v>3.0</v>
      </c>
      <c r="E6856" s="1">
        <v>23793.0</v>
      </c>
      <c r="F6856" s="10">
        <f t="shared" si="1"/>
        <v>3</v>
      </c>
      <c r="G6856" s="10" t="str">
        <f t="array" ref="G6856">index('Player ID'!C:C,match(E6856,'Player ID'!B:B,0))</f>
        <v>#N/A</v>
      </c>
    </row>
    <row r="6857">
      <c r="A6857" s="76">
        <v>45803.0</v>
      </c>
      <c r="B6857" s="1" t="s">
        <v>714</v>
      </c>
      <c r="C6857" s="1" t="s">
        <v>64</v>
      </c>
      <c r="D6857" s="1">
        <v>1.0</v>
      </c>
      <c r="E6857" s="1">
        <v>24453.0</v>
      </c>
      <c r="F6857" s="10">
        <f t="shared" si="1"/>
        <v>1</v>
      </c>
      <c r="G6857" s="10">
        <f t="array" ref="G6857">index('Player ID'!C:C,match(E6857,'Player ID'!B:B,0))</f>
        <v>679885</v>
      </c>
    </row>
    <row r="6858">
      <c r="A6858" s="76">
        <v>45803.0</v>
      </c>
      <c r="B6858" s="1" t="s">
        <v>93</v>
      </c>
      <c r="C6858" s="1" t="s">
        <v>64</v>
      </c>
      <c r="D6858" s="1">
        <v>6.2</v>
      </c>
      <c r="E6858" s="1">
        <v>26253.0</v>
      </c>
      <c r="F6858" s="10">
        <f t="shared" si="1"/>
        <v>6.666666667</v>
      </c>
      <c r="G6858" s="10">
        <f t="array" ref="G6858">index('Player ID'!C:C,match(E6858,'Player ID'!B:B,0))</f>
        <v>669194</v>
      </c>
    </row>
    <row r="6859">
      <c r="A6859" s="76">
        <v>45803.0</v>
      </c>
      <c r="B6859" s="1" t="s">
        <v>342</v>
      </c>
      <c r="C6859" s="1" t="s">
        <v>26</v>
      </c>
      <c r="D6859" s="1">
        <v>1.0</v>
      </c>
      <c r="E6859" s="1">
        <v>11861.0</v>
      </c>
      <c r="F6859" s="10">
        <f t="shared" si="1"/>
        <v>1</v>
      </c>
      <c r="G6859" s="10">
        <f t="array" ref="G6859">index('Player ID'!C:C,match(E6859,'Player ID'!B:B,0))</f>
        <v>592094</v>
      </c>
    </row>
    <row r="6860">
      <c r="A6860" s="76">
        <v>45803.0</v>
      </c>
      <c r="B6860" s="1" t="s">
        <v>404</v>
      </c>
      <c r="C6860" s="1" t="s">
        <v>26</v>
      </c>
      <c r="D6860" s="1">
        <v>1.0</v>
      </c>
      <c r="E6860" s="1">
        <v>14295.0</v>
      </c>
      <c r="F6860" s="10">
        <f t="shared" si="1"/>
        <v>1</v>
      </c>
      <c r="G6860" s="10">
        <f t="array" ref="G6860">index('Player ID'!C:C,match(E6860,'Player ID'!B:B,0))</f>
        <v>593974</v>
      </c>
    </row>
    <row r="6861">
      <c r="A6861" s="76">
        <v>45803.0</v>
      </c>
      <c r="B6861" s="1" t="s">
        <v>661</v>
      </c>
      <c r="C6861" s="1" t="s">
        <v>36</v>
      </c>
      <c r="D6861" s="1">
        <v>1.1</v>
      </c>
      <c r="E6861" s="1">
        <v>16300.0</v>
      </c>
      <c r="F6861" s="10">
        <f t="shared" si="1"/>
        <v>1.333333333</v>
      </c>
      <c r="G6861" s="10">
        <f t="array" ref="G6861">index('Player ID'!C:C,match(E6861,'Player ID'!B:B,0))</f>
        <v>622786</v>
      </c>
    </row>
    <row r="6862">
      <c r="A6862" s="76">
        <v>45803.0</v>
      </c>
      <c r="B6862" s="1" t="s">
        <v>49</v>
      </c>
      <c r="C6862" s="1" t="s">
        <v>26</v>
      </c>
      <c r="D6862" s="1">
        <v>1.0</v>
      </c>
      <c r="E6862" s="1">
        <v>20039.0</v>
      </c>
      <c r="F6862" s="10">
        <f t="shared" si="1"/>
        <v>1</v>
      </c>
      <c r="G6862" s="10">
        <f t="array" ref="G6862">index('Player ID'!C:C,match(E6862,'Player ID'!B:B,0))</f>
        <v>670970</v>
      </c>
    </row>
    <row r="6863">
      <c r="A6863" s="76">
        <v>45803.0</v>
      </c>
      <c r="B6863" s="1" t="s">
        <v>262</v>
      </c>
      <c r="C6863" s="1" t="s">
        <v>36</v>
      </c>
      <c r="D6863" s="1">
        <v>1.0</v>
      </c>
      <c r="E6863" s="1">
        <v>20116.0</v>
      </c>
      <c r="F6863" s="10">
        <f t="shared" si="1"/>
        <v>1</v>
      </c>
      <c r="G6863" s="10">
        <f t="array" ref="G6863">index('Player ID'!C:C,match(E6863,'Player ID'!B:B,0))</f>
        <v>676534</v>
      </c>
    </row>
    <row r="6864">
      <c r="A6864" s="76">
        <v>45803.0</v>
      </c>
      <c r="B6864" s="1" t="s">
        <v>61</v>
      </c>
      <c r="C6864" s="1" t="s">
        <v>36</v>
      </c>
      <c r="D6864" s="1">
        <v>2.0</v>
      </c>
      <c r="E6864" s="1">
        <v>20629.0</v>
      </c>
      <c r="F6864" s="10">
        <f t="shared" si="1"/>
        <v>2</v>
      </c>
      <c r="G6864" s="10">
        <f t="array" ref="G6864">index('Player ID'!C:C,match(E6864,'Player ID'!B:B,0))</f>
        <v>663969</v>
      </c>
    </row>
    <row r="6865">
      <c r="A6865" s="76">
        <v>45803.0</v>
      </c>
      <c r="B6865" s="1" t="s">
        <v>202</v>
      </c>
      <c r="C6865" s="1" t="s">
        <v>36</v>
      </c>
      <c r="D6865" s="1">
        <v>5.2</v>
      </c>
      <c r="E6865" s="1">
        <v>23796.0</v>
      </c>
      <c r="F6865" s="10">
        <f t="shared" si="1"/>
        <v>5.666666667</v>
      </c>
      <c r="G6865" s="10">
        <f t="array" ref="G6865">index('Player ID'!C:C,match(E6865,'Player ID'!B:B,0))</f>
        <v>677960</v>
      </c>
    </row>
    <row r="6866">
      <c r="A6866" s="76">
        <v>45803.0</v>
      </c>
      <c r="B6866" s="1" t="s">
        <v>713</v>
      </c>
      <c r="C6866" s="1" t="s">
        <v>26</v>
      </c>
      <c r="D6866" s="1">
        <v>6.1</v>
      </c>
      <c r="E6866" s="1">
        <v>24719.0</v>
      </c>
      <c r="F6866" s="10">
        <f t="shared" si="1"/>
        <v>6.333333333</v>
      </c>
      <c r="G6866" s="10">
        <f t="array" ref="G6866">index('Player ID'!C:C,match(E6866,'Player ID'!B:B,0))</f>
        <v>681190</v>
      </c>
    </row>
    <row r="6867">
      <c r="A6867" s="76">
        <v>45803.0</v>
      </c>
      <c r="B6867" s="1" t="s">
        <v>81</v>
      </c>
      <c r="C6867" s="1" t="s">
        <v>26</v>
      </c>
      <c r="D6867" s="1">
        <v>1.0</v>
      </c>
      <c r="E6867" s="1">
        <v>30115.0</v>
      </c>
      <c r="F6867" s="10">
        <f t="shared" si="1"/>
        <v>1</v>
      </c>
      <c r="G6867" s="10">
        <f t="array" ref="G6867">index('Player ID'!C:C,match(E6867,'Player ID'!B:B,0))</f>
        <v>663158</v>
      </c>
    </row>
    <row r="6868">
      <c r="A6868" s="76">
        <v>45803.0</v>
      </c>
      <c r="B6868" s="1" t="s">
        <v>498</v>
      </c>
      <c r="C6868" s="1" t="s">
        <v>26</v>
      </c>
      <c r="D6868" s="1">
        <v>0.2</v>
      </c>
      <c r="E6868" s="1">
        <v>31616.0</v>
      </c>
      <c r="F6868" s="10">
        <f t="shared" si="1"/>
        <v>0.6666666667</v>
      </c>
      <c r="G6868" s="10" t="str">
        <f t="array" ref="G6868">index('Player ID'!C:C,match(E6868,'Player ID'!B:B,0))</f>
        <v>#N/A</v>
      </c>
    </row>
    <row r="6869">
      <c r="A6869" s="76">
        <v>45803.0</v>
      </c>
      <c r="B6869" s="1" t="s">
        <v>266</v>
      </c>
      <c r="C6869" s="1" t="s">
        <v>36</v>
      </c>
      <c r="D6869" s="1">
        <v>0.1</v>
      </c>
      <c r="E6869" s="1">
        <v>31815.0</v>
      </c>
      <c r="F6869" s="10">
        <f t="shared" si="1"/>
        <v>0.3333333333</v>
      </c>
      <c r="G6869" s="10">
        <f t="array" ref="G6869">index('Player ID'!C:C,match(E6869,'Player ID'!B:B,0))</f>
        <v>806188</v>
      </c>
    </row>
    <row r="6870">
      <c r="A6870" s="76">
        <v>45803.0</v>
      </c>
      <c r="B6870" s="1" t="s">
        <v>834</v>
      </c>
      <c r="C6870" s="1" t="s">
        <v>25</v>
      </c>
      <c r="D6870" s="1">
        <v>1.0</v>
      </c>
      <c r="E6870" s="1">
        <v>7836.0</v>
      </c>
      <c r="F6870" s="10">
        <f t="shared" si="1"/>
        <v>1</v>
      </c>
      <c r="G6870" s="10" t="str">
        <f t="array" ref="G6870">index('Player ID'!C:C,match(E6870,'Player ID'!B:B,0))</f>
        <v>#N/A</v>
      </c>
    </row>
    <row r="6871">
      <c r="A6871" s="76">
        <v>45803.0</v>
      </c>
      <c r="B6871" s="1" t="s">
        <v>467</v>
      </c>
      <c r="C6871" s="1" t="s">
        <v>58</v>
      </c>
      <c r="D6871" s="1">
        <v>0.2</v>
      </c>
      <c r="E6871" s="1">
        <v>15551.0</v>
      </c>
      <c r="F6871" s="10">
        <f t="shared" si="1"/>
        <v>0.6666666667</v>
      </c>
      <c r="G6871" s="10">
        <f t="array" ref="G6871">index('Player ID'!C:C,match(E6871,'Player ID'!B:B,0))</f>
        <v>643410</v>
      </c>
    </row>
    <row r="6872">
      <c r="A6872" s="76">
        <v>45803.0</v>
      </c>
      <c r="B6872" s="1" t="s">
        <v>192</v>
      </c>
      <c r="C6872" s="1" t="s">
        <v>58</v>
      </c>
      <c r="D6872" s="1">
        <v>6.0</v>
      </c>
      <c r="E6872" s="1">
        <v>16502.0</v>
      </c>
      <c r="F6872" s="10">
        <f t="shared" si="1"/>
        <v>6</v>
      </c>
      <c r="G6872" s="10">
        <f t="array" ref="G6872">index('Player ID'!C:C,match(E6872,'Player ID'!B:B,0))</f>
        <v>642232</v>
      </c>
    </row>
    <row r="6873">
      <c r="A6873" s="76">
        <v>45803.0</v>
      </c>
      <c r="B6873" s="1" t="s">
        <v>225</v>
      </c>
      <c r="C6873" s="1" t="s">
        <v>58</v>
      </c>
      <c r="D6873" s="1">
        <v>1.0</v>
      </c>
      <c r="E6873" s="1">
        <v>16918.0</v>
      </c>
      <c r="F6873" s="10">
        <f t="shared" si="1"/>
        <v>1</v>
      </c>
      <c r="G6873" s="10">
        <f t="array" ref="G6873">index('Player ID'!C:C,match(E6873,'Player ID'!B:B,0))</f>
        <v>596133</v>
      </c>
    </row>
    <row r="6874">
      <c r="A6874" s="76">
        <v>45803.0</v>
      </c>
      <c r="B6874" s="1" t="s">
        <v>291</v>
      </c>
      <c r="C6874" s="1" t="s">
        <v>25</v>
      </c>
      <c r="D6874" s="1">
        <v>0.1</v>
      </c>
      <c r="E6874" s="1">
        <v>17968.0</v>
      </c>
      <c r="F6874" s="10">
        <f t="shared" si="1"/>
        <v>0.3333333333</v>
      </c>
      <c r="G6874" s="10">
        <f t="array" ref="G6874">index('Player ID'!C:C,match(E6874,'Player ID'!B:B,0))</f>
        <v>656271</v>
      </c>
    </row>
    <row r="6875">
      <c r="A6875" s="76">
        <v>45803.0</v>
      </c>
      <c r="B6875" s="1" t="s">
        <v>283</v>
      </c>
      <c r="C6875" s="1" t="s">
        <v>25</v>
      </c>
      <c r="D6875" s="1">
        <v>1.0</v>
      </c>
      <c r="E6875" s="1">
        <v>21205.0</v>
      </c>
      <c r="F6875" s="10">
        <f t="shared" si="1"/>
        <v>1</v>
      </c>
      <c r="G6875" s="10">
        <f t="array" ref="G6875">index('Player ID'!C:C,match(E6875,'Player ID'!B:B,0))</f>
        <v>641401</v>
      </c>
    </row>
    <row r="6876">
      <c r="A6876" s="76">
        <v>45803.0</v>
      </c>
      <c r="B6876" s="1" t="s">
        <v>309</v>
      </c>
      <c r="C6876" s="1" t="s">
        <v>58</v>
      </c>
      <c r="D6876" s="1">
        <v>1.1</v>
      </c>
      <c r="E6876" s="1">
        <v>21420.0</v>
      </c>
      <c r="F6876" s="10">
        <f t="shared" si="1"/>
        <v>1.333333333</v>
      </c>
      <c r="G6876" s="10">
        <f t="array" ref="G6876">index('Player ID'!C:C,match(E6876,'Player ID'!B:B,0))</f>
        <v>660787</v>
      </c>
    </row>
    <row r="6877">
      <c r="A6877" s="76">
        <v>45803.0</v>
      </c>
      <c r="B6877" s="1" t="s">
        <v>521</v>
      </c>
      <c r="C6877" s="1" t="s">
        <v>25</v>
      </c>
      <c r="D6877" s="1">
        <v>6.2</v>
      </c>
      <c r="E6877" s="1">
        <v>27688.0</v>
      </c>
      <c r="F6877" s="10">
        <f t="shared" si="1"/>
        <v>6.666666667</v>
      </c>
      <c r="G6877" s="10">
        <f t="array" ref="G6877">index('Player ID'!C:C,match(E6877,'Player ID'!B:B,0))</f>
        <v>686799</v>
      </c>
    </row>
    <row r="6878">
      <c r="A6878" s="76">
        <v>45804.0</v>
      </c>
      <c r="B6878" s="1" t="s">
        <v>595</v>
      </c>
      <c r="C6878" s="1" t="s">
        <v>33</v>
      </c>
      <c r="D6878" s="1">
        <v>1.0</v>
      </c>
      <c r="E6878" s="1">
        <v>6984.0</v>
      </c>
      <c r="F6878" s="10">
        <f t="shared" si="1"/>
        <v>1</v>
      </c>
      <c r="G6878" s="10">
        <f t="array" ref="G6878">index('Player ID'!C:C,match(E6878,'Player ID'!B:B,0))</f>
        <v>472610</v>
      </c>
    </row>
    <row r="6879">
      <c r="A6879" s="76">
        <v>45804.0</v>
      </c>
      <c r="B6879" s="1" t="s">
        <v>117</v>
      </c>
      <c r="C6879" s="1" t="s">
        <v>70</v>
      </c>
      <c r="D6879" s="1">
        <v>1.0</v>
      </c>
      <c r="E6879" s="1">
        <v>13619.0</v>
      </c>
      <c r="F6879" s="10">
        <f t="shared" si="1"/>
        <v>1</v>
      </c>
      <c r="G6879" s="10">
        <f t="array" ref="G6879">index('Player ID'!C:C,match(E6879,'Player ID'!B:B,0))</f>
        <v>596001</v>
      </c>
    </row>
    <row r="6880">
      <c r="A6880" s="76">
        <v>45804.0</v>
      </c>
      <c r="B6880" s="1" t="s">
        <v>329</v>
      </c>
      <c r="C6880" s="1" t="s">
        <v>33</v>
      </c>
      <c r="D6880" s="1">
        <v>5.0</v>
      </c>
      <c r="E6880" s="1">
        <v>19716.0</v>
      </c>
      <c r="F6880" s="10">
        <f t="shared" si="1"/>
        <v>5</v>
      </c>
      <c r="G6880" s="10">
        <f t="array" ref="G6880">index('Player ID'!C:C,match(E6880,'Player ID'!B:B,0))</f>
        <v>669160</v>
      </c>
    </row>
    <row r="6881">
      <c r="A6881" s="76">
        <v>45804.0</v>
      </c>
      <c r="B6881" s="1" t="s">
        <v>519</v>
      </c>
      <c r="C6881" s="1" t="s">
        <v>70</v>
      </c>
      <c r="D6881" s="1">
        <v>1.0</v>
      </c>
      <c r="E6881" s="1">
        <v>25139.0</v>
      </c>
      <c r="F6881" s="10">
        <f t="shared" si="1"/>
        <v>1</v>
      </c>
      <c r="G6881" s="10">
        <f t="array" ref="G6881">index('Player ID'!C:C,match(E6881,'Player ID'!B:B,0))</f>
        <v>682120</v>
      </c>
    </row>
    <row r="6882">
      <c r="A6882" s="76">
        <v>45804.0</v>
      </c>
      <c r="B6882" s="1" t="s">
        <v>375</v>
      </c>
      <c r="C6882" s="1" t="s">
        <v>70</v>
      </c>
      <c r="D6882" s="1">
        <v>1.0</v>
      </c>
      <c r="E6882" s="1">
        <v>25553.0</v>
      </c>
      <c r="F6882" s="10">
        <f t="shared" si="1"/>
        <v>1</v>
      </c>
      <c r="G6882" s="10" t="str">
        <f t="array" ref="G6882">index('Player ID'!C:C,match(E6882,'Player ID'!B:B,0))</f>
        <v>#N/A</v>
      </c>
    </row>
    <row r="6883">
      <c r="A6883" s="76">
        <v>45804.0</v>
      </c>
      <c r="B6883" s="1" t="s">
        <v>238</v>
      </c>
      <c r="C6883" s="1" t="s">
        <v>70</v>
      </c>
      <c r="D6883" s="1">
        <v>1.0</v>
      </c>
      <c r="E6883" s="1">
        <v>25636.0</v>
      </c>
      <c r="F6883" s="10">
        <f t="shared" si="1"/>
        <v>1</v>
      </c>
      <c r="G6883" s="10">
        <f t="array" ref="G6883">index('Player ID'!C:C,match(E6883,'Player ID'!B:B,0))</f>
        <v>683769</v>
      </c>
    </row>
    <row r="6884">
      <c r="A6884" s="76">
        <v>45804.0</v>
      </c>
      <c r="B6884" s="1" t="s">
        <v>104</v>
      </c>
      <c r="C6884" s="1" t="s">
        <v>33</v>
      </c>
      <c r="D6884" s="1">
        <v>1.2</v>
      </c>
      <c r="E6884" s="1">
        <v>30085.0</v>
      </c>
      <c r="F6884" s="10">
        <f t="shared" si="1"/>
        <v>1.666666667</v>
      </c>
      <c r="G6884" s="10">
        <f t="array" ref="G6884">index('Player ID'!C:C,match(E6884,'Player ID'!B:B,0))</f>
        <v>676508</v>
      </c>
    </row>
    <row r="6885">
      <c r="A6885" s="76">
        <v>45804.0</v>
      </c>
      <c r="B6885" s="1" t="s">
        <v>308</v>
      </c>
      <c r="C6885" s="1" t="s">
        <v>70</v>
      </c>
      <c r="D6885" s="1">
        <v>5.0</v>
      </c>
      <c r="E6885" s="1">
        <v>30134.0</v>
      </c>
      <c r="F6885" s="10">
        <f t="shared" si="1"/>
        <v>5</v>
      </c>
      <c r="G6885" s="10">
        <f t="array" ref="G6885">index('Player ID'!C:C,match(E6885,'Player ID'!B:B,0))</f>
        <v>676440</v>
      </c>
    </row>
    <row r="6886">
      <c r="A6886" s="76">
        <v>45804.0</v>
      </c>
      <c r="B6886" s="1" t="s">
        <v>206</v>
      </c>
      <c r="C6886" s="1" t="s">
        <v>33</v>
      </c>
      <c r="D6886" s="1">
        <v>1.1</v>
      </c>
      <c r="E6886" s="1">
        <v>30249.0</v>
      </c>
      <c r="F6886" s="10">
        <f t="shared" si="1"/>
        <v>1.333333333</v>
      </c>
      <c r="G6886" s="10">
        <f t="array" ref="G6886">index('Player ID'!C:C,match(E6886,'Player ID'!B:B,0))</f>
        <v>676263</v>
      </c>
    </row>
    <row r="6887">
      <c r="A6887" s="76">
        <v>45804.0</v>
      </c>
      <c r="B6887" s="1" t="s">
        <v>83</v>
      </c>
      <c r="C6887" s="1" t="s">
        <v>72</v>
      </c>
      <c r="D6887" s="1">
        <v>1.1</v>
      </c>
      <c r="E6887" s="1">
        <v>13361.0</v>
      </c>
      <c r="F6887" s="10">
        <f t="shared" si="1"/>
        <v>1.333333333</v>
      </c>
      <c r="G6887" s="10">
        <f t="array" ref="G6887">index('Player ID'!C:C,match(E6887,'Player ID'!B:B,0))</f>
        <v>571927</v>
      </c>
    </row>
    <row r="6888">
      <c r="A6888" s="76">
        <v>45804.0</v>
      </c>
      <c r="B6888" s="1" t="s">
        <v>190</v>
      </c>
      <c r="C6888" s="1" t="s">
        <v>72</v>
      </c>
      <c r="D6888" s="1">
        <v>1.0</v>
      </c>
      <c r="E6888" s="1">
        <v>18064.0</v>
      </c>
      <c r="F6888" s="10">
        <f t="shared" si="1"/>
        <v>1</v>
      </c>
      <c r="G6888" s="10">
        <f t="array" ref="G6888">index('Player ID'!C:C,match(E6888,'Player ID'!B:B,0))</f>
        <v>664208</v>
      </c>
    </row>
    <row r="6889">
      <c r="A6889" s="76">
        <v>45804.0</v>
      </c>
      <c r="B6889" s="1" t="s">
        <v>270</v>
      </c>
      <c r="C6889" s="1" t="s">
        <v>72</v>
      </c>
      <c r="D6889" s="1">
        <v>1.0</v>
      </c>
      <c r="E6889" s="1">
        <v>18138.0</v>
      </c>
      <c r="F6889" s="10">
        <f t="shared" si="1"/>
        <v>1</v>
      </c>
      <c r="G6889" s="10">
        <f t="array" ref="G6889">index('Player ID'!C:C,match(E6889,'Player ID'!B:B,0))</f>
        <v>664854</v>
      </c>
    </row>
    <row r="6890">
      <c r="A6890" s="76">
        <v>45804.0</v>
      </c>
      <c r="B6890" s="1" t="s">
        <v>231</v>
      </c>
      <c r="C6890" s="1" t="s">
        <v>68</v>
      </c>
      <c r="D6890" s="1">
        <v>0.1</v>
      </c>
      <c r="E6890" s="1">
        <v>19362.0</v>
      </c>
      <c r="F6890" s="10">
        <f t="shared" si="1"/>
        <v>0.3333333333</v>
      </c>
      <c r="G6890" s="10">
        <f t="array" ref="G6890">index('Player ID'!C:C,match(E6890,'Player ID'!B:B,0))</f>
        <v>669211</v>
      </c>
    </row>
    <row r="6891">
      <c r="A6891" s="76">
        <v>45804.0</v>
      </c>
      <c r="B6891" s="1" t="s">
        <v>433</v>
      </c>
      <c r="C6891" s="1" t="s">
        <v>68</v>
      </c>
      <c r="D6891" s="1">
        <v>0.2</v>
      </c>
      <c r="E6891" s="1">
        <v>19677.0</v>
      </c>
      <c r="F6891" s="10">
        <f t="shared" si="1"/>
        <v>0.6666666667</v>
      </c>
      <c r="G6891" s="10">
        <f t="array" ref="G6891">index('Player ID'!C:C,match(E6891,'Player ID'!B:B,0))</f>
        <v>642397</v>
      </c>
    </row>
    <row r="6892">
      <c r="A6892" s="76">
        <v>45804.0</v>
      </c>
      <c r="B6892" s="1" t="s">
        <v>240</v>
      </c>
      <c r="C6892" s="1" t="s">
        <v>68</v>
      </c>
      <c r="D6892" s="1">
        <v>0.2</v>
      </c>
      <c r="E6892" s="1">
        <v>19804.0</v>
      </c>
      <c r="F6892" s="10">
        <f t="shared" si="1"/>
        <v>0.6666666667</v>
      </c>
      <c r="G6892" s="10">
        <f t="array" ref="G6892">index('Player ID'!C:C,match(E6892,'Player ID'!B:B,0))</f>
        <v>641329</v>
      </c>
    </row>
    <row r="6893">
      <c r="A6893" s="76">
        <v>45804.0</v>
      </c>
      <c r="B6893" s="1" t="s">
        <v>843</v>
      </c>
      <c r="C6893" s="1" t="s">
        <v>68</v>
      </c>
      <c r="D6893" s="1">
        <v>1.1</v>
      </c>
      <c r="E6893" s="1">
        <v>25215.0</v>
      </c>
      <c r="F6893" s="10">
        <f t="shared" si="1"/>
        <v>1.333333333</v>
      </c>
      <c r="G6893" s="10" t="str">
        <f t="array" ref="G6893">index('Player ID'!C:C,match(E6893,'Player ID'!B:B,0))</f>
        <v>#N/A</v>
      </c>
    </row>
    <row r="6894">
      <c r="A6894" s="76">
        <v>45804.0</v>
      </c>
      <c r="B6894" s="1" t="s">
        <v>235</v>
      </c>
      <c r="C6894" s="1" t="s">
        <v>68</v>
      </c>
      <c r="D6894" s="1">
        <v>0.2</v>
      </c>
      <c r="E6894" s="1">
        <v>25911.0</v>
      </c>
      <c r="F6894" s="10">
        <f t="shared" si="1"/>
        <v>0.6666666667</v>
      </c>
      <c r="G6894" s="10">
        <f t="array" ref="G6894">index('Player ID'!C:C,match(E6894,'Player ID'!B:B,0))</f>
        <v>666974</v>
      </c>
    </row>
    <row r="6895">
      <c r="A6895" s="76">
        <v>45804.0</v>
      </c>
      <c r="B6895" s="1" t="s">
        <v>432</v>
      </c>
      <c r="C6895" s="1" t="s">
        <v>72</v>
      </c>
      <c r="D6895" s="1">
        <v>5.2</v>
      </c>
      <c r="E6895" s="1">
        <v>26108.0</v>
      </c>
      <c r="F6895" s="10">
        <f t="shared" si="1"/>
        <v>5.666666667</v>
      </c>
      <c r="G6895" s="10">
        <f t="array" ref="G6895">index('Player ID'!C:C,match(E6895,'Player ID'!B:B,0))</f>
        <v>669467</v>
      </c>
    </row>
    <row r="6896">
      <c r="A6896" s="76">
        <v>45804.0</v>
      </c>
      <c r="B6896" s="1" t="s">
        <v>158</v>
      </c>
      <c r="C6896" s="1" t="s">
        <v>68</v>
      </c>
      <c r="D6896" s="1">
        <v>5.1</v>
      </c>
      <c r="E6896" s="1">
        <v>35321.0</v>
      </c>
      <c r="F6896" s="10">
        <f t="shared" si="1"/>
        <v>5.333333333</v>
      </c>
      <c r="G6896" s="10">
        <f t="array" ref="G6896">index('Player ID'!C:C,match(E6896,'Player ID'!B:B,0))</f>
        <v>608372</v>
      </c>
    </row>
    <row r="6897">
      <c r="A6897" s="76">
        <v>45804.0</v>
      </c>
      <c r="B6897" s="1" t="s">
        <v>316</v>
      </c>
      <c r="C6897" s="1" t="s">
        <v>62</v>
      </c>
      <c r="D6897" s="1">
        <v>6.0</v>
      </c>
      <c r="E6897" s="1">
        <v>17479.0</v>
      </c>
      <c r="F6897" s="10">
        <f t="shared" si="1"/>
        <v>6</v>
      </c>
      <c r="G6897" s="10">
        <f t="array" ref="G6897">index('Player ID'!C:C,match(E6897,'Player ID'!B:B,0))</f>
        <v>656427</v>
      </c>
    </row>
    <row r="6898">
      <c r="A6898" s="76">
        <v>45804.0</v>
      </c>
      <c r="B6898" s="1" t="s">
        <v>77</v>
      </c>
      <c r="C6898" s="1" t="s">
        <v>31</v>
      </c>
      <c r="D6898" s="1">
        <v>6.0</v>
      </c>
      <c r="E6898" s="1">
        <v>17995.0</v>
      </c>
      <c r="F6898" s="10">
        <f t="shared" si="1"/>
        <v>6</v>
      </c>
      <c r="G6898" s="10">
        <f t="array" ref="G6898">index('Player ID'!C:C,match(E6898,'Player ID'!B:B,0))</f>
        <v>657277</v>
      </c>
    </row>
    <row r="6899">
      <c r="A6899" s="76">
        <v>45804.0</v>
      </c>
      <c r="B6899" s="1" t="s">
        <v>131</v>
      </c>
      <c r="C6899" s="1" t="s">
        <v>62</v>
      </c>
      <c r="D6899" s="1">
        <v>1.0</v>
      </c>
      <c r="E6899" s="1">
        <v>19769.0</v>
      </c>
      <c r="F6899" s="10">
        <f t="shared" si="1"/>
        <v>1</v>
      </c>
      <c r="G6899" s="10">
        <f t="array" ref="G6899">index('Player ID'!C:C,match(E6899,'Player ID'!B:B,0))</f>
        <v>676684</v>
      </c>
    </row>
    <row r="6900">
      <c r="A6900" s="76">
        <v>45804.0</v>
      </c>
      <c r="B6900" s="1" t="s">
        <v>124</v>
      </c>
      <c r="C6900" s="1" t="s">
        <v>31</v>
      </c>
      <c r="D6900" s="1">
        <v>2.0</v>
      </c>
      <c r="E6900" s="1">
        <v>21584.0</v>
      </c>
      <c r="F6900" s="10">
        <f t="shared" si="1"/>
        <v>2</v>
      </c>
      <c r="G6900" s="10" t="str">
        <f t="array" ref="G6900">index('Player ID'!C:C,match(E6900,'Player ID'!B:B,0))</f>
        <v>#N/A</v>
      </c>
    </row>
    <row r="6901">
      <c r="A6901" s="76">
        <v>45804.0</v>
      </c>
      <c r="B6901" s="1" t="s">
        <v>160</v>
      </c>
      <c r="C6901" s="1" t="s">
        <v>62</v>
      </c>
      <c r="D6901" s="1">
        <v>2.0</v>
      </c>
      <c r="E6901" s="1">
        <v>29574.0</v>
      </c>
      <c r="F6901" s="10">
        <f t="shared" si="1"/>
        <v>2</v>
      </c>
      <c r="G6901" s="10">
        <f t="array" ref="G6901">index('Player ID'!C:C,match(E6901,'Player ID'!B:B,0))</f>
        <v>695445</v>
      </c>
    </row>
    <row r="6902">
      <c r="A6902" s="76">
        <v>45804.0</v>
      </c>
      <c r="B6902" s="1" t="s">
        <v>326</v>
      </c>
      <c r="C6902" s="1" t="s">
        <v>46</v>
      </c>
      <c r="D6902" s="1">
        <v>0.1</v>
      </c>
      <c r="E6902" s="1">
        <v>12760.0</v>
      </c>
      <c r="F6902" s="10">
        <f t="shared" si="1"/>
        <v>0.3333333333</v>
      </c>
      <c r="G6902" s="10">
        <f t="array" ref="G6902">index('Player ID'!C:C,match(E6902,'Player ID'!B:B,0))</f>
        <v>606160</v>
      </c>
    </row>
    <row r="6903">
      <c r="A6903" s="76">
        <v>45804.0</v>
      </c>
      <c r="B6903" s="1" t="s">
        <v>182</v>
      </c>
      <c r="C6903" s="1" t="s">
        <v>45</v>
      </c>
      <c r="D6903" s="1">
        <v>1.0</v>
      </c>
      <c r="E6903" s="1">
        <v>13799.0</v>
      </c>
      <c r="F6903" s="10">
        <f t="shared" si="1"/>
        <v>1</v>
      </c>
      <c r="G6903" s="10">
        <f t="array" ref="G6903">index('Player ID'!C:C,match(E6903,'Player ID'!B:B,0))</f>
        <v>621381</v>
      </c>
    </row>
    <row r="6904">
      <c r="A6904" s="76">
        <v>45804.0</v>
      </c>
      <c r="B6904" s="1" t="s">
        <v>208</v>
      </c>
      <c r="C6904" s="1" t="s">
        <v>45</v>
      </c>
      <c r="D6904" s="1">
        <v>1.0</v>
      </c>
      <c r="E6904" s="1">
        <v>16122.0</v>
      </c>
      <c r="F6904" s="10">
        <f t="shared" si="1"/>
        <v>1</v>
      </c>
      <c r="G6904" s="10">
        <f t="array" ref="G6904">index('Player ID'!C:C,match(E6904,'Player ID'!B:B,0))</f>
        <v>605447</v>
      </c>
    </row>
    <row r="6905">
      <c r="A6905" s="76">
        <v>45804.0</v>
      </c>
      <c r="B6905" s="1" t="s">
        <v>827</v>
      </c>
      <c r="C6905" s="1" t="s">
        <v>45</v>
      </c>
      <c r="D6905" s="1">
        <v>6.0</v>
      </c>
      <c r="E6905" s="1">
        <v>17277.0</v>
      </c>
      <c r="F6905" s="10">
        <f t="shared" si="1"/>
        <v>6</v>
      </c>
      <c r="G6905" s="10">
        <f t="array" ref="G6905">index('Player ID'!C:C,match(E6905,'Player ID'!B:B,0))</f>
        <v>624133</v>
      </c>
    </row>
    <row r="6906">
      <c r="A6906" s="76">
        <v>45804.0</v>
      </c>
      <c r="B6906" s="1" t="s">
        <v>346</v>
      </c>
      <c r="C6906" s="1" t="s">
        <v>46</v>
      </c>
      <c r="D6906" s="1">
        <v>1.0</v>
      </c>
      <c r="E6906" s="1">
        <v>18403.0</v>
      </c>
      <c r="F6906" s="10">
        <f t="shared" si="1"/>
        <v>1</v>
      </c>
      <c r="G6906" s="10">
        <f t="array" ref="G6906">index('Player ID'!C:C,match(E6906,'Player ID'!B:B,0))</f>
        <v>660853</v>
      </c>
    </row>
    <row r="6907">
      <c r="A6907" s="76">
        <v>45804.0</v>
      </c>
      <c r="B6907" s="1" t="s">
        <v>91</v>
      </c>
      <c r="C6907" s="1" t="s">
        <v>46</v>
      </c>
      <c r="D6907" s="1">
        <v>1.0</v>
      </c>
      <c r="E6907" s="1">
        <v>19996.0</v>
      </c>
      <c r="F6907" s="10">
        <f t="shared" si="1"/>
        <v>1</v>
      </c>
      <c r="G6907" s="10">
        <f t="array" ref="G6907">index('Player ID'!C:C,match(E6907,'Player ID'!B:B,0))</f>
        <v>669276</v>
      </c>
    </row>
    <row r="6908">
      <c r="A6908" s="76">
        <v>45804.0</v>
      </c>
      <c r="B6908" s="1" t="s">
        <v>688</v>
      </c>
      <c r="C6908" s="1" t="s">
        <v>46</v>
      </c>
      <c r="D6908" s="1">
        <v>1.0</v>
      </c>
      <c r="E6908" s="1">
        <v>20271.0</v>
      </c>
      <c r="F6908" s="10">
        <f t="shared" si="1"/>
        <v>1</v>
      </c>
      <c r="G6908" s="10">
        <f t="array" ref="G6908">index('Player ID'!C:C,match(E6908,'Player ID'!B:B,0))</f>
        <v>678226</v>
      </c>
    </row>
    <row r="6909">
      <c r="A6909" s="76">
        <v>45804.0</v>
      </c>
      <c r="B6909" s="1" t="s">
        <v>472</v>
      </c>
      <c r="C6909" s="1" t="s">
        <v>46</v>
      </c>
      <c r="D6909" s="1">
        <v>4.2</v>
      </c>
      <c r="E6909" s="1">
        <v>27498.0</v>
      </c>
      <c r="F6909" s="10">
        <f t="shared" si="1"/>
        <v>4.666666667</v>
      </c>
      <c r="G6909" s="10">
        <f t="array" ref="G6909">index('Player ID'!C:C,match(E6909,'Player ID'!B:B,0))</f>
        <v>675911</v>
      </c>
    </row>
    <row r="6910">
      <c r="A6910" s="76">
        <v>45804.0</v>
      </c>
      <c r="B6910" s="1" t="s">
        <v>165</v>
      </c>
      <c r="C6910" s="1" t="s">
        <v>45</v>
      </c>
      <c r="D6910" s="1">
        <v>1.0</v>
      </c>
      <c r="E6910" s="1">
        <v>31776.0</v>
      </c>
      <c r="F6910" s="10">
        <f t="shared" si="1"/>
        <v>1</v>
      </c>
      <c r="G6910" s="10">
        <f t="array" ref="G6910">index('Player ID'!C:C,match(E6910,'Player ID'!B:B,0))</f>
        <v>689147</v>
      </c>
    </row>
    <row r="6911">
      <c r="A6911" s="76">
        <v>45804.0</v>
      </c>
      <c r="B6911" s="1" t="s">
        <v>28</v>
      </c>
      <c r="C6911" s="1" t="s">
        <v>16</v>
      </c>
      <c r="D6911" s="1">
        <v>1.0</v>
      </c>
      <c r="E6911" s="1">
        <v>20253.0</v>
      </c>
      <c r="F6911" s="10">
        <f t="shared" si="1"/>
        <v>1</v>
      </c>
      <c r="G6911" s="10">
        <f t="array" ref="G6911">index('Player ID'!C:C,match(E6911,'Player ID'!B:B,0))</f>
        <v>643377</v>
      </c>
    </row>
    <row r="6912">
      <c r="A6912" s="76">
        <v>45804.0</v>
      </c>
      <c r="B6912" s="1" t="s">
        <v>705</v>
      </c>
      <c r="C6912" s="1" t="s">
        <v>54</v>
      </c>
      <c r="D6912" s="1">
        <v>1.0</v>
      </c>
      <c r="E6912" s="1">
        <v>20794.0</v>
      </c>
      <c r="F6912" s="10">
        <f t="shared" si="1"/>
        <v>1</v>
      </c>
      <c r="G6912" s="10">
        <f t="array" ref="G6912">index('Player ID'!C:C,match(E6912,'Player ID'!B:B,0))</f>
        <v>655889</v>
      </c>
    </row>
    <row r="6913">
      <c r="A6913" s="76">
        <v>45804.0</v>
      </c>
      <c r="B6913" s="1" t="s">
        <v>122</v>
      </c>
      <c r="C6913" s="1" t="s">
        <v>16</v>
      </c>
      <c r="D6913" s="1">
        <v>1.0</v>
      </c>
      <c r="E6913" s="1">
        <v>21029.0</v>
      </c>
      <c r="F6913" s="10">
        <f t="shared" si="1"/>
        <v>1</v>
      </c>
      <c r="G6913" s="10">
        <f t="array" ref="G6913">index('Player ID'!C:C,match(E6913,'Player ID'!B:B,0))</f>
        <v>661395</v>
      </c>
    </row>
    <row r="6914">
      <c r="A6914" s="76">
        <v>45804.0</v>
      </c>
      <c r="B6914" s="1" t="s">
        <v>150</v>
      </c>
      <c r="C6914" s="1" t="s">
        <v>16</v>
      </c>
      <c r="D6914" s="1">
        <v>6.0</v>
      </c>
      <c r="E6914" s="1">
        <v>21390.0</v>
      </c>
      <c r="F6914" s="10">
        <f t="shared" si="1"/>
        <v>6</v>
      </c>
      <c r="G6914" s="10">
        <f t="array" ref="G6914">index('Player ID'!C:C,match(E6914,'Player ID'!B:B,0))</f>
        <v>657746</v>
      </c>
    </row>
    <row r="6915">
      <c r="A6915" s="76">
        <v>45804.0</v>
      </c>
      <c r="B6915" s="1" t="s">
        <v>413</v>
      </c>
      <c r="C6915" s="1" t="s">
        <v>54</v>
      </c>
      <c r="D6915" s="1">
        <v>7.0</v>
      </c>
      <c r="E6915" s="1">
        <v>22543.0</v>
      </c>
      <c r="F6915" s="10">
        <f t="shared" si="1"/>
        <v>7</v>
      </c>
      <c r="G6915" s="10">
        <f t="array" ref="G6915">index('Player ID'!C:C,match(E6915,'Player ID'!B:B,0))</f>
        <v>671737</v>
      </c>
    </row>
    <row r="6916">
      <c r="A6916" s="76">
        <v>45804.0</v>
      </c>
      <c r="B6916" s="1" t="s">
        <v>257</v>
      </c>
      <c r="C6916" s="1" t="s">
        <v>54</v>
      </c>
      <c r="D6916" s="1">
        <v>1.0</v>
      </c>
      <c r="E6916" s="1">
        <v>27626.0</v>
      </c>
      <c r="F6916" s="10">
        <f t="shared" si="1"/>
        <v>1</v>
      </c>
      <c r="G6916" s="10">
        <f t="array" ref="G6916">index('Player ID'!C:C,match(E6916,'Player ID'!B:B,0))</f>
        <v>679358</v>
      </c>
    </row>
    <row r="6917">
      <c r="A6917" s="76">
        <v>45804.0</v>
      </c>
      <c r="B6917" s="1" t="s">
        <v>47</v>
      </c>
      <c r="C6917" s="1" t="s">
        <v>16</v>
      </c>
      <c r="D6917" s="1">
        <v>1.0</v>
      </c>
      <c r="E6917" s="1">
        <v>27691.0</v>
      </c>
      <c r="F6917" s="10">
        <f t="shared" si="1"/>
        <v>1</v>
      </c>
      <c r="G6917" s="10">
        <f t="array" ref="G6917">index('Player ID'!C:C,match(E6917,'Player ID'!B:B,0))</f>
        <v>686973</v>
      </c>
    </row>
    <row r="6918">
      <c r="A6918" s="76">
        <v>45804.0</v>
      </c>
      <c r="B6918" s="1" t="s">
        <v>295</v>
      </c>
      <c r="C6918" s="1" t="s">
        <v>51</v>
      </c>
      <c r="D6918" s="1">
        <v>1.2</v>
      </c>
      <c r="E6918" s="1">
        <v>16866.0</v>
      </c>
      <c r="F6918" s="10">
        <f t="shared" si="1"/>
        <v>1.666666667</v>
      </c>
      <c r="G6918" s="10">
        <f t="array" ref="G6918">index('Player ID'!C:C,match(E6918,'Player ID'!B:B,0))</f>
        <v>657585</v>
      </c>
    </row>
    <row r="6919">
      <c r="A6919" s="76">
        <v>45804.0</v>
      </c>
      <c r="B6919" s="1" t="s">
        <v>826</v>
      </c>
      <c r="C6919" s="1" t="s">
        <v>51</v>
      </c>
      <c r="D6919" s="1">
        <v>0.2</v>
      </c>
      <c r="E6919" s="1">
        <v>17169.0</v>
      </c>
      <c r="F6919" s="10">
        <f t="shared" si="1"/>
        <v>0.6666666667</v>
      </c>
      <c r="G6919" s="10">
        <f t="array" ref="G6919">index('Player ID'!C:C,match(E6919,'Player ID'!B:B,0))</f>
        <v>620454</v>
      </c>
    </row>
    <row r="6920">
      <c r="A6920" s="76">
        <v>45804.0</v>
      </c>
      <c r="B6920" s="1" t="s">
        <v>386</v>
      </c>
      <c r="C6920" s="1" t="s">
        <v>51</v>
      </c>
      <c r="D6920" s="1">
        <v>5.2</v>
      </c>
      <c r="E6920" s="1">
        <v>21318.0</v>
      </c>
      <c r="F6920" s="10">
        <f t="shared" si="1"/>
        <v>5.666666667</v>
      </c>
      <c r="G6920" s="10">
        <f t="array" ref="G6920">index('Player ID'!C:C,match(E6920,'Player ID'!B:B,0))</f>
        <v>656731</v>
      </c>
    </row>
    <row r="6921">
      <c r="A6921" s="76">
        <v>45804.0</v>
      </c>
      <c r="B6921" s="1" t="s">
        <v>712</v>
      </c>
      <c r="C6921" s="1" t="s">
        <v>51</v>
      </c>
      <c r="D6921" s="1">
        <v>1.0</v>
      </c>
      <c r="E6921" s="1">
        <v>23313.0</v>
      </c>
      <c r="F6921" s="10">
        <f t="shared" si="1"/>
        <v>1</v>
      </c>
      <c r="G6921" s="10">
        <f t="array" ref="G6921">index('Player ID'!C:C,match(E6921,'Player ID'!B:B,0))</f>
        <v>676130</v>
      </c>
    </row>
    <row r="6922">
      <c r="A6922" s="76">
        <v>45804.0</v>
      </c>
      <c r="B6922" s="1" t="s">
        <v>706</v>
      </c>
      <c r="C6922" s="1" t="s">
        <v>78</v>
      </c>
      <c r="D6922" s="1">
        <v>2.1</v>
      </c>
      <c r="E6922" s="1">
        <v>27472.0</v>
      </c>
      <c r="F6922" s="10">
        <f t="shared" si="1"/>
        <v>2.333333333</v>
      </c>
      <c r="G6922" s="10">
        <f t="array" ref="G6922">index('Player ID'!C:C,match(E6922,'Player ID'!B:B,0))</f>
        <v>694363</v>
      </c>
    </row>
    <row r="6923">
      <c r="A6923" s="76">
        <v>45804.0</v>
      </c>
      <c r="B6923" s="1" t="s">
        <v>361</v>
      </c>
      <c r="C6923" s="1" t="s">
        <v>78</v>
      </c>
      <c r="D6923" s="1">
        <v>5.2</v>
      </c>
      <c r="E6923" s="1">
        <v>31730.0</v>
      </c>
      <c r="F6923" s="10">
        <f t="shared" si="1"/>
        <v>5.666666667</v>
      </c>
      <c r="G6923" s="10">
        <f t="array" ref="G6923">index('Player ID'!C:C,match(E6923,'Player ID'!B:B,0))</f>
        <v>686563</v>
      </c>
    </row>
    <row r="6924">
      <c r="A6924" s="76">
        <v>45804.0</v>
      </c>
      <c r="B6924" s="1" t="s">
        <v>199</v>
      </c>
      <c r="C6924" s="1" t="s">
        <v>29</v>
      </c>
      <c r="D6924" s="1">
        <v>2.2</v>
      </c>
      <c r="E6924" s="1">
        <v>17611.0</v>
      </c>
      <c r="F6924" s="10">
        <f t="shared" si="1"/>
        <v>2.666666667</v>
      </c>
      <c r="G6924" s="10">
        <f t="array" ref="G6924">index('Player ID'!C:C,match(E6924,'Player ID'!B:B,0))</f>
        <v>664199</v>
      </c>
    </row>
    <row r="6925">
      <c r="A6925" s="76">
        <v>45804.0</v>
      </c>
      <c r="B6925" s="1" t="s">
        <v>653</v>
      </c>
      <c r="C6925" s="1" t="s">
        <v>66</v>
      </c>
      <c r="D6925" s="1">
        <v>1.0</v>
      </c>
      <c r="E6925" s="1">
        <v>17871.0</v>
      </c>
      <c r="F6925" s="10">
        <f t="shared" si="1"/>
        <v>1</v>
      </c>
      <c r="G6925" s="10">
        <f t="array" ref="G6925">index('Player ID'!C:C,match(E6925,'Player ID'!B:B,0))</f>
        <v>664139</v>
      </c>
    </row>
    <row r="6926">
      <c r="A6926" s="76">
        <v>45804.0</v>
      </c>
      <c r="B6926" s="1" t="s">
        <v>345</v>
      </c>
      <c r="C6926" s="1" t="s">
        <v>66</v>
      </c>
      <c r="D6926" s="1">
        <v>1.0</v>
      </c>
      <c r="E6926" s="1">
        <v>19926.0</v>
      </c>
      <c r="F6926" s="10">
        <f t="shared" si="1"/>
        <v>1</v>
      </c>
      <c r="G6926" s="10">
        <f t="array" ref="G6926">index('Player ID'!C:C,match(E6926,'Player ID'!B:B,0))</f>
        <v>663574</v>
      </c>
    </row>
    <row r="6927">
      <c r="A6927" s="76">
        <v>45804.0</v>
      </c>
      <c r="B6927" s="1" t="s">
        <v>144</v>
      </c>
      <c r="C6927" s="1" t="s">
        <v>29</v>
      </c>
      <c r="D6927" s="1">
        <v>0.1</v>
      </c>
      <c r="E6927" s="1">
        <v>20020.0</v>
      </c>
      <c r="F6927" s="10">
        <f t="shared" si="1"/>
        <v>0.3333333333</v>
      </c>
      <c r="G6927" s="10">
        <f t="array" ref="G6927">index('Player ID'!C:C,match(E6927,'Player ID'!B:B,0))</f>
        <v>670167</v>
      </c>
    </row>
    <row r="6928">
      <c r="A6928" s="76">
        <v>45804.0</v>
      </c>
      <c r="B6928" s="1" t="s">
        <v>293</v>
      </c>
      <c r="C6928" s="1" t="s">
        <v>29</v>
      </c>
      <c r="D6928" s="1">
        <v>2.2</v>
      </c>
      <c r="E6928" s="1">
        <v>21537.0</v>
      </c>
      <c r="F6928" s="10">
        <f t="shared" si="1"/>
        <v>2.666666667</v>
      </c>
      <c r="G6928" s="10">
        <f t="array" ref="G6928">index('Player ID'!C:C,match(E6928,'Player ID'!B:B,0))</f>
        <v>663738</v>
      </c>
    </row>
    <row r="6929">
      <c r="A6929" s="76">
        <v>45804.0</v>
      </c>
      <c r="B6929" s="1" t="s">
        <v>140</v>
      </c>
      <c r="C6929" s="1" t="s">
        <v>29</v>
      </c>
      <c r="D6929" s="1">
        <v>0.2</v>
      </c>
      <c r="E6929" s="1">
        <v>22717.0</v>
      </c>
      <c r="F6929" s="10">
        <f t="shared" si="1"/>
        <v>0.6666666667</v>
      </c>
      <c r="G6929" s="10">
        <f t="array" ref="G6929">index('Player ID'!C:C,match(E6929,'Player ID'!B:B,0))</f>
        <v>672582</v>
      </c>
    </row>
    <row r="6930">
      <c r="A6930" s="76">
        <v>45804.0</v>
      </c>
      <c r="B6930" s="1" t="s">
        <v>214</v>
      </c>
      <c r="C6930" s="1" t="s">
        <v>29</v>
      </c>
      <c r="D6930" s="1">
        <v>1.0</v>
      </c>
      <c r="E6930" s="1">
        <v>23165.0</v>
      </c>
      <c r="F6930" s="10">
        <f t="shared" si="1"/>
        <v>1</v>
      </c>
      <c r="G6930" s="10">
        <f t="array" ref="G6930">index('Player ID'!C:C,match(E6930,'Player ID'!B:B,0))</f>
        <v>674444</v>
      </c>
    </row>
    <row r="6931">
      <c r="A6931" s="76">
        <v>45804.0</v>
      </c>
      <c r="B6931" s="1" t="s">
        <v>236</v>
      </c>
      <c r="C6931" s="1" t="s">
        <v>29</v>
      </c>
      <c r="D6931" s="1">
        <v>1.1</v>
      </c>
      <c r="E6931" s="1">
        <v>24607.0</v>
      </c>
      <c r="F6931" s="10">
        <f t="shared" si="1"/>
        <v>1.333333333</v>
      </c>
      <c r="G6931" s="10">
        <f t="array" ref="G6931">index('Player ID'!C:C,match(E6931,'Player ID'!B:B,0))</f>
        <v>680742</v>
      </c>
    </row>
    <row r="6932">
      <c r="A6932" s="76">
        <v>45804.0</v>
      </c>
      <c r="B6932" s="1" t="s">
        <v>734</v>
      </c>
      <c r="C6932" s="1" t="s">
        <v>29</v>
      </c>
      <c r="D6932" s="1">
        <v>0.1</v>
      </c>
      <c r="E6932" s="1">
        <v>24995.0</v>
      </c>
      <c r="F6932" s="10">
        <f t="shared" si="1"/>
        <v>0.3333333333</v>
      </c>
      <c r="G6932" s="10">
        <f t="array" ref="G6932">index('Player ID'!C:C,match(E6932,'Player ID'!B:B,0))</f>
        <v>681895</v>
      </c>
    </row>
    <row r="6933">
      <c r="A6933" s="76">
        <v>45804.0</v>
      </c>
      <c r="B6933" s="1" t="s">
        <v>353</v>
      </c>
      <c r="C6933" s="1" t="s">
        <v>66</v>
      </c>
      <c r="D6933" s="1">
        <v>7.0</v>
      </c>
      <c r="E6933" s="1">
        <v>25377.0</v>
      </c>
      <c r="F6933" s="10">
        <f t="shared" si="1"/>
        <v>7</v>
      </c>
      <c r="G6933" s="10">
        <f t="array" ref="G6933">index('Player ID'!C:C,match(E6933,'Player ID'!B:B,0))</f>
        <v>663903</v>
      </c>
    </row>
    <row r="6934">
      <c r="A6934" s="76">
        <v>45804.0</v>
      </c>
      <c r="B6934" s="1" t="s">
        <v>757</v>
      </c>
      <c r="C6934" s="1" t="s">
        <v>22</v>
      </c>
      <c r="D6934" s="1">
        <v>0.1</v>
      </c>
      <c r="E6934" s="1">
        <v>3548.0</v>
      </c>
      <c r="F6934" s="10">
        <f t="shared" si="1"/>
        <v>0.3333333333</v>
      </c>
      <c r="G6934" s="10">
        <f t="array" ref="G6934">index('Player ID'!C:C,match(E6934,'Player ID'!B:B,0))</f>
        <v>521230</v>
      </c>
    </row>
    <row r="6935">
      <c r="A6935" s="76">
        <v>45804.0</v>
      </c>
      <c r="B6935" s="1" t="s">
        <v>230</v>
      </c>
      <c r="C6935" s="1" t="s">
        <v>22</v>
      </c>
      <c r="D6935" s="1">
        <v>1.1</v>
      </c>
      <c r="E6935" s="1">
        <v>4301.0</v>
      </c>
      <c r="F6935" s="10">
        <f t="shared" si="1"/>
        <v>1.333333333</v>
      </c>
      <c r="G6935" s="10">
        <f t="array" ref="G6935">index('Player ID'!C:C,match(E6935,'Player ID'!B:B,0))</f>
        <v>458677</v>
      </c>
    </row>
    <row r="6936">
      <c r="A6936" s="76">
        <v>45804.0</v>
      </c>
      <c r="B6936" s="1" t="s">
        <v>41</v>
      </c>
      <c r="C6936" s="1" t="s">
        <v>22</v>
      </c>
      <c r="D6936" s="1">
        <v>1.0</v>
      </c>
      <c r="E6936" s="1">
        <v>10233.0</v>
      </c>
      <c r="F6936" s="10">
        <f t="shared" si="1"/>
        <v>1</v>
      </c>
      <c r="G6936" s="10">
        <f t="array" ref="G6936">index('Player ID'!C:C,match(E6936,'Player ID'!B:B,0))</f>
        <v>547973</v>
      </c>
    </row>
    <row r="6937">
      <c r="A6937" s="76">
        <v>45804.0</v>
      </c>
      <c r="B6937" s="1" t="s">
        <v>724</v>
      </c>
      <c r="C6937" s="1" t="s">
        <v>14</v>
      </c>
      <c r="D6937" s="1">
        <v>0.2</v>
      </c>
      <c r="E6937" s="1">
        <v>15094.0</v>
      </c>
      <c r="F6937" s="10">
        <f t="shared" si="1"/>
        <v>0.6666666667</v>
      </c>
      <c r="G6937" s="10">
        <f t="array" ref="G6937">index('Player ID'!C:C,match(E6937,'Player ID'!B:B,0))</f>
        <v>642239</v>
      </c>
    </row>
    <row r="6938">
      <c r="A6938" s="76">
        <v>45804.0</v>
      </c>
      <c r="B6938" s="1" t="s">
        <v>493</v>
      </c>
      <c r="C6938" s="1" t="s">
        <v>22</v>
      </c>
      <c r="D6938" s="1">
        <v>1.0</v>
      </c>
      <c r="E6938" s="1">
        <v>16835.0</v>
      </c>
      <c r="F6938" s="10">
        <f t="shared" si="1"/>
        <v>1</v>
      </c>
      <c r="G6938" s="10">
        <f t="array" ref="G6938">index('Player ID'!C:C,match(E6938,'Player ID'!B:B,0))</f>
        <v>657514</v>
      </c>
    </row>
    <row r="6939">
      <c r="A6939" s="76">
        <v>45804.0</v>
      </c>
      <c r="B6939" s="1" t="s">
        <v>491</v>
      </c>
      <c r="C6939" s="1" t="s">
        <v>14</v>
      </c>
      <c r="D6939" s="1">
        <v>5.0</v>
      </c>
      <c r="E6939" s="1">
        <v>19479.0</v>
      </c>
      <c r="F6939" s="10">
        <f t="shared" si="1"/>
        <v>5</v>
      </c>
      <c r="G6939" s="10">
        <f t="array" ref="G6939">index('Player ID'!C:C,match(E6939,'Player ID'!B:B,0))</f>
        <v>650644</v>
      </c>
    </row>
    <row r="6940">
      <c r="A6940" s="76">
        <v>45804.0</v>
      </c>
      <c r="B6940" s="1" t="s">
        <v>406</v>
      </c>
      <c r="C6940" s="1" t="s">
        <v>22</v>
      </c>
      <c r="D6940" s="1">
        <v>1.1</v>
      </c>
      <c r="E6940" s="1">
        <v>20375.0</v>
      </c>
      <c r="F6940" s="10">
        <f t="shared" si="1"/>
        <v>1.333333333</v>
      </c>
      <c r="G6940" s="10">
        <f t="array" ref="G6940">index('Player ID'!C:C,match(E6940,'Player ID'!B:B,0))</f>
        <v>669711</v>
      </c>
    </row>
    <row r="6941">
      <c r="A6941" s="76">
        <v>45804.0</v>
      </c>
      <c r="B6941" s="1" t="s">
        <v>318</v>
      </c>
      <c r="C6941" s="1" t="s">
        <v>14</v>
      </c>
      <c r="D6941" s="1">
        <v>1.1</v>
      </c>
      <c r="E6941" s="1">
        <v>20546.0</v>
      </c>
      <c r="F6941" s="10">
        <f t="shared" si="1"/>
        <v>1.333333333</v>
      </c>
      <c r="G6941" s="10">
        <f t="array" ref="G6941">index('Player ID'!C:C,match(E6941,'Player ID'!B:B,0))</f>
        <v>681982</v>
      </c>
    </row>
    <row r="6942">
      <c r="A6942" s="76">
        <v>45804.0</v>
      </c>
      <c r="B6942" s="1" t="s">
        <v>200</v>
      </c>
      <c r="C6942" s="1" t="s">
        <v>14</v>
      </c>
      <c r="D6942" s="1">
        <v>2.0</v>
      </c>
      <c r="E6942" s="1">
        <v>23550.0</v>
      </c>
      <c r="F6942" s="10">
        <f t="shared" si="1"/>
        <v>2</v>
      </c>
      <c r="G6942" s="10" t="str">
        <f t="array" ref="G6942">index('Player ID'!C:C,match(E6942,'Player ID'!B:B,0))</f>
        <v>#N/A</v>
      </c>
    </row>
    <row r="6943">
      <c r="A6943" s="76">
        <v>45804.0</v>
      </c>
      <c r="B6943" s="1" t="s">
        <v>645</v>
      </c>
      <c r="C6943" s="1" t="s">
        <v>22</v>
      </c>
      <c r="D6943" s="1">
        <v>1.1</v>
      </c>
      <c r="E6943" s="1">
        <v>25648.0</v>
      </c>
      <c r="F6943" s="10">
        <f t="shared" si="1"/>
        <v>1.333333333</v>
      </c>
      <c r="G6943" s="10">
        <f t="array" ref="G6943">index('Player ID'!C:C,match(E6943,'Player ID'!B:B,0))</f>
        <v>686580</v>
      </c>
    </row>
    <row r="6944">
      <c r="A6944" s="76">
        <v>45804.0</v>
      </c>
      <c r="B6944" s="1" t="s">
        <v>418</v>
      </c>
      <c r="C6944" s="1" t="s">
        <v>14</v>
      </c>
      <c r="D6944" s="1">
        <v>1.0</v>
      </c>
      <c r="E6944" s="1">
        <v>27517.0</v>
      </c>
      <c r="F6944" s="10">
        <f t="shared" si="1"/>
        <v>1</v>
      </c>
      <c r="G6944" s="10">
        <f t="array" ref="G6944">index('Player ID'!C:C,match(E6944,'Player ID'!B:B,0))</f>
        <v>657649</v>
      </c>
    </row>
    <row r="6945">
      <c r="A6945" s="76">
        <v>45804.0</v>
      </c>
      <c r="B6945" s="1" t="s">
        <v>152</v>
      </c>
      <c r="C6945" s="1" t="s">
        <v>22</v>
      </c>
      <c r="D6945" s="1">
        <v>3.0</v>
      </c>
      <c r="E6945" s="1">
        <v>30160.0</v>
      </c>
      <c r="F6945" s="10">
        <f t="shared" si="1"/>
        <v>3</v>
      </c>
      <c r="G6945" s="10">
        <f t="array" ref="G6945">index('Player ID'!C:C,match(E6945,'Player ID'!B:B,0))</f>
        <v>690916</v>
      </c>
    </row>
    <row r="6946">
      <c r="A6946" s="76">
        <v>45804.0</v>
      </c>
      <c r="B6946" s="1" t="s">
        <v>115</v>
      </c>
      <c r="C6946" s="1" t="s">
        <v>56</v>
      </c>
      <c r="D6946" s="1">
        <v>2.0</v>
      </c>
      <c r="E6946" s="1">
        <v>9132.0</v>
      </c>
      <c r="F6946" s="10">
        <f t="shared" si="1"/>
        <v>2</v>
      </c>
      <c r="G6946" s="10">
        <f t="array" ref="G6946">index('Player ID'!C:C,match(E6946,'Player ID'!B:B,0))</f>
        <v>543135</v>
      </c>
    </row>
    <row r="6947">
      <c r="A6947" s="76">
        <v>45804.0</v>
      </c>
      <c r="B6947" s="1" t="s">
        <v>162</v>
      </c>
      <c r="C6947" s="1" t="s">
        <v>56</v>
      </c>
      <c r="D6947" s="1">
        <v>1.0</v>
      </c>
      <c r="E6947" s="1">
        <v>11752.0</v>
      </c>
      <c r="F6947" s="10">
        <f t="shared" si="1"/>
        <v>1</v>
      </c>
      <c r="G6947" s="10">
        <f t="array" ref="G6947">index('Player ID'!C:C,match(E6947,'Player ID'!B:B,0))</f>
        <v>592426</v>
      </c>
    </row>
    <row r="6948">
      <c r="A6948" s="76">
        <v>45804.0</v>
      </c>
      <c r="B6948" s="1" t="s">
        <v>440</v>
      </c>
      <c r="C6948" s="1" t="s">
        <v>56</v>
      </c>
      <c r="D6948" s="1">
        <v>1.2</v>
      </c>
      <c r="E6948" s="1">
        <v>12857.0</v>
      </c>
      <c r="F6948" s="10">
        <f t="shared" si="1"/>
        <v>1.666666667</v>
      </c>
      <c r="G6948" s="10">
        <f t="array" ref="G6948">index('Player ID'!C:C,match(E6948,'Player ID'!B:B,0))</f>
        <v>542888</v>
      </c>
    </row>
    <row r="6949">
      <c r="A6949" s="76">
        <v>45804.0</v>
      </c>
      <c r="B6949" s="1" t="s">
        <v>151</v>
      </c>
      <c r="C6949" s="1" t="s">
        <v>56</v>
      </c>
      <c r="D6949" s="1">
        <v>0.1</v>
      </c>
      <c r="E6949" s="1">
        <v>13346.0</v>
      </c>
      <c r="F6949" s="10">
        <f t="shared" si="1"/>
        <v>0.3333333333</v>
      </c>
      <c r="G6949" s="10">
        <f t="array" ref="G6949">index('Player ID'!C:C,match(E6949,'Player ID'!B:B,0))</f>
        <v>571948</v>
      </c>
    </row>
    <row r="6950">
      <c r="A6950" s="76">
        <v>45804.0</v>
      </c>
      <c r="B6950" s="1" t="s">
        <v>174</v>
      </c>
      <c r="C6950" s="1" t="s">
        <v>40</v>
      </c>
      <c r="D6950" s="1">
        <v>1.0</v>
      </c>
      <c r="E6950" s="1">
        <v>15552.0</v>
      </c>
      <c r="F6950" s="10">
        <f t="shared" si="1"/>
        <v>1</v>
      </c>
      <c r="G6950" s="10">
        <f t="array" ref="G6950">index('Player ID'!C:C,match(E6950,'Player ID'!B:B,0))</f>
        <v>643338</v>
      </c>
    </row>
    <row r="6951">
      <c r="A6951" s="76">
        <v>45804.0</v>
      </c>
      <c r="B6951" s="1" t="s">
        <v>428</v>
      </c>
      <c r="C6951" s="1" t="s">
        <v>40</v>
      </c>
      <c r="D6951" s="1">
        <v>5.0</v>
      </c>
      <c r="E6951" s="1">
        <v>20548.0</v>
      </c>
      <c r="F6951" s="10">
        <f t="shared" si="1"/>
        <v>5</v>
      </c>
      <c r="G6951" s="10">
        <f t="array" ref="G6951">index('Player ID'!C:C,match(E6951,'Player ID'!B:B,0))</f>
        <v>670102</v>
      </c>
    </row>
    <row r="6952">
      <c r="A6952" s="76">
        <v>45804.0</v>
      </c>
      <c r="B6952" s="1" t="s">
        <v>111</v>
      </c>
      <c r="C6952" s="1" t="s">
        <v>56</v>
      </c>
      <c r="D6952" s="1">
        <v>3.0</v>
      </c>
      <c r="E6952" s="1">
        <v>21306.0</v>
      </c>
      <c r="F6952" s="10">
        <f t="shared" si="1"/>
        <v>3</v>
      </c>
      <c r="G6952" s="10">
        <f t="array" ref="G6952">index('Player ID'!C:C,match(E6952,'Player ID'!B:B,0))</f>
        <v>656641</v>
      </c>
    </row>
    <row r="6953">
      <c r="A6953" s="76">
        <v>45804.0</v>
      </c>
      <c r="B6953" s="1" t="s">
        <v>268</v>
      </c>
      <c r="C6953" s="1" t="s">
        <v>56</v>
      </c>
      <c r="D6953" s="1">
        <v>1.0</v>
      </c>
      <c r="E6953" s="1">
        <v>23363.0</v>
      </c>
      <c r="F6953" s="10">
        <f t="shared" si="1"/>
        <v>1</v>
      </c>
      <c r="G6953" s="10">
        <f t="array" ref="G6953">index('Player ID'!C:C,match(E6953,'Player ID'!B:B,0))</f>
        <v>676395</v>
      </c>
    </row>
    <row r="6954">
      <c r="A6954" s="76">
        <v>45804.0</v>
      </c>
      <c r="B6954" s="1" t="s">
        <v>427</v>
      </c>
      <c r="C6954" s="1" t="s">
        <v>40</v>
      </c>
      <c r="D6954" s="1">
        <v>2.0</v>
      </c>
      <c r="E6954" s="1">
        <v>33838.0</v>
      </c>
      <c r="F6954" s="10">
        <f t="shared" si="1"/>
        <v>2</v>
      </c>
      <c r="G6954" s="10">
        <f t="array" ref="G6954">index('Player ID'!C:C,match(E6954,'Player ID'!B:B,0))</f>
        <v>684320</v>
      </c>
    </row>
    <row r="6955">
      <c r="A6955" s="76">
        <v>45804.0</v>
      </c>
      <c r="B6955" s="1" t="s">
        <v>629</v>
      </c>
      <c r="C6955" s="1" t="s">
        <v>34</v>
      </c>
      <c r="D6955" s="1">
        <v>0.1</v>
      </c>
      <c r="E6955" s="1">
        <v>5615.0</v>
      </c>
      <c r="F6955" s="10">
        <f t="shared" si="1"/>
        <v>0.3333333333</v>
      </c>
      <c r="G6955" s="10">
        <f t="array" ref="G6955">index('Player ID'!C:C,match(E6955,'Player ID'!B:B,0))</f>
        <v>518489</v>
      </c>
    </row>
    <row r="6956">
      <c r="A6956" s="76">
        <v>45804.0</v>
      </c>
      <c r="B6956" s="1" t="s">
        <v>460</v>
      </c>
      <c r="C6956" s="1" t="s">
        <v>34</v>
      </c>
      <c r="D6956" s="1">
        <v>1.0</v>
      </c>
      <c r="E6956" s="1">
        <v>7005.0</v>
      </c>
      <c r="F6956" s="10">
        <f t="shared" si="1"/>
        <v>1</v>
      </c>
      <c r="G6956" s="10">
        <f t="array" ref="G6956">index('Player ID'!C:C,match(E6956,'Player ID'!B:B,0))</f>
        <v>519151</v>
      </c>
    </row>
    <row r="6957">
      <c r="A6957" s="76">
        <v>45804.0</v>
      </c>
      <c r="B6957" s="1" t="s">
        <v>71</v>
      </c>
      <c r="C6957" s="1" t="s">
        <v>34</v>
      </c>
      <c r="D6957" s="1">
        <v>0.2</v>
      </c>
      <c r="E6957" s="1">
        <v>10078.0</v>
      </c>
      <c r="F6957" s="10">
        <f t="shared" si="1"/>
        <v>0.6666666667</v>
      </c>
      <c r="G6957" s="10">
        <f t="array" ref="G6957">index('Player ID'!C:C,match(E6957,'Player ID'!B:B,0))</f>
        <v>573204</v>
      </c>
    </row>
    <row r="6958">
      <c r="A6958" s="76">
        <v>45804.0</v>
      </c>
      <c r="B6958" s="1" t="s">
        <v>462</v>
      </c>
      <c r="C6958" s="1" t="s">
        <v>34</v>
      </c>
      <c r="D6958" s="1">
        <v>2.0</v>
      </c>
      <c r="E6958" s="1">
        <v>13896.0</v>
      </c>
      <c r="F6958" s="10">
        <f t="shared" si="1"/>
        <v>2</v>
      </c>
      <c r="G6958" s="10">
        <f t="array" ref="G6958">index('Player ID'!C:C,match(E6958,'Player ID'!B:B,0))</f>
        <v>623167</v>
      </c>
    </row>
    <row r="6959">
      <c r="A6959" s="76">
        <v>45804.0</v>
      </c>
      <c r="B6959" s="1" t="s">
        <v>746</v>
      </c>
      <c r="C6959" s="1" t="s">
        <v>75</v>
      </c>
      <c r="D6959" s="1">
        <v>6.0</v>
      </c>
      <c r="E6959" s="1">
        <v>15038.0</v>
      </c>
      <c r="F6959" s="10">
        <f t="shared" si="1"/>
        <v>6</v>
      </c>
      <c r="G6959" s="10">
        <f t="array" ref="G6959">index('Player ID'!C:C,match(E6959,'Player ID'!B:B,0))</f>
        <v>608566</v>
      </c>
    </row>
    <row r="6960">
      <c r="A6960" s="76">
        <v>45804.0</v>
      </c>
      <c r="B6960" s="1" t="s">
        <v>297</v>
      </c>
      <c r="C6960" s="1" t="s">
        <v>34</v>
      </c>
      <c r="D6960" s="1">
        <v>1.0</v>
      </c>
      <c r="E6960" s="1">
        <v>15734.0</v>
      </c>
      <c r="F6960" s="10">
        <f t="shared" si="1"/>
        <v>1</v>
      </c>
      <c r="G6960" s="10">
        <f t="array" ref="G6960">index('Player ID'!C:C,match(E6960,'Player ID'!B:B,0))</f>
        <v>641745</v>
      </c>
    </row>
    <row r="6961">
      <c r="A6961" s="76">
        <v>45804.0</v>
      </c>
      <c r="B6961" s="1" t="s">
        <v>288</v>
      </c>
      <c r="C6961" s="1" t="s">
        <v>75</v>
      </c>
      <c r="D6961" s="1">
        <v>1.1</v>
      </c>
      <c r="E6961" s="1">
        <v>18297.0</v>
      </c>
      <c r="F6961" s="10">
        <f t="shared" si="1"/>
        <v>1.333333333</v>
      </c>
      <c r="G6961" s="10">
        <f t="array" ref="G6961">index('Player ID'!C:C,match(E6961,'Player ID'!B:B,0))</f>
        <v>641755</v>
      </c>
    </row>
    <row r="6962">
      <c r="A6962" s="76">
        <v>45804.0</v>
      </c>
      <c r="B6962" s="1" t="s">
        <v>215</v>
      </c>
      <c r="C6962" s="1" t="s">
        <v>75</v>
      </c>
      <c r="D6962" s="1">
        <v>1.0</v>
      </c>
      <c r="E6962" s="1">
        <v>21267.0</v>
      </c>
      <c r="F6962" s="10">
        <f t="shared" si="1"/>
        <v>1</v>
      </c>
      <c r="G6962" s="10">
        <f t="array" ref="G6962">index('Player ID'!C:C,match(E6962,'Player ID'!B:B,0))</f>
        <v>656234</v>
      </c>
    </row>
    <row r="6963">
      <c r="A6963" s="76">
        <v>45804.0</v>
      </c>
      <c r="B6963" s="1" t="s">
        <v>512</v>
      </c>
      <c r="C6963" s="1" t="s">
        <v>75</v>
      </c>
      <c r="D6963" s="1">
        <v>1.0</v>
      </c>
      <c r="E6963" s="1">
        <v>31552.0</v>
      </c>
      <c r="F6963" s="10">
        <f t="shared" si="1"/>
        <v>1</v>
      </c>
      <c r="G6963" s="10">
        <f t="array" ref="G6963">index('Player ID'!C:C,match(E6963,'Player ID'!B:B,0))</f>
        <v>688642</v>
      </c>
    </row>
    <row r="6964">
      <c r="A6964" s="76">
        <v>45804.0</v>
      </c>
      <c r="B6964" s="1" t="s">
        <v>434</v>
      </c>
      <c r="C6964" s="1" t="s">
        <v>34</v>
      </c>
      <c r="D6964" s="1">
        <v>6.0</v>
      </c>
      <c r="E6964" s="1">
        <v>31872.0</v>
      </c>
      <c r="F6964" s="10">
        <f t="shared" si="1"/>
        <v>6</v>
      </c>
      <c r="G6964" s="10">
        <f t="array" ref="G6964">index('Player ID'!C:C,match(E6964,'Player ID'!B:B,0))</f>
        <v>690990</v>
      </c>
    </row>
    <row r="6965">
      <c r="A6965" s="76">
        <v>45804.0</v>
      </c>
      <c r="B6965" s="1" t="s">
        <v>488</v>
      </c>
      <c r="C6965" s="1" t="s">
        <v>75</v>
      </c>
      <c r="D6965" s="1">
        <v>1.0</v>
      </c>
      <c r="E6965" s="1">
        <v>33294.0</v>
      </c>
      <c r="F6965" s="10">
        <f t="shared" si="1"/>
        <v>1</v>
      </c>
      <c r="G6965" s="10">
        <f t="array" ref="G6965">index('Player ID'!C:C,match(E6965,'Player ID'!B:B,0))</f>
        <v>678020</v>
      </c>
    </row>
    <row r="6966">
      <c r="A6966" s="76">
        <v>45804.0</v>
      </c>
      <c r="B6966" s="1" t="s">
        <v>38</v>
      </c>
      <c r="C6966" s="1" t="s">
        <v>39</v>
      </c>
      <c r="D6966" s="1">
        <v>1.0</v>
      </c>
      <c r="E6966" s="1">
        <v>13580.0</v>
      </c>
      <c r="F6966" s="10">
        <f t="shared" si="1"/>
        <v>1</v>
      </c>
      <c r="G6966" s="10">
        <f t="array" ref="G6966">index('Player ID'!C:C,match(E6966,'Player ID'!B:B,0))</f>
        <v>595345</v>
      </c>
    </row>
    <row r="6967">
      <c r="A6967" s="76">
        <v>45804.0</v>
      </c>
      <c r="B6967" s="1" t="s">
        <v>736</v>
      </c>
      <c r="C6967" s="1" t="s">
        <v>39</v>
      </c>
      <c r="D6967" s="1">
        <v>2.0</v>
      </c>
      <c r="E6967" s="1">
        <v>19586.0</v>
      </c>
      <c r="F6967" s="10">
        <f t="shared" si="1"/>
        <v>2</v>
      </c>
      <c r="G6967" s="10">
        <f t="array" ref="G6967">index('Player ID'!C:C,match(E6967,'Player ID'!B:B,0))</f>
        <v>666215</v>
      </c>
    </row>
    <row r="6968">
      <c r="A6968" s="76">
        <v>45804.0</v>
      </c>
      <c r="B6968" s="1" t="s">
        <v>830</v>
      </c>
      <c r="C6968" s="1" t="s">
        <v>52</v>
      </c>
      <c r="D6968" s="1">
        <v>1.0</v>
      </c>
      <c r="E6968" s="1">
        <v>22533.0</v>
      </c>
      <c r="F6968" s="10">
        <f t="shared" si="1"/>
        <v>1</v>
      </c>
      <c r="G6968" s="10">
        <f t="array" ref="G6968">index('Player ID'!C:C,match(E6968,'Player ID'!B:B,0))</f>
        <v>671305</v>
      </c>
    </row>
    <row r="6969">
      <c r="A6969" s="76">
        <v>45804.0</v>
      </c>
      <c r="B6969" s="1" t="s">
        <v>251</v>
      </c>
      <c r="C6969" s="1" t="s">
        <v>52</v>
      </c>
      <c r="D6969" s="1">
        <v>3.1</v>
      </c>
      <c r="E6969" s="1">
        <v>23429.0</v>
      </c>
      <c r="F6969" s="10">
        <f t="shared" si="1"/>
        <v>3.333333333</v>
      </c>
      <c r="G6969" s="10">
        <f t="array" ref="G6969">index('Player ID'!C:C,match(E6969,'Player ID'!B:B,0))</f>
        <v>676664</v>
      </c>
    </row>
    <row r="6970">
      <c r="A6970" s="76">
        <v>45804.0</v>
      </c>
      <c r="B6970" s="1" t="s">
        <v>339</v>
      </c>
      <c r="C6970" s="1" t="s">
        <v>39</v>
      </c>
      <c r="D6970" s="1">
        <v>6.0</v>
      </c>
      <c r="E6970" s="1">
        <v>25880.0</v>
      </c>
      <c r="F6970" s="10">
        <f t="shared" si="1"/>
        <v>6</v>
      </c>
      <c r="G6970" s="10">
        <f t="array" ref="G6970">index('Player ID'!C:C,match(E6970,'Player ID'!B:B,0))</f>
        <v>686613</v>
      </c>
    </row>
    <row r="6971">
      <c r="A6971" s="76">
        <v>45804.0</v>
      </c>
      <c r="B6971" s="1" t="s">
        <v>793</v>
      </c>
      <c r="C6971" s="1" t="s">
        <v>52</v>
      </c>
      <c r="D6971" s="1">
        <v>2.0</v>
      </c>
      <c r="E6971" s="1">
        <v>26034.0</v>
      </c>
      <c r="F6971" s="10">
        <f t="shared" si="1"/>
        <v>2</v>
      </c>
      <c r="G6971" s="10">
        <f t="array" ref="G6971">index('Player ID'!C:C,match(E6971,'Player ID'!B:B,0))</f>
        <v>687424</v>
      </c>
    </row>
    <row r="6972">
      <c r="A6972" s="76">
        <v>45804.0</v>
      </c>
      <c r="B6972" s="1" t="s">
        <v>127</v>
      </c>
      <c r="C6972" s="1" t="s">
        <v>52</v>
      </c>
      <c r="D6972" s="1">
        <v>1.2</v>
      </c>
      <c r="E6972" s="1">
        <v>27707.0</v>
      </c>
      <c r="F6972" s="10">
        <f t="shared" si="1"/>
        <v>1.666666667</v>
      </c>
      <c r="G6972" s="10">
        <f t="array" ref="G6972">index('Player ID'!C:C,match(E6972,'Player ID'!B:B,0))</f>
        <v>687765</v>
      </c>
    </row>
    <row r="6973">
      <c r="A6973" s="76">
        <v>45804.0</v>
      </c>
      <c r="B6973" s="1" t="s">
        <v>660</v>
      </c>
      <c r="C6973" s="1" t="s">
        <v>25</v>
      </c>
      <c r="D6973" s="1">
        <v>1.0</v>
      </c>
      <c r="E6973" s="1">
        <v>11804.0</v>
      </c>
      <c r="F6973" s="10">
        <f t="shared" si="1"/>
        <v>1</v>
      </c>
      <c r="G6973" s="10">
        <f t="array" ref="G6973">index('Player ID'!C:C,match(E6973,'Player ID'!B:B,0))</f>
        <v>593576</v>
      </c>
    </row>
    <row r="6974">
      <c r="A6974" s="76">
        <v>45804.0</v>
      </c>
      <c r="B6974" s="1" t="s">
        <v>278</v>
      </c>
      <c r="C6974" s="1" t="s">
        <v>25</v>
      </c>
      <c r="D6974" s="1">
        <v>6.0</v>
      </c>
      <c r="E6974" s="1">
        <v>12880.0</v>
      </c>
      <c r="F6974" s="10">
        <f t="shared" si="1"/>
        <v>6</v>
      </c>
      <c r="G6974" s="10">
        <f t="array" ref="G6974">index('Player ID'!C:C,match(E6974,'Player ID'!B:B,0))</f>
        <v>542881</v>
      </c>
    </row>
    <row r="6975">
      <c r="A6975" s="76">
        <v>45804.0</v>
      </c>
      <c r="B6975" s="1" t="s">
        <v>114</v>
      </c>
      <c r="C6975" s="1" t="s">
        <v>58</v>
      </c>
      <c r="D6975" s="1">
        <v>1.0</v>
      </c>
      <c r="E6975" s="1">
        <v>15816.0</v>
      </c>
      <c r="F6975" s="10">
        <f t="shared" si="1"/>
        <v>1</v>
      </c>
      <c r="G6975" s="10">
        <f t="array" ref="G6975">index('Player ID'!C:C,match(E6975,'Player ID'!B:B,0))</f>
        <v>642207</v>
      </c>
    </row>
    <row r="6976">
      <c r="A6976" s="76">
        <v>45804.0</v>
      </c>
      <c r="B6976" s="1" t="s">
        <v>635</v>
      </c>
      <c r="C6976" s="1" t="s">
        <v>58</v>
      </c>
      <c r="D6976" s="1">
        <v>7.0</v>
      </c>
      <c r="E6976" s="1">
        <v>16137.0</v>
      </c>
      <c r="F6976" s="10">
        <f t="shared" si="1"/>
        <v>7</v>
      </c>
      <c r="G6976" s="10">
        <f t="array" ref="G6976">index('Player ID'!C:C,match(E6976,'Player ID'!B:B,0))</f>
        <v>607074</v>
      </c>
    </row>
    <row r="6977">
      <c r="A6977" s="76">
        <v>45804.0</v>
      </c>
      <c r="B6977" s="1" t="s">
        <v>831</v>
      </c>
      <c r="C6977" s="1" t="s">
        <v>58</v>
      </c>
      <c r="D6977" s="1">
        <v>1.0</v>
      </c>
      <c r="E6977" s="1">
        <v>19753.0</v>
      </c>
      <c r="F6977" s="10">
        <f t="shared" si="1"/>
        <v>1</v>
      </c>
      <c r="G6977" s="10">
        <f t="array" ref="G6977">index('Player ID'!C:C,match(E6977,'Player ID'!B:B,0))</f>
        <v>642528</v>
      </c>
    </row>
    <row r="6978">
      <c r="A6978" s="76">
        <v>45804.0</v>
      </c>
      <c r="B6978" s="1" t="s">
        <v>24</v>
      </c>
      <c r="C6978" s="1" t="s">
        <v>25</v>
      </c>
      <c r="D6978" s="1">
        <v>1.0</v>
      </c>
      <c r="E6978" s="1">
        <v>27468.0</v>
      </c>
      <c r="F6978" s="10">
        <f t="shared" si="1"/>
        <v>1</v>
      </c>
      <c r="G6978" s="10">
        <f t="array" ref="G6978">index('Player ID'!C:C,match(E6978,'Player ID'!B:B,0))</f>
        <v>672282</v>
      </c>
    </row>
    <row r="6979">
      <c r="A6979" s="76">
        <v>45804.0</v>
      </c>
      <c r="B6979" s="1" t="s">
        <v>604</v>
      </c>
      <c r="C6979" s="1" t="s">
        <v>25</v>
      </c>
      <c r="D6979" s="1">
        <v>1.0</v>
      </c>
      <c r="E6979" s="1">
        <v>27590.0</v>
      </c>
      <c r="F6979" s="10">
        <f t="shared" si="1"/>
        <v>1</v>
      </c>
      <c r="G6979" s="10">
        <f t="array" ref="G6979">index('Player ID'!C:C,match(E6979,'Player ID'!B:B,0))</f>
        <v>671109</v>
      </c>
    </row>
    <row r="6980">
      <c r="A6980" s="76">
        <v>45804.0</v>
      </c>
      <c r="B6980" s="1" t="s">
        <v>763</v>
      </c>
      <c r="C6980" s="1" t="s">
        <v>64</v>
      </c>
      <c r="D6980" s="1">
        <v>1.0</v>
      </c>
      <c r="E6980" s="1">
        <v>15514.0</v>
      </c>
      <c r="F6980" s="10">
        <f t="shared" si="1"/>
        <v>1</v>
      </c>
      <c r="G6980" s="10">
        <f t="array" ref="G6980">index('Player ID'!C:C,match(E6980,'Player ID'!B:B,0))</f>
        <v>608665</v>
      </c>
    </row>
    <row r="6981">
      <c r="A6981" s="76">
        <v>45804.0</v>
      </c>
      <c r="B6981" s="1" t="s">
        <v>489</v>
      </c>
      <c r="C6981" s="1" t="s">
        <v>64</v>
      </c>
      <c r="D6981" s="1">
        <v>0.2</v>
      </c>
      <c r="E6981" s="1">
        <v>17192.0</v>
      </c>
      <c r="F6981" s="10">
        <f t="shared" si="1"/>
        <v>0.6666666667</v>
      </c>
      <c r="G6981" s="10">
        <f t="array" ref="G6981">index('Player ID'!C:C,match(E6981,'Player ID'!B:B,0))</f>
        <v>656222</v>
      </c>
    </row>
    <row r="6982">
      <c r="A6982" s="76">
        <v>45804.0</v>
      </c>
      <c r="B6982" s="1" t="s">
        <v>217</v>
      </c>
      <c r="C6982" s="1" t="s">
        <v>60</v>
      </c>
      <c r="D6982" s="1">
        <v>1.0</v>
      </c>
      <c r="E6982" s="1">
        <v>17878.0</v>
      </c>
      <c r="F6982" s="10">
        <f t="shared" si="1"/>
        <v>1</v>
      </c>
      <c r="G6982" s="10">
        <f t="array" ref="G6982">index('Player ID'!C:C,match(E6982,'Player ID'!B:B,0))</f>
        <v>642701</v>
      </c>
    </row>
    <row r="6983">
      <c r="A6983" s="76">
        <v>45804.0</v>
      </c>
      <c r="B6983" s="1" t="s">
        <v>431</v>
      </c>
      <c r="C6983" s="1" t="s">
        <v>64</v>
      </c>
      <c r="D6983" s="1">
        <v>7.0</v>
      </c>
      <c r="E6983" s="1">
        <v>19361.0</v>
      </c>
      <c r="F6983" s="10">
        <f t="shared" si="1"/>
        <v>7</v>
      </c>
      <c r="G6983" s="10">
        <f t="array" ref="G6983">index('Player ID'!C:C,match(E6983,'Player ID'!B:B,0))</f>
        <v>669203</v>
      </c>
    </row>
    <row r="6984">
      <c r="A6984" s="76">
        <v>45804.0</v>
      </c>
      <c r="B6984" s="1" t="s">
        <v>183</v>
      </c>
      <c r="C6984" s="1" t="s">
        <v>60</v>
      </c>
      <c r="D6984" s="1">
        <v>1.0</v>
      </c>
      <c r="E6984" s="1">
        <v>19569.0</v>
      </c>
      <c r="F6984" s="10">
        <f t="shared" si="1"/>
        <v>1</v>
      </c>
      <c r="G6984" s="10">
        <f t="array" ref="G6984">index('Player ID'!C:C,match(E6984,'Player ID'!B:B,0))</f>
        <v>670280</v>
      </c>
    </row>
    <row r="6985">
      <c r="A6985" s="76">
        <v>45804.0</v>
      </c>
      <c r="B6985" s="1" t="s">
        <v>823</v>
      </c>
      <c r="C6985" s="1" t="s">
        <v>64</v>
      </c>
      <c r="D6985" s="1">
        <v>0.1</v>
      </c>
      <c r="E6985" s="1">
        <v>19876.0</v>
      </c>
      <c r="F6985" s="10">
        <f t="shared" si="1"/>
        <v>0.3333333333</v>
      </c>
      <c r="G6985" s="10">
        <f t="array" ref="G6985">index('Player ID'!C:C,match(E6985,'Player ID'!B:B,0))</f>
        <v>656464</v>
      </c>
    </row>
    <row r="6986">
      <c r="A6986" s="76">
        <v>45804.0</v>
      </c>
      <c r="B6986" s="1" t="s">
        <v>384</v>
      </c>
      <c r="C6986" s="1" t="s">
        <v>60</v>
      </c>
      <c r="D6986" s="1">
        <v>3.2</v>
      </c>
      <c r="E6986" s="1">
        <v>19962.0</v>
      </c>
      <c r="F6986" s="10">
        <f t="shared" si="1"/>
        <v>3.666666667</v>
      </c>
      <c r="G6986" s="10">
        <f t="array" ref="G6986">index('Player ID'!C:C,match(E6986,'Player ID'!B:B,0))</f>
        <v>666214</v>
      </c>
    </row>
    <row r="6987">
      <c r="A6987" s="76">
        <v>45804.0</v>
      </c>
      <c r="B6987" s="1" t="s">
        <v>320</v>
      </c>
      <c r="C6987" s="1" t="s">
        <v>60</v>
      </c>
      <c r="D6987" s="1">
        <v>3.1</v>
      </c>
      <c r="E6987" s="1">
        <v>24728.0</v>
      </c>
      <c r="F6987" s="10">
        <f t="shared" si="1"/>
        <v>3.333333333</v>
      </c>
      <c r="G6987" s="10">
        <f t="array" ref="G6987">index('Player ID'!C:C,match(E6987,'Player ID'!B:B,0))</f>
        <v>681347</v>
      </c>
    </row>
    <row r="6988">
      <c r="A6988" s="76">
        <v>45804.0</v>
      </c>
      <c r="B6988" s="1" t="s">
        <v>506</v>
      </c>
      <c r="C6988" s="1" t="s">
        <v>80</v>
      </c>
      <c r="D6988" s="1">
        <v>1.0</v>
      </c>
      <c r="E6988" s="1">
        <v>12988.0</v>
      </c>
      <c r="F6988" s="10">
        <f t="shared" si="1"/>
        <v>1</v>
      </c>
      <c r="G6988" s="10">
        <f t="array" ref="G6988">index('Player ID'!C:C,match(E6988,'Player ID'!B:B,0))</f>
        <v>605177</v>
      </c>
    </row>
    <row r="6989">
      <c r="A6989" s="76">
        <v>45804.0</v>
      </c>
      <c r="B6989" s="1" t="s">
        <v>157</v>
      </c>
      <c r="C6989" s="1" t="s">
        <v>37</v>
      </c>
      <c r="D6989" s="1">
        <v>1.0</v>
      </c>
      <c r="E6989" s="1">
        <v>20997.0</v>
      </c>
      <c r="F6989" s="10">
        <f t="shared" si="1"/>
        <v>1</v>
      </c>
      <c r="G6989" s="10">
        <f t="array" ref="G6989">index('Player ID'!C:C,match(E6989,'Player ID'!B:B,0))</f>
        <v>660825</v>
      </c>
    </row>
    <row r="6990">
      <c r="A6990" s="76">
        <v>45804.0</v>
      </c>
      <c r="B6990" s="1" t="s">
        <v>511</v>
      </c>
      <c r="C6990" s="1" t="s">
        <v>80</v>
      </c>
      <c r="D6990" s="1">
        <v>1.1</v>
      </c>
      <c r="E6990" s="1">
        <v>26215.0</v>
      </c>
      <c r="F6990" s="10">
        <f t="shared" si="1"/>
        <v>1.333333333</v>
      </c>
      <c r="G6990" s="10">
        <f t="array" ref="G6990">index('Player ID'!C:C,match(E6990,'Player ID'!B:B,0))</f>
        <v>671131</v>
      </c>
    </row>
    <row r="6991">
      <c r="A6991" s="76">
        <v>45804.0</v>
      </c>
      <c r="B6991" s="1" t="s">
        <v>330</v>
      </c>
      <c r="C6991" s="1" t="s">
        <v>80</v>
      </c>
      <c r="D6991" s="1">
        <v>4.2</v>
      </c>
      <c r="E6991" s="1">
        <v>27636.0</v>
      </c>
      <c r="F6991" s="10">
        <f t="shared" si="1"/>
        <v>4.666666667</v>
      </c>
      <c r="G6991" s="10">
        <f t="array" ref="G6991">index('Player ID'!C:C,match(E6991,'Player ID'!B:B,0))</f>
        <v>680730</v>
      </c>
    </row>
    <row r="6992">
      <c r="A6992" s="76">
        <v>45804.0</v>
      </c>
      <c r="B6992" s="1" t="s">
        <v>818</v>
      </c>
      <c r="C6992" s="1" t="s">
        <v>80</v>
      </c>
      <c r="D6992" s="1">
        <v>1.0</v>
      </c>
      <c r="E6992" s="1">
        <v>27783.0</v>
      </c>
      <c r="F6992" s="10">
        <f t="shared" si="1"/>
        <v>1</v>
      </c>
      <c r="G6992" s="10">
        <f t="array" ref="G6992">index('Player ID'!C:C,match(E6992,'Player ID'!B:B,0))</f>
        <v>694350</v>
      </c>
    </row>
    <row r="6993">
      <c r="A6993" s="76">
        <v>45804.0</v>
      </c>
      <c r="B6993" s="1" t="s">
        <v>255</v>
      </c>
      <c r="C6993" s="1" t="s">
        <v>37</v>
      </c>
      <c r="D6993" s="1">
        <v>8.0</v>
      </c>
      <c r="E6993" s="1">
        <v>33699.0</v>
      </c>
      <c r="F6993" s="10">
        <f t="shared" si="1"/>
        <v>8</v>
      </c>
      <c r="G6993" s="10">
        <f t="array" ref="G6993">index('Player ID'!C:C,match(E6993,'Player ID'!B:B,0))</f>
        <v>688138</v>
      </c>
    </row>
    <row r="6994">
      <c r="A6994" s="76">
        <v>45804.0</v>
      </c>
      <c r="B6994" s="1" t="s">
        <v>89</v>
      </c>
      <c r="C6994" s="1" t="s">
        <v>36</v>
      </c>
      <c r="D6994" s="1">
        <v>0.1</v>
      </c>
      <c r="E6994" s="1">
        <v>19742.0</v>
      </c>
      <c r="F6994" s="10">
        <f t="shared" si="1"/>
        <v>0.3333333333</v>
      </c>
      <c r="G6994" s="10">
        <f t="array" ref="G6994">index('Player ID'!C:C,match(E6994,'Player ID'!B:B,0))</f>
        <v>669622</v>
      </c>
    </row>
    <row r="6995">
      <c r="A6995" s="76">
        <v>45804.0</v>
      </c>
      <c r="B6995" s="1" t="s">
        <v>179</v>
      </c>
      <c r="C6995" s="1" t="s">
        <v>26</v>
      </c>
      <c r="D6995" s="1">
        <v>5.1</v>
      </c>
      <c r="E6995" s="1">
        <v>21487.0</v>
      </c>
      <c r="F6995" s="10">
        <f t="shared" si="1"/>
        <v>5.333333333</v>
      </c>
      <c r="G6995" s="10">
        <f t="array" ref="G6995">index('Player ID'!C:C,match(E6995,'Player ID'!B:B,0))</f>
        <v>663568</v>
      </c>
    </row>
    <row r="6996">
      <c r="A6996" s="76">
        <v>45804.0</v>
      </c>
      <c r="B6996" s="1" t="s">
        <v>94</v>
      </c>
      <c r="C6996" s="1" t="s">
        <v>26</v>
      </c>
      <c r="D6996" s="1">
        <v>1.1</v>
      </c>
      <c r="E6996" s="1">
        <v>22210.0</v>
      </c>
      <c r="F6996" s="10">
        <f t="shared" si="1"/>
        <v>1.333333333</v>
      </c>
      <c r="G6996" s="10">
        <f t="array" ref="G6996">index('Player ID'!C:C,match(E6996,'Player ID'!B:B,0))</f>
        <v>669093</v>
      </c>
    </row>
    <row r="6997">
      <c r="A6997" s="76">
        <v>45804.0</v>
      </c>
      <c r="B6997" s="1" t="s">
        <v>797</v>
      </c>
      <c r="C6997" s="1" t="s">
        <v>26</v>
      </c>
      <c r="D6997" s="1">
        <v>1.1</v>
      </c>
      <c r="E6997" s="1">
        <v>22253.0</v>
      </c>
      <c r="F6997" s="10">
        <f t="shared" si="1"/>
        <v>1.333333333</v>
      </c>
      <c r="G6997" s="10">
        <f t="array" ref="G6997">index('Player ID'!C:C,match(E6997,'Player ID'!B:B,0))</f>
        <v>669308</v>
      </c>
    </row>
    <row r="6998">
      <c r="A6998" s="76">
        <v>45804.0</v>
      </c>
      <c r="B6998" s="1" t="s">
        <v>322</v>
      </c>
      <c r="C6998" s="1" t="s">
        <v>36</v>
      </c>
      <c r="D6998" s="1">
        <v>3.0</v>
      </c>
      <c r="E6998" s="1">
        <v>23899.0</v>
      </c>
      <c r="F6998" s="10">
        <f t="shared" si="1"/>
        <v>3</v>
      </c>
      <c r="G6998" s="10">
        <f t="array" ref="G6998">index('Player ID'!C:C,match(E6998,'Player ID'!B:B,0))</f>
        <v>678368</v>
      </c>
    </row>
    <row r="6999">
      <c r="A6999" s="76">
        <v>45804.0</v>
      </c>
      <c r="B6999" s="1" t="s">
        <v>121</v>
      </c>
      <c r="C6999" s="1" t="s">
        <v>36</v>
      </c>
      <c r="D6999" s="1">
        <v>3.1</v>
      </c>
      <c r="E6999" s="1">
        <v>27474.0</v>
      </c>
      <c r="F6999" s="10">
        <f t="shared" si="1"/>
        <v>3.333333333</v>
      </c>
      <c r="G6999" s="10">
        <f t="array" ref="G6999">index('Player ID'!C:C,match(E6999,'Player ID'!B:B,0))</f>
        <v>676974</v>
      </c>
    </row>
    <row r="7000">
      <c r="A7000" s="76">
        <v>45804.0</v>
      </c>
      <c r="B7000" s="1" t="s">
        <v>266</v>
      </c>
      <c r="C7000" s="1" t="s">
        <v>36</v>
      </c>
      <c r="D7000" s="1">
        <v>1.1</v>
      </c>
      <c r="E7000" s="1">
        <v>31815.0</v>
      </c>
      <c r="F7000" s="10">
        <f t="shared" si="1"/>
        <v>1.333333333</v>
      </c>
      <c r="G7000" s="10">
        <f t="array" ref="G7000">index('Player ID'!C:C,match(E7000,'Player ID'!B:B,0))</f>
        <v>806188</v>
      </c>
    </row>
    <row r="7001">
      <c r="A7001" s="76">
        <v>45804.0</v>
      </c>
      <c r="B7001" s="1" t="s">
        <v>284</v>
      </c>
      <c r="C7001" s="1" t="s">
        <v>26</v>
      </c>
      <c r="D7001" s="1">
        <v>1.0</v>
      </c>
      <c r="E7001" s="1">
        <v>33826.0</v>
      </c>
      <c r="F7001" s="10">
        <f t="shared" si="1"/>
        <v>1</v>
      </c>
      <c r="G7001" s="10">
        <f t="array" ref="G7001">index('Player ID'!C:C,match(E7001,'Player ID'!B:B,0))</f>
        <v>673513</v>
      </c>
    </row>
    <row r="7002">
      <c r="A7002" s="76">
        <v>45805.0</v>
      </c>
      <c r="B7002" s="1" t="s">
        <v>664</v>
      </c>
      <c r="C7002" s="1" t="s">
        <v>16</v>
      </c>
      <c r="D7002" s="1">
        <v>5.0</v>
      </c>
      <c r="E7002" s="1">
        <v>17085.0</v>
      </c>
      <c r="F7002" s="10">
        <f t="shared" si="1"/>
        <v>5</v>
      </c>
      <c r="G7002" s="10">
        <f t="array" ref="G7002">index('Player ID'!C:C,match(E7002,'Player ID'!B:B,0))</f>
        <v>641154</v>
      </c>
    </row>
    <row r="7003">
      <c r="A7003" s="76">
        <v>45805.0</v>
      </c>
      <c r="B7003" s="1" t="s">
        <v>397</v>
      </c>
      <c r="C7003" s="1" t="s">
        <v>16</v>
      </c>
      <c r="D7003" s="1">
        <v>1.0</v>
      </c>
      <c r="E7003" s="1">
        <v>19459.0</v>
      </c>
      <c r="F7003" s="10">
        <f t="shared" si="1"/>
        <v>1</v>
      </c>
      <c r="G7003" s="10">
        <f t="array" ref="G7003">index('Player ID'!C:C,match(E7003,'Player ID'!B:B,0))</f>
        <v>660896</v>
      </c>
    </row>
    <row r="7004">
      <c r="A7004" s="76">
        <v>45805.0</v>
      </c>
      <c r="B7004" s="1" t="s">
        <v>739</v>
      </c>
      <c r="C7004" s="1" t="s">
        <v>54</v>
      </c>
      <c r="D7004" s="1">
        <v>1.0</v>
      </c>
      <c r="E7004" s="1">
        <v>19695.0</v>
      </c>
      <c r="F7004" s="10">
        <f t="shared" si="1"/>
        <v>1</v>
      </c>
      <c r="G7004" s="10">
        <f t="array" ref="G7004">index('Player ID'!C:C,match(E7004,'Player ID'!B:B,0))</f>
        <v>657756</v>
      </c>
    </row>
    <row r="7005">
      <c r="A7005" s="76">
        <v>45805.0</v>
      </c>
      <c r="B7005" s="1" t="s">
        <v>400</v>
      </c>
      <c r="C7005" s="1" t="s">
        <v>54</v>
      </c>
      <c r="D7005" s="1">
        <v>1.0</v>
      </c>
      <c r="E7005" s="1">
        <v>20539.0</v>
      </c>
      <c r="F7005" s="10">
        <f t="shared" si="1"/>
        <v>1</v>
      </c>
      <c r="G7005" s="10">
        <f t="array" ref="G7005">index('Player ID'!C:C,match(E7005,'Player ID'!B:B,0))</f>
        <v>670955</v>
      </c>
    </row>
    <row r="7006">
      <c r="A7006" s="76">
        <v>45805.0</v>
      </c>
      <c r="B7006" s="1" t="s">
        <v>237</v>
      </c>
      <c r="C7006" s="1" t="s">
        <v>16</v>
      </c>
      <c r="D7006" s="1">
        <v>1.0</v>
      </c>
      <c r="E7006" s="1">
        <v>21461.0</v>
      </c>
      <c r="F7006" s="10">
        <f t="shared" si="1"/>
        <v>1</v>
      </c>
      <c r="G7006" s="10">
        <f t="array" ref="G7006">index('Player ID'!C:C,match(E7006,'Player ID'!B:B,0))</f>
        <v>663485</v>
      </c>
    </row>
    <row r="7007">
      <c r="A7007" s="76">
        <v>45805.0</v>
      </c>
      <c r="B7007" s="1" t="s">
        <v>333</v>
      </c>
      <c r="C7007" s="1" t="s">
        <v>16</v>
      </c>
      <c r="D7007" s="1">
        <v>1.0</v>
      </c>
      <c r="E7007" s="1">
        <v>24993.0</v>
      </c>
      <c r="F7007" s="10">
        <f t="shared" si="1"/>
        <v>1</v>
      </c>
      <c r="G7007" s="10">
        <f t="array" ref="G7007">index('Player ID'!C:C,match(E7007,'Player ID'!B:B,0))</f>
        <v>681892</v>
      </c>
    </row>
    <row r="7008">
      <c r="A7008" s="76">
        <v>45805.0</v>
      </c>
      <c r="B7008" s="1" t="s">
        <v>97</v>
      </c>
      <c r="C7008" s="1" t="s">
        <v>54</v>
      </c>
      <c r="D7008" s="1">
        <v>6.0</v>
      </c>
      <c r="E7008" s="1">
        <v>25385.0</v>
      </c>
      <c r="F7008" s="10">
        <f t="shared" si="1"/>
        <v>6</v>
      </c>
      <c r="G7008" s="10">
        <f t="array" ref="G7008">index('Player ID'!C:C,match(E7008,'Player ID'!B:B,0))</f>
        <v>656876</v>
      </c>
    </row>
    <row r="7009">
      <c r="A7009" s="76">
        <v>45805.0</v>
      </c>
      <c r="B7009" s="1" t="s">
        <v>334</v>
      </c>
      <c r="C7009" s="1" t="s">
        <v>54</v>
      </c>
      <c r="D7009" s="1">
        <v>1.0</v>
      </c>
      <c r="E7009" s="1">
        <v>29770.0</v>
      </c>
      <c r="F7009" s="10">
        <f t="shared" si="1"/>
        <v>1</v>
      </c>
      <c r="G7009" s="10">
        <f t="array" ref="G7009">index('Player ID'!C:C,match(E7009,'Player ID'!B:B,0))</f>
        <v>682254</v>
      </c>
    </row>
    <row r="7010">
      <c r="A7010" s="76">
        <v>45805.0</v>
      </c>
      <c r="B7010" s="1" t="s">
        <v>457</v>
      </c>
      <c r="C7010" s="1" t="s">
        <v>33</v>
      </c>
      <c r="D7010" s="1">
        <v>5.0</v>
      </c>
      <c r="E7010" s="1">
        <v>2036.0</v>
      </c>
      <c r="F7010" s="10">
        <f t="shared" si="1"/>
        <v>5</v>
      </c>
      <c r="G7010" s="10">
        <f t="array" ref="G7010">index('Player ID'!C:C,match(E7010,'Player ID'!B:B,0))</f>
        <v>477132</v>
      </c>
    </row>
    <row r="7011">
      <c r="A7011" s="76">
        <v>45805.0</v>
      </c>
      <c r="B7011" s="1" t="s">
        <v>503</v>
      </c>
      <c r="C7011" s="1" t="s">
        <v>33</v>
      </c>
      <c r="D7011" s="1">
        <v>1.2</v>
      </c>
      <c r="E7011" s="1">
        <v>15043.0</v>
      </c>
      <c r="F7011" s="10">
        <f t="shared" si="1"/>
        <v>1.666666667</v>
      </c>
      <c r="G7011" s="10">
        <f t="array" ref="G7011">index('Player ID'!C:C,match(E7011,'Player ID'!B:B,0))</f>
        <v>642152</v>
      </c>
    </row>
    <row r="7012">
      <c r="A7012" s="76">
        <v>45805.0</v>
      </c>
      <c r="B7012" s="1" t="s">
        <v>32</v>
      </c>
      <c r="C7012" s="1" t="s">
        <v>33</v>
      </c>
      <c r="D7012" s="1">
        <v>0.2</v>
      </c>
      <c r="E7012" s="1">
        <v>17586.0</v>
      </c>
      <c r="F7012" s="10">
        <f t="shared" si="1"/>
        <v>0.6666666667</v>
      </c>
      <c r="G7012" s="10">
        <f t="array" ref="G7012">index('Player ID'!C:C,match(E7012,'Player ID'!B:B,0))</f>
        <v>656945</v>
      </c>
    </row>
    <row r="7013">
      <c r="A7013" s="76">
        <v>45805.0</v>
      </c>
      <c r="B7013" s="1" t="s">
        <v>259</v>
      </c>
      <c r="C7013" s="1" t="s">
        <v>70</v>
      </c>
      <c r="D7013" s="1">
        <v>4.0</v>
      </c>
      <c r="E7013" s="1">
        <v>18694.0</v>
      </c>
      <c r="F7013" s="10">
        <f t="shared" si="1"/>
        <v>4</v>
      </c>
      <c r="G7013" s="10">
        <f t="array" ref="G7013">index('Player ID'!C:C,match(E7013,'Player ID'!B:B,0))</f>
        <v>663465</v>
      </c>
    </row>
    <row r="7014">
      <c r="A7014" s="76">
        <v>45805.0</v>
      </c>
      <c r="B7014" s="1" t="s">
        <v>141</v>
      </c>
      <c r="C7014" s="1" t="s">
        <v>70</v>
      </c>
      <c r="D7014" s="1">
        <v>1.0</v>
      </c>
      <c r="E7014" s="1">
        <v>19330.0</v>
      </c>
      <c r="F7014" s="10">
        <f t="shared" si="1"/>
        <v>1</v>
      </c>
      <c r="G7014" s="10">
        <f t="array" ref="G7014">index('Player ID'!C:C,match(E7014,'Player ID'!B:B,0))</f>
        <v>670036</v>
      </c>
    </row>
    <row r="7015">
      <c r="A7015" s="76">
        <v>45805.0</v>
      </c>
      <c r="B7015" s="1" t="s">
        <v>132</v>
      </c>
      <c r="C7015" s="1" t="s">
        <v>70</v>
      </c>
      <c r="D7015" s="1">
        <v>1.0</v>
      </c>
      <c r="E7015" s="1">
        <v>21032.0</v>
      </c>
      <c r="F7015" s="10">
        <f t="shared" si="1"/>
        <v>1</v>
      </c>
      <c r="G7015" s="10">
        <f t="array" ref="G7015">index('Player ID'!C:C,match(E7015,'Player ID'!B:B,0))</f>
        <v>661403</v>
      </c>
    </row>
    <row r="7016">
      <c r="A7016" s="76">
        <v>45805.0</v>
      </c>
      <c r="B7016" s="1" t="s">
        <v>92</v>
      </c>
      <c r="C7016" s="1" t="s">
        <v>33</v>
      </c>
      <c r="D7016" s="1">
        <v>0.2</v>
      </c>
      <c r="E7016" s="1">
        <v>25007.0</v>
      </c>
      <c r="F7016" s="10">
        <f t="shared" si="1"/>
        <v>0.6666666667</v>
      </c>
      <c r="G7016" s="10">
        <f t="array" ref="G7016">index('Player ID'!C:C,match(E7016,'Player ID'!B:B,0))</f>
        <v>681911</v>
      </c>
    </row>
    <row r="7017">
      <c r="A7017" s="76">
        <v>45805.0</v>
      </c>
      <c r="B7017" s="1" t="s">
        <v>519</v>
      </c>
      <c r="C7017" s="1" t="s">
        <v>70</v>
      </c>
      <c r="D7017" s="1">
        <v>0.2</v>
      </c>
      <c r="E7017" s="1">
        <v>25139.0</v>
      </c>
      <c r="F7017" s="10">
        <f t="shared" si="1"/>
        <v>0.6666666667</v>
      </c>
      <c r="G7017" s="10">
        <f t="array" ref="G7017">index('Player ID'!C:C,match(E7017,'Player ID'!B:B,0))</f>
        <v>682120</v>
      </c>
    </row>
    <row r="7018">
      <c r="A7018" s="76">
        <v>45805.0</v>
      </c>
      <c r="B7018" s="1" t="s">
        <v>135</v>
      </c>
      <c r="C7018" s="1" t="s">
        <v>70</v>
      </c>
      <c r="D7018" s="1">
        <v>1.1</v>
      </c>
      <c r="E7018" s="1">
        <v>27867.0</v>
      </c>
      <c r="F7018" s="10">
        <f t="shared" si="1"/>
        <v>1.333333333</v>
      </c>
      <c r="G7018" s="10">
        <f t="array" ref="G7018">index('Player ID'!C:C,match(E7018,'Player ID'!B:B,0))</f>
        <v>671922</v>
      </c>
    </row>
    <row r="7019">
      <c r="A7019" s="76">
        <v>45805.0</v>
      </c>
      <c r="B7019" s="1" t="s">
        <v>844</v>
      </c>
      <c r="C7019" s="1" t="s">
        <v>70</v>
      </c>
      <c r="D7019" s="1">
        <v>1.0</v>
      </c>
      <c r="E7019" s="1">
        <v>33834.0</v>
      </c>
      <c r="F7019" s="10">
        <f t="shared" si="1"/>
        <v>1</v>
      </c>
      <c r="G7019" s="10" t="str">
        <f t="array" ref="G7019">index('Player ID'!C:C,match(E7019,'Player ID'!B:B,0))</f>
        <v>#N/A</v>
      </c>
    </row>
    <row r="7020">
      <c r="A7020" s="76">
        <v>45805.0</v>
      </c>
      <c r="B7020" s="1" t="s">
        <v>439</v>
      </c>
      <c r="C7020" s="1" t="s">
        <v>62</v>
      </c>
      <c r="D7020" s="1">
        <v>2.0</v>
      </c>
      <c r="E7020" s="1">
        <v>11384.0</v>
      </c>
      <c r="F7020" s="10">
        <f t="shared" si="1"/>
        <v>2</v>
      </c>
      <c r="G7020" s="10">
        <f t="array" ref="G7020">index('Player ID'!C:C,match(E7020,'Player ID'!B:B,0))</f>
        <v>592454</v>
      </c>
    </row>
    <row r="7021">
      <c r="A7021" s="76">
        <v>45805.0</v>
      </c>
      <c r="B7021" s="1" t="s">
        <v>666</v>
      </c>
      <c r="C7021" s="1" t="s">
        <v>62</v>
      </c>
      <c r="D7021" s="1">
        <v>0.1</v>
      </c>
      <c r="E7021" s="1">
        <v>12777.0</v>
      </c>
      <c r="F7021" s="10">
        <f t="shared" si="1"/>
        <v>0.3333333333</v>
      </c>
      <c r="G7021" s="10">
        <f t="array" ref="G7021">index('Player ID'!C:C,match(E7021,'Player ID'!B:B,0))</f>
        <v>605154</v>
      </c>
    </row>
    <row r="7022">
      <c r="A7022" s="76">
        <v>45805.0</v>
      </c>
      <c r="B7022" s="1" t="s">
        <v>20</v>
      </c>
      <c r="C7022" s="1" t="s">
        <v>31</v>
      </c>
      <c r="D7022" s="1">
        <v>1.0</v>
      </c>
      <c r="E7022" s="1">
        <v>15541.0</v>
      </c>
      <c r="F7022" s="10">
        <f t="shared" si="1"/>
        <v>1</v>
      </c>
      <c r="G7022" s="10">
        <f t="array" ref="G7022">index('Player ID'!C:C,match(E7022,'Player ID'!B:B,0))</f>
        <v>643511</v>
      </c>
    </row>
    <row r="7023">
      <c r="A7023" s="76">
        <v>45805.0</v>
      </c>
      <c r="B7023" s="1" t="s">
        <v>403</v>
      </c>
      <c r="C7023" s="1" t="s">
        <v>31</v>
      </c>
      <c r="D7023" s="1">
        <v>1.0</v>
      </c>
      <c r="E7023" s="1">
        <v>20423.0</v>
      </c>
      <c r="F7023" s="10">
        <f t="shared" si="1"/>
        <v>1</v>
      </c>
      <c r="G7023" s="10">
        <f t="array" ref="G7023">index('Player ID'!C:C,match(E7023,'Player ID'!B:B,0))</f>
        <v>676254</v>
      </c>
    </row>
    <row r="7024">
      <c r="A7024" s="76">
        <v>45805.0</v>
      </c>
      <c r="B7024" s="1" t="s">
        <v>289</v>
      </c>
      <c r="C7024" s="1" t="s">
        <v>62</v>
      </c>
      <c r="D7024" s="1">
        <v>1.0</v>
      </c>
      <c r="E7024" s="1">
        <v>22304.0</v>
      </c>
      <c r="F7024" s="10">
        <f t="shared" si="1"/>
        <v>1</v>
      </c>
      <c r="G7024" s="10">
        <f t="array" ref="G7024">index('Player ID'!C:C,match(E7024,'Player ID'!B:B,0))</f>
        <v>669724</v>
      </c>
    </row>
    <row r="7025">
      <c r="A7025" s="76">
        <v>45805.0</v>
      </c>
      <c r="B7025" s="1" t="s">
        <v>654</v>
      </c>
      <c r="C7025" s="1" t="s">
        <v>31</v>
      </c>
      <c r="D7025" s="1">
        <v>2.0</v>
      </c>
      <c r="E7025" s="1">
        <v>23974.0</v>
      </c>
      <c r="F7025" s="10">
        <f t="shared" si="1"/>
        <v>2</v>
      </c>
      <c r="G7025" s="10">
        <f t="array" ref="G7025">index('Player ID'!C:C,match(E7025,'Player ID'!B:B,0))</f>
        <v>678495</v>
      </c>
    </row>
    <row r="7026">
      <c r="A7026" s="76">
        <v>45805.0</v>
      </c>
      <c r="B7026" s="1" t="s">
        <v>82</v>
      </c>
      <c r="C7026" s="1" t="s">
        <v>62</v>
      </c>
      <c r="D7026" s="1">
        <v>1.0</v>
      </c>
      <c r="E7026" s="1">
        <v>26231.0</v>
      </c>
      <c r="F7026" s="10">
        <f t="shared" si="1"/>
        <v>1</v>
      </c>
      <c r="G7026" s="10">
        <f t="array" ref="G7026">index('Player ID'!C:C,match(E7026,'Player ID'!B:B,0))</f>
        <v>663947</v>
      </c>
    </row>
    <row r="7027">
      <c r="A7027" s="76">
        <v>45805.0</v>
      </c>
      <c r="B7027" s="1" t="s">
        <v>209</v>
      </c>
      <c r="C7027" s="1" t="s">
        <v>31</v>
      </c>
      <c r="D7027" s="1">
        <v>4.0</v>
      </c>
      <c r="E7027" s="1">
        <v>30076.0</v>
      </c>
      <c r="F7027" s="10">
        <f t="shared" si="1"/>
        <v>4</v>
      </c>
      <c r="G7027" s="10">
        <f t="array" ref="G7027">index('Player ID'!C:C,match(E7027,'Player ID'!B:B,0))</f>
        <v>694738</v>
      </c>
    </row>
    <row r="7028">
      <c r="A7028" s="76">
        <v>45805.0</v>
      </c>
      <c r="B7028" s="1" t="s">
        <v>377</v>
      </c>
      <c r="C7028" s="1" t="s">
        <v>62</v>
      </c>
      <c r="D7028" s="1">
        <v>4.2</v>
      </c>
      <c r="E7028" s="1">
        <v>30203.0</v>
      </c>
      <c r="F7028" s="10">
        <f t="shared" si="1"/>
        <v>4.666666667</v>
      </c>
      <c r="G7028" s="10">
        <f t="array" ref="G7028">index('Player ID'!C:C,match(E7028,'Player ID'!B:B,0))</f>
        <v>695549</v>
      </c>
    </row>
    <row r="7029">
      <c r="A7029" s="76">
        <v>45805.0</v>
      </c>
      <c r="B7029" s="1" t="s">
        <v>41</v>
      </c>
      <c r="C7029" s="1" t="s">
        <v>22</v>
      </c>
      <c r="D7029" s="1">
        <v>1.0</v>
      </c>
      <c r="E7029" s="1">
        <v>10233.0</v>
      </c>
      <c r="F7029" s="10">
        <f t="shared" si="1"/>
        <v>1</v>
      </c>
      <c r="G7029" s="10">
        <f t="array" ref="G7029">index('Player ID'!C:C,match(E7029,'Player ID'!B:B,0))</f>
        <v>547973</v>
      </c>
    </row>
    <row r="7030">
      <c r="A7030" s="76">
        <v>45805.0</v>
      </c>
      <c r="B7030" s="1" t="s">
        <v>493</v>
      </c>
      <c r="C7030" s="1" t="s">
        <v>22</v>
      </c>
      <c r="D7030" s="1">
        <v>0.1</v>
      </c>
      <c r="E7030" s="1">
        <v>16835.0</v>
      </c>
      <c r="F7030" s="10">
        <f t="shared" si="1"/>
        <v>0.3333333333</v>
      </c>
      <c r="G7030" s="10">
        <f t="array" ref="G7030">index('Player ID'!C:C,match(E7030,'Player ID'!B:B,0))</f>
        <v>657514</v>
      </c>
    </row>
    <row r="7031">
      <c r="A7031" s="76">
        <v>45805.0</v>
      </c>
      <c r="B7031" s="1" t="s">
        <v>187</v>
      </c>
      <c r="C7031" s="1" t="s">
        <v>14</v>
      </c>
      <c r="D7031" s="1">
        <v>1.0</v>
      </c>
      <c r="E7031" s="1">
        <v>17735.0</v>
      </c>
      <c r="F7031" s="10">
        <f t="shared" si="1"/>
        <v>1</v>
      </c>
      <c r="G7031" s="10">
        <f t="array" ref="G7031">index('Player ID'!C:C,match(E7031,'Player ID'!B:B,0))</f>
        <v>641302</v>
      </c>
    </row>
    <row r="7032">
      <c r="A7032" s="76">
        <v>45805.0</v>
      </c>
      <c r="B7032" s="1" t="s">
        <v>180</v>
      </c>
      <c r="C7032" s="1" t="s">
        <v>14</v>
      </c>
      <c r="D7032" s="1">
        <v>5.0</v>
      </c>
      <c r="E7032" s="1">
        <v>18679.0</v>
      </c>
      <c r="F7032" s="10">
        <f t="shared" si="1"/>
        <v>5</v>
      </c>
      <c r="G7032" s="10">
        <f t="array" ref="G7032">index('Player ID'!C:C,match(E7032,'Player ID'!B:B,0))</f>
        <v>642547</v>
      </c>
    </row>
    <row r="7033">
      <c r="A7033" s="76">
        <v>45805.0</v>
      </c>
      <c r="B7033" s="1" t="s">
        <v>410</v>
      </c>
      <c r="C7033" s="1" t="s">
        <v>22</v>
      </c>
      <c r="D7033" s="1">
        <v>4.2</v>
      </c>
      <c r="E7033" s="1">
        <v>23920.0</v>
      </c>
      <c r="F7033" s="10">
        <f t="shared" si="1"/>
        <v>4.666666667</v>
      </c>
      <c r="G7033" s="10">
        <f t="array" ref="G7033">index('Player ID'!C:C,match(E7033,'Player ID'!B:B,0))</f>
        <v>678394</v>
      </c>
    </row>
    <row r="7034">
      <c r="A7034" s="76">
        <v>45805.0</v>
      </c>
      <c r="B7034" s="1" t="s">
        <v>279</v>
      </c>
      <c r="C7034" s="1" t="s">
        <v>14</v>
      </c>
      <c r="D7034" s="1">
        <v>1.0</v>
      </c>
      <c r="E7034" s="1">
        <v>25327.0</v>
      </c>
      <c r="F7034" s="10">
        <f t="shared" si="1"/>
        <v>1</v>
      </c>
      <c r="G7034" s="10">
        <f t="array" ref="G7034">index('Player ID'!C:C,match(E7034,'Player ID'!B:B,0))</f>
        <v>682842</v>
      </c>
    </row>
    <row r="7035">
      <c r="A7035" s="76">
        <v>45805.0</v>
      </c>
      <c r="B7035" s="1" t="s">
        <v>112</v>
      </c>
      <c r="C7035" s="1" t="s">
        <v>14</v>
      </c>
      <c r="D7035" s="1">
        <v>2.0</v>
      </c>
      <c r="E7035" s="1">
        <v>25376.0</v>
      </c>
      <c r="F7035" s="10">
        <f t="shared" si="1"/>
        <v>2</v>
      </c>
      <c r="G7035" s="10">
        <f t="array" ref="G7035">index('Player ID'!C:C,match(E7035,'Player ID'!B:B,0))</f>
        <v>683232</v>
      </c>
    </row>
    <row r="7036">
      <c r="A7036" s="76">
        <v>45805.0</v>
      </c>
      <c r="B7036" s="1" t="s">
        <v>645</v>
      </c>
      <c r="C7036" s="1" t="s">
        <v>22</v>
      </c>
      <c r="D7036" s="1">
        <v>0.1</v>
      </c>
      <c r="E7036" s="1">
        <v>25648.0</v>
      </c>
      <c r="F7036" s="10">
        <f t="shared" si="1"/>
        <v>0.3333333333</v>
      </c>
      <c r="G7036" s="10">
        <f t="array" ref="G7036">index('Player ID'!C:C,match(E7036,'Player ID'!B:B,0))</f>
        <v>686580</v>
      </c>
    </row>
    <row r="7037">
      <c r="A7037" s="76">
        <v>45805.0</v>
      </c>
      <c r="B7037" s="1" t="s">
        <v>418</v>
      </c>
      <c r="C7037" s="1" t="s">
        <v>14</v>
      </c>
      <c r="D7037" s="1">
        <v>1.0</v>
      </c>
      <c r="E7037" s="1">
        <v>27517.0</v>
      </c>
      <c r="F7037" s="10">
        <f t="shared" si="1"/>
        <v>1</v>
      </c>
      <c r="G7037" s="10">
        <f t="array" ref="G7037">index('Player ID'!C:C,match(E7037,'Player ID'!B:B,0))</f>
        <v>657649</v>
      </c>
    </row>
    <row r="7038">
      <c r="A7038" s="76">
        <v>45805.0</v>
      </c>
      <c r="B7038" s="1" t="s">
        <v>143</v>
      </c>
      <c r="C7038" s="1" t="s">
        <v>22</v>
      </c>
      <c r="D7038" s="1">
        <v>3.0</v>
      </c>
      <c r="E7038" s="1">
        <v>30240.0</v>
      </c>
      <c r="F7038" s="10">
        <f t="shared" si="1"/>
        <v>3</v>
      </c>
      <c r="G7038" s="10">
        <f t="array" ref="G7038">index('Player ID'!C:C,match(E7038,'Player ID'!B:B,0))</f>
        <v>690928</v>
      </c>
    </row>
    <row r="7039">
      <c r="A7039" s="76">
        <v>45805.0</v>
      </c>
      <c r="B7039" s="1" t="s">
        <v>394</v>
      </c>
      <c r="C7039" s="1" t="s">
        <v>39</v>
      </c>
      <c r="D7039" s="1">
        <v>6.0</v>
      </c>
      <c r="E7039" s="1">
        <v>14120.0</v>
      </c>
      <c r="F7039" s="10">
        <f t="shared" si="1"/>
        <v>6</v>
      </c>
      <c r="G7039" s="10">
        <f t="array" ref="G7039">index('Player ID'!C:C,match(E7039,'Player ID'!B:B,0))</f>
        <v>621121</v>
      </c>
    </row>
    <row r="7040">
      <c r="A7040" s="76">
        <v>45805.0</v>
      </c>
      <c r="B7040" s="1" t="s">
        <v>59</v>
      </c>
      <c r="C7040" s="1" t="s">
        <v>39</v>
      </c>
      <c r="D7040" s="1">
        <v>1.0</v>
      </c>
      <c r="E7040" s="1">
        <v>14212.0</v>
      </c>
      <c r="F7040" s="10">
        <f t="shared" si="1"/>
        <v>1</v>
      </c>
      <c r="G7040" s="10">
        <f t="array" ref="G7040">index('Player ID'!C:C,match(E7040,'Player ID'!B:B,0))</f>
        <v>623352</v>
      </c>
    </row>
    <row r="7041">
      <c r="A7041" s="76">
        <v>45805.0</v>
      </c>
      <c r="B7041" s="1" t="s">
        <v>281</v>
      </c>
      <c r="C7041" s="1" t="s">
        <v>52</v>
      </c>
      <c r="D7041" s="1">
        <v>6.0</v>
      </c>
      <c r="E7041" s="1">
        <v>15890.0</v>
      </c>
      <c r="F7041" s="10">
        <f t="shared" si="1"/>
        <v>6</v>
      </c>
      <c r="G7041" s="10">
        <f t="array" ref="G7041">index('Player ID'!C:C,match(E7041,'Player ID'!B:B,0))</f>
        <v>622663</v>
      </c>
    </row>
    <row r="7042">
      <c r="A7042" s="76">
        <v>45805.0</v>
      </c>
      <c r="B7042" s="1" t="s">
        <v>210</v>
      </c>
      <c r="C7042" s="1" t="s">
        <v>39</v>
      </c>
      <c r="D7042" s="1">
        <v>1.0</v>
      </c>
      <c r="E7042" s="1">
        <v>16609.0</v>
      </c>
      <c r="F7042" s="10">
        <f t="shared" si="1"/>
        <v>1</v>
      </c>
      <c r="G7042" s="10">
        <f t="array" ref="G7042">index('Player ID'!C:C,match(E7042,'Player ID'!B:B,0))</f>
        <v>650556</v>
      </c>
    </row>
    <row r="7043">
      <c r="A7043" s="76">
        <v>45805.0</v>
      </c>
      <c r="B7043" s="1" t="s">
        <v>444</v>
      </c>
      <c r="C7043" s="1" t="s">
        <v>39</v>
      </c>
      <c r="D7043" s="1">
        <v>1.0</v>
      </c>
      <c r="E7043" s="1">
        <v>24977.0</v>
      </c>
      <c r="F7043" s="10">
        <f t="shared" si="1"/>
        <v>1</v>
      </c>
      <c r="G7043" s="10">
        <f t="array" ref="G7043">index('Player ID'!C:C,match(E7043,'Player ID'!B:B,0))</f>
        <v>681869</v>
      </c>
    </row>
    <row r="7044">
      <c r="A7044" s="76">
        <v>45805.0</v>
      </c>
      <c r="B7044" s="1" t="s">
        <v>213</v>
      </c>
      <c r="C7044" s="1" t="s">
        <v>52</v>
      </c>
      <c r="D7044" s="1">
        <v>0.2</v>
      </c>
      <c r="E7044" s="1">
        <v>27694.0</v>
      </c>
      <c r="F7044" s="10">
        <f t="shared" si="1"/>
        <v>0.6666666667</v>
      </c>
      <c r="G7044" s="10">
        <f t="array" ref="G7044">index('Player ID'!C:C,match(E7044,'Player ID'!B:B,0))</f>
        <v>686993</v>
      </c>
    </row>
    <row r="7045">
      <c r="A7045" s="76">
        <v>45805.0</v>
      </c>
      <c r="B7045" s="1" t="s">
        <v>681</v>
      </c>
      <c r="C7045" s="1" t="s">
        <v>52</v>
      </c>
      <c r="D7045" s="1">
        <v>1.1</v>
      </c>
      <c r="E7045" s="1">
        <v>30002.0</v>
      </c>
      <c r="F7045" s="10">
        <f t="shared" si="1"/>
        <v>1.333333333</v>
      </c>
      <c r="G7045" s="10">
        <f t="array" ref="G7045">index('Player ID'!C:C,match(E7045,'Player ID'!B:B,0))</f>
        <v>680880</v>
      </c>
    </row>
    <row r="7046">
      <c r="A7046" s="76">
        <v>45805.0</v>
      </c>
      <c r="B7046" s="1" t="s">
        <v>103</v>
      </c>
      <c r="C7046" s="1" t="s">
        <v>64</v>
      </c>
      <c r="D7046" s="1">
        <v>1.0</v>
      </c>
      <c r="E7046" s="1">
        <v>10197.0</v>
      </c>
      <c r="F7046" s="10">
        <f t="shared" si="1"/>
        <v>1</v>
      </c>
      <c r="G7046" s="10">
        <f t="array" ref="G7046">index('Player ID'!C:C,match(E7046,'Player ID'!B:B,0))</f>
        <v>571946</v>
      </c>
    </row>
    <row r="7047">
      <c r="A7047" s="76">
        <v>45805.0</v>
      </c>
      <c r="B7047" s="1" t="s">
        <v>745</v>
      </c>
      <c r="C7047" s="1" t="s">
        <v>64</v>
      </c>
      <c r="D7047" s="1">
        <v>1.0</v>
      </c>
      <c r="E7047" s="1">
        <v>12056.0</v>
      </c>
      <c r="F7047" s="10">
        <f t="shared" si="1"/>
        <v>1</v>
      </c>
      <c r="G7047" s="10">
        <f t="array" ref="G7047">index('Player ID'!C:C,match(E7047,'Player ID'!B:B,0))</f>
        <v>543518</v>
      </c>
    </row>
    <row r="7048">
      <c r="A7048" s="76">
        <v>45805.0</v>
      </c>
      <c r="B7048" s="1" t="s">
        <v>443</v>
      </c>
      <c r="C7048" s="1" t="s">
        <v>60</v>
      </c>
      <c r="D7048" s="1">
        <v>1.0</v>
      </c>
      <c r="E7048" s="1">
        <v>16350.0</v>
      </c>
      <c r="F7048" s="10">
        <f t="shared" si="1"/>
        <v>1</v>
      </c>
      <c r="G7048" s="10">
        <f t="array" ref="G7048">index('Player ID'!C:C,match(E7048,'Player ID'!B:B,0))</f>
        <v>621366</v>
      </c>
    </row>
    <row r="7049">
      <c r="A7049" s="76">
        <v>45805.0</v>
      </c>
      <c r="B7049" s="1" t="s">
        <v>219</v>
      </c>
      <c r="C7049" s="1" t="s">
        <v>64</v>
      </c>
      <c r="D7049" s="1">
        <v>1.0</v>
      </c>
      <c r="E7049" s="1">
        <v>16647.0</v>
      </c>
      <c r="F7049" s="10">
        <f t="shared" si="1"/>
        <v>1</v>
      </c>
      <c r="G7049" s="10">
        <f t="array" ref="G7049">index('Player ID'!C:C,match(E7049,'Player ID'!B:B,0))</f>
        <v>657044</v>
      </c>
    </row>
    <row r="7050">
      <c r="A7050" s="76">
        <v>45805.0</v>
      </c>
      <c r="B7050" s="1" t="s">
        <v>716</v>
      </c>
      <c r="C7050" s="1" t="s">
        <v>60</v>
      </c>
      <c r="D7050" s="1">
        <v>0.2</v>
      </c>
      <c r="E7050" s="1">
        <v>17610.0</v>
      </c>
      <c r="F7050" s="10">
        <f t="shared" si="1"/>
        <v>0.6666666667</v>
      </c>
      <c r="G7050" s="10">
        <f t="array" ref="G7050">index('Player ID'!C:C,match(E7050,'Player ID'!B:B,0))</f>
        <v>663432</v>
      </c>
    </row>
    <row r="7051">
      <c r="A7051" s="76">
        <v>45805.0</v>
      </c>
      <c r="B7051" s="1" t="s">
        <v>195</v>
      </c>
      <c r="C7051" s="1" t="s">
        <v>64</v>
      </c>
      <c r="D7051" s="1">
        <v>5.0</v>
      </c>
      <c r="E7051" s="1">
        <v>19291.0</v>
      </c>
      <c r="F7051" s="10">
        <f t="shared" si="1"/>
        <v>5</v>
      </c>
      <c r="G7051" s="10">
        <f t="array" ref="G7051">index('Player ID'!C:C,match(E7051,'Player ID'!B:B,0))</f>
        <v>668678</v>
      </c>
    </row>
    <row r="7052">
      <c r="A7052" s="76">
        <v>45805.0</v>
      </c>
      <c r="B7052" s="1" t="s">
        <v>107</v>
      </c>
      <c r="C7052" s="1" t="s">
        <v>60</v>
      </c>
      <c r="D7052" s="1">
        <v>0.2</v>
      </c>
      <c r="E7052" s="1">
        <v>19349.0</v>
      </c>
      <c r="F7052" s="10">
        <f t="shared" si="1"/>
        <v>0.6666666667</v>
      </c>
      <c r="G7052" s="10">
        <f t="array" ref="G7052">index('Player ID'!C:C,match(E7052,'Player ID'!B:B,0))</f>
        <v>657571</v>
      </c>
    </row>
    <row r="7053">
      <c r="A7053" s="76">
        <v>45805.0</v>
      </c>
      <c r="B7053" s="1" t="s">
        <v>370</v>
      </c>
      <c r="C7053" s="1" t="s">
        <v>64</v>
      </c>
      <c r="D7053" s="1">
        <v>1.0</v>
      </c>
      <c r="E7053" s="1">
        <v>21924.0</v>
      </c>
      <c r="F7053" s="10">
        <f t="shared" si="1"/>
        <v>1</v>
      </c>
      <c r="G7053" s="10">
        <f t="array" ref="G7053">index('Player ID'!C:C,match(E7053,'Player ID'!B:B,0))</f>
        <v>666661</v>
      </c>
    </row>
    <row r="7054">
      <c r="A7054" s="76">
        <v>45805.0</v>
      </c>
      <c r="B7054" s="1" t="s">
        <v>88</v>
      </c>
      <c r="C7054" s="1" t="s">
        <v>60</v>
      </c>
      <c r="D7054" s="1">
        <v>6.2</v>
      </c>
      <c r="E7054" s="1">
        <v>33677.0</v>
      </c>
      <c r="F7054" s="10">
        <f t="shared" si="1"/>
        <v>6.666666667</v>
      </c>
      <c r="G7054" s="10">
        <f t="array" ref="G7054">index('Player ID'!C:C,match(E7054,'Player ID'!B:B,0))</f>
        <v>694973</v>
      </c>
    </row>
    <row r="7055">
      <c r="A7055" s="76">
        <v>45805.0</v>
      </c>
      <c r="B7055" s="1" t="s">
        <v>342</v>
      </c>
      <c r="C7055" s="1" t="s">
        <v>26</v>
      </c>
      <c r="D7055" s="1">
        <v>0.2</v>
      </c>
      <c r="E7055" s="1">
        <v>11861.0</v>
      </c>
      <c r="F7055" s="10">
        <f t="shared" si="1"/>
        <v>0.6666666667</v>
      </c>
      <c r="G7055" s="10">
        <f t="array" ref="G7055">index('Player ID'!C:C,match(E7055,'Player ID'!B:B,0))</f>
        <v>592094</v>
      </c>
    </row>
    <row r="7056">
      <c r="A7056" s="76">
        <v>45805.0</v>
      </c>
      <c r="B7056" s="1" t="s">
        <v>404</v>
      </c>
      <c r="C7056" s="1" t="s">
        <v>26</v>
      </c>
      <c r="D7056" s="1">
        <v>2.0</v>
      </c>
      <c r="E7056" s="1">
        <v>14295.0</v>
      </c>
      <c r="F7056" s="10">
        <f t="shared" si="1"/>
        <v>2</v>
      </c>
      <c r="G7056" s="10">
        <f t="array" ref="G7056">index('Player ID'!C:C,match(E7056,'Player ID'!B:B,0))</f>
        <v>593974</v>
      </c>
    </row>
    <row r="7057">
      <c r="A7057" s="76">
        <v>45805.0</v>
      </c>
      <c r="B7057" s="1" t="s">
        <v>661</v>
      </c>
      <c r="C7057" s="1" t="s">
        <v>36</v>
      </c>
      <c r="D7057" s="1">
        <v>1.0</v>
      </c>
      <c r="E7057" s="1">
        <v>16300.0</v>
      </c>
      <c r="F7057" s="10">
        <f t="shared" si="1"/>
        <v>1</v>
      </c>
      <c r="G7057" s="10">
        <f t="array" ref="G7057">index('Player ID'!C:C,match(E7057,'Player ID'!B:B,0))</f>
        <v>622786</v>
      </c>
    </row>
    <row r="7058">
      <c r="A7058" s="76">
        <v>45805.0</v>
      </c>
      <c r="B7058" s="1" t="s">
        <v>229</v>
      </c>
      <c r="C7058" s="1" t="s">
        <v>36</v>
      </c>
      <c r="D7058" s="1">
        <v>4.0</v>
      </c>
      <c r="E7058" s="1">
        <v>18684.0</v>
      </c>
      <c r="F7058" s="10">
        <f t="shared" si="1"/>
        <v>4</v>
      </c>
      <c r="G7058" s="10">
        <f t="array" ref="G7058">index('Player ID'!C:C,match(E7058,'Player ID'!B:B,0))</f>
        <v>645261</v>
      </c>
    </row>
    <row r="7059">
      <c r="A7059" s="76">
        <v>45805.0</v>
      </c>
      <c r="B7059" s="1" t="s">
        <v>271</v>
      </c>
      <c r="C7059" s="1" t="s">
        <v>26</v>
      </c>
      <c r="D7059" s="1">
        <v>4.2</v>
      </c>
      <c r="E7059" s="1">
        <v>19646.0</v>
      </c>
      <c r="F7059" s="10">
        <f t="shared" si="1"/>
        <v>4.666666667</v>
      </c>
      <c r="G7059" s="10">
        <f t="array" ref="G7059">index('Player ID'!C:C,match(E7059,'Player ID'!B:B,0))</f>
        <v>606996</v>
      </c>
    </row>
    <row r="7060">
      <c r="A7060" s="76">
        <v>45805.0</v>
      </c>
      <c r="B7060" s="1" t="s">
        <v>89</v>
      </c>
      <c r="C7060" s="1" t="s">
        <v>36</v>
      </c>
      <c r="D7060" s="1">
        <v>1.0</v>
      </c>
      <c r="E7060" s="1">
        <v>19742.0</v>
      </c>
      <c r="F7060" s="10">
        <f t="shared" si="1"/>
        <v>1</v>
      </c>
      <c r="G7060" s="10">
        <f t="array" ref="G7060">index('Player ID'!C:C,match(E7060,'Player ID'!B:B,0))</f>
        <v>669622</v>
      </c>
    </row>
    <row r="7061">
      <c r="A7061" s="76">
        <v>45805.0</v>
      </c>
      <c r="B7061" s="1" t="s">
        <v>262</v>
      </c>
      <c r="C7061" s="1" t="s">
        <v>36</v>
      </c>
      <c r="D7061" s="1">
        <v>1.0</v>
      </c>
      <c r="E7061" s="1">
        <v>20116.0</v>
      </c>
      <c r="F7061" s="10">
        <f t="shared" si="1"/>
        <v>1</v>
      </c>
      <c r="G7061" s="10">
        <f t="array" ref="G7061">index('Player ID'!C:C,match(E7061,'Player ID'!B:B,0))</f>
        <v>676534</v>
      </c>
    </row>
    <row r="7062">
      <c r="A7062" s="76">
        <v>45805.0</v>
      </c>
      <c r="B7062" s="1" t="s">
        <v>123</v>
      </c>
      <c r="C7062" s="1" t="s">
        <v>36</v>
      </c>
      <c r="D7062" s="1">
        <v>2.0</v>
      </c>
      <c r="E7062" s="1">
        <v>24094.0</v>
      </c>
      <c r="F7062" s="10">
        <f t="shared" si="1"/>
        <v>2</v>
      </c>
      <c r="G7062" s="10">
        <f t="array" ref="G7062">index('Player ID'!C:C,match(E7062,'Player ID'!B:B,0))</f>
        <v>678692</v>
      </c>
    </row>
    <row r="7063">
      <c r="A7063" s="76">
        <v>45805.0</v>
      </c>
      <c r="B7063" s="1" t="s">
        <v>498</v>
      </c>
      <c r="C7063" s="1" t="s">
        <v>26</v>
      </c>
      <c r="D7063" s="1">
        <v>1.0</v>
      </c>
      <c r="E7063" s="1">
        <v>31616.0</v>
      </c>
      <c r="F7063" s="10">
        <f t="shared" si="1"/>
        <v>1</v>
      </c>
      <c r="G7063" s="10" t="str">
        <f t="array" ref="G7063">index('Player ID'!C:C,match(E7063,'Player ID'!B:B,0))</f>
        <v>#N/A</v>
      </c>
    </row>
    <row r="7064">
      <c r="A7064" s="76">
        <v>45805.0</v>
      </c>
      <c r="B7064" s="1" t="s">
        <v>284</v>
      </c>
      <c r="C7064" s="1" t="s">
        <v>26</v>
      </c>
      <c r="D7064" s="1">
        <v>0.2</v>
      </c>
      <c r="E7064" s="1">
        <v>33826.0</v>
      </c>
      <c r="F7064" s="10">
        <f t="shared" si="1"/>
        <v>0.6666666667</v>
      </c>
      <c r="G7064" s="10">
        <f t="array" ref="G7064">index('Player ID'!C:C,match(E7064,'Player ID'!B:B,0))</f>
        <v>673513</v>
      </c>
    </row>
    <row r="7065">
      <c r="A7065" s="76">
        <v>45805.0</v>
      </c>
      <c r="B7065" s="1" t="s">
        <v>287</v>
      </c>
      <c r="C7065" s="1" t="s">
        <v>72</v>
      </c>
      <c r="D7065" s="1">
        <v>4.0</v>
      </c>
      <c r="E7065" s="1">
        <v>9803.0</v>
      </c>
      <c r="F7065" s="10">
        <f t="shared" si="1"/>
        <v>4</v>
      </c>
      <c r="G7065" s="10">
        <f t="array" ref="G7065">index('Player ID'!C:C,match(E7065,'Player ID'!B:B,0))</f>
        <v>571945</v>
      </c>
    </row>
    <row r="7066">
      <c r="A7066" s="76">
        <v>45805.0</v>
      </c>
      <c r="B7066" s="1" t="s">
        <v>48</v>
      </c>
      <c r="C7066" s="1" t="s">
        <v>68</v>
      </c>
      <c r="D7066" s="1">
        <v>1.0</v>
      </c>
      <c r="E7066" s="1">
        <v>12828.0</v>
      </c>
      <c r="F7066" s="10">
        <f t="shared" si="1"/>
        <v>1</v>
      </c>
      <c r="G7066" s="10" t="str">
        <f t="array" ref="G7066">index('Player ID'!C:C,match(E7066,'Player ID'!B:B,0))</f>
        <v>#N/A</v>
      </c>
    </row>
    <row r="7067">
      <c r="A7067" s="76">
        <v>45805.0</v>
      </c>
      <c r="B7067" s="1" t="s">
        <v>723</v>
      </c>
      <c r="C7067" s="1" t="s">
        <v>68</v>
      </c>
      <c r="D7067" s="1">
        <v>2.0</v>
      </c>
      <c r="E7067" s="1">
        <v>13528.0</v>
      </c>
      <c r="F7067" s="10">
        <f t="shared" si="1"/>
        <v>2</v>
      </c>
      <c r="G7067" s="10">
        <f t="array" ref="G7067">index('Player ID'!C:C,match(E7067,'Player ID'!B:B,0))</f>
        <v>621199</v>
      </c>
    </row>
    <row r="7068">
      <c r="A7068" s="76">
        <v>45805.0</v>
      </c>
      <c r="B7068" s="1" t="s">
        <v>190</v>
      </c>
      <c r="C7068" s="1" t="s">
        <v>72</v>
      </c>
      <c r="D7068" s="1">
        <v>1.0</v>
      </c>
      <c r="E7068" s="1">
        <v>18064.0</v>
      </c>
      <c r="F7068" s="10">
        <f t="shared" si="1"/>
        <v>1</v>
      </c>
      <c r="G7068" s="10">
        <f t="array" ref="G7068">index('Player ID'!C:C,match(E7068,'Player ID'!B:B,0))</f>
        <v>664208</v>
      </c>
    </row>
    <row r="7069">
      <c r="A7069" s="76">
        <v>45805.0</v>
      </c>
      <c r="B7069" s="1" t="s">
        <v>270</v>
      </c>
      <c r="C7069" s="1" t="s">
        <v>72</v>
      </c>
      <c r="D7069" s="1">
        <v>1.0</v>
      </c>
      <c r="E7069" s="1">
        <v>18138.0</v>
      </c>
      <c r="F7069" s="10">
        <f t="shared" si="1"/>
        <v>1</v>
      </c>
      <c r="G7069" s="10">
        <f t="array" ref="G7069">index('Player ID'!C:C,match(E7069,'Player ID'!B:B,0))</f>
        <v>664854</v>
      </c>
    </row>
    <row r="7070">
      <c r="A7070" s="76">
        <v>45805.0</v>
      </c>
      <c r="B7070" s="1" t="s">
        <v>639</v>
      </c>
      <c r="C7070" s="1" t="s">
        <v>68</v>
      </c>
      <c r="D7070" s="1">
        <v>1.1</v>
      </c>
      <c r="E7070" s="1">
        <v>19249.0</v>
      </c>
      <c r="F7070" s="10">
        <f t="shared" si="1"/>
        <v>1.333333333</v>
      </c>
      <c r="G7070" s="10">
        <f t="array" ref="G7070">index('Player ID'!C:C,match(E7070,'Player ID'!B:B,0))</f>
        <v>622554</v>
      </c>
    </row>
    <row r="7071">
      <c r="A7071" s="76">
        <v>45805.0</v>
      </c>
      <c r="B7071" s="1" t="s">
        <v>193</v>
      </c>
      <c r="C7071" s="1" t="s">
        <v>72</v>
      </c>
      <c r="D7071" s="1">
        <v>1.0</v>
      </c>
      <c r="E7071" s="1">
        <v>19574.0</v>
      </c>
      <c r="F7071" s="10">
        <f t="shared" si="1"/>
        <v>1</v>
      </c>
      <c r="G7071" s="10">
        <f t="array" ref="G7071">index('Player ID'!C:C,match(E7071,'Player ID'!B:B,0))</f>
        <v>668941</v>
      </c>
    </row>
    <row r="7072">
      <c r="A7072" s="76">
        <v>45805.0</v>
      </c>
      <c r="B7072" s="1" t="s">
        <v>273</v>
      </c>
      <c r="C7072" s="1" t="s">
        <v>72</v>
      </c>
      <c r="D7072" s="1">
        <v>1.0</v>
      </c>
      <c r="E7072" s="1">
        <v>22051.0</v>
      </c>
      <c r="F7072" s="10">
        <f t="shared" si="1"/>
        <v>1</v>
      </c>
      <c r="G7072" s="10">
        <f t="array" ref="G7072">index('Player ID'!C:C,match(E7072,'Player ID'!B:B,0))</f>
        <v>667463</v>
      </c>
    </row>
    <row r="7073">
      <c r="A7073" s="76">
        <v>45805.0</v>
      </c>
      <c r="B7073" s="1" t="s">
        <v>170</v>
      </c>
      <c r="C7073" s="1" t="s">
        <v>72</v>
      </c>
      <c r="D7073" s="1">
        <v>1.0</v>
      </c>
      <c r="E7073" s="1">
        <v>24763.0</v>
      </c>
      <c r="F7073" s="10">
        <f t="shared" si="1"/>
        <v>1</v>
      </c>
      <c r="G7073" s="10">
        <f t="array" ref="G7073">index('Player ID'!C:C,match(E7073,'Player ID'!B:B,0))</f>
        <v>681517</v>
      </c>
    </row>
    <row r="7074">
      <c r="A7074" s="76">
        <v>45805.0</v>
      </c>
      <c r="B7074" s="1" t="s">
        <v>347</v>
      </c>
      <c r="C7074" s="1" t="s">
        <v>68</v>
      </c>
      <c r="D7074" s="1">
        <v>4.2</v>
      </c>
      <c r="E7074" s="1">
        <v>30055.0</v>
      </c>
      <c r="F7074" s="10">
        <f t="shared" si="1"/>
        <v>4.666666667</v>
      </c>
      <c r="G7074" s="10">
        <f t="array" ref="G7074">index('Player ID'!C:C,match(E7074,'Player ID'!B:B,0))</f>
        <v>700249</v>
      </c>
    </row>
    <row r="7075">
      <c r="A7075" s="76">
        <v>45805.0</v>
      </c>
      <c r="B7075" s="1" t="s">
        <v>764</v>
      </c>
      <c r="C7075" s="1" t="s">
        <v>78</v>
      </c>
      <c r="D7075" s="1">
        <v>0.2</v>
      </c>
      <c r="E7075" s="1">
        <v>15684.0</v>
      </c>
      <c r="F7075" s="10">
        <f t="shared" si="1"/>
        <v>0.6666666667</v>
      </c>
      <c r="G7075" s="10">
        <f t="array" ref="G7075">index('Player ID'!C:C,match(E7075,'Player ID'!B:B,0))</f>
        <v>612434</v>
      </c>
    </row>
    <row r="7076">
      <c r="A7076" s="76">
        <v>45805.0</v>
      </c>
      <c r="B7076" s="1" t="s">
        <v>292</v>
      </c>
      <c r="C7076" s="1" t="s">
        <v>51</v>
      </c>
      <c r="D7076" s="1">
        <v>1.0</v>
      </c>
      <c r="E7076" s="1">
        <v>15947.0</v>
      </c>
      <c r="F7076" s="10">
        <f t="shared" si="1"/>
        <v>1</v>
      </c>
      <c r="G7076" s="10">
        <f t="array" ref="G7076">index('Player ID'!C:C,match(E7076,'Player ID'!B:B,0))</f>
        <v>592773</v>
      </c>
    </row>
    <row r="7077">
      <c r="A7077" s="76">
        <v>45805.0</v>
      </c>
      <c r="B7077" s="1" t="s">
        <v>186</v>
      </c>
      <c r="C7077" s="1" t="s">
        <v>51</v>
      </c>
      <c r="D7077" s="1">
        <v>5.0</v>
      </c>
      <c r="E7077" s="1">
        <v>18347.0</v>
      </c>
      <c r="F7077" s="10">
        <f t="shared" si="1"/>
        <v>5</v>
      </c>
      <c r="G7077" s="10">
        <f t="array" ref="G7077">index('Player ID'!C:C,match(E7077,'Player ID'!B:B,0))</f>
        <v>663399</v>
      </c>
    </row>
    <row r="7078">
      <c r="A7078" s="76">
        <v>45805.0</v>
      </c>
      <c r="B7078" s="1" t="s">
        <v>382</v>
      </c>
      <c r="C7078" s="1" t="s">
        <v>51</v>
      </c>
      <c r="D7078" s="1">
        <v>3.0</v>
      </c>
      <c r="E7078" s="1">
        <v>19867.0</v>
      </c>
      <c r="F7078" s="10">
        <f t="shared" si="1"/>
        <v>3</v>
      </c>
      <c r="G7078" s="10">
        <f t="array" ref="G7078">index('Player ID'!C:C,match(E7078,'Player ID'!B:B,0))</f>
        <v>656288</v>
      </c>
    </row>
    <row r="7079">
      <c r="A7079" s="76">
        <v>45805.0</v>
      </c>
      <c r="B7079" s="1" t="s">
        <v>387</v>
      </c>
      <c r="C7079" s="1" t="s">
        <v>78</v>
      </c>
      <c r="D7079" s="1">
        <v>0.1</v>
      </c>
      <c r="E7079" s="1">
        <v>19990.0</v>
      </c>
      <c r="F7079" s="10">
        <f t="shared" si="1"/>
        <v>0.3333333333</v>
      </c>
      <c r="G7079" s="10">
        <f t="array" ref="G7079">index('Player ID'!C:C,match(E7079,'Player ID'!B:B,0))</f>
        <v>669060</v>
      </c>
    </row>
    <row r="7080">
      <c r="A7080" s="76">
        <v>45805.0</v>
      </c>
      <c r="B7080" s="1" t="s">
        <v>367</v>
      </c>
      <c r="C7080" s="1" t="s">
        <v>78</v>
      </c>
      <c r="D7080" s="1">
        <v>1.1</v>
      </c>
      <c r="E7080" s="1">
        <v>27668.0</v>
      </c>
      <c r="F7080" s="10">
        <f t="shared" si="1"/>
        <v>1.333333333</v>
      </c>
      <c r="G7080" s="10">
        <f t="array" ref="G7080">index('Player ID'!C:C,match(E7080,'Player ID'!B:B,0))</f>
        <v>685126</v>
      </c>
    </row>
    <row r="7081">
      <c r="A7081" s="76">
        <v>45805.0</v>
      </c>
      <c r="B7081" s="1" t="s">
        <v>497</v>
      </c>
      <c r="C7081" s="1" t="s">
        <v>78</v>
      </c>
      <c r="D7081" s="1">
        <v>3.0</v>
      </c>
      <c r="E7081" s="1">
        <v>30105.0</v>
      </c>
      <c r="F7081" s="10">
        <f t="shared" si="1"/>
        <v>3</v>
      </c>
      <c r="G7081" s="10">
        <f t="array" ref="G7081">index('Player ID'!C:C,match(E7081,'Player ID'!B:B,0))</f>
        <v>678024</v>
      </c>
    </row>
    <row r="7082">
      <c r="A7082" s="76">
        <v>45805.0</v>
      </c>
      <c r="B7082" s="1" t="s">
        <v>470</v>
      </c>
      <c r="C7082" s="1" t="s">
        <v>78</v>
      </c>
      <c r="D7082" s="1">
        <v>3.2</v>
      </c>
      <c r="E7082" s="1">
        <v>31687.0</v>
      </c>
      <c r="F7082" s="10">
        <f t="shared" si="1"/>
        <v>3.666666667</v>
      </c>
      <c r="G7082" s="10">
        <f t="array" ref="G7082">index('Player ID'!C:C,match(E7082,'Player ID'!B:B,0))</f>
        <v>681343</v>
      </c>
    </row>
    <row r="7083">
      <c r="A7083" s="76">
        <v>45805.0</v>
      </c>
      <c r="B7083" s="1" t="s">
        <v>649</v>
      </c>
      <c r="C7083" s="1" t="s">
        <v>29</v>
      </c>
      <c r="D7083" s="1">
        <v>1.1</v>
      </c>
      <c r="E7083" s="1">
        <v>14542.0</v>
      </c>
      <c r="F7083" s="10">
        <f t="shared" si="1"/>
        <v>1.333333333</v>
      </c>
      <c r="G7083" s="10">
        <f t="array" ref="G7083">index('Player ID'!C:C,match(E7083,'Player ID'!B:B,0))</f>
        <v>608032</v>
      </c>
    </row>
    <row r="7084">
      <c r="A7084" s="76">
        <v>45805.0</v>
      </c>
      <c r="B7084" s="1" t="s">
        <v>475</v>
      </c>
      <c r="C7084" s="1" t="s">
        <v>66</v>
      </c>
      <c r="D7084" s="1">
        <v>1.0</v>
      </c>
      <c r="E7084" s="1">
        <v>14993.0</v>
      </c>
      <c r="F7084" s="10">
        <f t="shared" si="1"/>
        <v>1</v>
      </c>
      <c r="G7084" s="10">
        <f t="array" ref="G7084">index('Player ID'!C:C,match(E7084,'Player ID'!B:B,0))</f>
        <v>605130</v>
      </c>
    </row>
    <row r="7085">
      <c r="A7085" s="76">
        <v>45805.0</v>
      </c>
      <c r="B7085" s="1" t="s">
        <v>653</v>
      </c>
      <c r="C7085" s="1" t="s">
        <v>66</v>
      </c>
      <c r="D7085" s="1">
        <v>1.0</v>
      </c>
      <c r="E7085" s="1">
        <v>17871.0</v>
      </c>
      <c r="F7085" s="10">
        <f t="shared" si="1"/>
        <v>1</v>
      </c>
      <c r="G7085" s="10">
        <f t="array" ref="G7085">index('Player ID'!C:C,match(E7085,'Player ID'!B:B,0))</f>
        <v>664139</v>
      </c>
    </row>
    <row r="7086">
      <c r="A7086" s="76">
        <v>45805.0</v>
      </c>
      <c r="B7086" s="1" t="s">
        <v>144</v>
      </c>
      <c r="C7086" s="1" t="s">
        <v>29</v>
      </c>
      <c r="D7086" s="1">
        <v>0.2</v>
      </c>
      <c r="E7086" s="1">
        <v>20020.0</v>
      </c>
      <c r="F7086" s="10">
        <f t="shared" si="1"/>
        <v>0.6666666667</v>
      </c>
      <c r="G7086" s="10">
        <f t="array" ref="G7086">index('Player ID'!C:C,match(E7086,'Player ID'!B:B,0))</f>
        <v>670167</v>
      </c>
    </row>
    <row r="7087">
      <c r="A7087" s="76">
        <v>45805.0</v>
      </c>
      <c r="B7087" s="1" t="s">
        <v>73</v>
      </c>
      <c r="C7087" s="1" t="s">
        <v>66</v>
      </c>
      <c r="D7087" s="1">
        <v>5.0</v>
      </c>
      <c r="E7087" s="1">
        <v>22182.0</v>
      </c>
      <c r="F7087" s="10">
        <f t="shared" si="1"/>
        <v>5</v>
      </c>
      <c r="G7087" s="10">
        <f t="array" ref="G7087">index('Player ID'!C:C,match(E7087,'Player ID'!B:B,0))</f>
        <v>668881</v>
      </c>
    </row>
    <row r="7088">
      <c r="A7088" s="76">
        <v>45805.0</v>
      </c>
      <c r="B7088" s="1" t="s">
        <v>140</v>
      </c>
      <c r="C7088" s="1" t="s">
        <v>29</v>
      </c>
      <c r="D7088" s="1">
        <v>0.2</v>
      </c>
      <c r="E7088" s="1">
        <v>22717.0</v>
      </c>
      <c r="F7088" s="10">
        <f t="shared" si="1"/>
        <v>0.6666666667</v>
      </c>
      <c r="G7088" s="10">
        <f t="array" ref="G7088">index('Player ID'!C:C,match(E7088,'Player ID'!B:B,0))</f>
        <v>672582</v>
      </c>
    </row>
    <row r="7089">
      <c r="A7089" s="76">
        <v>45805.0</v>
      </c>
      <c r="B7089" s="1" t="s">
        <v>550</v>
      </c>
      <c r="C7089" s="1" t="s">
        <v>66</v>
      </c>
      <c r="D7089" s="1">
        <v>1.0</v>
      </c>
      <c r="E7089" s="1">
        <v>25620.0</v>
      </c>
      <c r="F7089" s="10">
        <f t="shared" si="1"/>
        <v>1</v>
      </c>
      <c r="G7089" s="10">
        <f t="array" ref="G7089">index('Player ID'!C:C,match(E7089,'Player ID'!B:B,0))</f>
        <v>682825</v>
      </c>
    </row>
    <row r="7090">
      <c r="A7090" s="76">
        <v>45805.0</v>
      </c>
      <c r="B7090" s="1" t="s">
        <v>161</v>
      </c>
      <c r="C7090" s="1" t="s">
        <v>29</v>
      </c>
      <c r="D7090" s="1">
        <v>6.1</v>
      </c>
      <c r="E7090" s="1">
        <v>30184.0</v>
      </c>
      <c r="F7090" s="10">
        <f t="shared" si="1"/>
        <v>6.333333333</v>
      </c>
      <c r="G7090" s="10">
        <f t="array" ref="G7090">index('Player ID'!C:C,match(E7090,'Player ID'!B:B,0))</f>
        <v>702070</v>
      </c>
    </row>
    <row r="7091">
      <c r="A7091" s="76">
        <v>45805.0</v>
      </c>
      <c r="B7091" s="1" t="s">
        <v>162</v>
      </c>
      <c r="C7091" s="1" t="s">
        <v>56</v>
      </c>
      <c r="D7091" s="1">
        <v>0.2</v>
      </c>
      <c r="E7091" s="1">
        <v>11752.0</v>
      </c>
      <c r="F7091" s="10">
        <f t="shared" si="1"/>
        <v>0.6666666667</v>
      </c>
      <c r="G7091" s="10">
        <f t="array" ref="G7091">index('Player ID'!C:C,match(E7091,'Player ID'!B:B,0))</f>
        <v>592426</v>
      </c>
    </row>
    <row r="7092">
      <c r="A7092" s="76">
        <v>45805.0</v>
      </c>
      <c r="B7092" s="1" t="s">
        <v>151</v>
      </c>
      <c r="C7092" s="1" t="s">
        <v>56</v>
      </c>
      <c r="D7092" s="1">
        <v>0.1</v>
      </c>
      <c r="E7092" s="1">
        <v>13346.0</v>
      </c>
      <c r="F7092" s="10">
        <f t="shared" si="1"/>
        <v>0.3333333333</v>
      </c>
      <c r="G7092" s="10">
        <f t="array" ref="G7092">index('Player ID'!C:C,match(E7092,'Player ID'!B:B,0))</f>
        <v>571948</v>
      </c>
    </row>
    <row r="7093">
      <c r="A7093" s="76">
        <v>45805.0</v>
      </c>
      <c r="B7093" s="1" t="s">
        <v>55</v>
      </c>
      <c r="C7093" s="1" t="s">
        <v>56</v>
      </c>
      <c r="D7093" s="1">
        <v>6.0</v>
      </c>
      <c r="E7093" s="1">
        <v>16358.0</v>
      </c>
      <c r="F7093" s="10">
        <f t="shared" si="1"/>
        <v>6</v>
      </c>
      <c r="G7093" s="10">
        <f t="array" ref="G7093">index('Player ID'!C:C,match(E7093,'Player ID'!B:B,0))</f>
        <v>641816</v>
      </c>
    </row>
    <row r="7094">
      <c r="A7094" s="76">
        <v>45805.0</v>
      </c>
      <c r="B7094" s="1" t="s">
        <v>311</v>
      </c>
      <c r="C7094" s="1" t="s">
        <v>40</v>
      </c>
      <c r="D7094" s="1">
        <v>1.0</v>
      </c>
      <c r="E7094" s="1">
        <v>17432.0</v>
      </c>
      <c r="F7094" s="10">
        <f t="shared" si="1"/>
        <v>1</v>
      </c>
      <c r="G7094" s="10">
        <f t="array" ref="G7094">index('Player ID'!C:C,match(E7094,'Player ID'!B:B,0))</f>
        <v>656546</v>
      </c>
    </row>
    <row r="7095">
      <c r="A7095" s="76">
        <v>45805.0</v>
      </c>
      <c r="B7095" s="1" t="s">
        <v>87</v>
      </c>
      <c r="C7095" s="1" t="s">
        <v>56</v>
      </c>
      <c r="D7095" s="1">
        <v>1.0</v>
      </c>
      <c r="E7095" s="1">
        <v>19274.0</v>
      </c>
      <c r="F7095" s="10">
        <f t="shared" si="1"/>
        <v>1</v>
      </c>
      <c r="G7095" s="10">
        <f t="array" ref="G7095">index('Player ID'!C:C,match(E7095,'Player ID'!B:B,0))</f>
        <v>657097</v>
      </c>
    </row>
    <row r="7096">
      <c r="A7096" s="76">
        <v>45805.0</v>
      </c>
      <c r="B7096" s="1" t="s">
        <v>332</v>
      </c>
      <c r="C7096" s="1" t="s">
        <v>40</v>
      </c>
      <c r="D7096" s="1">
        <v>3.1</v>
      </c>
      <c r="E7096" s="1">
        <v>19316.0</v>
      </c>
      <c r="F7096" s="10">
        <f t="shared" si="1"/>
        <v>3.333333333</v>
      </c>
      <c r="G7096" s="10">
        <f t="array" ref="G7096">index('Player ID'!C:C,match(E7096,'Player ID'!B:B,0))</f>
        <v>641778</v>
      </c>
    </row>
    <row r="7097">
      <c r="A7097" s="76">
        <v>45805.0</v>
      </c>
      <c r="B7097" s="1" t="s">
        <v>395</v>
      </c>
      <c r="C7097" s="1" t="s">
        <v>40</v>
      </c>
      <c r="D7097" s="1">
        <v>0.2</v>
      </c>
      <c r="E7097" s="1">
        <v>21574.0</v>
      </c>
      <c r="F7097" s="10">
        <f t="shared" si="1"/>
        <v>0.6666666667</v>
      </c>
      <c r="G7097" s="10">
        <f t="array" ref="G7097">index('Player ID'!C:C,match(E7097,'Player ID'!B:B,0))</f>
        <v>663893</v>
      </c>
    </row>
    <row r="7098">
      <c r="A7098" s="76">
        <v>45805.0</v>
      </c>
      <c r="B7098" s="1" t="s">
        <v>268</v>
      </c>
      <c r="C7098" s="1" t="s">
        <v>56</v>
      </c>
      <c r="D7098" s="1">
        <v>1.0</v>
      </c>
      <c r="E7098" s="1">
        <v>23363.0</v>
      </c>
      <c r="F7098" s="10">
        <f t="shared" si="1"/>
        <v>1</v>
      </c>
      <c r="G7098" s="10">
        <f t="array" ref="G7098">index('Player ID'!C:C,match(E7098,'Player ID'!B:B,0))</f>
        <v>676395</v>
      </c>
    </row>
    <row r="7099">
      <c r="A7099" s="76">
        <v>45805.0</v>
      </c>
      <c r="B7099" s="1" t="s">
        <v>315</v>
      </c>
      <c r="C7099" s="1" t="s">
        <v>40</v>
      </c>
      <c r="D7099" s="1">
        <v>1.1</v>
      </c>
      <c r="E7099" s="1">
        <v>24609.0</v>
      </c>
      <c r="F7099" s="10">
        <f t="shared" si="1"/>
        <v>1.333333333</v>
      </c>
      <c r="G7099" s="10">
        <f t="array" ref="G7099">index('Player ID'!C:C,match(E7099,'Player ID'!B:B,0))</f>
        <v>680755</v>
      </c>
    </row>
    <row r="7100">
      <c r="A7100" s="76">
        <v>45805.0</v>
      </c>
      <c r="B7100" s="1" t="s">
        <v>568</v>
      </c>
      <c r="C7100" s="1" t="s">
        <v>40</v>
      </c>
      <c r="D7100" s="1">
        <v>2.2</v>
      </c>
      <c r="E7100" s="1">
        <v>25501.0</v>
      </c>
      <c r="F7100" s="10">
        <f t="shared" si="1"/>
        <v>2.666666667</v>
      </c>
      <c r="G7100" s="10">
        <f t="array" ref="G7100">index('Player ID'!C:C,match(E7100,'Player ID'!B:B,0))</f>
        <v>687606</v>
      </c>
    </row>
    <row r="7101">
      <c r="A7101" s="76">
        <v>45805.0</v>
      </c>
      <c r="B7101" s="1" t="s">
        <v>629</v>
      </c>
      <c r="C7101" s="1" t="s">
        <v>34</v>
      </c>
      <c r="D7101" s="1">
        <v>1.0</v>
      </c>
      <c r="E7101" s="1">
        <v>5615.0</v>
      </c>
      <c r="F7101" s="10">
        <f t="shared" si="1"/>
        <v>1</v>
      </c>
      <c r="G7101" s="10">
        <f t="array" ref="G7101">index('Player ID'!C:C,match(E7101,'Player ID'!B:B,0))</f>
        <v>518489</v>
      </c>
    </row>
    <row r="7102">
      <c r="A7102" s="76">
        <v>45805.0</v>
      </c>
      <c r="B7102" s="1" t="s">
        <v>246</v>
      </c>
      <c r="C7102" s="1" t="s">
        <v>34</v>
      </c>
      <c r="D7102" s="1">
        <v>6.0</v>
      </c>
      <c r="E7102" s="1">
        <v>15440.0</v>
      </c>
      <c r="F7102" s="10">
        <f t="shared" si="1"/>
        <v>6</v>
      </c>
      <c r="G7102" s="10">
        <f t="array" ref="G7102">index('Player ID'!C:C,match(E7102,'Player ID'!B:B,0))</f>
        <v>571510</v>
      </c>
    </row>
    <row r="7103">
      <c r="A7103" s="76">
        <v>45805.0</v>
      </c>
      <c r="B7103" s="1" t="s">
        <v>297</v>
      </c>
      <c r="C7103" s="1" t="s">
        <v>34</v>
      </c>
      <c r="D7103" s="1">
        <v>1.0</v>
      </c>
      <c r="E7103" s="1">
        <v>15734.0</v>
      </c>
      <c r="F7103" s="10">
        <f t="shared" si="1"/>
        <v>1</v>
      </c>
      <c r="G7103" s="10">
        <f t="array" ref="G7103">index('Player ID'!C:C,match(E7103,'Player ID'!B:B,0))</f>
        <v>641745</v>
      </c>
    </row>
    <row r="7104">
      <c r="A7104" s="76">
        <v>45805.0</v>
      </c>
      <c r="B7104" s="1" t="s">
        <v>451</v>
      </c>
      <c r="C7104" s="1" t="s">
        <v>75</v>
      </c>
      <c r="D7104" s="1">
        <v>0.2</v>
      </c>
      <c r="E7104" s="1">
        <v>17556.0</v>
      </c>
      <c r="F7104" s="10">
        <f t="shared" si="1"/>
        <v>0.6666666667</v>
      </c>
      <c r="G7104" s="10">
        <f t="array" ref="G7104">index('Player ID'!C:C,match(E7104,'Player ID'!B:B,0))</f>
        <v>623474</v>
      </c>
    </row>
    <row r="7105">
      <c r="A7105" s="76">
        <v>45805.0</v>
      </c>
      <c r="B7105" s="1" t="s">
        <v>305</v>
      </c>
      <c r="C7105" s="1" t="s">
        <v>75</v>
      </c>
      <c r="D7105" s="1">
        <v>1.2</v>
      </c>
      <c r="E7105" s="1">
        <v>22200.0</v>
      </c>
      <c r="F7105" s="10">
        <f t="shared" si="1"/>
        <v>1.666666667</v>
      </c>
      <c r="G7105" s="10">
        <f t="array" ref="G7105">index('Player ID'!C:C,match(E7105,'Player ID'!B:B,0))</f>
        <v>669020</v>
      </c>
    </row>
    <row r="7106">
      <c r="A7106" s="76">
        <v>45805.0</v>
      </c>
      <c r="B7106" s="1" t="s">
        <v>365</v>
      </c>
      <c r="C7106" s="1" t="s">
        <v>75</v>
      </c>
      <c r="D7106" s="1">
        <v>1.0</v>
      </c>
      <c r="E7106" s="1">
        <v>24614.0</v>
      </c>
      <c r="F7106" s="10">
        <f t="shared" si="1"/>
        <v>1</v>
      </c>
      <c r="G7106" s="10">
        <f t="array" ref="G7106">index('Player ID'!C:C,match(E7106,'Player ID'!B:B,0))</f>
        <v>680767</v>
      </c>
    </row>
    <row r="7107">
      <c r="A7107" s="76">
        <v>45805.0</v>
      </c>
      <c r="B7107" s="1" t="s">
        <v>352</v>
      </c>
      <c r="C7107" s="1" t="s">
        <v>75</v>
      </c>
      <c r="D7107" s="1">
        <v>4.2</v>
      </c>
      <c r="E7107" s="1">
        <v>27669.0</v>
      </c>
      <c r="F7107" s="10">
        <f t="shared" si="1"/>
        <v>4.666666667</v>
      </c>
      <c r="G7107" s="10">
        <f t="array" ref="G7107">index('Player ID'!C:C,match(E7107,'Player ID'!B:B,0))</f>
        <v>685299</v>
      </c>
    </row>
    <row r="7108">
      <c r="A7108" s="76">
        <v>45805.0</v>
      </c>
      <c r="B7108" s="1" t="s">
        <v>167</v>
      </c>
      <c r="C7108" s="1" t="s">
        <v>34</v>
      </c>
      <c r="D7108" s="1">
        <v>1.0</v>
      </c>
      <c r="E7108" s="1">
        <v>27914.0</v>
      </c>
      <c r="F7108" s="10">
        <f t="shared" si="1"/>
        <v>1</v>
      </c>
      <c r="G7108" s="10">
        <f t="array" ref="G7108">index('Player ID'!C:C,match(E7108,'Player ID'!B:B,0))</f>
        <v>694037</v>
      </c>
    </row>
    <row r="7109">
      <c r="A7109" s="76">
        <v>45805.0</v>
      </c>
      <c r="B7109" s="1" t="s">
        <v>845</v>
      </c>
      <c r="C7109" s="1" t="s">
        <v>25</v>
      </c>
      <c r="D7109" s="1">
        <v>1.0</v>
      </c>
      <c r="E7109" s="1">
        <v>13594.0</v>
      </c>
      <c r="F7109" s="10">
        <f t="shared" si="1"/>
        <v>1</v>
      </c>
      <c r="G7109" s="10" t="str">
        <f t="array" ref="G7109">index('Player ID'!C:C,match(E7109,'Player ID'!B:B,0))</f>
        <v>#N/A</v>
      </c>
    </row>
    <row r="7110">
      <c r="A7110" s="76">
        <v>45805.0</v>
      </c>
      <c r="B7110" s="1" t="s">
        <v>467</v>
      </c>
      <c r="C7110" s="1" t="s">
        <v>58</v>
      </c>
      <c r="D7110" s="1">
        <v>1.0</v>
      </c>
      <c r="E7110" s="1">
        <v>15551.0</v>
      </c>
      <c r="F7110" s="10">
        <f t="shared" si="1"/>
        <v>1</v>
      </c>
      <c r="G7110" s="10">
        <f t="array" ref="G7110">index('Player ID'!C:C,match(E7110,'Player ID'!B:B,0))</f>
        <v>643410</v>
      </c>
    </row>
    <row r="7111">
      <c r="A7111" s="76">
        <v>45805.0</v>
      </c>
      <c r="B7111" s="1" t="s">
        <v>69</v>
      </c>
      <c r="C7111" s="1" t="s">
        <v>58</v>
      </c>
      <c r="D7111" s="1">
        <v>0.1</v>
      </c>
      <c r="E7111" s="1">
        <v>16814.0</v>
      </c>
      <c r="F7111" s="10">
        <f t="shared" si="1"/>
        <v>0.3333333333</v>
      </c>
      <c r="G7111" s="10">
        <f t="array" ref="G7111">index('Player ID'!C:C,match(E7111,'Player ID'!B:B,0))</f>
        <v>657612</v>
      </c>
    </row>
    <row r="7112">
      <c r="A7112" s="76">
        <v>45805.0</v>
      </c>
      <c r="B7112" s="1" t="s">
        <v>291</v>
      </c>
      <c r="C7112" s="1" t="s">
        <v>25</v>
      </c>
      <c r="D7112" s="1">
        <v>1.0</v>
      </c>
      <c r="E7112" s="1">
        <v>17968.0</v>
      </c>
      <c r="F7112" s="10">
        <f t="shared" si="1"/>
        <v>1</v>
      </c>
      <c r="G7112" s="10">
        <f t="array" ref="G7112">index('Player ID'!C:C,match(E7112,'Player ID'!B:B,0))</f>
        <v>656271</v>
      </c>
    </row>
    <row r="7113">
      <c r="A7113" s="76">
        <v>45805.0</v>
      </c>
      <c r="B7113" s="1" t="s">
        <v>520</v>
      </c>
      <c r="C7113" s="1" t="s">
        <v>58</v>
      </c>
      <c r="D7113" s="1">
        <v>1.2</v>
      </c>
      <c r="E7113" s="1">
        <v>19261.0</v>
      </c>
      <c r="F7113" s="10">
        <f t="shared" si="1"/>
        <v>1.666666667</v>
      </c>
      <c r="G7113" s="10">
        <f t="array" ref="G7113">index('Player ID'!C:C,match(E7113,'Player ID'!B:B,0))</f>
        <v>641656</v>
      </c>
    </row>
    <row r="7114">
      <c r="A7114" s="76">
        <v>45805.0</v>
      </c>
      <c r="B7114" s="1" t="s">
        <v>408</v>
      </c>
      <c r="C7114" s="1" t="s">
        <v>58</v>
      </c>
      <c r="D7114" s="1">
        <v>6.0</v>
      </c>
      <c r="E7114" s="1">
        <v>19899.0</v>
      </c>
      <c r="F7114" s="10">
        <f t="shared" si="1"/>
        <v>6</v>
      </c>
      <c r="G7114" s="10">
        <f t="array" ref="G7114">index('Player ID'!C:C,match(E7114,'Player ID'!B:B,0))</f>
        <v>657376</v>
      </c>
    </row>
    <row r="7115">
      <c r="A7115" s="76">
        <v>45805.0</v>
      </c>
      <c r="B7115" s="1" t="s">
        <v>232</v>
      </c>
      <c r="C7115" s="1" t="s">
        <v>25</v>
      </c>
      <c r="D7115" s="1">
        <v>5.0</v>
      </c>
      <c r="E7115" s="1">
        <v>20633.0</v>
      </c>
      <c r="F7115" s="10">
        <f t="shared" si="1"/>
        <v>5</v>
      </c>
      <c r="G7115" s="10">
        <f t="array" ref="G7115">index('Player ID'!C:C,match(E7115,'Player ID'!B:B,0))</f>
        <v>579328</v>
      </c>
    </row>
    <row r="7116">
      <c r="A7116" s="76">
        <v>45805.0</v>
      </c>
      <c r="B7116" s="1" t="s">
        <v>385</v>
      </c>
      <c r="C7116" s="1" t="s">
        <v>25</v>
      </c>
      <c r="D7116" s="1">
        <v>1.0</v>
      </c>
      <c r="E7116" s="1">
        <v>25420.0</v>
      </c>
      <c r="F7116" s="10">
        <f t="shared" si="1"/>
        <v>1</v>
      </c>
      <c r="G7116" s="10">
        <f t="array" ref="G7116">index('Player ID'!C:C,match(E7116,'Player ID'!B:B,0))</f>
        <v>666171</v>
      </c>
    </row>
    <row r="7117">
      <c r="A7117" s="76">
        <v>45805.0</v>
      </c>
      <c r="B7117" s="1" t="s">
        <v>24</v>
      </c>
      <c r="C7117" s="1" t="s">
        <v>25</v>
      </c>
      <c r="D7117" s="1">
        <v>1.0</v>
      </c>
      <c r="E7117" s="1">
        <v>27468.0</v>
      </c>
      <c r="F7117" s="10">
        <f t="shared" si="1"/>
        <v>1</v>
      </c>
      <c r="G7117" s="10">
        <f t="array" ref="G7117">index('Player ID'!C:C,match(E7117,'Player ID'!B:B,0))</f>
        <v>672282</v>
      </c>
    </row>
    <row r="7118">
      <c r="A7118" s="76">
        <v>45805.0</v>
      </c>
      <c r="B7118" s="1" t="s">
        <v>148</v>
      </c>
      <c r="C7118" s="1" t="s">
        <v>80</v>
      </c>
      <c r="D7118" s="1">
        <v>6.0</v>
      </c>
      <c r="E7118" s="1">
        <v>16977.0</v>
      </c>
      <c r="F7118" s="10">
        <f t="shared" si="1"/>
        <v>6</v>
      </c>
      <c r="G7118" s="10">
        <f t="array" ref="G7118">index('Player ID'!C:C,match(E7118,'Player ID'!B:B,0))</f>
        <v>592866</v>
      </c>
    </row>
    <row r="7119">
      <c r="A7119" s="76">
        <v>45805.0</v>
      </c>
      <c r="B7119" s="1" t="s">
        <v>846</v>
      </c>
      <c r="C7119" s="1" t="s">
        <v>37</v>
      </c>
      <c r="D7119" s="1">
        <v>1.0</v>
      </c>
      <c r="E7119" s="1">
        <v>21549.0</v>
      </c>
      <c r="F7119" s="10">
        <f t="shared" si="1"/>
        <v>1</v>
      </c>
      <c r="G7119" s="10" t="str">
        <f t="array" ref="G7119">index('Player ID'!C:C,match(E7119,'Player ID'!B:B,0))</f>
        <v>#N/A</v>
      </c>
    </row>
    <row r="7120">
      <c r="A7120" s="76">
        <v>45805.0</v>
      </c>
      <c r="B7120" s="1" t="s">
        <v>86</v>
      </c>
      <c r="C7120" s="1" t="s">
        <v>80</v>
      </c>
      <c r="D7120" s="1">
        <v>1.0</v>
      </c>
      <c r="E7120" s="1">
        <v>24017.0</v>
      </c>
      <c r="F7120" s="10">
        <f t="shared" si="1"/>
        <v>1</v>
      </c>
      <c r="G7120" s="10">
        <f t="array" ref="G7120">index('Player ID'!C:C,match(E7120,'Player ID'!B:B,0))</f>
        <v>678606</v>
      </c>
    </row>
    <row r="7121">
      <c r="A7121" s="76">
        <v>45805.0</v>
      </c>
      <c r="B7121" s="1" t="s">
        <v>164</v>
      </c>
      <c r="C7121" s="1" t="s">
        <v>37</v>
      </c>
      <c r="D7121" s="1">
        <v>5.0</v>
      </c>
      <c r="E7121" s="1">
        <v>25436.0</v>
      </c>
      <c r="F7121" s="10">
        <f t="shared" si="1"/>
        <v>5</v>
      </c>
      <c r="G7121" s="10">
        <f t="array" ref="G7121">index('Player ID'!C:C,match(E7121,'Player ID'!B:B,0))</f>
        <v>669923</v>
      </c>
    </row>
    <row r="7122">
      <c r="A7122" s="76">
        <v>45805.0</v>
      </c>
      <c r="B7122" s="1" t="s">
        <v>847</v>
      </c>
      <c r="C7122" s="1" t="s">
        <v>37</v>
      </c>
      <c r="D7122" s="1">
        <v>3.0</v>
      </c>
      <c r="E7122" s="1">
        <v>26117.0</v>
      </c>
      <c r="F7122" s="10">
        <f t="shared" si="1"/>
        <v>3</v>
      </c>
      <c r="G7122" s="10" t="str">
        <f t="array" ref="G7122">index('Player ID'!C:C,match(E7122,'Player ID'!B:B,0))</f>
        <v>#N/A</v>
      </c>
    </row>
    <row r="7123">
      <c r="A7123" s="76">
        <v>45805.0</v>
      </c>
      <c r="B7123" s="1" t="s">
        <v>818</v>
      </c>
      <c r="C7123" s="1" t="s">
        <v>80</v>
      </c>
      <c r="D7123" s="1">
        <v>1.0</v>
      </c>
      <c r="E7123" s="1">
        <v>27783.0</v>
      </c>
      <c r="F7123" s="10">
        <f t="shared" si="1"/>
        <v>1</v>
      </c>
      <c r="G7123" s="10">
        <f t="array" ref="G7123">index('Player ID'!C:C,match(E7123,'Player ID'!B:B,0))</f>
        <v>694350</v>
      </c>
    </row>
    <row r="7124">
      <c r="A7124" s="76">
        <v>45805.0</v>
      </c>
      <c r="B7124" s="1" t="s">
        <v>437</v>
      </c>
      <c r="C7124" s="1" t="s">
        <v>80</v>
      </c>
      <c r="D7124" s="1">
        <v>1.0</v>
      </c>
      <c r="E7124" s="1">
        <v>31972.0</v>
      </c>
      <c r="F7124" s="10">
        <f t="shared" si="1"/>
        <v>1</v>
      </c>
      <c r="G7124" s="10">
        <f t="array" ref="G7124">index('Player ID'!C:C,match(E7124,'Player ID'!B:B,0))</f>
        <v>695418</v>
      </c>
    </row>
    <row r="7125">
      <c r="A7125" s="76">
        <v>45806.0</v>
      </c>
      <c r="B7125" s="1" t="s">
        <v>178</v>
      </c>
      <c r="C7125" s="1" t="s">
        <v>46</v>
      </c>
      <c r="D7125" s="1">
        <v>0.2</v>
      </c>
      <c r="E7125" s="1">
        <v>13435.0</v>
      </c>
      <c r="F7125" s="10">
        <f t="shared" si="1"/>
        <v>0.6666666667</v>
      </c>
      <c r="G7125" s="10">
        <f t="array" ref="G7125">index('Player ID'!C:C,match(E7125,'Player ID'!B:B,0))</f>
        <v>572955</v>
      </c>
    </row>
    <row r="7126">
      <c r="A7126" s="76">
        <v>45806.0</v>
      </c>
      <c r="B7126" s="1" t="s">
        <v>182</v>
      </c>
      <c r="C7126" s="1" t="s">
        <v>45</v>
      </c>
      <c r="D7126" s="1">
        <v>0.2</v>
      </c>
      <c r="E7126" s="1">
        <v>13799.0</v>
      </c>
      <c r="F7126" s="10">
        <f t="shared" si="1"/>
        <v>0.6666666667</v>
      </c>
      <c r="G7126" s="10">
        <f t="array" ref="G7126">index('Player ID'!C:C,match(E7126,'Player ID'!B:B,0))</f>
        <v>621381</v>
      </c>
    </row>
    <row r="7127">
      <c r="A7127" s="76">
        <v>45806.0</v>
      </c>
      <c r="B7127" s="1" t="s">
        <v>699</v>
      </c>
      <c r="C7127" s="1" t="s">
        <v>45</v>
      </c>
      <c r="D7127" s="1">
        <v>0.1</v>
      </c>
      <c r="E7127" s="1">
        <v>14552.0</v>
      </c>
      <c r="F7127" s="10">
        <f t="shared" si="1"/>
        <v>0.3333333333</v>
      </c>
      <c r="G7127" s="10">
        <f t="array" ref="G7127">index('Player ID'!C:C,match(E7127,'Player ID'!B:B,0))</f>
        <v>614179</v>
      </c>
    </row>
    <row r="7128">
      <c r="A7128" s="76">
        <v>45806.0</v>
      </c>
      <c r="B7128" s="1" t="s">
        <v>208</v>
      </c>
      <c r="C7128" s="1" t="s">
        <v>45</v>
      </c>
      <c r="D7128" s="1">
        <v>1.0</v>
      </c>
      <c r="E7128" s="1">
        <v>16122.0</v>
      </c>
      <c r="F7128" s="10">
        <f t="shared" si="1"/>
        <v>1</v>
      </c>
      <c r="G7128" s="10">
        <f t="array" ref="G7128">index('Player ID'!C:C,match(E7128,'Player ID'!B:B,0))</f>
        <v>605447</v>
      </c>
    </row>
    <row r="7129">
      <c r="A7129" s="76">
        <v>45806.0</v>
      </c>
      <c r="B7129" s="1" t="s">
        <v>319</v>
      </c>
      <c r="C7129" s="1" t="s">
        <v>46</v>
      </c>
      <c r="D7129" s="1">
        <v>1.1</v>
      </c>
      <c r="E7129" s="1">
        <v>16258.0</v>
      </c>
      <c r="F7129" s="10">
        <f t="shared" si="1"/>
        <v>1.333333333</v>
      </c>
      <c r="G7129" s="10">
        <f t="array" ref="G7129">index('Player ID'!C:C,match(E7129,'Player ID'!B:B,0))</f>
        <v>607481</v>
      </c>
    </row>
    <row r="7130">
      <c r="A7130" s="76">
        <v>45806.0</v>
      </c>
      <c r="B7130" s="1" t="s">
        <v>233</v>
      </c>
      <c r="C7130" s="1" t="s">
        <v>46</v>
      </c>
      <c r="D7130" s="1">
        <v>2.1</v>
      </c>
      <c r="E7130" s="1">
        <v>16427.0</v>
      </c>
      <c r="F7130" s="10">
        <f t="shared" si="1"/>
        <v>2.333333333</v>
      </c>
      <c r="G7130" s="10">
        <f t="array" ref="G7130">index('Player ID'!C:C,match(E7130,'Player ID'!B:B,0))</f>
        <v>656240</v>
      </c>
    </row>
    <row r="7131">
      <c r="A7131" s="76">
        <v>45806.0</v>
      </c>
      <c r="B7131" s="1" t="s">
        <v>688</v>
      </c>
      <c r="C7131" s="1" t="s">
        <v>46</v>
      </c>
      <c r="D7131" s="1">
        <v>0.1</v>
      </c>
      <c r="E7131" s="1">
        <v>20271.0</v>
      </c>
      <c r="F7131" s="10">
        <f t="shared" si="1"/>
        <v>0.3333333333</v>
      </c>
      <c r="G7131" s="10">
        <f t="array" ref="G7131">index('Player ID'!C:C,match(E7131,'Player ID'!B:B,0))</f>
        <v>678226</v>
      </c>
    </row>
    <row r="7132">
      <c r="A7132" s="76">
        <v>45806.0</v>
      </c>
      <c r="B7132" s="1" t="s">
        <v>747</v>
      </c>
      <c r="C7132" s="1" t="s">
        <v>45</v>
      </c>
      <c r="D7132" s="1">
        <v>5.2</v>
      </c>
      <c r="E7132" s="1">
        <v>20778.0</v>
      </c>
      <c r="F7132" s="10">
        <f t="shared" si="1"/>
        <v>5.666666667</v>
      </c>
      <c r="G7132" s="10">
        <f t="array" ref="G7132">index('Player ID'!C:C,match(E7132,'Player ID'!B:B,0))</f>
        <v>650911</v>
      </c>
    </row>
    <row r="7133">
      <c r="A7133" s="76">
        <v>45806.0</v>
      </c>
      <c r="B7133" s="1" t="s">
        <v>244</v>
      </c>
      <c r="C7133" s="1" t="s">
        <v>46</v>
      </c>
      <c r="D7133" s="1">
        <v>0.2</v>
      </c>
      <c r="E7133" s="1">
        <v>29928.0</v>
      </c>
      <c r="F7133" s="10">
        <f t="shared" si="1"/>
        <v>0.6666666667</v>
      </c>
      <c r="G7133" s="10" t="str">
        <f t="array" ref="G7133">index('Player ID'!C:C,match(E7133,'Player ID'!B:B,0))</f>
        <v>#N/A</v>
      </c>
    </row>
    <row r="7134">
      <c r="A7134" s="76">
        <v>45806.0</v>
      </c>
      <c r="B7134" s="1" t="s">
        <v>516</v>
      </c>
      <c r="C7134" s="1" t="s">
        <v>46</v>
      </c>
      <c r="D7134" s="1">
        <v>2.2</v>
      </c>
      <c r="E7134" s="1">
        <v>29960.0</v>
      </c>
      <c r="F7134" s="10">
        <f t="shared" si="1"/>
        <v>2.666666667</v>
      </c>
      <c r="G7134" s="10">
        <f t="array" ref="G7134">index('Player ID'!C:C,match(E7134,'Player ID'!B:B,0))</f>
        <v>700363</v>
      </c>
    </row>
    <row r="7135">
      <c r="A7135" s="76">
        <v>45806.0</v>
      </c>
      <c r="B7135" s="1" t="s">
        <v>165</v>
      </c>
      <c r="C7135" s="1" t="s">
        <v>45</v>
      </c>
      <c r="D7135" s="1">
        <v>1.1</v>
      </c>
      <c r="E7135" s="1">
        <v>31776.0</v>
      </c>
      <c r="F7135" s="10">
        <f t="shared" si="1"/>
        <v>1.333333333</v>
      </c>
      <c r="G7135" s="10">
        <f t="array" ref="G7135">index('Player ID'!C:C,match(E7135,'Player ID'!B:B,0))</f>
        <v>689147</v>
      </c>
    </row>
    <row r="7136">
      <c r="A7136" s="76">
        <v>45806.0</v>
      </c>
      <c r="B7136" s="1" t="s">
        <v>79</v>
      </c>
      <c r="C7136" s="1" t="s">
        <v>45</v>
      </c>
      <c r="D7136" s="1">
        <v>5.1</v>
      </c>
      <c r="E7136" s="1">
        <v>10310.0</v>
      </c>
      <c r="F7136" s="10">
        <f t="shared" si="1"/>
        <v>5.333333333</v>
      </c>
      <c r="G7136" s="10">
        <f t="array" ref="G7136">index('Player ID'!C:C,match(E7136,'Player ID'!B:B,0))</f>
        <v>554430</v>
      </c>
    </row>
    <row r="7137">
      <c r="A7137" s="76">
        <v>45806.0</v>
      </c>
      <c r="B7137" s="1" t="s">
        <v>156</v>
      </c>
      <c r="C7137" s="1" t="s">
        <v>46</v>
      </c>
      <c r="D7137" s="1">
        <v>6.0</v>
      </c>
      <c r="E7137" s="1">
        <v>10603.0</v>
      </c>
      <c r="F7137" s="10">
        <f t="shared" si="1"/>
        <v>6</v>
      </c>
      <c r="G7137" s="10">
        <f t="array" ref="G7137">index('Player ID'!C:C,match(E7137,'Player ID'!B:B,0))</f>
        <v>519242</v>
      </c>
    </row>
    <row r="7138">
      <c r="A7138" s="76">
        <v>45806.0</v>
      </c>
      <c r="B7138" s="1" t="s">
        <v>326</v>
      </c>
      <c r="C7138" s="1" t="s">
        <v>46</v>
      </c>
      <c r="D7138" s="1">
        <v>1.0</v>
      </c>
      <c r="E7138" s="1">
        <v>12760.0</v>
      </c>
      <c r="F7138" s="10">
        <f t="shared" si="1"/>
        <v>1</v>
      </c>
      <c r="G7138" s="10">
        <f t="array" ref="G7138">index('Player ID'!C:C,match(E7138,'Player ID'!B:B,0))</f>
        <v>606160</v>
      </c>
    </row>
    <row r="7139">
      <c r="A7139" s="76">
        <v>45806.0</v>
      </c>
      <c r="B7139" s="1" t="s">
        <v>360</v>
      </c>
      <c r="C7139" s="1" t="s">
        <v>45</v>
      </c>
      <c r="D7139" s="1">
        <v>1.0</v>
      </c>
      <c r="E7139" s="1">
        <v>12972.0</v>
      </c>
      <c r="F7139" s="10">
        <f t="shared" si="1"/>
        <v>1</v>
      </c>
      <c r="G7139" s="10">
        <f t="array" ref="G7139">index('Player ID'!C:C,match(E7139,'Player ID'!B:B,0))</f>
        <v>605452</v>
      </c>
    </row>
    <row r="7140">
      <c r="A7140" s="76">
        <v>45806.0</v>
      </c>
      <c r="B7140" s="1" t="s">
        <v>184</v>
      </c>
      <c r="C7140" s="1" t="s">
        <v>46</v>
      </c>
      <c r="D7140" s="1">
        <v>1.0</v>
      </c>
      <c r="E7140" s="1">
        <v>17130.0</v>
      </c>
      <c r="F7140" s="10">
        <f t="shared" si="1"/>
        <v>1</v>
      </c>
      <c r="G7140" s="10">
        <f t="array" ref="G7140">index('Player ID'!C:C,match(E7140,'Player ID'!B:B,0))</f>
        <v>628452</v>
      </c>
    </row>
    <row r="7141">
      <c r="A7141" s="76">
        <v>45806.0</v>
      </c>
      <c r="B7141" s="1" t="s">
        <v>752</v>
      </c>
      <c r="C7141" s="1" t="s">
        <v>46</v>
      </c>
      <c r="D7141" s="1">
        <v>1.0</v>
      </c>
      <c r="E7141" s="1">
        <v>20827.0</v>
      </c>
      <c r="F7141" s="10">
        <f t="shared" si="1"/>
        <v>1</v>
      </c>
      <c r="G7141" s="10">
        <f t="array" ref="G7141">index('Player ID'!C:C,match(E7141,'Player ID'!B:B,0))</f>
        <v>656848</v>
      </c>
    </row>
    <row r="7142">
      <c r="A7142" s="76">
        <v>45806.0</v>
      </c>
      <c r="B7142" s="1" t="s">
        <v>701</v>
      </c>
      <c r="C7142" s="1" t="s">
        <v>45</v>
      </c>
      <c r="D7142" s="1">
        <v>0.2</v>
      </c>
      <c r="E7142" s="1">
        <v>22713.0</v>
      </c>
      <c r="F7142" s="10">
        <f t="shared" si="1"/>
        <v>0.6666666667</v>
      </c>
      <c r="G7142" s="10">
        <f t="array" ref="G7142">index('Player ID'!C:C,match(E7142,'Player ID'!B:B,0))</f>
        <v>672578</v>
      </c>
    </row>
    <row r="7143">
      <c r="A7143" s="76">
        <v>45806.0</v>
      </c>
      <c r="B7143" s="1" t="s">
        <v>848</v>
      </c>
      <c r="C7143" s="1" t="s">
        <v>45</v>
      </c>
      <c r="D7143" s="1">
        <v>2.0</v>
      </c>
      <c r="E7143" s="1">
        <v>23592.0</v>
      </c>
      <c r="F7143" s="10">
        <f t="shared" si="1"/>
        <v>2</v>
      </c>
      <c r="G7143" s="10" t="str">
        <f t="array" ref="G7143">index('Player ID'!C:C,match(E7143,'Player ID'!B:B,0))</f>
        <v>#N/A</v>
      </c>
    </row>
    <row r="7144">
      <c r="A7144" s="76">
        <v>45806.0</v>
      </c>
      <c r="B7144" s="1" t="s">
        <v>822</v>
      </c>
      <c r="C7144" s="1" t="s">
        <v>40</v>
      </c>
      <c r="D7144" s="1">
        <v>2.0</v>
      </c>
      <c r="E7144" s="1">
        <v>11589.0</v>
      </c>
      <c r="F7144" s="10">
        <f t="shared" si="1"/>
        <v>2</v>
      </c>
      <c r="G7144" s="10">
        <f t="array" ref="G7144">index('Player ID'!C:C,match(E7144,'Player ID'!B:B,0))</f>
        <v>570632</v>
      </c>
    </row>
    <row r="7145">
      <c r="A7145" s="76">
        <v>45806.0</v>
      </c>
      <c r="B7145" s="1" t="s">
        <v>638</v>
      </c>
      <c r="C7145" s="1" t="s">
        <v>40</v>
      </c>
      <c r="D7145" s="1">
        <v>6.0</v>
      </c>
      <c r="E7145" s="1">
        <v>14168.0</v>
      </c>
      <c r="F7145" s="10">
        <f t="shared" si="1"/>
        <v>6</v>
      </c>
      <c r="G7145" s="10">
        <f t="array" ref="G7145">index('Player ID'!C:C,match(E7145,'Player ID'!B:B,0))</f>
        <v>621244</v>
      </c>
    </row>
    <row r="7146">
      <c r="A7146" s="76">
        <v>45806.0</v>
      </c>
      <c r="B7146" s="1" t="s">
        <v>415</v>
      </c>
      <c r="C7146" s="1" t="s">
        <v>52</v>
      </c>
      <c r="D7146" s="1">
        <v>3.1</v>
      </c>
      <c r="E7146" s="1">
        <v>16943.0</v>
      </c>
      <c r="F7146" s="10">
        <f t="shared" si="1"/>
        <v>3.333333333</v>
      </c>
      <c r="G7146" s="10">
        <f t="array" ref="G7146">index('Player ID'!C:C,match(E7146,'Player ID'!B:B,0))</f>
        <v>656794</v>
      </c>
    </row>
    <row r="7147">
      <c r="A7147" s="76">
        <v>45806.0</v>
      </c>
      <c r="B7147" s="1" t="s">
        <v>227</v>
      </c>
      <c r="C7147" s="1" t="s">
        <v>52</v>
      </c>
      <c r="D7147" s="1">
        <v>1.0</v>
      </c>
      <c r="E7147" s="1">
        <v>21520.0</v>
      </c>
      <c r="F7147" s="10">
        <f t="shared" si="1"/>
        <v>1</v>
      </c>
      <c r="G7147" s="10">
        <f t="array" ref="G7147">index('Player ID'!C:C,match(E7147,'Player ID'!B:B,0))</f>
        <v>663687</v>
      </c>
    </row>
    <row r="7148">
      <c r="A7148" s="76">
        <v>45806.0</v>
      </c>
      <c r="B7148" s="1" t="s">
        <v>849</v>
      </c>
      <c r="C7148" s="1" t="s">
        <v>52</v>
      </c>
      <c r="D7148" s="1">
        <v>1.0</v>
      </c>
      <c r="E7148" s="1">
        <v>24641.0</v>
      </c>
      <c r="F7148" s="10">
        <f t="shared" si="1"/>
        <v>1</v>
      </c>
      <c r="G7148" s="10" t="str">
        <f t="array" ref="G7148">index('Player ID'!C:C,match(E7148,'Player ID'!B:B,0))</f>
        <v>#N/A</v>
      </c>
    </row>
    <row r="7149">
      <c r="A7149" s="76">
        <v>45806.0</v>
      </c>
      <c r="B7149" s="1" t="s">
        <v>389</v>
      </c>
      <c r="C7149" s="1" t="s">
        <v>52</v>
      </c>
      <c r="D7149" s="1">
        <v>1.2</v>
      </c>
      <c r="E7149" s="1">
        <v>25098.0</v>
      </c>
      <c r="F7149" s="10">
        <f t="shared" si="1"/>
        <v>1.666666667</v>
      </c>
      <c r="G7149" s="10">
        <f t="array" ref="G7149">index('Player ID'!C:C,match(E7149,'Player ID'!B:B,0))</f>
        <v>682052</v>
      </c>
    </row>
    <row r="7150">
      <c r="A7150" s="76">
        <v>45806.0</v>
      </c>
      <c r="B7150" s="1" t="s">
        <v>793</v>
      </c>
      <c r="C7150" s="1" t="s">
        <v>52</v>
      </c>
      <c r="D7150" s="1">
        <v>1.0</v>
      </c>
      <c r="E7150" s="1">
        <v>26034.0</v>
      </c>
      <c r="F7150" s="10">
        <f t="shared" si="1"/>
        <v>1</v>
      </c>
      <c r="G7150" s="10">
        <f t="array" ref="G7150">index('Player ID'!C:C,match(E7150,'Player ID'!B:B,0))</f>
        <v>687424</v>
      </c>
    </row>
    <row r="7151">
      <c r="A7151" s="76">
        <v>45806.0</v>
      </c>
      <c r="B7151" s="1" t="s">
        <v>142</v>
      </c>
      <c r="C7151" s="1" t="s">
        <v>40</v>
      </c>
      <c r="D7151" s="1">
        <v>1.0</v>
      </c>
      <c r="E7151" s="1">
        <v>31553.0</v>
      </c>
      <c r="F7151" s="10">
        <f t="shared" si="1"/>
        <v>1</v>
      </c>
      <c r="G7151" s="10">
        <f t="array" ref="G7151">index('Player ID'!C:C,match(E7151,'Player ID'!B:B,0))</f>
        <v>689254</v>
      </c>
    </row>
    <row r="7152">
      <c r="A7152" s="76">
        <v>45806.0</v>
      </c>
      <c r="B7152" s="1" t="s">
        <v>38</v>
      </c>
      <c r="C7152" s="1" t="s">
        <v>39</v>
      </c>
      <c r="D7152" s="1">
        <v>1.0</v>
      </c>
      <c r="E7152" s="1">
        <v>13580.0</v>
      </c>
      <c r="F7152" s="10">
        <f t="shared" si="1"/>
        <v>1</v>
      </c>
      <c r="G7152" s="10">
        <f t="array" ref="G7152">index('Player ID'!C:C,match(E7152,'Player ID'!B:B,0))</f>
        <v>595345</v>
      </c>
    </row>
    <row r="7153">
      <c r="A7153" s="76">
        <v>45806.0</v>
      </c>
      <c r="B7153" s="1" t="s">
        <v>784</v>
      </c>
      <c r="C7153" s="1" t="s">
        <v>54</v>
      </c>
      <c r="D7153" s="1">
        <v>1.0</v>
      </c>
      <c r="E7153" s="1">
        <v>15256.0</v>
      </c>
      <c r="F7153" s="10">
        <f t="shared" si="1"/>
        <v>1</v>
      </c>
      <c r="G7153" s="10">
        <f t="array" ref="G7153">index('Player ID'!C:C,match(E7153,'Player ID'!B:B,0))</f>
        <v>642121</v>
      </c>
    </row>
    <row r="7154">
      <c r="A7154" s="76">
        <v>45806.0</v>
      </c>
      <c r="B7154" s="1" t="s">
        <v>736</v>
      </c>
      <c r="C7154" s="1" t="s">
        <v>39</v>
      </c>
      <c r="D7154" s="1">
        <v>0.2</v>
      </c>
      <c r="E7154" s="1">
        <v>19586.0</v>
      </c>
      <c r="F7154" s="10">
        <f t="shared" si="1"/>
        <v>0.6666666667</v>
      </c>
      <c r="G7154" s="10">
        <f t="array" ref="G7154">index('Player ID'!C:C,match(E7154,'Player ID'!B:B,0))</f>
        <v>666215</v>
      </c>
    </row>
    <row r="7155">
      <c r="A7155" s="76">
        <v>45806.0</v>
      </c>
      <c r="B7155" s="1" t="s">
        <v>359</v>
      </c>
      <c r="C7155" s="1" t="s">
        <v>39</v>
      </c>
      <c r="D7155" s="1">
        <v>1.0</v>
      </c>
      <c r="E7155" s="1">
        <v>20061.0</v>
      </c>
      <c r="F7155" s="10">
        <f t="shared" si="1"/>
        <v>1</v>
      </c>
      <c r="G7155" s="10">
        <f t="array" ref="G7155">index('Player ID'!C:C,match(E7155,'Player ID'!B:B,0))</f>
        <v>672391</v>
      </c>
    </row>
    <row r="7156">
      <c r="A7156" s="76">
        <v>45806.0</v>
      </c>
      <c r="B7156" s="1" t="s">
        <v>400</v>
      </c>
      <c r="C7156" s="1" t="s">
        <v>54</v>
      </c>
      <c r="D7156" s="1">
        <v>0.1</v>
      </c>
      <c r="E7156" s="1">
        <v>20539.0</v>
      </c>
      <c r="F7156" s="10">
        <f t="shared" si="1"/>
        <v>0.3333333333</v>
      </c>
      <c r="G7156" s="10">
        <f t="array" ref="G7156">index('Player ID'!C:C,match(E7156,'Player ID'!B:B,0))</f>
        <v>670955</v>
      </c>
    </row>
    <row r="7157">
      <c r="A7157" s="76">
        <v>45806.0</v>
      </c>
      <c r="B7157" s="1" t="s">
        <v>102</v>
      </c>
      <c r="C7157" s="1" t="s">
        <v>39</v>
      </c>
      <c r="D7157" s="1">
        <v>1.1</v>
      </c>
      <c r="E7157" s="1">
        <v>21345.0</v>
      </c>
      <c r="F7157" s="10">
        <f t="shared" si="1"/>
        <v>1.333333333</v>
      </c>
      <c r="G7157" s="10">
        <f t="array" ref="G7157">index('Player ID'!C:C,match(E7157,'Player ID'!B:B,0))</f>
        <v>656986</v>
      </c>
    </row>
    <row r="7158">
      <c r="A7158" s="76">
        <v>45806.0</v>
      </c>
      <c r="B7158" s="1" t="s">
        <v>850</v>
      </c>
      <c r="C7158" s="1" t="s">
        <v>39</v>
      </c>
      <c r="D7158" s="1">
        <v>1.0</v>
      </c>
      <c r="E7158" s="1">
        <v>21587.0</v>
      </c>
      <c r="F7158" s="10">
        <f t="shared" si="1"/>
        <v>1</v>
      </c>
      <c r="G7158" s="10" t="str">
        <f t="array" ref="G7158">index('Player ID'!C:C,match(E7158,'Player ID'!B:B,0))</f>
        <v>#N/A</v>
      </c>
    </row>
    <row r="7159">
      <c r="A7159" s="76">
        <v>45806.0</v>
      </c>
      <c r="B7159" s="1" t="s">
        <v>242</v>
      </c>
      <c r="C7159" s="1" t="s">
        <v>54</v>
      </c>
      <c r="D7159" s="1">
        <v>5.2</v>
      </c>
      <c r="E7159" s="1">
        <v>22264.0</v>
      </c>
      <c r="F7159" s="10">
        <f t="shared" si="1"/>
        <v>5.666666667</v>
      </c>
      <c r="G7159" s="10">
        <f t="array" ref="G7159">index('Player ID'!C:C,match(E7159,'Player ID'!B:B,0))</f>
        <v>669358</v>
      </c>
    </row>
    <row r="7160">
      <c r="A7160" s="76">
        <v>45806.0</v>
      </c>
      <c r="B7160" s="1" t="s">
        <v>76</v>
      </c>
      <c r="C7160" s="1" t="s">
        <v>39</v>
      </c>
      <c r="D7160" s="1">
        <v>0.1</v>
      </c>
      <c r="E7160" s="1">
        <v>25890.0</v>
      </c>
      <c r="F7160" s="10">
        <f t="shared" si="1"/>
        <v>0.3333333333</v>
      </c>
      <c r="G7160" s="10">
        <f t="array" ref="G7160">index('Player ID'!C:C,match(E7160,'Player ID'!B:B,0))</f>
        <v>687911</v>
      </c>
    </row>
    <row r="7161">
      <c r="A7161" s="76">
        <v>45806.0</v>
      </c>
      <c r="B7161" s="1" t="s">
        <v>228</v>
      </c>
      <c r="C7161" s="1" t="s">
        <v>39</v>
      </c>
      <c r="D7161" s="1">
        <v>3.2</v>
      </c>
      <c r="E7161" s="1">
        <v>26440.0</v>
      </c>
      <c r="F7161" s="10">
        <f t="shared" si="1"/>
        <v>3.666666667</v>
      </c>
      <c r="G7161" s="10">
        <f t="array" ref="G7161">index('Player ID'!C:C,match(E7161,'Player ID'!B:B,0))</f>
        <v>687473</v>
      </c>
    </row>
    <row r="7162">
      <c r="A7162" s="76">
        <v>45806.0</v>
      </c>
      <c r="B7162" s="1" t="s">
        <v>257</v>
      </c>
      <c r="C7162" s="1" t="s">
        <v>54</v>
      </c>
      <c r="D7162" s="1">
        <v>2.0</v>
      </c>
      <c r="E7162" s="1">
        <v>27626.0</v>
      </c>
      <c r="F7162" s="10">
        <f t="shared" si="1"/>
        <v>2</v>
      </c>
      <c r="G7162" s="10">
        <f t="array" ref="G7162">index('Player ID'!C:C,match(E7162,'Player ID'!B:B,0))</f>
        <v>679358</v>
      </c>
    </row>
    <row r="7163">
      <c r="A7163" s="76">
        <v>45806.0</v>
      </c>
      <c r="B7163" s="1" t="s">
        <v>719</v>
      </c>
      <c r="C7163" s="1" t="s">
        <v>80</v>
      </c>
      <c r="D7163" s="1">
        <v>0.2</v>
      </c>
      <c r="E7163" s="1">
        <v>14527.0</v>
      </c>
      <c r="F7163" s="10">
        <f t="shared" si="1"/>
        <v>0.6666666667</v>
      </c>
      <c r="G7163" s="10">
        <f t="array" ref="G7163">index('Player ID'!C:C,match(E7163,'Player ID'!B:B,0))</f>
        <v>605347</v>
      </c>
    </row>
    <row r="7164">
      <c r="A7164" s="76">
        <v>45806.0</v>
      </c>
      <c r="B7164" s="1" t="s">
        <v>139</v>
      </c>
      <c r="C7164" s="1" t="s">
        <v>80</v>
      </c>
      <c r="D7164" s="1">
        <v>1.0</v>
      </c>
      <c r="E7164" s="1">
        <v>15009.0</v>
      </c>
      <c r="F7164" s="10">
        <f t="shared" si="1"/>
        <v>1</v>
      </c>
      <c r="G7164" s="10">
        <f t="array" ref="G7164">index('Player ID'!C:C,match(E7164,'Player ID'!B:B,0))</f>
        <v>640448</v>
      </c>
    </row>
    <row r="7165">
      <c r="A7165" s="76">
        <v>45806.0</v>
      </c>
      <c r="B7165" s="1" t="s">
        <v>53</v>
      </c>
      <c r="C7165" s="1" t="s">
        <v>37</v>
      </c>
      <c r="D7165" s="1">
        <v>0.2</v>
      </c>
      <c r="E7165" s="1">
        <v>17170.0</v>
      </c>
      <c r="F7165" s="10">
        <f t="shared" si="1"/>
        <v>0.6666666667</v>
      </c>
      <c r="G7165" s="10">
        <f t="array" ref="G7165">index('Player ID'!C:C,match(E7165,'Player ID'!B:B,0))</f>
        <v>642100</v>
      </c>
    </row>
    <row r="7166">
      <c r="A7166" s="76">
        <v>45806.0</v>
      </c>
      <c r="B7166" s="1" t="s">
        <v>670</v>
      </c>
      <c r="C7166" s="1" t="s">
        <v>37</v>
      </c>
      <c r="D7166" s="1">
        <v>1.0</v>
      </c>
      <c r="E7166" s="1">
        <v>20373.0</v>
      </c>
      <c r="F7166" s="10">
        <f t="shared" si="1"/>
        <v>1</v>
      </c>
      <c r="G7166" s="10">
        <f t="array" ref="G7166">index('Player ID'!C:C,match(E7166,'Player ID'!B:B,0))</f>
        <v>662253</v>
      </c>
    </row>
    <row r="7167">
      <c r="A7167" s="76">
        <v>45806.0</v>
      </c>
      <c r="B7167" s="1" t="s">
        <v>157</v>
      </c>
      <c r="C7167" s="1" t="s">
        <v>37</v>
      </c>
      <c r="D7167" s="1">
        <v>0.2</v>
      </c>
      <c r="E7167" s="1">
        <v>20997.0</v>
      </c>
      <c r="F7167" s="10">
        <f t="shared" si="1"/>
        <v>0.6666666667</v>
      </c>
      <c r="G7167" s="10">
        <f t="array" ref="G7167">index('Player ID'!C:C,match(E7167,'Player ID'!B:B,0))</f>
        <v>660825</v>
      </c>
    </row>
    <row r="7168">
      <c r="A7168" s="76">
        <v>45806.0</v>
      </c>
      <c r="B7168" s="1" t="s">
        <v>354</v>
      </c>
      <c r="C7168" s="1" t="s">
        <v>80</v>
      </c>
      <c r="D7168" s="1">
        <v>6.0</v>
      </c>
      <c r="E7168" s="1">
        <v>22201.0</v>
      </c>
      <c r="F7168" s="10">
        <f t="shared" si="1"/>
        <v>6</v>
      </c>
      <c r="G7168" s="10">
        <f t="array" ref="G7168">index('Player ID'!C:C,match(E7168,'Player ID'!B:B,0))</f>
        <v>669022</v>
      </c>
    </row>
    <row r="7169">
      <c r="A7169" s="76">
        <v>45806.0</v>
      </c>
      <c r="B7169" s="1" t="s">
        <v>101</v>
      </c>
      <c r="C7169" s="1" t="s">
        <v>37</v>
      </c>
      <c r="D7169" s="1">
        <v>1.0</v>
      </c>
      <c r="E7169" s="1">
        <v>22915.0</v>
      </c>
      <c r="F7169" s="10">
        <f t="shared" si="1"/>
        <v>1</v>
      </c>
      <c r="G7169" s="10">
        <f t="array" ref="G7169">index('Player ID'!C:C,match(E7169,'Player ID'!B:B,0))</f>
        <v>672841</v>
      </c>
    </row>
    <row r="7170">
      <c r="A7170" s="76">
        <v>45806.0</v>
      </c>
      <c r="B7170" s="1" t="s">
        <v>683</v>
      </c>
      <c r="C7170" s="1" t="s">
        <v>37</v>
      </c>
      <c r="D7170" s="1">
        <v>0.1</v>
      </c>
      <c r="E7170" s="1">
        <v>23307.0</v>
      </c>
      <c r="F7170" s="10">
        <f t="shared" si="1"/>
        <v>0.3333333333</v>
      </c>
      <c r="G7170" s="10">
        <f t="array" ref="G7170">index('Player ID'!C:C,match(E7170,'Player ID'!B:B,0))</f>
        <v>676092</v>
      </c>
    </row>
    <row r="7171">
      <c r="A7171" s="76">
        <v>45806.0</v>
      </c>
      <c r="B7171" s="1" t="s">
        <v>86</v>
      </c>
      <c r="C7171" s="1" t="s">
        <v>80</v>
      </c>
      <c r="D7171" s="1">
        <v>1.2</v>
      </c>
      <c r="E7171" s="1">
        <v>24017.0</v>
      </c>
      <c r="F7171" s="10">
        <f t="shared" si="1"/>
        <v>1.666666667</v>
      </c>
      <c r="G7171" s="10">
        <f t="array" ref="G7171">index('Player ID'!C:C,match(E7171,'Player ID'!B:B,0))</f>
        <v>678606</v>
      </c>
    </row>
    <row r="7172">
      <c r="A7172" s="76">
        <v>45806.0</v>
      </c>
      <c r="B7172" s="1" t="s">
        <v>254</v>
      </c>
      <c r="C7172" s="1" t="s">
        <v>37</v>
      </c>
      <c r="D7172" s="1">
        <v>1.0</v>
      </c>
      <c r="E7172" s="1">
        <v>25756.0</v>
      </c>
      <c r="F7172" s="10">
        <f t="shared" si="1"/>
        <v>1</v>
      </c>
      <c r="G7172" s="10">
        <f t="array" ref="G7172">index('Player ID'!C:C,match(E7172,'Player ID'!B:B,0))</f>
        <v>666374</v>
      </c>
    </row>
    <row r="7173">
      <c r="A7173" s="76">
        <v>45806.0</v>
      </c>
      <c r="B7173" s="1" t="s">
        <v>509</v>
      </c>
      <c r="C7173" s="1" t="s">
        <v>37</v>
      </c>
      <c r="D7173" s="1">
        <v>5.1</v>
      </c>
      <c r="E7173" s="1">
        <v>27470.0</v>
      </c>
      <c r="F7173" s="10">
        <f t="shared" si="1"/>
        <v>5.333333333</v>
      </c>
      <c r="G7173" s="10">
        <f t="array" ref="G7173">index('Player ID'!C:C,match(E7173,'Player ID'!B:B,0))</f>
        <v>676106</v>
      </c>
    </row>
    <row r="7174">
      <c r="A7174" s="76">
        <v>45806.0</v>
      </c>
      <c r="B7174" s="1" t="s">
        <v>507</v>
      </c>
      <c r="C7174" s="1" t="s">
        <v>80</v>
      </c>
      <c r="D7174" s="1">
        <v>0.2</v>
      </c>
      <c r="E7174" s="1">
        <v>27570.0</v>
      </c>
      <c r="F7174" s="10">
        <f t="shared" si="1"/>
        <v>0.6666666667</v>
      </c>
      <c r="G7174" s="10">
        <f t="array" ref="G7174">index('Player ID'!C:C,match(E7174,'Player ID'!B:B,0))</f>
        <v>669371</v>
      </c>
    </row>
    <row r="7175">
      <c r="A7175" s="76">
        <v>45807.0</v>
      </c>
      <c r="B7175" s="1" t="s">
        <v>313</v>
      </c>
      <c r="C7175" s="1" t="s">
        <v>34</v>
      </c>
      <c r="D7175" s="1">
        <v>5.2</v>
      </c>
      <c r="E7175" s="1">
        <v>12317.0</v>
      </c>
      <c r="F7175" s="10">
        <f t="shared" si="1"/>
        <v>5.666666667</v>
      </c>
      <c r="G7175" s="10">
        <f t="array" ref="G7175">index('Player ID'!C:C,match(E7175,'Player ID'!B:B,0))</f>
        <v>607067</v>
      </c>
    </row>
    <row r="7176">
      <c r="A7176" s="76">
        <v>45807.0</v>
      </c>
      <c r="B7176" s="1" t="s">
        <v>462</v>
      </c>
      <c r="C7176" s="1" t="s">
        <v>34</v>
      </c>
      <c r="D7176" s="1">
        <v>2.0</v>
      </c>
      <c r="E7176" s="1">
        <v>13896.0</v>
      </c>
      <c r="F7176" s="10">
        <f t="shared" si="1"/>
        <v>2</v>
      </c>
      <c r="G7176" s="10">
        <f t="array" ref="G7176">index('Player ID'!C:C,match(E7176,'Player ID'!B:B,0))</f>
        <v>623167</v>
      </c>
    </row>
    <row r="7177">
      <c r="A7177" s="76">
        <v>45807.0</v>
      </c>
      <c r="B7177" s="1" t="s">
        <v>651</v>
      </c>
      <c r="C7177" s="1" t="s">
        <v>66</v>
      </c>
      <c r="D7177" s="1">
        <v>0.2</v>
      </c>
      <c r="E7177" s="1">
        <v>14771.0</v>
      </c>
      <c r="F7177" s="10">
        <f t="shared" si="1"/>
        <v>0.6666666667</v>
      </c>
      <c r="G7177" s="10">
        <f t="array" ref="G7177">index('Player ID'!C:C,match(E7177,'Player ID'!B:B,0))</f>
        <v>641941</v>
      </c>
    </row>
    <row r="7178">
      <c r="A7178" s="76">
        <v>45807.0</v>
      </c>
      <c r="B7178" s="1" t="s">
        <v>825</v>
      </c>
      <c r="C7178" s="1" t="s">
        <v>34</v>
      </c>
      <c r="D7178" s="1">
        <v>1.1</v>
      </c>
      <c r="E7178" s="1">
        <v>17490.0</v>
      </c>
      <c r="F7178" s="10">
        <f t="shared" si="1"/>
        <v>1.333333333</v>
      </c>
      <c r="G7178" s="10">
        <f t="array" ref="G7178">index('Player ID'!C:C,match(E7178,'Player ID'!B:B,0))</f>
        <v>650893</v>
      </c>
    </row>
    <row r="7179">
      <c r="A7179" s="76">
        <v>45807.0</v>
      </c>
      <c r="B7179" s="1" t="s">
        <v>345</v>
      </c>
      <c r="C7179" s="1" t="s">
        <v>66</v>
      </c>
      <c r="D7179" s="1">
        <v>0.1</v>
      </c>
      <c r="E7179" s="1">
        <v>19926.0</v>
      </c>
      <c r="F7179" s="10">
        <f t="shared" si="1"/>
        <v>0.3333333333</v>
      </c>
      <c r="G7179" s="10">
        <f t="array" ref="G7179">index('Player ID'!C:C,match(E7179,'Player ID'!B:B,0))</f>
        <v>663574</v>
      </c>
    </row>
    <row r="7180">
      <c r="A7180" s="76">
        <v>45807.0</v>
      </c>
      <c r="B7180" s="1" t="s">
        <v>211</v>
      </c>
      <c r="C7180" s="1" t="s">
        <v>66</v>
      </c>
      <c r="D7180" s="1">
        <v>1.0</v>
      </c>
      <c r="E7180" s="1">
        <v>27552.0</v>
      </c>
      <c r="F7180" s="10">
        <f t="shared" si="1"/>
        <v>1</v>
      </c>
      <c r="G7180" s="10">
        <f t="array" ref="G7180">index('Player ID'!C:C,match(E7180,'Player ID'!B:B,0))</f>
        <v>668933</v>
      </c>
    </row>
    <row r="7181">
      <c r="A7181" s="76">
        <v>45807.0</v>
      </c>
      <c r="B7181" s="1" t="s">
        <v>169</v>
      </c>
      <c r="C7181" s="1" t="s">
        <v>66</v>
      </c>
      <c r="D7181" s="1">
        <v>7.0</v>
      </c>
      <c r="E7181" s="1">
        <v>29911.0</v>
      </c>
      <c r="F7181" s="10">
        <f t="shared" si="1"/>
        <v>7</v>
      </c>
      <c r="G7181" s="10">
        <f t="array" ref="G7181">index('Player ID'!C:C,match(E7181,'Player ID'!B:B,0))</f>
        <v>671096</v>
      </c>
    </row>
    <row r="7182">
      <c r="A7182" s="76">
        <v>45807.0</v>
      </c>
      <c r="B7182" s="1" t="s">
        <v>453</v>
      </c>
      <c r="C7182" s="1" t="s">
        <v>45</v>
      </c>
      <c r="D7182" s="1">
        <v>4.0</v>
      </c>
      <c r="E7182" s="1">
        <v>11836.0</v>
      </c>
      <c r="F7182" s="10">
        <f t="shared" si="1"/>
        <v>4</v>
      </c>
      <c r="G7182" s="10">
        <f t="array" ref="G7182">index('Player ID'!C:C,match(E7182,'Player ID'!B:B,0))</f>
        <v>592836</v>
      </c>
    </row>
    <row r="7183">
      <c r="A7183" s="76">
        <v>45807.0</v>
      </c>
      <c r="B7183" s="1" t="s">
        <v>138</v>
      </c>
      <c r="C7183" s="1" t="s">
        <v>45</v>
      </c>
      <c r="D7183" s="1">
        <v>1.0</v>
      </c>
      <c r="E7183" s="1">
        <v>16990.0</v>
      </c>
      <c r="F7183" s="10">
        <f t="shared" si="1"/>
        <v>1</v>
      </c>
      <c r="G7183" s="10">
        <f t="array" ref="G7183">index('Player ID'!C:C,match(E7183,'Player ID'!B:B,0))</f>
        <v>621383</v>
      </c>
    </row>
    <row r="7184">
      <c r="A7184" s="76">
        <v>45807.0</v>
      </c>
      <c r="B7184" s="1" t="s">
        <v>265</v>
      </c>
      <c r="C7184" s="1" t="s">
        <v>14</v>
      </c>
      <c r="D7184" s="1">
        <v>3.0</v>
      </c>
      <c r="E7184" s="1">
        <v>22207.0</v>
      </c>
      <c r="F7184" s="10">
        <f t="shared" si="1"/>
        <v>3</v>
      </c>
      <c r="G7184" s="10" t="str">
        <f t="array" ref="G7184">index('Player ID'!C:C,match(E7184,'Player ID'!B:B,0))</f>
        <v>#N/A</v>
      </c>
    </row>
    <row r="7185">
      <c r="A7185" s="76">
        <v>45807.0</v>
      </c>
      <c r="B7185" s="1" t="s">
        <v>701</v>
      </c>
      <c r="C7185" s="1" t="s">
        <v>45</v>
      </c>
      <c r="D7185" s="1">
        <v>1.2</v>
      </c>
      <c r="E7185" s="1">
        <v>22713.0</v>
      </c>
      <c r="F7185" s="10">
        <f t="shared" si="1"/>
        <v>1.666666667</v>
      </c>
      <c r="G7185" s="10">
        <f t="array" ref="G7185">index('Player ID'!C:C,match(E7185,'Player ID'!B:B,0))</f>
        <v>672578</v>
      </c>
    </row>
    <row r="7186">
      <c r="A7186" s="76">
        <v>45807.0</v>
      </c>
      <c r="B7186" s="1" t="s">
        <v>258</v>
      </c>
      <c r="C7186" s="1" t="s">
        <v>45</v>
      </c>
      <c r="D7186" s="1">
        <v>2.1</v>
      </c>
      <c r="E7186" s="1">
        <v>23426.0</v>
      </c>
      <c r="F7186" s="10">
        <f t="shared" si="1"/>
        <v>2.333333333</v>
      </c>
      <c r="G7186" s="10" t="str">
        <f t="array" ref="G7186">index('Player ID'!C:C,match(E7186,'Player ID'!B:B,0))</f>
        <v>#N/A</v>
      </c>
    </row>
    <row r="7187">
      <c r="A7187" s="76">
        <v>45807.0</v>
      </c>
      <c r="B7187" s="1" t="s">
        <v>450</v>
      </c>
      <c r="C7187" s="1" t="s">
        <v>14</v>
      </c>
      <c r="D7187" s="1">
        <v>6.0</v>
      </c>
      <c r="E7187" s="1">
        <v>25977.0</v>
      </c>
      <c r="F7187" s="10">
        <f t="shared" si="1"/>
        <v>6</v>
      </c>
      <c r="G7187" s="10">
        <f t="array" ref="G7187">index('Player ID'!C:C,match(E7187,'Player ID'!B:B,0))</f>
        <v>682990</v>
      </c>
    </row>
    <row r="7188">
      <c r="A7188" s="76">
        <v>45807.0</v>
      </c>
      <c r="B7188" s="1" t="s">
        <v>216</v>
      </c>
      <c r="C7188" s="1" t="s">
        <v>68</v>
      </c>
      <c r="D7188" s="1">
        <v>7.0</v>
      </c>
      <c r="E7188" s="1">
        <v>13774.0</v>
      </c>
      <c r="F7188" s="10">
        <f t="shared" si="1"/>
        <v>7</v>
      </c>
      <c r="G7188" s="10">
        <f t="array" ref="G7188">index('Player ID'!C:C,match(E7188,'Player ID'!B:B,0))</f>
        <v>621107</v>
      </c>
    </row>
    <row r="7189">
      <c r="A7189" s="76">
        <v>45807.0</v>
      </c>
      <c r="B7189" s="1" t="s">
        <v>851</v>
      </c>
      <c r="C7189" s="1" t="s">
        <v>78</v>
      </c>
      <c r="D7189" s="1">
        <v>1.0</v>
      </c>
      <c r="E7189" s="1">
        <v>16507.0</v>
      </c>
      <c r="F7189" s="10">
        <f t="shared" si="1"/>
        <v>1</v>
      </c>
      <c r="G7189" s="10" t="str">
        <f t="array" ref="G7189">index('Player ID'!C:C,match(E7189,'Player ID'!B:B,0))</f>
        <v>#N/A</v>
      </c>
    </row>
    <row r="7190">
      <c r="A7190" s="76">
        <v>45807.0</v>
      </c>
      <c r="B7190" s="1" t="s">
        <v>240</v>
      </c>
      <c r="C7190" s="1" t="s">
        <v>68</v>
      </c>
      <c r="D7190" s="1">
        <v>1.0</v>
      </c>
      <c r="E7190" s="1">
        <v>19804.0</v>
      </c>
      <c r="F7190" s="10">
        <f t="shared" si="1"/>
        <v>1</v>
      </c>
      <c r="G7190" s="10">
        <f t="array" ref="G7190">index('Player ID'!C:C,match(E7190,'Player ID'!B:B,0))</f>
        <v>641329</v>
      </c>
    </row>
    <row r="7191">
      <c r="A7191" s="76">
        <v>45807.0</v>
      </c>
      <c r="B7191" s="1" t="s">
        <v>698</v>
      </c>
      <c r="C7191" s="1" t="s">
        <v>68</v>
      </c>
      <c r="D7191" s="1">
        <v>1.0</v>
      </c>
      <c r="E7191" s="1">
        <v>20666.0</v>
      </c>
      <c r="F7191" s="10">
        <f t="shared" si="1"/>
        <v>1</v>
      </c>
      <c r="G7191" s="10">
        <f t="array" ref="G7191">index('Player ID'!C:C,match(E7191,'Player ID'!B:B,0))</f>
        <v>642585</v>
      </c>
    </row>
    <row r="7192">
      <c r="A7192" s="76">
        <v>45807.0</v>
      </c>
      <c r="B7192" s="1" t="s">
        <v>706</v>
      </c>
      <c r="C7192" s="1" t="s">
        <v>78</v>
      </c>
      <c r="D7192" s="1">
        <v>1.0</v>
      </c>
      <c r="E7192" s="1">
        <v>27472.0</v>
      </c>
      <c r="F7192" s="10">
        <f t="shared" si="1"/>
        <v>1</v>
      </c>
      <c r="G7192" s="10">
        <f t="array" ref="G7192">index('Player ID'!C:C,match(E7192,'Player ID'!B:B,0))</f>
        <v>694363</v>
      </c>
    </row>
    <row r="7193">
      <c r="A7193" s="76">
        <v>45807.0</v>
      </c>
      <c r="B7193" s="1" t="s">
        <v>356</v>
      </c>
      <c r="C7193" s="1" t="s">
        <v>78</v>
      </c>
      <c r="D7193" s="1">
        <v>6.0</v>
      </c>
      <c r="E7193" s="1">
        <v>29878.0</v>
      </c>
      <c r="F7193" s="10">
        <f t="shared" si="1"/>
        <v>6</v>
      </c>
      <c r="G7193" s="10">
        <f t="array" ref="G7193">index('Player ID'!C:C,match(E7193,'Player ID'!B:B,0))</f>
        <v>680732</v>
      </c>
    </row>
    <row r="7194">
      <c r="A7194" s="76">
        <v>45807.0</v>
      </c>
      <c r="B7194" s="1" t="s">
        <v>456</v>
      </c>
      <c r="C7194" s="1" t="s">
        <v>40</v>
      </c>
      <c r="D7194" s="1">
        <v>5.0</v>
      </c>
      <c r="E7194" s="1">
        <v>12304.0</v>
      </c>
      <c r="F7194" s="10">
        <f t="shared" si="1"/>
        <v>5</v>
      </c>
      <c r="G7194" s="10">
        <f t="array" ref="G7194">index('Player ID'!C:C,match(E7194,'Player ID'!B:B,0))</f>
        <v>605135</v>
      </c>
    </row>
    <row r="7195">
      <c r="A7195" s="76">
        <v>45807.0</v>
      </c>
      <c r="B7195" s="1" t="s">
        <v>174</v>
      </c>
      <c r="C7195" s="1" t="s">
        <v>40</v>
      </c>
      <c r="D7195" s="1">
        <v>1.0</v>
      </c>
      <c r="E7195" s="1">
        <v>15552.0</v>
      </c>
      <c r="F7195" s="10">
        <f t="shared" si="1"/>
        <v>1</v>
      </c>
      <c r="G7195" s="10">
        <f t="array" ref="G7195">index('Player ID'!C:C,match(E7195,'Player ID'!B:B,0))</f>
        <v>643338</v>
      </c>
    </row>
    <row r="7196">
      <c r="A7196" s="76">
        <v>45807.0</v>
      </c>
      <c r="B7196" s="1" t="s">
        <v>336</v>
      </c>
      <c r="C7196" s="1" t="s">
        <v>52</v>
      </c>
      <c r="D7196" s="1">
        <v>2.0</v>
      </c>
      <c r="E7196" s="1">
        <v>17677.0</v>
      </c>
      <c r="F7196" s="10">
        <f t="shared" si="1"/>
        <v>2</v>
      </c>
      <c r="G7196" s="10">
        <f t="array" ref="G7196">index('Player ID'!C:C,match(E7196,'Player ID'!B:B,0))</f>
        <v>605488</v>
      </c>
    </row>
    <row r="7197">
      <c r="A7197" s="76">
        <v>45807.0</v>
      </c>
      <c r="B7197" s="1" t="s">
        <v>505</v>
      </c>
      <c r="C7197" s="1" t="s">
        <v>52</v>
      </c>
      <c r="D7197" s="1">
        <v>1.1</v>
      </c>
      <c r="E7197" s="1">
        <v>19481.0</v>
      </c>
      <c r="F7197" s="10">
        <f t="shared" si="1"/>
        <v>1.333333333</v>
      </c>
      <c r="G7197" s="10">
        <f t="array" ref="G7197">index('Player ID'!C:C,match(E7197,'Player ID'!B:B,0))</f>
        <v>621053</v>
      </c>
    </row>
    <row r="7198">
      <c r="A7198" s="76">
        <v>45807.0</v>
      </c>
      <c r="B7198" s="1" t="s">
        <v>227</v>
      </c>
      <c r="C7198" s="1" t="s">
        <v>52</v>
      </c>
      <c r="D7198" s="1">
        <v>1.0</v>
      </c>
      <c r="E7198" s="1">
        <v>21520.0</v>
      </c>
      <c r="F7198" s="10">
        <f t="shared" si="1"/>
        <v>1</v>
      </c>
      <c r="G7198" s="10">
        <f t="array" ref="G7198">index('Player ID'!C:C,match(E7198,'Player ID'!B:B,0))</f>
        <v>663687</v>
      </c>
    </row>
    <row r="7199">
      <c r="A7199" s="76">
        <v>45807.0</v>
      </c>
      <c r="B7199" s="1" t="s">
        <v>395</v>
      </c>
      <c r="C7199" s="1" t="s">
        <v>40</v>
      </c>
      <c r="D7199" s="1">
        <v>1.0</v>
      </c>
      <c r="E7199" s="1">
        <v>21574.0</v>
      </c>
      <c r="F7199" s="10">
        <f t="shared" si="1"/>
        <v>1</v>
      </c>
      <c r="G7199" s="10">
        <f t="array" ref="G7199">index('Player ID'!C:C,match(E7199,'Player ID'!B:B,0))</f>
        <v>663893</v>
      </c>
    </row>
    <row r="7200">
      <c r="A7200" s="76">
        <v>45807.0</v>
      </c>
      <c r="B7200" s="1" t="s">
        <v>213</v>
      </c>
      <c r="C7200" s="1" t="s">
        <v>52</v>
      </c>
      <c r="D7200" s="1">
        <v>0.1</v>
      </c>
      <c r="E7200" s="1">
        <v>27694.0</v>
      </c>
      <c r="F7200" s="10">
        <f t="shared" si="1"/>
        <v>0.3333333333</v>
      </c>
      <c r="G7200" s="10">
        <f t="array" ref="G7200">index('Player ID'!C:C,match(E7200,'Player ID'!B:B,0))</f>
        <v>686993</v>
      </c>
    </row>
    <row r="7201">
      <c r="A7201" s="76">
        <v>45807.0</v>
      </c>
      <c r="B7201" s="1" t="s">
        <v>127</v>
      </c>
      <c r="C7201" s="1" t="s">
        <v>52</v>
      </c>
      <c r="D7201" s="1">
        <v>2.2</v>
      </c>
      <c r="E7201" s="1">
        <v>27707.0</v>
      </c>
      <c r="F7201" s="10">
        <f t="shared" si="1"/>
        <v>2.666666667</v>
      </c>
      <c r="G7201" s="10">
        <f t="array" ref="G7201">index('Player ID'!C:C,match(E7201,'Player ID'!B:B,0))</f>
        <v>687765</v>
      </c>
    </row>
    <row r="7202">
      <c r="A7202" s="76">
        <v>45807.0</v>
      </c>
      <c r="B7202" s="1" t="s">
        <v>681</v>
      </c>
      <c r="C7202" s="1" t="s">
        <v>52</v>
      </c>
      <c r="D7202" s="1">
        <v>0.2</v>
      </c>
      <c r="E7202" s="1">
        <v>30002.0</v>
      </c>
      <c r="F7202" s="10">
        <f t="shared" si="1"/>
        <v>0.6666666667</v>
      </c>
      <c r="G7202" s="10">
        <f t="array" ref="G7202">index('Player ID'!C:C,match(E7202,'Player ID'!B:B,0))</f>
        <v>680880</v>
      </c>
    </row>
    <row r="7203">
      <c r="A7203" s="76">
        <v>45807.0</v>
      </c>
      <c r="B7203" s="1" t="s">
        <v>142</v>
      </c>
      <c r="C7203" s="1" t="s">
        <v>40</v>
      </c>
      <c r="D7203" s="1">
        <v>1.0</v>
      </c>
      <c r="E7203" s="1">
        <v>31553.0</v>
      </c>
      <c r="F7203" s="10">
        <f t="shared" si="1"/>
        <v>1</v>
      </c>
      <c r="G7203" s="10">
        <f t="array" ref="G7203">index('Player ID'!C:C,match(E7203,'Player ID'!B:B,0))</f>
        <v>689254</v>
      </c>
    </row>
    <row r="7204">
      <c r="A7204" s="76">
        <v>45807.0</v>
      </c>
      <c r="B7204" s="1" t="s">
        <v>427</v>
      </c>
      <c r="C7204" s="1" t="s">
        <v>40</v>
      </c>
      <c r="D7204" s="1">
        <v>1.0</v>
      </c>
      <c r="E7204" s="1">
        <v>33838.0</v>
      </c>
      <c r="F7204" s="10">
        <f t="shared" si="1"/>
        <v>1</v>
      </c>
      <c r="G7204" s="10">
        <f t="array" ref="G7204">index('Player ID'!C:C,match(E7204,'Player ID'!B:B,0))</f>
        <v>684320</v>
      </c>
    </row>
    <row r="7205">
      <c r="A7205" s="76">
        <v>45807.0</v>
      </c>
      <c r="B7205" s="1" t="s">
        <v>646</v>
      </c>
      <c r="C7205" s="1" t="s">
        <v>51</v>
      </c>
      <c r="D7205" s="1">
        <v>1.1</v>
      </c>
      <c r="E7205" s="1">
        <v>6107.0</v>
      </c>
      <c r="F7205" s="10">
        <f t="shared" si="1"/>
        <v>1.333333333</v>
      </c>
      <c r="G7205" s="10">
        <f t="array" ref="G7205">index('Player ID'!C:C,match(E7205,'Player ID'!B:B,0))</f>
        <v>623211</v>
      </c>
    </row>
    <row r="7206">
      <c r="A7206" s="76">
        <v>45807.0</v>
      </c>
      <c r="B7206" s="1" t="s">
        <v>679</v>
      </c>
      <c r="C7206" s="1" t="s">
        <v>51</v>
      </c>
      <c r="D7206" s="1">
        <v>1.0</v>
      </c>
      <c r="E7206" s="1">
        <v>14710.0</v>
      </c>
      <c r="F7206" s="10">
        <f t="shared" si="1"/>
        <v>1</v>
      </c>
      <c r="G7206" s="10">
        <f t="array" ref="G7206">index('Player ID'!C:C,match(E7206,'Player ID'!B:B,0))</f>
        <v>621242</v>
      </c>
    </row>
    <row r="7207">
      <c r="A7207" s="76">
        <v>45807.0</v>
      </c>
      <c r="B7207" s="1" t="s">
        <v>189</v>
      </c>
      <c r="C7207" s="1" t="s">
        <v>75</v>
      </c>
      <c r="D7207" s="1">
        <v>6.0</v>
      </c>
      <c r="E7207" s="1">
        <v>16256.0</v>
      </c>
      <c r="F7207" s="10">
        <f t="shared" si="1"/>
        <v>6</v>
      </c>
      <c r="G7207" s="10">
        <f t="array" ref="G7207">index('Player ID'!C:C,match(E7207,'Player ID'!B:B,0))</f>
        <v>607536</v>
      </c>
    </row>
    <row r="7208">
      <c r="A7208" s="76">
        <v>45807.0</v>
      </c>
      <c r="B7208" s="1" t="s">
        <v>295</v>
      </c>
      <c r="C7208" s="1" t="s">
        <v>51</v>
      </c>
      <c r="D7208" s="1">
        <v>1.0</v>
      </c>
      <c r="E7208" s="1">
        <v>16866.0</v>
      </c>
      <c r="F7208" s="10">
        <f t="shared" si="1"/>
        <v>1</v>
      </c>
      <c r="G7208" s="10">
        <f t="array" ref="G7208">index('Player ID'!C:C,match(E7208,'Player ID'!B:B,0))</f>
        <v>657585</v>
      </c>
    </row>
    <row r="7209">
      <c r="A7209" s="76">
        <v>45807.0</v>
      </c>
      <c r="B7209" s="1" t="s">
        <v>451</v>
      </c>
      <c r="C7209" s="1" t="s">
        <v>75</v>
      </c>
      <c r="D7209" s="1">
        <v>1.0</v>
      </c>
      <c r="E7209" s="1">
        <v>17556.0</v>
      </c>
      <c r="F7209" s="10">
        <f t="shared" si="1"/>
        <v>1</v>
      </c>
      <c r="G7209" s="10">
        <f t="array" ref="G7209">index('Player ID'!C:C,match(E7209,'Player ID'!B:B,0))</f>
        <v>623474</v>
      </c>
    </row>
    <row r="7210">
      <c r="A7210" s="76">
        <v>45807.0</v>
      </c>
      <c r="B7210" s="1" t="s">
        <v>307</v>
      </c>
      <c r="C7210" s="1" t="s">
        <v>51</v>
      </c>
      <c r="D7210" s="1">
        <v>5.2</v>
      </c>
      <c r="E7210" s="1">
        <v>20302.0</v>
      </c>
      <c r="F7210" s="10">
        <f t="shared" si="1"/>
        <v>5.666666667</v>
      </c>
      <c r="G7210" s="10">
        <f t="array" ref="G7210">index('Player ID'!C:C,match(E7210,'Player ID'!B:B,0))</f>
        <v>656849</v>
      </c>
    </row>
    <row r="7211">
      <c r="A7211" s="76">
        <v>45807.0</v>
      </c>
      <c r="B7211" s="1" t="s">
        <v>488</v>
      </c>
      <c r="C7211" s="1" t="s">
        <v>75</v>
      </c>
      <c r="D7211" s="1">
        <v>1.0</v>
      </c>
      <c r="E7211" s="1">
        <v>33294.0</v>
      </c>
      <c r="F7211" s="10">
        <f t="shared" si="1"/>
        <v>1</v>
      </c>
      <c r="G7211" s="10">
        <f t="array" ref="G7211">index('Player ID'!C:C,match(E7211,'Player ID'!B:B,0))</f>
        <v>678020</v>
      </c>
    </row>
    <row r="7212">
      <c r="A7212" s="76">
        <v>45807.0</v>
      </c>
      <c r="B7212" s="1" t="s">
        <v>154</v>
      </c>
      <c r="C7212" s="1" t="s">
        <v>25</v>
      </c>
      <c r="D7212" s="1">
        <v>1.0</v>
      </c>
      <c r="E7212" s="1">
        <v>3096.0</v>
      </c>
      <c r="F7212" s="10">
        <f t="shared" si="1"/>
        <v>1</v>
      </c>
      <c r="G7212" s="10">
        <f t="array" ref="G7212">index('Player ID'!C:C,match(E7212,'Player ID'!B:B,0))</f>
        <v>445276</v>
      </c>
    </row>
    <row r="7213">
      <c r="A7213" s="76">
        <v>45807.0</v>
      </c>
      <c r="B7213" s="1" t="s">
        <v>117</v>
      </c>
      <c r="C7213" s="1" t="s">
        <v>70</v>
      </c>
      <c r="D7213" s="1">
        <v>1.0</v>
      </c>
      <c r="E7213" s="1">
        <v>13619.0</v>
      </c>
      <c r="F7213" s="10">
        <f t="shared" si="1"/>
        <v>1</v>
      </c>
      <c r="G7213" s="10">
        <f t="array" ref="G7213">index('Player ID'!C:C,match(E7213,'Player ID'!B:B,0))</f>
        <v>596001</v>
      </c>
    </row>
    <row r="7214">
      <c r="A7214" s="76">
        <v>45807.0</v>
      </c>
      <c r="B7214" s="1" t="s">
        <v>141</v>
      </c>
      <c r="C7214" s="1" t="s">
        <v>70</v>
      </c>
      <c r="D7214" s="1">
        <v>0.2</v>
      </c>
      <c r="E7214" s="1">
        <v>19330.0</v>
      </c>
      <c r="F7214" s="10">
        <f t="shared" si="1"/>
        <v>0.6666666667</v>
      </c>
      <c r="G7214" s="10">
        <f t="array" ref="G7214">index('Player ID'!C:C,match(E7214,'Player ID'!B:B,0))</f>
        <v>670036</v>
      </c>
    </row>
    <row r="7215">
      <c r="A7215" s="76">
        <v>45807.0</v>
      </c>
      <c r="B7215" s="1" t="s">
        <v>695</v>
      </c>
      <c r="C7215" s="1" t="s">
        <v>25</v>
      </c>
      <c r="D7215" s="1">
        <v>6.0</v>
      </c>
      <c r="E7215" s="1">
        <v>22100.0</v>
      </c>
      <c r="F7215" s="10">
        <f t="shared" si="1"/>
        <v>6</v>
      </c>
      <c r="G7215" s="10">
        <f t="array" ref="G7215">index('Player ID'!C:C,match(E7215,'Player ID'!B:B,0))</f>
        <v>667755</v>
      </c>
    </row>
    <row r="7216">
      <c r="A7216" s="76">
        <v>45807.0</v>
      </c>
      <c r="B7216" s="1" t="s">
        <v>519</v>
      </c>
      <c r="C7216" s="1" t="s">
        <v>70</v>
      </c>
      <c r="D7216" s="1">
        <v>0.1</v>
      </c>
      <c r="E7216" s="1">
        <v>25139.0</v>
      </c>
      <c r="F7216" s="10">
        <f t="shared" si="1"/>
        <v>0.3333333333</v>
      </c>
      <c r="G7216" s="10">
        <f t="array" ref="G7216">index('Player ID'!C:C,match(E7216,'Player ID'!B:B,0))</f>
        <v>682120</v>
      </c>
    </row>
    <row r="7217">
      <c r="A7217" s="76">
        <v>45807.0</v>
      </c>
      <c r="B7217" s="1" t="s">
        <v>385</v>
      </c>
      <c r="C7217" s="1" t="s">
        <v>25</v>
      </c>
      <c r="D7217" s="1">
        <v>1.0</v>
      </c>
      <c r="E7217" s="1">
        <v>25420.0</v>
      </c>
      <c r="F7217" s="10">
        <f t="shared" si="1"/>
        <v>1</v>
      </c>
      <c r="G7217" s="10">
        <f t="array" ref="G7217">index('Player ID'!C:C,match(E7217,'Player ID'!B:B,0))</f>
        <v>666171</v>
      </c>
    </row>
    <row r="7218">
      <c r="A7218" s="76">
        <v>45807.0</v>
      </c>
      <c r="B7218" s="1" t="s">
        <v>24</v>
      </c>
      <c r="C7218" s="1" t="s">
        <v>25</v>
      </c>
      <c r="D7218" s="1">
        <v>1.0</v>
      </c>
      <c r="E7218" s="1">
        <v>27468.0</v>
      </c>
      <c r="F7218" s="10">
        <f t="shared" si="1"/>
        <v>1</v>
      </c>
      <c r="G7218" s="10">
        <f t="array" ref="G7218">index('Player ID'!C:C,match(E7218,'Player ID'!B:B,0))</f>
        <v>672282</v>
      </c>
    </row>
    <row r="7219">
      <c r="A7219" s="76">
        <v>45807.0</v>
      </c>
      <c r="B7219" s="1" t="s">
        <v>484</v>
      </c>
      <c r="C7219" s="1" t="s">
        <v>70</v>
      </c>
      <c r="D7219" s="1">
        <v>6.0</v>
      </c>
      <c r="E7219" s="1">
        <v>27646.0</v>
      </c>
      <c r="F7219" s="10">
        <f t="shared" si="1"/>
        <v>6</v>
      </c>
      <c r="G7219" s="10">
        <f t="array" ref="G7219">index('Player ID'!C:C,match(E7219,'Player ID'!B:B,0))</f>
        <v>682847</v>
      </c>
    </row>
    <row r="7220">
      <c r="A7220" s="76">
        <v>45807.0</v>
      </c>
      <c r="B7220" s="1" t="s">
        <v>135</v>
      </c>
      <c r="C7220" s="1" t="s">
        <v>70</v>
      </c>
      <c r="D7220" s="1">
        <v>0.2</v>
      </c>
      <c r="E7220" s="1">
        <v>27867.0</v>
      </c>
      <c r="F7220" s="10">
        <f t="shared" si="1"/>
        <v>0.6666666667</v>
      </c>
      <c r="G7220" s="10">
        <f t="array" ref="G7220">index('Player ID'!C:C,match(E7220,'Player ID'!B:B,0))</f>
        <v>671922</v>
      </c>
    </row>
    <row r="7221">
      <c r="A7221" s="76">
        <v>45807.0</v>
      </c>
      <c r="B7221" s="1" t="s">
        <v>844</v>
      </c>
      <c r="C7221" s="1" t="s">
        <v>70</v>
      </c>
      <c r="D7221" s="1">
        <v>0.1</v>
      </c>
      <c r="E7221" s="1">
        <v>33834.0</v>
      </c>
      <c r="F7221" s="10">
        <f t="shared" si="1"/>
        <v>0.3333333333</v>
      </c>
      <c r="G7221" s="10" t="str">
        <f t="array" ref="G7221">index('Player ID'!C:C,match(E7221,'Player ID'!B:B,0))</f>
        <v>#N/A</v>
      </c>
    </row>
    <row r="7222">
      <c r="A7222" s="76">
        <v>45807.0</v>
      </c>
      <c r="B7222" s="1" t="s">
        <v>20</v>
      </c>
      <c r="C7222" s="1" t="s">
        <v>31</v>
      </c>
      <c r="D7222" s="1">
        <v>0.1</v>
      </c>
      <c r="E7222" s="1">
        <v>15541.0</v>
      </c>
      <c r="F7222" s="10">
        <f t="shared" si="1"/>
        <v>0.3333333333</v>
      </c>
      <c r="G7222" s="10">
        <f t="array" ref="G7222">index('Player ID'!C:C,match(E7222,'Player ID'!B:B,0))</f>
        <v>643511</v>
      </c>
    </row>
    <row r="7223">
      <c r="A7223" s="76">
        <v>45807.0</v>
      </c>
      <c r="B7223" s="1" t="s">
        <v>464</v>
      </c>
      <c r="C7223" s="1" t="s">
        <v>36</v>
      </c>
      <c r="D7223" s="1">
        <v>5.0</v>
      </c>
      <c r="E7223" s="1">
        <v>19312.0</v>
      </c>
      <c r="F7223" s="10">
        <f t="shared" si="1"/>
        <v>5</v>
      </c>
      <c r="G7223" s="10">
        <f t="array" ref="G7223">index('Player ID'!C:C,match(E7223,'Player ID'!B:B,0))</f>
        <v>615698</v>
      </c>
    </row>
    <row r="7224">
      <c r="A7224" s="76">
        <v>45807.0</v>
      </c>
      <c r="B7224" s="1" t="s">
        <v>403</v>
      </c>
      <c r="C7224" s="1" t="s">
        <v>31</v>
      </c>
      <c r="D7224" s="1">
        <v>0.1</v>
      </c>
      <c r="E7224" s="1">
        <v>20423.0</v>
      </c>
      <c r="F7224" s="10">
        <f t="shared" si="1"/>
        <v>0.3333333333</v>
      </c>
      <c r="G7224" s="10">
        <f t="array" ref="G7224">index('Player ID'!C:C,match(E7224,'Player ID'!B:B,0))</f>
        <v>676254</v>
      </c>
    </row>
    <row r="7225">
      <c r="A7225" s="76">
        <v>45807.0</v>
      </c>
      <c r="B7225" s="1" t="s">
        <v>124</v>
      </c>
      <c r="C7225" s="1" t="s">
        <v>31</v>
      </c>
      <c r="D7225" s="1">
        <v>0.2</v>
      </c>
      <c r="E7225" s="1">
        <v>21584.0</v>
      </c>
      <c r="F7225" s="10">
        <f t="shared" si="1"/>
        <v>0.6666666667</v>
      </c>
      <c r="G7225" s="10" t="str">
        <f t="array" ref="G7225">index('Player ID'!C:C,match(E7225,'Player ID'!B:B,0))</f>
        <v>#N/A</v>
      </c>
    </row>
    <row r="7226">
      <c r="A7226" s="76">
        <v>45807.0</v>
      </c>
      <c r="B7226" s="1" t="s">
        <v>304</v>
      </c>
      <c r="C7226" s="1" t="s">
        <v>31</v>
      </c>
      <c r="D7226" s="1">
        <v>1.1</v>
      </c>
      <c r="E7226" s="1">
        <v>21992.0</v>
      </c>
      <c r="F7226" s="10">
        <f t="shared" si="1"/>
        <v>1.333333333</v>
      </c>
      <c r="G7226" s="10">
        <f t="array" ref="G7226">index('Player ID'!C:C,match(E7226,'Player ID'!B:B,0))</f>
        <v>666808</v>
      </c>
    </row>
    <row r="7227">
      <c r="A7227" s="76">
        <v>45807.0</v>
      </c>
      <c r="B7227" s="1" t="s">
        <v>35</v>
      </c>
      <c r="C7227" s="1" t="s">
        <v>36</v>
      </c>
      <c r="D7227" s="1">
        <v>4.0</v>
      </c>
      <c r="E7227" s="1">
        <v>23301.0</v>
      </c>
      <c r="F7227" s="10">
        <f t="shared" si="1"/>
        <v>4</v>
      </c>
      <c r="G7227" s="10">
        <f t="array" ref="G7227">index('Player ID'!C:C,match(E7227,'Player ID'!B:B,0))</f>
        <v>676083</v>
      </c>
    </row>
    <row r="7228">
      <c r="A7228" s="76">
        <v>45807.0</v>
      </c>
      <c r="B7228" s="1" t="s">
        <v>655</v>
      </c>
      <c r="C7228" s="1" t="s">
        <v>31</v>
      </c>
      <c r="D7228" s="1">
        <v>0.2</v>
      </c>
      <c r="E7228" s="1">
        <v>26252.0</v>
      </c>
      <c r="F7228" s="10">
        <f t="shared" si="1"/>
        <v>0.6666666667</v>
      </c>
      <c r="G7228" s="10">
        <f t="array" ref="G7228">index('Player ID'!C:C,match(E7228,'Player ID'!B:B,0))</f>
        <v>669062</v>
      </c>
    </row>
    <row r="7229">
      <c r="A7229" s="76">
        <v>45807.0</v>
      </c>
      <c r="B7229" s="1" t="s">
        <v>96</v>
      </c>
      <c r="C7229" s="1" t="s">
        <v>31</v>
      </c>
      <c r="D7229" s="1">
        <v>5.0</v>
      </c>
      <c r="E7229" s="1">
        <v>27758.0</v>
      </c>
      <c r="F7229" s="10">
        <f t="shared" si="1"/>
        <v>5</v>
      </c>
      <c r="G7229" s="10">
        <f t="array" ref="G7229">index('Player ID'!C:C,match(E7229,'Player ID'!B:B,0))</f>
        <v>690986</v>
      </c>
    </row>
    <row r="7230">
      <c r="A7230" s="76">
        <v>45807.0</v>
      </c>
      <c r="B7230" s="1" t="s">
        <v>276</v>
      </c>
      <c r="C7230" s="1" t="s">
        <v>31</v>
      </c>
      <c r="D7230" s="1">
        <v>0.2</v>
      </c>
      <c r="E7230" s="1">
        <v>30226.0</v>
      </c>
      <c r="F7230" s="10">
        <f t="shared" si="1"/>
        <v>0.6666666667</v>
      </c>
      <c r="G7230" s="10">
        <f t="array" ref="G7230">index('Player ID'!C:C,match(E7230,'Player ID'!B:B,0))</f>
        <v>702352</v>
      </c>
    </row>
    <row r="7231">
      <c r="A7231" s="76">
        <v>45807.0</v>
      </c>
      <c r="B7231" s="1" t="s">
        <v>230</v>
      </c>
      <c r="C7231" s="1" t="s">
        <v>22</v>
      </c>
      <c r="D7231" s="1">
        <v>0.1</v>
      </c>
      <c r="E7231" s="1">
        <v>4301.0</v>
      </c>
      <c r="F7231" s="10">
        <f t="shared" si="1"/>
        <v>0.3333333333</v>
      </c>
      <c r="G7231" s="10">
        <f t="array" ref="G7231">index('Player ID'!C:C,match(E7231,'Player ID'!B:B,0))</f>
        <v>458677</v>
      </c>
    </row>
    <row r="7232">
      <c r="A7232" s="76">
        <v>45807.0</v>
      </c>
      <c r="B7232" s="1" t="s">
        <v>41</v>
      </c>
      <c r="C7232" s="1" t="s">
        <v>22</v>
      </c>
      <c r="D7232" s="1">
        <v>1.0</v>
      </c>
      <c r="E7232" s="1">
        <v>10233.0</v>
      </c>
      <c r="F7232" s="10">
        <f t="shared" si="1"/>
        <v>1</v>
      </c>
      <c r="G7232" s="10">
        <f t="array" ref="G7232">index('Player ID'!C:C,match(E7232,'Player ID'!B:B,0))</f>
        <v>547973</v>
      </c>
    </row>
    <row r="7233">
      <c r="A7233" s="76">
        <v>45807.0</v>
      </c>
      <c r="B7233" s="1" t="s">
        <v>178</v>
      </c>
      <c r="C7233" s="1" t="s">
        <v>46</v>
      </c>
      <c r="D7233" s="1">
        <v>1.0</v>
      </c>
      <c r="E7233" s="1">
        <v>13435.0</v>
      </c>
      <c r="F7233" s="10">
        <f t="shared" si="1"/>
        <v>1</v>
      </c>
      <c r="G7233" s="10">
        <f t="array" ref="G7233">index('Player ID'!C:C,match(E7233,'Player ID'!B:B,0))</f>
        <v>572955</v>
      </c>
    </row>
    <row r="7234">
      <c r="A7234" s="76">
        <v>45807.0</v>
      </c>
      <c r="B7234" s="1" t="s">
        <v>416</v>
      </c>
      <c r="C7234" s="1" t="s">
        <v>22</v>
      </c>
      <c r="D7234" s="1">
        <v>4.2</v>
      </c>
      <c r="E7234" s="1">
        <v>15474.0</v>
      </c>
      <c r="F7234" s="10">
        <f t="shared" si="1"/>
        <v>4.666666667</v>
      </c>
      <c r="G7234" s="10">
        <f t="array" ref="G7234">index('Player ID'!C:C,match(E7234,'Player ID'!B:B,0))</f>
        <v>608337</v>
      </c>
    </row>
    <row r="7235">
      <c r="A7235" s="76">
        <v>45807.0</v>
      </c>
      <c r="B7235" s="1" t="s">
        <v>493</v>
      </c>
      <c r="C7235" s="1" t="s">
        <v>22</v>
      </c>
      <c r="D7235" s="1">
        <v>0.1</v>
      </c>
      <c r="E7235" s="1">
        <v>16835.0</v>
      </c>
      <c r="F7235" s="10">
        <f t="shared" si="1"/>
        <v>0.3333333333</v>
      </c>
      <c r="G7235" s="10">
        <f t="array" ref="G7235">index('Player ID'!C:C,match(E7235,'Player ID'!B:B,0))</f>
        <v>657514</v>
      </c>
    </row>
    <row r="7236">
      <c r="A7236" s="76">
        <v>45807.0</v>
      </c>
      <c r="B7236" s="1" t="s">
        <v>366</v>
      </c>
      <c r="C7236" s="1" t="s">
        <v>46</v>
      </c>
      <c r="D7236" s="1">
        <v>5.2</v>
      </c>
      <c r="E7236" s="1">
        <v>16944.0</v>
      </c>
      <c r="F7236" s="10">
        <f t="shared" si="1"/>
        <v>5.666666667</v>
      </c>
      <c r="G7236" s="10">
        <f t="array" ref="G7236">index('Player ID'!C:C,match(E7236,'Player ID'!B:B,0))</f>
        <v>656550</v>
      </c>
    </row>
    <row r="7237">
      <c r="A7237" s="76">
        <v>45807.0</v>
      </c>
      <c r="B7237" s="1" t="s">
        <v>346</v>
      </c>
      <c r="C7237" s="1" t="s">
        <v>46</v>
      </c>
      <c r="D7237" s="1">
        <v>0.1</v>
      </c>
      <c r="E7237" s="1">
        <v>18403.0</v>
      </c>
      <c r="F7237" s="10">
        <f t="shared" si="1"/>
        <v>0.3333333333</v>
      </c>
      <c r="G7237" s="10">
        <f t="array" ref="G7237">index('Player ID'!C:C,match(E7237,'Player ID'!B:B,0))</f>
        <v>660853</v>
      </c>
    </row>
    <row r="7238">
      <c r="A7238" s="76">
        <v>45807.0</v>
      </c>
      <c r="B7238" s="1" t="s">
        <v>91</v>
      </c>
      <c r="C7238" s="1" t="s">
        <v>46</v>
      </c>
      <c r="D7238" s="1">
        <v>1.0</v>
      </c>
      <c r="E7238" s="1">
        <v>19996.0</v>
      </c>
      <c r="F7238" s="10">
        <f t="shared" si="1"/>
        <v>1</v>
      </c>
      <c r="G7238" s="10">
        <f t="array" ref="G7238">index('Player ID'!C:C,match(E7238,'Player ID'!B:B,0))</f>
        <v>669276</v>
      </c>
    </row>
    <row r="7239">
      <c r="A7239" s="76">
        <v>45807.0</v>
      </c>
      <c r="B7239" s="1" t="s">
        <v>250</v>
      </c>
      <c r="C7239" s="1" t="s">
        <v>22</v>
      </c>
      <c r="D7239" s="1">
        <v>1.2</v>
      </c>
      <c r="E7239" s="1">
        <v>20191.0</v>
      </c>
      <c r="F7239" s="10">
        <f t="shared" si="1"/>
        <v>1.666666667</v>
      </c>
      <c r="G7239" s="10">
        <f t="array" ref="G7239">index('Player ID'!C:C,match(E7239,'Player ID'!B:B,0))</f>
        <v>676477</v>
      </c>
    </row>
    <row r="7240">
      <c r="A7240" s="76">
        <v>45807.0</v>
      </c>
      <c r="B7240" s="1" t="s">
        <v>406</v>
      </c>
      <c r="C7240" s="1" t="s">
        <v>22</v>
      </c>
      <c r="D7240" s="1">
        <v>1.0</v>
      </c>
      <c r="E7240" s="1">
        <v>20375.0</v>
      </c>
      <c r="F7240" s="10">
        <f t="shared" si="1"/>
        <v>1</v>
      </c>
      <c r="G7240" s="10">
        <f t="array" ref="G7240">index('Player ID'!C:C,match(E7240,'Player ID'!B:B,0))</f>
        <v>669711</v>
      </c>
    </row>
    <row r="7241">
      <c r="A7241" s="76">
        <v>45807.0</v>
      </c>
      <c r="B7241" s="1" t="s">
        <v>244</v>
      </c>
      <c r="C7241" s="1" t="s">
        <v>46</v>
      </c>
      <c r="D7241" s="1">
        <v>1.0</v>
      </c>
      <c r="E7241" s="1">
        <v>29928.0</v>
      </c>
      <c r="F7241" s="10">
        <f t="shared" si="1"/>
        <v>1</v>
      </c>
      <c r="G7241" s="10" t="str">
        <f t="array" ref="G7241">index('Player ID'!C:C,match(E7241,'Player ID'!B:B,0))</f>
        <v>#N/A</v>
      </c>
    </row>
    <row r="7242">
      <c r="A7242" s="76">
        <v>45807.0</v>
      </c>
      <c r="B7242" s="1" t="s">
        <v>440</v>
      </c>
      <c r="C7242" s="1" t="s">
        <v>56</v>
      </c>
      <c r="D7242" s="1">
        <v>0.1</v>
      </c>
      <c r="E7242" s="1">
        <v>12857.0</v>
      </c>
      <c r="F7242" s="10">
        <f t="shared" si="1"/>
        <v>0.3333333333</v>
      </c>
      <c r="G7242" s="10">
        <f t="array" ref="G7242">index('Player ID'!C:C,match(E7242,'Player ID'!B:B,0))</f>
        <v>542888</v>
      </c>
    </row>
    <row r="7243">
      <c r="A7243" s="76">
        <v>45807.0</v>
      </c>
      <c r="B7243" s="1" t="s">
        <v>349</v>
      </c>
      <c r="C7243" s="1" t="s">
        <v>56</v>
      </c>
      <c r="D7243" s="1">
        <v>3.0</v>
      </c>
      <c r="E7243" s="1">
        <v>19736.0</v>
      </c>
      <c r="F7243" s="10">
        <f t="shared" si="1"/>
        <v>3</v>
      </c>
      <c r="G7243" s="10">
        <f t="array" ref="G7243">index('Player ID'!C:C,match(E7243,'Player ID'!B:B,0))</f>
        <v>676961</v>
      </c>
    </row>
    <row r="7244">
      <c r="A7244" s="76">
        <v>45807.0</v>
      </c>
      <c r="B7244" s="1" t="s">
        <v>290</v>
      </c>
      <c r="C7244" s="1" t="s">
        <v>72</v>
      </c>
      <c r="D7244" s="1">
        <v>5.0</v>
      </c>
      <c r="E7244" s="1">
        <v>22294.0</v>
      </c>
      <c r="F7244" s="10">
        <f t="shared" si="1"/>
        <v>5</v>
      </c>
      <c r="G7244" s="10">
        <f t="array" ref="G7244">index('Player ID'!C:C,match(E7244,'Player ID'!B:B,0))</f>
        <v>669461</v>
      </c>
    </row>
    <row r="7245">
      <c r="A7245" s="76">
        <v>45807.0</v>
      </c>
      <c r="B7245" s="1" t="s">
        <v>852</v>
      </c>
      <c r="C7245" s="1" t="s">
        <v>72</v>
      </c>
      <c r="D7245" s="1">
        <v>1.0</v>
      </c>
      <c r="E7245" s="1">
        <v>27615.0</v>
      </c>
      <c r="F7245" s="10">
        <f t="shared" si="1"/>
        <v>1</v>
      </c>
      <c r="G7245" s="10" t="str">
        <f t="array" ref="G7245">index('Player ID'!C:C,match(E7245,'Player ID'!B:B,0))</f>
        <v>#N/A</v>
      </c>
    </row>
    <row r="7246">
      <c r="A7246" s="76">
        <v>45807.0</v>
      </c>
      <c r="B7246" s="1" t="s">
        <v>337</v>
      </c>
      <c r="C7246" s="1" t="s">
        <v>72</v>
      </c>
      <c r="D7246" s="1">
        <v>1.0</v>
      </c>
      <c r="E7246" s="1">
        <v>29519.0</v>
      </c>
      <c r="F7246" s="10">
        <f t="shared" si="1"/>
        <v>1</v>
      </c>
      <c r="G7246" s="10">
        <f t="array" ref="G7246">index('Player ID'!C:C,match(E7246,'Player ID'!B:B,0))</f>
        <v>700669</v>
      </c>
    </row>
    <row r="7247">
      <c r="A7247" s="76">
        <v>45807.0</v>
      </c>
      <c r="B7247" s="1" t="s">
        <v>223</v>
      </c>
      <c r="C7247" s="1" t="s">
        <v>72</v>
      </c>
      <c r="D7247" s="1">
        <v>1.0</v>
      </c>
      <c r="E7247" s="1">
        <v>29629.0</v>
      </c>
      <c r="F7247" s="10">
        <f t="shared" si="1"/>
        <v>1</v>
      </c>
      <c r="G7247" s="10">
        <f t="array" ref="G7247">index('Player ID'!C:C,match(E7247,'Player ID'!B:B,0))</f>
        <v>694335</v>
      </c>
    </row>
    <row r="7248">
      <c r="A7248" s="76">
        <v>45807.0</v>
      </c>
      <c r="B7248" s="1" t="s">
        <v>374</v>
      </c>
      <c r="C7248" s="1" t="s">
        <v>56</v>
      </c>
      <c r="D7248" s="1">
        <v>5.2</v>
      </c>
      <c r="E7248" s="1">
        <v>30146.0</v>
      </c>
      <c r="F7248" s="10">
        <f t="shared" si="1"/>
        <v>5.666666667</v>
      </c>
      <c r="G7248" s="10">
        <f t="array" ref="G7248">index('Player ID'!C:C,match(E7248,'Player ID'!B:B,0))</f>
        <v>683004</v>
      </c>
    </row>
    <row r="7249">
      <c r="A7249" s="76">
        <v>45807.0</v>
      </c>
      <c r="B7249" s="1" t="s">
        <v>439</v>
      </c>
      <c r="C7249" s="1" t="s">
        <v>62</v>
      </c>
      <c r="D7249" s="1">
        <v>1.0</v>
      </c>
      <c r="E7249" s="1">
        <v>11384.0</v>
      </c>
      <c r="F7249" s="10">
        <f t="shared" si="1"/>
        <v>1</v>
      </c>
      <c r="G7249" s="10">
        <f t="array" ref="G7249">index('Player ID'!C:C,match(E7249,'Player ID'!B:B,0))</f>
        <v>592454</v>
      </c>
    </row>
    <row r="7250">
      <c r="A7250" s="76">
        <v>45807.0</v>
      </c>
      <c r="B7250" s="1" t="s">
        <v>452</v>
      </c>
      <c r="C7250" s="1" t="s">
        <v>29</v>
      </c>
      <c r="D7250" s="1">
        <v>3.1</v>
      </c>
      <c r="E7250" s="1">
        <v>12447.0</v>
      </c>
      <c r="F7250" s="10">
        <f t="shared" si="1"/>
        <v>3.333333333</v>
      </c>
      <c r="G7250" s="10">
        <f t="array" ref="G7250">index('Player ID'!C:C,match(E7250,'Player ID'!B:B,0))</f>
        <v>607625</v>
      </c>
    </row>
    <row r="7251">
      <c r="A7251" s="76">
        <v>45807.0</v>
      </c>
      <c r="B7251" s="1" t="s">
        <v>199</v>
      </c>
      <c r="C7251" s="1" t="s">
        <v>29</v>
      </c>
      <c r="D7251" s="1">
        <v>1.0</v>
      </c>
      <c r="E7251" s="1">
        <v>17611.0</v>
      </c>
      <c r="F7251" s="10">
        <f t="shared" si="1"/>
        <v>1</v>
      </c>
      <c r="G7251" s="10">
        <f t="array" ref="G7251">index('Player ID'!C:C,match(E7251,'Player ID'!B:B,0))</f>
        <v>664199</v>
      </c>
    </row>
    <row r="7252">
      <c r="A7252" s="76">
        <v>45807.0</v>
      </c>
      <c r="B7252" s="1" t="s">
        <v>131</v>
      </c>
      <c r="C7252" s="1" t="s">
        <v>62</v>
      </c>
      <c r="D7252" s="1">
        <v>1.0</v>
      </c>
      <c r="E7252" s="1">
        <v>19769.0</v>
      </c>
      <c r="F7252" s="10">
        <f t="shared" si="1"/>
        <v>1</v>
      </c>
      <c r="G7252" s="10">
        <f t="array" ref="G7252">index('Player ID'!C:C,match(E7252,'Player ID'!B:B,0))</f>
        <v>676684</v>
      </c>
    </row>
    <row r="7253">
      <c r="A7253" s="76">
        <v>45807.0</v>
      </c>
      <c r="B7253" s="1" t="s">
        <v>125</v>
      </c>
      <c r="C7253" s="1" t="s">
        <v>62</v>
      </c>
      <c r="D7253" s="1">
        <v>3.1</v>
      </c>
      <c r="E7253" s="1">
        <v>20492.0</v>
      </c>
      <c r="F7253" s="10">
        <f t="shared" si="1"/>
        <v>3.333333333</v>
      </c>
      <c r="G7253" s="10">
        <f t="array" ref="G7253">index('Player ID'!C:C,match(E7253,'Player ID'!B:B,0))</f>
        <v>663554</v>
      </c>
    </row>
    <row r="7254">
      <c r="A7254" s="76">
        <v>45807.0</v>
      </c>
      <c r="B7254" s="1" t="s">
        <v>293</v>
      </c>
      <c r="C7254" s="1" t="s">
        <v>29</v>
      </c>
      <c r="D7254" s="1">
        <v>1.1</v>
      </c>
      <c r="E7254" s="1">
        <v>21537.0</v>
      </c>
      <c r="F7254" s="10">
        <f t="shared" si="1"/>
        <v>1.333333333</v>
      </c>
      <c r="G7254" s="10">
        <f t="array" ref="G7254">index('Player ID'!C:C,match(E7254,'Player ID'!B:B,0))</f>
        <v>663738</v>
      </c>
    </row>
    <row r="7255">
      <c r="A7255" s="76">
        <v>45807.0</v>
      </c>
      <c r="B7255" s="1" t="s">
        <v>289</v>
      </c>
      <c r="C7255" s="1" t="s">
        <v>62</v>
      </c>
      <c r="D7255" s="1">
        <v>1.0</v>
      </c>
      <c r="E7255" s="1">
        <v>22304.0</v>
      </c>
      <c r="F7255" s="10">
        <f t="shared" si="1"/>
        <v>1</v>
      </c>
      <c r="G7255" s="10">
        <f t="array" ref="G7255">index('Player ID'!C:C,match(E7255,'Player ID'!B:B,0))</f>
        <v>669724</v>
      </c>
    </row>
    <row r="7256">
      <c r="A7256" s="76">
        <v>45807.0</v>
      </c>
      <c r="B7256" s="1" t="s">
        <v>236</v>
      </c>
      <c r="C7256" s="1" t="s">
        <v>29</v>
      </c>
      <c r="D7256" s="1">
        <v>1.1</v>
      </c>
      <c r="E7256" s="1">
        <v>24607.0</v>
      </c>
      <c r="F7256" s="10">
        <f t="shared" si="1"/>
        <v>1.333333333</v>
      </c>
      <c r="G7256" s="10">
        <f t="array" ref="G7256">index('Player ID'!C:C,match(E7256,'Player ID'!B:B,0))</f>
        <v>680742</v>
      </c>
    </row>
    <row r="7257">
      <c r="A7257" s="76">
        <v>45807.0</v>
      </c>
      <c r="B7257" s="1" t="s">
        <v>667</v>
      </c>
      <c r="C7257" s="1" t="s">
        <v>62</v>
      </c>
      <c r="D7257" s="1">
        <v>1.0</v>
      </c>
      <c r="E7257" s="1">
        <v>26079.0</v>
      </c>
      <c r="F7257" s="10">
        <f t="shared" si="1"/>
        <v>1</v>
      </c>
      <c r="G7257" s="10">
        <f t="array" ref="G7257">index('Player ID'!C:C,match(E7257,'Player ID'!B:B,0))</f>
        <v>689225</v>
      </c>
    </row>
    <row r="7258">
      <c r="A7258" s="76">
        <v>45807.0</v>
      </c>
      <c r="B7258" s="1" t="s">
        <v>853</v>
      </c>
      <c r="C7258" s="1" t="s">
        <v>29</v>
      </c>
      <c r="D7258" s="1">
        <v>2.0</v>
      </c>
      <c r="E7258" s="1">
        <v>29633.0</v>
      </c>
      <c r="F7258" s="10">
        <f t="shared" si="1"/>
        <v>2</v>
      </c>
      <c r="G7258" s="10" t="str">
        <f t="array" ref="G7258">index('Player ID'!C:C,match(E7258,'Player ID'!B:B,0))</f>
        <v>#N/A</v>
      </c>
    </row>
    <row r="7259">
      <c r="A7259" s="76">
        <v>45807.0</v>
      </c>
      <c r="B7259" s="1" t="s">
        <v>487</v>
      </c>
      <c r="C7259" s="1" t="s">
        <v>62</v>
      </c>
      <c r="D7259" s="1">
        <v>1.2</v>
      </c>
      <c r="E7259" s="1">
        <v>30133.0</v>
      </c>
      <c r="F7259" s="10">
        <f t="shared" si="1"/>
        <v>1.666666667</v>
      </c>
      <c r="G7259" s="10">
        <f t="array" ref="G7259">index('Player ID'!C:C,match(E7259,'Player ID'!B:B,0))</f>
        <v>676428</v>
      </c>
    </row>
    <row r="7260">
      <c r="A7260" s="76">
        <v>45807.0</v>
      </c>
      <c r="B7260" s="1" t="s">
        <v>113</v>
      </c>
      <c r="C7260" s="1" t="s">
        <v>39</v>
      </c>
      <c r="D7260" s="1">
        <v>9.0</v>
      </c>
      <c r="E7260" s="1">
        <v>17295.0</v>
      </c>
      <c r="F7260" s="10">
        <f t="shared" si="1"/>
        <v>9</v>
      </c>
      <c r="G7260" s="10">
        <f t="array" ref="G7260">index('Player ID'!C:C,match(E7260,'Player ID'!B:B,0))</f>
        <v>664285</v>
      </c>
    </row>
    <row r="7261">
      <c r="A7261" s="76">
        <v>45807.0</v>
      </c>
      <c r="B7261" s="1" t="s">
        <v>185</v>
      </c>
      <c r="C7261" s="1" t="s">
        <v>54</v>
      </c>
      <c r="D7261" s="1">
        <v>0.2</v>
      </c>
      <c r="E7261" s="1">
        <v>17897.0</v>
      </c>
      <c r="F7261" s="10">
        <f t="shared" si="1"/>
        <v>0.6666666667</v>
      </c>
      <c r="G7261" s="10">
        <f t="array" ref="G7261">index('Player ID'!C:C,match(E7261,'Player ID'!B:B,0))</f>
        <v>664076</v>
      </c>
    </row>
    <row r="7262">
      <c r="A7262" s="76">
        <v>45807.0</v>
      </c>
      <c r="B7262" s="1" t="s">
        <v>110</v>
      </c>
      <c r="C7262" s="1" t="s">
        <v>54</v>
      </c>
      <c r="D7262" s="1">
        <v>1.1</v>
      </c>
      <c r="E7262" s="1">
        <v>25679.0</v>
      </c>
      <c r="F7262" s="10">
        <f t="shared" si="1"/>
        <v>1.333333333</v>
      </c>
      <c r="G7262" s="10">
        <f t="array" ref="G7262">index('Player ID'!C:C,match(E7262,'Player ID'!B:B,0))</f>
        <v>687330</v>
      </c>
    </row>
    <row r="7263">
      <c r="A7263" s="76">
        <v>45807.0</v>
      </c>
      <c r="B7263" s="1" t="s">
        <v>129</v>
      </c>
      <c r="C7263" s="1" t="s">
        <v>54</v>
      </c>
      <c r="D7263" s="1">
        <v>6.2</v>
      </c>
      <c r="E7263" s="1">
        <v>26221.0</v>
      </c>
      <c r="F7263" s="10">
        <f t="shared" si="1"/>
        <v>6.666666667</v>
      </c>
      <c r="G7263" s="10">
        <f t="array" ref="G7263">index('Player ID'!C:C,match(E7263,'Player ID'!B:B,0))</f>
        <v>686752</v>
      </c>
    </row>
    <row r="7264">
      <c r="A7264" s="76">
        <v>45807.0</v>
      </c>
      <c r="B7264" s="1" t="s">
        <v>222</v>
      </c>
      <c r="C7264" s="1" t="s">
        <v>64</v>
      </c>
      <c r="D7264" s="1">
        <v>5.0</v>
      </c>
      <c r="E7264" s="1">
        <v>11156.0</v>
      </c>
      <c r="F7264" s="10">
        <f t="shared" si="1"/>
        <v>5</v>
      </c>
      <c r="G7264" s="10">
        <f t="array" ref="G7264">index('Player ID'!C:C,match(E7264,'Player ID'!B:B,0))</f>
        <v>518876</v>
      </c>
    </row>
    <row r="7265">
      <c r="A7265" s="76">
        <v>45807.0</v>
      </c>
      <c r="B7265" s="1" t="s">
        <v>506</v>
      </c>
      <c r="C7265" s="1" t="s">
        <v>80</v>
      </c>
      <c r="D7265" s="1">
        <v>1.0</v>
      </c>
      <c r="E7265" s="1">
        <v>12988.0</v>
      </c>
      <c r="F7265" s="10">
        <f t="shared" si="1"/>
        <v>1</v>
      </c>
      <c r="G7265" s="10">
        <f t="array" ref="G7265">index('Player ID'!C:C,match(E7265,'Player ID'!B:B,0))</f>
        <v>605177</v>
      </c>
    </row>
    <row r="7266">
      <c r="A7266" s="76">
        <v>45807.0</v>
      </c>
      <c r="B7266" s="1" t="s">
        <v>139</v>
      </c>
      <c r="C7266" s="1" t="s">
        <v>80</v>
      </c>
      <c r="D7266" s="1">
        <v>1.0</v>
      </c>
      <c r="E7266" s="1">
        <v>15009.0</v>
      </c>
      <c r="F7266" s="10">
        <f t="shared" si="1"/>
        <v>1</v>
      </c>
      <c r="G7266" s="10">
        <f t="array" ref="G7266">index('Player ID'!C:C,match(E7266,'Player ID'!B:B,0))</f>
        <v>640448</v>
      </c>
    </row>
    <row r="7267">
      <c r="A7267" s="76">
        <v>45807.0</v>
      </c>
      <c r="B7267" s="1" t="s">
        <v>854</v>
      </c>
      <c r="C7267" s="1" t="s">
        <v>64</v>
      </c>
      <c r="D7267" s="1">
        <v>1.0</v>
      </c>
      <c r="E7267" s="1">
        <v>16631.0</v>
      </c>
      <c r="F7267" s="10">
        <f t="shared" si="1"/>
        <v>1</v>
      </c>
      <c r="G7267" s="10" t="str">
        <f t="array" ref="G7267">index('Player ID'!C:C,match(E7267,'Player ID'!B:B,0))</f>
        <v>#N/A</v>
      </c>
    </row>
    <row r="7268">
      <c r="A7268" s="76">
        <v>45807.0</v>
      </c>
      <c r="B7268" s="1" t="s">
        <v>219</v>
      </c>
      <c r="C7268" s="1" t="s">
        <v>64</v>
      </c>
      <c r="D7268" s="1">
        <v>1.0</v>
      </c>
      <c r="E7268" s="1">
        <v>16647.0</v>
      </c>
      <c r="F7268" s="10">
        <f t="shared" si="1"/>
        <v>1</v>
      </c>
      <c r="G7268" s="10">
        <f t="array" ref="G7268">index('Player ID'!C:C,match(E7268,'Player ID'!B:B,0))</f>
        <v>657044</v>
      </c>
    </row>
    <row r="7269">
      <c r="A7269" s="76">
        <v>45807.0</v>
      </c>
      <c r="B7269" s="1" t="s">
        <v>489</v>
      </c>
      <c r="C7269" s="1" t="s">
        <v>64</v>
      </c>
      <c r="D7269" s="1">
        <v>1.0</v>
      </c>
      <c r="E7269" s="1">
        <v>17192.0</v>
      </c>
      <c r="F7269" s="10">
        <f t="shared" si="1"/>
        <v>1</v>
      </c>
      <c r="G7269" s="10">
        <f t="array" ref="G7269">index('Player ID'!C:C,match(E7269,'Player ID'!B:B,0))</f>
        <v>656222</v>
      </c>
    </row>
    <row r="7270">
      <c r="A7270" s="76">
        <v>45807.0</v>
      </c>
      <c r="B7270" s="1" t="s">
        <v>396</v>
      </c>
      <c r="C7270" s="1" t="s">
        <v>80</v>
      </c>
      <c r="D7270" s="1">
        <v>5.0</v>
      </c>
      <c r="E7270" s="1">
        <v>21504.0</v>
      </c>
      <c r="F7270" s="10">
        <f t="shared" si="1"/>
        <v>5</v>
      </c>
      <c r="G7270" s="10">
        <f t="array" ref="G7270">index('Player ID'!C:C,match(E7270,'Player ID'!B:B,0))</f>
        <v>663623</v>
      </c>
    </row>
    <row r="7271">
      <c r="A7271" s="76">
        <v>45807.0</v>
      </c>
      <c r="B7271" s="1" t="s">
        <v>370</v>
      </c>
      <c r="C7271" s="1" t="s">
        <v>64</v>
      </c>
      <c r="D7271" s="1">
        <v>1.0</v>
      </c>
      <c r="E7271" s="1">
        <v>21924.0</v>
      </c>
      <c r="F7271" s="10">
        <f t="shared" si="1"/>
        <v>1</v>
      </c>
      <c r="G7271" s="10">
        <f t="array" ref="G7271">index('Player ID'!C:C,match(E7271,'Player ID'!B:B,0))</f>
        <v>666661</v>
      </c>
    </row>
    <row r="7272">
      <c r="A7272" s="76">
        <v>45807.0</v>
      </c>
      <c r="B7272" s="1" t="s">
        <v>437</v>
      </c>
      <c r="C7272" s="1" t="s">
        <v>80</v>
      </c>
      <c r="D7272" s="1">
        <v>2.0</v>
      </c>
      <c r="E7272" s="1">
        <v>31972.0</v>
      </c>
      <c r="F7272" s="10">
        <f t="shared" si="1"/>
        <v>2</v>
      </c>
      <c r="G7272" s="10">
        <f t="array" ref="G7272">index('Player ID'!C:C,match(E7272,'Player ID'!B:B,0))</f>
        <v>695418</v>
      </c>
    </row>
    <row r="7273">
      <c r="A7273" s="76">
        <v>45807.0</v>
      </c>
      <c r="B7273" s="1" t="s">
        <v>342</v>
      </c>
      <c r="C7273" s="1" t="s">
        <v>26</v>
      </c>
      <c r="D7273" s="1">
        <v>0.2</v>
      </c>
      <c r="E7273" s="1">
        <v>11861.0</v>
      </c>
      <c r="F7273" s="10">
        <f t="shared" si="1"/>
        <v>0.6666666667</v>
      </c>
      <c r="G7273" s="10">
        <f t="array" ref="G7273">index('Player ID'!C:C,match(E7273,'Player ID'!B:B,0))</f>
        <v>592094</v>
      </c>
    </row>
    <row r="7274">
      <c r="A7274" s="76">
        <v>45807.0</v>
      </c>
      <c r="B7274" s="1" t="s">
        <v>109</v>
      </c>
      <c r="C7274" s="1" t="s">
        <v>26</v>
      </c>
      <c r="D7274" s="1">
        <v>6.0</v>
      </c>
      <c r="E7274" s="1">
        <v>15454.0</v>
      </c>
      <c r="F7274" s="10">
        <f t="shared" si="1"/>
        <v>6</v>
      </c>
      <c r="G7274" s="10">
        <f t="array" ref="G7274">index('Player ID'!C:C,match(E7274,'Player ID'!B:B,0))</f>
        <v>601713</v>
      </c>
    </row>
    <row r="7275">
      <c r="A7275" s="76">
        <v>45807.0</v>
      </c>
      <c r="B7275" s="1" t="s">
        <v>423</v>
      </c>
      <c r="C7275" s="1" t="s">
        <v>60</v>
      </c>
      <c r="D7275" s="1">
        <v>6.0</v>
      </c>
      <c r="E7275" s="1">
        <v>17594.0</v>
      </c>
      <c r="F7275" s="10">
        <f t="shared" si="1"/>
        <v>6</v>
      </c>
      <c r="G7275" s="10">
        <f t="array" ref="G7275">index('Player ID'!C:C,match(E7275,'Player ID'!B:B,0))</f>
        <v>656605</v>
      </c>
    </row>
    <row r="7276">
      <c r="A7276" s="76">
        <v>45807.0</v>
      </c>
      <c r="B7276" s="1" t="s">
        <v>716</v>
      </c>
      <c r="C7276" s="1" t="s">
        <v>60</v>
      </c>
      <c r="D7276" s="1">
        <v>1.0</v>
      </c>
      <c r="E7276" s="1">
        <v>17610.0</v>
      </c>
      <c r="F7276" s="10">
        <f t="shared" si="1"/>
        <v>1</v>
      </c>
      <c r="G7276" s="10">
        <f t="array" ref="G7276">index('Player ID'!C:C,match(E7276,'Player ID'!B:B,0))</f>
        <v>663432</v>
      </c>
    </row>
    <row r="7277">
      <c r="A7277" s="76">
        <v>45807.0</v>
      </c>
      <c r="B7277" s="1" t="s">
        <v>183</v>
      </c>
      <c r="C7277" s="1" t="s">
        <v>60</v>
      </c>
      <c r="D7277" s="1">
        <v>1.0</v>
      </c>
      <c r="E7277" s="1">
        <v>19569.0</v>
      </c>
      <c r="F7277" s="10">
        <f t="shared" si="1"/>
        <v>1</v>
      </c>
      <c r="G7277" s="10">
        <f t="array" ref="G7277">index('Player ID'!C:C,match(E7277,'Player ID'!B:B,0))</f>
        <v>670280</v>
      </c>
    </row>
    <row r="7278">
      <c r="A7278" s="76">
        <v>45807.0</v>
      </c>
      <c r="B7278" s="1" t="s">
        <v>94</v>
      </c>
      <c r="C7278" s="1" t="s">
        <v>26</v>
      </c>
      <c r="D7278" s="1">
        <v>1.0</v>
      </c>
      <c r="E7278" s="1">
        <v>22210.0</v>
      </c>
      <c r="F7278" s="10">
        <f t="shared" si="1"/>
        <v>1</v>
      </c>
      <c r="G7278" s="10">
        <f t="array" ref="G7278">index('Player ID'!C:C,match(E7278,'Player ID'!B:B,0))</f>
        <v>669093</v>
      </c>
    </row>
    <row r="7279">
      <c r="A7279" s="76">
        <v>45807.0</v>
      </c>
      <c r="B7279" s="1" t="s">
        <v>81</v>
      </c>
      <c r="C7279" s="1" t="s">
        <v>26</v>
      </c>
      <c r="D7279" s="1">
        <v>1.1</v>
      </c>
      <c r="E7279" s="1">
        <v>30115.0</v>
      </c>
      <c r="F7279" s="10">
        <f t="shared" si="1"/>
        <v>1.333333333</v>
      </c>
      <c r="G7279" s="10">
        <f t="array" ref="G7279">index('Player ID'!C:C,match(E7279,'Player ID'!B:B,0))</f>
        <v>663158</v>
      </c>
    </row>
    <row r="7280">
      <c r="A7280" s="76">
        <v>45807.0</v>
      </c>
      <c r="B7280" s="1" t="s">
        <v>249</v>
      </c>
      <c r="C7280" s="1" t="s">
        <v>16</v>
      </c>
      <c r="D7280" s="1">
        <v>1.0</v>
      </c>
      <c r="E7280" s="1">
        <v>16727.0</v>
      </c>
      <c r="F7280" s="10">
        <f t="shared" si="1"/>
        <v>1</v>
      </c>
      <c r="G7280" s="10">
        <f t="array" ref="G7280">index('Player ID'!C:C,match(E7280,'Player ID'!B:B,0))</f>
        <v>592779</v>
      </c>
    </row>
    <row r="7281">
      <c r="A7281" s="76">
        <v>45807.0</v>
      </c>
      <c r="B7281" s="1" t="s">
        <v>670</v>
      </c>
      <c r="C7281" s="1" t="s">
        <v>37</v>
      </c>
      <c r="D7281" s="1">
        <v>1.0</v>
      </c>
      <c r="E7281" s="1">
        <v>20373.0</v>
      </c>
      <c r="F7281" s="10">
        <f t="shared" si="1"/>
        <v>1</v>
      </c>
      <c r="G7281" s="10">
        <f t="array" ref="G7281">index('Player ID'!C:C,match(E7281,'Player ID'!B:B,0))</f>
        <v>662253</v>
      </c>
    </row>
    <row r="7282">
      <c r="A7282" s="76">
        <v>45807.0</v>
      </c>
      <c r="B7282" s="1" t="s">
        <v>122</v>
      </c>
      <c r="C7282" s="1" t="s">
        <v>16</v>
      </c>
      <c r="D7282" s="1">
        <v>1.0</v>
      </c>
      <c r="E7282" s="1">
        <v>21029.0</v>
      </c>
      <c r="F7282" s="10">
        <f t="shared" si="1"/>
        <v>1</v>
      </c>
      <c r="G7282" s="10">
        <f t="array" ref="G7282">index('Player ID'!C:C,match(E7282,'Player ID'!B:B,0))</f>
        <v>661395</v>
      </c>
    </row>
    <row r="7283">
      <c r="A7283" s="76">
        <v>45807.0</v>
      </c>
      <c r="B7283" s="1" t="s">
        <v>237</v>
      </c>
      <c r="C7283" s="1" t="s">
        <v>16</v>
      </c>
      <c r="D7283" s="1">
        <v>1.0</v>
      </c>
      <c r="E7283" s="1">
        <v>21461.0</v>
      </c>
      <c r="F7283" s="10">
        <f t="shared" si="1"/>
        <v>1</v>
      </c>
      <c r="G7283" s="10">
        <f t="array" ref="G7283">index('Player ID'!C:C,match(E7283,'Player ID'!B:B,0))</f>
        <v>663485</v>
      </c>
    </row>
    <row r="7284">
      <c r="A7284" s="76">
        <v>45807.0</v>
      </c>
      <c r="B7284" s="1" t="s">
        <v>101</v>
      </c>
      <c r="C7284" s="1" t="s">
        <v>37</v>
      </c>
      <c r="D7284" s="1">
        <v>1.0</v>
      </c>
      <c r="E7284" s="1">
        <v>22915.0</v>
      </c>
      <c r="F7284" s="10">
        <f t="shared" si="1"/>
        <v>1</v>
      </c>
      <c r="G7284" s="10">
        <f t="array" ref="G7284">index('Player ID'!C:C,match(E7284,'Player ID'!B:B,0))</f>
        <v>672841</v>
      </c>
    </row>
    <row r="7285">
      <c r="A7285" s="76">
        <v>45807.0</v>
      </c>
      <c r="B7285" s="1" t="s">
        <v>254</v>
      </c>
      <c r="C7285" s="1" t="s">
        <v>37</v>
      </c>
      <c r="D7285" s="1">
        <v>0.1</v>
      </c>
      <c r="E7285" s="1">
        <v>25756.0</v>
      </c>
      <c r="F7285" s="10">
        <f t="shared" si="1"/>
        <v>0.3333333333</v>
      </c>
      <c r="G7285" s="10">
        <f t="array" ref="G7285">index('Player ID'!C:C,match(E7285,'Player ID'!B:B,0))</f>
        <v>666374</v>
      </c>
    </row>
    <row r="7286">
      <c r="A7286" s="76">
        <v>45807.0</v>
      </c>
      <c r="B7286" s="1" t="s">
        <v>340</v>
      </c>
      <c r="C7286" s="1" t="s">
        <v>37</v>
      </c>
      <c r="D7286" s="1">
        <v>1.0</v>
      </c>
      <c r="E7286" s="1">
        <v>25921.0</v>
      </c>
      <c r="F7286" s="10">
        <f t="shared" si="1"/>
        <v>1</v>
      </c>
      <c r="G7286" s="10">
        <f t="array" ref="G7286">index('Player ID'!C:C,match(E7286,'Player ID'!B:B,0))</f>
        <v>668984</v>
      </c>
    </row>
    <row r="7287">
      <c r="A7287" s="76">
        <v>45807.0</v>
      </c>
      <c r="B7287" s="1" t="s">
        <v>90</v>
      </c>
      <c r="C7287" s="1" t="s">
        <v>37</v>
      </c>
      <c r="D7287" s="1">
        <v>6.2</v>
      </c>
      <c r="E7287" s="1">
        <v>30279.0</v>
      </c>
      <c r="F7287" s="10">
        <f t="shared" si="1"/>
        <v>6.666666667</v>
      </c>
      <c r="G7287" s="10">
        <f t="array" ref="G7287">index('Player ID'!C:C,match(E7287,'Player ID'!B:B,0))</f>
        <v>693433</v>
      </c>
    </row>
    <row r="7288">
      <c r="A7288" s="76">
        <v>45807.0</v>
      </c>
      <c r="B7288" s="1" t="s">
        <v>212</v>
      </c>
      <c r="C7288" s="1" t="s">
        <v>16</v>
      </c>
      <c r="D7288" s="1">
        <v>7.0</v>
      </c>
      <c r="E7288" s="1">
        <v>31827.0</v>
      </c>
      <c r="F7288" s="10">
        <f t="shared" si="1"/>
        <v>7</v>
      </c>
      <c r="G7288" s="10">
        <f t="array" ref="G7288">index('Player ID'!C:C,match(E7288,'Player ID'!B:B,0))</f>
        <v>805673</v>
      </c>
    </row>
    <row r="7289">
      <c r="A7289" s="76">
        <v>45807.0</v>
      </c>
      <c r="B7289" s="1" t="s">
        <v>166</v>
      </c>
      <c r="C7289" s="1" t="s">
        <v>58</v>
      </c>
      <c r="D7289" s="1">
        <v>5.0</v>
      </c>
      <c r="E7289" s="1">
        <v>13743.0</v>
      </c>
      <c r="F7289" s="10">
        <f t="shared" si="1"/>
        <v>5</v>
      </c>
      <c r="G7289" s="10">
        <f t="array" ref="G7289">index('Player ID'!C:C,match(E7289,'Player ID'!B:B,0))</f>
        <v>608331</v>
      </c>
    </row>
    <row r="7290">
      <c r="A7290" s="76">
        <v>45807.0</v>
      </c>
      <c r="B7290" s="1" t="s">
        <v>69</v>
      </c>
      <c r="C7290" s="1" t="s">
        <v>58</v>
      </c>
      <c r="D7290" s="1">
        <v>1.0</v>
      </c>
      <c r="E7290" s="1">
        <v>16814.0</v>
      </c>
      <c r="F7290" s="10">
        <f t="shared" si="1"/>
        <v>1</v>
      </c>
      <c r="G7290" s="10">
        <f t="array" ref="G7290">index('Player ID'!C:C,match(E7290,'Player ID'!B:B,0))</f>
        <v>657612</v>
      </c>
    </row>
    <row r="7291">
      <c r="A7291" s="76">
        <v>45807.0</v>
      </c>
      <c r="B7291" s="1" t="s">
        <v>32</v>
      </c>
      <c r="C7291" s="1" t="s">
        <v>33</v>
      </c>
      <c r="D7291" s="1">
        <v>0.1</v>
      </c>
      <c r="E7291" s="1">
        <v>17586.0</v>
      </c>
      <c r="F7291" s="10">
        <f t="shared" si="1"/>
        <v>0.3333333333</v>
      </c>
      <c r="G7291" s="10">
        <f t="array" ref="G7291">index('Player ID'!C:C,match(E7291,'Player ID'!B:B,0))</f>
        <v>656945</v>
      </c>
    </row>
    <row r="7292">
      <c r="A7292" s="76">
        <v>45807.0</v>
      </c>
      <c r="B7292" s="1" t="s">
        <v>459</v>
      </c>
      <c r="C7292" s="1" t="s">
        <v>33</v>
      </c>
      <c r="D7292" s="1">
        <v>6.0</v>
      </c>
      <c r="E7292" s="1">
        <v>19388.0</v>
      </c>
      <c r="F7292" s="10">
        <f t="shared" si="1"/>
        <v>6</v>
      </c>
      <c r="G7292" s="10">
        <f t="array" ref="G7292">index('Player ID'!C:C,match(E7292,'Player ID'!B:B,0))</f>
        <v>664062</v>
      </c>
    </row>
    <row r="7293">
      <c r="A7293" s="76">
        <v>45807.0</v>
      </c>
      <c r="B7293" s="1" t="s">
        <v>831</v>
      </c>
      <c r="C7293" s="1" t="s">
        <v>58</v>
      </c>
      <c r="D7293" s="1">
        <v>0.1</v>
      </c>
      <c r="E7293" s="1">
        <v>19753.0</v>
      </c>
      <c r="F7293" s="10">
        <f t="shared" si="1"/>
        <v>0.3333333333</v>
      </c>
      <c r="G7293" s="10">
        <f t="array" ref="G7293">index('Player ID'!C:C,match(E7293,'Player ID'!B:B,0))</f>
        <v>642528</v>
      </c>
    </row>
    <row r="7294">
      <c r="A7294" s="76">
        <v>45807.0</v>
      </c>
      <c r="B7294" s="1" t="s">
        <v>309</v>
      </c>
      <c r="C7294" s="1" t="s">
        <v>58</v>
      </c>
      <c r="D7294" s="1">
        <v>0.1</v>
      </c>
      <c r="E7294" s="1">
        <v>21420.0</v>
      </c>
      <c r="F7294" s="10">
        <f t="shared" si="1"/>
        <v>0.3333333333</v>
      </c>
      <c r="G7294" s="10">
        <f t="array" ref="G7294">index('Player ID'!C:C,match(E7294,'Player ID'!B:B,0))</f>
        <v>660787</v>
      </c>
    </row>
    <row r="7295">
      <c r="A7295" s="76">
        <v>45807.0</v>
      </c>
      <c r="B7295" s="1" t="s">
        <v>92</v>
      </c>
      <c r="C7295" s="1" t="s">
        <v>33</v>
      </c>
      <c r="D7295" s="1">
        <v>1.0</v>
      </c>
      <c r="E7295" s="1">
        <v>25007.0</v>
      </c>
      <c r="F7295" s="10">
        <f t="shared" si="1"/>
        <v>1</v>
      </c>
      <c r="G7295" s="10">
        <f t="array" ref="G7295">index('Player ID'!C:C,match(E7295,'Player ID'!B:B,0))</f>
        <v>681911</v>
      </c>
    </row>
    <row r="7296">
      <c r="A7296" s="76">
        <v>45807.0</v>
      </c>
      <c r="B7296" s="1" t="s">
        <v>693</v>
      </c>
      <c r="C7296" s="1" t="s">
        <v>58</v>
      </c>
      <c r="D7296" s="1">
        <v>1.1</v>
      </c>
      <c r="E7296" s="1">
        <v>27702.0</v>
      </c>
      <c r="F7296" s="10">
        <f t="shared" si="1"/>
        <v>1.333333333</v>
      </c>
      <c r="G7296" s="10">
        <f t="array" ref="G7296">index('Player ID'!C:C,match(E7296,'Player ID'!B:B,0))</f>
        <v>687396</v>
      </c>
    </row>
    <row r="7297">
      <c r="A7297" s="76">
        <v>45807.0</v>
      </c>
      <c r="B7297" s="1" t="s">
        <v>104</v>
      </c>
      <c r="C7297" s="1" t="s">
        <v>33</v>
      </c>
      <c r="D7297" s="1">
        <v>1.0</v>
      </c>
      <c r="E7297" s="1">
        <v>30085.0</v>
      </c>
      <c r="F7297" s="10">
        <f t="shared" si="1"/>
        <v>1</v>
      </c>
      <c r="G7297" s="10">
        <f t="array" ref="G7297">index('Player ID'!C:C,match(E7297,'Player ID'!B:B,0))</f>
        <v>676508</v>
      </c>
    </row>
    <row r="7298">
      <c r="A7298" s="76">
        <v>45807.0</v>
      </c>
      <c r="B7298" s="1" t="s">
        <v>206</v>
      </c>
      <c r="C7298" s="1" t="s">
        <v>33</v>
      </c>
      <c r="D7298" s="1">
        <v>0.2</v>
      </c>
      <c r="E7298" s="1">
        <v>30249.0</v>
      </c>
      <c r="F7298" s="10">
        <f t="shared" si="1"/>
        <v>0.6666666667</v>
      </c>
      <c r="G7298" s="10">
        <f t="array" ref="G7298">index('Player ID'!C:C,match(E7298,'Player ID'!B:B,0))</f>
        <v>676263</v>
      </c>
    </row>
    <row r="7299">
      <c r="A7299" s="76">
        <v>45808.0</v>
      </c>
      <c r="B7299" s="1" t="s">
        <v>203</v>
      </c>
      <c r="C7299" s="1" t="s">
        <v>34</v>
      </c>
      <c r="D7299" s="1">
        <v>1.0</v>
      </c>
      <c r="E7299" s="1">
        <v>11426.0</v>
      </c>
      <c r="F7299" s="10">
        <f t="shared" si="1"/>
        <v>1</v>
      </c>
      <c r="G7299" s="10">
        <f t="array" ref="G7299">index('Player ID'!C:C,match(E7299,'Player ID'!B:B,0))</f>
        <v>519141</v>
      </c>
    </row>
    <row r="7300">
      <c r="A7300" s="76">
        <v>45808.0</v>
      </c>
      <c r="B7300" s="1" t="s">
        <v>475</v>
      </c>
      <c r="C7300" s="1" t="s">
        <v>66</v>
      </c>
      <c r="D7300" s="1">
        <v>1.0</v>
      </c>
      <c r="E7300" s="1">
        <v>14993.0</v>
      </c>
      <c r="F7300" s="10">
        <f t="shared" si="1"/>
        <v>1</v>
      </c>
      <c r="G7300" s="10">
        <f t="array" ref="G7300">index('Player ID'!C:C,match(E7300,'Player ID'!B:B,0))</f>
        <v>605130</v>
      </c>
    </row>
    <row r="7301">
      <c r="A7301" s="76">
        <v>45808.0</v>
      </c>
      <c r="B7301" s="1" t="s">
        <v>297</v>
      </c>
      <c r="C7301" s="1" t="s">
        <v>34</v>
      </c>
      <c r="D7301" s="1">
        <v>1.0</v>
      </c>
      <c r="E7301" s="1">
        <v>15734.0</v>
      </c>
      <c r="F7301" s="10">
        <f t="shared" si="1"/>
        <v>1</v>
      </c>
      <c r="G7301" s="10">
        <f t="array" ref="G7301">index('Player ID'!C:C,match(E7301,'Player ID'!B:B,0))</f>
        <v>641745</v>
      </c>
    </row>
    <row r="7302">
      <c r="A7302" s="76">
        <v>45808.0</v>
      </c>
      <c r="B7302" s="1" t="s">
        <v>341</v>
      </c>
      <c r="C7302" s="1" t="s">
        <v>34</v>
      </c>
      <c r="D7302" s="1">
        <v>6.0</v>
      </c>
      <c r="E7302" s="1">
        <v>23590.0</v>
      </c>
      <c r="F7302" s="10">
        <f t="shared" si="1"/>
        <v>6</v>
      </c>
      <c r="G7302" s="10">
        <f t="array" ref="G7302">index('Player ID'!C:C,match(E7302,'Player ID'!B:B,0))</f>
        <v>676962</v>
      </c>
    </row>
    <row r="7303">
      <c r="A7303" s="76">
        <v>45808.0</v>
      </c>
      <c r="B7303" s="1" t="s">
        <v>518</v>
      </c>
      <c r="C7303" s="1" t="s">
        <v>66</v>
      </c>
      <c r="D7303" s="1">
        <v>0.1</v>
      </c>
      <c r="E7303" s="1">
        <v>24581.0</v>
      </c>
      <c r="F7303" s="10">
        <f t="shared" si="1"/>
        <v>0.3333333333</v>
      </c>
      <c r="G7303" s="10">
        <f t="array" ref="G7303">index('Player ID'!C:C,match(E7303,'Player ID'!B:B,0))</f>
        <v>680689</v>
      </c>
    </row>
    <row r="7304">
      <c r="A7304" s="76">
        <v>45808.0</v>
      </c>
      <c r="B7304" s="1" t="s">
        <v>194</v>
      </c>
      <c r="C7304" s="1" t="s">
        <v>66</v>
      </c>
      <c r="D7304" s="1">
        <v>6.0</v>
      </c>
      <c r="E7304" s="1">
        <v>26378.0</v>
      </c>
      <c r="F7304" s="10">
        <f t="shared" si="1"/>
        <v>6</v>
      </c>
      <c r="G7304" s="10">
        <f t="array" ref="G7304">index('Player ID'!C:C,match(E7304,'Player ID'!B:B,0))</f>
        <v>666157</v>
      </c>
    </row>
    <row r="7305">
      <c r="A7305" s="76">
        <v>45808.0</v>
      </c>
      <c r="B7305" s="1" t="s">
        <v>211</v>
      </c>
      <c r="C7305" s="1" t="s">
        <v>66</v>
      </c>
      <c r="D7305" s="1">
        <v>0.2</v>
      </c>
      <c r="E7305" s="1">
        <v>27552.0</v>
      </c>
      <c r="F7305" s="10">
        <f t="shared" si="1"/>
        <v>0.6666666667</v>
      </c>
      <c r="G7305" s="10">
        <f t="array" ref="G7305">index('Player ID'!C:C,match(E7305,'Player ID'!B:B,0))</f>
        <v>668933</v>
      </c>
    </row>
    <row r="7306">
      <c r="A7306" s="76">
        <v>45808.0</v>
      </c>
      <c r="B7306" s="1" t="s">
        <v>167</v>
      </c>
      <c r="C7306" s="1" t="s">
        <v>34</v>
      </c>
      <c r="D7306" s="1">
        <v>1.0</v>
      </c>
      <c r="E7306" s="1">
        <v>27914.0</v>
      </c>
      <c r="F7306" s="10">
        <f t="shared" si="1"/>
        <v>1</v>
      </c>
      <c r="G7306" s="10">
        <f t="array" ref="G7306">index('Player ID'!C:C,match(E7306,'Player ID'!B:B,0))</f>
        <v>694037</v>
      </c>
    </row>
    <row r="7307">
      <c r="A7307" s="76">
        <v>45808.0</v>
      </c>
      <c r="B7307" s="1" t="s">
        <v>311</v>
      </c>
      <c r="C7307" s="1" t="s">
        <v>40</v>
      </c>
      <c r="D7307" s="1">
        <v>1.0</v>
      </c>
      <c r="E7307" s="1">
        <v>17432.0</v>
      </c>
      <c r="F7307" s="10">
        <f t="shared" si="1"/>
        <v>1</v>
      </c>
      <c r="G7307" s="10">
        <f t="array" ref="G7307">index('Player ID'!C:C,match(E7307,'Player ID'!B:B,0))</f>
        <v>656546</v>
      </c>
    </row>
    <row r="7308">
      <c r="A7308" s="76">
        <v>45808.0</v>
      </c>
      <c r="B7308" s="1" t="s">
        <v>505</v>
      </c>
      <c r="C7308" s="1" t="s">
        <v>52</v>
      </c>
      <c r="D7308" s="1">
        <v>1.0</v>
      </c>
      <c r="E7308" s="1">
        <v>19481.0</v>
      </c>
      <c r="F7308" s="10">
        <f t="shared" si="1"/>
        <v>1</v>
      </c>
      <c r="G7308" s="10">
        <f t="array" ref="G7308">index('Player ID'!C:C,match(E7308,'Player ID'!B:B,0))</f>
        <v>621053</v>
      </c>
    </row>
    <row r="7309">
      <c r="A7309" s="76">
        <v>45808.0</v>
      </c>
      <c r="B7309" s="1" t="s">
        <v>395</v>
      </c>
      <c r="C7309" s="1" t="s">
        <v>40</v>
      </c>
      <c r="D7309" s="1">
        <v>0.2</v>
      </c>
      <c r="E7309" s="1">
        <v>21574.0</v>
      </c>
      <c r="F7309" s="10">
        <f t="shared" si="1"/>
        <v>0.6666666667</v>
      </c>
      <c r="G7309" s="10">
        <f t="array" ref="G7309">index('Player ID'!C:C,match(E7309,'Player ID'!B:B,0))</f>
        <v>663893</v>
      </c>
    </row>
    <row r="7310">
      <c r="A7310" s="76">
        <v>45808.0</v>
      </c>
      <c r="B7310" s="1" t="s">
        <v>315</v>
      </c>
      <c r="C7310" s="1" t="s">
        <v>40</v>
      </c>
      <c r="D7310" s="1">
        <v>1.1</v>
      </c>
      <c r="E7310" s="1">
        <v>24609.0</v>
      </c>
      <c r="F7310" s="10">
        <f t="shared" si="1"/>
        <v>1.333333333</v>
      </c>
      <c r="G7310" s="10">
        <f t="array" ref="G7310">index('Player ID'!C:C,match(E7310,'Player ID'!B:B,0))</f>
        <v>680755</v>
      </c>
    </row>
    <row r="7311">
      <c r="A7311" s="76">
        <v>45808.0</v>
      </c>
      <c r="B7311" s="1" t="s">
        <v>577</v>
      </c>
      <c r="C7311" s="1" t="s">
        <v>40</v>
      </c>
      <c r="D7311" s="1">
        <v>4.2</v>
      </c>
      <c r="E7311" s="1">
        <v>26058.0</v>
      </c>
      <c r="F7311" s="10">
        <f t="shared" si="1"/>
        <v>4.666666667</v>
      </c>
      <c r="G7311" s="10">
        <f t="array" ref="G7311">index('Player ID'!C:C,match(E7311,'Player ID'!B:B,0))</f>
        <v>687922</v>
      </c>
    </row>
    <row r="7312">
      <c r="A7312" s="76">
        <v>45808.0</v>
      </c>
      <c r="B7312" s="1" t="s">
        <v>243</v>
      </c>
      <c r="C7312" s="1" t="s">
        <v>52</v>
      </c>
      <c r="D7312" s="1">
        <v>6.0</v>
      </c>
      <c r="E7312" s="1">
        <v>31318.0</v>
      </c>
      <c r="F7312" s="10">
        <f t="shared" si="1"/>
        <v>6</v>
      </c>
      <c r="G7312" s="10">
        <f t="array" ref="G7312">index('Player ID'!C:C,match(E7312,'Player ID'!B:B,0))</f>
        <v>680684</v>
      </c>
    </row>
    <row r="7313">
      <c r="A7313" s="76">
        <v>45808.0</v>
      </c>
      <c r="B7313" s="1" t="s">
        <v>286</v>
      </c>
      <c r="C7313" s="1" t="s">
        <v>52</v>
      </c>
      <c r="D7313" s="1">
        <v>1.0</v>
      </c>
      <c r="E7313" s="1">
        <v>31757.0</v>
      </c>
      <c r="F7313" s="10">
        <f t="shared" si="1"/>
        <v>1</v>
      </c>
      <c r="G7313" s="10">
        <f t="array" ref="G7313">index('Player ID'!C:C,match(E7313,'Player ID'!B:B,0))</f>
        <v>695243</v>
      </c>
    </row>
    <row r="7314">
      <c r="A7314" s="76">
        <v>45808.0</v>
      </c>
      <c r="B7314" s="1" t="s">
        <v>427</v>
      </c>
      <c r="C7314" s="1" t="s">
        <v>40</v>
      </c>
      <c r="D7314" s="1">
        <v>1.1</v>
      </c>
      <c r="E7314" s="1">
        <v>33838.0</v>
      </c>
      <c r="F7314" s="10">
        <f t="shared" si="1"/>
        <v>1.333333333</v>
      </c>
      <c r="G7314" s="10">
        <f t="array" ref="G7314">index('Player ID'!C:C,match(E7314,'Player ID'!B:B,0))</f>
        <v>684320</v>
      </c>
    </row>
    <row r="7315">
      <c r="A7315" s="76">
        <v>45808.0</v>
      </c>
      <c r="B7315" s="1" t="s">
        <v>245</v>
      </c>
      <c r="C7315" s="1" t="s">
        <v>56</v>
      </c>
      <c r="D7315" s="1">
        <v>5.1</v>
      </c>
      <c r="E7315" s="1">
        <v>9323.0</v>
      </c>
      <c r="F7315" s="10">
        <f t="shared" si="1"/>
        <v>5.333333333</v>
      </c>
      <c r="G7315" s="10">
        <f t="array" ref="G7315">index('Player ID'!C:C,match(E7315,'Player ID'!B:B,0))</f>
        <v>571578</v>
      </c>
    </row>
    <row r="7316">
      <c r="A7316" s="76">
        <v>45808.0</v>
      </c>
      <c r="B7316" s="1" t="s">
        <v>95</v>
      </c>
      <c r="C7316" s="1" t="s">
        <v>72</v>
      </c>
      <c r="D7316" s="1">
        <v>7.0</v>
      </c>
      <c r="E7316" s="1">
        <v>12768.0</v>
      </c>
      <c r="F7316" s="10">
        <f t="shared" si="1"/>
        <v>7</v>
      </c>
      <c r="G7316" s="10">
        <f t="array" ref="G7316">index('Player ID'!C:C,match(E7316,'Player ID'!B:B,0))</f>
        <v>543243</v>
      </c>
    </row>
    <row r="7317">
      <c r="A7317" s="76">
        <v>45808.0</v>
      </c>
      <c r="B7317" s="1" t="s">
        <v>151</v>
      </c>
      <c r="C7317" s="1" t="s">
        <v>56</v>
      </c>
      <c r="D7317" s="1">
        <v>1.0</v>
      </c>
      <c r="E7317" s="1">
        <v>13346.0</v>
      </c>
      <c r="F7317" s="10">
        <f t="shared" si="1"/>
        <v>1</v>
      </c>
      <c r="G7317" s="10">
        <f t="array" ref="G7317">index('Player ID'!C:C,match(E7317,'Player ID'!B:B,0))</f>
        <v>571948</v>
      </c>
    </row>
    <row r="7318">
      <c r="A7318" s="76">
        <v>45808.0</v>
      </c>
      <c r="B7318" s="1" t="s">
        <v>190</v>
      </c>
      <c r="C7318" s="1" t="s">
        <v>72</v>
      </c>
      <c r="D7318" s="1">
        <v>1.0</v>
      </c>
      <c r="E7318" s="1">
        <v>18064.0</v>
      </c>
      <c r="F7318" s="10">
        <f t="shared" si="1"/>
        <v>1</v>
      </c>
      <c r="G7318" s="10">
        <f t="array" ref="G7318">index('Player ID'!C:C,match(E7318,'Player ID'!B:B,0))</f>
        <v>664208</v>
      </c>
    </row>
    <row r="7319">
      <c r="A7319" s="76">
        <v>45808.0</v>
      </c>
      <c r="B7319" s="1" t="s">
        <v>270</v>
      </c>
      <c r="C7319" s="1" t="s">
        <v>72</v>
      </c>
      <c r="D7319" s="1">
        <v>1.0</v>
      </c>
      <c r="E7319" s="1">
        <v>18138.0</v>
      </c>
      <c r="F7319" s="10">
        <f t="shared" si="1"/>
        <v>1</v>
      </c>
      <c r="G7319" s="10">
        <f t="array" ref="G7319">index('Player ID'!C:C,match(E7319,'Player ID'!B:B,0))</f>
        <v>664854</v>
      </c>
    </row>
    <row r="7320">
      <c r="A7320" s="76">
        <v>45808.0</v>
      </c>
      <c r="B7320" s="1" t="s">
        <v>87</v>
      </c>
      <c r="C7320" s="1" t="s">
        <v>56</v>
      </c>
      <c r="D7320" s="1">
        <v>1.0</v>
      </c>
      <c r="E7320" s="1">
        <v>19274.0</v>
      </c>
      <c r="F7320" s="10">
        <f t="shared" si="1"/>
        <v>1</v>
      </c>
      <c r="G7320" s="10">
        <f t="array" ref="G7320">index('Player ID'!C:C,match(E7320,'Player ID'!B:B,0))</f>
        <v>657097</v>
      </c>
    </row>
    <row r="7321">
      <c r="A7321" s="76">
        <v>45808.0</v>
      </c>
      <c r="B7321" s="1" t="s">
        <v>502</v>
      </c>
      <c r="C7321" s="1" t="s">
        <v>56</v>
      </c>
      <c r="D7321" s="1">
        <v>1.2</v>
      </c>
      <c r="E7321" s="1">
        <v>22113.0</v>
      </c>
      <c r="F7321" s="10">
        <f t="shared" si="1"/>
        <v>1.666666667</v>
      </c>
      <c r="G7321" s="10">
        <f t="array" ref="G7321">index('Player ID'!C:C,match(E7321,'Player ID'!B:B,0))</f>
        <v>668390</v>
      </c>
    </row>
    <row r="7322">
      <c r="A7322" s="76">
        <v>45808.0</v>
      </c>
      <c r="B7322" s="1" t="s">
        <v>851</v>
      </c>
      <c r="C7322" s="1" t="s">
        <v>78</v>
      </c>
      <c r="D7322" s="1">
        <v>1.0</v>
      </c>
      <c r="E7322" s="1">
        <v>16507.0</v>
      </c>
      <c r="F7322" s="10">
        <f t="shared" si="1"/>
        <v>1</v>
      </c>
      <c r="G7322" s="10" t="str">
        <f t="array" ref="G7322">index('Player ID'!C:C,match(E7322,'Player ID'!B:B,0))</f>
        <v>#N/A</v>
      </c>
    </row>
    <row r="7323">
      <c r="A7323" s="76">
        <v>45808.0</v>
      </c>
      <c r="B7323" s="1" t="s">
        <v>639</v>
      </c>
      <c r="C7323" s="1" t="s">
        <v>68</v>
      </c>
      <c r="D7323" s="1">
        <v>1.0</v>
      </c>
      <c r="E7323" s="1">
        <v>19249.0</v>
      </c>
      <c r="F7323" s="10">
        <f t="shared" si="1"/>
        <v>1</v>
      </c>
      <c r="G7323" s="10">
        <f t="array" ref="G7323">index('Player ID'!C:C,match(E7323,'Player ID'!B:B,0))</f>
        <v>622554</v>
      </c>
    </row>
    <row r="7324">
      <c r="A7324" s="76">
        <v>45808.0</v>
      </c>
      <c r="B7324" s="1" t="s">
        <v>294</v>
      </c>
      <c r="C7324" s="1" t="s">
        <v>68</v>
      </c>
      <c r="D7324" s="1">
        <v>6.0</v>
      </c>
      <c r="E7324" s="1">
        <v>19350.0</v>
      </c>
      <c r="F7324" s="10">
        <f t="shared" si="1"/>
        <v>6</v>
      </c>
      <c r="G7324" s="10">
        <f t="array" ref="G7324">index('Player ID'!C:C,match(E7324,'Player ID'!B:B,0))</f>
        <v>665152</v>
      </c>
    </row>
    <row r="7325">
      <c r="A7325" s="76">
        <v>45808.0</v>
      </c>
      <c r="B7325" s="1" t="s">
        <v>231</v>
      </c>
      <c r="C7325" s="1" t="s">
        <v>68</v>
      </c>
      <c r="D7325" s="1">
        <v>0.2</v>
      </c>
      <c r="E7325" s="1">
        <v>19362.0</v>
      </c>
      <c r="F7325" s="10">
        <f t="shared" si="1"/>
        <v>0.6666666667</v>
      </c>
      <c r="G7325" s="10">
        <f t="array" ref="G7325">index('Player ID'!C:C,match(E7325,'Player ID'!B:B,0))</f>
        <v>669211</v>
      </c>
    </row>
    <row r="7326">
      <c r="A7326" s="76">
        <v>45808.0</v>
      </c>
      <c r="B7326" s="1" t="s">
        <v>698</v>
      </c>
      <c r="C7326" s="1" t="s">
        <v>68</v>
      </c>
      <c r="D7326" s="1">
        <v>1.0</v>
      </c>
      <c r="E7326" s="1">
        <v>20666.0</v>
      </c>
      <c r="F7326" s="10">
        <f t="shared" si="1"/>
        <v>1</v>
      </c>
      <c r="G7326" s="10">
        <f t="array" ref="G7326">index('Player ID'!C:C,match(E7326,'Player ID'!B:B,0))</f>
        <v>642585</v>
      </c>
    </row>
    <row r="7327">
      <c r="A7327" s="76">
        <v>45808.0</v>
      </c>
      <c r="B7327" s="1" t="s">
        <v>335</v>
      </c>
      <c r="C7327" s="1" t="s">
        <v>78</v>
      </c>
      <c r="D7327" s="1">
        <v>6.0</v>
      </c>
      <c r="E7327" s="1">
        <v>21448.0</v>
      </c>
      <c r="F7327" s="10">
        <f t="shared" si="1"/>
        <v>6</v>
      </c>
      <c r="G7327" s="10">
        <f t="array" ref="G7327">index('Player ID'!C:C,match(E7327,'Player ID'!B:B,0))</f>
        <v>663436</v>
      </c>
    </row>
    <row r="7328">
      <c r="A7328" s="76">
        <v>45808.0</v>
      </c>
      <c r="B7328" s="1" t="s">
        <v>235</v>
      </c>
      <c r="C7328" s="1" t="s">
        <v>68</v>
      </c>
      <c r="D7328" s="1">
        <v>0.1</v>
      </c>
      <c r="E7328" s="1">
        <v>25911.0</v>
      </c>
      <c r="F7328" s="10">
        <f t="shared" si="1"/>
        <v>0.3333333333</v>
      </c>
      <c r="G7328" s="10">
        <f t="array" ref="G7328">index('Player ID'!C:C,match(E7328,'Player ID'!B:B,0))</f>
        <v>666974</v>
      </c>
    </row>
    <row r="7329">
      <c r="A7329" s="76">
        <v>45808.0</v>
      </c>
      <c r="B7329" s="1" t="s">
        <v>317</v>
      </c>
      <c r="C7329" s="1" t="s">
        <v>78</v>
      </c>
      <c r="D7329" s="1">
        <v>1.0</v>
      </c>
      <c r="E7329" s="1">
        <v>29950.0</v>
      </c>
      <c r="F7329" s="10">
        <f t="shared" si="1"/>
        <v>1</v>
      </c>
      <c r="G7329" s="10">
        <f t="array" ref="G7329">index('Player ID'!C:C,match(E7329,'Player ID'!B:B,0))</f>
        <v>673929</v>
      </c>
    </row>
    <row r="7330">
      <c r="A7330" s="76">
        <v>45808.0</v>
      </c>
      <c r="B7330" s="1" t="s">
        <v>360</v>
      </c>
      <c r="C7330" s="1" t="s">
        <v>45</v>
      </c>
      <c r="D7330" s="1">
        <v>1.2</v>
      </c>
      <c r="E7330" s="1">
        <v>12972.0</v>
      </c>
      <c r="F7330" s="10">
        <f t="shared" si="1"/>
        <v>1.666666667</v>
      </c>
      <c r="G7330" s="10">
        <f t="array" ref="G7330">index('Player ID'!C:C,match(E7330,'Player ID'!B:B,0))</f>
        <v>605452</v>
      </c>
    </row>
    <row r="7331">
      <c r="A7331" s="76">
        <v>45808.0</v>
      </c>
      <c r="B7331" s="1" t="s">
        <v>699</v>
      </c>
      <c r="C7331" s="1" t="s">
        <v>45</v>
      </c>
      <c r="D7331" s="1">
        <v>1.0</v>
      </c>
      <c r="E7331" s="1">
        <v>14552.0</v>
      </c>
      <c r="F7331" s="10">
        <f t="shared" si="1"/>
        <v>1</v>
      </c>
      <c r="G7331" s="10">
        <f t="array" ref="G7331">index('Player ID'!C:C,match(E7331,'Player ID'!B:B,0))</f>
        <v>614179</v>
      </c>
    </row>
    <row r="7332">
      <c r="A7332" s="76">
        <v>45808.0</v>
      </c>
      <c r="B7332" s="1" t="s">
        <v>724</v>
      </c>
      <c r="C7332" s="1" t="s">
        <v>14</v>
      </c>
      <c r="D7332" s="1">
        <v>1.0</v>
      </c>
      <c r="E7332" s="1">
        <v>15094.0</v>
      </c>
      <c r="F7332" s="10">
        <f t="shared" si="1"/>
        <v>1</v>
      </c>
      <c r="G7332" s="10">
        <f t="array" ref="G7332">index('Player ID'!C:C,match(E7332,'Player ID'!B:B,0))</f>
        <v>642239</v>
      </c>
    </row>
    <row r="7333">
      <c r="A7333" s="76">
        <v>45808.0</v>
      </c>
      <c r="B7333" s="1" t="s">
        <v>138</v>
      </c>
      <c r="C7333" s="1" t="s">
        <v>45</v>
      </c>
      <c r="D7333" s="1">
        <v>1.0</v>
      </c>
      <c r="E7333" s="1">
        <v>16990.0</v>
      </c>
      <c r="F7333" s="10">
        <f t="shared" si="1"/>
        <v>1</v>
      </c>
      <c r="G7333" s="10">
        <f t="array" ref="G7333">index('Player ID'!C:C,match(E7333,'Player ID'!B:B,0))</f>
        <v>621383</v>
      </c>
    </row>
    <row r="7334">
      <c r="A7334" s="76">
        <v>45808.0</v>
      </c>
      <c r="B7334" s="1" t="s">
        <v>187</v>
      </c>
      <c r="C7334" s="1" t="s">
        <v>14</v>
      </c>
      <c r="D7334" s="1">
        <v>1.0</v>
      </c>
      <c r="E7334" s="1">
        <v>17735.0</v>
      </c>
      <c r="F7334" s="10">
        <f t="shared" si="1"/>
        <v>1</v>
      </c>
      <c r="G7334" s="10">
        <f t="array" ref="G7334">index('Player ID'!C:C,match(E7334,'Player ID'!B:B,0))</f>
        <v>641302</v>
      </c>
    </row>
    <row r="7335">
      <c r="A7335" s="76">
        <v>45808.0</v>
      </c>
      <c r="B7335" s="1" t="s">
        <v>855</v>
      </c>
      <c r="C7335" s="1" t="s">
        <v>45</v>
      </c>
      <c r="D7335" s="1">
        <v>2.0</v>
      </c>
      <c r="E7335" s="1">
        <v>19358.0</v>
      </c>
      <c r="F7335" s="10">
        <f t="shared" si="1"/>
        <v>2</v>
      </c>
      <c r="G7335" s="10" t="str">
        <f t="array" ref="G7335">index('Player ID'!C:C,match(E7335,'Player ID'!B:B,0))</f>
        <v>#N/A</v>
      </c>
    </row>
    <row r="7336">
      <c r="A7336" s="76">
        <v>45808.0</v>
      </c>
      <c r="B7336" s="1" t="s">
        <v>700</v>
      </c>
      <c r="C7336" s="1" t="s">
        <v>45</v>
      </c>
      <c r="D7336" s="1">
        <v>3.1</v>
      </c>
      <c r="E7336" s="1">
        <v>19959.0</v>
      </c>
      <c r="F7336" s="10">
        <f t="shared" si="1"/>
        <v>3.333333333</v>
      </c>
      <c r="G7336" s="10">
        <f t="array" ref="G7336">index('Player ID'!C:C,match(E7336,'Player ID'!B:B,0))</f>
        <v>666200</v>
      </c>
    </row>
    <row r="7337">
      <c r="A7337" s="76">
        <v>45808.0</v>
      </c>
      <c r="B7337" s="1" t="s">
        <v>318</v>
      </c>
      <c r="C7337" s="1" t="s">
        <v>14</v>
      </c>
      <c r="D7337" s="1">
        <v>1.0</v>
      </c>
      <c r="E7337" s="1">
        <v>20546.0</v>
      </c>
      <c r="F7337" s="10">
        <f t="shared" si="1"/>
        <v>1</v>
      </c>
      <c r="G7337" s="10">
        <f t="array" ref="G7337">index('Player ID'!C:C,match(E7337,'Player ID'!B:B,0))</f>
        <v>681982</v>
      </c>
    </row>
    <row r="7338">
      <c r="A7338" s="76">
        <v>45808.0</v>
      </c>
      <c r="B7338" s="1" t="s">
        <v>496</v>
      </c>
      <c r="C7338" s="1" t="s">
        <v>14</v>
      </c>
      <c r="D7338" s="1">
        <v>6.0</v>
      </c>
      <c r="E7338" s="1">
        <v>30113.0</v>
      </c>
      <c r="F7338" s="10">
        <f t="shared" si="1"/>
        <v>6</v>
      </c>
      <c r="G7338" s="10">
        <f t="array" ref="G7338">index('Player ID'!C:C,match(E7338,'Player ID'!B:B,0))</f>
        <v>694477</v>
      </c>
    </row>
    <row r="7339">
      <c r="A7339" s="76">
        <v>45808.0</v>
      </c>
      <c r="B7339" s="1" t="s">
        <v>660</v>
      </c>
      <c r="C7339" s="1" t="s">
        <v>25</v>
      </c>
      <c r="D7339" s="1">
        <v>0.1</v>
      </c>
      <c r="E7339" s="1">
        <v>11804.0</v>
      </c>
      <c r="F7339" s="10">
        <f t="shared" si="1"/>
        <v>0.3333333333</v>
      </c>
      <c r="G7339" s="10">
        <f t="array" ref="G7339">index('Player ID'!C:C,match(E7339,'Player ID'!B:B,0))</f>
        <v>593576</v>
      </c>
    </row>
    <row r="7340">
      <c r="A7340" s="76">
        <v>45808.0</v>
      </c>
      <c r="B7340" s="1" t="s">
        <v>399</v>
      </c>
      <c r="C7340" s="1" t="s">
        <v>25</v>
      </c>
      <c r="D7340" s="1">
        <v>5.2</v>
      </c>
      <c r="E7340" s="1">
        <v>12049.0</v>
      </c>
      <c r="F7340" s="10">
        <f t="shared" si="1"/>
        <v>5.666666667</v>
      </c>
      <c r="G7340" s="10">
        <f t="array" ref="G7340">index('Player ID'!C:C,match(E7340,'Player ID'!B:B,0))</f>
        <v>543294</v>
      </c>
    </row>
    <row r="7341">
      <c r="A7341" s="76">
        <v>45808.0</v>
      </c>
      <c r="B7341" s="1" t="s">
        <v>132</v>
      </c>
      <c r="C7341" s="1" t="s">
        <v>70</v>
      </c>
      <c r="D7341" s="1">
        <v>1.0</v>
      </c>
      <c r="E7341" s="1">
        <v>21032.0</v>
      </c>
      <c r="F7341" s="10">
        <f t="shared" si="1"/>
        <v>1</v>
      </c>
      <c r="G7341" s="10">
        <f t="array" ref="G7341">index('Player ID'!C:C,match(E7341,'Player ID'!B:B,0))</f>
        <v>661403</v>
      </c>
    </row>
    <row r="7342">
      <c r="A7342" s="76">
        <v>45808.0</v>
      </c>
      <c r="B7342" s="1" t="s">
        <v>283</v>
      </c>
      <c r="C7342" s="1" t="s">
        <v>25</v>
      </c>
      <c r="D7342" s="1">
        <v>1.1</v>
      </c>
      <c r="E7342" s="1">
        <v>21205.0</v>
      </c>
      <c r="F7342" s="10">
        <f t="shared" si="1"/>
        <v>1.333333333</v>
      </c>
      <c r="G7342" s="10">
        <f t="array" ref="G7342">index('Player ID'!C:C,match(E7342,'Player ID'!B:B,0))</f>
        <v>641401</v>
      </c>
    </row>
    <row r="7343">
      <c r="A7343" s="76">
        <v>45808.0</v>
      </c>
      <c r="B7343" s="1" t="s">
        <v>385</v>
      </c>
      <c r="C7343" s="1" t="s">
        <v>25</v>
      </c>
      <c r="D7343" s="1">
        <v>0.2</v>
      </c>
      <c r="E7343" s="1">
        <v>25420.0</v>
      </c>
      <c r="F7343" s="10">
        <f t="shared" si="1"/>
        <v>0.6666666667</v>
      </c>
      <c r="G7343" s="10">
        <f t="array" ref="G7343">index('Player ID'!C:C,match(E7343,'Player ID'!B:B,0))</f>
        <v>666171</v>
      </c>
    </row>
    <row r="7344">
      <c r="A7344" s="76">
        <v>45808.0</v>
      </c>
      <c r="B7344" s="1" t="s">
        <v>375</v>
      </c>
      <c r="C7344" s="1" t="s">
        <v>70</v>
      </c>
      <c r="D7344" s="1">
        <v>1.0</v>
      </c>
      <c r="E7344" s="1">
        <v>25553.0</v>
      </c>
      <c r="F7344" s="10">
        <f t="shared" si="1"/>
        <v>1</v>
      </c>
      <c r="G7344" s="10" t="str">
        <f t="array" ref="G7344">index('Player ID'!C:C,match(E7344,'Player ID'!B:B,0))</f>
        <v>#N/A</v>
      </c>
    </row>
    <row r="7345">
      <c r="A7345" s="76">
        <v>45808.0</v>
      </c>
      <c r="B7345" s="1" t="s">
        <v>238</v>
      </c>
      <c r="C7345" s="1" t="s">
        <v>70</v>
      </c>
      <c r="D7345" s="1">
        <v>0.2</v>
      </c>
      <c r="E7345" s="1">
        <v>25636.0</v>
      </c>
      <c r="F7345" s="10">
        <f t="shared" si="1"/>
        <v>0.6666666667</v>
      </c>
      <c r="G7345" s="10">
        <f t="array" ref="G7345">index('Player ID'!C:C,match(E7345,'Player ID'!B:B,0))</f>
        <v>683769</v>
      </c>
    </row>
    <row r="7346">
      <c r="A7346" s="76">
        <v>45808.0</v>
      </c>
      <c r="B7346" s="1" t="s">
        <v>306</v>
      </c>
      <c r="C7346" s="1" t="s">
        <v>70</v>
      </c>
      <c r="D7346" s="1">
        <v>4.1</v>
      </c>
      <c r="E7346" s="1">
        <v>27500.0</v>
      </c>
      <c r="F7346" s="10">
        <f t="shared" si="1"/>
        <v>4.333333333</v>
      </c>
      <c r="G7346" s="10">
        <f t="array" ref="G7346">index('Player ID'!C:C,match(E7346,'Player ID'!B:B,0))</f>
        <v>677944</v>
      </c>
    </row>
    <row r="7347">
      <c r="A7347" s="76">
        <v>45808.0</v>
      </c>
      <c r="B7347" s="1" t="s">
        <v>372</v>
      </c>
      <c r="C7347" s="1" t="s">
        <v>70</v>
      </c>
      <c r="D7347" s="1">
        <v>1.0</v>
      </c>
      <c r="E7347" s="1">
        <v>27589.0</v>
      </c>
      <c r="F7347" s="10">
        <f t="shared" si="1"/>
        <v>1</v>
      </c>
      <c r="G7347" s="10">
        <f t="array" ref="G7347">index('Player ID'!C:C,match(E7347,'Player ID'!B:B,0))</f>
        <v>671106</v>
      </c>
    </row>
    <row r="7348">
      <c r="A7348" s="76">
        <v>45808.0</v>
      </c>
      <c r="B7348" s="1" t="s">
        <v>135</v>
      </c>
      <c r="C7348" s="1" t="s">
        <v>70</v>
      </c>
      <c r="D7348" s="1">
        <v>1.0</v>
      </c>
      <c r="E7348" s="1">
        <v>27867.0</v>
      </c>
      <c r="F7348" s="10">
        <f t="shared" si="1"/>
        <v>1</v>
      </c>
      <c r="G7348" s="10">
        <f t="array" ref="G7348">index('Player ID'!C:C,match(E7348,'Player ID'!B:B,0))</f>
        <v>671922</v>
      </c>
    </row>
    <row r="7349">
      <c r="A7349" s="76">
        <v>45808.0</v>
      </c>
      <c r="B7349" s="1" t="s">
        <v>742</v>
      </c>
      <c r="C7349" s="1" t="s">
        <v>51</v>
      </c>
      <c r="D7349" s="1">
        <v>1.0</v>
      </c>
      <c r="E7349" s="1">
        <v>12763.0</v>
      </c>
      <c r="F7349" s="10">
        <f t="shared" si="1"/>
        <v>1</v>
      </c>
      <c r="G7349" s="10">
        <f t="array" ref="G7349">index('Player ID'!C:C,match(E7349,'Player ID'!B:B,0))</f>
        <v>606965</v>
      </c>
    </row>
    <row r="7350">
      <c r="A7350" s="76">
        <v>45808.0</v>
      </c>
      <c r="B7350" s="1" t="s">
        <v>481</v>
      </c>
      <c r="C7350" s="1" t="s">
        <v>75</v>
      </c>
      <c r="D7350" s="1">
        <v>4.0</v>
      </c>
      <c r="E7350" s="1">
        <v>15488.0</v>
      </c>
      <c r="F7350" s="10">
        <f t="shared" si="1"/>
        <v>4</v>
      </c>
      <c r="G7350" s="10">
        <f t="array" ref="G7350">index('Player ID'!C:C,match(E7350,'Player ID'!B:B,0))</f>
        <v>622608</v>
      </c>
    </row>
    <row r="7351">
      <c r="A7351" s="76">
        <v>45808.0</v>
      </c>
      <c r="B7351" s="1" t="s">
        <v>305</v>
      </c>
      <c r="C7351" s="1" t="s">
        <v>75</v>
      </c>
      <c r="D7351" s="1">
        <v>2.0</v>
      </c>
      <c r="E7351" s="1">
        <v>22200.0</v>
      </c>
      <c r="F7351" s="10">
        <f t="shared" si="1"/>
        <v>2</v>
      </c>
      <c r="G7351" s="10">
        <f t="array" ref="G7351">index('Player ID'!C:C,match(E7351,'Player ID'!B:B,0))</f>
        <v>669020</v>
      </c>
    </row>
    <row r="7352">
      <c r="A7352" s="76">
        <v>45808.0</v>
      </c>
      <c r="B7352" s="1" t="s">
        <v>468</v>
      </c>
      <c r="C7352" s="1" t="s">
        <v>75</v>
      </c>
      <c r="D7352" s="1">
        <v>1.0</v>
      </c>
      <c r="E7352" s="1">
        <v>23237.0</v>
      </c>
      <c r="F7352" s="10">
        <f t="shared" si="1"/>
        <v>1</v>
      </c>
      <c r="G7352" s="10">
        <f t="array" ref="G7352">index('Player ID'!C:C,match(E7352,'Player ID'!B:B,0))</f>
        <v>675848</v>
      </c>
    </row>
    <row r="7353">
      <c r="A7353" s="76">
        <v>45808.0</v>
      </c>
      <c r="B7353" s="1" t="s">
        <v>712</v>
      </c>
      <c r="C7353" s="1" t="s">
        <v>51</v>
      </c>
      <c r="D7353" s="1">
        <v>1.2</v>
      </c>
      <c r="E7353" s="1">
        <v>23313.0</v>
      </c>
      <c r="F7353" s="10">
        <f t="shared" si="1"/>
        <v>1.666666667</v>
      </c>
      <c r="G7353" s="10">
        <f t="array" ref="G7353">index('Player ID'!C:C,match(E7353,'Player ID'!B:B,0))</f>
        <v>676130</v>
      </c>
    </row>
    <row r="7354">
      <c r="A7354" s="76">
        <v>45808.0</v>
      </c>
      <c r="B7354" s="1" t="s">
        <v>365</v>
      </c>
      <c r="C7354" s="1" t="s">
        <v>75</v>
      </c>
      <c r="D7354" s="1">
        <v>1.0</v>
      </c>
      <c r="E7354" s="1">
        <v>24614.0</v>
      </c>
      <c r="F7354" s="10">
        <f t="shared" si="1"/>
        <v>1</v>
      </c>
      <c r="G7354" s="10">
        <f t="array" ref="G7354">index('Player ID'!C:C,match(E7354,'Player ID'!B:B,0))</f>
        <v>680767</v>
      </c>
    </row>
    <row r="7355">
      <c r="A7355" s="76">
        <v>45808.0</v>
      </c>
      <c r="B7355" s="1" t="s">
        <v>461</v>
      </c>
      <c r="C7355" s="1" t="s">
        <v>51</v>
      </c>
      <c r="D7355" s="1">
        <v>6.1</v>
      </c>
      <c r="E7355" s="1">
        <v>31838.0</v>
      </c>
      <c r="F7355" s="10">
        <f t="shared" si="1"/>
        <v>6.333333333</v>
      </c>
      <c r="G7355" s="10">
        <f t="array" ref="G7355">index('Player ID'!C:C,match(E7355,'Player ID'!B:B,0))</f>
        <v>673540</v>
      </c>
    </row>
    <row r="7356">
      <c r="A7356" s="76">
        <v>45808.0</v>
      </c>
      <c r="B7356" s="1" t="s">
        <v>147</v>
      </c>
      <c r="C7356" s="1" t="s">
        <v>29</v>
      </c>
      <c r="D7356" s="1">
        <v>7.0</v>
      </c>
      <c r="E7356" s="1">
        <v>14078.0</v>
      </c>
      <c r="F7356" s="10">
        <f t="shared" si="1"/>
        <v>7</v>
      </c>
      <c r="G7356" s="10">
        <f t="array" ref="G7356">index('Player ID'!C:C,match(E7356,'Player ID'!B:B,0))</f>
        <v>608379</v>
      </c>
    </row>
    <row r="7357">
      <c r="A7357" s="76">
        <v>45808.0</v>
      </c>
      <c r="B7357" s="1" t="s">
        <v>649</v>
      </c>
      <c r="C7357" s="1" t="s">
        <v>29</v>
      </c>
      <c r="D7357" s="1">
        <v>1.0</v>
      </c>
      <c r="E7357" s="1">
        <v>14542.0</v>
      </c>
      <c r="F7357" s="10">
        <f t="shared" si="1"/>
        <v>1</v>
      </c>
      <c r="G7357" s="10">
        <f t="array" ref="G7357">index('Player ID'!C:C,match(E7357,'Player ID'!B:B,0))</f>
        <v>608032</v>
      </c>
    </row>
    <row r="7358">
      <c r="A7358" s="76">
        <v>45808.0</v>
      </c>
      <c r="B7358" s="1" t="s">
        <v>144</v>
      </c>
      <c r="C7358" s="1" t="s">
        <v>29</v>
      </c>
      <c r="D7358" s="1">
        <v>1.0</v>
      </c>
      <c r="E7358" s="1">
        <v>20020.0</v>
      </c>
      <c r="F7358" s="10">
        <f t="shared" si="1"/>
        <v>1</v>
      </c>
      <c r="G7358" s="10">
        <f t="array" ref="G7358">index('Player ID'!C:C,match(E7358,'Player ID'!B:B,0))</f>
        <v>670167</v>
      </c>
    </row>
    <row r="7359">
      <c r="A7359" s="76">
        <v>45808.0</v>
      </c>
      <c r="B7359" s="1" t="s">
        <v>84</v>
      </c>
      <c r="C7359" s="1" t="s">
        <v>62</v>
      </c>
      <c r="D7359" s="1">
        <v>7.0</v>
      </c>
      <c r="E7359" s="1">
        <v>22267.0</v>
      </c>
      <c r="F7359" s="10">
        <f t="shared" si="1"/>
        <v>7</v>
      </c>
      <c r="G7359" s="10">
        <f t="array" ref="G7359">index('Player ID'!C:C,match(E7359,'Player ID'!B:B,0))</f>
        <v>669373</v>
      </c>
    </row>
    <row r="7360">
      <c r="A7360" s="76">
        <v>45808.0</v>
      </c>
      <c r="B7360" s="1" t="s">
        <v>667</v>
      </c>
      <c r="C7360" s="1" t="s">
        <v>62</v>
      </c>
      <c r="D7360" s="1">
        <v>1.0</v>
      </c>
      <c r="E7360" s="1">
        <v>26079.0</v>
      </c>
      <c r="F7360" s="10">
        <f t="shared" si="1"/>
        <v>1</v>
      </c>
      <c r="G7360" s="10">
        <f t="array" ref="G7360">index('Player ID'!C:C,match(E7360,'Player ID'!B:B,0))</f>
        <v>689225</v>
      </c>
    </row>
    <row r="7361">
      <c r="A7361" s="76">
        <v>45808.0</v>
      </c>
      <c r="B7361" s="1" t="s">
        <v>326</v>
      </c>
      <c r="C7361" s="1" t="s">
        <v>46</v>
      </c>
      <c r="D7361" s="1">
        <v>1.0</v>
      </c>
      <c r="E7361" s="1">
        <v>12760.0</v>
      </c>
      <c r="F7361" s="10">
        <f t="shared" si="1"/>
        <v>1</v>
      </c>
      <c r="G7361" s="10">
        <f t="array" ref="G7361">index('Player ID'!C:C,match(E7361,'Player ID'!B:B,0))</f>
        <v>606160</v>
      </c>
    </row>
    <row r="7362">
      <c r="A7362" s="76">
        <v>45808.0</v>
      </c>
      <c r="B7362" s="1" t="s">
        <v>762</v>
      </c>
      <c r="C7362" s="1" t="s">
        <v>22</v>
      </c>
      <c r="D7362" s="1">
        <v>2.0</v>
      </c>
      <c r="E7362" s="1">
        <v>16074.0</v>
      </c>
      <c r="F7362" s="10">
        <f t="shared" si="1"/>
        <v>2</v>
      </c>
      <c r="G7362" s="10">
        <f t="array" ref="G7362">index('Player ID'!C:C,match(E7362,'Player ID'!B:B,0))</f>
        <v>595897</v>
      </c>
    </row>
    <row r="7363">
      <c r="A7363" s="76">
        <v>45808.0</v>
      </c>
      <c r="B7363" s="1" t="s">
        <v>493</v>
      </c>
      <c r="C7363" s="1" t="s">
        <v>22</v>
      </c>
      <c r="D7363" s="1">
        <v>0.1</v>
      </c>
      <c r="E7363" s="1">
        <v>16835.0</v>
      </c>
      <c r="F7363" s="10">
        <f t="shared" si="1"/>
        <v>0.3333333333</v>
      </c>
      <c r="G7363" s="10">
        <f t="array" ref="G7363">index('Player ID'!C:C,match(E7363,'Player ID'!B:B,0))</f>
        <v>657514</v>
      </c>
    </row>
    <row r="7364">
      <c r="A7364" s="76">
        <v>45808.0</v>
      </c>
      <c r="B7364" s="1" t="s">
        <v>405</v>
      </c>
      <c r="C7364" s="1" t="s">
        <v>22</v>
      </c>
      <c r="D7364" s="1">
        <v>5.2</v>
      </c>
      <c r="E7364" s="1">
        <v>19374.0</v>
      </c>
      <c r="F7364" s="10">
        <f t="shared" si="1"/>
        <v>5.666666667</v>
      </c>
      <c r="G7364" s="10">
        <f t="array" ref="G7364">index('Player ID'!C:C,match(E7364,'Player ID'!B:B,0))</f>
        <v>621111</v>
      </c>
    </row>
    <row r="7365">
      <c r="A7365" s="76">
        <v>45808.0</v>
      </c>
      <c r="B7365" s="1" t="s">
        <v>91</v>
      </c>
      <c r="C7365" s="1" t="s">
        <v>46</v>
      </c>
      <c r="D7365" s="1">
        <v>1.0</v>
      </c>
      <c r="E7365" s="1">
        <v>19996.0</v>
      </c>
      <c r="F7365" s="10">
        <f t="shared" si="1"/>
        <v>1</v>
      </c>
      <c r="G7365" s="10">
        <f t="array" ref="G7365">index('Player ID'!C:C,match(E7365,'Player ID'!B:B,0))</f>
        <v>669276</v>
      </c>
    </row>
    <row r="7366">
      <c r="A7366" s="76">
        <v>45808.0</v>
      </c>
      <c r="B7366" s="1" t="s">
        <v>688</v>
      </c>
      <c r="C7366" s="1" t="s">
        <v>46</v>
      </c>
      <c r="D7366" s="1">
        <v>0.2</v>
      </c>
      <c r="E7366" s="1">
        <v>20271.0</v>
      </c>
      <c r="F7366" s="10">
        <f t="shared" si="1"/>
        <v>0.6666666667</v>
      </c>
      <c r="G7366" s="10">
        <f t="array" ref="G7366">index('Player ID'!C:C,match(E7366,'Player ID'!B:B,0))</f>
        <v>678226</v>
      </c>
    </row>
    <row r="7367">
      <c r="A7367" s="76">
        <v>45808.0</v>
      </c>
      <c r="B7367" s="1" t="s">
        <v>65</v>
      </c>
      <c r="C7367" s="1" t="s">
        <v>46</v>
      </c>
      <c r="D7367" s="1">
        <v>6.1</v>
      </c>
      <c r="E7367" s="1">
        <v>31846.0</v>
      </c>
      <c r="F7367" s="10">
        <f t="shared" si="1"/>
        <v>6.333333333</v>
      </c>
      <c r="G7367" s="10">
        <f t="array" ref="G7367">index('Player ID'!C:C,match(E7367,'Player ID'!B:B,0))</f>
        <v>680885</v>
      </c>
    </row>
    <row r="7368">
      <c r="A7368" s="76">
        <v>45808.0</v>
      </c>
      <c r="B7368" s="1" t="s">
        <v>38</v>
      </c>
      <c r="C7368" s="1" t="s">
        <v>39</v>
      </c>
      <c r="D7368" s="1">
        <v>0.2</v>
      </c>
      <c r="E7368" s="1">
        <v>13580.0</v>
      </c>
      <c r="F7368" s="10">
        <f t="shared" si="1"/>
        <v>0.6666666667</v>
      </c>
      <c r="G7368" s="10">
        <f t="array" ref="G7368">index('Player ID'!C:C,match(E7368,'Player ID'!B:B,0))</f>
        <v>595345</v>
      </c>
    </row>
    <row r="7369">
      <c r="A7369" s="76">
        <v>45808.0</v>
      </c>
      <c r="B7369" s="1" t="s">
        <v>177</v>
      </c>
      <c r="C7369" s="1" t="s">
        <v>54</v>
      </c>
      <c r="D7369" s="1">
        <v>9.0</v>
      </c>
      <c r="E7369" s="1">
        <v>15823.0</v>
      </c>
      <c r="F7369" s="10">
        <f t="shared" si="1"/>
        <v>9</v>
      </c>
      <c r="G7369" s="10">
        <f t="array" ref="G7369">index('Player ID'!C:C,match(E7369,'Player ID'!B:B,0))</f>
        <v>641793</v>
      </c>
    </row>
    <row r="7370">
      <c r="A7370" s="76">
        <v>45808.0</v>
      </c>
      <c r="B7370" s="1" t="s">
        <v>736</v>
      </c>
      <c r="C7370" s="1" t="s">
        <v>39</v>
      </c>
      <c r="D7370" s="1">
        <v>2.0</v>
      </c>
      <c r="E7370" s="1">
        <v>19586.0</v>
      </c>
      <c r="F7370" s="10">
        <f t="shared" si="1"/>
        <v>2</v>
      </c>
      <c r="G7370" s="10">
        <f t="array" ref="G7370">index('Player ID'!C:C,match(E7370,'Player ID'!B:B,0))</f>
        <v>666215</v>
      </c>
    </row>
    <row r="7371">
      <c r="A7371" s="76">
        <v>45808.0</v>
      </c>
      <c r="B7371" s="1" t="s">
        <v>359</v>
      </c>
      <c r="C7371" s="1" t="s">
        <v>39</v>
      </c>
      <c r="D7371" s="1">
        <v>0.1</v>
      </c>
      <c r="E7371" s="1">
        <v>20061.0</v>
      </c>
      <c r="F7371" s="10">
        <f t="shared" si="1"/>
        <v>0.3333333333</v>
      </c>
      <c r="G7371" s="10">
        <f t="array" ref="G7371">index('Player ID'!C:C,match(E7371,'Player ID'!B:B,0))</f>
        <v>672391</v>
      </c>
    </row>
    <row r="7372">
      <c r="A7372" s="76">
        <v>45808.0</v>
      </c>
      <c r="B7372" s="1" t="s">
        <v>444</v>
      </c>
      <c r="C7372" s="1" t="s">
        <v>39</v>
      </c>
      <c r="D7372" s="1">
        <v>1.0</v>
      </c>
      <c r="E7372" s="1">
        <v>24977.0</v>
      </c>
      <c r="F7372" s="10">
        <f t="shared" si="1"/>
        <v>1</v>
      </c>
      <c r="G7372" s="10">
        <f t="array" ref="G7372">index('Player ID'!C:C,match(E7372,'Player ID'!B:B,0))</f>
        <v>681869</v>
      </c>
    </row>
    <row r="7373">
      <c r="A7373" s="76">
        <v>45808.0</v>
      </c>
      <c r="B7373" s="1" t="s">
        <v>197</v>
      </c>
      <c r="C7373" s="1" t="s">
        <v>39</v>
      </c>
      <c r="D7373" s="1">
        <v>5.0</v>
      </c>
      <c r="E7373" s="1">
        <v>31312.0</v>
      </c>
      <c r="F7373" s="10">
        <f t="shared" si="1"/>
        <v>5</v>
      </c>
      <c r="G7373" s="10">
        <f t="array" ref="G7373">index('Player ID'!C:C,match(E7373,'Player ID'!B:B,0))</f>
        <v>676467</v>
      </c>
    </row>
    <row r="7374">
      <c r="A7374" s="76">
        <v>45808.0</v>
      </c>
      <c r="B7374" s="1" t="s">
        <v>303</v>
      </c>
      <c r="C7374" s="1" t="s">
        <v>31</v>
      </c>
      <c r="D7374" s="1">
        <v>7.0</v>
      </c>
      <c r="E7374" s="1">
        <v>11486.0</v>
      </c>
      <c r="F7374" s="10">
        <f t="shared" si="1"/>
        <v>7</v>
      </c>
      <c r="G7374" s="10">
        <f t="array" ref="G7374">index('Player ID'!C:C,match(E7374,'Player ID'!B:B,0))</f>
        <v>592662</v>
      </c>
    </row>
    <row r="7375">
      <c r="A7375" s="76">
        <v>45808.0</v>
      </c>
      <c r="B7375" s="1" t="s">
        <v>89</v>
      </c>
      <c r="C7375" s="1" t="s">
        <v>36</v>
      </c>
      <c r="D7375" s="1">
        <v>1.0</v>
      </c>
      <c r="E7375" s="1">
        <v>19742.0</v>
      </c>
      <c r="F7375" s="10">
        <f t="shared" si="1"/>
        <v>1</v>
      </c>
      <c r="G7375" s="10">
        <f t="array" ref="G7375">index('Player ID'!C:C,match(E7375,'Player ID'!B:B,0))</f>
        <v>669622</v>
      </c>
    </row>
    <row r="7376">
      <c r="A7376" s="76">
        <v>45808.0</v>
      </c>
      <c r="B7376" s="1" t="s">
        <v>262</v>
      </c>
      <c r="C7376" s="1" t="s">
        <v>36</v>
      </c>
      <c r="D7376" s="1">
        <v>1.0</v>
      </c>
      <c r="E7376" s="1">
        <v>20116.0</v>
      </c>
      <c r="F7376" s="10">
        <f t="shared" si="1"/>
        <v>1</v>
      </c>
      <c r="G7376" s="10">
        <f t="array" ref="G7376">index('Player ID'!C:C,match(E7376,'Player ID'!B:B,0))</f>
        <v>676534</v>
      </c>
    </row>
    <row r="7377">
      <c r="A7377" s="76">
        <v>45808.0</v>
      </c>
      <c r="B7377" s="1" t="s">
        <v>171</v>
      </c>
      <c r="C7377" s="1" t="s">
        <v>36</v>
      </c>
      <c r="D7377" s="1">
        <v>5.2</v>
      </c>
      <c r="E7377" s="1">
        <v>21690.0</v>
      </c>
      <c r="F7377" s="10">
        <f t="shared" si="1"/>
        <v>5.666666667</v>
      </c>
      <c r="G7377" s="10">
        <f t="array" ref="G7377">index('Player ID'!C:C,match(E7377,'Player ID'!B:B,0))</f>
        <v>665795</v>
      </c>
    </row>
    <row r="7378">
      <c r="A7378" s="76">
        <v>45808.0</v>
      </c>
      <c r="B7378" s="1" t="s">
        <v>654</v>
      </c>
      <c r="C7378" s="1" t="s">
        <v>31</v>
      </c>
      <c r="D7378" s="1">
        <v>1.0</v>
      </c>
      <c r="E7378" s="1">
        <v>23974.0</v>
      </c>
      <c r="F7378" s="10">
        <f t="shared" si="1"/>
        <v>1</v>
      </c>
      <c r="G7378" s="10">
        <f t="array" ref="G7378">index('Player ID'!C:C,match(E7378,'Player ID'!B:B,0))</f>
        <v>678495</v>
      </c>
    </row>
    <row r="7379">
      <c r="A7379" s="76">
        <v>45808.0</v>
      </c>
      <c r="B7379" s="1" t="s">
        <v>123</v>
      </c>
      <c r="C7379" s="1" t="s">
        <v>36</v>
      </c>
      <c r="D7379" s="1">
        <v>1.1</v>
      </c>
      <c r="E7379" s="1">
        <v>24094.0</v>
      </c>
      <c r="F7379" s="10">
        <f t="shared" si="1"/>
        <v>1.333333333</v>
      </c>
      <c r="G7379" s="10">
        <f t="array" ref="G7379">index('Player ID'!C:C,match(E7379,'Player ID'!B:B,0))</f>
        <v>678692</v>
      </c>
    </row>
    <row r="7380">
      <c r="A7380" s="76">
        <v>45808.0</v>
      </c>
      <c r="B7380" s="1" t="s">
        <v>146</v>
      </c>
      <c r="C7380" s="1" t="s">
        <v>16</v>
      </c>
      <c r="D7380" s="1">
        <v>1.0</v>
      </c>
      <c r="E7380" s="1">
        <v>15145.0</v>
      </c>
      <c r="F7380" s="10">
        <f t="shared" si="1"/>
        <v>1</v>
      </c>
      <c r="G7380" s="10">
        <f t="array" ref="G7380">index('Player ID'!C:C,match(E7380,'Player ID'!B:B,0))</f>
        <v>623437</v>
      </c>
    </row>
    <row r="7381">
      <c r="A7381" s="76">
        <v>45808.0</v>
      </c>
      <c r="B7381" s="1" t="s">
        <v>249</v>
      </c>
      <c r="C7381" s="1" t="s">
        <v>16</v>
      </c>
      <c r="D7381" s="1">
        <v>1.0</v>
      </c>
      <c r="E7381" s="1">
        <v>16727.0</v>
      </c>
      <c r="F7381" s="10">
        <f t="shared" si="1"/>
        <v>1</v>
      </c>
      <c r="G7381" s="10">
        <f t="array" ref="G7381">index('Player ID'!C:C,match(E7381,'Player ID'!B:B,0))</f>
        <v>592779</v>
      </c>
    </row>
    <row r="7382">
      <c r="A7382" s="76">
        <v>45808.0</v>
      </c>
      <c r="B7382" s="1" t="s">
        <v>53</v>
      </c>
      <c r="C7382" s="1" t="s">
        <v>37</v>
      </c>
      <c r="D7382" s="1">
        <v>1.2</v>
      </c>
      <c r="E7382" s="1">
        <v>17170.0</v>
      </c>
      <c r="F7382" s="10">
        <f t="shared" si="1"/>
        <v>1.666666667</v>
      </c>
      <c r="G7382" s="10">
        <f t="array" ref="G7382">index('Player ID'!C:C,match(E7382,'Player ID'!B:B,0))</f>
        <v>642100</v>
      </c>
    </row>
    <row r="7383">
      <c r="A7383" s="76">
        <v>45808.0</v>
      </c>
      <c r="B7383" s="1" t="s">
        <v>397</v>
      </c>
      <c r="C7383" s="1" t="s">
        <v>16</v>
      </c>
      <c r="D7383" s="1">
        <v>1.0</v>
      </c>
      <c r="E7383" s="1">
        <v>19459.0</v>
      </c>
      <c r="F7383" s="10">
        <f t="shared" si="1"/>
        <v>1</v>
      </c>
      <c r="G7383" s="10">
        <f t="array" ref="G7383">index('Player ID'!C:C,match(E7383,'Player ID'!B:B,0))</f>
        <v>660896</v>
      </c>
    </row>
    <row r="7384">
      <c r="A7384" s="76">
        <v>45808.0</v>
      </c>
      <c r="B7384" s="1" t="s">
        <v>28</v>
      </c>
      <c r="C7384" s="1" t="s">
        <v>16</v>
      </c>
      <c r="D7384" s="1">
        <v>1.0</v>
      </c>
      <c r="E7384" s="1">
        <v>20253.0</v>
      </c>
      <c r="F7384" s="10">
        <f t="shared" si="1"/>
        <v>1</v>
      </c>
      <c r="G7384" s="10">
        <f t="array" ref="G7384">index('Player ID'!C:C,match(E7384,'Player ID'!B:B,0))</f>
        <v>643377</v>
      </c>
    </row>
    <row r="7385">
      <c r="A7385" s="76">
        <v>45808.0</v>
      </c>
      <c r="B7385" s="1" t="s">
        <v>157</v>
      </c>
      <c r="C7385" s="1" t="s">
        <v>37</v>
      </c>
      <c r="D7385" s="1">
        <v>1.1</v>
      </c>
      <c r="E7385" s="1">
        <v>20997.0</v>
      </c>
      <c r="F7385" s="10">
        <f t="shared" si="1"/>
        <v>1.333333333</v>
      </c>
      <c r="G7385" s="10">
        <f t="array" ref="G7385">index('Player ID'!C:C,match(E7385,'Player ID'!B:B,0))</f>
        <v>660825</v>
      </c>
    </row>
    <row r="7386">
      <c r="A7386" s="76">
        <v>45808.0</v>
      </c>
      <c r="B7386" s="1" t="s">
        <v>122</v>
      </c>
      <c r="C7386" s="1" t="s">
        <v>16</v>
      </c>
      <c r="D7386" s="1">
        <v>1.0</v>
      </c>
      <c r="E7386" s="1">
        <v>21029.0</v>
      </c>
      <c r="F7386" s="10">
        <f t="shared" si="1"/>
        <v>1</v>
      </c>
      <c r="G7386" s="10">
        <f t="array" ref="G7386">index('Player ID'!C:C,match(E7386,'Player ID'!B:B,0))</f>
        <v>661395</v>
      </c>
    </row>
    <row r="7387">
      <c r="A7387" s="76">
        <v>45808.0</v>
      </c>
      <c r="B7387" s="1" t="s">
        <v>173</v>
      </c>
      <c r="C7387" s="1" t="s">
        <v>16</v>
      </c>
      <c r="D7387" s="1">
        <v>4.0</v>
      </c>
      <c r="E7387" s="1">
        <v>21224.0</v>
      </c>
      <c r="F7387" s="10">
        <f t="shared" si="1"/>
        <v>4</v>
      </c>
      <c r="G7387" s="10">
        <f t="array" ref="G7387">index('Player ID'!C:C,match(E7387,'Player ID'!B:B,0))</f>
        <v>641927</v>
      </c>
    </row>
    <row r="7388">
      <c r="A7388" s="76">
        <v>45808.0</v>
      </c>
      <c r="B7388" s="1" t="s">
        <v>237</v>
      </c>
      <c r="C7388" s="1" t="s">
        <v>16</v>
      </c>
      <c r="D7388" s="1">
        <v>0.1</v>
      </c>
      <c r="E7388" s="1">
        <v>21461.0</v>
      </c>
      <c r="F7388" s="10">
        <f t="shared" si="1"/>
        <v>0.3333333333</v>
      </c>
      <c r="G7388" s="10">
        <f t="array" ref="G7388">index('Player ID'!C:C,match(E7388,'Player ID'!B:B,0))</f>
        <v>663485</v>
      </c>
    </row>
    <row r="7389">
      <c r="A7389" s="76">
        <v>45808.0</v>
      </c>
      <c r="B7389" s="1" t="s">
        <v>846</v>
      </c>
      <c r="C7389" s="1" t="s">
        <v>37</v>
      </c>
      <c r="D7389" s="1">
        <v>1.0</v>
      </c>
      <c r="E7389" s="1">
        <v>21549.0</v>
      </c>
      <c r="F7389" s="10">
        <f t="shared" si="1"/>
        <v>1</v>
      </c>
      <c r="G7389" s="10" t="str">
        <f t="array" ref="G7389">index('Player ID'!C:C,match(E7389,'Player ID'!B:B,0))</f>
        <v>#N/A</v>
      </c>
    </row>
    <row r="7390">
      <c r="A7390" s="76">
        <v>45808.0</v>
      </c>
      <c r="B7390" s="1" t="s">
        <v>101</v>
      </c>
      <c r="C7390" s="1" t="s">
        <v>37</v>
      </c>
      <c r="D7390" s="1">
        <v>1.0</v>
      </c>
      <c r="E7390" s="1">
        <v>22915.0</v>
      </c>
      <c r="F7390" s="10">
        <f t="shared" si="1"/>
        <v>1</v>
      </c>
      <c r="G7390" s="10">
        <f t="array" ref="G7390">index('Player ID'!C:C,match(E7390,'Player ID'!B:B,0))</f>
        <v>672841</v>
      </c>
    </row>
    <row r="7391">
      <c r="A7391" s="76">
        <v>45808.0</v>
      </c>
      <c r="B7391" s="1" t="s">
        <v>683</v>
      </c>
      <c r="C7391" s="1" t="s">
        <v>37</v>
      </c>
      <c r="D7391" s="1">
        <v>2.0</v>
      </c>
      <c r="E7391" s="1">
        <v>23307.0</v>
      </c>
      <c r="F7391" s="10">
        <f t="shared" si="1"/>
        <v>2</v>
      </c>
      <c r="G7391" s="10">
        <f t="array" ref="G7391">index('Player ID'!C:C,match(E7391,'Player ID'!B:B,0))</f>
        <v>676092</v>
      </c>
    </row>
    <row r="7392">
      <c r="A7392" s="76">
        <v>45808.0</v>
      </c>
      <c r="B7392" s="1" t="s">
        <v>47</v>
      </c>
      <c r="C7392" s="1" t="s">
        <v>16</v>
      </c>
      <c r="D7392" s="1">
        <v>1.0</v>
      </c>
      <c r="E7392" s="1">
        <v>27691.0</v>
      </c>
      <c r="F7392" s="10">
        <f t="shared" si="1"/>
        <v>1</v>
      </c>
      <c r="G7392" s="10">
        <f t="array" ref="G7392">index('Player ID'!C:C,match(E7392,'Player ID'!B:B,0))</f>
        <v>686973</v>
      </c>
    </row>
    <row r="7393">
      <c r="A7393" s="76">
        <v>45808.0</v>
      </c>
      <c r="B7393" s="1" t="s">
        <v>343</v>
      </c>
      <c r="C7393" s="1" t="s">
        <v>37</v>
      </c>
      <c r="D7393" s="1">
        <v>4.0</v>
      </c>
      <c r="E7393" s="1">
        <v>29837.0</v>
      </c>
      <c r="F7393" s="10">
        <f t="shared" si="1"/>
        <v>4</v>
      </c>
      <c r="G7393" s="10">
        <f t="array" ref="G7393">index('Player ID'!C:C,match(E7393,'Player ID'!B:B,0))</f>
        <v>682243</v>
      </c>
    </row>
    <row r="7394">
      <c r="A7394" s="76">
        <v>45808.0</v>
      </c>
      <c r="B7394" s="1" t="s">
        <v>824</v>
      </c>
      <c r="C7394" s="1" t="s">
        <v>33</v>
      </c>
      <c r="D7394" s="1">
        <v>1.0</v>
      </c>
      <c r="E7394" s="1">
        <v>10472.0</v>
      </c>
      <c r="F7394" s="10">
        <f t="shared" si="1"/>
        <v>1</v>
      </c>
      <c r="G7394" s="10">
        <f t="array" ref="G7394">index('Player ID'!C:C,match(E7394,'Player ID'!B:B,0))</f>
        <v>571771</v>
      </c>
    </row>
    <row r="7395">
      <c r="A7395" s="76">
        <v>45808.0</v>
      </c>
      <c r="B7395" s="1" t="s">
        <v>726</v>
      </c>
      <c r="C7395" s="1" t="s">
        <v>33</v>
      </c>
      <c r="D7395" s="1">
        <v>1.0</v>
      </c>
      <c r="E7395" s="1">
        <v>13761.0</v>
      </c>
      <c r="F7395" s="10">
        <f t="shared" si="1"/>
        <v>1</v>
      </c>
      <c r="G7395" s="10">
        <f t="array" ref="G7395">index('Player ID'!C:C,match(E7395,'Player ID'!B:B,0))</f>
        <v>608717</v>
      </c>
    </row>
    <row r="7396">
      <c r="A7396" s="76">
        <v>45808.0</v>
      </c>
      <c r="B7396" s="1" t="s">
        <v>310</v>
      </c>
      <c r="C7396" s="1" t="s">
        <v>33</v>
      </c>
      <c r="D7396" s="1">
        <v>1.0</v>
      </c>
      <c r="E7396" s="1">
        <v>14706.0</v>
      </c>
      <c r="F7396" s="10">
        <f t="shared" si="1"/>
        <v>1</v>
      </c>
      <c r="G7396" s="10">
        <f t="array" ref="G7396">index('Player ID'!C:C,match(E7396,'Player ID'!B:B,0))</f>
        <v>607455</v>
      </c>
    </row>
    <row r="7397">
      <c r="A7397" s="76">
        <v>45808.0</v>
      </c>
      <c r="B7397" s="1" t="s">
        <v>467</v>
      </c>
      <c r="C7397" s="1" t="s">
        <v>58</v>
      </c>
      <c r="D7397" s="1">
        <v>0.2</v>
      </c>
      <c r="E7397" s="1">
        <v>15551.0</v>
      </c>
      <c r="F7397" s="10">
        <f t="shared" si="1"/>
        <v>0.6666666667</v>
      </c>
      <c r="G7397" s="10">
        <f t="array" ref="G7397">index('Player ID'!C:C,match(E7397,'Player ID'!B:B,0))</f>
        <v>643410</v>
      </c>
    </row>
    <row r="7398">
      <c r="A7398" s="76">
        <v>45808.0</v>
      </c>
      <c r="B7398" s="1" t="s">
        <v>114</v>
      </c>
      <c r="C7398" s="1" t="s">
        <v>58</v>
      </c>
      <c r="D7398" s="1">
        <v>0.2</v>
      </c>
      <c r="E7398" s="1">
        <v>15816.0</v>
      </c>
      <c r="F7398" s="10">
        <f t="shared" si="1"/>
        <v>0.6666666667</v>
      </c>
      <c r="G7398" s="10">
        <f t="array" ref="G7398">index('Player ID'!C:C,match(E7398,'Player ID'!B:B,0))</f>
        <v>642207</v>
      </c>
    </row>
    <row r="7399">
      <c r="A7399" s="76">
        <v>45808.0</v>
      </c>
      <c r="B7399" s="1" t="s">
        <v>856</v>
      </c>
      <c r="C7399" s="1" t="s">
        <v>58</v>
      </c>
      <c r="D7399" s="1">
        <v>1.0</v>
      </c>
      <c r="E7399" s="1">
        <v>16357.0</v>
      </c>
      <c r="F7399" s="10">
        <f t="shared" si="1"/>
        <v>1</v>
      </c>
      <c r="G7399" s="10" t="str">
        <f t="array" ref="G7399">index('Player ID'!C:C,match(E7399,'Player ID'!B:B,0))</f>
        <v>#N/A</v>
      </c>
    </row>
    <row r="7400">
      <c r="A7400" s="76">
        <v>45808.0</v>
      </c>
      <c r="B7400" s="1" t="s">
        <v>225</v>
      </c>
      <c r="C7400" s="1" t="s">
        <v>58</v>
      </c>
      <c r="D7400" s="1">
        <v>1.0</v>
      </c>
      <c r="E7400" s="1">
        <v>16918.0</v>
      </c>
      <c r="F7400" s="10">
        <f t="shared" si="1"/>
        <v>1</v>
      </c>
      <c r="G7400" s="10">
        <f t="array" ref="G7400">index('Player ID'!C:C,match(E7400,'Player ID'!B:B,0))</f>
        <v>596133</v>
      </c>
    </row>
    <row r="7401">
      <c r="A7401" s="76">
        <v>45808.0</v>
      </c>
      <c r="B7401" s="1" t="s">
        <v>520</v>
      </c>
      <c r="C7401" s="1" t="s">
        <v>58</v>
      </c>
      <c r="D7401" s="1">
        <v>2.0</v>
      </c>
      <c r="E7401" s="1">
        <v>19261.0</v>
      </c>
      <c r="F7401" s="10">
        <f t="shared" si="1"/>
        <v>2</v>
      </c>
      <c r="G7401" s="10">
        <f t="array" ref="G7401">index('Player ID'!C:C,match(E7401,'Player ID'!B:B,0))</f>
        <v>641656</v>
      </c>
    </row>
    <row r="7402">
      <c r="A7402" s="76">
        <v>45808.0</v>
      </c>
      <c r="B7402" s="1" t="s">
        <v>309</v>
      </c>
      <c r="C7402" s="1" t="s">
        <v>58</v>
      </c>
      <c r="D7402" s="1">
        <v>0.2</v>
      </c>
      <c r="E7402" s="1">
        <v>21420.0</v>
      </c>
      <c r="F7402" s="10">
        <f t="shared" si="1"/>
        <v>0.6666666667</v>
      </c>
      <c r="G7402" s="10">
        <f t="array" ref="G7402">index('Player ID'!C:C,match(E7402,'Player ID'!B:B,0))</f>
        <v>660787</v>
      </c>
    </row>
    <row r="7403">
      <c r="A7403" s="76">
        <v>45808.0</v>
      </c>
      <c r="B7403" s="1" t="s">
        <v>351</v>
      </c>
      <c r="C7403" s="1" t="s">
        <v>33</v>
      </c>
      <c r="D7403" s="1">
        <v>6.0</v>
      </c>
      <c r="E7403" s="1">
        <v>27487.0</v>
      </c>
      <c r="F7403" s="10">
        <f t="shared" si="1"/>
        <v>6</v>
      </c>
      <c r="G7403" s="10">
        <f t="array" ref="G7403">index('Player ID'!C:C,match(E7403,'Player ID'!B:B,0))</f>
        <v>689017</v>
      </c>
    </row>
    <row r="7404">
      <c r="A7404" s="76">
        <v>45808.0</v>
      </c>
      <c r="B7404" s="1" t="s">
        <v>693</v>
      </c>
      <c r="C7404" s="1" t="s">
        <v>58</v>
      </c>
      <c r="D7404" s="1">
        <v>0.2</v>
      </c>
      <c r="E7404" s="1">
        <v>27702.0</v>
      </c>
      <c r="F7404" s="10">
        <f t="shared" si="1"/>
        <v>0.6666666667</v>
      </c>
      <c r="G7404" s="10">
        <f t="array" ref="G7404">index('Player ID'!C:C,match(E7404,'Player ID'!B:B,0))</f>
        <v>687396</v>
      </c>
    </row>
    <row r="7405">
      <c r="A7405" s="76">
        <v>45808.0</v>
      </c>
      <c r="B7405" s="1" t="s">
        <v>344</v>
      </c>
      <c r="C7405" s="1" t="s">
        <v>58</v>
      </c>
      <c r="D7405" s="1">
        <v>1.1</v>
      </c>
      <c r="E7405" s="1">
        <v>30182.0</v>
      </c>
      <c r="F7405" s="10">
        <f t="shared" si="1"/>
        <v>1.333333333</v>
      </c>
      <c r="G7405" s="10">
        <f t="array" ref="G7405">index('Player ID'!C:C,match(E7405,'Player ID'!B:B,0))</f>
        <v>701542</v>
      </c>
    </row>
    <row r="7406">
      <c r="A7406" s="76">
        <v>45808.0</v>
      </c>
      <c r="B7406" s="1" t="s">
        <v>404</v>
      </c>
      <c r="C7406" s="1" t="s">
        <v>26</v>
      </c>
      <c r="D7406" s="1">
        <v>1.0</v>
      </c>
      <c r="E7406" s="1">
        <v>14295.0</v>
      </c>
      <c r="F7406" s="10">
        <f t="shared" si="1"/>
        <v>1</v>
      </c>
      <c r="G7406" s="10">
        <f t="array" ref="G7406">index('Player ID'!C:C,match(E7406,'Player ID'!B:B,0))</f>
        <v>593974</v>
      </c>
    </row>
    <row r="7407">
      <c r="A7407" s="76">
        <v>45808.0</v>
      </c>
      <c r="B7407" s="1" t="s">
        <v>217</v>
      </c>
      <c r="C7407" s="1" t="s">
        <v>60</v>
      </c>
      <c r="D7407" s="1">
        <v>1.0</v>
      </c>
      <c r="E7407" s="1">
        <v>17878.0</v>
      </c>
      <c r="F7407" s="10">
        <f t="shared" si="1"/>
        <v>1</v>
      </c>
      <c r="G7407" s="10">
        <f t="array" ref="G7407">index('Player ID'!C:C,match(E7407,'Player ID'!B:B,0))</f>
        <v>642701</v>
      </c>
    </row>
    <row r="7408">
      <c r="A7408" s="76">
        <v>45808.0</v>
      </c>
      <c r="B7408" s="1" t="s">
        <v>282</v>
      </c>
      <c r="C7408" s="1" t="s">
        <v>26</v>
      </c>
      <c r="D7408" s="1">
        <v>4.2</v>
      </c>
      <c r="E7408" s="1">
        <v>18525.0</v>
      </c>
      <c r="F7408" s="10">
        <f t="shared" si="1"/>
        <v>4.666666667</v>
      </c>
      <c r="G7408" s="10">
        <f t="array" ref="G7408">index('Player ID'!C:C,match(E7408,'Player ID'!B:B,0))</f>
        <v>656302</v>
      </c>
    </row>
    <row r="7409">
      <c r="A7409" s="76">
        <v>45808.0</v>
      </c>
      <c r="B7409" s="1" t="s">
        <v>107</v>
      </c>
      <c r="C7409" s="1" t="s">
        <v>60</v>
      </c>
      <c r="D7409" s="1">
        <v>0.2</v>
      </c>
      <c r="E7409" s="1">
        <v>19349.0</v>
      </c>
      <c r="F7409" s="10">
        <f t="shared" si="1"/>
        <v>0.6666666667</v>
      </c>
      <c r="G7409" s="10">
        <f t="array" ref="G7409">index('Player ID'!C:C,match(E7409,'Player ID'!B:B,0))</f>
        <v>657571</v>
      </c>
    </row>
    <row r="7410">
      <c r="A7410" s="76">
        <v>45808.0</v>
      </c>
      <c r="B7410" s="1" t="s">
        <v>183</v>
      </c>
      <c r="C7410" s="1" t="s">
        <v>60</v>
      </c>
      <c r="D7410" s="1">
        <v>1.0</v>
      </c>
      <c r="E7410" s="1">
        <v>19569.0</v>
      </c>
      <c r="F7410" s="10">
        <f t="shared" si="1"/>
        <v>1</v>
      </c>
      <c r="G7410" s="10">
        <f t="array" ref="G7410">index('Player ID'!C:C,match(E7410,'Player ID'!B:B,0))</f>
        <v>670280</v>
      </c>
    </row>
    <row r="7411">
      <c r="A7411" s="76">
        <v>45808.0</v>
      </c>
      <c r="B7411" s="1" t="s">
        <v>220</v>
      </c>
      <c r="C7411" s="1" t="s">
        <v>60</v>
      </c>
      <c r="D7411" s="1">
        <v>6.1</v>
      </c>
      <c r="E7411" s="1">
        <v>20070.0</v>
      </c>
      <c r="F7411" s="10">
        <f t="shared" si="1"/>
        <v>6.333333333</v>
      </c>
      <c r="G7411" s="10">
        <f t="array" ref="G7411">index('Player ID'!C:C,match(E7411,'Player ID'!B:B,0))</f>
        <v>663559</v>
      </c>
    </row>
    <row r="7412">
      <c r="A7412" s="76">
        <v>45808.0</v>
      </c>
      <c r="B7412" s="1" t="s">
        <v>797</v>
      </c>
      <c r="C7412" s="1" t="s">
        <v>26</v>
      </c>
      <c r="D7412" s="1">
        <v>1.2</v>
      </c>
      <c r="E7412" s="1">
        <v>22253.0</v>
      </c>
      <c r="F7412" s="10">
        <f t="shared" si="1"/>
        <v>1.666666667</v>
      </c>
      <c r="G7412" s="10">
        <f t="array" ref="G7412">index('Player ID'!C:C,match(E7412,'Player ID'!B:B,0))</f>
        <v>669308</v>
      </c>
    </row>
    <row r="7413">
      <c r="A7413" s="76">
        <v>45808.0</v>
      </c>
      <c r="B7413" s="1" t="s">
        <v>857</v>
      </c>
      <c r="C7413" s="1" t="s">
        <v>26</v>
      </c>
      <c r="D7413" s="1">
        <v>1.2</v>
      </c>
      <c r="E7413" s="1">
        <v>29107.0</v>
      </c>
      <c r="F7413" s="10">
        <f t="shared" si="1"/>
        <v>1.666666667</v>
      </c>
      <c r="G7413" s="10" t="str">
        <f t="array" ref="G7413">index('Player ID'!C:C,match(E7413,'Player ID'!B:B,0))</f>
        <v>#N/A</v>
      </c>
    </row>
    <row r="7414">
      <c r="A7414" s="76">
        <v>45808.0</v>
      </c>
      <c r="B7414" s="1" t="s">
        <v>284</v>
      </c>
      <c r="C7414" s="1" t="s">
        <v>26</v>
      </c>
      <c r="D7414" s="1">
        <v>0.0</v>
      </c>
      <c r="E7414" s="1">
        <v>33826.0</v>
      </c>
      <c r="F7414" s="10">
        <f t="shared" si="1"/>
        <v>0</v>
      </c>
      <c r="G7414" s="10">
        <f t="array" ref="G7414">index('Player ID'!C:C,match(E7414,'Player ID'!B:B,0))</f>
        <v>673513</v>
      </c>
    </row>
    <row r="7415">
      <c r="A7415" s="76">
        <v>45808.0</v>
      </c>
      <c r="B7415" s="1" t="s">
        <v>103</v>
      </c>
      <c r="C7415" s="1" t="s">
        <v>64</v>
      </c>
      <c r="D7415" s="1">
        <v>1.0</v>
      </c>
      <c r="E7415" s="1">
        <v>10197.0</v>
      </c>
      <c r="F7415" s="10">
        <f t="shared" si="1"/>
        <v>1</v>
      </c>
      <c r="G7415" s="10">
        <f t="array" ref="G7415">index('Player ID'!C:C,match(E7415,'Player ID'!B:B,0))</f>
        <v>571946</v>
      </c>
    </row>
    <row r="7416">
      <c r="A7416" s="76">
        <v>45808.0</v>
      </c>
      <c r="B7416" s="1" t="s">
        <v>745</v>
      </c>
      <c r="C7416" s="1" t="s">
        <v>64</v>
      </c>
      <c r="D7416" s="1">
        <v>1.0</v>
      </c>
      <c r="E7416" s="1">
        <v>12056.0</v>
      </c>
      <c r="F7416" s="10">
        <f t="shared" si="1"/>
        <v>1</v>
      </c>
      <c r="G7416" s="10">
        <f t="array" ref="G7416">index('Player ID'!C:C,match(E7416,'Player ID'!B:B,0))</f>
        <v>543518</v>
      </c>
    </row>
    <row r="7417">
      <c r="A7417" s="76">
        <v>45808.0</v>
      </c>
      <c r="B7417" s="1" t="s">
        <v>763</v>
      </c>
      <c r="C7417" s="1" t="s">
        <v>64</v>
      </c>
      <c r="D7417" s="1">
        <v>1.0</v>
      </c>
      <c r="E7417" s="1">
        <v>15514.0</v>
      </c>
      <c r="F7417" s="10">
        <f t="shared" si="1"/>
        <v>1</v>
      </c>
      <c r="G7417" s="10">
        <f t="array" ref="G7417">index('Player ID'!C:C,match(E7417,'Player ID'!B:B,0))</f>
        <v>608665</v>
      </c>
    </row>
    <row r="7418">
      <c r="A7418" s="76">
        <v>45808.0</v>
      </c>
      <c r="B7418" s="1" t="s">
        <v>854</v>
      </c>
      <c r="C7418" s="1" t="s">
        <v>64</v>
      </c>
      <c r="D7418" s="1">
        <v>2.0</v>
      </c>
      <c r="E7418" s="1">
        <v>16631.0</v>
      </c>
      <c r="F7418" s="10">
        <f t="shared" si="1"/>
        <v>2</v>
      </c>
      <c r="G7418" s="10" t="str">
        <f t="array" ref="G7418">index('Player ID'!C:C,match(E7418,'Player ID'!B:B,0))</f>
        <v>#N/A</v>
      </c>
    </row>
    <row r="7419">
      <c r="A7419" s="76">
        <v>45808.0</v>
      </c>
      <c r="B7419" s="1" t="s">
        <v>480</v>
      </c>
      <c r="C7419" s="1" t="s">
        <v>80</v>
      </c>
      <c r="D7419" s="1">
        <v>5.1</v>
      </c>
      <c r="E7419" s="1">
        <v>18383.0</v>
      </c>
      <c r="F7419" s="10">
        <f t="shared" si="1"/>
        <v>5.333333333</v>
      </c>
      <c r="G7419" s="10">
        <f t="array" ref="G7419">index('Player ID'!C:C,match(E7419,'Player ID'!B:B,0))</f>
        <v>647336</v>
      </c>
    </row>
    <row r="7420">
      <c r="A7420" s="76">
        <v>45808.0</v>
      </c>
      <c r="B7420" s="1" t="s">
        <v>86</v>
      </c>
      <c r="C7420" s="1" t="s">
        <v>80</v>
      </c>
      <c r="D7420" s="1">
        <v>1.0</v>
      </c>
      <c r="E7420" s="1">
        <v>24017.0</v>
      </c>
      <c r="F7420" s="10">
        <f t="shared" si="1"/>
        <v>1</v>
      </c>
      <c r="G7420" s="10">
        <f t="array" ref="G7420">index('Player ID'!C:C,match(E7420,'Player ID'!B:B,0))</f>
        <v>678606</v>
      </c>
    </row>
    <row r="7421">
      <c r="A7421" s="76">
        <v>45808.0</v>
      </c>
      <c r="B7421" s="1" t="s">
        <v>511</v>
      </c>
      <c r="C7421" s="1" t="s">
        <v>80</v>
      </c>
      <c r="D7421" s="1">
        <v>0.2</v>
      </c>
      <c r="E7421" s="1">
        <v>26215.0</v>
      </c>
      <c r="F7421" s="10">
        <f t="shared" si="1"/>
        <v>0.6666666667</v>
      </c>
      <c r="G7421" s="10">
        <f t="array" ref="G7421">index('Player ID'!C:C,match(E7421,'Player ID'!B:B,0))</f>
        <v>671131</v>
      </c>
    </row>
    <row r="7422">
      <c r="A7422" s="76">
        <v>45808.0</v>
      </c>
      <c r="B7422" s="1" t="s">
        <v>93</v>
      </c>
      <c r="C7422" s="1" t="s">
        <v>64</v>
      </c>
      <c r="D7422" s="1">
        <v>4.0</v>
      </c>
      <c r="E7422" s="1">
        <v>26253.0</v>
      </c>
      <c r="F7422" s="10">
        <f t="shared" si="1"/>
        <v>4</v>
      </c>
      <c r="G7422" s="10">
        <f t="array" ref="G7422">index('Player ID'!C:C,match(E7422,'Player ID'!B:B,0))</f>
        <v>669194</v>
      </c>
    </row>
    <row r="7423">
      <c r="A7423" s="76">
        <v>45808.0</v>
      </c>
      <c r="B7423" s="1" t="s">
        <v>507</v>
      </c>
      <c r="C7423" s="1" t="s">
        <v>80</v>
      </c>
      <c r="D7423" s="1">
        <v>2.0</v>
      </c>
      <c r="E7423" s="1">
        <v>27570.0</v>
      </c>
      <c r="F7423" s="10">
        <f t="shared" si="1"/>
        <v>2</v>
      </c>
      <c r="G7423" s="10">
        <f t="array" ref="G7423">index('Player ID'!C:C,match(E7423,'Player ID'!B:B,0))</f>
        <v>669371</v>
      </c>
    </row>
    <row r="7424">
      <c r="A7424" s="76">
        <v>45808.0</v>
      </c>
      <c r="B7424" s="1" t="s">
        <v>263</v>
      </c>
      <c r="C7424" s="1" t="s">
        <v>64</v>
      </c>
      <c r="D7424" s="1">
        <v>0.0</v>
      </c>
      <c r="E7424" s="1">
        <v>27782.0</v>
      </c>
      <c r="F7424" s="10">
        <f t="shared" si="1"/>
        <v>0</v>
      </c>
      <c r="G7424" s="10">
        <f t="array" ref="G7424">index('Player ID'!C:C,match(E7424,'Player ID'!B:B,0))</f>
        <v>694297</v>
      </c>
    </row>
    <row r="7425">
      <c r="A7425" s="76">
        <v>45809.0</v>
      </c>
      <c r="B7425" s="1" t="s">
        <v>57</v>
      </c>
      <c r="C7425" s="1" t="s">
        <v>56</v>
      </c>
      <c r="D7425" s="1">
        <v>6.0</v>
      </c>
      <c r="E7425" s="1">
        <v>10954.0</v>
      </c>
      <c r="F7425" s="10">
        <f t="shared" si="1"/>
        <v>6</v>
      </c>
      <c r="G7425" s="10">
        <f t="array" ref="G7425">index('Player ID'!C:C,match(E7425,'Player ID'!B:B,0))</f>
        <v>594798</v>
      </c>
    </row>
    <row r="7426">
      <c r="A7426" s="76">
        <v>45809.0</v>
      </c>
      <c r="B7426" s="1" t="s">
        <v>162</v>
      </c>
      <c r="C7426" s="1" t="s">
        <v>56</v>
      </c>
      <c r="D7426" s="1">
        <v>1.0</v>
      </c>
      <c r="E7426" s="1">
        <v>11752.0</v>
      </c>
      <c r="F7426" s="10">
        <f t="shared" si="1"/>
        <v>1</v>
      </c>
      <c r="G7426" s="10">
        <f t="array" ref="G7426">index('Player ID'!C:C,match(E7426,'Player ID'!B:B,0))</f>
        <v>592426</v>
      </c>
    </row>
    <row r="7427">
      <c r="A7427" s="76">
        <v>45809.0</v>
      </c>
      <c r="B7427" s="1" t="s">
        <v>440</v>
      </c>
      <c r="C7427" s="1" t="s">
        <v>56</v>
      </c>
      <c r="D7427" s="1">
        <v>0.2</v>
      </c>
      <c r="E7427" s="1">
        <v>12857.0</v>
      </c>
      <c r="F7427" s="10">
        <f t="shared" si="1"/>
        <v>0.6666666667</v>
      </c>
      <c r="G7427" s="10">
        <f t="array" ref="G7427">index('Player ID'!C:C,match(E7427,'Player ID'!B:B,0))</f>
        <v>542888</v>
      </c>
    </row>
    <row r="7428">
      <c r="A7428" s="76">
        <v>45809.0</v>
      </c>
      <c r="B7428" s="1" t="s">
        <v>151</v>
      </c>
      <c r="C7428" s="1" t="s">
        <v>56</v>
      </c>
      <c r="D7428" s="1">
        <v>1.1</v>
      </c>
      <c r="E7428" s="1">
        <v>13346.0</v>
      </c>
      <c r="F7428" s="10">
        <f t="shared" si="1"/>
        <v>1.333333333</v>
      </c>
      <c r="G7428" s="10">
        <f t="array" ref="G7428">index('Player ID'!C:C,match(E7428,'Player ID'!B:B,0))</f>
        <v>571948</v>
      </c>
    </row>
    <row r="7429">
      <c r="A7429" s="76">
        <v>45809.0</v>
      </c>
      <c r="B7429" s="1" t="s">
        <v>83</v>
      </c>
      <c r="C7429" s="1" t="s">
        <v>72</v>
      </c>
      <c r="D7429" s="1">
        <v>0.1</v>
      </c>
      <c r="E7429" s="1">
        <v>13361.0</v>
      </c>
      <c r="F7429" s="10">
        <f t="shared" si="1"/>
        <v>0.3333333333</v>
      </c>
      <c r="G7429" s="10">
        <f t="array" ref="G7429">index('Player ID'!C:C,match(E7429,'Player ID'!B:B,0))</f>
        <v>571927</v>
      </c>
    </row>
    <row r="7430">
      <c r="A7430" s="76">
        <v>45809.0</v>
      </c>
      <c r="B7430" s="1" t="s">
        <v>321</v>
      </c>
      <c r="C7430" s="1" t="s">
        <v>72</v>
      </c>
      <c r="D7430" s="1">
        <v>6.0</v>
      </c>
      <c r="E7430" s="1">
        <v>17425.0</v>
      </c>
      <c r="F7430" s="10">
        <f t="shared" si="1"/>
        <v>6</v>
      </c>
      <c r="G7430" s="10">
        <f t="array" ref="G7430">index('Player ID'!C:C,match(E7430,'Player ID'!B:B,0))</f>
        <v>607200</v>
      </c>
    </row>
    <row r="7431">
      <c r="A7431" s="76">
        <v>45809.0</v>
      </c>
      <c r="B7431" s="1" t="s">
        <v>170</v>
      </c>
      <c r="C7431" s="1" t="s">
        <v>72</v>
      </c>
      <c r="D7431" s="1">
        <v>0.2</v>
      </c>
      <c r="E7431" s="1">
        <v>24763.0</v>
      </c>
      <c r="F7431" s="10">
        <f t="shared" si="1"/>
        <v>0.6666666667</v>
      </c>
      <c r="G7431" s="10">
        <f t="array" ref="G7431">index('Player ID'!C:C,match(E7431,'Player ID'!B:B,0))</f>
        <v>681517</v>
      </c>
    </row>
    <row r="7432">
      <c r="A7432" s="76">
        <v>45809.0</v>
      </c>
      <c r="B7432" s="1" t="s">
        <v>795</v>
      </c>
      <c r="C7432" s="1" t="s">
        <v>72</v>
      </c>
      <c r="D7432" s="1">
        <v>1.0</v>
      </c>
      <c r="E7432" s="1">
        <v>25311.0</v>
      </c>
      <c r="F7432" s="10">
        <f t="shared" si="1"/>
        <v>1</v>
      </c>
      <c r="G7432" s="10">
        <f t="array" ref="G7432">index('Player ID'!C:C,match(E7432,'Player ID'!B:B,0))</f>
        <v>682610</v>
      </c>
    </row>
    <row r="7433">
      <c r="A7433" s="76">
        <v>45809.0</v>
      </c>
      <c r="B7433" s="1" t="s">
        <v>474</v>
      </c>
      <c r="C7433" s="1" t="s">
        <v>68</v>
      </c>
      <c r="D7433" s="1">
        <v>6.2</v>
      </c>
      <c r="E7433" s="1">
        <v>4676.0</v>
      </c>
      <c r="F7433" s="10">
        <f t="shared" si="1"/>
        <v>6.666666667</v>
      </c>
      <c r="G7433" s="10">
        <f t="array" ref="G7433">index('Player ID'!C:C,match(E7433,'Player ID'!B:B,0))</f>
        <v>450203</v>
      </c>
    </row>
    <row r="7434">
      <c r="A7434" s="76">
        <v>45809.0</v>
      </c>
      <c r="B7434" s="1" t="s">
        <v>411</v>
      </c>
      <c r="C7434" s="1" t="s">
        <v>78</v>
      </c>
      <c r="D7434" s="1">
        <v>6.1</v>
      </c>
      <c r="E7434" s="1">
        <v>12718.0</v>
      </c>
      <c r="F7434" s="10">
        <f t="shared" si="1"/>
        <v>6.333333333</v>
      </c>
      <c r="G7434" s="10">
        <f t="array" ref="G7434">index('Player ID'!C:C,match(E7434,'Player ID'!B:B,0))</f>
        <v>605288</v>
      </c>
    </row>
    <row r="7435">
      <c r="A7435" s="76">
        <v>45809.0</v>
      </c>
      <c r="B7435" s="1" t="s">
        <v>48</v>
      </c>
      <c r="C7435" s="1" t="s">
        <v>68</v>
      </c>
      <c r="D7435" s="1">
        <v>0.2</v>
      </c>
      <c r="E7435" s="1">
        <v>12828.0</v>
      </c>
      <c r="F7435" s="10">
        <f t="shared" si="1"/>
        <v>0.6666666667</v>
      </c>
      <c r="G7435" s="10" t="str">
        <f t="array" ref="G7435">index('Player ID'!C:C,match(E7435,'Player ID'!B:B,0))</f>
        <v>#N/A</v>
      </c>
    </row>
    <row r="7436">
      <c r="A7436" s="76">
        <v>45809.0</v>
      </c>
      <c r="B7436" s="1" t="s">
        <v>433</v>
      </c>
      <c r="C7436" s="1" t="s">
        <v>68</v>
      </c>
      <c r="D7436" s="1">
        <v>0.2</v>
      </c>
      <c r="E7436" s="1">
        <v>19677.0</v>
      </c>
      <c r="F7436" s="10">
        <f t="shared" si="1"/>
        <v>0.6666666667</v>
      </c>
      <c r="G7436" s="10">
        <f t="array" ref="G7436">index('Player ID'!C:C,match(E7436,'Player ID'!B:B,0))</f>
        <v>642397</v>
      </c>
    </row>
    <row r="7437">
      <c r="A7437" s="76">
        <v>45809.0</v>
      </c>
      <c r="B7437" s="1" t="s">
        <v>240</v>
      </c>
      <c r="C7437" s="1" t="s">
        <v>68</v>
      </c>
      <c r="D7437" s="1">
        <v>1.0</v>
      </c>
      <c r="E7437" s="1">
        <v>19804.0</v>
      </c>
      <c r="F7437" s="10">
        <f t="shared" si="1"/>
        <v>1</v>
      </c>
      <c r="G7437" s="10">
        <f t="array" ref="G7437">index('Player ID'!C:C,match(E7437,'Player ID'!B:B,0))</f>
        <v>641329</v>
      </c>
    </row>
    <row r="7438">
      <c r="A7438" s="76">
        <v>45809.0</v>
      </c>
      <c r="B7438" s="1" t="s">
        <v>116</v>
      </c>
      <c r="C7438" s="1" t="s">
        <v>78</v>
      </c>
      <c r="D7438" s="1">
        <v>0.1</v>
      </c>
      <c r="E7438" s="1">
        <v>20353.0</v>
      </c>
      <c r="F7438" s="10">
        <f t="shared" si="1"/>
        <v>0.3333333333</v>
      </c>
      <c r="G7438" s="10">
        <f t="array" ref="G7438">index('Player ID'!C:C,match(E7438,'Player ID'!B:B,0))</f>
        <v>621051</v>
      </c>
    </row>
    <row r="7439">
      <c r="A7439" s="76">
        <v>45809.0</v>
      </c>
      <c r="B7439" s="1" t="s">
        <v>367</v>
      </c>
      <c r="C7439" s="1" t="s">
        <v>78</v>
      </c>
      <c r="D7439" s="1">
        <v>1.1</v>
      </c>
      <c r="E7439" s="1">
        <v>27668.0</v>
      </c>
      <c r="F7439" s="10">
        <f t="shared" si="1"/>
        <v>1.333333333</v>
      </c>
      <c r="G7439" s="10">
        <f t="array" ref="G7439">index('Player ID'!C:C,match(E7439,'Player ID'!B:B,0))</f>
        <v>685126</v>
      </c>
    </row>
    <row r="7440">
      <c r="A7440" s="76">
        <v>45809.0</v>
      </c>
      <c r="B7440" s="1" t="s">
        <v>41</v>
      </c>
      <c r="C7440" s="1" t="s">
        <v>22</v>
      </c>
      <c r="D7440" s="1">
        <v>1.0</v>
      </c>
      <c r="E7440" s="1">
        <v>10233.0</v>
      </c>
      <c r="F7440" s="10">
        <f t="shared" si="1"/>
        <v>1</v>
      </c>
      <c r="G7440" s="10">
        <f t="array" ref="G7440">index('Player ID'!C:C,match(E7440,'Player ID'!B:B,0))</f>
        <v>547973</v>
      </c>
    </row>
    <row r="7441">
      <c r="A7441" s="76">
        <v>45809.0</v>
      </c>
      <c r="B7441" s="1" t="s">
        <v>319</v>
      </c>
      <c r="C7441" s="1" t="s">
        <v>46</v>
      </c>
      <c r="D7441" s="1">
        <v>2.0</v>
      </c>
      <c r="E7441" s="1">
        <v>16258.0</v>
      </c>
      <c r="F7441" s="10">
        <f t="shared" si="1"/>
        <v>2</v>
      </c>
      <c r="G7441" s="10">
        <f t="array" ref="G7441">index('Player ID'!C:C,match(E7441,'Player ID'!B:B,0))</f>
        <v>607481</v>
      </c>
    </row>
    <row r="7442">
      <c r="A7442" s="76">
        <v>45809.0</v>
      </c>
      <c r="B7442" s="1" t="s">
        <v>184</v>
      </c>
      <c r="C7442" s="1" t="s">
        <v>46</v>
      </c>
      <c r="D7442" s="1">
        <v>1.0</v>
      </c>
      <c r="E7442" s="1">
        <v>17130.0</v>
      </c>
      <c r="F7442" s="10">
        <f t="shared" si="1"/>
        <v>1</v>
      </c>
      <c r="G7442" s="10">
        <f t="array" ref="G7442">index('Player ID'!C:C,match(E7442,'Player ID'!B:B,0))</f>
        <v>628452</v>
      </c>
    </row>
    <row r="7443">
      <c r="A7443" s="76">
        <v>45809.0</v>
      </c>
      <c r="B7443" s="1" t="s">
        <v>346</v>
      </c>
      <c r="C7443" s="1" t="s">
        <v>46</v>
      </c>
      <c r="D7443" s="1">
        <v>0.2</v>
      </c>
      <c r="E7443" s="1">
        <v>18403.0</v>
      </c>
      <c r="F7443" s="10">
        <f t="shared" si="1"/>
        <v>0.6666666667</v>
      </c>
      <c r="G7443" s="10">
        <f t="array" ref="G7443">index('Player ID'!C:C,match(E7443,'Player ID'!B:B,0))</f>
        <v>660853</v>
      </c>
    </row>
    <row r="7444">
      <c r="A7444" s="76">
        <v>45809.0</v>
      </c>
      <c r="B7444" s="1" t="s">
        <v>406</v>
      </c>
      <c r="C7444" s="1" t="s">
        <v>22</v>
      </c>
      <c r="D7444" s="1">
        <v>1.0</v>
      </c>
      <c r="E7444" s="1">
        <v>20375.0</v>
      </c>
      <c r="F7444" s="10">
        <f t="shared" si="1"/>
        <v>1</v>
      </c>
      <c r="G7444" s="10">
        <f t="array" ref="G7444">index('Player ID'!C:C,match(E7444,'Player ID'!B:B,0))</f>
        <v>669711</v>
      </c>
    </row>
    <row r="7445">
      <c r="A7445" s="76">
        <v>45809.0</v>
      </c>
      <c r="B7445" s="1" t="s">
        <v>100</v>
      </c>
      <c r="C7445" s="1" t="s">
        <v>22</v>
      </c>
      <c r="D7445" s="1">
        <v>7.0</v>
      </c>
      <c r="E7445" s="1">
        <v>27463.0</v>
      </c>
      <c r="F7445" s="10">
        <f t="shared" si="1"/>
        <v>7</v>
      </c>
      <c r="G7445" s="10">
        <f t="array" ref="G7445">index('Player ID'!C:C,match(E7445,'Player ID'!B:B,0))</f>
        <v>676979</v>
      </c>
    </row>
    <row r="7446">
      <c r="A7446" s="76">
        <v>45809.0</v>
      </c>
      <c r="B7446" s="1" t="s">
        <v>275</v>
      </c>
      <c r="C7446" s="1" t="s">
        <v>46</v>
      </c>
      <c r="D7446" s="1">
        <v>5.1</v>
      </c>
      <c r="E7446" s="1">
        <v>27779.0</v>
      </c>
      <c r="F7446" s="10">
        <f t="shared" si="1"/>
        <v>5.333333333</v>
      </c>
      <c r="G7446" s="10">
        <f t="array" ref="G7446">index('Player ID'!C:C,match(E7446,'Player ID'!B:B,0))</f>
        <v>693821</v>
      </c>
    </row>
    <row r="7447">
      <c r="A7447" s="76">
        <v>45809.0</v>
      </c>
      <c r="B7447" s="1" t="s">
        <v>476</v>
      </c>
      <c r="C7447" s="1" t="s">
        <v>14</v>
      </c>
      <c r="D7447" s="1">
        <v>5.0</v>
      </c>
      <c r="E7447" s="1">
        <v>11423.0</v>
      </c>
      <c r="F7447" s="10">
        <f t="shared" si="1"/>
        <v>5</v>
      </c>
      <c r="G7447" s="10">
        <f t="array" ref="G7447">index('Player ID'!C:C,match(E7447,'Player ID'!B:B,0))</f>
        <v>500779</v>
      </c>
    </row>
    <row r="7448">
      <c r="A7448" s="76">
        <v>45809.0</v>
      </c>
      <c r="B7448" s="1" t="s">
        <v>182</v>
      </c>
      <c r="C7448" s="1" t="s">
        <v>45</v>
      </c>
      <c r="D7448" s="1">
        <v>1.0</v>
      </c>
      <c r="E7448" s="1">
        <v>13799.0</v>
      </c>
      <c r="F7448" s="10">
        <f t="shared" si="1"/>
        <v>1</v>
      </c>
      <c r="G7448" s="10">
        <f t="array" ref="G7448">index('Player ID'!C:C,match(E7448,'Player ID'!B:B,0))</f>
        <v>621381</v>
      </c>
    </row>
    <row r="7449">
      <c r="A7449" s="76">
        <v>45809.0</v>
      </c>
      <c r="B7449" s="1" t="s">
        <v>208</v>
      </c>
      <c r="C7449" s="1" t="s">
        <v>45</v>
      </c>
      <c r="D7449" s="1">
        <v>1.0</v>
      </c>
      <c r="E7449" s="1">
        <v>16122.0</v>
      </c>
      <c r="F7449" s="10">
        <f t="shared" si="1"/>
        <v>1</v>
      </c>
      <c r="G7449" s="10">
        <f t="array" ref="G7449">index('Player ID'!C:C,match(E7449,'Player ID'!B:B,0))</f>
        <v>605447</v>
      </c>
    </row>
    <row r="7450">
      <c r="A7450" s="76">
        <v>45809.0</v>
      </c>
      <c r="B7450" s="1" t="s">
        <v>827</v>
      </c>
      <c r="C7450" s="1" t="s">
        <v>45</v>
      </c>
      <c r="D7450" s="1">
        <v>6.0</v>
      </c>
      <c r="E7450" s="1">
        <v>17277.0</v>
      </c>
      <c r="F7450" s="10">
        <f t="shared" si="1"/>
        <v>6</v>
      </c>
      <c r="G7450" s="10">
        <f t="array" ref="G7450">index('Player ID'!C:C,match(E7450,'Player ID'!B:B,0))</f>
        <v>624133</v>
      </c>
    </row>
    <row r="7451">
      <c r="A7451" s="76">
        <v>45809.0</v>
      </c>
      <c r="B7451" s="1" t="s">
        <v>13</v>
      </c>
      <c r="C7451" s="1" t="s">
        <v>14</v>
      </c>
      <c r="D7451" s="1">
        <v>1.0</v>
      </c>
      <c r="E7451" s="1">
        <v>17722.0</v>
      </c>
      <c r="F7451" s="10">
        <f t="shared" si="1"/>
        <v>1</v>
      </c>
      <c r="G7451" s="10">
        <f t="array" ref="G7451">index('Player ID'!C:C,match(E7451,'Player ID'!B:B,0))</f>
        <v>656730</v>
      </c>
    </row>
    <row r="7452">
      <c r="A7452" s="76">
        <v>45809.0</v>
      </c>
      <c r="B7452" s="1" t="s">
        <v>279</v>
      </c>
      <c r="C7452" s="1" t="s">
        <v>14</v>
      </c>
      <c r="D7452" s="1">
        <v>1.0</v>
      </c>
      <c r="E7452" s="1">
        <v>25327.0</v>
      </c>
      <c r="F7452" s="10">
        <f t="shared" si="1"/>
        <v>1</v>
      </c>
      <c r="G7452" s="10">
        <f t="array" ref="G7452">index('Player ID'!C:C,match(E7452,'Player ID'!B:B,0))</f>
        <v>682842</v>
      </c>
    </row>
    <row r="7453">
      <c r="A7453" s="76">
        <v>45809.0</v>
      </c>
      <c r="B7453" s="1" t="s">
        <v>112</v>
      </c>
      <c r="C7453" s="1" t="s">
        <v>14</v>
      </c>
      <c r="D7453" s="1">
        <v>1.0</v>
      </c>
      <c r="E7453" s="1">
        <v>25376.0</v>
      </c>
      <c r="F7453" s="10">
        <f t="shared" si="1"/>
        <v>1</v>
      </c>
      <c r="G7453" s="10">
        <f t="array" ref="G7453">index('Player ID'!C:C,match(E7453,'Player ID'!B:B,0))</f>
        <v>683232</v>
      </c>
    </row>
    <row r="7454">
      <c r="A7454" s="76">
        <v>45809.0</v>
      </c>
      <c r="B7454" s="1" t="s">
        <v>418</v>
      </c>
      <c r="C7454" s="1" t="s">
        <v>14</v>
      </c>
      <c r="D7454" s="1">
        <v>1.0</v>
      </c>
      <c r="E7454" s="1">
        <v>27517.0</v>
      </c>
      <c r="F7454" s="10">
        <f t="shared" si="1"/>
        <v>1</v>
      </c>
      <c r="G7454" s="10">
        <f t="array" ref="G7454">index('Player ID'!C:C,match(E7454,'Player ID'!B:B,0))</f>
        <v>657649</v>
      </c>
    </row>
    <row r="7455">
      <c r="A7455" s="76">
        <v>45809.0</v>
      </c>
      <c r="B7455" s="1" t="s">
        <v>165</v>
      </c>
      <c r="C7455" s="1" t="s">
        <v>45</v>
      </c>
      <c r="D7455" s="1">
        <v>1.0</v>
      </c>
      <c r="E7455" s="1">
        <v>31776.0</v>
      </c>
      <c r="F7455" s="10">
        <f t="shared" si="1"/>
        <v>1</v>
      </c>
      <c r="G7455" s="10">
        <f t="array" ref="G7455">index('Player ID'!C:C,match(E7455,'Player ID'!B:B,0))</f>
        <v>689147</v>
      </c>
    </row>
    <row r="7456">
      <c r="A7456" s="76">
        <v>45809.0</v>
      </c>
      <c r="B7456" s="1" t="s">
        <v>155</v>
      </c>
      <c r="C7456" s="1" t="s">
        <v>40</v>
      </c>
      <c r="D7456" s="1">
        <v>4.2</v>
      </c>
      <c r="E7456" s="1">
        <v>14107.0</v>
      </c>
      <c r="F7456" s="10">
        <f t="shared" si="1"/>
        <v>4.666666667</v>
      </c>
      <c r="G7456" s="10">
        <f t="array" ref="G7456">index('Player ID'!C:C,match(E7456,'Player ID'!B:B,0))</f>
        <v>592332</v>
      </c>
    </row>
    <row r="7457">
      <c r="A7457" s="76">
        <v>45809.0</v>
      </c>
      <c r="B7457" s="1" t="s">
        <v>174</v>
      </c>
      <c r="C7457" s="1" t="s">
        <v>40</v>
      </c>
      <c r="D7457" s="1">
        <v>1.0</v>
      </c>
      <c r="E7457" s="1">
        <v>15552.0</v>
      </c>
      <c r="F7457" s="10">
        <f t="shared" si="1"/>
        <v>1</v>
      </c>
      <c r="G7457" s="10">
        <f t="array" ref="G7457">index('Player ID'!C:C,match(E7457,'Player ID'!B:B,0))</f>
        <v>643338</v>
      </c>
    </row>
    <row r="7458">
      <c r="A7458" s="76">
        <v>45809.0</v>
      </c>
      <c r="B7458" s="1" t="s">
        <v>858</v>
      </c>
      <c r="C7458" s="1" t="s">
        <v>40</v>
      </c>
      <c r="D7458" s="1">
        <v>1.0</v>
      </c>
      <c r="E7458" s="1">
        <v>16587.0</v>
      </c>
      <c r="F7458" s="10">
        <f t="shared" si="1"/>
        <v>1</v>
      </c>
      <c r="G7458" s="10" t="str">
        <f t="array" ref="G7458">index('Player ID'!C:C,match(E7458,'Player ID'!B:B,0))</f>
        <v>#N/A</v>
      </c>
    </row>
    <row r="7459">
      <c r="A7459" s="76">
        <v>45809.0</v>
      </c>
      <c r="B7459" s="1" t="s">
        <v>311</v>
      </c>
      <c r="C7459" s="1" t="s">
        <v>40</v>
      </c>
      <c r="D7459" s="1">
        <v>1.0</v>
      </c>
      <c r="E7459" s="1">
        <v>17432.0</v>
      </c>
      <c r="F7459" s="10">
        <f t="shared" si="1"/>
        <v>1</v>
      </c>
      <c r="G7459" s="10">
        <f t="array" ref="G7459">index('Player ID'!C:C,match(E7459,'Player ID'!B:B,0))</f>
        <v>656546</v>
      </c>
    </row>
    <row r="7460">
      <c r="A7460" s="76">
        <v>45809.0</v>
      </c>
      <c r="B7460" s="1" t="s">
        <v>251</v>
      </c>
      <c r="C7460" s="1" t="s">
        <v>52</v>
      </c>
      <c r="D7460" s="1">
        <v>5.0</v>
      </c>
      <c r="E7460" s="1">
        <v>23429.0</v>
      </c>
      <c r="F7460" s="10">
        <f t="shared" si="1"/>
        <v>5</v>
      </c>
      <c r="G7460" s="10">
        <f t="array" ref="G7460">index('Player ID'!C:C,match(E7460,'Player ID'!B:B,0))</f>
        <v>676664</v>
      </c>
    </row>
    <row r="7461">
      <c r="A7461" s="76">
        <v>45809.0</v>
      </c>
      <c r="B7461" s="1" t="s">
        <v>213</v>
      </c>
      <c r="C7461" s="1" t="s">
        <v>52</v>
      </c>
      <c r="D7461" s="1">
        <v>0.0</v>
      </c>
      <c r="E7461" s="1">
        <v>27694.0</v>
      </c>
      <c r="F7461" s="10">
        <f t="shared" si="1"/>
        <v>0</v>
      </c>
      <c r="G7461" s="10">
        <f t="array" ref="G7461">index('Player ID'!C:C,match(E7461,'Player ID'!B:B,0))</f>
        <v>686993</v>
      </c>
    </row>
    <row r="7462">
      <c r="A7462" s="76">
        <v>45809.0</v>
      </c>
      <c r="B7462" s="1" t="s">
        <v>127</v>
      </c>
      <c r="C7462" s="1" t="s">
        <v>52</v>
      </c>
      <c r="D7462" s="1">
        <v>2.0</v>
      </c>
      <c r="E7462" s="1">
        <v>27707.0</v>
      </c>
      <c r="F7462" s="10">
        <f t="shared" si="1"/>
        <v>2</v>
      </c>
      <c r="G7462" s="10">
        <f t="array" ref="G7462">index('Player ID'!C:C,match(E7462,'Player ID'!B:B,0))</f>
        <v>687765</v>
      </c>
    </row>
    <row r="7463">
      <c r="A7463" s="76">
        <v>45809.0</v>
      </c>
      <c r="B7463" s="1" t="s">
        <v>681</v>
      </c>
      <c r="C7463" s="1" t="s">
        <v>52</v>
      </c>
      <c r="D7463" s="1">
        <v>1.0</v>
      </c>
      <c r="E7463" s="1">
        <v>30002.0</v>
      </c>
      <c r="F7463" s="10">
        <f t="shared" si="1"/>
        <v>1</v>
      </c>
      <c r="G7463" s="10">
        <f t="array" ref="G7463">index('Player ID'!C:C,match(E7463,'Player ID'!B:B,0))</f>
        <v>680880</v>
      </c>
    </row>
    <row r="7464">
      <c r="A7464" s="76">
        <v>45809.0</v>
      </c>
      <c r="B7464" s="1" t="s">
        <v>142</v>
      </c>
      <c r="C7464" s="1" t="s">
        <v>40</v>
      </c>
      <c r="D7464" s="1">
        <v>1.1</v>
      </c>
      <c r="E7464" s="1">
        <v>31553.0</v>
      </c>
      <c r="F7464" s="10">
        <f t="shared" si="1"/>
        <v>1.333333333</v>
      </c>
      <c r="G7464" s="10">
        <f t="array" ref="G7464">index('Player ID'!C:C,match(E7464,'Player ID'!B:B,0))</f>
        <v>689254</v>
      </c>
    </row>
    <row r="7465">
      <c r="A7465" s="76">
        <v>45809.0</v>
      </c>
      <c r="B7465" s="1" t="s">
        <v>269</v>
      </c>
      <c r="C7465" s="1" t="s">
        <v>51</v>
      </c>
      <c r="D7465" s="1">
        <v>7.0</v>
      </c>
      <c r="E7465" s="1">
        <v>13649.0</v>
      </c>
      <c r="F7465" s="10">
        <f t="shared" si="1"/>
        <v>7</v>
      </c>
      <c r="G7465" s="10">
        <f t="array" ref="G7465">index('Player ID'!C:C,match(E7465,'Player ID'!B:B,0))</f>
        <v>605280</v>
      </c>
    </row>
    <row r="7466">
      <c r="A7466" s="76">
        <v>45809.0</v>
      </c>
      <c r="B7466" s="1" t="s">
        <v>679</v>
      </c>
      <c r="C7466" s="1" t="s">
        <v>51</v>
      </c>
      <c r="D7466" s="1">
        <v>1.0</v>
      </c>
      <c r="E7466" s="1">
        <v>14710.0</v>
      </c>
      <c r="F7466" s="10">
        <f t="shared" si="1"/>
        <v>1</v>
      </c>
      <c r="G7466" s="10">
        <f t="array" ref="G7466">index('Player ID'!C:C,match(E7466,'Player ID'!B:B,0))</f>
        <v>621242</v>
      </c>
    </row>
    <row r="7467">
      <c r="A7467" s="76">
        <v>45809.0</v>
      </c>
      <c r="B7467" s="1" t="s">
        <v>295</v>
      </c>
      <c r="C7467" s="1" t="s">
        <v>51</v>
      </c>
      <c r="D7467" s="1">
        <v>1.0</v>
      </c>
      <c r="E7467" s="1">
        <v>16866.0</v>
      </c>
      <c r="F7467" s="10">
        <f t="shared" si="1"/>
        <v>1</v>
      </c>
      <c r="G7467" s="10">
        <f t="array" ref="G7467">index('Player ID'!C:C,match(E7467,'Player ID'!B:B,0))</f>
        <v>657585</v>
      </c>
    </row>
    <row r="7468">
      <c r="A7468" s="76">
        <v>45809.0</v>
      </c>
      <c r="B7468" s="1" t="s">
        <v>288</v>
      </c>
      <c r="C7468" s="1" t="s">
        <v>75</v>
      </c>
      <c r="D7468" s="1">
        <v>1.0</v>
      </c>
      <c r="E7468" s="1">
        <v>18297.0</v>
      </c>
      <c r="F7468" s="10">
        <f t="shared" si="1"/>
        <v>1</v>
      </c>
      <c r="G7468" s="10">
        <f t="array" ref="G7468">index('Player ID'!C:C,match(E7468,'Player ID'!B:B,0))</f>
        <v>641755</v>
      </c>
    </row>
    <row r="7469">
      <c r="A7469" s="76">
        <v>45809.0</v>
      </c>
      <c r="B7469" s="1" t="s">
        <v>215</v>
      </c>
      <c r="C7469" s="1" t="s">
        <v>75</v>
      </c>
      <c r="D7469" s="1">
        <v>1.1</v>
      </c>
      <c r="E7469" s="1">
        <v>21267.0</v>
      </c>
      <c r="F7469" s="10">
        <f t="shared" si="1"/>
        <v>1.333333333</v>
      </c>
      <c r="G7469" s="10">
        <f t="array" ref="G7469">index('Player ID'!C:C,match(E7469,'Player ID'!B:B,0))</f>
        <v>656234</v>
      </c>
    </row>
    <row r="7470">
      <c r="A7470" s="76">
        <v>45809.0</v>
      </c>
      <c r="B7470" s="1" t="s">
        <v>512</v>
      </c>
      <c r="C7470" s="1" t="s">
        <v>75</v>
      </c>
      <c r="D7470" s="1">
        <v>1.0</v>
      </c>
      <c r="E7470" s="1">
        <v>31552.0</v>
      </c>
      <c r="F7470" s="10">
        <f t="shared" si="1"/>
        <v>1</v>
      </c>
      <c r="G7470" s="10">
        <f t="array" ref="G7470">index('Player ID'!C:C,match(E7470,'Player ID'!B:B,0))</f>
        <v>688642</v>
      </c>
    </row>
    <row r="7471">
      <c r="A7471" s="76">
        <v>45809.0</v>
      </c>
      <c r="B7471" s="1" t="s">
        <v>449</v>
      </c>
      <c r="C7471" s="1" t="s">
        <v>75</v>
      </c>
      <c r="D7471" s="1">
        <v>4.2</v>
      </c>
      <c r="E7471" s="1">
        <v>31612.0</v>
      </c>
      <c r="F7471" s="10">
        <f t="shared" si="1"/>
        <v>4.666666667</v>
      </c>
      <c r="G7471" s="10">
        <f t="array" ref="G7471">index('Player ID'!C:C,match(E7471,'Player ID'!B:B,0))</f>
        <v>687223</v>
      </c>
    </row>
    <row r="7472">
      <c r="A7472" s="76">
        <v>45809.0</v>
      </c>
      <c r="B7472" s="1" t="s">
        <v>834</v>
      </c>
      <c r="C7472" s="1" t="s">
        <v>25</v>
      </c>
      <c r="D7472" s="1">
        <v>2.0</v>
      </c>
      <c r="E7472" s="1">
        <v>7836.0</v>
      </c>
      <c r="F7472" s="10">
        <f t="shared" si="1"/>
        <v>2</v>
      </c>
      <c r="G7472" s="10" t="str">
        <f t="array" ref="G7472">index('Player ID'!C:C,match(E7472,'Player ID'!B:B,0))</f>
        <v>#N/A</v>
      </c>
    </row>
    <row r="7473">
      <c r="A7473" s="76">
        <v>45809.0</v>
      </c>
      <c r="B7473" s="1" t="s">
        <v>291</v>
      </c>
      <c r="C7473" s="1" t="s">
        <v>25</v>
      </c>
      <c r="D7473" s="1">
        <v>2.0</v>
      </c>
      <c r="E7473" s="1">
        <v>17968.0</v>
      </c>
      <c r="F7473" s="10">
        <f t="shared" si="1"/>
        <v>2</v>
      </c>
      <c r="G7473" s="10">
        <f t="array" ref="G7473">index('Player ID'!C:C,match(E7473,'Player ID'!B:B,0))</f>
        <v>656271</v>
      </c>
    </row>
    <row r="7474">
      <c r="A7474" s="76">
        <v>45809.0</v>
      </c>
      <c r="B7474" s="1" t="s">
        <v>141</v>
      </c>
      <c r="C7474" s="1" t="s">
        <v>70</v>
      </c>
      <c r="D7474" s="1">
        <v>0.1</v>
      </c>
      <c r="E7474" s="1">
        <v>19330.0</v>
      </c>
      <c r="F7474" s="10">
        <f t="shared" si="1"/>
        <v>0.3333333333</v>
      </c>
      <c r="G7474" s="10">
        <f t="array" ref="G7474">index('Player ID'!C:C,match(E7474,'Player ID'!B:B,0))</f>
        <v>670036</v>
      </c>
    </row>
    <row r="7475">
      <c r="A7475" s="76">
        <v>45809.0</v>
      </c>
      <c r="B7475" s="1" t="s">
        <v>132</v>
      </c>
      <c r="C7475" s="1" t="s">
        <v>70</v>
      </c>
      <c r="D7475" s="1">
        <v>1.0</v>
      </c>
      <c r="E7475" s="1">
        <v>21032.0</v>
      </c>
      <c r="F7475" s="10">
        <f t="shared" si="1"/>
        <v>1</v>
      </c>
      <c r="G7475" s="10">
        <f t="array" ref="G7475">index('Player ID'!C:C,match(E7475,'Player ID'!B:B,0))</f>
        <v>661403</v>
      </c>
    </row>
    <row r="7476">
      <c r="A7476" s="76">
        <v>45809.0</v>
      </c>
      <c r="B7476" s="1" t="s">
        <v>283</v>
      </c>
      <c r="C7476" s="1" t="s">
        <v>25</v>
      </c>
      <c r="D7476" s="1">
        <v>0.1</v>
      </c>
      <c r="E7476" s="1">
        <v>21205.0</v>
      </c>
      <c r="F7476" s="10">
        <f t="shared" si="1"/>
        <v>0.3333333333</v>
      </c>
      <c r="G7476" s="10">
        <f t="array" ref="G7476">index('Player ID'!C:C,match(E7476,'Player ID'!B:B,0))</f>
        <v>641401</v>
      </c>
    </row>
    <row r="7477">
      <c r="A7477" s="76">
        <v>45809.0</v>
      </c>
      <c r="B7477" s="1" t="s">
        <v>238</v>
      </c>
      <c r="C7477" s="1" t="s">
        <v>70</v>
      </c>
      <c r="D7477" s="1">
        <v>1.0</v>
      </c>
      <c r="E7477" s="1">
        <v>25636.0</v>
      </c>
      <c r="F7477" s="10">
        <f t="shared" si="1"/>
        <v>1</v>
      </c>
      <c r="G7477" s="10">
        <f t="array" ref="G7477">index('Player ID'!C:C,match(E7477,'Player ID'!B:B,0))</f>
        <v>683769</v>
      </c>
    </row>
    <row r="7478">
      <c r="A7478" s="76">
        <v>45809.0</v>
      </c>
      <c r="B7478" s="1" t="s">
        <v>521</v>
      </c>
      <c r="C7478" s="1" t="s">
        <v>25</v>
      </c>
      <c r="D7478" s="1">
        <v>3.2</v>
      </c>
      <c r="E7478" s="1">
        <v>27688.0</v>
      </c>
      <c r="F7478" s="10">
        <f t="shared" si="1"/>
        <v>3.666666667</v>
      </c>
      <c r="G7478" s="10">
        <f t="array" ref="G7478">index('Player ID'!C:C,match(E7478,'Player ID'!B:B,0))</f>
        <v>686799</v>
      </c>
    </row>
    <row r="7479">
      <c r="A7479" s="76">
        <v>45809.0</v>
      </c>
      <c r="B7479" s="1" t="s">
        <v>376</v>
      </c>
      <c r="C7479" s="1" t="s">
        <v>70</v>
      </c>
      <c r="D7479" s="1">
        <v>6.2</v>
      </c>
      <c r="E7479" s="1">
        <v>30122.0</v>
      </c>
      <c r="F7479" s="10">
        <f t="shared" si="1"/>
        <v>6.666666667</v>
      </c>
      <c r="G7479" s="10">
        <f t="array" ref="G7479">index('Player ID'!C:C,match(E7479,'Player ID'!B:B,0))</f>
        <v>668909</v>
      </c>
    </row>
    <row r="7480">
      <c r="A7480" s="76">
        <v>45809.0</v>
      </c>
      <c r="B7480" s="1" t="s">
        <v>20</v>
      </c>
      <c r="C7480" s="1" t="s">
        <v>31</v>
      </c>
      <c r="D7480" s="1">
        <v>0.2</v>
      </c>
      <c r="E7480" s="1">
        <v>15541.0</v>
      </c>
      <c r="F7480" s="10">
        <f t="shared" si="1"/>
        <v>0.6666666667</v>
      </c>
      <c r="G7480" s="10">
        <f t="array" ref="G7480">index('Player ID'!C:C,match(E7480,'Player ID'!B:B,0))</f>
        <v>643511</v>
      </c>
    </row>
    <row r="7481">
      <c r="A7481" s="76">
        <v>45809.0</v>
      </c>
      <c r="B7481" s="1" t="s">
        <v>661</v>
      </c>
      <c r="C7481" s="1" t="s">
        <v>36</v>
      </c>
      <c r="D7481" s="1">
        <v>1.0</v>
      </c>
      <c r="E7481" s="1">
        <v>16300.0</v>
      </c>
      <c r="F7481" s="10">
        <f t="shared" si="1"/>
        <v>1</v>
      </c>
      <c r="G7481" s="10">
        <f t="array" ref="G7481">index('Player ID'!C:C,match(E7481,'Player ID'!B:B,0))</f>
        <v>622786</v>
      </c>
    </row>
    <row r="7482">
      <c r="A7482" s="76">
        <v>45809.0</v>
      </c>
      <c r="B7482" s="1" t="s">
        <v>445</v>
      </c>
      <c r="C7482" s="1" t="s">
        <v>31</v>
      </c>
      <c r="D7482" s="1">
        <v>0.1</v>
      </c>
      <c r="E7482" s="1">
        <v>19618.0</v>
      </c>
      <c r="F7482" s="10">
        <f t="shared" si="1"/>
        <v>0.3333333333</v>
      </c>
      <c r="G7482" s="10">
        <f t="array" ref="G7482">index('Player ID'!C:C,match(E7482,'Player ID'!B:B,0))</f>
        <v>663855</v>
      </c>
    </row>
    <row r="7483">
      <c r="A7483" s="76">
        <v>45809.0</v>
      </c>
      <c r="B7483" s="1" t="s">
        <v>403</v>
      </c>
      <c r="C7483" s="1" t="s">
        <v>31</v>
      </c>
      <c r="D7483" s="1">
        <v>0.2</v>
      </c>
      <c r="E7483" s="1">
        <v>20423.0</v>
      </c>
      <c r="F7483" s="10">
        <f t="shared" si="1"/>
        <v>0.6666666667</v>
      </c>
      <c r="G7483" s="10">
        <f t="array" ref="G7483">index('Player ID'!C:C,match(E7483,'Player ID'!B:B,0))</f>
        <v>676254</v>
      </c>
    </row>
    <row r="7484">
      <c r="A7484" s="76">
        <v>45809.0</v>
      </c>
      <c r="B7484" s="1" t="s">
        <v>61</v>
      </c>
      <c r="C7484" s="1" t="s">
        <v>36</v>
      </c>
      <c r="D7484" s="1">
        <v>1.0</v>
      </c>
      <c r="E7484" s="1">
        <v>20629.0</v>
      </c>
      <c r="F7484" s="10">
        <f t="shared" si="1"/>
        <v>1</v>
      </c>
      <c r="G7484" s="10">
        <f t="array" ref="G7484">index('Player ID'!C:C,match(E7484,'Player ID'!B:B,0))</f>
        <v>663969</v>
      </c>
    </row>
    <row r="7485">
      <c r="A7485" s="76">
        <v>45809.0</v>
      </c>
      <c r="B7485" s="1" t="s">
        <v>304</v>
      </c>
      <c r="C7485" s="1" t="s">
        <v>31</v>
      </c>
      <c r="D7485" s="1">
        <v>1.1</v>
      </c>
      <c r="E7485" s="1">
        <v>21992.0</v>
      </c>
      <c r="F7485" s="10">
        <f t="shared" si="1"/>
        <v>1.333333333</v>
      </c>
      <c r="G7485" s="10">
        <f t="array" ref="G7485">index('Player ID'!C:C,match(E7485,'Player ID'!B:B,0))</f>
        <v>666808</v>
      </c>
    </row>
    <row r="7486">
      <c r="A7486" s="76">
        <v>45809.0</v>
      </c>
      <c r="B7486" s="1" t="s">
        <v>202</v>
      </c>
      <c r="C7486" s="1" t="s">
        <v>36</v>
      </c>
      <c r="D7486" s="1">
        <v>6.0</v>
      </c>
      <c r="E7486" s="1">
        <v>23796.0</v>
      </c>
      <c r="F7486" s="10">
        <f t="shared" si="1"/>
        <v>6</v>
      </c>
      <c r="G7486" s="10">
        <f t="array" ref="G7486">index('Player ID'!C:C,match(E7486,'Player ID'!B:B,0))</f>
        <v>677960</v>
      </c>
    </row>
    <row r="7487">
      <c r="A7487" s="76">
        <v>45809.0</v>
      </c>
      <c r="B7487" s="1" t="s">
        <v>655</v>
      </c>
      <c r="C7487" s="1" t="s">
        <v>31</v>
      </c>
      <c r="D7487" s="1">
        <v>0.2</v>
      </c>
      <c r="E7487" s="1">
        <v>26252.0</v>
      </c>
      <c r="F7487" s="10">
        <f t="shared" si="1"/>
        <v>0.6666666667</v>
      </c>
      <c r="G7487" s="10">
        <f t="array" ref="G7487">index('Player ID'!C:C,match(E7487,'Player ID'!B:B,0))</f>
        <v>669062</v>
      </c>
    </row>
    <row r="7488">
      <c r="A7488" s="76">
        <v>45809.0</v>
      </c>
      <c r="B7488" s="1" t="s">
        <v>514</v>
      </c>
      <c r="C7488" s="1" t="s">
        <v>31</v>
      </c>
      <c r="D7488" s="1">
        <v>5.1</v>
      </c>
      <c r="E7488" s="1">
        <v>31635.0</v>
      </c>
      <c r="F7488" s="10">
        <f t="shared" si="1"/>
        <v>5.333333333</v>
      </c>
      <c r="G7488" s="10">
        <f t="array" ref="G7488">index('Player ID'!C:C,match(E7488,'Player ID'!B:B,0))</f>
        <v>806185</v>
      </c>
    </row>
    <row r="7489">
      <c r="A7489" s="76">
        <v>45809.0</v>
      </c>
      <c r="B7489" s="1" t="s">
        <v>266</v>
      </c>
      <c r="C7489" s="1" t="s">
        <v>36</v>
      </c>
      <c r="D7489" s="1">
        <v>1.0</v>
      </c>
      <c r="E7489" s="1">
        <v>31815.0</v>
      </c>
      <c r="F7489" s="10">
        <f t="shared" si="1"/>
        <v>1</v>
      </c>
      <c r="G7489" s="10">
        <f t="array" ref="G7489">index('Player ID'!C:C,match(E7489,'Player ID'!B:B,0))</f>
        <v>806188</v>
      </c>
    </row>
    <row r="7490">
      <c r="A7490" s="76">
        <v>45809.0</v>
      </c>
      <c r="B7490" s="1" t="s">
        <v>439</v>
      </c>
      <c r="C7490" s="1" t="s">
        <v>62</v>
      </c>
      <c r="D7490" s="1">
        <v>1.0</v>
      </c>
      <c r="E7490" s="1">
        <v>11384.0</v>
      </c>
      <c r="F7490" s="10">
        <f t="shared" si="1"/>
        <v>1</v>
      </c>
      <c r="G7490" s="10">
        <f t="array" ref="G7490">index('Player ID'!C:C,match(E7490,'Player ID'!B:B,0))</f>
        <v>592454</v>
      </c>
    </row>
    <row r="7491">
      <c r="A7491" s="76">
        <v>45809.0</v>
      </c>
      <c r="B7491" s="1" t="s">
        <v>131</v>
      </c>
      <c r="C7491" s="1" t="s">
        <v>62</v>
      </c>
      <c r="D7491" s="1">
        <v>1.0</v>
      </c>
      <c r="E7491" s="1">
        <v>19769.0</v>
      </c>
      <c r="F7491" s="10">
        <f t="shared" si="1"/>
        <v>1</v>
      </c>
      <c r="G7491" s="10">
        <f t="array" ref="G7491">index('Player ID'!C:C,match(E7491,'Player ID'!B:B,0))</f>
        <v>676684</v>
      </c>
    </row>
    <row r="7492">
      <c r="A7492" s="76">
        <v>45809.0</v>
      </c>
      <c r="B7492" s="1" t="s">
        <v>163</v>
      </c>
      <c r="C7492" s="1" t="s">
        <v>29</v>
      </c>
      <c r="D7492" s="1">
        <v>7.0</v>
      </c>
      <c r="E7492" s="1">
        <v>21455.0</v>
      </c>
      <c r="F7492" s="10">
        <f t="shared" si="1"/>
        <v>7</v>
      </c>
      <c r="G7492" s="10">
        <f t="array" ref="G7492">index('Player ID'!C:C,match(E7492,'Player ID'!B:B,0))</f>
        <v>663460</v>
      </c>
    </row>
    <row r="7493">
      <c r="A7493" s="76">
        <v>45809.0</v>
      </c>
      <c r="B7493" s="1" t="s">
        <v>331</v>
      </c>
      <c r="C7493" s="1" t="s">
        <v>62</v>
      </c>
      <c r="D7493" s="1">
        <v>4.2</v>
      </c>
      <c r="E7493" s="1">
        <v>22630.0</v>
      </c>
      <c r="F7493" s="10">
        <f t="shared" si="1"/>
        <v>4.666666667</v>
      </c>
      <c r="G7493" s="10">
        <f t="array" ref="G7493">index('Player ID'!C:C,match(E7493,'Player ID'!B:B,0))</f>
        <v>672456</v>
      </c>
    </row>
    <row r="7494">
      <c r="A7494" s="76">
        <v>45809.0</v>
      </c>
      <c r="B7494" s="1" t="s">
        <v>140</v>
      </c>
      <c r="C7494" s="1" t="s">
        <v>29</v>
      </c>
      <c r="D7494" s="1">
        <v>1.2</v>
      </c>
      <c r="E7494" s="1">
        <v>22717.0</v>
      </c>
      <c r="F7494" s="10">
        <f t="shared" si="1"/>
        <v>1.666666667</v>
      </c>
      <c r="G7494" s="10">
        <f t="array" ref="G7494">index('Player ID'!C:C,match(E7494,'Player ID'!B:B,0))</f>
        <v>672582</v>
      </c>
    </row>
    <row r="7495">
      <c r="A7495" s="76">
        <v>45809.0</v>
      </c>
      <c r="B7495" s="1" t="s">
        <v>236</v>
      </c>
      <c r="C7495" s="1" t="s">
        <v>29</v>
      </c>
      <c r="D7495" s="1">
        <v>0.1</v>
      </c>
      <c r="E7495" s="1">
        <v>24607.0</v>
      </c>
      <c r="F7495" s="10">
        <f t="shared" si="1"/>
        <v>0.3333333333</v>
      </c>
      <c r="G7495" s="10">
        <f t="array" ref="G7495">index('Player ID'!C:C,match(E7495,'Player ID'!B:B,0))</f>
        <v>680742</v>
      </c>
    </row>
    <row r="7496">
      <c r="A7496" s="76">
        <v>45809.0</v>
      </c>
      <c r="B7496" s="1" t="s">
        <v>82</v>
      </c>
      <c r="C7496" s="1" t="s">
        <v>62</v>
      </c>
      <c r="D7496" s="1">
        <v>1.0</v>
      </c>
      <c r="E7496" s="1">
        <v>26231.0</v>
      </c>
      <c r="F7496" s="10">
        <f t="shared" si="1"/>
        <v>1</v>
      </c>
      <c r="G7496" s="10">
        <f t="array" ref="G7496">index('Player ID'!C:C,match(E7496,'Player ID'!B:B,0))</f>
        <v>663947</v>
      </c>
    </row>
    <row r="7497">
      <c r="A7497" s="76">
        <v>45809.0</v>
      </c>
      <c r="B7497" s="1" t="s">
        <v>160</v>
      </c>
      <c r="C7497" s="1" t="s">
        <v>62</v>
      </c>
      <c r="D7497" s="1">
        <v>1.1</v>
      </c>
      <c r="E7497" s="1">
        <v>29574.0</v>
      </c>
      <c r="F7497" s="10">
        <f t="shared" si="1"/>
        <v>1.333333333</v>
      </c>
      <c r="G7497" s="10">
        <f t="array" ref="G7497">index('Player ID'!C:C,match(E7497,'Player ID'!B:B,0))</f>
        <v>695445</v>
      </c>
    </row>
    <row r="7498">
      <c r="A7498" s="76">
        <v>45809.0</v>
      </c>
      <c r="B7498" s="1" t="s">
        <v>59</v>
      </c>
      <c r="C7498" s="1" t="s">
        <v>39</v>
      </c>
      <c r="D7498" s="1">
        <v>1.0</v>
      </c>
      <c r="E7498" s="1">
        <v>14212.0</v>
      </c>
      <c r="F7498" s="10">
        <f t="shared" si="1"/>
        <v>1</v>
      </c>
      <c r="G7498" s="10">
        <f t="array" ref="G7498">index('Player ID'!C:C,match(E7498,'Player ID'!B:B,0))</f>
        <v>623352</v>
      </c>
    </row>
    <row r="7499">
      <c r="A7499" s="76">
        <v>45809.0</v>
      </c>
      <c r="B7499" s="1" t="s">
        <v>210</v>
      </c>
      <c r="C7499" s="1" t="s">
        <v>39</v>
      </c>
      <c r="D7499" s="1">
        <v>1.1</v>
      </c>
      <c r="E7499" s="1">
        <v>16609.0</v>
      </c>
      <c r="F7499" s="10">
        <f t="shared" si="1"/>
        <v>1.333333333</v>
      </c>
      <c r="G7499" s="10">
        <f t="array" ref="G7499">index('Player ID'!C:C,match(E7499,'Player ID'!B:B,0))</f>
        <v>650556</v>
      </c>
    </row>
    <row r="7500">
      <c r="A7500" s="76">
        <v>45809.0</v>
      </c>
      <c r="B7500" s="1" t="s">
        <v>400</v>
      </c>
      <c r="C7500" s="1" t="s">
        <v>54</v>
      </c>
      <c r="D7500" s="1">
        <v>1.0</v>
      </c>
      <c r="E7500" s="1">
        <v>20539.0</v>
      </c>
      <c r="F7500" s="10">
        <f t="shared" si="1"/>
        <v>1</v>
      </c>
      <c r="G7500" s="10">
        <f t="array" ref="G7500">index('Player ID'!C:C,match(E7500,'Player ID'!B:B,0))</f>
        <v>670955</v>
      </c>
    </row>
    <row r="7501">
      <c r="A7501" s="76">
        <v>45809.0</v>
      </c>
      <c r="B7501" s="1" t="s">
        <v>413</v>
      </c>
      <c r="C7501" s="1" t="s">
        <v>54</v>
      </c>
      <c r="D7501" s="1">
        <v>7.0</v>
      </c>
      <c r="E7501" s="1">
        <v>22543.0</v>
      </c>
      <c r="F7501" s="10">
        <f t="shared" si="1"/>
        <v>7</v>
      </c>
      <c r="G7501" s="10">
        <f t="array" ref="G7501">index('Player ID'!C:C,match(E7501,'Player ID'!B:B,0))</f>
        <v>671737</v>
      </c>
    </row>
    <row r="7502">
      <c r="A7502" s="76">
        <v>45809.0</v>
      </c>
      <c r="B7502" s="1" t="s">
        <v>339</v>
      </c>
      <c r="C7502" s="1" t="s">
        <v>39</v>
      </c>
      <c r="D7502" s="1">
        <v>6.0</v>
      </c>
      <c r="E7502" s="1">
        <v>25880.0</v>
      </c>
      <c r="F7502" s="10">
        <f t="shared" si="1"/>
        <v>6</v>
      </c>
      <c r="G7502" s="10">
        <f t="array" ref="G7502">index('Player ID'!C:C,match(E7502,'Player ID'!B:B,0))</f>
        <v>686613</v>
      </c>
    </row>
    <row r="7503">
      <c r="A7503" s="76">
        <v>45809.0</v>
      </c>
      <c r="B7503" s="1" t="s">
        <v>76</v>
      </c>
      <c r="C7503" s="1" t="s">
        <v>39</v>
      </c>
      <c r="D7503" s="1">
        <v>0.2</v>
      </c>
      <c r="E7503" s="1">
        <v>25890.0</v>
      </c>
      <c r="F7503" s="10">
        <f t="shared" si="1"/>
        <v>0.6666666667</v>
      </c>
      <c r="G7503" s="10">
        <f t="array" ref="G7503">index('Player ID'!C:C,match(E7503,'Player ID'!B:B,0))</f>
        <v>687911</v>
      </c>
    </row>
    <row r="7504">
      <c r="A7504" s="76">
        <v>45809.0</v>
      </c>
      <c r="B7504" s="1" t="s">
        <v>629</v>
      </c>
      <c r="C7504" s="1" t="s">
        <v>34</v>
      </c>
      <c r="D7504" s="1">
        <v>1.0</v>
      </c>
      <c r="E7504" s="1">
        <v>5615.0</v>
      </c>
      <c r="F7504" s="10">
        <f t="shared" si="1"/>
        <v>1</v>
      </c>
      <c r="G7504" s="10">
        <f t="array" ref="G7504">index('Player ID'!C:C,match(E7504,'Player ID'!B:B,0))</f>
        <v>518489</v>
      </c>
    </row>
    <row r="7505">
      <c r="A7505" s="76">
        <v>45809.0</v>
      </c>
      <c r="B7505" s="1" t="s">
        <v>460</v>
      </c>
      <c r="C7505" s="1" t="s">
        <v>34</v>
      </c>
      <c r="D7505" s="1">
        <v>1.0</v>
      </c>
      <c r="E7505" s="1">
        <v>7005.0</v>
      </c>
      <c r="F7505" s="10">
        <f t="shared" si="1"/>
        <v>1</v>
      </c>
      <c r="G7505" s="10">
        <f t="array" ref="G7505">index('Player ID'!C:C,match(E7505,'Player ID'!B:B,0))</f>
        <v>519151</v>
      </c>
    </row>
    <row r="7506">
      <c r="A7506" s="76">
        <v>45809.0</v>
      </c>
      <c r="B7506" s="1" t="s">
        <v>71</v>
      </c>
      <c r="C7506" s="1" t="s">
        <v>34</v>
      </c>
      <c r="D7506" s="1">
        <v>0.2</v>
      </c>
      <c r="E7506" s="1">
        <v>10078.0</v>
      </c>
      <c r="F7506" s="10">
        <f t="shared" si="1"/>
        <v>0.6666666667</v>
      </c>
      <c r="G7506" s="10">
        <f t="array" ref="G7506">index('Player ID'!C:C,match(E7506,'Player ID'!B:B,0))</f>
        <v>573204</v>
      </c>
    </row>
    <row r="7507">
      <c r="A7507" s="76">
        <v>45809.0</v>
      </c>
      <c r="B7507" s="1" t="s">
        <v>99</v>
      </c>
      <c r="C7507" s="1" t="s">
        <v>34</v>
      </c>
      <c r="D7507" s="1">
        <v>6.1</v>
      </c>
      <c r="E7507" s="1">
        <v>11674.0</v>
      </c>
      <c r="F7507" s="10">
        <f t="shared" si="1"/>
        <v>6.333333333</v>
      </c>
      <c r="G7507" s="10">
        <f t="array" ref="G7507">index('Player ID'!C:C,match(E7507,'Player ID'!B:B,0))</f>
        <v>592791</v>
      </c>
    </row>
    <row r="7508">
      <c r="A7508" s="76">
        <v>45809.0</v>
      </c>
      <c r="B7508" s="1" t="s">
        <v>226</v>
      </c>
      <c r="C7508" s="1" t="s">
        <v>66</v>
      </c>
      <c r="D7508" s="1">
        <v>4.2</v>
      </c>
      <c r="E7508" s="1">
        <v>12730.0</v>
      </c>
      <c r="F7508" s="10">
        <f t="shared" si="1"/>
        <v>4.666666667</v>
      </c>
      <c r="G7508" s="10">
        <f t="array" ref="G7508">index('Player ID'!C:C,match(E7508,'Player ID'!B:B,0))</f>
        <v>607259</v>
      </c>
    </row>
    <row r="7509">
      <c r="A7509" s="76">
        <v>45809.0</v>
      </c>
      <c r="B7509" s="1" t="s">
        <v>362</v>
      </c>
      <c r="C7509" s="1" t="s">
        <v>66</v>
      </c>
      <c r="D7509" s="1">
        <v>1.0</v>
      </c>
      <c r="E7509" s="1">
        <v>13449.0</v>
      </c>
      <c r="F7509" s="10">
        <f t="shared" si="1"/>
        <v>1</v>
      </c>
      <c r="G7509" s="10">
        <f t="array" ref="G7509">index('Player ID'!C:C,match(E7509,'Player ID'!B:B,0))</f>
        <v>573124</v>
      </c>
    </row>
    <row r="7510">
      <c r="A7510" s="76">
        <v>45809.0</v>
      </c>
      <c r="B7510" s="1" t="s">
        <v>417</v>
      </c>
      <c r="C7510" s="1" t="s">
        <v>66</v>
      </c>
      <c r="D7510" s="1">
        <v>1.1</v>
      </c>
      <c r="E7510" s="1">
        <v>13942.0</v>
      </c>
      <c r="F7510" s="10">
        <f t="shared" si="1"/>
        <v>1.333333333</v>
      </c>
      <c r="G7510" s="10">
        <f t="array" ref="G7510">index('Player ID'!C:C,match(E7510,'Player ID'!B:B,0))</f>
        <v>608718</v>
      </c>
    </row>
    <row r="7511">
      <c r="A7511" s="76">
        <v>45809.0</v>
      </c>
      <c r="B7511" s="1" t="s">
        <v>518</v>
      </c>
      <c r="C7511" s="1" t="s">
        <v>66</v>
      </c>
      <c r="D7511" s="1">
        <v>1.0</v>
      </c>
      <c r="E7511" s="1">
        <v>24581.0</v>
      </c>
      <c r="F7511" s="10">
        <f t="shared" si="1"/>
        <v>1</v>
      </c>
      <c r="G7511" s="10">
        <f t="array" ref="G7511">index('Player ID'!C:C,match(E7511,'Player ID'!B:B,0))</f>
        <v>680689</v>
      </c>
    </row>
    <row r="7512">
      <c r="A7512" s="76">
        <v>45809.0</v>
      </c>
      <c r="B7512" s="1" t="s">
        <v>272</v>
      </c>
      <c r="C7512" s="1" t="s">
        <v>37</v>
      </c>
      <c r="D7512" s="1">
        <v>6.0</v>
      </c>
      <c r="E7512" s="1">
        <v>15689.0</v>
      </c>
      <c r="F7512" s="10">
        <f t="shared" si="1"/>
        <v>6</v>
      </c>
      <c r="G7512" s="10">
        <f t="array" ref="G7512">index('Player ID'!C:C,match(E7512,'Player ID'!B:B,0))</f>
        <v>622491</v>
      </c>
    </row>
    <row r="7513">
      <c r="A7513" s="76">
        <v>45809.0</v>
      </c>
      <c r="B7513" s="1" t="s">
        <v>133</v>
      </c>
      <c r="C7513" s="1" t="s">
        <v>16</v>
      </c>
      <c r="D7513" s="1">
        <v>8.0</v>
      </c>
      <c r="E7513" s="1">
        <v>20099.0</v>
      </c>
      <c r="F7513" s="10">
        <f t="shared" si="1"/>
        <v>8</v>
      </c>
      <c r="G7513" s="10">
        <f t="array" ref="G7513">index('Player ID'!C:C,match(E7513,'Player ID'!B:B,0))</f>
        <v>663978</v>
      </c>
    </row>
    <row r="7514">
      <c r="A7514" s="76">
        <v>45809.0</v>
      </c>
      <c r="B7514" s="1" t="s">
        <v>28</v>
      </c>
      <c r="C7514" s="1" t="s">
        <v>16</v>
      </c>
      <c r="D7514" s="1">
        <v>0.1</v>
      </c>
      <c r="E7514" s="1">
        <v>20253.0</v>
      </c>
      <c r="F7514" s="10">
        <f t="shared" si="1"/>
        <v>0.3333333333</v>
      </c>
      <c r="G7514" s="10">
        <f t="array" ref="G7514">index('Player ID'!C:C,match(E7514,'Player ID'!B:B,0))</f>
        <v>643377</v>
      </c>
    </row>
    <row r="7515">
      <c r="A7515" s="76">
        <v>45809.0</v>
      </c>
      <c r="B7515" s="1" t="s">
        <v>670</v>
      </c>
      <c r="C7515" s="1" t="s">
        <v>37</v>
      </c>
      <c r="D7515" s="1">
        <v>1.0</v>
      </c>
      <c r="E7515" s="1">
        <v>20373.0</v>
      </c>
      <c r="F7515" s="10">
        <f t="shared" si="1"/>
        <v>1</v>
      </c>
      <c r="G7515" s="10">
        <f t="array" ref="G7515">index('Player ID'!C:C,match(E7515,'Player ID'!B:B,0))</f>
        <v>662253</v>
      </c>
    </row>
    <row r="7516">
      <c r="A7516" s="76">
        <v>45809.0</v>
      </c>
      <c r="B7516" s="1" t="s">
        <v>157</v>
      </c>
      <c r="C7516" s="1" t="s">
        <v>37</v>
      </c>
      <c r="D7516" s="1">
        <v>1.0</v>
      </c>
      <c r="E7516" s="1">
        <v>20997.0</v>
      </c>
      <c r="F7516" s="10">
        <f t="shared" si="1"/>
        <v>1</v>
      </c>
      <c r="G7516" s="10">
        <f t="array" ref="G7516">index('Player ID'!C:C,match(E7516,'Player ID'!B:B,0))</f>
        <v>660825</v>
      </c>
    </row>
    <row r="7517">
      <c r="A7517" s="76">
        <v>45809.0</v>
      </c>
      <c r="B7517" s="1" t="s">
        <v>254</v>
      </c>
      <c r="C7517" s="1" t="s">
        <v>37</v>
      </c>
      <c r="D7517" s="1">
        <v>1.0</v>
      </c>
      <c r="E7517" s="1">
        <v>25756.0</v>
      </c>
      <c r="F7517" s="10">
        <f t="shared" si="1"/>
        <v>1</v>
      </c>
      <c r="G7517" s="10">
        <f t="array" ref="G7517">index('Player ID'!C:C,match(E7517,'Player ID'!B:B,0))</f>
        <v>666374</v>
      </c>
    </row>
    <row r="7518">
      <c r="A7518" s="76">
        <v>45809.0</v>
      </c>
      <c r="B7518" s="1" t="s">
        <v>103</v>
      </c>
      <c r="C7518" s="1" t="s">
        <v>64</v>
      </c>
      <c r="D7518" s="1">
        <v>1.0</v>
      </c>
      <c r="E7518" s="1">
        <v>10197.0</v>
      </c>
      <c r="F7518" s="10">
        <f t="shared" si="1"/>
        <v>1</v>
      </c>
      <c r="G7518" s="10">
        <f t="array" ref="G7518">index('Player ID'!C:C,match(E7518,'Player ID'!B:B,0))</f>
        <v>571946</v>
      </c>
    </row>
    <row r="7519">
      <c r="A7519" s="76">
        <v>45809.0</v>
      </c>
      <c r="B7519" s="1" t="s">
        <v>489</v>
      </c>
      <c r="C7519" s="1" t="s">
        <v>64</v>
      </c>
      <c r="D7519" s="1">
        <v>0.1</v>
      </c>
      <c r="E7519" s="1">
        <v>17192.0</v>
      </c>
      <c r="F7519" s="10">
        <f t="shared" si="1"/>
        <v>0.3333333333</v>
      </c>
      <c r="G7519" s="10">
        <f t="array" ref="G7519">index('Player ID'!C:C,match(E7519,'Player ID'!B:B,0))</f>
        <v>656222</v>
      </c>
    </row>
    <row r="7520">
      <c r="A7520" s="76">
        <v>45809.0</v>
      </c>
      <c r="B7520" s="1" t="s">
        <v>431</v>
      </c>
      <c r="C7520" s="1" t="s">
        <v>64</v>
      </c>
      <c r="D7520" s="1">
        <v>4.2</v>
      </c>
      <c r="E7520" s="1">
        <v>19361.0</v>
      </c>
      <c r="F7520" s="10">
        <f t="shared" si="1"/>
        <v>4.666666667</v>
      </c>
      <c r="G7520" s="10">
        <f t="array" ref="G7520">index('Player ID'!C:C,match(E7520,'Player ID'!B:B,0))</f>
        <v>669203</v>
      </c>
    </row>
    <row r="7521">
      <c r="A7521" s="76">
        <v>45809.0</v>
      </c>
      <c r="B7521" s="1" t="s">
        <v>508</v>
      </c>
      <c r="C7521" s="1" t="s">
        <v>80</v>
      </c>
      <c r="D7521" s="1">
        <v>1.0</v>
      </c>
      <c r="E7521" s="1">
        <v>23135.0</v>
      </c>
      <c r="F7521" s="10">
        <f t="shared" si="1"/>
        <v>1</v>
      </c>
      <c r="G7521" s="10">
        <f t="array" ref="G7521">index('Player ID'!C:C,match(E7521,'Player ID'!B:B,0))</f>
        <v>674285</v>
      </c>
    </row>
    <row r="7522">
      <c r="A7522" s="76">
        <v>45809.0</v>
      </c>
      <c r="B7522" s="1" t="s">
        <v>714</v>
      </c>
      <c r="C7522" s="1" t="s">
        <v>64</v>
      </c>
      <c r="D7522" s="1">
        <v>1.0</v>
      </c>
      <c r="E7522" s="1">
        <v>24453.0</v>
      </c>
      <c r="F7522" s="10">
        <f t="shared" si="1"/>
        <v>1</v>
      </c>
      <c r="G7522" s="10">
        <f t="array" ref="G7522">index('Player ID'!C:C,match(E7522,'Player ID'!B:B,0))</f>
        <v>679885</v>
      </c>
    </row>
    <row r="7523">
      <c r="A7523" s="76">
        <v>45809.0</v>
      </c>
      <c r="B7523" s="1" t="s">
        <v>330</v>
      </c>
      <c r="C7523" s="1" t="s">
        <v>80</v>
      </c>
      <c r="D7523" s="1">
        <v>5.0</v>
      </c>
      <c r="E7523" s="1">
        <v>27636.0</v>
      </c>
      <c r="F7523" s="10">
        <f t="shared" si="1"/>
        <v>5</v>
      </c>
      <c r="G7523" s="10">
        <f t="array" ref="G7523">index('Player ID'!C:C,match(E7523,'Player ID'!B:B,0))</f>
        <v>680730</v>
      </c>
    </row>
    <row r="7524">
      <c r="A7524" s="76">
        <v>45809.0</v>
      </c>
      <c r="B7524" s="1" t="s">
        <v>818</v>
      </c>
      <c r="C7524" s="1" t="s">
        <v>80</v>
      </c>
      <c r="D7524" s="1">
        <v>1.0</v>
      </c>
      <c r="E7524" s="1">
        <v>27783.0</v>
      </c>
      <c r="F7524" s="10">
        <f t="shared" si="1"/>
        <v>1</v>
      </c>
      <c r="G7524" s="10">
        <f t="array" ref="G7524">index('Player ID'!C:C,match(E7524,'Player ID'!B:B,0))</f>
        <v>694350</v>
      </c>
    </row>
    <row r="7525">
      <c r="A7525" s="76">
        <v>45809.0</v>
      </c>
      <c r="B7525" s="1" t="s">
        <v>703</v>
      </c>
      <c r="C7525" s="1" t="s">
        <v>64</v>
      </c>
      <c r="D7525" s="1">
        <v>2.0</v>
      </c>
      <c r="E7525" s="1">
        <v>27974.0</v>
      </c>
      <c r="F7525" s="10">
        <f t="shared" si="1"/>
        <v>2</v>
      </c>
      <c r="G7525" s="10">
        <f t="array" ref="G7525">index('Player ID'!C:C,match(E7525,'Player ID'!B:B,0))</f>
        <v>691441</v>
      </c>
    </row>
    <row r="7526">
      <c r="A7526" s="76">
        <v>45809.0</v>
      </c>
      <c r="B7526" s="1" t="s">
        <v>437</v>
      </c>
      <c r="C7526" s="1" t="s">
        <v>80</v>
      </c>
      <c r="D7526" s="1">
        <v>1.0</v>
      </c>
      <c r="E7526" s="1">
        <v>31972.0</v>
      </c>
      <c r="F7526" s="10">
        <f t="shared" si="1"/>
        <v>1</v>
      </c>
      <c r="G7526" s="10">
        <f t="array" ref="G7526">index('Player ID'!C:C,match(E7526,'Player ID'!B:B,0))</f>
        <v>695418</v>
      </c>
    </row>
    <row r="7527">
      <c r="A7527" s="76">
        <v>45809.0</v>
      </c>
      <c r="B7527" s="1" t="s">
        <v>342</v>
      </c>
      <c r="C7527" s="1" t="s">
        <v>26</v>
      </c>
      <c r="D7527" s="1">
        <v>1.0</v>
      </c>
      <c r="E7527" s="1">
        <v>11861.0</v>
      </c>
      <c r="F7527" s="10">
        <f t="shared" si="1"/>
        <v>1</v>
      </c>
      <c r="G7527" s="10">
        <f t="array" ref="G7527">index('Player ID'!C:C,match(E7527,'Player ID'!B:B,0))</f>
        <v>592094</v>
      </c>
    </row>
    <row r="7528">
      <c r="A7528" s="76">
        <v>45809.0</v>
      </c>
      <c r="B7528" s="1" t="s">
        <v>404</v>
      </c>
      <c r="C7528" s="1" t="s">
        <v>26</v>
      </c>
      <c r="D7528" s="1">
        <v>1.2</v>
      </c>
      <c r="E7528" s="1">
        <v>14295.0</v>
      </c>
      <c r="F7528" s="10">
        <f t="shared" si="1"/>
        <v>1.666666667</v>
      </c>
      <c r="G7528" s="10">
        <f t="array" ref="G7528">index('Player ID'!C:C,match(E7528,'Player ID'!B:B,0))</f>
        <v>593974</v>
      </c>
    </row>
    <row r="7529">
      <c r="A7529" s="76">
        <v>45809.0</v>
      </c>
      <c r="B7529" s="1" t="s">
        <v>256</v>
      </c>
      <c r="C7529" s="1" t="s">
        <v>60</v>
      </c>
      <c r="D7529" s="1">
        <v>5.2</v>
      </c>
      <c r="E7529" s="1">
        <v>15423.0</v>
      </c>
      <c r="F7529" s="10">
        <f t="shared" si="1"/>
        <v>5.666666667</v>
      </c>
      <c r="G7529" s="10">
        <f t="array" ref="G7529">index('Player ID'!C:C,match(E7529,'Player ID'!B:B,0))</f>
        <v>571760</v>
      </c>
    </row>
    <row r="7530">
      <c r="A7530" s="76">
        <v>45809.0</v>
      </c>
      <c r="B7530" s="1" t="s">
        <v>716</v>
      </c>
      <c r="C7530" s="1" t="s">
        <v>60</v>
      </c>
      <c r="D7530" s="1">
        <v>0.1</v>
      </c>
      <c r="E7530" s="1">
        <v>17610.0</v>
      </c>
      <c r="F7530" s="10">
        <f t="shared" si="1"/>
        <v>0.3333333333</v>
      </c>
      <c r="G7530" s="10">
        <f t="array" ref="G7530">index('Player ID'!C:C,match(E7530,'Player ID'!B:B,0))</f>
        <v>663432</v>
      </c>
    </row>
    <row r="7531">
      <c r="A7531" s="76">
        <v>45809.0</v>
      </c>
      <c r="B7531" s="1" t="s">
        <v>107</v>
      </c>
      <c r="C7531" s="1" t="s">
        <v>60</v>
      </c>
      <c r="D7531" s="1">
        <v>0.2</v>
      </c>
      <c r="E7531" s="1">
        <v>19349.0</v>
      </c>
      <c r="F7531" s="10">
        <f t="shared" si="1"/>
        <v>0.6666666667</v>
      </c>
      <c r="G7531" s="10">
        <f t="array" ref="G7531">index('Player ID'!C:C,match(E7531,'Player ID'!B:B,0))</f>
        <v>657571</v>
      </c>
    </row>
    <row r="7532">
      <c r="A7532" s="76">
        <v>45809.0</v>
      </c>
      <c r="B7532" s="1" t="s">
        <v>49</v>
      </c>
      <c r="C7532" s="1" t="s">
        <v>26</v>
      </c>
      <c r="D7532" s="1">
        <v>0.1</v>
      </c>
      <c r="E7532" s="1">
        <v>20039.0</v>
      </c>
      <c r="F7532" s="10">
        <f t="shared" si="1"/>
        <v>0.3333333333</v>
      </c>
      <c r="G7532" s="10">
        <f t="array" ref="G7532">index('Player ID'!C:C,match(E7532,'Player ID'!B:B,0))</f>
        <v>670970</v>
      </c>
    </row>
    <row r="7533">
      <c r="A7533" s="76">
        <v>45809.0</v>
      </c>
      <c r="B7533" s="1" t="s">
        <v>463</v>
      </c>
      <c r="C7533" s="1" t="s">
        <v>60</v>
      </c>
      <c r="D7533" s="1">
        <v>0.1</v>
      </c>
      <c r="E7533" s="1">
        <v>21544.0</v>
      </c>
      <c r="F7533" s="10">
        <f t="shared" si="1"/>
        <v>0.3333333333</v>
      </c>
      <c r="G7533" s="10">
        <f t="array" ref="G7533">index('Player ID'!C:C,match(E7533,'Player ID'!B:B,0))</f>
        <v>663767</v>
      </c>
    </row>
    <row r="7534">
      <c r="A7534" s="76">
        <v>45809.0</v>
      </c>
      <c r="B7534" s="1" t="s">
        <v>277</v>
      </c>
      <c r="C7534" s="1" t="s">
        <v>60</v>
      </c>
      <c r="D7534" s="1">
        <v>1.0</v>
      </c>
      <c r="E7534" s="1">
        <v>23793.0</v>
      </c>
      <c r="F7534" s="10">
        <f t="shared" si="1"/>
        <v>1</v>
      </c>
      <c r="G7534" s="10" t="str">
        <f t="array" ref="G7534">index('Player ID'!C:C,match(E7534,'Player ID'!B:B,0))</f>
        <v>#N/A</v>
      </c>
    </row>
    <row r="7535">
      <c r="A7535" s="76">
        <v>45809.0</v>
      </c>
      <c r="B7535" s="1" t="s">
        <v>713</v>
      </c>
      <c r="C7535" s="1" t="s">
        <v>26</v>
      </c>
      <c r="D7535" s="1">
        <v>3.1</v>
      </c>
      <c r="E7535" s="1">
        <v>24719.0</v>
      </c>
      <c r="F7535" s="10">
        <f t="shared" si="1"/>
        <v>3.333333333</v>
      </c>
      <c r="G7535" s="10">
        <f t="array" ref="G7535">index('Player ID'!C:C,match(E7535,'Player ID'!B:B,0))</f>
        <v>681190</v>
      </c>
    </row>
    <row r="7536">
      <c r="A7536" s="76">
        <v>45809.0</v>
      </c>
      <c r="B7536" s="1" t="s">
        <v>81</v>
      </c>
      <c r="C7536" s="1" t="s">
        <v>26</v>
      </c>
      <c r="D7536" s="1">
        <v>1.0</v>
      </c>
      <c r="E7536" s="1">
        <v>30115.0</v>
      </c>
      <c r="F7536" s="10">
        <f t="shared" si="1"/>
        <v>1</v>
      </c>
      <c r="G7536" s="10">
        <f t="array" ref="G7536">index('Player ID'!C:C,match(E7536,'Player ID'!B:B,0))</f>
        <v>663158</v>
      </c>
    </row>
    <row r="7537">
      <c r="A7537" s="76">
        <v>45809.0</v>
      </c>
      <c r="B7537" s="1" t="s">
        <v>498</v>
      </c>
      <c r="C7537" s="1" t="s">
        <v>26</v>
      </c>
      <c r="D7537" s="1">
        <v>1.2</v>
      </c>
      <c r="E7537" s="1">
        <v>31616.0</v>
      </c>
      <c r="F7537" s="10">
        <f t="shared" si="1"/>
        <v>1.666666667</v>
      </c>
      <c r="G7537" s="10" t="str">
        <f t="array" ref="G7537">index('Player ID'!C:C,match(E7537,'Player ID'!B:B,0))</f>
        <v>#N/A</v>
      </c>
    </row>
    <row r="7538">
      <c r="A7538" s="76">
        <v>45809.0</v>
      </c>
      <c r="B7538" s="1" t="s">
        <v>726</v>
      </c>
      <c r="C7538" s="1" t="s">
        <v>33</v>
      </c>
      <c r="D7538" s="1">
        <v>2.0</v>
      </c>
      <c r="E7538" s="1">
        <v>13761.0</v>
      </c>
      <c r="F7538" s="10">
        <f t="shared" si="1"/>
        <v>2</v>
      </c>
      <c r="G7538" s="10">
        <f t="array" ref="G7538">index('Player ID'!C:C,match(E7538,'Player ID'!B:B,0))</f>
        <v>608717</v>
      </c>
    </row>
    <row r="7539">
      <c r="A7539" s="76">
        <v>45809.0</v>
      </c>
      <c r="B7539" s="1" t="s">
        <v>310</v>
      </c>
      <c r="C7539" s="1" t="s">
        <v>33</v>
      </c>
      <c r="D7539" s="1">
        <v>0.2</v>
      </c>
      <c r="E7539" s="1">
        <v>14706.0</v>
      </c>
      <c r="F7539" s="10">
        <f t="shared" si="1"/>
        <v>0.6666666667</v>
      </c>
      <c r="G7539" s="10">
        <f t="array" ref="G7539">index('Player ID'!C:C,match(E7539,'Player ID'!B:B,0))</f>
        <v>607455</v>
      </c>
    </row>
    <row r="7540">
      <c r="A7540" s="76">
        <v>45809.0</v>
      </c>
      <c r="B7540" s="1" t="s">
        <v>503</v>
      </c>
      <c r="C7540" s="1" t="s">
        <v>33</v>
      </c>
      <c r="D7540" s="1">
        <v>0.2</v>
      </c>
      <c r="E7540" s="1">
        <v>15043.0</v>
      </c>
      <c r="F7540" s="10">
        <f t="shared" si="1"/>
        <v>0.6666666667</v>
      </c>
      <c r="G7540" s="10">
        <f t="array" ref="G7540">index('Player ID'!C:C,match(E7540,'Player ID'!B:B,0))</f>
        <v>642152</v>
      </c>
    </row>
    <row r="7541">
      <c r="A7541" s="76">
        <v>45809.0</v>
      </c>
      <c r="B7541" s="1" t="s">
        <v>114</v>
      </c>
      <c r="C7541" s="1" t="s">
        <v>58</v>
      </c>
      <c r="D7541" s="1">
        <v>1.0</v>
      </c>
      <c r="E7541" s="1">
        <v>15816.0</v>
      </c>
      <c r="F7541" s="10">
        <f t="shared" si="1"/>
        <v>1</v>
      </c>
      <c r="G7541" s="10">
        <f t="array" ref="G7541">index('Player ID'!C:C,match(E7541,'Player ID'!B:B,0))</f>
        <v>642207</v>
      </c>
    </row>
    <row r="7542">
      <c r="A7542" s="76">
        <v>45809.0</v>
      </c>
      <c r="B7542" s="1" t="s">
        <v>192</v>
      </c>
      <c r="C7542" s="1" t="s">
        <v>58</v>
      </c>
      <c r="D7542" s="1">
        <v>6.0</v>
      </c>
      <c r="E7542" s="1">
        <v>16502.0</v>
      </c>
      <c r="F7542" s="10">
        <f t="shared" si="1"/>
        <v>6</v>
      </c>
      <c r="G7542" s="10">
        <f t="array" ref="G7542">index('Player ID'!C:C,match(E7542,'Player ID'!B:B,0))</f>
        <v>642232</v>
      </c>
    </row>
    <row r="7543">
      <c r="A7543" s="76">
        <v>45809.0</v>
      </c>
      <c r="B7543" s="1" t="s">
        <v>69</v>
      </c>
      <c r="C7543" s="1" t="s">
        <v>58</v>
      </c>
      <c r="D7543" s="1">
        <v>1.0</v>
      </c>
      <c r="E7543" s="1">
        <v>16814.0</v>
      </c>
      <c r="F7543" s="10">
        <f t="shared" si="1"/>
        <v>1</v>
      </c>
      <c r="G7543" s="10">
        <f t="array" ref="G7543">index('Player ID'!C:C,match(E7543,'Player ID'!B:B,0))</f>
        <v>657612</v>
      </c>
    </row>
    <row r="7544">
      <c r="A7544" s="76">
        <v>45809.0</v>
      </c>
      <c r="B7544" s="1" t="s">
        <v>831</v>
      </c>
      <c r="C7544" s="1" t="s">
        <v>58</v>
      </c>
      <c r="D7544" s="1">
        <v>1.0</v>
      </c>
      <c r="E7544" s="1">
        <v>19753.0</v>
      </c>
      <c r="F7544" s="10">
        <f t="shared" si="1"/>
        <v>1</v>
      </c>
      <c r="G7544" s="10">
        <f t="array" ref="G7544">index('Player ID'!C:C,match(E7544,'Player ID'!B:B,0))</f>
        <v>642528</v>
      </c>
    </row>
    <row r="7545">
      <c r="A7545" s="76">
        <v>45809.0</v>
      </c>
      <c r="B7545" s="1" t="s">
        <v>816</v>
      </c>
      <c r="C7545" s="1" t="s">
        <v>33</v>
      </c>
      <c r="D7545" s="1">
        <v>2.0</v>
      </c>
      <c r="E7545" s="1">
        <v>25862.0</v>
      </c>
      <c r="F7545" s="10">
        <f t="shared" si="1"/>
        <v>2</v>
      </c>
      <c r="G7545" s="10">
        <f t="array" ref="G7545">index('Player ID'!C:C,match(E7545,'Player ID'!B:B,0))</f>
        <v>663562</v>
      </c>
    </row>
    <row r="7546">
      <c r="A7546" s="76">
        <v>45809.0</v>
      </c>
      <c r="B7546" s="1" t="s">
        <v>85</v>
      </c>
      <c r="C7546" s="1" t="s">
        <v>33</v>
      </c>
      <c r="D7546" s="1">
        <v>3.2</v>
      </c>
      <c r="E7546" s="1">
        <v>33825.0</v>
      </c>
      <c r="F7546" s="10">
        <f t="shared" si="1"/>
        <v>3.666666667</v>
      </c>
      <c r="G7546" s="10">
        <f t="array" ref="G7546">index('Player ID'!C:C,match(E7546,'Player ID'!B:B,0))</f>
        <v>808967</v>
      </c>
    </row>
    <row r="7547">
      <c r="A7547" s="76">
        <v>45810.0</v>
      </c>
      <c r="B7547" s="1" t="s">
        <v>746</v>
      </c>
      <c r="C7547" s="1" t="s">
        <v>75</v>
      </c>
      <c r="D7547" s="1">
        <v>5.0</v>
      </c>
      <c r="E7547" s="1">
        <v>15038.0</v>
      </c>
      <c r="F7547" s="10">
        <f t="shared" si="1"/>
        <v>5</v>
      </c>
      <c r="G7547" s="10">
        <f t="array" ref="G7547">index('Player ID'!C:C,match(E7547,'Player ID'!B:B,0))</f>
        <v>608566</v>
      </c>
    </row>
    <row r="7548">
      <c r="A7548" s="76">
        <v>45810.0</v>
      </c>
      <c r="B7548" s="1" t="s">
        <v>661</v>
      </c>
      <c r="C7548" s="1" t="s">
        <v>36</v>
      </c>
      <c r="D7548" s="1">
        <v>1.0</v>
      </c>
      <c r="E7548" s="1">
        <v>16300.0</v>
      </c>
      <c r="F7548" s="10">
        <f t="shared" si="1"/>
        <v>1</v>
      </c>
      <c r="G7548" s="10">
        <f t="array" ref="G7548">index('Player ID'!C:C,match(E7548,'Player ID'!B:B,0))</f>
        <v>622786</v>
      </c>
    </row>
    <row r="7549">
      <c r="A7549" s="76">
        <v>45810.0</v>
      </c>
      <c r="B7549" s="1" t="s">
        <v>288</v>
      </c>
      <c r="C7549" s="1" t="s">
        <v>75</v>
      </c>
      <c r="D7549" s="1">
        <v>1.0</v>
      </c>
      <c r="E7549" s="1">
        <v>18297.0</v>
      </c>
      <c r="F7549" s="10">
        <f t="shared" si="1"/>
        <v>1</v>
      </c>
      <c r="G7549" s="10">
        <f t="array" ref="G7549">index('Player ID'!C:C,match(E7549,'Player ID'!B:B,0))</f>
        <v>641755</v>
      </c>
    </row>
    <row r="7550">
      <c r="A7550" s="76">
        <v>45810.0</v>
      </c>
      <c r="B7550" s="1" t="s">
        <v>215</v>
      </c>
      <c r="C7550" s="1" t="s">
        <v>75</v>
      </c>
      <c r="D7550" s="1">
        <v>1.0</v>
      </c>
      <c r="E7550" s="1">
        <v>21267.0</v>
      </c>
      <c r="F7550" s="10">
        <f t="shared" si="1"/>
        <v>1</v>
      </c>
      <c r="G7550" s="10">
        <f t="array" ref="G7550">index('Player ID'!C:C,match(E7550,'Player ID'!B:B,0))</f>
        <v>656234</v>
      </c>
    </row>
    <row r="7551">
      <c r="A7551" s="76">
        <v>45810.0</v>
      </c>
      <c r="B7551" s="1" t="s">
        <v>322</v>
      </c>
      <c r="C7551" s="1" t="s">
        <v>36</v>
      </c>
      <c r="D7551" s="1">
        <v>3.0</v>
      </c>
      <c r="E7551" s="1">
        <v>23899.0</v>
      </c>
      <c r="F7551" s="10">
        <f t="shared" si="1"/>
        <v>3</v>
      </c>
      <c r="G7551" s="10">
        <f t="array" ref="G7551">index('Player ID'!C:C,match(E7551,'Player ID'!B:B,0))</f>
        <v>678368</v>
      </c>
    </row>
    <row r="7552">
      <c r="A7552" s="76">
        <v>45810.0</v>
      </c>
      <c r="B7552" s="1" t="s">
        <v>121</v>
      </c>
      <c r="C7552" s="1" t="s">
        <v>36</v>
      </c>
      <c r="D7552" s="1">
        <v>5.0</v>
      </c>
      <c r="E7552" s="1">
        <v>27474.0</v>
      </c>
      <c r="F7552" s="10">
        <f t="shared" si="1"/>
        <v>5</v>
      </c>
      <c r="G7552" s="10">
        <f t="array" ref="G7552">index('Player ID'!C:C,match(E7552,'Player ID'!B:B,0))</f>
        <v>676974</v>
      </c>
    </row>
    <row r="7553">
      <c r="A7553" s="76">
        <v>45810.0</v>
      </c>
      <c r="B7553" s="1" t="s">
        <v>512</v>
      </c>
      <c r="C7553" s="1" t="s">
        <v>75</v>
      </c>
      <c r="D7553" s="1">
        <v>1.0</v>
      </c>
      <c r="E7553" s="1">
        <v>31552.0</v>
      </c>
      <c r="F7553" s="10">
        <f t="shared" si="1"/>
        <v>1</v>
      </c>
      <c r="G7553" s="10">
        <f t="array" ref="G7553">index('Player ID'!C:C,match(E7553,'Player ID'!B:B,0))</f>
        <v>688642</v>
      </c>
    </row>
    <row r="7554">
      <c r="A7554" s="76">
        <v>45810.0</v>
      </c>
      <c r="B7554" s="1" t="s">
        <v>488</v>
      </c>
      <c r="C7554" s="1" t="s">
        <v>75</v>
      </c>
      <c r="D7554" s="1">
        <v>1.0</v>
      </c>
      <c r="E7554" s="1">
        <v>33294.0</v>
      </c>
      <c r="F7554" s="10">
        <f t="shared" si="1"/>
        <v>1</v>
      </c>
      <c r="G7554" s="10">
        <f t="array" ref="G7554">index('Player ID'!C:C,match(E7554,'Player ID'!B:B,0))</f>
        <v>678020</v>
      </c>
    </row>
    <row r="7555">
      <c r="A7555" s="76">
        <v>45810.0</v>
      </c>
      <c r="B7555" s="1" t="s">
        <v>154</v>
      </c>
      <c r="C7555" s="1" t="s">
        <v>25</v>
      </c>
      <c r="D7555" s="1">
        <v>1.0</v>
      </c>
      <c r="E7555" s="1">
        <v>3096.0</v>
      </c>
      <c r="F7555" s="10">
        <f t="shared" si="1"/>
        <v>1</v>
      </c>
      <c r="G7555" s="10">
        <f t="array" ref="G7555">index('Player ID'!C:C,match(E7555,'Player ID'!B:B,0))</f>
        <v>445276</v>
      </c>
    </row>
    <row r="7556">
      <c r="A7556" s="76">
        <v>45810.0</v>
      </c>
      <c r="B7556" s="1" t="s">
        <v>834</v>
      </c>
      <c r="C7556" s="1" t="s">
        <v>25</v>
      </c>
      <c r="D7556" s="1">
        <v>0.2</v>
      </c>
      <c r="E7556" s="1">
        <v>7836.0</v>
      </c>
      <c r="F7556" s="10">
        <f t="shared" si="1"/>
        <v>0.6666666667</v>
      </c>
      <c r="G7556" s="10" t="str">
        <f t="array" ref="G7556">index('Player ID'!C:C,match(E7556,'Player ID'!B:B,0))</f>
        <v>#N/A</v>
      </c>
    </row>
    <row r="7557">
      <c r="A7557" s="76">
        <v>45810.0</v>
      </c>
      <c r="B7557" s="1" t="s">
        <v>660</v>
      </c>
      <c r="C7557" s="1" t="s">
        <v>25</v>
      </c>
      <c r="D7557" s="1">
        <v>1.0</v>
      </c>
      <c r="E7557" s="1">
        <v>11804.0</v>
      </c>
      <c r="F7557" s="10">
        <f t="shared" si="1"/>
        <v>1</v>
      </c>
      <c r="G7557" s="10">
        <f t="array" ref="G7557">index('Player ID'!C:C,match(E7557,'Player ID'!B:B,0))</f>
        <v>593576</v>
      </c>
    </row>
    <row r="7558">
      <c r="A7558" s="76">
        <v>45810.0</v>
      </c>
      <c r="B7558" s="1" t="s">
        <v>278</v>
      </c>
      <c r="C7558" s="1" t="s">
        <v>25</v>
      </c>
      <c r="D7558" s="1">
        <v>4.1</v>
      </c>
      <c r="E7558" s="1">
        <v>12880.0</v>
      </c>
      <c r="F7558" s="10">
        <f t="shared" si="1"/>
        <v>4.333333333</v>
      </c>
      <c r="G7558" s="10">
        <f t="array" ref="G7558">index('Player ID'!C:C,match(E7558,'Player ID'!B:B,0))</f>
        <v>542881</v>
      </c>
    </row>
    <row r="7559">
      <c r="A7559" s="76">
        <v>45810.0</v>
      </c>
      <c r="B7559" s="1" t="s">
        <v>762</v>
      </c>
      <c r="C7559" s="1" t="s">
        <v>22</v>
      </c>
      <c r="D7559" s="1">
        <v>1.0</v>
      </c>
      <c r="E7559" s="1">
        <v>16074.0</v>
      </c>
      <c r="F7559" s="10">
        <f t="shared" si="1"/>
        <v>1</v>
      </c>
      <c r="G7559" s="10">
        <f t="array" ref="G7559">index('Player ID'!C:C,match(E7559,'Player ID'!B:B,0))</f>
        <v>595897</v>
      </c>
    </row>
    <row r="7560">
      <c r="A7560" s="76">
        <v>45810.0</v>
      </c>
      <c r="B7560" s="1" t="s">
        <v>385</v>
      </c>
      <c r="C7560" s="1" t="s">
        <v>25</v>
      </c>
      <c r="D7560" s="1">
        <v>1.0</v>
      </c>
      <c r="E7560" s="1">
        <v>25420.0</v>
      </c>
      <c r="F7560" s="10">
        <f t="shared" si="1"/>
        <v>1</v>
      </c>
      <c r="G7560" s="10">
        <f t="array" ref="G7560">index('Player ID'!C:C,match(E7560,'Player ID'!B:B,0))</f>
        <v>666171</v>
      </c>
    </row>
    <row r="7561">
      <c r="A7561" s="76">
        <v>45810.0</v>
      </c>
      <c r="B7561" s="1" t="s">
        <v>24</v>
      </c>
      <c r="C7561" s="1" t="s">
        <v>25</v>
      </c>
      <c r="D7561" s="1">
        <v>1.0</v>
      </c>
      <c r="E7561" s="1">
        <v>27468.0</v>
      </c>
      <c r="F7561" s="10">
        <f t="shared" si="1"/>
        <v>1</v>
      </c>
      <c r="G7561" s="10">
        <f t="array" ref="G7561">index('Player ID'!C:C,match(E7561,'Player ID'!B:B,0))</f>
        <v>672282</v>
      </c>
    </row>
    <row r="7562">
      <c r="A7562" s="76">
        <v>45810.0</v>
      </c>
      <c r="B7562" s="1" t="s">
        <v>152</v>
      </c>
      <c r="C7562" s="1" t="s">
        <v>22</v>
      </c>
      <c r="D7562" s="1">
        <v>1.0</v>
      </c>
      <c r="E7562" s="1">
        <v>30160.0</v>
      </c>
      <c r="F7562" s="10">
        <f t="shared" si="1"/>
        <v>1</v>
      </c>
      <c r="G7562" s="10">
        <f t="array" ref="G7562">index('Player ID'!C:C,match(E7562,'Player ID'!B:B,0))</f>
        <v>690916</v>
      </c>
    </row>
    <row r="7563">
      <c r="A7563" s="76">
        <v>45810.0</v>
      </c>
      <c r="B7563" s="1" t="s">
        <v>143</v>
      </c>
      <c r="C7563" s="1" t="s">
        <v>22</v>
      </c>
      <c r="D7563" s="1">
        <v>5.0</v>
      </c>
      <c r="E7563" s="1">
        <v>30240.0</v>
      </c>
      <c r="F7563" s="10">
        <f t="shared" si="1"/>
        <v>5</v>
      </c>
      <c r="G7563" s="10">
        <f t="array" ref="G7563">index('Player ID'!C:C,match(E7563,'Player ID'!B:B,0))</f>
        <v>690928</v>
      </c>
    </row>
    <row r="7564">
      <c r="A7564" s="76">
        <v>45810.0</v>
      </c>
      <c r="B7564" s="1" t="s">
        <v>720</v>
      </c>
      <c r="C7564" s="1" t="s">
        <v>22</v>
      </c>
      <c r="D7564" s="1">
        <v>2.0</v>
      </c>
      <c r="E7564" s="1">
        <v>31184.0</v>
      </c>
      <c r="F7564" s="10">
        <f t="shared" si="1"/>
        <v>2</v>
      </c>
      <c r="G7564" s="10">
        <f t="array" ref="G7564">index('Player ID'!C:C,match(E7564,'Player ID'!B:B,0))</f>
        <v>692285</v>
      </c>
    </row>
    <row r="7565">
      <c r="A7565" s="76">
        <v>45810.0</v>
      </c>
      <c r="B7565" s="1" t="s">
        <v>362</v>
      </c>
      <c r="C7565" s="1" t="s">
        <v>66</v>
      </c>
      <c r="D7565" s="1">
        <v>0.1</v>
      </c>
      <c r="E7565" s="1">
        <v>13449.0</v>
      </c>
      <c r="F7565" s="10">
        <f t="shared" si="1"/>
        <v>0.3333333333</v>
      </c>
      <c r="G7565" s="10">
        <f t="array" ref="G7565">index('Player ID'!C:C,match(E7565,'Player ID'!B:B,0))</f>
        <v>573124</v>
      </c>
    </row>
    <row r="7566">
      <c r="A7566" s="76">
        <v>45810.0</v>
      </c>
      <c r="B7566" s="1" t="s">
        <v>417</v>
      </c>
      <c r="C7566" s="1" t="s">
        <v>66</v>
      </c>
      <c r="D7566" s="1">
        <v>1.0</v>
      </c>
      <c r="E7566" s="1">
        <v>13942.0</v>
      </c>
      <c r="F7566" s="10">
        <f t="shared" si="1"/>
        <v>1</v>
      </c>
      <c r="G7566" s="10">
        <f t="array" ref="G7566">index('Player ID'!C:C,match(E7566,'Player ID'!B:B,0))</f>
        <v>608718</v>
      </c>
    </row>
    <row r="7567">
      <c r="A7567" s="76">
        <v>45810.0</v>
      </c>
      <c r="B7567" s="1" t="s">
        <v>475</v>
      </c>
      <c r="C7567" s="1" t="s">
        <v>66</v>
      </c>
      <c r="D7567" s="1">
        <v>1.0</v>
      </c>
      <c r="E7567" s="1">
        <v>14993.0</v>
      </c>
      <c r="F7567" s="10">
        <f t="shared" si="1"/>
        <v>1</v>
      </c>
      <c r="G7567" s="10">
        <f t="array" ref="G7567">index('Player ID'!C:C,match(E7567,'Player ID'!B:B,0))</f>
        <v>605130</v>
      </c>
    </row>
    <row r="7568">
      <c r="A7568" s="76">
        <v>45810.0</v>
      </c>
      <c r="B7568" s="1" t="s">
        <v>724</v>
      </c>
      <c r="C7568" s="1" t="s">
        <v>14</v>
      </c>
      <c r="D7568" s="1">
        <v>0.2</v>
      </c>
      <c r="E7568" s="1">
        <v>15094.0</v>
      </c>
      <c r="F7568" s="10">
        <f t="shared" si="1"/>
        <v>0.6666666667</v>
      </c>
      <c r="G7568" s="10">
        <f t="array" ref="G7568">index('Player ID'!C:C,match(E7568,'Player ID'!B:B,0))</f>
        <v>642239</v>
      </c>
    </row>
    <row r="7569">
      <c r="A7569" s="76">
        <v>45810.0</v>
      </c>
      <c r="B7569" s="1" t="s">
        <v>13</v>
      </c>
      <c r="C7569" s="1" t="s">
        <v>14</v>
      </c>
      <c r="D7569" s="1">
        <v>1.0</v>
      </c>
      <c r="E7569" s="1">
        <v>17722.0</v>
      </c>
      <c r="F7569" s="10">
        <f t="shared" si="1"/>
        <v>1</v>
      </c>
      <c r="G7569" s="10">
        <f t="array" ref="G7569">index('Player ID'!C:C,match(E7569,'Player ID'!B:B,0))</f>
        <v>656730</v>
      </c>
    </row>
    <row r="7570">
      <c r="A7570" s="76">
        <v>45810.0</v>
      </c>
      <c r="B7570" s="1" t="s">
        <v>653</v>
      </c>
      <c r="C7570" s="1" t="s">
        <v>66</v>
      </c>
      <c r="D7570" s="1">
        <v>1.2</v>
      </c>
      <c r="E7570" s="1">
        <v>17871.0</v>
      </c>
      <c r="F7570" s="10">
        <f t="shared" si="1"/>
        <v>1.666666667</v>
      </c>
      <c r="G7570" s="10">
        <f t="array" ref="G7570">index('Player ID'!C:C,match(E7570,'Player ID'!B:B,0))</f>
        <v>664139</v>
      </c>
    </row>
    <row r="7571">
      <c r="A7571" s="76">
        <v>45810.0</v>
      </c>
      <c r="B7571" s="1" t="s">
        <v>491</v>
      </c>
      <c r="C7571" s="1" t="s">
        <v>14</v>
      </c>
      <c r="D7571" s="1">
        <v>5.1</v>
      </c>
      <c r="E7571" s="1">
        <v>19479.0</v>
      </c>
      <c r="F7571" s="10">
        <f t="shared" si="1"/>
        <v>5.333333333</v>
      </c>
      <c r="G7571" s="10">
        <f t="array" ref="G7571">index('Player ID'!C:C,match(E7571,'Player ID'!B:B,0))</f>
        <v>650644</v>
      </c>
    </row>
    <row r="7572">
      <c r="A7572" s="76">
        <v>45810.0</v>
      </c>
      <c r="B7572" s="1" t="s">
        <v>279</v>
      </c>
      <c r="C7572" s="1" t="s">
        <v>14</v>
      </c>
      <c r="D7572" s="1">
        <v>1.0</v>
      </c>
      <c r="E7572" s="1">
        <v>25327.0</v>
      </c>
      <c r="F7572" s="10">
        <f t="shared" si="1"/>
        <v>1</v>
      </c>
      <c r="G7572" s="10">
        <f t="array" ref="G7572">index('Player ID'!C:C,match(E7572,'Player ID'!B:B,0))</f>
        <v>682842</v>
      </c>
    </row>
    <row r="7573">
      <c r="A7573" s="76">
        <v>45810.0</v>
      </c>
      <c r="B7573" s="1" t="s">
        <v>353</v>
      </c>
      <c r="C7573" s="1" t="s">
        <v>66</v>
      </c>
      <c r="D7573" s="1">
        <v>5.0</v>
      </c>
      <c r="E7573" s="1">
        <v>25377.0</v>
      </c>
      <c r="F7573" s="10">
        <f t="shared" si="1"/>
        <v>5</v>
      </c>
      <c r="G7573" s="10">
        <f t="array" ref="G7573">index('Player ID'!C:C,match(E7573,'Player ID'!B:B,0))</f>
        <v>663903</v>
      </c>
    </row>
    <row r="7574">
      <c r="A7574" s="76">
        <v>45810.0</v>
      </c>
      <c r="B7574" s="1" t="s">
        <v>418</v>
      </c>
      <c r="C7574" s="1" t="s">
        <v>14</v>
      </c>
      <c r="D7574" s="1">
        <v>1.0</v>
      </c>
      <c r="E7574" s="1">
        <v>27517.0</v>
      </c>
      <c r="F7574" s="10">
        <f t="shared" si="1"/>
        <v>1</v>
      </c>
      <c r="G7574" s="10">
        <f t="array" ref="G7574">index('Player ID'!C:C,match(E7574,'Player ID'!B:B,0))</f>
        <v>657649</v>
      </c>
    </row>
    <row r="7575">
      <c r="A7575" s="76">
        <v>45810.0</v>
      </c>
      <c r="B7575" s="1" t="s">
        <v>666</v>
      </c>
      <c r="C7575" s="1" t="s">
        <v>62</v>
      </c>
      <c r="D7575" s="1">
        <v>1.0</v>
      </c>
      <c r="E7575" s="1">
        <v>12777.0</v>
      </c>
      <c r="F7575" s="10">
        <f t="shared" si="1"/>
        <v>1</v>
      </c>
      <c r="G7575" s="10">
        <f t="array" ref="G7575">index('Player ID'!C:C,match(E7575,'Player ID'!B:B,0))</f>
        <v>605154</v>
      </c>
    </row>
    <row r="7576">
      <c r="A7576" s="76">
        <v>45810.0</v>
      </c>
      <c r="B7576" s="1" t="s">
        <v>316</v>
      </c>
      <c r="C7576" s="1" t="s">
        <v>62</v>
      </c>
      <c r="D7576" s="1">
        <v>6.0</v>
      </c>
      <c r="E7576" s="1">
        <v>17479.0</v>
      </c>
      <c r="F7576" s="10">
        <f t="shared" si="1"/>
        <v>6</v>
      </c>
      <c r="G7576" s="10">
        <f t="array" ref="G7576">index('Player ID'!C:C,match(E7576,'Player ID'!B:B,0))</f>
        <v>656427</v>
      </c>
    </row>
    <row r="7577">
      <c r="A7577" s="76">
        <v>45810.0</v>
      </c>
      <c r="B7577" s="1" t="s">
        <v>387</v>
      </c>
      <c r="C7577" s="1" t="s">
        <v>78</v>
      </c>
      <c r="D7577" s="1">
        <v>5.0</v>
      </c>
      <c r="E7577" s="1">
        <v>19990.0</v>
      </c>
      <c r="F7577" s="10">
        <f t="shared" si="1"/>
        <v>5</v>
      </c>
      <c r="G7577" s="10">
        <f t="array" ref="G7577">index('Player ID'!C:C,match(E7577,'Player ID'!B:B,0))</f>
        <v>669060</v>
      </c>
    </row>
    <row r="7578">
      <c r="A7578" s="76">
        <v>45810.0</v>
      </c>
      <c r="B7578" s="1" t="s">
        <v>859</v>
      </c>
      <c r="C7578" s="1" t="s">
        <v>78</v>
      </c>
      <c r="D7578" s="1">
        <v>1.0</v>
      </c>
      <c r="E7578" s="1">
        <v>25040.0</v>
      </c>
      <c r="F7578" s="10">
        <f t="shared" si="1"/>
        <v>1</v>
      </c>
      <c r="G7578" s="10" t="str">
        <f t="array" ref="G7578">index('Player ID'!C:C,match(E7578,'Player ID'!B:B,0))</f>
        <v>#N/A</v>
      </c>
    </row>
    <row r="7579">
      <c r="A7579" s="76">
        <v>45810.0</v>
      </c>
      <c r="B7579" s="1" t="s">
        <v>860</v>
      </c>
      <c r="C7579" s="1" t="s">
        <v>62</v>
      </c>
      <c r="D7579" s="1">
        <v>2.0</v>
      </c>
      <c r="E7579" s="1">
        <v>30145.0</v>
      </c>
      <c r="F7579" s="10">
        <f t="shared" si="1"/>
        <v>2</v>
      </c>
      <c r="G7579" s="10" t="str">
        <f t="array" ref="G7579">index('Player ID'!C:C,match(E7579,'Player ID'!B:B,0))</f>
        <v>#N/A</v>
      </c>
    </row>
    <row r="7580">
      <c r="A7580" s="76">
        <v>45810.0</v>
      </c>
      <c r="B7580" s="1" t="s">
        <v>361</v>
      </c>
      <c r="C7580" s="1" t="s">
        <v>78</v>
      </c>
      <c r="D7580" s="1">
        <v>3.0</v>
      </c>
      <c r="E7580" s="1">
        <v>31730.0</v>
      </c>
      <c r="F7580" s="10">
        <f t="shared" si="1"/>
        <v>3</v>
      </c>
      <c r="G7580" s="10">
        <f t="array" ref="G7580">index('Player ID'!C:C,match(E7580,'Player ID'!B:B,0))</f>
        <v>686563</v>
      </c>
    </row>
    <row r="7581">
      <c r="A7581" s="76">
        <v>45810.0</v>
      </c>
      <c r="B7581" s="1" t="s">
        <v>342</v>
      </c>
      <c r="C7581" s="1" t="s">
        <v>26</v>
      </c>
      <c r="D7581" s="1">
        <v>1.0</v>
      </c>
      <c r="E7581" s="1">
        <v>11861.0</v>
      </c>
      <c r="F7581" s="10">
        <f t="shared" si="1"/>
        <v>1</v>
      </c>
      <c r="G7581" s="10">
        <f t="array" ref="G7581">index('Player ID'!C:C,match(E7581,'Player ID'!B:B,0))</f>
        <v>592094</v>
      </c>
    </row>
    <row r="7582">
      <c r="A7582" s="76">
        <v>45810.0</v>
      </c>
      <c r="B7582" s="1" t="s">
        <v>77</v>
      </c>
      <c r="C7582" s="1" t="s">
        <v>31</v>
      </c>
      <c r="D7582" s="1">
        <v>8.0</v>
      </c>
      <c r="E7582" s="1">
        <v>17995.0</v>
      </c>
      <c r="F7582" s="10">
        <f t="shared" si="1"/>
        <v>8</v>
      </c>
      <c r="G7582" s="10">
        <f t="array" ref="G7582">index('Player ID'!C:C,match(E7582,'Player ID'!B:B,0))</f>
        <v>657277</v>
      </c>
    </row>
    <row r="7583">
      <c r="A7583" s="76">
        <v>45810.0</v>
      </c>
      <c r="B7583" s="1" t="s">
        <v>49</v>
      </c>
      <c r="C7583" s="1" t="s">
        <v>26</v>
      </c>
      <c r="D7583" s="1">
        <v>1.0</v>
      </c>
      <c r="E7583" s="1">
        <v>20039.0</v>
      </c>
      <c r="F7583" s="10">
        <f t="shared" si="1"/>
        <v>1</v>
      </c>
      <c r="G7583" s="10">
        <f t="array" ref="G7583">index('Player ID'!C:C,match(E7583,'Player ID'!B:B,0))</f>
        <v>670970</v>
      </c>
    </row>
    <row r="7584">
      <c r="A7584" s="76">
        <v>45810.0</v>
      </c>
      <c r="B7584" s="1" t="s">
        <v>403</v>
      </c>
      <c r="C7584" s="1" t="s">
        <v>31</v>
      </c>
      <c r="D7584" s="1">
        <v>1.0</v>
      </c>
      <c r="E7584" s="1">
        <v>20423.0</v>
      </c>
      <c r="F7584" s="10">
        <f t="shared" si="1"/>
        <v>1</v>
      </c>
      <c r="G7584" s="10">
        <f t="array" ref="G7584">index('Player ID'!C:C,match(E7584,'Player ID'!B:B,0))</f>
        <v>676254</v>
      </c>
    </row>
    <row r="7585">
      <c r="A7585" s="76">
        <v>45810.0</v>
      </c>
      <c r="B7585" s="1" t="s">
        <v>179</v>
      </c>
      <c r="C7585" s="1" t="s">
        <v>26</v>
      </c>
      <c r="D7585" s="1">
        <v>5.2</v>
      </c>
      <c r="E7585" s="1">
        <v>21487.0</v>
      </c>
      <c r="F7585" s="10">
        <f t="shared" si="1"/>
        <v>5.666666667</v>
      </c>
      <c r="G7585" s="10">
        <f t="array" ref="G7585">index('Player ID'!C:C,match(E7585,'Player ID'!B:B,0))</f>
        <v>663568</v>
      </c>
    </row>
    <row r="7586">
      <c r="A7586" s="76">
        <v>45810.0</v>
      </c>
      <c r="B7586" s="1" t="s">
        <v>94</v>
      </c>
      <c r="C7586" s="1" t="s">
        <v>26</v>
      </c>
      <c r="D7586" s="1">
        <v>0.1</v>
      </c>
      <c r="E7586" s="1">
        <v>22210.0</v>
      </c>
      <c r="F7586" s="10">
        <f t="shared" si="1"/>
        <v>0.3333333333</v>
      </c>
      <c r="G7586" s="10">
        <f t="array" ref="G7586">index('Player ID'!C:C,match(E7586,'Player ID'!B:B,0))</f>
        <v>669093</v>
      </c>
    </row>
    <row r="7587">
      <c r="A7587" s="76">
        <v>45810.0</v>
      </c>
      <c r="B7587" s="1" t="s">
        <v>654</v>
      </c>
      <c r="C7587" s="1" t="s">
        <v>31</v>
      </c>
      <c r="D7587" s="1">
        <v>1.0</v>
      </c>
      <c r="E7587" s="1">
        <v>23974.0</v>
      </c>
      <c r="F7587" s="10">
        <f t="shared" si="1"/>
        <v>1</v>
      </c>
      <c r="G7587" s="10">
        <f t="array" ref="G7587">index('Player ID'!C:C,match(E7587,'Player ID'!B:B,0))</f>
        <v>678495</v>
      </c>
    </row>
    <row r="7588">
      <c r="A7588" s="76">
        <v>45810.0</v>
      </c>
      <c r="B7588" s="1" t="s">
        <v>81</v>
      </c>
      <c r="C7588" s="1" t="s">
        <v>26</v>
      </c>
      <c r="D7588" s="1">
        <v>2.0</v>
      </c>
      <c r="E7588" s="1">
        <v>30115.0</v>
      </c>
      <c r="F7588" s="10">
        <f t="shared" si="1"/>
        <v>2</v>
      </c>
      <c r="G7588" s="10">
        <f t="array" ref="G7588">index('Player ID'!C:C,match(E7588,'Player ID'!B:B,0))</f>
        <v>663158</v>
      </c>
    </row>
    <row r="7589">
      <c r="A7589" s="76">
        <v>45810.0</v>
      </c>
      <c r="B7589" s="1" t="s">
        <v>146</v>
      </c>
      <c r="C7589" s="1" t="s">
        <v>16</v>
      </c>
      <c r="D7589" s="1">
        <v>1.0</v>
      </c>
      <c r="E7589" s="1">
        <v>15145.0</v>
      </c>
      <c r="F7589" s="10">
        <f t="shared" si="1"/>
        <v>1</v>
      </c>
      <c r="G7589" s="10">
        <f t="array" ref="G7589">index('Player ID'!C:C,match(E7589,'Player ID'!B:B,0))</f>
        <v>623437</v>
      </c>
    </row>
    <row r="7590">
      <c r="A7590" s="76">
        <v>45810.0</v>
      </c>
      <c r="B7590" s="1" t="s">
        <v>281</v>
      </c>
      <c r="C7590" s="1" t="s">
        <v>52</v>
      </c>
      <c r="D7590" s="1">
        <v>5.2</v>
      </c>
      <c r="E7590" s="1">
        <v>15890.0</v>
      </c>
      <c r="F7590" s="10">
        <f t="shared" si="1"/>
        <v>5.666666667</v>
      </c>
      <c r="G7590" s="10">
        <f t="array" ref="G7590">index('Player ID'!C:C,match(E7590,'Player ID'!B:B,0))</f>
        <v>622663</v>
      </c>
    </row>
    <row r="7591">
      <c r="A7591" s="76">
        <v>45810.0</v>
      </c>
      <c r="B7591" s="1" t="s">
        <v>249</v>
      </c>
      <c r="C7591" s="1" t="s">
        <v>16</v>
      </c>
      <c r="D7591" s="1">
        <v>1.0</v>
      </c>
      <c r="E7591" s="1">
        <v>16727.0</v>
      </c>
      <c r="F7591" s="10">
        <f t="shared" si="1"/>
        <v>1</v>
      </c>
      <c r="G7591" s="10">
        <f t="array" ref="G7591">index('Player ID'!C:C,match(E7591,'Player ID'!B:B,0))</f>
        <v>592779</v>
      </c>
    </row>
    <row r="7592">
      <c r="A7592" s="76">
        <v>45810.0</v>
      </c>
      <c r="B7592" s="1" t="s">
        <v>415</v>
      </c>
      <c r="C7592" s="1" t="s">
        <v>52</v>
      </c>
      <c r="D7592" s="1">
        <v>1.0</v>
      </c>
      <c r="E7592" s="1">
        <v>16943.0</v>
      </c>
      <c r="F7592" s="10">
        <f t="shared" si="1"/>
        <v>1</v>
      </c>
      <c r="G7592" s="10">
        <f t="array" ref="G7592">index('Player ID'!C:C,match(E7592,'Player ID'!B:B,0))</f>
        <v>656794</v>
      </c>
    </row>
    <row r="7593">
      <c r="A7593" s="76">
        <v>45810.0</v>
      </c>
      <c r="B7593" s="1" t="s">
        <v>150</v>
      </c>
      <c r="C7593" s="1" t="s">
        <v>16</v>
      </c>
      <c r="D7593" s="1">
        <v>5.0</v>
      </c>
      <c r="E7593" s="1">
        <v>21390.0</v>
      </c>
      <c r="F7593" s="10">
        <f t="shared" si="1"/>
        <v>5</v>
      </c>
      <c r="G7593" s="10">
        <f t="array" ref="G7593">index('Player ID'!C:C,match(E7593,'Player ID'!B:B,0))</f>
        <v>657746</v>
      </c>
    </row>
    <row r="7594">
      <c r="A7594" s="76">
        <v>45810.0</v>
      </c>
      <c r="B7594" s="1" t="s">
        <v>227</v>
      </c>
      <c r="C7594" s="1" t="s">
        <v>52</v>
      </c>
      <c r="D7594" s="1">
        <v>1.0</v>
      </c>
      <c r="E7594" s="1">
        <v>21520.0</v>
      </c>
      <c r="F7594" s="10">
        <f t="shared" si="1"/>
        <v>1</v>
      </c>
      <c r="G7594" s="10">
        <f t="array" ref="G7594">index('Player ID'!C:C,match(E7594,'Player ID'!B:B,0))</f>
        <v>663687</v>
      </c>
    </row>
    <row r="7595">
      <c r="A7595" s="76">
        <v>45810.0</v>
      </c>
      <c r="B7595" s="1" t="s">
        <v>471</v>
      </c>
      <c r="C7595" s="1" t="s">
        <v>52</v>
      </c>
      <c r="D7595" s="1">
        <v>1.1</v>
      </c>
      <c r="E7595" s="1">
        <v>21662.0</v>
      </c>
      <c r="F7595" s="10">
        <f t="shared" si="1"/>
        <v>1.333333333</v>
      </c>
      <c r="G7595" s="10">
        <f t="array" ref="G7595">index('Player ID'!C:C,match(E7595,'Player ID'!B:B,0))</f>
        <v>665660</v>
      </c>
    </row>
    <row r="7596">
      <c r="A7596" s="76">
        <v>45810.0</v>
      </c>
      <c r="B7596" s="1" t="s">
        <v>333</v>
      </c>
      <c r="C7596" s="1" t="s">
        <v>16</v>
      </c>
      <c r="D7596" s="1">
        <v>1.0</v>
      </c>
      <c r="E7596" s="1">
        <v>24993.0</v>
      </c>
      <c r="F7596" s="10">
        <f t="shared" si="1"/>
        <v>1</v>
      </c>
      <c r="G7596" s="10">
        <f t="array" ref="G7596">index('Player ID'!C:C,match(E7596,'Player ID'!B:B,0))</f>
        <v>681892</v>
      </c>
    </row>
    <row r="7597">
      <c r="A7597" s="76">
        <v>45810.0</v>
      </c>
      <c r="B7597" s="1" t="s">
        <v>47</v>
      </c>
      <c r="C7597" s="1" t="s">
        <v>16</v>
      </c>
      <c r="D7597" s="1">
        <v>1.0</v>
      </c>
      <c r="E7597" s="1">
        <v>27691.0</v>
      </c>
      <c r="F7597" s="10">
        <f t="shared" si="1"/>
        <v>1</v>
      </c>
      <c r="G7597" s="10">
        <f t="array" ref="G7597">index('Player ID'!C:C,match(E7597,'Player ID'!B:B,0))</f>
        <v>686973</v>
      </c>
    </row>
    <row r="7598">
      <c r="A7598" s="76">
        <v>45810.0</v>
      </c>
      <c r="B7598" s="1" t="s">
        <v>646</v>
      </c>
      <c r="C7598" s="1" t="s">
        <v>51</v>
      </c>
      <c r="D7598" s="1">
        <v>1.0</v>
      </c>
      <c r="E7598" s="1">
        <v>6107.0</v>
      </c>
      <c r="F7598" s="10">
        <f t="shared" si="1"/>
        <v>1</v>
      </c>
      <c r="G7598" s="10">
        <f t="array" ref="G7598">index('Player ID'!C:C,match(E7598,'Player ID'!B:B,0))</f>
        <v>623211</v>
      </c>
    </row>
    <row r="7599">
      <c r="A7599" s="76">
        <v>45810.0</v>
      </c>
      <c r="B7599" s="1" t="s">
        <v>679</v>
      </c>
      <c r="C7599" s="1" t="s">
        <v>51</v>
      </c>
      <c r="D7599" s="1">
        <v>1.0</v>
      </c>
      <c r="E7599" s="1">
        <v>14710.0</v>
      </c>
      <c r="F7599" s="10">
        <f t="shared" si="1"/>
        <v>1</v>
      </c>
      <c r="G7599" s="10">
        <f t="array" ref="G7599">index('Player ID'!C:C,match(E7599,'Player ID'!B:B,0))</f>
        <v>621242</v>
      </c>
    </row>
    <row r="7600">
      <c r="A7600" s="76">
        <v>45810.0</v>
      </c>
      <c r="B7600" s="1" t="s">
        <v>299</v>
      </c>
      <c r="C7600" s="1" t="s">
        <v>51</v>
      </c>
      <c r="D7600" s="1">
        <v>5.0</v>
      </c>
      <c r="E7600" s="1">
        <v>14739.0</v>
      </c>
      <c r="F7600" s="10">
        <f t="shared" si="1"/>
        <v>5</v>
      </c>
      <c r="G7600" s="10">
        <f t="array" ref="G7600">index('Player ID'!C:C,match(E7600,'Player ID'!B:B,0))</f>
        <v>621112</v>
      </c>
    </row>
    <row r="7601">
      <c r="A7601" s="76">
        <v>45810.0</v>
      </c>
      <c r="B7601" s="1" t="s">
        <v>503</v>
      </c>
      <c r="C7601" s="1" t="s">
        <v>33</v>
      </c>
      <c r="D7601" s="1">
        <v>1.0</v>
      </c>
      <c r="E7601" s="1">
        <v>15043.0</v>
      </c>
      <c r="F7601" s="10">
        <f t="shared" si="1"/>
        <v>1</v>
      </c>
      <c r="G7601" s="10">
        <f t="array" ref="G7601">index('Player ID'!C:C,match(E7601,'Player ID'!B:B,0))</f>
        <v>642152</v>
      </c>
    </row>
    <row r="7602">
      <c r="A7602" s="76">
        <v>45810.0</v>
      </c>
      <c r="B7602" s="1" t="s">
        <v>292</v>
      </c>
      <c r="C7602" s="1" t="s">
        <v>51</v>
      </c>
      <c r="D7602" s="1">
        <v>1.0</v>
      </c>
      <c r="E7602" s="1">
        <v>15947.0</v>
      </c>
      <c r="F7602" s="10">
        <f t="shared" si="1"/>
        <v>1</v>
      </c>
      <c r="G7602" s="10">
        <f t="array" ref="G7602">index('Player ID'!C:C,match(E7602,'Player ID'!B:B,0))</f>
        <v>592773</v>
      </c>
    </row>
    <row r="7603">
      <c r="A7603" s="76">
        <v>45810.0</v>
      </c>
      <c r="B7603" s="1" t="s">
        <v>826</v>
      </c>
      <c r="C7603" s="1" t="s">
        <v>51</v>
      </c>
      <c r="D7603" s="1">
        <v>0.1</v>
      </c>
      <c r="E7603" s="1">
        <v>17169.0</v>
      </c>
      <c r="F7603" s="10">
        <f t="shared" si="1"/>
        <v>0.3333333333</v>
      </c>
      <c r="G7603" s="10">
        <f t="array" ref="G7603">index('Player ID'!C:C,match(E7603,'Player ID'!B:B,0))</f>
        <v>620454</v>
      </c>
    </row>
    <row r="7604">
      <c r="A7604" s="76">
        <v>45810.0</v>
      </c>
      <c r="B7604" s="1" t="s">
        <v>32</v>
      </c>
      <c r="C7604" s="1" t="s">
        <v>33</v>
      </c>
      <c r="D7604" s="1">
        <v>1.0</v>
      </c>
      <c r="E7604" s="1">
        <v>17586.0</v>
      </c>
      <c r="F7604" s="10">
        <f t="shared" si="1"/>
        <v>1</v>
      </c>
      <c r="G7604" s="10">
        <f t="array" ref="G7604">index('Player ID'!C:C,match(E7604,'Player ID'!B:B,0))</f>
        <v>656945</v>
      </c>
    </row>
    <row r="7605">
      <c r="A7605" s="76">
        <v>45810.0</v>
      </c>
      <c r="B7605" s="1" t="s">
        <v>329</v>
      </c>
      <c r="C7605" s="1" t="s">
        <v>33</v>
      </c>
      <c r="D7605" s="1">
        <v>6.0</v>
      </c>
      <c r="E7605" s="1">
        <v>19716.0</v>
      </c>
      <c r="F7605" s="10">
        <f t="shared" si="1"/>
        <v>6</v>
      </c>
      <c r="G7605" s="10">
        <f t="array" ref="G7605">index('Player ID'!C:C,match(E7605,'Player ID'!B:B,0))</f>
        <v>669160</v>
      </c>
    </row>
    <row r="7606">
      <c r="A7606" s="76">
        <v>45810.0</v>
      </c>
      <c r="B7606" s="1" t="s">
        <v>50</v>
      </c>
      <c r="C7606" s="1" t="s">
        <v>51</v>
      </c>
      <c r="D7606" s="1">
        <v>1.0</v>
      </c>
      <c r="E7606" s="1">
        <v>22175.0</v>
      </c>
      <c r="F7606" s="10">
        <f t="shared" si="1"/>
        <v>1</v>
      </c>
      <c r="G7606" s="10">
        <f t="array" ref="G7606">index('Player ID'!C:C,match(E7606,'Player ID'!B:B,0))</f>
        <v>668820</v>
      </c>
    </row>
    <row r="7607">
      <c r="A7607" s="76">
        <v>45810.0</v>
      </c>
      <c r="B7607" s="1" t="s">
        <v>712</v>
      </c>
      <c r="C7607" s="1" t="s">
        <v>51</v>
      </c>
      <c r="D7607" s="1">
        <v>0.2</v>
      </c>
      <c r="E7607" s="1">
        <v>23313.0</v>
      </c>
      <c r="F7607" s="10">
        <f t="shared" si="1"/>
        <v>0.6666666667</v>
      </c>
      <c r="G7607" s="10">
        <f t="array" ref="G7607">index('Player ID'!C:C,match(E7607,'Player ID'!B:B,0))</f>
        <v>676130</v>
      </c>
    </row>
    <row r="7608">
      <c r="A7608" s="76">
        <v>45810.0</v>
      </c>
      <c r="B7608" s="1" t="s">
        <v>206</v>
      </c>
      <c r="C7608" s="1" t="s">
        <v>33</v>
      </c>
      <c r="D7608" s="1">
        <v>2.0</v>
      </c>
      <c r="E7608" s="1">
        <v>30249.0</v>
      </c>
      <c r="F7608" s="10">
        <f t="shared" si="1"/>
        <v>2</v>
      </c>
      <c r="G7608" s="10">
        <f t="array" ref="G7608">index('Player ID'!C:C,match(E7608,'Player ID'!B:B,0))</f>
        <v>676263</v>
      </c>
    </row>
    <row r="7609">
      <c r="A7609" s="76">
        <v>45811.0</v>
      </c>
      <c r="B7609" s="1" t="s">
        <v>394</v>
      </c>
      <c r="C7609" s="1" t="s">
        <v>39</v>
      </c>
      <c r="D7609" s="1">
        <v>6.0</v>
      </c>
      <c r="E7609" s="1">
        <v>14120.0</v>
      </c>
      <c r="F7609" s="10">
        <f t="shared" si="1"/>
        <v>6</v>
      </c>
      <c r="G7609" s="10">
        <f t="array" ref="G7609">index('Player ID'!C:C,match(E7609,'Player ID'!B:B,0))</f>
        <v>621121</v>
      </c>
    </row>
    <row r="7610">
      <c r="A7610" s="76">
        <v>45811.0</v>
      </c>
      <c r="B7610" s="1" t="s">
        <v>59</v>
      </c>
      <c r="C7610" s="1" t="s">
        <v>39</v>
      </c>
      <c r="D7610" s="1">
        <v>1.0</v>
      </c>
      <c r="E7610" s="1">
        <v>14212.0</v>
      </c>
      <c r="F7610" s="10">
        <f t="shared" si="1"/>
        <v>1</v>
      </c>
      <c r="G7610" s="10">
        <f t="array" ref="G7610">index('Player ID'!C:C,match(E7610,'Player ID'!B:B,0))</f>
        <v>623352</v>
      </c>
    </row>
    <row r="7611">
      <c r="A7611" s="76">
        <v>45811.0</v>
      </c>
      <c r="B7611" s="1" t="s">
        <v>210</v>
      </c>
      <c r="C7611" s="1" t="s">
        <v>39</v>
      </c>
      <c r="D7611" s="1">
        <v>1.0</v>
      </c>
      <c r="E7611" s="1">
        <v>16609.0</v>
      </c>
      <c r="F7611" s="10">
        <f t="shared" si="1"/>
        <v>1</v>
      </c>
      <c r="G7611" s="10">
        <f t="array" ref="G7611">index('Player ID'!C:C,match(E7611,'Player ID'!B:B,0))</f>
        <v>650556</v>
      </c>
    </row>
    <row r="7612">
      <c r="A7612" s="76">
        <v>45811.0</v>
      </c>
      <c r="B7612" s="1" t="s">
        <v>217</v>
      </c>
      <c r="C7612" s="1" t="s">
        <v>60</v>
      </c>
      <c r="D7612" s="1">
        <v>0.1</v>
      </c>
      <c r="E7612" s="1">
        <v>17878.0</v>
      </c>
      <c r="F7612" s="10">
        <f t="shared" si="1"/>
        <v>0.3333333333</v>
      </c>
      <c r="G7612" s="10">
        <f t="array" ref="G7612">index('Player ID'!C:C,match(E7612,'Player ID'!B:B,0))</f>
        <v>642701</v>
      </c>
    </row>
    <row r="7613">
      <c r="A7613" s="76">
        <v>45811.0</v>
      </c>
      <c r="B7613" s="1" t="s">
        <v>444</v>
      </c>
      <c r="C7613" s="1" t="s">
        <v>39</v>
      </c>
      <c r="D7613" s="1">
        <v>1.0</v>
      </c>
      <c r="E7613" s="1">
        <v>24977.0</v>
      </c>
      <c r="F7613" s="10">
        <f t="shared" si="1"/>
        <v>1</v>
      </c>
      <c r="G7613" s="10">
        <f t="array" ref="G7613">index('Player ID'!C:C,match(E7613,'Player ID'!B:B,0))</f>
        <v>681869</v>
      </c>
    </row>
    <row r="7614">
      <c r="A7614" s="76">
        <v>45811.0</v>
      </c>
      <c r="B7614" s="1" t="s">
        <v>482</v>
      </c>
      <c r="C7614" s="1" t="s">
        <v>60</v>
      </c>
      <c r="D7614" s="1">
        <v>0.2</v>
      </c>
      <c r="E7614" s="1">
        <v>27775.0</v>
      </c>
      <c r="F7614" s="10">
        <f t="shared" si="1"/>
        <v>0.6666666667</v>
      </c>
      <c r="G7614" s="10">
        <f t="array" ref="G7614">index('Player ID'!C:C,match(E7614,'Player ID'!B:B,0))</f>
        <v>693312</v>
      </c>
    </row>
    <row r="7615">
      <c r="A7615" s="76">
        <v>45811.0</v>
      </c>
      <c r="B7615" s="1" t="s">
        <v>88</v>
      </c>
      <c r="C7615" s="1" t="s">
        <v>60</v>
      </c>
      <c r="D7615" s="1">
        <v>8.0</v>
      </c>
      <c r="E7615" s="1">
        <v>33677.0</v>
      </c>
      <c r="F7615" s="10">
        <f t="shared" si="1"/>
        <v>8</v>
      </c>
      <c r="G7615" s="10">
        <f t="array" ref="G7615">index('Player ID'!C:C,match(E7615,'Player ID'!B:B,0))</f>
        <v>694973</v>
      </c>
    </row>
    <row r="7616">
      <c r="A7616" s="76">
        <v>45811.0</v>
      </c>
      <c r="B7616" s="1" t="s">
        <v>451</v>
      </c>
      <c r="C7616" s="1" t="s">
        <v>75</v>
      </c>
      <c r="D7616" s="1">
        <v>1.2</v>
      </c>
      <c r="E7616" s="1">
        <v>17556.0</v>
      </c>
      <c r="F7616" s="10">
        <f t="shared" si="1"/>
        <v>1.666666667</v>
      </c>
      <c r="G7616" s="10">
        <f t="array" ref="G7616">index('Player ID'!C:C,match(E7616,'Player ID'!B:B,0))</f>
        <v>623474</v>
      </c>
    </row>
    <row r="7617">
      <c r="A7617" s="76">
        <v>45811.0</v>
      </c>
      <c r="B7617" s="1" t="s">
        <v>229</v>
      </c>
      <c r="C7617" s="1" t="s">
        <v>36</v>
      </c>
      <c r="D7617" s="1">
        <v>6.0</v>
      </c>
      <c r="E7617" s="1">
        <v>18684.0</v>
      </c>
      <c r="F7617" s="10">
        <f t="shared" si="1"/>
        <v>6</v>
      </c>
      <c r="G7617" s="10">
        <f t="array" ref="G7617">index('Player ID'!C:C,match(E7617,'Player ID'!B:B,0))</f>
        <v>645261</v>
      </c>
    </row>
    <row r="7618">
      <c r="A7618" s="76">
        <v>45811.0</v>
      </c>
      <c r="B7618" s="1" t="s">
        <v>89</v>
      </c>
      <c r="C7618" s="1" t="s">
        <v>36</v>
      </c>
      <c r="D7618" s="1">
        <v>1.0</v>
      </c>
      <c r="E7618" s="1">
        <v>19742.0</v>
      </c>
      <c r="F7618" s="10">
        <f t="shared" si="1"/>
        <v>1</v>
      </c>
      <c r="G7618" s="10">
        <f t="array" ref="G7618">index('Player ID'!C:C,match(E7618,'Player ID'!B:B,0))</f>
        <v>669622</v>
      </c>
    </row>
    <row r="7619">
      <c r="A7619" s="76">
        <v>45811.0</v>
      </c>
      <c r="B7619" s="1" t="s">
        <v>262</v>
      </c>
      <c r="C7619" s="1" t="s">
        <v>36</v>
      </c>
      <c r="D7619" s="1">
        <v>1.0</v>
      </c>
      <c r="E7619" s="1">
        <v>20116.0</v>
      </c>
      <c r="F7619" s="10">
        <f t="shared" si="1"/>
        <v>1</v>
      </c>
      <c r="G7619" s="10">
        <f t="array" ref="G7619">index('Player ID'!C:C,match(E7619,'Player ID'!B:B,0))</f>
        <v>676534</v>
      </c>
    </row>
    <row r="7620">
      <c r="A7620" s="76">
        <v>45811.0</v>
      </c>
      <c r="B7620" s="1" t="s">
        <v>61</v>
      </c>
      <c r="C7620" s="1" t="s">
        <v>36</v>
      </c>
      <c r="D7620" s="1">
        <v>1.0</v>
      </c>
      <c r="E7620" s="1">
        <v>20629.0</v>
      </c>
      <c r="F7620" s="10">
        <f t="shared" si="1"/>
        <v>1</v>
      </c>
      <c r="G7620" s="10">
        <f t="array" ref="G7620">index('Player ID'!C:C,match(E7620,'Player ID'!B:B,0))</f>
        <v>663969</v>
      </c>
    </row>
    <row r="7621">
      <c r="A7621" s="76">
        <v>45811.0</v>
      </c>
      <c r="B7621" s="1" t="s">
        <v>468</v>
      </c>
      <c r="C7621" s="1" t="s">
        <v>75</v>
      </c>
      <c r="D7621" s="1">
        <v>2.0</v>
      </c>
      <c r="E7621" s="1">
        <v>23237.0</v>
      </c>
      <c r="F7621" s="10">
        <f t="shared" si="1"/>
        <v>2</v>
      </c>
      <c r="G7621" s="10">
        <f t="array" ref="G7621">index('Player ID'!C:C,match(E7621,'Player ID'!B:B,0))</f>
        <v>675848</v>
      </c>
    </row>
    <row r="7622">
      <c r="A7622" s="76">
        <v>45811.0</v>
      </c>
      <c r="B7622" s="1" t="s">
        <v>365</v>
      </c>
      <c r="C7622" s="1" t="s">
        <v>75</v>
      </c>
      <c r="D7622" s="1">
        <v>1.1</v>
      </c>
      <c r="E7622" s="1">
        <v>24614.0</v>
      </c>
      <c r="F7622" s="10">
        <f t="shared" si="1"/>
        <v>1.333333333</v>
      </c>
      <c r="G7622" s="10">
        <f t="array" ref="G7622">index('Player ID'!C:C,match(E7622,'Player ID'!B:B,0))</f>
        <v>680767</v>
      </c>
    </row>
    <row r="7623">
      <c r="A7623" s="76">
        <v>45811.0</v>
      </c>
      <c r="B7623" s="1" t="s">
        <v>488</v>
      </c>
      <c r="C7623" s="1" t="s">
        <v>75</v>
      </c>
      <c r="D7623" s="1">
        <v>1.0</v>
      </c>
      <c r="E7623" s="1">
        <v>33294.0</v>
      </c>
      <c r="F7623" s="10">
        <f t="shared" si="1"/>
        <v>1</v>
      </c>
      <c r="G7623" s="10">
        <f t="array" ref="G7623">index('Player ID'!C:C,match(E7623,'Player ID'!B:B,0))</f>
        <v>678020</v>
      </c>
    </row>
    <row r="7624">
      <c r="A7624" s="76">
        <v>45811.0</v>
      </c>
      <c r="B7624" s="1" t="s">
        <v>495</v>
      </c>
      <c r="C7624" s="1" t="s">
        <v>75</v>
      </c>
      <c r="D7624" s="1">
        <v>3.0</v>
      </c>
      <c r="E7624" s="1">
        <v>33482.0</v>
      </c>
      <c r="F7624" s="10">
        <f t="shared" si="1"/>
        <v>3</v>
      </c>
      <c r="G7624" s="10">
        <f t="array" ref="G7624">index('Player ID'!C:C,match(E7624,'Player ID'!B:B,0))</f>
        <v>801403</v>
      </c>
    </row>
    <row r="7625">
      <c r="A7625" s="76">
        <v>45811.0</v>
      </c>
      <c r="B7625" s="1" t="s">
        <v>460</v>
      </c>
      <c r="C7625" s="1" t="s">
        <v>34</v>
      </c>
      <c r="D7625" s="1">
        <v>1.0</v>
      </c>
      <c r="E7625" s="1">
        <v>7005.0</v>
      </c>
      <c r="F7625" s="10">
        <f t="shared" si="1"/>
        <v>1</v>
      </c>
      <c r="G7625" s="10">
        <f t="array" ref="G7625">index('Player ID'!C:C,match(E7625,'Player ID'!B:B,0))</f>
        <v>519151</v>
      </c>
    </row>
    <row r="7626">
      <c r="A7626" s="76">
        <v>45811.0</v>
      </c>
      <c r="B7626" s="1" t="s">
        <v>71</v>
      </c>
      <c r="C7626" s="1" t="s">
        <v>34</v>
      </c>
      <c r="D7626" s="1">
        <v>1.2</v>
      </c>
      <c r="E7626" s="1">
        <v>10078.0</v>
      </c>
      <c r="F7626" s="10">
        <f t="shared" si="1"/>
        <v>1.666666667</v>
      </c>
      <c r="G7626" s="10">
        <f t="array" ref="G7626">index('Player ID'!C:C,match(E7626,'Player ID'!B:B,0))</f>
        <v>573204</v>
      </c>
    </row>
    <row r="7627">
      <c r="A7627" s="76">
        <v>45811.0</v>
      </c>
      <c r="B7627" s="1" t="s">
        <v>506</v>
      </c>
      <c r="C7627" s="1" t="s">
        <v>80</v>
      </c>
      <c r="D7627" s="1">
        <v>0.0</v>
      </c>
      <c r="E7627" s="1">
        <v>12988.0</v>
      </c>
      <c r="F7627" s="10">
        <f t="shared" si="1"/>
        <v>0</v>
      </c>
      <c r="G7627" s="10">
        <f t="array" ref="G7627">index('Player ID'!C:C,match(E7627,'Player ID'!B:B,0))</f>
        <v>605177</v>
      </c>
    </row>
    <row r="7628">
      <c r="A7628" s="76">
        <v>45811.0</v>
      </c>
      <c r="B7628" s="1" t="s">
        <v>148</v>
      </c>
      <c r="C7628" s="1" t="s">
        <v>80</v>
      </c>
      <c r="D7628" s="1">
        <v>4.1</v>
      </c>
      <c r="E7628" s="1">
        <v>16977.0</v>
      </c>
      <c r="F7628" s="10">
        <f t="shared" si="1"/>
        <v>4.333333333</v>
      </c>
      <c r="G7628" s="10">
        <f t="array" ref="G7628">index('Player ID'!C:C,match(E7628,'Player ID'!B:B,0))</f>
        <v>592866</v>
      </c>
    </row>
    <row r="7629">
      <c r="A7629" s="76">
        <v>45811.0</v>
      </c>
      <c r="B7629" s="1" t="s">
        <v>825</v>
      </c>
      <c r="C7629" s="1" t="s">
        <v>34</v>
      </c>
      <c r="D7629" s="1">
        <v>1.0</v>
      </c>
      <c r="E7629" s="1">
        <v>17490.0</v>
      </c>
      <c r="F7629" s="10">
        <f t="shared" si="1"/>
        <v>1</v>
      </c>
      <c r="G7629" s="10">
        <f t="array" ref="G7629">index('Player ID'!C:C,match(E7629,'Player ID'!B:B,0))</f>
        <v>650893</v>
      </c>
    </row>
    <row r="7630">
      <c r="A7630" s="76">
        <v>45811.0</v>
      </c>
      <c r="B7630" s="1" t="s">
        <v>508</v>
      </c>
      <c r="C7630" s="1" t="s">
        <v>80</v>
      </c>
      <c r="D7630" s="1">
        <v>1.0</v>
      </c>
      <c r="E7630" s="1">
        <v>23135.0</v>
      </c>
      <c r="F7630" s="10">
        <f t="shared" si="1"/>
        <v>1</v>
      </c>
      <c r="G7630" s="10">
        <f t="array" ref="G7630">index('Player ID'!C:C,match(E7630,'Player ID'!B:B,0))</f>
        <v>674285</v>
      </c>
    </row>
    <row r="7631">
      <c r="A7631" s="76">
        <v>45811.0</v>
      </c>
      <c r="B7631" s="1" t="s">
        <v>511</v>
      </c>
      <c r="C7631" s="1" t="s">
        <v>80</v>
      </c>
      <c r="D7631" s="1">
        <v>1.0</v>
      </c>
      <c r="E7631" s="1">
        <v>26215.0</v>
      </c>
      <c r="F7631" s="10">
        <f t="shared" si="1"/>
        <v>1</v>
      </c>
      <c r="G7631" s="10">
        <f t="array" ref="G7631">index('Player ID'!C:C,match(E7631,'Player ID'!B:B,0))</f>
        <v>671131</v>
      </c>
    </row>
    <row r="7632">
      <c r="A7632" s="76">
        <v>45811.0</v>
      </c>
      <c r="B7632" s="1" t="s">
        <v>507</v>
      </c>
      <c r="C7632" s="1" t="s">
        <v>80</v>
      </c>
      <c r="D7632" s="1">
        <v>0.2</v>
      </c>
      <c r="E7632" s="1">
        <v>27570.0</v>
      </c>
      <c r="F7632" s="10">
        <f t="shared" si="1"/>
        <v>0.6666666667</v>
      </c>
      <c r="G7632" s="10">
        <f t="array" ref="G7632">index('Player ID'!C:C,match(E7632,'Player ID'!B:B,0))</f>
        <v>669371</v>
      </c>
    </row>
    <row r="7633">
      <c r="A7633" s="76">
        <v>45811.0</v>
      </c>
      <c r="B7633" s="1" t="s">
        <v>818</v>
      </c>
      <c r="C7633" s="1" t="s">
        <v>80</v>
      </c>
      <c r="D7633" s="1">
        <v>2.0</v>
      </c>
      <c r="E7633" s="1">
        <v>27783.0</v>
      </c>
      <c r="F7633" s="10">
        <f t="shared" si="1"/>
        <v>2</v>
      </c>
      <c r="G7633" s="10">
        <f t="array" ref="G7633">index('Player ID'!C:C,match(E7633,'Player ID'!B:B,0))</f>
        <v>694350</v>
      </c>
    </row>
    <row r="7634">
      <c r="A7634" s="76">
        <v>45811.0</v>
      </c>
      <c r="B7634" s="1" t="s">
        <v>434</v>
      </c>
      <c r="C7634" s="1" t="s">
        <v>34</v>
      </c>
      <c r="D7634" s="1">
        <v>5.1</v>
      </c>
      <c r="E7634" s="1">
        <v>31872.0</v>
      </c>
      <c r="F7634" s="10">
        <f t="shared" si="1"/>
        <v>5.333333333</v>
      </c>
      <c r="G7634" s="10">
        <f t="array" ref="G7634">index('Player ID'!C:C,match(E7634,'Player ID'!B:B,0))</f>
        <v>690990</v>
      </c>
    </row>
    <row r="7635">
      <c r="A7635" s="76">
        <v>45811.0</v>
      </c>
      <c r="B7635" s="1" t="s">
        <v>467</v>
      </c>
      <c r="C7635" s="1" t="s">
        <v>58</v>
      </c>
      <c r="D7635" s="1">
        <v>1.0</v>
      </c>
      <c r="E7635" s="1">
        <v>15551.0</v>
      </c>
      <c r="F7635" s="10">
        <f t="shared" si="1"/>
        <v>1</v>
      </c>
      <c r="G7635" s="10">
        <f t="array" ref="G7635">index('Player ID'!C:C,match(E7635,'Player ID'!B:B,0))</f>
        <v>643410</v>
      </c>
    </row>
    <row r="7636">
      <c r="A7636" s="76">
        <v>45811.0</v>
      </c>
      <c r="B7636" s="1" t="s">
        <v>114</v>
      </c>
      <c r="C7636" s="1" t="s">
        <v>58</v>
      </c>
      <c r="D7636" s="1">
        <v>1.0</v>
      </c>
      <c r="E7636" s="1">
        <v>15816.0</v>
      </c>
      <c r="F7636" s="10">
        <f t="shared" si="1"/>
        <v>1</v>
      </c>
      <c r="G7636" s="10">
        <f t="array" ref="G7636">index('Player ID'!C:C,match(E7636,'Player ID'!B:B,0))</f>
        <v>642207</v>
      </c>
    </row>
    <row r="7637">
      <c r="A7637" s="76">
        <v>45811.0</v>
      </c>
      <c r="B7637" s="1" t="s">
        <v>635</v>
      </c>
      <c r="C7637" s="1" t="s">
        <v>58</v>
      </c>
      <c r="D7637" s="1">
        <v>7.0</v>
      </c>
      <c r="E7637" s="1">
        <v>16137.0</v>
      </c>
      <c r="F7637" s="10">
        <f t="shared" si="1"/>
        <v>7</v>
      </c>
      <c r="G7637" s="10">
        <f t="array" ref="G7637">index('Player ID'!C:C,match(E7637,'Player ID'!B:B,0))</f>
        <v>607074</v>
      </c>
    </row>
    <row r="7638">
      <c r="A7638" s="76">
        <v>45811.0</v>
      </c>
      <c r="B7638" s="1" t="s">
        <v>259</v>
      </c>
      <c r="C7638" s="1" t="s">
        <v>70</v>
      </c>
      <c r="D7638" s="1">
        <v>1.2</v>
      </c>
      <c r="E7638" s="1">
        <v>18694.0</v>
      </c>
      <c r="F7638" s="10">
        <f t="shared" si="1"/>
        <v>1.666666667</v>
      </c>
      <c r="G7638" s="10">
        <f t="array" ref="G7638">index('Player ID'!C:C,match(E7638,'Player ID'!B:B,0))</f>
        <v>663465</v>
      </c>
    </row>
    <row r="7639">
      <c r="A7639" s="76">
        <v>45811.0</v>
      </c>
      <c r="B7639" s="1" t="s">
        <v>308</v>
      </c>
      <c r="C7639" s="1" t="s">
        <v>70</v>
      </c>
      <c r="D7639" s="1">
        <v>6.1</v>
      </c>
      <c r="E7639" s="1">
        <v>30134.0</v>
      </c>
      <c r="F7639" s="10">
        <f t="shared" si="1"/>
        <v>6.333333333</v>
      </c>
      <c r="G7639" s="10">
        <f t="array" ref="G7639">index('Player ID'!C:C,match(E7639,'Player ID'!B:B,0))</f>
        <v>676440</v>
      </c>
    </row>
    <row r="7640">
      <c r="A7640" s="76">
        <v>45811.0</v>
      </c>
      <c r="B7640" s="1" t="s">
        <v>360</v>
      </c>
      <c r="C7640" s="1" t="s">
        <v>45</v>
      </c>
      <c r="D7640" s="1">
        <v>1.0</v>
      </c>
      <c r="E7640" s="1">
        <v>12972.0</v>
      </c>
      <c r="F7640" s="10">
        <f t="shared" si="1"/>
        <v>1</v>
      </c>
      <c r="G7640" s="10">
        <f t="array" ref="G7640">index('Player ID'!C:C,match(E7640,'Player ID'!B:B,0))</f>
        <v>605452</v>
      </c>
    </row>
    <row r="7641">
      <c r="A7641" s="76">
        <v>45811.0</v>
      </c>
      <c r="B7641" s="1" t="s">
        <v>858</v>
      </c>
      <c r="C7641" s="1" t="s">
        <v>40</v>
      </c>
      <c r="D7641" s="1">
        <v>1.0</v>
      </c>
      <c r="E7641" s="1">
        <v>16587.0</v>
      </c>
      <c r="F7641" s="10">
        <f t="shared" si="1"/>
        <v>1</v>
      </c>
      <c r="G7641" s="10" t="str">
        <f t="array" ref="G7641">index('Player ID'!C:C,match(E7641,'Player ID'!B:B,0))</f>
        <v>#N/A</v>
      </c>
    </row>
    <row r="7642">
      <c r="A7642" s="76">
        <v>45811.0</v>
      </c>
      <c r="B7642" s="1" t="s">
        <v>332</v>
      </c>
      <c r="C7642" s="1" t="s">
        <v>40</v>
      </c>
      <c r="D7642" s="1">
        <v>4.0</v>
      </c>
      <c r="E7642" s="1">
        <v>19316.0</v>
      </c>
      <c r="F7642" s="10">
        <f t="shared" si="1"/>
        <v>4</v>
      </c>
      <c r="G7642" s="10">
        <f t="array" ref="G7642">index('Player ID'!C:C,match(E7642,'Player ID'!B:B,0))</f>
        <v>641778</v>
      </c>
    </row>
    <row r="7643">
      <c r="A7643" s="76">
        <v>45811.0</v>
      </c>
      <c r="B7643" s="1" t="s">
        <v>428</v>
      </c>
      <c r="C7643" s="1" t="s">
        <v>40</v>
      </c>
      <c r="D7643" s="1">
        <v>1.2</v>
      </c>
      <c r="E7643" s="1">
        <v>20548.0</v>
      </c>
      <c r="F7643" s="10">
        <f t="shared" si="1"/>
        <v>1.666666667</v>
      </c>
      <c r="G7643" s="10">
        <f t="array" ref="G7643">index('Player ID'!C:C,match(E7643,'Player ID'!B:B,0))</f>
        <v>670102</v>
      </c>
    </row>
    <row r="7644">
      <c r="A7644" s="76">
        <v>45811.0</v>
      </c>
      <c r="B7644" s="1" t="s">
        <v>747</v>
      </c>
      <c r="C7644" s="1" t="s">
        <v>45</v>
      </c>
      <c r="D7644" s="1">
        <v>6.0</v>
      </c>
      <c r="E7644" s="1">
        <v>20778.0</v>
      </c>
      <c r="F7644" s="10">
        <f t="shared" si="1"/>
        <v>6</v>
      </c>
      <c r="G7644" s="10">
        <f t="array" ref="G7644">index('Player ID'!C:C,match(E7644,'Player ID'!B:B,0))</f>
        <v>650911</v>
      </c>
    </row>
    <row r="7645">
      <c r="A7645" s="76">
        <v>45811.0</v>
      </c>
      <c r="B7645" s="1" t="s">
        <v>701</v>
      </c>
      <c r="C7645" s="1" t="s">
        <v>45</v>
      </c>
      <c r="D7645" s="1">
        <v>1.0</v>
      </c>
      <c r="E7645" s="1">
        <v>22713.0</v>
      </c>
      <c r="F7645" s="10">
        <f t="shared" si="1"/>
        <v>1</v>
      </c>
      <c r="G7645" s="10">
        <f t="array" ref="G7645">index('Player ID'!C:C,match(E7645,'Player ID'!B:B,0))</f>
        <v>672578</v>
      </c>
    </row>
    <row r="7646">
      <c r="A7646" s="76">
        <v>45811.0</v>
      </c>
      <c r="B7646" s="1" t="s">
        <v>258</v>
      </c>
      <c r="C7646" s="1" t="s">
        <v>45</v>
      </c>
      <c r="D7646" s="1">
        <v>1.0</v>
      </c>
      <c r="E7646" s="1">
        <v>23426.0</v>
      </c>
      <c r="F7646" s="10">
        <f t="shared" si="1"/>
        <v>1</v>
      </c>
      <c r="G7646" s="10" t="str">
        <f t="array" ref="G7646">index('Player ID'!C:C,match(E7646,'Player ID'!B:B,0))</f>
        <v>#N/A</v>
      </c>
    </row>
    <row r="7647">
      <c r="A7647" s="76">
        <v>45811.0</v>
      </c>
      <c r="B7647" s="1" t="s">
        <v>315</v>
      </c>
      <c r="C7647" s="1" t="s">
        <v>40</v>
      </c>
      <c r="D7647" s="1">
        <v>1.0</v>
      </c>
      <c r="E7647" s="1">
        <v>24609.0</v>
      </c>
      <c r="F7647" s="10">
        <f t="shared" si="1"/>
        <v>1</v>
      </c>
      <c r="G7647" s="10">
        <f t="array" ref="G7647">index('Player ID'!C:C,match(E7647,'Player ID'!B:B,0))</f>
        <v>680755</v>
      </c>
    </row>
    <row r="7648">
      <c r="A7648" s="76">
        <v>45811.0</v>
      </c>
      <c r="B7648" s="1" t="s">
        <v>568</v>
      </c>
      <c r="C7648" s="1" t="s">
        <v>40</v>
      </c>
      <c r="D7648" s="1">
        <v>1.1</v>
      </c>
      <c r="E7648" s="1">
        <v>25501.0</v>
      </c>
      <c r="F7648" s="10">
        <f t="shared" si="1"/>
        <v>1.333333333</v>
      </c>
      <c r="G7648" s="10">
        <f t="array" ref="G7648">index('Player ID'!C:C,match(E7648,'Player ID'!B:B,0))</f>
        <v>687606</v>
      </c>
    </row>
    <row r="7649">
      <c r="A7649" s="76">
        <v>45811.0</v>
      </c>
      <c r="B7649" s="1" t="s">
        <v>154</v>
      </c>
      <c r="C7649" s="1" t="s">
        <v>25</v>
      </c>
      <c r="D7649" s="1">
        <v>1.0</v>
      </c>
      <c r="E7649" s="1">
        <v>3096.0</v>
      </c>
      <c r="F7649" s="10">
        <f t="shared" si="1"/>
        <v>1</v>
      </c>
      <c r="G7649" s="10">
        <f t="array" ref="G7649">index('Player ID'!C:C,match(E7649,'Player ID'!B:B,0))</f>
        <v>445276</v>
      </c>
    </row>
    <row r="7650">
      <c r="A7650" s="76">
        <v>45811.0</v>
      </c>
      <c r="B7650" s="1" t="s">
        <v>41</v>
      </c>
      <c r="C7650" s="1" t="s">
        <v>22</v>
      </c>
      <c r="D7650" s="1">
        <v>1.0</v>
      </c>
      <c r="E7650" s="1">
        <v>10233.0</v>
      </c>
      <c r="F7650" s="10">
        <f t="shared" si="1"/>
        <v>1</v>
      </c>
      <c r="G7650" s="10">
        <f t="array" ref="G7650">index('Player ID'!C:C,match(E7650,'Player ID'!B:B,0))</f>
        <v>547973</v>
      </c>
    </row>
    <row r="7651">
      <c r="A7651" s="76">
        <v>45811.0</v>
      </c>
      <c r="B7651" s="1" t="s">
        <v>660</v>
      </c>
      <c r="C7651" s="1" t="s">
        <v>25</v>
      </c>
      <c r="D7651" s="1">
        <v>1.0</v>
      </c>
      <c r="E7651" s="1">
        <v>11804.0</v>
      </c>
      <c r="F7651" s="10">
        <f t="shared" si="1"/>
        <v>1</v>
      </c>
      <c r="G7651" s="10">
        <f t="array" ref="G7651">index('Player ID'!C:C,match(E7651,'Player ID'!B:B,0))</f>
        <v>593576</v>
      </c>
    </row>
    <row r="7652">
      <c r="A7652" s="76">
        <v>45811.0</v>
      </c>
      <c r="B7652" s="1" t="s">
        <v>291</v>
      </c>
      <c r="C7652" s="1" t="s">
        <v>25</v>
      </c>
      <c r="D7652" s="1">
        <v>1.0</v>
      </c>
      <c r="E7652" s="1">
        <v>17968.0</v>
      </c>
      <c r="F7652" s="10">
        <f t="shared" si="1"/>
        <v>1</v>
      </c>
      <c r="G7652" s="10">
        <f t="array" ref="G7652">index('Player ID'!C:C,match(E7652,'Player ID'!B:B,0))</f>
        <v>656271</v>
      </c>
    </row>
    <row r="7653">
      <c r="A7653" s="76">
        <v>45811.0</v>
      </c>
      <c r="B7653" s="1" t="s">
        <v>250</v>
      </c>
      <c r="C7653" s="1" t="s">
        <v>22</v>
      </c>
      <c r="D7653" s="1">
        <v>1.0</v>
      </c>
      <c r="E7653" s="1">
        <v>20191.0</v>
      </c>
      <c r="F7653" s="10">
        <f t="shared" si="1"/>
        <v>1</v>
      </c>
      <c r="G7653" s="10">
        <f t="array" ref="G7653">index('Player ID'!C:C,match(E7653,'Player ID'!B:B,0))</f>
        <v>676477</v>
      </c>
    </row>
    <row r="7654">
      <c r="A7654" s="76">
        <v>45811.0</v>
      </c>
      <c r="B7654" s="1" t="s">
        <v>134</v>
      </c>
      <c r="C7654" s="1" t="s">
        <v>22</v>
      </c>
      <c r="D7654" s="1">
        <v>1.0</v>
      </c>
      <c r="E7654" s="1">
        <v>20349.0</v>
      </c>
      <c r="F7654" s="10">
        <f t="shared" si="1"/>
        <v>1</v>
      </c>
      <c r="G7654" s="10">
        <f t="array" ref="G7654">index('Player ID'!C:C,match(E7654,'Player ID'!B:B,0))</f>
        <v>677161</v>
      </c>
    </row>
    <row r="7655">
      <c r="A7655" s="76">
        <v>45811.0</v>
      </c>
      <c r="B7655" s="1" t="s">
        <v>406</v>
      </c>
      <c r="C7655" s="1" t="s">
        <v>22</v>
      </c>
      <c r="D7655" s="1">
        <v>1.0</v>
      </c>
      <c r="E7655" s="1">
        <v>20375.0</v>
      </c>
      <c r="F7655" s="10">
        <f t="shared" si="1"/>
        <v>1</v>
      </c>
      <c r="G7655" s="10">
        <f t="array" ref="G7655">index('Player ID'!C:C,match(E7655,'Player ID'!B:B,0))</f>
        <v>669711</v>
      </c>
    </row>
    <row r="7656">
      <c r="A7656" s="76">
        <v>45811.0</v>
      </c>
      <c r="B7656" s="1" t="s">
        <v>232</v>
      </c>
      <c r="C7656" s="1" t="s">
        <v>25</v>
      </c>
      <c r="D7656" s="1">
        <v>5.0</v>
      </c>
      <c r="E7656" s="1">
        <v>20633.0</v>
      </c>
      <c r="F7656" s="10">
        <f t="shared" si="1"/>
        <v>5</v>
      </c>
      <c r="G7656" s="10">
        <f t="array" ref="G7656">index('Player ID'!C:C,match(E7656,'Player ID'!B:B,0))</f>
        <v>579328</v>
      </c>
    </row>
    <row r="7657">
      <c r="A7657" s="76">
        <v>45811.0</v>
      </c>
      <c r="B7657" s="1" t="s">
        <v>283</v>
      </c>
      <c r="C7657" s="1" t="s">
        <v>25</v>
      </c>
      <c r="D7657" s="1">
        <v>1.0</v>
      </c>
      <c r="E7657" s="1">
        <v>21205.0</v>
      </c>
      <c r="F7657" s="10">
        <f t="shared" si="1"/>
        <v>1</v>
      </c>
      <c r="G7657" s="10">
        <f t="array" ref="G7657">index('Player ID'!C:C,match(E7657,'Player ID'!B:B,0))</f>
        <v>641401</v>
      </c>
    </row>
    <row r="7658">
      <c r="A7658" s="76">
        <v>45811.0</v>
      </c>
      <c r="B7658" s="1" t="s">
        <v>410</v>
      </c>
      <c r="C7658" s="1" t="s">
        <v>22</v>
      </c>
      <c r="D7658" s="1">
        <v>6.0</v>
      </c>
      <c r="E7658" s="1">
        <v>23920.0</v>
      </c>
      <c r="F7658" s="10">
        <f t="shared" si="1"/>
        <v>6</v>
      </c>
      <c r="G7658" s="10">
        <f t="array" ref="G7658">index('Player ID'!C:C,match(E7658,'Player ID'!B:B,0))</f>
        <v>678394</v>
      </c>
    </row>
    <row r="7659">
      <c r="A7659" s="76">
        <v>45811.0</v>
      </c>
      <c r="B7659" s="1" t="s">
        <v>24</v>
      </c>
      <c r="C7659" s="1" t="s">
        <v>25</v>
      </c>
      <c r="D7659" s="1">
        <v>1.0</v>
      </c>
      <c r="E7659" s="1">
        <v>27468.0</v>
      </c>
      <c r="F7659" s="10">
        <f t="shared" si="1"/>
        <v>1</v>
      </c>
      <c r="G7659" s="10">
        <f t="array" ref="G7659">index('Player ID'!C:C,match(E7659,'Player ID'!B:B,0))</f>
        <v>672282</v>
      </c>
    </row>
    <row r="7660">
      <c r="A7660" s="76">
        <v>45811.0</v>
      </c>
      <c r="B7660" s="1" t="s">
        <v>651</v>
      </c>
      <c r="C7660" s="1" t="s">
        <v>66</v>
      </c>
      <c r="D7660" s="1">
        <v>1.0</v>
      </c>
      <c r="E7660" s="1">
        <v>14771.0</v>
      </c>
      <c r="F7660" s="10">
        <f t="shared" si="1"/>
        <v>1</v>
      </c>
      <c r="G7660" s="10">
        <f t="array" ref="G7660">index('Player ID'!C:C,match(E7660,'Player ID'!B:B,0))</f>
        <v>641941</v>
      </c>
    </row>
    <row r="7661">
      <c r="A7661" s="76">
        <v>45811.0</v>
      </c>
      <c r="B7661" s="1" t="s">
        <v>475</v>
      </c>
      <c r="C7661" s="1" t="s">
        <v>66</v>
      </c>
      <c r="D7661" s="1">
        <v>1.0</v>
      </c>
      <c r="E7661" s="1">
        <v>14993.0</v>
      </c>
      <c r="F7661" s="10">
        <f t="shared" si="1"/>
        <v>1</v>
      </c>
      <c r="G7661" s="10">
        <f t="array" ref="G7661">index('Player ID'!C:C,match(E7661,'Player ID'!B:B,0))</f>
        <v>605130</v>
      </c>
    </row>
    <row r="7662">
      <c r="A7662" s="76">
        <v>45811.0</v>
      </c>
      <c r="B7662" s="1" t="s">
        <v>724</v>
      </c>
      <c r="C7662" s="1" t="s">
        <v>14</v>
      </c>
      <c r="D7662" s="1">
        <v>0.2</v>
      </c>
      <c r="E7662" s="1">
        <v>15094.0</v>
      </c>
      <c r="F7662" s="10">
        <f t="shared" si="1"/>
        <v>0.6666666667</v>
      </c>
      <c r="G7662" s="10">
        <f t="array" ref="G7662">index('Player ID'!C:C,match(E7662,'Player ID'!B:B,0))</f>
        <v>642239</v>
      </c>
    </row>
    <row r="7663">
      <c r="A7663" s="76">
        <v>45811.0</v>
      </c>
      <c r="B7663" s="1" t="s">
        <v>180</v>
      </c>
      <c r="C7663" s="1" t="s">
        <v>14</v>
      </c>
      <c r="D7663" s="1">
        <v>6.0</v>
      </c>
      <c r="E7663" s="1">
        <v>18679.0</v>
      </c>
      <c r="F7663" s="10">
        <f t="shared" si="1"/>
        <v>6</v>
      </c>
      <c r="G7663" s="10">
        <f t="array" ref="G7663">index('Player ID'!C:C,match(E7663,'Player ID'!B:B,0))</f>
        <v>642547</v>
      </c>
    </row>
    <row r="7664">
      <c r="A7664" s="76">
        <v>45811.0</v>
      </c>
      <c r="B7664" s="1" t="s">
        <v>345</v>
      </c>
      <c r="C7664" s="1" t="s">
        <v>66</v>
      </c>
      <c r="D7664" s="1">
        <v>0.2</v>
      </c>
      <c r="E7664" s="1">
        <v>19926.0</v>
      </c>
      <c r="F7664" s="10">
        <f t="shared" si="1"/>
        <v>0.6666666667</v>
      </c>
      <c r="G7664" s="10">
        <f t="array" ref="G7664">index('Player ID'!C:C,match(E7664,'Player ID'!B:B,0))</f>
        <v>663574</v>
      </c>
    </row>
    <row r="7665">
      <c r="A7665" s="76">
        <v>45811.0</v>
      </c>
      <c r="B7665" s="1" t="s">
        <v>318</v>
      </c>
      <c r="C7665" s="1" t="s">
        <v>14</v>
      </c>
      <c r="D7665" s="1">
        <v>1.1</v>
      </c>
      <c r="E7665" s="1">
        <v>20546.0</v>
      </c>
      <c r="F7665" s="10">
        <f t="shared" si="1"/>
        <v>1.333333333</v>
      </c>
      <c r="G7665" s="10">
        <f t="array" ref="G7665">index('Player ID'!C:C,match(E7665,'Player ID'!B:B,0))</f>
        <v>681982</v>
      </c>
    </row>
    <row r="7666">
      <c r="A7666" s="76">
        <v>45811.0</v>
      </c>
      <c r="B7666" s="1" t="s">
        <v>73</v>
      </c>
      <c r="C7666" s="1" t="s">
        <v>66</v>
      </c>
      <c r="D7666" s="1">
        <v>5.0</v>
      </c>
      <c r="E7666" s="1">
        <v>22182.0</v>
      </c>
      <c r="F7666" s="10">
        <f t="shared" si="1"/>
        <v>5</v>
      </c>
      <c r="G7666" s="10">
        <f t="array" ref="G7666">index('Player ID'!C:C,match(E7666,'Player ID'!B:B,0))</f>
        <v>668881</v>
      </c>
    </row>
    <row r="7667">
      <c r="A7667" s="76">
        <v>45811.0</v>
      </c>
      <c r="B7667" s="1" t="s">
        <v>211</v>
      </c>
      <c r="C7667" s="1" t="s">
        <v>66</v>
      </c>
      <c r="D7667" s="1">
        <v>1.1</v>
      </c>
      <c r="E7667" s="1">
        <v>27552.0</v>
      </c>
      <c r="F7667" s="10">
        <f t="shared" si="1"/>
        <v>1.333333333</v>
      </c>
      <c r="G7667" s="10">
        <f t="array" ref="G7667">index('Player ID'!C:C,match(E7667,'Player ID'!B:B,0))</f>
        <v>668933</v>
      </c>
    </row>
    <row r="7668">
      <c r="A7668" s="76">
        <v>45811.0</v>
      </c>
      <c r="B7668" s="1" t="s">
        <v>103</v>
      </c>
      <c r="C7668" s="1" t="s">
        <v>64</v>
      </c>
      <c r="D7668" s="1">
        <v>1.0</v>
      </c>
      <c r="E7668" s="1">
        <v>10197.0</v>
      </c>
      <c r="F7668" s="10">
        <f t="shared" si="1"/>
        <v>1</v>
      </c>
      <c r="G7668" s="10">
        <f t="array" ref="G7668">index('Player ID'!C:C,match(E7668,'Player ID'!B:B,0))</f>
        <v>571946</v>
      </c>
    </row>
    <row r="7669">
      <c r="A7669" s="76">
        <v>45811.0</v>
      </c>
      <c r="B7669" s="1" t="s">
        <v>326</v>
      </c>
      <c r="C7669" s="1" t="s">
        <v>46</v>
      </c>
      <c r="D7669" s="1">
        <v>1.2</v>
      </c>
      <c r="E7669" s="1">
        <v>12760.0</v>
      </c>
      <c r="F7669" s="10">
        <f t="shared" si="1"/>
        <v>1.666666667</v>
      </c>
      <c r="G7669" s="10">
        <f t="array" ref="G7669">index('Player ID'!C:C,match(E7669,'Player ID'!B:B,0))</f>
        <v>606160</v>
      </c>
    </row>
    <row r="7670">
      <c r="A7670" s="76">
        <v>45811.0</v>
      </c>
      <c r="B7670" s="1" t="s">
        <v>178</v>
      </c>
      <c r="C7670" s="1" t="s">
        <v>46</v>
      </c>
      <c r="D7670" s="1">
        <v>1.0</v>
      </c>
      <c r="E7670" s="1">
        <v>13435.0</v>
      </c>
      <c r="F7670" s="10">
        <f t="shared" si="1"/>
        <v>1</v>
      </c>
      <c r="G7670" s="10">
        <f t="array" ref="G7670">index('Player ID'!C:C,match(E7670,'Player ID'!B:B,0))</f>
        <v>572955</v>
      </c>
    </row>
    <row r="7671">
      <c r="A7671" s="76">
        <v>45811.0</v>
      </c>
      <c r="B7671" s="1" t="s">
        <v>233</v>
      </c>
      <c r="C7671" s="1" t="s">
        <v>46</v>
      </c>
      <c r="D7671" s="1">
        <v>0.1</v>
      </c>
      <c r="E7671" s="1">
        <v>16427.0</v>
      </c>
      <c r="F7671" s="10">
        <f t="shared" si="1"/>
        <v>0.3333333333</v>
      </c>
      <c r="G7671" s="10">
        <f t="array" ref="G7671">index('Player ID'!C:C,match(E7671,'Player ID'!B:B,0))</f>
        <v>656240</v>
      </c>
    </row>
    <row r="7672">
      <c r="A7672" s="76">
        <v>45811.0</v>
      </c>
      <c r="B7672" s="1" t="s">
        <v>219</v>
      </c>
      <c r="C7672" s="1" t="s">
        <v>64</v>
      </c>
      <c r="D7672" s="1">
        <v>1.0</v>
      </c>
      <c r="E7672" s="1">
        <v>16647.0</v>
      </c>
      <c r="F7672" s="10">
        <f t="shared" si="1"/>
        <v>1</v>
      </c>
      <c r="G7672" s="10">
        <f t="array" ref="G7672">index('Player ID'!C:C,match(E7672,'Player ID'!B:B,0))</f>
        <v>657044</v>
      </c>
    </row>
    <row r="7673">
      <c r="A7673" s="76">
        <v>45811.0</v>
      </c>
      <c r="B7673" s="1" t="s">
        <v>346</v>
      </c>
      <c r="C7673" s="1" t="s">
        <v>46</v>
      </c>
      <c r="D7673" s="1">
        <v>1.0</v>
      </c>
      <c r="E7673" s="1">
        <v>18403.0</v>
      </c>
      <c r="F7673" s="10">
        <f t="shared" si="1"/>
        <v>1</v>
      </c>
      <c r="G7673" s="10">
        <f t="array" ref="G7673">index('Player ID'!C:C,match(E7673,'Player ID'!B:B,0))</f>
        <v>660853</v>
      </c>
    </row>
    <row r="7674">
      <c r="A7674" s="76">
        <v>45811.0</v>
      </c>
      <c r="B7674" s="1" t="s">
        <v>195</v>
      </c>
      <c r="C7674" s="1" t="s">
        <v>64</v>
      </c>
      <c r="D7674" s="1">
        <v>7.0</v>
      </c>
      <c r="E7674" s="1">
        <v>19291.0</v>
      </c>
      <c r="F7674" s="10">
        <f t="shared" si="1"/>
        <v>7</v>
      </c>
      <c r="G7674" s="10">
        <f t="array" ref="G7674">index('Player ID'!C:C,match(E7674,'Player ID'!B:B,0))</f>
        <v>668678</v>
      </c>
    </row>
    <row r="7675">
      <c r="A7675" s="76">
        <v>45811.0</v>
      </c>
      <c r="B7675" s="1" t="s">
        <v>472</v>
      </c>
      <c r="C7675" s="1" t="s">
        <v>46</v>
      </c>
      <c r="D7675" s="1">
        <v>5.0</v>
      </c>
      <c r="E7675" s="1">
        <v>27498.0</v>
      </c>
      <c r="F7675" s="10">
        <f t="shared" si="1"/>
        <v>5</v>
      </c>
      <c r="G7675" s="10">
        <f t="array" ref="G7675">index('Player ID'!C:C,match(E7675,'Player ID'!B:B,0))</f>
        <v>675911</v>
      </c>
    </row>
    <row r="7676">
      <c r="A7676" s="76">
        <v>45811.0</v>
      </c>
      <c r="B7676" s="1" t="s">
        <v>55</v>
      </c>
      <c r="C7676" s="1" t="s">
        <v>56</v>
      </c>
      <c r="D7676" s="1">
        <v>5.1</v>
      </c>
      <c r="E7676" s="1">
        <v>16358.0</v>
      </c>
      <c r="F7676" s="10">
        <f t="shared" si="1"/>
        <v>5.333333333</v>
      </c>
      <c r="G7676" s="10">
        <f t="array" ref="G7676">index('Player ID'!C:C,match(E7676,'Player ID'!B:B,0))</f>
        <v>641816</v>
      </c>
    </row>
    <row r="7677">
      <c r="A7677" s="76">
        <v>45811.0</v>
      </c>
      <c r="B7677" s="1" t="s">
        <v>185</v>
      </c>
      <c r="C7677" s="1" t="s">
        <v>54</v>
      </c>
      <c r="D7677" s="1">
        <v>1.0</v>
      </c>
      <c r="E7677" s="1">
        <v>17897.0</v>
      </c>
      <c r="F7677" s="10">
        <f t="shared" si="1"/>
        <v>1</v>
      </c>
      <c r="G7677" s="10">
        <f t="array" ref="G7677">index('Player ID'!C:C,match(E7677,'Player ID'!B:B,0))</f>
        <v>664076</v>
      </c>
    </row>
    <row r="7678">
      <c r="A7678" s="76">
        <v>45811.0</v>
      </c>
      <c r="B7678" s="1" t="s">
        <v>261</v>
      </c>
      <c r="C7678" s="1" t="s">
        <v>54</v>
      </c>
      <c r="D7678" s="1">
        <v>1.0</v>
      </c>
      <c r="E7678" s="1">
        <v>17998.0</v>
      </c>
      <c r="F7678" s="10">
        <f t="shared" si="1"/>
        <v>1</v>
      </c>
      <c r="G7678" s="10">
        <f t="array" ref="G7678">index('Player ID'!C:C,match(E7678,'Player ID'!B:B,0))</f>
        <v>664126</v>
      </c>
    </row>
    <row r="7679">
      <c r="A7679" s="76">
        <v>45811.0</v>
      </c>
      <c r="B7679" s="1" t="s">
        <v>400</v>
      </c>
      <c r="C7679" s="1" t="s">
        <v>54</v>
      </c>
      <c r="D7679" s="1">
        <v>0.1</v>
      </c>
      <c r="E7679" s="1">
        <v>20539.0</v>
      </c>
      <c r="F7679" s="10">
        <f t="shared" si="1"/>
        <v>0.3333333333</v>
      </c>
      <c r="G7679" s="10">
        <f t="array" ref="G7679">index('Player ID'!C:C,match(E7679,'Player ID'!B:B,0))</f>
        <v>670955</v>
      </c>
    </row>
    <row r="7680">
      <c r="A7680" s="76">
        <v>45811.0</v>
      </c>
      <c r="B7680" s="1" t="s">
        <v>111</v>
      </c>
      <c r="C7680" s="1" t="s">
        <v>56</v>
      </c>
      <c r="D7680" s="1">
        <v>1.1</v>
      </c>
      <c r="E7680" s="1">
        <v>21306.0</v>
      </c>
      <c r="F7680" s="10">
        <f t="shared" si="1"/>
        <v>1.333333333</v>
      </c>
      <c r="G7680" s="10">
        <f t="array" ref="G7680">index('Player ID'!C:C,match(E7680,'Player ID'!B:B,0))</f>
        <v>656641</v>
      </c>
    </row>
    <row r="7681">
      <c r="A7681" s="76">
        <v>45811.0</v>
      </c>
      <c r="B7681" s="1" t="s">
        <v>861</v>
      </c>
      <c r="C7681" s="1" t="s">
        <v>56</v>
      </c>
      <c r="D7681" s="1">
        <v>1.1</v>
      </c>
      <c r="E7681" s="1">
        <v>23293.0</v>
      </c>
      <c r="F7681" s="10">
        <f t="shared" si="1"/>
        <v>1.333333333</v>
      </c>
      <c r="G7681" s="10" t="str">
        <f t="array" ref="G7681">index('Player ID'!C:C,match(E7681,'Player ID'!B:B,0))</f>
        <v>#N/A</v>
      </c>
    </row>
    <row r="7682">
      <c r="A7682" s="76">
        <v>45811.0</v>
      </c>
      <c r="B7682" s="1" t="s">
        <v>97</v>
      </c>
      <c r="C7682" s="1" t="s">
        <v>54</v>
      </c>
      <c r="D7682" s="1">
        <v>5.0</v>
      </c>
      <c r="E7682" s="1">
        <v>25385.0</v>
      </c>
      <c r="F7682" s="10">
        <f t="shared" si="1"/>
        <v>5</v>
      </c>
      <c r="G7682" s="10">
        <f t="array" ref="G7682">index('Player ID'!C:C,match(E7682,'Player ID'!B:B,0))</f>
        <v>656876</v>
      </c>
    </row>
    <row r="7683">
      <c r="A7683" s="76">
        <v>45811.0</v>
      </c>
      <c r="B7683" s="1" t="s">
        <v>110</v>
      </c>
      <c r="C7683" s="1" t="s">
        <v>54</v>
      </c>
      <c r="D7683" s="1">
        <v>1.0</v>
      </c>
      <c r="E7683" s="1">
        <v>25679.0</v>
      </c>
      <c r="F7683" s="10">
        <f t="shared" si="1"/>
        <v>1</v>
      </c>
      <c r="G7683" s="10">
        <f t="array" ref="G7683">index('Player ID'!C:C,match(E7683,'Player ID'!B:B,0))</f>
        <v>687330</v>
      </c>
    </row>
    <row r="7684">
      <c r="A7684" s="76">
        <v>45811.0</v>
      </c>
      <c r="B7684" s="1" t="s">
        <v>334</v>
      </c>
      <c r="C7684" s="1" t="s">
        <v>54</v>
      </c>
      <c r="D7684" s="1">
        <v>0.2</v>
      </c>
      <c r="E7684" s="1">
        <v>29770.0</v>
      </c>
      <c r="F7684" s="10">
        <f t="shared" si="1"/>
        <v>0.6666666667</v>
      </c>
      <c r="G7684" s="10">
        <f t="array" ref="G7684">index('Player ID'!C:C,match(E7684,'Player ID'!B:B,0))</f>
        <v>682254</v>
      </c>
    </row>
    <row r="7685">
      <c r="A7685" s="76">
        <v>45811.0</v>
      </c>
      <c r="B7685" s="1" t="s">
        <v>252</v>
      </c>
      <c r="C7685" s="1" t="s">
        <v>78</v>
      </c>
      <c r="D7685" s="1">
        <v>0.2</v>
      </c>
      <c r="E7685" s="1">
        <v>16061.0</v>
      </c>
      <c r="F7685" s="10">
        <f t="shared" si="1"/>
        <v>0.6666666667</v>
      </c>
      <c r="G7685" s="10">
        <f t="array" ref="G7685">index('Player ID'!C:C,match(E7685,'Player ID'!B:B,0))</f>
        <v>592155</v>
      </c>
    </row>
    <row r="7686">
      <c r="A7686" s="76">
        <v>45811.0</v>
      </c>
      <c r="B7686" s="1" t="s">
        <v>851</v>
      </c>
      <c r="C7686" s="1" t="s">
        <v>78</v>
      </c>
      <c r="D7686" s="1">
        <v>1.0</v>
      </c>
      <c r="E7686" s="1">
        <v>16507.0</v>
      </c>
      <c r="F7686" s="10">
        <f t="shared" si="1"/>
        <v>1</v>
      </c>
      <c r="G7686" s="10" t="str">
        <f t="array" ref="G7686">index('Player ID'!C:C,match(E7686,'Player ID'!B:B,0))</f>
        <v>#N/A</v>
      </c>
    </row>
    <row r="7687">
      <c r="A7687" s="76">
        <v>45811.0</v>
      </c>
      <c r="B7687" s="1" t="s">
        <v>289</v>
      </c>
      <c r="C7687" s="1" t="s">
        <v>62</v>
      </c>
      <c r="D7687" s="1">
        <v>1.2</v>
      </c>
      <c r="E7687" s="1">
        <v>22304.0</v>
      </c>
      <c r="F7687" s="10">
        <f t="shared" si="1"/>
        <v>1.666666667</v>
      </c>
      <c r="G7687" s="10">
        <f t="array" ref="G7687">index('Player ID'!C:C,match(E7687,'Player ID'!B:B,0))</f>
        <v>669724</v>
      </c>
    </row>
    <row r="7688">
      <c r="A7688" s="76">
        <v>45811.0</v>
      </c>
      <c r="B7688" s="1" t="s">
        <v>667</v>
      </c>
      <c r="C7688" s="1" t="s">
        <v>62</v>
      </c>
      <c r="D7688" s="1">
        <v>1.1</v>
      </c>
      <c r="E7688" s="1">
        <v>26079.0</v>
      </c>
      <c r="F7688" s="10">
        <f t="shared" si="1"/>
        <v>1.333333333</v>
      </c>
      <c r="G7688" s="10">
        <f t="array" ref="G7688">index('Player ID'!C:C,match(E7688,'Player ID'!B:B,0))</f>
        <v>689225</v>
      </c>
    </row>
    <row r="7689">
      <c r="A7689" s="76">
        <v>45811.0</v>
      </c>
      <c r="B7689" s="1" t="s">
        <v>82</v>
      </c>
      <c r="C7689" s="1" t="s">
        <v>62</v>
      </c>
      <c r="D7689" s="1">
        <v>1.0</v>
      </c>
      <c r="E7689" s="1">
        <v>26231.0</v>
      </c>
      <c r="F7689" s="10">
        <f t="shared" si="1"/>
        <v>1</v>
      </c>
      <c r="G7689" s="10">
        <f t="array" ref="G7689">index('Player ID'!C:C,match(E7689,'Player ID'!B:B,0))</f>
        <v>663947</v>
      </c>
    </row>
    <row r="7690">
      <c r="A7690" s="76">
        <v>45811.0</v>
      </c>
      <c r="B7690" s="1" t="s">
        <v>367</v>
      </c>
      <c r="C7690" s="1" t="s">
        <v>78</v>
      </c>
      <c r="D7690" s="1">
        <v>1.0</v>
      </c>
      <c r="E7690" s="1">
        <v>27668.0</v>
      </c>
      <c r="F7690" s="10">
        <f t="shared" si="1"/>
        <v>1</v>
      </c>
      <c r="G7690" s="10">
        <f t="array" ref="G7690">index('Player ID'!C:C,match(E7690,'Player ID'!B:B,0))</f>
        <v>685126</v>
      </c>
    </row>
    <row r="7691">
      <c r="A7691" s="76">
        <v>45811.0</v>
      </c>
      <c r="B7691" s="1" t="s">
        <v>160</v>
      </c>
      <c r="C7691" s="1" t="s">
        <v>62</v>
      </c>
      <c r="D7691" s="1">
        <v>1.0</v>
      </c>
      <c r="E7691" s="1">
        <v>29574.0</v>
      </c>
      <c r="F7691" s="10">
        <f t="shared" si="1"/>
        <v>1</v>
      </c>
      <c r="G7691" s="10">
        <f t="array" ref="G7691">index('Player ID'!C:C,match(E7691,'Player ID'!B:B,0))</f>
        <v>695445</v>
      </c>
    </row>
    <row r="7692">
      <c r="A7692" s="76">
        <v>45811.0</v>
      </c>
      <c r="B7692" s="1" t="s">
        <v>317</v>
      </c>
      <c r="C7692" s="1" t="s">
        <v>78</v>
      </c>
      <c r="D7692" s="1">
        <v>1.0</v>
      </c>
      <c r="E7692" s="1">
        <v>29950.0</v>
      </c>
      <c r="F7692" s="10">
        <f t="shared" si="1"/>
        <v>1</v>
      </c>
      <c r="G7692" s="10">
        <f t="array" ref="G7692">index('Player ID'!C:C,match(E7692,'Player ID'!B:B,0))</f>
        <v>673929</v>
      </c>
    </row>
    <row r="7693">
      <c r="A7693" s="76">
        <v>45811.0</v>
      </c>
      <c r="B7693" s="1" t="s">
        <v>487</v>
      </c>
      <c r="C7693" s="1" t="s">
        <v>62</v>
      </c>
      <c r="D7693" s="1">
        <v>2.0</v>
      </c>
      <c r="E7693" s="1">
        <v>30133.0</v>
      </c>
      <c r="F7693" s="10">
        <f t="shared" si="1"/>
        <v>2</v>
      </c>
      <c r="G7693" s="10">
        <f t="array" ref="G7693">index('Player ID'!C:C,match(E7693,'Player ID'!B:B,0))</f>
        <v>676428</v>
      </c>
    </row>
    <row r="7694">
      <c r="A7694" s="76">
        <v>45811.0</v>
      </c>
      <c r="B7694" s="1" t="s">
        <v>860</v>
      </c>
      <c r="C7694" s="1" t="s">
        <v>62</v>
      </c>
      <c r="D7694" s="1">
        <v>1.0</v>
      </c>
      <c r="E7694" s="1">
        <v>30145.0</v>
      </c>
      <c r="F7694" s="10">
        <f t="shared" si="1"/>
        <v>1</v>
      </c>
      <c r="G7694" s="10" t="str">
        <f t="array" ref="G7694">index('Player ID'!C:C,match(E7694,'Player ID'!B:B,0))</f>
        <v>#N/A</v>
      </c>
    </row>
    <row r="7695">
      <c r="A7695" s="76">
        <v>45811.0</v>
      </c>
      <c r="B7695" s="1" t="s">
        <v>470</v>
      </c>
      <c r="C7695" s="1" t="s">
        <v>78</v>
      </c>
      <c r="D7695" s="1">
        <v>5.1</v>
      </c>
      <c r="E7695" s="1">
        <v>31687.0</v>
      </c>
      <c r="F7695" s="10">
        <f t="shared" si="1"/>
        <v>5.333333333</v>
      </c>
      <c r="G7695" s="10">
        <f t="array" ref="G7695">index('Player ID'!C:C,match(E7695,'Player ID'!B:B,0))</f>
        <v>681343</v>
      </c>
    </row>
    <row r="7696">
      <c r="A7696" s="76">
        <v>45811.0</v>
      </c>
      <c r="B7696" s="1" t="s">
        <v>83</v>
      </c>
      <c r="C7696" s="1" t="s">
        <v>72</v>
      </c>
      <c r="D7696" s="1">
        <v>1.1</v>
      </c>
      <c r="E7696" s="1">
        <v>13361.0</v>
      </c>
      <c r="F7696" s="10">
        <f t="shared" si="1"/>
        <v>1.333333333</v>
      </c>
      <c r="G7696" s="10">
        <f t="array" ref="G7696">index('Player ID'!C:C,match(E7696,'Player ID'!B:B,0))</f>
        <v>571927</v>
      </c>
    </row>
    <row r="7697">
      <c r="A7697" s="76">
        <v>45811.0</v>
      </c>
      <c r="B7697" s="1" t="s">
        <v>649</v>
      </c>
      <c r="C7697" s="1" t="s">
        <v>29</v>
      </c>
      <c r="D7697" s="1">
        <v>1.0</v>
      </c>
      <c r="E7697" s="1">
        <v>14542.0</v>
      </c>
      <c r="F7697" s="10">
        <f t="shared" si="1"/>
        <v>1</v>
      </c>
      <c r="G7697" s="10">
        <f t="array" ref="G7697">index('Player ID'!C:C,match(E7697,'Player ID'!B:B,0))</f>
        <v>608032</v>
      </c>
    </row>
    <row r="7698">
      <c r="A7698" s="76">
        <v>45811.0</v>
      </c>
      <c r="B7698" s="1" t="s">
        <v>420</v>
      </c>
      <c r="C7698" s="1" t="s">
        <v>29</v>
      </c>
      <c r="D7698" s="1">
        <v>2.2</v>
      </c>
      <c r="E7698" s="1">
        <v>14843.0</v>
      </c>
      <c r="F7698" s="10">
        <f t="shared" si="1"/>
        <v>2.666666667</v>
      </c>
      <c r="G7698" s="10">
        <f t="array" ref="G7698">index('Player ID'!C:C,match(E7698,'Player ID'!B:B,0))</f>
        <v>547179</v>
      </c>
    </row>
    <row r="7699">
      <c r="A7699" s="76">
        <v>45811.0</v>
      </c>
      <c r="B7699" s="1" t="s">
        <v>199</v>
      </c>
      <c r="C7699" s="1" t="s">
        <v>29</v>
      </c>
      <c r="D7699" s="1">
        <v>1.0</v>
      </c>
      <c r="E7699" s="1">
        <v>17611.0</v>
      </c>
      <c r="F7699" s="10">
        <f t="shared" si="1"/>
        <v>1</v>
      </c>
      <c r="G7699" s="10">
        <f t="array" ref="G7699">index('Player ID'!C:C,match(E7699,'Player ID'!B:B,0))</f>
        <v>664199</v>
      </c>
    </row>
    <row r="7700">
      <c r="A7700" s="76">
        <v>45811.0</v>
      </c>
      <c r="B7700" s="1" t="s">
        <v>144</v>
      </c>
      <c r="C7700" s="1" t="s">
        <v>29</v>
      </c>
      <c r="D7700" s="1">
        <v>1.1</v>
      </c>
      <c r="E7700" s="1">
        <v>20020.0</v>
      </c>
      <c r="F7700" s="10">
        <f t="shared" si="1"/>
        <v>1.333333333</v>
      </c>
      <c r="G7700" s="10">
        <f t="array" ref="G7700">index('Player ID'!C:C,match(E7700,'Player ID'!B:B,0))</f>
        <v>670167</v>
      </c>
    </row>
    <row r="7701">
      <c r="A7701" s="76">
        <v>45811.0</v>
      </c>
      <c r="B7701" s="1" t="s">
        <v>293</v>
      </c>
      <c r="C7701" s="1" t="s">
        <v>29</v>
      </c>
      <c r="D7701" s="1">
        <v>0.2</v>
      </c>
      <c r="E7701" s="1">
        <v>21537.0</v>
      </c>
      <c r="F7701" s="10">
        <f t="shared" si="1"/>
        <v>0.6666666667</v>
      </c>
      <c r="G7701" s="10">
        <f t="array" ref="G7701">index('Player ID'!C:C,match(E7701,'Player ID'!B:B,0))</f>
        <v>663738</v>
      </c>
    </row>
    <row r="7702">
      <c r="A7702" s="76">
        <v>45811.0</v>
      </c>
      <c r="B7702" s="1" t="s">
        <v>273</v>
      </c>
      <c r="C7702" s="1" t="s">
        <v>72</v>
      </c>
      <c r="D7702" s="1">
        <v>1.0</v>
      </c>
      <c r="E7702" s="1">
        <v>22051.0</v>
      </c>
      <c r="F7702" s="10">
        <f t="shared" si="1"/>
        <v>1</v>
      </c>
      <c r="G7702" s="10">
        <f t="array" ref="G7702">index('Player ID'!C:C,match(E7702,'Player ID'!B:B,0))</f>
        <v>667463</v>
      </c>
    </row>
    <row r="7703">
      <c r="A7703" s="76">
        <v>45811.0</v>
      </c>
      <c r="B7703" s="1" t="s">
        <v>140</v>
      </c>
      <c r="C7703" s="1" t="s">
        <v>29</v>
      </c>
      <c r="D7703" s="1">
        <v>0.2</v>
      </c>
      <c r="E7703" s="1">
        <v>22717.0</v>
      </c>
      <c r="F7703" s="10">
        <f t="shared" si="1"/>
        <v>0.6666666667</v>
      </c>
      <c r="G7703" s="10">
        <f t="array" ref="G7703">index('Player ID'!C:C,match(E7703,'Player ID'!B:B,0))</f>
        <v>672582</v>
      </c>
    </row>
    <row r="7704">
      <c r="A7704" s="76">
        <v>45811.0</v>
      </c>
      <c r="B7704" s="1" t="s">
        <v>214</v>
      </c>
      <c r="C7704" s="1" t="s">
        <v>29</v>
      </c>
      <c r="D7704" s="1">
        <v>1.2</v>
      </c>
      <c r="E7704" s="1">
        <v>23165.0</v>
      </c>
      <c r="F7704" s="10">
        <f t="shared" si="1"/>
        <v>1.666666667</v>
      </c>
      <c r="G7704" s="10">
        <f t="array" ref="G7704">index('Player ID'!C:C,match(E7704,'Player ID'!B:B,0))</f>
        <v>674444</v>
      </c>
    </row>
    <row r="7705">
      <c r="A7705" s="76">
        <v>45811.0</v>
      </c>
      <c r="B7705" s="1" t="s">
        <v>170</v>
      </c>
      <c r="C7705" s="1" t="s">
        <v>72</v>
      </c>
      <c r="D7705" s="1">
        <v>0.2</v>
      </c>
      <c r="E7705" s="1">
        <v>24763.0</v>
      </c>
      <c r="F7705" s="10">
        <f t="shared" si="1"/>
        <v>0.6666666667</v>
      </c>
      <c r="G7705" s="10">
        <f t="array" ref="G7705">index('Player ID'!C:C,match(E7705,'Player ID'!B:B,0))</f>
        <v>681517</v>
      </c>
    </row>
    <row r="7706">
      <c r="A7706" s="76">
        <v>45811.0</v>
      </c>
      <c r="B7706" s="1" t="s">
        <v>432</v>
      </c>
      <c r="C7706" s="1" t="s">
        <v>72</v>
      </c>
      <c r="D7706" s="1">
        <v>4.1</v>
      </c>
      <c r="E7706" s="1">
        <v>26108.0</v>
      </c>
      <c r="F7706" s="10">
        <f t="shared" si="1"/>
        <v>4.333333333</v>
      </c>
      <c r="G7706" s="10">
        <f t="array" ref="G7706">index('Player ID'!C:C,match(E7706,'Player ID'!B:B,0))</f>
        <v>669467</v>
      </c>
    </row>
    <row r="7707">
      <c r="A7707" s="76">
        <v>45811.0</v>
      </c>
      <c r="B7707" s="1" t="s">
        <v>223</v>
      </c>
      <c r="C7707" s="1" t="s">
        <v>72</v>
      </c>
      <c r="D7707" s="1">
        <v>1.2</v>
      </c>
      <c r="E7707" s="1">
        <v>29629.0</v>
      </c>
      <c r="F7707" s="10">
        <f t="shared" si="1"/>
        <v>1.666666667</v>
      </c>
      <c r="G7707" s="10">
        <f t="array" ref="G7707">index('Player ID'!C:C,match(E7707,'Player ID'!B:B,0))</f>
        <v>694335</v>
      </c>
    </row>
    <row r="7708">
      <c r="A7708" s="76">
        <v>45811.0</v>
      </c>
      <c r="B7708" s="1" t="s">
        <v>240</v>
      </c>
      <c r="C7708" s="1" t="s">
        <v>68</v>
      </c>
      <c r="D7708" s="1">
        <v>1.0</v>
      </c>
      <c r="E7708" s="1">
        <v>19804.0</v>
      </c>
      <c r="F7708" s="10">
        <f t="shared" si="1"/>
        <v>1</v>
      </c>
      <c r="G7708" s="10">
        <f t="array" ref="G7708">index('Player ID'!C:C,match(E7708,'Player ID'!B:B,0))</f>
        <v>641329</v>
      </c>
    </row>
    <row r="7709">
      <c r="A7709" s="76">
        <v>45811.0</v>
      </c>
      <c r="B7709" s="1" t="s">
        <v>698</v>
      </c>
      <c r="C7709" s="1" t="s">
        <v>68</v>
      </c>
      <c r="D7709" s="1">
        <v>1.0</v>
      </c>
      <c r="E7709" s="1">
        <v>20666.0</v>
      </c>
      <c r="F7709" s="10">
        <f t="shared" si="1"/>
        <v>1</v>
      </c>
      <c r="G7709" s="10">
        <f t="array" ref="G7709">index('Player ID'!C:C,match(E7709,'Player ID'!B:B,0))</f>
        <v>642585</v>
      </c>
    </row>
    <row r="7710">
      <c r="A7710" s="76">
        <v>45811.0</v>
      </c>
      <c r="B7710" s="1" t="s">
        <v>157</v>
      </c>
      <c r="C7710" s="1" t="s">
        <v>37</v>
      </c>
      <c r="D7710" s="1">
        <v>1.0</v>
      </c>
      <c r="E7710" s="1">
        <v>20997.0</v>
      </c>
      <c r="F7710" s="10">
        <f t="shared" si="1"/>
        <v>1</v>
      </c>
      <c r="G7710" s="10">
        <f t="array" ref="G7710">index('Player ID'!C:C,match(E7710,'Player ID'!B:B,0))</f>
        <v>660825</v>
      </c>
    </row>
    <row r="7711">
      <c r="A7711" s="76">
        <v>45811.0</v>
      </c>
      <c r="B7711" s="1" t="s">
        <v>846</v>
      </c>
      <c r="C7711" s="1" t="s">
        <v>37</v>
      </c>
      <c r="D7711" s="1">
        <v>2.0</v>
      </c>
      <c r="E7711" s="1">
        <v>21549.0</v>
      </c>
      <c r="F7711" s="10">
        <f t="shared" si="1"/>
        <v>2</v>
      </c>
      <c r="G7711" s="10" t="str">
        <f t="array" ref="G7711">index('Player ID'!C:C,match(E7711,'Player ID'!B:B,0))</f>
        <v>#N/A</v>
      </c>
    </row>
    <row r="7712">
      <c r="A7712" s="76">
        <v>45811.0</v>
      </c>
      <c r="B7712" s="1" t="s">
        <v>683</v>
      </c>
      <c r="C7712" s="1" t="s">
        <v>37</v>
      </c>
      <c r="D7712" s="1">
        <v>1.0</v>
      </c>
      <c r="E7712" s="1">
        <v>23307.0</v>
      </c>
      <c r="F7712" s="10">
        <f t="shared" si="1"/>
        <v>1</v>
      </c>
      <c r="G7712" s="10">
        <f t="array" ref="G7712">index('Player ID'!C:C,match(E7712,'Player ID'!B:B,0))</f>
        <v>676092</v>
      </c>
    </row>
    <row r="7713">
      <c r="A7713" s="76">
        <v>45811.0</v>
      </c>
      <c r="B7713" s="1" t="s">
        <v>164</v>
      </c>
      <c r="C7713" s="1" t="s">
        <v>37</v>
      </c>
      <c r="D7713" s="1">
        <v>5.0</v>
      </c>
      <c r="E7713" s="1">
        <v>25436.0</v>
      </c>
      <c r="F7713" s="10">
        <f t="shared" si="1"/>
        <v>5</v>
      </c>
      <c r="G7713" s="10">
        <f t="array" ref="G7713">index('Player ID'!C:C,match(E7713,'Player ID'!B:B,0))</f>
        <v>669923</v>
      </c>
    </row>
    <row r="7714">
      <c r="A7714" s="76">
        <v>45811.0</v>
      </c>
      <c r="B7714" s="1" t="s">
        <v>158</v>
      </c>
      <c r="C7714" s="1" t="s">
        <v>68</v>
      </c>
      <c r="D7714" s="1">
        <v>7.0</v>
      </c>
      <c r="E7714" s="1">
        <v>35321.0</v>
      </c>
      <c r="F7714" s="10">
        <f t="shared" si="1"/>
        <v>7</v>
      </c>
      <c r="G7714" s="10">
        <f t="array" ref="G7714">index('Player ID'!C:C,match(E7714,'Player ID'!B:B,0))</f>
        <v>608372</v>
      </c>
    </row>
    <row r="7715">
      <c r="A7715" s="76">
        <v>45811.0</v>
      </c>
      <c r="B7715" s="1" t="s">
        <v>20</v>
      </c>
      <c r="C7715" s="1" t="s">
        <v>31</v>
      </c>
      <c r="D7715" s="1">
        <v>1.0</v>
      </c>
      <c r="E7715" s="1">
        <v>15541.0</v>
      </c>
      <c r="F7715" s="10">
        <f t="shared" si="1"/>
        <v>1</v>
      </c>
      <c r="G7715" s="10">
        <f t="array" ref="G7715">index('Player ID'!C:C,match(E7715,'Player ID'!B:B,0))</f>
        <v>643511</v>
      </c>
    </row>
    <row r="7716">
      <c r="A7716" s="76">
        <v>45811.0</v>
      </c>
      <c r="B7716" s="1" t="s">
        <v>304</v>
      </c>
      <c r="C7716" s="1" t="s">
        <v>31</v>
      </c>
      <c r="D7716" s="1">
        <v>1.0</v>
      </c>
      <c r="E7716" s="1">
        <v>21992.0</v>
      </c>
      <c r="F7716" s="10">
        <f t="shared" si="1"/>
        <v>1</v>
      </c>
      <c r="G7716" s="10">
        <f t="array" ref="G7716">index('Player ID'!C:C,match(E7716,'Player ID'!B:B,0))</f>
        <v>666808</v>
      </c>
    </row>
    <row r="7717">
      <c r="A7717" s="76">
        <v>45811.0</v>
      </c>
      <c r="B7717" s="1" t="s">
        <v>94</v>
      </c>
      <c r="C7717" s="1" t="s">
        <v>26</v>
      </c>
      <c r="D7717" s="1">
        <v>1.0</v>
      </c>
      <c r="E7717" s="1">
        <v>22210.0</v>
      </c>
      <c r="F7717" s="10">
        <f t="shared" si="1"/>
        <v>1</v>
      </c>
      <c r="G7717" s="10">
        <f t="array" ref="G7717">index('Player ID'!C:C,match(E7717,'Player ID'!B:B,0))</f>
        <v>669093</v>
      </c>
    </row>
    <row r="7718">
      <c r="A7718" s="76">
        <v>45811.0</v>
      </c>
      <c r="B7718" s="1" t="s">
        <v>797</v>
      </c>
      <c r="C7718" s="1" t="s">
        <v>26</v>
      </c>
      <c r="D7718" s="1">
        <v>3.0</v>
      </c>
      <c r="E7718" s="1">
        <v>22253.0</v>
      </c>
      <c r="F7718" s="10">
        <f t="shared" si="1"/>
        <v>3</v>
      </c>
      <c r="G7718" s="10">
        <f t="array" ref="G7718">index('Player ID'!C:C,match(E7718,'Player ID'!B:B,0))</f>
        <v>669308</v>
      </c>
    </row>
    <row r="7719">
      <c r="A7719" s="76">
        <v>45811.0</v>
      </c>
      <c r="B7719" s="1" t="s">
        <v>655</v>
      </c>
      <c r="C7719" s="1" t="s">
        <v>31</v>
      </c>
      <c r="D7719" s="1">
        <v>0.2</v>
      </c>
      <c r="E7719" s="1">
        <v>26252.0</v>
      </c>
      <c r="F7719" s="10">
        <f t="shared" si="1"/>
        <v>0.6666666667</v>
      </c>
      <c r="G7719" s="10">
        <f t="array" ref="G7719">index('Player ID'!C:C,match(E7719,'Player ID'!B:B,0))</f>
        <v>669062</v>
      </c>
    </row>
    <row r="7720">
      <c r="A7720" s="76">
        <v>45811.0</v>
      </c>
      <c r="B7720" s="1" t="s">
        <v>224</v>
      </c>
      <c r="C7720" s="1" t="s">
        <v>26</v>
      </c>
      <c r="D7720" s="1">
        <v>5.0</v>
      </c>
      <c r="E7720" s="1">
        <v>29863.0</v>
      </c>
      <c r="F7720" s="10">
        <f t="shared" si="1"/>
        <v>5</v>
      </c>
      <c r="G7720" s="10">
        <f t="array" ref="G7720">index('Player ID'!C:C,match(E7720,'Player ID'!B:B,0))</f>
        <v>686701</v>
      </c>
    </row>
    <row r="7721">
      <c r="A7721" s="76">
        <v>45811.0</v>
      </c>
      <c r="B7721" s="1" t="s">
        <v>209</v>
      </c>
      <c r="C7721" s="1" t="s">
        <v>31</v>
      </c>
      <c r="D7721" s="1">
        <v>6.1</v>
      </c>
      <c r="E7721" s="1">
        <v>30076.0</v>
      </c>
      <c r="F7721" s="10">
        <f t="shared" si="1"/>
        <v>6.333333333</v>
      </c>
      <c r="G7721" s="10">
        <f t="array" ref="G7721">index('Player ID'!C:C,match(E7721,'Player ID'!B:B,0))</f>
        <v>694738</v>
      </c>
    </row>
    <row r="7722">
      <c r="A7722" s="76">
        <v>45811.0</v>
      </c>
      <c r="B7722" s="1" t="s">
        <v>276</v>
      </c>
      <c r="C7722" s="1" t="s">
        <v>31</v>
      </c>
      <c r="D7722" s="1">
        <v>1.0</v>
      </c>
      <c r="E7722" s="1">
        <v>30226.0</v>
      </c>
      <c r="F7722" s="10">
        <f t="shared" si="1"/>
        <v>1</v>
      </c>
      <c r="G7722" s="10">
        <f t="array" ref="G7722">index('Player ID'!C:C,match(E7722,'Player ID'!B:B,0))</f>
        <v>702352</v>
      </c>
    </row>
    <row r="7723">
      <c r="A7723" s="76">
        <v>45811.0</v>
      </c>
      <c r="B7723" s="1" t="s">
        <v>284</v>
      </c>
      <c r="C7723" s="1" t="s">
        <v>26</v>
      </c>
      <c r="D7723" s="1">
        <v>1.0</v>
      </c>
      <c r="E7723" s="1">
        <v>33826.0</v>
      </c>
      <c r="F7723" s="10">
        <f t="shared" si="1"/>
        <v>1</v>
      </c>
      <c r="G7723" s="10">
        <f t="array" ref="G7723">index('Player ID'!C:C,match(E7723,'Player ID'!B:B,0))</f>
        <v>673513</v>
      </c>
    </row>
    <row r="7724">
      <c r="A7724" s="76">
        <v>45811.0</v>
      </c>
      <c r="B7724" s="1" t="s">
        <v>146</v>
      </c>
      <c r="C7724" s="1" t="s">
        <v>16</v>
      </c>
      <c r="D7724" s="1">
        <v>1.0</v>
      </c>
      <c r="E7724" s="1">
        <v>15145.0</v>
      </c>
      <c r="F7724" s="10">
        <f t="shared" si="1"/>
        <v>1</v>
      </c>
      <c r="G7724" s="10">
        <f t="array" ref="G7724">index('Player ID'!C:C,match(E7724,'Player ID'!B:B,0))</f>
        <v>623437</v>
      </c>
    </row>
    <row r="7725">
      <c r="A7725" s="76">
        <v>45811.0</v>
      </c>
      <c r="B7725" s="1" t="s">
        <v>664</v>
      </c>
      <c r="C7725" s="1" t="s">
        <v>16</v>
      </c>
      <c r="D7725" s="1">
        <v>5.0</v>
      </c>
      <c r="E7725" s="1">
        <v>17085.0</v>
      </c>
      <c r="F7725" s="10">
        <f t="shared" si="1"/>
        <v>5</v>
      </c>
      <c r="G7725" s="10">
        <f t="array" ref="G7725">index('Player ID'!C:C,match(E7725,'Player ID'!B:B,0))</f>
        <v>641154</v>
      </c>
    </row>
    <row r="7726">
      <c r="A7726" s="76">
        <v>45811.0</v>
      </c>
      <c r="B7726" s="1" t="s">
        <v>397</v>
      </c>
      <c r="C7726" s="1" t="s">
        <v>16</v>
      </c>
      <c r="D7726" s="1">
        <v>2.0</v>
      </c>
      <c r="E7726" s="1">
        <v>19459.0</v>
      </c>
      <c r="F7726" s="10">
        <f t="shared" si="1"/>
        <v>2</v>
      </c>
      <c r="G7726" s="10">
        <f t="array" ref="G7726">index('Player ID'!C:C,match(E7726,'Player ID'!B:B,0))</f>
        <v>660896</v>
      </c>
    </row>
    <row r="7727">
      <c r="A7727" s="76">
        <v>45811.0</v>
      </c>
      <c r="B7727" s="1" t="s">
        <v>505</v>
      </c>
      <c r="C7727" s="1" t="s">
        <v>52</v>
      </c>
      <c r="D7727" s="1">
        <v>0.2</v>
      </c>
      <c r="E7727" s="1">
        <v>19481.0</v>
      </c>
      <c r="F7727" s="10">
        <f t="shared" si="1"/>
        <v>0.6666666667</v>
      </c>
      <c r="G7727" s="10">
        <f t="array" ref="G7727">index('Player ID'!C:C,match(E7727,'Player ID'!B:B,0))</f>
        <v>621053</v>
      </c>
    </row>
    <row r="7728">
      <c r="A7728" s="76">
        <v>45811.0</v>
      </c>
      <c r="B7728" s="1" t="s">
        <v>237</v>
      </c>
      <c r="C7728" s="1" t="s">
        <v>16</v>
      </c>
      <c r="D7728" s="1">
        <v>1.0</v>
      </c>
      <c r="E7728" s="1">
        <v>21461.0</v>
      </c>
      <c r="F7728" s="10">
        <f t="shared" si="1"/>
        <v>1</v>
      </c>
      <c r="G7728" s="10">
        <f t="array" ref="G7728">index('Player ID'!C:C,match(E7728,'Player ID'!B:B,0))</f>
        <v>663485</v>
      </c>
    </row>
    <row r="7729">
      <c r="A7729" s="76">
        <v>45811.0</v>
      </c>
      <c r="B7729" s="1" t="s">
        <v>471</v>
      </c>
      <c r="C7729" s="1" t="s">
        <v>52</v>
      </c>
      <c r="D7729" s="1">
        <v>2.0</v>
      </c>
      <c r="E7729" s="1">
        <v>21662.0</v>
      </c>
      <c r="F7729" s="10">
        <f t="shared" si="1"/>
        <v>2</v>
      </c>
      <c r="G7729" s="10">
        <f t="array" ref="G7729">index('Player ID'!C:C,match(E7729,'Player ID'!B:B,0))</f>
        <v>665660</v>
      </c>
    </row>
    <row r="7730">
      <c r="A7730" s="76">
        <v>45811.0</v>
      </c>
      <c r="B7730" s="1" t="s">
        <v>454</v>
      </c>
      <c r="C7730" s="1" t="s">
        <v>52</v>
      </c>
      <c r="D7730" s="1">
        <v>0.2</v>
      </c>
      <c r="E7730" s="1">
        <v>23150.0</v>
      </c>
      <c r="F7730" s="10">
        <f t="shared" si="1"/>
        <v>0.6666666667</v>
      </c>
      <c r="G7730" s="10">
        <f t="array" ref="G7730">index('Player ID'!C:C,match(E7730,'Player ID'!B:B,0))</f>
        <v>674370</v>
      </c>
    </row>
    <row r="7731">
      <c r="A7731" s="76">
        <v>45811.0</v>
      </c>
      <c r="B7731" s="1" t="s">
        <v>389</v>
      </c>
      <c r="C7731" s="1" t="s">
        <v>52</v>
      </c>
      <c r="D7731" s="1">
        <v>4.1</v>
      </c>
      <c r="E7731" s="1">
        <v>25098.0</v>
      </c>
      <c r="F7731" s="10">
        <f t="shared" si="1"/>
        <v>4.333333333</v>
      </c>
      <c r="G7731" s="10">
        <f t="array" ref="G7731">index('Player ID'!C:C,match(E7731,'Player ID'!B:B,0))</f>
        <v>682052</v>
      </c>
    </row>
    <row r="7732">
      <c r="A7732" s="76">
        <v>45811.0</v>
      </c>
      <c r="B7732" s="1" t="s">
        <v>681</v>
      </c>
      <c r="C7732" s="1" t="s">
        <v>52</v>
      </c>
      <c r="D7732" s="1">
        <v>1.1</v>
      </c>
      <c r="E7732" s="1">
        <v>30002.0</v>
      </c>
      <c r="F7732" s="10">
        <f t="shared" si="1"/>
        <v>1.333333333</v>
      </c>
      <c r="G7732" s="10">
        <f t="array" ref="G7732">index('Player ID'!C:C,match(E7732,'Player ID'!B:B,0))</f>
        <v>680880</v>
      </c>
    </row>
    <row r="7733">
      <c r="A7733" s="76">
        <v>45811.0</v>
      </c>
      <c r="B7733" s="1" t="s">
        <v>457</v>
      </c>
      <c r="C7733" s="1" t="s">
        <v>33</v>
      </c>
      <c r="D7733" s="1">
        <v>4.2</v>
      </c>
      <c r="E7733" s="1">
        <v>2036.0</v>
      </c>
      <c r="F7733" s="10">
        <f t="shared" si="1"/>
        <v>4.666666667</v>
      </c>
      <c r="G7733" s="10">
        <f t="array" ref="G7733">index('Player ID'!C:C,match(E7733,'Player ID'!B:B,0))</f>
        <v>477132</v>
      </c>
    </row>
    <row r="7734">
      <c r="A7734" s="76">
        <v>45811.0</v>
      </c>
      <c r="B7734" s="1" t="s">
        <v>646</v>
      </c>
      <c r="C7734" s="1" t="s">
        <v>51</v>
      </c>
      <c r="D7734" s="1">
        <v>1.0</v>
      </c>
      <c r="E7734" s="1">
        <v>6107.0</v>
      </c>
      <c r="F7734" s="10">
        <f t="shared" si="1"/>
        <v>1</v>
      </c>
      <c r="G7734" s="10">
        <f t="array" ref="G7734">index('Player ID'!C:C,match(E7734,'Player ID'!B:B,0))</f>
        <v>623211</v>
      </c>
    </row>
    <row r="7735">
      <c r="A7735" s="76">
        <v>45811.0</v>
      </c>
      <c r="B7735" s="1" t="s">
        <v>822</v>
      </c>
      <c r="C7735" s="1" t="s">
        <v>33</v>
      </c>
      <c r="D7735" s="1">
        <v>0.2</v>
      </c>
      <c r="E7735" s="1">
        <v>11589.0</v>
      </c>
      <c r="F7735" s="10">
        <f t="shared" si="1"/>
        <v>0.6666666667</v>
      </c>
      <c r="G7735" s="10">
        <f t="array" ref="G7735">index('Player ID'!C:C,match(E7735,'Player ID'!B:B,0))</f>
        <v>570632</v>
      </c>
    </row>
    <row r="7736">
      <c r="A7736" s="76">
        <v>45811.0</v>
      </c>
      <c r="B7736" s="1" t="s">
        <v>310</v>
      </c>
      <c r="C7736" s="1" t="s">
        <v>33</v>
      </c>
      <c r="D7736" s="1">
        <v>0.1</v>
      </c>
      <c r="E7736" s="1">
        <v>14706.0</v>
      </c>
      <c r="F7736" s="10">
        <f t="shared" si="1"/>
        <v>0.3333333333</v>
      </c>
      <c r="G7736" s="10">
        <f t="array" ref="G7736">index('Player ID'!C:C,match(E7736,'Player ID'!B:B,0))</f>
        <v>607455</v>
      </c>
    </row>
    <row r="7737">
      <c r="A7737" s="76">
        <v>45811.0</v>
      </c>
      <c r="B7737" s="1" t="s">
        <v>295</v>
      </c>
      <c r="C7737" s="1" t="s">
        <v>51</v>
      </c>
      <c r="D7737" s="1">
        <v>1.0</v>
      </c>
      <c r="E7737" s="1">
        <v>16866.0</v>
      </c>
      <c r="F7737" s="10">
        <f t="shared" si="1"/>
        <v>1</v>
      </c>
      <c r="G7737" s="10">
        <f t="array" ref="G7737">index('Player ID'!C:C,match(E7737,'Player ID'!B:B,0))</f>
        <v>657585</v>
      </c>
    </row>
    <row r="7738">
      <c r="A7738" s="76">
        <v>45811.0</v>
      </c>
      <c r="B7738" s="1" t="s">
        <v>32</v>
      </c>
      <c r="C7738" s="1" t="s">
        <v>33</v>
      </c>
      <c r="D7738" s="1">
        <v>1.0</v>
      </c>
      <c r="E7738" s="1">
        <v>17586.0</v>
      </c>
      <c r="F7738" s="10">
        <f t="shared" si="1"/>
        <v>1</v>
      </c>
      <c r="G7738" s="10">
        <f t="array" ref="G7738">index('Player ID'!C:C,match(E7738,'Player ID'!B:B,0))</f>
        <v>656945</v>
      </c>
    </row>
    <row r="7739">
      <c r="A7739" s="76">
        <v>45811.0</v>
      </c>
      <c r="B7739" s="1" t="s">
        <v>186</v>
      </c>
      <c r="C7739" s="1" t="s">
        <v>51</v>
      </c>
      <c r="D7739" s="1">
        <v>1.0</v>
      </c>
      <c r="E7739" s="1">
        <v>18347.0</v>
      </c>
      <c r="F7739" s="10">
        <f t="shared" si="1"/>
        <v>1</v>
      </c>
      <c r="G7739" s="10">
        <f t="array" ref="G7739">index('Player ID'!C:C,match(E7739,'Player ID'!B:B,0))</f>
        <v>663399</v>
      </c>
    </row>
    <row r="7740">
      <c r="A7740" s="76">
        <v>45811.0</v>
      </c>
      <c r="B7740" s="1" t="s">
        <v>386</v>
      </c>
      <c r="C7740" s="1" t="s">
        <v>51</v>
      </c>
      <c r="D7740" s="1">
        <v>6.0</v>
      </c>
      <c r="E7740" s="1">
        <v>21318.0</v>
      </c>
      <c r="F7740" s="10">
        <f t="shared" si="1"/>
        <v>6</v>
      </c>
      <c r="G7740" s="10">
        <f t="array" ref="G7740">index('Player ID'!C:C,match(E7740,'Player ID'!B:B,0))</f>
        <v>656731</v>
      </c>
    </row>
    <row r="7741">
      <c r="A7741" s="76">
        <v>45811.0</v>
      </c>
      <c r="B7741" s="1" t="s">
        <v>712</v>
      </c>
      <c r="C7741" s="1" t="s">
        <v>51</v>
      </c>
      <c r="D7741" s="1">
        <v>0.1</v>
      </c>
      <c r="E7741" s="1">
        <v>23313.0</v>
      </c>
      <c r="F7741" s="10">
        <f t="shared" si="1"/>
        <v>0.3333333333</v>
      </c>
      <c r="G7741" s="10">
        <f t="array" ref="G7741">index('Player ID'!C:C,match(E7741,'Player ID'!B:B,0))</f>
        <v>676130</v>
      </c>
    </row>
    <row r="7742">
      <c r="A7742" s="76">
        <v>45811.0</v>
      </c>
      <c r="B7742" s="1" t="s">
        <v>92</v>
      </c>
      <c r="C7742" s="1" t="s">
        <v>33</v>
      </c>
      <c r="D7742" s="1">
        <v>0.2</v>
      </c>
      <c r="E7742" s="1">
        <v>25007.0</v>
      </c>
      <c r="F7742" s="10">
        <f t="shared" si="1"/>
        <v>0.6666666667</v>
      </c>
      <c r="G7742" s="10">
        <f t="array" ref="G7742">index('Player ID'!C:C,match(E7742,'Player ID'!B:B,0))</f>
        <v>681911</v>
      </c>
    </row>
    <row r="7743">
      <c r="A7743" s="76">
        <v>45811.0</v>
      </c>
      <c r="B7743" s="1" t="s">
        <v>104</v>
      </c>
      <c r="C7743" s="1" t="s">
        <v>33</v>
      </c>
      <c r="D7743" s="1">
        <v>2.2</v>
      </c>
      <c r="E7743" s="1">
        <v>30085.0</v>
      </c>
      <c r="F7743" s="10">
        <f t="shared" si="1"/>
        <v>2.666666667</v>
      </c>
      <c r="G7743" s="10">
        <f t="array" ref="G7743">index('Player ID'!C:C,match(E7743,'Player ID'!B:B,0))</f>
        <v>676508</v>
      </c>
    </row>
    <row r="7744">
      <c r="A7744" s="76">
        <v>45812.0</v>
      </c>
      <c r="B7744" s="1" t="s">
        <v>189</v>
      </c>
      <c r="C7744" s="1" t="s">
        <v>75</v>
      </c>
      <c r="D7744" s="1">
        <v>6.1</v>
      </c>
      <c r="E7744" s="1">
        <v>16256.0</v>
      </c>
      <c r="F7744" s="10">
        <f t="shared" si="1"/>
        <v>6.333333333</v>
      </c>
      <c r="G7744" s="10">
        <f t="array" ref="G7744">index('Player ID'!C:C,match(E7744,'Player ID'!B:B,0))</f>
        <v>607536</v>
      </c>
    </row>
    <row r="7745">
      <c r="A7745" s="76">
        <v>45812.0</v>
      </c>
      <c r="B7745" s="1" t="s">
        <v>288</v>
      </c>
      <c r="C7745" s="1" t="s">
        <v>75</v>
      </c>
      <c r="D7745" s="1">
        <v>1.0</v>
      </c>
      <c r="E7745" s="1">
        <v>18297.0</v>
      </c>
      <c r="F7745" s="10">
        <f t="shared" si="1"/>
        <v>1</v>
      </c>
      <c r="G7745" s="10">
        <f t="array" ref="G7745">index('Player ID'!C:C,match(E7745,'Player ID'!B:B,0))</f>
        <v>641755</v>
      </c>
    </row>
    <row r="7746">
      <c r="A7746" s="76">
        <v>45812.0</v>
      </c>
      <c r="B7746" s="1" t="s">
        <v>464</v>
      </c>
      <c r="C7746" s="1" t="s">
        <v>36</v>
      </c>
      <c r="D7746" s="1">
        <v>5.0</v>
      </c>
      <c r="E7746" s="1">
        <v>19312.0</v>
      </c>
      <c r="F7746" s="10">
        <f t="shared" si="1"/>
        <v>5</v>
      </c>
      <c r="G7746" s="10">
        <f t="array" ref="G7746">index('Player ID'!C:C,match(E7746,'Player ID'!B:B,0))</f>
        <v>615698</v>
      </c>
    </row>
    <row r="7747">
      <c r="A7747" s="76">
        <v>45812.0</v>
      </c>
      <c r="B7747" s="1" t="s">
        <v>215</v>
      </c>
      <c r="C7747" s="1" t="s">
        <v>75</v>
      </c>
      <c r="D7747" s="1">
        <v>0.2</v>
      </c>
      <c r="E7747" s="1">
        <v>21267.0</v>
      </c>
      <c r="F7747" s="10">
        <f t="shared" si="1"/>
        <v>0.6666666667</v>
      </c>
      <c r="G7747" s="10">
        <f t="array" ref="G7747">index('Player ID'!C:C,match(E7747,'Player ID'!B:B,0))</f>
        <v>656234</v>
      </c>
    </row>
    <row r="7748">
      <c r="A7748" s="76">
        <v>45812.0</v>
      </c>
      <c r="B7748" s="1" t="s">
        <v>35</v>
      </c>
      <c r="C7748" s="1" t="s">
        <v>36</v>
      </c>
      <c r="D7748" s="1">
        <v>4.0</v>
      </c>
      <c r="E7748" s="1">
        <v>23301.0</v>
      </c>
      <c r="F7748" s="10">
        <f t="shared" si="1"/>
        <v>4</v>
      </c>
      <c r="G7748" s="10">
        <f t="array" ref="G7748">index('Player ID'!C:C,match(E7748,'Player ID'!B:B,0))</f>
        <v>676083</v>
      </c>
    </row>
    <row r="7749">
      <c r="A7749" s="76">
        <v>45812.0</v>
      </c>
      <c r="B7749" s="1" t="s">
        <v>365</v>
      </c>
      <c r="C7749" s="1" t="s">
        <v>75</v>
      </c>
      <c r="D7749" s="1">
        <v>1.0</v>
      </c>
      <c r="E7749" s="1">
        <v>24614.0</v>
      </c>
      <c r="F7749" s="10">
        <f t="shared" si="1"/>
        <v>1</v>
      </c>
      <c r="G7749" s="10">
        <f t="array" ref="G7749">index('Player ID'!C:C,match(E7749,'Player ID'!B:B,0))</f>
        <v>680767</v>
      </c>
    </row>
    <row r="7750">
      <c r="A7750" s="76">
        <v>45812.0</v>
      </c>
      <c r="B7750" s="1" t="s">
        <v>605</v>
      </c>
      <c r="C7750" s="1" t="s">
        <v>66</v>
      </c>
      <c r="D7750" s="1">
        <v>2.0</v>
      </c>
      <c r="E7750" s="1">
        <v>8779.0</v>
      </c>
      <c r="F7750" s="10">
        <f t="shared" si="1"/>
        <v>2</v>
      </c>
      <c r="G7750" s="10">
        <f t="array" ref="G7750">index('Player ID'!C:C,match(E7750,'Player ID'!B:B,0))</f>
        <v>489119</v>
      </c>
    </row>
    <row r="7751">
      <c r="A7751" s="76">
        <v>45812.0</v>
      </c>
      <c r="B7751" s="1" t="s">
        <v>265</v>
      </c>
      <c r="C7751" s="1" t="s">
        <v>14</v>
      </c>
      <c r="D7751" s="1">
        <v>3.0</v>
      </c>
      <c r="E7751" s="1">
        <v>22207.0</v>
      </c>
      <c r="F7751" s="10">
        <f t="shared" si="1"/>
        <v>3</v>
      </c>
      <c r="G7751" s="10" t="str">
        <f t="array" ref="G7751">index('Player ID'!C:C,match(E7751,'Player ID'!B:B,0))</f>
        <v>#N/A</v>
      </c>
    </row>
    <row r="7752">
      <c r="A7752" s="76">
        <v>45812.0</v>
      </c>
      <c r="B7752" s="1" t="s">
        <v>518</v>
      </c>
      <c r="C7752" s="1" t="s">
        <v>66</v>
      </c>
      <c r="D7752" s="1">
        <v>1.0</v>
      </c>
      <c r="E7752" s="1">
        <v>24581.0</v>
      </c>
      <c r="F7752" s="10">
        <f t="shared" si="1"/>
        <v>1</v>
      </c>
      <c r="G7752" s="10">
        <f t="array" ref="G7752">index('Player ID'!C:C,match(E7752,'Player ID'!B:B,0))</f>
        <v>680689</v>
      </c>
    </row>
    <row r="7753">
      <c r="A7753" s="76">
        <v>45812.0</v>
      </c>
      <c r="B7753" s="1" t="s">
        <v>112</v>
      </c>
      <c r="C7753" s="1" t="s">
        <v>14</v>
      </c>
      <c r="D7753" s="1">
        <v>1.0</v>
      </c>
      <c r="E7753" s="1">
        <v>25376.0</v>
      </c>
      <c r="F7753" s="10">
        <f t="shared" si="1"/>
        <v>1</v>
      </c>
      <c r="G7753" s="10">
        <f t="array" ref="G7753">index('Player ID'!C:C,match(E7753,'Player ID'!B:B,0))</f>
        <v>683232</v>
      </c>
    </row>
    <row r="7754">
      <c r="A7754" s="76">
        <v>45812.0</v>
      </c>
      <c r="B7754" s="1" t="s">
        <v>450</v>
      </c>
      <c r="C7754" s="1" t="s">
        <v>14</v>
      </c>
      <c r="D7754" s="1">
        <v>5.0</v>
      </c>
      <c r="E7754" s="1">
        <v>25977.0</v>
      </c>
      <c r="F7754" s="10">
        <f t="shared" si="1"/>
        <v>5</v>
      </c>
      <c r="G7754" s="10">
        <f t="array" ref="G7754">index('Player ID'!C:C,match(E7754,'Player ID'!B:B,0))</f>
        <v>682990</v>
      </c>
    </row>
    <row r="7755">
      <c r="A7755" s="76">
        <v>45812.0</v>
      </c>
      <c r="B7755" s="1" t="s">
        <v>169</v>
      </c>
      <c r="C7755" s="1" t="s">
        <v>66</v>
      </c>
      <c r="D7755" s="1">
        <v>6.0</v>
      </c>
      <c r="E7755" s="1">
        <v>29911.0</v>
      </c>
      <c r="F7755" s="10">
        <f t="shared" si="1"/>
        <v>6</v>
      </c>
      <c r="G7755" s="10">
        <f t="array" ref="G7755">index('Player ID'!C:C,match(E7755,'Player ID'!B:B,0))</f>
        <v>671096</v>
      </c>
    </row>
    <row r="7756">
      <c r="A7756" s="76">
        <v>45812.0</v>
      </c>
      <c r="B7756" s="1" t="s">
        <v>230</v>
      </c>
      <c r="C7756" s="1" t="s">
        <v>22</v>
      </c>
      <c r="D7756" s="1">
        <v>1.0</v>
      </c>
      <c r="E7756" s="1">
        <v>4301.0</v>
      </c>
      <c r="F7756" s="10">
        <f t="shared" si="1"/>
        <v>1</v>
      </c>
      <c r="G7756" s="10">
        <f t="array" ref="G7756">index('Player ID'!C:C,match(E7756,'Player ID'!B:B,0))</f>
        <v>458677</v>
      </c>
    </row>
    <row r="7757">
      <c r="A7757" s="76">
        <v>45812.0</v>
      </c>
      <c r="B7757" s="1" t="s">
        <v>834</v>
      </c>
      <c r="C7757" s="1" t="s">
        <v>25</v>
      </c>
      <c r="D7757" s="1">
        <v>1.1</v>
      </c>
      <c r="E7757" s="1">
        <v>7836.0</v>
      </c>
      <c r="F7757" s="10">
        <f t="shared" si="1"/>
        <v>1.333333333</v>
      </c>
      <c r="G7757" s="10" t="str">
        <f t="array" ref="G7757">index('Player ID'!C:C,match(E7757,'Player ID'!B:B,0))</f>
        <v>#N/A</v>
      </c>
    </row>
    <row r="7758">
      <c r="A7758" s="76">
        <v>45812.0</v>
      </c>
      <c r="B7758" s="1" t="s">
        <v>416</v>
      </c>
      <c r="C7758" s="1" t="s">
        <v>22</v>
      </c>
      <c r="D7758" s="1">
        <v>1.2</v>
      </c>
      <c r="E7758" s="1">
        <v>15474.0</v>
      </c>
      <c r="F7758" s="10">
        <f t="shared" si="1"/>
        <v>1.666666667</v>
      </c>
      <c r="G7758" s="10">
        <f t="array" ref="G7758">index('Player ID'!C:C,match(E7758,'Player ID'!B:B,0))</f>
        <v>608337</v>
      </c>
    </row>
    <row r="7759">
      <c r="A7759" s="76">
        <v>45812.0</v>
      </c>
      <c r="B7759" s="1" t="s">
        <v>493</v>
      </c>
      <c r="C7759" s="1" t="s">
        <v>22</v>
      </c>
      <c r="D7759" s="1">
        <v>1.0</v>
      </c>
      <c r="E7759" s="1">
        <v>16835.0</v>
      </c>
      <c r="F7759" s="10">
        <f t="shared" si="1"/>
        <v>1</v>
      </c>
      <c r="G7759" s="10">
        <f t="array" ref="G7759">index('Player ID'!C:C,match(E7759,'Player ID'!B:B,0))</f>
        <v>657514</v>
      </c>
    </row>
    <row r="7760">
      <c r="A7760" s="76">
        <v>45812.0</v>
      </c>
      <c r="B7760" s="1" t="s">
        <v>291</v>
      </c>
      <c r="C7760" s="1" t="s">
        <v>25</v>
      </c>
      <c r="D7760" s="1">
        <v>1.0</v>
      </c>
      <c r="E7760" s="1">
        <v>17968.0</v>
      </c>
      <c r="F7760" s="10">
        <f t="shared" si="1"/>
        <v>1</v>
      </c>
      <c r="G7760" s="10">
        <f t="array" ref="G7760">index('Player ID'!C:C,match(E7760,'Player ID'!B:B,0))</f>
        <v>656271</v>
      </c>
    </row>
    <row r="7761">
      <c r="A7761" s="76">
        <v>45812.0</v>
      </c>
      <c r="B7761" s="1" t="s">
        <v>250</v>
      </c>
      <c r="C7761" s="1" t="s">
        <v>22</v>
      </c>
      <c r="D7761" s="1">
        <v>1.0</v>
      </c>
      <c r="E7761" s="1">
        <v>20191.0</v>
      </c>
      <c r="F7761" s="10">
        <f t="shared" si="1"/>
        <v>1</v>
      </c>
      <c r="G7761" s="10">
        <f t="array" ref="G7761">index('Player ID'!C:C,match(E7761,'Player ID'!B:B,0))</f>
        <v>676477</v>
      </c>
    </row>
    <row r="7762">
      <c r="A7762" s="76">
        <v>45812.0</v>
      </c>
      <c r="B7762" s="1" t="s">
        <v>406</v>
      </c>
      <c r="C7762" s="1" t="s">
        <v>22</v>
      </c>
      <c r="D7762" s="1">
        <v>0.1</v>
      </c>
      <c r="E7762" s="1">
        <v>20375.0</v>
      </c>
      <c r="F7762" s="10">
        <f t="shared" si="1"/>
        <v>0.3333333333</v>
      </c>
      <c r="G7762" s="10">
        <f t="array" ref="G7762">index('Player ID'!C:C,match(E7762,'Player ID'!B:B,0))</f>
        <v>669711</v>
      </c>
    </row>
    <row r="7763">
      <c r="A7763" s="76">
        <v>45812.0</v>
      </c>
      <c r="B7763" s="1" t="s">
        <v>695</v>
      </c>
      <c r="C7763" s="1" t="s">
        <v>25</v>
      </c>
      <c r="D7763" s="1">
        <v>3.2</v>
      </c>
      <c r="E7763" s="1">
        <v>22100.0</v>
      </c>
      <c r="F7763" s="10">
        <f t="shared" si="1"/>
        <v>3.666666667</v>
      </c>
      <c r="G7763" s="10">
        <f t="array" ref="G7763">index('Player ID'!C:C,match(E7763,'Player ID'!B:B,0))</f>
        <v>667755</v>
      </c>
    </row>
    <row r="7764">
      <c r="A7764" s="76">
        <v>45812.0</v>
      </c>
      <c r="B7764" s="1" t="s">
        <v>563</v>
      </c>
      <c r="C7764" s="1" t="s">
        <v>22</v>
      </c>
      <c r="D7764" s="1">
        <v>1.2</v>
      </c>
      <c r="E7764" s="1">
        <v>24975.0</v>
      </c>
      <c r="F7764" s="10">
        <f t="shared" si="1"/>
        <v>1.666666667</v>
      </c>
      <c r="G7764" s="10">
        <f t="array" ref="G7764">index('Player ID'!C:C,match(E7764,'Player ID'!B:B,0))</f>
        <v>681867</v>
      </c>
    </row>
    <row r="7765">
      <c r="A7765" s="76">
        <v>45812.0</v>
      </c>
      <c r="B7765" s="1" t="s">
        <v>617</v>
      </c>
      <c r="C7765" s="1" t="s">
        <v>25</v>
      </c>
      <c r="D7765" s="1">
        <v>2.1</v>
      </c>
      <c r="E7765" s="1">
        <v>26443.0</v>
      </c>
      <c r="F7765" s="10">
        <f t="shared" si="1"/>
        <v>2.333333333</v>
      </c>
      <c r="G7765" s="10" t="str">
        <f t="array" ref="G7765">index('Player ID'!C:C,match(E7765,'Player ID'!B:B,0))</f>
        <v>#N/A</v>
      </c>
    </row>
    <row r="7766">
      <c r="A7766" s="76">
        <v>45812.0</v>
      </c>
      <c r="B7766" s="1" t="s">
        <v>720</v>
      </c>
      <c r="C7766" s="1" t="s">
        <v>22</v>
      </c>
      <c r="D7766" s="1">
        <v>2.1</v>
      </c>
      <c r="E7766" s="1">
        <v>31184.0</v>
      </c>
      <c r="F7766" s="10">
        <f t="shared" si="1"/>
        <v>2.333333333</v>
      </c>
      <c r="G7766" s="10">
        <f t="array" ref="G7766">index('Player ID'!C:C,match(E7766,'Player ID'!B:B,0))</f>
        <v>692285</v>
      </c>
    </row>
    <row r="7767">
      <c r="A7767" s="76">
        <v>45812.0</v>
      </c>
      <c r="B7767" s="1" t="s">
        <v>38</v>
      </c>
      <c r="C7767" s="1" t="s">
        <v>39</v>
      </c>
      <c r="D7767" s="1">
        <v>1.2</v>
      </c>
      <c r="E7767" s="1">
        <v>13580.0</v>
      </c>
      <c r="F7767" s="10">
        <f t="shared" si="1"/>
        <v>1.666666667</v>
      </c>
      <c r="G7767" s="10">
        <f t="array" ref="G7767">index('Player ID'!C:C,match(E7767,'Player ID'!B:B,0))</f>
        <v>595345</v>
      </c>
    </row>
    <row r="7768">
      <c r="A7768" s="76">
        <v>45812.0</v>
      </c>
      <c r="B7768" s="1" t="s">
        <v>183</v>
      </c>
      <c r="C7768" s="1" t="s">
        <v>60</v>
      </c>
      <c r="D7768" s="1">
        <v>1.0</v>
      </c>
      <c r="E7768" s="1">
        <v>19569.0</v>
      </c>
      <c r="F7768" s="10">
        <f t="shared" si="1"/>
        <v>1</v>
      </c>
      <c r="G7768" s="10">
        <f t="array" ref="G7768">index('Player ID'!C:C,match(E7768,'Player ID'!B:B,0))</f>
        <v>670280</v>
      </c>
    </row>
    <row r="7769">
      <c r="A7769" s="76">
        <v>45812.0</v>
      </c>
      <c r="B7769" s="1" t="s">
        <v>102</v>
      </c>
      <c r="C7769" s="1" t="s">
        <v>39</v>
      </c>
      <c r="D7769" s="1">
        <v>1.0</v>
      </c>
      <c r="E7769" s="1">
        <v>21345.0</v>
      </c>
      <c r="F7769" s="10">
        <f t="shared" si="1"/>
        <v>1</v>
      </c>
      <c r="G7769" s="10">
        <f t="array" ref="G7769">index('Player ID'!C:C,match(E7769,'Player ID'!B:B,0))</f>
        <v>656986</v>
      </c>
    </row>
    <row r="7770">
      <c r="A7770" s="76">
        <v>45812.0</v>
      </c>
      <c r="B7770" s="1" t="s">
        <v>463</v>
      </c>
      <c r="C7770" s="1" t="s">
        <v>60</v>
      </c>
      <c r="D7770" s="1">
        <v>0.2</v>
      </c>
      <c r="E7770" s="1">
        <v>21544.0</v>
      </c>
      <c r="F7770" s="10">
        <f t="shared" si="1"/>
        <v>0.6666666667</v>
      </c>
      <c r="G7770" s="10">
        <f t="array" ref="G7770">index('Player ID'!C:C,match(E7770,'Player ID'!B:B,0))</f>
        <v>663767</v>
      </c>
    </row>
    <row r="7771">
      <c r="A7771" s="76">
        <v>45812.0</v>
      </c>
      <c r="B7771" s="1" t="s">
        <v>277</v>
      </c>
      <c r="C7771" s="1" t="s">
        <v>60</v>
      </c>
      <c r="D7771" s="1">
        <v>2.0</v>
      </c>
      <c r="E7771" s="1">
        <v>23793.0</v>
      </c>
      <c r="F7771" s="10">
        <f t="shared" si="1"/>
        <v>2</v>
      </c>
      <c r="G7771" s="10" t="str">
        <f t="array" ref="G7771">index('Player ID'!C:C,match(E7771,'Player ID'!B:B,0))</f>
        <v>#N/A</v>
      </c>
    </row>
    <row r="7772">
      <c r="A7772" s="76">
        <v>45812.0</v>
      </c>
      <c r="B7772" s="1" t="s">
        <v>320</v>
      </c>
      <c r="C7772" s="1" t="s">
        <v>60</v>
      </c>
      <c r="D7772" s="1">
        <v>5.1</v>
      </c>
      <c r="E7772" s="1">
        <v>24728.0</v>
      </c>
      <c r="F7772" s="10">
        <f t="shared" si="1"/>
        <v>5.333333333</v>
      </c>
      <c r="G7772" s="10">
        <f t="array" ref="G7772">index('Player ID'!C:C,match(E7772,'Player ID'!B:B,0))</f>
        <v>681347</v>
      </c>
    </row>
    <row r="7773">
      <c r="A7773" s="76">
        <v>45812.0</v>
      </c>
      <c r="B7773" s="1" t="s">
        <v>76</v>
      </c>
      <c r="C7773" s="1" t="s">
        <v>39</v>
      </c>
      <c r="D7773" s="1">
        <v>1.0</v>
      </c>
      <c r="E7773" s="1">
        <v>25890.0</v>
      </c>
      <c r="F7773" s="10">
        <f t="shared" si="1"/>
        <v>1</v>
      </c>
      <c r="G7773" s="10">
        <f t="array" ref="G7773">index('Player ID'!C:C,match(E7773,'Player ID'!B:B,0))</f>
        <v>687911</v>
      </c>
    </row>
    <row r="7774">
      <c r="A7774" s="76">
        <v>45812.0</v>
      </c>
      <c r="B7774" s="1" t="s">
        <v>228</v>
      </c>
      <c r="C7774" s="1" t="s">
        <v>39</v>
      </c>
      <c r="D7774" s="1">
        <v>4.1</v>
      </c>
      <c r="E7774" s="1">
        <v>26440.0</v>
      </c>
      <c r="F7774" s="10">
        <f t="shared" si="1"/>
        <v>4.333333333</v>
      </c>
      <c r="G7774" s="10">
        <f t="array" ref="G7774">index('Player ID'!C:C,match(E7774,'Player ID'!B:B,0))</f>
        <v>687473</v>
      </c>
    </row>
    <row r="7775">
      <c r="A7775" s="76">
        <v>45812.0</v>
      </c>
      <c r="B7775" s="1" t="s">
        <v>139</v>
      </c>
      <c r="C7775" s="1" t="s">
        <v>80</v>
      </c>
      <c r="D7775" s="1">
        <v>1.0</v>
      </c>
      <c r="E7775" s="1">
        <v>15009.0</v>
      </c>
      <c r="F7775" s="10">
        <f t="shared" si="1"/>
        <v>1</v>
      </c>
      <c r="G7775" s="10">
        <f t="array" ref="G7775">index('Player ID'!C:C,match(E7775,'Player ID'!B:B,0))</f>
        <v>640448</v>
      </c>
    </row>
    <row r="7776">
      <c r="A7776" s="76">
        <v>45812.0</v>
      </c>
      <c r="B7776" s="1" t="s">
        <v>246</v>
      </c>
      <c r="C7776" s="1" t="s">
        <v>34</v>
      </c>
      <c r="D7776" s="1">
        <v>7.1</v>
      </c>
      <c r="E7776" s="1">
        <v>15440.0</v>
      </c>
      <c r="F7776" s="10">
        <f t="shared" si="1"/>
        <v>7.333333333</v>
      </c>
      <c r="G7776" s="10">
        <f t="array" ref="G7776">index('Player ID'!C:C,match(E7776,'Player ID'!B:B,0))</f>
        <v>571510</v>
      </c>
    </row>
    <row r="7777">
      <c r="A7777" s="76">
        <v>45812.0</v>
      </c>
      <c r="B7777" s="1" t="s">
        <v>825</v>
      </c>
      <c r="C7777" s="1" t="s">
        <v>34</v>
      </c>
      <c r="D7777" s="1">
        <v>0.2</v>
      </c>
      <c r="E7777" s="1">
        <v>17490.0</v>
      </c>
      <c r="F7777" s="10">
        <f t="shared" si="1"/>
        <v>0.6666666667</v>
      </c>
      <c r="G7777" s="10">
        <f t="array" ref="G7777">index('Player ID'!C:C,match(E7777,'Player ID'!B:B,0))</f>
        <v>650893</v>
      </c>
    </row>
    <row r="7778">
      <c r="A7778" s="76">
        <v>45812.0</v>
      </c>
      <c r="B7778" s="1" t="s">
        <v>354</v>
      </c>
      <c r="C7778" s="1" t="s">
        <v>80</v>
      </c>
      <c r="D7778" s="1">
        <v>7.0</v>
      </c>
      <c r="E7778" s="1">
        <v>22201.0</v>
      </c>
      <c r="F7778" s="10">
        <f t="shared" si="1"/>
        <v>7</v>
      </c>
      <c r="G7778" s="10">
        <f t="array" ref="G7778">index('Player ID'!C:C,match(E7778,'Player ID'!B:B,0))</f>
        <v>669022</v>
      </c>
    </row>
    <row r="7779">
      <c r="A7779" s="76">
        <v>45812.0</v>
      </c>
      <c r="B7779" s="1" t="s">
        <v>437</v>
      </c>
      <c r="C7779" s="1" t="s">
        <v>80</v>
      </c>
      <c r="D7779" s="1">
        <v>1.0</v>
      </c>
      <c r="E7779" s="1">
        <v>31972.0</v>
      </c>
      <c r="F7779" s="10">
        <f t="shared" si="1"/>
        <v>1</v>
      </c>
      <c r="G7779" s="10">
        <f t="array" ref="G7779">index('Player ID'!C:C,match(E7779,'Player ID'!B:B,0))</f>
        <v>695418</v>
      </c>
    </row>
    <row r="7780">
      <c r="A7780" s="76">
        <v>45812.0</v>
      </c>
      <c r="B7780" s="1" t="s">
        <v>422</v>
      </c>
      <c r="C7780" s="1" t="s">
        <v>58</v>
      </c>
      <c r="D7780" s="1">
        <v>1.0</v>
      </c>
      <c r="E7780" s="1">
        <v>7048.0</v>
      </c>
      <c r="F7780" s="10">
        <f t="shared" si="1"/>
        <v>1</v>
      </c>
      <c r="G7780" s="10">
        <f t="array" ref="G7780">index('Player ID'!C:C,match(E7780,'Player ID'!B:B,0))</f>
        <v>518585</v>
      </c>
    </row>
    <row r="7781">
      <c r="A7781" s="76">
        <v>45812.0</v>
      </c>
      <c r="B7781" s="1" t="s">
        <v>69</v>
      </c>
      <c r="C7781" s="1" t="s">
        <v>58</v>
      </c>
      <c r="D7781" s="1">
        <v>1.0</v>
      </c>
      <c r="E7781" s="1">
        <v>16814.0</v>
      </c>
      <c r="F7781" s="10">
        <f t="shared" si="1"/>
        <v>1</v>
      </c>
      <c r="G7781" s="10">
        <f t="array" ref="G7781">index('Player ID'!C:C,match(E7781,'Player ID'!B:B,0))</f>
        <v>657612</v>
      </c>
    </row>
    <row r="7782">
      <c r="A7782" s="76">
        <v>45812.0</v>
      </c>
      <c r="B7782" s="1" t="s">
        <v>408</v>
      </c>
      <c r="C7782" s="1" t="s">
        <v>58</v>
      </c>
      <c r="D7782" s="1">
        <v>5.2</v>
      </c>
      <c r="E7782" s="1">
        <v>19899.0</v>
      </c>
      <c r="F7782" s="10">
        <f t="shared" si="1"/>
        <v>5.666666667</v>
      </c>
      <c r="G7782" s="10">
        <f t="array" ref="G7782">index('Player ID'!C:C,match(E7782,'Player ID'!B:B,0))</f>
        <v>657376</v>
      </c>
    </row>
    <row r="7783">
      <c r="A7783" s="76">
        <v>45812.0</v>
      </c>
      <c r="B7783" s="1" t="s">
        <v>132</v>
      </c>
      <c r="C7783" s="1" t="s">
        <v>70</v>
      </c>
      <c r="D7783" s="1">
        <v>1.0</v>
      </c>
      <c r="E7783" s="1">
        <v>21032.0</v>
      </c>
      <c r="F7783" s="10">
        <f t="shared" si="1"/>
        <v>1</v>
      </c>
      <c r="G7783" s="10">
        <f t="array" ref="G7783">index('Player ID'!C:C,match(E7783,'Player ID'!B:B,0))</f>
        <v>661403</v>
      </c>
    </row>
    <row r="7784">
      <c r="A7784" s="76">
        <v>45812.0</v>
      </c>
      <c r="B7784" s="1" t="s">
        <v>519</v>
      </c>
      <c r="C7784" s="1" t="s">
        <v>70</v>
      </c>
      <c r="D7784" s="1">
        <v>1.1</v>
      </c>
      <c r="E7784" s="1">
        <v>25139.0</v>
      </c>
      <c r="F7784" s="10">
        <f t="shared" si="1"/>
        <v>1.333333333</v>
      </c>
      <c r="G7784" s="10">
        <f t="array" ref="G7784">index('Player ID'!C:C,match(E7784,'Player ID'!B:B,0))</f>
        <v>682120</v>
      </c>
    </row>
    <row r="7785">
      <c r="A7785" s="76">
        <v>45812.0</v>
      </c>
      <c r="B7785" s="1" t="s">
        <v>238</v>
      </c>
      <c r="C7785" s="1" t="s">
        <v>70</v>
      </c>
      <c r="D7785" s="1">
        <v>1.0</v>
      </c>
      <c r="E7785" s="1">
        <v>25636.0</v>
      </c>
      <c r="F7785" s="10">
        <f t="shared" si="1"/>
        <v>1</v>
      </c>
      <c r="G7785" s="10">
        <f t="array" ref="G7785">index('Player ID'!C:C,match(E7785,'Player ID'!B:B,0))</f>
        <v>683769</v>
      </c>
    </row>
    <row r="7786">
      <c r="A7786" s="76">
        <v>45812.0</v>
      </c>
      <c r="B7786" s="1" t="s">
        <v>484</v>
      </c>
      <c r="C7786" s="1" t="s">
        <v>70</v>
      </c>
      <c r="D7786" s="1">
        <v>5.2</v>
      </c>
      <c r="E7786" s="1">
        <v>27646.0</v>
      </c>
      <c r="F7786" s="10">
        <f t="shared" si="1"/>
        <v>5.666666667</v>
      </c>
      <c r="G7786" s="10">
        <f t="array" ref="G7786">index('Player ID'!C:C,match(E7786,'Player ID'!B:B,0))</f>
        <v>682847</v>
      </c>
    </row>
    <row r="7787">
      <c r="A7787" s="76">
        <v>45812.0</v>
      </c>
      <c r="B7787" s="1" t="s">
        <v>693</v>
      </c>
      <c r="C7787" s="1" t="s">
        <v>58</v>
      </c>
      <c r="D7787" s="1">
        <v>1.1</v>
      </c>
      <c r="E7787" s="1">
        <v>27702.0</v>
      </c>
      <c r="F7787" s="10">
        <f t="shared" si="1"/>
        <v>1.333333333</v>
      </c>
      <c r="G7787" s="10">
        <f t="array" ref="G7787">index('Player ID'!C:C,match(E7787,'Player ID'!B:B,0))</f>
        <v>687396</v>
      </c>
    </row>
    <row r="7788">
      <c r="A7788" s="76">
        <v>45812.0</v>
      </c>
      <c r="B7788" s="1" t="s">
        <v>182</v>
      </c>
      <c r="C7788" s="1" t="s">
        <v>45</v>
      </c>
      <c r="D7788" s="1">
        <v>1.0</v>
      </c>
      <c r="E7788" s="1">
        <v>13799.0</v>
      </c>
      <c r="F7788" s="10">
        <f t="shared" si="1"/>
        <v>1</v>
      </c>
      <c r="G7788" s="10">
        <f t="array" ref="G7788">index('Player ID'!C:C,match(E7788,'Player ID'!B:B,0))</f>
        <v>621381</v>
      </c>
    </row>
    <row r="7789">
      <c r="A7789" s="76">
        <v>45812.0</v>
      </c>
      <c r="B7789" s="1" t="s">
        <v>638</v>
      </c>
      <c r="C7789" s="1" t="s">
        <v>40</v>
      </c>
      <c r="D7789" s="1">
        <v>6.0</v>
      </c>
      <c r="E7789" s="1">
        <v>14168.0</v>
      </c>
      <c r="F7789" s="10">
        <f t="shared" si="1"/>
        <v>6</v>
      </c>
      <c r="G7789" s="10">
        <f t="array" ref="G7789">index('Player ID'!C:C,match(E7789,'Player ID'!B:B,0))</f>
        <v>621244</v>
      </c>
    </row>
    <row r="7790">
      <c r="A7790" s="76">
        <v>45812.0</v>
      </c>
      <c r="B7790" s="1" t="s">
        <v>174</v>
      </c>
      <c r="C7790" s="1" t="s">
        <v>40</v>
      </c>
      <c r="D7790" s="1">
        <v>1.0</v>
      </c>
      <c r="E7790" s="1">
        <v>15552.0</v>
      </c>
      <c r="F7790" s="10">
        <f t="shared" si="1"/>
        <v>1</v>
      </c>
      <c r="G7790" s="10">
        <f t="array" ref="G7790">index('Player ID'!C:C,match(E7790,'Player ID'!B:B,0))</f>
        <v>643338</v>
      </c>
    </row>
    <row r="7791">
      <c r="A7791" s="76">
        <v>45812.0</v>
      </c>
      <c r="B7791" s="1" t="s">
        <v>208</v>
      </c>
      <c r="C7791" s="1" t="s">
        <v>45</v>
      </c>
      <c r="D7791" s="1">
        <v>0.2</v>
      </c>
      <c r="E7791" s="1">
        <v>16122.0</v>
      </c>
      <c r="F7791" s="10">
        <f t="shared" si="1"/>
        <v>0.6666666667</v>
      </c>
      <c r="G7791" s="10">
        <f t="array" ref="G7791">index('Player ID'!C:C,match(E7791,'Player ID'!B:B,0))</f>
        <v>605447</v>
      </c>
    </row>
    <row r="7792">
      <c r="A7792" s="76">
        <v>45812.0</v>
      </c>
      <c r="B7792" s="1" t="s">
        <v>138</v>
      </c>
      <c r="C7792" s="1" t="s">
        <v>45</v>
      </c>
      <c r="D7792" s="1">
        <v>1.0</v>
      </c>
      <c r="E7792" s="1">
        <v>16990.0</v>
      </c>
      <c r="F7792" s="10">
        <f t="shared" si="1"/>
        <v>1</v>
      </c>
      <c r="G7792" s="10">
        <f t="array" ref="G7792">index('Player ID'!C:C,match(E7792,'Player ID'!B:B,0))</f>
        <v>621383</v>
      </c>
    </row>
    <row r="7793">
      <c r="A7793" s="76">
        <v>45812.0</v>
      </c>
      <c r="B7793" s="1" t="s">
        <v>311</v>
      </c>
      <c r="C7793" s="1" t="s">
        <v>40</v>
      </c>
      <c r="D7793" s="1">
        <v>0.1</v>
      </c>
      <c r="E7793" s="1">
        <v>17432.0</v>
      </c>
      <c r="F7793" s="10">
        <f t="shared" si="1"/>
        <v>0.3333333333</v>
      </c>
      <c r="G7793" s="10">
        <f t="array" ref="G7793">index('Player ID'!C:C,match(E7793,'Player ID'!B:B,0))</f>
        <v>656546</v>
      </c>
    </row>
    <row r="7794">
      <c r="A7794" s="76">
        <v>45812.0</v>
      </c>
      <c r="B7794" s="1" t="s">
        <v>395</v>
      </c>
      <c r="C7794" s="1" t="s">
        <v>40</v>
      </c>
      <c r="D7794" s="1">
        <v>1.2</v>
      </c>
      <c r="E7794" s="1">
        <v>21574.0</v>
      </c>
      <c r="F7794" s="10">
        <f t="shared" si="1"/>
        <v>1.666666667</v>
      </c>
      <c r="G7794" s="10">
        <f t="array" ref="G7794">index('Player ID'!C:C,match(E7794,'Player ID'!B:B,0))</f>
        <v>663893</v>
      </c>
    </row>
    <row r="7795">
      <c r="A7795" s="76">
        <v>45812.0</v>
      </c>
      <c r="B7795" s="1" t="s">
        <v>393</v>
      </c>
      <c r="C7795" s="1" t="s">
        <v>45</v>
      </c>
      <c r="D7795" s="1">
        <v>5.1</v>
      </c>
      <c r="E7795" s="1">
        <v>27756.0</v>
      </c>
      <c r="F7795" s="10">
        <f t="shared" si="1"/>
        <v>5.333333333</v>
      </c>
      <c r="G7795" s="10">
        <f t="array" ref="G7795">index('Player ID'!C:C,match(E7795,'Player ID'!B:B,0))</f>
        <v>690953</v>
      </c>
    </row>
    <row r="7796">
      <c r="A7796" s="76">
        <v>45812.0</v>
      </c>
      <c r="B7796" s="1" t="s">
        <v>165</v>
      </c>
      <c r="C7796" s="1" t="s">
        <v>45</v>
      </c>
      <c r="D7796" s="1">
        <v>0.2</v>
      </c>
      <c r="E7796" s="1">
        <v>31776.0</v>
      </c>
      <c r="F7796" s="10">
        <f t="shared" si="1"/>
        <v>0.6666666667</v>
      </c>
      <c r="G7796" s="10">
        <f t="array" ref="G7796">index('Player ID'!C:C,match(E7796,'Player ID'!B:B,0))</f>
        <v>689147</v>
      </c>
    </row>
    <row r="7797">
      <c r="A7797" s="76">
        <v>45812.0</v>
      </c>
      <c r="B7797" s="1" t="s">
        <v>156</v>
      </c>
      <c r="C7797" s="1" t="s">
        <v>46</v>
      </c>
      <c r="D7797" s="1">
        <v>6.0</v>
      </c>
      <c r="E7797" s="1">
        <v>10603.0</v>
      </c>
      <c r="F7797" s="10">
        <f t="shared" si="1"/>
        <v>6</v>
      </c>
      <c r="G7797" s="10">
        <f t="array" ref="G7797">index('Player ID'!C:C,match(E7797,'Player ID'!B:B,0))</f>
        <v>519242</v>
      </c>
    </row>
    <row r="7798">
      <c r="A7798" s="76">
        <v>45812.0</v>
      </c>
      <c r="B7798" s="1" t="s">
        <v>222</v>
      </c>
      <c r="C7798" s="1" t="s">
        <v>64</v>
      </c>
      <c r="D7798" s="1">
        <v>7.0</v>
      </c>
      <c r="E7798" s="1">
        <v>11156.0</v>
      </c>
      <c r="F7798" s="10">
        <f t="shared" si="1"/>
        <v>7</v>
      </c>
      <c r="G7798" s="10">
        <f t="array" ref="G7798">index('Player ID'!C:C,match(E7798,'Player ID'!B:B,0))</f>
        <v>518876</v>
      </c>
    </row>
    <row r="7799">
      <c r="A7799" s="76">
        <v>45812.0</v>
      </c>
      <c r="B7799" s="1" t="s">
        <v>319</v>
      </c>
      <c r="C7799" s="1" t="s">
        <v>46</v>
      </c>
      <c r="D7799" s="1">
        <v>0.1</v>
      </c>
      <c r="E7799" s="1">
        <v>16258.0</v>
      </c>
      <c r="F7799" s="10">
        <f t="shared" si="1"/>
        <v>0.3333333333</v>
      </c>
      <c r="G7799" s="10">
        <f t="array" ref="G7799">index('Player ID'!C:C,match(E7799,'Player ID'!B:B,0))</f>
        <v>607481</v>
      </c>
    </row>
    <row r="7800">
      <c r="A7800" s="76">
        <v>45812.0</v>
      </c>
      <c r="B7800" s="1" t="s">
        <v>219</v>
      </c>
      <c r="C7800" s="1" t="s">
        <v>64</v>
      </c>
      <c r="D7800" s="1">
        <v>0.1</v>
      </c>
      <c r="E7800" s="1">
        <v>16647.0</v>
      </c>
      <c r="F7800" s="10">
        <f t="shared" si="1"/>
        <v>0.3333333333</v>
      </c>
      <c r="G7800" s="10">
        <f t="array" ref="G7800">index('Player ID'!C:C,match(E7800,'Player ID'!B:B,0))</f>
        <v>657044</v>
      </c>
    </row>
    <row r="7801">
      <c r="A7801" s="76">
        <v>45812.0</v>
      </c>
      <c r="B7801" s="1" t="s">
        <v>184</v>
      </c>
      <c r="C7801" s="1" t="s">
        <v>46</v>
      </c>
      <c r="D7801" s="1">
        <v>1.0</v>
      </c>
      <c r="E7801" s="1">
        <v>17130.0</v>
      </c>
      <c r="F7801" s="10">
        <f t="shared" si="1"/>
        <v>1</v>
      </c>
      <c r="G7801" s="10">
        <f t="array" ref="G7801">index('Player ID'!C:C,match(E7801,'Player ID'!B:B,0))</f>
        <v>628452</v>
      </c>
    </row>
    <row r="7802">
      <c r="A7802" s="76">
        <v>45812.0</v>
      </c>
      <c r="B7802" s="1" t="s">
        <v>91</v>
      </c>
      <c r="C7802" s="1" t="s">
        <v>46</v>
      </c>
      <c r="D7802" s="1">
        <v>1.1</v>
      </c>
      <c r="E7802" s="1">
        <v>19996.0</v>
      </c>
      <c r="F7802" s="10">
        <f t="shared" si="1"/>
        <v>1.333333333</v>
      </c>
      <c r="G7802" s="10">
        <f t="array" ref="G7802">index('Player ID'!C:C,match(E7802,'Player ID'!B:B,0))</f>
        <v>669276</v>
      </c>
    </row>
    <row r="7803">
      <c r="A7803" s="76">
        <v>45812.0</v>
      </c>
      <c r="B7803" s="1" t="s">
        <v>688</v>
      </c>
      <c r="C7803" s="1" t="s">
        <v>46</v>
      </c>
      <c r="D7803" s="1">
        <v>0.1</v>
      </c>
      <c r="E7803" s="1">
        <v>20271.0</v>
      </c>
      <c r="F7803" s="10">
        <f t="shared" si="1"/>
        <v>0.3333333333</v>
      </c>
      <c r="G7803" s="10">
        <f t="array" ref="G7803">index('Player ID'!C:C,match(E7803,'Player ID'!B:B,0))</f>
        <v>678226</v>
      </c>
    </row>
    <row r="7804">
      <c r="A7804" s="76">
        <v>45812.0</v>
      </c>
      <c r="B7804" s="1" t="s">
        <v>714</v>
      </c>
      <c r="C7804" s="1" t="s">
        <v>64</v>
      </c>
      <c r="D7804" s="1">
        <v>1.2</v>
      </c>
      <c r="E7804" s="1">
        <v>24453.0</v>
      </c>
      <c r="F7804" s="10">
        <f t="shared" si="1"/>
        <v>1.666666667</v>
      </c>
      <c r="G7804" s="10">
        <f t="array" ref="G7804">index('Player ID'!C:C,match(E7804,'Player ID'!B:B,0))</f>
        <v>679885</v>
      </c>
    </row>
    <row r="7805">
      <c r="A7805" s="76">
        <v>45812.0</v>
      </c>
      <c r="B7805" s="1" t="s">
        <v>440</v>
      </c>
      <c r="C7805" s="1" t="s">
        <v>56</v>
      </c>
      <c r="D7805" s="1">
        <v>1.0</v>
      </c>
      <c r="E7805" s="1">
        <v>12857.0</v>
      </c>
      <c r="F7805" s="10">
        <f t="shared" si="1"/>
        <v>1</v>
      </c>
      <c r="G7805" s="10">
        <f t="array" ref="G7805">index('Player ID'!C:C,match(E7805,'Player ID'!B:B,0))</f>
        <v>542888</v>
      </c>
    </row>
    <row r="7806">
      <c r="A7806" s="76">
        <v>45812.0</v>
      </c>
      <c r="B7806" s="1" t="s">
        <v>151</v>
      </c>
      <c r="C7806" s="1" t="s">
        <v>56</v>
      </c>
      <c r="D7806" s="1">
        <v>1.1</v>
      </c>
      <c r="E7806" s="1">
        <v>13346.0</v>
      </c>
      <c r="F7806" s="10">
        <f t="shared" si="1"/>
        <v>1.333333333</v>
      </c>
      <c r="G7806" s="10">
        <f t="array" ref="G7806">index('Player ID'!C:C,match(E7806,'Player ID'!B:B,0))</f>
        <v>571948</v>
      </c>
    </row>
    <row r="7807">
      <c r="A7807" s="76">
        <v>45812.0</v>
      </c>
      <c r="B7807" s="1" t="s">
        <v>261</v>
      </c>
      <c r="C7807" s="1" t="s">
        <v>54</v>
      </c>
      <c r="D7807" s="1">
        <v>1.0</v>
      </c>
      <c r="E7807" s="1">
        <v>17998.0</v>
      </c>
      <c r="F7807" s="10">
        <f t="shared" si="1"/>
        <v>1</v>
      </c>
      <c r="G7807" s="10">
        <f t="array" ref="G7807">index('Player ID'!C:C,match(E7807,'Player ID'!B:B,0))</f>
        <v>664126</v>
      </c>
    </row>
    <row r="7808">
      <c r="A7808" s="76">
        <v>45812.0</v>
      </c>
      <c r="B7808" s="1" t="s">
        <v>87</v>
      </c>
      <c r="C7808" s="1" t="s">
        <v>56</v>
      </c>
      <c r="D7808" s="1">
        <v>1.1</v>
      </c>
      <c r="E7808" s="1">
        <v>19274.0</v>
      </c>
      <c r="F7808" s="10">
        <f t="shared" si="1"/>
        <v>1.333333333</v>
      </c>
      <c r="G7808" s="10">
        <f t="array" ref="G7808">index('Player ID'!C:C,match(E7808,'Player ID'!B:B,0))</f>
        <v>657097</v>
      </c>
    </row>
    <row r="7809">
      <c r="A7809" s="76">
        <v>45812.0</v>
      </c>
      <c r="B7809" s="1" t="s">
        <v>400</v>
      </c>
      <c r="C7809" s="1" t="s">
        <v>54</v>
      </c>
      <c r="D7809" s="1">
        <v>1.0</v>
      </c>
      <c r="E7809" s="1">
        <v>20539.0</v>
      </c>
      <c r="F7809" s="10">
        <f t="shared" si="1"/>
        <v>1</v>
      </c>
      <c r="G7809" s="10">
        <f t="array" ref="G7809">index('Player ID'!C:C,match(E7809,'Player ID'!B:B,0))</f>
        <v>670955</v>
      </c>
    </row>
    <row r="7810">
      <c r="A7810" s="76">
        <v>45812.0</v>
      </c>
      <c r="B7810" s="1" t="s">
        <v>705</v>
      </c>
      <c r="C7810" s="1" t="s">
        <v>54</v>
      </c>
      <c r="D7810" s="1">
        <v>1.0</v>
      </c>
      <c r="E7810" s="1">
        <v>20794.0</v>
      </c>
      <c r="F7810" s="10">
        <f t="shared" si="1"/>
        <v>1</v>
      </c>
      <c r="G7810" s="10">
        <f t="array" ref="G7810">index('Player ID'!C:C,match(E7810,'Player ID'!B:B,0))</f>
        <v>655889</v>
      </c>
    </row>
    <row r="7811">
      <c r="A7811" s="76">
        <v>45812.0</v>
      </c>
      <c r="B7811" s="1" t="s">
        <v>502</v>
      </c>
      <c r="C7811" s="1" t="s">
        <v>56</v>
      </c>
      <c r="D7811" s="1">
        <v>1.0</v>
      </c>
      <c r="E7811" s="1">
        <v>22113.0</v>
      </c>
      <c r="F7811" s="10">
        <f t="shared" si="1"/>
        <v>1</v>
      </c>
      <c r="G7811" s="10">
        <f t="array" ref="G7811">index('Player ID'!C:C,match(E7811,'Player ID'!B:B,0))</f>
        <v>668390</v>
      </c>
    </row>
    <row r="7812">
      <c r="A7812" s="76">
        <v>45812.0</v>
      </c>
      <c r="B7812" s="1" t="s">
        <v>242</v>
      </c>
      <c r="C7812" s="1" t="s">
        <v>54</v>
      </c>
      <c r="D7812" s="1">
        <v>5.0</v>
      </c>
      <c r="E7812" s="1">
        <v>22264.0</v>
      </c>
      <c r="F7812" s="10">
        <f t="shared" si="1"/>
        <v>5</v>
      </c>
      <c r="G7812" s="10">
        <f t="array" ref="G7812">index('Player ID'!C:C,match(E7812,'Player ID'!B:B,0))</f>
        <v>669358</v>
      </c>
    </row>
    <row r="7813">
      <c r="A7813" s="76">
        <v>45812.0</v>
      </c>
      <c r="B7813" s="1" t="s">
        <v>334</v>
      </c>
      <c r="C7813" s="1" t="s">
        <v>54</v>
      </c>
      <c r="D7813" s="1">
        <v>1.0</v>
      </c>
      <c r="E7813" s="1">
        <v>29770.0</v>
      </c>
      <c r="F7813" s="10">
        <f t="shared" si="1"/>
        <v>1</v>
      </c>
      <c r="G7813" s="10">
        <f t="array" ref="G7813">index('Player ID'!C:C,match(E7813,'Player ID'!B:B,0))</f>
        <v>682254</v>
      </c>
    </row>
    <row r="7814">
      <c r="A7814" s="76">
        <v>45812.0</v>
      </c>
      <c r="B7814" s="1" t="s">
        <v>477</v>
      </c>
      <c r="C7814" s="1" t="s">
        <v>56</v>
      </c>
      <c r="D7814" s="1">
        <v>3.1</v>
      </c>
      <c r="E7814" s="1">
        <v>31843.0</v>
      </c>
      <c r="F7814" s="10">
        <f t="shared" si="1"/>
        <v>3.333333333</v>
      </c>
      <c r="G7814" s="10">
        <f t="array" ref="G7814">index('Player ID'!C:C,match(E7814,'Player ID'!B:B,0))</f>
        <v>677958</v>
      </c>
    </row>
    <row r="7815">
      <c r="A7815" s="76">
        <v>45812.0</v>
      </c>
      <c r="B7815" s="1" t="s">
        <v>439</v>
      </c>
      <c r="C7815" s="1" t="s">
        <v>62</v>
      </c>
      <c r="D7815" s="1">
        <v>1.0</v>
      </c>
      <c r="E7815" s="1">
        <v>11384.0</v>
      </c>
      <c r="F7815" s="10">
        <f t="shared" si="1"/>
        <v>1</v>
      </c>
      <c r="G7815" s="10">
        <f t="array" ref="G7815">index('Player ID'!C:C,match(E7815,'Player ID'!B:B,0))</f>
        <v>592454</v>
      </c>
    </row>
    <row r="7816">
      <c r="A7816" s="76">
        <v>45812.0</v>
      </c>
      <c r="B7816" s="1" t="s">
        <v>666</v>
      </c>
      <c r="C7816" s="1" t="s">
        <v>62</v>
      </c>
      <c r="D7816" s="1">
        <v>0.2</v>
      </c>
      <c r="E7816" s="1">
        <v>12777.0</v>
      </c>
      <c r="F7816" s="10">
        <f t="shared" si="1"/>
        <v>0.6666666667</v>
      </c>
      <c r="G7816" s="10">
        <f t="array" ref="G7816">index('Player ID'!C:C,match(E7816,'Player ID'!B:B,0))</f>
        <v>605154</v>
      </c>
    </row>
    <row r="7817">
      <c r="A7817" s="76">
        <v>45812.0</v>
      </c>
      <c r="B7817" s="1" t="s">
        <v>131</v>
      </c>
      <c r="C7817" s="1" t="s">
        <v>62</v>
      </c>
      <c r="D7817" s="1">
        <v>2.0</v>
      </c>
      <c r="E7817" s="1">
        <v>19769.0</v>
      </c>
      <c r="F7817" s="10">
        <f t="shared" si="1"/>
        <v>2</v>
      </c>
      <c r="G7817" s="10">
        <f t="array" ref="G7817">index('Player ID'!C:C,match(E7817,'Player ID'!B:B,0))</f>
        <v>676684</v>
      </c>
    </row>
    <row r="7818">
      <c r="A7818" s="76">
        <v>45812.0</v>
      </c>
      <c r="B7818" s="1" t="s">
        <v>116</v>
      </c>
      <c r="C7818" s="1" t="s">
        <v>78</v>
      </c>
      <c r="D7818" s="1">
        <v>1.1</v>
      </c>
      <c r="E7818" s="1">
        <v>20353.0</v>
      </c>
      <c r="F7818" s="10">
        <f t="shared" si="1"/>
        <v>1.333333333</v>
      </c>
      <c r="G7818" s="10">
        <f t="array" ref="G7818">index('Player ID'!C:C,match(E7818,'Player ID'!B:B,0))</f>
        <v>621051</v>
      </c>
    </row>
    <row r="7819">
      <c r="A7819" s="76">
        <v>45812.0</v>
      </c>
      <c r="B7819" s="1" t="s">
        <v>566</v>
      </c>
      <c r="C7819" s="1" t="s">
        <v>62</v>
      </c>
      <c r="D7819" s="1">
        <v>3.2</v>
      </c>
      <c r="E7819" s="1">
        <v>26048.0</v>
      </c>
      <c r="F7819" s="10">
        <f t="shared" si="1"/>
        <v>3.666666667</v>
      </c>
      <c r="G7819" s="10">
        <f t="array" ref="G7819">index('Player ID'!C:C,match(E7819,'Player ID'!B:B,0))</f>
        <v>687830</v>
      </c>
    </row>
    <row r="7820">
      <c r="A7820" s="76">
        <v>45812.0</v>
      </c>
      <c r="B7820" s="1" t="s">
        <v>82</v>
      </c>
      <c r="C7820" s="1" t="s">
        <v>62</v>
      </c>
      <c r="D7820" s="1">
        <v>1.2</v>
      </c>
      <c r="E7820" s="1">
        <v>26231.0</v>
      </c>
      <c r="F7820" s="10">
        <f t="shared" si="1"/>
        <v>1.666666667</v>
      </c>
      <c r="G7820" s="10">
        <f t="array" ref="G7820">index('Player ID'!C:C,match(E7820,'Player ID'!B:B,0))</f>
        <v>663947</v>
      </c>
    </row>
    <row r="7821">
      <c r="A7821" s="76">
        <v>45812.0</v>
      </c>
      <c r="B7821" s="1" t="s">
        <v>806</v>
      </c>
      <c r="C7821" s="1" t="s">
        <v>78</v>
      </c>
      <c r="D7821" s="1">
        <v>1.0</v>
      </c>
      <c r="E7821" s="1">
        <v>26255.0</v>
      </c>
      <c r="F7821" s="10">
        <f t="shared" si="1"/>
        <v>1</v>
      </c>
      <c r="G7821" s="10">
        <f t="array" ref="G7821">index('Player ID'!C:C,match(E7821,'Player ID'!B:B,0))</f>
        <v>673965</v>
      </c>
    </row>
    <row r="7822">
      <c r="A7822" s="76">
        <v>45812.0</v>
      </c>
      <c r="B7822" s="1" t="s">
        <v>706</v>
      </c>
      <c r="C7822" s="1" t="s">
        <v>78</v>
      </c>
      <c r="D7822" s="1">
        <v>1.0</v>
      </c>
      <c r="E7822" s="1">
        <v>27472.0</v>
      </c>
      <c r="F7822" s="10">
        <f t="shared" si="1"/>
        <v>1</v>
      </c>
      <c r="G7822" s="10">
        <f t="array" ref="G7822">index('Player ID'!C:C,match(E7822,'Player ID'!B:B,0))</f>
        <v>694363</v>
      </c>
    </row>
    <row r="7823">
      <c r="A7823" s="76">
        <v>45812.0</v>
      </c>
      <c r="B7823" s="1" t="s">
        <v>367</v>
      </c>
      <c r="C7823" s="1" t="s">
        <v>78</v>
      </c>
      <c r="D7823" s="1">
        <v>1.0</v>
      </c>
      <c r="E7823" s="1">
        <v>27668.0</v>
      </c>
      <c r="F7823" s="10">
        <f t="shared" si="1"/>
        <v>1</v>
      </c>
      <c r="G7823" s="10">
        <f t="array" ref="G7823">index('Player ID'!C:C,match(E7823,'Player ID'!B:B,0))</f>
        <v>685126</v>
      </c>
    </row>
    <row r="7824">
      <c r="A7824" s="76">
        <v>45812.0</v>
      </c>
      <c r="B7824" s="1" t="s">
        <v>317</v>
      </c>
      <c r="C7824" s="1" t="s">
        <v>78</v>
      </c>
      <c r="D7824" s="1">
        <v>1.0</v>
      </c>
      <c r="E7824" s="1">
        <v>29950.0</v>
      </c>
      <c r="F7824" s="10">
        <f t="shared" si="1"/>
        <v>1</v>
      </c>
      <c r="G7824" s="10">
        <f t="array" ref="G7824">index('Player ID'!C:C,match(E7824,'Player ID'!B:B,0))</f>
        <v>673929</v>
      </c>
    </row>
    <row r="7825">
      <c r="A7825" s="76">
        <v>45812.0</v>
      </c>
      <c r="B7825" s="1" t="s">
        <v>497</v>
      </c>
      <c r="C7825" s="1" t="s">
        <v>78</v>
      </c>
      <c r="D7825" s="1">
        <v>3.2</v>
      </c>
      <c r="E7825" s="1">
        <v>30105.0</v>
      </c>
      <c r="F7825" s="10">
        <f t="shared" si="1"/>
        <v>3.666666667</v>
      </c>
      <c r="G7825" s="10">
        <f t="array" ref="G7825">index('Player ID'!C:C,match(E7825,'Player ID'!B:B,0))</f>
        <v>678024</v>
      </c>
    </row>
    <row r="7826">
      <c r="A7826" s="76">
        <v>45812.0</v>
      </c>
      <c r="B7826" s="1" t="s">
        <v>53</v>
      </c>
      <c r="C7826" s="1" t="s">
        <v>37</v>
      </c>
      <c r="D7826" s="1">
        <v>1.0</v>
      </c>
      <c r="E7826" s="1">
        <v>17170.0</v>
      </c>
      <c r="F7826" s="10">
        <f t="shared" si="1"/>
        <v>1</v>
      </c>
      <c r="G7826" s="10">
        <f t="array" ref="G7826">index('Player ID'!C:C,match(E7826,'Player ID'!B:B,0))</f>
        <v>642100</v>
      </c>
    </row>
    <row r="7827">
      <c r="A7827" s="76">
        <v>45812.0</v>
      </c>
      <c r="B7827" s="1" t="s">
        <v>639</v>
      </c>
      <c r="C7827" s="1" t="s">
        <v>68</v>
      </c>
      <c r="D7827" s="1">
        <v>1.0</v>
      </c>
      <c r="E7827" s="1">
        <v>19249.0</v>
      </c>
      <c r="F7827" s="10">
        <f t="shared" si="1"/>
        <v>1</v>
      </c>
      <c r="G7827" s="10">
        <f t="array" ref="G7827">index('Player ID'!C:C,match(E7827,'Player ID'!B:B,0))</f>
        <v>622554</v>
      </c>
    </row>
    <row r="7828">
      <c r="A7828" s="76">
        <v>45812.0</v>
      </c>
      <c r="B7828" s="1" t="s">
        <v>433</v>
      </c>
      <c r="C7828" s="1" t="s">
        <v>68</v>
      </c>
      <c r="D7828" s="1">
        <v>1.0</v>
      </c>
      <c r="E7828" s="1">
        <v>19677.0</v>
      </c>
      <c r="F7828" s="10">
        <f t="shared" si="1"/>
        <v>1</v>
      </c>
      <c r="G7828" s="10">
        <f t="array" ref="G7828">index('Player ID'!C:C,match(E7828,'Player ID'!B:B,0))</f>
        <v>642397</v>
      </c>
    </row>
    <row r="7829">
      <c r="A7829" s="76">
        <v>45812.0</v>
      </c>
      <c r="B7829" s="1" t="s">
        <v>698</v>
      </c>
      <c r="C7829" s="1" t="s">
        <v>68</v>
      </c>
      <c r="D7829" s="1">
        <v>1.0</v>
      </c>
      <c r="E7829" s="1">
        <v>20666.0</v>
      </c>
      <c r="F7829" s="10">
        <f t="shared" si="1"/>
        <v>1</v>
      </c>
      <c r="G7829" s="10">
        <f t="array" ref="G7829">index('Player ID'!C:C,match(E7829,'Player ID'!B:B,0))</f>
        <v>642585</v>
      </c>
    </row>
    <row r="7830">
      <c r="A7830" s="76">
        <v>45812.0</v>
      </c>
      <c r="B7830" s="1" t="s">
        <v>101</v>
      </c>
      <c r="C7830" s="1" t="s">
        <v>37</v>
      </c>
      <c r="D7830" s="1">
        <v>0.1</v>
      </c>
      <c r="E7830" s="1">
        <v>22915.0</v>
      </c>
      <c r="F7830" s="10">
        <f t="shared" si="1"/>
        <v>0.3333333333</v>
      </c>
      <c r="G7830" s="10">
        <f t="array" ref="G7830">index('Player ID'!C:C,match(E7830,'Player ID'!B:B,0))</f>
        <v>672841</v>
      </c>
    </row>
    <row r="7831">
      <c r="A7831" s="76">
        <v>45812.0</v>
      </c>
      <c r="B7831" s="1" t="s">
        <v>254</v>
      </c>
      <c r="C7831" s="1" t="s">
        <v>37</v>
      </c>
      <c r="D7831" s="1">
        <v>1.0</v>
      </c>
      <c r="E7831" s="1">
        <v>25756.0</v>
      </c>
      <c r="F7831" s="10">
        <f t="shared" si="1"/>
        <v>1</v>
      </c>
      <c r="G7831" s="10">
        <f t="array" ref="G7831">index('Player ID'!C:C,match(E7831,'Player ID'!B:B,0))</f>
        <v>666374</v>
      </c>
    </row>
    <row r="7832">
      <c r="A7832" s="76">
        <v>45812.0</v>
      </c>
      <c r="B7832" s="1" t="s">
        <v>235</v>
      </c>
      <c r="C7832" s="1" t="s">
        <v>68</v>
      </c>
      <c r="D7832" s="1">
        <v>0.2</v>
      </c>
      <c r="E7832" s="1">
        <v>25911.0</v>
      </c>
      <c r="F7832" s="10">
        <f t="shared" si="1"/>
        <v>0.6666666667</v>
      </c>
      <c r="G7832" s="10">
        <f t="array" ref="G7832">index('Player ID'!C:C,match(E7832,'Player ID'!B:B,0))</f>
        <v>666974</v>
      </c>
    </row>
    <row r="7833">
      <c r="A7833" s="76">
        <v>45812.0</v>
      </c>
      <c r="B7833" s="1" t="s">
        <v>340</v>
      </c>
      <c r="C7833" s="1" t="s">
        <v>37</v>
      </c>
      <c r="D7833" s="1">
        <v>1.0</v>
      </c>
      <c r="E7833" s="1">
        <v>25921.0</v>
      </c>
      <c r="F7833" s="10">
        <f t="shared" si="1"/>
        <v>1</v>
      </c>
      <c r="G7833" s="10">
        <f t="array" ref="G7833">index('Player ID'!C:C,match(E7833,'Player ID'!B:B,0))</f>
        <v>668984</v>
      </c>
    </row>
    <row r="7834">
      <c r="A7834" s="76">
        <v>45812.0</v>
      </c>
      <c r="B7834" s="1" t="s">
        <v>509</v>
      </c>
      <c r="C7834" s="1" t="s">
        <v>37</v>
      </c>
      <c r="D7834" s="1">
        <v>5.2</v>
      </c>
      <c r="E7834" s="1">
        <v>27470.0</v>
      </c>
      <c r="F7834" s="10">
        <f t="shared" si="1"/>
        <v>5.666666667</v>
      </c>
      <c r="G7834" s="10">
        <f t="array" ref="G7834">index('Player ID'!C:C,match(E7834,'Player ID'!B:B,0))</f>
        <v>676106</v>
      </c>
    </row>
    <row r="7835">
      <c r="A7835" s="76">
        <v>45812.0</v>
      </c>
      <c r="B7835" s="1" t="s">
        <v>347</v>
      </c>
      <c r="C7835" s="1" t="s">
        <v>68</v>
      </c>
      <c r="D7835" s="1">
        <v>5.1</v>
      </c>
      <c r="E7835" s="1">
        <v>30055.0</v>
      </c>
      <c r="F7835" s="10">
        <f t="shared" si="1"/>
        <v>5.333333333</v>
      </c>
      <c r="G7835" s="10">
        <f t="array" ref="G7835">index('Player ID'!C:C,match(E7835,'Player ID'!B:B,0))</f>
        <v>700249</v>
      </c>
    </row>
    <row r="7836">
      <c r="A7836" s="76">
        <v>45812.0</v>
      </c>
      <c r="B7836" s="1" t="s">
        <v>342</v>
      </c>
      <c r="C7836" s="1" t="s">
        <v>26</v>
      </c>
      <c r="D7836" s="1">
        <v>1.0</v>
      </c>
      <c r="E7836" s="1">
        <v>11861.0</v>
      </c>
      <c r="F7836" s="10">
        <f t="shared" si="1"/>
        <v>1</v>
      </c>
      <c r="G7836" s="10">
        <f t="array" ref="G7836">index('Player ID'!C:C,match(E7836,'Player ID'!B:B,0))</f>
        <v>592094</v>
      </c>
    </row>
    <row r="7837">
      <c r="A7837" s="76">
        <v>45812.0</v>
      </c>
      <c r="B7837" s="1" t="s">
        <v>404</v>
      </c>
      <c r="C7837" s="1" t="s">
        <v>26</v>
      </c>
      <c r="D7837" s="1">
        <v>1.0</v>
      </c>
      <c r="E7837" s="1">
        <v>14295.0</v>
      </c>
      <c r="F7837" s="10">
        <f t="shared" si="1"/>
        <v>1</v>
      </c>
      <c r="G7837" s="10">
        <f t="array" ref="G7837">index('Player ID'!C:C,match(E7837,'Player ID'!B:B,0))</f>
        <v>593974</v>
      </c>
    </row>
    <row r="7838">
      <c r="A7838" s="76">
        <v>45812.0</v>
      </c>
      <c r="B7838" s="1" t="s">
        <v>109</v>
      </c>
      <c r="C7838" s="1" t="s">
        <v>26</v>
      </c>
      <c r="D7838" s="1">
        <v>6.0</v>
      </c>
      <c r="E7838" s="1">
        <v>15454.0</v>
      </c>
      <c r="F7838" s="10">
        <f t="shared" si="1"/>
        <v>6</v>
      </c>
      <c r="G7838" s="10">
        <f t="array" ref="G7838">index('Player ID'!C:C,match(E7838,'Player ID'!B:B,0))</f>
        <v>601713</v>
      </c>
    </row>
    <row r="7839">
      <c r="A7839" s="76">
        <v>45812.0</v>
      </c>
      <c r="B7839" s="1" t="s">
        <v>20</v>
      </c>
      <c r="C7839" s="1" t="s">
        <v>31</v>
      </c>
      <c r="D7839" s="1">
        <v>1.0</v>
      </c>
      <c r="E7839" s="1">
        <v>15541.0</v>
      </c>
      <c r="F7839" s="10">
        <f t="shared" si="1"/>
        <v>1</v>
      </c>
      <c r="G7839" s="10">
        <f t="array" ref="G7839">index('Player ID'!C:C,match(E7839,'Player ID'!B:B,0))</f>
        <v>643511</v>
      </c>
    </row>
    <row r="7840">
      <c r="A7840" s="76">
        <v>45812.0</v>
      </c>
      <c r="B7840" s="1" t="s">
        <v>403</v>
      </c>
      <c r="C7840" s="1" t="s">
        <v>31</v>
      </c>
      <c r="D7840" s="1">
        <v>0.1</v>
      </c>
      <c r="E7840" s="1">
        <v>20423.0</v>
      </c>
      <c r="F7840" s="10">
        <f t="shared" si="1"/>
        <v>0.3333333333</v>
      </c>
      <c r="G7840" s="10">
        <f t="array" ref="G7840">index('Player ID'!C:C,match(E7840,'Player ID'!B:B,0))</f>
        <v>676254</v>
      </c>
    </row>
    <row r="7841">
      <c r="A7841" s="76">
        <v>45812.0</v>
      </c>
      <c r="B7841" s="1" t="s">
        <v>862</v>
      </c>
      <c r="C7841" s="1" t="s">
        <v>31</v>
      </c>
      <c r="D7841" s="1">
        <v>2.2</v>
      </c>
      <c r="E7841" s="1">
        <v>21481.0</v>
      </c>
      <c r="F7841" s="10">
        <f t="shared" si="1"/>
        <v>2.666666667</v>
      </c>
      <c r="G7841" s="10" t="str">
        <f t="array" ref="G7841">index('Player ID'!C:C,match(E7841,'Player ID'!B:B,0))</f>
        <v>#N/A</v>
      </c>
    </row>
    <row r="7842">
      <c r="A7842" s="76">
        <v>45812.0</v>
      </c>
      <c r="B7842" s="1" t="s">
        <v>654</v>
      </c>
      <c r="C7842" s="1" t="s">
        <v>31</v>
      </c>
      <c r="D7842" s="1">
        <v>0.2</v>
      </c>
      <c r="E7842" s="1">
        <v>23974.0</v>
      </c>
      <c r="F7842" s="10">
        <f t="shared" si="1"/>
        <v>0.6666666667</v>
      </c>
      <c r="G7842" s="10">
        <f t="array" ref="G7842">index('Player ID'!C:C,match(E7842,'Player ID'!B:B,0))</f>
        <v>678495</v>
      </c>
    </row>
    <row r="7843">
      <c r="A7843" s="76">
        <v>45812.0</v>
      </c>
      <c r="B7843" s="1" t="s">
        <v>96</v>
      </c>
      <c r="C7843" s="1" t="s">
        <v>31</v>
      </c>
      <c r="D7843" s="1">
        <v>4.1</v>
      </c>
      <c r="E7843" s="1">
        <v>27758.0</v>
      </c>
      <c r="F7843" s="10">
        <f t="shared" si="1"/>
        <v>4.333333333</v>
      </c>
      <c r="G7843" s="10">
        <f t="array" ref="G7843">index('Player ID'!C:C,match(E7843,'Player ID'!B:B,0))</f>
        <v>690986</v>
      </c>
    </row>
    <row r="7844">
      <c r="A7844" s="76">
        <v>45812.0</v>
      </c>
      <c r="B7844" s="1" t="s">
        <v>249</v>
      </c>
      <c r="C7844" s="1" t="s">
        <v>16</v>
      </c>
      <c r="D7844" s="1">
        <v>1.0</v>
      </c>
      <c r="E7844" s="1">
        <v>16727.0</v>
      </c>
      <c r="F7844" s="10">
        <f t="shared" si="1"/>
        <v>1</v>
      </c>
      <c r="G7844" s="10">
        <f t="array" ref="G7844">index('Player ID'!C:C,match(E7844,'Player ID'!B:B,0))</f>
        <v>592779</v>
      </c>
    </row>
    <row r="7845">
      <c r="A7845" s="76">
        <v>45812.0</v>
      </c>
      <c r="B7845" s="1" t="s">
        <v>336</v>
      </c>
      <c r="C7845" s="1" t="s">
        <v>52</v>
      </c>
      <c r="D7845" s="1">
        <v>6.2</v>
      </c>
      <c r="E7845" s="1">
        <v>17677.0</v>
      </c>
      <c r="F7845" s="10">
        <f t="shared" si="1"/>
        <v>6.666666667</v>
      </c>
      <c r="G7845" s="10">
        <f t="array" ref="G7845">index('Player ID'!C:C,match(E7845,'Player ID'!B:B,0))</f>
        <v>605488</v>
      </c>
    </row>
    <row r="7846">
      <c r="A7846" s="76">
        <v>45812.0</v>
      </c>
      <c r="B7846" s="1" t="s">
        <v>28</v>
      </c>
      <c r="C7846" s="1" t="s">
        <v>16</v>
      </c>
      <c r="D7846" s="1">
        <v>1.0</v>
      </c>
      <c r="E7846" s="1">
        <v>20253.0</v>
      </c>
      <c r="F7846" s="10">
        <f t="shared" si="1"/>
        <v>1</v>
      </c>
      <c r="G7846" s="10">
        <f t="array" ref="G7846">index('Player ID'!C:C,match(E7846,'Player ID'!B:B,0))</f>
        <v>643377</v>
      </c>
    </row>
    <row r="7847">
      <c r="A7847" s="76">
        <v>45812.0</v>
      </c>
      <c r="B7847" s="1" t="s">
        <v>122</v>
      </c>
      <c r="C7847" s="1" t="s">
        <v>16</v>
      </c>
      <c r="D7847" s="1">
        <v>1.0</v>
      </c>
      <c r="E7847" s="1">
        <v>21029.0</v>
      </c>
      <c r="F7847" s="10">
        <f t="shared" si="1"/>
        <v>1</v>
      </c>
      <c r="G7847" s="10">
        <f t="array" ref="G7847">index('Player ID'!C:C,match(E7847,'Player ID'!B:B,0))</f>
        <v>661395</v>
      </c>
    </row>
    <row r="7848">
      <c r="A7848" s="76">
        <v>45812.0</v>
      </c>
      <c r="B7848" s="1" t="s">
        <v>227</v>
      </c>
      <c r="C7848" s="1" t="s">
        <v>52</v>
      </c>
      <c r="D7848" s="1">
        <v>1.1</v>
      </c>
      <c r="E7848" s="1">
        <v>21520.0</v>
      </c>
      <c r="F7848" s="10">
        <f t="shared" si="1"/>
        <v>1.333333333</v>
      </c>
      <c r="G7848" s="10">
        <f t="array" ref="G7848">index('Player ID'!C:C,match(E7848,'Player ID'!B:B,0))</f>
        <v>663687</v>
      </c>
    </row>
    <row r="7849">
      <c r="A7849" s="76">
        <v>45812.0</v>
      </c>
      <c r="B7849" s="1" t="s">
        <v>47</v>
      </c>
      <c r="C7849" s="1" t="s">
        <v>16</v>
      </c>
      <c r="D7849" s="1">
        <v>1.0</v>
      </c>
      <c r="E7849" s="1">
        <v>27691.0</v>
      </c>
      <c r="F7849" s="10">
        <f t="shared" si="1"/>
        <v>1</v>
      </c>
      <c r="G7849" s="10">
        <f t="array" ref="G7849">index('Player ID'!C:C,match(E7849,'Player ID'!B:B,0))</f>
        <v>686973</v>
      </c>
    </row>
    <row r="7850">
      <c r="A7850" s="76">
        <v>45812.0</v>
      </c>
      <c r="B7850" s="1" t="s">
        <v>213</v>
      </c>
      <c r="C7850" s="1" t="s">
        <v>52</v>
      </c>
      <c r="D7850" s="1">
        <v>1.0</v>
      </c>
      <c r="E7850" s="1">
        <v>27694.0</v>
      </c>
      <c r="F7850" s="10">
        <f t="shared" si="1"/>
        <v>1</v>
      </c>
      <c r="G7850" s="10">
        <f t="array" ref="G7850">index('Player ID'!C:C,match(E7850,'Player ID'!B:B,0))</f>
        <v>686993</v>
      </c>
    </row>
    <row r="7851">
      <c r="A7851" s="76">
        <v>45812.0</v>
      </c>
      <c r="B7851" s="1" t="s">
        <v>212</v>
      </c>
      <c r="C7851" s="1" t="s">
        <v>16</v>
      </c>
      <c r="D7851" s="1">
        <v>5.0</v>
      </c>
      <c r="E7851" s="1">
        <v>31827.0</v>
      </c>
      <c r="F7851" s="10">
        <f t="shared" si="1"/>
        <v>5</v>
      </c>
      <c r="G7851" s="10">
        <f t="array" ref="G7851">index('Player ID'!C:C,match(E7851,'Player ID'!B:B,0))</f>
        <v>805673</v>
      </c>
    </row>
    <row r="7852">
      <c r="A7852" s="76">
        <v>45812.0</v>
      </c>
      <c r="B7852" s="1" t="s">
        <v>310</v>
      </c>
      <c r="C7852" s="1" t="s">
        <v>33</v>
      </c>
      <c r="D7852" s="1">
        <v>1.0</v>
      </c>
      <c r="E7852" s="1">
        <v>14706.0</v>
      </c>
      <c r="F7852" s="10">
        <f t="shared" si="1"/>
        <v>1</v>
      </c>
      <c r="G7852" s="10">
        <f t="array" ref="G7852">index('Player ID'!C:C,match(E7852,'Player ID'!B:B,0))</f>
        <v>607455</v>
      </c>
    </row>
    <row r="7853">
      <c r="A7853" s="76">
        <v>45812.0</v>
      </c>
      <c r="B7853" s="1" t="s">
        <v>503</v>
      </c>
      <c r="C7853" s="1" t="s">
        <v>33</v>
      </c>
      <c r="D7853" s="1">
        <v>1.0</v>
      </c>
      <c r="E7853" s="1">
        <v>15043.0</v>
      </c>
      <c r="F7853" s="10">
        <f t="shared" si="1"/>
        <v>1</v>
      </c>
      <c r="G7853" s="10">
        <f t="array" ref="G7853">index('Player ID'!C:C,match(E7853,'Player ID'!B:B,0))</f>
        <v>642152</v>
      </c>
    </row>
    <row r="7854">
      <c r="A7854" s="76">
        <v>45812.0</v>
      </c>
      <c r="B7854" s="1" t="s">
        <v>292</v>
      </c>
      <c r="C7854" s="1" t="s">
        <v>51</v>
      </c>
      <c r="D7854" s="1">
        <v>1.0</v>
      </c>
      <c r="E7854" s="1">
        <v>15947.0</v>
      </c>
      <c r="F7854" s="10">
        <f t="shared" si="1"/>
        <v>1</v>
      </c>
      <c r="G7854" s="10">
        <f t="array" ref="G7854">index('Player ID'!C:C,match(E7854,'Player ID'!B:B,0))</f>
        <v>592773</v>
      </c>
    </row>
    <row r="7855">
      <c r="A7855" s="76">
        <v>45812.0</v>
      </c>
      <c r="B7855" s="1" t="s">
        <v>826</v>
      </c>
      <c r="C7855" s="1" t="s">
        <v>51</v>
      </c>
      <c r="D7855" s="1">
        <v>2.0</v>
      </c>
      <c r="E7855" s="1">
        <v>17169.0</v>
      </c>
      <c r="F7855" s="10">
        <f t="shared" si="1"/>
        <v>2</v>
      </c>
      <c r="G7855" s="10">
        <f t="array" ref="G7855">index('Player ID'!C:C,match(E7855,'Player ID'!B:B,0))</f>
        <v>620454</v>
      </c>
    </row>
    <row r="7856">
      <c r="A7856" s="76">
        <v>45812.0</v>
      </c>
      <c r="B7856" s="1" t="s">
        <v>459</v>
      </c>
      <c r="C7856" s="1" t="s">
        <v>33</v>
      </c>
      <c r="D7856" s="1">
        <v>5.0</v>
      </c>
      <c r="E7856" s="1">
        <v>19388.0</v>
      </c>
      <c r="F7856" s="10">
        <f t="shared" si="1"/>
        <v>5</v>
      </c>
      <c r="G7856" s="10">
        <f t="array" ref="G7856">index('Player ID'!C:C,match(E7856,'Player ID'!B:B,0))</f>
        <v>664062</v>
      </c>
    </row>
    <row r="7857">
      <c r="A7857" s="76">
        <v>45812.0</v>
      </c>
      <c r="B7857" s="1" t="s">
        <v>382</v>
      </c>
      <c r="C7857" s="1" t="s">
        <v>51</v>
      </c>
      <c r="D7857" s="1">
        <v>6.0</v>
      </c>
      <c r="E7857" s="1">
        <v>19867.0</v>
      </c>
      <c r="F7857" s="10">
        <f t="shared" si="1"/>
        <v>6</v>
      </c>
      <c r="G7857" s="10">
        <f t="array" ref="G7857">index('Player ID'!C:C,match(E7857,'Player ID'!B:B,0))</f>
        <v>656288</v>
      </c>
    </row>
    <row r="7858">
      <c r="A7858" s="76">
        <v>45812.0</v>
      </c>
      <c r="B7858" s="1" t="s">
        <v>771</v>
      </c>
      <c r="C7858" s="1" t="s">
        <v>33</v>
      </c>
      <c r="D7858" s="1">
        <v>2.0</v>
      </c>
      <c r="E7858" s="1">
        <v>29521.0</v>
      </c>
      <c r="F7858" s="10">
        <f t="shared" si="1"/>
        <v>2</v>
      </c>
      <c r="G7858" s="10">
        <f t="array" ref="G7858">index('Player ID'!C:C,match(E7858,'Player ID'!B:B,0))</f>
        <v>702795</v>
      </c>
    </row>
    <row r="7859">
      <c r="A7859" s="76">
        <v>45813.0</v>
      </c>
      <c r="B7859" s="1" t="s">
        <v>287</v>
      </c>
      <c r="C7859" s="1" t="s">
        <v>72</v>
      </c>
      <c r="D7859" s="1">
        <v>6.0</v>
      </c>
      <c r="E7859" s="1">
        <v>9803.0</v>
      </c>
      <c r="F7859" s="10">
        <f t="shared" si="1"/>
        <v>6</v>
      </c>
      <c r="G7859" s="10">
        <f t="array" ref="G7859">index('Player ID'!C:C,match(E7859,'Player ID'!B:B,0))</f>
        <v>571945</v>
      </c>
    </row>
    <row r="7860">
      <c r="A7860" s="76">
        <v>45813.0</v>
      </c>
      <c r="B7860" s="1" t="s">
        <v>649</v>
      </c>
      <c r="C7860" s="1" t="s">
        <v>29</v>
      </c>
      <c r="D7860" s="1">
        <v>0.1</v>
      </c>
      <c r="E7860" s="1">
        <v>14542.0</v>
      </c>
      <c r="F7860" s="10">
        <f t="shared" si="1"/>
        <v>0.3333333333</v>
      </c>
      <c r="G7860" s="10">
        <f t="array" ref="G7860">index('Player ID'!C:C,match(E7860,'Player ID'!B:B,0))</f>
        <v>608032</v>
      </c>
    </row>
    <row r="7861">
      <c r="A7861" s="76">
        <v>45813.0</v>
      </c>
      <c r="B7861" s="1" t="s">
        <v>199</v>
      </c>
      <c r="C7861" s="1" t="s">
        <v>29</v>
      </c>
      <c r="D7861" s="1">
        <v>0.2</v>
      </c>
      <c r="E7861" s="1">
        <v>17611.0</v>
      </c>
      <c r="F7861" s="10">
        <f t="shared" si="1"/>
        <v>0.6666666667</v>
      </c>
      <c r="G7861" s="10">
        <f t="array" ref="G7861">index('Player ID'!C:C,match(E7861,'Player ID'!B:B,0))</f>
        <v>664199</v>
      </c>
    </row>
    <row r="7862">
      <c r="A7862" s="76">
        <v>45813.0</v>
      </c>
      <c r="B7862" s="1" t="s">
        <v>270</v>
      </c>
      <c r="C7862" s="1" t="s">
        <v>72</v>
      </c>
      <c r="D7862" s="1">
        <v>1.0</v>
      </c>
      <c r="E7862" s="1">
        <v>18138.0</v>
      </c>
      <c r="F7862" s="10">
        <f t="shared" si="1"/>
        <v>1</v>
      </c>
      <c r="G7862" s="10">
        <f t="array" ref="G7862">index('Player ID'!C:C,match(E7862,'Player ID'!B:B,0))</f>
        <v>664854</v>
      </c>
    </row>
    <row r="7863">
      <c r="A7863" s="76">
        <v>45813.0</v>
      </c>
      <c r="B7863" s="1" t="s">
        <v>193</v>
      </c>
      <c r="C7863" s="1" t="s">
        <v>72</v>
      </c>
      <c r="D7863" s="1">
        <v>1.0</v>
      </c>
      <c r="E7863" s="1">
        <v>19574.0</v>
      </c>
      <c r="F7863" s="10">
        <f t="shared" si="1"/>
        <v>1</v>
      </c>
      <c r="G7863" s="10">
        <f t="array" ref="G7863">index('Player ID'!C:C,match(E7863,'Player ID'!B:B,0))</f>
        <v>668941</v>
      </c>
    </row>
    <row r="7864">
      <c r="A7864" s="76">
        <v>45813.0</v>
      </c>
      <c r="B7864" s="1" t="s">
        <v>144</v>
      </c>
      <c r="C7864" s="1" t="s">
        <v>29</v>
      </c>
      <c r="D7864" s="1">
        <v>0.1</v>
      </c>
      <c r="E7864" s="1">
        <v>20020.0</v>
      </c>
      <c r="F7864" s="10">
        <f t="shared" si="1"/>
        <v>0.3333333333</v>
      </c>
      <c r="G7864" s="10">
        <f t="array" ref="G7864">index('Player ID'!C:C,match(E7864,'Player ID'!B:B,0))</f>
        <v>670167</v>
      </c>
    </row>
    <row r="7865">
      <c r="A7865" s="76">
        <v>45813.0</v>
      </c>
      <c r="B7865" s="1" t="s">
        <v>409</v>
      </c>
      <c r="C7865" s="1" t="s">
        <v>72</v>
      </c>
      <c r="D7865" s="1">
        <v>1.2</v>
      </c>
      <c r="E7865" s="1">
        <v>20348.0</v>
      </c>
      <c r="F7865" s="10">
        <f t="shared" si="1"/>
        <v>1.666666667</v>
      </c>
      <c r="G7865" s="10">
        <f t="array" ref="G7865">index('Player ID'!C:C,match(E7865,'Player ID'!B:B,0))</f>
        <v>676617</v>
      </c>
    </row>
    <row r="7866">
      <c r="A7866" s="76">
        <v>45813.0</v>
      </c>
      <c r="B7866" s="1" t="s">
        <v>293</v>
      </c>
      <c r="C7866" s="1" t="s">
        <v>29</v>
      </c>
      <c r="D7866" s="1">
        <v>1.0</v>
      </c>
      <c r="E7866" s="1">
        <v>21537.0</v>
      </c>
      <c r="F7866" s="10">
        <f t="shared" si="1"/>
        <v>1</v>
      </c>
      <c r="G7866" s="10">
        <f t="array" ref="G7866">index('Player ID'!C:C,match(E7866,'Player ID'!B:B,0))</f>
        <v>663738</v>
      </c>
    </row>
    <row r="7867">
      <c r="A7867" s="76">
        <v>45813.0</v>
      </c>
      <c r="B7867" s="1" t="s">
        <v>273</v>
      </c>
      <c r="C7867" s="1" t="s">
        <v>72</v>
      </c>
      <c r="D7867" s="1">
        <v>0.1</v>
      </c>
      <c r="E7867" s="1">
        <v>22051.0</v>
      </c>
      <c r="F7867" s="10">
        <f t="shared" si="1"/>
        <v>0.3333333333</v>
      </c>
      <c r="G7867" s="10">
        <f t="array" ref="G7867">index('Player ID'!C:C,match(E7867,'Player ID'!B:B,0))</f>
        <v>667463</v>
      </c>
    </row>
    <row r="7868">
      <c r="A7868" s="76">
        <v>45813.0</v>
      </c>
      <c r="B7868" s="1" t="s">
        <v>236</v>
      </c>
      <c r="C7868" s="1" t="s">
        <v>29</v>
      </c>
      <c r="D7868" s="1">
        <v>1.0</v>
      </c>
      <c r="E7868" s="1">
        <v>24607.0</v>
      </c>
      <c r="F7868" s="10">
        <f t="shared" si="1"/>
        <v>1</v>
      </c>
      <c r="G7868" s="10">
        <f t="array" ref="G7868">index('Player ID'!C:C,match(E7868,'Player ID'!B:B,0))</f>
        <v>680742</v>
      </c>
    </row>
    <row r="7869">
      <c r="A7869" s="76">
        <v>45813.0</v>
      </c>
      <c r="B7869" s="1" t="s">
        <v>161</v>
      </c>
      <c r="C7869" s="1" t="s">
        <v>29</v>
      </c>
      <c r="D7869" s="1">
        <v>6.0</v>
      </c>
      <c r="E7869" s="1">
        <v>30184.0</v>
      </c>
      <c r="F7869" s="10">
        <f t="shared" si="1"/>
        <v>6</v>
      </c>
      <c r="G7869" s="10">
        <f t="array" ref="G7869">index('Player ID'!C:C,match(E7869,'Player ID'!B:B,0))</f>
        <v>702070</v>
      </c>
    </row>
    <row r="7870">
      <c r="A7870" s="76">
        <v>45813.0</v>
      </c>
      <c r="B7870" s="1" t="s">
        <v>103</v>
      </c>
      <c r="C7870" s="1" t="s">
        <v>64</v>
      </c>
      <c r="D7870" s="1">
        <v>1.0</v>
      </c>
      <c r="E7870" s="1">
        <v>10197.0</v>
      </c>
      <c r="F7870" s="10">
        <f t="shared" si="1"/>
        <v>1</v>
      </c>
      <c r="G7870" s="10">
        <f t="array" ref="G7870">index('Player ID'!C:C,match(E7870,'Player ID'!B:B,0))</f>
        <v>571946</v>
      </c>
    </row>
    <row r="7871">
      <c r="A7871" s="76">
        <v>45813.0</v>
      </c>
      <c r="B7871" s="1" t="s">
        <v>763</v>
      </c>
      <c r="C7871" s="1" t="s">
        <v>64</v>
      </c>
      <c r="D7871" s="1">
        <v>1.0</v>
      </c>
      <c r="E7871" s="1">
        <v>15514.0</v>
      </c>
      <c r="F7871" s="10">
        <f t="shared" si="1"/>
        <v>1</v>
      </c>
      <c r="G7871" s="10">
        <f t="array" ref="G7871">index('Player ID'!C:C,match(E7871,'Player ID'!B:B,0))</f>
        <v>608665</v>
      </c>
    </row>
    <row r="7872">
      <c r="A7872" s="76">
        <v>45813.0</v>
      </c>
      <c r="B7872" s="1" t="s">
        <v>319</v>
      </c>
      <c r="C7872" s="1" t="s">
        <v>46</v>
      </c>
      <c r="D7872" s="1">
        <v>1.2</v>
      </c>
      <c r="E7872" s="1">
        <v>16258.0</v>
      </c>
      <c r="F7872" s="10">
        <f t="shared" si="1"/>
        <v>1.666666667</v>
      </c>
      <c r="G7872" s="10">
        <f t="array" ref="G7872">index('Player ID'!C:C,match(E7872,'Player ID'!B:B,0))</f>
        <v>607481</v>
      </c>
    </row>
    <row r="7873">
      <c r="A7873" s="76">
        <v>45813.0</v>
      </c>
      <c r="B7873" s="1" t="s">
        <v>233</v>
      </c>
      <c r="C7873" s="1" t="s">
        <v>46</v>
      </c>
      <c r="D7873" s="1">
        <v>1.1</v>
      </c>
      <c r="E7873" s="1">
        <v>16427.0</v>
      </c>
      <c r="F7873" s="10">
        <f t="shared" si="1"/>
        <v>1.333333333</v>
      </c>
      <c r="G7873" s="10">
        <f t="array" ref="G7873">index('Player ID'!C:C,match(E7873,'Player ID'!B:B,0))</f>
        <v>656240</v>
      </c>
    </row>
    <row r="7874">
      <c r="A7874" s="76">
        <v>45813.0</v>
      </c>
      <c r="B7874" s="1" t="s">
        <v>366</v>
      </c>
      <c r="C7874" s="1" t="s">
        <v>46</v>
      </c>
      <c r="D7874" s="1">
        <v>3.1</v>
      </c>
      <c r="E7874" s="1">
        <v>16944.0</v>
      </c>
      <c r="F7874" s="10">
        <f t="shared" si="1"/>
        <v>3.333333333</v>
      </c>
      <c r="G7874" s="10">
        <f t="array" ref="G7874">index('Player ID'!C:C,match(E7874,'Player ID'!B:B,0))</f>
        <v>656550</v>
      </c>
    </row>
    <row r="7875">
      <c r="A7875" s="76">
        <v>45813.0</v>
      </c>
      <c r="B7875" s="1" t="s">
        <v>184</v>
      </c>
      <c r="C7875" s="1" t="s">
        <v>46</v>
      </c>
      <c r="D7875" s="1">
        <v>0.2</v>
      </c>
      <c r="E7875" s="1">
        <v>17130.0</v>
      </c>
      <c r="F7875" s="10">
        <f t="shared" si="1"/>
        <v>0.6666666667</v>
      </c>
      <c r="G7875" s="10">
        <f t="array" ref="G7875">index('Player ID'!C:C,match(E7875,'Player ID'!B:B,0))</f>
        <v>628452</v>
      </c>
    </row>
    <row r="7876">
      <c r="A7876" s="76">
        <v>45813.0</v>
      </c>
      <c r="B7876" s="1" t="s">
        <v>346</v>
      </c>
      <c r="C7876" s="1" t="s">
        <v>46</v>
      </c>
      <c r="D7876" s="1">
        <v>2.0</v>
      </c>
      <c r="E7876" s="1">
        <v>18403.0</v>
      </c>
      <c r="F7876" s="10">
        <f t="shared" si="1"/>
        <v>2</v>
      </c>
      <c r="G7876" s="10">
        <f t="array" ref="G7876">index('Player ID'!C:C,match(E7876,'Player ID'!B:B,0))</f>
        <v>660853</v>
      </c>
    </row>
    <row r="7877">
      <c r="A7877" s="76">
        <v>45813.0</v>
      </c>
      <c r="B7877" s="1" t="s">
        <v>596</v>
      </c>
      <c r="C7877" s="1" t="s">
        <v>64</v>
      </c>
      <c r="D7877" s="1">
        <v>4.0</v>
      </c>
      <c r="E7877" s="1">
        <v>26285.0</v>
      </c>
      <c r="F7877" s="10">
        <f t="shared" si="1"/>
        <v>4</v>
      </c>
      <c r="G7877" s="10">
        <f t="array" ref="G7877">index('Player ID'!C:C,match(E7877,'Player ID'!B:B,0))</f>
        <v>674072</v>
      </c>
    </row>
    <row r="7878">
      <c r="A7878" s="76">
        <v>45813.0</v>
      </c>
      <c r="B7878" s="1" t="s">
        <v>263</v>
      </c>
      <c r="C7878" s="1" t="s">
        <v>64</v>
      </c>
      <c r="D7878" s="1">
        <v>3.0</v>
      </c>
      <c r="E7878" s="1">
        <v>27782.0</v>
      </c>
      <c r="F7878" s="10">
        <f t="shared" si="1"/>
        <v>3</v>
      </c>
      <c r="G7878" s="10">
        <f t="array" ref="G7878">index('Player ID'!C:C,match(E7878,'Player ID'!B:B,0))</f>
        <v>694297</v>
      </c>
    </row>
    <row r="7879">
      <c r="A7879" s="76">
        <v>45813.0</v>
      </c>
      <c r="B7879" s="1" t="s">
        <v>439</v>
      </c>
      <c r="C7879" s="1" t="s">
        <v>62</v>
      </c>
      <c r="D7879" s="1">
        <v>1.0</v>
      </c>
      <c r="E7879" s="1">
        <v>11384.0</v>
      </c>
      <c r="F7879" s="10">
        <f t="shared" si="1"/>
        <v>1</v>
      </c>
      <c r="G7879" s="10">
        <f t="array" ref="G7879">index('Player ID'!C:C,match(E7879,'Player ID'!B:B,0))</f>
        <v>592454</v>
      </c>
    </row>
    <row r="7880">
      <c r="A7880" s="76">
        <v>45813.0</v>
      </c>
      <c r="B7880" s="1" t="s">
        <v>252</v>
      </c>
      <c r="C7880" s="1" t="s">
        <v>78</v>
      </c>
      <c r="D7880" s="1">
        <v>1.0</v>
      </c>
      <c r="E7880" s="1">
        <v>16061.0</v>
      </c>
      <c r="F7880" s="10">
        <f t="shared" si="1"/>
        <v>1</v>
      </c>
      <c r="G7880" s="10">
        <f t="array" ref="G7880">index('Player ID'!C:C,match(E7880,'Player ID'!B:B,0))</f>
        <v>592155</v>
      </c>
    </row>
    <row r="7881">
      <c r="A7881" s="76">
        <v>45813.0</v>
      </c>
      <c r="B7881" s="1" t="s">
        <v>851</v>
      </c>
      <c r="C7881" s="1" t="s">
        <v>78</v>
      </c>
      <c r="D7881" s="1">
        <v>1.0</v>
      </c>
      <c r="E7881" s="1">
        <v>16507.0</v>
      </c>
      <c r="F7881" s="10">
        <f t="shared" si="1"/>
        <v>1</v>
      </c>
      <c r="G7881" s="10" t="str">
        <f t="array" ref="G7881">index('Player ID'!C:C,match(E7881,'Player ID'!B:B,0))</f>
        <v>#N/A</v>
      </c>
    </row>
    <row r="7882">
      <c r="A7882" s="76">
        <v>45813.0</v>
      </c>
      <c r="B7882" s="1" t="s">
        <v>116</v>
      </c>
      <c r="C7882" s="1" t="s">
        <v>78</v>
      </c>
      <c r="D7882" s="1">
        <v>1.0</v>
      </c>
      <c r="E7882" s="1">
        <v>20353.0</v>
      </c>
      <c r="F7882" s="10">
        <f t="shared" si="1"/>
        <v>1</v>
      </c>
      <c r="G7882" s="10">
        <f t="array" ref="G7882">index('Player ID'!C:C,match(E7882,'Player ID'!B:B,0))</f>
        <v>621051</v>
      </c>
    </row>
    <row r="7883">
      <c r="A7883" s="76">
        <v>45813.0</v>
      </c>
      <c r="B7883" s="1" t="s">
        <v>125</v>
      </c>
      <c r="C7883" s="1" t="s">
        <v>62</v>
      </c>
      <c r="D7883" s="1">
        <v>4.2</v>
      </c>
      <c r="E7883" s="1">
        <v>20492.0</v>
      </c>
      <c r="F7883" s="10">
        <f t="shared" si="1"/>
        <v>4.666666667</v>
      </c>
      <c r="G7883" s="10">
        <f t="array" ref="G7883">index('Player ID'!C:C,match(E7883,'Player ID'!B:B,0))</f>
        <v>663554</v>
      </c>
    </row>
    <row r="7884">
      <c r="A7884" s="76">
        <v>45813.0</v>
      </c>
      <c r="B7884" s="1" t="s">
        <v>289</v>
      </c>
      <c r="C7884" s="1" t="s">
        <v>62</v>
      </c>
      <c r="D7884" s="1">
        <v>1.1</v>
      </c>
      <c r="E7884" s="1">
        <v>22304.0</v>
      </c>
      <c r="F7884" s="10">
        <f t="shared" si="1"/>
        <v>1.333333333</v>
      </c>
      <c r="G7884" s="10">
        <f t="array" ref="G7884">index('Player ID'!C:C,match(E7884,'Player ID'!B:B,0))</f>
        <v>669724</v>
      </c>
    </row>
    <row r="7885">
      <c r="A7885" s="76">
        <v>45813.0</v>
      </c>
      <c r="B7885" s="1" t="s">
        <v>667</v>
      </c>
      <c r="C7885" s="1" t="s">
        <v>62</v>
      </c>
      <c r="D7885" s="1">
        <v>0.1</v>
      </c>
      <c r="E7885" s="1">
        <v>26079.0</v>
      </c>
      <c r="F7885" s="10">
        <f t="shared" si="1"/>
        <v>0.3333333333</v>
      </c>
      <c r="G7885" s="10">
        <f t="array" ref="G7885">index('Player ID'!C:C,match(E7885,'Player ID'!B:B,0))</f>
        <v>689225</v>
      </c>
    </row>
    <row r="7886">
      <c r="A7886" s="76">
        <v>45813.0</v>
      </c>
      <c r="B7886" s="1" t="s">
        <v>356</v>
      </c>
      <c r="C7886" s="1" t="s">
        <v>78</v>
      </c>
      <c r="D7886" s="1">
        <v>7.0</v>
      </c>
      <c r="E7886" s="1">
        <v>29878.0</v>
      </c>
      <c r="F7886" s="10">
        <f t="shared" si="1"/>
        <v>7</v>
      </c>
      <c r="G7886" s="10">
        <f t="array" ref="G7886">index('Player ID'!C:C,match(E7886,'Player ID'!B:B,0))</f>
        <v>680732</v>
      </c>
    </row>
    <row r="7887">
      <c r="A7887" s="76">
        <v>45813.0</v>
      </c>
      <c r="B7887" s="1" t="s">
        <v>487</v>
      </c>
      <c r="C7887" s="1" t="s">
        <v>62</v>
      </c>
      <c r="D7887" s="1">
        <v>2.0</v>
      </c>
      <c r="E7887" s="1">
        <v>30133.0</v>
      </c>
      <c r="F7887" s="10">
        <f t="shared" si="1"/>
        <v>2</v>
      </c>
      <c r="G7887" s="10">
        <f t="array" ref="G7887">index('Player ID'!C:C,match(E7887,'Player ID'!B:B,0))</f>
        <v>676428</v>
      </c>
    </row>
    <row r="7888">
      <c r="A7888" s="76">
        <v>45813.0</v>
      </c>
      <c r="B7888" s="1" t="s">
        <v>453</v>
      </c>
      <c r="C7888" s="1" t="s">
        <v>45</v>
      </c>
      <c r="D7888" s="1">
        <v>1.0</v>
      </c>
      <c r="E7888" s="1">
        <v>11836.0</v>
      </c>
      <c r="F7888" s="10">
        <f t="shared" si="1"/>
        <v>1</v>
      </c>
      <c r="G7888" s="10">
        <f t="array" ref="G7888">index('Player ID'!C:C,match(E7888,'Player ID'!B:B,0))</f>
        <v>592836</v>
      </c>
    </row>
    <row r="7889">
      <c r="A7889" s="76">
        <v>45813.0</v>
      </c>
      <c r="B7889" s="1" t="s">
        <v>456</v>
      </c>
      <c r="C7889" s="1" t="s">
        <v>40</v>
      </c>
      <c r="D7889" s="1">
        <v>7.0</v>
      </c>
      <c r="E7889" s="1">
        <v>12304.0</v>
      </c>
      <c r="F7889" s="10">
        <f t="shared" si="1"/>
        <v>7</v>
      </c>
      <c r="G7889" s="10">
        <f t="array" ref="G7889">index('Player ID'!C:C,match(E7889,'Player ID'!B:B,0))</f>
        <v>605135</v>
      </c>
    </row>
    <row r="7890">
      <c r="A7890" s="76">
        <v>45813.0</v>
      </c>
      <c r="B7890" s="1" t="s">
        <v>858</v>
      </c>
      <c r="C7890" s="1" t="s">
        <v>40</v>
      </c>
      <c r="D7890" s="1">
        <v>1.0</v>
      </c>
      <c r="E7890" s="1">
        <v>16587.0</v>
      </c>
      <c r="F7890" s="10">
        <f t="shared" si="1"/>
        <v>1</v>
      </c>
      <c r="G7890" s="10" t="str">
        <f t="array" ref="G7890">index('Player ID'!C:C,match(E7890,'Player ID'!B:B,0))</f>
        <v>#N/A</v>
      </c>
    </row>
    <row r="7891">
      <c r="A7891" s="76">
        <v>45813.0</v>
      </c>
      <c r="B7891" s="1" t="s">
        <v>855</v>
      </c>
      <c r="C7891" s="1" t="s">
        <v>45</v>
      </c>
      <c r="D7891" s="1">
        <v>1.0</v>
      </c>
      <c r="E7891" s="1">
        <v>19358.0</v>
      </c>
      <c r="F7891" s="10">
        <f t="shared" si="1"/>
        <v>1</v>
      </c>
      <c r="G7891" s="10" t="str">
        <f t="array" ref="G7891">index('Player ID'!C:C,match(E7891,'Player ID'!B:B,0))</f>
        <v>#N/A</v>
      </c>
    </row>
    <row r="7892">
      <c r="A7892" s="76">
        <v>45813.0</v>
      </c>
      <c r="B7892" s="1" t="s">
        <v>700</v>
      </c>
      <c r="C7892" s="1" t="s">
        <v>45</v>
      </c>
      <c r="D7892" s="1">
        <v>2.1</v>
      </c>
      <c r="E7892" s="1">
        <v>19959.0</v>
      </c>
      <c r="F7892" s="10">
        <f t="shared" si="1"/>
        <v>2.333333333</v>
      </c>
      <c r="G7892" s="10">
        <f t="array" ref="G7892">index('Player ID'!C:C,match(E7892,'Player ID'!B:B,0))</f>
        <v>666200</v>
      </c>
    </row>
    <row r="7893">
      <c r="A7893" s="76">
        <v>45813.0</v>
      </c>
      <c r="B7893" s="1" t="s">
        <v>258</v>
      </c>
      <c r="C7893" s="1" t="s">
        <v>45</v>
      </c>
      <c r="D7893" s="1">
        <v>1.2</v>
      </c>
      <c r="E7893" s="1">
        <v>23426.0</v>
      </c>
      <c r="F7893" s="10">
        <f t="shared" si="1"/>
        <v>1.666666667</v>
      </c>
      <c r="G7893" s="10" t="str">
        <f t="array" ref="G7893">index('Player ID'!C:C,match(E7893,'Player ID'!B:B,0))</f>
        <v>#N/A</v>
      </c>
    </row>
    <row r="7894">
      <c r="A7894" s="76">
        <v>45813.0</v>
      </c>
      <c r="B7894" s="1" t="s">
        <v>863</v>
      </c>
      <c r="C7894" s="1" t="s">
        <v>45</v>
      </c>
      <c r="D7894" s="1">
        <v>2.0</v>
      </c>
      <c r="E7894" s="1">
        <v>26020.0</v>
      </c>
      <c r="F7894" s="10">
        <f t="shared" si="1"/>
        <v>2</v>
      </c>
      <c r="G7894" s="10" t="str">
        <f t="array" ref="G7894">index('Player ID'!C:C,match(E7894,'Player ID'!B:B,0))</f>
        <v>#N/A</v>
      </c>
    </row>
    <row r="7895">
      <c r="A7895" s="76">
        <v>45813.0</v>
      </c>
      <c r="B7895" s="1" t="s">
        <v>142</v>
      </c>
      <c r="C7895" s="1" t="s">
        <v>40</v>
      </c>
      <c r="D7895" s="1">
        <v>1.0</v>
      </c>
      <c r="E7895" s="1">
        <v>31553.0</v>
      </c>
      <c r="F7895" s="10">
        <f t="shared" si="1"/>
        <v>1</v>
      </c>
      <c r="G7895" s="10">
        <f t="array" ref="G7895">index('Player ID'!C:C,match(E7895,'Player ID'!B:B,0))</f>
        <v>689254</v>
      </c>
    </row>
    <row r="7896">
      <c r="A7896" s="76">
        <v>45813.0</v>
      </c>
      <c r="B7896" s="1" t="s">
        <v>436</v>
      </c>
      <c r="C7896" s="1" t="s">
        <v>52</v>
      </c>
      <c r="D7896" s="1">
        <v>1.1</v>
      </c>
      <c r="E7896" s="1">
        <v>12791.0</v>
      </c>
      <c r="F7896" s="10">
        <f t="shared" si="1"/>
        <v>1.333333333</v>
      </c>
      <c r="G7896" s="10" t="str">
        <f t="array" ref="G7896">index('Player ID'!C:C,match(E7896,'Player ID'!B:B,0))</f>
        <v>#N/A</v>
      </c>
    </row>
    <row r="7897">
      <c r="A7897" s="76">
        <v>45813.0</v>
      </c>
      <c r="B7897" s="1" t="s">
        <v>415</v>
      </c>
      <c r="C7897" s="1" t="s">
        <v>52</v>
      </c>
      <c r="D7897" s="1">
        <v>1.2</v>
      </c>
      <c r="E7897" s="1">
        <v>16943.0</v>
      </c>
      <c r="F7897" s="10">
        <f t="shared" si="1"/>
        <v>1.666666667</v>
      </c>
      <c r="G7897" s="10">
        <f t="array" ref="G7897">index('Player ID'!C:C,match(E7897,'Player ID'!B:B,0))</f>
        <v>656794</v>
      </c>
    </row>
    <row r="7898">
      <c r="A7898" s="76">
        <v>45813.0</v>
      </c>
      <c r="B7898" s="1" t="s">
        <v>397</v>
      </c>
      <c r="C7898" s="1" t="s">
        <v>16</v>
      </c>
      <c r="D7898" s="1">
        <v>0.1</v>
      </c>
      <c r="E7898" s="1">
        <v>19459.0</v>
      </c>
      <c r="F7898" s="10">
        <f t="shared" si="1"/>
        <v>0.3333333333</v>
      </c>
      <c r="G7898" s="10">
        <f t="array" ref="G7898">index('Player ID'!C:C,match(E7898,'Player ID'!B:B,0))</f>
        <v>660896</v>
      </c>
    </row>
    <row r="7899">
      <c r="A7899" s="76">
        <v>45813.0</v>
      </c>
      <c r="B7899" s="1" t="s">
        <v>864</v>
      </c>
      <c r="C7899" s="1" t="s">
        <v>16</v>
      </c>
      <c r="D7899" s="1">
        <v>2.0</v>
      </c>
      <c r="E7899" s="1">
        <v>24703.0</v>
      </c>
      <c r="F7899" s="10">
        <f t="shared" si="1"/>
        <v>2</v>
      </c>
      <c r="G7899" s="10" t="str">
        <f t="array" ref="G7899">index('Player ID'!C:C,match(E7899,'Player ID'!B:B,0))</f>
        <v>#N/A</v>
      </c>
    </row>
    <row r="7900">
      <c r="A7900" s="76">
        <v>45813.0</v>
      </c>
      <c r="B7900" s="1" t="s">
        <v>333</v>
      </c>
      <c r="C7900" s="1" t="s">
        <v>16</v>
      </c>
      <c r="D7900" s="1">
        <v>2.0</v>
      </c>
      <c r="E7900" s="1">
        <v>24993.0</v>
      </c>
      <c r="F7900" s="10">
        <f t="shared" si="1"/>
        <v>2</v>
      </c>
      <c r="G7900" s="10">
        <f t="array" ref="G7900">index('Player ID'!C:C,match(E7900,'Player ID'!B:B,0))</f>
        <v>681892</v>
      </c>
    </row>
    <row r="7901">
      <c r="A7901" s="76">
        <v>45813.0</v>
      </c>
      <c r="B7901" s="1" t="s">
        <v>127</v>
      </c>
      <c r="C7901" s="1" t="s">
        <v>52</v>
      </c>
      <c r="D7901" s="1">
        <v>5.0</v>
      </c>
      <c r="E7901" s="1">
        <v>27707.0</v>
      </c>
      <c r="F7901" s="10">
        <f t="shared" si="1"/>
        <v>5</v>
      </c>
      <c r="G7901" s="10">
        <f t="array" ref="G7901">index('Player ID'!C:C,match(E7901,'Player ID'!B:B,0))</f>
        <v>687765</v>
      </c>
    </row>
    <row r="7902">
      <c r="A7902" s="76">
        <v>45813.0</v>
      </c>
      <c r="B7902" s="1" t="s">
        <v>253</v>
      </c>
      <c r="C7902" s="1" t="s">
        <v>16</v>
      </c>
      <c r="D7902" s="1">
        <v>3.2</v>
      </c>
      <c r="E7902" s="1">
        <v>30056.0</v>
      </c>
      <c r="F7902" s="10">
        <f t="shared" si="1"/>
        <v>3.666666667</v>
      </c>
      <c r="G7902" s="10">
        <f t="array" ref="G7902">index('Player ID'!C:C,match(E7902,'Player ID'!B:B,0))</f>
        <v>701581</v>
      </c>
    </row>
    <row r="7903">
      <c r="A7903" s="76">
        <v>45813.0</v>
      </c>
      <c r="B7903" s="1" t="s">
        <v>286</v>
      </c>
      <c r="C7903" s="1" t="s">
        <v>52</v>
      </c>
      <c r="D7903" s="1">
        <v>1.0</v>
      </c>
      <c r="E7903" s="1">
        <v>31757.0</v>
      </c>
      <c r="F7903" s="10">
        <f t="shared" si="1"/>
        <v>1</v>
      </c>
      <c r="G7903" s="10">
        <f t="array" ref="G7903">index('Player ID'!C:C,match(E7903,'Player ID'!B:B,0))</f>
        <v>695243</v>
      </c>
    </row>
    <row r="7904">
      <c r="A7904" s="76">
        <v>45813.0</v>
      </c>
      <c r="B7904" s="1" t="s">
        <v>48</v>
      </c>
      <c r="C7904" s="1" t="s">
        <v>68</v>
      </c>
      <c r="D7904" s="1">
        <v>1.0</v>
      </c>
      <c r="E7904" s="1">
        <v>12828.0</v>
      </c>
      <c r="F7904" s="10">
        <f t="shared" si="1"/>
        <v>1</v>
      </c>
      <c r="G7904" s="10" t="str">
        <f t="array" ref="G7904">index('Player ID'!C:C,match(E7904,'Player ID'!B:B,0))</f>
        <v>#N/A</v>
      </c>
    </row>
    <row r="7905">
      <c r="A7905" s="76">
        <v>45813.0</v>
      </c>
      <c r="B7905" s="1" t="s">
        <v>216</v>
      </c>
      <c r="C7905" s="1" t="s">
        <v>68</v>
      </c>
      <c r="D7905" s="1">
        <v>6.0</v>
      </c>
      <c r="E7905" s="1">
        <v>13774.0</v>
      </c>
      <c r="F7905" s="10">
        <f t="shared" si="1"/>
        <v>6</v>
      </c>
      <c r="G7905" s="10">
        <f t="array" ref="G7905">index('Player ID'!C:C,match(E7905,'Player ID'!B:B,0))</f>
        <v>621107</v>
      </c>
    </row>
    <row r="7906">
      <c r="A7906" s="76">
        <v>45813.0</v>
      </c>
      <c r="B7906" s="1" t="s">
        <v>53</v>
      </c>
      <c r="C7906" s="1" t="s">
        <v>37</v>
      </c>
      <c r="D7906" s="1">
        <v>1.0</v>
      </c>
      <c r="E7906" s="1">
        <v>17170.0</v>
      </c>
      <c r="F7906" s="10">
        <f t="shared" si="1"/>
        <v>1</v>
      </c>
      <c r="G7906" s="10">
        <f t="array" ref="G7906">index('Player ID'!C:C,match(E7906,'Player ID'!B:B,0))</f>
        <v>642100</v>
      </c>
    </row>
    <row r="7907">
      <c r="A7907" s="76">
        <v>45813.0</v>
      </c>
      <c r="B7907" s="1" t="s">
        <v>231</v>
      </c>
      <c r="C7907" s="1" t="s">
        <v>68</v>
      </c>
      <c r="D7907" s="1">
        <v>1.0</v>
      </c>
      <c r="E7907" s="1">
        <v>19362.0</v>
      </c>
      <c r="F7907" s="10">
        <f t="shared" si="1"/>
        <v>1</v>
      </c>
      <c r="G7907" s="10">
        <f t="array" ref="G7907">index('Player ID'!C:C,match(E7907,'Player ID'!B:B,0))</f>
        <v>669211</v>
      </c>
    </row>
    <row r="7908">
      <c r="A7908" s="76">
        <v>45813.0</v>
      </c>
      <c r="B7908" s="1" t="s">
        <v>240</v>
      </c>
      <c r="C7908" s="1" t="s">
        <v>68</v>
      </c>
      <c r="D7908" s="1">
        <v>1.0</v>
      </c>
      <c r="E7908" s="1">
        <v>19804.0</v>
      </c>
      <c r="F7908" s="10">
        <f t="shared" si="1"/>
        <v>1</v>
      </c>
      <c r="G7908" s="10">
        <f t="array" ref="G7908">index('Player ID'!C:C,match(E7908,'Player ID'!B:B,0))</f>
        <v>641329</v>
      </c>
    </row>
    <row r="7909">
      <c r="A7909" s="76">
        <v>45813.0</v>
      </c>
      <c r="B7909" s="1" t="s">
        <v>101</v>
      </c>
      <c r="C7909" s="1" t="s">
        <v>37</v>
      </c>
      <c r="D7909" s="1">
        <v>1.0</v>
      </c>
      <c r="E7909" s="1">
        <v>22915.0</v>
      </c>
      <c r="F7909" s="10">
        <f t="shared" si="1"/>
        <v>1</v>
      </c>
      <c r="G7909" s="10">
        <f t="array" ref="G7909">index('Player ID'!C:C,match(E7909,'Player ID'!B:B,0))</f>
        <v>672841</v>
      </c>
    </row>
    <row r="7910">
      <c r="A7910" s="76">
        <v>45813.0</v>
      </c>
      <c r="B7910" s="1" t="s">
        <v>340</v>
      </c>
      <c r="C7910" s="1" t="s">
        <v>37</v>
      </c>
      <c r="D7910" s="1">
        <v>1.0</v>
      </c>
      <c r="E7910" s="1">
        <v>25921.0</v>
      </c>
      <c r="F7910" s="10">
        <f t="shared" si="1"/>
        <v>1</v>
      </c>
      <c r="G7910" s="10">
        <f t="array" ref="G7910">index('Player ID'!C:C,match(E7910,'Player ID'!B:B,0))</f>
        <v>668984</v>
      </c>
    </row>
    <row r="7911">
      <c r="A7911" s="76">
        <v>45813.0</v>
      </c>
      <c r="B7911" s="1" t="s">
        <v>90</v>
      </c>
      <c r="C7911" s="1" t="s">
        <v>37</v>
      </c>
      <c r="D7911" s="1">
        <v>6.0</v>
      </c>
      <c r="E7911" s="1">
        <v>30279.0</v>
      </c>
      <c r="F7911" s="10">
        <f t="shared" si="1"/>
        <v>6</v>
      </c>
      <c r="G7911" s="10">
        <f t="array" ref="G7911">index('Player ID'!C:C,match(E7911,'Player ID'!B:B,0))</f>
        <v>693433</v>
      </c>
    </row>
    <row r="7912">
      <c r="A7912" s="76">
        <v>45813.0</v>
      </c>
      <c r="B7912" s="1" t="s">
        <v>303</v>
      </c>
      <c r="C7912" s="1" t="s">
        <v>31</v>
      </c>
      <c r="D7912" s="1">
        <v>7.0</v>
      </c>
      <c r="E7912" s="1">
        <v>11486.0</v>
      </c>
      <c r="F7912" s="10">
        <f t="shared" si="1"/>
        <v>7</v>
      </c>
      <c r="G7912" s="10">
        <f t="array" ref="G7912">index('Player ID'!C:C,match(E7912,'Player ID'!B:B,0))</f>
        <v>592662</v>
      </c>
    </row>
    <row r="7913">
      <c r="A7913" s="76">
        <v>45813.0</v>
      </c>
      <c r="B7913" s="1" t="s">
        <v>282</v>
      </c>
      <c r="C7913" s="1" t="s">
        <v>26</v>
      </c>
      <c r="D7913" s="1">
        <v>5.0</v>
      </c>
      <c r="E7913" s="1">
        <v>18525.0</v>
      </c>
      <c r="F7913" s="10">
        <f t="shared" si="1"/>
        <v>5</v>
      </c>
      <c r="G7913" s="10">
        <f t="array" ref="G7913">index('Player ID'!C:C,match(E7913,'Player ID'!B:B,0))</f>
        <v>656302</v>
      </c>
    </row>
    <row r="7914">
      <c r="A7914" s="76">
        <v>45813.0</v>
      </c>
      <c r="B7914" s="1" t="s">
        <v>304</v>
      </c>
      <c r="C7914" s="1" t="s">
        <v>31</v>
      </c>
      <c r="D7914" s="1">
        <v>1.0</v>
      </c>
      <c r="E7914" s="1">
        <v>21992.0</v>
      </c>
      <c r="F7914" s="10">
        <f t="shared" si="1"/>
        <v>1</v>
      </c>
      <c r="G7914" s="10">
        <f t="array" ref="G7914">index('Player ID'!C:C,match(E7914,'Player ID'!B:B,0))</f>
        <v>666808</v>
      </c>
    </row>
    <row r="7915">
      <c r="A7915" s="76">
        <v>45813.0</v>
      </c>
      <c r="B7915" s="1" t="s">
        <v>654</v>
      </c>
      <c r="C7915" s="1" t="s">
        <v>31</v>
      </c>
      <c r="D7915" s="1">
        <v>1.0</v>
      </c>
      <c r="E7915" s="1">
        <v>23974.0</v>
      </c>
      <c r="F7915" s="10">
        <f t="shared" si="1"/>
        <v>1</v>
      </c>
      <c r="G7915" s="10">
        <f t="array" ref="G7915">index('Player ID'!C:C,match(E7915,'Player ID'!B:B,0))</f>
        <v>678495</v>
      </c>
    </row>
    <row r="7916">
      <c r="A7916" s="76">
        <v>45813.0</v>
      </c>
      <c r="B7916" s="1" t="s">
        <v>498</v>
      </c>
      <c r="C7916" s="1" t="s">
        <v>26</v>
      </c>
      <c r="D7916" s="1">
        <v>2.0</v>
      </c>
      <c r="E7916" s="1">
        <v>31616.0</v>
      </c>
      <c r="F7916" s="10">
        <f t="shared" si="1"/>
        <v>2</v>
      </c>
      <c r="G7916" s="10" t="str">
        <f t="array" ref="G7916">index('Player ID'!C:C,match(E7916,'Player ID'!B:B,0))</f>
        <v>#N/A</v>
      </c>
    </row>
    <row r="7917">
      <c r="A7917" s="76">
        <v>45813.0</v>
      </c>
      <c r="B7917" s="1" t="s">
        <v>284</v>
      </c>
      <c r="C7917" s="1" t="s">
        <v>26</v>
      </c>
      <c r="D7917" s="1">
        <v>1.0</v>
      </c>
      <c r="E7917" s="1">
        <v>33826.0</v>
      </c>
      <c r="F7917" s="10">
        <f t="shared" si="1"/>
        <v>1</v>
      </c>
      <c r="G7917" s="10">
        <f t="array" ref="G7917">index('Player ID'!C:C,match(E7917,'Player ID'!B:B,0))</f>
        <v>673513</v>
      </c>
    </row>
    <row r="7918">
      <c r="A7918" s="76">
        <v>45813.0</v>
      </c>
      <c r="B7918" s="1" t="s">
        <v>822</v>
      </c>
      <c r="C7918" s="1" t="s">
        <v>33</v>
      </c>
      <c r="D7918" s="1">
        <v>2.1</v>
      </c>
      <c r="E7918" s="1">
        <v>11589.0</v>
      </c>
      <c r="F7918" s="10">
        <f t="shared" si="1"/>
        <v>2.333333333</v>
      </c>
      <c r="G7918" s="10">
        <f t="array" ref="G7918">index('Player ID'!C:C,match(E7918,'Player ID'!B:B,0))</f>
        <v>570632</v>
      </c>
    </row>
    <row r="7919">
      <c r="A7919" s="76">
        <v>45813.0</v>
      </c>
      <c r="B7919" s="1" t="s">
        <v>295</v>
      </c>
      <c r="C7919" s="1" t="s">
        <v>51</v>
      </c>
      <c r="D7919" s="1">
        <v>0.2</v>
      </c>
      <c r="E7919" s="1">
        <v>16866.0</v>
      </c>
      <c r="F7919" s="10">
        <f t="shared" si="1"/>
        <v>0.6666666667</v>
      </c>
      <c r="G7919" s="10">
        <f t="array" ref="G7919">index('Player ID'!C:C,match(E7919,'Player ID'!B:B,0))</f>
        <v>657585</v>
      </c>
    </row>
    <row r="7920">
      <c r="A7920" s="76">
        <v>45813.0</v>
      </c>
      <c r="B7920" s="1" t="s">
        <v>32</v>
      </c>
      <c r="C7920" s="1" t="s">
        <v>33</v>
      </c>
      <c r="D7920" s="1">
        <v>1.0</v>
      </c>
      <c r="E7920" s="1">
        <v>17586.0</v>
      </c>
      <c r="F7920" s="10">
        <f t="shared" si="1"/>
        <v>1</v>
      </c>
      <c r="G7920" s="10">
        <f t="array" ref="G7920">index('Player ID'!C:C,match(E7920,'Player ID'!B:B,0))</f>
        <v>656945</v>
      </c>
    </row>
    <row r="7921">
      <c r="A7921" s="76">
        <v>45813.0</v>
      </c>
      <c r="B7921" s="1" t="s">
        <v>186</v>
      </c>
      <c r="C7921" s="1" t="s">
        <v>51</v>
      </c>
      <c r="D7921" s="1">
        <v>0.1</v>
      </c>
      <c r="E7921" s="1">
        <v>18347.0</v>
      </c>
      <c r="F7921" s="10">
        <f t="shared" si="1"/>
        <v>0.3333333333</v>
      </c>
      <c r="G7921" s="10">
        <f t="array" ref="G7921">index('Player ID'!C:C,match(E7921,'Player ID'!B:B,0))</f>
        <v>663399</v>
      </c>
    </row>
    <row r="7922">
      <c r="A7922" s="76">
        <v>45813.0</v>
      </c>
      <c r="B7922" s="1" t="s">
        <v>307</v>
      </c>
      <c r="C7922" s="1" t="s">
        <v>51</v>
      </c>
      <c r="D7922" s="1">
        <v>7.0</v>
      </c>
      <c r="E7922" s="1">
        <v>20302.0</v>
      </c>
      <c r="F7922" s="10">
        <f t="shared" si="1"/>
        <v>7</v>
      </c>
      <c r="G7922" s="10">
        <f t="array" ref="G7922">index('Player ID'!C:C,match(E7922,'Player ID'!B:B,0))</f>
        <v>656849</v>
      </c>
    </row>
    <row r="7923">
      <c r="A7923" s="76">
        <v>45813.0</v>
      </c>
      <c r="B7923" s="1" t="s">
        <v>92</v>
      </c>
      <c r="C7923" s="1" t="s">
        <v>33</v>
      </c>
      <c r="D7923" s="1">
        <v>0.1</v>
      </c>
      <c r="E7923" s="1">
        <v>25007.0</v>
      </c>
      <c r="F7923" s="10">
        <f t="shared" si="1"/>
        <v>0.3333333333</v>
      </c>
      <c r="G7923" s="10">
        <f t="array" ref="G7923">index('Player ID'!C:C,match(E7923,'Player ID'!B:B,0))</f>
        <v>681911</v>
      </c>
    </row>
    <row r="7924">
      <c r="A7924" s="76">
        <v>45813.0</v>
      </c>
      <c r="B7924" s="1" t="s">
        <v>351</v>
      </c>
      <c r="C7924" s="1" t="s">
        <v>33</v>
      </c>
      <c r="D7924" s="1">
        <v>3.1</v>
      </c>
      <c r="E7924" s="1">
        <v>27487.0</v>
      </c>
      <c r="F7924" s="10">
        <f t="shared" si="1"/>
        <v>3.333333333</v>
      </c>
      <c r="G7924" s="10">
        <f t="array" ref="G7924">index('Player ID'!C:C,match(E7924,'Player ID'!B:B,0))</f>
        <v>689017</v>
      </c>
    </row>
    <row r="7925">
      <c r="A7925" s="76">
        <v>45813.0</v>
      </c>
      <c r="B7925" s="1" t="s">
        <v>206</v>
      </c>
      <c r="C7925" s="1" t="s">
        <v>33</v>
      </c>
      <c r="D7925" s="1">
        <v>2.0</v>
      </c>
      <c r="E7925" s="1">
        <v>30249.0</v>
      </c>
      <c r="F7925" s="10">
        <f t="shared" si="1"/>
        <v>2</v>
      </c>
      <c r="G7925" s="10">
        <f t="array" ref="G7925">index('Player ID'!C:C,match(E7925,'Player ID'!B:B,0))</f>
        <v>676263</v>
      </c>
    </row>
    <row r="7926">
      <c r="A7926" s="76">
        <v>45813.0</v>
      </c>
      <c r="B7926" s="1" t="s">
        <v>443</v>
      </c>
      <c r="C7926" s="1" t="s">
        <v>60</v>
      </c>
      <c r="D7926" s="1">
        <v>1.0</v>
      </c>
      <c r="E7926" s="1">
        <v>16350.0</v>
      </c>
      <c r="F7926" s="10">
        <f t="shared" si="1"/>
        <v>1</v>
      </c>
      <c r="G7926" s="10">
        <f t="array" ref="G7926">index('Player ID'!C:C,match(E7926,'Player ID'!B:B,0))</f>
        <v>621366</v>
      </c>
    </row>
    <row r="7927">
      <c r="A7927" s="76">
        <v>45813.0</v>
      </c>
      <c r="B7927" s="1" t="s">
        <v>210</v>
      </c>
      <c r="C7927" s="1" t="s">
        <v>39</v>
      </c>
      <c r="D7927" s="1">
        <v>1.0</v>
      </c>
      <c r="E7927" s="1">
        <v>16609.0</v>
      </c>
      <c r="F7927" s="10">
        <f t="shared" si="1"/>
        <v>1</v>
      </c>
      <c r="G7927" s="10">
        <f t="array" ref="G7927">index('Player ID'!C:C,match(E7927,'Player ID'!B:B,0))</f>
        <v>650556</v>
      </c>
    </row>
    <row r="7928">
      <c r="A7928" s="76">
        <v>45813.0</v>
      </c>
      <c r="B7928" s="1" t="s">
        <v>113</v>
      </c>
      <c r="C7928" s="1" t="s">
        <v>39</v>
      </c>
      <c r="D7928" s="1">
        <v>7.0</v>
      </c>
      <c r="E7928" s="1">
        <v>17295.0</v>
      </c>
      <c r="F7928" s="10">
        <f t="shared" si="1"/>
        <v>7</v>
      </c>
      <c r="G7928" s="10">
        <f t="array" ref="G7928">index('Player ID'!C:C,match(E7928,'Player ID'!B:B,0))</f>
        <v>664285</v>
      </c>
    </row>
    <row r="7929">
      <c r="A7929" s="76">
        <v>45813.0</v>
      </c>
      <c r="B7929" s="1" t="s">
        <v>423</v>
      </c>
      <c r="C7929" s="1" t="s">
        <v>60</v>
      </c>
      <c r="D7929" s="1">
        <v>6.1</v>
      </c>
      <c r="E7929" s="1">
        <v>17594.0</v>
      </c>
      <c r="F7929" s="10">
        <f t="shared" si="1"/>
        <v>6.333333333</v>
      </c>
      <c r="G7929" s="10">
        <f t="array" ref="G7929">index('Player ID'!C:C,match(E7929,'Player ID'!B:B,0))</f>
        <v>656605</v>
      </c>
    </row>
    <row r="7930">
      <c r="A7930" s="76">
        <v>45813.0</v>
      </c>
      <c r="B7930" s="1" t="s">
        <v>359</v>
      </c>
      <c r="C7930" s="1" t="s">
        <v>39</v>
      </c>
      <c r="D7930" s="1">
        <v>1.0</v>
      </c>
      <c r="E7930" s="1">
        <v>20061.0</v>
      </c>
      <c r="F7930" s="10">
        <f t="shared" si="1"/>
        <v>1</v>
      </c>
      <c r="G7930" s="10">
        <f t="array" ref="G7930">index('Player ID'!C:C,match(E7930,'Player ID'!B:B,0))</f>
        <v>672391</v>
      </c>
    </row>
    <row r="7931">
      <c r="A7931" s="76">
        <v>45813.0</v>
      </c>
      <c r="B7931" s="1" t="s">
        <v>482</v>
      </c>
      <c r="C7931" s="1" t="s">
        <v>60</v>
      </c>
      <c r="D7931" s="1">
        <v>1.2</v>
      </c>
      <c r="E7931" s="1">
        <v>27775.0</v>
      </c>
      <c r="F7931" s="10">
        <f t="shared" si="1"/>
        <v>1.666666667</v>
      </c>
      <c r="G7931" s="10">
        <f t="array" ref="G7931">index('Player ID'!C:C,match(E7931,'Player ID'!B:B,0))</f>
        <v>693312</v>
      </c>
    </row>
    <row r="7932">
      <c r="A7932" s="76">
        <v>45813.0</v>
      </c>
      <c r="B7932" s="1" t="s">
        <v>460</v>
      </c>
      <c r="C7932" s="1" t="s">
        <v>34</v>
      </c>
      <c r="D7932" s="1">
        <v>1.0</v>
      </c>
      <c r="E7932" s="1">
        <v>7005.0</v>
      </c>
      <c r="F7932" s="10">
        <f t="shared" si="1"/>
        <v>1</v>
      </c>
      <c r="G7932" s="10">
        <f t="array" ref="G7932">index('Player ID'!C:C,match(E7932,'Player ID'!B:B,0))</f>
        <v>519151</v>
      </c>
    </row>
    <row r="7933">
      <c r="A7933" s="76">
        <v>45813.0</v>
      </c>
      <c r="B7933" s="1" t="s">
        <v>71</v>
      </c>
      <c r="C7933" s="1" t="s">
        <v>34</v>
      </c>
      <c r="D7933" s="1">
        <v>0.2</v>
      </c>
      <c r="E7933" s="1">
        <v>10078.0</v>
      </c>
      <c r="F7933" s="10">
        <f t="shared" si="1"/>
        <v>0.6666666667</v>
      </c>
      <c r="G7933" s="10">
        <f t="array" ref="G7933">index('Player ID'!C:C,match(E7933,'Player ID'!B:B,0))</f>
        <v>573204</v>
      </c>
    </row>
    <row r="7934">
      <c r="A7934" s="76">
        <v>45813.0</v>
      </c>
      <c r="B7934" s="1" t="s">
        <v>203</v>
      </c>
      <c r="C7934" s="1" t="s">
        <v>34</v>
      </c>
      <c r="D7934" s="1">
        <v>1.0</v>
      </c>
      <c r="E7934" s="1">
        <v>11426.0</v>
      </c>
      <c r="F7934" s="10">
        <f t="shared" si="1"/>
        <v>1</v>
      </c>
      <c r="G7934" s="10">
        <f t="array" ref="G7934">index('Player ID'!C:C,match(E7934,'Player ID'!B:B,0))</f>
        <v>519141</v>
      </c>
    </row>
    <row r="7935">
      <c r="A7935" s="76">
        <v>45813.0</v>
      </c>
      <c r="B7935" s="1" t="s">
        <v>313</v>
      </c>
      <c r="C7935" s="1" t="s">
        <v>34</v>
      </c>
      <c r="D7935" s="1">
        <v>5.1</v>
      </c>
      <c r="E7935" s="1">
        <v>12317.0</v>
      </c>
      <c r="F7935" s="10">
        <f t="shared" si="1"/>
        <v>5.333333333</v>
      </c>
      <c r="G7935" s="10">
        <f t="array" ref="G7935">index('Player ID'!C:C,match(E7935,'Player ID'!B:B,0))</f>
        <v>607067</v>
      </c>
    </row>
    <row r="7936">
      <c r="A7936" s="76">
        <v>45813.0</v>
      </c>
      <c r="B7936" s="1" t="s">
        <v>506</v>
      </c>
      <c r="C7936" s="1" t="s">
        <v>80</v>
      </c>
      <c r="D7936" s="1">
        <v>1.0</v>
      </c>
      <c r="E7936" s="1">
        <v>12988.0</v>
      </c>
      <c r="F7936" s="10">
        <f t="shared" si="1"/>
        <v>1</v>
      </c>
      <c r="G7936" s="10">
        <f t="array" ref="G7936">index('Player ID'!C:C,match(E7936,'Player ID'!B:B,0))</f>
        <v>605177</v>
      </c>
    </row>
    <row r="7937">
      <c r="A7937" s="76">
        <v>45813.0</v>
      </c>
      <c r="B7937" s="1" t="s">
        <v>297</v>
      </c>
      <c r="C7937" s="1" t="s">
        <v>34</v>
      </c>
      <c r="D7937" s="1">
        <v>1.0</v>
      </c>
      <c r="E7937" s="1">
        <v>15734.0</v>
      </c>
      <c r="F7937" s="10">
        <f t="shared" si="1"/>
        <v>1</v>
      </c>
      <c r="G7937" s="10">
        <f t="array" ref="G7937">index('Player ID'!C:C,match(E7937,'Player ID'!B:B,0))</f>
        <v>641745</v>
      </c>
    </row>
    <row r="7938">
      <c r="A7938" s="76">
        <v>45813.0</v>
      </c>
      <c r="B7938" s="1" t="s">
        <v>396</v>
      </c>
      <c r="C7938" s="1" t="s">
        <v>80</v>
      </c>
      <c r="D7938" s="1">
        <v>5.0</v>
      </c>
      <c r="E7938" s="1">
        <v>21504.0</v>
      </c>
      <c r="F7938" s="10">
        <f t="shared" si="1"/>
        <v>5</v>
      </c>
      <c r="G7938" s="10">
        <f t="array" ref="G7938">index('Player ID'!C:C,match(E7938,'Player ID'!B:B,0))</f>
        <v>663623</v>
      </c>
    </row>
    <row r="7939">
      <c r="A7939" s="76">
        <v>45813.0</v>
      </c>
      <c r="B7939" s="1" t="s">
        <v>508</v>
      </c>
      <c r="C7939" s="1" t="s">
        <v>80</v>
      </c>
      <c r="D7939" s="1">
        <v>1.0</v>
      </c>
      <c r="E7939" s="1">
        <v>23135.0</v>
      </c>
      <c r="F7939" s="10">
        <f t="shared" si="1"/>
        <v>1</v>
      </c>
      <c r="G7939" s="10">
        <f t="array" ref="G7939">index('Player ID'!C:C,match(E7939,'Player ID'!B:B,0))</f>
        <v>674285</v>
      </c>
    </row>
    <row r="7940">
      <c r="A7940" s="76">
        <v>45813.0</v>
      </c>
      <c r="B7940" s="1" t="s">
        <v>511</v>
      </c>
      <c r="C7940" s="1" t="s">
        <v>80</v>
      </c>
      <c r="D7940" s="1">
        <v>1.0</v>
      </c>
      <c r="E7940" s="1">
        <v>26215.0</v>
      </c>
      <c r="F7940" s="10">
        <f t="shared" si="1"/>
        <v>1</v>
      </c>
      <c r="G7940" s="10">
        <f t="array" ref="G7940">index('Player ID'!C:C,match(E7940,'Player ID'!B:B,0))</f>
        <v>671131</v>
      </c>
    </row>
    <row r="7941">
      <c r="A7941" s="76">
        <v>45813.0</v>
      </c>
      <c r="B7941" s="1" t="s">
        <v>818</v>
      </c>
      <c r="C7941" s="1" t="s">
        <v>80</v>
      </c>
      <c r="D7941" s="1">
        <v>1.0</v>
      </c>
      <c r="E7941" s="1">
        <v>27783.0</v>
      </c>
      <c r="F7941" s="10">
        <f t="shared" si="1"/>
        <v>1</v>
      </c>
      <c r="G7941" s="10">
        <f t="array" ref="G7941">index('Player ID'!C:C,match(E7941,'Player ID'!B:B,0))</f>
        <v>694350</v>
      </c>
    </row>
    <row r="7942">
      <c r="A7942" s="76">
        <v>45813.0</v>
      </c>
      <c r="B7942" s="1" t="s">
        <v>117</v>
      </c>
      <c r="C7942" s="1" t="s">
        <v>70</v>
      </c>
      <c r="D7942" s="1">
        <v>1.2</v>
      </c>
      <c r="E7942" s="1">
        <v>13619.0</v>
      </c>
      <c r="F7942" s="10">
        <f t="shared" si="1"/>
        <v>1.666666667</v>
      </c>
      <c r="G7942" s="10">
        <f t="array" ref="G7942">index('Player ID'!C:C,match(E7942,'Player ID'!B:B,0))</f>
        <v>596001</v>
      </c>
    </row>
    <row r="7943">
      <c r="A7943" s="76">
        <v>45813.0</v>
      </c>
      <c r="B7943" s="1" t="s">
        <v>166</v>
      </c>
      <c r="C7943" s="1" t="s">
        <v>58</v>
      </c>
      <c r="D7943" s="1">
        <v>6.0</v>
      </c>
      <c r="E7943" s="1">
        <v>13743.0</v>
      </c>
      <c r="F7943" s="10">
        <f t="shared" si="1"/>
        <v>6</v>
      </c>
      <c r="G7943" s="10">
        <f t="array" ref="G7943">index('Player ID'!C:C,match(E7943,'Player ID'!B:B,0))</f>
        <v>608331</v>
      </c>
    </row>
    <row r="7944">
      <c r="A7944" s="76">
        <v>45813.0</v>
      </c>
      <c r="B7944" s="1" t="s">
        <v>467</v>
      </c>
      <c r="C7944" s="1" t="s">
        <v>58</v>
      </c>
      <c r="D7944" s="1">
        <v>0.1</v>
      </c>
      <c r="E7944" s="1">
        <v>15551.0</v>
      </c>
      <c r="F7944" s="10">
        <f t="shared" si="1"/>
        <v>0.3333333333</v>
      </c>
      <c r="G7944" s="10">
        <f t="array" ref="G7944">index('Player ID'!C:C,match(E7944,'Player ID'!B:B,0))</f>
        <v>643410</v>
      </c>
    </row>
    <row r="7945">
      <c r="A7945" s="76">
        <v>45813.0</v>
      </c>
      <c r="B7945" s="1" t="s">
        <v>69</v>
      </c>
      <c r="C7945" s="1" t="s">
        <v>58</v>
      </c>
      <c r="D7945" s="1">
        <v>1.2</v>
      </c>
      <c r="E7945" s="1">
        <v>16814.0</v>
      </c>
      <c r="F7945" s="10">
        <f t="shared" si="1"/>
        <v>1.666666667</v>
      </c>
      <c r="G7945" s="10">
        <f t="array" ref="G7945">index('Player ID'!C:C,match(E7945,'Player ID'!B:B,0))</f>
        <v>657612</v>
      </c>
    </row>
    <row r="7946">
      <c r="A7946" s="76">
        <v>45813.0</v>
      </c>
      <c r="B7946" s="1" t="s">
        <v>259</v>
      </c>
      <c r="C7946" s="1" t="s">
        <v>70</v>
      </c>
      <c r="D7946" s="1">
        <v>0.1</v>
      </c>
      <c r="E7946" s="1">
        <v>18694.0</v>
      </c>
      <c r="F7946" s="10">
        <f t="shared" si="1"/>
        <v>0.3333333333</v>
      </c>
      <c r="G7946" s="10">
        <f t="array" ref="G7946">index('Player ID'!C:C,match(E7946,'Player ID'!B:B,0))</f>
        <v>663465</v>
      </c>
    </row>
    <row r="7947">
      <c r="A7947" s="76">
        <v>45813.0</v>
      </c>
      <c r="B7947" s="1" t="s">
        <v>831</v>
      </c>
      <c r="C7947" s="1" t="s">
        <v>58</v>
      </c>
      <c r="D7947" s="1">
        <v>1.0</v>
      </c>
      <c r="E7947" s="1">
        <v>19753.0</v>
      </c>
      <c r="F7947" s="10">
        <f t="shared" si="1"/>
        <v>1</v>
      </c>
      <c r="G7947" s="10">
        <f t="array" ref="G7947">index('Player ID'!C:C,match(E7947,'Player ID'!B:B,0))</f>
        <v>642528</v>
      </c>
    </row>
    <row r="7948">
      <c r="A7948" s="76">
        <v>45813.0</v>
      </c>
      <c r="B7948" s="1" t="s">
        <v>375</v>
      </c>
      <c r="C7948" s="1" t="s">
        <v>70</v>
      </c>
      <c r="D7948" s="1">
        <v>1.0</v>
      </c>
      <c r="E7948" s="1">
        <v>25553.0</v>
      </c>
      <c r="F7948" s="10">
        <f t="shared" si="1"/>
        <v>1</v>
      </c>
      <c r="G7948" s="10" t="str">
        <f t="array" ref="G7948">index('Player ID'!C:C,match(E7948,'Player ID'!B:B,0))</f>
        <v>#N/A</v>
      </c>
    </row>
    <row r="7949">
      <c r="A7949" s="76">
        <v>45813.0</v>
      </c>
      <c r="B7949" s="1" t="s">
        <v>306</v>
      </c>
      <c r="C7949" s="1" t="s">
        <v>70</v>
      </c>
      <c r="D7949" s="1">
        <v>5.0</v>
      </c>
      <c r="E7949" s="1">
        <v>27500.0</v>
      </c>
      <c r="F7949" s="10">
        <f t="shared" si="1"/>
        <v>5</v>
      </c>
      <c r="G7949" s="10">
        <f t="array" ref="G7949">index('Player ID'!C:C,match(E7949,'Player ID'!B:B,0))</f>
        <v>677944</v>
      </c>
    </row>
    <row r="7950">
      <c r="A7950" s="76">
        <v>45813.0</v>
      </c>
      <c r="B7950" s="1" t="s">
        <v>440</v>
      </c>
      <c r="C7950" s="1" t="s">
        <v>56</v>
      </c>
      <c r="D7950" s="1">
        <v>0.1</v>
      </c>
      <c r="E7950" s="1">
        <v>12857.0</v>
      </c>
      <c r="F7950" s="10">
        <f t="shared" si="1"/>
        <v>0.3333333333</v>
      </c>
      <c r="G7950" s="10">
        <f t="array" ref="G7950">index('Player ID'!C:C,match(E7950,'Player ID'!B:B,0))</f>
        <v>542888</v>
      </c>
    </row>
    <row r="7951">
      <c r="A7951" s="76">
        <v>45813.0</v>
      </c>
      <c r="B7951" s="1" t="s">
        <v>151</v>
      </c>
      <c r="C7951" s="1" t="s">
        <v>56</v>
      </c>
      <c r="D7951" s="1">
        <v>1.2</v>
      </c>
      <c r="E7951" s="1">
        <v>13346.0</v>
      </c>
      <c r="F7951" s="10">
        <f t="shared" si="1"/>
        <v>1.666666667</v>
      </c>
      <c r="G7951" s="10">
        <f t="array" ref="G7951">index('Player ID'!C:C,match(E7951,'Player ID'!B:B,0))</f>
        <v>571948</v>
      </c>
    </row>
    <row r="7952">
      <c r="A7952" s="76">
        <v>45813.0</v>
      </c>
      <c r="B7952" s="1" t="s">
        <v>784</v>
      </c>
      <c r="C7952" s="1" t="s">
        <v>54</v>
      </c>
      <c r="D7952" s="1">
        <v>1.0</v>
      </c>
      <c r="E7952" s="1">
        <v>15256.0</v>
      </c>
      <c r="F7952" s="10">
        <f t="shared" si="1"/>
        <v>1</v>
      </c>
      <c r="G7952" s="10">
        <f t="array" ref="G7952">index('Player ID'!C:C,match(E7952,'Player ID'!B:B,0))</f>
        <v>642121</v>
      </c>
    </row>
    <row r="7953">
      <c r="A7953" s="76">
        <v>45813.0</v>
      </c>
      <c r="B7953" s="1" t="s">
        <v>111</v>
      </c>
      <c r="C7953" s="1" t="s">
        <v>56</v>
      </c>
      <c r="D7953" s="1">
        <v>1.0</v>
      </c>
      <c r="E7953" s="1">
        <v>21306.0</v>
      </c>
      <c r="F7953" s="10">
        <f t="shared" si="1"/>
        <v>1</v>
      </c>
      <c r="G7953" s="10">
        <f t="array" ref="G7953">index('Player ID'!C:C,match(E7953,'Player ID'!B:B,0))</f>
        <v>656641</v>
      </c>
    </row>
    <row r="7954">
      <c r="A7954" s="76">
        <v>45813.0</v>
      </c>
      <c r="B7954" s="1" t="s">
        <v>268</v>
      </c>
      <c r="C7954" s="1" t="s">
        <v>56</v>
      </c>
      <c r="D7954" s="1">
        <v>0.2</v>
      </c>
      <c r="E7954" s="1">
        <v>23363.0</v>
      </c>
      <c r="F7954" s="10">
        <f t="shared" si="1"/>
        <v>0.6666666667</v>
      </c>
      <c r="G7954" s="10">
        <f t="array" ref="G7954">index('Player ID'!C:C,match(E7954,'Player ID'!B:B,0))</f>
        <v>676395</v>
      </c>
    </row>
    <row r="7955">
      <c r="A7955" s="76">
        <v>45813.0</v>
      </c>
      <c r="B7955" s="1" t="s">
        <v>110</v>
      </c>
      <c r="C7955" s="1" t="s">
        <v>54</v>
      </c>
      <c r="D7955" s="1">
        <v>0.2</v>
      </c>
      <c r="E7955" s="1">
        <v>25679.0</v>
      </c>
      <c r="F7955" s="10">
        <f t="shared" si="1"/>
        <v>0.6666666667</v>
      </c>
      <c r="G7955" s="10">
        <f t="array" ref="G7955">index('Player ID'!C:C,match(E7955,'Player ID'!B:B,0))</f>
        <v>687330</v>
      </c>
    </row>
    <row r="7956">
      <c r="A7956" s="76">
        <v>45813.0</v>
      </c>
      <c r="B7956" s="1" t="s">
        <v>129</v>
      </c>
      <c r="C7956" s="1" t="s">
        <v>54</v>
      </c>
      <c r="D7956" s="1">
        <v>6.0</v>
      </c>
      <c r="E7956" s="1">
        <v>26221.0</v>
      </c>
      <c r="F7956" s="10">
        <f t="shared" si="1"/>
        <v>6</v>
      </c>
      <c r="G7956" s="10">
        <f t="array" ref="G7956">index('Player ID'!C:C,match(E7956,'Player ID'!B:B,0))</f>
        <v>686752</v>
      </c>
    </row>
    <row r="7957">
      <c r="A7957" s="76">
        <v>45813.0</v>
      </c>
      <c r="B7957" s="1" t="s">
        <v>257</v>
      </c>
      <c r="C7957" s="1" t="s">
        <v>54</v>
      </c>
      <c r="D7957" s="1">
        <v>1.1</v>
      </c>
      <c r="E7957" s="1">
        <v>27626.0</v>
      </c>
      <c r="F7957" s="10">
        <f t="shared" si="1"/>
        <v>1.333333333</v>
      </c>
      <c r="G7957" s="10">
        <f t="array" ref="G7957">index('Player ID'!C:C,match(E7957,'Player ID'!B:B,0))</f>
        <v>679358</v>
      </c>
    </row>
    <row r="7958">
      <c r="A7958" s="76">
        <v>45813.0</v>
      </c>
      <c r="B7958" s="1" t="s">
        <v>374</v>
      </c>
      <c r="C7958" s="1" t="s">
        <v>56</v>
      </c>
      <c r="D7958" s="1">
        <v>5.0</v>
      </c>
      <c r="E7958" s="1">
        <v>30146.0</v>
      </c>
      <c r="F7958" s="10">
        <f t="shared" si="1"/>
        <v>5</v>
      </c>
      <c r="G7958" s="10">
        <f t="array" ref="G7958">index('Player ID'!C:C,match(E7958,'Player ID'!B:B,0))</f>
        <v>683004</v>
      </c>
    </row>
    <row r="7959">
      <c r="A7959" s="76">
        <v>45813.0</v>
      </c>
      <c r="B7959" s="1" t="s">
        <v>649</v>
      </c>
      <c r="C7959" s="1" t="s">
        <v>29</v>
      </c>
      <c r="D7959" s="1">
        <v>1.0</v>
      </c>
      <c r="E7959" s="1">
        <v>14542.0</v>
      </c>
      <c r="F7959" s="10">
        <f t="shared" si="1"/>
        <v>1</v>
      </c>
      <c r="G7959" s="10">
        <f t="array" ref="G7959">index('Player ID'!C:C,match(E7959,'Player ID'!B:B,0))</f>
        <v>608032</v>
      </c>
    </row>
    <row r="7960">
      <c r="A7960" s="76">
        <v>45813.0</v>
      </c>
      <c r="B7960" s="1" t="s">
        <v>190</v>
      </c>
      <c r="C7960" s="1" t="s">
        <v>72</v>
      </c>
      <c r="D7960" s="1">
        <v>1.0</v>
      </c>
      <c r="E7960" s="1">
        <v>18064.0</v>
      </c>
      <c r="F7960" s="10">
        <f t="shared" si="1"/>
        <v>1</v>
      </c>
      <c r="G7960" s="10">
        <f t="array" ref="G7960">index('Player ID'!C:C,match(E7960,'Player ID'!B:B,0))</f>
        <v>664208</v>
      </c>
    </row>
    <row r="7961">
      <c r="A7961" s="76">
        <v>45813.0</v>
      </c>
      <c r="B7961" s="1" t="s">
        <v>205</v>
      </c>
      <c r="C7961" s="1" t="s">
        <v>29</v>
      </c>
      <c r="D7961" s="1">
        <v>3.0</v>
      </c>
      <c r="E7961" s="1">
        <v>21846.0</v>
      </c>
      <c r="F7961" s="10">
        <f t="shared" si="1"/>
        <v>3</v>
      </c>
      <c r="G7961" s="10">
        <f t="array" ref="G7961">index('Player ID'!C:C,match(E7961,'Player ID'!B:B,0))</f>
        <v>666142</v>
      </c>
    </row>
    <row r="7962">
      <c r="A7962" s="76">
        <v>45813.0</v>
      </c>
      <c r="B7962" s="1" t="s">
        <v>273</v>
      </c>
      <c r="C7962" s="1" t="s">
        <v>72</v>
      </c>
      <c r="D7962" s="1">
        <v>0.2</v>
      </c>
      <c r="E7962" s="1">
        <v>22051.0</v>
      </c>
      <c r="F7962" s="10">
        <f t="shared" si="1"/>
        <v>0.6666666667</v>
      </c>
      <c r="G7962" s="10">
        <f t="array" ref="G7962">index('Player ID'!C:C,match(E7962,'Player ID'!B:B,0))</f>
        <v>667463</v>
      </c>
    </row>
    <row r="7963">
      <c r="A7963" s="76">
        <v>45813.0</v>
      </c>
      <c r="B7963" s="1" t="s">
        <v>290</v>
      </c>
      <c r="C7963" s="1" t="s">
        <v>72</v>
      </c>
      <c r="D7963" s="1">
        <v>4.0</v>
      </c>
      <c r="E7963" s="1">
        <v>22294.0</v>
      </c>
      <c r="F7963" s="10">
        <f t="shared" si="1"/>
        <v>4</v>
      </c>
      <c r="G7963" s="10">
        <f t="array" ref="G7963">index('Player ID'!C:C,match(E7963,'Player ID'!B:B,0))</f>
        <v>669461</v>
      </c>
    </row>
    <row r="7964">
      <c r="A7964" s="76">
        <v>45813.0</v>
      </c>
      <c r="B7964" s="1" t="s">
        <v>140</v>
      </c>
      <c r="C7964" s="1" t="s">
        <v>29</v>
      </c>
      <c r="D7964" s="1">
        <v>3.0</v>
      </c>
      <c r="E7964" s="1">
        <v>22717.0</v>
      </c>
      <c r="F7964" s="10">
        <f t="shared" si="1"/>
        <v>3</v>
      </c>
      <c r="G7964" s="10">
        <f t="array" ref="G7964">index('Player ID'!C:C,match(E7964,'Player ID'!B:B,0))</f>
        <v>672582</v>
      </c>
    </row>
    <row r="7965">
      <c r="A7965" s="76">
        <v>45813.0</v>
      </c>
      <c r="B7965" s="1" t="s">
        <v>214</v>
      </c>
      <c r="C7965" s="1" t="s">
        <v>29</v>
      </c>
      <c r="D7965" s="1">
        <v>2.0</v>
      </c>
      <c r="E7965" s="1">
        <v>23165.0</v>
      </c>
      <c r="F7965" s="10">
        <f t="shared" si="1"/>
        <v>2</v>
      </c>
      <c r="G7965" s="10">
        <f t="array" ref="G7965">index('Player ID'!C:C,match(E7965,'Player ID'!B:B,0))</f>
        <v>674444</v>
      </c>
    </row>
    <row r="7966">
      <c r="A7966" s="76">
        <v>45813.0</v>
      </c>
      <c r="B7966" s="1" t="s">
        <v>170</v>
      </c>
      <c r="C7966" s="1" t="s">
        <v>72</v>
      </c>
      <c r="D7966" s="1">
        <v>2.0</v>
      </c>
      <c r="E7966" s="1">
        <v>24763.0</v>
      </c>
      <c r="F7966" s="10">
        <f t="shared" si="1"/>
        <v>2</v>
      </c>
      <c r="G7966" s="10">
        <f t="array" ref="G7966">index('Player ID'!C:C,match(E7966,'Player ID'!B:B,0))</f>
        <v>681517</v>
      </c>
    </row>
    <row r="7967">
      <c r="A7967" s="76">
        <v>45813.0</v>
      </c>
      <c r="B7967" s="1" t="s">
        <v>223</v>
      </c>
      <c r="C7967" s="1" t="s">
        <v>72</v>
      </c>
      <c r="D7967" s="1">
        <v>1.1</v>
      </c>
      <c r="E7967" s="1">
        <v>29629.0</v>
      </c>
      <c r="F7967" s="10">
        <f t="shared" si="1"/>
        <v>1.333333333</v>
      </c>
      <c r="G7967" s="10">
        <f t="array" ref="G7967">index('Player ID'!C:C,match(E7967,'Player ID'!B:B,0))</f>
        <v>694335</v>
      </c>
    </row>
    <row r="7968">
      <c r="A7968" s="76">
        <v>45814.0</v>
      </c>
      <c r="B7968" s="1" t="s">
        <v>177</v>
      </c>
      <c r="C7968" s="1" t="s">
        <v>54</v>
      </c>
      <c r="D7968" s="1">
        <v>6.0</v>
      </c>
      <c r="E7968" s="1">
        <v>15823.0</v>
      </c>
      <c r="F7968" s="10">
        <f t="shared" si="1"/>
        <v>6</v>
      </c>
      <c r="G7968" s="10">
        <f t="array" ref="G7968">index('Player ID'!C:C,match(E7968,'Player ID'!B:B,0))</f>
        <v>641793</v>
      </c>
    </row>
    <row r="7969">
      <c r="A7969" s="76">
        <v>45814.0</v>
      </c>
      <c r="B7969" s="1" t="s">
        <v>185</v>
      </c>
      <c r="C7969" s="1" t="s">
        <v>54</v>
      </c>
      <c r="D7969" s="1">
        <v>0.2</v>
      </c>
      <c r="E7969" s="1">
        <v>17897.0</v>
      </c>
      <c r="F7969" s="10">
        <f t="shared" si="1"/>
        <v>0.6666666667</v>
      </c>
      <c r="G7969" s="10">
        <f t="array" ref="G7969">index('Player ID'!C:C,match(E7969,'Player ID'!B:B,0))</f>
        <v>664076</v>
      </c>
    </row>
    <row r="7970">
      <c r="A7970" s="76">
        <v>45814.0</v>
      </c>
      <c r="B7970" s="1" t="s">
        <v>261</v>
      </c>
      <c r="C7970" s="1" t="s">
        <v>54</v>
      </c>
      <c r="D7970" s="1">
        <v>1.0</v>
      </c>
      <c r="E7970" s="1">
        <v>17998.0</v>
      </c>
      <c r="F7970" s="10">
        <f t="shared" si="1"/>
        <v>1</v>
      </c>
      <c r="G7970" s="10">
        <f t="array" ref="G7970">index('Player ID'!C:C,match(E7970,'Player ID'!B:B,0))</f>
        <v>664126</v>
      </c>
    </row>
    <row r="7971">
      <c r="A7971" s="76">
        <v>45814.0</v>
      </c>
      <c r="B7971" s="1" t="s">
        <v>400</v>
      </c>
      <c r="C7971" s="1" t="s">
        <v>54</v>
      </c>
      <c r="D7971" s="1">
        <v>0.1</v>
      </c>
      <c r="E7971" s="1">
        <v>20539.0</v>
      </c>
      <c r="F7971" s="10">
        <f t="shared" si="1"/>
        <v>0.3333333333</v>
      </c>
      <c r="G7971" s="10">
        <f t="array" ref="G7971">index('Player ID'!C:C,match(E7971,'Player ID'!B:B,0))</f>
        <v>670955</v>
      </c>
    </row>
    <row r="7972">
      <c r="A7972" s="76">
        <v>45814.0</v>
      </c>
      <c r="B7972" s="1" t="s">
        <v>61</v>
      </c>
      <c r="C7972" s="1" t="s">
        <v>36</v>
      </c>
      <c r="D7972" s="1">
        <v>1.0</v>
      </c>
      <c r="E7972" s="1">
        <v>20629.0</v>
      </c>
      <c r="F7972" s="10">
        <f t="shared" si="1"/>
        <v>1</v>
      </c>
      <c r="G7972" s="10">
        <f t="array" ref="G7972">index('Player ID'!C:C,match(E7972,'Player ID'!B:B,0))</f>
        <v>663969</v>
      </c>
    </row>
    <row r="7973">
      <c r="A7973" s="76">
        <v>45814.0</v>
      </c>
      <c r="B7973" s="1" t="s">
        <v>705</v>
      </c>
      <c r="C7973" s="1" t="s">
        <v>54</v>
      </c>
      <c r="D7973" s="1">
        <v>1.0</v>
      </c>
      <c r="E7973" s="1">
        <v>20794.0</v>
      </c>
      <c r="F7973" s="10">
        <f t="shared" si="1"/>
        <v>1</v>
      </c>
      <c r="G7973" s="10">
        <f t="array" ref="G7973">index('Player ID'!C:C,match(E7973,'Player ID'!B:B,0))</f>
        <v>655889</v>
      </c>
    </row>
    <row r="7974">
      <c r="A7974" s="76">
        <v>45814.0</v>
      </c>
      <c r="B7974" s="1" t="s">
        <v>171</v>
      </c>
      <c r="C7974" s="1" t="s">
        <v>36</v>
      </c>
      <c r="D7974" s="1">
        <v>4.0</v>
      </c>
      <c r="E7974" s="1">
        <v>21690.0</v>
      </c>
      <c r="F7974" s="10">
        <f t="shared" si="1"/>
        <v>4</v>
      </c>
      <c r="G7974" s="10">
        <f t="array" ref="G7974">index('Player ID'!C:C,match(E7974,'Player ID'!B:B,0))</f>
        <v>665795</v>
      </c>
    </row>
    <row r="7975">
      <c r="A7975" s="76">
        <v>45814.0</v>
      </c>
      <c r="B7975" s="1" t="s">
        <v>469</v>
      </c>
      <c r="C7975" s="1" t="s">
        <v>36</v>
      </c>
      <c r="D7975" s="1">
        <v>2.0</v>
      </c>
      <c r="E7975" s="1">
        <v>21863.0</v>
      </c>
      <c r="F7975" s="10">
        <f t="shared" si="1"/>
        <v>2</v>
      </c>
      <c r="G7975" s="10">
        <f t="array" ref="G7975">index('Player ID'!C:C,match(E7975,'Player ID'!B:B,0))</f>
        <v>666277</v>
      </c>
    </row>
    <row r="7976">
      <c r="A7976" s="76">
        <v>45814.0</v>
      </c>
      <c r="B7976" s="1" t="s">
        <v>676</v>
      </c>
      <c r="C7976" s="1" t="s">
        <v>36</v>
      </c>
      <c r="D7976" s="1">
        <v>1.0</v>
      </c>
      <c r="E7976" s="1">
        <v>27453.0</v>
      </c>
      <c r="F7976" s="10">
        <f t="shared" si="1"/>
        <v>1</v>
      </c>
      <c r="G7976" s="10">
        <f t="array" ref="G7976">index('Player ID'!C:C,match(E7976,'Player ID'!B:B,0))</f>
        <v>685107</v>
      </c>
    </row>
    <row r="7977">
      <c r="A7977" s="76">
        <v>45814.0</v>
      </c>
      <c r="B7977" s="1" t="s">
        <v>360</v>
      </c>
      <c r="C7977" s="1" t="s">
        <v>45</v>
      </c>
      <c r="D7977" s="1">
        <v>2.0</v>
      </c>
      <c r="E7977" s="1">
        <v>12972.0</v>
      </c>
      <c r="F7977" s="10">
        <f t="shared" si="1"/>
        <v>2</v>
      </c>
      <c r="G7977" s="10">
        <f t="array" ref="G7977">index('Player ID'!C:C,match(E7977,'Player ID'!B:B,0))</f>
        <v>605452</v>
      </c>
    </row>
    <row r="7978">
      <c r="A7978" s="76">
        <v>45814.0</v>
      </c>
      <c r="B7978" s="1" t="s">
        <v>182</v>
      </c>
      <c r="C7978" s="1" t="s">
        <v>45</v>
      </c>
      <c r="D7978" s="1">
        <v>1.0</v>
      </c>
      <c r="E7978" s="1">
        <v>13799.0</v>
      </c>
      <c r="F7978" s="10">
        <f t="shared" si="1"/>
        <v>1</v>
      </c>
      <c r="G7978" s="10">
        <f t="array" ref="G7978">index('Player ID'!C:C,match(E7978,'Player ID'!B:B,0))</f>
        <v>621381</v>
      </c>
    </row>
    <row r="7979">
      <c r="A7979" s="76">
        <v>45814.0</v>
      </c>
      <c r="B7979" s="1" t="s">
        <v>208</v>
      </c>
      <c r="C7979" s="1" t="s">
        <v>45</v>
      </c>
      <c r="D7979" s="1">
        <v>0.2</v>
      </c>
      <c r="E7979" s="1">
        <v>16122.0</v>
      </c>
      <c r="F7979" s="10">
        <f t="shared" si="1"/>
        <v>0.6666666667</v>
      </c>
      <c r="G7979" s="10">
        <f t="array" ref="G7979">index('Player ID'!C:C,match(E7979,'Player ID'!B:B,0))</f>
        <v>605447</v>
      </c>
    </row>
    <row r="7980">
      <c r="A7980" s="76">
        <v>45814.0</v>
      </c>
      <c r="B7980" s="1" t="s">
        <v>138</v>
      </c>
      <c r="C7980" s="1" t="s">
        <v>45</v>
      </c>
      <c r="D7980" s="1">
        <v>1.0</v>
      </c>
      <c r="E7980" s="1">
        <v>16990.0</v>
      </c>
      <c r="F7980" s="10">
        <f t="shared" si="1"/>
        <v>1</v>
      </c>
      <c r="G7980" s="10">
        <f t="array" ref="G7980">index('Player ID'!C:C,match(E7980,'Player ID'!B:B,0))</f>
        <v>621383</v>
      </c>
    </row>
    <row r="7981">
      <c r="A7981" s="76">
        <v>45814.0</v>
      </c>
      <c r="B7981" s="1" t="s">
        <v>217</v>
      </c>
      <c r="C7981" s="1" t="s">
        <v>60</v>
      </c>
      <c r="D7981" s="1">
        <v>1.1</v>
      </c>
      <c r="E7981" s="1">
        <v>17878.0</v>
      </c>
      <c r="F7981" s="10">
        <f t="shared" si="1"/>
        <v>1.333333333</v>
      </c>
      <c r="G7981" s="10">
        <f t="array" ref="G7981">index('Player ID'!C:C,match(E7981,'Player ID'!B:B,0))</f>
        <v>642701</v>
      </c>
    </row>
    <row r="7982">
      <c r="A7982" s="76">
        <v>45814.0</v>
      </c>
      <c r="B7982" s="1" t="s">
        <v>107</v>
      </c>
      <c r="C7982" s="1" t="s">
        <v>60</v>
      </c>
      <c r="D7982" s="1">
        <v>1.2</v>
      </c>
      <c r="E7982" s="1">
        <v>19349.0</v>
      </c>
      <c r="F7982" s="10">
        <f t="shared" si="1"/>
        <v>1.666666667</v>
      </c>
      <c r="G7982" s="10">
        <f t="array" ref="G7982">index('Player ID'!C:C,match(E7982,'Player ID'!B:B,0))</f>
        <v>657571</v>
      </c>
    </row>
    <row r="7983">
      <c r="A7983" s="76">
        <v>45814.0</v>
      </c>
      <c r="B7983" s="1" t="s">
        <v>571</v>
      </c>
      <c r="C7983" s="1" t="s">
        <v>45</v>
      </c>
      <c r="D7983" s="1">
        <v>3.0</v>
      </c>
      <c r="E7983" s="1">
        <v>19524.0</v>
      </c>
      <c r="F7983" s="10">
        <f t="shared" si="1"/>
        <v>3</v>
      </c>
      <c r="G7983" s="10">
        <f t="array" ref="G7983">index('Player ID'!C:C,match(E7983,'Player ID'!B:B,0))</f>
        <v>660604</v>
      </c>
    </row>
    <row r="7984">
      <c r="A7984" s="76">
        <v>45814.0</v>
      </c>
      <c r="B7984" s="1" t="s">
        <v>183</v>
      </c>
      <c r="C7984" s="1" t="s">
        <v>60</v>
      </c>
      <c r="D7984" s="1">
        <v>1.0</v>
      </c>
      <c r="E7984" s="1">
        <v>19569.0</v>
      </c>
      <c r="F7984" s="10">
        <f t="shared" si="1"/>
        <v>1</v>
      </c>
      <c r="G7984" s="10">
        <f t="array" ref="G7984">index('Player ID'!C:C,match(E7984,'Player ID'!B:B,0))</f>
        <v>670280</v>
      </c>
    </row>
    <row r="7985">
      <c r="A7985" s="76">
        <v>45814.0</v>
      </c>
      <c r="B7985" s="1" t="s">
        <v>220</v>
      </c>
      <c r="C7985" s="1" t="s">
        <v>60</v>
      </c>
      <c r="D7985" s="1">
        <v>3.2</v>
      </c>
      <c r="E7985" s="1">
        <v>20070.0</v>
      </c>
      <c r="F7985" s="10">
        <f t="shared" si="1"/>
        <v>3.666666667</v>
      </c>
      <c r="G7985" s="10">
        <f t="array" ref="G7985">index('Player ID'!C:C,match(E7985,'Player ID'!B:B,0))</f>
        <v>663559</v>
      </c>
    </row>
    <row r="7986">
      <c r="A7986" s="76">
        <v>45814.0</v>
      </c>
      <c r="B7986" s="1" t="s">
        <v>463</v>
      </c>
      <c r="C7986" s="1" t="s">
        <v>60</v>
      </c>
      <c r="D7986" s="1">
        <v>1.1</v>
      </c>
      <c r="E7986" s="1">
        <v>21544.0</v>
      </c>
      <c r="F7986" s="10">
        <f t="shared" si="1"/>
        <v>1.333333333</v>
      </c>
      <c r="G7986" s="10">
        <f t="array" ref="G7986">index('Player ID'!C:C,match(E7986,'Player ID'!B:B,0))</f>
        <v>663767</v>
      </c>
    </row>
    <row r="7987">
      <c r="A7987" s="76">
        <v>45814.0</v>
      </c>
      <c r="B7987" s="1" t="s">
        <v>165</v>
      </c>
      <c r="C7987" s="1" t="s">
        <v>45</v>
      </c>
      <c r="D7987" s="1">
        <v>1.0</v>
      </c>
      <c r="E7987" s="1">
        <v>31776.0</v>
      </c>
      <c r="F7987" s="10">
        <f t="shared" si="1"/>
        <v>1</v>
      </c>
      <c r="G7987" s="10">
        <f t="array" ref="G7987">index('Player ID'!C:C,match(E7987,'Player ID'!B:B,0))</f>
        <v>689147</v>
      </c>
    </row>
    <row r="7988">
      <c r="A7988" s="76">
        <v>45814.0</v>
      </c>
      <c r="B7988" s="1" t="s">
        <v>245</v>
      </c>
      <c r="C7988" s="1" t="s">
        <v>56</v>
      </c>
      <c r="D7988" s="1">
        <v>8.0</v>
      </c>
      <c r="E7988" s="1">
        <v>9323.0</v>
      </c>
      <c r="F7988" s="10">
        <f t="shared" si="1"/>
        <v>8</v>
      </c>
      <c r="G7988" s="10">
        <f t="array" ref="G7988">index('Player ID'!C:C,match(E7988,'Player ID'!B:B,0))</f>
        <v>571578</v>
      </c>
    </row>
    <row r="7989">
      <c r="A7989" s="76">
        <v>45814.0</v>
      </c>
      <c r="B7989" s="1" t="s">
        <v>139</v>
      </c>
      <c r="C7989" s="1" t="s">
        <v>80</v>
      </c>
      <c r="D7989" s="1">
        <v>1.0</v>
      </c>
      <c r="E7989" s="1">
        <v>15009.0</v>
      </c>
      <c r="F7989" s="10">
        <f t="shared" si="1"/>
        <v>1</v>
      </c>
      <c r="G7989" s="10">
        <f t="array" ref="G7989">index('Player ID'!C:C,match(E7989,'Player ID'!B:B,0))</f>
        <v>640448</v>
      </c>
    </row>
    <row r="7990">
      <c r="A7990" s="76">
        <v>45814.0</v>
      </c>
      <c r="B7990" s="1" t="s">
        <v>480</v>
      </c>
      <c r="C7990" s="1" t="s">
        <v>80</v>
      </c>
      <c r="D7990" s="1">
        <v>6.0</v>
      </c>
      <c r="E7990" s="1">
        <v>18383.0</v>
      </c>
      <c r="F7990" s="10">
        <f t="shared" si="1"/>
        <v>6</v>
      </c>
      <c r="G7990" s="10">
        <f t="array" ref="G7990">index('Player ID'!C:C,match(E7990,'Player ID'!B:B,0))</f>
        <v>647336</v>
      </c>
    </row>
    <row r="7991">
      <c r="A7991" s="76">
        <v>45814.0</v>
      </c>
      <c r="B7991" s="1" t="s">
        <v>86</v>
      </c>
      <c r="C7991" s="1" t="s">
        <v>80</v>
      </c>
      <c r="D7991" s="1">
        <v>1.0</v>
      </c>
      <c r="E7991" s="1">
        <v>24017.0</v>
      </c>
      <c r="F7991" s="10">
        <f t="shared" si="1"/>
        <v>1</v>
      </c>
      <c r="G7991" s="10">
        <f t="array" ref="G7991">index('Player ID'!C:C,match(E7991,'Player ID'!B:B,0))</f>
        <v>678606</v>
      </c>
    </row>
    <row r="7992">
      <c r="A7992" s="76">
        <v>45814.0</v>
      </c>
      <c r="B7992" s="1" t="s">
        <v>437</v>
      </c>
      <c r="C7992" s="1" t="s">
        <v>80</v>
      </c>
      <c r="D7992" s="1">
        <v>1.0</v>
      </c>
      <c r="E7992" s="1">
        <v>31972.0</v>
      </c>
      <c r="F7992" s="10">
        <f t="shared" si="1"/>
        <v>1</v>
      </c>
      <c r="G7992" s="10">
        <f t="array" ref="G7992">index('Player ID'!C:C,match(E7992,'Player ID'!B:B,0))</f>
        <v>695418</v>
      </c>
    </row>
    <row r="7993">
      <c r="A7993" s="76">
        <v>45814.0</v>
      </c>
      <c r="B7993" s="1" t="s">
        <v>422</v>
      </c>
      <c r="C7993" s="1" t="s">
        <v>58</v>
      </c>
      <c r="D7993" s="1">
        <v>0.2</v>
      </c>
      <c r="E7993" s="1">
        <v>7048.0</v>
      </c>
      <c r="F7993" s="10">
        <f t="shared" si="1"/>
        <v>0.6666666667</v>
      </c>
      <c r="G7993" s="10">
        <f t="array" ref="G7993">index('Player ID'!C:C,match(E7993,'Player ID'!B:B,0))</f>
        <v>518585</v>
      </c>
    </row>
    <row r="7994">
      <c r="A7994" s="76">
        <v>45814.0</v>
      </c>
      <c r="B7994" s="1" t="s">
        <v>114</v>
      </c>
      <c r="C7994" s="1" t="s">
        <v>58</v>
      </c>
      <c r="D7994" s="1">
        <v>1.0</v>
      </c>
      <c r="E7994" s="1">
        <v>15816.0</v>
      </c>
      <c r="F7994" s="10">
        <f t="shared" si="1"/>
        <v>1</v>
      </c>
      <c r="G7994" s="10">
        <f t="array" ref="G7994">index('Player ID'!C:C,match(E7994,'Player ID'!B:B,0))</f>
        <v>642207</v>
      </c>
    </row>
    <row r="7995">
      <c r="A7995" s="76">
        <v>45814.0</v>
      </c>
      <c r="B7995" s="1" t="s">
        <v>493</v>
      </c>
      <c r="C7995" s="1" t="s">
        <v>22</v>
      </c>
      <c r="D7995" s="1">
        <v>1.0</v>
      </c>
      <c r="E7995" s="1">
        <v>16835.0</v>
      </c>
      <c r="F7995" s="10">
        <f t="shared" si="1"/>
        <v>1</v>
      </c>
      <c r="G7995" s="10">
        <f t="array" ref="G7995">index('Player ID'!C:C,match(E7995,'Player ID'!B:B,0))</f>
        <v>657514</v>
      </c>
    </row>
    <row r="7996">
      <c r="A7996" s="76">
        <v>45814.0</v>
      </c>
      <c r="B7996" s="1" t="s">
        <v>405</v>
      </c>
      <c r="C7996" s="1" t="s">
        <v>22</v>
      </c>
      <c r="D7996" s="1">
        <v>2.0</v>
      </c>
      <c r="E7996" s="1">
        <v>19374.0</v>
      </c>
      <c r="F7996" s="10">
        <f t="shared" si="1"/>
        <v>2</v>
      </c>
      <c r="G7996" s="10">
        <f t="array" ref="G7996">index('Player ID'!C:C,match(E7996,'Player ID'!B:B,0))</f>
        <v>621111</v>
      </c>
    </row>
    <row r="7997">
      <c r="A7997" s="76">
        <v>45814.0</v>
      </c>
      <c r="B7997" s="1" t="s">
        <v>831</v>
      </c>
      <c r="C7997" s="1" t="s">
        <v>58</v>
      </c>
      <c r="D7997" s="1">
        <v>1.0</v>
      </c>
      <c r="E7997" s="1">
        <v>19753.0</v>
      </c>
      <c r="F7997" s="10">
        <f t="shared" si="1"/>
        <v>1</v>
      </c>
      <c r="G7997" s="10">
        <f t="array" ref="G7997">index('Player ID'!C:C,match(E7997,'Player ID'!B:B,0))</f>
        <v>642528</v>
      </c>
    </row>
    <row r="7998">
      <c r="A7998" s="76">
        <v>45814.0</v>
      </c>
      <c r="B7998" s="1" t="s">
        <v>134</v>
      </c>
      <c r="C7998" s="1" t="s">
        <v>22</v>
      </c>
      <c r="D7998" s="1">
        <v>2.0</v>
      </c>
      <c r="E7998" s="1">
        <v>20349.0</v>
      </c>
      <c r="F7998" s="10">
        <f t="shared" si="1"/>
        <v>2</v>
      </c>
      <c r="G7998" s="10">
        <f t="array" ref="G7998">index('Player ID'!C:C,match(E7998,'Player ID'!B:B,0))</f>
        <v>677161</v>
      </c>
    </row>
    <row r="7999">
      <c r="A7999" s="76">
        <v>45814.0</v>
      </c>
      <c r="B7999" s="1" t="s">
        <v>563</v>
      </c>
      <c r="C7999" s="1" t="s">
        <v>22</v>
      </c>
      <c r="D7999" s="1">
        <v>3.0</v>
      </c>
      <c r="E7999" s="1">
        <v>24975.0</v>
      </c>
      <c r="F7999" s="10">
        <f t="shared" si="1"/>
        <v>3</v>
      </c>
      <c r="G7999" s="10">
        <f t="array" ref="G7999">index('Player ID'!C:C,match(E7999,'Player ID'!B:B,0))</f>
        <v>681867</v>
      </c>
    </row>
    <row r="8000">
      <c r="A8000" s="76">
        <v>45814.0</v>
      </c>
      <c r="B8000" s="1" t="s">
        <v>693</v>
      </c>
      <c r="C8000" s="1" t="s">
        <v>58</v>
      </c>
      <c r="D8000" s="1">
        <v>1.0</v>
      </c>
      <c r="E8000" s="1">
        <v>27702.0</v>
      </c>
      <c r="F8000" s="10">
        <f t="shared" si="1"/>
        <v>1</v>
      </c>
      <c r="G8000" s="10">
        <f t="array" ref="G8000">index('Player ID'!C:C,match(E8000,'Player ID'!B:B,0))</f>
        <v>687396</v>
      </c>
    </row>
    <row r="8001">
      <c r="A8001" s="76">
        <v>45814.0</v>
      </c>
      <c r="B8001" s="1" t="s">
        <v>344</v>
      </c>
      <c r="C8001" s="1" t="s">
        <v>58</v>
      </c>
      <c r="D8001" s="1">
        <v>5.1</v>
      </c>
      <c r="E8001" s="1">
        <v>30182.0</v>
      </c>
      <c r="F8001" s="10">
        <f t="shared" si="1"/>
        <v>5.333333333</v>
      </c>
      <c r="G8001" s="10">
        <f t="array" ref="G8001">index('Player ID'!C:C,match(E8001,'Player ID'!B:B,0))</f>
        <v>701542</v>
      </c>
    </row>
    <row r="8002">
      <c r="A8002" s="76">
        <v>45815.0</v>
      </c>
      <c r="B8002" s="1" t="s">
        <v>368</v>
      </c>
      <c r="C8002" s="1" t="s">
        <v>64</v>
      </c>
      <c r="D8002" s="1">
        <v>5.0</v>
      </c>
      <c r="E8002" s="1">
        <v>13164.0</v>
      </c>
      <c r="F8002" s="10">
        <f t="shared" si="1"/>
        <v>5</v>
      </c>
      <c r="G8002" s="10">
        <f t="array" ref="G8002">index('Player ID'!C:C,match(E8002,'Player ID'!B:B,0))</f>
        <v>593958</v>
      </c>
    </row>
    <row r="8003">
      <c r="A8003" s="76">
        <v>45814.0</v>
      </c>
      <c r="B8003" s="1" t="s">
        <v>651</v>
      </c>
      <c r="C8003" s="1" t="s">
        <v>66</v>
      </c>
      <c r="D8003" s="1">
        <v>1.0</v>
      </c>
      <c r="E8003" s="1">
        <v>14771.0</v>
      </c>
      <c r="F8003" s="10">
        <f t="shared" si="1"/>
        <v>1</v>
      </c>
      <c r="G8003" s="10">
        <f t="array" ref="G8003">index('Player ID'!C:C,match(E8003,'Player ID'!B:B,0))</f>
        <v>641941</v>
      </c>
    </row>
    <row r="8004">
      <c r="A8004" s="76">
        <v>45814.0</v>
      </c>
      <c r="B8004" s="1" t="s">
        <v>219</v>
      </c>
      <c r="C8004" s="1" t="s">
        <v>64</v>
      </c>
      <c r="D8004" s="1">
        <v>1.1</v>
      </c>
      <c r="E8004" s="1">
        <v>16647.0</v>
      </c>
      <c r="F8004" s="10">
        <f t="shared" si="1"/>
        <v>1.333333333</v>
      </c>
      <c r="G8004" s="10">
        <f t="array" ref="G8004">index('Player ID'!C:C,match(E8004,'Player ID'!B:B,0))</f>
        <v>657044</v>
      </c>
    </row>
    <row r="8005">
      <c r="A8005" s="76">
        <v>45814.0</v>
      </c>
      <c r="B8005" s="1" t="s">
        <v>489</v>
      </c>
      <c r="C8005" s="1" t="s">
        <v>64</v>
      </c>
      <c r="D8005" s="1">
        <v>1.2</v>
      </c>
      <c r="E8005" s="1">
        <v>17192.0</v>
      </c>
      <c r="F8005" s="10">
        <f t="shared" si="1"/>
        <v>1.666666667</v>
      </c>
      <c r="G8005" s="10">
        <f t="array" ref="G8005">index('Player ID'!C:C,match(E8005,'Player ID'!B:B,0))</f>
        <v>656222</v>
      </c>
    </row>
    <row r="8006">
      <c r="A8006" s="76">
        <v>45814.0</v>
      </c>
      <c r="B8006" s="1" t="s">
        <v>345</v>
      </c>
      <c r="C8006" s="1" t="s">
        <v>66</v>
      </c>
      <c r="D8006" s="1">
        <v>1.0</v>
      </c>
      <c r="E8006" s="1">
        <v>19926.0</v>
      </c>
      <c r="F8006" s="10">
        <f t="shared" si="1"/>
        <v>1</v>
      </c>
      <c r="G8006" s="10">
        <f t="array" ref="G8006">index('Player ID'!C:C,match(E8006,'Player ID'!B:B,0))</f>
        <v>663574</v>
      </c>
    </row>
    <row r="8007">
      <c r="A8007" s="76">
        <v>45814.0</v>
      </c>
      <c r="B8007" s="1" t="s">
        <v>370</v>
      </c>
      <c r="C8007" s="1" t="s">
        <v>64</v>
      </c>
      <c r="D8007" s="1">
        <v>0.1</v>
      </c>
      <c r="E8007" s="1">
        <v>21924.0</v>
      </c>
      <c r="F8007" s="10">
        <f t="shared" si="1"/>
        <v>0.3333333333</v>
      </c>
      <c r="G8007" s="10">
        <f t="array" ref="G8007">index('Player ID'!C:C,match(E8007,'Player ID'!B:B,0))</f>
        <v>666661</v>
      </c>
    </row>
    <row r="8008">
      <c r="A8008" s="76">
        <v>45815.0</v>
      </c>
      <c r="B8008" s="1" t="s">
        <v>194</v>
      </c>
      <c r="C8008" s="1" t="s">
        <v>66</v>
      </c>
      <c r="D8008" s="1">
        <v>6.0</v>
      </c>
      <c r="E8008" s="1">
        <v>26378.0</v>
      </c>
      <c r="F8008" s="10">
        <f t="shared" si="1"/>
        <v>6</v>
      </c>
      <c r="G8008" s="10">
        <f t="array" ref="G8008">index('Player ID'!C:C,match(E8008,'Player ID'!B:B,0))</f>
        <v>666157</v>
      </c>
    </row>
    <row r="8009">
      <c r="A8009" s="76">
        <v>45814.0</v>
      </c>
      <c r="B8009" s="1" t="s">
        <v>211</v>
      </c>
      <c r="C8009" s="1" t="s">
        <v>66</v>
      </c>
      <c r="D8009" s="1">
        <v>2.0</v>
      </c>
      <c r="E8009" s="1">
        <v>27552.0</v>
      </c>
      <c r="F8009" s="10">
        <f t="shared" si="1"/>
        <v>2</v>
      </c>
      <c r="G8009" s="10">
        <f t="array" ref="G8009">index('Player ID'!C:C,match(E8009,'Player ID'!B:B,0))</f>
        <v>668933</v>
      </c>
    </row>
    <row r="8010">
      <c r="A8010" s="76">
        <v>45814.0</v>
      </c>
      <c r="B8010" s="1" t="s">
        <v>703</v>
      </c>
      <c r="C8010" s="1" t="s">
        <v>64</v>
      </c>
      <c r="D8010" s="1">
        <v>1.0</v>
      </c>
      <c r="E8010" s="1">
        <v>27974.0</v>
      </c>
      <c r="F8010" s="10">
        <f t="shared" si="1"/>
        <v>1</v>
      </c>
      <c r="G8010" s="10">
        <f t="array" ref="G8010">index('Player ID'!C:C,match(E8010,'Player ID'!B:B,0))</f>
        <v>691441</v>
      </c>
    </row>
    <row r="8011">
      <c r="A8011" s="76">
        <v>45814.0</v>
      </c>
      <c r="B8011" s="1" t="s">
        <v>59</v>
      </c>
      <c r="C8011" s="1" t="s">
        <v>39</v>
      </c>
      <c r="D8011" s="1">
        <v>1.0</v>
      </c>
      <c r="E8011" s="1">
        <v>14212.0</v>
      </c>
      <c r="F8011" s="10">
        <f t="shared" si="1"/>
        <v>1</v>
      </c>
      <c r="G8011" s="10">
        <f t="array" ref="G8011">index('Player ID'!C:C,match(E8011,'Player ID'!B:B,0))</f>
        <v>623352</v>
      </c>
    </row>
    <row r="8012">
      <c r="A8012" s="76">
        <v>45814.0</v>
      </c>
      <c r="B8012" s="1" t="s">
        <v>210</v>
      </c>
      <c r="C8012" s="1" t="s">
        <v>39</v>
      </c>
      <c r="D8012" s="1">
        <v>1.0</v>
      </c>
      <c r="E8012" s="1">
        <v>16609.0</v>
      </c>
      <c r="F8012" s="10">
        <f t="shared" si="1"/>
        <v>1</v>
      </c>
      <c r="G8012" s="10">
        <f t="array" ref="G8012">index('Player ID'!C:C,match(E8012,'Player ID'!B:B,0))</f>
        <v>650556</v>
      </c>
    </row>
    <row r="8013">
      <c r="A8013" s="76">
        <v>45814.0</v>
      </c>
      <c r="B8013" s="1" t="s">
        <v>141</v>
      </c>
      <c r="C8013" s="1" t="s">
        <v>70</v>
      </c>
      <c r="D8013" s="1">
        <v>1.0</v>
      </c>
      <c r="E8013" s="1">
        <v>19330.0</v>
      </c>
      <c r="F8013" s="10">
        <f t="shared" si="1"/>
        <v>1</v>
      </c>
      <c r="G8013" s="10">
        <f t="array" ref="G8013">index('Player ID'!C:C,match(E8013,'Player ID'!B:B,0))</f>
        <v>670036</v>
      </c>
    </row>
    <row r="8014">
      <c r="A8014" s="76">
        <v>45814.0</v>
      </c>
      <c r="B8014" s="1" t="s">
        <v>444</v>
      </c>
      <c r="C8014" s="1" t="s">
        <v>39</v>
      </c>
      <c r="D8014" s="1">
        <v>0.2</v>
      </c>
      <c r="E8014" s="1">
        <v>24977.0</v>
      </c>
      <c r="F8014" s="10">
        <f t="shared" si="1"/>
        <v>0.6666666667</v>
      </c>
      <c r="G8014" s="10">
        <f t="array" ref="G8014">index('Player ID'!C:C,match(E8014,'Player ID'!B:B,0))</f>
        <v>681869</v>
      </c>
    </row>
    <row r="8015">
      <c r="A8015" s="76">
        <v>45814.0</v>
      </c>
      <c r="B8015" s="1" t="s">
        <v>519</v>
      </c>
      <c r="C8015" s="1" t="s">
        <v>70</v>
      </c>
      <c r="D8015" s="1">
        <v>1.0</v>
      </c>
      <c r="E8015" s="1">
        <v>25139.0</v>
      </c>
      <c r="F8015" s="10">
        <f t="shared" si="1"/>
        <v>1</v>
      </c>
      <c r="G8015" s="10">
        <f t="array" ref="G8015">index('Player ID'!C:C,match(E8015,'Player ID'!B:B,0))</f>
        <v>682120</v>
      </c>
    </row>
    <row r="8016">
      <c r="A8016" s="76">
        <v>45814.0</v>
      </c>
      <c r="B8016" s="1" t="s">
        <v>375</v>
      </c>
      <c r="C8016" s="1" t="s">
        <v>70</v>
      </c>
      <c r="D8016" s="1">
        <v>1.0</v>
      </c>
      <c r="E8016" s="1">
        <v>25553.0</v>
      </c>
      <c r="F8016" s="10">
        <f t="shared" si="1"/>
        <v>1</v>
      </c>
      <c r="G8016" s="10" t="str">
        <f t="array" ref="G8016">index('Player ID'!C:C,match(E8016,'Player ID'!B:B,0))</f>
        <v>#N/A</v>
      </c>
    </row>
    <row r="8017">
      <c r="A8017" s="76">
        <v>45814.0</v>
      </c>
      <c r="B8017" s="1" t="s">
        <v>76</v>
      </c>
      <c r="C8017" s="1" t="s">
        <v>39</v>
      </c>
      <c r="D8017" s="1">
        <v>1.1</v>
      </c>
      <c r="E8017" s="1">
        <v>25890.0</v>
      </c>
      <c r="F8017" s="10">
        <f t="shared" si="1"/>
        <v>1.333333333</v>
      </c>
      <c r="G8017" s="10">
        <f t="array" ref="G8017">index('Player ID'!C:C,match(E8017,'Player ID'!B:B,0))</f>
        <v>687911</v>
      </c>
    </row>
    <row r="8018">
      <c r="A8018" s="76">
        <v>45814.0</v>
      </c>
      <c r="B8018" s="1" t="s">
        <v>372</v>
      </c>
      <c r="C8018" s="1" t="s">
        <v>70</v>
      </c>
      <c r="D8018" s="1">
        <v>6.0</v>
      </c>
      <c r="E8018" s="1">
        <v>27589.0</v>
      </c>
      <c r="F8018" s="10">
        <f t="shared" si="1"/>
        <v>6</v>
      </c>
      <c r="G8018" s="10">
        <f t="array" ref="G8018">index('Player ID'!C:C,match(E8018,'Player ID'!B:B,0))</f>
        <v>671106</v>
      </c>
    </row>
    <row r="8019">
      <c r="A8019" s="76">
        <v>45814.0</v>
      </c>
      <c r="B8019" s="1" t="s">
        <v>197</v>
      </c>
      <c r="C8019" s="1" t="s">
        <v>39</v>
      </c>
      <c r="D8019" s="1">
        <v>5.0</v>
      </c>
      <c r="E8019" s="1">
        <v>31312.0</v>
      </c>
      <c r="F8019" s="10">
        <f t="shared" si="1"/>
        <v>5</v>
      </c>
      <c r="G8019" s="10">
        <f t="array" ref="G8019">index('Player ID'!C:C,match(E8019,'Player ID'!B:B,0))</f>
        <v>676467</v>
      </c>
    </row>
    <row r="8020">
      <c r="A8020" s="76">
        <v>45814.0</v>
      </c>
      <c r="B8020" s="1" t="s">
        <v>825</v>
      </c>
      <c r="C8020" s="1" t="s">
        <v>34</v>
      </c>
      <c r="D8020" s="1">
        <v>1.0</v>
      </c>
      <c r="E8020" s="1">
        <v>17490.0</v>
      </c>
      <c r="F8020" s="10">
        <f t="shared" si="1"/>
        <v>1</v>
      </c>
      <c r="G8020" s="10">
        <f t="array" ref="G8020">index('Player ID'!C:C,match(E8020,'Player ID'!B:B,0))</f>
        <v>650893</v>
      </c>
    </row>
    <row r="8021">
      <c r="A8021" s="76">
        <v>45814.0</v>
      </c>
      <c r="B8021" s="1" t="s">
        <v>131</v>
      </c>
      <c r="C8021" s="1" t="s">
        <v>62</v>
      </c>
      <c r="D8021" s="1">
        <v>1.1</v>
      </c>
      <c r="E8021" s="1">
        <v>19769.0</v>
      </c>
      <c r="F8021" s="10">
        <f t="shared" si="1"/>
        <v>1.333333333</v>
      </c>
      <c r="G8021" s="10">
        <f t="array" ref="G8021">index('Player ID'!C:C,match(E8021,'Player ID'!B:B,0))</f>
        <v>676684</v>
      </c>
    </row>
    <row r="8022">
      <c r="A8022" s="76">
        <v>45814.0</v>
      </c>
      <c r="B8022" s="1" t="s">
        <v>84</v>
      </c>
      <c r="C8022" s="1" t="s">
        <v>62</v>
      </c>
      <c r="D8022" s="1">
        <v>7.2</v>
      </c>
      <c r="E8022" s="1">
        <v>22267.0</v>
      </c>
      <c r="F8022" s="10">
        <f t="shared" si="1"/>
        <v>7.666666667</v>
      </c>
      <c r="G8022" s="10">
        <f t="array" ref="G8022">index('Player ID'!C:C,match(E8022,'Player ID'!B:B,0))</f>
        <v>669373</v>
      </c>
    </row>
    <row r="8023">
      <c r="A8023" s="76">
        <v>45814.0</v>
      </c>
      <c r="B8023" s="1" t="s">
        <v>341</v>
      </c>
      <c r="C8023" s="1" t="s">
        <v>34</v>
      </c>
      <c r="D8023" s="1">
        <v>7.0</v>
      </c>
      <c r="E8023" s="1">
        <v>23590.0</v>
      </c>
      <c r="F8023" s="10">
        <f t="shared" si="1"/>
        <v>7</v>
      </c>
      <c r="G8023" s="10">
        <f t="array" ref="G8023">index('Player ID'!C:C,match(E8023,'Player ID'!B:B,0))</f>
        <v>676962</v>
      </c>
    </row>
    <row r="8024">
      <c r="A8024" s="76">
        <v>45814.0</v>
      </c>
      <c r="B8024" s="1" t="s">
        <v>452</v>
      </c>
      <c r="C8024" s="1" t="s">
        <v>29</v>
      </c>
      <c r="D8024" s="1">
        <v>5.0</v>
      </c>
      <c r="E8024" s="1">
        <v>12447.0</v>
      </c>
      <c r="F8024" s="10">
        <f t="shared" si="1"/>
        <v>5</v>
      </c>
      <c r="G8024" s="10">
        <f t="array" ref="G8024">index('Player ID'!C:C,match(E8024,'Player ID'!B:B,0))</f>
        <v>607625</v>
      </c>
    </row>
    <row r="8025">
      <c r="A8025" s="76">
        <v>45814.0</v>
      </c>
      <c r="B8025" s="1" t="s">
        <v>199</v>
      </c>
      <c r="C8025" s="1" t="s">
        <v>29</v>
      </c>
      <c r="D8025" s="1">
        <v>0.1</v>
      </c>
      <c r="E8025" s="1">
        <v>17611.0</v>
      </c>
      <c r="F8025" s="10">
        <f t="shared" si="1"/>
        <v>0.3333333333</v>
      </c>
      <c r="G8025" s="10">
        <f t="array" ref="G8025">index('Player ID'!C:C,match(E8025,'Player ID'!B:B,0))</f>
        <v>664199</v>
      </c>
    </row>
    <row r="8026">
      <c r="A8026" s="76">
        <v>45814.0</v>
      </c>
      <c r="B8026" s="1" t="s">
        <v>387</v>
      </c>
      <c r="C8026" s="1" t="s">
        <v>78</v>
      </c>
      <c r="D8026" s="1">
        <v>1.0</v>
      </c>
      <c r="E8026" s="1">
        <v>19990.0</v>
      </c>
      <c r="F8026" s="10">
        <f t="shared" si="1"/>
        <v>1</v>
      </c>
      <c r="G8026" s="10">
        <f t="array" ref="G8026">index('Player ID'!C:C,match(E8026,'Player ID'!B:B,0))</f>
        <v>669060</v>
      </c>
    </row>
    <row r="8027">
      <c r="A8027" s="76">
        <v>45814.0</v>
      </c>
      <c r="B8027" s="1" t="s">
        <v>335</v>
      </c>
      <c r="C8027" s="1" t="s">
        <v>78</v>
      </c>
      <c r="D8027" s="1">
        <v>6.0</v>
      </c>
      <c r="E8027" s="1">
        <v>21448.0</v>
      </c>
      <c r="F8027" s="10">
        <f t="shared" si="1"/>
        <v>6</v>
      </c>
      <c r="G8027" s="10">
        <f t="array" ref="G8027">index('Player ID'!C:C,match(E8027,'Player ID'!B:B,0))</f>
        <v>663436</v>
      </c>
    </row>
    <row r="8028">
      <c r="A8028" s="76">
        <v>45814.0</v>
      </c>
      <c r="B8028" s="1" t="s">
        <v>293</v>
      </c>
      <c r="C8028" s="1" t="s">
        <v>29</v>
      </c>
      <c r="D8028" s="1">
        <v>1.1</v>
      </c>
      <c r="E8028" s="1">
        <v>21537.0</v>
      </c>
      <c r="F8028" s="10">
        <f t="shared" si="1"/>
        <v>1.333333333</v>
      </c>
      <c r="G8028" s="10">
        <f t="array" ref="G8028">index('Player ID'!C:C,match(E8028,'Player ID'!B:B,0))</f>
        <v>663738</v>
      </c>
    </row>
    <row r="8029">
      <c r="A8029" s="76">
        <v>45814.0</v>
      </c>
      <c r="B8029" s="1" t="s">
        <v>236</v>
      </c>
      <c r="C8029" s="1" t="s">
        <v>29</v>
      </c>
      <c r="D8029" s="1">
        <v>1.1</v>
      </c>
      <c r="E8029" s="1">
        <v>24607.0</v>
      </c>
      <c r="F8029" s="10">
        <f t="shared" si="1"/>
        <v>1.333333333</v>
      </c>
      <c r="G8029" s="10">
        <f t="array" ref="G8029">index('Player ID'!C:C,match(E8029,'Player ID'!B:B,0))</f>
        <v>680742</v>
      </c>
    </row>
    <row r="8030">
      <c r="A8030" s="76">
        <v>45814.0</v>
      </c>
      <c r="B8030" s="1" t="s">
        <v>367</v>
      </c>
      <c r="C8030" s="1" t="s">
        <v>78</v>
      </c>
      <c r="D8030" s="1">
        <v>1.0</v>
      </c>
      <c r="E8030" s="1">
        <v>27668.0</v>
      </c>
      <c r="F8030" s="10">
        <f t="shared" si="1"/>
        <v>1</v>
      </c>
      <c r="G8030" s="10">
        <f t="array" ref="G8030">index('Player ID'!C:C,match(E8030,'Player ID'!B:B,0))</f>
        <v>685126</v>
      </c>
    </row>
    <row r="8031">
      <c r="A8031" s="76">
        <v>45814.0</v>
      </c>
      <c r="B8031" s="1" t="s">
        <v>317</v>
      </c>
      <c r="C8031" s="1" t="s">
        <v>78</v>
      </c>
      <c r="D8031" s="1">
        <v>1.0</v>
      </c>
      <c r="E8031" s="1">
        <v>29950.0</v>
      </c>
      <c r="F8031" s="10">
        <f t="shared" si="1"/>
        <v>1</v>
      </c>
      <c r="G8031" s="10">
        <f t="array" ref="G8031">index('Player ID'!C:C,match(E8031,'Player ID'!B:B,0))</f>
        <v>673929</v>
      </c>
    </row>
    <row r="8032">
      <c r="A8032" s="76">
        <v>45814.0</v>
      </c>
      <c r="B8032" s="1" t="s">
        <v>404</v>
      </c>
      <c r="C8032" s="1" t="s">
        <v>26</v>
      </c>
      <c r="D8032" s="1">
        <v>0.2</v>
      </c>
      <c r="E8032" s="1">
        <v>14295.0</v>
      </c>
      <c r="F8032" s="10">
        <f t="shared" si="1"/>
        <v>0.6666666667</v>
      </c>
      <c r="G8032" s="10">
        <f t="array" ref="G8032">index('Player ID'!C:C,match(E8032,'Player ID'!B:B,0))</f>
        <v>593974</v>
      </c>
    </row>
    <row r="8033">
      <c r="A8033" s="76">
        <v>45814.0</v>
      </c>
      <c r="B8033" s="1" t="s">
        <v>724</v>
      </c>
      <c r="C8033" s="1" t="s">
        <v>14</v>
      </c>
      <c r="D8033" s="1">
        <v>0.1</v>
      </c>
      <c r="E8033" s="1">
        <v>15094.0</v>
      </c>
      <c r="F8033" s="10">
        <f t="shared" si="1"/>
        <v>0.3333333333</v>
      </c>
      <c r="G8033" s="10">
        <f t="array" ref="G8033">index('Player ID'!C:C,match(E8033,'Player ID'!B:B,0))</f>
        <v>642239</v>
      </c>
    </row>
    <row r="8034">
      <c r="A8034" s="76">
        <v>45814.0</v>
      </c>
      <c r="B8034" s="1" t="s">
        <v>49</v>
      </c>
      <c r="C8034" s="1" t="s">
        <v>26</v>
      </c>
      <c r="D8034" s="1">
        <v>1.1</v>
      </c>
      <c r="E8034" s="1">
        <v>20039.0</v>
      </c>
      <c r="F8034" s="10">
        <f t="shared" si="1"/>
        <v>1.333333333</v>
      </c>
      <c r="G8034" s="10">
        <f t="array" ref="G8034">index('Player ID'!C:C,match(E8034,'Player ID'!B:B,0))</f>
        <v>670970</v>
      </c>
    </row>
    <row r="8035">
      <c r="A8035" s="76">
        <v>45814.0</v>
      </c>
      <c r="B8035" s="1" t="s">
        <v>318</v>
      </c>
      <c r="C8035" s="1" t="s">
        <v>14</v>
      </c>
      <c r="D8035" s="1">
        <v>0.2</v>
      </c>
      <c r="E8035" s="1">
        <v>20546.0</v>
      </c>
      <c r="F8035" s="10">
        <f t="shared" si="1"/>
        <v>0.6666666667</v>
      </c>
      <c r="G8035" s="10">
        <f t="array" ref="G8035">index('Player ID'!C:C,match(E8035,'Player ID'!B:B,0))</f>
        <v>681982</v>
      </c>
    </row>
    <row r="8036">
      <c r="A8036" s="76">
        <v>45814.0</v>
      </c>
      <c r="B8036" s="1" t="s">
        <v>94</v>
      </c>
      <c r="C8036" s="1" t="s">
        <v>26</v>
      </c>
      <c r="D8036" s="1">
        <v>1.1</v>
      </c>
      <c r="E8036" s="1">
        <v>22210.0</v>
      </c>
      <c r="F8036" s="10">
        <f t="shared" si="1"/>
        <v>1.333333333</v>
      </c>
      <c r="G8036" s="10">
        <f t="array" ref="G8036">index('Player ID'!C:C,match(E8036,'Player ID'!B:B,0))</f>
        <v>669093</v>
      </c>
    </row>
    <row r="8037">
      <c r="A8037" s="76">
        <v>45814.0</v>
      </c>
      <c r="B8037" s="1" t="s">
        <v>200</v>
      </c>
      <c r="C8037" s="1" t="s">
        <v>14</v>
      </c>
      <c r="D8037" s="1">
        <v>1.0</v>
      </c>
      <c r="E8037" s="1">
        <v>23550.0</v>
      </c>
      <c r="F8037" s="10">
        <f t="shared" si="1"/>
        <v>1</v>
      </c>
      <c r="G8037" s="10" t="str">
        <f t="array" ref="G8037">index('Player ID'!C:C,match(E8037,'Player ID'!B:B,0))</f>
        <v>#N/A</v>
      </c>
    </row>
    <row r="8038">
      <c r="A8038" s="76">
        <v>45814.0</v>
      </c>
      <c r="B8038" s="1" t="s">
        <v>713</v>
      </c>
      <c r="C8038" s="1" t="s">
        <v>26</v>
      </c>
      <c r="D8038" s="1">
        <v>4.2</v>
      </c>
      <c r="E8038" s="1">
        <v>24719.0</v>
      </c>
      <c r="F8038" s="10">
        <f t="shared" si="1"/>
        <v>4.666666667</v>
      </c>
      <c r="G8038" s="10">
        <f t="array" ref="G8038">index('Player ID'!C:C,match(E8038,'Player ID'!B:B,0))</f>
        <v>681190</v>
      </c>
    </row>
    <row r="8039">
      <c r="A8039" s="76">
        <v>45814.0</v>
      </c>
      <c r="B8039" s="1" t="s">
        <v>418</v>
      </c>
      <c r="C8039" s="1" t="s">
        <v>14</v>
      </c>
      <c r="D8039" s="1">
        <v>1.0</v>
      </c>
      <c r="E8039" s="1">
        <v>27517.0</v>
      </c>
      <c r="F8039" s="10">
        <f t="shared" si="1"/>
        <v>1</v>
      </c>
      <c r="G8039" s="10">
        <f t="array" ref="G8039">index('Player ID'!C:C,match(E8039,'Player ID'!B:B,0))</f>
        <v>657649</v>
      </c>
    </row>
    <row r="8040">
      <c r="A8040" s="76">
        <v>45814.0</v>
      </c>
      <c r="B8040" s="1" t="s">
        <v>496</v>
      </c>
      <c r="C8040" s="1" t="s">
        <v>14</v>
      </c>
      <c r="D8040" s="1">
        <v>6.0</v>
      </c>
      <c r="E8040" s="1">
        <v>30113.0</v>
      </c>
      <c r="F8040" s="10">
        <f t="shared" si="1"/>
        <v>6</v>
      </c>
      <c r="G8040" s="10">
        <f t="array" ref="G8040">index('Player ID'!C:C,match(E8040,'Player ID'!B:B,0))</f>
        <v>694477</v>
      </c>
    </row>
    <row r="8041">
      <c r="A8041" s="76">
        <v>45814.0</v>
      </c>
      <c r="B8041" s="1" t="s">
        <v>81</v>
      </c>
      <c r="C8041" s="1" t="s">
        <v>26</v>
      </c>
      <c r="D8041" s="1">
        <v>1.0</v>
      </c>
      <c r="E8041" s="1">
        <v>30115.0</v>
      </c>
      <c r="F8041" s="10">
        <f t="shared" si="1"/>
        <v>1</v>
      </c>
      <c r="G8041" s="10">
        <f t="array" ref="G8041">index('Player ID'!C:C,match(E8041,'Player ID'!B:B,0))</f>
        <v>663158</v>
      </c>
    </row>
    <row r="8042">
      <c r="A8042" s="76">
        <v>45814.0</v>
      </c>
      <c r="B8042" s="1" t="s">
        <v>146</v>
      </c>
      <c r="C8042" s="1" t="s">
        <v>16</v>
      </c>
      <c r="D8042" s="1">
        <v>1.0</v>
      </c>
      <c r="E8042" s="1">
        <v>15145.0</v>
      </c>
      <c r="F8042" s="10">
        <f t="shared" si="1"/>
        <v>1</v>
      </c>
      <c r="G8042" s="10">
        <f t="array" ref="G8042">index('Player ID'!C:C,match(E8042,'Player ID'!B:B,0))</f>
        <v>623437</v>
      </c>
    </row>
    <row r="8043">
      <c r="A8043" s="76">
        <v>45814.0</v>
      </c>
      <c r="B8043" s="1" t="s">
        <v>311</v>
      </c>
      <c r="C8043" s="1" t="s">
        <v>40</v>
      </c>
      <c r="D8043" s="1">
        <v>1.0</v>
      </c>
      <c r="E8043" s="1">
        <v>17432.0</v>
      </c>
      <c r="F8043" s="10">
        <f t="shared" si="1"/>
        <v>1</v>
      </c>
      <c r="G8043" s="10">
        <f t="array" ref="G8043">index('Player ID'!C:C,match(E8043,'Player ID'!B:B,0))</f>
        <v>656546</v>
      </c>
    </row>
    <row r="8044">
      <c r="A8044" s="76">
        <v>45814.0</v>
      </c>
      <c r="B8044" s="1" t="s">
        <v>332</v>
      </c>
      <c r="C8044" s="1" t="s">
        <v>40</v>
      </c>
      <c r="D8044" s="1">
        <v>2.1</v>
      </c>
      <c r="E8044" s="1">
        <v>19316.0</v>
      </c>
      <c r="F8044" s="10">
        <f t="shared" si="1"/>
        <v>2.333333333</v>
      </c>
      <c r="G8044" s="10">
        <f t="array" ref="G8044">index('Player ID'!C:C,match(E8044,'Player ID'!B:B,0))</f>
        <v>641778</v>
      </c>
    </row>
    <row r="8045">
      <c r="A8045" s="76">
        <v>45814.0</v>
      </c>
      <c r="B8045" s="1" t="s">
        <v>173</v>
      </c>
      <c r="C8045" s="1" t="s">
        <v>16</v>
      </c>
      <c r="D8045" s="1">
        <v>7.0</v>
      </c>
      <c r="E8045" s="1">
        <v>21224.0</v>
      </c>
      <c r="F8045" s="10">
        <f t="shared" si="1"/>
        <v>7</v>
      </c>
      <c r="G8045" s="10">
        <f t="array" ref="G8045">index('Player ID'!C:C,match(E8045,'Player ID'!B:B,0))</f>
        <v>641927</v>
      </c>
    </row>
    <row r="8046">
      <c r="A8046" s="76">
        <v>45814.0</v>
      </c>
      <c r="B8046" s="1" t="s">
        <v>237</v>
      </c>
      <c r="C8046" s="1" t="s">
        <v>16</v>
      </c>
      <c r="D8046" s="1">
        <v>1.0</v>
      </c>
      <c r="E8046" s="1">
        <v>21461.0</v>
      </c>
      <c r="F8046" s="10">
        <f t="shared" si="1"/>
        <v>1</v>
      </c>
      <c r="G8046" s="10">
        <f t="array" ref="G8046">index('Player ID'!C:C,match(E8046,'Player ID'!B:B,0))</f>
        <v>663485</v>
      </c>
    </row>
    <row r="8047">
      <c r="A8047" s="76">
        <v>45814.0</v>
      </c>
      <c r="B8047" s="1" t="s">
        <v>395</v>
      </c>
      <c r="C8047" s="1" t="s">
        <v>40</v>
      </c>
      <c r="D8047" s="1">
        <v>1.0</v>
      </c>
      <c r="E8047" s="1">
        <v>21574.0</v>
      </c>
      <c r="F8047" s="10">
        <f t="shared" si="1"/>
        <v>1</v>
      </c>
      <c r="G8047" s="10">
        <f t="array" ref="G8047">index('Player ID'!C:C,match(E8047,'Player ID'!B:B,0))</f>
        <v>663893</v>
      </c>
    </row>
    <row r="8048">
      <c r="A8048" s="76">
        <v>45814.0</v>
      </c>
      <c r="B8048" s="1" t="s">
        <v>568</v>
      </c>
      <c r="C8048" s="1" t="s">
        <v>40</v>
      </c>
      <c r="D8048" s="1">
        <v>2.0</v>
      </c>
      <c r="E8048" s="1">
        <v>25501.0</v>
      </c>
      <c r="F8048" s="10">
        <f t="shared" si="1"/>
        <v>2</v>
      </c>
      <c r="G8048" s="10">
        <f t="array" ref="G8048">index('Player ID'!C:C,match(E8048,'Player ID'!B:B,0))</f>
        <v>687606</v>
      </c>
    </row>
    <row r="8049">
      <c r="A8049" s="76">
        <v>45814.0</v>
      </c>
      <c r="B8049" s="1" t="s">
        <v>142</v>
      </c>
      <c r="C8049" s="1" t="s">
        <v>40</v>
      </c>
      <c r="D8049" s="1">
        <v>1.1</v>
      </c>
      <c r="E8049" s="1">
        <v>31553.0</v>
      </c>
      <c r="F8049" s="10">
        <f t="shared" si="1"/>
        <v>1.333333333</v>
      </c>
      <c r="G8049" s="10">
        <f t="array" ref="G8049">index('Player ID'!C:C,match(E8049,'Player ID'!B:B,0))</f>
        <v>689254</v>
      </c>
    </row>
    <row r="8050">
      <c r="A8050" s="76">
        <v>45814.0</v>
      </c>
      <c r="B8050" s="1" t="s">
        <v>427</v>
      </c>
      <c r="C8050" s="1" t="s">
        <v>40</v>
      </c>
      <c r="D8050" s="1">
        <v>1.1</v>
      </c>
      <c r="E8050" s="1">
        <v>33838.0</v>
      </c>
      <c r="F8050" s="10">
        <f t="shared" si="1"/>
        <v>1.333333333</v>
      </c>
      <c r="G8050" s="10">
        <f t="array" ref="G8050">index('Player ID'!C:C,match(E8050,'Player ID'!B:B,0))</f>
        <v>684320</v>
      </c>
    </row>
    <row r="8051">
      <c r="A8051" s="76">
        <v>45814.0</v>
      </c>
      <c r="B8051" s="1" t="s">
        <v>95</v>
      </c>
      <c r="C8051" s="1" t="s">
        <v>72</v>
      </c>
      <c r="D8051" s="1">
        <v>6.1</v>
      </c>
      <c r="E8051" s="1">
        <v>12768.0</v>
      </c>
      <c r="F8051" s="10">
        <f t="shared" si="1"/>
        <v>6.333333333</v>
      </c>
      <c r="G8051" s="10">
        <f t="array" ref="G8051">index('Player ID'!C:C,match(E8051,'Player ID'!B:B,0))</f>
        <v>543243</v>
      </c>
    </row>
    <row r="8052">
      <c r="A8052" s="76">
        <v>45814.0</v>
      </c>
      <c r="B8052" s="1" t="s">
        <v>83</v>
      </c>
      <c r="C8052" s="1" t="s">
        <v>72</v>
      </c>
      <c r="D8052" s="1">
        <v>1.0</v>
      </c>
      <c r="E8052" s="1">
        <v>13361.0</v>
      </c>
      <c r="F8052" s="10">
        <f t="shared" si="1"/>
        <v>1</v>
      </c>
      <c r="G8052" s="10">
        <f t="array" ref="G8052">index('Player ID'!C:C,match(E8052,'Player ID'!B:B,0))</f>
        <v>571927</v>
      </c>
    </row>
    <row r="8053">
      <c r="A8053" s="76">
        <v>45814.0</v>
      </c>
      <c r="B8053" s="1" t="s">
        <v>726</v>
      </c>
      <c r="C8053" s="1" t="s">
        <v>33</v>
      </c>
      <c r="D8053" s="1">
        <v>1.0</v>
      </c>
      <c r="E8053" s="1">
        <v>13761.0</v>
      </c>
      <c r="F8053" s="10">
        <f t="shared" si="1"/>
        <v>1</v>
      </c>
      <c r="G8053" s="10">
        <f t="array" ref="G8053">index('Player ID'!C:C,match(E8053,'Player ID'!B:B,0))</f>
        <v>608717</v>
      </c>
    </row>
    <row r="8054">
      <c r="A8054" s="76">
        <v>45814.0</v>
      </c>
      <c r="B8054" s="1" t="s">
        <v>310</v>
      </c>
      <c r="C8054" s="1" t="s">
        <v>33</v>
      </c>
      <c r="D8054" s="1">
        <v>1.0</v>
      </c>
      <c r="E8054" s="1">
        <v>14706.0</v>
      </c>
      <c r="F8054" s="10">
        <f t="shared" si="1"/>
        <v>1</v>
      </c>
      <c r="G8054" s="10">
        <f t="array" ref="G8054">index('Player ID'!C:C,match(E8054,'Player ID'!B:B,0))</f>
        <v>607455</v>
      </c>
    </row>
    <row r="8055">
      <c r="A8055" s="76">
        <v>45814.0</v>
      </c>
      <c r="B8055" s="1" t="s">
        <v>190</v>
      </c>
      <c r="C8055" s="1" t="s">
        <v>72</v>
      </c>
      <c r="D8055" s="1">
        <v>1.0</v>
      </c>
      <c r="E8055" s="1">
        <v>18064.0</v>
      </c>
      <c r="F8055" s="10">
        <f t="shared" si="1"/>
        <v>1</v>
      </c>
      <c r="G8055" s="10">
        <f t="array" ref="G8055">index('Player ID'!C:C,match(E8055,'Player ID'!B:B,0))</f>
        <v>664208</v>
      </c>
    </row>
    <row r="8056">
      <c r="A8056" s="76">
        <v>45814.0</v>
      </c>
      <c r="B8056" s="1" t="s">
        <v>193</v>
      </c>
      <c r="C8056" s="1" t="s">
        <v>72</v>
      </c>
      <c r="D8056" s="1">
        <v>0.2</v>
      </c>
      <c r="E8056" s="1">
        <v>19574.0</v>
      </c>
      <c r="F8056" s="10">
        <f t="shared" si="1"/>
        <v>0.6666666667</v>
      </c>
      <c r="G8056" s="10">
        <f t="array" ref="G8056">index('Player ID'!C:C,match(E8056,'Player ID'!B:B,0))</f>
        <v>668941</v>
      </c>
    </row>
    <row r="8057">
      <c r="A8057" s="76">
        <v>45814.0</v>
      </c>
      <c r="B8057" s="1" t="s">
        <v>198</v>
      </c>
      <c r="C8057" s="1" t="s">
        <v>33</v>
      </c>
      <c r="D8057" s="1">
        <v>6.0</v>
      </c>
      <c r="E8057" s="1">
        <v>31204.0</v>
      </c>
      <c r="F8057" s="10">
        <f t="shared" si="1"/>
        <v>6</v>
      </c>
      <c r="G8057" s="10">
        <f t="array" ref="G8057">index('Player ID'!C:C,match(E8057,'Player ID'!B:B,0))</f>
        <v>680736</v>
      </c>
    </row>
    <row r="8058">
      <c r="A8058" s="76">
        <v>45814.0</v>
      </c>
      <c r="B8058" s="1" t="s">
        <v>646</v>
      </c>
      <c r="C8058" s="1" t="s">
        <v>51</v>
      </c>
      <c r="D8058" s="1">
        <v>1.0</v>
      </c>
      <c r="E8058" s="1">
        <v>6107.0</v>
      </c>
      <c r="F8058" s="10">
        <f t="shared" si="1"/>
        <v>1</v>
      </c>
      <c r="G8058" s="10">
        <f t="array" ref="G8058">index('Player ID'!C:C,match(E8058,'Player ID'!B:B,0))</f>
        <v>623211</v>
      </c>
    </row>
    <row r="8059">
      <c r="A8059" s="76">
        <v>45814.0</v>
      </c>
      <c r="B8059" s="1" t="s">
        <v>679</v>
      </c>
      <c r="C8059" s="1" t="s">
        <v>51</v>
      </c>
      <c r="D8059" s="1">
        <v>1.0</v>
      </c>
      <c r="E8059" s="1">
        <v>14710.0</v>
      </c>
      <c r="F8059" s="10">
        <f t="shared" si="1"/>
        <v>1</v>
      </c>
      <c r="G8059" s="10">
        <f t="array" ref="G8059">index('Player ID'!C:C,match(E8059,'Player ID'!B:B,0))</f>
        <v>621242</v>
      </c>
    </row>
    <row r="8060">
      <c r="A8060" s="76">
        <v>45814.0</v>
      </c>
      <c r="B8060" s="1" t="s">
        <v>481</v>
      </c>
      <c r="C8060" s="1" t="s">
        <v>75</v>
      </c>
      <c r="D8060" s="1">
        <v>4.0</v>
      </c>
      <c r="E8060" s="1">
        <v>15488.0</v>
      </c>
      <c r="F8060" s="10">
        <f t="shared" si="1"/>
        <v>4</v>
      </c>
      <c r="G8060" s="10">
        <f t="array" ref="G8060">index('Player ID'!C:C,match(E8060,'Player ID'!B:B,0))</f>
        <v>622608</v>
      </c>
    </row>
    <row r="8061">
      <c r="A8061" s="76">
        <v>45814.0</v>
      </c>
      <c r="B8061" s="1" t="s">
        <v>292</v>
      </c>
      <c r="C8061" s="1" t="s">
        <v>51</v>
      </c>
      <c r="D8061" s="1">
        <v>1.0</v>
      </c>
      <c r="E8061" s="1">
        <v>15947.0</v>
      </c>
      <c r="F8061" s="10">
        <f t="shared" si="1"/>
        <v>1</v>
      </c>
      <c r="G8061" s="10">
        <f t="array" ref="G8061">index('Player ID'!C:C,match(E8061,'Player ID'!B:B,0))</f>
        <v>592773</v>
      </c>
    </row>
    <row r="8062">
      <c r="A8062" s="76">
        <v>45814.0</v>
      </c>
      <c r="B8062" s="1" t="s">
        <v>288</v>
      </c>
      <c r="C8062" s="1" t="s">
        <v>75</v>
      </c>
      <c r="D8062" s="1">
        <v>1.0</v>
      </c>
      <c r="E8062" s="1">
        <v>18297.0</v>
      </c>
      <c r="F8062" s="10">
        <f t="shared" si="1"/>
        <v>1</v>
      </c>
      <c r="G8062" s="10">
        <f t="array" ref="G8062">index('Player ID'!C:C,match(E8062,'Player ID'!B:B,0))</f>
        <v>641755</v>
      </c>
    </row>
    <row r="8063">
      <c r="A8063" s="76">
        <v>45814.0</v>
      </c>
      <c r="B8063" s="1" t="s">
        <v>215</v>
      </c>
      <c r="C8063" s="1" t="s">
        <v>75</v>
      </c>
      <c r="D8063" s="1">
        <v>1.0</v>
      </c>
      <c r="E8063" s="1">
        <v>21267.0</v>
      </c>
      <c r="F8063" s="10">
        <f t="shared" si="1"/>
        <v>1</v>
      </c>
      <c r="G8063" s="10">
        <f t="array" ref="G8063">index('Player ID'!C:C,match(E8063,'Player ID'!B:B,0))</f>
        <v>656234</v>
      </c>
    </row>
    <row r="8064">
      <c r="A8064" s="76">
        <v>45814.0</v>
      </c>
      <c r="B8064" s="1" t="s">
        <v>305</v>
      </c>
      <c r="C8064" s="1" t="s">
        <v>75</v>
      </c>
      <c r="D8064" s="1">
        <v>1.0</v>
      </c>
      <c r="E8064" s="1">
        <v>22200.0</v>
      </c>
      <c r="F8064" s="10">
        <f t="shared" si="1"/>
        <v>1</v>
      </c>
      <c r="G8064" s="10">
        <f t="array" ref="G8064">index('Player ID'!C:C,match(E8064,'Player ID'!B:B,0))</f>
        <v>669020</v>
      </c>
    </row>
    <row r="8065">
      <c r="A8065" s="76">
        <v>45814.0</v>
      </c>
      <c r="B8065" s="1" t="s">
        <v>365</v>
      </c>
      <c r="C8065" s="1" t="s">
        <v>75</v>
      </c>
      <c r="D8065" s="1">
        <v>1.0</v>
      </c>
      <c r="E8065" s="1">
        <v>24614.0</v>
      </c>
      <c r="F8065" s="10">
        <f t="shared" si="1"/>
        <v>1</v>
      </c>
      <c r="G8065" s="10">
        <f t="array" ref="G8065">index('Player ID'!C:C,match(E8065,'Player ID'!B:B,0))</f>
        <v>680767</v>
      </c>
    </row>
    <row r="8066">
      <c r="A8066" s="76">
        <v>45814.0</v>
      </c>
      <c r="B8066" s="1" t="s">
        <v>512</v>
      </c>
      <c r="C8066" s="1" t="s">
        <v>75</v>
      </c>
      <c r="D8066" s="1">
        <v>1.0</v>
      </c>
      <c r="E8066" s="1">
        <v>31552.0</v>
      </c>
      <c r="F8066" s="10">
        <f t="shared" si="1"/>
        <v>1</v>
      </c>
      <c r="G8066" s="10">
        <f t="array" ref="G8066">index('Player ID'!C:C,match(E8066,'Player ID'!B:B,0))</f>
        <v>688642</v>
      </c>
    </row>
    <row r="8067">
      <c r="A8067" s="76">
        <v>45814.0</v>
      </c>
      <c r="B8067" s="1" t="s">
        <v>461</v>
      </c>
      <c r="C8067" s="1" t="s">
        <v>51</v>
      </c>
      <c r="D8067" s="1">
        <v>6.0</v>
      </c>
      <c r="E8067" s="1">
        <v>31838.0</v>
      </c>
      <c r="F8067" s="10">
        <f t="shared" si="1"/>
        <v>6</v>
      </c>
      <c r="G8067" s="10">
        <f t="array" ref="G8067">index('Player ID'!C:C,match(E8067,'Player ID'!B:B,0))</f>
        <v>673540</v>
      </c>
    </row>
    <row r="8068">
      <c r="A8068" s="76">
        <v>45814.0</v>
      </c>
      <c r="B8068" s="1" t="s">
        <v>154</v>
      </c>
      <c r="C8068" s="1" t="s">
        <v>25</v>
      </c>
      <c r="D8068" s="1">
        <v>1.0</v>
      </c>
      <c r="E8068" s="1">
        <v>3096.0</v>
      </c>
      <c r="F8068" s="10">
        <f t="shared" si="1"/>
        <v>1</v>
      </c>
      <c r="G8068" s="10">
        <f t="array" ref="G8068">index('Player ID'!C:C,match(E8068,'Player ID'!B:B,0))</f>
        <v>445276</v>
      </c>
    </row>
    <row r="8069">
      <c r="A8069" s="76">
        <v>45814.0</v>
      </c>
      <c r="B8069" s="1" t="s">
        <v>399</v>
      </c>
      <c r="C8069" s="1" t="s">
        <v>25</v>
      </c>
      <c r="D8069" s="1">
        <v>6.0</v>
      </c>
      <c r="E8069" s="1">
        <v>12049.0</v>
      </c>
      <c r="F8069" s="10">
        <f t="shared" si="1"/>
        <v>6</v>
      </c>
      <c r="G8069" s="10">
        <f t="array" ref="G8069">index('Player ID'!C:C,match(E8069,'Player ID'!B:B,0))</f>
        <v>543294</v>
      </c>
    </row>
    <row r="8070">
      <c r="A8070" s="76">
        <v>45814.0</v>
      </c>
      <c r="B8070" s="1" t="s">
        <v>157</v>
      </c>
      <c r="C8070" s="1" t="s">
        <v>37</v>
      </c>
      <c r="D8070" s="1">
        <v>2.0</v>
      </c>
      <c r="E8070" s="1">
        <v>20997.0</v>
      </c>
      <c r="F8070" s="10">
        <f t="shared" si="1"/>
        <v>2</v>
      </c>
      <c r="G8070" s="10">
        <f t="array" ref="G8070">index('Player ID'!C:C,match(E8070,'Player ID'!B:B,0))</f>
        <v>660825</v>
      </c>
    </row>
    <row r="8071">
      <c r="A8071" s="76">
        <v>45814.0</v>
      </c>
      <c r="B8071" s="1" t="s">
        <v>846</v>
      </c>
      <c r="C8071" s="1" t="s">
        <v>37</v>
      </c>
      <c r="D8071" s="1">
        <v>1.0</v>
      </c>
      <c r="E8071" s="1">
        <v>21549.0</v>
      </c>
      <c r="F8071" s="10">
        <f t="shared" si="1"/>
        <v>1</v>
      </c>
      <c r="G8071" s="10" t="str">
        <f t="array" ref="G8071">index('Player ID'!C:C,match(E8071,'Player ID'!B:B,0))</f>
        <v>#N/A</v>
      </c>
    </row>
    <row r="8072">
      <c r="A8072" s="76">
        <v>45814.0</v>
      </c>
      <c r="B8072" s="1" t="s">
        <v>385</v>
      </c>
      <c r="C8072" s="1" t="s">
        <v>25</v>
      </c>
      <c r="D8072" s="1">
        <v>1.0</v>
      </c>
      <c r="E8072" s="1">
        <v>25420.0</v>
      </c>
      <c r="F8072" s="10">
        <f t="shared" si="1"/>
        <v>1</v>
      </c>
      <c r="G8072" s="10">
        <f t="array" ref="G8072">index('Player ID'!C:C,match(E8072,'Player ID'!B:B,0))</f>
        <v>666171</v>
      </c>
    </row>
    <row r="8073">
      <c r="A8073" s="76">
        <v>45814.0</v>
      </c>
      <c r="B8073" s="1" t="s">
        <v>24</v>
      </c>
      <c r="C8073" s="1" t="s">
        <v>25</v>
      </c>
      <c r="D8073" s="1">
        <v>1.0</v>
      </c>
      <c r="E8073" s="1">
        <v>27468.0</v>
      </c>
      <c r="F8073" s="10">
        <f t="shared" si="1"/>
        <v>1</v>
      </c>
      <c r="G8073" s="10">
        <f t="array" ref="G8073">index('Player ID'!C:C,match(E8073,'Player ID'!B:B,0))</f>
        <v>672282</v>
      </c>
    </row>
    <row r="8074">
      <c r="A8074" s="76">
        <v>45814.0</v>
      </c>
      <c r="B8074" s="1" t="s">
        <v>343</v>
      </c>
      <c r="C8074" s="1" t="s">
        <v>37</v>
      </c>
      <c r="D8074" s="1">
        <v>5.0</v>
      </c>
      <c r="E8074" s="1">
        <v>29837.0</v>
      </c>
      <c r="F8074" s="10">
        <f t="shared" si="1"/>
        <v>5</v>
      </c>
      <c r="G8074" s="10">
        <f t="array" ref="G8074">index('Player ID'!C:C,match(E8074,'Player ID'!B:B,0))</f>
        <v>682243</v>
      </c>
    </row>
    <row r="8075">
      <c r="A8075" s="76">
        <v>45814.0</v>
      </c>
      <c r="B8075" s="1" t="s">
        <v>668</v>
      </c>
      <c r="C8075" s="1" t="s">
        <v>52</v>
      </c>
      <c r="D8075" s="1">
        <v>1.0</v>
      </c>
      <c r="E8075" s="1">
        <v>3237.0</v>
      </c>
      <c r="F8075" s="10">
        <f t="shared" si="1"/>
        <v>1</v>
      </c>
      <c r="G8075" s="10">
        <f t="array" ref="G8075">index('Player ID'!C:C,match(E8075,'Player ID'!B:B,0))</f>
        <v>519008</v>
      </c>
    </row>
    <row r="8076">
      <c r="A8076" s="76">
        <v>45814.0</v>
      </c>
      <c r="B8076" s="1" t="s">
        <v>639</v>
      </c>
      <c r="C8076" s="1" t="s">
        <v>68</v>
      </c>
      <c r="D8076" s="1">
        <v>1.0</v>
      </c>
      <c r="E8076" s="1">
        <v>19249.0</v>
      </c>
      <c r="F8076" s="10">
        <f t="shared" si="1"/>
        <v>1</v>
      </c>
      <c r="G8076" s="10">
        <f t="array" ref="G8076">index('Player ID'!C:C,match(E8076,'Player ID'!B:B,0))</f>
        <v>622554</v>
      </c>
    </row>
    <row r="8077">
      <c r="A8077" s="76">
        <v>45814.0</v>
      </c>
      <c r="B8077" s="1" t="s">
        <v>294</v>
      </c>
      <c r="C8077" s="1" t="s">
        <v>68</v>
      </c>
      <c r="D8077" s="1">
        <v>5.1</v>
      </c>
      <c r="E8077" s="1">
        <v>19350.0</v>
      </c>
      <c r="F8077" s="10">
        <f t="shared" si="1"/>
        <v>5.333333333</v>
      </c>
      <c r="G8077" s="10">
        <f t="array" ref="G8077">index('Player ID'!C:C,match(E8077,'Player ID'!B:B,0))</f>
        <v>665152</v>
      </c>
    </row>
    <row r="8078">
      <c r="A8078" s="76">
        <v>45814.0</v>
      </c>
      <c r="B8078" s="1" t="s">
        <v>231</v>
      </c>
      <c r="C8078" s="1" t="s">
        <v>68</v>
      </c>
      <c r="D8078" s="1">
        <v>0.1</v>
      </c>
      <c r="E8078" s="1">
        <v>19362.0</v>
      </c>
      <c r="F8078" s="10">
        <f t="shared" si="1"/>
        <v>0.3333333333</v>
      </c>
      <c r="G8078" s="10">
        <f t="array" ref="G8078">index('Player ID'!C:C,match(E8078,'Player ID'!B:B,0))</f>
        <v>669211</v>
      </c>
    </row>
    <row r="8079">
      <c r="A8079" s="76">
        <v>45814.0</v>
      </c>
      <c r="B8079" s="1" t="s">
        <v>505</v>
      </c>
      <c r="C8079" s="1" t="s">
        <v>52</v>
      </c>
      <c r="D8079" s="1">
        <v>0.1</v>
      </c>
      <c r="E8079" s="1">
        <v>19481.0</v>
      </c>
      <c r="F8079" s="10">
        <f t="shared" si="1"/>
        <v>0.3333333333</v>
      </c>
      <c r="G8079" s="10">
        <f t="array" ref="G8079">index('Player ID'!C:C,match(E8079,'Player ID'!B:B,0))</f>
        <v>621053</v>
      </c>
    </row>
    <row r="8080">
      <c r="A8080" s="76">
        <v>45814.0</v>
      </c>
      <c r="B8080" s="1" t="s">
        <v>433</v>
      </c>
      <c r="C8080" s="1" t="s">
        <v>68</v>
      </c>
      <c r="D8080" s="1">
        <v>1.0</v>
      </c>
      <c r="E8080" s="1">
        <v>19677.0</v>
      </c>
      <c r="F8080" s="10">
        <f t="shared" si="1"/>
        <v>1</v>
      </c>
      <c r="G8080" s="10">
        <f t="array" ref="G8080">index('Player ID'!C:C,match(E8080,'Player ID'!B:B,0))</f>
        <v>642397</v>
      </c>
    </row>
    <row r="8081">
      <c r="A8081" s="76">
        <v>45814.0</v>
      </c>
      <c r="B8081" s="1" t="s">
        <v>251</v>
      </c>
      <c r="C8081" s="1" t="s">
        <v>52</v>
      </c>
      <c r="D8081" s="1">
        <v>5.0</v>
      </c>
      <c r="E8081" s="1">
        <v>23429.0</v>
      </c>
      <c r="F8081" s="10">
        <f t="shared" si="1"/>
        <v>5</v>
      </c>
      <c r="G8081" s="10">
        <f t="array" ref="G8081">index('Player ID'!C:C,match(E8081,'Player ID'!B:B,0))</f>
        <v>676664</v>
      </c>
    </row>
    <row r="8082">
      <c r="A8082" s="76">
        <v>45814.0</v>
      </c>
      <c r="B8082" s="1" t="s">
        <v>235</v>
      </c>
      <c r="C8082" s="1" t="s">
        <v>68</v>
      </c>
      <c r="D8082" s="1">
        <v>0.1</v>
      </c>
      <c r="E8082" s="1">
        <v>25911.0</v>
      </c>
      <c r="F8082" s="10">
        <f t="shared" si="1"/>
        <v>0.3333333333</v>
      </c>
      <c r="G8082" s="10">
        <f t="array" ref="G8082">index('Player ID'!C:C,match(E8082,'Player ID'!B:B,0))</f>
        <v>666974</v>
      </c>
    </row>
    <row r="8083">
      <c r="A8083" s="76">
        <v>45814.0</v>
      </c>
      <c r="B8083" s="1" t="s">
        <v>681</v>
      </c>
      <c r="C8083" s="1" t="s">
        <v>52</v>
      </c>
      <c r="D8083" s="1">
        <v>1.0</v>
      </c>
      <c r="E8083" s="1">
        <v>30002.0</v>
      </c>
      <c r="F8083" s="10">
        <f t="shared" si="1"/>
        <v>1</v>
      </c>
      <c r="G8083" s="10">
        <f t="array" ref="G8083">index('Player ID'!C:C,match(E8083,'Player ID'!B:B,0))</f>
        <v>680880</v>
      </c>
    </row>
    <row r="8084">
      <c r="A8084" s="76">
        <v>45814.0</v>
      </c>
      <c r="B8084" s="1" t="s">
        <v>286</v>
      </c>
      <c r="C8084" s="1" t="s">
        <v>52</v>
      </c>
      <c r="D8084" s="1">
        <v>1.2</v>
      </c>
      <c r="E8084" s="1">
        <v>31757.0</v>
      </c>
      <c r="F8084" s="10">
        <f t="shared" si="1"/>
        <v>1.666666667</v>
      </c>
      <c r="G8084" s="10">
        <f t="array" ref="G8084">index('Player ID'!C:C,match(E8084,'Player ID'!B:B,0))</f>
        <v>695243</v>
      </c>
    </row>
    <row r="8085">
      <c r="A8085" s="76">
        <v>45814.0</v>
      </c>
      <c r="B8085" s="1" t="s">
        <v>865</v>
      </c>
      <c r="C8085" s="1" t="s">
        <v>46</v>
      </c>
      <c r="D8085" s="1">
        <v>1.0</v>
      </c>
      <c r="E8085" s="1">
        <v>6655.0</v>
      </c>
      <c r="F8085" s="10">
        <f t="shared" si="1"/>
        <v>1</v>
      </c>
      <c r="G8085" s="10" t="str">
        <f t="array" ref="G8085">index('Player ID'!C:C,match(E8085,'Player ID'!B:B,0))</f>
        <v>#N/A</v>
      </c>
    </row>
    <row r="8086">
      <c r="A8086" s="76">
        <v>45814.0</v>
      </c>
      <c r="B8086" s="1" t="s">
        <v>178</v>
      </c>
      <c r="C8086" s="1" t="s">
        <v>46</v>
      </c>
      <c r="D8086" s="1">
        <v>1.0</v>
      </c>
      <c r="E8086" s="1">
        <v>13435.0</v>
      </c>
      <c r="F8086" s="10">
        <f t="shared" si="1"/>
        <v>1</v>
      </c>
      <c r="G8086" s="10">
        <f t="array" ref="G8086">index('Player ID'!C:C,match(E8086,'Player ID'!B:B,0))</f>
        <v>572955</v>
      </c>
    </row>
    <row r="8087">
      <c r="A8087" s="76">
        <v>45814.0</v>
      </c>
      <c r="B8087" s="1" t="s">
        <v>20</v>
      </c>
      <c r="C8087" s="1" t="s">
        <v>31</v>
      </c>
      <c r="D8087" s="1">
        <v>1.0</v>
      </c>
      <c r="E8087" s="1">
        <v>15541.0</v>
      </c>
      <c r="F8087" s="10">
        <f t="shared" si="1"/>
        <v>1</v>
      </c>
      <c r="G8087" s="10">
        <f t="array" ref="G8087">index('Player ID'!C:C,match(E8087,'Player ID'!B:B,0))</f>
        <v>643511</v>
      </c>
    </row>
    <row r="8088">
      <c r="A8088" s="76">
        <v>45814.0</v>
      </c>
      <c r="B8088" s="1" t="s">
        <v>91</v>
      </c>
      <c r="C8088" s="1" t="s">
        <v>46</v>
      </c>
      <c r="D8088" s="1">
        <v>1.2</v>
      </c>
      <c r="E8088" s="1">
        <v>19996.0</v>
      </c>
      <c r="F8088" s="10">
        <f t="shared" si="1"/>
        <v>1.666666667</v>
      </c>
      <c r="G8088" s="10">
        <f t="array" ref="G8088">index('Player ID'!C:C,match(E8088,'Player ID'!B:B,0))</f>
        <v>669276</v>
      </c>
    </row>
    <row r="8089">
      <c r="A8089" s="76">
        <v>45814.0</v>
      </c>
      <c r="B8089" s="1" t="s">
        <v>403</v>
      </c>
      <c r="C8089" s="1" t="s">
        <v>31</v>
      </c>
      <c r="D8089" s="1">
        <v>1.1</v>
      </c>
      <c r="E8089" s="1">
        <v>20423.0</v>
      </c>
      <c r="F8089" s="10">
        <f t="shared" si="1"/>
        <v>1.333333333</v>
      </c>
      <c r="G8089" s="10">
        <f t="array" ref="G8089">index('Player ID'!C:C,match(E8089,'Player ID'!B:B,0))</f>
        <v>676254</v>
      </c>
    </row>
    <row r="8090">
      <c r="A8090" s="76">
        <v>45814.0</v>
      </c>
      <c r="B8090" s="1" t="s">
        <v>124</v>
      </c>
      <c r="C8090" s="1" t="s">
        <v>31</v>
      </c>
      <c r="D8090" s="1">
        <v>1.1</v>
      </c>
      <c r="E8090" s="1">
        <v>21584.0</v>
      </c>
      <c r="F8090" s="10">
        <f t="shared" si="1"/>
        <v>1.333333333</v>
      </c>
      <c r="G8090" s="10" t="str">
        <f t="array" ref="G8090">index('Player ID'!C:C,match(E8090,'Player ID'!B:B,0))</f>
        <v>#N/A</v>
      </c>
    </row>
    <row r="8091">
      <c r="A8091" s="76">
        <v>45814.0</v>
      </c>
      <c r="B8091" s="1" t="s">
        <v>304</v>
      </c>
      <c r="C8091" s="1" t="s">
        <v>31</v>
      </c>
      <c r="D8091" s="1">
        <v>1.0</v>
      </c>
      <c r="E8091" s="1">
        <v>21992.0</v>
      </c>
      <c r="F8091" s="10">
        <f t="shared" si="1"/>
        <v>1</v>
      </c>
      <c r="G8091" s="10">
        <f t="array" ref="G8091">index('Player ID'!C:C,match(E8091,'Player ID'!B:B,0))</f>
        <v>666808</v>
      </c>
    </row>
    <row r="8092">
      <c r="A8092" s="76">
        <v>45814.0</v>
      </c>
      <c r="B8092" s="1" t="s">
        <v>655</v>
      </c>
      <c r="C8092" s="1" t="s">
        <v>31</v>
      </c>
      <c r="D8092" s="1">
        <v>0.2</v>
      </c>
      <c r="E8092" s="1">
        <v>26252.0</v>
      </c>
      <c r="F8092" s="10">
        <f t="shared" si="1"/>
        <v>0.6666666667</v>
      </c>
      <c r="G8092" s="10">
        <f t="array" ref="G8092">index('Player ID'!C:C,match(E8092,'Player ID'!B:B,0))</f>
        <v>669062</v>
      </c>
    </row>
    <row r="8093">
      <c r="A8093" s="76">
        <v>45814.0</v>
      </c>
      <c r="B8093" s="1" t="s">
        <v>276</v>
      </c>
      <c r="C8093" s="1" t="s">
        <v>31</v>
      </c>
      <c r="D8093" s="1">
        <v>0.1</v>
      </c>
      <c r="E8093" s="1">
        <v>30226.0</v>
      </c>
      <c r="F8093" s="10">
        <f t="shared" si="1"/>
        <v>0.3333333333</v>
      </c>
      <c r="G8093" s="10">
        <f t="array" ref="G8093">index('Player ID'!C:C,match(E8093,'Player ID'!B:B,0))</f>
        <v>702352</v>
      </c>
    </row>
    <row r="8094">
      <c r="A8094" s="76">
        <v>45814.0</v>
      </c>
      <c r="B8094" s="1" t="s">
        <v>514</v>
      </c>
      <c r="C8094" s="1" t="s">
        <v>31</v>
      </c>
      <c r="D8094" s="1">
        <v>4.1</v>
      </c>
      <c r="E8094" s="1">
        <v>31635.0</v>
      </c>
      <c r="F8094" s="10">
        <f t="shared" si="1"/>
        <v>4.333333333</v>
      </c>
      <c r="G8094" s="10">
        <f t="array" ref="G8094">index('Player ID'!C:C,match(E8094,'Player ID'!B:B,0))</f>
        <v>806185</v>
      </c>
    </row>
    <row r="8095">
      <c r="A8095" s="76">
        <v>45814.0</v>
      </c>
      <c r="B8095" s="1" t="s">
        <v>65</v>
      </c>
      <c r="C8095" s="1" t="s">
        <v>46</v>
      </c>
      <c r="D8095" s="1">
        <v>6.0</v>
      </c>
      <c r="E8095" s="1">
        <v>31846.0</v>
      </c>
      <c r="F8095" s="10">
        <f t="shared" si="1"/>
        <v>6</v>
      </c>
      <c r="G8095" s="10">
        <f t="array" ref="G8095">index('Player ID'!C:C,match(E8095,'Player ID'!B:B,0))</f>
        <v>680885</v>
      </c>
    </row>
    <row r="8096">
      <c r="A8096" s="76">
        <v>45815.0</v>
      </c>
      <c r="B8096" s="1" t="s">
        <v>71</v>
      </c>
      <c r="C8096" s="1" t="s">
        <v>34</v>
      </c>
      <c r="D8096" s="1">
        <v>0.2</v>
      </c>
      <c r="E8096" s="1">
        <v>10078.0</v>
      </c>
      <c r="F8096" s="10">
        <f t="shared" si="1"/>
        <v>0.6666666667</v>
      </c>
      <c r="G8096" s="10">
        <f t="array" ref="G8096">index('Player ID'!C:C,match(E8096,'Player ID'!B:B,0))</f>
        <v>573204</v>
      </c>
    </row>
    <row r="8097">
      <c r="A8097" s="76">
        <v>45815.0</v>
      </c>
      <c r="B8097" s="1" t="s">
        <v>99</v>
      </c>
      <c r="C8097" s="1" t="s">
        <v>34</v>
      </c>
      <c r="D8097" s="1">
        <v>7.0</v>
      </c>
      <c r="E8097" s="1">
        <v>11674.0</v>
      </c>
      <c r="F8097" s="10">
        <f t="shared" si="1"/>
        <v>7</v>
      </c>
      <c r="G8097" s="10">
        <f t="array" ref="G8097">index('Player ID'!C:C,match(E8097,'Player ID'!B:B,0))</f>
        <v>592791</v>
      </c>
    </row>
    <row r="8098">
      <c r="A8098" s="76">
        <v>45815.0</v>
      </c>
      <c r="B8098" s="1" t="s">
        <v>666</v>
      </c>
      <c r="C8098" s="1" t="s">
        <v>62</v>
      </c>
      <c r="D8098" s="1">
        <v>1.0</v>
      </c>
      <c r="E8098" s="1">
        <v>12777.0</v>
      </c>
      <c r="F8098" s="10">
        <f t="shared" si="1"/>
        <v>1</v>
      </c>
      <c r="G8098" s="10">
        <f t="array" ref="G8098">index('Player ID'!C:C,match(E8098,'Player ID'!B:B,0))</f>
        <v>605154</v>
      </c>
    </row>
    <row r="8099">
      <c r="A8099" s="76">
        <v>45815.0</v>
      </c>
      <c r="B8099" s="1" t="s">
        <v>331</v>
      </c>
      <c r="C8099" s="1" t="s">
        <v>62</v>
      </c>
      <c r="D8099" s="1">
        <v>5.2</v>
      </c>
      <c r="E8099" s="1">
        <v>22630.0</v>
      </c>
      <c r="F8099" s="10">
        <f t="shared" si="1"/>
        <v>5.666666667</v>
      </c>
      <c r="G8099" s="10">
        <f t="array" ref="G8099">index('Player ID'!C:C,match(E8099,'Player ID'!B:B,0))</f>
        <v>672456</v>
      </c>
    </row>
    <row r="8100">
      <c r="A8100" s="76">
        <v>45815.0</v>
      </c>
      <c r="B8100" s="1" t="s">
        <v>82</v>
      </c>
      <c r="C8100" s="1" t="s">
        <v>62</v>
      </c>
      <c r="D8100" s="1">
        <v>1.1</v>
      </c>
      <c r="E8100" s="1">
        <v>26231.0</v>
      </c>
      <c r="F8100" s="10">
        <f t="shared" si="1"/>
        <v>1.333333333</v>
      </c>
      <c r="G8100" s="10">
        <f t="array" ref="G8100">index('Player ID'!C:C,match(E8100,'Player ID'!B:B,0))</f>
        <v>663947</v>
      </c>
    </row>
    <row r="8101">
      <c r="A8101" s="76">
        <v>45815.0</v>
      </c>
      <c r="B8101" s="1" t="s">
        <v>167</v>
      </c>
      <c r="C8101" s="1" t="s">
        <v>34</v>
      </c>
      <c r="D8101" s="1">
        <v>1.1</v>
      </c>
      <c r="E8101" s="1">
        <v>27914.0</v>
      </c>
      <c r="F8101" s="10">
        <f t="shared" si="1"/>
        <v>1.333333333</v>
      </c>
      <c r="G8101" s="10">
        <f t="array" ref="G8101">index('Player ID'!C:C,match(E8101,'Player ID'!B:B,0))</f>
        <v>694037</v>
      </c>
    </row>
    <row r="8102">
      <c r="A8102" s="76">
        <v>45815.0</v>
      </c>
      <c r="B8102" s="1" t="s">
        <v>160</v>
      </c>
      <c r="C8102" s="1" t="s">
        <v>62</v>
      </c>
      <c r="D8102" s="1">
        <v>1.0</v>
      </c>
      <c r="E8102" s="1">
        <v>29574.0</v>
      </c>
      <c r="F8102" s="10">
        <f t="shared" si="1"/>
        <v>1</v>
      </c>
      <c r="G8102" s="10">
        <f t="array" ref="G8102">index('Player ID'!C:C,match(E8102,'Player ID'!B:B,0))</f>
        <v>695445</v>
      </c>
    </row>
    <row r="8103">
      <c r="A8103" s="76">
        <v>45815.0</v>
      </c>
      <c r="B8103" s="1" t="s">
        <v>155</v>
      </c>
      <c r="C8103" s="1" t="s">
        <v>40</v>
      </c>
      <c r="D8103" s="1">
        <v>6.0</v>
      </c>
      <c r="E8103" s="1">
        <v>14107.0</v>
      </c>
      <c r="F8103" s="10">
        <f t="shared" si="1"/>
        <v>6</v>
      </c>
      <c r="G8103" s="10">
        <f t="array" ref="G8103">index('Player ID'!C:C,match(E8103,'Player ID'!B:B,0))</f>
        <v>592332</v>
      </c>
    </row>
    <row r="8104">
      <c r="A8104" s="76">
        <v>45815.0</v>
      </c>
      <c r="B8104" s="1" t="s">
        <v>174</v>
      </c>
      <c r="C8104" s="1" t="s">
        <v>40</v>
      </c>
      <c r="D8104" s="1">
        <v>1.0</v>
      </c>
      <c r="E8104" s="1">
        <v>15552.0</v>
      </c>
      <c r="F8104" s="10">
        <f t="shared" si="1"/>
        <v>1</v>
      </c>
      <c r="G8104" s="10">
        <f t="array" ref="G8104">index('Player ID'!C:C,match(E8104,'Player ID'!B:B,0))</f>
        <v>643338</v>
      </c>
    </row>
    <row r="8105">
      <c r="A8105" s="76">
        <v>45815.0</v>
      </c>
      <c r="B8105" s="1" t="s">
        <v>311</v>
      </c>
      <c r="C8105" s="1" t="s">
        <v>40</v>
      </c>
      <c r="D8105" s="1">
        <v>1.0</v>
      </c>
      <c r="E8105" s="1">
        <v>17432.0</v>
      </c>
      <c r="F8105" s="10">
        <f t="shared" si="1"/>
        <v>1</v>
      </c>
      <c r="G8105" s="10">
        <f t="array" ref="G8105">index('Player ID'!C:C,match(E8105,'Player ID'!B:B,0))</f>
        <v>656546</v>
      </c>
    </row>
    <row r="8106">
      <c r="A8106" s="76">
        <v>45815.0</v>
      </c>
      <c r="B8106" s="1" t="s">
        <v>133</v>
      </c>
      <c r="C8106" s="1" t="s">
        <v>16</v>
      </c>
      <c r="D8106" s="1">
        <v>6.0</v>
      </c>
      <c r="E8106" s="1">
        <v>20099.0</v>
      </c>
      <c r="F8106" s="10">
        <f t="shared" si="1"/>
        <v>6</v>
      </c>
      <c r="G8106" s="10">
        <f t="array" ref="G8106">index('Player ID'!C:C,match(E8106,'Player ID'!B:B,0))</f>
        <v>663978</v>
      </c>
    </row>
    <row r="8107">
      <c r="A8107" s="76">
        <v>45815.0</v>
      </c>
      <c r="B8107" s="1" t="s">
        <v>28</v>
      </c>
      <c r="C8107" s="1" t="s">
        <v>16</v>
      </c>
      <c r="D8107" s="1">
        <v>1.0</v>
      </c>
      <c r="E8107" s="1">
        <v>20253.0</v>
      </c>
      <c r="F8107" s="10">
        <f t="shared" si="1"/>
        <v>1</v>
      </c>
      <c r="G8107" s="10">
        <f t="array" ref="G8107">index('Player ID'!C:C,match(E8107,'Player ID'!B:B,0))</f>
        <v>643377</v>
      </c>
    </row>
    <row r="8108">
      <c r="A8108" s="76">
        <v>45815.0</v>
      </c>
      <c r="B8108" s="1" t="s">
        <v>122</v>
      </c>
      <c r="C8108" s="1" t="s">
        <v>16</v>
      </c>
      <c r="D8108" s="1">
        <v>1.0</v>
      </c>
      <c r="E8108" s="1">
        <v>21029.0</v>
      </c>
      <c r="F8108" s="10">
        <f t="shared" si="1"/>
        <v>1</v>
      </c>
      <c r="G8108" s="10">
        <f t="array" ref="G8108">index('Player ID'!C:C,match(E8108,'Player ID'!B:B,0))</f>
        <v>661395</v>
      </c>
    </row>
    <row r="8109">
      <c r="A8109" s="76">
        <v>45815.0</v>
      </c>
      <c r="B8109" s="1" t="s">
        <v>315</v>
      </c>
      <c r="C8109" s="1" t="s">
        <v>40</v>
      </c>
      <c r="D8109" s="1">
        <v>1.0</v>
      </c>
      <c r="E8109" s="1">
        <v>24609.0</v>
      </c>
      <c r="F8109" s="10">
        <f t="shared" si="1"/>
        <v>1</v>
      </c>
      <c r="G8109" s="10">
        <f t="array" ref="G8109">index('Player ID'!C:C,match(E8109,'Player ID'!B:B,0))</f>
        <v>680755</v>
      </c>
    </row>
    <row r="8110">
      <c r="A8110" s="76">
        <v>45815.0</v>
      </c>
      <c r="B8110" s="1" t="s">
        <v>47</v>
      </c>
      <c r="C8110" s="1" t="s">
        <v>16</v>
      </c>
      <c r="D8110" s="1">
        <v>1.0</v>
      </c>
      <c r="E8110" s="1">
        <v>27691.0</v>
      </c>
      <c r="F8110" s="10">
        <f t="shared" si="1"/>
        <v>1</v>
      </c>
      <c r="G8110" s="10">
        <f t="array" ref="G8110">index('Player ID'!C:C,match(E8110,'Player ID'!B:B,0))</f>
        <v>686973</v>
      </c>
    </row>
    <row r="8111">
      <c r="A8111" s="76">
        <v>45815.0</v>
      </c>
      <c r="B8111" s="1" t="s">
        <v>83</v>
      </c>
      <c r="C8111" s="1" t="s">
        <v>72</v>
      </c>
      <c r="D8111" s="1">
        <v>1.2</v>
      </c>
      <c r="E8111" s="1">
        <v>13361.0</v>
      </c>
      <c r="F8111" s="10">
        <f t="shared" si="1"/>
        <v>1.666666667</v>
      </c>
      <c r="G8111" s="10">
        <f t="array" ref="G8111">index('Player ID'!C:C,match(E8111,'Player ID'!B:B,0))</f>
        <v>571927</v>
      </c>
    </row>
    <row r="8112">
      <c r="A8112" s="76">
        <v>45815.0</v>
      </c>
      <c r="B8112" s="1" t="s">
        <v>321</v>
      </c>
      <c r="C8112" s="1" t="s">
        <v>72</v>
      </c>
      <c r="D8112" s="1">
        <v>5.1</v>
      </c>
      <c r="E8112" s="1">
        <v>17425.0</v>
      </c>
      <c r="F8112" s="10">
        <f t="shared" si="1"/>
        <v>5.333333333</v>
      </c>
      <c r="G8112" s="10">
        <f t="array" ref="G8112">index('Player ID'!C:C,match(E8112,'Player ID'!B:B,0))</f>
        <v>607200</v>
      </c>
    </row>
    <row r="8113">
      <c r="A8113" s="76">
        <v>45815.0</v>
      </c>
      <c r="B8113" s="1" t="s">
        <v>270</v>
      </c>
      <c r="C8113" s="1" t="s">
        <v>72</v>
      </c>
      <c r="D8113" s="1">
        <v>1.0</v>
      </c>
      <c r="E8113" s="1">
        <v>18138.0</v>
      </c>
      <c r="F8113" s="10">
        <f t="shared" si="1"/>
        <v>1</v>
      </c>
      <c r="G8113" s="10">
        <f t="array" ref="G8113">index('Player ID'!C:C,match(E8113,'Player ID'!B:B,0))</f>
        <v>664854</v>
      </c>
    </row>
    <row r="8114">
      <c r="A8114" s="76">
        <v>45815.0</v>
      </c>
      <c r="B8114" s="1" t="s">
        <v>170</v>
      </c>
      <c r="C8114" s="1" t="s">
        <v>72</v>
      </c>
      <c r="D8114" s="1">
        <v>1.0</v>
      </c>
      <c r="E8114" s="1">
        <v>24763.0</v>
      </c>
      <c r="F8114" s="10">
        <f t="shared" si="1"/>
        <v>1</v>
      </c>
      <c r="G8114" s="10">
        <f t="array" ref="G8114">index('Player ID'!C:C,match(E8114,'Player ID'!B:B,0))</f>
        <v>681517</v>
      </c>
    </row>
    <row r="8115">
      <c r="A8115" s="76">
        <v>45815.0</v>
      </c>
      <c r="B8115" s="1" t="s">
        <v>92</v>
      </c>
      <c r="C8115" s="1" t="s">
        <v>33</v>
      </c>
      <c r="D8115" s="1">
        <v>1.0</v>
      </c>
      <c r="E8115" s="1">
        <v>25007.0</v>
      </c>
      <c r="F8115" s="10">
        <f t="shared" si="1"/>
        <v>1</v>
      </c>
      <c r="G8115" s="10">
        <f t="array" ref="G8115">index('Player ID'!C:C,match(E8115,'Player ID'!B:B,0))</f>
        <v>681911</v>
      </c>
    </row>
    <row r="8116">
      <c r="A8116" s="76">
        <v>45815.0</v>
      </c>
      <c r="B8116" s="1" t="s">
        <v>104</v>
      </c>
      <c r="C8116" s="1" t="s">
        <v>33</v>
      </c>
      <c r="D8116" s="1">
        <v>1.0</v>
      </c>
      <c r="E8116" s="1">
        <v>30085.0</v>
      </c>
      <c r="F8116" s="10">
        <f t="shared" si="1"/>
        <v>1</v>
      </c>
      <c r="G8116" s="10">
        <f t="array" ref="G8116">index('Player ID'!C:C,match(E8116,'Player ID'!B:B,0))</f>
        <v>676508</v>
      </c>
    </row>
    <row r="8117">
      <c r="A8117" s="76">
        <v>45815.0</v>
      </c>
      <c r="B8117" s="1" t="s">
        <v>85</v>
      </c>
      <c r="C8117" s="1" t="s">
        <v>33</v>
      </c>
      <c r="D8117" s="1">
        <v>6.0</v>
      </c>
      <c r="E8117" s="1">
        <v>33825.0</v>
      </c>
      <c r="F8117" s="10">
        <f t="shared" si="1"/>
        <v>6</v>
      </c>
      <c r="G8117" s="10">
        <f t="array" ref="G8117">index('Player ID'!C:C,match(E8117,'Player ID'!B:B,0))</f>
        <v>808967</v>
      </c>
    </row>
    <row r="8118">
      <c r="A8118" s="76">
        <v>45815.0</v>
      </c>
      <c r="B8118" s="1" t="s">
        <v>57</v>
      </c>
      <c r="C8118" s="1" t="s">
        <v>56</v>
      </c>
      <c r="D8118" s="1">
        <v>7.0</v>
      </c>
      <c r="E8118" s="1">
        <v>10954.0</v>
      </c>
      <c r="F8118" s="10">
        <f t="shared" si="1"/>
        <v>7</v>
      </c>
      <c r="G8118" s="10">
        <f t="array" ref="G8118">index('Player ID'!C:C,match(E8118,'Player ID'!B:B,0))</f>
        <v>594798</v>
      </c>
    </row>
    <row r="8119">
      <c r="A8119" s="76">
        <v>45815.0</v>
      </c>
      <c r="B8119" s="1" t="s">
        <v>162</v>
      </c>
      <c r="C8119" s="1" t="s">
        <v>56</v>
      </c>
      <c r="D8119" s="1">
        <v>1.0</v>
      </c>
      <c r="E8119" s="1">
        <v>11752.0</v>
      </c>
      <c r="F8119" s="10">
        <f t="shared" si="1"/>
        <v>1</v>
      </c>
      <c r="G8119" s="10">
        <f t="array" ref="G8119">index('Player ID'!C:C,match(E8119,'Player ID'!B:B,0))</f>
        <v>592426</v>
      </c>
    </row>
    <row r="8120">
      <c r="A8120" s="76">
        <v>45815.0</v>
      </c>
      <c r="B8120" s="1" t="s">
        <v>74</v>
      </c>
      <c r="C8120" s="1" t="s">
        <v>56</v>
      </c>
      <c r="D8120" s="1">
        <v>1.0</v>
      </c>
      <c r="E8120" s="1">
        <v>11847.0</v>
      </c>
      <c r="F8120" s="10">
        <f t="shared" si="1"/>
        <v>1</v>
      </c>
      <c r="G8120" s="10">
        <f t="array" ref="G8120">index('Player ID'!C:C,match(E8120,'Player ID'!B:B,0))</f>
        <v>455119</v>
      </c>
    </row>
    <row r="8121">
      <c r="A8121" s="76">
        <v>45815.0</v>
      </c>
      <c r="B8121" s="1" t="s">
        <v>506</v>
      </c>
      <c r="C8121" s="1" t="s">
        <v>80</v>
      </c>
      <c r="D8121" s="1">
        <v>0.1</v>
      </c>
      <c r="E8121" s="1">
        <v>12988.0</v>
      </c>
      <c r="F8121" s="10">
        <f t="shared" si="1"/>
        <v>0.3333333333</v>
      </c>
      <c r="G8121" s="10">
        <f t="array" ref="G8121">index('Player ID'!C:C,match(E8121,'Player ID'!B:B,0))</f>
        <v>605177</v>
      </c>
    </row>
    <row r="8122">
      <c r="A8122" s="76">
        <v>45815.0</v>
      </c>
      <c r="B8122" s="1" t="s">
        <v>508</v>
      </c>
      <c r="C8122" s="1" t="s">
        <v>80</v>
      </c>
      <c r="D8122" s="1">
        <v>1.0</v>
      </c>
      <c r="E8122" s="1">
        <v>23135.0</v>
      </c>
      <c r="F8122" s="10">
        <f t="shared" si="1"/>
        <v>1</v>
      </c>
      <c r="G8122" s="10">
        <f t="array" ref="G8122">index('Player ID'!C:C,match(E8122,'Player ID'!B:B,0))</f>
        <v>674285</v>
      </c>
    </row>
    <row r="8123">
      <c r="A8123" s="76">
        <v>45815.0</v>
      </c>
      <c r="B8123" s="1" t="s">
        <v>507</v>
      </c>
      <c r="C8123" s="1" t="s">
        <v>80</v>
      </c>
      <c r="D8123" s="1">
        <v>0.2</v>
      </c>
      <c r="E8123" s="1">
        <v>27570.0</v>
      </c>
      <c r="F8123" s="10">
        <f t="shared" si="1"/>
        <v>0.6666666667</v>
      </c>
      <c r="G8123" s="10">
        <f t="array" ref="G8123">index('Player ID'!C:C,match(E8123,'Player ID'!B:B,0))</f>
        <v>669371</v>
      </c>
    </row>
    <row r="8124">
      <c r="A8124" s="76">
        <v>45815.0</v>
      </c>
      <c r="B8124" s="1" t="s">
        <v>330</v>
      </c>
      <c r="C8124" s="1" t="s">
        <v>80</v>
      </c>
      <c r="D8124" s="1">
        <v>6.0</v>
      </c>
      <c r="E8124" s="1">
        <v>27636.0</v>
      </c>
      <c r="F8124" s="10">
        <f t="shared" si="1"/>
        <v>6</v>
      </c>
      <c r="G8124" s="10">
        <f t="array" ref="G8124">index('Player ID'!C:C,match(E8124,'Player ID'!B:B,0))</f>
        <v>680730</v>
      </c>
    </row>
    <row r="8125">
      <c r="A8125" s="76">
        <v>45815.0</v>
      </c>
      <c r="B8125" s="1" t="s">
        <v>818</v>
      </c>
      <c r="C8125" s="1" t="s">
        <v>80</v>
      </c>
      <c r="D8125" s="1">
        <v>1.0</v>
      </c>
      <c r="E8125" s="1">
        <v>27783.0</v>
      </c>
      <c r="F8125" s="10">
        <f t="shared" si="1"/>
        <v>1</v>
      </c>
      <c r="G8125" s="10">
        <f t="array" ref="G8125">index('Player ID'!C:C,match(E8125,'Player ID'!B:B,0))</f>
        <v>694350</v>
      </c>
    </row>
    <row r="8126">
      <c r="A8126" s="76">
        <v>45815.0</v>
      </c>
      <c r="B8126" s="1" t="s">
        <v>453</v>
      </c>
      <c r="C8126" s="1" t="s">
        <v>45</v>
      </c>
      <c r="D8126" s="1">
        <v>1.0</v>
      </c>
      <c r="E8126" s="1">
        <v>11836.0</v>
      </c>
      <c r="F8126" s="10">
        <f t="shared" si="1"/>
        <v>1</v>
      </c>
      <c r="G8126" s="10">
        <f t="array" ref="G8126">index('Player ID'!C:C,match(E8126,'Player ID'!B:B,0))</f>
        <v>592836</v>
      </c>
    </row>
    <row r="8127">
      <c r="A8127" s="76">
        <v>45815.0</v>
      </c>
      <c r="B8127" s="1" t="s">
        <v>256</v>
      </c>
      <c r="C8127" s="1" t="s">
        <v>60</v>
      </c>
      <c r="D8127" s="1">
        <v>6.0</v>
      </c>
      <c r="E8127" s="1">
        <v>15423.0</v>
      </c>
      <c r="F8127" s="10">
        <f t="shared" si="1"/>
        <v>6</v>
      </c>
      <c r="G8127" s="10">
        <f t="array" ref="G8127">index('Player ID'!C:C,match(E8127,'Player ID'!B:B,0))</f>
        <v>571760</v>
      </c>
    </row>
    <row r="8128">
      <c r="A8128" s="76">
        <v>45815.0</v>
      </c>
      <c r="B8128" s="1" t="s">
        <v>827</v>
      </c>
      <c r="C8128" s="1" t="s">
        <v>45</v>
      </c>
      <c r="D8128" s="1">
        <v>7.0</v>
      </c>
      <c r="E8128" s="1">
        <v>17277.0</v>
      </c>
      <c r="F8128" s="10">
        <f t="shared" si="1"/>
        <v>7</v>
      </c>
      <c r="G8128" s="10">
        <f t="array" ref="G8128">index('Player ID'!C:C,match(E8128,'Player ID'!B:B,0))</f>
        <v>624133</v>
      </c>
    </row>
    <row r="8129">
      <c r="A8129" s="76">
        <v>45815.0</v>
      </c>
      <c r="B8129" s="1" t="s">
        <v>217</v>
      </c>
      <c r="C8129" s="1" t="s">
        <v>60</v>
      </c>
      <c r="D8129" s="1">
        <v>1.0</v>
      </c>
      <c r="E8129" s="1">
        <v>17878.0</v>
      </c>
      <c r="F8129" s="10">
        <f t="shared" si="1"/>
        <v>1</v>
      </c>
      <c r="G8129" s="10">
        <f t="array" ref="G8129">index('Player ID'!C:C,match(E8129,'Player ID'!B:B,0))</f>
        <v>642701</v>
      </c>
    </row>
    <row r="8130">
      <c r="A8130" s="76">
        <v>45815.0</v>
      </c>
      <c r="B8130" s="1" t="s">
        <v>183</v>
      </c>
      <c r="C8130" s="1" t="s">
        <v>60</v>
      </c>
      <c r="D8130" s="1">
        <v>1.0</v>
      </c>
      <c r="E8130" s="1">
        <v>19569.0</v>
      </c>
      <c r="F8130" s="10">
        <f t="shared" si="1"/>
        <v>1</v>
      </c>
      <c r="G8130" s="10">
        <f t="array" ref="G8130">index('Player ID'!C:C,match(E8130,'Player ID'!B:B,0))</f>
        <v>670280</v>
      </c>
    </row>
    <row r="8131">
      <c r="A8131" s="76">
        <v>45815.0</v>
      </c>
      <c r="B8131" s="1" t="s">
        <v>338</v>
      </c>
      <c r="C8131" s="1" t="s">
        <v>60</v>
      </c>
      <c r="D8131" s="1">
        <v>1.0</v>
      </c>
      <c r="E8131" s="1">
        <v>20385.0</v>
      </c>
      <c r="F8131" s="10">
        <f t="shared" si="1"/>
        <v>1</v>
      </c>
      <c r="G8131" s="10" t="str">
        <f t="array" ref="G8131">index('Player ID'!C:C,match(E8131,'Player ID'!B:B,0))</f>
        <v>#N/A</v>
      </c>
    </row>
    <row r="8132">
      <c r="A8132" s="76">
        <v>45815.0</v>
      </c>
      <c r="B8132" s="1" t="s">
        <v>178</v>
      </c>
      <c r="C8132" s="1" t="s">
        <v>46</v>
      </c>
      <c r="D8132" s="1">
        <v>0.2</v>
      </c>
      <c r="E8132" s="1">
        <v>13435.0</v>
      </c>
      <c r="F8132" s="10">
        <f t="shared" si="1"/>
        <v>0.6666666667</v>
      </c>
      <c r="G8132" s="10">
        <f t="array" ref="G8132">index('Player ID'!C:C,match(E8132,'Player ID'!B:B,0))</f>
        <v>572955</v>
      </c>
    </row>
    <row r="8133">
      <c r="A8133" s="76">
        <v>45815.0</v>
      </c>
      <c r="B8133" s="1" t="s">
        <v>20</v>
      </c>
      <c r="C8133" s="1" t="s">
        <v>31</v>
      </c>
      <c r="D8133" s="1">
        <v>1.0</v>
      </c>
      <c r="E8133" s="1">
        <v>15541.0</v>
      </c>
      <c r="F8133" s="10">
        <f t="shared" si="1"/>
        <v>1</v>
      </c>
      <c r="G8133" s="10">
        <f t="array" ref="G8133">index('Player ID'!C:C,match(E8133,'Player ID'!B:B,0))</f>
        <v>643511</v>
      </c>
    </row>
    <row r="8134">
      <c r="A8134" s="76">
        <v>45815.0</v>
      </c>
      <c r="B8134" s="1" t="s">
        <v>77</v>
      </c>
      <c r="C8134" s="1" t="s">
        <v>31</v>
      </c>
      <c r="D8134" s="1">
        <v>6.0</v>
      </c>
      <c r="E8134" s="1">
        <v>17995.0</v>
      </c>
      <c r="F8134" s="10">
        <f t="shared" si="1"/>
        <v>6</v>
      </c>
      <c r="G8134" s="10">
        <f t="array" ref="G8134">index('Player ID'!C:C,match(E8134,'Player ID'!B:B,0))</f>
        <v>657277</v>
      </c>
    </row>
    <row r="8135">
      <c r="A8135" s="76">
        <v>45815.0</v>
      </c>
      <c r="B8135" s="1" t="s">
        <v>862</v>
      </c>
      <c r="C8135" s="1" t="s">
        <v>31</v>
      </c>
      <c r="D8135" s="1">
        <v>1.0</v>
      </c>
      <c r="E8135" s="1">
        <v>21481.0</v>
      </c>
      <c r="F8135" s="10">
        <f t="shared" si="1"/>
        <v>1</v>
      </c>
      <c r="G8135" s="10" t="str">
        <f t="array" ref="G8135">index('Player ID'!C:C,match(E8135,'Player ID'!B:B,0))</f>
        <v>#N/A</v>
      </c>
    </row>
    <row r="8136">
      <c r="A8136" s="76">
        <v>45815.0</v>
      </c>
      <c r="B8136" s="1" t="s">
        <v>655</v>
      </c>
      <c r="C8136" s="1" t="s">
        <v>31</v>
      </c>
      <c r="D8136" s="1">
        <v>1.0</v>
      </c>
      <c r="E8136" s="1">
        <v>26252.0</v>
      </c>
      <c r="F8136" s="10">
        <f t="shared" si="1"/>
        <v>1</v>
      </c>
      <c r="G8136" s="10">
        <f t="array" ref="G8136">index('Player ID'!C:C,match(E8136,'Player ID'!B:B,0))</f>
        <v>669062</v>
      </c>
    </row>
    <row r="8137">
      <c r="A8137" s="76">
        <v>45815.0</v>
      </c>
      <c r="B8137" s="1" t="s">
        <v>275</v>
      </c>
      <c r="C8137" s="1" t="s">
        <v>46</v>
      </c>
      <c r="D8137" s="1">
        <v>8.0</v>
      </c>
      <c r="E8137" s="1">
        <v>27779.0</v>
      </c>
      <c r="F8137" s="10">
        <f t="shared" si="1"/>
        <v>8</v>
      </c>
      <c r="G8137" s="10">
        <f t="array" ref="G8137">index('Player ID'!C:C,match(E8137,'Player ID'!B:B,0))</f>
        <v>693821</v>
      </c>
    </row>
    <row r="8138">
      <c r="A8138" s="76">
        <v>45815.0</v>
      </c>
      <c r="B8138" s="1" t="s">
        <v>38</v>
      </c>
      <c r="C8138" s="1" t="s">
        <v>39</v>
      </c>
      <c r="D8138" s="1">
        <v>0.2</v>
      </c>
      <c r="E8138" s="1">
        <v>13580.0</v>
      </c>
      <c r="F8138" s="10">
        <f t="shared" si="1"/>
        <v>0.6666666667</v>
      </c>
      <c r="G8138" s="10">
        <f t="array" ref="G8138">index('Player ID'!C:C,match(E8138,'Player ID'!B:B,0))</f>
        <v>595345</v>
      </c>
    </row>
    <row r="8139">
      <c r="A8139" s="76">
        <v>45815.0</v>
      </c>
      <c r="B8139" s="1" t="s">
        <v>117</v>
      </c>
      <c r="C8139" s="1" t="s">
        <v>70</v>
      </c>
      <c r="D8139" s="1">
        <v>1.0</v>
      </c>
      <c r="E8139" s="1">
        <v>13619.0</v>
      </c>
      <c r="F8139" s="10">
        <f t="shared" si="1"/>
        <v>1</v>
      </c>
      <c r="G8139" s="10">
        <f t="array" ref="G8139">index('Player ID'!C:C,match(E8139,'Player ID'!B:B,0))</f>
        <v>596001</v>
      </c>
    </row>
    <row r="8140">
      <c r="A8140" s="76">
        <v>45815.0</v>
      </c>
      <c r="B8140" s="1" t="s">
        <v>59</v>
      </c>
      <c r="C8140" s="1" t="s">
        <v>39</v>
      </c>
      <c r="D8140" s="1">
        <v>1.0</v>
      </c>
      <c r="E8140" s="1">
        <v>14212.0</v>
      </c>
      <c r="F8140" s="10">
        <f t="shared" si="1"/>
        <v>1</v>
      </c>
      <c r="G8140" s="10">
        <f t="array" ref="G8140">index('Player ID'!C:C,match(E8140,'Player ID'!B:B,0))</f>
        <v>623352</v>
      </c>
    </row>
    <row r="8141">
      <c r="A8141" s="76">
        <v>45815.0</v>
      </c>
      <c r="B8141" s="1" t="s">
        <v>132</v>
      </c>
      <c r="C8141" s="1" t="s">
        <v>70</v>
      </c>
      <c r="D8141" s="1">
        <v>1.0</v>
      </c>
      <c r="E8141" s="1">
        <v>21032.0</v>
      </c>
      <c r="F8141" s="10">
        <f t="shared" si="1"/>
        <v>1</v>
      </c>
      <c r="G8141" s="10">
        <f t="array" ref="G8141">index('Player ID'!C:C,match(E8141,'Player ID'!B:B,0))</f>
        <v>661403</v>
      </c>
    </row>
    <row r="8142">
      <c r="A8142" s="76">
        <v>45815.0</v>
      </c>
      <c r="B8142" s="1" t="s">
        <v>102</v>
      </c>
      <c r="C8142" s="1" t="s">
        <v>39</v>
      </c>
      <c r="D8142" s="1">
        <v>1.0</v>
      </c>
      <c r="E8142" s="1">
        <v>21345.0</v>
      </c>
      <c r="F8142" s="10">
        <f t="shared" si="1"/>
        <v>1</v>
      </c>
      <c r="G8142" s="10">
        <f t="array" ref="G8142">index('Player ID'!C:C,match(E8142,'Player ID'!B:B,0))</f>
        <v>656986</v>
      </c>
    </row>
    <row r="8143">
      <c r="A8143" s="76">
        <v>45815.0</v>
      </c>
      <c r="B8143" s="1" t="s">
        <v>444</v>
      </c>
      <c r="C8143" s="1" t="s">
        <v>39</v>
      </c>
      <c r="D8143" s="1">
        <v>2.0</v>
      </c>
      <c r="E8143" s="1">
        <v>24977.0</v>
      </c>
      <c r="F8143" s="10">
        <f t="shared" si="1"/>
        <v>2</v>
      </c>
      <c r="G8143" s="10">
        <f t="array" ref="G8143">index('Player ID'!C:C,match(E8143,'Player ID'!B:B,0))</f>
        <v>681869</v>
      </c>
    </row>
    <row r="8144">
      <c r="A8144" s="76">
        <v>45815.0</v>
      </c>
      <c r="B8144" s="1" t="s">
        <v>238</v>
      </c>
      <c r="C8144" s="1" t="s">
        <v>70</v>
      </c>
      <c r="D8144" s="1">
        <v>1.0</v>
      </c>
      <c r="E8144" s="1">
        <v>25636.0</v>
      </c>
      <c r="F8144" s="10">
        <f t="shared" si="1"/>
        <v>1</v>
      </c>
      <c r="G8144" s="10">
        <f t="array" ref="G8144">index('Player ID'!C:C,match(E8144,'Player ID'!B:B,0))</f>
        <v>683769</v>
      </c>
    </row>
    <row r="8145">
      <c r="A8145" s="76">
        <v>45815.0</v>
      </c>
      <c r="B8145" s="1" t="s">
        <v>339</v>
      </c>
      <c r="C8145" s="1" t="s">
        <v>39</v>
      </c>
      <c r="D8145" s="1">
        <v>5.1</v>
      </c>
      <c r="E8145" s="1">
        <v>25880.0</v>
      </c>
      <c r="F8145" s="10">
        <f t="shared" si="1"/>
        <v>5.333333333</v>
      </c>
      <c r="G8145" s="10">
        <f t="array" ref="G8145">index('Player ID'!C:C,match(E8145,'Player ID'!B:B,0))</f>
        <v>686613</v>
      </c>
    </row>
    <row r="8146">
      <c r="A8146" s="76">
        <v>45815.0</v>
      </c>
      <c r="B8146" s="1" t="s">
        <v>135</v>
      </c>
      <c r="C8146" s="1" t="s">
        <v>70</v>
      </c>
      <c r="D8146" s="1">
        <v>1.0</v>
      </c>
      <c r="E8146" s="1">
        <v>27867.0</v>
      </c>
      <c r="F8146" s="10">
        <f t="shared" si="1"/>
        <v>1</v>
      </c>
      <c r="G8146" s="10">
        <f t="array" ref="G8146">index('Player ID'!C:C,match(E8146,'Player ID'!B:B,0))</f>
        <v>671922</v>
      </c>
    </row>
    <row r="8147">
      <c r="A8147" s="76">
        <v>45815.0</v>
      </c>
      <c r="B8147" s="1" t="s">
        <v>376</v>
      </c>
      <c r="C8147" s="1" t="s">
        <v>70</v>
      </c>
      <c r="D8147" s="1">
        <v>6.0</v>
      </c>
      <c r="E8147" s="1">
        <v>30122.0</v>
      </c>
      <c r="F8147" s="10">
        <f t="shared" si="1"/>
        <v>6</v>
      </c>
      <c r="G8147" s="10">
        <f t="array" ref="G8147">index('Player ID'!C:C,match(E8147,'Player ID'!B:B,0))</f>
        <v>668909</v>
      </c>
    </row>
    <row r="8148">
      <c r="A8148" s="76">
        <v>45815.0</v>
      </c>
      <c r="B8148" s="1" t="s">
        <v>226</v>
      </c>
      <c r="C8148" s="1" t="s">
        <v>66</v>
      </c>
      <c r="D8148" s="1">
        <v>6.0</v>
      </c>
      <c r="E8148" s="1">
        <v>12730.0</v>
      </c>
      <c r="F8148" s="10">
        <f t="shared" si="1"/>
        <v>6</v>
      </c>
      <c r="G8148" s="10">
        <f t="array" ref="G8148">index('Player ID'!C:C,match(E8148,'Player ID'!B:B,0))</f>
        <v>607259</v>
      </c>
    </row>
    <row r="8149">
      <c r="A8149" s="76">
        <v>45815.0</v>
      </c>
      <c r="B8149" s="1" t="s">
        <v>417</v>
      </c>
      <c r="C8149" s="1" t="s">
        <v>66</v>
      </c>
      <c r="D8149" s="1">
        <v>1.0</v>
      </c>
      <c r="E8149" s="1">
        <v>13942.0</v>
      </c>
      <c r="F8149" s="10">
        <f t="shared" si="1"/>
        <v>1</v>
      </c>
      <c r="G8149" s="10">
        <f t="array" ref="G8149">index('Player ID'!C:C,match(E8149,'Player ID'!B:B,0))</f>
        <v>608718</v>
      </c>
    </row>
    <row r="8150">
      <c r="A8150" s="76">
        <v>45815.0</v>
      </c>
      <c r="B8150" s="1" t="s">
        <v>763</v>
      </c>
      <c r="C8150" s="1" t="s">
        <v>64</v>
      </c>
      <c r="D8150" s="1">
        <v>1.0</v>
      </c>
      <c r="E8150" s="1">
        <v>15514.0</v>
      </c>
      <c r="F8150" s="10">
        <f t="shared" si="1"/>
        <v>1</v>
      </c>
      <c r="G8150" s="10">
        <f t="array" ref="G8150">index('Player ID'!C:C,match(E8150,'Player ID'!B:B,0))</f>
        <v>608665</v>
      </c>
    </row>
    <row r="8151">
      <c r="A8151" s="76">
        <v>45815.0</v>
      </c>
      <c r="B8151" s="1" t="s">
        <v>854</v>
      </c>
      <c r="C8151" s="1" t="s">
        <v>64</v>
      </c>
      <c r="D8151" s="1">
        <v>0.1</v>
      </c>
      <c r="E8151" s="1">
        <v>16631.0</v>
      </c>
      <c r="F8151" s="10">
        <f t="shared" si="1"/>
        <v>0.3333333333</v>
      </c>
      <c r="G8151" s="10" t="str">
        <f t="array" ref="G8151">index('Player ID'!C:C,match(E8151,'Player ID'!B:B,0))</f>
        <v>#N/A</v>
      </c>
    </row>
    <row r="8152">
      <c r="A8152" s="76">
        <v>45815.0</v>
      </c>
      <c r="B8152" s="1" t="s">
        <v>866</v>
      </c>
      <c r="C8152" s="1" t="s">
        <v>64</v>
      </c>
      <c r="D8152" s="1">
        <v>1.0</v>
      </c>
      <c r="E8152" s="1">
        <v>17040.0</v>
      </c>
      <c r="F8152" s="10">
        <f t="shared" si="1"/>
        <v>1</v>
      </c>
      <c r="G8152" s="10" t="str">
        <f t="array" ref="G8152">index('Player ID'!C:C,match(E8152,'Player ID'!B:B,0))</f>
        <v>#N/A</v>
      </c>
    </row>
    <row r="8153">
      <c r="A8153" s="76">
        <v>45815.0</v>
      </c>
      <c r="B8153" s="1" t="s">
        <v>518</v>
      </c>
      <c r="C8153" s="1" t="s">
        <v>66</v>
      </c>
      <c r="D8153" s="1">
        <v>1.0</v>
      </c>
      <c r="E8153" s="1">
        <v>24581.0</v>
      </c>
      <c r="F8153" s="10">
        <f t="shared" si="1"/>
        <v>1</v>
      </c>
      <c r="G8153" s="10">
        <f t="array" ref="G8153">index('Player ID'!C:C,match(E8153,'Player ID'!B:B,0))</f>
        <v>680689</v>
      </c>
    </row>
    <row r="8154">
      <c r="A8154" s="76">
        <v>45815.0</v>
      </c>
      <c r="B8154" s="1" t="s">
        <v>867</v>
      </c>
      <c r="C8154" s="1" t="s">
        <v>66</v>
      </c>
      <c r="D8154" s="1">
        <v>1.0</v>
      </c>
      <c r="E8154" s="1">
        <v>25481.0</v>
      </c>
      <c r="F8154" s="10">
        <f t="shared" si="1"/>
        <v>1</v>
      </c>
      <c r="G8154" s="10" t="str">
        <f t="array" ref="G8154">index('Player ID'!C:C,match(E8154,'Player ID'!B:B,0))</f>
        <v>#N/A</v>
      </c>
    </row>
    <row r="8155">
      <c r="A8155" s="76">
        <v>45815.0</v>
      </c>
      <c r="B8155" s="1" t="s">
        <v>93</v>
      </c>
      <c r="C8155" s="1" t="s">
        <v>64</v>
      </c>
      <c r="D8155" s="1">
        <v>3.0</v>
      </c>
      <c r="E8155" s="1">
        <v>26253.0</v>
      </c>
      <c r="F8155" s="10">
        <f t="shared" si="1"/>
        <v>3</v>
      </c>
      <c r="G8155" s="10">
        <f t="array" ref="G8155">index('Player ID'!C:C,match(E8155,'Player ID'!B:B,0))</f>
        <v>669194</v>
      </c>
    </row>
    <row r="8156">
      <c r="A8156" s="76">
        <v>45815.0</v>
      </c>
      <c r="B8156" s="1" t="s">
        <v>868</v>
      </c>
      <c r="C8156" s="1" t="s">
        <v>64</v>
      </c>
      <c r="D8156" s="1">
        <v>2.2</v>
      </c>
      <c r="E8156" s="1">
        <v>30206.0</v>
      </c>
      <c r="F8156" s="10">
        <f t="shared" si="1"/>
        <v>2.666666667</v>
      </c>
      <c r="G8156" s="10" t="str">
        <f t="array" ref="G8156">index('Player ID'!C:C,match(E8156,'Player ID'!B:B,0))</f>
        <v>#N/A</v>
      </c>
    </row>
    <row r="8157">
      <c r="A8157" s="76">
        <v>45815.0</v>
      </c>
      <c r="B8157" s="1" t="s">
        <v>411</v>
      </c>
      <c r="C8157" s="1" t="s">
        <v>78</v>
      </c>
      <c r="D8157" s="1">
        <v>6.0</v>
      </c>
      <c r="E8157" s="1">
        <v>12718.0</v>
      </c>
      <c r="F8157" s="10">
        <f t="shared" si="1"/>
        <v>6</v>
      </c>
      <c r="G8157" s="10">
        <f t="array" ref="G8157">index('Player ID'!C:C,match(E8157,'Player ID'!B:B,0))</f>
        <v>605288</v>
      </c>
    </row>
    <row r="8158">
      <c r="A8158" s="76">
        <v>45815.0</v>
      </c>
      <c r="B8158" s="1" t="s">
        <v>147</v>
      </c>
      <c r="C8158" s="1" t="s">
        <v>29</v>
      </c>
      <c r="D8158" s="1">
        <v>6.0</v>
      </c>
      <c r="E8158" s="1">
        <v>14078.0</v>
      </c>
      <c r="F8158" s="10">
        <f t="shared" si="1"/>
        <v>6</v>
      </c>
      <c r="G8158" s="10">
        <f t="array" ref="G8158">index('Player ID'!C:C,match(E8158,'Player ID'!B:B,0))</f>
        <v>608379</v>
      </c>
    </row>
    <row r="8159">
      <c r="A8159" s="76">
        <v>45815.0</v>
      </c>
      <c r="B8159" s="1" t="s">
        <v>252</v>
      </c>
      <c r="C8159" s="1" t="s">
        <v>78</v>
      </c>
      <c r="D8159" s="1">
        <v>1.0</v>
      </c>
      <c r="E8159" s="1">
        <v>16061.0</v>
      </c>
      <c r="F8159" s="10">
        <f t="shared" si="1"/>
        <v>1</v>
      </c>
      <c r="G8159" s="10">
        <f t="array" ref="G8159">index('Player ID'!C:C,match(E8159,'Player ID'!B:B,0))</f>
        <v>592155</v>
      </c>
    </row>
    <row r="8160">
      <c r="A8160" s="76">
        <v>45815.0</v>
      </c>
      <c r="B8160" s="1" t="s">
        <v>851</v>
      </c>
      <c r="C8160" s="1" t="s">
        <v>78</v>
      </c>
      <c r="D8160" s="1">
        <v>1.0</v>
      </c>
      <c r="E8160" s="1">
        <v>16507.0</v>
      </c>
      <c r="F8160" s="10">
        <f t="shared" si="1"/>
        <v>1</v>
      </c>
      <c r="G8160" s="10" t="str">
        <f t="array" ref="G8160">index('Player ID'!C:C,match(E8160,'Player ID'!B:B,0))</f>
        <v>#N/A</v>
      </c>
    </row>
    <row r="8161">
      <c r="A8161" s="76">
        <v>45815.0</v>
      </c>
      <c r="B8161" s="1" t="s">
        <v>869</v>
      </c>
      <c r="C8161" s="1" t="s">
        <v>29</v>
      </c>
      <c r="D8161" s="1">
        <v>1.0</v>
      </c>
      <c r="E8161" s="1">
        <v>19309.0</v>
      </c>
      <c r="F8161" s="10">
        <f t="shared" si="1"/>
        <v>1</v>
      </c>
      <c r="G8161" s="10" t="str">
        <f t="array" ref="G8161">index('Player ID'!C:C,match(E8161,'Player ID'!B:B,0))</f>
        <v>#N/A</v>
      </c>
    </row>
    <row r="8162">
      <c r="A8162" s="76">
        <v>45815.0</v>
      </c>
      <c r="B8162" s="1" t="s">
        <v>116</v>
      </c>
      <c r="C8162" s="1" t="s">
        <v>78</v>
      </c>
      <c r="D8162" s="1">
        <v>1.0</v>
      </c>
      <c r="E8162" s="1">
        <v>20353.0</v>
      </c>
      <c r="F8162" s="10">
        <f t="shared" si="1"/>
        <v>1</v>
      </c>
      <c r="G8162" s="10">
        <f t="array" ref="G8162">index('Player ID'!C:C,match(E8162,'Player ID'!B:B,0))</f>
        <v>621051</v>
      </c>
    </row>
    <row r="8163">
      <c r="A8163" s="76">
        <v>45815.0</v>
      </c>
      <c r="B8163" s="1" t="s">
        <v>214</v>
      </c>
      <c r="C8163" s="1" t="s">
        <v>29</v>
      </c>
      <c r="D8163" s="1">
        <v>1.0</v>
      </c>
      <c r="E8163" s="1">
        <v>23165.0</v>
      </c>
      <c r="F8163" s="10">
        <f t="shared" si="1"/>
        <v>1</v>
      </c>
      <c r="G8163" s="10">
        <f t="array" ref="G8163">index('Player ID'!C:C,match(E8163,'Player ID'!B:B,0))</f>
        <v>674444</v>
      </c>
    </row>
    <row r="8164">
      <c r="A8164" s="76">
        <v>45815.0</v>
      </c>
      <c r="B8164" s="1" t="s">
        <v>185</v>
      </c>
      <c r="C8164" s="1" t="s">
        <v>54</v>
      </c>
      <c r="D8164" s="1">
        <v>1.0</v>
      </c>
      <c r="E8164" s="1">
        <v>17897.0</v>
      </c>
      <c r="F8164" s="10">
        <f t="shared" si="1"/>
        <v>1</v>
      </c>
      <c r="G8164" s="10">
        <f t="array" ref="G8164">index('Player ID'!C:C,match(E8164,'Player ID'!B:B,0))</f>
        <v>664076</v>
      </c>
    </row>
    <row r="8165">
      <c r="A8165" s="76">
        <v>45815.0</v>
      </c>
      <c r="B8165" s="1" t="s">
        <v>261</v>
      </c>
      <c r="C8165" s="1" t="s">
        <v>54</v>
      </c>
      <c r="D8165" s="1">
        <v>1.0</v>
      </c>
      <c r="E8165" s="1">
        <v>17998.0</v>
      </c>
      <c r="F8165" s="10">
        <f t="shared" si="1"/>
        <v>1</v>
      </c>
      <c r="G8165" s="10">
        <f t="array" ref="G8165">index('Player ID'!C:C,match(E8165,'Player ID'!B:B,0))</f>
        <v>664126</v>
      </c>
    </row>
    <row r="8166">
      <c r="A8166" s="76">
        <v>45815.0</v>
      </c>
      <c r="B8166" s="1" t="s">
        <v>89</v>
      </c>
      <c r="C8166" s="1" t="s">
        <v>36</v>
      </c>
      <c r="D8166" s="1">
        <v>1.2</v>
      </c>
      <c r="E8166" s="1">
        <v>19742.0</v>
      </c>
      <c r="F8166" s="10">
        <f t="shared" si="1"/>
        <v>1.666666667</v>
      </c>
      <c r="G8166" s="10">
        <f t="array" ref="G8166">index('Player ID'!C:C,match(E8166,'Player ID'!B:B,0))</f>
        <v>669622</v>
      </c>
    </row>
    <row r="8167">
      <c r="A8167" s="76">
        <v>45815.0</v>
      </c>
      <c r="B8167" s="1" t="s">
        <v>262</v>
      </c>
      <c r="C8167" s="1" t="s">
        <v>36</v>
      </c>
      <c r="D8167" s="1">
        <v>1.0</v>
      </c>
      <c r="E8167" s="1">
        <v>20116.0</v>
      </c>
      <c r="F8167" s="10">
        <f t="shared" si="1"/>
        <v>1</v>
      </c>
      <c r="G8167" s="10">
        <f t="array" ref="G8167">index('Player ID'!C:C,match(E8167,'Player ID'!B:B,0))</f>
        <v>676534</v>
      </c>
    </row>
    <row r="8168">
      <c r="A8168" s="76">
        <v>45815.0</v>
      </c>
      <c r="B8168" s="1" t="s">
        <v>61</v>
      </c>
      <c r="C8168" s="1" t="s">
        <v>36</v>
      </c>
      <c r="D8168" s="1">
        <v>1.1</v>
      </c>
      <c r="E8168" s="1">
        <v>20629.0</v>
      </c>
      <c r="F8168" s="10">
        <f t="shared" si="1"/>
        <v>1.333333333</v>
      </c>
      <c r="G8168" s="10">
        <f t="array" ref="G8168">index('Player ID'!C:C,match(E8168,'Player ID'!B:B,0))</f>
        <v>663969</v>
      </c>
    </row>
    <row r="8169">
      <c r="A8169" s="76">
        <v>45815.0</v>
      </c>
      <c r="B8169" s="1" t="s">
        <v>705</v>
      </c>
      <c r="C8169" s="1" t="s">
        <v>54</v>
      </c>
      <c r="D8169" s="1">
        <v>1.0</v>
      </c>
      <c r="E8169" s="1">
        <v>20794.0</v>
      </c>
      <c r="F8169" s="10">
        <f t="shared" si="1"/>
        <v>1</v>
      </c>
      <c r="G8169" s="10">
        <f t="array" ref="G8169">index('Player ID'!C:C,match(E8169,'Player ID'!B:B,0))</f>
        <v>655889</v>
      </c>
    </row>
    <row r="8170">
      <c r="A8170" s="76">
        <v>45815.0</v>
      </c>
      <c r="B8170" s="1" t="s">
        <v>413</v>
      </c>
      <c r="C8170" s="1" t="s">
        <v>54</v>
      </c>
      <c r="D8170" s="1">
        <v>4.0</v>
      </c>
      <c r="E8170" s="1">
        <v>22543.0</v>
      </c>
      <c r="F8170" s="10">
        <f t="shared" si="1"/>
        <v>4</v>
      </c>
      <c r="G8170" s="10">
        <f t="array" ref="G8170">index('Player ID'!C:C,match(E8170,'Player ID'!B:B,0))</f>
        <v>671737</v>
      </c>
    </row>
    <row r="8171">
      <c r="A8171" s="76">
        <v>45815.0</v>
      </c>
      <c r="B8171" s="1" t="s">
        <v>202</v>
      </c>
      <c r="C8171" s="1" t="s">
        <v>36</v>
      </c>
      <c r="D8171" s="1">
        <v>3.0</v>
      </c>
      <c r="E8171" s="1">
        <v>23796.0</v>
      </c>
      <c r="F8171" s="10">
        <f t="shared" si="1"/>
        <v>3</v>
      </c>
      <c r="G8171" s="10">
        <f t="array" ref="G8171">index('Player ID'!C:C,match(E8171,'Player ID'!B:B,0))</f>
        <v>677960</v>
      </c>
    </row>
    <row r="8172">
      <c r="A8172" s="76">
        <v>45815.0</v>
      </c>
      <c r="B8172" s="1" t="s">
        <v>123</v>
      </c>
      <c r="C8172" s="1" t="s">
        <v>36</v>
      </c>
      <c r="D8172" s="1">
        <v>1.0</v>
      </c>
      <c r="E8172" s="1">
        <v>24094.0</v>
      </c>
      <c r="F8172" s="10">
        <f t="shared" si="1"/>
        <v>1</v>
      </c>
      <c r="G8172" s="10">
        <f t="array" ref="G8172">index('Player ID'!C:C,match(E8172,'Player ID'!B:B,0))</f>
        <v>678692</v>
      </c>
    </row>
    <row r="8173">
      <c r="A8173" s="76">
        <v>45815.0</v>
      </c>
      <c r="B8173" s="1" t="s">
        <v>110</v>
      </c>
      <c r="C8173" s="1" t="s">
        <v>54</v>
      </c>
      <c r="D8173" s="1">
        <v>1.0</v>
      </c>
      <c r="E8173" s="1">
        <v>25679.0</v>
      </c>
      <c r="F8173" s="10">
        <f t="shared" si="1"/>
        <v>1</v>
      </c>
      <c r="G8173" s="10">
        <f t="array" ref="G8173">index('Player ID'!C:C,match(E8173,'Player ID'!B:B,0))</f>
        <v>687330</v>
      </c>
    </row>
    <row r="8174">
      <c r="A8174" s="76">
        <v>45815.0</v>
      </c>
      <c r="B8174" s="1" t="s">
        <v>257</v>
      </c>
      <c r="C8174" s="1" t="s">
        <v>54</v>
      </c>
      <c r="D8174" s="1">
        <v>1.0</v>
      </c>
      <c r="E8174" s="1">
        <v>27626.0</v>
      </c>
      <c r="F8174" s="10">
        <f t="shared" si="1"/>
        <v>1</v>
      </c>
      <c r="G8174" s="10">
        <f t="array" ref="G8174">index('Player ID'!C:C,match(E8174,'Player ID'!B:B,0))</f>
        <v>679358</v>
      </c>
    </row>
    <row r="8175">
      <c r="A8175" s="76">
        <v>45815.0</v>
      </c>
      <c r="B8175" s="1" t="s">
        <v>334</v>
      </c>
      <c r="C8175" s="1" t="s">
        <v>54</v>
      </c>
      <c r="D8175" s="1">
        <v>1.0</v>
      </c>
      <c r="E8175" s="1">
        <v>29770.0</v>
      </c>
      <c r="F8175" s="10">
        <f t="shared" si="1"/>
        <v>1</v>
      </c>
      <c r="G8175" s="10">
        <f t="array" ref="G8175">index('Player ID'!C:C,match(E8175,'Player ID'!B:B,0))</f>
        <v>682254</v>
      </c>
    </row>
    <row r="8176">
      <c r="A8176" s="76">
        <v>45815.0</v>
      </c>
      <c r="B8176" s="1" t="s">
        <v>266</v>
      </c>
      <c r="C8176" s="1" t="s">
        <v>36</v>
      </c>
      <c r="D8176" s="1">
        <v>2.0</v>
      </c>
      <c r="E8176" s="1">
        <v>31815.0</v>
      </c>
      <c r="F8176" s="10">
        <f t="shared" si="1"/>
        <v>2</v>
      </c>
      <c r="G8176" s="10">
        <f t="array" ref="G8176">index('Player ID'!C:C,match(E8176,'Player ID'!B:B,0))</f>
        <v>806188</v>
      </c>
    </row>
    <row r="8177">
      <c r="A8177" s="76">
        <v>45815.0</v>
      </c>
      <c r="B8177" s="1" t="s">
        <v>230</v>
      </c>
      <c r="C8177" s="1" t="s">
        <v>22</v>
      </c>
      <c r="D8177" s="1">
        <v>1.0</v>
      </c>
      <c r="E8177" s="1">
        <v>4301.0</v>
      </c>
      <c r="F8177" s="10">
        <f t="shared" si="1"/>
        <v>1</v>
      </c>
      <c r="G8177" s="10">
        <f t="array" ref="G8177">index('Player ID'!C:C,match(E8177,'Player ID'!B:B,0))</f>
        <v>458677</v>
      </c>
    </row>
    <row r="8178">
      <c r="A8178" s="76">
        <v>45815.0</v>
      </c>
      <c r="B8178" s="1" t="s">
        <v>41</v>
      </c>
      <c r="C8178" s="1" t="s">
        <v>22</v>
      </c>
      <c r="D8178" s="1">
        <v>1.0</v>
      </c>
      <c r="E8178" s="1">
        <v>10233.0</v>
      </c>
      <c r="F8178" s="10">
        <f t="shared" si="1"/>
        <v>1</v>
      </c>
      <c r="G8178" s="10">
        <f t="array" ref="G8178">index('Player ID'!C:C,match(E8178,'Player ID'!B:B,0))</f>
        <v>547973</v>
      </c>
    </row>
    <row r="8179">
      <c r="A8179" s="76">
        <v>45815.0</v>
      </c>
      <c r="B8179" s="1" t="s">
        <v>467</v>
      </c>
      <c r="C8179" s="1" t="s">
        <v>58</v>
      </c>
      <c r="D8179" s="1">
        <v>1.0</v>
      </c>
      <c r="E8179" s="1">
        <v>15551.0</v>
      </c>
      <c r="F8179" s="10">
        <f t="shared" si="1"/>
        <v>1</v>
      </c>
      <c r="G8179" s="10">
        <f t="array" ref="G8179">index('Player ID'!C:C,match(E8179,'Player ID'!B:B,0))</f>
        <v>643410</v>
      </c>
    </row>
    <row r="8180">
      <c r="A8180" s="76">
        <v>45815.0</v>
      </c>
      <c r="B8180" s="1" t="s">
        <v>192</v>
      </c>
      <c r="C8180" s="1" t="s">
        <v>58</v>
      </c>
      <c r="D8180" s="1">
        <v>4.0</v>
      </c>
      <c r="E8180" s="1">
        <v>16502.0</v>
      </c>
      <c r="F8180" s="10">
        <f t="shared" si="1"/>
        <v>4</v>
      </c>
      <c r="G8180" s="10">
        <f t="array" ref="G8180">index('Player ID'!C:C,match(E8180,'Player ID'!B:B,0))</f>
        <v>642232</v>
      </c>
    </row>
    <row r="8181">
      <c r="A8181" s="76">
        <v>45815.0</v>
      </c>
      <c r="B8181" s="1" t="s">
        <v>520</v>
      </c>
      <c r="C8181" s="1" t="s">
        <v>58</v>
      </c>
      <c r="D8181" s="1">
        <v>1.0</v>
      </c>
      <c r="E8181" s="1">
        <v>19261.0</v>
      </c>
      <c r="F8181" s="10">
        <f t="shared" si="1"/>
        <v>1</v>
      </c>
      <c r="G8181" s="10">
        <f t="array" ref="G8181">index('Player ID'!C:C,match(E8181,'Player ID'!B:B,0))</f>
        <v>641656</v>
      </c>
    </row>
    <row r="8182">
      <c r="A8182" s="76">
        <v>45815.0</v>
      </c>
      <c r="B8182" s="1" t="s">
        <v>406</v>
      </c>
      <c r="C8182" s="1" t="s">
        <v>22</v>
      </c>
      <c r="D8182" s="1">
        <v>1.0</v>
      </c>
      <c r="E8182" s="1">
        <v>20375.0</v>
      </c>
      <c r="F8182" s="10">
        <f t="shared" si="1"/>
        <v>1</v>
      </c>
      <c r="G8182" s="10">
        <f t="array" ref="G8182">index('Player ID'!C:C,match(E8182,'Player ID'!B:B,0))</f>
        <v>669711</v>
      </c>
    </row>
    <row r="8183">
      <c r="A8183" s="76">
        <v>45815.0</v>
      </c>
      <c r="B8183" s="1" t="s">
        <v>309</v>
      </c>
      <c r="C8183" s="1" t="s">
        <v>58</v>
      </c>
      <c r="D8183" s="1">
        <v>3.0</v>
      </c>
      <c r="E8183" s="1">
        <v>21420.0</v>
      </c>
      <c r="F8183" s="10">
        <f t="shared" si="1"/>
        <v>3</v>
      </c>
      <c r="G8183" s="10">
        <f t="array" ref="G8183">index('Player ID'!C:C,match(E8183,'Player ID'!B:B,0))</f>
        <v>660787</v>
      </c>
    </row>
    <row r="8184">
      <c r="A8184" s="76">
        <v>45815.0</v>
      </c>
      <c r="B8184" s="1" t="s">
        <v>100</v>
      </c>
      <c r="C8184" s="1" t="s">
        <v>22</v>
      </c>
      <c r="D8184" s="1">
        <v>6.0</v>
      </c>
      <c r="E8184" s="1">
        <v>27463.0</v>
      </c>
      <c r="F8184" s="10">
        <f t="shared" si="1"/>
        <v>6</v>
      </c>
      <c r="G8184" s="10">
        <f t="array" ref="G8184">index('Player ID'!C:C,match(E8184,'Player ID'!B:B,0))</f>
        <v>676979</v>
      </c>
    </row>
    <row r="8185">
      <c r="A8185" s="76">
        <v>45815.0</v>
      </c>
      <c r="B8185" s="1" t="s">
        <v>476</v>
      </c>
      <c r="C8185" s="1" t="s">
        <v>14</v>
      </c>
      <c r="D8185" s="1">
        <v>5.0</v>
      </c>
      <c r="E8185" s="1">
        <v>11423.0</v>
      </c>
      <c r="F8185" s="10">
        <f t="shared" si="1"/>
        <v>5</v>
      </c>
      <c r="G8185" s="10">
        <f t="array" ref="G8185">index('Player ID'!C:C,match(E8185,'Player ID'!B:B,0))</f>
        <v>500779</v>
      </c>
    </row>
    <row r="8186">
      <c r="A8186" s="76">
        <v>45815.0</v>
      </c>
      <c r="B8186" s="1" t="s">
        <v>342</v>
      </c>
      <c r="C8186" s="1" t="s">
        <v>26</v>
      </c>
      <c r="D8186" s="1">
        <v>1.0</v>
      </c>
      <c r="E8186" s="1">
        <v>11861.0</v>
      </c>
      <c r="F8186" s="10">
        <f t="shared" si="1"/>
        <v>1</v>
      </c>
      <c r="G8186" s="10">
        <f t="array" ref="G8186">index('Player ID'!C:C,match(E8186,'Player ID'!B:B,0))</f>
        <v>592094</v>
      </c>
    </row>
    <row r="8187">
      <c r="A8187" s="76">
        <v>45815.0</v>
      </c>
      <c r="B8187" s="1" t="s">
        <v>13</v>
      </c>
      <c r="C8187" s="1" t="s">
        <v>14</v>
      </c>
      <c r="D8187" s="1">
        <v>1.0</v>
      </c>
      <c r="E8187" s="1">
        <v>17722.0</v>
      </c>
      <c r="F8187" s="10">
        <f t="shared" si="1"/>
        <v>1</v>
      </c>
      <c r="G8187" s="10">
        <f t="array" ref="G8187">index('Player ID'!C:C,match(E8187,'Player ID'!B:B,0))</f>
        <v>656730</v>
      </c>
    </row>
    <row r="8188">
      <c r="A8188" s="76">
        <v>45815.0</v>
      </c>
      <c r="B8188" s="1" t="s">
        <v>49</v>
      </c>
      <c r="C8188" s="1" t="s">
        <v>26</v>
      </c>
      <c r="D8188" s="1">
        <v>0.1</v>
      </c>
      <c r="E8188" s="1">
        <v>20039.0</v>
      </c>
      <c r="F8188" s="10">
        <f t="shared" si="1"/>
        <v>0.3333333333</v>
      </c>
      <c r="G8188" s="10">
        <f t="array" ref="G8188">index('Player ID'!C:C,match(E8188,'Player ID'!B:B,0))</f>
        <v>670970</v>
      </c>
    </row>
    <row r="8189">
      <c r="A8189" s="76">
        <v>45815.0</v>
      </c>
      <c r="B8189" s="1" t="s">
        <v>179</v>
      </c>
      <c r="C8189" s="1" t="s">
        <v>26</v>
      </c>
      <c r="D8189" s="1">
        <v>5.2</v>
      </c>
      <c r="E8189" s="1">
        <v>21487.0</v>
      </c>
      <c r="F8189" s="10">
        <f t="shared" si="1"/>
        <v>5.666666667</v>
      </c>
      <c r="G8189" s="10">
        <f t="array" ref="G8189">index('Player ID'!C:C,match(E8189,'Player ID'!B:B,0))</f>
        <v>663568</v>
      </c>
    </row>
    <row r="8190">
      <c r="A8190" s="76">
        <v>45815.0</v>
      </c>
      <c r="B8190" s="1" t="s">
        <v>94</v>
      </c>
      <c r="C8190" s="1" t="s">
        <v>26</v>
      </c>
      <c r="D8190" s="1">
        <v>1.0</v>
      </c>
      <c r="E8190" s="1">
        <v>22210.0</v>
      </c>
      <c r="F8190" s="10">
        <f t="shared" si="1"/>
        <v>1</v>
      </c>
      <c r="G8190" s="10">
        <f t="array" ref="G8190">index('Player ID'!C:C,match(E8190,'Player ID'!B:B,0))</f>
        <v>669093</v>
      </c>
    </row>
    <row r="8191">
      <c r="A8191" s="76">
        <v>45815.0</v>
      </c>
      <c r="B8191" s="1" t="s">
        <v>279</v>
      </c>
      <c r="C8191" s="1" t="s">
        <v>14</v>
      </c>
      <c r="D8191" s="1">
        <v>1.0</v>
      </c>
      <c r="E8191" s="1">
        <v>25327.0</v>
      </c>
      <c r="F8191" s="10">
        <f t="shared" si="1"/>
        <v>1</v>
      </c>
      <c r="G8191" s="10">
        <f t="array" ref="G8191">index('Player ID'!C:C,match(E8191,'Player ID'!B:B,0))</f>
        <v>682842</v>
      </c>
    </row>
    <row r="8192">
      <c r="A8192" s="76">
        <v>45815.0</v>
      </c>
      <c r="B8192" s="1" t="s">
        <v>112</v>
      </c>
      <c r="C8192" s="1" t="s">
        <v>14</v>
      </c>
      <c r="D8192" s="1">
        <v>1.0</v>
      </c>
      <c r="E8192" s="1">
        <v>25376.0</v>
      </c>
      <c r="F8192" s="10">
        <f t="shared" si="1"/>
        <v>1</v>
      </c>
      <c r="G8192" s="10">
        <f t="array" ref="G8192">index('Player ID'!C:C,match(E8192,'Player ID'!B:B,0))</f>
        <v>683232</v>
      </c>
    </row>
    <row r="8193">
      <c r="A8193" s="76">
        <v>45815.0</v>
      </c>
      <c r="B8193" s="1" t="s">
        <v>418</v>
      </c>
      <c r="C8193" s="1" t="s">
        <v>14</v>
      </c>
      <c r="D8193" s="1">
        <v>1.0</v>
      </c>
      <c r="E8193" s="1">
        <v>27517.0</v>
      </c>
      <c r="F8193" s="10">
        <f t="shared" si="1"/>
        <v>1</v>
      </c>
      <c r="G8193" s="10">
        <f t="array" ref="G8193">index('Player ID'!C:C,match(E8193,'Player ID'!B:B,0))</f>
        <v>657649</v>
      </c>
    </row>
    <row r="8194">
      <c r="A8194" s="76">
        <v>45815.0</v>
      </c>
      <c r="B8194" s="1" t="s">
        <v>498</v>
      </c>
      <c r="C8194" s="1" t="s">
        <v>26</v>
      </c>
      <c r="D8194" s="1">
        <v>0.0</v>
      </c>
      <c r="E8194" s="1">
        <v>31616.0</v>
      </c>
      <c r="F8194" s="10">
        <f t="shared" si="1"/>
        <v>0</v>
      </c>
      <c r="G8194" s="10" t="str">
        <f t="array" ref="G8194">index('Player ID'!C:C,match(E8194,'Player ID'!B:B,0))</f>
        <v>#N/A</v>
      </c>
    </row>
    <row r="8195">
      <c r="A8195" s="76">
        <v>45815.0</v>
      </c>
      <c r="B8195" s="1" t="s">
        <v>154</v>
      </c>
      <c r="C8195" s="1" t="s">
        <v>25</v>
      </c>
      <c r="D8195" s="1">
        <v>1.0</v>
      </c>
      <c r="E8195" s="1">
        <v>3096.0</v>
      </c>
      <c r="F8195" s="10">
        <f t="shared" si="1"/>
        <v>1</v>
      </c>
      <c r="G8195" s="10">
        <f t="array" ref="G8195">index('Player ID'!C:C,match(E8195,'Player ID'!B:B,0))</f>
        <v>445276</v>
      </c>
    </row>
    <row r="8196">
      <c r="A8196" s="76">
        <v>45815.0</v>
      </c>
      <c r="B8196" s="1" t="s">
        <v>660</v>
      </c>
      <c r="C8196" s="1" t="s">
        <v>25</v>
      </c>
      <c r="D8196" s="1">
        <v>0.1</v>
      </c>
      <c r="E8196" s="1">
        <v>11804.0</v>
      </c>
      <c r="F8196" s="10">
        <f t="shared" si="1"/>
        <v>0.3333333333</v>
      </c>
      <c r="G8196" s="10">
        <f t="array" ref="G8196">index('Player ID'!C:C,match(E8196,'Player ID'!B:B,0))</f>
        <v>593576</v>
      </c>
    </row>
    <row r="8197">
      <c r="A8197" s="76">
        <v>45815.0</v>
      </c>
      <c r="B8197" s="1" t="s">
        <v>272</v>
      </c>
      <c r="C8197" s="1" t="s">
        <v>37</v>
      </c>
      <c r="D8197" s="1">
        <v>5.0</v>
      </c>
      <c r="E8197" s="1">
        <v>15689.0</v>
      </c>
      <c r="F8197" s="10">
        <f t="shared" si="1"/>
        <v>5</v>
      </c>
      <c r="G8197" s="10">
        <f t="array" ref="G8197">index('Player ID'!C:C,match(E8197,'Player ID'!B:B,0))</f>
        <v>622491</v>
      </c>
    </row>
    <row r="8198">
      <c r="A8198" s="76">
        <v>45815.0</v>
      </c>
      <c r="B8198" s="1" t="s">
        <v>108</v>
      </c>
      <c r="C8198" s="1" t="s">
        <v>37</v>
      </c>
      <c r="D8198" s="1">
        <v>2.1</v>
      </c>
      <c r="E8198" s="1">
        <v>17948.0</v>
      </c>
      <c r="F8198" s="10">
        <f t="shared" si="1"/>
        <v>2.333333333</v>
      </c>
      <c r="G8198" s="10">
        <f t="array" ref="G8198">index('Player ID'!C:C,match(E8198,'Player ID'!B:B,0))</f>
        <v>663423</v>
      </c>
    </row>
    <row r="8199">
      <c r="A8199" s="76">
        <v>45815.0</v>
      </c>
      <c r="B8199" s="1" t="s">
        <v>291</v>
      </c>
      <c r="C8199" s="1" t="s">
        <v>25</v>
      </c>
      <c r="D8199" s="1">
        <v>0.2</v>
      </c>
      <c r="E8199" s="1">
        <v>17968.0</v>
      </c>
      <c r="F8199" s="10">
        <f t="shared" si="1"/>
        <v>0.6666666667</v>
      </c>
      <c r="G8199" s="10">
        <f t="array" ref="G8199">index('Player ID'!C:C,match(E8199,'Player ID'!B:B,0))</f>
        <v>656271</v>
      </c>
    </row>
    <row r="8200">
      <c r="A8200" s="76">
        <v>45815.0</v>
      </c>
      <c r="B8200" s="1" t="s">
        <v>283</v>
      </c>
      <c r="C8200" s="1" t="s">
        <v>25</v>
      </c>
      <c r="D8200" s="1">
        <v>1.2</v>
      </c>
      <c r="E8200" s="1">
        <v>21205.0</v>
      </c>
      <c r="F8200" s="10">
        <f t="shared" si="1"/>
        <v>1.666666667</v>
      </c>
      <c r="G8200" s="10">
        <f t="array" ref="G8200">index('Player ID'!C:C,match(E8200,'Player ID'!B:B,0))</f>
        <v>641401</v>
      </c>
    </row>
    <row r="8201">
      <c r="A8201" s="76">
        <v>45815.0</v>
      </c>
      <c r="B8201" s="1" t="s">
        <v>846</v>
      </c>
      <c r="C8201" s="1" t="s">
        <v>37</v>
      </c>
      <c r="D8201" s="1">
        <v>0.2</v>
      </c>
      <c r="E8201" s="1">
        <v>21549.0</v>
      </c>
      <c r="F8201" s="10">
        <f t="shared" si="1"/>
        <v>0.6666666667</v>
      </c>
      <c r="G8201" s="10" t="str">
        <f t="array" ref="G8201">index('Player ID'!C:C,match(E8201,'Player ID'!B:B,0))</f>
        <v>#N/A</v>
      </c>
    </row>
    <row r="8202">
      <c r="A8202" s="76">
        <v>45815.0</v>
      </c>
      <c r="B8202" s="1" t="s">
        <v>385</v>
      </c>
      <c r="C8202" s="1" t="s">
        <v>25</v>
      </c>
      <c r="D8202" s="1">
        <v>1.0</v>
      </c>
      <c r="E8202" s="1">
        <v>25420.0</v>
      </c>
      <c r="F8202" s="10">
        <f t="shared" si="1"/>
        <v>1</v>
      </c>
      <c r="G8202" s="10">
        <f t="array" ref="G8202">index('Player ID'!C:C,match(E8202,'Player ID'!B:B,0))</f>
        <v>666171</v>
      </c>
    </row>
    <row r="8203">
      <c r="A8203" s="76">
        <v>45815.0</v>
      </c>
      <c r="B8203" s="1" t="s">
        <v>24</v>
      </c>
      <c r="C8203" s="1" t="s">
        <v>25</v>
      </c>
      <c r="D8203" s="1">
        <v>1.0</v>
      </c>
      <c r="E8203" s="1">
        <v>27468.0</v>
      </c>
      <c r="F8203" s="10">
        <f t="shared" si="1"/>
        <v>1</v>
      </c>
      <c r="G8203" s="10">
        <f t="array" ref="G8203">index('Player ID'!C:C,match(E8203,'Player ID'!B:B,0))</f>
        <v>672282</v>
      </c>
    </row>
    <row r="8204">
      <c r="A8204" s="76">
        <v>45815.0</v>
      </c>
      <c r="B8204" s="1" t="s">
        <v>521</v>
      </c>
      <c r="C8204" s="1" t="s">
        <v>25</v>
      </c>
      <c r="D8204" s="1">
        <v>3.1</v>
      </c>
      <c r="E8204" s="1">
        <v>27688.0</v>
      </c>
      <c r="F8204" s="10">
        <f t="shared" si="1"/>
        <v>3.333333333</v>
      </c>
      <c r="G8204" s="10">
        <f t="array" ref="G8204">index('Player ID'!C:C,match(E8204,'Player ID'!B:B,0))</f>
        <v>686799</v>
      </c>
    </row>
    <row r="8205">
      <c r="A8205" s="76">
        <v>45815.0</v>
      </c>
      <c r="B8205" s="1" t="s">
        <v>269</v>
      </c>
      <c r="C8205" s="1" t="s">
        <v>51</v>
      </c>
      <c r="D8205" s="1">
        <v>6.0</v>
      </c>
      <c r="E8205" s="1">
        <v>13649.0</v>
      </c>
      <c r="F8205" s="10">
        <f t="shared" si="1"/>
        <v>6</v>
      </c>
      <c r="G8205" s="10">
        <f t="array" ref="G8205">index('Player ID'!C:C,match(E8205,'Player ID'!B:B,0))</f>
        <v>605280</v>
      </c>
    </row>
    <row r="8206">
      <c r="A8206" s="76">
        <v>45815.0</v>
      </c>
      <c r="B8206" s="1" t="s">
        <v>746</v>
      </c>
      <c r="C8206" s="1" t="s">
        <v>75</v>
      </c>
      <c r="D8206" s="1">
        <v>5.0</v>
      </c>
      <c r="E8206" s="1">
        <v>15038.0</v>
      </c>
      <c r="F8206" s="10">
        <f t="shared" si="1"/>
        <v>5</v>
      </c>
      <c r="G8206" s="10">
        <f t="array" ref="G8206">index('Player ID'!C:C,match(E8206,'Player ID'!B:B,0))</f>
        <v>608566</v>
      </c>
    </row>
    <row r="8207">
      <c r="A8207" s="76">
        <v>45815.0</v>
      </c>
      <c r="B8207" s="1" t="s">
        <v>826</v>
      </c>
      <c r="C8207" s="1" t="s">
        <v>51</v>
      </c>
      <c r="D8207" s="1">
        <v>1.0</v>
      </c>
      <c r="E8207" s="1">
        <v>17169.0</v>
      </c>
      <c r="F8207" s="10">
        <f t="shared" si="1"/>
        <v>1</v>
      </c>
      <c r="G8207" s="10">
        <f t="array" ref="G8207">index('Player ID'!C:C,match(E8207,'Player ID'!B:B,0))</f>
        <v>620454</v>
      </c>
    </row>
    <row r="8208">
      <c r="A8208" s="76">
        <v>45815.0</v>
      </c>
      <c r="B8208" s="1" t="s">
        <v>451</v>
      </c>
      <c r="C8208" s="1" t="s">
        <v>75</v>
      </c>
      <c r="D8208" s="1">
        <v>1.2</v>
      </c>
      <c r="E8208" s="1">
        <v>17556.0</v>
      </c>
      <c r="F8208" s="10">
        <f t="shared" si="1"/>
        <v>1.666666667</v>
      </c>
      <c r="G8208" s="10">
        <f t="array" ref="G8208">index('Player ID'!C:C,match(E8208,'Player ID'!B:B,0))</f>
        <v>623474</v>
      </c>
    </row>
    <row r="8209">
      <c r="A8209" s="76">
        <v>45815.0</v>
      </c>
      <c r="B8209" s="1" t="s">
        <v>305</v>
      </c>
      <c r="C8209" s="1" t="s">
        <v>75</v>
      </c>
      <c r="D8209" s="1">
        <v>1.1</v>
      </c>
      <c r="E8209" s="1">
        <v>22200.0</v>
      </c>
      <c r="F8209" s="10">
        <f t="shared" si="1"/>
        <v>1.333333333</v>
      </c>
      <c r="G8209" s="10">
        <f t="array" ref="G8209">index('Player ID'!C:C,match(E8209,'Player ID'!B:B,0))</f>
        <v>669020</v>
      </c>
    </row>
    <row r="8210">
      <c r="A8210" s="76">
        <v>45815.0</v>
      </c>
      <c r="B8210" s="1" t="s">
        <v>468</v>
      </c>
      <c r="C8210" s="1" t="s">
        <v>75</v>
      </c>
      <c r="D8210" s="1">
        <v>1.0</v>
      </c>
      <c r="E8210" s="1">
        <v>23237.0</v>
      </c>
      <c r="F8210" s="10">
        <f t="shared" si="1"/>
        <v>1</v>
      </c>
      <c r="G8210" s="10">
        <f t="array" ref="G8210">index('Player ID'!C:C,match(E8210,'Player ID'!B:B,0))</f>
        <v>675848</v>
      </c>
    </row>
    <row r="8211">
      <c r="A8211" s="76">
        <v>45815.0</v>
      </c>
      <c r="B8211" s="1" t="s">
        <v>712</v>
      </c>
      <c r="C8211" s="1" t="s">
        <v>51</v>
      </c>
      <c r="D8211" s="1">
        <v>2.0</v>
      </c>
      <c r="E8211" s="1">
        <v>23313.0</v>
      </c>
      <c r="F8211" s="10">
        <f t="shared" si="1"/>
        <v>2</v>
      </c>
      <c r="G8211" s="10">
        <f t="array" ref="G8211">index('Player ID'!C:C,match(E8211,'Player ID'!B:B,0))</f>
        <v>676130</v>
      </c>
    </row>
    <row r="8212">
      <c r="A8212" s="76">
        <v>45815.0</v>
      </c>
      <c r="B8212" s="1" t="s">
        <v>474</v>
      </c>
      <c r="C8212" s="1" t="s">
        <v>68</v>
      </c>
      <c r="D8212" s="1">
        <v>2.1</v>
      </c>
      <c r="E8212" s="1">
        <v>4676.0</v>
      </c>
      <c r="F8212" s="10">
        <f t="shared" si="1"/>
        <v>2.333333333</v>
      </c>
      <c r="G8212" s="10">
        <f t="array" ref="G8212">index('Player ID'!C:C,match(E8212,'Player ID'!B:B,0))</f>
        <v>450203</v>
      </c>
    </row>
    <row r="8213">
      <c r="A8213" s="76">
        <v>45815.0</v>
      </c>
      <c r="B8213" s="1" t="s">
        <v>436</v>
      </c>
      <c r="C8213" s="1" t="s">
        <v>52</v>
      </c>
      <c r="D8213" s="1">
        <v>0.1</v>
      </c>
      <c r="E8213" s="1">
        <v>12791.0</v>
      </c>
      <c r="F8213" s="10">
        <f t="shared" si="1"/>
        <v>0.3333333333</v>
      </c>
      <c r="G8213" s="10" t="str">
        <f t="array" ref="G8213">index('Player ID'!C:C,match(E8213,'Player ID'!B:B,0))</f>
        <v>#N/A</v>
      </c>
    </row>
    <row r="8214">
      <c r="A8214" s="76">
        <v>45815.0</v>
      </c>
      <c r="B8214" s="1" t="s">
        <v>48</v>
      </c>
      <c r="C8214" s="1" t="s">
        <v>68</v>
      </c>
      <c r="D8214" s="1">
        <v>1.0</v>
      </c>
      <c r="E8214" s="1">
        <v>12828.0</v>
      </c>
      <c r="F8214" s="10">
        <f t="shared" si="1"/>
        <v>1</v>
      </c>
      <c r="G8214" s="10" t="str">
        <f t="array" ref="G8214">index('Player ID'!C:C,match(E8214,'Player ID'!B:B,0))</f>
        <v>#N/A</v>
      </c>
    </row>
    <row r="8215">
      <c r="A8215" s="76">
        <v>45815.0</v>
      </c>
      <c r="B8215" s="1" t="s">
        <v>723</v>
      </c>
      <c r="C8215" s="1" t="s">
        <v>68</v>
      </c>
      <c r="D8215" s="1">
        <v>2.1</v>
      </c>
      <c r="E8215" s="1">
        <v>13528.0</v>
      </c>
      <c r="F8215" s="10">
        <f t="shared" si="1"/>
        <v>2.333333333</v>
      </c>
      <c r="G8215" s="10">
        <f t="array" ref="G8215">index('Player ID'!C:C,match(E8215,'Player ID'!B:B,0))</f>
        <v>621199</v>
      </c>
    </row>
    <row r="8216">
      <c r="A8216" s="76">
        <v>45815.0</v>
      </c>
      <c r="B8216" s="1" t="s">
        <v>281</v>
      </c>
      <c r="C8216" s="1" t="s">
        <v>52</v>
      </c>
      <c r="D8216" s="1">
        <v>5.2</v>
      </c>
      <c r="E8216" s="1">
        <v>15890.0</v>
      </c>
      <c r="F8216" s="10">
        <f t="shared" si="1"/>
        <v>5.666666667</v>
      </c>
      <c r="G8216" s="10">
        <f t="array" ref="G8216">index('Player ID'!C:C,match(E8216,'Player ID'!B:B,0))</f>
        <v>622663</v>
      </c>
    </row>
    <row r="8217">
      <c r="A8217" s="76">
        <v>45815.0</v>
      </c>
      <c r="B8217" s="1" t="s">
        <v>639</v>
      </c>
      <c r="C8217" s="1" t="s">
        <v>68</v>
      </c>
      <c r="D8217" s="1">
        <v>1.0</v>
      </c>
      <c r="E8217" s="1">
        <v>19249.0</v>
      </c>
      <c r="F8217" s="10">
        <f t="shared" si="1"/>
        <v>1</v>
      </c>
      <c r="G8217" s="10">
        <f t="array" ref="G8217">index('Player ID'!C:C,match(E8217,'Player ID'!B:B,0))</f>
        <v>622554</v>
      </c>
    </row>
    <row r="8218">
      <c r="A8218" s="76">
        <v>45815.0</v>
      </c>
      <c r="B8218" s="1" t="s">
        <v>231</v>
      </c>
      <c r="C8218" s="1" t="s">
        <v>68</v>
      </c>
      <c r="D8218" s="1">
        <v>0.1</v>
      </c>
      <c r="E8218" s="1">
        <v>19362.0</v>
      </c>
      <c r="F8218" s="10">
        <f t="shared" si="1"/>
        <v>0.3333333333</v>
      </c>
      <c r="G8218" s="10">
        <f t="array" ref="G8218">index('Player ID'!C:C,match(E8218,'Player ID'!B:B,0))</f>
        <v>669211</v>
      </c>
    </row>
    <row r="8219">
      <c r="A8219" s="76">
        <v>45815.0</v>
      </c>
      <c r="B8219" s="1" t="s">
        <v>433</v>
      </c>
      <c r="C8219" s="1" t="s">
        <v>68</v>
      </c>
      <c r="D8219" s="1">
        <v>1.0</v>
      </c>
      <c r="E8219" s="1">
        <v>19677.0</v>
      </c>
      <c r="F8219" s="10">
        <f t="shared" si="1"/>
        <v>1</v>
      </c>
      <c r="G8219" s="10">
        <f t="array" ref="G8219">index('Player ID'!C:C,match(E8219,'Player ID'!B:B,0))</f>
        <v>642397</v>
      </c>
    </row>
    <row r="8220">
      <c r="A8220" s="76">
        <v>45815.0</v>
      </c>
      <c r="B8220" s="1" t="s">
        <v>698</v>
      </c>
      <c r="C8220" s="1" t="s">
        <v>68</v>
      </c>
      <c r="D8220" s="1">
        <v>1.0</v>
      </c>
      <c r="E8220" s="1">
        <v>20666.0</v>
      </c>
      <c r="F8220" s="10">
        <f t="shared" si="1"/>
        <v>1</v>
      </c>
      <c r="G8220" s="10">
        <f t="array" ref="G8220">index('Player ID'!C:C,match(E8220,'Player ID'!B:B,0))</f>
        <v>642585</v>
      </c>
    </row>
    <row r="8221">
      <c r="A8221" s="76">
        <v>45815.0</v>
      </c>
      <c r="B8221" s="1" t="s">
        <v>227</v>
      </c>
      <c r="C8221" s="1" t="s">
        <v>52</v>
      </c>
      <c r="D8221" s="1">
        <v>3.0</v>
      </c>
      <c r="E8221" s="1">
        <v>21520.0</v>
      </c>
      <c r="F8221" s="10">
        <f t="shared" si="1"/>
        <v>3</v>
      </c>
      <c r="G8221" s="10">
        <f t="array" ref="G8221">index('Player ID'!C:C,match(E8221,'Player ID'!B:B,0))</f>
        <v>663687</v>
      </c>
    </row>
    <row r="8222">
      <c r="A8222" s="76">
        <v>45816.0</v>
      </c>
      <c r="B8222" s="1" t="s">
        <v>262</v>
      </c>
      <c r="C8222" s="1" t="s">
        <v>36</v>
      </c>
      <c r="D8222" s="1">
        <v>0.2</v>
      </c>
      <c r="E8222" s="1">
        <v>20116.0</v>
      </c>
      <c r="F8222" s="10">
        <f t="shared" si="1"/>
        <v>0.6666666667</v>
      </c>
      <c r="G8222" s="10">
        <f t="array" ref="G8222">index('Player ID'!C:C,match(E8222,'Player ID'!B:B,0))</f>
        <v>676534</v>
      </c>
    </row>
    <row r="8223">
      <c r="A8223" s="76">
        <v>45816.0</v>
      </c>
      <c r="B8223" s="1" t="s">
        <v>400</v>
      </c>
      <c r="C8223" s="1" t="s">
        <v>54</v>
      </c>
      <c r="D8223" s="1">
        <v>2.0</v>
      </c>
      <c r="E8223" s="1">
        <v>20539.0</v>
      </c>
      <c r="F8223" s="10">
        <f t="shared" si="1"/>
        <v>2</v>
      </c>
      <c r="G8223" s="10">
        <f t="array" ref="G8223">index('Player ID'!C:C,match(E8223,'Player ID'!B:B,0))</f>
        <v>670955</v>
      </c>
    </row>
    <row r="8224">
      <c r="A8224" s="76">
        <v>45816.0</v>
      </c>
      <c r="B8224" s="1" t="s">
        <v>322</v>
      </c>
      <c r="C8224" s="1" t="s">
        <v>36</v>
      </c>
      <c r="D8224" s="1">
        <v>3.1</v>
      </c>
      <c r="E8224" s="1">
        <v>23899.0</v>
      </c>
      <c r="F8224" s="10">
        <f t="shared" si="1"/>
        <v>3.333333333</v>
      </c>
      <c r="G8224" s="10">
        <f t="array" ref="G8224">index('Player ID'!C:C,match(E8224,'Player ID'!B:B,0))</f>
        <v>678368</v>
      </c>
    </row>
    <row r="8225">
      <c r="A8225" s="76">
        <v>45816.0</v>
      </c>
      <c r="B8225" s="1" t="s">
        <v>123</v>
      </c>
      <c r="C8225" s="1" t="s">
        <v>36</v>
      </c>
      <c r="D8225" s="1">
        <v>1.0</v>
      </c>
      <c r="E8225" s="1">
        <v>24094.0</v>
      </c>
      <c r="F8225" s="10">
        <f t="shared" si="1"/>
        <v>1</v>
      </c>
      <c r="G8225" s="10">
        <f t="array" ref="G8225">index('Player ID'!C:C,match(E8225,'Player ID'!B:B,0))</f>
        <v>678692</v>
      </c>
    </row>
    <row r="8226">
      <c r="A8226" s="76">
        <v>45816.0</v>
      </c>
      <c r="B8226" s="1" t="s">
        <v>97</v>
      </c>
      <c r="C8226" s="1" t="s">
        <v>54</v>
      </c>
      <c r="D8226" s="1">
        <v>6.0</v>
      </c>
      <c r="E8226" s="1">
        <v>25385.0</v>
      </c>
      <c r="F8226" s="10">
        <f t="shared" si="1"/>
        <v>6</v>
      </c>
      <c r="G8226" s="10">
        <f t="array" ref="G8226">index('Player ID'!C:C,match(E8226,'Player ID'!B:B,0))</f>
        <v>656876</v>
      </c>
    </row>
    <row r="8227">
      <c r="A8227" s="76">
        <v>45816.0</v>
      </c>
      <c r="B8227" s="1" t="s">
        <v>110</v>
      </c>
      <c r="C8227" s="1" t="s">
        <v>54</v>
      </c>
      <c r="D8227" s="1">
        <v>0.2</v>
      </c>
      <c r="E8227" s="1">
        <v>25679.0</v>
      </c>
      <c r="F8227" s="10">
        <f t="shared" si="1"/>
        <v>0.6666666667</v>
      </c>
      <c r="G8227" s="10">
        <f t="array" ref="G8227">index('Player ID'!C:C,match(E8227,'Player ID'!B:B,0))</f>
        <v>687330</v>
      </c>
    </row>
    <row r="8228">
      <c r="A8228" s="76">
        <v>45816.0</v>
      </c>
      <c r="B8228" s="1" t="s">
        <v>676</v>
      </c>
      <c r="C8228" s="1" t="s">
        <v>36</v>
      </c>
      <c r="D8228" s="1">
        <v>2.0</v>
      </c>
      <c r="E8228" s="1">
        <v>27453.0</v>
      </c>
      <c r="F8228" s="10">
        <f t="shared" si="1"/>
        <v>2</v>
      </c>
      <c r="G8228" s="10">
        <f t="array" ref="G8228">index('Player ID'!C:C,match(E8228,'Player ID'!B:B,0))</f>
        <v>685107</v>
      </c>
    </row>
    <row r="8229">
      <c r="A8229" s="76">
        <v>45816.0</v>
      </c>
      <c r="B8229" s="1" t="s">
        <v>334</v>
      </c>
      <c r="C8229" s="1" t="s">
        <v>54</v>
      </c>
      <c r="D8229" s="1">
        <v>0.1</v>
      </c>
      <c r="E8229" s="1">
        <v>29770.0</v>
      </c>
      <c r="F8229" s="10">
        <f t="shared" si="1"/>
        <v>0.3333333333</v>
      </c>
      <c r="G8229" s="10">
        <f t="array" ref="G8229">index('Player ID'!C:C,match(E8229,'Player ID'!B:B,0))</f>
        <v>682254</v>
      </c>
    </row>
    <row r="8230">
      <c r="A8230" s="76">
        <v>45816.0</v>
      </c>
      <c r="B8230" s="1" t="s">
        <v>266</v>
      </c>
      <c r="C8230" s="1" t="s">
        <v>36</v>
      </c>
      <c r="D8230" s="1">
        <v>1.0</v>
      </c>
      <c r="E8230" s="1">
        <v>31815.0</v>
      </c>
      <c r="F8230" s="10">
        <f t="shared" si="1"/>
        <v>1</v>
      </c>
      <c r="G8230" s="10">
        <f t="array" ref="G8230">index('Player ID'!C:C,match(E8230,'Player ID'!B:B,0))</f>
        <v>806188</v>
      </c>
    </row>
    <row r="8231">
      <c r="A8231" s="76">
        <v>45816.0</v>
      </c>
      <c r="B8231" s="1" t="s">
        <v>342</v>
      </c>
      <c r="C8231" s="1" t="s">
        <v>26</v>
      </c>
      <c r="D8231" s="1">
        <v>1.0</v>
      </c>
      <c r="E8231" s="1">
        <v>11861.0</v>
      </c>
      <c r="F8231" s="10">
        <f t="shared" si="1"/>
        <v>1</v>
      </c>
      <c r="G8231" s="10">
        <f t="array" ref="G8231">index('Player ID'!C:C,match(E8231,'Player ID'!B:B,0))</f>
        <v>592094</v>
      </c>
    </row>
    <row r="8232">
      <c r="A8232" s="76">
        <v>45816.0</v>
      </c>
      <c r="B8232" s="1" t="s">
        <v>404</v>
      </c>
      <c r="C8232" s="1" t="s">
        <v>26</v>
      </c>
      <c r="D8232" s="1">
        <v>0.1</v>
      </c>
      <c r="E8232" s="1">
        <v>14295.0</v>
      </c>
      <c r="F8232" s="10">
        <f t="shared" si="1"/>
        <v>0.3333333333</v>
      </c>
      <c r="G8232" s="10">
        <f t="array" ref="G8232">index('Player ID'!C:C,match(E8232,'Player ID'!B:B,0))</f>
        <v>593974</v>
      </c>
    </row>
    <row r="8233">
      <c r="A8233" s="76">
        <v>45816.0</v>
      </c>
      <c r="B8233" s="1" t="s">
        <v>724</v>
      </c>
      <c r="C8233" s="1" t="s">
        <v>14</v>
      </c>
      <c r="D8233" s="1">
        <v>1.0</v>
      </c>
      <c r="E8233" s="1">
        <v>15094.0</v>
      </c>
      <c r="F8233" s="10">
        <f t="shared" si="1"/>
        <v>1</v>
      </c>
      <c r="G8233" s="10">
        <f t="array" ref="G8233">index('Player ID'!C:C,match(E8233,'Player ID'!B:B,0))</f>
        <v>642239</v>
      </c>
    </row>
    <row r="8234">
      <c r="A8234" s="76">
        <v>45816.0</v>
      </c>
      <c r="B8234" s="1" t="s">
        <v>180</v>
      </c>
      <c r="C8234" s="1" t="s">
        <v>14</v>
      </c>
      <c r="D8234" s="1">
        <v>6.0</v>
      </c>
      <c r="E8234" s="1">
        <v>18679.0</v>
      </c>
      <c r="F8234" s="10">
        <f t="shared" si="1"/>
        <v>6</v>
      </c>
      <c r="G8234" s="10">
        <f t="array" ref="G8234">index('Player ID'!C:C,match(E8234,'Player ID'!B:B,0))</f>
        <v>642547</v>
      </c>
    </row>
    <row r="8235">
      <c r="A8235" s="76">
        <v>45816.0</v>
      </c>
      <c r="B8235" s="1" t="s">
        <v>797</v>
      </c>
      <c r="C8235" s="1" t="s">
        <v>26</v>
      </c>
      <c r="D8235" s="1">
        <v>0.2</v>
      </c>
      <c r="E8235" s="1">
        <v>22253.0</v>
      </c>
      <c r="F8235" s="10">
        <f t="shared" si="1"/>
        <v>0.6666666667</v>
      </c>
      <c r="G8235" s="10">
        <f t="array" ref="G8235">index('Player ID'!C:C,match(E8235,'Player ID'!B:B,0))</f>
        <v>669308</v>
      </c>
    </row>
    <row r="8236">
      <c r="A8236" s="76">
        <v>45816.0</v>
      </c>
      <c r="B8236" s="1" t="s">
        <v>200</v>
      </c>
      <c r="C8236" s="1" t="s">
        <v>14</v>
      </c>
      <c r="D8236" s="1">
        <v>2.0</v>
      </c>
      <c r="E8236" s="1">
        <v>23550.0</v>
      </c>
      <c r="F8236" s="10">
        <f t="shared" si="1"/>
        <v>2</v>
      </c>
      <c r="G8236" s="10" t="str">
        <f t="array" ref="G8236">index('Player ID'!C:C,match(E8236,'Player ID'!B:B,0))</f>
        <v>#N/A</v>
      </c>
    </row>
    <row r="8237">
      <c r="A8237" s="76">
        <v>45816.0</v>
      </c>
      <c r="B8237" s="1" t="s">
        <v>224</v>
      </c>
      <c r="C8237" s="1" t="s">
        <v>26</v>
      </c>
      <c r="D8237" s="1">
        <v>5.1</v>
      </c>
      <c r="E8237" s="1">
        <v>29863.0</v>
      </c>
      <c r="F8237" s="10">
        <f t="shared" si="1"/>
        <v>5.333333333</v>
      </c>
      <c r="G8237" s="10">
        <f t="array" ref="G8237">index('Player ID'!C:C,match(E8237,'Player ID'!B:B,0))</f>
        <v>686701</v>
      </c>
    </row>
    <row r="8238">
      <c r="A8238" s="76">
        <v>45816.0</v>
      </c>
      <c r="B8238" s="1" t="s">
        <v>81</v>
      </c>
      <c r="C8238" s="1" t="s">
        <v>26</v>
      </c>
      <c r="D8238" s="1">
        <v>1.0</v>
      </c>
      <c r="E8238" s="1">
        <v>30115.0</v>
      </c>
      <c r="F8238" s="10">
        <f t="shared" si="1"/>
        <v>1</v>
      </c>
      <c r="G8238" s="10">
        <f t="array" ref="G8238">index('Player ID'!C:C,match(E8238,'Player ID'!B:B,0))</f>
        <v>663158</v>
      </c>
    </row>
    <row r="8239">
      <c r="A8239" s="76">
        <v>45816.0</v>
      </c>
      <c r="B8239" s="1" t="s">
        <v>284</v>
      </c>
      <c r="C8239" s="1" t="s">
        <v>26</v>
      </c>
      <c r="D8239" s="1">
        <v>0.2</v>
      </c>
      <c r="E8239" s="1">
        <v>33826.0</v>
      </c>
      <c r="F8239" s="10">
        <f t="shared" si="1"/>
        <v>0.6666666667</v>
      </c>
      <c r="G8239" s="10">
        <f t="array" ref="G8239">index('Player ID'!C:C,match(E8239,'Player ID'!B:B,0))</f>
        <v>673513</v>
      </c>
    </row>
    <row r="8240">
      <c r="A8240" s="76">
        <v>45816.0</v>
      </c>
      <c r="B8240" s="1" t="s">
        <v>230</v>
      </c>
      <c r="C8240" s="1" t="s">
        <v>22</v>
      </c>
      <c r="D8240" s="1">
        <v>1.0</v>
      </c>
      <c r="E8240" s="1">
        <v>4301.0</v>
      </c>
      <c r="F8240" s="10">
        <f t="shared" si="1"/>
        <v>1</v>
      </c>
      <c r="G8240" s="10">
        <f t="array" ref="G8240">index('Player ID'!C:C,match(E8240,'Player ID'!B:B,0))</f>
        <v>458677</v>
      </c>
    </row>
    <row r="8241">
      <c r="A8241" s="76">
        <v>45816.0</v>
      </c>
      <c r="B8241" s="1" t="s">
        <v>769</v>
      </c>
      <c r="C8241" s="1" t="s">
        <v>22</v>
      </c>
      <c r="D8241" s="1">
        <v>0.2</v>
      </c>
      <c r="E8241" s="1">
        <v>6576.0</v>
      </c>
      <c r="F8241" s="10">
        <f t="shared" si="1"/>
        <v>0.6666666667</v>
      </c>
      <c r="G8241" s="10">
        <f t="array" ref="G8241">index('Player ID'!C:C,match(E8241,'Player ID'!B:B,0))</f>
        <v>476594</v>
      </c>
    </row>
    <row r="8242">
      <c r="A8242" s="76">
        <v>45816.0</v>
      </c>
      <c r="B8242" s="1" t="s">
        <v>422</v>
      </c>
      <c r="C8242" s="1" t="s">
        <v>58</v>
      </c>
      <c r="D8242" s="1">
        <v>0.2</v>
      </c>
      <c r="E8242" s="1">
        <v>7048.0</v>
      </c>
      <c r="F8242" s="10">
        <f t="shared" si="1"/>
        <v>0.6666666667</v>
      </c>
      <c r="G8242" s="10">
        <f t="array" ref="G8242">index('Player ID'!C:C,match(E8242,'Player ID'!B:B,0))</f>
        <v>518585</v>
      </c>
    </row>
    <row r="8243">
      <c r="A8243" s="76">
        <v>45816.0</v>
      </c>
      <c r="B8243" s="1" t="s">
        <v>41</v>
      </c>
      <c r="C8243" s="1" t="s">
        <v>22</v>
      </c>
      <c r="D8243" s="1">
        <v>0.1</v>
      </c>
      <c r="E8243" s="1">
        <v>10233.0</v>
      </c>
      <c r="F8243" s="10">
        <f t="shared" si="1"/>
        <v>0.3333333333</v>
      </c>
      <c r="G8243" s="10">
        <f t="array" ref="G8243">index('Player ID'!C:C,match(E8243,'Player ID'!B:B,0))</f>
        <v>547973</v>
      </c>
    </row>
    <row r="8244">
      <c r="A8244" s="76">
        <v>45816.0</v>
      </c>
      <c r="B8244" s="1" t="s">
        <v>635</v>
      </c>
      <c r="C8244" s="1" t="s">
        <v>58</v>
      </c>
      <c r="D8244" s="1">
        <v>5.0</v>
      </c>
      <c r="E8244" s="1">
        <v>16137.0</v>
      </c>
      <c r="F8244" s="10">
        <f t="shared" si="1"/>
        <v>5</v>
      </c>
      <c r="G8244" s="10">
        <f t="array" ref="G8244">index('Player ID'!C:C,match(E8244,'Player ID'!B:B,0))</f>
        <v>607074</v>
      </c>
    </row>
    <row r="8245">
      <c r="A8245" s="76">
        <v>45816.0</v>
      </c>
      <c r="B8245" s="1" t="s">
        <v>69</v>
      </c>
      <c r="C8245" s="1" t="s">
        <v>58</v>
      </c>
      <c r="D8245" s="1">
        <v>0.1</v>
      </c>
      <c r="E8245" s="1">
        <v>16814.0</v>
      </c>
      <c r="F8245" s="10">
        <f t="shared" si="1"/>
        <v>0.3333333333</v>
      </c>
      <c r="G8245" s="10">
        <f t="array" ref="G8245">index('Player ID'!C:C,match(E8245,'Player ID'!B:B,0))</f>
        <v>657612</v>
      </c>
    </row>
    <row r="8246">
      <c r="A8246" s="76">
        <v>45816.0</v>
      </c>
      <c r="B8246" s="1" t="s">
        <v>493</v>
      </c>
      <c r="C8246" s="1" t="s">
        <v>22</v>
      </c>
      <c r="D8246" s="1">
        <v>0.2</v>
      </c>
      <c r="E8246" s="1">
        <v>16835.0</v>
      </c>
      <c r="F8246" s="10">
        <f t="shared" si="1"/>
        <v>0.6666666667</v>
      </c>
      <c r="G8246" s="10">
        <f t="array" ref="G8246">index('Player ID'!C:C,match(E8246,'Player ID'!B:B,0))</f>
        <v>657514</v>
      </c>
    </row>
    <row r="8247">
      <c r="A8247" s="76">
        <v>45816.0</v>
      </c>
      <c r="B8247" s="1" t="s">
        <v>520</v>
      </c>
      <c r="C8247" s="1" t="s">
        <v>58</v>
      </c>
      <c r="D8247" s="1">
        <v>0.1</v>
      </c>
      <c r="E8247" s="1">
        <v>19261.0</v>
      </c>
      <c r="F8247" s="10">
        <f t="shared" si="1"/>
        <v>0.3333333333</v>
      </c>
      <c r="G8247" s="10">
        <f t="array" ref="G8247">index('Player ID'!C:C,match(E8247,'Player ID'!B:B,0))</f>
        <v>641656</v>
      </c>
    </row>
    <row r="8248">
      <c r="A8248" s="76">
        <v>45816.0</v>
      </c>
      <c r="B8248" s="1" t="s">
        <v>831</v>
      </c>
      <c r="C8248" s="1" t="s">
        <v>58</v>
      </c>
      <c r="D8248" s="1">
        <v>1.1</v>
      </c>
      <c r="E8248" s="1">
        <v>19753.0</v>
      </c>
      <c r="F8248" s="10">
        <f t="shared" si="1"/>
        <v>1.333333333</v>
      </c>
      <c r="G8248" s="10">
        <f t="array" ref="G8248">index('Player ID'!C:C,match(E8248,'Player ID'!B:B,0))</f>
        <v>642528</v>
      </c>
    </row>
    <row r="8249">
      <c r="A8249" s="76">
        <v>45816.0</v>
      </c>
      <c r="B8249" s="1" t="s">
        <v>250</v>
      </c>
      <c r="C8249" s="1" t="s">
        <v>22</v>
      </c>
      <c r="D8249" s="1">
        <v>0.1</v>
      </c>
      <c r="E8249" s="1">
        <v>20191.0</v>
      </c>
      <c r="F8249" s="10">
        <f t="shared" si="1"/>
        <v>0.3333333333</v>
      </c>
      <c r="G8249" s="10">
        <f t="array" ref="G8249">index('Player ID'!C:C,match(E8249,'Player ID'!B:B,0))</f>
        <v>676477</v>
      </c>
    </row>
    <row r="8250">
      <c r="A8250" s="76">
        <v>45816.0</v>
      </c>
      <c r="B8250" s="1" t="s">
        <v>134</v>
      </c>
      <c r="C8250" s="1" t="s">
        <v>22</v>
      </c>
      <c r="D8250" s="1">
        <v>0.1</v>
      </c>
      <c r="E8250" s="1">
        <v>20349.0</v>
      </c>
      <c r="F8250" s="10">
        <f t="shared" si="1"/>
        <v>0.3333333333</v>
      </c>
      <c r="G8250" s="10">
        <f t="array" ref="G8250">index('Player ID'!C:C,match(E8250,'Player ID'!B:B,0))</f>
        <v>677161</v>
      </c>
    </row>
    <row r="8251">
      <c r="A8251" s="76">
        <v>45816.0</v>
      </c>
      <c r="B8251" s="1" t="s">
        <v>406</v>
      </c>
      <c r="C8251" s="1" t="s">
        <v>22</v>
      </c>
      <c r="D8251" s="1">
        <v>0.2</v>
      </c>
      <c r="E8251" s="1">
        <v>20375.0</v>
      </c>
      <c r="F8251" s="10">
        <f t="shared" si="1"/>
        <v>0.6666666667</v>
      </c>
      <c r="G8251" s="10">
        <f t="array" ref="G8251">index('Player ID'!C:C,match(E8251,'Player ID'!B:B,0))</f>
        <v>669711</v>
      </c>
    </row>
    <row r="8252">
      <c r="A8252" s="76">
        <v>45816.0</v>
      </c>
      <c r="B8252" s="1" t="s">
        <v>693</v>
      </c>
      <c r="C8252" s="1" t="s">
        <v>58</v>
      </c>
      <c r="D8252" s="1">
        <v>1.1</v>
      </c>
      <c r="E8252" s="1">
        <v>27702.0</v>
      </c>
      <c r="F8252" s="10">
        <f t="shared" si="1"/>
        <v>1.333333333</v>
      </c>
      <c r="G8252" s="10">
        <f t="array" ref="G8252">index('Player ID'!C:C,match(E8252,'Player ID'!B:B,0))</f>
        <v>687396</v>
      </c>
    </row>
    <row r="8253">
      <c r="A8253" s="76">
        <v>45816.0</v>
      </c>
      <c r="B8253" s="1" t="s">
        <v>143</v>
      </c>
      <c r="C8253" s="1" t="s">
        <v>22</v>
      </c>
      <c r="D8253" s="1">
        <v>5.0</v>
      </c>
      <c r="E8253" s="1">
        <v>30240.0</v>
      </c>
      <c r="F8253" s="10">
        <f t="shared" si="1"/>
        <v>5</v>
      </c>
      <c r="G8253" s="10">
        <f t="array" ref="G8253">index('Player ID'!C:C,match(E8253,'Player ID'!B:B,0))</f>
        <v>690928</v>
      </c>
    </row>
    <row r="8254">
      <c r="A8254" s="76">
        <v>45816.0</v>
      </c>
      <c r="B8254" s="1" t="s">
        <v>440</v>
      </c>
      <c r="C8254" s="1" t="s">
        <v>56</v>
      </c>
      <c r="D8254" s="1">
        <v>0.2</v>
      </c>
      <c r="E8254" s="1">
        <v>12857.0</v>
      </c>
      <c r="F8254" s="10">
        <f t="shared" si="1"/>
        <v>0.6666666667</v>
      </c>
      <c r="G8254" s="10">
        <f t="array" ref="G8254">index('Player ID'!C:C,match(E8254,'Player ID'!B:B,0))</f>
        <v>542888</v>
      </c>
    </row>
    <row r="8255">
      <c r="A8255" s="76">
        <v>45816.0</v>
      </c>
      <c r="B8255" s="1" t="s">
        <v>506</v>
      </c>
      <c r="C8255" s="1" t="s">
        <v>80</v>
      </c>
      <c r="D8255" s="1">
        <v>1.0</v>
      </c>
      <c r="E8255" s="1">
        <v>12988.0</v>
      </c>
      <c r="F8255" s="10">
        <f t="shared" si="1"/>
        <v>1</v>
      </c>
      <c r="G8255" s="10">
        <f t="array" ref="G8255">index('Player ID'!C:C,match(E8255,'Player ID'!B:B,0))</f>
        <v>605177</v>
      </c>
    </row>
    <row r="8256">
      <c r="A8256" s="76">
        <v>45816.0</v>
      </c>
      <c r="B8256" s="1" t="s">
        <v>151</v>
      </c>
      <c r="C8256" s="1" t="s">
        <v>56</v>
      </c>
      <c r="D8256" s="1">
        <v>2.0</v>
      </c>
      <c r="E8256" s="1">
        <v>13346.0</v>
      </c>
      <c r="F8256" s="10">
        <f t="shared" si="1"/>
        <v>2</v>
      </c>
      <c r="G8256" s="10">
        <f t="array" ref="G8256">index('Player ID'!C:C,match(E8256,'Player ID'!B:B,0))</f>
        <v>571948</v>
      </c>
    </row>
    <row r="8257">
      <c r="A8257" s="76">
        <v>45816.0</v>
      </c>
      <c r="B8257" s="1" t="s">
        <v>148</v>
      </c>
      <c r="C8257" s="1" t="s">
        <v>80</v>
      </c>
      <c r="D8257" s="1">
        <v>4.1</v>
      </c>
      <c r="E8257" s="1">
        <v>16977.0</v>
      </c>
      <c r="F8257" s="10">
        <f t="shared" si="1"/>
        <v>4.333333333</v>
      </c>
      <c r="G8257" s="10">
        <f t="array" ref="G8257">index('Player ID'!C:C,match(E8257,'Player ID'!B:B,0))</f>
        <v>592866</v>
      </c>
    </row>
    <row r="8258">
      <c r="A8258" s="76">
        <v>45816.0</v>
      </c>
      <c r="B8258" s="1" t="s">
        <v>87</v>
      </c>
      <c r="C8258" s="1" t="s">
        <v>56</v>
      </c>
      <c r="D8258" s="1">
        <v>1.2</v>
      </c>
      <c r="E8258" s="1">
        <v>19274.0</v>
      </c>
      <c r="F8258" s="10">
        <f t="shared" si="1"/>
        <v>1.666666667</v>
      </c>
      <c r="G8258" s="10">
        <f t="array" ref="G8258">index('Player ID'!C:C,match(E8258,'Player ID'!B:B,0))</f>
        <v>657097</v>
      </c>
    </row>
    <row r="8259">
      <c r="A8259" s="76">
        <v>45816.0</v>
      </c>
      <c r="B8259" s="1" t="s">
        <v>111</v>
      </c>
      <c r="C8259" s="1" t="s">
        <v>56</v>
      </c>
      <c r="D8259" s="1">
        <v>3.1</v>
      </c>
      <c r="E8259" s="1">
        <v>21306.0</v>
      </c>
      <c r="F8259" s="10">
        <f t="shared" si="1"/>
        <v>3.333333333</v>
      </c>
      <c r="G8259" s="10">
        <f t="array" ref="G8259">index('Player ID'!C:C,match(E8259,'Player ID'!B:B,0))</f>
        <v>656641</v>
      </c>
    </row>
    <row r="8260">
      <c r="A8260" s="76">
        <v>45816.0</v>
      </c>
      <c r="B8260" s="1" t="s">
        <v>268</v>
      </c>
      <c r="C8260" s="1" t="s">
        <v>56</v>
      </c>
      <c r="D8260" s="1">
        <v>1.1</v>
      </c>
      <c r="E8260" s="1">
        <v>23363.0</v>
      </c>
      <c r="F8260" s="10">
        <f t="shared" si="1"/>
        <v>1.333333333</v>
      </c>
      <c r="G8260" s="10">
        <f t="array" ref="G8260">index('Player ID'!C:C,match(E8260,'Player ID'!B:B,0))</f>
        <v>676395</v>
      </c>
    </row>
    <row r="8261">
      <c r="A8261" s="76">
        <v>45816.0</v>
      </c>
      <c r="B8261" s="1" t="s">
        <v>86</v>
      </c>
      <c r="C8261" s="1" t="s">
        <v>80</v>
      </c>
      <c r="D8261" s="1">
        <v>1.2</v>
      </c>
      <c r="E8261" s="1">
        <v>24017.0</v>
      </c>
      <c r="F8261" s="10">
        <f t="shared" si="1"/>
        <v>1.666666667</v>
      </c>
      <c r="G8261" s="10">
        <f t="array" ref="G8261">index('Player ID'!C:C,match(E8261,'Player ID'!B:B,0))</f>
        <v>678606</v>
      </c>
    </row>
    <row r="8262">
      <c r="A8262" s="76">
        <v>45816.0</v>
      </c>
      <c r="B8262" s="1" t="s">
        <v>507</v>
      </c>
      <c r="C8262" s="1" t="s">
        <v>80</v>
      </c>
      <c r="D8262" s="1">
        <v>1.0</v>
      </c>
      <c r="E8262" s="1">
        <v>27570.0</v>
      </c>
      <c r="F8262" s="10">
        <f t="shared" si="1"/>
        <v>1</v>
      </c>
      <c r="G8262" s="10">
        <f t="array" ref="G8262">index('Player ID'!C:C,match(E8262,'Player ID'!B:B,0))</f>
        <v>669371</v>
      </c>
    </row>
    <row r="8263">
      <c r="A8263" s="76">
        <v>45816.0</v>
      </c>
      <c r="B8263" s="1" t="s">
        <v>437</v>
      </c>
      <c r="C8263" s="1" t="s">
        <v>80</v>
      </c>
      <c r="D8263" s="1">
        <v>1.0</v>
      </c>
      <c r="E8263" s="1">
        <v>31972.0</v>
      </c>
      <c r="F8263" s="10">
        <f t="shared" si="1"/>
        <v>1</v>
      </c>
      <c r="G8263" s="10">
        <f t="array" ref="G8263">index('Player ID'!C:C,match(E8263,'Player ID'!B:B,0))</f>
        <v>695418</v>
      </c>
    </row>
    <row r="8264">
      <c r="A8264" s="76">
        <v>45816.0</v>
      </c>
      <c r="B8264" s="1" t="s">
        <v>747</v>
      </c>
      <c r="C8264" s="1" t="s">
        <v>45</v>
      </c>
      <c r="D8264" s="1">
        <v>7.0</v>
      </c>
      <c r="E8264" s="1">
        <v>20778.0</v>
      </c>
      <c r="F8264" s="10">
        <f t="shared" si="1"/>
        <v>7</v>
      </c>
      <c r="G8264" s="10">
        <f t="array" ref="G8264">index('Player ID'!C:C,match(E8264,'Player ID'!B:B,0))</f>
        <v>650911</v>
      </c>
    </row>
    <row r="8265">
      <c r="A8265" s="76">
        <v>45816.0</v>
      </c>
      <c r="B8265" s="1" t="s">
        <v>277</v>
      </c>
      <c r="C8265" s="1" t="s">
        <v>60</v>
      </c>
      <c r="D8265" s="1">
        <v>1.1</v>
      </c>
      <c r="E8265" s="1">
        <v>23793.0</v>
      </c>
      <c r="F8265" s="10">
        <f t="shared" si="1"/>
        <v>1.333333333</v>
      </c>
      <c r="G8265" s="10" t="str">
        <f t="array" ref="G8265">index('Player ID'!C:C,match(E8265,'Player ID'!B:B,0))</f>
        <v>#N/A</v>
      </c>
    </row>
    <row r="8266">
      <c r="A8266" s="76">
        <v>45816.0</v>
      </c>
      <c r="B8266" s="1" t="s">
        <v>165</v>
      </c>
      <c r="C8266" s="1" t="s">
        <v>45</v>
      </c>
      <c r="D8266" s="1">
        <v>1.0</v>
      </c>
      <c r="E8266" s="1">
        <v>31776.0</v>
      </c>
      <c r="F8266" s="10">
        <f t="shared" si="1"/>
        <v>1</v>
      </c>
      <c r="G8266" s="10">
        <f t="array" ref="G8266">index('Player ID'!C:C,match(E8266,'Player ID'!B:B,0))</f>
        <v>689147</v>
      </c>
    </row>
    <row r="8267">
      <c r="A8267" s="76">
        <v>45816.0</v>
      </c>
      <c r="B8267" s="1" t="s">
        <v>88</v>
      </c>
      <c r="C8267" s="1" t="s">
        <v>60</v>
      </c>
      <c r="D8267" s="1">
        <v>7.2</v>
      </c>
      <c r="E8267" s="1">
        <v>33677.0</v>
      </c>
      <c r="F8267" s="10">
        <f t="shared" si="1"/>
        <v>7.666666667</v>
      </c>
      <c r="G8267" s="10">
        <f t="array" ref="G8267">index('Player ID'!C:C,match(E8267,'Player ID'!B:B,0))</f>
        <v>694973</v>
      </c>
    </row>
    <row r="8268">
      <c r="A8268" s="76">
        <v>45816.0</v>
      </c>
      <c r="B8268" s="1" t="s">
        <v>38</v>
      </c>
      <c r="C8268" s="1" t="s">
        <v>39</v>
      </c>
      <c r="D8268" s="1">
        <v>1.0</v>
      </c>
      <c r="E8268" s="1">
        <v>13580.0</v>
      </c>
      <c r="F8268" s="10">
        <f t="shared" si="1"/>
        <v>1</v>
      </c>
      <c r="G8268" s="10">
        <f t="array" ref="G8268">index('Player ID'!C:C,match(E8268,'Player ID'!B:B,0))</f>
        <v>595345</v>
      </c>
    </row>
    <row r="8269">
      <c r="A8269" s="76">
        <v>45816.0</v>
      </c>
      <c r="B8269" s="1" t="s">
        <v>359</v>
      </c>
      <c r="C8269" s="1" t="s">
        <v>39</v>
      </c>
      <c r="D8269" s="1">
        <v>1.0</v>
      </c>
      <c r="E8269" s="1">
        <v>20061.0</v>
      </c>
      <c r="F8269" s="10">
        <f t="shared" si="1"/>
        <v>1</v>
      </c>
      <c r="G8269" s="10">
        <f t="array" ref="G8269">index('Player ID'!C:C,match(E8269,'Player ID'!B:B,0))</f>
        <v>672391</v>
      </c>
    </row>
    <row r="8270">
      <c r="A8270" s="76">
        <v>45816.0</v>
      </c>
      <c r="B8270" s="1" t="s">
        <v>132</v>
      </c>
      <c r="C8270" s="1" t="s">
        <v>70</v>
      </c>
      <c r="D8270" s="1">
        <v>1.0</v>
      </c>
      <c r="E8270" s="1">
        <v>21032.0</v>
      </c>
      <c r="F8270" s="10">
        <f t="shared" si="1"/>
        <v>1</v>
      </c>
      <c r="G8270" s="10">
        <f t="array" ref="G8270">index('Player ID'!C:C,match(E8270,'Player ID'!B:B,0))</f>
        <v>661403</v>
      </c>
    </row>
    <row r="8271">
      <c r="A8271" s="76">
        <v>45816.0</v>
      </c>
      <c r="B8271" s="1" t="s">
        <v>63</v>
      </c>
      <c r="C8271" s="1" t="s">
        <v>39</v>
      </c>
      <c r="D8271" s="1">
        <v>6.0</v>
      </c>
      <c r="E8271" s="1">
        <v>26056.0</v>
      </c>
      <c r="F8271" s="10">
        <f t="shared" si="1"/>
        <v>6</v>
      </c>
      <c r="G8271" s="10">
        <f t="array" ref="G8271">index('Player ID'!C:C,match(E8271,'Player ID'!B:B,0))</f>
        <v>687888</v>
      </c>
    </row>
    <row r="8272">
      <c r="A8272" s="76">
        <v>45816.0</v>
      </c>
      <c r="B8272" s="1" t="s">
        <v>135</v>
      </c>
      <c r="C8272" s="1" t="s">
        <v>70</v>
      </c>
      <c r="D8272" s="1">
        <v>1.2</v>
      </c>
      <c r="E8272" s="1">
        <v>27867.0</v>
      </c>
      <c r="F8272" s="10">
        <f t="shared" si="1"/>
        <v>1.666666667</v>
      </c>
      <c r="G8272" s="10">
        <f t="array" ref="G8272">index('Player ID'!C:C,match(E8272,'Player ID'!B:B,0))</f>
        <v>671922</v>
      </c>
    </row>
    <row r="8273">
      <c r="A8273" s="76">
        <v>45816.0</v>
      </c>
      <c r="B8273" s="1" t="s">
        <v>308</v>
      </c>
      <c r="C8273" s="1" t="s">
        <v>70</v>
      </c>
      <c r="D8273" s="1">
        <v>6.1</v>
      </c>
      <c r="E8273" s="1">
        <v>30134.0</v>
      </c>
      <c r="F8273" s="10">
        <f t="shared" si="1"/>
        <v>6.333333333</v>
      </c>
      <c r="G8273" s="10">
        <f t="array" ref="G8273">index('Player ID'!C:C,match(E8273,'Player ID'!B:B,0))</f>
        <v>676440</v>
      </c>
    </row>
    <row r="8274">
      <c r="A8274" s="76">
        <v>45816.0</v>
      </c>
      <c r="B8274" s="1" t="s">
        <v>362</v>
      </c>
      <c r="C8274" s="1" t="s">
        <v>66</v>
      </c>
      <c r="D8274" s="1">
        <v>2.0</v>
      </c>
      <c r="E8274" s="1">
        <v>13449.0</v>
      </c>
      <c r="F8274" s="10">
        <f t="shared" si="1"/>
        <v>2</v>
      </c>
      <c r="G8274" s="10">
        <f t="array" ref="G8274">index('Player ID'!C:C,match(E8274,'Player ID'!B:B,0))</f>
        <v>573124</v>
      </c>
    </row>
    <row r="8275">
      <c r="A8275" s="76">
        <v>45816.0</v>
      </c>
      <c r="B8275" s="1" t="s">
        <v>475</v>
      </c>
      <c r="C8275" s="1" t="s">
        <v>66</v>
      </c>
      <c r="D8275" s="1">
        <v>1.0</v>
      </c>
      <c r="E8275" s="1">
        <v>14993.0</v>
      </c>
      <c r="F8275" s="10">
        <f t="shared" si="1"/>
        <v>1</v>
      </c>
      <c r="G8275" s="10">
        <f t="array" ref="G8275">index('Player ID'!C:C,match(E8275,'Player ID'!B:B,0))</f>
        <v>605130</v>
      </c>
    </row>
    <row r="8276">
      <c r="A8276" s="76">
        <v>45816.0</v>
      </c>
      <c r="B8276" s="1" t="s">
        <v>489</v>
      </c>
      <c r="C8276" s="1" t="s">
        <v>64</v>
      </c>
      <c r="D8276" s="1">
        <v>0.1</v>
      </c>
      <c r="E8276" s="1">
        <v>17192.0</v>
      </c>
      <c r="F8276" s="10">
        <f t="shared" si="1"/>
        <v>0.3333333333</v>
      </c>
      <c r="G8276" s="10">
        <f t="array" ref="G8276">index('Player ID'!C:C,match(E8276,'Player ID'!B:B,0))</f>
        <v>656222</v>
      </c>
    </row>
    <row r="8277">
      <c r="A8277" s="76">
        <v>45816.0</v>
      </c>
      <c r="B8277" s="1" t="s">
        <v>195</v>
      </c>
      <c r="C8277" s="1" t="s">
        <v>64</v>
      </c>
      <c r="D8277" s="1">
        <v>6.2</v>
      </c>
      <c r="E8277" s="1">
        <v>19291.0</v>
      </c>
      <c r="F8277" s="10">
        <f t="shared" si="1"/>
        <v>6.666666667</v>
      </c>
      <c r="G8277" s="10">
        <f t="array" ref="G8277">index('Player ID'!C:C,match(E8277,'Player ID'!B:B,0))</f>
        <v>668678</v>
      </c>
    </row>
    <row r="8278">
      <c r="A8278" s="76">
        <v>45816.0</v>
      </c>
      <c r="B8278" s="1" t="s">
        <v>345</v>
      </c>
      <c r="C8278" s="1" t="s">
        <v>66</v>
      </c>
      <c r="D8278" s="1">
        <v>1.0</v>
      </c>
      <c r="E8278" s="1">
        <v>19926.0</v>
      </c>
      <c r="F8278" s="10">
        <f t="shared" si="1"/>
        <v>1</v>
      </c>
      <c r="G8278" s="10">
        <f t="array" ref="G8278">index('Player ID'!C:C,match(E8278,'Player ID'!B:B,0))</f>
        <v>663574</v>
      </c>
    </row>
    <row r="8279">
      <c r="A8279" s="76">
        <v>45816.0</v>
      </c>
      <c r="B8279" s="1" t="s">
        <v>353</v>
      </c>
      <c r="C8279" s="1" t="s">
        <v>66</v>
      </c>
      <c r="D8279" s="1">
        <v>5.0</v>
      </c>
      <c r="E8279" s="1">
        <v>25377.0</v>
      </c>
      <c r="F8279" s="10">
        <f t="shared" si="1"/>
        <v>5</v>
      </c>
      <c r="G8279" s="10">
        <f t="array" ref="G8279">index('Player ID'!C:C,match(E8279,'Player ID'!B:B,0))</f>
        <v>663903</v>
      </c>
    </row>
    <row r="8280">
      <c r="A8280" s="76">
        <v>45816.0</v>
      </c>
      <c r="B8280" s="1" t="s">
        <v>545</v>
      </c>
      <c r="C8280" s="1" t="s">
        <v>64</v>
      </c>
      <c r="D8280" s="1">
        <v>1.0</v>
      </c>
      <c r="E8280" s="1">
        <v>29615.0</v>
      </c>
      <c r="F8280" s="10">
        <f t="shared" si="1"/>
        <v>1</v>
      </c>
      <c r="G8280" s="10" t="str">
        <f t="array" ref="G8280">index('Player ID'!C:C,match(E8280,'Player ID'!B:B,0))</f>
        <v>#N/A</v>
      </c>
    </row>
    <row r="8281">
      <c r="A8281" s="76">
        <v>45816.0</v>
      </c>
      <c r="B8281" s="1" t="s">
        <v>629</v>
      </c>
      <c r="C8281" s="1" t="s">
        <v>34</v>
      </c>
      <c r="D8281" s="1">
        <v>1.0</v>
      </c>
      <c r="E8281" s="1">
        <v>5615.0</v>
      </c>
      <c r="F8281" s="10">
        <f t="shared" si="1"/>
        <v>1</v>
      </c>
      <c r="G8281" s="10">
        <f t="array" ref="G8281">index('Player ID'!C:C,match(E8281,'Player ID'!B:B,0))</f>
        <v>518489</v>
      </c>
    </row>
    <row r="8282">
      <c r="A8282" s="76">
        <v>45816.0</v>
      </c>
      <c r="B8282" s="1" t="s">
        <v>439</v>
      </c>
      <c r="C8282" s="1" t="s">
        <v>62</v>
      </c>
      <c r="D8282" s="1">
        <v>1.0</v>
      </c>
      <c r="E8282" s="1">
        <v>11384.0</v>
      </c>
      <c r="F8282" s="10">
        <f t="shared" si="1"/>
        <v>1</v>
      </c>
      <c r="G8282" s="10">
        <f t="array" ref="G8282">index('Player ID'!C:C,match(E8282,'Player ID'!B:B,0))</f>
        <v>592454</v>
      </c>
    </row>
    <row r="8283">
      <c r="A8283" s="76">
        <v>45816.0</v>
      </c>
      <c r="B8283" s="1" t="s">
        <v>462</v>
      </c>
      <c r="C8283" s="1" t="s">
        <v>34</v>
      </c>
      <c r="D8283" s="1">
        <v>2.0</v>
      </c>
      <c r="E8283" s="1">
        <v>13896.0</v>
      </c>
      <c r="F8283" s="10">
        <f t="shared" si="1"/>
        <v>2</v>
      </c>
      <c r="G8283" s="10">
        <f t="array" ref="G8283">index('Player ID'!C:C,match(E8283,'Player ID'!B:B,0))</f>
        <v>623167</v>
      </c>
    </row>
    <row r="8284">
      <c r="A8284" s="76">
        <v>45816.0</v>
      </c>
      <c r="B8284" s="1" t="s">
        <v>316</v>
      </c>
      <c r="C8284" s="1" t="s">
        <v>62</v>
      </c>
      <c r="D8284" s="1">
        <v>6.0</v>
      </c>
      <c r="E8284" s="1">
        <v>17479.0</v>
      </c>
      <c r="F8284" s="10">
        <f t="shared" si="1"/>
        <v>6</v>
      </c>
      <c r="G8284" s="10">
        <f t="array" ref="G8284">index('Player ID'!C:C,match(E8284,'Player ID'!B:B,0))</f>
        <v>656427</v>
      </c>
    </row>
    <row r="8285">
      <c r="A8285" s="76">
        <v>45816.0</v>
      </c>
      <c r="B8285" s="1" t="s">
        <v>131</v>
      </c>
      <c r="C8285" s="1" t="s">
        <v>62</v>
      </c>
      <c r="D8285" s="1">
        <v>1.0</v>
      </c>
      <c r="E8285" s="1">
        <v>19769.0</v>
      </c>
      <c r="F8285" s="10">
        <f t="shared" si="1"/>
        <v>1</v>
      </c>
      <c r="G8285" s="10">
        <f t="array" ref="G8285">index('Player ID'!C:C,match(E8285,'Player ID'!B:B,0))</f>
        <v>676684</v>
      </c>
    </row>
    <row r="8286">
      <c r="A8286" s="76">
        <v>45816.0</v>
      </c>
      <c r="B8286" s="1" t="s">
        <v>289</v>
      </c>
      <c r="C8286" s="1" t="s">
        <v>62</v>
      </c>
      <c r="D8286" s="1">
        <v>1.0</v>
      </c>
      <c r="E8286" s="1">
        <v>22304.0</v>
      </c>
      <c r="F8286" s="10">
        <f t="shared" si="1"/>
        <v>1</v>
      </c>
      <c r="G8286" s="10">
        <f t="array" ref="G8286">index('Player ID'!C:C,match(E8286,'Player ID'!B:B,0))</f>
        <v>669724</v>
      </c>
    </row>
    <row r="8287">
      <c r="A8287" s="76">
        <v>45816.0</v>
      </c>
      <c r="B8287" s="1" t="s">
        <v>434</v>
      </c>
      <c r="C8287" s="1" t="s">
        <v>34</v>
      </c>
      <c r="D8287" s="1">
        <v>5.0</v>
      </c>
      <c r="E8287" s="1">
        <v>31872.0</v>
      </c>
      <c r="F8287" s="10">
        <f t="shared" si="1"/>
        <v>5</v>
      </c>
      <c r="G8287" s="10">
        <f t="array" ref="G8287">index('Player ID'!C:C,match(E8287,'Player ID'!B:B,0))</f>
        <v>690990</v>
      </c>
    </row>
    <row r="8288">
      <c r="A8288" s="76">
        <v>45816.0</v>
      </c>
      <c r="B8288" s="1" t="s">
        <v>858</v>
      </c>
      <c r="C8288" s="1" t="s">
        <v>40</v>
      </c>
      <c r="D8288" s="1">
        <v>0.2</v>
      </c>
      <c r="E8288" s="1">
        <v>16587.0</v>
      </c>
      <c r="F8288" s="10">
        <f t="shared" si="1"/>
        <v>0.6666666667</v>
      </c>
      <c r="G8288" s="10" t="str">
        <f t="array" ref="G8288">index('Player ID'!C:C,match(E8288,'Player ID'!B:B,0))</f>
        <v>#N/A</v>
      </c>
    </row>
    <row r="8289">
      <c r="A8289" s="76">
        <v>45816.0</v>
      </c>
      <c r="B8289" s="1" t="s">
        <v>249</v>
      </c>
      <c r="C8289" s="1" t="s">
        <v>16</v>
      </c>
      <c r="D8289" s="1">
        <v>1.0</v>
      </c>
      <c r="E8289" s="1">
        <v>16727.0</v>
      </c>
      <c r="F8289" s="10">
        <f t="shared" si="1"/>
        <v>1</v>
      </c>
      <c r="G8289" s="10">
        <f t="array" ref="G8289">index('Player ID'!C:C,match(E8289,'Player ID'!B:B,0))</f>
        <v>592779</v>
      </c>
    </row>
    <row r="8290">
      <c r="A8290" s="76">
        <v>45816.0</v>
      </c>
      <c r="B8290" s="1" t="s">
        <v>28</v>
      </c>
      <c r="C8290" s="1" t="s">
        <v>16</v>
      </c>
      <c r="D8290" s="1">
        <v>1.0</v>
      </c>
      <c r="E8290" s="1">
        <v>20253.0</v>
      </c>
      <c r="F8290" s="10">
        <f t="shared" si="1"/>
        <v>1</v>
      </c>
      <c r="G8290" s="10">
        <f t="array" ref="G8290">index('Player ID'!C:C,match(E8290,'Player ID'!B:B,0))</f>
        <v>643377</v>
      </c>
    </row>
    <row r="8291">
      <c r="A8291" s="76">
        <v>45816.0</v>
      </c>
      <c r="B8291" s="1" t="s">
        <v>428</v>
      </c>
      <c r="C8291" s="1" t="s">
        <v>40</v>
      </c>
      <c r="D8291" s="1">
        <v>3.1</v>
      </c>
      <c r="E8291" s="1">
        <v>20548.0</v>
      </c>
      <c r="F8291" s="10">
        <f t="shared" si="1"/>
        <v>3.333333333</v>
      </c>
      <c r="G8291" s="10">
        <f t="array" ref="G8291">index('Player ID'!C:C,match(E8291,'Player ID'!B:B,0))</f>
        <v>670102</v>
      </c>
    </row>
    <row r="8292">
      <c r="A8292" s="76">
        <v>45816.0</v>
      </c>
      <c r="B8292" s="1" t="s">
        <v>122</v>
      </c>
      <c r="C8292" s="1" t="s">
        <v>16</v>
      </c>
      <c r="D8292" s="1">
        <v>1.0</v>
      </c>
      <c r="E8292" s="1">
        <v>21029.0</v>
      </c>
      <c r="F8292" s="10">
        <f t="shared" si="1"/>
        <v>1</v>
      </c>
      <c r="G8292" s="10">
        <f t="array" ref="G8292">index('Player ID'!C:C,match(E8292,'Player ID'!B:B,0))</f>
        <v>661395</v>
      </c>
    </row>
    <row r="8293">
      <c r="A8293" s="76">
        <v>45816.0</v>
      </c>
      <c r="B8293" s="1" t="s">
        <v>150</v>
      </c>
      <c r="C8293" s="1" t="s">
        <v>16</v>
      </c>
      <c r="D8293" s="1">
        <v>5.0</v>
      </c>
      <c r="E8293" s="1">
        <v>21390.0</v>
      </c>
      <c r="F8293" s="10">
        <f t="shared" si="1"/>
        <v>5</v>
      </c>
      <c r="G8293" s="10">
        <f t="array" ref="G8293">index('Player ID'!C:C,match(E8293,'Player ID'!B:B,0))</f>
        <v>657746</v>
      </c>
    </row>
    <row r="8294">
      <c r="A8294" s="76">
        <v>45816.0</v>
      </c>
      <c r="B8294" s="1" t="s">
        <v>237</v>
      </c>
      <c r="C8294" s="1" t="s">
        <v>16</v>
      </c>
      <c r="D8294" s="1">
        <v>1.0</v>
      </c>
      <c r="E8294" s="1">
        <v>21461.0</v>
      </c>
      <c r="F8294" s="10">
        <f t="shared" si="1"/>
        <v>1</v>
      </c>
      <c r="G8294" s="10">
        <f t="array" ref="G8294">index('Player ID'!C:C,match(E8294,'Player ID'!B:B,0))</f>
        <v>663485</v>
      </c>
    </row>
    <row r="8295">
      <c r="A8295" s="76">
        <v>45816.0</v>
      </c>
      <c r="B8295" s="1" t="s">
        <v>315</v>
      </c>
      <c r="C8295" s="1" t="s">
        <v>40</v>
      </c>
      <c r="D8295" s="1">
        <v>2.0</v>
      </c>
      <c r="E8295" s="1">
        <v>24609.0</v>
      </c>
      <c r="F8295" s="10">
        <f t="shared" si="1"/>
        <v>2</v>
      </c>
      <c r="G8295" s="10">
        <f t="array" ref="G8295">index('Player ID'!C:C,match(E8295,'Player ID'!B:B,0))</f>
        <v>680755</v>
      </c>
    </row>
    <row r="8296">
      <c r="A8296" s="76">
        <v>45816.0</v>
      </c>
      <c r="B8296" s="1" t="s">
        <v>568</v>
      </c>
      <c r="C8296" s="1" t="s">
        <v>40</v>
      </c>
      <c r="D8296" s="1">
        <v>1.0</v>
      </c>
      <c r="E8296" s="1">
        <v>25501.0</v>
      </c>
      <c r="F8296" s="10">
        <f t="shared" si="1"/>
        <v>1</v>
      </c>
      <c r="G8296" s="10">
        <f t="array" ref="G8296">index('Player ID'!C:C,match(E8296,'Player ID'!B:B,0))</f>
        <v>687606</v>
      </c>
    </row>
    <row r="8297">
      <c r="A8297" s="76">
        <v>45816.0</v>
      </c>
      <c r="B8297" s="1" t="s">
        <v>142</v>
      </c>
      <c r="C8297" s="1" t="s">
        <v>40</v>
      </c>
      <c r="D8297" s="1">
        <v>1.0</v>
      </c>
      <c r="E8297" s="1">
        <v>31553.0</v>
      </c>
      <c r="F8297" s="10">
        <f t="shared" si="1"/>
        <v>1</v>
      </c>
      <c r="G8297" s="10">
        <f t="array" ref="G8297">index('Player ID'!C:C,match(E8297,'Player ID'!B:B,0))</f>
        <v>689254</v>
      </c>
    </row>
    <row r="8298">
      <c r="A8298" s="76">
        <v>45816.0</v>
      </c>
      <c r="B8298" s="1" t="s">
        <v>649</v>
      </c>
      <c r="C8298" s="1" t="s">
        <v>29</v>
      </c>
      <c r="D8298" s="1">
        <v>1.0</v>
      </c>
      <c r="E8298" s="1">
        <v>14542.0</v>
      </c>
      <c r="F8298" s="10">
        <f t="shared" si="1"/>
        <v>1</v>
      </c>
      <c r="G8298" s="10">
        <f t="array" ref="G8298">index('Player ID'!C:C,match(E8298,'Player ID'!B:B,0))</f>
        <v>608032</v>
      </c>
    </row>
    <row r="8299">
      <c r="A8299" s="76">
        <v>45816.0</v>
      </c>
      <c r="B8299" s="1" t="s">
        <v>420</v>
      </c>
      <c r="C8299" s="1" t="s">
        <v>29</v>
      </c>
      <c r="D8299" s="1">
        <v>6.0</v>
      </c>
      <c r="E8299" s="1">
        <v>14843.0</v>
      </c>
      <c r="F8299" s="10">
        <f t="shared" si="1"/>
        <v>6</v>
      </c>
      <c r="G8299" s="10">
        <f t="array" ref="G8299">index('Player ID'!C:C,match(E8299,'Player ID'!B:B,0))</f>
        <v>547179</v>
      </c>
    </row>
    <row r="8300">
      <c r="A8300" s="76">
        <v>45816.0</v>
      </c>
      <c r="B8300" s="1" t="s">
        <v>187</v>
      </c>
      <c r="C8300" s="1" t="s">
        <v>78</v>
      </c>
      <c r="D8300" s="1">
        <v>3.0</v>
      </c>
      <c r="E8300" s="1">
        <v>17735.0</v>
      </c>
      <c r="F8300" s="10">
        <f t="shared" si="1"/>
        <v>3</v>
      </c>
      <c r="G8300" s="10">
        <f t="array" ref="G8300">index('Player ID'!C:C,match(E8300,'Player ID'!B:B,0))</f>
        <v>641302</v>
      </c>
    </row>
    <row r="8301">
      <c r="A8301" s="76">
        <v>45816.0</v>
      </c>
      <c r="B8301" s="1" t="s">
        <v>869</v>
      </c>
      <c r="C8301" s="1" t="s">
        <v>29</v>
      </c>
      <c r="D8301" s="1">
        <v>0.0</v>
      </c>
      <c r="E8301" s="1">
        <v>19309.0</v>
      </c>
      <c r="F8301" s="10">
        <f t="shared" si="1"/>
        <v>0</v>
      </c>
      <c r="G8301" s="10" t="str">
        <f t="array" ref="G8301">index('Player ID'!C:C,match(E8301,'Player ID'!B:B,0))</f>
        <v>#N/A</v>
      </c>
    </row>
    <row r="8302">
      <c r="A8302" s="76">
        <v>45816.0</v>
      </c>
      <c r="B8302" s="1" t="s">
        <v>387</v>
      </c>
      <c r="C8302" s="1" t="s">
        <v>78</v>
      </c>
      <c r="D8302" s="1">
        <v>2.0</v>
      </c>
      <c r="E8302" s="1">
        <v>19990.0</v>
      </c>
      <c r="F8302" s="10">
        <f t="shared" si="1"/>
        <v>2</v>
      </c>
      <c r="G8302" s="10">
        <f t="array" ref="G8302">index('Player ID'!C:C,match(E8302,'Player ID'!B:B,0))</f>
        <v>669060</v>
      </c>
    </row>
    <row r="8303">
      <c r="A8303" s="76">
        <v>45816.0</v>
      </c>
      <c r="B8303" s="1" t="s">
        <v>144</v>
      </c>
      <c r="C8303" s="1" t="s">
        <v>29</v>
      </c>
      <c r="D8303" s="1">
        <v>1.0</v>
      </c>
      <c r="E8303" s="1">
        <v>20020.0</v>
      </c>
      <c r="F8303" s="10">
        <f t="shared" si="1"/>
        <v>1</v>
      </c>
      <c r="G8303" s="10">
        <f t="array" ref="G8303">index('Player ID'!C:C,match(E8303,'Player ID'!B:B,0))</f>
        <v>670167</v>
      </c>
    </row>
    <row r="8304">
      <c r="A8304" s="76">
        <v>45816.0</v>
      </c>
      <c r="B8304" s="1" t="s">
        <v>140</v>
      </c>
      <c r="C8304" s="1" t="s">
        <v>29</v>
      </c>
      <c r="D8304" s="1">
        <v>1.0</v>
      </c>
      <c r="E8304" s="1">
        <v>22717.0</v>
      </c>
      <c r="F8304" s="10">
        <f t="shared" si="1"/>
        <v>1</v>
      </c>
      <c r="G8304" s="10">
        <f t="array" ref="G8304">index('Player ID'!C:C,match(E8304,'Player ID'!B:B,0))</f>
        <v>672582</v>
      </c>
    </row>
    <row r="8305">
      <c r="A8305" s="76">
        <v>45816.0</v>
      </c>
      <c r="B8305" s="1" t="s">
        <v>317</v>
      </c>
      <c r="C8305" s="1" t="s">
        <v>78</v>
      </c>
      <c r="D8305" s="1">
        <v>0.2</v>
      </c>
      <c r="E8305" s="1">
        <v>29950.0</v>
      </c>
      <c r="F8305" s="10">
        <f t="shared" si="1"/>
        <v>0.6666666667</v>
      </c>
      <c r="G8305" s="10">
        <f t="array" ref="G8305">index('Player ID'!C:C,match(E8305,'Player ID'!B:B,0))</f>
        <v>673929</v>
      </c>
    </row>
    <row r="8306">
      <c r="A8306" s="76">
        <v>45816.0</v>
      </c>
      <c r="B8306" s="1" t="s">
        <v>497</v>
      </c>
      <c r="C8306" s="1" t="s">
        <v>78</v>
      </c>
      <c r="D8306" s="1">
        <v>3.1</v>
      </c>
      <c r="E8306" s="1">
        <v>30105.0</v>
      </c>
      <c r="F8306" s="10">
        <f t="shared" si="1"/>
        <v>3.333333333</v>
      </c>
      <c r="G8306" s="10">
        <f t="array" ref="G8306">index('Player ID'!C:C,match(E8306,'Player ID'!B:B,0))</f>
        <v>678024</v>
      </c>
    </row>
    <row r="8307">
      <c r="A8307" s="76">
        <v>45816.0</v>
      </c>
      <c r="B8307" s="1" t="s">
        <v>457</v>
      </c>
      <c r="C8307" s="1" t="s">
        <v>33</v>
      </c>
      <c r="D8307" s="1">
        <v>5.0</v>
      </c>
      <c r="E8307" s="1">
        <v>2036.0</v>
      </c>
      <c r="F8307" s="10">
        <f t="shared" si="1"/>
        <v>5</v>
      </c>
      <c r="G8307" s="10">
        <f t="array" ref="G8307">index('Player ID'!C:C,match(E8307,'Player ID'!B:B,0))</f>
        <v>477132</v>
      </c>
    </row>
    <row r="8308">
      <c r="A8308" s="76">
        <v>45816.0</v>
      </c>
      <c r="B8308" s="1" t="s">
        <v>392</v>
      </c>
      <c r="C8308" s="1" t="s">
        <v>33</v>
      </c>
      <c r="D8308" s="1">
        <v>0.1</v>
      </c>
      <c r="E8308" s="1">
        <v>9073.0</v>
      </c>
      <c r="F8308" s="10">
        <f t="shared" si="1"/>
        <v>0.3333333333</v>
      </c>
      <c r="G8308" s="10">
        <f t="array" ref="G8308">index('Player ID'!C:C,match(E8308,'Player ID'!B:B,0))</f>
        <v>489446</v>
      </c>
    </row>
    <row r="8309">
      <c r="A8309" s="76">
        <v>45816.0</v>
      </c>
      <c r="B8309" s="1" t="s">
        <v>503</v>
      </c>
      <c r="C8309" s="1" t="s">
        <v>33</v>
      </c>
      <c r="D8309" s="1">
        <v>1.0</v>
      </c>
      <c r="E8309" s="1">
        <v>15043.0</v>
      </c>
      <c r="F8309" s="10">
        <f t="shared" si="1"/>
        <v>1</v>
      </c>
      <c r="G8309" s="10">
        <f t="array" ref="G8309">index('Player ID'!C:C,match(E8309,'Player ID'!B:B,0))</f>
        <v>642152</v>
      </c>
    </row>
    <row r="8310">
      <c r="A8310" s="76">
        <v>45816.0</v>
      </c>
      <c r="B8310" s="1" t="s">
        <v>870</v>
      </c>
      <c r="C8310" s="1" t="s">
        <v>33</v>
      </c>
      <c r="D8310" s="1">
        <v>1.0</v>
      </c>
      <c r="E8310" s="1">
        <v>17282.0</v>
      </c>
      <c r="F8310" s="10">
        <f t="shared" si="1"/>
        <v>1</v>
      </c>
      <c r="G8310" s="10" t="str">
        <f t="array" ref="G8310">index('Player ID'!C:C,match(E8310,'Player ID'!B:B,0))</f>
        <v>#N/A</v>
      </c>
    </row>
    <row r="8311">
      <c r="A8311" s="76">
        <v>45816.0</v>
      </c>
      <c r="B8311" s="1" t="s">
        <v>32</v>
      </c>
      <c r="C8311" s="1" t="s">
        <v>33</v>
      </c>
      <c r="D8311" s="1">
        <v>1.0</v>
      </c>
      <c r="E8311" s="1">
        <v>17586.0</v>
      </c>
      <c r="F8311" s="10">
        <f t="shared" si="1"/>
        <v>1</v>
      </c>
      <c r="G8311" s="10">
        <f t="array" ref="G8311">index('Player ID'!C:C,match(E8311,'Player ID'!B:B,0))</f>
        <v>656945</v>
      </c>
    </row>
    <row r="8312">
      <c r="A8312" s="76">
        <v>45816.0</v>
      </c>
      <c r="B8312" s="1" t="s">
        <v>273</v>
      </c>
      <c r="C8312" s="1" t="s">
        <v>72</v>
      </c>
      <c r="D8312" s="1">
        <v>1.0</v>
      </c>
      <c r="E8312" s="1">
        <v>22051.0</v>
      </c>
      <c r="F8312" s="10">
        <f t="shared" si="1"/>
        <v>1</v>
      </c>
      <c r="G8312" s="10">
        <f t="array" ref="G8312">index('Player ID'!C:C,match(E8312,'Player ID'!B:B,0))</f>
        <v>667463</v>
      </c>
    </row>
    <row r="8313">
      <c r="A8313" s="76">
        <v>45816.0</v>
      </c>
      <c r="B8313" s="1" t="s">
        <v>223</v>
      </c>
      <c r="C8313" s="1" t="s">
        <v>72</v>
      </c>
      <c r="D8313" s="1">
        <v>2.0</v>
      </c>
      <c r="E8313" s="1">
        <v>29629.0</v>
      </c>
      <c r="F8313" s="10">
        <f t="shared" si="1"/>
        <v>2</v>
      </c>
      <c r="G8313" s="10">
        <f t="array" ref="G8313">index('Player ID'!C:C,match(E8313,'Player ID'!B:B,0))</f>
        <v>694335</v>
      </c>
    </row>
    <row r="8314">
      <c r="A8314" s="76">
        <v>45816.0</v>
      </c>
      <c r="B8314" s="1" t="s">
        <v>145</v>
      </c>
      <c r="C8314" s="1" t="s">
        <v>72</v>
      </c>
      <c r="D8314" s="1">
        <v>6.0</v>
      </c>
      <c r="E8314" s="1">
        <v>29869.0</v>
      </c>
      <c r="F8314" s="10">
        <f t="shared" si="1"/>
        <v>6</v>
      </c>
      <c r="G8314" s="10">
        <f t="array" ref="G8314">index('Player ID'!C:C,match(E8314,'Player ID'!B:B,0))</f>
        <v>700241</v>
      </c>
    </row>
    <row r="8315">
      <c r="A8315" s="76">
        <v>45816.0</v>
      </c>
      <c r="B8315" s="1" t="s">
        <v>206</v>
      </c>
      <c r="C8315" s="1" t="s">
        <v>33</v>
      </c>
      <c r="D8315" s="1">
        <v>0.2</v>
      </c>
      <c r="E8315" s="1">
        <v>30249.0</v>
      </c>
      <c r="F8315" s="10">
        <f t="shared" si="1"/>
        <v>0.6666666667</v>
      </c>
      <c r="G8315" s="10">
        <f t="array" ref="G8315">index('Player ID'!C:C,match(E8315,'Player ID'!B:B,0))</f>
        <v>676263</v>
      </c>
    </row>
    <row r="8316">
      <c r="A8316" s="76">
        <v>45816.0</v>
      </c>
      <c r="B8316" s="1" t="s">
        <v>299</v>
      </c>
      <c r="C8316" s="1" t="s">
        <v>51</v>
      </c>
      <c r="D8316" s="1">
        <v>4.0</v>
      </c>
      <c r="E8316" s="1">
        <v>14739.0</v>
      </c>
      <c r="F8316" s="10">
        <f t="shared" si="1"/>
        <v>4</v>
      </c>
      <c r="G8316" s="10">
        <f t="array" ref="G8316">index('Player ID'!C:C,match(E8316,'Player ID'!B:B,0))</f>
        <v>621112</v>
      </c>
    </row>
    <row r="8317">
      <c r="A8317" s="76">
        <v>45816.0</v>
      </c>
      <c r="B8317" s="1" t="s">
        <v>288</v>
      </c>
      <c r="C8317" s="1" t="s">
        <v>75</v>
      </c>
      <c r="D8317" s="1">
        <v>1.0</v>
      </c>
      <c r="E8317" s="1">
        <v>18297.0</v>
      </c>
      <c r="F8317" s="10">
        <f t="shared" si="1"/>
        <v>1</v>
      </c>
      <c r="G8317" s="10">
        <f t="array" ref="G8317">index('Player ID'!C:C,match(E8317,'Player ID'!B:B,0))</f>
        <v>641755</v>
      </c>
    </row>
    <row r="8318">
      <c r="A8318" s="76">
        <v>45816.0</v>
      </c>
      <c r="B8318" s="1" t="s">
        <v>386</v>
      </c>
      <c r="C8318" s="1" t="s">
        <v>51</v>
      </c>
      <c r="D8318" s="1">
        <v>5.0</v>
      </c>
      <c r="E8318" s="1">
        <v>21318.0</v>
      </c>
      <c r="F8318" s="10">
        <f t="shared" si="1"/>
        <v>5</v>
      </c>
      <c r="G8318" s="10">
        <f t="array" ref="G8318">index('Player ID'!C:C,match(E8318,'Player ID'!B:B,0))</f>
        <v>656731</v>
      </c>
    </row>
    <row r="8319">
      <c r="A8319" s="76">
        <v>45816.0</v>
      </c>
      <c r="B8319" s="1" t="s">
        <v>468</v>
      </c>
      <c r="C8319" s="1" t="s">
        <v>75</v>
      </c>
      <c r="D8319" s="1">
        <v>1.0</v>
      </c>
      <c r="E8319" s="1">
        <v>23237.0</v>
      </c>
      <c r="F8319" s="10">
        <f t="shared" si="1"/>
        <v>1</v>
      </c>
      <c r="G8319" s="10">
        <f t="array" ref="G8319">index('Player ID'!C:C,match(E8319,'Player ID'!B:B,0))</f>
        <v>675848</v>
      </c>
    </row>
    <row r="8320">
      <c r="A8320" s="76">
        <v>45816.0</v>
      </c>
      <c r="B8320" s="1" t="s">
        <v>365</v>
      </c>
      <c r="C8320" s="1" t="s">
        <v>75</v>
      </c>
      <c r="D8320" s="1">
        <v>2.0</v>
      </c>
      <c r="E8320" s="1">
        <v>24614.0</v>
      </c>
      <c r="F8320" s="10">
        <f t="shared" si="1"/>
        <v>2</v>
      </c>
      <c r="G8320" s="10">
        <f t="array" ref="G8320">index('Player ID'!C:C,match(E8320,'Player ID'!B:B,0))</f>
        <v>680767</v>
      </c>
    </row>
    <row r="8321">
      <c r="A8321" s="76">
        <v>45816.0</v>
      </c>
      <c r="B8321" s="1" t="s">
        <v>512</v>
      </c>
      <c r="C8321" s="1" t="s">
        <v>75</v>
      </c>
      <c r="D8321" s="1">
        <v>1.0</v>
      </c>
      <c r="E8321" s="1">
        <v>31552.0</v>
      </c>
      <c r="F8321" s="10">
        <f t="shared" si="1"/>
        <v>1</v>
      </c>
      <c r="G8321" s="10">
        <f t="array" ref="G8321">index('Player ID'!C:C,match(E8321,'Player ID'!B:B,0))</f>
        <v>688642</v>
      </c>
    </row>
    <row r="8322">
      <c r="A8322" s="76">
        <v>45816.0</v>
      </c>
      <c r="B8322" s="1" t="s">
        <v>488</v>
      </c>
      <c r="C8322" s="1" t="s">
        <v>75</v>
      </c>
      <c r="D8322" s="1">
        <v>1.0</v>
      </c>
      <c r="E8322" s="1">
        <v>33294.0</v>
      </c>
      <c r="F8322" s="10">
        <f t="shared" si="1"/>
        <v>1</v>
      </c>
      <c r="G8322" s="10">
        <f t="array" ref="G8322">index('Player ID'!C:C,match(E8322,'Player ID'!B:B,0))</f>
        <v>678020</v>
      </c>
    </row>
    <row r="8323">
      <c r="A8323" s="76">
        <v>45816.0</v>
      </c>
      <c r="B8323" s="1" t="s">
        <v>495</v>
      </c>
      <c r="C8323" s="1" t="s">
        <v>75</v>
      </c>
      <c r="D8323" s="1">
        <v>3.0</v>
      </c>
      <c r="E8323" s="1">
        <v>33482.0</v>
      </c>
      <c r="F8323" s="10">
        <f t="shared" si="1"/>
        <v>3</v>
      </c>
      <c r="G8323" s="10">
        <f t="array" ref="G8323">index('Player ID'!C:C,match(E8323,'Player ID'!B:B,0))</f>
        <v>801403</v>
      </c>
    </row>
    <row r="8324">
      <c r="A8324" s="76">
        <v>45816.0</v>
      </c>
      <c r="B8324" s="1" t="s">
        <v>668</v>
      </c>
      <c r="C8324" s="1" t="s">
        <v>52</v>
      </c>
      <c r="D8324" s="1">
        <v>0.1</v>
      </c>
      <c r="E8324" s="1">
        <v>3237.0</v>
      </c>
      <c r="F8324" s="10">
        <f t="shared" si="1"/>
        <v>0.3333333333</v>
      </c>
      <c r="G8324" s="10">
        <f t="array" ref="G8324">index('Player ID'!C:C,match(E8324,'Player ID'!B:B,0))</f>
        <v>519008</v>
      </c>
    </row>
    <row r="8325">
      <c r="A8325" s="76">
        <v>45816.0</v>
      </c>
      <c r="B8325" s="1" t="s">
        <v>233</v>
      </c>
      <c r="C8325" s="1" t="s">
        <v>68</v>
      </c>
      <c r="D8325" s="1">
        <v>1.2</v>
      </c>
      <c r="E8325" s="1">
        <v>16427.0</v>
      </c>
      <c r="F8325" s="10">
        <f t="shared" si="1"/>
        <v>1.666666667</v>
      </c>
      <c r="G8325" s="10">
        <f t="array" ref="G8325">index('Player ID'!C:C,match(E8325,'Player ID'!B:B,0))</f>
        <v>656240</v>
      </c>
    </row>
    <row r="8326">
      <c r="A8326" s="76">
        <v>45816.0</v>
      </c>
      <c r="B8326" s="1" t="s">
        <v>415</v>
      </c>
      <c r="C8326" s="1" t="s">
        <v>52</v>
      </c>
      <c r="D8326" s="1">
        <v>3.0</v>
      </c>
      <c r="E8326" s="1">
        <v>16943.0</v>
      </c>
      <c r="F8326" s="10">
        <f t="shared" si="1"/>
        <v>3</v>
      </c>
      <c r="G8326" s="10">
        <f t="array" ref="G8326">index('Player ID'!C:C,match(E8326,'Player ID'!B:B,0))</f>
        <v>656794</v>
      </c>
    </row>
    <row r="8327">
      <c r="A8327" s="76">
        <v>45816.0</v>
      </c>
      <c r="B8327" s="1" t="s">
        <v>240</v>
      </c>
      <c r="C8327" s="1" t="s">
        <v>68</v>
      </c>
      <c r="D8327" s="1">
        <v>1.0</v>
      </c>
      <c r="E8327" s="1">
        <v>19804.0</v>
      </c>
      <c r="F8327" s="10">
        <f t="shared" si="1"/>
        <v>1</v>
      </c>
      <c r="G8327" s="10">
        <f t="array" ref="G8327">index('Player ID'!C:C,match(E8327,'Player ID'!B:B,0))</f>
        <v>641329</v>
      </c>
    </row>
    <row r="8328">
      <c r="A8328" s="76">
        <v>45816.0</v>
      </c>
      <c r="B8328" s="1" t="s">
        <v>389</v>
      </c>
      <c r="C8328" s="1" t="s">
        <v>52</v>
      </c>
      <c r="D8328" s="1">
        <v>4.0</v>
      </c>
      <c r="E8328" s="1">
        <v>25098.0</v>
      </c>
      <c r="F8328" s="10">
        <f t="shared" si="1"/>
        <v>4</v>
      </c>
      <c r="G8328" s="10">
        <f t="array" ref="G8328">index('Player ID'!C:C,match(E8328,'Player ID'!B:B,0))</f>
        <v>682052</v>
      </c>
    </row>
    <row r="8329">
      <c r="A8329" s="76">
        <v>45816.0</v>
      </c>
      <c r="B8329" s="1" t="s">
        <v>235</v>
      </c>
      <c r="C8329" s="1" t="s">
        <v>68</v>
      </c>
      <c r="D8329" s="1">
        <v>1.0</v>
      </c>
      <c r="E8329" s="1">
        <v>25911.0</v>
      </c>
      <c r="F8329" s="10">
        <f t="shared" si="1"/>
        <v>1</v>
      </c>
      <c r="G8329" s="10">
        <f t="array" ref="G8329">index('Player ID'!C:C,match(E8329,'Player ID'!B:B,0))</f>
        <v>666974</v>
      </c>
    </row>
    <row r="8330">
      <c r="A8330" s="76">
        <v>45816.0</v>
      </c>
      <c r="B8330" s="1" t="s">
        <v>681</v>
      </c>
      <c r="C8330" s="1" t="s">
        <v>52</v>
      </c>
      <c r="D8330" s="1">
        <v>0.2</v>
      </c>
      <c r="E8330" s="1">
        <v>30002.0</v>
      </c>
      <c r="F8330" s="10">
        <f t="shared" si="1"/>
        <v>0.6666666667</v>
      </c>
      <c r="G8330" s="10">
        <f t="array" ref="G8330">index('Player ID'!C:C,match(E8330,'Player ID'!B:B,0))</f>
        <v>680880</v>
      </c>
    </row>
    <row r="8331">
      <c r="A8331" s="76">
        <v>45816.0</v>
      </c>
      <c r="B8331" s="1" t="s">
        <v>286</v>
      </c>
      <c r="C8331" s="1" t="s">
        <v>52</v>
      </c>
      <c r="D8331" s="1">
        <v>1.0</v>
      </c>
      <c r="E8331" s="1">
        <v>31757.0</v>
      </c>
      <c r="F8331" s="10">
        <f t="shared" si="1"/>
        <v>1</v>
      </c>
      <c r="G8331" s="10">
        <f t="array" ref="G8331">index('Player ID'!C:C,match(E8331,'Player ID'!B:B,0))</f>
        <v>695243</v>
      </c>
    </row>
    <row r="8332">
      <c r="A8332" s="76">
        <v>45816.0</v>
      </c>
      <c r="B8332" s="1" t="s">
        <v>158</v>
      </c>
      <c r="C8332" s="1" t="s">
        <v>68</v>
      </c>
      <c r="D8332" s="1">
        <v>4.1</v>
      </c>
      <c r="E8332" s="1">
        <v>35321.0</v>
      </c>
      <c r="F8332" s="10">
        <f t="shared" si="1"/>
        <v>4.333333333</v>
      </c>
      <c r="G8332" s="10">
        <f t="array" ref="G8332">index('Player ID'!C:C,match(E8332,'Player ID'!B:B,0))</f>
        <v>608372</v>
      </c>
    </row>
    <row r="8333">
      <c r="A8333" s="76">
        <v>45816.0</v>
      </c>
      <c r="B8333" s="1" t="s">
        <v>326</v>
      </c>
      <c r="C8333" s="1" t="s">
        <v>46</v>
      </c>
      <c r="D8333" s="1">
        <v>1.0</v>
      </c>
      <c r="E8333" s="1">
        <v>12760.0</v>
      </c>
      <c r="F8333" s="10">
        <f t="shared" si="1"/>
        <v>1</v>
      </c>
      <c r="G8333" s="10">
        <f t="array" ref="G8333">index('Player ID'!C:C,match(E8333,'Player ID'!B:B,0))</f>
        <v>606160</v>
      </c>
    </row>
    <row r="8334">
      <c r="A8334" s="76">
        <v>45816.0</v>
      </c>
      <c r="B8334" s="1" t="s">
        <v>346</v>
      </c>
      <c r="C8334" s="1" t="s">
        <v>46</v>
      </c>
      <c r="D8334" s="1">
        <v>0.2</v>
      </c>
      <c r="E8334" s="1">
        <v>18403.0</v>
      </c>
      <c r="F8334" s="10">
        <f t="shared" si="1"/>
        <v>0.6666666667</v>
      </c>
      <c r="G8334" s="10">
        <f t="array" ref="G8334">index('Player ID'!C:C,match(E8334,'Player ID'!B:B,0))</f>
        <v>660853</v>
      </c>
    </row>
    <row r="8335">
      <c r="A8335" s="76">
        <v>45816.0</v>
      </c>
      <c r="B8335" s="1" t="s">
        <v>403</v>
      </c>
      <c r="C8335" s="1" t="s">
        <v>31</v>
      </c>
      <c r="D8335" s="1">
        <v>1.0</v>
      </c>
      <c r="E8335" s="1">
        <v>20423.0</v>
      </c>
      <c r="F8335" s="10">
        <f t="shared" si="1"/>
        <v>1</v>
      </c>
      <c r="G8335" s="10">
        <f t="array" ref="G8335">index('Player ID'!C:C,match(E8335,'Player ID'!B:B,0))</f>
        <v>676254</v>
      </c>
    </row>
    <row r="8336">
      <c r="A8336" s="76">
        <v>45816.0</v>
      </c>
      <c r="B8336" s="1" t="s">
        <v>304</v>
      </c>
      <c r="C8336" s="1" t="s">
        <v>31</v>
      </c>
      <c r="D8336" s="1">
        <v>1.0</v>
      </c>
      <c r="E8336" s="1">
        <v>21992.0</v>
      </c>
      <c r="F8336" s="10">
        <f t="shared" si="1"/>
        <v>1</v>
      </c>
      <c r="G8336" s="10">
        <f t="array" ref="G8336">index('Player ID'!C:C,match(E8336,'Player ID'!B:B,0))</f>
        <v>666808</v>
      </c>
    </row>
    <row r="8337">
      <c r="A8337" s="76">
        <v>45816.0</v>
      </c>
      <c r="B8337" s="1" t="s">
        <v>654</v>
      </c>
      <c r="C8337" s="1" t="s">
        <v>31</v>
      </c>
      <c r="D8337" s="1">
        <v>1.0</v>
      </c>
      <c r="E8337" s="1">
        <v>23974.0</v>
      </c>
      <c r="F8337" s="10">
        <f t="shared" si="1"/>
        <v>1</v>
      </c>
      <c r="G8337" s="10">
        <f t="array" ref="G8337">index('Player ID'!C:C,match(E8337,'Player ID'!B:B,0))</f>
        <v>678495</v>
      </c>
    </row>
    <row r="8338">
      <c r="A8338" s="76">
        <v>45816.0</v>
      </c>
      <c r="B8338" s="1" t="s">
        <v>472</v>
      </c>
      <c r="C8338" s="1" t="s">
        <v>46</v>
      </c>
      <c r="D8338" s="1">
        <v>6.0</v>
      </c>
      <c r="E8338" s="1">
        <v>27498.0</v>
      </c>
      <c r="F8338" s="10">
        <f t="shared" si="1"/>
        <v>6</v>
      </c>
      <c r="G8338" s="10">
        <f t="array" ref="G8338">index('Player ID'!C:C,match(E8338,'Player ID'!B:B,0))</f>
        <v>675911</v>
      </c>
    </row>
    <row r="8339">
      <c r="A8339" s="76">
        <v>45816.0</v>
      </c>
      <c r="B8339" s="1" t="s">
        <v>209</v>
      </c>
      <c r="C8339" s="1" t="s">
        <v>31</v>
      </c>
      <c r="D8339" s="1">
        <v>6.0</v>
      </c>
      <c r="E8339" s="1">
        <v>30076.0</v>
      </c>
      <c r="F8339" s="10">
        <f t="shared" si="1"/>
        <v>6</v>
      </c>
      <c r="G8339" s="10">
        <f t="array" ref="G8339">index('Player ID'!C:C,match(E8339,'Player ID'!B:B,0))</f>
        <v>694738</v>
      </c>
    </row>
    <row r="8340">
      <c r="A8340" s="76">
        <v>45816.0</v>
      </c>
      <c r="B8340" s="1" t="s">
        <v>834</v>
      </c>
      <c r="C8340" s="1" t="s">
        <v>25</v>
      </c>
      <c r="D8340" s="1">
        <v>2.1</v>
      </c>
      <c r="E8340" s="1">
        <v>7836.0</v>
      </c>
      <c r="F8340" s="10">
        <f t="shared" si="1"/>
        <v>2.333333333</v>
      </c>
      <c r="G8340" s="10" t="str">
        <f t="array" ref="G8340">index('Player ID'!C:C,match(E8340,'Player ID'!B:B,0))</f>
        <v>#N/A</v>
      </c>
    </row>
    <row r="8341">
      <c r="A8341" s="76">
        <v>45816.0</v>
      </c>
      <c r="B8341" s="1" t="s">
        <v>278</v>
      </c>
      <c r="C8341" s="1" t="s">
        <v>25</v>
      </c>
      <c r="D8341" s="1">
        <v>4.2</v>
      </c>
      <c r="E8341" s="1">
        <v>12880.0</v>
      </c>
      <c r="F8341" s="10">
        <f t="shared" si="1"/>
        <v>4.666666667</v>
      </c>
      <c r="G8341" s="10">
        <f t="array" ref="G8341">index('Player ID'!C:C,match(E8341,'Player ID'!B:B,0))</f>
        <v>542881</v>
      </c>
    </row>
    <row r="8342">
      <c r="A8342" s="76">
        <v>45816.0</v>
      </c>
      <c r="B8342" s="1" t="s">
        <v>291</v>
      </c>
      <c r="C8342" s="1" t="s">
        <v>25</v>
      </c>
      <c r="D8342" s="1">
        <v>0.1</v>
      </c>
      <c r="E8342" s="1">
        <v>17968.0</v>
      </c>
      <c r="F8342" s="10">
        <f t="shared" si="1"/>
        <v>0.3333333333</v>
      </c>
      <c r="G8342" s="10">
        <f t="array" ref="G8342">index('Player ID'!C:C,match(E8342,'Player ID'!B:B,0))</f>
        <v>656271</v>
      </c>
    </row>
    <row r="8343">
      <c r="A8343" s="76">
        <v>45816.0</v>
      </c>
      <c r="B8343" s="1" t="s">
        <v>670</v>
      </c>
      <c r="C8343" s="1" t="s">
        <v>37</v>
      </c>
      <c r="D8343" s="1">
        <v>1.0</v>
      </c>
      <c r="E8343" s="1">
        <v>20373.0</v>
      </c>
      <c r="F8343" s="10">
        <f t="shared" si="1"/>
        <v>1</v>
      </c>
      <c r="G8343" s="10">
        <f t="array" ref="G8343">index('Player ID'!C:C,match(E8343,'Player ID'!B:B,0))</f>
        <v>662253</v>
      </c>
    </row>
    <row r="8344">
      <c r="A8344" s="76">
        <v>45816.0</v>
      </c>
      <c r="B8344" s="1" t="s">
        <v>164</v>
      </c>
      <c r="C8344" s="1" t="s">
        <v>37</v>
      </c>
      <c r="D8344" s="1">
        <v>7.0</v>
      </c>
      <c r="E8344" s="1">
        <v>25436.0</v>
      </c>
      <c r="F8344" s="10">
        <f t="shared" si="1"/>
        <v>7</v>
      </c>
      <c r="G8344" s="10">
        <f t="array" ref="G8344">index('Player ID'!C:C,match(E8344,'Player ID'!B:B,0))</f>
        <v>669923</v>
      </c>
    </row>
    <row r="8345">
      <c r="A8345" s="76">
        <v>45816.0</v>
      </c>
      <c r="B8345" s="1" t="s">
        <v>254</v>
      </c>
      <c r="C8345" s="1" t="s">
        <v>37</v>
      </c>
      <c r="D8345" s="1">
        <v>1.0</v>
      </c>
      <c r="E8345" s="1">
        <v>25756.0</v>
      </c>
      <c r="F8345" s="10">
        <f t="shared" si="1"/>
        <v>1</v>
      </c>
      <c r="G8345" s="10">
        <f t="array" ref="G8345">index('Player ID'!C:C,match(E8345,'Player ID'!B:B,0))</f>
        <v>666374</v>
      </c>
    </row>
    <row r="8346">
      <c r="A8346" s="76">
        <v>45816.0</v>
      </c>
      <c r="B8346" s="1" t="s">
        <v>381</v>
      </c>
      <c r="C8346" s="1" t="s">
        <v>25</v>
      </c>
      <c r="D8346" s="1">
        <v>1.2</v>
      </c>
      <c r="E8346" s="1">
        <v>33908.0</v>
      </c>
      <c r="F8346" s="10">
        <f t="shared" si="1"/>
        <v>1.666666667</v>
      </c>
      <c r="G8346" s="10">
        <f t="array" ref="G8346">index('Player ID'!C:C,match(E8346,'Player ID'!B:B,0))</f>
        <v>820862</v>
      </c>
    </row>
    <row r="8347">
      <c r="A8347" s="76">
        <v>45817.0</v>
      </c>
      <c r="B8347" s="1" t="s">
        <v>605</v>
      </c>
      <c r="C8347" s="1" t="s">
        <v>66</v>
      </c>
      <c r="D8347" s="1">
        <v>5.0</v>
      </c>
      <c r="E8347" s="1">
        <v>8779.0</v>
      </c>
      <c r="F8347" s="10">
        <f t="shared" si="1"/>
        <v>5</v>
      </c>
      <c r="G8347" s="10">
        <f t="array" ref="G8347">index('Player ID'!C:C,match(E8347,'Player ID'!B:B,0))</f>
        <v>489119</v>
      </c>
    </row>
    <row r="8348">
      <c r="A8348" s="76">
        <v>45817.0</v>
      </c>
      <c r="B8348" s="1" t="s">
        <v>117</v>
      </c>
      <c r="C8348" s="1" t="s">
        <v>70</v>
      </c>
      <c r="D8348" s="1">
        <v>1.0</v>
      </c>
      <c r="E8348" s="1">
        <v>13619.0</v>
      </c>
      <c r="F8348" s="10">
        <f t="shared" si="1"/>
        <v>1</v>
      </c>
      <c r="G8348" s="10">
        <f t="array" ref="G8348">index('Player ID'!C:C,match(E8348,'Player ID'!B:B,0))</f>
        <v>596001</v>
      </c>
    </row>
    <row r="8349">
      <c r="A8349" s="76">
        <v>45817.0</v>
      </c>
      <c r="B8349" s="1" t="s">
        <v>651</v>
      </c>
      <c r="C8349" s="1" t="s">
        <v>66</v>
      </c>
      <c r="D8349" s="1">
        <v>1.0</v>
      </c>
      <c r="E8349" s="1">
        <v>14771.0</v>
      </c>
      <c r="F8349" s="10">
        <f t="shared" si="1"/>
        <v>1</v>
      </c>
      <c r="G8349" s="10">
        <f t="array" ref="G8349">index('Player ID'!C:C,match(E8349,'Player ID'!B:B,0))</f>
        <v>641941</v>
      </c>
    </row>
    <row r="8350">
      <c r="A8350" s="76">
        <v>45817.0</v>
      </c>
      <c r="B8350" s="1" t="s">
        <v>653</v>
      </c>
      <c r="C8350" s="1" t="s">
        <v>66</v>
      </c>
      <c r="D8350" s="1">
        <v>1.0</v>
      </c>
      <c r="E8350" s="1">
        <v>17871.0</v>
      </c>
      <c r="F8350" s="10">
        <f t="shared" si="1"/>
        <v>1</v>
      </c>
      <c r="G8350" s="10">
        <f t="array" ref="G8350">index('Player ID'!C:C,match(E8350,'Player ID'!B:B,0))</f>
        <v>664139</v>
      </c>
    </row>
    <row r="8351">
      <c r="A8351" s="76">
        <v>45817.0</v>
      </c>
      <c r="B8351" s="1" t="s">
        <v>259</v>
      </c>
      <c r="C8351" s="1" t="s">
        <v>70</v>
      </c>
      <c r="D8351" s="1">
        <v>2.0</v>
      </c>
      <c r="E8351" s="1">
        <v>18694.0</v>
      </c>
      <c r="F8351" s="10">
        <f t="shared" si="1"/>
        <v>2</v>
      </c>
      <c r="G8351" s="10">
        <f t="array" ref="G8351">index('Player ID'!C:C,match(E8351,'Player ID'!B:B,0))</f>
        <v>663465</v>
      </c>
    </row>
    <row r="8352">
      <c r="A8352" s="76">
        <v>45817.0</v>
      </c>
      <c r="B8352" s="1" t="s">
        <v>141</v>
      </c>
      <c r="C8352" s="1" t="s">
        <v>70</v>
      </c>
      <c r="D8352" s="1">
        <v>1.0</v>
      </c>
      <c r="E8352" s="1">
        <v>19330.0</v>
      </c>
      <c r="F8352" s="10">
        <f t="shared" si="1"/>
        <v>1</v>
      </c>
      <c r="G8352" s="10">
        <f t="array" ref="G8352">index('Player ID'!C:C,match(E8352,'Player ID'!B:B,0))</f>
        <v>670036</v>
      </c>
    </row>
    <row r="8353">
      <c r="A8353" s="76">
        <v>45817.0</v>
      </c>
      <c r="B8353" s="1" t="s">
        <v>345</v>
      </c>
      <c r="C8353" s="1" t="s">
        <v>66</v>
      </c>
      <c r="D8353" s="1">
        <v>1.0</v>
      </c>
      <c r="E8353" s="1">
        <v>19926.0</v>
      </c>
      <c r="F8353" s="10">
        <f t="shared" si="1"/>
        <v>1</v>
      </c>
      <c r="G8353" s="10">
        <f t="array" ref="G8353">index('Player ID'!C:C,match(E8353,'Player ID'!B:B,0))</f>
        <v>663574</v>
      </c>
    </row>
    <row r="8354">
      <c r="A8354" s="76">
        <v>45817.0</v>
      </c>
      <c r="B8354" s="1" t="s">
        <v>519</v>
      </c>
      <c r="C8354" s="1" t="s">
        <v>70</v>
      </c>
      <c r="D8354" s="1">
        <v>0.1</v>
      </c>
      <c r="E8354" s="1">
        <v>25139.0</v>
      </c>
      <c r="F8354" s="10">
        <f t="shared" si="1"/>
        <v>0.3333333333</v>
      </c>
      <c r="G8354" s="10">
        <f t="array" ref="G8354">index('Player ID'!C:C,match(E8354,'Player ID'!B:B,0))</f>
        <v>682120</v>
      </c>
    </row>
    <row r="8355">
      <c r="A8355" s="76">
        <v>45817.0</v>
      </c>
      <c r="B8355" s="1" t="s">
        <v>211</v>
      </c>
      <c r="C8355" s="1" t="s">
        <v>66</v>
      </c>
      <c r="D8355" s="1">
        <v>1.0</v>
      </c>
      <c r="E8355" s="1">
        <v>27552.0</v>
      </c>
      <c r="F8355" s="10">
        <f t="shared" si="1"/>
        <v>1</v>
      </c>
      <c r="G8355" s="10">
        <f t="array" ref="G8355">index('Player ID'!C:C,match(E8355,'Player ID'!B:B,0))</f>
        <v>668933</v>
      </c>
    </row>
    <row r="8356">
      <c r="A8356" s="76">
        <v>45817.0</v>
      </c>
      <c r="B8356" s="1" t="s">
        <v>484</v>
      </c>
      <c r="C8356" s="1" t="s">
        <v>70</v>
      </c>
      <c r="D8356" s="1">
        <v>4.2</v>
      </c>
      <c r="E8356" s="1">
        <v>27646.0</v>
      </c>
      <c r="F8356" s="10">
        <f t="shared" si="1"/>
        <v>4.666666667</v>
      </c>
      <c r="G8356" s="10">
        <f t="array" ref="G8356">index('Player ID'!C:C,match(E8356,'Player ID'!B:B,0))</f>
        <v>682847</v>
      </c>
    </row>
    <row r="8357">
      <c r="A8357" s="76">
        <v>45817.0</v>
      </c>
      <c r="B8357" s="1" t="s">
        <v>107</v>
      </c>
      <c r="C8357" s="1" t="s">
        <v>60</v>
      </c>
      <c r="D8357" s="1">
        <v>2.0</v>
      </c>
      <c r="E8357" s="1">
        <v>19349.0</v>
      </c>
      <c r="F8357" s="10">
        <f t="shared" si="1"/>
        <v>2</v>
      </c>
      <c r="G8357" s="10">
        <f t="array" ref="G8357">index('Player ID'!C:C,match(E8357,'Player ID'!B:B,0))</f>
        <v>657571</v>
      </c>
    </row>
    <row r="8358">
      <c r="A8358" s="76">
        <v>45817.0</v>
      </c>
      <c r="B8358" s="1" t="s">
        <v>61</v>
      </c>
      <c r="C8358" s="1" t="s">
        <v>36</v>
      </c>
      <c r="D8358" s="1">
        <v>1.0</v>
      </c>
      <c r="E8358" s="1">
        <v>20629.0</v>
      </c>
      <c r="F8358" s="10">
        <f t="shared" si="1"/>
        <v>1</v>
      </c>
      <c r="G8358" s="10">
        <f t="array" ref="G8358">index('Player ID'!C:C,match(E8358,'Player ID'!B:B,0))</f>
        <v>663969</v>
      </c>
    </row>
    <row r="8359">
      <c r="A8359" s="76">
        <v>45817.0</v>
      </c>
      <c r="B8359" s="1" t="s">
        <v>463</v>
      </c>
      <c r="C8359" s="1" t="s">
        <v>60</v>
      </c>
      <c r="D8359" s="1">
        <v>0.2</v>
      </c>
      <c r="E8359" s="1">
        <v>21544.0</v>
      </c>
      <c r="F8359" s="10">
        <f t="shared" si="1"/>
        <v>0.6666666667</v>
      </c>
      <c r="G8359" s="10">
        <f t="array" ref="G8359">index('Player ID'!C:C,match(E8359,'Player ID'!B:B,0))</f>
        <v>663767</v>
      </c>
    </row>
    <row r="8360">
      <c r="A8360" s="76">
        <v>45817.0</v>
      </c>
      <c r="B8360" s="1" t="s">
        <v>35</v>
      </c>
      <c r="C8360" s="1" t="s">
        <v>36</v>
      </c>
      <c r="D8360" s="1">
        <v>4.0</v>
      </c>
      <c r="E8360" s="1">
        <v>23301.0</v>
      </c>
      <c r="F8360" s="10">
        <f t="shared" si="1"/>
        <v>4</v>
      </c>
      <c r="G8360" s="10">
        <f t="array" ref="G8360">index('Player ID'!C:C,match(E8360,'Player ID'!B:B,0))</f>
        <v>676083</v>
      </c>
    </row>
    <row r="8361">
      <c r="A8361" s="76">
        <v>45817.0</v>
      </c>
      <c r="B8361" s="1" t="s">
        <v>320</v>
      </c>
      <c r="C8361" s="1" t="s">
        <v>60</v>
      </c>
      <c r="D8361" s="1">
        <v>4.1</v>
      </c>
      <c r="E8361" s="1">
        <v>24728.0</v>
      </c>
      <c r="F8361" s="10">
        <f t="shared" si="1"/>
        <v>4.333333333</v>
      </c>
      <c r="G8361" s="10">
        <f t="array" ref="G8361">index('Player ID'!C:C,match(E8361,'Player ID'!B:B,0))</f>
        <v>681347</v>
      </c>
    </row>
    <row r="8362">
      <c r="A8362" s="76">
        <v>45817.0</v>
      </c>
      <c r="B8362" s="1" t="s">
        <v>871</v>
      </c>
      <c r="C8362" s="1" t="s">
        <v>36</v>
      </c>
      <c r="D8362" s="1">
        <v>3.0</v>
      </c>
      <c r="E8362" s="1">
        <v>27768.0</v>
      </c>
      <c r="F8362" s="10">
        <f t="shared" si="1"/>
        <v>3</v>
      </c>
      <c r="G8362" s="10">
        <f t="array" ref="G8362">index('Player ID'!C:C,match(E8362,'Player ID'!B:B,0))</f>
        <v>691587</v>
      </c>
    </row>
    <row r="8363">
      <c r="A8363" s="76">
        <v>45817.0</v>
      </c>
      <c r="B8363" s="1" t="s">
        <v>482</v>
      </c>
      <c r="C8363" s="1" t="s">
        <v>60</v>
      </c>
      <c r="D8363" s="1">
        <v>2.0</v>
      </c>
      <c r="E8363" s="1">
        <v>27775.0</v>
      </c>
      <c r="F8363" s="10">
        <f t="shared" si="1"/>
        <v>2</v>
      </c>
      <c r="G8363" s="10">
        <f t="array" ref="G8363">index('Player ID'!C:C,match(E8363,'Player ID'!B:B,0))</f>
        <v>693312</v>
      </c>
    </row>
    <row r="8364">
      <c r="A8364" s="76">
        <v>45817.0</v>
      </c>
      <c r="B8364" s="1" t="s">
        <v>460</v>
      </c>
      <c r="C8364" s="1" t="s">
        <v>34</v>
      </c>
      <c r="D8364" s="1">
        <v>1.0</v>
      </c>
      <c r="E8364" s="1">
        <v>7005.0</v>
      </c>
      <c r="F8364" s="10">
        <f t="shared" si="1"/>
        <v>1</v>
      </c>
      <c r="G8364" s="10">
        <f t="array" ref="G8364">index('Player ID'!C:C,match(E8364,'Player ID'!B:B,0))</f>
        <v>519151</v>
      </c>
    </row>
    <row r="8365">
      <c r="A8365" s="76">
        <v>45817.0</v>
      </c>
      <c r="B8365" s="1" t="s">
        <v>79</v>
      </c>
      <c r="C8365" s="1" t="s">
        <v>45</v>
      </c>
      <c r="D8365" s="1">
        <v>6.0</v>
      </c>
      <c r="E8365" s="1">
        <v>10310.0</v>
      </c>
      <c r="F8365" s="10">
        <f t="shared" si="1"/>
        <v>6</v>
      </c>
      <c r="G8365" s="10">
        <f t="array" ref="G8365">index('Player ID'!C:C,match(E8365,'Player ID'!B:B,0))</f>
        <v>554430</v>
      </c>
    </row>
    <row r="8366">
      <c r="A8366" s="76">
        <v>45817.0</v>
      </c>
      <c r="B8366" s="1" t="s">
        <v>203</v>
      </c>
      <c r="C8366" s="1" t="s">
        <v>34</v>
      </c>
      <c r="D8366" s="1">
        <v>0.2</v>
      </c>
      <c r="E8366" s="1">
        <v>11426.0</v>
      </c>
      <c r="F8366" s="10">
        <f t="shared" si="1"/>
        <v>0.6666666667</v>
      </c>
      <c r="G8366" s="10">
        <f t="array" ref="G8366">index('Player ID'!C:C,match(E8366,'Player ID'!B:B,0))</f>
        <v>519141</v>
      </c>
    </row>
    <row r="8367">
      <c r="A8367" s="76">
        <v>45817.0</v>
      </c>
      <c r="B8367" s="1" t="s">
        <v>182</v>
      </c>
      <c r="C8367" s="1" t="s">
        <v>45</v>
      </c>
      <c r="D8367" s="1">
        <v>1.0</v>
      </c>
      <c r="E8367" s="1">
        <v>13799.0</v>
      </c>
      <c r="F8367" s="10">
        <f t="shared" si="1"/>
        <v>1</v>
      </c>
      <c r="G8367" s="10">
        <f t="array" ref="G8367">index('Player ID'!C:C,match(E8367,'Player ID'!B:B,0))</f>
        <v>621381</v>
      </c>
    </row>
    <row r="8368">
      <c r="A8368" s="76">
        <v>45817.0</v>
      </c>
      <c r="B8368" s="1" t="s">
        <v>246</v>
      </c>
      <c r="C8368" s="1" t="s">
        <v>34</v>
      </c>
      <c r="D8368" s="1">
        <v>6.0</v>
      </c>
      <c r="E8368" s="1">
        <v>15440.0</v>
      </c>
      <c r="F8368" s="10">
        <f t="shared" si="1"/>
        <v>6</v>
      </c>
      <c r="G8368" s="10">
        <f t="array" ref="G8368">index('Player ID'!C:C,match(E8368,'Player ID'!B:B,0))</f>
        <v>571510</v>
      </c>
    </row>
    <row r="8369">
      <c r="A8369" s="76">
        <v>45817.0</v>
      </c>
      <c r="B8369" s="1" t="s">
        <v>297</v>
      </c>
      <c r="C8369" s="1" t="s">
        <v>34</v>
      </c>
      <c r="D8369" s="1">
        <v>1.1</v>
      </c>
      <c r="E8369" s="1">
        <v>15734.0</v>
      </c>
      <c r="F8369" s="10">
        <f t="shared" si="1"/>
        <v>1.333333333</v>
      </c>
      <c r="G8369" s="10">
        <f t="array" ref="G8369">index('Player ID'!C:C,match(E8369,'Player ID'!B:B,0))</f>
        <v>641745</v>
      </c>
    </row>
    <row r="8370">
      <c r="A8370" s="76">
        <v>45817.0</v>
      </c>
      <c r="B8370" s="1" t="s">
        <v>208</v>
      </c>
      <c r="C8370" s="1" t="s">
        <v>45</v>
      </c>
      <c r="D8370" s="1">
        <v>1.0</v>
      </c>
      <c r="E8370" s="1">
        <v>16122.0</v>
      </c>
      <c r="F8370" s="10">
        <f t="shared" si="1"/>
        <v>1</v>
      </c>
      <c r="G8370" s="10">
        <f t="array" ref="G8370">index('Player ID'!C:C,match(E8370,'Player ID'!B:B,0))</f>
        <v>605447</v>
      </c>
    </row>
    <row r="8371">
      <c r="A8371" s="76">
        <v>45817.0</v>
      </c>
      <c r="B8371" s="1" t="s">
        <v>138</v>
      </c>
      <c r="C8371" s="1" t="s">
        <v>45</v>
      </c>
      <c r="D8371" s="1">
        <v>1.0</v>
      </c>
      <c r="E8371" s="1">
        <v>16990.0</v>
      </c>
      <c r="F8371" s="10">
        <f t="shared" si="1"/>
        <v>1</v>
      </c>
      <c r="G8371" s="10">
        <f t="array" ref="G8371">index('Player ID'!C:C,match(E8371,'Player ID'!B:B,0))</f>
        <v>621383</v>
      </c>
    </row>
    <row r="8372">
      <c r="A8372" s="76">
        <v>45817.0</v>
      </c>
      <c r="B8372" s="1" t="s">
        <v>701</v>
      </c>
      <c r="C8372" s="1" t="s">
        <v>45</v>
      </c>
      <c r="D8372" s="1">
        <v>1.0</v>
      </c>
      <c r="E8372" s="1">
        <v>22713.0</v>
      </c>
      <c r="F8372" s="10">
        <f t="shared" si="1"/>
        <v>1</v>
      </c>
      <c r="G8372" s="10">
        <f t="array" ref="G8372">index('Player ID'!C:C,match(E8372,'Player ID'!B:B,0))</f>
        <v>672578</v>
      </c>
    </row>
    <row r="8373">
      <c r="A8373" s="76">
        <v>45817.0</v>
      </c>
      <c r="B8373" s="1" t="s">
        <v>167</v>
      </c>
      <c r="C8373" s="1" t="s">
        <v>34</v>
      </c>
      <c r="D8373" s="1">
        <v>1.0</v>
      </c>
      <c r="E8373" s="1">
        <v>27914.0</v>
      </c>
      <c r="F8373" s="10">
        <f t="shared" si="1"/>
        <v>1</v>
      </c>
      <c r="G8373" s="10">
        <f t="array" ref="G8373">index('Player ID'!C:C,match(E8373,'Player ID'!B:B,0))</f>
        <v>694037</v>
      </c>
    </row>
    <row r="8374">
      <c r="A8374" s="76">
        <v>45817.0</v>
      </c>
      <c r="B8374" s="1" t="s">
        <v>165</v>
      </c>
      <c r="C8374" s="1" t="s">
        <v>45</v>
      </c>
      <c r="D8374" s="1">
        <v>1.0</v>
      </c>
      <c r="E8374" s="1">
        <v>31776.0</v>
      </c>
      <c r="F8374" s="10">
        <f t="shared" si="1"/>
        <v>1</v>
      </c>
      <c r="G8374" s="10">
        <f t="array" ref="G8374">index('Player ID'!C:C,match(E8374,'Player ID'!B:B,0))</f>
        <v>689147</v>
      </c>
    </row>
    <row r="8375">
      <c r="A8375" s="76">
        <v>45817.0</v>
      </c>
      <c r="B8375" s="1" t="s">
        <v>41</v>
      </c>
      <c r="C8375" s="1" t="s">
        <v>22</v>
      </c>
      <c r="D8375" s="1">
        <v>1.0</v>
      </c>
      <c r="E8375" s="1">
        <v>10233.0</v>
      </c>
      <c r="F8375" s="10">
        <f t="shared" si="1"/>
        <v>1</v>
      </c>
      <c r="G8375" s="10">
        <f t="array" ref="G8375">index('Player ID'!C:C,match(E8375,'Player ID'!B:B,0))</f>
        <v>547973</v>
      </c>
    </row>
    <row r="8376">
      <c r="A8376" s="76">
        <v>45817.0</v>
      </c>
      <c r="B8376" s="1" t="s">
        <v>493</v>
      </c>
      <c r="C8376" s="1" t="s">
        <v>22</v>
      </c>
      <c r="D8376" s="1">
        <v>0.1</v>
      </c>
      <c r="E8376" s="1">
        <v>16835.0</v>
      </c>
      <c r="F8376" s="10">
        <f t="shared" si="1"/>
        <v>0.3333333333</v>
      </c>
      <c r="G8376" s="10">
        <f t="array" ref="G8376">index('Player ID'!C:C,match(E8376,'Player ID'!B:B,0))</f>
        <v>657514</v>
      </c>
    </row>
    <row r="8377">
      <c r="A8377" s="76">
        <v>45817.0</v>
      </c>
      <c r="B8377" s="1" t="s">
        <v>185</v>
      </c>
      <c r="C8377" s="1" t="s">
        <v>54</v>
      </c>
      <c r="D8377" s="1">
        <v>0.2</v>
      </c>
      <c r="E8377" s="1">
        <v>17897.0</v>
      </c>
      <c r="F8377" s="10">
        <f t="shared" si="1"/>
        <v>0.6666666667</v>
      </c>
      <c r="G8377" s="10">
        <f t="array" ref="G8377">index('Player ID'!C:C,match(E8377,'Player ID'!B:B,0))</f>
        <v>664076</v>
      </c>
    </row>
    <row r="8378">
      <c r="A8378" s="76">
        <v>45817.0</v>
      </c>
      <c r="B8378" s="1" t="s">
        <v>261</v>
      </c>
      <c r="C8378" s="1" t="s">
        <v>54</v>
      </c>
      <c r="D8378" s="1">
        <v>1.1</v>
      </c>
      <c r="E8378" s="1">
        <v>17998.0</v>
      </c>
      <c r="F8378" s="10">
        <f t="shared" si="1"/>
        <v>1.333333333</v>
      </c>
      <c r="G8378" s="10">
        <f t="array" ref="G8378">index('Player ID'!C:C,match(E8378,'Player ID'!B:B,0))</f>
        <v>664126</v>
      </c>
    </row>
    <row r="8379">
      <c r="A8379" s="76">
        <v>45817.0</v>
      </c>
      <c r="B8379" s="1" t="s">
        <v>134</v>
      </c>
      <c r="C8379" s="1" t="s">
        <v>22</v>
      </c>
      <c r="D8379" s="1">
        <v>1.0</v>
      </c>
      <c r="E8379" s="1">
        <v>20349.0</v>
      </c>
      <c r="F8379" s="10">
        <f t="shared" si="1"/>
        <v>1</v>
      </c>
      <c r="G8379" s="10">
        <f t="array" ref="G8379">index('Player ID'!C:C,match(E8379,'Player ID'!B:B,0))</f>
        <v>677161</v>
      </c>
    </row>
    <row r="8380">
      <c r="A8380" s="76">
        <v>45817.0</v>
      </c>
      <c r="B8380" s="1" t="s">
        <v>705</v>
      </c>
      <c r="C8380" s="1" t="s">
        <v>54</v>
      </c>
      <c r="D8380" s="1">
        <v>1.0</v>
      </c>
      <c r="E8380" s="1">
        <v>20794.0</v>
      </c>
      <c r="F8380" s="10">
        <f t="shared" si="1"/>
        <v>1</v>
      </c>
      <c r="G8380" s="10">
        <f t="array" ref="G8380">index('Player ID'!C:C,match(E8380,'Player ID'!B:B,0))</f>
        <v>655889</v>
      </c>
    </row>
    <row r="8381">
      <c r="A8381" s="76">
        <v>45817.0</v>
      </c>
      <c r="B8381" s="1" t="s">
        <v>242</v>
      </c>
      <c r="C8381" s="1" t="s">
        <v>54</v>
      </c>
      <c r="D8381" s="1">
        <v>5.1</v>
      </c>
      <c r="E8381" s="1">
        <v>22264.0</v>
      </c>
      <c r="F8381" s="10">
        <f t="shared" si="1"/>
        <v>5.333333333</v>
      </c>
      <c r="G8381" s="10">
        <f t="array" ref="G8381">index('Player ID'!C:C,match(E8381,'Player ID'!B:B,0))</f>
        <v>669358</v>
      </c>
    </row>
    <row r="8382">
      <c r="A8382" s="76">
        <v>45817.0</v>
      </c>
      <c r="B8382" s="1" t="s">
        <v>410</v>
      </c>
      <c r="C8382" s="1" t="s">
        <v>22</v>
      </c>
      <c r="D8382" s="1">
        <v>6.1</v>
      </c>
      <c r="E8382" s="1">
        <v>23920.0</v>
      </c>
      <c r="F8382" s="10">
        <f t="shared" si="1"/>
        <v>6.333333333</v>
      </c>
      <c r="G8382" s="10">
        <f t="array" ref="G8382">index('Player ID'!C:C,match(E8382,'Player ID'!B:B,0))</f>
        <v>678394</v>
      </c>
    </row>
    <row r="8383">
      <c r="A8383" s="76">
        <v>45817.0</v>
      </c>
      <c r="B8383" s="1" t="s">
        <v>257</v>
      </c>
      <c r="C8383" s="1" t="s">
        <v>54</v>
      </c>
      <c r="D8383" s="1">
        <v>0.2</v>
      </c>
      <c r="E8383" s="1">
        <v>27626.0</v>
      </c>
      <c r="F8383" s="10">
        <f t="shared" si="1"/>
        <v>0.6666666667</v>
      </c>
      <c r="G8383" s="10">
        <f t="array" ref="G8383">index('Player ID'!C:C,match(E8383,'Player ID'!B:B,0))</f>
        <v>679358</v>
      </c>
    </row>
    <row r="8384">
      <c r="A8384" s="76">
        <v>45817.0</v>
      </c>
      <c r="B8384" s="1" t="s">
        <v>364</v>
      </c>
      <c r="C8384" s="1" t="s">
        <v>54</v>
      </c>
      <c r="D8384" s="1">
        <v>2.0</v>
      </c>
      <c r="E8384" s="1">
        <v>27932.0</v>
      </c>
      <c r="F8384" s="10">
        <f t="shared" si="1"/>
        <v>2</v>
      </c>
      <c r="G8384" s="10" t="str">
        <f t="array" ref="G8384">index('Player ID'!C:C,match(E8384,'Player ID'!B:B,0))</f>
        <v>#N/A</v>
      </c>
    </row>
    <row r="8385">
      <c r="A8385" s="76">
        <v>45817.0</v>
      </c>
      <c r="B8385" s="1" t="s">
        <v>720</v>
      </c>
      <c r="C8385" s="1" t="s">
        <v>22</v>
      </c>
      <c r="D8385" s="1">
        <v>2.1</v>
      </c>
      <c r="E8385" s="1">
        <v>31184.0</v>
      </c>
      <c r="F8385" s="10">
        <f t="shared" si="1"/>
        <v>2.333333333</v>
      </c>
      <c r="G8385" s="10">
        <f t="array" ref="G8385">index('Player ID'!C:C,match(E8385,'Player ID'!B:B,0))</f>
        <v>692285</v>
      </c>
    </row>
    <row r="8386">
      <c r="A8386" s="76">
        <v>45817.0</v>
      </c>
      <c r="B8386" s="1" t="s">
        <v>156</v>
      </c>
      <c r="C8386" s="1" t="s">
        <v>46</v>
      </c>
      <c r="D8386" s="1">
        <v>7.0</v>
      </c>
      <c r="E8386" s="1">
        <v>10603.0</v>
      </c>
      <c r="F8386" s="10">
        <f t="shared" si="1"/>
        <v>7</v>
      </c>
      <c r="G8386" s="10">
        <f t="array" ref="G8386">index('Player ID'!C:C,match(E8386,'Player ID'!B:B,0))</f>
        <v>519242</v>
      </c>
    </row>
    <row r="8387">
      <c r="A8387" s="76">
        <v>45817.0</v>
      </c>
      <c r="B8387" s="1" t="s">
        <v>184</v>
      </c>
      <c r="C8387" s="1" t="s">
        <v>46</v>
      </c>
      <c r="D8387" s="1">
        <v>1.0</v>
      </c>
      <c r="E8387" s="1">
        <v>17130.0</v>
      </c>
      <c r="F8387" s="10">
        <f t="shared" si="1"/>
        <v>1</v>
      </c>
      <c r="G8387" s="10">
        <f t="array" ref="G8387">index('Player ID'!C:C,match(E8387,'Player ID'!B:B,0))</f>
        <v>628452</v>
      </c>
    </row>
    <row r="8388">
      <c r="A8388" s="76">
        <v>45817.0</v>
      </c>
      <c r="B8388" s="1" t="s">
        <v>491</v>
      </c>
      <c r="C8388" s="1" t="s">
        <v>14</v>
      </c>
      <c r="D8388" s="1">
        <v>4.2</v>
      </c>
      <c r="E8388" s="1">
        <v>19479.0</v>
      </c>
      <c r="F8388" s="10">
        <f t="shared" si="1"/>
        <v>4.666666667</v>
      </c>
      <c r="G8388" s="10">
        <f t="array" ref="G8388">index('Player ID'!C:C,match(E8388,'Player ID'!B:B,0))</f>
        <v>650644</v>
      </c>
    </row>
    <row r="8389">
      <c r="A8389" s="76">
        <v>45817.0</v>
      </c>
      <c r="B8389" s="1" t="s">
        <v>91</v>
      </c>
      <c r="C8389" s="1" t="s">
        <v>46</v>
      </c>
      <c r="D8389" s="1">
        <v>1.0</v>
      </c>
      <c r="E8389" s="1">
        <v>19996.0</v>
      </c>
      <c r="F8389" s="10">
        <f t="shared" si="1"/>
        <v>1</v>
      </c>
      <c r="G8389" s="10">
        <f t="array" ref="G8389">index('Player ID'!C:C,match(E8389,'Player ID'!B:B,0))</f>
        <v>669276</v>
      </c>
    </row>
    <row r="8390">
      <c r="A8390" s="76">
        <v>45817.0</v>
      </c>
      <c r="B8390" s="1" t="s">
        <v>318</v>
      </c>
      <c r="C8390" s="1" t="s">
        <v>14</v>
      </c>
      <c r="D8390" s="1">
        <v>1.1</v>
      </c>
      <c r="E8390" s="1">
        <v>20546.0</v>
      </c>
      <c r="F8390" s="10">
        <f t="shared" si="1"/>
        <v>1.333333333</v>
      </c>
      <c r="G8390" s="10">
        <f t="array" ref="G8390">index('Player ID'!C:C,match(E8390,'Player ID'!B:B,0))</f>
        <v>681982</v>
      </c>
    </row>
    <row r="8391">
      <c r="A8391" s="76">
        <v>45817.0</v>
      </c>
      <c r="B8391" s="1" t="s">
        <v>265</v>
      </c>
      <c r="C8391" s="1" t="s">
        <v>14</v>
      </c>
      <c r="D8391" s="1">
        <v>3.0</v>
      </c>
      <c r="E8391" s="1">
        <v>22207.0</v>
      </c>
      <c r="F8391" s="10">
        <f t="shared" si="1"/>
        <v>3</v>
      </c>
      <c r="G8391" s="10" t="str">
        <f t="array" ref="G8391">index('Player ID'!C:C,match(E8391,'Player ID'!B:B,0))</f>
        <v>#N/A</v>
      </c>
    </row>
    <row r="8392">
      <c r="A8392" s="76">
        <v>45817.0</v>
      </c>
      <c r="B8392" s="1" t="s">
        <v>638</v>
      </c>
      <c r="C8392" s="1" t="s">
        <v>40</v>
      </c>
      <c r="D8392" s="1">
        <v>6.2</v>
      </c>
      <c r="E8392" s="1">
        <v>14168.0</v>
      </c>
      <c r="F8392" s="10">
        <f t="shared" si="1"/>
        <v>6.666666667</v>
      </c>
      <c r="G8392" s="10">
        <f t="array" ref="G8392">index('Player ID'!C:C,match(E8392,'Player ID'!B:B,0))</f>
        <v>621244</v>
      </c>
    </row>
    <row r="8393">
      <c r="A8393" s="76">
        <v>45817.0</v>
      </c>
      <c r="B8393" s="1" t="s">
        <v>311</v>
      </c>
      <c r="C8393" s="1" t="s">
        <v>40</v>
      </c>
      <c r="D8393" s="1">
        <v>1.0</v>
      </c>
      <c r="E8393" s="1">
        <v>17432.0</v>
      </c>
      <c r="F8393" s="10">
        <f t="shared" si="1"/>
        <v>1</v>
      </c>
      <c r="G8393" s="10">
        <f t="array" ref="G8393">index('Player ID'!C:C,match(E8393,'Player ID'!B:B,0))</f>
        <v>656546</v>
      </c>
    </row>
    <row r="8394">
      <c r="A8394" s="76">
        <v>45817.0</v>
      </c>
      <c r="B8394" s="1" t="s">
        <v>190</v>
      </c>
      <c r="C8394" s="1" t="s">
        <v>72</v>
      </c>
      <c r="D8394" s="1">
        <v>1.0</v>
      </c>
      <c r="E8394" s="1">
        <v>18064.0</v>
      </c>
      <c r="F8394" s="10">
        <f t="shared" si="1"/>
        <v>1</v>
      </c>
      <c r="G8394" s="10">
        <f t="array" ref="G8394">index('Player ID'!C:C,match(E8394,'Player ID'!B:B,0))</f>
        <v>664208</v>
      </c>
    </row>
    <row r="8395">
      <c r="A8395" s="76">
        <v>45817.0</v>
      </c>
      <c r="B8395" s="1" t="s">
        <v>270</v>
      </c>
      <c r="C8395" s="1" t="s">
        <v>72</v>
      </c>
      <c r="D8395" s="1">
        <v>1.0</v>
      </c>
      <c r="E8395" s="1">
        <v>18138.0</v>
      </c>
      <c r="F8395" s="10">
        <f t="shared" si="1"/>
        <v>1</v>
      </c>
      <c r="G8395" s="10">
        <f t="array" ref="G8395">index('Player ID'!C:C,match(E8395,'Player ID'!B:B,0))</f>
        <v>664854</v>
      </c>
    </row>
    <row r="8396">
      <c r="A8396" s="76">
        <v>45817.0</v>
      </c>
      <c r="B8396" s="1" t="s">
        <v>409</v>
      </c>
      <c r="C8396" s="1" t="s">
        <v>72</v>
      </c>
      <c r="D8396" s="1">
        <v>2.0</v>
      </c>
      <c r="E8396" s="1">
        <v>20348.0</v>
      </c>
      <c r="F8396" s="10">
        <f t="shared" si="1"/>
        <v>2</v>
      </c>
      <c r="G8396" s="10">
        <f t="array" ref="G8396">index('Player ID'!C:C,match(E8396,'Player ID'!B:B,0))</f>
        <v>676617</v>
      </c>
    </row>
    <row r="8397">
      <c r="A8397" s="76">
        <v>45817.0</v>
      </c>
      <c r="B8397" s="1" t="s">
        <v>395</v>
      </c>
      <c r="C8397" s="1" t="s">
        <v>40</v>
      </c>
      <c r="D8397" s="1">
        <v>1.0</v>
      </c>
      <c r="E8397" s="1">
        <v>21574.0</v>
      </c>
      <c r="F8397" s="10">
        <f t="shared" si="1"/>
        <v>1</v>
      </c>
      <c r="G8397" s="10">
        <f t="array" ref="G8397">index('Player ID'!C:C,match(E8397,'Player ID'!B:B,0))</f>
        <v>663893</v>
      </c>
    </row>
    <row r="8398">
      <c r="A8398" s="76">
        <v>45817.0</v>
      </c>
      <c r="B8398" s="1" t="s">
        <v>432</v>
      </c>
      <c r="C8398" s="1" t="s">
        <v>72</v>
      </c>
      <c r="D8398" s="1">
        <v>6.0</v>
      </c>
      <c r="E8398" s="1">
        <v>26108.0</v>
      </c>
      <c r="F8398" s="10">
        <f t="shared" si="1"/>
        <v>6</v>
      </c>
      <c r="G8398" s="10">
        <f t="array" ref="G8398">index('Player ID'!C:C,match(E8398,'Player ID'!B:B,0))</f>
        <v>669467</v>
      </c>
    </row>
    <row r="8399">
      <c r="A8399" s="76">
        <v>45817.0</v>
      </c>
      <c r="B8399" s="1" t="s">
        <v>427</v>
      </c>
      <c r="C8399" s="1" t="s">
        <v>40</v>
      </c>
      <c r="D8399" s="1">
        <v>1.1</v>
      </c>
      <c r="E8399" s="1">
        <v>33838.0</v>
      </c>
      <c r="F8399" s="10">
        <f t="shared" si="1"/>
        <v>1.333333333</v>
      </c>
      <c r="G8399" s="10">
        <f t="array" ref="G8399">index('Player ID'!C:C,match(E8399,'Player ID'!B:B,0))</f>
        <v>684320</v>
      </c>
    </row>
    <row r="8400">
      <c r="A8400" s="76">
        <v>45817.0</v>
      </c>
      <c r="B8400" s="1" t="s">
        <v>154</v>
      </c>
      <c r="C8400" s="1" t="s">
        <v>25</v>
      </c>
      <c r="D8400" s="1">
        <v>0.1</v>
      </c>
      <c r="E8400" s="1">
        <v>3096.0</v>
      </c>
      <c r="F8400" s="10">
        <f t="shared" si="1"/>
        <v>0.3333333333</v>
      </c>
      <c r="G8400" s="10">
        <f t="array" ref="G8400">index('Player ID'!C:C,match(E8400,'Player ID'!B:B,0))</f>
        <v>445276</v>
      </c>
    </row>
    <row r="8401">
      <c r="A8401" s="76">
        <v>45817.0</v>
      </c>
      <c r="B8401" s="1" t="s">
        <v>336</v>
      </c>
      <c r="C8401" s="1" t="s">
        <v>52</v>
      </c>
      <c r="D8401" s="1">
        <v>6.0</v>
      </c>
      <c r="E8401" s="1">
        <v>17677.0</v>
      </c>
      <c r="F8401" s="10">
        <f t="shared" si="1"/>
        <v>6</v>
      </c>
      <c r="G8401" s="10">
        <f t="array" ref="G8401">index('Player ID'!C:C,match(E8401,'Player ID'!B:B,0))</f>
        <v>605488</v>
      </c>
    </row>
    <row r="8402">
      <c r="A8402" s="76">
        <v>45817.0</v>
      </c>
      <c r="B8402" s="1" t="s">
        <v>722</v>
      </c>
      <c r="C8402" s="1" t="s">
        <v>25</v>
      </c>
      <c r="D8402" s="1">
        <v>0.2</v>
      </c>
      <c r="E8402" s="1">
        <v>19453.0</v>
      </c>
      <c r="F8402" s="10">
        <f t="shared" si="1"/>
        <v>0.6666666667</v>
      </c>
      <c r="G8402" s="10">
        <f t="array" ref="G8402">index('Player ID'!C:C,match(E8402,'Player ID'!B:B,0))</f>
        <v>641312</v>
      </c>
    </row>
    <row r="8403">
      <c r="A8403" s="76">
        <v>45817.0</v>
      </c>
      <c r="B8403" s="1" t="s">
        <v>505</v>
      </c>
      <c r="C8403" s="1" t="s">
        <v>52</v>
      </c>
      <c r="D8403" s="1">
        <v>1.0</v>
      </c>
      <c r="E8403" s="1">
        <v>19481.0</v>
      </c>
      <c r="F8403" s="10">
        <f t="shared" si="1"/>
        <v>1</v>
      </c>
      <c r="G8403" s="10">
        <f t="array" ref="G8403">index('Player ID'!C:C,match(E8403,'Player ID'!B:B,0))</f>
        <v>621053</v>
      </c>
    </row>
    <row r="8404">
      <c r="A8404" s="76">
        <v>45817.0</v>
      </c>
      <c r="B8404" s="1" t="s">
        <v>232</v>
      </c>
      <c r="C8404" s="1" t="s">
        <v>25</v>
      </c>
      <c r="D8404" s="1">
        <v>7.1</v>
      </c>
      <c r="E8404" s="1">
        <v>20633.0</v>
      </c>
      <c r="F8404" s="10">
        <f t="shared" si="1"/>
        <v>7.333333333</v>
      </c>
      <c r="G8404" s="10">
        <f t="array" ref="G8404">index('Player ID'!C:C,match(E8404,'Player ID'!B:B,0))</f>
        <v>579328</v>
      </c>
    </row>
    <row r="8405">
      <c r="A8405" s="76">
        <v>45817.0</v>
      </c>
      <c r="B8405" s="1" t="s">
        <v>283</v>
      </c>
      <c r="C8405" s="1" t="s">
        <v>25</v>
      </c>
      <c r="D8405" s="1">
        <v>0.0</v>
      </c>
      <c r="E8405" s="1">
        <v>21205.0</v>
      </c>
      <c r="F8405" s="10">
        <f t="shared" si="1"/>
        <v>0</v>
      </c>
      <c r="G8405" s="10">
        <f t="array" ref="G8405">index('Player ID'!C:C,match(E8405,'Player ID'!B:B,0))</f>
        <v>641401</v>
      </c>
    </row>
    <row r="8406">
      <c r="A8406" s="76">
        <v>45817.0</v>
      </c>
      <c r="B8406" s="1" t="s">
        <v>385</v>
      </c>
      <c r="C8406" s="1" t="s">
        <v>25</v>
      </c>
      <c r="D8406" s="1">
        <v>0.2</v>
      </c>
      <c r="E8406" s="1">
        <v>25420.0</v>
      </c>
      <c r="F8406" s="10">
        <f t="shared" si="1"/>
        <v>0.6666666667</v>
      </c>
      <c r="G8406" s="10">
        <f t="array" ref="G8406">index('Player ID'!C:C,match(E8406,'Player ID'!B:B,0))</f>
        <v>666171</v>
      </c>
    </row>
    <row r="8407">
      <c r="A8407" s="76">
        <v>45817.0</v>
      </c>
      <c r="B8407" s="1" t="s">
        <v>681</v>
      </c>
      <c r="C8407" s="1" t="s">
        <v>52</v>
      </c>
      <c r="D8407" s="1">
        <v>1.0</v>
      </c>
      <c r="E8407" s="1">
        <v>30002.0</v>
      </c>
      <c r="F8407" s="10">
        <f t="shared" si="1"/>
        <v>1</v>
      </c>
      <c r="G8407" s="10">
        <f t="array" ref="G8407">index('Player ID'!C:C,match(E8407,'Player ID'!B:B,0))</f>
        <v>680880</v>
      </c>
    </row>
    <row r="8408">
      <c r="A8408" s="76">
        <v>45817.0</v>
      </c>
      <c r="B8408" s="1" t="s">
        <v>392</v>
      </c>
      <c r="C8408" s="1" t="s">
        <v>33</v>
      </c>
      <c r="D8408" s="1">
        <v>1.0</v>
      </c>
      <c r="E8408" s="1">
        <v>9073.0</v>
      </c>
      <c r="F8408" s="10">
        <f t="shared" si="1"/>
        <v>1</v>
      </c>
      <c r="G8408" s="10">
        <f t="array" ref="G8408">index('Player ID'!C:C,match(E8408,'Player ID'!B:B,0))</f>
        <v>489446</v>
      </c>
    </row>
    <row r="8409">
      <c r="A8409" s="76">
        <v>45817.0</v>
      </c>
      <c r="B8409" s="1" t="s">
        <v>404</v>
      </c>
      <c r="C8409" s="1" t="s">
        <v>26</v>
      </c>
      <c r="D8409" s="1">
        <v>1.0</v>
      </c>
      <c r="E8409" s="1">
        <v>14295.0</v>
      </c>
      <c r="F8409" s="10">
        <f t="shared" si="1"/>
        <v>1</v>
      </c>
      <c r="G8409" s="10">
        <f t="array" ref="G8409">index('Player ID'!C:C,match(E8409,'Player ID'!B:B,0))</f>
        <v>593974</v>
      </c>
    </row>
    <row r="8410">
      <c r="A8410" s="76">
        <v>45817.0</v>
      </c>
      <c r="B8410" s="1" t="s">
        <v>310</v>
      </c>
      <c r="C8410" s="1" t="s">
        <v>33</v>
      </c>
      <c r="D8410" s="1">
        <v>2.0</v>
      </c>
      <c r="E8410" s="1">
        <v>14706.0</v>
      </c>
      <c r="F8410" s="10">
        <f t="shared" si="1"/>
        <v>2</v>
      </c>
      <c r="G8410" s="10">
        <f t="array" ref="G8410">index('Player ID'!C:C,match(E8410,'Player ID'!B:B,0))</f>
        <v>607455</v>
      </c>
    </row>
    <row r="8411">
      <c r="A8411" s="76">
        <v>45817.0</v>
      </c>
      <c r="B8411" s="1" t="s">
        <v>109</v>
      </c>
      <c r="C8411" s="1" t="s">
        <v>26</v>
      </c>
      <c r="D8411" s="1">
        <v>4.0</v>
      </c>
      <c r="E8411" s="1">
        <v>15454.0</v>
      </c>
      <c r="F8411" s="10">
        <f t="shared" si="1"/>
        <v>4</v>
      </c>
      <c r="G8411" s="10">
        <f t="array" ref="G8411">index('Player ID'!C:C,match(E8411,'Player ID'!B:B,0))</f>
        <v>601713</v>
      </c>
    </row>
    <row r="8412">
      <c r="A8412" s="76">
        <v>45817.0</v>
      </c>
      <c r="B8412" s="1" t="s">
        <v>32</v>
      </c>
      <c r="C8412" s="1" t="s">
        <v>33</v>
      </c>
      <c r="D8412" s="1">
        <v>1.0</v>
      </c>
      <c r="E8412" s="1">
        <v>17586.0</v>
      </c>
      <c r="F8412" s="10">
        <f t="shared" si="1"/>
        <v>1</v>
      </c>
      <c r="G8412" s="10">
        <f t="array" ref="G8412">index('Player ID'!C:C,match(E8412,'Player ID'!B:B,0))</f>
        <v>656945</v>
      </c>
    </row>
    <row r="8413">
      <c r="A8413" s="76">
        <v>45817.0</v>
      </c>
      <c r="B8413" s="1" t="s">
        <v>329</v>
      </c>
      <c r="C8413" s="1" t="s">
        <v>33</v>
      </c>
      <c r="D8413" s="1">
        <v>5.0</v>
      </c>
      <c r="E8413" s="1">
        <v>19716.0</v>
      </c>
      <c r="F8413" s="10">
        <f t="shared" si="1"/>
        <v>5</v>
      </c>
      <c r="G8413" s="10">
        <f t="array" ref="G8413">index('Player ID'!C:C,match(E8413,'Player ID'!B:B,0))</f>
        <v>669160</v>
      </c>
    </row>
    <row r="8414">
      <c r="A8414" s="76">
        <v>45817.0</v>
      </c>
      <c r="B8414" s="1" t="s">
        <v>49</v>
      </c>
      <c r="C8414" s="1" t="s">
        <v>26</v>
      </c>
      <c r="D8414" s="1">
        <v>0.2</v>
      </c>
      <c r="E8414" s="1">
        <v>20039.0</v>
      </c>
      <c r="F8414" s="10">
        <f t="shared" si="1"/>
        <v>0.6666666667</v>
      </c>
      <c r="G8414" s="10">
        <f t="array" ref="G8414">index('Player ID'!C:C,match(E8414,'Player ID'!B:B,0))</f>
        <v>670970</v>
      </c>
    </row>
    <row r="8415">
      <c r="A8415" s="76">
        <v>45817.0</v>
      </c>
      <c r="B8415" s="1" t="s">
        <v>94</v>
      </c>
      <c r="C8415" s="1" t="s">
        <v>26</v>
      </c>
      <c r="D8415" s="1">
        <v>1.1</v>
      </c>
      <c r="E8415" s="1">
        <v>22210.0</v>
      </c>
      <c r="F8415" s="10">
        <f t="shared" si="1"/>
        <v>1.333333333</v>
      </c>
      <c r="G8415" s="10">
        <f t="array" ref="G8415">index('Player ID'!C:C,match(E8415,'Player ID'!B:B,0))</f>
        <v>669093</v>
      </c>
    </row>
    <row r="8416">
      <c r="A8416" s="76">
        <v>45817.0</v>
      </c>
      <c r="B8416" s="1" t="s">
        <v>797</v>
      </c>
      <c r="C8416" s="1" t="s">
        <v>26</v>
      </c>
      <c r="D8416" s="1">
        <v>1.0</v>
      </c>
      <c r="E8416" s="1">
        <v>22253.0</v>
      </c>
      <c r="F8416" s="10">
        <f t="shared" si="1"/>
        <v>1</v>
      </c>
      <c r="G8416" s="10">
        <f t="array" ref="G8416">index('Player ID'!C:C,match(E8416,'Player ID'!B:B,0))</f>
        <v>669308</v>
      </c>
    </row>
    <row r="8417">
      <c r="A8417" s="76">
        <v>45817.0</v>
      </c>
      <c r="B8417" s="1" t="s">
        <v>92</v>
      </c>
      <c r="C8417" s="1" t="s">
        <v>33</v>
      </c>
      <c r="D8417" s="1">
        <v>1.0</v>
      </c>
      <c r="E8417" s="1">
        <v>25007.0</v>
      </c>
      <c r="F8417" s="10">
        <f t="shared" si="1"/>
        <v>1</v>
      </c>
      <c r="G8417" s="10">
        <f t="array" ref="G8417">index('Player ID'!C:C,match(E8417,'Player ID'!B:B,0))</f>
        <v>681911</v>
      </c>
    </row>
    <row r="8418">
      <c r="A8418" s="76">
        <v>45817.0</v>
      </c>
      <c r="B8418" s="1" t="s">
        <v>81</v>
      </c>
      <c r="C8418" s="1" t="s">
        <v>26</v>
      </c>
      <c r="D8418" s="1">
        <v>1.0</v>
      </c>
      <c r="E8418" s="1">
        <v>30115.0</v>
      </c>
      <c r="F8418" s="10">
        <f t="shared" si="1"/>
        <v>1</v>
      </c>
      <c r="G8418" s="10">
        <f t="array" ref="G8418">index('Player ID'!C:C,match(E8418,'Player ID'!B:B,0))</f>
        <v>663158</v>
      </c>
    </row>
    <row r="8419">
      <c r="A8419" s="76">
        <v>45817.0</v>
      </c>
      <c r="B8419" s="1" t="s">
        <v>284</v>
      </c>
      <c r="C8419" s="1" t="s">
        <v>26</v>
      </c>
      <c r="D8419" s="1">
        <v>1.0</v>
      </c>
      <c r="E8419" s="1">
        <v>33826.0</v>
      </c>
      <c r="F8419" s="10">
        <f t="shared" si="1"/>
        <v>1</v>
      </c>
      <c r="G8419" s="10">
        <f t="array" ref="G8419">index('Player ID'!C:C,match(E8419,'Player ID'!B:B,0))</f>
        <v>673513</v>
      </c>
    </row>
    <row r="8420">
      <c r="A8420" s="76">
        <v>45817.0</v>
      </c>
      <c r="B8420" s="1" t="s">
        <v>103</v>
      </c>
      <c r="C8420" s="1" t="s">
        <v>64</v>
      </c>
      <c r="D8420" s="1">
        <v>1.0</v>
      </c>
      <c r="E8420" s="1">
        <v>10197.0</v>
      </c>
      <c r="F8420" s="10">
        <f t="shared" si="1"/>
        <v>1</v>
      </c>
      <c r="G8420" s="10">
        <f t="array" ref="G8420">index('Player ID'!C:C,match(E8420,'Player ID'!B:B,0))</f>
        <v>571946</v>
      </c>
    </row>
    <row r="8421">
      <c r="A8421" s="76">
        <v>45817.0</v>
      </c>
      <c r="B8421" s="1" t="s">
        <v>222</v>
      </c>
      <c r="C8421" s="1" t="s">
        <v>64</v>
      </c>
      <c r="D8421" s="1">
        <v>6.0</v>
      </c>
      <c r="E8421" s="1">
        <v>11156.0</v>
      </c>
      <c r="F8421" s="10">
        <f t="shared" si="1"/>
        <v>6</v>
      </c>
      <c r="G8421" s="10">
        <f t="array" ref="G8421">index('Player ID'!C:C,match(E8421,'Player ID'!B:B,0))</f>
        <v>518876</v>
      </c>
    </row>
    <row r="8422">
      <c r="A8422" s="76">
        <v>45817.0</v>
      </c>
      <c r="B8422" s="1" t="s">
        <v>854</v>
      </c>
      <c r="C8422" s="1" t="s">
        <v>64</v>
      </c>
      <c r="D8422" s="1">
        <v>0.0</v>
      </c>
      <c r="E8422" s="1">
        <v>16631.0</v>
      </c>
      <c r="F8422" s="10">
        <f t="shared" si="1"/>
        <v>0</v>
      </c>
      <c r="G8422" s="10" t="str">
        <f t="array" ref="G8422">index('Player ID'!C:C,match(E8422,'Player ID'!B:B,0))</f>
        <v>#N/A</v>
      </c>
    </row>
    <row r="8423">
      <c r="A8423" s="76">
        <v>45817.0</v>
      </c>
      <c r="B8423" s="1" t="s">
        <v>219</v>
      </c>
      <c r="C8423" s="1" t="s">
        <v>64</v>
      </c>
      <c r="D8423" s="1">
        <v>0.1</v>
      </c>
      <c r="E8423" s="1">
        <v>16647.0</v>
      </c>
      <c r="F8423" s="10">
        <f t="shared" si="1"/>
        <v>0.3333333333</v>
      </c>
      <c r="G8423" s="10">
        <f t="array" ref="G8423">index('Player ID'!C:C,match(E8423,'Player ID'!B:B,0))</f>
        <v>657044</v>
      </c>
    </row>
    <row r="8424">
      <c r="A8424" s="76">
        <v>45817.0</v>
      </c>
      <c r="B8424" s="1" t="s">
        <v>53</v>
      </c>
      <c r="C8424" s="1" t="s">
        <v>37</v>
      </c>
      <c r="D8424" s="1">
        <v>0.1</v>
      </c>
      <c r="E8424" s="1">
        <v>17170.0</v>
      </c>
      <c r="F8424" s="10">
        <f t="shared" si="1"/>
        <v>0.3333333333</v>
      </c>
      <c r="G8424" s="10">
        <f t="array" ref="G8424">index('Player ID'!C:C,match(E8424,'Player ID'!B:B,0))</f>
        <v>642100</v>
      </c>
    </row>
    <row r="8425">
      <c r="A8425" s="76">
        <v>45817.0</v>
      </c>
      <c r="B8425" s="1" t="s">
        <v>489</v>
      </c>
      <c r="C8425" s="1" t="s">
        <v>64</v>
      </c>
      <c r="D8425" s="1">
        <v>1.0</v>
      </c>
      <c r="E8425" s="1">
        <v>17192.0</v>
      </c>
      <c r="F8425" s="10">
        <f t="shared" si="1"/>
        <v>1</v>
      </c>
      <c r="G8425" s="10">
        <f t="array" ref="G8425">index('Player ID'!C:C,match(E8425,'Player ID'!B:B,0))</f>
        <v>656222</v>
      </c>
    </row>
    <row r="8426">
      <c r="A8426" s="76">
        <v>45817.0</v>
      </c>
      <c r="B8426" s="1" t="s">
        <v>670</v>
      </c>
      <c r="C8426" s="1" t="s">
        <v>37</v>
      </c>
      <c r="D8426" s="1">
        <v>1.0</v>
      </c>
      <c r="E8426" s="1">
        <v>20373.0</v>
      </c>
      <c r="F8426" s="10">
        <f t="shared" si="1"/>
        <v>1</v>
      </c>
      <c r="G8426" s="10">
        <f t="array" ref="G8426">index('Player ID'!C:C,match(E8426,'Player ID'!B:B,0))</f>
        <v>662253</v>
      </c>
    </row>
    <row r="8427">
      <c r="A8427" s="76">
        <v>45817.0</v>
      </c>
      <c r="B8427" s="1" t="s">
        <v>157</v>
      </c>
      <c r="C8427" s="1" t="s">
        <v>37</v>
      </c>
      <c r="D8427" s="1">
        <v>0.2</v>
      </c>
      <c r="E8427" s="1">
        <v>20997.0</v>
      </c>
      <c r="F8427" s="10">
        <f t="shared" si="1"/>
        <v>0.6666666667</v>
      </c>
      <c r="G8427" s="10">
        <f t="array" ref="G8427">index('Player ID'!C:C,match(E8427,'Player ID'!B:B,0))</f>
        <v>660825</v>
      </c>
    </row>
    <row r="8428">
      <c r="A8428" s="76">
        <v>45817.0</v>
      </c>
      <c r="B8428" s="1" t="s">
        <v>370</v>
      </c>
      <c r="C8428" s="1" t="s">
        <v>64</v>
      </c>
      <c r="D8428" s="1">
        <v>1.1</v>
      </c>
      <c r="E8428" s="1">
        <v>21924.0</v>
      </c>
      <c r="F8428" s="10">
        <f t="shared" si="1"/>
        <v>1.333333333</v>
      </c>
      <c r="G8428" s="10">
        <f t="array" ref="G8428">index('Player ID'!C:C,match(E8428,'Player ID'!B:B,0))</f>
        <v>666661</v>
      </c>
    </row>
    <row r="8429">
      <c r="A8429" s="76">
        <v>45817.0</v>
      </c>
      <c r="B8429" s="1" t="s">
        <v>101</v>
      </c>
      <c r="C8429" s="1" t="s">
        <v>37</v>
      </c>
      <c r="D8429" s="1">
        <v>1.1</v>
      </c>
      <c r="E8429" s="1">
        <v>22915.0</v>
      </c>
      <c r="F8429" s="10">
        <f t="shared" si="1"/>
        <v>1.333333333</v>
      </c>
      <c r="G8429" s="10">
        <f t="array" ref="G8429">index('Player ID'!C:C,match(E8429,'Player ID'!B:B,0))</f>
        <v>672841</v>
      </c>
    </row>
    <row r="8430">
      <c r="A8430" s="76">
        <v>45817.0</v>
      </c>
      <c r="B8430" s="1" t="s">
        <v>714</v>
      </c>
      <c r="C8430" s="1" t="s">
        <v>64</v>
      </c>
      <c r="D8430" s="1">
        <v>0.2</v>
      </c>
      <c r="E8430" s="1">
        <v>24453.0</v>
      </c>
      <c r="F8430" s="10">
        <f t="shared" si="1"/>
        <v>0.6666666667</v>
      </c>
      <c r="G8430" s="10">
        <f t="array" ref="G8430">index('Player ID'!C:C,match(E8430,'Player ID'!B:B,0))</f>
        <v>679885</v>
      </c>
    </row>
    <row r="8431">
      <c r="A8431" s="76">
        <v>45817.0</v>
      </c>
      <c r="B8431" s="1" t="s">
        <v>340</v>
      </c>
      <c r="C8431" s="1" t="s">
        <v>37</v>
      </c>
      <c r="D8431" s="1">
        <v>2.0</v>
      </c>
      <c r="E8431" s="1">
        <v>25921.0</v>
      </c>
      <c r="F8431" s="10">
        <f t="shared" si="1"/>
        <v>2</v>
      </c>
      <c r="G8431" s="10">
        <f t="array" ref="G8431">index('Player ID'!C:C,match(E8431,'Player ID'!B:B,0))</f>
        <v>668984</v>
      </c>
    </row>
    <row r="8432">
      <c r="A8432" s="76">
        <v>45817.0</v>
      </c>
      <c r="B8432" s="1" t="s">
        <v>509</v>
      </c>
      <c r="C8432" s="1" t="s">
        <v>37</v>
      </c>
      <c r="D8432" s="1">
        <v>5.0</v>
      </c>
      <c r="E8432" s="1">
        <v>27470.0</v>
      </c>
      <c r="F8432" s="10">
        <f t="shared" si="1"/>
        <v>5</v>
      </c>
      <c r="G8432" s="10">
        <f t="array" ref="G8432">index('Player ID'!C:C,match(E8432,'Player ID'!B:B,0))</f>
        <v>676106</v>
      </c>
    </row>
    <row r="8433">
      <c r="A8433" s="76">
        <v>45817.0</v>
      </c>
      <c r="B8433" s="1" t="s">
        <v>545</v>
      </c>
      <c r="C8433" s="1" t="s">
        <v>64</v>
      </c>
      <c r="D8433" s="1">
        <v>0.2</v>
      </c>
      <c r="E8433" s="1">
        <v>29615.0</v>
      </c>
      <c r="F8433" s="10">
        <f t="shared" si="1"/>
        <v>0.6666666667</v>
      </c>
      <c r="G8433" s="10" t="str">
        <f t="array" ref="G8433">index('Player ID'!C:C,match(E8433,'Player ID'!B:B,0))</f>
        <v>#N/A</v>
      </c>
    </row>
    <row r="8434">
      <c r="A8434" s="76">
        <v>45818.0</v>
      </c>
      <c r="B8434" s="1" t="s">
        <v>439</v>
      </c>
      <c r="C8434" s="1" t="s">
        <v>62</v>
      </c>
      <c r="D8434" s="1">
        <v>0.1</v>
      </c>
      <c r="E8434" s="1">
        <v>11384.0</v>
      </c>
      <c r="F8434" s="10">
        <f t="shared" si="1"/>
        <v>0.3333333333</v>
      </c>
      <c r="G8434" s="10">
        <f t="array" ref="G8434">index('Player ID'!C:C,match(E8434,'Player ID'!B:B,0))</f>
        <v>592454</v>
      </c>
    </row>
    <row r="8435">
      <c r="A8435" s="76">
        <v>45818.0</v>
      </c>
      <c r="B8435" s="1" t="s">
        <v>233</v>
      </c>
      <c r="C8435" s="1" t="s">
        <v>68</v>
      </c>
      <c r="D8435" s="1">
        <v>2.0</v>
      </c>
      <c r="E8435" s="1">
        <v>16427.0</v>
      </c>
      <c r="F8435" s="10">
        <f t="shared" si="1"/>
        <v>2</v>
      </c>
      <c r="G8435" s="10">
        <f t="array" ref="G8435">index('Player ID'!C:C,match(E8435,'Player ID'!B:B,0))</f>
        <v>656240</v>
      </c>
    </row>
    <row r="8436">
      <c r="A8436" s="76">
        <v>45818.0</v>
      </c>
      <c r="B8436" s="1" t="s">
        <v>639</v>
      </c>
      <c r="C8436" s="1" t="s">
        <v>68</v>
      </c>
      <c r="D8436" s="1">
        <v>1.1</v>
      </c>
      <c r="E8436" s="1">
        <v>19249.0</v>
      </c>
      <c r="F8436" s="10">
        <f t="shared" si="1"/>
        <v>1.333333333</v>
      </c>
      <c r="G8436" s="10">
        <f t="array" ref="G8436">index('Player ID'!C:C,match(E8436,'Player ID'!B:B,0))</f>
        <v>622554</v>
      </c>
    </row>
    <row r="8437">
      <c r="A8437" s="76">
        <v>45818.0</v>
      </c>
      <c r="B8437" s="1" t="s">
        <v>131</v>
      </c>
      <c r="C8437" s="1" t="s">
        <v>62</v>
      </c>
      <c r="D8437" s="1">
        <v>1.0</v>
      </c>
      <c r="E8437" s="1">
        <v>19769.0</v>
      </c>
      <c r="F8437" s="10">
        <f t="shared" si="1"/>
        <v>1</v>
      </c>
      <c r="G8437" s="10">
        <f t="array" ref="G8437">index('Player ID'!C:C,match(E8437,'Player ID'!B:B,0))</f>
        <v>676684</v>
      </c>
    </row>
    <row r="8438">
      <c r="A8438" s="76">
        <v>45818.0</v>
      </c>
      <c r="B8438" s="1" t="s">
        <v>235</v>
      </c>
      <c r="C8438" s="1" t="s">
        <v>68</v>
      </c>
      <c r="D8438" s="1">
        <v>1.0</v>
      </c>
      <c r="E8438" s="1">
        <v>25911.0</v>
      </c>
      <c r="F8438" s="10">
        <f t="shared" si="1"/>
        <v>1</v>
      </c>
      <c r="G8438" s="10">
        <f t="array" ref="G8438">index('Player ID'!C:C,match(E8438,'Player ID'!B:B,0))</f>
        <v>666974</v>
      </c>
    </row>
    <row r="8439">
      <c r="A8439" s="76">
        <v>45818.0</v>
      </c>
      <c r="B8439" s="1" t="s">
        <v>566</v>
      </c>
      <c r="C8439" s="1" t="s">
        <v>62</v>
      </c>
      <c r="D8439" s="1">
        <v>4.2</v>
      </c>
      <c r="E8439" s="1">
        <v>26048.0</v>
      </c>
      <c r="F8439" s="10">
        <f t="shared" si="1"/>
        <v>4.666666667</v>
      </c>
      <c r="G8439" s="10">
        <f t="array" ref="G8439">index('Player ID'!C:C,match(E8439,'Player ID'!B:B,0))</f>
        <v>687830</v>
      </c>
    </row>
    <row r="8440">
      <c r="A8440" s="76">
        <v>45818.0</v>
      </c>
      <c r="B8440" s="1" t="s">
        <v>160</v>
      </c>
      <c r="C8440" s="1" t="s">
        <v>62</v>
      </c>
      <c r="D8440" s="1">
        <v>0.1</v>
      </c>
      <c r="E8440" s="1">
        <v>29574.0</v>
      </c>
      <c r="F8440" s="10">
        <f t="shared" si="1"/>
        <v>0.3333333333</v>
      </c>
      <c r="G8440" s="10">
        <f t="array" ref="G8440">index('Player ID'!C:C,match(E8440,'Player ID'!B:B,0))</f>
        <v>695445</v>
      </c>
    </row>
    <row r="8441">
      <c r="A8441" s="76">
        <v>45818.0</v>
      </c>
      <c r="B8441" s="1" t="s">
        <v>347</v>
      </c>
      <c r="C8441" s="1" t="s">
        <v>68</v>
      </c>
      <c r="D8441" s="1">
        <v>4.2</v>
      </c>
      <c r="E8441" s="1">
        <v>30055.0</v>
      </c>
      <c r="F8441" s="10">
        <f t="shared" si="1"/>
        <v>4.666666667</v>
      </c>
      <c r="G8441" s="10">
        <f t="array" ref="G8441">index('Player ID'!C:C,match(E8441,'Player ID'!B:B,0))</f>
        <v>700249</v>
      </c>
    </row>
    <row r="8442">
      <c r="A8442" s="76">
        <v>45818.0</v>
      </c>
      <c r="B8442" s="1" t="s">
        <v>487</v>
      </c>
      <c r="C8442" s="1" t="s">
        <v>62</v>
      </c>
      <c r="D8442" s="1">
        <v>2.2</v>
      </c>
      <c r="E8442" s="1">
        <v>30133.0</v>
      </c>
      <c r="F8442" s="10">
        <f t="shared" si="1"/>
        <v>2.666666667</v>
      </c>
      <c r="G8442" s="10">
        <f t="array" ref="G8442">index('Player ID'!C:C,match(E8442,'Player ID'!B:B,0))</f>
        <v>676428</v>
      </c>
    </row>
    <row r="8443">
      <c r="A8443" s="76">
        <v>45818.0</v>
      </c>
      <c r="B8443" s="1" t="s">
        <v>117</v>
      </c>
      <c r="C8443" s="1" t="s">
        <v>70</v>
      </c>
      <c r="D8443" s="1">
        <v>1.0</v>
      </c>
      <c r="E8443" s="1">
        <v>13619.0</v>
      </c>
      <c r="F8443" s="10">
        <f t="shared" si="1"/>
        <v>1</v>
      </c>
      <c r="G8443" s="10">
        <f t="array" ref="G8443">index('Player ID'!C:C,match(E8443,'Player ID'!B:B,0))</f>
        <v>596001</v>
      </c>
    </row>
    <row r="8444">
      <c r="A8444" s="76">
        <v>45818.0</v>
      </c>
      <c r="B8444" s="1" t="s">
        <v>141</v>
      </c>
      <c r="C8444" s="1" t="s">
        <v>70</v>
      </c>
      <c r="D8444" s="1">
        <v>1.0</v>
      </c>
      <c r="E8444" s="1">
        <v>19330.0</v>
      </c>
      <c r="F8444" s="10">
        <f t="shared" si="1"/>
        <v>1</v>
      </c>
      <c r="G8444" s="10">
        <f t="array" ref="G8444">index('Player ID'!C:C,match(E8444,'Player ID'!B:B,0))</f>
        <v>670036</v>
      </c>
    </row>
    <row r="8445">
      <c r="A8445" s="76">
        <v>45818.0</v>
      </c>
      <c r="B8445" s="1" t="s">
        <v>375</v>
      </c>
      <c r="C8445" s="1" t="s">
        <v>70</v>
      </c>
      <c r="D8445" s="1">
        <v>1.0</v>
      </c>
      <c r="E8445" s="1">
        <v>25553.0</v>
      </c>
      <c r="F8445" s="10">
        <f t="shared" si="1"/>
        <v>1</v>
      </c>
      <c r="G8445" s="10" t="str">
        <f t="array" ref="G8445">index('Player ID'!C:C,match(E8445,'Player ID'!B:B,0))</f>
        <v>#N/A</v>
      </c>
    </row>
    <row r="8446">
      <c r="A8446" s="76">
        <v>45818.0</v>
      </c>
      <c r="B8446" s="1" t="s">
        <v>238</v>
      </c>
      <c r="C8446" s="1" t="s">
        <v>70</v>
      </c>
      <c r="D8446" s="1">
        <v>1.0</v>
      </c>
      <c r="E8446" s="1">
        <v>25636.0</v>
      </c>
      <c r="F8446" s="10">
        <f t="shared" si="1"/>
        <v>1</v>
      </c>
      <c r="G8446" s="10">
        <f t="array" ref="G8446">index('Player ID'!C:C,match(E8446,'Player ID'!B:B,0))</f>
        <v>683769</v>
      </c>
    </row>
    <row r="8447">
      <c r="A8447" s="76">
        <v>45818.0</v>
      </c>
      <c r="B8447" s="1" t="s">
        <v>306</v>
      </c>
      <c r="C8447" s="1" t="s">
        <v>70</v>
      </c>
      <c r="D8447" s="1">
        <v>5.0</v>
      </c>
      <c r="E8447" s="1">
        <v>27500.0</v>
      </c>
      <c r="F8447" s="10">
        <f t="shared" si="1"/>
        <v>5</v>
      </c>
      <c r="G8447" s="10">
        <f t="array" ref="G8447">index('Player ID'!C:C,match(E8447,'Player ID'!B:B,0))</f>
        <v>677944</v>
      </c>
    </row>
    <row r="8448">
      <c r="A8448" s="76">
        <v>45818.0</v>
      </c>
      <c r="B8448" s="1" t="s">
        <v>169</v>
      </c>
      <c r="C8448" s="1" t="s">
        <v>66</v>
      </c>
      <c r="D8448" s="1">
        <v>9.0</v>
      </c>
      <c r="E8448" s="1">
        <v>29911.0</v>
      </c>
      <c r="F8448" s="10">
        <f t="shared" si="1"/>
        <v>9</v>
      </c>
      <c r="G8448" s="10">
        <f t="array" ref="G8448">index('Player ID'!C:C,match(E8448,'Player ID'!B:B,0))</f>
        <v>671096</v>
      </c>
    </row>
    <row r="8449">
      <c r="A8449" s="76">
        <v>45818.0</v>
      </c>
      <c r="B8449" s="1" t="s">
        <v>443</v>
      </c>
      <c r="C8449" s="1" t="s">
        <v>60</v>
      </c>
      <c r="D8449" s="1">
        <v>1.0</v>
      </c>
      <c r="E8449" s="1">
        <v>16350.0</v>
      </c>
      <c r="F8449" s="10">
        <f t="shared" si="1"/>
        <v>1</v>
      </c>
      <c r="G8449" s="10">
        <f t="array" ref="G8449">index('Player ID'!C:C,match(E8449,'Player ID'!B:B,0))</f>
        <v>621366</v>
      </c>
    </row>
    <row r="8450">
      <c r="A8450" s="76">
        <v>45818.0</v>
      </c>
      <c r="B8450" s="1" t="s">
        <v>423</v>
      </c>
      <c r="C8450" s="1" t="s">
        <v>60</v>
      </c>
      <c r="D8450" s="1">
        <v>6.0</v>
      </c>
      <c r="E8450" s="1">
        <v>17594.0</v>
      </c>
      <c r="F8450" s="10">
        <f t="shared" si="1"/>
        <v>6</v>
      </c>
      <c r="G8450" s="10">
        <f t="array" ref="G8450">index('Player ID'!C:C,match(E8450,'Player ID'!B:B,0))</f>
        <v>656605</v>
      </c>
    </row>
    <row r="8451">
      <c r="A8451" s="76">
        <v>45818.0</v>
      </c>
      <c r="B8451" s="1" t="s">
        <v>229</v>
      </c>
      <c r="C8451" s="1" t="s">
        <v>36</v>
      </c>
      <c r="D8451" s="1">
        <v>6.0</v>
      </c>
      <c r="E8451" s="1">
        <v>18684.0</v>
      </c>
      <c r="F8451" s="10">
        <f t="shared" si="1"/>
        <v>6</v>
      </c>
      <c r="G8451" s="10">
        <f t="array" ref="G8451">index('Player ID'!C:C,match(E8451,'Player ID'!B:B,0))</f>
        <v>645261</v>
      </c>
    </row>
    <row r="8452">
      <c r="A8452" s="76">
        <v>45818.0</v>
      </c>
      <c r="B8452" s="1" t="s">
        <v>89</v>
      </c>
      <c r="C8452" s="1" t="s">
        <v>36</v>
      </c>
      <c r="D8452" s="1">
        <v>1.0</v>
      </c>
      <c r="E8452" s="1">
        <v>19742.0</v>
      </c>
      <c r="F8452" s="10">
        <f t="shared" si="1"/>
        <v>1</v>
      </c>
      <c r="G8452" s="10">
        <f t="array" ref="G8452">index('Player ID'!C:C,match(E8452,'Player ID'!B:B,0))</f>
        <v>669622</v>
      </c>
    </row>
    <row r="8453">
      <c r="A8453" s="76">
        <v>45818.0</v>
      </c>
      <c r="B8453" s="1" t="s">
        <v>262</v>
      </c>
      <c r="C8453" s="1" t="s">
        <v>36</v>
      </c>
      <c r="D8453" s="1">
        <v>1.0</v>
      </c>
      <c r="E8453" s="1">
        <v>20116.0</v>
      </c>
      <c r="F8453" s="10">
        <f t="shared" si="1"/>
        <v>1</v>
      </c>
      <c r="G8453" s="10">
        <f t="array" ref="G8453">index('Player ID'!C:C,match(E8453,'Player ID'!B:B,0))</f>
        <v>676534</v>
      </c>
    </row>
    <row r="8454">
      <c r="A8454" s="76">
        <v>45818.0</v>
      </c>
      <c r="B8454" s="1" t="s">
        <v>338</v>
      </c>
      <c r="C8454" s="1" t="s">
        <v>60</v>
      </c>
      <c r="D8454" s="1">
        <v>2.0</v>
      </c>
      <c r="E8454" s="1">
        <v>20385.0</v>
      </c>
      <c r="F8454" s="10">
        <f t="shared" si="1"/>
        <v>2</v>
      </c>
      <c r="G8454" s="10" t="str">
        <f t="array" ref="G8454">index('Player ID'!C:C,match(E8454,'Player ID'!B:B,0))</f>
        <v>#N/A</v>
      </c>
    </row>
    <row r="8455">
      <c r="A8455" s="76">
        <v>45818.0</v>
      </c>
      <c r="B8455" s="1" t="s">
        <v>123</v>
      </c>
      <c r="C8455" s="1" t="s">
        <v>36</v>
      </c>
      <c r="D8455" s="1">
        <v>1.0</v>
      </c>
      <c r="E8455" s="1">
        <v>24094.0</v>
      </c>
      <c r="F8455" s="10">
        <f t="shared" si="1"/>
        <v>1</v>
      </c>
      <c r="G8455" s="10">
        <f t="array" ref="G8455">index('Player ID'!C:C,match(E8455,'Player ID'!B:B,0))</f>
        <v>678692</v>
      </c>
    </row>
    <row r="8456">
      <c r="A8456" s="76">
        <v>45818.0</v>
      </c>
      <c r="B8456" s="1" t="s">
        <v>629</v>
      </c>
      <c r="C8456" s="1" t="s">
        <v>34</v>
      </c>
      <c r="D8456" s="1">
        <v>0.2</v>
      </c>
      <c r="E8456" s="1">
        <v>5615.0</v>
      </c>
      <c r="F8456" s="10">
        <f t="shared" si="1"/>
        <v>0.6666666667</v>
      </c>
      <c r="G8456" s="10">
        <f t="array" ref="G8456">index('Player ID'!C:C,match(E8456,'Player ID'!B:B,0))</f>
        <v>518489</v>
      </c>
    </row>
    <row r="8457">
      <c r="A8457" s="76">
        <v>45818.0</v>
      </c>
      <c r="B8457" s="1" t="s">
        <v>460</v>
      </c>
      <c r="C8457" s="1" t="s">
        <v>34</v>
      </c>
      <c r="D8457" s="1">
        <v>1.0</v>
      </c>
      <c r="E8457" s="1">
        <v>7005.0</v>
      </c>
      <c r="F8457" s="10">
        <f t="shared" si="1"/>
        <v>1</v>
      </c>
      <c r="G8457" s="10">
        <f t="array" ref="G8457">index('Player ID'!C:C,match(E8457,'Player ID'!B:B,0))</f>
        <v>519151</v>
      </c>
    </row>
    <row r="8458">
      <c r="A8458" s="76">
        <v>45818.0</v>
      </c>
      <c r="B8458" s="1" t="s">
        <v>71</v>
      </c>
      <c r="C8458" s="1" t="s">
        <v>34</v>
      </c>
      <c r="D8458" s="1">
        <v>1.0</v>
      </c>
      <c r="E8458" s="1">
        <v>10078.0</v>
      </c>
      <c r="F8458" s="10">
        <f t="shared" si="1"/>
        <v>1</v>
      </c>
      <c r="G8458" s="10">
        <f t="array" ref="G8458">index('Player ID'!C:C,match(E8458,'Player ID'!B:B,0))</f>
        <v>573204</v>
      </c>
    </row>
    <row r="8459">
      <c r="A8459" s="76">
        <v>45818.0</v>
      </c>
      <c r="B8459" s="1" t="s">
        <v>453</v>
      </c>
      <c r="C8459" s="1" t="s">
        <v>45</v>
      </c>
      <c r="D8459" s="1">
        <v>1.0</v>
      </c>
      <c r="E8459" s="1">
        <v>11836.0</v>
      </c>
      <c r="F8459" s="10">
        <f t="shared" si="1"/>
        <v>1</v>
      </c>
      <c r="G8459" s="10">
        <f t="array" ref="G8459">index('Player ID'!C:C,match(E8459,'Player ID'!B:B,0))</f>
        <v>592836</v>
      </c>
    </row>
    <row r="8460">
      <c r="A8460" s="76">
        <v>45818.0</v>
      </c>
      <c r="B8460" s="1" t="s">
        <v>313</v>
      </c>
      <c r="C8460" s="1" t="s">
        <v>34</v>
      </c>
      <c r="D8460" s="1">
        <v>4.1</v>
      </c>
      <c r="E8460" s="1">
        <v>12317.0</v>
      </c>
      <c r="F8460" s="10">
        <f t="shared" si="1"/>
        <v>4.333333333</v>
      </c>
      <c r="G8460" s="10">
        <f t="array" ref="G8460">index('Player ID'!C:C,match(E8460,'Player ID'!B:B,0))</f>
        <v>607067</v>
      </c>
    </row>
    <row r="8461">
      <c r="A8461" s="76">
        <v>45818.0</v>
      </c>
      <c r="B8461" s="1" t="s">
        <v>360</v>
      </c>
      <c r="C8461" s="1" t="s">
        <v>45</v>
      </c>
      <c r="D8461" s="1">
        <v>1.1</v>
      </c>
      <c r="E8461" s="1">
        <v>12972.0</v>
      </c>
      <c r="F8461" s="10">
        <f t="shared" si="1"/>
        <v>1.333333333</v>
      </c>
      <c r="G8461" s="10">
        <f t="array" ref="G8461">index('Player ID'!C:C,match(E8461,'Player ID'!B:B,0))</f>
        <v>605452</v>
      </c>
    </row>
    <row r="8462">
      <c r="A8462" s="76">
        <v>45818.0</v>
      </c>
      <c r="B8462" s="1" t="s">
        <v>462</v>
      </c>
      <c r="C8462" s="1" t="s">
        <v>34</v>
      </c>
      <c r="D8462" s="1">
        <v>1.0</v>
      </c>
      <c r="E8462" s="1">
        <v>13896.0</v>
      </c>
      <c r="F8462" s="10">
        <f t="shared" si="1"/>
        <v>1</v>
      </c>
      <c r="G8462" s="10">
        <f t="array" ref="G8462">index('Player ID'!C:C,match(E8462,'Player ID'!B:B,0))</f>
        <v>623167</v>
      </c>
    </row>
    <row r="8463">
      <c r="A8463" s="76">
        <v>45818.0</v>
      </c>
      <c r="B8463" s="1" t="s">
        <v>297</v>
      </c>
      <c r="C8463" s="1" t="s">
        <v>34</v>
      </c>
      <c r="D8463" s="1">
        <v>1.0</v>
      </c>
      <c r="E8463" s="1">
        <v>15734.0</v>
      </c>
      <c r="F8463" s="10">
        <f t="shared" si="1"/>
        <v>1</v>
      </c>
      <c r="G8463" s="10">
        <f t="array" ref="G8463">index('Player ID'!C:C,match(E8463,'Player ID'!B:B,0))</f>
        <v>641745</v>
      </c>
    </row>
    <row r="8464">
      <c r="A8464" s="76">
        <v>45818.0</v>
      </c>
      <c r="B8464" s="1" t="s">
        <v>138</v>
      </c>
      <c r="C8464" s="1" t="s">
        <v>45</v>
      </c>
      <c r="D8464" s="1">
        <v>1.0</v>
      </c>
      <c r="E8464" s="1">
        <v>16990.0</v>
      </c>
      <c r="F8464" s="10">
        <f t="shared" si="1"/>
        <v>1</v>
      </c>
      <c r="G8464" s="10">
        <f t="array" ref="G8464">index('Player ID'!C:C,match(E8464,'Player ID'!B:B,0))</f>
        <v>621383</v>
      </c>
    </row>
    <row r="8465">
      <c r="A8465" s="76">
        <v>45818.0</v>
      </c>
      <c r="B8465" s="1" t="s">
        <v>701</v>
      </c>
      <c r="C8465" s="1" t="s">
        <v>45</v>
      </c>
      <c r="D8465" s="1">
        <v>1.2</v>
      </c>
      <c r="E8465" s="1">
        <v>22713.0</v>
      </c>
      <c r="F8465" s="10">
        <f t="shared" si="1"/>
        <v>1.666666667</v>
      </c>
      <c r="G8465" s="10">
        <f t="array" ref="G8465">index('Player ID'!C:C,match(E8465,'Player ID'!B:B,0))</f>
        <v>672578</v>
      </c>
    </row>
    <row r="8466">
      <c r="A8466" s="76">
        <v>45818.0</v>
      </c>
      <c r="B8466" s="1" t="s">
        <v>393</v>
      </c>
      <c r="C8466" s="1" t="s">
        <v>45</v>
      </c>
      <c r="D8466" s="1">
        <v>4.0</v>
      </c>
      <c r="E8466" s="1">
        <v>27756.0</v>
      </c>
      <c r="F8466" s="10">
        <f t="shared" si="1"/>
        <v>4</v>
      </c>
      <c r="G8466" s="10">
        <f t="array" ref="G8466">index('Player ID'!C:C,match(E8466,'Player ID'!B:B,0))</f>
        <v>690953</v>
      </c>
    </row>
    <row r="8467">
      <c r="A8467" s="76">
        <v>45818.0</v>
      </c>
      <c r="B8467" s="1" t="s">
        <v>416</v>
      </c>
      <c r="C8467" s="1" t="s">
        <v>22</v>
      </c>
      <c r="D8467" s="1">
        <v>6.0</v>
      </c>
      <c r="E8467" s="1">
        <v>15474.0</v>
      </c>
      <c r="F8467" s="10">
        <f t="shared" si="1"/>
        <v>6</v>
      </c>
      <c r="G8467" s="10">
        <f t="array" ref="G8467">index('Player ID'!C:C,match(E8467,'Player ID'!B:B,0))</f>
        <v>608337</v>
      </c>
    </row>
    <row r="8468">
      <c r="A8468" s="76">
        <v>45818.0</v>
      </c>
      <c r="B8468" s="1" t="s">
        <v>250</v>
      </c>
      <c r="C8468" s="1" t="s">
        <v>22</v>
      </c>
      <c r="D8468" s="1">
        <v>2.0</v>
      </c>
      <c r="E8468" s="1">
        <v>20191.0</v>
      </c>
      <c r="F8468" s="10">
        <f t="shared" si="1"/>
        <v>2</v>
      </c>
      <c r="G8468" s="10">
        <f t="array" ref="G8468">index('Player ID'!C:C,match(E8468,'Player ID'!B:B,0))</f>
        <v>676477</v>
      </c>
    </row>
    <row r="8469">
      <c r="A8469" s="76">
        <v>45818.0</v>
      </c>
      <c r="B8469" s="1" t="s">
        <v>406</v>
      </c>
      <c r="C8469" s="1" t="s">
        <v>22</v>
      </c>
      <c r="D8469" s="1">
        <v>1.0</v>
      </c>
      <c r="E8469" s="1">
        <v>20375.0</v>
      </c>
      <c r="F8469" s="10">
        <f t="shared" si="1"/>
        <v>1</v>
      </c>
      <c r="G8469" s="10">
        <f t="array" ref="G8469">index('Player ID'!C:C,match(E8469,'Player ID'!B:B,0))</f>
        <v>669711</v>
      </c>
    </row>
    <row r="8470">
      <c r="A8470" s="76">
        <v>45818.0</v>
      </c>
      <c r="B8470" s="1" t="s">
        <v>204</v>
      </c>
      <c r="C8470" s="1" t="s">
        <v>54</v>
      </c>
      <c r="D8470" s="1">
        <v>2.1</v>
      </c>
      <c r="E8470" s="1">
        <v>22288.0</v>
      </c>
      <c r="F8470" s="10">
        <f t="shared" si="1"/>
        <v>2.333333333</v>
      </c>
      <c r="G8470" s="10">
        <f t="array" ref="G8470">index('Player ID'!C:C,match(E8470,'Player ID'!B:B,0))</f>
        <v>669438</v>
      </c>
    </row>
    <row r="8471">
      <c r="A8471" s="76">
        <v>45818.0</v>
      </c>
      <c r="B8471" s="1" t="s">
        <v>129</v>
      </c>
      <c r="C8471" s="1" t="s">
        <v>54</v>
      </c>
      <c r="D8471" s="1">
        <v>5.2</v>
      </c>
      <c r="E8471" s="1">
        <v>26221.0</v>
      </c>
      <c r="F8471" s="10">
        <f t="shared" si="1"/>
        <v>5.666666667</v>
      </c>
      <c r="G8471" s="10">
        <f t="array" ref="G8471">index('Player ID'!C:C,match(E8471,'Player ID'!B:B,0))</f>
        <v>686752</v>
      </c>
    </row>
    <row r="8472">
      <c r="A8472" s="76">
        <v>45818.0</v>
      </c>
      <c r="B8472" s="1" t="s">
        <v>679</v>
      </c>
      <c r="C8472" s="1" t="s">
        <v>51</v>
      </c>
      <c r="D8472" s="1">
        <v>1.0</v>
      </c>
      <c r="E8472" s="1">
        <v>14710.0</v>
      </c>
      <c r="F8472" s="10">
        <f t="shared" si="1"/>
        <v>1</v>
      </c>
      <c r="G8472" s="10">
        <f t="array" ref="G8472">index('Player ID'!C:C,match(E8472,'Player ID'!B:B,0))</f>
        <v>621242</v>
      </c>
    </row>
    <row r="8473">
      <c r="A8473" s="76">
        <v>45818.0</v>
      </c>
      <c r="B8473" s="1" t="s">
        <v>139</v>
      </c>
      <c r="C8473" s="1" t="s">
        <v>80</v>
      </c>
      <c r="D8473" s="1">
        <v>1.1</v>
      </c>
      <c r="E8473" s="1">
        <v>15009.0</v>
      </c>
      <c r="F8473" s="10">
        <f t="shared" si="1"/>
        <v>1.333333333</v>
      </c>
      <c r="G8473" s="10">
        <f t="array" ref="G8473">index('Player ID'!C:C,match(E8473,'Player ID'!B:B,0))</f>
        <v>640448</v>
      </c>
    </row>
    <row r="8474">
      <c r="A8474" s="76">
        <v>45818.0</v>
      </c>
      <c r="B8474" s="1" t="s">
        <v>295</v>
      </c>
      <c r="C8474" s="1" t="s">
        <v>51</v>
      </c>
      <c r="D8474" s="1">
        <v>1.0</v>
      </c>
      <c r="E8474" s="1">
        <v>16866.0</v>
      </c>
      <c r="F8474" s="10">
        <f t="shared" si="1"/>
        <v>1</v>
      </c>
      <c r="G8474" s="10">
        <f t="array" ref="G8474">index('Player ID'!C:C,match(E8474,'Player ID'!B:B,0))</f>
        <v>657585</v>
      </c>
    </row>
    <row r="8475">
      <c r="A8475" s="76">
        <v>45818.0</v>
      </c>
      <c r="B8475" s="1" t="s">
        <v>826</v>
      </c>
      <c r="C8475" s="1" t="s">
        <v>51</v>
      </c>
      <c r="D8475" s="1">
        <v>1.0</v>
      </c>
      <c r="E8475" s="1">
        <v>17169.0</v>
      </c>
      <c r="F8475" s="10">
        <f t="shared" si="1"/>
        <v>1</v>
      </c>
      <c r="G8475" s="10">
        <f t="array" ref="G8475">index('Player ID'!C:C,match(E8475,'Player ID'!B:B,0))</f>
        <v>620454</v>
      </c>
    </row>
    <row r="8476">
      <c r="A8476" s="76">
        <v>45818.0</v>
      </c>
      <c r="B8476" s="1" t="s">
        <v>872</v>
      </c>
      <c r="C8476" s="1" t="s">
        <v>51</v>
      </c>
      <c r="D8476" s="1">
        <v>0.2</v>
      </c>
      <c r="E8476" s="1">
        <v>19784.0</v>
      </c>
      <c r="F8476" s="10">
        <f t="shared" si="1"/>
        <v>0.6666666667</v>
      </c>
      <c r="G8476" s="10" t="str">
        <f t="array" ref="G8476">index('Player ID'!C:C,match(E8476,'Player ID'!B:B,0))</f>
        <v>#N/A</v>
      </c>
    </row>
    <row r="8477">
      <c r="A8477" s="76">
        <v>45818.0</v>
      </c>
      <c r="B8477" s="1" t="s">
        <v>382</v>
      </c>
      <c r="C8477" s="1" t="s">
        <v>51</v>
      </c>
      <c r="D8477" s="1">
        <v>5.1</v>
      </c>
      <c r="E8477" s="1">
        <v>19867.0</v>
      </c>
      <c r="F8477" s="10">
        <f t="shared" si="1"/>
        <v>5.333333333</v>
      </c>
      <c r="G8477" s="10">
        <f t="array" ref="G8477">index('Player ID'!C:C,match(E8477,'Player ID'!B:B,0))</f>
        <v>656288</v>
      </c>
    </row>
    <row r="8478">
      <c r="A8478" s="76">
        <v>45818.0</v>
      </c>
      <c r="B8478" s="1" t="s">
        <v>354</v>
      </c>
      <c r="C8478" s="1" t="s">
        <v>80</v>
      </c>
      <c r="D8478" s="1">
        <v>6.0</v>
      </c>
      <c r="E8478" s="1">
        <v>22201.0</v>
      </c>
      <c r="F8478" s="10">
        <f t="shared" si="1"/>
        <v>6</v>
      </c>
      <c r="G8478" s="10">
        <f t="array" ref="G8478">index('Player ID'!C:C,match(E8478,'Player ID'!B:B,0))</f>
        <v>669022</v>
      </c>
    </row>
    <row r="8479">
      <c r="A8479" s="76">
        <v>45818.0</v>
      </c>
      <c r="B8479" s="1" t="s">
        <v>712</v>
      </c>
      <c r="C8479" s="1" t="s">
        <v>51</v>
      </c>
      <c r="D8479" s="1">
        <v>1.0</v>
      </c>
      <c r="E8479" s="1">
        <v>23313.0</v>
      </c>
      <c r="F8479" s="10">
        <f t="shared" si="1"/>
        <v>1</v>
      </c>
      <c r="G8479" s="10">
        <f t="array" ref="G8479">index('Player ID'!C:C,match(E8479,'Player ID'!B:B,0))</f>
        <v>676130</v>
      </c>
    </row>
    <row r="8480">
      <c r="A8480" s="76">
        <v>45818.0</v>
      </c>
      <c r="B8480" s="1" t="s">
        <v>86</v>
      </c>
      <c r="C8480" s="1" t="s">
        <v>80</v>
      </c>
      <c r="D8480" s="1">
        <v>0.2</v>
      </c>
      <c r="E8480" s="1">
        <v>24017.0</v>
      </c>
      <c r="F8480" s="10">
        <f t="shared" si="1"/>
        <v>0.6666666667</v>
      </c>
      <c r="G8480" s="10">
        <f t="array" ref="G8480">index('Player ID'!C:C,match(E8480,'Player ID'!B:B,0))</f>
        <v>678606</v>
      </c>
    </row>
    <row r="8481">
      <c r="A8481" s="76">
        <v>45818.0</v>
      </c>
      <c r="B8481" s="1" t="s">
        <v>507</v>
      </c>
      <c r="C8481" s="1" t="s">
        <v>80</v>
      </c>
      <c r="D8481" s="1">
        <v>0.0</v>
      </c>
      <c r="E8481" s="1">
        <v>27570.0</v>
      </c>
      <c r="F8481" s="10">
        <f t="shared" si="1"/>
        <v>0</v>
      </c>
      <c r="G8481" s="10">
        <f t="array" ref="G8481">index('Player ID'!C:C,match(E8481,'Player ID'!B:B,0))</f>
        <v>669371</v>
      </c>
    </row>
    <row r="8482">
      <c r="A8482" s="76">
        <v>45818.0</v>
      </c>
      <c r="B8482" s="1" t="s">
        <v>437</v>
      </c>
      <c r="C8482" s="1" t="s">
        <v>80</v>
      </c>
      <c r="D8482" s="1">
        <v>1.0</v>
      </c>
      <c r="E8482" s="1">
        <v>31972.0</v>
      </c>
      <c r="F8482" s="10">
        <f t="shared" si="1"/>
        <v>1</v>
      </c>
      <c r="G8482" s="10">
        <f t="array" ref="G8482">index('Player ID'!C:C,match(E8482,'Player ID'!B:B,0))</f>
        <v>695418</v>
      </c>
    </row>
    <row r="8483">
      <c r="A8483" s="76">
        <v>45818.0</v>
      </c>
      <c r="B8483" s="1" t="s">
        <v>440</v>
      </c>
      <c r="C8483" s="1" t="s">
        <v>56</v>
      </c>
      <c r="D8483" s="1">
        <v>1.1</v>
      </c>
      <c r="E8483" s="1">
        <v>12857.0</v>
      </c>
      <c r="F8483" s="10">
        <f t="shared" si="1"/>
        <v>1.333333333</v>
      </c>
      <c r="G8483" s="10">
        <f t="array" ref="G8483">index('Player ID'!C:C,match(E8483,'Player ID'!B:B,0))</f>
        <v>542888</v>
      </c>
    </row>
    <row r="8484">
      <c r="A8484" s="76">
        <v>45818.0</v>
      </c>
      <c r="B8484" s="1" t="s">
        <v>435</v>
      </c>
      <c r="C8484" s="1" t="s">
        <v>16</v>
      </c>
      <c r="D8484" s="1">
        <v>0.1</v>
      </c>
      <c r="E8484" s="1">
        <v>13293.0</v>
      </c>
      <c r="F8484" s="10">
        <f t="shared" si="1"/>
        <v>0.3333333333</v>
      </c>
      <c r="G8484" s="10">
        <f t="array" ref="G8484">index('Player ID'!C:C,match(E8484,'Player ID'!B:B,0))</f>
        <v>543056</v>
      </c>
    </row>
    <row r="8485">
      <c r="A8485" s="76">
        <v>45818.0</v>
      </c>
      <c r="B8485" s="1" t="s">
        <v>146</v>
      </c>
      <c r="C8485" s="1" t="s">
        <v>16</v>
      </c>
      <c r="D8485" s="1">
        <v>1.1</v>
      </c>
      <c r="E8485" s="1">
        <v>15145.0</v>
      </c>
      <c r="F8485" s="10">
        <f t="shared" si="1"/>
        <v>1.333333333</v>
      </c>
      <c r="G8485" s="10">
        <f t="array" ref="G8485">index('Player ID'!C:C,match(E8485,'Player ID'!B:B,0))</f>
        <v>623437</v>
      </c>
    </row>
    <row r="8486">
      <c r="A8486" s="76">
        <v>45818.0</v>
      </c>
      <c r="B8486" s="1" t="s">
        <v>55</v>
      </c>
      <c r="C8486" s="1" t="s">
        <v>56</v>
      </c>
      <c r="D8486" s="1">
        <v>5.2</v>
      </c>
      <c r="E8486" s="1">
        <v>16358.0</v>
      </c>
      <c r="F8486" s="10">
        <f t="shared" si="1"/>
        <v>5.666666667</v>
      </c>
      <c r="G8486" s="10">
        <f t="array" ref="G8486">index('Player ID'!C:C,match(E8486,'Player ID'!B:B,0))</f>
        <v>641816</v>
      </c>
    </row>
    <row r="8487">
      <c r="A8487" s="76">
        <v>45818.0</v>
      </c>
      <c r="B8487" s="1" t="s">
        <v>397</v>
      </c>
      <c r="C8487" s="1" t="s">
        <v>16</v>
      </c>
      <c r="D8487" s="1">
        <v>1.2</v>
      </c>
      <c r="E8487" s="1">
        <v>19459.0</v>
      </c>
      <c r="F8487" s="10">
        <f t="shared" si="1"/>
        <v>1.666666667</v>
      </c>
      <c r="G8487" s="10">
        <f t="array" ref="G8487">index('Player ID'!C:C,match(E8487,'Player ID'!B:B,0))</f>
        <v>660896</v>
      </c>
    </row>
    <row r="8488">
      <c r="A8488" s="76">
        <v>45818.0</v>
      </c>
      <c r="B8488" s="1" t="s">
        <v>349</v>
      </c>
      <c r="C8488" s="1" t="s">
        <v>56</v>
      </c>
      <c r="D8488" s="1">
        <v>1.0</v>
      </c>
      <c r="E8488" s="1">
        <v>19736.0</v>
      </c>
      <c r="F8488" s="10">
        <f t="shared" si="1"/>
        <v>1</v>
      </c>
      <c r="G8488" s="10">
        <f t="array" ref="G8488">index('Player ID'!C:C,match(E8488,'Player ID'!B:B,0))</f>
        <v>676961</v>
      </c>
    </row>
    <row r="8489">
      <c r="A8489" s="76">
        <v>45818.0</v>
      </c>
      <c r="B8489" s="1" t="s">
        <v>502</v>
      </c>
      <c r="C8489" s="1" t="s">
        <v>56</v>
      </c>
      <c r="D8489" s="1">
        <v>1.0</v>
      </c>
      <c r="E8489" s="1">
        <v>22113.0</v>
      </c>
      <c r="F8489" s="10">
        <f t="shared" si="1"/>
        <v>1</v>
      </c>
      <c r="G8489" s="10">
        <f t="array" ref="G8489">index('Player ID'!C:C,match(E8489,'Player ID'!B:B,0))</f>
        <v>668390</v>
      </c>
    </row>
    <row r="8490">
      <c r="A8490" s="76">
        <v>45818.0</v>
      </c>
      <c r="B8490" s="1" t="s">
        <v>490</v>
      </c>
      <c r="C8490" s="1" t="s">
        <v>16</v>
      </c>
      <c r="D8490" s="1">
        <v>4.2</v>
      </c>
      <c r="E8490" s="1">
        <v>24494.0</v>
      </c>
      <c r="F8490" s="10">
        <f t="shared" si="1"/>
        <v>4.666666667</v>
      </c>
      <c r="G8490" s="10">
        <f t="array" ref="G8490">index('Player ID'!C:C,match(E8490,'Player ID'!B:B,0))</f>
        <v>680573</v>
      </c>
    </row>
    <row r="8491">
      <c r="A8491" s="76">
        <v>45818.0</v>
      </c>
      <c r="B8491" s="1" t="s">
        <v>864</v>
      </c>
      <c r="C8491" s="1" t="s">
        <v>16</v>
      </c>
      <c r="D8491" s="1">
        <v>1.0</v>
      </c>
      <c r="E8491" s="1">
        <v>24703.0</v>
      </c>
      <c r="F8491" s="10">
        <f t="shared" si="1"/>
        <v>1</v>
      </c>
      <c r="G8491" s="10" t="str">
        <f t="array" ref="G8491">index('Player ID'!C:C,match(E8491,'Player ID'!B:B,0))</f>
        <v>#N/A</v>
      </c>
    </row>
    <row r="8492">
      <c r="A8492" s="76">
        <v>45818.0</v>
      </c>
      <c r="B8492" s="1" t="s">
        <v>699</v>
      </c>
      <c r="C8492" s="1" t="s">
        <v>46</v>
      </c>
      <c r="D8492" s="1">
        <v>1.0</v>
      </c>
      <c r="E8492" s="1">
        <v>14552.0</v>
      </c>
      <c r="F8492" s="10">
        <f t="shared" si="1"/>
        <v>1</v>
      </c>
      <c r="G8492" s="10">
        <f t="array" ref="G8492">index('Player ID'!C:C,match(E8492,'Player ID'!B:B,0))</f>
        <v>614179</v>
      </c>
    </row>
    <row r="8493">
      <c r="A8493" s="76">
        <v>45818.0</v>
      </c>
      <c r="B8493" s="1" t="s">
        <v>319</v>
      </c>
      <c r="C8493" s="1" t="s">
        <v>46</v>
      </c>
      <c r="D8493" s="1">
        <v>0.2</v>
      </c>
      <c r="E8493" s="1">
        <v>16258.0</v>
      </c>
      <c r="F8493" s="10">
        <f t="shared" si="1"/>
        <v>0.6666666667</v>
      </c>
      <c r="G8493" s="10">
        <f t="array" ref="G8493">index('Player ID'!C:C,match(E8493,'Player ID'!B:B,0))</f>
        <v>607481</v>
      </c>
    </row>
    <row r="8494">
      <c r="A8494" s="76">
        <v>45818.0</v>
      </c>
      <c r="B8494" s="1" t="s">
        <v>366</v>
      </c>
      <c r="C8494" s="1" t="s">
        <v>46</v>
      </c>
      <c r="D8494" s="1">
        <v>5.1</v>
      </c>
      <c r="E8494" s="1">
        <v>16944.0</v>
      </c>
      <c r="F8494" s="10">
        <f t="shared" si="1"/>
        <v>5.333333333</v>
      </c>
      <c r="G8494" s="10">
        <f t="array" ref="G8494">index('Player ID'!C:C,match(E8494,'Player ID'!B:B,0))</f>
        <v>656550</v>
      </c>
    </row>
    <row r="8495">
      <c r="A8495" s="76">
        <v>45818.0</v>
      </c>
      <c r="B8495" s="1" t="s">
        <v>13</v>
      </c>
      <c r="C8495" s="1" t="s">
        <v>14</v>
      </c>
      <c r="D8495" s="1">
        <v>1.0</v>
      </c>
      <c r="E8495" s="1">
        <v>17722.0</v>
      </c>
      <c r="F8495" s="10">
        <f t="shared" si="1"/>
        <v>1</v>
      </c>
      <c r="G8495" s="10">
        <f t="array" ref="G8495">index('Player ID'!C:C,match(E8495,'Player ID'!B:B,0))</f>
        <v>656730</v>
      </c>
    </row>
    <row r="8496">
      <c r="A8496" s="76">
        <v>45818.0</v>
      </c>
      <c r="B8496" s="1" t="s">
        <v>279</v>
      </c>
      <c r="C8496" s="1" t="s">
        <v>14</v>
      </c>
      <c r="D8496" s="1">
        <v>2.0</v>
      </c>
      <c r="E8496" s="1">
        <v>25327.0</v>
      </c>
      <c r="F8496" s="10">
        <f t="shared" si="1"/>
        <v>2</v>
      </c>
      <c r="G8496" s="10">
        <f t="array" ref="G8496">index('Player ID'!C:C,match(E8496,'Player ID'!B:B,0))</f>
        <v>682842</v>
      </c>
    </row>
    <row r="8497">
      <c r="A8497" s="76">
        <v>45818.0</v>
      </c>
      <c r="B8497" s="1" t="s">
        <v>450</v>
      </c>
      <c r="C8497" s="1" t="s">
        <v>14</v>
      </c>
      <c r="D8497" s="1">
        <v>6.0</v>
      </c>
      <c r="E8497" s="1">
        <v>25977.0</v>
      </c>
      <c r="F8497" s="10">
        <f t="shared" si="1"/>
        <v>6</v>
      </c>
      <c r="G8497" s="10">
        <f t="array" ref="G8497">index('Player ID'!C:C,match(E8497,'Player ID'!B:B,0))</f>
        <v>682990</v>
      </c>
    </row>
    <row r="8498">
      <c r="A8498" s="76">
        <v>45818.0</v>
      </c>
      <c r="B8498" s="1" t="s">
        <v>244</v>
      </c>
      <c r="C8498" s="1" t="s">
        <v>46</v>
      </c>
      <c r="D8498" s="1">
        <v>1.0</v>
      </c>
      <c r="E8498" s="1">
        <v>29928.0</v>
      </c>
      <c r="F8498" s="10">
        <f t="shared" si="1"/>
        <v>1</v>
      </c>
      <c r="G8498" s="10" t="str">
        <f t="array" ref="G8498">index('Player ID'!C:C,match(E8498,'Player ID'!B:B,0))</f>
        <v>#N/A</v>
      </c>
    </row>
    <row r="8499">
      <c r="A8499" s="76">
        <v>45818.0</v>
      </c>
      <c r="B8499" s="1" t="s">
        <v>166</v>
      </c>
      <c r="C8499" s="1" t="s">
        <v>58</v>
      </c>
      <c r="D8499" s="1">
        <v>7.0</v>
      </c>
      <c r="E8499" s="1">
        <v>13743.0</v>
      </c>
      <c r="F8499" s="10">
        <f t="shared" si="1"/>
        <v>7</v>
      </c>
      <c r="G8499" s="10">
        <f t="array" ref="G8499">index('Player ID'!C:C,match(E8499,'Player ID'!B:B,0))</f>
        <v>608331</v>
      </c>
    </row>
    <row r="8500">
      <c r="A8500" s="76">
        <v>45818.0</v>
      </c>
      <c r="B8500" s="1" t="s">
        <v>69</v>
      </c>
      <c r="C8500" s="1" t="s">
        <v>58</v>
      </c>
      <c r="D8500" s="1">
        <v>0.1</v>
      </c>
      <c r="E8500" s="1">
        <v>16814.0</v>
      </c>
      <c r="F8500" s="10">
        <f t="shared" si="1"/>
        <v>0.3333333333</v>
      </c>
      <c r="G8500" s="10">
        <f t="array" ref="G8500">index('Player ID'!C:C,match(E8500,'Player ID'!B:B,0))</f>
        <v>657612</v>
      </c>
    </row>
    <row r="8501">
      <c r="A8501" s="76">
        <v>45818.0</v>
      </c>
      <c r="B8501" s="1" t="s">
        <v>199</v>
      </c>
      <c r="C8501" s="1" t="s">
        <v>29</v>
      </c>
      <c r="D8501" s="1">
        <v>0.1</v>
      </c>
      <c r="E8501" s="1">
        <v>17611.0</v>
      </c>
      <c r="F8501" s="10">
        <f t="shared" si="1"/>
        <v>0.3333333333</v>
      </c>
      <c r="G8501" s="10">
        <f t="array" ref="G8501">index('Player ID'!C:C,match(E8501,'Player ID'!B:B,0))</f>
        <v>664199</v>
      </c>
    </row>
    <row r="8502">
      <c r="A8502" s="76">
        <v>45818.0</v>
      </c>
      <c r="B8502" s="1" t="s">
        <v>869</v>
      </c>
      <c r="C8502" s="1" t="s">
        <v>29</v>
      </c>
      <c r="D8502" s="1">
        <v>2.0</v>
      </c>
      <c r="E8502" s="1">
        <v>19309.0</v>
      </c>
      <c r="F8502" s="10">
        <f t="shared" si="1"/>
        <v>2</v>
      </c>
      <c r="G8502" s="10" t="str">
        <f t="array" ref="G8502">index('Player ID'!C:C,match(E8502,'Player ID'!B:B,0))</f>
        <v>#N/A</v>
      </c>
    </row>
    <row r="8503">
      <c r="A8503" s="76">
        <v>45818.0</v>
      </c>
      <c r="B8503" s="1" t="s">
        <v>309</v>
      </c>
      <c r="C8503" s="1" t="s">
        <v>58</v>
      </c>
      <c r="D8503" s="1">
        <v>1.2</v>
      </c>
      <c r="E8503" s="1">
        <v>21420.0</v>
      </c>
      <c r="F8503" s="10">
        <f t="shared" si="1"/>
        <v>1.666666667</v>
      </c>
      <c r="G8503" s="10">
        <f t="array" ref="G8503">index('Player ID'!C:C,match(E8503,'Player ID'!B:B,0))</f>
        <v>660787</v>
      </c>
    </row>
    <row r="8504">
      <c r="A8504" s="76">
        <v>45818.0</v>
      </c>
      <c r="B8504" s="1" t="s">
        <v>293</v>
      </c>
      <c r="C8504" s="1" t="s">
        <v>29</v>
      </c>
      <c r="D8504" s="1">
        <v>1.0</v>
      </c>
      <c r="E8504" s="1">
        <v>21537.0</v>
      </c>
      <c r="F8504" s="10">
        <f t="shared" si="1"/>
        <v>1</v>
      </c>
      <c r="G8504" s="10">
        <f t="array" ref="G8504">index('Player ID'!C:C,match(E8504,'Player ID'!B:B,0))</f>
        <v>663738</v>
      </c>
    </row>
    <row r="8505">
      <c r="A8505" s="76">
        <v>45818.0</v>
      </c>
      <c r="B8505" s="1" t="s">
        <v>161</v>
      </c>
      <c r="C8505" s="1" t="s">
        <v>29</v>
      </c>
      <c r="D8505" s="1">
        <v>5.2</v>
      </c>
      <c r="E8505" s="1">
        <v>30184.0</v>
      </c>
      <c r="F8505" s="10">
        <f t="shared" si="1"/>
        <v>5.666666667</v>
      </c>
      <c r="G8505" s="10">
        <f t="array" ref="G8505">index('Player ID'!C:C,match(E8505,'Player ID'!B:B,0))</f>
        <v>702070</v>
      </c>
    </row>
    <row r="8506">
      <c r="A8506" s="76">
        <v>45818.0</v>
      </c>
      <c r="B8506" s="1" t="s">
        <v>287</v>
      </c>
      <c r="C8506" s="1" t="s">
        <v>72</v>
      </c>
      <c r="D8506" s="1">
        <v>5.0</v>
      </c>
      <c r="E8506" s="1">
        <v>9803.0</v>
      </c>
      <c r="F8506" s="10">
        <f t="shared" si="1"/>
        <v>5</v>
      </c>
      <c r="G8506" s="10">
        <f t="array" ref="G8506">index('Player ID'!C:C,match(E8506,'Player ID'!B:B,0))</f>
        <v>571945</v>
      </c>
    </row>
    <row r="8507">
      <c r="A8507" s="76">
        <v>45818.0</v>
      </c>
      <c r="B8507" s="1" t="s">
        <v>456</v>
      </c>
      <c r="C8507" s="1" t="s">
        <v>40</v>
      </c>
      <c r="D8507" s="1">
        <v>7.0</v>
      </c>
      <c r="E8507" s="1">
        <v>12304.0</v>
      </c>
      <c r="F8507" s="10">
        <f t="shared" si="1"/>
        <v>7</v>
      </c>
      <c r="G8507" s="10">
        <f t="array" ref="G8507">index('Player ID'!C:C,match(E8507,'Player ID'!B:B,0))</f>
        <v>605135</v>
      </c>
    </row>
    <row r="8508">
      <c r="A8508" s="76">
        <v>45818.0</v>
      </c>
      <c r="B8508" s="1" t="s">
        <v>174</v>
      </c>
      <c r="C8508" s="1" t="s">
        <v>40</v>
      </c>
      <c r="D8508" s="1">
        <v>1.0</v>
      </c>
      <c r="E8508" s="1">
        <v>15552.0</v>
      </c>
      <c r="F8508" s="10">
        <f t="shared" si="1"/>
        <v>1</v>
      </c>
      <c r="G8508" s="10">
        <f t="array" ref="G8508">index('Player ID'!C:C,match(E8508,'Player ID'!B:B,0))</f>
        <v>643338</v>
      </c>
    </row>
    <row r="8509">
      <c r="A8509" s="76">
        <v>45818.0</v>
      </c>
      <c r="B8509" s="1" t="s">
        <v>311</v>
      </c>
      <c r="C8509" s="1" t="s">
        <v>40</v>
      </c>
      <c r="D8509" s="1">
        <v>0.1</v>
      </c>
      <c r="E8509" s="1">
        <v>17432.0</v>
      </c>
      <c r="F8509" s="10">
        <f t="shared" si="1"/>
        <v>0.3333333333</v>
      </c>
      <c r="G8509" s="10">
        <f t="array" ref="G8509">index('Player ID'!C:C,match(E8509,'Player ID'!B:B,0))</f>
        <v>656546</v>
      </c>
    </row>
    <row r="8510">
      <c r="A8510" s="76">
        <v>45818.0</v>
      </c>
      <c r="B8510" s="1" t="s">
        <v>273</v>
      </c>
      <c r="C8510" s="1" t="s">
        <v>72</v>
      </c>
      <c r="D8510" s="1">
        <v>1.1</v>
      </c>
      <c r="E8510" s="1">
        <v>22051.0</v>
      </c>
      <c r="F8510" s="10">
        <f t="shared" si="1"/>
        <v>1.333333333</v>
      </c>
      <c r="G8510" s="10">
        <f t="array" ref="G8510">index('Player ID'!C:C,match(E8510,'Player ID'!B:B,0))</f>
        <v>667463</v>
      </c>
    </row>
    <row r="8511">
      <c r="A8511" s="76">
        <v>45818.0</v>
      </c>
      <c r="B8511" s="1" t="s">
        <v>170</v>
      </c>
      <c r="C8511" s="1" t="s">
        <v>72</v>
      </c>
      <c r="D8511" s="1">
        <v>1.2</v>
      </c>
      <c r="E8511" s="1">
        <v>24763.0</v>
      </c>
      <c r="F8511" s="10">
        <f t="shared" si="1"/>
        <v>1.666666667</v>
      </c>
      <c r="G8511" s="10">
        <f t="array" ref="G8511">index('Player ID'!C:C,match(E8511,'Player ID'!B:B,0))</f>
        <v>681517</v>
      </c>
    </row>
    <row r="8512">
      <c r="A8512" s="76">
        <v>45818.0</v>
      </c>
      <c r="B8512" s="1" t="s">
        <v>665</v>
      </c>
      <c r="C8512" s="1" t="s">
        <v>72</v>
      </c>
      <c r="D8512" s="1">
        <v>1.0</v>
      </c>
      <c r="E8512" s="1">
        <v>31261.0</v>
      </c>
      <c r="F8512" s="10">
        <f t="shared" si="1"/>
        <v>1</v>
      </c>
      <c r="G8512" s="10">
        <f t="array" ref="G8512">index('Player ID'!C:C,match(E8512,'Player ID'!B:B,0))</f>
        <v>688297</v>
      </c>
    </row>
    <row r="8513">
      <c r="A8513" s="76">
        <v>45818.0</v>
      </c>
      <c r="B8513" s="1" t="s">
        <v>142</v>
      </c>
      <c r="C8513" s="1" t="s">
        <v>40</v>
      </c>
      <c r="D8513" s="1">
        <v>0.2</v>
      </c>
      <c r="E8513" s="1">
        <v>31553.0</v>
      </c>
      <c r="F8513" s="10">
        <f t="shared" si="1"/>
        <v>0.6666666667</v>
      </c>
      <c r="G8513" s="10">
        <f t="array" ref="G8513">index('Player ID'!C:C,match(E8513,'Player ID'!B:B,0))</f>
        <v>689254</v>
      </c>
    </row>
    <row r="8514">
      <c r="A8514" s="76">
        <v>45818.0</v>
      </c>
      <c r="B8514" s="1" t="s">
        <v>394</v>
      </c>
      <c r="C8514" s="1" t="s">
        <v>39</v>
      </c>
      <c r="D8514" s="1">
        <v>5.0</v>
      </c>
      <c r="E8514" s="1">
        <v>14120.0</v>
      </c>
      <c r="F8514" s="10">
        <f t="shared" si="1"/>
        <v>5</v>
      </c>
      <c r="G8514" s="10">
        <f t="array" ref="G8514">index('Player ID'!C:C,match(E8514,'Player ID'!B:B,0))</f>
        <v>621121</v>
      </c>
    </row>
    <row r="8515">
      <c r="A8515" s="76">
        <v>45818.0</v>
      </c>
      <c r="B8515" s="1" t="s">
        <v>359</v>
      </c>
      <c r="C8515" s="1" t="s">
        <v>39</v>
      </c>
      <c r="D8515" s="1">
        <v>1.0</v>
      </c>
      <c r="E8515" s="1">
        <v>20061.0</v>
      </c>
      <c r="F8515" s="10">
        <f t="shared" si="1"/>
        <v>1</v>
      </c>
      <c r="G8515" s="10">
        <f t="array" ref="G8515">index('Player ID'!C:C,match(E8515,'Player ID'!B:B,0))</f>
        <v>672391</v>
      </c>
    </row>
    <row r="8516">
      <c r="A8516" s="76">
        <v>45818.0</v>
      </c>
      <c r="B8516" s="1" t="s">
        <v>116</v>
      </c>
      <c r="C8516" s="1" t="s">
        <v>78</v>
      </c>
      <c r="D8516" s="1">
        <v>1.0</v>
      </c>
      <c r="E8516" s="1">
        <v>20353.0</v>
      </c>
      <c r="F8516" s="10">
        <f t="shared" si="1"/>
        <v>1</v>
      </c>
      <c r="G8516" s="10">
        <f t="array" ref="G8516">index('Player ID'!C:C,match(E8516,'Player ID'!B:B,0))</f>
        <v>621051</v>
      </c>
    </row>
    <row r="8517">
      <c r="A8517" s="76">
        <v>45818.0</v>
      </c>
      <c r="B8517" s="1" t="s">
        <v>102</v>
      </c>
      <c r="C8517" s="1" t="s">
        <v>39</v>
      </c>
      <c r="D8517" s="1">
        <v>2.0</v>
      </c>
      <c r="E8517" s="1">
        <v>21345.0</v>
      </c>
      <c r="F8517" s="10">
        <f t="shared" si="1"/>
        <v>2</v>
      </c>
      <c r="G8517" s="10">
        <f t="array" ref="G8517">index('Player ID'!C:C,match(E8517,'Player ID'!B:B,0))</f>
        <v>656986</v>
      </c>
    </row>
    <row r="8518">
      <c r="A8518" s="76">
        <v>45818.0</v>
      </c>
      <c r="B8518" s="1" t="s">
        <v>444</v>
      </c>
      <c r="C8518" s="1" t="s">
        <v>39</v>
      </c>
      <c r="D8518" s="1">
        <v>1.0</v>
      </c>
      <c r="E8518" s="1">
        <v>24977.0</v>
      </c>
      <c r="F8518" s="10">
        <f t="shared" si="1"/>
        <v>1</v>
      </c>
      <c r="G8518" s="10">
        <f t="array" ref="G8518">index('Player ID'!C:C,match(E8518,'Player ID'!B:B,0))</f>
        <v>681869</v>
      </c>
    </row>
    <row r="8519">
      <c r="A8519" s="76">
        <v>45818.0</v>
      </c>
      <c r="B8519" s="1" t="s">
        <v>367</v>
      </c>
      <c r="C8519" s="1" t="s">
        <v>78</v>
      </c>
      <c r="D8519" s="1">
        <v>1.0</v>
      </c>
      <c r="E8519" s="1">
        <v>27668.0</v>
      </c>
      <c r="F8519" s="10">
        <f t="shared" si="1"/>
        <v>1</v>
      </c>
      <c r="G8519" s="10">
        <f t="array" ref="G8519">index('Player ID'!C:C,match(E8519,'Player ID'!B:B,0))</f>
        <v>685126</v>
      </c>
    </row>
    <row r="8520">
      <c r="A8520" s="76">
        <v>45818.0</v>
      </c>
      <c r="B8520" s="1" t="s">
        <v>470</v>
      </c>
      <c r="C8520" s="1" t="s">
        <v>78</v>
      </c>
      <c r="D8520" s="1">
        <v>6.0</v>
      </c>
      <c r="E8520" s="1">
        <v>31687.0</v>
      </c>
      <c r="F8520" s="10">
        <f t="shared" si="1"/>
        <v>6</v>
      </c>
      <c r="G8520" s="10">
        <f t="array" ref="G8520">index('Player ID'!C:C,match(E8520,'Player ID'!B:B,0))</f>
        <v>681343</v>
      </c>
    </row>
    <row r="8521">
      <c r="A8521" s="76">
        <v>45818.0</v>
      </c>
      <c r="B8521" s="1" t="s">
        <v>106</v>
      </c>
      <c r="C8521" s="1" t="s">
        <v>78</v>
      </c>
      <c r="D8521" s="1">
        <v>1.0</v>
      </c>
      <c r="E8521" s="1">
        <v>33927.0</v>
      </c>
      <c r="F8521" s="10">
        <f t="shared" si="1"/>
        <v>1</v>
      </c>
      <c r="G8521" s="10" t="str">
        <f t="array" ref="G8521">index('Player ID'!C:C,match(E8521,'Player ID'!B:B,0))</f>
        <v>#N/A</v>
      </c>
    </row>
    <row r="8522">
      <c r="A8522" s="76">
        <v>45818.0</v>
      </c>
      <c r="B8522" s="1" t="s">
        <v>288</v>
      </c>
      <c r="C8522" s="1" t="s">
        <v>75</v>
      </c>
      <c r="D8522" s="1">
        <v>1.0</v>
      </c>
      <c r="E8522" s="1">
        <v>18297.0</v>
      </c>
      <c r="F8522" s="10">
        <f t="shared" si="1"/>
        <v>1</v>
      </c>
      <c r="G8522" s="10">
        <f t="array" ref="G8522">index('Player ID'!C:C,match(E8522,'Player ID'!B:B,0))</f>
        <v>641755</v>
      </c>
    </row>
    <row r="8523">
      <c r="A8523" s="76">
        <v>45818.0</v>
      </c>
      <c r="B8523" s="1" t="s">
        <v>215</v>
      </c>
      <c r="C8523" s="1" t="s">
        <v>75</v>
      </c>
      <c r="D8523" s="1">
        <v>2.0</v>
      </c>
      <c r="E8523" s="1">
        <v>21267.0</v>
      </c>
      <c r="F8523" s="10">
        <f t="shared" si="1"/>
        <v>2</v>
      </c>
      <c r="G8523" s="10">
        <f t="array" ref="G8523">index('Player ID'!C:C,match(E8523,'Player ID'!B:B,0))</f>
        <v>656234</v>
      </c>
    </row>
    <row r="8524">
      <c r="A8524" s="76">
        <v>45818.0</v>
      </c>
      <c r="B8524" s="1" t="s">
        <v>304</v>
      </c>
      <c r="C8524" s="1" t="s">
        <v>31</v>
      </c>
      <c r="D8524" s="1">
        <v>1.0</v>
      </c>
      <c r="E8524" s="1">
        <v>21992.0</v>
      </c>
      <c r="F8524" s="10">
        <f t="shared" si="1"/>
        <v>1</v>
      </c>
      <c r="G8524" s="10">
        <f t="array" ref="G8524">index('Player ID'!C:C,match(E8524,'Player ID'!B:B,0))</f>
        <v>666808</v>
      </c>
    </row>
    <row r="8525">
      <c r="A8525" s="76">
        <v>45818.0</v>
      </c>
      <c r="B8525" s="1" t="s">
        <v>365</v>
      </c>
      <c r="C8525" s="1" t="s">
        <v>75</v>
      </c>
      <c r="D8525" s="1">
        <v>0.2</v>
      </c>
      <c r="E8525" s="1">
        <v>24614.0</v>
      </c>
      <c r="F8525" s="10">
        <f t="shared" si="1"/>
        <v>0.6666666667</v>
      </c>
      <c r="G8525" s="10">
        <f t="array" ref="G8525">index('Player ID'!C:C,match(E8525,'Player ID'!B:B,0))</f>
        <v>680767</v>
      </c>
    </row>
    <row r="8526">
      <c r="A8526" s="76">
        <v>45818.0</v>
      </c>
      <c r="B8526" s="1" t="s">
        <v>655</v>
      </c>
      <c r="C8526" s="1" t="s">
        <v>31</v>
      </c>
      <c r="D8526" s="1">
        <v>0.1</v>
      </c>
      <c r="E8526" s="1">
        <v>26252.0</v>
      </c>
      <c r="F8526" s="10">
        <f t="shared" si="1"/>
        <v>0.3333333333</v>
      </c>
      <c r="G8526" s="10">
        <f t="array" ref="G8526">index('Player ID'!C:C,match(E8526,'Player ID'!B:B,0))</f>
        <v>669062</v>
      </c>
    </row>
    <row r="8527">
      <c r="A8527" s="76">
        <v>45818.0</v>
      </c>
      <c r="B8527" s="1" t="s">
        <v>96</v>
      </c>
      <c r="C8527" s="1" t="s">
        <v>31</v>
      </c>
      <c r="D8527" s="1">
        <v>5.0</v>
      </c>
      <c r="E8527" s="1">
        <v>27758.0</v>
      </c>
      <c r="F8527" s="10">
        <f t="shared" si="1"/>
        <v>5</v>
      </c>
      <c r="G8527" s="10">
        <f t="array" ref="G8527">index('Player ID'!C:C,match(E8527,'Player ID'!B:B,0))</f>
        <v>690986</v>
      </c>
    </row>
    <row r="8528">
      <c r="A8528" s="76">
        <v>45818.0</v>
      </c>
      <c r="B8528" s="1" t="s">
        <v>276</v>
      </c>
      <c r="C8528" s="1" t="s">
        <v>31</v>
      </c>
      <c r="D8528" s="1">
        <v>2.2</v>
      </c>
      <c r="E8528" s="1">
        <v>30226.0</v>
      </c>
      <c r="F8528" s="10">
        <f t="shared" si="1"/>
        <v>2.666666667</v>
      </c>
      <c r="G8528" s="10">
        <f t="array" ref="G8528">index('Player ID'!C:C,match(E8528,'Player ID'!B:B,0))</f>
        <v>702352</v>
      </c>
    </row>
    <row r="8529">
      <c r="A8529" s="76">
        <v>45818.0</v>
      </c>
      <c r="B8529" s="1" t="s">
        <v>512</v>
      </c>
      <c r="C8529" s="1" t="s">
        <v>75</v>
      </c>
      <c r="D8529" s="1">
        <v>0.1</v>
      </c>
      <c r="E8529" s="1">
        <v>31552.0</v>
      </c>
      <c r="F8529" s="10">
        <f t="shared" si="1"/>
        <v>0.3333333333</v>
      </c>
      <c r="G8529" s="10">
        <f t="array" ref="G8529">index('Player ID'!C:C,match(E8529,'Player ID'!B:B,0))</f>
        <v>688642</v>
      </c>
    </row>
    <row r="8530">
      <c r="A8530" s="76">
        <v>45818.0</v>
      </c>
      <c r="B8530" s="1" t="s">
        <v>449</v>
      </c>
      <c r="C8530" s="1" t="s">
        <v>75</v>
      </c>
      <c r="D8530" s="1">
        <v>4.0</v>
      </c>
      <c r="E8530" s="1">
        <v>31612.0</v>
      </c>
      <c r="F8530" s="10">
        <f t="shared" si="1"/>
        <v>4</v>
      </c>
      <c r="G8530" s="10">
        <f t="array" ref="G8530">index('Player ID'!C:C,match(E8530,'Player ID'!B:B,0))</f>
        <v>687223</v>
      </c>
    </row>
    <row r="8531">
      <c r="A8531" s="76">
        <v>45818.0</v>
      </c>
      <c r="B8531" s="1" t="s">
        <v>488</v>
      </c>
      <c r="C8531" s="1" t="s">
        <v>75</v>
      </c>
      <c r="D8531" s="1">
        <v>1.0</v>
      </c>
      <c r="E8531" s="1">
        <v>33294.0</v>
      </c>
      <c r="F8531" s="10">
        <f t="shared" si="1"/>
        <v>1</v>
      </c>
      <c r="G8531" s="10">
        <f t="array" ref="G8531">index('Player ID'!C:C,match(E8531,'Player ID'!B:B,0))</f>
        <v>678020</v>
      </c>
    </row>
    <row r="8532">
      <c r="A8532" s="76">
        <v>45818.0</v>
      </c>
      <c r="B8532" s="1" t="s">
        <v>154</v>
      </c>
      <c r="C8532" s="1" t="s">
        <v>25</v>
      </c>
      <c r="D8532" s="1">
        <v>1.0</v>
      </c>
      <c r="E8532" s="1">
        <v>3096.0</v>
      </c>
      <c r="F8532" s="10">
        <f t="shared" si="1"/>
        <v>1</v>
      </c>
      <c r="G8532" s="10">
        <f t="array" ref="G8532">index('Player ID'!C:C,match(E8532,'Player ID'!B:B,0))</f>
        <v>445276</v>
      </c>
    </row>
    <row r="8533">
      <c r="A8533" s="76">
        <v>45818.0</v>
      </c>
      <c r="B8533" s="1" t="s">
        <v>668</v>
      </c>
      <c r="C8533" s="1" t="s">
        <v>52</v>
      </c>
      <c r="D8533" s="1">
        <v>0.1</v>
      </c>
      <c r="E8533" s="1">
        <v>3237.0</v>
      </c>
      <c r="F8533" s="10">
        <f t="shared" si="1"/>
        <v>0.3333333333</v>
      </c>
      <c r="G8533" s="10">
        <f t="array" ref="G8533">index('Player ID'!C:C,match(E8533,'Player ID'!B:B,0))</f>
        <v>519008</v>
      </c>
    </row>
    <row r="8534">
      <c r="A8534" s="76">
        <v>45818.0</v>
      </c>
      <c r="B8534" s="1" t="s">
        <v>834</v>
      </c>
      <c r="C8534" s="1" t="s">
        <v>25</v>
      </c>
      <c r="D8534" s="1">
        <v>1.0</v>
      </c>
      <c r="E8534" s="1">
        <v>7836.0</v>
      </c>
      <c r="F8534" s="10">
        <f t="shared" si="1"/>
        <v>1</v>
      </c>
      <c r="G8534" s="10" t="str">
        <f t="array" ref="G8534">index('Player ID'!C:C,match(E8534,'Player ID'!B:B,0))</f>
        <v>#N/A</v>
      </c>
    </row>
    <row r="8535">
      <c r="A8535" s="76">
        <v>45818.0</v>
      </c>
      <c r="B8535" s="1" t="s">
        <v>436</v>
      </c>
      <c r="C8535" s="1" t="s">
        <v>52</v>
      </c>
      <c r="D8535" s="1">
        <v>2.0</v>
      </c>
      <c r="E8535" s="1">
        <v>12791.0</v>
      </c>
      <c r="F8535" s="10">
        <f t="shared" si="1"/>
        <v>2</v>
      </c>
      <c r="G8535" s="10" t="str">
        <f t="array" ref="G8535">index('Player ID'!C:C,match(E8535,'Player ID'!B:B,0))</f>
        <v>#N/A</v>
      </c>
    </row>
    <row r="8536">
      <c r="A8536" s="76">
        <v>45818.0</v>
      </c>
      <c r="B8536" s="1" t="s">
        <v>505</v>
      </c>
      <c r="C8536" s="1" t="s">
        <v>52</v>
      </c>
      <c r="D8536" s="1">
        <v>1.2</v>
      </c>
      <c r="E8536" s="1">
        <v>19481.0</v>
      </c>
      <c r="F8536" s="10">
        <f t="shared" si="1"/>
        <v>1.666666667</v>
      </c>
      <c r="G8536" s="10">
        <f t="array" ref="G8536">index('Player ID'!C:C,match(E8536,'Player ID'!B:B,0))</f>
        <v>621053</v>
      </c>
    </row>
    <row r="8537">
      <c r="A8537" s="76">
        <v>45818.0</v>
      </c>
      <c r="B8537" s="1" t="s">
        <v>227</v>
      </c>
      <c r="C8537" s="1" t="s">
        <v>52</v>
      </c>
      <c r="D8537" s="1">
        <v>0.2</v>
      </c>
      <c r="E8537" s="1">
        <v>21520.0</v>
      </c>
      <c r="F8537" s="10">
        <f t="shared" si="1"/>
        <v>0.6666666667</v>
      </c>
      <c r="G8537" s="10">
        <f t="array" ref="G8537">index('Player ID'!C:C,match(E8537,'Player ID'!B:B,0))</f>
        <v>663687</v>
      </c>
    </row>
    <row r="8538">
      <c r="A8538" s="76">
        <v>45818.0</v>
      </c>
      <c r="B8538" s="1" t="s">
        <v>695</v>
      </c>
      <c r="C8538" s="1" t="s">
        <v>25</v>
      </c>
      <c r="D8538" s="1">
        <v>7.0</v>
      </c>
      <c r="E8538" s="1">
        <v>22100.0</v>
      </c>
      <c r="F8538" s="10">
        <f t="shared" si="1"/>
        <v>7</v>
      </c>
      <c r="G8538" s="10">
        <f t="array" ref="G8538">index('Player ID'!C:C,match(E8538,'Player ID'!B:B,0))</f>
        <v>667755</v>
      </c>
    </row>
    <row r="8539">
      <c r="A8539" s="76">
        <v>45818.0</v>
      </c>
      <c r="B8539" s="1" t="s">
        <v>24</v>
      </c>
      <c r="C8539" s="1" t="s">
        <v>25</v>
      </c>
      <c r="D8539" s="1">
        <v>1.0</v>
      </c>
      <c r="E8539" s="1">
        <v>27468.0</v>
      </c>
      <c r="F8539" s="10">
        <f t="shared" si="1"/>
        <v>1</v>
      </c>
      <c r="G8539" s="10">
        <f t="array" ref="G8539">index('Player ID'!C:C,match(E8539,'Player ID'!B:B,0))</f>
        <v>672282</v>
      </c>
    </row>
    <row r="8540">
      <c r="A8540" s="76">
        <v>45818.0</v>
      </c>
      <c r="B8540" s="1" t="s">
        <v>127</v>
      </c>
      <c r="C8540" s="1" t="s">
        <v>52</v>
      </c>
      <c r="D8540" s="1">
        <v>5.0</v>
      </c>
      <c r="E8540" s="1">
        <v>27707.0</v>
      </c>
      <c r="F8540" s="10">
        <f t="shared" si="1"/>
        <v>5</v>
      </c>
      <c r="G8540" s="10">
        <f t="array" ref="G8540">index('Player ID'!C:C,match(E8540,'Player ID'!B:B,0))</f>
        <v>687765</v>
      </c>
    </row>
    <row r="8541">
      <c r="A8541" s="76">
        <v>45818.0</v>
      </c>
      <c r="B8541" s="1" t="s">
        <v>824</v>
      </c>
      <c r="C8541" s="1" t="s">
        <v>33</v>
      </c>
      <c r="D8541" s="1">
        <v>2.1</v>
      </c>
      <c r="E8541" s="1">
        <v>10472.0</v>
      </c>
      <c r="F8541" s="10">
        <f t="shared" si="1"/>
        <v>2.333333333</v>
      </c>
      <c r="G8541" s="10">
        <f t="array" ref="G8541">index('Player ID'!C:C,match(E8541,'Player ID'!B:B,0))</f>
        <v>571771</v>
      </c>
    </row>
    <row r="8542">
      <c r="A8542" s="76">
        <v>45818.0</v>
      </c>
      <c r="B8542" s="1" t="s">
        <v>503</v>
      </c>
      <c r="C8542" s="1" t="s">
        <v>33</v>
      </c>
      <c r="D8542" s="1">
        <v>1.0</v>
      </c>
      <c r="E8542" s="1">
        <v>15043.0</v>
      </c>
      <c r="F8542" s="10">
        <f t="shared" si="1"/>
        <v>1</v>
      </c>
      <c r="G8542" s="10">
        <f t="array" ref="G8542">index('Player ID'!C:C,match(E8542,'Player ID'!B:B,0))</f>
        <v>642152</v>
      </c>
    </row>
    <row r="8543">
      <c r="A8543" s="76">
        <v>45818.0</v>
      </c>
      <c r="B8543" s="1" t="s">
        <v>282</v>
      </c>
      <c r="C8543" s="1" t="s">
        <v>26</v>
      </c>
      <c r="D8543" s="1">
        <v>7.0</v>
      </c>
      <c r="E8543" s="1">
        <v>18525.0</v>
      </c>
      <c r="F8543" s="10">
        <f t="shared" si="1"/>
        <v>7</v>
      </c>
      <c r="G8543" s="10">
        <f t="array" ref="G8543">index('Player ID'!C:C,match(E8543,'Player ID'!B:B,0))</f>
        <v>656302</v>
      </c>
    </row>
    <row r="8544">
      <c r="A8544" s="76">
        <v>45818.0</v>
      </c>
      <c r="B8544" s="1" t="s">
        <v>390</v>
      </c>
      <c r="C8544" s="1" t="s">
        <v>33</v>
      </c>
      <c r="D8544" s="1">
        <v>4.2</v>
      </c>
      <c r="E8544" s="1">
        <v>22284.0</v>
      </c>
      <c r="F8544" s="10">
        <f t="shared" si="1"/>
        <v>4.666666667</v>
      </c>
      <c r="G8544" s="10">
        <f t="array" ref="G8544">index('Player ID'!C:C,match(E8544,'Player ID'!B:B,0))</f>
        <v>669422</v>
      </c>
    </row>
    <row r="8545">
      <c r="A8545" s="76">
        <v>45818.0</v>
      </c>
      <c r="B8545" s="1" t="s">
        <v>498</v>
      </c>
      <c r="C8545" s="1" t="s">
        <v>26</v>
      </c>
      <c r="D8545" s="1">
        <v>2.0</v>
      </c>
      <c r="E8545" s="1">
        <v>31616.0</v>
      </c>
      <c r="F8545" s="10">
        <f t="shared" si="1"/>
        <v>2</v>
      </c>
      <c r="G8545" s="10" t="str">
        <f t="array" ref="G8545">index('Player ID'!C:C,match(E8545,'Player ID'!B:B,0))</f>
        <v>#N/A</v>
      </c>
    </row>
    <row r="8546">
      <c r="A8546" s="76">
        <v>45818.0</v>
      </c>
      <c r="B8546" s="1" t="s">
        <v>447</v>
      </c>
      <c r="C8546" s="1" t="s">
        <v>64</v>
      </c>
      <c r="D8546" s="1">
        <v>1.0</v>
      </c>
      <c r="E8546" s="1">
        <v>13652.0</v>
      </c>
      <c r="F8546" s="10">
        <f t="shared" si="1"/>
        <v>1</v>
      </c>
      <c r="G8546" s="10">
        <f t="array" ref="G8546">index('Player ID'!C:C,match(E8546,'Player ID'!B:B,0))</f>
        <v>605463</v>
      </c>
    </row>
    <row r="8547">
      <c r="A8547" s="76">
        <v>45818.0</v>
      </c>
      <c r="B8547" s="1" t="s">
        <v>108</v>
      </c>
      <c r="C8547" s="1" t="s">
        <v>37</v>
      </c>
      <c r="D8547" s="1">
        <v>1.0</v>
      </c>
      <c r="E8547" s="1">
        <v>17948.0</v>
      </c>
      <c r="F8547" s="10">
        <f t="shared" si="1"/>
        <v>1</v>
      </c>
      <c r="G8547" s="10">
        <f t="array" ref="G8547">index('Player ID'!C:C,match(E8547,'Player ID'!B:B,0))</f>
        <v>663423</v>
      </c>
    </row>
    <row r="8548">
      <c r="A8548" s="76">
        <v>45818.0</v>
      </c>
      <c r="B8548" s="1" t="s">
        <v>846</v>
      </c>
      <c r="C8548" s="1" t="s">
        <v>37</v>
      </c>
      <c r="D8548" s="1">
        <v>2.0</v>
      </c>
      <c r="E8548" s="1">
        <v>21549.0</v>
      </c>
      <c r="F8548" s="10">
        <f t="shared" si="1"/>
        <v>2</v>
      </c>
      <c r="G8548" s="10" t="str">
        <f t="array" ref="G8548">index('Player ID'!C:C,match(E8548,'Player ID'!B:B,0))</f>
        <v>#N/A</v>
      </c>
    </row>
    <row r="8549">
      <c r="A8549" s="76">
        <v>45818.0</v>
      </c>
      <c r="B8549" s="1" t="s">
        <v>598</v>
      </c>
      <c r="C8549" s="1" t="s">
        <v>64</v>
      </c>
      <c r="D8549" s="1">
        <v>3.0</v>
      </c>
      <c r="E8549" s="1">
        <v>27477.0</v>
      </c>
      <c r="F8549" s="10">
        <f t="shared" si="1"/>
        <v>3</v>
      </c>
      <c r="G8549" s="10">
        <f t="array" ref="G8549">index('Player ID'!C:C,match(E8549,'Player ID'!B:B,0))</f>
        <v>686826</v>
      </c>
    </row>
    <row r="8550">
      <c r="A8550" s="76">
        <v>45818.0</v>
      </c>
      <c r="B8550" s="1" t="s">
        <v>263</v>
      </c>
      <c r="C8550" s="1" t="s">
        <v>64</v>
      </c>
      <c r="D8550" s="1">
        <v>5.0</v>
      </c>
      <c r="E8550" s="1">
        <v>27782.0</v>
      </c>
      <c r="F8550" s="10">
        <f t="shared" si="1"/>
        <v>5</v>
      </c>
      <c r="G8550" s="10">
        <f t="array" ref="G8550">index('Player ID'!C:C,match(E8550,'Player ID'!B:B,0))</f>
        <v>694297</v>
      </c>
    </row>
    <row r="8551">
      <c r="A8551" s="76">
        <v>45818.0</v>
      </c>
      <c r="B8551" s="1" t="s">
        <v>255</v>
      </c>
      <c r="C8551" s="1" t="s">
        <v>37</v>
      </c>
      <c r="D8551" s="1">
        <v>5.0</v>
      </c>
      <c r="E8551" s="1">
        <v>33699.0</v>
      </c>
      <c r="F8551" s="10">
        <f t="shared" si="1"/>
        <v>5</v>
      </c>
      <c r="G8551" s="10">
        <f t="array" ref="G8551">index('Player ID'!C:C,match(E8551,'Player ID'!B:B,0))</f>
        <v>688138</v>
      </c>
    </row>
    <row r="8552">
      <c r="A8552" s="76">
        <v>45819.0</v>
      </c>
      <c r="B8552" s="1" t="s">
        <v>217</v>
      </c>
      <c r="C8552" s="1" t="s">
        <v>60</v>
      </c>
      <c r="D8552" s="1">
        <v>1.1</v>
      </c>
      <c r="E8552" s="1">
        <v>17878.0</v>
      </c>
      <c r="F8552" s="10">
        <f t="shared" si="1"/>
        <v>1.333333333</v>
      </c>
      <c r="G8552" s="10">
        <f t="array" ref="G8552">index('Player ID'!C:C,match(E8552,'Player ID'!B:B,0))</f>
        <v>642701</v>
      </c>
    </row>
    <row r="8553">
      <c r="A8553" s="76">
        <v>45819.0</v>
      </c>
      <c r="B8553" s="1" t="s">
        <v>241</v>
      </c>
      <c r="C8553" s="1" t="s">
        <v>36</v>
      </c>
      <c r="D8553" s="1">
        <v>3.0</v>
      </c>
      <c r="E8553" s="1">
        <v>19222.0</v>
      </c>
      <c r="F8553" s="10">
        <f t="shared" si="1"/>
        <v>3</v>
      </c>
      <c r="G8553" s="10">
        <f t="array" ref="G8553">index('Player ID'!C:C,match(E8553,'Player ID'!B:B,0))</f>
        <v>669199</v>
      </c>
    </row>
    <row r="8554">
      <c r="A8554" s="76">
        <v>45819.0</v>
      </c>
      <c r="B8554" s="1" t="s">
        <v>464</v>
      </c>
      <c r="C8554" s="1" t="s">
        <v>36</v>
      </c>
      <c r="D8554" s="1">
        <v>5.0</v>
      </c>
      <c r="E8554" s="1">
        <v>19312.0</v>
      </c>
      <c r="F8554" s="10">
        <f t="shared" si="1"/>
        <v>5</v>
      </c>
      <c r="G8554" s="10">
        <f t="array" ref="G8554">index('Player ID'!C:C,match(E8554,'Player ID'!B:B,0))</f>
        <v>615698</v>
      </c>
    </row>
    <row r="8555">
      <c r="A8555" s="76">
        <v>45819.0</v>
      </c>
      <c r="B8555" s="1" t="s">
        <v>107</v>
      </c>
      <c r="C8555" s="1" t="s">
        <v>60</v>
      </c>
      <c r="D8555" s="1">
        <v>1.0</v>
      </c>
      <c r="E8555" s="1">
        <v>19349.0</v>
      </c>
      <c r="F8555" s="10">
        <f t="shared" si="1"/>
        <v>1</v>
      </c>
      <c r="G8555" s="10">
        <f t="array" ref="G8555">index('Player ID'!C:C,match(E8555,'Player ID'!B:B,0))</f>
        <v>657571</v>
      </c>
    </row>
    <row r="8556">
      <c r="A8556" s="76">
        <v>45819.0</v>
      </c>
      <c r="B8556" s="1" t="s">
        <v>183</v>
      </c>
      <c r="C8556" s="1" t="s">
        <v>60</v>
      </c>
      <c r="D8556" s="1">
        <v>1.0</v>
      </c>
      <c r="E8556" s="1">
        <v>19569.0</v>
      </c>
      <c r="F8556" s="10">
        <f t="shared" si="1"/>
        <v>1</v>
      </c>
      <c r="G8556" s="10">
        <f t="array" ref="G8556">index('Player ID'!C:C,match(E8556,'Player ID'!B:B,0))</f>
        <v>670280</v>
      </c>
    </row>
    <row r="8557">
      <c r="A8557" s="76">
        <v>45819.0</v>
      </c>
      <c r="B8557" s="1" t="s">
        <v>220</v>
      </c>
      <c r="C8557" s="1" t="s">
        <v>60</v>
      </c>
      <c r="D8557" s="1">
        <v>5.1</v>
      </c>
      <c r="E8557" s="1">
        <v>20070.0</v>
      </c>
      <c r="F8557" s="10">
        <f t="shared" si="1"/>
        <v>5.333333333</v>
      </c>
      <c r="G8557" s="10">
        <f t="array" ref="G8557">index('Player ID'!C:C,match(E8557,'Player ID'!B:B,0))</f>
        <v>663559</v>
      </c>
    </row>
    <row r="8558">
      <c r="A8558" s="76">
        <v>45819.0</v>
      </c>
      <c r="B8558" s="1" t="s">
        <v>277</v>
      </c>
      <c r="C8558" s="1" t="s">
        <v>60</v>
      </c>
      <c r="D8558" s="1">
        <v>0.1</v>
      </c>
      <c r="E8558" s="1">
        <v>23793.0</v>
      </c>
      <c r="F8558" s="10">
        <f t="shared" si="1"/>
        <v>0.3333333333</v>
      </c>
      <c r="G8558" s="10" t="str">
        <f t="array" ref="G8558">index('Player ID'!C:C,match(E8558,'Player ID'!B:B,0))</f>
        <v>#N/A</v>
      </c>
    </row>
    <row r="8559">
      <c r="A8559" s="76">
        <v>45819.0</v>
      </c>
      <c r="B8559" s="1" t="s">
        <v>203</v>
      </c>
      <c r="C8559" s="1" t="s">
        <v>34</v>
      </c>
      <c r="D8559" s="1">
        <v>1.0</v>
      </c>
      <c r="E8559" s="1">
        <v>11426.0</v>
      </c>
      <c r="F8559" s="10">
        <f t="shared" si="1"/>
        <v>1</v>
      </c>
      <c r="G8559" s="10">
        <f t="array" ref="G8559">index('Player ID'!C:C,match(E8559,'Player ID'!B:B,0))</f>
        <v>519141</v>
      </c>
    </row>
    <row r="8560">
      <c r="A8560" s="76">
        <v>45819.0</v>
      </c>
      <c r="B8560" s="1" t="s">
        <v>825</v>
      </c>
      <c r="C8560" s="1" t="s">
        <v>34</v>
      </c>
      <c r="D8560" s="1">
        <v>1.1</v>
      </c>
      <c r="E8560" s="1">
        <v>17490.0</v>
      </c>
      <c r="F8560" s="10">
        <f t="shared" si="1"/>
        <v>1.333333333</v>
      </c>
      <c r="G8560" s="10">
        <f t="array" ref="G8560">index('Player ID'!C:C,match(E8560,'Player ID'!B:B,0))</f>
        <v>650893</v>
      </c>
    </row>
    <row r="8561">
      <c r="A8561" s="76">
        <v>45819.0</v>
      </c>
      <c r="B8561" s="1" t="s">
        <v>700</v>
      </c>
      <c r="C8561" s="1" t="s">
        <v>45</v>
      </c>
      <c r="D8561" s="1">
        <v>6.0</v>
      </c>
      <c r="E8561" s="1">
        <v>19959.0</v>
      </c>
      <c r="F8561" s="10">
        <f t="shared" si="1"/>
        <v>6</v>
      </c>
      <c r="G8561" s="10">
        <f t="array" ref="G8561">index('Player ID'!C:C,match(E8561,'Player ID'!B:B,0))</f>
        <v>666200</v>
      </c>
    </row>
    <row r="8562">
      <c r="A8562" s="76">
        <v>45819.0</v>
      </c>
      <c r="B8562" s="1" t="s">
        <v>873</v>
      </c>
      <c r="C8562" s="1" t="s">
        <v>45</v>
      </c>
      <c r="D8562" s="1">
        <v>1.0</v>
      </c>
      <c r="E8562" s="1">
        <v>23223.0</v>
      </c>
      <c r="F8562" s="10">
        <f t="shared" si="1"/>
        <v>1</v>
      </c>
      <c r="G8562" s="10" t="str">
        <f t="array" ref="G8562">index('Player ID'!C:C,match(E8562,'Player ID'!B:B,0))</f>
        <v>#N/A</v>
      </c>
    </row>
    <row r="8563">
      <c r="A8563" s="76">
        <v>45819.0</v>
      </c>
      <c r="B8563" s="1" t="s">
        <v>258</v>
      </c>
      <c r="C8563" s="1" t="s">
        <v>45</v>
      </c>
      <c r="D8563" s="1">
        <v>2.0</v>
      </c>
      <c r="E8563" s="1">
        <v>23426.0</v>
      </c>
      <c r="F8563" s="10">
        <f t="shared" si="1"/>
        <v>2</v>
      </c>
      <c r="G8563" s="10" t="str">
        <f t="array" ref="G8563">index('Player ID'!C:C,match(E8563,'Player ID'!B:B,0))</f>
        <v>#N/A</v>
      </c>
    </row>
    <row r="8564">
      <c r="A8564" s="76">
        <v>45819.0</v>
      </c>
      <c r="B8564" s="1" t="s">
        <v>341</v>
      </c>
      <c r="C8564" s="1" t="s">
        <v>34</v>
      </c>
      <c r="D8564" s="1">
        <v>5.2</v>
      </c>
      <c r="E8564" s="1">
        <v>23590.0</v>
      </c>
      <c r="F8564" s="10">
        <f t="shared" si="1"/>
        <v>5.666666667</v>
      </c>
      <c r="G8564" s="10">
        <f t="array" ref="G8564">index('Player ID'!C:C,match(E8564,'Player ID'!B:B,0))</f>
        <v>676962</v>
      </c>
    </row>
    <row r="8565">
      <c r="A8565" s="76">
        <v>45819.0</v>
      </c>
      <c r="B8565" s="1" t="s">
        <v>475</v>
      </c>
      <c r="C8565" s="1" t="s">
        <v>66</v>
      </c>
      <c r="D8565" s="1">
        <v>1.0</v>
      </c>
      <c r="E8565" s="1">
        <v>14993.0</v>
      </c>
      <c r="F8565" s="10">
        <f t="shared" si="1"/>
        <v>1</v>
      </c>
      <c r="G8565" s="10">
        <f t="array" ref="G8565">index('Player ID'!C:C,match(E8565,'Player ID'!B:B,0))</f>
        <v>605130</v>
      </c>
    </row>
    <row r="8566">
      <c r="A8566" s="76">
        <v>45819.0</v>
      </c>
      <c r="B8566" s="1" t="s">
        <v>653</v>
      </c>
      <c r="C8566" s="1" t="s">
        <v>66</v>
      </c>
      <c r="D8566" s="1">
        <v>1.0</v>
      </c>
      <c r="E8566" s="1">
        <v>17871.0</v>
      </c>
      <c r="F8566" s="10">
        <f t="shared" si="1"/>
        <v>1</v>
      </c>
      <c r="G8566" s="10">
        <f t="array" ref="G8566">index('Player ID'!C:C,match(E8566,'Player ID'!B:B,0))</f>
        <v>664139</v>
      </c>
    </row>
    <row r="8567">
      <c r="A8567" s="76">
        <v>45819.0</v>
      </c>
      <c r="B8567" s="1" t="s">
        <v>132</v>
      </c>
      <c r="C8567" s="1" t="s">
        <v>70</v>
      </c>
      <c r="D8567" s="1">
        <v>1.0</v>
      </c>
      <c r="E8567" s="1">
        <v>21032.0</v>
      </c>
      <c r="F8567" s="10">
        <f t="shared" si="1"/>
        <v>1</v>
      </c>
      <c r="G8567" s="10">
        <f t="array" ref="G8567">index('Player ID'!C:C,match(E8567,'Player ID'!B:B,0))</f>
        <v>661403</v>
      </c>
    </row>
    <row r="8568">
      <c r="A8568" s="76">
        <v>45819.0</v>
      </c>
      <c r="B8568" s="1" t="s">
        <v>518</v>
      </c>
      <c r="C8568" s="1" t="s">
        <v>66</v>
      </c>
      <c r="D8568" s="1">
        <v>1.2</v>
      </c>
      <c r="E8568" s="1">
        <v>24581.0</v>
      </c>
      <c r="F8568" s="10">
        <f t="shared" si="1"/>
        <v>1.666666667</v>
      </c>
      <c r="G8568" s="10">
        <f t="array" ref="G8568">index('Player ID'!C:C,match(E8568,'Player ID'!B:B,0))</f>
        <v>680689</v>
      </c>
    </row>
    <row r="8569">
      <c r="A8569" s="76">
        <v>45819.0</v>
      </c>
      <c r="B8569" s="1" t="s">
        <v>867</v>
      </c>
      <c r="C8569" s="1" t="s">
        <v>66</v>
      </c>
      <c r="D8569" s="1">
        <v>1.0</v>
      </c>
      <c r="E8569" s="1">
        <v>25481.0</v>
      </c>
      <c r="F8569" s="10">
        <f t="shared" si="1"/>
        <v>1</v>
      </c>
      <c r="G8569" s="10" t="str">
        <f t="array" ref="G8569">index('Player ID'!C:C,match(E8569,'Player ID'!B:B,0))</f>
        <v>#N/A</v>
      </c>
    </row>
    <row r="8570">
      <c r="A8570" s="76">
        <v>45819.0</v>
      </c>
      <c r="B8570" s="1" t="s">
        <v>375</v>
      </c>
      <c r="C8570" s="1" t="s">
        <v>70</v>
      </c>
      <c r="D8570" s="1">
        <v>2.0</v>
      </c>
      <c r="E8570" s="1">
        <v>25553.0</v>
      </c>
      <c r="F8570" s="10">
        <f t="shared" si="1"/>
        <v>2</v>
      </c>
      <c r="G8570" s="10" t="str">
        <f t="array" ref="G8570">index('Player ID'!C:C,match(E8570,'Player ID'!B:B,0))</f>
        <v>#N/A</v>
      </c>
    </row>
    <row r="8571">
      <c r="A8571" s="76">
        <v>45819.0</v>
      </c>
      <c r="B8571" s="1" t="s">
        <v>194</v>
      </c>
      <c r="C8571" s="1" t="s">
        <v>66</v>
      </c>
      <c r="D8571" s="1">
        <v>3.1</v>
      </c>
      <c r="E8571" s="1">
        <v>26378.0</v>
      </c>
      <c r="F8571" s="10">
        <f t="shared" si="1"/>
        <v>3.333333333</v>
      </c>
      <c r="G8571" s="10">
        <f t="array" ref="G8571">index('Player ID'!C:C,match(E8571,'Player ID'!B:B,0))</f>
        <v>666157</v>
      </c>
    </row>
    <row r="8572">
      <c r="A8572" s="76">
        <v>45819.0</v>
      </c>
      <c r="B8572" s="1" t="s">
        <v>372</v>
      </c>
      <c r="C8572" s="1" t="s">
        <v>70</v>
      </c>
      <c r="D8572" s="1">
        <v>6.0</v>
      </c>
      <c r="E8572" s="1">
        <v>27589.0</v>
      </c>
      <c r="F8572" s="10">
        <f t="shared" si="1"/>
        <v>6</v>
      </c>
      <c r="G8572" s="10">
        <f t="array" ref="G8572">index('Player ID'!C:C,match(E8572,'Player ID'!B:B,0))</f>
        <v>671106</v>
      </c>
    </row>
    <row r="8573">
      <c r="A8573" s="76">
        <v>45819.0</v>
      </c>
      <c r="B8573" s="1" t="s">
        <v>835</v>
      </c>
      <c r="C8573" s="1" t="s">
        <v>14</v>
      </c>
      <c r="D8573" s="1">
        <v>3.0</v>
      </c>
      <c r="E8573" s="1">
        <v>22176.0</v>
      </c>
      <c r="F8573" s="10">
        <f t="shared" si="1"/>
        <v>3</v>
      </c>
      <c r="G8573" s="10" t="str">
        <f t="array" ref="G8573">index('Player ID'!C:C,match(E8573,'Player ID'!B:B,0))</f>
        <v>#N/A</v>
      </c>
    </row>
    <row r="8574">
      <c r="A8574" s="76">
        <v>45819.0</v>
      </c>
      <c r="B8574" s="1" t="s">
        <v>112</v>
      </c>
      <c r="C8574" s="1" t="s">
        <v>14</v>
      </c>
      <c r="D8574" s="1">
        <v>1.0</v>
      </c>
      <c r="E8574" s="1">
        <v>25376.0</v>
      </c>
      <c r="F8574" s="10">
        <f t="shared" si="1"/>
        <v>1</v>
      </c>
      <c r="G8574" s="10">
        <f t="array" ref="G8574">index('Player ID'!C:C,match(E8574,'Player ID'!B:B,0))</f>
        <v>683232</v>
      </c>
    </row>
    <row r="8575">
      <c r="A8575" s="76">
        <v>45819.0</v>
      </c>
      <c r="B8575" s="1" t="s">
        <v>496</v>
      </c>
      <c r="C8575" s="1" t="s">
        <v>14</v>
      </c>
      <c r="D8575" s="1">
        <v>5.0</v>
      </c>
      <c r="E8575" s="1">
        <v>30113.0</v>
      </c>
      <c r="F8575" s="10">
        <f t="shared" si="1"/>
        <v>5</v>
      </c>
      <c r="G8575" s="10">
        <f t="array" ref="G8575">index('Player ID'!C:C,match(E8575,'Player ID'!B:B,0))</f>
        <v>694477</v>
      </c>
    </row>
    <row r="8576">
      <c r="A8576" s="76">
        <v>45819.0</v>
      </c>
      <c r="B8576" s="1" t="s">
        <v>65</v>
      </c>
      <c r="C8576" s="1" t="s">
        <v>46</v>
      </c>
      <c r="D8576" s="1">
        <v>9.0</v>
      </c>
      <c r="E8576" s="1">
        <v>31846.0</v>
      </c>
      <c r="F8576" s="10">
        <f t="shared" si="1"/>
        <v>9</v>
      </c>
      <c r="G8576" s="10">
        <f t="array" ref="G8576">index('Player ID'!C:C,match(E8576,'Player ID'!B:B,0))</f>
        <v>680885</v>
      </c>
    </row>
    <row r="8577">
      <c r="A8577" s="76">
        <v>45819.0</v>
      </c>
      <c r="B8577" s="1" t="s">
        <v>874</v>
      </c>
      <c r="C8577" s="1" t="s">
        <v>40</v>
      </c>
      <c r="D8577" s="1">
        <v>2.0</v>
      </c>
      <c r="E8577" s="1">
        <v>16207.0</v>
      </c>
      <c r="F8577" s="10">
        <f t="shared" si="1"/>
        <v>2</v>
      </c>
      <c r="G8577" s="10" t="str">
        <f t="array" ref="G8577">index('Player ID'!C:C,match(E8577,'Player ID'!B:B,0))</f>
        <v>#N/A</v>
      </c>
    </row>
    <row r="8578">
      <c r="A8578" s="76">
        <v>45819.0</v>
      </c>
      <c r="B8578" s="1" t="s">
        <v>332</v>
      </c>
      <c r="C8578" s="1" t="s">
        <v>40</v>
      </c>
      <c r="D8578" s="1">
        <v>4.1</v>
      </c>
      <c r="E8578" s="1">
        <v>19316.0</v>
      </c>
      <c r="F8578" s="10">
        <f t="shared" si="1"/>
        <v>4.333333333</v>
      </c>
      <c r="G8578" s="10">
        <f t="array" ref="G8578">index('Player ID'!C:C,match(E8578,'Player ID'!B:B,0))</f>
        <v>641778</v>
      </c>
    </row>
    <row r="8579">
      <c r="A8579" s="76">
        <v>45819.0</v>
      </c>
      <c r="B8579" s="1" t="s">
        <v>409</v>
      </c>
      <c r="C8579" s="1" t="s">
        <v>72</v>
      </c>
      <c r="D8579" s="1">
        <v>2.0</v>
      </c>
      <c r="E8579" s="1">
        <v>20348.0</v>
      </c>
      <c r="F8579" s="10">
        <f t="shared" si="1"/>
        <v>2</v>
      </c>
      <c r="G8579" s="10">
        <f t="array" ref="G8579">index('Player ID'!C:C,match(E8579,'Player ID'!B:B,0))</f>
        <v>676617</v>
      </c>
    </row>
    <row r="8580">
      <c r="A8580" s="76">
        <v>45819.0</v>
      </c>
      <c r="B8580" s="1" t="s">
        <v>395</v>
      </c>
      <c r="C8580" s="1" t="s">
        <v>40</v>
      </c>
      <c r="D8580" s="1">
        <v>1.0</v>
      </c>
      <c r="E8580" s="1">
        <v>21574.0</v>
      </c>
      <c r="F8580" s="10">
        <f t="shared" si="1"/>
        <v>1</v>
      </c>
      <c r="G8580" s="10">
        <f t="array" ref="G8580">index('Player ID'!C:C,match(E8580,'Player ID'!B:B,0))</f>
        <v>663893</v>
      </c>
    </row>
    <row r="8581">
      <c r="A8581" s="76">
        <v>45819.0</v>
      </c>
      <c r="B8581" s="1" t="s">
        <v>290</v>
      </c>
      <c r="C8581" s="1" t="s">
        <v>72</v>
      </c>
      <c r="D8581" s="1">
        <v>5.0</v>
      </c>
      <c r="E8581" s="1">
        <v>22294.0</v>
      </c>
      <c r="F8581" s="10">
        <f t="shared" si="1"/>
        <v>5</v>
      </c>
      <c r="G8581" s="10">
        <f t="array" ref="G8581">index('Player ID'!C:C,match(E8581,'Player ID'!B:B,0))</f>
        <v>669461</v>
      </c>
    </row>
    <row r="8582">
      <c r="A8582" s="76">
        <v>45819.0</v>
      </c>
      <c r="B8582" s="1" t="s">
        <v>315</v>
      </c>
      <c r="C8582" s="1" t="s">
        <v>40</v>
      </c>
      <c r="D8582" s="1">
        <v>0.2</v>
      </c>
      <c r="E8582" s="1">
        <v>24609.0</v>
      </c>
      <c r="F8582" s="10">
        <f t="shared" si="1"/>
        <v>0.6666666667</v>
      </c>
      <c r="G8582" s="10">
        <f t="array" ref="G8582">index('Player ID'!C:C,match(E8582,'Player ID'!B:B,0))</f>
        <v>680755</v>
      </c>
    </row>
    <row r="8583">
      <c r="A8583" s="76">
        <v>45819.0</v>
      </c>
      <c r="B8583" s="1" t="s">
        <v>665</v>
      </c>
      <c r="C8583" s="1" t="s">
        <v>72</v>
      </c>
      <c r="D8583" s="1">
        <v>2.0</v>
      </c>
      <c r="E8583" s="1">
        <v>31261.0</v>
      </c>
      <c r="F8583" s="10">
        <f t="shared" si="1"/>
        <v>2</v>
      </c>
      <c r="G8583" s="10">
        <f t="array" ref="G8583">index('Player ID'!C:C,match(E8583,'Player ID'!B:B,0))</f>
        <v>688297</v>
      </c>
    </row>
    <row r="8584">
      <c r="A8584" s="76">
        <v>45819.0</v>
      </c>
      <c r="B8584" s="1" t="s">
        <v>427</v>
      </c>
      <c r="C8584" s="1" t="s">
        <v>40</v>
      </c>
      <c r="D8584" s="1">
        <v>1.0</v>
      </c>
      <c r="E8584" s="1">
        <v>33838.0</v>
      </c>
      <c r="F8584" s="10">
        <f t="shared" si="1"/>
        <v>1</v>
      </c>
      <c r="G8584" s="10">
        <f t="array" ref="G8584">index('Player ID'!C:C,match(E8584,'Player ID'!B:B,0))</f>
        <v>684320</v>
      </c>
    </row>
    <row r="8585">
      <c r="A8585" s="76">
        <v>45819.0</v>
      </c>
      <c r="B8585" s="1" t="s">
        <v>103</v>
      </c>
      <c r="C8585" s="1" t="s">
        <v>64</v>
      </c>
      <c r="D8585" s="1">
        <v>1.0</v>
      </c>
      <c r="E8585" s="1">
        <v>10197.0</v>
      </c>
      <c r="F8585" s="10">
        <f t="shared" si="1"/>
        <v>1</v>
      </c>
      <c r="G8585" s="10">
        <f t="array" ref="G8585">index('Player ID'!C:C,match(E8585,'Player ID'!B:B,0))</f>
        <v>571946</v>
      </c>
    </row>
    <row r="8586">
      <c r="A8586" s="76">
        <v>45819.0</v>
      </c>
      <c r="B8586" s="1" t="s">
        <v>368</v>
      </c>
      <c r="C8586" s="1" t="s">
        <v>64</v>
      </c>
      <c r="D8586" s="1">
        <v>6.1</v>
      </c>
      <c r="E8586" s="1">
        <v>13164.0</v>
      </c>
      <c r="F8586" s="10">
        <f t="shared" si="1"/>
        <v>6.333333333</v>
      </c>
      <c r="G8586" s="10">
        <f t="array" ref="G8586">index('Player ID'!C:C,match(E8586,'Player ID'!B:B,0))</f>
        <v>593958</v>
      </c>
    </row>
    <row r="8587">
      <c r="A8587" s="76">
        <v>45819.0</v>
      </c>
      <c r="B8587" s="1" t="s">
        <v>53</v>
      </c>
      <c r="C8587" s="1" t="s">
        <v>37</v>
      </c>
      <c r="D8587" s="1">
        <v>0.1</v>
      </c>
      <c r="E8587" s="1">
        <v>17170.0</v>
      </c>
      <c r="F8587" s="10">
        <f t="shared" si="1"/>
        <v>0.3333333333</v>
      </c>
      <c r="G8587" s="10">
        <f t="array" ref="G8587">index('Player ID'!C:C,match(E8587,'Player ID'!B:B,0))</f>
        <v>642100</v>
      </c>
    </row>
    <row r="8588">
      <c r="A8588" s="76">
        <v>45819.0</v>
      </c>
      <c r="B8588" s="1" t="s">
        <v>489</v>
      </c>
      <c r="C8588" s="1" t="s">
        <v>64</v>
      </c>
      <c r="D8588" s="1">
        <v>1.0</v>
      </c>
      <c r="E8588" s="1">
        <v>17192.0</v>
      </c>
      <c r="F8588" s="10">
        <f t="shared" si="1"/>
        <v>1</v>
      </c>
      <c r="G8588" s="10">
        <f t="array" ref="G8588">index('Player ID'!C:C,match(E8588,'Player ID'!B:B,0))</f>
        <v>656222</v>
      </c>
    </row>
    <row r="8589">
      <c r="A8589" s="76">
        <v>45819.0</v>
      </c>
      <c r="B8589" s="1" t="s">
        <v>370</v>
      </c>
      <c r="C8589" s="1" t="s">
        <v>64</v>
      </c>
      <c r="D8589" s="1">
        <v>0.2</v>
      </c>
      <c r="E8589" s="1">
        <v>21924.0</v>
      </c>
      <c r="F8589" s="10">
        <f t="shared" si="1"/>
        <v>0.6666666667</v>
      </c>
      <c r="G8589" s="10">
        <f t="array" ref="G8589">index('Player ID'!C:C,match(E8589,'Player ID'!B:B,0))</f>
        <v>666661</v>
      </c>
    </row>
    <row r="8590">
      <c r="A8590" s="76">
        <v>45819.0</v>
      </c>
      <c r="B8590" s="1" t="s">
        <v>101</v>
      </c>
      <c r="C8590" s="1" t="s">
        <v>37</v>
      </c>
      <c r="D8590" s="1">
        <v>0.2</v>
      </c>
      <c r="E8590" s="1">
        <v>22915.0</v>
      </c>
      <c r="F8590" s="10">
        <f t="shared" si="1"/>
        <v>0.6666666667</v>
      </c>
      <c r="G8590" s="10">
        <f t="array" ref="G8590">index('Player ID'!C:C,match(E8590,'Player ID'!B:B,0))</f>
        <v>672841</v>
      </c>
    </row>
    <row r="8591">
      <c r="A8591" s="76">
        <v>45819.0</v>
      </c>
      <c r="B8591" s="1" t="s">
        <v>254</v>
      </c>
      <c r="C8591" s="1" t="s">
        <v>37</v>
      </c>
      <c r="D8591" s="1">
        <v>1.0</v>
      </c>
      <c r="E8591" s="1">
        <v>25756.0</v>
      </c>
      <c r="F8591" s="10">
        <f t="shared" si="1"/>
        <v>1</v>
      </c>
      <c r="G8591" s="10">
        <f t="array" ref="G8591">index('Player ID'!C:C,match(E8591,'Player ID'!B:B,0))</f>
        <v>666374</v>
      </c>
    </row>
    <row r="8592">
      <c r="A8592" s="76">
        <v>45819.0</v>
      </c>
      <c r="B8592" s="1" t="s">
        <v>90</v>
      </c>
      <c r="C8592" s="1" t="s">
        <v>37</v>
      </c>
      <c r="D8592" s="1">
        <v>6.0</v>
      </c>
      <c r="E8592" s="1">
        <v>30279.0</v>
      </c>
      <c r="F8592" s="10">
        <f t="shared" si="1"/>
        <v>6</v>
      </c>
      <c r="G8592" s="10">
        <f t="array" ref="G8592">index('Player ID'!C:C,match(E8592,'Player ID'!B:B,0))</f>
        <v>693433</v>
      </c>
    </row>
    <row r="8593">
      <c r="A8593" s="76">
        <v>45819.0</v>
      </c>
      <c r="B8593" s="1" t="s">
        <v>399</v>
      </c>
      <c r="C8593" s="1" t="s">
        <v>25</v>
      </c>
      <c r="D8593" s="1">
        <v>6.0</v>
      </c>
      <c r="E8593" s="1">
        <v>12049.0</v>
      </c>
      <c r="F8593" s="10">
        <f t="shared" si="1"/>
        <v>6</v>
      </c>
      <c r="G8593" s="10">
        <f t="array" ref="G8593">index('Player ID'!C:C,match(E8593,'Player ID'!B:B,0))</f>
        <v>543294</v>
      </c>
    </row>
    <row r="8594">
      <c r="A8594" s="76">
        <v>45819.0</v>
      </c>
      <c r="B8594" s="1" t="s">
        <v>291</v>
      </c>
      <c r="C8594" s="1" t="s">
        <v>25</v>
      </c>
      <c r="D8594" s="1">
        <v>0.1</v>
      </c>
      <c r="E8594" s="1">
        <v>17968.0</v>
      </c>
      <c r="F8594" s="10">
        <f t="shared" si="1"/>
        <v>0.3333333333</v>
      </c>
      <c r="G8594" s="10">
        <f t="array" ref="G8594">index('Player ID'!C:C,match(E8594,'Player ID'!B:B,0))</f>
        <v>656271</v>
      </c>
    </row>
    <row r="8595">
      <c r="A8595" s="76">
        <v>45819.0</v>
      </c>
      <c r="B8595" s="1" t="s">
        <v>283</v>
      </c>
      <c r="C8595" s="1" t="s">
        <v>25</v>
      </c>
      <c r="D8595" s="1">
        <v>1.0</v>
      </c>
      <c r="E8595" s="1">
        <v>21205.0</v>
      </c>
      <c r="F8595" s="10">
        <f t="shared" si="1"/>
        <v>1</v>
      </c>
      <c r="G8595" s="10">
        <f t="array" ref="G8595">index('Player ID'!C:C,match(E8595,'Player ID'!B:B,0))</f>
        <v>641401</v>
      </c>
    </row>
    <row r="8596">
      <c r="A8596" s="76">
        <v>45819.0</v>
      </c>
      <c r="B8596" s="1" t="s">
        <v>454</v>
      </c>
      <c r="C8596" s="1" t="s">
        <v>52</v>
      </c>
      <c r="D8596" s="1">
        <v>2.2</v>
      </c>
      <c r="E8596" s="1">
        <v>23150.0</v>
      </c>
      <c r="F8596" s="10">
        <f t="shared" si="1"/>
        <v>2.666666667</v>
      </c>
      <c r="G8596" s="10">
        <f t="array" ref="G8596">index('Player ID'!C:C,match(E8596,'Player ID'!B:B,0))</f>
        <v>674370</v>
      </c>
    </row>
    <row r="8597">
      <c r="A8597" s="76">
        <v>45819.0</v>
      </c>
      <c r="B8597" s="1" t="s">
        <v>251</v>
      </c>
      <c r="C8597" s="1" t="s">
        <v>52</v>
      </c>
      <c r="D8597" s="1">
        <v>5.1</v>
      </c>
      <c r="E8597" s="1">
        <v>23429.0</v>
      </c>
      <c r="F8597" s="10">
        <f t="shared" si="1"/>
        <v>5.333333333</v>
      </c>
      <c r="G8597" s="10">
        <f t="array" ref="G8597">index('Player ID'!C:C,match(E8597,'Player ID'!B:B,0))</f>
        <v>676664</v>
      </c>
    </row>
    <row r="8598">
      <c r="A8598" s="76">
        <v>45819.0</v>
      </c>
      <c r="B8598" s="1" t="s">
        <v>385</v>
      </c>
      <c r="C8598" s="1" t="s">
        <v>25</v>
      </c>
      <c r="D8598" s="1">
        <v>0.2</v>
      </c>
      <c r="E8598" s="1">
        <v>25420.0</v>
      </c>
      <c r="F8598" s="10">
        <f t="shared" si="1"/>
        <v>0.6666666667</v>
      </c>
      <c r="G8598" s="10">
        <f t="array" ref="G8598">index('Player ID'!C:C,match(E8598,'Player ID'!B:B,0))</f>
        <v>666171</v>
      </c>
    </row>
    <row r="8599">
      <c r="A8599" s="76">
        <v>45819.0</v>
      </c>
      <c r="B8599" s="1" t="s">
        <v>24</v>
      </c>
      <c r="C8599" s="1" t="s">
        <v>25</v>
      </c>
      <c r="D8599" s="1">
        <v>1.0</v>
      </c>
      <c r="E8599" s="1">
        <v>27468.0</v>
      </c>
      <c r="F8599" s="10">
        <f t="shared" si="1"/>
        <v>1</v>
      </c>
      <c r="G8599" s="10">
        <f t="array" ref="G8599">index('Player ID'!C:C,match(E8599,'Player ID'!B:B,0))</f>
        <v>672282</v>
      </c>
    </row>
    <row r="8600">
      <c r="A8600" s="76">
        <v>45819.0</v>
      </c>
      <c r="B8600" s="1" t="s">
        <v>681</v>
      </c>
      <c r="C8600" s="1" t="s">
        <v>52</v>
      </c>
      <c r="D8600" s="1">
        <v>0.0</v>
      </c>
      <c r="E8600" s="1">
        <v>30002.0</v>
      </c>
      <c r="F8600" s="10">
        <f t="shared" si="1"/>
        <v>0</v>
      </c>
      <c r="G8600" s="10">
        <f t="array" ref="G8600">index('Player ID'!C:C,match(E8600,'Player ID'!B:B,0))</f>
        <v>680880</v>
      </c>
    </row>
    <row r="8601">
      <c r="A8601" s="76">
        <v>45819.0</v>
      </c>
      <c r="B8601" s="1" t="s">
        <v>392</v>
      </c>
      <c r="C8601" s="1" t="s">
        <v>33</v>
      </c>
      <c r="D8601" s="1">
        <v>0.1</v>
      </c>
      <c r="E8601" s="1">
        <v>9073.0</v>
      </c>
      <c r="F8601" s="10">
        <f t="shared" si="1"/>
        <v>0.3333333333</v>
      </c>
      <c r="G8601" s="10">
        <f t="array" ref="G8601">index('Player ID'!C:C,match(E8601,'Player ID'!B:B,0))</f>
        <v>489446</v>
      </c>
    </row>
    <row r="8602">
      <c r="A8602" s="76">
        <v>45819.0</v>
      </c>
      <c r="B8602" s="1" t="s">
        <v>342</v>
      </c>
      <c r="C8602" s="1" t="s">
        <v>26</v>
      </c>
      <c r="D8602" s="1">
        <v>1.0</v>
      </c>
      <c r="E8602" s="1">
        <v>11861.0</v>
      </c>
      <c r="F8602" s="10">
        <f t="shared" si="1"/>
        <v>1</v>
      </c>
      <c r="G8602" s="10">
        <f t="array" ref="G8602">index('Player ID'!C:C,match(E8602,'Player ID'!B:B,0))</f>
        <v>592094</v>
      </c>
    </row>
    <row r="8603">
      <c r="A8603" s="76">
        <v>45819.0</v>
      </c>
      <c r="B8603" s="1" t="s">
        <v>404</v>
      </c>
      <c r="C8603" s="1" t="s">
        <v>26</v>
      </c>
      <c r="D8603" s="1">
        <v>0.2</v>
      </c>
      <c r="E8603" s="1">
        <v>14295.0</v>
      </c>
      <c r="F8603" s="10">
        <f t="shared" si="1"/>
        <v>0.6666666667</v>
      </c>
      <c r="G8603" s="10">
        <f t="array" ref="G8603">index('Player ID'!C:C,match(E8603,'Player ID'!B:B,0))</f>
        <v>593974</v>
      </c>
    </row>
    <row r="8604">
      <c r="A8604" s="76">
        <v>45819.0</v>
      </c>
      <c r="B8604" s="1" t="s">
        <v>310</v>
      </c>
      <c r="C8604" s="1" t="s">
        <v>33</v>
      </c>
      <c r="D8604" s="1">
        <v>0.2</v>
      </c>
      <c r="E8604" s="1">
        <v>14706.0</v>
      </c>
      <c r="F8604" s="10">
        <f t="shared" si="1"/>
        <v>0.6666666667</v>
      </c>
      <c r="G8604" s="10">
        <f t="array" ref="G8604">index('Player ID'!C:C,match(E8604,'Player ID'!B:B,0))</f>
        <v>607455</v>
      </c>
    </row>
    <row r="8605">
      <c r="A8605" s="76">
        <v>45819.0</v>
      </c>
      <c r="B8605" s="1" t="s">
        <v>503</v>
      </c>
      <c r="C8605" s="1" t="s">
        <v>33</v>
      </c>
      <c r="D8605" s="1">
        <v>1.0</v>
      </c>
      <c r="E8605" s="1">
        <v>15043.0</v>
      </c>
      <c r="F8605" s="10">
        <f t="shared" si="1"/>
        <v>1</v>
      </c>
      <c r="G8605" s="10">
        <f t="array" ref="G8605">index('Player ID'!C:C,match(E8605,'Player ID'!B:B,0))</f>
        <v>642152</v>
      </c>
    </row>
    <row r="8606">
      <c r="A8606" s="76">
        <v>45819.0</v>
      </c>
      <c r="B8606" s="1" t="s">
        <v>870</v>
      </c>
      <c r="C8606" s="1" t="s">
        <v>33</v>
      </c>
      <c r="D8606" s="1">
        <v>0.1</v>
      </c>
      <c r="E8606" s="1">
        <v>17282.0</v>
      </c>
      <c r="F8606" s="10">
        <f t="shared" si="1"/>
        <v>0.3333333333</v>
      </c>
      <c r="G8606" s="10" t="str">
        <f t="array" ref="G8606">index('Player ID'!C:C,match(E8606,'Player ID'!B:B,0))</f>
        <v>#N/A</v>
      </c>
    </row>
    <row r="8607">
      <c r="A8607" s="76">
        <v>45819.0</v>
      </c>
      <c r="B8607" s="1" t="s">
        <v>32</v>
      </c>
      <c r="C8607" s="1" t="s">
        <v>33</v>
      </c>
      <c r="D8607" s="1">
        <v>1.0</v>
      </c>
      <c r="E8607" s="1">
        <v>17586.0</v>
      </c>
      <c r="F8607" s="10">
        <f t="shared" si="1"/>
        <v>1</v>
      </c>
      <c r="G8607" s="10">
        <f t="array" ref="G8607">index('Player ID'!C:C,match(E8607,'Player ID'!B:B,0))</f>
        <v>656945</v>
      </c>
    </row>
    <row r="8608">
      <c r="A8608" s="76">
        <v>45819.0</v>
      </c>
      <c r="B8608" s="1" t="s">
        <v>49</v>
      </c>
      <c r="C8608" s="1" t="s">
        <v>26</v>
      </c>
      <c r="D8608" s="1">
        <v>0.2</v>
      </c>
      <c r="E8608" s="1">
        <v>20039.0</v>
      </c>
      <c r="F8608" s="10">
        <f t="shared" si="1"/>
        <v>0.6666666667</v>
      </c>
      <c r="G8608" s="10">
        <f t="array" ref="G8608">index('Player ID'!C:C,match(E8608,'Player ID'!B:B,0))</f>
        <v>670970</v>
      </c>
    </row>
    <row r="8609">
      <c r="A8609" s="76">
        <v>45819.0</v>
      </c>
      <c r="B8609" s="1" t="s">
        <v>94</v>
      </c>
      <c r="C8609" s="1" t="s">
        <v>26</v>
      </c>
      <c r="D8609" s="1">
        <v>0.2</v>
      </c>
      <c r="E8609" s="1">
        <v>22210.0</v>
      </c>
      <c r="F8609" s="10">
        <f t="shared" si="1"/>
        <v>0.6666666667</v>
      </c>
      <c r="G8609" s="10">
        <f t="array" ref="G8609">index('Player ID'!C:C,match(E8609,'Player ID'!B:B,0))</f>
        <v>669093</v>
      </c>
    </row>
    <row r="8610">
      <c r="A8610" s="76">
        <v>45819.0</v>
      </c>
      <c r="B8610" s="1" t="s">
        <v>713</v>
      </c>
      <c r="C8610" s="1" t="s">
        <v>26</v>
      </c>
      <c r="D8610" s="1">
        <v>4.2</v>
      </c>
      <c r="E8610" s="1">
        <v>24719.0</v>
      </c>
      <c r="F8610" s="10">
        <f t="shared" si="1"/>
        <v>4.666666667</v>
      </c>
      <c r="G8610" s="10">
        <f t="array" ref="G8610">index('Player ID'!C:C,match(E8610,'Player ID'!B:B,0))</f>
        <v>681190</v>
      </c>
    </row>
    <row r="8611">
      <c r="A8611" s="76">
        <v>45819.0</v>
      </c>
      <c r="B8611" s="1" t="s">
        <v>92</v>
      </c>
      <c r="C8611" s="1" t="s">
        <v>33</v>
      </c>
      <c r="D8611" s="1">
        <v>1.0</v>
      </c>
      <c r="E8611" s="1">
        <v>25007.0</v>
      </c>
      <c r="F8611" s="10">
        <f t="shared" si="1"/>
        <v>1</v>
      </c>
      <c r="G8611" s="10">
        <f t="array" ref="G8611">index('Player ID'!C:C,match(E8611,'Player ID'!B:B,0))</f>
        <v>681911</v>
      </c>
    </row>
    <row r="8612">
      <c r="A8612" s="76">
        <v>45819.0</v>
      </c>
      <c r="B8612" s="1" t="s">
        <v>104</v>
      </c>
      <c r="C8612" s="1" t="s">
        <v>33</v>
      </c>
      <c r="D8612" s="1">
        <v>4.0</v>
      </c>
      <c r="E8612" s="1">
        <v>30085.0</v>
      </c>
      <c r="F8612" s="10">
        <f t="shared" si="1"/>
        <v>4</v>
      </c>
      <c r="G8612" s="10">
        <f t="array" ref="G8612">index('Player ID'!C:C,match(E8612,'Player ID'!B:B,0))</f>
        <v>676508</v>
      </c>
    </row>
    <row r="8613">
      <c r="A8613" s="76">
        <v>45819.0</v>
      </c>
      <c r="B8613" s="1" t="s">
        <v>206</v>
      </c>
      <c r="C8613" s="1" t="s">
        <v>33</v>
      </c>
      <c r="D8613" s="1">
        <v>0.2</v>
      </c>
      <c r="E8613" s="1">
        <v>30249.0</v>
      </c>
      <c r="F8613" s="10">
        <f t="shared" si="1"/>
        <v>0.6666666667</v>
      </c>
      <c r="G8613" s="10">
        <f t="array" ref="G8613">index('Player ID'!C:C,match(E8613,'Player ID'!B:B,0))</f>
        <v>676263</v>
      </c>
    </row>
    <row r="8614">
      <c r="A8614" s="76">
        <v>45819.0</v>
      </c>
      <c r="B8614" s="1" t="s">
        <v>498</v>
      </c>
      <c r="C8614" s="1" t="s">
        <v>26</v>
      </c>
      <c r="D8614" s="1">
        <v>0.1</v>
      </c>
      <c r="E8614" s="1">
        <v>31616.0</v>
      </c>
      <c r="F8614" s="10">
        <f t="shared" si="1"/>
        <v>0.3333333333</v>
      </c>
      <c r="G8614" s="10" t="str">
        <f t="array" ref="G8614">index('Player ID'!C:C,match(E8614,'Player ID'!B:B,0))</f>
        <v>#N/A</v>
      </c>
    </row>
    <row r="8615">
      <c r="A8615" s="76">
        <v>45819.0</v>
      </c>
      <c r="B8615" s="1" t="s">
        <v>284</v>
      </c>
      <c r="C8615" s="1" t="s">
        <v>26</v>
      </c>
      <c r="D8615" s="1">
        <v>1.0</v>
      </c>
      <c r="E8615" s="1">
        <v>33826.0</v>
      </c>
      <c r="F8615" s="10">
        <f t="shared" si="1"/>
        <v>1</v>
      </c>
      <c r="G8615" s="10">
        <f t="array" ref="G8615">index('Player ID'!C:C,match(E8615,'Player ID'!B:B,0))</f>
        <v>673513</v>
      </c>
    </row>
    <row r="8616">
      <c r="A8616" s="76">
        <v>45819.0</v>
      </c>
      <c r="B8616" s="1" t="s">
        <v>216</v>
      </c>
      <c r="C8616" s="1" t="s">
        <v>68</v>
      </c>
      <c r="D8616" s="1">
        <v>6.2</v>
      </c>
      <c r="E8616" s="1">
        <v>13774.0</v>
      </c>
      <c r="F8616" s="10">
        <f t="shared" si="1"/>
        <v>6.666666667</v>
      </c>
      <c r="G8616" s="10">
        <f t="array" ref="G8616">index('Player ID'!C:C,match(E8616,'Player ID'!B:B,0))</f>
        <v>621107</v>
      </c>
    </row>
    <row r="8617">
      <c r="A8617" s="76">
        <v>45819.0</v>
      </c>
      <c r="B8617" s="1" t="s">
        <v>231</v>
      </c>
      <c r="C8617" s="1" t="s">
        <v>68</v>
      </c>
      <c r="D8617" s="1">
        <v>0.1</v>
      </c>
      <c r="E8617" s="1">
        <v>19362.0</v>
      </c>
      <c r="F8617" s="10">
        <f t="shared" si="1"/>
        <v>0.3333333333</v>
      </c>
      <c r="G8617" s="10">
        <f t="array" ref="G8617">index('Player ID'!C:C,match(E8617,'Player ID'!B:B,0))</f>
        <v>669211</v>
      </c>
    </row>
    <row r="8618">
      <c r="A8618" s="76">
        <v>45819.0</v>
      </c>
      <c r="B8618" s="1" t="s">
        <v>433</v>
      </c>
      <c r="C8618" s="1" t="s">
        <v>68</v>
      </c>
      <c r="D8618" s="1">
        <v>1.0</v>
      </c>
      <c r="E8618" s="1">
        <v>19677.0</v>
      </c>
      <c r="F8618" s="10">
        <f t="shared" si="1"/>
        <v>1</v>
      </c>
      <c r="G8618" s="10">
        <f t="array" ref="G8618">index('Player ID'!C:C,match(E8618,'Player ID'!B:B,0))</f>
        <v>642397</v>
      </c>
    </row>
    <row r="8619">
      <c r="A8619" s="76">
        <v>45819.0</v>
      </c>
      <c r="B8619" s="1" t="s">
        <v>240</v>
      </c>
      <c r="C8619" s="1" t="s">
        <v>68</v>
      </c>
      <c r="D8619" s="1">
        <v>1.0</v>
      </c>
      <c r="E8619" s="1">
        <v>19804.0</v>
      </c>
      <c r="F8619" s="10">
        <f t="shared" si="1"/>
        <v>1</v>
      </c>
      <c r="G8619" s="10">
        <f t="array" ref="G8619">index('Player ID'!C:C,match(E8619,'Player ID'!B:B,0))</f>
        <v>641329</v>
      </c>
    </row>
    <row r="8620">
      <c r="A8620" s="76">
        <v>45819.0</v>
      </c>
      <c r="B8620" s="1" t="s">
        <v>125</v>
      </c>
      <c r="C8620" s="1" t="s">
        <v>62</v>
      </c>
      <c r="D8620" s="1">
        <v>5.1</v>
      </c>
      <c r="E8620" s="1">
        <v>20492.0</v>
      </c>
      <c r="F8620" s="10">
        <f t="shared" si="1"/>
        <v>5.333333333</v>
      </c>
      <c r="G8620" s="10">
        <f t="array" ref="G8620">index('Player ID'!C:C,match(E8620,'Player ID'!B:B,0))</f>
        <v>663554</v>
      </c>
    </row>
    <row r="8621">
      <c r="A8621" s="76">
        <v>45819.0</v>
      </c>
      <c r="B8621" s="1" t="s">
        <v>289</v>
      </c>
      <c r="C8621" s="1" t="s">
        <v>62</v>
      </c>
      <c r="D8621" s="1">
        <v>1.0</v>
      </c>
      <c r="E8621" s="1">
        <v>22304.0</v>
      </c>
      <c r="F8621" s="10">
        <f t="shared" si="1"/>
        <v>1</v>
      </c>
      <c r="G8621" s="10">
        <f t="array" ref="G8621">index('Player ID'!C:C,match(E8621,'Player ID'!B:B,0))</f>
        <v>669724</v>
      </c>
    </row>
    <row r="8622">
      <c r="A8622" s="76">
        <v>45819.0</v>
      </c>
      <c r="B8622" s="1" t="s">
        <v>667</v>
      </c>
      <c r="C8622" s="1" t="s">
        <v>62</v>
      </c>
      <c r="D8622" s="1">
        <v>0.1</v>
      </c>
      <c r="E8622" s="1">
        <v>26079.0</v>
      </c>
      <c r="F8622" s="10">
        <f t="shared" si="1"/>
        <v>0.3333333333</v>
      </c>
      <c r="G8622" s="10">
        <f t="array" ref="G8622">index('Player ID'!C:C,match(E8622,'Player ID'!B:B,0))</f>
        <v>689225</v>
      </c>
    </row>
    <row r="8623">
      <c r="A8623" s="76">
        <v>45819.0</v>
      </c>
      <c r="B8623" s="1" t="s">
        <v>82</v>
      </c>
      <c r="C8623" s="1" t="s">
        <v>62</v>
      </c>
      <c r="D8623" s="1">
        <v>1.1</v>
      </c>
      <c r="E8623" s="1">
        <v>26231.0</v>
      </c>
      <c r="F8623" s="10">
        <f t="shared" si="1"/>
        <v>1.333333333</v>
      </c>
      <c r="G8623" s="10">
        <f t="array" ref="G8623">index('Player ID'!C:C,match(E8623,'Player ID'!B:B,0))</f>
        <v>663947</v>
      </c>
    </row>
    <row r="8624">
      <c r="A8624" s="76">
        <v>45819.0</v>
      </c>
      <c r="B8624" s="1" t="s">
        <v>307</v>
      </c>
      <c r="C8624" s="1" t="s">
        <v>51</v>
      </c>
      <c r="D8624" s="1">
        <v>9.0</v>
      </c>
      <c r="E8624" s="1">
        <v>20302.0</v>
      </c>
      <c r="F8624" s="10">
        <f t="shared" si="1"/>
        <v>9</v>
      </c>
      <c r="G8624" s="10">
        <f t="array" ref="G8624">index('Player ID'!C:C,match(E8624,'Player ID'!B:B,0))</f>
        <v>656849</v>
      </c>
    </row>
    <row r="8625">
      <c r="A8625" s="76">
        <v>45819.0</v>
      </c>
      <c r="B8625" s="1" t="s">
        <v>396</v>
      </c>
      <c r="C8625" s="1" t="s">
        <v>80</v>
      </c>
      <c r="D8625" s="1">
        <v>5.0</v>
      </c>
      <c r="E8625" s="1">
        <v>21504.0</v>
      </c>
      <c r="F8625" s="10">
        <f t="shared" si="1"/>
        <v>5</v>
      </c>
      <c r="G8625" s="10">
        <f t="array" ref="G8625">index('Player ID'!C:C,match(E8625,'Player ID'!B:B,0))</f>
        <v>663623</v>
      </c>
    </row>
    <row r="8626">
      <c r="A8626" s="76">
        <v>45819.0</v>
      </c>
      <c r="B8626" s="1" t="s">
        <v>511</v>
      </c>
      <c r="C8626" s="1" t="s">
        <v>80</v>
      </c>
      <c r="D8626" s="1">
        <v>2.0</v>
      </c>
      <c r="E8626" s="1">
        <v>26215.0</v>
      </c>
      <c r="F8626" s="10">
        <f t="shared" si="1"/>
        <v>2</v>
      </c>
      <c r="G8626" s="10">
        <f t="array" ref="G8626">index('Player ID'!C:C,match(E8626,'Player ID'!B:B,0))</f>
        <v>671131</v>
      </c>
    </row>
    <row r="8627">
      <c r="A8627" s="76">
        <v>45819.0</v>
      </c>
      <c r="B8627" s="1" t="s">
        <v>818</v>
      </c>
      <c r="C8627" s="1" t="s">
        <v>80</v>
      </c>
      <c r="D8627" s="1">
        <v>1.0</v>
      </c>
      <c r="E8627" s="1">
        <v>27783.0</v>
      </c>
      <c r="F8627" s="10">
        <f t="shared" si="1"/>
        <v>1</v>
      </c>
      <c r="G8627" s="10">
        <f t="array" ref="G8627">index('Player ID'!C:C,match(E8627,'Player ID'!B:B,0))</f>
        <v>694350</v>
      </c>
    </row>
    <row r="8628">
      <c r="A8628" s="76">
        <v>45819.0</v>
      </c>
      <c r="B8628" s="1" t="s">
        <v>230</v>
      </c>
      <c r="C8628" s="1" t="s">
        <v>22</v>
      </c>
      <c r="D8628" s="1">
        <v>0.1</v>
      </c>
      <c r="E8628" s="1">
        <v>4301.0</v>
      </c>
      <c r="F8628" s="10">
        <f t="shared" si="1"/>
        <v>0.3333333333</v>
      </c>
      <c r="G8628" s="10">
        <f t="array" ref="G8628">index('Player ID'!C:C,match(E8628,'Player ID'!B:B,0))</f>
        <v>458677</v>
      </c>
    </row>
    <row r="8629">
      <c r="A8629" s="76">
        <v>45819.0</v>
      </c>
      <c r="B8629" s="1" t="s">
        <v>41</v>
      </c>
      <c r="C8629" s="1" t="s">
        <v>22</v>
      </c>
      <c r="D8629" s="1">
        <v>1.0</v>
      </c>
      <c r="E8629" s="1">
        <v>10233.0</v>
      </c>
      <c r="F8629" s="10">
        <f t="shared" si="1"/>
        <v>1</v>
      </c>
      <c r="G8629" s="10">
        <f t="array" ref="G8629">index('Player ID'!C:C,match(E8629,'Player ID'!B:B,0))</f>
        <v>547973</v>
      </c>
    </row>
    <row r="8630">
      <c r="A8630" s="76">
        <v>45819.0</v>
      </c>
      <c r="B8630" s="1" t="s">
        <v>177</v>
      </c>
      <c r="C8630" s="1" t="s">
        <v>54</v>
      </c>
      <c r="D8630" s="1">
        <v>6.0</v>
      </c>
      <c r="E8630" s="1">
        <v>15823.0</v>
      </c>
      <c r="F8630" s="10">
        <f t="shared" si="1"/>
        <v>6</v>
      </c>
      <c r="G8630" s="10">
        <f t="array" ref="G8630">index('Player ID'!C:C,match(E8630,'Player ID'!B:B,0))</f>
        <v>641793</v>
      </c>
    </row>
    <row r="8631">
      <c r="A8631" s="76">
        <v>45819.0</v>
      </c>
      <c r="B8631" s="1" t="s">
        <v>405</v>
      </c>
      <c r="C8631" s="1" t="s">
        <v>22</v>
      </c>
      <c r="D8631" s="1">
        <v>7.0</v>
      </c>
      <c r="E8631" s="1">
        <v>19374.0</v>
      </c>
      <c r="F8631" s="10">
        <f t="shared" si="1"/>
        <v>7</v>
      </c>
      <c r="G8631" s="10">
        <f t="array" ref="G8631">index('Player ID'!C:C,match(E8631,'Player ID'!B:B,0))</f>
        <v>621111</v>
      </c>
    </row>
    <row r="8632">
      <c r="A8632" s="76">
        <v>45819.0</v>
      </c>
      <c r="B8632" s="1" t="s">
        <v>406</v>
      </c>
      <c r="C8632" s="1" t="s">
        <v>22</v>
      </c>
      <c r="D8632" s="1">
        <v>0.2</v>
      </c>
      <c r="E8632" s="1">
        <v>20375.0</v>
      </c>
      <c r="F8632" s="10">
        <f t="shared" si="1"/>
        <v>0.6666666667</v>
      </c>
      <c r="G8632" s="10">
        <f t="array" ref="G8632">index('Player ID'!C:C,match(E8632,'Player ID'!B:B,0))</f>
        <v>669711</v>
      </c>
    </row>
    <row r="8633">
      <c r="A8633" s="76">
        <v>45819.0</v>
      </c>
      <c r="B8633" s="1" t="s">
        <v>257</v>
      </c>
      <c r="C8633" s="1" t="s">
        <v>54</v>
      </c>
      <c r="D8633" s="1">
        <v>1.0</v>
      </c>
      <c r="E8633" s="1">
        <v>27626.0</v>
      </c>
      <c r="F8633" s="10">
        <f t="shared" si="1"/>
        <v>1</v>
      </c>
      <c r="G8633" s="10">
        <f t="array" ref="G8633">index('Player ID'!C:C,match(E8633,'Player ID'!B:B,0))</f>
        <v>679358</v>
      </c>
    </row>
    <row r="8634">
      <c r="A8634" s="76">
        <v>45819.0</v>
      </c>
      <c r="B8634" s="1" t="s">
        <v>334</v>
      </c>
      <c r="C8634" s="1" t="s">
        <v>54</v>
      </c>
      <c r="D8634" s="1">
        <v>1.0</v>
      </c>
      <c r="E8634" s="1">
        <v>29770.0</v>
      </c>
      <c r="F8634" s="10">
        <f t="shared" si="1"/>
        <v>1</v>
      </c>
      <c r="G8634" s="10">
        <f t="array" ref="G8634">index('Player ID'!C:C,match(E8634,'Player ID'!B:B,0))</f>
        <v>682254</v>
      </c>
    </row>
    <row r="8635">
      <c r="A8635" s="76">
        <v>45819.0</v>
      </c>
      <c r="B8635" s="1" t="s">
        <v>162</v>
      </c>
      <c r="C8635" s="1" t="s">
        <v>56</v>
      </c>
      <c r="D8635" s="1">
        <v>1.0</v>
      </c>
      <c r="E8635" s="1">
        <v>11752.0</v>
      </c>
      <c r="F8635" s="10">
        <f t="shared" si="1"/>
        <v>1</v>
      </c>
      <c r="G8635" s="10">
        <f t="array" ref="G8635">index('Player ID'!C:C,match(E8635,'Player ID'!B:B,0))</f>
        <v>592426</v>
      </c>
    </row>
    <row r="8636">
      <c r="A8636" s="76">
        <v>45819.0</v>
      </c>
      <c r="B8636" s="1" t="s">
        <v>249</v>
      </c>
      <c r="C8636" s="1" t="s">
        <v>16</v>
      </c>
      <c r="D8636" s="1">
        <v>1.0</v>
      </c>
      <c r="E8636" s="1">
        <v>16727.0</v>
      </c>
      <c r="F8636" s="10">
        <f t="shared" si="1"/>
        <v>1</v>
      </c>
      <c r="G8636" s="10">
        <f t="array" ref="G8636">index('Player ID'!C:C,match(E8636,'Player ID'!B:B,0))</f>
        <v>592779</v>
      </c>
    </row>
    <row r="8637">
      <c r="A8637" s="76">
        <v>45819.0</v>
      </c>
      <c r="B8637" s="1" t="s">
        <v>87</v>
      </c>
      <c r="C8637" s="1" t="s">
        <v>56</v>
      </c>
      <c r="D8637" s="1">
        <v>1.0</v>
      </c>
      <c r="E8637" s="1">
        <v>19274.0</v>
      </c>
      <c r="F8637" s="10">
        <f t="shared" si="1"/>
        <v>1</v>
      </c>
      <c r="G8637" s="10">
        <f t="array" ref="G8637">index('Player ID'!C:C,match(E8637,'Player ID'!B:B,0))</f>
        <v>657097</v>
      </c>
    </row>
    <row r="8638">
      <c r="A8638" s="76">
        <v>45819.0</v>
      </c>
      <c r="B8638" s="1" t="s">
        <v>349</v>
      </c>
      <c r="C8638" s="1" t="s">
        <v>56</v>
      </c>
      <c r="D8638" s="1">
        <v>1.0</v>
      </c>
      <c r="E8638" s="1">
        <v>19736.0</v>
      </c>
      <c r="F8638" s="10">
        <f t="shared" si="1"/>
        <v>1</v>
      </c>
      <c r="G8638" s="10">
        <f t="array" ref="G8638">index('Player ID'!C:C,match(E8638,'Player ID'!B:B,0))</f>
        <v>676961</v>
      </c>
    </row>
    <row r="8639">
      <c r="A8639" s="76">
        <v>45819.0</v>
      </c>
      <c r="B8639" s="1" t="s">
        <v>122</v>
      </c>
      <c r="C8639" s="1" t="s">
        <v>16</v>
      </c>
      <c r="D8639" s="1">
        <v>1.0</v>
      </c>
      <c r="E8639" s="1">
        <v>21029.0</v>
      </c>
      <c r="F8639" s="10">
        <f t="shared" si="1"/>
        <v>1</v>
      </c>
      <c r="G8639" s="10">
        <f t="array" ref="G8639">index('Player ID'!C:C,match(E8639,'Player ID'!B:B,0))</f>
        <v>661395</v>
      </c>
    </row>
    <row r="8640">
      <c r="A8640" s="76">
        <v>45819.0</v>
      </c>
      <c r="B8640" s="1" t="s">
        <v>111</v>
      </c>
      <c r="C8640" s="1" t="s">
        <v>56</v>
      </c>
      <c r="D8640" s="1">
        <v>1.0</v>
      </c>
      <c r="E8640" s="1">
        <v>21306.0</v>
      </c>
      <c r="F8640" s="10">
        <f t="shared" si="1"/>
        <v>1</v>
      </c>
      <c r="G8640" s="10">
        <f t="array" ref="G8640">index('Player ID'!C:C,match(E8640,'Player ID'!B:B,0))</f>
        <v>656641</v>
      </c>
    </row>
    <row r="8641">
      <c r="A8641" s="76">
        <v>45819.0</v>
      </c>
      <c r="B8641" s="1" t="s">
        <v>47</v>
      </c>
      <c r="C8641" s="1" t="s">
        <v>16</v>
      </c>
      <c r="D8641" s="1">
        <v>1.0</v>
      </c>
      <c r="E8641" s="1">
        <v>27691.0</v>
      </c>
      <c r="F8641" s="10">
        <f t="shared" si="1"/>
        <v>1</v>
      </c>
      <c r="G8641" s="10">
        <f t="array" ref="G8641">index('Player ID'!C:C,match(E8641,'Player ID'!B:B,0))</f>
        <v>686973</v>
      </c>
    </row>
    <row r="8642">
      <c r="A8642" s="76">
        <v>45819.0</v>
      </c>
      <c r="B8642" s="1" t="s">
        <v>253</v>
      </c>
      <c r="C8642" s="1" t="s">
        <v>16</v>
      </c>
      <c r="D8642" s="1">
        <v>6.0</v>
      </c>
      <c r="E8642" s="1">
        <v>30056.0</v>
      </c>
      <c r="F8642" s="10">
        <f t="shared" si="1"/>
        <v>6</v>
      </c>
      <c r="G8642" s="10">
        <f t="array" ref="G8642">index('Player ID'!C:C,match(E8642,'Player ID'!B:B,0))</f>
        <v>701581</v>
      </c>
    </row>
    <row r="8643">
      <c r="A8643" s="76">
        <v>45819.0</v>
      </c>
      <c r="B8643" s="1" t="s">
        <v>374</v>
      </c>
      <c r="C8643" s="1" t="s">
        <v>56</v>
      </c>
      <c r="D8643" s="1">
        <v>4.0</v>
      </c>
      <c r="E8643" s="1">
        <v>30146.0</v>
      </c>
      <c r="F8643" s="10">
        <f t="shared" si="1"/>
        <v>4</v>
      </c>
      <c r="G8643" s="10">
        <f t="array" ref="G8643">index('Player ID'!C:C,match(E8643,'Player ID'!B:B,0))</f>
        <v>683004</v>
      </c>
    </row>
    <row r="8644">
      <c r="A8644" s="76">
        <v>45819.0</v>
      </c>
      <c r="B8644" s="1" t="s">
        <v>422</v>
      </c>
      <c r="C8644" s="1" t="s">
        <v>58</v>
      </c>
      <c r="D8644" s="1">
        <v>0.2</v>
      </c>
      <c r="E8644" s="1">
        <v>7048.0</v>
      </c>
      <c r="F8644" s="10">
        <f t="shared" si="1"/>
        <v>0.6666666667</v>
      </c>
      <c r="G8644" s="10">
        <f t="array" ref="G8644">index('Player ID'!C:C,match(E8644,'Player ID'!B:B,0))</f>
        <v>518585</v>
      </c>
    </row>
    <row r="8645">
      <c r="A8645" s="76">
        <v>45819.0</v>
      </c>
      <c r="B8645" s="1" t="s">
        <v>467</v>
      </c>
      <c r="C8645" s="1" t="s">
        <v>58</v>
      </c>
      <c r="D8645" s="1">
        <v>0.1</v>
      </c>
      <c r="E8645" s="1">
        <v>15551.0</v>
      </c>
      <c r="F8645" s="10">
        <f t="shared" si="1"/>
        <v>0.3333333333</v>
      </c>
      <c r="G8645" s="10">
        <f t="array" ref="G8645">index('Player ID'!C:C,match(E8645,'Player ID'!B:B,0))</f>
        <v>643410</v>
      </c>
    </row>
    <row r="8646">
      <c r="A8646" s="76">
        <v>45819.0</v>
      </c>
      <c r="B8646" s="1" t="s">
        <v>114</v>
      </c>
      <c r="C8646" s="1" t="s">
        <v>58</v>
      </c>
      <c r="D8646" s="1">
        <v>0.2</v>
      </c>
      <c r="E8646" s="1">
        <v>15816.0</v>
      </c>
      <c r="F8646" s="10">
        <f t="shared" si="1"/>
        <v>0.6666666667</v>
      </c>
      <c r="G8646" s="10">
        <f t="array" ref="G8646">index('Player ID'!C:C,match(E8646,'Player ID'!B:B,0))</f>
        <v>642207</v>
      </c>
    </row>
    <row r="8647">
      <c r="A8647" s="76">
        <v>45819.0</v>
      </c>
      <c r="B8647" s="1" t="s">
        <v>408</v>
      </c>
      <c r="C8647" s="1" t="s">
        <v>58</v>
      </c>
      <c r="D8647" s="1">
        <v>6.0</v>
      </c>
      <c r="E8647" s="1">
        <v>19899.0</v>
      </c>
      <c r="F8647" s="10">
        <f t="shared" si="1"/>
        <v>6</v>
      </c>
      <c r="G8647" s="10">
        <f t="array" ref="G8647">index('Player ID'!C:C,match(E8647,'Player ID'!B:B,0))</f>
        <v>657376</v>
      </c>
    </row>
    <row r="8648">
      <c r="A8648" s="76">
        <v>45819.0</v>
      </c>
      <c r="B8648" s="1" t="s">
        <v>163</v>
      </c>
      <c r="C8648" s="1" t="s">
        <v>29</v>
      </c>
      <c r="D8648" s="1">
        <v>4.1</v>
      </c>
      <c r="E8648" s="1">
        <v>21455.0</v>
      </c>
      <c r="F8648" s="10">
        <f t="shared" si="1"/>
        <v>4.333333333</v>
      </c>
      <c r="G8648" s="10">
        <f t="array" ref="G8648">index('Player ID'!C:C,match(E8648,'Player ID'!B:B,0))</f>
        <v>663460</v>
      </c>
    </row>
    <row r="8649">
      <c r="A8649" s="76">
        <v>45819.0</v>
      </c>
      <c r="B8649" s="1" t="s">
        <v>293</v>
      </c>
      <c r="C8649" s="1" t="s">
        <v>29</v>
      </c>
      <c r="D8649" s="1">
        <v>1.0</v>
      </c>
      <c r="E8649" s="1">
        <v>21537.0</v>
      </c>
      <c r="F8649" s="10">
        <f t="shared" si="1"/>
        <v>1</v>
      </c>
      <c r="G8649" s="10">
        <f t="array" ref="G8649">index('Player ID'!C:C,match(E8649,'Player ID'!B:B,0))</f>
        <v>663738</v>
      </c>
    </row>
    <row r="8650">
      <c r="A8650" s="76">
        <v>45819.0</v>
      </c>
      <c r="B8650" s="1" t="s">
        <v>140</v>
      </c>
      <c r="C8650" s="1" t="s">
        <v>29</v>
      </c>
      <c r="D8650" s="1">
        <v>1.0</v>
      </c>
      <c r="E8650" s="1">
        <v>22717.0</v>
      </c>
      <c r="F8650" s="10">
        <f t="shared" si="1"/>
        <v>1</v>
      </c>
      <c r="G8650" s="10">
        <f t="array" ref="G8650">index('Player ID'!C:C,match(E8650,'Player ID'!B:B,0))</f>
        <v>672582</v>
      </c>
    </row>
    <row r="8651">
      <c r="A8651" s="76">
        <v>45819.0</v>
      </c>
      <c r="B8651" s="1" t="s">
        <v>214</v>
      </c>
      <c r="C8651" s="1" t="s">
        <v>29</v>
      </c>
      <c r="D8651" s="1">
        <v>1.0</v>
      </c>
      <c r="E8651" s="1">
        <v>23165.0</v>
      </c>
      <c r="F8651" s="10">
        <f t="shared" si="1"/>
        <v>1</v>
      </c>
      <c r="G8651" s="10">
        <f t="array" ref="G8651">index('Player ID'!C:C,match(E8651,'Player ID'!B:B,0))</f>
        <v>674444</v>
      </c>
    </row>
    <row r="8652">
      <c r="A8652" s="76">
        <v>45819.0</v>
      </c>
      <c r="B8652" s="1" t="s">
        <v>236</v>
      </c>
      <c r="C8652" s="1" t="s">
        <v>29</v>
      </c>
      <c r="D8652" s="1">
        <v>1.2</v>
      </c>
      <c r="E8652" s="1">
        <v>24607.0</v>
      </c>
      <c r="F8652" s="10">
        <f t="shared" si="1"/>
        <v>1.666666667</v>
      </c>
      <c r="G8652" s="10">
        <f t="array" ref="G8652">index('Player ID'!C:C,match(E8652,'Player ID'!B:B,0))</f>
        <v>680742</v>
      </c>
    </row>
    <row r="8653">
      <c r="A8653" s="76">
        <v>45819.0</v>
      </c>
      <c r="B8653" s="1" t="s">
        <v>693</v>
      </c>
      <c r="C8653" s="1" t="s">
        <v>58</v>
      </c>
      <c r="D8653" s="1">
        <v>1.1</v>
      </c>
      <c r="E8653" s="1">
        <v>27702.0</v>
      </c>
      <c r="F8653" s="10">
        <f t="shared" si="1"/>
        <v>1.333333333</v>
      </c>
      <c r="G8653" s="10">
        <f t="array" ref="G8653">index('Player ID'!C:C,match(E8653,'Player ID'!B:B,0))</f>
        <v>687396</v>
      </c>
    </row>
    <row r="8654">
      <c r="A8654" s="76">
        <v>45819.0</v>
      </c>
      <c r="B8654" s="1" t="s">
        <v>38</v>
      </c>
      <c r="C8654" s="1" t="s">
        <v>39</v>
      </c>
      <c r="D8654" s="1">
        <v>2.0</v>
      </c>
      <c r="E8654" s="1">
        <v>13580.0</v>
      </c>
      <c r="F8654" s="10">
        <f t="shared" si="1"/>
        <v>2</v>
      </c>
      <c r="G8654" s="10">
        <f t="array" ref="G8654">index('Player ID'!C:C,match(E8654,'Player ID'!B:B,0))</f>
        <v>595345</v>
      </c>
    </row>
    <row r="8655">
      <c r="A8655" s="76">
        <v>45819.0</v>
      </c>
      <c r="B8655" s="1" t="s">
        <v>593</v>
      </c>
      <c r="C8655" s="1" t="s">
        <v>78</v>
      </c>
      <c r="D8655" s="1">
        <v>4.1</v>
      </c>
      <c r="E8655" s="1">
        <v>22273.0</v>
      </c>
      <c r="F8655" s="10">
        <f t="shared" si="1"/>
        <v>4.333333333</v>
      </c>
      <c r="G8655" s="10">
        <f t="array" ref="G8655">index('Player ID'!C:C,match(E8655,'Player ID'!B:B,0))</f>
        <v>669391</v>
      </c>
    </row>
    <row r="8656">
      <c r="A8656" s="76">
        <v>45819.0</v>
      </c>
      <c r="B8656" s="1" t="s">
        <v>76</v>
      </c>
      <c r="C8656" s="1" t="s">
        <v>39</v>
      </c>
      <c r="D8656" s="1">
        <v>1.0</v>
      </c>
      <c r="E8656" s="1">
        <v>25890.0</v>
      </c>
      <c r="F8656" s="10">
        <f t="shared" si="1"/>
        <v>1</v>
      </c>
      <c r="G8656" s="10">
        <f t="array" ref="G8656">index('Player ID'!C:C,match(E8656,'Player ID'!B:B,0))</f>
        <v>687911</v>
      </c>
    </row>
    <row r="8657">
      <c r="A8657" s="76">
        <v>45819.0</v>
      </c>
      <c r="B8657" s="1" t="s">
        <v>228</v>
      </c>
      <c r="C8657" s="1" t="s">
        <v>39</v>
      </c>
      <c r="D8657" s="1">
        <v>6.0</v>
      </c>
      <c r="E8657" s="1">
        <v>26440.0</v>
      </c>
      <c r="F8657" s="10">
        <f t="shared" si="1"/>
        <v>6</v>
      </c>
      <c r="G8657" s="10">
        <f t="array" ref="G8657">index('Player ID'!C:C,match(E8657,'Player ID'!B:B,0))</f>
        <v>687473</v>
      </c>
    </row>
    <row r="8658">
      <c r="A8658" s="76">
        <v>45819.0</v>
      </c>
      <c r="B8658" s="1" t="s">
        <v>356</v>
      </c>
      <c r="C8658" s="1" t="s">
        <v>78</v>
      </c>
      <c r="D8658" s="1">
        <v>3.2</v>
      </c>
      <c r="E8658" s="1">
        <v>29878.0</v>
      </c>
      <c r="F8658" s="10">
        <f t="shared" si="1"/>
        <v>3.666666667</v>
      </c>
      <c r="G8658" s="10">
        <f t="array" ref="G8658">index('Player ID'!C:C,match(E8658,'Player ID'!B:B,0))</f>
        <v>680732</v>
      </c>
    </row>
    <row r="8659">
      <c r="A8659" s="76">
        <v>45819.0</v>
      </c>
      <c r="B8659" s="1" t="s">
        <v>303</v>
      </c>
      <c r="C8659" s="1" t="s">
        <v>31</v>
      </c>
      <c r="D8659" s="1">
        <v>4.0</v>
      </c>
      <c r="E8659" s="1">
        <v>11486.0</v>
      </c>
      <c r="F8659" s="10">
        <f t="shared" si="1"/>
        <v>4</v>
      </c>
      <c r="G8659" s="10">
        <f t="array" ref="G8659">index('Player ID'!C:C,match(E8659,'Player ID'!B:B,0))</f>
        <v>592662</v>
      </c>
    </row>
    <row r="8660">
      <c r="A8660" s="76">
        <v>45819.0</v>
      </c>
      <c r="B8660" s="1" t="s">
        <v>20</v>
      </c>
      <c r="C8660" s="1" t="s">
        <v>31</v>
      </c>
      <c r="D8660" s="1">
        <v>1.0</v>
      </c>
      <c r="E8660" s="1">
        <v>15541.0</v>
      </c>
      <c r="F8660" s="10">
        <f t="shared" si="1"/>
        <v>1</v>
      </c>
      <c r="G8660" s="10">
        <f t="array" ref="G8660">index('Player ID'!C:C,match(E8660,'Player ID'!B:B,0))</f>
        <v>643511</v>
      </c>
    </row>
    <row r="8661">
      <c r="A8661" s="76">
        <v>45819.0</v>
      </c>
      <c r="B8661" s="1" t="s">
        <v>189</v>
      </c>
      <c r="C8661" s="1" t="s">
        <v>75</v>
      </c>
      <c r="D8661" s="1">
        <v>6.0</v>
      </c>
      <c r="E8661" s="1">
        <v>16256.0</v>
      </c>
      <c r="F8661" s="10">
        <f t="shared" si="1"/>
        <v>6</v>
      </c>
      <c r="G8661" s="10">
        <f t="array" ref="G8661">index('Player ID'!C:C,match(E8661,'Player ID'!B:B,0))</f>
        <v>607536</v>
      </c>
    </row>
    <row r="8662">
      <c r="A8662" s="76">
        <v>45819.0</v>
      </c>
      <c r="B8662" s="1" t="s">
        <v>288</v>
      </c>
      <c r="C8662" s="1" t="s">
        <v>75</v>
      </c>
      <c r="D8662" s="1">
        <v>0.1</v>
      </c>
      <c r="E8662" s="1">
        <v>18297.0</v>
      </c>
      <c r="F8662" s="10">
        <f t="shared" si="1"/>
        <v>0.3333333333</v>
      </c>
      <c r="G8662" s="10">
        <f t="array" ref="G8662">index('Player ID'!C:C,match(E8662,'Player ID'!B:B,0))</f>
        <v>641755</v>
      </c>
    </row>
    <row r="8663">
      <c r="A8663" s="76">
        <v>45819.0</v>
      </c>
      <c r="B8663" s="1" t="s">
        <v>124</v>
      </c>
      <c r="C8663" s="1" t="s">
        <v>31</v>
      </c>
      <c r="D8663" s="1">
        <v>3.0</v>
      </c>
      <c r="E8663" s="1">
        <v>21584.0</v>
      </c>
      <c r="F8663" s="10">
        <f t="shared" si="1"/>
        <v>3</v>
      </c>
      <c r="G8663" s="10" t="str">
        <f t="array" ref="G8663">index('Player ID'!C:C,match(E8663,'Player ID'!B:B,0))</f>
        <v>#N/A</v>
      </c>
    </row>
    <row r="8664">
      <c r="A8664" s="76">
        <v>45819.0</v>
      </c>
      <c r="B8664" s="1" t="s">
        <v>304</v>
      </c>
      <c r="C8664" s="1" t="s">
        <v>31</v>
      </c>
      <c r="D8664" s="1">
        <v>1.0</v>
      </c>
      <c r="E8664" s="1">
        <v>21992.0</v>
      </c>
      <c r="F8664" s="10">
        <f t="shared" si="1"/>
        <v>1</v>
      </c>
      <c r="G8664" s="10">
        <f t="array" ref="G8664">index('Player ID'!C:C,match(E8664,'Player ID'!B:B,0))</f>
        <v>666808</v>
      </c>
    </row>
    <row r="8665">
      <c r="A8665" s="76">
        <v>45819.0</v>
      </c>
      <c r="B8665" s="1" t="s">
        <v>305</v>
      </c>
      <c r="C8665" s="1" t="s">
        <v>75</v>
      </c>
      <c r="D8665" s="1">
        <v>0.2</v>
      </c>
      <c r="E8665" s="1">
        <v>22200.0</v>
      </c>
      <c r="F8665" s="10">
        <f t="shared" si="1"/>
        <v>0.6666666667</v>
      </c>
      <c r="G8665" s="10">
        <f t="array" ref="G8665">index('Player ID'!C:C,match(E8665,'Player ID'!B:B,0))</f>
        <v>669020</v>
      </c>
    </row>
    <row r="8666">
      <c r="A8666" s="76">
        <v>45819.0</v>
      </c>
      <c r="B8666" s="1" t="s">
        <v>468</v>
      </c>
      <c r="C8666" s="1" t="s">
        <v>75</v>
      </c>
      <c r="D8666" s="1">
        <v>1.0</v>
      </c>
      <c r="E8666" s="1">
        <v>23237.0</v>
      </c>
      <c r="F8666" s="10">
        <f t="shared" si="1"/>
        <v>1</v>
      </c>
      <c r="G8666" s="10">
        <f t="array" ref="G8666">index('Player ID'!C:C,match(E8666,'Player ID'!B:B,0))</f>
        <v>675848</v>
      </c>
    </row>
    <row r="8667">
      <c r="A8667" s="76">
        <v>45819.0</v>
      </c>
      <c r="B8667" s="1" t="s">
        <v>512</v>
      </c>
      <c r="C8667" s="1" t="s">
        <v>75</v>
      </c>
      <c r="D8667" s="1">
        <v>1.0</v>
      </c>
      <c r="E8667" s="1">
        <v>31552.0</v>
      </c>
      <c r="F8667" s="10">
        <f t="shared" si="1"/>
        <v>1</v>
      </c>
      <c r="G8667" s="10">
        <f t="array" ref="G8667">index('Player ID'!C:C,match(E8667,'Player ID'!B:B,0))</f>
        <v>688642</v>
      </c>
    </row>
    <row r="8668">
      <c r="A8668" s="76">
        <v>45820.0</v>
      </c>
      <c r="B8668" s="1" t="s">
        <v>245</v>
      </c>
      <c r="C8668" s="1" t="s">
        <v>56</v>
      </c>
      <c r="D8668" s="1">
        <v>5.0</v>
      </c>
      <c r="E8668" s="1">
        <v>9323.0</v>
      </c>
      <c r="F8668" s="10">
        <f t="shared" si="1"/>
        <v>5</v>
      </c>
      <c r="G8668" s="10">
        <f t="array" ref="G8668">index('Player ID'!C:C,match(E8668,'Player ID'!B:B,0))</f>
        <v>571578</v>
      </c>
    </row>
    <row r="8669">
      <c r="A8669" s="76">
        <v>45820.0</v>
      </c>
      <c r="B8669" s="1" t="s">
        <v>74</v>
      </c>
      <c r="C8669" s="1" t="s">
        <v>56</v>
      </c>
      <c r="D8669" s="1">
        <v>1.0</v>
      </c>
      <c r="E8669" s="1">
        <v>11847.0</v>
      </c>
      <c r="F8669" s="10">
        <f t="shared" si="1"/>
        <v>1</v>
      </c>
      <c r="G8669" s="10">
        <f t="array" ref="G8669">index('Player ID'!C:C,match(E8669,'Player ID'!B:B,0))</f>
        <v>455119</v>
      </c>
    </row>
    <row r="8670">
      <c r="A8670" s="76">
        <v>45820.0</v>
      </c>
      <c r="B8670" s="1" t="s">
        <v>435</v>
      </c>
      <c r="C8670" s="1" t="s">
        <v>16</v>
      </c>
      <c r="D8670" s="1">
        <v>0.1</v>
      </c>
      <c r="E8670" s="1">
        <v>13293.0</v>
      </c>
      <c r="F8670" s="10">
        <f t="shared" si="1"/>
        <v>0.3333333333</v>
      </c>
      <c r="G8670" s="10">
        <f t="array" ref="G8670">index('Player ID'!C:C,match(E8670,'Player ID'!B:B,0))</f>
        <v>543056</v>
      </c>
    </row>
    <row r="8671">
      <c r="A8671" s="76">
        <v>45820.0</v>
      </c>
      <c r="B8671" s="1" t="s">
        <v>151</v>
      </c>
      <c r="C8671" s="1" t="s">
        <v>56</v>
      </c>
      <c r="D8671" s="1">
        <v>1.0</v>
      </c>
      <c r="E8671" s="1">
        <v>13346.0</v>
      </c>
      <c r="F8671" s="10">
        <f t="shared" si="1"/>
        <v>1</v>
      </c>
      <c r="G8671" s="10">
        <f t="array" ref="G8671">index('Player ID'!C:C,match(E8671,'Player ID'!B:B,0))</f>
        <v>571948</v>
      </c>
    </row>
    <row r="8672">
      <c r="A8672" s="76">
        <v>45820.0</v>
      </c>
      <c r="B8672" s="1" t="s">
        <v>384</v>
      </c>
      <c r="C8672" s="1" t="s">
        <v>16</v>
      </c>
      <c r="D8672" s="1">
        <v>1.0</v>
      </c>
      <c r="E8672" s="1">
        <v>19962.0</v>
      </c>
      <c r="F8672" s="10">
        <f t="shared" si="1"/>
        <v>1</v>
      </c>
      <c r="G8672" s="10">
        <f t="array" ref="G8672">index('Player ID'!C:C,match(E8672,'Player ID'!B:B,0))</f>
        <v>666214</v>
      </c>
    </row>
    <row r="8673">
      <c r="A8673" s="76">
        <v>45820.0</v>
      </c>
      <c r="B8673" s="1" t="s">
        <v>173</v>
      </c>
      <c r="C8673" s="1" t="s">
        <v>16</v>
      </c>
      <c r="D8673" s="1">
        <v>4.2</v>
      </c>
      <c r="E8673" s="1">
        <v>21224.0</v>
      </c>
      <c r="F8673" s="10">
        <f t="shared" si="1"/>
        <v>4.666666667</v>
      </c>
      <c r="G8673" s="10">
        <f t="array" ref="G8673">index('Player ID'!C:C,match(E8673,'Player ID'!B:B,0))</f>
        <v>641927</v>
      </c>
    </row>
    <row r="8674">
      <c r="A8674" s="76">
        <v>45820.0</v>
      </c>
      <c r="B8674" s="1" t="s">
        <v>237</v>
      </c>
      <c r="C8674" s="1" t="s">
        <v>16</v>
      </c>
      <c r="D8674" s="1">
        <v>1.0</v>
      </c>
      <c r="E8674" s="1">
        <v>21461.0</v>
      </c>
      <c r="F8674" s="10">
        <f t="shared" si="1"/>
        <v>1</v>
      </c>
      <c r="G8674" s="10">
        <f t="array" ref="G8674">index('Player ID'!C:C,match(E8674,'Player ID'!B:B,0))</f>
        <v>663485</v>
      </c>
    </row>
    <row r="8675">
      <c r="A8675" s="76">
        <v>45820.0</v>
      </c>
      <c r="B8675" s="1" t="s">
        <v>502</v>
      </c>
      <c r="C8675" s="1" t="s">
        <v>56</v>
      </c>
      <c r="D8675" s="1">
        <v>1.0</v>
      </c>
      <c r="E8675" s="1">
        <v>22113.0</v>
      </c>
      <c r="F8675" s="10">
        <f t="shared" si="1"/>
        <v>1</v>
      </c>
      <c r="G8675" s="10">
        <f t="array" ref="G8675">index('Player ID'!C:C,match(E8675,'Player ID'!B:B,0))</f>
        <v>668390</v>
      </c>
    </row>
    <row r="8676">
      <c r="A8676" s="76">
        <v>45820.0</v>
      </c>
      <c r="B8676" s="1" t="s">
        <v>750</v>
      </c>
      <c r="C8676" s="1" t="s">
        <v>56</v>
      </c>
      <c r="D8676" s="1">
        <v>1.0</v>
      </c>
      <c r="E8676" s="1">
        <v>23733.0</v>
      </c>
      <c r="F8676" s="10">
        <f t="shared" si="1"/>
        <v>1</v>
      </c>
      <c r="G8676" s="10">
        <f t="array" ref="G8676">index('Player ID'!C:C,match(E8676,'Player ID'!B:B,0))</f>
        <v>677649</v>
      </c>
    </row>
    <row r="8677">
      <c r="A8677" s="76">
        <v>45820.0</v>
      </c>
      <c r="B8677" s="1" t="s">
        <v>864</v>
      </c>
      <c r="C8677" s="1" t="s">
        <v>16</v>
      </c>
      <c r="D8677" s="1">
        <v>2.0</v>
      </c>
      <c r="E8677" s="1">
        <v>24703.0</v>
      </c>
      <c r="F8677" s="10">
        <f t="shared" si="1"/>
        <v>2</v>
      </c>
      <c r="G8677" s="10" t="str">
        <f t="array" ref="G8677">index('Player ID'!C:C,match(E8677,'Player ID'!B:B,0))</f>
        <v>#N/A</v>
      </c>
    </row>
    <row r="8678">
      <c r="A8678" s="76">
        <v>45820.0</v>
      </c>
      <c r="B8678" s="1" t="s">
        <v>646</v>
      </c>
      <c r="C8678" s="1" t="s">
        <v>51</v>
      </c>
      <c r="D8678" s="1">
        <v>1.2</v>
      </c>
      <c r="E8678" s="1">
        <v>6107.0</v>
      </c>
      <c r="F8678" s="10">
        <f t="shared" si="1"/>
        <v>1.666666667</v>
      </c>
      <c r="G8678" s="10">
        <f t="array" ref="G8678">index('Player ID'!C:C,match(E8678,'Player ID'!B:B,0))</f>
        <v>623211</v>
      </c>
    </row>
    <row r="8679">
      <c r="A8679" s="76">
        <v>45820.0</v>
      </c>
      <c r="B8679" s="1" t="s">
        <v>679</v>
      </c>
      <c r="C8679" s="1" t="s">
        <v>51</v>
      </c>
      <c r="D8679" s="1">
        <v>1.0</v>
      </c>
      <c r="E8679" s="1">
        <v>14710.0</v>
      </c>
      <c r="F8679" s="10">
        <f t="shared" si="1"/>
        <v>1</v>
      </c>
      <c r="G8679" s="10">
        <f t="array" ref="G8679">index('Player ID'!C:C,match(E8679,'Player ID'!B:B,0))</f>
        <v>621242</v>
      </c>
    </row>
    <row r="8680">
      <c r="A8680" s="76">
        <v>45820.0</v>
      </c>
      <c r="B8680" s="1" t="s">
        <v>292</v>
      </c>
      <c r="C8680" s="1" t="s">
        <v>51</v>
      </c>
      <c r="D8680" s="1">
        <v>0.0</v>
      </c>
      <c r="E8680" s="1">
        <v>15947.0</v>
      </c>
      <c r="F8680" s="10">
        <f t="shared" si="1"/>
        <v>0</v>
      </c>
      <c r="G8680" s="10">
        <f t="array" ref="G8680">index('Player ID'!C:C,match(E8680,'Player ID'!B:B,0))</f>
        <v>592773</v>
      </c>
    </row>
    <row r="8681">
      <c r="A8681" s="76">
        <v>45820.0</v>
      </c>
      <c r="B8681" s="1" t="s">
        <v>826</v>
      </c>
      <c r="C8681" s="1" t="s">
        <v>51</v>
      </c>
      <c r="D8681" s="1">
        <v>0.2</v>
      </c>
      <c r="E8681" s="1">
        <v>17169.0</v>
      </c>
      <c r="F8681" s="10">
        <f t="shared" si="1"/>
        <v>0.6666666667</v>
      </c>
      <c r="G8681" s="10">
        <f t="array" ref="G8681">index('Player ID'!C:C,match(E8681,'Player ID'!B:B,0))</f>
        <v>620454</v>
      </c>
    </row>
    <row r="8682">
      <c r="A8682" s="76">
        <v>45820.0</v>
      </c>
      <c r="B8682" s="1" t="s">
        <v>480</v>
      </c>
      <c r="C8682" s="1" t="s">
        <v>80</v>
      </c>
      <c r="D8682" s="1">
        <v>5.0</v>
      </c>
      <c r="E8682" s="1">
        <v>18383.0</v>
      </c>
      <c r="F8682" s="10">
        <f t="shared" si="1"/>
        <v>5</v>
      </c>
      <c r="G8682" s="10">
        <f t="array" ref="G8682">index('Player ID'!C:C,match(E8682,'Player ID'!B:B,0))</f>
        <v>647336</v>
      </c>
    </row>
    <row r="8683">
      <c r="A8683" s="76">
        <v>45820.0</v>
      </c>
      <c r="B8683" s="1" t="s">
        <v>508</v>
      </c>
      <c r="C8683" s="1" t="s">
        <v>80</v>
      </c>
      <c r="D8683" s="1">
        <v>2.0</v>
      </c>
      <c r="E8683" s="1">
        <v>23135.0</v>
      </c>
      <c r="F8683" s="10">
        <f t="shared" si="1"/>
        <v>2</v>
      </c>
      <c r="G8683" s="10">
        <f t="array" ref="G8683">index('Player ID'!C:C,match(E8683,'Player ID'!B:B,0))</f>
        <v>674285</v>
      </c>
    </row>
    <row r="8684">
      <c r="A8684" s="76">
        <v>45820.0</v>
      </c>
      <c r="B8684" s="1" t="s">
        <v>818</v>
      </c>
      <c r="C8684" s="1" t="s">
        <v>80</v>
      </c>
      <c r="D8684" s="1">
        <v>1.0</v>
      </c>
      <c r="E8684" s="1">
        <v>27783.0</v>
      </c>
      <c r="F8684" s="10">
        <f t="shared" si="1"/>
        <v>1</v>
      </c>
      <c r="G8684" s="10">
        <f t="array" ref="G8684">index('Player ID'!C:C,match(E8684,'Player ID'!B:B,0))</f>
        <v>694350</v>
      </c>
    </row>
    <row r="8685">
      <c r="A8685" s="76">
        <v>45820.0</v>
      </c>
      <c r="B8685" s="1" t="s">
        <v>461</v>
      </c>
      <c r="C8685" s="1" t="s">
        <v>51</v>
      </c>
      <c r="D8685" s="1">
        <v>5.2</v>
      </c>
      <c r="E8685" s="1">
        <v>31838.0</v>
      </c>
      <c r="F8685" s="10">
        <f t="shared" si="1"/>
        <v>5.666666667</v>
      </c>
      <c r="G8685" s="10">
        <f t="array" ref="G8685">index('Player ID'!C:C,match(E8685,'Player ID'!B:B,0))</f>
        <v>673540</v>
      </c>
    </row>
    <row r="8686">
      <c r="A8686" s="76">
        <v>45820.0</v>
      </c>
      <c r="B8686" s="1" t="s">
        <v>481</v>
      </c>
      <c r="C8686" s="1" t="s">
        <v>75</v>
      </c>
      <c r="D8686" s="1">
        <v>4.0</v>
      </c>
      <c r="E8686" s="1">
        <v>15488.0</v>
      </c>
      <c r="F8686" s="10">
        <f t="shared" si="1"/>
        <v>4</v>
      </c>
      <c r="G8686" s="10">
        <f t="array" ref="G8686">index('Player ID'!C:C,match(E8686,'Player ID'!B:B,0))</f>
        <v>622608</v>
      </c>
    </row>
    <row r="8687">
      <c r="A8687" s="76">
        <v>45820.0</v>
      </c>
      <c r="B8687" s="1" t="s">
        <v>451</v>
      </c>
      <c r="C8687" s="1" t="s">
        <v>75</v>
      </c>
      <c r="D8687" s="1">
        <v>2.1</v>
      </c>
      <c r="E8687" s="1">
        <v>17556.0</v>
      </c>
      <c r="F8687" s="10">
        <f t="shared" si="1"/>
        <v>2.333333333</v>
      </c>
      <c r="G8687" s="10">
        <f t="array" ref="G8687">index('Player ID'!C:C,match(E8687,'Player ID'!B:B,0))</f>
        <v>623474</v>
      </c>
    </row>
    <row r="8688">
      <c r="A8688" s="76">
        <v>45820.0</v>
      </c>
      <c r="B8688" s="1" t="s">
        <v>403</v>
      </c>
      <c r="C8688" s="1" t="s">
        <v>31</v>
      </c>
      <c r="D8688" s="1">
        <v>1.0</v>
      </c>
      <c r="E8688" s="1">
        <v>20423.0</v>
      </c>
      <c r="F8688" s="10">
        <f t="shared" si="1"/>
        <v>1</v>
      </c>
      <c r="G8688" s="10">
        <f t="array" ref="G8688">index('Player ID'!C:C,match(E8688,'Player ID'!B:B,0))</f>
        <v>676254</v>
      </c>
    </row>
    <row r="8689">
      <c r="A8689" s="76">
        <v>45820.0</v>
      </c>
      <c r="B8689" s="1" t="s">
        <v>862</v>
      </c>
      <c r="C8689" s="1" t="s">
        <v>31</v>
      </c>
      <c r="D8689" s="1">
        <v>0.1</v>
      </c>
      <c r="E8689" s="1">
        <v>21481.0</v>
      </c>
      <c r="F8689" s="10">
        <f t="shared" si="1"/>
        <v>0.3333333333</v>
      </c>
      <c r="G8689" s="10" t="str">
        <f t="array" ref="G8689">index('Player ID'!C:C,match(E8689,'Player ID'!B:B,0))</f>
        <v>#N/A</v>
      </c>
    </row>
    <row r="8690">
      <c r="A8690" s="76">
        <v>45820.0</v>
      </c>
      <c r="B8690" s="1" t="s">
        <v>468</v>
      </c>
      <c r="C8690" s="1" t="s">
        <v>75</v>
      </c>
      <c r="D8690" s="1">
        <v>1.2</v>
      </c>
      <c r="E8690" s="1">
        <v>23237.0</v>
      </c>
      <c r="F8690" s="10">
        <f t="shared" si="1"/>
        <v>1.666666667</v>
      </c>
      <c r="G8690" s="10">
        <f t="array" ref="G8690">index('Player ID'!C:C,match(E8690,'Player ID'!B:B,0))</f>
        <v>675848</v>
      </c>
    </row>
    <row r="8691">
      <c r="A8691" s="76">
        <v>45820.0</v>
      </c>
      <c r="B8691" s="1" t="s">
        <v>654</v>
      </c>
      <c r="C8691" s="1" t="s">
        <v>31</v>
      </c>
      <c r="D8691" s="1">
        <v>0.2</v>
      </c>
      <c r="E8691" s="1">
        <v>23974.0</v>
      </c>
      <c r="F8691" s="10">
        <f t="shared" si="1"/>
        <v>0.6666666667</v>
      </c>
      <c r="G8691" s="10">
        <f t="array" ref="G8691">index('Player ID'!C:C,match(E8691,'Player ID'!B:B,0))</f>
        <v>678495</v>
      </c>
    </row>
    <row r="8692">
      <c r="A8692" s="76">
        <v>45820.0</v>
      </c>
      <c r="B8692" s="1" t="s">
        <v>655</v>
      </c>
      <c r="C8692" s="1" t="s">
        <v>31</v>
      </c>
      <c r="D8692" s="1">
        <v>0.2</v>
      </c>
      <c r="E8692" s="1">
        <v>26252.0</v>
      </c>
      <c r="F8692" s="10">
        <f t="shared" si="1"/>
        <v>0.6666666667</v>
      </c>
      <c r="G8692" s="10">
        <f t="array" ref="G8692">index('Player ID'!C:C,match(E8692,'Player ID'!B:B,0))</f>
        <v>669062</v>
      </c>
    </row>
    <row r="8693">
      <c r="A8693" s="76">
        <v>45820.0</v>
      </c>
      <c r="B8693" s="1" t="s">
        <v>514</v>
      </c>
      <c r="C8693" s="1" t="s">
        <v>31</v>
      </c>
      <c r="D8693" s="1">
        <v>6.0</v>
      </c>
      <c r="E8693" s="1">
        <v>31635.0</v>
      </c>
      <c r="F8693" s="10">
        <f t="shared" si="1"/>
        <v>6</v>
      </c>
      <c r="G8693" s="10">
        <f t="array" ref="G8693">index('Player ID'!C:C,match(E8693,'Player ID'!B:B,0))</f>
        <v>806185</v>
      </c>
    </row>
    <row r="8694">
      <c r="A8694" s="76">
        <v>45820.0</v>
      </c>
      <c r="B8694" s="1" t="s">
        <v>488</v>
      </c>
      <c r="C8694" s="1" t="s">
        <v>75</v>
      </c>
      <c r="D8694" s="1">
        <v>1.0</v>
      </c>
      <c r="E8694" s="1">
        <v>33294.0</v>
      </c>
      <c r="F8694" s="10">
        <f t="shared" si="1"/>
        <v>1</v>
      </c>
      <c r="G8694" s="10">
        <f t="array" ref="G8694">index('Player ID'!C:C,match(E8694,'Player ID'!B:B,0))</f>
        <v>678020</v>
      </c>
    </row>
    <row r="8695">
      <c r="A8695" s="76">
        <v>45820.0</v>
      </c>
      <c r="B8695" s="1" t="s">
        <v>439</v>
      </c>
      <c r="C8695" s="1" t="s">
        <v>62</v>
      </c>
      <c r="D8695" s="1">
        <v>1.0</v>
      </c>
      <c r="E8695" s="1">
        <v>11384.0</v>
      </c>
      <c r="F8695" s="10">
        <f t="shared" si="1"/>
        <v>1</v>
      </c>
      <c r="G8695" s="10">
        <f t="array" ref="G8695">index('Player ID'!C:C,match(E8695,'Player ID'!B:B,0))</f>
        <v>592454</v>
      </c>
    </row>
    <row r="8696">
      <c r="A8696" s="76">
        <v>45820.0</v>
      </c>
      <c r="B8696" s="1" t="s">
        <v>48</v>
      </c>
      <c r="C8696" s="1" t="s">
        <v>68</v>
      </c>
      <c r="D8696" s="1">
        <v>1.0</v>
      </c>
      <c r="E8696" s="1">
        <v>12828.0</v>
      </c>
      <c r="F8696" s="10">
        <f t="shared" si="1"/>
        <v>1</v>
      </c>
      <c r="G8696" s="10" t="str">
        <f t="array" ref="G8696">index('Player ID'!C:C,match(E8696,'Player ID'!B:B,0))</f>
        <v>#N/A</v>
      </c>
    </row>
    <row r="8697">
      <c r="A8697" s="76">
        <v>45820.0</v>
      </c>
      <c r="B8697" s="1" t="s">
        <v>294</v>
      </c>
      <c r="C8697" s="1" t="s">
        <v>68</v>
      </c>
      <c r="D8697" s="1">
        <v>7.0</v>
      </c>
      <c r="E8697" s="1">
        <v>19350.0</v>
      </c>
      <c r="F8697" s="10">
        <f t="shared" si="1"/>
        <v>7</v>
      </c>
      <c r="G8697" s="10">
        <f t="array" ref="G8697">index('Player ID'!C:C,match(E8697,'Player ID'!B:B,0))</f>
        <v>665152</v>
      </c>
    </row>
    <row r="8698">
      <c r="A8698" s="76">
        <v>45820.0</v>
      </c>
      <c r="B8698" s="1" t="s">
        <v>231</v>
      </c>
      <c r="C8698" s="1" t="s">
        <v>68</v>
      </c>
      <c r="D8698" s="1">
        <v>1.0</v>
      </c>
      <c r="E8698" s="1">
        <v>19362.0</v>
      </c>
      <c r="F8698" s="10">
        <f t="shared" si="1"/>
        <v>1</v>
      </c>
      <c r="G8698" s="10">
        <f t="array" ref="G8698">index('Player ID'!C:C,match(E8698,'Player ID'!B:B,0))</f>
        <v>669211</v>
      </c>
    </row>
    <row r="8699">
      <c r="A8699" s="76">
        <v>45820.0</v>
      </c>
      <c r="B8699" s="1" t="s">
        <v>131</v>
      </c>
      <c r="C8699" s="1" t="s">
        <v>62</v>
      </c>
      <c r="D8699" s="1">
        <v>1.0</v>
      </c>
      <c r="E8699" s="1">
        <v>19769.0</v>
      </c>
      <c r="F8699" s="10">
        <f t="shared" si="1"/>
        <v>1</v>
      </c>
      <c r="G8699" s="10">
        <f t="array" ref="G8699">index('Player ID'!C:C,match(E8699,'Player ID'!B:B,0))</f>
        <v>676684</v>
      </c>
    </row>
    <row r="8700">
      <c r="A8700" s="76">
        <v>45820.0</v>
      </c>
      <c r="B8700" s="1" t="s">
        <v>84</v>
      </c>
      <c r="C8700" s="1" t="s">
        <v>62</v>
      </c>
      <c r="D8700" s="1">
        <v>7.0</v>
      </c>
      <c r="E8700" s="1">
        <v>22267.0</v>
      </c>
      <c r="F8700" s="10">
        <f t="shared" si="1"/>
        <v>7</v>
      </c>
      <c r="G8700" s="10">
        <f t="array" ref="G8700">index('Player ID'!C:C,match(E8700,'Player ID'!B:B,0))</f>
        <v>669373</v>
      </c>
    </row>
    <row r="8701">
      <c r="A8701" s="76">
        <v>45820.0</v>
      </c>
      <c r="B8701" s="1" t="s">
        <v>95</v>
      </c>
      <c r="C8701" s="1" t="s">
        <v>72</v>
      </c>
      <c r="D8701" s="1">
        <v>4.1</v>
      </c>
      <c r="E8701" s="1">
        <v>12768.0</v>
      </c>
      <c r="F8701" s="10">
        <f t="shared" si="1"/>
        <v>4.333333333</v>
      </c>
      <c r="G8701" s="10">
        <f t="array" ref="G8701">index('Player ID'!C:C,match(E8701,'Player ID'!B:B,0))</f>
        <v>543243</v>
      </c>
    </row>
    <row r="8702">
      <c r="A8702" s="76">
        <v>45820.0</v>
      </c>
      <c r="B8702" s="1" t="s">
        <v>273</v>
      </c>
      <c r="C8702" s="1" t="s">
        <v>72</v>
      </c>
      <c r="D8702" s="1">
        <v>1.0</v>
      </c>
      <c r="E8702" s="1">
        <v>22051.0</v>
      </c>
      <c r="F8702" s="10">
        <f t="shared" si="1"/>
        <v>1</v>
      </c>
      <c r="G8702" s="10">
        <f t="array" ref="G8702">index('Player ID'!C:C,match(E8702,'Player ID'!B:B,0))</f>
        <v>667463</v>
      </c>
    </row>
    <row r="8703">
      <c r="A8703" s="76">
        <v>45820.0</v>
      </c>
      <c r="B8703" s="1" t="s">
        <v>200</v>
      </c>
      <c r="C8703" s="1" t="s">
        <v>14</v>
      </c>
      <c r="D8703" s="1">
        <v>3.0</v>
      </c>
      <c r="E8703" s="1">
        <v>23550.0</v>
      </c>
      <c r="F8703" s="10">
        <f t="shared" si="1"/>
        <v>3</v>
      </c>
      <c r="G8703" s="10" t="str">
        <f t="array" ref="G8703">index('Player ID'!C:C,match(E8703,'Player ID'!B:B,0))</f>
        <v>#N/A</v>
      </c>
    </row>
    <row r="8704">
      <c r="A8704" s="76">
        <v>45820.0</v>
      </c>
      <c r="B8704" s="1" t="s">
        <v>112</v>
      </c>
      <c r="C8704" s="1" t="s">
        <v>14</v>
      </c>
      <c r="D8704" s="1">
        <v>1.0</v>
      </c>
      <c r="E8704" s="1">
        <v>25376.0</v>
      </c>
      <c r="F8704" s="10">
        <f t="shared" si="1"/>
        <v>1</v>
      </c>
      <c r="G8704" s="10">
        <f t="array" ref="G8704">index('Player ID'!C:C,match(E8704,'Player ID'!B:B,0))</f>
        <v>683232</v>
      </c>
    </row>
    <row r="8705">
      <c r="A8705" s="76">
        <v>45820.0</v>
      </c>
      <c r="B8705" s="1" t="s">
        <v>875</v>
      </c>
      <c r="C8705" s="1" t="s">
        <v>72</v>
      </c>
      <c r="D8705" s="1">
        <v>2.2</v>
      </c>
      <c r="E8705" s="1">
        <v>29542.0</v>
      </c>
      <c r="F8705" s="10">
        <f t="shared" si="1"/>
        <v>2.666666667</v>
      </c>
      <c r="G8705" s="10" t="str">
        <f t="array" ref="G8705">index('Player ID'!C:C,match(E8705,'Player ID'!B:B,0))</f>
        <v>#N/A</v>
      </c>
    </row>
    <row r="8706">
      <c r="A8706" s="76">
        <v>45820.0</v>
      </c>
      <c r="B8706" s="1" t="s">
        <v>188</v>
      </c>
      <c r="C8706" s="1" t="s">
        <v>14</v>
      </c>
      <c r="D8706" s="1">
        <v>5.0</v>
      </c>
      <c r="E8706" s="1">
        <v>31623.0</v>
      </c>
      <c r="F8706" s="10">
        <f t="shared" si="1"/>
        <v>5</v>
      </c>
      <c r="G8706" s="10">
        <f t="array" ref="G8706">index('Player ID'!C:C,match(E8706,'Player ID'!B:B,0))</f>
        <v>694819</v>
      </c>
    </row>
    <row r="8707">
      <c r="A8707" s="76">
        <v>45820.0</v>
      </c>
      <c r="B8707" s="1" t="s">
        <v>452</v>
      </c>
      <c r="C8707" s="1" t="s">
        <v>29</v>
      </c>
      <c r="D8707" s="1">
        <v>5.2</v>
      </c>
      <c r="E8707" s="1">
        <v>12447.0</v>
      </c>
      <c r="F8707" s="10">
        <f t="shared" si="1"/>
        <v>5.666666667</v>
      </c>
      <c r="G8707" s="10">
        <f t="array" ref="G8707">index('Player ID'!C:C,match(E8707,'Player ID'!B:B,0))</f>
        <v>607625</v>
      </c>
    </row>
    <row r="8708">
      <c r="A8708" s="76">
        <v>45820.0</v>
      </c>
      <c r="B8708" s="1" t="s">
        <v>467</v>
      </c>
      <c r="C8708" s="1" t="s">
        <v>58</v>
      </c>
      <c r="D8708" s="1">
        <v>0.1</v>
      </c>
      <c r="E8708" s="1">
        <v>15551.0</v>
      </c>
      <c r="F8708" s="10">
        <f t="shared" si="1"/>
        <v>0.3333333333</v>
      </c>
      <c r="G8708" s="10">
        <f t="array" ref="G8708">index('Player ID'!C:C,match(E8708,'Player ID'!B:B,0))</f>
        <v>643410</v>
      </c>
    </row>
    <row r="8709">
      <c r="A8709" s="76">
        <v>45820.0</v>
      </c>
      <c r="B8709" s="1" t="s">
        <v>114</v>
      </c>
      <c r="C8709" s="1" t="s">
        <v>58</v>
      </c>
      <c r="D8709" s="1">
        <v>1.0</v>
      </c>
      <c r="E8709" s="1">
        <v>15816.0</v>
      </c>
      <c r="F8709" s="10">
        <f t="shared" si="1"/>
        <v>1</v>
      </c>
      <c r="G8709" s="10">
        <f t="array" ref="G8709">index('Player ID'!C:C,match(E8709,'Player ID'!B:B,0))</f>
        <v>642207</v>
      </c>
    </row>
    <row r="8710">
      <c r="A8710" s="76">
        <v>45820.0</v>
      </c>
      <c r="B8710" s="1" t="s">
        <v>69</v>
      </c>
      <c r="C8710" s="1" t="s">
        <v>58</v>
      </c>
      <c r="D8710" s="1">
        <v>1.0</v>
      </c>
      <c r="E8710" s="1">
        <v>16814.0</v>
      </c>
      <c r="F8710" s="10">
        <f t="shared" si="1"/>
        <v>1</v>
      </c>
      <c r="G8710" s="10">
        <f t="array" ref="G8710">index('Player ID'!C:C,match(E8710,'Player ID'!B:B,0))</f>
        <v>657612</v>
      </c>
    </row>
    <row r="8711">
      <c r="A8711" s="76">
        <v>45820.0</v>
      </c>
      <c r="B8711" s="1" t="s">
        <v>407</v>
      </c>
      <c r="C8711" s="1" t="s">
        <v>29</v>
      </c>
      <c r="D8711" s="1">
        <v>1.0</v>
      </c>
      <c r="E8711" s="1">
        <v>19360.0</v>
      </c>
      <c r="F8711" s="10">
        <f t="shared" si="1"/>
        <v>1</v>
      </c>
      <c r="G8711" s="10">
        <f t="array" ref="G8711">index('Player ID'!C:C,match(E8711,'Player ID'!B:B,0))</f>
        <v>668674</v>
      </c>
    </row>
    <row r="8712">
      <c r="A8712" s="76">
        <v>45820.0</v>
      </c>
      <c r="B8712" s="1" t="s">
        <v>831</v>
      </c>
      <c r="C8712" s="1" t="s">
        <v>58</v>
      </c>
      <c r="D8712" s="1">
        <v>1.0</v>
      </c>
      <c r="E8712" s="1">
        <v>19753.0</v>
      </c>
      <c r="F8712" s="10">
        <f t="shared" si="1"/>
        <v>1</v>
      </c>
      <c r="G8712" s="10">
        <f t="array" ref="G8712">index('Player ID'!C:C,match(E8712,'Player ID'!B:B,0))</f>
        <v>642528</v>
      </c>
    </row>
    <row r="8713">
      <c r="A8713" s="76">
        <v>45820.0</v>
      </c>
      <c r="B8713" s="1" t="s">
        <v>144</v>
      </c>
      <c r="C8713" s="1" t="s">
        <v>29</v>
      </c>
      <c r="D8713" s="1">
        <v>1.0</v>
      </c>
      <c r="E8713" s="1">
        <v>20020.0</v>
      </c>
      <c r="F8713" s="10">
        <f t="shared" si="1"/>
        <v>1</v>
      </c>
      <c r="G8713" s="10">
        <f t="array" ref="G8713">index('Player ID'!C:C,match(E8713,'Player ID'!B:B,0))</f>
        <v>670167</v>
      </c>
    </row>
    <row r="8714">
      <c r="A8714" s="76">
        <v>45820.0</v>
      </c>
      <c r="B8714" s="1" t="s">
        <v>140</v>
      </c>
      <c r="C8714" s="1" t="s">
        <v>29</v>
      </c>
      <c r="D8714" s="1">
        <v>1.1</v>
      </c>
      <c r="E8714" s="1">
        <v>22717.0</v>
      </c>
      <c r="F8714" s="10">
        <f t="shared" si="1"/>
        <v>1.333333333</v>
      </c>
      <c r="G8714" s="10">
        <f t="array" ref="G8714">index('Player ID'!C:C,match(E8714,'Player ID'!B:B,0))</f>
        <v>672582</v>
      </c>
    </row>
    <row r="8715">
      <c r="A8715" s="76">
        <v>45820.0</v>
      </c>
      <c r="B8715" s="1" t="s">
        <v>344</v>
      </c>
      <c r="C8715" s="1" t="s">
        <v>58</v>
      </c>
      <c r="D8715" s="1">
        <v>5.2</v>
      </c>
      <c r="E8715" s="1">
        <v>30182.0</v>
      </c>
      <c r="F8715" s="10">
        <f t="shared" si="1"/>
        <v>5.666666667</v>
      </c>
      <c r="G8715" s="10">
        <f t="array" ref="G8715">index('Player ID'!C:C,match(E8715,'Player ID'!B:B,0))</f>
        <v>701542</v>
      </c>
    </row>
    <row r="8716">
      <c r="A8716" s="76">
        <v>45820.0</v>
      </c>
      <c r="B8716" s="1" t="s">
        <v>460</v>
      </c>
      <c r="C8716" s="1" t="s">
        <v>34</v>
      </c>
      <c r="D8716" s="1">
        <v>1.0</v>
      </c>
      <c r="E8716" s="1">
        <v>7005.0</v>
      </c>
      <c r="F8716" s="10">
        <f t="shared" si="1"/>
        <v>1</v>
      </c>
      <c r="G8716" s="10">
        <f t="array" ref="G8716">index('Player ID'!C:C,match(E8716,'Player ID'!B:B,0))</f>
        <v>519151</v>
      </c>
    </row>
    <row r="8717">
      <c r="A8717" s="76">
        <v>45820.0</v>
      </c>
      <c r="B8717" s="1" t="s">
        <v>99</v>
      </c>
      <c r="C8717" s="1" t="s">
        <v>34</v>
      </c>
      <c r="D8717" s="1">
        <v>6.1</v>
      </c>
      <c r="E8717" s="1">
        <v>11674.0</v>
      </c>
      <c r="F8717" s="10">
        <f t="shared" si="1"/>
        <v>6.333333333</v>
      </c>
      <c r="G8717" s="10">
        <f t="array" ref="G8717">index('Player ID'!C:C,match(E8717,'Player ID'!B:B,0))</f>
        <v>592791</v>
      </c>
    </row>
    <row r="8718">
      <c r="A8718" s="76">
        <v>45820.0</v>
      </c>
      <c r="B8718" s="1" t="s">
        <v>256</v>
      </c>
      <c r="C8718" s="1" t="s">
        <v>60</v>
      </c>
      <c r="D8718" s="1">
        <v>6.0</v>
      </c>
      <c r="E8718" s="1">
        <v>15423.0</v>
      </c>
      <c r="F8718" s="10">
        <f t="shared" si="1"/>
        <v>6</v>
      </c>
      <c r="G8718" s="10">
        <f t="array" ref="G8718">index('Player ID'!C:C,match(E8718,'Player ID'!B:B,0))</f>
        <v>571760</v>
      </c>
    </row>
    <row r="8719">
      <c r="A8719" s="76">
        <v>45820.0</v>
      </c>
      <c r="B8719" s="1" t="s">
        <v>297</v>
      </c>
      <c r="C8719" s="1" t="s">
        <v>34</v>
      </c>
      <c r="D8719" s="1">
        <v>0.2</v>
      </c>
      <c r="E8719" s="1">
        <v>15734.0</v>
      </c>
      <c r="F8719" s="10">
        <f t="shared" si="1"/>
        <v>0.6666666667</v>
      </c>
      <c r="G8719" s="10">
        <f t="array" ref="G8719">index('Player ID'!C:C,match(E8719,'Player ID'!B:B,0))</f>
        <v>641745</v>
      </c>
    </row>
    <row r="8720">
      <c r="A8720" s="76">
        <v>45820.0</v>
      </c>
      <c r="B8720" s="1" t="s">
        <v>443</v>
      </c>
      <c r="C8720" s="1" t="s">
        <v>60</v>
      </c>
      <c r="D8720" s="1">
        <v>0.1</v>
      </c>
      <c r="E8720" s="1">
        <v>16350.0</v>
      </c>
      <c r="F8720" s="10">
        <f t="shared" si="1"/>
        <v>0.3333333333</v>
      </c>
      <c r="G8720" s="10">
        <f t="array" ref="G8720">index('Player ID'!C:C,match(E8720,'Player ID'!B:B,0))</f>
        <v>621366</v>
      </c>
    </row>
    <row r="8721">
      <c r="A8721" s="76">
        <v>45820.0</v>
      </c>
      <c r="B8721" s="1" t="s">
        <v>338</v>
      </c>
      <c r="C8721" s="1" t="s">
        <v>60</v>
      </c>
      <c r="D8721" s="1">
        <v>1.2</v>
      </c>
      <c r="E8721" s="1">
        <v>20385.0</v>
      </c>
      <c r="F8721" s="10">
        <f t="shared" si="1"/>
        <v>1.666666667</v>
      </c>
      <c r="G8721" s="10" t="str">
        <f t="array" ref="G8721">index('Player ID'!C:C,match(E8721,'Player ID'!B:B,0))</f>
        <v>#N/A</v>
      </c>
    </row>
    <row r="8722">
      <c r="A8722" s="76">
        <v>45820.0</v>
      </c>
      <c r="B8722" s="1" t="s">
        <v>167</v>
      </c>
      <c r="C8722" s="1" t="s">
        <v>34</v>
      </c>
      <c r="D8722" s="1">
        <v>1.0</v>
      </c>
      <c r="E8722" s="1">
        <v>27914.0</v>
      </c>
      <c r="F8722" s="10">
        <f t="shared" si="1"/>
        <v>1</v>
      </c>
      <c r="G8722" s="10">
        <f t="array" ref="G8722">index('Player ID'!C:C,match(E8722,'Player ID'!B:B,0))</f>
        <v>694037</v>
      </c>
    </row>
    <row r="8723">
      <c r="A8723" s="76">
        <v>45820.0</v>
      </c>
      <c r="B8723" s="1" t="s">
        <v>59</v>
      </c>
      <c r="C8723" s="1" t="s">
        <v>39</v>
      </c>
      <c r="D8723" s="1">
        <v>1.0</v>
      </c>
      <c r="E8723" s="1">
        <v>14212.0</v>
      </c>
      <c r="F8723" s="10">
        <f t="shared" si="1"/>
        <v>1</v>
      </c>
      <c r="G8723" s="10">
        <f t="array" ref="G8723">index('Player ID'!C:C,match(E8723,'Player ID'!B:B,0))</f>
        <v>623352</v>
      </c>
    </row>
    <row r="8724">
      <c r="A8724" s="76">
        <v>45820.0</v>
      </c>
      <c r="B8724" s="1" t="s">
        <v>851</v>
      </c>
      <c r="C8724" s="1" t="s">
        <v>78</v>
      </c>
      <c r="D8724" s="1">
        <v>1.0</v>
      </c>
      <c r="E8724" s="1">
        <v>16507.0</v>
      </c>
      <c r="F8724" s="10">
        <f t="shared" si="1"/>
        <v>1</v>
      </c>
      <c r="G8724" s="10" t="str">
        <f t="array" ref="G8724">index('Player ID'!C:C,match(E8724,'Player ID'!B:B,0))</f>
        <v>#N/A</v>
      </c>
    </row>
    <row r="8725">
      <c r="A8725" s="76">
        <v>45820.0</v>
      </c>
      <c r="B8725" s="1" t="s">
        <v>210</v>
      </c>
      <c r="C8725" s="1" t="s">
        <v>39</v>
      </c>
      <c r="D8725" s="1">
        <v>1.0</v>
      </c>
      <c r="E8725" s="1">
        <v>16609.0</v>
      </c>
      <c r="F8725" s="10">
        <f t="shared" si="1"/>
        <v>1</v>
      </c>
      <c r="G8725" s="10">
        <f t="array" ref="G8725">index('Player ID'!C:C,match(E8725,'Player ID'!B:B,0))</f>
        <v>650556</v>
      </c>
    </row>
    <row r="8726">
      <c r="A8726" s="76">
        <v>45820.0</v>
      </c>
      <c r="B8726" s="1" t="s">
        <v>113</v>
      </c>
      <c r="C8726" s="1" t="s">
        <v>39</v>
      </c>
      <c r="D8726" s="1">
        <v>5.0</v>
      </c>
      <c r="E8726" s="1">
        <v>17295.0</v>
      </c>
      <c r="F8726" s="10">
        <f t="shared" si="1"/>
        <v>5</v>
      </c>
      <c r="G8726" s="10">
        <f t="array" ref="G8726">index('Player ID'!C:C,match(E8726,'Player ID'!B:B,0))</f>
        <v>664285</v>
      </c>
    </row>
    <row r="8727">
      <c r="A8727" s="76">
        <v>45820.0</v>
      </c>
      <c r="B8727" s="1" t="s">
        <v>335</v>
      </c>
      <c r="C8727" s="1" t="s">
        <v>78</v>
      </c>
      <c r="D8727" s="1">
        <v>6.0</v>
      </c>
      <c r="E8727" s="1">
        <v>21448.0</v>
      </c>
      <c r="F8727" s="10">
        <f t="shared" si="1"/>
        <v>6</v>
      </c>
      <c r="G8727" s="10">
        <f t="array" ref="G8727">index('Player ID'!C:C,match(E8727,'Player ID'!B:B,0))</f>
        <v>663436</v>
      </c>
    </row>
    <row r="8728">
      <c r="A8728" s="76">
        <v>45820.0</v>
      </c>
      <c r="B8728" s="1" t="s">
        <v>444</v>
      </c>
      <c r="C8728" s="1" t="s">
        <v>39</v>
      </c>
      <c r="D8728" s="1">
        <v>1.0</v>
      </c>
      <c r="E8728" s="1">
        <v>24977.0</v>
      </c>
      <c r="F8728" s="10">
        <f t="shared" si="1"/>
        <v>1</v>
      </c>
      <c r="G8728" s="10">
        <f t="array" ref="G8728">index('Player ID'!C:C,match(E8728,'Player ID'!B:B,0))</f>
        <v>681869</v>
      </c>
    </row>
    <row r="8729">
      <c r="A8729" s="76">
        <v>45820.0</v>
      </c>
      <c r="B8729" s="1" t="s">
        <v>76</v>
      </c>
      <c r="C8729" s="1" t="s">
        <v>39</v>
      </c>
      <c r="D8729" s="1">
        <v>1.0</v>
      </c>
      <c r="E8729" s="1">
        <v>25890.0</v>
      </c>
      <c r="F8729" s="10">
        <f t="shared" si="1"/>
        <v>1</v>
      </c>
      <c r="G8729" s="10">
        <f t="array" ref="G8729">index('Player ID'!C:C,match(E8729,'Player ID'!B:B,0))</f>
        <v>687911</v>
      </c>
    </row>
    <row r="8730">
      <c r="A8730" s="76">
        <v>45820.0</v>
      </c>
      <c r="B8730" s="1" t="s">
        <v>106</v>
      </c>
      <c r="C8730" s="1" t="s">
        <v>78</v>
      </c>
      <c r="D8730" s="1">
        <v>1.0</v>
      </c>
      <c r="E8730" s="1">
        <v>33927.0</v>
      </c>
      <c r="F8730" s="10">
        <f t="shared" si="1"/>
        <v>1</v>
      </c>
      <c r="G8730" s="10" t="str">
        <f t="array" ref="G8730">index('Player ID'!C:C,match(E8730,'Player ID'!B:B,0))</f>
        <v>#N/A</v>
      </c>
    </row>
    <row r="8731">
      <c r="A8731" s="76">
        <v>45821.0</v>
      </c>
      <c r="B8731" s="1" t="s">
        <v>629</v>
      </c>
      <c r="C8731" s="1" t="s">
        <v>34</v>
      </c>
      <c r="D8731" s="1">
        <v>1.0</v>
      </c>
      <c r="E8731" s="1">
        <v>5615.0</v>
      </c>
      <c r="F8731" s="10">
        <f t="shared" si="1"/>
        <v>1</v>
      </c>
      <c r="G8731" s="10">
        <f t="array" ref="G8731">index('Player ID'!C:C,match(E8731,'Player ID'!B:B,0))</f>
        <v>518489</v>
      </c>
    </row>
    <row r="8732">
      <c r="A8732" s="76">
        <v>45821.0</v>
      </c>
      <c r="B8732" s="1" t="s">
        <v>71</v>
      </c>
      <c r="C8732" s="1" t="s">
        <v>34</v>
      </c>
      <c r="D8732" s="1">
        <v>0.1</v>
      </c>
      <c r="E8732" s="1">
        <v>10078.0</v>
      </c>
      <c r="F8732" s="10">
        <f t="shared" si="1"/>
        <v>0.3333333333</v>
      </c>
      <c r="G8732" s="10">
        <f t="array" ref="G8732">index('Player ID'!C:C,match(E8732,'Player ID'!B:B,0))</f>
        <v>573204</v>
      </c>
    </row>
    <row r="8733">
      <c r="A8733" s="76">
        <v>45821.0</v>
      </c>
      <c r="B8733" s="1" t="s">
        <v>203</v>
      </c>
      <c r="C8733" s="1" t="s">
        <v>34</v>
      </c>
      <c r="D8733" s="1">
        <v>1.0</v>
      </c>
      <c r="E8733" s="1">
        <v>11426.0</v>
      </c>
      <c r="F8733" s="10">
        <f t="shared" si="1"/>
        <v>1</v>
      </c>
      <c r="G8733" s="10">
        <f t="array" ref="G8733">index('Player ID'!C:C,match(E8733,'Player ID'!B:B,0))</f>
        <v>519141</v>
      </c>
    </row>
    <row r="8734">
      <c r="A8734" s="76">
        <v>45821.0</v>
      </c>
      <c r="B8734" s="1" t="s">
        <v>297</v>
      </c>
      <c r="C8734" s="1" t="s">
        <v>34</v>
      </c>
      <c r="D8734" s="1">
        <v>1.0</v>
      </c>
      <c r="E8734" s="1">
        <v>15734.0</v>
      </c>
      <c r="F8734" s="10">
        <f t="shared" si="1"/>
        <v>1</v>
      </c>
      <c r="G8734" s="10">
        <f t="array" ref="G8734">index('Player ID'!C:C,match(E8734,'Player ID'!B:B,0))</f>
        <v>641745</v>
      </c>
    </row>
    <row r="8735">
      <c r="A8735" s="76">
        <v>45821.0</v>
      </c>
      <c r="B8735" s="1" t="s">
        <v>217</v>
      </c>
      <c r="C8735" s="1" t="s">
        <v>60</v>
      </c>
      <c r="D8735" s="1">
        <v>1.2</v>
      </c>
      <c r="E8735" s="1">
        <v>17878.0</v>
      </c>
      <c r="F8735" s="10">
        <f t="shared" si="1"/>
        <v>1.666666667</v>
      </c>
      <c r="G8735" s="10">
        <f t="array" ref="G8735">index('Player ID'!C:C,match(E8735,'Player ID'!B:B,0))</f>
        <v>642701</v>
      </c>
    </row>
    <row r="8736">
      <c r="A8736" s="76">
        <v>45821.0</v>
      </c>
      <c r="B8736" s="1" t="s">
        <v>107</v>
      </c>
      <c r="C8736" s="1" t="s">
        <v>60</v>
      </c>
      <c r="D8736" s="1">
        <v>0.1</v>
      </c>
      <c r="E8736" s="1">
        <v>19349.0</v>
      </c>
      <c r="F8736" s="10">
        <f t="shared" si="1"/>
        <v>0.3333333333</v>
      </c>
      <c r="G8736" s="10">
        <f t="array" ref="G8736">index('Player ID'!C:C,match(E8736,'Player ID'!B:B,0))</f>
        <v>657571</v>
      </c>
    </row>
    <row r="8737">
      <c r="A8737" s="76">
        <v>45821.0</v>
      </c>
      <c r="B8737" s="1" t="s">
        <v>183</v>
      </c>
      <c r="C8737" s="1" t="s">
        <v>60</v>
      </c>
      <c r="D8737" s="1">
        <v>1.0</v>
      </c>
      <c r="E8737" s="1">
        <v>19569.0</v>
      </c>
      <c r="F8737" s="10">
        <f t="shared" si="1"/>
        <v>1</v>
      </c>
      <c r="G8737" s="10">
        <f t="array" ref="G8737">index('Player ID'!C:C,match(E8737,'Player ID'!B:B,0))</f>
        <v>670280</v>
      </c>
    </row>
    <row r="8738">
      <c r="A8738" s="76">
        <v>45821.0</v>
      </c>
      <c r="B8738" s="1" t="s">
        <v>267</v>
      </c>
      <c r="C8738" s="1" t="s">
        <v>60</v>
      </c>
      <c r="D8738" s="1">
        <v>2.0</v>
      </c>
      <c r="E8738" s="1">
        <v>27572.0</v>
      </c>
      <c r="F8738" s="10">
        <f t="shared" si="1"/>
        <v>2</v>
      </c>
      <c r="G8738" s="10">
        <f t="array" ref="G8738">index('Player ID'!C:C,match(E8738,'Player ID'!B:B,0))</f>
        <v>669387</v>
      </c>
    </row>
    <row r="8739">
      <c r="A8739" s="76">
        <v>45821.0</v>
      </c>
      <c r="B8739" s="1" t="s">
        <v>167</v>
      </c>
      <c r="C8739" s="1" t="s">
        <v>34</v>
      </c>
      <c r="D8739" s="1">
        <v>1.0</v>
      </c>
      <c r="E8739" s="1">
        <v>27914.0</v>
      </c>
      <c r="F8739" s="10">
        <f t="shared" si="1"/>
        <v>1</v>
      </c>
      <c r="G8739" s="10">
        <f t="array" ref="G8739">index('Player ID'!C:C,match(E8739,'Player ID'!B:B,0))</f>
        <v>694037</v>
      </c>
    </row>
    <row r="8740">
      <c r="A8740" s="76">
        <v>45821.0</v>
      </c>
      <c r="B8740" s="1" t="s">
        <v>434</v>
      </c>
      <c r="C8740" s="1" t="s">
        <v>34</v>
      </c>
      <c r="D8740" s="1">
        <v>5.2</v>
      </c>
      <c r="E8740" s="1">
        <v>31872.0</v>
      </c>
      <c r="F8740" s="10">
        <f t="shared" si="1"/>
        <v>5.666666667</v>
      </c>
      <c r="G8740" s="10">
        <f t="array" ref="G8740">index('Player ID'!C:C,match(E8740,'Player ID'!B:B,0))</f>
        <v>690990</v>
      </c>
    </row>
    <row r="8741">
      <c r="A8741" s="76">
        <v>45821.0</v>
      </c>
      <c r="B8741" s="1" t="s">
        <v>88</v>
      </c>
      <c r="C8741" s="1" t="s">
        <v>60</v>
      </c>
      <c r="D8741" s="1">
        <v>5.0</v>
      </c>
      <c r="E8741" s="1">
        <v>33677.0</v>
      </c>
      <c r="F8741" s="10">
        <f t="shared" si="1"/>
        <v>5</v>
      </c>
      <c r="G8741" s="10">
        <f t="array" ref="G8741">index('Player ID'!C:C,match(E8741,'Player ID'!B:B,0))</f>
        <v>694973</v>
      </c>
    </row>
    <row r="8742">
      <c r="A8742" s="76">
        <v>45821.0</v>
      </c>
      <c r="B8742" s="1" t="s">
        <v>453</v>
      </c>
      <c r="C8742" s="1" t="s">
        <v>45</v>
      </c>
      <c r="D8742" s="1">
        <v>1.0</v>
      </c>
      <c r="E8742" s="1">
        <v>11836.0</v>
      </c>
      <c r="F8742" s="10">
        <f t="shared" si="1"/>
        <v>1</v>
      </c>
      <c r="G8742" s="10">
        <f t="array" ref="G8742">index('Player ID'!C:C,match(E8742,'Player ID'!B:B,0))</f>
        <v>592836</v>
      </c>
    </row>
    <row r="8743">
      <c r="A8743" s="76">
        <v>45821.0</v>
      </c>
      <c r="B8743" s="1" t="s">
        <v>360</v>
      </c>
      <c r="C8743" s="1" t="s">
        <v>45</v>
      </c>
      <c r="D8743" s="1">
        <v>1.0</v>
      </c>
      <c r="E8743" s="1">
        <v>12972.0</v>
      </c>
      <c r="F8743" s="10">
        <f t="shared" si="1"/>
        <v>1</v>
      </c>
      <c r="G8743" s="10">
        <f t="array" ref="G8743">index('Player ID'!C:C,match(E8743,'Player ID'!B:B,0))</f>
        <v>605452</v>
      </c>
    </row>
    <row r="8744">
      <c r="A8744" s="76">
        <v>45821.0</v>
      </c>
      <c r="B8744" s="1" t="s">
        <v>155</v>
      </c>
      <c r="C8744" s="1" t="s">
        <v>40</v>
      </c>
      <c r="D8744" s="1">
        <v>5.0</v>
      </c>
      <c r="E8744" s="1">
        <v>14107.0</v>
      </c>
      <c r="F8744" s="10">
        <f t="shared" si="1"/>
        <v>5</v>
      </c>
      <c r="G8744" s="10">
        <f t="array" ref="G8744">index('Player ID'!C:C,match(E8744,'Player ID'!B:B,0))</f>
        <v>592332</v>
      </c>
    </row>
    <row r="8745">
      <c r="A8745" s="76">
        <v>45821.0</v>
      </c>
      <c r="B8745" s="1" t="s">
        <v>858</v>
      </c>
      <c r="C8745" s="1" t="s">
        <v>40</v>
      </c>
      <c r="D8745" s="1">
        <v>1.0</v>
      </c>
      <c r="E8745" s="1">
        <v>16587.0</v>
      </c>
      <c r="F8745" s="10">
        <f t="shared" si="1"/>
        <v>1</v>
      </c>
      <c r="G8745" s="10" t="str">
        <f t="array" ref="G8745">index('Player ID'!C:C,match(E8745,'Player ID'!B:B,0))</f>
        <v>#N/A</v>
      </c>
    </row>
    <row r="8746">
      <c r="A8746" s="76">
        <v>45821.0</v>
      </c>
      <c r="B8746" s="1" t="s">
        <v>827</v>
      </c>
      <c r="C8746" s="1" t="s">
        <v>45</v>
      </c>
      <c r="D8746" s="1">
        <v>7.0</v>
      </c>
      <c r="E8746" s="1">
        <v>17277.0</v>
      </c>
      <c r="F8746" s="10">
        <f t="shared" si="1"/>
        <v>7</v>
      </c>
      <c r="G8746" s="10">
        <f t="array" ref="G8746">index('Player ID'!C:C,match(E8746,'Player ID'!B:B,0))</f>
        <v>624133</v>
      </c>
    </row>
    <row r="8747">
      <c r="A8747" s="76">
        <v>45821.0</v>
      </c>
      <c r="B8747" s="1" t="s">
        <v>315</v>
      </c>
      <c r="C8747" s="1" t="s">
        <v>40</v>
      </c>
      <c r="D8747" s="1">
        <v>1.0</v>
      </c>
      <c r="E8747" s="1">
        <v>24609.0</v>
      </c>
      <c r="F8747" s="10">
        <f t="shared" si="1"/>
        <v>1</v>
      </c>
      <c r="G8747" s="10">
        <f t="array" ref="G8747">index('Player ID'!C:C,match(E8747,'Player ID'!B:B,0))</f>
        <v>680755</v>
      </c>
    </row>
    <row r="8748">
      <c r="A8748" s="76">
        <v>45821.0</v>
      </c>
      <c r="B8748" s="1" t="s">
        <v>142</v>
      </c>
      <c r="C8748" s="1" t="s">
        <v>40</v>
      </c>
      <c r="D8748" s="1">
        <v>1.0</v>
      </c>
      <c r="E8748" s="1">
        <v>31553.0</v>
      </c>
      <c r="F8748" s="10">
        <f t="shared" si="1"/>
        <v>1</v>
      </c>
      <c r="G8748" s="10">
        <f t="array" ref="G8748">index('Player ID'!C:C,match(E8748,'Player ID'!B:B,0))</f>
        <v>689254</v>
      </c>
    </row>
    <row r="8749">
      <c r="A8749" s="76">
        <v>45821.0</v>
      </c>
      <c r="B8749" s="1" t="s">
        <v>139</v>
      </c>
      <c r="C8749" s="1" t="s">
        <v>80</v>
      </c>
      <c r="D8749" s="1">
        <v>1.0</v>
      </c>
      <c r="E8749" s="1">
        <v>15009.0</v>
      </c>
      <c r="F8749" s="10">
        <f t="shared" si="1"/>
        <v>1</v>
      </c>
      <c r="G8749" s="10">
        <f t="array" ref="G8749">index('Player ID'!C:C,match(E8749,'Player ID'!B:B,0))</f>
        <v>640448</v>
      </c>
    </row>
    <row r="8750">
      <c r="A8750" s="76">
        <v>45821.0</v>
      </c>
      <c r="B8750" s="1" t="s">
        <v>89</v>
      </c>
      <c r="C8750" s="1" t="s">
        <v>36</v>
      </c>
      <c r="D8750" s="1">
        <v>0.1</v>
      </c>
      <c r="E8750" s="1">
        <v>19742.0</v>
      </c>
      <c r="F8750" s="10">
        <f t="shared" si="1"/>
        <v>0.3333333333</v>
      </c>
      <c r="G8750" s="10">
        <f t="array" ref="G8750">index('Player ID'!C:C,match(E8750,'Player ID'!B:B,0))</f>
        <v>669622</v>
      </c>
    </row>
    <row r="8751">
      <c r="A8751" s="76">
        <v>45821.0</v>
      </c>
      <c r="B8751" s="1" t="s">
        <v>262</v>
      </c>
      <c r="C8751" s="1" t="s">
        <v>36</v>
      </c>
      <c r="D8751" s="1">
        <v>1.0</v>
      </c>
      <c r="E8751" s="1">
        <v>20116.0</v>
      </c>
      <c r="F8751" s="10">
        <f t="shared" si="1"/>
        <v>1</v>
      </c>
      <c r="G8751" s="10">
        <f t="array" ref="G8751">index('Player ID'!C:C,match(E8751,'Player ID'!B:B,0))</f>
        <v>676534</v>
      </c>
    </row>
    <row r="8752">
      <c r="A8752" s="76">
        <v>45821.0</v>
      </c>
      <c r="B8752" s="1" t="s">
        <v>61</v>
      </c>
      <c r="C8752" s="1" t="s">
        <v>36</v>
      </c>
      <c r="D8752" s="1">
        <v>0.2</v>
      </c>
      <c r="E8752" s="1">
        <v>20629.0</v>
      </c>
      <c r="F8752" s="10">
        <f t="shared" si="1"/>
        <v>0.6666666667</v>
      </c>
      <c r="G8752" s="10">
        <f t="array" ref="G8752">index('Player ID'!C:C,match(E8752,'Player ID'!B:B,0))</f>
        <v>663969</v>
      </c>
    </row>
    <row r="8753">
      <c r="A8753" s="76">
        <v>45821.0</v>
      </c>
      <c r="B8753" s="1" t="s">
        <v>171</v>
      </c>
      <c r="C8753" s="1" t="s">
        <v>36</v>
      </c>
      <c r="D8753" s="1">
        <v>3.0</v>
      </c>
      <c r="E8753" s="1">
        <v>21690.0</v>
      </c>
      <c r="F8753" s="10">
        <f t="shared" si="1"/>
        <v>3</v>
      </c>
      <c r="G8753" s="10">
        <f t="array" ref="G8753">index('Player ID'!C:C,match(E8753,'Player ID'!B:B,0))</f>
        <v>665795</v>
      </c>
    </row>
    <row r="8754">
      <c r="A8754" s="76">
        <v>45821.0</v>
      </c>
      <c r="B8754" s="1" t="s">
        <v>322</v>
      </c>
      <c r="C8754" s="1" t="s">
        <v>36</v>
      </c>
      <c r="D8754" s="1">
        <v>1.1</v>
      </c>
      <c r="E8754" s="1">
        <v>23899.0</v>
      </c>
      <c r="F8754" s="10">
        <f t="shared" si="1"/>
        <v>1.333333333</v>
      </c>
      <c r="G8754" s="10">
        <f t="array" ref="G8754">index('Player ID'!C:C,match(E8754,'Player ID'!B:B,0))</f>
        <v>678368</v>
      </c>
    </row>
    <row r="8755">
      <c r="A8755" s="76">
        <v>45821.0</v>
      </c>
      <c r="B8755" s="1" t="s">
        <v>86</v>
      </c>
      <c r="C8755" s="1" t="s">
        <v>80</v>
      </c>
      <c r="D8755" s="1">
        <v>1.0</v>
      </c>
      <c r="E8755" s="1">
        <v>24017.0</v>
      </c>
      <c r="F8755" s="10">
        <f t="shared" si="1"/>
        <v>1</v>
      </c>
      <c r="G8755" s="10">
        <f t="array" ref="G8755">index('Player ID'!C:C,match(E8755,'Player ID'!B:B,0))</f>
        <v>678606</v>
      </c>
    </row>
    <row r="8756">
      <c r="A8756" s="76">
        <v>45821.0</v>
      </c>
      <c r="B8756" s="1" t="s">
        <v>123</v>
      </c>
      <c r="C8756" s="1" t="s">
        <v>36</v>
      </c>
      <c r="D8756" s="1">
        <v>0.2</v>
      </c>
      <c r="E8756" s="1">
        <v>24094.0</v>
      </c>
      <c r="F8756" s="10">
        <f t="shared" si="1"/>
        <v>0.6666666667</v>
      </c>
      <c r="G8756" s="10">
        <f t="array" ref="G8756">index('Player ID'!C:C,match(E8756,'Player ID'!B:B,0))</f>
        <v>678692</v>
      </c>
    </row>
    <row r="8757">
      <c r="A8757" s="76">
        <v>45821.0</v>
      </c>
      <c r="B8757" s="1" t="s">
        <v>511</v>
      </c>
      <c r="C8757" s="1" t="s">
        <v>80</v>
      </c>
      <c r="D8757" s="1">
        <v>1.2</v>
      </c>
      <c r="E8757" s="1">
        <v>26215.0</v>
      </c>
      <c r="F8757" s="10">
        <f t="shared" si="1"/>
        <v>1.666666667</v>
      </c>
      <c r="G8757" s="10">
        <f t="array" ref="G8757">index('Player ID'!C:C,match(E8757,'Player ID'!B:B,0))</f>
        <v>671131</v>
      </c>
    </row>
    <row r="8758">
      <c r="A8758" s="76">
        <v>45821.0</v>
      </c>
      <c r="B8758" s="1" t="s">
        <v>676</v>
      </c>
      <c r="C8758" s="1" t="s">
        <v>36</v>
      </c>
      <c r="D8758" s="1">
        <v>0.2</v>
      </c>
      <c r="E8758" s="1">
        <v>27453.0</v>
      </c>
      <c r="F8758" s="10">
        <f t="shared" si="1"/>
        <v>0.6666666667</v>
      </c>
      <c r="G8758" s="10">
        <f t="array" ref="G8758">index('Player ID'!C:C,match(E8758,'Player ID'!B:B,0))</f>
        <v>685107</v>
      </c>
    </row>
    <row r="8759">
      <c r="A8759" s="76">
        <v>45821.0</v>
      </c>
      <c r="B8759" s="1" t="s">
        <v>330</v>
      </c>
      <c r="C8759" s="1" t="s">
        <v>80</v>
      </c>
      <c r="D8759" s="1">
        <v>3.1</v>
      </c>
      <c r="E8759" s="1">
        <v>27636.0</v>
      </c>
      <c r="F8759" s="10">
        <f t="shared" si="1"/>
        <v>3.333333333</v>
      </c>
      <c r="G8759" s="10">
        <f t="array" ref="G8759">index('Player ID'!C:C,match(E8759,'Player ID'!B:B,0))</f>
        <v>680730</v>
      </c>
    </row>
    <row r="8760">
      <c r="A8760" s="76">
        <v>45821.0</v>
      </c>
      <c r="B8760" s="1" t="s">
        <v>266</v>
      </c>
      <c r="C8760" s="1" t="s">
        <v>36</v>
      </c>
      <c r="D8760" s="1">
        <v>1.1</v>
      </c>
      <c r="E8760" s="1">
        <v>31815.0</v>
      </c>
      <c r="F8760" s="10">
        <f t="shared" si="1"/>
        <v>1.333333333</v>
      </c>
      <c r="G8760" s="10">
        <f t="array" ref="G8760">index('Player ID'!C:C,match(E8760,'Player ID'!B:B,0))</f>
        <v>806188</v>
      </c>
    </row>
    <row r="8761">
      <c r="A8761" s="76">
        <v>45821.0</v>
      </c>
      <c r="B8761" s="1" t="s">
        <v>437</v>
      </c>
      <c r="C8761" s="1" t="s">
        <v>80</v>
      </c>
      <c r="D8761" s="1">
        <v>2.0</v>
      </c>
      <c r="E8761" s="1">
        <v>31972.0</v>
      </c>
      <c r="F8761" s="10">
        <f t="shared" si="1"/>
        <v>2</v>
      </c>
      <c r="G8761" s="10">
        <f t="array" ref="G8761">index('Player ID'!C:C,match(E8761,'Player ID'!B:B,0))</f>
        <v>695418</v>
      </c>
    </row>
    <row r="8762">
      <c r="A8762" s="76">
        <v>45821.0</v>
      </c>
      <c r="B8762" s="1" t="s">
        <v>474</v>
      </c>
      <c r="C8762" s="1" t="s">
        <v>68</v>
      </c>
      <c r="D8762" s="1">
        <v>5.0</v>
      </c>
      <c r="E8762" s="1">
        <v>4676.0</v>
      </c>
      <c r="F8762" s="10">
        <f t="shared" si="1"/>
        <v>5</v>
      </c>
      <c r="G8762" s="10">
        <f t="array" ref="G8762">index('Player ID'!C:C,match(E8762,'Player ID'!B:B,0))</f>
        <v>450203</v>
      </c>
    </row>
    <row r="8763">
      <c r="A8763" s="76">
        <v>45821.0</v>
      </c>
      <c r="B8763" s="1" t="s">
        <v>834</v>
      </c>
      <c r="C8763" s="1" t="s">
        <v>25</v>
      </c>
      <c r="D8763" s="1">
        <v>1.1</v>
      </c>
      <c r="E8763" s="1">
        <v>7836.0</v>
      </c>
      <c r="F8763" s="10">
        <f t="shared" si="1"/>
        <v>1.333333333</v>
      </c>
      <c r="G8763" s="10" t="str">
        <f t="array" ref="G8763">index('Player ID'!C:C,match(E8763,'Player ID'!B:B,0))</f>
        <v>#N/A</v>
      </c>
    </row>
    <row r="8764">
      <c r="A8764" s="76">
        <v>45821.0</v>
      </c>
      <c r="B8764" s="1" t="s">
        <v>660</v>
      </c>
      <c r="C8764" s="1" t="s">
        <v>25</v>
      </c>
      <c r="D8764" s="1">
        <v>1.0</v>
      </c>
      <c r="E8764" s="1">
        <v>11804.0</v>
      </c>
      <c r="F8764" s="10">
        <f t="shared" si="1"/>
        <v>1</v>
      </c>
      <c r="G8764" s="10">
        <f t="array" ref="G8764">index('Player ID'!C:C,match(E8764,'Player ID'!B:B,0))</f>
        <v>593576</v>
      </c>
    </row>
    <row r="8765">
      <c r="A8765" s="76">
        <v>45821.0</v>
      </c>
      <c r="B8765" s="1" t="s">
        <v>291</v>
      </c>
      <c r="C8765" s="1" t="s">
        <v>25</v>
      </c>
      <c r="D8765" s="1">
        <v>0.2</v>
      </c>
      <c r="E8765" s="1">
        <v>17968.0</v>
      </c>
      <c r="F8765" s="10">
        <f t="shared" si="1"/>
        <v>0.6666666667</v>
      </c>
      <c r="G8765" s="10">
        <f t="array" ref="G8765">index('Player ID'!C:C,match(E8765,'Player ID'!B:B,0))</f>
        <v>656271</v>
      </c>
    </row>
    <row r="8766">
      <c r="A8766" s="76">
        <v>45821.0</v>
      </c>
      <c r="B8766" s="1" t="s">
        <v>433</v>
      </c>
      <c r="C8766" s="1" t="s">
        <v>68</v>
      </c>
      <c r="D8766" s="1">
        <v>1.0</v>
      </c>
      <c r="E8766" s="1">
        <v>19677.0</v>
      </c>
      <c r="F8766" s="10">
        <f t="shared" si="1"/>
        <v>1</v>
      </c>
      <c r="G8766" s="10">
        <f t="array" ref="G8766">index('Player ID'!C:C,match(E8766,'Player ID'!B:B,0))</f>
        <v>642397</v>
      </c>
    </row>
    <row r="8767">
      <c r="A8767" s="76">
        <v>45821.0</v>
      </c>
      <c r="B8767" s="1" t="s">
        <v>240</v>
      </c>
      <c r="C8767" s="1" t="s">
        <v>68</v>
      </c>
      <c r="D8767" s="1">
        <v>1.0</v>
      </c>
      <c r="E8767" s="1">
        <v>19804.0</v>
      </c>
      <c r="F8767" s="10">
        <f t="shared" si="1"/>
        <v>1</v>
      </c>
      <c r="G8767" s="10">
        <f t="array" ref="G8767">index('Player ID'!C:C,match(E8767,'Player ID'!B:B,0))</f>
        <v>641329</v>
      </c>
    </row>
    <row r="8768">
      <c r="A8768" s="76">
        <v>45821.0</v>
      </c>
      <c r="B8768" s="1" t="s">
        <v>698</v>
      </c>
      <c r="C8768" s="1" t="s">
        <v>68</v>
      </c>
      <c r="D8768" s="1">
        <v>1.0</v>
      </c>
      <c r="E8768" s="1">
        <v>20666.0</v>
      </c>
      <c r="F8768" s="10">
        <f t="shared" si="1"/>
        <v>1</v>
      </c>
      <c r="G8768" s="10">
        <f t="array" ref="G8768">index('Player ID'!C:C,match(E8768,'Player ID'!B:B,0))</f>
        <v>642585</v>
      </c>
    </row>
    <row r="8769">
      <c r="A8769" s="76">
        <v>45821.0</v>
      </c>
      <c r="B8769" s="1" t="s">
        <v>283</v>
      </c>
      <c r="C8769" s="1" t="s">
        <v>25</v>
      </c>
      <c r="D8769" s="1">
        <v>0.2</v>
      </c>
      <c r="E8769" s="1">
        <v>21205.0</v>
      </c>
      <c r="F8769" s="10">
        <f t="shared" si="1"/>
        <v>0.6666666667</v>
      </c>
      <c r="G8769" s="10">
        <f t="array" ref="G8769">index('Player ID'!C:C,match(E8769,'Player ID'!B:B,0))</f>
        <v>641401</v>
      </c>
    </row>
    <row r="8770">
      <c r="A8770" s="76">
        <v>45821.0</v>
      </c>
      <c r="B8770" s="1" t="s">
        <v>235</v>
      </c>
      <c r="C8770" s="1" t="s">
        <v>68</v>
      </c>
      <c r="D8770" s="1">
        <v>1.0</v>
      </c>
      <c r="E8770" s="1">
        <v>25911.0</v>
      </c>
      <c r="F8770" s="10">
        <f t="shared" si="1"/>
        <v>1</v>
      </c>
      <c r="G8770" s="10">
        <f t="array" ref="G8770">index('Player ID'!C:C,match(E8770,'Player ID'!B:B,0))</f>
        <v>666974</v>
      </c>
    </row>
    <row r="8771">
      <c r="A8771" s="76">
        <v>45821.0</v>
      </c>
      <c r="B8771" s="1" t="s">
        <v>521</v>
      </c>
      <c r="C8771" s="1" t="s">
        <v>25</v>
      </c>
      <c r="D8771" s="1">
        <v>4.1</v>
      </c>
      <c r="E8771" s="1">
        <v>27688.0</v>
      </c>
      <c r="F8771" s="10">
        <f t="shared" si="1"/>
        <v>4.333333333</v>
      </c>
      <c r="G8771" s="10">
        <f t="array" ref="G8771">index('Player ID'!C:C,match(E8771,'Player ID'!B:B,0))</f>
        <v>686799</v>
      </c>
    </row>
    <row r="8772">
      <c r="A8772" s="76">
        <v>45821.0</v>
      </c>
      <c r="B8772" s="1" t="s">
        <v>226</v>
      </c>
      <c r="C8772" s="1" t="s">
        <v>66</v>
      </c>
      <c r="D8772" s="1">
        <v>5.0</v>
      </c>
      <c r="E8772" s="1">
        <v>12730.0</v>
      </c>
      <c r="F8772" s="10">
        <f t="shared" si="1"/>
        <v>5</v>
      </c>
      <c r="G8772" s="10">
        <f t="array" ref="G8772">index('Player ID'!C:C,match(E8772,'Player ID'!B:B,0))</f>
        <v>607259</v>
      </c>
    </row>
    <row r="8773">
      <c r="A8773" s="76">
        <v>45821.0</v>
      </c>
      <c r="B8773" s="1" t="s">
        <v>666</v>
      </c>
      <c r="C8773" s="1" t="s">
        <v>62</v>
      </c>
      <c r="D8773" s="1">
        <v>0.1</v>
      </c>
      <c r="E8773" s="1">
        <v>12777.0</v>
      </c>
      <c r="F8773" s="10">
        <f t="shared" si="1"/>
        <v>0.3333333333</v>
      </c>
      <c r="G8773" s="10">
        <f t="array" ref="G8773">index('Player ID'!C:C,match(E8773,'Player ID'!B:B,0))</f>
        <v>605154</v>
      </c>
    </row>
    <row r="8774">
      <c r="A8774" s="76">
        <v>45821.0</v>
      </c>
      <c r="B8774" s="1" t="s">
        <v>362</v>
      </c>
      <c r="C8774" s="1" t="s">
        <v>66</v>
      </c>
      <c r="D8774" s="1">
        <v>0.0</v>
      </c>
      <c r="E8774" s="1">
        <v>13449.0</v>
      </c>
      <c r="F8774" s="10">
        <f t="shared" si="1"/>
        <v>0</v>
      </c>
      <c r="G8774" s="10">
        <f t="array" ref="G8774">index('Player ID'!C:C,match(E8774,'Player ID'!B:B,0))</f>
        <v>573124</v>
      </c>
    </row>
    <row r="8775">
      <c r="A8775" s="76">
        <v>45821.0</v>
      </c>
      <c r="B8775" s="1" t="s">
        <v>417</v>
      </c>
      <c r="C8775" s="1" t="s">
        <v>66</v>
      </c>
      <c r="D8775" s="1">
        <v>1.0</v>
      </c>
      <c r="E8775" s="1">
        <v>13942.0</v>
      </c>
      <c r="F8775" s="10">
        <f t="shared" si="1"/>
        <v>1</v>
      </c>
      <c r="G8775" s="10">
        <f t="array" ref="G8775">index('Player ID'!C:C,match(E8775,'Player ID'!B:B,0))</f>
        <v>608718</v>
      </c>
    </row>
    <row r="8776">
      <c r="A8776" s="76">
        <v>45821.0</v>
      </c>
      <c r="B8776" s="1" t="s">
        <v>475</v>
      </c>
      <c r="C8776" s="1" t="s">
        <v>66</v>
      </c>
      <c r="D8776" s="1">
        <v>0.1</v>
      </c>
      <c r="E8776" s="1">
        <v>14993.0</v>
      </c>
      <c r="F8776" s="10">
        <f t="shared" si="1"/>
        <v>0.3333333333</v>
      </c>
      <c r="G8776" s="10">
        <f t="array" ref="G8776">index('Player ID'!C:C,match(E8776,'Player ID'!B:B,0))</f>
        <v>605130</v>
      </c>
    </row>
    <row r="8777">
      <c r="A8777" s="76">
        <v>45821.0</v>
      </c>
      <c r="B8777" s="1" t="s">
        <v>448</v>
      </c>
      <c r="C8777" s="1" t="s">
        <v>62</v>
      </c>
      <c r="D8777" s="1">
        <v>0.2</v>
      </c>
      <c r="E8777" s="1">
        <v>17381.0</v>
      </c>
      <c r="F8777" s="10">
        <f t="shared" si="1"/>
        <v>0.6666666667</v>
      </c>
      <c r="G8777" s="10" t="str">
        <f t="array" ref="G8777">index('Player ID'!C:C,match(E8777,'Player ID'!B:B,0))</f>
        <v>#N/A</v>
      </c>
    </row>
    <row r="8778">
      <c r="A8778" s="76">
        <v>45821.0</v>
      </c>
      <c r="B8778" s="1" t="s">
        <v>653</v>
      </c>
      <c r="C8778" s="1" t="s">
        <v>66</v>
      </c>
      <c r="D8778" s="1">
        <v>1.2</v>
      </c>
      <c r="E8778" s="1">
        <v>17871.0</v>
      </c>
      <c r="F8778" s="10">
        <f t="shared" si="1"/>
        <v>1.666666667</v>
      </c>
      <c r="G8778" s="10">
        <f t="array" ref="G8778">index('Player ID'!C:C,match(E8778,'Player ID'!B:B,0))</f>
        <v>664139</v>
      </c>
    </row>
    <row r="8779">
      <c r="A8779" s="76">
        <v>45821.0</v>
      </c>
      <c r="B8779" s="1" t="s">
        <v>331</v>
      </c>
      <c r="C8779" s="1" t="s">
        <v>62</v>
      </c>
      <c r="D8779" s="1">
        <v>5.0</v>
      </c>
      <c r="E8779" s="1">
        <v>22630.0</v>
      </c>
      <c r="F8779" s="10">
        <f t="shared" si="1"/>
        <v>5</v>
      </c>
      <c r="G8779" s="10">
        <f t="array" ref="G8779">index('Player ID'!C:C,match(E8779,'Player ID'!B:B,0))</f>
        <v>672456</v>
      </c>
    </row>
    <row r="8780">
      <c r="A8780" s="76">
        <v>45821.0</v>
      </c>
      <c r="B8780" s="1" t="s">
        <v>82</v>
      </c>
      <c r="C8780" s="1" t="s">
        <v>62</v>
      </c>
      <c r="D8780" s="1">
        <v>1.0</v>
      </c>
      <c r="E8780" s="1">
        <v>26231.0</v>
      </c>
      <c r="F8780" s="10">
        <f t="shared" si="1"/>
        <v>1</v>
      </c>
      <c r="G8780" s="10">
        <f t="array" ref="G8780">index('Player ID'!C:C,match(E8780,'Player ID'!B:B,0))</f>
        <v>663947</v>
      </c>
    </row>
    <row r="8781">
      <c r="A8781" s="76">
        <v>45821.0</v>
      </c>
      <c r="B8781" s="1" t="s">
        <v>160</v>
      </c>
      <c r="C8781" s="1" t="s">
        <v>62</v>
      </c>
      <c r="D8781" s="1">
        <v>1.1</v>
      </c>
      <c r="E8781" s="1">
        <v>29574.0</v>
      </c>
      <c r="F8781" s="10">
        <f t="shared" si="1"/>
        <v>1.333333333</v>
      </c>
      <c r="G8781" s="10">
        <f t="array" ref="G8781">index('Player ID'!C:C,match(E8781,'Player ID'!B:B,0))</f>
        <v>695445</v>
      </c>
    </row>
    <row r="8782">
      <c r="A8782" s="76">
        <v>45821.0</v>
      </c>
      <c r="B8782" s="1" t="s">
        <v>487</v>
      </c>
      <c r="C8782" s="1" t="s">
        <v>62</v>
      </c>
      <c r="D8782" s="1">
        <v>0.2</v>
      </c>
      <c r="E8782" s="1">
        <v>30133.0</v>
      </c>
      <c r="F8782" s="10">
        <f t="shared" si="1"/>
        <v>0.6666666667</v>
      </c>
      <c r="G8782" s="10">
        <f t="array" ref="G8782">index('Player ID'!C:C,match(E8782,'Player ID'!B:B,0))</f>
        <v>676428</v>
      </c>
    </row>
    <row r="8783">
      <c r="A8783" s="76">
        <v>45821.0</v>
      </c>
      <c r="B8783" s="1" t="s">
        <v>422</v>
      </c>
      <c r="C8783" s="1" t="s">
        <v>58</v>
      </c>
      <c r="D8783" s="1">
        <v>1.1</v>
      </c>
      <c r="E8783" s="1">
        <v>7048.0</v>
      </c>
      <c r="F8783" s="10">
        <f t="shared" si="1"/>
        <v>1.333333333</v>
      </c>
      <c r="G8783" s="10">
        <f t="array" ref="G8783">index('Player ID'!C:C,match(E8783,'Player ID'!B:B,0))</f>
        <v>518585</v>
      </c>
    </row>
    <row r="8784">
      <c r="A8784" s="76">
        <v>45821.0</v>
      </c>
      <c r="B8784" s="1" t="s">
        <v>41</v>
      </c>
      <c r="C8784" s="1" t="s">
        <v>22</v>
      </c>
      <c r="D8784" s="1">
        <v>0.2</v>
      </c>
      <c r="E8784" s="1">
        <v>10233.0</v>
      </c>
      <c r="F8784" s="10">
        <f t="shared" si="1"/>
        <v>0.6666666667</v>
      </c>
      <c r="G8784" s="10">
        <f t="array" ref="G8784">index('Player ID'!C:C,match(E8784,'Player ID'!B:B,0))</f>
        <v>547973</v>
      </c>
    </row>
    <row r="8785">
      <c r="A8785" s="76">
        <v>45821.0</v>
      </c>
      <c r="B8785" s="1" t="s">
        <v>192</v>
      </c>
      <c r="C8785" s="1" t="s">
        <v>58</v>
      </c>
      <c r="D8785" s="1">
        <v>4.2</v>
      </c>
      <c r="E8785" s="1">
        <v>16502.0</v>
      </c>
      <c r="F8785" s="10">
        <f t="shared" si="1"/>
        <v>4.666666667</v>
      </c>
      <c r="G8785" s="10">
        <f t="array" ref="G8785">index('Player ID'!C:C,match(E8785,'Player ID'!B:B,0))</f>
        <v>642232</v>
      </c>
    </row>
    <row r="8786">
      <c r="A8786" s="76">
        <v>45821.0</v>
      </c>
      <c r="B8786" s="1" t="s">
        <v>69</v>
      </c>
      <c r="C8786" s="1" t="s">
        <v>58</v>
      </c>
      <c r="D8786" s="1">
        <v>1.0</v>
      </c>
      <c r="E8786" s="1">
        <v>16814.0</v>
      </c>
      <c r="F8786" s="10">
        <f t="shared" si="1"/>
        <v>1</v>
      </c>
      <c r="G8786" s="10">
        <f t="array" ref="G8786">index('Player ID'!C:C,match(E8786,'Player ID'!B:B,0))</f>
        <v>657612</v>
      </c>
    </row>
    <row r="8787">
      <c r="A8787" s="76">
        <v>45821.0</v>
      </c>
      <c r="B8787" s="1" t="s">
        <v>520</v>
      </c>
      <c r="C8787" s="1" t="s">
        <v>58</v>
      </c>
      <c r="D8787" s="1">
        <v>1.1</v>
      </c>
      <c r="E8787" s="1">
        <v>19261.0</v>
      </c>
      <c r="F8787" s="10">
        <f t="shared" si="1"/>
        <v>1.333333333</v>
      </c>
      <c r="G8787" s="10">
        <f t="array" ref="G8787">index('Player ID'!C:C,match(E8787,'Player ID'!B:B,0))</f>
        <v>641656</v>
      </c>
    </row>
    <row r="8788">
      <c r="A8788" s="76">
        <v>45821.0</v>
      </c>
      <c r="B8788" s="1" t="s">
        <v>831</v>
      </c>
      <c r="C8788" s="1" t="s">
        <v>58</v>
      </c>
      <c r="D8788" s="1">
        <v>1.1</v>
      </c>
      <c r="E8788" s="1">
        <v>19753.0</v>
      </c>
      <c r="F8788" s="10">
        <f t="shared" si="1"/>
        <v>1.333333333</v>
      </c>
      <c r="G8788" s="10">
        <f t="array" ref="G8788">index('Player ID'!C:C,match(E8788,'Player ID'!B:B,0))</f>
        <v>642528</v>
      </c>
    </row>
    <row r="8789">
      <c r="A8789" s="76">
        <v>45821.0</v>
      </c>
      <c r="B8789" s="1" t="s">
        <v>250</v>
      </c>
      <c r="C8789" s="1" t="s">
        <v>22</v>
      </c>
      <c r="D8789" s="1">
        <v>1.0</v>
      </c>
      <c r="E8789" s="1">
        <v>20191.0</v>
      </c>
      <c r="F8789" s="10">
        <f t="shared" si="1"/>
        <v>1</v>
      </c>
      <c r="G8789" s="10">
        <f t="array" ref="G8789">index('Player ID'!C:C,match(E8789,'Player ID'!B:B,0))</f>
        <v>676477</v>
      </c>
    </row>
    <row r="8790">
      <c r="A8790" s="76">
        <v>45821.0</v>
      </c>
      <c r="B8790" s="1" t="s">
        <v>100</v>
      </c>
      <c r="C8790" s="1" t="s">
        <v>22</v>
      </c>
      <c r="D8790" s="1">
        <v>8.1</v>
      </c>
      <c r="E8790" s="1">
        <v>27463.0</v>
      </c>
      <c r="F8790" s="10">
        <f t="shared" si="1"/>
        <v>8.333333333</v>
      </c>
      <c r="G8790" s="10">
        <f t="array" ref="G8790">index('Player ID'!C:C,match(E8790,'Player ID'!B:B,0))</f>
        <v>676979</v>
      </c>
    </row>
    <row r="8791">
      <c r="A8791" s="76">
        <v>45821.0</v>
      </c>
      <c r="B8791" s="1" t="s">
        <v>269</v>
      </c>
      <c r="C8791" s="1" t="s">
        <v>51</v>
      </c>
      <c r="D8791" s="1">
        <v>5.0</v>
      </c>
      <c r="E8791" s="1">
        <v>13649.0</v>
      </c>
      <c r="F8791" s="10">
        <f t="shared" si="1"/>
        <v>5</v>
      </c>
      <c r="G8791" s="10">
        <f t="array" ref="G8791">index('Player ID'!C:C,match(E8791,'Player ID'!B:B,0))</f>
        <v>605280</v>
      </c>
    </row>
    <row r="8792">
      <c r="A8792" s="76">
        <v>45821.0</v>
      </c>
      <c r="B8792" s="1" t="s">
        <v>299</v>
      </c>
      <c r="C8792" s="1" t="s">
        <v>51</v>
      </c>
      <c r="D8792" s="1">
        <v>0.1</v>
      </c>
      <c r="E8792" s="1">
        <v>14739.0</v>
      </c>
      <c r="F8792" s="10">
        <f t="shared" si="1"/>
        <v>0.3333333333</v>
      </c>
      <c r="G8792" s="10">
        <f t="array" ref="G8792">index('Player ID'!C:C,match(E8792,'Player ID'!B:B,0))</f>
        <v>621112</v>
      </c>
    </row>
    <row r="8793">
      <c r="A8793" s="76">
        <v>45821.0</v>
      </c>
      <c r="B8793" s="1" t="s">
        <v>185</v>
      </c>
      <c r="C8793" s="1" t="s">
        <v>54</v>
      </c>
      <c r="D8793" s="1">
        <v>0.2</v>
      </c>
      <c r="E8793" s="1">
        <v>17897.0</v>
      </c>
      <c r="F8793" s="10">
        <f t="shared" si="1"/>
        <v>0.6666666667</v>
      </c>
      <c r="G8793" s="10">
        <f t="array" ref="G8793">index('Player ID'!C:C,match(E8793,'Player ID'!B:B,0))</f>
        <v>664076</v>
      </c>
    </row>
    <row r="8794">
      <c r="A8794" s="76">
        <v>45821.0</v>
      </c>
      <c r="B8794" s="1" t="s">
        <v>261</v>
      </c>
      <c r="C8794" s="1" t="s">
        <v>54</v>
      </c>
      <c r="D8794" s="1">
        <v>1.0</v>
      </c>
      <c r="E8794" s="1">
        <v>17998.0</v>
      </c>
      <c r="F8794" s="10">
        <f t="shared" si="1"/>
        <v>1</v>
      </c>
      <c r="G8794" s="10">
        <f t="array" ref="G8794">index('Player ID'!C:C,match(E8794,'Player ID'!B:B,0))</f>
        <v>664126</v>
      </c>
    </row>
    <row r="8795">
      <c r="A8795" s="76">
        <v>45821.0</v>
      </c>
      <c r="B8795" s="1" t="s">
        <v>872</v>
      </c>
      <c r="C8795" s="1" t="s">
        <v>51</v>
      </c>
      <c r="D8795" s="1">
        <v>2.0</v>
      </c>
      <c r="E8795" s="1">
        <v>19784.0</v>
      </c>
      <c r="F8795" s="10">
        <f t="shared" si="1"/>
        <v>2</v>
      </c>
      <c r="G8795" s="10" t="str">
        <f t="array" ref="G8795">index('Player ID'!C:C,match(E8795,'Player ID'!B:B,0))</f>
        <v>#N/A</v>
      </c>
    </row>
    <row r="8796">
      <c r="A8796" s="76">
        <v>45821.0</v>
      </c>
      <c r="B8796" s="1" t="s">
        <v>400</v>
      </c>
      <c r="C8796" s="1" t="s">
        <v>54</v>
      </c>
      <c r="D8796" s="1">
        <v>1.2</v>
      </c>
      <c r="E8796" s="1">
        <v>20539.0</v>
      </c>
      <c r="F8796" s="10">
        <f t="shared" si="1"/>
        <v>1.666666667</v>
      </c>
      <c r="G8796" s="10">
        <f t="array" ref="G8796">index('Player ID'!C:C,match(E8796,'Player ID'!B:B,0))</f>
        <v>670955</v>
      </c>
    </row>
    <row r="8797">
      <c r="A8797" s="76">
        <v>45821.0</v>
      </c>
      <c r="B8797" s="1" t="s">
        <v>50</v>
      </c>
      <c r="C8797" s="1" t="s">
        <v>51</v>
      </c>
      <c r="D8797" s="1">
        <v>1.2</v>
      </c>
      <c r="E8797" s="1">
        <v>22175.0</v>
      </c>
      <c r="F8797" s="10">
        <f t="shared" si="1"/>
        <v>1.666666667</v>
      </c>
      <c r="G8797" s="10">
        <f t="array" ref="G8797">index('Player ID'!C:C,match(E8797,'Player ID'!B:B,0))</f>
        <v>668820</v>
      </c>
    </row>
    <row r="8798">
      <c r="A8798" s="76">
        <v>45821.0</v>
      </c>
      <c r="B8798" s="1" t="s">
        <v>413</v>
      </c>
      <c r="C8798" s="1" t="s">
        <v>54</v>
      </c>
      <c r="D8798" s="1">
        <v>4.0</v>
      </c>
      <c r="E8798" s="1">
        <v>22543.0</v>
      </c>
      <c r="F8798" s="10">
        <f t="shared" si="1"/>
        <v>4</v>
      </c>
      <c r="G8798" s="10">
        <f t="array" ref="G8798">index('Player ID'!C:C,match(E8798,'Player ID'!B:B,0))</f>
        <v>671737</v>
      </c>
    </row>
    <row r="8799">
      <c r="A8799" s="76">
        <v>45821.0</v>
      </c>
      <c r="B8799" s="1" t="s">
        <v>257</v>
      </c>
      <c r="C8799" s="1" t="s">
        <v>54</v>
      </c>
      <c r="D8799" s="1">
        <v>1.0</v>
      </c>
      <c r="E8799" s="1">
        <v>27626.0</v>
      </c>
      <c r="F8799" s="10">
        <f t="shared" si="1"/>
        <v>1</v>
      </c>
      <c r="G8799" s="10">
        <f t="array" ref="G8799">index('Player ID'!C:C,match(E8799,'Player ID'!B:B,0))</f>
        <v>679358</v>
      </c>
    </row>
    <row r="8800">
      <c r="A8800" s="76">
        <v>45821.0</v>
      </c>
      <c r="B8800" s="1" t="s">
        <v>334</v>
      </c>
      <c r="C8800" s="1" t="s">
        <v>54</v>
      </c>
      <c r="D8800" s="1">
        <v>0.2</v>
      </c>
      <c r="E8800" s="1">
        <v>29770.0</v>
      </c>
      <c r="F8800" s="10">
        <f t="shared" si="1"/>
        <v>0.6666666667</v>
      </c>
      <c r="G8800" s="10">
        <f t="array" ref="G8800">index('Player ID'!C:C,match(E8800,'Player ID'!B:B,0))</f>
        <v>682254</v>
      </c>
    </row>
    <row r="8801">
      <c r="A8801" s="76">
        <v>45821.0</v>
      </c>
      <c r="B8801" s="1" t="s">
        <v>178</v>
      </c>
      <c r="C8801" s="1" t="s">
        <v>46</v>
      </c>
      <c r="D8801" s="1">
        <v>1.1</v>
      </c>
      <c r="E8801" s="1">
        <v>13435.0</v>
      </c>
      <c r="F8801" s="10">
        <f t="shared" si="1"/>
        <v>1.333333333</v>
      </c>
      <c r="G8801" s="10">
        <f t="array" ref="G8801">index('Player ID'!C:C,match(E8801,'Player ID'!B:B,0))</f>
        <v>572955</v>
      </c>
    </row>
    <row r="8802">
      <c r="A8802" s="76">
        <v>45821.0</v>
      </c>
      <c r="B8802" s="1" t="s">
        <v>746</v>
      </c>
      <c r="C8802" s="1" t="s">
        <v>75</v>
      </c>
      <c r="D8802" s="1">
        <v>5.0</v>
      </c>
      <c r="E8802" s="1">
        <v>15038.0</v>
      </c>
      <c r="F8802" s="10">
        <f t="shared" si="1"/>
        <v>5</v>
      </c>
      <c r="G8802" s="10">
        <f t="array" ref="G8802">index('Player ID'!C:C,match(E8802,'Player ID'!B:B,0))</f>
        <v>608566</v>
      </c>
    </row>
    <row r="8803">
      <c r="A8803" s="76">
        <v>45821.0</v>
      </c>
      <c r="B8803" s="1" t="s">
        <v>319</v>
      </c>
      <c r="C8803" s="1" t="s">
        <v>46</v>
      </c>
      <c r="D8803" s="1">
        <v>0.2</v>
      </c>
      <c r="E8803" s="1">
        <v>16258.0</v>
      </c>
      <c r="F8803" s="10">
        <f t="shared" si="1"/>
        <v>0.6666666667</v>
      </c>
      <c r="G8803" s="10">
        <f t="array" ref="G8803">index('Player ID'!C:C,match(E8803,'Player ID'!B:B,0))</f>
        <v>607481</v>
      </c>
    </row>
    <row r="8804">
      <c r="A8804" s="76">
        <v>45821.0</v>
      </c>
      <c r="B8804" s="1" t="s">
        <v>184</v>
      </c>
      <c r="C8804" s="1" t="s">
        <v>46</v>
      </c>
      <c r="D8804" s="1">
        <v>1.0</v>
      </c>
      <c r="E8804" s="1">
        <v>17130.0</v>
      </c>
      <c r="F8804" s="10">
        <f t="shared" si="1"/>
        <v>1</v>
      </c>
      <c r="G8804" s="10">
        <f t="array" ref="G8804">index('Player ID'!C:C,match(E8804,'Player ID'!B:B,0))</f>
        <v>628452</v>
      </c>
    </row>
    <row r="8805">
      <c r="A8805" s="76">
        <v>45821.0</v>
      </c>
      <c r="B8805" s="1" t="s">
        <v>346</v>
      </c>
      <c r="C8805" s="1" t="s">
        <v>46</v>
      </c>
      <c r="D8805" s="1">
        <v>1.0</v>
      </c>
      <c r="E8805" s="1">
        <v>18403.0</v>
      </c>
      <c r="F8805" s="10">
        <f t="shared" si="1"/>
        <v>1</v>
      </c>
      <c r="G8805" s="10">
        <f t="array" ref="G8805">index('Player ID'!C:C,match(E8805,'Player ID'!B:B,0))</f>
        <v>660853</v>
      </c>
    </row>
    <row r="8806">
      <c r="A8806" s="76">
        <v>45821.0</v>
      </c>
      <c r="B8806" s="1" t="s">
        <v>91</v>
      </c>
      <c r="C8806" s="1" t="s">
        <v>46</v>
      </c>
      <c r="D8806" s="1">
        <v>1.0</v>
      </c>
      <c r="E8806" s="1">
        <v>19996.0</v>
      </c>
      <c r="F8806" s="10">
        <f t="shared" si="1"/>
        <v>1</v>
      </c>
      <c r="G8806" s="10">
        <f t="array" ref="G8806">index('Player ID'!C:C,match(E8806,'Player ID'!B:B,0))</f>
        <v>669276</v>
      </c>
    </row>
    <row r="8807">
      <c r="A8807" s="76">
        <v>45821.0</v>
      </c>
      <c r="B8807" s="1" t="s">
        <v>215</v>
      </c>
      <c r="C8807" s="1" t="s">
        <v>75</v>
      </c>
      <c r="D8807" s="1">
        <v>1.0</v>
      </c>
      <c r="E8807" s="1">
        <v>21267.0</v>
      </c>
      <c r="F8807" s="10">
        <f t="shared" si="1"/>
        <v>1</v>
      </c>
      <c r="G8807" s="10">
        <f t="array" ref="G8807">index('Player ID'!C:C,match(E8807,'Player ID'!B:B,0))</f>
        <v>656234</v>
      </c>
    </row>
    <row r="8808">
      <c r="A8808" s="76">
        <v>45821.0</v>
      </c>
      <c r="B8808" s="1" t="s">
        <v>305</v>
      </c>
      <c r="C8808" s="1" t="s">
        <v>75</v>
      </c>
      <c r="D8808" s="1">
        <v>1.0</v>
      </c>
      <c r="E8808" s="1">
        <v>22200.0</v>
      </c>
      <c r="F8808" s="10">
        <f t="shared" si="1"/>
        <v>1</v>
      </c>
      <c r="G8808" s="10">
        <f t="array" ref="G8808">index('Player ID'!C:C,match(E8808,'Player ID'!B:B,0))</f>
        <v>669020</v>
      </c>
    </row>
    <row r="8809">
      <c r="A8809" s="76">
        <v>45821.0</v>
      </c>
      <c r="B8809" s="1" t="s">
        <v>365</v>
      </c>
      <c r="C8809" s="1" t="s">
        <v>75</v>
      </c>
      <c r="D8809" s="1">
        <v>1.0</v>
      </c>
      <c r="E8809" s="1">
        <v>24614.0</v>
      </c>
      <c r="F8809" s="10">
        <f t="shared" si="1"/>
        <v>1</v>
      </c>
      <c r="G8809" s="10">
        <f t="array" ref="G8809">index('Player ID'!C:C,match(E8809,'Player ID'!B:B,0))</f>
        <v>680767</v>
      </c>
    </row>
    <row r="8810">
      <c r="A8810" s="76">
        <v>45821.0</v>
      </c>
      <c r="B8810" s="1" t="s">
        <v>275</v>
      </c>
      <c r="C8810" s="1" t="s">
        <v>46</v>
      </c>
      <c r="D8810" s="1">
        <v>3.1</v>
      </c>
      <c r="E8810" s="1">
        <v>27779.0</v>
      </c>
      <c r="F8810" s="10">
        <f t="shared" si="1"/>
        <v>3.333333333</v>
      </c>
      <c r="G8810" s="10">
        <f t="array" ref="G8810">index('Player ID'!C:C,match(E8810,'Player ID'!B:B,0))</f>
        <v>693821</v>
      </c>
    </row>
    <row r="8811">
      <c r="A8811" s="76">
        <v>45821.0</v>
      </c>
      <c r="B8811" s="1" t="s">
        <v>244</v>
      </c>
      <c r="C8811" s="1" t="s">
        <v>46</v>
      </c>
      <c r="D8811" s="1">
        <v>0.2</v>
      </c>
      <c r="E8811" s="1">
        <v>29928.0</v>
      </c>
      <c r="F8811" s="10">
        <f t="shared" si="1"/>
        <v>0.6666666667</v>
      </c>
      <c r="G8811" s="10" t="str">
        <f t="array" ref="G8811">index('Player ID'!C:C,match(E8811,'Player ID'!B:B,0))</f>
        <v>#N/A</v>
      </c>
    </row>
    <row r="8812">
      <c r="A8812" s="76">
        <v>45821.0</v>
      </c>
      <c r="B8812" s="1" t="s">
        <v>162</v>
      </c>
      <c r="C8812" s="1" t="s">
        <v>56</v>
      </c>
      <c r="D8812" s="1">
        <v>1.0</v>
      </c>
      <c r="E8812" s="1">
        <v>11752.0</v>
      </c>
      <c r="F8812" s="10">
        <f t="shared" si="1"/>
        <v>1</v>
      </c>
      <c r="G8812" s="10">
        <f t="array" ref="G8812">index('Player ID'!C:C,match(E8812,'Player ID'!B:B,0))</f>
        <v>592426</v>
      </c>
    </row>
    <row r="8813">
      <c r="A8813" s="76">
        <v>45821.0</v>
      </c>
      <c r="B8813" s="1" t="s">
        <v>74</v>
      </c>
      <c r="C8813" s="1" t="s">
        <v>56</v>
      </c>
      <c r="D8813" s="1">
        <v>0.2</v>
      </c>
      <c r="E8813" s="1">
        <v>11847.0</v>
      </c>
      <c r="F8813" s="10">
        <f t="shared" si="1"/>
        <v>0.6666666667</v>
      </c>
      <c r="G8813" s="10">
        <f t="array" ref="G8813">index('Player ID'!C:C,match(E8813,'Player ID'!B:B,0))</f>
        <v>455119</v>
      </c>
    </row>
    <row r="8814">
      <c r="A8814" s="76">
        <v>45821.0</v>
      </c>
      <c r="B8814" s="1" t="s">
        <v>411</v>
      </c>
      <c r="C8814" s="1" t="s">
        <v>78</v>
      </c>
      <c r="D8814" s="1">
        <v>5.0</v>
      </c>
      <c r="E8814" s="1">
        <v>12718.0</v>
      </c>
      <c r="F8814" s="10">
        <f t="shared" si="1"/>
        <v>5</v>
      </c>
      <c r="G8814" s="10">
        <f t="array" ref="G8814">index('Player ID'!C:C,match(E8814,'Player ID'!B:B,0))</f>
        <v>605288</v>
      </c>
    </row>
    <row r="8815">
      <c r="A8815" s="76">
        <v>45821.0</v>
      </c>
      <c r="B8815" s="1" t="s">
        <v>440</v>
      </c>
      <c r="C8815" s="1" t="s">
        <v>56</v>
      </c>
      <c r="D8815" s="1">
        <v>3.0</v>
      </c>
      <c r="E8815" s="1">
        <v>12857.0</v>
      </c>
      <c r="F8815" s="10">
        <f t="shared" si="1"/>
        <v>3</v>
      </c>
      <c r="G8815" s="10">
        <f t="array" ref="G8815">index('Player ID'!C:C,match(E8815,'Player ID'!B:B,0))</f>
        <v>542888</v>
      </c>
    </row>
    <row r="8816">
      <c r="A8816" s="76">
        <v>45821.0</v>
      </c>
      <c r="B8816" s="1" t="s">
        <v>151</v>
      </c>
      <c r="C8816" s="1" t="s">
        <v>56</v>
      </c>
      <c r="D8816" s="1">
        <v>0.1</v>
      </c>
      <c r="E8816" s="1">
        <v>13346.0</v>
      </c>
      <c r="F8816" s="10">
        <f t="shared" si="1"/>
        <v>0.3333333333</v>
      </c>
      <c r="G8816" s="10">
        <f t="array" ref="G8816">index('Player ID'!C:C,match(E8816,'Player ID'!B:B,0))</f>
        <v>571948</v>
      </c>
    </row>
    <row r="8817">
      <c r="A8817" s="76">
        <v>45821.0</v>
      </c>
      <c r="B8817" s="1" t="s">
        <v>851</v>
      </c>
      <c r="C8817" s="1" t="s">
        <v>78</v>
      </c>
      <c r="D8817" s="1">
        <v>1.0</v>
      </c>
      <c r="E8817" s="1">
        <v>16507.0</v>
      </c>
      <c r="F8817" s="10">
        <f t="shared" si="1"/>
        <v>1</v>
      </c>
      <c r="G8817" s="10" t="str">
        <f t="array" ref="G8817">index('Player ID'!C:C,match(E8817,'Player ID'!B:B,0))</f>
        <v>#N/A</v>
      </c>
    </row>
    <row r="8818">
      <c r="A8818" s="76">
        <v>45821.0</v>
      </c>
      <c r="B8818" s="1" t="s">
        <v>478</v>
      </c>
      <c r="C8818" s="1" t="s">
        <v>78</v>
      </c>
      <c r="D8818" s="1">
        <v>2.0</v>
      </c>
      <c r="E8818" s="1">
        <v>17964.0</v>
      </c>
      <c r="F8818" s="10">
        <f t="shared" si="1"/>
        <v>2</v>
      </c>
      <c r="G8818" s="10">
        <f t="array" ref="G8818">index('Player ID'!C:C,match(E8818,'Player ID'!B:B,0))</f>
        <v>656457</v>
      </c>
    </row>
    <row r="8819">
      <c r="A8819" s="76">
        <v>45821.0</v>
      </c>
      <c r="B8819" s="1" t="s">
        <v>87</v>
      </c>
      <c r="C8819" s="1" t="s">
        <v>56</v>
      </c>
      <c r="D8819" s="1">
        <v>2.0</v>
      </c>
      <c r="E8819" s="1">
        <v>19274.0</v>
      </c>
      <c r="F8819" s="10">
        <f t="shared" si="1"/>
        <v>2</v>
      </c>
      <c r="G8819" s="10">
        <f t="array" ref="G8819">index('Player ID'!C:C,match(E8819,'Player ID'!B:B,0))</f>
        <v>657097</v>
      </c>
    </row>
    <row r="8820">
      <c r="A8820" s="76">
        <v>45821.0</v>
      </c>
      <c r="B8820" s="1" t="s">
        <v>502</v>
      </c>
      <c r="C8820" s="1" t="s">
        <v>56</v>
      </c>
      <c r="D8820" s="1">
        <v>1.0</v>
      </c>
      <c r="E8820" s="1">
        <v>22113.0</v>
      </c>
      <c r="F8820" s="10">
        <f t="shared" si="1"/>
        <v>1</v>
      </c>
      <c r="G8820" s="10">
        <f t="array" ref="G8820">index('Player ID'!C:C,match(E8820,'Player ID'!B:B,0))</f>
        <v>668390</v>
      </c>
    </row>
    <row r="8821">
      <c r="A8821" s="76">
        <v>45821.0</v>
      </c>
      <c r="B8821" s="1" t="s">
        <v>268</v>
      </c>
      <c r="C8821" s="1" t="s">
        <v>56</v>
      </c>
      <c r="D8821" s="1">
        <v>1.0</v>
      </c>
      <c r="E8821" s="1">
        <v>23363.0</v>
      </c>
      <c r="F8821" s="10">
        <f t="shared" si="1"/>
        <v>1</v>
      </c>
      <c r="G8821" s="10">
        <f t="array" ref="G8821">index('Player ID'!C:C,match(E8821,'Player ID'!B:B,0))</f>
        <v>676395</v>
      </c>
    </row>
    <row r="8822">
      <c r="A8822" s="76">
        <v>45821.0</v>
      </c>
      <c r="B8822" s="1" t="s">
        <v>83</v>
      </c>
      <c r="C8822" s="1" t="s">
        <v>72</v>
      </c>
      <c r="D8822" s="1">
        <v>1.2</v>
      </c>
      <c r="E8822" s="1">
        <v>13361.0</v>
      </c>
      <c r="F8822" s="10">
        <f t="shared" si="1"/>
        <v>1.666666667</v>
      </c>
      <c r="G8822" s="10">
        <f t="array" ref="G8822">index('Player ID'!C:C,match(E8822,'Player ID'!B:B,0))</f>
        <v>571927</v>
      </c>
    </row>
    <row r="8823">
      <c r="A8823" s="76">
        <v>45821.0</v>
      </c>
      <c r="B8823" s="1" t="s">
        <v>321</v>
      </c>
      <c r="C8823" s="1" t="s">
        <v>72</v>
      </c>
      <c r="D8823" s="1">
        <v>5.1</v>
      </c>
      <c r="E8823" s="1">
        <v>17425.0</v>
      </c>
      <c r="F8823" s="10">
        <f t="shared" si="1"/>
        <v>5.333333333</v>
      </c>
      <c r="G8823" s="10">
        <f t="array" ref="G8823">index('Player ID'!C:C,match(E8823,'Player ID'!B:B,0))</f>
        <v>607200</v>
      </c>
    </row>
    <row r="8824">
      <c r="A8824" s="76">
        <v>45821.0</v>
      </c>
      <c r="B8824" s="1" t="s">
        <v>13</v>
      </c>
      <c r="C8824" s="1" t="s">
        <v>14</v>
      </c>
      <c r="D8824" s="1">
        <v>1.0</v>
      </c>
      <c r="E8824" s="1">
        <v>17722.0</v>
      </c>
      <c r="F8824" s="10">
        <f t="shared" si="1"/>
        <v>1</v>
      </c>
      <c r="G8824" s="10">
        <f t="array" ref="G8824">index('Player ID'!C:C,match(E8824,'Player ID'!B:B,0))</f>
        <v>656730</v>
      </c>
    </row>
    <row r="8825">
      <c r="A8825" s="76">
        <v>45821.0</v>
      </c>
      <c r="B8825" s="1" t="s">
        <v>180</v>
      </c>
      <c r="C8825" s="1" t="s">
        <v>14</v>
      </c>
      <c r="D8825" s="1">
        <v>6.0</v>
      </c>
      <c r="E8825" s="1">
        <v>18679.0</v>
      </c>
      <c r="F8825" s="10">
        <f t="shared" si="1"/>
        <v>6</v>
      </c>
      <c r="G8825" s="10">
        <f t="array" ref="G8825">index('Player ID'!C:C,match(E8825,'Player ID'!B:B,0))</f>
        <v>642547</v>
      </c>
    </row>
    <row r="8826">
      <c r="A8826" s="76">
        <v>45821.0</v>
      </c>
      <c r="B8826" s="1" t="s">
        <v>409</v>
      </c>
      <c r="C8826" s="1" t="s">
        <v>72</v>
      </c>
      <c r="D8826" s="1">
        <v>1.0</v>
      </c>
      <c r="E8826" s="1">
        <v>20348.0</v>
      </c>
      <c r="F8826" s="10">
        <f t="shared" si="1"/>
        <v>1</v>
      </c>
      <c r="G8826" s="10">
        <f t="array" ref="G8826">index('Player ID'!C:C,match(E8826,'Player ID'!B:B,0))</f>
        <v>676617</v>
      </c>
    </row>
    <row r="8827">
      <c r="A8827" s="76">
        <v>45821.0</v>
      </c>
      <c r="B8827" s="1" t="s">
        <v>279</v>
      </c>
      <c r="C8827" s="1" t="s">
        <v>14</v>
      </c>
      <c r="D8827" s="1">
        <v>1.0</v>
      </c>
      <c r="E8827" s="1">
        <v>25327.0</v>
      </c>
      <c r="F8827" s="10">
        <f t="shared" si="1"/>
        <v>1</v>
      </c>
      <c r="G8827" s="10">
        <f t="array" ref="G8827">index('Player ID'!C:C,match(E8827,'Player ID'!B:B,0))</f>
        <v>682842</v>
      </c>
    </row>
    <row r="8828">
      <c r="A8828" s="76">
        <v>45821.0</v>
      </c>
      <c r="B8828" s="1" t="s">
        <v>418</v>
      </c>
      <c r="C8828" s="1" t="s">
        <v>14</v>
      </c>
      <c r="D8828" s="1">
        <v>1.0</v>
      </c>
      <c r="E8828" s="1">
        <v>27517.0</v>
      </c>
      <c r="F8828" s="10">
        <f t="shared" si="1"/>
        <v>1</v>
      </c>
      <c r="G8828" s="10">
        <f t="array" ref="G8828">index('Player ID'!C:C,match(E8828,'Player ID'!B:B,0))</f>
        <v>657649</v>
      </c>
    </row>
    <row r="8829">
      <c r="A8829" s="76">
        <v>45821.0</v>
      </c>
      <c r="B8829" s="1" t="s">
        <v>668</v>
      </c>
      <c r="C8829" s="1" t="s">
        <v>52</v>
      </c>
      <c r="D8829" s="1">
        <v>0.1</v>
      </c>
      <c r="E8829" s="1">
        <v>3237.0</v>
      </c>
      <c r="F8829" s="10">
        <f t="shared" si="1"/>
        <v>0.3333333333</v>
      </c>
      <c r="G8829" s="10">
        <f t="array" ref="G8829">index('Player ID'!C:C,match(E8829,'Player ID'!B:B,0))</f>
        <v>519008</v>
      </c>
    </row>
    <row r="8830">
      <c r="A8830" s="76">
        <v>45821.0</v>
      </c>
      <c r="B8830" s="1" t="s">
        <v>147</v>
      </c>
      <c r="C8830" s="1" t="s">
        <v>29</v>
      </c>
      <c r="D8830" s="1">
        <v>5.1</v>
      </c>
      <c r="E8830" s="1">
        <v>14078.0</v>
      </c>
      <c r="F8830" s="10">
        <f t="shared" si="1"/>
        <v>5.333333333</v>
      </c>
      <c r="G8830" s="10">
        <f t="array" ref="G8830">index('Player ID'!C:C,match(E8830,'Player ID'!B:B,0))</f>
        <v>608379</v>
      </c>
    </row>
    <row r="8831">
      <c r="A8831" s="76">
        <v>45821.0</v>
      </c>
      <c r="B8831" s="1" t="s">
        <v>649</v>
      </c>
      <c r="C8831" s="1" t="s">
        <v>29</v>
      </c>
      <c r="D8831" s="1">
        <v>1.0</v>
      </c>
      <c r="E8831" s="1">
        <v>14542.0</v>
      </c>
      <c r="F8831" s="10">
        <f t="shared" si="1"/>
        <v>1</v>
      </c>
      <c r="G8831" s="10">
        <f t="array" ref="G8831">index('Player ID'!C:C,match(E8831,'Player ID'!B:B,0))</f>
        <v>608032</v>
      </c>
    </row>
    <row r="8832">
      <c r="A8832" s="76">
        <v>45821.0</v>
      </c>
      <c r="B8832" s="1" t="s">
        <v>281</v>
      </c>
      <c r="C8832" s="1" t="s">
        <v>52</v>
      </c>
      <c r="D8832" s="1">
        <v>7.2</v>
      </c>
      <c r="E8832" s="1">
        <v>15890.0</v>
      </c>
      <c r="F8832" s="10">
        <f t="shared" si="1"/>
        <v>7.666666667</v>
      </c>
      <c r="G8832" s="10">
        <f t="array" ref="G8832">index('Player ID'!C:C,match(E8832,'Player ID'!B:B,0))</f>
        <v>622663</v>
      </c>
    </row>
    <row r="8833">
      <c r="A8833" s="76">
        <v>45821.0</v>
      </c>
      <c r="B8833" s="1" t="s">
        <v>199</v>
      </c>
      <c r="C8833" s="1" t="s">
        <v>29</v>
      </c>
      <c r="D8833" s="1">
        <v>2.0</v>
      </c>
      <c r="E8833" s="1">
        <v>17611.0</v>
      </c>
      <c r="F8833" s="10">
        <f t="shared" si="1"/>
        <v>2</v>
      </c>
      <c r="G8833" s="10">
        <f t="array" ref="G8833">index('Player ID'!C:C,match(E8833,'Player ID'!B:B,0))</f>
        <v>664199</v>
      </c>
    </row>
    <row r="8834">
      <c r="A8834" s="76">
        <v>45821.0</v>
      </c>
      <c r="B8834" s="1" t="s">
        <v>214</v>
      </c>
      <c r="C8834" s="1" t="s">
        <v>29</v>
      </c>
      <c r="D8834" s="1">
        <v>0.2</v>
      </c>
      <c r="E8834" s="1">
        <v>23165.0</v>
      </c>
      <c r="F8834" s="10">
        <f t="shared" si="1"/>
        <v>0.6666666667</v>
      </c>
      <c r="G8834" s="10">
        <f t="array" ref="G8834">index('Player ID'!C:C,match(E8834,'Player ID'!B:B,0))</f>
        <v>674444</v>
      </c>
    </row>
    <row r="8835">
      <c r="A8835" s="76">
        <v>45821.0</v>
      </c>
      <c r="B8835" s="1" t="s">
        <v>286</v>
      </c>
      <c r="C8835" s="1" t="s">
        <v>52</v>
      </c>
      <c r="D8835" s="1">
        <v>1.0</v>
      </c>
      <c r="E8835" s="1">
        <v>31757.0</v>
      </c>
      <c r="F8835" s="10">
        <f t="shared" si="1"/>
        <v>1</v>
      </c>
      <c r="G8835" s="10">
        <f t="array" ref="G8835">index('Player ID'!C:C,match(E8835,'Player ID'!B:B,0))</f>
        <v>695243</v>
      </c>
    </row>
    <row r="8836">
      <c r="A8836" s="76">
        <v>45821.0</v>
      </c>
      <c r="B8836" s="1" t="s">
        <v>435</v>
      </c>
      <c r="C8836" s="1" t="s">
        <v>16</v>
      </c>
      <c r="D8836" s="1">
        <v>1.0</v>
      </c>
      <c r="E8836" s="1">
        <v>13293.0</v>
      </c>
      <c r="F8836" s="10">
        <f t="shared" si="1"/>
        <v>1</v>
      </c>
      <c r="G8836" s="10">
        <f t="array" ref="G8836">index('Player ID'!C:C,match(E8836,'Player ID'!B:B,0))</f>
        <v>543056</v>
      </c>
    </row>
    <row r="8837">
      <c r="A8837" s="76">
        <v>45821.0</v>
      </c>
      <c r="B8837" s="1" t="s">
        <v>38</v>
      </c>
      <c r="C8837" s="1" t="s">
        <v>39</v>
      </c>
      <c r="D8837" s="1">
        <v>1.0</v>
      </c>
      <c r="E8837" s="1">
        <v>13580.0</v>
      </c>
      <c r="F8837" s="10">
        <f t="shared" si="1"/>
        <v>1</v>
      </c>
      <c r="G8837" s="10">
        <f t="array" ref="G8837">index('Player ID'!C:C,match(E8837,'Player ID'!B:B,0))</f>
        <v>595345</v>
      </c>
    </row>
    <row r="8838">
      <c r="A8838" s="76">
        <v>45821.0</v>
      </c>
      <c r="B8838" s="1" t="s">
        <v>146</v>
      </c>
      <c r="C8838" s="1" t="s">
        <v>16</v>
      </c>
      <c r="D8838" s="1">
        <v>2.0</v>
      </c>
      <c r="E8838" s="1">
        <v>15145.0</v>
      </c>
      <c r="F8838" s="10">
        <f t="shared" si="1"/>
        <v>2</v>
      </c>
      <c r="G8838" s="10">
        <f t="array" ref="G8838">index('Player ID'!C:C,match(E8838,'Player ID'!B:B,0))</f>
        <v>623437</v>
      </c>
    </row>
    <row r="8839">
      <c r="A8839" s="76">
        <v>45821.0</v>
      </c>
      <c r="B8839" s="1" t="s">
        <v>359</v>
      </c>
      <c r="C8839" s="1" t="s">
        <v>39</v>
      </c>
      <c r="D8839" s="1">
        <v>1.0</v>
      </c>
      <c r="E8839" s="1">
        <v>20061.0</v>
      </c>
      <c r="F8839" s="10">
        <f t="shared" si="1"/>
        <v>1</v>
      </c>
      <c r="G8839" s="10">
        <f t="array" ref="G8839">index('Player ID'!C:C,match(E8839,'Player ID'!B:B,0))</f>
        <v>672391</v>
      </c>
    </row>
    <row r="8840">
      <c r="A8840" s="76">
        <v>45821.0</v>
      </c>
      <c r="B8840" s="1" t="s">
        <v>133</v>
      </c>
      <c r="C8840" s="1" t="s">
        <v>16</v>
      </c>
      <c r="D8840" s="1">
        <v>4.0</v>
      </c>
      <c r="E8840" s="1">
        <v>20099.0</v>
      </c>
      <c r="F8840" s="10">
        <f t="shared" si="1"/>
        <v>4</v>
      </c>
      <c r="G8840" s="10">
        <f t="array" ref="G8840">index('Player ID'!C:C,match(E8840,'Player ID'!B:B,0))</f>
        <v>663978</v>
      </c>
    </row>
    <row r="8841">
      <c r="A8841" s="76">
        <v>45821.0</v>
      </c>
      <c r="B8841" s="1" t="s">
        <v>28</v>
      </c>
      <c r="C8841" s="1" t="s">
        <v>16</v>
      </c>
      <c r="D8841" s="1">
        <v>1.0</v>
      </c>
      <c r="E8841" s="1">
        <v>20253.0</v>
      </c>
      <c r="F8841" s="10">
        <f t="shared" si="1"/>
        <v>1</v>
      </c>
      <c r="G8841" s="10">
        <f t="array" ref="G8841">index('Player ID'!C:C,match(E8841,'Player ID'!B:B,0))</f>
        <v>643377</v>
      </c>
    </row>
    <row r="8842">
      <c r="A8842" s="76">
        <v>45821.0</v>
      </c>
      <c r="B8842" s="1" t="s">
        <v>102</v>
      </c>
      <c r="C8842" s="1" t="s">
        <v>39</v>
      </c>
      <c r="D8842" s="1">
        <v>1.0</v>
      </c>
      <c r="E8842" s="1">
        <v>21345.0</v>
      </c>
      <c r="F8842" s="10">
        <f t="shared" si="1"/>
        <v>1</v>
      </c>
      <c r="G8842" s="10">
        <f t="array" ref="G8842">index('Player ID'!C:C,match(E8842,'Player ID'!B:B,0))</f>
        <v>656986</v>
      </c>
    </row>
    <row r="8843">
      <c r="A8843" s="76">
        <v>45821.0</v>
      </c>
      <c r="B8843" s="1" t="s">
        <v>197</v>
      </c>
      <c r="C8843" s="1" t="s">
        <v>39</v>
      </c>
      <c r="D8843" s="1">
        <v>6.0</v>
      </c>
      <c r="E8843" s="1">
        <v>31312.0</v>
      </c>
      <c r="F8843" s="10">
        <f t="shared" si="1"/>
        <v>6</v>
      </c>
      <c r="G8843" s="10">
        <f t="array" ref="G8843">index('Player ID'!C:C,match(E8843,'Player ID'!B:B,0))</f>
        <v>676467</v>
      </c>
    </row>
    <row r="8844">
      <c r="A8844" s="76">
        <v>45821.0</v>
      </c>
      <c r="B8844" s="1" t="s">
        <v>103</v>
      </c>
      <c r="C8844" s="1" t="s">
        <v>64</v>
      </c>
      <c r="D8844" s="1">
        <v>1.0</v>
      </c>
      <c r="E8844" s="1">
        <v>10197.0</v>
      </c>
      <c r="F8844" s="10">
        <f t="shared" si="1"/>
        <v>1</v>
      </c>
      <c r="G8844" s="10">
        <f t="array" ref="G8844">index('Player ID'!C:C,match(E8844,'Player ID'!B:B,0))</f>
        <v>571946</v>
      </c>
    </row>
    <row r="8845">
      <c r="A8845" s="76">
        <v>45821.0</v>
      </c>
      <c r="B8845" s="1" t="s">
        <v>404</v>
      </c>
      <c r="C8845" s="1" t="s">
        <v>26</v>
      </c>
      <c r="D8845" s="1">
        <v>1.0</v>
      </c>
      <c r="E8845" s="1">
        <v>14295.0</v>
      </c>
      <c r="F8845" s="10">
        <f t="shared" si="1"/>
        <v>1</v>
      </c>
      <c r="G8845" s="10">
        <f t="array" ref="G8845">index('Player ID'!C:C,match(E8845,'Player ID'!B:B,0))</f>
        <v>593974</v>
      </c>
    </row>
    <row r="8846">
      <c r="A8846" s="76">
        <v>45821.0</v>
      </c>
      <c r="B8846" s="1" t="s">
        <v>219</v>
      </c>
      <c r="C8846" s="1" t="s">
        <v>64</v>
      </c>
      <c r="D8846" s="1">
        <v>1.0</v>
      </c>
      <c r="E8846" s="1">
        <v>16647.0</v>
      </c>
      <c r="F8846" s="10">
        <f t="shared" si="1"/>
        <v>1</v>
      </c>
      <c r="G8846" s="10">
        <f t="array" ref="G8846">index('Player ID'!C:C,match(E8846,'Player ID'!B:B,0))</f>
        <v>657044</v>
      </c>
    </row>
    <row r="8847">
      <c r="A8847" s="76">
        <v>45821.0</v>
      </c>
      <c r="B8847" s="1" t="s">
        <v>179</v>
      </c>
      <c r="C8847" s="1" t="s">
        <v>26</v>
      </c>
      <c r="D8847" s="1">
        <v>4.1</v>
      </c>
      <c r="E8847" s="1">
        <v>21487.0</v>
      </c>
      <c r="F8847" s="10">
        <f t="shared" si="1"/>
        <v>4.333333333</v>
      </c>
      <c r="G8847" s="10">
        <f t="array" ref="G8847">index('Player ID'!C:C,match(E8847,'Player ID'!B:B,0))</f>
        <v>663568</v>
      </c>
    </row>
    <row r="8848">
      <c r="A8848" s="76">
        <v>45821.0</v>
      </c>
      <c r="B8848" s="1" t="s">
        <v>370</v>
      </c>
      <c r="C8848" s="1" t="s">
        <v>64</v>
      </c>
      <c r="D8848" s="1">
        <v>0.2</v>
      </c>
      <c r="E8848" s="1">
        <v>21924.0</v>
      </c>
      <c r="F8848" s="10">
        <f t="shared" si="1"/>
        <v>0.6666666667</v>
      </c>
      <c r="G8848" s="10">
        <f t="array" ref="G8848">index('Player ID'!C:C,match(E8848,'Player ID'!B:B,0))</f>
        <v>666661</v>
      </c>
    </row>
    <row r="8849">
      <c r="A8849" s="76">
        <v>45821.0</v>
      </c>
      <c r="B8849" s="1" t="s">
        <v>797</v>
      </c>
      <c r="C8849" s="1" t="s">
        <v>26</v>
      </c>
      <c r="D8849" s="1">
        <v>1.2</v>
      </c>
      <c r="E8849" s="1">
        <v>22253.0</v>
      </c>
      <c r="F8849" s="10">
        <f t="shared" si="1"/>
        <v>1.666666667</v>
      </c>
      <c r="G8849" s="10">
        <f t="array" ref="G8849">index('Player ID'!C:C,match(E8849,'Player ID'!B:B,0))</f>
        <v>669308</v>
      </c>
    </row>
    <row r="8850">
      <c r="A8850" s="76">
        <v>45821.0</v>
      </c>
      <c r="B8850" s="1" t="s">
        <v>93</v>
      </c>
      <c r="C8850" s="1" t="s">
        <v>64</v>
      </c>
      <c r="D8850" s="1">
        <v>5.0</v>
      </c>
      <c r="E8850" s="1">
        <v>26253.0</v>
      </c>
      <c r="F8850" s="10">
        <f t="shared" si="1"/>
        <v>5</v>
      </c>
      <c r="G8850" s="10">
        <f t="array" ref="G8850">index('Player ID'!C:C,match(E8850,'Player ID'!B:B,0))</f>
        <v>669194</v>
      </c>
    </row>
    <row r="8851">
      <c r="A8851" s="76">
        <v>45821.0</v>
      </c>
      <c r="B8851" s="1" t="s">
        <v>545</v>
      </c>
      <c r="C8851" s="1" t="s">
        <v>64</v>
      </c>
      <c r="D8851" s="1">
        <v>1.1</v>
      </c>
      <c r="E8851" s="1">
        <v>29615.0</v>
      </c>
      <c r="F8851" s="10">
        <f t="shared" si="1"/>
        <v>1.333333333</v>
      </c>
      <c r="G8851" s="10" t="str">
        <f t="array" ref="G8851">index('Player ID'!C:C,match(E8851,'Player ID'!B:B,0))</f>
        <v>#N/A</v>
      </c>
    </row>
    <row r="8852">
      <c r="A8852" s="76">
        <v>45821.0</v>
      </c>
      <c r="B8852" s="1" t="s">
        <v>498</v>
      </c>
      <c r="C8852" s="1" t="s">
        <v>26</v>
      </c>
      <c r="D8852" s="1">
        <v>1.0</v>
      </c>
      <c r="E8852" s="1">
        <v>31616.0</v>
      </c>
      <c r="F8852" s="10">
        <f t="shared" si="1"/>
        <v>1</v>
      </c>
      <c r="G8852" s="10" t="str">
        <f t="array" ref="G8852">index('Player ID'!C:C,match(E8852,'Player ID'!B:B,0))</f>
        <v>#N/A</v>
      </c>
    </row>
    <row r="8853">
      <c r="A8853" s="76">
        <v>45821.0</v>
      </c>
      <c r="B8853" s="1" t="s">
        <v>272</v>
      </c>
      <c r="C8853" s="1" t="s">
        <v>37</v>
      </c>
      <c r="D8853" s="1">
        <v>6.0</v>
      </c>
      <c r="E8853" s="1">
        <v>15689.0</v>
      </c>
      <c r="F8853" s="10">
        <f t="shared" si="1"/>
        <v>6</v>
      </c>
      <c r="G8853" s="10">
        <f t="array" ref="G8853">index('Player ID'!C:C,match(E8853,'Player ID'!B:B,0))</f>
        <v>622491</v>
      </c>
    </row>
    <row r="8854">
      <c r="A8854" s="76">
        <v>45821.0</v>
      </c>
      <c r="B8854" s="1" t="s">
        <v>259</v>
      </c>
      <c r="C8854" s="1" t="s">
        <v>70</v>
      </c>
      <c r="D8854" s="1">
        <v>1.2</v>
      </c>
      <c r="E8854" s="1">
        <v>18694.0</v>
      </c>
      <c r="F8854" s="10">
        <f t="shared" si="1"/>
        <v>1.666666667</v>
      </c>
      <c r="G8854" s="10">
        <f t="array" ref="G8854">index('Player ID'!C:C,match(E8854,'Player ID'!B:B,0))</f>
        <v>663465</v>
      </c>
    </row>
    <row r="8855">
      <c r="A8855" s="76">
        <v>45821.0</v>
      </c>
      <c r="B8855" s="1" t="s">
        <v>157</v>
      </c>
      <c r="C8855" s="1" t="s">
        <v>37</v>
      </c>
      <c r="D8855" s="1">
        <v>1.0</v>
      </c>
      <c r="E8855" s="1">
        <v>20997.0</v>
      </c>
      <c r="F8855" s="10">
        <f t="shared" si="1"/>
        <v>1</v>
      </c>
      <c r="G8855" s="10">
        <f t="array" ref="G8855">index('Player ID'!C:C,match(E8855,'Player ID'!B:B,0))</f>
        <v>660825</v>
      </c>
    </row>
    <row r="8856">
      <c r="A8856" s="76">
        <v>45821.0</v>
      </c>
      <c r="B8856" s="1" t="s">
        <v>101</v>
      </c>
      <c r="C8856" s="1" t="s">
        <v>37</v>
      </c>
      <c r="D8856" s="1">
        <v>1.0</v>
      </c>
      <c r="E8856" s="1">
        <v>22915.0</v>
      </c>
      <c r="F8856" s="10">
        <f t="shared" si="1"/>
        <v>1</v>
      </c>
      <c r="G8856" s="10">
        <f t="array" ref="G8856">index('Player ID'!C:C,match(E8856,'Player ID'!B:B,0))</f>
        <v>672841</v>
      </c>
    </row>
    <row r="8857">
      <c r="A8857" s="76">
        <v>45821.0</v>
      </c>
      <c r="B8857" s="1" t="s">
        <v>519</v>
      </c>
      <c r="C8857" s="1" t="s">
        <v>70</v>
      </c>
      <c r="D8857" s="1">
        <v>1.0</v>
      </c>
      <c r="E8857" s="1">
        <v>25139.0</v>
      </c>
      <c r="F8857" s="10">
        <f t="shared" si="1"/>
        <v>1</v>
      </c>
      <c r="G8857" s="10">
        <f t="array" ref="G8857">index('Player ID'!C:C,match(E8857,'Player ID'!B:B,0))</f>
        <v>682120</v>
      </c>
    </row>
    <row r="8858">
      <c r="A8858" s="76">
        <v>45821.0</v>
      </c>
      <c r="B8858" s="1" t="s">
        <v>238</v>
      </c>
      <c r="C8858" s="1" t="s">
        <v>70</v>
      </c>
      <c r="D8858" s="1">
        <v>0.1</v>
      </c>
      <c r="E8858" s="1">
        <v>25636.0</v>
      </c>
      <c r="F8858" s="10">
        <f t="shared" si="1"/>
        <v>0.3333333333</v>
      </c>
      <c r="G8858" s="10">
        <f t="array" ref="G8858">index('Player ID'!C:C,match(E8858,'Player ID'!B:B,0))</f>
        <v>683769</v>
      </c>
    </row>
    <row r="8859">
      <c r="A8859" s="76">
        <v>45821.0</v>
      </c>
      <c r="B8859" s="1" t="s">
        <v>254</v>
      </c>
      <c r="C8859" s="1" t="s">
        <v>37</v>
      </c>
      <c r="D8859" s="1">
        <v>1.0</v>
      </c>
      <c r="E8859" s="1">
        <v>25756.0</v>
      </c>
      <c r="F8859" s="10">
        <f t="shared" si="1"/>
        <v>1</v>
      </c>
      <c r="G8859" s="10">
        <f t="array" ref="G8859">index('Player ID'!C:C,match(E8859,'Player ID'!B:B,0))</f>
        <v>666374</v>
      </c>
    </row>
    <row r="8860">
      <c r="A8860" s="76">
        <v>45821.0</v>
      </c>
      <c r="B8860" s="1" t="s">
        <v>135</v>
      </c>
      <c r="C8860" s="1" t="s">
        <v>70</v>
      </c>
      <c r="D8860" s="1">
        <v>1.0</v>
      </c>
      <c r="E8860" s="1">
        <v>27867.0</v>
      </c>
      <c r="F8860" s="10">
        <f t="shared" si="1"/>
        <v>1</v>
      </c>
      <c r="G8860" s="10">
        <f t="array" ref="G8860">index('Player ID'!C:C,match(E8860,'Player ID'!B:B,0))</f>
        <v>671922</v>
      </c>
    </row>
    <row r="8861">
      <c r="A8861" s="76">
        <v>45821.0</v>
      </c>
      <c r="B8861" s="1" t="s">
        <v>376</v>
      </c>
      <c r="C8861" s="1" t="s">
        <v>70</v>
      </c>
      <c r="D8861" s="1">
        <v>4.0</v>
      </c>
      <c r="E8861" s="1">
        <v>30122.0</v>
      </c>
      <c r="F8861" s="10">
        <f t="shared" si="1"/>
        <v>4</v>
      </c>
      <c r="G8861" s="10">
        <f t="array" ref="G8861">index('Player ID'!C:C,match(E8861,'Player ID'!B:B,0))</f>
        <v>668909</v>
      </c>
    </row>
    <row r="8862">
      <c r="A8862" s="76">
        <v>45821.0</v>
      </c>
      <c r="B8862" s="1" t="s">
        <v>20</v>
      </c>
      <c r="C8862" s="1" t="s">
        <v>31</v>
      </c>
      <c r="D8862" s="1">
        <v>1.0</v>
      </c>
      <c r="E8862" s="1">
        <v>15541.0</v>
      </c>
      <c r="F8862" s="10">
        <f t="shared" si="1"/>
        <v>1</v>
      </c>
      <c r="G8862" s="10">
        <f t="array" ref="G8862">index('Player ID'!C:C,match(E8862,'Player ID'!B:B,0))</f>
        <v>643511</v>
      </c>
    </row>
    <row r="8863">
      <c r="A8863" s="76">
        <v>45821.0</v>
      </c>
      <c r="B8863" s="1" t="s">
        <v>77</v>
      </c>
      <c r="C8863" s="1" t="s">
        <v>31</v>
      </c>
      <c r="D8863" s="1">
        <v>7.0</v>
      </c>
      <c r="E8863" s="1">
        <v>17995.0</v>
      </c>
      <c r="F8863" s="10">
        <f t="shared" si="1"/>
        <v>7</v>
      </c>
      <c r="G8863" s="10">
        <f t="array" ref="G8863">index('Player ID'!C:C,match(E8863,'Player ID'!B:B,0))</f>
        <v>657277</v>
      </c>
    </row>
    <row r="8864">
      <c r="A8864" s="76">
        <v>45821.0</v>
      </c>
      <c r="B8864" s="1" t="s">
        <v>403</v>
      </c>
      <c r="C8864" s="1" t="s">
        <v>31</v>
      </c>
      <c r="D8864" s="1">
        <v>1.0</v>
      </c>
      <c r="E8864" s="1">
        <v>20423.0</v>
      </c>
      <c r="F8864" s="10">
        <f t="shared" si="1"/>
        <v>1</v>
      </c>
      <c r="G8864" s="10">
        <f t="array" ref="G8864">index('Player ID'!C:C,match(E8864,'Player ID'!B:B,0))</f>
        <v>676254</v>
      </c>
    </row>
    <row r="8865">
      <c r="A8865" s="76">
        <v>45821.0</v>
      </c>
      <c r="B8865" s="1" t="s">
        <v>198</v>
      </c>
      <c r="C8865" s="1" t="s">
        <v>33</v>
      </c>
      <c r="D8865" s="1">
        <v>4.1</v>
      </c>
      <c r="E8865" s="1">
        <v>31204.0</v>
      </c>
      <c r="F8865" s="10">
        <f t="shared" si="1"/>
        <v>4.333333333</v>
      </c>
      <c r="G8865" s="10">
        <f t="array" ref="G8865">index('Player ID'!C:C,match(E8865,'Player ID'!B:B,0))</f>
        <v>680736</v>
      </c>
    </row>
    <row r="8866">
      <c r="A8866" s="76">
        <v>45821.0</v>
      </c>
      <c r="B8866" s="1" t="s">
        <v>85</v>
      </c>
      <c r="C8866" s="1" t="s">
        <v>33</v>
      </c>
      <c r="D8866" s="1">
        <v>4.2</v>
      </c>
      <c r="E8866" s="1">
        <v>33825.0</v>
      </c>
      <c r="F8866" s="10">
        <f t="shared" si="1"/>
        <v>4.666666667</v>
      </c>
      <c r="G8866" s="10">
        <f t="array" ref="G8866">index('Player ID'!C:C,match(E8866,'Player ID'!B:B,0))</f>
        <v>808967</v>
      </c>
    </row>
    <row r="8867">
      <c r="A8867" s="76">
        <v>45822.0</v>
      </c>
      <c r="B8867" s="1" t="s">
        <v>666</v>
      </c>
      <c r="C8867" s="1" t="s">
        <v>62</v>
      </c>
      <c r="D8867" s="1">
        <v>1.0</v>
      </c>
      <c r="E8867" s="1">
        <v>12777.0</v>
      </c>
      <c r="F8867" s="10">
        <f t="shared" si="1"/>
        <v>1</v>
      </c>
      <c r="G8867" s="10">
        <f t="array" ref="G8867">index('Player ID'!C:C,match(E8867,'Player ID'!B:B,0))</f>
        <v>605154</v>
      </c>
    </row>
    <row r="8868">
      <c r="A8868" s="76">
        <v>45822.0</v>
      </c>
      <c r="B8868" s="1" t="s">
        <v>448</v>
      </c>
      <c r="C8868" s="1" t="s">
        <v>62</v>
      </c>
      <c r="D8868" s="1">
        <v>1.1</v>
      </c>
      <c r="E8868" s="1">
        <v>17381.0</v>
      </c>
      <c r="F8868" s="10">
        <f t="shared" si="1"/>
        <v>1.333333333</v>
      </c>
      <c r="G8868" s="10" t="str">
        <f t="array" ref="G8868">index('Player ID'!C:C,match(E8868,'Player ID'!B:B,0))</f>
        <v>#N/A</v>
      </c>
    </row>
    <row r="8869">
      <c r="A8869" s="76">
        <v>45822.0</v>
      </c>
      <c r="B8869" s="1" t="s">
        <v>316</v>
      </c>
      <c r="C8869" s="1" t="s">
        <v>62</v>
      </c>
      <c r="D8869" s="1">
        <v>4.2</v>
      </c>
      <c r="E8869" s="1">
        <v>17479.0</v>
      </c>
      <c r="F8869" s="10">
        <f t="shared" si="1"/>
        <v>4.666666667</v>
      </c>
      <c r="G8869" s="10">
        <f t="array" ref="G8869">index('Player ID'!C:C,match(E8869,'Player ID'!B:B,0))</f>
        <v>656427</v>
      </c>
    </row>
    <row r="8870">
      <c r="A8870" s="76">
        <v>45822.0</v>
      </c>
      <c r="B8870" s="1" t="s">
        <v>876</v>
      </c>
      <c r="C8870" s="1" t="s">
        <v>62</v>
      </c>
      <c r="D8870" s="1">
        <v>1.0</v>
      </c>
      <c r="E8870" s="1">
        <v>19452.0</v>
      </c>
      <c r="F8870" s="10">
        <f t="shared" si="1"/>
        <v>1</v>
      </c>
      <c r="G8870" s="10" t="str">
        <f t="array" ref="G8870">index('Player ID'!C:C,match(E8870,'Player ID'!B:B,0))</f>
        <v>#N/A</v>
      </c>
    </row>
    <row r="8871">
      <c r="A8871" s="76">
        <v>45822.0</v>
      </c>
      <c r="B8871" s="1" t="s">
        <v>345</v>
      </c>
      <c r="C8871" s="1" t="s">
        <v>66</v>
      </c>
      <c r="D8871" s="1">
        <v>1.0</v>
      </c>
      <c r="E8871" s="1">
        <v>19926.0</v>
      </c>
      <c r="F8871" s="10">
        <f t="shared" si="1"/>
        <v>1</v>
      </c>
      <c r="G8871" s="10">
        <f t="array" ref="G8871">index('Player ID'!C:C,match(E8871,'Player ID'!B:B,0))</f>
        <v>663574</v>
      </c>
    </row>
    <row r="8872">
      <c r="A8872" s="76">
        <v>45822.0</v>
      </c>
      <c r="B8872" s="1" t="s">
        <v>289</v>
      </c>
      <c r="C8872" s="1" t="s">
        <v>62</v>
      </c>
      <c r="D8872" s="1">
        <v>1.0</v>
      </c>
      <c r="E8872" s="1">
        <v>22304.0</v>
      </c>
      <c r="F8872" s="10">
        <f t="shared" si="1"/>
        <v>1</v>
      </c>
      <c r="G8872" s="10">
        <f t="array" ref="G8872">index('Player ID'!C:C,match(E8872,'Player ID'!B:B,0))</f>
        <v>669724</v>
      </c>
    </row>
    <row r="8873">
      <c r="A8873" s="76">
        <v>45822.0</v>
      </c>
      <c r="B8873" s="1" t="s">
        <v>518</v>
      </c>
      <c r="C8873" s="1" t="s">
        <v>66</v>
      </c>
      <c r="D8873" s="1">
        <v>1.0</v>
      </c>
      <c r="E8873" s="1">
        <v>24581.0</v>
      </c>
      <c r="F8873" s="10">
        <f t="shared" si="1"/>
        <v>1</v>
      </c>
      <c r="G8873" s="10">
        <f t="array" ref="G8873">index('Player ID'!C:C,match(E8873,'Player ID'!B:B,0))</f>
        <v>680689</v>
      </c>
    </row>
    <row r="8874">
      <c r="A8874" s="76">
        <v>45822.0</v>
      </c>
      <c r="B8874" s="1" t="s">
        <v>353</v>
      </c>
      <c r="C8874" s="1" t="s">
        <v>66</v>
      </c>
      <c r="D8874" s="1">
        <v>6.0</v>
      </c>
      <c r="E8874" s="1">
        <v>25377.0</v>
      </c>
      <c r="F8874" s="10">
        <f t="shared" si="1"/>
        <v>6</v>
      </c>
      <c r="G8874" s="10">
        <f t="array" ref="G8874">index('Player ID'!C:C,match(E8874,'Player ID'!B:B,0))</f>
        <v>663903</v>
      </c>
    </row>
    <row r="8875">
      <c r="A8875" s="76">
        <v>45822.0</v>
      </c>
      <c r="B8875" s="1" t="s">
        <v>211</v>
      </c>
      <c r="C8875" s="1" t="s">
        <v>66</v>
      </c>
      <c r="D8875" s="1">
        <v>1.0</v>
      </c>
      <c r="E8875" s="1">
        <v>27552.0</v>
      </c>
      <c r="F8875" s="10">
        <f t="shared" si="1"/>
        <v>1</v>
      </c>
      <c r="G8875" s="10">
        <f t="array" ref="G8875">index('Player ID'!C:C,match(E8875,'Player ID'!B:B,0))</f>
        <v>668933</v>
      </c>
    </row>
    <row r="8876">
      <c r="A8876" s="76">
        <v>45822.0</v>
      </c>
      <c r="B8876" s="1" t="s">
        <v>460</v>
      </c>
      <c r="C8876" s="1" t="s">
        <v>34</v>
      </c>
      <c r="D8876" s="1">
        <v>1.0</v>
      </c>
      <c r="E8876" s="1">
        <v>7005.0</v>
      </c>
      <c r="F8876" s="10">
        <f t="shared" si="1"/>
        <v>1</v>
      </c>
      <c r="G8876" s="10">
        <f t="array" ref="G8876">index('Player ID'!C:C,match(E8876,'Player ID'!B:B,0))</f>
        <v>519151</v>
      </c>
    </row>
    <row r="8877">
      <c r="A8877" s="76">
        <v>45822.0</v>
      </c>
      <c r="B8877" s="1" t="s">
        <v>203</v>
      </c>
      <c r="C8877" s="1" t="s">
        <v>34</v>
      </c>
      <c r="D8877" s="1">
        <v>1.0</v>
      </c>
      <c r="E8877" s="1">
        <v>11426.0</v>
      </c>
      <c r="F8877" s="10">
        <f t="shared" si="1"/>
        <v>1</v>
      </c>
      <c r="G8877" s="10">
        <f t="array" ref="G8877">index('Player ID'!C:C,match(E8877,'Player ID'!B:B,0))</f>
        <v>519141</v>
      </c>
    </row>
    <row r="8878">
      <c r="A8878" s="76">
        <v>45822.0</v>
      </c>
      <c r="B8878" s="1" t="s">
        <v>246</v>
      </c>
      <c r="C8878" s="1" t="s">
        <v>34</v>
      </c>
      <c r="D8878" s="1">
        <v>6.0</v>
      </c>
      <c r="E8878" s="1">
        <v>15440.0</v>
      </c>
      <c r="F8878" s="10">
        <f t="shared" si="1"/>
        <v>6</v>
      </c>
      <c r="G8878" s="10">
        <f t="array" ref="G8878">index('Player ID'!C:C,match(E8878,'Player ID'!B:B,0))</f>
        <v>571510</v>
      </c>
    </row>
    <row r="8879">
      <c r="A8879" s="76">
        <v>45822.0</v>
      </c>
      <c r="B8879" s="1" t="s">
        <v>443</v>
      </c>
      <c r="C8879" s="1" t="s">
        <v>60</v>
      </c>
      <c r="D8879" s="1">
        <v>0.2</v>
      </c>
      <c r="E8879" s="1">
        <v>16350.0</v>
      </c>
      <c r="F8879" s="10">
        <f t="shared" si="1"/>
        <v>0.6666666667</v>
      </c>
      <c r="G8879" s="10">
        <f t="array" ref="G8879">index('Player ID'!C:C,match(E8879,'Player ID'!B:B,0))</f>
        <v>621366</v>
      </c>
    </row>
    <row r="8880">
      <c r="A8880" s="76">
        <v>45822.0</v>
      </c>
      <c r="B8880" s="1" t="s">
        <v>277</v>
      </c>
      <c r="C8880" s="1" t="s">
        <v>60</v>
      </c>
      <c r="D8880" s="1">
        <v>2.0</v>
      </c>
      <c r="E8880" s="1">
        <v>23793.0</v>
      </c>
      <c r="F8880" s="10">
        <f t="shared" si="1"/>
        <v>2</v>
      </c>
      <c r="G8880" s="10" t="str">
        <f t="array" ref="G8880">index('Player ID'!C:C,match(E8880,'Player ID'!B:B,0))</f>
        <v>#N/A</v>
      </c>
    </row>
    <row r="8881">
      <c r="A8881" s="76">
        <v>45822.0</v>
      </c>
      <c r="B8881" s="1" t="s">
        <v>320</v>
      </c>
      <c r="C8881" s="1" t="s">
        <v>60</v>
      </c>
      <c r="D8881" s="1">
        <v>5.1</v>
      </c>
      <c r="E8881" s="1">
        <v>24728.0</v>
      </c>
      <c r="F8881" s="10">
        <f t="shared" si="1"/>
        <v>5.333333333</v>
      </c>
      <c r="G8881" s="10">
        <f t="array" ref="G8881">index('Player ID'!C:C,match(E8881,'Player ID'!B:B,0))</f>
        <v>681347</v>
      </c>
    </row>
    <row r="8882">
      <c r="A8882" s="76">
        <v>45822.0</v>
      </c>
      <c r="B8882" s="1" t="s">
        <v>167</v>
      </c>
      <c r="C8882" s="1" t="s">
        <v>34</v>
      </c>
      <c r="D8882" s="1">
        <v>1.0</v>
      </c>
      <c r="E8882" s="1">
        <v>27914.0</v>
      </c>
      <c r="F8882" s="10">
        <f t="shared" si="1"/>
        <v>1</v>
      </c>
      <c r="G8882" s="10">
        <f t="array" ref="G8882">index('Player ID'!C:C,match(E8882,'Player ID'!B:B,0))</f>
        <v>694037</v>
      </c>
    </row>
    <row r="8883">
      <c r="A8883" s="76">
        <v>45822.0</v>
      </c>
      <c r="B8883" s="1" t="s">
        <v>834</v>
      </c>
      <c r="C8883" s="1" t="s">
        <v>25</v>
      </c>
      <c r="D8883" s="1">
        <v>1.0</v>
      </c>
      <c r="E8883" s="1">
        <v>7836.0</v>
      </c>
      <c r="F8883" s="10">
        <f t="shared" si="1"/>
        <v>1</v>
      </c>
      <c r="G8883" s="10" t="str">
        <f t="array" ref="G8883">index('Player ID'!C:C,match(E8883,'Player ID'!B:B,0))</f>
        <v>#N/A</v>
      </c>
    </row>
    <row r="8884">
      <c r="A8884" s="76">
        <v>45822.0</v>
      </c>
      <c r="B8884" s="1" t="s">
        <v>660</v>
      </c>
      <c r="C8884" s="1" t="s">
        <v>25</v>
      </c>
      <c r="D8884" s="1">
        <v>1.0</v>
      </c>
      <c r="E8884" s="1">
        <v>11804.0</v>
      </c>
      <c r="F8884" s="10">
        <f t="shared" si="1"/>
        <v>1</v>
      </c>
      <c r="G8884" s="10">
        <f t="array" ref="G8884">index('Player ID'!C:C,match(E8884,'Player ID'!B:B,0))</f>
        <v>593576</v>
      </c>
    </row>
    <row r="8885">
      <c r="A8885" s="76">
        <v>45822.0</v>
      </c>
      <c r="B8885" s="1" t="s">
        <v>48</v>
      </c>
      <c r="C8885" s="1" t="s">
        <v>68</v>
      </c>
      <c r="D8885" s="1">
        <v>0.2</v>
      </c>
      <c r="E8885" s="1">
        <v>12828.0</v>
      </c>
      <c r="F8885" s="10">
        <f t="shared" si="1"/>
        <v>0.6666666667</v>
      </c>
      <c r="G8885" s="10" t="str">
        <f t="array" ref="G8885">index('Player ID'!C:C,match(E8885,'Player ID'!B:B,0))</f>
        <v>#N/A</v>
      </c>
    </row>
    <row r="8886">
      <c r="A8886" s="76">
        <v>45822.0</v>
      </c>
      <c r="B8886" s="1" t="s">
        <v>278</v>
      </c>
      <c r="C8886" s="1" t="s">
        <v>25</v>
      </c>
      <c r="D8886" s="1">
        <v>5.0</v>
      </c>
      <c r="E8886" s="1">
        <v>12880.0</v>
      </c>
      <c r="F8886" s="10">
        <f t="shared" si="1"/>
        <v>5</v>
      </c>
      <c r="G8886" s="10">
        <f t="array" ref="G8886">index('Player ID'!C:C,match(E8886,'Player ID'!B:B,0))</f>
        <v>542881</v>
      </c>
    </row>
    <row r="8887">
      <c r="A8887" s="76">
        <v>45822.0</v>
      </c>
      <c r="B8887" s="1" t="s">
        <v>639</v>
      </c>
      <c r="C8887" s="1" t="s">
        <v>68</v>
      </c>
      <c r="D8887" s="1">
        <v>1.0</v>
      </c>
      <c r="E8887" s="1">
        <v>19249.0</v>
      </c>
      <c r="F8887" s="10">
        <f t="shared" si="1"/>
        <v>1</v>
      </c>
      <c r="G8887" s="10">
        <f t="array" ref="G8887">index('Player ID'!C:C,match(E8887,'Player ID'!B:B,0))</f>
        <v>622554</v>
      </c>
    </row>
    <row r="8888">
      <c r="A8888" s="76">
        <v>45822.0</v>
      </c>
      <c r="B8888" s="1" t="s">
        <v>231</v>
      </c>
      <c r="C8888" s="1" t="s">
        <v>68</v>
      </c>
      <c r="D8888" s="1">
        <v>1.1</v>
      </c>
      <c r="E8888" s="1">
        <v>19362.0</v>
      </c>
      <c r="F8888" s="10">
        <f t="shared" si="1"/>
        <v>1.333333333</v>
      </c>
      <c r="G8888" s="10">
        <f t="array" ref="G8888">index('Player ID'!C:C,match(E8888,'Player ID'!B:B,0))</f>
        <v>669211</v>
      </c>
    </row>
    <row r="8889">
      <c r="A8889" s="76">
        <v>45822.0</v>
      </c>
      <c r="B8889" s="1" t="s">
        <v>698</v>
      </c>
      <c r="C8889" s="1" t="s">
        <v>68</v>
      </c>
      <c r="D8889" s="1">
        <v>1.0</v>
      </c>
      <c r="E8889" s="1">
        <v>20666.0</v>
      </c>
      <c r="F8889" s="10">
        <f t="shared" si="1"/>
        <v>1</v>
      </c>
      <c r="G8889" s="10">
        <f t="array" ref="G8889">index('Player ID'!C:C,match(E8889,'Player ID'!B:B,0))</f>
        <v>642585</v>
      </c>
    </row>
    <row r="8890">
      <c r="A8890" s="76">
        <v>45822.0</v>
      </c>
      <c r="B8890" s="1" t="s">
        <v>877</v>
      </c>
      <c r="C8890" s="1" t="s">
        <v>25</v>
      </c>
      <c r="D8890" s="1">
        <v>1.0</v>
      </c>
      <c r="E8890" s="1">
        <v>29754.0</v>
      </c>
      <c r="F8890" s="10">
        <f t="shared" si="1"/>
        <v>1</v>
      </c>
      <c r="G8890" s="10" t="str">
        <f t="array" ref="G8890">index('Player ID'!C:C,match(E8890,'Player ID'!B:B,0))</f>
        <v>#N/A</v>
      </c>
    </row>
    <row r="8891">
      <c r="A8891" s="76">
        <v>45822.0</v>
      </c>
      <c r="B8891" s="1" t="s">
        <v>158</v>
      </c>
      <c r="C8891" s="1" t="s">
        <v>68</v>
      </c>
      <c r="D8891" s="1">
        <v>4.2</v>
      </c>
      <c r="E8891" s="1">
        <v>35321.0</v>
      </c>
      <c r="F8891" s="10">
        <f t="shared" si="1"/>
        <v>4.666666667</v>
      </c>
      <c r="G8891" s="10">
        <f t="array" ref="G8891">index('Player ID'!C:C,match(E8891,'Player ID'!B:B,0))</f>
        <v>608372</v>
      </c>
    </row>
    <row r="8892">
      <c r="A8892" s="76">
        <v>45822.0</v>
      </c>
      <c r="B8892" s="1" t="s">
        <v>182</v>
      </c>
      <c r="C8892" s="1" t="s">
        <v>45</v>
      </c>
      <c r="D8892" s="1">
        <v>1.0</v>
      </c>
      <c r="E8892" s="1">
        <v>13799.0</v>
      </c>
      <c r="F8892" s="10">
        <f t="shared" si="1"/>
        <v>1</v>
      </c>
      <c r="G8892" s="10">
        <f t="array" ref="G8892">index('Player ID'!C:C,match(E8892,'Player ID'!B:B,0))</f>
        <v>621381</v>
      </c>
    </row>
    <row r="8893">
      <c r="A8893" s="76">
        <v>45822.0</v>
      </c>
      <c r="B8893" s="1" t="s">
        <v>174</v>
      </c>
      <c r="C8893" s="1" t="s">
        <v>40</v>
      </c>
      <c r="D8893" s="1">
        <v>1.0</v>
      </c>
      <c r="E8893" s="1">
        <v>15552.0</v>
      </c>
      <c r="F8893" s="10">
        <f t="shared" si="1"/>
        <v>1</v>
      </c>
      <c r="G8893" s="10">
        <f t="array" ref="G8893">index('Player ID'!C:C,match(E8893,'Player ID'!B:B,0))</f>
        <v>643338</v>
      </c>
    </row>
    <row r="8894">
      <c r="A8894" s="76">
        <v>45822.0</v>
      </c>
      <c r="B8894" s="1" t="s">
        <v>428</v>
      </c>
      <c r="C8894" s="1" t="s">
        <v>40</v>
      </c>
      <c r="D8894" s="1">
        <v>3.2</v>
      </c>
      <c r="E8894" s="1">
        <v>20548.0</v>
      </c>
      <c r="F8894" s="10">
        <f t="shared" si="1"/>
        <v>3.666666667</v>
      </c>
      <c r="G8894" s="10">
        <f t="array" ref="G8894">index('Player ID'!C:C,match(E8894,'Player ID'!B:B,0))</f>
        <v>670102</v>
      </c>
    </row>
    <row r="8895">
      <c r="A8895" s="76">
        <v>45822.0</v>
      </c>
      <c r="B8895" s="1" t="s">
        <v>747</v>
      </c>
      <c r="C8895" s="1" t="s">
        <v>45</v>
      </c>
      <c r="D8895" s="1">
        <v>7.0</v>
      </c>
      <c r="E8895" s="1">
        <v>20778.0</v>
      </c>
      <c r="F8895" s="10">
        <f t="shared" si="1"/>
        <v>7</v>
      </c>
      <c r="G8895" s="10">
        <f t="array" ref="G8895">index('Player ID'!C:C,match(E8895,'Player ID'!B:B,0))</f>
        <v>650911</v>
      </c>
    </row>
    <row r="8896">
      <c r="A8896" s="76">
        <v>45822.0</v>
      </c>
      <c r="B8896" s="1" t="s">
        <v>395</v>
      </c>
      <c r="C8896" s="1" t="s">
        <v>40</v>
      </c>
      <c r="D8896" s="1">
        <v>1.0</v>
      </c>
      <c r="E8896" s="1">
        <v>21574.0</v>
      </c>
      <c r="F8896" s="10">
        <f t="shared" si="1"/>
        <v>1</v>
      </c>
      <c r="G8896" s="10">
        <f t="array" ref="G8896">index('Player ID'!C:C,match(E8896,'Player ID'!B:B,0))</f>
        <v>663893</v>
      </c>
    </row>
    <row r="8897">
      <c r="A8897" s="76">
        <v>45822.0</v>
      </c>
      <c r="B8897" s="1" t="s">
        <v>315</v>
      </c>
      <c r="C8897" s="1" t="s">
        <v>40</v>
      </c>
      <c r="D8897" s="1">
        <v>1.0</v>
      </c>
      <c r="E8897" s="1">
        <v>24609.0</v>
      </c>
      <c r="F8897" s="10">
        <f t="shared" si="1"/>
        <v>1</v>
      </c>
      <c r="G8897" s="10">
        <f t="array" ref="G8897">index('Player ID'!C:C,match(E8897,'Player ID'!B:B,0))</f>
        <v>680755</v>
      </c>
    </row>
    <row r="8898">
      <c r="A8898" s="76">
        <v>45822.0</v>
      </c>
      <c r="B8898" s="1" t="s">
        <v>165</v>
      </c>
      <c r="C8898" s="1" t="s">
        <v>45</v>
      </c>
      <c r="D8898" s="1">
        <v>1.0</v>
      </c>
      <c r="E8898" s="1">
        <v>31776.0</v>
      </c>
      <c r="F8898" s="10">
        <f t="shared" si="1"/>
        <v>1</v>
      </c>
      <c r="G8898" s="10">
        <f t="array" ref="G8898">index('Player ID'!C:C,match(E8898,'Player ID'!B:B,0))</f>
        <v>689147</v>
      </c>
    </row>
    <row r="8899">
      <c r="A8899" s="76">
        <v>45822.0</v>
      </c>
      <c r="B8899" s="1" t="s">
        <v>427</v>
      </c>
      <c r="C8899" s="1" t="s">
        <v>40</v>
      </c>
      <c r="D8899" s="1">
        <v>1.1</v>
      </c>
      <c r="E8899" s="1">
        <v>33838.0</v>
      </c>
      <c r="F8899" s="10">
        <f t="shared" si="1"/>
        <v>1.333333333</v>
      </c>
      <c r="G8899" s="10">
        <f t="array" ref="G8899">index('Player ID'!C:C,match(E8899,'Player ID'!B:B,0))</f>
        <v>684320</v>
      </c>
    </row>
    <row r="8900">
      <c r="A8900" s="76">
        <v>45822.0</v>
      </c>
      <c r="B8900" s="1" t="s">
        <v>57</v>
      </c>
      <c r="C8900" s="1" t="s">
        <v>56</v>
      </c>
      <c r="D8900" s="1">
        <v>6.0</v>
      </c>
      <c r="E8900" s="1">
        <v>10954.0</v>
      </c>
      <c r="F8900" s="10">
        <f t="shared" si="1"/>
        <v>6</v>
      </c>
      <c r="G8900" s="10">
        <f t="array" ref="G8900">index('Player ID'!C:C,match(E8900,'Player ID'!B:B,0))</f>
        <v>594798</v>
      </c>
    </row>
    <row r="8901">
      <c r="A8901" s="76">
        <v>45822.0</v>
      </c>
      <c r="B8901" s="1" t="s">
        <v>162</v>
      </c>
      <c r="C8901" s="1" t="s">
        <v>56</v>
      </c>
      <c r="D8901" s="1">
        <v>0.2</v>
      </c>
      <c r="E8901" s="1">
        <v>11752.0</v>
      </c>
      <c r="F8901" s="10">
        <f t="shared" si="1"/>
        <v>0.6666666667</v>
      </c>
      <c r="G8901" s="10">
        <f t="array" ref="G8901">index('Player ID'!C:C,match(E8901,'Player ID'!B:B,0))</f>
        <v>592426</v>
      </c>
    </row>
    <row r="8902">
      <c r="A8902" s="76">
        <v>45822.0</v>
      </c>
      <c r="B8902" s="1" t="s">
        <v>151</v>
      </c>
      <c r="C8902" s="1" t="s">
        <v>56</v>
      </c>
      <c r="D8902" s="1">
        <v>1.0</v>
      </c>
      <c r="E8902" s="1">
        <v>13346.0</v>
      </c>
      <c r="F8902" s="10">
        <f t="shared" si="1"/>
        <v>1</v>
      </c>
      <c r="G8902" s="10">
        <f t="array" ref="G8902">index('Player ID'!C:C,match(E8902,'Player ID'!B:B,0))</f>
        <v>571948</v>
      </c>
    </row>
    <row r="8903">
      <c r="A8903" s="76">
        <v>45822.0</v>
      </c>
      <c r="B8903" s="1" t="s">
        <v>252</v>
      </c>
      <c r="C8903" s="1" t="s">
        <v>78</v>
      </c>
      <c r="D8903" s="1">
        <v>0.2</v>
      </c>
      <c r="E8903" s="1">
        <v>16061.0</v>
      </c>
      <c r="F8903" s="10">
        <f t="shared" si="1"/>
        <v>0.6666666667</v>
      </c>
      <c r="G8903" s="10">
        <f t="array" ref="G8903">index('Player ID'!C:C,match(E8903,'Player ID'!B:B,0))</f>
        <v>592155</v>
      </c>
    </row>
    <row r="8904">
      <c r="A8904" s="76">
        <v>45822.0</v>
      </c>
      <c r="B8904" s="1" t="s">
        <v>187</v>
      </c>
      <c r="C8904" s="1" t="s">
        <v>78</v>
      </c>
      <c r="D8904" s="1">
        <v>3.0</v>
      </c>
      <c r="E8904" s="1">
        <v>17735.0</v>
      </c>
      <c r="F8904" s="10">
        <f t="shared" si="1"/>
        <v>3</v>
      </c>
      <c r="G8904" s="10">
        <f t="array" ref="G8904">index('Player ID'!C:C,match(E8904,'Player ID'!B:B,0))</f>
        <v>641302</v>
      </c>
    </row>
    <row r="8905">
      <c r="A8905" s="76">
        <v>45822.0</v>
      </c>
      <c r="B8905" s="1" t="s">
        <v>349</v>
      </c>
      <c r="C8905" s="1" t="s">
        <v>56</v>
      </c>
      <c r="D8905" s="1">
        <v>1.0</v>
      </c>
      <c r="E8905" s="1">
        <v>19736.0</v>
      </c>
      <c r="F8905" s="10">
        <f t="shared" si="1"/>
        <v>1</v>
      </c>
      <c r="G8905" s="10">
        <f t="array" ref="G8905">index('Player ID'!C:C,match(E8905,'Player ID'!B:B,0))</f>
        <v>676961</v>
      </c>
    </row>
    <row r="8906">
      <c r="A8906" s="76">
        <v>45822.0</v>
      </c>
      <c r="B8906" s="1" t="s">
        <v>116</v>
      </c>
      <c r="C8906" s="1" t="s">
        <v>78</v>
      </c>
      <c r="D8906" s="1">
        <v>1.0</v>
      </c>
      <c r="E8906" s="1">
        <v>20353.0</v>
      </c>
      <c r="F8906" s="10">
        <f t="shared" si="1"/>
        <v>1</v>
      </c>
      <c r="G8906" s="10">
        <f t="array" ref="G8906">index('Player ID'!C:C,match(E8906,'Player ID'!B:B,0))</f>
        <v>621051</v>
      </c>
    </row>
    <row r="8907">
      <c r="A8907" s="76">
        <v>45822.0</v>
      </c>
      <c r="B8907" s="1" t="s">
        <v>111</v>
      </c>
      <c r="C8907" s="1" t="s">
        <v>56</v>
      </c>
      <c r="D8907" s="1">
        <v>2.0</v>
      </c>
      <c r="E8907" s="1">
        <v>21306.0</v>
      </c>
      <c r="F8907" s="10">
        <f t="shared" si="1"/>
        <v>2</v>
      </c>
      <c r="G8907" s="10">
        <f t="array" ref="G8907">index('Player ID'!C:C,match(E8907,'Player ID'!B:B,0))</f>
        <v>656641</v>
      </c>
    </row>
    <row r="8908">
      <c r="A8908" s="76">
        <v>45822.0</v>
      </c>
      <c r="B8908" s="1" t="s">
        <v>268</v>
      </c>
      <c r="C8908" s="1" t="s">
        <v>56</v>
      </c>
      <c r="D8908" s="1">
        <v>0.1</v>
      </c>
      <c r="E8908" s="1">
        <v>23363.0</v>
      </c>
      <c r="F8908" s="10">
        <f t="shared" si="1"/>
        <v>0.3333333333</v>
      </c>
      <c r="G8908" s="10">
        <f t="array" ref="G8908">index('Player ID'!C:C,match(E8908,'Player ID'!B:B,0))</f>
        <v>676395</v>
      </c>
    </row>
    <row r="8909">
      <c r="A8909" s="76">
        <v>45822.0</v>
      </c>
      <c r="B8909" s="1" t="s">
        <v>367</v>
      </c>
      <c r="C8909" s="1" t="s">
        <v>78</v>
      </c>
      <c r="D8909" s="1">
        <v>0.1</v>
      </c>
      <c r="E8909" s="1">
        <v>27668.0</v>
      </c>
      <c r="F8909" s="10">
        <f t="shared" si="1"/>
        <v>0.3333333333</v>
      </c>
      <c r="G8909" s="10">
        <f t="array" ref="G8909">index('Player ID'!C:C,match(E8909,'Player ID'!B:B,0))</f>
        <v>685126</v>
      </c>
    </row>
    <row r="8910">
      <c r="A8910" s="76">
        <v>45822.0</v>
      </c>
      <c r="B8910" s="1" t="s">
        <v>317</v>
      </c>
      <c r="C8910" s="1" t="s">
        <v>78</v>
      </c>
      <c r="D8910" s="1">
        <v>0.2</v>
      </c>
      <c r="E8910" s="1">
        <v>29950.0</v>
      </c>
      <c r="F8910" s="10">
        <f t="shared" si="1"/>
        <v>0.6666666667</v>
      </c>
      <c r="G8910" s="10">
        <f t="array" ref="G8910">index('Player ID'!C:C,match(E8910,'Player ID'!B:B,0))</f>
        <v>673929</v>
      </c>
    </row>
    <row r="8911">
      <c r="A8911" s="76">
        <v>45822.0</v>
      </c>
      <c r="B8911" s="1" t="s">
        <v>497</v>
      </c>
      <c r="C8911" s="1" t="s">
        <v>78</v>
      </c>
      <c r="D8911" s="1">
        <v>4.0</v>
      </c>
      <c r="E8911" s="1">
        <v>30105.0</v>
      </c>
      <c r="F8911" s="10">
        <f t="shared" si="1"/>
        <v>4</v>
      </c>
      <c r="G8911" s="10">
        <f t="array" ref="G8911">index('Player ID'!C:C,match(E8911,'Player ID'!B:B,0))</f>
        <v>678024</v>
      </c>
    </row>
    <row r="8912">
      <c r="A8912" s="76">
        <v>45822.0</v>
      </c>
      <c r="B8912" s="1" t="s">
        <v>106</v>
      </c>
      <c r="C8912" s="1" t="s">
        <v>78</v>
      </c>
      <c r="D8912" s="1">
        <v>1.0</v>
      </c>
      <c r="E8912" s="1">
        <v>33927.0</v>
      </c>
      <c r="F8912" s="10">
        <f t="shared" si="1"/>
        <v>1</v>
      </c>
      <c r="G8912" s="10" t="str">
        <f t="array" ref="G8912">index('Player ID'!C:C,match(E8912,'Player ID'!B:B,0))</f>
        <v>#N/A</v>
      </c>
    </row>
    <row r="8913">
      <c r="A8913" s="76">
        <v>45822.0</v>
      </c>
      <c r="B8913" s="1" t="s">
        <v>148</v>
      </c>
      <c r="C8913" s="1" t="s">
        <v>80</v>
      </c>
      <c r="D8913" s="1">
        <v>5.1</v>
      </c>
      <c r="E8913" s="1">
        <v>16977.0</v>
      </c>
      <c r="F8913" s="10">
        <f t="shared" si="1"/>
        <v>5.333333333</v>
      </c>
      <c r="G8913" s="10">
        <f t="array" ref="G8913">index('Player ID'!C:C,match(E8913,'Player ID'!B:B,0))</f>
        <v>592866</v>
      </c>
    </row>
    <row r="8914">
      <c r="A8914" s="76">
        <v>45822.0</v>
      </c>
      <c r="B8914" s="1" t="s">
        <v>89</v>
      </c>
      <c r="C8914" s="1" t="s">
        <v>36</v>
      </c>
      <c r="D8914" s="1">
        <v>0.2</v>
      </c>
      <c r="E8914" s="1">
        <v>19742.0</v>
      </c>
      <c r="F8914" s="10">
        <f t="shared" si="1"/>
        <v>0.6666666667</v>
      </c>
      <c r="G8914" s="10">
        <f t="array" ref="G8914">index('Player ID'!C:C,match(E8914,'Player ID'!B:B,0))</f>
        <v>669622</v>
      </c>
    </row>
    <row r="8915">
      <c r="A8915" s="76">
        <v>45822.0</v>
      </c>
      <c r="B8915" s="1" t="s">
        <v>262</v>
      </c>
      <c r="C8915" s="1" t="s">
        <v>36</v>
      </c>
      <c r="D8915" s="1">
        <v>0.1</v>
      </c>
      <c r="E8915" s="1">
        <v>20116.0</v>
      </c>
      <c r="F8915" s="10">
        <f t="shared" si="1"/>
        <v>0.3333333333</v>
      </c>
      <c r="G8915" s="10">
        <f t="array" ref="G8915">index('Player ID'!C:C,match(E8915,'Player ID'!B:B,0))</f>
        <v>676534</v>
      </c>
    </row>
    <row r="8916">
      <c r="A8916" s="76">
        <v>45822.0</v>
      </c>
      <c r="B8916" s="1" t="s">
        <v>508</v>
      </c>
      <c r="C8916" s="1" t="s">
        <v>80</v>
      </c>
      <c r="D8916" s="1">
        <v>0.2</v>
      </c>
      <c r="E8916" s="1">
        <v>23135.0</v>
      </c>
      <c r="F8916" s="10">
        <f t="shared" si="1"/>
        <v>0.6666666667</v>
      </c>
      <c r="G8916" s="10">
        <f t="array" ref="G8916">index('Player ID'!C:C,match(E8916,'Player ID'!B:B,0))</f>
        <v>674285</v>
      </c>
    </row>
    <row r="8917">
      <c r="A8917" s="76">
        <v>45822.0</v>
      </c>
      <c r="B8917" s="1" t="s">
        <v>35</v>
      </c>
      <c r="C8917" s="1" t="s">
        <v>36</v>
      </c>
      <c r="D8917" s="1">
        <v>5.2</v>
      </c>
      <c r="E8917" s="1">
        <v>23301.0</v>
      </c>
      <c r="F8917" s="10">
        <f t="shared" si="1"/>
        <v>5.666666667</v>
      </c>
      <c r="G8917" s="10">
        <f t="array" ref="G8917">index('Player ID'!C:C,match(E8917,'Player ID'!B:B,0))</f>
        <v>676083</v>
      </c>
    </row>
    <row r="8918">
      <c r="A8918" s="76">
        <v>45822.0</v>
      </c>
      <c r="B8918" s="1" t="s">
        <v>86</v>
      </c>
      <c r="C8918" s="1" t="s">
        <v>80</v>
      </c>
      <c r="D8918" s="1">
        <v>0.2</v>
      </c>
      <c r="E8918" s="1">
        <v>24017.0</v>
      </c>
      <c r="F8918" s="10">
        <f t="shared" si="1"/>
        <v>0.6666666667</v>
      </c>
      <c r="G8918" s="10">
        <f t="array" ref="G8918">index('Player ID'!C:C,match(E8918,'Player ID'!B:B,0))</f>
        <v>678606</v>
      </c>
    </row>
    <row r="8919">
      <c r="A8919" s="76">
        <v>45822.0</v>
      </c>
      <c r="B8919" s="1" t="s">
        <v>123</v>
      </c>
      <c r="C8919" s="1" t="s">
        <v>36</v>
      </c>
      <c r="D8919" s="1">
        <v>0.2</v>
      </c>
      <c r="E8919" s="1">
        <v>24094.0</v>
      </c>
      <c r="F8919" s="10">
        <f t="shared" si="1"/>
        <v>0.6666666667</v>
      </c>
      <c r="G8919" s="10">
        <f t="array" ref="G8919">index('Player ID'!C:C,match(E8919,'Player ID'!B:B,0))</f>
        <v>678692</v>
      </c>
    </row>
    <row r="8920">
      <c r="A8920" s="76">
        <v>45822.0</v>
      </c>
      <c r="B8920" s="1" t="s">
        <v>676</v>
      </c>
      <c r="C8920" s="1" t="s">
        <v>36</v>
      </c>
      <c r="D8920" s="1">
        <v>0.2</v>
      </c>
      <c r="E8920" s="1">
        <v>27453.0</v>
      </c>
      <c r="F8920" s="10">
        <f t="shared" si="1"/>
        <v>0.6666666667</v>
      </c>
      <c r="G8920" s="10">
        <f t="array" ref="G8920">index('Player ID'!C:C,match(E8920,'Player ID'!B:B,0))</f>
        <v>685107</v>
      </c>
    </row>
    <row r="8921">
      <c r="A8921" s="76">
        <v>45822.0</v>
      </c>
      <c r="B8921" s="1" t="s">
        <v>818</v>
      </c>
      <c r="C8921" s="1" t="s">
        <v>80</v>
      </c>
      <c r="D8921" s="1">
        <v>0.1</v>
      </c>
      <c r="E8921" s="1">
        <v>27783.0</v>
      </c>
      <c r="F8921" s="10">
        <f t="shared" si="1"/>
        <v>0.3333333333</v>
      </c>
      <c r="G8921" s="10">
        <f t="array" ref="G8921">index('Player ID'!C:C,match(E8921,'Player ID'!B:B,0))</f>
        <v>694350</v>
      </c>
    </row>
    <row r="8922">
      <c r="A8922" s="76">
        <v>45822.0</v>
      </c>
      <c r="B8922" s="1" t="s">
        <v>771</v>
      </c>
      <c r="C8922" s="1" t="s">
        <v>80</v>
      </c>
      <c r="D8922" s="1">
        <v>1.0</v>
      </c>
      <c r="E8922" s="1">
        <v>29521.0</v>
      </c>
      <c r="F8922" s="10">
        <f t="shared" si="1"/>
        <v>1</v>
      </c>
      <c r="G8922" s="10">
        <f t="array" ref="G8922">index('Player ID'!C:C,match(E8922,'Player ID'!B:B,0))</f>
        <v>702795</v>
      </c>
    </row>
    <row r="8923">
      <c r="A8923" s="76">
        <v>45822.0</v>
      </c>
      <c r="B8923" s="1" t="s">
        <v>266</v>
      </c>
      <c r="C8923" s="1" t="s">
        <v>36</v>
      </c>
      <c r="D8923" s="1">
        <v>1.0</v>
      </c>
      <c r="E8923" s="1">
        <v>31815.0</v>
      </c>
      <c r="F8923" s="10">
        <f t="shared" si="1"/>
        <v>1</v>
      </c>
      <c r="G8923" s="10">
        <f t="array" ref="G8923">index('Player ID'!C:C,match(E8923,'Player ID'!B:B,0))</f>
        <v>806188</v>
      </c>
    </row>
    <row r="8924">
      <c r="A8924" s="76">
        <v>45822.0</v>
      </c>
      <c r="B8924" s="1" t="s">
        <v>437</v>
      </c>
      <c r="C8924" s="1" t="s">
        <v>80</v>
      </c>
      <c r="D8924" s="1">
        <v>1.0</v>
      </c>
      <c r="E8924" s="1">
        <v>31972.0</v>
      </c>
      <c r="F8924" s="10">
        <f t="shared" si="1"/>
        <v>1</v>
      </c>
      <c r="G8924" s="10">
        <f t="array" ref="G8924">index('Player ID'!C:C,match(E8924,'Player ID'!B:B,0))</f>
        <v>695418</v>
      </c>
    </row>
    <row r="8925">
      <c r="A8925" s="76">
        <v>45822.0</v>
      </c>
      <c r="B8925" s="1" t="s">
        <v>436</v>
      </c>
      <c r="C8925" s="1" t="s">
        <v>52</v>
      </c>
      <c r="D8925" s="1">
        <v>2.0</v>
      </c>
      <c r="E8925" s="1">
        <v>12791.0</v>
      </c>
      <c r="F8925" s="10">
        <f t="shared" si="1"/>
        <v>2</v>
      </c>
      <c r="G8925" s="10" t="str">
        <f t="array" ref="G8925">index('Player ID'!C:C,match(E8925,'Player ID'!B:B,0))</f>
        <v>#N/A</v>
      </c>
    </row>
    <row r="8926">
      <c r="A8926" s="76">
        <v>45822.0</v>
      </c>
      <c r="B8926" s="1" t="s">
        <v>420</v>
      </c>
      <c r="C8926" s="1" t="s">
        <v>29</v>
      </c>
      <c r="D8926" s="1">
        <v>6.0</v>
      </c>
      <c r="E8926" s="1">
        <v>14843.0</v>
      </c>
      <c r="F8926" s="10">
        <f t="shared" si="1"/>
        <v>6</v>
      </c>
      <c r="G8926" s="10">
        <f t="array" ref="G8926">index('Player ID'!C:C,match(E8926,'Player ID'!B:B,0))</f>
        <v>547179</v>
      </c>
    </row>
    <row r="8927">
      <c r="A8927" s="76">
        <v>45822.0</v>
      </c>
      <c r="B8927" s="1" t="s">
        <v>227</v>
      </c>
      <c r="C8927" s="1" t="s">
        <v>52</v>
      </c>
      <c r="D8927" s="1">
        <v>1.0</v>
      </c>
      <c r="E8927" s="1">
        <v>21520.0</v>
      </c>
      <c r="F8927" s="10">
        <f t="shared" si="1"/>
        <v>1</v>
      </c>
      <c r="G8927" s="10">
        <f t="array" ref="G8927">index('Player ID'!C:C,match(E8927,'Player ID'!B:B,0))</f>
        <v>663687</v>
      </c>
    </row>
    <row r="8928">
      <c r="A8928" s="76">
        <v>45822.0</v>
      </c>
      <c r="B8928" s="1" t="s">
        <v>293</v>
      </c>
      <c r="C8928" s="1" t="s">
        <v>29</v>
      </c>
      <c r="D8928" s="1">
        <v>0.2</v>
      </c>
      <c r="E8928" s="1">
        <v>21537.0</v>
      </c>
      <c r="F8928" s="10">
        <f t="shared" si="1"/>
        <v>0.6666666667</v>
      </c>
      <c r="G8928" s="10">
        <f t="array" ref="G8928">index('Player ID'!C:C,match(E8928,'Player ID'!B:B,0))</f>
        <v>663738</v>
      </c>
    </row>
    <row r="8929">
      <c r="A8929" s="76">
        <v>45822.0</v>
      </c>
      <c r="B8929" s="1" t="s">
        <v>214</v>
      </c>
      <c r="C8929" s="1" t="s">
        <v>29</v>
      </c>
      <c r="D8929" s="1">
        <v>1.0</v>
      </c>
      <c r="E8929" s="1">
        <v>23165.0</v>
      </c>
      <c r="F8929" s="10">
        <f t="shared" si="1"/>
        <v>1</v>
      </c>
      <c r="G8929" s="10">
        <f t="array" ref="G8929">index('Player ID'!C:C,match(E8929,'Player ID'!B:B,0))</f>
        <v>674444</v>
      </c>
    </row>
    <row r="8930">
      <c r="A8930" s="76">
        <v>45822.0</v>
      </c>
      <c r="B8930" s="1" t="s">
        <v>236</v>
      </c>
      <c r="C8930" s="1" t="s">
        <v>29</v>
      </c>
      <c r="D8930" s="1">
        <v>1.1</v>
      </c>
      <c r="E8930" s="1">
        <v>24607.0</v>
      </c>
      <c r="F8930" s="10">
        <f t="shared" si="1"/>
        <v>1.333333333</v>
      </c>
      <c r="G8930" s="10">
        <f t="array" ref="G8930">index('Player ID'!C:C,match(E8930,'Player ID'!B:B,0))</f>
        <v>680742</v>
      </c>
    </row>
    <row r="8931">
      <c r="A8931" s="76">
        <v>45822.0</v>
      </c>
      <c r="B8931" s="1" t="s">
        <v>389</v>
      </c>
      <c r="C8931" s="1" t="s">
        <v>52</v>
      </c>
      <c r="D8931" s="1">
        <v>6.0</v>
      </c>
      <c r="E8931" s="1">
        <v>25098.0</v>
      </c>
      <c r="F8931" s="10">
        <f t="shared" si="1"/>
        <v>6</v>
      </c>
      <c r="G8931" s="10">
        <f t="array" ref="G8931">index('Player ID'!C:C,match(E8931,'Player ID'!B:B,0))</f>
        <v>682052</v>
      </c>
    </row>
    <row r="8932">
      <c r="A8932" s="76">
        <v>45822.0</v>
      </c>
      <c r="B8932" s="1" t="s">
        <v>784</v>
      </c>
      <c r="C8932" s="1" t="s">
        <v>54</v>
      </c>
      <c r="D8932" s="1">
        <v>0.2</v>
      </c>
      <c r="E8932" s="1">
        <v>15256.0</v>
      </c>
      <c r="F8932" s="10">
        <f t="shared" si="1"/>
        <v>0.6666666667</v>
      </c>
      <c r="G8932" s="10">
        <f t="array" ref="G8932">index('Player ID'!C:C,match(E8932,'Player ID'!B:B,0))</f>
        <v>642121</v>
      </c>
    </row>
    <row r="8933">
      <c r="A8933" s="76">
        <v>45822.0</v>
      </c>
      <c r="B8933" s="1" t="s">
        <v>292</v>
      </c>
      <c r="C8933" s="1" t="s">
        <v>51</v>
      </c>
      <c r="D8933" s="1">
        <v>1.0</v>
      </c>
      <c r="E8933" s="1">
        <v>15947.0</v>
      </c>
      <c r="F8933" s="10">
        <f t="shared" si="1"/>
        <v>1</v>
      </c>
      <c r="G8933" s="10">
        <f t="array" ref="G8933">index('Player ID'!C:C,match(E8933,'Player ID'!B:B,0))</f>
        <v>592773</v>
      </c>
    </row>
    <row r="8934">
      <c r="A8934" s="76">
        <v>45822.0</v>
      </c>
      <c r="B8934" s="1" t="s">
        <v>826</v>
      </c>
      <c r="C8934" s="1" t="s">
        <v>51</v>
      </c>
      <c r="D8934" s="1">
        <v>1.1</v>
      </c>
      <c r="E8934" s="1">
        <v>17169.0</v>
      </c>
      <c r="F8934" s="10">
        <f t="shared" si="1"/>
        <v>1.333333333</v>
      </c>
      <c r="G8934" s="10">
        <f t="array" ref="G8934">index('Player ID'!C:C,match(E8934,'Player ID'!B:B,0))</f>
        <v>620454</v>
      </c>
    </row>
    <row r="8935">
      <c r="A8935" s="76">
        <v>45822.0</v>
      </c>
      <c r="B8935" s="1" t="s">
        <v>185</v>
      </c>
      <c r="C8935" s="1" t="s">
        <v>54</v>
      </c>
      <c r="D8935" s="1">
        <v>0.1</v>
      </c>
      <c r="E8935" s="1">
        <v>17897.0</v>
      </c>
      <c r="F8935" s="10">
        <f t="shared" si="1"/>
        <v>0.3333333333</v>
      </c>
      <c r="G8935" s="10">
        <f t="array" ref="G8935">index('Player ID'!C:C,match(E8935,'Player ID'!B:B,0))</f>
        <v>664076</v>
      </c>
    </row>
    <row r="8936">
      <c r="A8936" s="76">
        <v>45822.0</v>
      </c>
      <c r="B8936" s="1" t="s">
        <v>872</v>
      </c>
      <c r="C8936" s="1" t="s">
        <v>51</v>
      </c>
      <c r="D8936" s="1">
        <v>1.0</v>
      </c>
      <c r="E8936" s="1">
        <v>19784.0</v>
      </c>
      <c r="F8936" s="10">
        <f t="shared" si="1"/>
        <v>1</v>
      </c>
      <c r="G8936" s="10" t="str">
        <f t="array" ref="G8936">index('Player ID'!C:C,match(E8936,'Player ID'!B:B,0))</f>
        <v>#N/A</v>
      </c>
    </row>
    <row r="8937">
      <c r="A8937" s="76">
        <v>45822.0</v>
      </c>
      <c r="B8937" s="1" t="s">
        <v>386</v>
      </c>
      <c r="C8937" s="1" t="s">
        <v>51</v>
      </c>
      <c r="D8937" s="1">
        <v>3.2</v>
      </c>
      <c r="E8937" s="1">
        <v>21318.0</v>
      </c>
      <c r="F8937" s="10">
        <f t="shared" si="1"/>
        <v>3.666666667</v>
      </c>
      <c r="G8937" s="10">
        <f t="array" ref="G8937">index('Player ID'!C:C,match(E8937,'Player ID'!B:B,0))</f>
        <v>656731</v>
      </c>
    </row>
    <row r="8938">
      <c r="A8938" s="76">
        <v>45822.0</v>
      </c>
      <c r="B8938" s="1" t="s">
        <v>204</v>
      </c>
      <c r="C8938" s="1" t="s">
        <v>54</v>
      </c>
      <c r="D8938" s="1">
        <v>2.0</v>
      </c>
      <c r="E8938" s="1">
        <v>22288.0</v>
      </c>
      <c r="F8938" s="10">
        <f t="shared" si="1"/>
        <v>2</v>
      </c>
      <c r="G8938" s="10">
        <f t="array" ref="G8938">index('Player ID'!C:C,match(E8938,'Player ID'!B:B,0))</f>
        <v>669438</v>
      </c>
    </row>
    <row r="8939">
      <c r="A8939" s="76">
        <v>45822.0</v>
      </c>
      <c r="B8939" s="1" t="s">
        <v>712</v>
      </c>
      <c r="C8939" s="1" t="s">
        <v>51</v>
      </c>
      <c r="D8939" s="1">
        <v>2.0</v>
      </c>
      <c r="E8939" s="1">
        <v>23313.0</v>
      </c>
      <c r="F8939" s="10">
        <f t="shared" si="1"/>
        <v>2</v>
      </c>
      <c r="G8939" s="10">
        <f t="array" ref="G8939">index('Player ID'!C:C,match(E8939,'Player ID'!B:B,0))</f>
        <v>676130</v>
      </c>
    </row>
    <row r="8940">
      <c r="A8940" s="76">
        <v>45822.0</v>
      </c>
      <c r="B8940" s="1" t="s">
        <v>97</v>
      </c>
      <c r="C8940" s="1" t="s">
        <v>54</v>
      </c>
      <c r="D8940" s="1">
        <v>5.0</v>
      </c>
      <c r="E8940" s="1">
        <v>25385.0</v>
      </c>
      <c r="F8940" s="10">
        <f t="shared" si="1"/>
        <v>5</v>
      </c>
      <c r="G8940" s="10">
        <f t="array" ref="G8940">index('Player ID'!C:C,match(E8940,'Player ID'!B:B,0))</f>
        <v>656876</v>
      </c>
    </row>
    <row r="8941">
      <c r="A8941" s="76">
        <v>45822.0</v>
      </c>
      <c r="B8941" s="1" t="s">
        <v>110</v>
      </c>
      <c r="C8941" s="1" t="s">
        <v>54</v>
      </c>
      <c r="D8941" s="1">
        <v>1.0</v>
      </c>
      <c r="E8941" s="1">
        <v>25679.0</v>
      </c>
      <c r="F8941" s="10">
        <f t="shared" si="1"/>
        <v>1</v>
      </c>
      <c r="G8941" s="10">
        <f t="array" ref="G8941">index('Player ID'!C:C,match(E8941,'Player ID'!B:B,0))</f>
        <v>687330</v>
      </c>
    </row>
    <row r="8942">
      <c r="A8942" s="76">
        <v>45822.0</v>
      </c>
      <c r="B8942" s="1" t="s">
        <v>59</v>
      </c>
      <c r="C8942" s="1" t="s">
        <v>39</v>
      </c>
      <c r="D8942" s="1">
        <v>1.0</v>
      </c>
      <c r="E8942" s="1">
        <v>14212.0</v>
      </c>
      <c r="F8942" s="10">
        <f t="shared" si="1"/>
        <v>1</v>
      </c>
      <c r="G8942" s="10">
        <f t="array" ref="G8942">index('Player ID'!C:C,match(E8942,'Player ID'!B:B,0))</f>
        <v>623352</v>
      </c>
    </row>
    <row r="8943">
      <c r="A8943" s="76">
        <v>45822.0</v>
      </c>
      <c r="B8943" s="1" t="s">
        <v>210</v>
      </c>
      <c r="C8943" s="1" t="s">
        <v>39</v>
      </c>
      <c r="D8943" s="1">
        <v>1.0</v>
      </c>
      <c r="E8943" s="1">
        <v>16609.0</v>
      </c>
      <c r="F8943" s="10">
        <f t="shared" si="1"/>
        <v>1</v>
      </c>
      <c r="G8943" s="10">
        <f t="array" ref="G8943">index('Player ID'!C:C,match(E8943,'Player ID'!B:B,0))</f>
        <v>650556</v>
      </c>
    </row>
    <row r="8944">
      <c r="A8944" s="76">
        <v>45822.0</v>
      </c>
      <c r="B8944" s="1" t="s">
        <v>28</v>
      </c>
      <c r="C8944" s="1" t="s">
        <v>16</v>
      </c>
      <c r="D8944" s="1">
        <v>1.0</v>
      </c>
      <c r="E8944" s="1">
        <v>20253.0</v>
      </c>
      <c r="F8944" s="10">
        <f t="shared" si="1"/>
        <v>1</v>
      </c>
      <c r="G8944" s="10">
        <f t="array" ref="G8944">index('Player ID'!C:C,match(E8944,'Player ID'!B:B,0))</f>
        <v>643377</v>
      </c>
    </row>
    <row r="8945">
      <c r="A8945" s="76">
        <v>45822.0</v>
      </c>
      <c r="B8945" s="1" t="s">
        <v>122</v>
      </c>
      <c r="C8945" s="1" t="s">
        <v>16</v>
      </c>
      <c r="D8945" s="1">
        <v>0.2</v>
      </c>
      <c r="E8945" s="1">
        <v>21029.0</v>
      </c>
      <c r="F8945" s="10">
        <f t="shared" si="1"/>
        <v>0.6666666667</v>
      </c>
      <c r="G8945" s="10">
        <f t="array" ref="G8945">index('Player ID'!C:C,match(E8945,'Player ID'!B:B,0))</f>
        <v>661395</v>
      </c>
    </row>
    <row r="8946">
      <c r="A8946" s="76">
        <v>45822.0</v>
      </c>
      <c r="B8946" s="1" t="s">
        <v>150</v>
      </c>
      <c r="C8946" s="1" t="s">
        <v>16</v>
      </c>
      <c r="D8946" s="1">
        <v>7.0</v>
      </c>
      <c r="E8946" s="1">
        <v>21390.0</v>
      </c>
      <c r="F8946" s="10">
        <f t="shared" si="1"/>
        <v>7</v>
      </c>
      <c r="G8946" s="10">
        <f t="array" ref="G8946">index('Player ID'!C:C,match(E8946,'Player ID'!B:B,0))</f>
        <v>657746</v>
      </c>
    </row>
    <row r="8947">
      <c r="A8947" s="76">
        <v>45822.0</v>
      </c>
      <c r="B8947" s="1" t="s">
        <v>339</v>
      </c>
      <c r="C8947" s="1" t="s">
        <v>39</v>
      </c>
      <c r="D8947" s="1">
        <v>7.0</v>
      </c>
      <c r="E8947" s="1">
        <v>25880.0</v>
      </c>
      <c r="F8947" s="10">
        <f t="shared" si="1"/>
        <v>7</v>
      </c>
      <c r="G8947" s="10">
        <f t="array" ref="G8947">index('Player ID'!C:C,match(E8947,'Player ID'!B:B,0))</f>
        <v>686613</v>
      </c>
    </row>
    <row r="8948">
      <c r="A8948" s="76">
        <v>45822.0</v>
      </c>
      <c r="B8948" s="1" t="s">
        <v>326</v>
      </c>
      <c r="C8948" s="1" t="s">
        <v>46</v>
      </c>
      <c r="D8948" s="1">
        <v>2.0</v>
      </c>
      <c r="E8948" s="1">
        <v>12760.0</v>
      </c>
      <c r="F8948" s="10">
        <f t="shared" si="1"/>
        <v>2</v>
      </c>
      <c r="G8948" s="10">
        <f t="array" ref="G8948">index('Player ID'!C:C,match(E8948,'Player ID'!B:B,0))</f>
        <v>606160</v>
      </c>
    </row>
    <row r="8949">
      <c r="A8949" s="76">
        <v>45822.0</v>
      </c>
      <c r="B8949" s="1" t="s">
        <v>91</v>
      </c>
      <c r="C8949" s="1" t="s">
        <v>46</v>
      </c>
      <c r="D8949" s="1">
        <v>1.0</v>
      </c>
      <c r="E8949" s="1">
        <v>19996.0</v>
      </c>
      <c r="F8949" s="10">
        <f t="shared" si="1"/>
        <v>1</v>
      </c>
      <c r="G8949" s="10">
        <f t="array" ref="G8949">index('Player ID'!C:C,match(E8949,'Player ID'!B:B,0))</f>
        <v>669276</v>
      </c>
    </row>
    <row r="8950">
      <c r="A8950" s="76">
        <v>45822.0</v>
      </c>
      <c r="B8950" s="1" t="s">
        <v>517</v>
      </c>
      <c r="C8950" s="1" t="s">
        <v>75</v>
      </c>
      <c r="D8950" s="1">
        <v>2.0</v>
      </c>
      <c r="E8950" s="1">
        <v>26952.0</v>
      </c>
      <c r="F8950" s="10">
        <f t="shared" si="1"/>
        <v>2</v>
      </c>
      <c r="G8950" s="10">
        <f t="array" ref="G8950">index('Player ID'!C:C,match(E8950,'Player ID'!B:B,0))</f>
        <v>683627</v>
      </c>
    </row>
    <row r="8951">
      <c r="A8951" s="76">
        <v>45822.0</v>
      </c>
      <c r="B8951" s="1" t="s">
        <v>472</v>
      </c>
      <c r="C8951" s="1" t="s">
        <v>46</v>
      </c>
      <c r="D8951" s="1">
        <v>6.0</v>
      </c>
      <c r="E8951" s="1">
        <v>27498.0</v>
      </c>
      <c r="F8951" s="10">
        <f t="shared" si="1"/>
        <v>6</v>
      </c>
      <c r="G8951" s="10">
        <f t="array" ref="G8951">index('Player ID'!C:C,match(E8951,'Player ID'!B:B,0))</f>
        <v>675911</v>
      </c>
    </row>
    <row r="8952">
      <c r="A8952" s="76">
        <v>45822.0</v>
      </c>
      <c r="B8952" s="1" t="s">
        <v>495</v>
      </c>
      <c r="C8952" s="1" t="s">
        <v>75</v>
      </c>
      <c r="D8952" s="1">
        <v>6.0</v>
      </c>
      <c r="E8952" s="1">
        <v>33482.0</v>
      </c>
      <c r="F8952" s="10">
        <f t="shared" si="1"/>
        <v>6</v>
      </c>
      <c r="G8952" s="10">
        <f t="array" ref="G8952">index('Player ID'!C:C,match(E8952,'Player ID'!B:B,0))</f>
        <v>801403</v>
      </c>
    </row>
    <row r="8953">
      <c r="A8953" s="76">
        <v>45822.0</v>
      </c>
      <c r="B8953" s="1" t="s">
        <v>476</v>
      </c>
      <c r="C8953" s="1" t="s">
        <v>14</v>
      </c>
      <c r="D8953" s="1">
        <v>4.1</v>
      </c>
      <c r="E8953" s="1">
        <v>11423.0</v>
      </c>
      <c r="F8953" s="10">
        <f t="shared" si="1"/>
        <v>4.333333333</v>
      </c>
      <c r="G8953" s="10">
        <f t="array" ref="G8953">index('Player ID'!C:C,match(E8953,'Player ID'!B:B,0))</f>
        <v>500779</v>
      </c>
    </row>
    <row r="8954">
      <c r="A8954" s="76">
        <v>45822.0</v>
      </c>
      <c r="B8954" s="1" t="s">
        <v>724</v>
      </c>
      <c r="C8954" s="1" t="s">
        <v>14</v>
      </c>
      <c r="D8954" s="1">
        <v>1.0</v>
      </c>
      <c r="E8954" s="1">
        <v>15094.0</v>
      </c>
      <c r="F8954" s="10">
        <f t="shared" si="1"/>
        <v>1</v>
      </c>
      <c r="G8954" s="10">
        <f t="array" ref="G8954">index('Player ID'!C:C,match(E8954,'Player ID'!B:B,0))</f>
        <v>642239</v>
      </c>
    </row>
    <row r="8955">
      <c r="A8955" s="76">
        <v>45822.0</v>
      </c>
      <c r="B8955" s="1" t="s">
        <v>190</v>
      </c>
      <c r="C8955" s="1" t="s">
        <v>72</v>
      </c>
      <c r="D8955" s="1">
        <v>1.1</v>
      </c>
      <c r="E8955" s="1">
        <v>18064.0</v>
      </c>
      <c r="F8955" s="10">
        <f t="shared" si="1"/>
        <v>1.333333333</v>
      </c>
      <c r="G8955" s="10">
        <f t="array" ref="G8955">index('Player ID'!C:C,match(E8955,'Player ID'!B:B,0))</f>
        <v>664208</v>
      </c>
    </row>
    <row r="8956">
      <c r="A8956" s="76">
        <v>45822.0</v>
      </c>
      <c r="B8956" s="1" t="s">
        <v>270</v>
      </c>
      <c r="C8956" s="1" t="s">
        <v>72</v>
      </c>
      <c r="D8956" s="1">
        <v>1.0</v>
      </c>
      <c r="E8956" s="1">
        <v>18138.0</v>
      </c>
      <c r="F8956" s="10">
        <f t="shared" si="1"/>
        <v>1</v>
      </c>
      <c r="G8956" s="10">
        <f t="array" ref="G8956">index('Player ID'!C:C,match(E8956,'Player ID'!B:B,0))</f>
        <v>664854</v>
      </c>
    </row>
    <row r="8957">
      <c r="A8957" s="76">
        <v>45822.0</v>
      </c>
      <c r="B8957" s="1" t="s">
        <v>193</v>
      </c>
      <c r="C8957" s="1" t="s">
        <v>72</v>
      </c>
      <c r="D8957" s="1">
        <v>0.2</v>
      </c>
      <c r="E8957" s="1">
        <v>19574.0</v>
      </c>
      <c r="F8957" s="10">
        <f t="shared" si="1"/>
        <v>0.6666666667</v>
      </c>
      <c r="G8957" s="10">
        <f t="array" ref="G8957">index('Player ID'!C:C,match(E8957,'Player ID'!B:B,0))</f>
        <v>668941</v>
      </c>
    </row>
    <row r="8958">
      <c r="A8958" s="76">
        <v>45822.0</v>
      </c>
      <c r="B8958" s="1" t="s">
        <v>318</v>
      </c>
      <c r="C8958" s="1" t="s">
        <v>14</v>
      </c>
      <c r="D8958" s="1">
        <v>1.2</v>
      </c>
      <c r="E8958" s="1">
        <v>20546.0</v>
      </c>
      <c r="F8958" s="10">
        <f t="shared" si="1"/>
        <v>1.666666667</v>
      </c>
      <c r="G8958" s="10">
        <f t="array" ref="G8958">index('Player ID'!C:C,match(E8958,'Player ID'!B:B,0))</f>
        <v>681982</v>
      </c>
    </row>
    <row r="8959">
      <c r="A8959" s="76">
        <v>45822.0</v>
      </c>
      <c r="B8959" s="1" t="s">
        <v>265</v>
      </c>
      <c r="C8959" s="1" t="s">
        <v>14</v>
      </c>
      <c r="D8959" s="1">
        <v>2.0</v>
      </c>
      <c r="E8959" s="1">
        <v>22207.0</v>
      </c>
      <c r="F8959" s="10">
        <f t="shared" si="1"/>
        <v>2</v>
      </c>
      <c r="G8959" s="10" t="str">
        <f t="array" ref="G8959">index('Player ID'!C:C,match(E8959,'Player ID'!B:B,0))</f>
        <v>#N/A</v>
      </c>
    </row>
    <row r="8960">
      <c r="A8960" s="76">
        <v>45822.0</v>
      </c>
      <c r="B8960" s="1" t="s">
        <v>170</v>
      </c>
      <c r="C8960" s="1" t="s">
        <v>72</v>
      </c>
      <c r="D8960" s="1">
        <v>1.2</v>
      </c>
      <c r="E8960" s="1">
        <v>24763.0</v>
      </c>
      <c r="F8960" s="10">
        <f t="shared" si="1"/>
        <v>1.666666667</v>
      </c>
      <c r="G8960" s="10">
        <f t="array" ref="G8960">index('Player ID'!C:C,match(E8960,'Player ID'!B:B,0))</f>
        <v>681517</v>
      </c>
    </row>
    <row r="8961">
      <c r="A8961" s="76">
        <v>45822.0</v>
      </c>
      <c r="B8961" s="1" t="s">
        <v>432</v>
      </c>
      <c r="C8961" s="1" t="s">
        <v>72</v>
      </c>
      <c r="D8961" s="1">
        <v>4.1</v>
      </c>
      <c r="E8961" s="1">
        <v>26108.0</v>
      </c>
      <c r="F8961" s="10">
        <f t="shared" si="1"/>
        <v>4.333333333</v>
      </c>
      <c r="G8961" s="10">
        <f t="array" ref="G8961">index('Player ID'!C:C,match(E8961,'Player ID'!B:B,0))</f>
        <v>669467</v>
      </c>
    </row>
    <row r="8962">
      <c r="A8962" s="76">
        <v>45822.0</v>
      </c>
      <c r="B8962" s="1" t="s">
        <v>230</v>
      </c>
      <c r="C8962" s="1" t="s">
        <v>22</v>
      </c>
      <c r="D8962" s="1">
        <v>1.2</v>
      </c>
      <c r="E8962" s="1">
        <v>4301.0</v>
      </c>
      <c r="F8962" s="10">
        <f t="shared" si="1"/>
        <v>1.666666667</v>
      </c>
      <c r="G8962" s="10">
        <f t="array" ref="G8962">index('Player ID'!C:C,match(E8962,'Player ID'!B:B,0))</f>
        <v>458677</v>
      </c>
    </row>
    <row r="8963">
      <c r="A8963" s="76">
        <v>45822.0</v>
      </c>
      <c r="B8963" s="1" t="s">
        <v>635</v>
      </c>
      <c r="C8963" s="1" t="s">
        <v>58</v>
      </c>
      <c r="D8963" s="1">
        <v>5.0</v>
      </c>
      <c r="E8963" s="1">
        <v>16137.0</v>
      </c>
      <c r="F8963" s="10">
        <f t="shared" si="1"/>
        <v>5</v>
      </c>
      <c r="G8963" s="10">
        <f t="array" ref="G8963">index('Player ID'!C:C,match(E8963,'Player ID'!B:B,0))</f>
        <v>607074</v>
      </c>
    </row>
    <row r="8964">
      <c r="A8964" s="76">
        <v>45822.0</v>
      </c>
      <c r="B8964" s="1" t="s">
        <v>406</v>
      </c>
      <c r="C8964" s="1" t="s">
        <v>22</v>
      </c>
      <c r="D8964" s="1">
        <v>1.0</v>
      </c>
      <c r="E8964" s="1">
        <v>20375.0</v>
      </c>
      <c r="F8964" s="10">
        <f t="shared" si="1"/>
        <v>1</v>
      </c>
      <c r="G8964" s="10">
        <f t="array" ref="G8964">index('Player ID'!C:C,match(E8964,'Player ID'!B:B,0))</f>
        <v>669711</v>
      </c>
    </row>
    <row r="8965">
      <c r="A8965" s="76">
        <v>45822.0</v>
      </c>
      <c r="B8965" s="1" t="s">
        <v>309</v>
      </c>
      <c r="C8965" s="1" t="s">
        <v>58</v>
      </c>
      <c r="D8965" s="1">
        <v>3.0</v>
      </c>
      <c r="E8965" s="1">
        <v>21420.0</v>
      </c>
      <c r="F8965" s="10">
        <f t="shared" si="1"/>
        <v>3</v>
      </c>
      <c r="G8965" s="10">
        <f t="array" ref="G8965">index('Player ID'!C:C,match(E8965,'Player ID'!B:B,0))</f>
        <v>660787</v>
      </c>
    </row>
    <row r="8966">
      <c r="A8966" s="76">
        <v>45822.0</v>
      </c>
      <c r="B8966" s="1" t="s">
        <v>143</v>
      </c>
      <c r="C8966" s="1" t="s">
        <v>22</v>
      </c>
      <c r="D8966" s="1">
        <v>6.0</v>
      </c>
      <c r="E8966" s="1">
        <v>30240.0</v>
      </c>
      <c r="F8966" s="10">
        <f t="shared" si="1"/>
        <v>6</v>
      </c>
      <c r="G8966" s="10">
        <f t="array" ref="G8966">index('Player ID'!C:C,match(E8966,'Player ID'!B:B,0))</f>
        <v>690928</v>
      </c>
    </row>
    <row r="8967">
      <c r="A8967" s="76">
        <v>45822.0</v>
      </c>
      <c r="B8967" s="1" t="s">
        <v>720</v>
      </c>
      <c r="C8967" s="1" t="s">
        <v>22</v>
      </c>
      <c r="D8967" s="1">
        <v>0.1</v>
      </c>
      <c r="E8967" s="1">
        <v>31184.0</v>
      </c>
      <c r="F8967" s="10">
        <f t="shared" si="1"/>
        <v>0.3333333333</v>
      </c>
      <c r="G8967" s="10">
        <f t="array" ref="G8967">index('Player ID'!C:C,match(E8967,'Player ID'!B:B,0))</f>
        <v>692285</v>
      </c>
    </row>
    <row r="8968">
      <c r="A8968" s="76">
        <v>45822.0</v>
      </c>
      <c r="B8968" s="1" t="s">
        <v>342</v>
      </c>
      <c r="C8968" s="1" t="s">
        <v>26</v>
      </c>
      <c r="D8968" s="1">
        <v>1.0</v>
      </c>
      <c r="E8968" s="1">
        <v>11861.0</v>
      </c>
      <c r="F8968" s="10">
        <f t="shared" si="1"/>
        <v>1</v>
      </c>
      <c r="G8968" s="10">
        <f t="array" ref="G8968">index('Player ID'!C:C,match(E8968,'Player ID'!B:B,0))</f>
        <v>592094</v>
      </c>
    </row>
    <row r="8969">
      <c r="A8969" s="76">
        <v>45822.0</v>
      </c>
      <c r="B8969" s="1" t="s">
        <v>219</v>
      </c>
      <c r="C8969" s="1" t="s">
        <v>64</v>
      </c>
      <c r="D8969" s="1">
        <v>0.2</v>
      </c>
      <c r="E8969" s="1">
        <v>16647.0</v>
      </c>
      <c r="F8969" s="10">
        <f t="shared" si="1"/>
        <v>0.6666666667</v>
      </c>
      <c r="G8969" s="10">
        <f t="array" ref="G8969">index('Player ID'!C:C,match(E8969,'Player ID'!B:B,0))</f>
        <v>657044</v>
      </c>
    </row>
    <row r="8970">
      <c r="A8970" s="76">
        <v>45822.0</v>
      </c>
      <c r="B8970" s="1" t="s">
        <v>489</v>
      </c>
      <c r="C8970" s="1" t="s">
        <v>64</v>
      </c>
      <c r="D8970" s="1">
        <v>1.0</v>
      </c>
      <c r="E8970" s="1">
        <v>17192.0</v>
      </c>
      <c r="F8970" s="10">
        <f t="shared" si="1"/>
        <v>1</v>
      </c>
      <c r="G8970" s="10">
        <f t="array" ref="G8970">index('Player ID'!C:C,match(E8970,'Player ID'!B:B,0))</f>
        <v>656222</v>
      </c>
    </row>
    <row r="8971">
      <c r="A8971" s="76">
        <v>45822.0</v>
      </c>
      <c r="B8971" s="1" t="s">
        <v>195</v>
      </c>
      <c r="C8971" s="1" t="s">
        <v>64</v>
      </c>
      <c r="D8971" s="1">
        <v>6.1</v>
      </c>
      <c r="E8971" s="1">
        <v>19291.0</v>
      </c>
      <c r="F8971" s="10">
        <f t="shared" si="1"/>
        <v>6.333333333</v>
      </c>
      <c r="G8971" s="10">
        <f t="array" ref="G8971">index('Player ID'!C:C,match(E8971,'Player ID'!B:B,0))</f>
        <v>668678</v>
      </c>
    </row>
    <row r="8972">
      <c r="A8972" s="76">
        <v>45822.0</v>
      </c>
      <c r="B8972" s="1" t="s">
        <v>823</v>
      </c>
      <c r="C8972" s="1" t="s">
        <v>64</v>
      </c>
      <c r="D8972" s="1">
        <v>1.0</v>
      </c>
      <c r="E8972" s="1">
        <v>19876.0</v>
      </c>
      <c r="F8972" s="10">
        <f t="shared" si="1"/>
        <v>1</v>
      </c>
      <c r="G8972" s="10">
        <f t="array" ref="G8972">index('Player ID'!C:C,match(E8972,'Player ID'!B:B,0))</f>
        <v>656464</v>
      </c>
    </row>
    <row r="8973">
      <c r="A8973" s="76">
        <v>45822.0</v>
      </c>
      <c r="B8973" s="1" t="s">
        <v>49</v>
      </c>
      <c r="C8973" s="1" t="s">
        <v>26</v>
      </c>
      <c r="D8973" s="1">
        <v>0.0</v>
      </c>
      <c r="E8973" s="1">
        <v>20039.0</v>
      </c>
      <c r="F8973" s="10">
        <f t="shared" si="1"/>
        <v>0</v>
      </c>
      <c r="G8973" s="10">
        <f t="array" ref="G8973">index('Player ID'!C:C,match(E8973,'Player ID'!B:B,0))</f>
        <v>670970</v>
      </c>
    </row>
    <row r="8974">
      <c r="A8974" s="76">
        <v>45822.0</v>
      </c>
      <c r="B8974" s="1" t="s">
        <v>94</v>
      </c>
      <c r="C8974" s="1" t="s">
        <v>26</v>
      </c>
      <c r="D8974" s="1">
        <v>1.0</v>
      </c>
      <c r="E8974" s="1">
        <v>22210.0</v>
      </c>
      <c r="F8974" s="10">
        <f t="shared" si="1"/>
        <v>1</v>
      </c>
      <c r="G8974" s="10">
        <f t="array" ref="G8974">index('Player ID'!C:C,match(E8974,'Player ID'!B:B,0))</f>
        <v>669093</v>
      </c>
    </row>
    <row r="8975">
      <c r="A8975" s="76">
        <v>45822.0</v>
      </c>
      <c r="B8975" s="1" t="s">
        <v>224</v>
      </c>
      <c r="C8975" s="1" t="s">
        <v>26</v>
      </c>
      <c r="D8975" s="1">
        <v>5.0</v>
      </c>
      <c r="E8975" s="1">
        <v>29863.0</v>
      </c>
      <c r="F8975" s="10">
        <f t="shared" si="1"/>
        <v>5</v>
      </c>
      <c r="G8975" s="10">
        <f t="array" ref="G8975">index('Player ID'!C:C,match(E8975,'Player ID'!B:B,0))</f>
        <v>686701</v>
      </c>
    </row>
    <row r="8976">
      <c r="A8976" s="76">
        <v>45822.0</v>
      </c>
      <c r="B8976" s="1" t="s">
        <v>81</v>
      </c>
      <c r="C8976" s="1" t="s">
        <v>26</v>
      </c>
      <c r="D8976" s="1">
        <v>0.1</v>
      </c>
      <c r="E8976" s="1">
        <v>30115.0</v>
      </c>
      <c r="F8976" s="10">
        <f t="shared" si="1"/>
        <v>0.3333333333</v>
      </c>
      <c r="G8976" s="10">
        <f t="array" ref="G8976">index('Player ID'!C:C,match(E8976,'Player ID'!B:B,0))</f>
        <v>663158</v>
      </c>
    </row>
    <row r="8977">
      <c r="A8977" s="76">
        <v>45822.0</v>
      </c>
      <c r="B8977" s="1" t="s">
        <v>284</v>
      </c>
      <c r="C8977" s="1" t="s">
        <v>26</v>
      </c>
      <c r="D8977" s="1">
        <v>1.0</v>
      </c>
      <c r="E8977" s="1">
        <v>33826.0</v>
      </c>
      <c r="F8977" s="10">
        <f t="shared" si="1"/>
        <v>1</v>
      </c>
      <c r="G8977" s="10">
        <f t="array" ref="G8977">index('Player ID'!C:C,match(E8977,'Player ID'!B:B,0))</f>
        <v>673513</v>
      </c>
    </row>
    <row r="8978">
      <c r="A8978" s="76">
        <v>45822.0</v>
      </c>
      <c r="B8978" s="1" t="s">
        <v>53</v>
      </c>
      <c r="C8978" s="1" t="s">
        <v>37</v>
      </c>
      <c r="D8978" s="1">
        <v>1.0</v>
      </c>
      <c r="E8978" s="1">
        <v>17170.0</v>
      </c>
      <c r="F8978" s="10">
        <f t="shared" si="1"/>
        <v>1</v>
      </c>
      <c r="G8978" s="10">
        <f t="array" ref="G8978">index('Player ID'!C:C,match(E8978,'Player ID'!B:B,0))</f>
        <v>642100</v>
      </c>
    </row>
    <row r="8979">
      <c r="A8979" s="76">
        <v>45822.0</v>
      </c>
      <c r="B8979" s="1" t="s">
        <v>141</v>
      </c>
      <c r="C8979" s="1" t="s">
        <v>70</v>
      </c>
      <c r="D8979" s="1">
        <v>1.0</v>
      </c>
      <c r="E8979" s="1">
        <v>19330.0</v>
      </c>
      <c r="F8979" s="10">
        <f t="shared" si="1"/>
        <v>1</v>
      </c>
      <c r="G8979" s="10">
        <f t="array" ref="G8979">index('Player ID'!C:C,match(E8979,'Player ID'!B:B,0))</f>
        <v>670036</v>
      </c>
    </row>
    <row r="8980">
      <c r="A8980" s="76">
        <v>45822.0</v>
      </c>
      <c r="B8980" s="1" t="s">
        <v>132</v>
      </c>
      <c r="C8980" s="1" t="s">
        <v>70</v>
      </c>
      <c r="D8980" s="1">
        <v>0.2</v>
      </c>
      <c r="E8980" s="1">
        <v>21032.0</v>
      </c>
      <c r="F8980" s="10">
        <f t="shared" si="1"/>
        <v>0.6666666667</v>
      </c>
      <c r="G8980" s="10">
        <f t="array" ref="G8980">index('Player ID'!C:C,match(E8980,'Player ID'!B:B,0))</f>
        <v>661403</v>
      </c>
    </row>
    <row r="8981">
      <c r="A8981" s="76">
        <v>45822.0</v>
      </c>
      <c r="B8981" s="1" t="s">
        <v>846</v>
      </c>
      <c r="C8981" s="1" t="s">
        <v>37</v>
      </c>
      <c r="D8981" s="1">
        <v>1.0</v>
      </c>
      <c r="E8981" s="1">
        <v>21549.0</v>
      </c>
      <c r="F8981" s="10">
        <f t="shared" si="1"/>
        <v>1</v>
      </c>
      <c r="G8981" s="10" t="str">
        <f t="array" ref="G8981">index('Player ID'!C:C,match(E8981,'Player ID'!B:B,0))</f>
        <v>#N/A</v>
      </c>
    </row>
    <row r="8982">
      <c r="A8982" s="76">
        <v>45822.0</v>
      </c>
      <c r="B8982" s="1" t="s">
        <v>101</v>
      </c>
      <c r="C8982" s="1" t="s">
        <v>37</v>
      </c>
      <c r="D8982" s="1">
        <v>1.0</v>
      </c>
      <c r="E8982" s="1">
        <v>22915.0</v>
      </c>
      <c r="F8982" s="10">
        <f t="shared" si="1"/>
        <v>1</v>
      </c>
      <c r="G8982" s="10">
        <f t="array" ref="G8982">index('Player ID'!C:C,match(E8982,'Player ID'!B:B,0))</f>
        <v>672841</v>
      </c>
    </row>
    <row r="8983">
      <c r="A8983" s="76">
        <v>45822.0</v>
      </c>
      <c r="B8983" s="1" t="s">
        <v>164</v>
      </c>
      <c r="C8983" s="1" t="s">
        <v>37</v>
      </c>
      <c r="D8983" s="1">
        <v>5.0</v>
      </c>
      <c r="E8983" s="1">
        <v>25436.0</v>
      </c>
      <c r="F8983" s="10">
        <f t="shared" si="1"/>
        <v>5</v>
      </c>
      <c r="G8983" s="10">
        <f t="array" ref="G8983">index('Player ID'!C:C,match(E8983,'Player ID'!B:B,0))</f>
        <v>669923</v>
      </c>
    </row>
    <row r="8984">
      <c r="A8984" s="76">
        <v>45822.0</v>
      </c>
      <c r="B8984" s="1" t="s">
        <v>238</v>
      </c>
      <c r="C8984" s="1" t="s">
        <v>70</v>
      </c>
      <c r="D8984" s="1">
        <v>1.0</v>
      </c>
      <c r="E8984" s="1">
        <v>25636.0</v>
      </c>
      <c r="F8984" s="10">
        <f t="shared" si="1"/>
        <v>1</v>
      </c>
      <c r="G8984" s="10">
        <f t="array" ref="G8984">index('Player ID'!C:C,match(E8984,'Player ID'!B:B,0))</f>
        <v>683769</v>
      </c>
    </row>
    <row r="8985">
      <c r="A8985" s="76">
        <v>45822.0</v>
      </c>
      <c r="B8985" s="1" t="s">
        <v>340</v>
      </c>
      <c r="C8985" s="1" t="s">
        <v>37</v>
      </c>
      <c r="D8985" s="1">
        <v>1.0</v>
      </c>
      <c r="E8985" s="1">
        <v>25921.0</v>
      </c>
      <c r="F8985" s="10">
        <f t="shared" si="1"/>
        <v>1</v>
      </c>
      <c r="G8985" s="10">
        <f t="array" ref="G8985">index('Player ID'!C:C,match(E8985,'Player ID'!B:B,0))</f>
        <v>668984</v>
      </c>
    </row>
    <row r="8986">
      <c r="A8986" s="76">
        <v>45822.0</v>
      </c>
      <c r="B8986" s="1" t="s">
        <v>135</v>
      </c>
      <c r="C8986" s="1" t="s">
        <v>70</v>
      </c>
      <c r="D8986" s="1">
        <v>1.0</v>
      </c>
      <c r="E8986" s="1">
        <v>27867.0</v>
      </c>
      <c r="F8986" s="10">
        <f t="shared" si="1"/>
        <v>1</v>
      </c>
      <c r="G8986" s="10">
        <f t="array" ref="G8986">index('Player ID'!C:C,match(E8986,'Player ID'!B:B,0))</f>
        <v>671922</v>
      </c>
    </row>
    <row r="8987">
      <c r="A8987" s="76">
        <v>45822.0</v>
      </c>
      <c r="B8987" s="1" t="s">
        <v>308</v>
      </c>
      <c r="C8987" s="1" t="s">
        <v>70</v>
      </c>
      <c r="D8987" s="1">
        <v>5.0</v>
      </c>
      <c r="E8987" s="1">
        <v>30134.0</v>
      </c>
      <c r="F8987" s="10">
        <f t="shared" si="1"/>
        <v>5</v>
      </c>
      <c r="G8987" s="10">
        <f t="array" ref="G8987">index('Player ID'!C:C,match(E8987,'Player ID'!B:B,0))</f>
        <v>676440</v>
      </c>
    </row>
    <row r="8988">
      <c r="A8988" s="76">
        <v>45822.0</v>
      </c>
      <c r="B8988" s="1" t="s">
        <v>457</v>
      </c>
      <c r="C8988" s="1" t="s">
        <v>33</v>
      </c>
      <c r="D8988" s="1">
        <v>7.0</v>
      </c>
      <c r="E8988" s="1">
        <v>2036.0</v>
      </c>
      <c r="F8988" s="10">
        <f t="shared" si="1"/>
        <v>7</v>
      </c>
      <c r="G8988" s="10">
        <f t="array" ref="G8988">index('Player ID'!C:C,match(E8988,'Player ID'!B:B,0))</f>
        <v>477132</v>
      </c>
    </row>
    <row r="8989">
      <c r="A8989" s="76">
        <v>45822.0</v>
      </c>
      <c r="B8989" s="1" t="s">
        <v>824</v>
      </c>
      <c r="C8989" s="1" t="s">
        <v>33</v>
      </c>
      <c r="D8989" s="1">
        <v>0.2</v>
      </c>
      <c r="E8989" s="1">
        <v>10472.0</v>
      </c>
      <c r="F8989" s="10">
        <f t="shared" si="1"/>
        <v>0.6666666667</v>
      </c>
      <c r="G8989" s="10">
        <f t="array" ref="G8989">index('Player ID'!C:C,match(E8989,'Player ID'!B:B,0))</f>
        <v>571771</v>
      </c>
    </row>
    <row r="8990">
      <c r="A8990" s="76">
        <v>45822.0</v>
      </c>
      <c r="B8990" s="1" t="s">
        <v>310</v>
      </c>
      <c r="C8990" s="1" t="s">
        <v>33</v>
      </c>
      <c r="D8990" s="1">
        <v>0.1</v>
      </c>
      <c r="E8990" s="1">
        <v>14706.0</v>
      </c>
      <c r="F8990" s="10">
        <f t="shared" si="1"/>
        <v>0.3333333333</v>
      </c>
      <c r="G8990" s="10">
        <f t="array" ref="G8990">index('Player ID'!C:C,match(E8990,'Player ID'!B:B,0))</f>
        <v>607455</v>
      </c>
    </row>
    <row r="8991">
      <c r="A8991" s="76">
        <v>45822.0</v>
      </c>
      <c r="B8991" s="1" t="s">
        <v>870</v>
      </c>
      <c r="C8991" s="1" t="s">
        <v>33</v>
      </c>
      <c r="D8991" s="1">
        <v>1.0</v>
      </c>
      <c r="E8991" s="1">
        <v>17282.0</v>
      </c>
      <c r="F8991" s="10">
        <f t="shared" si="1"/>
        <v>1</v>
      </c>
      <c r="G8991" s="10" t="str">
        <f t="array" ref="G8991">index('Player ID'!C:C,match(E8991,'Player ID'!B:B,0))</f>
        <v>#N/A</v>
      </c>
    </row>
    <row r="8992">
      <c r="A8992" s="76">
        <v>45822.0</v>
      </c>
      <c r="B8992" s="1" t="s">
        <v>878</v>
      </c>
      <c r="C8992" s="1" t="s">
        <v>31</v>
      </c>
      <c r="D8992" s="1">
        <v>1.0</v>
      </c>
      <c r="E8992" s="1">
        <v>20626.0</v>
      </c>
      <c r="F8992" s="10">
        <f t="shared" si="1"/>
        <v>1</v>
      </c>
      <c r="G8992" s="10" t="str">
        <f t="array" ref="G8992">index('Player ID'!C:C,match(E8992,'Player ID'!B:B,0))</f>
        <v>#N/A</v>
      </c>
    </row>
    <row r="8993">
      <c r="A8993" s="76">
        <v>45822.0</v>
      </c>
      <c r="B8993" s="1" t="s">
        <v>124</v>
      </c>
      <c r="C8993" s="1" t="s">
        <v>31</v>
      </c>
      <c r="D8993" s="1">
        <v>2.0</v>
      </c>
      <c r="E8993" s="1">
        <v>21584.0</v>
      </c>
      <c r="F8993" s="10">
        <f t="shared" si="1"/>
        <v>2</v>
      </c>
      <c r="G8993" s="10" t="str">
        <f t="array" ref="G8993">index('Player ID'!C:C,match(E8993,'Player ID'!B:B,0))</f>
        <v>#N/A</v>
      </c>
    </row>
    <row r="8994">
      <c r="A8994" s="76">
        <v>45822.0</v>
      </c>
      <c r="B8994" s="1" t="s">
        <v>209</v>
      </c>
      <c r="C8994" s="1" t="s">
        <v>31</v>
      </c>
      <c r="D8994" s="1">
        <v>1.2</v>
      </c>
      <c r="E8994" s="1">
        <v>30076.0</v>
      </c>
      <c r="F8994" s="10">
        <f t="shared" si="1"/>
        <v>1.666666667</v>
      </c>
      <c r="G8994" s="10">
        <f t="array" ref="G8994">index('Player ID'!C:C,match(E8994,'Player ID'!B:B,0))</f>
        <v>694738</v>
      </c>
    </row>
    <row r="8995">
      <c r="A8995" s="76">
        <v>45822.0</v>
      </c>
      <c r="B8995" s="1" t="s">
        <v>276</v>
      </c>
      <c r="C8995" s="1" t="s">
        <v>31</v>
      </c>
      <c r="D8995" s="1">
        <v>3.1</v>
      </c>
      <c r="E8995" s="1">
        <v>30226.0</v>
      </c>
      <c r="F8995" s="10">
        <f t="shared" si="1"/>
        <v>3.333333333</v>
      </c>
      <c r="G8995" s="10">
        <f t="array" ref="G8995">index('Player ID'!C:C,match(E8995,'Player ID'!B:B,0))</f>
        <v>702352</v>
      </c>
    </row>
    <row r="8996">
      <c r="A8996" s="76">
        <v>45823.0</v>
      </c>
      <c r="B8996" s="1" t="s">
        <v>605</v>
      </c>
      <c r="C8996" s="1" t="s">
        <v>66</v>
      </c>
      <c r="D8996" s="1">
        <v>5.0</v>
      </c>
      <c r="E8996" s="1">
        <v>8779.0</v>
      </c>
      <c r="F8996" s="10">
        <f t="shared" si="1"/>
        <v>5</v>
      </c>
      <c r="G8996" s="10">
        <f t="array" ref="G8996">index('Player ID'!C:C,match(E8996,'Player ID'!B:B,0))</f>
        <v>489119</v>
      </c>
    </row>
    <row r="8997">
      <c r="A8997" s="76">
        <v>45823.0</v>
      </c>
      <c r="B8997" s="1" t="s">
        <v>651</v>
      </c>
      <c r="C8997" s="1" t="s">
        <v>66</v>
      </c>
      <c r="D8997" s="1">
        <v>1.0</v>
      </c>
      <c r="E8997" s="1">
        <v>14771.0</v>
      </c>
      <c r="F8997" s="10">
        <f t="shared" si="1"/>
        <v>1</v>
      </c>
      <c r="G8997" s="10">
        <f t="array" ref="G8997">index('Player ID'!C:C,match(E8997,'Player ID'!B:B,0))</f>
        <v>641941</v>
      </c>
    </row>
    <row r="8998">
      <c r="A8998" s="76">
        <v>45823.0</v>
      </c>
      <c r="B8998" s="1" t="s">
        <v>475</v>
      </c>
      <c r="C8998" s="1" t="s">
        <v>66</v>
      </c>
      <c r="D8998" s="1">
        <v>1.0</v>
      </c>
      <c r="E8998" s="1">
        <v>14993.0</v>
      </c>
      <c r="F8998" s="10">
        <f t="shared" si="1"/>
        <v>1</v>
      </c>
      <c r="G8998" s="10">
        <f t="array" ref="G8998">index('Player ID'!C:C,match(E8998,'Player ID'!B:B,0))</f>
        <v>605130</v>
      </c>
    </row>
    <row r="8999">
      <c r="A8999" s="76">
        <v>45823.0</v>
      </c>
      <c r="B8999" s="1" t="s">
        <v>131</v>
      </c>
      <c r="C8999" s="1" t="s">
        <v>62</v>
      </c>
      <c r="D8999" s="1">
        <v>0.2</v>
      </c>
      <c r="E8999" s="1">
        <v>19769.0</v>
      </c>
      <c r="F8999" s="10">
        <f t="shared" si="1"/>
        <v>0.6666666667</v>
      </c>
      <c r="G8999" s="10">
        <f t="array" ref="G8999">index('Player ID'!C:C,match(E8999,'Player ID'!B:B,0))</f>
        <v>676684</v>
      </c>
    </row>
    <row r="9000">
      <c r="A9000" s="76">
        <v>45823.0</v>
      </c>
      <c r="B9000" s="1" t="s">
        <v>345</v>
      </c>
      <c r="C9000" s="1" t="s">
        <v>66</v>
      </c>
      <c r="D9000" s="1">
        <v>1.0</v>
      </c>
      <c r="E9000" s="1">
        <v>19926.0</v>
      </c>
      <c r="F9000" s="10">
        <f t="shared" si="1"/>
        <v>1</v>
      </c>
      <c r="G9000" s="10">
        <f t="array" ref="G9000">index('Player ID'!C:C,match(E9000,'Player ID'!B:B,0))</f>
        <v>663574</v>
      </c>
    </row>
    <row r="9001">
      <c r="A9001" s="76">
        <v>45823.0</v>
      </c>
      <c r="B9001" s="1" t="s">
        <v>289</v>
      </c>
      <c r="C9001" s="1" t="s">
        <v>62</v>
      </c>
      <c r="D9001" s="1">
        <v>1.1</v>
      </c>
      <c r="E9001" s="1">
        <v>22304.0</v>
      </c>
      <c r="F9001" s="10">
        <f t="shared" si="1"/>
        <v>1.333333333</v>
      </c>
      <c r="G9001" s="10">
        <f t="array" ref="G9001">index('Player ID'!C:C,match(E9001,'Player ID'!B:B,0))</f>
        <v>669724</v>
      </c>
    </row>
    <row r="9002">
      <c r="A9002" s="76">
        <v>45823.0</v>
      </c>
      <c r="B9002" s="1" t="s">
        <v>566</v>
      </c>
      <c r="C9002" s="1" t="s">
        <v>62</v>
      </c>
      <c r="D9002" s="1">
        <v>3.0</v>
      </c>
      <c r="E9002" s="1">
        <v>26048.0</v>
      </c>
      <c r="F9002" s="10">
        <f t="shared" si="1"/>
        <v>3</v>
      </c>
      <c r="G9002" s="10">
        <f t="array" ref="G9002">index('Player ID'!C:C,match(E9002,'Player ID'!B:B,0))</f>
        <v>687830</v>
      </c>
    </row>
    <row r="9003">
      <c r="A9003" s="76">
        <v>45823.0</v>
      </c>
      <c r="B9003" s="1" t="s">
        <v>82</v>
      </c>
      <c r="C9003" s="1" t="s">
        <v>62</v>
      </c>
      <c r="D9003" s="1">
        <v>1.0</v>
      </c>
      <c r="E9003" s="1">
        <v>26231.0</v>
      </c>
      <c r="F9003" s="10">
        <f t="shared" si="1"/>
        <v>1</v>
      </c>
      <c r="G9003" s="10">
        <f t="array" ref="G9003">index('Player ID'!C:C,match(E9003,'Player ID'!B:B,0))</f>
        <v>663947</v>
      </c>
    </row>
    <row r="9004">
      <c r="A9004" s="76">
        <v>45823.0</v>
      </c>
      <c r="B9004" s="1" t="s">
        <v>211</v>
      </c>
      <c r="C9004" s="1" t="s">
        <v>66</v>
      </c>
      <c r="D9004" s="1">
        <v>1.0</v>
      </c>
      <c r="E9004" s="1">
        <v>27552.0</v>
      </c>
      <c r="F9004" s="10">
        <f t="shared" si="1"/>
        <v>1</v>
      </c>
      <c r="G9004" s="10">
        <f t="array" ref="G9004">index('Player ID'!C:C,match(E9004,'Player ID'!B:B,0))</f>
        <v>668933</v>
      </c>
    </row>
    <row r="9005">
      <c r="A9005" s="76">
        <v>45823.0</v>
      </c>
      <c r="B9005" s="1" t="s">
        <v>160</v>
      </c>
      <c r="C9005" s="1" t="s">
        <v>62</v>
      </c>
      <c r="D9005" s="1">
        <v>2.0</v>
      </c>
      <c r="E9005" s="1">
        <v>29574.0</v>
      </c>
      <c r="F9005" s="10">
        <f t="shared" si="1"/>
        <v>2</v>
      </c>
      <c r="G9005" s="10">
        <f t="array" ref="G9005">index('Player ID'!C:C,match(E9005,'Player ID'!B:B,0))</f>
        <v>695445</v>
      </c>
    </row>
    <row r="9006">
      <c r="A9006" s="76">
        <v>45823.0</v>
      </c>
      <c r="B9006" s="1" t="s">
        <v>487</v>
      </c>
      <c r="C9006" s="1" t="s">
        <v>62</v>
      </c>
      <c r="D9006" s="1">
        <v>1.0</v>
      </c>
      <c r="E9006" s="1">
        <v>30133.0</v>
      </c>
      <c r="F9006" s="10">
        <f t="shared" si="1"/>
        <v>1</v>
      </c>
      <c r="G9006" s="10">
        <f t="array" ref="G9006">index('Player ID'!C:C,match(E9006,'Player ID'!B:B,0))</f>
        <v>676428</v>
      </c>
    </row>
    <row r="9007">
      <c r="A9007" s="76">
        <v>45823.0</v>
      </c>
      <c r="B9007" s="1" t="s">
        <v>154</v>
      </c>
      <c r="C9007" s="1" t="s">
        <v>25</v>
      </c>
      <c r="D9007" s="1">
        <v>1.0</v>
      </c>
      <c r="E9007" s="1">
        <v>3096.0</v>
      </c>
      <c r="F9007" s="10">
        <f t="shared" si="1"/>
        <v>1</v>
      </c>
      <c r="G9007" s="10">
        <f t="array" ref="G9007">index('Player ID'!C:C,match(E9007,'Player ID'!B:B,0))</f>
        <v>445276</v>
      </c>
    </row>
    <row r="9008">
      <c r="A9008" s="76">
        <v>45823.0</v>
      </c>
      <c r="B9008" s="1" t="s">
        <v>48</v>
      </c>
      <c r="C9008" s="1" t="s">
        <v>68</v>
      </c>
      <c r="D9008" s="1">
        <v>1.0</v>
      </c>
      <c r="E9008" s="1">
        <v>12828.0</v>
      </c>
      <c r="F9008" s="10">
        <f t="shared" si="1"/>
        <v>1</v>
      </c>
      <c r="G9008" s="10" t="str">
        <f t="array" ref="G9008">index('Player ID'!C:C,match(E9008,'Player ID'!B:B,0))</f>
        <v>#N/A</v>
      </c>
    </row>
    <row r="9009">
      <c r="A9009" s="76">
        <v>45823.0</v>
      </c>
      <c r="B9009" s="1" t="s">
        <v>233</v>
      </c>
      <c r="C9009" s="1" t="s">
        <v>68</v>
      </c>
      <c r="D9009" s="1">
        <v>2.2</v>
      </c>
      <c r="E9009" s="1">
        <v>16427.0</v>
      </c>
      <c r="F9009" s="10">
        <f t="shared" si="1"/>
        <v>2.666666667</v>
      </c>
      <c r="G9009" s="10">
        <f t="array" ref="G9009">index('Player ID'!C:C,match(E9009,'Player ID'!B:B,0))</f>
        <v>656240</v>
      </c>
    </row>
    <row r="9010">
      <c r="A9010" s="76">
        <v>45823.0</v>
      </c>
      <c r="B9010" s="1" t="s">
        <v>639</v>
      </c>
      <c r="C9010" s="1" t="s">
        <v>68</v>
      </c>
      <c r="D9010" s="1">
        <v>0.2</v>
      </c>
      <c r="E9010" s="1">
        <v>19249.0</v>
      </c>
      <c r="F9010" s="10">
        <f t="shared" si="1"/>
        <v>0.6666666667</v>
      </c>
      <c r="G9010" s="10">
        <f t="array" ref="G9010">index('Player ID'!C:C,match(E9010,'Player ID'!B:B,0))</f>
        <v>622554</v>
      </c>
    </row>
    <row r="9011">
      <c r="A9011" s="76">
        <v>45823.0</v>
      </c>
      <c r="B9011" s="1" t="s">
        <v>232</v>
      </c>
      <c r="C9011" s="1" t="s">
        <v>25</v>
      </c>
      <c r="D9011" s="1">
        <v>5.2</v>
      </c>
      <c r="E9011" s="1">
        <v>20633.0</v>
      </c>
      <c r="F9011" s="10">
        <f t="shared" si="1"/>
        <v>5.666666667</v>
      </c>
      <c r="G9011" s="10">
        <f t="array" ref="G9011">index('Player ID'!C:C,match(E9011,'Player ID'!B:B,0))</f>
        <v>579328</v>
      </c>
    </row>
    <row r="9012">
      <c r="A9012" s="76">
        <v>45823.0</v>
      </c>
      <c r="B9012" s="1" t="s">
        <v>283</v>
      </c>
      <c r="C9012" s="1" t="s">
        <v>25</v>
      </c>
      <c r="D9012" s="1">
        <v>1.1</v>
      </c>
      <c r="E9012" s="1">
        <v>21205.0</v>
      </c>
      <c r="F9012" s="10">
        <f t="shared" si="1"/>
        <v>1.333333333</v>
      </c>
      <c r="G9012" s="10">
        <f t="array" ref="G9012">index('Player ID'!C:C,match(E9012,'Player ID'!B:B,0))</f>
        <v>641401</v>
      </c>
    </row>
    <row r="9013">
      <c r="A9013" s="76">
        <v>45823.0</v>
      </c>
      <c r="B9013" s="1" t="s">
        <v>235</v>
      </c>
      <c r="C9013" s="1" t="s">
        <v>68</v>
      </c>
      <c r="D9013" s="1">
        <v>1.0</v>
      </c>
      <c r="E9013" s="1">
        <v>25911.0</v>
      </c>
      <c r="F9013" s="10">
        <f t="shared" si="1"/>
        <v>1</v>
      </c>
      <c r="G9013" s="10">
        <f t="array" ref="G9013">index('Player ID'!C:C,match(E9013,'Player ID'!B:B,0))</f>
        <v>666974</v>
      </c>
    </row>
    <row r="9014">
      <c r="A9014" s="76">
        <v>45823.0</v>
      </c>
      <c r="B9014" s="1" t="s">
        <v>347</v>
      </c>
      <c r="C9014" s="1" t="s">
        <v>68</v>
      </c>
      <c r="D9014" s="1">
        <v>3.2</v>
      </c>
      <c r="E9014" s="1">
        <v>30055.0</v>
      </c>
      <c r="F9014" s="10">
        <f t="shared" si="1"/>
        <v>3.666666667</v>
      </c>
      <c r="G9014" s="10">
        <f t="array" ref="G9014">index('Player ID'!C:C,match(E9014,'Player ID'!B:B,0))</f>
        <v>700249</v>
      </c>
    </row>
    <row r="9015">
      <c r="A9015" s="76">
        <v>45823.0</v>
      </c>
      <c r="B9015" s="1" t="s">
        <v>79</v>
      </c>
      <c r="C9015" s="1" t="s">
        <v>45</v>
      </c>
      <c r="D9015" s="1">
        <v>6.0</v>
      </c>
      <c r="E9015" s="1">
        <v>10310.0</v>
      </c>
      <c r="F9015" s="10">
        <f t="shared" si="1"/>
        <v>6</v>
      </c>
      <c r="G9015" s="10">
        <f t="array" ref="G9015">index('Player ID'!C:C,match(E9015,'Player ID'!B:B,0))</f>
        <v>554430</v>
      </c>
    </row>
    <row r="9016">
      <c r="A9016" s="76">
        <v>45823.0</v>
      </c>
      <c r="B9016" s="1" t="s">
        <v>638</v>
      </c>
      <c r="C9016" s="1" t="s">
        <v>40</v>
      </c>
      <c r="D9016" s="1">
        <v>4.2</v>
      </c>
      <c r="E9016" s="1">
        <v>14168.0</v>
      </c>
      <c r="F9016" s="10">
        <f t="shared" si="1"/>
        <v>4.666666667</v>
      </c>
      <c r="G9016" s="10">
        <f t="array" ref="G9016">index('Player ID'!C:C,match(E9016,'Player ID'!B:B,0))</f>
        <v>621244</v>
      </c>
    </row>
    <row r="9017">
      <c r="A9017" s="76">
        <v>45823.0</v>
      </c>
      <c r="B9017" s="1" t="s">
        <v>208</v>
      </c>
      <c r="C9017" s="1" t="s">
        <v>45</v>
      </c>
      <c r="D9017" s="1">
        <v>1.0</v>
      </c>
      <c r="E9017" s="1">
        <v>16122.0</v>
      </c>
      <c r="F9017" s="10">
        <f t="shared" si="1"/>
        <v>1</v>
      </c>
      <c r="G9017" s="10">
        <f t="array" ref="G9017">index('Player ID'!C:C,match(E9017,'Player ID'!B:B,0))</f>
        <v>605447</v>
      </c>
    </row>
    <row r="9018">
      <c r="A9018" s="76">
        <v>45823.0</v>
      </c>
      <c r="B9018" s="1" t="s">
        <v>874</v>
      </c>
      <c r="C9018" s="1" t="s">
        <v>40</v>
      </c>
      <c r="D9018" s="1">
        <v>2.1</v>
      </c>
      <c r="E9018" s="1">
        <v>16207.0</v>
      </c>
      <c r="F9018" s="10">
        <f t="shared" si="1"/>
        <v>2.333333333</v>
      </c>
      <c r="G9018" s="10" t="str">
        <f t="array" ref="G9018">index('Player ID'!C:C,match(E9018,'Player ID'!B:B,0))</f>
        <v>#N/A</v>
      </c>
    </row>
    <row r="9019">
      <c r="A9019" s="76">
        <v>45823.0</v>
      </c>
      <c r="B9019" s="1" t="s">
        <v>858</v>
      </c>
      <c r="C9019" s="1" t="s">
        <v>40</v>
      </c>
      <c r="D9019" s="1">
        <v>0.2</v>
      </c>
      <c r="E9019" s="1">
        <v>16587.0</v>
      </c>
      <c r="F9019" s="10">
        <f t="shared" si="1"/>
        <v>0.6666666667</v>
      </c>
      <c r="G9019" s="10" t="str">
        <f t="array" ref="G9019">index('Player ID'!C:C,match(E9019,'Player ID'!B:B,0))</f>
        <v>#N/A</v>
      </c>
    </row>
    <row r="9020">
      <c r="A9020" s="76">
        <v>45823.0</v>
      </c>
      <c r="B9020" s="1" t="s">
        <v>138</v>
      </c>
      <c r="C9020" s="1" t="s">
        <v>45</v>
      </c>
      <c r="D9020" s="1">
        <v>1.0</v>
      </c>
      <c r="E9020" s="1">
        <v>16990.0</v>
      </c>
      <c r="F9020" s="10">
        <f t="shared" si="1"/>
        <v>1</v>
      </c>
      <c r="G9020" s="10">
        <f t="array" ref="G9020">index('Player ID'!C:C,match(E9020,'Player ID'!B:B,0))</f>
        <v>621383</v>
      </c>
    </row>
    <row r="9021">
      <c r="A9021" s="76">
        <v>45823.0</v>
      </c>
      <c r="B9021" s="1" t="s">
        <v>258</v>
      </c>
      <c r="C9021" s="1" t="s">
        <v>45</v>
      </c>
      <c r="D9021" s="1">
        <v>1.0</v>
      </c>
      <c r="E9021" s="1">
        <v>23426.0</v>
      </c>
      <c r="F9021" s="10">
        <f t="shared" si="1"/>
        <v>1</v>
      </c>
      <c r="G9021" s="10" t="str">
        <f t="array" ref="G9021">index('Player ID'!C:C,match(E9021,'Player ID'!B:B,0))</f>
        <v>#N/A</v>
      </c>
    </row>
    <row r="9022">
      <c r="A9022" s="76">
        <v>45823.0</v>
      </c>
      <c r="B9022" s="1" t="s">
        <v>142</v>
      </c>
      <c r="C9022" s="1" t="s">
        <v>40</v>
      </c>
      <c r="D9022" s="1">
        <v>0.1</v>
      </c>
      <c r="E9022" s="1">
        <v>31553.0</v>
      </c>
      <c r="F9022" s="10">
        <f t="shared" si="1"/>
        <v>0.3333333333</v>
      </c>
      <c r="G9022" s="10">
        <f t="array" ref="G9022">index('Player ID'!C:C,match(E9022,'Player ID'!B:B,0))</f>
        <v>689254</v>
      </c>
    </row>
    <row r="9023">
      <c r="A9023" s="76">
        <v>45823.0</v>
      </c>
      <c r="B9023" s="1" t="s">
        <v>166</v>
      </c>
      <c r="C9023" s="1" t="s">
        <v>58</v>
      </c>
      <c r="D9023" s="1">
        <v>7.0</v>
      </c>
      <c r="E9023" s="1">
        <v>13743.0</v>
      </c>
      <c r="F9023" s="10">
        <f t="shared" si="1"/>
        <v>7</v>
      </c>
      <c r="G9023" s="10">
        <f t="array" ref="G9023">index('Player ID'!C:C,match(E9023,'Player ID'!B:B,0))</f>
        <v>608331</v>
      </c>
    </row>
    <row r="9024">
      <c r="A9024" s="76">
        <v>45823.0</v>
      </c>
      <c r="B9024" s="1" t="s">
        <v>467</v>
      </c>
      <c r="C9024" s="1" t="s">
        <v>58</v>
      </c>
      <c r="D9024" s="1">
        <v>1.0</v>
      </c>
      <c r="E9024" s="1">
        <v>15551.0</v>
      </c>
      <c r="F9024" s="10">
        <f t="shared" si="1"/>
        <v>1</v>
      </c>
      <c r="G9024" s="10">
        <f t="array" ref="G9024">index('Player ID'!C:C,match(E9024,'Player ID'!B:B,0))</f>
        <v>643410</v>
      </c>
    </row>
    <row r="9025">
      <c r="A9025" s="76">
        <v>45823.0</v>
      </c>
      <c r="B9025" s="1" t="s">
        <v>493</v>
      </c>
      <c r="C9025" s="1" t="s">
        <v>22</v>
      </c>
      <c r="D9025" s="1">
        <v>0.1</v>
      </c>
      <c r="E9025" s="1">
        <v>16835.0</v>
      </c>
      <c r="F9025" s="10">
        <f t="shared" si="1"/>
        <v>0.3333333333</v>
      </c>
      <c r="G9025" s="10">
        <f t="array" ref="G9025">index('Player ID'!C:C,match(E9025,'Player ID'!B:B,0))</f>
        <v>657514</v>
      </c>
    </row>
    <row r="9026">
      <c r="A9026" s="76">
        <v>45823.0</v>
      </c>
      <c r="B9026" s="1" t="s">
        <v>250</v>
      </c>
      <c r="C9026" s="1" t="s">
        <v>22</v>
      </c>
      <c r="D9026" s="1">
        <v>1.2</v>
      </c>
      <c r="E9026" s="1">
        <v>20191.0</v>
      </c>
      <c r="F9026" s="10">
        <f t="shared" si="1"/>
        <v>1.666666667</v>
      </c>
      <c r="G9026" s="10">
        <f t="array" ref="G9026">index('Player ID'!C:C,match(E9026,'Player ID'!B:B,0))</f>
        <v>676477</v>
      </c>
    </row>
    <row r="9027">
      <c r="A9027" s="76">
        <v>45823.0</v>
      </c>
      <c r="B9027" s="1" t="s">
        <v>410</v>
      </c>
      <c r="C9027" s="1" t="s">
        <v>22</v>
      </c>
      <c r="D9027" s="1">
        <v>7.0</v>
      </c>
      <c r="E9027" s="1">
        <v>23920.0</v>
      </c>
      <c r="F9027" s="10">
        <f t="shared" si="1"/>
        <v>7</v>
      </c>
      <c r="G9027" s="10">
        <f t="array" ref="G9027">index('Player ID'!C:C,match(E9027,'Player ID'!B:B,0))</f>
        <v>678394</v>
      </c>
    </row>
    <row r="9028">
      <c r="A9028" s="76">
        <v>45823.0</v>
      </c>
      <c r="B9028" s="1" t="s">
        <v>699</v>
      </c>
      <c r="C9028" s="1" t="s">
        <v>46</v>
      </c>
      <c r="D9028" s="1">
        <v>1.0</v>
      </c>
      <c r="E9028" s="1">
        <v>14552.0</v>
      </c>
      <c r="F9028" s="10">
        <f t="shared" si="1"/>
        <v>1</v>
      </c>
      <c r="G9028" s="10">
        <f t="array" ref="G9028">index('Player ID'!C:C,match(E9028,'Player ID'!B:B,0))</f>
        <v>614179</v>
      </c>
    </row>
    <row r="9029">
      <c r="A9029" s="76">
        <v>45823.0</v>
      </c>
      <c r="B9029" s="1" t="s">
        <v>319</v>
      </c>
      <c r="C9029" s="1" t="s">
        <v>46</v>
      </c>
      <c r="D9029" s="1">
        <v>0.2</v>
      </c>
      <c r="E9029" s="1">
        <v>16258.0</v>
      </c>
      <c r="F9029" s="10">
        <f t="shared" si="1"/>
        <v>0.6666666667</v>
      </c>
      <c r="G9029" s="10">
        <f t="array" ref="G9029">index('Player ID'!C:C,match(E9029,'Player ID'!B:B,0))</f>
        <v>607481</v>
      </c>
    </row>
    <row r="9030">
      <c r="A9030" s="76">
        <v>45823.0</v>
      </c>
      <c r="B9030" s="1" t="s">
        <v>369</v>
      </c>
      <c r="C9030" s="1" t="s">
        <v>75</v>
      </c>
      <c r="D9030" s="1">
        <v>5.0</v>
      </c>
      <c r="E9030" s="1">
        <v>16561.0</v>
      </c>
      <c r="F9030" s="10">
        <f t="shared" si="1"/>
        <v>5</v>
      </c>
      <c r="G9030" s="10">
        <f t="array" ref="G9030">index('Player ID'!C:C,match(E9030,'Player ID'!B:B,0))</f>
        <v>596295</v>
      </c>
    </row>
    <row r="9031">
      <c r="A9031" s="76">
        <v>45823.0</v>
      </c>
      <c r="B9031" s="1" t="s">
        <v>366</v>
      </c>
      <c r="C9031" s="1" t="s">
        <v>46</v>
      </c>
      <c r="D9031" s="1">
        <v>6.1</v>
      </c>
      <c r="E9031" s="1">
        <v>16944.0</v>
      </c>
      <c r="F9031" s="10">
        <f t="shared" si="1"/>
        <v>6.333333333</v>
      </c>
      <c r="G9031" s="10">
        <f t="array" ref="G9031">index('Player ID'!C:C,match(E9031,'Player ID'!B:B,0))</f>
        <v>656550</v>
      </c>
    </row>
    <row r="9032">
      <c r="A9032" s="76">
        <v>45823.0</v>
      </c>
      <c r="B9032" s="1" t="s">
        <v>288</v>
      </c>
      <c r="C9032" s="1" t="s">
        <v>75</v>
      </c>
      <c r="D9032" s="1">
        <v>1.0</v>
      </c>
      <c r="E9032" s="1">
        <v>18297.0</v>
      </c>
      <c r="F9032" s="10">
        <f t="shared" si="1"/>
        <v>1</v>
      </c>
      <c r="G9032" s="10">
        <f t="array" ref="G9032">index('Player ID'!C:C,match(E9032,'Player ID'!B:B,0))</f>
        <v>641755</v>
      </c>
    </row>
    <row r="9033">
      <c r="A9033" s="76">
        <v>45823.0</v>
      </c>
      <c r="B9033" s="1" t="s">
        <v>346</v>
      </c>
      <c r="C9033" s="1" t="s">
        <v>46</v>
      </c>
      <c r="D9033" s="1">
        <v>0.0</v>
      </c>
      <c r="E9033" s="1">
        <v>18403.0</v>
      </c>
      <c r="F9033" s="10">
        <f t="shared" si="1"/>
        <v>0</v>
      </c>
      <c r="G9033" s="10">
        <f t="array" ref="G9033">index('Player ID'!C:C,match(E9033,'Player ID'!B:B,0))</f>
        <v>660853</v>
      </c>
    </row>
    <row r="9034">
      <c r="A9034" s="76">
        <v>45823.0</v>
      </c>
      <c r="B9034" s="1" t="s">
        <v>879</v>
      </c>
      <c r="C9034" s="1" t="s">
        <v>46</v>
      </c>
      <c r="D9034" s="1">
        <v>1.0</v>
      </c>
      <c r="E9034" s="1">
        <v>19931.0</v>
      </c>
      <c r="F9034" s="10">
        <f t="shared" si="1"/>
        <v>1</v>
      </c>
      <c r="G9034" s="10" t="str">
        <f t="array" ref="G9034">index('Player ID'!C:C,match(E9034,'Player ID'!B:B,0))</f>
        <v>#N/A</v>
      </c>
    </row>
    <row r="9035">
      <c r="A9035" s="76">
        <v>45823.0</v>
      </c>
      <c r="B9035" s="1" t="s">
        <v>215</v>
      </c>
      <c r="C9035" s="1" t="s">
        <v>75</v>
      </c>
      <c r="D9035" s="1">
        <v>1.0</v>
      </c>
      <c r="E9035" s="1">
        <v>21267.0</v>
      </c>
      <c r="F9035" s="10">
        <f t="shared" si="1"/>
        <v>1</v>
      </c>
      <c r="G9035" s="10">
        <f t="array" ref="G9035">index('Player ID'!C:C,match(E9035,'Player ID'!B:B,0))</f>
        <v>656234</v>
      </c>
    </row>
    <row r="9036">
      <c r="A9036" s="76">
        <v>45823.0</v>
      </c>
      <c r="B9036" s="1" t="s">
        <v>305</v>
      </c>
      <c r="C9036" s="1" t="s">
        <v>75</v>
      </c>
      <c r="D9036" s="1">
        <v>1.0</v>
      </c>
      <c r="E9036" s="1">
        <v>22200.0</v>
      </c>
      <c r="F9036" s="10">
        <f t="shared" si="1"/>
        <v>1</v>
      </c>
      <c r="G9036" s="10">
        <f t="array" ref="G9036">index('Player ID'!C:C,match(E9036,'Player ID'!B:B,0))</f>
        <v>669020</v>
      </c>
    </row>
    <row r="9037">
      <c r="A9037" s="76">
        <v>45823.0</v>
      </c>
      <c r="B9037" s="1" t="s">
        <v>468</v>
      </c>
      <c r="C9037" s="1" t="s">
        <v>75</v>
      </c>
      <c r="D9037" s="1">
        <v>1.0</v>
      </c>
      <c r="E9037" s="1">
        <v>23237.0</v>
      </c>
      <c r="F9037" s="10">
        <f t="shared" si="1"/>
        <v>1</v>
      </c>
      <c r="G9037" s="10">
        <f t="array" ref="G9037">index('Player ID'!C:C,match(E9037,'Player ID'!B:B,0))</f>
        <v>675848</v>
      </c>
    </row>
    <row r="9038">
      <c r="A9038" s="76">
        <v>45823.0</v>
      </c>
      <c r="B9038" s="1" t="s">
        <v>241</v>
      </c>
      <c r="C9038" s="1" t="s">
        <v>36</v>
      </c>
      <c r="D9038" s="1">
        <v>2.0</v>
      </c>
      <c r="E9038" s="1">
        <v>19222.0</v>
      </c>
      <c r="F9038" s="10">
        <f t="shared" si="1"/>
        <v>2</v>
      </c>
      <c r="G9038" s="10">
        <f t="array" ref="G9038">index('Player ID'!C:C,match(E9038,'Player ID'!B:B,0))</f>
        <v>669199</v>
      </c>
    </row>
    <row r="9039">
      <c r="A9039" s="76">
        <v>45823.0</v>
      </c>
      <c r="B9039" s="1" t="s">
        <v>61</v>
      </c>
      <c r="C9039" s="1" t="s">
        <v>36</v>
      </c>
      <c r="D9039" s="1">
        <v>2.0</v>
      </c>
      <c r="E9039" s="1">
        <v>20629.0</v>
      </c>
      <c r="F9039" s="10">
        <f t="shared" si="1"/>
        <v>2</v>
      </c>
      <c r="G9039" s="10">
        <f t="array" ref="G9039">index('Player ID'!C:C,match(E9039,'Player ID'!B:B,0))</f>
        <v>663969</v>
      </c>
    </row>
    <row r="9040">
      <c r="A9040" s="76">
        <v>45823.0</v>
      </c>
      <c r="B9040" s="1" t="s">
        <v>354</v>
      </c>
      <c r="C9040" s="1" t="s">
        <v>80</v>
      </c>
      <c r="D9040" s="1">
        <v>6.0</v>
      </c>
      <c r="E9040" s="1">
        <v>22201.0</v>
      </c>
      <c r="F9040" s="10">
        <f t="shared" si="1"/>
        <v>6</v>
      </c>
      <c r="G9040" s="10">
        <f t="array" ref="G9040">index('Player ID'!C:C,match(E9040,'Player ID'!B:B,0))</f>
        <v>669022</v>
      </c>
    </row>
    <row r="9041">
      <c r="A9041" s="76">
        <v>45823.0</v>
      </c>
      <c r="B9041" s="1" t="s">
        <v>880</v>
      </c>
      <c r="C9041" s="1" t="s">
        <v>36</v>
      </c>
      <c r="D9041" s="1">
        <v>1.0</v>
      </c>
      <c r="E9041" s="1">
        <v>23324.0</v>
      </c>
      <c r="F9041" s="10">
        <f t="shared" si="1"/>
        <v>1</v>
      </c>
      <c r="G9041" s="10" t="str">
        <f t="array" ref="G9041">index('Player ID'!C:C,match(E9041,'Player ID'!B:B,0))</f>
        <v>#N/A</v>
      </c>
    </row>
    <row r="9042">
      <c r="A9042" s="76">
        <v>45823.0</v>
      </c>
      <c r="B9042" s="1" t="s">
        <v>511</v>
      </c>
      <c r="C9042" s="1" t="s">
        <v>80</v>
      </c>
      <c r="D9042" s="1">
        <v>1.0</v>
      </c>
      <c r="E9042" s="1">
        <v>26215.0</v>
      </c>
      <c r="F9042" s="10">
        <f t="shared" si="1"/>
        <v>1</v>
      </c>
      <c r="G9042" s="10">
        <f t="array" ref="G9042">index('Player ID'!C:C,match(E9042,'Player ID'!B:B,0))</f>
        <v>671131</v>
      </c>
    </row>
    <row r="9043">
      <c r="A9043" s="76">
        <v>45823.0</v>
      </c>
      <c r="B9043" s="1" t="s">
        <v>507</v>
      </c>
      <c r="C9043" s="1" t="s">
        <v>80</v>
      </c>
      <c r="D9043" s="1">
        <v>1.0</v>
      </c>
      <c r="E9043" s="1">
        <v>27570.0</v>
      </c>
      <c r="F9043" s="10">
        <f t="shared" si="1"/>
        <v>1</v>
      </c>
      <c r="G9043" s="10">
        <f t="array" ref="G9043">index('Player ID'!C:C,match(E9043,'Player ID'!B:B,0))</f>
        <v>669371</v>
      </c>
    </row>
    <row r="9044">
      <c r="A9044" s="76">
        <v>45823.0</v>
      </c>
      <c r="B9044" s="1" t="s">
        <v>871</v>
      </c>
      <c r="C9044" s="1" t="s">
        <v>36</v>
      </c>
      <c r="D9044" s="1">
        <v>4.0</v>
      </c>
      <c r="E9044" s="1">
        <v>27768.0</v>
      </c>
      <c r="F9044" s="10">
        <f t="shared" si="1"/>
        <v>4</v>
      </c>
      <c r="G9044" s="10">
        <f t="array" ref="G9044">index('Player ID'!C:C,match(E9044,'Player ID'!B:B,0))</f>
        <v>691587</v>
      </c>
    </row>
    <row r="9045">
      <c r="A9045" s="76">
        <v>45823.0</v>
      </c>
      <c r="B9045" s="1" t="s">
        <v>771</v>
      </c>
      <c r="C9045" s="1" t="s">
        <v>80</v>
      </c>
      <c r="D9045" s="1">
        <v>1.0</v>
      </c>
      <c r="E9045" s="1">
        <v>29521.0</v>
      </c>
      <c r="F9045" s="10">
        <f t="shared" si="1"/>
        <v>1</v>
      </c>
      <c r="G9045" s="10">
        <f t="array" ref="G9045">index('Player ID'!C:C,match(E9045,'Player ID'!B:B,0))</f>
        <v>702795</v>
      </c>
    </row>
    <row r="9046">
      <c r="A9046" s="76">
        <v>45823.0</v>
      </c>
      <c r="B9046" s="1" t="s">
        <v>784</v>
      </c>
      <c r="C9046" s="1" t="s">
        <v>54</v>
      </c>
      <c r="D9046" s="1">
        <v>0.1</v>
      </c>
      <c r="E9046" s="1">
        <v>15256.0</v>
      </c>
      <c r="F9046" s="10">
        <f t="shared" si="1"/>
        <v>0.3333333333</v>
      </c>
      <c r="G9046" s="10">
        <f t="array" ref="G9046">index('Player ID'!C:C,match(E9046,'Player ID'!B:B,0))</f>
        <v>642121</v>
      </c>
    </row>
    <row r="9047">
      <c r="A9047" s="76">
        <v>45823.0</v>
      </c>
      <c r="B9047" s="1" t="s">
        <v>292</v>
      </c>
      <c r="C9047" s="1" t="s">
        <v>51</v>
      </c>
      <c r="D9047" s="1">
        <v>0.2</v>
      </c>
      <c r="E9047" s="1">
        <v>15947.0</v>
      </c>
      <c r="F9047" s="10">
        <f t="shared" si="1"/>
        <v>0.6666666667</v>
      </c>
      <c r="G9047" s="10">
        <f t="array" ref="G9047">index('Player ID'!C:C,match(E9047,'Player ID'!B:B,0))</f>
        <v>592773</v>
      </c>
    </row>
    <row r="9048">
      <c r="A9048" s="76">
        <v>45823.0</v>
      </c>
      <c r="B9048" s="1" t="s">
        <v>382</v>
      </c>
      <c r="C9048" s="1" t="s">
        <v>51</v>
      </c>
      <c r="D9048" s="1">
        <v>4.1</v>
      </c>
      <c r="E9048" s="1">
        <v>19867.0</v>
      </c>
      <c r="F9048" s="10">
        <f t="shared" si="1"/>
        <v>4.333333333</v>
      </c>
      <c r="G9048" s="10">
        <f t="array" ref="G9048">index('Player ID'!C:C,match(E9048,'Player ID'!B:B,0))</f>
        <v>656288</v>
      </c>
    </row>
    <row r="9049">
      <c r="A9049" s="76">
        <v>45823.0</v>
      </c>
      <c r="B9049" s="1" t="s">
        <v>881</v>
      </c>
      <c r="C9049" s="1" t="s">
        <v>51</v>
      </c>
      <c r="D9049" s="1">
        <v>0.1</v>
      </c>
      <c r="E9049" s="1">
        <v>20404.0</v>
      </c>
      <c r="F9049" s="10">
        <f t="shared" si="1"/>
        <v>0.3333333333</v>
      </c>
      <c r="G9049" s="10" t="str">
        <f t="array" ref="G9049">index('Player ID'!C:C,match(E9049,'Player ID'!B:B,0))</f>
        <v>#N/A</v>
      </c>
    </row>
    <row r="9050">
      <c r="A9050" s="76">
        <v>45823.0</v>
      </c>
      <c r="B9050" s="1" t="s">
        <v>50</v>
      </c>
      <c r="C9050" s="1" t="s">
        <v>51</v>
      </c>
      <c r="D9050" s="1">
        <v>2.0</v>
      </c>
      <c r="E9050" s="1">
        <v>22175.0</v>
      </c>
      <c r="F9050" s="10">
        <f t="shared" si="1"/>
        <v>2</v>
      </c>
      <c r="G9050" s="10">
        <f t="array" ref="G9050">index('Player ID'!C:C,match(E9050,'Player ID'!B:B,0))</f>
        <v>668820</v>
      </c>
    </row>
    <row r="9051">
      <c r="A9051" s="76">
        <v>45823.0</v>
      </c>
      <c r="B9051" s="1" t="s">
        <v>242</v>
      </c>
      <c r="C9051" s="1" t="s">
        <v>54</v>
      </c>
      <c r="D9051" s="1">
        <v>6.2</v>
      </c>
      <c r="E9051" s="1">
        <v>22264.0</v>
      </c>
      <c r="F9051" s="10">
        <f t="shared" si="1"/>
        <v>6.666666667</v>
      </c>
      <c r="G9051" s="10">
        <f t="array" ref="G9051">index('Player ID'!C:C,match(E9051,'Player ID'!B:B,0))</f>
        <v>669358</v>
      </c>
    </row>
    <row r="9052">
      <c r="A9052" s="76">
        <v>45823.0</v>
      </c>
      <c r="B9052" s="1" t="s">
        <v>780</v>
      </c>
      <c r="C9052" s="1" t="s">
        <v>51</v>
      </c>
      <c r="D9052" s="1">
        <v>1.2</v>
      </c>
      <c r="E9052" s="1">
        <v>25651.0</v>
      </c>
      <c r="F9052" s="10">
        <f t="shared" si="1"/>
        <v>1.666666667</v>
      </c>
      <c r="G9052" s="10">
        <f t="array" ref="G9052">index('Player ID'!C:C,match(E9052,'Player ID'!B:B,0))</f>
        <v>686654</v>
      </c>
    </row>
    <row r="9053">
      <c r="A9053" s="76">
        <v>45823.0</v>
      </c>
      <c r="B9053" s="1" t="s">
        <v>257</v>
      </c>
      <c r="C9053" s="1" t="s">
        <v>54</v>
      </c>
      <c r="D9053" s="1">
        <v>1.2</v>
      </c>
      <c r="E9053" s="1">
        <v>27626.0</v>
      </c>
      <c r="F9053" s="10">
        <f t="shared" si="1"/>
        <v>1.666666667</v>
      </c>
      <c r="G9053" s="10">
        <f t="array" ref="G9053">index('Player ID'!C:C,match(E9053,'Player ID'!B:B,0))</f>
        <v>679358</v>
      </c>
    </row>
    <row r="9054">
      <c r="A9054" s="76">
        <v>45823.0</v>
      </c>
      <c r="B9054" s="1" t="s">
        <v>334</v>
      </c>
      <c r="C9054" s="1" t="s">
        <v>54</v>
      </c>
      <c r="D9054" s="1">
        <v>0.1</v>
      </c>
      <c r="E9054" s="1">
        <v>29770.0</v>
      </c>
      <c r="F9054" s="10">
        <f t="shared" si="1"/>
        <v>0.3333333333</v>
      </c>
      <c r="G9054" s="10">
        <f t="array" ref="G9054">index('Player ID'!C:C,match(E9054,'Player ID'!B:B,0))</f>
        <v>682254</v>
      </c>
    </row>
    <row r="9055">
      <c r="A9055" s="76">
        <v>45823.0</v>
      </c>
      <c r="B9055" s="1" t="s">
        <v>668</v>
      </c>
      <c r="C9055" s="1" t="s">
        <v>52</v>
      </c>
      <c r="D9055" s="1">
        <v>0.2</v>
      </c>
      <c r="E9055" s="1">
        <v>3237.0</v>
      </c>
      <c r="F9055" s="10">
        <f t="shared" si="1"/>
        <v>0.6666666667</v>
      </c>
      <c r="G9055" s="10">
        <f t="array" ref="G9055">index('Player ID'!C:C,match(E9055,'Player ID'!B:B,0))</f>
        <v>519008</v>
      </c>
    </row>
    <row r="9056">
      <c r="A9056" s="76">
        <v>45823.0</v>
      </c>
      <c r="B9056" s="1" t="s">
        <v>649</v>
      </c>
      <c r="C9056" s="1" t="s">
        <v>29</v>
      </c>
      <c r="D9056" s="1">
        <v>1.0</v>
      </c>
      <c r="E9056" s="1">
        <v>14542.0</v>
      </c>
      <c r="F9056" s="10">
        <f t="shared" si="1"/>
        <v>1</v>
      </c>
      <c r="G9056" s="10">
        <f t="array" ref="G9056">index('Player ID'!C:C,match(E9056,'Player ID'!B:B,0))</f>
        <v>608032</v>
      </c>
    </row>
    <row r="9057">
      <c r="A9057" s="76">
        <v>45823.0</v>
      </c>
      <c r="B9057" s="1" t="s">
        <v>336</v>
      </c>
      <c r="C9057" s="1" t="s">
        <v>52</v>
      </c>
      <c r="D9057" s="1">
        <v>6.0</v>
      </c>
      <c r="E9057" s="1">
        <v>17677.0</v>
      </c>
      <c r="F9057" s="10">
        <f t="shared" si="1"/>
        <v>6</v>
      </c>
      <c r="G9057" s="10">
        <f t="array" ref="G9057">index('Player ID'!C:C,match(E9057,'Player ID'!B:B,0))</f>
        <v>605488</v>
      </c>
    </row>
    <row r="9058">
      <c r="A9058" s="76">
        <v>45823.0</v>
      </c>
      <c r="B9058" s="1" t="s">
        <v>407</v>
      </c>
      <c r="C9058" s="1" t="s">
        <v>29</v>
      </c>
      <c r="D9058" s="1">
        <v>1.1</v>
      </c>
      <c r="E9058" s="1">
        <v>19360.0</v>
      </c>
      <c r="F9058" s="10">
        <f t="shared" si="1"/>
        <v>1.333333333</v>
      </c>
      <c r="G9058" s="10">
        <f t="array" ref="G9058">index('Player ID'!C:C,match(E9058,'Player ID'!B:B,0))</f>
        <v>668674</v>
      </c>
    </row>
    <row r="9059">
      <c r="A9059" s="76">
        <v>45823.0</v>
      </c>
      <c r="B9059" s="1" t="s">
        <v>505</v>
      </c>
      <c r="C9059" s="1" t="s">
        <v>52</v>
      </c>
      <c r="D9059" s="1">
        <v>1.1</v>
      </c>
      <c r="E9059" s="1">
        <v>19481.0</v>
      </c>
      <c r="F9059" s="10">
        <f t="shared" si="1"/>
        <v>1.333333333</v>
      </c>
      <c r="G9059" s="10">
        <f t="array" ref="G9059">index('Player ID'!C:C,match(E9059,'Player ID'!B:B,0))</f>
        <v>621053</v>
      </c>
    </row>
    <row r="9060">
      <c r="A9060" s="76">
        <v>45823.0</v>
      </c>
      <c r="B9060" s="1" t="s">
        <v>144</v>
      </c>
      <c r="C9060" s="1" t="s">
        <v>29</v>
      </c>
      <c r="D9060" s="1">
        <v>0.2</v>
      </c>
      <c r="E9060" s="1">
        <v>20020.0</v>
      </c>
      <c r="F9060" s="10">
        <f t="shared" si="1"/>
        <v>0.6666666667</v>
      </c>
      <c r="G9060" s="10">
        <f t="array" ref="G9060">index('Player ID'!C:C,match(E9060,'Player ID'!B:B,0))</f>
        <v>670167</v>
      </c>
    </row>
    <row r="9061">
      <c r="A9061" s="76">
        <v>45823.0</v>
      </c>
      <c r="B9061" s="1" t="s">
        <v>140</v>
      </c>
      <c r="C9061" s="1" t="s">
        <v>29</v>
      </c>
      <c r="D9061" s="1">
        <v>1.0</v>
      </c>
      <c r="E9061" s="1">
        <v>22717.0</v>
      </c>
      <c r="F9061" s="10">
        <f t="shared" si="1"/>
        <v>1</v>
      </c>
      <c r="G9061" s="10">
        <f t="array" ref="G9061">index('Player ID'!C:C,match(E9061,'Player ID'!B:B,0))</f>
        <v>672582</v>
      </c>
    </row>
    <row r="9062">
      <c r="A9062" s="76">
        <v>45823.0</v>
      </c>
      <c r="B9062" s="1" t="s">
        <v>161</v>
      </c>
      <c r="C9062" s="1" t="s">
        <v>29</v>
      </c>
      <c r="D9062" s="1">
        <v>5.0</v>
      </c>
      <c r="E9062" s="1">
        <v>30184.0</v>
      </c>
      <c r="F9062" s="10">
        <f t="shared" si="1"/>
        <v>5</v>
      </c>
      <c r="G9062" s="10">
        <f t="array" ref="G9062">index('Player ID'!C:C,match(E9062,'Player ID'!B:B,0))</f>
        <v>702070</v>
      </c>
    </row>
    <row r="9063">
      <c r="A9063" s="76">
        <v>45823.0</v>
      </c>
      <c r="B9063" s="1" t="s">
        <v>286</v>
      </c>
      <c r="C9063" s="1" t="s">
        <v>52</v>
      </c>
      <c r="D9063" s="1">
        <v>1.0</v>
      </c>
      <c r="E9063" s="1">
        <v>31757.0</v>
      </c>
      <c r="F9063" s="10">
        <f t="shared" si="1"/>
        <v>1</v>
      </c>
      <c r="G9063" s="10">
        <f t="array" ref="G9063">index('Player ID'!C:C,match(E9063,'Player ID'!B:B,0))</f>
        <v>695243</v>
      </c>
    </row>
    <row r="9064">
      <c r="A9064" s="76">
        <v>45823.0</v>
      </c>
      <c r="B9064" s="1" t="s">
        <v>287</v>
      </c>
      <c r="C9064" s="1" t="s">
        <v>72</v>
      </c>
      <c r="D9064" s="1">
        <v>6.0</v>
      </c>
      <c r="E9064" s="1">
        <v>9803.0</v>
      </c>
      <c r="F9064" s="10">
        <f t="shared" si="1"/>
        <v>6</v>
      </c>
      <c r="G9064" s="10">
        <f t="array" ref="G9064">index('Player ID'!C:C,match(E9064,'Player ID'!B:B,0))</f>
        <v>571945</v>
      </c>
    </row>
    <row r="9065">
      <c r="A9065" s="76">
        <v>45823.0</v>
      </c>
      <c r="B9065" s="1" t="s">
        <v>13</v>
      </c>
      <c r="C9065" s="1" t="s">
        <v>14</v>
      </c>
      <c r="D9065" s="1">
        <v>1.0</v>
      </c>
      <c r="E9065" s="1">
        <v>17722.0</v>
      </c>
      <c r="F9065" s="10">
        <f t="shared" si="1"/>
        <v>1</v>
      </c>
      <c r="G9065" s="10">
        <f t="array" ref="G9065">index('Player ID'!C:C,match(E9065,'Player ID'!B:B,0))</f>
        <v>656730</v>
      </c>
    </row>
    <row r="9066">
      <c r="A9066" s="76">
        <v>45823.0</v>
      </c>
      <c r="B9066" s="1" t="s">
        <v>193</v>
      </c>
      <c r="C9066" s="1" t="s">
        <v>72</v>
      </c>
      <c r="D9066" s="1">
        <v>0.1</v>
      </c>
      <c r="E9066" s="1">
        <v>19574.0</v>
      </c>
      <c r="F9066" s="10">
        <f t="shared" si="1"/>
        <v>0.3333333333</v>
      </c>
      <c r="G9066" s="10">
        <f t="array" ref="G9066">index('Player ID'!C:C,match(E9066,'Player ID'!B:B,0))</f>
        <v>668941</v>
      </c>
    </row>
    <row r="9067">
      <c r="A9067" s="76">
        <v>45823.0</v>
      </c>
      <c r="B9067" s="1" t="s">
        <v>273</v>
      </c>
      <c r="C9067" s="1" t="s">
        <v>72</v>
      </c>
      <c r="D9067" s="1">
        <v>0.2</v>
      </c>
      <c r="E9067" s="1">
        <v>22051.0</v>
      </c>
      <c r="F9067" s="10">
        <f t="shared" si="1"/>
        <v>0.6666666667</v>
      </c>
      <c r="G9067" s="10">
        <f t="array" ref="G9067">index('Player ID'!C:C,match(E9067,'Player ID'!B:B,0))</f>
        <v>667463</v>
      </c>
    </row>
    <row r="9068">
      <c r="A9068" s="76">
        <v>45823.0</v>
      </c>
      <c r="B9068" s="1" t="s">
        <v>170</v>
      </c>
      <c r="C9068" s="1" t="s">
        <v>72</v>
      </c>
      <c r="D9068" s="1">
        <v>1.0</v>
      </c>
      <c r="E9068" s="1">
        <v>24763.0</v>
      </c>
      <c r="F9068" s="10">
        <f t="shared" si="1"/>
        <v>1</v>
      </c>
      <c r="G9068" s="10">
        <f t="array" ref="G9068">index('Player ID'!C:C,match(E9068,'Player ID'!B:B,0))</f>
        <v>681517</v>
      </c>
    </row>
    <row r="9069">
      <c r="A9069" s="76">
        <v>45823.0</v>
      </c>
      <c r="B9069" s="1" t="s">
        <v>279</v>
      </c>
      <c r="C9069" s="1" t="s">
        <v>14</v>
      </c>
      <c r="D9069" s="1">
        <v>1.0</v>
      </c>
      <c r="E9069" s="1">
        <v>25327.0</v>
      </c>
      <c r="F9069" s="10">
        <f t="shared" si="1"/>
        <v>1</v>
      </c>
      <c r="G9069" s="10">
        <f t="array" ref="G9069">index('Player ID'!C:C,match(E9069,'Player ID'!B:B,0))</f>
        <v>682842</v>
      </c>
    </row>
    <row r="9070">
      <c r="A9070" s="76">
        <v>45823.0</v>
      </c>
      <c r="B9070" s="1" t="s">
        <v>112</v>
      </c>
      <c r="C9070" s="1" t="s">
        <v>14</v>
      </c>
      <c r="D9070" s="1">
        <v>0.1</v>
      </c>
      <c r="E9070" s="1">
        <v>25376.0</v>
      </c>
      <c r="F9070" s="10">
        <f t="shared" si="1"/>
        <v>0.3333333333</v>
      </c>
      <c r="G9070" s="10">
        <f t="array" ref="G9070">index('Player ID'!C:C,match(E9070,'Player ID'!B:B,0))</f>
        <v>683232</v>
      </c>
    </row>
    <row r="9071">
      <c r="A9071" s="76">
        <v>45823.0</v>
      </c>
      <c r="B9071" s="1" t="s">
        <v>450</v>
      </c>
      <c r="C9071" s="1" t="s">
        <v>14</v>
      </c>
      <c r="D9071" s="1">
        <v>6.0</v>
      </c>
      <c r="E9071" s="1">
        <v>25977.0</v>
      </c>
      <c r="F9071" s="10">
        <f t="shared" si="1"/>
        <v>6</v>
      </c>
      <c r="G9071" s="10">
        <f t="array" ref="G9071">index('Player ID'!C:C,match(E9071,'Player ID'!B:B,0))</f>
        <v>682990</v>
      </c>
    </row>
    <row r="9072">
      <c r="A9072" s="76">
        <v>45823.0</v>
      </c>
      <c r="B9072" s="1" t="s">
        <v>418</v>
      </c>
      <c r="C9072" s="1" t="s">
        <v>14</v>
      </c>
      <c r="D9072" s="1">
        <v>0.2</v>
      </c>
      <c r="E9072" s="1">
        <v>27517.0</v>
      </c>
      <c r="F9072" s="10">
        <f t="shared" si="1"/>
        <v>0.6666666667</v>
      </c>
      <c r="G9072" s="10">
        <f t="array" ref="G9072">index('Player ID'!C:C,match(E9072,'Player ID'!B:B,0))</f>
        <v>657649</v>
      </c>
    </row>
    <row r="9073">
      <c r="A9073" s="76">
        <v>45823.0</v>
      </c>
      <c r="B9073" s="1" t="s">
        <v>59</v>
      </c>
      <c r="C9073" s="1" t="s">
        <v>39</v>
      </c>
      <c r="D9073" s="1">
        <v>1.0</v>
      </c>
      <c r="E9073" s="1">
        <v>14212.0</v>
      </c>
      <c r="F9073" s="10">
        <f t="shared" si="1"/>
        <v>1</v>
      </c>
      <c r="G9073" s="10">
        <f t="array" ref="G9073">index('Player ID'!C:C,match(E9073,'Player ID'!B:B,0))</f>
        <v>623352</v>
      </c>
    </row>
    <row r="9074">
      <c r="A9074" s="76">
        <v>45823.0</v>
      </c>
      <c r="B9074" s="1" t="s">
        <v>249</v>
      </c>
      <c r="C9074" s="1" t="s">
        <v>16</v>
      </c>
      <c r="D9074" s="1">
        <v>1.0</v>
      </c>
      <c r="E9074" s="1">
        <v>16727.0</v>
      </c>
      <c r="F9074" s="10">
        <f t="shared" si="1"/>
        <v>1</v>
      </c>
      <c r="G9074" s="10">
        <f t="array" ref="G9074">index('Player ID'!C:C,match(E9074,'Player ID'!B:B,0))</f>
        <v>592779</v>
      </c>
    </row>
    <row r="9075">
      <c r="A9075" s="76">
        <v>45823.0</v>
      </c>
      <c r="B9075" s="1" t="s">
        <v>122</v>
      </c>
      <c r="C9075" s="1" t="s">
        <v>16</v>
      </c>
      <c r="D9075" s="1">
        <v>1.0</v>
      </c>
      <c r="E9075" s="1">
        <v>21029.0</v>
      </c>
      <c r="F9075" s="10">
        <f t="shared" si="1"/>
        <v>1</v>
      </c>
      <c r="G9075" s="10">
        <f t="array" ref="G9075">index('Player ID'!C:C,match(E9075,'Player ID'!B:B,0))</f>
        <v>661395</v>
      </c>
    </row>
    <row r="9076">
      <c r="A9076" s="76">
        <v>45823.0</v>
      </c>
      <c r="B9076" s="1" t="s">
        <v>102</v>
      </c>
      <c r="C9076" s="1" t="s">
        <v>39</v>
      </c>
      <c r="D9076" s="1">
        <v>1.2</v>
      </c>
      <c r="E9076" s="1">
        <v>21345.0</v>
      </c>
      <c r="F9076" s="10">
        <f t="shared" si="1"/>
        <v>1.666666667</v>
      </c>
      <c r="G9076" s="10">
        <f t="array" ref="G9076">index('Player ID'!C:C,match(E9076,'Player ID'!B:B,0))</f>
        <v>656986</v>
      </c>
    </row>
    <row r="9077">
      <c r="A9077" s="76">
        <v>45823.0</v>
      </c>
      <c r="B9077" s="1" t="s">
        <v>237</v>
      </c>
      <c r="C9077" s="1" t="s">
        <v>16</v>
      </c>
      <c r="D9077" s="1">
        <v>0.2</v>
      </c>
      <c r="E9077" s="1">
        <v>21461.0</v>
      </c>
      <c r="F9077" s="10">
        <f t="shared" si="1"/>
        <v>0.6666666667</v>
      </c>
      <c r="G9077" s="10">
        <f t="array" ref="G9077">index('Player ID'!C:C,match(E9077,'Player ID'!B:B,0))</f>
        <v>663485</v>
      </c>
    </row>
    <row r="9078">
      <c r="A9078" s="76">
        <v>45823.0</v>
      </c>
      <c r="B9078" s="1" t="s">
        <v>490</v>
      </c>
      <c r="C9078" s="1" t="s">
        <v>16</v>
      </c>
      <c r="D9078" s="1">
        <v>5.0</v>
      </c>
      <c r="E9078" s="1">
        <v>24494.0</v>
      </c>
      <c r="F9078" s="10">
        <f t="shared" si="1"/>
        <v>5</v>
      </c>
      <c r="G9078" s="10">
        <f t="array" ref="G9078">index('Player ID'!C:C,match(E9078,'Player ID'!B:B,0))</f>
        <v>680573</v>
      </c>
    </row>
    <row r="9079">
      <c r="A9079" s="76">
        <v>45823.0</v>
      </c>
      <c r="B9079" s="1" t="s">
        <v>444</v>
      </c>
      <c r="C9079" s="1" t="s">
        <v>39</v>
      </c>
      <c r="D9079" s="1">
        <v>0.2</v>
      </c>
      <c r="E9079" s="1">
        <v>24977.0</v>
      </c>
      <c r="F9079" s="10">
        <f t="shared" si="1"/>
        <v>0.6666666667</v>
      </c>
      <c r="G9079" s="10">
        <f t="array" ref="G9079">index('Player ID'!C:C,match(E9079,'Player ID'!B:B,0))</f>
        <v>681869</v>
      </c>
    </row>
    <row r="9080">
      <c r="A9080" s="76">
        <v>45823.0</v>
      </c>
      <c r="B9080" s="1" t="s">
        <v>63</v>
      </c>
      <c r="C9080" s="1" t="s">
        <v>39</v>
      </c>
      <c r="D9080" s="1">
        <v>6.2</v>
      </c>
      <c r="E9080" s="1">
        <v>26056.0</v>
      </c>
      <c r="F9080" s="10">
        <f t="shared" si="1"/>
        <v>6.666666667</v>
      </c>
      <c r="G9080" s="10">
        <f t="array" ref="G9080">index('Player ID'!C:C,match(E9080,'Player ID'!B:B,0))</f>
        <v>687888</v>
      </c>
    </row>
    <row r="9081">
      <c r="A9081" s="76">
        <v>45823.0</v>
      </c>
      <c r="B9081" s="1" t="s">
        <v>47</v>
      </c>
      <c r="C9081" s="1" t="s">
        <v>16</v>
      </c>
      <c r="D9081" s="1">
        <v>2.0</v>
      </c>
      <c r="E9081" s="1">
        <v>27691.0</v>
      </c>
      <c r="F9081" s="10">
        <f t="shared" si="1"/>
        <v>2</v>
      </c>
      <c r="G9081" s="10">
        <f t="array" ref="G9081">index('Player ID'!C:C,match(E9081,'Player ID'!B:B,0))</f>
        <v>686973</v>
      </c>
    </row>
    <row r="9082">
      <c r="A9082" s="76">
        <v>45823.0</v>
      </c>
      <c r="B9082" s="1" t="s">
        <v>460</v>
      </c>
      <c r="C9082" s="1" t="s">
        <v>34</v>
      </c>
      <c r="D9082" s="1">
        <v>1.0</v>
      </c>
      <c r="E9082" s="1">
        <v>7005.0</v>
      </c>
      <c r="F9082" s="10">
        <f t="shared" si="1"/>
        <v>1</v>
      </c>
      <c r="G9082" s="10">
        <f t="array" ref="G9082">index('Player ID'!C:C,match(E9082,'Player ID'!B:B,0))</f>
        <v>519151</v>
      </c>
    </row>
    <row r="9083">
      <c r="A9083" s="76">
        <v>45823.0</v>
      </c>
      <c r="B9083" s="1" t="s">
        <v>71</v>
      </c>
      <c r="C9083" s="1" t="s">
        <v>34</v>
      </c>
      <c r="D9083" s="1">
        <v>1.0</v>
      </c>
      <c r="E9083" s="1">
        <v>10078.0</v>
      </c>
      <c r="F9083" s="10">
        <f t="shared" si="1"/>
        <v>1</v>
      </c>
      <c r="G9083" s="10">
        <f t="array" ref="G9083">index('Player ID'!C:C,match(E9083,'Player ID'!B:B,0))</f>
        <v>573204</v>
      </c>
    </row>
    <row r="9084">
      <c r="A9084" s="76">
        <v>45823.0</v>
      </c>
      <c r="B9084" s="1" t="s">
        <v>313</v>
      </c>
      <c r="C9084" s="1" t="s">
        <v>34</v>
      </c>
      <c r="D9084" s="1">
        <v>6.0</v>
      </c>
      <c r="E9084" s="1">
        <v>12317.0</v>
      </c>
      <c r="F9084" s="10">
        <f t="shared" si="1"/>
        <v>6</v>
      </c>
      <c r="G9084" s="10">
        <f t="array" ref="G9084">index('Player ID'!C:C,match(E9084,'Player ID'!B:B,0))</f>
        <v>607067</v>
      </c>
    </row>
    <row r="9085">
      <c r="A9085" s="76">
        <v>45823.0</v>
      </c>
      <c r="B9085" s="1" t="s">
        <v>462</v>
      </c>
      <c r="C9085" s="1" t="s">
        <v>34</v>
      </c>
      <c r="D9085" s="1">
        <v>1.0</v>
      </c>
      <c r="E9085" s="1">
        <v>13896.0</v>
      </c>
      <c r="F9085" s="10">
        <f t="shared" si="1"/>
        <v>1</v>
      </c>
      <c r="G9085" s="10">
        <f t="array" ref="G9085">index('Player ID'!C:C,match(E9085,'Player ID'!B:B,0))</f>
        <v>623167</v>
      </c>
    </row>
    <row r="9086">
      <c r="A9086" s="76">
        <v>45823.0</v>
      </c>
      <c r="B9086" s="1" t="s">
        <v>825</v>
      </c>
      <c r="C9086" s="1" t="s">
        <v>34</v>
      </c>
      <c r="D9086" s="1">
        <v>1.0</v>
      </c>
      <c r="E9086" s="1">
        <v>17490.0</v>
      </c>
      <c r="F9086" s="10">
        <f t="shared" si="1"/>
        <v>1</v>
      </c>
      <c r="G9086" s="10">
        <f t="array" ref="G9086">index('Player ID'!C:C,match(E9086,'Player ID'!B:B,0))</f>
        <v>650893</v>
      </c>
    </row>
    <row r="9087">
      <c r="A9087" s="76">
        <v>45823.0</v>
      </c>
      <c r="B9087" s="1" t="s">
        <v>423</v>
      </c>
      <c r="C9087" s="1" t="s">
        <v>60</v>
      </c>
      <c r="D9087" s="1">
        <v>6.0</v>
      </c>
      <c r="E9087" s="1">
        <v>17594.0</v>
      </c>
      <c r="F9087" s="10">
        <f t="shared" si="1"/>
        <v>6</v>
      </c>
      <c r="G9087" s="10">
        <f t="array" ref="G9087">index('Player ID'!C:C,match(E9087,'Player ID'!B:B,0))</f>
        <v>656605</v>
      </c>
    </row>
    <row r="9088">
      <c r="A9088" s="76">
        <v>45823.0</v>
      </c>
      <c r="B9088" s="1" t="s">
        <v>217</v>
      </c>
      <c r="C9088" s="1" t="s">
        <v>60</v>
      </c>
      <c r="D9088" s="1">
        <v>1.0</v>
      </c>
      <c r="E9088" s="1">
        <v>17878.0</v>
      </c>
      <c r="F9088" s="10">
        <f t="shared" si="1"/>
        <v>1</v>
      </c>
      <c r="G9088" s="10">
        <f t="array" ref="G9088">index('Player ID'!C:C,match(E9088,'Player ID'!B:B,0))</f>
        <v>642701</v>
      </c>
    </row>
    <row r="9089">
      <c r="A9089" s="76">
        <v>45823.0</v>
      </c>
      <c r="B9089" s="1" t="s">
        <v>183</v>
      </c>
      <c r="C9089" s="1" t="s">
        <v>60</v>
      </c>
      <c r="D9089" s="1">
        <v>0.1</v>
      </c>
      <c r="E9089" s="1">
        <v>19569.0</v>
      </c>
      <c r="F9089" s="10">
        <f t="shared" si="1"/>
        <v>0.3333333333</v>
      </c>
      <c r="G9089" s="10">
        <f t="array" ref="G9089">index('Player ID'!C:C,match(E9089,'Player ID'!B:B,0))</f>
        <v>670280</v>
      </c>
    </row>
    <row r="9090">
      <c r="A9090" s="76">
        <v>45823.0</v>
      </c>
      <c r="B9090" s="1" t="s">
        <v>338</v>
      </c>
      <c r="C9090" s="1" t="s">
        <v>60</v>
      </c>
      <c r="D9090" s="1">
        <v>2.0</v>
      </c>
      <c r="E9090" s="1">
        <v>20385.0</v>
      </c>
      <c r="F9090" s="10">
        <f t="shared" si="1"/>
        <v>2</v>
      </c>
      <c r="G9090" s="10" t="str">
        <f t="array" ref="G9090">index('Player ID'!C:C,match(E9090,'Player ID'!B:B,0))</f>
        <v>#N/A</v>
      </c>
    </row>
    <row r="9091">
      <c r="A9091" s="76">
        <v>45823.0</v>
      </c>
      <c r="B9091" s="1" t="s">
        <v>162</v>
      </c>
      <c r="C9091" s="1" t="s">
        <v>56</v>
      </c>
      <c r="D9091" s="1">
        <v>1.0</v>
      </c>
      <c r="E9091" s="1">
        <v>11752.0</v>
      </c>
      <c r="F9091" s="10">
        <f t="shared" si="1"/>
        <v>1</v>
      </c>
      <c r="G9091" s="10">
        <f t="array" ref="G9091">index('Player ID'!C:C,match(E9091,'Player ID'!B:B,0))</f>
        <v>592426</v>
      </c>
    </row>
    <row r="9092">
      <c r="A9092" s="76">
        <v>45823.0</v>
      </c>
      <c r="B9092" s="1" t="s">
        <v>252</v>
      </c>
      <c r="C9092" s="1" t="s">
        <v>78</v>
      </c>
      <c r="D9092" s="1">
        <v>0.2</v>
      </c>
      <c r="E9092" s="1">
        <v>16061.0</v>
      </c>
      <c r="F9092" s="10">
        <f t="shared" si="1"/>
        <v>0.6666666667</v>
      </c>
      <c r="G9092" s="10">
        <f t="array" ref="G9092">index('Player ID'!C:C,match(E9092,'Player ID'!B:B,0))</f>
        <v>592155</v>
      </c>
    </row>
    <row r="9093">
      <c r="A9093" s="76">
        <v>45823.0</v>
      </c>
      <c r="B9093" s="1" t="s">
        <v>851</v>
      </c>
      <c r="C9093" s="1" t="s">
        <v>78</v>
      </c>
      <c r="D9093" s="1">
        <v>1.1</v>
      </c>
      <c r="E9093" s="1">
        <v>16507.0</v>
      </c>
      <c r="F9093" s="10">
        <f t="shared" si="1"/>
        <v>1.333333333</v>
      </c>
      <c r="G9093" s="10" t="str">
        <f t="array" ref="G9093">index('Player ID'!C:C,match(E9093,'Player ID'!B:B,0))</f>
        <v>#N/A</v>
      </c>
    </row>
    <row r="9094">
      <c r="A9094" s="76">
        <v>45823.0</v>
      </c>
      <c r="B9094" s="1" t="s">
        <v>87</v>
      </c>
      <c r="C9094" s="1" t="s">
        <v>56</v>
      </c>
      <c r="D9094" s="1">
        <v>1.1</v>
      </c>
      <c r="E9094" s="1">
        <v>19274.0</v>
      </c>
      <c r="F9094" s="10">
        <f t="shared" si="1"/>
        <v>1.333333333</v>
      </c>
      <c r="G9094" s="10">
        <f t="array" ref="G9094">index('Player ID'!C:C,match(E9094,'Player ID'!B:B,0))</f>
        <v>657097</v>
      </c>
    </row>
    <row r="9095">
      <c r="A9095" s="76">
        <v>45823.0</v>
      </c>
      <c r="B9095" s="1" t="s">
        <v>491</v>
      </c>
      <c r="C9095" s="1" t="s">
        <v>78</v>
      </c>
      <c r="D9095" s="1">
        <v>5.0</v>
      </c>
      <c r="E9095" s="1">
        <v>19479.0</v>
      </c>
      <c r="F9095" s="10">
        <f t="shared" si="1"/>
        <v>5</v>
      </c>
      <c r="G9095" s="10">
        <f t="array" ref="G9095">index('Player ID'!C:C,match(E9095,'Player ID'!B:B,0))</f>
        <v>650644</v>
      </c>
    </row>
    <row r="9096">
      <c r="A9096" s="76">
        <v>45823.0</v>
      </c>
      <c r="B9096" s="1" t="s">
        <v>116</v>
      </c>
      <c r="C9096" s="1" t="s">
        <v>78</v>
      </c>
      <c r="D9096" s="1">
        <v>0.2</v>
      </c>
      <c r="E9096" s="1">
        <v>20353.0</v>
      </c>
      <c r="F9096" s="10">
        <f t="shared" si="1"/>
        <v>0.6666666667</v>
      </c>
      <c r="G9096" s="10">
        <f t="array" ref="G9096">index('Player ID'!C:C,match(E9096,'Player ID'!B:B,0))</f>
        <v>621051</v>
      </c>
    </row>
    <row r="9097">
      <c r="A9097" s="76">
        <v>45823.0</v>
      </c>
      <c r="B9097" s="1" t="s">
        <v>502</v>
      </c>
      <c r="C9097" s="1" t="s">
        <v>56</v>
      </c>
      <c r="D9097" s="1">
        <v>1.2</v>
      </c>
      <c r="E9097" s="1">
        <v>22113.0</v>
      </c>
      <c r="F9097" s="10">
        <f t="shared" si="1"/>
        <v>1.666666667</v>
      </c>
      <c r="G9097" s="10">
        <f t="array" ref="G9097">index('Player ID'!C:C,match(E9097,'Player ID'!B:B,0))</f>
        <v>668390</v>
      </c>
    </row>
    <row r="9098">
      <c r="A9098" s="76">
        <v>45823.0</v>
      </c>
      <c r="B9098" s="1" t="s">
        <v>367</v>
      </c>
      <c r="C9098" s="1" t="s">
        <v>78</v>
      </c>
      <c r="D9098" s="1">
        <v>0.1</v>
      </c>
      <c r="E9098" s="1">
        <v>27668.0</v>
      </c>
      <c r="F9098" s="10">
        <f t="shared" si="1"/>
        <v>0.3333333333</v>
      </c>
      <c r="G9098" s="10">
        <f t="array" ref="G9098">index('Player ID'!C:C,match(E9098,'Player ID'!B:B,0))</f>
        <v>685126</v>
      </c>
    </row>
    <row r="9099">
      <c r="A9099" s="76">
        <v>45823.0</v>
      </c>
      <c r="B9099" s="1" t="s">
        <v>477</v>
      </c>
      <c r="C9099" s="1" t="s">
        <v>56</v>
      </c>
      <c r="D9099" s="1">
        <v>5.0</v>
      </c>
      <c r="E9099" s="1">
        <v>31843.0</v>
      </c>
      <c r="F9099" s="10">
        <f t="shared" si="1"/>
        <v>5</v>
      </c>
      <c r="G9099" s="10">
        <f t="array" ref="G9099">index('Player ID'!C:C,match(E9099,'Player ID'!B:B,0))</f>
        <v>677958</v>
      </c>
    </row>
    <row r="9100">
      <c r="A9100" s="76">
        <v>45823.0</v>
      </c>
      <c r="B9100" s="1" t="s">
        <v>222</v>
      </c>
      <c r="C9100" s="1" t="s">
        <v>64</v>
      </c>
      <c r="D9100" s="1">
        <v>5.0</v>
      </c>
      <c r="E9100" s="1">
        <v>11156.0</v>
      </c>
      <c r="F9100" s="10">
        <f t="shared" si="1"/>
        <v>5</v>
      </c>
      <c r="G9100" s="10">
        <f t="array" ref="G9100">index('Player ID'!C:C,match(E9100,'Player ID'!B:B,0))</f>
        <v>518876</v>
      </c>
    </row>
    <row r="9101">
      <c r="A9101" s="76">
        <v>45823.0</v>
      </c>
      <c r="B9101" s="1" t="s">
        <v>274</v>
      </c>
      <c r="C9101" s="1" t="s">
        <v>64</v>
      </c>
      <c r="D9101" s="1">
        <v>2.1</v>
      </c>
      <c r="E9101" s="1">
        <v>13050.0</v>
      </c>
      <c r="F9101" s="10">
        <f t="shared" si="1"/>
        <v>2.333333333</v>
      </c>
      <c r="G9101" s="10" t="str">
        <f t="array" ref="G9101">index('Player ID'!C:C,match(E9101,'Player ID'!B:B,0))</f>
        <v>#N/A</v>
      </c>
    </row>
    <row r="9102">
      <c r="A9102" s="76">
        <v>45823.0</v>
      </c>
      <c r="B9102" s="1" t="s">
        <v>447</v>
      </c>
      <c r="C9102" s="1" t="s">
        <v>64</v>
      </c>
      <c r="D9102" s="1">
        <v>1.2</v>
      </c>
      <c r="E9102" s="1">
        <v>13652.0</v>
      </c>
      <c r="F9102" s="10">
        <f t="shared" si="1"/>
        <v>1.666666667</v>
      </c>
      <c r="G9102" s="10">
        <f t="array" ref="G9102">index('Player ID'!C:C,match(E9102,'Player ID'!B:B,0))</f>
        <v>605463</v>
      </c>
    </row>
    <row r="9103">
      <c r="A9103" s="76">
        <v>45823.0</v>
      </c>
      <c r="B9103" s="1" t="s">
        <v>109</v>
      </c>
      <c r="C9103" s="1" t="s">
        <v>26</v>
      </c>
      <c r="D9103" s="1">
        <v>7.0</v>
      </c>
      <c r="E9103" s="1">
        <v>15454.0</v>
      </c>
      <c r="F9103" s="10">
        <f t="shared" si="1"/>
        <v>7</v>
      </c>
      <c r="G9103" s="10">
        <f t="array" ref="G9103">index('Player ID'!C:C,match(E9103,'Player ID'!B:B,0))</f>
        <v>601713</v>
      </c>
    </row>
    <row r="9104">
      <c r="A9104" s="76">
        <v>45823.0</v>
      </c>
      <c r="B9104" s="1" t="s">
        <v>49</v>
      </c>
      <c r="C9104" s="1" t="s">
        <v>26</v>
      </c>
      <c r="D9104" s="1">
        <v>1.0</v>
      </c>
      <c r="E9104" s="1">
        <v>20039.0</v>
      </c>
      <c r="F9104" s="10">
        <f t="shared" si="1"/>
        <v>1</v>
      </c>
      <c r="G9104" s="10">
        <f t="array" ref="G9104">index('Player ID'!C:C,match(E9104,'Player ID'!B:B,0))</f>
        <v>670970</v>
      </c>
    </row>
    <row r="9105">
      <c r="A9105" s="76">
        <v>45823.0</v>
      </c>
      <c r="B9105" s="1" t="s">
        <v>797</v>
      </c>
      <c r="C9105" s="1" t="s">
        <v>26</v>
      </c>
      <c r="D9105" s="1">
        <v>1.0</v>
      </c>
      <c r="E9105" s="1">
        <v>22253.0</v>
      </c>
      <c r="F9105" s="10">
        <f t="shared" si="1"/>
        <v>1</v>
      </c>
      <c r="G9105" s="10">
        <f t="array" ref="G9105">index('Player ID'!C:C,match(E9105,'Player ID'!B:B,0))</f>
        <v>669308</v>
      </c>
    </row>
    <row r="9106">
      <c r="A9106" s="76">
        <v>45823.0</v>
      </c>
      <c r="B9106" s="1" t="s">
        <v>117</v>
      </c>
      <c r="C9106" s="1" t="s">
        <v>70</v>
      </c>
      <c r="D9106" s="1">
        <v>1.0</v>
      </c>
      <c r="E9106" s="1">
        <v>13619.0</v>
      </c>
      <c r="F9106" s="10">
        <f t="shared" si="1"/>
        <v>1</v>
      </c>
      <c r="G9106" s="10">
        <f t="array" ref="G9106">index('Player ID'!C:C,match(E9106,'Player ID'!B:B,0))</f>
        <v>596001</v>
      </c>
    </row>
    <row r="9107">
      <c r="A9107" s="76">
        <v>45823.0</v>
      </c>
      <c r="B9107" s="1" t="s">
        <v>157</v>
      </c>
      <c r="C9107" s="1" t="s">
        <v>37</v>
      </c>
      <c r="D9107" s="1">
        <v>1.0</v>
      </c>
      <c r="E9107" s="1">
        <v>20997.0</v>
      </c>
      <c r="F9107" s="10">
        <f t="shared" si="1"/>
        <v>1</v>
      </c>
      <c r="G9107" s="10">
        <f t="array" ref="G9107">index('Player ID'!C:C,match(E9107,'Player ID'!B:B,0))</f>
        <v>660825</v>
      </c>
    </row>
    <row r="9108">
      <c r="A9108" s="76">
        <v>45823.0</v>
      </c>
      <c r="B9108" s="1" t="s">
        <v>375</v>
      </c>
      <c r="C9108" s="1" t="s">
        <v>70</v>
      </c>
      <c r="D9108" s="1">
        <v>1.0</v>
      </c>
      <c r="E9108" s="1">
        <v>25553.0</v>
      </c>
      <c r="F9108" s="10">
        <f t="shared" si="1"/>
        <v>1</v>
      </c>
      <c r="G9108" s="10" t="str">
        <f t="array" ref="G9108">index('Player ID'!C:C,match(E9108,'Player ID'!B:B,0))</f>
        <v>#N/A</v>
      </c>
    </row>
    <row r="9109">
      <c r="A9109" s="76">
        <v>45823.0</v>
      </c>
      <c r="B9109" s="1" t="s">
        <v>340</v>
      </c>
      <c r="C9109" s="1" t="s">
        <v>37</v>
      </c>
      <c r="D9109" s="1">
        <v>1.0</v>
      </c>
      <c r="E9109" s="1">
        <v>25921.0</v>
      </c>
      <c r="F9109" s="10">
        <f t="shared" si="1"/>
        <v>1</v>
      </c>
      <c r="G9109" s="10">
        <f t="array" ref="G9109">index('Player ID'!C:C,match(E9109,'Player ID'!B:B,0))</f>
        <v>668984</v>
      </c>
    </row>
    <row r="9110">
      <c r="A9110" s="76">
        <v>45823.0</v>
      </c>
      <c r="B9110" s="1" t="s">
        <v>509</v>
      </c>
      <c r="C9110" s="1" t="s">
        <v>37</v>
      </c>
      <c r="D9110" s="1">
        <v>7.0</v>
      </c>
      <c r="E9110" s="1">
        <v>27470.0</v>
      </c>
      <c r="F9110" s="10">
        <f t="shared" si="1"/>
        <v>7</v>
      </c>
      <c r="G9110" s="10">
        <f t="array" ref="G9110">index('Player ID'!C:C,match(E9110,'Player ID'!B:B,0))</f>
        <v>676106</v>
      </c>
    </row>
    <row r="9111">
      <c r="A9111" s="76">
        <v>45823.0</v>
      </c>
      <c r="B9111" s="1" t="s">
        <v>484</v>
      </c>
      <c r="C9111" s="1" t="s">
        <v>70</v>
      </c>
      <c r="D9111" s="1">
        <v>6.0</v>
      </c>
      <c r="E9111" s="1">
        <v>27646.0</v>
      </c>
      <c r="F9111" s="10">
        <f t="shared" si="1"/>
        <v>6</v>
      </c>
      <c r="G9111" s="10">
        <f t="array" ref="G9111">index('Player ID'!C:C,match(E9111,'Player ID'!B:B,0))</f>
        <v>682847</v>
      </c>
    </row>
    <row r="9112">
      <c r="A9112" s="76">
        <v>45823.0</v>
      </c>
      <c r="B9112" s="1" t="s">
        <v>392</v>
      </c>
      <c r="C9112" s="1" t="s">
        <v>33</v>
      </c>
      <c r="D9112" s="1">
        <v>1.0</v>
      </c>
      <c r="E9112" s="1">
        <v>9073.0</v>
      </c>
      <c r="F9112" s="10">
        <f t="shared" si="1"/>
        <v>1</v>
      </c>
      <c r="G9112" s="10">
        <f t="array" ref="G9112">index('Player ID'!C:C,match(E9112,'Player ID'!B:B,0))</f>
        <v>489446</v>
      </c>
    </row>
    <row r="9113">
      <c r="A9113" s="76">
        <v>45823.0</v>
      </c>
      <c r="B9113" s="1" t="s">
        <v>20</v>
      </c>
      <c r="C9113" s="1" t="s">
        <v>31</v>
      </c>
      <c r="D9113" s="1">
        <v>1.0</v>
      </c>
      <c r="E9113" s="1">
        <v>15541.0</v>
      </c>
      <c r="F9113" s="10">
        <f t="shared" si="1"/>
        <v>1</v>
      </c>
      <c r="G9113" s="10">
        <f t="array" ref="G9113">index('Player ID'!C:C,match(E9113,'Player ID'!B:B,0))</f>
        <v>643511</v>
      </c>
    </row>
    <row r="9114">
      <c r="A9114" s="76">
        <v>45823.0</v>
      </c>
      <c r="B9114" s="1" t="s">
        <v>32</v>
      </c>
      <c r="C9114" s="1" t="s">
        <v>33</v>
      </c>
      <c r="D9114" s="1">
        <v>1.0</v>
      </c>
      <c r="E9114" s="1">
        <v>17586.0</v>
      </c>
      <c r="F9114" s="10">
        <f t="shared" si="1"/>
        <v>1</v>
      </c>
      <c r="G9114" s="10">
        <f t="array" ref="G9114">index('Player ID'!C:C,match(E9114,'Player ID'!B:B,0))</f>
        <v>656945</v>
      </c>
    </row>
    <row r="9115">
      <c r="A9115" s="76">
        <v>45823.0</v>
      </c>
      <c r="B9115" s="1" t="s">
        <v>483</v>
      </c>
      <c r="C9115" s="1" t="s">
        <v>31</v>
      </c>
      <c r="D9115" s="1">
        <v>0.2</v>
      </c>
      <c r="E9115" s="1">
        <v>19320.0</v>
      </c>
      <c r="F9115" s="10">
        <f t="shared" si="1"/>
        <v>0.6666666667</v>
      </c>
      <c r="G9115" s="10" t="str">
        <f t="array" ref="G9115">index('Player ID'!C:C,match(E9115,'Player ID'!B:B,0))</f>
        <v>#N/A</v>
      </c>
    </row>
    <row r="9116">
      <c r="A9116" s="76">
        <v>45823.0</v>
      </c>
      <c r="B9116" s="1" t="s">
        <v>329</v>
      </c>
      <c r="C9116" s="1" t="s">
        <v>33</v>
      </c>
      <c r="D9116" s="1">
        <v>6.0</v>
      </c>
      <c r="E9116" s="1">
        <v>19716.0</v>
      </c>
      <c r="F9116" s="10">
        <f t="shared" si="1"/>
        <v>6</v>
      </c>
      <c r="G9116" s="10">
        <f t="array" ref="G9116">index('Player ID'!C:C,match(E9116,'Player ID'!B:B,0))</f>
        <v>669160</v>
      </c>
    </row>
    <row r="9117">
      <c r="A9117" s="76">
        <v>45823.0</v>
      </c>
      <c r="B9117" s="1" t="s">
        <v>403</v>
      </c>
      <c r="C9117" s="1" t="s">
        <v>31</v>
      </c>
      <c r="D9117" s="1">
        <v>1.2</v>
      </c>
      <c r="E9117" s="1">
        <v>20423.0</v>
      </c>
      <c r="F9117" s="10">
        <f t="shared" si="1"/>
        <v>1.666666667</v>
      </c>
      <c r="G9117" s="10">
        <f t="array" ref="G9117">index('Player ID'!C:C,match(E9117,'Player ID'!B:B,0))</f>
        <v>676254</v>
      </c>
    </row>
    <row r="9118">
      <c r="A9118" s="76">
        <v>45823.0</v>
      </c>
      <c r="B9118" s="1" t="s">
        <v>862</v>
      </c>
      <c r="C9118" s="1" t="s">
        <v>31</v>
      </c>
      <c r="D9118" s="1">
        <v>3.2</v>
      </c>
      <c r="E9118" s="1">
        <v>21481.0</v>
      </c>
      <c r="F9118" s="10">
        <f t="shared" si="1"/>
        <v>3.666666667</v>
      </c>
      <c r="G9118" s="10" t="str">
        <f t="array" ref="G9118">index('Player ID'!C:C,match(E9118,'Player ID'!B:B,0))</f>
        <v>#N/A</v>
      </c>
    </row>
    <row r="9119">
      <c r="A9119" s="76">
        <v>45823.0</v>
      </c>
      <c r="B9119" s="1" t="s">
        <v>92</v>
      </c>
      <c r="C9119" s="1" t="s">
        <v>33</v>
      </c>
      <c r="D9119" s="1">
        <v>1.0</v>
      </c>
      <c r="E9119" s="1">
        <v>25007.0</v>
      </c>
      <c r="F9119" s="10">
        <f t="shared" si="1"/>
        <v>1</v>
      </c>
      <c r="G9119" s="10">
        <f t="array" ref="G9119">index('Player ID'!C:C,match(E9119,'Player ID'!B:B,0))</f>
        <v>681911</v>
      </c>
    </row>
    <row r="9120">
      <c r="A9120" s="76">
        <v>45823.0</v>
      </c>
      <c r="B9120" s="1" t="s">
        <v>655</v>
      </c>
      <c r="C9120" s="1" t="s">
        <v>31</v>
      </c>
      <c r="D9120" s="1">
        <v>1.0</v>
      </c>
      <c r="E9120" s="1">
        <v>26252.0</v>
      </c>
      <c r="F9120" s="10">
        <f t="shared" si="1"/>
        <v>1</v>
      </c>
      <c r="G9120" s="10">
        <f t="array" ref="G9120">index('Player ID'!C:C,match(E9120,'Player ID'!B:B,0))</f>
        <v>669062</v>
      </c>
    </row>
    <row r="9121">
      <c r="A9121" s="76">
        <v>45824.0</v>
      </c>
      <c r="B9121" s="1" t="s">
        <v>453</v>
      </c>
      <c r="C9121" s="1" t="s">
        <v>45</v>
      </c>
      <c r="D9121" s="1">
        <v>1.0</v>
      </c>
      <c r="E9121" s="1">
        <v>11836.0</v>
      </c>
      <c r="F9121" s="10">
        <f t="shared" si="1"/>
        <v>1</v>
      </c>
      <c r="G9121" s="10">
        <f t="array" ref="G9121">index('Player ID'!C:C,match(E9121,'Player ID'!B:B,0))</f>
        <v>592836</v>
      </c>
    </row>
    <row r="9122">
      <c r="A9122" s="76">
        <v>45824.0</v>
      </c>
      <c r="B9122" s="1" t="s">
        <v>182</v>
      </c>
      <c r="C9122" s="1" t="s">
        <v>45</v>
      </c>
      <c r="D9122" s="1">
        <v>1.0</v>
      </c>
      <c r="E9122" s="1">
        <v>13799.0</v>
      </c>
      <c r="F9122" s="10">
        <f t="shared" si="1"/>
        <v>1</v>
      </c>
      <c r="G9122" s="10">
        <f t="array" ref="G9122">index('Player ID'!C:C,match(E9122,'Player ID'!B:B,0))</f>
        <v>621381</v>
      </c>
    </row>
    <row r="9123">
      <c r="A9123" s="76">
        <v>45824.0</v>
      </c>
      <c r="B9123" s="1" t="s">
        <v>208</v>
      </c>
      <c r="C9123" s="1" t="s">
        <v>45</v>
      </c>
      <c r="D9123" s="1">
        <v>1.0</v>
      </c>
      <c r="E9123" s="1">
        <v>16122.0</v>
      </c>
      <c r="F9123" s="10">
        <f t="shared" si="1"/>
        <v>1</v>
      </c>
      <c r="G9123" s="10">
        <f t="array" ref="G9123">index('Player ID'!C:C,match(E9123,'Player ID'!B:B,0))</f>
        <v>605447</v>
      </c>
    </row>
    <row r="9124">
      <c r="A9124" s="76">
        <v>45824.0</v>
      </c>
      <c r="B9124" s="1" t="s">
        <v>229</v>
      </c>
      <c r="C9124" s="1" t="s">
        <v>36</v>
      </c>
      <c r="D9124" s="1">
        <v>5.0</v>
      </c>
      <c r="E9124" s="1">
        <v>18684.0</v>
      </c>
      <c r="F9124" s="10">
        <f t="shared" si="1"/>
        <v>5</v>
      </c>
      <c r="G9124" s="10">
        <f t="array" ref="G9124">index('Player ID'!C:C,match(E9124,'Player ID'!B:B,0))</f>
        <v>645261</v>
      </c>
    </row>
    <row r="9125">
      <c r="A9125" s="76">
        <v>45824.0</v>
      </c>
      <c r="B9125" s="1" t="s">
        <v>322</v>
      </c>
      <c r="C9125" s="1" t="s">
        <v>36</v>
      </c>
      <c r="D9125" s="1">
        <v>3.0</v>
      </c>
      <c r="E9125" s="1">
        <v>23899.0</v>
      </c>
      <c r="F9125" s="10">
        <f t="shared" si="1"/>
        <v>3</v>
      </c>
      <c r="G9125" s="10">
        <f t="array" ref="G9125">index('Player ID'!C:C,match(E9125,'Player ID'!B:B,0))</f>
        <v>678368</v>
      </c>
    </row>
    <row r="9126">
      <c r="A9126" s="76">
        <v>45824.0</v>
      </c>
      <c r="B9126" s="1" t="s">
        <v>393</v>
      </c>
      <c r="C9126" s="1" t="s">
        <v>45</v>
      </c>
      <c r="D9126" s="1">
        <v>5.0</v>
      </c>
      <c r="E9126" s="1">
        <v>27756.0</v>
      </c>
      <c r="F9126" s="10">
        <f t="shared" si="1"/>
        <v>5</v>
      </c>
      <c r="G9126" s="10">
        <f t="array" ref="G9126">index('Player ID'!C:C,match(E9126,'Player ID'!B:B,0))</f>
        <v>690953</v>
      </c>
    </row>
    <row r="9127">
      <c r="A9127" s="76">
        <v>45824.0</v>
      </c>
      <c r="B9127" s="1" t="s">
        <v>165</v>
      </c>
      <c r="C9127" s="1" t="s">
        <v>45</v>
      </c>
      <c r="D9127" s="1">
        <v>1.0</v>
      </c>
      <c r="E9127" s="1">
        <v>31776.0</v>
      </c>
      <c r="F9127" s="10">
        <f t="shared" si="1"/>
        <v>1</v>
      </c>
      <c r="G9127" s="10">
        <f t="array" ref="G9127">index('Player ID'!C:C,match(E9127,'Player ID'!B:B,0))</f>
        <v>689147</v>
      </c>
    </row>
    <row r="9128">
      <c r="A9128" s="76">
        <v>45824.0</v>
      </c>
      <c r="B9128" s="1" t="s">
        <v>266</v>
      </c>
      <c r="C9128" s="1" t="s">
        <v>36</v>
      </c>
      <c r="D9128" s="1">
        <v>1.0</v>
      </c>
      <c r="E9128" s="1">
        <v>31815.0</v>
      </c>
      <c r="F9128" s="10">
        <f t="shared" si="1"/>
        <v>1</v>
      </c>
      <c r="G9128" s="10">
        <f t="array" ref="G9128">index('Player ID'!C:C,match(E9128,'Player ID'!B:B,0))</f>
        <v>806188</v>
      </c>
    </row>
    <row r="9129">
      <c r="A9129" s="76">
        <v>45824.0</v>
      </c>
      <c r="B9129" s="1" t="s">
        <v>139</v>
      </c>
      <c r="C9129" s="1" t="s">
        <v>80</v>
      </c>
      <c r="D9129" s="1">
        <v>1.0</v>
      </c>
      <c r="E9129" s="1">
        <v>15009.0</v>
      </c>
      <c r="F9129" s="10">
        <f t="shared" si="1"/>
        <v>1</v>
      </c>
      <c r="G9129" s="10">
        <f t="array" ref="G9129">index('Player ID'!C:C,match(E9129,'Player ID'!B:B,0))</f>
        <v>640448</v>
      </c>
    </row>
    <row r="9130">
      <c r="A9130" s="76">
        <v>45824.0</v>
      </c>
      <c r="B9130" s="1" t="s">
        <v>451</v>
      </c>
      <c r="C9130" s="1" t="s">
        <v>75</v>
      </c>
      <c r="D9130" s="1">
        <v>1.0</v>
      </c>
      <c r="E9130" s="1">
        <v>17556.0</v>
      </c>
      <c r="F9130" s="10">
        <f t="shared" si="1"/>
        <v>1</v>
      </c>
      <c r="G9130" s="10">
        <f t="array" ref="G9130">index('Player ID'!C:C,match(E9130,'Player ID'!B:B,0))</f>
        <v>623474</v>
      </c>
    </row>
    <row r="9131">
      <c r="A9131" s="76">
        <v>45824.0</v>
      </c>
      <c r="B9131" s="1" t="s">
        <v>396</v>
      </c>
      <c r="C9131" s="1" t="s">
        <v>80</v>
      </c>
      <c r="D9131" s="1">
        <v>6.0</v>
      </c>
      <c r="E9131" s="1">
        <v>21504.0</v>
      </c>
      <c r="F9131" s="10">
        <f t="shared" si="1"/>
        <v>6</v>
      </c>
      <c r="G9131" s="10">
        <f t="array" ref="G9131">index('Player ID'!C:C,match(E9131,'Player ID'!B:B,0))</f>
        <v>663623</v>
      </c>
    </row>
    <row r="9132">
      <c r="A9132" s="76">
        <v>45824.0</v>
      </c>
      <c r="B9132" s="1" t="s">
        <v>468</v>
      </c>
      <c r="C9132" s="1" t="s">
        <v>75</v>
      </c>
      <c r="D9132" s="1">
        <v>1.1</v>
      </c>
      <c r="E9132" s="1">
        <v>23237.0</v>
      </c>
      <c r="F9132" s="10">
        <f t="shared" si="1"/>
        <v>1.333333333</v>
      </c>
      <c r="G9132" s="10">
        <f t="array" ref="G9132">index('Player ID'!C:C,match(E9132,'Player ID'!B:B,0))</f>
        <v>675848</v>
      </c>
    </row>
    <row r="9133">
      <c r="A9133" s="76">
        <v>45824.0</v>
      </c>
      <c r="B9133" s="1" t="s">
        <v>365</v>
      </c>
      <c r="C9133" s="1" t="s">
        <v>75</v>
      </c>
      <c r="D9133" s="1">
        <v>1.0</v>
      </c>
      <c r="E9133" s="1">
        <v>24614.0</v>
      </c>
      <c r="F9133" s="10">
        <f t="shared" si="1"/>
        <v>1</v>
      </c>
      <c r="G9133" s="10">
        <f t="array" ref="G9133">index('Player ID'!C:C,match(E9133,'Player ID'!B:B,0))</f>
        <v>680767</v>
      </c>
    </row>
    <row r="9134">
      <c r="A9134" s="76">
        <v>45824.0</v>
      </c>
      <c r="B9134" s="1" t="s">
        <v>449</v>
      </c>
      <c r="C9134" s="1" t="s">
        <v>75</v>
      </c>
      <c r="D9134" s="1">
        <v>4.2</v>
      </c>
      <c r="E9134" s="1">
        <v>31612.0</v>
      </c>
      <c r="F9134" s="10">
        <f t="shared" si="1"/>
        <v>4.666666667</v>
      </c>
      <c r="G9134" s="10">
        <f t="array" ref="G9134">index('Player ID'!C:C,match(E9134,'Player ID'!B:B,0))</f>
        <v>687223</v>
      </c>
    </row>
    <row r="9135">
      <c r="A9135" s="76">
        <v>45824.0</v>
      </c>
      <c r="B9135" s="1" t="s">
        <v>437</v>
      </c>
      <c r="C9135" s="1" t="s">
        <v>80</v>
      </c>
      <c r="D9135" s="1">
        <v>2.0</v>
      </c>
      <c r="E9135" s="1">
        <v>31972.0</v>
      </c>
      <c r="F9135" s="10">
        <f t="shared" si="1"/>
        <v>2</v>
      </c>
      <c r="G9135" s="10">
        <f t="array" ref="G9135">index('Player ID'!C:C,match(E9135,'Player ID'!B:B,0))</f>
        <v>695418</v>
      </c>
    </row>
    <row r="9136">
      <c r="A9136" s="76">
        <v>45824.0</v>
      </c>
      <c r="B9136" s="1" t="s">
        <v>488</v>
      </c>
      <c r="C9136" s="1" t="s">
        <v>75</v>
      </c>
      <c r="D9136" s="1">
        <v>1.0</v>
      </c>
      <c r="E9136" s="1">
        <v>33294.0</v>
      </c>
      <c r="F9136" s="10">
        <f t="shared" si="1"/>
        <v>1</v>
      </c>
      <c r="G9136" s="10">
        <f t="array" ref="G9136">index('Player ID'!C:C,match(E9136,'Player ID'!B:B,0))</f>
        <v>678020</v>
      </c>
    </row>
    <row r="9137">
      <c r="A9137" s="76">
        <v>45824.0</v>
      </c>
      <c r="B9137" s="1" t="s">
        <v>154</v>
      </c>
      <c r="C9137" s="1" t="s">
        <v>25</v>
      </c>
      <c r="D9137" s="1">
        <v>1.0</v>
      </c>
      <c r="E9137" s="1">
        <v>3096.0</v>
      </c>
      <c r="F9137" s="10">
        <f t="shared" si="1"/>
        <v>1</v>
      </c>
      <c r="G9137" s="10">
        <f t="array" ref="G9137">index('Player ID'!C:C,match(E9137,'Player ID'!B:B,0))</f>
        <v>445276</v>
      </c>
    </row>
    <row r="9138">
      <c r="A9138" s="76">
        <v>45824.0</v>
      </c>
      <c r="B9138" s="1" t="s">
        <v>422</v>
      </c>
      <c r="C9138" s="1" t="s">
        <v>58</v>
      </c>
      <c r="D9138" s="1">
        <v>0.1</v>
      </c>
      <c r="E9138" s="1">
        <v>7048.0</v>
      </c>
      <c r="F9138" s="10">
        <f t="shared" si="1"/>
        <v>0.3333333333</v>
      </c>
      <c r="G9138" s="10">
        <f t="array" ref="G9138">index('Player ID'!C:C,match(E9138,'Player ID'!B:B,0))</f>
        <v>518585</v>
      </c>
    </row>
    <row r="9139">
      <c r="A9139" s="76">
        <v>45824.0</v>
      </c>
      <c r="B9139" s="1" t="s">
        <v>834</v>
      </c>
      <c r="C9139" s="1" t="s">
        <v>25</v>
      </c>
      <c r="D9139" s="1">
        <v>0.1</v>
      </c>
      <c r="E9139" s="1">
        <v>7836.0</v>
      </c>
      <c r="F9139" s="10">
        <f t="shared" si="1"/>
        <v>0.3333333333</v>
      </c>
      <c r="G9139" s="10" t="str">
        <f t="array" ref="G9139">index('Player ID'!C:C,match(E9139,'Player ID'!B:B,0))</f>
        <v>#N/A</v>
      </c>
    </row>
    <row r="9140">
      <c r="A9140" s="76">
        <v>45824.0</v>
      </c>
      <c r="B9140" s="1" t="s">
        <v>114</v>
      </c>
      <c r="C9140" s="1" t="s">
        <v>58</v>
      </c>
      <c r="D9140" s="1">
        <v>1.0</v>
      </c>
      <c r="E9140" s="1">
        <v>15816.0</v>
      </c>
      <c r="F9140" s="10">
        <f t="shared" si="1"/>
        <v>1</v>
      </c>
      <c r="G9140" s="10">
        <f t="array" ref="G9140">index('Player ID'!C:C,match(E9140,'Player ID'!B:B,0))</f>
        <v>642207</v>
      </c>
    </row>
    <row r="9141">
      <c r="A9141" s="76">
        <v>45824.0</v>
      </c>
      <c r="B9141" s="1" t="s">
        <v>291</v>
      </c>
      <c r="C9141" s="1" t="s">
        <v>25</v>
      </c>
      <c r="D9141" s="1">
        <v>0.2</v>
      </c>
      <c r="E9141" s="1">
        <v>17968.0</v>
      </c>
      <c r="F9141" s="10">
        <f t="shared" si="1"/>
        <v>0.6666666667</v>
      </c>
      <c r="G9141" s="10">
        <f t="array" ref="G9141">index('Player ID'!C:C,match(E9141,'Player ID'!B:B,0))</f>
        <v>656271</v>
      </c>
    </row>
    <row r="9142">
      <c r="A9142" s="76">
        <v>45824.0</v>
      </c>
      <c r="B9142" s="1" t="s">
        <v>831</v>
      </c>
      <c r="C9142" s="1" t="s">
        <v>58</v>
      </c>
      <c r="D9142" s="1">
        <v>2.0</v>
      </c>
      <c r="E9142" s="1">
        <v>19753.0</v>
      </c>
      <c r="F9142" s="10">
        <f t="shared" si="1"/>
        <v>2</v>
      </c>
      <c r="G9142" s="10">
        <f t="array" ref="G9142">index('Player ID'!C:C,match(E9142,'Player ID'!B:B,0))</f>
        <v>642528</v>
      </c>
    </row>
    <row r="9143">
      <c r="A9143" s="76">
        <v>45824.0</v>
      </c>
      <c r="B9143" s="1" t="s">
        <v>408</v>
      </c>
      <c r="C9143" s="1" t="s">
        <v>58</v>
      </c>
      <c r="D9143" s="1">
        <v>7.2</v>
      </c>
      <c r="E9143" s="1">
        <v>19899.0</v>
      </c>
      <c r="F9143" s="10">
        <f t="shared" si="1"/>
        <v>7.666666667</v>
      </c>
      <c r="G9143" s="10">
        <f t="array" ref="G9143">index('Player ID'!C:C,match(E9143,'Player ID'!B:B,0))</f>
        <v>657376</v>
      </c>
    </row>
    <row r="9144">
      <c r="A9144" s="76">
        <v>45824.0</v>
      </c>
      <c r="B9144" s="1" t="s">
        <v>695</v>
      </c>
      <c r="C9144" s="1" t="s">
        <v>25</v>
      </c>
      <c r="D9144" s="1">
        <v>7.0</v>
      </c>
      <c r="E9144" s="1">
        <v>22100.0</v>
      </c>
      <c r="F9144" s="10">
        <f t="shared" si="1"/>
        <v>7</v>
      </c>
      <c r="G9144" s="10">
        <f t="array" ref="G9144">index('Player ID'!C:C,match(E9144,'Player ID'!B:B,0))</f>
        <v>667755</v>
      </c>
    </row>
    <row r="9145">
      <c r="A9145" s="76">
        <v>45824.0</v>
      </c>
      <c r="B9145" s="1" t="s">
        <v>385</v>
      </c>
      <c r="C9145" s="1" t="s">
        <v>25</v>
      </c>
      <c r="D9145" s="1">
        <v>1.0</v>
      </c>
      <c r="E9145" s="1">
        <v>25420.0</v>
      </c>
      <c r="F9145" s="10">
        <f t="shared" si="1"/>
        <v>1</v>
      </c>
      <c r="G9145" s="10">
        <f t="array" ref="G9145">index('Player ID'!C:C,match(E9145,'Player ID'!B:B,0))</f>
        <v>666171</v>
      </c>
    </row>
    <row r="9146">
      <c r="A9146" s="76">
        <v>45824.0</v>
      </c>
      <c r="B9146" s="1" t="s">
        <v>24</v>
      </c>
      <c r="C9146" s="1" t="s">
        <v>25</v>
      </c>
      <c r="D9146" s="1">
        <v>1.0</v>
      </c>
      <c r="E9146" s="1">
        <v>27468.0</v>
      </c>
      <c r="F9146" s="10">
        <f t="shared" si="1"/>
        <v>1</v>
      </c>
      <c r="G9146" s="10">
        <f t="array" ref="G9146">index('Player ID'!C:C,match(E9146,'Player ID'!B:B,0))</f>
        <v>672282</v>
      </c>
    </row>
    <row r="9147">
      <c r="A9147" s="76">
        <v>45824.0</v>
      </c>
      <c r="B9147" s="1" t="s">
        <v>216</v>
      </c>
      <c r="C9147" s="1" t="s">
        <v>68</v>
      </c>
      <c r="D9147" s="1">
        <v>5.0</v>
      </c>
      <c r="E9147" s="1">
        <v>13774.0</v>
      </c>
      <c r="F9147" s="10">
        <f t="shared" si="1"/>
        <v>5</v>
      </c>
      <c r="G9147" s="10">
        <f t="array" ref="G9147">index('Player ID'!C:C,match(E9147,'Player ID'!B:B,0))</f>
        <v>621107</v>
      </c>
    </row>
    <row r="9148">
      <c r="A9148" s="76">
        <v>45824.0</v>
      </c>
      <c r="B9148" s="1" t="s">
        <v>736</v>
      </c>
      <c r="C9148" s="1" t="s">
        <v>54</v>
      </c>
      <c r="D9148" s="1">
        <v>1.0</v>
      </c>
      <c r="E9148" s="1">
        <v>19586.0</v>
      </c>
      <c r="F9148" s="10">
        <f t="shared" si="1"/>
        <v>1</v>
      </c>
      <c r="G9148" s="10">
        <f t="array" ref="G9148">index('Player ID'!C:C,match(E9148,'Player ID'!B:B,0))</f>
        <v>666215</v>
      </c>
    </row>
    <row r="9149">
      <c r="A9149" s="76">
        <v>45824.0</v>
      </c>
      <c r="B9149" s="1" t="s">
        <v>433</v>
      </c>
      <c r="C9149" s="1" t="s">
        <v>68</v>
      </c>
      <c r="D9149" s="1">
        <v>1.0</v>
      </c>
      <c r="E9149" s="1">
        <v>19677.0</v>
      </c>
      <c r="F9149" s="10">
        <f t="shared" si="1"/>
        <v>1</v>
      </c>
      <c r="G9149" s="10">
        <f t="array" ref="G9149">index('Player ID'!C:C,match(E9149,'Player ID'!B:B,0))</f>
        <v>642397</v>
      </c>
    </row>
    <row r="9150">
      <c r="A9150" s="76">
        <v>45824.0</v>
      </c>
      <c r="B9150" s="1" t="s">
        <v>782</v>
      </c>
      <c r="C9150" s="1" t="s">
        <v>68</v>
      </c>
      <c r="D9150" s="1">
        <v>2.0</v>
      </c>
      <c r="E9150" s="1">
        <v>24986.0</v>
      </c>
      <c r="F9150" s="10">
        <f t="shared" si="1"/>
        <v>2</v>
      </c>
      <c r="G9150" s="10">
        <f t="array" ref="G9150">index('Player ID'!C:C,match(E9150,'Player ID'!B:B,0))</f>
        <v>681882</v>
      </c>
    </row>
    <row r="9151">
      <c r="A9151" s="76">
        <v>45824.0</v>
      </c>
      <c r="B9151" s="1" t="s">
        <v>129</v>
      </c>
      <c r="C9151" s="1" t="s">
        <v>54</v>
      </c>
      <c r="D9151" s="1">
        <v>8.0</v>
      </c>
      <c r="E9151" s="1">
        <v>26221.0</v>
      </c>
      <c r="F9151" s="10">
        <f t="shared" si="1"/>
        <v>8</v>
      </c>
      <c r="G9151" s="10">
        <f t="array" ref="G9151">index('Player ID'!C:C,match(E9151,'Player ID'!B:B,0))</f>
        <v>686752</v>
      </c>
    </row>
    <row r="9152">
      <c r="A9152" s="76">
        <v>45824.0</v>
      </c>
      <c r="B9152" s="1" t="s">
        <v>230</v>
      </c>
      <c r="C9152" s="1" t="s">
        <v>22</v>
      </c>
      <c r="D9152" s="1">
        <v>1.0</v>
      </c>
      <c r="E9152" s="1">
        <v>4301.0</v>
      </c>
      <c r="F9152" s="10">
        <f t="shared" si="1"/>
        <v>1</v>
      </c>
      <c r="G9152" s="10">
        <f t="array" ref="G9152">index('Player ID'!C:C,match(E9152,'Player ID'!B:B,0))</f>
        <v>458677</v>
      </c>
    </row>
    <row r="9153">
      <c r="A9153" s="76">
        <v>45824.0</v>
      </c>
      <c r="B9153" s="1" t="s">
        <v>41</v>
      </c>
      <c r="C9153" s="1" t="s">
        <v>22</v>
      </c>
      <c r="D9153" s="1">
        <v>1.0</v>
      </c>
      <c r="E9153" s="1">
        <v>10233.0</v>
      </c>
      <c r="F9153" s="10">
        <f t="shared" si="1"/>
        <v>1</v>
      </c>
      <c r="G9153" s="10">
        <f t="array" ref="G9153">index('Player ID'!C:C,match(E9153,'Player ID'!B:B,0))</f>
        <v>547973</v>
      </c>
    </row>
    <row r="9154">
      <c r="A9154" s="76">
        <v>45824.0</v>
      </c>
      <c r="B9154" s="1" t="s">
        <v>416</v>
      </c>
      <c r="C9154" s="1" t="s">
        <v>22</v>
      </c>
      <c r="D9154" s="1">
        <v>6.0</v>
      </c>
      <c r="E9154" s="1">
        <v>15474.0</v>
      </c>
      <c r="F9154" s="10">
        <f t="shared" si="1"/>
        <v>6</v>
      </c>
      <c r="G9154" s="10">
        <f t="array" ref="G9154">index('Player ID'!C:C,match(E9154,'Player ID'!B:B,0))</f>
        <v>608337</v>
      </c>
    </row>
    <row r="9155">
      <c r="A9155" s="76">
        <v>45824.0</v>
      </c>
      <c r="B9155" s="1" t="s">
        <v>108</v>
      </c>
      <c r="C9155" s="1" t="s">
        <v>37</v>
      </c>
      <c r="D9155" s="1">
        <v>1.2</v>
      </c>
      <c r="E9155" s="1">
        <v>17948.0</v>
      </c>
      <c r="F9155" s="10">
        <f t="shared" si="1"/>
        <v>1.666666667</v>
      </c>
      <c r="G9155" s="10">
        <f t="array" ref="G9155">index('Player ID'!C:C,match(E9155,'Player ID'!B:B,0))</f>
        <v>663423</v>
      </c>
    </row>
    <row r="9156">
      <c r="A9156" s="76">
        <v>45824.0</v>
      </c>
      <c r="B9156" s="1" t="s">
        <v>882</v>
      </c>
      <c r="C9156" s="1" t="s">
        <v>37</v>
      </c>
      <c r="D9156" s="1">
        <v>1.1</v>
      </c>
      <c r="E9156" s="1">
        <v>20185.0</v>
      </c>
      <c r="F9156" s="10">
        <f t="shared" si="1"/>
        <v>1.333333333</v>
      </c>
      <c r="G9156" s="10" t="str">
        <f t="array" ref="G9156">index('Player ID'!C:C,match(E9156,'Player ID'!B:B,0))</f>
        <v>#N/A</v>
      </c>
    </row>
    <row r="9157">
      <c r="A9157" s="76">
        <v>45824.0</v>
      </c>
      <c r="B9157" s="1" t="s">
        <v>406</v>
      </c>
      <c r="C9157" s="1" t="s">
        <v>22</v>
      </c>
      <c r="D9157" s="1">
        <v>1.0</v>
      </c>
      <c r="E9157" s="1">
        <v>20375.0</v>
      </c>
      <c r="F9157" s="10">
        <f t="shared" si="1"/>
        <v>1</v>
      </c>
      <c r="G9157" s="10">
        <f t="array" ref="G9157">index('Player ID'!C:C,match(E9157,'Player ID'!B:B,0))</f>
        <v>669711</v>
      </c>
    </row>
    <row r="9158">
      <c r="A9158" s="76">
        <v>45824.0</v>
      </c>
      <c r="B9158" s="1" t="s">
        <v>157</v>
      </c>
      <c r="C9158" s="1" t="s">
        <v>37</v>
      </c>
      <c r="D9158" s="1">
        <v>1.0</v>
      </c>
      <c r="E9158" s="1">
        <v>20997.0</v>
      </c>
      <c r="F9158" s="10">
        <f t="shared" si="1"/>
        <v>1</v>
      </c>
      <c r="G9158" s="10">
        <f t="array" ref="G9158">index('Player ID'!C:C,match(E9158,'Player ID'!B:B,0))</f>
        <v>660825</v>
      </c>
    </row>
    <row r="9159">
      <c r="A9159" s="76">
        <v>45824.0</v>
      </c>
      <c r="B9159" s="1" t="s">
        <v>153</v>
      </c>
      <c r="C9159" s="1" t="s">
        <v>37</v>
      </c>
      <c r="D9159" s="1">
        <v>5.0</v>
      </c>
      <c r="E9159" s="1">
        <v>22250.0</v>
      </c>
      <c r="F9159" s="10">
        <f t="shared" si="1"/>
        <v>5</v>
      </c>
      <c r="G9159" s="10">
        <f t="array" ref="G9159">index('Player ID'!C:C,match(E9159,'Player ID'!B:B,0))</f>
        <v>669302</v>
      </c>
    </row>
    <row r="9160">
      <c r="A9160" s="76">
        <v>45824.0</v>
      </c>
      <c r="B9160" s="1" t="s">
        <v>38</v>
      </c>
      <c r="C9160" s="1" t="s">
        <v>39</v>
      </c>
      <c r="D9160" s="1">
        <v>1.0</v>
      </c>
      <c r="E9160" s="1">
        <v>13580.0</v>
      </c>
      <c r="F9160" s="10">
        <f t="shared" si="1"/>
        <v>1</v>
      </c>
      <c r="G9160" s="10">
        <f t="array" ref="G9160">index('Player ID'!C:C,match(E9160,'Player ID'!B:B,0))</f>
        <v>595345</v>
      </c>
    </row>
    <row r="9161">
      <c r="A9161" s="76">
        <v>45824.0</v>
      </c>
      <c r="B9161" s="1" t="s">
        <v>210</v>
      </c>
      <c r="C9161" s="1" t="s">
        <v>39</v>
      </c>
      <c r="D9161" s="1">
        <v>0.0</v>
      </c>
      <c r="E9161" s="1">
        <v>16609.0</v>
      </c>
      <c r="F9161" s="10">
        <f t="shared" si="1"/>
        <v>0</v>
      </c>
      <c r="G9161" s="10">
        <f t="array" ref="G9161">index('Player ID'!C:C,match(E9161,'Player ID'!B:B,0))</f>
        <v>650556</v>
      </c>
    </row>
    <row r="9162">
      <c r="A9162" s="76">
        <v>45824.0</v>
      </c>
      <c r="B9162" s="1" t="s">
        <v>444</v>
      </c>
      <c r="C9162" s="1" t="s">
        <v>39</v>
      </c>
      <c r="D9162" s="1">
        <v>1.0</v>
      </c>
      <c r="E9162" s="1">
        <v>24977.0</v>
      </c>
      <c r="F9162" s="10">
        <f t="shared" si="1"/>
        <v>1</v>
      </c>
      <c r="G9162" s="10">
        <f t="array" ref="G9162">index('Player ID'!C:C,match(E9162,'Player ID'!B:B,0))</f>
        <v>681869</v>
      </c>
    </row>
    <row r="9163">
      <c r="A9163" s="76">
        <v>45824.0</v>
      </c>
      <c r="B9163" s="1" t="s">
        <v>76</v>
      </c>
      <c r="C9163" s="1" t="s">
        <v>39</v>
      </c>
      <c r="D9163" s="1">
        <v>1.0</v>
      </c>
      <c r="E9163" s="1">
        <v>25890.0</v>
      </c>
      <c r="F9163" s="10">
        <f t="shared" si="1"/>
        <v>1</v>
      </c>
      <c r="G9163" s="10">
        <f t="array" ref="G9163">index('Player ID'!C:C,match(E9163,'Player ID'!B:B,0))</f>
        <v>687911</v>
      </c>
    </row>
    <row r="9164">
      <c r="A9164" s="76">
        <v>45824.0</v>
      </c>
      <c r="B9164" s="1" t="s">
        <v>228</v>
      </c>
      <c r="C9164" s="1" t="s">
        <v>39</v>
      </c>
      <c r="D9164" s="1">
        <v>5.0</v>
      </c>
      <c r="E9164" s="1">
        <v>26440.0</v>
      </c>
      <c r="F9164" s="10">
        <f t="shared" si="1"/>
        <v>5</v>
      </c>
      <c r="G9164" s="10">
        <f t="array" ref="G9164">index('Player ID'!C:C,match(E9164,'Player ID'!B:B,0))</f>
        <v>687473</v>
      </c>
    </row>
    <row r="9165">
      <c r="A9165" s="76">
        <v>45824.0</v>
      </c>
      <c r="B9165" s="1" t="s">
        <v>127</v>
      </c>
      <c r="C9165" s="1" t="s">
        <v>52</v>
      </c>
      <c r="D9165" s="1">
        <v>5.0</v>
      </c>
      <c r="E9165" s="1">
        <v>27707.0</v>
      </c>
      <c r="F9165" s="10">
        <f t="shared" si="1"/>
        <v>5</v>
      </c>
      <c r="G9165" s="10">
        <f t="array" ref="G9165">index('Player ID'!C:C,match(E9165,'Player ID'!B:B,0))</f>
        <v>687765</v>
      </c>
    </row>
    <row r="9166">
      <c r="A9166" s="76">
        <v>45824.0</v>
      </c>
      <c r="B9166" s="1" t="s">
        <v>296</v>
      </c>
      <c r="C9166" s="1" t="s">
        <v>52</v>
      </c>
      <c r="D9166" s="1">
        <v>3.0</v>
      </c>
      <c r="E9166" s="1">
        <v>27889.0</v>
      </c>
      <c r="F9166" s="10">
        <f t="shared" si="1"/>
        <v>3</v>
      </c>
      <c r="G9166" s="10">
        <f t="array" ref="G9166">index('Player ID'!C:C,match(E9166,'Player ID'!B:B,0))</f>
        <v>669372</v>
      </c>
    </row>
    <row r="9167">
      <c r="A9167" s="76">
        <v>45824.0</v>
      </c>
      <c r="B9167" s="1" t="s">
        <v>286</v>
      </c>
      <c r="C9167" s="1" t="s">
        <v>52</v>
      </c>
      <c r="D9167" s="1">
        <v>1.0</v>
      </c>
      <c r="E9167" s="1">
        <v>31757.0</v>
      </c>
      <c r="F9167" s="10">
        <f t="shared" si="1"/>
        <v>1</v>
      </c>
      <c r="G9167" s="10">
        <f t="array" ref="G9167">index('Player ID'!C:C,match(E9167,'Player ID'!B:B,0))</f>
        <v>695243</v>
      </c>
    </row>
    <row r="9168">
      <c r="A9168" s="76">
        <v>45824.0</v>
      </c>
      <c r="B9168" s="1" t="s">
        <v>392</v>
      </c>
      <c r="C9168" s="1" t="s">
        <v>33</v>
      </c>
      <c r="D9168" s="1">
        <v>1.0</v>
      </c>
      <c r="E9168" s="1">
        <v>9073.0</v>
      </c>
      <c r="F9168" s="10">
        <f t="shared" si="1"/>
        <v>1</v>
      </c>
      <c r="G9168" s="10">
        <f t="array" ref="G9168">index('Player ID'!C:C,match(E9168,'Player ID'!B:B,0))</f>
        <v>489446</v>
      </c>
    </row>
    <row r="9169">
      <c r="A9169" s="76">
        <v>45824.0</v>
      </c>
      <c r="B9169" s="1" t="s">
        <v>404</v>
      </c>
      <c r="C9169" s="1" t="s">
        <v>26</v>
      </c>
      <c r="D9169" s="1">
        <v>1.0</v>
      </c>
      <c r="E9169" s="1">
        <v>14295.0</v>
      </c>
      <c r="F9169" s="10">
        <f t="shared" si="1"/>
        <v>1</v>
      </c>
      <c r="G9169" s="10">
        <f t="array" ref="G9169">index('Player ID'!C:C,match(E9169,'Player ID'!B:B,0))</f>
        <v>593974</v>
      </c>
    </row>
    <row r="9170">
      <c r="A9170" s="76">
        <v>45824.0</v>
      </c>
      <c r="B9170" s="1" t="s">
        <v>310</v>
      </c>
      <c r="C9170" s="1" t="s">
        <v>33</v>
      </c>
      <c r="D9170" s="1">
        <v>0.2</v>
      </c>
      <c r="E9170" s="1">
        <v>14706.0</v>
      </c>
      <c r="F9170" s="10">
        <f t="shared" si="1"/>
        <v>0.6666666667</v>
      </c>
      <c r="G9170" s="10">
        <f t="array" ref="G9170">index('Player ID'!C:C,match(E9170,'Player ID'!B:B,0))</f>
        <v>607455</v>
      </c>
    </row>
    <row r="9171">
      <c r="A9171" s="76">
        <v>45824.0</v>
      </c>
      <c r="B9171" s="1" t="s">
        <v>870</v>
      </c>
      <c r="C9171" s="1" t="s">
        <v>33</v>
      </c>
      <c r="D9171" s="1">
        <v>1.0</v>
      </c>
      <c r="E9171" s="1">
        <v>17282.0</v>
      </c>
      <c r="F9171" s="10">
        <f t="shared" si="1"/>
        <v>1</v>
      </c>
      <c r="G9171" s="10" t="str">
        <f t="array" ref="G9171">index('Player ID'!C:C,match(E9171,'Player ID'!B:B,0))</f>
        <v>#N/A</v>
      </c>
    </row>
    <row r="9172">
      <c r="A9172" s="76">
        <v>45824.0</v>
      </c>
      <c r="B9172" s="1" t="s">
        <v>32</v>
      </c>
      <c r="C9172" s="1" t="s">
        <v>33</v>
      </c>
      <c r="D9172" s="1">
        <v>1.0</v>
      </c>
      <c r="E9172" s="1">
        <v>17586.0</v>
      </c>
      <c r="F9172" s="10">
        <f t="shared" si="1"/>
        <v>1</v>
      </c>
      <c r="G9172" s="10">
        <f t="array" ref="G9172">index('Player ID'!C:C,match(E9172,'Player ID'!B:B,0))</f>
        <v>656945</v>
      </c>
    </row>
    <row r="9173">
      <c r="A9173" s="76">
        <v>45824.0</v>
      </c>
      <c r="B9173" s="1" t="s">
        <v>282</v>
      </c>
      <c r="C9173" s="1" t="s">
        <v>26</v>
      </c>
      <c r="D9173" s="1">
        <v>5.0</v>
      </c>
      <c r="E9173" s="1">
        <v>18525.0</v>
      </c>
      <c r="F9173" s="10">
        <f t="shared" si="1"/>
        <v>5</v>
      </c>
      <c r="G9173" s="10">
        <f t="array" ref="G9173">index('Player ID'!C:C,match(E9173,'Player ID'!B:B,0))</f>
        <v>656302</v>
      </c>
    </row>
    <row r="9174">
      <c r="A9174" s="76">
        <v>45824.0</v>
      </c>
      <c r="B9174" s="1" t="s">
        <v>136</v>
      </c>
      <c r="C9174" s="1" t="s">
        <v>33</v>
      </c>
      <c r="D9174" s="1">
        <v>1.0</v>
      </c>
      <c r="E9174" s="1">
        <v>19755.0</v>
      </c>
      <c r="F9174" s="10">
        <f t="shared" si="1"/>
        <v>1</v>
      </c>
      <c r="G9174" s="10" t="str">
        <f t="array" ref="G9174">index('Player ID'!C:C,match(E9174,'Player ID'!B:B,0))</f>
        <v>#N/A</v>
      </c>
    </row>
    <row r="9175">
      <c r="A9175" s="76">
        <v>45824.0</v>
      </c>
      <c r="B9175" s="1" t="s">
        <v>92</v>
      </c>
      <c r="C9175" s="1" t="s">
        <v>33</v>
      </c>
      <c r="D9175" s="1">
        <v>0.2</v>
      </c>
      <c r="E9175" s="1">
        <v>25007.0</v>
      </c>
      <c r="F9175" s="10">
        <f t="shared" si="1"/>
        <v>0.6666666667</v>
      </c>
      <c r="G9175" s="10">
        <f t="array" ref="G9175">index('Player ID'!C:C,match(E9175,'Player ID'!B:B,0))</f>
        <v>681911</v>
      </c>
    </row>
    <row r="9176">
      <c r="A9176" s="76">
        <v>45824.0</v>
      </c>
      <c r="B9176" s="1" t="s">
        <v>104</v>
      </c>
      <c r="C9176" s="1" t="s">
        <v>33</v>
      </c>
      <c r="D9176" s="1">
        <v>3.2</v>
      </c>
      <c r="E9176" s="1">
        <v>30085.0</v>
      </c>
      <c r="F9176" s="10">
        <f t="shared" si="1"/>
        <v>3.666666667</v>
      </c>
      <c r="G9176" s="10">
        <f t="array" ref="G9176">index('Player ID'!C:C,match(E9176,'Player ID'!B:B,0))</f>
        <v>676508</v>
      </c>
    </row>
    <row r="9177">
      <c r="A9177" s="76">
        <v>45824.0</v>
      </c>
      <c r="B9177" s="1" t="s">
        <v>498</v>
      </c>
      <c r="C9177" s="1" t="s">
        <v>26</v>
      </c>
      <c r="D9177" s="1">
        <v>2.0</v>
      </c>
      <c r="E9177" s="1">
        <v>31616.0</v>
      </c>
      <c r="F9177" s="10">
        <f t="shared" si="1"/>
        <v>2</v>
      </c>
      <c r="G9177" s="10" t="str">
        <f t="array" ref="G9177">index('Player ID'!C:C,match(E9177,'Player ID'!B:B,0))</f>
        <v>#N/A</v>
      </c>
    </row>
    <row r="9178">
      <c r="A9178" s="76">
        <v>45825.0</v>
      </c>
      <c r="B9178" s="1" t="s">
        <v>439</v>
      </c>
      <c r="C9178" s="1" t="s">
        <v>62</v>
      </c>
      <c r="D9178" s="1">
        <v>1.0</v>
      </c>
      <c r="E9178" s="1">
        <v>11384.0</v>
      </c>
      <c r="F9178" s="10">
        <f t="shared" si="1"/>
        <v>1</v>
      </c>
      <c r="G9178" s="10">
        <f t="array" ref="G9178">index('Player ID'!C:C,match(E9178,'Player ID'!B:B,0))</f>
        <v>592454</v>
      </c>
    </row>
    <row r="9179">
      <c r="A9179" s="76">
        <v>45825.0</v>
      </c>
      <c r="B9179" s="1" t="s">
        <v>220</v>
      </c>
      <c r="C9179" s="1" t="s">
        <v>60</v>
      </c>
      <c r="D9179" s="1">
        <v>5.0</v>
      </c>
      <c r="E9179" s="1">
        <v>20070.0</v>
      </c>
      <c r="F9179" s="10">
        <f t="shared" si="1"/>
        <v>5</v>
      </c>
      <c r="G9179" s="10">
        <f t="array" ref="G9179">index('Player ID'!C:C,match(E9179,'Player ID'!B:B,0))</f>
        <v>663559</v>
      </c>
    </row>
    <row r="9180">
      <c r="A9180" s="76">
        <v>45825.0</v>
      </c>
      <c r="B9180" s="1" t="s">
        <v>125</v>
      </c>
      <c r="C9180" s="1" t="s">
        <v>62</v>
      </c>
      <c r="D9180" s="1">
        <v>6.0</v>
      </c>
      <c r="E9180" s="1">
        <v>20492.0</v>
      </c>
      <c r="F9180" s="10">
        <f t="shared" si="1"/>
        <v>6</v>
      </c>
      <c r="G9180" s="10">
        <f t="array" ref="G9180">index('Player ID'!C:C,match(E9180,'Player ID'!B:B,0))</f>
        <v>663554</v>
      </c>
    </row>
    <row r="9181">
      <c r="A9181" s="76">
        <v>45825.0</v>
      </c>
      <c r="B9181" s="1" t="s">
        <v>463</v>
      </c>
      <c r="C9181" s="1" t="s">
        <v>60</v>
      </c>
      <c r="D9181" s="1">
        <v>1.0</v>
      </c>
      <c r="E9181" s="1">
        <v>21544.0</v>
      </c>
      <c r="F9181" s="10">
        <f t="shared" si="1"/>
        <v>1</v>
      </c>
      <c r="G9181" s="10">
        <f t="array" ref="G9181">index('Player ID'!C:C,match(E9181,'Player ID'!B:B,0))</f>
        <v>663767</v>
      </c>
    </row>
    <row r="9182">
      <c r="A9182" s="76">
        <v>45825.0</v>
      </c>
      <c r="B9182" s="1" t="s">
        <v>289</v>
      </c>
      <c r="C9182" s="1" t="s">
        <v>62</v>
      </c>
      <c r="D9182" s="1">
        <v>1.0</v>
      </c>
      <c r="E9182" s="1">
        <v>22304.0</v>
      </c>
      <c r="F9182" s="10">
        <f t="shared" si="1"/>
        <v>1</v>
      </c>
      <c r="G9182" s="10">
        <f t="array" ref="G9182">index('Player ID'!C:C,match(E9182,'Player ID'!B:B,0))</f>
        <v>669724</v>
      </c>
    </row>
    <row r="9183">
      <c r="A9183" s="76">
        <v>45825.0</v>
      </c>
      <c r="B9183" s="1" t="s">
        <v>267</v>
      </c>
      <c r="C9183" s="1" t="s">
        <v>60</v>
      </c>
      <c r="D9183" s="1">
        <v>2.0</v>
      </c>
      <c r="E9183" s="1">
        <v>27572.0</v>
      </c>
      <c r="F9183" s="10">
        <f t="shared" si="1"/>
        <v>2</v>
      </c>
      <c r="G9183" s="10">
        <f t="array" ref="G9183">index('Player ID'!C:C,match(E9183,'Player ID'!B:B,0))</f>
        <v>669387</v>
      </c>
    </row>
    <row r="9184">
      <c r="A9184" s="76">
        <v>45825.0</v>
      </c>
      <c r="B9184" s="1" t="s">
        <v>160</v>
      </c>
      <c r="C9184" s="1" t="s">
        <v>62</v>
      </c>
      <c r="D9184" s="1">
        <v>1.0</v>
      </c>
      <c r="E9184" s="1">
        <v>29574.0</v>
      </c>
      <c r="F9184" s="10">
        <f t="shared" si="1"/>
        <v>1</v>
      </c>
      <c r="G9184" s="10">
        <f t="array" ref="G9184">index('Player ID'!C:C,match(E9184,'Player ID'!B:B,0))</f>
        <v>695445</v>
      </c>
    </row>
    <row r="9185">
      <c r="A9185" s="76">
        <v>45825.0</v>
      </c>
      <c r="B9185" s="1" t="s">
        <v>360</v>
      </c>
      <c r="C9185" s="1" t="s">
        <v>45</v>
      </c>
      <c r="D9185" s="1">
        <v>1.0</v>
      </c>
      <c r="E9185" s="1">
        <v>12972.0</v>
      </c>
      <c r="F9185" s="10">
        <f t="shared" si="1"/>
        <v>1</v>
      </c>
      <c r="G9185" s="10">
        <f t="array" ref="G9185">index('Player ID'!C:C,match(E9185,'Player ID'!B:B,0))</f>
        <v>605452</v>
      </c>
    </row>
    <row r="9186">
      <c r="A9186" s="76">
        <v>45825.0</v>
      </c>
      <c r="B9186" s="1" t="s">
        <v>138</v>
      </c>
      <c r="C9186" s="1" t="s">
        <v>45</v>
      </c>
      <c r="D9186" s="1">
        <v>1.0</v>
      </c>
      <c r="E9186" s="1">
        <v>16990.0</v>
      </c>
      <c r="F9186" s="10">
        <f t="shared" si="1"/>
        <v>1</v>
      </c>
      <c r="G9186" s="10">
        <f t="array" ref="G9186">index('Player ID'!C:C,match(E9186,'Player ID'!B:B,0))</f>
        <v>621383</v>
      </c>
    </row>
    <row r="9187">
      <c r="A9187" s="76">
        <v>45825.0</v>
      </c>
      <c r="B9187" s="1" t="s">
        <v>464</v>
      </c>
      <c r="C9187" s="1" t="s">
        <v>36</v>
      </c>
      <c r="D9187" s="1">
        <v>4.0</v>
      </c>
      <c r="E9187" s="1">
        <v>19312.0</v>
      </c>
      <c r="F9187" s="10">
        <f t="shared" si="1"/>
        <v>4</v>
      </c>
      <c r="G9187" s="10">
        <f t="array" ref="G9187">index('Player ID'!C:C,match(E9187,'Player ID'!B:B,0))</f>
        <v>615698</v>
      </c>
    </row>
    <row r="9188">
      <c r="A9188" s="76">
        <v>45825.0</v>
      </c>
      <c r="B9188" s="1" t="s">
        <v>89</v>
      </c>
      <c r="C9188" s="1" t="s">
        <v>36</v>
      </c>
      <c r="D9188" s="1">
        <v>1.0</v>
      </c>
      <c r="E9188" s="1">
        <v>19742.0</v>
      </c>
      <c r="F9188" s="10">
        <f t="shared" si="1"/>
        <v>1</v>
      </c>
      <c r="G9188" s="10">
        <f t="array" ref="G9188">index('Player ID'!C:C,match(E9188,'Player ID'!B:B,0))</f>
        <v>669622</v>
      </c>
    </row>
    <row r="9189">
      <c r="A9189" s="76">
        <v>45825.0</v>
      </c>
      <c r="B9189" s="1" t="s">
        <v>700</v>
      </c>
      <c r="C9189" s="1" t="s">
        <v>45</v>
      </c>
      <c r="D9189" s="1">
        <v>5.0</v>
      </c>
      <c r="E9189" s="1">
        <v>19959.0</v>
      </c>
      <c r="F9189" s="10">
        <f t="shared" si="1"/>
        <v>5</v>
      </c>
      <c r="G9189" s="10">
        <f t="array" ref="G9189">index('Player ID'!C:C,match(E9189,'Player ID'!B:B,0))</f>
        <v>666200</v>
      </c>
    </row>
    <row r="9190">
      <c r="A9190" s="76">
        <v>45825.0</v>
      </c>
      <c r="B9190" s="1" t="s">
        <v>262</v>
      </c>
      <c r="C9190" s="1" t="s">
        <v>36</v>
      </c>
      <c r="D9190" s="1">
        <v>1.0</v>
      </c>
      <c r="E9190" s="1">
        <v>20116.0</v>
      </c>
      <c r="F9190" s="10">
        <f t="shared" si="1"/>
        <v>1</v>
      </c>
      <c r="G9190" s="10">
        <f t="array" ref="G9190">index('Player ID'!C:C,match(E9190,'Player ID'!B:B,0))</f>
        <v>676534</v>
      </c>
    </row>
    <row r="9191">
      <c r="A9191" s="76">
        <v>45825.0</v>
      </c>
      <c r="B9191" s="1" t="s">
        <v>61</v>
      </c>
      <c r="C9191" s="1" t="s">
        <v>36</v>
      </c>
      <c r="D9191" s="1">
        <v>1.0</v>
      </c>
      <c r="E9191" s="1">
        <v>20629.0</v>
      </c>
      <c r="F9191" s="10">
        <f t="shared" si="1"/>
        <v>1</v>
      </c>
      <c r="G9191" s="10">
        <f t="array" ref="G9191">index('Player ID'!C:C,match(E9191,'Player ID'!B:B,0))</f>
        <v>663969</v>
      </c>
    </row>
    <row r="9192">
      <c r="A9192" s="76">
        <v>45825.0</v>
      </c>
      <c r="B9192" s="1" t="s">
        <v>873</v>
      </c>
      <c r="C9192" s="1" t="s">
        <v>45</v>
      </c>
      <c r="D9192" s="1">
        <v>1.0</v>
      </c>
      <c r="E9192" s="1">
        <v>23223.0</v>
      </c>
      <c r="F9192" s="10">
        <f t="shared" si="1"/>
        <v>1</v>
      </c>
      <c r="G9192" s="10" t="str">
        <f t="array" ref="G9192">index('Player ID'!C:C,match(E9192,'Player ID'!B:B,0))</f>
        <v>#N/A</v>
      </c>
    </row>
    <row r="9193">
      <c r="A9193" s="76">
        <v>45825.0</v>
      </c>
      <c r="B9193" s="1" t="s">
        <v>880</v>
      </c>
      <c r="C9193" s="1" t="s">
        <v>36</v>
      </c>
      <c r="D9193" s="1">
        <v>1.0</v>
      </c>
      <c r="E9193" s="1">
        <v>23324.0</v>
      </c>
      <c r="F9193" s="10">
        <f t="shared" si="1"/>
        <v>1</v>
      </c>
      <c r="G9193" s="10" t="str">
        <f t="array" ref="G9193">index('Player ID'!C:C,match(E9193,'Player ID'!B:B,0))</f>
        <v>#N/A</v>
      </c>
    </row>
    <row r="9194">
      <c r="A9194" s="76">
        <v>45825.0</v>
      </c>
      <c r="B9194" s="1" t="s">
        <v>123</v>
      </c>
      <c r="C9194" s="1" t="s">
        <v>36</v>
      </c>
      <c r="D9194" s="1">
        <v>1.0</v>
      </c>
      <c r="E9194" s="1">
        <v>24094.0</v>
      </c>
      <c r="F9194" s="10">
        <f t="shared" si="1"/>
        <v>1</v>
      </c>
      <c r="G9194" s="10">
        <f t="array" ref="G9194">index('Player ID'!C:C,match(E9194,'Player ID'!B:B,0))</f>
        <v>678692</v>
      </c>
    </row>
    <row r="9195">
      <c r="A9195" s="76">
        <v>45825.0</v>
      </c>
      <c r="B9195" s="1" t="s">
        <v>481</v>
      </c>
      <c r="C9195" s="1" t="s">
        <v>75</v>
      </c>
      <c r="D9195" s="1">
        <v>5.0</v>
      </c>
      <c r="E9195" s="1">
        <v>15488.0</v>
      </c>
      <c r="F9195" s="10">
        <f t="shared" si="1"/>
        <v>5</v>
      </c>
      <c r="G9195" s="10">
        <f t="array" ref="G9195">index('Player ID'!C:C,match(E9195,'Player ID'!B:B,0))</f>
        <v>622608</v>
      </c>
    </row>
    <row r="9196">
      <c r="A9196" s="76">
        <v>45825.0</v>
      </c>
      <c r="B9196" s="1" t="s">
        <v>288</v>
      </c>
      <c r="C9196" s="1" t="s">
        <v>75</v>
      </c>
      <c r="D9196" s="1">
        <v>1.0</v>
      </c>
      <c r="E9196" s="1">
        <v>18297.0</v>
      </c>
      <c r="F9196" s="10">
        <f t="shared" si="1"/>
        <v>1</v>
      </c>
      <c r="G9196" s="10">
        <f t="array" ref="G9196">index('Player ID'!C:C,match(E9196,'Player ID'!B:B,0))</f>
        <v>641755</v>
      </c>
    </row>
    <row r="9197">
      <c r="A9197" s="76">
        <v>45825.0</v>
      </c>
      <c r="B9197" s="1" t="s">
        <v>480</v>
      </c>
      <c r="C9197" s="1" t="s">
        <v>80</v>
      </c>
      <c r="D9197" s="1">
        <v>6.0</v>
      </c>
      <c r="E9197" s="1">
        <v>18383.0</v>
      </c>
      <c r="F9197" s="10">
        <f t="shared" si="1"/>
        <v>6</v>
      </c>
      <c r="G9197" s="10">
        <f t="array" ref="G9197">index('Player ID'!C:C,match(E9197,'Player ID'!B:B,0))</f>
        <v>647336</v>
      </c>
    </row>
    <row r="9198">
      <c r="A9198" s="76">
        <v>45825.0</v>
      </c>
      <c r="B9198" s="1" t="s">
        <v>215</v>
      </c>
      <c r="C9198" s="1" t="s">
        <v>75</v>
      </c>
      <c r="D9198" s="1">
        <v>1.0</v>
      </c>
      <c r="E9198" s="1">
        <v>21267.0</v>
      </c>
      <c r="F9198" s="10">
        <f t="shared" si="1"/>
        <v>1</v>
      </c>
      <c r="G9198" s="10">
        <f t="array" ref="G9198">index('Player ID'!C:C,match(E9198,'Player ID'!B:B,0))</f>
        <v>656234</v>
      </c>
    </row>
    <row r="9199">
      <c r="A9199" s="76">
        <v>45825.0</v>
      </c>
      <c r="B9199" s="1" t="s">
        <v>508</v>
      </c>
      <c r="C9199" s="1" t="s">
        <v>80</v>
      </c>
      <c r="D9199" s="1">
        <v>1.0</v>
      </c>
      <c r="E9199" s="1">
        <v>23135.0</v>
      </c>
      <c r="F9199" s="10">
        <f t="shared" si="1"/>
        <v>1</v>
      </c>
      <c r="G9199" s="10">
        <f t="array" ref="G9199">index('Player ID'!C:C,match(E9199,'Player ID'!B:B,0))</f>
        <v>674285</v>
      </c>
    </row>
    <row r="9200">
      <c r="A9200" s="76">
        <v>45825.0</v>
      </c>
      <c r="B9200" s="1" t="s">
        <v>365</v>
      </c>
      <c r="C9200" s="1" t="s">
        <v>75</v>
      </c>
      <c r="D9200" s="1">
        <v>0.1</v>
      </c>
      <c r="E9200" s="1">
        <v>24614.0</v>
      </c>
      <c r="F9200" s="10">
        <f t="shared" si="1"/>
        <v>0.3333333333</v>
      </c>
      <c r="G9200" s="10">
        <f t="array" ref="G9200">index('Player ID'!C:C,match(E9200,'Player ID'!B:B,0))</f>
        <v>680767</v>
      </c>
    </row>
    <row r="9201">
      <c r="A9201" s="76">
        <v>45825.0</v>
      </c>
      <c r="B9201" s="1" t="s">
        <v>511</v>
      </c>
      <c r="C9201" s="1" t="s">
        <v>80</v>
      </c>
      <c r="D9201" s="1">
        <v>1.0</v>
      </c>
      <c r="E9201" s="1">
        <v>26215.0</v>
      </c>
      <c r="F9201" s="10">
        <f t="shared" si="1"/>
        <v>1</v>
      </c>
      <c r="G9201" s="10">
        <f t="array" ref="G9201">index('Player ID'!C:C,match(E9201,'Player ID'!B:B,0))</f>
        <v>671131</v>
      </c>
    </row>
    <row r="9202">
      <c r="A9202" s="76">
        <v>45825.0</v>
      </c>
      <c r="B9202" s="1" t="s">
        <v>517</v>
      </c>
      <c r="C9202" s="1" t="s">
        <v>75</v>
      </c>
      <c r="D9202" s="1">
        <v>1.2</v>
      </c>
      <c r="E9202" s="1">
        <v>26952.0</v>
      </c>
      <c r="F9202" s="10">
        <f t="shared" si="1"/>
        <v>1.666666667</v>
      </c>
      <c r="G9202" s="10">
        <f t="array" ref="G9202">index('Player ID'!C:C,match(E9202,'Player ID'!B:B,0))</f>
        <v>683627</v>
      </c>
    </row>
    <row r="9203">
      <c r="A9203" s="76">
        <v>45825.0</v>
      </c>
      <c r="B9203" s="1" t="s">
        <v>507</v>
      </c>
      <c r="C9203" s="1" t="s">
        <v>80</v>
      </c>
      <c r="D9203" s="1">
        <v>0.0</v>
      </c>
      <c r="E9203" s="1">
        <v>27570.0</v>
      </c>
      <c r="F9203" s="10">
        <f t="shared" si="1"/>
        <v>0</v>
      </c>
      <c r="G9203" s="10">
        <f t="array" ref="G9203">index('Player ID'!C:C,match(E9203,'Player ID'!B:B,0))</f>
        <v>669371</v>
      </c>
    </row>
    <row r="9204">
      <c r="A9204" s="76">
        <v>45825.0</v>
      </c>
      <c r="B9204" s="1" t="s">
        <v>818</v>
      </c>
      <c r="C9204" s="1" t="s">
        <v>80</v>
      </c>
      <c r="D9204" s="1">
        <v>1.0</v>
      </c>
      <c r="E9204" s="1">
        <v>27783.0</v>
      </c>
      <c r="F9204" s="10">
        <f t="shared" si="1"/>
        <v>1</v>
      </c>
      <c r="G9204" s="10">
        <f t="array" ref="G9204">index('Player ID'!C:C,match(E9204,'Player ID'!B:B,0))</f>
        <v>694350</v>
      </c>
    </row>
    <row r="9205">
      <c r="A9205" s="76">
        <v>45825.0</v>
      </c>
      <c r="B9205" s="1" t="s">
        <v>834</v>
      </c>
      <c r="C9205" s="1" t="s">
        <v>25</v>
      </c>
      <c r="D9205" s="1">
        <v>1.0</v>
      </c>
      <c r="E9205" s="1">
        <v>7836.0</v>
      </c>
      <c r="F9205" s="10">
        <f t="shared" si="1"/>
        <v>1</v>
      </c>
      <c r="G9205" s="10" t="str">
        <f t="array" ref="G9205">index('Player ID'!C:C,match(E9205,'Player ID'!B:B,0))</f>
        <v>#N/A</v>
      </c>
    </row>
    <row r="9206">
      <c r="A9206" s="76">
        <v>45825.0</v>
      </c>
      <c r="B9206" s="1" t="s">
        <v>399</v>
      </c>
      <c r="C9206" s="1" t="s">
        <v>25</v>
      </c>
      <c r="D9206" s="1">
        <v>6.0</v>
      </c>
      <c r="E9206" s="1">
        <v>12049.0</v>
      </c>
      <c r="F9206" s="10">
        <f t="shared" si="1"/>
        <v>6</v>
      </c>
      <c r="G9206" s="10">
        <f t="array" ref="G9206">index('Player ID'!C:C,match(E9206,'Player ID'!B:B,0))</f>
        <v>543294</v>
      </c>
    </row>
    <row r="9207">
      <c r="A9207" s="76">
        <v>45825.0</v>
      </c>
      <c r="B9207" s="1" t="s">
        <v>883</v>
      </c>
      <c r="C9207" s="1" t="s">
        <v>58</v>
      </c>
      <c r="D9207" s="1">
        <v>1.0</v>
      </c>
      <c r="E9207" s="1">
        <v>18384.0</v>
      </c>
      <c r="F9207" s="10">
        <f t="shared" si="1"/>
        <v>1</v>
      </c>
      <c r="G9207" s="10" t="str">
        <f t="array" ref="G9207">index('Player ID'!C:C,match(E9207,'Player ID'!B:B,0))</f>
        <v>#N/A</v>
      </c>
    </row>
    <row r="9208">
      <c r="A9208" s="76">
        <v>45825.0</v>
      </c>
      <c r="B9208" s="1" t="s">
        <v>520</v>
      </c>
      <c r="C9208" s="1" t="s">
        <v>58</v>
      </c>
      <c r="D9208" s="1">
        <v>2.0</v>
      </c>
      <c r="E9208" s="1">
        <v>19261.0</v>
      </c>
      <c r="F9208" s="10">
        <f t="shared" si="1"/>
        <v>2</v>
      </c>
      <c r="G9208" s="10">
        <f t="array" ref="G9208">index('Player ID'!C:C,match(E9208,'Player ID'!B:B,0))</f>
        <v>641656</v>
      </c>
    </row>
    <row r="9209">
      <c r="A9209" s="76">
        <v>45825.0</v>
      </c>
      <c r="B9209" s="1" t="s">
        <v>385</v>
      </c>
      <c r="C9209" s="1" t="s">
        <v>25</v>
      </c>
      <c r="D9209" s="1">
        <v>1.0</v>
      </c>
      <c r="E9209" s="1">
        <v>25420.0</v>
      </c>
      <c r="F9209" s="10">
        <f t="shared" si="1"/>
        <v>1</v>
      </c>
      <c r="G9209" s="10">
        <f t="array" ref="G9209">index('Player ID'!C:C,match(E9209,'Player ID'!B:B,0))</f>
        <v>666171</v>
      </c>
    </row>
    <row r="9210">
      <c r="A9210" s="76">
        <v>45825.0</v>
      </c>
      <c r="B9210" s="1" t="s">
        <v>24</v>
      </c>
      <c r="C9210" s="1" t="s">
        <v>25</v>
      </c>
      <c r="D9210" s="1">
        <v>1.0</v>
      </c>
      <c r="E9210" s="1">
        <v>27468.0</v>
      </c>
      <c r="F9210" s="10">
        <f t="shared" si="1"/>
        <v>1</v>
      </c>
      <c r="G9210" s="10">
        <f t="array" ref="G9210">index('Player ID'!C:C,match(E9210,'Player ID'!B:B,0))</f>
        <v>672282</v>
      </c>
    </row>
    <row r="9211">
      <c r="A9211" s="76">
        <v>45825.0</v>
      </c>
      <c r="B9211" s="1" t="s">
        <v>344</v>
      </c>
      <c r="C9211" s="1" t="s">
        <v>58</v>
      </c>
      <c r="D9211" s="1">
        <v>6.0</v>
      </c>
      <c r="E9211" s="1">
        <v>30182.0</v>
      </c>
      <c r="F9211" s="10">
        <f t="shared" si="1"/>
        <v>6</v>
      </c>
      <c r="G9211" s="10">
        <f t="array" ref="G9211">index('Player ID'!C:C,match(E9211,'Player ID'!B:B,0))</f>
        <v>701542</v>
      </c>
    </row>
    <row r="9212">
      <c r="A9212" s="76">
        <v>45825.0</v>
      </c>
      <c r="B9212" s="1" t="s">
        <v>103</v>
      </c>
      <c r="C9212" s="1" t="s">
        <v>64</v>
      </c>
      <c r="D9212" s="1">
        <v>0.1</v>
      </c>
      <c r="E9212" s="1">
        <v>10197.0</v>
      </c>
      <c r="F9212" s="10">
        <f t="shared" si="1"/>
        <v>0.3333333333</v>
      </c>
      <c r="G9212" s="10">
        <f t="array" ref="G9212">index('Player ID'!C:C,match(E9212,'Player ID'!B:B,0))</f>
        <v>571946</v>
      </c>
    </row>
    <row r="9213">
      <c r="A9213" s="76">
        <v>45825.0</v>
      </c>
      <c r="B9213" s="1" t="s">
        <v>456</v>
      </c>
      <c r="C9213" s="1" t="s">
        <v>40</v>
      </c>
      <c r="D9213" s="1">
        <v>6.0</v>
      </c>
      <c r="E9213" s="1">
        <v>12304.0</v>
      </c>
      <c r="F9213" s="10">
        <f t="shared" si="1"/>
        <v>6</v>
      </c>
      <c r="G9213" s="10">
        <f t="array" ref="G9213">index('Player ID'!C:C,match(E9213,'Player ID'!B:B,0))</f>
        <v>605135</v>
      </c>
    </row>
    <row r="9214">
      <c r="A9214" s="76">
        <v>45825.0</v>
      </c>
      <c r="B9214" s="1" t="s">
        <v>219</v>
      </c>
      <c r="C9214" s="1" t="s">
        <v>64</v>
      </c>
      <c r="D9214" s="1">
        <v>0.1</v>
      </c>
      <c r="E9214" s="1">
        <v>16647.0</v>
      </c>
      <c r="F9214" s="10">
        <f t="shared" si="1"/>
        <v>0.3333333333</v>
      </c>
      <c r="G9214" s="10">
        <f t="array" ref="G9214">index('Player ID'!C:C,match(E9214,'Player ID'!B:B,0))</f>
        <v>657044</v>
      </c>
    </row>
    <row r="9215">
      <c r="A9215" s="76">
        <v>45825.0</v>
      </c>
      <c r="B9215" s="1" t="s">
        <v>489</v>
      </c>
      <c r="C9215" s="1" t="s">
        <v>64</v>
      </c>
      <c r="D9215" s="1">
        <v>0.2</v>
      </c>
      <c r="E9215" s="1">
        <v>17192.0</v>
      </c>
      <c r="F9215" s="10">
        <f t="shared" si="1"/>
        <v>0.6666666667</v>
      </c>
      <c r="G9215" s="10">
        <f t="array" ref="G9215">index('Player ID'!C:C,match(E9215,'Player ID'!B:B,0))</f>
        <v>656222</v>
      </c>
    </row>
    <row r="9216">
      <c r="A9216" s="76">
        <v>45825.0</v>
      </c>
      <c r="B9216" s="1" t="s">
        <v>311</v>
      </c>
      <c r="C9216" s="1" t="s">
        <v>40</v>
      </c>
      <c r="D9216" s="1">
        <v>1.0</v>
      </c>
      <c r="E9216" s="1">
        <v>17432.0</v>
      </c>
      <c r="F9216" s="10">
        <f t="shared" si="1"/>
        <v>1</v>
      </c>
      <c r="G9216" s="10">
        <f t="array" ref="G9216">index('Player ID'!C:C,match(E9216,'Player ID'!B:B,0))</f>
        <v>656546</v>
      </c>
    </row>
    <row r="9217">
      <c r="A9217" s="76">
        <v>45825.0</v>
      </c>
      <c r="B9217" s="1" t="s">
        <v>395</v>
      </c>
      <c r="C9217" s="1" t="s">
        <v>40</v>
      </c>
      <c r="D9217" s="1">
        <v>0.2</v>
      </c>
      <c r="E9217" s="1">
        <v>21574.0</v>
      </c>
      <c r="F9217" s="10">
        <f t="shared" si="1"/>
        <v>0.6666666667</v>
      </c>
      <c r="G9217" s="10">
        <f t="array" ref="G9217">index('Player ID'!C:C,match(E9217,'Player ID'!B:B,0))</f>
        <v>663893</v>
      </c>
    </row>
    <row r="9218">
      <c r="A9218" s="76">
        <v>45825.0</v>
      </c>
      <c r="B9218" s="1" t="s">
        <v>370</v>
      </c>
      <c r="C9218" s="1" t="s">
        <v>64</v>
      </c>
      <c r="D9218" s="1">
        <v>1.0</v>
      </c>
      <c r="E9218" s="1">
        <v>21924.0</v>
      </c>
      <c r="F9218" s="10">
        <f t="shared" si="1"/>
        <v>1</v>
      </c>
      <c r="G9218" s="10">
        <f t="array" ref="G9218">index('Player ID'!C:C,match(E9218,'Player ID'!B:B,0))</f>
        <v>666661</v>
      </c>
    </row>
    <row r="9219">
      <c r="A9219" s="76">
        <v>45825.0</v>
      </c>
      <c r="B9219" s="1" t="s">
        <v>315</v>
      </c>
      <c r="C9219" s="1" t="s">
        <v>40</v>
      </c>
      <c r="D9219" s="1">
        <v>0.1</v>
      </c>
      <c r="E9219" s="1">
        <v>24609.0</v>
      </c>
      <c r="F9219" s="10">
        <f t="shared" si="1"/>
        <v>0.3333333333</v>
      </c>
      <c r="G9219" s="10">
        <f t="array" ref="G9219">index('Player ID'!C:C,match(E9219,'Player ID'!B:B,0))</f>
        <v>680755</v>
      </c>
    </row>
    <row r="9220">
      <c r="A9220" s="76">
        <v>45825.0</v>
      </c>
      <c r="B9220" s="1" t="s">
        <v>263</v>
      </c>
      <c r="C9220" s="1" t="s">
        <v>64</v>
      </c>
      <c r="D9220" s="1">
        <v>5.0</v>
      </c>
      <c r="E9220" s="1">
        <v>27782.0</v>
      </c>
      <c r="F9220" s="10">
        <f t="shared" si="1"/>
        <v>5</v>
      </c>
      <c r="G9220" s="10">
        <f t="array" ref="G9220">index('Player ID'!C:C,match(E9220,'Player ID'!B:B,0))</f>
        <v>694297</v>
      </c>
    </row>
    <row r="9221">
      <c r="A9221" s="76">
        <v>45825.0</v>
      </c>
      <c r="B9221" s="1" t="s">
        <v>545</v>
      </c>
      <c r="C9221" s="1" t="s">
        <v>64</v>
      </c>
      <c r="D9221" s="1">
        <v>1.0</v>
      </c>
      <c r="E9221" s="1">
        <v>29615.0</v>
      </c>
      <c r="F9221" s="10">
        <f t="shared" si="1"/>
        <v>1</v>
      </c>
      <c r="G9221" s="10" t="str">
        <f t="array" ref="G9221">index('Player ID'!C:C,match(E9221,'Player ID'!B:B,0))</f>
        <v>#N/A</v>
      </c>
    </row>
    <row r="9222">
      <c r="A9222" s="76">
        <v>45825.0</v>
      </c>
      <c r="B9222" s="1" t="s">
        <v>142</v>
      </c>
      <c r="C9222" s="1" t="s">
        <v>40</v>
      </c>
      <c r="D9222" s="1">
        <v>1.0</v>
      </c>
      <c r="E9222" s="1">
        <v>31553.0</v>
      </c>
      <c r="F9222" s="10">
        <f t="shared" si="1"/>
        <v>1</v>
      </c>
      <c r="G9222" s="10">
        <f t="array" ref="G9222">index('Player ID'!C:C,match(E9222,'Player ID'!B:B,0))</f>
        <v>689254</v>
      </c>
    </row>
    <row r="9223">
      <c r="A9223" s="76">
        <v>45825.0</v>
      </c>
      <c r="B9223" s="1" t="s">
        <v>435</v>
      </c>
      <c r="C9223" s="1" t="s">
        <v>16</v>
      </c>
      <c r="D9223" s="1">
        <v>0.1</v>
      </c>
      <c r="E9223" s="1">
        <v>13293.0</v>
      </c>
      <c r="F9223" s="10">
        <f t="shared" si="1"/>
        <v>0.3333333333</v>
      </c>
      <c r="G9223" s="10">
        <f t="array" ref="G9223">index('Player ID'!C:C,match(E9223,'Player ID'!B:B,0))</f>
        <v>543056</v>
      </c>
    </row>
    <row r="9224">
      <c r="A9224" s="76">
        <v>45825.0</v>
      </c>
      <c r="B9224" s="1" t="s">
        <v>651</v>
      </c>
      <c r="C9224" s="1" t="s">
        <v>66</v>
      </c>
      <c r="D9224" s="1">
        <v>1.0</v>
      </c>
      <c r="E9224" s="1">
        <v>14771.0</v>
      </c>
      <c r="F9224" s="10">
        <f t="shared" si="1"/>
        <v>1</v>
      </c>
      <c r="G9224" s="10">
        <f t="array" ref="G9224">index('Player ID'!C:C,match(E9224,'Player ID'!B:B,0))</f>
        <v>641941</v>
      </c>
    </row>
    <row r="9225">
      <c r="A9225" s="76">
        <v>45825.0</v>
      </c>
      <c r="B9225" s="1" t="s">
        <v>475</v>
      </c>
      <c r="C9225" s="1" t="s">
        <v>66</v>
      </c>
      <c r="D9225" s="1">
        <v>1.1</v>
      </c>
      <c r="E9225" s="1">
        <v>14993.0</v>
      </c>
      <c r="F9225" s="10">
        <f t="shared" si="1"/>
        <v>1.333333333</v>
      </c>
      <c r="G9225" s="10">
        <f t="array" ref="G9225">index('Player ID'!C:C,match(E9225,'Player ID'!B:B,0))</f>
        <v>605130</v>
      </c>
    </row>
    <row r="9226">
      <c r="A9226" s="76">
        <v>45825.0</v>
      </c>
      <c r="B9226" s="1" t="s">
        <v>146</v>
      </c>
      <c r="C9226" s="1" t="s">
        <v>16</v>
      </c>
      <c r="D9226" s="1">
        <v>1.1</v>
      </c>
      <c r="E9226" s="1">
        <v>15145.0</v>
      </c>
      <c r="F9226" s="10">
        <f t="shared" si="1"/>
        <v>1.333333333</v>
      </c>
      <c r="G9226" s="10">
        <f t="array" ref="G9226">index('Player ID'!C:C,match(E9226,'Player ID'!B:B,0))</f>
        <v>623437</v>
      </c>
    </row>
    <row r="9227">
      <c r="A9227" s="76">
        <v>45825.0</v>
      </c>
      <c r="B9227" s="1" t="s">
        <v>249</v>
      </c>
      <c r="C9227" s="1" t="s">
        <v>16</v>
      </c>
      <c r="D9227" s="1">
        <v>0.2</v>
      </c>
      <c r="E9227" s="1">
        <v>16727.0</v>
      </c>
      <c r="F9227" s="10">
        <f t="shared" si="1"/>
        <v>0.6666666667</v>
      </c>
      <c r="G9227" s="10">
        <f t="array" ref="G9227">index('Player ID'!C:C,match(E9227,'Player ID'!B:B,0))</f>
        <v>592779</v>
      </c>
    </row>
    <row r="9228">
      <c r="A9228" s="76">
        <v>45825.0</v>
      </c>
      <c r="B9228" s="1" t="s">
        <v>345</v>
      </c>
      <c r="C9228" s="1" t="s">
        <v>66</v>
      </c>
      <c r="D9228" s="1">
        <v>1.0</v>
      </c>
      <c r="E9228" s="1">
        <v>19926.0</v>
      </c>
      <c r="F9228" s="10">
        <f t="shared" si="1"/>
        <v>1</v>
      </c>
      <c r="G9228" s="10">
        <f t="array" ref="G9228">index('Player ID'!C:C,match(E9228,'Player ID'!B:B,0))</f>
        <v>663574</v>
      </c>
    </row>
    <row r="9229">
      <c r="A9229" s="76">
        <v>45825.0</v>
      </c>
      <c r="B9229" s="1" t="s">
        <v>384</v>
      </c>
      <c r="C9229" s="1" t="s">
        <v>16</v>
      </c>
      <c r="D9229" s="1">
        <v>1.0</v>
      </c>
      <c r="E9229" s="1">
        <v>19962.0</v>
      </c>
      <c r="F9229" s="10">
        <f t="shared" si="1"/>
        <v>1</v>
      </c>
      <c r="G9229" s="10">
        <f t="array" ref="G9229">index('Player ID'!C:C,match(E9229,'Player ID'!B:B,0))</f>
        <v>666214</v>
      </c>
    </row>
    <row r="9230">
      <c r="A9230" s="76">
        <v>45825.0</v>
      </c>
      <c r="B9230" s="1" t="s">
        <v>237</v>
      </c>
      <c r="C9230" s="1" t="s">
        <v>16</v>
      </c>
      <c r="D9230" s="1">
        <v>1.0</v>
      </c>
      <c r="E9230" s="1">
        <v>21461.0</v>
      </c>
      <c r="F9230" s="10">
        <f t="shared" si="1"/>
        <v>1</v>
      </c>
      <c r="G9230" s="10">
        <f t="array" ref="G9230">index('Player ID'!C:C,match(E9230,'Player ID'!B:B,0))</f>
        <v>663485</v>
      </c>
    </row>
    <row r="9231">
      <c r="A9231" s="76">
        <v>45825.0</v>
      </c>
      <c r="B9231" s="1" t="s">
        <v>169</v>
      </c>
      <c r="C9231" s="1" t="s">
        <v>66</v>
      </c>
      <c r="D9231" s="1">
        <v>5.2</v>
      </c>
      <c r="E9231" s="1">
        <v>29911.0</v>
      </c>
      <c r="F9231" s="10">
        <f t="shared" si="1"/>
        <v>5.666666667</v>
      </c>
      <c r="G9231" s="10">
        <f t="array" ref="G9231">index('Player ID'!C:C,match(E9231,'Player ID'!B:B,0))</f>
        <v>671096</v>
      </c>
    </row>
    <row r="9232">
      <c r="A9232" s="76">
        <v>45825.0</v>
      </c>
      <c r="B9232" s="1" t="s">
        <v>253</v>
      </c>
      <c r="C9232" s="1" t="s">
        <v>16</v>
      </c>
      <c r="D9232" s="1">
        <v>3.2</v>
      </c>
      <c r="E9232" s="1">
        <v>30056.0</v>
      </c>
      <c r="F9232" s="10">
        <f t="shared" si="1"/>
        <v>3.666666667</v>
      </c>
      <c r="G9232" s="10">
        <f t="array" ref="G9232">index('Player ID'!C:C,match(E9232,'Player ID'!B:B,0))</f>
        <v>701581</v>
      </c>
    </row>
    <row r="9233">
      <c r="A9233" s="76">
        <v>45825.0</v>
      </c>
      <c r="B9233" s="1" t="s">
        <v>646</v>
      </c>
      <c r="C9233" s="1" t="s">
        <v>51</v>
      </c>
      <c r="D9233" s="1">
        <v>0.2</v>
      </c>
      <c r="E9233" s="1">
        <v>6107.0</v>
      </c>
      <c r="F9233" s="10">
        <f t="shared" si="1"/>
        <v>0.6666666667</v>
      </c>
      <c r="G9233" s="10">
        <f t="array" ref="G9233">index('Player ID'!C:C,match(E9233,'Player ID'!B:B,0))</f>
        <v>623211</v>
      </c>
    </row>
    <row r="9234">
      <c r="A9234" s="76">
        <v>45825.0</v>
      </c>
      <c r="B9234" s="1" t="s">
        <v>178</v>
      </c>
      <c r="C9234" s="1" t="s">
        <v>46</v>
      </c>
      <c r="D9234" s="1">
        <v>1.0</v>
      </c>
      <c r="E9234" s="1">
        <v>13435.0</v>
      </c>
      <c r="F9234" s="10">
        <f t="shared" si="1"/>
        <v>1</v>
      </c>
      <c r="G9234" s="10">
        <f t="array" ref="G9234">index('Player ID'!C:C,match(E9234,'Player ID'!B:B,0))</f>
        <v>572955</v>
      </c>
    </row>
    <row r="9235">
      <c r="A9235" s="76">
        <v>45825.0</v>
      </c>
      <c r="B9235" s="1" t="s">
        <v>679</v>
      </c>
      <c r="C9235" s="1" t="s">
        <v>51</v>
      </c>
      <c r="D9235" s="1">
        <v>1.0</v>
      </c>
      <c r="E9235" s="1">
        <v>14710.0</v>
      </c>
      <c r="F9235" s="10">
        <f t="shared" si="1"/>
        <v>1</v>
      </c>
      <c r="G9235" s="10">
        <f t="array" ref="G9235">index('Player ID'!C:C,match(E9235,'Player ID'!B:B,0))</f>
        <v>621242</v>
      </c>
    </row>
    <row r="9236">
      <c r="A9236" s="76">
        <v>45825.0</v>
      </c>
      <c r="B9236" s="1" t="s">
        <v>295</v>
      </c>
      <c r="C9236" s="1" t="s">
        <v>51</v>
      </c>
      <c r="D9236" s="1">
        <v>1.0</v>
      </c>
      <c r="E9236" s="1">
        <v>16866.0</v>
      </c>
      <c r="F9236" s="10">
        <f t="shared" si="1"/>
        <v>1</v>
      </c>
      <c r="G9236" s="10">
        <f t="array" ref="G9236">index('Player ID'!C:C,match(E9236,'Player ID'!B:B,0))</f>
        <v>657585</v>
      </c>
    </row>
    <row r="9237">
      <c r="A9237" s="76">
        <v>45825.0</v>
      </c>
      <c r="B9237" s="1" t="s">
        <v>184</v>
      </c>
      <c r="C9237" s="1" t="s">
        <v>46</v>
      </c>
      <c r="D9237" s="1">
        <v>1.0</v>
      </c>
      <c r="E9237" s="1">
        <v>17130.0</v>
      </c>
      <c r="F9237" s="10">
        <f t="shared" si="1"/>
        <v>1</v>
      </c>
      <c r="G9237" s="10">
        <f t="array" ref="G9237">index('Player ID'!C:C,match(E9237,'Player ID'!B:B,0))</f>
        <v>628452</v>
      </c>
    </row>
    <row r="9238">
      <c r="A9238" s="76">
        <v>45825.0</v>
      </c>
      <c r="B9238" s="1" t="s">
        <v>91</v>
      </c>
      <c r="C9238" s="1" t="s">
        <v>46</v>
      </c>
      <c r="D9238" s="1">
        <v>1.0</v>
      </c>
      <c r="E9238" s="1">
        <v>19996.0</v>
      </c>
      <c r="F9238" s="10">
        <f t="shared" si="1"/>
        <v>1</v>
      </c>
      <c r="G9238" s="10">
        <f t="array" ref="G9238">index('Player ID'!C:C,match(E9238,'Player ID'!B:B,0))</f>
        <v>669276</v>
      </c>
    </row>
    <row r="9239">
      <c r="A9239" s="76">
        <v>45825.0</v>
      </c>
      <c r="B9239" s="1" t="s">
        <v>307</v>
      </c>
      <c r="C9239" s="1" t="s">
        <v>51</v>
      </c>
      <c r="D9239" s="1">
        <v>7.0</v>
      </c>
      <c r="E9239" s="1">
        <v>20302.0</v>
      </c>
      <c r="F9239" s="10">
        <f t="shared" si="1"/>
        <v>7</v>
      </c>
      <c r="G9239" s="10">
        <f t="array" ref="G9239">index('Player ID'!C:C,match(E9239,'Player ID'!B:B,0))</f>
        <v>656849</v>
      </c>
    </row>
    <row r="9240">
      <c r="A9240" s="76">
        <v>45825.0</v>
      </c>
      <c r="B9240" s="1" t="s">
        <v>65</v>
      </c>
      <c r="C9240" s="1" t="s">
        <v>46</v>
      </c>
      <c r="D9240" s="1">
        <v>7.0</v>
      </c>
      <c r="E9240" s="1">
        <v>31846.0</v>
      </c>
      <c r="F9240" s="10">
        <f t="shared" si="1"/>
        <v>7</v>
      </c>
      <c r="G9240" s="10">
        <f t="array" ref="G9240">index('Player ID'!C:C,match(E9240,'Player ID'!B:B,0))</f>
        <v>680885</v>
      </c>
    </row>
    <row r="9241">
      <c r="A9241" s="76">
        <v>45825.0</v>
      </c>
      <c r="B9241" s="1" t="s">
        <v>784</v>
      </c>
      <c r="C9241" s="1" t="s">
        <v>54</v>
      </c>
      <c r="D9241" s="1">
        <v>1.1</v>
      </c>
      <c r="E9241" s="1">
        <v>15256.0</v>
      </c>
      <c r="F9241" s="10">
        <f t="shared" si="1"/>
        <v>1.333333333</v>
      </c>
      <c r="G9241" s="10">
        <f t="array" ref="G9241">index('Player ID'!C:C,match(E9241,'Player ID'!B:B,0))</f>
        <v>642121</v>
      </c>
    </row>
    <row r="9242">
      <c r="A9242" s="76">
        <v>45825.0</v>
      </c>
      <c r="B9242" s="1" t="s">
        <v>177</v>
      </c>
      <c r="C9242" s="1" t="s">
        <v>54</v>
      </c>
      <c r="D9242" s="1">
        <v>6.0</v>
      </c>
      <c r="E9242" s="1">
        <v>15823.0</v>
      </c>
      <c r="F9242" s="10">
        <f t="shared" si="1"/>
        <v>6</v>
      </c>
      <c r="G9242" s="10">
        <f t="array" ref="G9242">index('Player ID'!C:C,match(E9242,'Player ID'!B:B,0))</f>
        <v>641793</v>
      </c>
    </row>
    <row r="9243">
      <c r="A9243" s="76">
        <v>45825.0</v>
      </c>
      <c r="B9243" s="1" t="s">
        <v>294</v>
      </c>
      <c r="C9243" s="1" t="s">
        <v>68</v>
      </c>
      <c r="D9243" s="1">
        <v>5.0</v>
      </c>
      <c r="E9243" s="1">
        <v>19350.0</v>
      </c>
      <c r="F9243" s="10">
        <f t="shared" si="1"/>
        <v>5</v>
      </c>
      <c r="G9243" s="10">
        <f t="array" ref="G9243">index('Player ID'!C:C,match(E9243,'Player ID'!B:B,0))</f>
        <v>665152</v>
      </c>
    </row>
    <row r="9244">
      <c r="A9244" s="76">
        <v>45825.0</v>
      </c>
      <c r="B9244" s="1" t="s">
        <v>231</v>
      </c>
      <c r="C9244" s="1" t="s">
        <v>68</v>
      </c>
      <c r="D9244" s="1">
        <v>1.2</v>
      </c>
      <c r="E9244" s="1">
        <v>19362.0</v>
      </c>
      <c r="F9244" s="10">
        <f t="shared" si="1"/>
        <v>1.666666667</v>
      </c>
      <c r="G9244" s="10">
        <f t="array" ref="G9244">index('Player ID'!C:C,match(E9244,'Player ID'!B:B,0))</f>
        <v>669211</v>
      </c>
    </row>
    <row r="9245">
      <c r="A9245" s="76">
        <v>45825.0</v>
      </c>
      <c r="B9245" s="1" t="s">
        <v>433</v>
      </c>
      <c r="C9245" s="1" t="s">
        <v>68</v>
      </c>
      <c r="D9245" s="1">
        <v>0.1</v>
      </c>
      <c r="E9245" s="1">
        <v>19677.0</v>
      </c>
      <c r="F9245" s="10">
        <f t="shared" si="1"/>
        <v>0.3333333333</v>
      </c>
      <c r="G9245" s="10">
        <f t="array" ref="G9245">index('Player ID'!C:C,match(E9245,'Player ID'!B:B,0))</f>
        <v>642397</v>
      </c>
    </row>
    <row r="9246">
      <c r="A9246" s="76">
        <v>45825.0</v>
      </c>
      <c r="B9246" s="1" t="s">
        <v>240</v>
      </c>
      <c r="C9246" s="1" t="s">
        <v>68</v>
      </c>
      <c r="D9246" s="1">
        <v>1.0</v>
      </c>
      <c r="E9246" s="1">
        <v>19804.0</v>
      </c>
      <c r="F9246" s="10">
        <f t="shared" si="1"/>
        <v>1</v>
      </c>
      <c r="G9246" s="10">
        <f t="array" ref="G9246">index('Player ID'!C:C,match(E9246,'Player ID'!B:B,0))</f>
        <v>641329</v>
      </c>
    </row>
    <row r="9247">
      <c r="A9247" s="76">
        <v>45825.0</v>
      </c>
      <c r="B9247" s="1" t="s">
        <v>698</v>
      </c>
      <c r="C9247" s="1" t="s">
        <v>68</v>
      </c>
      <c r="D9247" s="1">
        <v>1.0</v>
      </c>
      <c r="E9247" s="1">
        <v>20666.0</v>
      </c>
      <c r="F9247" s="10">
        <f t="shared" si="1"/>
        <v>1</v>
      </c>
      <c r="G9247" s="10">
        <f t="array" ref="G9247">index('Player ID'!C:C,match(E9247,'Player ID'!B:B,0))</f>
        <v>642585</v>
      </c>
    </row>
    <row r="9248">
      <c r="A9248" s="76">
        <v>45825.0</v>
      </c>
      <c r="B9248" s="1" t="s">
        <v>110</v>
      </c>
      <c r="C9248" s="1" t="s">
        <v>54</v>
      </c>
      <c r="D9248" s="1">
        <v>0.2</v>
      </c>
      <c r="E9248" s="1">
        <v>25679.0</v>
      </c>
      <c r="F9248" s="10">
        <f t="shared" si="1"/>
        <v>0.6666666667</v>
      </c>
      <c r="G9248" s="10">
        <f t="array" ref="G9248">index('Player ID'!C:C,match(E9248,'Player ID'!B:B,0))</f>
        <v>687330</v>
      </c>
    </row>
    <row r="9249">
      <c r="A9249" s="76">
        <v>45825.0</v>
      </c>
      <c r="B9249" s="1" t="s">
        <v>334</v>
      </c>
      <c r="C9249" s="1" t="s">
        <v>54</v>
      </c>
      <c r="D9249" s="1">
        <v>1.0</v>
      </c>
      <c r="E9249" s="1">
        <v>29770.0</v>
      </c>
      <c r="F9249" s="10">
        <f t="shared" si="1"/>
        <v>1</v>
      </c>
      <c r="G9249" s="10">
        <f t="array" ref="G9249">index('Player ID'!C:C,match(E9249,'Player ID'!B:B,0))</f>
        <v>682254</v>
      </c>
    </row>
    <row r="9250">
      <c r="A9250" s="76">
        <v>45825.0</v>
      </c>
      <c r="B9250" s="1" t="s">
        <v>187</v>
      </c>
      <c r="C9250" s="1" t="s">
        <v>78</v>
      </c>
      <c r="D9250" s="1">
        <v>1.2</v>
      </c>
      <c r="E9250" s="1">
        <v>17735.0</v>
      </c>
      <c r="F9250" s="10">
        <f t="shared" si="1"/>
        <v>1.666666667</v>
      </c>
      <c r="G9250" s="10">
        <f t="array" ref="G9250">index('Player ID'!C:C,match(E9250,'Player ID'!B:B,0))</f>
        <v>641302</v>
      </c>
    </row>
    <row r="9251">
      <c r="A9251" s="76">
        <v>45825.0</v>
      </c>
      <c r="B9251" s="1" t="s">
        <v>409</v>
      </c>
      <c r="C9251" s="1" t="s">
        <v>72</v>
      </c>
      <c r="D9251" s="1">
        <v>2.0</v>
      </c>
      <c r="E9251" s="1">
        <v>20348.0</v>
      </c>
      <c r="F9251" s="10">
        <f t="shared" si="1"/>
        <v>2</v>
      </c>
      <c r="G9251" s="10">
        <f t="array" ref="G9251">index('Player ID'!C:C,match(E9251,'Player ID'!B:B,0))</f>
        <v>676617</v>
      </c>
    </row>
    <row r="9252">
      <c r="A9252" s="76">
        <v>45825.0</v>
      </c>
      <c r="B9252" s="1" t="s">
        <v>290</v>
      </c>
      <c r="C9252" s="1" t="s">
        <v>72</v>
      </c>
      <c r="D9252" s="1">
        <v>6.0</v>
      </c>
      <c r="E9252" s="1">
        <v>22294.0</v>
      </c>
      <c r="F9252" s="10">
        <f t="shared" si="1"/>
        <v>6</v>
      </c>
      <c r="G9252" s="10">
        <f t="array" ref="G9252">index('Player ID'!C:C,match(E9252,'Player ID'!B:B,0))</f>
        <v>669461</v>
      </c>
    </row>
    <row r="9253">
      <c r="A9253" s="76">
        <v>45825.0</v>
      </c>
      <c r="B9253" s="1" t="s">
        <v>859</v>
      </c>
      <c r="C9253" s="1" t="s">
        <v>78</v>
      </c>
      <c r="D9253" s="1">
        <v>1.0</v>
      </c>
      <c r="E9253" s="1">
        <v>25040.0</v>
      </c>
      <c r="F9253" s="10">
        <f t="shared" si="1"/>
        <v>1</v>
      </c>
      <c r="G9253" s="10" t="str">
        <f t="array" ref="G9253">index('Player ID'!C:C,match(E9253,'Player ID'!B:B,0))</f>
        <v>#N/A</v>
      </c>
    </row>
    <row r="9254">
      <c r="A9254" s="76">
        <v>45825.0</v>
      </c>
      <c r="B9254" s="1" t="s">
        <v>367</v>
      </c>
      <c r="C9254" s="1" t="s">
        <v>78</v>
      </c>
      <c r="D9254" s="1">
        <v>1.0</v>
      </c>
      <c r="E9254" s="1">
        <v>27668.0</v>
      </c>
      <c r="F9254" s="10">
        <f t="shared" si="1"/>
        <v>1</v>
      </c>
      <c r="G9254" s="10">
        <f t="array" ref="G9254">index('Player ID'!C:C,match(E9254,'Player ID'!B:B,0))</f>
        <v>685126</v>
      </c>
    </row>
    <row r="9255">
      <c r="A9255" s="76">
        <v>45825.0</v>
      </c>
      <c r="B9255" s="1" t="s">
        <v>875</v>
      </c>
      <c r="C9255" s="1" t="s">
        <v>72</v>
      </c>
      <c r="D9255" s="1">
        <v>1.0</v>
      </c>
      <c r="E9255" s="1">
        <v>29542.0</v>
      </c>
      <c r="F9255" s="10">
        <f t="shared" si="1"/>
        <v>1</v>
      </c>
      <c r="G9255" s="10" t="str">
        <f t="array" ref="G9255">index('Player ID'!C:C,match(E9255,'Player ID'!B:B,0))</f>
        <v>#N/A</v>
      </c>
    </row>
    <row r="9256">
      <c r="A9256" s="76">
        <v>45825.0</v>
      </c>
      <c r="B9256" s="1" t="s">
        <v>317</v>
      </c>
      <c r="C9256" s="1" t="s">
        <v>78</v>
      </c>
      <c r="D9256" s="1">
        <v>1.0</v>
      </c>
      <c r="E9256" s="1">
        <v>29950.0</v>
      </c>
      <c r="F9256" s="10">
        <f t="shared" si="1"/>
        <v>1</v>
      </c>
      <c r="G9256" s="10">
        <f t="array" ref="G9256">index('Player ID'!C:C,match(E9256,'Player ID'!B:B,0))</f>
        <v>673929</v>
      </c>
    </row>
    <row r="9257">
      <c r="A9257" s="76">
        <v>45825.0</v>
      </c>
      <c r="B9257" s="1" t="s">
        <v>470</v>
      </c>
      <c r="C9257" s="1" t="s">
        <v>78</v>
      </c>
      <c r="D9257" s="1">
        <v>4.1</v>
      </c>
      <c r="E9257" s="1">
        <v>31687.0</v>
      </c>
      <c r="F9257" s="10">
        <f t="shared" si="1"/>
        <v>4.333333333</v>
      </c>
      <c r="G9257" s="10">
        <f t="array" ref="G9257">index('Player ID'!C:C,match(E9257,'Player ID'!B:B,0))</f>
        <v>681343</v>
      </c>
    </row>
    <row r="9258">
      <c r="A9258" s="76">
        <v>45825.0</v>
      </c>
      <c r="B9258" s="1" t="s">
        <v>452</v>
      </c>
      <c r="C9258" s="1" t="s">
        <v>29</v>
      </c>
      <c r="D9258" s="1">
        <v>6.0</v>
      </c>
      <c r="E9258" s="1">
        <v>12447.0</v>
      </c>
      <c r="F9258" s="10">
        <f t="shared" si="1"/>
        <v>6</v>
      </c>
      <c r="G9258" s="10">
        <f t="array" ref="G9258">index('Player ID'!C:C,match(E9258,'Player ID'!B:B,0))</f>
        <v>607625</v>
      </c>
    </row>
    <row r="9259">
      <c r="A9259" s="76">
        <v>45825.0</v>
      </c>
      <c r="B9259" s="1" t="s">
        <v>349</v>
      </c>
      <c r="C9259" s="1" t="s">
        <v>56</v>
      </c>
      <c r="D9259" s="1">
        <v>3.1</v>
      </c>
      <c r="E9259" s="1">
        <v>19736.0</v>
      </c>
      <c r="F9259" s="10">
        <f t="shared" si="1"/>
        <v>3.333333333</v>
      </c>
      <c r="G9259" s="10">
        <f t="array" ref="G9259">index('Player ID'!C:C,match(E9259,'Player ID'!B:B,0))</f>
        <v>676961</v>
      </c>
    </row>
    <row r="9260">
      <c r="A9260" s="76">
        <v>45825.0</v>
      </c>
      <c r="B9260" s="1" t="s">
        <v>293</v>
      </c>
      <c r="C9260" s="1" t="s">
        <v>29</v>
      </c>
      <c r="D9260" s="1">
        <v>1.0</v>
      </c>
      <c r="E9260" s="1">
        <v>21537.0</v>
      </c>
      <c r="F9260" s="10">
        <f t="shared" si="1"/>
        <v>1</v>
      </c>
      <c r="G9260" s="10">
        <f t="array" ref="G9260">index('Player ID'!C:C,match(E9260,'Player ID'!B:B,0))</f>
        <v>663738</v>
      </c>
    </row>
    <row r="9261">
      <c r="A9261" s="76">
        <v>45825.0</v>
      </c>
      <c r="B9261" s="1" t="s">
        <v>214</v>
      </c>
      <c r="C9261" s="1" t="s">
        <v>29</v>
      </c>
      <c r="D9261" s="1">
        <v>1.0</v>
      </c>
      <c r="E9261" s="1">
        <v>23165.0</v>
      </c>
      <c r="F9261" s="10">
        <f t="shared" si="1"/>
        <v>1</v>
      </c>
      <c r="G9261" s="10">
        <f t="array" ref="G9261">index('Player ID'!C:C,match(E9261,'Player ID'!B:B,0))</f>
        <v>674444</v>
      </c>
    </row>
    <row r="9262">
      <c r="A9262" s="76">
        <v>45825.0</v>
      </c>
      <c r="B9262" s="1" t="s">
        <v>236</v>
      </c>
      <c r="C9262" s="1" t="s">
        <v>29</v>
      </c>
      <c r="D9262" s="1">
        <v>1.0</v>
      </c>
      <c r="E9262" s="1">
        <v>24607.0</v>
      </c>
      <c r="F9262" s="10">
        <f t="shared" si="1"/>
        <v>1</v>
      </c>
      <c r="G9262" s="10">
        <f t="array" ref="G9262">index('Player ID'!C:C,match(E9262,'Player ID'!B:B,0))</f>
        <v>680742</v>
      </c>
    </row>
    <row r="9263">
      <c r="A9263" s="76">
        <v>45825.0</v>
      </c>
      <c r="B9263" s="1" t="s">
        <v>374</v>
      </c>
      <c r="C9263" s="1" t="s">
        <v>56</v>
      </c>
      <c r="D9263" s="1">
        <v>5.2</v>
      </c>
      <c r="E9263" s="1">
        <v>30146.0</v>
      </c>
      <c r="F9263" s="10">
        <f t="shared" si="1"/>
        <v>5.666666667</v>
      </c>
      <c r="G9263" s="10">
        <f t="array" ref="G9263">index('Player ID'!C:C,match(E9263,'Player ID'!B:B,0))</f>
        <v>683004</v>
      </c>
    </row>
    <row r="9264">
      <c r="A9264" s="76">
        <v>45825.0</v>
      </c>
      <c r="B9264" s="1" t="s">
        <v>71</v>
      </c>
      <c r="C9264" s="1" t="s">
        <v>34</v>
      </c>
      <c r="D9264" s="1">
        <v>1.0</v>
      </c>
      <c r="E9264" s="1">
        <v>10078.0</v>
      </c>
      <c r="F9264" s="10">
        <f t="shared" si="1"/>
        <v>1</v>
      </c>
      <c r="G9264" s="10">
        <f t="array" ref="G9264">index('Player ID'!C:C,match(E9264,'Player ID'!B:B,0))</f>
        <v>573204</v>
      </c>
    </row>
    <row r="9265">
      <c r="A9265" s="76">
        <v>45825.0</v>
      </c>
      <c r="B9265" s="1" t="s">
        <v>724</v>
      </c>
      <c r="C9265" s="1" t="s">
        <v>14</v>
      </c>
      <c r="D9265" s="1">
        <v>1.0</v>
      </c>
      <c r="E9265" s="1">
        <v>15094.0</v>
      </c>
      <c r="F9265" s="10">
        <f t="shared" si="1"/>
        <v>1</v>
      </c>
      <c r="G9265" s="10">
        <f t="array" ref="G9265">index('Player ID'!C:C,match(E9265,'Player ID'!B:B,0))</f>
        <v>642239</v>
      </c>
    </row>
    <row r="9266">
      <c r="A9266" s="76">
        <v>45825.0</v>
      </c>
      <c r="B9266" s="1" t="s">
        <v>297</v>
      </c>
      <c r="C9266" s="1" t="s">
        <v>34</v>
      </c>
      <c r="D9266" s="1">
        <v>1.0</v>
      </c>
      <c r="E9266" s="1">
        <v>15734.0</v>
      </c>
      <c r="F9266" s="10">
        <f t="shared" si="1"/>
        <v>1</v>
      </c>
      <c r="G9266" s="10">
        <f t="array" ref="G9266">index('Player ID'!C:C,match(E9266,'Player ID'!B:B,0))</f>
        <v>641745</v>
      </c>
    </row>
    <row r="9267">
      <c r="A9267" s="76">
        <v>45825.0</v>
      </c>
      <c r="B9267" s="1" t="s">
        <v>825</v>
      </c>
      <c r="C9267" s="1" t="s">
        <v>34</v>
      </c>
      <c r="D9267" s="1">
        <v>1.0</v>
      </c>
      <c r="E9267" s="1">
        <v>17490.0</v>
      </c>
      <c r="F9267" s="10">
        <f t="shared" si="1"/>
        <v>1</v>
      </c>
      <c r="G9267" s="10">
        <f t="array" ref="G9267">index('Player ID'!C:C,match(E9267,'Player ID'!B:B,0))</f>
        <v>650893</v>
      </c>
    </row>
    <row r="9268">
      <c r="A9268" s="76">
        <v>45825.0</v>
      </c>
      <c r="B9268" s="1" t="s">
        <v>318</v>
      </c>
      <c r="C9268" s="1" t="s">
        <v>14</v>
      </c>
      <c r="D9268" s="1">
        <v>1.0</v>
      </c>
      <c r="E9268" s="1">
        <v>20546.0</v>
      </c>
      <c r="F9268" s="10">
        <f t="shared" si="1"/>
        <v>1</v>
      </c>
      <c r="G9268" s="10">
        <f t="array" ref="G9268">index('Player ID'!C:C,match(E9268,'Player ID'!B:B,0))</f>
        <v>681982</v>
      </c>
    </row>
    <row r="9269">
      <c r="A9269" s="76">
        <v>45825.0</v>
      </c>
      <c r="B9269" s="1" t="s">
        <v>341</v>
      </c>
      <c r="C9269" s="1" t="s">
        <v>34</v>
      </c>
      <c r="D9269" s="1">
        <v>5.0</v>
      </c>
      <c r="E9269" s="1">
        <v>23590.0</v>
      </c>
      <c r="F9269" s="10">
        <f t="shared" si="1"/>
        <v>5</v>
      </c>
      <c r="G9269" s="10">
        <f t="array" ref="G9269">index('Player ID'!C:C,match(E9269,'Player ID'!B:B,0))</f>
        <v>676962</v>
      </c>
    </row>
    <row r="9270">
      <c r="A9270" s="76">
        <v>45825.0</v>
      </c>
      <c r="B9270" s="1" t="s">
        <v>112</v>
      </c>
      <c r="C9270" s="1" t="s">
        <v>14</v>
      </c>
      <c r="D9270" s="1">
        <v>1.0</v>
      </c>
      <c r="E9270" s="1">
        <v>25376.0</v>
      </c>
      <c r="F9270" s="10">
        <f t="shared" si="1"/>
        <v>1</v>
      </c>
      <c r="G9270" s="10">
        <f t="array" ref="G9270">index('Player ID'!C:C,match(E9270,'Player ID'!B:B,0))</f>
        <v>683232</v>
      </c>
    </row>
    <row r="9271">
      <c r="A9271" s="76">
        <v>45825.0</v>
      </c>
      <c r="B9271" s="1" t="s">
        <v>167</v>
      </c>
      <c r="C9271" s="1" t="s">
        <v>34</v>
      </c>
      <c r="D9271" s="1">
        <v>1.0</v>
      </c>
      <c r="E9271" s="1">
        <v>27914.0</v>
      </c>
      <c r="F9271" s="10">
        <f t="shared" si="1"/>
        <v>1</v>
      </c>
      <c r="G9271" s="10">
        <f t="array" ref="G9271">index('Player ID'!C:C,match(E9271,'Player ID'!B:B,0))</f>
        <v>694037</v>
      </c>
    </row>
    <row r="9272">
      <c r="A9272" s="76">
        <v>45825.0</v>
      </c>
      <c r="B9272" s="1" t="s">
        <v>496</v>
      </c>
      <c r="C9272" s="1" t="s">
        <v>14</v>
      </c>
      <c r="D9272" s="1">
        <v>5.0</v>
      </c>
      <c r="E9272" s="1">
        <v>30113.0</v>
      </c>
      <c r="F9272" s="10">
        <f t="shared" si="1"/>
        <v>5</v>
      </c>
      <c r="G9272" s="10">
        <f t="array" ref="G9272">index('Player ID'!C:C,match(E9272,'Player ID'!B:B,0))</f>
        <v>694477</v>
      </c>
    </row>
    <row r="9273">
      <c r="A9273" s="76">
        <v>45825.0</v>
      </c>
      <c r="B9273" s="1" t="s">
        <v>493</v>
      </c>
      <c r="C9273" s="1" t="s">
        <v>22</v>
      </c>
      <c r="D9273" s="1">
        <v>1.0</v>
      </c>
      <c r="E9273" s="1">
        <v>16835.0</v>
      </c>
      <c r="F9273" s="10">
        <f t="shared" si="1"/>
        <v>1</v>
      </c>
      <c r="G9273" s="10">
        <f t="array" ref="G9273">index('Player ID'!C:C,match(E9273,'Player ID'!B:B,0))</f>
        <v>657514</v>
      </c>
    </row>
    <row r="9274">
      <c r="A9274" s="76">
        <v>45825.0</v>
      </c>
      <c r="B9274" s="1" t="s">
        <v>405</v>
      </c>
      <c r="C9274" s="1" t="s">
        <v>22</v>
      </c>
      <c r="D9274" s="1">
        <v>3.1</v>
      </c>
      <c r="E9274" s="1">
        <v>19374.0</v>
      </c>
      <c r="F9274" s="10">
        <f t="shared" si="1"/>
        <v>3.333333333</v>
      </c>
      <c r="G9274" s="10">
        <f t="array" ref="G9274">index('Player ID'!C:C,match(E9274,'Player ID'!B:B,0))</f>
        <v>621111</v>
      </c>
    </row>
    <row r="9275">
      <c r="A9275" s="76">
        <v>45825.0</v>
      </c>
      <c r="B9275" s="1" t="s">
        <v>397</v>
      </c>
      <c r="C9275" s="1" t="s">
        <v>22</v>
      </c>
      <c r="D9275" s="1">
        <v>1.0</v>
      </c>
      <c r="E9275" s="1">
        <v>19459.0</v>
      </c>
      <c r="F9275" s="10">
        <f t="shared" si="1"/>
        <v>1</v>
      </c>
      <c r="G9275" s="10">
        <f t="array" ref="G9275">index('Player ID'!C:C,match(E9275,'Player ID'!B:B,0))</f>
        <v>660896</v>
      </c>
    </row>
    <row r="9276">
      <c r="A9276" s="76">
        <v>45825.0</v>
      </c>
      <c r="B9276" s="1" t="s">
        <v>134</v>
      </c>
      <c r="C9276" s="1" t="s">
        <v>22</v>
      </c>
      <c r="D9276" s="1">
        <v>1.2</v>
      </c>
      <c r="E9276" s="1">
        <v>20349.0</v>
      </c>
      <c r="F9276" s="10">
        <f t="shared" si="1"/>
        <v>1.666666667</v>
      </c>
      <c r="G9276" s="10">
        <f t="array" ref="G9276">index('Player ID'!C:C,match(E9276,'Player ID'!B:B,0))</f>
        <v>677161</v>
      </c>
    </row>
    <row r="9277">
      <c r="A9277" s="76">
        <v>45825.0</v>
      </c>
      <c r="B9277" s="1" t="s">
        <v>670</v>
      </c>
      <c r="C9277" s="1" t="s">
        <v>37</v>
      </c>
      <c r="D9277" s="1">
        <v>1.0</v>
      </c>
      <c r="E9277" s="1">
        <v>20373.0</v>
      </c>
      <c r="F9277" s="10">
        <f t="shared" si="1"/>
        <v>1</v>
      </c>
      <c r="G9277" s="10">
        <f t="array" ref="G9277">index('Player ID'!C:C,match(E9277,'Player ID'!B:B,0))</f>
        <v>662253</v>
      </c>
    </row>
    <row r="9278">
      <c r="A9278" s="76">
        <v>45825.0</v>
      </c>
      <c r="B9278" s="1" t="s">
        <v>340</v>
      </c>
      <c r="C9278" s="1" t="s">
        <v>37</v>
      </c>
      <c r="D9278" s="1">
        <v>1.0</v>
      </c>
      <c r="E9278" s="1">
        <v>25921.0</v>
      </c>
      <c r="F9278" s="10">
        <f t="shared" si="1"/>
        <v>1</v>
      </c>
      <c r="G9278" s="10">
        <f t="array" ref="G9278">index('Player ID'!C:C,match(E9278,'Player ID'!B:B,0))</f>
        <v>668984</v>
      </c>
    </row>
    <row r="9279">
      <c r="A9279" s="76">
        <v>45825.0</v>
      </c>
      <c r="B9279" s="1" t="s">
        <v>90</v>
      </c>
      <c r="C9279" s="1" t="s">
        <v>37</v>
      </c>
      <c r="D9279" s="1">
        <v>7.0</v>
      </c>
      <c r="E9279" s="1">
        <v>30279.0</v>
      </c>
      <c r="F9279" s="10">
        <f t="shared" si="1"/>
        <v>7</v>
      </c>
      <c r="G9279" s="10">
        <f t="array" ref="G9279">index('Player ID'!C:C,match(E9279,'Player ID'!B:B,0))</f>
        <v>693433</v>
      </c>
    </row>
    <row r="9280">
      <c r="A9280" s="76">
        <v>45825.0</v>
      </c>
      <c r="B9280" s="1" t="s">
        <v>720</v>
      </c>
      <c r="C9280" s="1" t="s">
        <v>22</v>
      </c>
      <c r="D9280" s="1">
        <v>1.0</v>
      </c>
      <c r="E9280" s="1">
        <v>31184.0</v>
      </c>
      <c r="F9280" s="10">
        <f t="shared" si="1"/>
        <v>1</v>
      </c>
      <c r="G9280" s="10">
        <f t="array" ref="G9280">index('Player ID'!C:C,match(E9280,'Player ID'!B:B,0))</f>
        <v>692285</v>
      </c>
    </row>
    <row r="9281">
      <c r="A9281" s="76">
        <v>45825.0</v>
      </c>
      <c r="B9281" s="1" t="s">
        <v>303</v>
      </c>
      <c r="C9281" s="1" t="s">
        <v>31</v>
      </c>
      <c r="D9281" s="1">
        <v>6.0</v>
      </c>
      <c r="E9281" s="1">
        <v>11486.0</v>
      </c>
      <c r="F9281" s="10">
        <f t="shared" si="1"/>
        <v>6</v>
      </c>
      <c r="G9281" s="10">
        <f t="array" ref="G9281">index('Player ID'!C:C,match(E9281,'Player ID'!B:B,0))</f>
        <v>592662</v>
      </c>
    </row>
    <row r="9282">
      <c r="A9282" s="76">
        <v>45825.0</v>
      </c>
      <c r="B9282" s="1" t="s">
        <v>20</v>
      </c>
      <c r="C9282" s="1" t="s">
        <v>31</v>
      </c>
      <c r="D9282" s="1">
        <v>1.0</v>
      </c>
      <c r="E9282" s="1">
        <v>15541.0</v>
      </c>
      <c r="F9282" s="10">
        <f t="shared" si="1"/>
        <v>1</v>
      </c>
      <c r="G9282" s="10">
        <f t="array" ref="G9282">index('Player ID'!C:C,match(E9282,'Player ID'!B:B,0))</f>
        <v>643511</v>
      </c>
    </row>
    <row r="9283">
      <c r="A9283" s="76">
        <v>45825.0</v>
      </c>
      <c r="B9283" s="1" t="s">
        <v>141</v>
      </c>
      <c r="C9283" s="1" t="s">
        <v>70</v>
      </c>
      <c r="D9283" s="1">
        <v>0.2</v>
      </c>
      <c r="E9283" s="1">
        <v>19330.0</v>
      </c>
      <c r="F9283" s="10">
        <f t="shared" si="1"/>
        <v>0.6666666667</v>
      </c>
      <c r="G9283" s="10">
        <f t="array" ref="G9283">index('Player ID'!C:C,match(E9283,'Player ID'!B:B,0))</f>
        <v>670036</v>
      </c>
    </row>
    <row r="9284">
      <c r="A9284" s="76">
        <v>45825.0</v>
      </c>
      <c r="B9284" s="1" t="s">
        <v>132</v>
      </c>
      <c r="C9284" s="1" t="s">
        <v>70</v>
      </c>
      <c r="D9284" s="1">
        <v>1.0</v>
      </c>
      <c r="E9284" s="1">
        <v>21032.0</v>
      </c>
      <c r="F9284" s="10">
        <f t="shared" si="1"/>
        <v>1</v>
      </c>
      <c r="G9284" s="10">
        <f t="array" ref="G9284">index('Player ID'!C:C,match(E9284,'Player ID'!B:B,0))</f>
        <v>661403</v>
      </c>
    </row>
    <row r="9285">
      <c r="A9285" s="76">
        <v>45825.0</v>
      </c>
      <c r="B9285" s="1" t="s">
        <v>654</v>
      </c>
      <c r="C9285" s="1" t="s">
        <v>31</v>
      </c>
      <c r="D9285" s="1">
        <v>1.0</v>
      </c>
      <c r="E9285" s="1">
        <v>23974.0</v>
      </c>
      <c r="F9285" s="10">
        <f t="shared" si="1"/>
        <v>1</v>
      </c>
      <c r="G9285" s="10">
        <f t="array" ref="G9285">index('Player ID'!C:C,match(E9285,'Player ID'!B:B,0))</f>
        <v>678495</v>
      </c>
    </row>
    <row r="9286">
      <c r="A9286" s="76">
        <v>45825.0</v>
      </c>
      <c r="B9286" s="1" t="s">
        <v>238</v>
      </c>
      <c r="C9286" s="1" t="s">
        <v>70</v>
      </c>
      <c r="D9286" s="1">
        <v>1.1</v>
      </c>
      <c r="E9286" s="1">
        <v>25636.0</v>
      </c>
      <c r="F9286" s="10">
        <f t="shared" si="1"/>
        <v>1.333333333</v>
      </c>
      <c r="G9286" s="10">
        <f t="array" ref="G9286">index('Player ID'!C:C,match(E9286,'Player ID'!B:B,0))</f>
        <v>683769</v>
      </c>
    </row>
    <row r="9287">
      <c r="A9287" s="76">
        <v>45825.0</v>
      </c>
      <c r="B9287" s="1" t="s">
        <v>655</v>
      </c>
      <c r="C9287" s="1" t="s">
        <v>31</v>
      </c>
      <c r="D9287" s="1">
        <v>1.0</v>
      </c>
      <c r="E9287" s="1">
        <v>26252.0</v>
      </c>
      <c r="F9287" s="10">
        <f t="shared" si="1"/>
        <v>1</v>
      </c>
      <c r="G9287" s="10">
        <f t="array" ref="G9287">index('Player ID'!C:C,match(E9287,'Player ID'!B:B,0))</f>
        <v>669062</v>
      </c>
    </row>
    <row r="9288">
      <c r="A9288" s="76">
        <v>45825.0</v>
      </c>
      <c r="B9288" s="1" t="s">
        <v>306</v>
      </c>
      <c r="C9288" s="1" t="s">
        <v>70</v>
      </c>
      <c r="D9288" s="1">
        <v>5.0</v>
      </c>
      <c r="E9288" s="1">
        <v>27500.0</v>
      </c>
      <c r="F9288" s="10">
        <f t="shared" si="1"/>
        <v>5</v>
      </c>
      <c r="G9288" s="10">
        <f t="array" ref="G9288">index('Player ID'!C:C,match(E9288,'Player ID'!B:B,0))</f>
        <v>677944</v>
      </c>
    </row>
    <row r="9289">
      <c r="A9289" s="76">
        <v>45825.0</v>
      </c>
      <c r="B9289" s="1" t="s">
        <v>135</v>
      </c>
      <c r="C9289" s="1" t="s">
        <v>70</v>
      </c>
      <c r="D9289" s="1">
        <v>1.0</v>
      </c>
      <c r="E9289" s="1">
        <v>27867.0</v>
      </c>
      <c r="F9289" s="10">
        <f t="shared" si="1"/>
        <v>1</v>
      </c>
      <c r="G9289" s="10">
        <f t="array" ref="G9289">index('Player ID'!C:C,match(E9289,'Player ID'!B:B,0))</f>
        <v>671922</v>
      </c>
    </row>
    <row r="9290">
      <c r="A9290" s="76">
        <v>45825.0</v>
      </c>
      <c r="B9290" s="1" t="s">
        <v>668</v>
      </c>
      <c r="C9290" s="1" t="s">
        <v>52</v>
      </c>
      <c r="D9290" s="1">
        <v>1.0</v>
      </c>
      <c r="E9290" s="1">
        <v>3237.0</v>
      </c>
      <c r="F9290" s="10">
        <f t="shared" si="1"/>
        <v>1</v>
      </c>
      <c r="G9290" s="10">
        <f t="array" ref="G9290">index('Player ID'!C:C,match(E9290,'Player ID'!B:B,0))</f>
        <v>519008</v>
      </c>
    </row>
    <row r="9291">
      <c r="A9291" s="76">
        <v>45825.0</v>
      </c>
      <c r="B9291" s="1" t="s">
        <v>415</v>
      </c>
      <c r="C9291" s="1" t="s">
        <v>52</v>
      </c>
      <c r="D9291" s="1">
        <v>1.0</v>
      </c>
      <c r="E9291" s="1">
        <v>16943.0</v>
      </c>
      <c r="F9291" s="10">
        <f t="shared" si="1"/>
        <v>1</v>
      </c>
      <c r="G9291" s="10">
        <f t="array" ref="G9291">index('Player ID'!C:C,match(E9291,'Player ID'!B:B,0))</f>
        <v>656794</v>
      </c>
    </row>
    <row r="9292">
      <c r="A9292" s="76">
        <v>45825.0</v>
      </c>
      <c r="B9292" s="1" t="s">
        <v>264</v>
      </c>
      <c r="C9292" s="1" t="s">
        <v>39</v>
      </c>
      <c r="D9292" s="1">
        <v>6.0</v>
      </c>
      <c r="E9292" s="1">
        <v>19666.0</v>
      </c>
      <c r="F9292" s="10">
        <f t="shared" si="1"/>
        <v>6</v>
      </c>
      <c r="G9292" s="10">
        <f t="array" ref="G9292">index('Player ID'!C:C,match(E9292,'Player ID'!B:B,0))</f>
        <v>669920</v>
      </c>
    </row>
    <row r="9293">
      <c r="A9293" s="76">
        <v>45825.0</v>
      </c>
      <c r="B9293" s="1" t="s">
        <v>359</v>
      </c>
      <c r="C9293" s="1" t="s">
        <v>39</v>
      </c>
      <c r="D9293" s="1">
        <v>1.0</v>
      </c>
      <c r="E9293" s="1">
        <v>20061.0</v>
      </c>
      <c r="F9293" s="10">
        <f t="shared" si="1"/>
        <v>1</v>
      </c>
      <c r="G9293" s="10">
        <f t="array" ref="G9293">index('Player ID'!C:C,match(E9293,'Player ID'!B:B,0))</f>
        <v>672391</v>
      </c>
    </row>
    <row r="9294">
      <c r="A9294" s="76">
        <v>45825.0</v>
      </c>
      <c r="B9294" s="1" t="s">
        <v>102</v>
      </c>
      <c r="C9294" s="1" t="s">
        <v>39</v>
      </c>
      <c r="D9294" s="1">
        <v>2.0</v>
      </c>
      <c r="E9294" s="1">
        <v>21345.0</v>
      </c>
      <c r="F9294" s="10">
        <f t="shared" si="1"/>
        <v>2</v>
      </c>
      <c r="G9294" s="10">
        <f t="array" ref="G9294">index('Player ID'!C:C,match(E9294,'Player ID'!B:B,0))</f>
        <v>656986</v>
      </c>
    </row>
    <row r="9295">
      <c r="A9295" s="76">
        <v>45825.0</v>
      </c>
      <c r="B9295" s="1" t="s">
        <v>227</v>
      </c>
      <c r="C9295" s="1" t="s">
        <v>52</v>
      </c>
      <c r="D9295" s="1">
        <v>1.0</v>
      </c>
      <c r="E9295" s="1">
        <v>21520.0</v>
      </c>
      <c r="F9295" s="10">
        <f t="shared" si="1"/>
        <v>1</v>
      </c>
      <c r="G9295" s="10">
        <f t="array" ref="G9295">index('Player ID'!C:C,match(E9295,'Player ID'!B:B,0))</f>
        <v>663687</v>
      </c>
    </row>
    <row r="9296">
      <c r="A9296" s="76">
        <v>45825.0</v>
      </c>
      <c r="B9296" s="1" t="s">
        <v>454</v>
      </c>
      <c r="C9296" s="1" t="s">
        <v>52</v>
      </c>
      <c r="D9296" s="1">
        <v>1.2</v>
      </c>
      <c r="E9296" s="1">
        <v>23150.0</v>
      </c>
      <c r="F9296" s="10">
        <f t="shared" si="1"/>
        <v>1.666666667</v>
      </c>
      <c r="G9296" s="10">
        <f t="array" ref="G9296">index('Player ID'!C:C,match(E9296,'Player ID'!B:B,0))</f>
        <v>674370</v>
      </c>
    </row>
    <row r="9297">
      <c r="A9297" s="76">
        <v>45825.0</v>
      </c>
      <c r="B9297" s="1" t="s">
        <v>251</v>
      </c>
      <c r="C9297" s="1" t="s">
        <v>52</v>
      </c>
      <c r="D9297" s="1">
        <v>3.1</v>
      </c>
      <c r="E9297" s="1">
        <v>23429.0</v>
      </c>
      <c r="F9297" s="10">
        <f t="shared" si="1"/>
        <v>3.333333333</v>
      </c>
      <c r="G9297" s="10">
        <f t="array" ref="G9297">index('Player ID'!C:C,match(E9297,'Player ID'!B:B,0))</f>
        <v>676664</v>
      </c>
    </row>
    <row r="9298">
      <c r="A9298" s="76">
        <v>45825.0</v>
      </c>
      <c r="B9298" s="1" t="s">
        <v>849</v>
      </c>
      <c r="C9298" s="1" t="s">
        <v>52</v>
      </c>
      <c r="D9298" s="1">
        <v>1.0</v>
      </c>
      <c r="E9298" s="1">
        <v>24641.0</v>
      </c>
      <c r="F9298" s="10">
        <f t="shared" si="1"/>
        <v>1</v>
      </c>
      <c r="G9298" s="10" t="str">
        <f t="array" ref="G9298">index('Player ID'!C:C,match(E9298,'Player ID'!B:B,0))</f>
        <v>#N/A</v>
      </c>
    </row>
    <row r="9299">
      <c r="A9299" s="76">
        <v>45825.0</v>
      </c>
      <c r="B9299" s="1" t="s">
        <v>342</v>
      </c>
      <c r="C9299" s="1" t="s">
        <v>26</v>
      </c>
      <c r="D9299" s="1">
        <v>1.0</v>
      </c>
      <c r="E9299" s="1">
        <v>11861.0</v>
      </c>
      <c r="F9299" s="10">
        <f t="shared" si="1"/>
        <v>1</v>
      </c>
      <c r="G9299" s="10">
        <f t="array" ref="G9299">index('Player ID'!C:C,match(E9299,'Player ID'!B:B,0))</f>
        <v>592094</v>
      </c>
    </row>
    <row r="9300">
      <c r="A9300" s="76">
        <v>45825.0</v>
      </c>
      <c r="B9300" s="1" t="s">
        <v>310</v>
      </c>
      <c r="C9300" s="1" t="s">
        <v>33</v>
      </c>
      <c r="D9300" s="1">
        <v>1.0</v>
      </c>
      <c r="E9300" s="1">
        <v>14706.0</v>
      </c>
      <c r="F9300" s="10">
        <f t="shared" si="1"/>
        <v>1</v>
      </c>
      <c r="G9300" s="10">
        <f t="array" ref="G9300">index('Player ID'!C:C,match(E9300,'Player ID'!B:B,0))</f>
        <v>607455</v>
      </c>
    </row>
    <row r="9301">
      <c r="A9301" s="76">
        <v>45825.0</v>
      </c>
      <c r="B9301" s="1" t="s">
        <v>503</v>
      </c>
      <c r="C9301" s="1" t="s">
        <v>33</v>
      </c>
      <c r="D9301" s="1">
        <v>2.0</v>
      </c>
      <c r="E9301" s="1">
        <v>15043.0</v>
      </c>
      <c r="F9301" s="10">
        <f t="shared" si="1"/>
        <v>2</v>
      </c>
      <c r="G9301" s="10">
        <f t="array" ref="G9301">index('Player ID'!C:C,match(E9301,'Player ID'!B:B,0))</f>
        <v>642152</v>
      </c>
    </row>
    <row r="9302">
      <c r="A9302" s="76">
        <v>45825.0</v>
      </c>
      <c r="B9302" s="1" t="s">
        <v>870</v>
      </c>
      <c r="C9302" s="1" t="s">
        <v>33</v>
      </c>
      <c r="D9302" s="1">
        <v>0.2</v>
      </c>
      <c r="E9302" s="1">
        <v>17282.0</v>
      </c>
      <c r="F9302" s="10">
        <f t="shared" si="1"/>
        <v>0.6666666667</v>
      </c>
      <c r="G9302" s="10" t="str">
        <f t="array" ref="G9302">index('Player ID'!C:C,match(E9302,'Player ID'!B:B,0))</f>
        <v>#N/A</v>
      </c>
    </row>
    <row r="9303">
      <c r="A9303" s="76">
        <v>45825.0</v>
      </c>
      <c r="B9303" s="1" t="s">
        <v>32</v>
      </c>
      <c r="C9303" s="1" t="s">
        <v>33</v>
      </c>
      <c r="D9303" s="1">
        <v>1.0</v>
      </c>
      <c r="E9303" s="1">
        <v>17586.0</v>
      </c>
      <c r="F9303" s="10">
        <f t="shared" si="1"/>
        <v>1</v>
      </c>
      <c r="G9303" s="10">
        <f t="array" ref="G9303">index('Player ID'!C:C,match(E9303,'Player ID'!B:B,0))</f>
        <v>656945</v>
      </c>
    </row>
    <row r="9304">
      <c r="A9304" s="76">
        <v>45825.0</v>
      </c>
      <c r="B9304" s="1" t="s">
        <v>49</v>
      </c>
      <c r="C9304" s="1" t="s">
        <v>26</v>
      </c>
      <c r="D9304" s="1">
        <v>0.2</v>
      </c>
      <c r="E9304" s="1">
        <v>20039.0</v>
      </c>
      <c r="F9304" s="10">
        <f t="shared" si="1"/>
        <v>0.6666666667</v>
      </c>
      <c r="G9304" s="10">
        <f t="array" ref="G9304">index('Player ID'!C:C,match(E9304,'Player ID'!B:B,0))</f>
        <v>670970</v>
      </c>
    </row>
    <row r="9305">
      <c r="A9305" s="76">
        <v>45825.0</v>
      </c>
      <c r="B9305" s="1" t="s">
        <v>94</v>
      </c>
      <c r="C9305" s="1" t="s">
        <v>26</v>
      </c>
      <c r="D9305" s="1">
        <v>0.0</v>
      </c>
      <c r="E9305" s="1">
        <v>22210.0</v>
      </c>
      <c r="F9305" s="10">
        <f t="shared" si="1"/>
        <v>0</v>
      </c>
      <c r="G9305" s="10">
        <f t="array" ref="G9305">index('Player ID'!C:C,match(E9305,'Player ID'!B:B,0))</f>
        <v>669093</v>
      </c>
    </row>
    <row r="9306">
      <c r="A9306" s="76">
        <v>45825.0</v>
      </c>
      <c r="B9306" s="1" t="s">
        <v>797</v>
      </c>
      <c r="C9306" s="1" t="s">
        <v>26</v>
      </c>
      <c r="D9306" s="1">
        <v>0.1</v>
      </c>
      <c r="E9306" s="1">
        <v>22253.0</v>
      </c>
      <c r="F9306" s="10">
        <f t="shared" si="1"/>
        <v>0.3333333333</v>
      </c>
      <c r="G9306" s="10">
        <f t="array" ref="G9306">index('Player ID'!C:C,match(E9306,'Player ID'!B:B,0))</f>
        <v>669308</v>
      </c>
    </row>
    <row r="9307">
      <c r="A9307" s="76">
        <v>45825.0</v>
      </c>
      <c r="B9307" s="1" t="s">
        <v>390</v>
      </c>
      <c r="C9307" s="1" t="s">
        <v>33</v>
      </c>
      <c r="D9307" s="1">
        <v>2.1</v>
      </c>
      <c r="E9307" s="1">
        <v>22284.0</v>
      </c>
      <c r="F9307" s="10">
        <f t="shared" si="1"/>
        <v>2.333333333</v>
      </c>
      <c r="G9307" s="10">
        <f t="array" ref="G9307">index('Player ID'!C:C,match(E9307,'Player ID'!B:B,0))</f>
        <v>669422</v>
      </c>
    </row>
    <row r="9308">
      <c r="A9308" s="76">
        <v>45825.0</v>
      </c>
      <c r="B9308" s="1" t="s">
        <v>713</v>
      </c>
      <c r="C9308" s="1" t="s">
        <v>26</v>
      </c>
      <c r="D9308" s="1">
        <v>5.0</v>
      </c>
      <c r="E9308" s="1">
        <v>24719.0</v>
      </c>
      <c r="F9308" s="10">
        <f t="shared" si="1"/>
        <v>5</v>
      </c>
      <c r="G9308" s="10">
        <f t="array" ref="G9308">index('Player ID'!C:C,match(E9308,'Player ID'!B:B,0))</f>
        <v>681190</v>
      </c>
    </row>
    <row r="9309">
      <c r="A9309" s="76">
        <v>45825.0</v>
      </c>
      <c r="B9309" s="1" t="s">
        <v>206</v>
      </c>
      <c r="C9309" s="1" t="s">
        <v>33</v>
      </c>
      <c r="D9309" s="1">
        <v>2.0</v>
      </c>
      <c r="E9309" s="1">
        <v>30249.0</v>
      </c>
      <c r="F9309" s="10">
        <f t="shared" si="1"/>
        <v>2</v>
      </c>
      <c r="G9309" s="10">
        <f t="array" ref="G9309">index('Player ID'!C:C,match(E9309,'Player ID'!B:B,0))</f>
        <v>676263</v>
      </c>
    </row>
    <row r="9310">
      <c r="A9310" s="76">
        <v>45825.0</v>
      </c>
      <c r="B9310" s="1" t="s">
        <v>284</v>
      </c>
      <c r="C9310" s="1" t="s">
        <v>26</v>
      </c>
      <c r="D9310" s="1">
        <v>1.0</v>
      </c>
      <c r="E9310" s="1">
        <v>33826.0</v>
      </c>
      <c r="F9310" s="10">
        <f t="shared" si="1"/>
        <v>1</v>
      </c>
      <c r="G9310" s="10">
        <f t="array" ref="G9310">index('Player ID'!C:C,match(E9310,'Player ID'!B:B,0))</f>
        <v>673513</v>
      </c>
    </row>
    <row r="9311">
      <c r="A9311" s="76">
        <v>45826.0</v>
      </c>
      <c r="B9311" s="1" t="s">
        <v>41</v>
      </c>
      <c r="C9311" s="1" t="s">
        <v>22</v>
      </c>
      <c r="D9311" s="1">
        <v>1.0</v>
      </c>
      <c r="E9311" s="1">
        <v>10233.0</v>
      </c>
      <c r="F9311" s="10">
        <f t="shared" si="1"/>
        <v>1</v>
      </c>
      <c r="G9311" s="10">
        <f t="array" ref="G9311">index('Player ID'!C:C,match(E9311,'Player ID'!B:B,0))</f>
        <v>547973</v>
      </c>
    </row>
    <row r="9312">
      <c r="A9312" s="76">
        <v>45826.0</v>
      </c>
      <c r="B9312" s="1" t="s">
        <v>272</v>
      </c>
      <c r="C9312" s="1" t="s">
        <v>37</v>
      </c>
      <c r="D9312" s="1">
        <v>6.0</v>
      </c>
      <c r="E9312" s="1">
        <v>15689.0</v>
      </c>
      <c r="F9312" s="10">
        <f t="shared" si="1"/>
        <v>6</v>
      </c>
      <c r="G9312" s="10">
        <f t="array" ref="G9312">index('Player ID'!C:C,match(E9312,'Player ID'!B:B,0))</f>
        <v>622491</v>
      </c>
    </row>
    <row r="9313">
      <c r="A9313" s="76">
        <v>45826.0</v>
      </c>
      <c r="B9313" s="1" t="s">
        <v>53</v>
      </c>
      <c r="C9313" s="1" t="s">
        <v>37</v>
      </c>
      <c r="D9313" s="1">
        <v>1.0</v>
      </c>
      <c r="E9313" s="1">
        <v>17170.0</v>
      </c>
      <c r="F9313" s="10">
        <f t="shared" si="1"/>
        <v>1</v>
      </c>
      <c r="G9313" s="10">
        <f t="array" ref="G9313">index('Player ID'!C:C,match(E9313,'Player ID'!B:B,0))</f>
        <v>642100</v>
      </c>
    </row>
    <row r="9314">
      <c r="A9314" s="76">
        <v>45826.0</v>
      </c>
      <c r="B9314" s="1" t="s">
        <v>250</v>
      </c>
      <c r="C9314" s="1" t="s">
        <v>22</v>
      </c>
      <c r="D9314" s="1">
        <v>1.0</v>
      </c>
      <c r="E9314" s="1">
        <v>20191.0</v>
      </c>
      <c r="F9314" s="10">
        <f t="shared" si="1"/>
        <v>1</v>
      </c>
      <c r="G9314" s="10">
        <f t="array" ref="G9314">index('Player ID'!C:C,match(E9314,'Player ID'!B:B,0))</f>
        <v>676477</v>
      </c>
    </row>
    <row r="9315">
      <c r="A9315" s="76">
        <v>45826.0</v>
      </c>
      <c r="B9315" s="1" t="s">
        <v>406</v>
      </c>
      <c r="C9315" s="1" t="s">
        <v>22</v>
      </c>
      <c r="D9315" s="1">
        <v>1.0</v>
      </c>
      <c r="E9315" s="1">
        <v>20375.0</v>
      </c>
      <c r="F9315" s="10">
        <f t="shared" si="1"/>
        <v>1</v>
      </c>
      <c r="G9315" s="10">
        <f t="array" ref="G9315">index('Player ID'!C:C,match(E9315,'Player ID'!B:B,0))</f>
        <v>669711</v>
      </c>
    </row>
    <row r="9316">
      <c r="A9316" s="76">
        <v>45826.0</v>
      </c>
      <c r="B9316" s="1" t="s">
        <v>157</v>
      </c>
      <c r="C9316" s="1" t="s">
        <v>37</v>
      </c>
      <c r="D9316" s="1">
        <v>1.0</v>
      </c>
      <c r="E9316" s="1">
        <v>20997.0</v>
      </c>
      <c r="F9316" s="10">
        <f t="shared" si="1"/>
        <v>1</v>
      </c>
      <c r="G9316" s="10">
        <f t="array" ref="G9316">index('Player ID'!C:C,match(E9316,'Player ID'!B:B,0))</f>
        <v>660825</v>
      </c>
    </row>
    <row r="9317">
      <c r="A9317" s="76">
        <v>45826.0</v>
      </c>
      <c r="B9317" s="1" t="s">
        <v>101</v>
      </c>
      <c r="C9317" s="1" t="s">
        <v>37</v>
      </c>
      <c r="D9317" s="1">
        <v>1.0</v>
      </c>
      <c r="E9317" s="1">
        <v>22915.0</v>
      </c>
      <c r="F9317" s="10">
        <f t="shared" si="1"/>
        <v>1</v>
      </c>
      <c r="G9317" s="10">
        <f t="array" ref="G9317">index('Player ID'!C:C,match(E9317,'Player ID'!B:B,0))</f>
        <v>672841</v>
      </c>
    </row>
    <row r="9318">
      <c r="A9318" s="76">
        <v>45826.0</v>
      </c>
      <c r="B9318" s="1" t="s">
        <v>100</v>
      </c>
      <c r="C9318" s="1" t="s">
        <v>22</v>
      </c>
      <c r="D9318" s="1">
        <v>6.0</v>
      </c>
      <c r="E9318" s="1">
        <v>27463.0</v>
      </c>
      <c r="F9318" s="10">
        <f t="shared" si="1"/>
        <v>6</v>
      </c>
      <c r="G9318" s="10">
        <f t="array" ref="G9318">index('Player ID'!C:C,match(E9318,'Player ID'!B:B,0))</f>
        <v>676979</v>
      </c>
    </row>
    <row r="9319">
      <c r="A9319" s="76">
        <v>45826.0</v>
      </c>
      <c r="B9319" s="1" t="s">
        <v>182</v>
      </c>
      <c r="C9319" s="1" t="s">
        <v>45</v>
      </c>
      <c r="D9319" s="1">
        <v>1.0</v>
      </c>
      <c r="E9319" s="1">
        <v>13799.0</v>
      </c>
      <c r="F9319" s="10">
        <f t="shared" si="1"/>
        <v>1</v>
      </c>
      <c r="G9319" s="10">
        <f t="array" ref="G9319">index('Player ID'!C:C,match(E9319,'Player ID'!B:B,0))</f>
        <v>621381</v>
      </c>
    </row>
    <row r="9320">
      <c r="A9320" s="76">
        <v>45826.0</v>
      </c>
      <c r="B9320" s="1" t="s">
        <v>827</v>
      </c>
      <c r="C9320" s="1" t="s">
        <v>45</v>
      </c>
      <c r="D9320" s="1">
        <v>7.0</v>
      </c>
      <c r="E9320" s="1">
        <v>17277.0</v>
      </c>
      <c r="F9320" s="10">
        <f t="shared" si="1"/>
        <v>7</v>
      </c>
      <c r="G9320" s="10">
        <f t="array" ref="G9320">index('Player ID'!C:C,match(E9320,'Player ID'!B:B,0))</f>
        <v>624133</v>
      </c>
    </row>
    <row r="9321">
      <c r="A9321" s="76">
        <v>45826.0</v>
      </c>
      <c r="B9321" s="1" t="s">
        <v>241</v>
      </c>
      <c r="C9321" s="1" t="s">
        <v>36</v>
      </c>
      <c r="D9321" s="1">
        <v>2.1</v>
      </c>
      <c r="E9321" s="1">
        <v>19222.0</v>
      </c>
      <c r="F9321" s="10">
        <f t="shared" si="1"/>
        <v>2.333333333</v>
      </c>
      <c r="G9321" s="10">
        <f t="array" ref="G9321">index('Player ID'!C:C,match(E9321,'Player ID'!B:B,0))</f>
        <v>669199</v>
      </c>
    </row>
    <row r="9322">
      <c r="A9322" s="76">
        <v>45826.0</v>
      </c>
      <c r="B9322" s="1" t="s">
        <v>61</v>
      </c>
      <c r="C9322" s="1" t="s">
        <v>36</v>
      </c>
      <c r="D9322" s="1">
        <v>1.0</v>
      </c>
      <c r="E9322" s="1">
        <v>20629.0</v>
      </c>
      <c r="F9322" s="10">
        <f t="shared" si="1"/>
        <v>1</v>
      </c>
      <c r="G9322" s="10">
        <f t="array" ref="G9322">index('Player ID'!C:C,match(E9322,'Player ID'!B:B,0))</f>
        <v>663969</v>
      </c>
    </row>
    <row r="9323">
      <c r="A9323" s="76">
        <v>45826.0</v>
      </c>
      <c r="B9323" s="1" t="s">
        <v>165</v>
      </c>
      <c r="C9323" s="1" t="s">
        <v>45</v>
      </c>
      <c r="D9323" s="1">
        <v>1.0</v>
      </c>
      <c r="E9323" s="1">
        <v>31776.0</v>
      </c>
      <c r="F9323" s="10">
        <f t="shared" si="1"/>
        <v>1</v>
      </c>
      <c r="G9323" s="10">
        <f t="array" ref="G9323">index('Player ID'!C:C,match(E9323,'Player ID'!B:B,0))</f>
        <v>689147</v>
      </c>
    </row>
    <row r="9324">
      <c r="A9324" s="76">
        <v>45826.0</v>
      </c>
      <c r="B9324" s="1" t="s">
        <v>590</v>
      </c>
      <c r="C9324" s="1" t="s">
        <v>36</v>
      </c>
      <c r="D9324" s="1">
        <v>5.2</v>
      </c>
      <c r="E9324" s="1">
        <v>31900.0</v>
      </c>
      <c r="F9324" s="10">
        <f t="shared" si="1"/>
        <v>5.666666667</v>
      </c>
      <c r="G9324" s="10">
        <f t="array" ref="G9324">index('Player ID'!C:C,match(E9324,'Player ID'!B:B,0))</f>
        <v>800049</v>
      </c>
    </row>
    <row r="9325">
      <c r="A9325" s="76">
        <v>45826.0</v>
      </c>
      <c r="B9325" s="1" t="s">
        <v>746</v>
      </c>
      <c r="C9325" s="1" t="s">
        <v>75</v>
      </c>
      <c r="D9325" s="1">
        <v>5.2</v>
      </c>
      <c r="E9325" s="1">
        <v>15038.0</v>
      </c>
      <c r="F9325" s="10">
        <f t="shared" si="1"/>
        <v>5.666666667</v>
      </c>
      <c r="G9325" s="10">
        <f t="array" ref="G9325">index('Player ID'!C:C,match(E9325,'Player ID'!B:B,0))</f>
        <v>608566</v>
      </c>
    </row>
    <row r="9326">
      <c r="A9326" s="76">
        <v>45826.0</v>
      </c>
      <c r="B9326" s="1" t="s">
        <v>288</v>
      </c>
      <c r="C9326" s="1" t="s">
        <v>75</v>
      </c>
      <c r="D9326" s="1">
        <v>1.0</v>
      </c>
      <c r="E9326" s="1">
        <v>18297.0</v>
      </c>
      <c r="F9326" s="10">
        <f t="shared" si="1"/>
        <v>1</v>
      </c>
      <c r="G9326" s="10">
        <f t="array" ref="G9326">index('Player ID'!C:C,match(E9326,'Player ID'!B:B,0))</f>
        <v>641755</v>
      </c>
    </row>
    <row r="9327">
      <c r="A9327" s="76">
        <v>45826.0</v>
      </c>
      <c r="B9327" s="1" t="s">
        <v>215</v>
      </c>
      <c r="C9327" s="1" t="s">
        <v>75</v>
      </c>
      <c r="D9327" s="1">
        <v>0.1</v>
      </c>
      <c r="E9327" s="1">
        <v>21267.0</v>
      </c>
      <c r="F9327" s="10">
        <f t="shared" si="1"/>
        <v>0.3333333333</v>
      </c>
      <c r="G9327" s="10">
        <f t="array" ref="G9327">index('Player ID'!C:C,match(E9327,'Player ID'!B:B,0))</f>
        <v>656234</v>
      </c>
    </row>
    <row r="9328">
      <c r="A9328" s="76">
        <v>45826.0</v>
      </c>
      <c r="B9328" s="1" t="s">
        <v>468</v>
      </c>
      <c r="C9328" s="1" t="s">
        <v>75</v>
      </c>
      <c r="D9328" s="1">
        <v>1.0</v>
      </c>
      <c r="E9328" s="1">
        <v>23237.0</v>
      </c>
      <c r="F9328" s="10">
        <f t="shared" si="1"/>
        <v>1</v>
      </c>
      <c r="G9328" s="10">
        <f t="array" ref="G9328">index('Player ID'!C:C,match(E9328,'Player ID'!B:B,0))</f>
        <v>675848</v>
      </c>
    </row>
    <row r="9329">
      <c r="A9329" s="76">
        <v>45826.0</v>
      </c>
      <c r="B9329" s="1" t="s">
        <v>86</v>
      </c>
      <c r="C9329" s="1" t="s">
        <v>80</v>
      </c>
      <c r="D9329" s="1">
        <v>1.0</v>
      </c>
      <c r="E9329" s="1">
        <v>24017.0</v>
      </c>
      <c r="F9329" s="10">
        <f t="shared" si="1"/>
        <v>1</v>
      </c>
      <c r="G9329" s="10">
        <f t="array" ref="G9329">index('Player ID'!C:C,match(E9329,'Player ID'!B:B,0))</f>
        <v>678606</v>
      </c>
    </row>
    <row r="9330">
      <c r="A9330" s="76">
        <v>45826.0</v>
      </c>
      <c r="B9330" s="1" t="s">
        <v>330</v>
      </c>
      <c r="C9330" s="1" t="s">
        <v>80</v>
      </c>
      <c r="D9330" s="1">
        <v>6.0</v>
      </c>
      <c r="E9330" s="1">
        <v>27636.0</v>
      </c>
      <c r="F9330" s="10">
        <f t="shared" si="1"/>
        <v>6</v>
      </c>
      <c r="G9330" s="10">
        <f t="array" ref="G9330">index('Player ID'!C:C,match(E9330,'Player ID'!B:B,0))</f>
        <v>680730</v>
      </c>
    </row>
    <row r="9331">
      <c r="A9331" s="76">
        <v>45826.0</v>
      </c>
      <c r="B9331" s="1" t="s">
        <v>771</v>
      </c>
      <c r="C9331" s="1" t="s">
        <v>80</v>
      </c>
      <c r="D9331" s="1">
        <v>1.0</v>
      </c>
      <c r="E9331" s="1">
        <v>29521.0</v>
      </c>
      <c r="F9331" s="10">
        <f t="shared" si="1"/>
        <v>1</v>
      </c>
      <c r="G9331" s="10">
        <f t="array" ref="G9331">index('Player ID'!C:C,match(E9331,'Player ID'!B:B,0))</f>
        <v>702795</v>
      </c>
    </row>
    <row r="9332">
      <c r="A9332" s="76">
        <v>45826.0</v>
      </c>
      <c r="B9332" s="1" t="s">
        <v>437</v>
      </c>
      <c r="C9332" s="1" t="s">
        <v>80</v>
      </c>
      <c r="D9332" s="1">
        <v>1.0</v>
      </c>
      <c r="E9332" s="1">
        <v>31972.0</v>
      </c>
      <c r="F9332" s="10">
        <f t="shared" si="1"/>
        <v>1</v>
      </c>
      <c r="G9332" s="10">
        <f t="array" ref="G9332">index('Player ID'!C:C,match(E9332,'Player ID'!B:B,0))</f>
        <v>695418</v>
      </c>
    </row>
    <row r="9333">
      <c r="A9333" s="76">
        <v>45826.0</v>
      </c>
      <c r="B9333" s="1" t="s">
        <v>488</v>
      </c>
      <c r="C9333" s="1" t="s">
        <v>75</v>
      </c>
      <c r="D9333" s="1">
        <v>1.0</v>
      </c>
      <c r="E9333" s="1">
        <v>33294.0</v>
      </c>
      <c r="F9333" s="10">
        <f t="shared" si="1"/>
        <v>1</v>
      </c>
      <c r="G9333" s="10">
        <f t="array" ref="G9333">index('Player ID'!C:C,match(E9333,'Player ID'!B:B,0))</f>
        <v>678020</v>
      </c>
    </row>
    <row r="9334">
      <c r="A9334" s="76">
        <v>45826.0</v>
      </c>
      <c r="B9334" s="1" t="s">
        <v>154</v>
      </c>
      <c r="C9334" s="1" t="s">
        <v>25</v>
      </c>
      <c r="D9334" s="1">
        <v>1.0</v>
      </c>
      <c r="E9334" s="1">
        <v>3096.0</v>
      </c>
      <c r="F9334" s="10">
        <f t="shared" si="1"/>
        <v>1</v>
      </c>
      <c r="G9334" s="10">
        <f t="array" ref="G9334">index('Player ID'!C:C,match(E9334,'Player ID'!B:B,0))</f>
        <v>445276</v>
      </c>
    </row>
    <row r="9335">
      <c r="A9335" s="76">
        <v>45826.0</v>
      </c>
      <c r="B9335" s="1" t="s">
        <v>422</v>
      </c>
      <c r="C9335" s="1" t="s">
        <v>58</v>
      </c>
      <c r="D9335" s="1">
        <v>1.0</v>
      </c>
      <c r="E9335" s="1">
        <v>7048.0</v>
      </c>
      <c r="F9335" s="10">
        <f t="shared" si="1"/>
        <v>1</v>
      </c>
      <c r="G9335" s="10">
        <f t="array" ref="G9335">index('Player ID'!C:C,match(E9335,'Player ID'!B:B,0))</f>
        <v>518585</v>
      </c>
    </row>
    <row r="9336">
      <c r="A9336" s="76">
        <v>45826.0</v>
      </c>
      <c r="B9336" s="1" t="s">
        <v>660</v>
      </c>
      <c r="C9336" s="1" t="s">
        <v>25</v>
      </c>
      <c r="D9336" s="1">
        <v>0.2</v>
      </c>
      <c r="E9336" s="1">
        <v>11804.0</v>
      </c>
      <c r="F9336" s="10">
        <f t="shared" si="1"/>
        <v>0.6666666667</v>
      </c>
      <c r="G9336" s="10">
        <f t="array" ref="G9336">index('Player ID'!C:C,match(E9336,'Player ID'!B:B,0))</f>
        <v>593576</v>
      </c>
    </row>
    <row r="9337">
      <c r="A9337" s="76">
        <v>45826.0</v>
      </c>
      <c r="B9337" s="1" t="s">
        <v>467</v>
      </c>
      <c r="C9337" s="1" t="s">
        <v>58</v>
      </c>
      <c r="D9337" s="1">
        <v>0.2</v>
      </c>
      <c r="E9337" s="1">
        <v>15551.0</v>
      </c>
      <c r="F9337" s="10">
        <f t="shared" si="1"/>
        <v>0.6666666667</v>
      </c>
      <c r="G9337" s="10">
        <f t="array" ref="G9337">index('Player ID'!C:C,match(E9337,'Player ID'!B:B,0))</f>
        <v>643410</v>
      </c>
    </row>
    <row r="9338">
      <c r="A9338" s="76">
        <v>45826.0</v>
      </c>
      <c r="B9338" s="1" t="s">
        <v>192</v>
      </c>
      <c r="C9338" s="1" t="s">
        <v>58</v>
      </c>
      <c r="D9338" s="1">
        <v>5.1</v>
      </c>
      <c r="E9338" s="1">
        <v>16502.0</v>
      </c>
      <c r="F9338" s="10">
        <f t="shared" si="1"/>
        <v>5.333333333</v>
      </c>
      <c r="G9338" s="10">
        <f t="array" ref="G9338">index('Player ID'!C:C,match(E9338,'Player ID'!B:B,0))</f>
        <v>642232</v>
      </c>
    </row>
    <row r="9339">
      <c r="A9339" s="76">
        <v>45826.0</v>
      </c>
      <c r="B9339" s="1" t="s">
        <v>69</v>
      </c>
      <c r="C9339" s="1" t="s">
        <v>58</v>
      </c>
      <c r="D9339" s="1">
        <v>1.2</v>
      </c>
      <c r="E9339" s="1">
        <v>16814.0</v>
      </c>
      <c r="F9339" s="10">
        <f t="shared" si="1"/>
        <v>1.666666667</v>
      </c>
      <c r="G9339" s="10">
        <f t="array" ref="G9339">index('Player ID'!C:C,match(E9339,'Player ID'!B:B,0))</f>
        <v>657612</v>
      </c>
    </row>
    <row r="9340">
      <c r="A9340" s="76">
        <v>45826.0</v>
      </c>
      <c r="B9340" s="1" t="s">
        <v>291</v>
      </c>
      <c r="C9340" s="1" t="s">
        <v>25</v>
      </c>
      <c r="D9340" s="1">
        <v>1.0</v>
      </c>
      <c r="E9340" s="1">
        <v>17968.0</v>
      </c>
      <c r="F9340" s="10">
        <f t="shared" si="1"/>
        <v>1</v>
      </c>
      <c r="G9340" s="10">
        <f t="array" ref="G9340">index('Player ID'!C:C,match(E9340,'Player ID'!B:B,0))</f>
        <v>656271</v>
      </c>
    </row>
    <row r="9341">
      <c r="A9341" s="76">
        <v>45826.0</v>
      </c>
      <c r="B9341" s="1" t="s">
        <v>283</v>
      </c>
      <c r="C9341" s="1" t="s">
        <v>25</v>
      </c>
      <c r="D9341" s="1">
        <v>0.2</v>
      </c>
      <c r="E9341" s="1">
        <v>21205.0</v>
      </c>
      <c r="F9341" s="10">
        <f t="shared" si="1"/>
        <v>0.6666666667</v>
      </c>
      <c r="G9341" s="10">
        <f t="array" ref="G9341">index('Player ID'!C:C,match(E9341,'Player ID'!B:B,0))</f>
        <v>641401</v>
      </c>
    </row>
    <row r="9342">
      <c r="A9342" s="76">
        <v>45826.0</v>
      </c>
      <c r="B9342" s="1" t="s">
        <v>309</v>
      </c>
      <c r="C9342" s="1" t="s">
        <v>58</v>
      </c>
      <c r="D9342" s="1">
        <v>0.1</v>
      </c>
      <c r="E9342" s="1">
        <v>21420.0</v>
      </c>
      <c r="F9342" s="10">
        <f t="shared" si="1"/>
        <v>0.3333333333</v>
      </c>
      <c r="G9342" s="10">
        <f t="array" ref="G9342">index('Player ID'!C:C,match(E9342,'Player ID'!B:B,0))</f>
        <v>660787</v>
      </c>
    </row>
    <row r="9343">
      <c r="A9343" s="76">
        <v>45826.0</v>
      </c>
      <c r="B9343" s="1" t="s">
        <v>385</v>
      </c>
      <c r="C9343" s="1" t="s">
        <v>25</v>
      </c>
      <c r="D9343" s="1">
        <v>0.1</v>
      </c>
      <c r="E9343" s="1">
        <v>25420.0</v>
      </c>
      <c r="F9343" s="10">
        <f t="shared" si="1"/>
        <v>0.3333333333</v>
      </c>
      <c r="G9343" s="10">
        <f t="array" ref="G9343">index('Player ID'!C:C,match(E9343,'Player ID'!B:B,0))</f>
        <v>666171</v>
      </c>
    </row>
    <row r="9344">
      <c r="A9344" s="76">
        <v>45826.0</v>
      </c>
      <c r="B9344" s="1" t="s">
        <v>521</v>
      </c>
      <c r="C9344" s="1" t="s">
        <v>25</v>
      </c>
      <c r="D9344" s="1">
        <v>5.1</v>
      </c>
      <c r="E9344" s="1">
        <v>27688.0</v>
      </c>
      <c r="F9344" s="10">
        <f t="shared" si="1"/>
        <v>5.333333333</v>
      </c>
      <c r="G9344" s="10">
        <f t="array" ref="G9344">index('Player ID'!C:C,match(E9344,'Player ID'!B:B,0))</f>
        <v>686799</v>
      </c>
    </row>
    <row r="9345">
      <c r="A9345" s="76">
        <v>45826.0</v>
      </c>
      <c r="B9345" s="1" t="s">
        <v>368</v>
      </c>
      <c r="C9345" s="1" t="s">
        <v>64</v>
      </c>
      <c r="D9345" s="1">
        <v>4.2</v>
      </c>
      <c r="E9345" s="1">
        <v>13164.0</v>
      </c>
      <c r="F9345" s="10">
        <f t="shared" si="1"/>
        <v>4.666666667</v>
      </c>
      <c r="G9345" s="10">
        <f t="array" ref="G9345">index('Player ID'!C:C,match(E9345,'Player ID'!B:B,0))</f>
        <v>593958</v>
      </c>
    </row>
    <row r="9346">
      <c r="A9346" s="76">
        <v>45826.0</v>
      </c>
      <c r="B9346" s="1" t="s">
        <v>447</v>
      </c>
      <c r="C9346" s="1" t="s">
        <v>64</v>
      </c>
      <c r="D9346" s="1">
        <v>1.1</v>
      </c>
      <c r="E9346" s="1">
        <v>13652.0</v>
      </c>
      <c r="F9346" s="10">
        <f t="shared" si="1"/>
        <v>1.333333333</v>
      </c>
      <c r="G9346" s="10">
        <f t="array" ref="G9346">index('Player ID'!C:C,match(E9346,'Player ID'!B:B,0))</f>
        <v>605463</v>
      </c>
    </row>
    <row r="9347">
      <c r="A9347" s="76">
        <v>45826.0</v>
      </c>
      <c r="B9347" s="1" t="s">
        <v>174</v>
      </c>
      <c r="C9347" s="1" t="s">
        <v>40</v>
      </c>
      <c r="D9347" s="1">
        <v>1.0</v>
      </c>
      <c r="E9347" s="1">
        <v>15552.0</v>
      </c>
      <c r="F9347" s="10">
        <f t="shared" si="1"/>
        <v>1</v>
      </c>
      <c r="G9347" s="10">
        <f t="array" ref="G9347">index('Player ID'!C:C,match(E9347,'Player ID'!B:B,0))</f>
        <v>643338</v>
      </c>
    </row>
    <row r="9348">
      <c r="A9348" s="76">
        <v>45826.0</v>
      </c>
      <c r="B9348" s="1" t="s">
        <v>219</v>
      </c>
      <c r="C9348" s="1" t="s">
        <v>64</v>
      </c>
      <c r="D9348" s="1">
        <v>1.0</v>
      </c>
      <c r="E9348" s="1">
        <v>16647.0</v>
      </c>
      <c r="F9348" s="10">
        <f t="shared" si="1"/>
        <v>1</v>
      </c>
      <c r="G9348" s="10">
        <f t="array" ref="G9348">index('Player ID'!C:C,match(E9348,'Player ID'!B:B,0))</f>
        <v>657044</v>
      </c>
    </row>
    <row r="9349">
      <c r="A9349" s="76">
        <v>45826.0</v>
      </c>
      <c r="B9349" s="1" t="s">
        <v>332</v>
      </c>
      <c r="C9349" s="1" t="s">
        <v>40</v>
      </c>
      <c r="D9349" s="1">
        <v>5.0</v>
      </c>
      <c r="E9349" s="1">
        <v>19316.0</v>
      </c>
      <c r="F9349" s="10">
        <f t="shared" si="1"/>
        <v>5</v>
      </c>
      <c r="G9349" s="10">
        <f t="array" ref="G9349">index('Player ID'!C:C,match(E9349,'Player ID'!B:B,0))</f>
        <v>641778</v>
      </c>
    </row>
    <row r="9350">
      <c r="A9350" s="76">
        <v>45826.0</v>
      </c>
      <c r="B9350" s="1" t="s">
        <v>823</v>
      </c>
      <c r="C9350" s="1" t="s">
        <v>64</v>
      </c>
      <c r="D9350" s="1">
        <v>1.0</v>
      </c>
      <c r="E9350" s="1">
        <v>19876.0</v>
      </c>
      <c r="F9350" s="10">
        <f t="shared" si="1"/>
        <v>1</v>
      </c>
      <c r="G9350" s="10">
        <f t="array" ref="G9350">index('Player ID'!C:C,match(E9350,'Player ID'!B:B,0))</f>
        <v>656464</v>
      </c>
    </row>
    <row r="9351">
      <c r="A9351" s="76">
        <v>45826.0</v>
      </c>
      <c r="B9351" s="1" t="s">
        <v>884</v>
      </c>
      <c r="C9351" s="1" t="s">
        <v>40</v>
      </c>
      <c r="D9351" s="1">
        <v>1.0</v>
      </c>
      <c r="E9351" s="1">
        <v>23779.0</v>
      </c>
      <c r="F9351" s="10">
        <f t="shared" si="1"/>
        <v>1</v>
      </c>
      <c r="G9351" s="10" t="str">
        <f t="array" ref="G9351">index('Player ID'!C:C,match(E9351,'Player ID'!B:B,0))</f>
        <v>#N/A</v>
      </c>
    </row>
    <row r="9352">
      <c r="A9352" s="76">
        <v>45826.0</v>
      </c>
      <c r="B9352" s="1" t="s">
        <v>427</v>
      </c>
      <c r="C9352" s="1" t="s">
        <v>40</v>
      </c>
      <c r="D9352" s="1">
        <v>2.0</v>
      </c>
      <c r="E9352" s="1">
        <v>33838.0</v>
      </c>
      <c r="F9352" s="10">
        <f t="shared" si="1"/>
        <v>2</v>
      </c>
      <c r="G9352" s="10">
        <f t="array" ref="G9352">index('Player ID'!C:C,match(E9352,'Player ID'!B:B,0))</f>
        <v>684320</v>
      </c>
    </row>
    <row r="9353">
      <c r="A9353" s="76">
        <v>45826.0</v>
      </c>
      <c r="B9353" s="1" t="s">
        <v>173</v>
      </c>
      <c r="C9353" s="1" t="s">
        <v>16</v>
      </c>
      <c r="D9353" s="1">
        <v>5.2</v>
      </c>
      <c r="E9353" s="1">
        <v>21224.0</v>
      </c>
      <c r="F9353" s="10">
        <f t="shared" si="1"/>
        <v>5.666666667</v>
      </c>
      <c r="G9353" s="10">
        <f t="array" ref="G9353">index('Player ID'!C:C,match(E9353,'Player ID'!B:B,0))</f>
        <v>641927</v>
      </c>
    </row>
    <row r="9354">
      <c r="A9354" s="76">
        <v>45826.0</v>
      </c>
      <c r="B9354" s="1" t="s">
        <v>194</v>
      </c>
      <c r="C9354" s="1" t="s">
        <v>66</v>
      </c>
      <c r="D9354" s="1">
        <v>6.0</v>
      </c>
      <c r="E9354" s="1">
        <v>26378.0</v>
      </c>
      <c r="F9354" s="10">
        <f t="shared" si="1"/>
        <v>6</v>
      </c>
      <c r="G9354" s="10">
        <f t="array" ref="G9354">index('Player ID'!C:C,match(E9354,'Player ID'!B:B,0))</f>
        <v>666157</v>
      </c>
    </row>
    <row r="9355">
      <c r="A9355" s="76">
        <v>45826.0</v>
      </c>
      <c r="B9355" s="1" t="s">
        <v>156</v>
      </c>
      <c r="C9355" s="1" t="s">
        <v>46</v>
      </c>
      <c r="D9355" s="1">
        <v>8.2</v>
      </c>
      <c r="E9355" s="1">
        <v>10603.0</v>
      </c>
      <c r="F9355" s="10">
        <f t="shared" si="1"/>
        <v>8.666666667</v>
      </c>
      <c r="G9355" s="10">
        <f t="array" ref="G9355">index('Player ID'!C:C,match(E9355,'Player ID'!B:B,0))</f>
        <v>519242</v>
      </c>
    </row>
    <row r="9356">
      <c r="A9356" s="76">
        <v>45826.0</v>
      </c>
      <c r="B9356" s="1" t="s">
        <v>299</v>
      </c>
      <c r="C9356" s="1" t="s">
        <v>51</v>
      </c>
      <c r="D9356" s="1">
        <v>3.2</v>
      </c>
      <c r="E9356" s="1">
        <v>14739.0</v>
      </c>
      <c r="F9356" s="10">
        <f t="shared" si="1"/>
        <v>3.666666667</v>
      </c>
      <c r="G9356" s="10">
        <f t="array" ref="G9356">index('Player ID'!C:C,match(E9356,'Player ID'!B:B,0))</f>
        <v>621112</v>
      </c>
    </row>
    <row r="9357">
      <c r="A9357" s="76">
        <v>45826.0</v>
      </c>
      <c r="B9357" s="1" t="s">
        <v>184</v>
      </c>
      <c r="C9357" s="1" t="s">
        <v>46</v>
      </c>
      <c r="D9357" s="1">
        <v>0.1</v>
      </c>
      <c r="E9357" s="1">
        <v>17130.0</v>
      </c>
      <c r="F9357" s="10">
        <f t="shared" si="1"/>
        <v>0.3333333333</v>
      </c>
      <c r="G9357" s="10">
        <f t="array" ref="G9357">index('Player ID'!C:C,match(E9357,'Player ID'!B:B,0))</f>
        <v>628452</v>
      </c>
    </row>
    <row r="9358">
      <c r="A9358" s="76">
        <v>45826.0</v>
      </c>
      <c r="B9358" s="1" t="s">
        <v>826</v>
      </c>
      <c r="C9358" s="1" t="s">
        <v>51</v>
      </c>
      <c r="D9358" s="1">
        <v>1.0</v>
      </c>
      <c r="E9358" s="1">
        <v>17169.0</v>
      </c>
      <c r="F9358" s="10">
        <f t="shared" si="1"/>
        <v>1</v>
      </c>
      <c r="G9358" s="10">
        <f t="array" ref="G9358">index('Player ID'!C:C,match(E9358,'Player ID'!B:B,0))</f>
        <v>620454</v>
      </c>
    </row>
    <row r="9359">
      <c r="A9359" s="76">
        <v>45826.0</v>
      </c>
      <c r="B9359" s="1" t="s">
        <v>872</v>
      </c>
      <c r="C9359" s="1" t="s">
        <v>51</v>
      </c>
      <c r="D9359" s="1">
        <v>1.0</v>
      </c>
      <c r="E9359" s="1">
        <v>19784.0</v>
      </c>
      <c r="F9359" s="10">
        <f t="shared" si="1"/>
        <v>1</v>
      </c>
      <c r="G9359" s="10" t="str">
        <f t="array" ref="G9359">index('Player ID'!C:C,match(E9359,'Player ID'!B:B,0))</f>
        <v>#N/A</v>
      </c>
    </row>
    <row r="9360">
      <c r="A9360" s="76">
        <v>45826.0</v>
      </c>
      <c r="B9360" s="1" t="s">
        <v>712</v>
      </c>
      <c r="C9360" s="1" t="s">
        <v>51</v>
      </c>
      <c r="D9360" s="1">
        <v>1.1</v>
      </c>
      <c r="E9360" s="1">
        <v>23313.0</v>
      </c>
      <c r="F9360" s="10">
        <f t="shared" si="1"/>
        <v>1.333333333</v>
      </c>
      <c r="G9360" s="10">
        <f t="array" ref="G9360">index('Player ID'!C:C,match(E9360,'Player ID'!B:B,0))</f>
        <v>676130</v>
      </c>
    </row>
    <row r="9361">
      <c r="A9361" s="76">
        <v>45826.0</v>
      </c>
      <c r="B9361" s="1" t="s">
        <v>780</v>
      </c>
      <c r="C9361" s="1" t="s">
        <v>51</v>
      </c>
      <c r="D9361" s="1">
        <v>1.0</v>
      </c>
      <c r="E9361" s="1">
        <v>25651.0</v>
      </c>
      <c r="F9361" s="10">
        <f t="shared" si="1"/>
        <v>1</v>
      </c>
      <c r="G9361" s="10">
        <f t="array" ref="G9361">index('Player ID'!C:C,match(E9361,'Player ID'!B:B,0))</f>
        <v>686654</v>
      </c>
    </row>
    <row r="9362">
      <c r="A9362" s="76">
        <v>45826.0</v>
      </c>
      <c r="B9362" s="1" t="s">
        <v>48</v>
      </c>
      <c r="C9362" s="1" t="s">
        <v>68</v>
      </c>
      <c r="D9362" s="1">
        <v>1.0</v>
      </c>
      <c r="E9362" s="1">
        <v>12828.0</v>
      </c>
      <c r="F9362" s="10">
        <f t="shared" si="1"/>
        <v>1</v>
      </c>
      <c r="G9362" s="10" t="str">
        <f t="array" ref="G9362">index('Player ID'!C:C,match(E9362,'Player ID'!B:B,0))</f>
        <v>#N/A</v>
      </c>
    </row>
    <row r="9363">
      <c r="A9363" s="76">
        <v>45826.0</v>
      </c>
      <c r="B9363" s="1" t="s">
        <v>233</v>
      </c>
      <c r="C9363" s="1" t="s">
        <v>68</v>
      </c>
      <c r="D9363" s="1">
        <v>1.2</v>
      </c>
      <c r="E9363" s="1">
        <v>16427.0</v>
      </c>
      <c r="F9363" s="10">
        <f t="shared" si="1"/>
        <v>1.666666667</v>
      </c>
      <c r="G9363" s="10">
        <f t="array" ref="G9363">index('Player ID'!C:C,match(E9363,'Player ID'!B:B,0))</f>
        <v>656240</v>
      </c>
    </row>
    <row r="9364">
      <c r="A9364" s="76">
        <v>45826.0</v>
      </c>
      <c r="B9364" s="1" t="s">
        <v>185</v>
      </c>
      <c r="C9364" s="1" t="s">
        <v>54</v>
      </c>
      <c r="D9364" s="1">
        <v>2.0</v>
      </c>
      <c r="E9364" s="1">
        <v>17897.0</v>
      </c>
      <c r="F9364" s="10">
        <f t="shared" si="1"/>
        <v>2</v>
      </c>
      <c r="G9364" s="10">
        <f t="array" ref="G9364">index('Player ID'!C:C,match(E9364,'Player ID'!B:B,0))</f>
        <v>664076</v>
      </c>
    </row>
    <row r="9365">
      <c r="A9365" s="76">
        <v>45826.0</v>
      </c>
      <c r="B9365" s="1" t="s">
        <v>261</v>
      </c>
      <c r="C9365" s="1" t="s">
        <v>54</v>
      </c>
      <c r="D9365" s="1">
        <v>1.0</v>
      </c>
      <c r="E9365" s="1">
        <v>17998.0</v>
      </c>
      <c r="F9365" s="10">
        <f t="shared" si="1"/>
        <v>1</v>
      </c>
      <c r="G9365" s="10">
        <f t="array" ref="G9365">index('Player ID'!C:C,match(E9365,'Player ID'!B:B,0))</f>
        <v>664126</v>
      </c>
    </row>
    <row r="9366">
      <c r="A9366" s="76">
        <v>45826.0</v>
      </c>
      <c r="B9366" s="1" t="s">
        <v>639</v>
      </c>
      <c r="C9366" s="1" t="s">
        <v>68</v>
      </c>
      <c r="D9366" s="1">
        <v>1.1</v>
      </c>
      <c r="E9366" s="1">
        <v>19249.0</v>
      </c>
      <c r="F9366" s="10">
        <f t="shared" si="1"/>
        <v>1.333333333</v>
      </c>
      <c r="G9366" s="10">
        <f t="array" ref="G9366">index('Player ID'!C:C,match(E9366,'Player ID'!B:B,0))</f>
        <v>622554</v>
      </c>
    </row>
    <row r="9367">
      <c r="A9367" s="76">
        <v>45826.0</v>
      </c>
      <c r="B9367" s="1" t="s">
        <v>736</v>
      </c>
      <c r="C9367" s="1" t="s">
        <v>54</v>
      </c>
      <c r="D9367" s="1">
        <v>1.0</v>
      </c>
      <c r="E9367" s="1">
        <v>19586.0</v>
      </c>
      <c r="F9367" s="10">
        <f t="shared" si="1"/>
        <v>1</v>
      </c>
      <c r="G9367" s="10">
        <f t="array" ref="G9367">index('Player ID'!C:C,match(E9367,'Player ID'!B:B,0))</f>
        <v>666215</v>
      </c>
    </row>
    <row r="9368">
      <c r="A9368" s="76">
        <v>45826.0</v>
      </c>
      <c r="B9368" s="1" t="s">
        <v>240</v>
      </c>
      <c r="C9368" s="1" t="s">
        <v>68</v>
      </c>
      <c r="D9368" s="1">
        <v>1.0</v>
      </c>
      <c r="E9368" s="1">
        <v>19804.0</v>
      </c>
      <c r="F9368" s="10">
        <f t="shared" si="1"/>
        <v>1</v>
      </c>
      <c r="G9368" s="10">
        <f t="array" ref="G9368">index('Player ID'!C:C,match(E9368,'Player ID'!B:B,0))</f>
        <v>641329</v>
      </c>
    </row>
    <row r="9369">
      <c r="A9369" s="76">
        <v>45826.0</v>
      </c>
      <c r="B9369" s="1" t="s">
        <v>400</v>
      </c>
      <c r="C9369" s="1" t="s">
        <v>54</v>
      </c>
      <c r="D9369" s="1">
        <v>1.0</v>
      </c>
      <c r="E9369" s="1">
        <v>20539.0</v>
      </c>
      <c r="F9369" s="10">
        <f t="shared" si="1"/>
        <v>1</v>
      </c>
      <c r="G9369" s="10">
        <f t="array" ref="G9369">index('Player ID'!C:C,match(E9369,'Player ID'!B:B,0))</f>
        <v>670955</v>
      </c>
    </row>
    <row r="9370">
      <c r="A9370" s="76">
        <v>45826.0</v>
      </c>
      <c r="B9370" s="1" t="s">
        <v>218</v>
      </c>
      <c r="C9370" s="1" t="s">
        <v>68</v>
      </c>
      <c r="D9370" s="1">
        <v>2.1</v>
      </c>
      <c r="E9370" s="1">
        <v>22286.0</v>
      </c>
      <c r="F9370" s="10">
        <f t="shared" si="1"/>
        <v>2.333333333</v>
      </c>
      <c r="G9370" s="10">
        <f t="array" ref="G9370">index('Player ID'!C:C,match(E9370,'Player ID'!B:B,0))</f>
        <v>669432</v>
      </c>
    </row>
    <row r="9371">
      <c r="A9371" s="76">
        <v>45826.0</v>
      </c>
      <c r="B9371" s="1" t="s">
        <v>413</v>
      </c>
      <c r="C9371" s="1" t="s">
        <v>54</v>
      </c>
      <c r="D9371" s="1">
        <v>1.1</v>
      </c>
      <c r="E9371" s="1">
        <v>22543.0</v>
      </c>
      <c r="F9371" s="10">
        <f t="shared" si="1"/>
        <v>1.333333333</v>
      </c>
      <c r="G9371" s="10">
        <f t="array" ref="G9371">index('Player ID'!C:C,match(E9371,'Player ID'!B:B,0))</f>
        <v>671737</v>
      </c>
    </row>
    <row r="9372">
      <c r="A9372" s="76">
        <v>45826.0</v>
      </c>
      <c r="B9372" s="1" t="s">
        <v>110</v>
      </c>
      <c r="C9372" s="1" t="s">
        <v>54</v>
      </c>
      <c r="D9372" s="1">
        <v>1.2</v>
      </c>
      <c r="E9372" s="1">
        <v>25679.0</v>
      </c>
      <c r="F9372" s="10">
        <f t="shared" si="1"/>
        <v>1.666666667</v>
      </c>
      <c r="G9372" s="10">
        <f t="array" ref="G9372">index('Player ID'!C:C,match(E9372,'Player ID'!B:B,0))</f>
        <v>687330</v>
      </c>
    </row>
    <row r="9373">
      <c r="A9373" s="76">
        <v>45826.0</v>
      </c>
      <c r="B9373" s="1" t="s">
        <v>235</v>
      </c>
      <c r="C9373" s="1" t="s">
        <v>68</v>
      </c>
      <c r="D9373" s="1">
        <v>0.2</v>
      </c>
      <c r="E9373" s="1">
        <v>25911.0</v>
      </c>
      <c r="F9373" s="10">
        <f t="shared" si="1"/>
        <v>0.6666666667</v>
      </c>
      <c r="G9373" s="10">
        <f t="array" ref="G9373">index('Player ID'!C:C,match(E9373,'Player ID'!B:B,0))</f>
        <v>666974</v>
      </c>
    </row>
    <row r="9374">
      <c r="A9374" s="76">
        <v>45826.0</v>
      </c>
      <c r="B9374" s="1" t="s">
        <v>334</v>
      </c>
      <c r="C9374" s="1" t="s">
        <v>54</v>
      </c>
      <c r="D9374" s="1">
        <v>1.0</v>
      </c>
      <c r="E9374" s="1">
        <v>29770.0</v>
      </c>
      <c r="F9374" s="10">
        <f t="shared" si="1"/>
        <v>1</v>
      </c>
      <c r="G9374" s="10">
        <f t="array" ref="G9374">index('Player ID'!C:C,match(E9374,'Player ID'!B:B,0))</f>
        <v>682254</v>
      </c>
    </row>
    <row r="9375">
      <c r="A9375" s="76">
        <v>45826.0</v>
      </c>
      <c r="B9375" s="1" t="s">
        <v>245</v>
      </c>
      <c r="C9375" s="1" t="s">
        <v>56</v>
      </c>
      <c r="D9375" s="1">
        <v>5.0</v>
      </c>
      <c r="E9375" s="1">
        <v>9323.0</v>
      </c>
      <c r="F9375" s="10">
        <f t="shared" si="1"/>
        <v>5</v>
      </c>
      <c r="G9375" s="10">
        <f t="array" ref="G9375">index('Player ID'!C:C,match(E9375,'Player ID'!B:B,0))</f>
        <v>571578</v>
      </c>
    </row>
    <row r="9376">
      <c r="A9376" s="76">
        <v>45826.0</v>
      </c>
      <c r="B9376" s="1" t="s">
        <v>162</v>
      </c>
      <c r="C9376" s="1" t="s">
        <v>56</v>
      </c>
      <c r="D9376" s="1">
        <v>1.0</v>
      </c>
      <c r="E9376" s="1">
        <v>11752.0</v>
      </c>
      <c r="F9376" s="10">
        <f t="shared" si="1"/>
        <v>1</v>
      </c>
      <c r="G9376" s="10">
        <f t="array" ref="G9376">index('Player ID'!C:C,match(E9376,'Player ID'!B:B,0))</f>
        <v>592426</v>
      </c>
    </row>
    <row r="9377">
      <c r="A9377" s="76">
        <v>45826.0</v>
      </c>
      <c r="B9377" s="1" t="s">
        <v>440</v>
      </c>
      <c r="C9377" s="1" t="s">
        <v>56</v>
      </c>
      <c r="D9377" s="1">
        <v>1.0</v>
      </c>
      <c r="E9377" s="1">
        <v>12857.0</v>
      </c>
      <c r="F9377" s="10">
        <f t="shared" si="1"/>
        <v>1</v>
      </c>
      <c r="G9377" s="10">
        <f t="array" ref="G9377">index('Player ID'!C:C,match(E9377,'Player ID'!B:B,0))</f>
        <v>542888</v>
      </c>
    </row>
    <row r="9378">
      <c r="A9378" s="76">
        <v>45826.0</v>
      </c>
      <c r="B9378" s="1" t="s">
        <v>151</v>
      </c>
      <c r="C9378" s="1" t="s">
        <v>56</v>
      </c>
      <c r="D9378" s="1">
        <v>1.0</v>
      </c>
      <c r="E9378" s="1">
        <v>13346.0</v>
      </c>
      <c r="F9378" s="10">
        <f t="shared" si="1"/>
        <v>1</v>
      </c>
      <c r="G9378" s="10">
        <f t="array" ref="G9378">index('Player ID'!C:C,match(E9378,'Player ID'!B:B,0))</f>
        <v>571948</v>
      </c>
    </row>
    <row r="9379">
      <c r="A9379" s="76">
        <v>45826.0</v>
      </c>
      <c r="B9379" s="1" t="s">
        <v>649</v>
      </c>
      <c r="C9379" s="1" t="s">
        <v>29</v>
      </c>
      <c r="D9379" s="1">
        <v>1.0</v>
      </c>
      <c r="E9379" s="1">
        <v>14542.0</v>
      </c>
      <c r="F9379" s="10">
        <f t="shared" si="1"/>
        <v>1</v>
      </c>
      <c r="G9379" s="10">
        <f t="array" ref="G9379">index('Player ID'!C:C,match(E9379,'Player ID'!B:B,0))</f>
        <v>608032</v>
      </c>
    </row>
    <row r="9380">
      <c r="A9380" s="76">
        <v>45826.0</v>
      </c>
      <c r="B9380" s="1" t="s">
        <v>87</v>
      </c>
      <c r="C9380" s="1" t="s">
        <v>56</v>
      </c>
      <c r="D9380" s="1">
        <v>1.0</v>
      </c>
      <c r="E9380" s="1">
        <v>19274.0</v>
      </c>
      <c r="F9380" s="10">
        <f t="shared" si="1"/>
        <v>1</v>
      </c>
      <c r="G9380" s="10">
        <f t="array" ref="G9380">index('Player ID'!C:C,match(E9380,'Player ID'!B:B,0))</f>
        <v>657097</v>
      </c>
    </row>
    <row r="9381">
      <c r="A9381" s="76">
        <v>45826.0</v>
      </c>
      <c r="B9381" s="1" t="s">
        <v>407</v>
      </c>
      <c r="C9381" s="1" t="s">
        <v>29</v>
      </c>
      <c r="D9381" s="1">
        <v>1.0</v>
      </c>
      <c r="E9381" s="1">
        <v>19360.0</v>
      </c>
      <c r="F9381" s="10">
        <f t="shared" si="1"/>
        <v>1</v>
      </c>
      <c r="G9381" s="10">
        <f t="array" ref="G9381">index('Player ID'!C:C,match(E9381,'Player ID'!B:B,0))</f>
        <v>668674</v>
      </c>
    </row>
    <row r="9382">
      <c r="A9382" s="76">
        <v>45826.0</v>
      </c>
      <c r="B9382" s="1" t="s">
        <v>144</v>
      </c>
      <c r="C9382" s="1" t="s">
        <v>29</v>
      </c>
      <c r="D9382" s="1">
        <v>0.2</v>
      </c>
      <c r="E9382" s="1">
        <v>20020.0</v>
      </c>
      <c r="F9382" s="10">
        <f t="shared" si="1"/>
        <v>0.6666666667</v>
      </c>
      <c r="G9382" s="10">
        <f t="array" ref="G9382">index('Player ID'!C:C,match(E9382,'Player ID'!B:B,0))</f>
        <v>670167</v>
      </c>
    </row>
    <row r="9383">
      <c r="A9383" s="76">
        <v>45826.0</v>
      </c>
      <c r="B9383" s="1" t="s">
        <v>163</v>
      </c>
      <c r="C9383" s="1" t="s">
        <v>29</v>
      </c>
      <c r="D9383" s="1">
        <v>5.1</v>
      </c>
      <c r="E9383" s="1">
        <v>21455.0</v>
      </c>
      <c r="F9383" s="10">
        <f t="shared" si="1"/>
        <v>5.333333333</v>
      </c>
      <c r="G9383" s="10">
        <f t="array" ref="G9383">index('Player ID'!C:C,match(E9383,'Player ID'!B:B,0))</f>
        <v>663460</v>
      </c>
    </row>
    <row r="9384">
      <c r="A9384" s="76">
        <v>45826.0</v>
      </c>
      <c r="B9384" s="1" t="s">
        <v>214</v>
      </c>
      <c r="C9384" s="1" t="s">
        <v>29</v>
      </c>
      <c r="D9384" s="1">
        <v>1.0</v>
      </c>
      <c r="E9384" s="1">
        <v>23165.0</v>
      </c>
      <c r="F9384" s="10">
        <f t="shared" si="1"/>
        <v>1</v>
      </c>
      <c r="G9384" s="10">
        <f t="array" ref="G9384">index('Player ID'!C:C,match(E9384,'Player ID'!B:B,0))</f>
        <v>674444</v>
      </c>
    </row>
    <row r="9385">
      <c r="A9385" s="76">
        <v>45826.0</v>
      </c>
      <c r="B9385" s="1" t="s">
        <v>358</v>
      </c>
      <c r="C9385" s="1" t="s">
        <v>31</v>
      </c>
      <c r="D9385" s="1">
        <v>4.2</v>
      </c>
      <c r="E9385" s="1">
        <v>8700.0</v>
      </c>
      <c r="F9385" s="10">
        <f t="shared" si="1"/>
        <v>4.666666667</v>
      </c>
      <c r="G9385" s="10">
        <f t="array" ref="G9385">index('Player ID'!C:C,match(E9385,'Player ID'!B:B,0))</f>
        <v>434378</v>
      </c>
    </row>
    <row r="9386">
      <c r="A9386" s="76">
        <v>45826.0</v>
      </c>
      <c r="B9386" s="1" t="s">
        <v>483</v>
      </c>
      <c r="C9386" s="1" t="s">
        <v>31</v>
      </c>
      <c r="D9386" s="1">
        <v>1.0</v>
      </c>
      <c r="E9386" s="1">
        <v>19320.0</v>
      </c>
      <c r="F9386" s="10">
        <f t="shared" si="1"/>
        <v>1</v>
      </c>
      <c r="G9386" s="10" t="str">
        <f t="array" ref="G9386">index('Player ID'!C:C,match(E9386,'Player ID'!B:B,0))</f>
        <v>#N/A</v>
      </c>
    </row>
    <row r="9387">
      <c r="A9387" s="76">
        <v>45826.0</v>
      </c>
      <c r="B9387" s="1" t="s">
        <v>141</v>
      </c>
      <c r="C9387" s="1" t="s">
        <v>70</v>
      </c>
      <c r="D9387" s="1">
        <v>1.0</v>
      </c>
      <c r="E9387" s="1">
        <v>19330.0</v>
      </c>
      <c r="F9387" s="10">
        <f t="shared" si="1"/>
        <v>1</v>
      </c>
      <c r="G9387" s="10">
        <f t="array" ref="G9387">index('Player ID'!C:C,match(E9387,'Player ID'!B:B,0))</f>
        <v>670036</v>
      </c>
    </row>
    <row r="9388">
      <c r="A9388" s="76">
        <v>45826.0</v>
      </c>
      <c r="B9388" s="1" t="s">
        <v>132</v>
      </c>
      <c r="C9388" s="1" t="s">
        <v>70</v>
      </c>
      <c r="D9388" s="1">
        <v>1.0</v>
      </c>
      <c r="E9388" s="1">
        <v>21032.0</v>
      </c>
      <c r="F9388" s="10">
        <f t="shared" si="1"/>
        <v>1</v>
      </c>
      <c r="G9388" s="10">
        <f t="array" ref="G9388">index('Player ID'!C:C,match(E9388,'Player ID'!B:B,0))</f>
        <v>661403</v>
      </c>
    </row>
    <row r="9389">
      <c r="A9389" s="76">
        <v>45826.0</v>
      </c>
      <c r="B9389" s="1" t="s">
        <v>862</v>
      </c>
      <c r="C9389" s="1" t="s">
        <v>31</v>
      </c>
      <c r="D9389" s="1">
        <v>1.0</v>
      </c>
      <c r="E9389" s="1">
        <v>21481.0</v>
      </c>
      <c r="F9389" s="10">
        <f t="shared" si="1"/>
        <v>1</v>
      </c>
      <c r="G9389" s="10" t="str">
        <f t="array" ref="G9389">index('Player ID'!C:C,match(E9389,'Player ID'!B:B,0))</f>
        <v>#N/A</v>
      </c>
    </row>
    <row r="9390">
      <c r="A9390" s="76">
        <v>45826.0</v>
      </c>
      <c r="B9390" s="1" t="s">
        <v>304</v>
      </c>
      <c r="C9390" s="1" t="s">
        <v>31</v>
      </c>
      <c r="D9390" s="1">
        <v>1.0</v>
      </c>
      <c r="E9390" s="1">
        <v>21992.0</v>
      </c>
      <c r="F9390" s="10">
        <f t="shared" si="1"/>
        <v>1</v>
      </c>
      <c r="G9390" s="10">
        <f t="array" ref="G9390">index('Player ID'!C:C,match(E9390,'Player ID'!B:B,0))</f>
        <v>666808</v>
      </c>
    </row>
    <row r="9391">
      <c r="A9391" s="76">
        <v>45826.0</v>
      </c>
      <c r="B9391" s="1" t="s">
        <v>519</v>
      </c>
      <c r="C9391" s="1" t="s">
        <v>70</v>
      </c>
      <c r="D9391" s="1">
        <v>1.0</v>
      </c>
      <c r="E9391" s="1">
        <v>25139.0</v>
      </c>
      <c r="F9391" s="10">
        <f t="shared" si="1"/>
        <v>1</v>
      </c>
      <c r="G9391" s="10">
        <f t="array" ref="G9391">index('Player ID'!C:C,match(E9391,'Player ID'!B:B,0))</f>
        <v>682120</v>
      </c>
    </row>
    <row r="9392">
      <c r="A9392" s="76">
        <v>45826.0</v>
      </c>
      <c r="B9392" s="1" t="s">
        <v>372</v>
      </c>
      <c r="C9392" s="1" t="s">
        <v>70</v>
      </c>
      <c r="D9392" s="1">
        <v>5.1</v>
      </c>
      <c r="E9392" s="1">
        <v>27589.0</v>
      </c>
      <c r="F9392" s="10">
        <f t="shared" si="1"/>
        <v>5.333333333</v>
      </c>
      <c r="G9392" s="10">
        <f t="array" ref="G9392">index('Player ID'!C:C,match(E9392,'Player ID'!B:B,0))</f>
        <v>671106</v>
      </c>
    </row>
    <row r="9393">
      <c r="A9393" s="76">
        <v>45826.0</v>
      </c>
      <c r="B9393" s="1" t="s">
        <v>135</v>
      </c>
      <c r="C9393" s="1" t="s">
        <v>70</v>
      </c>
      <c r="D9393" s="1">
        <v>0.2</v>
      </c>
      <c r="E9393" s="1">
        <v>27867.0</v>
      </c>
      <c r="F9393" s="10">
        <f t="shared" si="1"/>
        <v>0.6666666667</v>
      </c>
      <c r="G9393" s="10">
        <f t="array" ref="G9393">index('Player ID'!C:C,match(E9393,'Player ID'!B:B,0))</f>
        <v>671922</v>
      </c>
    </row>
    <row r="9394">
      <c r="A9394" s="76">
        <v>45826.0</v>
      </c>
      <c r="B9394" s="1" t="s">
        <v>276</v>
      </c>
      <c r="C9394" s="1" t="s">
        <v>31</v>
      </c>
      <c r="D9394" s="1">
        <v>1.1</v>
      </c>
      <c r="E9394" s="1">
        <v>30226.0</v>
      </c>
      <c r="F9394" s="10">
        <f t="shared" si="1"/>
        <v>1.333333333</v>
      </c>
      <c r="G9394" s="10">
        <f t="array" ref="G9394">index('Player ID'!C:C,match(E9394,'Player ID'!B:B,0))</f>
        <v>702352</v>
      </c>
    </row>
    <row r="9395">
      <c r="A9395" s="76">
        <v>45826.0</v>
      </c>
      <c r="B9395" s="1" t="s">
        <v>281</v>
      </c>
      <c r="C9395" s="1" t="s">
        <v>52</v>
      </c>
      <c r="D9395" s="1">
        <v>5.0</v>
      </c>
      <c r="E9395" s="1">
        <v>15890.0</v>
      </c>
      <c r="F9395" s="10">
        <f t="shared" si="1"/>
        <v>5</v>
      </c>
      <c r="G9395" s="10">
        <f t="array" ref="G9395">index('Player ID'!C:C,match(E9395,'Player ID'!B:B,0))</f>
        <v>622663</v>
      </c>
    </row>
    <row r="9396">
      <c r="A9396" s="76">
        <v>45826.0</v>
      </c>
      <c r="B9396" s="1" t="s">
        <v>415</v>
      </c>
      <c r="C9396" s="1" t="s">
        <v>52</v>
      </c>
      <c r="D9396" s="1">
        <v>2.1</v>
      </c>
      <c r="E9396" s="1">
        <v>16943.0</v>
      </c>
      <c r="F9396" s="10">
        <f t="shared" si="1"/>
        <v>2.333333333</v>
      </c>
      <c r="G9396" s="10">
        <f t="array" ref="G9396">index('Player ID'!C:C,match(E9396,'Player ID'!B:B,0))</f>
        <v>656794</v>
      </c>
    </row>
    <row r="9397">
      <c r="A9397" s="76">
        <v>45826.0</v>
      </c>
      <c r="B9397" s="1" t="s">
        <v>113</v>
      </c>
      <c r="C9397" s="1" t="s">
        <v>39</v>
      </c>
      <c r="D9397" s="1">
        <v>6.0</v>
      </c>
      <c r="E9397" s="1">
        <v>17295.0</v>
      </c>
      <c r="F9397" s="10">
        <f t="shared" si="1"/>
        <v>6</v>
      </c>
      <c r="G9397" s="10">
        <f t="array" ref="G9397">index('Player ID'!C:C,match(E9397,'Player ID'!B:B,0))</f>
        <v>664285</v>
      </c>
    </row>
    <row r="9398">
      <c r="A9398" s="76">
        <v>45826.0</v>
      </c>
      <c r="B9398" s="1" t="s">
        <v>885</v>
      </c>
      <c r="C9398" s="1" t="s">
        <v>39</v>
      </c>
      <c r="D9398" s="1">
        <v>1.0</v>
      </c>
      <c r="E9398" s="1">
        <v>19281.0</v>
      </c>
      <c r="F9398" s="10">
        <f t="shared" si="1"/>
        <v>1</v>
      </c>
      <c r="G9398" s="10" t="str">
        <f t="array" ref="G9398">index('Player ID'!C:C,match(E9398,'Player ID'!B:B,0))</f>
        <v>#N/A</v>
      </c>
    </row>
    <row r="9399">
      <c r="A9399" s="76">
        <v>45826.0</v>
      </c>
      <c r="B9399" s="1" t="s">
        <v>505</v>
      </c>
      <c r="C9399" s="1" t="s">
        <v>52</v>
      </c>
      <c r="D9399" s="1">
        <v>0.2</v>
      </c>
      <c r="E9399" s="1">
        <v>19481.0</v>
      </c>
      <c r="F9399" s="10">
        <f t="shared" si="1"/>
        <v>0.6666666667</v>
      </c>
      <c r="G9399" s="10">
        <f t="array" ref="G9399">index('Player ID'!C:C,match(E9399,'Player ID'!B:B,0))</f>
        <v>621053</v>
      </c>
    </row>
    <row r="9400">
      <c r="A9400" s="76">
        <v>45826.0</v>
      </c>
      <c r="B9400" s="1" t="s">
        <v>227</v>
      </c>
      <c r="C9400" s="1" t="s">
        <v>52</v>
      </c>
      <c r="D9400" s="1">
        <v>1.0</v>
      </c>
      <c r="E9400" s="1">
        <v>21520.0</v>
      </c>
      <c r="F9400" s="10">
        <f t="shared" si="1"/>
        <v>1</v>
      </c>
      <c r="G9400" s="10">
        <f t="array" ref="G9400">index('Player ID'!C:C,match(E9400,'Player ID'!B:B,0))</f>
        <v>663687</v>
      </c>
    </row>
    <row r="9401">
      <c r="A9401" s="76">
        <v>45826.0</v>
      </c>
      <c r="B9401" s="1" t="s">
        <v>444</v>
      </c>
      <c r="C9401" s="1" t="s">
        <v>39</v>
      </c>
      <c r="D9401" s="1">
        <v>2.0</v>
      </c>
      <c r="E9401" s="1">
        <v>24977.0</v>
      </c>
      <c r="F9401" s="10">
        <f t="shared" si="1"/>
        <v>2</v>
      </c>
      <c r="G9401" s="10">
        <f t="array" ref="G9401">index('Player ID'!C:C,match(E9401,'Player ID'!B:B,0))</f>
        <v>681869</v>
      </c>
    </row>
    <row r="9402">
      <c r="A9402" s="76">
        <v>45826.0</v>
      </c>
      <c r="B9402" s="1" t="s">
        <v>404</v>
      </c>
      <c r="C9402" s="1" t="s">
        <v>26</v>
      </c>
      <c r="D9402" s="1">
        <v>0.2</v>
      </c>
      <c r="E9402" s="1">
        <v>14295.0</v>
      </c>
      <c r="F9402" s="10">
        <f t="shared" si="1"/>
        <v>0.6666666667</v>
      </c>
      <c r="G9402" s="10">
        <f t="array" ref="G9402">index('Player ID'!C:C,match(E9402,'Player ID'!B:B,0))</f>
        <v>593974</v>
      </c>
    </row>
    <row r="9403">
      <c r="A9403" s="76">
        <v>45826.0</v>
      </c>
      <c r="B9403" s="1" t="s">
        <v>179</v>
      </c>
      <c r="C9403" s="1" t="s">
        <v>26</v>
      </c>
      <c r="D9403" s="1">
        <v>6.1</v>
      </c>
      <c r="E9403" s="1">
        <v>21487.0</v>
      </c>
      <c r="F9403" s="10">
        <f t="shared" si="1"/>
        <v>6.333333333</v>
      </c>
      <c r="G9403" s="10">
        <f t="array" ref="G9403">index('Player ID'!C:C,match(E9403,'Player ID'!B:B,0))</f>
        <v>663568</v>
      </c>
    </row>
    <row r="9404">
      <c r="A9404" s="76">
        <v>45826.0</v>
      </c>
      <c r="B9404" s="1" t="s">
        <v>176</v>
      </c>
      <c r="C9404" s="1" t="s">
        <v>33</v>
      </c>
      <c r="D9404" s="1">
        <v>4.0</v>
      </c>
      <c r="E9404" s="1">
        <v>29839.0</v>
      </c>
      <c r="F9404" s="10">
        <f t="shared" si="1"/>
        <v>4</v>
      </c>
      <c r="G9404" s="10">
        <f t="array" ref="G9404">index('Player ID'!C:C,match(E9404,'Player ID'!B:B,0))</f>
        <v>686218</v>
      </c>
    </row>
    <row r="9405">
      <c r="A9405" s="76">
        <v>45826.0</v>
      </c>
      <c r="B9405" s="1" t="s">
        <v>81</v>
      </c>
      <c r="C9405" s="1" t="s">
        <v>26</v>
      </c>
      <c r="D9405" s="1">
        <v>0.1</v>
      </c>
      <c r="E9405" s="1">
        <v>30115.0</v>
      </c>
      <c r="F9405" s="10">
        <f t="shared" si="1"/>
        <v>0.3333333333</v>
      </c>
      <c r="G9405" s="10">
        <f t="array" ref="G9405">index('Player ID'!C:C,match(E9405,'Player ID'!B:B,0))</f>
        <v>663158</v>
      </c>
    </row>
    <row r="9406">
      <c r="A9406" s="76">
        <v>45826.0</v>
      </c>
      <c r="B9406" s="1" t="s">
        <v>198</v>
      </c>
      <c r="C9406" s="1" t="s">
        <v>33</v>
      </c>
      <c r="D9406" s="1">
        <v>5.0</v>
      </c>
      <c r="E9406" s="1">
        <v>31204.0</v>
      </c>
      <c r="F9406" s="10">
        <f t="shared" si="1"/>
        <v>5</v>
      </c>
      <c r="G9406" s="10">
        <f t="array" ref="G9406">index('Player ID'!C:C,match(E9406,'Player ID'!B:B,0))</f>
        <v>680736</v>
      </c>
    </row>
    <row r="9407">
      <c r="A9407" s="76">
        <v>45826.0</v>
      </c>
      <c r="B9407" s="1" t="s">
        <v>498</v>
      </c>
      <c r="C9407" s="1" t="s">
        <v>26</v>
      </c>
      <c r="D9407" s="1">
        <v>1.0</v>
      </c>
      <c r="E9407" s="1">
        <v>31616.0</v>
      </c>
      <c r="F9407" s="10">
        <f t="shared" si="1"/>
        <v>1</v>
      </c>
      <c r="G9407" s="10" t="str">
        <f t="array" ref="G9407">index('Player ID'!C:C,match(E9407,'Player ID'!B:B,0))</f>
        <v>#N/A</v>
      </c>
    </row>
    <row r="9408">
      <c r="A9408" s="76">
        <v>45827.0</v>
      </c>
      <c r="B9408" s="1" t="s">
        <v>439</v>
      </c>
      <c r="C9408" s="1" t="s">
        <v>62</v>
      </c>
      <c r="D9408" s="1">
        <v>1.0</v>
      </c>
      <c r="E9408" s="1">
        <v>11384.0</v>
      </c>
      <c r="F9408" s="10">
        <f t="shared" si="1"/>
        <v>1</v>
      </c>
      <c r="G9408" s="10">
        <f t="array" ref="G9408">index('Player ID'!C:C,match(E9408,'Player ID'!B:B,0))</f>
        <v>592454</v>
      </c>
    </row>
    <row r="9409">
      <c r="A9409" s="76">
        <v>45827.0</v>
      </c>
      <c r="B9409" s="1" t="s">
        <v>448</v>
      </c>
      <c r="C9409" s="1" t="s">
        <v>62</v>
      </c>
      <c r="D9409" s="1">
        <v>0.2</v>
      </c>
      <c r="E9409" s="1">
        <v>17381.0</v>
      </c>
      <c r="F9409" s="10">
        <f t="shared" si="1"/>
        <v>0.6666666667</v>
      </c>
      <c r="G9409" s="10" t="str">
        <f t="array" ref="G9409">index('Player ID'!C:C,match(E9409,'Player ID'!B:B,0))</f>
        <v>#N/A</v>
      </c>
    </row>
    <row r="9410">
      <c r="A9410" s="76">
        <v>45827.0</v>
      </c>
      <c r="B9410" s="1" t="s">
        <v>217</v>
      </c>
      <c r="C9410" s="1" t="s">
        <v>60</v>
      </c>
      <c r="D9410" s="1">
        <v>0.1</v>
      </c>
      <c r="E9410" s="1">
        <v>17878.0</v>
      </c>
      <c r="F9410" s="10">
        <f t="shared" si="1"/>
        <v>0.3333333333</v>
      </c>
      <c r="G9410" s="10">
        <f t="array" ref="G9410">index('Player ID'!C:C,match(E9410,'Player ID'!B:B,0))</f>
        <v>642701</v>
      </c>
    </row>
    <row r="9411">
      <c r="A9411" s="76">
        <v>45827.0</v>
      </c>
      <c r="B9411" s="1" t="s">
        <v>107</v>
      </c>
      <c r="C9411" s="1" t="s">
        <v>60</v>
      </c>
      <c r="D9411" s="1">
        <v>1.1</v>
      </c>
      <c r="E9411" s="1">
        <v>19349.0</v>
      </c>
      <c r="F9411" s="10">
        <f t="shared" si="1"/>
        <v>1.333333333</v>
      </c>
      <c r="G9411" s="10">
        <f t="array" ref="G9411">index('Player ID'!C:C,match(E9411,'Player ID'!B:B,0))</f>
        <v>657571</v>
      </c>
    </row>
    <row r="9412">
      <c r="A9412" s="76">
        <v>45827.0</v>
      </c>
      <c r="B9412" s="1" t="s">
        <v>183</v>
      </c>
      <c r="C9412" s="1" t="s">
        <v>60</v>
      </c>
      <c r="D9412" s="1">
        <v>1.2</v>
      </c>
      <c r="E9412" s="1">
        <v>19569.0</v>
      </c>
      <c r="F9412" s="10">
        <f t="shared" si="1"/>
        <v>1.666666667</v>
      </c>
      <c r="G9412" s="10">
        <f t="array" ref="G9412">index('Player ID'!C:C,match(E9412,'Player ID'!B:B,0))</f>
        <v>670280</v>
      </c>
    </row>
    <row r="9413">
      <c r="A9413" s="76">
        <v>45827.0</v>
      </c>
      <c r="B9413" s="1" t="s">
        <v>131</v>
      </c>
      <c r="C9413" s="1" t="s">
        <v>62</v>
      </c>
      <c r="D9413" s="1">
        <v>1.0</v>
      </c>
      <c r="E9413" s="1">
        <v>19769.0</v>
      </c>
      <c r="F9413" s="10">
        <f t="shared" si="1"/>
        <v>1</v>
      </c>
      <c r="G9413" s="10">
        <f t="array" ref="G9413">index('Player ID'!C:C,match(E9413,'Player ID'!B:B,0))</f>
        <v>676684</v>
      </c>
    </row>
    <row r="9414">
      <c r="A9414" s="76">
        <v>45827.0</v>
      </c>
      <c r="B9414" s="1" t="s">
        <v>338</v>
      </c>
      <c r="C9414" s="1" t="s">
        <v>60</v>
      </c>
      <c r="D9414" s="1">
        <v>0.2</v>
      </c>
      <c r="E9414" s="1">
        <v>20385.0</v>
      </c>
      <c r="F9414" s="10">
        <f t="shared" si="1"/>
        <v>0.6666666667</v>
      </c>
      <c r="G9414" s="10" t="str">
        <f t="array" ref="G9414">index('Player ID'!C:C,match(E9414,'Player ID'!B:B,0))</f>
        <v>#N/A</v>
      </c>
    </row>
    <row r="9415">
      <c r="A9415" s="76">
        <v>45827.0</v>
      </c>
      <c r="B9415" s="1" t="s">
        <v>331</v>
      </c>
      <c r="C9415" s="1" t="s">
        <v>62</v>
      </c>
      <c r="D9415" s="1">
        <v>5.0</v>
      </c>
      <c r="E9415" s="1">
        <v>22630.0</v>
      </c>
      <c r="F9415" s="10">
        <f t="shared" si="1"/>
        <v>5</v>
      </c>
      <c r="G9415" s="10">
        <f t="array" ref="G9415">index('Player ID'!C:C,match(E9415,'Player ID'!B:B,0))</f>
        <v>672456</v>
      </c>
    </row>
    <row r="9416">
      <c r="A9416" s="76">
        <v>45827.0</v>
      </c>
      <c r="B9416" s="1" t="s">
        <v>82</v>
      </c>
      <c r="C9416" s="1" t="s">
        <v>62</v>
      </c>
      <c r="D9416" s="1">
        <v>1.1</v>
      </c>
      <c r="E9416" s="1">
        <v>26231.0</v>
      </c>
      <c r="F9416" s="10">
        <f t="shared" si="1"/>
        <v>1.333333333</v>
      </c>
      <c r="G9416" s="10">
        <f t="array" ref="G9416">index('Player ID'!C:C,match(E9416,'Player ID'!B:B,0))</f>
        <v>663947</v>
      </c>
    </row>
    <row r="9417">
      <c r="A9417" s="76">
        <v>45827.0</v>
      </c>
      <c r="B9417" s="1" t="s">
        <v>487</v>
      </c>
      <c r="C9417" s="1" t="s">
        <v>62</v>
      </c>
      <c r="D9417" s="1">
        <v>1.0</v>
      </c>
      <c r="E9417" s="1">
        <v>30133.0</v>
      </c>
      <c r="F9417" s="10">
        <f t="shared" si="1"/>
        <v>1</v>
      </c>
      <c r="G9417" s="10">
        <f t="array" ref="G9417">index('Player ID'!C:C,match(E9417,'Player ID'!B:B,0))</f>
        <v>676428</v>
      </c>
    </row>
    <row r="9418">
      <c r="A9418" s="76">
        <v>45827.0</v>
      </c>
      <c r="B9418" s="1" t="s">
        <v>88</v>
      </c>
      <c r="C9418" s="1" t="s">
        <v>60</v>
      </c>
      <c r="D9418" s="1">
        <v>6.0</v>
      </c>
      <c r="E9418" s="1">
        <v>33677.0</v>
      </c>
      <c r="F9418" s="10">
        <f t="shared" si="1"/>
        <v>6</v>
      </c>
      <c r="G9418" s="10">
        <f t="array" ref="G9418">index('Player ID'!C:C,match(E9418,'Player ID'!B:B,0))</f>
        <v>694973</v>
      </c>
    </row>
    <row r="9419">
      <c r="A9419" s="76">
        <v>45827.0</v>
      </c>
      <c r="B9419" s="1" t="s">
        <v>851</v>
      </c>
      <c r="C9419" s="1" t="s">
        <v>78</v>
      </c>
      <c r="D9419" s="1">
        <v>1.0</v>
      </c>
      <c r="E9419" s="1">
        <v>16507.0</v>
      </c>
      <c r="F9419" s="10">
        <f t="shared" si="1"/>
        <v>1</v>
      </c>
      <c r="G9419" s="10" t="str">
        <f t="array" ref="G9419">index('Player ID'!C:C,match(E9419,'Player ID'!B:B,0))</f>
        <v>#N/A</v>
      </c>
    </row>
    <row r="9420">
      <c r="A9420" s="76">
        <v>45827.0</v>
      </c>
      <c r="B9420" s="1" t="s">
        <v>478</v>
      </c>
      <c r="C9420" s="1" t="s">
        <v>78</v>
      </c>
      <c r="D9420" s="1">
        <v>1.1</v>
      </c>
      <c r="E9420" s="1">
        <v>17964.0</v>
      </c>
      <c r="F9420" s="10">
        <f t="shared" si="1"/>
        <v>1.333333333</v>
      </c>
      <c r="G9420" s="10">
        <f t="array" ref="G9420">index('Player ID'!C:C,match(E9420,'Player ID'!B:B,0))</f>
        <v>656457</v>
      </c>
    </row>
    <row r="9421">
      <c r="A9421" s="76">
        <v>45827.0</v>
      </c>
      <c r="B9421" s="1" t="s">
        <v>193</v>
      </c>
      <c r="C9421" s="1" t="s">
        <v>72</v>
      </c>
      <c r="D9421" s="1">
        <v>1.0</v>
      </c>
      <c r="E9421" s="1">
        <v>19574.0</v>
      </c>
      <c r="F9421" s="10">
        <f t="shared" si="1"/>
        <v>1</v>
      </c>
      <c r="G9421" s="10">
        <f t="array" ref="G9421">index('Player ID'!C:C,match(E9421,'Player ID'!B:B,0))</f>
        <v>668941</v>
      </c>
    </row>
    <row r="9422">
      <c r="A9422" s="76">
        <v>45827.0</v>
      </c>
      <c r="B9422" s="1" t="s">
        <v>409</v>
      </c>
      <c r="C9422" s="1" t="s">
        <v>72</v>
      </c>
      <c r="D9422" s="1">
        <v>1.0</v>
      </c>
      <c r="E9422" s="1">
        <v>20348.0</v>
      </c>
      <c r="F9422" s="10">
        <f t="shared" si="1"/>
        <v>1</v>
      </c>
      <c r="G9422" s="10">
        <f t="array" ref="G9422">index('Player ID'!C:C,match(E9422,'Player ID'!B:B,0))</f>
        <v>676617</v>
      </c>
    </row>
    <row r="9423">
      <c r="A9423" s="76">
        <v>45827.0</v>
      </c>
      <c r="B9423" s="1" t="s">
        <v>273</v>
      </c>
      <c r="C9423" s="1" t="s">
        <v>72</v>
      </c>
      <c r="D9423" s="1">
        <v>0.1</v>
      </c>
      <c r="E9423" s="1">
        <v>22051.0</v>
      </c>
      <c r="F9423" s="10">
        <f t="shared" si="1"/>
        <v>0.3333333333</v>
      </c>
      <c r="G9423" s="10">
        <f t="array" ref="G9423">index('Player ID'!C:C,match(E9423,'Player ID'!B:B,0))</f>
        <v>667463</v>
      </c>
    </row>
    <row r="9424">
      <c r="A9424" s="76">
        <v>45827.0</v>
      </c>
      <c r="B9424" s="1" t="s">
        <v>593</v>
      </c>
      <c r="C9424" s="1" t="s">
        <v>78</v>
      </c>
      <c r="D9424" s="1">
        <v>2.1</v>
      </c>
      <c r="E9424" s="1">
        <v>22273.0</v>
      </c>
      <c r="F9424" s="10">
        <f t="shared" si="1"/>
        <v>2.333333333</v>
      </c>
      <c r="G9424" s="10">
        <f t="array" ref="G9424">index('Player ID'!C:C,match(E9424,'Player ID'!B:B,0))</f>
        <v>669391</v>
      </c>
    </row>
    <row r="9425">
      <c r="A9425" s="76">
        <v>45827.0</v>
      </c>
      <c r="B9425" s="1" t="s">
        <v>170</v>
      </c>
      <c r="C9425" s="1" t="s">
        <v>72</v>
      </c>
      <c r="D9425" s="1">
        <v>1.2</v>
      </c>
      <c r="E9425" s="1">
        <v>24763.0</v>
      </c>
      <c r="F9425" s="10">
        <f t="shared" si="1"/>
        <v>1.666666667</v>
      </c>
      <c r="G9425" s="10">
        <f t="array" ref="G9425">index('Player ID'!C:C,match(E9425,'Player ID'!B:B,0))</f>
        <v>681517</v>
      </c>
    </row>
    <row r="9426">
      <c r="A9426" s="76">
        <v>45827.0</v>
      </c>
      <c r="B9426" s="1" t="s">
        <v>875</v>
      </c>
      <c r="C9426" s="1" t="s">
        <v>72</v>
      </c>
      <c r="D9426" s="1">
        <v>1.0</v>
      </c>
      <c r="E9426" s="1">
        <v>29542.0</v>
      </c>
      <c r="F9426" s="10">
        <f t="shared" si="1"/>
        <v>1</v>
      </c>
      <c r="G9426" s="10" t="str">
        <f t="array" ref="G9426">index('Player ID'!C:C,match(E9426,'Player ID'!B:B,0))</f>
        <v>#N/A</v>
      </c>
    </row>
    <row r="9427">
      <c r="A9427" s="76">
        <v>45827.0</v>
      </c>
      <c r="B9427" s="1" t="s">
        <v>145</v>
      </c>
      <c r="C9427" s="1" t="s">
        <v>72</v>
      </c>
      <c r="D9427" s="1">
        <v>5.0</v>
      </c>
      <c r="E9427" s="1">
        <v>29869.0</v>
      </c>
      <c r="F9427" s="10">
        <f t="shared" si="1"/>
        <v>5</v>
      </c>
      <c r="G9427" s="10">
        <f t="array" ref="G9427">index('Player ID'!C:C,match(E9427,'Player ID'!B:B,0))</f>
        <v>700241</v>
      </c>
    </row>
    <row r="9428">
      <c r="A9428" s="76">
        <v>45827.0</v>
      </c>
      <c r="B9428" s="1" t="s">
        <v>317</v>
      </c>
      <c r="C9428" s="1" t="s">
        <v>78</v>
      </c>
      <c r="D9428" s="1">
        <v>1.2</v>
      </c>
      <c r="E9428" s="1">
        <v>29950.0</v>
      </c>
      <c r="F9428" s="10">
        <f t="shared" si="1"/>
        <v>1.666666667</v>
      </c>
      <c r="G9428" s="10">
        <f t="array" ref="G9428">index('Player ID'!C:C,match(E9428,'Player ID'!B:B,0))</f>
        <v>673929</v>
      </c>
    </row>
    <row r="9429">
      <c r="A9429" s="76">
        <v>45827.0</v>
      </c>
      <c r="B9429" s="1" t="s">
        <v>497</v>
      </c>
      <c r="C9429" s="1" t="s">
        <v>78</v>
      </c>
      <c r="D9429" s="1">
        <v>3.2</v>
      </c>
      <c r="E9429" s="1">
        <v>30105.0</v>
      </c>
      <c r="F9429" s="10">
        <f t="shared" si="1"/>
        <v>3.666666667</v>
      </c>
      <c r="G9429" s="10">
        <f t="array" ref="G9429">index('Player ID'!C:C,match(E9429,'Player ID'!B:B,0))</f>
        <v>678024</v>
      </c>
    </row>
    <row r="9430">
      <c r="A9430" s="76">
        <v>45827.0</v>
      </c>
      <c r="B9430" s="1" t="s">
        <v>226</v>
      </c>
      <c r="C9430" s="1" t="s">
        <v>66</v>
      </c>
      <c r="D9430" s="1">
        <v>2.2</v>
      </c>
      <c r="E9430" s="1">
        <v>12730.0</v>
      </c>
      <c r="F9430" s="10">
        <f t="shared" si="1"/>
        <v>2.666666667</v>
      </c>
      <c r="G9430" s="10">
        <f t="array" ref="G9430">index('Player ID'!C:C,match(E9430,'Player ID'!B:B,0))</f>
        <v>607259</v>
      </c>
    </row>
    <row r="9431">
      <c r="A9431" s="76">
        <v>45827.0</v>
      </c>
      <c r="B9431" s="1" t="s">
        <v>435</v>
      </c>
      <c r="C9431" s="1" t="s">
        <v>16</v>
      </c>
      <c r="D9431" s="1">
        <v>0.1</v>
      </c>
      <c r="E9431" s="1">
        <v>13293.0</v>
      </c>
      <c r="F9431" s="10">
        <f t="shared" si="1"/>
        <v>0.3333333333</v>
      </c>
      <c r="G9431" s="10">
        <f t="array" ref="G9431">index('Player ID'!C:C,match(E9431,'Player ID'!B:B,0))</f>
        <v>543056</v>
      </c>
    </row>
    <row r="9432">
      <c r="A9432" s="76">
        <v>45827.0</v>
      </c>
      <c r="B9432" s="1" t="s">
        <v>362</v>
      </c>
      <c r="C9432" s="1" t="s">
        <v>66</v>
      </c>
      <c r="D9432" s="1">
        <v>1.0</v>
      </c>
      <c r="E9432" s="1">
        <v>13449.0</v>
      </c>
      <c r="F9432" s="10">
        <f t="shared" si="1"/>
        <v>1</v>
      </c>
      <c r="G9432" s="10">
        <f t="array" ref="G9432">index('Player ID'!C:C,match(E9432,'Player ID'!B:B,0))</f>
        <v>573124</v>
      </c>
    </row>
    <row r="9433">
      <c r="A9433" s="76">
        <v>45827.0</v>
      </c>
      <c r="B9433" s="1" t="s">
        <v>417</v>
      </c>
      <c r="C9433" s="1" t="s">
        <v>66</v>
      </c>
      <c r="D9433" s="1">
        <v>1.1</v>
      </c>
      <c r="E9433" s="1">
        <v>13942.0</v>
      </c>
      <c r="F9433" s="10">
        <f t="shared" si="1"/>
        <v>1.333333333</v>
      </c>
      <c r="G9433" s="10">
        <f t="array" ref="G9433">index('Player ID'!C:C,match(E9433,'Player ID'!B:B,0))</f>
        <v>608718</v>
      </c>
    </row>
    <row r="9434">
      <c r="A9434" s="76">
        <v>45827.0</v>
      </c>
      <c r="B9434" s="1" t="s">
        <v>146</v>
      </c>
      <c r="C9434" s="1" t="s">
        <v>16</v>
      </c>
      <c r="D9434" s="1">
        <v>1.0</v>
      </c>
      <c r="E9434" s="1">
        <v>15145.0</v>
      </c>
      <c r="F9434" s="10">
        <f t="shared" si="1"/>
        <v>1</v>
      </c>
      <c r="G9434" s="10">
        <f t="array" ref="G9434">index('Player ID'!C:C,match(E9434,'Player ID'!B:B,0))</f>
        <v>623437</v>
      </c>
    </row>
    <row r="9435">
      <c r="A9435" s="76">
        <v>45827.0</v>
      </c>
      <c r="B9435" s="1" t="s">
        <v>653</v>
      </c>
      <c r="C9435" s="1" t="s">
        <v>66</v>
      </c>
      <c r="D9435" s="1">
        <v>1.2</v>
      </c>
      <c r="E9435" s="1">
        <v>17871.0</v>
      </c>
      <c r="F9435" s="10">
        <f t="shared" si="1"/>
        <v>1.666666667</v>
      </c>
      <c r="G9435" s="10">
        <f t="array" ref="G9435">index('Player ID'!C:C,match(E9435,'Player ID'!B:B,0))</f>
        <v>664139</v>
      </c>
    </row>
    <row r="9436">
      <c r="A9436" s="76">
        <v>45827.0</v>
      </c>
      <c r="B9436" s="1" t="s">
        <v>133</v>
      </c>
      <c r="C9436" s="1" t="s">
        <v>16</v>
      </c>
      <c r="D9436" s="1">
        <v>5.0</v>
      </c>
      <c r="E9436" s="1">
        <v>20099.0</v>
      </c>
      <c r="F9436" s="10">
        <f t="shared" si="1"/>
        <v>5</v>
      </c>
      <c r="G9436" s="10">
        <f t="array" ref="G9436">index('Player ID'!C:C,match(E9436,'Player ID'!B:B,0))</f>
        <v>663978</v>
      </c>
    </row>
    <row r="9437">
      <c r="A9437" s="76">
        <v>45827.0</v>
      </c>
      <c r="B9437" s="1" t="s">
        <v>28</v>
      </c>
      <c r="C9437" s="1" t="s">
        <v>16</v>
      </c>
      <c r="D9437" s="1">
        <v>1.0</v>
      </c>
      <c r="E9437" s="1">
        <v>20253.0</v>
      </c>
      <c r="F9437" s="10">
        <f t="shared" si="1"/>
        <v>1</v>
      </c>
      <c r="G9437" s="10">
        <f t="array" ref="G9437">index('Player ID'!C:C,match(E9437,'Player ID'!B:B,0))</f>
        <v>643377</v>
      </c>
    </row>
    <row r="9438">
      <c r="A9438" s="76">
        <v>45827.0</v>
      </c>
      <c r="B9438" s="1" t="s">
        <v>237</v>
      </c>
      <c r="C9438" s="1" t="s">
        <v>16</v>
      </c>
      <c r="D9438" s="1">
        <v>0.2</v>
      </c>
      <c r="E9438" s="1">
        <v>21461.0</v>
      </c>
      <c r="F9438" s="10">
        <f t="shared" si="1"/>
        <v>0.6666666667</v>
      </c>
      <c r="G9438" s="10">
        <f t="array" ref="G9438">index('Player ID'!C:C,match(E9438,'Player ID'!B:B,0))</f>
        <v>663485</v>
      </c>
    </row>
    <row r="9439">
      <c r="A9439" s="76">
        <v>45827.0</v>
      </c>
      <c r="B9439" s="1" t="s">
        <v>518</v>
      </c>
      <c r="C9439" s="1" t="s">
        <v>66</v>
      </c>
      <c r="D9439" s="1">
        <v>1.0</v>
      </c>
      <c r="E9439" s="1">
        <v>24581.0</v>
      </c>
      <c r="F9439" s="10">
        <f t="shared" si="1"/>
        <v>1</v>
      </c>
      <c r="G9439" s="10">
        <f t="array" ref="G9439">index('Player ID'!C:C,match(E9439,'Player ID'!B:B,0))</f>
        <v>680689</v>
      </c>
    </row>
    <row r="9440">
      <c r="A9440" s="76">
        <v>45827.0</v>
      </c>
      <c r="B9440" s="1" t="s">
        <v>550</v>
      </c>
      <c r="C9440" s="1" t="s">
        <v>66</v>
      </c>
      <c r="D9440" s="1">
        <v>1.1</v>
      </c>
      <c r="E9440" s="1">
        <v>25620.0</v>
      </c>
      <c r="F9440" s="10">
        <f t="shared" si="1"/>
        <v>1.333333333</v>
      </c>
      <c r="G9440" s="10">
        <f t="array" ref="G9440">index('Player ID'!C:C,match(E9440,'Player ID'!B:B,0))</f>
        <v>682825</v>
      </c>
    </row>
    <row r="9441">
      <c r="A9441" s="76">
        <v>45827.0</v>
      </c>
      <c r="B9441" s="1" t="s">
        <v>47</v>
      </c>
      <c r="C9441" s="1" t="s">
        <v>16</v>
      </c>
      <c r="D9441" s="1">
        <v>1.0</v>
      </c>
      <c r="E9441" s="1">
        <v>27691.0</v>
      </c>
      <c r="F9441" s="10">
        <f t="shared" si="1"/>
        <v>1</v>
      </c>
      <c r="G9441" s="10">
        <f t="array" ref="G9441">index('Player ID'!C:C,match(E9441,'Player ID'!B:B,0))</f>
        <v>686973</v>
      </c>
    </row>
    <row r="9442">
      <c r="A9442" s="76">
        <v>45827.0</v>
      </c>
      <c r="B9442" s="1" t="s">
        <v>660</v>
      </c>
      <c r="C9442" s="1" t="s">
        <v>25</v>
      </c>
      <c r="D9442" s="1">
        <v>0.0</v>
      </c>
      <c r="E9442" s="1">
        <v>11804.0</v>
      </c>
      <c r="F9442" s="10">
        <f t="shared" si="1"/>
        <v>0</v>
      </c>
      <c r="G9442" s="10">
        <f t="array" ref="G9442">index('Player ID'!C:C,match(E9442,'Player ID'!B:B,0))</f>
        <v>593576</v>
      </c>
    </row>
    <row r="9443">
      <c r="A9443" s="76">
        <v>45827.0</v>
      </c>
      <c r="B9443" s="1" t="s">
        <v>278</v>
      </c>
      <c r="C9443" s="1" t="s">
        <v>25</v>
      </c>
      <c r="D9443" s="1">
        <v>6.0</v>
      </c>
      <c r="E9443" s="1">
        <v>12880.0</v>
      </c>
      <c r="F9443" s="10">
        <f t="shared" si="1"/>
        <v>6</v>
      </c>
      <c r="G9443" s="10">
        <f t="array" ref="G9443">index('Player ID'!C:C,match(E9443,'Player ID'!B:B,0))</f>
        <v>542881</v>
      </c>
    </row>
    <row r="9444">
      <c r="A9444" s="76">
        <v>45827.0</v>
      </c>
      <c r="B9444" s="1" t="s">
        <v>467</v>
      </c>
      <c r="C9444" s="1" t="s">
        <v>58</v>
      </c>
      <c r="D9444" s="1">
        <v>1.0</v>
      </c>
      <c r="E9444" s="1">
        <v>15551.0</v>
      </c>
      <c r="F9444" s="10">
        <f t="shared" si="1"/>
        <v>1</v>
      </c>
      <c r="G9444" s="10">
        <f t="array" ref="G9444">index('Player ID'!C:C,match(E9444,'Player ID'!B:B,0))</f>
        <v>643410</v>
      </c>
    </row>
    <row r="9445">
      <c r="A9445" s="76">
        <v>45827.0</v>
      </c>
      <c r="B9445" s="1" t="s">
        <v>114</v>
      </c>
      <c r="C9445" s="1" t="s">
        <v>58</v>
      </c>
      <c r="D9445" s="1">
        <v>1.0</v>
      </c>
      <c r="E9445" s="1">
        <v>15816.0</v>
      </c>
      <c r="F9445" s="10">
        <f t="shared" si="1"/>
        <v>1</v>
      </c>
      <c r="G9445" s="10">
        <f t="array" ref="G9445">index('Player ID'!C:C,match(E9445,'Player ID'!B:B,0))</f>
        <v>642207</v>
      </c>
    </row>
    <row r="9446">
      <c r="A9446" s="76">
        <v>45827.0</v>
      </c>
      <c r="B9446" s="1" t="s">
        <v>635</v>
      </c>
      <c r="C9446" s="1" t="s">
        <v>58</v>
      </c>
      <c r="D9446" s="1">
        <v>6.0</v>
      </c>
      <c r="E9446" s="1">
        <v>16137.0</v>
      </c>
      <c r="F9446" s="10">
        <f t="shared" si="1"/>
        <v>6</v>
      </c>
      <c r="G9446" s="10">
        <f t="array" ref="G9446">index('Player ID'!C:C,match(E9446,'Player ID'!B:B,0))</f>
        <v>607074</v>
      </c>
    </row>
    <row r="9447">
      <c r="A9447" s="76">
        <v>45827.0</v>
      </c>
      <c r="B9447" s="1" t="s">
        <v>291</v>
      </c>
      <c r="C9447" s="1" t="s">
        <v>25</v>
      </c>
      <c r="D9447" s="1">
        <v>1.0</v>
      </c>
      <c r="E9447" s="1">
        <v>17968.0</v>
      </c>
      <c r="F9447" s="10">
        <f t="shared" si="1"/>
        <v>1</v>
      </c>
      <c r="G9447" s="10">
        <f t="array" ref="G9447">index('Player ID'!C:C,match(E9447,'Player ID'!B:B,0))</f>
        <v>656271</v>
      </c>
    </row>
    <row r="9448">
      <c r="A9448" s="76">
        <v>45827.0</v>
      </c>
      <c r="B9448" s="1" t="s">
        <v>831</v>
      </c>
      <c r="C9448" s="1" t="s">
        <v>58</v>
      </c>
      <c r="D9448" s="1">
        <v>1.0</v>
      </c>
      <c r="E9448" s="1">
        <v>19753.0</v>
      </c>
      <c r="F9448" s="10">
        <f t="shared" si="1"/>
        <v>1</v>
      </c>
      <c r="G9448" s="10">
        <f t="array" ref="G9448">index('Player ID'!C:C,match(E9448,'Player ID'!B:B,0))</f>
        <v>642528</v>
      </c>
    </row>
    <row r="9449">
      <c r="A9449" s="76">
        <v>45827.0</v>
      </c>
      <c r="B9449" s="1" t="s">
        <v>877</v>
      </c>
      <c r="C9449" s="1" t="s">
        <v>25</v>
      </c>
      <c r="D9449" s="1">
        <v>1.0</v>
      </c>
      <c r="E9449" s="1">
        <v>29754.0</v>
      </c>
      <c r="F9449" s="10">
        <f t="shared" si="1"/>
        <v>1</v>
      </c>
      <c r="G9449" s="10" t="str">
        <f t="array" ref="G9449">index('Player ID'!C:C,match(E9449,'Player ID'!B:B,0))</f>
        <v>#N/A</v>
      </c>
    </row>
    <row r="9450">
      <c r="A9450" s="76">
        <v>45827.0</v>
      </c>
      <c r="B9450" s="1" t="s">
        <v>139</v>
      </c>
      <c r="C9450" s="1" t="s">
        <v>80</v>
      </c>
      <c r="D9450" s="1">
        <v>1.1</v>
      </c>
      <c r="E9450" s="1">
        <v>15009.0</v>
      </c>
      <c r="F9450" s="10">
        <f t="shared" si="1"/>
        <v>1.333333333</v>
      </c>
      <c r="G9450" s="10">
        <f t="array" ref="G9450">index('Player ID'!C:C,match(E9450,'Player ID'!B:B,0))</f>
        <v>640448</v>
      </c>
    </row>
    <row r="9451">
      <c r="A9451" s="76">
        <v>45827.0</v>
      </c>
      <c r="B9451" s="1" t="s">
        <v>148</v>
      </c>
      <c r="C9451" s="1" t="s">
        <v>80</v>
      </c>
      <c r="D9451" s="1">
        <v>5.1</v>
      </c>
      <c r="E9451" s="1">
        <v>16977.0</v>
      </c>
      <c r="F9451" s="10">
        <f t="shared" si="1"/>
        <v>5.333333333</v>
      </c>
      <c r="G9451" s="10">
        <f t="array" ref="G9451">index('Player ID'!C:C,match(E9451,'Player ID'!B:B,0))</f>
        <v>592866</v>
      </c>
    </row>
    <row r="9452">
      <c r="A9452" s="76">
        <v>45827.0</v>
      </c>
      <c r="B9452" s="1" t="s">
        <v>451</v>
      </c>
      <c r="C9452" s="1" t="s">
        <v>75</v>
      </c>
      <c r="D9452" s="1">
        <v>1.2</v>
      </c>
      <c r="E9452" s="1">
        <v>17556.0</v>
      </c>
      <c r="F9452" s="10">
        <f t="shared" si="1"/>
        <v>1.666666667</v>
      </c>
      <c r="G9452" s="10">
        <f t="array" ref="G9452">index('Player ID'!C:C,match(E9452,'Player ID'!B:B,0))</f>
        <v>623474</v>
      </c>
    </row>
    <row r="9453">
      <c r="A9453" s="76">
        <v>45827.0</v>
      </c>
      <c r="B9453" s="1" t="s">
        <v>305</v>
      </c>
      <c r="C9453" s="1" t="s">
        <v>75</v>
      </c>
      <c r="D9453" s="1">
        <v>1.0</v>
      </c>
      <c r="E9453" s="1">
        <v>22200.0</v>
      </c>
      <c r="F9453" s="10">
        <f t="shared" si="1"/>
        <v>1</v>
      </c>
      <c r="G9453" s="10">
        <f t="array" ref="G9453">index('Player ID'!C:C,match(E9453,'Player ID'!B:B,0))</f>
        <v>669020</v>
      </c>
    </row>
    <row r="9454">
      <c r="A9454" s="76">
        <v>45827.0</v>
      </c>
      <c r="B9454" s="1" t="s">
        <v>86</v>
      </c>
      <c r="C9454" s="1" t="s">
        <v>80</v>
      </c>
      <c r="D9454" s="1">
        <v>1.2</v>
      </c>
      <c r="E9454" s="1">
        <v>24017.0</v>
      </c>
      <c r="F9454" s="10">
        <f t="shared" si="1"/>
        <v>1.666666667</v>
      </c>
      <c r="G9454" s="10">
        <f t="array" ref="G9454">index('Player ID'!C:C,match(E9454,'Player ID'!B:B,0))</f>
        <v>678606</v>
      </c>
    </row>
    <row r="9455">
      <c r="A9455" s="76">
        <v>45827.0</v>
      </c>
      <c r="B9455" s="1" t="s">
        <v>365</v>
      </c>
      <c r="C9455" s="1" t="s">
        <v>75</v>
      </c>
      <c r="D9455" s="1">
        <v>1.1</v>
      </c>
      <c r="E9455" s="1">
        <v>24614.0</v>
      </c>
      <c r="F9455" s="10">
        <f t="shared" si="1"/>
        <v>1.333333333</v>
      </c>
      <c r="G9455" s="10">
        <f t="array" ref="G9455">index('Player ID'!C:C,match(E9455,'Player ID'!B:B,0))</f>
        <v>680767</v>
      </c>
    </row>
    <row r="9456">
      <c r="A9456" s="76">
        <v>45827.0</v>
      </c>
      <c r="B9456" s="1" t="s">
        <v>507</v>
      </c>
      <c r="C9456" s="1" t="s">
        <v>80</v>
      </c>
      <c r="D9456" s="1">
        <v>0.2</v>
      </c>
      <c r="E9456" s="1">
        <v>27570.0</v>
      </c>
      <c r="F9456" s="10">
        <f t="shared" si="1"/>
        <v>0.6666666667</v>
      </c>
      <c r="G9456" s="10">
        <f t="array" ref="G9456">index('Player ID'!C:C,match(E9456,'Player ID'!B:B,0))</f>
        <v>669371</v>
      </c>
    </row>
    <row r="9457">
      <c r="A9457" s="76">
        <v>45827.0</v>
      </c>
      <c r="B9457" s="1" t="s">
        <v>818</v>
      </c>
      <c r="C9457" s="1" t="s">
        <v>80</v>
      </c>
      <c r="D9457" s="1">
        <v>1.0</v>
      </c>
      <c r="E9457" s="1">
        <v>27783.0</v>
      </c>
      <c r="F9457" s="10">
        <f t="shared" si="1"/>
        <v>1</v>
      </c>
      <c r="G9457" s="10">
        <f t="array" ref="G9457">index('Player ID'!C:C,match(E9457,'Player ID'!B:B,0))</f>
        <v>694350</v>
      </c>
    </row>
    <row r="9458">
      <c r="A9458" s="76">
        <v>45827.0</v>
      </c>
      <c r="B9458" s="1" t="s">
        <v>771</v>
      </c>
      <c r="C9458" s="1" t="s">
        <v>80</v>
      </c>
      <c r="D9458" s="1">
        <v>1.0</v>
      </c>
      <c r="E9458" s="1">
        <v>29521.0</v>
      </c>
      <c r="F9458" s="10">
        <f t="shared" si="1"/>
        <v>1</v>
      </c>
      <c r="G9458" s="10">
        <f t="array" ref="G9458">index('Player ID'!C:C,match(E9458,'Player ID'!B:B,0))</f>
        <v>702795</v>
      </c>
    </row>
    <row r="9459">
      <c r="A9459" s="76">
        <v>45827.0</v>
      </c>
      <c r="B9459" s="1" t="s">
        <v>488</v>
      </c>
      <c r="C9459" s="1" t="s">
        <v>75</v>
      </c>
      <c r="D9459" s="1">
        <v>0.2</v>
      </c>
      <c r="E9459" s="1">
        <v>33294.0</v>
      </c>
      <c r="F9459" s="10">
        <f t="shared" si="1"/>
        <v>0.6666666667</v>
      </c>
      <c r="G9459" s="10">
        <f t="array" ref="G9459">index('Player ID'!C:C,match(E9459,'Player ID'!B:B,0))</f>
        <v>678020</v>
      </c>
    </row>
    <row r="9460">
      <c r="A9460" s="76">
        <v>45827.0</v>
      </c>
      <c r="B9460" s="1" t="s">
        <v>495</v>
      </c>
      <c r="C9460" s="1" t="s">
        <v>75</v>
      </c>
      <c r="D9460" s="1">
        <v>6.0</v>
      </c>
      <c r="E9460" s="1">
        <v>33482.0</v>
      </c>
      <c r="F9460" s="10">
        <f t="shared" si="1"/>
        <v>6</v>
      </c>
      <c r="G9460" s="10">
        <f t="array" ref="G9460">index('Player ID'!C:C,match(E9460,'Player ID'!B:B,0))</f>
        <v>801403</v>
      </c>
    </row>
    <row r="9461">
      <c r="A9461" s="76">
        <v>45827.0</v>
      </c>
      <c r="B9461" s="1" t="s">
        <v>256</v>
      </c>
      <c r="C9461" s="1" t="s">
        <v>60</v>
      </c>
      <c r="D9461" s="1">
        <v>4.0</v>
      </c>
      <c r="E9461" s="1">
        <v>15423.0</v>
      </c>
      <c r="F9461" s="10">
        <f t="shared" si="1"/>
        <v>4</v>
      </c>
      <c r="G9461" s="10">
        <f t="array" ref="G9461">index('Player ID'!C:C,match(E9461,'Player ID'!B:B,0))</f>
        <v>571760</v>
      </c>
    </row>
    <row r="9462">
      <c r="A9462" s="76">
        <v>45827.0</v>
      </c>
      <c r="B9462" s="1" t="s">
        <v>443</v>
      </c>
      <c r="C9462" s="1" t="s">
        <v>60</v>
      </c>
      <c r="D9462" s="1">
        <v>1.0</v>
      </c>
      <c r="E9462" s="1">
        <v>16350.0</v>
      </c>
      <c r="F9462" s="10">
        <f t="shared" si="1"/>
        <v>1</v>
      </c>
      <c r="G9462" s="10">
        <f t="array" ref="G9462">index('Player ID'!C:C,match(E9462,'Player ID'!B:B,0))</f>
        <v>621366</v>
      </c>
    </row>
    <row r="9463">
      <c r="A9463" s="76">
        <v>45827.0</v>
      </c>
      <c r="B9463" s="1" t="s">
        <v>463</v>
      </c>
      <c r="C9463" s="1" t="s">
        <v>60</v>
      </c>
      <c r="D9463" s="1">
        <v>3.0</v>
      </c>
      <c r="E9463" s="1">
        <v>21544.0</v>
      </c>
      <c r="F9463" s="10">
        <f t="shared" si="1"/>
        <v>3</v>
      </c>
      <c r="G9463" s="10">
        <f t="array" ref="G9463">index('Player ID'!C:C,match(E9463,'Player ID'!B:B,0))</f>
        <v>663767</v>
      </c>
    </row>
    <row r="9464">
      <c r="A9464" s="76">
        <v>45827.0</v>
      </c>
      <c r="B9464" s="1" t="s">
        <v>84</v>
      </c>
      <c r="C9464" s="1" t="s">
        <v>62</v>
      </c>
      <c r="D9464" s="1">
        <v>5.2</v>
      </c>
      <c r="E9464" s="1">
        <v>22267.0</v>
      </c>
      <c r="F9464" s="10">
        <f t="shared" si="1"/>
        <v>5.666666667</v>
      </c>
      <c r="G9464" s="10">
        <f t="array" ref="G9464">index('Player ID'!C:C,match(E9464,'Player ID'!B:B,0))</f>
        <v>669373</v>
      </c>
    </row>
    <row r="9465">
      <c r="A9465" s="76">
        <v>45827.0</v>
      </c>
      <c r="B9465" s="1" t="s">
        <v>701</v>
      </c>
      <c r="C9465" s="1" t="s">
        <v>62</v>
      </c>
      <c r="D9465" s="1">
        <v>1.1</v>
      </c>
      <c r="E9465" s="1">
        <v>22713.0</v>
      </c>
      <c r="F9465" s="10">
        <f t="shared" si="1"/>
        <v>1.333333333</v>
      </c>
      <c r="G9465" s="10">
        <f t="array" ref="G9465">index('Player ID'!C:C,match(E9465,'Player ID'!B:B,0))</f>
        <v>672578</v>
      </c>
    </row>
    <row r="9466">
      <c r="A9466" s="76">
        <v>45827.0</v>
      </c>
      <c r="B9466" s="1" t="s">
        <v>860</v>
      </c>
      <c r="C9466" s="1" t="s">
        <v>62</v>
      </c>
      <c r="D9466" s="1">
        <v>2.0</v>
      </c>
      <c r="E9466" s="1">
        <v>30145.0</v>
      </c>
      <c r="F9466" s="10">
        <f t="shared" si="1"/>
        <v>2</v>
      </c>
      <c r="G9466" s="10" t="str">
        <f t="array" ref="G9466">index('Player ID'!C:C,match(E9466,'Player ID'!B:B,0))</f>
        <v>#N/A</v>
      </c>
    </row>
    <row r="9467">
      <c r="A9467" s="76">
        <v>45827.0</v>
      </c>
      <c r="B9467" s="1" t="s">
        <v>83</v>
      </c>
      <c r="C9467" s="1" t="s">
        <v>72</v>
      </c>
      <c r="D9467" s="1">
        <v>1.2</v>
      </c>
      <c r="E9467" s="1">
        <v>13361.0</v>
      </c>
      <c r="F9467" s="10">
        <f t="shared" si="1"/>
        <v>1.666666667</v>
      </c>
      <c r="G9467" s="10">
        <f t="array" ref="G9467">index('Player ID'!C:C,match(E9467,'Player ID'!B:B,0))</f>
        <v>571927</v>
      </c>
    </row>
    <row r="9468">
      <c r="A9468" s="76">
        <v>45827.0</v>
      </c>
      <c r="B9468" s="1" t="s">
        <v>252</v>
      </c>
      <c r="C9468" s="1" t="s">
        <v>78</v>
      </c>
      <c r="D9468" s="1">
        <v>0.2</v>
      </c>
      <c r="E9468" s="1">
        <v>16061.0</v>
      </c>
      <c r="F9468" s="10">
        <f t="shared" si="1"/>
        <v>0.6666666667</v>
      </c>
      <c r="G9468" s="10">
        <f t="array" ref="G9468">index('Player ID'!C:C,match(E9468,'Player ID'!B:B,0))</f>
        <v>592155</v>
      </c>
    </row>
    <row r="9469">
      <c r="A9469" s="76">
        <v>45827.0</v>
      </c>
      <c r="B9469" s="1" t="s">
        <v>321</v>
      </c>
      <c r="C9469" s="1" t="s">
        <v>72</v>
      </c>
      <c r="D9469" s="1">
        <v>5.0</v>
      </c>
      <c r="E9469" s="1">
        <v>17425.0</v>
      </c>
      <c r="F9469" s="10">
        <f t="shared" si="1"/>
        <v>5</v>
      </c>
      <c r="G9469" s="10">
        <f t="array" ref="G9469">index('Player ID'!C:C,match(E9469,'Player ID'!B:B,0))</f>
        <v>607200</v>
      </c>
    </row>
    <row r="9470">
      <c r="A9470" s="76">
        <v>45827.0</v>
      </c>
      <c r="B9470" s="1" t="s">
        <v>190</v>
      </c>
      <c r="C9470" s="1" t="s">
        <v>72</v>
      </c>
      <c r="D9470" s="1">
        <v>1.0</v>
      </c>
      <c r="E9470" s="1">
        <v>18064.0</v>
      </c>
      <c r="F9470" s="10">
        <f t="shared" si="1"/>
        <v>1</v>
      </c>
      <c r="G9470" s="10">
        <f t="array" ref="G9470">index('Player ID'!C:C,match(E9470,'Player ID'!B:B,0))</f>
        <v>664208</v>
      </c>
    </row>
    <row r="9471">
      <c r="A9471" s="76">
        <v>45827.0</v>
      </c>
      <c r="B9471" s="1" t="s">
        <v>270</v>
      </c>
      <c r="C9471" s="1" t="s">
        <v>72</v>
      </c>
      <c r="D9471" s="1">
        <v>1.0</v>
      </c>
      <c r="E9471" s="1">
        <v>18138.0</v>
      </c>
      <c r="F9471" s="10">
        <f t="shared" si="1"/>
        <v>1</v>
      </c>
      <c r="G9471" s="10">
        <f t="array" ref="G9471">index('Player ID'!C:C,match(E9471,'Player ID'!B:B,0))</f>
        <v>664854</v>
      </c>
    </row>
    <row r="9472">
      <c r="A9472" s="76">
        <v>45827.0</v>
      </c>
      <c r="B9472" s="1" t="s">
        <v>116</v>
      </c>
      <c r="C9472" s="1" t="s">
        <v>78</v>
      </c>
      <c r="D9472" s="1">
        <v>1.1</v>
      </c>
      <c r="E9472" s="1">
        <v>20353.0</v>
      </c>
      <c r="F9472" s="10">
        <f t="shared" si="1"/>
        <v>1.333333333</v>
      </c>
      <c r="G9472" s="10">
        <f t="array" ref="G9472">index('Player ID'!C:C,match(E9472,'Player ID'!B:B,0))</f>
        <v>621051</v>
      </c>
    </row>
    <row r="9473">
      <c r="A9473" s="76">
        <v>45827.0</v>
      </c>
      <c r="B9473" s="1" t="s">
        <v>367</v>
      </c>
      <c r="C9473" s="1" t="s">
        <v>78</v>
      </c>
      <c r="D9473" s="1">
        <v>0.2</v>
      </c>
      <c r="E9473" s="1">
        <v>27668.0</v>
      </c>
      <c r="F9473" s="10">
        <f t="shared" si="1"/>
        <v>0.6666666667</v>
      </c>
      <c r="G9473" s="10">
        <f t="array" ref="G9473">index('Player ID'!C:C,match(E9473,'Player ID'!B:B,0))</f>
        <v>685126</v>
      </c>
    </row>
    <row r="9474">
      <c r="A9474" s="76">
        <v>45827.0</v>
      </c>
      <c r="B9474" s="1" t="s">
        <v>875</v>
      </c>
      <c r="C9474" s="1" t="s">
        <v>72</v>
      </c>
      <c r="D9474" s="1">
        <v>0.1</v>
      </c>
      <c r="E9474" s="1">
        <v>29542.0</v>
      </c>
      <c r="F9474" s="10">
        <f t="shared" si="1"/>
        <v>0.3333333333</v>
      </c>
      <c r="G9474" s="10" t="str">
        <f t="array" ref="G9474">index('Player ID'!C:C,match(E9474,'Player ID'!B:B,0))</f>
        <v>#N/A</v>
      </c>
    </row>
    <row r="9475">
      <c r="A9475" s="76">
        <v>45827.0</v>
      </c>
      <c r="B9475" s="1" t="s">
        <v>356</v>
      </c>
      <c r="C9475" s="1" t="s">
        <v>78</v>
      </c>
      <c r="D9475" s="1">
        <v>5.1</v>
      </c>
      <c r="E9475" s="1">
        <v>29878.0</v>
      </c>
      <c r="F9475" s="10">
        <f t="shared" si="1"/>
        <v>5.333333333</v>
      </c>
      <c r="G9475" s="10">
        <f t="array" ref="G9475">index('Player ID'!C:C,match(E9475,'Player ID'!B:B,0))</f>
        <v>680732</v>
      </c>
    </row>
    <row r="9476">
      <c r="A9476" s="76">
        <v>45827.0</v>
      </c>
      <c r="B9476" s="1" t="s">
        <v>106</v>
      </c>
      <c r="C9476" s="1" t="s">
        <v>78</v>
      </c>
      <c r="D9476" s="1">
        <v>1.0</v>
      </c>
      <c r="E9476" s="1">
        <v>33927.0</v>
      </c>
      <c r="F9476" s="10">
        <f t="shared" si="1"/>
        <v>1</v>
      </c>
      <c r="G9476" s="10" t="str">
        <f t="array" ref="G9476">index('Player ID'!C:C,match(E9476,'Player ID'!B:B,0))</f>
        <v>#N/A</v>
      </c>
    </row>
    <row r="9477">
      <c r="A9477" s="76">
        <v>45827.0</v>
      </c>
      <c r="B9477" s="1" t="s">
        <v>203</v>
      </c>
      <c r="C9477" s="1" t="s">
        <v>34</v>
      </c>
      <c r="D9477" s="1">
        <v>1.0</v>
      </c>
      <c r="E9477" s="1">
        <v>11426.0</v>
      </c>
      <c r="F9477" s="10">
        <f t="shared" si="1"/>
        <v>1</v>
      </c>
      <c r="G9477" s="10">
        <f t="array" ref="G9477">index('Player ID'!C:C,match(E9477,'Player ID'!B:B,0))</f>
        <v>519141</v>
      </c>
    </row>
    <row r="9478">
      <c r="A9478" s="76">
        <v>45827.0</v>
      </c>
      <c r="B9478" s="1" t="s">
        <v>99</v>
      </c>
      <c r="C9478" s="1" t="s">
        <v>34</v>
      </c>
      <c r="D9478" s="1">
        <v>4.0</v>
      </c>
      <c r="E9478" s="1">
        <v>11674.0</v>
      </c>
      <c r="F9478" s="10">
        <f t="shared" si="1"/>
        <v>4</v>
      </c>
      <c r="G9478" s="10">
        <f t="array" ref="G9478">index('Player ID'!C:C,match(E9478,'Player ID'!B:B,0))</f>
        <v>592791</v>
      </c>
    </row>
    <row r="9479">
      <c r="A9479" s="76">
        <v>45827.0</v>
      </c>
      <c r="B9479" s="1" t="s">
        <v>462</v>
      </c>
      <c r="C9479" s="1" t="s">
        <v>34</v>
      </c>
      <c r="D9479" s="1">
        <v>3.0</v>
      </c>
      <c r="E9479" s="1">
        <v>13896.0</v>
      </c>
      <c r="F9479" s="10">
        <f t="shared" si="1"/>
        <v>3</v>
      </c>
      <c r="G9479" s="10">
        <f t="array" ref="G9479">index('Player ID'!C:C,match(E9479,'Player ID'!B:B,0))</f>
        <v>623167</v>
      </c>
    </row>
    <row r="9480">
      <c r="A9480" s="76">
        <v>45827.0</v>
      </c>
      <c r="B9480" s="1" t="s">
        <v>825</v>
      </c>
      <c r="C9480" s="1" t="s">
        <v>34</v>
      </c>
      <c r="D9480" s="1">
        <v>1.0</v>
      </c>
      <c r="E9480" s="1">
        <v>17490.0</v>
      </c>
      <c r="F9480" s="10">
        <f t="shared" si="1"/>
        <v>1</v>
      </c>
      <c r="G9480" s="10">
        <f t="array" ref="G9480">index('Player ID'!C:C,match(E9480,'Player ID'!B:B,0))</f>
        <v>650893</v>
      </c>
    </row>
    <row r="9481">
      <c r="A9481" s="76">
        <v>45827.0</v>
      </c>
      <c r="B9481" s="1" t="s">
        <v>13</v>
      </c>
      <c r="C9481" s="1" t="s">
        <v>14</v>
      </c>
      <c r="D9481" s="1">
        <v>1.0</v>
      </c>
      <c r="E9481" s="1">
        <v>17722.0</v>
      </c>
      <c r="F9481" s="10">
        <f t="shared" si="1"/>
        <v>1</v>
      </c>
      <c r="G9481" s="10">
        <f t="array" ref="G9481">index('Player ID'!C:C,match(E9481,'Player ID'!B:B,0))</f>
        <v>656730</v>
      </c>
    </row>
    <row r="9482">
      <c r="A9482" s="76">
        <v>45827.0</v>
      </c>
      <c r="B9482" s="1" t="s">
        <v>180</v>
      </c>
      <c r="C9482" s="1" t="s">
        <v>14</v>
      </c>
      <c r="D9482" s="1">
        <v>5.0</v>
      </c>
      <c r="E9482" s="1">
        <v>18679.0</v>
      </c>
      <c r="F9482" s="10">
        <f t="shared" si="1"/>
        <v>5</v>
      </c>
      <c r="G9482" s="10">
        <f t="array" ref="G9482">index('Player ID'!C:C,match(E9482,'Player ID'!B:B,0))</f>
        <v>642547</v>
      </c>
    </row>
    <row r="9483">
      <c r="A9483" s="76">
        <v>45827.0</v>
      </c>
      <c r="B9483" s="1" t="s">
        <v>200</v>
      </c>
      <c r="C9483" s="1" t="s">
        <v>14</v>
      </c>
      <c r="D9483" s="1">
        <v>1.2</v>
      </c>
      <c r="E9483" s="1">
        <v>23550.0</v>
      </c>
      <c r="F9483" s="10">
        <f t="shared" si="1"/>
        <v>1.666666667</v>
      </c>
      <c r="G9483" s="10" t="str">
        <f t="array" ref="G9483">index('Player ID'!C:C,match(E9483,'Player ID'!B:B,0))</f>
        <v>#N/A</v>
      </c>
    </row>
    <row r="9484">
      <c r="A9484" s="76">
        <v>45827.0</v>
      </c>
      <c r="B9484" s="1" t="s">
        <v>279</v>
      </c>
      <c r="C9484" s="1" t="s">
        <v>14</v>
      </c>
      <c r="D9484" s="1">
        <v>1.0</v>
      </c>
      <c r="E9484" s="1">
        <v>25327.0</v>
      </c>
      <c r="F9484" s="10">
        <f t="shared" si="1"/>
        <v>1</v>
      </c>
      <c r="G9484" s="10">
        <f t="array" ref="G9484">index('Player ID'!C:C,match(E9484,'Player ID'!B:B,0))</f>
        <v>682842</v>
      </c>
    </row>
    <row r="9485">
      <c r="A9485" s="76">
        <v>45827.0</v>
      </c>
      <c r="B9485" s="1" t="s">
        <v>418</v>
      </c>
      <c r="C9485" s="1" t="s">
        <v>14</v>
      </c>
      <c r="D9485" s="1">
        <v>0.1</v>
      </c>
      <c r="E9485" s="1">
        <v>27517.0</v>
      </c>
      <c r="F9485" s="10">
        <f t="shared" si="1"/>
        <v>0.3333333333</v>
      </c>
      <c r="G9485" s="10">
        <f t="array" ref="G9485">index('Player ID'!C:C,match(E9485,'Player ID'!B:B,0))</f>
        <v>657649</v>
      </c>
    </row>
    <row r="9486">
      <c r="A9486" s="76">
        <v>45827.0</v>
      </c>
      <c r="B9486" s="1" t="s">
        <v>440</v>
      </c>
      <c r="C9486" s="1" t="s">
        <v>56</v>
      </c>
      <c r="D9486" s="1">
        <v>1.0</v>
      </c>
      <c r="E9486" s="1">
        <v>12857.0</v>
      </c>
      <c r="F9486" s="10">
        <f t="shared" si="1"/>
        <v>1</v>
      </c>
      <c r="G9486" s="10">
        <f t="array" ref="G9486">index('Player ID'!C:C,match(E9486,'Player ID'!B:B,0))</f>
        <v>542888</v>
      </c>
    </row>
    <row r="9487">
      <c r="A9487" s="76">
        <v>45827.0</v>
      </c>
      <c r="B9487" s="1" t="s">
        <v>147</v>
      </c>
      <c r="C9487" s="1" t="s">
        <v>29</v>
      </c>
      <c r="D9487" s="1">
        <v>6.0</v>
      </c>
      <c r="E9487" s="1">
        <v>14078.0</v>
      </c>
      <c r="F9487" s="10">
        <f t="shared" si="1"/>
        <v>6</v>
      </c>
      <c r="G9487" s="10">
        <f t="array" ref="G9487">index('Player ID'!C:C,match(E9487,'Player ID'!B:B,0))</f>
        <v>608379</v>
      </c>
    </row>
    <row r="9488">
      <c r="A9488" s="76">
        <v>45827.0</v>
      </c>
      <c r="B9488" s="1" t="s">
        <v>649</v>
      </c>
      <c r="C9488" s="1" t="s">
        <v>29</v>
      </c>
      <c r="D9488" s="1">
        <v>1.0</v>
      </c>
      <c r="E9488" s="1">
        <v>14542.0</v>
      </c>
      <c r="F9488" s="10">
        <f t="shared" si="1"/>
        <v>1</v>
      </c>
      <c r="G9488" s="10">
        <f t="array" ref="G9488">index('Player ID'!C:C,match(E9488,'Player ID'!B:B,0))</f>
        <v>608032</v>
      </c>
    </row>
    <row r="9489">
      <c r="A9489" s="76">
        <v>45827.0</v>
      </c>
      <c r="B9489" s="1" t="s">
        <v>144</v>
      </c>
      <c r="C9489" s="1" t="s">
        <v>29</v>
      </c>
      <c r="D9489" s="1">
        <v>1.0</v>
      </c>
      <c r="E9489" s="1">
        <v>20020.0</v>
      </c>
      <c r="F9489" s="10">
        <f t="shared" si="1"/>
        <v>1</v>
      </c>
      <c r="G9489" s="10">
        <f t="array" ref="G9489">index('Player ID'!C:C,match(E9489,'Player ID'!B:B,0))</f>
        <v>670167</v>
      </c>
    </row>
    <row r="9490">
      <c r="A9490" s="76">
        <v>45827.0</v>
      </c>
      <c r="B9490" s="1" t="s">
        <v>111</v>
      </c>
      <c r="C9490" s="1" t="s">
        <v>56</v>
      </c>
      <c r="D9490" s="1">
        <v>5.2</v>
      </c>
      <c r="E9490" s="1">
        <v>21306.0</v>
      </c>
      <c r="F9490" s="10">
        <f t="shared" si="1"/>
        <v>5.666666667</v>
      </c>
      <c r="G9490" s="10">
        <f t="array" ref="G9490">index('Player ID'!C:C,match(E9490,'Player ID'!B:B,0))</f>
        <v>656641</v>
      </c>
    </row>
    <row r="9491">
      <c r="A9491" s="76">
        <v>45827.0</v>
      </c>
      <c r="B9491" s="1" t="s">
        <v>502</v>
      </c>
      <c r="C9491" s="1" t="s">
        <v>56</v>
      </c>
      <c r="D9491" s="1">
        <v>1.1</v>
      </c>
      <c r="E9491" s="1">
        <v>22113.0</v>
      </c>
      <c r="F9491" s="10">
        <f t="shared" si="1"/>
        <v>1.333333333</v>
      </c>
      <c r="G9491" s="10">
        <f t="array" ref="G9491">index('Player ID'!C:C,match(E9491,'Player ID'!B:B,0))</f>
        <v>668390</v>
      </c>
    </row>
    <row r="9492">
      <c r="A9492" s="76">
        <v>45827.0</v>
      </c>
      <c r="B9492" s="1" t="s">
        <v>140</v>
      </c>
      <c r="C9492" s="1" t="s">
        <v>29</v>
      </c>
      <c r="D9492" s="1">
        <v>1.0</v>
      </c>
      <c r="E9492" s="1">
        <v>22717.0</v>
      </c>
      <c r="F9492" s="10">
        <f t="shared" si="1"/>
        <v>1</v>
      </c>
      <c r="G9492" s="10">
        <f t="array" ref="G9492">index('Player ID'!C:C,match(E9492,'Player ID'!B:B,0))</f>
        <v>672582</v>
      </c>
    </row>
    <row r="9493">
      <c r="A9493" s="76">
        <v>45827.0</v>
      </c>
      <c r="B9493" s="1" t="s">
        <v>268</v>
      </c>
      <c r="C9493" s="1" t="s">
        <v>56</v>
      </c>
      <c r="D9493" s="1">
        <v>1.0</v>
      </c>
      <c r="E9493" s="1">
        <v>23363.0</v>
      </c>
      <c r="F9493" s="10">
        <f t="shared" si="1"/>
        <v>1</v>
      </c>
      <c r="G9493" s="10">
        <f t="array" ref="G9493">index('Player ID'!C:C,match(E9493,'Player ID'!B:B,0))</f>
        <v>676395</v>
      </c>
    </row>
    <row r="9494">
      <c r="A9494" s="76">
        <v>45827.0</v>
      </c>
      <c r="B9494" s="1" t="s">
        <v>103</v>
      </c>
      <c r="C9494" s="1" t="s">
        <v>64</v>
      </c>
      <c r="D9494" s="1">
        <v>1.0</v>
      </c>
      <c r="E9494" s="1">
        <v>10197.0</v>
      </c>
      <c r="F9494" s="10">
        <f t="shared" si="1"/>
        <v>1</v>
      </c>
      <c r="G9494" s="10">
        <f t="array" ref="G9494">index('Player ID'!C:C,match(E9494,'Player ID'!B:B,0))</f>
        <v>571946</v>
      </c>
    </row>
    <row r="9495">
      <c r="A9495" s="76">
        <v>45827.0</v>
      </c>
      <c r="B9495" s="1" t="s">
        <v>274</v>
      </c>
      <c r="C9495" s="1" t="s">
        <v>64</v>
      </c>
      <c r="D9495" s="1">
        <v>2.0</v>
      </c>
      <c r="E9495" s="1">
        <v>13050.0</v>
      </c>
      <c r="F9495" s="10">
        <f t="shared" si="1"/>
        <v>2</v>
      </c>
      <c r="G9495" s="10" t="str">
        <f t="array" ref="G9495">index('Player ID'!C:C,match(E9495,'Player ID'!B:B,0))</f>
        <v>#N/A</v>
      </c>
    </row>
    <row r="9496">
      <c r="A9496" s="76">
        <v>45827.0</v>
      </c>
      <c r="B9496" s="1" t="s">
        <v>155</v>
      </c>
      <c r="C9496" s="1" t="s">
        <v>40</v>
      </c>
      <c r="D9496" s="1">
        <v>4.1</v>
      </c>
      <c r="E9496" s="1">
        <v>14107.0</v>
      </c>
      <c r="F9496" s="10">
        <f t="shared" si="1"/>
        <v>4.333333333</v>
      </c>
      <c r="G9496" s="10">
        <f t="array" ref="G9496">index('Player ID'!C:C,match(E9496,'Player ID'!B:B,0))</f>
        <v>592332</v>
      </c>
    </row>
    <row r="9497">
      <c r="A9497" s="76">
        <v>45827.0</v>
      </c>
      <c r="B9497" s="1" t="s">
        <v>370</v>
      </c>
      <c r="C9497" s="1" t="s">
        <v>64</v>
      </c>
      <c r="D9497" s="1">
        <v>0.1</v>
      </c>
      <c r="E9497" s="1">
        <v>21924.0</v>
      </c>
      <c r="F9497" s="10">
        <f t="shared" si="1"/>
        <v>0.3333333333</v>
      </c>
      <c r="G9497" s="10">
        <f t="array" ref="G9497">index('Player ID'!C:C,match(E9497,'Player ID'!B:B,0))</f>
        <v>666661</v>
      </c>
    </row>
    <row r="9498">
      <c r="A9498" s="76">
        <v>45827.0</v>
      </c>
      <c r="B9498" s="1" t="s">
        <v>884</v>
      </c>
      <c r="C9498" s="1" t="s">
        <v>40</v>
      </c>
      <c r="D9498" s="1">
        <v>1.2</v>
      </c>
      <c r="E9498" s="1">
        <v>23779.0</v>
      </c>
      <c r="F9498" s="10">
        <f t="shared" si="1"/>
        <v>1.666666667</v>
      </c>
      <c r="G9498" s="10" t="str">
        <f t="array" ref="G9498">index('Player ID'!C:C,match(E9498,'Player ID'!B:B,0))</f>
        <v>#N/A</v>
      </c>
    </row>
    <row r="9499">
      <c r="A9499" s="76">
        <v>45827.0</v>
      </c>
      <c r="B9499" s="1" t="s">
        <v>315</v>
      </c>
      <c r="C9499" s="1" t="s">
        <v>40</v>
      </c>
      <c r="D9499" s="1">
        <v>0.1</v>
      </c>
      <c r="E9499" s="1">
        <v>24609.0</v>
      </c>
      <c r="F9499" s="10">
        <f t="shared" si="1"/>
        <v>0.3333333333</v>
      </c>
      <c r="G9499" s="10">
        <f t="array" ref="G9499">index('Player ID'!C:C,match(E9499,'Player ID'!B:B,0))</f>
        <v>680755</v>
      </c>
    </row>
    <row r="9500">
      <c r="A9500" s="76">
        <v>45827.0</v>
      </c>
      <c r="B9500" s="1" t="s">
        <v>568</v>
      </c>
      <c r="C9500" s="1" t="s">
        <v>40</v>
      </c>
      <c r="D9500" s="1">
        <v>2.2</v>
      </c>
      <c r="E9500" s="1">
        <v>25501.0</v>
      </c>
      <c r="F9500" s="10">
        <f t="shared" si="1"/>
        <v>2.666666667</v>
      </c>
      <c r="G9500" s="10">
        <f t="array" ref="G9500">index('Player ID'!C:C,match(E9500,'Player ID'!B:B,0))</f>
        <v>687606</v>
      </c>
    </row>
    <row r="9501">
      <c r="A9501" s="76">
        <v>45827.0</v>
      </c>
      <c r="B9501" s="1" t="s">
        <v>93</v>
      </c>
      <c r="C9501" s="1" t="s">
        <v>64</v>
      </c>
      <c r="D9501" s="1">
        <v>5.2</v>
      </c>
      <c r="E9501" s="1">
        <v>26253.0</v>
      </c>
      <c r="F9501" s="10">
        <f t="shared" si="1"/>
        <v>5.666666667</v>
      </c>
      <c r="G9501" s="10">
        <f t="array" ref="G9501">index('Player ID'!C:C,match(E9501,'Player ID'!B:B,0))</f>
        <v>669194</v>
      </c>
    </row>
    <row r="9502">
      <c r="A9502" s="76">
        <v>45827.0</v>
      </c>
      <c r="B9502" s="1" t="s">
        <v>117</v>
      </c>
      <c r="C9502" s="1" t="s">
        <v>70</v>
      </c>
      <c r="D9502" s="1">
        <v>1.0</v>
      </c>
      <c r="E9502" s="1">
        <v>13619.0</v>
      </c>
      <c r="F9502" s="10">
        <f t="shared" si="1"/>
        <v>1</v>
      </c>
      <c r="G9502" s="10">
        <f t="array" ref="G9502">index('Player ID'!C:C,match(E9502,'Player ID'!B:B,0))</f>
        <v>596001</v>
      </c>
    </row>
    <row r="9503">
      <c r="A9503" s="76">
        <v>45827.0</v>
      </c>
      <c r="B9503" s="1" t="s">
        <v>77</v>
      </c>
      <c r="C9503" s="1" t="s">
        <v>31</v>
      </c>
      <c r="D9503" s="1">
        <v>7.0</v>
      </c>
      <c r="E9503" s="1">
        <v>17995.0</v>
      </c>
      <c r="F9503" s="10">
        <f t="shared" si="1"/>
        <v>7</v>
      </c>
      <c r="G9503" s="10">
        <f t="array" ref="G9503">index('Player ID'!C:C,match(E9503,'Player ID'!B:B,0))</f>
        <v>657277</v>
      </c>
    </row>
    <row r="9504">
      <c r="A9504" s="76">
        <v>45827.0</v>
      </c>
      <c r="B9504" s="1" t="s">
        <v>141</v>
      </c>
      <c r="C9504" s="1" t="s">
        <v>70</v>
      </c>
      <c r="D9504" s="1">
        <v>0.1</v>
      </c>
      <c r="E9504" s="1">
        <v>19330.0</v>
      </c>
      <c r="F9504" s="10">
        <f t="shared" si="1"/>
        <v>0.3333333333</v>
      </c>
      <c r="G9504" s="10">
        <f t="array" ref="G9504">index('Player ID'!C:C,match(E9504,'Player ID'!B:B,0))</f>
        <v>670036</v>
      </c>
    </row>
    <row r="9505">
      <c r="A9505" s="76">
        <v>45827.0</v>
      </c>
      <c r="B9505" s="1" t="s">
        <v>304</v>
      </c>
      <c r="C9505" s="1" t="s">
        <v>31</v>
      </c>
      <c r="D9505" s="1">
        <v>1.0</v>
      </c>
      <c r="E9505" s="1">
        <v>21992.0</v>
      </c>
      <c r="F9505" s="10">
        <f t="shared" si="1"/>
        <v>1</v>
      </c>
      <c r="G9505" s="10">
        <f t="array" ref="G9505">index('Player ID'!C:C,match(E9505,'Player ID'!B:B,0))</f>
        <v>666808</v>
      </c>
    </row>
    <row r="9506">
      <c r="A9506" s="76">
        <v>45827.0</v>
      </c>
      <c r="B9506" s="1" t="s">
        <v>654</v>
      </c>
      <c r="C9506" s="1" t="s">
        <v>31</v>
      </c>
      <c r="D9506" s="1">
        <v>1.0</v>
      </c>
      <c r="E9506" s="1">
        <v>23974.0</v>
      </c>
      <c r="F9506" s="10">
        <f t="shared" si="1"/>
        <v>1</v>
      </c>
      <c r="G9506" s="10">
        <f t="array" ref="G9506">index('Player ID'!C:C,match(E9506,'Player ID'!B:B,0))</f>
        <v>678495</v>
      </c>
    </row>
    <row r="9507">
      <c r="A9507" s="76">
        <v>45827.0</v>
      </c>
      <c r="B9507" s="1" t="s">
        <v>375</v>
      </c>
      <c r="C9507" s="1" t="s">
        <v>70</v>
      </c>
      <c r="D9507" s="1">
        <v>0.2</v>
      </c>
      <c r="E9507" s="1">
        <v>25553.0</v>
      </c>
      <c r="F9507" s="10">
        <f t="shared" si="1"/>
        <v>0.6666666667</v>
      </c>
      <c r="G9507" s="10" t="str">
        <f t="array" ref="G9507">index('Player ID'!C:C,match(E9507,'Player ID'!B:B,0))</f>
        <v>#N/A</v>
      </c>
    </row>
    <row r="9508">
      <c r="A9508" s="76">
        <v>45827.0</v>
      </c>
      <c r="B9508" s="1" t="s">
        <v>376</v>
      </c>
      <c r="C9508" s="1" t="s">
        <v>70</v>
      </c>
      <c r="D9508" s="1">
        <v>6.0</v>
      </c>
      <c r="E9508" s="1">
        <v>30122.0</v>
      </c>
      <c r="F9508" s="10">
        <f t="shared" si="1"/>
        <v>6</v>
      </c>
      <c r="G9508" s="10">
        <f t="array" ref="G9508">index('Player ID'!C:C,match(E9508,'Player ID'!B:B,0))</f>
        <v>668909</v>
      </c>
    </row>
    <row r="9509">
      <c r="A9509" s="76">
        <v>45827.0</v>
      </c>
      <c r="B9509" s="1" t="s">
        <v>89</v>
      </c>
      <c r="C9509" s="1" t="s">
        <v>36</v>
      </c>
      <c r="D9509" s="1">
        <v>0.2</v>
      </c>
      <c r="E9509" s="1">
        <v>19742.0</v>
      </c>
      <c r="F9509" s="10">
        <f t="shared" si="1"/>
        <v>0.6666666667</v>
      </c>
      <c r="G9509" s="10">
        <f t="array" ref="G9509">index('Player ID'!C:C,match(E9509,'Player ID'!B:B,0))</f>
        <v>669622</v>
      </c>
    </row>
    <row r="9510">
      <c r="A9510" s="76">
        <v>45827.0</v>
      </c>
      <c r="B9510" s="1" t="s">
        <v>747</v>
      </c>
      <c r="C9510" s="1" t="s">
        <v>45</v>
      </c>
      <c r="D9510" s="1">
        <v>8.0</v>
      </c>
      <c r="E9510" s="1">
        <v>20778.0</v>
      </c>
      <c r="F9510" s="10">
        <f t="shared" si="1"/>
        <v>8</v>
      </c>
      <c r="G9510" s="10">
        <f t="array" ref="G9510">index('Player ID'!C:C,match(E9510,'Player ID'!B:B,0))</f>
        <v>650911</v>
      </c>
    </row>
    <row r="9511">
      <c r="A9511" s="76">
        <v>45827.0</v>
      </c>
      <c r="B9511" s="1" t="s">
        <v>171</v>
      </c>
      <c r="C9511" s="1" t="s">
        <v>36</v>
      </c>
      <c r="D9511" s="1">
        <v>6.1</v>
      </c>
      <c r="E9511" s="1">
        <v>21690.0</v>
      </c>
      <c r="F9511" s="10">
        <f t="shared" si="1"/>
        <v>6.333333333</v>
      </c>
      <c r="G9511" s="10">
        <f t="array" ref="G9511">index('Player ID'!C:C,match(E9511,'Player ID'!B:B,0))</f>
        <v>665795</v>
      </c>
    </row>
    <row r="9512">
      <c r="A9512" s="76">
        <v>45827.0</v>
      </c>
      <c r="B9512" s="1" t="s">
        <v>322</v>
      </c>
      <c r="C9512" s="1" t="s">
        <v>36</v>
      </c>
      <c r="D9512" s="1">
        <v>1.0</v>
      </c>
      <c r="E9512" s="1">
        <v>23899.0</v>
      </c>
      <c r="F9512" s="10">
        <f t="shared" si="1"/>
        <v>1</v>
      </c>
      <c r="G9512" s="10">
        <f t="array" ref="G9512">index('Player ID'!C:C,match(E9512,'Player ID'!B:B,0))</f>
        <v>678368</v>
      </c>
    </row>
    <row r="9513">
      <c r="A9513" s="76">
        <v>45827.0</v>
      </c>
      <c r="B9513" s="1" t="s">
        <v>165</v>
      </c>
      <c r="C9513" s="1" t="s">
        <v>45</v>
      </c>
      <c r="D9513" s="1">
        <v>1.0</v>
      </c>
      <c r="E9513" s="1">
        <v>31776.0</v>
      </c>
      <c r="F9513" s="10">
        <f t="shared" si="1"/>
        <v>1</v>
      </c>
      <c r="G9513" s="10">
        <f t="array" ref="G9513">index('Player ID'!C:C,match(E9513,'Player ID'!B:B,0))</f>
        <v>689147</v>
      </c>
    </row>
    <row r="9514">
      <c r="A9514" s="76">
        <v>45827.0</v>
      </c>
      <c r="B9514" s="1" t="s">
        <v>266</v>
      </c>
      <c r="C9514" s="1" t="s">
        <v>36</v>
      </c>
      <c r="D9514" s="1">
        <v>1.0</v>
      </c>
      <c r="E9514" s="1">
        <v>31815.0</v>
      </c>
      <c r="F9514" s="10">
        <f t="shared" si="1"/>
        <v>1</v>
      </c>
      <c r="G9514" s="10">
        <f t="array" ref="G9514">index('Player ID'!C:C,match(E9514,'Player ID'!B:B,0))</f>
        <v>806188</v>
      </c>
    </row>
    <row r="9515">
      <c r="A9515" s="76">
        <v>45827.0</v>
      </c>
      <c r="B9515" s="1" t="s">
        <v>646</v>
      </c>
      <c r="C9515" s="1" t="s">
        <v>51</v>
      </c>
      <c r="D9515" s="1">
        <v>0.2</v>
      </c>
      <c r="E9515" s="1">
        <v>6107.0</v>
      </c>
      <c r="F9515" s="10">
        <f t="shared" si="1"/>
        <v>0.6666666667</v>
      </c>
      <c r="G9515" s="10">
        <f t="array" ref="G9515">index('Player ID'!C:C,match(E9515,'Player ID'!B:B,0))</f>
        <v>623211</v>
      </c>
    </row>
    <row r="9516">
      <c r="A9516" s="76">
        <v>45827.0</v>
      </c>
      <c r="B9516" s="1" t="s">
        <v>326</v>
      </c>
      <c r="C9516" s="1" t="s">
        <v>46</v>
      </c>
      <c r="D9516" s="1">
        <v>1.0</v>
      </c>
      <c r="E9516" s="1">
        <v>12760.0</v>
      </c>
      <c r="F9516" s="10">
        <f t="shared" si="1"/>
        <v>1</v>
      </c>
      <c r="G9516" s="10">
        <f t="array" ref="G9516">index('Player ID'!C:C,match(E9516,'Player ID'!B:B,0))</f>
        <v>606160</v>
      </c>
    </row>
    <row r="9517">
      <c r="A9517" s="76">
        <v>45827.0</v>
      </c>
      <c r="B9517" s="1" t="s">
        <v>269</v>
      </c>
      <c r="C9517" s="1" t="s">
        <v>51</v>
      </c>
      <c r="D9517" s="1">
        <v>4.2</v>
      </c>
      <c r="E9517" s="1">
        <v>13649.0</v>
      </c>
      <c r="F9517" s="10">
        <f t="shared" si="1"/>
        <v>4.666666667</v>
      </c>
      <c r="G9517" s="10">
        <f t="array" ref="G9517">index('Player ID'!C:C,match(E9517,'Player ID'!B:B,0))</f>
        <v>605280</v>
      </c>
    </row>
    <row r="9518">
      <c r="A9518" s="76">
        <v>45827.0</v>
      </c>
      <c r="B9518" s="1" t="s">
        <v>346</v>
      </c>
      <c r="C9518" s="1" t="s">
        <v>46</v>
      </c>
      <c r="D9518" s="1">
        <v>1.0</v>
      </c>
      <c r="E9518" s="1">
        <v>18403.0</v>
      </c>
      <c r="F9518" s="10">
        <f t="shared" si="1"/>
        <v>1</v>
      </c>
      <c r="G9518" s="10">
        <f t="array" ref="G9518">index('Player ID'!C:C,match(E9518,'Player ID'!B:B,0))</f>
        <v>660853</v>
      </c>
    </row>
    <row r="9519">
      <c r="A9519" s="76">
        <v>45827.0</v>
      </c>
      <c r="B9519" s="1" t="s">
        <v>91</v>
      </c>
      <c r="C9519" s="1" t="s">
        <v>46</v>
      </c>
      <c r="D9519" s="1">
        <v>1.0</v>
      </c>
      <c r="E9519" s="1">
        <v>19996.0</v>
      </c>
      <c r="F9519" s="10">
        <f t="shared" si="1"/>
        <v>1</v>
      </c>
      <c r="G9519" s="10">
        <f t="array" ref="G9519">index('Player ID'!C:C,match(E9519,'Player ID'!B:B,0))</f>
        <v>669276</v>
      </c>
    </row>
    <row r="9520">
      <c r="A9520" s="76">
        <v>45827.0</v>
      </c>
      <c r="B9520" s="1" t="s">
        <v>554</v>
      </c>
      <c r="C9520" s="1" t="s">
        <v>51</v>
      </c>
      <c r="D9520" s="1">
        <v>2.2</v>
      </c>
      <c r="E9520" s="1">
        <v>21546.0</v>
      </c>
      <c r="F9520" s="10">
        <f t="shared" si="1"/>
        <v>2.666666667</v>
      </c>
      <c r="G9520" s="10">
        <f t="array" ref="G9520">index('Player ID'!C:C,match(E9520,'Player ID'!B:B,0))</f>
        <v>663795</v>
      </c>
    </row>
    <row r="9521">
      <c r="A9521" s="76">
        <v>45827.0</v>
      </c>
      <c r="B9521" s="1" t="s">
        <v>472</v>
      </c>
      <c r="C9521" s="1" t="s">
        <v>46</v>
      </c>
      <c r="D9521" s="1">
        <v>6.0</v>
      </c>
      <c r="E9521" s="1">
        <v>27498.0</v>
      </c>
      <c r="F9521" s="10">
        <f t="shared" si="1"/>
        <v>6</v>
      </c>
      <c r="G9521" s="10">
        <f t="array" ref="G9521">index('Player ID'!C:C,match(E9521,'Player ID'!B:B,0))</f>
        <v>675911</v>
      </c>
    </row>
    <row r="9522">
      <c r="A9522" s="76">
        <v>45827.0</v>
      </c>
      <c r="B9522" s="1" t="s">
        <v>474</v>
      </c>
      <c r="C9522" s="1" t="s">
        <v>68</v>
      </c>
      <c r="D9522" s="1">
        <v>6.0</v>
      </c>
      <c r="E9522" s="1">
        <v>4676.0</v>
      </c>
      <c r="F9522" s="10">
        <f t="shared" si="1"/>
        <v>6</v>
      </c>
      <c r="G9522" s="10">
        <f t="array" ref="G9522">index('Player ID'!C:C,match(E9522,'Player ID'!B:B,0))</f>
        <v>450203</v>
      </c>
    </row>
    <row r="9523">
      <c r="A9523" s="76">
        <v>45827.0</v>
      </c>
      <c r="B9523" s="1" t="s">
        <v>639</v>
      </c>
      <c r="C9523" s="1" t="s">
        <v>68</v>
      </c>
      <c r="D9523" s="1">
        <v>1.0</v>
      </c>
      <c r="E9523" s="1">
        <v>19249.0</v>
      </c>
      <c r="F9523" s="10">
        <f t="shared" si="1"/>
        <v>1</v>
      </c>
      <c r="G9523" s="10">
        <f t="array" ref="G9523">index('Player ID'!C:C,match(E9523,'Player ID'!B:B,0))</f>
        <v>622554</v>
      </c>
    </row>
    <row r="9524">
      <c r="A9524" s="76">
        <v>45827.0</v>
      </c>
      <c r="B9524" s="1" t="s">
        <v>433</v>
      </c>
      <c r="C9524" s="1" t="s">
        <v>68</v>
      </c>
      <c r="D9524" s="1">
        <v>0.2</v>
      </c>
      <c r="E9524" s="1">
        <v>19677.0</v>
      </c>
      <c r="F9524" s="10">
        <f t="shared" si="1"/>
        <v>0.6666666667</v>
      </c>
      <c r="G9524" s="10">
        <f t="array" ref="G9524">index('Player ID'!C:C,match(E9524,'Player ID'!B:B,0))</f>
        <v>642397</v>
      </c>
    </row>
    <row r="9525">
      <c r="A9525" s="76">
        <v>45827.0</v>
      </c>
      <c r="B9525" s="1" t="s">
        <v>739</v>
      </c>
      <c r="C9525" s="1" t="s">
        <v>54</v>
      </c>
      <c r="D9525" s="1">
        <v>3.0</v>
      </c>
      <c r="E9525" s="1">
        <v>19695.0</v>
      </c>
      <c r="F9525" s="10">
        <f t="shared" si="1"/>
        <v>3</v>
      </c>
      <c r="G9525" s="10">
        <f t="array" ref="G9525">index('Player ID'!C:C,match(E9525,'Player ID'!B:B,0))</f>
        <v>657756</v>
      </c>
    </row>
    <row r="9526">
      <c r="A9526" s="76">
        <v>45827.0</v>
      </c>
      <c r="B9526" s="1" t="s">
        <v>240</v>
      </c>
      <c r="C9526" s="1" t="s">
        <v>68</v>
      </c>
      <c r="D9526" s="1">
        <v>0.1</v>
      </c>
      <c r="E9526" s="1">
        <v>19804.0</v>
      </c>
      <c r="F9526" s="10">
        <f t="shared" si="1"/>
        <v>0.3333333333</v>
      </c>
      <c r="G9526" s="10">
        <f t="array" ref="G9526">index('Player ID'!C:C,match(E9526,'Player ID'!B:B,0))</f>
        <v>641329</v>
      </c>
    </row>
    <row r="9527">
      <c r="A9527" s="76">
        <v>45827.0</v>
      </c>
      <c r="B9527" s="1" t="s">
        <v>400</v>
      </c>
      <c r="C9527" s="1" t="s">
        <v>54</v>
      </c>
      <c r="D9527" s="1">
        <v>0.2</v>
      </c>
      <c r="E9527" s="1">
        <v>20539.0</v>
      </c>
      <c r="F9527" s="10">
        <f t="shared" si="1"/>
        <v>0.6666666667</v>
      </c>
      <c r="G9527" s="10">
        <f t="array" ref="G9527">index('Player ID'!C:C,match(E9527,'Player ID'!B:B,0))</f>
        <v>670955</v>
      </c>
    </row>
    <row r="9528">
      <c r="A9528" s="76">
        <v>45827.0</v>
      </c>
      <c r="B9528" s="1" t="s">
        <v>698</v>
      </c>
      <c r="C9528" s="1" t="s">
        <v>68</v>
      </c>
      <c r="D9528" s="1">
        <v>1.0</v>
      </c>
      <c r="E9528" s="1">
        <v>20666.0</v>
      </c>
      <c r="F9528" s="10">
        <f t="shared" si="1"/>
        <v>1</v>
      </c>
      <c r="G9528" s="10">
        <f t="array" ref="G9528">index('Player ID'!C:C,match(E9528,'Player ID'!B:B,0))</f>
        <v>642585</v>
      </c>
    </row>
    <row r="9529">
      <c r="A9529" s="76">
        <v>45827.0</v>
      </c>
      <c r="B9529" s="1" t="s">
        <v>97</v>
      </c>
      <c r="C9529" s="1" t="s">
        <v>54</v>
      </c>
      <c r="D9529" s="1">
        <v>5.1</v>
      </c>
      <c r="E9529" s="1">
        <v>25385.0</v>
      </c>
      <c r="F9529" s="10">
        <f t="shared" si="1"/>
        <v>5.333333333</v>
      </c>
      <c r="G9529" s="10">
        <f t="array" ref="G9529">index('Player ID'!C:C,match(E9529,'Player ID'!B:B,0))</f>
        <v>656876</v>
      </c>
    </row>
    <row r="9530">
      <c r="A9530" s="76">
        <v>45827.0</v>
      </c>
      <c r="B9530" s="1" t="s">
        <v>436</v>
      </c>
      <c r="C9530" s="1" t="s">
        <v>52</v>
      </c>
      <c r="D9530" s="1">
        <v>1.0</v>
      </c>
      <c r="E9530" s="1">
        <v>12791.0</v>
      </c>
      <c r="F9530" s="10">
        <f t="shared" si="1"/>
        <v>1</v>
      </c>
      <c r="G9530" s="10" t="str">
        <f t="array" ref="G9530">index('Player ID'!C:C,match(E9530,'Player ID'!B:B,0))</f>
        <v>#N/A</v>
      </c>
    </row>
    <row r="9531">
      <c r="A9531" s="76">
        <v>45827.0</v>
      </c>
      <c r="B9531" s="1" t="s">
        <v>38</v>
      </c>
      <c r="C9531" s="1" t="s">
        <v>39</v>
      </c>
      <c r="D9531" s="1">
        <v>1.0</v>
      </c>
      <c r="E9531" s="1">
        <v>13580.0</v>
      </c>
      <c r="F9531" s="10">
        <f t="shared" si="1"/>
        <v>1</v>
      </c>
      <c r="G9531" s="10">
        <f t="array" ref="G9531">index('Player ID'!C:C,match(E9531,'Player ID'!B:B,0))</f>
        <v>595345</v>
      </c>
    </row>
    <row r="9532">
      <c r="A9532" s="76">
        <v>45827.0</v>
      </c>
      <c r="B9532" s="1" t="s">
        <v>59</v>
      </c>
      <c r="C9532" s="1" t="s">
        <v>39</v>
      </c>
      <c r="D9532" s="1">
        <v>1.1</v>
      </c>
      <c r="E9532" s="1">
        <v>14212.0</v>
      </c>
      <c r="F9532" s="10">
        <f t="shared" si="1"/>
        <v>1.333333333</v>
      </c>
      <c r="G9532" s="10">
        <f t="array" ref="G9532">index('Player ID'!C:C,match(E9532,'Player ID'!B:B,0))</f>
        <v>623352</v>
      </c>
    </row>
    <row r="9533">
      <c r="A9533" s="76">
        <v>45827.0</v>
      </c>
      <c r="B9533" s="1" t="s">
        <v>210</v>
      </c>
      <c r="C9533" s="1" t="s">
        <v>39</v>
      </c>
      <c r="D9533" s="1">
        <v>1.0</v>
      </c>
      <c r="E9533" s="1">
        <v>16609.0</v>
      </c>
      <c r="F9533" s="10">
        <f t="shared" si="1"/>
        <v>1</v>
      </c>
      <c r="G9533" s="10">
        <f t="array" ref="G9533">index('Player ID'!C:C,match(E9533,'Player ID'!B:B,0))</f>
        <v>650556</v>
      </c>
    </row>
    <row r="9534">
      <c r="A9534" s="76">
        <v>45827.0</v>
      </c>
      <c r="B9534" s="1" t="s">
        <v>359</v>
      </c>
      <c r="C9534" s="1" t="s">
        <v>39</v>
      </c>
      <c r="D9534" s="1">
        <v>1.0</v>
      </c>
      <c r="E9534" s="1">
        <v>20061.0</v>
      </c>
      <c r="F9534" s="10">
        <f t="shared" si="1"/>
        <v>1</v>
      </c>
      <c r="G9534" s="10">
        <f t="array" ref="G9534">index('Player ID'!C:C,match(E9534,'Player ID'!B:B,0))</f>
        <v>672391</v>
      </c>
    </row>
    <row r="9535">
      <c r="A9535" s="76">
        <v>45827.0</v>
      </c>
      <c r="B9535" s="1" t="s">
        <v>389</v>
      </c>
      <c r="C9535" s="1" t="s">
        <v>52</v>
      </c>
      <c r="D9535" s="1">
        <v>6.0</v>
      </c>
      <c r="E9535" s="1">
        <v>25098.0</v>
      </c>
      <c r="F9535" s="10">
        <f t="shared" si="1"/>
        <v>6</v>
      </c>
      <c r="G9535" s="10">
        <f t="array" ref="G9535">index('Player ID'!C:C,match(E9535,'Player ID'!B:B,0))</f>
        <v>682052</v>
      </c>
    </row>
    <row r="9536">
      <c r="A9536" s="76">
        <v>45827.0</v>
      </c>
      <c r="B9536" s="1" t="s">
        <v>296</v>
      </c>
      <c r="C9536" s="1" t="s">
        <v>52</v>
      </c>
      <c r="D9536" s="1">
        <v>1.2</v>
      </c>
      <c r="E9536" s="1">
        <v>27889.0</v>
      </c>
      <c r="F9536" s="10">
        <f t="shared" si="1"/>
        <v>1.666666667</v>
      </c>
      <c r="G9536" s="10">
        <f t="array" ref="G9536">index('Player ID'!C:C,match(E9536,'Player ID'!B:B,0))</f>
        <v>669372</v>
      </c>
    </row>
    <row r="9537">
      <c r="A9537" s="76">
        <v>45827.0</v>
      </c>
      <c r="B9537" s="1" t="s">
        <v>197</v>
      </c>
      <c r="C9537" s="1" t="s">
        <v>39</v>
      </c>
      <c r="D9537" s="1">
        <v>5.0</v>
      </c>
      <c r="E9537" s="1">
        <v>31312.0</v>
      </c>
      <c r="F9537" s="10">
        <f t="shared" si="1"/>
        <v>5</v>
      </c>
      <c r="G9537" s="10">
        <f t="array" ref="G9537">index('Player ID'!C:C,match(E9537,'Player ID'!B:B,0))</f>
        <v>676467</v>
      </c>
    </row>
    <row r="9538">
      <c r="A9538" s="76">
        <v>45827.0</v>
      </c>
      <c r="B9538" s="1" t="s">
        <v>286</v>
      </c>
      <c r="C9538" s="1" t="s">
        <v>52</v>
      </c>
      <c r="D9538" s="1">
        <v>1.1</v>
      </c>
      <c r="E9538" s="1">
        <v>31757.0</v>
      </c>
      <c r="F9538" s="10">
        <f t="shared" si="1"/>
        <v>1.333333333</v>
      </c>
      <c r="G9538" s="10">
        <f t="array" ref="G9538">index('Player ID'!C:C,match(E9538,'Player ID'!B:B,0))</f>
        <v>695243</v>
      </c>
    </row>
    <row r="9539">
      <c r="A9539" s="76">
        <v>45827.0</v>
      </c>
      <c r="B9539" s="1" t="s">
        <v>342</v>
      </c>
      <c r="C9539" s="1" t="s">
        <v>26</v>
      </c>
      <c r="D9539" s="1">
        <v>1.0</v>
      </c>
      <c r="E9539" s="1">
        <v>11861.0</v>
      </c>
      <c r="F9539" s="10">
        <f t="shared" si="1"/>
        <v>1</v>
      </c>
      <c r="G9539" s="10">
        <f t="array" ref="G9539">index('Player ID'!C:C,match(E9539,'Player ID'!B:B,0))</f>
        <v>592094</v>
      </c>
    </row>
    <row r="9540">
      <c r="A9540" s="76">
        <v>45827.0</v>
      </c>
      <c r="B9540" s="1" t="s">
        <v>503</v>
      </c>
      <c r="C9540" s="1" t="s">
        <v>33</v>
      </c>
      <c r="D9540" s="1">
        <v>0.2</v>
      </c>
      <c r="E9540" s="1">
        <v>15043.0</v>
      </c>
      <c r="F9540" s="10">
        <f t="shared" si="1"/>
        <v>0.6666666667</v>
      </c>
      <c r="G9540" s="10">
        <f t="array" ref="G9540">index('Player ID'!C:C,match(E9540,'Player ID'!B:B,0))</f>
        <v>642152</v>
      </c>
    </row>
    <row r="9541">
      <c r="A9541" s="76">
        <v>45827.0</v>
      </c>
      <c r="B9541" s="1" t="s">
        <v>49</v>
      </c>
      <c r="C9541" s="1" t="s">
        <v>26</v>
      </c>
      <c r="D9541" s="1">
        <v>1.1</v>
      </c>
      <c r="E9541" s="1">
        <v>20039.0</v>
      </c>
      <c r="F9541" s="10">
        <f t="shared" si="1"/>
        <v>1.333333333</v>
      </c>
      <c r="G9541" s="10">
        <f t="array" ref="G9541">index('Player ID'!C:C,match(E9541,'Player ID'!B:B,0))</f>
        <v>670970</v>
      </c>
    </row>
    <row r="9542">
      <c r="A9542" s="76">
        <v>45827.0</v>
      </c>
      <c r="B9542" s="1" t="s">
        <v>94</v>
      </c>
      <c r="C9542" s="1" t="s">
        <v>26</v>
      </c>
      <c r="D9542" s="1">
        <v>1.0</v>
      </c>
      <c r="E9542" s="1">
        <v>22210.0</v>
      </c>
      <c r="F9542" s="10">
        <f t="shared" si="1"/>
        <v>1</v>
      </c>
      <c r="G9542" s="10">
        <f t="array" ref="G9542">index('Player ID'!C:C,match(E9542,'Player ID'!B:B,0))</f>
        <v>669093</v>
      </c>
    </row>
    <row r="9543">
      <c r="A9543" s="76">
        <v>45827.0</v>
      </c>
      <c r="B9543" s="1" t="s">
        <v>797</v>
      </c>
      <c r="C9543" s="1" t="s">
        <v>26</v>
      </c>
      <c r="D9543" s="1">
        <v>0.1</v>
      </c>
      <c r="E9543" s="1">
        <v>22253.0</v>
      </c>
      <c r="F9543" s="10">
        <f t="shared" si="1"/>
        <v>0.3333333333</v>
      </c>
      <c r="G9543" s="10">
        <f t="array" ref="G9543">index('Player ID'!C:C,match(E9543,'Player ID'!B:B,0))</f>
        <v>669308</v>
      </c>
    </row>
    <row r="9544">
      <c r="A9544" s="76">
        <v>45827.0</v>
      </c>
      <c r="B9544" s="1" t="s">
        <v>886</v>
      </c>
      <c r="C9544" s="1" t="s">
        <v>33</v>
      </c>
      <c r="D9544" s="1">
        <v>2.0</v>
      </c>
      <c r="E9544" s="1">
        <v>26152.0</v>
      </c>
      <c r="F9544" s="10">
        <f t="shared" si="1"/>
        <v>2</v>
      </c>
      <c r="G9544" s="10" t="str">
        <f t="array" ref="G9544">index('Player ID'!C:C,match(E9544,'Player ID'!B:B,0))</f>
        <v>#N/A</v>
      </c>
    </row>
    <row r="9545">
      <c r="A9545" s="76">
        <v>45827.0</v>
      </c>
      <c r="B9545" s="1" t="s">
        <v>224</v>
      </c>
      <c r="C9545" s="1" t="s">
        <v>26</v>
      </c>
      <c r="D9545" s="1">
        <v>4.2</v>
      </c>
      <c r="E9545" s="1">
        <v>29863.0</v>
      </c>
      <c r="F9545" s="10">
        <f t="shared" si="1"/>
        <v>4.666666667</v>
      </c>
      <c r="G9545" s="10">
        <f t="array" ref="G9545">index('Player ID'!C:C,match(E9545,'Player ID'!B:B,0))</f>
        <v>686701</v>
      </c>
    </row>
    <row r="9546">
      <c r="A9546" s="76">
        <v>45827.0</v>
      </c>
      <c r="B9546" s="1" t="s">
        <v>81</v>
      </c>
      <c r="C9546" s="1" t="s">
        <v>26</v>
      </c>
      <c r="D9546" s="1">
        <v>0.1</v>
      </c>
      <c r="E9546" s="1">
        <v>30115.0</v>
      </c>
      <c r="F9546" s="10">
        <f t="shared" si="1"/>
        <v>0.3333333333</v>
      </c>
      <c r="G9546" s="10">
        <f t="array" ref="G9546">index('Player ID'!C:C,match(E9546,'Player ID'!B:B,0))</f>
        <v>663158</v>
      </c>
    </row>
    <row r="9547">
      <c r="A9547" s="76">
        <v>45827.0</v>
      </c>
      <c r="B9547" s="1" t="s">
        <v>85</v>
      </c>
      <c r="C9547" s="1" t="s">
        <v>33</v>
      </c>
      <c r="D9547" s="1">
        <v>6.1</v>
      </c>
      <c r="E9547" s="1">
        <v>33825.0</v>
      </c>
      <c r="F9547" s="10">
        <f t="shared" si="1"/>
        <v>6.333333333</v>
      </c>
      <c r="G9547" s="10">
        <f t="array" ref="G9547">index('Player ID'!C:C,match(E9547,'Player ID'!B:B,0))</f>
        <v>808967</v>
      </c>
    </row>
    <row r="9548">
      <c r="A9548" s="76">
        <v>45827.0</v>
      </c>
      <c r="B9548" s="1" t="s">
        <v>284</v>
      </c>
      <c r="C9548" s="1" t="s">
        <v>26</v>
      </c>
      <c r="D9548" s="1">
        <v>0.1</v>
      </c>
      <c r="E9548" s="1">
        <v>33826.0</v>
      </c>
      <c r="F9548" s="10">
        <f t="shared" si="1"/>
        <v>0.3333333333</v>
      </c>
      <c r="G9548" s="10">
        <f t="array" ref="G9548">index('Player ID'!C:C,match(E9548,'Player ID'!B:B,0))</f>
        <v>673513</v>
      </c>
    </row>
    <row r="9549">
      <c r="A9549" s="76">
        <v>45828.0</v>
      </c>
      <c r="B9549" s="1" t="s">
        <v>629</v>
      </c>
      <c r="C9549" s="1" t="s">
        <v>34</v>
      </c>
      <c r="D9549" s="1">
        <v>1.1</v>
      </c>
      <c r="E9549" s="1">
        <v>5615.0</v>
      </c>
      <c r="F9549" s="10">
        <f t="shared" si="1"/>
        <v>1.333333333</v>
      </c>
      <c r="G9549" s="10">
        <f t="array" ref="G9549">index('Player ID'!C:C,match(E9549,'Player ID'!B:B,0))</f>
        <v>518489</v>
      </c>
    </row>
    <row r="9550">
      <c r="A9550" s="76">
        <v>45828.0</v>
      </c>
      <c r="B9550" s="1" t="s">
        <v>460</v>
      </c>
      <c r="C9550" s="1" t="s">
        <v>34</v>
      </c>
      <c r="D9550" s="1">
        <v>1.0</v>
      </c>
      <c r="E9550" s="1">
        <v>7005.0</v>
      </c>
      <c r="F9550" s="10">
        <f t="shared" si="1"/>
        <v>1</v>
      </c>
      <c r="G9550" s="10">
        <f t="array" ref="G9550">index('Player ID'!C:C,match(E9550,'Player ID'!B:B,0))</f>
        <v>519151</v>
      </c>
    </row>
    <row r="9551">
      <c r="A9551" s="76">
        <v>45828.0</v>
      </c>
      <c r="B9551" s="1" t="s">
        <v>71</v>
      </c>
      <c r="C9551" s="1" t="s">
        <v>34</v>
      </c>
      <c r="D9551" s="1">
        <v>0.2</v>
      </c>
      <c r="E9551" s="1">
        <v>10078.0</v>
      </c>
      <c r="F9551" s="10">
        <f t="shared" si="1"/>
        <v>0.6666666667</v>
      </c>
      <c r="G9551" s="10">
        <f t="array" ref="G9551">index('Player ID'!C:C,match(E9551,'Player ID'!B:B,0))</f>
        <v>573204</v>
      </c>
    </row>
    <row r="9552">
      <c r="A9552" s="76">
        <v>45828.0</v>
      </c>
      <c r="B9552" s="1" t="s">
        <v>246</v>
      </c>
      <c r="C9552" s="1" t="s">
        <v>34</v>
      </c>
      <c r="D9552" s="1">
        <v>5.0</v>
      </c>
      <c r="E9552" s="1">
        <v>15440.0</v>
      </c>
      <c r="F9552" s="10">
        <f t="shared" si="1"/>
        <v>5</v>
      </c>
      <c r="G9552" s="10">
        <f t="array" ref="G9552">index('Player ID'!C:C,match(E9552,'Player ID'!B:B,0))</f>
        <v>571510</v>
      </c>
    </row>
    <row r="9553">
      <c r="A9553" s="76">
        <v>45828.0</v>
      </c>
      <c r="B9553" s="1" t="s">
        <v>53</v>
      </c>
      <c r="C9553" s="1" t="s">
        <v>37</v>
      </c>
      <c r="D9553" s="1">
        <v>0.1</v>
      </c>
      <c r="E9553" s="1">
        <v>17170.0</v>
      </c>
      <c r="F9553" s="10">
        <f t="shared" si="1"/>
        <v>0.3333333333</v>
      </c>
      <c r="G9553" s="10">
        <f t="array" ref="G9553">index('Player ID'!C:C,match(E9553,'Player ID'!B:B,0))</f>
        <v>642100</v>
      </c>
    </row>
    <row r="9554">
      <c r="A9554" s="76">
        <v>45828.0</v>
      </c>
      <c r="B9554" s="1" t="s">
        <v>825</v>
      </c>
      <c r="C9554" s="1" t="s">
        <v>34</v>
      </c>
      <c r="D9554" s="1">
        <v>1.0</v>
      </c>
      <c r="E9554" s="1">
        <v>17490.0</v>
      </c>
      <c r="F9554" s="10">
        <f t="shared" si="1"/>
        <v>1</v>
      </c>
      <c r="G9554" s="10">
        <f t="array" ref="G9554">index('Player ID'!C:C,match(E9554,'Player ID'!B:B,0))</f>
        <v>650893</v>
      </c>
    </row>
    <row r="9555">
      <c r="A9555" s="76">
        <v>45828.0</v>
      </c>
      <c r="B9555" s="1" t="s">
        <v>157</v>
      </c>
      <c r="C9555" s="1" t="s">
        <v>37</v>
      </c>
      <c r="D9555" s="1">
        <v>1.0</v>
      </c>
      <c r="E9555" s="1">
        <v>20997.0</v>
      </c>
      <c r="F9555" s="10">
        <f t="shared" si="1"/>
        <v>1</v>
      </c>
      <c r="G9555" s="10">
        <f t="array" ref="G9555">index('Player ID'!C:C,match(E9555,'Player ID'!B:B,0))</f>
        <v>660825</v>
      </c>
    </row>
    <row r="9556">
      <c r="A9556" s="76">
        <v>45828.0</v>
      </c>
      <c r="B9556" s="1" t="s">
        <v>101</v>
      </c>
      <c r="C9556" s="1" t="s">
        <v>37</v>
      </c>
      <c r="D9556" s="1">
        <v>0.2</v>
      </c>
      <c r="E9556" s="1">
        <v>22915.0</v>
      </c>
      <c r="F9556" s="10">
        <f t="shared" si="1"/>
        <v>0.6666666667</v>
      </c>
      <c r="G9556" s="10">
        <f t="array" ref="G9556">index('Player ID'!C:C,match(E9556,'Player ID'!B:B,0))</f>
        <v>672841</v>
      </c>
    </row>
    <row r="9557">
      <c r="A9557" s="76">
        <v>45828.0</v>
      </c>
      <c r="B9557" s="1" t="s">
        <v>164</v>
      </c>
      <c r="C9557" s="1" t="s">
        <v>37</v>
      </c>
      <c r="D9557" s="1">
        <v>5.0</v>
      </c>
      <c r="E9557" s="1">
        <v>25436.0</v>
      </c>
      <c r="F9557" s="10">
        <f t="shared" si="1"/>
        <v>5</v>
      </c>
      <c r="G9557" s="10">
        <f t="array" ref="G9557">index('Player ID'!C:C,match(E9557,'Player ID'!B:B,0))</f>
        <v>669923</v>
      </c>
    </row>
    <row r="9558">
      <c r="A9558" s="76">
        <v>45828.0</v>
      </c>
      <c r="B9558" s="1" t="s">
        <v>254</v>
      </c>
      <c r="C9558" s="1" t="s">
        <v>37</v>
      </c>
      <c r="D9558" s="1">
        <v>1.0</v>
      </c>
      <c r="E9558" s="1">
        <v>25756.0</v>
      </c>
      <c r="F9558" s="10">
        <f t="shared" si="1"/>
        <v>1</v>
      </c>
      <c r="G9558" s="10">
        <f t="array" ref="G9558">index('Player ID'!C:C,match(E9558,'Player ID'!B:B,0))</f>
        <v>666374</v>
      </c>
    </row>
    <row r="9559">
      <c r="A9559" s="76">
        <v>45828.0</v>
      </c>
      <c r="B9559" s="1" t="s">
        <v>340</v>
      </c>
      <c r="C9559" s="1" t="s">
        <v>37</v>
      </c>
      <c r="D9559" s="1">
        <v>1.0</v>
      </c>
      <c r="E9559" s="1">
        <v>25921.0</v>
      </c>
      <c r="F9559" s="10">
        <f t="shared" si="1"/>
        <v>1</v>
      </c>
      <c r="G9559" s="10">
        <f t="array" ref="G9559">index('Player ID'!C:C,match(E9559,'Player ID'!B:B,0))</f>
        <v>668984</v>
      </c>
    </row>
    <row r="9560">
      <c r="A9560" s="76">
        <v>45828.0</v>
      </c>
      <c r="B9560" s="1" t="s">
        <v>57</v>
      </c>
      <c r="C9560" s="1" t="s">
        <v>56</v>
      </c>
      <c r="D9560" s="1">
        <v>6.0</v>
      </c>
      <c r="E9560" s="1">
        <v>10954.0</v>
      </c>
      <c r="F9560" s="10">
        <f t="shared" si="1"/>
        <v>6</v>
      </c>
      <c r="G9560" s="10">
        <f t="array" ref="G9560">index('Player ID'!C:C,match(E9560,'Player ID'!B:B,0))</f>
        <v>594798</v>
      </c>
    </row>
    <row r="9561">
      <c r="A9561" s="76">
        <v>45828.0</v>
      </c>
      <c r="B9561" s="1" t="s">
        <v>74</v>
      </c>
      <c r="C9561" s="1" t="s">
        <v>56</v>
      </c>
      <c r="D9561" s="1">
        <v>1.0</v>
      </c>
      <c r="E9561" s="1">
        <v>11847.0</v>
      </c>
      <c r="F9561" s="10">
        <f t="shared" si="1"/>
        <v>1</v>
      </c>
      <c r="G9561" s="10">
        <f t="array" ref="G9561">index('Player ID'!C:C,match(E9561,'Player ID'!B:B,0))</f>
        <v>455119</v>
      </c>
    </row>
    <row r="9562">
      <c r="A9562" s="76">
        <v>45828.0</v>
      </c>
      <c r="B9562" s="1" t="s">
        <v>151</v>
      </c>
      <c r="C9562" s="1" t="s">
        <v>56</v>
      </c>
      <c r="D9562" s="1">
        <v>1.0</v>
      </c>
      <c r="E9562" s="1">
        <v>13346.0</v>
      </c>
      <c r="F9562" s="10">
        <f t="shared" si="1"/>
        <v>1</v>
      </c>
      <c r="G9562" s="10">
        <f t="array" ref="G9562">index('Player ID'!C:C,match(E9562,'Player ID'!B:B,0))</f>
        <v>571948</v>
      </c>
    </row>
    <row r="9563">
      <c r="A9563" s="76">
        <v>45828.0</v>
      </c>
      <c r="B9563" s="1" t="s">
        <v>443</v>
      </c>
      <c r="C9563" s="1" t="s">
        <v>60</v>
      </c>
      <c r="D9563" s="1">
        <v>0.1</v>
      </c>
      <c r="E9563" s="1">
        <v>16350.0</v>
      </c>
      <c r="F9563" s="10">
        <f t="shared" si="1"/>
        <v>0.3333333333</v>
      </c>
      <c r="G9563" s="10">
        <f t="array" ref="G9563">index('Player ID'!C:C,match(E9563,'Player ID'!B:B,0))</f>
        <v>621366</v>
      </c>
    </row>
    <row r="9564">
      <c r="A9564" s="76">
        <v>45828.0</v>
      </c>
      <c r="B9564" s="1" t="s">
        <v>107</v>
      </c>
      <c r="C9564" s="1" t="s">
        <v>60</v>
      </c>
      <c r="D9564" s="1">
        <v>0.2</v>
      </c>
      <c r="E9564" s="1">
        <v>19349.0</v>
      </c>
      <c r="F9564" s="10">
        <f t="shared" si="1"/>
        <v>0.6666666667</v>
      </c>
      <c r="G9564" s="10">
        <f t="array" ref="G9564">index('Player ID'!C:C,match(E9564,'Player ID'!B:B,0))</f>
        <v>657571</v>
      </c>
    </row>
    <row r="9565">
      <c r="A9565" s="76">
        <v>45828.0</v>
      </c>
      <c r="B9565" s="1" t="s">
        <v>338</v>
      </c>
      <c r="C9565" s="1" t="s">
        <v>60</v>
      </c>
      <c r="D9565" s="1">
        <v>1.1</v>
      </c>
      <c r="E9565" s="1">
        <v>20385.0</v>
      </c>
      <c r="F9565" s="10">
        <f t="shared" si="1"/>
        <v>1.333333333</v>
      </c>
      <c r="G9565" s="10" t="str">
        <f t="array" ref="G9565">index('Player ID'!C:C,match(E9565,'Player ID'!B:B,0))</f>
        <v>#N/A</v>
      </c>
    </row>
    <row r="9566">
      <c r="A9566" s="76">
        <v>45828.0</v>
      </c>
      <c r="B9566" s="1" t="s">
        <v>268</v>
      </c>
      <c r="C9566" s="1" t="s">
        <v>56</v>
      </c>
      <c r="D9566" s="1">
        <v>1.0</v>
      </c>
      <c r="E9566" s="1">
        <v>23363.0</v>
      </c>
      <c r="F9566" s="10">
        <f t="shared" si="1"/>
        <v>1</v>
      </c>
      <c r="G9566" s="10">
        <f t="array" ref="G9566">index('Player ID'!C:C,match(E9566,'Player ID'!B:B,0))</f>
        <v>676395</v>
      </c>
    </row>
    <row r="9567">
      <c r="A9567" s="76">
        <v>45828.0</v>
      </c>
      <c r="B9567" s="1" t="s">
        <v>277</v>
      </c>
      <c r="C9567" s="1" t="s">
        <v>60</v>
      </c>
      <c r="D9567" s="1">
        <v>2.0</v>
      </c>
      <c r="E9567" s="1">
        <v>23793.0</v>
      </c>
      <c r="F9567" s="10">
        <f t="shared" si="1"/>
        <v>2</v>
      </c>
      <c r="G9567" s="10" t="str">
        <f t="array" ref="G9567">index('Player ID'!C:C,match(E9567,'Player ID'!B:B,0))</f>
        <v>#N/A</v>
      </c>
    </row>
    <row r="9568">
      <c r="A9568" s="76">
        <v>45828.0</v>
      </c>
      <c r="B9568" s="1" t="s">
        <v>320</v>
      </c>
      <c r="C9568" s="1" t="s">
        <v>60</v>
      </c>
      <c r="D9568" s="1">
        <v>4.2</v>
      </c>
      <c r="E9568" s="1">
        <v>24728.0</v>
      </c>
      <c r="F9568" s="10">
        <f t="shared" si="1"/>
        <v>4.666666667</v>
      </c>
      <c r="G9568" s="10">
        <f t="array" ref="G9568">index('Player ID'!C:C,match(E9568,'Player ID'!B:B,0))</f>
        <v>681347</v>
      </c>
    </row>
    <row r="9569">
      <c r="A9569" s="76">
        <v>45828.0</v>
      </c>
      <c r="B9569" s="1" t="s">
        <v>448</v>
      </c>
      <c r="C9569" s="1" t="s">
        <v>62</v>
      </c>
      <c r="D9569" s="1">
        <v>1.2</v>
      </c>
      <c r="E9569" s="1">
        <v>17381.0</v>
      </c>
      <c r="F9569" s="10">
        <f t="shared" si="1"/>
        <v>1.666666667</v>
      </c>
      <c r="G9569" s="10" t="str">
        <f t="array" ref="G9569">index('Player ID'!C:C,match(E9569,'Player ID'!B:B,0))</f>
        <v>#N/A</v>
      </c>
    </row>
    <row r="9570">
      <c r="A9570" s="76">
        <v>45828.0</v>
      </c>
      <c r="B9570" s="1" t="s">
        <v>316</v>
      </c>
      <c r="C9570" s="1" t="s">
        <v>62</v>
      </c>
      <c r="D9570" s="1">
        <v>2.1</v>
      </c>
      <c r="E9570" s="1">
        <v>17479.0</v>
      </c>
      <c r="F9570" s="10">
        <f t="shared" si="1"/>
        <v>2.333333333</v>
      </c>
      <c r="G9570" s="10">
        <f t="array" ref="G9570">index('Player ID'!C:C,match(E9570,'Player ID'!B:B,0))</f>
        <v>656427</v>
      </c>
    </row>
    <row r="9571">
      <c r="A9571" s="76">
        <v>45828.0</v>
      </c>
      <c r="B9571" s="1" t="s">
        <v>736</v>
      </c>
      <c r="C9571" s="1" t="s">
        <v>54</v>
      </c>
      <c r="D9571" s="1">
        <v>1.2</v>
      </c>
      <c r="E9571" s="1">
        <v>19586.0</v>
      </c>
      <c r="F9571" s="10">
        <f t="shared" si="1"/>
        <v>1.666666667</v>
      </c>
      <c r="G9571" s="10">
        <f t="array" ref="G9571">index('Player ID'!C:C,match(E9571,'Player ID'!B:B,0))</f>
        <v>666215</v>
      </c>
    </row>
    <row r="9572">
      <c r="A9572" s="76">
        <v>45828.0</v>
      </c>
      <c r="B9572" s="1" t="s">
        <v>242</v>
      </c>
      <c r="C9572" s="1" t="s">
        <v>54</v>
      </c>
      <c r="D9572" s="1">
        <v>5.1</v>
      </c>
      <c r="E9572" s="1">
        <v>22264.0</v>
      </c>
      <c r="F9572" s="10">
        <f t="shared" si="1"/>
        <v>5.333333333</v>
      </c>
      <c r="G9572" s="10">
        <f t="array" ref="G9572">index('Player ID'!C:C,match(E9572,'Player ID'!B:B,0))</f>
        <v>669358</v>
      </c>
    </row>
    <row r="9573">
      <c r="A9573" s="76">
        <v>45828.0</v>
      </c>
      <c r="B9573" s="1" t="s">
        <v>289</v>
      </c>
      <c r="C9573" s="1" t="s">
        <v>62</v>
      </c>
      <c r="D9573" s="1">
        <v>2.0</v>
      </c>
      <c r="E9573" s="1">
        <v>22304.0</v>
      </c>
      <c r="F9573" s="10">
        <f t="shared" si="1"/>
        <v>2</v>
      </c>
      <c r="G9573" s="10">
        <f t="array" ref="G9573">index('Player ID'!C:C,match(E9573,'Player ID'!B:B,0))</f>
        <v>669724</v>
      </c>
    </row>
    <row r="9574">
      <c r="A9574" s="76">
        <v>45828.0</v>
      </c>
      <c r="B9574" s="1" t="s">
        <v>701</v>
      </c>
      <c r="C9574" s="1" t="s">
        <v>62</v>
      </c>
      <c r="D9574" s="1">
        <v>1.0</v>
      </c>
      <c r="E9574" s="1">
        <v>22713.0</v>
      </c>
      <c r="F9574" s="10">
        <f t="shared" si="1"/>
        <v>1</v>
      </c>
      <c r="G9574" s="10">
        <f t="array" ref="G9574">index('Player ID'!C:C,match(E9574,'Player ID'!B:B,0))</f>
        <v>672578</v>
      </c>
    </row>
    <row r="9575">
      <c r="A9575" s="76">
        <v>45828.0</v>
      </c>
      <c r="B9575" s="1" t="s">
        <v>257</v>
      </c>
      <c r="C9575" s="1" t="s">
        <v>54</v>
      </c>
      <c r="D9575" s="1">
        <v>2.0</v>
      </c>
      <c r="E9575" s="1">
        <v>27626.0</v>
      </c>
      <c r="F9575" s="10">
        <f t="shared" si="1"/>
        <v>2</v>
      </c>
      <c r="G9575" s="10">
        <f t="array" ref="G9575">index('Player ID'!C:C,match(E9575,'Player ID'!B:B,0))</f>
        <v>679358</v>
      </c>
    </row>
    <row r="9576">
      <c r="A9576" s="76">
        <v>45828.0</v>
      </c>
      <c r="B9576" s="1" t="s">
        <v>160</v>
      </c>
      <c r="C9576" s="1" t="s">
        <v>62</v>
      </c>
      <c r="D9576" s="1">
        <v>1.0</v>
      </c>
      <c r="E9576" s="1">
        <v>29574.0</v>
      </c>
      <c r="F9576" s="10">
        <f t="shared" si="1"/>
        <v>1</v>
      </c>
      <c r="G9576" s="10">
        <f t="array" ref="G9576">index('Player ID'!C:C,match(E9576,'Player ID'!B:B,0))</f>
        <v>695445</v>
      </c>
    </row>
    <row r="9577">
      <c r="A9577" s="76">
        <v>45828.0</v>
      </c>
      <c r="B9577" s="1" t="s">
        <v>166</v>
      </c>
      <c r="C9577" s="1" t="s">
        <v>58</v>
      </c>
      <c r="D9577" s="1">
        <v>6.0</v>
      </c>
      <c r="E9577" s="1">
        <v>13743.0</v>
      </c>
      <c r="F9577" s="10">
        <f t="shared" si="1"/>
        <v>6</v>
      </c>
      <c r="G9577" s="10">
        <f t="array" ref="G9577">index('Player ID'!C:C,match(E9577,'Player ID'!B:B,0))</f>
        <v>608331</v>
      </c>
    </row>
    <row r="9578">
      <c r="A9578" s="76">
        <v>45828.0</v>
      </c>
      <c r="B9578" s="1" t="s">
        <v>233</v>
      </c>
      <c r="C9578" s="1" t="s">
        <v>68</v>
      </c>
      <c r="D9578" s="1">
        <v>2.0</v>
      </c>
      <c r="E9578" s="1">
        <v>16427.0</v>
      </c>
      <c r="F9578" s="10">
        <f t="shared" si="1"/>
        <v>2</v>
      </c>
      <c r="G9578" s="10">
        <f t="array" ref="G9578">index('Player ID'!C:C,match(E9578,'Player ID'!B:B,0))</f>
        <v>656240</v>
      </c>
    </row>
    <row r="9579">
      <c r="A9579" s="76">
        <v>45828.0</v>
      </c>
      <c r="B9579" s="1" t="s">
        <v>69</v>
      </c>
      <c r="C9579" s="1" t="s">
        <v>58</v>
      </c>
      <c r="D9579" s="1">
        <v>0.1</v>
      </c>
      <c r="E9579" s="1">
        <v>16814.0</v>
      </c>
      <c r="F9579" s="10">
        <f t="shared" si="1"/>
        <v>0.3333333333</v>
      </c>
      <c r="G9579" s="10">
        <f t="array" ref="G9579">index('Player ID'!C:C,match(E9579,'Player ID'!B:B,0))</f>
        <v>657612</v>
      </c>
    </row>
    <row r="9580">
      <c r="A9580" s="76">
        <v>45828.0</v>
      </c>
      <c r="B9580" s="1" t="s">
        <v>225</v>
      </c>
      <c r="C9580" s="1" t="s">
        <v>58</v>
      </c>
      <c r="D9580" s="1">
        <v>0.2</v>
      </c>
      <c r="E9580" s="1">
        <v>16918.0</v>
      </c>
      <c r="F9580" s="10">
        <f t="shared" si="1"/>
        <v>0.6666666667</v>
      </c>
      <c r="G9580" s="10">
        <f t="array" ref="G9580">index('Player ID'!C:C,match(E9580,'Player ID'!B:B,0))</f>
        <v>596133</v>
      </c>
    </row>
    <row r="9581">
      <c r="A9581" s="76">
        <v>45828.0</v>
      </c>
      <c r="B9581" s="1" t="s">
        <v>520</v>
      </c>
      <c r="C9581" s="1" t="s">
        <v>58</v>
      </c>
      <c r="D9581" s="1">
        <v>1.0</v>
      </c>
      <c r="E9581" s="1">
        <v>19261.0</v>
      </c>
      <c r="F9581" s="10">
        <f t="shared" si="1"/>
        <v>1</v>
      </c>
      <c r="G9581" s="10">
        <f t="array" ref="G9581">index('Player ID'!C:C,match(E9581,'Player ID'!B:B,0))</f>
        <v>641656</v>
      </c>
    </row>
    <row r="9582">
      <c r="A9582" s="76">
        <v>45828.0</v>
      </c>
      <c r="B9582" s="1" t="s">
        <v>231</v>
      </c>
      <c r="C9582" s="1" t="s">
        <v>68</v>
      </c>
      <c r="D9582" s="1">
        <v>1.1</v>
      </c>
      <c r="E9582" s="1">
        <v>19362.0</v>
      </c>
      <c r="F9582" s="10">
        <f t="shared" si="1"/>
        <v>1.333333333</v>
      </c>
      <c r="G9582" s="10">
        <f t="array" ref="G9582">index('Player ID'!C:C,match(E9582,'Player ID'!B:B,0))</f>
        <v>669211</v>
      </c>
    </row>
    <row r="9583">
      <c r="A9583" s="76">
        <v>45828.0</v>
      </c>
      <c r="B9583" s="1" t="s">
        <v>831</v>
      </c>
      <c r="C9583" s="1" t="s">
        <v>58</v>
      </c>
      <c r="D9583" s="1">
        <v>1.0</v>
      </c>
      <c r="E9583" s="1">
        <v>19753.0</v>
      </c>
      <c r="F9583" s="10">
        <f t="shared" si="1"/>
        <v>1</v>
      </c>
      <c r="G9583" s="10">
        <f t="array" ref="G9583">index('Player ID'!C:C,match(E9583,'Player ID'!B:B,0))</f>
        <v>642528</v>
      </c>
    </row>
    <row r="9584">
      <c r="A9584" s="76">
        <v>45828.0</v>
      </c>
      <c r="B9584" s="1" t="s">
        <v>698</v>
      </c>
      <c r="C9584" s="1" t="s">
        <v>68</v>
      </c>
      <c r="D9584" s="1">
        <v>1.0</v>
      </c>
      <c r="E9584" s="1">
        <v>20666.0</v>
      </c>
      <c r="F9584" s="10">
        <f t="shared" si="1"/>
        <v>1</v>
      </c>
      <c r="G9584" s="10">
        <f t="array" ref="G9584">index('Player ID'!C:C,match(E9584,'Player ID'!B:B,0))</f>
        <v>642585</v>
      </c>
    </row>
    <row r="9585">
      <c r="A9585" s="76">
        <v>45828.0</v>
      </c>
      <c r="B9585" s="1" t="s">
        <v>235</v>
      </c>
      <c r="C9585" s="1" t="s">
        <v>68</v>
      </c>
      <c r="D9585" s="1">
        <v>1.0</v>
      </c>
      <c r="E9585" s="1">
        <v>25911.0</v>
      </c>
      <c r="F9585" s="10">
        <f t="shared" si="1"/>
        <v>1</v>
      </c>
      <c r="G9585" s="10">
        <f t="array" ref="G9585">index('Player ID'!C:C,match(E9585,'Player ID'!B:B,0))</f>
        <v>666974</v>
      </c>
    </row>
    <row r="9586">
      <c r="A9586" s="76">
        <v>45828.0</v>
      </c>
      <c r="B9586" s="1" t="s">
        <v>158</v>
      </c>
      <c r="C9586" s="1" t="s">
        <v>68</v>
      </c>
      <c r="D9586" s="1">
        <v>3.2</v>
      </c>
      <c r="E9586" s="1">
        <v>35321.0</v>
      </c>
      <c r="F9586" s="10">
        <f t="shared" si="1"/>
        <v>3.666666667</v>
      </c>
      <c r="G9586" s="10">
        <f t="array" ref="G9586">index('Player ID'!C:C,match(E9586,'Player ID'!B:B,0))</f>
        <v>608372</v>
      </c>
    </row>
    <row r="9587">
      <c r="A9587" s="76">
        <v>45828.0</v>
      </c>
      <c r="B9587" s="1" t="s">
        <v>174</v>
      </c>
      <c r="C9587" s="1" t="s">
        <v>40</v>
      </c>
      <c r="D9587" s="1">
        <v>1.0</v>
      </c>
      <c r="E9587" s="1">
        <v>15552.0</v>
      </c>
      <c r="F9587" s="10">
        <f t="shared" si="1"/>
        <v>1</v>
      </c>
      <c r="G9587" s="10">
        <f t="array" ref="G9587">index('Player ID'!C:C,match(E9587,'Player ID'!B:B,0))</f>
        <v>643338</v>
      </c>
    </row>
    <row r="9588">
      <c r="A9588" s="76">
        <v>45828.0</v>
      </c>
      <c r="B9588" s="1" t="s">
        <v>874</v>
      </c>
      <c r="C9588" s="1" t="s">
        <v>40</v>
      </c>
      <c r="D9588" s="1">
        <v>2.0</v>
      </c>
      <c r="E9588" s="1">
        <v>16207.0</v>
      </c>
      <c r="F9588" s="10">
        <f t="shared" si="1"/>
        <v>2</v>
      </c>
      <c r="G9588" s="10" t="str">
        <f t="array" ref="G9588">index('Player ID'!C:C,match(E9588,'Player ID'!B:B,0))</f>
        <v>#N/A</v>
      </c>
    </row>
    <row r="9589">
      <c r="A9589" s="76">
        <v>45828.0</v>
      </c>
      <c r="B9589" s="1" t="s">
        <v>851</v>
      </c>
      <c r="C9589" s="1" t="s">
        <v>78</v>
      </c>
      <c r="D9589" s="1">
        <v>1.0</v>
      </c>
      <c r="E9589" s="1">
        <v>16507.0</v>
      </c>
      <c r="F9589" s="10">
        <f t="shared" si="1"/>
        <v>1</v>
      </c>
      <c r="G9589" s="10" t="str">
        <f t="array" ref="G9589">index('Player ID'!C:C,match(E9589,'Player ID'!B:B,0))</f>
        <v>#N/A</v>
      </c>
    </row>
    <row r="9590">
      <c r="A9590" s="76">
        <v>45828.0</v>
      </c>
      <c r="B9590" s="1" t="s">
        <v>311</v>
      </c>
      <c r="C9590" s="1" t="s">
        <v>40</v>
      </c>
      <c r="D9590" s="1">
        <v>1.0</v>
      </c>
      <c r="E9590" s="1">
        <v>17432.0</v>
      </c>
      <c r="F9590" s="10">
        <f t="shared" si="1"/>
        <v>1</v>
      </c>
      <c r="G9590" s="10">
        <f t="array" ref="G9590">index('Player ID'!C:C,match(E9590,'Player ID'!B:B,0))</f>
        <v>656546</v>
      </c>
    </row>
    <row r="9591">
      <c r="A9591" s="76">
        <v>45828.0</v>
      </c>
      <c r="B9591" s="1" t="s">
        <v>187</v>
      </c>
      <c r="C9591" s="1" t="s">
        <v>78</v>
      </c>
      <c r="D9591" s="1">
        <v>4.0</v>
      </c>
      <c r="E9591" s="1">
        <v>17735.0</v>
      </c>
      <c r="F9591" s="10">
        <f t="shared" si="1"/>
        <v>4</v>
      </c>
      <c r="G9591" s="10">
        <f t="array" ref="G9591">index('Player ID'!C:C,match(E9591,'Player ID'!B:B,0))</f>
        <v>641302</v>
      </c>
    </row>
    <row r="9592">
      <c r="A9592" s="76">
        <v>45828.0</v>
      </c>
      <c r="B9592" s="1" t="s">
        <v>478</v>
      </c>
      <c r="C9592" s="1" t="s">
        <v>78</v>
      </c>
      <c r="D9592" s="1">
        <v>1.0</v>
      </c>
      <c r="E9592" s="1">
        <v>17964.0</v>
      </c>
      <c r="F9592" s="10">
        <f t="shared" si="1"/>
        <v>1</v>
      </c>
      <c r="G9592" s="10">
        <f t="array" ref="G9592">index('Player ID'!C:C,match(E9592,'Player ID'!B:B,0))</f>
        <v>656457</v>
      </c>
    </row>
    <row r="9593">
      <c r="A9593" s="76">
        <v>45828.0</v>
      </c>
      <c r="B9593" s="1" t="s">
        <v>641</v>
      </c>
      <c r="C9593" s="1" t="s">
        <v>40</v>
      </c>
      <c r="D9593" s="1">
        <v>1.0</v>
      </c>
      <c r="E9593" s="1">
        <v>20517.0</v>
      </c>
      <c r="F9593" s="10">
        <f t="shared" si="1"/>
        <v>1</v>
      </c>
      <c r="G9593" s="10">
        <f t="array" ref="G9593">index('Player ID'!C:C,match(E9593,'Player ID'!B:B,0))</f>
        <v>680704</v>
      </c>
    </row>
    <row r="9594">
      <c r="A9594" s="76">
        <v>45828.0</v>
      </c>
      <c r="B9594" s="1" t="s">
        <v>395</v>
      </c>
      <c r="C9594" s="1" t="s">
        <v>40</v>
      </c>
      <c r="D9594" s="1">
        <v>1.0</v>
      </c>
      <c r="E9594" s="1">
        <v>21574.0</v>
      </c>
      <c r="F9594" s="10">
        <f t="shared" si="1"/>
        <v>1</v>
      </c>
      <c r="G9594" s="10">
        <f t="array" ref="G9594">index('Player ID'!C:C,match(E9594,'Player ID'!B:B,0))</f>
        <v>663893</v>
      </c>
    </row>
    <row r="9595">
      <c r="A9595" s="76">
        <v>45828.0</v>
      </c>
      <c r="B9595" s="1" t="s">
        <v>315</v>
      </c>
      <c r="C9595" s="1" t="s">
        <v>40</v>
      </c>
      <c r="D9595" s="1">
        <v>2.0</v>
      </c>
      <c r="E9595" s="1">
        <v>24609.0</v>
      </c>
      <c r="F9595" s="10">
        <f t="shared" si="1"/>
        <v>2</v>
      </c>
      <c r="G9595" s="10">
        <f t="array" ref="G9595">index('Player ID'!C:C,match(E9595,'Player ID'!B:B,0))</f>
        <v>680755</v>
      </c>
    </row>
    <row r="9596">
      <c r="A9596" s="76">
        <v>45828.0</v>
      </c>
      <c r="B9596" s="1" t="s">
        <v>887</v>
      </c>
      <c r="C9596" s="1" t="s">
        <v>78</v>
      </c>
      <c r="D9596" s="1">
        <v>2.0</v>
      </c>
      <c r="E9596" s="1">
        <v>26641.0</v>
      </c>
      <c r="F9596" s="10">
        <f t="shared" si="1"/>
        <v>2</v>
      </c>
      <c r="G9596" s="10" t="str">
        <f t="array" ref="G9596">index('Player ID'!C:C,match(E9596,'Player ID'!B:B,0))</f>
        <v>#N/A</v>
      </c>
    </row>
    <row r="9597">
      <c r="A9597" s="76">
        <v>45828.0</v>
      </c>
      <c r="B9597" s="1" t="s">
        <v>142</v>
      </c>
      <c r="C9597" s="1" t="s">
        <v>40</v>
      </c>
      <c r="D9597" s="1">
        <v>1.0</v>
      </c>
      <c r="E9597" s="1">
        <v>31553.0</v>
      </c>
      <c r="F9597" s="10">
        <f t="shared" si="1"/>
        <v>1</v>
      </c>
      <c r="G9597" s="10">
        <f t="array" ref="G9597">index('Player ID'!C:C,match(E9597,'Player ID'!B:B,0))</f>
        <v>689254</v>
      </c>
    </row>
    <row r="9598">
      <c r="A9598" s="76">
        <v>45828.0</v>
      </c>
      <c r="B9598" s="1" t="s">
        <v>106</v>
      </c>
      <c r="C9598" s="1" t="s">
        <v>78</v>
      </c>
      <c r="D9598" s="1">
        <v>1.0</v>
      </c>
      <c r="E9598" s="1">
        <v>33927.0</v>
      </c>
      <c r="F9598" s="10">
        <f t="shared" si="1"/>
        <v>1</v>
      </c>
      <c r="G9598" s="10" t="str">
        <f t="array" ref="G9598">index('Player ID'!C:C,match(E9598,'Player ID'!B:B,0))</f>
        <v>#N/A</v>
      </c>
    </row>
    <row r="9599">
      <c r="A9599" s="76">
        <v>45828.0</v>
      </c>
      <c r="B9599" s="1" t="s">
        <v>178</v>
      </c>
      <c r="C9599" s="1" t="s">
        <v>46</v>
      </c>
      <c r="D9599" s="1">
        <v>0.2</v>
      </c>
      <c r="E9599" s="1">
        <v>13435.0</v>
      </c>
      <c r="F9599" s="10">
        <f t="shared" si="1"/>
        <v>0.6666666667</v>
      </c>
      <c r="G9599" s="10">
        <f t="array" ref="G9599">index('Player ID'!C:C,match(E9599,'Player ID'!B:B,0))</f>
        <v>572955</v>
      </c>
    </row>
    <row r="9600">
      <c r="A9600" s="76">
        <v>45828.0</v>
      </c>
      <c r="B9600" s="1" t="s">
        <v>319</v>
      </c>
      <c r="C9600" s="1" t="s">
        <v>46</v>
      </c>
      <c r="D9600" s="1">
        <v>1.1</v>
      </c>
      <c r="E9600" s="1">
        <v>16258.0</v>
      </c>
      <c r="F9600" s="10">
        <f t="shared" si="1"/>
        <v>1.333333333</v>
      </c>
      <c r="G9600" s="10">
        <f t="array" ref="G9600">index('Player ID'!C:C,match(E9600,'Player ID'!B:B,0))</f>
        <v>607481</v>
      </c>
    </row>
    <row r="9601">
      <c r="A9601" s="76">
        <v>45828.0</v>
      </c>
      <c r="B9601" s="1" t="s">
        <v>262</v>
      </c>
      <c r="C9601" s="1" t="s">
        <v>36</v>
      </c>
      <c r="D9601" s="1">
        <v>1.0</v>
      </c>
      <c r="E9601" s="1">
        <v>20116.0</v>
      </c>
      <c r="F9601" s="10">
        <f t="shared" si="1"/>
        <v>1</v>
      </c>
      <c r="G9601" s="10">
        <f t="array" ref="G9601">index('Player ID'!C:C,match(E9601,'Player ID'!B:B,0))</f>
        <v>676534</v>
      </c>
    </row>
    <row r="9602">
      <c r="A9602" s="76">
        <v>45828.0</v>
      </c>
      <c r="B9602" s="1" t="s">
        <v>61</v>
      </c>
      <c r="C9602" s="1" t="s">
        <v>36</v>
      </c>
      <c r="D9602" s="1">
        <v>1.0</v>
      </c>
      <c r="E9602" s="1">
        <v>20629.0</v>
      </c>
      <c r="F9602" s="10">
        <f t="shared" si="1"/>
        <v>1</v>
      </c>
      <c r="G9602" s="10">
        <f t="array" ref="G9602">index('Player ID'!C:C,match(E9602,'Player ID'!B:B,0))</f>
        <v>663969</v>
      </c>
    </row>
    <row r="9603">
      <c r="A9603" s="76">
        <v>45828.0</v>
      </c>
      <c r="B9603" s="1" t="s">
        <v>888</v>
      </c>
      <c r="C9603" s="1" t="s">
        <v>36</v>
      </c>
      <c r="D9603" s="1">
        <v>1.0</v>
      </c>
      <c r="E9603" s="1">
        <v>23091.0</v>
      </c>
      <c r="F9603" s="10">
        <f t="shared" si="1"/>
        <v>1</v>
      </c>
      <c r="G9603" s="10" t="str">
        <f t="array" ref="G9603">index('Player ID'!C:C,match(E9603,'Player ID'!B:B,0))</f>
        <v>#N/A</v>
      </c>
    </row>
    <row r="9604">
      <c r="A9604" s="76">
        <v>45828.0</v>
      </c>
      <c r="B9604" s="1" t="s">
        <v>35</v>
      </c>
      <c r="C9604" s="1" t="s">
        <v>36</v>
      </c>
      <c r="D9604" s="1">
        <v>5.0</v>
      </c>
      <c r="E9604" s="1">
        <v>23301.0</v>
      </c>
      <c r="F9604" s="10">
        <f t="shared" si="1"/>
        <v>5</v>
      </c>
      <c r="G9604" s="10">
        <f t="array" ref="G9604">index('Player ID'!C:C,match(E9604,'Player ID'!B:B,0))</f>
        <v>676083</v>
      </c>
    </row>
    <row r="9605">
      <c r="A9605" s="76">
        <v>45828.0</v>
      </c>
      <c r="B9605" s="1" t="s">
        <v>123</v>
      </c>
      <c r="C9605" s="1" t="s">
        <v>36</v>
      </c>
      <c r="D9605" s="1">
        <v>1.0</v>
      </c>
      <c r="E9605" s="1">
        <v>24094.0</v>
      </c>
      <c r="F9605" s="10">
        <f t="shared" si="1"/>
        <v>1</v>
      </c>
      <c r="G9605" s="10">
        <f t="array" ref="G9605">index('Player ID'!C:C,match(E9605,'Player ID'!B:B,0))</f>
        <v>678692</v>
      </c>
    </row>
    <row r="9606">
      <c r="A9606" s="76">
        <v>45828.0</v>
      </c>
      <c r="B9606" s="1" t="s">
        <v>244</v>
      </c>
      <c r="C9606" s="1" t="s">
        <v>46</v>
      </c>
      <c r="D9606" s="1">
        <v>1.0</v>
      </c>
      <c r="E9606" s="1">
        <v>29928.0</v>
      </c>
      <c r="F9606" s="10">
        <f t="shared" si="1"/>
        <v>1</v>
      </c>
      <c r="G9606" s="10" t="str">
        <f t="array" ref="G9606">index('Player ID'!C:C,match(E9606,'Player ID'!B:B,0))</f>
        <v>#N/A</v>
      </c>
    </row>
    <row r="9607">
      <c r="A9607" s="76">
        <v>45828.0</v>
      </c>
      <c r="B9607" s="1" t="s">
        <v>553</v>
      </c>
      <c r="C9607" s="1" t="s">
        <v>46</v>
      </c>
      <c r="D9607" s="1">
        <v>5.0</v>
      </c>
      <c r="E9607" s="1">
        <v>30661.0</v>
      </c>
      <c r="F9607" s="10">
        <f t="shared" si="1"/>
        <v>5</v>
      </c>
      <c r="G9607" s="10">
        <f t="array" ref="G9607">index('Player ID'!C:C,match(E9607,'Player ID'!B:B,0))</f>
        <v>800311</v>
      </c>
    </row>
    <row r="9608">
      <c r="A9608" s="76">
        <v>45828.0</v>
      </c>
      <c r="B9608" s="1" t="s">
        <v>362</v>
      </c>
      <c r="C9608" s="1" t="s">
        <v>66</v>
      </c>
      <c r="D9608" s="1">
        <v>0.1</v>
      </c>
      <c r="E9608" s="1">
        <v>13449.0</v>
      </c>
      <c r="F9608" s="10">
        <f t="shared" si="1"/>
        <v>0.3333333333</v>
      </c>
      <c r="G9608" s="10">
        <f t="array" ref="G9608">index('Player ID'!C:C,match(E9608,'Player ID'!B:B,0))</f>
        <v>573124</v>
      </c>
    </row>
    <row r="9609">
      <c r="A9609" s="76">
        <v>45828.0</v>
      </c>
      <c r="B9609" s="1" t="s">
        <v>475</v>
      </c>
      <c r="C9609" s="1" t="s">
        <v>66</v>
      </c>
      <c r="D9609" s="1">
        <v>0.1</v>
      </c>
      <c r="E9609" s="1">
        <v>14993.0</v>
      </c>
      <c r="F9609" s="10">
        <f t="shared" si="1"/>
        <v>0.3333333333</v>
      </c>
      <c r="G9609" s="10">
        <f t="array" ref="G9609">index('Player ID'!C:C,match(E9609,'Player ID'!B:B,0))</f>
        <v>605130</v>
      </c>
    </row>
    <row r="9610">
      <c r="A9610" s="76">
        <v>45828.0</v>
      </c>
      <c r="B9610" s="1" t="s">
        <v>190</v>
      </c>
      <c r="C9610" s="1" t="s">
        <v>72</v>
      </c>
      <c r="D9610" s="1">
        <v>1.0</v>
      </c>
      <c r="E9610" s="1">
        <v>18064.0</v>
      </c>
      <c r="F9610" s="10">
        <f t="shared" si="1"/>
        <v>1</v>
      </c>
      <c r="G9610" s="10">
        <f t="array" ref="G9610">index('Player ID'!C:C,match(E9610,'Player ID'!B:B,0))</f>
        <v>664208</v>
      </c>
    </row>
    <row r="9611">
      <c r="A9611" s="76">
        <v>45828.0</v>
      </c>
      <c r="B9611" s="1" t="s">
        <v>193</v>
      </c>
      <c r="C9611" s="1" t="s">
        <v>72</v>
      </c>
      <c r="D9611" s="1">
        <v>1.0</v>
      </c>
      <c r="E9611" s="1">
        <v>19574.0</v>
      </c>
      <c r="F9611" s="10">
        <f t="shared" si="1"/>
        <v>1</v>
      </c>
      <c r="G9611" s="10">
        <f t="array" ref="G9611">index('Player ID'!C:C,match(E9611,'Player ID'!B:B,0))</f>
        <v>668941</v>
      </c>
    </row>
    <row r="9612">
      <c r="A9612" s="76">
        <v>45828.0</v>
      </c>
      <c r="B9612" s="1" t="s">
        <v>345</v>
      </c>
      <c r="C9612" s="1" t="s">
        <v>66</v>
      </c>
      <c r="D9612" s="1">
        <v>0.1</v>
      </c>
      <c r="E9612" s="1">
        <v>19926.0</v>
      </c>
      <c r="F9612" s="10">
        <f t="shared" si="1"/>
        <v>0.3333333333</v>
      </c>
      <c r="G9612" s="10">
        <f t="array" ref="G9612">index('Player ID'!C:C,match(E9612,'Player ID'!B:B,0))</f>
        <v>663574</v>
      </c>
    </row>
    <row r="9613">
      <c r="A9613" s="76">
        <v>45828.0</v>
      </c>
      <c r="B9613" s="1" t="s">
        <v>409</v>
      </c>
      <c r="C9613" s="1" t="s">
        <v>72</v>
      </c>
      <c r="D9613" s="1">
        <v>0.2</v>
      </c>
      <c r="E9613" s="1">
        <v>20348.0</v>
      </c>
      <c r="F9613" s="10">
        <f t="shared" si="1"/>
        <v>0.6666666667</v>
      </c>
      <c r="G9613" s="10">
        <f t="array" ref="G9613">index('Player ID'!C:C,match(E9613,'Player ID'!B:B,0))</f>
        <v>676617</v>
      </c>
    </row>
    <row r="9614">
      <c r="A9614" s="76">
        <v>45828.0</v>
      </c>
      <c r="B9614" s="1" t="s">
        <v>273</v>
      </c>
      <c r="C9614" s="1" t="s">
        <v>72</v>
      </c>
      <c r="D9614" s="1">
        <v>0.1</v>
      </c>
      <c r="E9614" s="1">
        <v>22051.0</v>
      </c>
      <c r="F9614" s="10">
        <f t="shared" si="1"/>
        <v>0.3333333333</v>
      </c>
      <c r="G9614" s="10">
        <f t="array" ref="G9614">index('Player ID'!C:C,match(E9614,'Player ID'!B:B,0))</f>
        <v>667463</v>
      </c>
    </row>
    <row r="9615">
      <c r="A9615" s="76">
        <v>45828.0</v>
      </c>
      <c r="B9615" s="1" t="s">
        <v>353</v>
      </c>
      <c r="C9615" s="1" t="s">
        <v>66</v>
      </c>
      <c r="D9615" s="1">
        <v>6.0</v>
      </c>
      <c r="E9615" s="1">
        <v>25377.0</v>
      </c>
      <c r="F9615" s="10">
        <f t="shared" si="1"/>
        <v>6</v>
      </c>
      <c r="G9615" s="10">
        <f t="array" ref="G9615">index('Player ID'!C:C,match(E9615,'Player ID'!B:B,0))</f>
        <v>663903</v>
      </c>
    </row>
    <row r="9616">
      <c r="A9616" s="76">
        <v>45828.0</v>
      </c>
      <c r="B9616" s="1" t="s">
        <v>432</v>
      </c>
      <c r="C9616" s="1" t="s">
        <v>72</v>
      </c>
      <c r="D9616" s="1">
        <v>6.0</v>
      </c>
      <c r="E9616" s="1">
        <v>26108.0</v>
      </c>
      <c r="F9616" s="10">
        <f t="shared" si="1"/>
        <v>6</v>
      </c>
      <c r="G9616" s="10">
        <f t="array" ref="G9616">index('Player ID'!C:C,match(E9616,'Player ID'!B:B,0))</f>
        <v>669467</v>
      </c>
    </row>
    <row r="9617">
      <c r="A9617" s="76">
        <v>45828.0</v>
      </c>
      <c r="B9617" s="1" t="s">
        <v>889</v>
      </c>
      <c r="C9617" s="1" t="s">
        <v>66</v>
      </c>
      <c r="D9617" s="1">
        <v>1.0</v>
      </c>
      <c r="E9617" s="1">
        <v>27649.0</v>
      </c>
      <c r="F9617" s="10">
        <f t="shared" si="1"/>
        <v>1</v>
      </c>
      <c r="G9617" s="10" t="str">
        <f t="array" ref="G9617">index('Player ID'!C:C,match(E9617,'Player ID'!B:B,0))</f>
        <v>#N/A</v>
      </c>
    </row>
    <row r="9618">
      <c r="A9618" s="76">
        <v>45828.0</v>
      </c>
      <c r="B9618" s="1" t="s">
        <v>79</v>
      </c>
      <c r="C9618" s="1" t="s">
        <v>45</v>
      </c>
      <c r="D9618" s="1">
        <v>5.0</v>
      </c>
      <c r="E9618" s="1">
        <v>10310.0</v>
      </c>
      <c r="F9618" s="10">
        <f t="shared" si="1"/>
        <v>5</v>
      </c>
      <c r="G9618" s="10">
        <f t="array" ref="G9618">index('Player ID'!C:C,match(E9618,'Player ID'!B:B,0))</f>
        <v>554430</v>
      </c>
    </row>
    <row r="9619">
      <c r="A9619" s="76">
        <v>45828.0</v>
      </c>
      <c r="B9619" s="1" t="s">
        <v>453</v>
      </c>
      <c r="C9619" s="1" t="s">
        <v>45</v>
      </c>
      <c r="D9619" s="1">
        <v>0.1</v>
      </c>
      <c r="E9619" s="1">
        <v>11836.0</v>
      </c>
      <c r="F9619" s="10">
        <f t="shared" si="1"/>
        <v>0.3333333333</v>
      </c>
      <c r="G9619" s="10">
        <f t="array" ref="G9619">index('Player ID'!C:C,match(E9619,'Player ID'!B:B,0))</f>
        <v>592836</v>
      </c>
    </row>
    <row r="9620">
      <c r="A9620" s="76">
        <v>45828.0</v>
      </c>
      <c r="B9620" s="1" t="s">
        <v>295</v>
      </c>
      <c r="C9620" s="1" t="s">
        <v>51</v>
      </c>
      <c r="D9620" s="1">
        <v>0.0</v>
      </c>
      <c r="E9620" s="1">
        <v>16866.0</v>
      </c>
      <c r="F9620" s="10">
        <f t="shared" si="1"/>
        <v>0</v>
      </c>
      <c r="G9620" s="10">
        <f t="array" ref="G9620">index('Player ID'!C:C,match(E9620,'Player ID'!B:B,0))</f>
        <v>657585</v>
      </c>
    </row>
    <row r="9621">
      <c r="A9621" s="76">
        <v>45828.0</v>
      </c>
      <c r="B9621" s="1" t="s">
        <v>138</v>
      </c>
      <c r="C9621" s="1" t="s">
        <v>45</v>
      </c>
      <c r="D9621" s="1">
        <v>1.2</v>
      </c>
      <c r="E9621" s="1">
        <v>16990.0</v>
      </c>
      <c r="F9621" s="10">
        <f t="shared" si="1"/>
        <v>1.666666667</v>
      </c>
      <c r="G9621" s="10">
        <f t="array" ref="G9621">index('Player ID'!C:C,match(E9621,'Player ID'!B:B,0))</f>
        <v>621383</v>
      </c>
    </row>
    <row r="9622">
      <c r="A9622" s="76">
        <v>45828.0</v>
      </c>
      <c r="B9622" s="1" t="s">
        <v>826</v>
      </c>
      <c r="C9622" s="1" t="s">
        <v>51</v>
      </c>
      <c r="D9622" s="1">
        <v>0.1</v>
      </c>
      <c r="E9622" s="1">
        <v>17169.0</v>
      </c>
      <c r="F9622" s="10">
        <f t="shared" si="1"/>
        <v>0.3333333333</v>
      </c>
      <c r="G9622" s="10">
        <f t="array" ref="G9622">index('Player ID'!C:C,match(E9622,'Player ID'!B:B,0))</f>
        <v>620454</v>
      </c>
    </row>
    <row r="9623">
      <c r="A9623" s="76">
        <v>45828.0</v>
      </c>
      <c r="B9623" s="1" t="s">
        <v>872</v>
      </c>
      <c r="C9623" s="1" t="s">
        <v>51</v>
      </c>
      <c r="D9623" s="1">
        <v>2.0</v>
      </c>
      <c r="E9623" s="1">
        <v>19784.0</v>
      </c>
      <c r="F9623" s="10">
        <f t="shared" si="1"/>
        <v>2</v>
      </c>
      <c r="G9623" s="10" t="str">
        <f t="array" ref="G9623">index('Player ID'!C:C,match(E9623,'Player ID'!B:B,0))</f>
        <v>#N/A</v>
      </c>
    </row>
    <row r="9624">
      <c r="A9624" s="76">
        <v>45828.0</v>
      </c>
      <c r="B9624" s="1" t="s">
        <v>712</v>
      </c>
      <c r="C9624" s="1" t="s">
        <v>51</v>
      </c>
      <c r="D9624" s="1">
        <v>2.0</v>
      </c>
      <c r="E9624" s="1">
        <v>23313.0</v>
      </c>
      <c r="F9624" s="10">
        <f t="shared" si="1"/>
        <v>2</v>
      </c>
      <c r="G9624" s="10">
        <f t="array" ref="G9624">index('Player ID'!C:C,match(E9624,'Player ID'!B:B,0))</f>
        <v>676130</v>
      </c>
    </row>
    <row r="9625">
      <c r="A9625" s="76">
        <v>45828.0</v>
      </c>
      <c r="B9625" s="1" t="s">
        <v>258</v>
      </c>
      <c r="C9625" s="1" t="s">
        <v>45</v>
      </c>
      <c r="D9625" s="1">
        <v>2.0</v>
      </c>
      <c r="E9625" s="1">
        <v>23426.0</v>
      </c>
      <c r="F9625" s="10">
        <f t="shared" si="1"/>
        <v>2</v>
      </c>
      <c r="G9625" s="10" t="str">
        <f t="array" ref="G9625">index('Player ID'!C:C,match(E9625,'Player ID'!B:B,0))</f>
        <v>#N/A</v>
      </c>
    </row>
    <row r="9626">
      <c r="A9626" s="76">
        <v>45828.0</v>
      </c>
      <c r="B9626" s="1" t="s">
        <v>574</v>
      </c>
      <c r="C9626" s="1" t="s">
        <v>51</v>
      </c>
      <c r="D9626" s="1">
        <v>3.2</v>
      </c>
      <c r="E9626" s="1">
        <v>31701.0</v>
      </c>
      <c r="F9626" s="10">
        <f t="shared" si="1"/>
        <v>3.666666667</v>
      </c>
      <c r="G9626" s="10">
        <f t="array" ref="G9626">index('Player ID'!C:C,match(E9626,'Player ID'!B:B,0))</f>
        <v>694918</v>
      </c>
    </row>
    <row r="9627">
      <c r="A9627" s="76">
        <v>45828.0</v>
      </c>
      <c r="B9627" s="1" t="s">
        <v>435</v>
      </c>
      <c r="C9627" s="1" t="s">
        <v>16</v>
      </c>
      <c r="D9627" s="1">
        <v>0.2</v>
      </c>
      <c r="E9627" s="1">
        <v>13293.0</v>
      </c>
      <c r="F9627" s="10">
        <f t="shared" si="1"/>
        <v>0.6666666667</v>
      </c>
      <c r="G9627" s="10">
        <f t="array" ref="G9627">index('Player ID'!C:C,match(E9627,'Player ID'!B:B,0))</f>
        <v>543056</v>
      </c>
    </row>
    <row r="9628">
      <c r="A9628" s="76">
        <v>45828.0</v>
      </c>
      <c r="B9628" s="1" t="s">
        <v>146</v>
      </c>
      <c r="C9628" s="1" t="s">
        <v>16</v>
      </c>
      <c r="D9628" s="1">
        <v>0.1</v>
      </c>
      <c r="E9628" s="1">
        <v>15145.0</v>
      </c>
      <c r="F9628" s="10">
        <f t="shared" si="1"/>
        <v>0.3333333333</v>
      </c>
      <c r="G9628" s="10">
        <f t="array" ref="G9628">index('Player ID'!C:C,match(E9628,'Player ID'!B:B,0))</f>
        <v>623437</v>
      </c>
    </row>
    <row r="9629">
      <c r="A9629" s="76">
        <v>45828.0</v>
      </c>
      <c r="B9629" s="1" t="s">
        <v>689</v>
      </c>
      <c r="C9629" s="1" t="s">
        <v>14</v>
      </c>
      <c r="D9629" s="1">
        <v>1.0</v>
      </c>
      <c r="E9629" s="1">
        <v>15194.0</v>
      </c>
      <c r="F9629" s="10">
        <f t="shared" si="1"/>
        <v>1</v>
      </c>
      <c r="G9629" s="10">
        <f t="array" ref="G9629">index('Player ID'!C:C,match(E9629,'Player ID'!B:B,0))</f>
        <v>641343</v>
      </c>
    </row>
    <row r="9630">
      <c r="A9630" s="76">
        <v>45828.0</v>
      </c>
      <c r="B9630" s="1" t="s">
        <v>384</v>
      </c>
      <c r="C9630" s="1" t="s">
        <v>16</v>
      </c>
      <c r="D9630" s="1">
        <v>1.1</v>
      </c>
      <c r="E9630" s="1">
        <v>19962.0</v>
      </c>
      <c r="F9630" s="10">
        <f t="shared" si="1"/>
        <v>1.333333333</v>
      </c>
      <c r="G9630" s="10">
        <f t="array" ref="G9630">index('Player ID'!C:C,match(E9630,'Player ID'!B:B,0))</f>
        <v>666214</v>
      </c>
    </row>
    <row r="9631">
      <c r="A9631" s="76">
        <v>45828.0</v>
      </c>
      <c r="B9631" s="1" t="s">
        <v>122</v>
      </c>
      <c r="C9631" s="1" t="s">
        <v>16</v>
      </c>
      <c r="D9631" s="1">
        <v>0.1</v>
      </c>
      <c r="E9631" s="1">
        <v>21029.0</v>
      </c>
      <c r="F9631" s="10">
        <f t="shared" si="1"/>
        <v>0.3333333333</v>
      </c>
      <c r="G9631" s="10">
        <f t="array" ref="G9631">index('Player ID'!C:C,match(E9631,'Player ID'!B:B,0))</f>
        <v>661395</v>
      </c>
    </row>
    <row r="9632">
      <c r="A9632" s="76">
        <v>45828.0</v>
      </c>
      <c r="B9632" s="1" t="s">
        <v>150</v>
      </c>
      <c r="C9632" s="1" t="s">
        <v>16</v>
      </c>
      <c r="D9632" s="1">
        <v>5.1</v>
      </c>
      <c r="E9632" s="1">
        <v>21390.0</v>
      </c>
      <c r="F9632" s="10">
        <f t="shared" si="1"/>
        <v>5.333333333</v>
      </c>
      <c r="G9632" s="10">
        <f t="array" ref="G9632">index('Player ID'!C:C,match(E9632,'Player ID'!B:B,0))</f>
        <v>657746</v>
      </c>
    </row>
    <row r="9633">
      <c r="A9633" s="76">
        <v>45828.0</v>
      </c>
      <c r="B9633" s="1" t="s">
        <v>265</v>
      </c>
      <c r="C9633" s="1" t="s">
        <v>14</v>
      </c>
      <c r="D9633" s="1">
        <v>1.0</v>
      </c>
      <c r="E9633" s="1">
        <v>22207.0</v>
      </c>
      <c r="F9633" s="10">
        <f t="shared" si="1"/>
        <v>1</v>
      </c>
      <c r="G9633" s="10" t="str">
        <f t="array" ref="G9633">index('Player ID'!C:C,match(E9633,'Player ID'!B:B,0))</f>
        <v>#N/A</v>
      </c>
    </row>
    <row r="9634">
      <c r="A9634" s="76">
        <v>45828.0</v>
      </c>
      <c r="B9634" s="1" t="s">
        <v>864</v>
      </c>
      <c r="C9634" s="1" t="s">
        <v>16</v>
      </c>
      <c r="D9634" s="1">
        <v>1.0</v>
      </c>
      <c r="E9634" s="1">
        <v>24703.0</v>
      </c>
      <c r="F9634" s="10">
        <f t="shared" si="1"/>
        <v>1</v>
      </c>
      <c r="G9634" s="10" t="str">
        <f t="array" ref="G9634">index('Player ID'!C:C,match(E9634,'Player ID'!B:B,0))</f>
        <v>#N/A</v>
      </c>
    </row>
    <row r="9635">
      <c r="A9635" s="76">
        <v>45828.0</v>
      </c>
      <c r="B9635" s="1" t="s">
        <v>112</v>
      </c>
      <c r="C9635" s="1" t="s">
        <v>14</v>
      </c>
      <c r="D9635" s="1">
        <v>1.0</v>
      </c>
      <c r="E9635" s="1">
        <v>25376.0</v>
      </c>
      <c r="F9635" s="10">
        <f t="shared" si="1"/>
        <v>1</v>
      </c>
      <c r="G9635" s="10">
        <f t="array" ref="G9635">index('Player ID'!C:C,match(E9635,'Player ID'!B:B,0))</f>
        <v>683232</v>
      </c>
    </row>
    <row r="9636">
      <c r="A9636" s="76">
        <v>45828.0</v>
      </c>
      <c r="B9636" s="1" t="s">
        <v>188</v>
      </c>
      <c r="C9636" s="1" t="s">
        <v>14</v>
      </c>
      <c r="D9636" s="1">
        <v>6.0</v>
      </c>
      <c r="E9636" s="1">
        <v>31623.0</v>
      </c>
      <c r="F9636" s="10">
        <f t="shared" si="1"/>
        <v>6</v>
      </c>
      <c r="G9636" s="10">
        <f t="array" ref="G9636">index('Player ID'!C:C,match(E9636,'Player ID'!B:B,0))</f>
        <v>694819</v>
      </c>
    </row>
    <row r="9637">
      <c r="A9637" s="76">
        <v>45828.0</v>
      </c>
      <c r="B9637" s="1" t="s">
        <v>369</v>
      </c>
      <c r="C9637" s="1" t="s">
        <v>75</v>
      </c>
      <c r="D9637" s="1">
        <v>4.2</v>
      </c>
      <c r="E9637" s="1">
        <v>16561.0</v>
      </c>
      <c r="F9637" s="10">
        <f t="shared" si="1"/>
        <v>4.666666667</v>
      </c>
      <c r="G9637" s="10">
        <f t="array" ref="G9637">index('Player ID'!C:C,match(E9637,'Player ID'!B:B,0))</f>
        <v>596295</v>
      </c>
    </row>
    <row r="9638">
      <c r="A9638" s="76">
        <v>45828.0</v>
      </c>
      <c r="B9638" s="1" t="s">
        <v>489</v>
      </c>
      <c r="C9638" s="1" t="s">
        <v>64</v>
      </c>
      <c r="D9638" s="1">
        <v>1.0</v>
      </c>
      <c r="E9638" s="1">
        <v>17192.0</v>
      </c>
      <c r="F9638" s="10">
        <f t="shared" si="1"/>
        <v>1</v>
      </c>
      <c r="G9638" s="10">
        <f t="array" ref="G9638">index('Player ID'!C:C,match(E9638,'Player ID'!B:B,0))</f>
        <v>656222</v>
      </c>
    </row>
    <row r="9639">
      <c r="A9639" s="76">
        <v>45828.0</v>
      </c>
      <c r="B9639" s="1" t="s">
        <v>195</v>
      </c>
      <c r="C9639" s="1" t="s">
        <v>64</v>
      </c>
      <c r="D9639" s="1">
        <v>5.0</v>
      </c>
      <c r="E9639" s="1">
        <v>19291.0</v>
      </c>
      <c r="F9639" s="10">
        <f t="shared" si="1"/>
        <v>5</v>
      </c>
      <c r="G9639" s="10">
        <f t="array" ref="G9639">index('Player ID'!C:C,match(E9639,'Player ID'!B:B,0))</f>
        <v>668678</v>
      </c>
    </row>
    <row r="9640">
      <c r="A9640" s="76">
        <v>45828.0</v>
      </c>
      <c r="B9640" s="1" t="s">
        <v>823</v>
      </c>
      <c r="C9640" s="1" t="s">
        <v>64</v>
      </c>
      <c r="D9640" s="1">
        <v>1.0</v>
      </c>
      <c r="E9640" s="1">
        <v>19876.0</v>
      </c>
      <c r="F9640" s="10">
        <f t="shared" si="1"/>
        <v>1</v>
      </c>
      <c r="G9640" s="10">
        <f t="array" ref="G9640">index('Player ID'!C:C,match(E9640,'Player ID'!B:B,0))</f>
        <v>656464</v>
      </c>
    </row>
    <row r="9641">
      <c r="A9641" s="76">
        <v>45828.0</v>
      </c>
      <c r="B9641" s="1" t="s">
        <v>370</v>
      </c>
      <c r="C9641" s="1" t="s">
        <v>64</v>
      </c>
      <c r="D9641" s="1">
        <v>1.0</v>
      </c>
      <c r="E9641" s="1">
        <v>21924.0</v>
      </c>
      <c r="F9641" s="10">
        <f t="shared" si="1"/>
        <v>1</v>
      </c>
      <c r="G9641" s="10">
        <f t="array" ref="G9641">index('Player ID'!C:C,match(E9641,'Player ID'!B:B,0))</f>
        <v>666661</v>
      </c>
    </row>
    <row r="9642">
      <c r="A9642" s="76">
        <v>45828.0</v>
      </c>
      <c r="B9642" s="1" t="s">
        <v>305</v>
      </c>
      <c r="C9642" s="1" t="s">
        <v>75</v>
      </c>
      <c r="D9642" s="1">
        <v>1.0</v>
      </c>
      <c r="E9642" s="1">
        <v>22200.0</v>
      </c>
      <c r="F9642" s="10">
        <f t="shared" si="1"/>
        <v>1</v>
      </c>
      <c r="G9642" s="10">
        <f t="array" ref="G9642">index('Player ID'!C:C,match(E9642,'Player ID'!B:B,0))</f>
        <v>669020</v>
      </c>
    </row>
    <row r="9643">
      <c r="A9643" s="76">
        <v>45828.0</v>
      </c>
      <c r="B9643" s="1" t="s">
        <v>468</v>
      </c>
      <c r="C9643" s="1" t="s">
        <v>75</v>
      </c>
      <c r="D9643" s="1">
        <v>1.1</v>
      </c>
      <c r="E9643" s="1">
        <v>23237.0</v>
      </c>
      <c r="F9643" s="10">
        <f t="shared" si="1"/>
        <v>1.333333333</v>
      </c>
      <c r="G9643" s="10">
        <f t="array" ref="G9643">index('Player ID'!C:C,match(E9643,'Player ID'!B:B,0))</f>
        <v>675848</v>
      </c>
    </row>
    <row r="9644">
      <c r="A9644" s="76">
        <v>45828.0</v>
      </c>
      <c r="B9644" s="1" t="s">
        <v>517</v>
      </c>
      <c r="C9644" s="1" t="s">
        <v>75</v>
      </c>
      <c r="D9644" s="1">
        <v>2.0</v>
      </c>
      <c r="E9644" s="1">
        <v>26952.0</v>
      </c>
      <c r="F9644" s="10">
        <f t="shared" si="1"/>
        <v>2</v>
      </c>
      <c r="G9644" s="10">
        <f t="array" ref="G9644">index('Player ID'!C:C,match(E9644,'Player ID'!B:B,0))</f>
        <v>683627</v>
      </c>
    </row>
    <row r="9645">
      <c r="A9645" s="76">
        <v>45828.0</v>
      </c>
      <c r="B9645" s="1" t="s">
        <v>545</v>
      </c>
      <c r="C9645" s="1" t="s">
        <v>64</v>
      </c>
      <c r="D9645" s="1">
        <v>1.0</v>
      </c>
      <c r="E9645" s="1">
        <v>29615.0</v>
      </c>
      <c r="F9645" s="10">
        <f t="shared" si="1"/>
        <v>1</v>
      </c>
      <c r="G9645" s="10" t="str">
        <f t="array" ref="G9645">index('Player ID'!C:C,match(E9645,'Player ID'!B:B,0))</f>
        <v>#N/A</v>
      </c>
    </row>
    <row r="9646">
      <c r="A9646" s="76">
        <v>45828.0</v>
      </c>
      <c r="B9646" s="1" t="s">
        <v>154</v>
      </c>
      <c r="C9646" s="1" t="s">
        <v>25</v>
      </c>
      <c r="D9646" s="1">
        <v>1.0</v>
      </c>
      <c r="E9646" s="1">
        <v>3096.0</v>
      </c>
      <c r="F9646" s="10">
        <f t="shared" si="1"/>
        <v>1</v>
      </c>
      <c r="G9646" s="10">
        <f t="array" ref="G9646">index('Player ID'!C:C,match(E9646,'Player ID'!B:B,0))</f>
        <v>445276</v>
      </c>
    </row>
    <row r="9647">
      <c r="A9647" s="76">
        <v>45828.0</v>
      </c>
      <c r="B9647" s="1" t="s">
        <v>834</v>
      </c>
      <c r="C9647" s="1" t="s">
        <v>25</v>
      </c>
      <c r="D9647" s="1">
        <v>1.0</v>
      </c>
      <c r="E9647" s="1">
        <v>7836.0</v>
      </c>
      <c r="F9647" s="10">
        <f t="shared" si="1"/>
        <v>1</v>
      </c>
      <c r="G9647" s="10" t="str">
        <f t="array" ref="G9647">index('Player ID'!C:C,match(E9647,'Player ID'!B:B,0))</f>
        <v>#N/A</v>
      </c>
    </row>
    <row r="9648">
      <c r="A9648" s="76">
        <v>45828.0</v>
      </c>
      <c r="B9648" s="1" t="s">
        <v>59</v>
      </c>
      <c r="C9648" s="1" t="s">
        <v>39</v>
      </c>
      <c r="D9648" s="1">
        <v>1.0</v>
      </c>
      <c r="E9648" s="1">
        <v>14212.0</v>
      </c>
      <c r="F9648" s="10">
        <f t="shared" si="1"/>
        <v>1</v>
      </c>
      <c r="G9648" s="10">
        <f t="array" ref="G9648">index('Player ID'!C:C,match(E9648,'Player ID'!B:B,0))</f>
        <v>623352</v>
      </c>
    </row>
    <row r="9649">
      <c r="A9649" s="76">
        <v>45828.0</v>
      </c>
      <c r="B9649" s="1" t="s">
        <v>210</v>
      </c>
      <c r="C9649" s="1" t="s">
        <v>39</v>
      </c>
      <c r="D9649" s="1">
        <v>1.0</v>
      </c>
      <c r="E9649" s="1">
        <v>16609.0</v>
      </c>
      <c r="F9649" s="10">
        <f t="shared" si="1"/>
        <v>1</v>
      </c>
      <c r="G9649" s="10">
        <f t="array" ref="G9649">index('Player ID'!C:C,match(E9649,'Player ID'!B:B,0))</f>
        <v>650556</v>
      </c>
    </row>
    <row r="9650">
      <c r="A9650" s="76">
        <v>45828.0</v>
      </c>
      <c r="B9650" s="1" t="s">
        <v>232</v>
      </c>
      <c r="C9650" s="1" t="s">
        <v>25</v>
      </c>
      <c r="D9650" s="1">
        <v>7.0</v>
      </c>
      <c r="E9650" s="1">
        <v>20633.0</v>
      </c>
      <c r="F9650" s="10">
        <f t="shared" si="1"/>
        <v>7</v>
      </c>
      <c r="G9650" s="10">
        <f t="array" ref="G9650">index('Player ID'!C:C,match(E9650,'Player ID'!B:B,0))</f>
        <v>579328</v>
      </c>
    </row>
    <row r="9651">
      <c r="A9651" s="76">
        <v>45828.0</v>
      </c>
      <c r="B9651" s="1" t="s">
        <v>102</v>
      </c>
      <c r="C9651" s="1" t="s">
        <v>39</v>
      </c>
      <c r="D9651" s="1">
        <v>1.0</v>
      </c>
      <c r="E9651" s="1">
        <v>21345.0</v>
      </c>
      <c r="F9651" s="10">
        <f t="shared" si="1"/>
        <v>1</v>
      </c>
      <c r="G9651" s="10">
        <f t="array" ref="G9651">index('Player ID'!C:C,match(E9651,'Player ID'!B:B,0))</f>
        <v>656986</v>
      </c>
    </row>
    <row r="9652">
      <c r="A9652" s="76">
        <v>45828.0</v>
      </c>
      <c r="B9652" s="1" t="s">
        <v>444</v>
      </c>
      <c r="C9652" s="1" t="s">
        <v>39</v>
      </c>
      <c r="D9652" s="1">
        <v>0.1</v>
      </c>
      <c r="E9652" s="1">
        <v>24977.0</v>
      </c>
      <c r="F9652" s="10">
        <f t="shared" si="1"/>
        <v>0.3333333333</v>
      </c>
      <c r="G9652" s="10">
        <f t="array" ref="G9652">index('Player ID'!C:C,match(E9652,'Player ID'!B:B,0))</f>
        <v>681869</v>
      </c>
    </row>
    <row r="9653">
      <c r="A9653" s="76">
        <v>45828.0</v>
      </c>
      <c r="B9653" s="1" t="s">
        <v>339</v>
      </c>
      <c r="C9653" s="1" t="s">
        <v>39</v>
      </c>
      <c r="D9653" s="1">
        <v>5.0</v>
      </c>
      <c r="E9653" s="1">
        <v>25880.0</v>
      </c>
      <c r="F9653" s="10">
        <f t="shared" si="1"/>
        <v>5</v>
      </c>
      <c r="G9653" s="10">
        <f t="array" ref="G9653">index('Player ID'!C:C,match(E9653,'Player ID'!B:B,0))</f>
        <v>686613</v>
      </c>
    </row>
    <row r="9654">
      <c r="A9654" s="76">
        <v>45828.0</v>
      </c>
      <c r="B9654" s="1" t="s">
        <v>76</v>
      </c>
      <c r="C9654" s="1" t="s">
        <v>39</v>
      </c>
      <c r="D9654" s="1">
        <v>1.2</v>
      </c>
      <c r="E9654" s="1">
        <v>25890.0</v>
      </c>
      <c r="F9654" s="10">
        <f t="shared" si="1"/>
        <v>1.666666667</v>
      </c>
      <c r="G9654" s="10">
        <f t="array" ref="G9654">index('Player ID'!C:C,match(E9654,'Player ID'!B:B,0))</f>
        <v>687911</v>
      </c>
    </row>
    <row r="9655">
      <c r="A9655" s="76">
        <v>45828.0</v>
      </c>
      <c r="B9655" s="1" t="s">
        <v>24</v>
      </c>
      <c r="C9655" s="1" t="s">
        <v>25</v>
      </c>
      <c r="D9655" s="1">
        <v>1.0</v>
      </c>
      <c r="E9655" s="1">
        <v>27468.0</v>
      </c>
      <c r="F9655" s="10">
        <f t="shared" si="1"/>
        <v>1</v>
      </c>
      <c r="G9655" s="10">
        <f t="array" ref="G9655">index('Player ID'!C:C,match(E9655,'Player ID'!B:B,0))</f>
        <v>672282</v>
      </c>
    </row>
    <row r="9656">
      <c r="A9656" s="76">
        <v>45828.0</v>
      </c>
      <c r="B9656" s="1" t="s">
        <v>342</v>
      </c>
      <c r="C9656" s="1" t="s">
        <v>26</v>
      </c>
      <c r="D9656" s="1">
        <v>1.0</v>
      </c>
      <c r="E9656" s="1">
        <v>11861.0</v>
      </c>
      <c r="F9656" s="10">
        <f t="shared" si="1"/>
        <v>1</v>
      </c>
      <c r="G9656" s="10">
        <f t="array" ref="G9656">index('Player ID'!C:C,match(E9656,'Player ID'!B:B,0))</f>
        <v>592094</v>
      </c>
    </row>
    <row r="9657">
      <c r="A9657" s="76">
        <v>45828.0</v>
      </c>
      <c r="B9657" s="1" t="s">
        <v>404</v>
      </c>
      <c r="C9657" s="1" t="s">
        <v>26</v>
      </c>
      <c r="D9657" s="1">
        <v>1.1</v>
      </c>
      <c r="E9657" s="1">
        <v>14295.0</v>
      </c>
      <c r="F9657" s="10">
        <f t="shared" si="1"/>
        <v>1.333333333</v>
      </c>
      <c r="G9657" s="10">
        <f t="array" ref="G9657">index('Player ID'!C:C,match(E9657,'Player ID'!B:B,0))</f>
        <v>593974</v>
      </c>
    </row>
    <row r="9658">
      <c r="A9658" s="76">
        <v>45828.0</v>
      </c>
      <c r="B9658" s="1" t="s">
        <v>649</v>
      </c>
      <c r="C9658" s="1" t="s">
        <v>29</v>
      </c>
      <c r="D9658" s="1">
        <v>1.0</v>
      </c>
      <c r="E9658" s="1">
        <v>14542.0</v>
      </c>
      <c r="F9658" s="10">
        <f t="shared" si="1"/>
        <v>1</v>
      </c>
      <c r="G9658" s="10">
        <f t="array" ref="G9658">index('Player ID'!C:C,match(E9658,'Player ID'!B:B,0))</f>
        <v>608032</v>
      </c>
    </row>
    <row r="9659">
      <c r="A9659" s="76">
        <v>45828.0</v>
      </c>
      <c r="B9659" s="1" t="s">
        <v>420</v>
      </c>
      <c r="C9659" s="1" t="s">
        <v>29</v>
      </c>
      <c r="D9659" s="1">
        <v>5.1</v>
      </c>
      <c r="E9659" s="1">
        <v>14843.0</v>
      </c>
      <c r="F9659" s="10">
        <f t="shared" si="1"/>
        <v>5.333333333</v>
      </c>
      <c r="G9659" s="10">
        <f t="array" ref="G9659">index('Player ID'!C:C,match(E9659,'Player ID'!B:B,0))</f>
        <v>547179</v>
      </c>
    </row>
    <row r="9660">
      <c r="A9660" s="76">
        <v>45828.0</v>
      </c>
      <c r="B9660" s="1" t="s">
        <v>109</v>
      </c>
      <c r="C9660" s="1" t="s">
        <v>26</v>
      </c>
      <c r="D9660" s="1">
        <v>4.2</v>
      </c>
      <c r="E9660" s="1">
        <v>15454.0</v>
      </c>
      <c r="F9660" s="10">
        <f t="shared" si="1"/>
        <v>4.666666667</v>
      </c>
      <c r="G9660" s="10">
        <f t="array" ref="G9660">index('Player ID'!C:C,match(E9660,'Player ID'!B:B,0))</f>
        <v>601713</v>
      </c>
    </row>
    <row r="9661">
      <c r="A9661" s="76">
        <v>45828.0</v>
      </c>
      <c r="B9661" s="1" t="s">
        <v>407</v>
      </c>
      <c r="C9661" s="1" t="s">
        <v>29</v>
      </c>
      <c r="D9661" s="1">
        <v>1.0</v>
      </c>
      <c r="E9661" s="1">
        <v>19360.0</v>
      </c>
      <c r="F9661" s="10">
        <f t="shared" si="1"/>
        <v>1</v>
      </c>
      <c r="G9661" s="10">
        <f t="array" ref="G9661">index('Player ID'!C:C,match(E9661,'Player ID'!B:B,0))</f>
        <v>668674</v>
      </c>
    </row>
    <row r="9662">
      <c r="A9662" s="76">
        <v>45828.0</v>
      </c>
      <c r="B9662" s="1" t="s">
        <v>797</v>
      </c>
      <c r="C9662" s="1" t="s">
        <v>26</v>
      </c>
      <c r="D9662" s="1">
        <v>1.0</v>
      </c>
      <c r="E9662" s="1">
        <v>22253.0</v>
      </c>
      <c r="F9662" s="10">
        <f t="shared" si="1"/>
        <v>1</v>
      </c>
      <c r="G9662" s="10">
        <f t="array" ref="G9662">index('Player ID'!C:C,match(E9662,'Player ID'!B:B,0))</f>
        <v>669308</v>
      </c>
    </row>
    <row r="9663">
      <c r="A9663" s="76">
        <v>45828.0</v>
      </c>
      <c r="B9663" s="1" t="s">
        <v>140</v>
      </c>
      <c r="C9663" s="1" t="s">
        <v>29</v>
      </c>
      <c r="D9663" s="1">
        <v>0.2</v>
      </c>
      <c r="E9663" s="1">
        <v>22717.0</v>
      </c>
      <c r="F9663" s="10">
        <f t="shared" si="1"/>
        <v>0.6666666667</v>
      </c>
      <c r="G9663" s="10">
        <f t="array" ref="G9663">index('Player ID'!C:C,match(E9663,'Player ID'!B:B,0))</f>
        <v>672582</v>
      </c>
    </row>
    <row r="9664">
      <c r="A9664" s="76">
        <v>45828.0</v>
      </c>
      <c r="B9664" s="1" t="s">
        <v>214</v>
      </c>
      <c r="C9664" s="1" t="s">
        <v>29</v>
      </c>
      <c r="D9664" s="1">
        <v>1.0</v>
      </c>
      <c r="E9664" s="1">
        <v>23165.0</v>
      </c>
      <c r="F9664" s="10">
        <f t="shared" si="1"/>
        <v>1</v>
      </c>
      <c r="G9664" s="10">
        <f t="array" ref="G9664">index('Player ID'!C:C,match(E9664,'Player ID'!B:B,0))</f>
        <v>674444</v>
      </c>
    </row>
    <row r="9665">
      <c r="A9665" s="76">
        <v>45828.0</v>
      </c>
      <c r="B9665" s="1" t="s">
        <v>498</v>
      </c>
      <c r="C9665" s="1" t="s">
        <v>26</v>
      </c>
      <c r="D9665" s="1">
        <v>1.0</v>
      </c>
      <c r="E9665" s="1">
        <v>31616.0</v>
      </c>
      <c r="F9665" s="10">
        <f t="shared" si="1"/>
        <v>1</v>
      </c>
      <c r="G9665" s="10" t="str">
        <f t="array" ref="G9665">index('Player ID'!C:C,match(E9665,'Player ID'!B:B,0))</f>
        <v>#N/A</v>
      </c>
    </row>
    <row r="9666">
      <c r="A9666" s="76">
        <v>45828.0</v>
      </c>
      <c r="B9666" s="1" t="s">
        <v>436</v>
      </c>
      <c r="C9666" s="1" t="s">
        <v>52</v>
      </c>
      <c r="D9666" s="1">
        <v>0.2</v>
      </c>
      <c r="E9666" s="1">
        <v>12791.0</v>
      </c>
      <c r="F9666" s="10">
        <f t="shared" si="1"/>
        <v>0.6666666667</v>
      </c>
      <c r="G9666" s="10" t="str">
        <f t="array" ref="G9666">index('Player ID'!C:C,match(E9666,'Player ID'!B:B,0))</f>
        <v>#N/A</v>
      </c>
    </row>
    <row r="9667">
      <c r="A9667" s="76">
        <v>45828.0</v>
      </c>
      <c r="B9667" s="1" t="s">
        <v>336</v>
      </c>
      <c r="C9667" s="1" t="s">
        <v>52</v>
      </c>
      <c r="D9667" s="1">
        <v>7.1</v>
      </c>
      <c r="E9667" s="1">
        <v>17677.0</v>
      </c>
      <c r="F9667" s="10">
        <f t="shared" si="1"/>
        <v>7.333333333</v>
      </c>
      <c r="G9667" s="10">
        <f t="array" ref="G9667">index('Player ID'!C:C,match(E9667,'Player ID'!B:B,0))</f>
        <v>605488</v>
      </c>
    </row>
    <row r="9668">
      <c r="A9668" s="76">
        <v>45828.0</v>
      </c>
      <c r="B9668" s="1" t="s">
        <v>308</v>
      </c>
      <c r="C9668" s="1" t="s">
        <v>70</v>
      </c>
      <c r="D9668" s="1">
        <v>8.0</v>
      </c>
      <c r="E9668" s="1">
        <v>30134.0</v>
      </c>
      <c r="F9668" s="10">
        <f t="shared" si="1"/>
        <v>8</v>
      </c>
      <c r="G9668" s="10">
        <f t="array" ref="G9668">index('Player ID'!C:C,match(E9668,'Player ID'!B:B,0))</f>
        <v>676440</v>
      </c>
    </row>
    <row r="9669">
      <c r="A9669" s="76">
        <v>45828.0</v>
      </c>
      <c r="B9669" s="1" t="s">
        <v>286</v>
      </c>
      <c r="C9669" s="1" t="s">
        <v>52</v>
      </c>
      <c r="D9669" s="1">
        <v>1.0</v>
      </c>
      <c r="E9669" s="1">
        <v>31757.0</v>
      </c>
      <c r="F9669" s="10">
        <f t="shared" si="1"/>
        <v>1</v>
      </c>
      <c r="G9669" s="10">
        <f t="array" ref="G9669">index('Player ID'!C:C,match(E9669,'Player ID'!B:B,0))</f>
        <v>695243</v>
      </c>
    </row>
    <row r="9670">
      <c r="A9670" s="76">
        <v>45828.0</v>
      </c>
      <c r="B9670" s="1" t="s">
        <v>457</v>
      </c>
      <c r="C9670" s="1" t="s">
        <v>33</v>
      </c>
      <c r="D9670" s="1">
        <v>5.0</v>
      </c>
      <c r="E9670" s="1">
        <v>2036.0</v>
      </c>
      <c r="F9670" s="10">
        <f t="shared" si="1"/>
        <v>5</v>
      </c>
      <c r="G9670" s="10">
        <f t="array" ref="G9670">index('Player ID'!C:C,match(E9670,'Player ID'!B:B,0))</f>
        <v>477132</v>
      </c>
    </row>
    <row r="9671">
      <c r="A9671" s="76">
        <v>45828.0</v>
      </c>
      <c r="B9671" s="1" t="s">
        <v>392</v>
      </c>
      <c r="C9671" s="1" t="s">
        <v>33</v>
      </c>
      <c r="D9671" s="1">
        <v>0.1</v>
      </c>
      <c r="E9671" s="1">
        <v>9073.0</v>
      </c>
      <c r="F9671" s="10">
        <f t="shared" si="1"/>
        <v>0.3333333333</v>
      </c>
      <c r="G9671" s="10">
        <f t="array" ref="G9671">index('Player ID'!C:C,match(E9671,'Player ID'!B:B,0))</f>
        <v>489446</v>
      </c>
    </row>
    <row r="9672">
      <c r="A9672" s="76">
        <v>45828.0</v>
      </c>
      <c r="B9672" s="1" t="s">
        <v>870</v>
      </c>
      <c r="C9672" s="1" t="s">
        <v>33</v>
      </c>
      <c r="D9672" s="1">
        <v>1.0</v>
      </c>
      <c r="E9672" s="1">
        <v>17282.0</v>
      </c>
      <c r="F9672" s="10">
        <f t="shared" si="1"/>
        <v>1</v>
      </c>
      <c r="G9672" s="10" t="str">
        <f t="array" ref="G9672">index('Player ID'!C:C,match(E9672,'Player ID'!B:B,0))</f>
        <v>#N/A</v>
      </c>
    </row>
    <row r="9673">
      <c r="A9673" s="76">
        <v>45828.0</v>
      </c>
      <c r="B9673" s="1" t="s">
        <v>32</v>
      </c>
      <c r="C9673" s="1" t="s">
        <v>33</v>
      </c>
      <c r="D9673" s="1">
        <v>1.0</v>
      </c>
      <c r="E9673" s="1">
        <v>17586.0</v>
      </c>
      <c r="F9673" s="10">
        <f t="shared" si="1"/>
        <v>1</v>
      </c>
      <c r="G9673" s="10">
        <f t="array" ref="G9673">index('Player ID'!C:C,match(E9673,'Player ID'!B:B,0))</f>
        <v>656945</v>
      </c>
    </row>
    <row r="9674">
      <c r="A9674" s="76">
        <v>45828.0</v>
      </c>
      <c r="B9674" s="1" t="s">
        <v>354</v>
      </c>
      <c r="C9674" s="1" t="s">
        <v>80</v>
      </c>
      <c r="D9674" s="1">
        <v>5.2</v>
      </c>
      <c r="E9674" s="1">
        <v>22201.0</v>
      </c>
      <c r="F9674" s="10">
        <f t="shared" si="1"/>
        <v>5.666666667</v>
      </c>
      <c r="G9674" s="10">
        <f t="array" ref="G9674">index('Player ID'!C:C,match(E9674,'Player ID'!B:B,0))</f>
        <v>669022</v>
      </c>
    </row>
    <row r="9675">
      <c r="A9675" s="76">
        <v>45828.0</v>
      </c>
      <c r="B9675" s="1" t="s">
        <v>508</v>
      </c>
      <c r="C9675" s="1" t="s">
        <v>80</v>
      </c>
      <c r="D9675" s="1">
        <v>1.0</v>
      </c>
      <c r="E9675" s="1">
        <v>23135.0</v>
      </c>
      <c r="F9675" s="10">
        <f t="shared" si="1"/>
        <v>1</v>
      </c>
      <c r="G9675" s="10">
        <f t="array" ref="G9675">index('Player ID'!C:C,match(E9675,'Player ID'!B:B,0))</f>
        <v>674285</v>
      </c>
    </row>
    <row r="9676">
      <c r="A9676" s="76">
        <v>45828.0</v>
      </c>
      <c r="B9676" s="1" t="s">
        <v>92</v>
      </c>
      <c r="C9676" s="1" t="s">
        <v>33</v>
      </c>
      <c r="D9676" s="1">
        <v>0.2</v>
      </c>
      <c r="E9676" s="1">
        <v>25007.0</v>
      </c>
      <c r="F9676" s="10">
        <f t="shared" si="1"/>
        <v>0.6666666667</v>
      </c>
      <c r="G9676" s="10">
        <f t="array" ref="G9676">index('Player ID'!C:C,match(E9676,'Player ID'!B:B,0))</f>
        <v>681911</v>
      </c>
    </row>
    <row r="9677">
      <c r="A9677" s="76">
        <v>45828.0</v>
      </c>
      <c r="B9677" s="1" t="s">
        <v>511</v>
      </c>
      <c r="C9677" s="1" t="s">
        <v>80</v>
      </c>
      <c r="D9677" s="1">
        <v>1.1</v>
      </c>
      <c r="E9677" s="1">
        <v>26215.0</v>
      </c>
      <c r="F9677" s="10">
        <f t="shared" si="1"/>
        <v>1.333333333</v>
      </c>
      <c r="G9677" s="10">
        <f t="array" ref="G9677">index('Player ID'!C:C,match(E9677,'Player ID'!B:B,0))</f>
        <v>671131</v>
      </c>
    </row>
    <row r="9678">
      <c r="A9678" s="76">
        <v>45828.0</v>
      </c>
      <c r="B9678" s="1" t="s">
        <v>206</v>
      </c>
      <c r="C9678" s="1" t="s">
        <v>33</v>
      </c>
      <c r="D9678" s="1">
        <v>1.0</v>
      </c>
      <c r="E9678" s="1">
        <v>30249.0</v>
      </c>
      <c r="F9678" s="10">
        <f t="shared" si="1"/>
        <v>1</v>
      </c>
      <c r="G9678" s="10">
        <f t="array" ref="G9678">index('Player ID'!C:C,match(E9678,'Player ID'!B:B,0))</f>
        <v>676263</v>
      </c>
    </row>
    <row r="9679">
      <c r="A9679" s="76">
        <v>45828.0</v>
      </c>
      <c r="B9679" s="1" t="s">
        <v>230</v>
      </c>
      <c r="C9679" s="1" t="s">
        <v>22</v>
      </c>
      <c r="D9679" s="1">
        <v>1.0</v>
      </c>
      <c r="E9679" s="1">
        <v>4301.0</v>
      </c>
      <c r="F9679" s="10">
        <f t="shared" si="1"/>
        <v>1</v>
      </c>
      <c r="G9679" s="10">
        <f t="array" ref="G9679">index('Player ID'!C:C,match(E9679,'Player ID'!B:B,0))</f>
        <v>458677</v>
      </c>
    </row>
    <row r="9680">
      <c r="A9680" s="76">
        <v>45828.0</v>
      </c>
      <c r="B9680" s="1" t="s">
        <v>41</v>
      </c>
      <c r="C9680" s="1" t="s">
        <v>22</v>
      </c>
      <c r="D9680" s="1">
        <v>1.0</v>
      </c>
      <c r="E9680" s="1">
        <v>10233.0</v>
      </c>
      <c r="F9680" s="10">
        <f t="shared" si="1"/>
        <v>1</v>
      </c>
      <c r="G9680" s="10">
        <f t="array" ref="G9680">index('Player ID'!C:C,match(E9680,'Player ID'!B:B,0))</f>
        <v>547973</v>
      </c>
    </row>
    <row r="9681">
      <c r="A9681" s="76">
        <v>45828.0</v>
      </c>
      <c r="B9681" s="1" t="s">
        <v>493</v>
      </c>
      <c r="C9681" s="1" t="s">
        <v>22</v>
      </c>
      <c r="D9681" s="1">
        <v>1.0</v>
      </c>
      <c r="E9681" s="1">
        <v>16835.0</v>
      </c>
      <c r="F9681" s="10">
        <f t="shared" si="1"/>
        <v>1</v>
      </c>
      <c r="G9681" s="10">
        <f t="array" ref="G9681">index('Player ID'!C:C,match(E9681,'Player ID'!B:B,0))</f>
        <v>657514</v>
      </c>
    </row>
    <row r="9682">
      <c r="A9682" s="76">
        <v>45828.0</v>
      </c>
      <c r="B9682" s="1" t="s">
        <v>483</v>
      </c>
      <c r="C9682" s="1" t="s">
        <v>31</v>
      </c>
      <c r="D9682" s="1">
        <v>0.1</v>
      </c>
      <c r="E9682" s="1">
        <v>19320.0</v>
      </c>
      <c r="F9682" s="10">
        <f t="shared" si="1"/>
        <v>0.3333333333</v>
      </c>
      <c r="G9682" s="10" t="str">
        <f t="array" ref="G9682">index('Player ID'!C:C,match(E9682,'Player ID'!B:B,0))</f>
        <v>#N/A</v>
      </c>
    </row>
    <row r="9683">
      <c r="A9683" s="76">
        <v>45828.0</v>
      </c>
      <c r="B9683" s="1" t="s">
        <v>250</v>
      </c>
      <c r="C9683" s="1" t="s">
        <v>22</v>
      </c>
      <c r="D9683" s="1">
        <v>1.0</v>
      </c>
      <c r="E9683" s="1">
        <v>20191.0</v>
      </c>
      <c r="F9683" s="10">
        <f t="shared" si="1"/>
        <v>1</v>
      </c>
      <c r="G9683" s="10">
        <f t="array" ref="G9683">index('Player ID'!C:C,match(E9683,'Player ID'!B:B,0))</f>
        <v>676477</v>
      </c>
    </row>
    <row r="9684">
      <c r="A9684" s="76">
        <v>45828.0</v>
      </c>
      <c r="B9684" s="1" t="s">
        <v>134</v>
      </c>
      <c r="C9684" s="1" t="s">
        <v>22</v>
      </c>
      <c r="D9684" s="1">
        <v>0.2</v>
      </c>
      <c r="E9684" s="1">
        <v>20349.0</v>
      </c>
      <c r="F9684" s="10">
        <f t="shared" si="1"/>
        <v>0.6666666667</v>
      </c>
      <c r="G9684" s="10">
        <f t="array" ref="G9684">index('Player ID'!C:C,match(E9684,'Player ID'!B:B,0))</f>
        <v>677161</v>
      </c>
    </row>
    <row r="9685">
      <c r="A9685" s="76">
        <v>45828.0</v>
      </c>
      <c r="B9685" s="1" t="s">
        <v>406</v>
      </c>
      <c r="C9685" s="1" t="s">
        <v>22</v>
      </c>
      <c r="D9685" s="1">
        <v>0.1</v>
      </c>
      <c r="E9685" s="1">
        <v>20375.0</v>
      </c>
      <c r="F9685" s="10">
        <f t="shared" si="1"/>
        <v>0.3333333333</v>
      </c>
      <c r="G9685" s="10">
        <f t="array" ref="G9685">index('Player ID'!C:C,match(E9685,'Player ID'!B:B,0))</f>
        <v>669711</v>
      </c>
    </row>
    <row r="9686">
      <c r="A9686" s="76">
        <v>45828.0</v>
      </c>
      <c r="B9686" s="1" t="s">
        <v>403</v>
      </c>
      <c r="C9686" s="1" t="s">
        <v>31</v>
      </c>
      <c r="D9686" s="1">
        <v>1.2</v>
      </c>
      <c r="E9686" s="1">
        <v>20423.0</v>
      </c>
      <c r="F9686" s="10">
        <f t="shared" si="1"/>
        <v>1.666666667</v>
      </c>
      <c r="G9686" s="10">
        <f t="array" ref="G9686">index('Player ID'!C:C,match(E9686,'Player ID'!B:B,0))</f>
        <v>676254</v>
      </c>
    </row>
    <row r="9687">
      <c r="A9687" s="76">
        <v>45828.0</v>
      </c>
      <c r="B9687" s="1" t="s">
        <v>862</v>
      </c>
      <c r="C9687" s="1" t="s">
        <v>31</v>
      </c>
      <c r="D9687" s="1">
        <v>1.0</v>
      </c>
      <c r="E9687" s="1">
        <v>21481.0</v>
      </c>
      <c r="F9687" s="10">
        <f t="shared" si="1"/>
        <v>1</v>
      </c>
      <c r="G9687" s="10" t="str">
        <f t="array" ref="G9687">index('Player ID'!C:C,match(E9687,'Player ID'!B:B,0))</f>
        <v>#N/A</v>
      </c>
    </row>
    <row r="9688">
      <c r="A9688" s="76">
        <v>45828.0</v>
      </c>
      <c r="B9688" s="1" t="s">
        <v>655</v>
      </c>
      <c r="C9688" s="1" t="s">
        <v>31</v>
      </c>
      <c r="D9688" s="1">
        <v>0.2</v>
      </c>
      <c r="E9688" s="1">
        <v>26252.0</v>
      </c>
      <c r="F9688" s="10">
        <f t="shared" si="1"/>
        <v>0.6666666667</v>
      </c>
      <c r="G9688" s="10">
        <f t="array" ref="G9688">index('Player ID'!C:C,match(E9688,'Player ID'!B:B,0))</f>
        <v>669062</v>
      </c>
    </row>
    <row r="9689">
      <c r="A9689" s="76">
        <v>45828.0</v>
      </c>
      <c r="B9689" s="1" t="s">
        <v>276</v>
      </c>
      <c r="C9689" s="1" t="s">
        <v>31</v>
      </c>
      <c r="D9689" s="1">
        <v>1.0</v>
      </c>
      <c r="E9689" s="1">
        <v>30226.0</v>
      </c>
      <c r="F9689" s="10">
        <f t="shared" si="1"/>
        <v>1</v>
      </c>
      <c r="G9689" s="10">
        <f t="array" ref="G9689">index('Player ID'!C:C,match(E9689,'Player ID'!B:B,0))</f>
        <v>702352</v>
      </c>
    </row>
    <row r="9690">
      <c r="A9690" s="76">
        <v>45828.0</v>
      </c>
      <c r="B9690" s="1" t="s">
        <v>143</v>
      </c>
      <c r="C9690" s="1" t="s">
        <v>22</v>
      </c>
      <c r="D9690" s="1">
        <v>4.0</v>
      </c>
      <c r="E9690" s="1">
        <v>30240.0</v>
      </c>
      <c r="F9690" s="10">
        <f t="shared" si="1"/>
        <v>4</v>
      </c>
      <c r="G9690" s="10">
        <f t="array" ref="G9690">index('Player ID'!C:C,match(E9690,'Player ID'!B:B,0))</f>
        <v>690928</v>
      </c>
    </row>
    <row r="9691">
      <c r="A9691" s="76">
        <v>45828.0</v>
      </c>
      <c r="B9691" s="1" t="s">
        <v>514</v>
      </c>
      <c r="C9691" s="1" t="s">
        <v>31</v>
      </c>
      <c r="D9691" s="1">
        <v>4.1</v>
      </c>
      <c r="E9691" s="1">
        <v>31635.0</v>
      </c>
      <c r="F9691" s="10">
        <f t="shared" si="1"/>
        <v>4.333333333</v>
      </c>
      <c r="G9691" s="10">
        <f t="array" ref="G9691">index('Player ID'!C:C,match(E9691,'Player ID'!B:B,0))</f>
        <v>806185</v>
      </c>
    </row>
    <row r="9692">
      <c r="A9692" s="76">
        <v>45829.0</v>
      </c>
      <c r="B9692" s="1" t="s">
        <v>110</v>
      </c>
      <c r="C9692" s="1" t="s">
        <v>54</v>
      </c>
      <c r="D9692" s="1">
        <v>1.2</v>
      </c>
      <c r="E9692" s="1">
        <v>25679.0</v>
      </c>
      <c r="F9692" s="10">
        <f t="shared" si="1"/>
        <v>1.666666667</v>
      </c>
      <c r="G9692" s="10">
        <f t="array" ref="G9692">index('Player ID'!C:C,match(E9692,'Player ID'!B:B,0))</f>
        <v>687330</v>
      </c>
    </row>
    <row r="9693">
      <c r="A9693" s="76">
        <v>45829.0</v>
      </c>
      <c r="B9693" s="1" t="s">
        <v>566</v>
      </c>
      <c r="C9693" s="1" t="s">
        <v>62</v>
      </c>
      <c r="D9693" s="1">
        <v>6.1</v>
      </c>
      <c r="E9693" s="1">
        <v>26048.0</v>
      </c>
      <c r="F9693" s="10">
        <f t="shared" si="1"/>
        <v>6.333333333</v>
      </c>
      <c r="G9693" s="10">
        <f t="array" ref="G9693">index('Player ID'!C:C,match(E9693,'Player ID'!B:B,0))</f>
        <v>687830</v>
      </c>
    </row>
    <row r="9694">
      <c r="A9694" s="76">
        <v>45829.0</v>
      </c>
      <c r="B9694" s="1" t="s">
        <v>129</v>
      </c>
      <c r="C9694" s="1" t="s">
        <v>54</v>
      </c>
      <c r="D9694" s="1">
        <v>5.0</v>
      </c>
      <c r="E9694" s="1">
        <v>26221.0</v>
      </c>
      <c r="F9694" s="10">
        <f t="shared" si="1"/>
        <v>5</v>
      </c>
      <c r="G9694" s="10">
        <f t="array" ref="G9694">index('Player ID'!C:C,match(E9694,'Player ID'!B:B,0))</f>
        <v>686752</v>
      </c>
    </row>
    <row r="9695">
      <c r="A9695" s="76">
        <v>45829.0</v>
      </c>
      <c r="B9695" s="1" t="s">
        <v>334</v>
      </c>
      <c r="C9695" s="1" t="s">
        <v>54</v>
      </c>
      <c r="D9695" s="1">
        <v>0.1</v>
      </c>
      <c r="E9695" s="1">
        <v>29770.0</v>
      </c>
      <c r="F9695" s="10">
        <f t="shared" si="1"/>
        <v>0.3333333333</v>
      </c>
      <c r="G9695" s="10">
        <f t="array" ref="G9695">index('Player ID'!C:C,match(E9695,'Player ID'!B:B,0))</f>
        <v>682254</v>
      </c>
    </row>
    <row r="9696">
      <c r="A9696" s="76">
        <v>45829.0</v>
      </c>
      <c r="B9696" s="1" t="s">
        <v>487</v>
      </c>
      <c r="C9696" s="1" t="s">
        <v>62</v>
      </c>
      <c r="D9696" s="1">
        <v>0.2</v>
      </c>
      <c r="E9696" s="1">
        <v>30133.0</v>
      </c>
      <c r="F9696" s="10">
        <f t="shared" si="1"/>
        <v>0.6666666667</v>
      </c>
      <c r="G9696" s="10">
        <f t="array" ref="G9696">index('Player ID'!C:C,match(E9696,'Player ID'!B:B,0))</f>
        <v>676428</v>
      </c>
    </row>
    <row r="9697">
      <c r="A9697" s="76">
        <v>45829.0</v>
      </c>
      <c r="B9697" s="1" t="s">
        <v>860</v>
      </c>
      <c r="C9697" s="1" t="s">
        <v>62</v>
      </c>
      <c r="D9697" s="1">
        <v>1.0</v>
      </c>
      <c r="E9697" s="1">
        <v>30145.0</v>
      </c>
      <c r="F9697" s="10">
        <f t="shared" si="1"/>
        <v>1</v>
      </c>
      <c r="G9697" s="10" t="str">
        <f t="array" ref="G9697">index('Player ID'!C:C,match(E9697,'Player ID'!B:B,0))</f>
        <v>#N/A</v>
      </c>
    </row>
    <row r="9698">
      <c r="A9698" s="76">
        <v>45829.0</v>
      </c>
      <c r="B9698" s="1" t="s">
        <v>890</v>
      </c>
      <c r="C9698" s="1" t="s">
        <v>54</v>
      </c>
      <c r="D9698" s="1">
        <v>2.0</v>
      </c>
      <c r="E9698" s="1">
        <v>31571.0</v>
      </c>
      <c r="F9698" s="10">
        <f t="shared" si="1"/>
        <v>2</v>
      </c>
      <c r="G9698" s="10" t="str">
        <f t="array" ref="G9698">index('Player ID'!C:C,match(E9698,'Player ID'!B:B,0))</f>
        <v>#N/A</v>
      </c>
    </row>
    <row r="9699">
      <c r="A9699" s="76">
        <v>45829.0</v>
      </c>
      <c r="B9699" s="1" t="s">
        <v>48</v>
      </c>
      <c r="C9699" s="1" t="s">
        <v>68</v>
      </c>
      <c r="D9699" s="1">
        <v>2.0</v>
      </c>
      <c r="E9699" s="1">
        <v>12828.0</v>
      </c>
      <c r="F9699" s="10">
        <f t="shared" si="1"/>
        <v>2</v>
      </c>
      <c r="G9699" s="10" t="str">
        <f t="array" ref="G9699">index('Player ID'!C:C,match(E9699,'Player ID'!B:B,0))</f>
        <v>#N/A</v>
      </c>
    </row>
    <row r="9700">
      <c r="A9700" s="76">
        <v>45829.0</v>
      </c>
      <c r="B9700" s="1" t="s">
        <v>216</v>
      </c>
      <c r="C9700" s="1" t="s">
        <v>68</v>
      </c>
      <c r="D9700" s="1">
        <v>3.0</v>
      </c>
      <c r="E9700" s="1">
        <v>13774.0</v>
      </c>
      <c r="F9700" s="10">
        <f t="shared" si="1"/>
        <v>3</v>
      </c>
      <c r="G9700" s="10">
        <f t="array" ref="G9700">index('Player ID'!C:C,match(E9700,'Player ID'!B:B,0))</f>
        <v>621107</v>
      </c>
    </row>
    <row r="9701">
      <c r="A9701" s="76">
        <v>45829.0</v>
      </c>
      <c r="B9701" s="1" t="s">
        <v>233</v>
      </c>
      <c r="C9701" s="1" t="s">
        <v>68</v>
      </c>
      <c r="D9701" s="1">
        <v>1.0</v>
      </c>
      <c r="E9701" s="1">
        <v>16427.0</v>
      </c>
      <c r="F9701" s="10">
        <f t="shared" si="1"/>
        <v>1</v>
      </c>
      <c r="G9701" s="10">
        <f t="array" ref="G9701">index('Player ID'!C:C,match(E9701,'Player ID'!B:B,0))</f>
        <v>656240</v>
      </c>
    </row>
    <row r="9702">
      <c r="A9702" s="76">
        <v>45829.0</v>
      </c>
      <c r="B9702" s="1" t="s">
        <v>594</v>
      </c>
      <c r="C9702" s="1" t="s">
        <v>58</v>
      </c>
      <c r="D9702" s="1">
        <v>2.0</v>
      </c>
      <c r="E9702" s="1">
        <v>17578.0</v>
      </c>
      <c r="F9702" s="10">
        <f t="shared" si="1"/>
        <v>2</v>
      </c>
      <c r="G9702" s="10" t="str">
        <f t="array" ref="G9702">index('Player ID'!C:C,match(E9702,'Player ID'!B:B,0))</f>
        <v>#N/A</v>
      </c>
    </row>
    <row r="9703">
      <c r="A9703" s="76">
        <v>45829.0</v>
      </c>
      <c r="B9703" s="1" t="s">
        <v>408</v>
      </c>
      <c r="C9703" s="1" t="s">
        <v>58</v>
      </c>
      <c r="D9703" s="1">
        <v>7.0</v>
      </c>
      <c r="E9703" s="1">
        <v>19899.0</v>
      </c>
      <c r="F9703" s="10">
        <f t="shared" si="1"/>
        <v>7</v>
      </c>
      <c r="G9703" s="10">
        <f t="array" ref="G9703">index('Player ID'!C:C,match(E9703,'Player ID'!B:B,0))</f>
        <v>657376</v>
      </c>
    </row>
    <row r="9704">
      <c r="A9704" s="76">
        <v>45829.0</v>
      </c>
      <c r="B9704" s="1" t="s">
        <v>891</v>
      </c>
      <c r="C9704" s="1" t="s">
        <v>68</v>
      </c>
      <c r="D9704" s="1">
        <v>1.0</v>
      </c>
      <c r="E9704" s="1">
        <v>23442.0</v>
      </c>
      <c r="F9704" s="10">
        <f t="shared" si="1"/>
        <v>1</v>
      </c>
      <c r="G9704" s="10" t="str">
        <f t="array" ref="G9704">index('Player ID'!C:C,match(E9704,'Player ID'!B:B,0))</f>
        <v>#N/A</v>
      </c>
    </row>
    <row r="9705">
      <c r="A9705" s="76">
        <v>45829.0</v>
      </c>
      <c r="B9705" s="1" t="s">
        <v>235</v>
      </c>
      <c r="C9705" s="1" t="s">
        <v>68</v>
      </c>
      <c r="D9705" s="1">
        <v>1.0</v>
      </c>
      <c r="E9705" s="1">
        <v>25911.0</v>
      </c>
      <c r="F9705" s="10">
        <f t="shared" si="1"/>
        <v>1</v>
      </c>
      <c r="G9705" s="10">
        <f t="array" ref="G9705">index('Player ID'!C:C,match(E9705,'Player ID'!B:B,0))</f>
        <v>666974</v>
      </c>
    </row>
    <row r="9706">
      <c r="A9706" s="76">
        <v>45829.0</v>
      </c>
      <c r="B9706" s="1" t="s">
        <v>476</v>
      </c>
      <c r="C9706" s="1" t="s">
        <v>14</v>
      </c>
      <c r="D9706" s="1">
        <v>6.0</v>
      </c>
      <c r="E9706" s="1">
        <v>11423.0</v>
      </c>
      <c r="F9706" s="10">
        <f t="shared" si="1"/>
        <v>6</v>
      </c>
      <c r="G9706" s="10">
        <f t="array" ref="G9706">index('Player ID'!C:C,match(E9706,'Player ID'!B:B,0))</f>
        <v>500779</v>
      </c>
    </row>
    <row r="9707">
      <c r="A9707" s="76">
        <v>45829.0</v>
      </c>
      <c r="B9707" s="1" t="s">
        <v>249</v>
      </c>
      <c r="C9707" s="1" t="s">
        <v>16</v>
      </c>
      <c r="D9707" s="1">
        <v>1.0</v>
      </c>
      <c r="E9707" s="1">
        <v>16727.0</v>
      </c>
      <c r="F9707" s="10">
        <f t="shared" si="1"/>
        <v>1</v>
      </c>
      <c r="G9707" s="10">
        <f t="array" ref="G9707">index('Player ID'!C:C,match(E9707,'Player ID'!B:B,0))</f>
        <v>592779</v>
      </c>
    </row>
    <row r="9708">
      <c r="A9708" s="76">
        <v>45829.0</v>
      </c>
      <c r="B9708" s="1" t="s">
        <v>318</v>
      </c>
      <c r="C9708" s="1" t="s">
        <v>14</v>
      </c>
      <c r="D9708" s="1">
        <v>1.0</v>
      </c>
      <c r="E9708" s="1">
        <v>20546.0</v>
      </c>
      <c r="F9708" s="10">
        <f t="shared" si="1"/>
        <v>1</v>
      </c>
      <c r="G9708" s="10">
        <f t="array" ref="G9708">index('Player ID'!C:C,match(E9708,'Player ID'!B:B,0))</f>
        <v>681982</v>
      </c>
    </row>
    <row r="9709">
      <c r="A9709" s="76">
        <v>45829.0</v>
      </c>
      <c r="B9709" s="1" t="s">
        <v>237</v>
      </c>
      <c r="C9709" s="1" t="s">
        <v>16</v>
      </c>
      <c r="D9709" s="1">
        <v>1.2</v>
      </c>
      <c r="E9709" s="1">
        <v>21461.0</v>
      </c>
      <c r="F9709" s="10">
        <f t="shared" si="1"/>
        <v>1.666666667</v>
      </c>
      <c r="G9709" s="10">
        <f t="array" ref="G9709">index('Player ID'!C:C,match(E9709,'Player ID'!B:B,0))</f>
        <v>663485</v>
      </c>
    </row>
    <row r="9710">
      <c r="A9710" s="76">
        <v>45829.0</v>
      </c>
      <c r="B9710" s="1" t="s">
        <v>200</v>
      </c>
      <c r="C9710" s="1" t="s">
        <v>14</v>
      </c>
      <c r="D9710" s="1">
        <v>2.0</v>
      </c>
      <c r="E9710" s="1">
        <v>23550.0</v>
      </c>
      <c r="F9710" s="10">
        <f t="shared" si="1"/>
        <v>2</v>
      </c>
      <c r="G9710" s="10" t="str">
        <f t="array" ref="G9710">index('Player ID'!C:C,match(E9710,'Player ID'!B:B,0))</f>
        <v>#N/A</v>
      </c>
    </row>
    <row r="9711">
      <c r="A9711" s="76">
        <v>45829.0</v>
      </c>
      <c r="B9711" s="1" t="s">
        <v>490</v>
      </c>
      <c r="C9711" s="1" t="s">
        <v>16</v>
      </c>
      <c r="D9711" s="1">
        <v>6.0</v>
      </c>
      <c r="E9711" s="1">
        <v>24494.0</v>
      </c>
      <c r="F9711" s="10">
        <f t="shared" si="1"/>
        <v>6</v>
      </c>
      <c r="G9711" s="10">
        <f t="array" ref="G9711">index('Player ID'!C:C,match(E9711,'Player ID'!B:B,0))</f>
        <v>680573</v>
      </c>
    </row>
    <row r="9712">
      <c r="A9712" s="76">
        <v>45829.0</v>
      </c>
      <c r="B9712" s="1" t="s">
        <v>47</v>
      </c>
      <c r="C9712" s="1" t="s">
        <v>16</v>
      </c>
      <c r="D9712" s="1">
        <v>0.1</v>
      </c>
      <c r="E9712" s="1">
        <v>27691.0</v>
      </c>
      <c r="F9712" s="10">
        <f t="shared" si="1"/>
        <v>0.3333333333</v>
      </c>
      <c r="G9712" s="10">
        <f t="array" ref="G9712">index('Player ID'!C:C,match(E9712,'Player ID'!B:B,0))</f>
        <v>686973</v>
      </c>
    </row>
    <row r="9713">
      <c r="A9713" s="76">
        <v>45829.0</v>
      </c>
      <c r="B9713" s="1" t="s">
        <v>226</v>
      </c>
      <c r="C9713" s="1" t="s">
        <v>66</v>
      </c>
      <c r="D9713" s="1">
        <v>2.0</v>
      </c>
      <c r="E9713" s="1">
        <v>12730.0</v>
      </c>
      <c r="F9713" s="10">
        <f t="shared" si="1"/>
        <v>2</v>
      </c>
      <c r="G9713" s="10">
        <f t="array" ref="G9713">index('Player ID'!C:C,match(E9713,'Player ID'!B:B,0))</f>
        <v>607259</v>
      </c>
    </row>
    <row r="9714">
      <c r="A9714" s="76">
        <v>45829.0</v>
      </c>
      <c r="B9714" s="1" t="s">
        <v>95</v>
      </c>
      <c r="C9714" s="1" t="s">
        <v>72</v>
      </c>
      <c r="D9714" s="1">
        <v>5.0</v>
      </c>
      <c r="E9714" s="1">
        <v>12768.0</v>
      </c>
      <c r="F9714" s="10">
        <f t="shared" si="1"/>
        <v>5</v>
      </c>
      <c r="G9714" s="10">
        <f t="array" ref="G9714">index('Player ID'!C:C,match(E9714,'Player ID'!B:B,0))</f>
        <v>543243</v>
      </c>
    </row>
    <row r="9715">
      <c r="A9715" s="76">
        <v>45829.0</v>
      </c>
      <c r="B9715" s="1" t="s">
        <v>83</v>
      </c>
      <c r="C9715" s="1" t="s">
        <v>72</v>
      </c>
      <c r="D9715" s="1">
        <v>1.2</v>
      </c>
      <c r="E9715" s="1">
        <v>13361.0</v>
      </c>
      <c r="F9715" s="10">
        <f t="shared" si="1"/>
        <v>1.666666667</v>
      </c>
      <c r="G9715" s="10">
        <f t="array" ref="G9715">index('Player ID'!C:C,match(E9715,'Player ID'!B:B,0))</f>
        <v>571927</v>
      </c>
    </row>
    <row r="9716">
      <c r="A9716" s="76">
        <v>45829.0</v>
      </c>
      <c r="B9716" s="1" t="s">
        <v>417</v>
      </c>
      <c r="C9716" s="1" t="s">
        <v>66</v>
      </c>
      <c r="D9716" s="1">
        <v>2.0</v>
      </c>
      <c r="E9716" s="1">
        <v>13942.0</v>
      </c>
      <c r="F9716" s="10">
        <f t="shared" si="1"/>
        <v>2</v>
      </c>
      <c r="G9716" s="10">
        <f t="array" ref="G9716">index('Player ID'!C:C,match(E9716,'Player ID'!B:B,0))</f>
        <v>608718</v>
      </c>
    </row>
    <row r="9717">
      <c r="A9717" s="76">
        <v>45829.0</v>
      </c>
      <c r="B9717" s="1" t="s">
        <v>651</v>
      </c>
      <c r="C9717" s="1" t="s">
        <v>66</v>
      </c>
      <c r="D9717" s="1">
        <v>1.1</v>
      </c>
      <c r="E9717" s="1">
        <v>14771.0</v>
      </c>
      <c r="F9717" s="10">
        <f t="shared" si="1"/>
        <v>1.333333333</v>
      </c>
      <c r="G9717" s="10">
        <f t="array" ref="G9717">index('Player ID'!C:C,match(E9717,'Player ID'!B:B,0))</f>
        <v>641941</v>
      </c>
    </row>
    <row r="9718">
      <c r="A9718" s="76">
        <v>45829.0</v>
      </c>
      <c r="B9718" s="1" t="s">
        <v>475</v>
      </c>
      <c r="C9718" s="1" t="s">
        <v>66</v>
      </c>
      <c r="D9718" s="1">
        <v>1.0</v>
      </c>
      <c r="E9718" s="1">
        <v>14993.0</v>
      </c>
      <c r="F9718" s="10">
        <f t="shared" si="1"/>
        <v>1</v>
      </c>
      <c r="G9718" s="10">
        <f t="array" ref="G9718">index('Player ID'!C:C,match(E9718,'Player ID'!B:B,0))</f>
        <v>605130</v>
      </c>
    </row>
    <row r="9719">
      <c r="A9719" s="76">
        <v>45829.0</v>
      </c>
      <c r="B9719" s="1" t="s">
        <v>653</v>
      </c>
      <c r="C9719" s="1" t="s">
        <v>66</v>
      </c>
      <c r="D9719" s="1">
        <v>1.0</v>
      </c>
      <c r="E9719" s="1">
        <v>17871.0</v>
      </c>
      <c r="F9719" s="10">
        <f t="shared" si="1"/>
        <v>1</v>
      </c>
      <c r="G9719" s="10">
        <f t="array" ref="G9719">index('Player ID'!C:C,match(E9719,'Player ID'!B:B,0))</f>
        <v>664139</v>
      </c>
    </row>
    <row r="9720">
      <c r="A9720" s="76">
        <v>45829.0</v>
      </c>
      <c r="B9720" s="1" t="s">
        <v>190</v>
      </c>
      <c r="C9720" s="1" t="s">
        <v>72</v>
      </c>
      <c r="D9720" s="1">
        <v>1.0</v>
      </c>
      <c r="E9720" s="1">
        <v>18064.0</v>
      </c>
      <c r="F9720" s="10">
        <f t="shared" si="1"/>
        <v>1</v>
      </c>
      <c r="G9720" s="10">
        <f t="array" ref="G9720">index('Player ID'!C:C,match(E9720,'Player ID'!B:B,0))</f>
        <v>664208</v>
      </c>
    </row>
    <row r="9721">
      <c r="A9721" s="76">
        <v>45829.0</v>
      </c>
      <c r="B9721" s="1" t="s">
        <v>270</v>
      </c>
      <c r="C9721" s="1" t="s">
        <v>72</v>
      </c>
      <c r="D9721" s="1">
        <v>1.0</v>
      </c>
      <c r="E9721" s="1">
        <v>18138.0</v>
      </c>
      <c r="F9721" s="10">
        <f t="shared" si="1"/>
        <v>1</v>
      </c>
      <c r="G9721" s="10">
        <f t="array" ref="G9721">index('Player ID'!C:C,match(E9721,'Player ID'!B:B,0))</f>
        <v>664854</v>
      </c>
    </row>
    <row r="9722">
      <c r="A9722" s="76">
        <v>45829.0</v>
      </c>
      <c r="B9722" s="1" t="s">
        <v>345</v>
      </c>
      <c r="C9722" s="1" t="s">
        <v>66</v>
      </c>
      <c r="D9722" s="1">
        <v>0.2</v>
      </c>
      <c r="E9722" s="1">
        <v>19926.0</v>
      </c>
      <c r="F9722" s="10">
        <f t="shared" si="1"/>
        <v>0.6666666667</v>
      </c>
      <c r="G9722" s="10">
        <f t="array" ref="G9722">index('Player ID'!C:C,match(E9722,'Player ID'!B:B,0))</f>
        <v>663574</v>
      </c>
    </row>
    <row r="9723">
      <c r="A9723" s="76">
        <v>45829.0</v>
      </c>
      <c r="B9723" s="1" t="s">
        <v>273</v>
      </c>
      <c r="C9723" s="1" t="s">
        <v>72</v>
      </c>
      <c r="D9723" s="1">
        <v>0.2</v>
      </c>
      <c r="E9723" s="1">
        <v>22051.0</v>
      </c>
      <c r="F9723" s="10">
        <f t="shared" si="1"/>
        <v>0.6666666667</v>
      </c>
      <c r="G9723" s="10">
        <f t="array" ref="G9723">index('Player ID'!C:C,match(E9723,'Player ID'!B:B,0))</f>
        <v>667463</v>
      </c>
    </row>
    <row r="9724">
      <c r="A9724" s="76">
        <v>45829.0</v>
      </c>
      <c r="B9724" s="1" t="s">
        <v>518</v>
      </c>
      <c r="C9724" s="1" t="s">
        <v>66</v>
      </c>
      <c r="D9724" s="1">
        <v>2.0</v>
      </c>
      <c r="E9724" s="1">
        <v>24581.0</v>
      </c>
      <c r="F9724" s="10">
        <f t="shared" si="1"/>
        <v>2</v>
      </c>
      <c r="G9724" s="10">
        <f t="array" ref="G9724">index('Player ID'!C:C,match(E9724,'Player ID'!B:B,0))</f>
        <v>680689</v>
      </c>
    </row>
    <row r="9725">
      <c r="A9725" s="76">
        <v>45829.0</v>
      </c>
      <c r="B9725" s="1" t="s">
        <v>875</v>
      </c>
      <c r="C9725" s="1" t="s">
        <v>72</v>
      </c>
      <c r="D9725" s="1">
        <v>1.2</v>
      </c>
      <c r="E9725" s="1">
        <v>29542.0</v>
      </c>
      <c r="F9725" s="10">
        <f t="shared" si="1"/>
        <v>1.666666667</v>
      </c>
      <c r="G9725" s="10" t="str">
        <f t="array" ref="G9725">index('Player ID'!C:C,match(E9725,'Player ID'!B:B,0))</f>
        <v>#N/A</v>
      </c>
    </row>
    <row r="9726">
      <c r="A9726" s="76">
        <v>45829.0</v>
      </c>
      <c r="B9726" s="1" t="s">
        <v>602</v>
      </c>
      <c r="C9726" s="1" t="s">
        <v>66</v>
      </c>
      <c r="D9726" s="1">
        <v>0.2</v>
      </c>
      <c r="E9726" s="1">
        <v>30170.0</v>
      </c>
      <c r="F9726" s="10">
        <f t="shared" si="1"/>
        <v>0.6666666667</v>
      </c>
      <c r="G9726" s="10">
        <f t="array" ref="G9726">index('Player ID'!C:C,match(E9726,'Player ID'!B:B,0))</f>
        <v>695534</v>
      </c>
    </row>
    <row r="9727">
      <c r="A9727" s="76">
        <v>45829.0</v>
      </c>
      <c r="B9727" s="1" t="s">
        <v>71</v>
      </c>
      <c r="C9727" s="1" t="s">
        <v>34</v>
      </c>
      <c r="D9727" s="1">
        <v>1.1</v>
      </c>
      <c r="E9727" s="1">
        <v>10078.0</v>
      </c>
      <c r="F9727" s="10">
        <f t="shared" si="1"/>
        <v>1.333333333</v>
      </c>
      <c r="G9727" s="10">
        <f t="array" ref="G9727">index('Player ID'!C:C,match(E9727,'Player ID'!B:B,0))</f>
        <v>573204</v>
      </c>
    </row>
    <row r="9728">
      <c r="A9728" s="76">
        <v>45829.0</v>
      </c>
      <c r="B9728" s="1" t="s">
        <v>203</v>
      </c>
      <c r="C9728" s="1" t="s">
        <v>34</v>
      </c>
      <c r="D9728" s="1">
        <v>0.1</v>
      </c>
      <c r="E9728" s="1">
        <v>11426.0</v>
      </c>
      <c r="F9728" s="10">
        <f t="shared" si="1"/>
        <v>0.3333333333</v>
      </c>
      <c r="G9728" s="10">
        <f t="array" ref="G9728">index('Player ID'!C:C,match(E9728,'Player ID'!B:B,0))</f>
        <v>519141</v>
      </c>
    </row>
    <row r="9729">
      <c r="A9729" s="76">
        <v>45829.0</v>
      </c>
      <c r="B9729" s="1" t="s">
        <v>297</v>
      </c>
      <c r="C9729" s="1" t="s">
        <v>34</v>
      </c>
      <c r="D9729" s="1">
        <v>1.2</v>
      </c>
      <c r="E9729" s="1">
        <v>15734.0</v>
      </c>
      <c r="F9729" s="10">
        <f t="shared" si="1"/>
        <v>1.666666667</v>
      </c>
      <c r="G9729" s="10">
        <f t="array" ref="G9729">index('Player ID'!C:C,match(E9729,'Player ID'!B:B,0))</f>
        <v>641745</v>
      </c>
    </row>
    <row r="9730">
      <c r="A9730" s="76">
        <v>45829.0</v>
      </c>
      <c r="B9730" s="1" t="s">
        <v>108</v>
      </c>
      <c r="C9730" s="1" t="s">
        <v>37</v>
      </c>
      <c r="D9730" s="1">
        <v>2.1</v>
      </c>
      <c r="E9730" s="1">
        <v>17948.0</v>
      </c>
      <c r="F9730" s="10">
        <f t="shared" si="1"/>
        <v>2.333333333</v>
      </c>
      <c r="G9730" s="10">
        <f t="array" ref="G9730">index('Player ID'!C:C,match(E9730,'Player ID'!B:B,0))</f>
        <v>663423</v>
      </c>
    </row>
    <row r="9731">
      <c r="A9731" s="76">
        <v>45829.0</v>
      </c>
      <c r="B9731" s="1" t="s">
        <v>882</v>
      </c>
      <c r="C9731" s="1" t="s">
        <v>37</v>
      </c>
      <c r="D9731" s="1">
        <v>1.0</v>
      </c>
      <c r="E9731" s="1">
        <v>20185.0</v>
      </c>
      <c r="F9731" s="10">
        <f t="shared" si="1"/>
        <v>1</v>
      </c>
      <c r="G9731" s="10" t="str">
        <f t="array" ref="G9731">index('Player ID'!C:C,match(E9731,'Player ID'!B:B,0))</f>
        <v>#N/A</v>
      </c>
    </row>
    <row r="9732">
      <c r="A9732" s="76">
        <v>45829.0</v>
      </c>
      <c r="B9732" s="1" t="s">
        <v>340</v>
      </c>
      <c r="C9732" s="1" t="s">
        <v>37</v>
      </c>
      <c r="D9732" s="1">
        <v>0.2</v>
      </c>
      <c r="E9732" s="1">
        <v>25921.0</v>
      </c>
      <c r="F9732" s="10">
        <f t="shared" si="1"/>
        <v>0.6666666667</v>
      </c>
      <c r="G9732" s="10">
        <f t="array" ref="G9732">index('Player ID'!C:C,match(E9732,'Player ID'!B:B,0))</f>
        <v>668984</v>
      </c>
    </row>
    <row r="9733">
      <c r="A9733" s="76">
        <v>45829.0</v>
      </c>
      <c r="B9733" s="1" t="s">
        <v>509</v>
      </c>
      <c r="C9733" s="1" t="s">
        <v>37</v>
      </c>
      <c r="D9733" s="1">
        <v>4.0</v>
      </c>
      <c r="E9733" s="1">
        <v>27470.0</v>
      </c>
      <c r="F9733" s="10">
        <f t="shared" si="1"/>
        <v>4</v>
      </c>
      <c r="G9733" s="10">
        <f t="array" ref="G9733">index('Player ID'!C:C,match(E9733,'Player ID'!B:B,0))</f>
        <v>676106</v>
      </c>
    </row>
    <row r="9734">
      <c r="A9734" s="76">
        <v>45829.0</v>
      </c>
      <c r="B9734" s="1" t="s">
        <v>167</v>
      </c>
      <c r="C9734" s="1" t="s">
        <v>34</v>
      </c>
      <c r="D9734" s="1">
        <v>1.0</v>
      </c>
      <c r="E9734" s="1">
        <v>27914.0</v>
      </c>
      <c r="F9734" s="10">
        <f t="shared" si="1"/>
        <v>1</v>
      </c>
      <c r="G9734" s="10">
        <f t="array" ref="G9734">index('Player ID'!C:C,match(E9734,'Player ID'!B:B,0))</f>
        <v>694037</v>
      </c>
    </row>
    <row r="9735">
      <c r="A9735" s="76">
        <v>45829.0</v>
      </c>
      <c r="B9735" s="1" t="s">
        <v>434</v>
      </c>
      <c r="C9735" s="1" t="s">
        <v>34</v>
      </c>
      <c r="D9735" s="1">
        <v>4.2</v>
      </c>
      <c r="E9735" s="1">
        <v>31872.0</v>
      </c>
      <c r="F9735" s="10">
        <f t="shared" si="1"/>
        <v>4.666666667</v>
      </c>
      <c r="G9735" s="10">
        <f t="array" ref="G9735">index('Player ID'!C:C,match(E9735,'Player ID'!B:B,0))</f>
        <v>690990</v>
      </c>
    </row>
    <row r="9736">
      <c r="A9736" s="76">
        <v>45829.0</v>
      </c>
      <c r="B9736" s="1" t="s">
        <v>638</v>
      </c>
      <c r="C9736" s="1" t="s">
        <v>40</v>
      </c>
      <c r="D9736" s="1">
        <v>7.2</v>
      </c>
      <c r="E9736" s="1">
        <v>14168.0</v>
      </c>
      <c r="F9736" s="10">
        <f t="shared" si="1"/>
        <v>7.666666667</v>
      </c>
      <c r="G9736" s="10">
        <f t="array" ref="G9736">index('Player ID'!C:C,match(E9736,'Player ID'!B:B,0))</f>
        <v>621244</v>
      </c>
    </row>
    <row r="9737">
      <c r="A9737" s="76">
        <v>45829.0</v>
      </c>
      <c r="B9737" s="1" t="s">
        <v>174</v>
      </c>
      <c r="C9737" s="1" t="s">
        <v>40</v>
      </c>
      <c r="D9737" s="1">
        <v>1.0</v>
      </c>
      <c r="E9737" s="1">
        <v>15552.0</v>
      </c>
      <c r="F9737" s="10">
        <f t="shared" si="1"/>
        <v>1</v>
      </c>
      <c r="G9737" s="10">
        <f t="array" ref="G9737">index('Player ID'!C:C,match(E9737,'Player ID'!B:B,0))</f>
        <v>643338</v>
      </c>
    </row>
    <row r="9738">
      <c r="A9738" s="76">
        <v>45829.0</v>
      </c>
      <c r="B9738" s="1" t="s">
        <v>491</v>
      </c>
      <c r="C9738" s="1" t="s">
        <v>78</v>
      </c>
      <c r="D9738" s="1">
        <v>7.0</v>
      </c>
      <c r="E9738" s="1">
        <v>19479.0</v>
      </c>
      <c r="F9738" s="10">
        <f t="shared" si="1"/>
        <v>7</v>
      </c>
      <c r="G9738" s="10">
        <f t="array" ref="G9738">index('Player ID'!C:C,match(E9738,'Player ID'!B:B,0))</f>
        <v>650644</v>
      </c>
    </row>
    <row r="9739">
      <c r="A9739" s="76">
        <v>45829.0</v>
      </c>
      <c r="B9739" s="1" t="s">
        <v>892</v>
      </c>
      <c r="C9739" s="1" t="s">
        <v>78</v>
      </c>
      <c r="D9739" s="1">
        <v>1.0</v>
      </c>
      <c r="E9739" s="1">
        <v>31598.0</v>
      </c>
      <c r="F9739" s="10">
        <f t="shared" si="1"/>
        <v>1</v>
      </c>
      <c r="G9739" s="10" t="str">
        <f t="array" ref="G9739">index('Player ID'!C:C,match(E9739,'Player ID'!B:B,0))</f>
        <v>#N/A</v>
      </c>
    </row>
    <row r="9740">
      <c r="A9740" s="76">
        <v>45829.0</v>
      </c>
      <c r="B9740" s="1" t="s">
        <v>427</v>
      </c>
      <c r="C9740" s="1" t="s">
        <v>40</v>
      </c>
      <c r="D9740" s="1">
        <v>0.1</v>
      </c>
      <c r="E9740" s="1">
        <v>33838.0</v>
      </c>
      <c r="F9740" s="10">
        <f t="shared" si="1"/>
        <v>0.3333333333</v>
      </c>
      <c r="G9740" s="10">
        <f t="array" ref="G9740">index('Player ID'!C:C,match(E9740,'Player ID'!B:B,0))</f>
        <v>684320</v>
      </c>
    </row>
    <row r="9741">
      <c r="A9741" s="76">
        <v>45829.0</v>
      </c>
      <c r="B9741" s="1" t="s">
        <v>20</v>
      </c>
      <c r="C9741" s="1" t="s">
        <v>31</v>
      </c>
      <c r="D9741" s="1">
        <v>1.0</v>
      </c>
      <c r="E9741" s="1">
        <v>15541.0</v>
      </c>
      <c r="F9741" s="10">
        <f t="shared" si="1"/>
        <v>1</v>
      </c>
      <c r="G9741" s="10">
        <f t="array" ref="G9741">index('Player ID'!C:C,match(E9741,'Player ID'!B:B,0))</f>
        <v>643511</v>
      </c>
    </row>
    <row r="9742">
      <c r="A9742" s="76">
        <v>45829.0</v>
      </c>
      <c r="B9742" s="1" t="s">
        <v>397</v>
      </c>
      <c r="C9742" s="1" t="s">
        <v>22</v>
      </c>
      <c r="D9742" s="1">
        <v>1.0</v>
      </c>
      <c r="E9742" s="1">
        <v>19459.0</v>
      </c>
      <c r="F9742" s="10">
        <f t="shared" si="1"/>
        <v>1</v>
      </c>
      <c r="G9742" s="10">
        <f t="array" ref="G9742">index('Player ID'!C:C,match(E9742,'Player ID'!B:B,0))</f>
        <v>660896</v>
      </c>
    </row>
    <row r="9743">
      <c r="A9743" s="76">
        <v>45829.0</v>
      </c>
      <c r="B9743" s="1" t="s">
        <v>304</v>
      </c>
      <c r="C9743" s="1" t="s">
        <v>31</v>
      </c>
      <c r="D9743" s="1">
        <v>1.0</v>
      </c>
      <c r="E9743" s="1">
        <v>21992.0</v>
      </c>
      <c r="F9743" s="10">
        <f t="shared" si="1"/>
        <v>1</v>
      </c>
      <c r="G9743" s="10">
        <f t="array" ref="G9743">index('Player ID'!C:C,match(E9743,'Player ID'!B:B,0))</f>
        <v>666808</v>
      </c>
    </row>
    <row r="9744">
      <c r="A9744" s="76">
        <v>45829.0</v>
      </c>
      <c r="B9744" s="1" t="s">
        <v>410</v>
      </c>
      <c r="C9744" s="1" t="s">
        <v>22</v>
      </c>
      <c r="D9744" s="1">
        <v>6.0</v>
      </c>
      <c r="E9744" s="1">
        <v>23920.0</v>
      </c>
      <c r="F9744" s="10">
        <f t="shared" si="1"/>
        <v>6</v>
      </c>
      <c r="G9744" s="10">
        <f t="array" ref="G9744">index('Player ID'!C:C,match(E9744,'Player ID'!B:B,0))</f>
        <v>678394</v>
      </c>
    </row>
    <row r="9745">
      <c r="A9745" s="76">
        <v>45829.0</v>
      </c>
      <c r="B9745" s="1" t="s">
        <v>654</v>
      </c>
      <c r="C9745" s="1" t="s">
        <v>31</v>
      </c>
      <c r="D9745" s="1">
        <v>1.0</v>
      </c>
      <c r="E9745" s="1">
        <v>23974.0</v>
      </c>
      <c r="F9745" s="10">
        <f t="shared" si="1"/>
        <v>1</v>
      </c>
      <c r="G9745" s="10">
        <f t="array" ref="G9745">index('Player ID'!C:C,match(E9745,'Player ID'!B:B,0))</f>
        <v>678495</v>
      </c>
    </row>
    <row r="9746">
      <c r="A9746" s="76">
        <v>45829.0</v>
      </c>
      <c r="B9746" s="1" t="s">
        <v>209</v>
      </c>
      <c r="C9746" s="1" t="s">
        <v>31</v>
      </c>
      <c r="D9746" s="1">
        <v>6.0</v>
      </c>
      <c r="E9746" s="1">
        <v>30076.0</v>
      </c>
      <c r="F9746" s="10">
        <f t="shared" si="1"/>
        <v>6</v>
      </c>
      <c r="G9746" s="10">
        <f t="array" ref="G9746">index('Player ID'!C:C,match(E9746,'Player ID'!B:B,0))</f>
        <v>694738</v>
      </c>
    </row>
    <row r="9747">
      <c r="A9747" s="76">
        <v>45829.0</v>
      </c>
      <c r="B9747" s="1" t="s">
        <v>720</v>
      </c>
      <c r="C9747" s="1" t="s">
        <v>22</v>
      </c>
      <c r="D9747" s="1">
        <v>1.0</v>
      </c>
      <c r="E9747" s="1">
        <v>31184.0</v>
      </c>
      <c r="F9747" s="10">
        <f t="shared" si="1"/>
        <v>1</v>
      </c>
      <c r="G9747" s="10">
        <f t="array" ref="G9747">index('Player ID'!C:C,match(E9747,'Player ID'!B:B,0))</f>
        <v>692285</v>
      </c>
    </row>
    <row r="9748">
      <c r="A9748" s="76">
        <v>45829.0</v>
      </c>
      <c r="B9748" s="1" t="s">
        <v>74</v>
      </c>
      <c r="C9748" s="1" t="s">
        <v>56</v>
      </c>
      <c r="D9748" s="1">
        <v>1.0</v>
      </c>
      <c r="E9748" s="1">
        <v>11847.0</v>
      </c>
      <c r="F9748" s="10">
        <f t="shared" si="1"/>
        <v>1</v>
      </c>
      <c r="G9748" s="10">
        <f t="array" ref="G9748">index('Player ID'!C:C,match(E9748,'Player ID'!B:B,0))</f>
        <v>455119</v>
      </c>
    </row>
    <row r="9749">
      <c r="A9749" s="76">
        <v>45829.0</v>
      </c>
      <c r="B9749" s="1" t="s">
        <v>440</v>
      </c>
      <c r="C9749" s="1" t="s">
        <v>56</v>
      </c>
      <c r="D9749" s="1">
        <v>1.0</v>
      </c>
      <c r="E9749" s="1">
        <v>12857.0</v>
      </c>
      <c r="F9749" s="10">
        <f t="shared" si="1"/>
        <v>1</v>
      </c>
      <c r="G9749" s="10">
        <f t="array" ref="G9749">index('Player ID'!C:C,match(E9749,'Player ID'!B:B,0))</f>
        <v>542888</v>
      </c>
    </row>
    <row r="9750">
      <c r="A9750" s="76">
        <v>45829.0</v>
      </c>
      <c r="B9750" s="1" t="s">
        <v>151</v>
      </c>
      <c r="C9750" s="1" t="s">
        <v>56</v>
      </c>
      <c r="D9750" s="1">
        <v>1.2</v>
      </c>
      <c r="E9750" s="1">
        <v>13346.0</v>
      </c>
      <c r="F9750" s="10">
        <f t="shared" si="1"/>
        <v>1.666666667</v>
      </c>
      <c r="G9750" s="10">
        <f t="array" ref="G9750">index('Player ID'!C:C,match(E9750,'Player ID'!B:B,0))</f>
        <v>571948</v>
      </c>
    </row>
    <row r="9751">
      <c r="A9751" s="76">
        <v>45829.0</v>
      </c>
      <c r="B9751" s="1" t="s">
        <v>423</v>
      </c>
      <c r="C9751" s="1" t="s">
        <v>60</v>
      </c>
      <c r="D9751" s="1">
        <v>5.2</v>
      </c>
      <c r="E9751" s="1">
        <v>17594.0</v>
      </c>
      <c r="F9751" s="10">
        <f t="shared" si="1"/>
        <v>5.666666667</v>
      </c>
      <c r="G9751" s="10">
        <f t="array" ref="G9751">index('Player ID'!C:C,match(E9751,'Player ID'!B:B,0))</f>
        <v>656605</v>
      </c>
    </row>
    <row r="9752">
      <c r="A9752" s="76">
        <v>45829.0</v>
      </c>
      <c r="B9752" s="1" t="s">
        <v>217</v>
      </c>
      <c r="C9752" s="1" t="s">
        <v>60</v>
      </c>
      <c r="D9752" s="1">
        <v>1.0</v>
      </c>
      <c r="E9752" s="1">
        <v>17878.0</v>
      </c>
      <c r="F9752" s="10">
        <f t="shared" si="1"/>
        <v>1</v>
      </c>
      <c r="G9752" s="10">
        <f t="array" ref="G9752">index('Player ID'!C:C,match(E9752,'Player ID'!B:B,0))</f>
        <v>642701</v>
      </c>
    </row>
    <row r="9753">
      <c r="A9753" s="76">
        <v>45829.0</v>
      </c>
      <c r="B9753" s="1" t="s">
        <v>267</v>
      </c>
      <c r="C9753" s="1" t="s">
        <v>60</v>
      </c>
      <c r="D9753" s="1">
        <v>2.1</v>
      </c>
      <c r="E9753" s="1">
        <v>27572.0</v>
      </c>
      <c r="F9753" s="10">
        <f t="shared" si="1"/>
        <v>2.333333333</v>
      </c>
      <c r="G9753" s="10">
        <f t="array" ref="G9753">index('Player ID'!C:C,match(E9753,'Player ID'!B:B,0))</f>
        <v>669387</v>
      </c>
    </row>
    <row r="9754">
      <c r="A9754" s="76">
        <v>45829.0</v>
      </c>
      <c r="B9754" s="1" t="s">
        <v>477</v>
      </c>
      <c r="C9754" s="1" t="s">
        <v>56</v>
      </c>
      <c r="D9754" s="1">
        <v>5.1</v>
      </c>
      <c r="E9754" s="1">
        <v>31843.0</v>
      </c>
      <c r="F9754" s="10">
        <f t="shared" si="1"/>
        <v>5.333333333</v>
      </c>
      <c r="G9754" s="10">
        <f t="array" ref="G9754">index('Player ID'!C:C,match(E9754,'Player ID'!B:B,0))</f>
        <v>677958</v>
      </c>
    </row>
    <row r="9755">
      <c r="A9755" s="76">
        <v>45829.0</v>
      </c>
      <c r="B9755" s="1" t="s">
        <v>326</v>
      </c>
      <c r="C9755" s="1" t="s">
        <v>46</v>
      </c>
      <c r="D9755" s="1">
        <v>1.0</v>
      </c>
      <c r="E9755" s="1">
        <v>12760.0</v>
      </c>
      <c r="F9755" s="10">
        <f t="shared" si="1"/>
        <v>1</v>
      </c>
      <c r="G9755" s="10">
        <f t="array" ref="G9755">index('Player ID'!C:C,match(E9755,'Player ID'!B:B,0))</f>
        <v>606160</v>
      </c>
    </row>
    <row r="9756">
      <c r="A9756" s="76">
        <v>45829.0</v>
      </c>
      <c r="B9756" s="1" t="s">
        <v>366</v>
      </c>
      <c r="C9756" s="1" t="s">
        <v>46</v>
      </c>
      <c r="D9756" s="1">
        <v>5.2</v>
      </c>
      <c r="E9756" s="1">
        <v>16944.0</v>
      </c>
      <c r="F9756" s="10">
        <f t="shared" si="1"/>
        <v>5.666666667</v>
      </c>
      <c r="G9756" s="10">
        <f t="array" ref="G9756">index('Player ID'!C:C,match(E9756,'Player ID'!B:B,0))</f>
        <v>656550</v>
      </c>
    </row>
    <row r="9757">
      <c r="A9757" s="76">
        <v>45829.0</v>
      </c>
      <c r="B9757" s="1" t="s">
        <v>346</v>
      </c>
      <c r="C9757" s="1" t="s">
        <v>46</v>
      </c>
      <c r="D9757" s="1">
        <v>1.0</v>
      </c>
      <c r="E9757" s="1">
        <v>18403.0</v>
      </c>
      <c r="F9757" s="10">
        <f t="shared" si="1"/>
        <v>1</v>
      </c>
      <c r="G9757" s="10">
        <f t="array" ref="G9757">index('Player ID'!C:C,match(E9757,'Player ID'!B:B,0))</f>
        <v>660853</v>
      </c>
    </row>
    <row r="9758">
      <c r="A9758" s="76">
        <v>45829.0</v>
      </c>
      <c r="B9758" s="1" t="s">
        <v>241</v>
      </c>
      <c r="C9758" s="1" t="s">
        <v>36</v>
      </c>
      <c r="D9758" s="1">
        <v>2.1</v>
      </c>
      <c r="E9758" s="1">
        <v>19222.0</v>
      </c>
      <c r="F9758" s="10">
        <f t="shared" si="1"/>
        <v>2.333333333</v>
      </c>
      <c r="G9758" s="10">
        <f t="array" ref="G9758">index('Player ID'!C:C,match(E9758,'Player ID'!B:B,0))</f>
        <v>669199</v>
      </c>
    </row>
    <row r="9759">
      <c r="A9759" s="76">
        <v>45829.0</v>
      </c>
      <c r="B9759" s="1" t="s">
        <v>91</v>
      </c>
      <c r="C9759" s="1" t="s">
        <v>46</v>
      </c>
      <c r="D9759" s="1">
        <v>1.1</v>
      </c>
      <c r="E9759" s="1">
        <v>19996.0</v>
      </c>
      <c r="F9759" s="10">
        <f t="shared" si="1"/>
        <v>1.333333333</v>
      </c>
      <c r="G9759" s="10">
        <f t="array" ref="G9759">index('Player ID'!C:C,match(E9759,'Player ID'!B:B,0))</f>
        <v>669276</v>
      </c>
    </row>
    <row r="9760">
      <c r="A9760" s="76">
        <v>45829.0</v>
      </c>
      <c r="B9760" s="1" t="s">
        <v>446</v>
      </c>
      <c r="C9760" s="1" t="s">
        <v>36</v>
      </c>
      <c r="D9760" s="1">
        <v>2.0</v>
      </c>
      <c r="E9760" s="1">
        <v>25957.0</v>
      </c>
      <c r="F9760" s="10">
        <f t="shared" si="1"/>
        <v>2</v>
      </c>
      <c r="G9760" s="10" t="str">
        <f t="array" ref="G9760">index('Player ID'!C:C,match(E9760,'Player ID'!B:B,0))</f>
        <v>#N/A</v>
      </c>
    </row>
    <row r="9761">
      <c r="A9761" s="76">
        <v>45829.0</v>
      </c>
      <c r="B9761" s="1" t="s">
        <v>871</v>
      </c>
      <c r="C9761" s="1" t="s">
        <v>36</v>
      </c>
      <c r="D9761" s="1">
        <v>4.2</v>
      </c>
      <c r="E9761" s="1">
        <v>27768.0</v>
      </c>
      <c r="F9761" s="10">
        <f t="shared" si="1"/>
        <v>4.666666667</v>
      </c>
      <c r="G9761" s="10">
        <f t="array" ref="G9761">index('Player ID'!C:C,match(E9761,'Player ID'!B:B,0))</f>
        <v>691587</v>
      </c>
    </row>
    <row r="9762">
      <c r="A9762" s="76">
        <v>45829.0</v>
      </c>
      <c r="B9762" s="1" t="s">
        <v>199</v>
      </c>
      <c r="C9762" s="1" t="s">
        <v>29</v>
      </c>
      <c r="D9762" s="1">
        <v>1.1</v>
      </c>
      <c r="E9762" s="1">
        <v>17611.0</v>
      </c>
      <c r="F9762" s="10">
        <f t="shared" si="1"/>
        <v>1.333333333</v>
      </c>
      <c r="G9762" s="10">
        <f t="array" ref="G9762">index('Player ID'!C:C,match(E9762,'Player ID'!B:B,0))</f>
        <v>664199</v>
      </c>
    </row>
    <row r="9763">
      <c r="A9763" s="76">
        <v>45829.0</v>
      </c>
      <c r="B9763" s="1" t="s">
        <v>282</v>
      </c>
      <c r="C9763" s="1" t="s">
        <v>26</v>
      </c>
      <c r="D9763" s="1">
        <v>6.2</v>
      </c>
      <c r="E9763" s="1">
        <v>18525.0</v>
      </c>
      <c r="F9763" s="10">
        <f t="shared" si="1"/>
        <v>6.666666667</v>
      </c>
      <c r="G9763" s="10">
        <f t="array" ref="G9763">index('Player ID'!C:C,match(E9763,'Player ID'!B:B,0))</f>
        <v>656302</v>
      </c>
    </row>
    <row r="9764">
      <c r="A9764" s="76">
        <v>45829.0</v>
      </c>
      <c r="B9764" s="1" t="s">
        <v>49</v>
      </c>
      <c r="C9764" s="1" t="s">
        <v>26</v>
      </c>
      <c r="D9764" s="1">
        <v>1.2</v>
      </c>
      <c r="E9764" s="1">
        <v>20039.0</v>
      </c>
      <c r="F9764" s="10">
        <f t="shared" si="1"/>
        <v>1.666666667</v>
      </c>
      <c r="G9764" s="10">
        <f t="array" ref="G9764">index('Player ID'!C:C,match(E9764,'Player ID'!B:B,0))</f>
        <v>670970</v>
      </c>
    </row>
    <row r="9765">
      <c r="A9765" s="76">
        <v>45829.0</v>
      </c>
      <c r="B9765" s="1" t="s">
        <v>293</v>
      </c>
      <c r="C9765" s="1" t="s">
        <v>29</v>
      </c>
      <c r="D9765" s="1">
        <v>0.1</v>
      </c>
      <c r="E9765" s="1">
        <v>21537.0</v>
      </c>
      <c r="F9765" s="10">
        <f t="shared" si="1"/>
        <v>0.3333333333</v>
      </c>
      <c r="G9765" s="10">
        <f t="array" ref="G9765">index('Player ID'!C:C,match(E9765,'Player ID'!B:B,0))</f>
        <v>663738</v>
      </c>
    </row>
    <row r="9766">
      <c r="A9766" s="76">
        <v>45829.0</v>
      </c>
      <c r="B9766" s="1" t="s">
        <v>94</v>
      </c>
      <c r="C9766" s="1" t="s">
        <v>26</v>
      </c>
      <c r="D9766" s="1">
        <v>0.2</v>
      </c>
      <c r="E9766" s="1">
        <v>22210.0</v>
      </c>
      <c r="F9766" s="10">
        <f t="shared" si="1"/>
        <v>0.6666666667</v>
      </c>
      <c r="G9766" s="10">
        <f t="array" ref="G9766">index('Player ID'!C:C,match(E9766,'Player ID'!B:B,0))</f>
        <v>669093</v>
      </c>
    </row>
    <row r="9767">
      <c r="A9767" s="76">
        <v>45829.0</v>
      </c>
      <c r="B9767" s="1" t="s">
        <v>442</v>
      </c>
      <c r="C9767" s="1" t="s">
        <v>29</v>
      </c>
      <c r="D9767" s="1">
        <v>1.0</v>
      </c>
      <c r="E9767" s="1">
        <v>25379.0</v>
      </c>
      <c r="F9767" s="10">
        <f t="shared" si="1"/>
        <v>1</v>
      </c>
      <c r="G9767" s="10">
        <f t="array" ref="G9767">index('Player ID'!C:C,match(E9767,'Player ID'!B:B,0))</f>
        <v>669674</v>
      </c>
    </row>
    <row r="9768">
      <c r="A9768" s="76">
        <v>45829.0</v>
      </c>
      <c r="B9768" s="1" t="s">
        <v>161</v>
      </c>
      <c r="C9768" s="1" t="s">
        <v>29</v>
      </c>
      <c r="D9768" s="1">
        <v>5.1</v>
      </c>
      <c r="E9768" s="1">
        <v>30184.0</v>
      </c>
      <c r="F9768" s="10">
        <f t="shared" si="1"/>
        <v>5.333333333</v>
      </c>
      <c r="G9768" s="10">
        <f t="array" ref="G9768">index('Player ID'!C:C,match(E9768,'Player ID'!B:B,0))</f>
        <v>702070</v>
      </c>
    </row>
    <row r="9769">
      <c r="A9769" s="76">
        <v>45829.0</v>
      </c>
      <c r="B9769" s="1" t="s">
        <v>646</v>
      </c>
      <c r="C9769" s="1" t="s">
        <v>51</v>
      </c>
      <c r="D9769" s="1">
        <v>2.0</v>
      </c>
      <c r="E9769" s="1">
        <v>6107.0</v>
      </c>
      <c r="F9769" s="10">
        <f t="shared" si="1"/>
        <v>2</v>
      </c>
      <c r="G9769" s="10">
        <f t="array" ref="G9769">index('Player ID'!C:C,match(E9769,'Player ID'!B:B,0))</f>
        <v>623211</v>
      </c>
    </row>
    <row r="9770">
      <c r="A9770" s="76">
        <v>45829.0</v>
      </c>
      <c r="B9770" s="1" t="s">
        <v>453</v>
      </c>
      <c r="C9770" s="1" t="s">
        <v>45</v>
      </c>
      <c r="D9770" s="1">
        <v>1.0</v>
      </c>
      <c r="E9770" s="1">
        <v>11836.0</v>
      </c>
      <c r="F9770" s="10">
        <f t="shared" si="1"/>
        <v>1</v>
      </c>
      <c r="G9770" s="10">
        <f t="array" ref="G9770">index('Player ID'!C:C,match(E9770,'Player ID'!B:B,0))</f>
        <v>592836</v>
      </c>
    </row>
    <row r="9771">
      <c r="A9771" s="76">
        <v>45829.0</v>
      </c>
      <c r="B9771" s="1" t="s">
        <v>742</v>
      </c>
      <c r="C9771" s="1" t="s">
        <v>51</v>
      </c>
      <c r="D9771" s="1">
        <v>1.0</v>
      </c>
      <c r="E9771" s="1">
        <v>12763.0</v>
      </c>
      <c r="F9771" s="10">
        <f t="shared" si="1"/>
        <v>1</v>
      </c>
      <c r="G9771" s="10">
        <f t="array" ref="G9771">index('Player ID'!C:C,match(E9771,'Player ID'!B:B,0))</f>
        <v>606965</v>
      </c>
    </row>
    <row r="9772">
      <c r="A9772" s="76">
        <v>45829.0</v>
      </c>
      <c r="B9772" s="1" t="s">
        <v>360</v>
      </c>
      <c r="C9772" s="1" t="s">
        <v>45</v>
      </c>
      <c r="D9772" s="1">
        <v>2.2</v>
      </c>
      <c r="E9772" s="1">
        <v>12972.0</v>
      </c>
      <c r="F9772" s="10">
        <f t="shared" si="1"/>
        <v>2.666666667</v>
      </c>
      <c r="G9772" s="10">
        <f t="array" ref="G9772">index('Player ID'!C:C,match(E9772,'Player ID'!B:B,0))</f>
        <v>605452</v>
      </c>
    </row>
    <row r="9773">
      <c r="A9773" s="76">
        <v>45829.0</v>
      </c>
      <c r="B9773" s="1" t="s">
        <v>292</v>
      </c>
      <c r="C9773" s="1" t="s">
        <v>51</v>
      </c>
      <c r="D9773" s="1">
        <v>1.0</v>
      </c>
      <c r="E9773" s="1">
        <v>15947.0</v>
      </c>
      <c r="F9773" s="10">
        <f t="shared" si="1"/>
        <v>1</v>
      </c>
      <c r="G9773" s="10">
        <f t="array" ref="G9773">index('Player ID'!C:C,match(E9773,'Player ID'!B:B,0))</f>
        <v>592773</v>
      </c>
    </row>
    <row r="9774">
      <c r="A9774" s="76">
        <v>45829.0</v>
      </c>
      <c r="B9774" s="1" t="s">
        <v>208</v>
      </c>
      <c r="C9774" s="1" t="s">
        <v>45</v>
      </c>
      <c r="D9774" s="1">
        <v>1.0</v>
      </c>
      <c r="E9774" s="1">
        <v>16122.0</v>
      </c>
      <c r="F9774" s="10">
        <f t="shared" si="1"/>
        <v>1</v>
      </c>
      <c r="G9774" s="10">
        <f t="array" ref="G9774">index('Player ID'!C:C,match(E9774,'Player ID'!B:B,0))</f>
        <v>605447</v>
      </c>
    </row>
    <row r="9775">
      <c r="A9775" s="76">
        <v>45829.0</v>
      </c>
      <c r="B9775" s="1" t="s">
        <v>138</v>
      </c>
      <c r="C9775" s="1" t="s">
        <v>45</v>
      </c>
      <c r="D9775" s="1">
        <v>0.1</v>
      </c>
      <c r="E9775" s="1">
        <v>16990.0</v>
      </c>
      <c r="F9775" s="10">
        <f t="shared" si="1"/>
        <v>0.3333333333</v>
      </c>
      <c r="G9775" s="10">
        <f t="array" ref="G9775">index('Player ID'!C:C,match(E9775,'Player ID'!B:B,0))</f>
        <v>621383</v>
      </c>
    </row>
    <row r="9776">
      <c r="A9776" s="76">
        <v>45829.0</v>
      </c>
      <c r="B9776" s="1" t="s">
        <v>382</v>
      </c>
      <c r="C9776" s="1" t="s">
        <v>51</v>
      </c>
      <c r="D9776" s="1">
        <v>5.0</v>
      </c>
      <c r="E9776" s="1">
        <v>19867.0</v>
      </c>
      <c r="F9776" s="10">
        <f t="shared" si="1"/>
        <v>5</v>
      </c>
      <c r="G9776" s="10">
        <f t="array" ref="G9776">index('Player ID'!C:C,match(E9776,'Player ID'!B:B,0))</f>
        <v>656288</v>
      </c>
    </row>
    <row r="9777">
      <c r="A9777" s="76">
        <v>45829.0</v>
      </c>
      <c r="B9777" s="1" t="s">
        <v>873</v>
      </c>
      <c r="C9777" s="1" t="s">
        <v>45</v>
      </c>
      <c r="D9777" s="1">
        <v>1.0</v>
      </c>
      <c r="E9777" s="1">
        <v>23223.0</v>
      </c>
      <c r="F9777" s="10">
        <f t="shared" si="1"/>
        <v>1</v>
      </c>
      <c r="G9777" s="10" t="str">
        <f t="array" ref="G9777">index('Player ID'!C:C,match(E9777,'Player ID'!B:B,0))</f>
        <v>#N/A</v>
      </c>
    </row>
    <row r="9778">
      <c r="A9778" s="76">
        <v>45829.0</v>
      </c>
      <c r="B9778" s="1" t="s">
        <v>393</v>
      </c>
      <c r="C9778" s="1" t="s">
        <v>45</v>
      </c>
      <c r="D9778" s="1">
        <v>3.0</v>
      </c>
      <c r="E9778" s="1">
        <v>27756.0</v>
      </c>
      <c r="F9778" s="10">
        <f t="shared" si="1"/>
        <v>3</v>
      </c>
      <c r="G9778" s="10">
        <f t="array" ref="G9778">index('Player ID'!C:C,match(E9778,'Player ID'!B:B,0))</f>
        <v>690953</v>
      </c>
    </row>
    <row r="9779">
      <c r="A9779" s="76">
        <v>45829.0</v>
      </c>
      <c r="B9779" s="1" t="s">
        <v>103</v>
      </c>
      <c r="C9779" s="1" t="s">
        <v>64</v>
      </c>
      <c r="D9779" s="1">
        <v>1.0</v>
      </c>
      <c r="E9779" s="1">
        <v>10197.0</v>
      </c>
      <c r="F9779" s="10">
        <f t="shared" si="1"/>
        <v>1</v>
      </c>
      <c r="G9779" s="10">
        <f t="array" ref="G9779">index('Player ID'!C:C,match(E9779,'Player ID'!B:B,0))</f>
        <v>571946</v>
      </c>
    </row>
    <row r="9780">
      <c r="A9780" s="76">
        <v>45829.0</v>
      </c>
      <c r="B9780" s="1" t="s">
        <v>222</v>
      </c>
      <c r="C9780" s="1" t="s">
        <v>64</v>
      </c>
      <c r="D9780" s="1">
        <v>6.0</v>
      </c>
      <c r="E9780" s="1">
        <v>11156.0</v>
      </c>
      <c r="F9780" s="10">
        <f t="shared" si="1"/>
        <v>6</v>
      </c>
      <c r="G9780" s="10">
        <f t="array" ref="G9780">index('Player ID'!C:C,match(E9780,'Player ID'!B:B,0))</f>
        <v>518876</v>
      </c>
    </row>
    <row r="9781">
      <c r="A9781" s="76">
        <v>45829.0</v>
      </c>
      <c r="B9781" s="1" t="s">
        <v>219</v>
      </c>
      <c r="C9781" s="1" t="s">
        <v>64</v>
      </c>
      <c r="D9781" s="1">
        <v>1.0</v>
      </c>
      <c r="E9781" s="1">
        <v>16647.0</v>
      </c>
      <c r="F9781" s="10">
        <f t="shared" si="1"/>
        <v>1</v>
      </c>
      <c r="G9781" s="10">
        <f t="array" ref="G9781">index('Player ID'!C:C,match(E9781,'Player ID'!B:B,0))</f>
        <v>657044</v>
      </c>
    </row>
    <row r="9782">
      <c r="A9782" s="76">
        <v>45829.0</v>
      </c>
      <c r="B9782" s="1" t="s">
        <v>489</v>
      </c>
      <c r="C9782" s="1" t="s">
        <v>64</v>
      </c>
      <c r="D9782" s="1">
        <v>1.0</v>
      </c>
      <c r="E9782" s="1">
        <v>17192.0</v>
      </c>
      <c r="F9782" s="10">
        <f t="shared" si="1"/>
        <v>1</v>
      </c>
      <c r="G9782" s="10">
        <f t="array" ref="G9782">index('Player ID'!C:C,match(E9782,'Player ID'!B:B,0))</f>
        <v>656222</v>
      </c>
    </row>
    <row r="9783">
      <c r="A9783" s="76">
        <v>45829.0</v>
      </c>
      <c r="B9783" s="1" t="s">
        <v>451</v>
      </c>
      <c r="C9783" s="1" t="s">
        <v>75</v>
      </c>
      <c r="D9783" s="1">
        <v>2.0</v>
      </c>
      <c r="E9783" s="1">
        <v>17556.0</v>
      </c>
      <c r="F9783" s="10">
        <f t="shared" si="1"/>
        <v>2</v>
      </c>
      <c r="G9783" s="10">
        <f t="array" ref="G9783">index('Player ID'!C:C,match(E9783,'Player ID'!B:B,0))</f>
        <v>623474</v>
      </c>
    </row>
    <row r="9784">
      <c r="A9784" s="76">
        <v>45829.0</v>
      </c>
      <c r="B9784" s="1" t="s">
        <v>215</v>
      </c>
      <c r="C9784" s="1" t="s">
        <v>75</v>
      </c>
      <c r="D9784" s="1">
        <v>2.0</v>
      </c>
      <c r="E9784" s="1">
        <v>21267.0</v>
      </c>
      <c r="F9784" s="10">
        <f t="shared" si="1"/>
        <v>2</v>
      </c>
      <c r="G9784" s="10">
        <f t="array" ref="G9784">index('Player ID'!C:C,match(E9784,'Player ID'!B:B,0))</f>
        <v>656234</v>
      </c>
    </row>
    <row r="9785">
      <c r="A9785" s="76">
        <v>45829.0</v>
      </c>
      <c r="B9785" s="1" t="s">
        <v>365</v>
      </c>
      <c r="C9785" s="1" t="s">
        <v>75</v>
      </c>
      <c r="D9785" s="1">
        <v>1.0</v>
      </c>
      <c r="E9785" s="1">
        <v>24614.0</v>
      </c>
      <c r="F9785" s="10">
        <f t="shared" si="1"/>
        <v>1</v>
      </c>
      <c r="G9785" s="10">
        <f t="array" ref="G9785">index('Player ID'!C:C,match(E9785,'Player ID'!B:B,0))</f>
        <v>680767</v>
      </c>
    </row>
    <row r="9786">
      <c r="A9786" s="76">
        <v>45829.0</v>
      </c>
      <c r="B9786" s="1" t="s">
        <v>449</v>
      </c>
      <c r="C9786" s="1" t="s">
        <v>75</v>
      </c>
      <c r="D9786" s="1">
        <v>4.0</v>
      </c>
      <c r="E9786" s="1">
        <v>31612.0</v>
      </c>
      <c r="F9786" s="10">
        <f t="shared" si="1"/>
        <v>4</v>
      </c>
      <c r="G9786" s="10">
        <f t="array" ref="G9786">index('Player ID'!C:C,match(E9786,'Player ID'!B:B,0))</f>
        <v>687223</v>
      </c>
    </row>
    <row r="9787">
      <c r="A9787" s="76">
        <v>45829.0</v>
      </c>
      <c r="B9787" s="1" t="s">
        <v>660</v>
      </c>
      <c r="C9787" s="1" t="s">
        <v>25</v>
      </c>
      <c r="D9787" s="1">
        <v>0.1</v>
      </c>
      <c r="E9787" s="1">
        <v>11804.0</v>
      </c>
      <c r="F9787" s="10">
        <f t="shared" si="1"/>
        <v>0.3333333333</v>
      </c>
      <c r="G9787" s="10">
        <f t="array" ref="G9787">index('Player ID'!C:C,match(E9787,'Player ID'!B:B,0))</f>
        <v>593576</v>
      </c>
    </row>
    <row r="9788">
      <c r="A9788" s="76">
        <v>45829.0</v>
      </c>
      <c r="B9788" s="1" t="s">
        <v>885</v>
      </c>
      <c r="C9788" s="1" t="s">
        <v>39</v>
      </c>
      <c r="D9788" s="1">
        <v>1.0</v>
      </c>
      <c r="E9788" s="1">
        <v>19281.0</v>
      </c>
      <c r="F9788" s="10">
        <f t="shared" si="1"/>
        <v>1</v>
      </c>
      <c r="G9788" s="10" t="str">
        <f t="array" ref="G9788">index('Player ID'!C:C,match(E9788,'Player ID'!B:B,0))</f>
        <v>#N/A</v>
      </c>
    </row>
    <row r="9789">
      <c r="A9789" s="76">
        <v>45829.0</v>
      </c>
      <c r="B9789" s="1" t="s">
        <v>359</v>
      </c>
      <c r="C9789" s="1" t="s">
        <v>39</v>
      </c>
      <c r="D9789" s="1">
        <v>1.0</v>
      </c>
      <c r="E9789" s="1">
        <v>20061.0</v>
      </c>
      <c r="F9789" s="10">
        <f t="shared" si="1"/>
        <v>1</v>
      </c>
      <c r="G9789" s="10">
        <f t="array" ref="G9789">index('Player ID'!C:C,match(E9789,'Player ID'!B:B,0))</f>
        <v>672391</v>
      </c>
    </row>
    <row r="9790">
      <c r="A9790" s="76">
        <v>45829.0</v>
      </c>
      <c r="B9790" s="1" t="s">
        <v>695</v>
      </c>
      <c r="C9790" s="1" t="s">
        <v>25</v>
      </c>
      <c r="D9790" s="1">
        <v>6.2</v>
      </c>
      <c r="E9790" s="1">
        <v>22100.0</v>
      </c>
      <c r="F9790" s="10">
        <f t="shared" si="1"/>
        <v>6.666666667</v>
      </c>
      <c r="G9790" s="10">
        <f t="array" ref="G9790">index('Player ID'!C:C,match(E9790,'Player ID'!B:B,0))</f>
        <v>667755</v>
      </c>
    </row>
    <row r="9791">
      <c r="A9791" s="76">
        <v>45829.0</v>
      </c>
      <c r="B9791" s="1" t="s">
        <v>63</v>
      </c>
      <c r="C9791" s="1" t="s">
        <v>39</v>
      </c>
      <c r="D9791" s="1">
        <v>6.0</v>
      </c>
      <c r="E9791" s="1">
        <v>26056.0</v>
      </c>
      <c r="F9791" s="10">
        <f t="shared" si="1"/>
        <v>6</v>
      </c>
      <c r="G9791" s="10">
        <f t="array" ref="G9791">index('Player ID'!C:C,match(E9791,'Player ID'!B:B,0))</f>
        <v>687888</v>
      </c>
    </row>
    <row r="9792">
      <c r="A9792" s="76">
        <v>45829.0</v>
      </c>
      <c r="B9792" s="1" t="s">
        <v>877</v>
      </c>
      <c r="C9792" s="1" t="s">
        <v>25</v>
      </c>
      <c r="D9792" s="1">
        <v>2.0</v>
      </c>
      <c r="E9792" s="1">
        <v>29754.0</v>
      </c>
      <c r="F9792" s="10">
        <f t="shared" si="1"/>
        <v>2</v>
      </c>
      <c r="G9792" s="10" t="str">
        <f t="array" ref="G9792">index('Player ID'!C:C,match(E9792,'Player ID'!B:B,0))</f>
        <v>#N/A</v>
      </c>
    </row>
    <row r="9793">
      <c r="A9793" s="76">
        <v>45829.0</v>
      </c>
      <c r="B9793" s="1" t="s">
        <v>668</v>
      </c>
      <c r="C9793" s="1" t="s">
        <v>52</v>
      </c>
      <c r="D9793" s="1">
        <v>0.1</v>
      </c>
      <c r="E9793" s="1">
        <v>3237.0</v>
      </c>
      <c r="F9793" s="10">
        <f t="shared" si="1"/>
        <v>0.3333333333</v>
      </c>
      <c r="G9793" s="10">
        <f t="array" ref="G9793">index('Player ID'!C:C,match(E9793,'Player ID'!B:B,0))</f>
        <v>519008</v>
      </c>
    </row>
    <row r="9794">
      <c r="A9794" s="76">
        <v>45829.0</v>
      </c>
      <c r="B9794" s="1" t="s">
        <v>415</v>
      </c>
      <c r="C9794" s="1" t="s">
        <v>52</v>
      </c>
      <c r="D9794" s="1">
        <v>2.0</v>
      </c>
      <c r="E9794" s="1">
        <v>16943.0</v>
      </c>
      <c r="F9794" s="10">
        <f t="shared" si="1"/>
        <v>2</v>
      </c>
      <c r="G9794" s="10">
        <f t="array" ref="G9794">index('Player ID'!C:C,match(E9794,'Player ID'!B:B,0))</f>
        <v>656794</v>
      </c>
    </row>
    <row r="9795">
      <c r="A9795" s="76">
        <v>45829.0</v>
      </c>
      <c r="B9795" s="1" t="s">
        <v>132</v>
      </c>
      <c r="C9795" s="1" t="s">
        <v>70</v>
      </c>
      <c r="D9795" s="1">
        <v>1.0</v>
      </c>
      <c r="E9795" s="1">
        <v>21032.0</v>
      </c>
      <c r="F9795" s="10">
        <f t="shared" si="1"/>
        <v>1</v>
      </c>
      <c r="G9795" s="10">
        <f t="array" ref="G9795">index('Player ID'!C:C,match(E9795,'Player ID'!B:B,0))</f>
        <v>661403</v>
      </c>
    </row>
    <row r="9796">
      <c r="A9796" s="76">
        <v>45829.0</v>
      </c>
      <c r="B9796" s="1" t="s">
        <v>227</v>
      </c>
      <c r="C9796" s="1" t="s">
        <v>52</v>
      </c>
      <c r="D9796" s="1">
        <v>2.0</v>
      </c>
      <c r="E9796" s="1">
        <v>21520.0</v>
      </c>
      <c r="F9796" s="10">
        <f t="shared" si="1"/>
        <v>2</v>
      </c>
      <c r="G9796" s="10">
        <f t="array" ref="G9796">index('Player ID'!C:C,match(E9796,'Player ID'!B:B,0))</f>
        <v>663687</v>
      </c>
    </row>
    <row r="9797">
      <c r="A9797" s="76">
        <v>45829.0</v>
      </c>
      <c r="B9797" s="1" t="s">
        <v>238</v>
      </c>
      <c r="C9797" s="1" t="s">
        <v>70</v>
      </c>
      <c r="D9797" s="1">
        <v>1.0</v>
      </c>
      <c r="E9797" s="1">
        <v>25636.0</v>
      </c>
      <c r="F9797" s="10">
        <f t="shared" si="1"/>
        <v>1</v>
      </c>
      <c r="G9797" s="10">
        <f t="array" ref="G9797">index('Player ID'!C:C,match(E9797,'Player ID'!B:B,0))</f>
        <v>683769</v>
      </c>
    </row>
    <row r="9798">
      <c r="A9798" s="76">
        <v>45829.0</v>
      </c>
      <c r="B9798" s="1" t="s">
        <v>484</v>
      </c>
      <c r="C9798" s="1" t="s">
        <v>70</v>
      </c>
      <c r="D9798" s="1">
        <v>6.0</v>
      </c>
      <c r="E9798" s="1">
        <v>27646.0</v>
      </c>
      <c r="F9798" s="10">
        <f t="shared" si="1"/>
        <v>6</v>
      </c>
      <c r="G9798" s="10">
        <f t="array" ref="G9798">index('Player ID'!C:C,match(E9798,'Player ID'!B:B,0))</f>
        <v>682847</v>
      </c>
    </row>
    <row r="9799">
      <c r="A9799" s="76">
        <v>45829.0</v>
      </c>
      <c r="B9799" s="1" t="s">
        <v>127</v>
      </c>
      <c r="C9799" s="1" t="s">
        <v>52</v>
      </c>
      <c r="D9799" s="1">
        <v>4.2</v>
      </c>
      <c r="E9799" s="1">
        <v>27707.0</v>
      </c>
      <c r="F9799" s="10">
        <f t="shared" si="1"/>
        <v>4.666666667</v>
      </c>
      <c r="G9799" s="10">
        <f t="array" ref="G9799">index('Player ID'!C:C,match(E9799,'Player ID'!B:B,0))</f>
        <v>687765</v>
      </c>
    </row>
    <row r="9800">
      <c r="A9800" s="76">
        <v>45829.0</v>
      </c>
      <c r="B9800" s="1" t="s">
        <v>135</v>
      </c>
      <c r="C9800" s="1" t="s">
        <v>70</v>
      </c>
      <c r="D9800" s="1">
        <v>1.0</v>
      </c>
      <c r="E9800" s="1">
        <v>27867.0</v>
      </c>
      <c r="F9800" s="10">
        <f t="shared" si="1"/>
        <v>1</v>
      </c>
      <c r="G9800" s="10">
        <f t="array" ref="G9800">index('Player ID'!C:C,match(E9800,'Player ID'!B:B,0))</f>
        <v>671922</v>
      </c>
    </row>
    <row r="9801">
      <c r="A9801" s="76">
        <v>45829.0</v>
      </c>
      <c r="B9801" s="1" t="s">
        <v>503</v>
      </c>
      <c r="C9801" s="1" t="s">
        <v>33</v>
      </c>
      <c r="D9801" s="1">
        <v>0.1</v>
      </c>
      <c r="E9801" s="1">
        <v>15043.0</v>
      </c>
      <c r="F9801" s="10">
        <f t="shared" si="1"/>
        <v>0.3333333333</v>
      </c>
      <c r="G9801" s="10">
        <f t="array" ref="G9801">index('Player ID'!C:C,match(E9801,'Player ID'!B:B,0))</f>
        <v>642152</v>
      </c>
    </row>
    <row r="9802">
      <c r="A9802" s="76">
        <v>45829.0</v>
      </c>
      <c r="B9802" s="1" t="s">
        <v>329</v>
      </c>
      <c r="C9802" s="1" t="s">
        <v>33</v>
      </c>
      <c r="D9802" s="1">
        <v>6.0</v>
      </c>
      <c r="E9802" s="1">
        <v>19716.0</v>
      </c>
      <c r="F9802" s="10">
        <f t="shared" si="1"/>
        <v>6</v>
      </c>
      <c r="G9802" s="10">
        <f t="array" ref="G9802">index('Player ID'!C:C,match(E9802,'Player ID'!B:B,0))</f>
        <v>669160</v>
      </c>
    </row>
    <row r="9803">
      <c r="A9803" s="76">
        <v>45829.0</v>
      </c>
      <c r="B9803" s="1" t="s">
        <v>396</v>
      </c>
      <c r="C9803" s="1" t="s">
        <v>80</v>
      </c>
      <c r="D9803" s="1">
        <v>5.1</v>
      </c>
      <c r="E9803" s="1">
        <v>21504.0</v>
      </c>
      <c r="F9803" s="10">
        <f t="shared" si="1"/>
        <v>5.333333333</v>
      </c>
      <c r="G9803" s="10">
        <f t="array" ref="G9803">index('Player ID'!C:C,match(E9803,'Player ID'!B:B,0))</f>
        <v>663623</v>
      </c>
    </row>
    <row r="9804">
      <c r="A9804" s="76">
        <v>45829.0</v>
      </c>
      <c r="B9804" s="1" t="s">
        <v>86</v>
      </c>
      <c r="C9804" s="1" t="s">
        <v>80</v>
      </c>
      <c r="D9804" s="1">
        <v>1.2</v>
      </c>
      <c r="E9804" s="1">
        <v>24017.0</v>
      </c>
      <c r="F9804" s="10">
        <f t="shared" si="1"/>
        <v>1.666666667</v>
      </c>
      <c r="G9804" s="10">
        <f t="array" ref="G9804">index('Player ID'!C:C,match(E9804,'Player ID'!B:B,0))</f>
        <v>678606</v>
      </c>
    </row>
    <row r="9805">
      <c r="A9805" s="76">
        <v>45829.0</v>
      </c>
      <c r="B9805" s="1" t="s">
        <v>818</v>
      </c>
      <c r="C9805" s="1" t="s">
        <v>80</v>
      </c>
      <c r="D9805" s="1">
        <v>1.0</v>
      </c>
      <c r="E9805" s="1">
        <v>27783.0</v>
      </c>
      <c r="F9805" s="10">
        <f t="shared" si="1"/>
        <v>1</v>
      </c>
      <c r="G9805" s="10">
        <f t="array" ref="G9805">index('Player ID'!C:C,match(E9805,'Player ID'!B:B,0))</f>
        <v>694350</v>
      </c>
    </row>
    <row r="9806">
      <c r="A9806" s="76">
        <v>45829.0</v>
      </c>
      <c r="B9806" s="1" t="s">
        <v>893</v>
      </c>
      <c r="C9806" s="1" t="s">
        <v>33</v>
      </c>
      <c r="D9806" s="1">
        <v>1.2</v>
      </c>
      <c r="E9806" s="1">
        <v>27787.0</v>
      </c>
      <c r="F9806" s="10">
        <f t="shared" si="1"/>
        <v>1.666666667</v>
      </c>
      <c r="G9806" s="10" t="str">
        <f t="array" ref="G9806">index('Player ID'!C:C,match(E9806,'Player ID'!B:B,0))</f>
        <v>#N/A</v>
      </c>
    </row>
    <row r="9807">
      <c r="A9807" s="76">
        <v>45829.0</v>
      </c>
      <c r="B9807" s="1" t="s">
        <v>206</v>
      </c>
      <c r="C9807" s="1" t="s">
        <v>33</v>
      </c>
      <c r="D9807" s="1">
        <v>1.0</v>
      </c>
      <c r="E9807" s="1">
        <v>30249.0</v>
      </c>
      <c r="F9807" s="10">
        <f t="shared" si="1"/>
        <v>1</v>
      </c>
      <c r="G9807" s="10">
        <f t="array" ref="G9807">index('Player ID'!C:C,match(E9807,'Player ID'!B:B,0))</f>
        <v>676263</v>
      </c>
    </row>
    <row r="9808">
      <c r="A9808" s="76">
        <v>45829.0</v>
      </c>
      <c r="B9808" s="1" t="s">
        <v>437</v>
      </c>
      <c r="C9808" s="1" t="s">
        <v>80</v>
      </c>
      <c r="D9808" s="1">
        <v>1.0</v>
      </c>
      <c r="E9808" s="1">
        <v>31972.0</v>
      </c>
      <c r="F9808" s="10">
        <f t="shared" si="1"/>
        <v>1</v>
      </c>
      <c r="G9808" s="10">
        <f t="array" ref="G9808">index('Player ID'!C:C,match(E9808,'Player ID'!B:B,0))</f>
        <v>695418</v>
      </c>
    </row>
    <row r="9809">
      <c r="A9809" s="76">
        <v>45830.0</v>
      </c>
      <c r="B9809" s="1" t="s">
        <v>422</v>
      </c>
      <c r="C9809" s="1" t="s">
        <v>58</v>
      </c>
      <c r="D9809" s="1">
        <v>1.0</v>
      </c>
      <c r="E9809" s="1">
        <v>7048.0</v>
      </c>
      <c r="F9809" s="10">
        <f t="shared" si="1"/>
        <v>1</v>
      </c>
      <c r="G9809" s="10">
        <f t="array" ref="G9809">index('Player ID'!C:C,match(E9809,'Player ID'!B:B,0))</f>
        <v>518585</v>
      </c>
    </row>
    <row r="9810">
      <c r="A9810" s="76">
        <v>45830.0</v>
      </c>
      <c r="B9810" s="1" t="s">
        <v>114</v>
      </c>
      <c r="C9810" s="1" t="s">
        <v>58</v>
      </c>
      <c r="D9810" s="1">
        <v>1.0</v>
      </c>
      <c r="E9810" s="1">
        <v>15816.0</v>
      </c>
      <c r="F9810" s="10">
        <f t="shared" si="1"/>
        <v>1</v>
      </c>
      <c r="G9810" s="10">
        <f t="array" ref="G9810">index('Player ID'!C:C,match(E9810,'Player ID'!B:B,0))</f>
        <v>642207</v>
      </c>
    </row>
    <row r="9811">
      <c r="A9811" s="76">
        <v>45830.0</v>
      </c>
      <c r="B9811" s="1" t="s">
        <v>69</v>
      </c>
      <c r="C9811" s="1" t="s">
        <v>58</v>
      </c>
      <c r="D9811" s="1">
        <v>0.2</v>
      </c>
      <c r="E9811" s="1">
        <v>16814.0</v>
      </c>
      <c r="F9811" s="10">
        <f t="shared" si="1"/>
        <v>0.6666666667</v>
      </c>
      <c r="G9811" s="10">
        <f t="array" ref="G9811">index('Player ID'!C:C,match(E9811,'Player ID'!B:B,0))</f>
        <v>657612</v>
      </c>
    </row>
    <row r="9812">
      <c r="A9812" s="76">
        <v>45830.0</v>
      </c>
      <c r="B9812" s="1" t="s">
        <v>639</v>
      </c>
      <c r="C9812" s="1" t="s">
        <v>68</v>
      </c>
      <c r="D9812" s="1">
        <v>1.0</v>
      </c>
      <c r="E9812" s="1">
        <v>19249.0</v>
      </c>
      <c r="F9812" s="10">
        <f t="shared" si="1"/>
        <v>1</v>
      </c>
      <c r="G9812" s="10">
        <f t="array" ref="G9812">index('Player ID'!C:C,match(E9812,'Player ID'!B:B,0))</f>
        <v>622554</v>
      </c>
    </row>
    <row r="9813">
      <c r="A9813" s="76">
        <v>45830.0</v>
      </c>
      <c r="B9813" s="1" t="s">
        <v>294</v>
      </c>
      <c r="C9813" s="1" t="s">
        <v>68</v>
      </c>
      <c r="D9813" s="1">
        <v>5.2</v>
      </c>
      <c r="E9813" s="1">
        <v>19350.0</v>
      </c>
      <c r="F9813" s="10">
        <f t="shared" si="1"/>
        <v>5.666666667</v>
      </c>
      <c r="G9813" s="10">
        <f t="array" ref="G9813">index('Player ID'!C:C,match(E9813,'Player ID'!B:B,0))</f>
        <v>665152</v>
      </c>
    </row>
    <row r="9814">
      <c r="A9814" s="76">
        <v>45830.0</v>
      </c>
      <c r="B9814" s="1" t="s">
        <v>231</v>
      </c>
      <c r="C9814" s="1" t="s">
        <v>68</v>
      </c>
      <c r="D9814" s="1">
        <v>0.1</v>
      </c>
      <c r="E9814" s="1">
        <v>19362.0</v>
      </c>
      <c r="F9814" s="10">
        <f t="shared" si="1"/>
        <v>0.3333333333</v>
      </c>
      <c r="G9814" s="10">
        <f t="array" ref="G9814">index('Player ID'!C:C,match(E9814,'Player ID'!B:B,0))</f>
        <v>669211</v>
      </c>
    </row>
    <row r="9815">
      <c r="A9815" s="76">
        <v>45830.0</v>
      </c>
      <c r="B9815" s="1" t="s">
        <v>433</v>
      </c>
      <c r="C9815" s="1" t="s">
        <v>68</v>
      </c>
      <c r="D9815" s="1">
        <v>0.1</v>
      </c>
      <c r="E9815" s="1">
        <v>19677.0</v>
      </c>
      <c r="F9815" s="10">
        <f t="shared" si="1"/>
        <v>0.3333333333</v>
      </c>
      <c r="G9815" s="10">
        <f t="array" ref="G9815">index('Player ID'!C:C,match(E9815,'Player ID'!B:B,0))</f>
        <v>642397</v>
      </c>
    </row>
    <row r="9816">
      <c r="A9816" s="76">
        <v>45830.0</v>
      </c>
      <c r="B9816" s="1" t="s">
        <v>240</v>
      </c>
      <c r="C9816" s="1" t="s">
        <v>68</v>
      </c>
      <c r="D9816" s="1">
        <v>0.2</v>
      </c>
      <c r="E9816" s="1">
        <v>19804.0</v>
      </c>
      <c r="F9816" s="10">
        <f t="shared" si="1"/>
        <v>0.6666666667</v>
      </c>
      <c r="G9816" s="10">
        <f t="array" ref="G9816">index('Player ID'!C:C,match(E9816,'Player ID'!B:B,0))</f>
        <v>641329</v>
      </c>
    </row>
    <row r="9817">
      <c r="A9817" s="76">
        <v>45830.0</v>
      </c>
      <c r="B9817" s="1" t="s">
        <v>344</v>
      </c>
      <c r="C9817" s="1" t="s">
        <v>58</v>
      </c>
      <c r="D9817" s="1">
        <v>6.1</v>
      </c>
      <c r="E9817" s="1">
        <v>30182.0</v>
      </c>
      <c r="F9817" s="10">
        <f t="shared" si="1"/>
        <v>6.333333333</v>
      </c>
      <c r="G9817" s="10">
        <f t="array" ref="G9817">index('Player ID'!C:C,match(E9817,'Player ID'!B:B,0))</f>
        <v>701542</v>
      </c>
    </row>
    <row r="9818">
      <c r="A9818" s="76">
        <v>45830.0</v>
      </c>
      <c r="B9818" s="1" t="s">
        <v>439</v>
      </c>
      <c r="C9818" s="1" t="s">
        <v>62</v>
      </c>
      <c r="D9818" s="1">
        <v>1.1</v>
      </c>
      <c r="E9818" s="1">
        <v>11384.0</v>
      </c>
      <c r="F9818" s="10">
        <f t="shared" si="1"/>
        <v>1.333333333</v>
      </c>
      <c r="G9818" s="10">
        <f t="array" ref="G9818">index('Player ID'!C:C,match(E9818,'Player ID'!B:B,0))</f>
        <v>592454</v>
      </c>
    </row>
    <row r="9819">
      <c r="A9819" s="76">
        <v>45830.0</v>
      </c>
      <c r="B9819" s="1" t="s">
        <v>177</v>
      </c>
      <c r="C9819" s="1" t="s">
        <v>54</v>
      </c>
      <c r="D9819" s="1">
        <v>5.0</v>
      </c>
      <c r="E9819" s="1">
        <v>15823.0</v>
      </c>
      <c r="F9819" s="10">
        <f t="shared" si="1"/>
        <v>5</v>
      </c>
      <c r="G9819" s="10">
        <f t="array" ref="G9819">index('Player ID'!C:C,match(E9819,'Player ID'!B:B,0))</f>
        <v>641793</v>
      </c>
    </row>
    <row r="9820">
      <c r="A9820" s="76">
        <v>45830.0</v>
      </c>
      <c r="B9820" s="1" t="s">
        <v>185</v>
      </c>
      <c r="C9820" s="1" t="s">
        <v>54</v>
      </c>
      <c r="D9820" s="1">
        <v>2.0</v>
      </c>
      <c r="E9820" s="1">
        <v>17897.0</v>
      </c>
      <c r="F9820" s="10">
        <f t="shared" si="1"/>
        <v>2</v>
      </c>
      <c r="G9820" s="10">
        <f t="array" ref="G9820">index('Player ID'!C:C,match(E9820,'Player ID'!B:B,0))</f>
        <v>664076</v>
      </c>
    </row>
    <row r="9821">
      <c r="A9821" s="76">
        <v>45830.0</v>
      </c>
      <c r="B9821" s="1" t="s">
        <v>736</v>
      </c>
      <c r="C9821" s="1" t="s">
        <v>54</v>
      </c>
      <c r="D9821" s="1">
        <v>0.0</v>
      </c>
      <c r="E9821" s="1">
        <v>19586.0</v>
      </c>
      <c r="F9821" s="10">
        <f t="shared" si="1"/>
        <v>0</v>
      </c>
      <c r="G9821" s="10">
        <f t="array" ref="G9821">index('Player ID'!C:C,match(E9821,'Player ID'!B:B,0))</f>
        <v>666215</v>
      </c>
    </row>
    <row r="9822">
      <c r="A9822" s="76">
        <v>45830.0</v>
      </c>
      <c r="B9822" s="1" t="s">
        <v>125</v>
      </c>
      <c r="C9822" s="1" t="s">
        <v>62</v>
      </c>
      <c r="D9822" s="1">
        <v>5.0</v>
      </c>
      <c r="E9822" s="1">
        <v>20492.0</v>
      </c>
      <c r="F9822" s="10">
        <f t="shared" si="1"/>
        <v>5</v>
      </c>
      <c r="G9822" s="10">
        <f t="array" ref="G9822">index('Player ID'!C:C,match(E9822,'Player ID'!B:B,0))</f>
        <v>663554</v>
      </c>
    </row>
    <row r="9823">
      <c r="A9823" s="76">
        <v>45830.0</v>
      </c>
      <c r="B9823" s="1" t="s">
        <v>289</v>
      </c>
      <c r="C9823" s="1" t="s">
        <v>62</v>
      </c>
      <c r="D9823" s="1">
        <v>1.0</v>
      </c>
      <c r="E9823" s="1">
        <v>22304.0</v>
      </c>
      <c r="F9823" s="10">
        <f t="shared" si="1"/>
        <v>1</v>
      </c>
      <c r="G9823" s="10">
        <f t="array" ref="G9823">index('Player ID'!C:C,match(E9823,'Player ID'!B:B,0))</f>
        <v>669724</v>
      </c>
    </row>
    <row r="9824">
      <c r="A9824" s="76">
        <v>45830.0</v>
      </c>
      <c r="B9824" s="1" t="s">
        <v>82</v>
      </c>
      <c r="C9824" s="1" t="s">
        <v>62</v>
      </c>
      <c r="D9824" s="1">
        <v>1.0</v>
      </c>
      <c r="E9824" s="1">
        <v>26231.0</v>
      </c>
      <c r="F9824" s="10">
        <f t="shared" si="1"/>
        <v>1</v>
      </c>
      <c r="G9824" s="10">
        <f t="array" ref="G9824">index('Player ID'!C:C,match(E9824,'Player ID'!B:B,0))</f>
        <v>663947</v>
      </c>
    </row>
    <row r="9825">
      <c r="A9825" s="76">
        <v>45830.0</v>
      </c>
      <c r="B9825" s="1" t="s">
        <v>257</v>
      </c>
      <c r="C9825" s="1" t="s">
        <v>54</v>
      </c>
      <c r="D9825" s="1">
        <v>1.0</v>
      </c>
      <c r="E9825" s="1">
        <v>27626.0</v>
      </c>
      <c r="F9825" s="10">
        <f t="shared" si="1"/>
        <v>1</v>
      </c>
      <c r="G9825" s="10">
        <f t="array" ref="G9825">index('Player ID'!C:C,match(E9825,'Player ID'!B:B,0))</f>
        <v>679358</v>
      </c>
    </row>
    <row r="9826">
      <c r="A9826" s="76">
        <v>45830.0</v>
      </c>
      <c r="B9826" s="1" t="s">
        <v>160</v>
      </c>
      <c r="C9826" s="1" t="s">
        <v>62</v>
      </c>
      <c r="D9826" s="1">
        <v>0.2</v>
      </c>
      <c r="E9826" s="1">
        <v>29574.0</v>
      </c>
      <c r="F9826" s="10">
        <f t="shared" si="1"/>
        <v>0.6666666667</v>
      </c>
      <c r="G9826" s="10">
        <f t="array" ref="G9826">index('Player ID'!C:C,match(E9826,'Player ID'!B:B,0))</f>
        <v>695445</v>
      </c>
    </row>
    <row r="9827">
      <c r="A9827" s="76">
        <v>45830.0</v>
      </c>
      <c r="B9827" s="1" t="s">
        <v>334</v>
      </c>
      <c r="C9827" s="1" t="s">
        <v>54</v>
      </c>
      <c r="D9827" s="1">
        <v>1.0</v>
      </c>
      <c r="E9827" s="1">
        <v>29770.0</v>
      </c>
      <c r="F9827" s="10">
        <f t="shared" si="1"/>
        <v>1</v>
      </c>
      <c r="G9827" s="10">
        <f t="array" ref="G9827">index('Player ID'!C:C,match(E9827,'Player ID'!B:B,0))</f>
        <v>682254</v>
      </c>
    </row>
    <row r="9828">
      <c r="A9828" s="76">
        <v>45830.0</v>
      </c>
      <c r="B9828" s="1" t="s">
        <v>487</v>
      </c>
      <c r="C9828" s="1" t="s">
        <v>62</v>
      </c>
      <c r="D9828" s="1">
        <v>0.0</v>
      </c>
      <c r="E9828" s="1">
        <v>30133.0</v>
      </c>
      <c r="F9828" s="10">
        <f t="shared" si="1"/>
        <v>0</v>
      </c>
      <c r="G9828" s="10">
        <f t="array" ref="G9828">index('Player ID'!C:C,match(E9828,'Player ID'!B:B,0))</f>
        <v>676428</v>
      </c>
    </row>
    <row r="9829">
      <c r="A9829" s="76">
        <v>45830.0</v>
      </c>
      <c r="B9829" s="1" t="s">
        <v>217</v>
      </c>
      <c r="C9829" s="1" t="s">
        <v>60</v>
      </c>
      <c r="D9829" s="1">
        <v>1.0</v>
      </c>
      <c r="E9829" s="1">
        <v>17878.0</v>
      </c>
      <c r="F9829" s="10">
        <f t="shared" si="1"/>
        <v>1</v>
      </c>
      <c r="G9829" s="10">
        <f t="array" ref="G9829">index('Player ID'!C:C,match(E9829,'Player ID'!B:B,0))</f>
        <v>642701</v>
      </c>
    </row>
    <row r="9830">
      <c r="A9830" s="76">
        <v>45830.0</v>
      </c>
      <c r="B9830" s="1" t="s">
        <v>107</v>
      </c>
      <c r="C9830" s="1" t="s">
        <v>60</v>
      </c>
      <c r="D9830" s="1">
        <v>1.2</v>
      </c>
      <c r="E9830" s="1">
        <v>19349.0</v>
      </c>
      <c r="F9830" s="10">
        <f t="shared" si="1"/>
        <v>1.666666667</v>
      </c>
      <c r="G9830" s="10">
        <f t="array" ref="G9830">index('Player ID'!C:C,match(E9830,'Player ID'!B:B,0))</f>
        <v>657571</v>
      </c>
    </row>
    <row r="9831">
      <c r="A9831" s="76">
        <v>45830.0</v>
      </c>
      <c r="B9831" s="1" t="s">
        <v>183</v>
      </c>
      <c r="C9831" s="1" t="s">
        <v>60</v>
      </c>
      <c r="D9831" s="1">
        <v>1.0</v>
      </c>
      <c r="E9831" s="1">
        <v>19569.0</v>
      </c>
      <c r="F9831" s="10">
        <f t="shared" si="1"/>
        <v>1</v>
      </c>
      <c r="G9831" s="10">
        <f t="array" ref="G9831">index('Player ID'!C:C,match(E9831,'Player ID'!B:B,0))</f>
        <v>670280</v>
      </c>
    </row>
    <row r="9832">
      <c r="A9832" s="76">
        <v>45830.0</v>
      </c>
      <c r="B9832" s="1" t="s">
        <v>349</v>
      </c>
      <c r="C9832" s="1" t="s">
        <v>56</v>
      </c>
      <c r="D9832" s="1">
        <v>4.0</v>
      </c>
      <c r="E9832" s="1">
        <v>19736.0</v>
      </c>
      <c r="F9832" s="10">
        <f t="shared" si="1"/>
        <v>4</v>
      </c>
      <c r="G9832" s="10">
        <f t="array" ref="G9832">index('Player ID'!C:C,match(E9832,'Player ID'!B:B,0))</f>
        <v>676961</v>
      </c>
    </row>
    <row r="9833">
      <c r="A9833" s="76">
        <v>45830.0</v>
      </c>
      <c r="B9833" s="1" t="s">
        <v>220</v>
      </c>
      <c r="C9833" s="1" t="s">
        <v>60</v>
      </c>
      <c r="D9833" s="1">
        <v>5.1</v>
      </c>
      <c r="E9833" s="1">
        <v>20070.0</v>
      </c>
      <c r="F9833" s="10">
        <f t="shared" si="1"/>
        <v>5.333333333</v>
      </c>
      <c r="G9833" s="10">
        <f t="array" ref="G9833">index('Player ID'!C:C,match(E9833,'Player ID'!B:B,0))</f>
        <v>663559</v>
      </c>
    </row>
    <row r="9834">
      <c r="A9834" s="76">
        <v>45830.0</v>
      </c>
      <c r="B9834" s="1" t="s">
        <v>374</v>
      </c>
      <c r="C9834" s="1" t="s">
        <v>56</v>
      </c>
      <c r="D9834" s="1">
        <v>4.0</v>
      </c>
      <c r="E9834" s="1">
        <v>30146.0</v>
      </c>
      <c r="F9834" s="10">
        <f t="shared" si="1"/>
        <v>4</v>
      </c>
      <c r="G9834" s="10">
        <f t="array" ref="G9834">index('Player ID'!C:C,match(E9834,'Player ID'!B:B,0))</f>
        <v>683004</v>
      </c>
    </row>
    <row r="9835">
      <c r="A9835" s="76">
        <v>45830.0</v>
      </c>
      <c r="B9835" s="1" t="s">
        <v>456</v>
      </c>
      <c r="C9835" s="1" t="s">
        <v>40</v>
      </c>
      <c r="D9835" s="1">
        <v>6.0</v>
      </c>
      <c r="E9835" s="1">
        <v>12304.0</v>
      </c>
      <c r="F9835" s="10">
        <f t="shared" si="1"/>
        <v>6</v>
      </c>
      <c r="G9835" s="10">
        <f t="array" ref="G9835">index('Player ID'!C:C,match(E9835,'Player ID'!B:B,0))</f>
        <v>605135</v>
      </c>
    </row>
    <row r="9836">
      <c r="A9836" s="76">
        <v>45830.0</v>
      </c>
      <c r="B9836" s="1" t="s">
        <v>411</v>
      </c>
      <c r="C9836" s="1" t="s">
        <v>78</v>
      </c>
      <c r="D9836" s="1">
        <v>6.1</v>
      </c>
      <c r="E9836" s="1">
        <v>12718.0</v>
      </c>
      <c r="F9836" s="10">
        <f t="shared" si="1"/>
        <v>6.333333333</v>
      </c>
      <c r="G9836" s="10">
        <f t="array" ref="G9836">index('Player ID'!C:C,match(E9836,'Player ID'!B:B,0))</f>
        <v>605288</v>
      </c>
    </row>
    <row r="9837">
      <c r="A9837" s="76">
        <v>45830.0</v>
      </c>
      <c r="B9837" s="1" t="s">
        <v>311</v>
      </c>
      <c r="C9837" s="1" t="s">
        <v>40</v>
      </c>
      <c r="D9837" s="1">
        <v>0.1</v>
      </c>
      <c r="E9837" s="1">
        <v>17432.0</v>
      </c>
      <c r="F9837" s="10">
        <f t="shared" si="1"/>
        <v>0.3333333333</v>
      </c>
      <c r="G9837" s="10">
        <f t="array" ref="G9837">index('Player ID'!C:C,match(E9837,'Player ID'!B:B,0))</f>
        <v>656546</v>
      </c>
    </row>
    <row r="9838">
      <c r="A9838" s="76">
        <v>45830.0</v>
      </c>
      <c r="B9838" s="1" t="s">
        <v>641</v>
      </c>
      <c r="C9838" s="1" t="s">
        <v>40</v>
      </c>
      <c r="D9838" s="1">
        <v>0.2</v>
      </c>
      <c r="E9838" s="1">
        <v>20517.0</v>
      </c>
      <c r="F9838" s="10">
        <f t="shared" si="1"/>
        <v>0.6666666667</v>
      </c>
      <c r="G9838" s="10">
        <f t="array" ref="G9838">index('Player ID'!C:C,match(E9838,'Player ID'!B:B,0))</f>
        <v>680704</v>
      </c>
    </row>
    <row r="9839">
      <c r="A9839" s="76">
        <v>45830.0</v>
      </c>
      <c r="B9839" s="1" t="s">
        <v>395</v>
      </c>
      <c r="C9839" s="1" t="s">
        <v>40</v>
      </c>
      <c r="D9839" s="1">
        <v>0.2</v>
      </c>
      <c r="E9839" s="1">
        <v>21574.0</v>
      </c>
      <c r="F9839" s="10">
        <f t="shared" si="1"/>
        <v>0.6666666667</v>
      </c>
      <c r="G9839" s="10">
        <f t="array" ref="G9839">index('Player ID'!C:C,match(E9839,'Player ID'!B:B,0))</f>
        <v>663893</v>
      </c>
    </row>
    <row r="9840">
      <c r="A9840" s="76">
        <v>45830.0</v>
      </c>
      <c r="B9840" s="1" t="s">
        <v>315</v>
      </c>
      <c r="C9840" s="1" t="s">
        <v>40</v>
      </c>
      <c r="D9840" s="1">
        <v>0.1</v>
      </c>
      <c r="E9840" s="1">
        <v>24609.0</v>
      </c>
      <c r="F9840" s="10">
        <f t="shared" si="1"/>
        <v>0.3333333333</v>
      </c>
      <c r="G9840" s="10">
        <f t="array" ref="G9840">index('Player ID'!C:C,match(E9840,'Player ID'!B:B,0))</f>
        <v>680755</v>
      </c>
    </row>
    <row r="9841">
      <c r="A9841" s="76">
        <v>45830.0</v>
      </c>
      <c r="B9841" s="1" t="s">
        <v>367</v>
      </c>
      <c r="C9841" s="1" t="s">
        <v>78</v>
      </c>
      <c r="D9841" s="1">
        <v>1.0</v>
      </c>
      <c r="E9841" s="1">
        <v>27668.0</v>
      </c>
      <c r="F9841" s="10">
        <f t="shared" si="1"/>
        <v>1</v>
      </c>
      <c r="G9841" s="10">
        <f t="array" ref="G9841">index('Player ID'!C:C,match(E9841,'Player ID'!B:B,0))</f>
        <v>685126</v>
      </c>
    </row>
    <row r="9842">
      <c r="A9842" s="76">
        <v>45830.0</v>
      </c>
      <c r="B9842" s="1" t="s">
        <v>317</v>
      </c>
      <c r="C9842" s="1" t="s">
        <v>78</v>
      </c>
      <c r="D9842" s="1">
        <v>0.2</v>
      </c>
      <c r="E9842" s="1">
        <v>29950.0</v>
      </c>
      <c r="F9842" s="10">
        <f t="shared" si="1"/>
        <v>0.6666666667</v>
      </c>
      <c r="G9842" s="10">
        <f t="array" ref="G9842">index('Player ID'!C:C,match(E9842,'Player ID'!B:B,0))</f>
        <v>673929</v>
      </c>
    </row>
    <row r="9843">
      <c r="A9843" s="76">
        <v>45830.0</v>
      </c>
      <c r="B9843" s="1" t="s">
        <v>427</v>
      </c>
      <c r="C9843" s="1" t="s">
        <v>40</v>
      </c>
      <c r="D9843" s="1">
        <v>1.0</v>
      </c>
      <c r="E9843" s="1">
        <v>33838.0</v>
      </c>
      <c r="F9843" s="10">
        <f t="shared" si="1"/>
        <v>1</v>
      </c>
      <c r="G9843" s="10">
        <f t="array" ref="G9843">index('Player ID'!C:C,match(E9843,'Player ID'!B:B,0))</f>
        <v>684320</v>
      </c>
    </row>
    <row r="9844">
      <c r="A9844" s="76">
        <v>45830.0</v>
      </c>
      <c r="B9844" s="1" t="s">
        <v>106</v>
      </c>
      <c r="C9844" s="1" t="s">
        <v>78</v>
      </c>
      <c r="D9844" s="1">
        <v>1.0</v>
      </c>
      <c r="E9844" s="1">
        <v>33927.0</v>
      </c>
      <c r="F9844" s="10">
        <f t="shared" si="1"/>
        <v>1</v>
      </c>
      <c r="G9844" s="10" t="str">
        <f t="array" ref="G9844">index('Player ID'!C:C,match(E9844,'Player ID'!B:B,0))</f>
        <v>#N/A</v>
      </c>
    </row>
    <row r="9845">
      <c r="A9845" s="76">
        <v>45830.0</v>
      </c>
      <c r="B9845" s="1" t="s">
        <v>229</v>
      </c>
      <c r="C9845" s="1" t="s">
        <v>36</v>
      </c>
      <c r="D9845" s="1">
        <v>6.0</v>
      </c>
      <c r="E9845" s="1">
        <v>18684.0</v>
      </c>
      <c r="F9845" s="10">
        <f t="shared" si="1"/>
        <v>6</v>
      </c>
      <c r="G9845" s="10">
        <f t="array" ref="G9845">index('Player ID'!C:C,match(E9845,'Player ID'!B:B,0))</f>
        <v>645261</v>
      </c>
    </row>
    <row r="9846">
      <c r="A9846" s="76">
        <v>45830.0</v>
      </c>
      <c r="B9846" s="1" t="s">
        <v>89</v>
      </c>
      <c r="C9846" s="1" t="s">
        <v>36</v>
      </c>
      <c r="D9846" s="1">
        <v>1.1</v>
      </c>
      <c r="E9846" s="1">
        <v>19742.0</v>
      </c>
      <c r="F9846" s="10">
        <f t="shared" si="1"/>
        <v>1.333333333</v>
      </c>
      <c r="G9846" s="10">
        <f t="array" ref="G9846">index('Player ID'!C:C,match(E9846,'Player ID'!B:B,0))</f>
        <v>669622</v>
      </c>
    </row>
    <row r="9847">
      <c r="A9847" s="76">
        <v>45830.0</v>
      </c>
      <c r="B9847" s="1" t="s">
        <v>262</v>
      </c>
      <c r="C9847" s="1" t="s">
        <v>36</v>
      </c>
      <c r="D9847" s="1">
        <v>0.2</v>
      </c>
      <c r="E9847" s="1">
        <v>20116.0</v>
      </c>
      <c r="F9847" s="10">
        <f t="shared" si="1"/>
        <v>0.6666666667</v>
      </c>
      <c r="G9847" s="10">
        <f t="array" ref="G9847">index('Player ID'!C:C,match(E9847,'Player ID'!B:B,0))</f>
        <v>676534</v>
      </c>
    </row>
    <row r="9848">
      <c r="A9848" s="76">
        <v>45830.0</v>
      </c>
      <c r="B9848" s="1" t="s">
        <v>123</v>
      </c>
      <c r="C9848" s="1" t="s">
        <v>36</v>
      </c>
      <c r="D9848" s="1">
        <v>1.0</v>
      </c>
      <c r="E9848" s="1">
        <v>24094.0</v>
      </c>
      <c r="F9848" s="10">
        <f t="shared" si="1"/>
        <v>1</v>
      </c>
      <c r="G9848" s="10">
        <f t="array" ref="G9848">index('Player ID'!C:C,match(E9848,'Player ID'!B:B,0))</f>
        <v>678692</v>
      </c>
    </row>
    <row r="9849">
      <c r="A9849" s="76">
        <v>45830.0</v>
      </c>
      <c r="B9849" s="1" t="s">
        <v>565</v>
      </c>
      <c r="C9849" s="1" t="s">
        <v>46</v>
      </c>
      <c r="D9849" s="1">
        <v>1.0</v>
      </c>
      <c r="E9849" s="1">
        <v>24604.0</v>
      </c>
      <c r="F9849" s="10">
        <f t="shared" si="1"/>
        <v>1</v>
      </c>
      <c r="G9849" s="10" t="str">
        <f t="array" ref="G9849">index('Player ID'!C:C,match(E9849,'Player ID'!B:B,0))</f>
        <v>#N/A</v>
      </c>
    </row>
    <row r="9850">
      <c r="A9850" s="76">
        <v>45830.0</v>
      </c>
      <c r="B9850" s="1" t="s">
        <v>275</v>
      </c>
      <c r="C9850" s="1" t="s">
        <v>46</v>
      </c>
      <c r="D9850" s="1">
        <v>5.1</v>
      </c>
      <c r="E9850" s="1">
        <v>27779.0</v>
      </c>
      <c r="F9850" s="10">
        <f t="shared" si="1"/>
        <v>5.333333333</v>
      </c>
      <c r="G9850" s="10">
        <f t="array" ref="G9850">index('Player ID'!C:C,match(E9850,'Player ID'!B:B,0))</f>
        <v>693821</v>
      </c>
    </row>
    <row r="9851">
      <c r="A9851" s="76">
        <v>45830.0</v>
      </c>
      <c r="B9851" s="1" t="s">
        <v>244</v>
      </c>
      <c r="C9851" s="1" t="s">
        <v>46</v>
      </c>
      <c r="D9851" s="1">
        <v>1.2</v>
      </c>
      <c r="E9851" s="1">
        <v>29928.0</v>
      </c>
      <c r="F9851" s="10">
        <f t="shared" si="1"/>
        <v>1.666666667</v>
      </c>
      <c r="G9851" s="10" t="str">
        <f t="array" ref="G9851">index('Player ID'!C:C,match(E9851,'Player ID'!B:B,0))</f>
        <v>#N/A</v>
      </c>
    </row>
    <row r="9852">
      <c r="A9852" s="76">
        <v>45830.0</v>
      </c>
      <c r="B9852" s="1" t="s">
        <v>435</v>
      </c>
      <c r="C9852" s="1" t="s">
        <v>16</v>
      </c>
      <c r="D9852" s="1">
        <v>1.0</v>
      </c>
      <c r="E9852" s="1">
        <v>13293.0</v>
      </c>
      <c r="F9852" s="10">
        <f t="shared" si="1"/>
        <v>1</v>
      </c>
      <c r="G9852" s="10">
        <f t="array" ref="G9852">index('Player ID'!C:C,match(E9852,'Player ID'!B:B,0))</f>
        <v>543056</v>
      </c>
    </row>
    <row r="9853">
      <c r="A9853" s="76">
        <v>45830.0</v>
      </c>
      <c r="B9853" s="1" t="s">
        <v>724</v>
      </c>
      <c r="C9853" s="1" t="s">
        <v>14</v>
      </c>
      <c r="D9853" s="1">
        <v>0.2</v>
      </c>
      <c r="E9853" s="1">
        <v>15094.0</v>
      </c>
      <c r="F9853" s="10">
        <f t="shared" si="1"/>
        <v>0.6666666667</v>
      </c>
      <c r="G9853" s="10">
        <f t="array" ref="G9853">index('Player ID'!C:C,match(E9853,'Player ID'!B:B,0))</f>
        <v>642239</v>
      </c>
    </row>
    <row r="9854">
      <c r="A9854" s="76">
        <v>45830.0</v>
      </c>
      <c r="B9854" s="1" t="s">
        <v>146</v>
      </c>
      <c r="C9854" s="1" t="s">
        <v>16</v>
      </c>
      <c r="D9854" s="1">
        <v>1.0</v>
      </c>
      <c r="E9854" s="1">
        <v>15145.0</v>
      </c>
      <c r="F9854" s="10">
        <f t="shared" si="1"/>
        <v>1</v>
      </c>
      <c r="G9854" s="10">
        <f t="array" ref="G9854">index('Player ID'!C:C,match(E9854,'Player ID'!B:B,0))</f>
        <v>623437</v>
      </c>
    </row>
    <row r="9855">
      <c r="A9855" s="76">
        <v>45830.0</v>
      </c>
      <c r="B9855" s="1" t="s">
        <v>249</v>
      </c>
      <c r="C9855" s="1" t="s">
        <v>16</v>
      </c>
      <c r="D9855" s="1">
        <v>1.0</v>
      </c>
      <c r="E9855" s="1">
        <v>16727.0</v>
      </c>
      <c r="F9855" s="10">
        <f t="shared" si="1"/>
        <v>1</v>
      </c>
      <c r="G9855" s="10">
        <f t="array" ref="G9855">index('Player ID'!C:C,match(E9855,'Player ID'!B:B,0))</f>
        <v>592779</v>
      </c>
    </row>
    <row r="9856">
      <c r="A9856" s="76">
        <v>45830.0</v>
      </c>
      <c r="B9856" s="1" t="s">
        <v>13</v>
      </c>
      <c r="C9856" s="1" t="s">
        <v>14</v>
      </c>
      <c r="D9856" s="1">
        <v>1.1</v>
      </c>
      <c r="E9856" s="1">
        <v>17722.0</v>
      </c>
      <c r="F9856" s="10">
        <f t="shared" si="1"/>
        <v>1.333333333</v>
      </c>
      <c r="G9856" s="10">
        <f t="array" ref="G9856">index('Player ID'!C:C,match(E9856,'Player ID'!B:B,0))</f>
        <v>656730</v>
      </c>
    </row>
    <row r="9857">
      <c r="A9857" s="76">
        <v>45830.0</v>
      </c>
      <c r="B9857" s="1" t="s">
        <v>28</v>
      </c>
      <c r="C9857" s="1" t="s">
        <v>16</v>
      </c>
      <c r="D9857" s="1">
        <v>0.1</v>
      </c>
      <c r="E9857" s="1">
        <v>20253.0</v>
      </c>
      <c r="F9857" s="10">
        <f t="shared" si="1"/>
        <v>0.3333333333</v>
      </c>
      <c r="G9857" s="10">
        <f t="array" ref="G9857">index('Player ID'!C:C,match(E9857,'Player ID'!B:B,0))</f>
        <v>643377</v>
      </c>
    </row>
    <row r="9858">
      <c r="A9858" s="76">
        <v>45830.0</v>
      </c>
      <c r="B9858" s="1" t="s">
        <v>318</v>
      </c>
      <c r="C9858" s="1" t="s">
        <v>14</v>
      </c>
      <c r="D9858" s="1">
        <v>1.0</v>
      </c>
      <c r="E9858" s="1">
        <v>20546.0</v>
      </c>
      <c r="F9858" s="10">
        <f t="shared" si="1"/>
        <v>1</v>
      </c>
      <c r="G9858" s="10">
        <f t="array" ref="G9858">index('Player ID'!C:C,match(E9858,'Player ID'!B:B,0))</f>
        <v>681982</v>
      </c>
    </row>
    <row r="9859">
      <c r="A9859" s="76">
        <v>45830.0</v>
      </c>
      <c r="B9859" s="1" t="s">
        <v>122</v>
      </c>
      <c r="C9859" s="1" t="s">
        <v>16</v>
      </c>
      <c r="D9859" s="1">
        <v>1.0</v>
      </c>
      <c r="E9859" s="1">
        <v>21029.0</v>
      </c>
      <c r="F9859" s="10">
        <f t="shared" si="1"/>
        <v>1</v>
      </c>
      <c r="G9859" s="10">
        <f t="array" ref="G9859">index('Player ID'!C:C,match(E9859,'Player ID'!B:B,0))</f>
        <v>661395</v>
      </c>
    </row>
    <row r="9860">
      <c r="A9860" s="76">
        <v>45830.0</v>
      </c>
      <c r="B9860" s="1" t="s">
        <v>265</v>
      </c>
      <c r="C9860" s="1" t="s">
        <v>14</v>
      </c>
      <c r="D9860" s="1">
        <v>0.1</v>
      </c>
      <c r="E9860" s="1">
        <v>22207.0</v>
      </c>
      <c r="F9860" s="10">
        <f t="shared" si="1"/>
        <v>0.3333333333</v>
      </c>
      <c r="G9860" s="10" t="str">
        <f t="array" ref="G9860">index('Player ID'!C:C,match(E9860,'Player ID'!B:B,0))</f>
        <v>#N/A</v>
      </c>
    </row>
    <row r="9861">
      <c r="A9861" s="76">
        <v>45830.0</v>
      </c>
      <c r="B9861" s="1" t="s">
        <v>279</v>
      </c>
      <c r="C9861" s="1" t="s">
        <v>14</v>
      </c>
      <c r="D9861" s="1">
        <v>1.0</v>
      </c>
      <c r="E9861" s="1">
        <v>25327.0</v>
      </c>
      <c r="F9861" s="10">
        <f t="shared" si="1"/>
        <v>1</v>
      </c>
      <c r="G9861" s="10">
        <f t="array" ref="G9861">index('Player ID'!C:C,match(E9861,'Player ID'!B:B,0))</f>
        <v>682842</v>
      </c>
    </row>
    <row r="9862">
      <c r="A9862" s="76">
        <v>45830.0</v>
      </c>
      <c r="B9862" s="1" t="s">
        <v>112</v>
      </c>
      <c r="C9862" s="1" t="s">
        <v>14</v>
      </c>
      <c r="D9862" s="1">
        <v>0.2</v>
      </c>
      <c r="E9862" s="1">
        <v>25376.0</v>
      </c>
      <c r="F9862" s="10">
        <f t="shared" si="1"/>
        <v>0.6666666667</v>
      </c>
      <c r="G9862" s="10">
        <f t="array" ref="G9862">index('Player ID'!C:C,match(E9862,'Player ID'!B:B,0))</f>
        <v>683232</v>
      </c>
    </row>
    <row r="9863">
      <c r="A9863" s="76">
        <v>45830.0</v>
      </c>
      <c r="B9863" s="1" t="s">
        <v>450</v>
      </c>
      <c r="C9863" s="1" t="s">
        <v>14</v>
      </c>
      <c r="D9863" s="1">
        <v>3.1</v>
      </c>
      <c r="E9863" s="1">
        <v>25977.0</v>
      </c>
      <c r="F9863" s="10">
        <f t="shared" si="1"/>
        <v>3.333333333</v>
      </c>
      <c r="G9863" s="10">
        <f t="array" ref="G9863">index('Player ID'!C:C,match(E9863,'Player ID'!B:B,0))</f>
        <v>682990</v>
      </c>
    </row>
    <row r="9864">
      <c r="A9864" s="76">
        <v>45830.0</v>
      </c>
      <c r="B9864" s="1" t="s">
        <v>418</v>
      </c>
      <c r="C9864" s="1" t="s">
        <v>14</v>
      </c>
      <c r="D9864" s="1">
        <v>0.2</v>
      </c>
      <c r="E9864" s="1">
        <v>27517.0</v>
      </c>
      <c r="F9864" s="10">
        <f t="shared" si="1"/>
        <v>0.6666666667</v>
      </c>
      <c r="G9864" s="10">
        <f t="array" ref="G9864">index('Player ID'!C:C,match(E9864,'Player ID'!B:B,0))</f>
        <v>657649</v>
      </c>
    </row>
    <row r="9865">
      <c r="A9865" s="76">
        <v>45830.0</v>
      </c>
      <c r="B9865" s="1" t="s">
        <v>253</v>
      </c>
      <c r="C9865" s="1" t="s">
        <v>16</v>
      </c>
      <c r="D9865" s="1">
        <v>4.2</v>
      </c>
      <c r="E9865" s="1">
        <v>30056.0</v>
      </c>
      <c r="F9865" s="10">
        <f t="shared" si="1"/>
        <v>4.666666667</v>
      </c>
      <c r="G9865" s="10">
        <f t="array" ref="G9865">index('Player ID'!C:C,match(E9865,'Player ID'!B:B,0))</f>
        <v>701581</v>
      </c>
    </row>
    <row r="9866">
      <c r="A9866" s="76">
        <v>45830.0</v>
      </c>
      <c r="B9866" s="1" t="s">
        <v>287</v>
      </c>
      <c r="C9866" s="1" t="s">
        <v>72</v>
      </c>
      <c r="D9866" s="1">
        <v>5.0</v>
      </c>
      <c r="E9866" s="1">
        <v>9803.0</v>
      </c>
      <c r="F9866" s="10">
        <f t="shared" si="1"/>
        <v>5</v>
      </c>
      <c r="G9866" s="10">
        <f t="array" ref="G9866">index('Player ID'!C:C,match(E9866,'Player ID'!B:B,0))</f>
        <v>571945</v>
      </c>
    </row>
    <row r="9867">
      <c r="A9867" s="76">
        <v>45830.0</v>
      </c>
      <c r="B9867" s="1" t="s">
        <v>362</v>
      </c>
      <c r="C9867" s="1" t="s">
        <v>66</v>
      </c>
      <c r="D9867" s="1">
        <v>0.2</v>
      </c>
      <c r="E9867" s="1">
        <v>13449.0</v>
      </c>
      <c r="F9867" s="10">
        <f t="shared" si="1"/>
        <v>0.6666666667</v>
      </c>
      <c r="G9867" s="10">
        <f t="array" ref="G9867">index('Player ID'!C:C,match(E9867,'Player ID'!B:B,0))</f>
        <v>573124</v>
      </c>
    </row>
    <row r="9868">
      <c r="A9868" s="76">
        <v>45830.0</v>
      </c>
      <c r="B9868" s="1" t="s">
        <v>651</v>
      </c>
      <c r="C9868" s="1" t="s">
        <v>66</v>
      </c>
      <c r="D9868" s="1">
        <v>1.0</v>
      </c>
      <c r="E9868" s="1">
        <v>14771.0</v>
      </c>
      <c r="F9868" s="10">
        <f t="shared" si="1"/>
        <v>1</v>
      </c>
      <c r="G9868" s="10">
        <f t="array" ref="G9868">index('Player ID'!C:C,match(E9868,'Player ID'!B:B,0))</f>
        <v>641941</v>
      </c>
    </row>
    <row r="9869">
      <c r="A9869" s="76">
        <v>45830.0</v>
      </c>
      <c r="B9869" s="1" t="s">
        <v>518</v>
      </c>
      <c r="C9869" s="1" t="s">
        <v>66</v>
      </c>
      <c r="D9869" s="1">
        <v>0.1</v>
      </c>
      <c r="E9869" s="1">
        <v>24581.0</v>
      </c>
      <c r="F9869" s="10">
        <f t="shared" si="1"/>
        <v>0.3333333333</v>
      </c>
      <c r="G9869" s="10">
        <f t="array" ref="G9869">index('Player ID'!C:C,match(E9869,'Player ID'!B:B,0))</f>
        <v>680689</v>
      </c>
    </row>
    <row r="9870">
      <c r="A9870" s="76">
        <v>45830.0</v>
      </c>
      <c r="B9870" s="1" t="s">
        <v>170</v>
      </c>
      <c r="C9870" s="1" t="s">
        <v>72</v>
      </c>
      <c r="D9870" s="1">
        <v>2.0</v>
      </c>
      <c r="E9870" s="1">
        <v>24763.0</v>
      </c>
      <c r="F9870" s="10">
        <f t="shared" si="1"/>
        <v>2</v>
      </c>
      <c r="G9870" s="10">
        <f t="array" ref="G9870">index('Player ID'!C:C,match(E9870,'Player ID'!B:B,0))</f>
        <v>681517</v>
      </c>
    </row>
    <row r="9871">
      <c r="A9871" s="76">
        <v>45830.0</v>
      </c>
      <c r="B9871" s="1" t="s">
        <v>337</v>
      </c>
      <c r="C9871" s="1" t="s">
        <v>72</v>
      </c>
      <c r="D9871" s="1">
        <v>2.0</v>
      </c>
      <c r="E9871" s="1">
        <v>29519.0</v>
      </c>
      <c r="F9871" s="10">
        <f t="shared" si="1"/>
        <v>2</v>
      </c>
      <c r="G9871" s="10">
        <f t="array" ref="G9871">index('Player ID'!C:C,match(E9871,'Player ID'!B:B,0))</f>
        <v>700669</v>
      </c>
    </row>
    <row r="9872">
      <c r="A9872" s="76">
        <v>45830.0</v>
      </c>
      <c r="B9872" s="1" t="s">
        <v>169</v>
      </c>
      <c r="C9872" s="1" t="s">
        <v>66</v>
      </c>
      <c r="D9872" s="1">
        <v>7.0</v>
      </c>
      <c r="E9872" s="1">
        <v>29911.0</v>
      </c>
      <c r="F9872" s="10">
        <f t="shared" si="1"/>
        <v>7</v>
      </c>
      <c r="G9872" s="10">
        <f t="array" ref="G9872">index('Player ID'!C:C,match(E9872,'Player ID'!B:B,0))</f>
        <v>671096</v>
      </c>
    </row>
    <row r="9873">
      <c r="A9873" s="76">
        <v>45830.0</v>
      </c>
      <c r="B9873" s="1" t="s">
        <v>313</v>
      </c>
      <c r="C9873" s="1" t="s">
        <v>34</v>
      </c>
      <c r="D9873" s="1">
        <v>5.1</v>
      </c>
      <c r="E9873" s="1">
        <v>12317.0</v>
      </c>
      <c r="F9873" s="10">
        <f t="shared" si="1"/>
        <v>5.333333333</v>
      </c>
      <c r="G9873" s="10">
        <f t="array" ref="G9873">index('Player ID'!C:C,match(E9873,'Player ID'!B:B,0))</f>
        <v>607067</v>
      </c>
    </row>
    <row r="9874">
      <c r="A9874" s="76">
        <v>45830.0</v>
      </c>
      <c r="B9874" s="1" t="s">
        <v>462</v>
      </c>
      <c r="C9874" s="1" t="s">
        <v>34</v>
      </c>
      <c r="D9874" s="1">
        <v>1.2</v>
      </c>
      <c r="E9874" s="1">
        <v>13896.0</v>
      </c>
      <c r="F9874" s="10">
        <f t="shared" si="1"/>
        <v>1.666666667</v>
      </c>
      <c r="G9874" s="10">
        <f t="array" ref="G9874">index('Player ID'!C:C,match(E9874,'Player ID'!B:B,0))</f>
        <v>623167</v>
      </c>
    </row>
    <row r="9875">
      <c r="A9875" s="76">
        <v>45830.0</v>
      </c>
      <c r="B9875" s="1" t="s">
        <v>53</v>
      </c>
      <c r="C9875" s="1" t="s">
        <v>37</v>
      </c>
      <c r="D9875" s="1">
        <v>1.0</v>
      </c>
      <c r="E9875" s="1">
        <v>17170.0</v>
      </c>
      <c r="F9875" s="10">
        <f t="shared" si="1"/>
        <v>1</v>
      </c>
      <c r="G9875" s="10">
        <f t="array" ref="G9875">index('Player ID'!C:C,match(E9875,'Player ID'!B:B,0))</f>
        <v>642100</v>
      </c>
    </row>
    <row r="9876">
      <c r="A9876" s="76">
        <v>45830.0</v>
      </c>
      <c r="B9876" s="1" t="s">
        <v>633</v>
      </c>
      <c r="C9876" s="1" t="s">
        <v>34</v>
      </c>
      <c r="D9876" s="1">
        <v>2.0</v>
      </c>
      <c r="E9876" s="1">
        <v>20160.0</v>
      </c>
      <c r="F9876" s="10">
        <f t="shared" si="1"/>
        <v>2</v>
      </c>
      <c r="G9876" s="10">
        <f t="array" ref="G9876">index('Player ID'!C:C,match(E9876,'Player ID'!B:B,0))</f>
        <v>663878</v>
      </c>
    </row>
    <row r="9877">
      <c r="A9877" s="76">
        <v>45830.0</v>
      </c>
      <c r="B9877" s="1" t="s">
        <v>157</v>
      </c>
      <c r="C9877" s="1" t="s">
        <v>37</v>
      </c>
      <c r="D9877" s="1">
        <v>1.0</v>
      </c>
      <c r="E9877" s="1">
        <v>20997.0</v>
      </c>
      <c r="F9877" s="10">
        <f t="shared" si="1"/>
        <v>1</v>
      </c>
      <c r="G9877" s="10">
        <f t="array" ref="G9877">index('Player ID'!C:C,match(E9877,'Player ID'!B:B,0))</f>
        <v>660825</v>
      </c>
    </row>
    <row r="9878">
      <c r="A9878" s="76">
        <v>45830.0</v>
      </c>
      <c r="B9878" s="1" t="s">
        <v>153</v>
      </c>
      <c r="C9878" s="1" t="s">
        <v>37</v>
      </c>
      <c r="D9878" s="1">
        <v>5.0</v>
      </c>
      <c r="E9878" s="1">
        <v>22250.0</v>
      </c>
      <c r="F9878" s="10">
        <f t="shared" si="1"/>
        <v>5</v>
      </c>
      <c r="G9878" s="10">
        <f t="array" ref="G9878">index('Player ID'!C:C,match(E9878,'Player ID'!B:B,0))</f>
        <v>669302</v>
      </c>
    </row>
    <row r="9879">
      <c r="A9879" s="76">
        <v>45830.0</v>
      </c>
      <c r="B9879" s="1" t="s">
        <v>101</v>
      </c>
      <c r="C9879" s="1" t="s">
        <v>37</v>
      </c>
      <c r="D9879" s="1">
        <v>1.0</v>
      </c>
      <c r="E9879" s="1">
        <v>22915.0</v>
      </c>
      <c r="F9879" s="10">
        <f t="shared" si="1"/>
        <v>1</v>
      </c>
      <c r="G9879" s="10">
        <f t="array" ref="G9879">index('Player ID'!C:C,match(E9879,'Player ID'!B:B,0))</f>
        <v>672841</v>
      </c>
    </row>
    <row r="9880">
      <c r="A9880" s="76">
        <v>45830.0</v>
      </c>
      <c r="B9880" s="1" t="s">
        <v>340</v>
      </c>
      <c r="C9880" s="1" t="s">
        <v>37</v>
      </c>
      <c r="D9880" s="1">
        <v>1.0</v>
      </c>
      <c r="E9880" s="1">
        <v>25921.0</v>
      </c>
      <c r="F9880" s="10">
        <f t="shared" si="1"/>
        <v>1</v>
      </c>
      <c r="G9880" s="10">
        <f t="array" ref="G9880">index('Player ID'!C:C,match(E9880,'Player ID'!B:B,0))</f>
        <v>668984</v>
      </c>
    </row>
    <row r="9881">
      <c r="A9881" s="76">
        <v>45830.0</v>
      </c>
      <c r="B9881" s="1" t="s">
        <v>447</v>
      </c>
      <c r="C9881" s="1" t="s">
        <v>64</v>
      </c>
      <c r="D9881" s="1">
        <v>2.0</v>
      </c>
      <c r="E9881" s="1">
        <v>13652.0</v>
      </c>
      <c r="F9881" s="10">
        <f t="shared" si="1"/>
        <v>2</v>
      </c>
      <c r="G9881" s="10">
        <f t="array" ref="G9881">index('Player ID'!C:C,match(E9881,'Player ID'!B:B,0))</f>
        <v>605463</v>
      </c>
    </row>
    <row r="9882">
      <c r="A9882" s="76">
        <v>45830.0</v>
      </c>
      <c r="B9882" s="1" t="s">
        <v>481</v>
      </c>
      <c r="C9882" s="1" t="s">
        <v>75</v>
      </c>
      <c r="D9882" s="1">
        <v>5.1</v>
      </c>
      <c r="E9882" s="1">
        <v>15488.0</v>
      </c>
      <c r="F9882" s="10">
        <f t="shared" si="1"/>
        <v>5.333333333</v>
      </c>
      <c r="G9882" s="10">
        <f t="array" ref="G9882">index('Player ID'!C:C,match(E9882,'Player ID'!B:B,0))</f>
        <v>622608</v>
      </c>
    </row>
    <row r="9883">
      <c r="A9883" s="76">
        <v>45830.0</v>
      </c>
      <c r="B9883" s="1" t="s">
        <v>288</v>
      </c>
      <c r="C9883" s="1" t="s">
        <v>75</v>
      </c>
      <c r="D9883" s="1">
        <v>1.0</v>
      </c>
      <c r="E9883" s="1">
        <v>18297.0</v>
      </c>
      <c r="F9883" s="10">
        <f t="shared" si="1"/>
        <v>1</v>
      </c>
      <c r="G9883" s="10">
        <f t="array" ref="G9883">index('Player ID'!C:C,match(E9883,'Player ID'!B:B,0))</f>
        <v>641755</v>
      </c>
    </row>
    <row r="9884">
      <c r="A9884" s="76">
        <v>45830.0</v>
      </c>
      <c r="B9884" s="1" t="s">
        <v>823</v>
      </c>
      <c r="C9884" s="1" t="s">
        <v>64</v>
      </c>
      <c r="D9884" s="1">
        <v>1.0</v>
      </c>
      <c r="E9884" s="1">
        <v>19876.0</v>
      </c>
      <c r="F9884" s="10">
        <f t="shared" si="1"/>
        <v>1</v>
      </c>
      <c r="G9884" s="10">
        <f t="array" ref="G9884">index('Player ID'!C:C,match(E9884,'Player ID'!B:B,0))</f>
        <v>656464</v>
      </c>
    </row>
    <row r="9885">
      <c r="A9885" s="76">
        <v>45830.0</v>
      </c>
      <c r="B9885" s="1" t="s">
        <v>468</v>
      </c>
      <c r="C9885" s="1" t="s">
        <v>75</v>
      </c>
      <c r="D9885" s="1">
        <v>0.2</v>
      </c>
      <c r="E9885" s="1">
        <v>23237.0</v>
      </c>
      <c r="F9885" s="10">
        <f t="shared" si="1"/>
        <v>0.6666666667</v>
      </c>
      <c r="G9885" s="10">
        <f t="array" ref="G9885">index('Player ID'!C:C,match(E9885,'Player ID'!B:B,0))</f>
        <v>675848</v>
      </c>
    </row>
    <row r="9886">
      <c r="A9886" s="76">
        <v>45830.0</v>
      </c>
      <c r="B9886" s="1" t="s">
        <v>365</v>
      </c>
      <c r="C9886" s="1" t="s">
        <v>75</v>
      </c>
      <c r="D9886" s="1">
        <v>1.0</v>
      </c>
      <c r="E9886" s="1">
        <v>24614.0</v>
      </c>
      <c r="F9886" s="10">
        <f t="shared" si="1"/>
        <v>1</v>
      </c>
      <c r="G9886" s="10">
        <f t="array" ref="G9886">index('Player ID'!C:C,match(E9886,'Player ID'!B:B,0))</f>
        <v>680767</v>
      </c>
    </row>
    <row r="9887">
      <c r="A9887" s="76">
        <v>45830.0</v>
      </c>
      <c r="B9887" s="1" t="s">
        <v>263</v>
      </c>
      <c r="C9887" s="1" t="s">
        <v>64</v>
      </c>
      <c r="D9887" s="1">
        <v>5.0</v>
      </c>
      <c r="E9887" s="1">
        <v>27782.0</v>
      </c>
      <c r="F9887" s="10">
        <f t="shared" si="1"/>
        <v>5</v>
      </c>
      <c r="G9887" s="10">
        <f t="array" ref="G9887">index('Player ID'!C:C,match(E9887,'Player ID'!B:B,0))</f>
        <v>694297</v>
      </c>
    </row>
    <row r="9888">
      <c r="A9888" s="76">
        <v>45830.0</v>
      </c>
      <c r="B9888" s="1" t="s">
        <v>488</v>
      </c>
      <c r="C9888" s="1" t="s">
        <v>75</v>
      </c>
      <c r="D9888" s="1">
        <v>1.0</v>
      </c>
      <c r="E9888" s="1">
        <v>33294.0</v>
      </c>
      <c r="F9888" s="10">
        <f t="shared" si="1"/>
        <v>1</v>
      </c>
      <c r="G9888" s="10">
        <f t="array" ref="G9888">index('Player ID'!C:C,match(E9888,'Player ID'!B:B,0))</f>
        <v>678020</v>
      </c>
    </row>
    <row r="9889">
      <c r="A9889" s="76">
        <v>45830.0</v>
      </c>
      <c r="B9889" s="1" t="s">
        <v>505</v>
      </c>
      <c r="C9889" s="1" t="s">
        <v>52</v>
      </c>
      <c r="D9889" s="1">
        <v>1.0</v>
      </c>
      <c r="E9889" s="1">
        <v>19481.0</v>
      </c>
      <c r="F9889" s="10">
        <f t="shared" si="1"/>
        <v>1</v>
      </c>
      <c r="G9889" s="10">
        <f t="array" ref="G9889">index('Player ID'!C:C,match(E9889,'Player ID'!B:B,0))</f>
        <v>621053</v>
      </c>
    </row>
    <row r="9890">
      <c r="A9890" s="76">
        <v>45830.0</v>
      </c>
      <c r="B9890" s="1" t="s">
        <v>132</v>
      </c>
      <c r="C9890" s="1" t="s">
        <v>70</v>
      </c>
      <c r="D9890" s="1">
        <v>1.0</v>
      </c>
      <c r="E9890" s="1">
        <v>21032.0</v>
      </c>
      <c r="F9890" s="10">
        <f t="shared" si="1"/>
        <v>1</v>
      </c>
      <c r="G9890" s="10">
        <f t="array" ref="G9890">index('Player ID'!C:C,match(E9890,'Player ID'!B:B,0))</f>
        <v>661403</v>
      </c>
    </row>
    <row r="9891">
      <c r="A9891" s="76">
        <v>45830.0</v>
      </c>
      <c r="B9891" s="1" t="s">
        <v>251</v>
      </c>
      <c r="C9891" s="1" t="s">
        <v>52</v>
      </c>
      <c r="D9891" s="1">
        <v>5.0</v>
      </c>
      <c r="E9891" s="1">
        <v>23429.0</v>
      </c>
      <c r="F9891" s="10">
        <f t="shared" si="1"/>
        <v>5</v>
      </c>
      <c r="G9891" s="10">
        <f t="array" ref="G9891">index('Player ID'!C:C,match(E9891,'Player ID'!B:B,0))</f>
        <v>676664</v>
      </c>
    </row>
    <row r="9892">
      <c r="A9892" s="76">
        <v>45830.0</v>
      </c>
      <c r="B9892" s="1" t="s">
        <v>519</v>
      </c>
      <c r="C9892" s="1" t="s">
        <v>70</v>
      </c>
      <c r="D9892" s="1">
        <v>0.1</v>
      </c>
      <c r="E9892" s="1">
        <v>25139.0</v>
      </c>
      <c r="F9892" s="10">
        <f t="shared" si="1"/>
        <v>0.3333333333</v>
      </c>
      <c r="G9892" s="10">
        <f t="array" ref="G9892">index('Player ID'!C:C,match(E9892,'Player ID'!B:B,0))</f>
        <v>682120</v>
      </c>
    </row>
    <row r="9893">
      <c r="A9893" s="76">
        <v>45830.0</v>
      </c>
      <c r="B9893" s="1" t="s">
        <v>306</v>
      </c>
      <c r="C9893" s="1" t="s">
        <v>70</v>
      </c>
      <c r="D9893" s="1">
        <v>7.0</v>
      </c>
      <c r="E9893" s="1">
        <v>27500.0</v>
      </c>
      <c r="F9893" s="10">
        <f t="shared" si="1"/>
        <v>7</v>
      </c>
      <c r="G9893" s="10">
        <f t="array" ref="G9893">index('Player ID'!C:C,match(E9893,'Player ID'!B:B,0))</f>
        <v>677944</v>
      </c>
    </row>
    <row r="9894">
      <c r="A9894" s="76">
        <v>45830.0</v>
      </c>
      <c r="B9894" s="1" t="s">
        <v>135</v>
      </c>
      <c r="C9894" s="1" t="s">
        <v>70</v>
      </c>
      <c r="D9894" s="1">
        <v>0.2</v>
      </c>
      <c r="E9894" s="1">
        <v>27867.0</v>
      </c>
      <c r="F9894" s="10">
        <f t="shared" si="1"/>
        <v>0.6666666667</v>
      </c>
      <c r="G9894" s="10">
        <f t="array" ref="G9894">index('Player ID'!C:C,match(E9894,'Player ID'!B:B,0))</f>
        <v>671922</v>
      </c>
    </row>
    <row r="9895">
      <c r="A9895" s="76">
        <v>45830.0</v>
      </c>
      <c r="B9895" s="1" t="s">
        <v>350</v>
      </c>
      <c r="C9895" s="1" t="s">
        <v>52</v>
      </c>
      <c r="D9895" s="1">
        <v>3.0</v>
      </c>
      <c r="E9895" s="1">
        <v>31468.0</v>
      </c>
      <c r="F9895" s="10">
        <f t="shared" si="1"/>
        <v>3</v>
      </c>
      <c r="G9895" s="10" t="str">
        <f t="array" ref="G9895">index('Player ID'!C:C,match(E9895,'Player ID'!B:B,0))</f>
        <v>#N/A</v>
      </c>
    </row>
    <row r="9896">
      <c r="A9896" s="76">
        <v>45830.0</v>
      </c>
      <c r="B9896" s="1" t="s">
        <v>230</v>
      </c>
      <c r="C9896" s="1" t="s">
        <v>22</v>
      </c>
      <c r="D9896" s="1">
        <v>0.0</v>
      </c>
      <c r="E9896" s="1">
        <v>4301.0</v>
      </c>
      <c r="F9896" s="10">
        <f t="shared" si="1"/>
        <v>0</v>
      </c>
      <c r="G9896" s="10">
        <f t="array" ref="G9896">index('Player ID'!C:C,match(E9896,'Player ID'!B:B,0))</f>
        <v>458677</v>
      </c>
    </row>
    <row r="9897">
      <c r="A9897" s="76">
        <v>45830.0</v>
      </c>
      <c r="B9897" s="1" t="s">
        <v>303</v>
      </c>
      <c r="C9897" s="1" t="s">
        <v>31</v>
      </c>
      <c r="D9897" s="1">
        <v>5.0</v>
      </c>
      <c r="E9897" s="1">
        <v>11486.0</v>
      </c>
      <c r="F9897" s="10">
        <f t="shared" si="1"/>
        <v>5</v>
      </c>
      <c r="G9897" s="10">
        <f t="array" ref="G9897">index('Player ID'!C:C,match(E9897,'Player ID'!B:B,0))</f>
        <v>592662</v>
      </c>
    </row>
    <row r="9898">
      <c r="A9898" s="76">
        <v>45830.0</v>
      </c>
      <c r="B9898" s="1" t="s">
        <v>416</v>
      </c>
      <c r="C9898" s="1" t="s">
        <v>22</v>
      </c>
      <c r="D9898" s="1">
        <v>6.0</v>
      </c>
      <c r="E9898" s="1">
        <v>15474.0</v>
      </c>
      <c r="F9898" s="10">
        <f t="shared" si="1"/>
        <v>6</v>
      </c>
      <c r="G9898" s="10">
        <f t="array" ref="G9898">index('Player ID'!C:C,match(E9898,'Player ID'!B:B,0))</f>
        <v>608337</v>
      </c>
    </row>
    <row r="9899">
      <c r="A9899" s="76">
        <v>45830.0</v>
      </c>
      <c r="B9899" s="1" t="s">
        <v>20</v>
      </c>
      <c r="C9899" s="1" t="s">
        <v>31</v>
      </c>
      <c r="D9899" s="1">
        <v>1.0</v>
      </c>
      <c r="E9899" s="1">
        <v>15541.0</v>
      </c>
      <c r="F9899" s="10">
        <f t="shared" si="1"/>
        <v>1</v>
      </c>
      <c r="G9899" s="10">
        <f t="array" ref="G9899">index('Player ID'!C:C,match(E9899,'Player ID'!B:B,0))</f>
        <v>643511</v>
      </c>
    </row>
    <row r="9900">
      <c r="A9900" s="76">
        <v>45830.0</v>
      </c>
      <c r="B9900" s="1" t="s">
        <v>134</v>
      </c>
      <c r="C9900" s="1" t="s">
        <v>22</v>
      </c>
      <c r="D9900" s="1">
        <v>1.1</v>
      </c>
      <c r="E9900" s="1">
        <v>20349.0</v>
      </c>
      <c r="F9900" s="10">
        <f t="shared" si="1"/>
        <v>1.333333333</v>
      </c>
      <c r="G9900" s="10">
        <f t="array" ref="G9900">index('Player ID'!C:C,match(E9900,'Player ID'!B:B,0))</f>
        <v>677161</v>
      </c>
    </row>
    <row r="9901">
      <c r="A9901" s="76">
        <v>45830.0</v>
      </c>
      <c r="B9901" s="1" t="s">
        <v>406</v>
      </c>
      <c r="C9901" s="1" t="s">
        <v>22</v>
      </c>
      <c r="D9901" s="1">
        <v>0.2</v>
      </c>
      <c r="E9901" s="1">
        <v>20375.0</v>
      </c>
      <c r="F9901" s="10">
        <f t="shared" si="1"/>
        <v>0.6666666667</v>
      </c>
      <c r="G9901" s="10">
        <f t="array" ref="G9901">index('Player ID'!C:C,match(E9901,'Player ID'!B:B,0))</f>
        <v>669711</v>
      </c>
    </row>
    <row r="9902">
      <c r="A9902" s="76">
        <v>45830.0</v>
      </c>
      <c r="B9902" s="1" t="s">
        <v>654</v>
      </c>
      <c r="C9902" s="1" t="s">
        <v>31</v>
      </c>
      <c r="D9902" s="1">
        <v>1.0</v>
      </c>
      <c r="E9902" s="1">
        <v>23974.0</v>
      </c>
      <c r="F9902" s="10">
        <f t="shared" si="1"/>
        <v>1</v>
      </c>
      <c r="G9902" s="10">
        <f t="array" ref="G9902">index('Player ID'!C:C,match(E9902,'Player ID'!B:B,0))</f>
        <v>678495</v>
      </c>
    </row>
    <row r="9903">
      <c r="A9903" s="76">
        <v>45830.0</v>
      </c>
      <c r="B9903" s="1" t="s">
        <v>655</v>
      </c>
      <c r="C9903" s="1" t="s">
        <v>31</v>
      </c>
      <c r="D9903" s="1">
        <v>1.0</v>
      </c>
      <c r="E9903" s="1">
        <v>26252.0</v>
      </c>
      <c r="F9903" s="10">
        <f t="shared" si="1"/>
        <v>1</v>
      </c>
      <c r="G9903" s="10">
        <f t="array" ref="G9903">index('Player ID'!C:C,match(E9903,'Player ID'!B:B,0))</f>
        <v>669062</v>
      </c>
    </row>
    <row r="9904">
      <c r="A9904" s="76">
        <v>45830.0</v>
      </c>
      <c r="B9904" s="1" t="s">
        <v>276</v>
      </c>
      <c r="C9904" s="1" t="s">
        <v>31</v>
      </c>
      <c r="D9904" s="1">
        <v>1.0</v>
      </c>
      <c r="E9904" s="1">
        <v>30226.0</v>
      </c>
      <c r="F9904" s="10">
        <f t="shared" si="1"/>
        <v>1</v>
      </c>
      <c r="G9904" s="10">
        <f t="array" ref="G9904">index('Player ID'!C:C,match(E9904,'Player ID'!B:B,0))</f>
        <v>702352</v>
      </c>
    </row>
    <row r="9905">
      <c r="A9905" s="76">
        <v>45830.0</v>
      </c>
      <c r="B9905" s="1" t="s">
        <v>834</v>
      </c>
      <c r="C9905" s="1" t="s">
        <v>25</v>
      </c>
      <c r="D9905" s="1">
        <v>1.0</v>
      </c>
      <c r="E9905" s="1">
        <v>7836.0</v>
      </c>
      <c r="F9905" s="10">
        <f t="shared" si="1"/>
        <v>1</v>
      </c>
      <c r="G9905" s="10" t="str">
        <f t="array" ref="G9905">index('Player ID'!C:C,match(E9905,'Player ID'!B:B,0))</f>
        <v>#N/A</v>
      </c>
    </row>
    <row r="9906">
      <c r="A9906" s="76">
        <v>45830.0</v>
      </c>
      <c r="B9906" s="1" t="s">
        <v>399</v>
      </c>
      <c r="C9906" s="1" t="s">
        <v>25</v>
      </c>
      <c r="D9906" s="1">
        <v>5.0</v>
      </c>
      <c r="E9906" s="1">
        <v>12049.0</v>
      </c>
      <c r="F9906" s="10">
        <f t="shared" si="1"/>
        <v>5</v>
      </c>
      <c r="G9906" s="10">
        <f t="array" ref="G9906">index('Player ID'!C:C,match(E9906,'Player ID'!B:B,0))</f>
        <v>543294</v>
      </c>
    </row>
    <row r="9907">
      <c r="A9907" s="76">
        <v>45830.0</v>
      </c>
      <c r="B9907" s="1" t="s">
        <v>59</v>
      </c>
      <c r="C9907" s="1" t="s">
        <v>39</v>
      </c>
      <c r="D9907" s="1">
        <v>1.0</v>
      </c>
      <c r="E9907" s="1">
        <v>14212.0</v>
      </c>
      <c r="F9907" s="10">
        <f t="shared" si="1"/>
        <v>1</v>
      </c>
      <c r="G9907" s="10">
        <f t="array" ref="G9907">index('Player ID'!C:C,match(E9907,'Player ID'!B:B,0))</f>
        <v>623352</v>
      </c>
    </row>
    <row r="9908">
      <c r="A9908" s="76">
        <v>45830.0</v>
      </c>
      <c r="B9908" s="1" t="s">
        <v>210</v>
      </c>
      <c r="C9908" s="1" t="s">
        <v>39</v>
      </c>
      <c r="D9908" s="1">
        <v>1.1</v>
      </c>
      <c r="E9908" s="1">
        <v>16609.0</v>
      </c>
      <c r="F9908" s="10">
        <f t="shared" si="1"/>
        <v>1.333333333</v>
      </c>
      <c r="G9908" s="10">
        <f t="array" ref="G9908">index('Player ID'!C:C,match(E9908,'Player ID'!B:B,0))</f>
        <v>650556</v>
      </c>
    </row>
    <row r="9909">
      <c r="A9909" s="76">
        <v>45830.0</v>
      </c>
      <c r="B9909" s="1" t="s">
        <v>291</v>
      </c>
      <c r="C9909" s="1" t="s">
        <v>25</v>
      </c>
      <c r="D9909" s="1">
        <v>1.0</v>
      </c>
      <c r="E9909" s="1">
        <v>17968.0</v>
      </c>
      <c r="F9909" s="10">
        <f t="shared" si="1"/>
        <v>1</v>
      </c>
      <c r="G9909" s="10">
        <f t="array" ref="G9909">index('Player ID'!C:C,match(E9909,'Player ID'!B:B,0))</f>
        <v>656271</v>
      </c>
    </row>
    <row r="9910">
      <c r="A9910" s="76">
        <v>45830.0</v>
      </c>
      <c r="B9910" s="1" t="s">
        <v>283</v>
      </c>
      <c r="C9910" s="1" t="s">
        <v>25</v>
      </c>
      <c r="D9910" s="1">
        <v>2.0</v>
      </c>
      <c r="E9910" s="1">
        <v>21205.0</v>
      </c>
      <c r="F9910" s="10">
        <f t="shared" si="1"/>
        <v>2</v>
      </c>
      <c r="G9910" s="10">
        <f t="array" ref="G9910">index('Player ID'!C:C,match(E9910,'Player ID'!B:B,0))</f>
        <v>641401</v>
      </c>
    </row>
    <row r="9911">
      <c r="A9911" s="76">
        <v>45830.0</v>
      </c>
      <c r="B9911" s="1" t="s">
        <v>76</v>
      </c>
      <c r="C9911" s="1" t="s">
        <v>39</v>
      </c>
      <c r="D9911" s="1">
        <v>0.2</v>
      </c>
      <c r="E9911" s="1">
        <v>25890.0</v>
      </c>
      <c r="F9911" s="10">
        <f t="shared" si="1"/>
        <v>0.6666666667</v>
      </c>
      <c r="G9911" s="10">
        <f t="array" ref="G9911">index('Player ID'!C:C,match(E9911,'Player ID'!B:B,0))</f>
        <v>687911</v>
      </c>
    </row>
    <row r="9912">
      <c r="A9912" s="76">
        <v>45830.0</v>
      </c>
      <c r="B9912" s="1" t="s">
        <v>228</v>
      </c>
      <c r="C9912" s="1" t="s">
        <v>39</v>
      </c>
      <c r="D9912" s="1">
        <v>6.0</v>
      </c>
      <c r="E9912" s="1">
        <v>26440.0</v>
      </c>
      <c r="F9912" s="10">
        <f t="shared" si="1"/>
        <v>6</v>
      </c>
      <c r="G9912" s="10">
        <f t="array" ref="G9912">index('Player ID'!C:C,match(E9912,'Player ID'!B:B,0))</f>
        <v>687473</v>
      </c>
    </row>
    <row r="9913">
      <c r="A9913" s="76">
        <v>45830.0</v>
      </c>
      <c r="B9913" s="1" t="s">
        <v>824</v>
      </c>
      <c r="C9913" s="1" t="s">
        <v>33</v>
      </c>
      <c r="D9913" s="1">
        <v>0.1</v>
      </c>
      <c r="E9913" s="1">
        <v>10472.0</v>
      </c>
      <c r="F9913" s="10">
        <f t="shared" si="1"/>
        <v>0.3333333333</v>
      </c>
      <c r="G9913" s="10">
        <f t="array" ref="G9913">index('Player ID'!C:C,match(E9913,'Player ID'!B:B,0))</f>
        <v>571771</v>
      </c>
    </row>
    <row r="9914">
      <c r="A9914" s="76">
        <v>45830.0</v>
      </c>
      <c r="B9914" s="1" t="s">
        <v>310</v>
      </c>
      <c r="C9914" s="1" t="s">
        <v>33</v>
      </c>
      <c r="D9914" s="1">
        <v>1.0</v>
      </c>
      <c r="E9914" s="1">
        <v>14706.0</v>
      </c>
      <c r="F9914" s="10">
        <f t="shared" si="1"/>
        <v>1</v>
      </c>
      <c r="G9914" s="10">
        <f t="array" ref="G9914">index('Player ID'!C:C,match(E9914,'Player ID'!B:B,0))</f>
        <v>607455</v>
      </c>
    </row>
    <row r="9915">
      <c r="A9915" s="76">
        <v>45830.0</v>
      </c>
      <c r="B9915" s="1" t="s">
        <v>503</v>
      </c>
      <c r="C9915" s="1" t="s">
        <v>33</v>
      </c>
      <c r="D9915" s="1">
        <v>1.0</v>
      </c>
      <c r="E9915" s="1">
        <v>15043.0</v>
      </c>
      <c r="F9915" s="10">
        <f t="shared" si="1"/>
        <v>1</v>
      </c>
      <c r="G9915" s="10">
        <f t="array" ref="G9915">index('Player ID'!C:C,match(E9915,'Player ID'!B:B,0))</f>
        <v>642152</v>
      </c>
    </row>
    <row r="9916">
      <c r="A9916" s="76">
        <v>45830.0</v>
      </c>
      <c r="B9916" s="1" t="s">
        <v>480</v>
      </c>
      <c r="C9916" s="1" t="s">
        <v>80</v>
      </c>
      <c r="D9916" s="1">
        <v>5.1</v>
      </c>
      <c r="E9916" s="1">
        <v>18383.0</v>
      </c>
      <c r="F9916" s="10">
        <f t="shared" si="1"/>
        <v>5.333333333</v>
      </c>
      <c r="G9916" s="10">
        <f t="array" ref="G9916">index('Player ID'!C:C,match(E9916,'Player ID'!B:B,0))</f>
        <v>647336</v>
      </c>
    </row>
    <row r="9917">
      <c r="A9917" s="76">
        <v>45830.0</v>
      </c>
      <c r="B9917" s="1" t="s">
        <v>136</v>
      </c>
      <c r="C9917" s="1" t="s">
        <v>33</v>
      </c>
      <c r="D9917" s="1">
        <v>1.0</v>
      </c>
      <c r="E9917" s="1">
        <v>19755.0</v>
      </c>
      <c r="F9917" s="10">
        <f t="shared" si="1"/>
        <v>1</v>
      </c>
      <c r="G9917" s="10" t="str">
        <f t="array" ref="G9917">index('Player ID'!C:C,match(E9917,'Player ID'!B:B,0))</f>
        <v>#N/A</v>
      </c>
    </row>
    <row r="9918">
      <c r="A9918" s="76">
        <v>45830.0</v>
      </c>
      <c r="B9918" s="1" t="s">
        <v>86</v>
      </c>
      <c r="C9918" s="1" t="s">
        <v>80</v>
      </c>
      <c r="D9918" s="1">
        <v>0.2</v>
      </c>
      <c r="E9918" s="1">
        <v>24017.0</v>
      </c>
      <c r="F9918" s="10">
        <f t="shared" si="1"/>
        <v>0.6666666667</v>
      </c>
      <c r="G9918" s="10">
        <f t="array" ref="G9918">index('Player ID'!C:C,match(E9918,'Player ID'!B:B,0))</f>
        <v>678606</v>
      </c>
    </row>
    <row r="9919">
      <c r="A9919" s="76">
        <v>45830.0</v>
      </c>
      <c r="B9919" s="1" t="s">
        <v>92</v>
      </c>
      <c r="C9919" s="1" t="s">
        <v>33</v>
      </c>
      <c r="D9919" s="1">
        <v>0.2</v>
      </c>
      <c r="E9919" s="1">
        <v>25007.0</v>
      </c>
      <c r="F9919" s="10">
        <f t="shared" si="1"/>
        <v>0.6666666667</v>
      </c>
      <c r="G9919" s="10">
        <f t="array" ref="G9919">index('Player ID'!C:C,match(E9919,'Player ID'!B:B,0))</f>
        <v>681911</v>
      </c>
    </row>
    <row r="9920">
      <c r="A9920" s="76">
        <v>45830.0</v>
      </c>
      <c r="B9920" s="1" t="s">
        <v>511</v>
      </c>
      <c r="C9920" s="1" t="s">
        <v>80</v>
      </c>
      <c r="D9920" s="1">
        <v>1.0</v>
      </c>
      <c r="E9920" s="1">
        <v>26215.0</v>
      </c>
      <c r="F9920" s="10">
        <f t="shared" si="1"/>
        <v>1</v>
      </c>
      <c r="G9920" s="10">
        <f t="array" ref="G9920">index('Player ID'!C:C,match(E9920,'Player ID'!B:B,0))</f>
        <v>671131</v>
      </c>
    </row>
    <row r="9921">
      <c r="A9921" s="76">
        <v>45830.0</v>
      </c>
      <c r="B9921" s="1" t="s">
        <v>507</v>
      </c>
      <c r="C9921" s="1" t="s">
        <v>80</v>
      </c>
      <c r="D9921" s="1">
        <v>1.0</v>
      </c>
      <c r="E9921" s="1">
        <v>27570.0</v>
      </c>
      <c r="F9921" s="10">
        <f t="shared" si="1"/>
        <v>1</v>
      </c>
      <c r="G9921" s="10">
        <f t="array" ref="G9921">index('Player ID'!C:C,match(E9921,'Player ID'!B:B,0))</f>
        <v>669371</v>
      </c>
    </row>
    <row r="9922">
      <c r="A9922" s="76">
        <v>45830.0</v>
      </c>
      <c r="B9922" s="1" t="s">
        <v>771</v>
      </c>
      <c r="C9922" s="1" t="s">
        <v>80</v>
      </c>
      <c r="D9922" s="1">
        <v>0.0</v>
      </c>
      <c r="E9922" s="1">
        <v>29521.0</v>
      </c>
      <c r="F9922" s="10">
        <f t="shared" si="1"/>
        <v>0</v>
      </c>
      <c r="G9922" s="10">
        <f t="array" ref="G9922">index('Player ID'!C:C,match(E9922,'Player ID'!B:B,0))</f>
        <v>702795</v>
      </c>
    </row>
    <row r="9923">
      <c r="A9923" s="76">
        <v>45830.0</v>
      </c>
      <c r="B9923" s="1" t="s">
        <v>104</v>
      </c>
      <c r="C9923" s="1" t="s">
        <v>33</v>
      </c>
      <c r="D9923" s="1">
        <v>5.0</v>
      </c>
      <c r="E9923" s="1">
        <v>30085.0</v>
      </c>
      <c r="F9923" s="10">
        <f t="shared" si="1"/>
        <v>5</v>
      </c>
      <c r="G9923" s="10">
        <f t="array" ref="G9923">index('Player ID'!C:C,match(E9923,'Player ID'!B:B,0))</f>
        <v>676508</v>
      </c>
    </row>
    <row r="9924">
      <c r="A9924" s="76">
        <v>45830.0</v>
      </c>
      <c r="B9924" s="1" t="s">
        <v>342</v>
      </c>
      <c r="C9924" s="1" t="s">
        <v>26</v>
      </c>
      <c r="D9924" s="1">
        <v>1.0</v>
      </c>
      <c r="E9924" s="1">
        <v>11861.0</v>
      </c>
      <c r="F9924" s="10">
        <f t="shared" si="1"/>
        <v>1</v>
      </c>
      <c r="G9924" s="10">
        <f t="array" ref="G9924">index('Player ID'!C:C,match(E9924,'Player ID'!B:B,0))</f>
        <v>592094</v>
      </c>
    </row>
    <row r="9925">
      <c r="A9925" s="76">
        <v>45830.0</v>
      </c>
      <c r="B9925" s="1" t="s">
        <v>452</v>
      </c>
      <c r="C9925" s="1" t="s">
        <v>29</v>
      </c>
      <c r="D9925" s="1">
        <v>6.1</v>
      </c>
      <c r="E9925" s="1">
        <v>12447.0</v>
      </c>
      <c r="F9925" s="10">
        <f t="shared" si="1"/>
        <v>6.333333333</v>
      </c>
      <c r="G9925" s="10">
        <f t="array" ref="G9925">index('Player ID'!C:C,match(E9925,'Player ID'!B:B,0))</f>
        <v>607625</v>
      </c>
    </row>
    <row r="9926">
      <c r="A9926" s="76">
        <v>45830.0</v>
      </c>
      <c r="B9926" s="1" t="s">
        <v>407</v>
      </c>
      <c r="C9926" s="1" t="s">
        <v>29</v>
      </c>
      <c r="D9926" s="1">
        <v>1.1</v>
      </c>
      <c r="E9926" s="1">
        <v>19360.0</v>
      </c>
      <c r="F9926" s="10">
        <f t="shared" si="1"/>
        <v>1.333333333</v>
      </c>
      <c r="G9926" s="10">
        <f t="array" ref="G9926">index('Player ID'!C:C,match(E9926,'Player ID'!B:B,0))</f>
        <v>668674</v>
      </c>
    </row>
    <row r="9927">
      <c r="A9927" s="76">
        <v>45830.0</v>
      </c>
      <c r="B9927" s="1" t="s">
        <v>144</v>
      </c>
      <c r="C9927" s="1" t="s">
        <v>29</v>
      </c>
      <c r="D9927" s="1">
        <v>0.0</v>
      </c>
      <c r="E9927" s="1">
        <v>20020.0</v>
      </c>
      <c r="F9927" s="10">
        <f t="shared" si="1"/>
        <v>0</v>
      </c>
      <c r="G9927" s="10">
        <f t="array" ref="G9927">index('Player ID'!C:C,match(E9927,'Player ID'!B:B,0))</f>
        <v>670167</v>
      </c>
    </row>
    <row r="9928">
      <c r="A9928" s="76">
        <v>45830.0</v>
      </c>
      <c r="B9928" s="1" t="s">
        <v>293</v>
      </c>
      <c r="C9928" s="1" t="s">
        <v>29</v>
      </c>
      <c r="D9928" s="1">
        <v>0.1</v>
      </c>
      <c r="E9928" s="1">
        <v>21537.0</v>
      </c>
      <c r="F9928" s="10">
        <f t="shared" si="1"/>
        <v>0.3333333333</v>
      </c>
      <c r="G9928" s="10">
        <f t="array" ref="G9928">index('Player ID'!C:C,match(E9928,'Player ID'!B:B,0))</f>
        <v>663738</v>
      </c>
    </row>
    <row r="9929">
      <c r="A9929" s="76">
        <v>45830.0</v>
      </c>
      <c r="B9929" s="1" t="s">
        <v>140</v>
      </c>
      <c r="C9929" s="1" t="s">
        <v>29</v>
      </c>
      <c r="D9929" s="1">
        <v>0.1</v>
      </c>
      <c r="E9929" s="1">
        <v>22717.0</v>
      </c>
      <c r="F9929" s="10">
        <f t="shared" si="1"/>
        <v>0.3333333333</v>
      </c>
      <c r="G9929" s="10">
        <f t="array" ref="G9929">index('Player ID'!C:C,match(E9929,'Player ID'!B:B,0))</f>
        <v>672582</v>
      </c>
    </row>
    <row r="9930">
      <c r="A9930" s="76">
        <v>45830.0</v>
      </c>
      <c r="B9930" s="1" t="s">
        <v>713</v>
      </c>
      <c r="C9930" s="1" t="s">
        <v>26</v>
      </c>
      <c r="D9930" s="1">
        <v>7.0</v>
      </c>
      <c r="E9930" s="1">
        <v>24719.0</v>
      </c>
      <c r="F9930" s="10">
        <f t="shared" si="1"/>
        <v>7</v>
      </c>
      <c r="G9930" s="10">
        <f t="array" ref="G9930">index('Player ID'!C:C,match(E9930,'Player ID'!B:B,0))</f>
        <v>681190</v>
      </c>
    </row>
    <row r="9931">
      <c r="A9931" s="76">
        <v>45830.0</v>
      </c>
      <c r="B9931" s="1" t="s">
        <v>81</v>
      </c>
      <c r="C9931" s="1" t="s">
        <v>26</v>
      </c>
      <c r="D9931" s="1">
        <v>1.0</v>
      </c>
      <c r="E9931" s="1">
        <v>30115.0</v>
      </c>
      <c r="F9931" s="10">
        <f t="shared" si="1"/>
        <v>1</v>
      </c>
      <c r="G9931" s="10">
        <f t="array" ref="G9931">index('Player ID'!C:C,match(E9931,'Player ID'!B:B,0))</f>
        <v>663158</v>
      </c>
    </row>
    <row r="9932">
      <c r="A9932" s="76">
        <v>45830.0</v>
      </c>
      <c r="B9932" s="1" t="s">
        <v>742</v>
      </c>
      <c r="C9932" s="1" t="s">
        <v>51</v>
      </c>
      <c r="D9932" s="1">
        <v>1.0</v>
      </c>
      <c r="E9932" s="1">
        <v>12763.0</v>
      </c>
      <c r="F9932" s="10">
        <f t="shared" si="1"/>
        <v>1</v>
      </c>
      <c r="G9932" s="10">
        <f t="array" ref="G9932">index('Player ID'!C:C,match(E9932,'Player ID'!B:B,0))</f>
        <v>606965</v>
      </c>
    </row>
    <row r="9933">
      <c r="A9933" s="76">
        <v>45830.0</v>
      </c>
      <c r="B9933" s="1" t="s">
        <v>182</v>
      </c>
      <c r="C9933" s="1" t="s">
        <v>45</v>
      </c>
      <c r="D9933" s="1">
        <v>1.0</v>
      </c>
      <c r="E9933" s="1">
        <v>13799.0</v>
      </c>
      <c r="F9933" s="10">
        <f t="shared" si="1"/>
        <v>1</v>
      </c>
      <c r="G9933" s="10">
        <f t="array" ref="G9933">index('Player ID'!C:C,match(E9933,'Player ID'!B:B,0))</f>
        <v>621381</v>
      </c>
    </row>
    <row r="9934">
      <c r="A9934" s="76">
        <v>45830.0</v>
      </c>
      <c r="B9934" s="1" t="s">
        <v>208</v>
      </c>
      <c r="C9934" s="1" t="s">
        <v>45</v>
      </c>
      <c r="D9934" s="1">
        <v>0.1</v>
      </c>
      <c r="E9934" s="1">
        <v>16122.0</v>
      </c>
      <c r="F9934" s="10">
        <f t="shared" si="1"/>
        <v>0.3333333333</v>
      </c>
      <c r="G9934" s="10">
        <f t="array" ref="G9934">index('Player ID'!C:C,match(E9934,'Player ID'!B:B,0))</f>
        <v>605447</v>
      </c>
    </row>
    <row r="9935">
      <c r="A9935" s="76">
        <v>45830.0</v>
      </c>
      <c r="B9935" s="1" t="s">
        <v>700</v>
      </c>
      <c r="C9935" s="1" t="s">
        <v>45</v>
      </c>
      <c r="D9935" s="1">
        <v>6.2</v>
      </c>
      <c r="E9935" s="1">
        <v>19959.0</v>
      </c>
      <c r="F9935" s="10">
        <f t="shared" si="1"/>
        <v>6.666666667</v>
      </c>
      <c r="G9935" s="10">
        <f t="array" ref="G9935">index('Player ID'!C:C,match(E9935,'Player ID'!B:B,0))</f>
        <v>666200</v>
      </c>
    </row>
    <row r="9936">
      <c r="A9936" s="76">
        <v>45830.0</v>
      </c>
      <c r="B9936" s="1" t="s">
        <v>307</v>
      </c>
      <c r="C9936" s="1" t="s">
        <v>51</v>
      </c>
      <c r="D9936" s="1">
        <v>4.0</v>
      </c>
      <c r="E9936" s="1">
        <v>20302.0</v>
      </c>
      <c r="F9936" s="10">
        <f t="shared" si="1"/>
        <v>4</v>
      </c>
      <c r="G9936" s="10">
        <f t="array" ref="G9936">index('Player ID'!C:C,match(E9936,'Player ID'!B:B,0))</f>
        <v>656849</v>
      </c>
    </row>
    <row r="9937">
      <c r="A9937" s="76">
        <v>45830.0</v>
      </c>
      <c r="B9937" s="1" t="s">
        <v>894</v>
      </c>
      <c r="C9937" s="1" t="s">
        <v>51</v>
      </c>
      <c r="D9937" s="1">
        <v>2.0</v>
      </c>
      <c r="E9937" s="1">
        <v>20379.0</v>
      </c>
      <c r="F9937" s="10">
        <f t="shared" si="1"/>
        <v>2</v>
      </c>
      <c r="G9937" s="10" t="str">
        <f t="array" ref="G9937">index('Player ID'!C:C,match(E9937,'Player ID'!B:B,0))</f>
        <v>#N/A</v>
      </c>
    </row>
    <row r="9938">
      <c r="A9938" s="76">
        <v>45830.0</v>
      </c>
      <c r="B9938" s="1" t="s">
        <v>829</v>
      </c>
      <c r="C9938" s="1" t="s">
        <v>51</v>
      </c>
      <c r="D9938" s="1">
        <v>1.0</v>
      </c>
      <c r="E9938" s="1">
        <v>23055.0</v>
      </c>
      <c r="F9938" s="10">
        <f t="shared" si="1"/>
        <v>1</v>
      </c>
      <c r="G9938" s="10">
        <f t="array" ref="G9938">index('Player ID'!C:C,match(E9938,'Player ID'!B:B,0))</f>
        <v>673380</v>
      </c>
    </row>
    <row r="9939">
      <c r="A9939" s="76">
        <v>45830.0</v>
      </c>
      <c r="B9939" s="1" t="s">
        <v>258</v>
      </c>
      <c r="C9939" s="1" t="s">
        <v>45</v>
      </c>
      <c r="D9939" s="1">
        <v>1.0</v>
      </c>
      <c r="E9939" s="1">
        <v>23426.0</v>
      </c>
      <c r="F9939" s="10">
        <f t="shared" si="1"/>
        <v>1</v>
      </c>
      <c r="G9939" s="10" t="str">
        <f t="array" ref="G9939">index('Player ID'!C:C,match(E9939,'Player ID'!B:B,0))</f>
        <v>#N/A</v>
      </c>
    </row>
    <row r="9940">
      <c r="A9940" s="76">
        <v>45831.0</v>
      </c>
      <c r="B9940" s="1" t="s">
        <v>245</v>
      </c>
      <c r="C9940" s="1" t="s">
        <v>56</v>
      </c>
      <c r="D9940" s="1">
        <v>5.0</v>
      </c>
      <c r="E9940" s="1">
        <v>9323.0</v>
      </c>
      <c r="F9940" s="10">
        <f t="shared" si="1"/>
        <v>5</v>
      </c>
      <c r="G9940" s="10">
        <f t="array" ref="G9940">index('Player ID'!C:C,match(E9940,'Player ID'!B:B,0))</f>
        <v>571578</v>
      </c>
    </row>
    <row r="9941">
      <c r="A9941" s="76">
        <v>45831.0</v>
      </c>
      <c r="B9941" s="1" t="s">
        <v>48</v>
      </c>
      <c r="C9941" s="1" t="s">
        <v>68</v>
      </c>
      <c r="D9941" s="1">
        <v>1.0</v>
      </c>
      <c r="E9941" s="1">
        <v>12828.0</v>
      </c>
      <c r="F9941" s="10">
        <f t="shared" si="1"/>
        <v>1</v>
      </c>
      <c r="G9941" s="10" t="str">
        <f t="array" ref="G9941">index('Player ID'!C:C,match(E9941,'Player ID'!B:B,0))</f>
        <v>#N/A</v>
      </c>
    </row>
    <row r="9942">
      <c r="A9942" s="76">
        <v>45831.0</v>
      </c>
      <c r="B9942" s="1" t="s">
        <v>87</v>
      </c>
      <c r="C9942" s="1" t="s">
        <v>56</v>
      </c>
      <c r="D9942" s="1">
        <v>1.0</v>
      </c>
      <c r="E9942" s="1">
        <v>19274.0</v>
      </c>
      <c r="F9942" s="10">
        <f t="shared" si="1"/>
        <v>1</v>
      </c>
      <c r="G9942" s="10">
        <f t="array" ref="G9942">index('Player ID'!C:C,match(E9942,'Player ID'!B:B,0))</f>
        <v>657097</v>
      </c>
    </row>
    <row r="9943">
      <c r="A9943" s="76">
        <v>45831.0</v>
      </c>
      <c r="B9943" s="1" t="s">
        <v>796</v>
      </c>
      <c r="C9943" s="1" t="s">
        <v>56</v>
      </c>
      <c r="D9943" s="1">
        <v>2.0</v>
      </c>
      <c r="E9943" s="1">
        <v>19409.0</v>
      </c>
      <c r="F9943" s="10">
        <f t="shared" si="1"/>
        <v>2</v>
      </c>
      <c r="G9943" s="10">
        <f t="array" ref="G9943">index('Player ID'!C:C,match(E9943,'Player ID'!B:B,0))</f>
        <v>641540</v>
      </c>
    </row>
    <row r="9944">
      <c r="A9944" s="76">
        <v>45831.0</v>
      </c>
      <c r="B9944" s="1" t="s">
        <v>218</v>
      </c>
      <c r="C9944" s="1" t="s">
        <v>68</v>
      </c>
      <c r="D9944" s="1">
        <v>8.0</v>
      </c>
      <c r="E9944" s="1">
        <v>22286.0</v>
      </c>
      <c r="F9944" s="10">
        <f t="shared" si="1"/>
        <v>8</v>
      </c>
      <c r="G9944" s="10">
        <f t="array" ref="G9944">index('Player ID'!C:C,match(E9944,'Player ID'!B:B,0))</f>
        <v>669432</v>
      </c>
    </row>
    <row r="9945">
      <c r="A9945" s="76">
        <v>45831.0</v>
      </c>
      <c r="B9945" s="1" t="s">
        <v>679</v>
      </c>
      <c r="C9945" s="1" t="s">
        <v>51</v>
      </c>
      <c r="D9945" s="1">
        <v>1.0</v>
      </c>
      <c r="E9945" s="1">
        <v>14710.0</v>
      </c>
      <c r="F9945" s="10">
        <f t="shared" si="1"/>
        <v>1</v>
      </c>
      <c r="G9945" s="10">
        <f t="array" ref="G9945">index('Player ID'!C:C,match(E9945,'Player ID'!B:B,0))</f>
        <v>621242</v>
      </c>
    </row>
    <row r="9946">
      <c r="A9946" s="76">
        <v>45831.0</v>
      </c>
      <c r="B9946" s="1" t="s">
        <v>299</v>
      </c>
      <c r="C9946" s="1" t="s">
        <v>51</v>
      </c>
      <c r="D9946" s="1">
        <v>4.2</v>
      </c>
      <c r="E9946" s="1">
        <v>14739.0</v>
      </c>
      <c r="F9946" s="10">
        <f t="shared" si="1"/>
        <v>4.666666667</v>
      </c>
      <c r="G9946" s="10">
        <f t="array" ref="G9946">index('Player ID'!C:C,match(E9946,'Player ID'!B:B,0))</f>
        <v>621112</v>
      </c>
    </row>
    <row r="9947">
      <c r="A9947" s="76">
        <v>45831.0</v>
      </c>
      <c r="B9947" s="1" t="s">
        <v>292</v>
      </c>
      <c r="C9947" s="1" t="s">
        <v>51</v>
      </c>
      <c r="D9947" s="1">
        <v>1.0</v>
      </c>
      <c r="E9947" s="1">
        <v>15947.0</v>
      </c>
      <c r="F9947" s="10">
        <f t="shared" si="1"/>
        <v>1</v>
      </c>
      <c r="G9947" s="10">
        <f t="array" ref="G9947">index('Player ID'!C:C,match(E9947,'Player ID'!B:B,0))</f>
        <v>592773</v>
      </c>
    </row>
    <row r="9948">
      <c r="A9948" s="76">
        <v>45831.0</v>
      </c>
      <c r="B9948" s="1" t="s">
        <v>295</v>
      </c>
      <c r="C9948" s="1" t="s">
        <v>51</v>
      </c>
      <c r="D9948" s="1">
        <v>1.0</v>
      </c>
      <c r="E9948" s="1">
        <v>16866.0</v>
      </c>
      <c r="F9948" s="10">
        <f t="shared" si="1"/>
        <v>1</v>
      </c>
      <c r="G9948" s="10">
        <f t="array" ref="G9948">index('Player ID'!C:C,match(E9948,'Player ID'!B:B,0))</f>
        <v>657585</v>
      </c>
    </row>
    <row r="9949">
      <c r="A9949" s="76">
        <v>45831.0</v>
      </c>
      <c r="B9949" s="1" t="s">
        <v>184</v>
      </c>
      <c r="C9949" s="1" t="s">
        <v>46</v>
      </c>
      <c r="D9949" s="1">
        <v>0.2</v>
      </c>
      <c r="E9949" s="1">
        <v>17130.0</v>
      </c>
      <c r="F9949" s="10">
        <f t="shared" si="1"/>
        <v>0.6666666667</v>
      </c>
      <c r="G9949" s="10">
        <f t="array" ref="G9949">index('Player ID'!C:C,match(E9949,'Player ID'!B:B,0))</f>
        <v>628452</v>
      </c>
    </row>
    <row r="9950">
      <c r="A9950" s="76">
        <v>45831.0</v>
      </c>
      <c r="B9950" s="1" t="s">
        <v>91</v>
      </c>
      <c r="C9950" s="1" t="s">
        <v>46</v>
      </c>
      <c r="D9950" s="1">
        <v>1.1</v>
      </c>
      <c r="E9950" s="1">
        <v>19996.0</v>
      </c>
      <c r="F9950" s="10">
        <f t="shared" si="1"/>
        <v>1.333333333</v>
      </c>
      <c r="G9950" s="10">
        <f t="array" ref="G9950">index('Player ID'!C:C,match(E9950,'Player ID'!B:B,0))</f>
        <v>669276</v>
      </c>
    </row>
    <row r="9951">
      <c r="A9951" s="76">
        <v>45831.0</v>
      </c>
      <c r="B9951" s="1" t="s">
        <v>712</v>
      </c>
      <c r="C9951" s="1" t="s">
        <v>51</v>
      </c>
      <c r="D9951" s="1">
        <v>1.1</v>
      </c>
      <c r="E9951" s="1">
        <v>23313.0</v>
      </c>
      <c r="F9951" s="10">
        <f t="shared" si="1"/>
        <v>1.333333333</v>
      </c>
      <c r="G9951" s="10">
        <f t="array" ref="G9951">index('Player ID'!C:C,match(E9951,'Player ID'!B:B,0))</f>
        <v>676130</v>
      </c>
    </row>
    <row r="9952">
      <c r="A9952" s="76">
        <v>45831.0</v>
      </c>
      <c r="B9952" s="1" t="s">
        <v>65</v>
      </c>
      <c r="C9952" s="1" t="s">
        <v>46</v>
      </c>
      <c r="D9952" s="1">
        <v>7.0</v>
      </c>
      <c r="E9952" s="1">
        <v>31846.0</v>
      </c>
      <c r="F9952" s="10">
        <f t="shared" si="1"/>
        <v>7</v>
      </c>
      <c r="G9952" s="10">
        <f t="array" ref="G9952">index('Player ID'!C:C,match(E9952,'Player ID'!B:B,0))</f>
        <v>680885</v>
      </c>
    </row>
    <row r="9953">
      <c r="A9953" s="76">
        <v>45831.0</v>
      </c>
      <c r="B9953" s="1" t="s">
        <v>226</v>
      </c>
      <c r="C9953" s="1" t="s">
        <v>66</v>
      </c>
      <c r="D9953" s="1">
        <v>1.0</v>
      </c>
      <c r="E9953" s="1">
        <v>12730.0</v>
      </c>
      <c r="F9953" s="10">
        <f t="shared" si="1"/>
        <v>1</v>
      </c>
      <c r="G9953" s="10">
        <f t="array" ref="G9953">index('Player ID'!C:C,match(E9953,'Player ID'!B:B,0))</f>
        <v>607259</v>
      </c>
    </row>
    <row r="9954">
      <c r="A9954" s="76">
        <v>45831.0</v>
      </c>
      <c r="B9954" s="1" t="s">
        <v>651</v>
      </c>
      <c r="C9954" s="1" t="s">
        <v>66</v>
      </c>
      <c r="D9954" s="1">
        <v>1.0</v>
      </c>
      <c r="E9954" s="1">
        <v>14771.0</v>
      </c>
      <c r="F9954" s="10">
        <f t="shared" si="1"/>
        <v>1</v>
      </c>
      <c r="G9954" s="10">
        <f t="array" ref="G9954">index('Player ID'!C:C,match(E9954,'Player ID'!B:B,0))</f>
        <v>641941</v>
      </c>
    </row>
    <row r="9955">
      <c r="A9955" s="76">
        <v>45831.0</v>
      </c>
      <c r="B9955" s="1" t="s">
        <v>475</v>
      </c>
      <c r="C9955" s="1" t="s">
        <v>66</v>
      </c>
      <c r="D9955" s="1">
        <v>1.2</v>
      </c>
      <c r="E9955" s="1">
        <v>14993.0</v>
      </c>
      <c r="F9955" s="10">
        <f t="shared" si="1"/>
        <v>1.666666667</v>
      </c>
      <c r="G9955" s="10">
        <f t="array" ref="G9955">index('Player ID'!C:C,match(E9955,'Player ID'!B:B,0))</f>
        <v>605130</v>
      </c>
    </row>
    <row r="9956">
      <c r="A9956" s="76">
        <v>45831.0</v>
      </c>
      <c r="B9956" s="1" t="s">
        <v>467</v>
      </c>
      <c r="C9956" s="1" t="s">
        <v>58</v>
      </c>
      <c r="D9956" s="1">
        <v>1.0</v>
      </c>
      <c r="E9956" s="1">
        <v>15551.0</v>
      </c>
      <c r="F9956" s="10">
        <f t="shared" si="1"/>
        <v>1</v>
      </c>
      <c r="G9956" s="10">
        <f t="array" ref="G9956">index('Player ID'!C:C,match(E9956,'Player ID'!B:B,0))</f>
        <v>643410</v>
      </c>
    </row>
    <row r="9957">
      <c r="A9957" s="76">
        <v>45831.0</v>
      </c>
      <c r="B9957" s="1" t="s">
        <v>69</v>
      </c>
      <c r="C9957" s="1" t="s">
        <v>58</v>
      </c>
      <c r="D9957" s="1">
        <v>0.2</v>
      </c>
      <c r="E9957" s="1">
        <v>16814.0</v>
      </c>
      <c r="F9957" s="10">
        <f t="shared" si="1"/>
        <v>0.6666666667</v>
      </c>
      <c r="G9957" s="10">
        <f t="array" ref="G9957">index('Player ID'!C:C,match(E9957,'Player ID'!B:B,0))</f>
        <v>657612</v>
      </c>
    </row>
    <row r="9958">
      <c r="A9958" s="76">
        <v>45831.0</v>
      </c>
      <c r="B9958" s="1" t="s">
        <v>520</v>
      </c>
      <c r="C9958" s="1" t="s">
        <v>58</v>
      </c>
      <c r="D9958" s="1">
        <v>2.0</v>
      </c>
      <c r="E9958" s="1">
        <v>19261.0</v>
      </c>
      <c r="F9958" s="10">
        <f t="shared" si="1"/>
        <v>2</v>
      </c>
      <c r="G9958" s="10">
        <f t="array" ref="G9958">index('Player ID'!C:C,match(E9958,'Player ID'!B:B,0))</f>
        <v>641656</v>
      </c>
    </row>
    <row r="9959">
      <c r="A9959" s="76">
        <v>45831.0</v>
      </c>
      <c r="B9959" s="1" t="s">
        <v>345</v>
      </c>
      <c r="C9959" s="1" t="s">
        <v>66</v>
      </c>
      <c r="D9959" s="1">
        <v>1.0</v>
      </c>
      <c r="E9959" s="1">
        <v>19926.0</v>
      </c>
      <c r="F9959" s="10">
        <f t="shared" si="1"/>
        <v>1</v>
      </c>
      <c r="G9959" s="10">
        <f t="array" ref="G9959">index('Player ID'!C:C,match(E9959,'Player ID'!B:B,0))</f>
        <v>663574</v>
      </c>
    </row>
    <row r="9960">
      <c r="A9960" s="76">
        <v>45831.0</v>
      </c>
      <c r="B9960" s="1" t="s">
        <v>601</v>
      </c>
      <c r="C9960" s="1" t="s">
        <v>58</v>
      </c>
      <c r="D9960" s="1">
        <v>4.1</v>
      </c>
      <c r="E9960" s="1">
        <v>21238.0</v>
      </c>
      <c r="F9960" s="10">
        <f t="shared" si="1"/>
        <v>4.333333333</v>
      </c>
      <c r="G9960" s="10">
        <f t="array" ref="G9960">index('Player ID'!C:C,match(E9960,'Player ID'!B:B,0))</f>
        <v>642216</v>
      </c>
    </row>
    <row r="9961">
      <c r="A9961" s="76">
        <v>45831.0</v>
      </c>
      <c r="B9961" s="1" t="s">
        <v>194</v>
      </c>
      <c r="C9961" s="1" t="s">
        <v>66</v>
      </c>
      <c r="D9961" s="1">
        <v>4.1</v>
      </c>
      <c r="E9961" s="1">
        <v>26378.0</v>
      </c>
      <c r="F9961" s="10">
        <f t="shared" si="1"/>
        <v>4.333333333</v>
      </c>
      <c r="G9961" s="10">
        <f t="array" ref="G9961">index('Player ID'!C:C,match(E9961,'Player ID'!B:B,0))</f>
        <v>666157</v>
      </c>
    </row>
    <row r="9962">
      <c r="A9962" s="76">
        <v>45831.0</v>
      </c>
      <c r="B9962" s="1" t="s">
        <v>384</v>
      </c>
      <c r="C9962" s="1" t="s">
        <v>16</v>
      </c>
      <c r="D9962" s="1">
        <v>2.0</v>
      </c>
      <c r="E9962" s="1">
        <v>19962.0</v>
      </c>
      <c r="F9962" s="10">
        <f t="shared" si="1"/>
        <v>2</v>
      </c>
      <c r="G9962" s="10">
        <f t="array" ref="G9962">index('Player ID'!C:C,match(E9962,'Player ID'!B:B,0))</f>
        <v>666214</v>
      </c>
    </row>
    <row r="9963">
      <c r="A9963" s="76">
        <v>45831.0</v>
      </c>
      <c r="B9963" s="1" t="s">
        <v>882</v>
      </c>
      <c r="C9963" s="1" t="s">
        <v>37</v>
      </c>
      <c r="D9963" s="1">
        <v>2.0</v>
      </c>
      <c r="E9963" s="1">
        <v>20185.0</v>
      </c>
      <c r="F9963" s="10">
        <f t="shared" si="1"/>
        <v>2</v>
      </c>
      <c r="G9963" s="10" t="str">
        <f t="array" ref="G9963">index('Player ID'!C:C,match(E9963,'Player ID'!B:B,0))</f>
        <v>#N/A</v>
      </c>
    </row>
    <row r="9964">
      <c r="A9964" s="76">
        <v>45831.0</v>
      </c>
      <c r="B9964" s="1" t="s">
        <v>157</v>
      </c>
      <c r="C9964" s="1" t="s">
        <v>37</v>
      </c>
      <c r="D9964" s="1">
        <v>1.0</v>
      </c>
      <c r="E9964" s="1">
        <v>20997.0</v>
      </c>
      <c r="F9964" s="10">
        <f t="shared" si="1"/>
        <v>1</v>
      </c>
      <c r="G9964" s="10">
        <f t="array" ref="G9964">index('Player ID'!C:C,match(E9964,'Player ID'!B:B,0))</f>
        <v>660825</v>
      </c>
    </row>
    <row r="9965">
      <c r="A9965" s="76">
        <v>45831.0</v>
      </c>
      <c r="B9965" s="1" t="s">
        <v>173</v>
      </c>
      <c r="C9965" s="1" t="s">
        <v>16</v>
      </c>
      <c r="D9965" s="1">
        <v>7.0</v>
      </c>
      <c r="E9965" s="1">
        <v>21224.0</v>
      </c>
      <c r="F9965" s="10">
        <f t="shared" si="1"/>
        <v>7</v>
      </c>
      <c r="G9965" s="10">
        <f t="array" ref="G9965">index('Player ID'!C:C,match(E9965,'Player ID'!B:B,0))</f>
        <v>641927</v>
      </c>
    </row>
    <row r="9966">
      <c r="A9966" s="76">
        <v>45831.0</v>
      </c>
      <c r="B9966" s="1" t="s">
        <v>90</v>
      </c>
      <c r="C9966" s="1" t="s">
        <v>37</v>
      </c>
      <c r="D9966" s="1">
        <v>6.0</v>
      </c>
      <c r="E9966" s="1">
        <v>30279.0</v>
      </c>
      <c r="F9966" s="10">
        <f t="shared" si="1"/>
        <v>6</v>
      </c>
      <c r="G9966" s="10">
        <f t="array" ref="G9966">index('Player ID'!C:C,match(E9966,'Player ID'!B:B,0))</f>
        <v>693433</v>
      </c>
    </row>
    <row r="9967">
      <c r="A9967" s="76">
        <v>45831.0</v>
      </c>
      <c r="B9967" s="1" t="s">
        <v>274</v>
      </c>
      <c r="C9967" s="1" t="s">
        <v>64</v>
      </c>
      <c r="D9967" s="1">
        <v>3.0</v>
      </c>
      <c r="E9967" s="1">
        <v>13050.0</v>
      </c>
      <c r="F9967" s="10">
        <f t="shared" si="1"/>
        <v>3</v>
      </c>
      <c r="G9967" s="10" t="str">
        <f t="array" ref="G9967">index('Player ID'!C:C,match(E9967,'Player ID'!B:B,0))</f>
        <v>#N/A</v>
      </c>
    </row>
    <row r="9968">
      <c r="A9968" s="76">
        <v>45831.0</v>
      </c>
      <c r="B9968" s="1" t="s">
        <v>368</v>
      </c>
      <c r="C9968" s="1" t="s">
        <v>64</v>
      </c>
      <c r="D9968" s="1">
        <v>6.0</v>
      </c>
      <c r="E9968" s="1">
        <v>13164.0</v>
      </c>
      <c r="F9968" s="10">
        <f t="shared" si="1"/>
        <v>6</v>
      </c>
      <c r="G9968" s="10">
        <f t="array" ref="G9968">index('Player ID'!C:C,match(E9968,'Player ID'!B:B,0))</f>
        <v>593958</v>
      </c>
    </row>
    <row r="9969">
      <c r="A9969" s="76">
        <v>45831.0</v>
      </c>
      <c r="B9969" s="1" t="s">
        <v>851</v>
      </c>
      <c r="C9969" s="1" t="s">
        <v>78</v>
      </c>
      <c r="D9969" s="1">
        <v>2.0</v>
      </c>
      <c r="E9969" s="1">
        <v>16507.0</v>
      </c>
      <c r="F9969" s="10">
        <f t="shared" si="1"/>
        <v>2</v>
      </c>
      <c r="G9969" s="10" t="str">
        <f t="array" ref="G9969">index('Player ID'!C:C,match(E9969,'Player ID'!B:B,0))</f>
        <v>#N/A</v>
      </c>
    </row>
    <row r="9970">
      <c r="A9970" s="76">
        <v>45831.0</v>
      </c>
      <c r="B9970" s="1" t="s">
        <v>478</v>
      </c>
      <c r="C9970" s="1" t="s">
        <v>78</v>
      </c>
      <c r="D9970" s="1">
        <v>2.0</v>
      </c>
      <c r="E9970" s="1">
        <v>17964.0</v>
      </c>
      <c r="F9970" s="10">
        <f t="shared" si="1"/>
        <v>2</v>
      </c>
      <c r="G9970" s="10">
        <f t="array" ref="G9970">index('Player ID'!C:C,match(E9970,'Player ID'!B:B,0))</f>
        <v>656457</v>
      </c>
    </row>
    <row r="9971">
      <c r="A9971" s="76">
        <v>45831.0</v>
      </c>
      <c r="B9971" s="1" t="s">
        <v>859</v>
      </c>
      <c r="C9971" s="1" t="s">
        <v>78</v>
      </c>
      <c r="D9971" s="1">
        <v>1.0</v>
      </c>
      <c r="E9971" s="1">
        <v>25040.0</v>
      </c>
      <c r="F9971" s="10">
        <f t="shared" si="1"/>
        <v>1</v>
      </c>
      <c r="G9971" s="10" t="str">
        <f t="array" ref="G9971">index('Player ID'!C:C,match(E9971,'Player ID'!B:B,0))</f>
        <v>#N/A</v>
      </c>
    </row>
    <row r="9972">
      <c r="A9972" s="76">
        <v>45831.0</v>
      </c>
      <c r="B9972" s="1" t="s">
        <v>887</v>
      </c>
      <c r="C9972" s="1" t="s">
        <v>78</v>
      </c>
      <c r="D9972" s="1">
        <v>2.0</v>
      </c>
      <c r="E9972" s="1">
        <v>26641.0</v>
      </c>
      <c r="F9972" s="10">
        <f t="shared" si="1"/>
        <v>2</v>
      </c>
      <c r="G9972" s="10" t="str">
        <f t="array" ref="G9972">index('Player ID'!C:C,match(E9972,'Player ID'!B:B,0))</f>
        <v>#N/A</v>
      </c>
    </row>
    <row r="9973">
      <c r="A9973" s="76">
        <v>45831.0</v>
      </c>
      <c r="B9973" s="1" t="s">
        <v>470</v>
      </c>
      <c r="C9973" s="1" t="s">
        <v>78</v>
      </c>
      <c r="D9973" s="1">
        <v>2.0</v>
      </c>
      <c r="E9973" s="1">
        <v>31687.0</v>
      </c>
      <c r="F9973" s="10">
        <f t="shared" si="1"/>
        <v>2</v>
      </c>
      <c r="G9973" s="10">
        <f t="array" ref="G9973">index('Player ID'!C:C,match(E9973,'Player ID'!B:B,0))</f>
        <v>681343</v>
      </c>
    </row>
    <row r="9974">
      <c r="A9974" s="76">
        <v>45831.0</v>
      </c>
      <c r="B9974" s="1" t="s">
        <v>183</v>
      </c>
      <c r="C9974" s="1" t="s">
        <v>60</v>
      </c>
      <c r="D9974" s="1">
        <v>1.0</v>
      </c>
      <c r="E9974" s="1">
        <v>19569.0</v>
      </c>
      <c r="F9974" s="10">
        <f t="shared" si="1"/>
        <v>1</v>
      </c>
      <c r="G9974" s="10">
        <f t="array" ref="G9974">index('Player ID'!C:C,match(E9974,'Player ID'!B:B,0))</f>
        <v>670280</v>
      </c>
    </row>
    <row r="9975">
      <c r="A9975" s="76">
        <v>45831.0</v>
      </c>
      <c r="B9975" s="1" t="s">
        <v>338</v>
      </c>
      <c r="C9975" s="1" t="s">
        <v>60</v>
      </c>
      <c r="D9975" s="1">
        <v>1.2</v>
      </c>
      <c r="E9975" s="1">
        <v>20385.0</v>
      </c>
      <c r="F9975" s="10">
        <f t="shared" si="1"/>
        <v>1.666666667</v>
      </c>
      <c r="G9975" s="10" t="str">
        <f t="array" ref="G9975">index('Player ID'!C:C,match(E9975,'Player ID'!B:B,0))</f>
        <v>#N/A</v>
      </c>
    </row>
    <row r="9976">
      <c r="A9976" s="76">
        <v>45831.0</v>
      </c>
      <c r="B9976" s="1" t="s">
        <v>463</v>
      </c>
      <c r="C9976" s="1" t="s">
        <v>60</v>
      </c>
      <c r="D9976" s="1">
        <v>2.1</v>
      </c>
      <c r="E9976" s="1">
        <v>21544.0</v>
      </c>
      <c r="F9976" s="10">
        <f t="shared" si="1"/>
        <v>2.333333333</v>
      </c>
      <c r="G9976" s="10">
        <f t="array" ref="G9976">index('Player ID'!C:C,match(E9976,'Player ID'!B:B,0))</f>
        <v>663767</v>
      </c>
    </row>
    <row r="9977">
      <c r="A9977" s="76">
        <v>45831.0</v>
      </c>
      <c r="B9977" s="1" t="s">
        <v>812</v>
      </c>
      <c r="C9977" s="1" t="s">
        <v>60</v>
      </c>
      <c r="D9977" s="1">
        <v>1.0</v>
      </c>
      <c r="E9977" s="1">
        <v>23455.0</v>
      </c>
      <c r="F9977" s="10">
        <f t="shared" si="1"/>
        <v>1</v>
      </c>
      <c r="G9977" s="10">
        <f t="array" ref="G9977">index('Player ID'!C:C,match(E9977,'Player ID'!B:B,0))</f>
        <v>676702</v>
      </c>
    </row>
    <row r="9978">
      <c r="A9978" s="76">
        <v>45831.0</v>
      </c>
      <c r="B9978" s="1" t="s">
        <v>200</v>
      </c>
      <c r="C9978" s="1" t="s">
        <v>14</v>
      </c>
      <c r="D9978" s="1">
        <v>3.0</v>
      </c>
      <c r="E9978" s="1">
        <v>23550.0</v>
      </c>
      <c r="F9978" s="10">
        <f t="shared" si="1"/>
        <v>3</v>
      </c>
      <c r="G9978" s="10" t="str">
        <f t="array" ref="G9978">index('Player ID'!C:C,match(E9978,'Player ID'!B:B,0))</f>
        <v>#N/A</v>
      </c>
    </row>
    <row r="9979">
      <c r="A9979" s="76">
        <v>45831.0</v>
      </c>
      <c r="B9979" s="1" t="s">
        <v>277</v>
      </c>
      <c r="C9979" s="1" t="s">
        <v>60</v>
      </c>
      <c r="D9979" s="1">
        <v>3.0</v>
      </c>
      <c r="E9979" s="1">
        <v>23793.0</v>
      </c>
      <c r="F9979" s="10">
        <f t="shared" si="1"/>
        <v>3</v>
      </c>
      <c r="G9979" s="10" t="str">
        <f t="array" ref="G9979">index('Player ID'!C:C,match(E9979,'Player ID'!B:B,0))</f>
        <v>#N/A</v>
      </c>
    </row>
    <row r="9980">
      <c r="A9980" s="76">
        <v>45831.0</v>
      </c>
      <c r="B9980" s="1" t="s">
        <v>112</v>
      </c>
      <c r="C9980" s="1" t="s">
        <v>14</v>
      </c>
      <c r="D9980" s="1">
        <v>1.0</v>
      </c>
      <c r="E9980" s="1">
        <v>25376.0</v>
      </c>
      <c r="F9980" s="10">
        <f t="shared" si="1"/>
        <v>1</v>
      </c>
      <c r="G9980" s="10">
        <f t="array" ref="G9980">index('Player ID'!C:C,match(E9980,'Player ID'!B:B,0))</f>
        <v>683232</v>
      </c>
    </row>
    <row r="9981">
      <c r="A9981" s="76">
        <v>45831.0</v>
      </c>
      <c r="B9981" s="1" t="s">
        <v>496</v>
      </c>
      <c r="C9981" s="1" t="s">
        <v>14</v>
      </c>
      <c r="D9981" s="1">
        <v>5.0</v>
      </c>
      <c r="E9981" s="1">
        <v>30113.0</v>
      </c>
      <c r="F9981" s="10">
        <f t="shared" si="1"/>
        <v>5</v>
      </c>
      <c r="G9981" s="10">
        <f t="array" ref="G9981">index('Player ID'!C:C,match(E9981,'Player ID'!B:B,0))</f>
        <v>694477</v>
      </c>
    </row>
    <row r="9982">
      <c r="A9982" s="76">
        <v>45831.0</v>
      </c>
      <c r="B9982" s="1" t="s">
        <v>629</v>
      </c>
      <c r="C9982" s="1" t="s">
        <v>34</v>
      </c>
      <c r="D9982" s="1">
        <v>1.0</v>
      </c>
      <c r="E9982" s="1">
        <v>5615.0</v>
      </c>
      <c r="F9982" s="10">
        <f t="shared" si="1"/>
        <v>1</v>
      </c>
      <c r="G9982" s="10">
        <f t="array" ref="G9982">index('Player ID'!C:C,match(E9982,'Player ID'!B:B,0))</f>
        <v>518489</v>
      </c>
    </row>
    <row r="9983">
      <c r="A9983" s="76">
        <v>45831.0</v>
      </c>
      <c r="B9983" s="1" t="s">
        <v>800</v>
      </c>
      <c r="C9983" s="1" t="s">
        <v>34</v>
      </c>
      <c r="D9983" s="1">
        <v>2.0</v>
      </c>
      <c r="E9983" s="1">
        <v>13218.0</v>
      </c>
      <c r="F9983" s="10">
        <f t="shared" si="1"/>
        <v>2</v>
      </c>
      <c r="G9983" s="10">
        <f t="array" ref="G9983">index('Player ID'!C:C,match(E9983,'Player ID'!B:B,0))</f>
        <v>605242</v>
      </c>
    </row>
    <row r="9984">
      <c r="A9984" s="76">
        <v>45831.0</v>
      </c>
      <c r="B9984" s="1" t="s">
        <v>409</v>
      </c>
      <c r="C9984" s="1" t="s">
        <v>72</v>
      </c>
      <c r="D9984" s="1">
        <v>1.0</v>
      </c>
      <c r="E9984" s="1">
        <v>20348.0</v>
      </c>
      <c r="F9984" s="10">
        <f t="shared" si="1"/>
        <v>1</v>
      </c>
      <c r="G9984" s="10">
        <f t="array" ref="G9984">index('Player ID'!C:C,match(E9984,'Player ID'!B:B,0))</f>
        <v>676617</v>
      </c>
    </row>
    <row r="9985">
      <c r="A9985" s="76">
        <v>45831.0</v>
      </c>
      <c r="B9985" s="1" t="s">
        <v>290</v>
      </c>
      <c r="C9985" s="1" t="s">
        <v>72</v>
      </c>
      <c r="D9985" s="1">
        <v>7.0</v>
      </c>
      <c r="E9985" s="1">
        <v>22294.0</v>
      </c>
      <c r="F9985" s="10">
        <f t="shared" si="1"/>
        <v>7</v>
      </c>
      <c r="G9985" s="10">
        <f t="array" ref="G9985">index('Player ID'!C:C,match(E9985,'Player ID'!B:B,0))</f>
        <v>669461</v>
      </c>
    </row>
    <row r="9986">
      <c r="A9986" s="76">
        <v>45831.0</v>
      </c>
      <c r="B9986" s="1" t="s">
        <v>341</v>
      </c>
      <c r="C9986" s="1" t="s">
        <v>34</v>
      </c>
      <c r="D9986" s="1">
        <v>5.0</v>
      </c>
      <c r="E9986" s="1">
        <v>23590.0</v>
      </c>
      <c r="F9986" s="10">
        <f t="shared" si="1"/>
        <v>5</v>
      </c>
      <c r="G9986" s="10">
        <f t="array" ref="G9986">index('Player ID'!C:C,match(E9986,'Player ID'!B:B,0))</f>
        <v>676962</v>
      </c>
    </row>
    <row r="9987">
      <c r="A9987" s="76">
        <v>45831.0</v>
      </c>
      <c r="B9987" s="1" t="s">
        <v>795</v>
      </c>
      <c r="C9987" s="1" t="s">
        <v>72</v>
      </c>
      <c r="D9987" s="1">
        <v>1.0</v>
      </c>
      <c r="E9987" s="1">
        <v>25311.0</v>
      </c>
      <c r="F9987" s="10">
        <f t="shared" si="1"/>
        <v>1</v>
      </c>
      <c r="G9987" s="10">
        <f t="array" ref="G9987">index('Player ID'!C:C,match(E9987,'Player ID'!B:B,0))</f>
        <v>682610</v>
      </c>
    </row>
    <row r="9988">
      <c r="A9988" s="76">
        <v>45831.0</v>
      </c>
      <c r="B9988" s="1" t="s">
        <v>660</v>
      </c>
      <c r="C9988" s="1" t="s">
        <v>25</v>
      </c>
      <c r="D9988" s="1">
        <v>1.0</v>
      </c>
      <c r="E9988" s="1">
        <v>11804.0</v>
      </c>
      <c r="F9988" s="10">
        <f t="shared" si="1"/>
        <v>1</v>
      </c>
      <c r="G9988" s="10">
        <f t="array" ref="G9988">index('Player ID'!C:C,match(E9988,'Player ID'!B:B,0))</f>
        <v>593576</v>
      </c>
    </row>
    <row r="9989">
      <c r="A9989" s="76">
        <v>45831.0</v>
      </c>
      <c r="B9989" s="1" t="s">
        <v>291</v>
      </c>
      <c r="C9989" s="1" t="s">
        <v>25</v>
      </c>
      <c r="D9989" s="1">
        <v>0.1</v>
      </c>
      <c r="E9989" s="1">
        <v>17968.0</v>
      </c>
      <c r="F9989" s="10">
        <f t="shared" si="1"/>
        <v>0.3333333333</v>
      </c>
      <c r="G9989" s="10">
        <f t="array" ref="G9989">index('Player ID'!C:C,match(E9989,'Player ID'!B:B,0))</f>
        <v>656271</v>
      </c>
    </row>
    <row r="9990">
      <c r="A9990" s="76">
        <v>45831.0</v>
      </c>
      <c r="B9990" s="1" t="s">
        <v>405</v>
      </c>
      <c r="C9990" s="1" t="s">
        <v>22</v>
      </c>
      <c r="D9990" s="1">
        <v>4.0</v>
      </c>
      <c r="E9990" s="1">
        <v>19374.0</v>
      </c>
      <c r="F9990" s="10">
        <f t="shared" si="1"/>
        <v>4</v>
      </c>
      <c r="G9990" s="10">
        <f t="array" ref="G9990">index('Player ID'!C:C,match(E9990,'Player ID'!B:B,0))</f>
        <v>621111</v>
      </c>
    </row>
    <row r="9991">
      <c r="A9991" s="76">
        <v>45831.0</v>
      </c>
      <c r="B9991" s="1" t="s">
        <v>397</v>
      </c>
      <c r="C9991" s="1" t="s">
        <v>22</v>
      </c>
      <c r="D9991" s="1">
        <v>0.1</v>
      </c>
      <c r="E9991" s="1">
        <v>19459.0</v>
      </c>
      <c r="F9991" s="10">
        <f t="shared" si="1"/>
        <v>0.3333333333</v>
      </c>
      <c r="G9991" s="10">
        <f t="array" ref="G9991">index('Player ID'!C:C,match(E9991,'Player ID'!B:B,0))</f>
        <v>660896</v>
      </c>
    </row>
    <row r="9992">
      <c r="A9992" s="76">
        <v>45831.0</v>
      </c>
      <c r="B9992" s="1" t="s">
        <v>250</v>
      </c>
      <c r="C9992" s="1" t="s">
        <v>22</v>
      </c>
      <c r="D9992" s="1">
        <v>1.2</v>
      </c>
      <c r="E9992" s="1">
        <v>20191.0</v>
      </c>
      <c r="F9992" s="10">
        <f t="shared" si="1"/>
        <v>1.666666667</v>
      </c>
      <c r="G9992" s="10">
        <f t="array" ref="G9992">index('Player ID'!C:C,match(E9992,'Player ID'!B:B,0))</f>
        <v>676477</v>
      </c>
    </row>
    <row r="9993">
      <c r="A9993" s="76">
        <v>45831.0</v>
      </c>
      <c r="B9993" s="1" t="s">
        <v>385</v>
      </c>
      <c r="C9993" s="1" t="s">
        <v>25</v>
      </c>
      <c r="D9993" s="1">
        <v>1.0</v>
      </c>
      <c r="E9993" s="1">
        <v>25420.0</v>
      </c>
      <c r="F9993" s="10">
        <f t="shared" si="1"/>
        <v>1</v>
      </c>
      <c r="G9993" s="10">
        <f t="array" ref="G9993">index('Player ID'!C:C,match(E9993,'Player ID'!B:B,0))</f>
        <v>666171</v>
      </c>
    </row>
    <row r="9994">
      <c r="A9994" s="76">
        <v>45831.0</v>
      </c>
      <c r="B9994" s="1" t="s">
        <v>24</v>
      </c>
      <c r="C9994" s="1" t="s">
        <v>25</v>
      </c>
      <c r="D9994" s="1">
        <v>0.2</v>
      </c>
      <c r="E9994" s="1">
        <v>27468.0</v>
      </c>
      <c r="F9994" s="10">
        <f t="shared" si="1"/>
        <v>0.6666666667</v>
      </c>
      <c r="G9994" s="10">
        <f t="array" ref="G9994">index('Player ID'!C:C,match(E9994,'Player ID'!B:B,0))</f>
        <v>672282</v>
      </c>
    </row>
    <row r="9995">
      <c r="A9995" s="76">
        <v>45831.0</v>
      </c>
      <c r="B9995" s="1" t="s">
        <v>521</v>
      </c>
      <c r="C9995" s="1" t="s">
        <v>25</v>
      </c>
      <c r="D9995" s="1">
        <v>5.0</v>
      </c>
      <c r="E9995" s="1">
        <v>27688.0</v>
      </c>
      <c r="F9995" s="10">
        <f t="shared" si="1"/>
        <v>5</v>
      </c>
      <c r="G9995" s="10">
        <f t="array" ref="G9995">index('Player ID'!C:C,match(E9995,'Player ID'!B:B,0))</f>
        <v>686799</v>
      </c>
    </row>
    <row r="9996">
      <c r="A9996" s="76">
        <v>45831.0</v>
      </c>
      <c r="B9996" s="1" t="s">
        <v>877</v>
      </c>
      <c r="C9996" s="1" t="s">
        <v>25</v>
      </c>
      <c r="D9996" s="1">
        <v>1.0</v>
      </c>
      <c r="E9996" s="1">
        <v>29754.0</v>
      </c>
      <c r="F9996" s="10">
        <f t="shared" si="1"/>
        <v>1</v>
      </c>
      <c r="G9996" s="10" t="str">
        <f t="array" ref="G9996">index('Player ID'!C:C,match(E9996,'Player ID'!B:B,0))</f>
        <v>#N/A</v>
      </c>
    </row>
    <row r="9997">
      <c r="A9997" s="76">
        <v>45831.0</v>
      </c>
      <c r="B9997" s="1" t="s">
        <v>720</v>
      </c>
      <c r="C9997" s="1" t="s">
        <v>22</v>
      </c>
      <c r="D9997" s="1">
        <v>2.0</v>
      </c>
      <c r="E9997" s="1">
        <v>31184.0</v>
      </c>
      <c r="F9997" s="10">
        <f t="shared" si="1"/>
        <v>2</v>
      </c>
      <c r="G9997" s="10">
        <f t="array" ref="G9997">index('Player ID'!C:C,match(E9997,'Player ID'!B:B,0))</f>
        <v>692285</v>
      </c>
    </row>
    <row r="9998">
      <c r="A9998" s="76">
        <v>45831.0</v>
      </c>
      <c r="B9998" s="1" t="s">
        <v>404</v>
      </c>
      <c r="C9998" s="1" t="s">
        <v>26</v>
      </c>
      <c r="D9998" s="1">
        <v>1.1</v>
      </c>
      <c r="E9998" s="1">
        <v>14295.0</v>
      </c>
      <c r="F9998" s="10">
        <f t="shared" si="1"/>
        <v>1.333333333</v>
      </c>
      <c r="G9998" s="10">
        <f t="array" ref="G9998">index('Player ID'!C:C,match(E9998,'Player ID'!B:B,0))</f>
        <v>593974</v>
      </c>
    </row>
    <row r="9999">
      <c r="A9999" s="76">
        <v>45831.0</v>
      </c>
      <c r="B9999" s="1" t="s">
        <v>139</v>
      </c>
      <c r="C9999" s="1" t="s">
        <v>80</v>
      </c>
      <c r="D9999" s="1">
        <v>0.1</v>
      </c>
      <c r="E9999" s="1">
        <v>15009.0</v>
      </c>
      <c r="F9999" s="10">
        <f t="shared" si="1"/>
        <v>0.3333333333</v>
      </c>
      <c r="G9999" s="10">
        <f t="array" ref="G9999">index('Player ID'!C:C,match(E9999,'Player ID'!B:B,0))</f>
        <v>640448</v>
      </c>
    </row>
    <row r="10000">
      <c r="A10000" s="76">
        <v>45831.0</v>
      </c>
      <c r="B10000" s="1" t="s">
        <v>179</v>
      </c>
      <c r="C10000" s="1" t="s">
        <v>26</v>
      </c>
      <c r="D10000" s="1">
        <v>4.1</v>
      </c>
      <c r="E10000" s="1">
        <v>21487.0</v>
      </c>
      <c r="F10000" s="10">
        <f t="shared" si="1"/>
        <v>4.333333333</v>
      </c>
      <c r="G10000" s="10">
        <f t="array" ref="G10000">index('Player ID'!C:C,match(E10000,'Player ID'!B:B,0))</f>
        <v>663568</v>
      </c>
    </row>
    <row r="10001">
      <c r="A10001" s="76">
        <v>45831.0</v>
      </c>
      <c r="B10001" s="1" t="s">
        <v>895</v>
      </c>
      <c r="C10001" s="1" t="s">
        <v>26</v>
      </c>
      <c r="D10001" s="1">
        <v>1.1</v>
      </c>
      <c r="E10001" s="1">
        <v>26304.0</v>
      </c>
      <c r="F10001" s="10">
        <f t="shared" si="1"/>
        <v>1.333333333</v>
      </c>
      <c r="G10001" s="10" t="str">
        <f t="array" ref="G10001">index('Player ID'!C:C,match(E10001,'Player ID'!B:B,0))</f>
        <v>#N/A</v>
      </c>
    </row>
    <row r="10002">
      <c r="A10002" s="76">
        <v>45831.0</v>
      </c>
      <c r="B10002" s="1" t="s">
        <v>330</v>
      </c>
      <c r="C10002" s="1" t="s">
        <v>80</v>
      </c>
      <c r="D10002" s="1">
        <v>6.0</v>
      </c>
      <c r="E10002" s="1">
        <v>27636.0</v>
      </c>
      <c r="F10002" s="10">
        <f t="shared" si="1"/>
        <v>6</v>
      </c>
      <c r="G10002" s="10">
        <f t="array" ref="G10002">index('Player ID'!C:C,match(E10002,'Player ID'!B:B,0))</f>
        <v>680730</v>
      </c>
    </row>
    <row r="10003">
      <c r="A10003" s="76">
        <v>45831.0</v>
      </c>
      <c r="B10003" s="1" t="s">
        <v>818</v>
      </c>
      <c r="C10003" s="1" t="s">
        <v>80</v>
      </c>
      <c r="D10003" s="1">
        <v>0.2</v>
      </c>
      <c r="E10003" s="1">
        <v>27783.0</v>
      </c>
      <c r="F10003" s="10">
        <f t="shared" si="1"/>
        <v>0.6666666667</v>
      </c>
      <c r="G10003" s="10">
        <f t="array" ref="G10003">index('Player ID'!C:C,match(E10003,'Player ID'!B:B,0))</f>
        <v>694350</v>
      </c>
    </row>
    <row r="10004">
      <c r="A10004" s="76">
        <v>45831.0</v>
      </c>
      <c r="B10004" s="1" t="s">
        <v>498</v>
      </c>
      <c r="C10004" s="1" t="s">
        <v>26</v>
      </c>
      <c r="D10004" s="1">
        <v>0.2</v>
      </c>
      <c r="E10004" s="1">
        <v>31616.0</v>
      </c>
      <c r="F10004" s="10">
        <f t="shared" si="1"/>
        <v>0.6666666667</v>
      </c>
      <c r="G10004" s="10" t="str">
        <f t="array" ref="G10004">index('Player ID'!C:C,match(E10004,'Player ID'!B:B,0))</f>
        <v>#N/A</v>
      </c>
    </row>
    <row r="10005">
      <c r="A10005" s="76">
        <v>45831.0</v>
      </c>
      <c r="B10005" s="1" t="s">
        <v>437</v>
      </c>
      <c r="C10005" s="1" t="s">
        <v>80</v>
      </c>
      <c r="D10005" s="1">
        <v>2.0</v>
      </c>
      <c r="E10005" s="1">
        <v>31972.0</v>
      </c>
      <c r="F10005" s="10">
        <f t="shared" si="1"/>
        <v>2</v>
      </c>
      <c r="G10005" s="10">
        <f t="array" ref="G10005">index('Player ID'!C:C,match(E10005,'Player ID'!B:B,0))</f>
        <v>695418</v>
      </c>
    </row>
    <row r="10006">
      <c r="A10006" s="76">
        <v>45831.0</v>
      </c>
      <c r="B10006" s="1" t="s">
        <v>284</v>
      </c>
      <c r="C10006" s="1" t="s">
        <v>26</v>
      </c>
      <c r="D10006" s="1">
        <v>1.1</v>
      </c>
      <c r="E10006" s="1">
        <v>33826.0</v>
      </c>
      <c r="F10006" s="10">
        <f t="shared" si="1"/>
        <v>1.333333333</v>
      </c>
      <c r="G10006" s="10">
        <f t="array" ref="G10006">index('Player ID'!C:C,match(E10006,'Player ID'!B:B,0))</f>
        <v>673513</v>
      </c>
    </row>
    <row r="10007">
      <c r="A10007" s="76">
        <v>45832.0</v>
      </c>
      <c r="B10007" s="1" t="s">
        <v>474</v>
      </c>
      <c r="C10007" s="1" t="s">
        <v>68</v>
      </c>
      <c r="D10007" s="1">
        <v>5.0</v>
      </c>
      <c r="E10007" s="1">
        <v>4676.0</v>
      </c>
      <c r="F10007" s="10">
        <f t="shared" si="1"/>
        <v>5</v>
      </c>
      <c r="G10007" s="10">
        <f t="array" ref="G10007">index('Player ID'!C:C,match(E10007,'Player ID'!B:B,0))</f>
        <v>450203</v>
      </c>
    </row>
    <row r="10008">
      <c r="A10008" s="76">
        <v>45832.0</v>
      </c>
      <c r="B10008" s="1" t="s">
        <v>162</v>
      </c>
      <c r="C10008" s="1" t="s">
        <v>56</v>
      </c>
      <c r="D10008" s="1">
        <v>1.1</v>
      </c>
      <c r="E10008" s="1">
        <v>11752.0</v>
      </c>
      <c r="F10008" s="10">
        <f t="shared" si="1"/>
        <v>1.333333333</v>
      </c>
      <c r="G10008" s="10">
        <f t="array" ref="G10008">index('Player ID'!C:C,match(E10008,'Player ID'!B:B,0))</f>
        <v>592426</v>
      </c>
    </row>
    <row r="10009">
      <c r="A10009" s="76">
        <v>45832.0</v>
      </c>
      <c r="B10009" s="1" t="s">
        <v>74</v>
      </c>
      <c r="C10009" s="1" t="s">
        <v>56</v>
      </c>
      <c r="D10009" s="1">
        <v>0.0</v>
      </c>
      <c r="E10009" s="1">
        <v>11847.0</v>
      </c>
      <c r="F10009" s="10">
        <f t="shared" si="1"/>
        <v>0</v>
      </c>
      <c r="G10009" s="10">
        <f t="array" ref="G10009">index('Player ID'!C:C,match(E10009,'Player ID'!B:B,0))</f>
        <v>455119</v>
      </c>
    </row>
    <row r="10010">
      <c r="A10010" s="76">
        <v>45832.0</v>
      </c>
      <c r="B10010" s="1" t="s">
        <v>48</v>
      </c>
      <c r="C10010" s="1" t="s">
        <v>68</v>
      </c>
      <c r="D10010" s="1">
        <v>0.2</v>
      </c>
      <c r="E10010" s="1">
        <v>12828.0</v>
      </c>
      <c r="F10010" s="10">
        <f t="shared" si="1"/>
        <v>0.6666666667</v>
      </c>
      <c r="G10010" s="10" t="str">
        <f t="array" ref="G10010">index('Player ID'!C:C,match(E10010,'Player ID'!B:B,0))</f>
        <v>#N/A</v>
      </c>
    </row>
    <row r="10011">
      <c r="A10011" s="76">
        <v>45832.0</v>
      </c>
      <c r="B10011" s="1" t="s">
        <v>151</v>
      </c>
      <c r="C10011" s="1" t="s">
        <v>56</v>
      </c>
      <c r="D10011" s="1">
        <v>1.2</v>
      </c>
      <c r="E10011" s="1">
        <v>13346.0</v>
      </c>
      <c r="F10011" s="10">
        <f t="shared" si="1"/>
        <v>1.666666667</v>
      </c>
      <c r="G10011" s="10">
        <f t="array" ref="G10011">index('Player ID'!C:C,match(E10011,'Player ID'!B:B,0))</f>
        <v>571948</v>
      </c>
    </row>
    <row r="10012">
      <c r="A10012" s="76">
        <v>45832.0</v>
      </c>
      <c r="B10012" s="1" t="s">
        <v>639</v>
      </c>
      <c r="C10012" s="1" t="s">
        <v>68</v>
      </c>
      <c r="D10012" s="1">
        <v>1.0</v>
      </c>
      <c r="E10012" s="1">
        <v>19249.0</v>
      </c>
      <c r="F10012" s="10">
        <f t="shared" si="1"/>
        <v>1</v>
      </c>
      <c r="G10012" s="10">
        <f t="array" ref="G10012">index('Player ID'!C:C,match(E10012,'Player ID'!B:B,0))</f>
        <v>622554</v>
      </c>
    </row>
    <row r="10013">
      <c r="A10013" s="76">
        <v>45832.0</v>
      </c>
      <c r="B10013" s="1" t="s">
        <v>231</v>
      </c>
      <c r="C10013" s="1" t="s">
        <v>68</v>
      </c>
      <c r="D10013" s="1">
        <v>1.1</v>
      </c>
      <c r="E10013" s="1">
        <v>19362.0</v>
      </c>
      <c r="F10013" s="10">
        <f t="shared" si="1"/>
        <v>1.333333333</v>
      </c>
      <c r="G10013" s="10">
        <f t="array" ref="G10013">index('Player ID'!C:C,match(E10013,'Player ID'!B:B,0))</f>
        <v>669211</v>
      </c>
    </row>
    <row r="10014">
      <c r="A10014" s="76">
        <v>45832.0</v>
      </c>
      <c r="B10014" s="1" t="s">
        <v>433</v>
      </c>
      <c r="C10014" s="1" t="s">
        <v>68</v>
      </c>
      <c r="D10014" s="1">
        <v>1.0</v>
      </c>
      <c r="E10014" s="1">
        <v>19677.0</v>
      </c>
      <c r="F10014" s="10">
        <f t="shared" si="1"/>
        <v>1</v>
      </c>
      <c r="G10014" s="10">
        <f t="array" ref="G10014">index('Player ID'!C:C,match(E10014,'Player ID'!B:B,0))</f>
        <v>642397</v>
      </c>
    </row>
    <row r="10015">
      <c r="A10015" s="76">
        <v>45832.0</v>
      </c>
      <c r="B10015" s="1" t="s">
        <v>698</v>
      </c>
      <c r="C10015" s="1" t="s">
        <v>68</v>
      </c>
      <c r="D10015" s="1">
        <v>1.0</v>
      </c>
      <c r="E10015" s="1">
        <v>20666.0</v>
      </c>
      <c r="F10015" s="10">
        <f t="shared" si="1"/>
        <v>1</v>
      </c>
      <c r="G10015" s="10">
        <f t="array" ref="G10015">index('Player ID'!C:C,match(E10015,'Player ID'!B:B,0))</f>
        <v>642585</v>
      </c>
    </row>
    <row r="10016">
      <c r="A10016" s="76">
        <v>45832.0</v>
      </c>
      <c r="B10016" s="1" t="s">
        <v>111</v>
      </c>
      <c r="C10016" s="1" t="s">
        <v>56</v>
      </c>
      <c r="D10016" s="1">
        <v>6.0</v>
      </c>
      <c r="E10016" s="1">
        <v>21306.0</v>
      </c>
      <c r="F10016" s="10">
        <f t="shared" si="1"/>
        <v>6</v>
      </c>
      <c r="G10016" s="10">
        <f t="array" ref="G10016">index('Player ID'!C:C,match(E10016,'Player ID'!B:B,0))</f>
        <v>656641</v>
      </c>
    </row>
    <row r="10017">
      <c r="A10017" s="76">
        <v>45832.0</v>
      </c>
      <c r="B10017" s="1" t="s">
        <v>268</v>
      </c>
      <c r="C10017" s="1" t="s">
        <v>56</v>
      </c>
      <c r="D10017" s="1">
        <v>1.0</v>
      </c>
      <c r="E10017" s="1">
        <v>23363.0</v>
      </c>
      <c r="F10017" s="10">
        <f t="shared" si="1"/>
        <v>1</v>
      </c>
      <c r="G10017" s="10">
        <f t="array" ref="G10017">index('Player ID'!C:C,match(E10017,'Player ID'!B:B,0))</f>
        <v>676395</v>
      </c>
    </row>
    <row r="10018">
      <c r="A10018" s="76">
        <v>45832.0</v>
      </c>
      <c r="B10018" s="1" t="s">
        <v>668</v>
      </c>
      <c r="C10018" s="1" t="s">
        <v>52</v>
      </c>
      <c r="D10018" s="1">
        <v>0.1</v>
      </c>
      <c r="E10018" s="1">
        <v>3237.0</v>
      </c>
      <c r="F10018" s="10">
        <f t="shared" si="1"/>
        <v>0.3333333333</v>
      </c>
      <c r="G10018" s="10">
        <f t="array" ref="G10018">index('Player ID'!C:C,match(E10018,'Player ID'!B:B,0))</f>
        <v>519008</v>
      </c>
    </row>
    <row r="10019">
      <c r="A10019" s="76">
        <v>45832.0</v>
      </c>
      <c r="B10019" s="1" t="s">
        <v>281</v>
      </c>
      <c r="C10019" s="1" t="s">
        <v>52</v>
      </c>
      <c r="D10019" s="1">
        <v>5.0</v>
      </c>
      <c r="E10019" s="1">
        <v>15890.0</v>
      </c>
      <c r="F10019" s="10">
        <f t="shared" si="1"/>
        <v>5</v>
      </c>
      <c r="G10019" s="10">
        <f t="array" ref="G10019">index('Player ID'!C:C,match(E10019,'Player ID'!B:B,0))</f>
        <v>622663</v>
      </c>
    </row>
    <row r="10020">
      <c r="A10020" s="76">
        <v>45832.0</v>
      </c>
      <c r="B10020" s="1" t="s">
        <v>448</v>
      </c>
      <c r="C10020" s="1" t="s">
        <v>62</v>
      </c>
      <c r="D10020" s="1">
        <v>1.0</v>
      </c>
      <c r="E10020" s="1">
        <v>17381.0</v>
      </c>
      <c r="F10020" s="10">
        <f t="shared" si="1"/>
        <v>1</v>
      </c>
      <c r="G10020" s="10" t="str">
        <f t="array" ref="G10020">index('Player ID'!C:C,match(E10020,'Player ID'!B:B,0))</f>
        <v>#N/A</v>
      </c>
    </row>
    <row r="10021">
      <c r="A10021" s="76">
        <v>45832.0</v>
      </c>
      <c r="B10021" s="1" t="s">
        <v>505</v>
      </c>
      <c r="C10021" s="1" t="s">
        <v>52</v>
      </c>
      <c r="D10021" s="1">
        <v>0.2</v>
      </c>
      <c r="E10021" s="1">
        <v>19481.0</v>
      </c>
      <c r="F10021" s="10">
        <f t="shared" si="1"/>
        <v>0.6666666667</v>
      </c>
      <c r="G10021" s="10">
        <f t="array" ref="G10021">index('Player ID'!C:C,match(E10021,'Player ID'!B:B,0))</f>
        <v>621053</v>
      </c>
    </row>
    <row r="10022">
      <c r="A10022" s="76">
        <v>45832.0</v>
      </c>
      <c r="B10022" s="1" t="s">
        <v>227</v>
      </c>
      <c r="C10022" s="1" t="s">
        <v>52</v>
      </c>
      <c r="D10022" s="1">
        <v>2.0</v>
      </c>
      <c r="E10022" s="1">
        <v>21520.0</v>
      </c>
      <c r="F10022" s="10">
        <f t="shared" si="1"/>
        <v>2</v>
      </c>
      <c r="G10022" s="10">
        <f t="array" ref="G10022">index('Player ID'!C:C,match(E10022,'Player ID'!B:B,0))</f>
        <v>663687</v>
      </c>
    </row>
    <row r="10023">
      <c r="A10023" s="76">
        <v>45832.0</v>
      </c>
      <c r="B10023" s="1" t="s">
        <v>84</v>
      </c>
      <c r="C10023" s="1" t="s">
        <v>62</v>
      </c>
      <c r="D10023" s="1">
        <v>6.0</v>
      </c>
      <c r="E10023" s="1">
        <v>22267.0</v>
      </c>
      <c r="F10023" s="10">
        <f t="shared" si="1"/>
        <v>6</v>
      </c>
      <c r="G10023" s="10">
        <f t="array" ref="G10023">index('Player ID'!C:C,match(E10023,'Player ID'!B:B,0))</f>
        <v>669373</v>
      </c>
    </row>
    <row r="10024">
      <c r="A10024" s="76">
        <v>45832.0</v>
      </c>
      <c r="B10024" s="1" t="s">
        <v>82</v>
      </c>
      <c r="C10024" s="1" t="s">
        <v>62</v>
      </c>
      <c r="D10024" s="1">
        <v>1.0</v>
      </c>
      <c r="E10024" s="1">
        <v>26231.0</v>
      </c>
      <c r="F10024" s="10">
        <f t="shared" si="1"/>
        <v>1</v>
      </c>
      <c r="G10024" s="10">
        <f t="array" ref="G10024">index('Player ID'!C:C,match(E10024,'Player ID'!B:B,0))</f>
        <v>663947</v>
      </c>
    </row>
    <row r="10025">
      <c r="A10025" s="76">
        <v>45832.0</v>
      </c>
      <c r="B10025" s="1" t="s">
        <v>160</v>
      </c>
      <c r="C10025" s="1" t="s">
        <v>62</v>
      </c>
      <c r="D10025" s="1">
        <v>1.0</v>
      </c>
      <c r="E10025" s="1">
        <v>29574.0</v>
      </c>
      <c r="F10025" s="10">
        <f t="shared" si="1"/>
        <v>1</v>
      </c>
      <c r="G10025" s="10">
        <f t="array" ref="G10025">index('Player ID'!C:C,match(E10025,'Player ID'!B:B,0))</f>
        <v>695445</v>
      </c>
    </row>
    <row r="10026">
      <c r="A10026" s="76">
        <v>45832.0</v>
      </c>
      <c r="B10026" s="1" t="s">
        <v>174</v>
      </c>
      <c r="C10026" s="1" t="s">
        <v>40</v>
      </c>
      <c r="D10026" s="1">
        <v>0.2</v>
      </c>
      <c r="E10026" s="1">
        <v>15552.0</v>
      </c>
      <c r="F10026" s="10">
        <f t="shared" si="1"/>
        <v>0.6666666667</v>
      </c>
      <c r="G10026" s="10">
        <f t="array" ref="G10026">index('Player ID'!C:C,match(E10026,'Player ID'!B:B,0))</f>
        <v>643338</v>
      </c>
    </row>
    <row r="10027">
      <c r="A10027" s="76">
        <v>45832.0</v>
      </c>
      <c r="B10027" s="1" t="s">
        <v>259</v>
      </c>
      <c r="C10027" s="1" t="s">
        <v>70</v>
      </c>
      <c r="D10027" s="1">
        <v>1.0</v>
      </c>
      <c r="E10027" s="1">
        <v>18694.0</v>
      </c>
      <c r="F10027" s="10">
        <f t="shared" si="1"/>
        <v>1</v>
      </c>
      <c r="G10027" s="10">
        <f t="array" ref="G10027">index('Player ID'!C:C,match(E10027,'Player ID'!B:B,0))</f>
        <v>663465</v>
      </c>
    </row>
    <row r="10028">
      <c r="A10028" s="76">
        <v>45832.0</v>
      </c>
      <c r="B10028" s="1" t="s">
        <v>332</v>
      </c>
      <c r="C10028" s="1" t="s">
        <v>40</v>
      </c>
      <c r="D10028" s="1">
        <v>5.1</v>
      </c>
      <c r="E10028" s="1">
        <v>19316.0</v>
      </c>
      <c r="F10028" s="10">
        <f t="shared" si="1"/>
        <v>5.333333333</v>
      </c>
      <c r="G10028" s="10">
        <f t="array" ref="G10028">index('Player ID'!C:C,match(E10028,'Player ID'!B:B,0))</f>
        <v>641778</v>
      </c>
    </row>
    <row r="10029">
      <c r="A10029" s="76">
        <v>45832.0</v>
      </c>
      <c r="B10029" s="1" t="s">
        <v>141</v>
      </c>
      <c r="C10029" s="1" t="s">
        <v>70</v>
      </c>
      <c r="D10029" s="1">
        <v>0.1</v>
      </c>
      <c r="E10029" s="1">
        <v>19330.0</v>
      </c>
      <c r="F10029" s="10">
        <f t="shared" si="1"/>
        <v>0.3333333333</v>
      </c>
      <c r="G10029" s="10">
        <f t="array" ref="G10029">index('Player ID'!C:C,match(E10029,'Player ID'!B:B,0))</f>
        <v>670036</v>
      </c>
    </row>
    <row r="10030">
      <c r="A10030" s="76">
        <v>45832.0</v>
      </c>
      <c r="B10030" s="1" t="s">
        <v>315</v>
      </c>
      <c r="C10030" s="1" t="s">
        <v>40</v>
      </c>
      <c r="D10030" s="1">
        <v>0.2</v>
      </c>
      <c r="E10030" s="1">
        <v>24609.0</v>
      </c>
      <c r="F10030" s="10">
        <f t="shared" si="1"/>
        <v>0.6666666667</v>
      </c>
      <c r="G10030" s="10">
        <f t="array" ref="G10030">index('Player ID'!C:C,match(E10030,'Player ID'!B:B,0))</f>
        <v>680755</v>
      </c>
    </row>
    <row r="10031">
      <c r="A10031" s="76">
        <v>45832.0</v>
      </c>
      <c r="B10031" s="1" t="s">
        <v>568</v>
      </c>
      <c r="C10031" s="1" t="s">
        <v>40</v>
      </c>
      <c r="D10031" s="1">
        <v>1.0</v>
      </c>
      <c r="E10031" s="1">
        <v>25501.0</v>
      </c>
      <c r="F10031" s="10">
        <f t="shared" si="1"/>
        <v>1</v>
      </c>
      <c r="G10031" s="10">
        <f t="array" ref="G10031">index('Player ID'!C:C,match(E10031,'Player ID'!B:B,0))</f>
        <v>687606</v>
      </c>
    </row>
    <row r="10032">
      <c r="A10032" s="76">
        <v>45832.0</v>
      </c>
      <c r="B10032" s="1" t="s">
        <v>375</v>
      </c>
      <c r="C10032" s="1" t="s">
        <v>70</v>
      </c>
      <c r="D10032" s="1">
        <v>1.1</v>
      </c>
      <c r="E10032" s="1">
        <v>25553.0</v>
      </c>
      <c r="F10032" s="10">
        <f t="shared" si="1"/>
        <v>1.333333333</v>
      </c>
      <c r="G10032" s="10" t="str">
        <f t="array" ref="G10032">index('Player ID'!C:C,match(E10032,'Player ID'!B:B,0))</f>
        <v>#N/A</v>
      </c>
    </row>
    <row r="10033">
      <c r="A10033" s="76">
        <v>45832.0</v>
      </c>
      <c r="B10033" s="1" t="s">
        <v>238</v>
      </c>
      <c r="C10033" s="1" t="s">
        <v>70</v>
      </c>
      <c r="D10033" s="1">
        <v>0.2</v>
      </c>
      <c r="E10033" s="1">
        <v>25636.0</v>
      </c>
      <c r="F10033" s="10">
        <f t="shared" si="1"/>
        <v>0.6666666667</v>
      </c>
      <c r="G10033" s="10">
        <f t="array" ref="G10033">index('Player ID'!C:C,match(E10033,'Player ID'!B:B,0))</f>
        <v>683769</v>
      </c>
    </row>
    <row r="10034">
      <c r="A10034" s="76">
        <v>45832.0</v>
      </c>
      <c r="B10034" s="1" t="s">
        <v>372</v>
      </c>
      <c r="C10034" s="1" t="s">
        <v>70</v>
      </c>
      <c r="D10034" s="1">
        <v>5.2</v>
      </c>
      <c r="E10034" s="1">
        <v>27589.0</v>
      </c>
      <c r="F10034" s="10">
        <f t="shared" si="1"/>
        <v>5.666666667</v>
      </c>
      <c r="G10034" s="10">
        <f t="array" ref="G10034">index('Player ID'!C:C,match(E10034,'Player ID'!B:B,0))</f>
        <v>671106</v>
      </c>
    </row>
    <row r="10035">
      <c r="A10035" s="76">
        <v>45832.0</v>
      </c>
      <c r="B10035" s="1" t="s">
        <v>142</v>
      </c>
      <c r="C10035" s="1" t="s">
        <v>40</v>
      </c>
      <c r="D10035" s="1">
        <v>0.1</v>
      </c>
      <c r="E10035" s="1">
        <v>31553.0</v>
      </c>
      <c r="F10035" s="10">
        <f t="shared" si="1"/>
        <v>0.3333333333</v>
      </c>
      <c r="G10035" s="10">
        <f t="array" ref="G10035">index('Player ID'!C:C,match(E10035,'Player ID'!B:B,0))</f>
        <v>689254</v>
      </c>
    </row>
    <row r="10036">
      <c r="A10036" s="76">
        <v>45832.0</v>
      </c>
      <c r="B10036" s="1" t="s">
        <v>427</v>
      </c>
      <c r="C10036" s="1" t="s">
        <v>40</v>
      </c>
      <c r="D10036" s="1">
        <v>1.0</v>
      </c>
      <c r="E10036" s="1">
        <v>33838.0</v>
      </c>
      <c r="F10036" s="10">
        <f t="shared" si="1"/>
        <v>1</v>
      </c>
      <c r="G10036" s="10">
        <f t="array" ref="G10036">index('Player ID'!C:C,match(E10036,'Player ID'!B:B,0))</f>
        <v>684320</v>
      </c>
    </row>
    <row r="10037">
      <c r="A10037" s="76">
        <v>45832.0</v>
      </c>
      <c r="B10037" s="1" t="s">
        <v>646</v>
      </c>
      <c r="C10037" s="1" t="s">
        <v>51</v>
      </c>
      <c r="D10037" s="1">
        <v>0.1</v>
      </c>
      <c r="E10037" s="1">
        <v>6107.0</v>
      </c>
      <c r="F10037" s="10">
        <f t="shared" si="1"/>
        <v>0.3333333333</v>
      </c>
      <c r="G10037" s="10">
        <f t="array" ref="G10037">index('Player ID'!C:C,match(E10037,'Player ID'!B:B,0))</f>
        <v>623211</v>
      </c>
    </row>
    <row r="10038">
      <c r="A10038" s="76">
        <v>45832.0</v>
      </c>
      <c r="B10038" s="1" t="s">
        <v>326</v>
      </c>
      <c r="C10038" s="1" t="s">
        <v>46</v>
      </c>
      <c r="D10038" s="1">
        <v>1.0</v>
      </c>
      <c r="E10038" s="1">
        <v>12760.0</v>
      </c>
      <c r="F10038" s="10">
        <f t="shared" si="1"/>
        <v>1</v>
      </c>
      <c r="G10038" s="10">
        <f t="array" ref="G10038">index('Player ID'!C:C,match(E10038,'Player ID'!B:B,0))</f>
        <v>606160</v>
      </c>
    </row>
    <row r="10039">
      <c r="A10039" s="76">
        <v>45832.0</v>
      </c>
      <c r="B10039" s="1" t="s">
        <v>178</v>
      </c>
      <c r="C10039" s="1" t="s">
        <v>46</v>
      </c>
      <c r="D10039" s="1">
        <v>1.0</v>
      </c>
      <c r="E10039" s="1">
        <v>13435.0</v>
      </c>
      <c r="F10039" s="10">
        <f t="shared" si="1"/>
        <v>1</v>
      </c>
      <c r="G10039" s="10">
        <f t="array" ref="G10039">index('Player ID'!C:C,match(E10039,'Player ID'!B:B,0))</f>
        <v>572955</v>
      </c>
    </row>
    <row r="10040">
      <c r="A10040" s="76">
        <v>45832.0</v>
      </c>
      <c r="B10040" s="1" t="s">
        <v>379</v>
      </c>
      <c r="C10040" s="1" t="s">
        <v>51</v>
      </c>
      <c r="D10040" s="1">
        <v>5.0</v>
      </c>
      <c r="E10040" s="1">
        <v>14309.0</v>
      </c>
      <c r="F10040" s="10">
        <f t="shared" si="1"/>
        <v>5</v>
      </c>
      <c r="G10040" s="10">
        <f t="array" ref="G10040">index('Player ID'!C:C,match(E10040,'Player ID'!B:B,0))</f>
        <v>593423</v>
      </c>
    </row>
    <row r="10041">
      <c r="A10041" s="76">
        <v>45832.0</v>
      </c>
      <c r="B10041" s="1" t="s">
        <v>295</v>
      </c>
      <c r="C10041" s="1" t="s">
        <v>51</v>
      </c>
      <c r="D10041" s="1">
        <v>0.2</v>
      </c>
      <c r="E10041" s="1">
        <v>16866.0</v>
      </c>
      <c r="F10041" s="10">
        <f t="shared" si="1"/>
        <v>0.6666666667</v>
      </c>
      <c r="G10041" s="10">
        <f t="array" ref="G10041">index('Player ID'!C:C,match(E10041,'Player ID'!B:B,0))</f>
        <v>657585</v>
      </c>
    </row>
    <row r="10042">
      <c r="A10042" s="76">
        <v>45832.0</v>
      </c>
      <c r="B10042" s="1" t="s">
        <v>184</v>
      </c>
      <c r="C10042" s="1" t="s">
        <v>46</v>
      </c>
      <c r="D10042" s="1">
        <v>0.2</v>
      </c>
      <c r="E10042" s="1">
        <v>17130.0</v>
      </c>
      <c r="F10042" s="10">
        <f t="shared" si="1"/>
        <v>0.6666666667</v>
      </c>
      <c r="G10042" s="10">
        <f t="array" ref="G10042">index('Player ID'!C:C,match(E10042,'Player ID'!B:B,0))</f>
        <v>628452</v>
      </c>
    </row>
    <row r="10043">
      <c r="A10043" s="76">
        <v>45832.0</v>
      </c>
      <c r="B10043" s="1" t="s">
        <v>826</v>
      </c>
      <c r="C10043" s="1" t="s">
        <v>51</v>
      </c>
      <c r="D10043" s="1">
        <v>0.0</v>
      </c>
      <c r="E10043" s="1">
        <v>17169.0</v>
      </c>
      <c r="F10043" s="10">
        <f t="shared" si="1"/>
        <v>0</v>
      </c>
      <c r="G10043" s="10">
        <f t="array" ref="G10043">index('Player ID'!C:C,match(E10043,'Player ID'!B:B,0))</f>
        <v>620454</v>
      </c>
    </row>
    <row r="10044">
      <c r="A10044" s="76">
        <v>45832.0</v>
      </c>
      <c r="B10044" s="1" t="s">
        <v>346</v>
      </c>
      <c r="C10044" s="1" t="s">
        <v>46</v>
      </c>
      <c r="D10044" s="1">
        <v>0.1</v>
      </c>
      <c r="E10044" s="1">
        <v>18403.0</v>
      </c>
      <c r="F10044" s="10">
        <f t="shared" si="1"/>
        <v>0.3333333333</v>
      </c>
      <c r="G10044" s="10">
        <f t="array" ref="G10044">index('Player ID'!C:C,match(E10044,'Player ID'!B:B,0))</f>
        <v>660853</v>
      </c>
    </row>
    <row r="10045">
      <c r="A10045" s="76">
        <v>45832.0</v>
      </c>
      <c r="B10045" s="1" t="s">
        <v>640</v>
      </c>
      <c r="C10045" s="1" t="s">
        <v>51</v>
      </c>
      <c r="D10045" s="1">
        <v>1.2</v>
      </c>
      <c r="E10045" s="1">
        <v>19337.0</v>
      </c>
      <c r="F10045" s="10">
        <f t="shared" si="1"/>
        <v>1.666666667</v>
      </c>
      <c r="G10045" s="10">
        <f t="array" ref="G10045">index('Player ID'!C:C,match(E10045,'Player ID'!B:B,0))</f>
        <v>663992</v>
      </c>
    </row>
    <row r="10046">
      <c r="A10046" s="76">
        <v>45832.0</v>
      </c>
      <c r="B10046" s="1" t="s">
        <v>829</v>
      </c>
      <c r="C10046" s="1" t="s">
        <v>51</v>
      </c>
      <c r="D10046" s="1">
        <v>1.1</v>
      </c>
      <c r="E10046" s="1">
        <v>23055.0</v>
      </c>
      <c r="F10046" s="10">
        <f t="shared" si="1"/>
        <v>1.333333333</v>
      </c>
      <c r="G10046" s="10">
        <f t="array" ref="G10046">index('Player ID'!C:C,match(E10046,'Player ID'!B:B,0))</f>
        <v>673380</v>
      </c>
    </row>
    <row r="10047">
      <c r="A10047" s="76">
        <v>45832.0</v>
      </c>
      <c r="B10047" s="1" t="s">
        <v>472</v>
      </c>
      <c r="C10047" s="1" t="s">
        <v>46</v>
      </c>
      <c r="D10047" s="1">
        <v>5.0</v>
      </c>
      <c r="E10047" s="1">
        <v>27498.0</v>
      </c>
      <c r="F10047" s="10">
        <f t="shared" si="1"/>
        <v>5</v>
      </c>
      <c r="G10047" s="10">
        <f t="array" ref="G10047">index('Player ID'!C:C,match(E10047,'Player ID'!B:B,0))</f>
        <v>675911</v>
      </c>
    </row>
    <row r="10048">
      <c r="A10048" s="76">
        <v>45832.0</v>
      </c>
      <c r="B10048" s="1" t="s">
        <v>244</v>
      </c>
      <c r="C10048" s="1" t="s">
        <v>46</v>
      </c>
      <c r="D10048" s="1">
        <v>1.0</v>
      </c>
      <c r="E10048" s="1">
        <v>29928.0</v>
      </c>
      <c r="F10048" s="10">
        <f t="shared" si="1"/>
        <v>1</v>
      </c>
      <c r="G10048" s="10" t="str">
        <f t="array" ref="G10048">index('Player ID'!C:C,match(E10048,'Player ID'!B:B,0))</f>
        <v>#N/A</v>
      </c>
    </row>
    <row r="10049">
      <c r="A10049" s="76">
        <v>45832.0</v>
      </c>
      <c r="B10049" s="1" t="s">
        <v>422</v>
      </c>
      <c r="C10049" s="1" t="s">
        <v>58</v>
      </c>
      <c r="D10049" s="1">
        <v>0.2</v>
      </c>
      <c r="E10049" s="1">
        <v>7048.0</v>
      </c>
      <c r="F10049" s="10">
        <f t="shared" si="1"/>
        <v>0.6666666667</v>
      </c>
      <c r="G10049" s="10">
        <f t="array" ref="G10049">index('Player ID'!C:C,match(E10049,'Player ID'!B:B,0))</f>
        <v>518585</v>
      </c>
    </row>
    <row r="10050">
      <c r="A10050" s="76">
        <v>45832.0</v>
      </c>
      <c r="B10050" s="1" t="s">
        <v>417</v>
      </c>
      <c r="C10050" s="1" t="s">
        <v>66</v>
      </c>
      <c r="D10050" s="1">
        <v>1.2</v>
      </c>
      <c r="E10050" s="1">
        <v>13942.0</v>
      </c>
      <c r="F10050" s="10">
        <f t="shared" si="1"/>
        <v>1.666666667</v>
      </c>
      <c r="G10050" s="10">
        <f t="array" ref="G10050">index('Player ID'!C:C,match(E10050,'Player ID'!B:B,0))</f>
        <v>608718</v>
      </c>
    </row>
    <row r="10051">
      <c r="A10051" s="76">
        <v>45832.0</v>
      </c>
      <c r="B10051" s="1" t="s">
        <v>467</v>
      </c>
      <c r="C10051" s="1" t="s">
        <v>58</v>
      </c>
      <c r="D10051" s="1">
        <v>1.0</v>
      </c>
      <c r="E10051" s="1">
        <v>15551.0</v>
      </c>
      <c r="F10051" s="10">
        <f t="shared" si="1"/>
        <v>1</v>
      </c>
      <c r="G10051" s="10">
        <f t="array" ref="G10051">index('Player ID'!C:C,match(E10051,'Player ID'!B:B,0))</f>
        <v>643410</v>
      </c>
    </row>
    <row r="10052">
      <c r="A10052" s="76">
        <v>45832.0</v>
      </c>
      <c r="B10052" s="1" t="s">
        <v>114</v>
      </c>
      <c r="C10052" s="1" t="s">
        <v>58</v>
      </c>
      <c r="D10052" s="1">
        <v>1.0</v>
      </c>
      <c r="E10052" s="1">
        <v>15816.0</v>
      </c>
      <c r="F10052" s="10">
        <f t="shared" si="1"/>
        <v>1</v>
      </c>
      <c r="G10052" s="10">
        <f t="array" ref="G10052">index('Player ID'!C:C,match(E10052,'Player ID'!B:B,0))</f>
        <v>642207</v>
      </c>
    </row>
    <row r="10053">
      <c r="A10053" s="76">
        <v>45832.0</v>
      </c>
      <c r="B10053" s="1" t="s">
        <v>635</v>
      </c>
      <c r="C10053" s="1" t="s">
        <v>58</v>
      </c>
      <c r="D10053" s="1">
        <v>6.0</v>
      </c>
      <c r="E10053" s="1">
        <v>16137.0</v>
      </c>
      <c r="F10053" s="10">
        <f t="shared" si="1"/>
        <v>6</v>
      </c>
      <c r="G10053" s="10">
        <f t="array" ref="G10053">index('Player ID'!C:C,match(E10053,'Player ID'!B:B,0))</f>
        <v>607074</v>
      </c>
    </row>
    <row r="10054">
      <c r="A10054" s="76">
        <v>45832.0</v>
      </c>
      <c r="B10054" s="1" t="s">
        <v>225</v>
      </c>
      <c r="C10054" s="1" t="s">
        <v>58</v>
      </c>
      <c r="D10054" s="1">
        <v>1.0</v>
      </c>
      <c r="E10054" s="1">
        <v>16918.0</v>
      </c>
      <c r="F10054" s="10">
        <f t="shared" si="1"/>
        <v>1</v>
      </c>
      <c r="G10054" s="10">
        <f t="array" ref="G10054">index('Player ID'!C:C,match(E10054,'Player ID'!B:B,0))</f>
        <v>596133</v>
      </c>
    </row>
    <row r="10055">
      <c r="A10055" s="76">
        <v>45832.0</v>
      </c>
      <c r="B10055" s="1" t="s">
        <v>653</v>
      </c>
      <c r="C10055" s="1" t="s">
        <v>66</v>
      </c>
      <c r="D10055" s="1">
        <v>1.0</v>
      </c>
      <c r="E10055" s="1">
        <v>17871.0</v>
      </c>
      <c r="F10055" s="10">
        <f t="shared" si="1"/>
        <v>1</v>
      </c>
      <c r="G10055" s="10">
        <f t="array" ref="G10055">index('Player ID'!C:C,match(E10055,'Player ID'!B:B,0))</f>
        <v>664139</v>
      </c>
    </row>
    <row r="10056">
      <c r="A10056" s="76">
        <v>45832.0</v>
      </c>
      <c r="B10056" s="1" t="s">
        <v>831</v>
      </c>
      <c r="C10056" s="1" t="s">
        <v>58</v>
      </c>
      <c r="D10056" s="1">
        <v>0.1</v>
      </c>
      <c r="E10056" s="1">
        <v>19753.0</v>
      </c>
      <c r="F10056" s="10">
        <f t="shared" si="1"/>
        <v>0.3333333333</v>
      </c>
      <c r="G10056" s="10">
        <f t="array" ref="G10056">index('Player ID'!C:C,match(E10056,'Player ID'!B:B,0))</f>
        <v>642528</v>
      </c>
    </row>
    <row r="10057">
      <c r="A10057" s="76">
        <v>45832.0</v>
      </c>
      <c r="B10057" s="1" t="s">
        <v>345</v>
      </c>
      <c r="C10057" s="1" t="s">
        <v>66</v>
      </c>
      <c r="D10057" s="1">
        <v>1.0</v>
      </c>
      <c r="E10057" s="1">
        <v>19926.0</v>
      </c>
      <c r="F10057" s="10">
        <f t="shared" si="1"/>
        <v>1</v>
      </c>
      <c r="G10057" s="10">
        <f t="array" ref="G10057">index('Player ID'!C:C,match(E10057,'Player ID'!B:B,0))</f>
        <v>663574</v>
      </c>
    </row>
    <row r="10058">
      <c r="A10058" s="76">
        <v>45832.0</v>
      </c>
      <c r="B10058" s="1" t="s">
        <v>518</v>
      </c>
      <c r="C10058" s="1" t="s">
        <v>66</v>
      </c>
      <c r="D10058" s="1">
        <v>1.1</v>
      </c>
      <c r="E10058" s="1">
        <v>24581.0</v>
      </c>
      <c r="F10058" s="10">
        <f t="shared" si="1"/>
        <v>1.333333333</v>
      </c>
      <c r="G10058" s="10">
        <f t="array" ref="G10058">index('Player ID'!C:C,match(E10058,'Player ID'!B:B,0))</f>
        <v>680689</v>
      </c>
    </row>
    <row r="10059">
      <c r="A10059" s="76">
        <v>45832.0</v>
      </c>
      <c r="B10059" s="1" t="s">
        <v>889</v>
      </c>
      <c r="C10059" s="1" t="s">
        <v>66</v>
      </c>
      <c r="D10059" s="1">
        <v>1.0</v>
      </c>
      <c r="E10059" s="1">
        <v>27649.0</v>
      </c>
      <c r="F10059" s="10">
        <f t="shared" si="1"/>
        <v>1</v>
      </c>
      <c r="G10059" s="10" t="str">
        <f t="array" ref="G10059">index('Player ID'!C:C,match(E10059,'Player ID'!B:B,0))</f>
        <v>#N/A</v>
      </c>
    </row>
    <row r="10060">
      <c r="A10060" s="76">
        <v>45832.0</v>
      </c>
      <c r="B10060" s="1" t="s">
        <v>118</v>
      </c>
      <c r="C10060" s="1" t="s">
        <v>66</v>
      </c>
      <c r="D10060" s="1">
        <v>5.0</v>
      </c>
      <c r="E10060" s="1">
        <v>35333.0</v>
      </c>
      <c r="F10060" s="10">
        <f t="shared" si="1"/>
        <v>5</v>
      </c>
      <c r="G10060" s="10">
        <f t="array" ref="G10060">index('Player ID'!C:C,match(E10060,'Player ID'!B:B,0))</f>
        <v>695505</v>
      </c>
    </row>
    <row r="10061">
      <c r="A10061" s="76">
        <v>45832.0</v>
      </c>
      <c r="B10061" s="1" t="s">
        <v>199</v>
      </c>
      <c r="C10061" s="1" t="s">
        <v>29</v>
      </c>
      <c r="D10061" s="1">
        <v>1.0</v>
      </c>
      <c r="E10061" s="1">
        <v>17611.0</v>
      </c>
      <c r="F10061" s="10">
        <f t="shared" si="1"/>
        <v>1</v>
      </c>
      <c r="G10061" s="10">
        <f t="array" ref="G10061">index('Player ID'!C:C,match(E10061,'Player ID'!B:B,0))</f>
        <v>664199</v>
      </c>
    </row>
    <row r="10062">
      <c r="A10062" s="76">
        <v>45832.0</v>
      </c>
      <c r="B10062" s="1" t="s">
        <v>163</v>
      </c>
      <c r="C10062" s="1" t="s">
        <v>29</v>
      </c>
      <c r="D10062" s="1">
        <v>6.0</v>
      </c>
      <c r="E10062" s="1">
        <v>21455.0</v>
      </c>
      <c r="F10062" s="10">
        <f t="shared" si="1"/>
        <v>6</v>
      </c>
      <c r="G10062" s="10">
        <f t="array" ref="G10062">index('Player ID'!C:C,match(E10062,'Player ID'!B:B,0))</f>
        <v>663460</v>
      </c>
    </row>
    <row r="10063">
      <c r="A10063" s="76">
        <v>45832.0</v>
      </c>
      <c r="B10063" s="1" t="s">
        <v>293</v>
      </c>
      <c r="C10063" s="1" t="s">
        <v>29</v>
      </c>
      <c r="D10063" s="1">
        <v>1.0</v>
      </c>
      <c r="E10063" s="1">
        <v>21537.0</v>
      </c>
      <c r="F10063" s="10">
        <f t="shared" si="1"/>
        <v>1</v>
      </c>
      <c r="G10063" s="10">
        <f t="array" ref="G10063">index('Player ID'!C:C,match(E10063,'Player ID'!B:B,0))</f>
        <v>663738</v>
      </c>
    </row>
    <row r="10064">
      <c r="A10064" s="76">
        <v>45832.0</v>
      </c>
      <c r="B10064" s="1" t="s">
        <v>413</v>
      </c>
      <c r="C10064" s="1" t="s">
        <v>54</v>
      </c>
      <c r="D10064" s="1">
        <v>6.2</v>
      </c>
      <c r="E10064" s="1">
        <v>22543.0</v>
      </c>
      <c r="F10064" s="10">
        <f t="shared" si="1"/>
        <v>6.666666667</v>
      </c>
      <c r="G10064" s="10">
        <f t="array" ref="G10064">index('Player ID'!C:C,match(E10064,'Player ID'!B:B,0))</f>
        <v>671737</v>
      </c>
    </row>
    <row r="10065">
      <c r="A10065" s="76">
        <v>45832.0</v>
      </c>
      <c r="B10065" s="1" t="s">
        <v>442</v>
      </c>
      <c r="C10065" s="1" t="s">
        <v>29</v>
      </c>
      <c r="D10065" s="1">
        <v>1.0</v>
      </c>
      <c r="E10065" s="1">
        <v>25379.0</v>
      </c>
      <c r="F10065" s="10">
        <f t="shared" si="1"/>
        <v>1</v>
      </c>
      <c r="G10065" s="10">
        <f t="array" ref="G10065">index('Player ID'!C:C,match(E10065,'Player ID'!B:B,0))</f>
        <v>669674</v>
      </c>
    </row>
    <row r="10066">
      <c r="A10066" s="76">
        <v>45832.0</v>
      </c>
      <c r="B10066" s="1" t="s">
        <v>110</v>
      </c>
      <c r="C10066" s="1" t="s">
        <v>54</v>
      </c>
      <c r="D10066" s="1">
        <v>1.0</v>
      </c>
      <c r="E10066" s="1">
        <v>25679.0</v>
      </c>
      <c r="F10066" s="10">
        <f t="shared" si="1"/>
        <v>1</v>
      </c>
      <c r="G10066" s="10">
        <f t="array" ref="G10066">index('Player ID'!C:C,match(E10066,'Player ID'!B:B,0))</f>
        <v>687330</v>
      </c>
    </row>
    <row r="10067">
      <c r="A10067" s="76">
        <v>45832.0</v>
      </c>
      <c r="B10067" s="1" t="s">
        <v>257</v>
      </c>
      <c r="C10067" s="1" t="s">
        <v>54</v>
      </c>
      <c r="D10067" s="1">
        <v>1.0</v>
      </c>
      <c r="E10067" s="1">
        <v>27626.0</v>
      </c>
      <c r="F10067" s="10">
        <f t="shared" si="1"/>
        <v>1</v>
      </c>
      <c r="G10067" s="10">
        <f t="array" ref="G10067">index('Player ID'!C:C,match(E10067,'Player ID'!B:B,0))</f>
        <v>679358</v>
      </c>
    </row>
    <row r="10068">
      <c r="A10068" s="76">
        <v>45832.0</v>
      </c>
      <c r="B10068" s="1" t="s">
        <v>334</v>
      </c>
      <c r="C10068" s="1" t="s">
        <v>54</v>
      </c>
      <c r="D10068" s="1">
        <v>0.1</v>
      </c>
      <c r="E10068" s="1">
        <v>29770.0</v>
      </c>
      <c r="F10068" s="10">
        <f t="shared" si="1"/>
        <v>0.3333333333</v>
      </c>
      <c r="G10068" s="10">
        <f t="array" ref="G10068">index('Player ID'!C:C,match(E10068,'Player ID'!B:B,0))</f>
        <v>682254</v>
      </c>
    </row>
    <row r="10069">
      <c r="A10069" s="76">
        <v>45832.0</v>
      </c>
      <c r="B10069" s="1" t="s">
        <v>103</v>
      </c>
      <c r="C10069" s="1" t="s">
        <v>64</v>
      </c>
      <c r="D10069" s="1">
        <v>1.0</v>
      </c>
      <c r="E10069" s="1">
        <v>10197.0</v>
      </c>
      <c r="F10069" s="10">
        <f t="shared" si="1"/>
        <v>1</v>
      </c>
      <c r="G10069" s="10">
        <f t="array" ref="G10069">index('Player ID'!C:C,match(E10069,'Player ID'!B:B,0))</f>
        <v>571946</v>
      </c>
    </row>
    <row r="10070">
      <c r="A10070" s="76">
        <v>45832.0</v>
      </c>
      <c r="B10070" s="1" t="s">
        <v>219</v>
      </c>
      <c r="C10070" s="1" t="s">
        <v>64</v>
      </c>
      <c r="D10070" s="1">
        <v>0.2</v>
      </c>
      <c r="E10070" s="1">
        <v>16647.0</v>
      </c>
      <c r="F10070" s="10">
        <f t="shared" si="1"/>
        <v>0.6666666667</v>
      </c>
      <c r="G10070" s="10">
        <f t="array" ref="G10070">index('Player ID'!C:C,match(E10070,'Player ID'!B:B,0))</f>
        <v>657044</v>
      </c>
    </row>
    <row r="10071">
      <c r="A10071" s="76">
        <v>45832.0</v>
      </c>
      <c r="B10071" s="1" t="s">
        <v>489</v>
      </c>
      <c r="C10071" s="1" t="s">
        <v>64</v>
      </c>
      <c r="D10071" s="1">
        <v>0.2</v>
      </c>
      <c r="E10071" s="1">
        <v>17192.0</v>
      </c>
      <c r="F10071" s="10">
        <f t="shared" si="1"/>
        <v>0.6666666667</v>
      </c>
      <c r="G10071" s="10">
        <f t="array" ref="G10071">index('Player ID'!C:C,match(E10071,'Player ID'!B:B,0))</f>
        <v>656222</v>
      </c>
    </row>
    <row r="10072">
      <c r="A10072" s="76">
        <v>45832.0</v>
      </c>
      <c r="B10072" s="1" t="s">
        <v>116</v>
      </c>
      <c r="C10072" s="1" t="s">
        <v>78</v>
      </c>
      <c r="D10072" s="1">
        <v>1.0</v>
      </c>
      <c r="E10072" s="1">
        <v>20353.0</v>
      </c>
      <c r="F10072" s="10">
        <f t="shared" si="1"/>
        <v>1</v>
      </c>
      <c r="G10072" s="10">
        <f t="array" ref="G10072">index('Player ID'!C:C,match(E10072,'Player ID'!B:B,0))</f>
        <v>621051</v>
      </c>
    </row>
    <row r="10073">
      <c r="A10073" s="76">
        <v>45832.0</v>
      </c>
      <c r="B10073" s="1" t="s">
        <v>370</v>
      </c>
      <c r="C10073" s="1" t="s">
        <v>64</v>
      </c>
      <c r="D10073" s="1">
        <v>1.0</v>
      </c>
      <c r="E10073" s="1">
        <v>21924.0</v>
      </c>
      <c r="F10073" s="10">
        <f t="shared" si="1"/>
        <v>1</v>
      </c>
      <c r="G10073" s="10">
        <f t="array" ref="G10073">index('Player ID'!C:C,match(E10073,'Player ID'!B:B,0))</f>
        <v>666661</v>
      </c>
    </row>
    <row r="10074">
      <c r="A10074" s="76">
        <v>45832.0</v>
      </c>
      <c r="B10074" s="1" t="s">
        <v>93</v>
      </c>
      <c r="C10074" s="1" t="s">
        <v>64</v>
      </c>
      <c r="D10074" s="1">
        <v>5.0</v>
      </c>
      <c r="E10074" s="1">
        <v>26253.0</v>
      </c>
      <c r="F10074" s="10">
        <f t="shared" si="1"/>
        <v>5</v>
      </c>
      <c r="G10074" s="10">
        <f t="array" ref="G10074">index('Player ID'!C:C,match(E10074,'Player ID'!B:B,0))</f>
        <v>669194</v>
      </c>
    </row>
    <row r="10075">
      <c r="A10075" s="76">
        <v>45832.0</v>
      </c>
      <c r="B10075" s="1" t="s">
        <v>367</v>
      </c>
      <c r="C10075" s="1" t="s">
        <v>78</v>
      </c>
      <c r="D10075" s="1">
        <v>1.2</v>
      </c>
      <c r="E10075" s="1">
        <v>27668.0</v>
      </c>
      <c r="F10075" s="10">
        <f t="shared" si="1"/>
        <v>1.666666667</v>
      </c>
      <c r="G10075" s="10">
        <f t="array" ref="G10075">index('Player ID'!C:C,match(E10075,'Player ID'!B:B,0))</f>
        <v>685126</v>
      </c>
    </row>
    <row r="10076">
      <c r="A10076" s="76">
        <v>45832.0</v>
      </c>
      <c r="B10076" s="1" t="s">
        <v>545</v>
      </c>
      <c r="C10076" s="1" t="s">
        <v>64</v>
      </c>
      <c r="D10076" s="1">
        <v>0.2</v>
      </c>
      <c r="E10076" s="1">
        <v>29615.0</v>
      </c>
      <c r="F10076" s="10">
        <f t="shared" si="1"/>
        <v>0.6666666667</v>
      </c>
      <c r="G10076" s="10" t="str">
        <f t="array" ref="G10076">index('Player ID'!C:C,match(E10076,'Player ID'!B:B,0))</f>
        <v>#N/A</v>
      </c>
    </row>
    <row r="10077">
      <c r="A10077" s="76">
        <v>45832.0</v>
      </c>
      <c r="B10077" s="1" t="s">
        <v>317</v>
      </c>
      <c r="C10077" s="1" t="s">
        <v>78</v>
      </c>
      <c r="D10077" s="1">
        <v>1.0</v>
      </c>
      <c r="E10077" s="1">
        <v>29950.0</v>
      </c>
      <c r="F10077" s="10">
        <f t="shared" si="1"/>
        <v>1</v>
      </c>
      <c r="G10077" s="10">
        <f t="array" ref="G10077">index('Player ID'!C:C,match(E10077,'Player ID'!B:B,0))</f>
        <v>673929</v>
      </c>
    </row>
    <row r="10078">
      <c r="A10078" s="76">
        <v>45832.0</v>
      </c>
      <c r="B10078" s="1" t="s">
        <v>497</v>
      </c>
      <c r="C10078" s="1" t="s">
        <v>78</v>
      </c>
      <c r="D10078" s="1">
        <v>5.1</v>
      </c>
      <c r="E10078" s="1">
        <v>30105.0</v>
      </c>
      <c r="F10078" s="10">
        <f t="shared" si="1"/>
        <v>5.333333333</v>
      </c>
      <c r="G10078" s="10">
        <f t="array" ref="G10078">index('Player ID'!C:C,match(E10078,'Player ID'!B:B,0))</f>
        <v>678024</v>
      </c>
    </row>
    <row r="10079">
      <c r="A10079" s="76">
        <v>45832.0</v>
      </c>
      <c r="B10079" s="1" t="s">
        <v>272</v>
      </c>
      <c r="C10079" s="1" t="s">
        <v>37</v>
      </c>
      <c r="D10079" s="1">
        <v>5.0</v>
      </c>
      <c r="E10079" s="1">
        <v>15689.0</v>
      </c>
      <c r="F10079" s="10">
        <f t="shared" si="1"/>
        <v>5</v>
      </c>
      <c r="G10079" s="10">
        <f t="array" ref="G10079">index('Player ID'!C:C,match(E10079,'Player ID'!B:B,0))</f>
        <v>622491</v>
      </c>
    </row>
    <row r="10080">
      <c r="A10080" s="76">
        <v>45832.0</v>
      </c>
      <c r="B10080" s="1" t="s">
        <v>249</v>
      </c>
      <c r="C10080" s="1" t="s">
        <v>16</v>
      </c>
      <c r="D10080" s="1">
        <v>1.0</v>
      </c>
      <c r="E10080" s="1">
        <v>16727.0</v>
      </c>
      <c r="F10080" s="10">
        <f t="shared" si="1"/>
        <v>1</v>
      </c>
      <c r="G10080" s="10">
        <f t="array" ref="G10080">index('Player ID'!C:C,match(E10080,'Player ID'!B:B,0))</f>
        <v>592779</v>
      </c>
    </row>
    <row r="10081">
      <c r="A10081" s="76">
        <v>45832.0</v>
      </c>
      <c r="B10081" s="1" t="s">
        <v>53</v>
      </c>
      <c r="C10081" s="1" t="s">
        <v>37</v>
      </c>
      <c r="D10081" s="1">
        <v>0.2</v>
      </c>
      <c r="E10081" s="1">
        <v>17170.0</v>
      </c>
      <c r="F10081" s="10">
        <f t="shared" si="1"/>
        <v>0.6666666667</v>
      </c>
      <c r="G10081" s="10">
        <f t="array" ref="G10081">index('Player ID'!C:C,match(E10081,'Player ID'!B:B,0))</f>
        <v>642100</v>
      </c>
    </row>
    <row r="10082">
      <c r="A10082" s="76">
        <v>45832.0</v>
      </c>
      <c r="B10082" s="1" t="s">
        <v>133</v>
      </c>
      <c r="C10082" s="1" t="s">
        <v>16</v>
      </c>
      <c r="D10082" s="1">
        <v>5.0</v>
      </c>
      <c r="E10082" s="1">
        <v>20099.0</v>
      </c>
      <c r="F10082" s="10">
        <f t="shared" si="1"/>
        <v>5</v>
      </c>
      <c r="G10082" s="10">
        <f t="array" ref="G10082">index('Player ID'!C:C,match(E10082,'Player ID'!B:B,0))</f>
        <v>663978</v>
      </c>
    </row>
    <row r="10083">
      <c r="A10083" s="76">
        <v>45832.0</v>
      </c>
      <c r="B10083" s="1" t="s">
        <v>28</v>
      </c>
      <c r="C10083" s="1" t="s">
        <v>16</v>
      </c>
      <c r="D10083" s="1">
        <v>1.0</v>
      </c>
      <c r="E10083" s="1">
        <v>20253.0</v>
      </c>
      <c r="F10083" s="10">
        <f t="shared" si="1"/>
        <v>1</v>
      </c>
      <c r="G10083" s="10">
        <f t="array" ref="G10083">index('Player ID'!C:C,match(E10083,'Player ID'!B:B,0))</f>
        <v>643377</v>
      </c>
    </row>
    <row r="10084">
      <c r="A10084" s="76">
        <v>45832.0</v>
      </c>
      <c r="B10084" s="1" t="s">
        <v>670</v>
      </c>
      <c r="C10084" s="1" t="s">
        <v>37</v>
      </c>
      <c r="D10084" s="1">
        <v>1.0</v>
      </c>
      <c r="E10084" s="1">
        <v>20373.0</v>
      </c>
      <c r="F10084" s="10">
        <f t="shared" si="1"/>
        <v>1</v>
      </c>
      <c r="G10084" s="10">
        <f t="array" ref="G10084">index('Player ID'!C:C,match(E10084,'Player ID'!B:B,0))</f>
        <v>662253</v>
      </c>
    </row>
    <row r="10085">
      <c r="A10085" s="76">
        <v>45832.0</v>
      </c>
      <c r="B10085" s="1" t="s">
        <v>122</v>
      </c>
      <c r="C10085" s="1" t="s">
        <v>16</v>
      </c>
      <c r="D10085" s="1">
        <v>1.0</v>
      </c>
      <c r="E10085" s="1">
        <v>21029.0</v>
      </c>
      <c r="F10085" s="10">
        <f t="shared" si="1"/>
        <v>1</v>
      </c>
      <c r="G10085" s="10">
        <f t="array" ref="G10085">index('Player ID'!C:C,match(E10085,'Player ID'!B:B,0))</f>
        <v>661395</v>
      </c>
    </row>
    <row r="10086">
      <c r="A10086" s="76">
        <v>45832.0</v>
      </c>
      <c r="B10086" s="1" t="s">
        <v>101</v>
      </c>
      <c r="C10086" s="1" t="s">
        <v>37</v>
      </c>
      <c r="D10086" s="1">
        <v>1.1</v>
      </c>
      <c r="E10086" s="1">
        <v>22915.0</v>
      </c>
      <c r="F10086" s="10">
        <f t="shared" si="1"/>
        <v>1.333333333</v>
      </c>
      <c r="G10086" s="10">
        <f t="array" ref="G10086">index('Player ID'!C:C,match(E10086,'Player ID'!B:B,0))</f>
        <v>672841</v>
      </c>
    </row>
    <row r="10087">
      <c r="A10087" s="76">
        <v>45832.0</v>
      </c>
      <c r="B10087" s="1" t="s">
        <v>254</v>
      </c>
      <c r="C10087" s="1" t="s">
        <v>37</v>
      </c>
      <c r="D10087" s="1">
        <v>1.0</v>
      </c>
      <c r="E10087" s="1">
        <v>25756.0</v>
      </c>
      <c r="F10087" s="10">
        <f t="shared" si="1"/>
        <v>1</v>
      </c>
      <c r="G10087" s="10">
        <f t="array" ref="G10087">index('Player ID'!C:C,match(E10087,'Player ID'!B:B,0))</f>
        <v>666374</v>
      </c>
    </row>
    <row r="10088">
      <c r="A10088" s="76">
        <v>45832.0</v>
      </c>
      <c r="B10088" s="1" t="s">
        <v>47</v>
      </c>
      <c r="C10088" s="1" t="s">
        <v>16</v>
      </c>
      <c r="D10088" s="1">
        <v>1.0</v>
      </c>
      <c r="E10088" s="1">
        <v>27691.0</v>
      </c>
      <c r="F10088" s="10">
        <f t="shared" si="1"/>
        <v>1</v>
      </c>
      <c r="G10088" s="10">
        <f t="array" ref="G10088">index('Player ID'!C:C,match(E10088,'Player ID'!B:B,0))</f>
        <v>686973</v>
      </c>
    </row>
    <row r="10089">
      <c r="A10089" s="76">
        <v>45832.0</v>
      </c>
      <c r="B10089" s="1" t="s">
        <v>724</v>
      </c>
      <c r="C10089" s="1" t="s">
        <v>14</v>
      </c>
      <c r="D10089" s="1">
        <v>1.0</v>
      </c>
      <c r="E10089" s="1">
        <v>15094.0</v>
      </c>
      <c r="F10089" s="10">
        <f t="shared" si="1"/>
        <v>1</v>
      </c>
      <c r="G10089" s="10">
        <f t="array" ref="G10089">index('Player ID'!C:C,match(E10089,'Player ID'!B:B,0))</f>
        <v>642239</v>
      </c>
    </row>
    <row r="10090">
      <c r="A10090" s="76">
        <v>45832.0</v>
      </c>
      <c r="B10090" s="1" t="s">
        <v>256</v>
      </c>
      <c r="C10090" s="1" t="s">
        <v>60</v>
      </c>
      <c r="D10090" s="1">
        <v>4.0</v>
      </c>
      <c r="E10090" s="1">
        <v>15423.0</v>
      </c>
      <c r="F10090" s="10">
        <f t="shared" si="1"/>
        <v>4</v>
      </c>
      <c r="G10090" s="10">
        <f t="array" ref="G10090">index('Player ID'!C:C,match(E10090,'Player ID'!B:B,0))</f>
        <v>571760</v>
      </c>
    </row>
    <row r="10091">
      <c r="A10091" s="76">
        <v>45832.0</v>
      </c>
      <c r="B10091" s="1" t="s">
        <v>180</v>
      </c>
      <c r="C10091" s="1" t="s">
        <v>14</v>
      </c>
      <c r="D10091" s="1">
        <v>5.0</v>
      </c>
      <c r="E10091" s="1">
        <v>18679.0</v>
      </c>
      <c r="F10091" s="10">
        <f t="shared" si="1"/>
        <v>5</v>
      </c>
      <c r="G10091" s="10">
        <f t="array" ref="G10091">index('Player ID'!C:C,match(E10091,'Player ID'!B:B,0))</f>
        <v>642547</v>
      </c>
    </row>
    <row r="10092">
      <c r="A10092" s="76">
        <v>45832.0</v>
      </c>
      <c r="B10092" s="1" t="s">
        <v>318</v>
      </c>
      <c r="C10092" s="1" t="s">
        <v>14</v>
      </c>
      <c r="D10092" s="1">
        <v>1.0</v>
      </c>
      <c r="E10092" s="1">
        <v>20546.0</v>
      </c>
      <c r="F10092" s="10">
        <f t="shared" si="1"/>
        <v>1</v>
      </c>
      <c r="G10092" s="10">
        <f t="array" ref="G10092">index('Player ID'!C:C,match(E10092,'Player ID'!B:B,0))</f>
        <v>681982</v>
      </c>
    </row>
    <row r="10093">
      <c r="A10093" s="76">
        <v>45832.0</v>
      </c>
      <c r="B10093" s="1" t="s">
        <v>463</v>
      </c>
      <c r="C10093" s="1" t="s">
        <v>60</v>
      </c>
      <c r="D10093" s="1">
        <v>0.1</v>
      </c>
      <c r="E10093" s="1">
        <v>21544.0</v>
      </c>
      <c r="F10093" s="10">
        <f t="shared" si="1"/>
        <v>0.3333333333</v>
      </c>
      <c r="G10093" s="10">
        <f t="array" ref="G10093">index('Player ID'!C:C,match(E10093,'Player ID'!B:B,0))</f>
        <v>663767</v>
      </c>
    </row>
    <row r="10094">
      <c r="A10094" s="76">
        <v>45832.0</v>
      </c>
      <c r="B10094" s="1" t="s">
        <v>279</v>
      </c>
      <c r="C10094" s="1" t="s">
        <v>14</v>
      </c>
      <c r="D10094" s="1">
        <v>1.0</v>
      </c>
      <c r="E10094" s="1">
        <v>25327.0</v>
      </c>
      <c r="F10094" s="10">
        <f t="shared" si="1"/>
        <v>1</v>
      </c>
      <c r="G10094" s="10">
        <f t="array" ref="G10094">index('Player ID'!C:C,match(E10094,'Player ID'!B:B,0))</f>
        <v>682842</v>
      </c>
    </row>
    <row r="10095">
      <c r="A10095" s="76">
        <v>45832.0</v>
      </c>
      <c r="B10095" s="1" t="s">
        <v>418</v>
      </c>
      <c r="C10095" s="1" t="s">
        <v>14</v>
      </c>
      <c r="D10095" s="1">
        <v>1.0</v>
      </c>
      <c r="E10095" s="1">
        <v>27517.0</v>
      </c>
      <c r="F10095" s="10">
        <f t="shared" si="1"/>
        <v>1</v>
      </c>
      <c r="G10095" s="10">
        <f t="array" ref="G10095">index('Player ID'!C:C,match(E10095,'Player ID'!B:B,0))</f>
        <v>657649</v>
      </c>
    </row>
    <row r="10096">
      <c r="A10096" s="76">
        <v>45832.0</v>
      </c>
      <c r="B10096" s="1" t="s">
        <v>267</v>
      </c>
      <c r="C10096" s="1" t="s">
        <v>60</v>
      </c>
      <c r="D10096" s="1">
        <v>1.2</v>
      </c>
      <c r="E10096" s="1">
        <v>27572.0</v>
      </c>
      <c r="F10096" s="10">
        <f t="shared" si="1"/>
        <v>1.666666667</v>
      </c>
      <c r="G10096" s="10">
        <f t="array" ref="G10096">index('Player ID'!C:C,match(E10096,'Player ID'!B:B,0))</f>
        <v>669387</v>
      </c>
    </row>
    <row r="10097">
      <c r="A10097" s="76">
        <v>45832.0</v>
      </c>
      <c r="B10097" s="1" t="s">
        <v>792</v>
      </c>
      <c r="C10097" s="1" t="s">
        <v>60</v>
      </c>
      <c r="D10097" s="1">
        <v>2.0</v>
      </c>
      <c r="E10097" s="1">
        <v>31501.0</v>
      </c>
      <c r="F10097" s="10">
        <f t="shared" si="1"/>
        <v>2</v>
      </c>
      <c r="G10097" s="10">
        <f t="array" ref="G10097">index('Player ID'!C:C,match(E10097,'Player ID'!B:B,0))</f>
        <v>690382</v>
      </c>
    </row>
    <row r="10098">
      <c r="A10098" s="76">
        <v>45832.0</v>
      </c>
      <c r="B10098" s="1" t="s">
        <v>460</v>
      </c>
      <c r="C10098" s="1" t="s">
        <v>34</v>
      </c>
      <c r="D10098" s="1">
        <v>1.0</v>
      </c>
      <c r="E10098" s="1">
        <v>7005.0</v>
      </c>
      <c r="F10098" s="10">
        <f t="shared" si="1"/>
        <v>1</v>
      </c>
      <c r="G10098" s="10">
        <f t="array" ref="G10098">index('Player ID'!C:C,match(E10098,'Player ID'!B:B,0))</f>
        <v>519151</v>
      </c>
    </row>
    <row r="10099">
      <c r="A10099" s="76">
        <v>45832.0</v>
      </c>
      <c r="B10099" s="1" t="s">
        <v>71</v>
      </c>
      <c r="C10099" s="1" t="s">
        <v>34</v>
      </c>
      <c r="D10099" s="1">
        <v>1.0</v>
      </c>
      <c r="E10099" s="1">
        <v>10078.0</v>
      </c>
      <c r="F10099" s="10">
        <f t="shared" si="1"/>
        <v>1</v>
      </c>
      <c r="G10099" s="10">
        <f t="array" ref="G10099">index('Player ID'!C:C,match(E10099,'Player ID'!B:B,0))</f>
        <v>573204</v>
      </c>
    </row>
    <row r="10100">
      <c r="A10100" s="76">
        <v>45832.0</v>
      </c>
      <c r="B10100" s="1" t="s">
        <v>203</v>
      </c>
      <c r="C10100" s="1" t="s">
        <v>34</v>
      </c>
      <c r="D10100" s="1">
        <v>1.0</v>
      </c>
      <c r="E10100" s="1">
        <v>11426.0</v>
      </c>
      <c r="F10100" s="10">
        <f t="shared" si="1"/>
        <v>1</v>
      </c>
      <c r="G10100" s="10">
        <f t="array" ref="G10100">index('Player ID'!C:C,match(E10100,'Player ID'!B:B,0))</f>
        <v>519141</v>
      </c>
    </row>
    <row r="10101">
      <c r="A10101" s="76">
        <v>45832.0</v>
      </c>
      <c r="B10101" s="1" t="s">
        <v>99</v>
      </c>
      <c r="C10101" s="1" t="s">
        <v>34</v>
      </c>
      <c r="D10101" s="1">
        <v>4.0</v>
      </c>
      <c r="E10101" s="1">
        <v>11674.0</v>
      </c>
      <c r="F10101" s="10">
        <f t="shared" si="1"/>
        <v>4</v>
      </c>
      <c r="G10101" s="10">
        <f t="array" ref="G10101">index('Player ID'!C:C,match(E10101,'Player ID'!B:B,0))</f>
        <v>592791</v>
      </c>
    </row>
    <row r="10102">
      <c r="A10102" s="76">
        <v>45832.0</v>
      </c>
      <c r="B10102" s="1" t="s">
        <v>83</v>
      </c>
      <c r="C10102" s="1" t="s">
        <v>72</v>
      </c>
      <c r="D10102" s="1">
        <v>1.1</v>
      </c>
      <c r="E10102" s="1">
        <v>13361.0</v>
      </c>
      <c r="F10102" s="10">
        <f t="shared" si="1"/>
        <v>1.333333333</v>
      </c>
      <c r="G10102" s="10">
        <f t="array" ref="G10102">index('Player ID'!C:C,match(E10102,'Player ID'!B:B,0))</f>
        <v>571927</v>
      </c>
    </row>
    <row r="10103">
      <c r="A10103" s="76">
        <v>45832.0</v>
      </c>
      <c r="B10103" s="1" t="s">
        <v>462</v>
      </c>
      <c r="C10103" s="1" t="s">
        <v>34</v>
      </c>
      <c r="D10103" s="1">
        <v>1.0</v>
      </c>
      <c r="E10103" s="1">
        <v>13896.0</v>
      </c>
      <c r="F10103" s="10">
        <f t="shared" si="1"/>
        <v>1</v>
      </c>
      <c r="G10103" s="10">
        <f t="array" ref="G10103">index('Player ID'!C:C,match(E10103,'Player ID'!B:B,0))</f>
        <v>623167</v>
      </c>
    </row>
    <row r="10104">
      <c r="A10104" s="76">
        <v>45832.0</v>
      </c>
      <c r="B10104" s="1" t="s">
        <v>190</v>
      </c>
      <c r="C10104" s="1" t="s">
        <v>72</v>
      </c>
      <c r="D10104" s="1">
        <v>1.1</v>
      </c>
      <c r="E10104" s="1">
        <v>18064.0</v>
      </c>
      <c r="F10104" s="10">
        <f t="shared" si="1"/>
        <v>1.333333333</v>
      </c>
      <c r="G10104" s="10">
        <f t="array" ref="G10104">index('Player ID'!C:C,match(E10104,'Player ID'!B:B,0))</f>
        <v>664208</v>
      </c>
    </row>
    <row r="10105">
      <c r="A10105" s="76">
        <v>45832.0</v>
      </c>
      <c r="B10105" s="1" t="s">
        <v>270</v>
      </c>
      <c r="C10105" s="1" t="s">
        <v>72</v>
      </c>
      <c r="D10105" s="1">
        <v>1.0</v>
      </c>
      <c r="E10105" s="1">
        <v>18138.0</v>
      </c>
      <c r="F10105" s="10">
        <f t="shared" si="1"/>
        <v>1</v>
      </c>
      <c r="G10105" s="10">
        <f t="array" ref="G10105">index('Player ID'!C:C,match(E10105,'Player ID'!B:B,0))</f>
        <v>664854</v>
      </c>
    </row>
    <row r="10106">
      <c r="A10106" s="76">
        <v>45832.0</v>
      </c>
      <c r="B10106" s="1" t="s">
        <v>193</v>
      </c>
      <c r="C10106" s="1" t="s">
        <v>72</v>
      </c>
      <c r="D10106" s="1">
        <v>0.2</v>
      </c>
      <c r="E10106" s="1">
        <v>19574.0</v>
      </c>
      <c r="F10106" s="10">
        <f t="shared" si="1"/>
        <v>0.6666666667</v>
      </c>
      <c r="G10106" s="10">
        <f t="array" ref="G10106">index('Player ID'!C:C,match(E10106,'Player ID'!B:B,0))</f>
        <v>668941</v>
      </c>
    </row>
    <row r="10107">
      <c r="A10107" s="76">
        <v>45832.0</v>
      </c>
      <c r="B10107" s="1" t="s">
        <v>145</v>
      </c>
      <c r="C10107" s="1" t="s">
        <v>72</v>
      </c>
      <c r="D10107" s="1">
        <v>4.2</v>
      </c>
      <c r="E10107" s="1">
        <v>29869.0</v>
      </c>
      <c r="F10107" s="10">
        <f t="shared" si="1"/>
        <v>4.666666667</v>
      </c>
      <c r="G10107" s="10">
        <f t="array" ref="G10107">index('Player ID'!C:C,match(E10107,'Player ID'!B:B,0))</f>
        <v>700241</v>
      </c>
    </row>
    <row r="10108">
      <c r="A10108" s="76">
        <v>45832.0</v>
      </c>
      <c r="B10108" s="1" t="s">
        <v>59</v>
      </c>
      <c r="C10108" s="1" t="s">
        <v>39</v>
      </c>
      <c r="D10108" s="1">
        <v>1.0</v>
      </c>
      <c r="E10108" s="1">
        <v>14212.0</v>
      </c>
      <c r="F10108" s="10">
        <f t="shared" si="1"/>
        <v>1</v>
      </c>
      <c r="G10108" s="10">
        <f t="array" ref="G10108">index('Player ID'!C:C,match(E10108,'Player ID'!B:B,0))</f>
        <v>623352</v>
      </c>
    </row>
    <row r="10109">
      <c r="A10109" s="76">
        <v>45832.0</v>
      </c>
      <c r="B10109" s="1" t="s">
        <v>210</v>
      </c>
      <c r="C10109" s="1" t="s">
        <v>39</v>
      </c>
      <c r="D10109" s="1">
        <v>1.0</v>
      </c>
      <c r="E10109" s="1">
        <v>16609.0</v>
      </c>
      <c r="F10109" s="10">
        <f t="shared" si="1"/>
        <v>1</v>
      </c>
      <c r="G10109" s="10">
        <f t="array" ref="G10109">index('Player ID'!C:C,match(E10109,'Player ID'!B:B,0))</f>
        <v>650556</v>
      </c>
    </row>
    <row r="10110">
      <c r="A10110" s="76">
        <v>45832.0</v>
      </c>
      <c r="B10110" s="1" t="s">
        <v>827</v>
      </c>
      <c r="C10110" s="1" t="s">
        <v>45</v>
      </c>
      <c r="D10110" s="1">
        <v>7.2</v>
      </c>
      <c r="E10110" s="1">
        <v>17277.0</v>
      </c>
      <c r="F10110" s="10">
        <f t="shared" si="1"/>
        <v>7.666666667</v>
      </c>
      <c r="G10110" s="10">
        <f t="array" ref="G10110">index('Player ID'!C:C,match(E10110,'Player ID'!B:B,0))</f>
        <v>624133</v>
      </c>
    </row>
    <row r="10111">
      <c r="A10111" s="76">
        <v>45832.0</v>
      </c>
      <c r="B10111" s="1" t="s">
        <v>113</v>
      </c>
      <c r="C10111" s="1" t="s">
        <v>39</v>
      </c>
      <c r="D10111" s="1">
        <v>7.0</v>
      </c>
      <c r="E10111" s="1">
        <v>17295.0</v>
      </c>
      <c r="F10111" s="10">
        <f t="shared" si="1"/>
        <v>7</v>
      </c>
      <c r="G10111" s="10">
        <f t="array" ref="G10111">index('Player ID'!C:C,match(E10111,'Player ID'!B:B,0))</f>
        <v>664285</v>
      </c>
    </row>
    <row r="10112">
      <c r="A10112" s="76">
        <v>45832.0</v>
      </c>
      <c r="B10112" s="1" t="s">
        <v>165</v>
      </c>
      <c r="C10112" s="1" t="s">
        <v>45</v>
      </c>
      <c r="D10112" s="1">
        <v>0.1</v>
      </c>
      <c r="E10112" s="1">
        <v>31776.0</v>
      </c>
      <c r="F10112" s="10">
        <f t="shared" si="1"/>
        <v>0.3333333333</v>
      </c>
      <c r="G10112" s="10">
        <f t="array" ref="G10112">index('Player ID'!C:C,match(E10112,'Player ID'!B:B,0))</f>
        <v>689147</v>
      </c>
    </row>
    <row r="10113">
      <c r="A10113" s="76">
        <v>45832.0</v>
      </c>
      <c r="B10113" s="1" t="s">
        <v>392</v>
      </c>
      <c r="C10113" s="1" t="s">
        <v>33</v>
      </c>
      <c r="D10113" s="1">
        <v>0.2</v>
      </c>
      <c r="E10113" s="1">
        <v>9073.0</v>
      </c>
      <c r="F10113" s="10">
        <f t="shared" si="1"/>
        <v>0.6666666667</v>
      </c>
      <c r="G10113" s="10">
        <f t="array" ref="G10113">index('Player ID'!C:C,match(E10113,'Player ID'!B:B,0))</f>
        <v>489446</v>
      </c>
    </row>
    <row r="10114">
      <c r="A10114" s="76">
        <v>45832.0</v>
      </c>
      <c r="B10114" s="1" t="s">
        <v>310</v>
      </c>
      <c r="C10114" s="1" t="s">
        <v>33</v>
      </c>
      <c r="D10114" s="1">
        <v>0.2</v>
      </c>
      <c r="E10114" s="1">
        <v>14706.0</v>
      </c>
      <c r="F10114" s="10">
        <f t="shared" si="1"/>
        <v>0.6666666667</v>
      </c>
      <c r="G10114" s="10">
        <f t="array" ref="G10114">index('Player ID'!C:C,match(E10114,'Player ID'!B:B,0))</f>
        <v>607455</v>
      </c>
    </row>
    <row r="10115">
      <c r="A10115" s="76">
        <v>45832.0</v>
      </c>
      <c r="B10115" s="1" t="s">
        <v>746</v>
      </c>
      <c r="C10115" s="1" t="s">
        <v>75</v>
      </c>
      <c r="D10115" s="1">
        <v>4.0</v>
      </c>
      <c r="E10115" s="1">
        <v>15038.0</v>
      </c>
      <c r="F10115" s="10">
        <f t="shared" si="1"/>
        <v>4</v>
      </c>
      <c r="G10115" s="10">
        <f t="array" ref="G10115">index('Player ID'!C:C,match(E10115,'Player ID'!B:B,0))</f>
        <v>608566</v>
      </c>
    </row>
    <row r="10116">
      <c r="A10116" s="76">
        <v>45832.0</v>
      </c>
      <c r="B10116" s="1" t="s">
        <v>451</v>
      </c>
      <c r="C10116" s="1" t="s">
        <v>75</v>
      </c>
      <c r="D10116" s="1">
        <v>1.2</v>
      </c>
      <c r="E10116" s="1">
        <v>17556.0</v>
      </c>
      <c r="F10116" s="10">
        <f t="shared" si="1"/>
        <v>1.666666667</v>
      </c>
      <c r="G10116" s="10">
        <f t="array" ref="G10116">index('Player ID'!C:C,match(E10116,'Player ID'!B:B,0))</f>
        <v>623474</v>
      </c>
    </row>
    <row r="10117">
      <c r="A10117" s="76">
        <v>45832.0</v>
      </c>
      <c r="B10117" s="1" t="s">
        <v>32</v>
      </c>
      <c r="C10117" s="1" t="s">
        <v>33</v>
      </c>
      <c r="D10117" s="1">
        <v>1.1</v>
      </c>
      <c r="E10117" s="1">
        <v>17586.0</v>
      </c>
      <c r="F10117" s="10">
        <f t="shared" si="1"/>
        <v>1.333333333</v>
      </c>
      <c r="G10117" s="10">
        <f t="array" ref="G10117">index('Player ID'!C:C,match(E10117,'Player ID'!B:B,0))</f>
        <v>656945</v>
      </c>
    </row>
    <row r="10118">
      <c r="A10118" s="76">
        <v>45832.0</v>
      </c>
      <c r="B10118" s="1" t="s">
        <v>305</v>
      </c>
      <c r="C10118" s="1" t="s">
        <v>75</v>
      </c>
      <c r="D10118" s="1">
        <v>1.1</v>
      </c>
      <c r="E10118" s="1">
        <v>22200.0</v>
      </c>
      <c r="F10118" s="10">
        <f t="shared" si="1"/>
        <v>1.333333333</v>
      </c>
      <c r="G10118" s="10">
        <f t="array" ref="G10118">index('Player ID'!C:C,match(E10118,'Player ID'!B:B,0))</f>
        <v>669020</v>
      </c>
    </row>
    <row r="10119">
      <c r="A10119" s="76">
        <v>45832.0</v>
      </c>
      <c r="B10119" s="1" t="s">
        <v>468</v>
      </c>
      <c r="C10119" s="1" t="s">
        <v>75</v>
      </c>
      <c r="D10119" s="1">
        <v>1.0</v>
      </c>
      <c r="E10119" s="1">
        <v>23237.0</v>
      </c>
      <c r="F10119" s="10">
        <f t="shared" si="1"/>
        <v>1</v>
      </c>
      <c r="G10119" s="10">
        <f t="array" ref="G10119">index('Player ID'!C:C,match(E10119,'Player ID'!B:B,0))</f>
        <v>675848</v>
      </c>
    </row>
    <row r="10120">
      <c r="A10120" s="76">
        <v>45832.0</v>
      </c>
      <c r="B10120" s="1" t="s">
        <v>92</v>
      </c>
      <c r="C10120" s="1" t="s">
        <v>33</v>
      </c>
      <c r="D10120" s="1">
        <v>0.1</v>
      </c>
      <c r="E10120" s="1">
        <v>25007.0</v>
      </c>
      <c r="F10120" s="10">
        <f t="shared" si="1"/>
        <v>0.3333333333</v>
      </c>
      <c r="G10120" s="10">
        <f t="array" ref="G10120">index('Player ID'!C:C,match(E10120,'Player ID'!B:B,0))</f>
        <v>681911</v>
      </c>
    </row>
    <row r="10121">
      <c r="A10121" s="76">
        <v>45832.0</v>
      </c>
      <c r="B10121" s="1" t="s">
        <v>486</v>
      </c>
      <c r="C10121" s="1" t="s">
        <v>75</v>
      </c>
      <c r="D10121" s="1">
        <v>1.0</v>
      </c>
      <c r="E10121" s="1">
        <v>26790.0</v>
      </c>
      <c r="F10121" s="10">
        <f t="shared" si="1"/>
        <v>1</v>
      </c>
      <c r="G10121" s="10">
        <f t="array" ref="G10121">index('Player ID'!C:C,match(E10121,'Player ID'!B:B,0))</f>
        <v>683409</v>
      </c>
    </row>
    <row r="10122">
      <c r="A10122" s="76">
        <v>45832.0</v>
      </c>
      <c r="B10122" s="1" t="s">
        <v>206</v>
      </c>
      <c r="C10122" s="1" t="s">
        <v>33</v>
      </c>
      <c r="D10122" s="1">
        <v>1.0</v>
      </c>
      <c r="E10122" s="1">
        <v>30249.0</v>
      </c>
      <c r="F10122" s="10">
        <f t="shared" si="1"/>
        <v>1</v>
      </c>
      <c r="G10122" s="10">
        <f t="array" ref="G10122">index('Player ID'!C:C,match(E10122,'Player ID'!B:B,0))</f>
        <v>676263</v>
      </c>
    </row>
    <row r="10123">
      <c r="A10123" s="76">
        <v>45832.0</v>
      </c>
      <c r="B10123" s="1" t="s">
        <v>198</v>
      </c>
      <c r="C10123" s="1" t="s">
        <v>33</v>
      </c>
      <c r="D10123" s="1">
        <v>5.0</v>
      </c>
      <c r="E10123" s="1">
        <v>31204.0</v>
      </c>
      <c r="F10123" s="10">
        <f t="shared" si="1"/>
        <v>5</v>
      </c>
      <c r="G10123" s="10">
        <f t="array" ref="G10123">index('Player ID'!C:C,match(E10123,'Player ID'!B:B,0))</f>
        <v>680736</v>
      </c>
    </row>
    <row r="10124">
      <c r="A10124" s="76">
        <v>45832.0</v>
      </c>
      <c r="B10124" s="1" t="s">
        <v>154</v>
      </c>
      <c r="C10124" s="1" t="s">
        <v>25</v>
      </c>
      <c r="D10124" s="1">
        <v>1.0</v>
      </c>
      <c r="E10124" s="1">
        <v>3096.0</v>
      </c>
      <c r="F10124" s="10">
        <f t="shared" si="1"/>
        <v>1</v>
      </c>
      <c r="G10124" s="10">
        <f t="array" ref="G10124">index('Player ID'!C:C,match(E10124,'Player ID'!B:B,0))</f>
        <v>445276</v>
      </c>
    </row>
    <row r="10125">
      <c r="A10125" s="76">
        <v>45832.0</v>
      </c>
      <c r="B10125" s="1" t="s">
        <v>230</v>
      </c>
      <c r="C10125" s="1" t="s">
        <v>22</v>
      </c>
      <c r="D10125" s="1">
        <v>0.1</v>
      </c>
      <c r="E10125" s="1">
        <v>4301.0</v>
      </c>
      <c r="F10125" s="10">
        <f t="shared" si="1"/>
        <v>0.3333333333</v>
      </c>
      <c r="G10125" s="10">
        <f t="array" ref="G10125">index('Player ID'!C:C,match(E10125,'Player ID'!B:B,0))</f>
        <v>458677</v>
      </c>
    </row>
    <row r="10126">
      <c r="A10126" s="76">
        <v>45832.0</v>
      </c>
      <c r="B10126" s="1" t="s">
        <v>834</v>
      </c>
      <c r="C10126" s="1" t="s">
        <v>25</v>
      </c>
      <c r="D10126" s="1">
        <v>1.0</v>
      </c>
      <c r="E10126" s="1">
        <v>7836.0</v>
      </c>
      <c r="F10126" s="10">
        <f t="shared" si="1"/>
        <v>1</v>
      </c>
      <c r="G10126" s="10" t="str">
        <f t="array" ref="G10126">index('Player ID'!C:C,match(E10126,'Player ID'!B:B,0))</f>
        <v>#N/A</v>
      </c>
    </row>
    <row r="10127">
      <c r="A10127" s="76">
        <v>45832.0</v>
      </c>
      <c r="B10127" s="1" t="s">
        <v>41</v>
      </c>
      <c r="C10127" s="1" t="s">
        <v>22</v>
      </c>
      <c r="D10127" s="1">
        <v>1.0</v>
      </c>
      <c r="E10127" s="1">
        <v>10233.0</v>
      </c>
      <c r="F10127" s="10">
        <f t="shared" si="1"/>
        <v>1</v>
      </c>
      <c r="G10127" s="10">
        <f t="array" ref="G10127">index('Player ID'!C:C,match(E10127,'Player ID'!B:B,0))</f>
        <v>547973</v>
      </c>
    </row>
    <row r="10128">
      <c r="A10128" s="76">
        <v>45832.0</v>
      </c>
      <c r="B10128" s="1" t="s">
        <v>278</v>
      </c>
      <c r="C10128" s="1" t="s">
        <v>25</v>
      </c>
      <c r="D10128" s="1">
        <v>4.2</v>
      </c>
      <c r="E10128" s="1">
        <v>12880.0</v>
      </c>
      <c r="F10128" s="10">
        <f t="shared" si="1"/>
        <v>4.666666667</v>
      </c>
      <c r="G10128" s="10">
        <f t="array" ref="G10128">index('Player ID'!C:C,match(E10128,'Player ID'!B:B,0))</f>
        <v>542881</v>
      </c>
    </row>
    <row r="10129">
      <c r="A10129" s="76">
        <v>45832.0</v>
      </c>
      <c r="B10129" s="1" t="s">
        <v>406</v>
      </c>
      <c r="C10129" s="1" t="s">
        <v>22</v>
      </c>
      <c r="D10129" s="1">
        <v>1.0</v>
      </c>
      <c r="E10129" s="1">
        <v>20375.0</v>
      </c>
      <c r="F10129" s="10">
        <f t="shared" si="1"/>
        <v>1</v>
      </c>
      <c r="G10129" s="10">
        <f t="array" ref="G10129">index('Player ID'!C:C,match(E10129,'Player ID'!B:B,0))</f>
        <v>669711</v>
      </c>
    </row>
    <row r="10130">
      <c r="A10130" s="76">
        <v>45832.0</v>
      </c>
      <c r="B10130" s="1" t="s">
        <v>283</v>
      </c>
      <c r="C10130" s="1" t="s">
        <v>25</v>
      </c>
      <c r="D10130" s="1">
        <v>1.1</v>
      </c>
      <c r="E10130" s="1">
        <v>21205.0</v>
      </c>
      <c r="F10130" s="10">
        <f t="shared" si="1"/>
        <v>1.333333333</v>
      </c>
      <c r="G10130" s="10">
        <f t="array" ref="G10130">index('Player ID'!C:C,match(E10130,'Player ID'!B:B,0))</f>
        <v>641401</v>
      </c>
    </row>
    <row r="10131">
      <c r="A10131" s="76">
        <v>45832.0</v>
      </c>
      <c r="B10131" s="1" t="s">
        <v>100</v>
      </c>
      <c r="C10131" s="1" t="s">
        <v>22</v>
      </c>
      <c r="D10131" s="1">
        <v>7.0</v>
      </c>
      <c r="E10131" s="1">
        <v>27463.0</v>
      </c>
      <c r="F10131" s="10">
        <f t="shared" si="1"/>
        <v>7</v>
      </c>
      <c r="G10131" s="10">
        <f t="array" ref="G10131">index('Player ID'!C:C,match(E10131,'Player ID'!B:B,0))</f>
        <v>676979</v>
      </c>
    </row>
    <row r="10132">
      <c r="A10132" s="76">
        <v>45832.0</v>
      </c>
      <c r="B10132" s="1" t="s">
        <v>24</v>
      </c>
      <c r="C10132" s="1" t="s">
        <v>25</v>
      </c>
      <c r="D10132" s="1">
        <v>1.0</v>
      </c>
      <c r="E10132" s="1">
        <v>27468.0</v>
      </c>
      <c r="F10132" s="10">
        <f t="shared" si="1"/>
        <v>1</v>
      </c>
      <c r="G10132" s="10">
        <f t="array" ref="G10132">index('Player ID'!C:C,match(E10132,'Player ID'!B:B,0))</f>
        <v>672282</v>
      </c>
    </row>
    <row r="10133">
      <c r="A10133" s="76">
        <v>45832.0</v>
      </c>
      <c r="B10133" s="1" t="s">
        <v>877</v>
      </c>
      <c r="C10133" s="1" t="s">
        <v>25</v>
      </c>
      <c r="D10133" s="1">
        <v>1.0</v>
      </c>
      <c r="E10133" s="1">
        <v>29754.0</v>
      </c>
      <c r="F10133" s="10">
        <f t="shared" si="1"/>
        <v>1</v>
      </c>
      <c r="G10133" s="10" t="str">
        <f t="array" ref="G10133">index('Player ID'!C:C,match(E10133,'Player ID'!B:B,0))</f>
        <v>#N/A</v>
      </c>
    </row>
    <row r="10134">
      <c r="A10134" s="76">
        <v>45832.0</v>
      </c>
      <c r="B10134" s="1" t="s">
        <v>342</v>
      </c>
      <c r="C10134" s="1" t="s">
        <v>26</v>
      </c>
      <c r="D10134" s="1">
        <v>1.2</v>
      </c>
      <c r="E10134" s="1">
        <v>11861.0</v>
      </c>
      <c r="F10134" s="10">
        <f t="shared" si="1"/>
        <v>1.666666667</v>
      </c>
      <c r="G10134" s="10">
        <f t="array" ref="G10134">index('Player ID'!C:C,match(E10134,'Player ID'!B:B,0))</f>
        <v>592094</v>
      </c>
    </row>
    <row r="10135">
      <c r="A10135" s="76">
        <v>45832.0</v>
      </c>
      <c r="B10135" s="1" t="s">
        <v>148</v>
      </c>
      <c r="C10135" s="1" t="s">
        <v>80</v>
      </c>
      <c r="D10135" s="1">
        <v>5.0</v>
      </c>
      <c r="E10135" s="1">
        <v>16977.0</v>
      </c>
      <c r="F10135" s="10">
        <f t="shared" si="1"/>
        <v>5</v>
      </c>
      <c r="G10135" s="10">
        <f t="array" ref="G10135">index('Player ID'!C:C,match(E10135,'Player ID'!B:B,0))</f>
        <v>592866</v>
      </c>
    </row>
    <row r="10136">
      <c r="A10136" s="76">
        <v>45832.0</v>
      </c>
      <c r="B10136" s="1" t="s">
        <v>49</v>
      </c>
      <c r="C10136" s="1" t="s">
        <v>26</v>
      </c>
      <c r="D10136" s="1">
        <v>2.0</v>
      </c>
      <c r="E10136" s="1">
        <v>20039.0</v>
      </c>
      <c r="F10136" s="10">
        <f t="shared" si="1"/>
        <v>2</v>
      </c>
      <c r="G10136" s="10">
        <f t="array" ref="G10136">index('Player ID'!C:C,match(E10136,'Player ID'!B:B,0))</f>
        <v>670970</v>
      </c>
    </row>
    <row r="10137">
      <c r="A10137" s="76">
        <v>45832.0</v>
      </c>
      <c r="B10137" s="1" t="s">
        <v>94</v>
      </c>
      <c r="C10137" s="1" t="s">
        <v>26</v>
      </c>
      <c r="D10137" s="1">
        <v>1.1</v>
      </c>
      <c r="E10137" s="1">
        <v>22210.0</v>
      </c>
      <c r="F10137" s="10">
        <f t="shared" si="1"/>
        <v>1.333333333</v>
      </c>
      <c r="G10137" s="10">
        <f t="array" ref="G10137">index('Player ID'!C:C,match(E10137,'Player ID'!B:B,0))</f>
        <v>669093</v>
      </c>
    </row>
    <row r="10138">
      <c r="A10138" s="76">
        <v>45832.0</v>
      </c>
      <c r="B10138" s="1" t="s">
        <v>508</v>
      </c>
      <c r="C10138" s="1" t="s">
        <v>80</v>
      </c>
      <c r="D10138" s="1">
        <v>1.0</v>
      </c>
      <c r="E10138" s="1">
        <v>23135.0</v>
      </c>
      <c r="F10138" s="10">
        <f t="shared" si="1"/>
        <v>1</v>
      </c>
      <c r="G10138" s="10">
        <f t="array" ref="G10138">index('Player ID'!C:C,match(E10138,'Player ID'!B:B,0))</f>
        <v>674285</v>
      </c>
    </row>
    <row r="10139">
      <c r="A10139" s="76">
        <v>45832.0</v>
      </c>
      <c r="B10139" s="1" t="s">
        <v>86</v>
      </c>
      <c r="C10139" s="1" t="s">
        <v>80</v>
      </c>
      <c r="D10139" s="1">
        <v>1.0</v>
      </c>
      <c r="E10139" s="1">
        <v>24017.0</v>
      </c>
      <c r="F10139" s="10">
        <f t="shared" si="1"/>
        <v>1</v>
      </c>
      <c r="G10139" s="10">
        <f t="array" ref="G10139">index('Player ID'!C:C,match(E10139,'Player ID'!B:B,0))</f>
        <v>678606</v>
      </c>
    </row>
    <row r="10140">
      <c r="A10140" s="76">
        <v>45832.0</v>
      </c>
      <c r="B10140" s="1" t="s">
        <v>507</v>
      </c>
      <c r="C10140" s="1" t="s">
        <v>80</v>
      </c>
      <c r="D10140" s="1">
        <v>1.0</v>
      </c>
      <c r="E10140" s="1">
        <v>27570.0</v>
      </c>
      <c r="F10140" s="10">
        <f t="shared" si="1"/>
        <v>1</v>
      </c>
      <c r="G10140" s="10">
        <f t="array" ref="G10140">index('Player ID'!C:C,match(E10140,'Player ID'!B:B,0))</f>
        <v>669371</v>
      </c>
    </row>
    <row r="10141">
      <c r="A10141" s="76">
        <v>45832.0</v>
      </c>
      <c r="B10141" s="1" t="s">
        <v>224</v>
      </c>
      <c r="C10141" s="1" t="s">
        <v>26</v>
      </c>
      <c r="D10141" s="1">
        <v>3.0</v>
      </c>
      <c r="E10141" s="1">
        <v>29863.0</v>
      </c>
      <c r="F10141" s="10">
        <f t="shared" si="1"/>
        <v>3</v>
      </c>
      <c r="G10141" s="10">
        <f t="array" ref="G10141">index('Player ID'!C:C,match(E10141,'Player ID'!B:B,0))</f>
        <v>686701</v>
      </c>
    </row>
    <row r="10142">
      <c r="A10142" s="76">
        <v>45832.0</v>
      </c>
      <c r="B10142" s="1" t="s">
        <v>81</v>
      </c>
      <c r="C10142" s="1" t="s">
        <v>26</v>
      </c>
      <c r="D10142" s="1">
        <v>1.0</v>
      </c>
      <c r="E10142" s="1">
        <v>30115.0</v>
      </c>
      <c r="F10142" s="10">
        <f t="shared" si="1"/>
        <v>1</v>
      </c>
      <c r="G10142" s="10">
        <f t="array" ref="G10142">index('Player ID'!C:C,match(E10142,'Player ID'!B:B,0))</f>
        <v>663158</v>
      </c>
    </row>
    <row r="10143">
      <c r="A10143" s="76">
        <v>45832.0</v>
      </c>
      <c r="B10143" s="1" t="s">
        <v>358</v>
      </c>
      <c r="C10143" s="1" t="s">
        <v>31</v>
      </c>
      <c r="D10143" s="1">
        <v>5.0</v>
      </c>
      <c r="E10143" s="1">
        <v>8700.0</v>
      </c>
      <c r="F10143" s="10">
        <f t="shared" si="1"/>
        <v>5</v>
      </c>
      <c r="G10143" s="10">
        <f t="array" ref="G10143">index('Player ID'!C:C,match(E10143,'Player ID'!B:B,0))</f>
        <v>434378</v>
      </c>
    </row>
    <row r="10144">
      <c r="A10144" s="76">
        <v>45832.0</v>
      </c>
      <c r="B10144" s="1" t="s">
        <v>464</v>
      </c>
      <c r="C10144" s="1" t="s">
        <v>36</v>
      </c>
      <c r="D10144" s="1">
        <v>4.2</v>
      </c>
      <c r="E10144" s="1">
        <v>19312.0</v>
      </c>
      <c r="F10144" s="10">
        <f t="shared" si="1"/>
        <v>4.666666667</v>
      </c>
      <c r="G10144" s="10">
        <f t="array" ref="G10144">index('Player ID'!C:C,match(E10144,'Player ID'!B:B,0))</f>
        <v>615698</v>
      </c>
    </row>
    <row r="10145">
      <c r="A10145" s="76">
        <v>45832.0</v>
      </c>
      <c r="B10145" s="1" t="s">
        <v>483</v>
      </c>
      <c r="C10145" s="1" t="s">
        <v>31</v>
      </c>
      <c r="D10145" s="1">
        <v>1.0</v>
      </c>
      <c r="E10145" s="1">
        <v>19320.0</v>
      </c>
      <c r="F10145" s="10">
        <f t="shared" si="1"/>
        <v>1</v>
      </c>
      <c r="G10145" s="10" t="str">
        <f t="array" ref="G10145">index('Player ID'!C:C,match(E10145,'Player ID'!B:B,0))</f>
        <v>#N/A</v>
      </c>
    </row>
    <row r="10146">
      <c r="A10146" s="76">
        <v>45832.0</v>
      </c>
      <c r="B10146" s="1" t="s">
        <v>89</v>
      </c>
      <c r="C10146" s="1" t="s">
        <v>36</v>
      </c>
      <c r="D10146" s="1">
        <v>1.1</v>
      </c>
      <c r="E10146" s="1">
        <v>19742.0</v>
      </c>
      <c r="F10146" s="10">
        <f t="shared" si="1"/>
        <v>1.333333333</v>
      </c>
      <c r="G10146" s="10">
        <f t="array" ref="G10146">index('Player ID'!C:C,match(E10146,'Player ID'!B:B,0))</f>
        <v>669622</v>
      </c>
    </row>
    <row r="10147">
      <c r="A10147" s="76">
        <v>45832.0</v>
      </c>
      <c r="B10147" s="1" t="s">
        <v>262</v>
      </c>
      <c r="C10147" s="1" t="s">
        <v>36</v>
      </c>
      <c r="D10147" s="1">
        <v>1.0</v>
      </c>
      <c r="E10147" s="1">
        <v>20116.0</v>
      </c>
      <c r="F10147" s="10">
        <f t="shared" si="1"/>
        <v>1</v>
      </c>
      <c r="G10147" s="10">
        <f t="array" ref="G10147">index('Player ID'!C:C,match(E10147,'Player ID'!B:B,0))</f>
        <v>676534</v>
      </c>
    </row>
    <row r="10148">
      <c r="A10148" s="76">
        <v>45832.0</v>
      </c>
      <c r="B10148" s="1" t="s">
        <v>403</v>
      </c>
      <c r="C10148" s="1" t="s">
        <v>31</v>
      </c>
      <c r="D10148" s="1">
        <v>1.0</v>
      </c>
      <c r="E10148" s="1">
        <v>20423.0</v>
      </c>
      <c r="F10148" s="10">
        <f t="shared" si="1"/>
        <v>1</v>
      </c>
      <c r="G10148" s="10">
        <f t="array" ref="G10148">index('Player ID'!C:C,match(E10148,'Player ID'!B:B,0))</f>
        <v>676254</v>
      </c>
    </row>
    <row r="10149">
      <c r="A10149" s="76">
        <v>45832.0</v>
      </c>
      <c r="B10149" s="1" t="s">
        <v>862</v>
      </c>
      <c r="C10149" s="1" t="s">
        <v>31</v>
      </c>
      <c r="D10149" s="1">
        <v>1.0</v>
      </c>
      <c r="E10149" s="1">
        <v>21481.0</v>
      </c>
      <c r="F10149" s="10">
        <f t="shared" si="1"/>
        <v>1</v>
      </c>
      <c r="G10149" s="10" t="str">
        <f t="array" ref="G10149">index('Player ID'!C:C,match(E10149,'Player ID'!B:B,0))</f>
        <v>#N/A</v>
      </c>
    </row>
    <row r="10150">
      <c r="A10150" s="76">
        <v>45832.0</v>
      </c>
      <c r="B10150" s="1" t="s">
        <v>123</v>
      </c>
      <c r="C10150" s="1" t="s">
        <v>36</v>
      </c>
      <c r="D10150" s="1">
        <v>0.2</v>
      </c>
      <c r="E10150" s="1">
        <v>24094.0</v>
      </c>
      <c r="F10150" s="10">
        <f t="shared" si="1"/>
        <v>0.6666666667</v>
      </c>
      <c r="G10150" s="10">
        <f t="array" ref="G10150">index('Player ID'!C:C,match(E10150,'Player ID'!B:B,0))</f>
        <v>678692</v>
      </c>
    </row>
    <row r="10151">
      <c r="A10151" s="76">
        <v>45832.0</v>
      </c>
      <c r="B10151" s="1" t="s">
        <v>276</v>
      </c>
      <c r="C10151" s="1" t="s">
        <v>31</v>
      </c>
      <c r="D10151" s="1">
        <v>1.0</v>
      </c>
      <c r="E10151" s="1">
        <v>30226.0</v>
      </c>
      <c r="F10151" s="10">
        <f t="shared" si="1"/>
        <v>1</v>
      </c>
      <c r="G10151" s="10">
        <f t="array" ref="G10151">index('Player ID'!C:C,match(E10151,'Player ID'!B:B,0))</f>
        <v>702352</v>
      </c>
    </row>
    <row r="10152">
      <c r="A10152" s="76">
        <v>45832.0</v>
      </c>
      <c r="B10152" s="1" t="s">
        <v>266</v>
      </c>
      <c r="C10152" s="1" t="s">
        <v>36</v>
      </c>
      <c r="D10152" s="1">
        <v>1.1</v>
      </c>
      <c r="E10152" s="1">
        <v>31815.0</v>
      </c>
      <c r="F10152" s="10">
        <f t="shared" si="1"/>
        <v>1.333333333</v>
      </c>
      <c r="G10152" s="10">
        <f t="array" ref="G10152">index('Player ID'!C:C,match(E10152,'Player ID'!B:B,0))</f>
        <v>806188</v>
      </c>
    </row>
    <row r="10153">
      <c r="A10153" s="76">
        <v>45833.0</v>
      </c>
      <c r="B10153" s="1" t="s">
        <v>447</v>
      </c>
      <c r="C10153" s="1" t="s">
        <v>64</v>
      </c>
      <c r="D10153" s="1">
        <v>1.0</v>
      </c>
      <c r="E10153" s="1">
        <v>13652.0</v>
      </c>
      <c r="F10153" s="10">
        <f t="shared" si="1"/>
        <v>1</v>
      </c>
      <c r="G10153" s="10">
        <f t="array" ref="G10153">index('Player ID'!C:C,match(E10153,'Player ID'!B:B,0))</f>
        <v>605463</v>
      </c>
    </row>
    <row r="10154">
      <c r="A10154" s="76">
        <v>45833.0</v>
      </c>
      <c r="B10154" s="1" t="s">
        <v>187</v>
      </c>
      <c r="C10154" s="1" t="s">
        <v>78</v>
      </c>
      <c r="D10154" s="1">
        <v>1.0</v>
      </c>
      <c r="E10154" s="1">
        <v>17735.0</v>
      </c>
      <c r="F10154" s="10">
        <f t="shared" si="1"/>
        <v>1</v>
      </c>
      <c r="G10154" s="10">
        <f t="array" ref="G10154">index('Player ID'!C:C,match(E10154,'Player ID'!B:B,0))</f>
        <v>641302</v>
      </c>
    </row>
    <row r="10155">
      <c r="A10155" s="76">
        <v>45833.0</v>
      </c>
      <c r="B10155" s="1" t="s">
        <v>195</v>
      </c>
      <c r="C10155" s="1" t="s">
        <v>64</v>
      </c>
      <c r="D10155" s="1">
        <v>5.1</v>
      </c>
      <c r="E10155" s="1">
        <v>19291.0</v>
      </c>
      <c r="F10155" s="10">
        <f t="shared" si="1"/>
        <v>5.333333333</v>
      </c>
      <c r="G10155" s="10">
        <f t="array" ref="G10155">index('Player ID'!C:C,match(E10155,'Player ID'!B:B,0))</f>
        <v>668678</v>
      </c>
    </row>
    <row r="10156">
      <c r="A10156" s="76">
        <v>45833.0</v>
      </c>
      <c r="B10156" s="1" t="s">
        <v>823</v>
      </c>
      <c r="C10156" s="1" t="s">
        <v>64</v>
      </c>
      <c r="D10156" s="1">
        <v>1.0</v>
      </c>
      <c r="E10156" s="1">
        <v>19876.0</v>
      </c>
      <c r="F10156" s="10">
        <f t="shared" si="1"/>
        <v>1</v>
      </c>
      <c r="G10156" s="10">
        <f t="array" ref="G10156">index('Player ID'!C:C,match(E10156,'Player ID'!B:B,0))</f>
        <v>656464</v>
      </c>
    </row>
    <row r="10157">
      <c r="A10157" s="76">
        <v>45833.0</v>
      </c>
      <c r="B10157" s="1" t="s">
        <v>116</v>
      </c>
      <c r="C10157" s="1" t="s">
        <v>78</v>
      </c>
      <c r="D10157" s="1">
        <v>1.0</v>
      </c>
      <c r="E10157" s="1">
        <v>20353.0</v>
      </c>
      <c r="F10157" s="10">
        <f t="shared" si="1"/>
        <v>1</v>
      </c>
      <c r="G10157" s="10">
        <f t="array" ref="G10157">index('Player ID'!C:C,match(E10157,'Player ID'!B:B,0))</f>
        <v>621051</v>
      </c>
    </row>
    <row r="10158">
      <c r="A10158" s="76">
        <v>45833.0</v>
      </c>
      <c r="B10158" s="1" t="s">
        <v>370</v>
      </c>
      <c r="C10158" s="1" t="s">
        <v>64</v>
      </c>
      <c r="D10158" s="1">
        <v>0.2</v>
      </c>
      <c r="E10158" s="1">
        <v>21924.0</v>
      </c>
      <c r="F10158" s="10">
        <f t="shared" si="1"/>
        <v>0.6666666667</v>
      </c>
      <c r="G10158" s="10">
        <f t="array" ref="G10158">index('Player ID'!C:C,match(E10158,'Player ID'!B:B,0))</f>
        <v>666661</v>
      </c>
    </row>
    <row r="10159">
      <c r="A10159" s="76">
        <v>45833.0</v>
      </c>
      <c r="B10159" s="1" t="s">
        <v>356</v>
      </c>
      <c r="C10159" s="1" t="s">
        <v>78</v>
      </c>
      <c r="D10159" s="1">
        <v>5.0</v>
      </c>
      <c r="E10159" s="1">
        <v>29878.0</v>
      </c>
      <c r="F10159" s="10">
        <f t="shared" si="1"/>
        <v>5</v>
      </c>
      <c r="G10159" s="10">
        <f t="array" ref="G10159">index('Player ID'!C:C,match(E10159,'Player ID'!B:B,0))</f>
        <v>680732</v>
      </c>
    </row>
    <row r="10160">
      <c r="A10160" s="76">
        <v>45833.0</v>
      </c>
      <c r="B10160" s="1" t="s">
        <v>106</v>
      </c>
      <c r="C10160" s="1" t="s">
        <v>78</v>
      </c>
      <c r="D10160" s="1">
        <v>2.0</v>
      </c>
      <c r="E10160" s="1">
        <v>33927.0</v>
      </c>
      <c r="F10160" s="10">
        <f t="shared" si="1"/>
        <v>2</v>
      </c>
      <c r="G10160" s="10" t="str">
        <f t="array" ref="G10160">index('Player ID'!C:C,match(E10160,'Player ID'!B:B,0))</f>
        <v>#N/A</v>
      </c>
    </row>
    <row r="10161">
      <c r="A10161" s="76">
        <v>45833.0</v>
      </c>
      <c r="B10161" s="1" t="s">
        <v>724</v>
      </c>
      <c r="C10161" s="1" t="s">
        <v>14</v>
      </c>
      <c r="D10161" s="1">
        <v>1.0</v>
      </c>
      <c r="E10161" s="1">
        <v>15094.0</v>
      </c>
      <c r="F10161" s="10">
        <f t="shared" si="1"/>
        <v>1</v>
      </c>
      <c r="G10161" s="10">
        <f t="array" ref="G10161">index('Player ID'!C:C,match(E10161,'Player ID'!B:B,0))</f>
        <v>642239</v>
      </c>
    </row>
    <row r="10162">
      <c r="A10162" s="76">
        <v>45833.0</v>
      </c>
      <c r="B10162" s="1" t="s">
        <v>13</v>
      </c>
      <c r="C10162" s="1" t="s">
        <v>14</v>
      </c>
      <c r="D10162" s="1">
        <v>1.0</v>
      </c>
      <c r="E10162" s="1">
        <v>17722.0</v>
      </c>
      <c r="F10162" s="10">
        <f t="shared" si="1"/>
        <v>1</v>
      </c>
      <c r="G10162" s="10">
        <f t="array" ref="G10162">index('Player ID'!C:C,match(E10162,'Player ID'!B:B,0))</f>
        <v>656730</v>
      </c>
    </row>
    <row r="10163">
      <c r="A10163" s="76">
        <v>45833.0</v>
      </c>
      <c r="B10163" s="1" t="s">
        <v>217</v>
      </c>
      <c r="C10163" s="1" t="s">
        <v>60</v>
      </c>
      <c r="D10163" s="1">
        <v>1.0</v>
      </c>
      <c r="E10163" s="1">
        <v>17878.0</v>
      </c>
      <c r="F10163" s="10">
        <f t="shared" si="1"/>
        <v>1</v>
      </c>
      <c r="G10163" s="10">
        <f t="array" ref="G10163">index('Player ID'!C:C,match(E10163,'Player ID'!B:B,0))</f>
        <v>642701</v>
      </c>
    </row>
    <row r="10164">
      <c r="A10164" s="76">
        <v>45833.0</v>
      </c>
      <c r="B10164" s="1" t="s">
        <v>107</v>
      </c>
      <c r="C10164" s="1" t="s">
        <v>60</v>
      </c>
      <c r="D10164" s="1">
        <v>0.2</v>
      </c>
      <c r="E10164" s="1">
        <v>19349.0</v>
      </c>
      <c r="F10164" s="10">
        <f t="shared" si="1"/>
        <v>0.6666666667</v>
      </c>
      <c r="G10164" s="10">
        <f t="array" ref="G10164">index('Player ID'!C:C,match(E10164,'Player ID'!B:B,0))</f>
        <v>657571</v>
      </c>
    </row>
    <row r="10165">
      <c r="A10165" s="76">
        <v>45833.0</v>
      </c>
      <c r="B10165" s="1" t="s">
        <v>318</v>
      </c>
      <c r="C10165" s="1" t="s">
        <v>14</v>
      </c>
      <c r="D10165" s="1">
        <v>1.0</v>
      </c>
      <c r="E10165" s="1">
        <v>20546.0</v>
      </c>
      <c r="F10165" s="10">
        <f t="shared" si="1"/>
        <v>1</v>
      </c>
      <c r="G10165" s="10">
        <f t="array" ref="G10165">index('Player ID'!C:C,match(E10165,'Player ID'!B:B,0))</f>
        <v>681982</v>
      </c>
    </row>
    <row r="10166">
      <c r="A10166" s="76">
        <v>45833.0</v>
      </c>
      <c r="B10166" s="1" t="s">
        <v>320</v>
      </c>
      <c r="C10166" s="1" t="s">
        <v>60</v>
      </c>
      <c r="D10166" s="1">
        <v>2.1</v>
      </c>
      <c r="E10166" s="1">
        <v>24728.0</v>
      </c>
      <c r="F10166" s="10">
        <f t="shared" si="1"/>
        <v>2.333333333</v>
      </c>
      <c r="G10166" s="10">
        <f t="array" ref="G10166">index('Player ID'!C:C,match(E10166,'Player ID'!B:B,0))</f>
        <v>681347</v>
      </c>
    </row>
    <row r="10167">
      <c r="A10167" s="76">
        <v>45833.0</v>
      </c>
      <c r="B10167" s="1" t="s">
        <v>279</v>
      </c>
      <c r="C10167" s="1" t="s">
        <v>14</v>
      </c>
      <c r="D10167" s="1">
        <v>1.0</v>
      </c>
      <c r="E10167" s="1">
        <v>25327.0</v>
      </c>
      <c r="F10167" s="10">
        <f t="shared" si="1"/>
        <v>1</v>
      </c>
      <c r="G10167" s="10">
        <f t="array" ref="G10167">index('Player ID'!C:C,match(E10167,'Player ID'!B:B,0))</f>
        <v>682842</v>
      </c>
    </row>
    <row r="10168">
      <c r="A10168" s="76">
        <v>45833.0</v>
      </c>
      <c r="B10168" s="1" t="s">
        <v>188</v>
      </c>
      <c r="C10168" s="1" t="s">
        <v>14</v>
      </c>
      <c r="D10168" s="1">
        <v>5.0</v>
      </c>
      <c r="E10168" s="1">
        <v>31623.0</v>
      </c>
      <c r="F10168" s="10">
        <f t="shared" si="1"/>
        <v>5</v>
      </c>
      <c r="G10168" s="10">
        <f t="array" ref="G10168">index('Player ID'!C:C,match(E10168,'Player ID'!B:B,0))</f>
        <v>694819</v>
      </c>
    </row>
    <row r="10169">
      <c r="A10169" s="76">
        <v>45833.0</v>
      </c>
      <c r="B10169" s="1" t="s">
        <v>88</v>
      </c>
      <c r="C10169" s="1" t="s">
        <v>60</v>
      </c>
      <c r="D10169" s="1">
        <v>4.0</v>
      </c>
      <c r="E10169" s="1">
        <v>33677.0</v>
      </c>
      <c r="F10169" s="10">
        <f t="shared" si="1"/>
        <v>4</v>
      </c>
      <c r="G10169" s="10">
        <f t="array" ref="G10169">index('Player ID'!C:C,match(E10169,'Player ID'!B:B,0))</f>
        <v>694973</v>
      </c>
    </row>
    <row r="10170">
      <c r="A10170" s="76">
        <v>45833.0</v>
      </c>
      <c r="B10170" s="1" t="s">
        <v>493</v>
      </c>
      <c r="C10170" s="1" t="s">
        <v>22</v>
      </c>
      <c r="D10170" s="1">
        <v>0.2</v>
      </c>
      <c r="E10170" s="1">
        <v>16835.0</v>
      </c>
      <c r="F10170" s="10">
        <f t="shared" si="1"/>
        <v>0.6666666667</v>
      </c>
      <c r="G10170" s="10">
        <f t="array" ref="G10170">index('Player ID'!C:C,match(E10170,'Player ID'!B:B,0))</f>
        <v>657514</v>
      </c>
    </row>
    <row r="10171">
      <c r="A10171" s="76">
        <v>45833.0</v>
      </c>
      <c r="B10171" s="1" t="s">
        <v>397</v>
      </c>
      <c r="C10171" s="1" t="s">
        <v>22</v>
      </c>
      <c r="D10171" s="1">
        <v>1.0</v>
      </c>
      <c r="E10171" s="1">
        <v>19459.0</v>
      </c>
      <c r="F10171" s="10">
        <f t="shared" si="1"/>
        <v>1</v>
      </c>
      <c r="G10171" s="10">
        <f t="array" ref="G10171">index('Player ID'!C:C,match(E10171,'Player ID'!B:B,0))</f>
        <v>660896</v>
      </c>
    </row>
    <row r="10172">
      <c r="A10172" s="76">
        <v>45833.0</v>
      </c>
      <c r="B10172" s="1" t="s">
        <v>134</v>
      </c>
      <c r="C10172" s="1" t="s">
        <v>22</v>
      </c>
      <c r="D10172" s="1">
        <v>1.2</v>
      </c>
      <c r="E10172" s="1">
        <v>20349.0</v>
      </c>
      <c r="F10172" s="10">
        <f t="shared" si="1"/>
        <v>1.666666667</v>
      </c>
      <c r="G10172" s="10">
        <f t="array" ref="G10172">index('Player ID'!C:C,match(E10172,'Player ID'!B:B,0))</f>
        <v>677161</v>
      </c>
    </row>
    <row r="10173">
      <c r="A10173" s="76">
        <v>45833.0</v>
      </c>
      <c r="B10173" s="1" t="s">
        <v>232</v>
      </c>
      <c r="C10173" s="1" t="s">
        <v>25</v>
      </c>
      <c r="D10173" s="1">
        <v>7.0</v>
      </c>
      <c r="E10173" s="1">
        <v>20633.0</v>
      </c>
      <c r="F10173" s="10">
        <f t="shared" si="1"/>
        <v>7</v>
      </c>
      <c r="G10173" s="10">
        <f t="array" ref="G10173">index('Player ID'!C:C,match(E10173,'Player ID'!B:B,0))</f>
        <v>579328</v>
      </c>
    </row>
    <row r="10174">
      <c r="A10174" s="76">
        <v>45833.0</v>
      </c>
      <c r="B10174" s="1" t="s">
        <v>385</v>
      </c>
      <c r="C10174" s="1" t="s">
        <v>25</v>
      </c>
      <c r="D10174" s="1">
        <v>2.0</v>
      </c>
      <c r="E10174" s="1">
        <v>25420.0</v>
      </c>
      <c r="F10174" s="10">
        <f t="shared" si="1"/>
        <v>2</v>
      </c>
      <c r="G10174" s="10">
        <f t="array" ref="G10174">index('Player ID'!C:C,match(E10174,'Player ID'!B:B,0))</f>
        <v>666171</v>
      </c>
    </row>
    <row r="10175">
      <c r="A10175" s="76">
        <v>45833.0</v>
      </c>
      <c r="B10175" s="1" t="s">
        <v>152</v>
      </c>
      <c r="C10175" s="1" t="s">
        <v>22</v>
      </c>
      <c r="D10175" s="1">
        <v>4.0</v>
      </c>
      <c r="E10175" s="1">
        <v>30160.0</v>
      </c>
      <c r="F10175" s="10">
        <f t="shared" si="1"/>
        <v>4</v>
      </c>
      <c r="G10175" s="10">
        <f t="array" ref="G10175">index('Player ID'!C:C,match(E10175,'Player ID'!B:B,0))</f>
        <v>690916</v>
      </c>
    </row>
    <row r="10176">
      <c r="A10176" s="76">
        <v>45833.0</v>
      </c>
      <c r="B10176" s="1" t="s">
        <v>720</v>
      </c>
      <c r="C10176" s="1" t="s">
        <v>22</v>
      </c>
      <c r="D10176" s="1">
        <v>0.2</v>
      </c>
      <c r="E10176" s="1">
        <v>31184.0</v>
      </c>
      <c r="F10176" s="10">
        <f t="shared" si="1"/>
        <v>0.6666666667</v>
      </c>
      <c r="G10176" s="10">
        <f t="array" ref="G10176">index('Player ID'!C:C,match(E10176,'Player ID'!B:B,0))</f>
        <v>692285</v>
      </c>
    </row>
    <row r="10177">
      <c r="A10177" s="76">
        <v>45833.0</v>
      </c>
      <c r="B10177" s="1" t="s">
        <v>139</v>
      </c>
      <c r="C10177" s="1" t="s">
        <v>80</v>
      </c>
      <c r="D10177" s="1">
        <v>0.1</v>
      </c>
      <c r="E10177" s="1">
        <v>15009.0</v>
      </c>
      <c r="F10177" s="10">
        <f t="shared" si="1"/>
        <v>0.3333333333</v>
      </c>
      <c r="G10177" s="10">
        <f t="array" ref="G10177">index('Player ID'!C:C,match(E10177,'Player ID'!B:B,0))</f>
        <v>640448</v>
      </c>
    </row>
    <row r="10178">
      <c r="A10178" s="76">
        <v>45833.0</v>
      </c>
      <c r="B10178" s="1" t="s">
        <v>109</v>
      </c>
      <c r="C10178" s="1" t="s">
        <v>26</v>
      </c>
      <c r="D10178" s="1">
        <v>7.0</v>
      </c>
      <c r="E10178" s="1">
        <v>15454.0</v>
      </c>
      <c r="F10178" s="10">
        <f t="shared" si="1"/>
        <v>7</v>
      </c>
      <c r="G10178" s="10">
        <f t="array" ref="G10178">index('Player ID'!C:C,match(E10178,'Player ID'!B:B,0))</f>
        <v>601713</v>
      </c>
    </row>
    <row r="10179">
      <c r="A10179" s="76">
        <v>45833.0</v>
      </c>
      <c r="B10179" s="1" t="s">
        <v>49</v>
      </c>
      <c r="C10179" s="1" t="s">
        <v>26</v>
      </c>
      <c r="D10179" s="1">
        <v>1.0</v>
      </c>
      <c r="E10179" s="1">
        <v>20039.0</v>
      </c>
      <c r="F10179" s="10">
        <f t="shared" si="1"/>
        <v>1</v>
      </c>
      <c r="G10179" s="10">
        <f t="array" ref="G10179">index('Player ID'!C:C,match(E10179,'Player ID'!B:B,0))</f>
        <v>670970</v>
      </c>
    </row>
    <row r="10180">
      <c r="A10180" s="76">
        <v>45833.0</v>
      </c>
      <c r="B10180" s="1" t="s">
        <v>354</v>
      </c>
      <c r="C10180" s="1" t="s">
        <v>80</v>
      </c>
      <c r="D10180" s="1">
        <v>6.0</v>
      </c>
      <c r="E10180" s="1">
        <v>22201.0</v>
      </c>
      <c r="F10180" s="10">
        <f t="shared" si="1"/>
        <v>6</v>
      </c>
      <c r="G10180" s="10">
        <f t="array" ref="G10180">index('Player ID'!C:C,match(E10180,'Player ID'!B:B,0))</f>
        <v>669022</v>
      </c>
    </row>
    <row r="10181">
      <c r="A10181" s="76">
        <v>45833.0</v>
      </c>
      <c r="B10181" s="1" t="s">
        <v>94</v>
      </c>
      <c r="C10181" s="1" t="s">
        <v>26</v>
      </c>
      <c r="D10181" s="1">
        <v>1.0</v>
      </c>
      <c r="E10181" s="1">
        <v>22210.0</v>
      </c>
      <c r="F10181" s="10">
        <f t="shared" si="1"/>
        <v>1</v>
      </c>
      <c r="G10181" s="10">
        <f t="array" ref="G10181">index('Player ID'!C:C,match(E10181,'Player ID'!B:B,0))</f>
        <v>669093</v>
      </c>
    </row>
    <row r="10182">
      <c r="A10182" s="76">
        <v>45833.0</v>
      </c>
      <c r="B10182" s="1" t="s">
        <v>437</v>
      </c>
      <c r="C10182" s="1" t="s">
        <v>80</v>
      </c>
      <c r="D10182" s="1">
        <v>1.2</v>
      </c>
      <c r="E10182" s="1">
        <v>31972.0</v>
      </c>
      <c r="F10182" s="10">
        <f t="shared" si="1"/>
        <v>1.666666667</v>
      </c>
      <c r="G10182" s="10">
        <f t="array" ref="G10182">index('Player ID'!C:C,match(E10182,'Player ID'!B:B,0))</f>
        <v>695418</v>
      </c>
    </row>
    <row r="10183">
      <c r="A10183" s="76">
        <v>45833.0</v>
      </c>
      <c r="B10183" s="1" t="s">
        <v>57</v>
      </c>
      <c r="C10183" s="1" t="s">
        <v>56</v>
      </c>
      <c r="D10183" s="1">
        <v>7.0</v>
      </c>
      <c r="E10183" s="1">
        <v>10954.0</v>
      </c>
      <c r="F10183" s="10">
        <f t="shared" si="1"/>
        <v>7</v>
      </c>
      <c r="G10183" s="10">
        <f t="array" ref="G10183">index('Player ID'!C:C,match(E10183,'Player ID'!B:B,0))</f>
        <v>594798</v>
      </c>
    </row>
    <row r="10184">
      <c r="A10184" s="76">
        <v>45833.0</v>
      </c>
      <c r="B10184" s="1" t="s">
        <v>48</v>
      </c>
      <c r="C10184" s="1" t="s">
        <v>68</v>
      </c>
      <c r="D10184" s="1">
        <v>1.0</v>
      </c>
      <c r="E10184" s="1">
        <v>12828.0</v>
      </c>
      <c r="F10184" s="10">
        <f t="shared" si="1"/>
        <v>1</v>
      </c>
      <c r="G10184" s="10" t="str">
        <f t="array" ref="G10184">index('Player ID'!C:C,match(E10184,'Player ID'!B:B,0))</f>
        <v>#N/A</v>
      </c>
    </row>
    <row r="10185">
      <c r="A10185" s="76">
        <v>45833.0</v>
      </c>
      <c r="B10185" s="1" t="s">
        <v>233</v>
      </c>
      <c r="C10185" s="1" t="s">
        <v>68</v>
      </c>
      <c r="D10185" s="1">
        <v>2.0</v>
      </c>
      <c r="E10185" s="1">
        <v>16427.0</v>
      </c>
      <c r="F10185" s="10">
        <f t="shared" si="1"/>
        <v>2</v>
      </c>
      <c r="G10185" s="10">
        <f t="array" ref="G10185">index('Player ID'!C:C,match(E10185,'Player ID'!B:B,0))</f>
        <v>656240</v>
      </c>
    </row>
    <row r="10186">
      <c r="A10186" s="76">
        <v>45833.0</v>
      </c>
      <c r="B10186" s="1" t="s">
        <v>87</v>
      </c>
      <c r="C10186" s="1" t="s">
        <v>56</v>
      </c>
      <c r="D10186" s="1">
        <v>1.0</v>
      </c>
      <c r="E10186" s="1">
        <v>19274.0</v>
      </c>
      <c r="F10186" s="10">
        <f t="shared" si="1"/>
        <v>1</v>
      </c>
      <c r="G10186" s="10">
        <f t="array" ref="G10186">index('Player ID'!C:C,match(E10186,'Player ID'!B:B,0))</f>
        <v>657097</v>
      </c>
    </row>
    <row r="10187">
      <c r="A10187" s="76">
        <v>45833.0</v>
      </c>
      <c r="B10187" s="1" t="s">
        <v>433</v>
      </c>
      <c r="C10187" s="1" t="s">
        <v>68</v>
      </c>
      <c r="D10187" s="1">
        <v>1.0</v>
      </c>
      <c r="E10187" s="1">
        <v>19677.0</v>
      </c>
      <c r="F10187" s="10">
        <f t="shared" si="1"/>
        <v>1</v>
      </c>
      <c r="G10187" s="10">
        <f t="array" ref="G10187">index('Player ID'!C:C,match(E10187,'Player ID'!B:B,0))</f>
        <v>642397</v>
      </c>
    </row>
    <row r="10188">
      <c r="A10188" s="76">
        <v>45833.0</v>
      </c>
      <c r="B10188" s="1" t="s">
        <v>240</v>
      </c>
      <c r="C10188" s="1" t="s">
        <v>68</v>
      </c>
      <c r="D10188" s="1">
        <v>1.0</v>
      </c>
      <c r="E10188" s="1">
        <v>19804.0</v>
      </c>
      <c r="F10188" s="10">
        <f t="shared" si="1"/>
        <v>1</v>
      </c>
      <c r="G10188" s="10">
        <f t="array" ref="G10188">index('Player ID'!C:C,match(E10188,'Player ID'!B:B,0))</f>
        <v>641329</v>
      </c>
    </row>
    <row r="10189">
      <c r="A10189" s="76">
        <v>45833.0</v>
      </c>
      <c r="B10189" s="1" t="s">
        <v>502</v>
      </c>
      <c r="C10189" s="1" t="s">
        <v>56</v>
      </c>
      <c r="D10189" s="1">
        <v>1.0</v>
      </c>
      <c r="E10189" s="1">
        <v>22113.0</v>
      </c>
      <c r="F10189" s="10">
        <f t="shared" si="1"/>
        <v>1</v>
      </c>
      <c r="G10189" s="10">
        <f t="array" ref="G10189">index('Player ID'!C:C,match(E10189,'Player ID'!B:B,0))</f>
        <v>668390</v>
      </c>
    </row>
    <row r="10190">
      <c r="A10190" s="76">
        <v>45833.0</v>
      </c>
      <c r="B10190" s="1" t="s">
        <v>191</v>
      </c>
      <c r="C10190" s="1" t="s">
        <v>68</v>
      </c>
      <c r="D10190" s="1">
        <v>4.0</v>
      </c>
      <c r="E10190" s="1">
        <v>27819.0</v>
      </c>
      <c r="F10190" s="10">
        <f t="shared" si="1"/>
        <v>4</v>
      </c>
      <c r="G10190" s="10">
        <f t="array" ref="G10190">index('Player ID'!C:C,match(E10190,'Player ID'!B:B,0))</f>
        <v>687064</v>
      </c>
    </row>
    <row r="10191">
      <c r="A10191" s="76">
        <v>45833.0</v>
      </c>
      <c r="B10191" s="1" t="s">
        <v>436</v>
      </c>
      <c r="C10191" s="1" t="s">
        <v>52</v>
      </c>
      <c r="D10191" s="1">
        <v>1.0</v>
      </c>
      <c r="E10191" s="1">
        <v>12791.0</v>
      </c>
      <c r="F10191" s="10">
        <f t="shared" si="1"/>
        <v>1</v>
      </c>
      <c r="G10191" s="10" t="str">
        <f t="array" ref="G10191">index('Player ID'!C:C,match(E10191,'Player ID'!B:B,0))</f>
        <v>#N/A</v>
      </c>
    </row>
    <row r="10192">
      <c r="A10192" s="76">
        <v>45833.0</v>
      </c>
      <c r="B10192" s="1" t="s">
        <v>448</v>
      </c>
      <c r="C10192" s="1" t="s">
        <v>62</v>
      </c>
      <c r="D10192" s="1">
        <v>0.1</v>
      </c>
      <c r="E10192" s="1">
        <v>17381.0</v>
      </c>
      <c r="F10192" s="10">
        <f t="shared" si="1"/>
        <v>0.3333333333</v>
      </c>
      <c r="G10192" s="10" t="str">
        <f t="array" ref="G10192">index('Player ID'!C:C,match(E10192,'Player ID'!B:B,0))</f>
        <v>#N/A</v>
      </c>
    </row>
    <row r="10193">
      <c r="A10193" s="76">
        <v>45833.0</v>
      </c>
      <c r="B10193" s="1" t="s">
        <v>316</v>
      </c>
      <c r="C10193" s="1" t="s">
        <v>62</v>
      </c>
      <c r="D10193" s="1">
        <v>6.0</v>
      </c>
      <c r="E10193" s="1">
        <v>17479.0</v>
      </c>
      <c r="F10193" s="10">
        <f t="shared" si="1"/>
        <v>6</v>
      </c>
      <c r="G10193" s="10">
        <f t="array" ref="G10193">index('Player ID'!C:C,match(E10193,'Player ID'!B:B,0))</f>
        <v>656427</v>
      </c>
    </row>
    <row r="10194">
      <c r="A10194" s="76">
        <v>45833.0</v>
      </c>
      <c r="B10194" s="1" t="s">
        <v>701</v>
      </c>
      <c r="C10194" s="1" t="s">
        <v>62</v>
      </c>
      <c r="D10194" s="1">
        <v>1.0</v>
      </c>
      <c r="E10194" s="1">
        <v>22713.0</v>
      </c>
      <c r="F10194" s="10">
        <f t="shared" si="1"/>
        <v>1</v>
      </c>
      <c r="G10194" s="10">
        <f t="array" ref="G10194">index('Player ID'!C:C,match(E10194,'Player ID'!B:B,0))</f>
        <v>672578</v>
      </c>
    </row>
    <row r="10195">
      <c r="A10195" s="76">
        <v>45833.0</v>
      </c>
      <c r="B10195" s="1" t="s">
        <v>389</v>
      </c>
      <c r="C10195" s="1" t="s">
        <v>52</v>
      </c>
      <c r="D10195" s="1">
        <v>7.0</v>
      </c>
      <c r="E10195" s="1">
        <v>25098.0</v>
      </c>
      <c r="F10195" s="10">
        <f t="shared" si="1"/>
        <v>7</v>
      </c>
      <c r="G10195" s="10">
        <f t="array" ref="G10195">index('Player ID'!C:C,match(E10195,'Player ID'!B:B,0))</f>
        <v>682052</v>
      </c>
    </row>
    <row r="10196">
      <c r="A10196" s="76">
        <v>45833.0</v>
      </c>
      <c r="B10196" s="1" t="s">
        <v>860</v>
      </c>
      <c r="C10196" s="1" t="s">
        <v>62</v>
      </c>
      <c r="D10196" s="1">
        <v>1.2</v>
      </c>
      <c r="E10196" s="1">
        <v>30145.0</v>
      </c>
      <c r="F10196" s="10">
        <f t="shared" si="1"/>
        <v>1.666666667</v>
      </c>
      <c r="G10196" s="10" t="str">
        <f t="array" ref="G10196">index('Player ID'!C:C,match(E10196,'Player ID'!B:B,0))</f>
        <v>#N/A</v>
      </c>
    </row>
    <row r="10197">
      <c r="A10197" s="76">
        <v>45833.0</v>
      </c>
      <c r="B10197" s="1" t="s">
        <v>286</v>
      </c>
      <c r="C10197" s="1" t="s">
        <v>52</v>
      </c>
      <c r="D10197" s="1">
        <v>1.0</v>
      </c>
      <c r="E10197" s="1">
        <v>31757.0</v>
      </c>
      <c r="F10197" s="10">
        <f t="shared" si="1"/>
        <v>1</v>
      </c>
      <c r="G10197" s="10">
        <f t="array" ref="G10197">index('Player ID'!C:C,match(E10197,'Player ID'!B:B,0))</f>
        <v>695243</v>
      </c>
    </row>
    <row r="10198">
      <c r="A10198" s="76">
        <v>45833.0</v>
      </c>
      <c r="B10198" s="1" t="s">
        <v>137</v>
      </c>
      <c r="C10198" s="1" t="s">
        <v>40</v>
      </c>
      <c r="D10198" s="1">
        <v>5.0</v>
      </c>
      <c r="E10198" s="1">
        <v>3137.0</v>
      </c>
      <c r="F10198" s="10">
        <f t="shared" si="1"/>
        <v>5</v>
      </c>
      <c r="G10198" s="10">
        <f t="array" ref="G10198">index('Player ID'!C:C,match(E10198,'Player ID'!B:B,0))</f>
        <v>453286</v>
      </c>
    </row>
    <row r="10199">
      <c r="A10199" s="76">
        <v>45833.0</v>
      </c>
      <c r="B10199" s="1" t="s">
        <v>117</v>
      </c>
      <c r="C10199" s="1" t="s">
        <v>70</v>
      </c>
      <c r="D10199" s="1">
        <v>1.0</v>
      </c>
      <c r="E10199" s="1">
        <v>13619.0</v>
      </c>
      <c r="F10199" s="10">
        <f t="shared" si="1"/>
        <v>1</v>
      </c>
      <c r="G10199" s="10">
        <f t="array" ref="G10199">index('Player ID'!C:C,match(E10199,'Player ID'!B:B,0))</f>
        <v>596001</v>
      </c>
    </row>
    <row r="10200">
      <c r="A10200" s="76">
        <v>45833.0</v>
      </c>
      <c r="B10200" s="1" t="s">
        <v>311</v>
      </c>
      <c r="C10200" s="1" t="s">
        <v>40</v>
      </c>
      <c r="D10200" s="1">
        <v>1.0</v>
      </c>
      <c r="E10200" s="1">
        <v>17432.0</v>
      </c>
      <c r="F10200" s="10">
        <f t="shared" si="1"/>
        <v>1</v>
      </c>
      <c r="G10200" s="10">
        <f t="array" ref="G10200">index('Player ID'!C:C,match(E10200,'Player ID'!B:B,0))</f>
        <v>656546</v>
      </c>
    </row>
    <row r="10201">
      <c r="A10201" s="76">
        <v>45833.0</v>
      </c>
      <c r="B10201" s="1" t="s">
        <v>141</v>
      </c>
      <c r="C10201" s="1" t="s">
        <v>70</v>
      </c>
      <c r="D10201" s="1">
        <v>0.2</v>
      </c>
      <c r="E10201" s="1">
        <v>19330.0</v>
      </c>
      <c r="F10201" s="10">
        <f t="shared" si="1"/>
        <v>0.6666666667</v>
      </c>
      <c r="G10201" s="10">
        <f t="array" ref="G10201">index('Player ID'!C:C,match(E10201,'Player ID'!B:B,0))</f>
        <v>670036</v>
      </c>
    </row>
    <row r="10202">
      <c r="A10202" s="76">
        <v>45833.0</v>
      </c>
      <c r="B10202" s="1" t="s">
        <v>641</v>
      </c>
      <c r="C10202" s="1" t="s">
        <v>40</v>
      </c>
      <c r="D10202" s="1">
        <v>1.0</v>
      </c>
      <c r="E10202" s="1">
        <v>20517.0</v>
      </c>
      <c r="F10202" s="10">
        <f t="shared" si="1"/>
        <v>1</v>
      </c>
      <c r="G10202" s="10">
        <f t="array" ref="G10202">index('Player ID'!C:C,match(E10202,'Player ID'!B:B,0))</f>
        <v>680704</v>
      </c>
    </row>
    <row r="10203">
      <c r="A10203" s="76">
        <v>45833.0</v>
      </c>
      <c r="B10203" s="1" t="s">
        <v>132</v>
      </c>
      <c r="C10203" s="1" t="s">
        <v>70</v>
      </c>
      <c r="D10203" s="1">
        <v>1.0</v>
      </c>
      <c r="E10203" s="1">
        <v>21032.0</v>
      </c>
      <c r="F10203" s="10">
        <f t="shared" si="1"/>
        <v>1</v>
      </c>
      <c r="G10203" s="10">
        <f t="array" ref="G10203">index('Player ID'!C:C,match(E10203,'Player ID'!B:B,0))</f>
        <v>661403</v>
      </c>
    </row>
    <row r="10204">
      <c r="A10204" s="76">
        <v>45833.0</v>
      </c>
      <c r="B10204" s="1" t="s">
        <v>395</v>
      </c>
      <c r="C10204" s="1" t="s">
        <v>40</v>
      </c>
      <c r="D10204" s="1">
        <v>2.0</v>
      </c>
      <c r="E10204" s="1">
        <v>21574.0</v>
      </c>
      <c r="F10204" s="10">
        <f t="shared" si="1"/>
        <v>2</v>
      </c>
      <c r="G10204" s="10">
        <f t="array" ref="G10204">index('Player ID'!C:C,match(E10204,'Player ID'!B:B,0))</f>
        <v>663893</v>
      </c>
    </row>
    <row r="10205">
      <c r="A10205" s="76">
        <v>45833.0</v>
      </c>
      <c r="B10205" s="1" t="s">
        <v>519</v>
      </c>
      <c r="C10205" s="1" t="s">
        <v>70</v>
      </c>
      <c r="D10205" s="1">
        <v>1.0</v>
      </c>
      <c r="E10205" s="1">
        <v>25139.0</v>
      </c>
      <c r="F10205" s="10">
        <f t="shared" si="1"/>
        <v>1</v>
      </c>
      <c r="G10205" s="10">
        <f t="array" ref="G10205">index('Player ID'!C:C,match(E10205,'Player ID'!B:B,0))</f>
        <v>682120</v>
      </c>
    </row>
    <row r="10206">
      <c r="A10206" s="76">
        <v>45833.0</v>
      </c>
      <c r="B10206" s="1" t="s">
        <v>375</v>
      </c>
      <c r="C10206" s="1" t="s">
        <v>70</v>
      </c>
      <c r="D10206" s="1">
        <v>1.0</v>
      </c>
      <c r="E10206" s="1">
        <v>25553.0</v>
      </c>
      <c r="F10206" s="10">
        <f t="shared" si="1"/>
        <v>1</v>
      </c>
      <c r="G10206" s="10" t="str">
        <f t="array" ref="G10206">index('Player ID'!C:C,match(E10206,'Player ID'!B:B,0))</f>
        <v>#N/A</v>
      </c>
    </row>
    <row r="10207">
      <c r="A10207" s="76">
        <v>45833.0</v>
      </c>
      <c r="B10207" s="1" t="s">
        <v>376</v>
      </c>
      <c r="C10207" s="1" t="s">
        <v>70</v>
      </c>
      <c r="D10207" s="1">
        <v>5.1</v>
      </c>
      <c r="E10207" s="1">
        <v>30122.0</v>
      </c>
      <c r="F10207" s="10">
        <f t="shared" si="1"/>
        <v>5.333333333</v>
      </c>
      <c r="G10207" s="10">
        <f t="array" ref="G10207">index('Player ID'!C:C,match(E10207,'Player ID'!B:B,0))</f>
        <v>668909</v>
      </c>
    </row>
    <row r="10208">
      <c r="A10208" s="76">
        <v>45833.0</v>
      </c>
      <c r="B10208" s="1" t="s">
        <v>142</v>
      </c>
      <c r="C10208" s="1" t="s">
        <v>40</v>
      </c>
      <c r="D10208" s="1">
        <v>0.0</v>
      </c>
      <c r="E10208" s="1">
        <v>31553.0</v>
      </c>
      <c r="F10208" s="10">
        <f t="shared" si="1"/>
        <v>0</v>
      </c>
      <c r="G10208" s="10">
        <f t="array" ref="G10208">index('Player ID'!C:C,match(E10208,'Player ID'!B:B,0))</f>
        <v>689254</v>
      </c>
    </row>
    <row r="10209">
      <c r="A10209" s="76">
        <v>45833.0</v>
      </c>
      <c r="B10209" s="1" t="s">
        <v>269</v>
      </c>
      <c r="C10209" s="1" t="s">
        <v>51</v>
      </c>
      <c r="D10209" s="1">
        <v>5.0</v>
      </c>
      <c r="E10209" s="1">
        <v>13649.0</v>
      </c>
      <c r="F10209" s="10">
        <f t="shared" si="1"/>
        <v>5</v>
      </c>
      <c r="G10209" s="10">
        <f t="array" ref="G10209">index('Player ID'!C:C,match(E10209,'Player ID'!B:B,0))</f>
        <v>605280</v>
      </c>
    </row>
    <row r="10210">
      <c r="A10210" s="76">
        <v>45833.0</v>
      </c>
      <c r="B10210" s="1" t="s">
        <v>679</v>
      </c>
      <c r="C10210" s="1" t="s">
        <v>51</v>
      </c>
      <c r="D10210" s="1">
        <v>0.1</v>
      </c>
      <c r="E10210" s="1">
        <v>14710.0</v>
      </c>
      <c r="F10210" s="10">
        <f t="shared" si="1"/>
        <v>0.3333333333</v>
      </c>
      <c r="G10210" s="10">
        <f t="array" ref="G10210">index('Player ID'!C:C,match(E10210,'Player ID'!B:B,0))</f>
        <v>621242</v>
      </c>
    </row>
    <row r="10211">
      <c r="A10211" s="76">
        <v>45833.0</v>
      </c>
      <c r="B10211" s="1" t="s">
        <v>292</v>
      </c>
      <c r="C10211" s="1" t="s">
        <v>51</v>
      </c>
      <c r="D10211" s="1">
        <v>1.0</v>
      </c>
      <c r="E10211" s="1">
        <v>15947.0</v>
      </c>
      <c r="F10211" s="10">
        <f t="shared" si="1"/>
        <v>1</v>
      </c>
      <c r="G10211" s="10">
        <f t="array" ref="G10211">index('Player ID'!C:C,match(E10211,'Player ID'!B:B,0))</f>
        <v>592773</v>
      </c>
    </row>
    <row r="10212">
      <c r="A10212" s="76">
        <v>45833.0</v>
      </c>
      <c r="B10212" s="1" t="s">
        <v>319</v>
      </c>
      <c r="C10212" s="1" t="s">
        <v>46</v>
      </c>
      <c r="D10212" s="1">
        <v>2.2</v>
      </c>
      <c r="E10212" s="1">
        <v>16258.0</v>
      </c>
      <c r="F10212" s="10">
        <f t="shared" si="1"/>
        <v>2.666666667</v>
      </c>
      <c r="G10212" s="10">
        <f t="array" ref="G10212">index('Player ID'!C:C,match(E10212,'Player ID'!B:B,0))</f>
        <v>607481</v>
      </c>
    </row>
    <row r="10213">
      <c r="A10213" s="76">
        <v>45833.0</v>
      </c>
      <c r="B10213" s="1" t="s">
        <v>186</v>
      </c>
      <c r="C10213" s="1" t="s">
        <v>51</v>
      </c>
      <c r="D10213" s="1">
        <v>1.0</v>
      </c>
      <c r="E10213" s="1">
        <v>18347.0</v>
      </c>
      <c r="F10213" s="10">
        <f t="shared" si="1"/>
        <v>1</v>
      </c>
      <c r="G10213" s="10">
        <f t="array" ref="G10213">index('Player ID'!C:C,match(E10213,'Player ID'!B:B,0))</f>
        <v>663399</v>
      </c>
    </row>
    <row r="10214">
      <c r="A10214" s="76">
        <v>45833.0</v>
      </c>
      <c r="B10214" s="1" t="s">
        <v>712</v>
      </c>
      <c r="C10214" s="1" t="s">
        <v>51</v>
      </c>
      <c r="D10214" s="1">
        <v>1.0</v>
      </c>
      <c r="E10214" s="1">
        <v>23313.0</v>
      </c>
      <c r="F10214" s="10">
        <f t="shared" si="1"/>
        <v>1</v>
      </c>
      <c r="G10214" s="10">
        <f t="array" ref="G10214">index('Player ID'!C:C,match(E10214,'Player ID'!B:B,0))</f>
        <v>676130</v>
      </c>
    </row>
    <row r="10215">
      <c r="A10215" s="76">
        <v>45833.0</v>
      </c>
      <c r="B10215" s="1" t="s">
        <v>565</v>
      </c>
      <c r="C10215" s="1" t="s">
        <v>46</v>
      </c>
      <c r="D10215" s="1">
        <v>2.0</v>
      </c>
      <c r="E10215" s="1">
        <v>24604.0</v>
      </c>
      <c r="F10215" s="10">
        <f t="shared" si="1"/>
        <v>2</v>
      </c>
      <c r="G10215" s="10" t="str">
        <f t="array" ref="G10215">index('Player ID'!C:C,match(E10215,'Player ID'!B:B,0))</f>
        <v>#N/A</v>
      </c>
    </row>
    <row r="10216">
      <c r="A10216" s="76">
        <v>45833.0</v>
      </c>
      <c r="B10216" s="1" t="s">
        <v>553</v>
      </c>
      <c r="C10216" s="1" t="s">
        <v>46</v>
      </c>
      <c r="D10216" s="1">
        <v>3.1</v>
      </c>
      <c r="E10216" s="1">
        <v>30661.0</v>
      </c>
      <c r="F10216" s="10">
        <f t="shared" si="1"/>
        <v>3.333333333</v>
      </c>
      <c r="G10216" s="10">
        <f t="array" ref="G10216">index('Player ID'!C:C,match(E10216,'Player ID'!B:B,0))</f>
        <v>800311</v>
      </c>
    </row>
    <row r="10217">
      <c r="A10217" s="76">
        <v>45833.0</v>
      </c>
      <c r="B10217" s="1" t="s">
        <v>896</v>
      </c>
      <c r="C10217" s="1" t="s">
        <v>51</v>
      </c>
      <c r="D10217" s="1">
        <v>0.2</v>
      </c>
      <c r="E10217" s="1">
        <v>33980.0</v>
      </c>
      <c r="F10217" s="10">
        <f t="shared" si="1"/>
        <v>0.6666666667</v>
      </c>
      <c r="G10217" s="10" t="str">
        <f t="array" ref="G10217">index('Player ID'!C:C,match(E10217,'Player ID'!B:B,0))</f>
        <v>#N/A</v>
      </c>
    </row>
    <row r="10218">
      <c r="A10218" s="76">
        <v>45833.0</v>
      </c>
      <c r="B10218" s="1" t="s">
        <v>422</v>
      </c>
      <c r="C10218" s="1" t="s">
        <v>58</v>
      </c>
      <c r="D10218" s="1">
        <v>1.0</v>
      </c>
      <c r="E10218" s="1">
        <v>7048.0</v>
      </c>
      <c r="F10218" s="10">
        <f t="shared" si="1"/>
        <v>1</v>
      </c>
      <c r="G10218" s="10">
        <f t="array" ref="G10218">index('Player ID'!C:C,match(E10218,'Player ID'!B:B,0))</f>
        <v>518585</v>
      </c>
    </row>
    <row r="10219">
      <c r="A10219" s="76">
        <v>45833.0</v>
      </c>
      <c r="B10219" s="1" t="s">
        <v>362</v>
      </c>
      <c r="C10219" s="1" t="s">
        <v>66</v>
      </c>
      <c r="D10219" s="1">
        <v>1.1</v>
      </c>
      <c r="E10219" s="1">
        <v>13449.0</v>
      </c>
      <c r="F10219" s="10">
        <f t="shared" si="1"/>
        <v>1.333333333</v>
      </c>
      <c r="G10219" s="10">
        <f t="array" ref="G10219">index('Player ID'!C:C,match(E10219,'Player ID'!B:B,0))</f>
        <v>573124</v>
      </c>
    </row>
    <row r="10220">
      <c r="A10220" s="76">
        <v>45833.0</v>
      </c>
      <c r="B10220" s="1" t="s">
        <v>166</v>
      </c>
      <c r="C10220" s="1" t="s">
        <v>58</v>
      </c>
      <c r="D10220" s="1">
        <v>7.0</v>
      </c>
      <c r="E10220" s="1">
        <v>13743.0</v>
      </c>
      <c r="F10220" s="10">
        <f t="shared" si="1"/>
        <v>7</v>
      </c>
      <c r="G10220" s="10">
        <f t="array" ref="G10220">index('Player ID'!C:C,match(E10220,'Player ID'!B:B,0))</f>
        <v>608331</v>
      </c>
    </row>
    <row r="10221">
      <c r="A10221" s="76">
        <v>45833.0</v>
      </c>
      <c r="B10221" s="1" t="s">
        <v>417</v>
      </c>
      <c r="C10221" s="1" t="s">
        <v>66</v>
      </c>
      <c r="D10221" s="1">
        <v>1.0</v>
      </c>
      <c r="E10221" s="1">
        <v>13942.0</v>
      </c>
      <c r="F10221" s="10">
        <f t="shared" si="1"/>
        <v>1</v>
      </c>
      <c r="G10221" s="10">
        <f t="array" ref="G10221">index('Player ID'!C:C,match(E10221,'Player ID'!B:B,0))</f>
        <v>608718</v>
      </c>
    </row>
    <row r="10222">
      <c r="A10222" s="76">
        <v>45833.0</v>
      </c>
      <c r="B10222" s="1" t="s">
        <v>594</v>
      </c>
      <c r="C10222" s="1" t="s">
        <v>58</v>
      </c>
      <c r="D10222" s="1">
        <v>1.0</v>
      </c>
      <c r="E10222" s="1">
        <v>17578.0</v>
      </c>
      <c r="F10222" s="10">
        <f t="shared" si="1"/>
        <v>1</v>
      </c>
      <c r="G10222" s="10" t="str">
        <f t="array" ref="G10222">index('Player ID'!C:C,match(E10222,'Player ID'!B:B,0))</f>
        <v>#N/A</v>
      </c>
    </row>
    <row r="10223">
      <c r="A10223" s="76">
        <v>45833.0</v>
      </c>
      <c r="B10223" s="1" t="s">
        <v>653</v>
      </c>
      <c r="C10223" s="1" t="s">
        <v>66</v>
      </c>
      <c r="D10223" s="1">
        <v>0.2</v>
      </c>
      <c r="E10223" s="1">
        <v>17871.0</v>
      </c>
      <c r="F10223" s="10">
        <f t="shared" si="1"/>
        <v>0.6666666667</v>
      </c>
      <c r="G10223" s="10">
        <f t="array" ref="G10223">index('Player ID'!C:C,match(E10223,'Player ID'!B:B,0))</f>
        <v>664139</v>
      </c>
    </row>
    <row r="10224">
      <c r="A10224" s="76">
        <v>45833.0</v>
      </c>
      <c r="B10224" s="1" t="s">
        <v>353</v>
      </c>
      <c r="C10224" s="1" t="s">
        <v>66</v>
      </c>
      <c r="D10224" s="1">
        <v>5.0</v>
      </c>
      <c r="E10224" s="1">
        <v>25377.0</v>
      </c>
      <c r="F10224" s="10">
        <f t="shared" si="1"/>
        <v>5</v>
      </c>
      <c r="G10224" s="10">
        <f t="array" ref="G10224">index('Player ID'!C:C,match(E10224,'Player ID'!B:B,0))</f>
        <v>663903</v>
      </c>
    </row>
    <row r="10225">
      <c r="A10225" s="76">
        <v>45833.0</v>
      </c>
      <c r="B10225" s="1" t="s">
        <v>889</v>
      </c>
      <c r="C10225" s="1" t="s">
        <v>66</v>
      </c>
      <c r="D10225" s="1">
        <v>1.0</v>
      </c>
      <c r="E10225" s="1">
        <v>27649.0</v>
      </c>
      <c r="F10225" s="10">
        <f t="shared" si="1"/>
        <v>1</v>
      </c>
      <c r="G10225" s="10" t="str">
        <f t="array" ref="G10225">index('Player ID'!C:C,match(E10225,'Player ID'!B:B,0))</f>
        <v>#N/A</v>
      </c>
    </row>
    <row r="10226">
      <c r="A10226" s="76">
        <v>45833.0</v>
      </c>
      <c r="B10226" s="1" t="s">
        <v>147</v>
      </c>
      <c r="C10226" s="1" t="s">
        <v>29</v>
      </c>
      <c r="D10226" s="1">
        <v>6.0</v>
      </c>
      <c r="E10226" s="1">
        <v>14078.0</v>
      </c>
      <c r="F10226" s="10">
        <f t="shared" si="1"/>
        <v>6</v>
      </c>
      <c r="G10226" s="10">
        <f t="array" ref="G10226">index('Player ID'!C:C,match(E10226,'Player ID'!B:B,0))</f>
        <v>608379</v>
      </c>
    </row>
    <row r="10227">
      <c r="A10227" s="76">
        <v>45833.0</v>
      </c>
      <c r="B10227" s="1" t="s">
        <v>199</v>
      </c>
      <c r="C10227" s="1" t="s">
        <v>29</v>
      </c>
      <c r="D10227" s="1">
        <v>1.0</v>
      </c>
      <c r="E10227" s="1">
        <v>17611.0</v>
      </c>
      <c r="F10227" s="10">
        <f t="shared" si="1"/>
        <v>1</v>
      </c>
      <c r="G10227" s="10">
        <f t="array" ref="G10227">index('Player ID'!C:C,match(E10227,'Player ID'!B:B,0))</f>
        <v>664199</v>
      </c>
    </row>
    <row r="10228">
      <c r="A10228" s="76">
        <v>45833.0</v>
      </c>
      <c r="B10228" s="1" t="s">
        <v>185</v>
      </c>
      <c r="C10228" s="1" t="s">
        <v>54</v>
      </c>
      <c r="D10228" s="1">
        <v>0.2</v>
      </c>
      <c r="E10228" s="1">
        <v>17897.0</v>
      </c>
      <c r="F10228" s="10">
        <f t="shared" si="1"/>
        <v>0.6666666667</v>
      </c>
      <c r="G10228" s="10">
        <f t="array" ref="G10228">index('Player ID'!C:C,match(E10228,'Player ID'!B:B,0))</f>
        <v>664076</v>
      </c>
    </row>
    <row r="10229">
      <c r="A10229" s="76">
        <v>45833.0</v>
      </c>
      <c r="B10229" s="1" t="s">
        <v>261</v>
      </c>
      <c r="C10229" s="1" t="s">
        <v>54</v>
      </c>
      <c r="D10229" s="1">
        <v>1.0</v>
      </c>
      <c r="E10229" s="1">
        <v>17998.0</v>
      </c>
      <c r="F10229" s="10">
        <f t="shared" si="1"/>
        <v>1</v>
      </c>
      <c r="G10229" s="10">
        <f t="array" ref="G10229">index('Player ID'!C:C,match(E10229,'Player ID'!B:B,0))</f>
        <v>664126</v>
      </c>
    </row>
    <row r="10230">
      <c r="A10230" s="76">
        <v>45833.0</v>
      </c>
      <c r="B10230" s="1" t="s">
        <v>400</v>
      </c>
      <c r="C10230" s="1" t="s">
        <v>54</v>
      </c>
      <c r="D10230" s="1">
        <v>1.2</v>
      </c>
      <c r="E10230" s="1">
        <v>20539.0</v>
      </c>
      <c r="F10230" s="10">
        <f t="shared" si="1"/>
        <v>1.666666667</v>
      </c>
      <c r="G10230" s="10">
        <f t="array" ref="G10230">index('Player ID'!C:C,match(E10230,'Player ID'!B:B,0))</f>
        <v>670955</v>
      </c>
    </row>
    <row r="10231">
      <c r="A10231" s="76">
        <v>45833.0</v>
      </c>
      <c r="B10231" s="1" t="s">
        <v>293</v>
      </c>
      <c r="C10231" s="1" t="s">
        <v>29</v>
      </c>
      <c r="D10231" s="1">
        <v>1.0</v>
      </c>
      <c r="E10231" s="1">
        <v>21537.0</v>
      </c>
      <c r="F10231" s="10">
        <f t="shared" si="1"/>
        <v>1</v>
      </c>
      <c r="G10231" s="10">
        <f t="array" ref="G10231">index('Player ID'!C:C,match(E10231,'Player ID'!B:B,0))</f>
        <v>663738</v>
      </c>
    </row>
    <row r="10232">
      <c r="A10232" s="76">
        <v>45833.0</v>
      </c>
      <c r="B10232" s="1" t="s">
        <v>214</v>
      </c>
      <c r="C10232" s="1" t="s">
        <v>29</v>
      </c>
      <c r="D10232" s="1">
        <v>1.0</v>
      </c>
      <c r="E10232" s="1">
        <v>23165.0</v>
      </c>
      <c r="F10232" s="10">
        <f t="shared" si="1"/>
        <v>1</v>
      </c>
      <c r="G10232" s="10">
        <f t="array" ref="G10232">index('Player ID'!C:C,match(E10232,'Player ID'!B:B,0))</f>
        <v>674444</v>
      </c>
    </row>
    <row r="10233">
      <c r="A10233" s="76">
        <v>45833.0</v>
      </c>
      <c r="B10233" s="1" t="s">
        <v>97</v>
      </c>
      <c r="C10233" s="1" t="s">
        <v>54</v>
      </c>
      <c r="D10233" s="1">
        <v>5.0</v>
      </c>
      <c r="E10233" s="1">
        <v>25385.0</v>
      </c>
      <c r="F10233" s="10">
        <f t="shared" si="1"/>
        <v>5</v>
      </c>
      <c r="G10233" s="10">
        <f t="array" ref="G10233">index('Player ID'!C:C,match(E10233,'Player ID'!B:B,0))</f>
        <v>656876</v>
      </c>
    </row>
    <row r="10234">
      <c r="A10234" s="76">
        <v>45833.0</v>
      </c>
      <c r="B10234" s="1" t="s">
        <v>110</v>
      </c>
      <c r="C10234" s="1" t="s">
        <v>54</v>
      </c>
      <c r="D10234" s="1">
        <v>0.2</v>
      </c>
      <c r="E10234" s="1">
        <v>25679.0</v>
      </c>
      <c r="F10234" s="10">
        <f t="shared" si="1"/>
        <v>0.6666666667</v>
      </c>
      <c r="G10234" s="10">
        <f t="array" ref="G10234">index('Player ID'!C:C,match(E10234,'Player ID'!B:B,0))</f>
        <v>687330</v>
      </c>
    </row>
    <row r="10235">
      <c r="A10235" s="76">
        <v>45833.0</v>
      </c>
      <c r="B10235" s="1" t="s">
        <v>108</v>
      </c>
      <c r="C10235" s="1" t="s">
        <v>37</v>
      </c>
      <c r="D10235" s="1">
        <v>1.0</v>
      </c>
      <c r="E10235" s="1">
        <v>17948.0</v>
      </c>
      <c r="F10235" s="10">
        <f t="shared" si="1"/>
        <v>1</v>
      </c>
      <c r="G10235" s="10">
        <f t="array" ref="G10235">index('Player ID'!C:C,match(E10235,'Player ID'!B:B,0))</f>
        <v>663423</v>
      </c>
    </row>
    <row r="10236">
      <c r="A10236" s="76">
        <v>45833.0</v>
      </c>
      <c r="B10236" s="1" t="s">
        <v>28</v>
      </c>
      <c r="C10236" s="1" t="s">
        <v>16</v>
      </c>
      <c r="D10236" s="1">
        <v>1.0</v>
      </c>
      <c r="E10236" s="1">
        <v>20253.0</v>
      </c>
      <c r="F10236" s="10">
        <f t="shared" si="1"/>
        <v>1</v>
      </c>
      <c r="G10236" s="10">
        <f t="array" ref="G10236">index('Player ID'!C:C,match(E10236,'Player ID'!B:B,0))</f>
        <v>643377</v>
      </c>
    </row>
    <row r="10237">
      <c r="A10237" s="76">
        <v>45833.0</v>
      </c>
      <c r="B10237" s="1" t="s">
        <v>157</v>
      </c>
      <c r="C10237" s="1" t="s">
        <v>37</v>
      </c>
      <c r="D10237" s="1">
        <v>1.0</v>
      </c>
      <c r="E10237" s="1">
        <v>20997.0</v>
      </c>
      <c r="F10237" s="10">
        <f t="shared" si="1"/>
        <v>1</v>
      </c>
      <c r="G10237" s="10">
        <f t="array" ref="G10237">index('Player ID'!C:C,match(E10237,'Player ID'!B:B,0))</f>
        <v>660825</v>
      </c>
    </row>
    <row r="10238">
      <c r="A10238" s="76">
        <v>45833.0</v>
      </c>
      <c r="B10238" s="1" t="s">
        <v>122</v>
      </c>
      <c r="C10238" s="1" t="s">
        <v>16</v>
      </c>
      <c r="D10238" s="1">
        <v>1.0</v>
      </c>
      <c r="E10238" s="1">
        <v>21029.0</v>
      </c>
      <c r="F10238" s="10">
        <f t="shared" si="1"/>
        <v>1</v>
      </c>
      <c r="G10238" s="10">
        <f t="array" ref="G10238">index('Player ID'!C:C,match(E10238,'Player ID'!B:B,0))</f>
        <v>661395</v>
      </c>
    </row>
    <row r="10239">
      <c r="A10239" s="76">
        <v>45833.0</v>
      </c>
      <c r="B10239" s="1" t="s">
        <v>150</v>
      </c>
      <c r="C10239" s="1" t="s">
        <v>16</v>
      </c>
      <c r="D10239" s="1">
        <v>6.0</v>
      </c>
      <c r="E10239" s="1">
        <v>21390.0</v>
      </c>
      <c r="F10239" s="10">
        <f t="shared" si="1"/>
        <v>6</v>
      </c>
      <c r="G10239" s="10">
        <f t="array" ref="G10239">index('Player ID'!C:C,match(E10239,'Player ID'!B:B,0))</f>
        <v>657746</v>
      </c>
    </row>
    <row r="10240">
      <c r="A10240" s="76">
        <v>45833.0</v>
      </c>
      <c r="B10240" s="1" t="s">
        <v>164</v>
      </c>
      <c r="C10240" s="1" t="s">
        <v>37</v>
      </c>
      <c r="D10240" s="1">
        <v>6.0</v>
      </c>
      <c r="E10240" s="1">
        <v>25436.0</v>
      </c>
      <c r="F10240" s="10">
        <f t="shared" si="1"/>
        <v>6</v>
      </c>
      <c r="G10240" s="10">
        <f t="array" ref="G10240">index('Player ID'!C:C,match(E10240,'Player ID'!B:B,0))</f>
        <v>669923</v>
      </c>
    </row>
    <row r="10241">
      <c r="A10241" s="76">
        <v>45833.0</v>
      </c>
      <c r="B10241" s="1" t="s">
        <v>47</v>
      </c>
      <c r="C10241" s="1" t="s">
        <v>16</v>
      </c>
      <c r="D10241" s="1">
        <v>1.0</v>
      </c>
      <c r="E10241" s="1">
        <v>27691.0</v>
      </c>
      <c r="F10241" s="10">
        <f t="shared" si="1"/>
        <v>1</v>
      </c>
      <c r="G10241" s="10">
        <f t="array" ref="G10241">index('Player ID'!C:C,match(E10241,'Player ID'!B:B,0))</f>
        <v>686973</v>
      </c>
    </row>
    <row r="10242">
      <c r="A10242" s="76">
        <v>45833.0</v>
      </c>
      <c r="B10242" s="1" t="s">
        <v>629</v>
      </c>
      <c r="C10242" s="1" t="s">
        <v>34</v>
      </c>
      <c r="D10242" s="1">
        <v>1.0</v>
      </c>
      <c r="E10242" s="1">
        <v>5615.0</v>
      </c>
      <c r="F10242" s="10">
        <f t="shared" si="1"/>
        <v>1</v>
      </c>
      <c r="G10242" s="10">
        <f t="array" ref="G10242">index('Player ID'!C:C,match(E10242,'Player ID'!B:B,0))</f>
        <v>518489</v>
      </c>
    </row>
    <row r="10243">
      <c r="A10243" s="76">
        <v>45833.0</v>
      </c>
      <c r="B10243" s="1" t="s">
        <v>800</v>
      </c>
      <c r="C10243" s="1" t="s">
        <v>34</v>
      </c>
      <c r="D10243" s="1">
        <v>1.0</v>
      </c>
      <c r="E10243" s="1">
        <v>13218.0</v>
      </c>
      <c r="F10243" s="10">
        <f t="shared" si="1"/>
        <v>1</v>
      </c>
      <c r="G10243" s="10">
        <f t="array" ref="G10243">index('Player ID'!C:C,match(E10243,'Player ID'!B:B,0))</f>
        <v>605242</v>
      </c>
    </row>
    <row r="10244">
      <c r="A10244" s="76">
        <v>45833.0</v>
      </c>
      <c r="B10244" s="1" t="s">
        <v>246</v>
      </c>
      <c r="C10244" s="1" t="s">
        <v>34</v>
      </c>
      <c r="D10244" s="1">
        <v>6.0</v>
      </c>
      <c r="E10244" s="1">
        <v>15440.0</v>
      </c>
      <c r="F10244" s="10">
        <f t="shared" si="1"/>
        <v>6</v>
      </c>
      <c r="G10244" s="10">
        <f t="array" ref="G10244">index('Player ID'!C:C,match(E10244,'Player ID'!B:B,0))</f>
        <v>571510</v>
      </c>
    </row>
    <row r="10245">
      <c r="A10245" s="76">
        <v>45833.0</v>
      </c>
      <c r="B10245" s="1" t="s">
        <v>321</v>
      </c>
      <c r="C10245" s="1" t="s">
        <v>72</v>
      </c>
      <c r="D10245" s="1">
        <v>3.2</v>
      </c>
      <c r="E10245" s="1">
        <v>17425.0</v>
      </c>
      <c r="F10245" s="10">
        <f t="shared" si="1"/>
        <v>3.666666667</v>
      </c>
      <c r="G10245" s="10">
        <f t="array" ref="G10245">index('Player ID'!C:C,match(E10245,'Player ID'!B:B,0))</f>
        <v>607200</v>
      </c>
    </row>
    <row r="10246">
      <c r="A10246" s="76">
        <v>45833.0</v>
      </c>
      <c r="B10246" s="1" t="s">
        <v>897</v>
      </c>
      <c r="C10246" s="1" t="s">
        <v>72</v>
      </c>
      <c r="D10246" s="1">
        <v>1.0</v>
      </c>
      <c r="E10246" s="1">
        <v>19262.0</v>
      </c>
      <c r="F10246" s="10">
        <f t="shared" si="1"/>
        <v>1</v>
      </c>
      <c r="G10246" s="10" t="str">
        <f t="array" ref="G10246">index('Player ID'!C:C,match(E10246,'Player ID'!B:B,0))</f>
        <v>#N/A</v>
      </c>
    </row>
    <row r="10247">
      <c r="A10247" s="76">
        <v>45833.0</v>
      </c>
      <c r="B10247" s="1" t="s">
        <v>273</v>
      </c>
      <c r="C10247" s="1" t="s">
        <v>72</v>
      </c>
      <c r="D10247" s="1">
        <v>2.1</v>
      </c>
      <c r="E10247" s="1">
        <v>22051.0</v>
      </c>
      <c r="F10247" s="10">
        <f t="shared" si="1"/>
        <v>2.333333333</v>
      </c>
      <c r="G10247" s="10">
        <f t="array" ref="G10247">index('Player ID'!C:C,match(E10247,'Player ID'!B:B,0))</f>
        <v>667463</v>
      </c>
    </row>
    <row r="10248">
      <c r="A10248" s="76">
        <v>45833.0</v>
      </c>
      <c r="B10248" s="1" t="s">
        <v>388</v>
      </c>
      <c r="C10248" s="1" t="s">
        <v>34</v>
      </c>
      <c r="D10248" s="1">
        <v>1.0</v>
      </c>
      <c r="E10248" s="1">
        <v>26413.0</v>
      </c>
      <c r="F10248" s="10">
        <f t="shared" si="1"/>
        <v>1</v>
      </c>
      <c r="G10248" s="10">
        <f t="array" ref="G10248">index('Player ID'!C:C,match(E10248,'Player ID'!B:B,0))</f>
        <v>687863</v>
      </c>
    </row>
    <row r="10249">
      <c r="A10249" s="76">
        <v>45833.0</v>
      </c>
      <c r="B10249" s="1" t="s">
        <v>223</v>
      </c>
      <c r="C10249" s="1" t="s">
        <v>72</v>
      </c>
      <c r="D10249" s="1">
        <v>2.0</v>
      </c>
      <c r="E10249" s="1">
        <v>29629.0</v>
      </c>
      <c r="F10249" s="10">
        <f t="shared" si="1"/>
        <v>2</v>
      </c>
      <c r="G10249" s="10">
        <f t="array" ref="G10249">index('Player ID'!C:C,match(E10249,'Player ID'!B:B,0))</f>
        <v>694335</v>
      </c>
    </row>
    <row r="10250">
      <c r="A10250" s="76">
        <v>45833.0</v>
      </c>
      <c r="B10250" s="1" t="s">
        <v>79</v>
      </c>
      <c r="C10250" s="1" t="s">
        <v>45</v>
      </c>
      <c r="D10250" s="1">
        <v>6.0</v>
      </c>
      <c r="E10250" s="1">
        <v>10310.0</v>
      </c>
      <c r="F10250" s="10">
        <f t="shared" si="1"/>
        <v>6</v>
      </c>
      <c r="G10250" s="10">
        <f t="array" ref="G10250">index('Player ID'!C:C,match(E10250,'Player ID'!B:B,0))</f>
        <v>554430</v>
      </c>
    </row>
    <row r="10251">
      <c r="A10251" s="76">
        <v>45833.0</v>
      </c>
      <c r="B10251" s="1" t="s">
        <v>38</v>
      </c>
      <c r="C10251" s="1" t="s">
        <v>39</v>
      </c>
      <c r="D10251" s="1">
        <v>1.0</v>
      </c>
      <c r="E10251" s="1">
        <v>13580.0</v>
      </c>
      <c r="F10251" s="10">
        <f t="shared" si="1"/>
        <v>1</v>
      </c>
      <c r="G10251" s="10">
        <f t="array" ref="G10251">index('Player ID'!C:C,match(E10251,'Player ID'!B:B,0))</f>
        <v>595345</v>
      </c>
    </row>
    <row r="10252">
      <c r="A10252" s="76">
        <v>45833.0</v>
      </c>
      <c r="B10252" s="1" t="s">
        <v>182</v>
      </c>
      <c r="C10252" s="1" t="s">
        <v>45</v>
      </c>
      <c r="D10252" s="1">
        <v>1.0</v>
      </c>
      <c r="E10252" s="1">
        <v>13799.0</v>
      </c>
      <c r="F10252" s="10">
        <f t="shared" si="1"/>
        <v>1</v>
      </c>
      <c r="G10252" s="10">
        <f t="array" ref="G10252">index('Player ID'!C:C,match(E10252,'Player ID'!B:B,0))</f>
        <v>621381</v>
      </c>
    </row>
    <row r="10253">
      <c r="A10253" s="76">
        <v>45833.0</v>
      </c>
      <c r="B10253" s="1" t="s">
        <v>59</v>
      </c>
      <c r="C10253" s="1" t="s">
        <v>39</v>
      </c>
      <c r="D10253" s="1">
        <v>1.0</v>
      </c>
      <c r="E10253" s="1">
        <v>14212.0</v>
      </c>
      <c r="F10253" s="10">
        <f t="shared" si="1"/>
        <v>1</v>
      </c>
      <c r="G10253" s="10">
        <f t="array" ref="G10253">index('Player ID'!C:C,match(E10253,'Player ID'!B:B,0))</f>
        <v>623352</v>
      </c>
    </row>
    <row r="10254">
      <c r="A10254" s="76">
        <v>45833.0</v>
      </c>
      <c r="B10254" s="1" t="s">
        <v>208</v>
      </c>
      <c r="C10254" s="1" t="s">
        <v>45</v>
      </c>
      <c r="D10254" s="1">
        <v>1.0</v>
      </c>
      <c r="E10254" s="1">
        <v>16122.0</v>
      </c>
      <c r="F10254" s="10">
        <f t="shared" si="1"/>
        <v>1</v>
      </c>
      <c r="G10254" s="10">
        <f t="array" ref="G10254">index('Player ID'!C:C,match(E10254,'Player ID'!B:B,0))</f>
        <v>605447</v>
      </c>
    </row>
    <row r="10255">
      <c r="A10255" s="76">
        <v>45833.0</v>
      </c>
      <c r="B10255" s="1" t="s">
        <v>102</v>
      </c>
      <c r="C10255" s="1" t="s">
        <v>39</v>
      </c>
      <c r="D10255" s="1">
        <v>1.0</v>
      </c>
      <c r="E10255" s="1">
        <v>21345.0</v>
      </c>
      <c r="F10255" s="10">
        <f t="shared" si="1"/>
        <v>1</v>
      </c>
      <c r="G10255" s="10">
        <f t="array" ref="G10255">index('Player ID'!C:C,match(E10255,'Player ID'!B:B,0))</f>
        <v>656986</v>
      </c>
    </row>
    <row r="10256">
      <c r="A10256" s="76">
        <v>45833.0</v>
      </c>
      <c r="B10256" s="1" t="s">
        <v>76</v>
      </c>
      <c r="C10256" s="1" t="s">
        <v>39</v>
      </c>
      <c r="D10256" s="1">
        <v>1.0</v>
      </c>
      <c r="E10256" s="1">
        <v>25890.0</v>
      </c>
      <c r="F10256" s="10">
        <f t="shared" si="1"/>
        <v>1</v>
      </c>
      <c r="G10256" s="10">
        <f t="array" ref="G10256">index('Player ID'!C:C,match(E10256,'Player ID'!B:B,0))</f>
        <v>687911</v>
      </c>
    </row>
    <row r="10257">
      <c r="A10257" s="76">
        <v>45833.0</v>
      </c>
      <c r="B10257" s="1" t="s">
        <v>197</v>
      </c>
      <c r="C10257" s="1" t="s">
        <v>39</v>
      </c>
      <c r="D10257" s="1">
        <v>5.0</v>
      </c>
      <c r="E10257" s="1">
        <v>31312.0</v>
      </c>
      <c r="F10257" s="10">
        <f t="shared" si="1"/>
        <v>5</v>
      </c>
      <c r="G10257" s="10">
        <f t="array" ref="G10257">index('Player ID'!C:C,match(E10257,'Player ID'!B:B,0))</f>
        <v>676467</v>
      </c>
    </row>
    <row r="10258">
      <c r="A10258" s="76">
        <v>45833.0</v>
      </c>
      <c r="B10258" s="1" t="s">
        <v>503</v>
      </c>
      <c r="C10258" s="1" t="s">
        <v>33</v>
      </c>
      <c r="D10258" s="1">
        <v>0.2</v>
      </c>
      <c r="E10258" s="1">
        <v>15043.0</v>
      </c>
      <c r="F10258" s="10">
        <f t="shared" si="1"/>
        <v>0.6666666667</v>
      </c>
      <c r="G10258" s="10">
        <f t="array" ref="G10258">index('Player ID'!C:C,match(E10258,'Player ID'!B:B,0))</f>
        <v>642152</v>
      </c>
    </row>
    <row r="10259">
      <c r="A10259" s="76">
        <v>45833.0</v>
      </c>
      <c r="B10259" s="1" t="s">
        <v>870</v>
      </c>
      <c r="C10259" s="1" t="s">
        <v>33</v>
      </c>
      <c r="D10259" s="1">
        <v>1.0</v>
      </c>
      <c r="E10259" s="1">
        <v>17282.0</v>
      </c>
      <c r="F10259" s="10">
        <f t="shared" si="1"/>
        <v>1</v>
      </c>
      <c r="G10259" s="10" t="str">
        <f t="array" ref="G10259">index('Player ID'!C:C,match(E10259,'Player ID'!B:B,0))</f>
        <v>#N/A</v>
      </c>
    </row>
    <row r="10260">
      <c r="A10260" s="76">
        <v>45833.0</v>
      </c>
      <c r="B10260" s="1" t="s">
        <v>288</v>
      </c>
      <c r="C10260" s="1" t="s">
        <v>75</v>
      </c>
      <c r="D10260" s="1">
        <v>0.1</v>
      </c>
      <c r="E10260" s="1">
        <v>18297.0</v>
      </c>
      <c r="F10260" s="10">
        <f t="shared" si="1"/>
        <v>0.3333333333</v>
      </c>
      <c r="G10260" s="10">
        <f t="array" ref="G10260">index('Player ID'!C:C,match(E10260,'Player ID'!B:B,0))</f>
        <v>641755</v>
      </c>
    </row>
    <row r="10261">
      <c r="A10261" s="76">
        <v>45833.0</v>
      </c>
      <c r="B10261" s="1" t="s">
        <v>215</v>
      </c>
      <c r="C10261" s="1" t="s">
        <v>75</v>
      </c>
      <c r="D10261" s="1">
        <v>1.0</v>
      </c>
      <c r="E10261" s="1">
        <v>21267.0</v>
      </c>
      <c r="F10261" s="10">
        <f t="shared" si="1"/>
        <v>1</v>
      </c>
      <c r="G10261" s="10">
        <f t="array" ref="G10261">index('Player ID'!C:C,match(E10261,'Player ID'!B:B,0))</f>
        <v>656234</v>
      </c>
    </row>
    <row r="10262">
      <c r="A10262" s="76">
        <v>45833.0</v>
      </c>
      <c r="B10262" s="1" t="s">
        <v>92</v>
      </c>
      <c r="C10262" s="1" t="s">
        <v>33</v>
      </c>
      <c r="D10262" s="1">
        <v>0.1</v>
      </c>
      <c r="E10262" s="1">
        <v>25007.0</v>
      </c>
      <c r="F10262" s="10">
        <f t="shared" si="1"/>
        <v>0.3333333333</v>
      </c>
      <c r="G10262" s="10">
        <f t="array" ref="G10262">index('Player ID'!C:C,match(E10262,'Player ID'!B:B,0))</f>
        <v>681911</v>
      </c>
    </row>
    <row r="10263">
      <c r="A10263" s="76">
        <v>45833.0</v>
      </c>
      <c r="B10263" s="1" t="s">
        <v>517</v>
      </c>
      <c r="C10263" s="1" t="s">
        <v>75</v>
      </c>
      <c r="D10263" s="1">
        <v>2.0</v>
      </c>
      <c r="E10263" s="1">
        <v>26952.0</v>
      </c>
      <c r="F10263" s="10">
        <f t="shared" si="1"/>
        <v>2</v>
      </c>
      <c r="G10263" s="10">
        <f t="array" ref="G10263">index('Player ID'!C:C,match(E10263,'Player ID'!B:B,0))</f>
        <v>683627</v>
      </c>
    </row>
    <row r="10264">
      <c r="A10264" s="76">
        <v>45833.0</v>
      </c>
      <c r="B10264" s="1" t="s">
        <v>893</v>
      </c>
      <c r="C10264" s="1" t="s">
        <v>33</v>
      </c>
      <c r="D10264" s="1">
        <v>2.0</v>
      </c>
      <c r="E10264" s="1">
        <v>27787.0</v>
      </c>
      <c r="F10264" s="10">
        <f t="shared" si="1"/>
        <v>2</v>
      </c>
      <c r="G10264" s="10" t="str">
        <f t="array" ref="G10264">index('Player ID'!C:C,match(E10264,'Player ID'!B:B,0))</f>
        <v>#N/A</v>
      </c>
    </row>
    <row r="10265">
      <c r="A10265" s="76">
        <v>45833.0</v>
      </c>
      <c r="B10265" s="1" t="s">
        <v>495</v>
      </c>
      <c r="C10265" s="1" t="s">
        <v>75</v>
      </c>
      <c r="D10265" s="1">
        <v>5.2</v>
      </c>
      <c r="E10265" s="1">
        <v>33482.0</v>
      </c>
      <c r="F10265" s="10">
        <f t="shared" si="1"/>
        <v>5.666666667</v>
      </c>
      <c r="G10265" s="10">
        <f t="array" ref="G10265">index('Player ID'!C:C,match(E10265,'Player ID'!B:B,0))</f>
        <v>801403</v>
      </c>
    </row>
    <row r="10266">
      <c r="A10266" s="76">
        <v>45833.0</v>
      </c>
      <c r="B10266" s="1" t="s">
        <v>85</v>
      </c>
      <c r="C10266" s="1" t="s">
        <v>33</v>
      </c>
      <c r="D10266" s="1">
        <v>5.0</v>
      </c>
      <c r="E10266" s="1">
        <v>33825.0</v>
      </c>
      <c r="F10266" s="10">
        <f t="shared" si="1"/>
        <v>5</v>
      </c>
      <c r="G10266" s="10">
        <f t="array" ref="G10266">index('Player ID'!C:C,match(E10266,'Player ID'!B:B,0))</f>
        <v>808967</v>
      </c>
    </row>
    <row r="10267">
      <c r="A10267" s="76">
        <v>45833.0</v>
      </c>
      <c r="B10267" s="1" t="s">
        <v>20</v>
      </c>
      <c r="C10267" s="1" t="s">
        <v>31</v>
      </c>
      <c r="D10267" s="1">
        <v>1.0</v>
      </c>
      <c r="E10267" s="1">
        <v>15541.0</v>
      </c>
      <c r="F10267" s="10">
        <f t="shared" si="1"/>
        <v>1</v>
      </c>
      <c r="G10267" s="10">
        <f t="array" ref="G10267">index('Player ID'!C:C,match(E10267,'Player ID'!B:B,0))</f>
        <v>643511</v>
      </c>
    </row>
    <row r="10268">
      <c r="A10268" s="76">
        <v>45833.0</v>
      </c>
      <c r="B10268" s="1" t="s">
        <v>77</v>
      </c>
      <c r="C10268" s="1" t="s">
        <v>31</v>
      </c>
      <c r="D10268" s="1">
        <v>6.0</v>
      </c>
      <c r="E10268" s="1">
        <v>17995.0</v>
      </c>
      <c r="F10268" s="10">
        <f t="shared" si="1"/>
        <v>6</v>
      </c>
      <c r="G10268" s="10">
        <f t="array" ref="G10268">index('Player ID'!C:C,match(E10268,'Player ID'!B:B,0))</f>
        <v>657277</v>
      </c>
    </row>
    <row r="10269">
      <c r="A10269" s="76">
        <v>45833.0</v>
      </c>
      <c r="B10269" s="1" t="s">
        <v>262</v>
      </c>
      <c r="C10269" s="1" t="s">
        <v>36</v>
      </c>
      <c r="D10269" s="1">
        <v>1.0</v>
      </c>
      <c r="E10269" s="1">
        <v>20116.0</v>
      </c>
      <c r="F10269" s="10">
        <f t="shared" si="1"/>
        <v>1</v>
      </c>
      <c r="G10269" s="10">
        <f t="array" ref="G10269">index('Player ID'!C:C,match(E10269,'Player ID'!B:B,0))</f>
        <v>676534</v>
      </c>
    </row>
    <row r="10270">
      <c r="A10270" s="76">
        <v>45833.0</v>
      </c>
      <c r="B10270" s="1" t="s">
        <v>61</v>
      </c>
      <c r="C10270" s="1" t="s">
        <v>36</v>
      </c>
      <c r="D10270" s="1">
        <v>1.0</v>
      </c>
      <c r="E10270" s="1">
        <v>20629.0</v>
      </c>
      <c r="F10270" s="10">
        <f t="shared" si="1"/>
        <v>1</v>
      </c>
      <c r="G10270" s="10">
        <f t="array" ref="G10270">index('Player ID'!C:C,match(E10270,'Player ID'!B:B,0))</f>
        <v>663969</v>
      </c>
    </row>
    <row r="10271">
      <c r="A10271" s="76">
        <v>45833.0</v>
      </c>
      <c r="B10271" s="1" t="s">
        <v>862</v>
      </c>
      <c r="C10271" s="1" t="s">
        <v>31</v>
      </c>
      <c r="D10271" s="1">
        <v>0.1</v>
      </c>
      <c r="E10271" s="1">
        <v>21481.0</v>
      </c>
      <c r="F10271" s="10">
        <f t="shared" si="1"/>
        <v>0.3333333333</v>
      </c>
      <c r="G10271" s="10" t="str">
        <f t="array" ref="G10271">index('Player ID'!C:C,match(E10271,'Player ID'!B:B,0))</f>
        <v>#N/A</v>
      </c>
    </row>
    <row r="10272">
      <c r="A10272" s="76">
        <v>45833.0</v>
      </c>
      <c r="B10272" s="1" t="s">
        <v>171</v>
      </c>
      <c r="C10272" s="1" t="s">
        <v>36</v>
      </c>
      <c r="D10272" s="1">
        <v>5.1</v>
      </c>
      <c r="E10272" s="1">
        <v>21690.0</v>
      </c>
      <c r="F10272" s="10">
        <f t="shared" si="1"/>
        <v>5.333333333</v>
      </c>
      <c r="G10272" s="10">
        <f t="array" ref="G10272">index('Player ID'!C:C,match(E10272,'Player ID'!B:B,0))</f>
        <v>665795</v>
      </c>
    </row>
    <row r="10273">
      <c r="A10273" s="76">
        <v>45833.0</v>
      </c>
      <c r="B10273" s="1" t="s">
        <v>304</v>
      </c>
      <c r="C10273" s="1" t="s">
        <v>31</v>
      </c>
      <c r="D10273" s="1">
        <v>0.2</v>
      </c>
      <c r="E10273" s="1">
        <v>21992.0</v>
      </c>
      <c r="F10273" s="10">
        <f t="shared" si="1"/>
        <v>0.6666666667</v>
      </c>
      <c r="G10273" s="10">
        <f t="array" ref="G10273">index('Player ID'!C:C,match(E10273,'Player ID'!B:B,0))</f>
        <v>666808</v>
      </c>
    </row>
    <row r="10274">
      <c r="A10274" s="76">
        <v>45833.0</v>
      </c>
      <c r="B10274" s="1" t="s">
        <v>654</v>
      </c>
      <c r="C10274" s="1" t="s">
        <v>31</v>
      </c>
      <c r="D10274" s="1">
        <v>1.0</v>
      </c>
      <c r="E10274" s="1">
        <v>23974.0</v>
      </c>
      <c r="F10274" s="10">
        <f t="shared" si="1"/>
        <v>1</v>
      </c>
      <c r="G10274" s="10">
        <f t="array" ref="G10274">index('Player ID'!C:C,match(E10274,'Player ID'!B:B,0))</f>
        <v>678495</v>
      </c>
    </row>
    <row r="10275">
      <c r="A10275" s="76">
        <v>45833.0</v>
      </c>
      <c r="B10275" s="1" t="s">
        <v>123</v>
      </c>
      <c r="C10275" s="1" t="s">
        <v>36</v>
      </c>
      <c r="D10275" s="1">
        <v>1.0</v>
      </c>
      <c r="E10275" s="1">
        <v>24094.0</v>
      </c>
      <c r="F10275" s="10">
        <f t="shared" si="1"/>
        <v>1</v>
      </c>
      <c r="G10275" s="10">
        <f t="array" ref="G10275">index('Player ID'!C:C,match(E10275,'Player ID'!B:B,0))</f>
        <v>678692</v>
      </c>
    </row>
    <row r="10276">
      <c r="A10276" s="76">
        <v>45833.0</v>
      </c>
      <c r="B10276" s="1" t="s">
        <v>446</v>
      </c>
      <c r="C10276" s="1" t="s">
        <v>36</v>
      </c>
      <c r="D10276" s="1">
        <v>1.2</v>
      </c>
      <c r="E10276" s="1">
        <v>25957.0</v>
      </c>
      <c r="F10276" s="10">
        <f t="shared" si="1"/>
        <v>1.666666667</v>
      </c>
      <c r="G10276" s="10" t="str">
        <f t="array" ref="G10276">index('Player ID'!C:C,match(E10276,'Player ID'!B:B,0))</f>
        <v>#N/A</v>
      </c>
    </row>
    <row r="10277">
      <c r="A10277" s="76">
        <v>45833.0</v>
      </c>
      <c r="B10277" s="1" t="s">
        <v>655</v>
      </c>
      <c r="C10277" s="1" t="s">
        <v>31</v>
      </c>
      <c r="D10277" s="1">
        <v>1.0</v>
      </c>
      <c r="E10277" s="1">
        <v>26252.0</v>
      </c>
      <c r="F10277" s="10">
        <f t="shared" si="1"/>
        <v>1</v>
      </c>
      <c r="G10277" s="10">
        <f t="array" ref="G10277">index('Player ID'!C:C,match(E10277,'Player ID'!B:B,0))</f>
        <v>669062</v>
      </c>
    </row>
    <row r="10278">
      <c r="A10278" s="76">
        <v>45834.0</v>
      </c>
      <c r="B10278" s="1" t="s">
        <v>668</v>
      </c>
      <c r="C10278" s="1" t="s">
        <v>52</v>
      </c>
      <c r="D10278" s="1">
        <v>1.0</v>
      </c>
      <c r="E10278" s="1">
        <v>3237.0</v>
      </c>
      <c r="F10278" s="10">
        <f t="shared" si="1"/>
        <v>1</v>
      </c>
      <c r="G10278" s="10">
        <f t="array" ref="G10278">index('Player ID'!C:C,match(E10278,'Player ID'!B:B,0))</f>
        <v>519008</v>
      </c>
    </row>
    <row r="10279">
      <c r="A10279" s="76">
        <v>45834.0</v>
      </c>
      <c r="B10279" s="1" t="s">
        <v>172</v>
      </c>
      <c r="C10279" s="1" t="s">
        <v>62</v>
      </c>
      <c r="D10279" s="1">
        <v>5.0</v>
      </c>
      <c r="E10279" s="1">
        <v>13932.0</v>
      </c>
      <c r="F10279" s="10">
        <f t="shared" si="1"/>
        <v>5</v>
      </c>
      <c r="G10279" s="10">
        <f t="array" ref="G10279">index('Player ID'!C:C,match(E10279,'Player ID'!B:B,0))</f>
        <v>608650</v>
      </c>
    </row>
    <row r="10280">
      <c r="A10280" s="76">
        <v>45834.0</v>
      </c>
      <c r="B10280" s="1" t="s">
        <v>336</v>
      </c>
      <c r="C10280" s="1" t="s">
        <v>52</v>
      </c>
      <c r="D10280" s="1">
        <v>5.0</v>
      </c>
      <c r="E10280" s="1">
        <v>17677.0</v>
      </c>
      <c r="F10280" s="10">
        <f t="shared" si="1"/>
        <v>5</v>
      </c>
      <c r="G10280" s="10">
        <f t="array" ref="G10280">index('Player ID'!C:C,match(E10280,'Player ID'!B:B,0))</f>
        <v>605488</v>
      </c>
    </row>
    <row r="10281">
      <c r="A10281" s="76">
        <v>45834.0</v>
      </c>
      <c r="B10281" s="1" t="s">
        <v>131</v>
      </c>
      <c r="C10281" s="1" t="s">
        <v>62</v>
      </c>
      <c r="D10281" s="1">
        <v>1.0</v>
      </c>
      <c r="E10281" s="1">
        <v>19769.0</v>
      </c>
      <c r="F10281" s="10">
        <f t="shared" si="1"/>
        <v>1</v>
      </c>
      <c r="G10281" s="10">
        <f t="array" ref="G10281">index('Player ID'!C:C,match(E10281,'Player ID'!B:B,0))</f>
        <v>676684</v>
      </c>
    </row>
    <row r="10282">
      <c r="A10282" s="76">
        <v>45834.0</v>
      </c>
      <c r="B10282" s="1" t="s">
        <v>289</v>
      </c>
      <c r="C10282" s="1" t="s">
        <v>62</v>
      </c>
      <c r="D10282" s="1">
        <v>1.0</v>
      </c>
      <c r="E10282" s="1">
        <v>22304.0</v>
      </c>
      <c r="F10282" s="10">
        <f t="shared" si="1"/>
        <v>1</v>
      </c>
      <c r="G10282" s="10">
        <f t="array" ref="G10282">index('Player ID'!C:C,match(E10282,'Player ID'!B:B,0))</f>
        <v>669724</v>
      </c>
    </row>
    <row r="10283">
      <c r="A10283" s="76">
        <v>45834.0</v>
      </c>
      <c r="B10283" s="1" t="s">
        <v>82</v>
      </c>
      <c r="C10283" s="1" t="s">
        <v>62</v>
      </c>
      <c r="D10283" s="1">
        <v>1.0</v>
      </c>
      <c r="E10283" s="1">
        <v>26231.0</v>
      </c>
      <c r="F10283" s="10">
        <f t="shared" si="1"/>
        <v>1</v>
      </c>
      <c r="G10283" s="10">
        <f t="array" ref="G10283">index('Player ID'!C:C,match(E10283,'Player ID'!B:B,0))</f>
        <v>663947</v>
      </c>
    </row>
    <row r="10284">
      <c r="A10284" s="76">
        <v>45834.0</v>
      </c>
      <c r="B10284" s="1" t="s">
        <v>296</v>
      </c>
      <c r="C10284" s="1" t="s">
        <v>52</v>
      </c>
      <c r="D10284" s="1">
        <v>2.0</v>
      </c>
      <c r="E10284" s="1">
        <v>27889.0</v>
      </c>
      <c r="F10284" s="10">
        <f t="shared" si="1"/>
        <v>2</v>
      </c>
      <c r="G10284" s="10">
        <f t="array" ref="G10284">index('Player ID'!C:C,match(E10284,'Player ID'!B:B,0))</f>
        <v>669372</v>
      </c>
    </row>
    <row r="10285">
      <c r="A10285" s="76">
        <v>45834.0</v>
      </c>
      <c r="B10285" s="1" t="s">
        <v>160</v>
      </c>
      <c r="C10285" s="1" t="s">
        <v>62</v>
      </c>
      <c r="D10285" s="1">
        <v>1.0</v>
      </c>
      <c r="E10285" s="1">
        <v>29574.0</v>
      </c>
      <c r="F10285" s="10">
        <f t="shared" si="1"/>
        <v>1</v>
      </c>
      <c r="G10285" s="10">
        <f t="array" ref="G10285">index('Player ID'!C:C,match(E10285,'Player ID'!B:B,0))</f>
        <v>695445</v>
      </c>
    </row>
    <row r="10286">
      <c r="A10286" s="76">
        <v>45834.0</v>
      </c>
      <c r="B10286" s="1" t="s">
        <v>155</v>
      </c>
      <c r="C10286" s="1" t="s">
        <v>40</v>
      </c>
      <c r="D10286" s="1">
        <v>8.0</v>
      </c>
      <c r="E10286" s="1">
        <v>14107.0</v>
      </c>
      <c r="F10286" s="10">
        <f t="shared" si="1"/>
        <v>8</v>
      </c>
      <c r="G10286" s="10">
        <f t="array" ref="G10286">index('Player ID'!C:C,match(E10286,'Player ID'!B:B,0))</f>
        <v>592332</v>
      </c>
    </row>
    <row r="10287">
      <c r="A10287" s="76">
        <v>45834.0</v>
      </c>
      <c r="B10287" s="1" t="s">
        <v>174</v>
      </c>
      <c r="C10287" s="1" t="s">
        <v>40</v>
      </c>
      <c r="D10287" s="1">
        <v>1.0</v>
      </c>
      <c r="E10287" s="1">
        <v>15552.0</v>
      </c>
      <c r="F10287" s="10">
        <f t="shared" si="1"/>
        <v>1</v>
      </c>
      <c r="G10287" s="10">
        <f t="array" ref="G10287">index('Player ID'!C:C,match(E10287,'Player ID'!B:B,0))</f>
        <v>643338</v>
      </c>
    </row>
    <row r="10288">
      <c r="A10288" s="76">
        <v>45834.0</v>
      </c>
      <c r="B10288" s="1" t="s">
        <v>259</v>
      </c>
      <c r="C10288" s="1" t="s">
        <v>70</v>
      </c>
      <c r="D10288" s="1">
        <v>0.2</v>
      </c>
      <c r="E10288" s="1">
        <v>18694.0</v>
      </c>
      <c r="F10288" s="10">
        <f t="shared" si="1"/>
        <v>0.6666666667</v>
      </c>
      <c r="G10288" s="10">
        <f t="array" ref="G10288">index('Player ID'!C:C,match(E10288,'Player ID'!B:B,0))</f>
        <v>663465</v>
      </c>
    </row>
    <row r="10289">
      <c r="A10289" s="76">
        <v>45834.0</v>
      </c>
      <c r="B10289" s="1" t="s">
        <v>727</v>
      </c>
      <c r="C10289" s="1" t="s">
        <v>70</v>
      </c>
      <c r="D10289" s="1">
        <v>2.1</v>
      </c>
      <c r="E10289" s="1">
        <v>25703.0</v>
      </c>
      <c r="F10289" s="10">
        <f t="shared" si="1"/>
        <v>2.333333333</v>
      </c>
      <c r="G10289" s="10">
        <f t="array" ref="G10289">index('Player ID'!C:C,match(E10289,'Player ID'!B:B,0))</f>
        <v>687849</v>
      </c>
    </row>
    <row r="10290">
      <c r="A10290" s="76">
        <v>45834.0</v>
      </c>
      <c r="B10290" s="1" t="s">
        <v>308</v>
      </c>
      <c r="C10290" s="1" t="s">
        <v>70</v>
      </c>
      <c r="D10290" s="1">
        <v>6.0</v>
      </c>
      <c r="E10290" s="1">
        <v>30134.0</v>
      </c>
      <c r="F10290" s="10">
        <f t="shared" si="1"/>
        <v>6</v>
      </c>
      <c r="G10290" s="10">
        <f t="array" ref="G10290">index('Player ID'!C:C,match(E10290,'Player ID'!B:B,0))</f>
        <v>676440</v>
      </c>
    </row>
    <row r="10291">
      <c r="A10291" s="76">
        <v>45834.0</v>
      </c>
      <c r="B10291" s="1" t="s">
        <v>435</v>
      </c>
      <c r="C10291" s="1" t="s">
        <v>16</v>
      </c>
      <c r="D10291" s="1">
        <v>1.0</v>
      </c>
      <c r="E10291" s="1">
        <v>13293.0</v>
      </c>
      <c r="F10291" s="10">
        <f t="shared" si="1"/>
        <v>1</v>
      </c>
      <c r="G10291" s="10">
        <f t="array" ref="G10291">index('Player ID'!C:C,match(E10291,'Player ID'!B:B,0))</f>
        <v>543056</v>
      </c>
    </row>
    <row r="10292">
      <c r="A10292" s="76">
        <v>45834.0</v>
      </c>
      <c r="B10292" s="1" t="s">
        <v>146</v>
      </c>
      <c r="C10292" s="1" t="s">
        <v>16</v>
      </c>
      <c r="D10292" s="1">
        <v>1.0</v>
      </c>
      <c r="E10292" s="1">
        <v>15145.0</v>
      </c>
      <c r="F10292" s="10">
        <f t="shared" si="1"/>
        <v>1</v>
      </c>
      <c r="G10292" s="10">
        <f t="array" ref="G10292">index('Player ID'!C:C,match(E10292,'Player ID'!B:B,0))</f>
        <v>623437</v>
      </c>
    </row>
    <row r="10293">
      <c r="A10293" s="76">
        <v>45834.0</v>
      </c>
      <c r="B10293" s="1" t="s">
        <v>249</v>
      </c>
      <c r="C10293" s="1" t="s">
        <v>16</v>
      </c>
      <c r="D10293" s="1">
        <v>1.0</v>
      </c>
      <c r="E10293" s="1">
        <v>16727.0</v>
      </c>
      <c r="F10293" s="10">
        <f t="shared" si="1"/>
        <v>1</v>
      </c>
      <c r="G10293" s="10">
        <f t="array" ref="G10293">index('Player ID'!C:C,match(E10293,'Player ID'!B:B,0))</f>
        <v>592779</v>
      </c>
    </row>
    <row r="10294">
      <c r="A10294" s="76">
        <v>45834.0</v>
      </c>
      <c r="B10294" s="1" t="s">
        <v>108</v>
      </c>
      <c r="C10294" s="1" t="s">
        <v>37</v>
      </c>
      <c r="D10294" s="1">
        <v>1.0</v>
      </c>
      <c r="E10294" s="1">
        <v>17948.0</v>
      </c>
      <c r="F10294" s="10">
        <f t="shared" si="1"/>
        <v>1</v>
      </c>
      <c r="G10294" s="10">
        <f t="array" ref="G10294">index('Player ID'!C:C,match(E10294,'Player ID'!B:B,0))</f>
        <v>663423</v>
      </c>
    </row>
    <row r="10295">
      <c r="A10295" s="76">
        <v>45834.0</v>
      </c>
      <c r="B10295" s="1" t="s">
        <v>898</v>
      </c>
      <c r="C10295" s="1" t="s">
        <v>37</v>
      </c>
      <c r="D10295" s="1">
        <v>1.0</v>
      </c>
      <c r="E10295" s="1">
        <v>20017.0</v>
      </c>
      <c r="F10295" s="10">
        <f t="shared" si="1"/>
        <v>1</v>
      </c>
      <c r="G10295" s="10" t="str">
        <f t="array" ref="G10295">index('Player ID'!C:C,match(E10295,'Player ID'!B:B,0))</f>
        <v>#N/A</v>
      </c>
    </row>
    <row r="10296">
      <c r="A10296" s="76">
        <v>45834.0</v>
      </c>
      <c r="B10296" s="1" t="s">
        <v>882</v>
      </c>
      <c r="C10296" s="1" t="s">
        <v>37</v>
      </c>
      <c r="D10296" s="1">
        <v>1.0</v>
      </c>
      <c r="E10296" s="1">
        <v>20185.0</v>
      </c>
      <c r="F10296" s="10">
        <f t="shared" si="1"/>
        <v>1</v>
      </c>
      <c r="G10296" s="10" t="str">
        <f t="array" ref="G10296">index('Player ID'!C:C,match(E10296,'Player ID'!B:B,0))</f>
        <v>#N/A</v>
      </c>
    </row>
    <row r="10297">
      <c r="A10297" s="76">
        <v>45834.0</v>
      </c>
      <c r="B10297" s="1" t="s">
        <v>237</v>
      </c>
      <c r="C10297" s="1" t="s">
        <v>16</v>
      </c>
      <c r="D10297" s="1">
        <v>1.0</v>
      </c>
      <c r="E10297" s="1">
        <v>21461.0</v>
      </c>
      <c r="F10297" s="10">
        <f t="shared" si="1"/>
        <v>1</v>
      </c>
      <c r="G10297" s="10">
        <f t="array" ref="G10297">index('Player ID'!C:C,match(E10297,'Player ID'!B:B,0))</f>
        <v>663485</v>
      </c>
    </row>
    <row r="10298">
      <c r="A10298" s="76">
        <v>45834.0</v>
      </c>
      <c r="B10298" s="1" t="s">
        <v>490</v>
      </c>
      <c r="C10298" s="1" t="s">
        <v>16</v>
      </c>
      <c r="D10298" s="1">
        <v>5.0</v>
      </c>
      <c r="E10298" s="1">
        <v>24494.0</v>
      </c>
      <c r="F10298" s="10">
        <f t="shared" si="1"/>
        <v>5</v>
      </c>
      <c r="G10298" s="10">
        <f t="array" ref="G10298">index('Player ID'!C:C,match(E10298,'Player ID'!B:B,0))</f>
        <v>680573</v>
      </c>
    </row>
    <row r="10299">
      <c r="A10299" s="76">
        <v>45834.0</v>
      </c>
      <c r="B10299" s="1" t="s">
        <v>509</v>
      </c>
      <c r="C10299" s="1" t="s">
        <v>37</v>
      </c>
      <c r="D10299" s="1">
        <v>5.0</v>
      </c>
      <c r="E10299" s="1">
        <v>27470.0</v>
      </c>
      <c r="F10299" s="10">
        <f t="shared" si="1"/>
        <v>5</v>
      </c>
      <c r="G10299" s="10">
        <f t="array" ref="G10299">index('Player ID'!C:C,match(E10299,'Player ID'!B:B,0))</f>
        <v>676106</v>
      </c>
    </row>
    <row r="10300">
      <c r="A10300" s="76">
        <v>45834.0</v>
      </c>
      <c r="B10300" s="1" t="s">
        <v>210</v>
      </c>
      <c r="C10300" s="1" t="s">
        <v>39</v>
      </c>
      <c r="D10300" s="1">
        <v>1.1</v>
      </c>
      <c r="E10300" s="1">
        <v>16609.0</v>
      </c>
      <c r="F10300" s="10">
        <f t="shared" si="1"/>
        <v>1.333333333</v>
      </c>
      <c r="G10300" s="10">
        <f t="array" ref="G10300">index('Player ID'!C:C,match(E10300,'Player ID'!B:B,0))</f>
        <v>650556</v>
      </c>
    </row>
    <row r="10301">
      <c r="A10301" s="76">
        <v>45834.0</v>
      </c>
      <c r="B10301" s="1" t="s">
        <v>747</v>
      </c>
      <c r="C10301" s="1" t="s">
        <v>45</v>
      </c>
      <c r="D10301" s="1">
        <v>6.0</v>
      </c>
      <c r="E10301" s="1">
        <v>20778.0</v>
      </c>
      <c r="F10301" s="10">
        <f t="shared" si="1"/>
        <v>6</v>
      </c>
      <c r="G10301" s="10">
        <f t="array" ref="G10301">index('Player ID'!C:C,match(E10301,'Player ID'!B:B,0))</f>
        <v>650911</v>
      </c>
    </row>
    <row r="10302">
      <c r="A10302" s="76">
        <v>45834.0</v>
      </c>
      <c r="B10302" s="1" t="s">
        <v>258</v>
      </c>
      <c r="C10302" s="1" t="s">
        <v>45</v>
      </c>
      <c r="D10302" s="1">
        <v>1.0</v>
      </c>
      <c r="E10302" s="1">
        <v>23426.0</v>
      </c>
      <c r="F10302" s="10">
        <f t="shared" si="1"/>
        <v>1</v>
      </c>
      <c r="G10302" s="10" t="str">
        <f t="array" ref="G10302">index('Player ID'!C:C,match(E10302,'Player ID'!B:B,0))</f>
        <v>#N/A</v>
      </c>
    </row>
    <row r="10303">
      <c r="A10303" s="76">
        <v>45834.0</v>
      </c>
      <c r="B10303" s="1" t="s">
        <v>339</v>
      </c>
      <c r="C10303" s="1" t="s">
        <v>39</v>
      </c>
      <c r="D10303" s="1">
        <v>7.0</v>
      </c>
      <c r="E10303" s="1">
        <v>25880.0</v>
      </c>
      <c r="F10303" s="10">
        <f t="shared" si="1"/>
        <v>7</v>
      </c>
      <c r="G10303" s="10">
        <f t="array" ref="G10303">index('Player ID'!C:C,match(E10303,'Player ID'!B:B,0))</f>
        <v>686613</v>
      </c>
    </row>
    <row r="10304">
      <c r="A10304" s="76">
        <v>45834.0</v>
      </c>
      <c r="B10304" s="1" t="s">
        <v>76</v>
      </c>
      <c r="C10304" s="1" t="s">
        <v>39</v>
      </c>
      <c r="D10304" s="1">
        <v>0.2</v>
      </c>
      <c r="E10304" s="1">
        <v>25890.0</v>
      </c>
      <c r="F10304" s="10">
        <f t="shared" si="1"/>
        <v>0.6666666667</v>
      </c>
      <c r="G10304" s="10">
        <f t="array" ref="G10304">index('Player ID'!C:C,match(E10304,'Player ID'!B:B,0))</f>
        <v>687911</v>
      </c>
    </row>
    <row r="10305">
      <c r="A10305" s="76">
        <v>45834.0</v>
      </c>
      <c r="B10305" s="1" t="s">
        <v>165</v>
      </c>
      <c r="C10305" s="1" t="s">
        <v>45</v>
      </c>
      <c r="D10305" s="1">
        <v>1.0</v>
      </c>
      <c r="E10305" s="1">
        <v>31776.0</v>
      </c>
      <c r="F10305" s="10">
        <f t="shared" si="1"/>
        <v>1</v>
      </c>
      <c r="G10305" s="10">
        <f t="array" ref="G10305">index('Player ID'!C:C,match(E10305,'Player ID'!B:B,0))</f>
        <v>689147</v>
      </c>
    </row>
    <row r="10306">
      <c r="A10306" s="76">
        <v>45834.0</v>
      </c>
      <c r="B10306" s="1" t="s">
        <v>649</v>
      </c>
      <c r="C10306" s="1" t="s">
        <v>29</v>
      </c>
      <c r="D10306" s="1">
        <v>1.0</v>
      </c>
      <c r="E10306" s="1">
        <v>14542.0</v>
      </c>
      <c r="F10306" s="10">
        <f t="shared" si="1"/>
        <v>1</v>
      </c>
      <c r="G10306" s="10">
        <f t="array" ref="G10306">index('Player ID'!C:C,match(E10306,'Player ID'!B:B,0))</f>
        <v>608032</v>
      </c>
    </row>
    <row r="10307">
      <c r="A10307" s="76">
        <v>45834.0</v>
      </c>
      <c r="B10307" s="1" t="s">
        <v>420</v>
      </c>
      <c r="C10307" s="1" t="s">
        <v>29</v>
      </c>
      <c r="D10307" s="1">
        <v>5.2</v>
      </c>
      <c r="E10307" s="1">
        <v>14843.0</v>
      </c>
      <c r="F10307" s="10">
        <f t="shared" si="1"/>
        <v>5.666666667</v>
      </c>
      <c r="G10307" s="10">
        <f t="array" ref="G10307">index('Player ID'!C:C,match(E10307,'Player ID'!B:B,0))</f>
        <v>547179</v>
      </c>
    </row>
    <row r="10308">
      <c r="A10308" s="76">
        <v>45834.0</v>
      </c>
      <c r="B10308" s="1" t="s">
        <v>261</v>
      </c>
      <c r="C10308" s="1" t="s">
        <v>54</v>
      </c>
      <c r="D10308" s="1">
        <v>0.2</v>
      </c>
      <c r="E10308" s="1">
        <v>17998.0</v>
      </c>
      <c r="F10308" s="10">
        <f t="shared" si="1"/>
        <v>0.6666666667</v>
      </c>
      <c r="G10308" s="10">
        <f t="array" ref="G10308">index('Player ID'!C:C,match(E10308,'Player ID'!B:B,0))</f>
        <v>664126</v>
      </c>
    </row>
    <row r="10309">
      <c r="A10309" s="76">
        <v>45834.0</v>
      </c>
      <c r="B10309" s="1" t="s">
        <v>144</v>
      </c>
      <c r="C10309" s="1" t="s">
        <v>29</v>
      </c>
      <c r="D10309" s="1">
        <v>1.0</v>
      </c>
      <c r="E10309" s="1">
        <v>20020.0</v>
      </c>
      <c r="F10309" s="10">
        <f t="shared" si="1"/>
        <v>1</v>
      </c>
      <c r="G10309" s="10">
        <f t="array" ref="G10309">index('Player ID'!C:C,match(E10309,'Player ID'!B:B,0))</f>
        <v>670167</v>
      </c>
    </row>
    <row r="10310">
      <c r="A10310" s="76">
        <v>45834.0</v>
      </c>
      <c r="B10310" s="1" t="s">
        <v>242</v>
      </c>
      <c r="C10310" s="1" t="s">
        <v>54</v>
      </c>
      <c r="D10310" s="1">
        <v>8.0</v>
      </c>
      <c r="E10310" s="1">
        <v>22264.0</v>
      </c>
      <c r="F10310" s="10">
        <f t="shared" si="1"/>
        <v>8</v>
      </c>
      <c r="G10310" s="10">
        <f t="array" ref="G10310">index('Player ID'!C:C,match(E10310,'Player ID'!B:B,0))</f>
        <v>669358</v>
      </c>
    </row>
    <row r="10311">
      <c r="A10311" s="76">
        <v>45834.0</v>
      </c>
      <c r="B10311" s="1" t="s">
        <v>140</v>
      </c>
      <c r="C10311" s="1" t="s">
        <v>29</v>
      </c>
      <c r="D10311" s="1">
        <v>0.1</v>
      </c>
      <c r="E10311" s="1">
        <v>22717.0</v>
      </c>
      <c r="F10311" s="10">
        <f t="shared" si="1"/>
        <v>0.3333333333</v>
      </c>
      <c r="G10311" s="10">
        <f t="array" ref="G10311">index('Player ID'!C:C,match(E10311,'Player ID'!B:B,0))</f>
        <v>672582</v>
      </c>
    </row>
    <row r="10312">
      <c r="A10312" s="76">
        <v>45834.0</v>
      </c>
      <c r="B10312" s="1" t="s">
        <v>442</v>
      </c>
      <c r="C10312" s="1" t="s">
        <v>29</v>
      </c>
      <c r="D10312" s="1">
        <v>1.0</v>
      </c>
      <c r="E10312" s="1">
        <v>25379.0</v>
      </c>
      <c r="F10312" s="10">
        <f t="shared" si="1"/>
        <v>1</v>
      </c>
      <c r="G10312" s="10">
        <f t="array" ref="G10312">index('Player ID'!C:C,match(E10312,'Player ID'!B:B,0))</f>
        <v>669674</v>
      </c>
    </row>
    <row r="10313">
      <c r="A10313" s="76">
        <v>45834.0</v>
      </c>
      <c r="B10313" s="1" t="s">
        <v>890</v>
      </c>
      <c r="C10313" s="1" t="s">
        <v>54</v>
      </c>
      <c r="D10313" s="1">
        <v>0.1</v>
      </c>
      <c r="E10313" s="1">
        <v>31571.0</v>
      </c>
      <c r="F10313" s="10">
        <f t="shared" si="1"/>
        <v>0.3333333333</v>
      </c>
      <c r="G10313" s="10" t="str">
        <f t="array" ref="G10313">index('Player ID'!C:C,match(E10313,'Player ID'!B:B,0))</f>
        <v>#N/A</v>
      </c>
    </row>
    <row r="10314">
      <c r="A10314" s="76">
        <v>45834.0</v>
      </c>
      <c r="B10314" s="1" t="s">
        <v>71</v>
      </c>
      <c r="C10314" s="1" t="s">
        <v>34</v>
      </c>
      <c r="D10314" s="1">
        <v>1.1</v>
      </c>
      <c r="E10314" s="1">
        <v>10078.0</v>
      </c>
      <c r="F10314" s="10">
        <f t="shared" si="1"/>
        <v>1.333333333</v>
      </c>
      <c r="G10314" s="10">
        <f t="array" ref="G10314">index('Player ID'!C:C,match(E10314,'Player ID'!B:B,0))</f>
        <v>573204</v>
      </c>
    </row>
    <row r="10315">
      <c r="A10315" s="76">
        <v>45834.0</v>
      </c>
      <c r="B10315" s="1" t="s">
        <v>203</v>
      </c>
      <c r="C10315" s="1" t="s">
        <v>34</v>
      </c>
      <c r="D10315" s="1">
        <v>1.0</v>
      </c>
      <c r="E10315" s="1">
        <v>11426.0</v>
      </c>
      <c r="F10315" s="10">
        <f t="shared" si="1"/>
        <v>1</v>
      </c>
      <c r="G10315" s="10">
        <f t="array" ref="G10315">index('Player ID'!C:C,match(E10315,'Player ID'!B:B,0))</f>
        <v>519141</v>
      </c>
    </row>
    <row r="10316">
      <c r="A10316" s="76">
        <v>45834.0</v>
      </c>
      <c r="B10316" s="1" t="s">
        <v>297</v>
      </c>
      <c r="C10316" s="1" t="s">
        <v>34</v>
      </c>
      <c r="D10316" s="1">
        <v>0.2</v>
      </c>
      <c r="E10316" s="1">
        <v>15734.0</v>
      </c>
      <c r="F10316" s="10">
        <f t="shared" si="1"/>
        <v>0.6666666667</v>
      </c>
      <c r="G10316" s="10">
        <f t="array" ref="G10316">index('Player ID'!C:C,match(E10316,'Player ID'!B:B,0))</f>
        <v>641745</v>
      </c>
    </row>
    <row r="10317">
      <c r="A10317" s="76">
        <v>45834.0</v>
      </c>
      <c r="B10317" s="1" t="s">
        <v>193</v>
      </c>
      <c r="C10317" s="1" t="s">
        <v>72</v>
      </c>
      <c r="D10317" s="1">
        <v>1.0</v>
      </c>
      <c r="E10317" s="1">
        <v>19574.0</v>
      </c>
      <c r="F10317" s="10">
        <f t="shared" si="1"/>
        <v>1</v>
      </c>
      <c r="G10317" s="10">
        <f t="array" ref="G10317">index('Player ID'!C:C,match(E10317,'Player ID'!B:B,0))</f>
        <v>668941</v>
      </c>
    </row>
    <row r="10318">
      <c r="A10318" s="76">
        <v>45834.0</v>
      </c>
      <c r="B10318" s="1" t="s">
        <v>409</v>
      </c>
      <c r="C10318" s="1" t="s">
        <v>72</v>
      </c>
      <c r="D10318" s="1">
        <v>1.0</v>
      </c>
      <c r="E10318" s="1">
        <v>20348.0</v>
      </c>
      <c r="F10318" s="10">
        <f t="shared" si="1"/>
        <v>1</v>
      </c>
      <c r="G10318" s="10">
        <f t="array" ref="G10318">index('Player ID'!C:C,match(E10318,'Player ID'!B:B,0))</f>
        <v>676617</v>
      </c>
    </row>
    <row r="10319">
      <c r="A10319" s="76">
        <v>45834.0</v>
      </c>
      <c r="B10319" s="1" t="s">
        <v>170</v>
      </c>
      <c r="C10319" s="1" t="s">
        <v>72</v>
      </c>
      <c r="D10319" s="1">
        <v>2.0</v>
      </c>
      <c r="E10319" s="1">
        <v>24763.0</v>
      </c>
      <c r="F10319" s="10">
        <f t="shared" si="1"/>
        <v>2</v>
      </c>
      <c r="G10319" s="10">
        <f t="array" ref="G10319">index('Player ID'!C:C,match(E10319,'Player ID'!B:B,0))</f>
        <v>681517</v>
      </c>
    </row>
    <row r="10320">
      <c r="A10320" s="76">
        <v>45834.0</v>
      </c>
      <c r="B10320" s="1" t="s">
        <v>432</v>
      </c>
      <c r="C10320" s="1" t="s">
        <v>72</v>
      </c>
      <c r="D10320" s="1">
        <v>5.0</v>
      </c>
      <c r="E10320" s="1">
        <v>26108.0</v>
      </c>
      <c r="F10320" s="10">
        <f t="shared" si="1"/>
        <v>5</v>
      </c>
      <c r="G10320" s="10">
        <f t="array" ref="G10320">index('Player ID'!C:C,match(E10320,'Player ID'!B:B,0))</f>
        <v>669467</v>
      </c>
    </row>
    <row r="10321">
      <c r="A10321" s="76">
        <v>45834.0</v>
      </c>
      <c r="B10321" s="1" t="s">
        <v>167</v>
      </c>
      <c r="C10321" s="1" t="s">
        <v>34</v>
      </c>
      <c r="D10321" s="1">
        <v>1.0</v>
      </c>
      <c r="E10321" s="1">
        <v>27914.0</v>
      </c>
      <c r="F10321" s="10">
        <f t="shared" si="1"/>
        <v>1</v>
      </c>
      <c r="G10321" s="10">
        <f t="array" ref="G10321">index('Player ID'!C:C,match(E10321,'Player ID'!B:B,0))</f>
        <v>694037</v>
      </c>
    </row>
    <row r="10322">
      <c r="A10322" s="76">
        <v>45834.0</v>
      </c>
      <c r="B10322" s="1" t="s">
        <v>67</v>
      </c>
      <c r="C10322" s="1" t="s">
        <v>34</v>
      </c>
      <c r="D10322" s="1">
        <v>5.0</v>
      </c>
      <c r="E10322" s="1">
        <v>33829.0</v>
      </c>
      <c r="F10322" s="10">
        <f t="shared" si="1"/>
        <v>5</v>
      </c>
      <c r="G10322" s="10">
        <f t="array" ref="G10322">index('Player ID'!C:C,match(E10322,'Player ID'!B:B,0))</f>
        <v>684007</v>
      </c>
    </row>
    <row r="10323">
      <c r="A10323" s="76">
        <v>45834.0</v>
      </c>
      <c r="B10323" s="1" t="s">
        <v>457</v>
      </c>
      <c r="C10323" s="1" t="s">
        <v>33</v>
      </c>
      <c r="D10323" s="1">
        <v>6.0</v>
      </c>
      <c r="E10323" s="1">
        <v>2036.0</v>
      </c>
      <c r="F10323" s="10">
        <f t="shared" si="1"/>
        <v>6</v>
      </c>
      <c r="G10323" s="10">
        <f t="array" ref="G10323">index('Player ID'!C:C,match(E10323,'Player ID'!B:B,0))</f>
        <v>477132</v>
      </c>
    </row>
    <row r="10324">
      <c r="A10324" s="76">
        <v>45834.0</v>
      </c>
      <c r="B10324" s="1" t="s">
        <v>392</v>
      </c>
      <c r="C10324" s="1" t="s">
        <v>33</v>
      </c>
      <c r="D10324" s="1">
        <v>1.0</v>
      </c>
      <c r="E10324" s="1">
        <v>9073.0</v>
      </c>
      <c r="F10324" s="10">
        <f t="shared" si="1"/>
        <v>1</v>
      </c>
      <c r="G10324" s="10">
        <f t="array" ref="G10324">index('Player ID'!C:C,match(E10324,'Player ID'!B:B,0))</f>
        <v>489446</v>
      </c>
    </row>
    <row r="10325">
      <c r="A10325" s="76">
        <v>45834.0</v>
      </c>
      <c r="B10325" s="1" t="s">
        <v>369</v>
      </c>
      <c r="C10325" s="1" t="s">
        <v>75</v>
      </c>
      <c r="D10325" s="1">
        <v>5.0</v>
      </c>
      <c r="E10325" s="1">
        <v>16561.0</v>
      </c>
      <c r="F10325" s="10">
        <f t="shared" si="1"/>
        <v>5</v>
      </c>
      <c r="G10325" s="10">
        <f t="array" ref="G10325">index('Player ID'!C:C,match(E10325,'Player ID'!B:B,0))</f>
        <v>596295</v>
      </c>
    </row>
    <row r="10326">
      <c r="A10326" s="76">
        <v>45834.0</v>
      </c>
      <c r="B10326" s="1" t="s">
        <v>870</v>
      </c>
      <c r="C10326" s="1" t="s">
        <v>33</v>
      </c>
      <c r="D10326" s="1">
        <v>1.0</v>
      </c>
      <c r="E10326" s="1">
        <v>17282.0</v>
      </c>
      <c r="F10326" s="10">
        <f t="shared" si="1"/>
        <v>1</v>
      </c>
      <c r="G10326" s="10" t="str">
        <f t="array" ref="G10326">index('Player ID'!C:C,match(E10326,'Player ID'!B:B,0))</f>
        <v>#N/A</v>
      </c>
    </row>
    <row r="10327">
      <c r="A10327" s="76">
        <v>45834.0</v>
      </c>
      <c r="B10327" s="1" t="s">
        <v>32</v>
      </c>
      <c r="C10327" s="1" t="s">
        <v>33</v>
      </c>
      <c r="D10327" s="1">
        <v>1.0</v>
      </c>
      <c r="E10327" s="1">
        <v>17586.0</v>
      </c>
      <c r="F10327" s="10">
        <f t="shared" si="1"/>
        <v>1</v>
      </c>
      <c r="G10327" s="10">
        <f t="array" ref="G10327">index('Player ID'!C:C,match(E10327,'Player ID'!B:B,0))</f>
        <v>656945</v>
      </c>
    </row>
    <row r="10328">
      <c r="A10328" s="76">
        <v>45834.0</v>
      </c>
      <c r="B10328" s="1" t="s">
        <v>288</v>
      </c>
      <c r="C10328" s="1" t="s">
        <v>75</v>
      </c>
      <c r="D10328" s="1">
        <v>1.0</v>
      </c>
      <c r="E10328" s="1">
        <v>18297.0</v>
      </c>
      <c r="F10328" s="10">
        <f t="shared" si="1"/>
        <v>1</v>
      </c>
      <c r="G10328" s="10">
        <f t="array" ref="G10328">index('Player ID'!C:C,match(E10328,'Player ID'!B:B,0))</f>
        <v>641755</v>
      </c>
    </row>
    <row r="10329">
      <c r="A10329" s="76">
        <v>45834.0</v>
      </c>
      <c r="B10329" s="1" t="s">
        <v>468</v>
      </c>
      <c r="C10329" s="1" t="s">
        <v>75</v>
      </c>
      <c r="D10329" s="1">
        <v>0.2</v>
      </c>
      <c r="E10329" s="1">
        <v>23237.0</v>
      </c>
      <c r="F10329" s="10">
        <f t="shared" si="1"/>
        <v>0.6666666667</v>
      </c>
      <c r="G10329" s="10">
        <f t="array" ref="G10329">index('Player ID'!C:C,match(E10329,'Player ID'!B:B,0))</f>
        <v>675848</v>
      </c>
    </row>
    <row r="10330">
      <c r="A10330" s="76">
        <v>45834.0</v>
      </c>
      <c r="B10330" s="1" t="s">
        <v>365</v>
      </c>
      <c r="C10330" s="1" t="s">
        <v>75</v>
      </c>
      <c r="D10330" s="1">
        <v>1.0</v>
      </c>
      <c r="E10330" s="1">
        <v>24614.0</v>
      </c>
      <c r="F10330" s="10">
        <f t="shared" si="1"/>
        <v>1</v>
      </c>
      <c r="G10330" s="10">
        <f t="array" ref="G10330">index('Player ID'!C:C,match(E10330,'Player ID'!B:B,0))</f>
        <v>680767</v>
      </c>
    </row>
    <row r="10331">
      <c r="A10331" s="76">
        <v>45834.0</v>
      </c>
      <c r="B10331" s="1" t="s">
        <v>486</v>
      </c>
      <c r="C10331" s="1" t="s">
        <v>75</v>
      </c>
      <c r="D10331" s="1">
        <v>0.1</v>
      </c>
      <c r="E10331" s="1">
        <v>26790.0</v>
      </c>
      <c r="F10331" s="10">
        <f t="shared" si="1"/>
        <v>0.3333333333</v>
      </c>
      <c r="G10331" s="10">
        <f t="array" ref="G10331">index('Player ID'!C:C,match(E10331,'Player ID'!B:B,0))</f>
        <v>683409</v>
      </c>
    </row>
    <row r="10332">
      <c r="A10332" s="76">
        <v>45834.0</v>
      </c>
      <c r="B10332" s="1" t="s">
        <v>488</v>
      </c>
      <c r="C10332" s="1" t="s">
        <v>75</v>
      </c>
      <c r="D10332" s="1">
        <v>1.0</v>
      </c>
      <c r="E10332" s="1">
        <v>33294.0</v>
      </c>
      <c r="F10332" s="10">
        <f t="shared" si="1"/>
        <v>1</v>
      </c>
      <c r="G10332" s="10">
        <f t="array" ref="G10332">index('Player ID'!C:C,match(E10332,'Player ID'!B:B,0))</f>
        <v>678020</v>
      </c>
    </row>
    <row r="10333">
      <c r="A10333" s="76">
        <v>45834.0</v>
      </c>
      <c r="B10333" s="1" t="s">
        <v>241</v>
      </c>
      <c r="C10333" s="1" t="s">
        <v>36</v>
      </c>
      <c r="D10333" s="1">
        <v>1.2</v>
      </c>
      <c r="E10333" s="1">
        <v>19222.0</v>
      </c>
      <c r="F10333" s="10">
        <f t="shared" si="1"/>
        <v>1.666666667</v>
      </c>
      <c r="G10333" s="10">
        <f t="array" ref="G10333">index('Player ID'!C:C,match(E10333,'Player ID'!B:B,0))</f>
        <v>669199</v>
      </c>
    </row>
    <row r="10334">
      <c r="A10334" s="76">
        <v>45834.0</v>
      </c>
      <c r="B10334" s="1" t="s">
        <v>483</v>
      </c>
      <c r="C10334" s="1" t="s">
        <v>31</v>
      </c>
      <c r="D10334" s="1">
        <v>2.0</v>
      </c>
      <c r="E10334" s="1">
        <v>19320.0</v>
      </c>
      <c r="F10334" s="10">
        <f t="shared" si="1"/>
        <v>2</v>
      </c>
      <c r="G10334" s="10" t="str">
        <f t="array" ref="G10334">index('Player ID'!C:C,match(E10334,'Player ID'!B:B,0))</f>
        <v>#N/A</v>
      </c>
    </row>
    <row r="10335">
      <c r="A10335" s="76">
        <v>45834.0</v>
      </c>
      <c r="B10335" s="1" t="s">
        <v>403</v>
      </c>
      <c r="C10335" s="1" t="s">
        <v>31</v>
      </c>
      <c r="D10335" s="1">
        <v>1.0</v>
      </c>
      <c r="E10335" s="1">
        <v>20423.0</v>
      </c>
      <c r="F10335" s="10">
        <f t="shared" si="1"/>
        <v>1</v>
      </c>
      <c r="G10335" s="10">
        <f t="array" ref="G10335">index('Player ID'!C:C,match(E10335,'Player ID'!B:B,0))</f>
        <v>676254</v>
      </c>
    </row>
    <row r="10336">
      <c r="A10336" s="76">
        <v>45834.0</v>
      </c>
      <c r="B10336" s="1" t="s">
        <v>862</v>
      </c>
      <c r="C10336" s="1" t="s">
        <v>31</v>
      </c>
      <c r="D10336" s="1">
        <v>1.0</v>
      </c>
      <c r="E10336" s="1">
        <v>21481.0</v>
      </c>
      <c r="F10336" s="10">
        <f t="shared" si="1"/>
        <v>1</v>
      </c>
      <c r="G10336" s="10" t="str">
        <f t="array" ref="G10336">index('Player ID'!C:C,match(E10336,'Player ID'!B:B,0))</f>
        <v>#N/A</v>
      </c>
    </row>
    <row r="10337">
      <c r="A10337" s="76">
        <v>45834.0</v>
      </c>
      <c r="B10337" s="1" t="s">
        <v>35</v>
      </c>
      <c r="C10337" s="1" t="s">
        <v>36</v>
      </c>
      <c r="D10337" s="1">
        <v>3.2</v>
      </c>
      <c r="E10337" s="1">
        <v>23301.0</v>
      </c>
      <c r="F10337" s="10">
        <f t="shared" si="1"/>
        <v>3.666666667</v>
      </c>
      <c r="G10337" s="10">
        <f t="array" ref="G10337">index('Player ID'!C:C,match(E10337,'Player ID'!B:B,0))</f>
        <v>676083</v>
      </c>
    </row>
    <row r="10338">
      <c r="A10338" s="76">
        <v>45834.0</v>
      </c>
      <c r="B10338" s="1" t="s">
        <v>322</v>
      </c>
      <c r="C10338" s="1" t="s">
        <v>36</v>
      </c>
      <c r="D10338" s="1">
        <v>2.0</v>
      </c>
      <c r="E10338" s="1">
        <v>23899.0</v>
      </c>
      <c r="F10338" s="10">
        <f t="shared" si="1"/>
        <v>2</v>
      </c>
      <c r="G10338" s="10">
        <f t="array" ref="G10338">index('Player ID'!C:C,match(E10338,'Player ID'!B:B,0))</f>
        <v>678368</v>
      </c>
    </row>
    <row r="10339">
      <c r="A10339" s="76">
        <v>45834.0</v>
      </c>
      <c r="B10339" s="1" t="s">
        <v>446</v>
      </c>
      <c r="C10339" s="1" t="s">
        <v>36</v>
      </c>
      <c r="D10339" s="1">
        <v>0.1</v>
      </c>
      <c r="E10339" s="1">
        <v>25957.0</v>
      </c>
      <c r="F10339" s="10">
        <f t="shared" si="1"/>
        <v>0.3333333333</v>
      </c>
      <c r="G10339" s="10" t="str">
        <f t="array" ref="G10339">index('Player ID'!C:C,match(E10339,'Player ID'!B:B,0))</f>
        <v>#N/A</v>
      </c>
    </row>
    <row r="10340">
      <c r="A10340" s="76">
        <v>45834.0</v>
      </c>
      <c r="B10340" s="1" t="s">
        <v>276</v>
      </c>
      <c r="C10340" s="1" t="s">
        <v>31</v>
      </c>
      <c r="D10340" s="1">
        <v>1.0</v>
      </c>
      <c r="E10340" s="1">
        <v>30226.0</v>
      </c>
      <c r="F10340" s="10">
        <f t="shared" si="1"/>
        <v>1</v>
      </c>
      <c r="G10340" s="10">
        <f t="array" ref="G10340">index('Player ID'!C:C,match(E10340,'Player ID'!B:B,0))</f>
        <v>702352</v>
      </c>
    </row>
    <row r="10341">
      <c r="A10341" s="76">
        <v>45834.0</v>
      </c>
      <c r="B10341" s="1" t="s">
        <v>514</v>
      </c>
      <c r="C10341" s="1" t="s">
        <v>31</v>
      </c>
      <c r="D10341" s="1">
        <v>4.0</v>
      </c>
      <c r="E10341" s="1">
        <v>31635.0</v>
      </c>
      <c r="F10341" s="10">
        <f t="shared" si="1"/>
        <v>4</v>
      </c>
      <c r="G10341" s="10">
        <f t="array" ref="G10341">index('Player ID'!C:C,match(E10341,'Player ID'!B:B,0))</f>
        <v>806185</v>
      </c>
    </row>
    <row r="10342">
      <c r="A10342" s="76">
        <v>45834.0</v>
      </c>
      <c r="B10342" s="1" t="s">
        <v>266</v>
      </c>
      <c r="C10342" s="1" t="s">
        <v>36</v>
      </c>
      <c r="D10342" s="1">
        <v>1.1</v>
      </c>
      <c r="E10342" s="1">
        <v>31815.0</v>
      </c>
      <c r="F10342" s="10">
        <f t="shared" si="1"/>
        <v>1.333333333</v>
      </c>
      <c r="G10342" s="10">
        <f t="array" ref="G10342">index('Player ID'!C:C,match(E10342,'Player ID'!B:B,0))</f>
        <v>806188</v>
      </c>
    </row>
    <row r="10343">
      <c r="A10343" s="76">
        <v>45834.0</v>
      </c>
      <c r="B10343" s="1" t="s">
        <v>178</v>
      </c>
      <c r="C10343" s="1" t="s">
        <v>46</v>
      </c>
      <c r="D10343" s="1">
        <v>1.0</v>
      </c>
      <c r="E10343" s="1">
        <v>13435.0</v>
      </c>
      <c r="F10343" s="10">
        <f t="shared" si="1"/>
        <v>1</v>
      </c>
      <c r="G10343" s="10">
        <f t="array" ref="G10343">index('Player ID'!C:C,match(E10343,'Player ID'!B:B,0))</f>
        <v>572955</v>
      </c>
    </row>
    <row r="10344">
      <c r="A10344" s="76">
        <v>45834.0</v>
      </c>
      <c r="B10344" s="1" t="s">
        <v>679</v>
      </c>
      <c r="C10344" s="1" t="s">
        <v>51</v>
      </c>
      <c r="D10344" s="1">
        <v>1.0</v>
      </c>
      <c r="E10344" s="1">
        <v>14710.0</v>
      </c>
      <c r="F10344" s="10">
        <f t="shared" si="1"/>
        <v>1</v>
      </c>
      <c r="G10344" s="10">
        <f t="array" ref="G10344">index('Player ID'!C:C,match(E10344,'Player ID'!B:B,0))</f>
        <v>621242</v>
      </c>
    </row>
    <row r="10345">
      <c r="A10345" s="76">
        <v>45834.0</v>
      </c>
      <c r="B10345" s="1" t="s">
        <v>292</v>
      </c>
      <c r="C10345" s="1" t="s">
        <v>51</v>
      </c>
      <c r="D10345" s="1">
        <v>1.0</v>
      </c>
      <c r="E10345" s="1">
        <v>15947.0</v>
      </c>
      <c r="F10345" s="10">
        <f t="shared" si="1"/>
        <v>1</v>
      </c>
      <c r="G10345" s="10">
        <f t="array" ref="G10345">index('Player ID'!C:C,match(E10345,'Player ID'!B:B,0))</f>
        <v>592773</v>
      </c>
    </row>
    <row r="10346">
      <c r="A10346" s="76">
        <v>45834.0</v>
      </c>
      <c r="B10346" s="1" t="s">
        <v>366</v>
      </c>
      <c r="C10346" s="1" t="s">
        <v>46</v>
      </c>
      <c r="D10346" s="1">
        <v>5.0</v>
      </c>
      <c r="E10346" s="1">
        <v>16944.0</v>
      </c>
      <c r="F10346" s="10">
        <f t="shared" si="1"/>
        <v>5</v>
      </c>
      <c r="G10346" s="10">
        <f t="array" ref="G10346">index('Player ID'!C:C,match(E10346,'Player ID'!B:B,0))</f>
        <v>656550</v>
      </c>
    </row>
    <row r="10347">
      <c r="A10347" s="76">
        <v>45834.0</v>
      </c>
      <c r="B10347" s="1" t="s">
        <v>382</v>
      </c>
      <c r="C10347" s="1" t="s">
        <v>51</v>
      </c>
      <c r="D10347" s="1">
        <v>2.2</v>
      </c>
      <c r="E10347" s="1">
        <v>19867.0</v>
      </c>
      <c r="F10347" s="10">
        <f t="shared" si="1"/>
        <v>2.666666667</v>
      </c>
      <c r="G10347" s="10">
        <f t="array" ref="G10347">index('Player ID'!C:C,match(E10347,'Player ID'!B:B,0))</f>
        <v>656288</v>
      </c>
    </row>
    <row r="10348">
      <c r="A10348" s="76">
        <v>45834.0</v>
      </c>
      <c r="B10348" s="1" t="s">
        <v>752</v>
      </c>
      <c r="C10348" s="1" t="s">
        <v>46</v>
      </c>
      <c r="D10348" s="1">
        <v>1.0</v>
      </c>
      <c r="E10348" s="1">
        <v>20827.0</v>
      </c>
      <c r="F10348" s="10">
        <f t="shared" si="1"/>
        <v>1</v>
      </c>
      <c r="G10348" s="10">
        <f t="array" ref="G10348">index('Player ID'!C:C,match(E10348,'Player ID'!B:B,0))</f>
        <v>656848</v>
      </c>
    </row>
    <row r="10349">
      <c r="A10349" s="76">
        <v>45834.0</v>
      </c>
      <c r="B10349" s="1" t="s">
        <v>829</v>
      </c>
      <c r="C10349" s="1" t="s">
        <v>51</v>
      </c>
      <c r="D10349" s="1">
        <v>2.0</v>
      </c>
      <c r="E10349" s="1">
        <v>23055.0</v>
      </c>
      <c r="F10349" s="10">
        <f t="shared" si="1"/>
        <v>2</v>
      </c>
      <c r="G10349" s="10">
        <f t="array" ref="G10349">index('Player ID'!C:C,match(E10349,'Player ID'!B:B,0))</f>
        <v>673380</v>
      </c>
    </row>
    <row r="10350">
      <c r="A10350" s="76">
        <v>45834.0</v>
      </c>
      <c r="B10350" s="1" t="s">
        <v>773</v>
      </c>
      <c r="C10350" s="1" t="s">
        <v>51</v>
      </c>
      <c r="D10350" s="1">
        <v>2.1</v>
      </c>
      <c r="E10350" s="1">
        <v>24937.0</v>
      </c>
      <c r="F10350" s="10">
        <f t="shared" si="1"/>
        <v>2.333333333</v>
      </c>
      <c r="G10350" s="10">
        <f t="array" ref="G10350">index('Player ID'!C:C,match(E10350,'Player ID'!B:B,0))</f>
        <v>681810</v>
      </c>
    </row>
    <row r="10351">
      <c r="A10351" s="76">
        <v>45834.0</v>
      </c>
      <c r="B10351" s="1" t="s">
        <v>244</v>
      </c>
      <c r="C10351" s="1" t="s">
        <v>46</v>
      </c>
      <c r="D10351" s="1">
        <v>1.0</v>
      </c>
      <c r="E10351" s="1">
        <v>29928.0</v>
      </c>
      <c r="F10351" s="10">
        <f t="shared" si="1"/>
        <v>1</v>
      </c>
      <c r="G10351" s="10" t="str">
        <f t="array" ref="G10351">index('Player ID'!C:C,match(E10351,'Player ID'!B:B,0))</f>
        <v>#N/A</v>
      </c>
    </row>
    <row r="10352">
      <c r="A10352" s="76">
        <v>45835.0</v>
      </c>
      <c r="B10352" s="1" t="s">
        <v>825</v>
      </c>
      <c r="C10352" s="1" t="s">
        <v>60</v>
      </c>
      <c r="D10352" s="1">
        <v>1.1</v>
      </c>
      <c r="E10352" s="1">
        <v>17490.0</v>
      </c>
      <c r="F10352" s="10">
        <f t="shared" si="1"/>
        <v>1.333333333</v>
      </c>
      <c r="G10352" s="10">
        <f t="array" ref="G10352">index('Player ID'!C:C,match(E10352,'Player ID'!B:B,0))</f>
        <v>650893</v>
      </c>
    </row>
    <row r="10353">
      <c r="A10353" s="76">
        <v>45835.0</v>
      </c>
      <c r="B10353" s="1" t="s">
        <v>423</v>
      </c>
      <c r="C10353" s="1" t="s">
        <v>60</v>
      </c>
      <c r="D10353" s="1">
        <v>5.1</v>
      </c>
      <c r="E10353" s="1">
        <v>17594.0</v>
      </c>
      <c r="F10353" s="10">
        <f t="shared" si="1"/>
        <v>5.333333333</v>
      </c>
      <c r="G10353" s="10">
        <f t="array" ref="G10353">index('Player ID'!C:C,match(E10353,'Player ID'!B:B,0))</f>
        <v>656605</v>
      </c>
    </row>
    <row r="10354">
      <c r="A10354" s="76">
        <v>45835.0</v>
      </c>
      <c r="B10354" s="1" t="s">
        <v>307</v>
      </c>
      <c r="C10354" s="1" t="s">
        <v>51</v>
      </c>
      <c r="D10354" s="1">
        <v>4.2</v>
      </c>
      <c r="E10354" s="1">
        <v>20302.0</v>
      </c>
      <c r="F10354" s="10">
        <f t="shared" si="1"/>
        <v>4.666666667</v>
      </c>
      <c r="G10354" s="10">
        <f t="array" ref="G10354">index('Player ID'!C:C,match(E10354,'Player ID'!B:B,0))</f>
        <v>656849</v>
      </c>
    </row>
    <row r="10355">
      <c r="A10355" s="76">
        <v>45835.0</v>
      </c>
      <c r="B10355" s="1" t="s">
        <v>338</v>
      </c>
      <c r="C10355" s="1" t="s">
        <v>60</v>
      </c>
      <c r="D10355" s="1">
        <v>1.1</v>
      </c>
      <c r="E10355" s="1">
        <v>20385.0</v>
      </c>
      <c r="F10355" s="10">
        <f t="shared" si="1"/>
        <v>1.333333333</v>
      </c>
      <c r="G10355" s="10" t="str">
        <f t="array" ref="G10355">index('Player ID'!C:C,match(E10355,'Player ID'!B:B,0))</f>
        <v>#N/A</v>
      </c>
    </row>
    <row r="10356">
      <c r="A10356" s="76">
        <v>45835.0</v>
      </c>
      <c r="B10356" s="1" t="s">
        <v>463</v>
      </c>
      <c r="C10356" s="1" t="s">
        <v>60</v>
      </c>
      <c r="D10356" s="1">
        <v>1.0</v>
      </c>
      <c r="E10356" s="1">
        <v>21544.0</v>
      </c>
      <c r="F10356" s="10">
        <f t="shared" si="1"/>
        <v>1</v>
      </c>
      <c r="G10356" s="10">
        <f t="array" ref="G10356">index('Player ID'!C:C,match(E10356,'Player ID'!B:B,0))</f>
        <v>663767</v>
      </c>
    </row>
    <row r="10357">
      <c r="A10357" s="76">
        <v>45835.0</v>
      </c>
      <c r="B10357" s="1" t="s">
        <v>574</v>
      </c>
      <c r="C10357" s="1" t="s">
        <v>51</v>
      </c>
      <c r="D10357" s="1">
        <v>3.1</v>
      </c>
      <c r="E10357" s="1">
        <v>31701.0</v>
      </c>
      <c r="F10357" s="10">
        <f t="shared" si="1"/>
        <v>3.333333333</v>
      </c>
      <c r="G10357" s="10">
        <f t="array" ref="G10357">index('Player ID'!C:C,match(E10357,'Player ID'!B:B,0))</f>
        <v>694918</v>
      </c>
    </row>
    <row r="10358">
      <c r="A10358" s="76">
        <v>45835.0</v>
      </c>
      <c r="B10358" s="1" t="s">
        <v>639</v>
      </c>
      <c r="C10358" s="1" t="s">
        <v>68</v>
      </c>
      <c r="D10358" s="1">
        <v>1.0</v>
      </c>
      <c r="E10358" s="1">
        <v>19249.0</v>
      </c>
      <c r="F10358" s="10">
        <f t="shared" si="1"/>
        <v>1</v>
      </c>
      <c r="G10358" s="10">
        <f t="array" ref="G10358">index('Player ID'!C:C,match(E10358,'Player ID'!B:B,0))</f>
        <v>622554</v>
      </c>
    </row>
    <row r="10359">
      <c r="A10359" s="76">
        <v>45835.0</v>
      </c>
      <c r="B10359" s="1" t="s">
        <v>231</v>
      </c>
      <c r="C10359" s="1" t="s">
        <v>68</v>
      </c>
      <c r="D10359" s="1">
        <v>1.0</v>
      </c>
      <c r="E10359" s="1">
        <v>19362.0</v>
      </c>
      <c r="F10359" s="10">
        <f t="shared" si="1"/>
        <v>1</v>
      </c>
      <c r="G10359" s="10">
        <f t="array" ref="G10359">index('Player ID'!C:C,match(E10359,'Player ID'!B:B,0))</f>
        <v>669211</v>
      </c>
    </row>
    <row r="10360">
      <c r="A10360" s="76">
        <v>45835.0</v>
      </c>
      <c r="B10360" s="1" t="s">
        <v>736</v>
      </c>
      <c r="C10360" s="1" t="s">
        <v>54</v>
      </c>
      <c r="D10360" s="1">
        <v>1.0</v>
      </c>
      <c r="E10360" s="1">
        <v>19586.0</v>
      </c>
      <c r="F10360" s="10">
        <f t="shared" si="1"/>
        <v>1</v>
      </c>
      <c r="G10360" s="10">
        <f t="array" ref="G10360">index('Player ID'!C:C,match(E10360,'Player ID'!B:B,0))</f>
        <v>666215</v>
      </c>
    </row>
    <row r="10361">
      <c r="A10361" s="76">
        <v>45835.0</v>
      </c>
      <c r="B10361" s="1" t="s">
        <v>400</v>
      </c>
      <c r="C10361" s="1" t="s">
        <v>54</v>
      </c>
      <c r="D10361" s="1">
        <v>0.2</v>
      </c>
      <c r="E10361" s="1">
        <v>20539.0</v>
      </c>
      <c r="F10361" s="10">
        <f t="shared" si="1"/>
        <v>0.6666666667</v>
      </c>
      <c r="G10361" s="10">
        <f t="array" ref="G10361">index('Player ID'!C:C,match(E10361,'Player ID'!B:B,0))</f>
        <v>670955</v>
      </c>
    </row>
    <row r="10362">
      <c r="A10362" s="76">
        <v>45835.0</v>
      </c>
      <c r="B10362" s="1" t="s">
        <v>899</v>
      </c>
      <c r="C10362" s="1" t="s">
        <v>54</v>
      </c>
      <c r="D10362" s="1">
        <v>1.0</v>
      </c>
      <c r="E10362" s="1">
        <v>23401.0</v>
      </c>
      <c r="F10362" s="10">
        <f t="shared" si="1"/>
        <v>1</v>
      </c>
      <c r="G10362" s="10" t="str">
        <f t="array" ref="G10362">index('Player ID'!C:C,match(E10362,'Player ID'!B:B,0))</f>
        <v>#N/A</v>
      </c>
    </row>
    <row r="10363">
      <c r="A10363" s="76">
        <v>45835.0</v>
      </c>
      <c r="B10363" s="1" t="s">
        <v>758</v>
      </c>
      <c r="C10363" s="1" t="s">
        <v>68</v>
      </c>
      <c r="D10363" s="1">
        <v>2.0</v>
      </c>
      <c r="E10363" s="1">
        <v>26191.0</v>
      </c>
      <c r="F10363" s="10">
        <f t="shared" si="1"/>
        <v>2</v>
      </c>
      <c r="G10363" s="10">
        <f t="array" ref="G10363">index('Player ID'!C:C,match(E10363,'Player ID'!B:B,0))</f>
        <v>669704</v>
      </c>
    </row>
    <row r="10364">
      <c r="A10364" s="76">
        <v>45835.0</v>
      </c>
      <c r="B10364" s="1" t="s">
        <v>129</v>
      </c>
      <c r="C10364" s="1" t="s">
        <v>54</v>
      </c>
      <c r="D10364" s="1">
        <v>1.2</v>
      </c>
      <c r="E10364" s="1">
        <v>26221.0</v>
      </c>
      <c r="F10364" s="10">
        <f t="shared" si="1"/>
        <v>1.666666667</v>
      </c>
      <c r="G10364" s="10">
        <f t="array" ref="G10364">index('Player ID'!C:C,match(E10364,'Player ID'!B:B,0))</f>
        <v>686752</v>
      </c>
    </row>
    <row r="10365">
      <c r="A10365" s="76">
        <v>45835.0</v>
      </c>
      <c r="B10365" s="1" t="s">
        <v>257</v>
      </c>
      <c r="C10365" s="1" t="s">
        <v>54</v>
      </c>
      <c r="D10365" s="1">
        <v>2.0</v>
      </c>
      <c r="E10365" s="1">
        <v>27626.0</v>
      </c>
      <c r="F10365" s="10">
        <f t="shared" si="1"/>
        <v>2</v>
      </c>
      <c r="G10365" s="10">
        <f t="array" ref="G10365">index('Player ID'!C:C,match(E10365,'Player ID'!B:B,0))</f>
        <v>679358</v>
      </c>
    </row>
    <row r="10366">
      <c r="A10366" s="76">
        <v>45835.0</v>
      </c>
      <c r="B10366" s="1" t="s">
        <v>334</v>
      </c>
      <c r="C10366" s="1" t="s">
        <v>54</v>
      </c>
      <c r="D10366" s="1">
        <v>1.1</v>
      </c>
      <c r="E10366" s="1">
        <v>29770.0</v>
      </c>
      <c r="F10366" s="10">
        <f t="shared" si="1"/>
        <v>1.333333333</v>
      </c>
      <c r="G10366" s="10">
        <f t="array" ref="G10366">index('Player ID'!C:C,match(E10366,'Player ID'!B:B,0))</f>
        <v>682254</v>
      </c>
    </row>
    <row r="10367">
      <c r="A10367" s="76">
        <v>45835.0</v>
      </c>
      <c r="B10367" s="1" t="s">
        <v>890</v>
      </c>
      <c r="C10367" s="1" t="s">
        <v>54</v>
      </c>
      <c r="D10367" s="1">
        <v>0.1</v>
      </c>
      <c r="E10367" s="1">
        <v>31571.0</v>
      </c>
      <c r="F10367" s="10">
        <f t="shared" si="1"/>
        <v>0.3333333333</v>
      </c>
      <c r="G10367" s="10" t="str">
        <f t="array" ref="G10367">index('Player ID'!C:C,match(E10367,'Player ID'!B:B,0))</f>
        <v>#N/A</v>
      </c>
    </row>
    <row r="10368">
      <c r="A10368" s="76">
        <v>45835.0</v>
      </c>
      <c r="B10368" s="1" t="s">
        <v>158</v>
      </c>
      <c r="C10368" s="1" t="s">
        <v>68</v>
      </c>
      <c r="D10368" s="1">
        <v>5.0</v>
      </c>
      <c r="E10368" s="1">
        <v>35321.0</v>
      </c>
      <c r="F10368" s="10">
        <f t="shared" si="1"/>
        <v>5</v>
      </c>
      <c r="G10368" s="10">
        <f t="array" ref="G10368">index('Player ID'!C:C,match(E10368,'Player ID'!B:B,0))</f>
        <v>608372</v>
      </c>
    </row>
    <row r="10369">
      <c r="A10369" s="76">
        <v>45835.0</v>
      </c>
      <c r="B10369" s="1" t="s">
        <v>422</v>
      </c>
      <c r="C10369" s="1" t="s">
        <v>58</v>
      </c>
      <c r="D10369" s="1">
        <v>1.0</v>
      </c>
      <c r="E10369" s="1">
        <v>7048.0</v>
      </c>
      <c r="F10369" s="10">
        <f t="shared" si="1"/>
        <v>1</v>
      </c>
      <c r="G10369" s="10">
        <f t="array" ref="G10369">index('Player ID'!C:C,match(E10369,'Player ID'!B:B,0))</f>
        <v>518585</v>
      </c>
    </row>
    <row r="10370">
      <c r="A10370" s="76">
        <v>45835.0</v>
      </c>
      <c r="B10370" s="1" t="s">
        <v>114</v>
      </c>
      <c r="C10370" s="1" t="s">
        <v>58</v>
      </c>
      <c r="D10370" s="1">
        <v>1.0</v>
      </c>
      <c r="E10370" s="1">
        <v>15816.0</v>
      </c>
      <c r="F10370" s="10">
        <f t="shared" si="1"/>
        <v>1</v>
      </c>
      <c r="G10370" s="10">
        <f t="array" ref="G10370">index('Player ID'!C:C,match(E10370,'Player ID'!B:B,0))</f>
        <v>642207</v>
      </c>
    </row>
    <row r="10371">
      <c r="A10371" s="76">
        <v>45835.0</v>
      </c>
      <c r="B10371" s="1" t="s">
        <v>69</v>
      </c>
      <c r="C10371" s="1" t="s">
        <v>58</v>
      </c>
      <c r="D10371" s="1">
        <v>1.0</v>
      </c>
      <c r="E10371" s="1">
        <v>16814.0</v>
      </c>
      <c r="F10371" s="10">
        <f t="shared" si="1"/>
        <v>1</v>
      </c>
      <c r="G10371" s="10">
        <f t="array" ref="G10371">index('Player ID'!C:C,match(E10371,'Player ID'!B:B,0))</f>
        <v>657612</v>
      </c>
    </row>
    <row r="10372">
      <c r="A10372" s="76">
        <v>45835.0</v>
      </c>
      <c r="B10372" s="1" t="s">
        <v>225</v>
      </c>
      <c r="C10372" s="1" t="s">
        <v>58</v>
      </c>
      <c r="D10372" s="1">
        <v>1.0</v>
      </c>
      <c r="E10372" s="1">
        <v>16918.0</v>
      </c>
      <c r="F10372" s="10">
        <f t="shared" si="1"/>
        <v>1</v>
      </c>
      <c r="G10372" s="10">
        <f t="array" ref="G10372">index('Player ID'!C:C,match(E10372,'Player ID'!B:B,0))</f>
        <v>596133</v>
      </c>
    </row>
    <row r="10373">
      <c r="A10373" s="76">
        <v>45835.0</v>
      </c>
      <c r="B10373" s="1" t="s">
        <v>415</v>
      </c>
      <c r="C10373" s="1" t="s">
        <v>52</v>
      </c>
      <c r="D10373" s="1">
        <v>3.0</v>
      </c>
      <c r="E10373" s="1">
        <v>16943.0</v>
      </c>
      <c r="F10373" s="10">
        <f t="shared" si="1"/>
        <v>3</v>
      </c>
      <c r="G10373" s="10">
        <f t="array" ref="G10373">index('Player ID'!C:C,match(E10373,'Player ID'!B:B,0))</f>
        <v>656794</v>
      </c>
    </row>
    <row r="10374">
      <c r="A10374" s="76">
        <v>45835.0</v>
      </c>
      <c r="B10374" s="1" t="s">
        <v>127</v>
      </c>
      <c r="C10374" s="1" t="s">
        <v>52</v>
      </c>
      <c r="D10374" s="1">
        <v>5.0</v>
      </c>
      <c r="E10374" s="1">
        <v>27707.0</v>
      </c>
      <c r="F10374" s="10">
        <f t="shared" si="1"/>
        <v>5</v>
      </c>
      <c r="G10374" s="10">
        <f t="array" ref="G10374">index('Player ID'!C:C,match(E10374,'Player ID'!B:B,0))</f>
        <v>687765</v>
      </c>
    </row>
    <row r="10375">
      <c r="A10375" s="76">
        <v>45835.0</v>
      </c>
      <c r="B10375" s="1" t="s">
        <v>344</v>
      </c>
      <c r="C10375" s="1" t="s">
        <v>58</v>
      </c>
      <c r="D10375" s="1">
        <v>5.0</v>
      </c>
      <c r="E10375" s="1">
        <v>30182.0</v>
      </c>
      <c r="F10375" s="10">
        <f t="shared" si="1"/>
        <v>5</v>
      </c>
      <c r="G10375" s="10">
        <f t="array" ref="G10375">index('Player ID'!C:C,match(E10375,'Player ID'!B:B,0))</f>
        <v>701542</v>
      </c>
    </row>
    <row r="10376">
      <c r="A10376" s="76">
        <v>45835.0</v>
      </c>
      <c r="B10376" s="1" t="s">
        <v>226</v>
      </c>
      <c r="C10376" s="1" t="s">
        <v>66</v>
      </c>
      <c r="D10376" s="1">
        <v>8.0</v>
      </c>
      <c r="E10376" s="1">
        <v>12730.0</v>
      </c>
      <c r="F10376" s="10">
        <f t="shared" si="1"/>
        <v>8</v>
      </c>
      <c r="G10376" s="10">
        <f t="array" ref="G10376">index('Player ID'!C:C,match(E10376,'Player ID'!B:B,0))</f>
        <v>607259</v>
      </c>
    </row>
    <row r="10377">
      <c r="A10377" s="76">
        <v>45835.0</v>
      </c>
      <c r="B10377" s="1" t="s">
        <v>362</v>
      </c>
      <c r="C10377" s="1" t="s">
        <v>66</v>
      </c>
      <c r="D10377" s="1">
        <v>1.0</v>
      </c>
      <c r="E10377" s="1">
        <v>13449.0</v>
      </c>
      <c r="F10377" s="10">
        <f t="shared" si="1"/>
        <v>1</v>
      </c>
      <c r="G10377" s="10">
        <f t="array" ref="G10377">index('Player ID'!C:C,match(E10377,'Player ID'!B:B,0))</f>
        <v>573124</v>
      </c>
    </row>
    <row r="10378">
      <c r="A10378" s="76">
        <v>45835.0</v>
      </c>
      <c r="B10378" s="1" t="s">
        <v>282</v>
      </c>
      <c r="C10378" s="1" t="s">
        <v>26</v>
      </c>
      <c r="D10378" s="1">
        <v>4.0</v>
      </c>
      <c r="E10378" s="1">
        <v>18525.0</v>
      </c>
      <c r="F10378" s="10">
        <f t="shared" si="1"/>
        <v>4</v>
      </c>
      <c r="G10378" s="10">
        <f t="array" ref="G10378">index('Player ID'!C:C,match(E10378,'Player ID'!B:B,0))</f>
        <v>656302</v>
      </c>
    </row>
    <row r="10379">
      <c r="A10379" s="76">
        <v>45835.0</v>
      </c>
      <c r="B10379" s="1" t="s">
        <v>797</v>
      </c>
      <c r="C10379" s="1" t="s">
        <v>26</v>
      </c>
      <c r="D10379" s="1">
        <v>1.0</v>
      </c>
      <c r="E10379" s="1">
        <v>22253.0</v>
      </c>
      <c r="F10379" s="10">
        <f t="shared" si="1"/>
        <v>1</v>
      </c>
      <c r="G10379" s="10">
        <f t="array" ref="G10379">index('Player ID'!C:C,match(E10379,'Player ID'!B:B,0))</f>
        <v>669308</v>
      </c>
    </row>
    <row r="10380">
      <c r="A10380" s="76">
        <v>45835.0</v>
      </c>
      <c r="B10380" s="1" t="s">
        <v>498</v>
      </c>
      <c r="C10380" s="1" t="s">
        <v>26</v>
      </c>
      <c r="D10380" s="1">
        <v>2.0</v>
      </c>
      <c r="E10380" s="1">
        <v>31616.0</v>
      </c>
      <c r="F10380" s="10">
        <f t="shared" si="1"/>
        <v>2</v>
      </c>
      <c r="G10380" s="10" t="str">
        <f t="array" ref="G10380">index('Player ID'!C:C,match(E10380,'Player ID'!B:B,0))</f>
        <v>#N/A</v>
      </c>
    </row>
    <row r="10381">
      <c r="A10381" s="76">
        <v>45835.0</v>
      </c>
      <c r="B10381" s="1" t="s">
        <v>284</v>
      </c>
      <c r="C10381" s="1" t="s">
        <v>26</v>
      </c>
      <c r="D10381" s="1">
        <v>1.0</v>
      </c>
      <c r="E10381" s="1">
        <v>33826.0</v>
      </c>
      <c r="F10381" s="10">
        <f t="shared" si="1"/>
        <v>1</v>
      </c>
      <c r="G10381" s="10">
        <f t="array" ref="G10381">index('Player ID'!C:C,match(E10381,'Player ID'!B:B,0))</f>
        <v>673513</v>
      </c>
    </row>
    <row r="10382">
      <c r="A10382" s="76">
        <v>45835.0</v>
      </c>
      <c r="B10382" s="1" t="s">
        <v>638</v>
      </c>
      <c r="C10382" s="1" t="s">
        <v>40</v>
      </c>
      <c r="D10382" s="1">
        <v>7.0</v>
      </c>
      <c r="E10382" s="1">
        <v>14168.0</v>
      </c>
      <c r="F10382" s="10">
        <f t="shared" si="1"/>
        <v>7</v>
      </c>
      <c r="G10382" s="10">
        <f t="array" ref="G10382">index('Player ID'!C:C,match(E10382,'Player ID'!B:B,0))</f>
        <v>621244</v>
      </c>
    </row>
    <row r="10383">
      <c r="A10383" s="76">
        <v>45835.0</v>
      </c>
      <c r="B10383" s="1" t="s">
        <v>493</v>
      </c>
      <c r="C10383" s="1" t="s">
        <v>22</v>
      </c>
      <c r="D10383" s="1">
        <v>1.0</v>
      </c>
      <c r="E10383" s="1">
        <v>16835.0</v>
      </c>
      <c r="F10383" s="10">
        <f t="shared" si="1"/>
        <v>1</v>
      </c>
      <c r="G10383" s="10">
        <f t="array" ref="G10383">index('Player ID'!C:C,match(E10383,'Player ID'!B:B,0))</f>
        <v>657514</v>
      </c>
    </row>
    <row r="10384">
      <c r="A10384" s="76">
        <v>45835.0</v>
      </c>
      <c r="B10384" s="1" t="s">
        <v>397</v>
      </c>
      <c r="C10384" s="1" t="s">
        <v>22</v>
      </c>
      <c r="D10384" s="1">
        <v>0.2</v>
      </c>
      <c r="E10384" s="1">
        <v>19459.0</v>
      </c>
      <c r="F10384" s="10">
        <f t="shared" si="1"/>
        <v>0.6666666667</v>
      </c>
      <c r="G10384" s="10">
        <f t="array" ref="G10384">index('Player ID'!C:C,match(E10384,'Player ID'!B:B,0))</f>
        <v>660896</v>
      </c>
    </row>
    <row r="10385">
      <c r="A10385" s="76">
        <v>45835.0</v>
      </c>
      <c r="B10385" s="1" t="s">
        <v>641</v>
      </c>
      <c r="C10385" s="1" t="s">
        <v>40</v>
      </c>
      <c r="D10385" s="1">
        <v>1.0</v>
      </c>
      <c r="E10385" s="1">
        <v>20517.0</v>
      </c>
      <c r="F10385" s="10">
        <f t="shared" si="1"/>
        <v>1</v>
      </c>
      <c r="G10385" s="10">
        <f t="array" ref="G10385">index('Player ID'!C:C,match(E10385,'Player ID'!B:B,0))</f>
        <v>680704</v>
      </c>
    </row>
    <row r="10386">
      <c r="A10386" s="76">
        <v>45835.0</v>
      </c>
      <c r="B10386" s="1" t="s">
        <v>410</v>
      </c>
      <c r="C10386" s="1" t="s">
        <v>22</v>
      </c>
      <c r="D10386" s="1">
        <v>6.0</v>
      </c>
      <c r="E10386" s="1">
        <v>23920.0</v>
      </c>
      <c r="F10386" s="10">
        <f t="shared" si="1"/>
        <v>6</v>
      </c>
      <c r="G10386" s="10">
        <f t="array" ref="G10386">index('Player ID'!C:C,match(E10386,'Player ID'!B:B,0))</f>
        <v>678394</v>
      </c>
    </row>
    <row r="10387">
      <c r="A10387" s="76">
        <v>45835.0</v>
      </c>
      <c r="B10387" s="1" t="s">
        <v>900</v>
      </c>
      <c r="C10387" s="1" t="s">
        <v>22</v>
      </c>
      <c r="D10387" s="1">
        <v>1.0</v>
      </c>
      <c r="E10387" s="1">
        <v>25055.0</v>
      </c>
      <c r="F10387" s="10">
        <f t="shared" si="1"/>
        <v>1</v>
      </c>
      <c r="G10387" s="10" t="str">
        <f t="array" ref="G10387">index('Player ID'!C:C,match(E10387,'Player ID'!B:B,0))</f>
        <v>#N/A</v>
      </c>
    </row>
    <row r="10388">
      <c r="A10388" s="76">
        <v>45835.0</v>
      </c>
      <c r="B10388" s="1" t="s">
        <v>568</v>
      </c>
      <c r="C10388" s="1" t="s">
        <v>40</v>
      </c>
      <c r="D10388" s="1">
        <v>1.0</v>
      </c>
      <c r="E10388" s="1">
        <v>25501.0</v>
      </c>
      <c r="F10388" s="10">
        <f t="shared" si="1"/>
        <v>1</v>
      </c>
      <c r="G10388" s="10">
        <f t="array" ref="G10388">index('Player ID'!C:C,match(E10388,'Player ID'!B:B,0))</f>
        <v>687606</v>
      </c>
    </row>
    <row r="10389">
      <c r="A10389" s="76">
        <v>45835.0</v>
      </c>
      <c r="B10389" s="1" t="s">
        <v>720</v>
      </c>
      <c r="C10389" s="1" t="s">
        <v>22</v>
      </c>
      <c r="D10389" s="1">
        <v>0.1</v>
      </c>
      <c r="E10389" s="1">
        <v>31184.0</v>
      </c>
      <c r="F10389" s="10">
        <f t="shared" si="1"/>
        <v>0.3333333333</v>
      </c>
      <c r="G10389" s="10">
        <f t="array" ref="G10389">index('Player ID'!C:C,match(E10389,'Player ID'!B:B,0))</f>
        <v>692285</v>
      </c>
    </row>
    <row r="10390">
      <c r="A10390" s="76">
        <v>45835.0</v>
      </c>
      <c r="B10390" s="1" t="s">
        <v>95</v>
      </c>
      <c r="C10390" s="1" t="s">
        <v>72</v>
      </c>
      <c r="D10390" s="1">
        <v>9.0</v>
      </c>
      <c r="E10390" s="1">
        <v>12768.0</v>
      </c>
      <c r="F10390" s="10">
        <f t="shared" si="1"/>
        <v>9</v>
      </c>
      <c r="G10390" s="10">
        <f t="array" ref="G10390">index('Player ID'!C:C,match(E10390,'Player ID'!B:B,0))</f>
        <v>543243</v>
      </c>
    </row>
    <row r="10391">
      <c r="A10391" s="76">
        <v>45835.0</v>
      </c>
      <c r="B10391" s="1" t="s">
        <v>117</v>
      </c>
      <c r="C10391" s="1" t="s">
        <v>70</v>
      </c>
      <c r="D10391" s="1">
        <v>1.0</v>
      </c>
      <c r="E10391" s="1">
        <v>13619.0</v>
      </c>
      <c r="F10391" s="10">
        <f t="shared" si="1"/>
        <v>1</v>
      </c>
      <c r="G10391" s="10">
        <f t="array" ref="G10391">index('Player ID'!C:C,match(E10391,'Player ID'!B:B,0))</f>
        <v>596001</v>
      </c>
    </row>
    <row r="10392">
      <c r="A10392" s="76">
        <v>45835.0</v>
      </c>
      <c r="B10392" s="1" t="s">
        <v>543</v>
      </c>
      <c r="C10392" s="1" t="s">
        <v>70</v>
      </c>
      <c r="D10392" s="1">
        <v>1.0</v>
      </c>
      <c r="E10392" s="1">
        <v>24978.0</v>
      </c>
      <c r="F10392" s="10">
        <f t="shared" si="1"/>
        <v>1</v>
      </c>
      <c r="G10392" s="10" t="str">
        <f t="array" ref="G10392">index('Player ID'!C:C,match(E10392,'Player ID'!B:B,0))</f>
        <v>#N/A</v>
      </c>
    </row>
    <row r="10393">
      <c r="A10393" s="76">
        <v>45835.0</v>
      </c>
      <c r="B10393" s="1" t="s">
        <v>484</v>
      </c>
      <c r="C10393" s="1" t="s">
        <v>70</v>
      </c>
      <c r="D10393" s="1">
        <v>7.0</v>
      </c>
      <c r="E10393" s="1">
        <v>27646.0</v>
      </c>
      <c r="F10393" s="10">
        <f t="shared" si="1"/>
        <v>7</v>
      </c>
      <c r="G10393" s="10">
        <f t="array" ref="G10393">index('Player ID'!C:C,match(E10393,'Player ID'!B:B,0))</f>
        <v>682847</v>
      </c>
    </row>
    <row r="10394">
      <c r="A10394" s="76">
        <v>45835.0</v>
      </c>
      <c r="B10394" s="1" t="s">
        <v>435</v>
      </c>
      <c r="C10394" s="1" t="s">
        <v>16</v>
      </c>
      <c r="D10394" s="1">
        <v>0.1</v>
      </c>
      <c r="E10394" s="1">
        <v>13293.0</v>
      </c>
      <c r="F10394" s="10">
        <f t="shared" si="1"/>
        <v>0.3333333333</v>
      </c>
      <c r="G10394" s="10">
        <f t="array" ref="G10394">index('Player ID'!C:C,match(E10394,'Player ID'!B:B,0))</f>
        <v>543056</v>
      </c>
    </row>
    <row r="10395">
      <c r="A10395" s="76">
        <v>45835.0</v>
      </c>
      <c r="B10395" s="1" t="s">
        <v>28</v>
      </c>
      <c r="C10395" s="1" t="s">
        <v>16</v>
      </c>
      <c r="D10395" s="1">
        <v>1.0</v>
      </c>
      <c r="E10395" s="1">
        <v>20253.0</v>
      </c>
      <c r="F10395" s="10">
        <f t="shared" si="1"/>
        <v>1</v>
      </c>
      <c r="G10395" s="10">
        <f t="array" ref="G10395">index('Player ID'!C:C,match(E10395,'Player ID'!B:B,0))</f>
        <v>643377</v>
      </c>
    </row>
    <row r="10396">
      <c r="A10396" s="76">
        <v>45835.0</v>
      </c>
      <c r="B10396" s="1" t="s">
        <v>122</v>
      </c>
      <c r="C10396" s="1" t="s">
        <v>16</v>
      </c>
      <c r="D10396" s="1">
        <v>1.0</v>
      </c>
      <c r="E10396" s="1">
        <v>21029.0</v>
      </c>
      <c r="F10396" s="10">
        <f t="shared" si="1"/>
        <v>1</v>
      </c>
      <c r="G10396" s="10">
        <f t="array" ref="G10396">index('Player ID'!C:C,match(E10396,'Player ID'!B:B,0))</f>
        <v>661395</v>
      </c>
    </row>
    <row r="10397">
      <c r="A10397" s="76">
        <v>45835.0</v>
      </c>
      <c r="B10397" s="1" t="s">
        <v>701</v>
      </c>
      <c r="C10397" s="1" t="s">
        <v>62</v>
      </c>
      <c r="D10397" s="1">
        <v>1.2</v>
      </c>
      <c r="E10397" s="1">
        <v>22713.0</v>
      </c>
      <c r="F10397" s="10">
        <f t="shared" si="1"/>
        <v>1.666666667</v>
      </c>
      <c r="G10397" s="10">
        <f t="array" ref="G10397">index('Player ID'!C:C,match(E10397,'Player ID'!B:B,0))</f>
        <v>672578</v>
      </c>
    </row>
    <row r="10398">
      <c r="A10398" s="76">
        <v>45835.0</v>
      </c>
      <c r="B10398" s="1" t="s">
        <v>566</v>
      </c>
      <c r="C10398" s="1" t="s">
        <v>62</v>
      </c>
      <c r="D10398" s="1">
        <v>5.1</v>
      </c>
      <c r="E10398" s="1">
        <v>26048.0</v>
      </c>
      <c r="F10398" s="10">
        <f t="shared" si="1"/>
        <v>5.333333333</v>
      </c>
      <c r="G10398" s="10">
        <f t="array" ref="G10398">index('Player ID'!C:C,match(E10398,'Player ID'!B:B,0))</f>
        <v>687830</v>
      </c>
    </row>
    <row r="10399">
      <c r="A10399" s="76">
        <v>45835.0</v>
      </c>
      <c r="B10399" s="1" t="s">
        <v>47</v>
      </c>
      <c r="C10399" s="1" t="s">
        <v>16</v>
      </c>
      <c r="D10399" s="1">
        <v>1.0</v>
      </c>
      <c r="E10399" s="1">
        <v>27691.0</v>
      </c>
      <c r="F10399" s="10">
        <f t="shared" si="1"/>
        <v>1</v>
      </c>
      <c r="G10399" s="10">
        <f t="array" ref="G10399">index('Player ID'!C:C,match(E10399,'Player ID'!B:B,0))</f>
        <v>686973</v>
      </c>
    </row>
    <row r="10400">
      <c r="A10400" s="76">
        <v>45835.0</v>
      </c>
      <c r="B10400" s="1" t="s">
        <v>253</v>
      </c>
      <c r="C10400" s="1" t="s">
        <v>16</v>
      </c>
      <c r="D10400" s="1">
        <v>5.2</v>
      </c>
      <c r="E10400" s="1">
        <v>30056.0</v>
      </c>
      <c r="F10400" s="10">
        <f t="shared" si="1"/>
        <v>5.666666667</v>
      </c>
      <c r="G10400" s="10">
        <f t="array" ref="G10400">index('Player ID'!C:C,match(E10400,'Player ID'!B:B,0))</f>
        <v>701581</v>
      </c>
    </row>
    <row r="10401">
      <c r="A10401" s="76">
        <v>45835.0</v>
      </c>
      <c r="B10401" s="1" t="s">
        <v>487</v>
      </c>
      <c r="C10401" s="1" t="s">
        <v>62</v>
      </c>
      <c r="D10401" s="1">
        <v>0.0</v>
      </c>
      <c r="E10401" s="1">
        <v>30133.0</v>
      </c>
      <c r="F10401" s="10">
        <f t="shared" si="1"/>
        <v>0</v>
      </c>
      <c r="G10401" s="10">
        <f t="array" ref="G10401">index('Player ID'!C:C,match(E10401,'Player ID'!B:B,0))</f>
        <v>676428</v>
      </c>
    </row>
    <row r="10402">
      <c r="A10402" s="76">
        <v>45835.0</v>
      </c>
      <c r="B10402" s="1" t="s">
        <v>860</v>
      </c>
      <c r="C10402" s="1" t="s">
        <v>62</v>
      </c>
      <c r="D10402" s="1">
        <v>2.0</v>
      </c>
      <c r="E10402" s="1">
        <v>30145.0</v>
      </c>
      <c r="F10402" s="10">
        <f t="shared" si="1"/>
        <v>2</v>
      </c>
      <c r="G10402" s="10" t="str">
        <f t="array" ref="G10402">index('Player ID'!C:C,match(E10402,'Player ID'!B:B,0))</f>
        <v>#N/A</v>
      </c>
    </row>
    <row r="10403">
      <c r="A10403" s="76">
        <v>45835.0</v>
      </c>
      <c r="B10403" s="1" t="s">
        <v>453</v>
      </c>
      <c r="C10403" s="1" t="s">
        <v>45</v>
      </c>
      <c r="D10403" s="1">
        <v>2.0</v>
      </c>
      <c r="E10403" s="1">
        <v>11836.0</v>
      </c>
      <c r="F10403" s="10">
        <f t="shared" si="1"/>
        <v>2</v>
      </c>
      <c r="G10403" s="10">
        <f t="array" ref="G10403">index('Player ID'!C:C,match(E10403,'Player ID'!B:B,0))</f>
        <v>592836</v>
      </c>
    </row>
    <row r="10404">
      <c r="A10404" s="76">
        <v>45835.0</v>
      </c>
      <c r="B10404" s="1" t="s">
        <v>326</v>
      </c>
      <c r="C10404" s="1" t="s">
        <v>46</v>
      </c>
      <c r="D10404" s="1">
        <v>1.0</v>
      </c>
      <c r="E10404" s="1">
        <v>12760.0</v>
      </c>
      <c r="F10404" s="10">
        <f t="shared" si="1"/>
        <v>1</v>
      </c>
      <c r="G10404" s="10">
        <f t="array" ref="G10404">index('Player ID'!C:C,match(E10404,'Player ID'!B:B,0))</f>
        <v>606160</v>
      </c>
    </row>
    <row r="10405">
      <c r="A10405" s="76">
        <v>45835.0</v>
      </c>
      <c r="B10405" s="1" t="s">
        <v>138</v>
      </c>
      <c r="C10405" s="1" t="s">
        <v>45</v>
      </c>
      <c r="D10405" s="1">
        <v>2.0</v>
      </c>
      <c r="E10405" s="1">
        <v>16990.0</v>
      </c>
      <c r="F10405" s="10">
        <f t="shared" si="1"/>
        <v>2</v>
      </c>
      <c r="G10405" s="10">
        <f t="array" ref="G10405">index('Player ID'!C:C,match(E10405,'Player ID'!B:B,0))</f>
        <v>621383</v>
      </c>
    </row>
    <row r="10406">
      <c r="A10406" s="76">
        <v>45835.0</v>
      </c>
      <c r="B10406" s="1" t="s">
        <v>346</v>
      </c>
      <c r="C10406" s="1" t="s">
        <v>46</v>
      </c>
      <c r="D10406" s="1">
        <v>1.1</v>
      </c>
      <c r="E10406" s="1">
        <v>18403.0</v>
      </c>
      <c r="F10406" s="10">
        <f t="shared" si="1"/>
        <v>1.333333333</v>
      </c>
      <c r="G10406" s="10">
        <f t="array" ref="G10406">index('Player ID'!C:C,match(E10406,'Player ID'!B:B,0))</f>
        <v>660853</v>
      </c>
    </row>
    <row r="10407">
      <c r="A10407" s="76">
        <v>45835.0</v>
      </c>
      <c r="B10407" s="1" t="s">
        <v>571</v>
      </c>
      <c r="C10407" s="1" t="s">
        <v>45</v>
      </c>
      <c r="D10407" s="1">
        <v>5.0</v>
      </c>
      <c r="E10407" s="1">
        <v>19524.0</v>
      </c>
      <c r="F10407" s="10">
        <f t="shared" si="1"/>
        <v>5</v>
      </c>
      <c r="G10407" s="10">
        <f t="array" ref="G10407">index('Player ID'!C:C,match(E10407,'Player ID'!B:B,0))</f>
        <v>660604</v>
      </c>
    </row>
    <row r="10408">
      <c r="A10408" s="76">
        <v>45835.0</v>
      </c>
      <c r="B10408" s="1" t="s">
        <v>879</v>
      </c>
      <c r="C10408" s="1" t="s">
        <v>46</v>
      </c>
      <c r="D10408" s="1">
        <v>1.0</v>
      </c>
      <c r="E10408" s="1">
        <v>19931.0</v>
      </c>
      <c r="F10408" s="10">
        <f t="shared" si="1"/>
        <v>1</v>
      </c>
      <c r="G10408" s="10" t="str">
        <f t="array" ref="G10408">index('Player ID'!C:C,match(E10408,'Player ID'!B:B,0))</f>
        <v>#N/A</v>
      </c>
    </row>
    <row r="10409">
      <c r="A10409" s="76">
        <v>45835.0</v>
      </c>
      <c r="B10409" s="1" t="s">
        <v>91</v>
      </c>
      <c r="C10409" s="1" t="s">
        <v>46</v>
      </c>
      <c r="D10409" s="1">
        <v>1.0</v>
      </c>
      <c r="E10409" s="1">
        <v>19996.0</v>
      </c>
      <c r="F10409" s="10">
        <f t="shared" si="1"/>
        <v>1</v>
      </c>
      <c r="G10409" s="10">
        <f t="array" ref="G10409">index('Player ID'!C:C,match(E10409,'Player ID'!B:B,0))</f>
        <v>669276</v>
      </c>
    </row>
    <row r="10410">
      <c r="A10410" s="76">
        <v>45835.0</v>
      </c>
      <c r="B10410" s="1" t="s">
        <v>752</v>
      </c>
      <c r="C10410" s="1" t="s">
        <v>46</v>
      </c>
      <c r="D10410" s="1">
        <v>2.2</v>
      </c>
      <c r="E10410" s="1">
        <v>20827.0</v>
      </c>
      <c r="F10410" s="10">
        <f t="shared" si="1"/>
        <v>2.666666667</v>
      </c>
      <c r="G10410" s="10">
        <f t="array" ref="G10410">index('Player ID'!C:C,match(E10410,'Player ID'!B:B,0))</f>
        <v>656848</v>
      </c>
    </row>
    <row r="10411">
      <c r="A10411" s="76">
        <v>45835.0</v>
      </c>
      <c r="B10411" s="1" t="s">
        <v>275</v>
      </c>
      <c r="C10411" s="1" t="s">
        <v>46</v>
      </c>
      <c r="D10411" s="1">
        <v>2.0</v>
      </c>
      <c r="E10411" s="1">
        <v>27779.0</v>
      </c>
      <c r="F10411" s="10">
        <f t="shared" si="1"/>
        <v>2</v>
      </c>
      <c r="G10411" s="10">
        <f t="array" ref="G10411">index('Player ID'!C:C,match(E10411,'Player ID'!B:B,0))</f>
        <v>693821</v>
      </c>
    </row>
    <row r="10412">
      <c r="A10412" s="76">
        <v>45835.0</v>
      </c>
      <c r="B10412" s="1" t="s">
        <v>20</v>
      </c>
      <c r="C10412" s="1" t="s">
        <v>31</v>
      </c>
      <c r="D10412" s="1">
        <v>1.0</v>
      </c>
      <c r="E10412" s="1">
        <v>15541.0</v>
      </c>
      <c r="F10412" s="10">
        <f t="shared" si="1"/>
        <v>1</v>
      </c>
      <c r="G10412" s="10">
        <f t="array" ref="G10412">index('Player ID'!C:C,match(E10412,'Player ID'!B:B,0))</f>
        <v>643511</v>
      </c>
    </row>
    <row r="10413">
      <c r="A10413" s="76">
        <v>45835.0</v>
      </c>
      <c r="B10413" s="1" t="s">
        <v>851</v>
      </c>
      <c r="C10413" s="1" t="s">
        <v>78</v>
      </c>
      <c r="D10413" s="1">
        <v>1.0</v>
      </c>
      <c r="E10413" s="1">
        <v>16507.0</v>
      </c>
      <c r="F10413" s="10">
        <f t="shared" si="1"/>
        <v>1</v>
      </c>
      <c r="G10413" s="10" t="str">
        <f t="array" ref="G10413">index('Player ID'!C:C,match(E10413,'Player ID'!B:B,0))</f>
        <v>#N/A</v>
      </c>
    </row>
    <row r="10414">
      <c r="A10414" s="76">
        <v>45835.0</v>
      </c>
      <c r="B10414" s="1" t="s">
        <v>187</v>
      </c>
      <c r="C10414" s="1" t="s">
        <v>78</v>
      </c>
      <c r="D10414" s="1">
        <v>3.0</v>
      </c>
      <c r="E10414" s="1">
        <v>17735.0</v>
      </c>
      <c r="F10414" s="10">
        <f t="shared" si="1"/>
        <v>3</v>
      </c>
      <c r="G10414" s="10">
        <f t="array" ref="G10414">index('Player ID'!C:C,match(E10414,'Player ID'!B:B,0))</f>
        <v>641302</v>
      </c>
    </row>
    <row r="10415">
      <c r="A10415" s="76">
        <v>45835.0</v>
      </c>
      <c r="B10415" s="1" t="s">
        <v>478</v>
      </c>
      <c r="C10415" s="1" t="s">
        <v>78</v>
      </c>
      <c r="D10415" s="1">
        <v>1.0</v>
      </c>
      <c r="E10415" s="1">
        <v>17964.0</v>
      </c>
      <c r="F10415" s="10">
        <f t="shared" si="1"/>
        <v>1</v>
      </c>
      <c r="G10415" s="10">
        <f t="array" ref="G10415">index('Player ID'!C:C,match(E10415,'Player ID'!B:B,0))</f>
        <v>656457</v>
      </c>
    </row>
    <row r="10416">
      <c r="A10416" s="76">
        <v>45835.0</v>
      </c>
      <c r="B10416" s="1" t="s">
        <v>491</v>
      </c>
      <c r="C10416" s="1" t="s">
        <v>78</v>
      </c>
      <c r="D10416" s="1">
        <v>4.0</v>
      </c>
      <c r="E10416" s="1">
        <v>19479.0</v>
      </c>
      <c r="F10416" s="10">
        <f t="shared" si="1"/>
        <v>4</v>
      </c>
      <c r="G10416" s="10">
        <f t="array" ref="G10416">index('Player ID'!C:C,match(E10416,'Player ID'!B:B,0))</f>
        <v>650644</v>
      </c>
    </row>
    <row r="10417">
      <c r="A10417" s="76">
        <v>45835.0</v>
      </c>
      <c r="B10417" s="1" t="s">
        <v>403</v>
      </c>
      <c r="C10417" s="1" t="s">
        <v>31</v>
      </c>
      <c r="D10417" s="1">
        <v>0.2</v>
      </c>
      <c r="E10417" s="1">
        <v>20423.0</v>
      </c>
      <c r="F10417" s="10">
        <f t="shared" si="1"/>
        <v>0.6666666667</v>
      </c>
      <c r="G10417" s="10">
        <f t="array" ref="G10417">index('Player ID'!C:C,match(E10417,'Player ID'!B:B,0))</f>
        <v>676254</v>
      </c>
    </row>
    <row r="10418">
      <c r="A10418" s="76">
        <v>45835.0</v>
      </c>
      <c r="B10418" s="1" t="s">
        <v>304</v>
      </c>
      <c r="C10418" s="1" t="s">
        <v>31</v>
      </c>
      <c r="D10418" s="1">
        <v>1.0</v>
      </c>
      <c r="E10418" s="1">
        <v>21992.0</v>
      </c>
      <c r="F10418" s="10">
        <f t="shared" si="1"/>
        <v>1</v>
      </c>
      <c r="G10418" s="10">
        <f t="array" ref="G10418">index('Player ID'!C:C,match(E10418,'Player ID'!B:B,0))</f>
        <v>666808</v>
      </c>
    </row>
    <row r="10419">
      <c r="A10419" s="76">
        <v>45835.0</v>
      </c>
      <c r="B10419" s="1" t="s">
        <v>654</v>
      </c>
      <c r="C10419" s="1" t="s">
        <v>31</v>
      </c>
      <c r="D10419" s="1">
        <v>1.0</v>
      </c>
      <c r="E10419" s="1">
        <v>23974.0</v>
      </c>
      <c r="F10419" s="10">
        <f t="shared" si="1"/>
        <v>1</v>
      </c>
      <c r="G10419" s="10">
        <f t="array" ref="G10419">index('Player ID'!C:C,match(E10419,'Player ID'!B:B,0))</f>
        <v>678495</v>
      </c>
    </row>
    <row r="10420">
      <c r="A10420" s="76">
        <v>45835.0</v>
      </c>
      <c r="B10420" s="1" t="s">
        <v>209</v>
      </c>
      <c r="C10420" s="1" t="s">
        <v>31</v>
      </c>
      <c r="D10420" s="1">
        <v>5.1</v>
      </c>
      <c r="E10420" s="1">
        <v>30076.0</v>
      </c>
      <c r="F10420" s="10">
        <f t="shared" si="1"/>
        <v>5.333333333</v>
      </c>
      <c r="G10420" s="10">
        <f t="array" ref="G10420">index('Player ID'!C:C,match(E10420,'Player ID'!B:B,0))</f>
        <v>694738</v>
      </c>
    </row>
    <row r="10421">
      <c r="A10421" s="76">
        <v>45835.0</v>
      </c>
      <c r="B10421" s="1" t="s">
        <v>115</v>
      </c>
      <c r="C10421" s="1" t="s">
        <v>56</v>
      </c>
      <c r="D10421" s="1">
        <v>3.0</v>
      </c>
      <c r="E10421" s="1">
        <v>9132.0</v>
      </c>
      <c r="F10421" s="10">
        <f t="shared" si="1"/>
        <v>3</v>
      </c>
      <c r="G10421" s="10">
        <f t="array" ref="G10421">index('Player ID'!C:C,match(E10421,'Player ID'!B:B,0))</f>
        <v>543135</v>
      </c>
    </row>
    <row r="10422">
      <c r="A10422" s="76">
        <v>45835.0</v>
      </c>
      <c r="B10422" s="1" t="s">
        <v>162</v>
      </c>
      <c r="C10422" s="1" t="s">
        <v>56</v>
      </c>
      <c r="D10422" s="1">
        <v>2.0</v>
      </c>
      <c r="E10422" s="1">
        <v>11752.0</v>
      </c>
      <c r="F10422" s="10">
        <f t="shared" si="1"/>
        <v>2</v>
      </c>
      <c r="G10422" s="10">
        <f t="array" ref="G10422">index('Player ID'!C:C,match(E10422,'Player ID'!B:B,0))</f>
        <v>592426</v>
      </c>
    </row>
    <row r="10423">
      <c r="A10423" s="76">
        <v>45835.0</v>
      </c>
      <c r="B10423" s="1" t="s">
        <v>74</v>
      </c>
      <c r="C10423" s="1" t="s">
        <v>56</v>
      </c>
      <c r="D10423" s="1">
        <v>1.0</v>
      </c>
      <c r="E10423" s="1">
        <v>11847.0</v>
      </c>
      <c r="F10423" s="10">
        <f t="shared" si="1"/>
        <v>1</v>
      </c>
      <c r="G10423" s="10">
        <f t="array" ref="G10423">index('Player ID'!C:C,match(E10423,'Player ID'!B:B,0))</f>
        <v>455119</v>
      </c>
    </row>
    <row r="10424">
      <c r="A10424" s="76">
        <v>45835.0</v>
      </c>
      <c r="B10424" s="1" t="s">
        <v>440</v>
      </c>
      <c r="C10424" s="1" t="s">
        <v>56</v>
      </c>
      <c r="D10424" s="1">
        <v>1.0</v>
      </c>
      <c r="E10424" s="1">
        <v>12857.0</v>
      </c>
      <c r="F10424" s="10">
        <f t="shared" si="1"/>
        <v>1</v>
      </c>
      <c r="G10424" s="10">
        <f t="array" ref="G10424">index('Player ID'!C:C,match(E10424,'Player ID'!B:B,0))</f>
        <v>542888</v>
      </c>
    </row>
    <row r="10425">
      <c r="A10425" s="76">
        <v>45835.0</v>
      </c>
      <c r="B10425" s="1" t="s">
        <v>151</v>
      </c>
      <c r="C10425" s="1" t="s">
        <v>56</v>
      </c>
      <c r="D10425" s="1">
        <v>1.0</v>
      </c>
      <c r="E10425" s="1">
        <v>13346.0</v>
      </c>
      <c r="F10425" s="10">
        <f t="shared" si="1"/>
        <v>1</v>
      </c>
      <c r="G10425" s="10">
        <f t="array" ref="G10425">index('Player ID'!C:C,match(E10425,'Player ID'!B:B,0))</f>
        <v>571948</v>
      </c>
    </row>
    <row r="10426">
      <c r="A10426" s="76">
        <v>45835.0</v>
      </c>
      <c r="B10426" s="1" t="s">
        <v>53</v>
      </c>
      <c r="C10426" s="1" t="s">
        <v>37</v>
      </c>
      <c r="D10426" s="1">
        <v>0.1</v>
      </c>
      <c r="E10426" s="1">
        <v>17170.0</v>
      </c>
      <c r="F10426" s="10">
        <f t="shared" si="1"/>
        <v>0.3333333333</v>
      </c>
      <c r="G10426" s="10">
        <f t="array" ref="G10426">index('Player ID'!C:C,match(E10426,'Player ID'!B:B,0))</f>
        <v>642100</v>
      </c>
    </row>
    <row r="10427">
      <c r="A10427" s="76">
        <v>45835.0</v>
      </c>
      <c r="B10427" s="1" t="s">
        <v>87</v>
      </c>
      <c r="C10427" s="1" t="s">
        <v>56</v>
      </c>
      <c r="D10427" s="1">
        <v>2.0</v>
      </c>
      <c r="E10427" s="1">
        <v>19274.0</v>
      </c>
      <c r="F10427" s="10">
        <f t="shared" si="1"/>
        <v>2</v>
      </c>
      <c r="G10427" s="10">
        <f t="array" ref="G10427">index('Player ID'!C:C,match(E10427,'Player ID'!B:B,0))</f>
        <v>657097</v>
      </c>
    </row>
    <row r="10428">
      <c r="A10428" s="76">
        <v>45835.0</v>
      </c>
      <c r="B10428" s="1" t="s">
        <v>670</v>
      </c>
      <c r="C10428" s="1" t="s">
        <v>37</v>
      </c>
      <c r="D10428" s="1">
        <v>1.0</v>
      </c>
      <c r="E10428" s="1">
        <v>20373.0</v>
      </c>
      <c r="F10428" s="10">
        <f t="shared" si="1"/>
        <v>1</v>
      </c>
      <c r="G10428" s="10">
        <f t="array" ref="G10428">index('Player ID'!C:C,match(E10428,'Player ID'!B:B,0))</f>
        <v>662253</v>
      </c>
    </row>
    <row r="10429">
      <c r="A10429" s="76">
        <v>45835.0</v>
      </c>
      <c r="B10429" s="1" t="s">
        <v>157</v>
      </c>
      <c r="C10429" s="1" t="s">
        <v>37</v>
      </c>
      <c r="D10429" s="1">
        <v>2.0</v>
      </c>
      <c r="E10429" s="1">
        <v>20997.0</v>
      </c>
      <c r="F10429" s="10">
        <f t="shared" si="1"/>
        <v>2</v>
      </c>
      <c r="G10429" s="10">
        <f t="array" ref="G10429">index('Player ID'!C:C,match(E10429,'Player ID'!B:B,0))</f>
        <v>660825</v>
      </c>
    </row>
    <row r="10430">
      <c r="A10430" s="76">
        <v>45835.0</v>
      </c>
      <c r="B10430" s="1" t="s">
        <v>502</v>
      </c>
      <c r="C10430" s="1" t="s">
        <v>56</v>
      </c>
      <c r="D10430" s="1">
        <v>1.0</v>
      </c>
      <c r="E10430" s="1">
        <v>22113.0</v>
      </c>
      <c r="F10430" s="10">
        <f t="shared" si="1"/>
        <v>1</v>
      </c>
      <c r="G10430" s="10">
        <f t="array" ref="G10430">index('Player ID'!C:C,match(E10430,'Player ID'!B:B,0))</f>
        <v>668390</v>
      </c>
    </row>
    <row r="10431">
      <c r="A10431" s="76">
        <v>45835.0</v>
      </c>
      <c r="B10431" s="1" t="s">
        <v>153</v>
      </c>
      <c r="C10431" s="1" t="s">
        <v>37</v>
      </c>
      <c r="D10431" s="1">
        <v>5.1</v>
      </c>
      <c r="E10431" s="1">
        <v>22250.0</v>
      </c>
      <c r="F10431" s="10">
        <f t="shared" si="1"/>
        <v>5.333333333</v>
      </c>
      <c r="G10431" s="10">
        <f t="array" ref="G10431">index('Player ID'!C:C,match(E10431,'Player ID'!B:B,0))</f>
        <v>669302</v>
      </c>
    </row>
    <row r="10432">
      <c r="A10432" s="76">
        <v>45835.0</v>
      </c>
      <c r="B10432" s="1" t="s">
        <v>101</v>
      </c>
      <c r="C10432" s="1" t="s">
        <v>37</v>
      </c>
      <c r="D10432" s="1">
        <v>1.0</v>
      </c>
      <c r="E10432" s="1">
        <v>22915.0</v>
      </c>
      <c r="F10432" s="10">
        <f t="shared" si="1"/>
        <v>1</v>
      </c>
      <c r="G10432" s="10">
        <f t="array" ref="G10432">index('Player ID'!C:C,match(E10432,'Player ID'!B:B,0))</f>
        <v>672841</v>
      </c>
    </row>
    <row r="10433">
      <c r="A10433" s="76">
        <v>45835.0</v>
      </c>
      <c r="B10433" s="1" t="s">
        <v>268</v>
      </c>
      <c r="C10433" s="1" t="s">
        <v>56</v>
      </c>
      <c r="D10433" s="1">
        <v>1.0</v>
      </c>
      <c r="E10433" s="1">
        <v>23363.0</v>
      </c>
      <c r="F10433" s="10">
        <f t="shared" si="1"/>
        <v>1</v>
      </c>
      <c r="G10433" s="10">
        <f t="array" ref="G10433">index('Player ID'!C:C,match(E10433,'Player ID'!B:B,0))</f>
        <v>676395</v>
      </c>
    </row>
    <row r="10434">
      <c r="A10434" s="76">
        <v>45835.0</v>
      </c>
      <c r="B10434" s="1" t="s">
        <v>254</v>
      </c>
      <c r="C10434" s="1" t="s">
        <v>37</v>
      </c>
      <c r="D10434" s="1">
        <v>1.0</v>
      </c>
      <c r="E10434" s="1">
        <v>25756.0</v>
      </c>
      <c r="F10434" s="10">
        <f t="shared" si="1"/>
        <v>1</v>
      </c>
      <c r="G10434" s="10">
        <f t="array" ref="G10434">index('Player ID'!C:C,match(E10434,'Player ID'!B:B,0))</f>
        <v>666374</v>
      </c>
    </row>
    <row r="10435">
      <c r="A10435" s="76">
        <v>45835.0</v>
      </c>
      <c r="B10435" s="1" t="s">
        <v>340</v>
      </c>
      <c r="C10435" s="1" t="s">
        <v>37</v>
      </c>
      <c r="D10435" s="1">
        <v>1.1</v>
      </c>
      <c r="E10435" s="1">
        <v>25921.0</v>
      </c>
      <c r="F10435" s="10">
        <f t="shared" si="1"/>
        <v>1.333333333</v>
      </c>
      <c r="G10435" s="10">
        <f t="array" ref="G10435">index('Player ID'!C:C,match(E10435,'Player ID'!B:B,0))</f>
        <v>668984</v>
      </c>
    </row>
    <row r="10436">
      <c r="A10436" s="76">
        <v>45835.0</v>
      </c>
      <c r="B10436" s="1" t="s">
        <v>38</v>
      </c>
      <c r="C10436" s="1" t="s">
        <v>39</v>
      </c>
      <c r="D10436" s="1">
        <v>0.2</v>
      </c>
      <c r="E10436" s="1">
        <v>13580.0</v>
      </c>
      <c r="F10436" s="10">
        <f t="shared" si="1"/>
        <v>0.6666666667</v>
      </c>
      <c r="G10436" s="10">
        <f t="array" ref="G10436">index('Player ID'!C:C,match(E10436,'Player ID'!B:B,0))</f>
        <v>595345</v>
      </c>
    </row>
    <row r="10437">
      <c r="A10437" s="76">
        <v>45835.0</v>
      </c>
      <c r="B10437" s="1" t="s">
        <v>462</v>
      </c>
      <c r="C10437" s="1" t="s">
        <v>34</v>
      </c>
      <c r="D10437" s="1">
        <v>4.0</v>
      </c>
      <c r="E10437" s="1">
        <v>13896.0</v>
      </c>
      <c r="F10437" s="10">
        <f t="shared" si="1"/>
        <v>4</v>
      </c>
      <c r="G10437" s="10">
        <f t="array" ref="G10437">index('Player ID'!C:C,match(E10437,'Player ID'!B:B,0))</f>
        <v>623167</v>
      </c>
    </row>
    <row r="10438">
      <c r="A10438" s="76">
        <v>45835.0</v>
      </c>
      <c r="B10438" s="1" t="s">
        <v>59</v>
      </c>
      <c r="C10438" s="1" t="s">
        <v>39</v>
      </c>
      <c r="D10438" s="1">
        <v>0.1</v>
      </c>
      <c r="E10438" s="1">
        <v>14212.0</v>
      </c>
      <c r="F10438" s="10">
        <f t="shared" si="1"/>
        <v>0.3333333333</v>
      </c>
      <c r="G10438" s="10">
        <f t="array" ref="G10438">index('Player ID'!C:C,match(E10438,'Player ID'!B:B,0))</f>
        <v>623352</v>
      </c>
    </row>
    <row r="10439">
      <c r="A10439" s="76">
        <v>45835.0</v>
      </c>
      <c r="B10439" s="1" t="s">
        <v>359</v>
      </c>
      <c r="C10439" s="1" t="s">
        <v>39</v>
      </c>
      <c r="D10439" s="1">
        <v>0.1</v>
      </c>
      <c r="E10439" s="1">
        <v>20061.0</v>
      </c>
      <c r="F10439" s="10">
        <f t="shared" si="1"/>
        <v>0.3333333333</v>
      </c>
      <c r="G10439" s="10">
        <f t="array" ref="G10439">index('Player ID'!C:C,match(E10439,'Player ID'!B:B,0))</f>
        <v>672391</v>
      </c>
    </row>
    <row r="10440">
      <c r="A10440" s="76">
        <v>45835.0</v>
      </c>
      <c r="B10440" s="1" t="s">
        <v>102</v>
      </c>
      <c r="C10440" s="1" t="s">
        <v>39</v>
      </c>
      <c r="D10440" s="1">
        <v>1.2</v>
      </c>
      <c r="E10440" s="1">
        <v>21345.0</v>
      </c>
      <c r="F10440" s="10">
        <f t="shared" si="1"/>
        <v>1.666666667</v>
      </c>
      <c r="G10440" s="10">
        <f t="array" ref="G10440">index('Player ID'!C:C,match(E10440,'Player ID'!B:B,0))</f>
        <v>656986</v>
      </c>
    </row>
    <row r="10441">
      <c r="A10441" s="76">
        <v>45835.0</v>
      </c>
      <c r="B10441" s="1" t="s">
        <v>63</v>
      </c>
      <c r="C10441" s="1" t="s">
        <v>39</v>
      </c>
      <c r="D10441" s="1">
        <v>6.0</v>
      </c>
      <c r="E10441" s="1">
        <v>26056.0</v>
      </c>
      <c r="F10441" s="10">
        <f t="shared" si="1"/>
        <v>6</v>
      </c>
      <c r="G10441" s="10">
        <f t="array" ref="G10441">index('Player ID'!C:C,match(E10441,'Player ID'!B:B,0))</f>
        <v>687888</v>
      </c>
    </row>
    <row r="10442">
      <c r="A10442" s="76">
        <v>45835.0</v>
      </c>
      <c r="B10442" s="1" t="s">
        <v>434</v>
      </c>
      <c r="C10442" s="1" t="s">
        <v>34</v>
      </c>
      <c r="D10442" s="1">
        <v>4.0</v>
      </c>
      <c r="E10442" s="1">
        <v>31872.0</v>
      </c>
      <c r="F10442" s="10">
        <f t="shared" si="1"/>
        <v>4</v>
      </c>
      <c r="G10442" s="10">
        <f t="array" ref="G10442">index('Player ID'!C:C,match(E10442,'Player ID'!B:B,0))</f>
        <v>690990</v>
      </c>
    </row>
    <row r="10443">
      <c r="A10443" s="76">
        <v>45835.0</v>
      </c>
      <c r="B10443" s="1" t="s">
        <v>595</v>
      </c>
      <c r="C10443" s="1" t="s">
        <v>33</v>
      </c>
      <c r="D10443" s="1">
        <v>1.0</v>
      </c>
      <c r="E10443" s="1">
        <v>6984.0</v>
      </c>
      <c r="F10443" s="10">
        <f t="shared" si="1"/>
        <v>1</v>
      </c>
      <c r="G10443" s="10">
        <f t="array" ref="G10443">index('Player ID'!C:C,match(E10443,'Player ID'!B:B,0))</f>
        <v>472610</v>
      </c>
    </row>
    <row r="10444">
      <c r="A10444" s="76">
        <v>45835.0</v>
      </c>
      <c r="B10444" s="1" t="s">
        <v>310</v>
      </c>
      <c r="C10444" s="1" t="s">
        <v>33</v>
      </c>
      <c r="D10444" s="1">
        <v>0.1</v>
      </c>
      <c r="E10444" s="1">
        <v>14706.0</v>
      </c>
      <c r="F10444" s="10">
        <f t="shared" si="1"/>
        <v>0.3333333333</v>
      </c>
      <c r="G10444" s="10">
        <f t="array" ref="G10444">index('Player ID'!C:C,match(E10444,'Player ID'!B:B,0))</f>
        <v>607455</v>
      </c>
    </row>
    <row r="10445">
      <c r="A10445" s="76">
        <v>45835.0</v>
      </c>
      <c r="B10445" s="1" t="s">
        <v>503</v>
      </c>
      <c r="C10445" s="1" t="s">
        <v>33</v>
      </c>
      <c r="D10445" s="1">
        <v>1.2</v>
      </c>
      <c r="E10445" s="1">
        <v>15043.0</v>
      </c>
      <c r="F10445" s="10">
        <f t="shared" si="1"/>
        <v>1.666666667</v>
      </c>
      <c r="G10445" s="10">
        <f t="array" ref="G10445">index('Player ID'!C:C,match(E10445,'Player ID'!B:B,0))</f>
        <v>642152</v>
      </c>
    </row>
    <row r="10446">
      <c r="A10446" s="76">
        <v>45835.0</v>
      </c>
      <c r="B10446" s="1" t="s">
        <v>32</v>
      </c>
      <c r="C10446" s="1" t="s">
        <v>33</v>
      </c>
      <c r="D10446" s="1">
        <v>1.0</v>
      </c>
      <c r="E10446" s="1">
        <v>17586.0</v>
      </c>
      <c r="F10446" s="10">
        <f t="shared" si="1"/>
        <v>1</v>
      </c>
      <c r="G10446" s="10">
        <f t="array" ref="G10446">index('Player ID'!C:C,match(E10446,'Player ID'!B:B,0))</f>
        <v>656945</v>
      </c>
    </row>
    <row r="10447">
      <c r="A10447" s="76">
        <v>45835.0</v>
      </c>
      <c r="B10447" s="1" t="s">
        <v>199</v>
      </c>
      <c r="C10447" s="1" t="s">
        <v>29</v>
      </c>
      <c r="D10447" s="1">
        <v>1.1</v>
      </c>
      <c r="E10447" s="1">
        <v>17611.0</v>
      </c>
      <c r="F10447" s="10">
        <f t="shared" si="1"/>
        <v>1.333333333</v>
      </c>
      <c r="G10447" s="10">
        <f t="array" ref="G10447">index('Player ID'!C:C,match(E10447,'Player ID'!B:B,0))</f>
        <v>664199</v>
      </c>
    </row>
    <row r="10448">
      <c r="A10448" s="76">
        <v>45835.0</v>
      </c>
      <c r="B10448" s="1" t="s">
        <v>407</v>
      </c>
      <c r="C10448" s="1" t="s">
        <v>29</v>
      </c>
      <c r="D10448" s="1">
        <v>1.0</v>
      </c>
      <c r="E10448" s="1">
        <v>19360.0</v>
      </c>
      <c r="F10448" s="10">
        <f t="shared" si="1"/>
        <v>1</v>
      </c>
      <c r="G10448" s="10">
        <f t="array" ref="G10448">index('Player ID'!C:C,match(E10448,'Player ID'!B:B,0))</f>
        <v>668674</v>
      </c>
    </row>
    <row r="10449">
      <c r="A10449" s="76">
        <v>45835.0</v>
      </c>
      <c r="B10449" s="1" t="s">
        <v>329</v>
      </c>
      <c r="C10449" s="1" t="s">
        <v>33</v>
      </c>
      <c r="D10449" s="1">
        <v>4.0</v>
      </c>
      <c r="E10449" s="1">
        <v>19716.0</v>
      </c>
      <c r="F10449" s="10">
        <f t="shared" si="1"/>
        <v>4</v>
      </c>
      <c r="G10449" s="10">
        <f t="array" ref="G10449">index('Player ID'!C:C,match(E10449,'Player ID'!B:B,0))</f>
        <v>669160</v>
      </c>
    </row>
    <row r="10450">
      <c r="A10450" s="76">
        <v>45835.0</v>
      </c>
      <c r="B10450" s="1" t="s">
        <v>140</v>
      </c>
      <c r="C10450" s="1" t="s">
        <v>29</v>
      </c>
      <c r="D10450" s="1">
        <v>1.0</v>
      </c>
      <c r="E10450" s="1">
        <v>22717.0</v>
      </c>
      <c r="F10450" s="10">
        <f t="shared" si="1"/>
        <v>1</v>
      </c>
      <c r="G10450" s="10">
        <f t="array" ref="G10450">index('Player ID'!C:C,match(E10450,'Player ID'!B:B,0))</f>
        <v>672582</v>
      </c>
    </row>
    <row r="10451">
      <c r="A10451" s="76">
        <v>45835.0</v>
      </c>
      <c r="B10451" s="1" t="s">
        <v>214</v>
      </c>
      <c r="C10451" s="1" t="s">
        <v>29</v>
      </c>
      <c r="D10451" s="1">
        <v>1.2</v>
      </c>
      <c r="E10451" s="1">
        <v>23165.0</v>
      </c>
      <c r="F10451" s="10">
        <f t="shared" si="1"/>
        <v>1.666666667</v>
      </c>
      <c r="G10451" s="10">
        <f t="array" ref="G10451">index('Player ID'!C:C,match(E10451,'Player ID'!B:B,0))</f>
        <v>674444</v>
      </c>
    </row>
    <row r="10452">
      <c r="A10452" s="76">
        <v>45835.0</v>
      </c>
      <c r="B10452" s="1" t="s">
        <v>92</v>
      </c>
      <c r="C10452" s="1" t="s">
        <v>33</v>
      </c>
      <c r="D10452" s="1">
        <v>1.0</v>
      </c>
      <c r="E10452" s="1">
        <v>25007.0</v>
      </c>
      <c r="F10452" s="10">
        <f t="shared" si="1"/>
        <v>1</v>
      </c>
      <c r="G10452" s="10">
        <f t="array" ref="G10452">index('Player ID'!C:C,match(E10452,'Player ID'!B:B,0))</f>
        <v>681911</v>
      </c>
    </row>
    <row r="10453">
      <c r="A10453" s="76">
        <v>45835.0</v>
      </c>
      <c r="B10453" s="1" t="s">
        <v>161</v>
      </c>
      <c r="C10453" s="1" t="s">
        <v>29</v>
      </c>
      <c r="D10453" s="1">
        <v>4.0</v>
      </c>
      <c r="E10453" s="1">
        <v>30184.0</v>
      </c>
      <c r="F10453" s="10">
        <f t="shared" si="1"/>
        <v>4</v>
      </c>
      <c r="G10453" s="10">
        <f t="array" ref="G10453">index('Player ID'!C:C,match(E10453,'Player ID'!B:B,0))</f>
        <v>702070</v>
      </c>
    </row>
    <row r="10454">
      <c r="A10454" s="76">
        <v>45835.0</v>
      </c>
      <c r="B10454" s="1" t="s">
        <v>476</v>
      </c>
      <c r="C10454" s="1" t="s">
        <v>14</v>
      </c>
      <c r="D10454" s="1">
        <v>5.2</v>
      </c>
      <c r="E10454" s="1">
        <v>11423.0</v>
      </c>
      <c r="F10454" s="10">
        <f t="shared" si="1"/>
        <v>5.666666667</v>
      </c>
      <c r="G10454" s="10">
        <f t="array" ref="G10454">index('Player ID'!C:C,match(E10454,'Player ID'!B:B,0))</f>
        <v>500779</v>
      </c>
    </row>
    <row r="10455">
      <c r="A10455" s="76">
        <v>45835.0</v>
      </c>
      <c r="B10455" s="1" t="s">
        <v>189</v>
      </c>
      <c r="C10455" s="1" t="s">
        <v>75</v>
      </c>
      <c r="D10455" s="1">
        <v>4.0</v>
      </c>
      <c r="E10455" s="1">
        <v>16256.0</v>
      </c>
      <c r="F10455" s="10">
        <f t="shared" si="1"/>
        <v>4</v>
      </c>
      <c r="G10455" s="10">
        <f t="array" ref="G10455">index('Player ID'!C:C,match(E10455,'Player ID'!B:B,0))</f>
        <v>607536</v>
      </c>
    </row>
    <row r="10456">
      <c r="A10456" s="76">
        <v>45835.0</v>
      </c>
      <c r="B10456" s="1" t="s">
        <v>451</v>
      </c>
      <c r="C10456" s="1" t="s">
        <v>75</v>
      </c>
      <c r="D10456" s="1">
        <v>1.2</v>
      </c>
      <c r="E10456" s="1">
        <v>17556.0</v>
      </c>
      <c r="F10456" s="10">
        <f t="shared" si="1"/>
        <v>1.666666667</v>
      </c>
      <c r="G10456" s="10">
        <f t="array" ref="G10456">index('Player ID'!C:C,match(E10456,'Player ID'!B:B,0))</f>
        <v>623474</v>
      </c>
    </row>
    <row r="10457">
      <c r="A10457" s="76">
        <v>45835.0</v>
      </c>
      <c r="B10457" s="1" t="s">
        <v>318</v>
      </c>
      <c r="C10457" s="1" t="s">
        <v>14</v>
      </c>
      <c r="D10457" s="1">
        <v>1.0</v>
      </c>
      <c r="E10457" s="1">
        <v>20546.0</v>
      </c>
      <c r="F10457" s="10">
        <f t="shared" si="1"/>
        <v>1</v>
      </c>
      <c r="G10457" s="10">
        <f t="array" ref="G10457">index('Player ID'!C:C,match(E10457,'Player ID'!B:B,0))</f>
        <v>681982</v>
      </c>
    </row>
    <row r="10458">
      <c r="A10458" s="76">
        <v>45835.0</v>
      </c>
      <c r="B10458" s="1" t="s">
        <v>215</v>
      </c>
      <c r="C10458" s="1" t="s">
        <v>75</v>
      </c>
      <c r="D10458" s="1">
        <v>1.0</v>
      </c>
      <c r="E10458" s="1">
        <v>21267.0</v>
      </c>
      <c r="F10458" s="10">
        <f t="shared" si="1"/>
        <v>1</v>
      </c>
      <c r="G10458" s="10">
        <f t="array" ref="G10458">index('Player ID'!C:C,match(E10458,'Player ID'!B:B,0))</f>
        <v>656234</v>
      </c>
    </row>
    <row r="10459">
      <c r="A10459" s="76">
        <v>45835.0</v>
      </c>
      <c r="B10459" s="1" t="s">
        <v>305</v>
      </c>
      <c r="C10459" s="1" t="s">
        <v>75</v>
      </c>
      <c r="D10459" s="1">
        <v>1.1</v>
      </c>
      <c r="E10459" s="1">
        <v>22200.0</v>
      </c>
      <c r="F10459" s="10">
        <f t="shared" si="1"/>
        <v>1.333333333</v>
      </c>
      <c r="G10459" s="10">
        <f t="array" ref="G10459">index('Player ID'!C:C,match(E10459,'Player ID'!B:B,0))</f>
        <v>669020</v>
      </c>
    </row>
    <row r="10460">
      <c r="A10460" s="76">
        <v>45835.0</v>
      </c>
      <c r="B10460" s="1" t="s">
        <v>279</v>
      </c>
      <c r="C10460" s="1" t="s">
        <v>14</v>
      </c>
      <c r="D10460" s="1">
        <v>0.2</v>
      </c>
      <c r="E10460" s="1">
        <v>25327.0</v>
      </c>
      <c r="F10460" s="10">
        <f t="shared" si="1"/>
        <v>0.6666666667</v>
      </c>
      <c r="G10460" s="10">
        <f t="array" ref="G10460">index('Player ID'!C:C,match(E10460,'Player ID'!B:B,0))</f>
        <v>682842</v>
      </c>
    </row>
    <row r="10461">
      <c r="A10461" s="76">
        <v>45835.0</v>
      </c>
      <c r="B10461" s="1" t="s">
        <v>112</v>
      </c>
      <c r="C10461" s="1" t="s">
        <v>14</v>
      </c>
      <c r="D10461" s="1">
        <v>1.1</v>
      </c>
      <c r="E10461" s="1">
        <v>25376.0</v>
      </c>
      <c r="F10461" s="10">
        <f t="shared" si="1"/>
        <v>1.333333333</v>
      </c>
      <c r="G10461" s="10">
        <f t="array" ref="G10461">index('Player ID'!C:C,match(E10461,'Player ID'!B:B,0))</f>
        <v>683232</v>
      </c>
    </row>
    <row r="10462">
      <c r="A10462" s="76">
        <v>45835.0</v>
      </c>
      <c r="B10462" s="1" t="s">
        <v>418</v>
      </c>
      <c r="C10462" s="1" t="s">
        <v>14</v>
      </c>
      <c r="D10462" s="1">
        <v>0.1</v>
      </c>
      <c r="E10462" s="1">
        <v>27517.0</v>
      </c>
      <c r="F10462" s="10">
        <f t="shared" si="1"/>
        <v>0.3333333333</v>
      </c>
      <c r="G10462" s="10">
        <f t="array" ref="G10462">index('Player ID'!C:C,match(E10462,'Player ID'!B:B,0))</f>
        <v>657649</v>
      </c>
    </row>
    <row r="10463">
      <c r="A10463" s="76">
        <v>45835.0</v>
      </c>
      <c r="B10463" s="1" t="s">
        <v>834</v>
      </c>
      <c r="C10463" s="1" t="s">
        <v>25</v>
      </c>
      <c r="D10463" s="1">
        <v>1.0</v>
      </c>
      <c r="E10463" s="1">
        <v>7836.0</v>
      </c>
      <c r="F10463" s="10">
        <f t="shared" si="1"/>
        <v>1</v>
      </c>
      <c r="G10463" s="10" t="str">
        <f t="array" ref="G10463">index('Player ID'!C:C,match(E10463,'Player ID'!B:B,0))</f>
        <v>#N/A</v>
      </c>
    </row>
    <row r="10464">
      <c r="A10464" s="76">
        <v>45835.0</v>
      </c>
      <c r="B10464" s="1" t="s">
        <v>660</v>
      </c>
      <c r="C10464" s="1" t="s">
        <v>25</v>
      </c>
      <c r="D10464" s="1">
        <v>1.0</v>
      </c>
      <c r="E10464" s="1">
        <v>11804.0</v>
      </c>
      <c r="F10464" s="10">
        <f t="shared" si="1"/>
        <v>1</v>
      </c>
      <c r="G10464" s="10">
        <f t="array" ref="G10464">index('Player ID'!C:C,match(E10464,'Player ID'!B:B,0))</f>
        <v>593576</v>
      </c>
    </row>
    <row r="10465">
      <c r="A10465" s="76">
        <v>45835.0</v>
      </c>
      <c r="B10465" s="1" t="s">
        <v>291</v>
      </c>
      <c r="C10465" s="1" t="s">
        <v>25</v>
      </c>
      <c r="D10465" s="1">
        <v>0.2</v>
      </c>
      <c r="E10465" s="1">
        <v>17968.0</v>
      </c>
      <c r="F10465" s="10">
        <f t="shared" si="1"/>
        <v>0.6666666667</v>
      </c>
      <c r="G10465" s="10">
        <f t="array" ref="G10465">index('Player ID'!C:C,match(E10465,'Player ID'!B:B,0))</f>
        <v>656271</v>
      </c>
    </row>
    <row r="10466">
      <c r="A10466" s="76">
        <v>45835.0</v>
      </c>
      <c r="B10466" s="1" t="s">
        <v>283</v>
      </c>
      <c r="C10466" s="1" t="s">
        <v>25</v>
      </c>
      <c r="D10466" s="1">
        <v>1.1</v>
      </c>
      <c r="E10466" s="1">
        <v>21205.0</v>
      </c>
      <c r="F10466" s="10">
        <f t="shared" si="1"/>
        <v>1.333333333</v>
      </c>
      <c r="G10466" s="10">
        <f t="array" ref="G10466">index('Player ID'!C:C,match(E10466,'Player ID'!B:B,0))</f>
        <v>641401</v>
      </c>
    </row>
    <row r="10467">
      <c r="A10467" s="76">
        <v>45835.0</v>
      </c>
      <c r="B10467" s="1" t="s">
        <v>396</v>
      </c>
      <c r="C10467" s="1" t="s">
        <v>80</v>
      </c>
      <c r="D10467" s="1">
        <v>4.1</v>
      </c>
      <c r="E10467" s="1">
        <v>21504.0</v>
      </c>
      <c r="F10467" s="10">
        <f t="shared" si="1"/>
        <v>4.333333333</v>
      </c>
      <c r="G10467" s="10">
        <f t="array" ref="G10467">index('Player ID'!C:C,match(E10467,'Player ID'!B:B,0))</f>
        <v>663623</v>
      </c>
    </row>
    <row r="10468">
      <c r="A10468" s="76">
        <v>45835.0</v>
      </c>
      <c r="B10468" s="1" t="s">
        <v>695</v>
      </c>
      <c r="C10468" s="1" t="s">
        <v>25</v>
      </c>
      <c r="D10468" s="1">
        <v>4.0</v>
      </c>
      <c r="E10468" s="1">
        <v>22100.0</v>
      </c>
      <c r="F10468" s="10">
        <f t="shared" si="1"/>
        <v>4</v>
      </c>
      <c r="G10468" s="10">
        <f t="array" ref="G10468">index('Player ID'!C:C,match(E10468,'Player ID'!B:B,0))</f>
        <v>667755</v>
      </c>
    </row>
    <row r="10469">
      <c r="A10469" s="76">
        <v>45835.0</v>
      </c>
      <c r="B10469" s="1" t="s">
        <v>86</v>
      </c>
      <c r="C10469" s="1" t="s">
        <v>80</v>
      </c>
      <c r="D10469" s="1">
        <v>1.1</v>
      </c>
      <c r="E10469" s="1">
        <v>24017.0</v>
      </c>
      <c r="F10469" s="10">
        <f t="shared" si="1"/>
        <v>1.333333333</v>
      </c>
      <c r="G10469" s="10">
        <f t="array" ref="G10469">index('Player ID'!C:C,match(E10469,'Player ID'!B:B,0))</f>
        <v>678606</v>
      </c>
    </row>
    <row r="10470">
      <c r="A10470" s="76">
        <v>45835.0</v>
      </c>
      <c r="B10470" s="1" t="s">
        <v>507</v>
      </c>
      <c r="C10470" s="1" t="s">
        <v>80</v>
      </c>
      <c r="D10470" s="1">
        <v>0.2</v>
      </c>
      <c r="E10470" s="1">
        <v>27570.0</v>
      </c>
      <c r="F10470" s="10">
        <f t="shared" si="1"/>
        <v>0.6666666667</v>
      </c>
      <c r="G10470" s="10">
        <f t="array" ref="G10470">index('Player ID'!C:C,match(E10470,'Player ID'!B:B,0))</f>
        <v>669371</v>
      </c>
    </row>
    <row r="10471">
      <c r="A10471" s="76">
        <v>45835.0</v>
      </c>
      <c r="B10471" s="1" t="s">
        <v>818</v>
      </c>
      <c r="C10471" s="1" t="s">
        <v>80</v>
      </c>
      <c r="D10471" s="1">
        <v>1.0</v>
      </c>
      <c r="E10471" s="1">
        <v>27783.0</v>
      </c>
      <c r="F10471" s="10">
        <f t="shared" si="1"/>
        <v>1</v>
      </c>
      <c r="G10471" s="10">
        <f t="array" ref="G10471">index('Player ID'!C:C,match(E10471,'Player ID'!B:B,0))</f>
        <v>694350</v>
      </c>
    </row>
    <row r="10472">
      <c r="A10472" s="76">
        <v>45835.0</v>
      </c>
      <c r="B10472" s="1" t="s">
        <v>877</v>
      </c>
      <c r="C10472" s="1" t="s">
        <v>25</v>
      </c>
      <c r="D10472" s="1">
        <v>1.0</v>
      </c>
      <c r="E10472" s="1">
        <v>29754.0</v>
      </c>
      <c r="F10472" s="10">
        <f t="shared" si="1"/>
        <v>1</v>
      </c>
      <c r="G10472" s="10" t="str">
        <f t="array" ref="G10472">index('Player ID'!C:C,match(E10472,'Player ID'!B:B,0))</f>
        <v>#N/A</v>
      </c>
    </row>
    <row r="10473">
      <c r="A10473" s="76">
        <v>45835.0</v>
      </c>
      <c r="B10473" s="1" t="s">
        <v>437</v>
      </c>
      <c r="C10473" s="1" t="s">
        <v>80</v>
      </c>
      <c r="D10473" s="1">
        <v>1.2</v>
      </c>
      <c r="E10473" s="1">
        <v>31972.0</v>
      </c>
      <c r="F10473" s="10">
        <f t="shared" si="1"/>
        <v>1.666666667</v>
      </c>
      <c r="G10473" s="10">
        <f t="array" ref="G10473">index('Player ID'!C:C,match(E10473,'Player ID'!B:B,0))</f>
        <v>695418</v>
      </c>
    </row>
    <row r="10474">
      <c r="A10474" s="76">
        <v>45835.0</v>
      </c>
      <c r="B10474" s="1" t="s">
        <v>222</v>
      </c>
      <c r="C10474" s="1" t="s">
        <v>64</v>
      </c>
      <c r="D10474" s="1">
        <v>5.0</v>
      </c>
      <c r="E10474" s="1">
        <v>11156.0</v>
      </c>
      <c r="F10474" s="10">
        <f t="shared" si="1"/>
        <v>5</v>
      </c>
      <c r="G10474" s="10">
        <f t="array" ref="G10474">index('Player ID'!C:C,match(E10474,'Player ID'!B:B,0))</f>
        <v>518876</v>
      </c>
    </row>
    <row r="10475">
      <c r="A10475" s="76">
        <v>45835.0</v>
      </c>
      <c r="B10475" s="1" t="s">
        <v>447</v>
      </c>
      <c r="C10475" s="1" t="s">
        <v>64</v>
      </c>
      <c r="D10475" s="1">
        <v>2.0</v>
      </c>
      <c r="E10475" s="1">
        <v>13652.0</v>
      </c>
      <c r="F10475" s="10">
        <f t="shared" si="1"/>
        <v>2</v>
      </c>
      <c r="G10475" s="10">
        <f t="array" ref="G10475">index('Player ID'!C:C,match(E10475,'Player ID'!B:B,0))</f>
        <v>605463</v>
      </c>
    </row>
    <row r="10476">
      <c r="A10476" s="76">
        <v>45835.0</v>
      </c>
      <c r="B10476" s="1" t="s">
        <v>89</v>
      </c>
      <c r="C10476" s="1" t="s">
        <v>36</v>
      </c>
      <c r="D10476" s="1">
        <v>1.0</v>
      </c>
      <c r="E10476" s="1">
        <v>19742.0</v>
      </c>
      <c r="F10476" s="10">
        <f t="shared" si="1"/>
        <v>1</v>
      </c>
      <c r="G10476" s="10">
        <f t="array" ref="G10476">index('Player ID'!C:C,match(E10476,'Player ID'!B:B,0))</f>
        <v>669622</v>
      </c>
    </row>
    <row r="10477">
      <c r="A10477" s="76">
        <v>45835.0</v>
      </c>
      <c r="B10477" s="1" t="s">
        <v>823</v>
      </c>
      <c r="C10477" s="1" t="s">
        <v>64</v>
      </c>
      <c r="D10477" s="1">
        <v>1.0</v>
      </c>
      <c r="E10477" s="1">
        <v>19876.0</v>
      </c>
      <c r="F10477" s="10">
        <f t="shared" si="1"/>
        <v>1</v>
      </c>
      <c r="G10477" s="10">
        <f t="array" ref="G10477">index('Player ID'!C:C,match(E10477,'Player ID'!B:B,0))</f>
        <v>656464</v>
      </c>
    </row>
    <row r="10478">
      <c r="A10478" s="76">
        <v>45835.0</v>
      </c>
      <c r="B10478" s="1" t="s">
        <v>262</v>
      </c>
      <c r="C10478" s="1" t="s">
        <v>36</v>
      </c>
      <c r="D10478" s="1">
        <v>0.2</v>
      </c>
      <c r="E10478" s="1">
        <v>20116.0</v>
      </c>
      <c r="F10478" s="10">
        <f t="shared" si="1"/>
        <v>0.6666666667</v>
      </c>
      <c r="G10478" s="10">
        <f t="array" ref="G10478">index('Player ID'!C:C,match(E10478,'Player ID'!B:B,0))</f>
        <v>676534</v>
      </c>
    </row>
    <row r="10479">
      <c r="A10479" s="76">
        <v>45835.0</v>
      </c>
      <c r="B10479" s="1" t="s">
        <v>61</v>
      </c>
      <c r="C10479" s="1" t="s">
        <v>36</v>
      </c>
      <c r="D10479" s="1">
        <v>1.0</v>
      </c>
      <c r="E10479" s="1">
        <v>20629.0</v>
      </c>
      <c r="F10479" s="10">
        <f t="shared" si="1"/>
        <v>1</v>
      </c>
      <c r="G10479" s="10">
        <f t="array" ref="G10479">index('Player ID'!C:C,match(E10479,'Player ID'!B:B,0))</f>
        <v>663969</v>
      </c>
    </row>
    <row r="10480">
      <c r="A10480" s="76">
        <v>45835.0</v>
      </c>
      <c r="B10480" s="1" t="s">
        <v>370</v>
      </c>
      <c r="C10480" s="1" t="s">
        <v>64</v>
      </c>
      <c r="D10480" s="1">
        <v>1.0</v>
      </c>
      <c r="E10480" s="1">
        <v>21924.0</v>
      </c>
      <c r="F10480" s="10">
        <f t="shared" si="1"/>
        <v>1</v>
      </c>
      <c r="G10480" s="10">
        <f t="array" ref="G10480">index('Player ID'!C:C,match(E10480,'Player ID'!B:B,0))</f>
        <v>666661</v>
      </c>
    </row>
    <row r="10481">
      <c r="A10481" s="76">
        <v>45835.0</v>
      </c>
      <c r="B10481" s="1" t="s">
        <v>123</v>
      </c>
      <c r="C10481" s="1" t="s">
        <v>36</v>
      </c>
      <c r="D10481" s="1">
        <v>1.1</v>
      </c>
      <c r="E10481" s="1">
        <v>24094.0</v>
      </c>
      <c r="F10481" s="10">
        <f t="shared" si="1"/>
        <v>1.333333333</v>
      </c>
      <c r="G10481" s="10">
        <f t="array" ref="G10481">index('Player ID'!C:C,match(E10481,'Player ID'!B:B,0))</f>
        <v>678692</v>
      </c>
    </row>
    <row r="10482">
      <c r="A10482" s="76">
        <v>45835.0</v>
      </c>
      <c r="B10482" s="1" t="s">
        <v>871</v>
      </c>
      <c r="C10482" s="1" t="s">
        <v>36</v>
      </c>
      <c r="D10482" s="1">
        <v>4.1</v>
      </c>
      <c r="E10482" s="1">
        <v>27768.0</v>
      </c>
      <c r="F10482" s="10">
        <f t="shared" si="1"/>
        <v>4.333333333</v>
      </c>
      <c r="G10482" s="10">
        <f t="array" ref="G10482">index('Player ID'!C:C,match(E10482,'Player ID'!B:B,0))</f>
        <v>691587</v>
      </c>
    </row>
    <row r="10483">
      <c r="A10483" s="76">
        <v>45835.0</v>
      </c>
      <c r="B10483" s="1" t="s">
        <v>266</v>
      </c>
      <c r="C10483" s="1" t="s">
        <v>36</v>
      </c>
      <c r="D10483" s="1">
        <v>0.2</v>
      </c>
      <c r="E10483" s="1">
        <v>31815.0</v>
      </c>
      <c r="F10483" s="10">
        <f t="shared" si="1"/>
        <v>0.6666666667</v>
      </c>
      <c r="G10483" s="10">
        <f t="array" ref="G10483">index('Player ID'!C:C,match(E10483,'Player ID'!B:B,0))</f>
        <v>806188</v>
      </c>
    </row>
    <row r="10484">
      <c r="A10484" s="76">
        <v>45836.0</v>
      </c>
      <c r="B10484" s="1" t="s">
        <v>520</v>
      </c>
      <c r="C10484" s="1" t="s">
        <v>58</v>
      </c>
      <c r="D10484" s="1">
        <v>1.0</v>
      </c>
      <c r="E10484" s="1">
        <v>19261.0</v>
      </c>
      <c r="F10484" s="10">
        <f t="shared" si="1"/>
        <v>1</v>
      </c>
      <c r="G10484" s="10">
        <f t="array" ref="G10484">index('Player ID'!C:C,match(E10484,'Player ID'!B:B,0))</f>
        <v>641656</v>
      </c>
    </row>
    <row r="10485">
      <c r="A10485" s="76">
        <v>45836.0</v>
      </c>
      <c r="B10485" s="1" t="s">
        <v>408</v>
      </c>
      <c r="C10485" s="1" t="s">
        <v>58</v>
      </c>
      <c r="D10485" s="1">
        <v>6.0</v>
      </c>
      <c r="E10485" s="1">
        <v>19899.0</v>
      </c>
      <c r="F10485" s="10">
        <f t="shared" si="1"/>
        <v>6</v>
      </c>
      <c r="G10485" s="10">
        <f t="array" ref="G10485">index('Player ID'!C:C,match(E10485,'Player ID'!B:B,0))</f>
        <v>657376</v>
      </c>
    </row>
    <row r="10486">
      <c r="A10486" s="76">
        <v>45836.0</v>
      </c>
      <c r="B10486" s="1" t="s">
        <v>601</v>
      </c>
      <c r="C10486" s="1" t="s">
        <v>58</v>
      </c>
      <c r="D10486" s="1">
        <v>2.0</v>
      </c>
      <c r="E10486" s="1">
        <v>21238.0</v>
      </c>
      <c r="F10486" s="10">
        <f t="shared" si="1"/>
        <v>2</v>
      </c>
      <c r="G10486" s="10">
        <f t="array" ref="G10486">index('Player ID'!C:C,match(E10486,'Player ID'!B:B,0))</f>
        <v>642216</v>
      </c>
    </row>
    <row r="10487">
      <c r="A10487" s="76">
        <v>45836.0</v>
      </c>
      <c r="B10487" s="1" t="s">
        <v>251</v>
      </c>
      <c r="C10487" s="1" t="s">
        <v>52</v>
      </c>
      <c r="D10487" s="1">
        <v>5.2</v>
      </c>
      <c r="E10487" s="1">
        <v>23429.0</v>
      </c>
      <c r="F10487" s="10">
        <f t="shared" si="1"/>
        <v>5.666666667</v>
      </c>
      <c r="G10487" s="10">
        <f t="array" ref="G10487">index('Player ID'!C:C,match(E10487,'Player ID'!B:B,0))</f>
        <v>676664</v>
      </c>
    </row>
    <row r="10488">
      <c r="A10488" s="76">
        <v>45836.0</v>
      </c>
      <c r="B10488" s="1" t="s">
        <v>350</v>
      </c>
      <c r="C10488" s="1" t="s">
        <v>52</v>
      </c>
      <c r="D10488" s="1">
        <v>3.1</v>
      </c>
      <c r="E10488" s="1">
        <v>31468.0</v>
      </c>
      <c r="F10488" s="10">
        <f t="shared" si="1"/>
        <v>3.333333333</v>
      </c>
      <c r="G10488" s="10" t="str">
        <f t="array" ref="G10488">index('Player ID'!C:C,match(E10488,'Player ID'!B:B,0))</f>
        <v>#N/A</v>
      </c>
    </row>
    <row r="10489">
      <c r="A10489" s="76">
        <v>45836.0</v>
      </c>
      <c r="B10489" s="1" t="s">
        <v>439</v>
      </c>
      <c r="C10489" s="1" t="s">
        <v>62</v>
      </c>
      <c r="D10489" s="1">
        <v>1.1</v>
      </c>
      <c r="E10489" s="1">
        <v>11384.0</v>
      </c>
      <c r="F10489" s="10">
        <f t="shared" si="1"/>
        <v>1.333333333</v>
      </c>
      <c r="G10489" s="10">
        <f t="array" ref="G10489">index('Player ID'!C:C,match(E10489,'Player ID'!B:B,0))</f>
        <v>592454</v>
      </c>
    </row>
    <row r="10490">
      <c r="A10490" s="76">
        <v>45836.0</v>
      </c>
      <c r="B10490" s="1" t="s">
        <v>384</v>
      </c>
      <c r="C10490" s="1" t="s">
        <v>16</v>
      </c>
      <c r="D10490" s="1">
        <v>1.2</v>
      </c>
      <c r="E10490" s="1">
        <v>19962.0</v>
      </c>
      <c r="F10490" s="10">
        <f t="shared" si="1"/>
        <v>1.666666667</v>
      </c>
      <c r="G10490" s="10">
        <f t="array" ref="G10490">index('Player ID'!C:C,match(E10490,'Player ID'!B:B,0))</f>
        <v>666214</v>
      </c>
    </row>
    <row r="10491">
      <c r="A10491" s="76">
        <v>45836.0</v>
      </c>
      <c r="B10491" s="1" t="s">
        <v>125</v>
      </c>
      <c r="C10491" s="1" t="s">
        <v>62</v>
      </c>
      <c r="D10491" s="1">
        <v>6.2</v>
      </c>
      <c r="E10491" s="1">
        <v>20492.0</v>
      </c>
      <c r="F10491" s="10">
        <f t="shared" si="1"/>
        <v>6.666666667</v>
      </c>
      <c r="G10491" s="10">
        <f t="array" ref="G10491">index('Player ID'!C:C,match(E10491,'Player ID'!B:B,0))</f>
        <v>663554</v>
      </c>
    </row>
    <row r="10492">
      <c r="A10492" s="76">
        <v>45836.0</v>
      </c>
      <c r="B10492" s="1" t="s">
        <v>173</v>
      </c>
      <c r="C10492" s="1" t="s">
        <v>16</v>
      </c>
      <c r="D10492" s="1">
        <v>5.2</v>
      </c>
      <c r="E10492" s="1">
        <v>21224.0</v>
      </c>
      <c r="F10492" s="10">
        <f t="shared" si="1"/>
        <v>5.666666667</v>
      </c>
      <c r="G10492" s="10">
        <f t="array" ref="G10492">index('Player ID'!C:C,match(E10492,'Player ID'!B:B,0))</f>
        <v>641927</v>
      </c>
    </row>
    <row r="10493">
      <c r="A10493" s="76">
        <v>45836.0</v>
      </c>
      <c r="B10493" s="1" t="s">
        <v>237</v>
      </c>
      <c r="C10493" s="1" t="s">
        <v>16</v>
      </c>
      <c r="D10493" s="1">
        <v>0.2</v>
      </c>
      <c r="E10493" s="1">
        <v>21461.0</v>
      </c>
      <c r="F10493" s="10">
        <f t="shared" si="1"/>
        <v>0.6666666667</v>
      </c>
      <c r="G10493" s="10">
        <f t="array" ref="G10493">index('Player ID'!C:C,match(E10493,'Player ID'!B:B,0))</f>
        <v>663485</v>
      </c>
    </row>
    <row r="10494">
      <c r="A10494" s="76">
        <v>45836.0</v>
      </c>
      <c r="B10494" s="1" t="s">
        <v>160</v>
      </c>
      <c r="C10494" s="1" t="s">
        <v>62</v>
      </c>
      <c r="D10494" s="1">
        <v>1.0</v>
      </c>
      <c r="E10494" s="1">
        <v>29574.0</v>
      </c>
      <c r="F10494" s="10">
        <f t="shared" si="1"/>
        <v>1</v>
      </c>
      <c r="G10494" s="10">
        <f t="array" ref="G10494">index('Player ID'!C:C,match(E10494,'Player ID'!B:B,0))</f>
        <v>695445</v>
      </c>
    </row>
    <row r="10495">
      <c r="A10495" s="76">
        <v>45836.0</v>
      </c>
      <c r="B10495" s="1" t="s">
        <v>646</v>
      </c>
      <c r="C10495" s="1" t="s">
        <v>51</v>
      </c>
      <c r="D10495" s="1">
        <v>0.1</v>
      </c>
      <c r="E10495" s="1">
        <v>6107.0</v>
      </c>
      <c r="F10495" s="10">
        <f t="shared" si="1"/>
        <v>0.3333333333</v>
      </c>
      <c r="G10495" s="10">
        <f t="array" ref="G10495">index('Player ID'!C:C,match(E10495,'Player ID'!B:B,0))</f>
        <v>623211</v>
      </c>
    </row>
    <row r="10496">
      <c r="A10496" s="76">
        <v>45836.0</v>
      </c>
      <c r="B10496" s="1" t="s">
        <v>299</v>
      </c>
      <c r="C10496" s="1" t="s">
        <v>51</v>
      </c>
      <c r="D10496" s="1">
        <v>1.0</v>
      </c>
      <c r="E10496" s="1">
        <v>14739.0</v>
      </c>
      <c r="F10496" s="10">
        <f t="shared" si="1"/>
        <v>1</v>
      </c>
      <c r="G10496" s="10">
        <f t="array" ref="G10496">index('Player ID'!C:C,match(E10496,'Player ID'!B:B,0))</f>
        <v>621112</v>
      </c>
    </row>
    <row r="10497">
      <c r="A10497" s="76">
        <v>45836.0</v>
      </c>
      <c r="B10497" s="1" t="s">
        <v>295</v>
      </c>
      <c r="C10497" s="1" t="s">
        <v>51</v>
      </c>
      <c r="D10497" s="1">
        <v>1.0</v>
      </c>
      <c r="E10497" s="1">
        <v>16866.0</v>
      </c>
      <c r="F10497" s="10">
        <f t="shared" si="1"/>
        <v>1</v>
      </c>
      <c r="G10497" s="10">
        <f t="array" ref="G10497">index('Player ID'!C:C,match(E10497,'Player ID'!B:B,0))</f>
        <v>657585</v>
      </c>
    </row>
    <row r="10498">
      <c r="A10498" s="76">
        <v>45836.0</v>
      </c>
      <c r="B10498" s="1" t="s">
        <v>217</v>
      </c>
      <c r="C10498" s="1" t="s">
        <v>60</v>
      </c>
      <c r="D10498" s="1">
        <v>1.2</v>
      </c>
      <c r="E10498" s="1">
        <v>17878.0</v>
      </c>
      <c r="F10498" s="10">
        <f t="shared" si="1"/>
        <v>1.666666667</v>
      </c>
      <c r="G10498" s="10">
        <f t="array" ref="G10498">index('Player ID'!C:C,match(E10498,'Player ID'!B:B,0))</f>
        <v>642701</v>
      </c>
    </row>
    <row r="10499">
      <c r="A10499" s="76">
        <v>45836.0</v>
      </c>
      <c r="B10499" s="1" t="s">
        <v>186</v>
      </c>
      <c r="C10499" s="1" t="s">
        <v>51</v>
      </c>
      <c r="D10499" s="1">
        <v>3.0</v>
      </c>
      <c r="E10499" s="1">
        <v>18347.0</v>
      </c>
      <c r="F10499" s="10">
        <f t="shared" si="1"/>
        <v>3</v>
      </c>
      <c r="G10499" s="10">
        <f t="array" ref="G10499">index('Player ID'!C:C,match(E10499,'Player ID'!B:B,0))</f>
        <v>663399</v>
      </c>
    </row>
    <row r="10500">
      <c r="A10500" s="76">
        <v>45836.0</v>
      </c>
      <c r="B10500" s="1" t="s">
        <v>107</v>
      </c>
      <c r="C10500" s="1" t="s">
        <v>60</v>
      </c>
      <c r="D10500" s="1">
        <v>2.0</v>
      </c>
      <c r="E10500" s="1">
        <v>19349.0</v>
      </c>
      <c r="F10500" s="10">
        <f t="shared" si="1"/>
        <v>2</v>
      </c>
      <c r="G10500" s="10">
        <f t="array" ref="G10500">index('Player ID'!C:C,match(E10500,'Player ID'!B:B,0))</f>
        <v>657571</v>
      </c>
    </row>
    <row r="10501">
      <c r="A10501" s="76">
        <v>45836.0</v>
      </c>
      <c r="B10501" s="1" t="s">
        <v>644</v>
      </c>
      <c r="C10501" s="1" t="s">
        <v>51</v>
      </c>
      <c r="D10501" s="1">
        <v>0.2</v>
      </c>
      <c r="E10501" s="1">
        <v>19403.0</v>
      </c>
      <c r="F10501" s="10">
        <f t="shared" si="1"/>
        <v>0.6666666667</v>
      </c>
      <c r="G10501" s="10">
        <f t="array" ref="G10501">index('Player ID'!C:C,match(E10501,'Player ID'!B:B,0))</f>
        <v>621363</v>
      </c>
    </row>
    <row r="10502">
      <c r="A10502" s="76">
        <v>45836.0</v>
      </c>
      <c r="B10502" s="1" t="s">
        <v>183</v>
      </c>
      <c r="C10502" s="1" t="s">
        <v>60</v>
      </c>
      <c r="D10502" s="1">
        <v>1.0</v>
      </c>
      <c r="E10502" s="1">
        <v>19569.0</v>
      </c>
      <c r="F10502" s="10">
        <f t="shared" si="1"/>
        <v>1</v>
      </c>
      <c r="G10502" s="10">
        <f t="array" ref="G10502">index('Player ID'!C:C,match(E10502,'Player ID'!B:B,0))</f>
        <v>670280</v>
      </c>
    </row>
    <row r="10503">
      <c r="A10503" s="76">
        <v>45836.0</v>
      </c>
      <c r="B10503" s="1" t="s">
        <v>220</v>
      </c>
      <c r="C10503" s="1" t="s">
        <v>60</v>
      </c>
      <c r="D10503" s="1">
        <v>1.2</v>
      </c>
      <c r="E10503" s="1">
        <v>20070.0</v>
      </c>
      <c r="F10503" s="10">
        <f t="shared" si="1"/>
        <v>1.666666667</v>
      </c>
      <c r="G10503" s="10">
        <f t="array" ref="G10503">index('Player ID'!C:C,match(E10503,'Player ID'!B:B,0))</f>
        <v>663559</v>
      </c>
    </row>
    <row r="10504">
      <c r="A10504" s="76">
        <v>45836.0</v>
      </c>
      <c r="B10504" s="1" t="s">
        <v>712</v>
      </c>
      <c r="C10504" s="1" t="s">
        <v>51</v>
      </c>
      <c r="D10504" s="1">
        <v>2.0</v>
      </c>
      <c r="E10504" s="1">
        <v>23313.0</v>
      </c>
      <c r="F10504" s="10">
        <f t="shared" si="1"/>
        <v>2</v>
      </c>
      <c r="G10504" s="10">
        <f t="array" ref="G10504">index('Player ID'!C:C,match(E10504,'Player ID'!B:B,0))</f>
        <v>676130</v>
      </c>
    </row>
    <row r="10505">
      <c r="A10505" s="76">
        <v>45836.0</v>
      </c>
      <c r="B10505" s="1" t="s">
        <v>277</v>
      </c>
      <c r="C10505" s="1" t="s">
        <v>60</v>
      </c>
      <c r="D10505" s="1">
        <v>2.2</v>
      </c>
      <c r="E10505" s="1">
        <v>23793.0</v>
      </c>
      <c r="F10505" s="10">
        <f t="shared" si="1"/>
        <v>2.666666667</v>
      </c>
      <c r="G10505" s="10" t="str">
        <f t="array" ref="G10505">index('Player ID'!C:C,match(E10505,'Player ID'!B:B,0))</f>
        <v>#N/A</v>
      </c>
    </row>
    <row r="10506">
      <c r="A10506" s="76">
        <v>45836.0</v>
      </c>
      <c r="B10506" s="1" t="s">
        <v>48</v>
      </c>
      <c r="C10506" s="1" t="s">
        <v>68</v>
      </c>
      <c r="D10506" s="1">
        <v>1.0</v>
      </c>
      <c r="E10506" s="1">
        <v>12828.0</v>
      </c>
      <c r="F10506" s="10">
        <f t="shared" si="1"/>
        <v>1</v>
      </c>
      <c r="G10506" s="10" t="str">
        <f t="array" ref="G10506">index('Player ID'!C:C,match(E10506,'Player ID'!B:B,0))</f>
        <v>#N/A</v>
      </c>
    </row>
    <row r="10507">
      <c r="A10507" s="76">
        <v>45836.0</v>
      </c>
      <c r="B10507" s="1" t="s">
        <v>216</v>
      </c>
      <c r="C10507" s="1" t="s">
        <v>68</v>
      </c>
      <c r="D10507" s="1">
        <v>1.0</v>
      </c>
      <c r="E10507" s="1">
        <v>13774.0</v>
      </c>
      <c r="F10507" s="10">
        <f t="shared" si="1"/>
        <v>1</v>
      </c>
      <c r="G10507" s="10">
        <f t="array" ref="G10507">index('Player ID'!C:C,match(E10507,'Player ID'!B:B,0))</f>
        <v>621107</v>
      </c>
    </row>
    <row r="10508">
      <c r="A10508" s="76">
        <v>45836.0</v>
      </c>
      <c r="B10508" s="1" t="s">
        <v>177</v>
      </c>
      <c r="C10508" s="1" t="s">
        <v>54</v>
      </c>
      <c r="D10508" s="1">
        <v>7.0</v>
      </c>
      <c r="E10508" s="1">
        <v>15823.0</v>
      </c>
      <c r="F10508" s="10">
        <f t="shared" si="1"/>
        <v>7</v>
      </c>
      <c r="G10508" s="10">
        <f t="array" ref="G10508">index('Player ID'!C:C,match(E10508,'Player ID'!B:B,0))</f>
        <v>641793</v>
      </c>
    </row>
    <row r="10509">
      <c r="A10509" s="76">
        <v>45836.0</v>
      </c>
      <c r="B10509" s="1" t="s">
        <v>233</v>
      </c>
      <c r="C10509" s="1" t="s">
        <v>68</v>
      </c>
      <c r="D10509" s="1">
        <v>2.2</v>
      </c>
      <c r="E10509" s="1">
        <v>16427.0</v>
      </c>
      <c r="F10509" s="10">
        <f t="shared" si="1"/>
        <v>2.666666667</v>
      </c>
      <c r="G10509" s="10">
        <f t="array" ref="G10509">index('Player ID'!C:C,match(E10509,'Player ID'!B:B,0))</f>
        <v>656240</v>
      </c>
    </row>
    <row r="10510">
      <c r="A10510" s="76">
        <v>45836.0</v>
      </c>
      <c r="B10510" s="1" t="s">
        <v>433</v>
      </c>
      <c r="C10510" s="1" t="s">
        <v>68</v>
      </c>
      <c r="D10510" s="1">
        <v>1.0</v>
      </c>
      <c r="E10510" s="1">
        <v>19677.0</v>
      </c>
      <c r="F10510" s="10">
        <f t="shared" si="1"/>
        <v>1</v>
      </c>
      <c r="G10510" s="10">
        <f t="array" ref="G10510">index('Player ID'!C:C,match(E10510,'Player ID'!B:B,0))</f>
        <v>642397</v>
      </c>
    </row>
    <row r="10511">
      <c r="A10511" s="76">
        <v>45836.0</v>
      </c>
      <c r="B10511" s="1" t="s">
        <v>891</v>
      </c>
      <c r="C10511" s="1" t="s">
        <v>68</v>
      </c>
      <c r="D10511" s="1">
        <v>2.0</v>
      </c>
      <c r="E10511" s="1">
        <v>23442.0</v>
      </c>
      <c r="F10511" s="10">
        <f t="shared" si="1"/>
        <v>2</v>
      </c>
      <c r="G10511" s="10" t="str">
        <f t="array" ref="G10511">index('Player ID'!C:C,match(E10511,'Player ID'!B:B,0))</f>
        <v>#N/A</v>
      </c>
    </row>
    <row r="10512">
      <c r="A10512" s="76">
        <v>45836.0</v>
      </c>
      <c r="B10512" s="1" t="s">
        <v>758</v>
      </c>
      <c r="C10512" s="1" t="s">
        <v>68</v>
      </c>
      <c r="D10512" s="1">
        <v>1.1</v>
      </c>
      <c r="E10512" s="1">
        <v>26191.0</v>
      </c>
      <c r="F10512" s="10">
        <f t="shared" si="1"/>
        <v>1.333333333</v>
      </c>
      <c r="G10512" s="10">
        <f t="array" ref="G10512">index('Player ID'!C:C,match(E10512,'Player ID'!B:B,0))</f>
        <v>669704</v>
      </c>
    </row>
    <row r="10513">
      <c r="A10513" s="76">
        <v>45836.0</v>
      </c>
      <c r="B10513" s="1" t="s">
        <v>901</v>
      </c>
      <c r="C10513" s="1" t="s">
        <v>54</v>
      </c>
      <c r="D10513" s="1">
        <v>2.0</v>
      </c>
      <c r="E10513" s="1">
        <v>30016.0</v>
      </c>
      <c r="F10513" s="10">
        <f t="shared" si="1"/>
        <v>2</v>
      </c>
      <c r="G10513" s="10" t="str">
        <f t="array" ref="G10513">index('Player ID'!C:C,match(E10513,'Player ID'!B:B,0))</f>
        <v>#N/A</v>
      </c>
    </row>
    <row r="10514">
      <c r="A10514" s="76">
        <v>45836.0</v>
      </c>
      <c r="B10514" s="1" t="s">
        <v>74</v>
      </c>
      <c r="C10514" s="1" t="s">
        <v>56</v>
      </c>
      <c r="D10514" s="1">
        <v>0.2</v>
      </c>
      <c r="E10514" s="1">
        <v>11847.0</v>
      </c>
      <c r="F10514" s="10">
        <f t="shared" si="1"/>
        <v>0.6666666667</v>
      </c>
      <c r="G10514" s="10">
        <f t="array" ref="G10514">index('Player ID'!C:C,match(E10514,'Player ID'!B:B,0))</f>
        <v>455119</v>
      </c>
    </row>
    <row r="10515">
      <c r="A10515" s="76">
        <v>45836.0</v>
      </c>
      <c r="B10515" s="1" t="s">
        <v>440</v>
      </c>
      <c r="C10515" s="1" t="s">
        <v>56</v>
      </c>
      <c r="D10515" s="1">
        <v>1.0</v>
      </c>
      <c r="E10515" s="1">
        <v>12857.0</v>
      </c>
      <c r="F10515" s="10">
        <f t="shared" si="1"/>
        <v>1</v>
      </c>
      <c r="G10515" s="10">
        <f t="array" ref="G10515">index('Player ID'!C:C,match(E10515,'Player ID'!B:B,0))</f>
        <v>542888</v>
      </c>
    </row>
    <row r="10516">
      <c r="A10516" s="76">
        <v>45836.0</v>
      </c>
      <c r="B10516" s="1" t="s">
        <v>151</v>
      </c>
      <c r="C10516" s="1" t="s">
        <v>56</v>
      </c>
      <c r="D10516" s="1">
        <v>1.1</v>
      </c>
      <c r="E10516" s="1">
        <v>13346.0</v>
      </c>
      <c r="F10516" s="10">
        <f t="shared" si="1"/>
        <v>1.333333333</v>
      </c>
      <c r="G10516" s="10">
        <f t="array" ref="G10516">index('Player ID'!C:C,match(E10516,'Player ID'!B:B,0))</f>
        <v>571948</v>
      </c>
    </row>
    <row r="10517">
      <c r="A10517" s="76">
        <v>45836.0</v>
      </c>
      <c r="B10517" s="1" t="s">
        <v>53</v>
      </c>
      <c r="C10517" s="1" t="s">
        <v>37</v>
      </c>
      <c r="D10517" s="1">
        <v>1.1</v>
      </c>
      <c r="E10517" s="1">
        <v>17170.0</v>
      </c>
      <c r="F10517" s="10">
        <f t="shared" si="1"/>
        <v>1.333333333</v>
      </c>
      <c r="G10517" s="10">
        <f t="array" ref="G10517">index('Player ID'!C:C,match(E10517,'Player ID'!B:B,0))</f>
        <v>642100</v>
      </c>
    </row>
    <row r="10518">
      <c r="A10518" s="76">
        <v>45836.0</v>
      </c>
      <c r="B10518" s="1" t="s">
        <v>670</v>
      </c>
      <c r="C10518" s="1" t="s">
        <v>37</v>
      </c>
      <c r="D10518" s="1">
        <v>0.1</v>
      </c>
      <c r="E10518" s="1">
        <v>20373.0</v>
      </c>
      <c r="F10518" s="10">
        <f t="shared" si="1"/>
        <v>0.3333333333</v>
      </c>
      <c r="G10518" s="10">
        <f t="array" ref="G10518">index('Player ID'!C:C,match(E10518,'Player ID'!B:B,0))</f>
        <v>662253</v>
      </c>
    </row>
    <row r="10519">
      <c r="A10519" s="76">
        <v>45836.0</v>
      </c>
      <c r="B10519" s="1" t="s">
        <v>101</v>
      </c>
      <c r="C10519" s="1" t="s">
        <v>37</v>
      </c>
      <c r="D10519" s="1">
        <v>0.2</v>
      </c>
      <c r="E10519" s="1">
        <v>22915.0</v>
      </c>
      <c r="F10519" s="10">
        <f t="shared" si="1"/>
        <v>0.6666666667</v>
      </c>
      <c r="G10519" s="10">
        <f t="array" ref="G10519">index('Player ID'!C:C,match(E10519,'Player ID'!B:B,0))</f>
        <v>672841</v>
      </c>
    </row>
    <row r="10520">
      <c r="A10520" s="76">
        <v>45836.0</v>
      </c>
      <c r="B10520" s="1" t="s">
        <v>268</v>
      </c>
      <c r="C10520" s="1" t="s">
        <v>56</v>
      </c>
      <c r="D10520" s="1">
        <v>1.0</v>
      </c>
      <c r="E10520" s="1">
        <v>23363.0</v>
      </c>
      <c r="F10520" s="10">
        <f t="shared" si="1"/>
        <v>1</v>
      </c>
      <c r="G10520" s="10">
        <f t="array" ref="G10520">index('Player ID'!C:C,match(E10520,'Player ID'!B:B,0))</f>
        <v>676395</v>
      </c>
    </row>
    <row r="10521">
      <c r="A10521" s="76">
        <v>45836.0</v>
      </c>
      <c r="B10521" s="1" t="s">
        <v>254</v>
      </c>
      <c r="C10521" s="1" t="s">
        <v>37</v>
      </c>
      <c r="D10521" s="1">
        <v>1.0</v>
      </c>
      <c r="E10521" s="1">
        <v>25756.0</v>
      </c>
      <c r="F10521" s="10">
        <f t="shared" si="1"/>
        <v>1</v>
      </c>
      <c r="G10521" s="10">
        <f t="array" ref="G10521">index('Player ID'!C:C,match(E10521,'Player ID'!B:B,0))</f>
        <v>666374</v>
      </c>
    </row>
    <row r="10522">
      <c r="A10522" s="76">
        <v>45836.0</v>
      </c>
      <c r="B10522" s="1" t="s">
        <v>90</v>
      </c>
      <c r="C10522" s="1" t="s">
        <v>37</v>
      </c>
      <c r="D10522" s="1">
        <v>6.0</v>
      </c>
      <c r="E10522" s="1">
        <v>30279.0</v>
      </c>
      <c r="F10522" s="10">
        <f t="shared" si="1"/>
        <v>6</v>
      </c>
      <c r="G10522" s="10">
        <f t="array" ref="G10522">index('Player ID'!C:C,match(E10522,'Player ID'!B:B,0))</f>
        <v>693433</v>
      </c>
    </row>
    <row r="10523">
      <c r="A10523" s="76">
        <v>45836.0</v>
      </c>
      <c r="B10523" s="1" t="s">
        <v>477</v>
      </c>
      <c r="C10523" s="1" t="s">
        <v>56</v>
      </c>
      <c r="D10523" s="1">
        <v>6.0</v>
      </c>
      <c r="E10523" s="1">
        <v>31843.0</v>
      </c>
      <c r="F10523" s="10">
        <f t="shared" si="1"/>
        <v>6</v>
      </c>
      <c r="G10523" s="10">
        <f t="array" ref="G10523">index('Player ID'!C:C,match(E10523,'Player ID'!B:B,0))</f>
        <v>677958</v>
      </c>
    </row>
    <row r="10524">
      <c r="A10524" s="76">
        <v>45836.0</v>
      </c>
      <c r="B10524" s="1" t="s">
        <v>595</v>
      </c>
      <c r="C10524" s="1" t="s">
        <v>33</v>
      </c>
      <c r="D10524" s="1">
        <v>0.1</v>
      </c>
      <c r="E10524" s="1">
        <v>6984.0</v>
      </c>
      <c r="F10524" s="10">
        <f t="shared" si="1"/>
        <v>0.3333333333</v>
      </c>
      <c r="G10524" s="10">
        <f t="array" ref="G10524">index('Player ID'!C:C,match(E10524,'Player ID'!B:B,0))</f>
        <v>472610</v>
      </c>
    </row>
    <row r="10525">
      <c r="A10525" s="76">
        <v>45836.0</v>
      </c>
      <c r="B10525" s="1" t="s">
        <v>798</v>
      </c>
      <c r="C10525" s="1" t="s">
        <v>33</v>
      </c>
      <c r="D10525" s="1">
        <v>1.0</v>
      </c>
      <c r="E10525" s="1">
        <v>7802.0</v>
      </c>
      <c r="F10525" s="10">
        <f t="shared" si="1"/>
        <v>1</v>
      </c>
      <c r="G10525" s="10">
        <f t="array" ref="G10525">index('Player ID'!C:C,match(E10525,'Player ID'!B:B,0))</f>
        <v>500743</v>
      </c>
    </row>
    <row r="10526">
      <c r="A10526" s="76">
        <v>45836.0</v>
      </c>
      <c r="B10526" s="1" t="s">
        <v>452</v>
      </c>
      <c r="C10526" s="1" t="s">
        <v>29</v>
      </c>
      <c r="D10526" s="1">
        <v>5.2</v>
      </c>
      <c r="E10526" s="1">
        <v>12447.0</v>
      </c>
      <c r="F10526" s="10">
        <f t="shared" si="1"/>
        <v>5.666666667</v>
      </c>
      <c r="G10526" s="10">
        <f t="array" ref="G10526">index('Player ID'!C:C,match(E10526,'Player ID'!B:B,0))</f>
        <v>607625</v>
      </c>
    </row>
    <row r="10527">
      <c r="A10527" s="76">
        <v>45836.0</v>
      </c>
      <c r="B10527" s="1" t="s">
        <v>310</v>
      </c>
      <c r="C10527" s="1" t="s">
        <v>33</v>
      </c>
      <c r="D10527" s="1">
        <v>0.2</v>
      </c>
      <c r="E10527" s="1">
        <v>14706.0</v>
      </c>
      <c r="F10527" s="10">
        <f t="shared" si="1"/>
        <v>0.6666666667</v>
      </c>
      <c r="G10527" s="10">
        <f t="array" ref="G10527">index('Player ID'!C:C,match(E10527,'Player ID'!B:B,0))</f>
        <v>607455</v>
      </c>
    </row>
    <row r="10528">
      <c r="A10528" s="76">
        <v>45836.0</v>
      </c>
      <c r="B10528" s="1" t="s">
        <v>136</v>
      </c>
      <c r="C10528" s="1" t="s">
        <v>33</v>
      </c>
      <c r="D10528" s="1">
        <v>2.0</v>
      </c>
      <c r="E10528" s="1">
        <v>19755.0</v>
      </c>
      <c r="F10528" s="10">
        <f t="shared" si="1"/>
        <v>2</v>
      </c>
      <c r="G10528" s="10" t="str">
        <f t="array" ref="G10528">index('Player ID'!C:C,match(E10528,'Player ID'!B:B,0))</f>
        <v>#N/A</v>
      </c>
    </row>
    <row r="10529">
      <c r="A10529" s="76">
        <v>45836.0</v>
      </c>
      <c r="B10529" s="1" t="s">
        <v>144</v>
      </c>
      <c r="C10529" s="1" t="s">
        <v>29</v>
      </c>
      <c r="D10529" s="1">
        <v>1.0</v>
      </c>
      <c r="E10529" s="1">
        <v>20020.0</v>
      </c>
      <c r="F10529" s="10">
        <f t="shared" si="1"/>
        <v>1</v>
      </c>
      <c r="G10529" s="10">
        <f t="array" ref="G10529">index('Player ID'!C:C,match(E10529,'Player ID'!B:B,0))</f>
        <v>670167</v>
      </c>
    </row>
    <row r="10530">
      <c r="A10530" s="76">
        <v>45836.0</v>
      </c>
      <c r="B10530" s="1" t="s">
        <v>293</v>
      </c>
      <c r="C10530" s="1" t="s">
        <v>29</v>
      </c>
      <c r="D10530" s="1">
        <v>1.1</v>
      </c>
      <c r="E10530" s="1">
        <v>21537.0</v>
      </c>
      <c r="F10530" s="10">
        <f t="shared" si="1"/>
        <v>1.333333333</v>
      </c>
      <c r="G10530" s="10">
        <f t="array" ref="G10530">index('Player ID'!C:C,match(E10530,'Player ID'!B:B,0))</f>
        <v>663738</v>
      </c>
    </row>
    <row r="10531">
      <c r="A10531" s="76">
        <v>45836.0</v>
      </c>
      <c r="B10531" s="1" t="s">
        <v>442</v>
      </c>
      <c r="C10531" s="1" t="s">
        <v>29</v>
      </c>
      <c r="D10531" s="1">
        <v>1.0</v>
      </c>
      <c r="E10531" s="1">
        <v>25379.0</v>
      </c>
      <c r="F10531" s="10">
        <f t="shared" si="1"/>
        <v>1</v>
      </c>
      <c r="G10531" s="10">
        <f t="array" ref="G10531">index('Player ID'!C:C,match(E10531,'Player ID'!B:B,0))</f>
        <v>669674</v>
      </c>
    </row>
    <row r="10532">
      <c r="A10532" s="76">
        <v>45836.0</v>
      </c>
      <c r="B10532" s="1" t="s">
        <v>104</v>
      </c>
      <c r="C10532" s="1" t="s">
        <v>33</v>
      </c>
      <c r="D10532" s="1">
        <v>4.0</v>
      </c>
      <c r="E10532" s="1">
        <v>30085.0</v>
      </c>
      <c r="F10532" s="10">
        <f t="shared" si="1"/>
        <v>4</v>
      </c>
      <c r="G10532" s="10">
        <f t="array" ref="G10532">index('Player ID'!C:C,match(E10532,'Player ID'!B:B,0))</f>
        <v>676508</v>
      </c>
    </row>
    <row r="10533">
      <c r="A10533" s="76">
        <v>45836.0</v>
      </c>
      <c r="B10533" s="1" t="s">
        <v>456</v>
      </c>
      <c r="C10533" s="1" t="s">
        <v>40</v>
      </c>
      <c r="D10533" s="1">
        <v>2.0</v>
      </c>
      <c r="E10533" s="1">
        <v>12304.0</v>
      </c>
      <c r="F10533" s="10">
        <f t="shared" si="1"/>
        <v>2</v>
      </c>
      <c r="G10533" s="10">
        <f t="array" ref="G10533">index('Player ID'!C:C,match(E10533,'Player ID'!B:B,0))</f>
        <v>605135</v>
      </c>
    </row>
    <row r="10534">
      <c r="A10534" s="76">
        <v>45836.0</v>
      </c>
      <c r="B10534" s="1" t="s">
        <v>902</v>
      </c>
      <c r="C10534" s="1" t="s">
        <v>40</v>
      </c>
      <c r="D10534" s="1">
        <v>1.0</v>
      </c>
      <c r="E10534" s="1">
        <v>13897.0</v>
      </c>
      <c r="F10534" s="10">
        <f t="shared" si="1"/>
        <v>1</v>
      </c>
      <c r="G10534" s="10" t="str">
        <f t="array" ref="G10534">index('Player ID'!C:C,match(E10534,'Player ID'!B:B,0))</f>
        <v>#N/A</v>
      </c>
    </row>
    <row r="10535">
      <c r="A10535" s="76">
        <v>45836.0</v>
      </c>
      <c r="B10535" s="1" t="s">
        <v>416</v>
      </c>
      <c r="C10535" s="1" t="s">
        <v>22</v>
      </c>
      <c r="D10535" s="1">
        <v>7.0</v>
      </c>
      <c r="E10535" s="1">
        <v>15474.0</v>
      </c>
      <c r="F10535" s="10">
        <f t="shared" si="1"/>
        <v>7</v>
      </c>
      <c r="G10535" s="10">
        <f t="array" ref="G10535">index('Player ID'!C:C,match(E10535,'Player ID'!B:B,0))</f>
        <v>608337</v>
      </c>
    </row>
    <row r="10536">
      <c r="A10536" s="76">
        <v>45836.0</v>
      </c>
      <c r="B10536" s="1" t="s">
        <v>315</v>
      </c>
      <c r="C10536" s="1" t="s">
        <v>40</v>
      </c>
      <c r="D10536" s="1">
        <v>2.0</v>
      </c>
      <c r="E10536" s="1">
        <v>24609.0</v>
      </c>
      <c r="F10536" s="10">
        <f t="shared" si="1"/>
        <v>2</v>
      </c>
      <c r="G10536" s="10">
        <f t="array" ref="G10536">index('Player ID'!C:C,match(E10536,'Player ID'!B:B,0))</f>
        <v>680755</v>
      </c>
    </row>
    <row r="10537">
      <c r="A10537" s="76">
        <v>45836.0</v>
      </c>
      <c r="B10537" s="1" t="s">
        <v>568</v>
      </c>
      <c r="C10537" s="1" t="s">
        <v>40</v>
      </c>
      <c r="D10537" s="1">
        <v>1.1</v>
      </c>
      <c r="E10537" s="1">
        <v>25501.0</v>
      </c>
      <c r="F10537" s="10">
        <f t="shared" si="1"/>
        <v>1.333333333</v>
      </c>
      <c r="G10537" s="10">
        <f t="array" ref="G10537">index('Player ID'!C:C,match(E10537,'Player ID'!B:B,0))</f>
        <v>687606</v>
      </c>
    </row>
    <row r="10538">
      <c r="A10538" s="76">
        <v>45836.0</v>
      </c>
      <c r="B10538" s="1" t="s">
        <v>402</v>
      </c>
      <c r="C10538" s="1" t="s">
        <v>22</v>
      </c>
      <c r="D10538" s="1">
        <v>2.0</v>
      </c>
      <c r="E10538" s="1">
        <v>26214.0</v>
      </c>
      <c r="F10538" s="10">
        <f t="shared" si="1"/>
        <v>2</v>
      </c>
      <c r="G10538" s="10" t="str">
        <f t="array" ref="G10538">index('Player ID'!C:C,match(E10538,'Player ID'!B:B,0))</f>
        <v>#N/A</v>
      </c>
    </row>
    <row r="10539">
      <c r="A10539" s="76">
        <v>45836.0</v>
      </c>
      <c r="B10539" s="1" t="s">
        <v>142</v>
      </c>
      <c r="C10539" s="1" t="s">
        <v>40</v>
      </c>
      <c r="D10539" s="1">
        <v>1.2</v>
      </c>
      <c r="E10539" s="1">
        <v>31553.0</v>
      </c>
      <c r="F10539" s="10">
        <f t="shared" si="1"/>
        <v>1.666666667</v>
      </c>
      <c r="G10539" s="10">
        <f t="array" ref="G10539">index('Player ID'!C:C,match(E10539,'Player ID'!B:B,0))</f>
        <v>689254</v>
      </c>
    </row>
    <row r="10540">
      <c r="A10540" s="76">
        <v>45836.0</v>
      </c>
      <c r="B10540" s="1" t="s">
        <v>342</v>
      </c>
      <c r="C10540" s="1" t="s">
        <v>26</v>
      </c>
      <c r="D10540" s="1">
        <v>1.0</v>
      </c>
      <c r="E10540" s="1">
        <v>11861.0</v>
      </c>
      <c r="F10540" s="10">
        <f t="shared" si="1"/>
        <v>1</v>
      </c>
      <c r="G10540" s="10">
        <f t="array" ref="G10540">index('Player ID'!C:C,match(E10540,'Player ID'!B:B,0))</f>
        <v>592094</v>
      </c>
    </row>
    <row r="10541">
      <c r="A10541" s="76">
        <v>45836.0</v>
      </c>
      <c r="B10541" s="1" t="s">
        <v>417</v>
      </c>
      <c r="C10541" s="1" t="s">
        <v>66</v>
      </c>
      <c r="D10541" s="1">
        <v>1.1</v>
      </c>
      <c r="E10541" s="1">
        <v>13942.0</v>
      </c>
      <c r="F10541" s="10">
        <f t="shared" si="1"/>
        <v>1.333333333</v>
      </c>
      <c r="G10541" s="10">
        <f t="array" ref="G10541">index('Player ID'!C:C,match(E10541,'Player ID'!B:B,0))</f>
        <v>608718</v>
      </c>
    </row>
    <row r="10542">
      <c r="A10542" s="76">
        <v>45836.0</v>
      </c>
      <c r="B10542" s="1" t="s">
        <v>475</v>
      </c>
      <c r="C10542" s="1" t="s">
        <v>66</v>
      </c>
      <c r="D10542" s="1">
        <v>1.0</v>
      </c>
      <c r="E10542" s="1">
        <v>14993.0</v>
      </c>
      <c r="F10542" s="10">
        <f t="shared" si="1"/>
        <v>1</v>
      </c>
      <c r="G10542" s="10">
        <f t="array" ref="G10542">index('Player ID'!C:C,match(E10542,'Player ID'!B:B,0))</f>
        <v>605130</v>
      </c>
    </row>
    <row r="10543">
      <c r="A10543" s="76">
        <v>45836.0</v>
      </c>
      <c r="B10543" s="1" t="s">
        <v>653</v>
      </c>
      <c r="C10543" s="1" t="s">
        <v>66</v>
      </c>
      <c r="D10543" s="1">
        <v>1.0</v>
      </c>
      <c r="E10543" s="1">
        <v>17871.0</v>
      </c>
      <c r="F10543" s="10">
        <f t="shared" si="1"/>
        <v>1</v>
      </c>
      <c r="G10543" s="10">
        <f t="array" ref="G10543">index('Player ID'!C:C,match(E10543,'Player ID'!B:B,0))</f>
        <v>664139</v>
      </c>
    </row>
    <row r="10544">
      <c r="A10544" s="76">
        <v>45836.0</v>
      </c>
      <c r="B10544" s="1" t="s">
        <v>49</v>
      </c>
      <c r="C10544" s="1" t="s">
        <v>26</v>
      </c>
      <c r="D10544" s="1">
        <v>1.0</v>
      </c>
      <c r="E10544" s="1">
        <v>20039.0</v>
      </c>
      <c r="F10544" s="10">
        <f t="shared" si="1"/>
        <v>1</v>
      </c>
      <c r="G10544" s="10">
        <f t="array" ref="G10544">index('Player ID'!C:C,match(E10544,'Player ID'!B:B,0))</f>
        <v>670970</v>
      </c>
    </row>
    <row r="10545">
      <c r="A10545" s="76">
        <v>45836.0</v>
      </c>
      <c r="B10545" s="1" t="s">
        <v>518</v>
      </c>
      <c r="C10545" s="1" t="s">
        <v>66</v>
      </c>
      <c r="D10545" s="1">
        <v>0.2</v>
      </c>
      <c r="E10545" s="1">
        <v>24581.0</v>
      </c>
      <c r="F10545" s="10">
        <f t="shared" si="1"/>
        <v>0.6666666667</v>
      </c>
      <c r="G10545" s="10">
        <f t="array" ref="G10545">index('Player ID'!C:C,match(E10545,'Player ID'!B:B,0))</f>
        <v>680689</v>
      </c>
    </row>
    <row r="10546">
      <c r="A10546" s="76">
        <v>45836.0</v>
      </c>
      <c r="B10546" s="1" t="s">
        <v>713</v>
      </c>
      <c r="C10546" s="1" t="s">
        <v>26</v>
      </c>
      <c r="D10546" s="1">
        <v>4.1</v>
      </c>
      <c r="E10546" s="1">
        <v>24719.0</v>
      </c>
      <c r="F10546" s="10">
        <f t="shared" si="1"/>
        <v>4.333333333</v>
      </c>
      <c r="G10546" s="10">
        <f t="array" ref="G10546">index('Player ID'!C:C,match(E10546,'Player ID'!B:B,0))</f>
        <v>681190</v>
      </c>
    </row>
    <row r="10547">
      <c r="A10547" s="76">
        <v>45836.0</v>
      </c>
      <c r="B10547" s="1" t="s">
        <v>895</v>
      </c>
      <c r="C10547" s="1" t="s">
        <v>26</v>
      </c>
      <c r="D10547" s="1">
        <v>1.2</v>
      </c>
      <c r="E10547" s="1">
        <v>26304.0</v>
      </c>
      <c r="F10547" s="10">
        <f t="shared" si="1"/>
        <v>1.666666667</v>
      </c>
      <c r="G10547" s="10" t="str">
        <f t="array" ref="G10547">index('Player ID'!C:C,match(E10547,'Player ID'!B:B,0))</f>
        <v>#N/A</v>
      </c>
    </row>
    <row r="10548">
      <c r="A10548" s="76">
        <v>45836.0</v>
      </c>
      <c r="B10548" s="1" t="s">
        <v>169</v>
      </c>
      <c r="C10548" s="1" t="s">
        <v>66</v>
      </c>
      <c r="D10548" s="1">
        <v>5.0</v>
      </c>
      <c r="E10548" s="1">
        <v>29911.0</v>
      </c>
      <c r="F10548" s="10">
        <f t="shared" si="1"/>
        <v>5</v>
      </c>
      <c r="G10548" s="10">
        <f t="array" ref="G10548">index('Player ID'!C:C,match(E10548,'Player ID'!B:B,0))</f>
        <v>671096</v>
      </c>
    </row>
    <row r="10549">
      <c r="A10549" s="76">
        <v>45836.0</v>
      </c>
      <c r="B10549" s="1" t="s">
        <v>81</v>
      </c>
      <c r="C10549" s="1" t="s">
        <v>26</v>
      </c>
      <c r="D10549" s="1">
        <v>1.0</v>
      </c>
      <c r="E10549" s="1">
        <v>30115.0</v>
      </c>
      <c r="F10549" s="10">
        <f t="shared" si="1"/>
        <v>1</v>
      </c>
      <c r="G10549" s="10">
        <f t="array" ref="G10549">index('Player ID'!C:C,match(E10549,'Player ID'!B:B,0))</f>
        <v>663158</v>
      </c>
    </row>
    <row r="10550">
      <c r="A10550" s="76">
        <v>45836.0</v>
      </c>
      <c r="B10550" s="1" t="s">
        <v>287</v>
      </c>
      <c r="C10550" s="1" t="s">
        <v>72</v>
      </c>
      <c r="D10550" s="1">
        <v>4.0</v>
      </c>
      <c r="E10550" s="1">
        <v>9803.0</v>
      </c>
      <c r="F10550" s="10">
        <f t="shared" si="1"/>
        <v>4</v>
      </c>
      <c r="G10550" s="10">
        <f t="array" ref="G10550">index('Player ID'!C:C,match(E10550,'Player ID'!B:B,0))</f>
        <v>571945</v>
      </c>
    </row>
    <row r="10551">
      <c r="A10551" s="76">
        <v>45836.0</v>
      </c>
      <c r="B10551" s="1" t="s">
        <v>83</v>
      </c>
      <c r="C10551" s="1" t="s">
        <v>72</v>
      </c>
      <c r="D10551" s="1">
        <v>1.2</v>
      </c>
      <c r="E10551" s="1">
        <v>13361.0</v>
      </c>
      <c r="F10551" s="10">
        <f t="shared" si="1"/>
        <v>1.666666667</v>
      </c>
      <c r="G10551" s="10">
        <f t="array" ref="G10551">index('Player ID'!C:C,match(E10551,'Player ID'!B:B,0))</f>
        <v>571927</v>
      </c>
    </row>
    <row r="10552">
      <c r="A10552" s="76">
        <v>45836.0</v>
      </c>
      <c r="B10552" s="1" t="s">
        <v>190</v>
      </c>
      <c r="C10552" s="1" t="s">
        <v>72</v>
      </c>
      <c r="D10552" s="1">
        <v>1.1</v>
      </c>
      <c r="E10552" s="1">
        <v>18064.0</v>
      </c>
      <c r="F10552" s="10">
        <f t="shared" si="1"/>
        <v>1.333333333</v>
      </c>
      <c r="G10552" s="10">
        <f t="array" ref="G10552">index('Player ID'!C:C,match(E10552,'Player ID'!B:B,0))</f>
        <v>664208</v>
      </c>
    </row>
    <row r="10553">
      <c r="A10553" s="76">
        <v>45836.0</v>
      </c>
      <c r="B10553" s="1" t="s">
        <v>270</v>
      </c>
      <c r="C10553" s="1" t="s">
        <v>72</v>
      </c>
      <c r="D10553" s="1">
        <v>1.0</v>
      </c>
      <c r="E10553" s="1">
        <v>18138.0</v>
      </c>
      <c r="F10553" s="10">
        <f t="shared" si="1"/>
        <v>1</v>
      </c>
      <c r="G10553" s="10">
        <f t="array" ref="G10553">index('Player ID'!C:C,match(E10553,'Player ID'!B:B,0))</f>
        <v>664854</v>
      </c>
    </row>
    <row r="10554">
      <c r="A10554" s="76">
        <v>45836.0</v>
      </c>
      <c r="B10554" s="1" t="s">
        <v>259</v>
      </c>
      <c r="C10554" s="1" t="s">
        <v>70</v>
      </c>
      <c r="D10554" s="1">
        <v>3.0</v>
      </c>
      <c r="E10554" s="1">
        <v>18694.0</v>
      </c>
      <c r="F10554" s="10">
        <f t="shared" si="1"/>
        <v>3</v>
      </c>
      <c r="G10554" s="10">
        <f t="array" ref="G10554">index('Player ID'!C:C,match(E10554,'Player ID'!B:B,0))</f>
        <v>663465</v>
      </c>
    </row>
    <row r="10555">
      <c r="A10555" s="76">
        <v>45836.0</v>
      </c>
      <c r="B10555" s="1" t="s">
        <v>141</v>
      </c>
      <c r="C10555" s="1" t="s">
        <v>70</v>
      </c>
      <c r="D10555" s="1">
        <v>0.1</v>
      </c>
      <c r="E10555" s="1">
        <v>19330.0</v>
      </c>
      <c r="F10555" s="10">
        <f t="shared" si="1"/>
        <v>0.3333333333</v>
      </c>
      <c r="G10555" s="10">
        <f t="array" ref="G10555">index('Player ID'!C:C,match(E10555,'Player ID'!B:B,0))</f>
        <v>670036</v>
      </c>
    </row>
    <row r="10556">
      <c r="A10556" s="76">
        <v>45836.0</v>
      </c>
      <c r="B10556" s="1" t="s">
        <v>519</v>
      </c>
      <c r="C10556" s="1" t="s">
        <v>70</v>
      </c>
      <c r="D10556" s="1">
        <v>1.0</v>
      </c>
      <c r="E10556" s="1">
        <v>25139.0</v>
      </c>
      <c r="F10556" s="10">
        <f t="shared" si="1"/>
        <v>1</v>
      </c>
      <c r="G10556" s="10">
        <f t="array" ref="G10556">index('Player ID'!C:C,match(E10556,'Player ID'!B:B,0))</f>
        <v>682120</v>
      </c>
    </row>
    <row r="10557">
      <c r="A10557" s="76">
        <v>45836.0</v>
      </c>
      <c r="B10557" s="1" t="s">
        <v>306</v>
      </c>
      <c r="C10557" s="1" t="s">
        <v>70</v>
      </c>
      <c r="D10557" s="1">
        <v>4.2</v>
      </c>
      <c r="E10557" s="1">
        <v>27500.0</v>
      </c>
      <c r="F10557" s="10">
        <f t="shared" si="1"/>
        <v>4.666666667</v>
      </c>
      <c r="G10557" s="10">
        <f t="array" ref="G10557">index('Player ID'!C:C,match(E10557,'Player ID'!B:B,0))</f>
        <v>677944</v>
      </c>
    </row>
    <row r="10558">
      <c r="A10558" s="76">
        <v>45836.0</v>
      </c>
      <c r="B10558" s="1" t="s">
        <v>223</v>
      </c>
      <c r="C10558" s="1" t="s">
        <v>72</v>
      </c>
      <c r="D10558" s="1">
        <v>1.0</v>
      </c>
      <c r="E10558" s="1">
        <v>29629.0</v>
      </c>
      <c r="F10558" s="10">
        <f t="shared" si="1"/>
        <v>1</v>
      </c>
      <c r="G10558" s="10">
        <f t="array" ref="G10558">index('Player ID'!C:C,match(E10558,'Player ID'!B:B,0))</f>
        <v>694335</v>
      </c>
    </row>
    <row r="10559">
      <c r="A10559" s="76">
        <v>45836.0</v>
      </c>
      <c r="B10559" s="1" t="s">
        <v>303</v>
      </c>
      <c r="C10559" s="1" t="s">
        <v>31</v>
      </c>
      <c r="D10559" s="1">
        <v>6.0</v>
      </c>
      <c r="E10559" s="1">
        <v>11486.0</v>
      </c>
      <c r="F10559" s="10">
        <f t="shared" si="1"/>
        <v>6</v>
      </c>
      <c r="G10559" s="10">
        <f t="array" ref="G10559">index('Player ID'!C:C,match(E10559,'Player ID'!B:B,0))</f>
        <v>592662</v>
      </c>
    </row>
    <row r="10560">
      <c r="A10560" s="76">
        <v>45836.0</v>
      </c>
      <c r="B10560" s="1" t="s">
        <v>411</v>
      </c>
      <c r="C10560" s="1" t="s">
        <v>78</v>
      </c>
      <c r="D10560" s="1">
        <v>7.0</v>
      </c>
      <c r="E10560" s="1">
        <v>12718.0</v>
      </c>
      <c r="F10560" s="10">
        <f t="shared" si="1"/>
        <v>7</v>
      </c>
      <c r="G10560" s="10">
        <f t="array" ref="G10560">index('Player ID'!C:C,match(E10560,'Player ID'!B:B,0))</f>
        <v>605288</v>
      </c>
    </row>
    <row r="10561">
      <c r="A10561" s="76">
        <v>45836.0</v>
      </c>
      <c r="B10561" s="1" t="s">
        <v>20</v>
      </c>
      <c r="C10561" s="1" t="s">
        <v>31</v>
      </c>
      <c r="D10561" s="1">
        <v>1.0</v>
      </c>
      <c r="E10561" s="1">
        <v>15541.0</v>
      </c>
      <c r="F10561" s="10">
        <f t="shared" si="1"/>
        <v>1</v>
      </c>
      <c r="G10561" s="10">
        <f t="array" ref="G10561">index('Player ID'!C:C,match(E10561,'Player ID'!B:B,0))</f>
        <v>643511</v>
      </c>
    </row>
    <row r="10562">
      <c r="A10562" s="76">
        <v>45836.0</v>
      </c>
      <c r="B10562" s="1" t="s">
        <v>655</v>
      </c>
      <c r="C10562" s="1" t="s">
        <v>31</v>
      </c>
      <c r="D10562" s="1">
        <v>1.0</v>
      </c>
      <c r="E10562" s="1">
        <v>26252.0</v>
      </c>
      <c r="F10562" s="10">
        <f t="shared" si="1"/>
        <v>1</v>
      </c>
      <c r="G10562" s="10">
        <f t="array" ref="G10562">index('Player ID'!C:C,match(E10562,'Player ID'!B:B,0))</f>
        <v>669062</v>
      </c>
    </row>
    <row r="10563">
      <c r="A10563" s="76">
        <v>45836.0</v>
      </c>
      <c r="B10563" s="1" t="s">
        <v>106</v>
      </c>
      <c r="C10563" s="1" t="s">
        <v>78</v>
      </c>
      <c r="D10563" s="1">
        <v>2.0</v>
      </c>
      <c r="E10563" s="1">
        <v>33927.0</v>
      </c>
      <c r="F10563" s="10">
        <f t="shared" si="1"/>
        <v>2</v>
      </c>
      <c r="G10563" s="10" t="str">
        <f t="array" ref="G10563">index('Player ID'!C:C,match(E10563,'Player ID'!B:B,0))</f>
        <v>#N/A</v>
      </c>
    </row>
    <row r="10564">
      <c r="A10564" s="76">
        <v>45836.0</v>
      </c>
      <c r="B10564" s="1" t="s">
        <v>103</v>
      </c>
      <c r="C10564" s="1" t="s">
        <v>64</v>
      </c>
      <c r="D10564" s="1">
        <v>1.0</v>
      </c>
      <c r="E10564" s="1">
        <v>10197.0</v>
      </c>
      <c r="F10564" s="10">
        <f t="shared" si="1"/>
        <v>1</v>
      </c>
      <c r="G10564" s="10">
        <f t="array" ref="G10564">index('Player ID'!C:C,match(E10564,'Player ID'!B:B,0))</f>
        <v>571946</v>
      </c>
    </row>
    <row r="10565">
      <c r="A10565" s="76">
        <v>45836.0</v>
      </c>
      <c r="B10565" s="1" t="s">
        <v>219</v>
      </c>
      <c r="C10565" s="1" t="s">
        <v>64</v>
      </c>
      <c r="D10565" s="1">
        <v>0.2</v>
      </c>
      <c r="E10565" s="1">
        <v>16647.0</v>
      </c>
      <c r="F10565" s="10">
        <f t="shared" si="1"/>
        <v>0.6666666667</v>
      </c>
      <c r="G10565" s="10">
        <f t="array" ref="G10565">index('Player ID'!C:C,match(E10565,'Player ID'!B:B,0))</f>
        <v>657044</v>
      </c>
    </row>
    <row r="10566">
      <c r="A10566" s="76">
        <v>45836.0</v>
      </c>
      <c r="B10566" s="1" t="s">
        <v>489</v>
      </c>
      <c r="C10566" s="1" t="s">
        <v>64</v>
      </c>
      <c r="D10566" s="1">
        <v>0.1</v>
      </c>
      <c r="E10566" s="1">
        <v>17192.0</v>
      </c>
      <c r="F10566" s="10">
        <f t="shared" si="1"/>
        <v>0.3333333333</v>
      </c>
      <c r="G10566" s="10">
        <f t="array" ref="G10566">index('Player ID'!C:C,match(E10566,'Player ID'!B:B,0))</f>
        <v>656222</v>
      </c>
    </row>
    <row r="10567">
      <c r="A10567" s="76">
        <v>45836.0</v>
      </c>
      <c r="B10567" s="1" t="s">
        <v>229</v>
      </c>
      <c r="C10567" s="1" t="s">
        <v>36</v>
      </c>
      <c r="D10567" s="1">
        <v>6.0</v>
      </c>
      <c r="E10567" s="1">
        <v>18684.0</v>
      </c>
      <c r="F10567" s="10">
        <f t="shared" si="1"/>
        <v>6</v>
      </c>
      <c r="G10567" s="10">
        <f t="array" ref="G10567">index('Player ID'!C:C,match(E10567,'Player ID'!B:B,0))</f>
        <v>645261</v>
      </c>
    </row>
    <row r="10568">
      <c r="A10568" s="76">
        <v>45836.0</v>
      </c>
      <c r="B10568" s="1" t="s">
        <v>89</v>
      </c>
      <c r="C10568" s="1" t="s">
        <v>36</v>
      </c>
      <c r="D10568" s="1">
        <v>2.0</v>
      </c>
      <c r="E10568" s="1">
        <v>19742.0</v>
      </c>
      <c r="F10568" s="10">
        <f t="shared" si="1"/>
        <v>2</v>
      </c>
      <c r="G10568" s="10">
        <f t="array" ref="G10568">index('Player ID'!C:C,match(E10568,'Player ID'!B:B,0))</f>
        <v>669622</v>
      </c>
    </row>
    <row r="10569">
      <c r="A10569" s="76">
        <v>45836.0</v>
      </c>
      <c r="B10569" s="1" t="s">
        <v>823</v>
      </c>
      <c r="C10569" s="1" t="s">
        <v>64</v>
      </c>
      <c r="D10569" s="1">
        <v>1.0</v>
      </c>
      <c r="E10569" s="1">
        <v>19876.0</v>
      </c>
      <c r="F10569" s="10">
        <f t="shared" si="1"/>
        <v>1</v>
      </c>
      <c r="G10569" s="10">
        <f t="array" ref="G10569">index('Player ID'!C:C,match(E10569,'Player ID'!B:B,0))</f>
        <v>656464</v>
      </c>
    </row>
    <row r="10570">
      <c r="A10570" s="76">
        <v>45836.0</v>
      </c>
      <c r="B10570" s="1" t="s">
        <v>370</v>
      </c>
      <c r="C10570" s="1" t="s">
        <v>64</v>
      </c>
      <c r="D10570" s="1">
        <v>1.0</v>
      </c>
      <c r="E10570" s="1">
        <v>21924.0</v>
      </c>
      <c r="F10570" s="10">
        <f t="shared" si="1"/>
        <v>1</v>
      </c>
      <c r="G10570" s="10">
        <f t="array" ref="G10570">index('Player ID'!C:C,match(E10570,'Player ID'!B:B,0))</f>
        <v>666661</v>
      </c>
    </row>
    <row r="10571">
      <c r="A10571" s="76">
        <v>45836.0</v>
      </c>
      <c r="B10571" s="1" t="s">
        <v>322</v>
      </c>
      <c r="C10571" s="1" t="s">
        <v>36</v>
      </c>
      <c r="D10571" s="1">
        <v>2.0</v>
      </c>
      <c r="E10571" s="1">
        <v>23899.0</v>
      </c>
      <c r="F10571" s="10">
        <f t="shared" si="1"/>
        <v>2</v>
      </c>
      <c r="G10571" s="10">
        <f t="array" ref="G10571">index('Player ID'!C:C,match(E10571,'Player ID'!B:B,0))</f>
        <v>678368</v>
      </c>
    </row>
    <row r="10572">
      <c r="A10572" s="76">
        <v>45836.0</v>
      </c>
      <c r="B10572" s="1" t="s">
        <v>263</v>
      </c>
      <c r="C10572" s="1" t="s">
        <v>64</v>
      </c>
      <c r="D10572" s="1">
        <v>5.0</v>
      </c>
      <c r="E10572" s="1">
        <v>27782.0</v>
      </c>
      <c r="F10572" s="10">
        <f t="shared" si="1"/>
        <v>5</v>
      </c>
      <c r="G10572" s="10">
        <f t="array" ref="G10572">index('Player ID'!C:C,match(E10572,'Player ID'!B:B,0))</f>
        <v>694297</v>
      </c>
    </row>
    <row r="10573">
      <c r="A10573" s="76">
        <v>45836.0</v>
      </c>
      <c r="B10573" s="1" t="s">
        <v>545</v>
      </c>
      <c r="C10573" s="1" t="s">
        <v>64</v>
      </c>
      <c r="D10573" s="1">
        <v>1.0</v>
      </c>
      <c r="E10573" s="1">
        <v>29615.0</v>
      </c>
      <c r="F10573" s="10">
        <f t="shared" si="1"/>
        <v>1</v>
      </c>
      <c r="G10573" s="10" t="str">
        <f t="array" ref="G10573">index('Player ID'!C:C,match(E10573,'Player ID'!B:B,0))</f>
        <v>#N/A</v>
      </c>
    </row>
    <row r="10574">
      <c r="A10574" s="76">
        <v>45836.0</v>
      </c>
      <c r="B10574" s="1" t="s">
        <v>481</v>
      </c>
      <c r="C10574" s="1" t="s">
        <v>75</v>
      </c>
      <c r="D10574" s="1">
        <v>4.1</v>
      </c>
      <c r="E10574" s="1">
        <v>15488.0</v>
      </c>
      <c r="F10574" s="10">
        <f t="shared" si="1"/>
        <v>4.333333333</v>
      </c>
      <c r="G10574" s="10">
        <f t="array" ref="G10574">index('Player ID'!C:C,match(E10574,'Player ID'!B:B,0))</f>
        <v>622608</v>
      </c>
    </row>
    <row r="10575">
      <c r="A10575" s="76">
        <v>45836.0</v>
      </c>
      <c r="B10575" s="1" t="s">
        <v>288</v>
      </c>
      <c r="C10575" s="1" t="s">
        <v>75</v>
      </c>
      <c r="D10575" s="1">
        <v>1.0</v>
      </c>
      <c r="E10575" s="1">
        <v>18297.0</v>
      </c>
      <c r="F10575" s="10">
        <f t="shared" si="1"/>
        <v>1</v>
      </c>
      <c r="G10575" s="10">
        <f t="array" ref="G10575">index('Player ID'!C:C,match(E10575,'Player ID'!B:B,0))</f>
        <v>641755</v>
      </c>
    </row>
    <row r="10576">
      <c r="A10576" s="76">
        <v>45836.0</v>
      </c>
      <c r="B10576" s="1" t="s">
        <v>265</v>
      </c>
      <c r="C10576" s="1" t="s">
        <v>14</v>
      </c>
      <c r="D10576" s="1">
        <v>1.0</v>
      </c>
      <c r="E10576" s="1">
        <v>22207.0</v>
      </c>
      <c r="F10576" s="10">
        <f t="shared" si="1"/>
        <v>1</v>
      </c>
      <c r="G10576" s="10" t="str">
        <f t="array" ref="G10576">index('Player ID'!C:C,match(E10576,'Player ID'!B:B,0))</f>
        <v>#N/A</v>
      </c>
    </row>
    <row r="10577">
      <c r="A10577" s="76">
        <v>45836.0</v>
      </c>
      <c r="B10577" s="1" t="s">
        <v>200</v>
      </c>
      <c r="C10577" s="1" t="s">
        <v>14</v>
      </c>
      <c r="D10577" s="1">
        <v>1.0</v>
      </c>
      <c r="E10577" s="1">
        <v>23550.0</v>
      </c>
      <c r="F10577" s="10">
        <f t="shared" si="1"/>
        <v>1</v>
      </c>
      <c r="G10577" s="10" t="str">
        <f t="array" ref="G10577">index('Player ID'!C:C,match(E10577,'Player ID'!B:B,0))</f>
        <v>#N/A</v>
      </c>
    </row>
    <row r="10578">
      <c r="A10578" s="76">
        <v>45836.0</v>
      </c>
      <c r="B10578" s="1" t="s">
        <v>450</v>
      </c>
      <c r="C10578" s="1" t="s">
        <v>14</v>
      </c>
      <c r="D10578" s="1">
        <v>7.0</v>
      </c>
      <c r="E10578" s="1">
        <v>25977.0</v>
      </c>
      <c r="F10578" s="10">
        <f t="shared" si="1"/>
        <v>7</v>
      </c>
      <c r="G10578" s="10">
        <f t="array" ref="G10578">index('Player ID'!C:C,match(E10578,'Player ID'!B:B,0))</f>
        <v>682990</v>
      </c>
    </row>
    <row r="10579">
      <c r="A10579" s="76">
        <v>45836.0</v>
      </c>
      <c r="B10579" s="1" t="s">
        <v>486</v>
      </c>
      <c r="C10579" s="1" t="s">
        <v>75</v>
      </c>
      <c r="D10579" s="1">
        <v>2.2</v>
      </c>
      <c r="E10579" s="1">
        <v>26790.0</v>
      </c>
      <c r="F10579" s="10">
        <f t="shared" si="1"/>
        <v>2.666666667</v>
      </c>
      <c r="G10579" s="10">
        <f t="array" ref="G10579">index('Player ID'!C:C,match(E10579,'Player ID'!B:B,0))</f>
        <v>683409</v>
      </c>
    </row>
    <row r="10580">
      <c r="A10580" s="76">
        <v>45836.0</v>
      </c>
      <c r="B10580" s="1" t="s">
        <v>629</v>
      </c>
      <c r="C10580" s="1" t="s">
        <v>34</v>
      </c>
      <c r="D10580" s="1">
        <v>1.0</v>
      </c>
      <c r="E10580" s="1">
        <v>5615.0</v>
      </c>
      <c r="F10580" s="10">
        <f t="shared" si="1"/>
        <v>1</v>
      </c>
      <c r="G10580" s="10">
        <f t="array" ref="G10580">index('Player ID'!C:C,match(E10580,'Player ID'!B:B,0))</f>
        <v>518489</v>
      </c>
    </row>
    <row r="10581">
      <c r="A10581" s="76">
        <v>45836.0</v>
      </c>
      <c r="B10581" s="1" t="s">
        <v>460</v>
      </c>
      <c r="C10581" s="1" t="s">
        <v>34</v>
      </c>
      <c r="D10581" s="1">
        <v>1.0</v>
      </c>
      <c r="E10581" s="1">
        <v>7005.0</v>
      </c>
      <c r="F10581" s="10">
        <f t="shared" si="1"/>
        <v>1</v>
      </c>
      <c r="G10581" s="10">
        <f t="array" ref="G10581">index('Player ID'!C:C,match(E10581,'Player ID'!B:B,0))</f>
        <v>519151</v>
      </c>
    </row>
    <row r="10582">
      <c r="A10582" s="76">
        <v>45836.0</v>
      </c>
      <c r="B10582" s="1" t="s">
        <v>203</v>
      </c>
      <c r="C10582" s="1" t="s">
        <v>34</v>
      </c>
      <c r="D10582" s="1">
        <v>1.0</v>
      </c>
      <c r="E10582" s="1">
        <v>11426.0</v>
      </c>
      <c r="F10582" s="10">
        <f t="shared" si="1"/>
        <v>1</v>
      </c>
      <c r="G10582" s="10">
        <f t="array" ref="G10582">index('Player ID'!C:C,match(E10582,'Player ID'!B:B,0))</f>
        <v>519141</v>
      </c>
    </row>
    <row r="10583">
      <c r="A10583" s="76">
        <v>45836.0</v>
      </c>
      <c r="B10583" s="1" t="s">
        <v>313</v>
      </c>
      <c r="C10583" s="1" t="s">
        <v>34</v>
      </c>
      <c r="D10583" s="1">
        <v>5.0</v>
      </c>
      <c r="E10583" s="1">
        <v>12317.0</v>
      </c>
      <c r="F10583" s="10">
        <f t="shared" si="1"/>
        <v>5</v>
      </c>
      <c r="G10583" s="10">
        <f t="array" ref="G10583">index('Player ID'!C:C,match(E10583,'Player ID'!B:B,0))</f>
        <v>607067</v>
      </c>
    </row>
    <row r="10584">
      <c r="A10584" s="76">
        <v>45836.0</v>
      </c>
      <c r="B10584" s="1" t="s">
        <v>903</v>
      </c>
      <c r="C10584" s="1" t="s">
        <v>39</v>
      </c>
      <c r="D10584" s="1">
        <v>1.0</v>
      </c>
      <c r="E10584" s="1">
        <v>13190.0</v>
      </c>
      <c r="F10584" s="10">
        <f t="shared" si="1"/>
        <v>1</v>
      </c>
      <c r="G10584" s="10" t="str">
        <f t="array" ref="G10584">index('Player ID'!C:C,match(E10584,'Player ID'!B:B,0))</f>
        <v>#N/A</v>
      </c>
    </row>
    <row r="10585">
      <c r="A10585" s="76">
        <v>45836.0</v>
      </c>
      <c r="B10585" s="1" t="s">
        <v>38</v>
      </c>
      <c r="C10585" s="1" t="s">
        <v>39</v>
      </c>
      <c r="D10585" s="1">
        <v>0.2</v>
      </c>
      <c r="E10585" s="1">
        <v>13580.0</v>
      </c>
      <c r="F10585" s="10">
        <f t="shared" si="1"/>
        <v>0.6666666667</v>
      </c>
      <c r="G10585" s="10">
        <f t="array" ref="G10585">index('Player ID'!C:C,match(E10585,'Player ID'!B:B,0))</f>
        <v>595345</v>
      </c>
    </row>
    <row r="10586">
      <c r="A10586" s="76">
        <v>45836.0</v>
      </c>
      <c r="B10586" s="1" t="s">
        <v>394</v>
      </c>
      <c r="C10586" s="1" t="s">
        <v>39</v>
      </c>
      <c r="D10586" s="1">
        <v>3.1</v>
      </c>
      <c r="E10586" s="1">
        <v>14120.0</v>
      </c>
      <c r="F10586" s="10">
        <f t="shared" si="1"/>
        <v>3.333333333</v>
      </c>
      <c r="G10586" s="10">
        <f t="array" ref="G10586">index('Player ID'!C:C,match(E10586,'Player ID'!B:B,0))</f>
        <v>621121</v>
      </c>
    </row>
    <row r="10587">
      <c r="A10587" s="76">
        <v>45836.0</v>
      </c>
      <c r="B10587" s="1" t="s">
        <v>388</v>
      </c>
      <c r="C10587" s="1" t="s">
        <v>34</v>
      </c>
      <c r="D10587" s="1">
        <v>1.0</v>
      </c>
      <c r="E10587" s="1">
        <v>26413.0</v>
      </c>
      <c r="F10587" s="10">
        <f t="shared" si="1"/>
        <v>1</v>
      </c>
      <c r="G10587" s="10">
        <f t="array" ref="G10587">index('Player ID'!C:C,match(E10587,'Player ID'!B:B,0))</f>
        <v>687863</v>
      </c>
    </row>
    <row r="10588">
      <c r="A10588" s="76">
        <v>45836.0</v>
      </c>
      <c r="B10588" s="1" t="s">
        <v>228</v>
      </c>
      <c r="C10588" s="1" t="s">
        <v>39</v>
      </c>
      <c r="D10588" s="1">
        <v>4.0</v>
      </c>
      <c r="E10588" s="1">
        <v>26440.0</v>
      </c>
      <c r="F10588" s="10">
        <f t="shared" si="1"/>
        <v>4</v>
      </c>
      <c r="G10588" s="10">
        <f t="array" ref="G10588">index('Player ID'!C:C,match(E10588,'Player ID'!B:B,0))</f>
        <v>687473</v>
      </c>
    </row>
    <row r="10589">
      <c r="A10589" s="76">
        <v>45836.0</v>
      </c>
      <c r="B10589" s="1" t="s">
        <v>326</v>
      </c>
      <c r="C10589" s="1" t="s">
        <v>46</v>
      </c>
      <c r="D10589" s="1">
        <v>1.0</v>
      </c>
      <c r="E10589" s="1">
        <v>12760.0</v>
      </c>
      <c r="F10589" s="10">
        <f t="shared" si="1"/>
        <v>1</v>
      </c>
      <c r="G10589" s="10">
        <f t="array" ref="G10589">index('Player ID'!C:C,match(E10589,'Player ID'!B:B,0))</f>
        <v>606160</v>
      </c>
    </row>
    <row r="10590">
      <c r="A10590" s="76">
        <v>45836.0</v>
      </c>
      <c r="B10590" s="1" t="s">
        <v>360</v>
      </c>
      <c r="C10590" s="1" t="s">
        <v>45</v>
      </c>
      <c r="D10590" s="1">
        <v>1.0</v>
      </c>
      <c r="E10590" s="1">
        <v>12972.0</v>
      </c>
      <c r="F10590" s="10">
        <f t="shared" si="1"/>
        <v>1</v>
      </c>
      <c r="G10590" s="10">
        <f t="array" ref="G10590">index('Player ID'!C:C,match(E10590,'Player ID'!B:B,0))</f>
        <v>605452</v>
      </c>
    </row>
    <row r="10591">
      <c r="A10591" s="76">
        <v>45836.0</v>
      </c>
      <c r="B10591" s="1" t="s">
        <v>208</v>
      </c>
      <c r="C10591" s="1" t="s">
        <v>45</v>
      </c>
      <c r="D10591" s="1">
        <v>1.0</v>
      </c>
      <c r="E10591" s="1">
        <v>16122.0</v>
      </c>
      <c r="F10591" s="10">
        <f t="shared" si="1"/>
        <v>1</v>
      </c>
      <c r="G10591" s="10">
        <f t="array" ref="G10591">index('Player ID'!C:C,match(E10591,'Player ID'!B:B,0))</f>
        <v>605447</v>
      </c>
    </row>
    <row r="10592">
      <c r="A10592" s="76">
        <v>45836.0</v>
      </c>
      <c r="B10592" s="1" t="s">
        <v>184</v>
      </c>
      <c r="C10592" s="1" t="s">
        <v>46</v>
      </c>
      <c r="D10592" s="1">
        <v>1.0</v>
      </c>
      <c r="E10592" s="1">
        <v>17130.0</v>
      </c>
      <c r="F10592" s="10">
        <f t="shared" si="1"/>
        <v>1</v>
      </c>
      <c r="G10592" s="10">
        <f t="array" ref="G10592">index('Player ID'!C:C,match(E10592,'Player ID'!B:B,0))</f>
        <v>628452</v>
      </c>
    </row>
    <row r="10593">
      <c r="A10593" s="76">
        <v>45836.0</v>
      </c>
      <c r="B10593" s="1" t="s">
        <v>700</v>
      </c>
      <c r="C10593" s="1" t="s">
        <v>45</v>
      </c>
      <c r="D10593" s="1">
        <v>5.0</v>
      </c>
      <c r="E10593" s="1">
        <v>19959.0</v>
      </c>
      <c r="F10593" s="10">
        <f t="shared" si="1"/>
        <v>5</v>
      </c>
      <c r="G10593" s="10">
        <f t="array" ref="G10593">index('Player ID'!C:C,match(E10593,'Player ID'!B:B,0))</f>
        <v>666200</v>
      </c>
    </row>
    <row r="10594">
      <c r="A10594" s="76">
        <v>45836.0</v>
      </c>
      <c r="B10594" s="1" t="s">
        <v>788</v>
      </c>
      <c r="C10594" s="1" t="s">
        <v>45</v>
      </c>
      <c r="D10594" s="1">
        <v>1.0</v>
      </c>
      <c r="E10594" s="1">
        <v>21229.0</v>
      </c>
      <c r="F10594" s="10">
        <f t="shared" si="1"/>
        <v>1</v>
      </c>
      <c r="G10594" s="10">
        <f t="array" ref="G10594">index('Player ID'!C:C,match(E10594,'Player ID'!B:B,0))</f>
        <v>642016</v>
      </c>
    </row>
    <row r="10595">
      <c r="A10595" s="76">
        <v>45836.0</v>
      </c>
      <c r="B10595" s="1" t="s">
        <v>65</v>
      </c>
      <c r="C10595" s="1" t="s">
        <v>46</v>
      </c>
      <c r="D10595" s="1">
        <v>7.0</v>
      </c>
      <c r="E10595" s="1">
        <v>31846.0</v>
      </c>
      <c r="F10595" s="10">
        <f t="shared" si="1"/>
        <v>7</v>
      </c>
      <c r="G10595" s="10">
        <f t="array" ref="G10595">index('Player ID'!C:C,match(E10595,'Player ID'!B:B,0))</f>
        <v>680885</v>
      </c>
    </row>
    <row r="10596">
      <c r="A10596" s="76">
        <v>45836.0</v>
      </c>
      <c r="B10596" s="1" t="s">
        <v>399</v>
      </c>
      <c r="C10596" s="1" t="s">
        <v>25</v>
      </c>
      <c r="D10596" s="1">
        <v>5.0</v>
      </c>
      <c r="E10596" s="1">
        <v>12049.0</v>
      </c>
      <c r="F10596" s="10">
        <f t="shared" si="1"/>
        <v>5</v>
      </c>
      <c r="G10596" s="10">
        <f t="array" ref="G10596">index('Player ID'!C:C,match(E10596,'Player ID'!B:B,0))</f>
        <v>543294</v>
      </c>
    </row>
    <row r="10597">
      <c r="A10597" s="76">
        <v>45836.0</v>
      </c>
      <c r="B10597" s="1" t="s">
        <v>480</v>
      </c>
      <c r="C10597" s="1" t="s">
        <v>80</v>
      </c>
      <c r="D10597" s="1">
        <v>6.0</v>
      </c>
      <c r="E10597" s="1">
        <v>18383.0</v>
      </c>
      <c r="F10597" s="10">
        <f t="shared" si="1"/>
        <v>6</v>
      </c>
      <c r="G10597" s="10">
        <f t="array" ref="G10597">index('Player ID'!C:C,match(E10597,'Player ID'!B:B,0))</f>
        <v>647336</v>
      </c>
    </row>
    <row r="10598">
      <c r="A10598" s="76">
        <v>45836.0</v>
      </c>
      <c r="B10598" s="1" t="s">
        <v>508</v>
      </c>
      <c r="C10598" s="1" t="s">
        <v>80</v>
      </c>
      <c r="D10598" s="1">
        <v>0.2</v>
      </c>
      <c r="E10598" s="1">
        <v>23135.0</v>
      </c>
      <c r="F10598" s="10">
        <f t="shared" si="1"/>
        <v>0.6666666667</v>
      </c>
      <c r="G10598" s="10">
        <f t="array" ref="G10598">index('Player ID'!C:C,match(E10598,'Player ID'!B:B,0))</f>
        <v>674285</v>
      </c>
    </row>
    <row r="10599">
      <c r="A10599" s="76">
        <v>45836.0</v>
      </c>
      <c r="B10599" s="1" t="s">
        <v>385</v>
      </c>
      <c r="C10599" s="1" t="s">
        <v>25</v>
      </c>
      <c r="D10599" s="1">
        <v>1.0</v>
      </c>
      <c r="E10599" s="1">
        <v>25420.0</v>
      </c>
      <c r="F10599" s="10">
        <f t="shared" si="1"/>
        <v>1</v>
      </c>
      <c r="G10599" s="10">
        <f t="array" ref="G10599">index('Player ID'!C:C,match(E10599,'Player ID'!B:B,0))</f>
        <v>666171</v>
      </c>
    </row>
    <row r="10600">
      <c r="A10600" s="76">
        <v>45836.0</v>
      </c>
      <c r="B10600" s="1" t="s">
        <v>511</v>
      </c>
      <c r="C10600" s="1" t="s">
        <v>80</v>
      </c>
      <c r="D10600" s="1">
        <v>1.0</v>
      </c>
      <c r="E10600" s="1">
        <v>26215.0</v>
      </c>
      <c r="F10600" s="10">
        <f t="shared" si="1"/>
        <v>1</v>
      </c>
      <c r="G10600" s="10">
        <f t="array" ref="G10600">index('Player ID'!C:C,match(E10600,'Player ID'!B:B,0))</f>
        <v>671131</v>
      </c>
    </row>
    <row r="10601">
      <c r="A10601" s="76">
        <v>45836.0</v>
      </c>
      <c r="B10601" s="1" t="s">
        <v>24</v>
      </c>
      <c r="C10601" s="1" t="s">
        <v>25</v>
      </c>
      <c r="D10601" s="1">
        <v>1.0</v>
      </c>
      <c r="E10601" s="1">
        <v>27468.0</v>
      </c>
      <c r="F10601" s="10">
        <f t="shared" si="1"/>
        <v>1</v>
      </c>
      <c r="G10601" s="10">
        <f t="array" ref="G10601">index('Player ID'!C:C,match(E10601,'Player ID'!B:B,0))</f>
        <v>672282</v>
      </c>
    </row>
    <row r="10602">
      <c r="A10602" s="76">
        <v>45836.0</v>
      </c>
      <c r="B10602" s="1" t="s">
        <v>818</v>
      </c>
      <c r="C10602" s="1" t="s">
        <v>80</v>
      </c>
      <c r="D10602" s="1">
        <v>0.0</v>
      </c>
      <c r="E10602" s="1">
        <v>27783.0</v>
      </c>
      <c r="F10602" s="10">
        <f t="shared" si="1"/>
        <v>0</v>
      </c>
      <c r="G10602" s="10">
        <f t="array" ref="G10602">index('Player ID'!C:C,match(E10602,'Player ID'!B:B,0))</f>
        <v>694350</v>
      </c>
    </row>
    <row r="10603">
      <c r="A10603" s="76">
        <v>45836.0</v>
      </c>
      <c r="B10603" s="1" t="s">
        <v>771</v>
      </c>
      <c r="C10603" s="1" t="s">
        <v>80</v>
      </c>
      <c r="D10603" s="1">
        <v>0.1</v>
      </c>
      <c r="E10603" s="1">
        <v>29521.0</v>
      </c>
      <c r="F10603" s="10">
        <f t="shared" si="1"/>
        <v>0.3333333333</v>
      </c>
      <c r="G10603" s="10">
        <f t="array" ref="G10603">index('Player ID'!C:C,match(E10603,'Player ID'!B:B,0))</f>
        <v>702795</v>
      </c>
    </row>
    <row r="10604">
      <c r="A10604" s="76">
        <v>45836.0</v>
      </c>
      <c r="B10604" s="1" t="s">
        <v>877</v>
      </c>
      <c r="C10604" s="1" t="s">
        <v>25</v>
      </c>
      <c r="D10604" s="1">
        <v>1.0</v>
      </c>
      <c r="E10604" s="1">
        <v>29754.0</v>
      </c>
      <c r="F10604" s="10">
        <f t="shared" si="1"/>
        <v>1</v>
      </c>
      <c r="G10604" s="10" t="str">
        <f t="array" ref="G10604">index('Player ID'!C:C,match(E10604,'Player ID'!B:B,0))</f>
        <v>#N/A</v>
      </c>
    </row>
    <row r="10605">
      <c r="A10605" s="76">
        <v>45836.0</v>
      </c>
      <c r="B10605" s="1" t="s">
        <v>381</v>
      </c>
      <c r="C10605" s="1" t="s">
        <v>25</v>
      </c>
      <c r="D10605" s="1">
        <v>1.0</v>
      </c>
      <c r="E10605" s="1">
        <v>33908.0</v>
      </c>
      <c r="F10605" s="10">
        <f t="shared" si="1"/>
        <v>1</v>
      </c>
      <c r="G10605" s="10">
        <f t="array" ref="G10605">index('Player ID'!C:C,match(E10605,'Player ID'!B:B,0))</f>
        <v>820862</v>
      </c>
    </row>
    <row r="10606">
      <c r="A10606" s="76">
        <v>45837.0</v>
      </c>
      <c r="B10606" s="1" t="s">
        <v>141</v>
      </c>
      <c r="C10606" s="1" t="s">
        <v>70</v>
      </c>
      <c r="D10606" s="1">
        <v>0.1</v>
      </c>
      <c r="E10606" s="1">
        <v>19330.0</v>
      </c>
      <c r="F10606" s="10">
        <f t="shared" si="1"/>
        <v>0.3333333333</v>
      </c>
      <c r="G10606" s="10">
        <f t="array" ref="G10606">index('Player ID'!C:C,match(E10606,'Player ID'!B:B,0))</f>
        <v>670036</v>
      </c>
    </row>
    <row r="10607">
      <c r="A10607" s="76">
        <v>45837.0</v>
      </c>
      <c r="B10607" s="1" t="s">
        <v>193</v>
      </c>
      <c r="C10607" s="1" t="s">
        <v>72</v>
      </c>
      <c r="D10607" s="1">
        <v>1.0</v>
      </c>
      <c r="E10607" s="1">
        <v>19574.0</v>
      </c>
      <c r="F10607" s="10">
        <f t="shared" si="1"/>
        <v>1</v>
      </c>
      <c r="G10607" s="10">
        <f t="array" ref="G10607">index('Player ID'!C:C,match(E10607,'Player ID'!B:B,0))</f>
        <v>668941</v>
      </c>
    </row>
    <row r="10608">
      <c r="A10608" s="76">
        <v>45837.0</v>
      </c>
      <c r="B10608" s="1" t="s">
        <v>409</v>
      </c>
      <c r="C10608" s="1" t="s">
        <v>72</v>
      </c>
      <c r="D10608" s="1">
        <v>1.0</v>
      </c>
      <c r="E10608" s="1">
        <v>20348.0</v>
      </c>
      <c r="F10608" s="10">
        <f t="shared" si="1"/>
        <v>1</v>
      </c>
      <c r="G10608" s="10">
        <f t="array" ref="G10608">index('Player ID'!C:C,match(E10608,'Player ID'!B:B,0))</f>
        <v>676617</v>
      </c>
    </row>
    <row r="10609">
      <c r="A10609" s="76">
        <v>45837.0</v>
      </c>
      <c r="B10609" s="1" t="s">
        <v>132</v>
      </c>
      <c r="C10609" s="1" t="s">
        <v>70</v>
      </c>
      <c r="D10609" s="1">
        <v>1.0</v>
      </c>
      <c r="E10609" s="1">
        <v>21032.0</v>
      </c>
      <c r="F10609" s="10">
        <f t="shared" si="1"/>
        <v>1</v>
      </c>
      <c r="G10609" s="10">
        <f t="array" ref="G10609">index('Player ID'!C:C,match(E10609,'Player ID'!B:B,0))</f>
        <v>661403</v>
      </c>
    </row>
    <row r="10610">
      <c r="A10610" s="76">
        <v>45837.0</v>
      </c>
      <c r="B10610" s="1" t="s">
        <v>273</v>
      </c>
      <c r="C10610" s="1" t="s">
        <v>72</v>
      </c>
      <c r="D10610" s="1">
        <v>1.0</v>
      </c>
      <c r="E10610" s="1">
        <v>22051.0</v>
      </c>
      <c r="F10610" s="10">
        <f t="shared" si="1"/>
        <v>1</v>
      </c>
      <c r="G10610" s="10">
        <f t="array" ref="G10610">index('Player ID'!C:C,match(E10610,'Player ID'!B:B,0))</f>
        <v>667463</v>
      </c>
    </row>
    <row r="10611">
      <c r="A10611" s="76">
        <v>45837.0</v>
      </c>
      <c r="B10611" s="1" t="s">
        <v>290</v>
      </c>
      <c r="C10611" s="1" t="s">
        <v>72</v>
      </c>
      <c r="D10611" s="1">
        <v>6.0</v>
      </c>
      <c r="E10611" s="1">
        <v>22294.0</v>
      </c>
      <c r="F10611" s="10">
        <f t="shared" si="1"/>
        <v>6</v>
      </c>
      <c r="G10611" s="10">
        <f t="array" ref="G10611">index('Player ID'!C:C,match(E10611,'Player ID'!B:B,0))</f>
        <v>669461</v>
      </c>
    </row>
    <row r="10612">
      <c r="A10612" s="76">
        <v>45837.0</v>
      </c>
      <c r="B10612" s="1" t="s">
        <v>519</v>
      </c>
      <c r="C10612" s="1" t="s">
        <v>70</v>
      </c>
      <c r="D10612" s="1">
        <v>0.2</v>
      </c>
      <c r="E10612" s="1">
        <v>25139.0</v>
      </c>
      <c r="F10612" s="10">
        <f t="shared" si="1"/>
        <v>0.6666666667</v>
      </c>
      <c r="G10612" s="10">
        <f t="array" ref="G10612">index('Player ID'!C:C,match(E10612,'Player ID'!B:B,0))</f>
        <v>682120</v>
      </c>
    </row>
    <row r="10613">
      <c r="A10613" s="76">
        <v>45837.0</v>
      </c>
      <c r="B10613" s="1" t="s">
        <v>238</v>
      </c>
      <c r="C10613" s="1" t="s">
        <v>70</v>
      </c>
      <c r="D10613" s="1">
        <v>1.0</v>
      </c>
      <c r="E10613" s="1">
        <v>25636.0</v>
      </c>
      <c r="F10613" s="10">
        <f t="shared" si="1"/>
        <v>1</v>
      </c>
      <c r="G10613" s="10">
        <f t="array" ref="G10613">index('Player ID'!C:C,match(E10613,'Player ID'!B:B,0))</f>
        <v>683769</v>
      </c>
    </row>
    <row r="10614">
      <c r="A10614" s="76">
        <v>45837.0</v>
      </c>
      <c r="B10614" s="1" t="s">
        <v>372</v>
      </c>
      <c r="C10614" s="1" t="s">
        <v>70</v>
      </c>
      <c r="D10614" s="1">
        <v>6.0</v>
      </c>
      <c r="E10614" s="1">
        <v>27589.0</v>
      </c>
      <c r="F10614" s="10">
        <f t="shared" si="1"/>
        <v>6</v>
      </c>
      <c r="G10614" s="10">
        <f t="array" ref="G10614">index('Player ID'!C:C,match(E10614,'Player ID'!B:B,0))</f>
        <v>671106</v>
      </c>
    </row>
    <row r="10615">
      <c r="A10615" s="76">
        <v>45837.0</v>
      </c>
      <c r="B10615" s="1" t="s">
        <v>294</v>
      </c>
      <c r="C10615" s="1" t="s">
        <v>68</v>
      </c>
      <c r="D10615" s="1">
        <v>7.0</v>
      </c>
      <c r="E10615" s="1">
        <v>19350.0</v>
      </c>
      <c r="F10615" s="10">
        <f t="shared" si="1"/>
        <v>7</v>
      </c>
      <c r="G10615" s="10">
        <f t="array" ref="G10615">index('Player ID'!C:C,match(E10615,'Player ID'!B:B,0))</f>
        <v>665152</v>
      </c>
    </row>
    <row r="10616">
      <c r="A10616" s="76">
        <v>45837.0</v>
      </c>
      <c r="B10616" s="1" t="s">
        <v>231</v>
      </c>
      <c r="C10616" s="1" t="s">
        <v>68</v>
      </c>
      <c r="D10616" s="1">
        <v>1.0</v>
      </c>
      <c r="E10616" s="1">
        <v>19362.0</v>
      </c>
      <c r="F10616" s="10">
        <f t="shared" si="1"/>
        <v>1</v>
      </c>
      <c r="G10616" s="10">
        <f t="array" ref="G10616">index('Player ID'!C:C,match(E10616,'Player ID'!B:B,0))</f>
        <v>669211</v>
      </c>
    </row>
    <row r="10617">
      <c r="A10617" s="76">
        <v>45837.0</v>
      </c>
      <c r="B10617" s="1" t="s">
        <v>698</v>
      </c>
      <c r="C10617" s="1" t="s">
        <v>68</v>
      </c>
      <c r="D10617" s="1">
        <v>1.0</v>
      </c>
      <c r="E10617" s="1">
        <v>20666.0</v>
      </c>
      <c r="F10617" s="10">
        <f t="shared" si="1"/>
        <v>1</v>
      </c>
      <c r="G10617" s="10">
        <f t="array" ref="G10617">index('Player ID'!C:C,match(E10617,'Player ID'!B:B,0))</f>
        <v>642585</v>
      </c>
    </row>
    <row r="10618">
      <c r="A10618" s="76">
        <v>45837.0</v>
      </c>
      <c r="B10618" s="1" t="s">
        <v>413</v>
      </c>
      <c r="C10618" s="1" t="s">
        <v>54</v>
      </c>
      <c r="D10618" s="1">
        <v>5.1</v>
      </c>
      <c r="E10618" s="1">
        <v>22543.0</v>
      </c>
      <c r="F10618" s="10">
        <f t="shared" si="1"/>
        <v>5.333333333</v>
      </c>
      <c r="G10618" s="10">
        <f t="array" ref="G10618">index('Player ID'!C:C,match(E10618,'Player ID'!B:B,0))</f>
        <v>671737</v>
      </c>
    </row>
    <row r="10619">
      <c r="A10619" s="76">
        <v>45837.0</v>
      </c>
      <c r="B10619" s="1" t="s">
        <v>110</v>
      </c>
      <c r="C10619" s="1" t="s">
        <v>54</v>
      </c>
      <c r="D10619" s="1">
        <v>1.0</v>
      </c>
      <c r="E10619" s="1">
        <v>25679.0</v>
      </c>
      <c r="F10619" s="10">
        <f t="shared" si="1"/>
        <v>1</v>
      </c>
      <c r="G10619" s="10">
        <f t="array" ref="G10619">index('Player ID'!C:C,match(E10619,'Player ID'!B:B,0))</f>
        <v>687330</v>
      </c>
    </row>
    <row r="10620">
      <c r="A10620" s="76">
        <v>45837.0</v>
      </c>
      <c r="B10620" s="1" t="s">
        <v>257</v>
      </c>
      <c r="C10620" s="1" t="s">
        <v>54</v>
      </c>
      <c r="D10620" s="1">
        <v>1.2</v>
      </c>
      <c r="E10620" s="1">
        <v>27626.0</v>
      </c>
      <c r="F10620" s="10">
        <f t="shared" si="1"/>
        <v>1.666666667</v>
      </c>
      <c r="G10620" s="10">
        <f t="array" ref="G10620">index('Player ID'!C:C,match(E10620,'Player ID'!B:B,0))</f>
        <v>679358</v>
      </c>
    </row>
    <row r="10621">
      <c r="A10621" s="76">
        <v>45837.0</v>
      </c>
      <c r="B10621" s="1" t="s">
        <v>904</v>
      </c>
      <c r="C10621" s="1" t="s">
        <v>51</v>
      </c>
      <c r="D10621" s="1">
        <v>1.0</v>
      </c>
      <c r="E10621" s="1">
        <v>13768.0</v>
      </c>
      <c r="F10621" s="10">
        <f t="shared" si="1"/>
        <v>1</v>
      </c>
      <c r="G10621" s="10" t="str">
        <f t="array" ref="G10621">index('Player ID'!C:C,match(E10621,'Player ID'!B:B,0))</f>
        <v>#N/A</v>
      </c>
    </row>
    <row r="10622">
      <c r="A10622" s="76">
        <v>45837.0</v>
      </c>
      <c r="B10622" s="1" t="s">
        <v>379</v>
      </c>
      <c r="C10622" s="1" t="s">
        <v>51</v>
      </c>
      <c r="D10622" s="1">
        <v>4.0</v>
      </c>
      <c r="E10622" s="1">
        <v>14309.0</v>
      </c>
      <c r="F10622" s="10">
        <f t="shared" si="1"/>
        <v>4</v>
      </c>
      <c r="G10622" s="10">
        <f t="array" ref="G10622">index('Player ID'!C:C,match(E10622,'Player ID'!B:B,0))</f>
        <v>593423</v>
      </c>
    </row>
    <row r="10623">
      <c r="A10623" s="76">
        <v>45837.0</v>
      </c>
      <c r="B10623" s="1" t="s">
        <v>825</v>
      </c>
      <c r="C10623" s="1" t="s">
        <v>60</v>
      </c>
      <c r="D10623" s="1">
        <v>1.0</v>
      </c>
      <c r="E10623" s="1">
        <v>17490.0</v>
      </c>
      <c r="F10623" s="10">
        <f t="shared" si="1"/>
        <v>1</v>
      </c>
      <c r="G10623" s="10">
        <f t="array" ref="G10623">index('Player ID'!C:C,match(E10623,'Player ID'!B:B,0))</f>
        <v>650893</v>
      </c>
    </row>
    <row r="10624">
      <c r="A10624" s="76">
        <v>45837.0</v>
      </c>
      <c r="B10624" s="1" t="s">
        <v>640</v>
      </c>
      <c r="C10624" s="1" t="s">
        <v>51</v>
      </c>
      <c r="D10624" s="1">
        <v>2.0</v>
      </c>
      <c r="E10624" s="1">
        <v>19337.0</v>
      </c>
      <c r="F10624" s="10">
        <f t="shared" si="1"/>
        <v>2</v>
      </c>
      <c r="G10624" s="10">
        <f t="array" ref="G10624">index('Player ID'!C:C,match(E10624,'Player ID'!B:B,0))</f>
        <v>663992</v>
      </c>
    </row>
    <row r="10625">
      <c r="A10625" s="76">
        <v>45837.0</v>
      </c>
      <c r="B10625" s="1" t="s">
        <v>829</v>
      </c>
      <c r="C10625" s="1" t="s">
        <v>51</v>
      </c>
      <c r="D10625" s="1">
        <v>1.0</v>
      </c>
      <c r="E10625" s="1">
        <v>23055.0</v>
      </c>
      <c r="F10625" s="10">
        <f t="shared" si="1"/>
        <v>1</v>
      </c>
      <c r="G10625" s="10">
        <f t="array" ref="G10625">index('Player ID'!C:C,match(E10625,'Player ID'!B:B,0))</f>
        <v>673380</v>
      </c>
    </row>
    <row r="10626">
      <c r="A10626" s="76">
        <v>45837.0</v>
      </c>
      <c r="B10626" s="1" t="s">
        <v>320</v>
      </c>
      <c r="C10626" s="1" t="s">
        <v>60</v>
      </c>
      <c r="D10626" s="1">
        <v>4.1</v>
      </c>
      <c r="E10626" s="1">
        <v>24728.0</v>
      </c>
      <c r="F10626" s="10">
        <f t="shared" si="1"/>
        <v>4.333333333</v>
      </c>
      <c r="G10626" s="10">
        <f t="array" ref="G10626">index('Player ID'!C:C,match(E10626,'Player ID'!B:B,0))</f>
        <v>681347</v>
      </c>
    </row>
    <row r="10627">
      <c r="A10627" s="76">
        <v>45837.0</v>
      </c>
      <c r="B10627" s="1" t="s">
        <v>267</v>
      </c>
      <c r="C10627" s="1" t="s">
        <v>60</v>
      </c>
      <c r="D10627" s="1">
        <v>3.2</v>
      </c>
      <c r="E10627" s="1">
        <v>27572.0</v>
      </c>
      <c r="F10627" s="10">
        <f t="shared" si="1"/>
        <v>3.666666667</v>
      </c>
      <c r="G10627" s="10">
        <f t="array" ref="G10627">index('Player ID'!C:C,match(E10627,'Player ID'!B:B,0))</f>
        <v>669387</v>
      </c>
    </row>
    <row r="10628">
      <c r="A10628" s="76">
        <v>45837.0</v>
      </c>
      <c r="B10628" s="1" t="s">
        <v>41</v>
      </c>
      <c r="C10628" s="1" t="s">
        <v>22</v>
      </c>
      <c r="D10628" s="1">
        <v>1.0</v>
      </c>
      <c r="E10628" s="1">
        <v>10233.0</v>
      </c>
      <c r="F10628" s="10">
        <f t="shared" si="1"/>
        <v>1</v>
      </c>
      <c r="G10628" s="10">
        <f t="array" ref="G10628">index('Player ID'!C:C,match(E10628,'Player ID'!B:B,0))</f>
        <v>547973</v>
      </c>
    </row>
    <row r="10629">
      <c r="A10629" s="76">
        <v>45837.0</v>
      </c>
      <c r="B10629" s="1" t="s">
        <v>493</v>
      </c>
      <c r="C10629" s="1" t="s">
        <v>22</v>
      </c>
      <c r="D10629" s="1">
        <v>1.0</v>
      </c>
      <c r="E10629" s="1">
        <v>16835.0</v>
      </c>
      <c r="F10629" s="10">
        <f t="shared" si="1"/>
        <v>1</v>
      </c>
      <c r="G10629" s="10">
        <f t="array" ref="G10629">index('Player ID'!C:C,match(E10629,'Player ID'!B:B,0))</f>
        <v>657514</v>
      </c>
    </row>
    <row r="10630">
      <c r="A10630" s="76">
        <v>45837.0</v>
      </c>
      <c r="B10630" s="1" t="s">
        <v>311</v>
      </c>
      <c r="C10630" s="1" t="s">
        <v>40</v>
      </c>
      <c r="D10630" s="1">
        <v>1.0</v>
      </c>
      <c r="E10630" s="1">
        <v>17432.0</v>
      </c>
      <c r="F10630" s="10">
        <f t="shared" si="1"/>
        <v>1</v>
      </c>
      <c r="G10630" s="10">
        <f t="array" ref="G10630">index('Player ID'!C:C,match(E10630,'Player ID'!B:B,0))</f>
        <v>656546</v>
      </c>
    </row>
    <row r="10631">
      <c r="A10631" s="76">
        <v>45837.0</v>
      </c>
      <c r="B10631" s="1" t="s">
        <v>332</v>
      </c>
      <c r="C10631" s="1" t="s">
        <v>40</v>
      </c>
      <c r="D10631" s="1">
        <v>4.1</v>
      </c>
      <c r="E10631" s="1">
        <v>19316.0</v>
      </c>
      <c r="F10631" s="10">
        <f t="shared" si="1"/>
        <v>4.333333333</v>
      </c>
      <c r="G10631" s="10">
        <f t="array" ref="G10631">index('Player ID'!C:C,match(E10631,'Player ID'!B:B,0))</f>
        <v>641778</v>
      </c>
    </row>
    <row r="10632">
      <c r="A10632" s="76">
        <v>45837.0</v>
      </c>
      <c r="B10632" s="1" t="s">
        <v>405</v>
      </c>
      <c r="C10632" s="1" t="s">
        <v>22</v>
      </c>
      <c r="D10632" s="1">
        <v>4.0</v>
      </c>
      <c r="E10632" s="1">
        <v>19374.0</v>
      </c>
      <c r="F10632" s="10">
        <f t="shared" si="1"/>
        <v>4</v>
      </c>
      <c r="G10632" s="10">
        <f t="array" ref="G10632">index('Player ID'!C:C,match(E10632,'Player ID'!B:B,0))</f>
        <v>621111</v>
      </c>
    </row>
    <row r="10633">
      <c r="A10633" s="76">
        <v>45837.0</v>
      </c>
      <c r="B10633" s="1" t="s">
        <v>250</v>
      </c>
      <c r="C10633" s="1" t="s">
        <v>22</v>
      </c>
      <c r="D10633" s="1">
        <v>1.0</v>
      </c>
      <c r="E10633" s="1">
        <v>20191.0</v>
      </c>
      <c r="F10633" s="10">
        <f t="shared" si="1"/>
        <v>1</v>
      </c>
      <c r="G10633" s="10">
        <f t="array" ref="G10633">index('Player ID'!C:C,match(E10633,'Player ID'!B:B,0))</f>
        <v>676477</v>
      </c>
    </row>
    <row r="10634">
      <c r="A10634" s="76">
        <v>45837.0</v>
      </c>
      <c r="B10634" s="1" t="s">
        <v>134</v>
      </c>
      <c r="C10634" s="1" t="s">
        <v>22</v>
      </c>
      <c r="D10634" s="1">
        <v>1.0</v>
      </c>
      <c r="E10634" s="1">
        <v>20349.0</v>
      </c>
      <c r="F10634" s="10">
        <f t="shared" si="1"/>
        <v>1</v>
      </c>
      <c r="G10634" s="10">
        <f t="array" ref="G10634">index('Player ID'!C:C,match(E10634,'Player ID'!B:B,0))</f>
        <v>677161</v>
      </c>
    </row>
    <row r="10635">
      <c r="A10635" s="76">
        <v>45837.0</v>
      </c>
      <c r="B10635" s="1" t="s">
        <v>406</v>
      </c>
      <c r="C10635" s="1" t="s">
        <v>22</v>
      </c>
      <c r="D10635" s="1">
        <v>1.0</v>
      </c>
      <c r="E10635" s="1">
        <v>20375.0</v>
      </c>
      <c r="F10635" s="10">
        <f t="shared" si="1"/>
        <v>1</v>
      </c>
      <c r="G10635" s="10">
        <f t="array" ref="G10635">index('Player ID'!C:C,match(E10635,'Player ID'!B:B,0))</f>
        <v>669711</v>
      </c>
    </row>
    <row r="10636">
      <c r="A10636" s="76">
        <v>45837.0</v>
      </c>
      <c r="B10636" s="1" t="s">
        <v>641</v>
      </c>
      <c r="C10636" s="1" t="s">
        <v>40</v>
      </c>
      <c r="D10636" s="1">
        <v>1.0</v>
      </c>
      <c r="E10636" s="1">
        <v>20517.0</v>
      </c>
      <c r="F10636" s="10">
        <f t="shared" si="1"/>
        <v>1</v>
      </c>
      <c r="G10636" s="10">
        <f t="array" ref="G10636">index('Player ID'!C:C,match(E10636,'Player ID'!B:B,0))</f>
        <v>680704</v>
      </c>
    </row>
    <row r="10637">
      <c r="A10637" s="76">
        <v>45837.0</v>
      </c>
      <c r="B10637" s="1" t="s">
        <v>395</v>
      </c>
      <c r="C10637" s="1" t="s">
        <v>40</v>
      </c>
      <c r="D10637" s="1">
        <v>1.0</v>
      </c>
      <c r="E10637" s="1">
        <v>21574.0</v>
      </c>
      <c r="F10637" s="10">
        <f t="shared" si="1"/>
        <v>1</v>
      </c>
      <c r="G10637" s="10">
        <f t="array" ref="G10637">index('Player ID'!C:C,match(E10637,'Player ID'!B:B,0))</f>
        <v>663893</v>
      </c>
    </row>
    <row r="10638">
      <c r="A10638" s="76">
        <v>45837.0</v>
      </c>
      <c r="B10638" s="1" t="s">
        <v>427</v>
      </c>
      <c r="C10638" s="1" t="s">
        <v>40</v>
      </c>
      <c r="D10638" s="1">
        <v>1.2</v>
      </c>
      <c r="E10638" s="1">
        <v>33838.0</v>
      </c>
      <c r="F10638" s="10">
        <f t="shared" si="1"/>
        <v>1.666666667</v>
      </c>
      <c r="G10638" s="10">
        <f t="array" ref="G10638">index('Player ID'!C:C,match(E10638,'Player ID'!B:B,0))</f>
        <v>684320</v>
      </c>
    </row>
    <row r="10639">
      <c r="A10639" s="76">
        <v>45837.0</v>
      </c>
      <c r="B10639" s="1" t="s">
        <v>182</v>
      </c>
      <c r="C10639" s="1" t="s">
        <v>45</v>
      </c>
      <c r="D10639" s="1">
        <v>1.0</v>
      </c>
      <c r="E10639" s="1">
        <v>13799.0</v>
      </c>
      <c r="F10639" s="10">
        <f t="shared" si="1"/>
        <v>1</v>
      </c>
      <c r="G10639" s="10">
        <f t="array" ref="G10639">index('Player ID'!C:C,match(E10639,'Player ID'!B:B,0))</f>
        <v>621381</v>
      </c>
    </row>
    <row r="10640">
      <c r="A10640" s="76">
        <v>45837.0</v>
      </c>
      <c r="B10640" s="1" t="s">
        <v>184</v>
      </c>
      <c r="C10640" s="1" t="s">
        <v>46</v>
      </c>
      <c r="D10640" s="1">
        <v>1.0</v>
      </c>
      <c r="E10640" s="1">
        <v>17130.0</v>
      </c>
      <c r="F10640" s="10">
        <f t="shared" si="1"/>
        <v>1</v>
      </c>
      <c r="G10640" s="10">
        <f t="array" ref="G10640">index('Player ID'!C:C,match(E10640,'Player ID'!B:B,0))</f>
        <v>628452</v>
      </c>
    </row>
    <row r="10641">
      <c r="A10641" s="76">
        <v>45837.0</v>
      </c>
      <c r="B10641" s="1" t="s">
        <v>827</v>
      </c>
      <c r="C10641" s="1" t="s">
        <v>45</v>
      </c>
      <c r="D10641" s="1">
        <v>7.0</v>
      </c>
      <c r="E10641" s="1">
        <v>17277.0</v>
      </c>
      <c r="F10641" s="10">
        <f t="shared" si="1"/>
        <v>7</v>
      </c>
      <c r="G10641" s="10">
        <f t="array" ref="G10641">index('Player ID'!C:C,match(E10641,'Player ID'!B:B,0))</f>
        <v>624133</v>
      </c>
    </row>
    <row r="10642">
      <c r="A10642" s="76">
        <v>45837.0</v>
      </c>
      <c r="B10642" s="1" t="s">
        <v>91</v>
      </c>
      <c r="C10642" s="1" t="s">
        <v>46</v>
      </c>
      <c r="D10642" s="1">
        <v>1.0</v>
      </c>
      <c r="E10642" s="1">
        <v>19996.0</v>
      </c>
      <c r="F10642" s="10">
        <f t="shared" si="1"/>
        <v>1</v>
      </c>
      <c r="G10642" s="10">
        <f t="array" ref="G10642">index('Player ID'!C:C,match(E10642,'Player ID'!B:B,0))</f>
        <v>669276</v>
      </c>
    </row>
    <row r="10643">
      <c r="A10643" s="76">
        <v>45837.0</v>
      </c>
      <c r="B10643" s="1" t="s">
        <v>472</v>
      </c>
      <c r="C10643" s="1" t="s">
        <v>46</v>
      </c>
      <c r="D10643" s="1">
        <v>7.0</v>
      </c>
      <c r="E10643" s="1">
        <v>27498.0</v>
      </c>
      <c r="F10643" s="10">
        <f t="shared" si="1"/>
        <v>7</v>
      </c>
      <c r="G10643" s="10">
        <f t="array" ref="G10643">index('Player ID'!C:C,match(E10643,'Player ID'!B:B,0))</f>
        <v>675911</v>
      </c>
    </row>
    <row r="10644">
      <c r="A10644" s="76">
        <v>45837.0</v>
      </c>
      <c r="B10644" s="1" t="s">
        <v>165</v>
      </c>
      <c r="C10644" s="1" t="s">
        <v>45</v>
      </c>
      <c r="D10644" s="1">
        <v>1.0</v>
      </c>
      <c r="E10644" s="1">
        <v>31776.0</v>
      </c>
      <c r="F10644" s="10">
        <f t="shared" si="1"/>
        <v>1</v>
      </c>
      <c r="G10644" s="10">
        <f t="array" ref="G10644">index('Player ID'!C:C,match(E10644,'Player ID'!B:B,0))</f>
        <v>689147</v>
      </c>
    </row>
    <row r="10645">
      <c r="A10645" s="76">
        <v>45837.0</v>
      </c>
      <c r="B10645" s="1" t="s">
        <v>436</v>
      </c>
      <c r="C10645" s="1" t="s">
        <v>52</v>
      </c>
      <c r="D10645" s="1">
        <v>1.0</v>
      </c>
      <c r="E10645" s="1">
        <v>12791.0</v>
      </c>
      <c r="F10645" s="10">
        <f t="shared" si="1"/>
        <v>1</v>
      </c>
      <c r="G10645" s="10" t="str">
        <f t="array" ref="G10645">index('Player ID'!C:C,match(E10645,'Player ID'!B:B,0))</f>
        <v>#N/A</v>
      </c>
    </row>
    <row r="10646">
      <c r="A10646" s="76">
        <v>45837.0</v>
      </c>
      <c r="B10646" s="1" t="s">
        <v>383</v>
      </c>
      <c r="C10646" s="1" t="s">
        <v>58</v>
      </c>
      <c r="D10646" s="1">
        <v>5.0</v>
      </c>
      <c r="E10646" s="1">
        <v>13431.0</v>
      </c>
      <c r="F10646" s="10">
        <f t="shared" si="1"/>
        <v>5</v>
      </c>
      <c r="G10646" s="10">
        <f t="array" ref="G10646">index('Player ID'!C:C,match(E10646,'Player ID'!B:B,0))</f>
        <v>573186</v>
      </c>
    </row>
    <row r="10647">
      <c r="A10647" s="76">
        <v>45837.0</v>
      </c>
      <c r="B10647" s="1" t="s">
        <v>281</v>
      </c>
      <c r="C10647" s="1" t="s">
        <v>52</v>
      </c>
      <c r="D10647" s="1">
        <v>3.2</v>
      </c>
      <c r="E10647" s="1">
        <v>15890.0</v>
      </c>
      <c r="F10647" s="10">
        <f t="shared" si="1"/>
        <v>3.666666667</v>
      </c>
      <c r="G10647" s="10">
        <f t="array" ref="G10647">index('Player ID'!C:C,match(E10647,'Player ID'!B:B,0))</f>
        <v>622663</v>
      </c>
    </row>
    <row r="10648">
      <c r="A10648" s="76">
        <v>45837.0</v>
      </c>
      <c r="B10648" s="1" t="s">
        <v>69</v>
      </c>
      <c r="C10648" s="1" t="s">
        <v>58</v>
      </c>
      <c r="D10648" s="1">
        <v>1.0</v>
      </c>
      <c r="E10648" s="1">
        <v>16814.0</v>
      </c>
      <c r="F10648" s="10">
        <f t="shared" si="1"/>
        <v>1</v>
      </c>
      <c r="G10648" s="10">
        <f t="array" ref="G10648">index('Player ID'!C:C,match(E10648,'Player ID'!B:B,0))</f>
        <v>657612</v>
      </c>
    </row>
    <row r="10649">
      <c r="A10649" s="76">
        <v>45837.0</v>
      </c>
      <c r="B10649" s="1" t="s">
        <v>225</v>
      </c>
      <c r="C10649" s="1" t="s">
        <v>58</v>
      </c>
      <c r="D10649" s="1">
        <v>1.0</v>
      </c>
      <c r="E10649" s="1">
        <v>16918.0</v>
      </c>
      <c r="F10649" s="10">
        <f t="shared" si="1"/>
        <v>1</v>
      </c>
      <c r="G10649" s="10">
        <f t="array" ref="G10649">index('Player ID'!C:C,match(E10649,'Player ID'!B:B,0))</f>
        <v>596133</v>
      </c>
    </row>
    <row r="10650">
      <c r="A10650" s="76">
        <v>45837.0</v>
      </c>
      <c r="B10650" s="1" t="s">
        <v>594</v>
      </c>
      <c r="C10650" s="1" t="s">
        <v>58</v>
      </c>
      <c r="D10650" s="1">
        <v>0.1</v>
      </c>
      <c r="E10650" s="1">
        <v>17578.0</v>
      </c>
      <c r="F10650" s="10">
        <f t="shared" si="1"/>
        <v>0.3333333333</v>
      </c>
      <c r="G10650" s="10" t="str">
        <f t="array" ref="G10650">index('Player ID'!C:C,match(E10650,'Player ID'!B:B,0))</f>
        <v>#N/A</v>
      </c>
    </row>
    <row r="10651">
      <c r="A10651" s="76">
        <v>45837.0</v>
      </c>
      <c r="B10651" s="1" t="s">
        <v>520</v>
      </c>
      <c r="C10651" s="1" t="s">
        <v>58</v>
      </c>
      <c r="D10651" s="1">
        <v>1.0</v>
      </c>
      <c r="E10651" s="1">
        <v>19261.0</v>
      </c>
      <c r="F10651" s="10">
        <f t="shared" si="1"/>
        <v>1</v>
      </c>
      <c r="G10651" s="10">
        <f t="array" ref="G10651">index('Player ID'!C:C,match(E10651,'Player ID'!B:B,0))</f>
        <v>641656</v>
      </c>
    </row>
    <row r="10652">
      <c r="A10652" s="76">
        <v>45837.0</v>
      </c>
      <c r="B10652" s="1" t="s">
        <v>505</v>
      </c>
      <c r="C10652" s="1" t="s">
        <v>52</v>
      </c>
      <c r="D10652" s="1">
        <v>1.1</v>
      </c>
      <c r="E10652" s="1">
        <v>19481.0</v>
      </c>
      <c r="F10652" s="10">
        <f t="shared" si="1"/>
        <v>1.333333333</v>
      </c>
      <c r="G10652" s="10">
        <f t="array" ref="G10652">index('Player ID'!C:C,match(E10652,'Player ID'!B:B,0))</f>
        <v>621053</v>
      </c>
    </row>
    <row r="10653">
      <c r="A10653" s="76">
        <v>45837.0</v>
      </c>
      <c r="B10653" s="1" t="s">
        <v>831</v>
      </c>
      <c r="C10653" s="1" t="s">
        <v>58</v>
      </c>
      <c r="D10653" s="1">
        <v>0.2</v>
      </c>
      <c r="E10653" s="1">
        <v>19753.0</v>
      </c>
      <c r="F10653" s="10">
        <f t="shared" si="1"/>
        <v>0.6666666667</v>
      </c>
      <c r="G10653" s="10">
        <f t="array" ref="G10653">index('Player ID'!C:C,match(E10653,'Player ID'!B:B,0))</f>
        <v>642528</v>
      </c>
    </row>
    <row r="10654">
      <c r="A10654" s="76">
        <v>45837.0</v>
      </c>
      <c r="B10654" s="1" t="s">
        <v>227</v>
      </c>
      <c r="C10654" s="1" t="s">
        <v>52</v>
      </c>
      <c r="D10654" s="1">
        <v>1.0</v>
      </c>
      <c r="E10654" s="1">
        <v>21520.0</v>
      </c>
      <c r="F10654" s="10">
        <f t="shared" si="1"/>
        <v>1</v>
      </c>
      <c r="G10654" s="10">
        <f t="array" ref="G10654">index('Player ID'!C:C,match(E10654,'Player ID'!B:B,0))</f>
        <v>663687</v>
      </c>
    </row>
    <row r="10655">
      <c r="A10655" s="76">
        <v>45837.0</v>
      </c>
      <c r="B10655" s="1" t="s">
        <v>471</v>
      </c>
      <c r="C10655" s="1" t="s">
        <v>52</v>
      </c>
      <c r="D10655" s="1">
        <v>1.0</v>
      </c>
      <c r="E10655" s="1">
        <v>21662.0</v>
      </c>
      <c r="F10655" s="10">
        <f t="shared" si="1"/>
        <v>1</v>
      </c>
      <c r="G10655" s="10">
        <f t="array" ref="G10655">index('Player ID'!C:C,match(E10655,'Player ID'!B:B,0))</f>
        <v>665660</v>
      </c>
    </row>
    <row r="10656">
      <c r="A10656" s="76">
        <v>45837.0</v>
      </c>
      <c r="B10656" s="1" t="s">
        <v>342</v>
      </c>
      <c r="C10656" s="1" t="s">
        <v>26</v>
      </c>
      <c r="D10656" s="1">
        <v>1.0</v>
      </c>
      <c r="E10656" s="1">
        <v>11861.0</v>
      </c>
      <c r="F10656" s="10">
        <f t="shared" si="1"/>
        <v>1</v>
      </c>
      <c r="G10656" s="10">
        <f t="array" ref="G10656">index('Player ID'!C:C,match(E10656,'Player ID'!B:B,0))</f>
        <v>592094</v>
      </c>
    </row>
    <row r="10657">
      <c r="A10657" s="76">
        <v>45837.0</v>
      </c>
      <c r="B10657" s="1" t="s">
        <v>362</v>
      </c>
      <c r="C10657" s="1" t="s">
        <v>66</v>
      </c>
      <c r="D10657" s="1">
        <v>1.0</v>
      </c>
      <c r="E10657" s="1">
        <v>13449.0</v>
      </c>
      <c r="F10657" s="10">
        <f t="shared" si="1"/>
        <v>1</v>
      </c>
      <c r="G10657" s="10">
        <f t="array" ref="G10657">index('Player ID'!C:C,match(E10657,'Player ID'!B:B,0))</f>
        <v>573124</v>
      </c>
    </row>
    <row r="10658">
      <c r="A10658" s="76">
        <v>45837.0</v>
      </c>
      <c r="B10658" s="1" t="s">
        <v>651</v>
      </c>
      <c r="C10658" s="1" t="s">
        <v>66</v>
      </c>
      <c r="D10658" s="1">
        <v>1.0</v>
      </c>
      <c r="E10658" s="1">
        <v>14771.0</v>
      </c>
      <c r="F10658" s="10">
        <f t="shared" si="1"/>
        <v>1</v>
      </c>
      <c r="G10658" s="10">
        <f t="array" ref="G10658">index('Player ID'!C:C,match(E10658,'Player ID'!B:B,0))</f>
        <v>641941</v>
      </c>
    </row>
    <row r="10659">
      <c r="A10659" s="76">
        <v>45837.0</v>
      </c>
      <c r="B10659" s="1" t="s">
        <v>475</v>
      </c>
      <c r="C10659" s="1" t="s">
        <v>66</v>
      </c>
      <c r="D10659" s="1">
        <v>0.2</v>
      </c>
      <c r="E10659" s="1">
        <v>14993.0</v>
      </c>
      <c r="F10659" s="10">
        <f t="shared" si="1"/>
        <v>0.6666666667</v>
      </c>
      <c r="G10659" s="10">
        <f t="array" ref="G10659">index('Player ID'!C:C,match(E10659,'Player ID'!B:B,0))</f>
        <v>605130</v>
      </c>
    </row>
    <row r="10660">
      <c r="A10660" s="76">
        <v>45837.0</v>
      </c>
      <c r="B10660" s="1" t="s">
        <v>345</v>
      </c>
      <c r="C10660" s="1" t="s">
        <v>66</v>
      </c>
      <c r="D10660" s="1">
        <v>0.2</v>
      </c>
      <c r="E10660" s="1">
        <v>19926.0</v>
      </c>
      <c r="F10660" s="10">
        <f t="shared" si="1"/>
        <v>0.6666666667</v>
      </c>
      <c r="G10660" s="10">
        <f t="array" ref="G10660">index('Player ID'!C:C,match(E10660,'Player ID'!B:B,0))</f>
        <v>663574</v>
      </c>
    </row>
    <row r="10661">
      <c r="A10661" s="76">
        <v>45837.0</v>
      </c>
      <c r="B10661" s="1" t="s">
        <v>49</v>
      </c>
      <c r="C10661" s="1" t="s">
        <v>26</v>
      </c>
      <c r="D10661" s="1">
        <v>0.1</v>
      </c>
      <c r="E10661" s="1">
        <v>20039.0</v>
      </c>
      <c r="F10661" s="10">
        <f t="shared" si="1"/>
        <v>0.3333333333</v>
      </c>
      <c r="G10661" s="10">
        <f t="array" ref="G10661">index('Player ID'!C:C,match(E10661,'Player ID'!B:B,0))</f>
        <v>670970</v>
      </c>
    </row>
    <row r="10662">
      <c r="A10662" s="76">
        <v>45837.0</v>
      </c>
      <c r="B10662" s="1" t="s">
        <v>179</v>
      </c>
      <c r="C10662" s="1" t="s">
        <v>26</v>
      </c>
      <c r="D10662" s="1">
        <v>5.2</v>
      </c>
      <c r="E10662" s="1">
        <v>21487.0</v>
      </c>
      <c r="F10662" s="10">
        <f t="shared" si="1"/>
        <v>5.666666667</v>
      </c>
      <c r="G10662" s="10">
        <f t="array" ref="G10662">index('Player ID'!C:C,match(E10662,'Player ID'!B:B,0))</f>
        <v>663568</v>
      </c>
    </row>
    <row r="10663">
      <c r="A10663" s="76">
        <v>45837.0</v>
      </c>
      <c r="B10663" s="1" t="s">
        <v>94</v>
      </c>
      <c r="C10663" s="1" t="s">
        <v>26</v>
      </c>
      <c r="D10663" s="1">
        <v>1.0</v>
      </c>
      <c r="E10663" s="1">
        <v>22210.0</v>
      </c>
      <c r="F10663" s="10">
        <f t="shared" si="1"/>
        <v>1</v>
      </c>
      <c r="G10663" s="10">
        <f t="array" ref="G10663">index('Player ID'!C:C,match(E10663,'Player ID'!B:B,0))</f>
        <v>669093</v>
      </c>
    </row>
    <row r="10664">
      <c r="A10664" s="76">
        <v>45837.0</v>
      </c>
      <c r="B10664" s="1" t="s">
        <v>518</v>
      </c>
      <c r="C10664" s="1" t="s">
        <v>66</v>
      </c>
      <c r="D10664" s="1">
        <v>0.1</v>
      </c>
      <c r="E10664" s="1">
        <v>24581.0</v>
      </c>
      <c r="F10664" s="10">
        <f t="shared" si="1"/>
        <v>0.3333333333</v>
      </c>
      <c r="G10664" s="10">
        <f t="array" ref="G10664">index('Player ID'!C:C,match(E10664,'Player ID'!B:B,0))</f>
        <v>680689</v>
      </c>
    </row>
    <row r="10665">
      <c r="A10665" s="76">
        <v>45837.0</v>
      </c>
      <c r="B10665" s="1" t="s">
        <v>194</v>
      </c>
      <c r="C10665" s="1" t="s">
        <v>66</v>
      </c>
      <c r="D10665" s="1">
        <v>5.1</v>
      </c>
      <c r="E10665" s="1">
        <v>26378.0</v>
      </c>
      <c r="F10665" s="10">
        <f t="shared" si="1"/>
        <v>5.333333333</v>
      </c>
      <c r="G10665" s="10">
        <f t="array" ref="G10665">index('Player ID'!C:C,match(E10665,'Player ID'!B:B,0))</f>
        <v>666157</v>
      </c>
    </row>
    <row r="10666">
      <c r="A10666" s="76">
        <v>45837.0</v>
      </c>
      <c r="B10666" s="1" t="s">
        <v>81</v>
      </c>
      <c r="C10666" s="1" t="s">
        <v>26</v>
      </c>
      <c r="D10666" s="1">
        <v>0.1</v>
      </c>
      <c r="E10666" s="1">
        <v>30115.0</v>
      </c>
      <c r="F10666" s="10">
        <f t="shared" si="1"/>
        <v>0.3333333333</v>
      </c>
      <c r="G10666" s="10">
        <f t="array" ref="G10666">index('Player ID'!C:C,match(E10666,'Player ID'!B:B,0))</f>
        <v>663158</v>
      </c>
    </row>
    <row r="10667">
      <c r="A10667" s="76">
        <v>45837.0</v>
      </c>
      <c r="B10667" s="1" t="s">
        <v>439</v>
      </c>
      <c r="C10667" s="1" t="s">
        <v>62</v>
      </c>
      <c r="D10667" s="1">
        <v>1.0</v>
      </c>
      <c r="E10667" s="1">
        <v>11384.0</v>
      </c>
      <c r="F10667" s="10">
        <f t="shared" si="1"/>
        <v>1</v>
      </c>
      <c r="G10667" s="10">
        <f t="array" ref="G10667">index('Player ID'!C:C,match(E10667,'Player ID'!B:B,0))</f>
        <v>592454</v>
      </c>
    </row>
    <row r="10668">
      <c r="A10668" s="76">
        <v>45837.0</v>
      </c>
      <c r="B10668" s="1" t="s">
        <v>435</v>
      </c>
      <c r="C10668" s="1" t="s">
        <v>16</v>
      </c>
      <c r="D10668" s="1">
        <v>0.1</v>
      </c>
      <c r="E10668" s="1">
        <v>13293.0</v>
      </c>
      <c r="F10668" s="10">
        <f t="shared" si="1"/>
        <v>0.3333333333</v>
      </c>
      <c r="G10668" s="10">
        <f t="array" ref="G10668">index('Player ID'!C:C,match(E10668,'Player ID'!B:B,0))</f>
        <v>543056</v>
      </c>
    </row>
    <row r="10669">
      <c r="A10669" s="76">
        <v>45837.0</v>
      </c>
      <c r="B10669" s="1" t="s">
        <v>146</v>
      </c>
      <c r="C10669" s="1" t="s">
        <v>16</v>
      </c>
      <c r="D10669" s="1">
        <v>2.0</v>
      </c>
      <c r="E10669" s="1">
        <v>15145.0</v>
      </c>
      <c r="F10669" s="10">
        <f t="shared" si="1"/>
        <v>2</v>
      </c>
      <c r="G10669" s="10">
        <f t="array" ref="G10669">index('Player ID'!C:C,match(E10669,'Player ID'!B:B,0))</f>
        <v>623437</v>
      </c>
    </row>
    <row r="10670">
      <c r="A10670" s="76">
        <v>45837.0</v>
      </c>
      <c r="B10670" s="1" t="s">
        <v>249</v>
      </c>
      <c r="C10670" s="1" t="s">
        <v>16</v>
      </c>
      <c r="D10670" s="1">
        <v>1.0</v>
      </c>
      <c r="E10670" s="1">
        <v>16727.0</v>
      </c>
      <c r="F10670" s="10">
        <f t="shared" si="1"/>
        <v>1</v>
      </c>
      <c r="G10670" s="10">
        <f t="array" ref="G10670">index('Player ID'!C:C,match(E10670,'Player ID'!B:B,0))</f>
        <v>592779</v>
      </c>
    </row>
    <row r="10671">
      <c r="A10671" s="76">
        <v>45837.0</v>
      </c>
      <c r="B10671" s="1" t="s">
        <v>131</v>
      </c>
      <c r="C10671" s="1" t="s">
        <v>62</v>
      </c>
      <c r="D10671" s="1">
        <v>1.0</v>
      </c>
      <c r="E10671" s="1">
        <v>19769.0</v>
      </c>
      <c r="F10671" s="10">
        <f t="shared" si="1"/>
        <v>1</v>
      </c>
      <c r="G10671" s="10">
        <f t="array" ref="G10671">index('Player ID'!C:C,match(E10671,'Player ID'!B:B,0))</f>
        <v>676684</v>
      </c>
    </row>
    <row r="10672">
      <c r="A10672" s="76">
        <v>45837.0</v>
      </c>
      <c r="B10672" s="1" t="s">
        <v>133</v>
      </c>
      <c r="C10672" s="1" t="s">
        <v>16</v>
      </c>
      <c r="D10672" s="1">
        <v>4.2</v>
      </c>
      <c r="E10672" s="1">
        <v>20099.0</v>
      </c>
      <c r="F10672" s="10">
        <f t="shared" si="1"/>
        <v>4.666666667</v>
      </c>
      <c r="G10672" s="10">
        <f t="array" ref="G10672">index('Player ID'!C:C,match(E10672,'Player ID'!B:B,0))</f>
        <v>663978</v>
      </c>
    </row>
    <row r="10673">
      <c r="A10673" s="76">
        <v>45837.0</v>
      </c>
      <c r="B10673" s="1" t="s">
        <v>84</v>
      </c>
      <c r="C10673" s="1" t="s">
        <v>62</v>
      </c>
      <c r="D10673" s="1">
        <v>7.0</v>
      </c>
      <c r="E10673" s="1">
        <v>22267.0</v>
      </c>
      <c r="F10673" s="10">
        <f t="shared" si="1"/>
        <v>7</v>
      </c>
      <c r="G10673" s="10">
        <f t="array" ref="G10673">index('Player ID'!C:C,match(E10673,'Player ID'!B:B,0))</f>
        <v>669373</v>
      </c>
    </row>
    <row r="10674">
      <c r="A10674" s="76">
        <v>45837.0</v>
      </c>
      <c r="B10674" s="1" t="s">
        <v>629</v>
      </c>
      <c r="C10674" s="1" t="s">
        <v>34</v>
      </c>
      <c r="D10674" s="1">
        <v>1.1</v>
      </c>
      <c r="E10674" s="1">
        <v>5615.0</v>
      </c>
      <c r="F10674" s="10">
        <f t="shared" si="1"/>
        <v>1.333333333</v>
      </c>
      <c r="G10674" s="10">
        <f t="array" ref="G10674">index('Player ID'!C:C,match(E10674,'Player ID'!B:B,0))</f>
        <v>518489</v>
      </c>
    </row>
    <row r="10675">
      <c r="A10675" s="76">
        <v>45837.0</v>
      </c>
      <c r="B10675" s="1" t="s">
        <v>460</v>
      </c>
      <c r="C10675" s="1" t="s">
        <v>34</v>
      </c>
      <c r="D10675" s="1">
        <v>1.0</v>
      </c>
      <c r="E10675" s="1">
        <v>7005.0</v>
      </c>
      <c r="F10675" s="10">
        <f t="shared" si="1"/>
        <v>1</v>
      </c>
      <c r="G10675" s="10">
        <f t="array" ref="G10675">index('Player ID'!C:C,match(E10675,'Player ID'!B:B,0))</f>
        <v>519151</v>
      </c>
    </row>
    <row r="10676">
      <c r="A10676" s="76">
        <v>45837.0</v>
      </c>
      <c r="B10676" s="1" t="s">
        <v>99</v>
      </c>
      <c r="C10676" s="1" t="s">
        <v>34</v>
      </c>
      <c r="D10676" s="1">
        <v>4.2</v>
      </c>
      <c r="E10676" s="1">
        <v>11674.0</v>
      </c>
      <c r="F10676" s="10">
        <f t="shared" si="1"/>
        <v>4.666666667</v>
      </c>
      <c r="G10676" s="10">
        <f t="array" ref="G10676">index('Player ID'!C:C,match(E10676,'Player ID'!B:B,0))</f>
        <v>592791</v>
      </c>
    </row>
    <row r="10677">
      <c r="A10677" s="76">
        <v>45837.0</v>
      </c>
      <c r="B10677" s="1" t="s">
        <v>59</v>
      </c>
      <c r="C10677" s="1" t="s">
        <v>39</v>
      </c>
      <c r="D10677" s="1">
        <v>1.0</v>
      </c>
      <c r="E10677" s="1">
        <v>14212.0</v>
      </c>
      <c r="F10677" s="10">
        <f t="shared" si="1"/>
        <v>1</v>
      </c>
      <c r="G10677" s="10">
        <f t="array" ref="G10677">index('Player ID'!C:C,match(E10677,'Player ID'!B:B,0))</f>
        <v>623352</v>
      </c>
    </row>
    <row r="10678">
      <c r="A10678" s="76">
        <v>45837.0</v>
      </c>
      <c r="B10678" s="1" t="s">
        <v>297</v>
      </c>
      <c r="C10678" s="1" t="s">
        <v>34</v>
      </c>
      <c r="D10678" s="1">
        <v>1.0</v>
      </c>
      <c r="E10678" s="1">
        <v>15734.0</v>
      </c>
      <c r="F10678" s="10">
        <f t="shared" si="1"/>
        <v>1</v>
      </c>
      <c r="G10678" s="10">
        <f t="array" ref="G10678">index('Player ID'!C:C,match(E10678,'Player ID'!B:B,0))</f>
        <v>641745</v>
      </c>
    </row>
    <row r="10679">
      <c r="A10679" s="76">
        <v>45837.0</v>
      </c>
      <c r="B10679" s="1" t="s">
        <v>210</v>
      </c>
      <c r="C10679" s="1" t="s">
        <v>39</v>
      </c>
      <c r="D10679" s="1">
        <v>2.0</v>
      </c>
      <c r="E10679" s="1">
        <v>16609.0</v>
      </c>
      <c r="F10679" s="10">
        <f t="shared" si="1"/>
        <v>2</v>
      </c>
      <c r="G10679" s="10">
        <f t="array" ref="G10679">index('Player ID'!C:C,match(E10679,'Player ID'!B:B,0))</f>
        <v>650556</v>
      </c>
    </row>
    <row r="10680">
      <c r="A10680" s="76">
        <v>45837.0</v>
      </c>
      <c r="B10680" s="1" t="s">
        <v>113</v>
      </c>
      <c r="C10680" s="1" t="s">
        <v>39</v>
      </c>
      <c r="D10680" s="1">
        <v>6.0</v>
      </c>
      <c r="E10680" s="1">
        <v>17295.0</v>
      </c>
      <c r="F10680" s="10">
        <f t="shared" si="1"/>
        <v>6</v>
      </c>
      <c r="G10680" s="10">
        <f t="array" ref="G10680">index('Player ID'!C:C,match(E10680,'Player ID'!B:B,0))</f>
        <v>664285</v>
      </c>
    </row>
    <row r="10681">
      <c r="A10681" s="76">
        <v>45837.0</v>
      </c>
      <c r="B10681" s="1" t="s">
        <v>392</v>
      </c>
      <c r="C10681" s="1" t="s">
        <v>33</v>
      </c>
      <c r="D10681" s="1">
        <v>1.0</v>
      </c>
      <c r="E10681" s="1">
        <v>9073.0</v>
      </c>
      <c r="F10681" s="10">
        <f t="shared" si="1"/>
        <v>1</v>
      </c>
      <c r="G10681" s="10">
        <f t="array" ref="G10681">index('Player ID'!C:C,match(E10681,'Player ID'!B:B,0))</f>
        <v>489446</v>
      </c>
    </row>
    <row r="10682">
      <c r="A10682" s="76">
        <v>45837.0</v>
      </c>
      <c r="B10682" s="1" t="s">
        <v>503</v>
      </c>
      <c r="C10682" s="1" t="s">
        <v>33</v>
      </c>
      <c r="D10682" s="1">
        <v>1.0</v>
      </c>
      <c r="E10682" s="1">
        <v>15043.0</v>
      </c>
      <c r="F10682" s="10">
        <f t="shared" si="1"/>
        <v>1</v>
      </c>
      <c r="G10682" s="10">
        <f t="array" ref="G10682">index('Player ID'!C:C,match(E10682,'Player ID'!B:B,0))</f>
        <v>642152</v>
      </c>
    </row>
    <row r="10683">
      <c r="A10683" s="76">
        <v>45837.0</v>
      </c>
      <c r="B10683" s="1" t="s">
        <v>199</v>
      </c>
      <c r="C10683" s="1" t="s">
        <v>29</v>
      </c>
      <c r="D10683" s="1">
        <v>1.0</v>
      </c>
      <c r="E10683" s="1">
        <v>17611.0</v>
      </c>
      <c r="F10683" s="10">
        <f t="shared" si="1"/>
        <v>1</v>
      </c>
      <c r="G10683" s="10">
        <f t="array" ref="G10683">index('Player ID'!C:C,match(E10683,'Player ID'!B:B,0))</f>
        <v>664199</v>
      </c>
    </row>
    <row r="10684">
      <c r="A10684" s="76">
        <v>45837.0</v>
      </c>
      <c r="B10684" s="1" t="s">
        <v>163</v>
      </c>
      <c r="C10684" s="1" t="s">
        <v>29</v>
      </c>
      <c r="D10684" s="1">
        <v>5.0</v>
      </c>
      <c r="E10684" s="1">
        <v>21455.0</v>
      </c>
      <c r="F10684" s="10">
        <f t="shared" si="1"/>
        <v>5</v>
      </c>
      <c r="G10684" s="10">
        <f t="array" ref="G10684">index('Player ID'!C:C,match(E10684,'Player ID'!B:B,0))</f>
        <v>663460</v>
      </c>
    </row>
    <row r="10685">
      <c r="A10685" s="76">
        <v>45837.0</v>
      </c>
      <c r="B10685" s="1" t="s">
        <v>140</v>
      </c>
      <c r="C10685" s="1" t="s">
        <v>29</v>
      </c>
      <c r="D10685" s="1">
        <v>1.0</v>
      </c>
      <c r="E10685" s="1">
        <v>22717.0</v>
      </c>
      <c r="F10685" s="10">
        <f t="shared" si="1"/>
        <v>1</v>
      </c>
      <c r="G10685" s="10">
        <f t="array" ref="G10685">index('Player ID'!C:C,match(E10685,'Player ID'!B:B,0))</f>
        <v>672582</v>
      </c>
    </row>
    <row r="10686">
      <c r="A10686" s="76">
        <v>45837.0</v>
      </c>
      <c r="B10686" s="1" t="s">
        <v>214</v>
      </c>
      <c r="C10686" s="1" t="s">
        <v>29</v>
      </c>
      <c r="D10686" s="1">
        <v>1.0</v>
      </c>
      <c r="E10686" s="1">
        <v>23165.0</v>
      </c>
      <c r="F10686" s="10">
        <f t="shared" si="1"/>
        <v>1</v>
      </c>
      <c r="G10686" s="10">
        <f t="array" ref="G10686">index('Player ID'!C:C,match(E10686,'Player ID'!B:B,0))</f>
        <v>674444</v>
      </c>
    </row>
    <row r="10687">
      <c r="A10687" s="76">
        <v>45837.0</v>
      </c>
      <c r="B10687" s="1" t="s">
        <v>442</v>
      </c>
      <c r="C10687" s="1" t="s">
        <v>29</v>
      </c>
      <c r="D10687" s="1">
        <v>1.0</v>
      </c>
      <c r="E10687" s="1">
        <v>25379.0</v>
      </c>
      <c r="F10687" s="10">
        <f t="shared" si="1"/>
        <v>1</v>
      </c>
      <c r="G10687" s="10">
        <f t="array" ref="G10687">index('Player ID'!C:C,match(E10687,'Player ID'!B:B,0))</f>
        <v>669674</v>
      </c>
    </row>
    <row r="10688">
      <c r="A10688" s="76">
        <v>45837.0</v>
      </c>
      <c r="B10688" s="1" t="s">
        <v>206</v>
      </c>
      <c r="C10688" s="1" t="s">
        <v>33</v>
      </c>
      <c r="D10688" s="1">
        <v>1.0</v>
      </c>
      <c r="E10688" s="1">
        <v>30249.0</v>
      </c>
      <c r="F10688" s="10">
        <f t="shared" si="1"/>
        <v>1</v>
      </c>
      <c r="G10688" s="10">
        <f t="array" ref="G10688">index('Player ID'!C:C,match(E10688,'Player ID'!B:B,0))</f>
        <v>676263</v>
      </c>
    </row>
    <row r="10689">
      <c r="A10689" s="76">
        <v>45837.0</v>
      </c>
      <c r="B10689" s="1" t="s">
        <v>198</v>
      </c>
      <c r="C10689" s="1" t="s">
        <v>33</v>
      </c>
      <c r="D10689" s="1">
        <v>6.0</v>
      </c>
      <c r="E10689" s="1">
        <v>31204.0</v>
      </c>
      <c r="F10689" s="10">
        <f t="shared" si="1"/>
        <v>6</v>
      </c>
      <c r="G10689" s="10">
        <f t="array" ref="G10689">index('Player ID'!C:C,match(E10689,'Player ID'!B:B,0))</f>
        <v>680736</v>
      </c>
    </row>
    <row r="10690">
      <c r="A10690" s="76">
        <v>45837.0</v>
      </c>
      <c r="B10690" s="1" t="s">
        <v>358</v>
      </c>
      <c r="C10690" s="1" t="s">
        <v>31</v>
      </c>
      <c r="D10690" s="1">
        <v>6.0</v>
      </c>
      <c r="E10690" s="1">
        <v>8700.0</v>
      </c>
      <c r="F10690" s="10">
        <f t="shared" si="1"/>
        <v>6</v>
      </c>
      <c r="G10690" s="10">
        <f t="array" ref="G10690">index('Player ID'!C:C,match(E10690,'Player ID'!B:B,0))</f>
        <v>434378</v>
      </c>
    </row>
    <row r="10691">
      <c r="A10691" s="76">
        <v>45837.0</v>
      </c>
      <c r="B10691" s="1" t="s">
        <v>851</v>
      </c>
      <c r="C10691" s="1" t="s">
        <v>78</v>
      </c>
      <c r="D10691" s="1">
        <v>1.1</v>
      </c>
      <c r="E10691" s="1">
        <v>16507.0</v>
      </c>
      <c r="F10691" s="10">
        <f t="shared" si="1"/>
        <v>1.333333333</v>
      </c>
      <c r="G10691" s="10" t="str">
        <f t="array" ref="G10691">index('Player ID'!C:C,match(E10691,'Player ID'!B:B,0))</f>
        <v>#N/A</v>
      </c>
    </row>
    <row r="10692">
      <c r="A10692" s="76">
        <v>45837.0</v>
      </c>
      <c r="B10692" s="1" t="s">
        <v>478</v>
      </c>
      <c r="C10692" s="1" t="s">
        <v>78</v>
      </c>
      <c r="D10692" s="1">
        <v>1.0</v>
      </c>
      <c r="E10692" s="1">
        <v>17964.0</v>
      </c>
      <c r="F10692" s="10">
        <f t="shared" si="1"/>
        <v>1</v>
      </c>
      <c r="G10692" s="10">
        <f t="array" ref="G10692">index('Player ID'!C:C,match(E10692,'Player ID'!B:B,0))</f>
        <v>656457</v>
      </c>
    </row>
    <row r="10693">
      <c r="A10693" s="76">
        <v>45837.0</v>
      </c>
      <c r="B10693" s="1" t="s">
        <v>403</v>
      </c>
      <c r="C10693" s="1" t="s">
        <v>31</v>
      </c>
      <c r="D10693" s="1">
        <v>0.1</v>
      </c>
      <c r="E10693" s="1">
        <v>20423.0</v>
      </c>
      <c r="F10693" s="10">
        <f t="shared" si="1"/>
        <v>0.3333333333</v>
      </c>
      <c r="G10693" s="10">
        <f t="array" ref="G10693">index('Player ID'!C:C,match(E10693,'Player ID'!B:B,0))</f>
        <v>676254</v>
      </c>
    </row>
    <row r="10694">
      <c r="A10694" s="76">
        <v>45837.0</v>
      </c>
      <c r="B10694" s="1" t="s">
        <v>655</v>
      </c>
      <c r="C10694" s="1" t="s">
        <v>31</v>
      </c>
      <c r="D10694" s="1">
        <v>0.2</v>
      </c>
      <c r="E10694" s="1">
        <v>26252.0</v>
      </c>
      <c r="F10694" s="10">
        <f t="shared" si="1"/>
        <v>0.6666666667</v>
      </c>
      <c r="G10694" s="10">
        <f t="array" ref="G10694">index('Player ID'!C:C,match(E10694,'Player ID'!B:B,0))</f>
        <v>669062</v>
      </c>
    </row>
    <row r="10695">
      <c r="A10695" s="76">
        <v>45837.0</v>
      </c>
      <c r="B10695" s="1" t="s">
        <v>367</v>
      </c>
      <c r="C10695" s="1" t="s">
        <v>78</v>
      </c>
      <c r="D10695" s="1">
        <v>1.0</v>
      </c>
      <c r="E10695" s="1">
        <v>27668.0</v>
      </c>
      <c r="F10695" s="10">
        <f t="shared" si="1"/>
        <v>1</v>
      </c>
      <c r="G10695" s="10">
        <f t="array" ref="G10695">index('Player ID'!C:C,match(E10695,'Player ID'!B:B,0))</f>
        <v>685126</v>
      </c>
    </row>
    <row r="10696">
      <c r="A10696" s="76">
        <v>45837.0</v>
      </c>
      <c r="B10696" s="1" t="s">
        <v>317</v>
      </c>
      <c r="C10696" s="1" t="s">
        <v>78</v>
      </c>
      <c r="D10696" s="1">
        <v>1.0</v>
      </c>
      <c r="E10696" s="1">
        <v>29950.0</v>
      </c>
      <c r="F10696" s="10">
        <f t="shared" si="1"/>
        <v>1</v>
      </c>
      <c r="G10696" s="10">
        <f t="array" ref="G10696">index('Player ID'!C:C,match(E10696,'Player ID'!B:B,0))</f>
        <v>673929</v>
      </c>
    </row>
    <row r="10697">
      <c r="A10697" s="76">
        <v>45837.0</v>
      </c>
      <c r="B10697" s="1" t="s">
        <v>501</v>
      </c>
      <c r="C10697" s="1" t="s">
        <v>31</v>
      </c>
      <c r="D10697" s="1">
        <v>1.0</v>
      </c>
      <c r="E10697" s="1">
        <v>30084.0</v>
      </c>
      <c r="F10697" s="10">
        <f t="shared" si="1"/>
        <v>1</v>
      </c>
      <c r="G10697" s="10" t="str">
        <f t="array" ref="G10697">index('Player ID'!C:C,match(E10697,'Player ID'!B:B,0))</f>
        <v>#N/A</v>
      </c>
    </row>
    <row r="10698">
      <c r="A10698" s="76">
        <v>45837.0</v>
      </c>
      <c r="B10698" s="1" t="s">
        <v>497</v>
      </c>
      <c r="C10698" s="1" t="s">
        <v>78</v>
      </c>
      <c r="D10698" s="1">
        <v>1.2</v>
      </c>
      <c r="E10698" s="1">
        <v>30105.0</v>
      </c>
      <c r="F10698" s="10">
        <f t="shared" si="1"/>
        <v>1.666666667</v>
      </c>
      <c r="G10698" s="10">
        <f t="array" ref="G10698">index('Player ID'!C:C,match(E10698,'Player ID'!B:B,0))</f>
        <v>678024</v>
      </c>
    </row>
    <row r="10699">
      <c r="A10699" s="76">
        <v>45837.0</v>
      </c>
      <c r="B10699" s="1" t="s">
        <v>361</v>
      </c>
      <c r="C10699" s="1" t="s">
        <v>78</v>
      </c>
      <c r="D10699" s="1">
        <v>3.0</v>
      </c>
      <c r="E10699" s="1">
        <v>31730.0</v>
      </c>
      <c r="F10699" s="10">
        <f t="shared" si="1"/>
        <v>3</v>
      </c>
      <c r="G10699" s="10">
        <f t="array" ref="G10699">index('Player ID'!C:C,match(E10699,'Player ID'!B:B,0))</f>
        <v>686563</v>
      </c>
    </row>
    <row r="10700">
      <c r="A10700" s="76">
        <v>45837.0</v>
      </c>
      <c r="B10700" s="1" t="s">
        <v>746</v>
      </c>
      <c r="C10700" s="1" t="s">
        <v>75</v>
      </c>
      <c r="D10700" s="1">
        <v>5.2</v>
      </c>
      <c r="E10700" s="1">
        <v>15038.0</v>
      </c>
      <c r="F10700" s="10">
        <f t="shared" si="1"/>
        <v>5.666666667</v>
      </c>
      <c r="G10700" s="10">
        <f t="array" ref="G10700">index('Player ID'!C:C,match(E10700,'Player ID'!B:B,0))</f>
        <v>608566</v>
      </c>
    </row>
    <row r="10701">
      <c r="A10701" s="76">
        <v>45837.0</v>
      </c>
      <c r="B10701" s="1" t="s">
        <v>13</v>
      </c>
      <c r="C10701" s="1" t="s">
        <v>14</v>
      </c>
      <c r="D10701" s="1">
        <v>2.0</v>
      </c>
      <c r="E10701" s="1">
        <v>17722.0</v>
      </c>
      <c r="F10701" s="10">
        <f t="shared" si="1"/>
        <v>2</v>
      </c>
      <c r="G10701" s="10">
        <f t="array" ref="G10701">index('Player ID'!C:C,match(E10701,'Player ID'!B:B,0))</f>
        <v>656730</v>
      </c>
    </row>
    <row r="10702">
      <c r="A10702" s="76">
        <v>45837.0</v>
      </c>
      <c r="B10702" s="1" t="s">
        <v>288</v>
      </c>
      <c r="C10702" s="1" t="s">
        <v>75</v>
      </c>
      <c r="D10702" s="1">
        <v>1.0</v>
      </c>
      <c r="E10702" s="1">
        <v>18297.0</v>
      </c>
      <c r="F10702" s="10">
        <f t="shared" si="1"/>
        <v>1</v>
      </c>
      <c r="G10702" s="10">
        <f t="array" ref="G10702">index('Player ID'!C:C,match(E10702,'Player ID'!B:B,0))</f>
        <v>641755</v>
      </c>
    </row>
    <row r="10703">
      <c r="A10703" s="76">
        <v>45837.0</v>
      </c>
      <c r="B10703" s="1" t="s">
        <v>318</v>
      </c>
      <c r="C10703" s="1" t="s">
        <v>14</v>
      </c>
      <c r="D10703" s="1">
        <v>1.0</v>
      </c>
      <c r="E10703" s="1">
        <v>20546.0</v>
      </c>
      <c r="F10703" s="10">
        <f t="shared" si="1"/>
        <v>1</v>
      </c>
      <c r="G10703" s="10">
        <f t="array" ref="G10703">index('Player ID'!C:C,match(E10703,'Player ID'!B:B,0))</f>
        <v>681982</v>
      </c>
    </row>
    <row r="10704">
      <c r="A10704" s="76">
        <v>45837.0</v>
      </c>
      <c r="B10704" s="1" t="s">
        <v>215</v>
      </c>
      <c r="C10704" s="1" t="s">
        <v>75</v>
      </c>
      <c r="D10704" s="1">
        <v>1.1</v>
      </c>
      <c r="E10704" s="1">
        <v>21267.0</v>
      </c>
      <c r="F10704" s="10">
        <f t="shared" si="1"/>
        <v>1.333333333</v>
      </c>
      <c r="G10704" s="10">
        <f t="array" ref="G10704">index('Player ID'!C:C,match(E10704,'Player ID'!B:B,0))</f>
        <v>656234</v>
      </c>
    </row>
    <row r="10705">
      <c r="A10705" s="76">
        <v>45837.0</v>
      </c>
      <c r="B10705" s="1" t="s">
        <v>468</v>
      </c>
      <c r="C10705" s="1" t="s">
        <v>75</v>
      </c>
      <c r="D10705" s="1">
        <v>1.0</v>
      </c>
      <c r="E10705" s="1">
        <v>23237.0</v>
      </c>
      <c r="F10705" s="10">
        <f t="shared" si="1"/>
        <v>1</v>
      </c>
      <c r="G10705" s="10">
        <f t="array" ref="G10705">index('Player ID'!C:C,match(E10705,'Player ID'!B:B,0))</f>
        <v>675848</v>
      </c>
    </row>
    <row r="10706">
      <c r="A10706" s="76">
        <v>45837.0</v>
      </c>
      <c r="B10706" s="1" t="s">
        <v>365</v>
      </c>
      <c r="C10706" s="1" t="s">
        <v>75</v>
      </c>
      <c r="D10706" s="1">
        <v>1.0</v>
      </c>
      <c r="E10706" s="1">
        <v>24614.0</v>
      </c>
      <c r="F10706" s="10">
        <f t="shared" si="1"/>
        <v>1</v>
      </c>
      <c r="G10706" s="10">
        <f t="array" ref="G10706">index('Player ID'!C:C,match(E10706,'Player ID'!B:B,0))</f>
        <v>680767</v>
      </c>
    </row>
    <row r="10707">
      <c r="A10707" s="76">
        <v>45837.0</v>
      </c>
      <c r="B10707" s="1" t="s">
        <v>279</v>
      </c>
      <c r="C10707" s="1" t="s">
        <v>14</v>
      </c>
      <c r="D10707" s="1">
        <v>1.0</v>
      </c>
      <c r="E10707" s="1">
        <v>25327.0</v>
      </c>
      <c r="F10707" s="10">
        <f t="shared" si="1"/>
        <v>1</v>
      </c>
      <c r="G10707" s="10">
        <f t="array" ref="G10707">index('Player ID'!C:C,match(E10707,'Player ID'!B:B,0))</f>
        <v>682842</v>
      </c>
    </row>
    <row r="10708">
      <c r="A10708" s="76">
        <v>45837.0</v>
      </c>
      <c r="B10708" s="1" t="s">
        <v>112</v>
      </c>
      <c r="C10708" s="1" t="s">
        <v>14</v>
      </c>
      <c r="D10708" s="1">
        <v>1.0</v>
      </c>
      <c r="E10708" s="1">
        <v>25376.0</v>
      </c>
      <c r="F10708" s="10">
        <f t="shared" si="1"/>
        <v>1</v>
      </c>
      <c r="G10708" s="10">
        <f t="array" ref="G10708">index('Player ID'!C:C,match(E10708,'Player ID'!B:B,0))</f>
        <v>683232</v>
      </c>
    </row>
    <row r="10709">
      <c r="A10709" s="76">
        <v>45837.0</v>
      </c>
      <c r="B10709" s="1" t="s">
        <v>418</v>
      </c>
      <c r="C10709" s="1" t="s">
        <v>14</v>
      </c>
      <c r="D10709" s="1">
        <v>1.0</v>
      </c>
      <c r="E10709" s="1">
        <v>27517.0</v>
      </c>
      <c r="F10709" s="10">
        <f t="shared" si="1"/>
        <v>1</v>
      </c>
      <c r="G10709" s="10">
        <f t="array" ref="G10709">index('Player ID'!C:C,match(E10709,'Player ID'!B:B,0))</f>
        <v>657649</v>
      </c>
    </row>
    <row r="10710">
      <c r="A10710" s="76">
        <v>45837.0</v>
      </c>
      <c r="B10710" s="1" t="s">
        <v>496</v>
      </c>
      <c r="C10710" s="1" t="s">
        <v>14</v>
      </c>
      <c r="D10710" s="1">
        <v>5.0</v>
      </c>
      <c r="E10710" s="1">
        <v>30113.0</v>
      </c>
      <c r="F10710" s="10">
        <f t="shared" si="1"/>
        <v>5</v>
      </c>
      <c r="G10710" s="10">
        <f t="array" ref="G10710">index('Player ID'!C:C,match(E10710,'Player ID'!B:B,0))</f>
        <v>694477</v>
      </c>
    </row>
    <row r="10711">
      <c r="A10711" s="76">
        <v>45837.0</v>
      </c>
      <c r="B10711" s="1" t="s">
        <v>488</v>
      </c>
      <c r="C10711" s="1" t="s">
        <v>75</v>
      </c>
      <c r="D10711" s="1">
        <v>1.0</v>
      </c>
      <c r="E10711" s="1">
        <v>33294.0</v>
      </c>
      <c r="F10711" s="10">
        <f t="shared" si="1"/>
        <v>1</v>
      </c>
      <c r="G10711" s="10">
        <f t="array" ref="G10711">index('Player ID'!C:C,match(E10711,'Player ID'!B:B,0))</f>
        <v>678020</v>
      </c>
    </row>
    <row r="10712">
      <c r="A10712" s="76">
        <v>45837.0</v>
      </c>
      <c r="B10712" s="1" t="s">
        <v>162</v>
      </c>
      <c r="C10712" s="1" t="s">
        <v>56</v>
      </c>
      <c r="D10712" s="1">
        <v>1.2</v>
      </c>
      <c r="E10712" s="1">
        <v>11752.0</v>
      </c>
      <c r="F10712" s="10">
        <f t="shared" si="1"/>
        <v>1.666666667</v>
      </c>
      <c r="G10712" s="10">
        <f t="array" ref="G10712">index('Player ID'!C:C,match(E10712,'Player ID'!B:B,0))</f>
        <v>592426</v>
      </c>
    </row>
    <row r="10713">
      <c r="A10713" s="76">
        <v>45837.0</v>
      </c>
      <c r="B10713" s="1" t="s">
        <v>272</v>
      </c>
      <c r="C10713" s="1" t="s">
        <v>37</v>
      </c>
      <c r="D10713" s="1">
        <v>6.0</v>
      </c>
      <c r="E10713" s="1">
        <v>15689.0</v>
      </c>
      <c r="F10713" s="10">
        <f t="shared" si="1"/>
        <v>6</v>
      </c>
      <c r="G10713" s="10">
        <f t="array" ref="G10713">index('Player ID'!C:C,match(E10713,'Player ID'!B:B,0))</f>
        <v>622491</v>
      </c>
    </row>
    <row r="10714">
      <c r="A10714" s="76">
        <v>45837.0</v>
      </c>
      <c r="B10714" s="1" t="s">
        <v>108</v>
      </c>
      <c r="C10714" s="1" t="s">
        <v>37</v>
      </c>
      <c r="D10714" s="1">
        <v>2.0</v>
      </c>
      <c r="E10714" s="1">
        <v>17948.0</v>
      </c>
      <c r="F10714" s="10">
        <f t="shared" si="1"/>
        <v>2</v>
      </c>
      <c r="G10714" s="10">
        <f t="array" ref="G10714">index('Player ID'!C:C,match(E10714,'Player ID'!B:B,0))</f>
        <v>663423</v>
      </c>
    </row>
    <row r="10715">
      <c r="A10715" s="76">
        <v>45837.0</v>
      </c>
      <c r="B10715" s="1" t="s">
        <v>157</v>
      </c>
      <c r="C10715" s="1" t="s">
        <v>37</v>
      </c>
      <c r="D10715" s="1">
        <v>1.0</v>
      </c>
      <c r="E10715" s="1">
        <v>20997.0</v>
      </c>
      <c r="F10715" s="10">
        <f t="shared" si="1"/>
        <v>1</v>
      </c>
      <c r="G10715" s="10">
        <f t="array" ref="G10715">index('Player ID'!C:C,match(E10715,'Player ID'!B:B,0))</f>
        <v>660825</v>
      </c>
    </row>
    <row r="10716">
      <c r="A10716" s="76">
        <v>45837.0</v>
      </c>
      <c r="B10716" s="1" t="s">
        <v>111</v>
      </c>
      <c r="C10716" s="1" t="s">
        <v>56</v>
      </c>
      <c r="D10716" s="1">
        <v>2.1</v>
      </c>
      <c r="E10716" s="1">
        <v>21306.0</v>
      </c>
      <c r="F10716" s="10">
        <f t="shared" si="1"/>
        <v>2.333333333</v>
      </c>
      <c r="G10716" s="10">
        <f t="array" ref="G10716">index('Player ID'!C:C,match(E10716,'Player ID'!B:B,0))</f>
        <v>656641</v>
      </c>
    </row>
    <row r="10717">
      <c r="A10717" s="76">
        <v>45837.0</v>
      </c>
      <c r="B10717" s="1" t="s">
        <v>502</v>
      </c>
      <c r="C10717" s="1" t="s">
        <v>56</v>
      </c>
      <c r="D10717" s="1">
        <v>2.0</v>
      </c>
      <c r="E10717" s="1">
        <v>22113.0</v>
      </c>
      <c r="F10717" s="10">
        <f t="shared" si="1"/>
        <v>2</v>
      </c>
      <c r="G10717" s="10">
        <f t="array" ref="G10717">index('Player ID'!C:C,match(E10717,'Player ID'!B:B,0))</f>
        <v>668390</v>
      </c>
    </row>
    <row r="10718">
      <c r="A10718" s="76">
        <v>45837.0</v>
      </c>
      <c r="B10718" s="1" t="s">
        <v>101</v>
      </c>
      <c r="C10718" s="1" t="s">
        <v>37</v>
      </c>
      <c r="D10718" s="1">
        <v>1.0</v>
      </c>
      <c r="E10718" s="1">
        <v>22915.0</v>
      </c>
      <c r="F10718" s="10">
        <f t="shared" si="1"/>
        <v>1</v>
      </c>
      <c r="G10718" s="10">
        <f t="array" ref="G10718">index('Player ID'!C:C,match(E10718,'Player ID'!B:B,0))</f>
        <v>672841</v>
      </c>
    </row>
    <row r="10719">
      <c r="A10719" s="76">
        <v>45837.0</v>
      </c>
      <c r="B10719" s="1" t="s">
        <v>340</v>
      </c>
      <c r="C10719" s="1" t="s">
        <v>37</v>
      </c>
      <c r="D10719" s="1">
        <v>2.0</v>
      </c>
      <c r="E10719" s="1">
        <v>25921.0</v>
      </c>
      <c r="F10719" s="10">
        <f t="shared" si="1"/>
        <v>2</v>
      </c>
      <c r="G10719" s="10">
        <f t="array" ref="G10719">index('Player ID'!C:C,match(E10719,'Player ID'!B:B,0))</f>
        <v>668984</v>
      </c>
    </row>
    <row r="10720">
      <c r="A10720" s="76">
        <v>45837.0</v>
      </c>
      <c r="B10720" s="1" t="s">
        <v>374</v>
      </c>
      <c r="C10720" s="1" t="s">
        <v>56</v>
      </c>
      <c r="D10720" s="1">
        <v>6.0</v>
      </c>
      <c r="E10720" s="1">
        <v>30146.0</v>
      </c>
      <c r="F10720" s="10">
        <f t="shared" si="1"/>
        <v>6</v>
      </c>
      <c r="G10720" s="10">
        <f t="array" ref="G10720">index('Player ID'!C:C,match(E10720,'Player ID'!B:B,0))</f>
        <v>683004</v>
      </c>
    </row>
    <row r="10721">
      <c r="A10721" s="76">
        <v>45837.0</v>
      </c>
      <c r="B10721" s="1" t="s">
        <v>154</v>
      </c>
      <c r="C10721" s="1" t="s">
        <v>25</v>
      </c>
      <c r="D10721" s="1">
        <v>1.0</v>
      </c>
      <c r="E10721" s="1">
        <v>3096.0</v>
      </c>
      <c r="F10721" s="10">
        <f t="shared" si="1"/>
        <v>1</v>
      </c>
      <c r="G10721" s="10">
        <f t="array" ref="G10721">index('Player ID'!C:C,match(E10721,'Player ID'!B:B,0))</f>
        <v>445276</v>
      </c>
    </row>
    <row r="10722">
      <c r="A10722" s="76">
        <v>45837.0</v>
      </c>
      <c r="B10722" s="1" t="s">
        <v>139</v>
      </c>
      <c r="C10722" s="1" t="s">
        <v>80</v>
      </c>
      <c r="D10722" s="1">
        <v>3.0</v>
      </c>
      <c r="E10722" s="1">
        <v>15009.0</v>
      </c>
      <c r="F10722" s="10">
        <f t="shared" si="1"/>
        <v>3</v>
      </c>
      <c r="G10722" s="10">
        <f t="array" ref="G10722">index('Player ID'!C:C,match(E10722,'Player ID'!B:B,0))</f>
        <v>640448</v>
      </c>
    </row>
    <row r="10723">
      <c r="A10723" s="76">
        <v>45837.0</v>
      </c>
      <c r="B10723" s="1" t="s">
        <v>291</v>
      </c>
      <c r="C10723" s="1" t="s">
        <v>25</v>
      </c>
      <c r="D10723" s="1">
        <v>1.0</v>
      </c>
      <c r="E10723" s="1">
        <v>17968.0</v>
      </c>
      <c r="F10723" s="10">
        <f t="shared" si="1"/>
        <v>1</v>
      </c>
      <c r="G10723" s="10">
        <f t="array" ref="G10723">index('Player ID'!C:C,match(E10723,'Player ID'!B:B,0))</f>
        <v>656271</v>
      </c>
    </row>
    <row r="10724">
      <c r="A10724" s="76">
        <v>45837.0</v>
      </c>
      <c r="B10724" s="1" t="s">
        <v>283</v>
      </c>
      <c r="C10724" s="1" t="s">
        <v>25</v>
      </c>
      <c r="D10724" s="1">
        <v>2.0</v>
      </c>
      <c r="E10724" s="1">
        <v>21205.0</v>
      </c>
      <c r="F10724" s="10">
        <f t="shared" si="1"/>
        <v>2</v>
      </c>
      <c r="G10724" s="10">
        <f t="array" ref="G10724">index('Player ID'!C:C,match(E10724,'Player ID'!B:B,0))</f>
        <v>641401</v>
      </c>
    </row>
    <row r="10725">
      <c r="A10725" s="76">
        <v>45837.0</v>
      </c>
      <c r="B10725" s="1" t="s">
        <v>86</v>
      </c>
      <c r="C10725" s="1" t="s">
        <v>80</v>
      </c>
      <c r="D10725" s="1">
        <v>2.0</v>
      </c>
      <c r="E10725" s="1">
        <v>24017.0</v>
      </c>
      <c r="F10725" s="10">
        <f t="shared" si="1"/>
        <v>2</v>
      </c>
      <c r="G10725" s="10">
        <f t="array" ref="G10725">index('Player ID'!C:C,match(E10725,'Player ID'!B:B,0))</f>
        <v>678606</v>
      </c>
    </row>
    <row r="10726">
      <c r="A10726" s="76">
        <v>45837.0</v>
      </c>
      <c r="B10726" s="1" t="s">
        <v>385</v>
      </c>
      <c r="C10726" s="1" t="s">
        <v>25</v>
      </c>
      <c r="D10726" s="1">
        <v>0.2</v>
      </c>
      <c r="E10726" s="1">
        <v>25420.0</v>
      </c>
      <c r="F10726" s="10">
        <f t="shared" si="1"/>
        <v>0.6666666667</v>
      </c>
      <c r="G10726" s="10">
        <f t="array" ref="G10726">index('Player ID'!C:C,match(E10726,'Player ID'!B:B,0))</f>
        <v>666171</v>
      </c>
    </row>
    <row r="10727">
      <c r="A10727" s="76">
        <v>45837.0</v>
      </c>
      <c r="B10727" s="1" t="s">
        <v>24</v>
      </c>
      <c r="C10727" s="1" t="s">
        <v>25</v>
      </c>
      <c r="D10727" s="1">
        <v>1.1</v>
      </c>
      <c r="E10727" s="1">
        <v>27468.0</v>
      </c>
      <c r="F10727" s="10">
        <f t="shared" si="1"/>
        <v>1.333333333</v>
      </c>
      <c r="G10727" s="10">
        <f t="array" ref="G10727">index('Player ID'!C:C,match(E10727,'Player ID'!B:B,0))</f>
        <v>672282</v>
      </c>
    </row>
    <row r="10728">
      <c r="A10728" s="76">
        <v>45837.0</v>
      </c>
      <c r="B10728" s="1" t="s">
        <v>507</v>
      </c>
      <c r="C10728" s="1" t="s">
        <v>80</v>
      </c>
      <c r="D10728" s="1">
        <v>1.0</v>
      </c>
      <c r="E10728" s="1">
        <v>27570.0</v>
      </c>
      <c r="F10728" s="10">
        <f t="shared" si="1"/>
        <v>1</v>
      </c>
      <c r="G10728" s="10">
        <f t="array" ref="G10728">index('Player ID'!C:C,match(E10728,'Player ID'!B:B,0))</f>
        <v>669371</v>
      </c>
    </row>
    <row r="10729">
      <c r="A10729" s="76">
        <v>45837.0</v>
      </c>
      <c r="B10729" s="1" t="s">
        <v>330</v>
      </c>
      <c r="C10729" s="1" t="s">
        <v>80</v>
      </c>
      <c r="D10729" s="1">
        <v>5.0</v>
      </c>
      <c r="E10729" s="1">
        <v>27636.0</v>
      </c>
      <c r="F10729" s="10">
        <f t="shared" si="1"/>
        <v>5</v>
      </c>
      <c r="G10729" s="10">
        <f t="array" ref="G10729">index('Player ID'!C:C,match(E10729,'Player ID'!B:B,0))</f>
        <v>680730</v>
      </c>
    </row>
    <row r="10730">
      <c r="A10730" s="76">
        <v>45837.0</v>
      </c>
      <c r="B10730" s="1" t="s">
        <v>521</v>
      </c>
      <c r="C10730" s="1" t="s">
        <v>25</v>
      </c>
      <c r="D10730" s="1">
        <v>4.0</v>
      </c>
      <c r="E10730" s="1">
        <v>27688.0</v>
      </c>
      <c r="F10730" s="10">
        <f t="shared" si="1"/>
        <v>4</v>
      </c>
      <c r="G10730" s="10">
        <f t="array" ref="G10730">index('Player ID'!C:C,match(E10730,'Player ID'!B:B,0))</f>
        <v>686799</v>
      </c>
    </row>
    <row r="10731">
      <c r="A10731" s="76">
        <v>45837.0</v>
      </c>
      <c r="B10731" s="1" t="s">
        <v>381</v>
      </c>
      <c r="C10731" s="1" t="s">
        <v>25</v>
      </c>
      <c r="D10731" s="1">
        <v>1.0</v>
      </c>
      <c r="E10731" s="1">
        <v>33908.0</v>
      </c>
      <c r="F10731" s="10">
        <f t="shared" si="1"/>
        <v>1</v>
      </c>
      <c r="G10731" s="10">
        <f t="array" ref="G10731">index('Player ID'!C:C,match(E10731,'Player ID'!B:B,0))</f>
        <v>820862</v>
      </c>
    </row>
    <row r="10732">
      <c r="A10732" s="76">
        <v>45837.0</v>
      </c>
      <c r="B10732" s="1" t="s">
        <v>368</v>
      </c>
      <c r="C10732" s="1" t="s">
        <v>64</v>
      </c>
      <c r="D10732" s="1">
        <v>5.1</v>
      </c>
      <c r="E10732" s="1">
        <v>13164.0</v>
      </c>
      <c r="F10732" s="10">
        <f t="shared" si="1"/>
        <v>5.333333333</v>
      </c>
      <c r="G10732" s="10">
        <f t="array" ref="G10732">index('Player ID'!C:C,match(E10732,'Player ID'!B:B,0))</f>
        <v>593958</v>
      </c>
    </row>
    <row r="10733">
      <c r="A10733" s="76">
        <v>45837.0</v>
      </c>
      <c r="B10733" s="1" t="s">
        <v>149</v>
      </c>
      <c r="C10733" s="1" t="s">
        <v>64</v>
      </c>
      <c r="D10733" s="1">
        <v>1.1</v>
      </c>
      <c r="E10733" s="1">
        <v>16128.0</v>
      </c>
      <c r="F10733" s="10">
        <f t="shared" si="1"/>
        <v>1.333333333</v>
      </c>
      <c r="G10733" s="10" t="str">
        <f t="array" ref="G10733">index('Player ID'!C:C,match(E10733,'Player ID'!B:B,0))</f>
        <v>#N/A</v>
      </c>
    </row>
    <row r="10734">
      <c r="A10734" s="76">
        <v>45837.0</v>
      </c>
      <c r="B10734" s="1" t="s">
        <v>219</v>
      </c>
      <c r="C10734" s="1" t="s">
        <v>64</v>
      </c>
      <c r="D10734" s="1">
        <v>1.0</v>
      </c>
      <c r="E10734" s="1">
        <v>16647.0</v>
      </c>
      <c r="F10734" s="10">
        <f t="shared" si="1"/>
        <v>1</v>
      </c>
      <c r="G10734" s="10">
        <f t="array" ref="G10734">index('Player ID'!C:C,match(E10734,'Player ID'!B:B,0))</f>
        <v>657044</v>
      </c>
    </row>
    <row r="10735">
      <c r="A10735" s="76">
        <v>45837.0</v>
      </c>
      <c r="B10735" s="1" t="s">
        <v>489</v>
      </c>
      <c r="C10735" s="1" t="s">
        <v>64</v>
      </c>
      <c r="D10735" s="1">
        <v>0.2</v>
      </c>
      <c r="E10735" s="1">
        <v>17192.0</v>
      </c>
      <c r="F10735" s="10">
        <f t="shared" si="1"/>
        <v>0.6666666667</v>
      </c>
      <c r="G10735" s="10">
        <f t="array" ref="G10735">index('Player ID'!C:C,match(E10735,'Player ID'!B:B,0))</f>
        <v>656222</v>
      </c>
    </row>
    <row r="10736">
      <c r="A10736" s="76">
        <v>45837.0</v>
      </c>
      <c r="B10736" s="1" t="s">
        <v>241</v>
      </c>
      <c r="C10736" s="1" t="s">
        <v>36</v>
      </c>
      <c r="D10736" s="1">
        <v>2.0</v>
      </c>
      <c r="E10736" s="1">
        <v>19222.0</v>
      </c>
      <c r="F10736" s="10">
        <f t="shared" si="1"/>
        <v>2</v>
      </c>
      <c r="G10736" s="10">
        <f t="array" ref="G10736">index('Player ID'!C:C,match(E10736,'Player ID'!B:B,0))</f>
        <v>669199</v>
      </c>
    </row>
    <row r="10737">
      <c r="A10737" s="76">
        <v>45837.0</v>
      </c>
      <c r="B10737" s="1" t="s">
        <v>464</v>
      </c>
      <c r="C10737" s="1" t="s">
        <v>36</v>
      </c>
      <c r="D10737" s="1">
        <v>5.0</v>
      </c>
      <c r="E10737" s="1">
        <v>19312.0</v>
      </c>
      <c r="F10737" s="10">
        <f t="shared" si="1"/>
        <v>5</v>
      </c>
      <c r="G10737" s="10">
        <f t="array" ref="G10737">index('Player ID'!C:C,match(E10737,'Player ID'!B:B,0))</f>
        <v>615698</v>
      </c>
    </row>
    <row r="10738">
      <c r="A10738" s="76">
        <v>45837.0</v>
      </c>
      <c r="B10738" s="1" t="s">
        <v>262</v>
      </c>
      <c r="C10738" s="1" t="s">
        <v>36</v>
      </c>
      <c r="D10738" s="1">
        <v>1.0</v>
      </c>
      <c r="E10738" s="1">
        <v>20116.0</v>
      </c>
      <c r="F10738" s="10">
        <f t="shared" si="1"/>
        <v>1</v>
      </c>
      <c r="G10738" s="10">
        <f t="array" ref="G10738">index('Player ID'!C:C,match(E10738,'Player ID'!B:B,0))</f>
        <v>676534</v>
      </c>
    </row>
    <row r="10739">
      <c r="A10739" s="76">
        <v>45837.0</v>
      </c>
      <c r="B10739" s="1" t="s">
        <v>123</v>
      </c>
      <c r="C10739" s="1" t="s">
        <v>36</v>
      </c>
      <c r="D10739" s="1">
        <v>1.0</v>
      </c>
      <c r="E10739" s="1">
        <v>24094.0</v>
      </c>
      <c r="F10739" s="10">
        <f t="shared" si="1"/>
        <v>1</v>
      </c>
      <c r="G10739" s="10">
        <f t="array" ref="G10739">index('Player ID'!C:C,match(E10739,'Player ID'!B:B,0))</f>
        <v>678692</v>
      </c>
    </row>
    <row r="10740">
      <c r="A10740" s="76">
        <v>45837.0</v>
      </c>
      <c r="B10740" s="1" t="s">
        <v>545</v>
      </c>
      <c r="C10740" s="1" t="s">
        <v>64</v>
      </c>
      <c r="D10740" s="1">
        <v>0.2</v>
      </c>
      <c r="E10740" s="1">
        <v>29615.0</v>
      </c>
      <c r="F10740" s="10">
        <f t="shared" si="1"/>
        <v>0.6666666667</v>
      </c>
      <c r="G10740" s="10" t="str">
        <f t="array" ref="G10740">index('Player ID'!C:C,match(E10740,'Player ID'!B:B,0))</f>
        <v>#N/A</v>
      </c>
    </row>
    <row r="10741">
      <c r="A10741" s="76">
        <v>45838.0</v>
      </c>
      <c r="B10741" s="1" t="s">
        <v>79</v>
      </c>
      <c r="C10741" s="1" t="s">
        <v>45</v>
      </c>
      <c r="D10741" s="1">
        <v>8.0</v>
      </c>
      <c r="E10741" s="1">
        <v>10310.0</v>
      </c>
      <c r="F10741" s="10">
        <f t="shared" si="1"/>
        <v>8</v>
      </c>
      <c r="G10741" s="10">
        <f t="array" ref="G10741">index('Player ID'!C:C,match(E10741,'Player ID'!B:B,0))</f>
        <v>554430</v>
      </c>
    </row>
    <row r="10742">
      <c r="A10742" s="76">
        <v>45838.0</v>
      </c>
      <c r="B10742" s="1" t="s">
        <v>404</v>
      </c>
      <c r="C10742" s="1" t="s">
        <v>26</v>
      </c>
      <c r="D10742" s="1">
        <v>1.1</v>
      </c>
      <c r="E10742" s="1">
        <v>14295.0</v>
      </c>
      <c r="F10742" s="10">
        <f t="shared" si="1"/>
        <v>1.333333333</v>
      </c>
      <c r="G10742" s="10">
        <f t="array" ref="G10742">index('Player ID'!C:C,match(E10742,'Player ID'!B:B,0))</f>
        <v>593974</v>
      </c>
    </row>
    <row r="10743">
      <c r="A10743" s="76">
        <v>45838.0</v>
      </c>
      <c r="B10743" s="1" t="s">
        <v>138</v>
      </c>
      <c r="C10743" s="1" t="s">
        <v>45</v>
      </c>
      <c r="D10743" s="1">
        <v>1.0</v>
      </c>
      <c r="E10743" s="1">
        <v>16990.0</v>
      </c>
      <c r="F10743" s="10">
        <f t="shared" si="1"/>
        <v>1</v>
      </c>
      <c r="G10743" s="10">
        <f t="array" ref="G10743">index('Player ID'!C:C,match(E10743,'Player ID'!B:B,0))</f>
        <v>621383</v>
      </c>
    </row>
    <row r="10744">
      <c r="A10744" s="76">
        <v>45838.0</v>
      </c>
      <c r="B10744" s="1" t="s">
        <v>614</v>
      </c>
      <c r="C10744" s="1" t="s">
        <v>26</v>
      </c>
      <c r="D10744" s="1">
        <v>4.2</v>
      </c>
      <c r="E10744" s="1">
        <v>25550.0</v>
      </c>
      <c r="F10744" s="10">
        <f t="shared" si="1"/>
        <v>4.666666667</v>
      </c>
      <c r="G10744" s="10">
        <f t="array" ref="G10744">index('Player ID'!C:C,match(E10744,'Player ID'!B:B,0))</f>
        <v>663362</v>
      </c>
    </row>
    <row r="10745">
      <c r="A10745" s="76">
        <v>45838.0</v>
      </c>
      <c r="B10745" s="1" t="s">
        <v>498</v>
      </c>
      <c r="C10745" s="1" t="s">
        <v>26</v>
      </c>
      <c r="D10745" s="1">
        <v>2.0</v>
      </c>
      <c r="E10745" s="1">
        <v>31616.0</v>
      </c>
      <c r="F10745" s="10">
        <f t="shared" si="1"/>
        <v>2</v>
      </c>
      <c r="G10745" s="10" t="str">
        <f t="array" ref="G10745">index('Player ID'!C:C,match(E10745,'Player ID'!B:B,0))</f>
        <v>#N/A</v>
      </c>
    </row>
    <row r="10746">
      <c r="A10746" s="76">
        <v>45838.0</v>
      </c>
      <c r="B10746" s="1" t="s">
        <v>256</v>
      </c>
      <c r="C10746" s="1" t="s">
        <v>60</v>
      </c>
      <c r="D10746" s="1">
        <v>6.2</v>
      </c>
      <c r="E10746" s="1">
        <v>15423.0</v>
      </c>
      <c r="F10746" s="10">
        <f t="shared" si="1"/>
        <v>6.666666667</v>
      </c>
      <c r="G10746" s="10">
        <f t="array" ref="G10746">index('Player ID'!C:C,match(E10746,'Player ID'!B:B,0))</f>
        <v>571760</v>
      </c>
    </row>
    <row r="10747">
      <c r="A10747" s="76">
        <v>45838.0</v>
      </c>
      <c r="B10747" s="1" t="s">
        <v>321</v>
      </c>
      <c r="C10747" s="1" t="s">
        <v>72</v>
      </c>
      <c r="D10747" s="1">
        <v>5.0</v>
      </c>
      <c r="E10747" s="1">
        <v>17425.0</v>
      </c>
      <c r="F10747" s="10">
        <f t="shared" si="1"/>
        <v>5</v>
      </c>
      <c r="G10747" s="10">
        <f t="array" ref="G10747">index('Player ID'!C:C,match(E10747,'Player ID'!B:B,0))</f>
        <v>607200</v>
      </c>
    </row>
    <row r="10748">
      <c r="A10748" s="76">
        <v>45838.0</v>
      </c>
      <c r="B10748" s="1" t="s">
        <v>463</v>
      </c>
      <c r="C10748" s="1" t="s">
        <v>60</v>
      </c>
      <c r="D10748" s="1">
        <v>2.1</v>
      </c>
      <c r="E10748" s="1">
        <v>21544.0</v>
      </c>
      <c r="F10748" s="10">
        <f t="shared" si="1"/>
        <v>2.333333333</v>
      </c>
      <c r="G10748" s="10">
        <f t="array" ref="G10748">index('Player ID'!C:C,match(E10748,'Player ID'!B:B,0))</f>
        <v>663767</v>
      </c>
    </row>
    <row r="10749">
      <c r="A10749" s="76">
        <v>45838.0</v>
      </c>
      <c r="B10749" s="1" t="s">
        <v>273</v>
      </c>
      <c r="C10749" s="1" t="s">
        <v>72</v>
      </c>
      <c r="D10749" s="1">
        <v>1.2</v>
      </c>
      <c r="E10749" s="1">
        <v>22051.0</v>
      </c>
      <c r="F10749" s="10">
        <f t="shared" si="1"/>
        <v>1.666666667</v>
      </c>
      <c r="G10749" s="10">
        <f t="array" ref="G10749">index('Player ID'!C:C,match(E10749,'Player ID'!B:B,0))</f>
        <v>667463</v>
      </c>
    </row>
    <row r="10750">
      <c r="A10750" s="76">
        <v>45838.0</v>
      </c>
      <c r="B10750" s="1" t="s">
        <v>223</v>
      </c>
      <c r="C10750" s="1" t="s">
        <v>72</v>
      </c>
      <c r="D10750" s="1">
        <v>1.1</v>
      </c>
      <c r="E10750" s="1">
        <v>29629.0</v>
      </c>
      <c r="F10750" s="10">
        <f t="shared" si="1"/>
        <v>1.333333333</v>
      </c>
      <c r="G10750" s="10">
        <f t="array" ref="G10750">index('Player ID'!C:C,match(E10750,'Player ID'!B:B,0))</f>
        <v>694335</v>
      </c>
    </row>
    <row r="10751">
      <c r="A10751" s="76">
        <v>45838.0</v>
      </c>
      <c r="B10751" s="1" t="s">
        <v>137</v>
      </c>
      <c r="C10751" s="1" t="s">
        <v>40</v>
      </c>
      <c r="D10751" s="1">
        <v>5.0</v>
      </c>
      <c r="E10751" s="1">
        <v>3137.0</v>
      </c>
      <c r="F10751" s="10">
        <f t="shared" si="1"/>
        <v>5</v>
      </c>
      <c r="G10751" s="10">
        <f t="array" ref="G10751">index('Player ID'!C:C,match(E10751,'Player ID'!B:B,0))</f>
        <v>453286</v>
      </c>
    </row>
    <row r="10752">
      <c r="A10752" s="76">
        <v>45838.0</v>
      </c>
      <c r="B10752" s="1" t="s">
        <v>467</v>
      </c>
      <c r="C10752" s="1" t="s">
        <v>58</v>
      </c>
      <c r="D10752" s="1">
        <v>0.1</v>
      </c>
      <c r="E10752" s="1">
        <v>15551.0</v>
      </c>
      <c r="F10752" s="10">
        <f t="shared" si="1"/>
        <v>0.3333333333</v>
      </c>
      <c r="G10752" s="10">
        <f t="array" ref="G10752">index('Player ID'!C:C,match(E10752,'Player ID'!B:B,0))</f>
        <v>643410</v>
      </c>
    </row>
    <row r="10753">
      <c r="A10753" s="76">
        <v>45838.0</v>
      </c>
      <c r="B10753" s="1" t="s">
        <v>174</v>
      </c>
      <c r="C10753" s="1" t="s">
        <v>40</v>
      </c>
      <c r="D10753" s="1">
        <v>0.2</v>
      </c>
      <c r="E10753" s="1">
        <v>15552.0</v>
      </c>
      <c r="F10753" s="10">
        <f t="shared" si="1"/>
        <v>0.6666666667</v>
      </c>
      <c r="G10753" s="10">
        <f t="array" ref="G10753">index('Player ID'!C:C,match(E10753,'Player ID'!B:B,0))</f>
        <v>643338</v>
      </c>
    </row>
    <row r="10754">
      <c r="A10754" s="76">
        <v>45838.0</v>
      </c>
      <c r="B10754" s="1" t="s">
        <v>635</v>
      </c>
      <c r="C10754" s="1" t="s">
        <v>58</v>
      </c>
      <c r="D10754" s="1">
        <v>5.0</v>
      </c>
      <c r="E10754" s="1">
        <v>16137.0</v>
      </c>
      <c r="F10754" s="10">
        <f t="shared" si="1"/>
        <v>5</v>
      </c>
      <c r="G10754" s="10">
        <f t="array" ref="G10754">index('Player ID'!C:C,match(E10754,'Player ID'!B:B,0))</f>
        <v>607074</v>
      </c>
    </row>
    <row r="10755">
      <c r="A10755" s="76">
        <v>45838.0</v>
      </c>
      <c r="B10755" s="1" t="s">
        <v>69</v>
      </c>
      <c r="C10755" s="1" t="s">
        <v>58</v>
      </c>
      <c r="D10755" s="1">
        <v>1.0</v>
      </c>
      <c r="E10755" s="1">
        <v>16814.0</v>
      </c>
      <c r="F10755" s="10">
        <f t="shared" si="1"/>
        <v>1</v>
      </c>
      <c r="G10755" s="10">
        <f t="array" ref="G10755">index('Player ID'!C:C,match(E10755,'Player ID'!B:B,0))</f>
        <v>657612</v>
      </c>
    </row>
    <row r="10756">
      <c r="A10756" s="76">
        <v>45838.0</v>
      </c>
      <c r="B10756" s="1" t="s">
        <v>311</v>
      </c>
      <c r="C10756" s="1" t="s">
        <v>40</v>
      </c>
      <c r="D10756" s="1">
        <v>1.0</v>
      </c>
      <c r="E10756" s="1">
        <v>17432.0</v>
      </c>
      <c r="F10756" s="10">
        <f t="shared" si="1"/>
        <v>1</v>
      </c>
      <c r="G10756" s="10">
        <f t="array" ref="G10756">index('Player ID'!C:C,match(E10756,'Player ID'!B:B,0))</f>
        <v>656546</v>
      </c>
    </row>
    <row r="10757">
      <c r="A10757" s="76">
        <v>45838.0</v>
      </c>
      <c r="B10757" s="1" t="s">
        <v>831</v>
      </c>
      <c r="C10757" s="1" t="s">
        <v>58</v>
      </c>
      <c r="D10757" s="1">
        <v>1.2</v>
      </c>
      <c r="E10757" s="1">
        <v>19753.0</v>
      </c>
      <c r="F10757" s="10">
        <f t="shared" si="1"/>
        <v>1.666666667</v>
      </c>
      <c r="G10757" s="10">
        <f t="array" ref="G10757">index('Player ID'!C:C,match(E10757,'Player ID'!B:B,0))</f>
        <v>642528</v>
      </c>
    </row>
    <row r="10758">
      <c r="A10758" s="76">
        <v>45838.0</v>
      </c>
      <c r="B10758" s="1" t="s">
        <v>395</v>
      </c>
      <c r="C10758" s="1" t="s">
        <v>40</v>
      </c>
      <c r="D10758" s="1">
        <v>1.0</v>
      </c>
      <c r="E10758" s="1">
        <v>21574.0</v>
      </c>
      <c r="F10758" s="10">
        <f t="shared" si="1"/>
        <v>1</v>
      </c>
      <c r="G10758" s="10">
        <f t="array" ref="G10758">index('Player ID'!C:C,match(E10758,'Player ID'!B:B,0))</f>
        <v>663893</v>
      </c>
    </row>
    <row r="10759">
      <c r="A10759" s="76">
        <v>45838.0</v>
      </c>
      <c r="B10759" s="1" t="s">
        <v>315</v>
      </c>
      <c r="C10759" s="1" t="s">
        <v>40</v>
      </c>
      <c r="D10759" s="1">
        <v>1.0</v>
      </c>
      <c r="E10759" s="1">
        <v>24609.0</v>
      </c>
      <c r="F10759" s="10">
        <f t="shared" si="1"/>
        <v>1</v>
      </c>
      <c r="G10759" s="10">
        <f t="array" ref="G10759">index('Player ID'!C:C,match(E10759,'Player ID'!B:B,0))</f>
        <v>680755</v>
      </c>
    </row>
    <row r="10760">
      <c r="A10760" s="76">
        <v>45838.0</v>
      </c>
      <c r="B10760" s="1" t="s">
        <v>142</v>
      </c>
      <c r="C10760" s="1" t="s">
        <v>40</v>
      </c>
      <c r="D10760" s="1">
        <v>0.1</v>
      </c>
      <c r="E10760" s="1">
        <v>31553.0</v>
      </c>
      <c r="F10760" s="10">
        <f t="shared" si="1"/>
        <v>0.3333333333</v>
      </c>
      <c r="G10760" s="10">
        <f t="array" ref="G10760">index('Player ID'!C:C,match(E10760,'Player ID'!B:B,0))</f>
        <v>689254</v>
      </c>
    </row>
    <row r="10761">
      <c r="A10761" s="76">
        <v>45838.0</v>
      </c>
      <c r="B10761" s="1" t="s">
        <v>417</v>
      </c>
      <c r="C10761" s="1" t="s">
        <v>66</v>
      </c>
      <c r="D10761" s="1">
        <v>2.2</v>
      </c>
      <c r="E10761" s="1">
        <v>13942.0</v>
      </c>
      <c r="F10761" s="10">
        <f t="shared" si="1"/>
        <v>2.666666667</v>
      </c>
      <c r="G10761" s="10">
        <f t="array" ref="G10761">index('Player ID'!C:C,match(E10761,'Player ID'!B:B,0))</f>
        <v>608718</v>
      </c>
    </row>
    <row r="10762">
      <c r="A10762" s="76">
        <v>45838.0</v>
      </c>
      <c r="B10762" s="1" t="s">
        <v>905</v>
      </c>
      <c r="C10762" s="1" t="s">
        <v>66</v>
      </c>
      <c r="D10762" s="1">
        <v>0.1</v>
      </c>
      <c r="E10762" s="1">
        <v>16725.0</v>
      </c>
      <c r="F10762" s="10">
        <f t="shared" si="1"/>
        <v>0.3333333333</v>
      </c>
      <c r="G10762" s="10" t="str">
        <f t="array" ref="G10762">index('Player ID'!C:C,match(E10762,'Player ID'!B:B,0))</f>
        <v>#N/A</v>
      </c>
    </row>
    <row r="10763">
      <c r="A10763" s="76">
        <v>45838.0</v>
      </c>
      <c r="B10763" s="1" t="s">
        <v>397</v>
      </c>
      <c r="C10763" s="1" t="s">
        <v>22</v>
      </c>
      <c r="D10763" s="1">
        <v>1.0</v>
      </c>
      <c r="E10763" s="1">
        <v>19459.0</v>
      </c>
      <c r="F10763" s="10">
        <f t="shared" si="1"/>
        <v>1</v>
      </c>
      <c r="G10763" s="10">
        <f t="array" ref="G10763">index('Player ID'!C:C,match(E10763,'Player ID'!B:B,0))</f>
        <v>660896</v>
      </c>
    </row>
    <row r="10764">
      <c r="A10764" s="76">
        <v>45838.0</v>
      </c>
      <c r="B10764" s="1" t="s">
        <v>445</v>
      </c>
      <c r="C10764" s="1" t="s">
        <v>22</v>
      </c>
      <c r="D10764" s="1">
        <v>1.0</v>
      </c>
      <c r="E10764" s="1">
        <v>19618.0</v>
      </c>
      <c r="F10764" s="10">
        <f t="shared" si="1"/>
        <v>1</v>
      </c>
      <c r="G10764" s="10">
        <f t="array" ref="G10764">index('Player ID'!C:C,match(E10764,'Player ID'!B:B,0))</f>
        <v>663855</v>
      </c>
    </row>
    <row r="10765">
      <c r="A10765" s="76">
        <v>45838.0</v>
      </c>
      <c r="B10765" s="1" t="s">
        <v>406</v>
      </c>
      <c r="C10765" s="1" t="s">
        <v>22</v>
      </c>
      <c r="D10765" s="1">
        <v>1.0</v>
      </c>
      <c r="E10765" s="1">
        <v>20375.0</v>
      </c>
      <c r="F10765" s="10">
        <f t="shared" si="1"/>
        <v>1</v>
      </c>
      <c r="G10765" s="10">
        <f t="array" ref="G10765">index('Player ID'!C:C,match(E10765,'Player ID'!B:B,0))</f>
        <v>669711</v>
      </c>
    </row>
    <row r="10766">
      <c r="A10766" s="76">
        <v>45838.0</v>
      </c>
      <c r="B10766" s="1" t="s">
        <v>867</v>
      </c>
      <c r="C10766" s="1" t="s">
        <v>66</v>
      </c>
      <c r="D10766" s="1">
        <v>2.2</v>
      </c>
      <c r="E10766" s="1">
        <v>25481.0</v>
      </c>
      <c r="F10766" s="10">
        <f t="shared" si="1"/>
        <v>2.666666667</v>
      </c>
      <c r="G10766" s="10" t="str">
        <f t="array" ref="G10766">index('Player ID'!C:C,match(E10766,'Player ID'!B:B,0))</f>
        <v>#N/A</v>
      </c>
    </row>
    <row r="10767">
      <c r="A10767" s="76">
        <v>45838.0</v>
      </c>
      <c r="B10767" s="1" t="s">
        <v>100</v>
      </c>
      <c r="C10767" s="1" t="s">
        <v>22</v>
      </c>
      <c r="D10767" s="1">
        <v>6.0</v>
      </c>
      <c r="E10767" s="1">
        <v>27463.0</v>
      </c>
      <c r="F10767" s="10">
        <f t="shared" si="1"/>
        <v>6</v>
      </c>
      <c r="G10767" s="10">
        <f t="array" ref="G10767">index('Player ID'!C:C,match(E10767,'Player ID'!B:B,0))</f>
        <v>676979</v>
      </c>
    </row>
    <row r="10768">
      <c r="A10768" s="76">
        <v>45838.0</v>
      </c>
      <c r="B10768" s="1" t="s">
        <v>889</v>
      </c>
      <c r="C10768" s="1" t="s">
        <v>66</v>
      </c>
      <c r="D10768" s="1">
        <v>2.0</v>
      </c>
      <c r="E10768" s="1">
        <v>27649.0</v>
      </c>
      <c r="F10768" s="10">
        <f t="shared" si="1"/>
        <v>2</v>
      </c>
      <c r="G10768" s="10" t="str">
        <f t="array" ref="G10768">index('Player ID'!C:C,match(E10768,'Player ID'!B:B,0))</f>
        <v>#N/A</v>
      </c>
    </row>
    <row r="10769">
      <c r="A10769" s="76">
        <v>45838.0</v>
      </c>
      <c r="B10769" s="1" t="s">
        <v>118</v>
      </c>
      <c r="C10769" s="1" t="s">
        <v>66</v>
      </c>
      <c r="D10769" s="1">
        <v>0.1</v>
      </c>
      <c r="E10769" s="1">
        <v>35333.0</v>
      </c>
      <c r="F10769" s="10">
        <f t="shared" si="1"/>
        <v>0.3333333333</v>
      </c>
      <c r="G10769" s="10">
        <f t="array" ref="G10769">index('Player ID'!C:C,match(E10769,'Player ID'!B:B,0))</f>
        <v>695505</v>
      </c>
    </row>
    <row r="10770">
      <c r="A10770" s="76">
        <v>45838.0</v>
      </c>
      <c r="B10770" s="1" t="s">
        <v>436</v>
      </c>
      <c r="C10770" s="1" t="s">
        <v>52</v>
      </c>
      <c r="D10770" s="1">
        <v>0.2</v>
      </c>
      <c r="E10770" s="1">
        <v>12791.0</v>
      </c>
      <c r="F10770" s="10">
        <f t="shared" si="1"/>
        <v>0.6666666667</v>
      </c>
      <c r="G10770" s="10" t="str">
        <f t="array" ref="G10770">index('Player ID'!C:C,match(E10770,'Player ID'!B:B,0))</f>
        <v>#N/A</v>
      </c>
    </row>
    <row r="10771">
      <c r="A10771" s="76">
        <v>45838.0</v>
      </c>
      <c r="B10771" s="1" t="s">
        <v>415</v>
      </c>
      <c r="C10771" s="1" t="s">
        <v>52</v>
      </c>
      <c r="D10771" s="1">
        <v>0.1</v>
      </c>
      <c r="E10771" s="1">
        <v>16943.0</v>
      </c>
      <c r="F10771" s="10">
        <f t="shared" si="1"/>
        <v>0.3333333333</v>
      </c>
      <c r="G10771" s="10">
        <f t="array" ref="G10771">index('Player ID'!C:C,match(E10771,'Player ID'!B:B,0))</f>
        <v>656794</v>
      </c>
    </row>
    <row r="10772">
      <c r="A10772" s="76">
        <v>45838.0</v>
      </c>
      <c r="B10772" s="1" t="s">
        <v>185</v>
      </c>
      <c r="C10772" s="1" t="s">
        <v>54</v>
      </c>
      <c r="D10772" s="1">
        <v>1.0</v>
      </c>
      <c r="E10772" s="1">
        <v>17897.0</v>
      </c>
      <c r="F10772" s="10">
        <f t="shared" si="1"/>
        <v>1</v>
      </c>
      <c r="G10772" s="10">
        <f t="array" ref="G10772">index('Player ID'!C:C,match(E10772,'Player ID'!B:B,0))</f>
        <v>664076</v>
      </c>
    </row>
    <row r="10773">
      <c r="A10773" s="76">
        <v>45838.0</v>
      </c>
      <c r="B10773" s="1" t="s">
        <v>261</v>
      </c>
      <c r="C10773" s="1" t="s">
        <v>54</v>
      </c>
      <c r="D10773" s="1">
        <v>1.0</v>
      </c>
      <c r="E10773" s="1">
        <v>17998.0</v>
      </c>
      <c r="F10773" s="10">
        <f t="shared" si="1"/>
        <v>1</v>
      </c>
      <c r="G10773" s="10">
        <f t="array" ref="G10773">index('Player ID'!C:C,match(E10773,'Player ID'!B:B,0))</f>
        <v>664126</v>
      </c>
    </row>
    <row r="10774">
      <c r="A10774" s="76">
        <v>45838.0</v>
      </c>
      <c r="B10774" s="1" t="s">
        <v>400</v>
      </c>
      <c r="C10774" s="1" t="s">
        <v>54</v>
      </c>
      <c r="D10774" s="1">
        <v>2.0</v>
      </c>
      <c r="E10774" s="1">
        <v>20539.0</v>
      </c>
      <c r="F10774" s="10">
        <f t="shared" si="1"/>
        <v>2</v>
      </c>
      <c r="G10774" s="10">
        <f t="array" ref="G10774">index('Player ID'!C:C,match(E10774,'Player ID'!B:B,0))</f>
        <v>670955</v>
      </c>
    </row>
    <row r="10775">
      <c r="A10775" s="76">
        <v>45838.0</v>
      </c>
      <c r="B10775" s="1" t="s">
        <v>389</v>
      </c>
      <c r="C10775" s="1" t="s">
        <v>52</v>
      </c>
      <c r="D10775" s="1">
        <v>3.1</v>
      </c>
      <c r="E10775" s="1">
        <v>25098.0</v>
      </c>
      <c r="F10775" s="10">
        <f t="shared" si="1"/>
        <v>3.333333333</v>
      </c>
      <c r="G10775" s="10">
        <f t="array" ref="G10775">index('Player ID'!C:C,match(E10775,'Player ID'!B:B,0))</f>
        <v>682052</v>
      </c>
    </row>
    <row r="10776">
      <c r="A10776" s="76">
        <v>45838.0</v>
      </c>
      <c r="B10776" s="1" t="s">
        <v>97</v>
      </c>
      <c r="C10776" s="1" t="s">
        <v>54</v>
      </c>
      <c r="D10776" s="1">
        <v>3.0</v>
      </c>
      <c r="E10776" s="1">
        <v>25385.0</v>
      </c>
      <c r="F10776" s="10">
        <f t="shared" si="1"/>
        <v>3</v>
      </c>
      <c r="G10776" s="10">
        <f t="array" ref="G10776">index('Player ID'!C:C,match(E10776,'Player ID'!B:B,0))</f>
        <v>656876</v>
      </c>
    </row>
    <row r="10777">
      <c r="A10777" s="76">
        <v>45838.0</v>
      </c>
      <c r="B10777" s="1" t="s">
        <v>296</v>
      </c>
      <c r="C10777" s="1" t="s">
        <v>52</v>
      </c>
      <c r="D10777" s="1">
        <v>3.2</v>
      </c>
      <c r="E10777" s="1">
        <v>27889.0</v>
      </c>
      <c r="F10777" s="10">
        <f t="shared" si="1"/>
        <v>3.666666667</v>
      </c>
      <c r="G10777" s="10">
        <f t="array" ref="G10777">index('Player ID'!C:C,match(E10777,'Player ID'!B:B,0))</f>
        <v>669372</v>
      </c>
    </row>
    <row r="10778">
      <c r="A10778" s="76">
        <v>45838.0</v>
      </c>
      <c r="B10778" s="1" t="s">
        <v>334</v>
      </c>
      <c r="C10778" s="1" t="s">
        <v>54</v>
      </c>
      <c r="D10778" s="1">
        <v>0.1</v>
      </c>
      <c r="E10778" s="1">
        <v>29770.0</v>
      </c>
      <c r="F10778" s="10">
        <f t="shared" si="1"/>
        <v>0.3333333333</v>
      </c>
      <c r="G10778" s="10">
        <f t="array" ref="G10778">index('Player ID'!C:C,match(E10778,'Player ID'!B:B,0))</f>
        <v>682254</v>
      </c>
    </row>
    <row r="10779">
      <c r="A10779" s="76">
        <v>45838.0</v>
      </c>
      <c r="B10779" s="1" t="s">
        <v>890</v>
      </c>
      <c r="C10779" s="1" t="s">
        <v>54</v>
      </c>
      <c r="D10779" s="1">
        <v>1.2</v>
      </c>
      <c r="E10779" s="1">
        <v>31571.0</v>
      </c>
      <c r="F10779" s="10">
        <f t="shared" si="1"/>
        <v>1.666666667</v>
      </c>
      <c r="G10779" s="10" t="str">
        <f t="array" ref="G10779">index('Player ID'!C:C,match(E10779,'Player ID'!B:B,0))</f>
        <v>#N/A</v>
      </c>
    </row>
    <row r="10780">
      <c r="A10780" s="76">
        <v>45838.0</v>
      </c>
      <c r="B10780" s="1" t="s">
        <v>286</v>
      </c>
      <c r="C10780" s="1" t="s">
        <v>52</v>
      </c>
      <c r="D10780" s="1">
        <v>1.0</v>
      </c>
      <c r="E10780" s="1">
        <v>31757.0</v>
      </c>
      <c r="F10780" s="10">
        <f t="shared" si="1"/>
        <v>1</v>
      </c>
      <c r="G10780" s="10">
        <f t="array" ref="G10780">index('Player ID'!C:C,match(E10780,'Player ID'!B:B,0))</f>
        <v>695243</v>
      </c>
    </row>
    <row r="10781">
      <c r="A10781" s="76">
        <v>45838.0</v>
      </c>
      <c r="B10781" s="1" t="s">
        <v>245</v>
      </c>
      <c r="C10781" s="1" t="s">
        <v>56</v>
      </c>
      <c r="D10781" s="1">
        <v>6.0</v>
      </c>
      <c r="E10781" s="1">
        <v>9323.0</v>
      </c>
      <c r="F10781" s="10">
        <f t="shared" si="1"/>
        <v>6</v>
      </c>
      <c r="G10781" s="10">
        <f t="array" ref="G10781">index('Player ID'!C:C,match(E10781,'Player ID'!B:B,0))</f>
        <v>571578</v>
      </c>
    </row>
    <row r="10782">
      <c r="A10782" s="76">
        <v>45838.0</v>
      </c>
      <c r="B10782" s="1" t="s">
        <v>74</v>
      </c>
      <c r="C10782" s="1" t="s">
        <v>56</v>
      </c>
      <c r="D10782" s="1">
        <v>1.0</v>
      </c>
      <c r="E10782" s="1">
        <v>11847.0</v>
      </c>
      <c r="F10782" s="10">
        <f t="shared" si="1"/>
        <v>1</v>
      </c>
      <c r="G10782" s="10">
        <f t="array" ref="G10782">index('Player ID'!C:C,match(E10782,'Player ID'!B:B,0))</f>
        <v>455119</v>
      </c>
    </row>
    <row r="10783">
      <c r="A10783" s="76">
        <v>45838.0</v>
      </c>
      <c r="B10783" s="1" t="s">
        <v>48</v>
      </c>
      <c r="C10783" s="1" t="s">
        <v>68</v>
      </c>
      <c r="D10783" s="1">
        <v>1.0</v>
      </c>
      <c r="E10783" s="1">
        <v>12828.0</v>
      </c>
      <c r="F10783" s="10">
        <f t="shared" si="1"/>
        <v>1</v>
      </c>
      <c r="G10783" s="10" t="str">
        <f t="array" ref="G10783">index('Player ID'!C:C,match(E10783,'Player ID'!B:B,0))</f>
        <v>#N/A</v>
      </c>
    </row>
    <row r="10784">
      <c r="A10784" s="76">
        <v>45838.0</v>
      </c>
      <c r="B10784" s="1" t="s">
        <v>440</v>
      </c>
      <c r="C10784" s="1" t="s">
        <v>56</v>
      </c>
      <c r="D10784" s="1">
        <v>1.0</v>
      </c>
      <c r="E10784" s="1">
        <v>12857.0</v>
      </c>
      <c r="F10784" s="10">
        <f t="shared" si="1"/>
        <v>1</v>
      </c>
      <c r="G10784" s="10">
        <f t="array" ref="G10784">index('Player ID'!C:C,match(E10784,'Player ID'!B:B,0))</f>
        <v>542888</v>
      </c>
    </row>
    <row r="10785">
      <c r="A10785" s="76">
        <v>45838.0</v>
      </c>
      <c r="B10785" s="1" t="s">
        <v>151</v>
      </c>
      <c r="C10785" s="1" t="s">
        <v>56</v>
      </c>
      <c r="D10785" s="1">
        <v>1.0</v>
      </c>
      <c r="E10785" s="1">
        <v>13346.0</v>
      </c>
      <c r="F10785" s="10">
        <f t="shared" si="1"/>
        <v>1</v>
      </c>
      <c r="G10785" s="10">
        <f t="array" ref="G10785">index('Player ID'!C:C,match(E10785,'Player ID'!B:B,0))</f>
        <v>571948</v>
      </c>
    </row>
    <row r="10786">
      <c r="A10786" s="76">
        <v>45838.0</v>
      </c>
      <c r="B10786" s="1" t="s">
        <v>639</v>
      </c>
      <c r="C10786" s="1" t="s">
        <v>68</v>
      </c>
      <c r="D10786" s="1">
        <v>1.2</v>
      </c>
      <c r="E10786" s="1">
        <v>19249.0</v>
      </c>
      <c r="F10786" s="10">
        <f t="shared" si="1"/>
        <v>1.666666667</v>
      </c>
      <c r="G10786" s="10">
        <f t="array" ref="G10786">index('Player ID'!C:C,match(E10786,'Player ID'!B:B,0))</f>
        <v>622554</v>
      </c>
    </row>
    <row r="10787">
      <c r="A10787" s="76">
        <v>45838.0</v>
      </c>
      <c r="B10787" s="1" t="s">
        <v>87</v>
      </c>
      <c r="C10787" s="1" t="s">
        <v>56</v>
      </c>
      <c r="D10787" s="1">
        <v>1.0</v>
      </c>
      <c r="E10787" s="1">
        <v>19274.0</v>
      </c>
      <c r="F10787" s="10">
        <f t="shared" si="1"/>
        <v>1</v>
      </c>
      <c r="G10787" s="10">
        <f t="array" ref="G10787">index('Player ID'!C:C,match(E10787,'Player ID'!B:B,0))</f>
        <v>657097</v>
      </c>
    </row>
    <row r="10788">
      <c r="A10788" s="76">
        <v>45838.0</v>
      </c>
      <c r="B10788" s="1" t="s">
        <v>231</v>
      </c>
      <c r="C10788" s="1" t="s">
        <v>68</v>
      </c>
      <c r="D10788" s="1">
        <v>1.0</v>
      </c>
      <c r="E10788" s="1">
        <v>19362.0</v>
      </c>
      <c r="F10788" s="10">
        <f t="shared" si="1"/>
        <v>1</v>
      </c>
      <c r="G10788" s="10">
        <f t="array" ref="G10788">index('Player ID'!C:C,match(E10788,'Player ID'!B:B,0))</f>
        <v>669211</v>
      </c>
    </row>
    <row r="10789">
      <c r="A10789" s="76">
        <v>45838.0</v>
      </c>
      <c r="B10789" s="1" t="s">
        <v>240</v>
      </c>
      <c r="C10789" s="1" t="s">
        <v>68</v>
      </c>
      <c r="D10789" s="1">
        <v>1.0</v>
      </c>
      <c r="E10789" s="1">
        <v>19804.0</v>
      </c>
      <c r="F10789" s="10">
        <f t="shared" si="1"/>
        <v>1</v>
      </c>
      <c r="G10789" s="10">
        <f t="array" ref="G10789">index('Player ID'!C:C,match(E10789,'Player ID'!B:B,0))</f>
        <v>641329</v>
      </c>
    </row>
    <row r="10790">
      <c r="A10790" s="76">
        <v>45838.0</v>
      </c>
      <c r="B10790" s="1" t="s">
        <v>698</v>
      </c>
      <c r="C10790" s="1" t="s">
        <v>68</v>
      </c>
      <c r="D10790" s="1">
        <v>1.0</v>
      </c>
      <c r="E10790" s="1">
        <v>20666.0</v>
      </c>
      <c r="F10790" s="10">
        <f t="shared" si="1"/>
        <v>1</v>
      </c>
      <c r="G10790" s="10">
        <f t="array" ref="G10790">index('Player ID'!C:C,match(E10790,'Player ID'!B:B,0))</f>
        <v>642585</v>
      </c>
    </row>
    <row r="10791">
      <c r="A10791" s="76">
        <v>45838.0</v>
      </c>
      <c r="B10791" s="1" t="s">
        <v>218</v>
      </c>
      <c r="C10791" s="1" t="s">
        <v>68</v>
      </c>
      <c r="D10791" s="1">
        <v>5.1</v>
      </c>
      <c r="E10791" s="1">
        <v>22286.0</v>
      </c>
      <c r="F10791" s="10">
        <f t="shared" si="1"/>
        <v>5.333333333</v>
      </c>
      <c r="G10791" s="10">
        <f t="array" ref="G10791">index('Player ID'!C:C,match(E10791,'Player ID'!B:B,0))</f>
        <v>669432</v>
      </c>
    </row>
    <row r="10792">
      <c r="A10792" s="76">
        <v>45838.0</v>
      </c>
      <c r="B10792" s="1" t="s">
        <v>268</v>
      </c>
      <c r="C10792" s="1" t="s">
        <v>56</v>
      </c>
      <c r="D10792" s="1">
        <v>1.0</v>
      </c>
      <c r="E10792" s="1">
        <v>23363.0</v>
      </c>
      <c r="F10792" s="10">
        <f t="shared" si="1"/>
        <v>1</v>
      </c>
      <c r="G10792" s="10">
        <f t="array" ref="G10792">index('Player ID'!C:C,match(E10792,'Player ID'!B:B,0))</f>
        <v>676395</v>
      </c>
    </row>
    <row r="10793">
      <c r="A10793" s="76">
        <v>45838.0</v>
      </c>
      <c r="B10793" s="1" t="s">
        <v>103</v>
      </c>
      <c r="C10793" s="1" t="s">
        <v>64</v>
      </c>
      <c r="D10793" s="1">
        <v>1.1</v>
      </c>
      <c r="E10793" s="1">
        <v>10197.0</v>
      </c>
      <c r="F10793" s="10">
        <f t="shared" si="1"/>
        <v>1.333333333</v>
      </c>
      <c r="G10793" s="10">
        <f t="array" ref="G10793">index('Player ID'!C:C,match(E10793,'Player ID'!B:B,0))</f>
        <v>571946</v>
      </c>
    </row>
    <row r="10794">
      <c r="A10794" s="76">
        <v>45838.0</v>
      </c>
      <c r="B10794" s="1" t="s">
        <v>20</v>
      </c>
      <c r="C10794" s="1" t="s">
        <v>31</v>
      </c>
      <c r="D10794" s="1">
        <v>1.0</v>
      </c>
      <c r="E10794" s="1">
        <v>15541.0</v>
      </c>
      <c r="F10794" s="10">
        <f t="shared" si="1"/>
        <v>1</v>
      </c>
      <c r="G10794" s="10">
        <f t="array" ref="G10794">index('Player ID'!C:C,match(E10794,'Player ID'!B:B,0))</f>
        <v>643511</v>
      </c>
    </row>
    <row r="10795">
      <c r="A10795" s="76">
        <v>45838.0</v>
      </c>
      <c r="B10795" s="1" t="s">
        <v>149</v>
      </c>
      <c r="C10795" s="1" t="s">
        <v>64</v>
      </c>
      <c r="D10795" s="1">
        <v>0.2</v>
      </c>
      <c r="E10795" s="1">
        <v>16128.0</v>
      </c>
      <c r="F10795" s="10">
        <f t="shared" si="1"/>
        <v>0.6666666667</v>
      </c>
      <c r="G10795" s="10" t="str">
        <f t="array" ref="G10795">index('Player ID'!C:C,match(E10795,'Player ID'!B:B,0))</f>
        <v>#N/A</v>
      </c>
    </row>
    <row r="10796">
      <c r="A10796" s="76">
        <v>45838.0</v>
      </c>
      <c r="B10796" s="1" t="s">
        <v>77</v>
      </c>
      <c r="C10796" s="1" t="s">
        <v>31</v>
      </c>
      <c r="D10796" s="1">
        <v>6.1</v>
      </c>
      <c r="E10796" s="1">
        <v>17995.0</v>
      </c>
      <c r="F10796" s="10">
        <f t="shared" si="1"/>
        <v>6.333333333</v>
      </c>
      <c r="G10796" s="10">
        <f t="array" ref="G10796">index('Player ID'!C:C,match(E10796,'Player ID'!B:B,0))</f>
        <v>657277</v>
      </c>
    </row>
    <row r="10797">
      <c r="A10797" s="76">
        <v>45838.0</v>
      </c>
      <c r="B10797" s="1" t="s">
        <v>370</v>
      </c>
      <c r="C10797" s="1" t="s">
        <v>64</v>
      </c>
      <c r="D10797" s="1">
        <v>0.1</v>
      </c>
      <c r="E10797" s="1">
        <v>21924.0</v>
      </c>
      <c r="F10797" s="10">
        <f t="shared" si="1"/>
        <v>0.3333333333</v>
      </c>
      <c r="G10797" s="10">
        <f t="array" ref="G10797">index('Player ID'!C:C,match(E10797,'Player ID'!B:B,0))</f>
        <v>666661</v>
      </c>
    </row>
    <row r="10798">
      <c r="A10798" s="76">
        <v>45838.0</v>
      </c>
      <c r="B10798" s="1" t="s">
        <v>654</v>
      </c>
      <c r="C10798" s="1" t="s">
        <v>31</v>
      </c>
      <c r="D10798" s="1">
        <v>0.2</v>
      </c>
      <c r="E10798" s="1">
        <v>23974.0</v>
      </c>
      <c r="F10798" s="10">
        <f t="shared" si="1"/>
        <v>0.6666666667</v>
      </c>
      <c r="G10798" s="10">
        <f t="array" ref="G10798">index('Player ID'!C:C,match(E10798,'Player ID'!B:B,0))</f>
        <v>678495</v>
      </c>
    </row>
    <row r="10799">
      <c r="A10799" s="76">
        <v>45838.0</v>
      </c>
      <c r="B10799" s="1" t="s">
        <v>93</v>
      </c>
      <c r="C10799" s="1" t="s">
        <v>64</v>
      </c>
      <c r="D10799" s="1">
        <v>6.2</v>
      </c>
      <c r="E10799" s="1">
        <v>26253.0</v>
      </c>
      <c r="F10799" s="10">
        <f t="shared" si="1"/>
        <v>6.666666667</v>
      </c>
      <c r="G10799" s="10">
        <f t="array" ref="G10799">index('Player ID'!C:C,match(E10799,'Player ID'!B:B,0))</f>
        <v>669194</v>
      </c>
    </row>
    <row r="10800">
      <c r="A10800" s="76">
        <v>45838.0</v>
      </c>
      <c r="B10800" s="1" t="s">
        <v>147</v>
      </c>
      <c r="C10800" s="1" t="s">
        <v>29</v>
      </c>
      <c r="D10800" s="1">
        <v>5.0</v>
      </c>
      <c r="E10800" s="1">
        <v>14078.0</v>
      </c>
      <c r="F10800" s="10">
        <f t="shared" si="1"/>
        <v>5</v>
      </c>
      <c r="G10800" s="10">
        <f t="array" ref="G10800">index('Player ID'!C:C,match(E10800,'Player ID'!B:B,0))</f>
        <v>608379</v>
      </c>
    </row>
    <row r="10801">
      <c r="A10801" s="76">
        <v>45838.0</v>
      </c>
      <c r="B10801" s="1" t="s">
        <v>53</v>
      </c>
      <c r="C10801" s="1" t="s">
        <v>37</v>
      </c>
      <c r="D10801" s="1">
        <v>1.0</v>
      </c>
      <c r="E10801" s="1">
        <v>17170.0</v>
      </c>
      <c r="F10801" s="10">
        <f t="shared" si="1"/>
        <v>1</v>
      </c>
      <c r="G10801" s="10">
        <f t="array" ref="G10801">index('Player ID'!C:C,match(E10801,'Player ID'!B:B,0))</f>
        <v>642100</v>
      </c>
    </row>
    <row r="10802">
      <c r="A10802" s="76">
        <v>45838.0</v>
      </c>
      <c r="B10802" s="1" t="s">
        <v>108</v>
      </c>
      <c r="C10802" s="1" t="s">
        <v>37</v>
      </c>
      <c r="D10802" s="1">
        <v>1.0</v>
      </c>
      <c r="E10802" s="1">
        <v>17948.0</v>
      </c>
      <c r="F10802" s="10">
        <f t="shared" si="1"/>
        <v>1</v>
      </c>
      <c r="G10802" s="10">
        <f t="array" ref="G10802">index('Player ID'!C:C,match(E10802,'Player ID'!B:B,0))</f>
        <v>663423</v>
      </c>
    </row>
    <row r="10803">
      <c r="A10803" s="76">
        <v>45838.0</v>
      </c>
      <c r="B10803" s="1" t="s">
        <v>407</v>
      </c>
      <c r="C10803" s="1" t="s">
        <v>29</v>
      </c>
      <c r="D10803" s="1">
        <v>1.0</v>
      </c>
      <c r="E10803" s="1">
        <v>19360.0</v>
      </c>
      <c r="F10803" s="10">
        <f t="shared" si="1"/>
        <v>1</v>
      </c>
      <c r="G10803" s="10">
        <f t="array" ref="G10803">index('Player ID'!C:C,match(E10803,'Player ID'!B:B,0))</f>
        <v>668674</v>
      </c>
    </row>
    <row r="10804">
      <c r="A10804" s="76">
        <v>45838.0</v>
      </c>
      <c r="B10804" s="1" t="s">
        <v>293</v>
      </c>
      <c r="C10804" s="1" t="s">
        <v>29</v>
      </c>
      <c r="D10804" s="1">
        <v>2.0</v>
      </c>
      <c r="E10804" s="1">
        <v>21537.0</v>
      </c>
      <c r="F10804" s="10">
        <f t="shared" si="1"/>
        <v>2</v>
      </c>
      <c r="G10804" s="10">
        <f t="array" ref="G10804">index('Player ID'!C:C,match(E10804,'Player ID'!B:B,0))</f>
        <v>663738</v>
      </c>
    </row>
    <row r="10805">
      <c r="A10805" s="76">
        <v>45838.0</v>
      </c>
      <c r="B10805" s="1" t="s">
        <v>164</v>
      </c>
      <c r="C10805" s="1" t="s">
        <v>37</v>
      </c>
      <c r="D10805" s="1">
        <v>6.0</v>
      </c>
      <c r="E10805" s="1">
        <v>25436.0</v>
      </c>
      <c r="F10805" s="10">
        <f t="shared" si="1"/>
        <v>6</v>
      </c>
      <c r="G10805" s="10">
        <f t="array" ref="G10805">index('Player ID'!C:C,match(E10805,'Player ID'!B:B,0))</f>
        <v>669923</v>
      </c>
    </row>
    <row r="10806">
      <c r="A10806" s="76">
        <v>45838.0</v>
      </c>
      <c r="B10806" s="1" t="s">
        <v>254</v>
      </c>
      <c r="C10806" s="1" t="s">
        <v>37</v>
      </c>
      <c r="D10806" s="1">
        <v>1.0</v>
      </c>
      <c r="E10806" s="1">
        <v>25756.0</v>
      </c>
      <c r="F10806" s="10">
        <f t="shared" si="1"/>
        <v>1</v>
      </c>
      <c r="G10806" s="10">
        <f t="array" ref="G10806">index('Player ID'!C:C,match(E10806,'Player ID'!B:B,0))</f>
        <v>666374</v>
      </c>
    </row>
    <row r="10807">
      <c r="A10807" s="76">
        <v>45839.0</v>
      </c>
      <c r="B10807" s="1" t="s">
        <v>166</v>
      </c>
      <c r="C10807" s="1" t="s">
        <v>58</v>
      </c>
      <c r="D10807" s="1">
        <v>6.0</v>
      </c>
      <c r="E10807" s="1">
        <v>13743.0</v>
      </c>
      <c r="F10807" s="10">
        <f t="shared" si="1"/>
        <v>6</v>
      </c>
      <c r="G10807" s="10">
        <f t="array" ref="G10807">index('Player ID'!C:C,match(E10807,'Player ID'!B:B,0))</f>
        <v>608331</v>
      </c>
    </row>
    <row r="10808">
      <c r="A10808" s="76">
        <v>45839.0</v>
      </c>
      <c r="B10808" s="1" t="s">
        <v>155</v>
      </c>
      <c r="C10808" s="1" t="s">
        <v>40</v>
      </c>
      <c r="D10808" s="1">
        <v>5.0</v>
      </c>
      <c r="E10808" s="1">
        <v>14107.0</v>
      </c>
      <c r="F10808" s="10">
        <f t="shared" si="1"/>
        <v>5</v>
      </c>
      <c r="G10808" s="10">
        <f t="array" ref="G10808">index('Player ID'!C:C,match(E10808,'Player ID'!B:B,0))</f>
        <v>592332</v>
      </c>
    </row>
    <row r="10809">
      <c r="A10809" s="76">
        <v>45839.0</v>
      </c>
      <c r="B10809" s="1" t="s">
        <v>467</v>
      </c>
      <c r="C10809" s="1" t="s">
        <v>58</v>
      </c>
      <c r="D10809" s="1">
        <v>0.1</v>
      </c>
      <c r="E10809" s="1">
        <v>15551.0</v>
      </c>
      <c r="F10809" s="10">
        <f t="shared" si="1"/>
        <v>0.3333333333</v>
      </c>
      <c r="G10809" s="10">
        <f t="array" ref="G10809">index('Player ID'!C:C,match(E10809,'Player ID'!B:B,0))</f>
        <v>643410</v>
      </c>
    </row>
    <row r="10810">
      <c r="A10810" s="76">
        <v>45839.0</v>
      </c>
      <c r="B10810" s="1" t="s">
        <v>174</v>
      </c>
      <c r="C10810" s="1" t="s">
        <v>40</v>
      </c>
      <c r="D10810" s="1">
        <v>1.0</v>
      </c>
      <c r="E10810" s="1">
        <v>15552.0</v>
      </c>
      <c r="F10810" s="10">
        <f t="shared" si="1"/>
        <v>1</v>
      </c>
      <c r="G10810" s="10">
        <f t="array" ref="G10810">index('Player ID'!C:C,match(E10810,'Player ID'!B:B,0))</f>
        <v>643338</v>
      </c>
    </row>
    <row r="10811">
      <c r="A10811" s="76">
        <v>45839.0</v>
      </c>
      <c r="B10811" s="1" t="s">
        <v>225</v>
      </c>
      <c r="C10811" s="1" t="s">
        <v>58</v>
      </c>
      <c r="D10811" s="1">
        <v>0.1</v>
      </c>
      <c r="E10811" s="1">
        <v>16918.0</v>
      </c>
      <c r="F10811" s="10">
        <f t="shared" si="1"/>
        <v>0.3333333333</v>
      </c>
      <c r="G10811" s="10">
        <f t="array" ref="G10811">index('Player ID'!C:C,match(E10811,'Player ID'!B:B,0))</f>
        <v>596133</v>
      </c>
    </row>
    <row r="10812">
      <c r="A10812" s="76">
        <v>45839.0</v>
      </c>
      <c r="B10812" s="1" t="s">
        <v>594</v>
      </c>
      <c r="C10812" s="1" t="s">
        <v>58</v>
      </c>
      <c r="D10812" s="1">
        <v>0.1</v>
      </c>
      <c r="E10812" s="1">
        <v>17578.0</v>
      </c>
      <c r="F10812" s="10">
        <f t="shared" si="1"/>
        <v>0.3333333333</v>
      </c>
      <c r="G10812" s="10" t="str">
        <f t="array" ref="G10812">index('Player ID'!C:C,match(E10812,'Player ID'!B:B,0))</f>
        <v>#N/A</v>
      </c>
    </row>
    <row r="10813">
      <c r="A10813" s="76">
        <v>45839.0</v>
      </c>
      <c r="B10813" s="1" t="s">
        <v>906</v>
      </c>
      <c r="C10813" s="1" t="s">
        <v>58</v>
      </c>
      <c r="D10813" s="1">
        <v>1.0</v>
      </c>
      <c r="E10813" s="1">
        <v>19558.0</v>
      </c>
      <c r="F10813" s="10">
        <f t="shared" si="1"/>
        <v>1</v>
      </c>
      <c r="G10813" s="10" t="str">
        <f t="array" ref="G10813">index('Player ID'!C:C,match(E10813,'Player ID'!B:B,0))</f>
        <v>#N/A</v>
      </c>
    </row>
    <row r="10814">
      <c r="A10814" s="76">
        <v>45839.0</v>
      </c>
      <c r="B10814" s="1" t="s">
        <v>641</v>
      </c>
      <c r="C10814" s="1" t="s">
        <v>40</v>
      </c>
      <c r="D10814" s="1">
        <v>1.0</v>
      </c>
      <c r="E10814" s="1">
        <v>20517.0</v>
      </c>
      <c r="F10814" s="10">
        <f t="shared" si="1"/>
        <v>1</v>
      </c>
      <c r="G10814" s="10">
        <f t="array" ref="G10814">index('Player ID'!C:C,match(E10814,'Player ID'!B:B,0))</f>
        <v>680704</v>
      </c>
    </row>
    <row r="10815">
      <c r="A10815" s="76">
        <v>45839.0</v>
      </c>
      <c r="B10815" s="1" t="s">
        <v>884</v>
      </c>
      <c r="C10815" s="1" t="s">
        <v>40</v>
      </c>
      <c r="D10815" s="1">
        <v>0.1</v>
      </c>
      <c r="E10815" s="1">
        <v>23779.0</v>
      </c>
      <c r="F10815" s="10">
        <f t="shared" si="1"/>
        <v>0.3333333333</v>
      </c>
      <c r="G10815" s="10" t="str">
        <f t="array" ref="G10815">index('Player ID'!C:C,match(E10815,'Player ID'!B:B,0))</f>
        <v>#N/A</v>
      </c>
    </row>
    <row r="10816">
      <c r="A10816" s="76">
        <v>45839.0</v>
      </c>
      <c r="B10816" s="1" t="s">
        <v>315</v>
      </c>
      <c r="C10816" s="1" t="s">
        <v>40</v>
      </c>
      <c r="D10816" s="1">
        <v>0.2</v>
      </c>
      <c r="E10816" s="1">
        <v>24609.0</v>
      </c>
      <c r="F10816" s="10">
        <f t="shared" si="1"/>
        <v>0.6666666667</v>
      </c>
      <c r="G10816" s="10">
        <f t="array" ref="G10816">index('Player ID'!C:C,match(E10816,'Player ID'!B:B,0))</f>
        <v>680755</v>
      </c>
    </row>
    <row r="10817">
      <c r="A10817" s="76">
        <v>45839.0</v>
      </c>
      <c r="B10817" s="1" t="s">
        <v>427</v>
      </c>
      <c r="C10817" s="1" t="s">
        <v>40</v>
      </c>
      <c r="D10817" s="1">
        <v>1.0</v>
      </c>
      <c r="E10817" s="1">
        <v>33838.0</v>
      </c>
      <c r="F10817" s="10">
        <f t="shared" si="1"/>
        <v>1</v>
      </c>
      <c r="G10817" s="10">
        <f t="array" ref="G10817">index('Player ID'!C:C,match(E10817,'Player ID'!B:B,0))</f>
        <v>684320</v>
      </c>
    </row>
    <row r="10818">
      <c r="A10818" s="76">
        <v>45839.0</v>
      </c>
      <c r="B10818" s="1" t="s">
        <v>190</v>
      </c>
      <c r="C10818" s="1" t="s">
        <v>72</v>
      </c>
      <c r="D10818" s="1">
        <v>1.0</v>
      </c>
      <c r="E10818" s="1">
        <v>18064.0</v>
      </c>
      <c r="F10818" s="10">
        <f t="shared" si="1"/>
        <v>1</v>
      </c>
      <c r="G10818" s="10">
        <f t="array" ref="G10818">index('Player ID'!C:C,match(E10818,'Player ID'!B:B,0))</f>
        <v>664208</v>
      </c>
    </row>
    <row r="10819">
      <c r="A10819" s="76">
        <v>45839.0</v>
      </c>
      <c r="B10819" s="1" t="s">
        <v>107</v>
      </c>
      <c r="C10819" s="1" t="s">
        <v>60</v>
      </c>
      <c r="D10819" s="1">
        <v>2.0</v>
      </c>
      <c r="E10819" s="1">
        <v>19349.0</v>
      </c>
      <c r="F10819" s="10">
        <f t="shared" si="1"/>
        <v>2</v>
      </c>
      <c r="G10819" s="10">
        <f t="array" ref="G10819">index('Player ID'!C:C,match(E10819,'Player ID'!B:B,0))</f>
        <v>657571</v>
      </c>
    </row>
    <row r="10820">
      <c r="A10820" s="76">
        <v>45839.0</v>
      </c>
      <c r="B10820" s="1" t="s">
        <v>183</v>
      </c>
      <c r="C10820" s="1" t="s">
        <v>60</v>
      </c>
      <c r="D10820" s="1">
        <v>1.0</v>
      </c>
      <c r="E10820" s="1">
        <v>19569.0</v>
      </c>
      <c r="F10820" s="10">
        <f t="shared" si="1"/>
        <v>1</v>
      </c>
      <c r="G10820" s="10">
        <f t="array" ref="G10820">index('Player ID'!C:C,match(E10820,'Player ID'!B:B,0))</f>
        <v>670280</v>
      </c>
    </row>
    <row r="10821">
      <c r="A10821" s="76">
        <v>45839.0</v>
      </c>
      <c r="B10821" s="1" t="s">
        <v>338</v>
      </c>
      <c r="C10821" s="1" t="s">
        <v>60</v>
      </c>
      <c r="D10821" s="1">
        <v>1.0</v>
      </c>
      <c r="E10821" s="1">
        <v>20385.0</v>
      </c>
      <c r="F10821" s="10">
        <f t="shared" si="1"/>
        <v>1</v>
      </c>
      <c r="G10821" s="10" t="str">
        <f t="array" ref="G10821">index('Player ID'!C:C,match(E10821,'Player ID'!B:B,0))</f>
        <v>#N/A</v>
      </c>
    </row>
    <row r="10822">
      <c r="A10822" s="76">
        <v>45839.0</v>
      </c>
      <c r="B10822" s="1" t="s">
        <v>432</v>
      </c>
      <c r="C10822" s="1" t="s">
        <v>72</v>
      </c>
      <c r="D10822" s="1">
        <v>7.0</v>
      </c>
      <c r="E10822" s="1">
        <v>26108.0</v>
      </c>
      <c r="F10822" s="10">
        <f t="shared" si="1"/>
        <v>7</v>
      </c>
      <c r="G10822" s="10">
        <f t="array" ref="G10822">index('Player ID'!C:C,match(E10822,'Player ID'!B:B,0))</f>
        <v>669467</v>
      </c>
    </row>
    <row r="10823">
      <c r="A10823" s="76">
        <v>45839.0</v>
      </c>
      <c r="B10823" s="1" t="s">
        <v>88</v>
      </c>
      <c r="C10823" s="1" t="s">
        <v>60</v>
      </c>
      <c r="D10823" s="1">
        <v>5.0</v>
      </c>
      <c r="E10823" s="1">
        <v>33677.0</v>
      </c>
      <c r="F10823" s="10">
        <f t="shared" si="1"/>
        <v>5</v>
      </c>
      <c r="G10823" s="10">
        <f t="array" ref="G10823">index('Player ID'!C:C,match(E10823,'Player ID'!B:B,0))</f>
        <v>694973</v>
      </c>
    </row>
    <row r="10824">
      <c r="A10824" s="76">
        <v>45839.0</v>
      </c>
      <c r="B10824" s="1" t="s">
        <v>89</v>
      </c>
      <c r="C10824" s="1" t="s">
        <v>36</v>
      </c>
      <c r="D10824" s="1">
        <v>1.0</v>
      </c>
      <c r="E10824" s="1">
        <v>19742.0</v>
      </c>
      <c r="F10824" s="10">
        <f t="shared" si="1"/>
        <v>1</v>
      </c>
      <c r="G10824" s="10">
        <f t="array" ref="G10824">index('Player ID'!C:C,match(E10824,'Player ID'!B:B,0))</f>
        <v>669622</v>
      </c>
    </row>
    <row r="10825">
      <c r="A10825" s="76">
        <v>45839.0</v>
      </c>
      <c r="B10825" s="1" t="s">
        <v>150</v>
      </c>
      <c r="C10825" s="1" t="s">
        <v>16</v>
      </c>
      <c r="D10825" s="1">
        <v>7.0</v>
      </c>
      <c r="E10825" s="1">
        <v>21390.0</v>
      </c>
      <c r="F10825" s="10">
        <f t="shared" si="1"/>
        <v>7</v>
      </c>
      <c r="G10825" s="10">
        <f t="array" ref="G10825">index('Player ID'!C:C,match(E10825,'Player ID'!B:B,0))</f>
        <v>657746</v>
      </c>
    </row>
    <row r="10826">
      <c r="A10826" s="76">
        <v>45839.0</v>
      </c>
      <c r="B10826" s="1" t="s">
        <v>171</v>
      </c>
      <c r="C10826" s="1" t="s">
        <v>36</v>
      </c>
      <c r="D10826" s="1">
        <v>7.0</v>
      </c>
      <c r="E10826" s="1">
        <v>21690.0</v>
      </c>
      <c r="F10826" s="10">
        <f t="shared" si="1"/>
        <v>7</v>
      </c>
      <c r="G10826" s="10">
        <f t="array" ref="G10826">index('Player ID'!C:C,match(E10826,'Player ID'!B:B,0))</f>
        <v>665795</v>
      </c>
    </row>
    <row r="10827">
      <c r="A10827" s="76">
        <v>45839.0</v>
      </c>
      <c r="B10827" s="1" t="s">
        <v>123</v>
      </c>
      <c r="C10827" s="1" t="s">
        <v>36</v>
      </c>
      <c r="D10827" s="1">
        <v>1.0</v>
      </c>
      <c r="E10827" s="1">
        <v>24094.0</v>
      </c>
      <c r="F10827" s="10">
        <f t="shared" si="1"/>
        <v>1</v>
      </c>
      <c r="G10827" s="10">
        <f t="array" ref="G10827">index('Player ID'!C:C,match(E10827,'Player ID'!B:B,0))</f>
        <v>678692</v>
      </c>
    </row>
    <row r="10828">
      <c r="A10828" s="76">
        <v>45839.0</v>
      </c>
      <c r="B10828" s="1" t="s">
        <v>47</v>
      </c>
      <c r="C10828" s="1" t="s">
        <v>16</v>
      </c>
      <c r="D10828" s="1">
        <v>1.0</v>
      </c>
      <c r="E10828" s="1">
        <v>27691.0</v>
      </c>
      <c r="F10828" s="10">
        <f t="shared" si="1"/>
        <v>1</v>
      </c>
      <c r="G10828" s="10">
        <f t="array" ref="G10828">index('Player ID'!C:C,match(E10828,'Player ID'!B:B,0))</f>
        <v>686973</v>
      </c>
    </row>
    <row r="10829">
      <c r="A10829" s="76">
        <v>45839.0</v>
      </c>
      <c r="B10829" s="1" t="s">
        <v>436</v>
      </c>
      <c r="C10829" s="1" t="s">
        <v>52</v>
      </c>
      <c r="D10829" s="1">
        <v>1.0</v>
      </c>
      <c r="E10829" s="1">
        <v>12791.0</v>
      </c>
      <c r="F10829" s="10">
        <f t="shared" si="1"/>
        <v>1</v>
      </c>
      <c r="G10829" s="10" t="str">
        <f t="array" ref="G10829">index('Player ID'!C:C,match(E10829,'Player ID'!B:B,0))</f>
        <v>#N/A</v>
      </c>
    </row>
    <row r="10830">
      <c r="A10830" s="76">
        <v>45839.0</v>
      </c>
      <c r="B10830" s="1" t="s">
        <v>415</v>
      </c>
      <c r="C10830" s="1" t="s">
        <v>52</v>
      </c>
      <c r="D10830" s="1">
        <v>1.2</v>
      </c>
      <c r="E10830" s="1">
        <v>16943.0</v>
      </c>
      <c r="F10830" s="10">
        <f t="shared" si="1"/>
        <v>1.666666667</v>
      </c>
      <c r="G10830" s="10">
        <f t="array" ref="G10830">index('Player ID'!C:C,match(E10830,'Player ID'!B:B,0))</f>
        <v>656794</v>
      </c>
    </row>
    <row r="10831">
      <c r="A10831" s="76">
        <v>45839.0</v>
      </c>
      <c r="B10831" s="1" t="s">
        <v>336</v>
      </c>
      <c r="C10831" s="1" t="s">
        <v>52</v>
      </c>
      <c r="D10831" s="1">
        <v>5.1</v>
      </c>
      <c r="E10831" s="1">
        <v>17677.0</v>
      </c>
      <c r="F10831" s="10">
        <f t="shared" si="1"/>
        <v>5.333333333</v>
      </c>
      <c r="G10831" s="10">
        <f t="array" ref="G10831">index('Player ID'!C:C,match(E10831,'Player ID'!B:B,0))</f>
        <v>605488</v>
      </c>
    </row>
    <row r="10832">
      <c r="A10832" s="76">
        <v>45839.0</v>
      </c>
      <c r="B10832" s="1" t="s">
        <v>185</v>
      </c>
      <c r="C10832" s="1" t="s">
        <v>54</v>
      </c>
      <c r="D10832" s="1">
        <v>1.0</v>
      </c>
      <c r="E10832" s="1">
        <v>17897.0</v>
      </c>
      <c r="F10832" s="10">
        <f t="shared" si="1"/>
        <v>1</v>
      </c>
      <c r="G10832" s="10">
        <f t="array" ref="G10832">index('Player ID'!C:C,match(E10832,'Player ID'!B:B,0))</f>
        <v>664076</v>
      </c>
    </row>
    <row r="10833">
      <c r="A10833" s="76">
        <v>45839.0</v>
      </c>
      <c r="B10833" s="1" t="s">
        <v>261</v>
      </c>
      <c r="C10833" s="1" t="s">
        <v>54</v>
      </c>
      <c r="D10833" s="1">
        <v>1.0</v>
      </c>
      <c r="E10833" s="1">
        <v>17998.0</v>
      </c>
      <c r="F10833" s="10">
        <f t="shared" si="1"/>
        <v>1</v>
      </c>
      <c r="G10833" s="10">
        <f t="array" ref="G10833">index('Player ID'!C:C,match(E10833,'Player ID'!B:B,0))</f>
        <v>664126</v>
      </c>
    </row>
    <row r="10834">
      <c r="A10834" s="76">
        <v>45839.0</v>
      </c>
      <c r="B10834" s="1" t="s">
        <v>242</v>
      </c>
      <c r="C10834" s="1" t="s">
        <v>54</v>
      </c>
      <c r="D10834" s="1">
        <v>7.0</v>
      </c>
      <c r="E10834" s="1">
        <v>22264.0</v>
      </c>
      <c r="F10834" s="10">
        <f t="shared" si="1"/>
        <v>7</v>
      </c>
      <c r="G10834" s="10">
        <f t="array" ref="G10834">index('Player ID'!C:C,match(E10834,'Player ID'!B:B,0))</f>
        <v>669358</v>
      </c>
    </row>
    <row r="10835">
      <c r="A10835" s="76">
        <v>45839.0</v>
      </c>
      <c r="B10835" s="1" t="s">
        <v>213</v>
      </c>
      <c r="C10835" s="1" t="s">
        <v>52</v>
      </c>
      <c r="D10835" s="1">
        <v>1.0</v>
      </c>
      <c r="E10835" s="1">
        <v>27694.0</v>
      </c>
      <c r="F10835" s="10">
        <f t="shared" si="1"/>
        <v>1</v>
      </c>
      <c r="G10835" s="10">
        <f t="array" ref="G10835">index('Player ID'!C:C,match(E10835,'Player ID'!B:B,0))</f>
        <v>686993</v>
      </c>
    </row>
    <row r="10836">
      <c r="A10836" s="76">
        <v>45839.0</v>
      </c>
      <c r="B10836" s="1" t="s">
        <v>334</v>
      </c>
      <c r="C10836" s="1" t="s">
        <v>54</v>
      </c>
      <c r="D10836" s="1">
        <v>1.0</v>
      </c>
      <c r="E10836" s="1">
        <v>29770.0</v>
      </c>
      <c r="F10836" s="10">
        <f t="shared" si="1"/>
        <v>1</v>
      </c>
      <c r="G10836" s="10">
        <f t="array" ref="G10836">index('Player ID'!C:C,match(E10836,'Player ID'!B:B,0))</f>
        <v>682254</v>
      </c>
    </row>
    <row r="10837">
      <c r="A10837" s="76">
        <v>45839.0</v>
      </c>
      <c r="B10837" s="1" t="s">
        <v>286</v>
      </c>
      <c r="C10837" s="1" t="s">
        <v>52</v>
      </c>
      <c r="D10837" s="1">
        <v>1.0</v>
      </c>
      <c r="E10837" s="1">
        <v>31757.0</v>
      </c>
      <c r="F10837" s="10">
        <f t="shared" si="1"/>
        <v>1</v>
      </c>
      <c r="G10837" s="10">
        <f t="array" ref="G10837">index('Player ID'!C:C,match(E10837,'Player ID'!B:B,0))</f>
        <v>695243</v>
      </c>
    </row>
    <row r="10838">
      <c r="A10838" s="76">
        <v>45839.0</v>
      </c>
      <c r="B10838" s="1" t="s">
        <v>41</v>
      </c>
      <c r="C10838" s="1" t="s">
        <v>22</v>
      </c>
      <c r="D10838" s="1">
        <v>1.0</v>
      </c>
      <c r="E10838" s="1">
        <v>10233.0</v>
      </c>
      <c r="F10838" s="10">
        <f t="shared" si="1"/>
        <v>1</v>
      </c>
      <c r="G10838" s="10">
        <f t="array" ref="G10838">index('Player ID'!C:C,match(E10838,'Player ID'!B:B,0))</f>
        <v>547973</v>
      </c>
    </row>
    <row r="10839">
      <c r="A10839" s="76">
        <v>45839.0</v>
      </c>
      <c r="B10839" s="1" t="s">
        <v>652</v>
      </c>
      <c r="C10839" s="1" t="s">
        <v>66</v>
      </c>
      <c r="D10839" s="1">
        <v>2.0</v>
      </c>
      <c r="E10839" s="1">
        <v>14874.0</v>
      </c>
      <c r="F10839" s="10">
        <f t="shared" si="1"/>
        <v>2</v>
      </c>
      <c r="G10839" s="10">
        <f t="array" ref="G10839">index('Player ID'!C:C,match(E10839,'Player ID'!B:B,0))</f>
        <v>594580</v>
      </c>
    </row>
    <row r="10840">
      <c r="A10840" s="76">
        <v>45839.0</v>
      </c>
      <c r="B10840" s="1" t="s">
        <v>475</v>
      </c>
      <c r="C10840" s="1" t="s">
        <v>66</v>
      </c>
      <c r="D10840" s="1">
        <v>1.0</v>
      </c>
      <c r="E10840" s="1">
        <v>14993.0</v>
      </c>
      <c r="F10840" s="10">
        <f t="shared" si="1"/>
        <v>1</v>
      </c>
      <c r="G10840" s="10">
        <f t="array" ref="G10840">index('Player ID'!C:C,match(E10840,'Player ID'!B:B,0))</f>
        <v>605130</v>
      </c>
    </row>
    <row r="10841">
      <c r="A10841" s="76">
        <v>45840.0</v>
      </c>
      <c r="B10841" s="1" t="s">
        <v>410</v>
      </c>
      <c r="C10841" s="1" t="s">
        <v>22</v>
      </c>
      <c r="D10841" s="1">
        <v>5.0</v>
      </c>
      <c r="E10841" s="1">
        <v>23920.0</v>
      </c>
      <c r="F10841" s="10">
        <f t="shared" si="1"/>
        <v>5</v>
      </c>
      <c r="G10841" s="10">
        <f t="array" ref="G10841">index('Player ID'!C:C,match(E10841,'Player ID'!B:B,0))</f>
        <v>678394</v>
      </c>
    </row>
    <row r="10842">
      <c r="A10842" s="76">
        <v>45839.0</v>
      </c>
      <c r="B10842" s="1" t="s">
        <v>518</v>
      </c>
      <c r="C10842" s="1" t="s">
        <v>66</v>
      </c>
      <c r="D10842" s="1">
        <v>2.0</v>
      </c>
      <c r="E10842" s="1">
        <v>24581.0</v>
      </c>
      <c r="F10842" s="10">
        <f t="shared" si="1"/>
        <v>2</v>
      </c>
      <c r="G10842" s="10">
        <f t="array" ref="G10842">index('Player ID'!C:C,match(E10842,'Player ID'!B:B,0))</f>
        <v>680689</v>
      </c>
    </row>
    <row r="10843">
      <c r="A10843" s="76">
        <v>45839.0</v>
      </c>
      <c r="B10843" s="1" t="s">
        <v>353</v>
      </c>
      <c r="C10843" s="1" t="s">
        <v>66</v>
      </c>
      <c r="D10843" s="1">
        <v>3.0</v>
      </c>
      <c r="E10843" s="1">
        <v>25377.0</v>
      </c>
      <c r="F10843" s="10">
        <f t="shared" si="1"/>
        <v>3</v>
      </c>
      <c r="G10843" s="10">
        <f t="array" ref="G10843">index('Player ID'!C:C,match(E10843,'Player ID'!B:B,0))</f>
        <v>663903</v>
      </c>
    </row>
    <row r="10844">
      <c r="A10844" s="76">
        <v>45839.0</v>
      </c>
      <c r="B10844" s="1" t="s">
        <v>152</v>
      </c>
      <c r="C10844" s="1" t="s">
        <v>22</v>
      </c>
      <c r="D10844" s="1">
        <v>3.0</v>
      </c>
      <c r="E10844" s="1">
        <v>30160.0</v>
      </c>
      <c r="F10844" s="10">
        <f t="shared" si="1"/>
        <v>3</v>
      </c>
      <c r="G10844" s="10">
        <f t="array" ref="G10844">index('Player ID'!C:C,match(E10844,'Player ID'!B:B,0))</f>
        <v>690916</v>
      </c>
    </row>
    <row r="10845">
      <c r="A10845" s="76">
        <v>45839.0</v>
      </c>
      <c r="B10845" s="1" t="s">
        <v>154</v>
      </c>
      <c r="C10845" s="1" t="s">
        <v>25</v>
      </c>
      <c r="D10845" s="1">
        <v>1.0</v>
      </c>
      <c r="E10845" s="1">
        <v>3096.0</v>
      </c>
      <c r="F10845" s="10">
        <f t="shared" si="1"/>
        <v>1</v>
      </c>
      <c r="G10845" s="10">
        <f t="array" ref="G10845">index('Player ID'!C:C,match(E10845,'Player ID'!B:B,0))</f>
        <v>445276</v>
      </c>
    </row>
    <row r="10846">
      <c r="A10846" s="76">
        <v>45839.0</v>
      </c>
      <c r="B10846" s="1" t="s">
        <v>278</v>
      </c>
      <c r="C10846" s="1" t="s">
        <v>25</v>
      </c>
      <c r="D10846" s="1">
        <v>6.0</v>
      </c>
      <c r="E10846" s="1">
        <v>12880.0</v>
      </c>
      <c r="F10846" s="10">
        <f t="shared" si="1"/>
        <v>6</v>
      </c>
      <c r="G10846" s="10">
        <f t="array" ref="G10846">index('Player ID'!C:C,match(E10846,'Player ID'!B:B,0))</f>
        <v>542881</v>
      </c>
    </row>
    <row r="10847">
      <c r="A10847" s="76">
        <v>45839.0</v>
      </c>
      <c r="B10847" s="1" t="s">
        <v>178</v>
      </c>
      <c r="C10847" s="1" t="s">
        <v>46</v>
      </c>
      <c r="D10847" s="1">
        <v>1.0</v>
      </c>
      <c r="E10847" s="1">
        <v>13435.0</v>
      </c>
      <c r="F10847" s="10">
        <f t="shared" si="1"/>
        <v>1</v>
      </c>
      <c r="G10847" s="10">
        <f t="array" ref="G10847">index('Player ID'!C:C,match(E10847,'Player ID'!B:B,0))</f>
        <v>572955</v>
      </c>
    </row>
    <row r="10848">
      <c r="A10848" s="76">
        <v>45839.0</v>
      </c>
      <c r="B10848" s="1" t="s">
        <v>748</v>
      </c>
      <c r="C10848" s="1" t="s">
        <v>46</v>
      </c>
      <c r="D10848" s="1">
        <v>1.0</v>
      </c>
      <c r="E10848" s="1">
        <v>15369.0</v>
      </c>
      <c r="F10848" s="10">
        <f t="shared" si="1"/>
        <v>1</v>
      </c>
      <c r="G10848" s="10">
        <f t="array" ref="G10848">index('Player ID'!C:C,match(E10848,'Player ID'!B:B,0))</f>
        <v>643361</v>
      </c>
    </row>
    <row r="10849">
      <c r="A10849" s="76">
        <v>45839.0</v>
      </c>
      <c r="B10849" s="1" t="s">
        <v>366</v>
      </c>
      <c r="C10849" s="1" t="s">
        <v>46</v>
      </c>
      <c r="D10849" s="1">
        <v>6.0</v>
      </c>
      <c r="E10849" s="1">
        <v>16944.0</v>
      </c>
      <c r="F10849" s="10">
        <f t="shared" si="1"/>
        <v>6</v>
      </c>
      <c r="G10849" s="10">
        <f t="array" ref="G10849">index('Player ID'!C:C,match(E10849,'Player ID'!B:B,0))</f>
        <v>656550</v>
      </c>
    </row>
    <row r="10850">
      <c r="A10850" s="76">
        <v>45839.0</v>
      </c>
      <c r="B10850" s="1" t="s">
        <v>346</v>
      </c>
      <c r="C10850" s="1" t="s">
        <v>46</v>
      </c>
      <c r="D10850" s="1">
        <v>0.2</v>
      </c>
      <c r="E10850" s="1">
        <v>18403.0</v>
      </c>
      <c r="F10850" s="10">
        <f t="shared" si="1"/>
        <v>0.6666666667</v>
      </c>
      <c r="G10850" s="10">
        <f t="array" ref="G10850">index('Player ID'!C:C,match(E10850,'Player ID'!B:B,0))</f>
        <v>660853</v>
      </c>
    </row>
    <row r="10851">
      <c r="A10851" s="76">
        <v>45839.0</v>
      </c>
      <c r="B10851" s="1" t="s">
        <v>91</v>
      </c>
      <c r="C10851" s="1" t="s">
        <v>46</v>
      </c>
      <c r="D10851" s="1">
        <v>0.1</v>
      </c>
      <c r="E10851" s="1">
        <v>19996.0</v>
      </c>
      <c r="F10851" s="10">
        <f t="shared" si="1"/>
        <v>0.3333333333</v>
      </c>
      <c r="G10851" s="10">
        <f t="array" ref="G10851">index('Player ID'!C:C,match(E10851,'Player ID'!B:B,0))</f>
        <v>669276</v>
      </c>
    </row>
    <row r="10852">
      <c r="A10852" s="76">
        <v>45839.0</v>
      </c>
      <c r="B10852" s="1" t="s">
        <v>24</v>
      </c>
      <c r="C10852" s="1" t="s">
        <v>25</v>
      </c>
      <c r="D10852" s="1">
        <v>1.0</v>
      </c>
      <c r="E10852" s="1">
        <v>27468.0</v>
      </c>
      <c r="F10852" s="10">
        <f t="shared" si="1"/>
        <v>1</v>
      </c>
      <c r="G10852" s="10">
        <f t="array" ref="G10852">index('Player ID'!C:C,match(E10852,'Player ID'!B:B,0))</f>
        <v>672282</v>
      </c>
    </row>
    <row r="10853">
      <c r="A10853" s="76">
        <v>45839.0</v>
      </c>
      <c r="B10853" s="1" t="s">
        <v>381</v>
      </c>
      <c r="C10853" s="1" t="s">
        <v>25</v>
      </c>
      <c r="D10853" s="1">
        <v>1.0</v>
      </c>
      <c r="E10853" s="1">
        <v>33908.0</v>
      </c>
      <c r="F10853" s="10">
        <f t="shared" si="1"/>
        <v>1</v>
      </c>
      <c r="G10853" s="10">
        <f t="array" ref="G10853">index('Player ID'!C:C,match(E10853,'Player ID'!B:B,0))</f>
        <v>820862</v>
      </c>
    </row>
    <row r="10854">
      <c r="A10854" s="76">
        <v>45839.0</v>
      </c>
      <c r="B10854" s="1" t="s">
        <v>57</v>
      </c>
      <c r="C10854" s="1" t="s">
        <v>56</v>
      </c>
      <c r="D10854" s="1">
        <v>6.0</v>
      </c>
      <c r="E10854" s="1">
        <v>10954.0</v>
      </c>
      <c r="F10854" s="10">
        <f t="shared" si="1"/>
        <v>6</v>
      </c>
      <c r="G10854" s="10">
        <f t="array" ref="G10854">index('Player ID'!C:C,match(E10854,'Player ID'!B:B,0))</f>
        <v>594798</v>
      </c>
    </row>
    <row r="10855">
      <c r="A10855" s="76">
        <v>45839.0</v>
      </c>
      <c r="B10855" s="1" t="s">
        <v>723</v>
      </c>
      <c r="C10855" s="1" t="s">
        <v>68</v>
      </c>
      <c r="D10855" s="1">
        <v>1.2</v>
      </c>
      <c r="E10855" s="1">
        <v>13528.0</v>
      </c>
      <c r="F10855" s="10">
        <f t="shared" si="1"/>
        <v>1.666666667</v>
      </c>
      <c r="G10855" s="10">
        <f t="array" ref="G10855">index('Player ID'!C:C,match(E10855,'Player ID'!B:B,0))</f>
        <v>621199</v>
      </c>
    </row>
    <row r="10856">
      <c r="A10856" s="76">
        <v>45839.0</v>
      </c>
      <c r="B10856" s="1" t="s">
        <v>233</v>
      </c>
      <c r="C10856" s="1" t="s">
        <v>68</v>
      </c>
      <c r="D10856" s="1">
        <v>1.1</v>
      </c>
      <c r="E10856" s="1">
        <v>16427.0</v>
      </c>
      <c r="F10856" s="10">
        <f t="shared" si="1"/>
        <v>1.333333333</v>
      </c>
      <c r="G10856" s="10">
        <f t="array" ref="G10856">index('Player ID'!C:C,match(E10856,'Player ID'!B:B,0))</f>
        <v>656240</v>
      </c>
    </row>
    <row r="10857">
      <c r="A10857" s="76">
        <v>45839.0</v>
      </c>
      <c r="B10857" s="1" t="s">
        <v>433</v>
      </c>
      <c r="C10857" s="1" t="s">
        <v>68</v>
      </c>
      <c r="D10857" s="1">
        <v>0.2</v>
      </c>
      <c r="E10857" s="1">
        <v>19677.0</v>
      </c>
      <c r="F10857" s="10">
        <f t="shared" si="1"/>
        <v>0.6666666667</v>
      </c>
      <c r="G10857" s="10">
        <f t="array" ref="G10857">index('Player ID'!C:C,match(E10857,'Player ID'!B:B,0))</f>
        <v>642397</v>
      </c>
    </row>
    <row r="10858">
      <c r="A10858" s="76">
        <v>45839.0</v>
      </c>
      <c r="B10858" s="1" t="s">
        <v>111</v>
      </c>
      <c r="C10858" s="1" t="s">
        <v>56</v>
      </c>
      <c r="D10858" s="1">
        <v>3.0</v>
      </c>
      <c r="E10858" s="1">
        <v>21306.0</v>
      </c>
      <c r="F10858" s="10">
        <f t="shared" si="1"/>
        <v>3</v>
      </c>
      <c r="G10858" s="10">
        <f t="array" ref="G10858">index('Player ID'!C:C,match(E10858,'Player ID'!B:B,0))</f>
        <v>656641</v>
      </c>
    </row>
    <row r="10859">
      <c r="A10859" s="76">
        <v>45839.0</v>
      </c>
      <c r="B10859" s="1" t="s">
        <v>891</v>
      </c>
      <c r="C10859" s="1" t="s">
        <v>68</v>
      </c>
      <c r="D10859" s="1">
        <v>0.1</v>
      </c>
      <c r="E10859" s="1">
        <v>23442.0</v>
      </c>
      <c r="F10859" s="10">
        <f t="shared" si="1"/>
        <v>0.3333333333</v>
      </c>
      <c r="G10859" s="10" t="str">
        <f t="array" ref="G10859">index('Player ID'!C:C,match(E10859,'Player ID'!B:B,0))</f>
        <v>#N/A</v>
      </c>
    </row>
    <row r="10860">
      <c r="A10860" s="76">
        <v>45839.0</v>
      </c>
      <c r="B10860" s="1" t="s">
        <v>191</v>
      </c>
      <c r="C10860" s="1" t="s">
        <v>68</v>
      </c>
      <c r="D10860" s="1">
        <v>4.0</v>
      </c>
      <c r="E10860" s="1">
        <v>27819.0</v>
      </c>
      <c r="F10860" s="10">
        <f t="shared" si="1"/>
        <v>4</v>
      </c>
      <c r="G10860" s="10">
        <f t="array" ref="G10860">index('Player ID'!C:C,match(E10860,'Player ID'!B:B,0))</f>
        <v>687064</v>
      </c>
    </row>
    <row r="10861">
      <c r="A10861" s="76">
        <v>45839.0</v>
      </c>
      <c r="B10861" s="1" t="s">
        <v>117</v>
      </c>
      <c r="C10861" s="1" t="s">
        <v>70</v>
      </c>
      <c r="D10861" s="1">
        <v>1.0</v>
      </c>
      <c r="E10861" s="1">
        <v>13619.0</v>
      </c>
      <c r="F10861" s="10">
        <f t="shared" si="1"/>
        <v>1</v>
      </c>
      <c r="G10861" s="10">
        <f t="array" ref="G10861">index('Player ID'!C:C,match(E10861,'Player ID'!B:B,0))</f>
        <v>596001</v>
      </c>
    </row>
    <row r="10862">
      <c r="A10862" s="76">
        <v>45839.0</v>
      </c>
      <c r="B10862" s="1" t="s">
        <v>246</v>
      </c>
      <c r="C10862" s="1" t="s">
        <v>34</v>
      </c>
      <c r="D10862" s="1">
        <v>7.0</v>
      </c>
      <c r="E10862" s="1">
        <v>15440.0</v>
      </c>
      <c r="F10862" s="10">
        <f t="shared" si="1"/>
        <v>7</v>
      </c>
      <c r="G10862" s="10">
        <f t="array" ref="G10862">index('Player ID'!C:C,match(E10862,'Player ID'!B:B,0))</f>
        <v>571510</v>
      </c>
    </row>
    <row r="10863">
      <c r="A10863" s="76">
        <v>45839.0</v>
      </c>
      <c r="B10863" s="1" t="s">
        <v>297</v>
      </c>
      <c r="C10863" s="1" t="s">
        <v>34</v>
      </c>
      <c r="D10863" s="1">
        <v>1.0</v>
      </c>
      <c r="E10863" s="1">
        <v>15734.0</v>
      </c>
      <c r="F10863" s="10">
        <f t="shared" si="1"/>
        <v>1</v>
      </c>
      <c r="G10863" s="10">
        <f t="array" ref="G10863">index('Player ID'!C:C,match(E10863,'Player ID'!B:B,0))</f>
        <v>641745</v>
      </c>
    </row>
    <row r="10864">
      <c r="A10864" s="76">
        <v>45839.0</v>
      </c>
      <c r="B10864" s="1" t="s">
        <v>141</v>
      </c>
      <c r="C10864" s="1" t="s">
        <v>70</v>
      </c>
      <c r="D10864" s="1">
        <v>0.1</v>
      </c>
      <c r="E10864" s="1">
        <v>19330.0</v>
      </c>
      <c r="F10864" s="10">
        <f t="shared" si="1"/>
        <v>0.3333333333</v>
      </c>
      <c r="G10864" s="10">
        <f t="array" ref="G10864">index('Player ID'!C:C,match(E10864,'Player ID'!B:B,0))</f>
        <v>670036</v>
      </c>
    </row>
    <row r="10865">
      <c r="A10865" s="76">
        <v>45839.0</v>
      </c>
      <c r="B10865" s="1" t="s">
        <v>543</v>
      </c>
      <c r="C10865" s="1" t="s">
        <v>70</v>
      </c>
      <c r="D10865" s="1">
        <v>1.0</v>
      </c>
      <c r="E10865" s="1">
        <v>24978.0</v>
      </c>
      <c r="F10865" s="10">
        <f t="shared" si="1"/>
        <v>1</v>
      </c>
      <c r="G10865" s="10" t="str">
        <f t="array" ref="G10865">index('Player ID'!C:C,match(E10865,'Player ID'!B:B,0))</f>
        <v>#N/A</v>
      </c>
    </row>
    <row r="10866">
      <c r="A10866" s="76">
        <v>45839.0</v>
      </c>
      <c r="B10866" s="1" t="s">
        <v>167</v>
      </c>
      <c r="C10866" s="1" t="s">
        <v>34</v>
      </c>
      <c r="D10866" s="1">
        <v>1.0</v>
      </c>
      <c r="E10866" s="1">
        <v>27914.0</v>
      </c>
      <c r="F10866" s="10">
        <f t="shared" si="1"/>
        <v>1</v>
      </c>
      <c r="G10866" s="10">
        <f t="array" ref="G10866">index('Player ID'!C:C,match(E10866,'Player ID'!B:B,0))</f>
        <v>694037</v>
      </c>
    </row>
    <row r="10867">
      <c r="A10867" s="76">
        <v>45839.0</v>
      </c>
      <c r="B10867" s="1" t="s">
        <v>376</v>
      </c>
      <c r="C10867" s="1" t="s">
        <v>70</v>
      </c>
      <c r="D10867" s="1">
        <v>5.2</v>
      </c>
      <c r="E10867" s="1">
        <v>30122.0</v>
      </c>
      <c r="F10867" s="10">
        <f t="shared" si="1"/>
        <v>5.666666667</v>
      </c>
      <c r="G10867" s="10">
        <f t="array" ref="G10867">index('Player ID'!C:C,match(E10867,'Player ID'!B:B,0))</f>
        <v>668909</v>
      </c>
    </row>
    <row r="10868">
      <c r="A10868" s="76">
        <v>45839.0</v>
      </c>
      <c r="B10868" s="1" t="s">
        <v>38</v>
      </c>
      <c r="C10868" s="1" t="s">
        <v>39</v>
      </c>
      <c r="D10868" s="1">
        <v>0.1</v>
      </c>
      <c r="E10868" s="1">
        <v>13580.0</v>
      </c>
      <c r="F10868" s="10">
        <f t="shared" si="1"/>
        <v>0.3333333333</v>
      </c>
      <c r="G10868" s="10">
        <f t="array" ref="G10868">index('Player ID'!C:C,match(E10868,'Player ID'!B:B,0))</f>
        <v>595345</v>
      </c>
    </row>
    <row r="10869">
      <c r="A10869" s="76">
        <v>45839.0</v>
      </c>
      <c r="B10869" s="1" t="s">
        <v>59</v>
      </c>
      <c r="C10869" s="1" t="s">
        <v>39</v>
      </c>
      <c r="D10869" s="1">
        <v>1.0</v>
      </c>
      <c r="E10869" s="1">
        <v>14212.0</v>
      </c>
      <c r="F10869" s="10">
        <f t="shared" si="1"/>
        <v>1</v>
      </c>
      <c r="G10869" s="10">
        <f t="array" ref="G10869">index('Player ID'!C:C,match(E10869,'Player ID'!B:B,0))</f>
        <v>623352</v>
      </c>
    </row>
    <row r="10870">
      <c r="A10870" s="76">
        <v>45839.0</v>
      </c>
      <c r="B10870" s="1" t="s">
        <v>210</v>
      </c>
      <c r="C10870" s="1" t="s">
        <v>39</v>
      </c>
      <c r="D10870" s="1">
        <v>1.0</v>
      </c>
      <c r="E10870" s="1">
        <v>16609.0</v>
      </c>
      <c r="F10870" s="10">
        <f t="shared" si="1"/>
        <v>1</v>
      </c>
      <c r="G10870" s="10">
        <f t="array" ref="G10870">index('Player ID'!C:C,match(E10870,'Player ID'!B:B,0))</f>
        <v>650556</v>
      </c>
    </row>
    <row r="10871">
      <c r="A10871" s="76">
        <v>45839.0</v>
      </c>
      <c r="B10871" s="1" t="s">
        <v>451</v>
      </c>
      <c r="C10871" s="1" t="s">
        <v>75</v>
      </c>
      <c r="D10871" s="1">
        <v>2.1</v>
      </c>
      <c r="E10871" s="1">
        <v>17556.0</v>
      </c>
      <c r="F10871" s="10">
        <f t="shared" si="1"/>
        <v>2.333333333</v>
      </c>
      <c r="G10871" s="10">
        <f t="array" ref="G10871">index('Player ID'!C:C,match(E10871,'Player ID'!B:B,0))</f>
        <v>623474</v>
      </c>
    </row>
    <row r="10872">
      <c r="A10872" s="76">
        <v>45839.0</v>
      </c>
      <c r="B10872" s="1" t="s">
        <v>215</v>
      </c>
      <c r="C10872" s="1" t="s">
        <v>75</v>
      </c>
      <c r="D10872" s="1">
        <v>1.0</v>
      </c>
      <c r="E10872" s="1">
        <v>21267.0</v>
      </c>
      <c r="F10872" s="10">
        <f t="shared" si="1"/>
        <v>1</v>
      </c>
      <c r="G10872" s="10">
        <f t="array" ref="G10872">index('Player ID'!C:C,match(E10872,'Player ID'!B:B,0))</f>
        <v>656234</v>
      </c>
    </row>
    <row r="10873">
      <c r="A10873" s="76">
        <v>45839.0</v>
      </c>
      <c r="B10873" s="1" t="s">
        <v>102</v>
      </c>
      <c r="C10873" s="1" t="s">
        <v>39</v>
      </c>
      <c r="D10873" s="1">
        <v>1.0</v>
      </c>
      <c r="E10873" s="1">
        <v>21345.0</v>
      </c>
      <c r="F10873" s="10">
        <f t="shared" si="1"/>
        <v>1</v>
      </c>
      <c r="G10873" s="10">
        <f t="array" ref="G10873">index('Player ID'!C:C,match(E10873,'Player ID'!B:B,0))</f>
        <v>656986</v>
      </c>
    </row>
    <row r="10874">
      <c r="A10874" s="76">
        <v>45839.0</v>
      </c>
      <c r="B10874" s="1" t="s">
        <v>468</v>
      </c>
      <c r="C10874" s="1" t="s">
        <v>75</v>
      </c>
      <c r="D10874" s="1">
        <v>1.0</v>
      </c>
      <c r="E10874" s="1">
        <v>23237.0</v>
      </c>
      <c r="F10874" s="10">
        <f t="shared" si="1"/>
        <v>1</v>
      </c>
      <c r="G10874" s="10">
        <f t="array" ref="G10874">index('Player ID'!C:C,match(E10874,'Player ID'!B:B,0))</f>
        <v>675848</v>
      </c>
    </row>
    <row r="10875">
      <c r="A10875" s="76">
        <v>45839.0</v>
      </c>
      <c r="B10875" s="1" t="s">
        <v>365</v>
      </c>
      <c r="C10875" s="1" t="s">
        <v>75</v>
      </c>
      <c r="D10875" s="1">
        <v>1.0</v>
      </c>
      <c r="E10875" s="1">
        <v>24614.0</v>
      </c>
      <c r="F10875" s="10">
        <f t="shared" si="1"/>
        <v>1</v>
      </c>
      <c r="G10875" s="10">
        <f t="array" ref="G10875">index('Player ID'!C:C,match(E10875,'Player ID'!B:B,0))</f>
        <v>680767</v>
      </c>
    </row>
    <row r="10876">
      <c r="A10876" s="76">
        <v>45839.0</v>
      </c>
      <c r="B10876" s="1" t="s">
        <v>76</v>
      </c>
      <c r="C10876" s="1" t="s">
        <v>39</v>
      </c>
      <c r="D10876" s="1">
        <v>1.0</v>
      </c>
      <c r="E10876" s="1">
        <v>25890.0</v>
      </c>
      <c r="F10876" s="10">
        <f t="shared" si="1"/>
        <v>1</v>
      </c>
      <c r="G10876" s="10">
        <f t="array" ref="G10876">index('Player ID'!C:C,match(E10876,'Player ID'!B:B,0))</f>
        <v>687911</v>
      </c>
    </row>
    <row r="10877">
      <c r="A10877" s="76">
        <v>45839.0</v>
      </c>
      <c r="B10877" s="1" t="s">
        <v>486</v>
      </c>
      <c r="C10877" s="1" t="s">
        <v>75</v>
      </c>
      <c r="D10877" s="1">
        <v>1.0</v>
      </c>
      <c r="E10877" s="1">
        <v>26790.0</v>
      </c>
      <c r="F10877" s="10">
        <f t="shared" si="1"/>
        <v>1</v>
      </c>
      <c r="G10877" s="10">
        <f t="array" ref="G10877">index('Player ID'!C:C,match(E10877,'Player ID'!B:B,0))</f>
        <v>683409</v>
      </c>
    </row>
    <row r="10878">
      <c r="A10878" s="76">
        <v>45839.0</v>
      </c>
      <c r="B10878" s="1" t="s">
        <v>197</v>
      </c>
      <c r="C10878" s="1" t="s">
        <v>39</v>
      </c>
      <c r="D10878" s="1">
        <v>4.2</v>
      </c>
      <c r="E10878" s="1">
        <v>31312.0</v>
      </c>
      <c r="F10878" s="10">
        <f t="shared" si="1"/>
        <v>4.666666667</v>
      </c>
      <c r="G10878" s="10">
        <f t="array" ref="G10878">index('Player ID'!C:C,match(E10878,'Player ID'!B:B,0))</f>
        <v>676467</v>
      </c>
    </row>
    <row r="10879">
      <c r="A10879" s="76">
        <v>45839.0</v>
      </c>
      <c r="B10879" s="1" t="s">
        <v>495</v>
      </c>
      <c r="C10879" s="1" t="s">
        <v>75</v>
      </c>
      <c r="D10879" s="1">
        <v>2.2</v>
      </c>
      <c r="E10879" s="1">
        <v>33482.0</v>
      </c>
      <c r="F10879" s="10">
        <f t="shared" si="1"/>
        <v>2.666666667</v>
      </c>
      <c r="G10879" s="10">
        <f t="array" ref="G10879">index('Player ID'!C:C,match(E10879,'Player ID'!B:B,0))</f>
        <v>801403</v>
      </c>
    </row>
    <row r="10880">
      <c r="A10880" s="76">
        <v>45839.0</v>
      </c>
      <c r="B10880" s="1" t="s">
        <v>649</v>
      </c>
      <c r="C10880" s="1" t="s">
        <v>29</v>
      </c>
      <c r="D10880" s="1">
        <v>1.0</v>
      </c>
      <c r="E10880" s="1">
        <v>14542.0</v>
      </c>
      <c r="F10880" s="10">
        <f t="shared" si="1"/>
        <v>1</v>
      </c>
      <c r="G10880" s="10">
        <f t="array" ref="G10880">index('Player ID'!C:C,match(E10880,'Player ID'!B:B,0))</f>
        <v>608032</v>
      </c>
    </row>
    <row r="10881">
      <c r="A10881" s="76">
        <v>45839.0</v>
      </c>
      <c r="B10881" s="1" t="s">
        <v>420</v>
      </c>
      <c r="C10881" s="1" t="s">
        <v>29</v>
      </c>
      <c r="D10881" s="1">
        <v>4.2</v>
      </c>
      <c r="E10881" s="1">
        <v>14843.0</v>
      </c>
      <c r="F10881" s="10">
        <f t="shared" si="1"/>
        <v>4.666666667</v>
      </c>
      <c r="G10881" s="10">
        <f t="array" ref="G10881">index('Player ID'!C:C,match(E10881,'Player ID'!B:B,0))</f>
        <v>547179</v>
      </c>
    </row>
    <row r="10882">
      <c r="A10882" s="76">
        <v>45839.0</v>
      </c>
      <c r="B10882" s="1" t="s">
        <v>407</v>
      </c>
      <c r="C10882" s="1" t="s">
        <v>29</v>
      </c>
      <c r="D10882" s="1">
        <v>1.0</v>
      </c>
      <c r="E10882" s="1">
        <v>19360.0</v>
      </c>
      <c r="F10882" s="10">
        <f t="shared" si="1"/>
        <v>1</v>
      </c>
      <c r="G10882" s="10">
        <f t="array" ref="G10882">index('Player ID'!C:C,match(E10882,'Player ID'!B:B,0))</f>
        <v>668674</v>
      </c>
    </row>
    <row r="10883">
      <c r="A10883" s="76">
        <v>45839.0</v>
      </c>
      <c r="B10883" s="1" t="s">
        <v>144</v>
      </c>
      <c r="C10883" s="1" t="s">
        <v>29</v>
      </c>
      <c r="D10883" s="1">
        <v>0.2</v>
      </c>
      <c r="E10883" s="1">
        <v>20020.0</v>
      </c>
      <c r="F10883" s="10">
        <f t="shared" si="1"/>
        <v>0.6666666667</v>
      </c>
      <c r="G10883" s="10">
        <f t="array" ref="G10883">index('Player ID'!C:C,match(E10883,'Player ID'!B:B,0))</f>
        <v>670167</v>
      </c>
    </row>
    <row r="10884">
      <c r="A10884" s="76">
        <v>45839.0</v>
      </c>
      <c r="B10884" s="1" t="s">
        <v>157</v>
      </c>
      <c r="C10884" s="1" t="s">
        <v>37</v>
      </c>
      <c r="D10884" s="1">
        <v>1.0</v>
      </c>
      <c r="E10884" s="1">
        <v>20997.0</v>
      </c>
      <c r="F10884" s="10">
        <f t="shared" si="1"/>
        <v>1</v>
      </c>
      <c r="G10884" s="10">
        <f t="array" ref="G10884">index('Player ID'!C:C,match(E10884,'Player ID'!B:B,0))</f>
        <v>660825</v>
      </c>
    </row>
    <row r="10885">
      <c r="A10885" s="76">
        <v>45839.0</v>
      </c>
      <c r="B10885" s="1" t="s">
        <v>140</v>
      </c>
      <c r="C10885" s="1" t="s">
        <v>29</v>
      </c>
      <c r="D10885" s="1">
        <v>0.2</v>
      </c>
      <c r="E10885" s="1">
        <v>22717.0</v>
      </c>
      <c r="F10885" s="10">
        <f t="shared" si="1"/>
        <v>0.6666666667</v>
      </c>
      <c r="G10885" s="10">
        <f t="array" ref="G10885">index('Player ID'!C:C,match(E10885,'Player ID'!B:B,0))</f>
        <v>672582</v>
      </c>
    </row>
    <row r="10886">
      <c r="A10886" s="76">
        <v>45839.0</v>
      </c>
      <c r="B10886" s="1" t="s">
        <v>214</v>
      </c>
      <c r="C10886" s="1" t="s">
        <v>29</v>
      </c>
      <c r="D10886" s="1">
        <v>1.0</v>
      </c>
      <c r="E10886" s="1">
        <v>23165.0</v>
      </c>
      <c r="F10886" s="10">
        <f t="shared" si="1"/>
        <v>1</v>
      </c>
      <c r="G10886" s="10">
        <f t="array" ref="G10886">index('Player ID'!C:C,match(E10886,'Player ID'!B:B,0))</f>
        <v>674444</v>
      </c>
    </row>
    <row r="10887">
      <c r="A10887" s="76">
        <v>45839.0</v>
      </c>
      <c r="B10887" s="1" t="s">
        <v>907</v>
      </c>
      <c r="C10887" s="1" t="s">
        <v>37</v>
      </c>
      <c r="D10887" s="1">
        <v>2.0</v>
      </c>
      <c r="E10887" s="1">
        <v>27271.0</v>
      </c>
      <c r="F10887" s="10">
        <f t="shared" si="1"/>
        <v>2</v>
      </c>
      <c r="G10887" s="10" t="str">
        <f t="array" ref="G10887">index('Player ID'!C:C,match(E10887,'Player ID'!B:B,0))</f>
        <v>#N/A</v>
      </c>
    </row>
    <row r="10888">
      <c r="A10888" s="76">
        <v>45839.0</v>
      </c>
      <c r="B10888" s="1" t="s">
        <v>509</v>
      </c>
      <c r="C10888" s="1" t="s">
        <v>37</v>
      </c>
      <c r="D10888" s="1">
        <v>6.0</v>
      </c>
      <c r="E10888" s="1">
        <v>27470.0</v>
      </c>
      <c r="F10888" s="10">
        <f t="shared" si="1"/>
        <v>6</v>
      </c>
      <c r="G10888" s="10">
        <f t="array" ref="G10888">index('Player ID'!C:C,match(E10888,'Player ID'!B:B,0))</f>
        <v>676106</v>
      </c>
    </row>
    <row r="10889">
      <c r="A10889" s="76">
        <v>45839.0</v>
      </c>
      <c r="B10889" s="1" t="s">
        <v>274</v>
      </c>
      <c r="C10889" s="1" t="s">
        <v>64</v>
      </c>
      <c r="D10889" s="1">
        <v>2.0</v>
      </c>
      <c r="E10889" s="1">
        <v>13050.0</v>
      </c>
      <c r="F10889" s="10">
        <f t="shared" si="1"/>
        <v>2</v>
      </c>
      <c r="G10889" s="10" t="str">
        <f t="array" ref="G10889">index('Player ID'!C:C,match(E10889,'Player ID'!B:B,0))</f>
        <v>#N/A</v>
      </c>
    </row>
    <row r="10890">
      <c r="A10890" s="76">
        <v>45839.0</v>
      </c>
      <c r="B10890" s="1" t="s">
        <v>195</v>
      </c>
      <c r="C10890" s="1" t="s">
        <v>64</v>
      </c>
      <c r="D10890" s="1">
        <v>7.0</v>
      </c>
      <c r="E10890" s="1">
        <v>19291.0</v>
      </c>
      <c r="F10890" s="10">
        <f t="shared" si="1"/>
        <v>7</v>
      </c>
      <c r="G10890" s="10">
        <f t="array" ref="G10890">index('Player ID'!C:C,match(E10890,'Player ID'!B:B,0))</f>
        <v>668678</v>
      </c>
    </row>
    <row r="10891">
      <c r="A10891" s="76">
        <v>45839.0</v>
      </c>
      <c r="B10891" s="1" t="s">
        <v>483</v>
      </c>
      <c r="C10891" s="1" t="s">
        <v>31</v>
      </c>
      <c r="D10891" s="1">
        <v>1.0</v>
      </c>
      <c r="E10891" s="1">
        <v>19320.0</v>
      </c>
      <c r="F10891" s="10">
        <f t="shared" si="1"/>
        <v>1</v>
      </c>
      <c r="G10891" s="10" t="str">
        <f t="array" ref="G10891">index('Player ID'!C:C,match(E10891,'Player ID'!B:B,0))</f>
        <v>#N/A</v>
      </c>
    </row>
    <row r="10892">
      <c r="A10892" s="76">
        <v>45839.0</v>
      </c>
      <c r="B10892" s="1" t="s">
        <v>501</v>
      </c>
      <c r="C10892" s="1" t="s">
        <v>31</v>
      </c>
      <c r="D10892" s="1">
        <v>3.0</v>
      </c>
      <c r="E10892" s="1">
        <v>30084.0</v>
      </c>
      <c r="F10892" s="10">
        <f t="shared" si="1"/>
        <v>3</v>
      </c>
      <c r="G10892" s="10" t="str">
        <f t="array" ref="G10892">index('Player ID'!C:C,match(E10892,'Player ID'!B:B,0))</f>
        <v>#N/A</v>
      </c>
    </row>
    <row r="10893">
      <c r="A10893" s="76">
        <v>45839.0</v>
      </c>
      <c r="B10893" s="1" t="s">
        <v>514</v>
      </c>
      <c r="C10893" s="1" t="s">
        <v>31</v>
      </c>
      <c r="D10893" s="1">
        <v>4.0</v>
      </c>
      <c r="E10893" s="1">
        <v>31635.0</v>
      </c>
      <c r="F10893" s="10">
        <f t="shared" si="1"/>
        <v>4</v>
      </c>
      <c r="G10893" s="10">
        <f t="array" ref="G10893">index('Player ID'!C:C,match(E10893,'Player ID'!B:B,0))</f>
        <v>806185</v>
      </c>
    </row>
    <row r="10894">
      <c r="A10894" s="76">
        <v>45839.0</v>
      </c>
      <c r="B10894" s="1" t="s">
        <v>310</v>
      </c>
      <c r="C10894" s="1" t="s">
        <v>33</v>
      </c>
      <c r="D10894" s="1">
        <v>1.0</v>
      </c>
      <c r="E10894" s="1">
        <v>14706.0</v>
      </c>
      <c r="F10894" s="10">
        <f t="shared" si="1"/>
        <v>1</v>
      </c>
      <c r="G10894" s="10">
        <f t="array" ref="G10894">index('Player ID'!C:C,match(E10894,'Player ID'!B:B,0))</f>
        <v>607455</v>
      </c>
    </row>
    <row r="10895">
      <c r="A10895" s="76">
        <v>45839.0</v>
      </c>
      <c r="B10895" s="1" t="s">
        <v>187</v>
      </c>
      <c r="C10895" s="1" t="s">
        <v>78</v>
      </c>
      <c r="D10895" s="1">
        <v>2.1</v>
      </c>
      <c r="E10895" s="1">
        <v>17735.0</v>
      </c>
      <c r="F10895" s="10">
        <f t="shared" si="1"/>
        <v>2.333333333</v>
      </c>
      <c r="G10895" s="10">
        <f t="array" ref="G10895">index('Player ID'!C:C,match(E10895,'Player ID'!B:B,0))</f>
        <v>641302</v>
      </c>
    </row>
    <row r="10896">
      <c r="A10896" s="76">
        <v>45839.0</v>
      </c>
      <c r="B10896" s="1" t="s">
        <v>116</v>
      </c>
      <c r="C10896" s="1" t="s">
        <v>78</v>
      </c>
      <c r="D10896" s="1">
        <v>1.0</v>
      </c>
      <c r="E10896" s="1">
        <v>20353.0</v>
      </c>
      <c r="F10896" s="10">
        <f t="shared" si="1"/>
        <v>1</v>
      </c>
      <c r="G10896" s="10">
        <f t="array" ref="G10896">index('Player ID'!C:C,match(E10896,'Player ID'!B:B,0))</f>
        <v>621051</v>
      </c>
    </row>
    <row r="10897">
      <c r="A10897" s="76">
        <v>45839.0</v>
      </c>
      <c r="B10897" s="1" t="s">
        <v>206</v>
      </c>
      <c r="C10897" s="1" t="s">
        <v>33</v>
      </c>
      <c r="D10897" s="1">
        <v>1.0</v>
      </c>
      <c r="E10897" s="1">
        <v>30249.0</v>
      </c>
      <c r="F10897" s="10">
        <f t="shared" si="1"/>
        <v>1</v>
      </c>
      <c r="G10897" s="10">
        <f t="array" ref="G10897">index('Player ID'!C:C,match(E10897,'Player ID'!B:B,0))</f>
        <v>676263</v>
      </c>
    </row>
    <row r="10898">
      <c r="A10898" s="76">
        <v>45839.0</v>
      </c>
      <c r="B10898" s="1" t="s">
        <v>470</v>
      </c>
      <c r="C10898" s="1" t="s">
        <v>78</v>
      </c>
      <c r="D10898" s="1">
        <v>4.2</v>
      </c>
      <c r="E10898" s="1">
        <v>31687.0</v>
      </c>
      <c r="F10898" s="10">
        <f t="shared" si="1"/>
        <v>4.666666667</v>
      </c>
      <c r="G10898" s="10">
        <f t="array" ref="G10898">index('Player ID'!C:C,match(E10898,'Player ID'!B:B,0))</f>
        <v>681343</v>
      </c>
    </row>
    <row r="10899">
      <c r="A10899" s="76">
        <v>45839.0</v>
      </c>
      <c r="B10899" s="1" t="s">
        <v>85</v>
      </c>
      <c r="C10899" s="1" t="s">
        <v>33</v>
      </c>
      <c r="D10899" s="1">
        <v>7.0</v>
      </c>
      <c r="E10899" s="1">
        <v>33825.0</v>
      </c>
      <c r="F10899" s="10">
        <f t="shared" si="1"/>
        <v>7</v>
      </c>
      <c r="G10899" s="10">
        <f t="array" ref="G10899">index('Player ID'!C:C,match(E10899,'Player ID'!B:B,0))</f>
        <v>808967</v>
      </c>
    </row>
    <row r="10900">
      <c r="A10900" s="76">
        <v>45840.0</v>
      </c>
      <c r="B10900" s="1" t="s">
        <v>182</v>
      </c>
      <c r="C10900" s="1" t="s">
        <v>45</v>
      </c>
      <c r="D10900" s="1">
        <v>1.0</v>
      </c>
      <c r="E10900" s="1">
        <v>13799.0</v>
      </c>
      <c r="F10900" s="10">
        <f t="shared" si="1"/>
        <v>1</v>
      </c>
      <c r="G10900" s="10">
        <f t="array" ref="G10900">index('Player ID'!C:C,match(E10900,'Player ID'!B:B,0))</f>
        <v>621381</v>
      </c>
    </row>
    <row r="10901">
      <c r="A10901" s="76">
        <v>45840.0</v>
      </c>
      <c r="B10901" s="1" t="s">
        <v>404</v>
      </c>
      <c r="C10901" s="1" t="s">
        <v>26</v>
      </c>
      <c r="D10901" s="1">
        <v>1.0</v>
      </c>
      <c r="E10901" s="1">
        <v>14295.0</v>
      </c>
      <c r="F10901" s="10">
        <f t="shared" si="1"/>
        <v>1</v>
      </c>
      <c r="G10901" s="10">
        <f t="array" ref="G10901">index('Player ID'!C:C,match(E10901,'Player ID'!B:B,0))</f>
        <v>593974</v>
      </c>
    </row>
    <row r="10902">
      <c r="A10902" s="76">
        <v>45840.0</v>
      </c>
      <c r="B10902" s="1" t="s">
        <v>282</v>
      </c>
      <c r="C10902" s="1" t="s">
        <v>26</v>
      </c>
      <c r="D10902" s="1">
        <v>6.0</v>
      </c>
      <c r="E10902" s="1">
        <v>18525.0</v>
      </c>
      <c r="F10902" s="10">
        <f t="shared" si="1"/>
        <v>6</v>
      </c>
      <c r="G10902" s="10">
        <f t="array" ref="G10902">index('Player ID'!C:C,match(E10902,'Player ID'!B:B,0))</f>
        <v>656302</v>
      </c>
    </row>
    <row r="10903">
      <c r="A10903" s="76">
        <v>45840.0</v>
      </c>
      <c r="B10903" s="1" t="s">
        <v>747</v>
      </c>
      <c r="C10903" s="1" t="s">
        <v>45</v>
      </c>
      <c r="D10903" s="1">
        <v>7.0</v>
      </c>
      <c r="E10903" s="1">
        <v>20778.0</v>
      </c>
      <c r="F10903" s="10">
        <f t="shared" si="1"/>
        <v>7</v>
      </c>
      <c r="G10903" s="10">
        <f t="array" ref="G10903">index('Player ID'!C:C,match(E10903,'Player ID'!B:B,0))</f>
        <v>650911</v>
      </c>
    </row>
    <row r="10904">
      <c r="A10904" s="76">
        <v>45840.0</v>
      </c>
      <c r="B10904" s="1" t="s">
        <v>908</v>
      </c>
      <c r="C10904" s="1" t="s">
        <v>26</v>
      </c>
      <c r="D10904" s="1">
        <v>0.1</v>
      </c>
      <c r="E10904" s="1">
        <v>23162.0</v>
      </c>
      <c r="F10904" s="10">
        <f t="shared" si="1"/>
        <v>0.3333333333</v>
      </c>
      <c r="G10904" s="10" t="str">
        <f t="array" ref="G10904">index('Player ID'!C:C,match(E10904,'Player ID'!B:B,0))</f>
        <v>#N/A</v>
      </c>
    </row>
    <row r="10905">
      <c r="A10905" s="76">
        <v>45840.0</v>
      </c>
      <c r="B10905" s="1" t="s">
        <v>165</v>
      </c>
      <c r="C10905" s="1" t="s">
        <v>45</v>
      </c>
      <c r="D10905" s="1">
        <v>1.0</v>
      </c>
      <c r="E10905" s="1">
        <v>31776.0</v>
      </c>
      <c r="F10905" s="10">
        <f t="shared" si="1"/>
        <v>1</v>
      </c>
      <c r="G10905" s="10">
        <f t="array" ref="G10905">index('Player ID'!C:C,match(E10905,'Player ID'!B:B,0))</f>
        <v>689147</v>
      </c>
    </row>
    <row r="10906">
      <c r="A10906" s="76">
        <v>45840.0</v>
      </c>
      <c r="B10906" s="1" t="s">
        <v>284</v>
      </c>
      <c r="C10906" s="1" t="s">
        <v>26</v>
      </c>
      <c r="D10906" s="1">
        <v>0.2</v>
      </c>
      <c r="E10906" s="1">
        <v>33826.0</v>
      </c>
      <c r="F10906" s="10">
        <f t="shared" si="1"/>
        <v>0.6666666667</v>
      </c>
      <c r="G10906" s="10">
        <f t="array" ref="G10906">index('Player ID'!C:C,match(E10906,'Player ID'!B:B,0))</f>
        <v>673513</v>
      </c>
    </row>
    <row r="10907">
      <c r="A10907" s="76">
        <v>45840.0</v>
      </c>
      <c r="B10907" s="1" t="s">
        <v>148</v>
      </c>
      <c r="C10907" s="1" t="s">
        <v>80</v>
      </c>
      <c r="D10907" s="1">
        <v>3.0</v>
      </c>
      <c r="E10907" s="1">
        <v>16977.0</v>
      </c>
      <c r="F10907" s="10">
        <f t="shared" si="1"/>
        <v>3</v>
      </c>
      <c r="G10907" s="10">
        <f t="array" ref="G10907">index('Player ID'!C:C,match(E10907,'Player ID'!B:B,0))</f>
        <v>592866</v>
      </c>
    </row>
    <row r="10908">
      <c r="A10908" s="76">
        <v>45840.0</v>
      </c>
      <c r="B10908" s="1" t="s">
        <v>508</v>
      </c>
      <c r="C10908" s="1" t="s">
        <v>80</v>
      </c>
      <c r="D10908" s="1">
        <v>1.0</v>
      </c>
      <c r="E10908" s="1">
        <v>23135.0</v>
      </c>
      <c r="F10908" s="10">
        <f t="shared" si="1"/>
        <v>1</v>
      </c>
      <c r="G10908" s="10">
        <f t="array" ref="G10908">index('Player ID'!C:C,match(E10908,'Player ID'!B:B,0))</f>
        <v>674285</v>
      </c>
    </row>
    <row r="10909">
      <c r="A10909" s="76">
        <v>45840.0</v>
      </c>
      <c r="B10909" s="1" t="s">
        <v>753</v>
      </c>
      <c r="C10909" s="1" t="s">
        <v>62</v>
      </c>
      <c r="D10909" s="1">
        <v>1.0</v>
      </c>
      <c r="E10909" s="1">
        <v>26030.0</v>
      </c>
      <c r="F10909" s="10">
        <f t="shared" si="1"/>
        <v>1</v>
      </c>
      <c r="G10909" s="10">
        <f t="array" ref="G10909">index('Player ID'!C:C,match(E10909,'Player ID'!B:B,0))</f>
        <v>687074</v>
      </c>
    </row>
    <row r="10910">
      <c r="A10910" s="76">
        <v>45840.0</v>
      </c>
      <c r="B10910" s="1" t="s">
        <v>511</v>
      </c>
      <c r="C10910" s="1" t="s">
        <v>80</v>
      </c>
      <c r="D10910" s="1">
        <v>2.0</v>
      </c>
      <c r="E10910" s="1">
        <v>26215.0</v>
      </c>
      <c r="F10910" s="10">
        <f t="shared" si="1"/>
        <v>2</v>
      </c>
      <c r="G10910" s="10">
        <f t="array" ref="G10910">index('Player ID'!C:C,match(E10910,'Player ID'!B:B,0))</f>
        <v>671131</v>
      </c>
    </row>
    <row r="10911">
      <c r="A10911" s="76">
        <v>45840.0</v>
      </c>
      <c r="B10911" s="1" t="s">
        <v>82</v>
      </c>
      <c r="C10911" s="1" t="s">
        <v>62</v>
      </c>
      <c r="D10911" s="1">
        <v>2.0</v>
      </c>
      <c r="E10911" s="1">
        <v>26231.0</v>
      </c>
      <c r="F10911" s="10">
        <f t="shared" si="1"/>
        <v>2</v>
      </c>
      <c r="G10911" s="10">
        <f t="array" ref="G10911">index('Player ID'!C:C,match(E10911,'Player ID'!B:B,0))</f>
        <v>663947</v>
      </c>
    </row>
    <row r="10912">
      <c r="A10912" s="76">
        <v>45840.0</v>
      </c>
      <c r="B10912" s="1" t="s">
        <v>909</v>
      </c>
      <c r="C10912" s="1" t="s">
        <v>80</v>
      </c>
      <c r="D10912" s="1">
        <v>3.0</v>
      </c>
      <c r="E10912" s="1">
        <v>27967.0</v>
      </c>
      <c r="F10912" s="10">
        <f t="shared" si="1"/>
        <v>3</v>
      </c>
      <c r="G10912" s="10" t="str">
        <f t="array" ref="G10912">index('Player ID'!C:C,match(E10912,'Player ID'!B:B,0))</f>
        <v>#N/A</v>
      </c>
    </row>
    <row r="10913">
      <c r="A10913" s="76">
        <v>45840.0</v>
      </c>
      <c r="B10913" s="1" t="s">
        <v>487</v>
      </c>
      <c r="C10913" s="1" t="s">
        <v>62</v>
      </c>
      <c r="D10913" s="1">
        <v>2.2</v>
      </c>
      <c r="E10913" s="1">
        <v>30133.0</v>
      </c>
      <c r="F10913" s="10">
        <f t="shared" si="1"/>
        <v>2.666666667</v>
      </c>
      <c r="G10913" s="10">
        <f t="array" ref="G10913">index('Player ID'!C:C,match(E10913,'Player ID'!B:B,0))</f>
        <v>676428</v>
      </c>
    </row>
    <row r="10914">
      <c r="A10914" s="76">
        <v>45840.0</v>
      </c>
      <c r="B10914" s="1" t="s">
        <v>860</v>
      </c>
      <c r="C10914" s="1" t="s">
        <v>62</v>
      </c>
      <c r="D10914" s="1">
        <v>3.1</v>
      </c>
      <c r="E10914" s="1">
        <v>30145.0</v>
      </c>
      <c r="F10914" s="10">
        <f t="shared" si="1"/>
        <v>3.333333333</v>
      </c>
      <c r="G10914" s="10" t="str">
        <f t="array" ref="G10914">index('Player ID'!C:C,match(E10914,'Player ID'!B:B,0))</f>
        <v>#N/A</v>
      </c>
    </row>
    <row r="10915">
      <c r="A10915" s="76">
        <v>45840.0</v>
      </c>
      <c r="B10915" s="1" t="s">
        <v>269</v>
      </c>
      <c r="C10915" s="1" t="s">
        <v>51</v>
      </c>
      <c r="D10915" s="1">
        <v>5.1</v>
      </c>
      <c r="E10915" s="1">
        <v>13649.0</v>
      </c>
      <c r="F10915" s="10">
        <f t="shared" si="1"/>
        <v>5.333333333</v>
      </c>
      <c r="G10915" s="10">
        <f t="array" ref="G10915">index('Player ID'!C:C,match(E10915,'Player ID'!B:B,0))</f>
        <v>605280</v>
      </c>
    </row>
    <row r="10916">
      <c r="A10916" s="76">
        <v>45840.0</v>
      </c>
      <c r="B10916" s="1" t="s">
        <v>295</v>
      </c>
      <c r="C10916" s="1" t="s">
        <v>51</v>
      </c>
      <c r="D10916" s="1">
        <v>0.2</v>
      </c>
      <c r="E10916" s="1">
        <v>16866.0</v>
      </c>
      <c r="F10916" s="10">
        <f t="shared" si="1"/>
        <v>0.6666666667</v>
      </c>
      <c r="G10916" s="10">
        <f t="array" ref="G10916">index('Player ID'!C:C,match(E10916,'Player ID'!B:B,0))</f>
        <v>657585</v>
      </c>
    </row>
    <row r="10917">
      <c r="A10917" s="76">
        <v>45840.0</v>
      </c>
      <c r="B10917" s="1" t="s">
        <v>186</v>
      </c>
      <c r="C10917" s="1" t="s">
        <v>51</v>
      </c>
      <c r="D10917" s="1">
        <v>3.0</v>
      </c>
      <c r="E10917" s="1">
        <v>18347.0</v>
      </c>
      <c r="F10917" s="10">
        <f t="shared" si="1"/>
        <v>3</v>
      </c>
      <c r="G10917" s="10">
        <f t="array" ref="G10917">index('Player ID'!C:C,match(E10917,'Player ID'!B:B,0))</f>
        <v>663399</v>
      </c>
    </row>
    <row r="10918">
      <c r="A10918" s="76">
        <v>45840.0</v>
      </c>
      <c r="B10918" s="1" t="s">
        <v>180</v>
      </c>
      <c r="C10918" s="1" t="s">
        <v>14</v>
      </c>
      <c r="D10918" s="1">
        <v>6.0</v>
      </c>
      <c r="E10918" s="1">
        <v>18679.0</v>
      </c>
      <c r="F10918" s="10">
        <f t="shared" si="1"/>
        <v>6</v>
      </c>
      <c r="G10918" s="10">
        <f t="array" ref="G10918">index('Player ID'!C:C,match(E10918,'Player ID'!B:B,0))</f>
        <v>642547</v>
      </c>
    </row>
    <row r="10919">
      <c r="A10919" s="76">
        <v>45840.0</v>
      </c>
      <c r="B10919" s="1" t="s">
        <v>265</v>
      </c>
      <c r="C10919" s="1" t="s">
        <v>14</v>
      </c>
      <c r="D10919" s="1">
        <v>2.0</v>
      </c>
      <c r="E10919" s="1">
        <v>22207.0</v>
      </c>
      <c r="F10919" s="10">
        <f t="shared" si="1"/>
        <v>2</v>
      </c>
      <c r="G10919" s="10" t="str">
        <f t="array" ref="G10919">index('Player ID'!C:C,match(E10919,'Player ID'!B:B,0))</f>
        <v>#N/A</v>
      </c>
    </row>
    <row r="10920">
      <c r="A10920" s="76">
        <v>45840.0</v>
      </c>
      <c r="B10920" s="1" t="s">
        <v>112</v>
      </c>
      <c r="C10920" s="1" t="s">
        <v>14</v>
      </c>
      <c r="D10920" s="1">
        <v>1.0</v>
      </c>
      <c r="E10920" s="1">
        <v>25376.0</v>
      </c>
      <c r="F10920" s="10">
        <f t="shared" si="1"/>
        <v>1</v>
      </c>
      <c r="G10920" s="10">
        <f t="array" ref="G10920">index('Player ID'!C:C,match(E10920,'Player ID'!B:B,0))</f>
        <v>683232</v>
      </c>
    </row>
    <row r="10921">
      <c r="A10921" s="76">
        <v>45840.0</v>
      </c>
      <c r="B10921" s="1" t="s">
        <v>400</v>
      </c>
      <c r="C10921" s="1" t="s">
        <v>54</v>
      </c>
      <c r="D10921" s="1">
        <v>1.0</v>
      </c>
      <c r="E10921" s="1">
        <v>20539.0</v>
      </c>
      <c r="F10921" s="10">
        <f t="shared" si="1"/>
        <v>1</v>
      </c>
      <c r="G10921" s="10">
        <f t="array" ref="G10921">index('Player ID'!C:C,match(E10921,'Player ID'!B:B,0))</f>
        <v>670955</v>
      </c>
    </row>
    <row r="10922">
      <c r="A10922" s="76">
        <v>45840.0</v>
      </c>
      <c r="B10922" s="1" t="s">
        <v>227</v>
      </c>
      <c r="C10922" s="1" t="s">
        <v>52</v>
      </c>
      <c r="D10922" s="1">
        <v>1.2</v>
      </c>
      <c r="E10922" s="1">
        <v>21520.0</v>
      </c>
      <c r="F10922" s="10">
        <f t="shared" si="1"/>
        <v>1.666666667</v>
      </c>
      <c r="G10922" s="10">
        <f t="array" ref="G10922">index('Player ID'!C:C,match(E10922,'Player ID'!B:B,0))</f>
        <v>663687</v>
      </c>
    </row>
    <row r="10923">
      <c r="A10923" s="76">
        <v>45840.0</v>
      </c>
      <c r="B10923" s="1" t="s">
        <v>471</v>
      </c>
      <c r="C10923" s="1" t="s">
        <v>52</v>
      </c>
      <c r="D10923" s="1">
        <v>1.1</v>
      </c>
      <c r="E10923" s="1">
        <v>21662.0</v>
      </c>
      <c r="F10923" s="10">
        <f t="shared" si="1"/>
        <v>1.333333333</v>
      </c>
      <c r="G10923" s="10">
        <f t="array" ref="G10923">index('Player ID'!C:C,match(E10923,'Player ID'!B:B,0))</f>
        <v>665660</v>
      </c>
    </row>
    <row r="10924">
      <c r="A10924" s="76">
        <v>45840.0</v>
      </c>
      <c r="B10924" s="1" t="s">
        <v>110</v>
      </c>
      <c r="C10924" s="1" t="s">
        <v>54</v>
      </c>
      <c r="D10924" s="1">
        <v>1.0</v>
      </c>
      <c r="E10924" s="1">
        <v>25679.0</v>
      </c>
      <c r="F10924" s="10">
        <f t="shared" si="1"/>
        <v>1</v>
      </c>
      <c r="G10924" s="10">
        <f t="array" ref="G10924">index('Player ID'!C:C,match(E10924,'Player ID'!B:B,0))</f>
        <v>687330</v>
      </c>
    </row>
    <row r="10925">
      <c r="A10925" s="76">
        <v>45840.0</v>
      </c>
      <c r="B10925" s="1" t="s">
        <v>129</v>
      </c>
      <c r="C10925" s="1" t="s">
        <v>54</v>
      </c>
      <c r="D10925" s="1">
        <v>6.0</v>
      </c>
      <c r="E10925" s="1">
        <v>26221.0</v>
      </c>
      <c r="F10925" s="10">
        <f t="shared" si="1"/>
        <v>6</v>
      </c>
      <c r="G10925" s="10">
        <f t="array" ref="G10925">index('Player ID'!C:C,match(E10925,'Player ID'!B:B,0))</f>
        <v>686752</v>
      </c>
    </row>
    <row r="10926">
      <c r="A10926" s="76">
        <v>45840.0</v>
      </c>
      <c r="B10926" s="1" t="s">
        <v>257</v>
      </c>
      <c r="C10926" s="1" t="s">
        <v>54</v>
      </c>
      <c r="D10926" s="1">
        <v>1.0</v>
      </c>
      <c r="E10926" s="1">
        <v>27626.0</v>
      </c>
      <c r="F10926" s="10">
        <f t="shared" si="1"/>
        <v>1</v>
      </c>
      <c r="G10926" s="10">
        <f t="array" ref="G10926">index('Player ID'!C:C,match(E10926,'Player ID'!B:B,0))</f>
        <v>679358</v>
      </c>
    </row>
    <row r="10927">
      <c r="A10927" s="76">
        <v>45840.0</v>
      </c>
      <c r="B10927" s="1" t="s">
        <v>127</v>
      </c>
      <c r="C10927" s="1" t="s">
        <v>52</v>
      </c>
      <c r="D10927" s="1">
        <v>5.0</v>
      </c>
      <c r="E10927" s="1">
        <v>27707.0</v>
      </c>
      <c r="F10927" s="10">
        <f t="shared" si="1"/>
        <v>5</v>
      </c>
      <c r="G10927" s="10">
        <f t="array" ref="G10927">index('Player ID'!C:C,match(E10927,'Player ID'!B:B,0))</f>
        <v>687765</v>
      </c>
    </row>
    <row r="10928">
      <c r="A10928" s="76">
        <v>45840.0</v>
      </c>
      <c r="B10928" s="1" t="s">
        <v>95</v>
      </c>
      <c r="C10928" s="1" t="s">
        <v>72</v>
      </c>
      <c r="D10928" s="1">
        <v>6.1</v>
      </c>
      <c r="E10928" s="1">
        <v>12768.0</v>
      </c>
      <c r="F10928" s="10">
        <f t="shared" si="1"/>
        <v>6.333333333</v>
      </c>
      <c r="G10928" s="10">
        <f t="array" ref="G10928">index('Player ID'!C:C,match(E10928,'Player ID'!B:B,0))</f>
        <v>543243</v>
      </c>
    </row>
    <row r="10929">
      <c r="A10929" s="76">
        <v>45840.0</v>
      </c>
      <c r="B10929" s="1" t="s">
        <v>423</v>
      </c>
      <c r="C10929" s="1" t="s">
        <v>60</v>
      </c>
      <c r="D10929" s="1">
        <v>7.0</v>
      </c>
      <c r="E10929" s="1">
        <v>17594.0</v>
      </c>
      <c r="F10929" s="10">
        <f t="shared" si="1"/>
        <v>7</v>
      </c>
      <c r="G10929" s="10">
        <f t="array" ref="G10929">index('Player ID'!C:C,match(E10929,'Player ID'!B:B,0))</f>
        <v>656605</v>
      </c>
    </row>
    <row r="10930">
      <c r="A10930" s="76">
        <v>45840.0</v>
      </c>
      <c r="B10930" s="1" t="s">
        <v>217</v>
      </c>
      <c r="C10930" s="1" t="s">
        <v>60</v>
      </c>
      <c r="D10930" s="1">
        <v>1.0</v>
      </c>
      <c r="E10930" s="1">
        <v>17878.0</v>
      </c>
      <c r="F10930" s="10">
        <f t="shared" si="1"/>
        <v>1</v>
      </c>
      <c r="G10930" s="10">
        <f t="array" ref="G10930">index('Player ID'!C:C,match(E10930,'Player ID'!B:B,0))</f>
        <v>642701</v>
      </c>
    </row>
    <row r="10931">
      <c r="A10931" s="76">
        <v>45840.0</v>
      </c>
      <c r="B10931" s="1" t="s">
        <v>409</v>
      </c>
      <c r="C10931" s="1" t="s">
        <v>72</v>
      </c>
      <c r="D10931" s="1">
        <v>0.2</v>
      </c>
      <c r="E10931" s="1">
        <v>20348.0</v>
      </c>
      <c r="F10931" s="10">
        <f t="shared" si="1"/>
        <v>0.6666666667</v>
      </c>
      <c r="G10931" s="10">
        <f t="array" ref="G10931">index('Player ID'!C:C,match(E10931,'Player ID'!B:B,0))</f>
        <v>676617</v>
      </c>
    </row>
    <row r="10932">
      <c r="A10932" s="76">
        <v>45840.0</v>
      </c>
      <c r="B10932" s="1" t="s">
        <v>338</v>
      </c>
      <c r="C10932" s="1" t="s">
        <v>60</v>
      </c>
      <c r="D10932" s="1">
        <v>1.0</v>
      </c>
      <c r="E10932" s="1">
        <v>20385.0</v>
      </c>
      <c r="F10932" s="10">
        <f t="shared" si="1"/>
        <v>1</v>
      </c>
      <c r="G10932" s="10" t="str">
        <f t="array" ref="G10932">index('Player ID'!C:C,match(E10932,'Player ID'!B:B,0))</f>
        <v>#N/A</v>
      </c>
    </row>
    <row r="10933">
      <c r="A10933" s="76">
        <v>45840.0</v>
      </c>
      <c r="B10933" s="1" t="s">
        <v>170</v>
      </c>
      <c r="C10933" s="1" t="s">
        <v>72</v>
      </c>
      <c r="D10933" s="1">
        <v>1.0</v>
      </c>
      <c r="E10933" s="1">
        <v>24763.0</v>
      </c>
      <c r="F10933" s="10">
        <f t="shared" si="1"/>
        <v>1</v>
      </c>
      <c r="G10933" s="10">
        <f t="array" ref="G10933">index('Player ID'!C:C,match(E10933,'Player ID'!B:B,0))</f>
        <v>681517</v>
      </c>
    </row>
    <row r="10934">
      <c r="A10934" s="76">
        <v>45840.0</v>
      </c>
      <c r="B10934" s="1" t="s">
        <v>453</v>
      </c>
      <c r="C10934" s="1" t="s">
        <v>45</v>
      </c>
      <c r="D10934" s="1">
        <v>2.2</v>
      </c>
      <c r="E10934" s="1">
        <v>11836.0</v>
      </c>
      <c r="F10934" s="10">
        <f t="shared" si="1"/>
        <v>2.666666667</v>
      </c>
      <c r="G10934" s="10">
        <f t="array" ref="G10934">index('Player ID'!C:C,match(E10934,'Player ID'!B:B,0))</f>
        <v>592836</v>
      </c>
    </row>
    <row r="10935">
      <c r="A10935" s="76">
        <v>45840.0</v>
      </c>
      <c r="B10935" s="1" t="s">
        <v>109</v>
      </c>
      <c r="C10935" s="1" t="s">
        <v>26</v>
      </c>
      <c r="D10935" s="1">
        <v>6.0</v>
      </c>
      <c r="E10935" s="1">
        <v>15454.0</v>
      </c>
      <c r="F10935" s="10">
        <f t="shared" si="1"/>
        <v>6</v>
      </c>
      <c r="G10935" s="10">
        <f t="array" ref="G10935">index('Player ID'!C:C,match(E10935,'Player ID'!B:B,0))</f>
        <v>601713</v>
      </c>
    </row>
    <row r="10936">
      <c r="A10936" s="76">
        <v>45840.0</v>
      </c>
      <c r="B10936" s="1" t="s">
        <v>49</v>
      </c>
      <c r="C10936" s="1" t="s">
        <v>26</v>
      </c>
      <c r="D10936" s="1">
        <v>1.1</v>
      </c>
      <c r="E10936" s="1">
        <v>20039.0</v>
      </c>
      <c r="F10936" s="10">
        <f t="shared" si="1"/>
        <v>1.333333333</v>
      </c>
      <c r="G10936" s="10">
        <f t="array" ref="G10936">index('Player ID'!C:C,match(E10936,'Player ID'!B:B,0))</f>
        <v>670970</v>
      </c>
    </row>
    <row r="10937">
      <c r="A10937" s="76">
        <v>45840.0</v>
      </c>
      <c r="B10937" s="1" t="s">
        <v>788</v>
      </c>
      <c r="C10937" s="1" t="s">
        <v>45</v>
      </c>
      <c r="D10937" s="1">
        <v>1.0</v>
      </c>
      <c r="E10937" s="1">
        <v>21229.0</v>
      </c>
      <c r="F10937" s="10">
        <f t="shared" si="1"/>
        <v>1</v>
      </c>
      <c r="G10937" s="10">
        <f t="array" ref="G10937">index('Player ID'!C:C,match(E10937,'Player ID'!B:B,0))</f>
        <v>642016</v>
      </c>
    </row>
    <row r="10938">
      <c r="A10938" s="76">
        <v>45840.0</v>
      </c>
      <c r="B10938" s="1" t="s">
        <v>258</v>
      </c>
      <c r="C10938" s="1" t="s">
        <v>45</v>
      </c>
      <c r="D10938" s="1">
        <v>1.2</v>
      </c>
      <c r="E10938" s="1">
        <v>23426.0</v>
      </c>
      <c r="F10938" s="10">
        <f t="shared" si="1"/>
        <v>1.666666667</v>
      </c>
      <c r="G10938" s="10" t="str">
        <f t="array" ref="G10938">index('Player ID'!C:C,match(E10938,'Player ID'!B:B,0))</f>
        <v>#N/A</v>
      </c>
    </row>
    <row r="10939">
      <c r="A10939" s="76">
        <v>45840.0</v>
      </c>
      <c r="B10939" s="1" t="s">
        <v>863</v>
      </c>
      <c r="C10939" s="1" t="s">
        <v>45</v>
      </c>
      <c r="D10939" s="1">
        <v>2.0</v>
      </c>
      <c r="E10939" s="1">
        <v>26020.0</v>
      </c>
      <c r="F10939" s="10">
        <f t="shared" si="1"/>
        <v>2</v>
      </c>
      <c r="G10939" s="10" t="str">
        <f t="array" ref="G10939">index('Player ID'!C:C,match(E10939,'Player ID'!B:B,0))</f>
        <v>#N/A</v>
      </c>
    </row>
    <row r="10940">
      <c r="A10940" s="76">
        <v>45840.0</v>
      </c>
      <c r="B10940" s="1" t="s">
        <v>895</v>
      </c>
      <c r="C10940" s="1" t="s">
        <v>26</v>
      </c>
      <c r="D10940" s="1">
        <v>0.2</v>
      </c>
      <c r="E10940" s="1">
        <v>26304.0</v>
      </c>
      <c r="F10940" s="10">
        <f t="shared" si="1"/>
        <v>0.6666666667</v>
      </c>
      <c r="G10940" s="10" t="str">
        <f t="array" ref="G10940">index('Player ID'!C:C,match(E10940,'Player ID'!B:B,0))</f>
        <v>#N/A</v>
      </c>
    </row>
    <row r="10941">
      <c r="A10941" s="76">
        <v>45840.0</v>
      </c>
      <c r="B10941" s="1" t="s">
        <v>393</v>
      </c>
      <c r="C10941" s="1" t="s">
        <v>45</v>
      </c>
      <c r="D10941" s="1">
        <v>1.2</v>
      </c>
      <c r="E10941" s="1">
        <v>27756.0</v>
      </c>
      <c r="F10941" s="10">
        <f t="shared" si="1"/>
        <v>1.666666667</v>
      </c>
      <c r="G10941" s="10">
        <f t="array" ref="G10941">index('Player ID'!C:C,match(E10941,'Player ID'!B:B,0))</f>
        <v>690953</v>
      </c>
    </row>
    <row r="10942">
      <c r="A10942" s="76">
        <v>45840.0</v>
      </c>
      <c r="B10942" s="1" t="s">
        <v>81</v>
      </c>
      <c r="C10942" s="1" t="s">
        <v>26</v>
      </c>
      <c r="D10942" s="1">
        <v>1.0</v>
      </c>
      <c r="E10942" s="1">
        <v>30115.0</v>
      </c>
      <c r="F10942" s="10">
        <f t="shared" si="1"/>
        <v>1</v>
      </c>
      <c r="G10942" s="10">
        <f t="array" ref="G10942">index('Player ID'!C:C,match(E10942,'Player ID'!B:B,0))</f>
        <v>663158</v>
      </c>
    </row>
    <row r="10943">
      <c r="A10943" s="76">
        <v>45840.0</v>
      </c>
      <c r="B10943" s="1" t="s">
        <v>435</v>
      </c>
      <c r="C10943" s="1" t="s">
        <v>16</v>
      </c>
      <c r="D10943" s="1">
        <v>0.1</v>
      </c>
      <c r="E10943" s="1">
        <v>13293.0</v>
      </c>
      <c r="F10943" s="10">
        <f t="shared" si="1"/>
        <v>0.3333333333</v>
      </c>
      <c r="G10943" s="10">
        <f t="array" ref="G10943">index('Player ID'!C:C,match(E10943,'Player ID'!B:B,0))</f>
        <v>543056</v>
      </c>
    </row>
    <row r="10944">
      <c r="A10944" s="76">
        <v>45840.0</v>
      </c>
      <c r="B10944" s="1" t="s">
        <v>249</v>
      </c>
      <c r="C10944" s="1" t="s">
        <v>16</v>
      </c>
      <c r="D10944" s="1">
        <v>1.0</v>
      </c>
      <c r="E10944" s="1">
        <v>16727.0</v>
      </c>
      <c r="F10944" s="10">
        <f t="shared" si="1"/>
        <v>1</v>
      </c>
      <c r="G10944" s="10">
        <f t="array" ref="G10944">index('Player ID'!C:C,match(E10944,'Player ID'!B:B,0))</f>
        <v>592779</v>
      </c>
    </row>
    <row r="10945">
      <c r="A10945" s="76">
        <v>45840.0</v>
      </c>
      <c r="B10945" s="1" t="s">
        <v>28</v>
      </c>
      <c r="C10945" s="1" t="s">
        <v>16</v>
      </c>
      <c r="D10945" s="1">
        <v>1.0</v>
      </c>
      <c r="E10945" s="1">
        <v>20253.0</v>
      </c>
      <c r="F10945" s="10">
        <f t="shared" si="1"/>
        <v>1</v>
      </c>
      <c r="G10945" s="10">
        <f t="array" ref="G10945">index('Player ID'!C:C,match(E10945,'Player ID'!B:B,0))</f>
        <v>643377</v>
      </c>
    </row>
    <row r="10946">
      <c r="A10946" s="76">
        <v>45840.0</v>
      </c>
      <c r="B10946" s="1" t="s">
        <v>122</v>
      </c>
      <c r="C10946" s="1" t="s">
        <v>16</v>
      </c>
      <c r="D10946" s="1">
        <v>1.0</v>
      </c>
      <c r="E10946" s="1">
        <v>21029.0</v>
      </c>
      <c r="F10946" s="10">
        <f t="shared" si="1"/>
        <v>1</v>
      </c>
      <c r="G10946" s="10">
        <f t="array" ref="G10946">index('Player ID'!C:C,match(E10946,'Player ID'!B:B,0))</f>
        <v>661395</v>
      </c>
    </row>
    <row r="10947">
      <c r="A10947" s="76">
        <v>45840.0</v>
      </c>
      <c r="B10947" s="1" t="s">
        <v>35</v>
      </c>
      <c r="C10947" s="1" t="s">
        <v>36</v>
      </c>
      <c r="D10947" s="1">
        <v>6.0</v>
      </c>
      <c r="E10947" s="1">
        <v>23301.0</v>
      </c>
      <c r="F10947" s="10">
        <f t="shared" si="1"/>
        <v>6</v>
      </c>
      <c r="G10947" s="10">
        <f t="array" ref="G10947">index('Player ID'!C:C,match(E10947,'Player ID'!B:B,0))</f>
        <v>676083</v>
      </c>
    </row>
    <row r="10948">
      <c r="A10948" s="76">
        <v>45840.0</v>
      </c>
      <c r="B10948" s="1" t="s">
        <v>322</v>
      </c>
      <c r="C10948" s="1" t="s">
        <v>36</v>
      </c>
      <c r="D10948" s="1">
        <v>2.0</v>
      </c>
      <c r="E10948" s="1">
        <v>23899.0</v>
      </c>
      <c r="F10948" s="10">
        <f t="shared" si="1"/>
        <v>2</v>
      </c>
      <c r="G10948" s="10">
        <f t="array" ref="G10948">index('Player ID'!C:C,match(E10948,'Player ID'!B:B,0))</f>
        <v>678368</v>
      </c>
    </row>
    <row r="10949">
      <c r="A10949" s="76">
        <v>45840.0</v>
      </c>
      <c r="B10949" s="1" t="s">
        <v>490</v>
      </c>
      <c r="C10949" s="1" t="s">
        <v>16</v>
      </c>
      <c r="D10949" s="1">
        <v>5.0</v>
      </c>
      <c r="E10949" s="1">
        <v>24494.0</v>
      </c>
      <c r="F10949" s="10">
        <f t="shared" si="1"/>
        <v>5</v>
      </c>
      <c r="G10949" s="10">
        <f t="array" ref="G10949">index('Player ID'!C:C,match(E10949,'Player ID'!B:B,0))</f>
        <v>680573</v>
      </c>
    </row>
    <row r="10950">
      <c r="A10950" s="76">
        <v>45840.0</v>
      </c>
      <c r="B10950" s="1" t="s">
        <v>446</v>
      </c>
      <c r="C10950" s="1" t="s">
        <v>36</v>
      </c>
      <c r="D10950" s="1">
        <v>1.0</v>
      </c>
      <c r="E10950" s="1">
        <v>25957.0</v>
      </c>
      <c r="F10950" s="10">
        <f t="shared" si="1"/>
        <v>1</v>
      </c>
      <c r="G10950" s="10" t="str">
        <f t="array" ref="G10950">index('Player ID'!C:C,match(E10950,'Player ID'!B:B,0))</f>
        <v>#N/A</v>
      </c>
    </row>
    <row r="10951">
      <c r="A10951" s="76">
        <v>45840.0</v>
      </c>
      <c r="B10951" s="1" t="s">
        <v>47</v>
      </c>
      <c r="C10951" s="1" t="s">
        <v>16</v>
      </c>
      <c r="D10951" s="1">
        <v>0.2</v>
      </c>
      <c r="E10951" s="1">
        <v>27691.0</v>
      </c>
      <c r="F10951" s="10">
        <f t="shared" si="1"/>
        <v>0.6666666667</v>
      </c>
      <c r="G10951" s="10">
        <f t="array" ref="G10951">index('Player ID'!C:C,match(E10951,'Player ID'!B:B,0))</f>
        <v>686973</v>
      </c>
    </row>
    <row r="10952">
      <c r="A10952" s="76">
        <v>45840.0</v>
      </c>
      <c r="B10952" s="1" t="s">
        <v>439</v>
      </c>
      <c r="C10952" s="1" t="s">
        <v>62</v>
      </c>
      <c r="D10952" s="1">
        <v>0.0</v>
      </c>
      <c r="E10952" s="1">
        <v>11384.0</v>
      </c>
      <c r="F10952" s="10">
        <f t="shared" si="1"/>
        <v>0</v>
      </c>
      <c r="G10952" s="10">
        <f t="array" ref="G10952">index('Player ID'!C:C,match(E10952,'Player ID'!B:B,0))</f>
        <v>592454</v>
      </c>
    </row>
    <row r="10953">
      <c r="A10953" s="76">
        <v>45840.0</v>
      </c>
      <c r="B10953" s="1" t="s">
        <v>139</v>
      </c>
      <c r="C10953" s="1" t="s">
        <v>80</v>
      </c>
      <c r="D10953" s="1">
        <v>1.0</v>
      </c>
      <c r="E10953" s="1">
        <v>15009.0</v>
      </c>
      <c r="F10953" s="10">
        <f t="shared" si="1"/>
        <v>1</v>
      </c>
      <c r="G10953" s="10">
        <f t="array" ref="G10953">index('Player ID'!C:C,match(E10953,'Player ID'!B:B,0))</f>
        <v>640448</v>
      </c>
    </row>
    <row r="10954">
      <c r="A10954" s="76">
        <v>45840.0</v>
      </c>
      <c r="B10954" s="1" t="s">
        <v>316</v>
      </c>
      <c r="C10954" s="1" t="s">
        <v>62</v>
      </c>
      <c r="D10954" s="1">
        <v>5.0</v>
      </c>
      <c r="E10954" s="1">
        <v>17479.0</v>
      </c>
      <c r="F10954" s="10">
        <f t="shared" si="1"/>
        <v>5</v>
      </c>
      <c r="G10954" s="10">
        <f t="array" ref="G10954">index('Player ID'!C:C,match(E10954,'Player ID'!B:B,0))</f>
        <v>656427</v>
      </c>
    </row>
    <row r="10955">
      <c r="A10955" s="76">
        <v>45840.0</v>
      </c>
      <c r="B10955" s="1" t="s">
        <v>354</v>
      </c>
      <c r="C10955" s="1" t="s">
        <v>80</v>
      </c>
      <c r="D10955" s="1">
        <v>5.1</v>
      </c>
      <c r="E10955" s="1">
        <v>22201.0</v>
      </c>
      <c r="F10955" s="10">
        <f t="shared" si="1"/>
        <v>5.333333333</v>
      </c>
      <c r="G10955" s="10">
        <f t="array" ref="G10955">index('Player ID'!C:C,match(E10955,'Player ID'!B:B,0))</f>
        <v>669022</v>
      </c>
    </row>
    <row r="10956">
      <c r="A10956" s="76">
        <v>45840.0</v>
      </c>
      <c r="B10956" s="1" t="s">
        <v>289</v>
      </c>
      <c r="C10956" s="1" t="s">
        <v>62</v>
      </c>
      <c r="D10956" s="1">
        <v>1.0</v>
      </c>
      <c r="E10956" s="1">
        <v>22304.0</v>
      </c>
      <c r="F10956" s="10">
        <f t="shared" si="1"/>
        <v>1</v>
      </c>
      <c r="G10956" s="10">
        <f t="array" ref="G10956">index('Player ID'!C:C,match(E10956,'Player ID'!B:B,0))</f>
        <v>669724</v>
      </c>
    </row>
    <row r="10957">
      <c r="A10957" s="76">
        <v>45840.0</v>
      </c>
      <c r="B10957" s="1" t="s">
        <v>86</v>
      </c>
      <c r="C10957" s="1" t="s">
        <v>80</v>
      </c>
      <c r="D10957" s="1">
        <v>0.2</v>
      </c>
      <c r="E10957" s="1">
        <v>24017.0</v>
      </c>
      <c r="F10957" s="10">
        <f t="shared" si="1"/>
        <v>0.6666666667</v>
      </c>
      <c r="G10957" s="10">
        <f t="array" ref="G10957">index('Player ID'!C:C,match(E10957,'Player ID'!B:B,0))</f>
        <v>678606</v>
      </c>
    </row>
    <row r="10958">
      <c r="A10958" s="76">
        <v>45840.0</v>
      </c>
      <c r="B10958" s="1" t="s">
        <v>507</v>
      </c>
      <c r="C10958" s="1" t="s">
        <v>80</v>
      </c>
      <c r="D10958" s="1">
        <v>1.0</v>
      </c>
      <c r="E10958" s="1">
        <v>27570.0</v>
      </c>
      <c r="F10958" s="10">
        <f t="shared" si="1"/>
        <v>1</v>
      </c>
      <c r="G10958" s="10">
        <f t="array" ref="G10958">index('Player ID'!C:C,match(E10958,'Player ID'!B:B,0))</f>
        <v>669371</v>
      </c>
    </row>
    <row r="10959">
      <c r="A10959" s="76">
        <v>45840.0</v>
      </c>
      <c r="B10959" s="1" t="s">
        <v>160</v>
      </c>
      <c r="C10959" s="1" t="s">
        <v>62</v>
      </c>
      <c r="D10959" s="1">
        <v>2.0</v>
      </c>
      <c r="E10959" s="1">
        <v>29574.0</v>
      </c>
      <c r="F10959" s="10">
        <f t="shared" si="1"/>
        <v>2</v>
      </c>
      <c r="G10959" s="10">
        <f t="array" ref="G10959">index('Player ID'!C:C,match(E10959,'Player ID'!B:B,0))</f>
        <v>695445</v>
      </c>
    </row>
    <row r="10960">
      <c r="A10960" s="76">
        <v>45840.0</v>
      </c>
      <c r="B10960" s="1" t="s">
        <v>437</v>
      </c>
      <c r="C10960" s="1" t="s">
        <v>80</v>
      </c>
      <c r="D10960" s="1">
        <v>1.0</v>
      </c>
      <c r="E10960" s="1">
        <v>31972.0</v>
      </c>
      <c r="F10960" s="10">
        <f t="shared" si="1"/>
        <v>1</v>
      </c>
      <c r="G10960" s="10">
        <f t="array" ref="G10960">index('Player ID'!C:C,match(E10960,'Player ID'!B:B,0))</f>
        <v>695418</v>
      </c>
    </row>
    <row r="10961">
      <c r="A10961" s="76">
        <v>45840.0</v>
      </c>
      <c r="B10961" s="1" t="s">
        <v>673</v>
      </c>
      <c r="C10961" s="1" t="s">
        <v>40</v>
      </c>
      <c r="D10961" s="1">
        <v>1.0</v>
      </c>
      <c r="E10961" s="1">
        <v>12095.0</v>
      </c>
      <c r="F10961" s="10">
        <f t="shared" si="1"/>
        <v>1</v>
      </c>
      <c r="G10961" s="10">
        <f t="array" ref="G10961">index('Player ID'!C:C,match(E10961,'Player ID'!B:B,0))</f>
        <v>554340</v>
      </c>
    </row>
    <row r="10962">
      <c r="A10962" s="76">
        <v>45840.0</v>
      </c>
      <c r="B10962" s="1" t="s">
        <v>638</v>
      </c>
      <c r="C10962" s="1" t="s">
        <v>40</v>
      </c>
      <c r="D10962" s="1">
        <v>4.1</v>
      </c>
      <c r="E10962" s="1">
        <v>14168.0</v>
      </c>
      <c r="F10962" s="10">
        <f t="shared" si="1"/>
        <v>4.333333333</v>
      </c>
      <c r="G10962" s="10">
        <f t="array" ref="G10962">index('Player ID'!C:C,match(E10962,'Player ID'!B:B,0))</f>
        <v>621244</v>
      </c>
    </row>
    <row r="10963">
      <c r="A10963" s="76">
        <v>45840.0</v>
      </c>
      <c r="B10963" s="1" t="s">
        <v>114</v>
      </c>
      <c r="C10963" s="1" t="s">
        <v>58</v>
      </c>
      <c r="D10963" s="1">
        <v>1.0</v>
      </c>
      <c r="E10963" s="1">
        <v>15816.0</v>
      </c>
      <c r="F10963" s="10">
        <f t="shared" si="1"/>
        <v>1</v>
      </c>
      <c r="G10963" s="10">
        <f t="array" ref="G10963">index('Player ID'!C:C,match(E10963,'Player ID'!B:B,0))</f>
        <v>642207</v>
      </c>
    </row>
    <row r="10964">
      <c r="A10964" s="76">
        <v>45840.0</v>
      </c>
      <c r="B10964" s="1" t="s">
        <v>69</v>
      </c>
      <c r="C10964" s="1" t="s">
        <v>58</v>
      </c>
      <c r="D10964" s="1">
        <v>1.1</v>
      </c>
      <c r="E10964" s="1">
        <v>16814.0</v>
      </c>
      <c r="F10964" s="10">
        <f t="shared" si="1"/>
        <v>1.333333333</v>
      </c>
      <c r="G10964" s="10">
        <f t="array" ref="G10964">index('Player ID'!C:C,match(E10964,'Player ID'!B:B,0))</f>
        <v>657612</v>
      </c>
    </row>
    <row r="10965">
      <c r="A10965" s="76">
        <v>45840.0</v>
      </c>
      <c r="B10965" s="1" t="s">
        <v>311</v>
      </c>
      <c r="C10965" s="1" t="s">
        <v>40</v>
      </c>
      <c r="D10965" s="1">
        <v>1.0</v>
      </c>
      <c r="E10965" s="1">
        <v>17432.0</v>
      </c>
      <c r="F10965" s="10">
        <f t="shared" si="1"/>
        <v>1</v>
      </c>
      <c r="G10965" s="10">
        <f t="array" ref="G10965">index('Player ID'!C:C,match(E10965,'Player ID'!B:B,0))</f>
        <v>656546</v>
      </c>
    </row>
    <row r="10966">
      <c r="A10966" s="76">
        <v>45840.0</v>
      </c>
      <c r="B10966" s="1" t="s">
        <v>520</v>
      </c>
      <c r="C10966" s="1" t="s">
        <v>58</v>
      </c>
      <c r="D10966" s="1">
        <v>1.2</v>
      </c>
      <c r="E10966" s="1">
        <v>19261.0</v>
      </c>
      <c r="F10966" s="10">
        <f t="shared" si="1"/>
        <v>1.666666667</v>
      </c>
      <c r="G10966" s="10">
        <f t="array" ref="G10966">index('Player ID'!C:C,match(E10966,'Player ID'!B:B,0))</f>
        <v>641656</v>
      </c>
    </row>
    <row r="10967">
      <c r="A10967" s="76">
        <v>45840.0</v>
      </c>
      <c r="B10967" s="1" t="s">
        <v>395</v>
      </c>
      <c r="C10967" s="1" t="s">
        <v>40</v>
      </c>
      <c r="D10967" s="1">
        <v>1.1</v>
      </c>
      <c r="E10967" s="1">
        <v>21574.0</v>
      </c>
      <c r="F10967" s="10">
        <f t="shared" si="1"/>
        <v>1.333333333</v>
      </c>
      <c r="G10967" s="10">
        <f t="array" ref="G10967">index('Player ID'!C:C,match(E10967,'Player ID'!B:B,0))</f>
        <v>663893</v>
      </c>
    </row>
    <row r="10968">
      <c r="A10968" s="76">
        <v>45840.0</v>
      </c>
      <c r="B10968" s="1" t="s">
        <v>344</v>
      </c>
      <c r="C10968" s="1" t="s">
        <v>58</v>
      </c>
      <c r="D10968" s="1">
        <v>4.0</v>
      </c>
      <c r="E10968" s="1">
        <v>30182.0</v>
      </c>
      <c r="F10968" s="10">
        <f t="shared" si="1"/>
        <v>4</v>
      </c>
      <c r="G10968" s="10">
        <f t="array" ref="G10968">index('Player ID'!C:C,match(E10968,'Player ID'!B:B,0))</f>
        <v>701542</v>
      </c>
    </row>
    <row r="10969">
      <c r="A10969" s="76">
        <v>45840.0</v>
      </c>
      <c r="B10969" s="1" t="s">
        <v>427</v>
      </c>
      <c r="C10969" s="1" t="s">
        <v>40</v>
      </c>
      <c r="D10969" s="1">
        <v>1.1</v>
      </c>
      <c r="E10969" s="1">
        <v>33838.0</v>
      </c>
      <c r="F10969" s="10">
        <f t="shared" si="1"/>
        <v>1.333333333</v>
      </c>
      <c r="G10969" s="10">
        <f t="array" ref="G10969">index('Player ID'!C:C,match(E10969,'Player ID'!B:B,0))</f>
        <v>684320</v>
      </c>
    </row>
    <row r="10970">
      <c r="A10970" s="76">
        <v>45840.0</v>
      </c>
      <c r="B10970" s="1" t="s">
        <v>226</v>
      </c>
      <c r="C10970" s="1" t="s">
        <v>66</v>
      </c>
      <c r="D10970" s="1">
        <v>6.2</v>
      </c>
      <c r="E10970" s="1">
        <v>12730.0</v>
      </c>
      <c r="F10970" s="10">
        <f t="shared" si="1"/>
        <v>6.666666667</v>
      </c>
      <c r="G10970" s="10">
        <f t="array" ref="G10970">index('Player ID'!C:C,match(E10970,'Player ID'!B:B,0))</f>
        <v>607259</v>
      </c>
    </row>
    <row r="10971">
      <c r="A10971" s="76">
        <v>45840.0</v>
      </c>
      <c r="B10971" s="1" t="s">
        <v>362</v>
      </c>
      <c r="C10971" s="1" t="s">
        <v>66</v>
      </c>
      <c r="D10971" s="1">
        <v>0.1</v>
      </c>
      <c r="E10971" s="1">
        <v>13449.0</v>
      </c>
      <c r="F10971" s="10">
        <f t="shared" si="1"/>
        <v>0.3333333333</v>
      </c>
      <c r="G10971" s="10">
        <f t="array" ref="G10971">index('Player ID'!C:C,match(E10971,'Player ID'!B:B,0))</f>
        <v>573124</v>
      </c>
    </row>
    <row r="10972">
      <c r="A10972" s="76">
        <v>45840.0</v>
      </c>
      <c r="B10972" s="1" t="s">
        <v>651</v>
      </c>
      <c r="C10972" s="1" t="s">
        <v>66</v>
      </c>
      <c r="D10972" s="1">
        <v>1.0</v>
      </c>
      <c r="E10972" s="1">
        <v>14771.0</v>
      </c>
      <c r="F10972" s="10">
        <f t="shared" si="1"/>
        <v>1</v>
      </c>
      <c r="G10972" s="10">
        <f t="array" ref="G10972">index('Player ID'!C:C,match(E10972,'Player ID'!B:B,0))</f>
        <v>641941</v>
      </c>
    </row>
    <row r="10973">
      <c r="A10973" s="76">
        <v>45840.0</v>
      </c>
      <c r="B10973" s="1" t="s">
        <v>493</v>
      </c>
      <c r="C10973" s="1" t="s">
        <v>22</v>
      </c>
      <c r="D10973" s="1">
        <v>1.2</v>
      </c>
      <c r="E10973" s="1">
        <v>16835.0</v>
      </c>
      <c r="F10973" s="10">
        <f t="shared" si="1"/>
        <v>1.666666667</v>
      </c>
      <c r="G10973" s="10">
        <f t="array" ref="G10973">index('Player ID'!C:C,match(E10973,'Player ID'!B:B,0))</f>
        <v>657514</v>
      </c>
    </row>
    <row r="10974">
      <c r="A10974" s="76">
        <v>45840.0</v>
      </c>
      <c r="B10974" s="1" t="s">
        <v>397</v>
      </c>
      <c r="C10974" s="1" t="s">
        <v>22</v>
      </c>
      <c r="D10974" s="1">
        <v>1.1</v>
      </c>
      <c r="E10974" s="1">
        <v>19459.0</v>
      </c>
      <c r="F10974" s="10">
        <f t="shared" si="1"/>
        <v>1.333333333</v>
      </c>
      <c r="G10974" s="10">
        <f t="array" ref="G10974">index('Player ID'!C:C,match(E10974,'Player ID'!B:B,0))</f>
        <v>660896</v>
      </c>
    </row>
    <row r="10975">
      <c r="A10975" s="76">
        <v>45840.0</v>
      </c>
      <c r="B10975" s="1" t="s">
        <v>445</v>
      </c>
      <c r="C10975" s="1" t="s">
        <v>22</v>
      </c>
      <c r="D10975" s="1">
        <v>0.2</v>
      </c>
      <c r="E10975" s="1">
        <v>19618.0</v>
      </c>
      <c r="F10975" s="10">
        <f t="shared" si="1"/>
        <v>0.6666666667</v>
      </c>
      <c r="G10975" s="10">
        <f t="array" ref="G10975">index('Player ID'!C:C,match(E10975,'Player ID'!B:B,0))</f>
        <v>663855</v>
      </c>
    </row>
    <row r="10976">
      <c r="A10976" s="76">
        <v>45840.0</v>
      </c>
      <c r="B10976" s="1" t="s">
        <v>345</v>
      </c>
      <c r="C10976" s="1" t="s">
        <v>66</v>
      </c>
      <c r="D10976" s="1">
        <v>1.0</v>
      </c>
      <c r="E10976" s="1">
        <v>19926.0</v>
      </c>
      <c r="F10976" s="10">
        <f t="shared" si="1"/>
        <v>1</v>
      </c>
      <c r="G10976" s="10">
        <f t="array" ref="G10976">index('Player ID'!C:C,match(E10976,'Player ID'!B:B,0))</f>
        <v>663574</v>
      </c>
    </row>
    <row r="10977">
      <c r="A10977" s="76">
        <v>45840.0</v>
      </c>
      <c r="B10977" s="1" t="s">
        <v>406</v>
      </c>
      <c r="C10977" s="1" t="s">
        <v>22</v>
      </c>
      <c r="D10977" s="1">
        <v>1.0</v>
      </c>
      <c r="E10977" s="1">
        <v>20375.0</v>
      </c>
      <c r="F10977" s="10">
        <f t="shared" si="1"/>
        <v>1</v>
      </c>
      <c r="G10977" s="10">
        <f t="array" ref="G10977">index('Player ID'!C:C,match(E10977,'Player ID'!B:B,0))</f>
        <v>669711</v>
      </c>
    </row>
    <row r="10978">
      <c r="A10978" s="76">
        <v>45840.0</v>
      </c>
      <c r="B10978" s="1" t="s">
        <v>563</v>
      </c>
      <c r="C10978" s="1" t="s">
        <v>22</v>
      </c>
      <c r="D10978" s="1">
        <v>1.2</v>
      </c>
      <c r="E10978" s="1">
        <v>24975.0</v>
      </c>
      <c r="F10978" s="10">
        <f t="shared" si="1"/>
        <v>1.666666667</v>
      </c>
      <c r="G10978" s="10">
        <f t="array" ref="G10978">index('Player ID'!C:C,match(E10978,'Player ID'!B:B,0))</f>
        <v>681867</v>
      </c>
    </row>
    <row r="10979">
      <c r="A10979" s="76">
        <v>45840.0</v>
      </c>
      <c r="B10979" s="1" t="s">
        <v>402</v>
      </c>
      <c r="C10979" s="1" t="s">
        <v>22</v>
      </c>
      <c r="D10979" s="1">
        <v>2.2</v>
      </c>
      <c r="E10979" s="1">
        <v>26214.0</v>
      </c>
      <c r="F10979" s="10">
        <f t="shared" si="1"/>
        <v>2.666666667</v>
      </c>
      <c r="G10979" s="10" t="str">
        <f t="array" ref="G10979">index('Player ID'!C:C,match(E10979,'Player ID'!B:B,0))</f>
        <v>#N/A</v>
      </c>
    </row>
    <row r="10980">
      <c r="A10980" s="76">
        <v>45840.0</v>
      </c>
      <c r="B10980" s="1" t="s">
        <v>646</v>
      </c>
      <c r="C10980" s="1" t="s">
        <v>51</v>
      </c>
      <c r="D10980" s="1">
        <v>1.0</v>
      </c>
      <c r="E10980" s="1">
        <v>6107.0</v>
      </c>
      <c r="F10980" s="10">
        <f t="shared" si="1"/>
        <v>1</v>
      </c>
      <c r="G10980" s="10">
        <f t="array" ref="G10980">index('Player ID'!C:C,match(E10980,'Player ID'!B:B,0))</f>
        <v>623211</v>
      </c>
    </row>
    <row r="10981">
      <c r="A10981" s="76">
        <v>45840.0</v>
      </c>
      <c r="B10981" s="1" t="s">
        <v>679</v>
      </c>
      <c r="C10981" s="1" t="s">
        <v>51</v>
      </c>
      <c r="D10981" s="1">
        <v>1.1</v>
      </c>
      <c r="E10981" s="1">
        <v>14710.0</v>
      </c>
      <c r="F10981" s="10">
        <f t="shared" si="1"/>
        <v>1.333333333</v>
      </c>
      <c r="G10981" s="10">
        <f t="array" ref="G10981">index('Player ID'!C:C,match(E10981,'Player ID'!B:B,0))</f>
        <v>621242</v>
      </c>
    </row>
    <row r="10982">
      <c r="A10982" s="76">
        <v>45840.0</v>
      </c>
      <c r="B10982" s="1" t="s">
        <v>292</v>
      </c>
      <c r="C10982" s="1" t="s">
        <v>51</v>
      </c>
      <c r="D10982" s="1">
        <v>0.2</v>
      </c>
      <c r="E10982" s="1">
        <v>15947.0</v>
      </c>
      <c r="F10982" s="10">
        <f t="shared" si="1"/>
        <v>0.6666666667</v>
      </c>
      <c r="G10982" s="10">
        <f t="array" ref="G10982">index('Player ID'!C:C,match(E10982,'Player ID'!B:B,0))</f>
        <v>592773</v>
      </c>
    </row>
    <row r="10983">
      <c r="A10983" s="76">
        <v>45840.0</v>
      </c>
      <c r="B10983" s="1" t="s">
        <v>640</v>
      </c>
      <c r="C10983" s="1" t="s">
        <v>51</v>
      </c>
      <c r="D10983" s="1">
        <v>1.0</v>
      </c>
      <c r="E10983" s="1">
        <v>19337.0</v>
      </c>
      <c r="F10983" s="10">
        <f t="shared" si="1"/>
        <v>1</v>
      </c>
      <c r="G10983" s="10">
        <f t="array" ref="G10983">index('Player ID'!C:C,match(E10983,'Player ID'!B:B,0))</f>
        <v>663992</v>
      </c>
    </row>
    <row r="10984">
      <c r="A10984" s="76">
        <v>45840.0</v>
      </c>
      <c r="B10984" s="1" t="s">
        <v>318</v>
      </c>
      <c r="C10984" s="1" t="s">
        <v>14</v>
      </c>
      <c r="D10984" s="1">
        <v>1.1</v>
      </c>
      <c r="E10984" s="1">
        <v>20546.0</v>
      </c>
      <c r="F10984" s="10">
        <f t="shared" si="1"/>
        <v>1.333333333</v>
      </c>
      <c r="G10984" s="10">
        <f t="array" ref="G10984">index('Player ID'!C:C,match(E10984,'Player ID'!B:B,0))</f>
        <v>681982</v>
      </c>
    </row>
    <row r="10985">
      <c r="A10985" s="76">
        <v>45840.0</v>
      </c>
      <c r="B10985" s="1" t="s">
        <v>835</v>
      </c>
      <c r="C10985" s="1" t="s">
        <v>14</v>
      </c>
      <c r="D10985" s="1">
        <v>1.0</v>
      </c>
      <c r="E10985" s="1">
        <v>22176.0</v>
      </c>
      <c r="F10985" s="10">
        <f t="shared" si="1"/>
        <v>1</v>
      </c>
      <c r="G10985" s="10" t="str">
        <f t="array" ref="G10985">index('Player ID'!C:C,match(E10985,'Player ID'!B:B,0))</f>
        <v>#N/A</v>
      </c>
    </row>
    <row r="10986">
      <c r="A10986" s="76">
        <v>45840.0</v>
      </c>
      <c r="B10986" s="1" t="s">
        <v>829</v>
      </c>
      <c r="C10986" s="1" t="s">
        <v>51</v>
      </c>
      <c r="D10986" s="1">
        <v>0.2</v>
      </c>
      <c r="E10986" s="1">
        <v>23055.0</v>
      </c>
      <c r="F10986" s="10">
        <f t="shared" si="1"/>
        <v>0.6666666667</v>
      </c>
      <c r="G10986" s="10">
        <f t="array" ref="G10986">index('Player ID'!C:C,match(E10986,'Player ID'!B:B,0))</f>
        <v>673380</v>
      </c>
    </row>
    <row r="10987">
      <c r="A10987" s="76">
        <v>45840.0</v>
      </c>
      <c r="B10987" s="1" t="s">
        <v>200</v>
      </c>
      <c r="C10987" s="1" t="s">
        <v>14</v>
      </c>
      <c r="D10987" s="1">
        <v>0.1</v>
      </c>
      <c r="E10987" s="1">
        <v>23550.0</v>
      </c>
      <c r="F10987" s="10">
        <f t="shared" si="1"/>
        <v>0.3333333333</v>
      </c>
      <c r="G10987" s="10" t="str">
        <f t="array" ref="G10987">index('Player ID'!C:C,match(E10987,'Player ID'!B:B,0))</f>
        <v>#N/A</v>
      </c>
    </row>
    <row r="10988">
      <c r="A10988" s="76">
        <v>45840.0</v>
      </c>
      <c r="B10988" s="1" t="s">
        <v>418</v>
      </c>
      <c r="C10988" s="1" t="s">
        <v>14</v>
      </c>
      <c r="D10988" s="1">
        <v>0.1</v>
      </c>
      <c r="E10988" s="1">
        <v>27517.0</v>
      </c>
      <c r="F10988" s="10">
        <f t="shared" si="1"/>
        <v>0.3333333333</v>
      </c>
      <c r="G10988" s="10">
        <f t="array" ref="G10988">index('Player ID'!C:C,match(E10988,'Player ID'!B:B,0))</f>
        <v>657649</v>
      </c>
    </row>
    <row r="10989">
      <c r="A10989" s="76">
        <v>45840.0</v>
      </c>
      <c r="B10989" s="1" t="s">
        <v>188</v>
      </c>
      <c r="C10989" s="1" t="s">
        <v>14</v>
      </c>
      <c r="D10989" s="1">
        <v>3.2</v>
      </c>
      <c r="E10989" s="1">
        <v>31623.0</v>
      </c>
      <c r="F10989" s="10">
        <f t="shared" si="1"/>
        <v>3.666666667</v>
      </c>
      <c r="G10989" s="10">
        <f t="array" ref="G10989">index('Player ID'!C:C,match(E10989,'Player ID'!B:B,0))</f>
        <v>694819</v>
      </c>
    </row>
    <row r="10990">
      <c r="A10990" s="76">
        <v>45840.0</v>
      </c>
      <c r="B10990" s="1" t="s">
        <v>574</v>
      </c>
      <c r="C10990" s="1" t="s">
        <v>51</v>
      </c>
      <c r="D10990" s="1">
        <v>4.1</v>
      </c>
      <c r="E10990" s="1">
        <v>31701.0</v>
      </c>
      <c r="F10990" s="10">
        <f t="shared" si="1"/>
        <v>4.333333333</v>
      </c>
      <c r="G10990" s="10">
        <f t="array" ref="G10990">index('Player ID'!C:C,match(E10990,'Player ID'!B:B,0))</f>
        <v>694918</v>
      </c>
    </row>
    <row r="10991">
      <c r="A10991" s="76">
        <v>45840.0</v>
      </c>
      <c r="B10991" s="1" t="s">
        <v>815</v>
      </c>
      <c r="C10991" s="1" t="s">
        <v>14</v>
      </c>
      <c r="D10991" s="1">
        <v>1.1</v>
      </c>
      <c r="E10991" s="1">
        <v>33248.0</v>
      </c>
      <c r="F10991" s="10">
        <f t="shared" si="1"/>
        <v>1.333333333</v>
      </c>
      <c r="G10991" s="10">
        <f t="array" ref="G10991">index('Player ID'!C:C,match(E10991,'Player ID'!B:B,0))</f>
        <v>684974</v>
      </c>
    </row>
    <row r="10992">
      <c r="A10992" s="76">
        <v>45840.0</v>
      </c>
      <c r="B10992" s="1" t="s">
        <v>834</v>
      </c>
      <c r="C10992" s="1" t="s">
        <v>25</v>
      </c>
      <c r="D10992" s="1">
        <v>2.1</v>
      </c>
      <c r="E10992" s="1">
        <v>7836.0</v>
      </c>
      <c r="F10992" s="10">
        <f t="shared" si="1"/>
        <v>2.333333333</v>
      </c>
      <c r="G10992" s="10" t="str">
        <f t="array" ref="G10992">index('Player ID'!C:C,match(E10992,'Player ID'!B:B,0))</f>
        <v>#N/A</v>
      </c>
    </row>
    <row r="10993">
      <c r="A10993" s="76">
        <v>45840.0</v>
      </c>
      <c r="B10993" s="1" t="s">
        <v>326</v>
      </c>
      <c r="C10993" s="1" t="s">
        <v>46</v>
      </c>
      <c r="D10993" s="1">
        <v>1.0</v>
      </c>
      <c r="E10993" s="1">
        <v>12760.0</v>
      </c>
      <c r="F10993" s="10">
        <f t="shared" si="1"/>
        <v>1</v>
      </c>
      <c r="G10993" s="10">
        <f t="array" ref="G10993">index('Player ID'!C:C,match(E10993,'Player ID'!B:B,0))</f>
        <v>606160</v>
      </c>
    </row>
    <row r="10994">
      <c r="A10994" s="76">
        <v>45840.0</v>
      </c>
      <c r="B10994" s="1" t="s">
        <v>319</v>
      </c>
      <c r="C10994" s="1" t="s">
        <v>46</v>
      </c>
      <c r="D10994" s="1">
        <v>2.1</v>
      </c>
      <c r="E10994" s="1">
        <v>16258.0</v>
      </c>
      <c r="F10994" s="10">
        <f t="shared" si="1"/>
        <v>2.333333333</v>
      </c>
      <c r="G10994" s="10">
        <f t="array" ref="G10994">index('Player ID'!C:C,match(E10994,'Player ID'!B:B,0))</f>
        <v>607481</v>
      </c>
    </row>
    <row r="10995">
      <c r="A10995" s="76">
        <v>45840.0</v>
      </c>
      <c r="B10995" s="1" t="s">
        <v>688</v>
      </c>
      <c r="C10995" s="1" t="s">
        <v>46</v>
      </c>
      <c r="D10995" s="1">
        <v>1.0</v>
      </c>
      <c r="E10995" s="1">
        <v>20271.0</v>
      </c>
      <c r="F10995" s="10">
        <f t="shared" si="1"/>
        <v>1</v>
      </c>
      <c r="G10995" s="10">
        <f t="array" ref="G10995">index('Player ID'!C:C,match(E10995,'Player ID'!B:B,0))</f>
        <v>678226</v>
      </c>
    </row>
    <row r="10996">
      <c r="A10996" s="76">
        <v>45840.0</v>
      </c>
      <c r="B10996" s="1" t="s">
        <v>232</v>
      </c>
      <c r="C10996" s="1" t="s">
        <v>25</v>
      </c>
      <c r="D10996" s="1">
        <v>5.2</v>
      </c>
      <c r="E10996" s="1">
        <v>20633.0</v>
      </c>
      <c r="F10996" s="10">
        <f t="shared" si="1"/>
        <v>5.666666667</v>
      </c>
      <c r="G10996" s="10">
        <f t="array" ref="G10996">index('Player ID'!C:C,match(E10996,'Player ID'!B:B,0))</f>
        <v>579328</v>
      </c>
    </row>
    <row r="10997">
      <c r="A10997" s="76">
        <v>45840.0</v>
      </c>
      <c r="B10997" s="1" t="s">
        <v>385</v>
      </c>
      <c r="C10997" s="1" t="s">
        <v>25</v>
      </c>
      <c r="D10997" s="1">
        <v>0.0</v>
      </c>
      <c r="E10997" s="1">
        <v>25420.0</v>
      </c>
      <c r="F10997" s="10">
        <f t="shared" si="1"/>
        <v>0</v>
      </c>
      <c r="G10997" s="10">
        <f t="array" ref="G10997">index('Player ID'!C:C,match(E10997,'Player ID'!B:B,0))</f>
        <v>666171</v>
      </c>
    </row>
    <row r="10998">
      <c r="A10998" s="76">
        <v>45840.0</v>
      </c>
      <c r="B10998" s="1" t="s">
        <v>244</v>
      </c>
      <c r="C10998" s="1" t="s">
        <v>46</v>
      </c>
      <c r="D10998" s="1">
        <v>1.0</v>
      </c>
      <c r="E10998" s="1">
        <v>29928.0</v>
      </c>
      <c r="F10998" s="10">
        <f t="shared" si="1"/>
        <v>1</v>
      </c>
      <c r="G10998" s="10" t="str">
        <f t="array" ref="G10998">index('Player ID'!C:C,match(E10998,'Player ID'!B:B,0))</f>
        <v>#N/A</v>
      </c>
    </row>
    <row r="10999">
      <c r="A10999" s="76">
        <v>45840.0</v>
      </c>
      <c r="B10999" s="1" t="s">
        <v>553</v>
      </c>
      <c r="C10999" s="1" t="s">
        <v>46</v>
      </c>
      <c r="D10999" s="1">
        <v>3.2</v>
      </c>
      <c r="E10999" s="1">
        <v>30661.0</v>
      </c>
      <c r="F10999" s="10">
        <f t="shared" si="1"/>
        <v>3.666666667</v>
      </c>
      <c r="G10999" s="10">
        <f t="array" ref="G10999">index('Player ID'!C:C,match(E10999,'Player ID'!B:B,0))</f>
        <v>800311</v>
      </c>
    </row>
    <row r="11000">
      <c r="A11000" s="76">
        <v>45840.0</v>
      </c>
      <c r="B11000" s="1" t="s">
        <v>115</v>
      </c>
      <c r="C11000" s="1" t="s">
        <v>56</v>
      </c>
      <c r="D11000" s="1">
        <v>5.0</v>
      </c>
      <c r="E11000" s="1">
        <v>9132.0</v>
      </c>
      <c r="F11000" s="10">
        <f t="shared" si="1"/>
        <v>5</v>
      </c>
      <c r="G11000" s="10">
        <f t="array" ref="G11000">index('Player ID'!C:C,match(E11000,'Player ID'!B:B,0))</f>
        <v>543135</v>
      </c>
    </row>
    <row r="11001">
      <c r="A11001" s="76">
        <v>45840.0</v>
      </c>
      <c r="B11001" s="1" t="s">
        <v>48</v>
      </c>
      <c r="C11001" s="1" t="s">
        <v>68</v>
      </c>
      <c r="D11001" s="1">
        <v>1.0</v>
      </c>
      <c r="E11001" s="1">
        <v>12828.0</v>
      </c>
      <c r="F11001" s="10">
        <f t="shared" si="1"/>
        <v>1</v>
      </c>
      <c r="G11001" s="10" t="str">
        <f t="array" ref="G11001">index('Player ID'!C:C,match(E11001,'Player ID'!B:B,0))</f>
        <v>#N/A</v>
      </c>
    </row>
    <row r="11002">
      <c r="A11002" s="76">
        <v>45840.0</v>
      </c>
      <c r="B11002" s="1" t="s">
        <v>87</v>
      </c>
      <c r="C11002" s="1" t="s">
        <v>56</v>
      </c>
      <c r="D11002" s="1">
        <v>1.0</v>
      </c>
      <c r="E11002" s="1">
        <v>19274.0</v>
      </c>
      <c r="F11002" s="10">
        <f t="shared" si="1"/>
        <v>1</v>
      </c>
      <c r="G11002" s="10">
        <f t="array" ref="G11002">index('Player ID'!C:C,match(E11002,'Player ID'!B:B,0))</f>
        <v>657097</v>
      </c>
    </row>
    <row r="11003">
      <c r="A11003" s="76">
        <v>45840.0</v>
      </c>
      <c r="B11003" s="1" t="s">
        <v>796</v>
      </c>
      <c r="C11003" s="1" t="s">
        <v>56</v>
      </c>
      <c r="D11003" s="1">
        <v>3.0</v>
      </c>
      <c r="E11003" s="1">
        <v>19409.0</v>
      </c>
      <c r="F11003" s="10">
        <f t="shared" si="1"/>
        <v>3</v>
      </c>
      <c r="G11003" s="10">
        <f t="array" ref="G11003">index('Player ID'!C:C,match(E11003,'Player ID'!B:B,0))</f>
        <v>641540</v>
      </c>
    </row>
    <row r="11004">
      <c r="A11004" s="76">
        <v>45840.0</v>
      </c>
      <c r="B11004" s="1" t="s">
        <v>910</v>
      </c>
      <c r="C11004" s="1" t="s">
        <v>68</v>
      </c>
      <c r="D11004" s="1">
        <v>1.1</v>
      </c>
      <c r="E11004" s="1">
        <v>19884.0</v>
      </c>
      <c r="F11004" s="10">
        <f t="shared" si="1"/>
        <v>1.333333333</v>
      </c>
      <c r="G11004" s="10" t="str">
        <f t="array" ref="G11004">index('Player ID'!C:C,match(E11004,'Player ID'!B:B,0))</f>
        <v>#N/A</v>
      </c>
    </row>
    <row r="11005">
      <c r="A11005" s="76">
        <v>45840.0</v>
      </c>
      <c r="B11005" s="1" t="s">
        <v>235</v>
      </c>
      <c r="C11005" s="1" t="s">
        <v>68</v>
      </c>
      <c r="D11005" s="1">
        <v>1.0</v>
      </c>
      <c r="E11005" s="1">
        <v>25911.0</v>
      </c>
      <c r="F11005" s="10">
        <f t="shared" si="1"/>
        <v>1</v>
      </c>
      <c r="G11005" s="10">
        <f t="array" ref="G11005">index('Player ID'!C:C,match(E11005,'Player ID'!B:B,0))</f>
        <v>666974</v>
      </c>
    </row>
    <row r="11006">
      <c r="A11006" s="76">
        <v>45840.0</v>
      </c>
      <c r="B11006" s="1" t="s">
        <v>158</v>
      </c>
      <c r="C11006" s="1" t="s">
        <v>68</v>
      </c>
      <c r="D11006" s="1">
        <v>4.2</v>
      </c>
      <c r="E11006" s="1">
        <v>35321.0</v>
      </c>
      <c r="F11006" s="10">
        <f t="shared" si="1"/>
        <v>4.666666667</v>
      </c>
      <c r="G11006" s="10">
        <f t="array" ref="G11006">index('Player ID'!C:C,match(E11006,'Player ID'!B:B,0))</f>
        <v>608372</v>
      </c>
    </row>
    <row r="11007">
      <c r="A11007" s="76">
        <v>45840.0</v>
      </c>
      <c r="B11007" s="1" t="s">
        <v>460</v>
      </c>
      <c r="C11007" s="1" t="s">
        <v>34</v>
      </c>
      <c r="D11007" s="1">
        <v>0.2</v>
      </c>
      <c r="E11007" s="1">
        <v>7005.0</v>
      </c>
      <c r="F11007" s="10">
        <f t="shared" si="1"/>
        <v>0.6666666667</v>
      </c>
      <c r="G11007" s="10">
        <f t="array" ref="G11007">index('Player ID'!C:C,match(E11007,'Player ID'!B:B,0))</f>
        <v>519151</v>
      </c>
    </row>
    <row r="11008">
      <c r="A11008" s="76">
        <v>45840.0</v>
      </c>
      <c r="B11008" s="1" t="s">
        <v>71</v>
      </c>
      <c r="C11008" s="1" t="s">
        <v>34</v>
      </c>
      <c r="D11008" s="1">
        <v>1.0</v>
      </c>
      <c r="E11008" s="1">
        <v>10078.0</v>
      </c>
      <c r="F11008" s="10">
        <f t="shared" si="1"/>
        <v>1</v>
      </c>
      <c r="G11008" s="10">
        <f t="array" ref="G11008">index('Player ID'!C:C,match(E11008,'Player ID'!B:B,0))</f>
        <v>573204</v>
      </c>
    </row>
    <row r="11009">
      <c r="A11009" s="76">
        <v>45840.0</v>
      </c>
      <c r="B11009" s="1" t="s">
        <v>297</v>
      </c>
      <c r="C11009" s="1" t="s">
        <v>34</v>
      </c>
      <c r="D11009" s="1">
        <v>1.0</v>
      </c>
      <c r="E11009" s="1">
        <v>15734.0</v>
      </c>
      <c r="F11009" s="10">
        <f t="shared" si="1"/>
        <v>1</v>
      </c>
      <c r="G11009" s="10">
        <f t="array" ref="G11009">index('Player ID'!C:C,match(E11009,'Player ID'!B:B,0))</f>
        <v>641745</v>
      </c>
    </row>
    <row r="11010">
      <c r="A11010" s="76">
        <v>45840.0</v>
      </c>
      <c r="B11010" s="1" t="s">
        <v>259</v>
      </c>
      <c r="C11010" s="1" t="s">
        <v>70</v>
      </c>
      <c r="D11010" s="1">
        <v>3.0</v>
      </c>
      <c r="E11010" s="1">
        <v>18694.0</v>
      </c>
      <c r="F11010" s="10">
        <f t="shared" si="1"/>
        <v>3</v>
      </c>
      <c r="G11010" s="10">
        <f t="array" ref="G11010">index('Player ID'!C:C,match(E11010,'Player ID'!B:B,0))</f>
        <v>663465</v>
      </c>
    </row>
    <row r="11011">
      <c r="A11011" s="76">
        <v>45840.0</v>
      </c>
      <c r="B11011" s="1" t="s">
        <v>519</v>
      </c>
      <c r="C11011" s="1" t="s">
        <v>70</v>
      </c>
      <c r="D11011" s="1">
        <v>0.2</v>
      </c>
      <c r="E11011" s="1">
        <v>25139.0</v>
      </c>
      <c r="F11011" s="10">
        <f t="shared" si="1"/>
        <v>0.6666666667</v>
      </c>
      <c r="G11011" s="10">
        <f t="array" ref="G11011">index('Player ID'!C:C,match(E11011,'Player ID'!B:B,0))</f>
        <v>682120</v>
      </c>
    </row>
    <row r="11012">
      <c r="A11012" s="76">
        <v>45840.0</v>
      </c>
      <c r="B11012" s="1" t="s">
        <v>238</v>
      </c>
      <c r="C11012" s="1" t="s">
        <v>70</v>
      </c>
      <c r="D11012" s="1">
        <v>0.1</v>
      </c>
      <c r="E11012" s="1">
        <v>25636.0</v>
      </c>
      <c r="F11012" s="10">
        <f t="shared" si="1"/>
        <v>0.3333333333</v>
      </c>
      <c r="G11012" s="10">
        <f t="array" ref="G11012">index('Player ID'!C:C,match(E11012,'Player ID'!B:B,0))</f>
        <v>683769</v>
      </c>
    </row>
    <row r="11013">
      <c r="A11013" s="76">
        <v>45840.0</v>
      </c>
      <c r="B11013" s="1" t="s">
        <v>167</v>
      </c>
      <c r="C11013" s="1" t="s">
        <v>34</v>
      </c>
      <c r="D11013" s="1">
        <v>1.0</v>
      </c>
      <c r="E11013" s="1">
        <v>27914.0</v>
      </c>
      <c r="F11013" s="10">
        <f t="shared" si="1"/>
        <v>1</v>
      </c>
      <c r="G11013" s="10">
        <f t="array" ref="G11013">index('Player ID'!C:C,match(E11013,'Player ID'!B:B,0))</f>
        <v>694037</v>
      </c>
    </row>
    <row r="11014">
      <c r="A11014" s="76">
        <v>45840.0</v>
      </c>
      <c r="B11014" s="1" t="s">
        <v>308</v>
      </c>
      <c r="C11014" s="1" t="s">
        <v>70</v>
      </c>
      <c r="D11014" s="1">
        <v>4.0</v>
      </c>
      <c r="E11014" s="1">
        <v>30134.0</v>
      </c>
      <c r="F11014" s="10">
        <f t="shared" si="1"/>
        <v>4</v>
      </c>
      <c r="G11014" s="10">
        <f t="array" ref="G11014">index('Player ID'!C:C,match(E11014,'Player ID'!B:B,0))</f>
        <v>676440</v>
      </c>
    </row>
    <row r="11015">
      <c r="A11015" s="76">
        <v>45840.0</v>
      </c>
      <c r="B11015" s="1" t="s">
        <v>67</v>
      </c>
      <c r="C11015" s="1" t="s">
        <v>34</v>
      </c>
      <c r="D11015" s="1">
        <v>5.1</v>
      </c>
      <c r="E11015" s="1">
        <v>33829.0</v>
      </c>
      <c r="F11015" s="10">
        <f t="shared" si="1"/>
        <v>5.333333333</v>
      </c>
      <c r="G11015" s="10">
        <f t="array" ref="G11015">index('Player ID'!C:C,match(E11015,'Player ID'!B:B,0))</f>
        <v>684007</v>
      </c>
    </row>
    <row r="11016">
      <c r="A11016" s="76">
        <v>45840.0</v>
      </c>
      <c r="B11016" s="1" t="s">
        <v>38</v>
      </c>
      <c r="C11016" s="1" t="s">
        <v>39</v>
      </c>
      <c r="D11016" s="1">
        <v>1.0</v>
      </c>
      <c r="E11016" s="1">
        <v>13580.0</v>
      </c>
      <c r="F11016" s="10">
        <f t="shared" si="1"/>
        <v>1</v>
      </c>
      <c r="G11016" s="10">
        <f t="array" ref="G11016">index('Player ID'!C:C,match(E11016,'Player ID'!B:B,0))</f>
        <v>595345</v>
      </c>
    </row>
    <row r="11017">
      <c r="A11017" s="76">
        <v>45840.0</v>
      </c>
      <c r="B11017" s="1" t="s">
        <v>369</v>
      </c>
      <c r="C11017" s="1" t="s">
        <v>75</v>
      </c>
      <c r="D11017" s="1">
        <v>5.0</v>
      </c>
      <c r="E11017" s="1">
        <v>16561.0</v>
      </c>
      <c r="F11017" s="10">
        <f t="shared" si="1"/>
        <v>5</v>
      </c>
      <c r="G11017" s="10">
        <f t="array" ref="G11017">index('Player ID'!C:C,match(E11017,'Player ID'!B:B,0))</f>
        <v>596295</v>
      </c>
    </row>
    <row r="11018">
      <c r="A11018" s="76">
        <v>45840.0</v>
      </c>
      <c r="B11018" s="1" t="s">
        <v>288</v>
      </c>
      <c r="C11018" s="1" t="s">
        <v>75</v>
      </c>
      <c r="D11018" s="1">
        <v>1.0</v>
      </c>
      <c r="E11018" s="1">
        <v>18297.0</v>
      </c>
      <c r="F11018" s="10">
        <f t="shared" si="1"/>
        <v>1</v>
      </c>
      <c r="G11018" s="10">
        <f t="array" ref="G11018">index('Player ID'!C:C,match(E11018,'Player ID'!B:B,0))</f>
        <v>641755</v>
      </c>
    </row>
    <row r="11019">
      <c r="A11019" s="76">
        <v>45840.0</v>
      </c>
      <c r="B11019" s="1" t="s">
        <v>359</v>
      </c>
      <c r="C11019" s="1" t="s">
        <v>39</v>
      </c>
      <c r="D11019" s="1">
        <v>1.0</v>
      </c>
      <c r="E11019" s="1">
        <v>20061.0</v>
      </c>
      <c r="F11019" s="10">
        <f t="shared" si="1"/>
        <v>1</v>
      </c>
      <c r="G11019" s="10">
        <f t="array" ref="G11019">index('Player ID'!C:C,match(E11019,'Player ID'!B:B,0))</f>
        <v>672391</v>
      </c>
    </row>
    <row r="11020">
      <c r="A11020" s="76">
        <v>45840.0</v>
      </c>
      <c r="B11020" s="1" t="s">
        <v>215</v>
      </c>
      <c r="C11020" s="1" t="s">
        <v>75</v>
      </c>
      <c r="D11020" s="1">
        <v>0.1</v>
      </c>
      <c r="E11020" s="1">
        <v>21267.0</v>
      </c>
      <c r="F11020" s="10">
        <f t="shared" si="1"/>
        <v>0.3333333333</v>
      </c>
      <c r="G11020" s="10">
        <f t="array" ref="G11020">index('Player ID'!C:C,match(E11020,'Player ID'!B:B,0))</f>
        <v>656234</v>
      </c>
    </row>
    <row r="11021">
      <c r="A11021" s="76">
        <v>45840.0</v>
      </c>
      <c r="B11021" s="1" t="s">
        <v>102</v>
      </c>
      <c r="C11021" s="1" t="s">
        <v>39</v>
      </c>
      <c r="D11021" s="1">
        <v>1.0</v>
      </c>
      <c r="E11021" s="1">
        <v>21345.0</v>
      </c>
      <c r="F11021" s="10">
        <f t="shared" si="1"/>
        <v>1</v>
      </c>
      <c r="G11021" s="10">
        <f t="array" ref="G11021">index('Player ID'!C:C,match(E11021,'Player ID'!B:B,0))</f>
        <v>656986</v>
      </c>
    </row>
    <row r="11022">
      <c r="A11022" s="76">
        <v>45840.0</v>
      </c>
      <c r="B11022" s="1" t="s">
        <v>305</v>
      </c>
      <c r="C11022" s="1" t="s">
        <v>75</v>
      </c>
      <c r="D11022" s="1">
        <v>2.0</v>
      </c>
      <c r="E11022" s="1">
        <v>22200.0</v>
      </c>
      <c r="F11022" s="10">
        <f t="shared" si="1"/>
        <v>2</v>
      </c>
      <c r="G11022" s="10">
        <f t="array" ref="G11022">index('Player ID'!C:C,match(E11022,'Player ID'!B:B,0))</f>
        <v>669020</v>
      </c>
    </row>
    <row r="11023">
      <c r="A11023" s="76">
        <v>45840.0</v>
      </c>
      <c r="B11023" s="1" t="s">
        <v>339</v>
      </c>
      <c r="C11023" s="1" t="s">
        <v>39</v>
      </c>
      <c r="D11023" s="1">
        <v>6.0</v>
      </c>
      <c r="E11023" s="1">
        <v>25880.0</v>
      </c>
      <c r="F11023" s="10">
        <f t="shared" si="1"/>
        <v>6</v>
      </c>
      <c r="G11023" s="10">
        <f t="array" ref="G11023">index('Player ID'!C:C,match(E11023,'Player ID'!B:B,0))</f>
        <v>686613</v>
      </c>
    </row>
    <row r="11024">
      <c r="A11024" s="76">
        <v>45840.0</v>
      </c>
      <c r="B11024" s="1" t="s">
        <v>486</v>
      </c>
      <c r="C11024" s="1" t="s">
        <v>75</v>
      </c>
      <c r="D11024" s="1">
        <v>0.2</v>
      </c>
      <c r="E11024" s="1">
        <v>26790.0</v>
      </c>
      <c r="F11024" s="10">
        <f t="shared" si="1"/>
        <v>0.6666666667</v>
      </c>
      <c r="G11024" s="10">
        <f t="array" ref="G11024">index('Player ID'!C:C,match(E11024,'Player ID'!B:B,0))</f>
        <v>683409</v>
      </c>
    </row>
    <row r="11025">
      <c r="A11025" s="76">
        <v>45840.0</v>
      </c>
      <c r="B11025" s="1" t="s">
        <v>53</v>
      </c>
      <c r="C11025" s="1" t="s">
        <v>37</v>
      </c>
      <c r="D11025" s="1">
        <v>1.1</v>
      </c>
      <c r="E11025" s="1">
        <v>17170.0</v>
      </c>
      <c r="F11025" s="10">
        <f t="shared" si="1"/>
        <v>1.333333333</v>
      </c>
      <c r="G11025" s="10">
        <f t="array" ref="G11025">index('Player ID'!C:C,match(E11025,'Player ID'!B:B,0))</f>
        <v>642100</v>
      </c>
    </row>
    <row r="11026">
      <c r="A11026" s="76">
        <v>45840.0</v>
      </c>
      <c r="B11026" s="1" t="s">
        <v>199</v>
      </c>
      <c r="C11026" s="1" t="s">
        <v>29</v>
      </c>
      <c r="D11026" s="1">
        <v>1.0</v>
      </c>
      <c r="E11026" s="1">
        <v>17611.0</v>
      </c>
      <c r="F11026" s="10">
        <f t="shared" si="1"/>
        <v>1</v>
      </c>
      <c r="G11026" s="10">
        <f t="array" ref="G11026">index('Player ID'!C:C,match(E11026,'Player ID'!B:B,0))</f>
        <v>664199</v>
      </c>
    </row>
    <row r="11027">
      <c r="A11027" s="76">
        <v>45840.0</v>
      </c>
      <c r="B11027" s="1" t="s">
        <v>144</v>
      </c>
      <c r="C11027" s="1" t="s">
        <v>29</v>
      </c>
      <c r="D11027" s="1">
        <v>1.0</v>
      </c>
      <c r="E11027" s="1">
        <v>20020.0</v>
      </c>
      <c r="F11027" s="10">
        <f t="shared" si="1"/>
        <v>1</v>
      </c>
      <c r="G11027" s="10">
        <f t="array" ref="G11027">index('Player ID'!C:C,match(E11027,'Player ID'!B:B,0))</f>
        <v>670167</v>
      </c>
    </row>
    <row r="11028">
      <c r="A11028" s="76">
        <v>45840.0</v>
      </c>
      <c r="B11028" s="1" t="s">
        <v>670</v>
      </c>
      <c r="C11028" s="1" t="s">
        <v>37</v>
      </c>
      <c r="D11028" s="1">
        <v>1.0</v>
      </c>
      <c r="E11028" s="1">
        <v>20373.0</v>
      </c>
      <c r="F11028" s="10">
        <f t="shared" si="1"/>
        <v>1</v>
      </c>
      <c r="G11028" s="10">
        <f t="array" ref="G11028">index('Player ID'!C:C,match(E11028,'Player ID'!B:B,0))</f>
        <v>662253</v>
      </c>
    </row>
    <row r="11029">
      <c r="A11029" s="76">
        <v>45840.0</v>
      </c>
      <c r="B11029" s="1" t="s">
        <v>153</v>
      </c>
      <c r="C11029" s="1" t="s">
        <v>37</v>
      </c>
      <c r="D11029" s="1">
        <v>4.2</v>
      </c>
      <c r="E11029" s="1">
        <v>22250.0</v>
      </c>
      <c r="F11029" s="10">
        <f t="shared" si="1"/>
        <v>4.666666667</v>
      </c>
      <c r="G11029" s="10">
        <f t="array" ref="G11029">index('Player ID'!C:C,match(E11029,'Player ID'!B:B,0))</f>
        <v>669302</v>
      </c>
    </row>
    <row r="11030">
      <c r="A11030" s="76">
        <v>45840.0</v>
      </c>
      <c r="B11030" s="1" t="s">
        <v>140</v>
      </c>
      <c r="C11030" s="1" t="s">
        <v>29</v>
      </c>
      <c r="D11030" s="1">
        <v>0.2</v>
      </c>
      <c r="E11030" s="1">
        <v>22717.0</v>
      </c>
      <c r="F11030" s="10">
        <f t="shared" si="1"/>
        <v>0.6666666667</v>
      </c>
      <c r="G11030" s="10">
        <f t="array" ref="G11030">index('Player ID'!C:C,match(E11030,'Player ID'!B:B,0))</f>
        <v>672582</v>
      </c>
    </row>
    <row r="11031">
      <c r="A11031" s="76">
        <v>45840.0</v>
      </c>
      <c r="B11031" s="1" t="s">
        <v>101</v>
      </c>
      <c r="C11031" s="1" t="s">
        <v>37</v>
      </c>
      <c r="D11031" s="1">
        <v>1.0</v>
      </c>
      <c r="E11031" s="1">
        <v>22915.0</v>
      </c>
      <c r="F11031" s="10">
        <f t="shared" si="1"/>
        <v>1</v>
      </c>
      <c r="G11031" s="10">
        <f t="array" ref="G11031">index('Player ID'!C:C,match(E11031,'Player ID'!B:B,0))</f>
        <v>672841</v>
      </c>
    </row>
    <row r="11032">
      <c r="A11032" s="76">
        <v>45840.0</v>
      </c>
      <c r="B11032" s="1" t="s">
        <v>214</v>
      </c>
      <c r="C11032" s="1" t="s">
        <v>29</v>
      </c>
      <c r="D11032" s="1">
        <v>0.2</v>
      </c>
      <c r="E11032" s="1">
        <v>23165.0</v>
      </c>
      <c r="F11032" s="10">
        <f t="shared" si="1"/>
        <v>0.6666666667</v>
      </c>
      <c r="G11032" s="10">
        <f t="array" ref="G11032">index('Player ID'!C:C,match(E11032,'Player ID'!B:B,0))</f>
        <v>674444</v>
      </c>
    </row>
    <row r="11033">
      <c r="A11033" s="76">
        <v>45840.0</v>
      </c>
      <c r="B11033" s="1" t="s">
        <v>254</v>
      </c>
      <c r="C11033" s="1" t="s">
        <v>37</v>
      </c>
      <c r="D11033" s="1">
        <v>1.0</v>
      </c>
      <c r="E11033" s="1">
        <v>25756.0</v>
      </c>
      <c r="F11033" s="10">
        <f t="shared" si="1"/>
        <v>1</v>
      </c>
      <c r="G11033" s="10">
        <f t="array" ref="G11033">index('Player ID'!C:C,match(E11033,'Player ID'!B:B,0))</f>
        <v>666374</v>
      </c>
    </row>
    <row r="11034">
      <c r="A11034" s="76">
        <v>45840.0</v>
      </c>
      <c r="B11034" s="1" t="s">
        <v>161</v>
      </c>
      <c r="C11034" s="1" t="s">
        <v>29</v>
      </c>
      <c r="D11034" s="1">
        <v>4.2</v>
      </c>
      <c r="E11034" s="1">
        <v>30184.0</v>
      </c>
      <c r="F11034" s="10">
        <f t="shared" si="1"/>
        <v>4.666666667</v>
      </c>
      <c r="G11034" s="10">
        <f t="array" ref="G11034">index('Player ID'!C:C,match(E11034,'Player ID'!B:B,0))</f>
        <v>702070</v>
      </c>
    </row>
    <row r="11035">
      <c r="A11035" s="76">
        <v>45840.0</v>
      </c>
      <c r="B11035" s="1" t="s">
        <v>103</v>
      </c>
      <c r="C11035" s="1" t="s">
        <v>64</v>
      </c>
      <c r="D11035" s="1">
        <v>1.0</v>
      </c>
      <c r="E11035" s="1">
        <v>10197.0</v>
      </c>
      <c r="F11035" s="10">
        <f t="shared" si="1"/>
        <v>1</v>
      </c>
      <c r="G11035" s="10">
        <f t="array" ref="G11035">index('Player ID'!C:C,match(E11035,'Player ID'!B:B,0))</f>
        <v>571946</v>
      </c>
    </row>
    <row r="11036">
      <c r="A11036" s="76">
        <v>45840.0</v>
      </c>
      <c r="B11036" s="1" t="s">
        <v>222</v>
      </c>
      <c r="C11036" s="1" t="s">
        <v>64</v>
      </c>
      <c r="D11036" s="1">
        <v>6.0</v>
      </c>
      <c r="E11036" s="1">
        <v>11156.0</v>
      </c>
      <c r="F11036" s="10">
        <f t="shared" si="1"/>
        <v>6</v>
      </c>
      <c r="G11036" s="10">
        <f t="array" ref="G11036">index('Player ID'!C:C,match(E11036,'Player ID'!B:B,0))</f>
        <v>518876</v>
      </c>
    </row>
    <row r="11037">
      <c r="A11037" s="76">
        <v>45840.0</v>
      </c>
      <c r="B11037" s="1" t="s">
        <v>20</v>
      </c>
      <c r="C11037" s="1" t="s">
        <v>31</v>
      </c>
      <c r="D11037" s="1">
        <v>1.0</v>
      </c>
      <c r="E11037" s="1">
        <v>15541.0</v>
      </c>
      <c r="F11037" s="10">
        <f t="shared" si="1"/>
        <v>1</v>
      </c>
      <c r="G11037" s="10">
        <f t="array" ref="G11037">index('Player ID'!C:C,match(E11037,'Player ID'!B:B,0))</f>
        <v>643511</v>
      </c>
    </row>
    <row r="11038">
      <c r="A11038" s="76">
        <v>45840.0</v>
      </c>
      <c r="B11038" s="1" t="s">
        <v>328</v>
      </c>
      <c r="C11038" s="1" t="s">
        <v>64</v>
      </c>
      <c r="D11038" s="1">
        <v>2.0</v>
      </c>
      <c r="E11038" s="1">
        <v>18674.0</v>
      </c>
      <c r="F11038" s="10">
        <f t="shared" si="1"/>
        <v>2</v>
      </c>
      <c r="G11038" s="10" t="str">
        <f t="array" ref="G11038">index('Player ID'!C:C,match(E11038,'Player ID'!B:B,0))</f>
        <v>#N/A</v>
      </c>
    </row>
    <row r="11039">
      <c r="A11039" s="76">
        <v>45840.0</v>
      </c>
      <c r="B11039" s="1" t="s">
        <v>304</v>
      </c>
      <c r="C11039" s="1" t="s">
        <v>31</v>
      </c>
      <c r="D11039" s="1">
        <v>2.0</v>
      </c>
      <c r="E11039" s="1">
        <v>21992.0</v>
      </c>
      <c r="F11039" s="10">
        <f t="shared" si="1"/>
        <v>2</v>
      </c>
      <c r="G11039" s="10">
        <f t="array" ref="G11039">index('Player ID'!C:C,match(E11039,'Player ID'!B:B,0))</f>
        <v>666808</v>
      </c>
    </row>
    <row r="11040">
      <c r="A11040" s="76">
        <v>45840.0</v>
      </c>
      <c r="B11040" s="1" t="s">
        <v>654</v>
      </c>
      <c r="C11040" s="1" t="s">
        <v>31</v>
      </c>
      <c r="D11040" s="1">
        <v>1.0</v>
      </c>
      <c r="E11040" s="1">
        <v>23974.0</v>
      </c>
      <c r="F11040" s="10">
        <f t="shared" si="1"/>
        <v>1</v>
      </c>
      <c r="G11040" s="10">
        <f t="array" ref="G11040">index('Player ID'!C:C,match(E11040,'Player ID'!B:B,0))</f>
        <v>678495</v>
      </c>
    </row>
    <row r="11041">
      <c r="A11041" s="76">
        <v>45840.0</v>
      </c>
      <c r="B11041" s="1" t="s">
        <v>655</v>
      </c>
      <c r="C11041" s="1" t="s">
        <v>31</v>
      </c>
      <c r="D11041" s="1">
        <v>1.0</v>
      </c>
      <c r="E11041" s="1">
        <v>26252.0</v>
      </c>
      <c r="F11041" s="10">
        <f t="shared" si="1"/>
        <v>1</v>
      </c>
      <c r="G11041" s="10">
        <f t="array" ref="G11041">index('Player ID'!C:C,match(E11041,'Player ID'!B:B,0))</f>
        <v>669062</v>
      </c>
    </row>
    <row r="11042">
      <c r="A11042" s="76">
        <v>45840.0</v>
      </c>
      <c r="B11042" s="1" t="s">
        <v>545</v>
      </c>
      <c r="C11042" s="1" t="s">
        <v>64</v>
      </c>
      <c r="D11042" s="1">
        <v>1.0</v>
      </c>
      <c r="E11042" s="1">
        <v>29615.0</v>
      </c>
      <c r="F11042" s="10">
        <f t="shared" si="1"/>
        <v>1</v>
      </c>
      <c r="G11042" s="10" t="str">
        <f t="array" ref="G11042">index('Player ID'!C:C,match(E11042,'Player ID'!B:B,0))</f>
        <v>#N/A</v>
      </c>
    </row>
    <row r="11043">
      <c r="A11043" s="76">
        <v>45840.0</v>
      </c>
      <c r="B11043" s="1" t="s">
        <v>209</v>
      </c>
      <c r="C11043" s="1" t="s">
        <v>31</v>
      </c>
      <c r="D11043" s="1">
        <v>4.0</v>
      </c>
      <c r="E11043" s="1">
        <v>30076.0</v>
      </c>
      <c r="F11043" s="10">
        <f t="shared" si="1"/>
        <v>4</v>
      </c>
      <c r="G11043" s="10">
        <f t="array" ref="G11043">index('Player ID'!C:C,match(E11043,'Player ID'!B:B,0))</f>
        <v>694738</v>
      </c>
    </row>
    <row r="11044">
      <c r="A11044" s="76">
        <v>45840.0</v>
      </c>
      <c r="B11044" s="1" t="s">
        <v>276</v>
      </c>
      <c r="C11044" s="1" t="s">
        <v>31</v>
      </c>
      <c r="D11044" s="1">
        <v>1.0</v>
      </c>
      <c r="E11044" s="1">
        <v>30226.0</v>
      </c>
      <c r="F11044" s="10">
        <f t="shared" si="1"/>
        <v>1</v>
      </c>
      <c r="G11044" s="10">
        <f t="array" ref="G11044">index('Player ID'!C:C,match(E11044,'Player ID'!B:B,0))</f>
        <v>702352</v>
      </c>
    </row>
    <row r="11045">
      <c r="A11045" s="76">
        <v>45840.0</v>
      </c>
      <c r="B11045" s="1" t="s">
        <v>457</v>
      </c>
      <c r="C11045" s="1" t="s">
        <v>33</v>
      </c>
      <c r="D11045" s="1">
        <v>6.0</v>
      </c>
      <c r="E11045" s="1">
        <v>2036.0</v>
      </c>
      <c r="F11045" s="10">
        <f t="shared" si="1"/>
        <v>6</v>
      </c>
      <c r="G11045" s="10">
        <f t="array" ref="G11045">index('Player ID'!C:C,match(E11045,'Player ID'!B:B,0))</f>
        <v>477132</v>
      </c>
    </row>
    <row r="11046">
      <c r="A11046" s="76">
        <v>45840.0</v>
      </c>
      <c r="B11046" s="1" t="s">
        <v>503</v>
      </c>
      <c r="C11046" s="1" t="s">
        <v>33</v>
      </c>
      <c r="D11046" s="1">
        <v>1.0</v>
      </c>
      <c r="E11046" s="1">
        <v>15043.0</v>
      </c>
      <c r="F11046" s="10">
        <f t="shared" si="1"/>
        <v>1</v>
      </c>
      <c r="G11046" s="10">
        <f t="array" ref="G11046">index('Player ID'!C:C,match(E11046,'Player ID'!B:B,0))</f>
        <v>642152</v>
      </c>
    </row>
    <row r="11047">
      <c r="A11047" s="76">
        <v>45840.0</v>
      </c>
      <c r="B11047" s="1" t="s">
        <v>116</v>
      </c>
      <c r="C11047" s="1" t="s">
        <v>78</v>
      </c>
      <c r="D11047" s="1">
        <v>0.1</v>
      </c>
      <c r="E11047" s="1">
        <v>20353.0</v>
      </c>
      <c r="F11047" s="10">
        <f t="shared" si="1"/>
        <v>0.3333333333</v>
      </c>
      <c r="G11047" s="10">
        <f t="array" ref="G11047">index('Player ID'!C:C,match(E11047,'Player ID'!B:B,0))</f>
        <v>621051</v>
      </c>
    </row>
    <row r="11048">
      <c r="A11048" s="76">
        <v>45840.0</v>
      </c>
      <c r="B11048" s="1" t="s">
        <v>92</v>
      </c>
      <c r="C11048" s="1" t="s">
        <v>33</v>
      </c>
      <c r="D11048" s="1">
        <v>1.0</v>
      </c>
      <c r="E11048" s="1">
        <v>25007.0</v>
      </c>
      <c r="F11048" s="10">
        <f t="shared" si="1"/>
        <v>1</v>
      </c>
      <c r="G11048" s="10">
        <f t="array" ref="G11048">index('Player ID'!C:C,match(E11048,'Player ID'!B:B,0))</f>
        <v>681911</v>
      </c>
    </row>
    <row r="11049">
      <c r="A11049" s="76">
        <v>45840.0</v>
      </c>
      <c r="B11049" s="1" t="s">
        <v>367</v>
      </c>
      <c r="C11049" s="1" t="s">
        <v>78</v>
      </c>
      <c r="D11049" s="1">
        <v>1.0</v>
      </c>
      <c r="E11049" s="1">
        <v>27668.0</v>
      </c>
      <c r="F11049" s="10">
        <f t="shared" si="1"/>
        <v>1</v>
      </c>
      <c r="G11049" s="10">
        <f t="array" ref="G11049">index('Player ID'!C:C,match(E11049,'Player ID'!B:B,0))</f>
        <v>685126</v>
      </c>
    </row>
    <row r="11050">
      <c r="A11050" s="76">
        <v>45840.0</v>
      </c>
      <c r="B11050" s="1" t="s">
        <v>893</v>
      </c>
      <c r="C11050" s="1" t="s">
        <v>33</v>
      </c>
      <c r="D11050" s="1">
        <v>1.0</v>
      </c>
      <c r="E11050" s="1">
        <v>27787.0</v>
      </c>
      <c r="F11050" s="10">
        <f t="shared" si="1"/>
        <v>1</v>
      </c>
      <c r="G11050" s="10" t="str">
        <f t="array" ref="G11050">index('Player ID'!C:C,match(E11050,'Player ID'!B:B,0))</f>
        <v>#N/A</v>
      </c>
    </row>
    <row r="11051">
      <c r="A11051" s="76">
        <v>45840.0</v>
      </c>
      <c r="B11051" s="1" t="s">
        <v>356</v>
      </c>
      <c r="C11051" s="1" t="s">
        <v>78</v>
      </c>
      <c r="D11051" s="1">
        <v>6.0</v>
      </c>
      <c r="E11051" s="1">
        <v>29878.0</v>
      </c>
      <c r="F11051" s="10">
        <f t="shared" si="1"/>
        <v>6</v>
      </c>
      <c r="G11051" s="10">
        <f t="array" ref="G11051">index('Player ID'!C:C,match(E11051,'Player ID'!B:B,0))</f>
        <v>680732</v>
      </c>
    </row>
    <row r="11052">
      <c r="A11052" s="76">
        <v>45840.0</v>
      </c>
      <c r="B11052" s="1" t="s">
        <v>106</v>
      </c>
      <c r="C11052" s="1" t="s">
        <v>78</v>
      </c>
      <c r="D11052" s="1">
        <v>1.1</v>
      </c>
      <c r="E11052" s="1">
        <v>33927.0</v>
      </c>
      <c r="F11052" s="10">
        <f t="shared" si="1"/>
        <v>1.333333333</v>
      </c>
      <c r="G11052" s="10" t="str">
        <f t="array" ref="G11052">index('Player ID'!C:C,match(E11052,'Player ID'!B:B,0))</f>
        <v>#N/A</v>
      </c>
    </row>
    <row r="11053">
      <c r="A11053" s="76">
        <v>45841.0</v>
      </c>
      <c r="B11053" s="1" t="s">
        <v>146</v>
      </c>
      <c r="C11053" s="1" t="s">
        <v>16</v>
      </c>
      <c r="D11053" s="1">
        <v>1.0</v>
      </c>
      <c r="E11053" s="1">
        <v>15145.0</v>
      </c>
      <c r="F11053" s="10">
        <f t="shared" si="1"/>
        <v>1</v>
      </c>
      <c r="G11053" s="10">
        <f t="array" ref="G11053">index('Player ID'!C:C,match(E11053,'Player ID'!B:B,0))</f>
        <v>623437</v>
      </c>
    </row>
    <row r="11054">
      <c r="A11054" s="76">
        <v>45841.0</v>
      </c>
      <c r="B11054" s="1" t="s">
        <v>89</v>
      </c>
      <c r="C11054" s="1" t="s">
        <v>36</v>
      </c>
      <c r="D11054" s="1">
        <v>0.1</v>
      </c>
      <c r="E11054" s="1">
        <v>19742.0</v>
      </c>
      <c r="F11054" s="10">
        <f t="shared" si="1"/>
        <v>0.3333333333</v>
      </c>
      <c r="G11054" s="10">
        <f t="array" ref="G11054">index('Player ID'!C:C,match(E11054,'Player ID'!B:B,0))</f>
        <v>669622</v>
      </c>
    </row>
    <row r="11055">
      <c r="A11055" s="76">
        <v>45841.0</v>
      </c>
      <c r="B11055" s="1" t="s">
        <v>262</v>
      </c>
      <c r="C11055" s="1" t="s">
        <v>36</v>
      </c>
      <c r="D11055" s="1">
        <v>1.0</v>
      </c>
      <c r="E11055" s="1">
        <v>20116.0</v>
      </c>
      <c r="F11055" s="10">
        <f t="shared" si="1"/>
        <v>1</v>
      </c>
      <c r="G11055" s="10">
        <f t="array" ref="G11055">index('Player ID'!C:C,match(E11055,'Player ID'!B:B,0))</f>
        <v>676534</v>
      </c>
    </row>
    <row r="11056">
      <c r="A11056" s="76">
        <v>45841.0</v>
      </c>
      <c r="B11056" s="1" t="s">
        <v>123</v>
      </c>
      <c r="C11056" s="1" t="s">
        <v>36</v>
      </c>
      <c r="D11056" s="1">
        <v>1.0</v>
      </c>
      <c r="E11056" s="1">
        <v>24094.0</v>
      </c>
      <c r="F11056" s="10">
        <f t="shared" si="1"/>
        <v>1</v>
      </c>
      <c r="G11056" s="10">
        <f t="array" ref="G11056">index('Player ID'!C:C,match(E11056,'Player ID'!B:B,0))</f>
        <v>678692</v>
      </c>
    </row>
    <row r="11057">
      <c r="A11057" s="76">
        <v>45841.0</v>
      </c>
      <c r="B11057" s="1" t="s">
        <v>333</v>
      </c>
      <c r="C11057" s="1" t="s">
        <v>16</v>
      </c>
      <c r="D11057" s="1">
        <v>1.0</v>
      </c>
      <c r="E11057" s="1">
        <v>24993.0</v>
      </c>
      <c r="F11057" s="10">
        <f t="shared" si="1"/>
        <v>1</v>
      </c>
      <c r="G11057" s="10">
        <f t="array" ref="G11057">index('Player ID'!C:C,match(E11057,'Player ID'!B:B,0))</f>
        <v>681892</v>
      </c>
    </row>
    <row r="11058">
      <c r="A11058" s="76">
        <v>45841.0</v>
      </c>
      <c r="B11058" s="1" t="s">
        <v>871</v>
      </c>
      <c r="C11058" s="1" t="s">
        <v>36</v>
      </c>
      <c r="D11058" s="1">
        <v>6.0</v>
      </c>
      <c r="E11058" s="1">
        <v>27768.0</v>
      </c>
      <c r="F11058" s="10">
        <f t="shared" si="1"/>
        <v>6</v>
      </c>
      <c r="G11058" s="10">
        <f t="array" ref="G11058">index('Player ID'!C:C,match(E11058,'Player ID'!B:B,0))</f>
        <v>691587</v>
      </c>
    </row>
    <row r="11059">
      <c r="A11059" s="76">
        <v>45841.0</v>
      </c>
      <c r="B11059" s="1" t="s">
        <v>253</v>
      </c>
      <c r="C11059" s="1" t="s">
        <v>16</v>
      </c>
      <c r="D11059" s="1">
        <v>6.0</v>
      </c>
      <c r="E11059" s="1">
        <v>30056.0</v>
      </c>
      <c r="F11059" s="10">
        <f t="shared" si="1"/>
        <v>6</v>
      </c>
      <c r="G11059" s="10">
        <f t="array" ref="G11059">index('Player ID'!C:C,match(E11059,'Player ID'!B:B,0))</f>
        <v>701581</v>
      </c>
    </row>
    <row r="11060">
      <c r="A11060" s="76">
        <v>45841.0</v>
      </c>
      <c r="B11060" s="1" t="s">
        <v>266</v>
      </c>
      <c r="C11060" s="1" t="s">
        <v>36</v>
      </c>
      <c r="D11060" s="1">
        <v>0.2</v>
      </c>
      <c r="E11060" s="1">
        <v>31815.0</v>
      </c>
      <c r="F11060" s="10">
        <f t="shared" si="1"/>
        <v>0.6666666667</v>
      </c>
      <c r="G11060" s="10">
        <f t="array" ref="G11060">index('Player ID'!C:C,match(E11060,'Player ID'!B:B,0))</f>
        <v>806188</v>
      </c>
    </row>
    <row r="11061">
      <c r="A11061" s="76">
        <v>45841.0</v>
      </c>
      <c r="B11061" s="1" t="s">
        <v>903</v>
      </c>
      <c r="C11061" s="1" t="s">
        <v>39</v>
      </c>
      <c r="D11061" s="1">
        <v>2.0</v>
      </c>
      <c r="E11061" s="1">
        <v>13190.0</v>
      </c>
      <c r="F11061" s="10">
        <f t="shared" si="1"/>
        <v>2</v>
      </c>
      <c r="G11061" s="10" t="str">
        <f t="array" ref="G11061">index('Player ID'!C:C,match(E11061,'Player ID'!B:B,0))</f>
        <v>#N/A</v>
      </c>
    </row>
    <row r="11062">
      <c r="A11062" s="76">
        <v>45841.0</v>
      </c>
      <c r="B11062" s="1" t="s">
        <v>189</v>
      </c>
      <c r="C11062" s="1" t="s">
        <v>75</v>
      </c>
      <c r="D11062" s="1">
        <v>6.0</v>
      </c>
      <c r="E11062" s="1">
        <v>16256.0</v>
      </c>
      <c r="F11062" s="10">
        <f t="shared" si="1"/>
        <v>6</v>
      </c>
      <c r="G11062" s="10">
        <f t="array" ref="G11062">index('Player ID'!C:C,match(E11062,'Player ID'!B:B,0))</f>
        <v>607536</v>
      </c>
    </row>
    <row r="11063">
      <c r="A11063" s="76">
        <v>45841.0</v>
      </c>
      <c r="B11063" s="1" t="s">
        <v>359</v>
      </c>
      <c r="C11063" s="1" t="s">
        <v>39</v>
      </c>
      <c r="D11063" s="1">
        <v>1.0</v>
      </c>
      <c r="E11063" s="1">
        <v>20061.0</v>
      </c>
      <c r="F11063" s="10">
        <f t="shared" si="1"/>
        <v>1</v>
      </c>
      <c r="G11063" s="10">
        <f t="array" ref="G11063">index('Player ID'!C:C,match(E11063,'Player ID'!B:B,0))</f>
        <v>672391</v>
      </c>
    </row>
    <row r="11064">
      <c r="A11064" s="76">
        <v>45841.0</v>
      </c>
      <c r="B11064" s="1" t="s">
        <v>468</v>
      </c>
      <c r="C11064" s="1" t="s">
        <v>75</v>
      </c>
      <c r="D11064" s="1">
        <v>1.0</v>
      </c>
      <c r="E11064" s="1">
        <v>23237.0</v>
      </c>
      <c r="F11064" s="10">
        <f t="shared" si="1"/>
        <v>1</v>
      </c>
      <c r="G11064" s="10">
        <f t="array" ref="G11064">index('Player ID'!C:C,match(E11064,'Player ID'!B:B,0))</f>
        <v>675848</v>
      </c>
    </row>
    <row r="11065">
      <c r="A11065" s="76">
        <v>45841.0</v>
      </c>
      <c r="B11065" s="1" t="s">
        <v>365</v>
      </c>
      <c r="C11065" s="1" t="s">
        <v>75</v>
      </c>
      <c r="D11065" s="1">
        <v>0.2</v>
      </c>
      <c r="E11065" s="1">
        <v>24614.0</v>
      </c>
      <c r="F11065" s="10">
        <f t="shared" si="1"/>
        <v>0.6666666667</v>
      </c>
      <c r="G11065" s="10">
        <f t="array" ref="G11065">index('Player ID'!C:C,match(E11065,'Player ID'!B:B,0))</f>
        <v>680767</v>
      </c>
    </row>
    <row r="11066">
      <c r="A11066" s="76">
        <v>45841.0</v>
      </c>
      <c r="B11066" s="1" t="s">
        <v>63</v>
      </c>
      <c r="C11066" s="1" t="s">
        <v>39</v>
      </c>
      <c r="D11066" s="1">
        <v>5.0</v>
      </c>
      <c r="E11066" s="1">
        <v>26056.0</v>
      </c>
      <c r="F11066" s="10">
        <f t="shared" si="1"/>
        <v>5</v>
      </c>
      <c r="G11066" s="10">
        <f t="array" ref="G11066">index('Player ID'!C:C,match(E11066,'Player ID'!B:B,0))</f>
        <v>687888</v>
      </c>
    </row>
    <row r="11067">
      <c r="A11067" s="76">
        <v>45841.0</v>
      </c>
      <c r="B11067" s="1" t="s">
        <v>488</v>
      </c>
      <c r="C11067" s="1" t="s">
        <v>75</v>
      </c>
      <c r="D11067" s="1">
        <v>1.1</v>
      </c>
      <c r="E11067" s="1">
        <v>33294.0</v>
      </c>
      <c r="F11067" s="10">
        <f t="shared" si="1"/>
        <v>1.333333333</v>
      </c>
      <c r="G11067" s="10">
        <f t="array" ref="G11067">index('Player ID'!C:C,match(E11067,'Player ID'!B:B,0))</f>
        <v>678020</v>
      </c>
    </row>
    <row r="11068">
      <c r="A11068" s="76">
        <v>45841.0</v>
      </c>
      <c r="B11068" s="1" t="s">
        <v>172</v>
      </c>
      <c r="C11068" s="1" t="s">
        <v>62</v>
      </c>
      <c r="D11068" s="1">
        <v>4.0</v>
      </c>
      <c r="E11068" s="1">
        <v>13932.0</v>
      </c>
      <c r="F11068" s="10">
        <f t="shared" si="1"/>
        <v>4</v>
      </c>
      <c r="G11068" s="10">
        <f t="array" ref="G11068">index('Player ID'!C:C,match(E11068,'Player ID'!B:B,0))</f>
        <v>608650</v>
      </c>
    </row>
    <row r="11069">
      <c r="A11069" s="76">
        <v>45841.0</v>
      </c>
      <c r="B11069" s="1" t="s">
        <v>139</v>
      </c>
      <c r="C11069" s="1" t="s">
        <v>80</v>
      </c>
      <c r="D11069" s="1">
        <v>1.0</v>
      </c>
      <c r="E11069" s="1">
        <v>15009.0</v>
      </c>
      <c r="F11069" s="10">
        <f t="shared" si="1"/>
        <v>1</v>
      </c>
      <c r="G11069" s="10">
        <f t="array" ref="G11069">index('Player ID'!C:C,match(E11069,'Player ID'!B:B,0))</f>
        <v>640448</v>
      </c>
    </row>
    <row r="11070">
      <c r="A11070" s="76">
        <v>45841.0</v>
      </c>
      <c r="B11070" s="1" t="s">
        <v>131</v>
      </c>
      <c r="C11070" s="1" t="s">
        <v>62</v>
      </c>
      <c r="D11070" s="1">
        <v>0.2</v>
      </c>
      <c r="E11070" s="1">
        <v>19769.0</v>
      </c>
      <c r="F11070" s="10">
        <f t="shared" si="1"/>
        <v>0.6666666667</v>
      </c>
      <c r="G11070" s="10">
        <f t="array" ref="G11070">index('Player ID'!C:C,match(E11070,'Player ID'!B:B,0))</f>
        <v>676684</v>
      </c>
    </row>
    <row r="11071">
      <c r="A11071" s="76">
        <v>45841.0</v>
      </c>
      <c r="B11071" s="1" t="s">
        <v>396</v>
      </c>
      <c r="C11071" s="1" t="s">
        <v>80</v>
      </c>
      <c r="D11071" s="1">
        <v>6.0</v>
      </c>
      <c r="E11071" s="1">
        <v>21504.0</v>
      </c>
      <c r="F11071" s="10">
        <f t="shared" si="1"/>
        <v>6</v>
      </c>
      <c r="G11071" s="10">
        <f t="array" ref="G11071">index('Player ID'!C:C,match(E11071,'Player ID'!B:B,0))</f>
        <v>663623</v>
      </c>
    </row>
    <row r="11072">
      <c r="A11072" s="76">
        <v>45841.0</v>
      </c>
      <c r="B11072" s="1" t="s">
        <v>289</v>
      </c>
      <c r="C11072" s="1" t="s">
        <v>62</v>
      </c>
      <c r="D11072" s="1">
        <v>1.0</v>
      </c>
      <c r="E11072" s="1">
        <v>22304.0</v>
      </c>
      <c r="F11072" s="10">
        <f t="shared" si="1"/>
        <v>1</v>
      </c>
      <c r="G11072" s="10">
        <f t="array" ref="G11072">index('Player ID'!C:C,match(E11072,'Player ID'!B:B,0))</f>
        <v>669724</v>
      </c>
    </row>
    <row r="11073">
      <c r="A11073" s="76">
        <v>45841.0</v>
      </c>
      <c r="B11073" s="1" t="s">
        <v>701</v>
      </c>
      <c r="C11073" s="1" t="s">
        <v>62</v>
      </c>
      <c r="D11073" s="1">
        <v>1.1</v>
      </c>
      <c r="E11073" s="1">
        <v>22713.0</v>
      </c>
      <c r="F11073" s="10">
        <f t="shared" si="1"/>
        <v>1.333333333</v>
      </c>
      <c r="G11073" s="10">
        <f t="array" ref="G11073">index('Player ID'!C:C,match(E11073,'Player ID'!B:B,0))</f>
        <v>672578</v>
      </c>
    </row>
    <row r="11074">
      <c r="A11074" s="76">
        <v>45841.0</v>
      </c>
      <c r="B11074" s="1" t="s">
        <v>86</v>
      </c>
      <c r="C11074" s="1" t="s">
        <v>80</v>
      </c>
      <c r="D11074" s="1">
        <v>0.1</v>
      </c>
      <c r="E11074" s="1">
        <v>24017.0</v>
      </c>
      <c r="F11074" s="10">
        <f t="shared" si="1"/>
        <v>0.3333333333</v>
      </c>
      <c r="G11074" s="10">
        <f t="array" ref="G11074">index('Player ID'!C:C,match(E11074,'Player ID'!B:B,0))</f>
        <v>678606</v>
      </c>
    </row>
    <row r="11075">
      <c r="A11075" s="76">
        <v>45841.0</v>
      </c>
      <c r="B11075" s="1" t="s">
        <v>507</v>
      </c>
      <c r="C11075" s="1" t="s">
        <v>80</v>
      </c>
      <c r="D11075" s="1">
        <v>0.2</v>
      </c>
      <c r="E11075" s="1">
        <v>27570.0</v>
      </c>
      <c r="F11075" s="10">
        <f t="shared" si="1"/>
        <v>0.6666666667</v>
      </c>
      <c r="G11075" s="10">
        <f t="array" ref="G11075">index('Player ID'!C:C,match(E11075,'Player ID'!B:B,0))</f>
        <v>669371</v>
      </c>
    </row>
    <row r="11076">
      <c r="A11076" s="76">
        <v>45841.0</v>
      </c>
      <c r="B11076" s="1" t="s">
        <v>733</v>
      </c>
      <c r="C11076" s="1" t="s">
        <v>62</v>
      </c>
      <c r="D11076" s="1">
        <v>1.0</v>
      </c>
      <c r="E11076" s="1">
        <v>27753.0</v>
      </c>
      <c r="F11076" s="10">
        <f t="shared" si="1"/>
        <v>1</v>
      </c>
      <c r="G11076" s="10">
        <f t="array" ref="G11076">index('Player ID'!C:C,match(E11076,'Player ID'!B:B,0))</f>
        <v>690544</v>
      </c>
    </row>
    <row r="11077">
      <c r="A11077" s="76">
        <v>45841.0</v>
      </c>
      <c r="B11077" s="1" t="s">
        <v>437</v>
      </c>
      <c r="C11077" s="1" t="s">
        <v>80</v>
      </c>
      <c r="D11077" s="1">
        <v>1.0</v>
      </c>
      <c r="E11077" s="1">
        <v>31972.0</v>
      </c>
      <c r="F11077" s="10">
        <f t="shared" si="1"/>
        <v>1</v>
      </c>
      <c r="G11077" s="10">
        <f t="array" ref="G11077">index('Player ID'!C:C,match(E11077,'Player ID'!B:B,0))</f>
        <v>695418</v>
      </c>
    </row>
    <row r="11078">
      <c r="A11078" s="76">
        <v>45841.0</v>
      </c>
      <c r="B11078" s="1" t="s">
        <v>456</v>
      </c>
      <c r="C11078" s="1" t="s">
        <v>40</v>
      </c>
      <c r="D11078" s="1">
        <v>5.2</v>
      </c>
      <c r="E11078" s="1">
        <v>12304.0</v>
      </c>
      <c r="F11078" s="10">
        <f t="shared" si="1"/>
        <v>5.666666667</v>
      </c>
      <c r="G11078" s="10">
        <f t="array" ref="G11078">index('Player ID'!C:C,match(E11078,'Player ID'!B:B,0))</f>
        <v>605135</v>
      </c>
    </row>
    <row r="11079">
      <c r="A11079" s="76">
        <v>45841.0</v>
      </c>
      <c r="B11079" s="1" t="s">
        <v>467</v>
      </c>
      <c r="C11079" s="1" t="s">
        <v>58</v>
      </c>
      <c r="D11079" s="1">
        <v>1.0</v>
      </c>
      <c r="E11079" s="1">
        <v>15551.0</v>
      </c>
      <c r="F11079" s="10">
        <f t="shared" si="1"/>
        <v>1</v>
      </c>
      <c r="G11079" s="10">
        <f t="array" ref="G11079">index('Player ID'!C:C,match(E11079,'Player ID'!B:B,0))</f>
        <v>643410</v>
      </c>
    </row>
    <row r="11080">
      <c r="A11080" s="76">
        <v>45841.0</v>
      </c>
      <c r="B11080" s="1" t="s">
        <v>174</v>
      </c>
      <c r="C11080" s="1" t="s">
        <v>40</v>
      </c>
      <c r="D11080" s="1">
        <v>1.1</v>
      </c>
      <c r="E11080" s="1">
        <v>15552.0</v>
      </c>
      <c r="F11080" s="10">
        <f t="shared" si="1"/>
        <v>1.333333333</v>
      </c>
      <c r="G11080" s="10">
        <f t="array" ref="G11080">index('Player ID'!C:C,match(E11080,'Player ID'!B:B,0))</f>
        <v>643338</v>
      </c>
    </row>
    <row r="11081">
      <c r="A11081" s="76">
        <v>45841.0</v>
      </c>
      <c r="B11081" s="1" t="s">
        <v>225</v>
      </c>
      <c r="C11081" s="1" t="s">
        <v>58</v>
      </c>
      <c r="D11081" s="1">
        <v>1.0</v>
      </c>
      <c r="E11081" s="1">
        <v>16918.0</v>
      </c>
      <c r="F11081" s="10">
        <f t="shared" si="1"/>
        <v>1</v>
      </c>
      <c r="G11081" s="10">
        <f t="array" ref="G11081">index('Player ID'!C:C,match(E11081,'Player ID'!B:B,0))</f>
        <v>596133</v>
      </c>
    </row>
    <row r="11082">
      <c r="A11082" s="76">
        <v>45841.0</v>
      </c>
      <c r="B11082" s="1" t="s">
        <v>311</v>
      </c>
      <c r="C11082" s="1" t="s">
        <v>40</v>
      </c>
      <c r="D11082" s="1">
        <v>1.0</v>
      </c>
      <c r="E11082" s="1">
        <v>17432.0</v>
      </c>
      <c r="F11082" s="10">
        <f t="shared" si="1"/>
        <v>1</v>
      </c>
      <c r="G11082" s="10">
        <f t="array" ref="G11082">index('Player ID'!C:C,match(E11082,'Player ID'!B:B,0))</f>
        <v>656546</v>
      </c>
    </row>
    <row r="11083">
      <c r="A11083" s="76">
        <v>45841.0</v>
      </c>
      <c r="B11083" s="1" t="s">
        <v>831</v>
      </c>
      <c r="C11083" s="1" t="s">
        <v>58</v>
      </c>
      <c r="D11083" s="1">
        <v>1.1</v>
      </c>
      <c r="E11083" s="1">
        <v>19753.0</v>
      </c>
      <c r="F11083" s="10">
        <f t="shared" si="1"/>
        <v>1.333333333</v>
      </c>
      <c r="G11083" s="10">
        <f t="array" ref="G11083">index('Player ID'!C:C,match(E11083,'Player ID'!B:B,0))</f>
        <v>642528</v>
      </c>
    </row>
    <row r="11084">
      <c r="A11084" s="76">
        <v>45841.0</v>
      </c>
      <c r="B11084" s="1" t="s">
        <v>408</v>
      </c>
      <c r="C11084" s="1" t="s">
        <v>58</v>
      </c>
      <c r="D11084" s="1">
        <v>3.0</v>
      </c>
      <c r="E11084" s="1">
        <v>19899.0</v>
      </c>
      <c r="F11084" s="10">
        <f t="shared" si="1"/>
        <v>3</v>
      </c>
      <c r="G11084" s="10">
        <f t="array" ref="G11084">index('Player ID'!C:C,match(E11084,'Player ID'!B:B,0))</f>
        <v>657376</v>
      </c>
    </row>
    <row r="11085">
      <c r="A11085" s="76">
        <v>45841.0</v>
      </c>
      <c r="B11085" s="1" t="s">
        <v>884</v>
      </c>
      <c r="C11085" s="1" t="s">
        <v>40</v>
      </c>
      <c r="D11085" s="1">
        <v>0.1</v>
      </c>
      <c r="E11085" s="1">
        <v>23779.0</v>
      </c>
      <c r="F11085" s="10">
        <f t="shared" si="1"/>
        <v>0.3333333333</v>
      </c>
      <c r="G11085" s="10" t="str">
        <f t="array" ref="G11085">index('Player ID'!C:C,match(E11085,'Player ID'!B:B,0))</f>
        <v>#N/A</v>
      </c>
    </row>
    <row r="11086">
      <c r="A11086" s="76">
        <v>45841.0</v>
      </c>
      <c r="B11086" s="1" t="s">
        <v>315</v>
      </c>
      <c r="C11086" s="1" t="s">
        <v>40</v>
      </c>
      <c r="D11086" s="1">
        <v>0.2</v>
      </c>
      <c r="E11086" s="1">
        <v>24609.0</v>
      </c>
      <c r="F11086" s="10">
        <f t="shared" si="1"/>
        <v>0.6666666667</v>
      </c>
      <c r="G11086" s="10">
        <f t="array" ref="G11086">index('Player ID'!C:C,match(E11086,'Player ID'!B:B,0))</f>
        <v>680755</v>
      </c>
    </row>
    <row r="11087">
      <c r="A11087" s="76">
        <v>45841.0</v>
      </c>
      <c r="B11087" s="1" t="s">
        <v>911</v>
      </c>
      <c r="C11087" s="1" t="s">
        <v>58</v>
      </c>
      <c r="D11087" s="1">
        <v>1.2</v>
      </c>
      <c r="E11087" s="1">
        <v>27494.0</v>
      </c>
      <c r="F11087" s="10">
        <f t="shared" si="1"/>
        <v>1.666666667</v>
      </c>
      <c r="G11087" s="10" t="str">
        <f t="array" ref="G11087">index('Player ID'!C:C,match(E11087,'Player ID'!B:B,0))</f>
        <v>#N/A</v>
      </c>
    </row>
    <row r="11088">
      <c r="A11088" s="76">
        <v>45841.0</v>
      </c>
      <c r="B11088" s="1" t="s">
        <v>476</v>
      </c>
      <c r="C11088" s="1" t="s">
        <v>14</v>
      </c>
      <c r="D11088" s="1">
        <v>5.1</v>
      </c>
      <c r="E11088" s="1">
        <v>11423.0</v>
      </c>
      <c r="F11088" s="10">
        <f t="shared" si="1"/>
        <v>5.333333333</v>
      </c>
      <c r="G11088" s="10">
        <f t="array" ref="G11088">index('Player ID'!C:C,match(E11088,'Player ID'!B:B,0))</f>
        <v>500779</v>
      </c>
    </row>
    <row r="11089">
      <c r="A11089" s="76">
        <v>45841.0</v>
      </c>
      <c r="B11089" s="1" t="s">
        <v>679</v>
      </c>
      <c r="C11089" s="1" t="s">
        <v>51</v>
      </c>
      <c r="D11089" s="1">
        <v>1.0</v>
      </c>
      <c r="E11089" s="1">
        <v>14710.0</v>
      </c>
      <c r="F11089" s="10">
        <f t="shared" si="1"/>
        <v>1</v>
      </c>
      <c r="G11089" s="10">
        <f t="array" ref="G11089">index('Player ID'!C:C,match(E11089,'Player ID'!B:B,0))</f>
        <v>621242</v>
      </c>
    </row>
    <row r="11090">
      <c r="A11090" s="76">
        <v>45841.0</v>
      </c>
      <c r="B11090" s="1" t="s">
        <v>292</v>
      </c>
      <c r="C11090" s="1" t="s">
        <v>51</v>
      </c>
      <c r="D11090" s="1">
        <v>1.1</v>
      </c>
      <c r="E11090" s="1">
        <v>15947.0</v>
      </c>
      <c r="F11090" s="10">
        <f t="shared" si="1"/>
        <v>1.333333333</v>
      </c>
      <c r="G11090" s="10">
        <f t="array" ref="G11090">index('Player ID'!C:C,match(E11090,'Player ID'!B:B,0))</f>
        <v>592773</v>
      </c>
    </row>
    <row r="11091">
      <c r="A11091" s="76">
        <v>45841.0</v>
      </c>
      <c r="B11091" s="1" t="s">
        <v>307</v>
      </c>
      <c r="C11091" s="1" t="s">
        <v>51</v>
      </c>
      <c r="D11091" s="1">
        <v>6.2</v>
      </c>
      <c r="E11091" s="1">
        <v>20302.0</v>
      </c>
      <c r="F11091" s="10">
        <f t="shared" si="1"/>
        <v>6.666666667</v>
      </c>
      <c r="G11091" s="10">
        <f t="array" ref="G11091">index('Player ID'!C:C,match(E11091,'Player ID'!B:B,0))</f>
        <v>656849</v>
      </c>
    </row>
    <row r="11092">
      <c r="A11092" s="76">
        <v>45841.0</v>
      </c>
      <c r="B11092" s="1" t="s">
        <v>318</v>
      </c>
      <c r="C11092" s="1" t="s">
        <v>14</v>
      </c>
      <c r="D11092" s="1">
        <v>1.0</v>
      </c>
      <c r="E11092" s="1">
        <v>20546.0</v>
      </c>
      <c r="F11092" s="10">
        <f t="shared" si="1"/>
        <v>1</v>
      </c>
      <c r="G11092" s="10">
        <f t="array" ref="G11092">index('Player ID'!C:C,match(E11092,'Player ID'!B:B,0))</f>
        <v>681982</v>
      </c>
    </row>
    <row r="11093">
      <c r="A11093" s="76">
        <v>45841.0</v>
      </c>
      <c r="B11093" s="1" t="s">
        <v>279</v>
      </c>
      <c r="C11093" s="1" t="s">
        <v>14</v>
      </c>
      <c r="D11093" s="1">
        <v>1.0</v>
      </c>
      <c r="E11093" s="1">
        <v>25327.0</v>
      </c>
      <c r="F11093" s="10">
        <f t="shared" si="1"/>
        <v>1</v>
      </c>
      <c r="G11093" s="10">
        <f t="array" ref="G11093">index('Player ID'!C:C,match(E11093,'Player ID'!B:B,0))</f>
        <v>682842</v>
      </c>
    </row>
    <row r="11094">
      <c r="A11094" s="76">
        <v>45841.0</v>
      </c>
      <c r="B11094" s="1" t="s">
        <v>112</v>
      </c>
      <c r="C11094" s="1" t="s">
        <v>14</v>
      </c>
      <c r="D11094" s="1">
        <v>0.2</v>
      </c>
      <c r="E11094" s="1">
        <v>25376.0</v>
      </c>
      <c r="F11094" s="10">
        <f t="shared" si="1"/>
        <v>0.6666666667</v>
      </c>
      <c r="G11094" s="10">
        <f t="array" ref="G11094">index('Player ID'!C:C,match(E11094,'Player ID'!B:B,0))</f>
        <v>683232</v>
      </c>
    </row>
    <row r="11095">
      <c r="A11095" s="76">
        <v>45841.0</v>
      </c>
      <c r="B11095" s="1" t="s">
        <v>184</v>
      </c>
      <c r="C11095" s="1" t="s">
        <v>46</v>
      </c>
      <c r="D11095" s="1">
        <v>1.0</v>
      </c>
      <c r="E11095" s="1">
        <v>17130.0</v>
      </c>
      <c r="F11095" s="10">
        <f t="shared" si="1"/>
        <v>1</v>
      </c>
      <c r="G11095" s="10">
        <f t="array" ref="G11095">index('Player ID'!C:C,match(E11095,'Player ID'!B:B,0))</f>
        <v>628452</v>
      </c>
    </row>
    <row r="11096">
      <c r="A11096" s="76">
        <v>45841.0</v>
      </c>
      <c r="B11096" s="1" t="s">
        <v>291</v>
      </c>
      <c r="C11096" s="1" t="s">
        <v>25</v>
      </c>
      <c r="D11096" s="1">
        <v>1.0</v>
      </c>
      <c r="E11096" s="1">
        <v>17968.0</v>
      </c>
      <c r="F11096" s="10">
        <f t="shared" si="1"/>
        <v>1</v>
      </c>
      <c r="G11096" s="10">
        <f t="array" ref="G11096">index('Player ID'!C:C,match(E11096,'Player ID'!B:B,0))</f>
        <v>656271</v>
      </c>
    </row>
    <row r="11097">
      <c r="A11097" s="76">
        <v>45841.0</v>
      </c>
      <c r="B11097" s="1" t="s">
        <v>346</v>
      </c>
      <c r="C11097" s="1" t="s">
        <v>46</v>
      </c>
      <c r="D11097" s="1">
        <v>1.0</v>
      </c>
      <c r="E11097" s="1">
        <v>18403.0</v>
      </c>
      <c r="F11097" s="10">
        <f t="shared" si="1"/>
        <v>1</v>
      </c>
      <c r="G11097" s="10">
        <f t="array" ref="G11097">index('Player ID'!C:C,match(E11097,'Player ID'!B:B,0))</f>
        <v>660853</v>
      </c>
    </row>
    <row r="11098">
      <c r="A11098" s="76">
        <v>45841.0</v>
      </c>
      <c r="B11098" s="1" t="s">
        <v>695</v>
      </c>
      <c r="C11098" s="1" t="s">
        <v>25</v>
      </c>
      <c r="D11098" s="1">
        <v>7.0</v>
      </c>
      <c r="E11098" s="1">
        <v>22100.0</v>
      </c>
      <c r="F11098" s="10">
        <f t="shared" si="1"/>
        <v>7</v>
      </c>
      <c r="G11098" s="10">
        <f t="array" ref="G11098">index('Player ID'!C:C,match(E11098,'Player ID'!B:B,0))</f>
        <v>667755</v>
      </c>
    </row>
    <row r="11099">
      <c r="A11099" s="76">
        <v>45841.0</v>
      </c>
      <c r="B11099" s="1" t="s">
        <v>565</v>
      </c>
      <c r="C11099" s="1" t="s">
        <v>46</v>
      </c>
      <c r="D11099" s="1">
        <v>2.0</v>
      </c>
      <c r="E11099" s="1">
        <v>24604.0</v>
      </c>
      <c r="F11099" s="10">
        <f t="shared" si="1"/>
        <v>2</v>
      </c>
      <c r="G11099" s="10" t="str">
        <f t="array" ref="G11099">index('Player ID'!C:C,match(E11099,'Player ID'!B:B,0))</f>
        <v>#N/A</v>
      </c>
    </row>
    <row r="11100">
      <c r="A11100" s="76">
        <v>45841.0</v>
      </c>
      <c r="B11100" s="1" t="s">
        <v>275</v>
      </c>
      <c r="C11100" s="1" t="s">
        <v>46</v>
      </c>
      <c r="D11100" s="1">
        <v>5.0</v>
      </c>
      <c r="E11100" s="1">
        <v>27779.0</v>
      </c>
      <c r="F11100" s="10">
        <f t="shared" si="1"/>
        <v>5</v>
      </c>
      <c r="G11100" s="10">
        <f t="array" ref="G11100">index('Player ID'!C:C,match(E11100,'Player ID'!B:B,0))</f>
        <v>693821</v>
      </c>
    </row>
    <row r="11101">
      <c r="A11101" s="76">
        <v>45841.0</v>
      </c>
      <c r="B11101" s="1" t="s">
        <v>877</v>
      </c>
      <c r="C11101" s="1" t="s">
        <v>25</v>
      </c>
      <c r="D11101" s="1">
        <v>1.0</v>
      </c>
      <c r="E11101" s="1">
        <v>29754.0</v>
      </c>
      <c r="F11101" s="10">
        <f t="shared" si="1"/>
        <v>1</v>
      </c>
      <c r="G11101" s="10" t="str">
        <f t="array" ref="G11101">index('Player ID'!C:C,match(E11101,'Player ID'!B:B,0))</f>
        <v>#N/A</v>
      </c>
    </row>
    <row r="11102">
      <c r="A11102" s="76">
        <v>45841.0</v>
      </c>
      <c r="B11102" s="1" t="s">
        <v>629</v>
      </c>
      <c r="C11102" s="1" t="s">
        <v>34</v>
      </c>
      <c r="D11102" s="1">
        <v>0.1</v>
      </c>
      <c r="E11102" s="1">
        <v>5615.0</v>
      </c>
      <c r="F11102" s="10">
        <f t="shared" si="1"/>
        <v>0.3333333333</v>
      </c>
      <c r="G11102" s="10">
        <f t="array" ref="G11102">index('Player ID'!C:C,match(E11102,'Player ID'!B:B,0))</f>
        <v>518489</v>
      </c>
    </row>
    <row r="11103">
      <c r="A11103" s="76">
        <v>45841.0</v>
      </c>
      <c r="B11103" s="1" t="s">
        <v>460</v>
      </c>
      <c r="C11103" s="1" t="s">
        <v>34</v>
      </c>
      <c r="D11103" s="1">
        <v>1.0</v>
      </c>
      <c r="E11103" s="1">
        <v>7005.0</v>
      </c>
      <c r="F11103" s="10">
        <f t="shared" si="1"/>
        <v>1</v>
      </c>
      <c r="G11103" s="10">
        <f t="array" ref="G11103">index('Player ID'!C:C,match(E11103,'Player ID'!B:B,0))</f>
        <v>519151</v>
      </c>
    </row>
    <row r="11104">
      <c r="A11104" s="76">
        <v>45841.0</v>
      </c>
      <c r="B11104" s="1" t="s">
        <v>203</v>
      </c>
      <c r="C11104" s="1" t="s">
        <v>34</v>
      </c>
      <c r="D11104" s="1">
        <v>0.2</v>
      </c>
      <c r="E11104" s="1">
        <v>11426.0</v>
      </c>
      <c r="F11104" s="10">
        <f t="shared" si="1"/>
        <v>0.6666666667</v>
      </c>
      <c r="G11104" s="10">
        <f t="array" ref="G11104">index('Player ID'!C:C,match(E11104,'Player ID'!B:B,0))</f>
        <v>519141</v>
      </c>
    </row>
    <row r="11105">
      <c r="A11105" s="76">
        <v>45841.0</v>
      </c>
      <c r="B11105" s="1" t="s">
        <v>462</v>
      </c>
      <c r="C11105" s="1" t="s">
        <v>34</v>
      </c>
      <c r="D11105" s="1">
        <v>1.0</v>
      </c>
      <c r="E11105" s="1">
        <v>13896.0</v>
      </c>
      <c r="F11105" s="10">
        <f t="shared" si="1"/>
        <v>1</v>
      </c>
      <c r="G11105" s="10">
        <f t="array" ref="G11105">index('Player ID'!C:C,match(E11105,'Player ID'!B:B,0))</f>
        <v>623167</v>
      </c>
    </row>
    <row r="11106">
      <c r="A11106" s="76">
        <v>45841.0</v>
      </c>
      <c r="B11106" s="1" t="s">
        <v>132</v>
      </c>
      <c r="C11106" s="1" t="s">
        <v>70</v>
      </c>
      <c r="D11106" s="1">
        <v>1.2</v>
      </c>
      <c r="E11106" s="1">
        <v>21032.0</v>
      </c>
      <c r="F11106" s="10">
        <f t="shared" si="1"/>
        <v>1.666666667</v>
      </c>
      <c r="G11106" s="10">
        <f t="array" ref="G11106">index('Player ID'!C:C,match(E11106,'Player ID'!B:B,0))</f>
        <v>661403</v>
      </c>
    </row>
    <row r="11107">
      <c r="A11107" s="76">
        <v>45841.0</v>
      </c>
      <c r="B11107" s="1" t="s">
        <v>398</v>
      </c>
      <c r="C11107" s="1" t="s">
        <v>70</v>
      </c>
      <c r="D11107" s="1">
        <v>3.1</v>
      </c>
      <c r="E11107" s="1">
        <v>23335.0</v>
      </c>
      <c r="F11107" s="10">
        <f t="shared" si="1"/>
        <v>3.333333333</v>
      </c>
      <c r="G11107" s="10">
        <f t="array" ref="G11107">index('Player ID'!C:C,match(E11107,'Player ID'!B:B,0))</f>
        <v>676282</v>
      </c>
    </row>
    <row r="11108">
      <c r="A11108" s="76">
        <v>45841.0</v>
      </c>
      <c r="B11108" s="1" t="s">
        <v>543</v>
      </c>
      <c r="C11108" s="1" t="s">
        <v>70</v>
      </c>
      <c r="D11108" s="1">
        <v>1.2</v>
      </c>
      <c r="E11108" s="1">
        <v>24978.0</v>
      </c>
      <c r="F11108" s="10">
        <f t="shared" si="1"/>
        <v>1.666666667</v>
      </c>
      <c r="G11108" s="10" t="str">
        <f t="array" ref="G11108">index('Player ID'!C:C,match(E11108,'Player ID'!B:B,0))</f>
        <v>#N/A</v>
      </c>
    </row>
    <row r="11109">
      <c r="A11109" s="76">
        <v>45841.0</v>
      </c>
      <c r="B11109" s="1" t="s">
        <v>238</v>
      </c>
      <c r="C11109" s="1" t="s">
        <v>70</v>
      </c>
      <c r="D11109" s="1">
        <v>2.0</v>
      </c>
      <c r="E11109" s="1">
        <v>25636.0</v>
      </c>
      <c r="F11109" s="10">
        <f t="shared" si="1"/>
        <v>2</v>
      </c>
      <c r="G11109" s="10">
        <f t="array" ref="G11109">index('Player ID'!C:C,match(E11109,'Player ID'!B:B,0))</f>
        <v>683769</v>
      </c>
    </row>
    <row r="11110">
      <c r="A11110" s="76">
        <v>45841.0</v>
      </c>
      <c r="B11110" s="1" t="s">
        <v>135</v>
      </c>
      <c r="C11110" s="1" t="s">
        <v>70</v>
      </c>
      <c r="D11110" s="1">
        <v>1.0</v>
      </c>
      <c r="E11110" s="1">
        <v>27867.0</v>
      </c>
      <c r="F11110" s="10">
        <f t="shared" si="1"/>
        <v>1</v>
      </c>
      <c r="G11110" s="10">
        <f t="array" ref="G11110">index('Player ID'!C:C,match(E11110,'Player ID'!B:B,0))</f>
        <v>671922</v>
      </c>
    </row>
    <row r="11111">
      <c r="A11111" s="76">
        <v>45841.0</v>
      </c>
      <c r="B11111" s="1" t="s">
        <v>434</v>
      </c>
      <c r="C11111" s="1" t="s">
        <v>34</v>
      </c>
      <c r="D11111" s="1">
        <v>7.0</v>
      </c>
      <c r="E11111" s="1">
        <v>31872.0</v>
      </c>
      <c r="F11111" s="10">
        <f t="shared" si="1"/>
        <v>7</v>
      </c>
      <c r="G11111" s="10">
        <f t="array" ref="G11111">index('Player ID'!C:C,match(E11111,'Player ID'!B:B,0))</f>
        <v>690990</v>
      </c>
    </row>
    <row r="11112">
      <c r="A11112" s="76">
        <v>45841.0</v>
      </c>
      <c r="B11112" s="1" t="s">
        <v>303</v>
      </c>
      <c r="C11112" s="1" t="s">
        <v>31</v>
      </c>
      <c r="D11112" s="1">
        <v>9.0</v>
      </c>
      <c r="E11112" s="1">
        <v>11486.0</v>
      </c>
      <c r="F11112" s="10">
        <f t="shared" si="1"/>
        <v>9</v>
      </c>
      <c r="G11112" s="10">
        <f t="array" ref="G11112">index('Player ID'!C:C,match(E11112,'Player ID'!B:B,0))</f>
        <v>592662</v>
      </c>
    </row>
    <row r="11113">
      <c r="A11113" s="76">
        <v>45841.0</v>
      </c>
      <c r="B11113" s="1" t="s">
        <v>149</v>
      </c>
      <c r="C11113" s="1" t="s">
        <v>64</v>
      </c>
      <c r="D11113" s="1">
        <v>1.0</v>
      </c>
      <c r="E11113" s="1">
        <v>16128.0</v>
      </c>
      <c r="F11113" s="10">
        <f t="shared" si="1"/>
        <v>1</v>
      </c>
      <c r="G11113" s="10" t="str">
        <f t="array" ref="G11113">index('Player ID'!C:C,match(E11113,'Player ID'!B:B,0))</f>
        <v>#N/A</v>
      </c>
    </row>
    <row r="11114">
      <c r="A11114" s="76">
        <v>45841.0</v>
      </c>
      <c r="B11114" s="1" t="s">
        <v>489</v>
      </c>
      <c r="C11114" s="1" t="s">
        <v>64</v>
      </c>
      <c r="D11114" s="1">
        <v>1.0</v>
      </c>
      <c r="E11114" s="1">
        <v>17192.0</v>
      </c>
      <c r="F11114" s="10">
        <f t="shared" si="1"/>
        <v>1</v>
      </c>
      <c r="G11114" s="10">
        <f t="array" ref="G11114">index('Player ID'!C:C,match(E11114,'Player ID'!B:B,0))</f>
        <v>656222</v>
      </c>
    </row>
    <row r="11115">
      <c r="A11115" s="76">
        <v>45841.0</v>
      </c>
      <c r="B11115" s="1" t="s">
        <v>823</v>
      </c>
      <c r="C11115" s="1" t="s">
        <v>64</v>
      </c>
      <c r="D11115" s="1">
        <v>1.0</v>
      </c>
      <c r="E11115" s="1">
        <v>19876.0</v>
      </c>
      <c r="F11115" s="10">
        <f t="shared" si="1"/>
        <v>1</v>
      </c>
      <c r="G11115" s="10">
        <f t="array" ref="G11115">index('Player ID'!C:C,match(E11115,'Player ID'!B:B,0))</f>
        <v>656464</v>
      </c>
    </row>
    <row r="11116">
      <c r="A11116" s="76">
        <v>45841.0</v>
      </c>
      <c r="B11116" s="1" t="s">
        <v>263</v>
      </c>
      <c r="C11116" s="1" t="s">
        <v>64</v>
      </c>
      <c r="D11116" s="1">
        <v>6.0</v>
      </c>
      <c r="E11116" s="1">
        <v>27782.0</v>
      </c>
      <c r="F11116" s="10">
        <f t="shared" si="1"/>
        <v>6</v>
      </c>
      <c r="G11116" s="10">
        <f t="array" ref="G11116">index('Player ID'!C:C,match(E11116,'Player ID'!B:B,0))</f>
        <v>694297</v>
      </c>
    </row>
    <row r="11117">
      <c r="A11117" s="76">
        <v>45841.0</v>
      </c>
      <c r="B11117" s="1" t="s">
        <v>452</v>
      </c>
      <c r="C11117" s="1" t="s">
        <v>29</v>
      </c>
      <c r="D11117" s="1">
        <v>6.1</v>
      </c>
      <c r="E11117" s="1">
        <v>12447.0</v>
      </c>
      <c r="F11117" s="10">
        <f t="shared" si="1"/>
        <v>6.333333333</v>
      </c>
      <c r="G11117" s="10">
        <f t="array" ref="G11117">index('Player ID'!C:C,match(E11117,'Player ID'!B:B,0))</f>
        <v>607625</v>
      </c>
    </row>
    <row r="11118">
      <c r="A11118" s="76">
        <v>45841.0</v>
      </c>
      <c r="B11118" s="1" t="s">
        <v>649</v>
      </c>
      <c r="C11118" s="1" t="s">
        <v>29</v>
      </c>
      <c r="D11118" s="1">
        <v>1.1</v>
      </c>
      <c r="E11118" s="1">
        <v>14542.0</v>
      </c>
      <c r="F11118" s="10">
        <f t="shared" si="1"/>
        <v>1.333333333</v>
      </c>
      <c r="G11118" s="10">
        <f t="array" ref="G11118">index('Player ID'!C:C,match(E11118,'Player ID'!B:B,0))</f>
        <v>608032</v>
      </c>
    </row>
    <row r="11119">
      <c r="A11119" s="76">
        <v>45841.0</v>
      </c>
      <c r="B11119" s="1" t="s">
        <v>199</v>
      </c>
      <c r="C11119" s="1" t="s">
        <v>29</v>
      </c>
      <c r="D11119" s="1">
        <v>0.2</v>
      </c>
      <c r="E11119" s="1">
        <v>17611.0</v>
      </c>
      <c r="F11119" s="10">
        <f t="shared" si="1"/>
        <v>0.6666666667</v>
      </c>
      <c r="G11119" s="10">
        <f t="array" ref="G11119">index('Player ID'!C:C,match(E11119,'Player ID'!B:B,0))</f>
        <v>664199</v>
      </c>
    </row>
    <row r="11120">
      <c r="A11120" s="76">
        <v>45841.0</v>
      </c>
      <c r="B11120" s="1" t="s">
        <v>108</v>
      </c>
      <c r="C11120" s="1" t="s">
        <v>37</v>
      </c>
      <c r="D11120" s="1">
        <v>1.0</v>
      </c>
      <c r="E11120" s="1">
        <v>17948.0</v>
      </c>
      <c r="F11120" s="10">
        <f t="shared" si="1"/>
        <v>1</v>
      </c>
      <c r="G11120" s="10">
        <f t="array" ref="G11120">index('Player ID'!C:C,match(E11120,'Player ID'!B:B,0))</f>
        <v>663423</v>
      </c>
    </row>
    <row r="11121">
      <c r="A11121" s="76">
        <v>45841.0</v>
      </c>
      <c r="B11121" s="1" t="s">
        <v>407</v>
      </c>
      <c r="C11121" s="1" t="s">
        <v>29</v>
      </c>
      <c r="D11121" s="1">
        <v>0.2</v>
      </c>
      <c r="E11121" s="1">
        <v>19360.0</v>
      </c>
      <c r="F11121" s="10">
        <f t="shared" si="1"/>
        <v>0.6666666667</v>
      </c>
      <c r="G11121" s="10">
        <f t="array" ref="G11121">index('Player ID'!C:C,match(E11121,'Player ID'!B:B,0))</f>
        <v>668674</v>
      </c>
    </row>
    <row r="11122">
      <c r="A11122" s="76">
        <v>45841.0</v>
      </c>
      <c r="B11122" s="1" t="s">
        <v>157</v>
      </c>
      <c r="C11122" s="1" t="s">
        <v>37</v>
      </c>
      <c r="D11122" s="1">
        <v>1.0</v>
      </c>
      <c r="E11122" s="1">
        <v>20997.0</v>
      </c>
      <c r="F11122" s="10">
        <f t="shared" si="1"/>
        <v>1</v>
      </c>
      <c r="G11122" s="10">
        <f t="array" ref="G11122">index('Player ID'!C:C,match(E11122,'Player ID'!B:B,0))</f>
        <v>660825</v>
      </c>
    </row>
    <row r="11123">
      <c r="A11123" s="76">
        <v>45841.0</v>
      </c>
      <c r="B11123" s="1" t="s">
        <v>101</v>
      </c>
      <c r="C11123" s="1" t="s">
        <v>37</v>
      </c>
      <c r="D11123" s="1">
        <v>0.2</v>
      </c>
      <c r="E11123" s="1">
        <v>22915.0</v>
      </c>
      <c r="F11123" s="10">
        <f t="shared" si="1"/>
        <v>0.6666666667</v>
      </c>
      <c r="G11123" s="10">
        <f t="array" ref="G11123">index('Player ID'!C:C,match(E11123,'Player ID'!B:B,0))</f>
        <v>672841</v>
      </c>
    </row>
    <row r="11124">
      <c r="A11124" s="76">
        <v>45841.0</v>
      </c>
      <c r="B11124" s="1" t="s">
        <v>340</v>
      </c>
      <c r="C11124" s="1" t="s">
        <v>37</v>
      </c>
      <c r="D11124" s="1">
        <v>0.2</v>
      </c>
      <c r="E11124" s="1">
        <v>25921.0</v>
      </c>
      <c r="F11124" s="10">
        <f t="shared" si="1"/>
        <v>0.6666666667</v>
      </c>
      <c r="G11124" s="10">
        <f t="array" ref="G11124">index('Player ID'!C:C,match(E11124,'Player ID'!B:B,0))</f>
        <v>668984</v>
      </c>
    </row>
    <row r="11125">
      <c r="A11125" s="76">
        <v>45841.0</v>
      </c>
      <c r="B11125" s="1" t="s">
        <v>255</v>
      </c>
      <c r="C11125" s="1" t="s">
        <v>37</v>
      </c>
      <c r="D11125" s="1">
        <v>5.2</v>
      </c>
      <c r="E11125" s="1">
        <v>33699.0</v>
      </c>
      <c r="F11125" s="10">
        <f t="shared" si="1"/>
        <v>5.666666667</v>
      </c>
      <c r="G11125" s="10">
        <f t="array" ref="G11125">index('Player ID'!C:C,match(E11125,'Player ID'!B:B,0))</f>
        <v>688138</v>
      </c>
    </row>
    <row r="11126">
      <c r="A11126" s="76">
        <v>45841.0</v>
      </c>
      <c r="B11126" s="1" t="s">
        <v>392</v>
      </c>
      <c r="C11126" s="1" t="s">
        <v>33</v>
      </c>
      <c r="D11126" s="1">
        <v>1.0</v>
      </c>
      <c r="E11126" s="1">
        <v>9073.0</v>
      </c>
      <c r="F11126" s="10">
        <f t="shared" si="1"/>
        <v>1</v>
      </c>
      <c r="G11126" s="10">
        <f t="array" ref="G11126">index('Player ID'!C:C,match(E11126,'Player ID'!B:B,0))</f>
        <v>489446</v>
      </c>
    </row>
    <row r="11127">
      <c r="A11127" s="76">
        <v>45841.0</v>
      </c>
      <c r="B11127" s="1" t="s">
        <v>851</v>
      </c>
      <c r="C11127" s="1" t="s">
        <v>78</v>
      </c>
      <c r="D11127" s="1">
        <v>1.1</v>
      </c>
      <c r="E11127" s="1">
        <v>16507.0</v>
      </c>
      <c r="F11127" s="10">
        <f t="shared" si="1"/>
        <v>1.333333333</v>
      </c>
      <c r="G11127" s="10" t="str">
        <f t="array" ref="G11127">index('Player ID'!C:C,match(E11127,'Player ID'!B:B,0))</f>
        <v>#N/A</v>
      </c>
    </row>
    <row r="11128">
      <c r="A11128" s="76">
        <v>45841.0</v>
      </c>
      <c r="B11128" s="1" t="s">
        <v>32</v>
      </c>
      <c r="C11128" s="1" t="s">
        <v>33</v>
      </c>
      <c r="D11128" s="1">
        <v>1.0</v>
      </c>
      <c r="E11128" s="1">
        <v>17586.0</v>
      </c>
      <c r="F11128" s="10">
        <f t="shared" si="1"/>
        <v>1</v>
      </c>
      <c r="G11128" s="10">
        <f t="array" ref="G11128">index('Player ID'!C:C,match(E11128,'Player ID'!B:B,0))</f>
        <v>656945</v>
      </c>
    </row>
    <row r="11129">
      <c r="A11129" s="76">
        <v>45841.0</v>
      </c>
      <c r="B11129" s="1" t="s">
        <v>478</v>
      </c>
      <c r="C11129" s="1" t="s">
        <v>78</v>
      </c>
      <c r="D11129" s="1">
        <v>1.2</v>
      </c>
      <c r="E11129" s="1">
        <v>17964.0</v>
      </c>
      <c r="F11129" s="10">
        <f t="shared" si="1"/>
        <v>1.666666667</v>
      </c>
      <c r="G11129" s="10">
        <f t="array" ref="G11129">index('Player ID'!C:C,match(E11129,'Player ID'!B:B,0))</f>
        <v>656457</v>
      </c>
    </row>
    <row r="11130">
      <c r="A11130" s="76">
        <v>45841.0</v>
      </c>
      <c r="B11130" s="1" t="s">
        <v>491</v>
      </c>
      <c r="C11130" s="1" t="s">
        <v>78</v>
      </c>
      <c r="D11130" s="1">
        <v>5.0</v>
      </c>
      <c r="E11130" s="1">
        <v>19479.0</v>
      </c>
      <c r="F11130" s="10">
        <f t="shared" si="1"/>
        <v>5</v>
      </c>
      <c r="G11130" s="10">
        <f t="array" ref="G11130">index('Player ID'!C:C,match(E11130,'Player ID'!B:B,0))</f>
        <v>650644</v>
      </c>
    </row>
    <row r="11131">
      <c r="A11131" s="76">
        <v>45841.0</v>
      </c>
      <c r="B11131" s="1" t="s">
        <v>329</v>
      </c>
      <c r="C11131" s="1" t="s">
        <v>33</v>
      </c>
      <c r="D11131" s="1">
        <v>7.0</v>
      </c>
      <c r="E11131" s="1">
        <v>19716.0</v>
      </c>
      <c r="F11131" s="10">
        <f t="shared" si="1"/>
        <v>7</v>
      </c>
      <c r="G11131" s="10">
        <f t="array" ref="G11131">index('Player ID'!C:C,match(E11131,'Player ID'!B:B,0))</f>
        <v>669160</v>
      </c>
    </row>
    <row r="11132">
      <c r="A11132" s="76">
        <v>45842.0</v>
      </c>
      <c r="B11132" s="1" t="s">
        <v>230</v>
      </c>
      <c r="C11132" s="1" t="s">
        <v>22</v>
      </c>
      <c r="D11132" s="1">
        <v>0.1</v>
      </c>
      <c r="E11132" s="1">
        <v>4301.0</v>
      </c>
      <c r="F11132" s="10">
        <f t="shared" si="1"/>
        <v>0.3333333333</v>
      </c>
      <c r="G11132" s="10">
        <f t="array" ref="G11132">index('Player ID'!C:C,match(E11132,'Player ID'!B:B,0))</f>
        <v>458677</v>
      </c>
    </row>
    <row r="11133">
      <c r="A11133" s="76">
        <v>45842.0</v>
      </c>
      <c r="B11133" s="1" t="s">
        <v>506</v>
      </c>
      <c r="C11133" s="1" t="s">
        <v>80</v>
      </c>
      <c r="D11133" s="1">
        <v>1.0</v>
      </c>
      <c r="E11133" s="1">
        <v>12988.0</v>
      </c>
      <c r="F11133" s="10">
        <f t="shared" si="1"/>
        <v>1</v>
      </c>
      <c r="G11133" s="10">
        <f t="array" ref="G11133">index('Player ID'!C:C,match(E11133,'Player ID'!B:B,0))</f>
        <v>605177</v>
      </c>
    </row>
    <row r="11134">
      <c r="A11134" s="76">
        <v>45842.0</v>
      </c>
      <c r="B11134" s="1" t="s">
        <v>416</v>
      </c>
      <c r="C11134" s="1" t="s">
        <v>22</v>
      </c>
      <c r="D11134" s="1">
        <v>7.2</v>
      </c>
      <c r="E11134" s="1">
        <v>15474.0</v>
      </c>
      <c r="F11134" s="10">
        <f t="shared" si="1"/>
        <v>7.666666667</v>
      </c>
      <c r="G11134" s="10">
        <f t="array" ref="G11134">index('Player ID'!C:C,match(E11134,'Player ID'!B:B,0))</f>
        <v>608337</v>
      </c>
    </row>
    <row r="11135">
      <c r="A11135" s="76">
        <v>45842.0</v>
      </c>
      <c r="B11135" s="1" t="s">
        <v>480</v>
      </c>
      <c r="C11135" s="1" t="s">
        <v>80</v>
      </c>
      <c r="D11135" s="1">
        <v>4.0</v>
      </c>
      <c r="E11135" s="1">
        <v>18383.0</v>
      </c>
      <c r="F11135" s="10">
        <f t="shared" si="1"/>
        <v>4</v>
      </c>
      <c r="G11135" s="10">
        <f t="array" ref="G11135">index('Player ID'!C:C,match(E11135,'Player ID'!B:B,0))</f>
        <v>647336</v>
      </c>
    </row>
    <row r="11136">
      <c r="A11136" s="76">
        <v>45842.0</v>
      </c>
      <c r="B11136" s="1" t="s">
        <v>250</v>
      </c>
      <c r="C11136" s="1" t="s">
        <v>22</v>
      </c>
      <c r="D11136" s="1">
        <v>1.0</v>
      </c>
      <c r="E11136" s="1">
        <v>20191.0</v>
      </c>
      <c r="F11136" s="10">
        <f t="shared" si="1"/>
        <v>1</v>
      </c>
      <c r="G11136" s="10">
        <f t="array" ref="G11136">index('Player ID'!C:C,match(E11136,'Player ID'!B:B,0))</f>
        <v>676477</v>
      </c>
    </row>
    <row r="11137">
      <c r="A11137" s="76">
        <v>45842.0</v>
      </c>
      <c r="B11137" s="1" t="s">
        <v>508</v>
      </c>
      <c r="C11137" s="1" t="s">
        <v>80</v>
      </c>
      <c r="D11137" s="1">
        <v>1.0</v>
      </c>
      <c r="E11137" s="1">
        <v>23135.0</v>
      </c>
      <c r="F11137" s="10">
        <f t="shared" si="1"/>
        <v>1</v>
      </c>
      <c r="G11137" s="10">
        <f t="array" ref="G11137">index('Player ID'!C:C,match(E11137,'Player ID'!B:B,0))</f>
        <v>674285</v>
      </c>
    </row>
    <row r="11138">
      <c r="A11138" s="76">
        <v>45842.0</v>
      </c>
      <c r="B11138" s="1" t="s">
        <v>818</v>
      </c>
      <c r="C11138" s="1" t="s">
        <v>80</v>
      </c>
      <c r="D11138" s="1">
        <v>1.0</v>
      </c>
      <c r="E11138" s="1">
        <v>27783.0</v>
      </c>
      <c r="F11138" s="10">
        <f t="shared" si="1"/>
        <v>1</v>
      </c>
      <c r="G11138" s="10">
        <f t="array" ref="G11138">index('Player ID'!C:C,match(E11138,'Player ID'!B:B,0))</f>
        <v>694350</v>
      </c>
    </row>
    <row r="11139">
      <c r="A11139" s="76">
        <v>45842.0</v>
      </c>
      <c r="B11139" s="1" t="s">
        <v>771</v>
      </c>
      <c r="C11139" s="1" t="s">
        <v>80</v>
      </c>
      <c r="D11139" s="1">
        <v>2.0</v>
      </c>
      <c r="E11139" s="1">
        <v>29521.0</v>
      </c>
      <c r="F11139" s="10">
        <f t="shared" si="1"/>
        <v>2</v>
      </c>
      <c r="G11139" s="10">
        <f t="array" ref="G11139">index('Player ID'!C:C,match(E11139,'Player ID'!B:B,0))</f>
        <v>702795</v>
      </c>
    </row>
    <row r="11140">
      <c r="A11140" s="76">
        <v>45842.0</v>
      </c>
      <c r="B11140" s="1" t="s">
        <v>360</v>
      </c>
      <c r="C11140" s="1" t="s">
        <v>45</v>
      </c>
      <c r="D11140" s="1">
        <v>2.2</v>
      </c>
      <c r="E11140" s="1">
        <v>12972.0</v>
      </c>
      <c r="F11140" s="10">
        <f t="shared" si="1"/>
        <v>2.666666667</v>
      </c>
      <c r="G11140" s="10">
        <f t="array" ref="G11140">index('Player ID'!C:C,match(E11140,'Player ID'!B:B,0))</f>
        <v>605452</v>
      </c>
    </row>
    <row r="11141">
      <c r="A11141" s="76">
        <v>45842.0</v>
      </c>
      <c r="B11141" s="1" t="s">
        <v>362</v>
      </c>
      <c r="C11141" s="1" t="s">
        <v>66</v>
      </c>
      <c r="D11141" s="1">
        <v>0.1</v>
      </c>
      <c r="E11141" s="1">
        <v>13449.0</v>
      </c>
      <c r="F11141" s="10">
        <f t="shared" si="1"/>
        <v>0.3333333333</v>
      </c>
      <c r="G11141" s="10">
        <f t="array" ref="G11141">index('Player ID'!C:C,match(E11141,'Player ID'!B:B,0))</f>
        <v>573124</v>
      </c>
    </row>
    <row r="11142">
      <c r="A11142" s="76">
        <v>45842.0</v>
      </c>
      <c r="B11142" s="1" t="s">
        <v>651</v>
      </c>
      <c r="C11142" s="1" t="s">
        <v>66</v>
      </c>
      <c r="D11142" s="1">
        <v>1.0</v>
      </c>
      <c r="E11142" s="1">
        <v>14771.0</v>
      </c>
      <c r="F11142" s="10">
        <f t="shared" si="1"/>
        <v>1</v>
      </c>
      <c r="G11142" s="10">
        <f t="array" ref="G11142">index('Player ID'!C:C,match(E11142,'Player ID'!B:B,0))</f>
        <v>641941</v>
      </c>
    </row>
    <row r="11143">
      <c r="A11143" s="76">
        <v>45842.0</v>
      </c>
      <c r="B11143" s="1" t="s">
        <v>652</v>
      </c>
      <c r="C11143" s="1" t="s">
        <v>66</v>
      </c>
      <c r="D11143" s="1">
        <v>1.1</v>
      </c>
      <c r="E11143" s="1">
        <v>14874.0</v>
      </c>
      <c r="F11143" s="10">
        <f t="shared" si="1"/>
        <v>1.333333333</v>
      </c>
      <c r="G11143" s="10">
        <f t="array" ref="G11143">index('Player ID'!C:C,match(E11143,'Player ID'!B:B,0))</f>
        <v>594580</v>
      </c>
    </row>
    <row r="11144">
      <c r="A11144" s="76">
        <v>45842.0</v>
      </c>
      <c r="B11144" s="1" t="s">
        <v>475</v>
      </c>
      <c r="C11144" s="1" t="s">
        <v>66</v>
      </c>
      <c r="D11144" s="1">
        <v>1.0</v>
      </c>
      <c r="E11144" s="1">
        <v>14993.0</v>
      </c>
      <c r="F11144" s="10">
        <f t="shared" si="1"/>
        <v>1</v>
      </c>
      <c r="G11144" s="10">
        <f t="array" ref="G11144">index('Player ID'!C:C,match(E11144,'Player ID'!B:B,0))</f>
        <v>605130</v>
      </c>
    </row>
    <row r="11145">
      <c r="A11145" s="76">
        <v>45842.0</v>
      </c>
      <c r="B11145" s="1" t="s">
        <v>208</v>
      </c>
      <c r="C11145" s="1" t="s">
        <v>45</v>
      </c>
      <c r="D11145" s="1">
        <v>1.0</v>
      </c>
      <c r="E11145" s="1">
        <v>16122.0</v>
      </c>
      <c r="F11145" s="10">
        <f t="shared" si="1"/>
        <v>1</v>
      </c>
      <c r="G11145" s="10">
        <f t="array" ref="G11145">index('Player ID'!C:C,match(E11145,'Player ID'!B:B,0))</f>
        <v>605447</v>
      </c>
    </row>
    <row r="11146">
      <c r="A11146" s="76">
        <v>45842.0</v>
      </c>
      <c r="B11146" s="1" t="s">
        <v>138</v>
      </c>
      <c r="C11146" s="1" t="s">
        <v>45</v>
      </c>
      <c r="D11146" s="1">
        <v>1.1</v>
      </c>
      <c r="E11146" s="1">
        <v>16990.0</v>
      </c>
      <c r="F11146" s="10">
        <f t="shared" si="1"/>
        <v>1.333333333</v>
      </c>
      <c r="G11146" s="10">
        <f t="array" ref="G11146">index('Player ID'!C:C,match(E11146,'Player ID'!B:B,0))</f>
        <v>621383</v>
      </c>
    </row>
    <row r="11147">
      <c r="A11147" s="76">
        <v>45842.0</v>
      </c>
      <c r="B11147" s="1" t="s">
        <v>345</v>
      </c>
      <c r="C11147" s="1" t="s">
        <v>66</v>
      </c>
      <c r="D11147" s="1">
        <v>1.0</v>
      </c>
      <c r="E11147" s="1">
        <v>19926.0</v>
      </c>
      <c r="F11147" s="10">
        <f t="shared" si="1"/>
        <v>1</v>
      </c>
      <c r="G11147" s="10">
        <f t="array" ref="G11147">index('Player ID'!C:C,match(E11147,'Player ID'!B:B,0))</f>
        <v>663574</v>
      </c>
    </row>
    <row r="11148">
      <c r="A11148" s="76">
        <v>45842.0</v>
      </c>
      <c r="B11148" s="1" t="s">
        <v>700</v>
      </c>
      <c r="C11148" s="1" t="s">
        <v>45</v>
      </c>
      <c r="D11148" s="1">
        <v>2.0</v>
      </c>
      <c r="E11148" s="1">
        <v>19959.0</v>
      </c>
      <c r="F11148" s="10">
        <f t="shared" si="1"/>
        <v>2</v>
      </c>
      <c r="G11148" s="10">
        <f t="array" ref="G11148">index('Player ID'!C:C,match(E11148,'Player ID'!B:B,0))</f>
        <v>666200</v>
      </c>
    </row>
    <row r="11149">
      <c r="A11149" s="76">
        <v>45842.0</v>
      </c>
      <c r="B11149" s="1" t="s">
        <v>788</v>
      </c>
      <c r="C11149" s="1" t="s">
        <v>45</v>
      </c>
      <c r="D11149" s="1">
        <v>1.0</v>
      </c>
      <c r="E11149" s="1">
        <v>21229.0</v>
      </c>
      <c r="F11149" s="10">
        <f t="shared" si="1"/>
        <v>1</v>
      </c>
      <c r="G11149" s="10">
        <f t="array" ref="G11149">index('Player ID'!C:C,match(E11149,'Player ID'!B:B,0))</f>
        <v>642016</v>
      </c>
    </row>
    <row r="11150">
      <c r="A11150" s="76">
        <v>45842.0</v>
      </c>
      <c r="B11150" s="1" t="s">
        <v>258</v>
      </c>
      <c r="C11150" s="1" t="s">
        <v>45</v>
      </c>
      <c r="D11150" s="1">
        <v>1.0</v>
      </c>
      <c r="E11150" s="1">
        <v>23426.0</v>
      </c>
      <c r="F11150" s="10">
        <f t="shared" si="1"/>
        <v>1</v>
      </c>
      <c r="G11150" s="10" t="str">
        <f t="array" ref="G11150">index('Player ID'!C:C,match(E11150,'Player ID'!B:B,0))</f>
        <v>#N/A</v>
      </c>
    </row>
    <row r="11151">
      <c r="A11151" s="76">
        <v>45842.0</v>
      </c>
      <c r="B11151" s="1" t="s">
        <v>518</v>
      </c>
      <c r="C11151" s="1" t="s">
        <v>66</v>
      </c>
      <c r="D11151" s="1">
        <v>1.0</v>
      </c>
      <c r="E11151" s="1">
        <v>24581.0</v>
      </c>
      <c r="F11151" s="10">
        <f t="shared" si="1"/>
        <v>1</v>
      </c>
      <c r="G11151" s="10">
        <f t="array" ref="G11151">index('Player ID'!C:C,match(E11151,'Player ID'!B:B,0))</f>
        <v>680689</v>
      </c>
    </row>
    <row r="11152">
      <c r="A11152" s="76">
        <v>45842.0</v>
      </c>
      <c r="B11152" s="1" t="s">
        <v>169</v>
      </c>
      <c r="C11152" s="1" t="s">
        <v>66</v>
      </c>
      <c r="D11152" s="1">
        <v>3.1</v>
      </c>
      <c r="E11152" s="1">
        <v>29911.0</v>
      </c>
      <c r="F11152" s="10">
        <f t="shared" si="1"/>
        <v>3.333333333</v>
      </c>
      <c r="G11152" s="10">
        <f t="array" ref="G11152">index('Player ID'!C:C,match(E11152,'Player ID'!B:B,0))</f>
        <v>671096</v>
      </c>
    </row>
    <row r="11153">
      <c r="A11153" s="76">
        <v>45842.0</v>
      </c>
      <c r="B11153" s="1" t="s">
        <v>287</v>
      </c>
      <c r="C11153" s="1" t="s">
        <v>72</v>
      </c>
      <c r="D11153" s="1">
        <v>6.0</v>
      </c>
      <c r="E11153" s="1">
        <v>9803.0</v>
      </c>
      <c r="F11153" s="10">
        <f t="shared" si="1"/>
        <v>6</v>
      </c>
      <c r="G11153" s="10">
        <f t="array" ref="G11153">index('Player ID'!C:C,match(E11153,'Player ID'!B:B,0))</f>
        <v>571945</v>
      </c>
    </row>
    <row r="11154">
      <c r="A11154" s="76">
        <v>45842.0</v>
      </c>
      <c r="B11154" s="1" t="s">
        <v>71</v>
      </c>
      <c r="C11154" s="1" t="s">
        <v>34</v>
      </c>
      <c r="D11154" s="1">
        <v>0.1</v>
      </c>
      <c r="E11154" s="1">
        <v>10078.0</v>
      </c>
      <c r="F11154" s="10">
        <f t="shared" si="1"/>
        <v>0.3333333333</v>
      </c>
      <c r="G11154" s="10">
        <f t="array" ref="G11154">index('Player ID'!C:C,match(E11154,'Player ID'!B:B,0))</f>
        <v>573204</v>
      </c>
    </row>
    <row r="11155">
      <c r="A11155" s="76">
        <v>45842.0</v>
      </c>
      <c r="B11155" s="1" t="s">
        <v>912</v>
      </c>
      <c r="C11155" s="1" t="s">
        <v>34</v>
      </c>
      <c r="D11155" s="1">
        <v>1.0</v>
      </c>
      <c r="E11155" s="1">
        <v>12037.0</v>
      </c>
      <c r="F11155" s="10">
        <f t="shared" si="1"/>
        <v>1</v>
      </c>
      <c r="G11155" s="10" t="str">
        <f t="array" ref="G11155">index('Player ID'!C:C,match(E11155,'Player ID'!B:B,0))</f>
        <v>#N/A</v>
      </c>
    </row>
    <row r="11156">
      <c r="A11156" s="76">
        <v>45842.0</v>
      </c>
      <c r="B11156" s="1" t="s">
        <v>313</v>
      </c>
      <c r="C11156" s="1" t="s">
        <v>34</v>
      </c>
      <c r="D11156" s="1">
        <v>6.2</v>
      </c>
      <c r="E11156" s="1">
        <v>12317.0</v>
      </c>
      <c r="F11156" s="10">
        <f t="shared" si="1"/>
        <v>6.666666667</v>
      </c>
      <c r="G11156" s="10">
        <f t="array" ref="G11156">index('Player ID'!C:C,match(E11156,'Player ID'!B:B,0))</f>
        <v>607067</v>
      </c>
    </row>
    <row r="11157">
      <c r="A11157" s="76">
        <v>45842.0</v>
      </c>
      <c r="B11157" s="1" t="s">
        <v>273</v>
      </c>
      <c r="C11157" s="1" t="s">
        <v>72</v>
      </c>
      <c r="D11157" s="1">
        <v>1.0</v>
      </c>
      <c r="E11157" s="1">
        <v>22051.0</v>
      </c>
      <c r="F11157" s="10">
        <f t="shared" si="1"/>
        <v>1</v>
      </c>
      <c r="G11157" s="10">
        <f t="array" ref="G11157">index('Player ID'!C:C,match(E11157,'Player ID'!B:B,0))</f>
        <v>667463</v>
      </c>
    </row>
    <row r="11158">
      <c r="A11158" s="76">
        <v>45842.0</v>
      </c>
      <c r="B11158" s="1" t="s">
        <v>388</v>
      </c>
      <c r="C11158" s="1" t="s">
        <v>34</v>
      </c>
      <c r="D11158" s="1">
        <v>1.0</v>
      </c>
      <c r="E11158" s="1">
        <v>26413.0</v>
      </c>
      <c r="F11158" s="10">
        <f t="shared" si="1"/>
        <v>1</v>
      </c>
      <c r="G11158" s="10">
        <f t="array" ref="G11158">index('Player ID'!C:C,match(E11158,'Player ID'!B:B,0))</f>
        <v>687863</v>
      </c>
    </row>
    <row r="11159">
      <c r="A11159" s="76">
        <v>45842.0</v>
      </c>
      <c r="B11159" s="1" t="s">
        <v>223</v>
      </c>
      <c r="C11159" s="1" t="s">
        <v>72</v>
      </c>
      <c r="D11159" s="1">
        <v>1.0</v>
      </c>
      <c r="E11159" s="1">
        <v>29629.0</v>
      </c>
      <c r="F11159" s="10">
        <f t="shared" si="1"/>
        <v>1</v>
      </c>
      <c r="G11159" s="10">
        <f t="array" ref="G11159">index('Player ID'!C:C,match(E11159,'Player ID'!B:B,0))</f>
        <v>694335</v>
      </c>
    </row>
    <row r="11160">
      <c r="A11160" s="76">
        <v>45842.0</v>
      </c>
      <c r="B11160" s="1" t="s">
        <v>646</v>
      </c>
      <c r="C11160" s="1" t="s">
        <v>51</v>
      </c>
      <c r="D11160" s="1">
        <v>1.0</v>
      </c>
      <c r="E11160" s="1">
        <v>6107.0</v>
      </c>
      <c r="F11160" s="10">
        <f t="shared" si="1"/>
        <v>1</v>
      </c>
      <c r="G11160" s="10">
        <f t="array" ref="G11160">index('Player ID'!C:C,match(E11160,'Player ID'!B:B,0))</f>
        <v>623211</v>
      </c>
    </row>
    <row r="11161">
      <c r="A11161" s="76">
        <v>45842.0</v>
      </c>
      <c r="B11161" s="1" t="s">
        <v>383</v>
      </c>
      <c r="C11161" s="1" t="s">
        <v>58</v>
      </c>
      <c r="D11161" s="1">
        <v>5.0</v>
      </c>
      <c r="E11161" s="1">
        <v>13431.0</v>
      </c>
      <c r="F11161" s="10">
        <f t="shared" si="1"/>
        <v>5</v>
      </c>
      <c r="G11161" s="10">
        <f t="array" ref="G11161">index('Player ID'!C:C,match(E11161,'Player ID'!B:B,0))</f>
        <v>573186</v>
      </c>
    </row>
    <row r="11162">
      <c r="A11162" s="76">
        <v>45842.0</v>
      </c>
      <c r="B11162" s="1" t="s">
        <v>69</v>
      </c>
      <c r="C11162" s="1" t="s">
        <v>58</v>
      </c>
      <c r="D11162" s="1">
        <v>1.0</v>
      </c>
      <c r="E11162" s="1">
        <v>16814.0</v>
      </c>
      <c r="F11162" s="10">
        <f t="shared" si="1"/>
        <v>1</v>
      </c>
      <c r="G11162" s="10">
        <f t="array" ref="G11162">index('Player ID'!C:C,match(E11162,'Player ID'!B:B,0))</f>
        <v>657612</v>
      </c>
    </row>
    <row r="11163">
      <c r="A11163" s="76">
        <v>45842.0</v>
      </c>
      <c r="B11163" s="1" t="s">
        <v>295</v>
      </c>
      <c r="C11163" s="1" t="s">
        <v>51</v>
      </c>
      <c r="D11163" s="1">
        <v>2.0</v>
      </c>
      <c r="E11163" s="1">
        <v>16866.0</v>
      </c>
      <c r="F11163" s="10">
        <f t="shared" si="1"/>
        <v>2</v>
      </c>
      <c r="G11163" s="10">
        <f t="array" ref="G11163">index('Player ID'!C:C,match(E11163,'Player ID'!B:B,0))</f>
        <v>657585</v>
      </c>
    </row>
    <row r="11164">
      <c r="A11164" s="76">
        <v>45842.0</v>
      </c>
      <c r="B11164" s="1" t="s">
        <v>225</v>
      </c>
      <c r="C11164" s="1" t="s">
        <v>58</v>
      </c>
      <c r="D11164" s="1">
        <v>0.1</v>
      </c>
      <c r="E11164" s="1">
        <v>16918.0</v>
      </c>
      <c r="F11164" s="10">
        <f t="shared" si="1"/>
        <v>0.3333333333</v>
      </c>
      <c r="G11164" s="10">
        <f t="array" ref="G11164">index('Player ID'!C:C,match(E11164,'Player ID'!B:B,0))</f>
        <v>596133</v>
      </c>
    </row>
    <row r="11165">
      <c r="A11165" s="76">
        <v>45842.0</v>
      </c>
      <c r="B11165" s="1" t="s">
        <v>883</v>
      </c>
      <c r="C11165" s="1" t="s">
        <v>58</v>
      </c>
      <c r="D11165" s="1">
        <v>1.0</v>
      </c>
      <c r="E11165" s="1">
        <v>18384.0</v>
      </c>
      <c r="F11165" s="10">
        <f t="shared" si="1"/>
        <v>1</v>
      </c>
      <c r="G11165" s="10" t="str">
        <f t="array" ref="G11165">index('Player ID'!C:C,match(E11165,'Player ID'!B:B,0))</f>
        <v>#N/A</v>
      </c>
    </row>
    <row r="11166">
      <c r="A11166" s="76">
        <v>45842.0</v>
      </c>
      <c r="B11166" s="1" t="s">
        <v>520</v>
      </c>
      <c r="C11166" s="1" t="s">
        <v>58</v>
      </c>
      <c r="D11166" s="1">
        <v>0.2</v>
      </c>
      <c r="E11166" s="1">
        <v>19261.0</v>
      </c>
      <c r="F11166" s="10">
        <f t="shared" si="1"/>
        <v>0.6666666667</v>
      </c>
      <c r="G11166" s="10">
        <f t="array" ref="G11166">index('Player ID'!C:C,match(E11166,'Player ID'!B:B,0))</f>
        <v>641656</v>
      </c>
    </row>
    <row r="11167">
      <c r="A11167" s="76">
        <v>45842.0</v>
      </c>
      <c r="B11167" s="1" t="s">
        <v>554</v>
      </c>
      <c r="C11167" s="1" t="s">
        <v>51</v>
      </c>
      <c r="D11167" s="1">
        <v>4.1</v>
      </c>
      <c r="E11167" s="1">
        <v>21546.0</v>
      </c>
      <c r="F11167" s="10">
        <f t="shared" si="1"/>
        <v>4.333333333</v>
      </c>
      <c r="G11167" s="10">
        <f t="array" ref="G11167">index('Player ID'!C:C,match(E11167,'Player ID'!B:B,0))</f>
        <v>663795</v>
      </c>
    </row>
    <row r="11168">
      <c r="A11168" s="76">
        <v>45842.0</v>
      </c>
      <c r="B11168" s="1" t="s">
        <v>773</v>
      </c>
      <c r="C11168" s="1" t="s">
        <v>51</v>
      </c>
      <c r="D11168" s="1">
        <v>1.2</v>
      </c>
      <c r="E11168" s="1">
        <v>24937.0</v>
      </c>
      <c r="F11168" s="10">
        <f t="shared" si="1"/>
        <v>1.666666667</v>
      </c>
      <c r="G11168" s="10">
        <f t="array" ref="G11168">index('Player ID'!C:C,match(E11168,'Player ID'!B:B,0))</f>
        <v>681810</v>
      </c>
    </row>
    <row r="11169">
      <c r="A11169" s="76">
        <v>45842.0</v>
      </c>
      <c r="B11169" s="1" t="s">
        <v>435</v>
      </c>
      <c r="C11169" s="1" t="s">
        <v>16</v>
      </c>
      <c r="D11169" s="1">
        <v>1.0</v>
      </c>
      <c r="E11169" s="1">
        <v>13293.0</v>
      </c>
      <c r="F11169" s="10">
        <f t="shared" si="1"/>
        <v>1</v>
      </c>
      <c r="G11169" s="10">
        <f t="array" ref="G11169">index('Player ID'!C:C,match(E11169,'Player ID'!B:B,0))</f>
        <v>543056</v>
      </c>
    </row>
    <row r="11170">
      <c r="A11170" s="76">
        <v>45842.0</v>
      </c>
      <c r="B11170" s="1" t="s">
        <v>177</v>
      </c>
      <c r="C11170" s="1" t="s">
        <v>54</v>
      </c>
      <c r="D11170" s="1">
        <v>6.0</v>
      </c>
      <c r="E11170" s="1">
        <v>15823.0</v>
      </c>
      <c r="F11170" s="10">
        <f t="shared" si="1"/>
        <v>6</v>
      </c>
      <c r="G11170" s="10">
        <f t="array" ref="G11170">index('Player ID'!C:C,match(E11170,'Player ID'!B:B,0))</f>
        <v>641793</v>
      </c>
    </row>
    <row r="11171">
      <c r="A11171" s="76">
        <v>45842.0</v>
      </c>
      <c r="B11171" s="1" t="s">
        <v>249</v>
      </c>
      <c r="C11171" s="1" t="s">
        <v>16</v>
      </c>
      <c r="D11171" s="1">
        <v>0.2</v>
      </c>
      <c r="E11171" s="1">
        <v>16727.0</v>
      </c>
      <c r="F11171" s="10">
        <f t="shared" si="1"/>
        <v>0.6666666667</v>
      </c>
      <c r="G11171" s="10">
        <f t="array" ref="G11171">index('Player ID'!C:C,match(E11171,'Player ID'!B:B,0))</f>
        <v>592779</v>
      </c>
    </row>
    <row r="11172">
      <c r="A11172" s="76">
        <v>45842.0</v>
      </c>
      <c r="B11172" s="1" t="s">
        <v>185</v>
      </c>
      <c r="C11172" s="1" t="s">
        <v>54</v>
      </c>
      <c r="D11172" s="1">
        <v>0.2</v>
      </c>
      <c r="E11172" s="1">
        <v>17897.0</v>
      </c>
      <c r="F11172" s="10">
        <f t="shared" si="1"/>
        <v>0.6666666667</v>
      </c>
      <c r="G11172" s="10">
        <f t="array" ref="G11172">index('Player ID'!C:C,match(E11172,'Player ID'!B:B,0))</f>
        <v>664076</v>
      </c>
    </row>
    <row r="11173">
      <c r="A11173" s="76">
        <v>45842.0</v>
      </c>
      <c r="B11173" s="1" t="s">
        <v>133</v>
      </c>
      <c r="C11173" s="1" t="s">
        <v>16</v>
      </c>
      <c r="D11173" s="1">
        <v>5.0</v>
      </c>
      <c r="E11173" s="1">
        <v>20099.0</v>
      </c>
      <c r="F11173" s="10">
        <f t="shared" si="1"/>
        <v>5</v>
      </c>
      <c r="G11173" s="10">
        <f t="array" ref="G11173">index('Player ID'!C:C,match(E11173,'Player ID'!B:B,0))</f>
        <v>663978</v>
      </c>
    </row>
    <row r="11174">
      <c r="A11174" s="76">
        <v>45842.0</v>
      </c>
      <c r="B11174" s="1" t="s">
        <v>400</v>
      </c>
      <c r="C11174" s="1" t="s">
        <v>54</v>
      </c>
      <c r="D11174" s="1">
        <v>0.2</v>
      </c>
      <c r="E11174" s="1">
        <v>20539.0</v>
      </c>
      <c r="F11174" s="10">
        <f t="shared" si="1"/>
        <v>0.6666666667</v>
      </c>
      <c r="G11174" s="10">
        <f t="array" ref="G11174">index('Player ID'!C:C,match(E11174,'Player ID'!B:B,0))</f>
        <v>670955</v>
      </c>
    </row>
    <row r="11175">
      <c r="A11175" s="76">
        <v>45842.0</v>
      </c>
      <c r="B11175" s="1" t="s">
        <v>237</v>
      </c>
      <c r="C11175" s="1" t="s">
        <v>16</v>
      </c>
      <c r="D11175" s="1">
        <v>0.1</v>
      </c>
      <c r="E11175" s="1">
        <v>21461.0</v>
      </c>
      <c r="F11175" s="10">
        <f t="shared" si="1"/>
        <v>0.3333333333</v>
      </c>
      <c r="G11175" s="10">
        <f t="array" ref="G11175">index('Player ID'!C:C,match(E11175,'Player ID'!B:B,0))</f>
        <v>663485</v>
      </c>
    </row>
    <row r="11176">
      <c r="A11176" s="76">
        <v>45842.0</v>
      </c>
      <c r="B11176" s="1" t="s">
        <v>110</v>
      </c>
      <c r="C11176" s="1" t="s">
        <v>54</v>
      </c>
      <c r="D11176" s="1">
        <v>0.2</v>
      </c>
      <c r="E11176" s="1">
        <v>25679.0</v>
      </c>
      <c r="F11176" s="10">
        <f t="shared" si="1"/>
        <v>0.6666666667</v>
      </c>
      <c r="G11176" s="10">
        <f t="array" ref="G11176">index('Player ID'!C:C,match(E11176,'Player ID'!B:B,0))</f>
        <v>687330</v>
      </c>
    </row>
    <row r="11177">
      <c r="A11177" s="76">
        <v>45842.0</v>
      </c>
      <c r="B11177" s="1" t="s">
        <v>47</v>
      </c>
      <c r="C11177" s="1" t="s">
        <v>16</v>
      </c>
      <c r="D11177" s="1">
        <v>2.0</v>
      </c>
      <c r="E11177" s="1">
        <v>27691.0</v>
      </c>
      <c r="F11177" s="10">
        <f t="shared" si="1"/>
        <v>2</v>
      </c>
      <c r="G11177" s="10">
        <f t="array" ref="G11177">index('Player ID'!C:C,match(E11177,'Player ID'!B:B,0))</f>
        <v>686973</v>
      </c>
    </row>
    <row r="11178">
      <c r="A11178" s="76">
        <v>45842.0</v>
      </c>
      <c r="B11178" s="1" t="s">
        <v>108</v>
      </c>
      <c r="C11178" s="1" t="s">
        <v>37</v>
      </c>
      <c r="D11178" s="1">
        <v>2.0</v>
      </c>
      <c r="E11178" s="1">
        <v>17948.0</v>
      </c>
      <c r="F11178" s="10">
        <f t="shared" si="1"/>
        <v>2</v>
      </c>
      <c r="G11178" s="10">
        <f t="array" ref="G11178">index('Player ID'!C:C,match(E11178,'Player ID'!B:B,0))</f>
        <v>663423</v>
      </c>
    </row>
    <row r="11179">
      <c r="A11179" s="76">
        <v>45842.0</v>
      </c>
      <c r="B11179" s="1" t="s">
        <v>220</v>
      </c>
      <c r="C11179" s="1" t="s">
        <v>60</v>
      </c>
      <c r="D11179" s="1">
        <v>5.2</v>
      </c>
      <c r="E11179" s="1">
        <v>20070.0</v>
      </c>
      <c r="F11179" s="10">
        <f t="shared" si="1"/>
        <v>5.666666667</v>
      </c>
      <c r="G11179" s="10">
        <f t="array" ref="G11179">index('Player ID'!C:C,match(E11179,'Player ID'!B:B,0))</f>
        <v>663559</v>
      </c>
    </row>
    <row r="11180">
      <c r="A11180" s="76">
        <v>45842.0</v>
      </c>
      <c r="B11180" s="1" t="s">
        <v>157</v>
      </c>
      <c r="C11180" s="1" t="s">
        <v>37</v>
      </c>
      <c r="D11180" s="1">
        <v>1.0</v>
      </c>
      <c r="E11180" s="1">
        <v>20997.0</v>
      </c>
      <c r="F11180" s="10">
        <f t="shared" si="1"/>
        <v>1</v>
      </c>
      <c r="G11180" s="10">
        <f t="array" ref="G11180">index('Player ID'!C:C,match(E11180,'Player ID'!B:B,0))</f>
        <v>660825</v>
      </c>
    </row>
    <row r="11181">
      <c r="A11181" s="76">
        <v>45842.0</v>
      </c>
      <c r="B11181" s="1" t="s">
        <v>277</v>
      </c>
      <c r="C11181" s="1" t="s">
        <v>60</v>
      </c>
      <c r="D11181" s="1">
        <v>2.1</v>
      </c>
      <c r="E11181" s="1">
        <v>23793.0</v>
      </c>
      <c r="F11181" s="10">
        <f t="shared" si="1"/>
        <v>2.333333333</v>
      </c>
      <c r="G11181" s="10" t="str">
        <f t="array" ref="G11181">index('Player ID'!C:C,match(E11181,'Player ID'!B:B,0))</f>
        <v>#N/A</v>
      </c>
    </row>
    <row r="11182">
      <c r="A11182" s="76">
        <v>45842.0</v>
      </c>
      <c r="B11182" s="1" t="s">
        <v>90</v>
      </c>
      <c r="C11182" s="1" t="s">
        <v>37</v>
      </c>
      <c r="D11182" s="1">
        <v>6.0</v>
      </c>
      <c r="E11182" s="1">
        <v>30279.0</v>
      </c>
      <c r="F11182" s="10">
        <f t="shared" si="1"/>
        <v>6</v>
      </c>
      <c r="G11182" s="10">
        <f t="array" ref="G11182">index('Player ID'!C:C,match(E11182,'Player ID'!B:B,0))</f>
        <v>693433</v>
      </c>
    </row>
    <row r="11183">
      <c r="A11183" s="76">
        <v>45842.0</v>
      </c>
      <c r="B11183" s="1" t="s">
        <v>74</v>
      </c>
      <c r="C11183" s="1" t="s">
        <v>56</v>
      </c>
      <c r="D11183" s="1">
        <v>1.0</v>
      </c>
      <c r="E11183" s="1">
        <v>11847.0</v>
      </c>
      <c r="F11183" s="10">
        <f t="shared" si="1"/>
        <v>1</v>
      </c>
      <c r="G11183" s="10">
        <f t="array" ref="G11183">index('Player ID'!C:C,match(E11183,'Player ID'!B:B,0))</f>
        <v>455119</v>
      </c>
    </row>
    <row r="11184">
      <c r="A11184" s="76">
        <v>45842.0</v>
      </c>
      <c r="B11184" s="1" t="s">
        <v>342</v>
      </c>
      <c r="C11184" s="1" t="s">
        <v>26</v>
      </c>
      <c r="D11184" s="1">
        <v>1.0</v>
      </c>
      <c r="E11184" s="1">
        <v>11861.0</v>
      </c>
      <c r="F11184" s="10">
        <f t="shared" si="1"/>
        <v>1</v>
      </c>
      <c r="G11184" s="10">
        <f t="array" ref="G11184">index('Player ID'!C:C,match(E11184,'Player ID'!B:B,0))</f>
        <v>592094</v>
      </c>
    </row>
    <row r="11185">
      <c r="A11185" s="76">
        <v>45842.0</v>
      </c>
      <c r="B11185" s="1" t="s">
        <v>440</v>
      </c>
      <c r="C11185" s="1" t="s">
        <v>56</v>
      </c>
      <c r="D11185" s="1">
        <v>1.0</v>
      </c>
      <c r="E11185" s="1">
        <v>12857.0</v>
      </c>
      <c r="F11185" s="10">
        <f t="shared" si="1"/>
        <v>1</v>
      </c>
      <c r="G11185" s="10">
        <f t="array" ref="G11185">index('Player ID'!C:C,match(E11185,'Player ID'!B:B,0))</f>
        <v>542888</v>
      </c>
    </row>
    <row r="11186">
      <c r="A11186" s="76">
        <v>45842.0</v>
      </c>
      <c r="B11186" s="1" t="s">
        <v>151</v>
      </c>
      <c r="C11186" s="1" t="s">
        <v>56</v>
      </c>
      <c r="D11186" s="1">
        <v>0.2</v>
      </c>
      <c r="E11186" s="1">
        <v>13346.0</v>
      </c>
      <c r="F11186" s="10">
        <f t="shared" si="1"/>
        <v>0.6666666667</v>
      </c>
      <c r="G11186" s="10">
        <f t="array" ref="G11186">index('Player ID'!C:C,match(E11186,'Player ID'!B:B,0))</f>
        <v>571948</v>
      </c>
    </row>
    <row r="11187">
      <c r="A11187" s="76">
        <v>45842.0</v>
      </c>
      <c r="B11187" s="1" t="s">
        <v>87</v>
      </c>
      <c r="C11187" s="1" t="s">
        <v>56</v>
      </c>
      <c r="D11187" s="1">
        <v>1.0</v>
      </c>
      <c r="E11187" s="1">
        <v>19274.0</v>
      </c>
      <c r="F11187" s="10">
        <f t="shared" si="1"/>
        <v>1</v>
      </c>
      <c r="G11187" s="10">
        <f t="array" ref="G11187">index('Player ID'!C:C,match(E11187,'Player ID'!B:B,0))</f>
        <v>657097</v>
      </c>
    </row>
    <row r="11188">
      <c r="A11188" s="76">
        <v>45842.0</v>
      </c>
      <c r="B11188" s="1" t="s">
        <v>49</v>
      </c>
      <c r="C11188" s="1" t="s">
        <v>26</v>
      </c>
      <c r="D11188" s="1">
        <v>1.0</v>
      </c>
      <c r="E11188" s="1">
        <v>20039.0</v>
      </c>
      <c r="F11188" s="10">
        <f t="shared" si="1"/>
        <v>1</v>
      </c>
      <c r="G11188" s="10">
        <f t="array" ref="G11188">index('Player ID'!C:C,match(E11188,'Player ID'!B:B,0))</f>
        <v>670970</v>
      </c>
    </row>
    <row r="11189">
      <c r="A11189" s="76">
        <v>45842.0</v>
      </c>
      <c r="B11189" s="1" t="s">
        <v>94</v>
      </c>
      <c r="C11189" s="1" t="s">
        <v>26</v>
      </c>
      <c r="D11189" s="1">
        <v>1.0</v>
      </c>
      <c r="E11189" s="1">
        <v>22210.0</v>
      </c>
      <c r="F11189" s="10">
        <f t="shared" si="1"/>
        <v>1</v>
      </c>
      <c r="G11189" s="10">
        <f t="array" ref="G11189">index('Player ID'!C:C,match(E11189,'Player ID'!B:B,0))</f>
        <v>669093</v>
      </c>
    </row>
    <row r="11190">
      <c r="A11190" s="76">
        <v>45842.0</v>
      </c>
      <c r="B11190" s="1" t="s">
        <v>268</v>
      </c>
      <c r="C11190" s="1" t="s">
        <v>56</v>
      </c>
      <c r="D11190" s="1">
        <v>0.2</v>
      </c>
      <c r="E11190" s="1">
        <v>23363.0</v>
      </c>
      <c r="F11190" s="10">
        <f t="shared" si="1"/>
        <v>0.6666666667</v>
      </c>
      <c r="G11190" s="10">
        <f t="array" ref="G11190">index('Player ID'!C:C,match(E11190,'Player ID'!B:B,0))</f>
        <v>676395</v>
      </c>
    </row>
    <row r="11191">
      <c r="A11191" s="76">
        <v>45842.0</v>
      </c>
      <c r="B11191" s="1" t="s">
        <v>713</v>
      </c>
      <c r="C11191" s="1" t="s">
        <v>26</v>
      </c>
      <c r="D11191" s="1">
        <v>6.0</v>
      </c>
      <c r="E11191" s="1">
        <v>24719.0</v>
      </c>
      <c r="F11191" s="10">
        <f t="shared" si="1"/>
        <v>6</v>
      </c>
      <c r="G11191" s="10">
        <f t="array" ref="G11191">index('Player ID'!C:C,match(E11191,'Player ID'!B:B,0))</f>
        <v>681190</v>
      </c>
    </row>
    <row r="11192">
      <c r="A11192" s="76">
        <v>45842.0</v>
      </c>
      <c r="B11192" s="1" t="s">
        <v>81</v>
      </c>
      <c r="C11192" s="1" t="s">
        <v>26</v>
      </c>
      <c r="D11192" s="1">
        <v>1.0</v>
      </c>
      <c r="E11192" s="1">
        <v>30115.0</v>
      </c>
      <c r="F11192" s="10">
        <f t="shared" si="1"/>
        <v>1</v>
      </c>
      <c r="G11192" s="10">
        <f t="array" ref="G11192">index('Player ID'!C:C,match(E11192,'Player ID'!B:B,0))</f>
        <v>663158</v>
      </c>
    </row>
    <row r="11193">
      <c r="A11193" s="76">
        <v>45842.0</v>
      </c>
      <c r="B11193" s="1" t="s">
        <v>477</v>
      </c>
      <c r="C11193" s="1" t="s">
        <v>56</v>
      </c>
      <c r="D11193" s="1">
        <v>5.1</v>
      </c>
      <c r="E11193" s="1">
        <v>31843.0</v>
      </c>
      <c r="F11193" s="10">
        <f t="shared" si="1"/>
        <v>5.333333333</v>
      </c>
      <c r="G11193" s="10">
        <f t="array" ref="G11193">index('Player ID'!C:C,match(E11193,'Player ID'!B:B,0))</f>
        <v>677958</v>
      </c>
    </row>
    <row r="11194">
      <c r="A11194" s="76">
        <v>45842.0</v>
      </c>
      <c r="B11194" s="1" t="s">
        <v>154</v>
      </c>
      <c r="C11194" s="1" t="s">
        <v>25</v>
      </c>
      <c r="D11194" s="1">
        <v>1.0</v>
      </c>
      <c r="E11194" s="1">
        <v>3096.0</v>
      </c>
      <c r="F11194" s="10">
        <f t="shared" si="1"/>
        <v>1</v>
      </c>
      <c r="G11194" s="10">
        <f t="array" ref="G11194">index('Player ID'!C:C,match(E11194,'Player ID'!B:B,0))</f>
        <v>445276</v>
      </c>
    </row>
    <row r="11195">
      <c r="A11195" s="76">
        <v>45842.0</v>
      </c>
      <c r="B11195" s="1" t="s">
        <v>399</v>
      </c>
      <c r="C11195" s="1" t="s">
        <v>25</v>
      </c>
      <c r="D11195" s="1">
        <v>5.1</v>
      </c>
      <c r="E11195" s="1">
        <v>12049.0</v>
      </c>
      <c r="F11195" s="10">
        <f t="shared" si="1"/>
        <v>5.333333333</v>
      </c>
      <c r="G11195" s="10">
        <f t="array" ref="G11195">index('Player ID'!C:C,match(E11195,'Player ID'!B:B,0))</f>
        <v>543294</v>
      </c>
    </row>
    <row r="11196">
      <c r="A11196" s="76">
        <v>45842.0</v>
      </c>
      <c r="B11196" s="1" t="s">
        <v>174</v>
      </c>
      <c r="C11196" s="1" t="s">
        <v>40</v>
      </c>
      <c r="D11196" s="1">
        <v>1.0</v>
      </c>
      <c r="E11196" s="1">
        <v>15552.0</v>
      </c>
      <c r="F11196" s="10">
        <f t="shared" si="1"/>
        <v>1</v>
      </c>
      <c r="G11196" s="10">
        <f t="array" ref="G11196">index('Player ID'!C:C,match(E11196,'Player ID'!B:B,0))</f>
        <v>643338</v>
      </c>
    </row>
    <row r="11197">
      <c r="A11197" s="76">
        <v>45842.0</v>
      </c>
      <c r="B11197" s="1" t="s">
        <v>291</v>
      </c>
      <c r="C11197" s="1" t="s">
        <v>25</v>
      </c>
      <c r="D11197" s="1">
        <v>1.0</v>
      </c>
      <c r="E11197" s="1">
        <v>17968.0</v>
      </c>
      <c r="F11197" s="10">
        <f t="shared" si="1"/>
        <v>1</v>
      </c>
      <c r="G11197" s="10">
        <f t="array" ref="G11197">index('Player ID'!C:C,match(E11197,'Player ID'!B:B,0))</f>
        <v>656271</v>
      </c>
    </row>
    <row r="11198">
      <c r="A11198" s="76">
        <v>45842.0</v>
      </c>
      <c r="B11198" s="1" t="s">
        <v>332</v>
      </c>
      <c r="C11198" s="1" t="s">
        <v>40</v>
      </c>
      <c r="D11198" s="1">
        <v>6.0</v>
      </c>
      <c r="E11198" s="1">
        <v>19316.0</v>
      </c>
      <c r="F11198" s="10">
        <f t="shared" si="1"/>
        <v>6</v>
      </c>
      <c r="G11198" s="10">
        <f t="array" ref="G11198">index('Player ID'!C:C,match(E11198,'Player ID'!B:B,0))</f>
        <v>641778</v>
      </c>
    </row>
    <row r="11199">
      <c r="A11199" s="76">
        <v>45842.0</v>
      </c>
      <c r="B11199" s="1" t="s">
        <v>641</v>
      </c>
      <c r="C11199" s="1" t="s">
        <v>40</v>
      </c>
      <c r="D11199" s="1">
        <v>1.0</v>
      </c>
      <c r="E11199" s="1">
        <v>20517.0</v>
      </c>
      <c r="F11199" s="10">
        <f t="shared" si="1"/>
        <v>1</v>
      </c>
      <c r="G11199" s="10">
        <f t="array" ref="G11199">index('Player ID'!C:C,match(E11199,'Player ID'!B:B,0))</f>
        <v>680704</v>
      </c>
    </row>
    <row r="11200">
      <c r="A11200" s="76">
        <v>45842.0</v>
      </c>
      <c r="B11200" s="1" t="s">
        <v>395</v>
      </c>
      <c r="C11200" s="1" t="s">
        <v>40</v>
      </c>
      <c r="D11200" s="1">
        <v>0.2</v>
      </c>
      <c r="E11200" s="1">
        <v>21574.0</v>
      </c>
      <c r="F11200" s="10">
        <f t="shared" si="1"/>
        <v>0.6666666667</v>
      </c>
      <c r="G11200" s="10">
        <f t="array" ref="G11200">index('Player ID'!C:C,match(E11200,'Player ID'!B:B,0))</f>
        <v>663893</v>
      </c>
    </row>
    <row r="11201">
      <c r="A11201" s="76">
        <v>45842.0</v>
      </c>
      <c r="B11201" s="1" t="s">
        <v>24</v>
      </c>
      <c r="C11201" s="1" t="s">
        <v>25</v>
      </c>
      <c r="D11201" s="1">
        <v>1.0</v>
      </c>
      <c r="E11201" s="1">
        <v>27468.0</v>
      </c>
      <c r="F11201" s="10">
        <f t="shared" si="1"/>
        <v>1</v>
      </c>
      <c r="G11201" s="10">
        <f t="array" ref="G11201">index('Player ID'!C:C,match(E11201,'Player ID'!B:B,0))</f>
        <v>672282</v>
      </c>
    </row>
    <row r="11202">
      <c r="A11202" s="76">
        <v>45842.0</v>
      </c>
      <c r="B11202" s="1" t="s">
        <v>877</v>
      </c>
      <c r="C11202" s="1" t="s">
        <v>25</v>
      </c>
      <c r="D11202" s="1">
        <v>0.0</v>
      </c>
      <c r="E11202" s="1">
        <v>29754.0</v>
      </c>
      <c r="F11202" s="10">
        <f t="shared" si="1"/>
        <v>0</v>
      </c>
      <c r="G11202" s="10" t="str">
        <f t="array" ref="G11202">index('Player ID'!C:C,match(E11202,'Player ID'!B:B,0))</f>
        <v>#N/A</v>
      </c>
    </row>
    <row r="11203">
      <c r="A11203" s="76">
        <v>45842.0</v>
      </c>
      <c r="B11203" s="1" t="s">
        <v>427</v>
      </c>
      <c r="C11203" s="1" t="s">
        <v>40</v>
      </c>
      <c r="D11203" s="1">
        <v>1.1</v>
      </c>
      <c r="E11203" s="1">
        <v>33838.0</v>
      </c>
      <c r="F11203" s="10">
        <f t="shared" si="1"/>
        <v>1.333333333</v>
      </c>
      <c r="G11203" s="10">
        <f t="array" ref="G11203">index('Player ID'!C:C,match(E11203,'Player ID'!B:B,0))</f>
        <v>684320</v>
      </c>
    </row>
    <row r="11204">
      <c r="A11204" s="76">
        <v>45842.0</v>
      </c>
      <c r="B11204" s="1" t="s">
        <v>381</v>
      </c>
      <c r="C11204" s="1" t="s">
        <v>25</v>
      </c>
      <c r="D11204" s="1">
        <v>0.2</v>
      </c>
      <c r="E11204" s="1">
        <v>33908.0</v>
      </c>
      <c r="F11204" s="10">
        <f t="shared" si="1"/>
        <v>0.6666666667</v>
      </c>
      <c r="G11204" s="10">
        <f t="array" ref="G11204">index('Player ID'!C:C,match(E11204,'Player ID'!B:B,0))</f>
        <v>820862</v>
      </c>
    </row>
    <row r="11205">
      <c r="A11205" s="76">
        <v>45842.0</v>
      </c>
      <c r="B11205" s="1" t="s">
        <v>13</v>
      </c>
      <c r="C11205" s="1" t="s">
        <v>14</v>
      </c>
      <c r="D11205" s="1">
        <v>1.0</v>
      </c>
      <c r="E11205" s="1">
        <v>17722.0</v>
      </c>
      <c r="F11205" s="10">
        <f t="shared" si="1"/>
        <v>1</v>
      </c>
      <c r="G11205" s="10">
        <f t="array" ref="G11205">index('Player ID'!C:C,match(E11205,'Player ID'!B:B,0))</f>
        <v>656730</v>
      </c>
    </row>
    <row r="11206">
      <c r="A11206" s="76">
        <v>45842.0</v>
      </c>
      <c r="B11206" s="1" t="s">
        <v>229</v>
      </c>
      <c r="C11206" s="1" t="s">
        <v>36</v>
      </c>
      <c r="D11206" s="1">
        <v>6.0</v>
      </c>
      <c r="E11206" s="1">
        <v>18684.0</v>
      </c>
      <c r="F11206" s="10">
        <f t="shared" si="1"/>
        <v>6</v>
      </c>
      <c r="G11206" s="10">
        <f t="array" ref="G11206">index('Player ID'!C:C,match(E11206,'Player ID'!B:B,0))</f>
        <v>645261</v>
      </c>
    </row>
    <row r="11207">
      <c r="A11207" s="76">
        <v>45842.0</v>
      </c>
      <c r="B11207" s="1" t="s">
        <v>89</v>
      </c>
      <c r="C11207" s="1" t="s">
        <v>36</v>
      </c>
      <c r="D11207" s="1">
        <v>1.0</v>
      </c>
      <c r="E11207" s="1">
        <v>19742.0</v>
      </c>
      <c r="F11207" s="10">
        <f t="shared" si="1"/>
        <v>1</v>
      </c>
      <c r="G11207" s="10">
        <f t="array" ref="G11207">index('Player ID'!C:C,match(E11207,'Player ID'!B:B,0))</f>
        <v>669622</v>
      </c>
    </row>
    <row r="11208">
      <c r="A11208" s="76">
        <v>45842.0</v>
      </c>
      <c r="B11208" s="1" t="s">
        <v>61</v>
      </c>
      <c r="C11208" s="1" t="s">
        <v>36</v>
      </c>
      <c r="D11208" s="1">
        <v>1.1</v>
      </c>
      <c r="E11208" s="1">
        <v>20629.0</v>
      </c>
      <c r="F11208" s="10">
        <f t="shared" si="1"/>
        <v>1.333333333</v>
      </c>
      <c r="G11208" s="10">
        <f t="array" ref="G11208">index('Player ID'!C:C,match(E11208,'Player ID'!B:B,0))</f>
        <v>663969</v>
      </c>
    </row>
    <row r="11209">
      <c r="A11209" s="76">
        <v>45842.0</v>
      </c>
      <c r="B11209" s="1" t="s">
        <v>200</v>
      </c>
      <c r="C11209" s="1" t="s">
        <v>14</v>
      </c>
      <c r="D11209" s="1">
        <v>2.1</v>
      </c>
      <c r="E11209" s="1">
        <v>23550.0</v>
      </c>
      <c r="F11209" s="10">
        <f t="shared" si="1"/>
        <v>2.333333333</v>
      </c>
      <c r="G11209" s="10" t="str">
        <f t="array" ref="G11209">index('Player ID'!C:C,match(E11209,'Player ID'!B:B,0))</f>
        <v>#N/A</v>
      </c>
    </row>
    <row r="11210">
      <c r="A11210" s="76">
        <v>45842.0</v>
      </c>
      <c r="B11210" s="1" t="s">
        <v>279</v>
      </c>
      <c r="C11210" s="1" t="s">
        <v>14</v>
      </c>
      <c r="D11210" s="1">
        <v>1.0</v>
      </c>
      <c r="E11210" s="1">
        <v>25327.0</v>
      </c>
      <c r="F11210" s="10">
        <f t="shared" si="1"/>
        <v>1</v>
      </c>
      <c r="G11210" s="10">
        <f t="array" ref="G11210">index('Player ID'!C:C,match(E11210,'Player ID'!B:B,0))</f>
        <v>682842</v>
      </c>
    </row>
    <row r="11211">
      <c r="A11211" s="76">
        <v>45842.0</v>
      </c>
      <c r="B11211" s="1" t="s">
        <v>450</v>
      </c>
      <c r="C11211" s="1" t="s">
        <v>14</v>
      </c>
      <c r="D11211" s="1">
        <v>4.2</v>
      </c>
      <c r="E11211" s="1">
        <v>25977.0</v>
      </c>
      <c r="F11211" s="10">
        <f t="shared" si="1"/>
        <v>4.666666667</v>
      </c>
      <c r="G11211" s="10">
        <f t="array" ref="G11211">index('Player ID'!C:C,match(E11211,'Player ID'!B:B,0))</f>
        <v>682990</v>
      </c>
    </row>
    <row r="11212">
      <c r="A11212" s="76">
        <v>45842.0</v>
      </c>
      <c r="B11212" s="1" t="s">
        <v>266</v>
      </c>
      <c r="C11212" s="1" t="s">
        <v>36</v>
      </c>
      <c r="D11212" s="1">
        <v>0.2</v>
      </c>
      <c r="E11212" s="1">
        <v>31815.0</v>
      </c>
      <c r="F11212" s="10">
        <f t="shared" si="1"/>
        <v>0.6666666667</v>
      </c>
      <c r="G11212" s="10">
        <f t="array" ref="G11212">index('Player ID'!C:C,match(E11212,'Player ID'!B:B,0))</f>
        <v>806188</v>
      </c>
    </row>
    <row r="11213">
      <c r="A11213" s="76">
        <v>45842.0</v>
      </c>
      <c r="B11213" s="1" t="s">
        <v>439</v>
      </c>
      <c r="C11213" s="1" t="s">
        <v>62</v>
      </c>
      <c r="D11213" s="1">
        <v>0.2</v>
      </c>
      <c r="E11213" s="1">
        <v>11384.0</v>
      </c>
      <c r="F11213" s="10">
        <f t="shared" si="1"/>
        <v>0.6666666667</v>
      </c>
      <c r="G11213" s="10">
        <f t="array" ref="G11213">index('Player ID'!C:C,match(E11213,'Player ID'!B:B,0))</f>
        <v>592454</v>
      </c>
    </row>
    <row r="11214">
      <c r="A11214" s="76">
        <v>45842.0</v>
      </c>
      <c r="B11214" s="1" t="s">
        <v>141</v>
      </c>
      <c r="C11214" s="1" t="s">
        <v>70</v>
      </c>
      <c r="D11214" s="1">
        <v>2.0</v>
      </c>
      <c r="E11214" s="1">
        <v>19330.0</v>
      </c>
      <c r="F11214" s="10">
        <f t="shared" si="1"/>
        <v>2</v>
      </c>
      <c r="G11214" s="10">
        <f t="array" ref="G11214">index('Player ID'!C:C,match(E11214,'Player ID'!B:B,0))</f>
        <v>670036</v>
      </c>
    </row>
    <row r="11215">
      <c r="A11215" s="76">
        <v>45842.0</v>
      </c>
      <c r="B11215" s="1" t="s">
        <v>131</v>
      </c>
      <c r="C11215" s="1" t="s">
        <v>62</v>
      </c>
      <c r="D11215" s="1">
        <v>1.1</v>
      </c>
      <c r="E11215" s="1">
        <v>19769.0</v>
      </c>
      <c r="F11215" s="10">
        <f t="shared" si="1"/>
        <v>1.333333333</v>
      </c>
      <c r="G11215" s="10">
        <f t="array" ref="G11215">index('Player ID'!C:C,match(E11215,'Player ID'!B:B,0))</f>
        <v>676684</v>
      </c>
    </row>
    <row r="11216">
      <c r="A11216" s="76">
        <v>45842.0</v>
      </c>
      <c r="B11216" s="1" t="s">
        <v>419</v>
      </c>
      <c r="C11216" s="1" t="s">
        <v>62</v>
      </c>
      <c r="D11216" s="1">
        <v>4.1</v>
      </c>
      <c r="E11216" s="1">
        <v>24968.0</v>
      </c>
      <c r="F11216" s="10">
        <f t="shared" si="1"/>
        <v>4.333333333</v>
      </c>
      <c r="G11216" s="10">
        <f t="array" ref="G11216">index('Player ID'!C:C,match(E11216,'Player ID'!B:B,0))</f>
        <v>681857</v>
      </c>
    </row>
    <row r="11217">
      <c r="A11217" s="76">
        <v>45842.0</v>
      </c>
      <c r="B11217" s="1" t="s">
        <v>82</v>
      </c>
      <c r="C11217" s="1" t="s">
        <v>62</v>
      </c>
      <c r="D11217" s="1">
        <v>2.2</v>
      </c>
      <c r="E11217" s="1">
        <v>26231.0</v>
      </c>
      <c r="F11217" s="10">
        <f t="shared" si="1"/>
        <v>2.666666667</v>
      </c>
      <c r="G11217" s="10">
        <f t="array" ref="G11217">index('Player ID'!C:C,match(E11217,'Player ID'!B:B,0))</f>
        <v>663947</v>
      </c>
    </row>
    <row r="11218">
      <c r="A11218" s="76">
        <v>45842.0</v>
      </c>
      <c r="B11218" s="1" t="s">
        <v>306</v>
      </c>
      <c r="C11218" s="1" t="s">
        <v>70</v>
      </c>
      <c r="D11218" s="1">
        <v>6.0</v>
      </c>
      <c r="E11218" s="1">
        <v>27500.0</v>
      </c>
      <c r="F11218" s="10">
        <f t="shared" si="1"/>
        <v>6</v>
      </c>
      <c r="G11218" s="10">
        <f t="array" ref="G11218">index('Player ID'!C:C,match(E11218,'Player ID'!B:B,0))</f>
        <v>677944</v>
      </c>
    </row>
    <row r="11219">
      <c r="A11219" s="76">
        <v>45842.0</v>
      </c>
      <c r="B11219" s="1" t="s">
        <v>623</v>
      </c>
      <c r="C11219" s="1" t="s">
        <v>70</v>
      </c>
      <c r="D11219" s="1">
        <v>1.0</v>
      </c>
      <c r="E11219" s="1">
        <v>30142.0</v>
      </c>
      <c r="F11219" s="10">
        <f t="shared" si="1"/>
        <v>1</v>
      </c>
      <c r="G11219" s="10">
        <f t="array" ref="G11219">index('Player ID'!C:C,match(E11219,'Player ID'!B:B,0))</f>
        <v>680951</v>
      </c>
    </row>
    <row r="11220">
      <c r="A11220" s="76">
        <v>45842.0</v>
      </c>
      <c r="B11220" s="1" t="s">
        <v>474</v>
      </c>
      <c r="C11220" s="1" t="s">
        <v>68</v>
      </c>
      <c r="D11220" s="1">
        <v>5.1</v>
      </c>
      <c r="E11220" s="1">
        <v>4676.0</v>
      </c>
      <c r="F11220" s="10">
        <f t="shared" si="1"/>
        <v>5.333333333</v>
      </c>
      <c r="G11220" s="10">
        <f t="array" ref="G11220">index('Player ID'!C:C,match(E11220,'Player ID'!B:B,0))</f>
        <v>450203</v>
      </c>
    </row>
    <row r="11221">
      <c r="A11221" s="76">
        <v>45842.0</v>
      </c>
      <c r="B11221" s="1" t="s">
        <v>48</v>
      </c>
      <c r="C11221" s="1" t="s">
        <v>68</v>
      </c>
      <c r="D11221" s="1">
        <v>1.2</v>
      </c>
      <c r="E11221" s="1">
        <v>12828.0</v>
      </c>
      <c r="F11221" s="10">
        <f t="shared" si="1"/>
        <v>1.666666667</v>
      </c>
      <c r="G11221" s="10" t="str">
        <f t="array" ref="G11221">index('Player ID'!C:C,match(E11221,'Player ID'!B:B,0))</f>
        <v>#N/A</v>
      </c>
    </row>
    <row r="11222">
      <c r="A11222" s="76">
        <v>45842.0</v>
      </c>
      <c r="B11222" s="1" t="s">
        <v>178</v>
      </c>
      <c r="C11222" s="1" t="s">
        <v>46</v>
      </c>
      <c r="D11222" s="1">
        <v>1.1</v>
      </c>
      <c r="E11222" s="1">
        <v>13435.0</v>
      </c>
      <c r="F11222" s="10">
        <f t="shared" si="1"/>
        <v>1.333333333</v>
      </c>
      <c r="G11222" s="10">
        <f t="array" ref="G11222">index('Player ID'!C:C,match(E11222,'Player ID'!B:B,0))</f>
        <v>572955</v>
      </c>
    </row>
    <row r="11223">
      <c r="A11223" s="76">
        <v>45842.0</v>
      </c>
      <c r="B11223" s="1" t="s">
        <v>240</v>
      </c>
      <c r="C11223" s="1" t="s">
        <v>68</v>
      </c>
      <c r="D11223" s="1">
        <v>1.0</v>
      </c>
      <c r="E11223" s="1">
        <v>19804.0</v>
      </c>
      <c r="F11223" s="10">
        <f t="shared" si="1"/>
        <v>1</v>
      </c>
      <c r="G11223" s="10">
        <f t="array" ref="G11223">index('Player ID'!C:C,match(E11223,'Player ID'!B:B,0))</f>
        <v>641329</v>
      </c>
    </row>
    <row r="11224">
      <c r="A11224" s="76">
        <v>45842.0</v>
      </c>
      <c r="B11224" s="1" t="s">
        <v>91</v>
      </c>
      <c r="C11224" s="1" t="s">
        <v>46</v>
      </c>
      <c r="D11224" s="1">
        <v>1.2</v>
      </c>
      <c r="E11224" s="1">
        <v>19996.0</v>
      </c>
      <c r="F11224" s="10">
        <f t="shared" si="1"/>
        <v>1.666666667</v>
      </c>
      <c r="G11224" s="10">
        <f t="array" ref="G11224">index('Player ID'!C:C,match(E11224,'Player ID'!B:B,0))</f>
        <v>669276</v>
      </c>
    </row>
    <row r="11225">
      <c r="A11225" s="76">
        <v>45842.0</v>
      </c>
      <c r="B11225" s="1" t="s">
        <v>698</v>
      </c>
      <c r="C11225" s="1" t="s">
        <v>68</v>
      </c>
      <c r="D11225" s="1">
        <v>1.0</v>
      </c>
      <c r="E11225" s="1">
        <v>20666.0</v>
      </c>
      <c r="F11225" s="10">
        <f t="shared" si="1"/>
        <v>1</v>
      </c>
      <c r="G11225" s="10">
        <f t="array" ref="G11225">index('Player ID'!C:C,match(E11225,'Player ID'!B:B,0))</f>
        <v>642585</v>
      </c>
    </row>
    <row r="11226">
      <c r="A11226" s="76">
        <v>45842.0</v>
      </c>
      <c r="B11226" s="1" t="s">
        <v>472</v>
      </c>
      <c r="C11226" s="1" t="s">
        <v>46</v>
      </c>
      <c r="D11226" s="1">
        <v>6.0</v>
      </c>
      <c r="E11226" s="1">
        <v>27498.0</v>
      </c>
      <c r="F11226" s="10">
        <f t="shared" si="1"/>
        <v>6</v>
      </c>
      <c r="G11226" s="10">
        <f t="array" ref="G11226">index('Player ID'!C:C,match(E11226,'Player ID'!B:B,0))</f>
        <v>675911</v>
      </c>
    </row>
    <row r="11227">
      <c r="A11227" s="76">
        <v>45842.0</v>
      </c>
      <c r="B11227" s="1" t="s">
        <v>411</v>
      </c>
      <c r="C11227" s="1" t="s">
        <v>78</v>
      </c>
      <c r="D11227" s="1">
        <v>8.0</v>
      </c>
      <c r="E11227" s="1">
        <v>12718.0</v>
      </c>
      <c r="F11227" s="10">
        <f t="shared" si="1"/>
        <v>8</v>
      </c>
      <c r="G11227" s="10">
        <f t="array" ref="G11227">index('Player ID'!C:C,match(E11227,'Player ID'!B:B,0))</f>
        <v>605288</v>
      </c>
    </row>
    <row r="11228">
      <c r="A11228" s="76">
        <v>45842.0</v>
      </c>
      <c r="B11228" s="1" t="s">
        <v>481</v>
      </c>
      <c r="C11228" s="1" t="s">
        <v>75</v>
      </c>
      <c r="D11228" s="1">
        <v>5.2</v>
      </c>
      <c r="E11228" s="1">
        <v>15488.0</v>
      </c>
      <c r="F11228" s="10">
        <f t="shared" si="1"/>
        <v>5.666666667</v>
      </c>
      <c r="G11228" s="10">
        <f t="array" ref="G11228">index('Player ID'!C:C,match(E11228,'Player ID'!B:B,0))</f>
        <v>622608</v>
      </c>
    </row>
    <row r="11229">
      <c r="A11229" s="76">
        <v>45842.0</v>
      </c>
      <c r="B11229" s="1" t="s">
        <v>288</v>
      </c>
      <c r="C11229" s="1" t="s">
        <v>75</v>
      </c>
      <c r="D11229" s="1">
        <v>1.1</v>
      </c>
      <c r="E11229" s="1">
        <v>18297.0</v>
      </c>
      <c r="F11229" s="10">
        <f t="shared" si="1"/>
        <v>1.333333333</v>
      </c>
      <c r="G11229" s="10">
        <f t="array" ref="G11229">index('Player ID'!C:C,match(E11229,'Player ID'!B:B,0))</f>
        <v>641755</v>
      </c>
    </row>
    <row r="11230">
      <c r="A11230" s="76">
        <v>45842.0</v>
      </c>
      <c r="B11230" s="1" t="s">
        <v>468</v>
      </c>
      <c r="C11230" s="1" t="s">
        <v>75</v>
      </c>
      <c r="D11230" s="1">
        <v>0.1</v>
      </c>
      <c r="E11230" s="1">
        <v>23237.0</v>
      </c>
      <c r="F11230" s="10">
        <f t="shared" si="1"/>
        <v>0.3333333333</v>
      </c>
      <c r="G11230" s="10">
        <f t="array" ref="G11230">index('Player ID'!C:C,match(E11230,'Player ID'!B:B,0))</f>
        <v>675848</v>
      </c>
    </row>
    <row r="11231">
      <c r="A11231" s="76">
        <v>45842.0</v>
      </c>
      <c r="B11231" s="1" t="s">
        <v>512</v>
      </c>
      <c r="C11231" s="1" t="s">
        <v>75</v>
      </c>
      <c r="D11231" s="1">
        <v>1.2</v>
      </c>
      <c r="E11231" s="1">
        <v>31552.0</v>
      </c>
      <c r="F11231" s="10">
        <f t="shared" si="1"/>
        <v>1.666666667</v>
      </c>
      <c r="G11231" s="10">
        <f t="array" ref="G11231">index('Player ID'!C:C,match(E11231,'Player ID'!B:B,0))</f>
        <v>688642</v>
      </c>
    </row>
    <row r="11232">
      <c r="A11232" s="76">
        <v>45842.0</v>
      </c>
      <c r="B11232" s="1" t="s">
        <v>106</v>
      </c>
      <c r="C11232" s="1" t="s">
        <v>78</v>
      </c>
      <c r="D11232" s="1">
        <v>1.0</v>
      </c>
      <c r="E11232" s="1">
        <v>33927.0</v>
      </c>
      <c r="F11232" s="10">
        <f t="shared" si="1"/>
        <v>1</v>
      </c>
      <c r="G11232" s="10" t="str">
        <f t="array" ref="G11232">index('Player ID'!C:C,match(E11232,'Player ID'!B:B,0))</f>
        <v>#N/A</v>
      </c>
    </row>
    <row r="11233">
      <c r="A11233" s="76">
        <v>45842.0</v>
      </c>
      <c r="B11233" s="1" t="s">
        <v>798</v>
      </c>
      <c r="C11233" s="1" t="s">
        <v>33</v>
      </c>
      <c r="D11233" s="1">
        <v>1.0</v>
      </c>
      <c r="E11233" s="1">
        <v>7802.0</v>
      </c>
      <c r="F11233" s="10">
        <f t="shared" si="1"/>
        <v>1</v>
      </c>
      <c r="G11233" s="10">
        <f t="array" ref="G11233">index('Player ID'!C:C,match(E11233,'Player ID'!B:B,0))</f>
        <v>500743</v>
      </c>
    </row>
    <row r="11234">
      <c r="A11234" s="76">
        <v>45842.0</v>
      </c>
      <c r="B11234" s="1" t="s">
        <v>394</v>
      </c>
      <c r="C11234" s="1" t="s">
        <v>39</v>
      </c>
      <c r="D11234" s="1">
        <v>6.0</v>
      </c>
      <c r="E11234" s="1">
        <v>14120.0</v>
      </c>
      <c r="F11234" s="10">
        <f t="shared" si="1"/>
        <v>6</v>
      </c>
      <c r="G11234" s="10">
        <f t="array" ref="G11234">index('Player ID'!C:C,match(E11234,'Player ID'!B:B,0))</f>
        <v>621121</v>
      </c>
    </row>
    <row r="11235">
      <c r="A11235" s="76">
        <v>45842.0</v>
      </c>
      <c r="B11235" s="1" t="s">
        <v>310</v>
      </c>
      <c r="C11235" s="1" t="s">
        <v>33</v>
      </c>
      <c r="D11235" s="1">
        <v>2.0</v>
      </c>
      <c r="E11235" s="1">
        <v>14706.0</v>
      </c>
      <c r="F11235" s="10">
        <f t="shared" si="1"/>
        <v>2</v>
      </c>
      <c r="G11235" s="10">
        <f t="array" ref="G11235">index('Player ID'!C:C,match(E11235,'Player ID'!B:B,0))</f>
        <v>607455</v>
      </c>
    </row>
    <row r="11236">
      <c r="A11236" s="76">
        <v>45842.0</v>
      </c>
      <c r="B11236" s="1" t="s">
        <v>264</v>
      </c>
      <c r="C11236" s="1" t="s">
        <v>39</v>
      </c>
      <c r="D11236" s="1">
        <v>3.0</v>
      </c>
      <c r="E11236" s="1">
        <v>19666.0</v>
      </c>
      <c r="F11236" s="10">
        <f t="shared" si="1"/>
        <v>3</v>
      </c>
      <c r="G11236" s="10">
        <f t="array" ref="G11236">index('Player ID'!C:C,match(E11236,'Player ID'!B:B,0))</f>
        <v>669920</v>
      </c>
    </row>
    <row r="11237">
      <c r="A11237" s="76">
        <v>45842.0</v>
      </c>
      <c r="B11237" s="1" t="s">
        <v>816</v>
      </c>
      <c r="C11237" s="1" t="s">
        <v>33</v>
      </c>
      <c r="D11237" s="1">
        <v>1.1</v>
      </c>
      <c r="E11237" s="1">
        <v>25862.0</v>
      </c>
      <c r="F11237" s="10">
        <f t="shared" si="1"/>
        <v>1.333333333</v>
      </c>
      <c r="G11237" s="10">
        <f t="array" ref="G11237">index('Player ID'!C:C,match(E11237,'Player ID'!B:B,0))</f>
        <v>663562</v>
      </c>
    </row>
    <row r="11238">
      <c r="A11238" s="76">
        <v>45842.0</v>
      </c>
      <c r="B11238" s="1" t="s">
        <v>104</v>
      </c>
      <c r="C11238" s="1" t="s">
        <v>33</v>
      </c>
      <c r="D11238" s="1">
        <v>3.0</v>
      </c>
      <c r="E11238" s="1">
        <v>30085.0</v>
      </c>
      <c r="F11238" s="10">
        <f t="shared" si="1"/>
        <v>3</v>
      </c>
      <c r="G11238" s="10">
        <f t="array" ref="G11238">index('Player ID'!C:C,match(E11238,'Player ID'!B:B,0))</f>
        <v>676508</v>
      </c>
    </row>
    <row r="11239">
      <c r="A11239" s="76">
        <v>45842.0</v>
      </c>
      <c r="B11239" s="1" t="s">
        <v>206</v>
      </c>
      <c r="C11239" s="1" t="s">
        <v>33</v>
      </c>
      <c r="D11239" s="1">
        <v>1.2</v>
      </c>
      <c r="E11239" s="1">
        <v>30249.0</v>
      </c>
      <c r="F11239" s="10">
        <f t="shared" si="1"/>
        <v>1.666666667</v>
      </c>
      <c r="G11239" s="10">
        <f t="array" ref="G11239">index('Player ID'!C:C,match(E11239,'Player ID'!B:B,0))</f>
        <v>676263</v>
      </c>
    </row>
    <row r="11240">
      <c r="A11240" s="76">
        <v>45842.0</v>
      </c>
      <c r="B11240" s="1" t="s">
        <v>368</v>
      </c>
      <c r="C11240" s="1" t="s">
        <v>64</v>
      </c>
      <c r="D11240" s="1">
        <v>4.1</v>
      </c>
      <c r="E11240" s="1">
        <v>13164.0</v>
      </c>
      <c r="F11240" s="10">
        <f t="shared" si="1"/>
        <v>4.333333333</v>
      </c>
      <c r="G11240" s="10">
        <f t="array" ref="G11240">index('Player ID'!C:C,match(E11240,'Player ID'!B:B,0))</f>
        <v>593958</v>
      </c>
    </row>
    <row r="11241">
      <c r="A11241" s="76">
        <v>45842.0</v>
      </c>
      <c r="B11241" s="1" t="s">
        <v>149</v>
      </c>
      <c r="C11241" s="1" t="s">
        <v>64</v>
      </c>
      <c r="D11241" s="1">
        <v>1.2</v>
      </c>
      <c r="E11241" s="1">
        <v>16128.0</v>
      </c>
      <c r="F11241" s="10">
        <f t="shared" si="1"/>
        <v>1.666666667</v>
      </c>
      <c r="G11241" s="10" t="str">
        <f t="array" ref="G11241">index('Player ID'!C:C,match(E11241,'Player ID'!B:B,0))</f>
        <v>#N/A</v>
      </c>
    </row>
    <row r="11242">
      <c r="A11242" s="76">
        <v>45842.0</v>
      </c>
      <c r="B11242" s="1" t="s">
        <v>219</v>
      </c>
      <c r="C11242" s="1" t="s">
        <v>64</v>
      </c>
      <c r="D11242" s="1">
        <v>1.0</v>
      </c>
      <c r="E11242" s="1">
        <v>16647.0</v>
      </c>
      <c r="F11242" s="10">
        <f t="shared" si="1"/>
        <v>1</v>
      </c>
      <c r="G11242" s="10">
        <f t="array" ref="G11242">index('Player ID'!C:C,match(E11242,'Player ID'!B:B,0))</f>
        <v>657044</v>
      </c>
    </row>
    <row r="11243">
      <c r="A11243" s="76">
        <v>45842.0</v>
      </c>
      <c r="B11243" s="1" t="s">
        <v>489</v>
      </c>
      <c r="C11243" s="1" t="s">
        <v>64</v>
      </c>
      <c r="D11243" s="1">
        <v>1.0</v>
      </c>
      <c r="E11243" s="1">
        <v>17192.0</v>
      </c>
      <c r="F11243" s="10">
        <f t="shared" si="1"/>
        <v>1</v>
      </c>
      <c r="G11243" s="10">
        <f t="array" ref="G11243">index('Player ID'!C:C,match(E11243,'Player ID'!B:B,0))</f>
        <v>656222</v>
      </c>
    </row>
    <row r="11244">
      <c r="A11244" s="76">
        <v>45842.0</v>
      </c>
      <c r="B11244" s="1" t="s">
        <v>328</v>
      </c>
      <c r="C11244" s="1" t="s">
        <v>64</v>
      </c>
      <c r="D11244" s="1">
        <v>1.0</v>
      </c>
      <c r="E11244" s="1">
        <v>18674.0</v>
      </c>
      <c r="F11244" s="10">
        <f t="shared" si="1"/>
        <v>1</v>
      </c>
      <c r="G11244" s="10" t="str">
        <f t="array" ref="G11244">index('Player ID'!C:C,match(E11244,'Player ID'!B:B,0))</f>
        <v>#N/A</v>
      </c>
    </row>
    <row r="11245">
      <c r="A11245" s="76">
        <v>45842.0</v>
      </c>
      <c r="B11245" s="1" t="s">
        <v>163</v>
      </c>
      <c r="C11245" s="1" t="s">
        <v>29</v>
      </c>
      <c r="D11245" s="1">
        <v>7.0</v>
      </c>
      <c r="E11245" s="1">
        <v>21455.0</v>
      </c>
      <c r="F11245" s="10">
        <f t="shared" si="1"/>
        <v>7</v>
      </c>
      <c r="G11245" s="10">
        <f t="array" ref="G11245">index('Player ID'!C:C,match(E11245,'Player ID'!B:B,0))</f>
        <v>663460</v>
      </c>
    </row>
    <row r="11246">
      <c r="A11246" s="76">
        <v>45842.0</v>
      </c>
      <c r="B11246" s="1" t="s">
        <v>293</v>
      </c>
      <c r="C11246" s="1" t="s">
        <v>29</v>
      </c>
      <c r="D11246" s="1">
        <v>1.0</v>
      </c>
      <c r="E11246" s="1">
        <v>21537.0</v>
      </c>
      <c r="F11246" s="10">
        <f t="shared" si="1"/>
        <v>1</v>
      </c>
      <c r="G11246" s="10">
        <f t="array" ref="G11246">index('Player ID'!C:C,match(E11246,'Player ID'!B:B,0))</f>
        <v>663738</v>
      </c>
    </row>
    <row r="11247">
      <c r="A11247" s="76">
        <v>45842.0</v>
      </c>
      <c r="B11247" s="1" t="s">
        <v>442</v>
      </c>
      <c r="C11247" s="1" t="s">
        <v>29</v>
      </c>
      <c r="D11247" s="1">
        <v>1.0</v>
      </c>
      <c r="E11247" s="1">
        <v>25379.0</v>
      </c>
      <c r="F11247" s="10">
        <f t="shared" si="1"/>
        <v>1</v>
      </c>
      <c r="G11247" s="10">
        <f t="array" ref="G11247">index('Player ID'!C:C,match(E11247,'Player ID'!B:B,0))</f>
        <v>669674</v>
      </c>
    </row>
    <row r="11248">
      <c r="A11248" s="76">
        <v>45842.0</v>
      </c>
      <c r="B11248" s="1" t="s">
        <v>358</v>
      </c>
      <c r="C11248" s="1" t="s">
        <v>31</v>
      </c>
      <c r="D11248" s="1">
        <v>3.0</v>
      </c>
      <c r="E11248" s="1">
        <v>8700.0</v>
      </c>
      <c r="F11248" s="10">
        <f t="shared" si="1"/>
        <v>3</v>
      </c>
      <c r="G11248" s="10">
        <f t="array" ref="G11248">index('Player ID'!C:C,match(E11248,'Player ID'!B:B,0))</f>
        <v>434378</v>
      </c>
    </row>
    <row r="11249">
      <c r="A11249" s="76">
        <v>45842.0</v>
      </c>
      <c r="B11249" s="1" t="s">
        <v>403</v>
      </c>
      <c r="C11249" s="1" t="s">
        <v>31</v>
      </c>
      <c r="D11249" s="1">
        <v>1.0</v>
      </c>
      <c r="E11249" s="1">
        <v>20423.0</v>
      </c>
      <c r="F11249" s="10">
        <f t="shared" si="1"/>
        <v>1</v>
      </c>
      <c r="G11249" s="10">
        <f t="array" ref="G11249">index('Player ID'!C:C,match(E11249,'Player ID'!B:B,0))</f>
        <v>676254</v>
      </c>
    </row>
    <row r="11250">
      <c r="A11250" s="76">
        <v>45842.0</v>
      </c>
      <c r="B11250" s="1" t="s">
        <v>251</v>
      </c>
      <c r="C11250" s="1" t="s">
        <v>52</v>
      </c>
      <c r="D11250" s="1">
        <v>6.0</v>
      </c>
      <c r="E11250" s="1">
        <v>23429.0</v>
      </c>
      <c r="F11250" s="10">
        <f t="shared" si="1"/>
        <v>6</v>
      </c>
      <c r="G11250" s="10">
        <f t="array" ref="G11250">index('Player ID'!C:C,match(E11250,'Player ID'!B:B,0))</f>
        <v>676664</v>
      </c>
    </row>
    <row r="11251">
      <c r="A11251" s="76">
        <v>45842.0</v>
      </c>
      <c r="B11251" s="1" t="s">
        <v>583</v>
      </c>
      <c r="C11251" s="1" t="s">
        <v>31</v>
      </c>
      <c r="D11251" s="1">
        <v>4.0</v>
      </c>
      <c r="E11251" s="1">
        <v>30171.0</v>
      </c>
      <c r="F11251" s="10">
        <f t="shared" si="1"/>
        <v>4</v>
      </c>
      <c r="G11251" s="10" t="str">
        <f t="array" ref="G11251">index('Player ID'!C:C,match(E11251,'Player ID'!B:B,0))</f>
        <v>#N/A</v>
      </c>
    </row>
    <row r="11252">
      <c r="A11252" s="76">
        <v>45842.0</v>
      </c>
      <c r="B11252" s="1" t="s">
        <v>350</v>
      </c>
      <c r="C11252" s="1" t="s">
        <v>52</v>
      </c>
      <c r="D11252" s="1">
        <v>3.0</v>
      </c>
      <c r="E11252" s="1">
        <v>31468.0</v>
      </c>
      <c r="F11252" s="10">
        <f t="shared" si="1"/>
        <v>3</v>
      </c>
      <c r="G11252" s="10" t="str">
        <f t="array" ref="G11252">index('Player ID'!C:C,match(E11252,'Player ID'!B:B,0))</f>
        <v>#N/A</v>
      </c>
    </row>
    <row r="11253">
      <c r="A11253" s="76"/>
    </row>
    <row r="11254">
      <c r="A11254" s="76"/>
    </row>
    <row r="11255">
      <c r="A11255" s="76"/>
    </row>
    <row r="11256">
      <c r="A11256" s="76"/>
    </row>
    <row r="11257">
      <c r="A11257" s="76"/>
    </row>
    <row r="11258">
      <c r="A11258" s="76"/>
    </row>
    <row r="11259">
      <c r="A11259" s="76"/>
    </row>
    <row r="11260">
      <c r="A11260" s="76"/>
    </row>
    <row r="11261">
      <c r="A11261" s="76"/>
    </row>
    <row r="11262">
      <c r="A11262" s="76"/>
    </row>
    <row r="11263">
      <c r="A11263" s="76"/>
    </row>
    <row r="11264">
      <c r="A11264" s="76"/>
    </row>
    <row r="11265">
      <c r="A11265" s="76"/>
    </row>
    <row r="11266">
      <c r="A11266" s="76"/>
    </row>
    <row r="11267">
      <c r="A11267" s="76"/>
    </row>
    <row r="11268">
      <c r="A11268" s="76"/>
    </row>
    <row r="11269">
      <c r="A11269" s="76"/>
    </row>
    <row r="11270">
      <c r="A11270" s="76"/>
    </row>
    <row r="11271">
      <c r="A11271" s="76"/>
    </row>
    <row r="11272">
      <c r="A11272" s="76"/>
    </row>
    <row r="11273">
      <c r="A11273" s="76"/>
    </row>
    <row r="11274">
      <c r="A11274" s="76"/>
    </row>
    <row r="11275">
      <c r="A11275" s="76"/>
    </row>
    <row r="11276">
      <c r="A11276" s="76"/>
    </row>
    <row r="11277">
      <c r="A11277" s="76"/>
    </row>
    <row r="11278">
      <c r="A11278" s="76"/>
    </row>
    <row r="11279">
      <c r="A11279" s="76"/>
    </row>
    <row r="11280">
      <c r="A11280" s="76"/>
    </row>
    <row r="11281">
      <c r="A11281" s="76"/>
    </row>
    <row r="11282">
      <c r="A11282" s="76"/>
    </row>
    <row r="11283">
      <c r="A11283" s="76"/>
    </row>
    <row r="11284">
      <c r="A11284" s="76"/>
    </row>
    <row r="11285">
      <c r="A11285" s="76"/>
    </row>
    <row r="11286">
      <c r="A11286" s="76"/>
    </row>
    <row r="11287">
      <c r="A11287" s="76"/>
    </row>
    <row r="11288">
      <c r="A11288" s="76"/>
    </row>
    <row r="11289">
      <c r="A11289" s="76"/>
    </row>
    <row r="11290">
      <c r="A11290" s="76"/>
    </row>
    <row r="11291">
      <c r="A11291" s="76"/>
    </row>
    <row r="11292">
      <c r="A11292" s="76"/>
    </row>
    <row r="11293">
      <c r="A11293" s="76"/>
    </row>
    <row r="11294">
      <c r="A11294" s="76"/>
    </row>
    <row r="11295">
      <c r="A11295" s="76"/>
    </row>
    <row r="11296">
      <c r="A11296" s="76"/>
    </row>
    <row r="11297">
      <c r="A11297" s="76"/>
    </row>
    <row r="11298">
      <c r="A11298" s="76"/>
    </row>
    <row r="11299">
      <c r="A11299" s="76"/>
    </row>
    <row r="11300">
      <c r="A11300" s="76"/>
    </row>
    <row r="11301">
      <c r="A11301" s="76"/>
    </row>
    <row r="11302">
      <c r="A11302" s="76"/>
    </row>
    <row r="11303">
      <c r="A11303" s="76"/>
    </row>
    <row r="11304">
      <c r="A11304" s="76"/>
    </row>
    <row r="11305">
      <c r="A11305" s="76"/>
    </row>
    <row r="11306">
      <c r="A11306" s="76"/>
    </row>
    <row r="11307">
      <c r="A11307" s="76"/>
    </row>
    <row r="11308">
      <c r="A11308" s="76"/>
    </row>
    <row r="11309">
      <c r="A11309" s="76"/>
    </row>
    <row r="11310">
      <c r="A11310" s="76"/>
    </row>
    <row r="11311">
      <c r="A11311" s="76"/>
    </row>
    <row r="11312">
      <c r="A11312" s="76"/>
    </row>
    <row r="11313">
      <c r="A11313" s="76"/>
    </row>
    <row r="11314">
      <c r="A11314" s="76"/>
    </row>
    <row r="11315">
      <c r="A11315" s="76"/>
    </row>
    <row r="11316">
      <c r="A11316" s="76"/>
    </row>
    <row r="11317">
      <c r="A11317" s="76"/>
    </row>
    <row r="11318">
      <c r="A11318" s="76"/>
    </row>
    <row r="11319">
      <c r="A11319" s="76"/>
    </row>
    <row r="11320">
      <c r="A11320" s="76"/>
    </row>
    <row r="11321">
      <c r="A11321" s="76"/>
    </row>
    <row r="11322">
      <c r="A11322" s="76"/>
    </row>
    <row r="11323">
      <c r="A11323" s="76"/>
    </row>
    <row r="11324">
      <c r="A11324" s="76"/>
    </row>
    <row r="11325">
      <c r="A11325" s="76"/>
    </row>
    <row r="11326">
      <c r="A11326" s="76"/>
    </row>
    <row r="11327">
      <c r="A11327" s="76"/>
    </row>
    <row r="11328">
      <c r="A11328" s="76"/>
    </row>
    <row r="11329">
      <c r="A11329" s="76"/>
    </row>
    <row r="11330">
      <c r="A11330" s="76"/>
    </row>
    <row r="11331">
      <c r="A11331" s="76"/>
    </row>
    <row r="11332">
      <c r="A11332" s="76"/>
    </row>
    <row r="11333">
      <c r="A11333" s="76"/>
    </row>
    <row r="11334">
      <c r="A11334" s="76"/>
    </row>
    <row r="11335">
      <c r="A11335" s="76"/>
    </row>
    <row r="11336">
      <c r="A11336" s="76"/>
    </row>
    <row r="11337">
      <c r="A11337" s="76"/>
    </row>
    <row r="11338">
      <c r="A11338" s="76"/>
    </row>
    <row r="11339">
      <c r="A11339" s="76"/>
    </row>
    <row r="11340">
      <c r="A11340" s="76"/>
    </row>
    <row r="11341">
      <c r="A11341" s="76"/>
    </row>
    <row r="11342">
      <c r="A11342" s="76"/>
    </row>
    <row r="11343">
      <c r="A11343" s="76"/>
    </row>
    <row r="11344">
      <c r="A11344" s="76"/>
    </row>
    <row r="11345">
      <c r="A11345" s="76"/>
    </row>
    <row r="11346">
      <c r="A11346" s="76"/>
    </row>
    <row r="11347">
      <c r="A11347" s="76"/>
    </row>
    <row r="11348">
      <c r="A11348" s="76"/>
    </row>
    <row r="11349">
      <c r="A11349" s="76"/>
    </row>
    <row r="11350">
      <c r="A11350" s="76"/>
    </row>
    <row r="11351">
      <c r="A11351" s="76"/>
    </row>
    <row r="11352">
      <c r="A11352" s="76"/>
    </row>
    <row r="11353">
      <c r="A11353" s="76"/>
    </row>
    <row r="11354">
      <c r="A11354" s="76"/>
    </row>
    <row r="11355">
      <c r="A11355" s="76"/>
    </row>
    <row r="11356">
      <c r="A11356" s="76"/>
    </row>
    <row r="11357">
      <c r="A11357" s="76"/>
    </row>
    <row r="11358">
      <c r="A11358" s="76"/>
    </row>
    <row r="11359">
      <c r="A11359" s="76"/>
    </row>
    <row r="11360">
      <c r="A11360" s="76"/>
    </row>
    <row r="11361">
      <c r="A11361" s="76"/>
    </row>
    <row r="11362">
      <c r="A11362" s="76"/>
    </row>
    <row r="11363">
      <c r="A11363" s="76"/>
    </row>
    <row r="11364">
      <c r="A11364" s="76"/>
    </row>
    <row r="11365">
      <c r="A11365" s="76"/>
    </row>
    <row r="11366">
      <c r="A11366" s="76"/>
    </row>
    <row r="11367">
      <c r="A11367" s="76"/>
    </row>
    <row r="11368">
      <c r="A11368" s="76"/>
    </row>
    <row r="11369">
      <c r="A11369" s="76"/>
    </row>
    <row r="11370">
      <c r="A11370" s="76"/>
    </row>
    <row r="11371">
      <c r="A11371" s="76"/>
    </row>
    <row r="11372">
      <c r="A11372" s="76"/>
    </row>
    <row r="11373">
      <c r="A11373" s="76"/>
    </row>
    <row r="11374">
      <c r="A11374" s="76"/>
    </row>
    <row r="11375">
      <c r="A11375" s="76"/>
    </row>
    <row r="11376">
      <c r="A11376" s="76"/>
    </row>
    <row r="11377">
      <c r="A11377" s="76"/>
    </row>
    <row r="11378">
      <c r="A11378" s="76"/>
    </row>
    <row r="11379">
      <c r="A11379" s="76"/>
    </row>
    <row r="11380">
      <c r="A11380" s="76"/>
    </row>
    <row r="11381">
      <c r="A11381" s="76"/>
    </row>
    <row r="11382">
      <c r="A11382" s="76"/>
    </row>
    <row r="11383">
      <c r="A11383" s="76"/>
    </row>
    <row r="11384">
      <c r="A11384" s="76"/>
    </row>
    <row r="11385">
      <c r="A11385" s="76"/>
    </row>
    <row r="11386">
      <c r="A11386" s="76"/>
    </row>
    <row r="11387">
      <c r="A11387" s="76"/>
    </row>
    <row r="11388">
      <c r="A11388" s="76"/>
    </row>
    <row r="11389">
      <c r="A11389" s="76"/>
    </row>
    <row r="11390">
      <c r="A11390" s="76"/>
    </row>
    <row r="11391">
      <c r="A11391" s="76"/>
    </row>
    <row r="11392">
      <c r="A11392" s="76"/>
    </row>
    <row r="11393">
      <c r="A11393" s="76"/>
    </row>
    <row r="11394">
      <c r="A11394" s="76"/>
    </row>
    <row r="11395">
      <c r="A11395" s="76"/>
    </row>
    <row r="11396">
      <c r="A11396" s="76"/>
    </row>
    <row r="11397">
      <c r="A11397" s="76"/>
    </row>
    <row r="11398">
      <c r="A11398" s="76"/>
    </row>
    <row r="11399">
      <c r="A11399" s="76"/>
    </row>
    <row r="11400">
      <c r="A11400" s="76"/>
    </row>
    <row r="11401">
      <c r="A11401" s="76"/>
    </row>
    <row r="11402">
      <c r="A11402" s="76"/>
    </row>
    <row r="11403">
      <c r="A11403" s="76"/>
    </row>
    <row r="11404">
      <c r="A11404" s="76"/>
    </row>
    <row r="11405">
      <c r="A11405" s="76"/>
    </row>
    <row r="11406">
      <c r="A11406" s="76"/>
    </row>
    <row r="11407">
      <c r="A11407" s="76"/>
    </row>
    <row r="11408">
      <c r="A11408" s="76"/>
    </row>
    <row r="11409">
      <c r="A11409" s="76"/>
    </row>
    <row r="11410">
      <c r="A11410" s="76"/>
    </row>
    <row r="11411">
      <c r="A11411" s="76"/>
    </row>
    <row r="11412">
      <c r="A11412" s="76"/>
    </row>
    <row r="11413">
      <c r="A11413" s="76"/>
    </row>
    <row r="11414">
      <c r="A11414" s="76"/>
    </row>
    <row r="11415">
      <c r="A11415" s="76"/>
    </row>
    <row r="11416">
      <c r="A11416" s="76"/>
    </row>
    <row r="11417">
      <c r="A11417" s="76"/>
    </row>
    <row r="11418">
      <c r="A11418" s="76"/>
    </row>
    <row r="11419">
      <c r="A11419" s="76"/>
    </row>
    <row r="11420">
      <c r="A11420" s="76"/>
    </row>
    <row r="11421">
      <c r="A11421" s="76"/>
    </row>
    <row r="11422">
      <c r="A11422" s="76"/>
    </row>
    <row r="11423">
      <c r="A11423" s="76"/>
    </row>
    <row r="11424">
      <c r="A11424" s="76"/>
    </row>
    <row r="11425">
      <c r="A11425" s="76"/>
    </row>
    <row r="11426">
      <c r="A11426" s="76"/>
    </row>
    <row r="11427">
      <c r="A11427" s="76"/>
    </row>
    <row r="11428">
      <c r="A11428" s="76"/>
    </row>
    <row r="11429">
      <c r="A11429" s="76"/>
    </row>
    <row r="11430">
      <c r="A11430" s="76"/>
    </row>
    <row r="11431">
      <c r="A11431" s="76"/>
    </row>
    <row r="11432">
      <c r="A11432" s="76"/>
    </row>
    <row r="11433">
      <c r="A11433" s="76"/>
    </row>
    <row r="11434">
      <c r="A11434" s="76"/>
    </row>
    <row r="11435">
      <c r="A11435" s="76"/>
    </row>
    <row r="11436">
      <c r="A11436" s="76"/>
    </row>
    <row r="11437">
      <c r="A11437" s="76"/>
    </row>
    <row r="11438">
      <c r="A11438" s="76"/>
    </row>
    <row r="11439">
      <c r="A11439" s="76"/>
    </row>
    <row r="11440">
      <c r="A11440" s="76"/>
    </row>
    <row r="11441">
      <c r="A11441" s="76"/>
    </row>
    <row r="11442">
      <c r="A11442" s="76"/>
    </row>
    <row r="11443">
      <c r="A11443" s="76"/>
    </row>
    <row r="11444">
      <c r="A11444" s="76"/>
    </row>
    <row r="11445">
      <c r="A11445" s="76"/>
    </row>
    <row r="11446">
      <c r="A11446" s="76"/>
    </row>
    <row r="11447">
      <c r="A11447" s="76"/>
    </row>
    <row r="11448">
      <c r="A11448" s="76"/>
    </row>
    <row r="11449">
      <c r="A11449" s="76"/>
    </row>
    <row r="11450">
      <c r="A11450" s="76"/>
    </row>
    <row r="11451">
      <c r="A11451" s="76"/>
    </row>
    <row r="11452">
      <c r="A11452" s="76"/>
    </row>
    <row r="11453">
      <c r="A11453" s="76"/>
    </row>
    <row r="11454">
      <c r="A11454" s="76"/>
    </row>
    <row r="11455">
      <c r="A11455" s="76"/>
    </row>
    <row r="11456">
      <c r="A11456" s="76"/>
    </row>
    <row r="11457">
      <c r="A11457" s="76"/>
    </row>
    <row r="11458">
      <c r="A11458" s="76"/>
    </row>
    <row r="11459">
      <c r="A11459" s="76"/>
    </row>
    <row r="11460">
      <c r="A11460" s="76"/>
    </row>
    <row r="11461">
      <c r="A11461" s="76"/>
    </row>
    <row r="11462">
      <c r="A11462" s="76"/>
    </row>
    <row r="11463">
      <c r="A11463" s="76"/>
    </row>
    <row r="11464">
      <c r="A11464" s="76"/>
    </row>
    <row r="11465">
      <c r="A11465" s="76"/>
    </row>
    <row r="11466">
      <c r="A11466" s="76"/>
    </row>
    <row r="11467">
      <c r="A11467" s="76"/>
    </row>
    <row r="11468">
      <c r="A11468" s="76"/>
    </row>
    <row r="11469">
      <c r="A11469" s="76"/>
    </row>
    <row r="11470">
      <c r="A11470" s="76"/>
    </row>
    <row r="11471">
      <c r="A11471" s="76"/>
    </row>
    <row r="11472">
      <c r="A11472" s="76"/>
    </row>
    <row r="11473">
      <c r="A11473" s="76"/>
    </row>
    <row r="11474">
      <c r="A11474" s="76"/>
    </row>
    <row r="11475">
      <c r="A11475" s="76"/>
    </row>
    <row r="11476">
      <c r="A11476" s="76"/>
    </row>
    <row r="11477">
      <c r="A11477" s="76"/>
    </row>
    <row r="11478">
      <c r="A11478" s="76"/>
    </row>
    <row r="11479">
      <c r="A11479" s="76"/>
    </row>
    <row r="11480">
      <c r="A11480" s="76"/>
    </row>
    <row r="11481">
      <c r="A11481" s="76"/>
    </row>
    <row r="11482">
      <c r="A11482" s="76"/>
    </row>
    <row r="11483">
      <c r="A11483" s="76"/>
    </row>
    <row r="11484">
      <c r="A11484" s="76"/>
    </row>
    <row r="11485">
      <c r="A11485" s="76"/>
    </row>
    <row r="11486">
      <c r="A11486" s="76"/>
    </row>
    <row r="11487">
      <c r="A11487" s="76"/>
    </row>
    <row r="11488">
      <c r="A11488" s="76"/>
    </row>
    <row r="11489">
      <c r="A11489" s="76"/>
    </row>
    <row r="11490">
      <c r="A11490" s="76"/>
    </row>
    <row r="11491">
      <c r="A11491" s="76"/>
    </row>
    <row r="11492">
      <c r="A11492" s="76"/>
    </row>
    <row r="11493">
      <c r="A11493" s="76"/>
    </row>
    <row r="11494">
      <c r="A11494" s="76"/>
    </row>
    <row r="11495">
      <c r="A11495" s="76"/>
    </row>
    <row r="11496">
      <c r="A11496" s="76"/>
    </row>
    <row r="11497">
      <c r="A11497" s="76"/>
    </row>
    <row r="11498">
      <c r="A11498" s="76"/>
    </row>
    <row r="11499">
      <c r="A11499" s="76"/>
    </row>
    <row r="11500">
      <c r="A11500" s="76"/>
    </row>
    <row r="11501">
      <c r="A11501" s="76"/>
    </row>
    <row r="11502">
      <c r="A11502" s="76"/>
    </row>
    <row r="11503">
      <c r="A11503" s="76"/>
    </row>
    <row r="11504">
      <c r="A11504" s="76"/>
    </row>
    <row r="11505">
      <c r="A11505" s="76"/>
    </row>
    <row r="11506">
      <c r="A11506" s="76"/>
    </row>
    <row r="11507">
      <c r="A11507" s="76"/>
    </row>
    <row r="11508">
      <c r="A11508" s="76"/>
    </row>
    <row r="11509">
      <c r="A11509" s="76"/>
    </row>
    <row r="11510">
      <c r="A11510" s="76"/>
    </row>
    <row r="11511">
      <c r="A11511" s="76"/>
    </row>
    <row r="11512">
      <c r="A11512" s="76"/>
    </row>
    <row r="11513">
      <c r="A11513" s="76"/>
    </row>
    <row r="11514">
      <c r="A11514" s="76"/>
    </row>
    <row r="11515">
      <c r="A11515" s="76"/>
    </row>
    <row r="11516">
      <c r="A11516" s="76"/>
    </row>
    <row r="11517">
      <c r="A11517" s="76"/>
    </row>
    <row r="11518">
      <c r="A11518" s="76"/>
    </row>
    <row r="11519">
      <c r="A11519" s="76"/>
    </row>
    <row r="11520">
      <c r="A11520" s="76"/>
    </row>
    <row r="11521">
      <c r="A11521" s="76"/>
    </row>
    <row r="11522">
      <c r="A11522" s="76"/>
    </row>
    <row r="11523">
      <c r="A11523" s="76"/>
    </row>
    <row r="11524">
      <c r="A11524" s="76"/>
    </row>
    <row r="11525">
      <c r="A11525" s="76"/>
    </row>
    <row r="11526">
      <c r="A11526" s="76"/>
    </row>
    <row r="11527">
      <c r="A11527" s="76"/>
    </row>
    <row r="11528">
      <c r="A11528" s="76"/>
    </row>
    <row r="11529">
      <c r="A11529" s="76"/>
    </row>
    <row r="11530">
      <c r="A11530" s="76"/>
    </row>
    <row r="11531">
      <c r="A11531" s="76"/>
    </row>
    <row r="11532">
      <c r="A11532" s="76"/>
    </row>
    <row r="11533">
      <c r="A11533" s="76"/>
    </row>
    <row r="11534">
      <c r="A11534" s="76"/>
    </row>
    <row r="11535">
      <c r="A11535" s="76"/>
    </row>
    <row r="11536">
      <c r="A11536" s="76"/>
    </row>
    <row r="11537">
      <c r="A11537" s="76"/>
    </row>
    <row r="11538">
      <c r="A11538" s="76"/>
    </row>
    <row r="11539">
      <c r="A11539" s="76"/>
    </row>
    <row r="11540">
      <c r="A11540" s="76"/>
    </row>
    <row r="11541">
      <c r="A11541" s="76"/>
    </row>
    <row r="11542">
      <c r="A11542" s="76"/>
    </row>
    <row r="11543">
      <c r="A11543" s="76"/>
    </row>
    <row r="11544">
      <c r="A11544" s="76"/>
    </row>
    <row r="11545">
      <c r="A11545" s="76"/>
    </row>
    <row r="11546">
      <c r="A11546" s="76"/>
    </row>
    <row r="11547">
      <c r="A11547" s="76"/>
    </row>
    <row r="11548">
      <c r="A11548" s="76"/>
    </row>
    <row r="11549">
      <c r="A11549" s="76"/>
    </row>
    <row r="11550">
      <c r="A11550" s="76"/>
    </row>
    <row r="11551">
      <c r="A11551" s="76"/>
    </row>
    <row r="11552">
      <c r="A11552" s="76"/>
    </row>
    <row r="11553">
      <c r="A11553" s="76"/>
    </row>
    <row r="11554">
      <c r="A11554" s="76"/>
    </row>
    <row r="11555">
      <c r="A11555" s="76"/>
    </row>
    <row r="11556">
      <c r="A11556" s="76"/>
    </row>
    <row r="11557">
      <c r="A11557" s="76"/>
    </row>
    <row r="11558">
      <c r="A11558" s="76"/>
    </row>
    <row r="11559">
      <c r="A11559" s="76"/>
    </row>
    <row r="11560">
      <c r="A11560" s="76"/>
    </row>
    <row r="11561">
      <c r="A11561" s="76"/>
    </row>
    <row r="11562">
      <c r="A11562" s="76"/>
    </row>
    <row r="11563">
      <c r="A11563" s="76"/>
    </row>
    <row r="11564">
      <c r="A11564" s="76"/>
    </row>
    <row r="11565">
      <c r="A11565" s="76"/>
    </row>
    <row r="11566">
      <c r="A11566" s="76"/>
    </row>
    <row r="11567">
      <c r="A11567" s="76"/>
    </row>
    <row r="11568">
      <c r="A11568" s="76"/>
    </row>
    <row r="11569">
      <c r="A11569" s="76"/>
    </row>
    <row r="11570">
      <c r="A11570" s="76"/>
    </row>
    <row r="11571">
      <c r="A11571" s="76"/>
    </row>
    <row r="11572">
      <c r="A11572" s="76"/>
    </row>
    <row r="11573">
      <c r="A11573" s="76"/>
    </row>
    <row r="11574">
      <c r="A11574" s="76"/>
    </row>
    <row r="11575">
      <c r="A11575" s="76"/>
    </row>
    <row r="11576">
      <c r="A11576" s="76"/>
    </row>
    <row r="11577">
      <c r="A11577" s="76"/>
    </row>
    <row r="11578">
      <c r="A11578" s="76"/>
    </row>
    <row r="11579">
      <c r="A11579" s="76"/>
    </row>
    <row r="11580">
      <c r="A11580" s="76"/>
    </row>
    <row r="11581">
      <c r="A11581" s="76"/>
    </row>
    <row r="11582">
      <c r="A11582" s="76"/>
    </row>
    <row r="11583">
      <c r="A11583" s="76"/>
    </row>
    <row r="11584">
      <c r="A11584" s="76"/>
    </row>
    <row r="11585">
      <c r="A11585" s="76"/>
    </row>
    <row r="11586">
      <c r="A11586" s="76"/>
    </row>
    <row r="11587">
      <c r="A11587" s="76"/>
    </row>
    <row r="11588">
      <c r="A11588" s="76"/>
    </row>
    <row r="11589">
      <c r="A11589" s="76"/>
    </row>
    <row r="11590">
      <c r="A11590" s="76"/>
    </row>
    <row r="11591">
      <c r="A11591" s="76"/>
    </row>
    <row r="11592">
      <c r="A11592" s="76"/>
    </row>
    <row r="11593">
      <c r="A11593" s="76"/>
    </row>
    <row r="11594">
      <c r="A11594" s="76"/>
    </row>
    <row r="11595">
      <c r="A11595" s="76"/>
    </row>
    <row r="11596">
      <c r="A11596" s="76"/>
    </row>
    <row r="11597">
      <c r="A11597" s="76"/>
    </row>
    <row r="11598">
      <c r="A11598" s="76"/>
    </row>
    <row r="11599">
      <c r="A11599" s="76"/>
    </row>
    <row r="11600">
      <c r="A11600" s="76"/>
    </row>
    <row r="11601">
      <c r="A11601" s="76"/>
    </row>
    <row r="11602">
      <c r="A11602" s="76"/>
    </row>
    <row r="11603">
      <c r="A11603" s="76"/>
    </row>
    <row r="11604">
      <c r="A11604" s="76"/>
    </row>
    <row r="11605">
      <c r="A11605" s="76"/>
    </row>
    <row r="11606">
      <c r="A11606" s="76"/>
    </row>
    <row r="11607">
      <c r="A11607" s="76"/>
    </row>
    <row r="11608">
      <c r="A11608" s="76"/>
    </row>
    <row r="11609">
      <c r="A11609" s="76"/>
    </row>
    <row r="11610">
      <c r="A11610" s="76"/>
    </row>
    <row r="11611">
      <c r="A11611" s="76"/>
    </row>
    <row r="11612">
      <c r="A11612" s="76"/>
    </row>
    <row r="11613">
      <c r="A11613" s="76"/>
    </row>
    <row r="11614">
      <c r="A11614" s="76"/>
    </row>
    <row r="11615">
      <c r="A11615" s="76"/>
    </row>
    <row r="11616">
      <c r="A11616" s="76"/>
    </row>
    <row r="11617">
      <c r="A11617" s="76"/>
    </row>
    <row r="11618">
      <c r="A11618" s="76"/>
    </row>
    <row r="11619">
      <c r="A11619" s="76"/>
    </row>
    <row r="11620">
      <c r="A11620" s="76"/>
    </row>
    <row r="11621">
      <c r="A11621" s="76"/>
    </row>
    <row r="11622">
      <c r="A11622" s="76"/>
    </row>
    <row r="11623">
      <c r="A11623" s="76"/>
    </row>
    <row r="11624">
      <c r="A11624" s="76"/>
    </row>
    <row r="11625">
      <c r="A11625" s="76"/>
    </row>
    <row r="11626">
      <c r="A11626" s="76"/>
    </row>
    <row r="11627">
      <c r="A11627" s="76"/>
    </row>
    <row r="11628">
      <c r="A11628" s="76"/>
    </row>
    <row r="11629">
      <c r="A11629" s="76"/>
    </row>
    <row r="11630">
      <c r="A11630" s="76"/>
    </row>
    <row r="11631">
      <c r="A11631" s="76"/>
    </row>
    <row r="11632">
      <c r="A11632" s="76"/>
    </row>
    <row r="11633">
      <c r="A11633" s="76"/>
    </row>
    <row r="11634">
      <c r="A11634" s="76"/>
    </row>
    <row r="11635">
      <c r="A11635" s="76"/>
    </row>
    <row r="11636">
      <c r="A11636" s="76"/>
    </row>
    <row r="11637">
      <c r="A11637" s="76"/>
    </row>
    <row r="11638">
      <c r="A11638" s="76"/>
    </row>
    <row r="11639">
      <c r="A11639" s="76"/>
    </row>
    <row r="11640">
      <c r="A11640" s="76"/>
    </row>
    <row r="11641">
      <c r="A11641" s="76"/>
    </row>
    <row r="11642">
      <c r="A11642" s="76"/>
    </row>
    <row r="11643">
      <c r="A11643" s="76"/>
    </row>
    <row r="11644">
      <c r="A11644" s="76"/>
    </row>
    <row r="11645">
      <c r="A11645" s="76"/>
    </row>
    <row r="11646">
      <c r="A11646" s="76"/>
    </row>
    <row r="11647">
      <c r="A11647" s="76"/>
    </row>
    <row r="11648">
      <c r="A11648" s="76"/>
    </row>
    <row r="11649">
      <c r="A11649" s="76"/>
    </row>
    <row r="11650">
      <c r="A11650" s="76"/>
    </row>
    <row r="11651">
      <c r="A11651" s="76"/>
    </row>
    <row r="11652">
      <c r="A11652" s="76"/>
    </row>
    <row r="11653">
      <c r="A11653" s="76"/>
    </row>
    <row r="11654">
      <c r="A11654" s="76"/>
    </row>
    <row r="11655">
      <c r="A11655" s="76"/>
    </row>
    <row r="11656">
      <c r="A11656" s="76"/>
    </row>
    <row r="11657">
      <c r="A11657" s="76"/>
    </row>
    <row r="11658">
      <c r="A11658" s="76"/>
    </row>
    <row r="11659">
      <c r="A11659" s="76"/>
    </row>
    <row r="11660">
      <c r="A11660" s="76"/>
    </row>
    <row r="11661">
      <c r="A11661" s="76"/>
    </row>
    <row r="11662">
      <c r="A11662" s="76"/>
    </row>
    <row r="11663">
      <c r="A11663" s="76"/>
    </row>
    <row r="11664">
      <c r="A11664" s="76"/>
    </row>
    <row r="11665">
      <c r="A11665" s="76"/>
    </row>
    <row r="11666">
      <c r="A11666" s="76"/>
    </row>
    <row r="11667">
      <c r="A11667" s="76"/>
    </row>
    <row r="11668">
      <c r="A11668" s="76"/>
    </row>
    <row r="11669">
      <c r="A11669" s="76"/>
    </row>
    <row r="11670">
      <c r="A11670" s="76"/>
    </row>
    <row r="11671">
      <c r="A11671" s="76"/>
    </row>
    <row r="11672">
      <c r="A11672" s="76"/>
    </row>
    <row r="11673">
      <c r="A11673" s="76"/>
    </row>
    <row r="11674">
      <c r="A11674" s="76"/>
    </row>
    <row r="11675">
      <c r="A11675" s="76"/>
    </row>
    <row r="11676">
      <c r="A11676" s="76"/>
    </row>
    <row r="11677">
      <c r="A11677" s="76"/>
    </row>
    <row r="11678">
      <c r="A11678" s="76"/>
    </row>
    <row r="11679">
      <c r="A11679" s="76"/>
    </row>
    <row r="11680">
      <c r="A11680" s="76"/>
    </row>
    <row r="11681">
      <c r="A11681" s="76"/>
    </row>
    <row r="11682">
      <c r="A11682" s="76"/>
    </row>
    <row r="11683">
      <c r="A11683" s="76"/>
    </row>
    <row r="11684">
      <c r="A11684" s="76"/>
    </row>
    <row r="11685">
      <c r="A11685" s="76"/>
    </row>
    <row r="11686">
      <c r="A11686" s="76"/>
    </row>
    <row r="11687">
      <c r="A11687" s="76"/>
    </row>
    <row r="11688">
      <c r="A11688" s="76"/>
    </row>
    <row r="11689">
      <c r="A11689" s="76"/>
    </row>
    <row r="11690">
      <c r="A11690" s="76"/>
    </row>
    <row r="11691">
      <c r="A11691" s="76"/>
    </row>
    <row r="11692">
      <c r="A11692" s="76"/>
    </row>
    <row r="11693">
      <c r="A11693" s="76"/>
    </row>
    <row r="11694">
      <c r="A11694" s="76"/>
    </row>
    <row r="11695">
      <c r="A11695" s="76"/>
    </row>
    <row r="11696">
      <c r="A11696" s="76"/>
    </row>
    <row r="11697">
      <c r="A11697" s="76"/>
    </row>
    <row r="11698">
      <c r="A11698" s="76"/>
    </row>
    <row r="11699">
      <c r="A11699" s="76"/>
    </row>
    <row r="11700">
      <c r="A11700" s="76"/>
    </row>
    <row r="11701">
      <c r="A11701" s="76"/>
    </row>
    <row r="11702">
      <c r="A11702" s="76"/>
    </row>
    <row r="11703">
      <c r="A11703" s="76"/>
    </row>
    <row r="11704">
      <c r="A11704" s="76"/>
    </row>
    <row r="11705">
      <c r="A11705" s="76"/>
    </row>
    <row r="11706">
      <c r="A11706" s="76"/>
    </row>
    <row r="11707">
      <c r="A11707" s="76"/>
    </row>
    <row r="11708">
      <c r="A11708" s="76"/>
    </row>
    <row r="11709">
      <c r="A11709" s="76"/>
    </row>
    <row r="11710">
      <c r="A11710" s="76"/>
    </row>
    <row r="11711">
      <c r="A11711" s="76"/>
    </row>
    <row r="11712">
      <c r="A11712" s="76"/>
    </row>
    <row r="11713">
      <c r="A11713" s="76"/>
    </row>
    <row r="11714">
      <c r="A11714" s="76"/>
    </row>
    <row r="11715">
      <c r="A11715" s="76"/>
    </row>
    <row r="11716">
      <c r="A11716" s="76"/>
    </row>
    <row r="11717">
      <c r="A11717" s="76"/>
    </row>
    <row r="11718">
      <c r="A11718" s="76"/>
    </row>
    <row r="11719">
      <c r="A11719" s="76"/>
    </row>
    <row r="11720">
      <c r="A11720" s="76"/>
    </row>
    <row r="11721">
      <c r="A11721" s="76"/>
    </row>
    <row r="11722">
      <c r="A11722" s="76"/>
    </row>
    <row r="11723">
      <c r="A11723" s="76"/>
    </row>
    <row r="11724">
      <c r="A11724" s="76"/>
    </row>
    <row r="11725">
      <c r="A11725" s="76"/>
    </row>
    <row r="11726">
      <c r="A11726" s="76"/>
    </row>
    <row r="11727">
      <c r="A11727" s="76"/>
    </row>
    <row r="11728">
      <c r="A11728" s="76"/>
    </row>
    <row r="11729">
      <c r="A11729" s="76"/>
    </row>
    <row r="11730">
      <c r="A11730" s="76"/>
    </row>
    <row r="11731">
      <c r="A11731" s="76"/>
    </row>
    <row r="11732">
      <c r="A11732" s="76"/>
    </row>
    <row r="11733">
      <c r="A11733" s="76"/>
    </row>
    <row r="11734">
      <c r="A11734" s="76"/>
    </row>
    <row r="11735">
      <c r="A11735" s="76"/>
    </row>
    <row r="11736">
      <c r="A11736" s="76"/>
    </row>
    <row r="11737">
      <c r="A11737" s="76"/>
    </row>
    <row r="11738">
      <c r="A11738" s="76"/>
    </row>
    <row r="11739">
      <c r="A11739" s="76"/>
    </row>
    <row r="11740">
      <c r="A11740" s="76"/>
    </row>
    <row r="11741">
      <c r="A11741" s="76"/>
    </row>
    <row r="11742">
      <c r="A11742" s="76"/>
    </row>
    <row r="11743">
      <c r="A11743" s="76"/>
    </row>
    <row r="11744">
      <c r="A11744" s="76"/>
    </row>
    <row r="11745">
      <c r="A11745" s="76"/>
    </row>
    <row r="11746">
      <c r="A11746" s="76"/>
    </row>
    <row r="11747">
      <c r="A11747" s="76"/>
    </row>
    <row r="11748">
      <c r="A11748" s="76"/>
    </row>
    <row r="11749">
      <c r="A11749" s="76"/>
    </row>
    <row r="11750">
      <c r="A11750" s="76"/>
    </row>
    <row r="11751">
      <c r="A11751" s="76"/>
    </row>
    <row r="11752">
      <c r="A11752" s="76"/>
    </row>
    <row r="11753">
      <c r="A11753" s="76"/>
    </row>
    <row r="11754">
      <c r="A11754" s="76"/>
    </row>
    <row r="11755">
      <c r="A11755" s="76"/>
    </row>
    <row r="11756">
      <c r="A11756" s="76"/>
    </row>
    <row r="11757">
      <c r="A11757" s="76"/>
    </row>
    <row r="11758">
      <c r="A11758" s="76"/>
    </row>
    <row r="11759">
      <c r="A11759" s="76"/>
    </row>
    <row r="11760">
      <c r="A11760" s="76"/>
    </row>
    <row r="11761">
      <c r="A11761" s="76"/>
    </row>
    <row r="11762">
      <c r="A11762" s="76"/>
    </row>
    <row r="11763">
      <c r="A11763" s="76"/>
    </row>
    <row r="11764">
      <c r="A11764" s="76"/>
    </row>
    <row r="11765">
      <c r="A11765" s="76"/>
    </row>
    <row r="11766">
      <c r="A11766" s="76"/>
    </row>
    <row r="11767">
      <c r="A11767" s="76"/>
    </row>
    <row r="11768">
      <c r="A11768" s="76"/>
    </row>
    <row r="11769">
      <c r="A11769" s="76"/>
    </row>
    <row r="11770">
      <c r="A11770" s="76"/>
    </row>
    <row r="11771">
      <c r="A11771" s="76"/>
    </row>
    <row r="11772">
      <c r="A11772" s="76"/>
    </row>
    <row r="11773">
      <c r="A11773" s="76"/>
    </row>
    <row r="11774">
      <c r="A11774" s="76"/>
    </row>
    <row r="11775">
      <c r="A11775" s="76"/>
    </row>
    <row r="11776">
      <c r="A11776" s="76"/>
    </row>
    <row r="11777">
      <c r="A11777" s="76"/>
    </row>
    <row r="11778">
      <c r="A11778" s="76"/>
    </row>
    <row r="11779">
      <c r="A11779" s="76"/>
    </row>
    <row r="11780">
      <c r="A11780" s="76"/>
    </row>
    <row r="11781">
      <c r="A11781" s="76"/>
    </row>
    <row r="11782">
      <c r="A11782" s="76"/>
    </row>
    <row r="11783">
      <c r="A11783" s="76"/>
    </row>
    <row r="11784">
      <c r="A11784" s="76"/>
    </row>
    <row r="11785">
      <c r="A11785" s="76"/>
    </row>
    <row r="11786">
      <c r="A11786" s="76"/>
    </row>
    <row r="11787">
      <c r="A11787" s="76"/>
    </row>
    <row r="11788">
      <c r="A11788" s="76"/>
    </row>
    <row r="11789">
      <c r="A11789" s="76"/>
    </row>
    <row r="11790">
      <c r="A11790" s="76"/>
    </row>
    <row r="11791">
      <c r="A11791" s="76"/>
    </row>
    <row r="11792">
      <c r="A11792" s="76"/>
    </row>
    <row r="11793">
      <c r="A11793" s="76"/>
    </row>
    <row r="11794">
      <c r="A11794" s="76"/>
    </row>
    <row r="11795">
      <c r="A11795" s="76"/>
    </row>
    <row r="11796">
      <c r="A11796" s="76"/>
    </row>
    <row r="11797">
      <c r="A11797" s="76"/>
    </row>
    <row r="11798">
      <c r="A11798" s="76"/>
    </row>
    <row r="11799">
      <c r="A11799" s="76"/>
    </row>
    <row r="11800">
      <c r="A11800" s="76"/>
    </row>
    <row r="11801">
      <c r="A11801" s="76"/>
    </row>
    <row r="11802">
      <c r="A11802" s="76"/>
    </row>
    <row r="11803">
      <c r="A11803" s="76"/>
    </row>
    <row r="11804">
      <c r="A11804" s="76"/>
    </row>
    <row r="11805">
      <c r="A11805" s="76"/>
    </row>
    <row r="11806">
      <c r="A11806" s="76"/>
    </row>
    <row r="11807">
      <c r="A11807" s="76"/>
    </row>
    <row r="11808">
      <c r="A11808" s="76"/>
    </row>
    <row r="11809">
      <c r="A11809" s="76"/>
    </row>
    <row r="11810">
      <c r="A11810" s="76"/>
    </row>
    <row r="11811">
      <c r="A11811" s="76"/>
    </row>
    <row r="11812">
      <c r="A11812" s="76"/>
    </row>
    <row r="11813">
      <c r="A11813" s="76"/>
    </row>
    <row r="11814">
      <c r="A11814" s="76"/>
    </row>
    <row r="11815">
      <c r="A11815" s="76"/>
    </row>
    <row r="11816">
      <c r="A11816" s="76"/>
    </row>
    <row r="11817">
      <c r="A11817" s="76"/>
    </row>
    <row r="11818">
      <c r="A11818" s="76"/>
    </row>
    <row r="11819">
      <c r="A11819" s="76"/>
    </row>
    <row r="11820">
      <c r="A11820" s="76"/>
    </row>
    <row r="11821">
      <c r="A11821" s="76"/>
    </row>
    <row r="11822">
      <c r="A11822" s="76"/>
    </row>
    <row r="11823">
      <c r="A11823" s="76"/>
    </row>
    <row r="11824">
      <c r="A11824" s="76"/>
    </row>
    <row r="11825">
      <c r="A11825" s="76"/>
    </row>
    <row r="11826">
      <c r="A11826" s="76"/>
    </row>
    <row r="11827">
      <c r="A11827" s="76"/>
    </row>
    <row r="11828">
      <c r="A11828" s="76"/>
    </row>
    <row r="11829">
      <c r="A11829" s="76"/>
    </row>
    <row r="11830">
      <c r="A11830" s="76"/>
    </row>
    <row r="11831">
      <c r="A11831" s="76"/>
    </row>
    <row r="11832">
      <c r="A11832" s="76"/>
    </row>
    <row r="11833">
      <c r="A11833" s="76"/>
    </row>
    <row r="11834">
      <c r="A11834" s="76"/>
    </row>
    <row r="11835">
      <c r="A11835" s="76"/>
    </row>
    <row r="11836">
      <c r="A11836" s="76"/>
    </row>
    <row r="11837">
      <c r="A11837" s="76"/>
    </row>
    <row r="11838">
      <c r="A11838" s="76"/>
    </row>
    <row r="11839">
      <c r="A11839" s="76"/>
    </row>
    <row r="11840">
      <c r="A11840" s="76"/>
    </row>
    <row r="11841">
      <c r="A11841" s="76"/>
    </row>
    <row r="11842">
      <c r="A11842" s="76"/>
    </row>
    <row r="11843">
      <c r="A11843" s="76"/>
    </row>
    <row r="11844">
      <c r="A11844" s="76"/>
    </row>
    <row r="11845">
      <c r="A11845" s="76"/>
    </row>
    <row r="11846">
      <c r="A11846" s="76"/>
    </row>
    <row r="11847">
      <c r="A11847" s="76"/>
    </row>
    <row r="11848">
      <c r="A11848" s="76"/>
    </row>
    <row r="11849">
      <c r="A11849" s="76"/>
    </row>
    <row r="11850">
      <c r="A11850" s="76"/>
    </row>
    <row r="11851">
      <c r="A11851" s="76"/>
    </row>
    <row r="11852">
      <c r="A11852" s="76"/>
    </row>
    <row r="11853">
      <c r="A11853" s="76"/>
    </row>
    <row r="11854">
      <c r="A11854" s="76"/>
    </row>
    <row r="11855">
      <c r="A11855" s="76"/>
    </row>
    <row r="11856">
      <c r="A11856" s="76"/>
    </row>
    <row r="11857">
      <c r="A11857" s="76"/>
    </row>
    <row r="11858">
      <c r="A11858" s="76"/>
    </row>
    <row r="11859">
      <c r="A11859" s="76"/>
    </row>
    <row r="11860">
      <c r="A11860" s="76"/>
    </row>
    <row r="11861">
      <c r="A11861" s="76"/>
    </row>
    <row r="11862">
      <c r="A11862" s="76"/>
    </row>
    <row r="11863">
      <c r="A11863" s="76"/>
    </row>
    <row r="11864">
      <c r="A11864" s="76"/>
    </row>
    <row r="11865">
      <c r="A11865" s="76"/>
    </row>
    <row r="11866">
      <c r="A11866" s="76"/>
    </row>
    <row r="11867">
      <c r="A11867" s="76"/>
    </row>
    <row r="11868">
      <c r="A11868" s="76"/>
    </row>
    <row r="11869">
      <c r="A11869" s="76"/>
    </row>
    <row r="11870">
      <c r="A11870" s="76"/>
    </row>
    <row r="11871">
      <c r="A11871" s="76"/>
    </row>
    <row r="11872">
      <c r="A11872" s="76"/>
    </row>
    <row r="11873">
      <c r="A11873" s="76"/>
    </row>
    <row r="11874">
      <c r="A11874" s="76"/>
    </row>
    <row r="11875">
      <c r="A11875" s="76"/>
    </row>
    <row r="11876">
      <c r="A11876" s="76"/>
    </row>
    <row r="11877">
      <c r="A11877" s="76"/>
    </row>
    <row r="11878">
      <c r="A11878" s="76"/>
    </row>
    <row r="11879">
      <c r="A11879" s="76"/>
    </row>
    <row r="11880">
      <c r="A11880" s="76"/>
    </row>
    <row r="11881">
      <c r="A11881" s="76"/>
    </row>
    <row r="11882">
      <c r="A11882" s="76"/>
    </row>
    <row r="11883">
      <c r="A11883" s="76"/>
    </row>
    <row r="11884">
      <c r="A11884" s="76"/>
    </row>
    <row r="11885">
      <c r="A11885" s="76"/>
    </row>
    <row r="11886">
      <c r="A11886" s="76"/>
    </row>
    <row r="11887">
      <c r="A11887" s="76"/>
    </row>
    <row r="11888">
      <c r="A11888" s="76"/>
    </row>
    <row r="11889">
      <c r="A11889" s="76"/>
    </row>
    <row r="11890">
      <c r="A11890" s="76"/>
    </row>
    <row r="11891">
      <c r="A11891" s="76"/>
    </row>
    <row r="11892">
      <c r="A11892" s="76"/>
    </row>
    <row r="11893">
      <c r="A11893" s="76"/>
    </row>
    <row r="11894">
      <c r="A11894" s="76"/>
    </row>
    <row r="11895">
      <c r="A11895" s="76"/>
    </row>
    <row r="11896">
      <c r="A11896" s="76"/>
    </row>
    <row r="11897">
      <c r="A11897" s="76"/>
    </row>
    <row r="11898">
      <c r="A11898" s="76"/>
    </row>
    <row r="11899">
      <c r="A11899" s="76"/>
    </row>
    <row r="11900">
      <c r="A11900" s="76"/>
    </row>
    <row r="11901">
      <c r="A11901" s="76"/>
    </row>
    <row r="11902">
      <c r="A11902" s="76"/>
    </row>
    <row r="11903">
      <c r="A11903" s="76"/>
    </row>
    <row r="11904">
      <c r="A11904" s="76"/>
    </row>
    <row r="11905">
      <c r="A11905" s="76"/>
    </row>
    <row r="11906">
      <c r="A11906" s="76"/>
    </row>
    <row r="11907">
      <c r="A11907" s="76"/>
    </row>
    <row r="11908">
      <c r="A11908" s="76"/>
    </row>
    <row r="11909">
      <c r="A11909" s="76"/>
    </row>
    <row r="11910">
      <c r="A11910" s="76"/>
    </row>
    <row r="11911">
      <c r="A11911" s="76"/>
    </row>
    <row r="11912">
      <c r="A11912" s="76"/>
    </row>
    <row r="11913">
      <c r="A11913" s="76"/>
    </row>
    <row r="11914">
      <c r="A11914" s="76"/>
    </row>
    <row r="11915">
      <c r="A11915" s="76"/>
    </row>
    <row r="11916">
      <c r="A11916" s="76"/>
    </row>
    <row r="11917">
      <c r="A11917" s="76"/>
    </row>
    <row r="11918">
      <c r="A11918" s="76"/>
    </row>
    <row r="11919">
      <c r="A11919" s="76"/>
    </row>
    <row r="11920">
      <c r="A11920" s="76"/>
    </row>
    <row r="11921">
      <c r="A11921" s="76"/>
    </row>
    <row r="11922">
      <c r="A11922" s="76"/>
    </row>
    <row r="11923">
      <c r="A11923" s="76"/>
    </row>
    <row r="11924">
      <c r="A11924" s="76"/>
    </row>
    <row r="11925">
      <c r="A11925" s="76"/>
    </row>
    <row r="11926">
      <c r="A11926" s="76"/>
    </row>
    <row r="11927">
      <c r="A11927" s="76"/>
    </row>
    <row r="11928">
      <c r="A11928" s="76"/>
    </row>
    <row r="11929">
      <c r="A11929" s="76"/>
    </row>
    <row r="11930">
      <c r="A11930" s="76"/>
    </row>
    <row r="11931">
      <c r="A11931" s="76"/>
    </row>
    <row r="11932">
      <c r="A11932" s="76"/>
    </row>
    <row r="11933">
      <c r="A11933" s="76"/>
    </row>
    <row r="11934">
      <c r="A11934" s="76"/>
    </row>
    <row r="11935">
      <c r="A11935" s="76"/>
    </row>
    <row r="11936">
      <c r="A11936" s="76"/>
    </row>
    <row r="11937">
      <c r="A11937" s="76"/>
    </row>
    <row r="11938">
      <c r="A11938" s="76"/>
    </row>
    <row r="11939">
      <c r="A11939" s="76"/>
    </row>
    <row r="11940">
      <c r="A11940" s="76"/>
    </row>
    <row r="11941">
      <c r="A11941" s="76"/>
    </row>
    <row r="11942">
      <c r="A11942" s="76"/>
    </row>
    <row r="11943">
      <c r="A11943" s="76"/>
    </row>
    <row r="11944">
      <c r="A11944" s="76"/>
    </row>
    <row r="11945">
      <c r="A11945" s="76"/>
    </row>
    <row r="11946">
      <c r="A11946" s="76"/>
    </row>
    <row r="11947">
      <c r="A11947" s="76"/>
    </row>
    <row r="11948">
      <c r="A11948" s="76"/>
    </row>
    <row r="11949">
      <c r="A11949" s="76"/>
    </row>
    <row r="11950">
      <c r="A11950" s="76"/>
    </row>
    <row r="11951">
      <c r="A11951" s="76"/>
    </row>
    <row r="11952">
      <c r="A11952" s="76"/>
    </row>
    <row r="11953">
      <c r="A11953" s="76"/>
    </row>
    <row r="11954">
      <c r="A11954" s="76"/>
    </row>
    <row r="11955">
      <c r="A11955" s="76"/>
    </row>
    <row r="11956">
      <c r="A11956" s="76"/>
    </row>
    <row r="11957">
      <c r="A11957" s="76"/>
    </row>
    <row r="11958">
      <c r="A11958" s="76"/>
    </row>
    <row r="11959">
      <c r="A11959" s="76"/>
    </row>
    <row r="11960">
      <c r="A11960" s="76"/>
    </row>
    <row r="11961">
      <c r="A11961" s="76"/>
    </row>
    <row r="11962">
      <c r="A11962" s="76"/>
    </row>
    <row r="11963">
      <c r="A11963" s="76"/>
    </row>
    <row r="11964">
      <c r="A11964" s="76"/>
    </row>
    <row r="11965">
      <c r="A11965" s="76"/>
    </row>
    <row r="11966">
      <c r="A11966" s="76"/>
    </row>
    <row r="11967">
      <c r="A11967" s="76"/>
    </row>
    <row r="11968">
      <c r="A11968" s="76"/>
    </row>
    <row r="11969">
      <c r="A11969" s="76"/>
    </row>
    <row r="11970">
      <c r="A11970" s="76"/>
    </row>
    <row r="11971">
      <c r="A11971" s="76"/>
    </row>
    <row r="11972">
      <c r="A11972" s="76"/>
    </row>
    <row r="11973">
      <c r="A11973" s="76"/>
    </row>
    <row r="11974">
      <c r="A11974" s="76"/>
    </row>
    <row r="11975">
      <c r="A11975" s="76"/>
    </row>
    <row r="11976">
      <c r="A11976" s="76"/>
    </row>
    <row r="11977">
      <c r="A11977" s="76"/>
    </row>
    <row r="11978">
      <c r="A11978" s="76"/>
    </row>
    <row r="11979">
      <c r="A11979" s="76"/>
    </row>
    <row r="11980">
      <c r="A11980" s="76"/>
    </row>
    <row r="11981">
      <c r="A11981" s="76"/>
    </row>
    <row r="11982">
      <c r="A11982" s="76"/>
    </row>
    <row r="11983">
      <c r="A11983" s="76"/>
    </row>
    <row r="11984">
      <c r="A11984" s="76"/>
    </row>
    <row r="11985">
      <c r="A11985" s="76"/>
    </row>
    <row r="11986">
      <c r="A11986" s="76"/>
    </row>
    <row r="11987">
      <c r="A11987" s="76"/>
    </row>
    <row r="11988">
      <c r="A11988" s="76"/>
    </row>
    <row r="11989">
      <c r="A11989" s="76"/>
    </row>
    <row r="11990">
      <c r="A11990" s="76"/>
    </row>
    <row r="11991">
      <c r="A11991" s="76"/>
    </row>
    <row r="11992">
      <c r="A11992" s="76"/>
    </row>
    <row r="11993">
      <c r="A11993" s="76"/>
    </row>
    <row r="11994">
      <c r="A11994" s="76"/>
    </row>
    <row r="11995">
      <c r="A11995" s="76"/>
    </row>
    <row r="11996">
      <c r="A11996" s="76"/>
    </row>
    <row r="11997">
      <c r="A11997" s="76"/>
    </row>
    <row r="11998">
      <c r="A11998" s="76"/>
    </row>
    <row r="11999">
      <c r="A11999" s="76"/>
    </row>
    <row r="12000">
      <c r="A12000" s="76"/>
    </row>
    <row r="12001">
      <c r="A12001" s="76"/>
    </row>
    <row r="12002">
      <c r="A12002" s="76"/>
    </row>
    <row r="12003">
      <c r="A12003" s="76"/>
    </row>
    <row r="12004">
      <c r="A12004" s="76"/>
    </row>
    <row r="12005">
      <c r="A12005" s="76"/>
    </row>
    <row r="12006">
      <c r="A12006" s="76"/>
    </row>
    <row r="12007">
      <c r="A12007" s="76"/>
    </row>
    <row r="12008">
      <c r="A12008" s="76"/>
    </row>
    <row r="12009">
      <c r="A12009" s="76"/>
    </row>
    <row r="12010">
      <c r="A12010" s="76"/>
    </row>
    <row r="12011">
      <c r="A12011" s="76"/>
    </row>
    <row r="12012">
      <c r="A12012" s="76"/>
    </row>
    <row r="12013">
      <c r="A12013" s="76"/>
    </row>
    <row r="12014">
      <c r="A12014" s="76"/>
    </row>
    <row r="12015">
      <c r="A12015" s="76"/>
    </row>
    <row r="12016">
      <c r="A12016" s="76"/>
    </row>
    <row r="12017">
      <c r="A12017" s="76"/>
    </row>
    <row r="12018">
      <c r="A12018" s="76"/>
    </row>
    <row r="12019">
      <c r="A12019" s="76"/>
    </row>
    <row r="12020">
      <c r="A12020" s="76"/>
    </row>
    <row r="12021">
      <c r="A12021" s="76"/>
    </row>
    <row r="12022">
      <c r="A12022" s="76"/>
    </row>
    <row r="12023">
      <c r="A12023" s="76"/>
    </row>
    <row r="12024">
      <c r="A12024" s="76"/>
    </row>
    <row r="12025">
      <c r="A12025" s="76"/>
    </row>
    <row r="12026">
      <c r="A12026" s="76"/>
    </row>
    <row r="12027">
      <c r="A12027" s="76"/>
    </row>
    <row r="12028">
      <c r="A12028" s="76"/>
    </row>
    <row r="12029">
      <c r="A12029" s="76"/>
    </row>
    <row r="12030">
      <c r="A12030" s="76"/>
    </row>
    <row r="12031">
      <c r="A12031" s="76"/>
    </row>
    <row r="12032">
      <c r="A12032" s="76"/>
    </row>
    <row r="12033">
      <c r="A12033" s="76"/>
    </row>
    <row r="12034">
      <c r="A12034" s="76"/>
    </row>
    <row r="12035">
      <c r="A12035" s="76"/>
    </row>
    <row r="12036">
      <c r="A12036" s="76"/>
    </row>
    <row r="12037">
      <c r="A12037" s="76"/>
    </row>
    <row r="12038">
      <c r="A12038" s="76"/>
    </row>
    <row r="12039">
      <c r="A12039" s="76"/>
    </row>
    <row r="12040">
      <c r="A12040" s="76"/>
    </row>
    <row r="12041">
      <c r="A12041" s="76"/>
    </row>
    <row r="12042">
      <c r="A12042" s="76"/>
    </row>
    <row r="12043">
      <c r="A12043" s="76"/>
    </row>
    <row r="12044">
      <c r="A12044" s="76"/>
    </row>
    <row r="12045">
      <c r="A12045" s="76"/>
    </row>
    <row r="12046">
      <c r="A12046" s="76"/>
    </row>
    <row r="12047">
      <c r="A12047" s="76"/>
    </row>
    <row r="12048">
      <c r="A12048" s="76"/>
    </row>
    <row r="12049">
      <c r="A12049" s="76"/>
    </row>
    <row r="12050">
      <c r="A12050" s="76"/>
    </row>
    <row r="12051">
      <c r="A12051" s="76"/>
    </row>
    <row r="12052">
      <c r="A12052" s="76"/>
    </row>
    <row r="12053">
      <c r="A12053" s="76"/>
    </row>
    <row r="12054">
      <c r="A12054" s="76"/>
    </row>
    <row r="12055">
      <c r="A12055" s="76"/>
    </row>
    <row r="12056">
      <c r="A12056" s="76"/>
    </row>
    <row r="12057">
      <c r="A12057" s="76"/>
    </row>
    <row r="12058">
      <c r="A12058" s="76"/>
    </row>
    <row r="12059">
      <c r="A12059" s="76"/>
    </row>
    <row r="12060">
      <c r="A12060" s="76"/>
    </row>
    <row r="12061">
      <c r="A12061" s="76"/>
    </row>
    <row r="12062">
      <c r="A12062" s="76"/>
    </row>
    <row r="12063">
      <c r="A12063" s="76"/>
    </row>
    <row r="12064">
      <c r="A12064" s="76"/>
    </row>
    <row r="12065">
      <c r="A12065" s="76"/>
    </row>
    <row r="12066">
      <c r="A12066" s="76"/>
    </row>
    <row r="12067">
      <c r="A12067" s="76"/>
    </row>
    <row r="12068">
      <c r="A12068" s="76"/>
    </row>
    <row r="12069">
      <c r="A12069" s="76"/>
    </row>
    <row r="12070">
      <c r="A12070" s="76"/>
    </row>
    <row r="12071">
      <c r="A12071" s="76"/>
    </row>
    <row r="12072">
      <c r="A12072" s="76"/>
    </row>
    <row r="12073">
      <c r="A12073" s="76"/>
    </row>
    <row r="12074">
      <c r="A12074" s="76"/>
    </row>
    <row r="12075">
      <c r="A12075" s="76"/>
    </row>
    <row r="12076">
      <c r="A12076" s="76"/>
    </row>
    <row r="12077">
      <c r="A12077" s="76"/>
    </row>
    <row r="12078">
      <c r="A12078" s="76"/>
    </row>
    <row r="12079">
      <c r="A12079" s="76"/>
    </row>
    <row r="12080">
      <c r="A12080" s="76"/>
    </row>
    <row r="12081">
      <c r="A12081" s="76"/>
    </row>
    <row r="12082">
      <c r="A12082" s="76"/>
    </row>
    <row r="12083">
      <c r="A12083" s="76"/>
    </row>
    <row r="12084">
      <c r="A12084" s="76"/>
    </row>
    <row r="12085">
      <c r="A12085" s="76"/>
    </row>
    <row r="12086">
      <c r="A12086" s="76"/>
    </row>
    <row r="12087">
      <c r="A12087" s="76"/>
    </row>
    <row r="12088">
      <c r="A12088" s="76"/>
    </row>
    <row r="12089">
      <c r="A12089" s="76"/>
    </row>
    <row r="12090">
      <c r="A12090" s="76"/>
    </row>
    <row r="12091">
      <c r="A12091" s="76"/>
    </row>
    <row r="12092">
      <c r="A12092" s="76"/>
    </row>
    <row r="12093">
      <c r="A12093" s="76"/>
    </row>
    <row r="12094">
      <c r="A12094" s="76"/>
    </row>
    <row r="12095">
      <c r="A12095" s="76"/>
    </row>
    <row r="12096">
      <c r="A12096" s="76"/>
    </row>
    <row r="12097">
      <c r="A12097" s="76"/>
    </row>
    <row r="12098">
      <c r="A12098" s="76"/>
    </row>
    <row r="12099">
      <c r="A12099" s="76"/>
    </row>
    <row r="12100">
      <c r="A12100" s="76"/>
    </row>
    <row r="12101">
      <c r="A12101" s="76"/>
    </row>
    <row r="12102">
      <c r="A12102" s="76"/>
    </row>
    <row r="12103">
      <c r="A12103" s="76"/>
    </row>
    <row r="12104">
      <c r="A12104" s="76"/>
    </row>
    <row r="12105">
      <c r="A12105" s="76"/>
    </row>
    <row r="12106">
      <c r="A12106" s="76"/>
    </row>
    <row r="12107">
      <c r="A12107" s="76"/>
    </row>
    <row r="12108">
      <c r="A12108" s="76"/>
    </row>
    <row r="12109">
      <c r="A12109" s="76"/>
    </row>
    <row r="12110">
      <c r="A12110" s="76"/>
    </row>
    <row r="12111">
      <c r="A12111" s="76"/>
    </row>
    <row r="12112">
      <c r="A12112" s="76"/>
    </row>
    <row r="12113">
      <c r="A12113" s="76"/>
    </row>
    <row r="12114">
      <c r="A12114" s="76"/>
    </row>
    <row r="12115">
      <c r="A12115" s="76"/>
    </row>
    <row r="12116">
      <c r="A12116" s="76"/>
    </row>
    <row r="12117">
      <c r="A12117" s="76"/>
    </row>
    <row r="12118">
      <c r="A12118" s="76"/>
    </row>
    <row r="12119">
      <c r="A12119" s="76"/>
    </row>
    <row r="12120">
      <c r="A12120" s="76"/>
    </row>
    <row r="12121">
      <c r="A12121" s="76"/>
    </row>
    <row r="12122">
      <c r="A12122" s="76"/>
    </row>
    <row r="12123">
      <c r="A12123" s="76"/>
    </row>
    <row r="12124">
      <c r="A12124" s="76"/>
    </row>
    <row r="12125">
      <c r="A12125" s="76"/>
    </row>
    <row r="12126">
      <c r="A12126" s="76"/>
    </row>
    <row r="12127">
      <c r="A12127" s="76"/>
    </row>
    <row r="12128">
      <c r="A12128" s="76"/>
    </row>
    <row r="12129">
      <c r="A12129" s="76"/>
    </row>
    <row r="12130">
      <c r="A12130" s="76"/>
    </row>
    <row r="12131">
      <c r="A12131" s="76"/>
    </row>
    <row r="12132">
      <c r="A12132" s="76"/>
    </row>
    <row r="12133">
      <c r="A12133" s="76"/>
    </row>
    <row r="12134">
      <c r="A12134" s="76"/>
    </row>
    <row r="12135">
      <c r="A12135" s="76"/>
    </row>
    <row r="12136">
      <c r="A12136" s="76"/>
    </row>
    <row r="12137">
      <c r="A12137" s="76"/>
    </row>
    <row r="12138">
      <c r="A12138" s="76"/>
    </row>
    <row r="12139">
      <c r="A12139" s="76"/>
    </row>
    <row r="12140">
      <c r="A12140" s="76"/>
    </row>
    <row r="12141">
      <c r="A12141" s="76"/>
    </row>
    <row r="12142">
      <c r="A12142" s="76"/>
    </row>
    <row r="12143">
      <c r="A12143" s="76"/>
    </row>
    <row r="12144">
      <c r="A12144" s="76"/>
    </row>
    <row r="12145">
      <c r="A12145" s="76"/>
    </row>
    <row r="12146">
      <c r="A12146" s="76"/>
    </row>
    <row r="12147">
      <c r="A12147" s="76"/>
    </row>
    <row r="12148">
      <c r="A12148" s="76"/>
    </row>
    <row r="12149">
      <c r="A12149" s="76"/>
    </row>
    <row r="12150">
      <c r="A12150" s="76"/>
    </row>
    <row r="12151">
      <c r="A12151" s="76"/>
    </row>
    <row r="12152">
      <c r="A12152" s="76"/>
    </row>
    <row r="12153">
      <c r="A12153" s="76"/>
    </row>
    <row r="12154">
      <c r="A12154" s="76"/>
    </row>
    <row r="12155">
      <c r="A12155" s="76"/>
    </row>
    <row r="12156">
      <c r="A12156" s="76"/>
    </row>
    <row r="12157">
      <c r="A12157" s="76"/>
    </row>
    <row r="12158">
      <c r="A12158" s="76"/>
    </row>
    <row r="12159">
      <c r="A12159" s="76"/>
    </row>
    <row r="12160">
      <c r="A12160" s="76"/>
    </row>
    <row r="12161">
      <c r="A12161" s="76"/>
    </row>
    <row r="12162">
      <c r="A12162" s="76"/>
    </row>
    <row r="12163">
      <c r="A12163" s="76"/>
    </row>
    <row r="12164">
      <c r="A12164" s="76"/>
    </row>
    <row r="12165">
      <c r="A12165" s="76"/>
    </row>
    <row r="12166">
      <c r="A12166" s="76"/>
    </row>
    <row r="12167">
      <c r="A12167" s="76"/>
    </row>
    <row r="12168">
      <c r="A12168" s="76"/>
    </row>
    <row r="12169">
      <c r="A12169" s="76"/>
    </row>
    <row r="12170">
      <c r="A12170" s="76"/>
    </row>
    <row r="12171">
      <c r="A12171" s="76"/>
    </row>
    <row r="12172">
      <c r="A12172" s="76"/>
    </row>
    <row r="12173">
      <c r="A12173" s="76"/>
    </row>
    <row r="12174">
      <c r="A12174" s="76"/>
    </row>
    <row r="12175">
      <c r="A12175" s="76"/>
    </row>
    <row r="12176">
      <c r="A12176" s="76"/>
    </row>
    <row r="12177">
      <c r="A12177" s="76"/>
    </row>
    <row r="12178">
      <c r="A12178" s="76"/>
    </row>
    <row r="12179">
      <c r="A12179" s="76"/>
    </row>
    <row r="12180">
      <c r="A12180" s="76"/>
    </row>
    <row r="12181">
      <c r="A12181" s="76"/>
    </row>
    <row r="12182">
      <c r="A12182" s="76"/>
    </row>
    <row r="12183">
      <c r="A12183" s="76"/>
    </row>
    <row r="12184">
      <c r="A12184" s="76"/>
    </row>
    <row r="12185">
      <c r="A12185" s="76"/>
    </row>
    <row r="12186">
      <c r="A12186" s="76"/>
    </row>
    <row r="12187">
      <c r="A12187" s="76"/>
    </row>
    <row r="12188">
      <c r="A12188" s="76"/>
    </row>
    <row r="12189">
      <c r="A12189" s="76"/>
    </row>
    <row r="12190">
      <c r="A12190" s="76"/>
    </row>
    <row r="12191">
      <c r="A12191" s="76"/>
    </row>
    <row r="12192">
      <c r="A12192" s="76"/>
    </row>
    <row r="12193">
      <c r="A12193" s="76"/>
    </row>
    <row r="12194">
      <c r="A12194" s="76"/>
    </row>
    <row r="12195">
      <c r="A12195" s="76"/>
    </row>
    <row r="12196">
      <c r="A12196" s="76"/>
    </row>
    <row r="12197">
      <c r="A12197" s="76"/>
    </row>
    <row r="12198">
      <c r="A12198" s="76"/>
    </row>
    <row r="12199">
      <c r="A12199" s="76"/>
    </row>
    <row r="12200">
      <c r="A12200" s="76"/>
    </row>
    <row r="12201">
      <c r="A12201" s="76"/>
    </row>
    <row r="12202">
      <c r="A12202" s="76"/>
    </row>
    <row r="12203">
      <c r="A12203" s="76"/>
    </row>
    <row r="12204">
      <c r="A12204" s="76"/>
    </row>
    <row r="12205">
      <c r="A12205" s="76"/>
    </row>
    <row r="12206">
      <c r="A12206" s="76"/>
    </row>
    <row r="12207">
      <c r="A12207" s="76"/>
    </row>
    <row r="12208">
      <c r="A12208" s="76"/>
    </row>
    <row r="12209">
      <c r="A12209" s="76"/>
    </row>
    <row r="12210">
      <c r="A12210" s="76"/>
    </row>
    <row r="12211">
      <c r="A12211" s="76"/>
    </row>
    <row r="12212">
      <c r="A12212" s="76"/>
    </row>
    <row r="12213">
      <c r="A12213" s="76"/>
    </row>
    <row r="12214">
      <c r="A12214" s="76"/>
    </row>
    <row r="12215">
      <c r="A12215" s="76"/>
    </row>
    <row r="12216">
      <c r="A12216" s="76"/>
    </row>
    <row r="12217">
      <c r="A12217" s="76"/>
    </row>
    <row r="12218">
      <c r="A12218" s="76"/>
    </row>
    <row r="12219">
      <c r="A12219" s="76"/>
    </row>
    <row r="12220">
      <c r="A12220" s="76"/>
    </row>
    <row r="12221">
      <c r="A12221" s="76"/>
    </row>
    <row r="12222">
      <c r="A12222" s="76"/>
    </row>
    <row r="12223">
      <c r="A12223" s="76"/>
    </row>
    <row r="12224">
      <c r="A12224" s="76"/>
    </row>
    <row r="12225">
      <c r="A12225" s="76"/>
    </row>
    <row r="12226">
      <c r="A12226" s="76"/>
    </row>
    <row r="12227">
      <c r="A12227" s="76"/>
    </row>
    <row r="12228">
      <c r="A12228" s="76"/>
    </row>
    <row r="12229">
      <c r="A12229" s="76"/>
    </row>
    <row r="12230">
      <c r="A12230" s="76"/>
    </row>
    <row r="12231">
      <c r="A12231" s="76"/>
    </row>
    <row r="12232">
      <c r="A12232" s="76"/>
    </row>
    <row r="12233">
      <c r="A12233" s="76"/>
    </row>
    <row r="12234">
      <c r="A12234" s="76"/>
    </row>
    <row r="12235">
      <c r="A12235" s="76"/>
    </row>
    <row r="12236">
      <c r="A12236" s="76"/>
    </row>
    <row r="12237">
      <c r="A12237" s="76"/>
    </row>
    <row r="12238">
      <c r="A12238" s="76"/>
    </row>
    <row r="12239">
      <c r="A12239" s="76"/>
    </row>
    <row r="12240">
      <c r="A12240" s="76"/>
    </row>
    <row r="12241">
      <c r="A12241" s="76"/>
    </row>
    <row r="12242">
      <c r="A12242" s="76"/>
    </row>
    <row r="12243">
      <c r="A12243" s="76"/>
    </row>
    <row r="12244">
      <c r="A12244" s="76"/>
    </row>
    <row r="12245">
      <c r="A12245" s="76"/>
    </row>
    <row r="12246">
      <c r="A12246" s="76"/>
    </row>
    <row r="12247">
      <c r="A12247" s="76"/>
    </row>
    <row r="12248">
      <c r="A12248" s="76"/>
    </row>
    <row r="12249">
      <c r="A12249" s="76"/>
    </row>
    <row r="12250">
      <c r="A12250" s="76"/>
    </row>
    <row r="12251">
      <c r="A12251" s="76"/>
    </row>
    <row r="12252">
      <c r="A12252" s="76"/>
    </row>
    <row r="12253">
      <c r="A12253" s="76"/>
    </row>
    <row r="12254">
      <c r="A12254" s="76"/>
    </row>
    <row r="12255">
      <c r="A12255" s="76"/>
    </row>
    <row r="12256">
      <c r="A12256" s="76"/>
    </row>
    <row r="12257">
      <c r="A12257" s="76"/>
    </row>
    <row r="12258">
      <c r="A12258" s="76"/>
    </row>
    <row r="12259">
      <c r="A12259" s="76"/>
    </row>
    <row r="12260">
      <c r="A12260" s="76"/>
    </row>
    <row r="12261">
      <c r="A12261" s="76"/>
    </row>
    <row r="12262">
      <c r="A12262" s="76"/>
    </row>
    <row r="12263">
      <c r="A12263" s="76"/>
    </row>
    <row r="12264">
      <c r="A12264" s="76"/>
    </row>
    <row r="12265">
      <c r="A12265" s="76"/>
    </row>
    <row r="12266">
      <c r="A12266" s="76"/>
    </row>
    <row r="12267">
      <c r="A12267" s="76"/>
    </row>
    <row r="12268">
      <c r="A12268" s="76"/>
    </row>
    <row r="12269">
      <c r="A12269" s="76"/>
    </row>
    <row r="12270">
      <c r="A12270" s="76"/>
    </row>
    <row r="12271">
      <c r="A12271" s="76"/>
    </row>
    <row r="12272">
      <c r="A12272" s="76"/>
    </row>
    <row r="12273">
      <c r="A12273" s="76"/>
    </row>
    <row r="12274">
      <c r="A12274" s="76"/>
    </row>
    <row r="12275">
      <c r="A12275" s="76"/>
    </row>
    <row r="12276">
      <c r="A12276" s="76"/>
    </row>
    <row r="12277">
      <c r="A12277" s="76"/>
    </row>
    <row r="12278">
      <c r="A12278" s="76"/>
    </row>
    <row r="12279">
      <c r="A12279" s="76"/>
    </row>
    <row r="12280">
      <c r="A12280" s="76"/>
    </row>
    <row r="12281">
      <c r="A12281" s="76"/>
    </row>
    <row r="12282">
      <c r="A12282" s="76"/>
    </row>
    <row r="12283">
      <c r="A12283" s="76"/>
    </row>
    <row r="12284">
      <c r="A12284" s="76"/>
    </row>
    <row r="12285">
      <c r="A12285" s="76"/>
    </row>
    <row r="12286">
      <c r="A12286" s="76"/>
    </row>
    <row r="12287">
      <c r="A12287" s="76"/>
    </row>
    <row r="12288">
      <c r="A12288" s="76"/>
    </row>
    <row r="12289">
      <c r="A12289" s="76"/>
    </row>
    <row r="12290">
      <c r="A12290" s="76"/>
    </row>
    <row r="12291">
      <c r="A12291" s="76"/>
    </row>
    <row r="12292">
      <c r="A12292" s="76"/>
    </row>
    <row r="12293">
      <c r="A12293" s="76"/>
    </row>
    <row r="12294">
      <c r="A12294" s="76"/>
    </row>
    <row r="12295">
      <c r="A12295" s="76"/>
    </row>
    <row r="12296">
      <c r="A12296" s="76"/>
    </row>
    <row r="12297">
      <c r="A12297" s="76"/>
    </row>
    <row r="12298">
      <c r="A12298" s="76"/>
    </row>
    <row r="12299">
      <c r="A12299" s="76"/>
    </row>
    <row r="12300">
      <c r="A12300" s="76"/>
    </row>
    <row r="12301">
      <c r="A12301" s="76"/>
    </row>
    <row r="12302">
      <c r="A12302" s="76"/>
    </row>
    <row r="12303">
      <c r="A12303" s="76"/>
    </row>
    <row r="12304">
      <c r="A12304" s="76"/>
    </row>
    <row r="12305">
      <c r="A12305" s="76"/>
    </row>
    <row r="12306">
      <c r="A12306" s="76"/>
    </row>
    <row r="12307">
      <c r="A12307" s="76"/>
    </row>
    <row r="12308">
      <c r="A12308" s="76"/>
    </row>
    <row r="12309">
      <c r="A12309" s="76"/>
    </row>
    <row r="12310">
      <c r="A12310" s="76"/>
    </row>
    <row r="12311">
      <c r="A12311" s="76"/>
    </row>
    <row r="12312">
      <c r="A12312" s="76"/>
    </row>
    <row r="12313">
      <c r="A12313" s="76"/>
    </row>
    <row r="12314">
      <c r="A12314" s="76"/>
    </row>
    <row r="12315">
      <c r="A12315" s="76"/>
    </row>
    <row r="12316">
      <c r="A12316" s="76"/>
    </row>
    <row r="12317">
      <c r="A12317" s="76"/>
    </row>
    <row r="12318">
      <c r="A12318" s="76"/>
    </row>
    <row r="12319">
      <c r="A12319" s="76"/>
    </row>
    <row r="12320">
      <c r="A12320" s="76"/>
    </row>
    <row r="12321">
      <c r="A12321" s="76"/>
    </row>
    <row r="12322">
      <c r="A12322" s="76"/>
    </row>
    <row r="12323">
      <c r="A12323" s="76"/>
    </row>
    <row r="12324">
      <c r="A12324" s="76"/>
    </row>
    <row r="12325">
      <c r="A12325" s="76"/>
    </row>
    <row r="12326">
      <c r="A12326" s="76"/>
    </row>
    <row r="12327">
      <c r="A12327" s="76"/>
    </row>
    <row r="12328">
      <c r="A12328" s="76"/>
    </row>
    <row r="12329">
      <c r="A12329" s="76"/>
    </row>
    <row r="12330">
      <c r="A12330" s="76"/>
    </row>
    <row r="12331">
      <c r="A12331" s="76"/>
    </row>
    <row r="12332">
      <c r="A12332" s="76"/>
    </row>
    <row r="12333">
      <c r="A12333" s="76"/>
    </row>
    <row r="12334">
      <c r="A12334" s="76"/>
    </row>
    <row r="12335">
      <c r="A12335" s="76"/>
    </row>
    <row r="12336">
      <c r="A12336" s="76"/>
    </row>
    <row r="12337">
      <c r="A12337" s="76"/>
    </row>
    <row r="12338">
      <c r="A12338" s="76"/>
    </row>
    <row r="12339">
      <c r="A12339" s="76"/>
    </row>
    <row r="12340">
      <c r="A12340" s="76"/>
    </row>
    <row r="12341">
      <c r="A12341" s="76"/>
    </row>
    <row r="12342">
      <c r="A12342" s="76"/>
    </row>
    <row r="12343">
      <c r="A12343" s="76"/>
    </row>
    <row r="12344">
      <c r="A12344" s="76"/>
    </row>
    <row r="12345">
      <c r="A12345" s="76"/>
    </row>
    <row r="12346">
      <c r="A12346" s="76"/>
    </row>
    <row r="12347">
      <c r="A12347" s="76"/>
    </row>
    <row r="12348">
      <c r="A12348" s="76"/>
    </row>
    <row r="12349">
      <c r="A12349" s="76"/>
    </row>
    <row r="12350">
      <c r="A12350" s="76"/>
    </row>
    <row r="12351">
      <c r="A12351" s="76"/>
    </row>
    <row r="12352">
      <c r="A12352" s="76"/>
    </row>
    <row r="12353">
      <c r="A12353" s="76"/>
    </row>
    <row r="12354">
      <c r="A12354" s="76"/>
    </row>
    <row r="12355">
      <c r="A12355" s="76"/>
    </row>
    <row r="12356">
      <c r="A12356" s="76"/>
    </row>
    <row r="12357">
      <c r="A12357" s="76"/>
    </row>
    <row r="12358">
      <c r="A12358" s="76"/>
    </row>
    <row r="12359">
      <c r="A12359" s="76"/>
    </row>
    <row r="12360">
      <c r="A12360" s="76"/>
    </row>
    <row r="12361">
      <c r="A12361" s="76"/>
    </row>
    <row r="12362">
      <c r="A12362" s="76"/>
    </row>
    <row r="12363">
      <c r="A12363" s="76"/>
    </row>
    <row r="12364">
      <c r="A12364" s="76"/>
    </row>
    <row r="12365">
      <c r="A12365" s="76"/>
    </row>
    <row r="12366">
      <c r="A12366" s="76"/>
    </row>
    <row r="12367">
      <c r="A12367" s="76"/>
    </row>
    <row r="12368">
      <c r="A12368" s="76"/>
    </row>
    <row r="12369">
      <c r="A12369" s="76"/>
    </row>
    <row r="12370">
      <c r="A12370" s="76"/>
    </row>
    <row r="12371">
      <c r="A12371" s="76"/>
    </row>
    <row r="12372">
      <c r="A12372" s="76"/>
    </row>
    <row r="12373">
      <c r="A12373" s="76"/>
    </row>
    <row r="12374">
      <c r="A12374" s="76"/>
    </row>
    <row r="12375">
      <c r="A12375" s="76"/>
    </row>
    <row r="12376">
      <c r="A12376" s="76"/>
    </row>
    <row r="12377">
      <c r="A12377" s="76"/>
    </row>
    <row r="12378">
      <c r="A12378" s="76"/>
    </row>
    <row r="12379">
      <c r="A12379" s="76"/>
    </row>
    <row r="12380">
      <c r="A12380" s="76"/>
    </row>
    <row r="12381">
      <c r="A12381" s="76"/>
    </row>
    <row r="12382">
      <c r="A12382" s="76"/>
    </row>
    <row r="12383">
      <c r="A12383" s="76"/>
    </row>
    <row r="12384">
      <c r="A12384" s="76"/>
    </row>
    <row r="12385">
      <c r="A12385" s="76"/>
    </row>
    <row r="12386">
      <c r="A12386" s="76"/>
    </row>
    <row r="12387">
      <c r="A12387" s="76"/>
    </row>
    <row r="12388">
      <c r="A12388" s="76"/>
    </row>
    <row r="12389">
      <c r="A12389" s="76"/>
    </row>
    <row r="12390">
      <c r="A12390" s="76"/>
    </row>
    <row r="12391">
      <c r="A12391" s="76"/>
    </row>
    <row r="12392">
      <c r="A12392" s="76"/>
    </row>
    <row r="12393">
      <c r="A12393" s="76"/>
    </row>
    <row r="12394">
      <c r="A12394" s="76"/>
    </row>
    <row r="12395">
      <c r="A12395" s="76"/>
    </row>
    <row r="12396">
      <c r="A12396" s="76"/>
    </row>
    <row r="12397">
      <c r="A12397" s="76"/>
    </row>
    <row r="12398">
      <c r="A12398" s="76"/>
    </row>
    <row r="12399">
      <c r="A12399" s="76"/>
    </row>
    <row r="12400">
      <c r="A12400" s="76"/>
    </row>
    <row r="12401">
      <c r="A12401" s="76"/>
    </row>
    <row r="12402">
      <c r="A12402" s="76"/>
    </row>
    <row r="12403">
      <c r="A12403" s="76"/>
    </row>
    <row r="12404">
      <c r="A12404" s="76"/>
    </row>
    <row r="12405">
      <c r="A12405" s="76"/>
    </row>
    <row r="12406">
      <c r="A12406" s="76"/>
    </row>
    <row r="12407">
      <c r="A12407" s="76"/>
    </row>
    <row r="12408">
      <c r="A12408" s="76"/>
    </row>
    <row r="12409">
      <c r="A12409" s="76"/>
    </row>
    <row r="12410">
      <c r="A12410" s="76"/>
    </row>
    <row r="12411">
      <c r="A12411" s="76"/>
    </row>
    <row r="12412">
      <c r="A12412" s="76"/>
    </row>
    <row r="12413">
      <c r="A12413" s="76"/>
    </row>
    <row r="12414">
      <c r="A12414" s="76"/>
    </row>
    <row r="12415">
      <c r="A12415" s="76"/>
    </row>
    <row r="12416">
      <c r="A12416" s="76"/>
    </row>
    <row r="12417">
      <c r="A12417" s="76"/>
    </row>
    <row r="12418">
      <c r="A12418" s="76"/>
    </row>
    <row r="12419">
      <c r="A12419" s="76"/>
    </row>
    <row r="12420">
      <c r="A12420" s="76"/>
    </row>
    <row r="12421">
      <c r="A12421" s="76"/>
    </row>
    <row r="12422">
      <c r="A12422" s="76"/>
    </row>
    <row r="12423">
      <c r="A12423" s="76"/>
    </row>
    <row r="12424">
      <c r="A12424" s="76"/>
    </row>
    <row r="12425">
      <c r="A12425" s="76"/>
    </row>
    <row r="12426">
      <c r="A12426" s="76"/>
    </row>
    <row r="12427">
      <c r="A12427" s="76"/>
    </row>
    <row r="12428">
      <c r="A12428" s="76"/>
    </row>
    <row r="12429">
      <c r="A12429" s="76"/>
    </row>
    <row r="12430">
      <c r="A12430" s="76"/>
    </row>
    <row r="12431">
      <c r="A12431" s="76"/>
    </row>
    <row r="12432">
      <c r="A12432" s="76"/>
    </row>
    <row r="12433">
      <c r="A12433" s="76"/>
    </row>
    <row r="12434">
      <c r="A12434" s="76"/>
    </row>
    <row r="12435">
      <c r="A12435" s="76"/>
    </row>
    <row r="12436">
      <c r="A12436" s="76"/>
    </row>
    <row r="12437">
      <c r="A12437" s="76"/>
    </row>
    <row r="12438">
      <c r="A12438" s="76"/>
    </row>
    <row r="12439">
      <c r="A12439" s="76"/>
    </row>
    <row r="12440">
      <c r="A12440" s="76"/>
    </row>
    <row r="12441">
      <c r="A12441" s="76"/>
    </row>
    <row r="12442">
      <c r="A12442" s="76"/>
    </row>
    <row r="12443">
      <c r="A12443" s="76"/>
    </row>
    <row r="12444">
      <c r="A12444" s="76"/>
    </row>
    <row r="12445">
      <c r="A12445" s="76"/>
    </row>
    <row r="12446">
      <c r="A12446" s="76"/>
    </row>
    <row r="12447">
      <c r="A12447" s="76"/>
    </row>
    <row r="12448">
      <c r="A12448" s="76"/>
    </row>
    <row r="12449">
      <c r="A12449" s="76"/>
    </row>
    <row r="12450">
      <c r="A12450" s="76"/>
    </row>
    <row r="12451">
      <c r="A12451" s="76"/>
    </row>
    <row r="12452">
      <c r="A12452" s="76"/>
    </row>
    <row r="12453">
      <c r="A12453" s="76"/>
    </row>
    <row r="12454">
      <c r="A12454" s="76"/>
    </row>
    <row r="12455">
      <c r="A12455" s="76"/>
    </row>
    <row r="12456">
      <c r="A12456" s="76"/>
    </row>
    <row r="12457">
      <c r="A12457" s="76"/>
    </row>
    <row r="12458">
      <c r="A12458" s="76"/>
    </row>
    <row r="12459">
      <c r="A12459" s="76"/>
    </row>
    <row r="12460">
      <c r="A12460" s="76"/>
    </row>
    <row r="12461">
      <c r="A12461" s="76"/>
    </row>
    <row r="12462">
      <c r="A12462" s="76"/>
    </row>
    <row r="12463">
      <c r="A12463" s="76"/>
    </row>
    <row r="12464">
      <c r="A12464" s="76"/>
    </row>
    <row r="12465">
      <c r="A12465" s="76"/>
    </row>
    <row r="12466">
      <c r="A12466" s="76"/>
    </row>
    <row r="12467">
      <c r="A12467" s="76"/>
    </row>
    <row r="12468">
      <c r="A12468" s="76"/>
    </row>
    <row r="12469">
      <c r="A12469" s="76"/>
    </row>
    <row r="12470">
      <c r="A12470" s="76"/>
    </row>
    <row r="12471">
      <c r="A12471" s="76"/>
    </row>
    <row r="12472">
      <c r="A12472" s="76"/>
    </row>
    <row r="12473">
      <c r="A12473" s="76"/>
    </row>
    <row r="12474">
      <c r="A12474" s="76"/>
    </row>
    <row r="12475">
      <c r="A12475" s="76"/>
    </row>
    <row r="12476">
      <c r="A12476" s="76"/>
    </row>
    <row r="12477">
      <c r="A12477" s="76"/>
    </row>
    <row r="12478">
      <c r="A12478" s="76"/>
    </row>
    <row r="12479">
      <c r="A12479" s="76"/>
    </row>
    <row r="12480">
      <c r="A12480" s="76"/>
    </row>
    <row r="12481">
      <c r="A12481" s="76"/>
    </row>
    <row r="12482">
      <c r="A12482" s="76"/>
    </row>
    <row r="12483">
      <c r="A12483" s="76"/>
    </row>
    <row r="12484">
      <c r="A12484" s="76"/>
    </row>
    <row r="12485">
      <c r="A12485" s="76"/>
    </row>
    <row r="12486">
      <c r="A12486" s="76"/>
    </row>
    <row r="12487">
      <c r="A12487" s="76"/>
    </row>
    <row r="12488">
      <c r="A12488" s="76"/>
    </row>
    <row r="12489">
      <c r="A12489" s="76"/>
    </row>
    <row r="12490">
      <c r="A12490" s="76"/>
    </row>
    <row r="12491">
      <c r="A12491" s="76"/>
    </row>
    <row r="12492">
      <c r="A12492" s="76"/>
    </row>
    <row r="12493">
      <c r="A12493" s="76"/>
    </row>
    <row r="12494">
      <c r="A12494" s="76"/>
    </row>
    <row r="12495">
      <c r="A12495" s="76"/>
    </row>
    <row r="12496">
      <c r="A12496" s="76"/>
    </row>
    <row r="12497">
      <c r="A12497" s="76"/>
    </row>
    <row r="12498">
      <c r="A12498" s="76"/>
    </row>
    <row r="12499">
      <c r="A12499" s="76"/>
    </row>
    <row r="12500">
      <c r="A12500" s="76"/>
    </row>
    <row r="12501">
      <c r="A12501" s="76"/>
    </row>
    <row r="12502">
      <c r="A12502" s="76"/>
    </row>
    <row r="12503">
      <c r="A12503" s="76"/>
    </row>
    <row r="12504">
      <c r="A12504" s="76"/>
    </row>
    <row r="12505">
      <c r="A12505" s="76"/>
    </row>
    <row r="12506">
      <c r="A12506" s="76"/>
    </row>
    <row r="12507">
      <c r="A12507" s="76"/>
    </row>
    <row r="12508">
      <c r="A12508" s="76"/>
    </row>
    <row r="12509">
      <c r="A12509" s="76"/>
    </row>
    <row r="12510">
      <c r="A12510" s="76"/>
    </row>
    <row r="12511">
      <c r="A12511" s="76"/>
    </row>
    <row r="12512">
      <c r="A12512" s="76"/>
    </row>
    <row r="12513">
      <c r="A12513" s="76"/>
    </row>
    <row r="12514">
      <c r="A12514" s="76"/>
    </row>
    <row r="12515">
      <c r="A12515" s="76"/>
    </row>
    <row r="12516">
      <c r="A12516" s="76"/>
    </row>
    <row r="12517">
      <c r="A12517" s="76"/>
    </row>
    <row r="12518">
      <c r="A12518" s="76"/>
    </row>
    <row r="12519">
      <c r="A12519" s="76"/>
    </row>
    <row r="12520">
      <c r="A12520" s="76"/>
    </row>
    <row r="12521">
      <c r="A12521" s="76"/>
    </row>
    <row r="12522">
      <c r="A12522" s="76"/>
    </row>
    <row r="12523">
      <c r="A12523" s="76"/>
    </row>
    <row r="12524">
      <c r="A12524" s="76"/>
    </row>
    <row r="12525">
      <c r="A12525" s="76"/>
    </row>
    <row r="12526">
      <c r="A12526" s="76"/>
    </row>
    <row r="12527">
      <c r="A12527" s="76"/>
    </row>
    <row r="12528">
      <c r="A12528" s="76"/>
    </row>
    <row r="12529">
      <c r="A12529" s="76"/>
    </row>
    <row r="12530">
      <c r="A12530" s="76"/>
    </row>
    <row r="12531">
      <c r="A12531" s="76"/>
    </row>
    <row r="12532">
      <c r="A12532" s="76"/>
    </row>
    <row r="12533">
      <c r="A12533" s="76"/>
    </row>
    <row r="12534">
      <c r="A12534" s="76"/>
    </row>
    <row r="12535">
      <c r="A12535" s="76"/>
    </row>
    <row r="12536">
      <c r="A12536" s="76"/>
    </row>
    <row r="12537">
      <c r="A12537" s="76"/>
    </row>
    <row r="12538">
      <c r="A12538" s="76"/>
    </row>
    <row r="12539">
      <c r="A12539" s="76"/>
    </row>
    <row r="12540">
      <c r="A12540" s="76"/>
    </row>
    <row r="12541">
      <c r="A12541" s="76"/>
    </row>
    <row r="12542">
      <c r="A12542" s="76"/>
    </row>
    <row r="12543">
      <c r="A12543" s="76"/>
    </row>
    <row r="12544">
      <c r="A12544" s="76"/>
    </row>
    <row r="12545">
      <c r="A12545" s="76"/>
    </row>
    <row r="12546">
      <c r="A12546" s="76"/>
    </row>
    <row r="12547">
      <c r="A12547" s="76"/>
    </row>
    <row r="12548">
      <c r="A12548" s="76"/>
    </row>
    <row r="12549">
      <c r="A12549" s="76"/>
    </row>
    <row r="12550">
      <c r="A12550" s="76"/>
    </row>
    <row r="12551">
      <c r="A12551" s="76"/>
    </row>
    <row r="12552">
      <c r="A12552" s="76"/>
    </row>
    <row r="12553">
      <c r="A12553" s="76"/>
    </row>
    <row r="12554">
      <c r="A12554" s="76"/>
    </row>
    <row r="12555">
      <c r="A12555" s="76"/>
    </row>
    <row r="12556">
      <c r="A12556" s="76"/>
    </row>
    <row r="12557">
      <c r="A12557" s="76"/>
    </row>
    <row r="12558">
      <c r="A12558" s="76"/>
    </row>
    <row r="12559">
      <c r="A12559" s="76"/>
    </row>
    <row r="12560">
      <c r="A12560" s="76"/>
    </row>
    <row r="12561">
      <c r="A12561" s="76"/>
    </row>
    <row r="12562">
      <c r="A12562" s="76"/>
    </row>
    <row r="12563">
      <c r="A12563" s="76"/>
    </row>
    <row r="12564">
      <c r="A12564" s="76"/>
    </row>
    <row r="12565">
      <c r="A12565" s="76"/>
    </row>
    <row r="12566">
      <c r="A12566" s="76"/>
    </row>
    <row r="12567">
      <c r="A12567" s="76"/>
    </row>
    <row r="12568">
      <c r="A12568" s="76"/>
    </row>
    <row r="12569">
      <c r="A12569" s="76"/>
    </row>
    <row r="12570">
      <c r="A12570" s="76"/>
    </row>
    <row r="12571">
      <c r="A12571" s="76"/>
    </row>
    <row r="12572">
      <c r="A12572" s="76"/>
    </row>
    <row r="12573">
      <c r="A12573" s="76"/>
    </row>
    <row r="12574">
      <c r="A12574" s="76"/>
    </row>
    <row r="12575">
      <c r="A12575" s="76"/>
    </row>
    <row r="12576">
      <c r="A12576" s="76"/>
    </row>
    <row r="12577">
      <c r="A12577" s="76"/>
    </row>
    <row r="12578">
      <c r="A12578" s="76"/>
    </row>
    <row r="12579">
      <c r="A12579" s="76"/>
    </row>
    <row r="12580">
      <c r="A12580" s="76"/>
    </row>
    <row r="12581">
      <c r="A12581" s="76"/>
    </row>
    <row r="12582">
      <c r="A12582" s="76"/>
    </row>
    <row r="12583">
      <c r="A12583" s="76"/>
    </row>
    <row r="12584">
      <c r="A12584" s="76"/>
    </row>
    <row r="12585">
      <c r="A12585" s="76"/>
    </row>
    <row r="12586">
      <c r="A12586" s="76"/>
    </row>
    <row r="12587">
      <c r="A12587" s="76"/>
    </row>
    <row r="12588">
      <c r="A12588" s="76"/>
    </row>
    <row r="12589">
      <c r="A12589" s="76"/>
    </row>
    <row r="12590">
      <c r="A12590" s="76"/>
    </row>
    <row r="12591">
      <c r="A12591" s="76"/>
    </row>
    <row r="12592">
      <c r="A12592" s="76"/>
    </row>
    <row r="12593">
      <c r="A12593" s="76"/>
    </row>
    <row r="12594">
      <c r="A12594" s="76"/>
    </row>
    <row r="12595">
      <c r="A12595" s="76"/>
    </row>
    <row r="12596">
      <c r="A12596" s="76"/>
    </row>
    <row r="12597">
      <c r="A12597" s="76"/>
    </row>
    <row r="12598">
      <c r="A12598" s="76"/>
    </row>
    <row r="12599">
      <c r="A12599" s="76"/>
    </row>
    <row r="12600">
      <c r="A12600" s="76"/>
    </row>
    <row r="12601">
      <c r="A12601" s="76"/>
    </row>
    <row r="12602">
      <c r="A12602" s="76"/>
    </row>
    <row r="12603">
      <c r="A12603" s="76"/>
    </row>
    <row r="12604">
      <c r="A12604" s="76"/>
    </row>
    <row r="12605">
      <c r="A12605" s="76"/>
    </row>
    <row r="12606">
      <c r="A12606" s="76"/>
    </row>
    <row r="12607">
      <c r="A12607" s="76"/>
    </row>
    <row r="12608">
      <c r="A12608" s="76"/>
    </row>
    <row r="12609">
      <c r="A12609" s="76"/>
    </row>
    <row r="12610">
      <c r="A12610" s="76"/>
    </row>
    <row r="12611">
      <c r="A12611" s="76"/>
    </row>
    <row r="12612">
      <c r="A12612" s="76"/>
    </row>
    <row r="12613">
      <c r="A12613" s="76"/>
    </row>
    <row r="12614">
      <c r="A12614" s="76"/>
    </row>
    <row r="12615">
      <c r="A12615" s="76"/>
    </row>
    <row r="12616">
      <c r="A12616" s="76"/>
    </row>
    <row r="12617">
      <c r="A12617" s="76"/>
    </row>
    <row r="12618">
      <c r="A12618" s="76"/>
    </row>
    <row r="12619">
      <c r="A12619" s="76"/>
    </row>
    <row r="12620">
      <c r="A12620" s="76"/>
    </row>
    <row r="12621">
      <c r="A12621" s="76"/>
    </row>
    <row r="12622">
      <c r="A12622" s="76"/>
    </row>
    <row r="12623">
      <c r="A12623" s="76"/>
    </row>
    <row r="12624">
      <c r="A12624" s="76"/>
    </row>
    <row r="12625">
      <c r="A12625" s="76"/>
    </row>
    <row r="12626">
      <c r="A12626" s="76"/>
    </row>
    <row r="12627">
      <c r="A12627" s="76"/>
    </row>
    <row r="12628">
      <c r="A12628" s="76"/>
    </row>
    <row r="12629">
      <c r="A12629" s="76"/>
    </row>
    <row r="12630">
      <c r="A12630" s="76"/>
    </row>
    <row r="12631">
      <c r="A12631" s="76"/>
    </row>
    <row r="12632">
      <c r="A12632" s="76"/>
    </row>
    <row r="12633">
      <c r="A12633" s="76"/>
    </row>
    <row r="12634">
      <c r="A12634" s="76"/>
    </row>
    <row r="12635">
      <c r="A12635" s="76"/>
    </row>
    <row r="12636">
      <c r="A12636" s="76"/>
    </row>
    <row r="12637">
      <c r="A12637" s="76"/>
    </row>
    <row r="12638">
      <c r="A12638" s="76"/>
    </row>
    <row r="12639">
      <c r="A12639" s="76"/>
    </row>
    <row r="12640">
      <c r="A12640" s="76"/>
    </row>
    <row r="12641">
      <c r="A12641" s="76"/>
    </row>
    <row r="12642">
      <c r="A12642" s="76"/>
    </row>
    <row r="12643">
      <c r="A12643" s="76"/>
    </row>
    <row r="12644">
      <c r="A12644" s="76"/>
    </row>
    <row r="12645">
      <c r="A12645" s="76"/>
    </row>
    <row r="12646">
      <c r="A12646" s="76"/>
    </row>
    <row r="12647">
      <c r="A12647" s="76"/>
    </row>
    <row r="12648">
      <c r="A12648" s="76"/>
    </row>
    <row r="12649">
      <c r="A12649" s="76"/>
    </row>
    <row r="12650">
      <c r="A12650" s="76"/>
    </row>
    <row r="12651">
      <c r="A12651" s="76"/>
    </row>
    <row r="12652">
      <c r="A12652" s="76"/>
    </row>
    <row r="12653">
      <c r="A12653" s="76"/>
    </row>
    <row r="12654">
      <c r="A12654" s="76"/>
    </row>
    <row r="12655">
      <c r="A12655" s="76"/>
    </row>
    <row r="12656">
      <c r="A12656" s="76"/>
    </row>
    <row r="12657">
      <c r="A12657" s="76"/>
    </row>
    <row r="12658">
      <c r="A12658" s="76"/>
    </row>
    <row r="12659">
      <c r="A12659" s="76"/>
    </row>
    <row r="12660">
      <c r="A12660" s="76"/>
    </row>
    <row r="12661">
      <c r="A12661" s="76"/>
    </row>
    <row r="12662">
      <c r="A12662" s="76"/>
    </row>
    <row r="12663">
      <c r="A12663" s="76"/>
    </row>
    <row r="12664">
      <c r="A12664" s="76"/>
    </row>
    <row r="12665">
      <c r="A12665" s="76"/>
    </row>
    <row r="12666">
      <c r="A12666" s="76"/>
    </row>
    <row r="12667">
      <c r="A12667" s="76"/>
    </row>
    <row r="12668">
      <c r="A12668" s="76"/>
    </row>
    <row r="12669">
      <c r="A12669" s="76"/>
    </row>
    <row r="12670">
      <c r="A12670" s="76"/>
    </row>
    <row r="12671">
      <c r="A12671" s="76"/>
    </row>
    <row r="12672">
      <c r="A12672" s="76"/>
    </row>
    <row r="12673">
      <c r="A12673" s="76"/>
    </row>
    <row r="12674">
      <c r="A12674" s="76"/>
    </row>
    <row r="12675">
      <c r="A12675" s="76"/>
    </row>
    <row r="12676">
      <c r="A12676" s="76"/>
    </row>
    <row r="12677">
      <c r="A12677" s="76"/>
    </row>
    <row r="12678">
      <c r="A12678" s="76"/>
    </row>
    <row r="12679">
      <c r="A12679" s="76"/>
    </row>
    <row r="12680">
      <c r="A12680" s="76"/>
    </row>
    <row r="12681">
      <c r="A12681" s="76"/>
    </row>
    <row r="12682">
      <c r="A12682" s="76"/>
    </row>
    <row r="12683">
      <c r="A12683" s="76"/>
    </row>
    <row r="12684">
      <c r="A12684" s="76"/>
    </row>
    <row r="12685">
      <c r="A12685" s="76"/>
    </row>
    <row r="12686">
      <c r="A12686" s="76"/>
    </row>
    <row r="12687">
      <c r="A12687" s="76"/>
    </row>
    <row r="12688">
      <c r="A12688" s="76"/>
    </row>
    <row r="12689">
      <c r="A12689" s="76"/>
    </row>
    <row r="12690">
      <c r="A12690" s="76"/>
    </row>
    <row r="12691">
      <c r="A12691" s="76"/>
    </row>
    <row r="12692">
      <c r="A12692" s="76"/>
    </row>
    <row r="12693">
      <c r="A12693" s="76"/>
    </row>
    <row r="12694">
      <c r="A12694" s="76"/>
    </row>
    <row r="12695">
      <c r="A12695" s="76"/>
    </row>
    <row r="12696">
      <c r="A12696" s="76"/>
    </row>
    <row r="12697">
      <c r="A12697" s="76"/>
    </row>
    <row r="12698">
      <c r="A12698" s="76"/>
    </row>
    <row r="12699">
      <c r="A12699" s="76"/>
    </row>
    <row r="12700">
      <c r="A12700" s="76"/>
    </row>
    <row r="12701">
      <c r="A12701" s="76"/>
    </row>
    <row r="12702">
      <c r="A12702" s="76"/>
    </row>
    <row r="12703">
      <c r="A12703" s="76"/>
    </row>
    <row r="12704">
      <c r="A12704" s="76"/>
    </row>
    <row r="12705">
      <c r="A12705" s="76"/>
    </row>
    <row r="12706">
      <c r="A12706" s="76"/>
    </row>
    <row r="12707">
      <c r="A12707" s="76"/>
    </row>
    <row r="12708">
      <c r="A12708" s="76"/>
    </row>
    <row r="12709">
      <c r="A12709" s="76"/>
    </row>
    <row r="12710">
      <c r="A12710" s="76"/>
    </row>
    <row r="12711">
      <c r="A12711" s="76"/>
    </row>
    <row r="12712">
      <c r="A12712" s="76"/>
    </row>
    <row r="12713">
      <c r="A12713" s="76"/>
    </row>
    <row r="12714">
      <c r="A12714" s="76"/>
    </row>
    <row r="12715">
      <c r="A12715" s="76"/>
    </row>
    <row r="12716">
      <c r="A12716" s="76"/>
    </row>
    <row r="12717">
      <c r="A12717" s="76"/>
    </row>
    <row r="12718">
      <c r="A12718" s="76"/>
    </row>
    <row r="12719">
      <c r="A12719" s="76"/>
    </row>
    <row r="12720">
      <c r="A12720" s="76"/>
    </row>
    <row r="12721">
      <c r="A12721" s="76"/>
    </row>
    <row r="12722">
      <c r="A12722" s="76"/>
    </row>
    <row r="12723">
      <c r="A12723" s="76"/>
    </row>
    <row r="12724">
      <c r="A12724" s="76"/>
    </row>
    <row r="12725">
      <c r="A12725" s="76"/>
    </row>
    <row r="12726">
      <c r="A12726" s="76"/>
    </row>
    <row r="12727">
      <c r="A12727" s="76"/>
    </row>
    <row r="12728">
      <c r="A12728" s="76"/>
    </row>
    <row r="12729">
      <c r="A12729" s="76"/>
    </row>
    <row r="12730">
      <c r="A12730" s="76"/>
    </row>
    <row r="12731">
      <c r="A12731" s="76"/>
    </row>
    <row r="12732">
      <c r="A12732" s="76"/>
    </row>
    <row r="12733">
      <c r="A12733" s="76"/>
    </row>
    <row r="12734">
      <c r="A12734" s="76"/>
    </row>
    <row r="12735">
      <c r="A12735" s="76"/>
    </row>
    <row r="12736">
      <c r="A12736" s="76"/>
    </row>
    <row r="12737">
      <c r="A12737" s="76"/>
    </row>
    <row r="12738">
      <c r="A12738" s="76"/>
    </row>
    <row r="12739">
      <c r="A12739" s="76"/>
    </row>
    <row r="12740">
      <c r="A12740" s="76"/>
    </row>
    <row r="12741">
      <c r="A12741" s="76"/>
    </row>
    <row r="12742">
      <c r="A12742" s="76"/>
    </row>
    <row r="12743">
      <c r="A12743" s="76"/>
    </row>
    <row r="12744">
      <c r="A12744" s="76"/>
    </row>
    <row r="12745">
      <c r="A12745" s="76"/>
    </row>
    <row r="12746">
      <c r="A12746" s="76"/>
    </row>
    <row r="12747">
      <c r="A12747" s="76"/>
    </row>
    <row r="12748">
      <c r="A12748" s="76"/>
    </row>
    <row r="12749">
      <c r="A12749" s="76"/>
    </row>
    <row r="12750">
      <c r="A12750" s="76"/>
    </row>
    <row r="12751">
      <c r="A12751" s="76"/>
    </row>
    <row r="12752">
      <c r="A12752" s="76"/>
    </row>
    <row r="12753">
      <c r="A12753" s="76"/>
    </row>
    <row r="12754">
      <c r="A12754" s="76"/>
    </row>
    <row r="12755">
      <c r="A12755" s="76"/>
    </row>
    <row r="12756">
      <c r="A12756" s="76"/>
    </row>
    <row r="12757">
      <c r="A12757" s="76"/>
    </row>
    <row r="12758">
      <c r="A12758" s="76"/>
    </row>
    <row r="12759">
      <c r="A12759" s="76"/>
    </row>
    <row r="12760">
      <c r="A12760" s="76"/>
    </row>
    <row r="12761">
      <c r="A12761" s="76"/>
    </row>
    <row r="12762">
      <c r="A12762" s="76"/>
    </row>
    <row r="12763">
      <c r="A12763" s="76"/>
    </row>
    <row r="12764">
      <c r="A12764" s="76"/>
    </row>
    <row r="12765">
      <c r="A12765" s="76"/>
    </row>
    <row r="12766">
      <c r="A12766" s="76"/>
    </row>
    <row r="12767">
      <c r="A12767" s="76"/>
    </row>
    <row r="12768">
      <c r="A12768" s="76"/>
    </row>
    <row r="12769">
      <c r="A12769" s="76"/>
    </row>
    <row r="12770">
      <c r="A12770" s="76"/>
    </row>
    <row r="12771">
      <c r="A12771" s="76"/>
    </row>
    <row r="12772">
      <c r="A12772" s="76"/>
    </row>
    <row r="12773">
      <c r="A12773" s="76"/>
    </row>
    <row r="12774">
      <c r="A12774" s="76"/>
    </row>
    <row r="12775">
      <c r="A12775" s="76"/>
    </row>
    <row r="12776">
      <c r="A12776" s="76"/>
    </row>
    <row r="12777">
      <c r="A12777" s="76"/>
    </row>
    <row r="12778">
      <c r="A12778" s="76"/>
    </row>
    <row r="12779">
      <c r="A12779" s="76"/>
    </row>
    <row r="12780">
      <c r="A12780" s="76"/>
    </row>
    <row r="12781">
      <c r="A12781" s="76"/>
    </row>
    <row r="12782">
      <c r="A12782" s="76"/>
    </row>
    <row r="12783">
      <c r="A12783" s="76"/>
    </row>
    <row r="12784">
      <c r="A12784" s="76"/>
    </row>
    <row r="12785">
      <c r="A12785" s="76"/>
    </row>
    <row r="12786">
      <c r="A12786" s="76"/>
    </row>
    <row r="12787">
      <c r="A12787" s="76"/>
    </row>
    <row r="12788">
      <c r="A12788" s="76"/>
    </row>
    <row r="12789">
      <c r="A12789" s="76"/>
    </row>
    <row r="12790">
      <c r="A12790" s="76"/>
    </row>
    <row r="12791">
      <c r="A12791" s="76"/>
    </row>
    <row r="12792">
      <c r="A12792" s="76"/>
    </row>
    <row r="12793">
      <c r="A12793" s="76"/>
    </row>
    <row r="12794">
      <c r="A12794" s="76"/>
    </row>
    <row r="12795">
      <c r="A12795" s="76"/>
    </row>
    <row r="12796">
      <c r="A12796" s="76"/>
    </row>
    <row r="12797">
      <c r="A12797" s="76"/>
    </row>
    <row r="12798">
      <c r="A12798" s="76"/>
    </row>
    <row r="12799">
      <c r="A12799" s="76"/>
    </row>
    <row r="12800">
      <c r="A12800" s="76"/>
    </row>
    <row r="12801">
      <c r="A12801" s="76"/>
    </row>
    <row r="12802">
      <c r="A12802" s="76"/>
    </row>
    <row r="12803">
      <c r="A12803" s="76"/>
    </row>
    <row r="12804">
      <c r="A12804" s="76"/>
    </row>
    <row r="12805">
      <c r="A12805" s="76"/>
    </row>
    <row r="12806">
      <c r="A12806" s="76"/>
    </row>
    <row r="12807">
      <c r="A12807" s="76"/>
    </row>
    <row r="12808">
      <c r="A12808" s="76"/>
    </row>
    <row r="12809">
      <c r="A12809" s="76"/>
    </row>
    <row r="12810">
      <c r="A12810" s="76"/>
    </row>
    <row r="12811">
      <c r="A12811" s="76"/>
    </row>
    <row r="12812">
      <c r="A12812" s="76"/>
    </row>
    <row r="12813">
      <c r="A12813" s="76"/>
    </row>
    <row r="12814">
      <c r="A12814" s="76"/>
    </row>
    <row r="12815">
      <c r="A12815" s="76"/>
    </row>
    <row r="12816">
      <c r="A12816" s="76"/>
    </row>
    <row r="12817">
      <c r="A12817" s="76"/>
    </row>
    <row r="12818">
      <c r="A12818" s="76"/>
    </row>
    <row r="12819">
      <c r="A12819" s="76"/>
    </row>
    <row r="12820">
      <c r="A12820" s="76"/>
    </row>
    <row r="12821">
      <c r="A12821" s="76"/>
    </row>
    <row r="12822">
      <c r="A12822" s="76"/>
    </row>
    <row r="12823">
      <c r="A12823" s="76"/>
    </row>
    <row r="12824">
      <c r="A12824" s="76"/>
    </row>
    <row r="12825">
      <c r="A12825" s="76"/>
    </row>
    <row r="12826">
      <c r="A12826" s="76"/>
    </row>
    <row r="12827">
      <c r="A12827" s="76"/>
    </row>
    <row r="12828">
      <c r="A12828" s="76"/>
    </row>
    <row r="12829">
      <c r="A12829" s="76"/>
    </row>
    <row r="12830">
      <c r="A12830" s="76"/>
    </row>
    <row r="12831">
      <c r="A12831" s="76"/>
    </row>
    <row r="12832">
      <c r="A12832" s="76"/>
    </row>
    <row r="12833">
      <c r="A12833" s="76"/>
    </row>
    <row r="12834">
      <c r="A12834" s="76"/>
    </row>
    <row r="12835">
      <c r="A12835" s="76"/>
    </row>
    <row r="12836">
      <c r="A12836" s="76"/>
    </row>
    <row r="12837">
      <c r="A12837" s="76"/>
    </row>
    <row r="12838">
      <c r="A12838" s="76"/>
    </row>
    <row r="12839">
      <c r="A12839" s="76"/>
    </row>
    <row r="12840">
      <c r="A12840" s="76"/>
    </row>
    <row r="12841">
      <c r="A12841" s="76"/>
    </row>
    <row r="12842">
      <c r="A12842" s="76"/>
    </row>
    <row r="12843">
      <c r="A12843" s="76"/>
    </row>
    <row r="12844">
      <c r="A12844" s="76"/>
    </row>
    <row r="12845">
      <c r="A12845" s="76"/>
    </row>
    <row r="12846">
      <c r="A12846" s="76"/>
    </row>
    <row r="12847">
      <c r="A12847" s="76"/>
    </row>
    <row r="12848">
      <c r="A12848" s="76"/>
    </row>
    <row r="12849">
      <c r="A12849" s="76"/>
    </row>
    <row r="12850">
      <c r="A12850" s="76"/>
    </row>
    <row r="12851">
      <c r="A12851" s="76"/>
    </row>
    <row r="12852">
      <c r="A12852" s="76"/>
    </row>
    <row r="12853">
      <c r="A12853" s="76"/>
    </row>
    <row r="12854">
      <c r="A12854" s="76"/>
    </row>
    <row r="12855">
      <c r="A12855" s="76"/>
    </row>
    <row r="12856">
      <c r="A12856" s="76"/>
    </row>
    <row r="12857">
      <c r="A12857" s="76"/>
    </row>
    <row r="12858">
      <c r="A12858" s="76"/>
    </row>
    <row r="12859">
      <c r="A12859" s="76"/>
    </row>
    <row r="12860">
      <c r="A12860" s="76"/>
    </row>
    <row r="12861">
      <c r="A12861" s="76"/>
    </row>
    <row r="12862">
      <c r="A12862" s="76"/>
    </row>
    <row r="12863">
      <c r="A12863" s="76"/>
    </row>
    <row r="12864">
      <c r="A12864" s="76"/>
    </row>
    <row r="12865">
      <c r="A12865" s="76"/>
    </row>
    <row r="12866">
      <c r="A12866" s="76"/>
    </row>
    <row r="12867">
      <c r="A12867" s="76"/>
    </row>
    <row r="12868">
      <c r="A12868" s="76"/>
    </row>
    <row r="12869">
      <c r="A12869" s="76"/>
    </row>
    <row r="12870">
      <c r="A12870" s="76"/>
    </row>
    <row r="12871">
      <c r="A12871" s="76"/>
    </row>
    <row r="12872">
      <c r="A12872" s="76"/>
    </row>
    <row r="12873">
      <c r="A12873" s="76"/>
    </row>
    <row r="12874">
      <c r="A12874" s="76"/>
    </row>
    <row r="12875">
      <c r="A12875" s="76"/>
    </row>
    <row r="12876">
      <c r="A12876" s="76"/>
    </row>
    <row r="12877">
      <c r="A12877" s="76"/>
    </row>
    <row r="12878">
      <c r="A12878" s="76"/>
    </row>
    <row r="12879">
      <c r="A12879" s="76"/>
    </row>
    <row r="12880">
      <c r="A12880" s="76"/>
    </row>
    <row r="12881">
      <c r="A12881" s="76"/>
    </row>
    <row r="12882">
      <c r="A12882" s="76"/>
    </row>
    <row r="12883">
      <c r="A12883" s="76"/>
    </row>
    <row r="12884">
      <c r="A12884" s="76"/>
    </row>
    <row r="12885">
      <c r="A12885" s="76"/>
    </row>
    <row r="12886">
      <c r="A12886" s="76"/>
    </row>
    <row r="12887">
      <c r="A12887" s="76"/>
    </row>
    <row r="12888">
      <c r="A12888" s="76"/>
    </row>
    <row r="12889">
      <c r="A12889" s="76"/>
    </row>
    <row r="12890">
      <c r="A12890" s="76"/>
    </row>
    <row r="12891">
      <c r="A12891" s="76"/>
    </row>
    <row r="12892">
      <c r="A12892" s="76"/>
    </row>
    <row r="12893">
      <c r="A12893" s="76"/>
    </row>
    <row r="12894">
      <c r="A12894" s="76"/>
    </row>
    <row r="12895">
      <c r="A12895" s="76"/>
    </row>
    <row r="12896">
      <c r="A12896" s="76"/>
    </row>
    <row r="12897">
      <c r="A12897" s="76"/>
    </row>
    <row r="12898">
      <c r="A12898" s="76"/>
    </row>
    <row r="12899">
      <c r="A12899" s="76"/>
    </row>
    <row r="12900">
      <c r="A12900" s="76"/>
    </row>
    <row r="12901">
      <c r="A12901" s="76"/>
    </row>
    <row r="12902">
      <c r="A12902" s="76"/>
    </row>
    <row r="12903">
      <c r="A12903" s="76"/>
    </row>
    <row r="12904">
      <c r="A12904" s="76"/>
    </row>
    <row r="12905">
      <c r="A12905" s="76"/>
    </row>
    <row r="12906">
      <c r="A12906" s="76"/>
    </row>
    <row r="12907">
      <c r="A12907" s="76"/>
    </row>
    <row r="12908">
      <c r="A12908" s="76"/>
    </row>
    <row r="12909">
      <c r="A12909" s="76"/>
    </row>
    <row r="12910">
      <c r="A12910" s="76"/>
    </row>
    <row r="12911">
      <c r="A12911" s="76"/>
    </row>
    <row r="12912">
      <c r="A12912" s="76"/>
    </row>
    <row r="12913">
      <c r="A12913" s="76"/>
    </row>
    <row r="12914">
      <c r="A12914" s="76"/>
    </row>
    <row r="12915">
      <c r="A12915" s="76"/>
    </row>
    <row r="12916">
      <c r="A12916" s="76"/>
    </row>
    <row r="12917">
      <c r="A12917" s="76"/>
    </row>
    <row r="12918">
      <c r="A12918" s="76"/>
    </row>
    <row r="12919">
      <c r="A12919" s="76"/>
    </row>
    <row r="12920">
      <c r="A12920" s="76"/>
    </row>
    <row r="12921">
      <c r="A12921" s="76"/>
    </row>
    <row r="12922">
      <c r="A12922" s="76"/>
    </row>
    <row r="12923">
      <c r="A12923" s="76"/>
    </row>
    <row r="12924">
      <c r="A12924" s="76"/>
    </row>
    <row r="12925">
      <c r="A12925" s="76"/>
    </row>
    <row r="12926">
      <c r="A12926" s="76"/>
    </row>
    <row r="12927">
      <c r="A12927" s="76"/>
    </row>
    <row r="12928">
      <c r="A12928" s="76"/>
    </row>
    <row r="12929">
      <c r="A12929" s="76"/>
    </row>
    <row r="12930">
      <c r="A12930" s="76"/>
    </row>
    <row r="12931">
      <c r="A12931" s="76"/>
    </row>
    <row r="12932">
      <c r="A12932" s="76"/>
    </row>
    <row r="12933">
      <c r="A12933" s="76"/>
    </row>
    <row r="12934">
      <c r="A12934" s="76"/>
    </row>
    <row r="12935">
      <c r="A12935" s="76"/>
    </row>
    <row r="12936">
      <c r="A12936" s="76"/>
    </row>
    <row r="12937">
      <c r="A12937" s="76"/>
    </row>
    <row r="12938">
      <c r="A12938" s="76"/>
    </row>
    <row r="12939">
      <c r="A12939" s="76"/>
    </row>
    <row r="12940">
      <c r="A12940" s="76"/>
    </row>
    <row r="12941">
      <c r="A12941" s="76"/>
    </row>
    <row r="12942">
      <c r="A12942" s="76"/>
    </row>
    <row r="12943">
      <c r="A12943" s="76"/>
    </row>
    <row r="12944">
      <c r="A12944" s="76"/>
    </row>
    <row r="12945">
      <c r="A12945" s="76"/>
    </row>
    <row r="12946">
      <c r="A12946" s="76"/>
    </row>
    <row r="12947">
      <c r="A12947" s="76"/>
    </row>
    <row r="12948">
      <c r="A12948" s="76"/>
    </row>
    <row r="12949">
      <c r="A12949" s="76"/>
    </row>
    <row r="12950">
      <c r="A12950" s="76"/>
    </row>
    <row r="12951">
      <c r="A12951" s="76"/>
    </row>
    <row r="12952">
      <c r="A12952" s="76"/>
    </row>
    <row r="12953">
      <c r="A12953" s="76"/>
    </row>
    <row r="12954">
      <c r="A12954" s="76"/>
    </row>
    <row r="12955">
      <c r="A12955" s="76"/>
    </row>
    <row r="12956">
      <c r="A12956" s="76"/>
    </row>
    <row r="12957">
      <c r="A12957" s="76"/>
    </row>
    <row r="12958">
      <c r="A12958" s="76"/>
    </row>
    <row r="12959">
      <c r="A12959" s="76"/>
    </row>
    <row r="12960">
      <c r="A12960" s="76"/>
    </row>
    <row r="12961">
      <c r="A12961" s="76"/>
    </row>
    <row r="12962">
      <c r="A12962" s="76"/>
    </row>
    <row r="12963">
      <c r="A12963" s="76"/>
    </row>
    <row r="12964">
      <c r="A12964" s="76"/>
    </row>
    <row r="12965">
      <c r="A12965" s="76"/>
    </row>
    <row r="12966">
      <c r="A12966" s="76"/>
    </row>
    <row r="12967">
      <c r="A12967" s="76"/>
    </row>
    <row r="12968">
      <c r="A12968" s="76"/>
    </row>
    <row r="12969">
      <c r="A12969" s="76"/>
    </row>
    <row r="12970">
      <c r="A12970" s="76"/>
    </row>
    <row r="12971">
      <c r="A12971" s="76"/>
    </row>
    <row r="12972">
      <c r="A12972" s="76"/>
    </row>
    <row r="12973">
      <c r="A12973" s="76"/>
    </row>
    <row r="12974">
      <c r="A12974" s="76"/>
    </row>
    <row r="12975">
      <c r="A12975" s="76"/>
    </row>
    <row r="12976">
      <c r="A12976" s="76"/>
    </row>
    <row r="12977">
      <c r="A12977" s="76"/>
    </row>
    <row r="12978">
      <c r="A12978" s="76"/>
    </row>
    <row r="12979">
      <c r="A12979" s="76"/>
    </row>
    <row r="12980">
      <c r="A12980" s="76"/>
    </row>
    <row r="12981">
      <c r="A12981" s="76"/>
    </row>
    <row r="12982">
      <c r="A12982" s="76"/>
    </row>
    <row r="12983">
      <c r="A12983" s="76"/>
    </row>
    <row r="12984">
      <c r="A12984" s="76"/>
    </row>
    <row r="12985">
      <c r="A12985" s="76"/>
    </row>
    <row r="12986">
      <c r="A12986" s="76"/>
    </row>
    <row r="12987">
      <c r="A12987" s="76"/>
    </row>
    <row r="12988">
      <c r="A12988" s="76"/>
    </row>
    <row r="12989">
      <c r="A12989" s="76"/>
    </row>
    <row r="12990">
      <c r="A12990" s="76"/>
    </row>
    <row r="12991">
      <c r="A12991" s="76"/>
    </row>
    <row r="12992">
      <c r="A12992" s="76"/>
    </row>
    <row r="12993">
      <c r="A12993" s="76"/>
    </row>
    <row r="12994">
      <c r="A12994" s="76"/>
    </row>
    <row r="12995">
      <c r="A12995" s="76"/>
    </row>
    <row r="12996">
      <c r="A12996" s="76"/>
    </row>
    <row r="12997">
      <c r="A12997" s="76"/>
    </row>
    <row r="12998">
      <c r="A12998" s="76"/>
    </row>
    <row r="12999">
      <c r="A12999" s="76"/>
    </row>
    <row r="13000">
      <c r="A13000" s="76"/>
    </row>
    <row r="13001">
      <c r="A13001" s="76"/>
    </row>
    <row r="13002">
      <c r="A13002" s="76"/>
    </row>
    <row r="13003">
      <c r="A13003" s="76"/>
    </row>
    <row r="13004">
      <c r="A13004" s="76"/>
    </row>
    <row r="13005">
      <c r="A13005" s="76"/>
    </row>
    <row r="13006">
      <c r="A13006" s="76"/>
    </row>
    <row r="13007">
      <c r="A13007" s="76"/>
    </row>
    <row r="13008">
      <c r="A13008" s="76"/>
    </row>
    <row r="13009">
      <c r="A13009" s="76"/>
    </row>
    <row r="13010">
      <c r="A13010" s="76"/>
    </row>
    <row r="13011">
      <c r="A13011" s="76"/>
    </row>
    <row r="13012">
      <c r="A13012" s="76"/>
    </row>
    <row r="13013">
      <c r="A13013" s="76"/>
    </row>
    <row r="13014">
      <c r="A13014" s="76"/>
    </row>
    <row r="13015">
      <c r="A13015" s="76"/>
    </row>
    <row r="13016">
      <c r="A13016" s="76"/>
    </row>
    <row r="13017">
      <c r="A13017" s="76"/>
    </row>
    <row r="13018">
      <c r="A13018" s="76"/>
    </row>
    <row r="13019">
      <c r="A13019" s="76"/>
    </row>
    <row r="13020">
      <c r="A13020" s="76"/>
    </row>
    <row r="13021">
      <c r="A13021" s="76"/>
    </row>
    <row r="13022">
      <c r="A13022" s="76"/>
    </row>
    <row r="13023">
      <c r="A13023" s="76"/>
    </row>
    <row r="13024">
      <c r="A13024" s="76"/>
    </row>
    <row r="13025">
      <c r="A13025" s="76"/>
    </row>
    <row r="13026">
      <c r="A13026" s="76"/>
    </row>
    <row r="13027">
      <c r="A13027" s="76"/>
    </row>
    <row r="13028">
      <c r="A13028" s="76"/>
    </row>
    <row r="13029">
      <c r="A13029" s="76"/>
    </row>
    <row r="13030">
      <c r="A13030" s="76"/>
    </row>
    <row r="13031">
      <c r="A13031" s="76"/>
    </row>
    <row r="13032">
      <c r="A13032" s="76"/>
    </row>
    <row r="13033">
      <c r="A13033" s="76"/>
    </row>
    <row r="13034">
      <c r="A13034" s="76"/>
    </row>
    <row r="13035">
      <c r="A13035" s="76"/>
    </row>
    <row r="13036">
      <c r="A13036" s="76"/>
    </row>
    <row r="13037">
      <c r="A13037" s="76"/>
    </row>
    <row r="13038">
      <c r="A13038" s="76"/>
    </row>
    <row r="13039">
      <c r="A13039" s="76"/>
    </row>
    <row r="13040">
      <c r="A13040" s="76"/>
    </row>
    <row r="13041">
      <c r="A13041" s="76"/>
    </row>
    <row r="13042">
      <c r="A13042" s="76"/>
    </row>
    <row r="13043">
      <c r="A13043" s="76"/>
    </row>
    <row r="13044">
      <c r="A13044" s="76"/>
    </row>
    <row r="13045">
      <c r="A13045" s="76"/>
    </row>
    <row r="13046">
      <c r="A13046" s="76"/>
    </row>
    <row r="13047">
      <c r="A13047" s="76"/>
    </row>
    <row r="13048">
      <c r="A13048" s="76"/>
    </row>
    <row r="13049">
      <c r="A13049" s="76"/>
    </row>
    <row r="13050">
      <c r="A13050" s="76"/>
    </row>
    <row r="13051">
      <c r="A13051" s="76"/>
    </row>
    <row r="13052">
      <c r="A13052" s="76"/>
    </row>
    <row r="13053">
      <c r="A13053" s="76"/>
    </row>
    <row r="13054">
      <c r="A13054" s="76"/>
    </row>
    <row r="13055">
      <c r="A13055" s="76"/>
    </row>
    <row r="13056">
      <c r="A13056" s="76"/>
    </row>
    <row r="13057">
      <c r="A13057" s="76"/>
    </row>
    <row r="13058">
      <c r="A13058" s="76"/>
    </row>
    <row r="13059">
      <c r="A13059" s="76"/>
    </row>
    <row r="13060">
      <c r="A13060" s="76"/>
    </row>
    <row r="13061">
      <c r="A13061" s="76"/>
    </row>
    <row r="13062">
      <c r="A13062" s="76"/>
    </row>
    <row r="13063">
      <c r="A13063" s="76"/>
    </row>
    <row r="13064">
      <c r="A13064" s="76"/>
    </row>
    <row r="13065">
      <c r="A13065" s="76"/>
    </row>
    <row r="13066">
      <c r="A13066" s="76"/>
    </row>
    <row r="13067">
      <c r="A13067" s="76"/>
    </row>
    <row r="13068">
      <c r="A13068" s="76"/>
    </row>
    <row r="13069">
      <c r="A13069" s="76"/>
    </row>
    <row r="13070">
      <c r="A13070" s="76"/>
    </row>
    <row r="13071">
      <c r="A13071" s="76"/>
    </row>
    <row r="13072">
      <c r="A13072" s="76"/>
    </row>
    <row r="13073">
      <c r="A13073" s="76"/>
    </row>
    <row r="13074">
      <c r="A13074" s="76"/>
    </row>
    <row r="13075">
      <c r="A13075" s="76"/>
    </row>
    <row r="13076">
      <c r="A13076" s="76"/>
    </row>
    <row r="13077">
      <c r="A13077" s="76"/>
    </row>
    <row r="13078">
      <c r="A13078" s="76"/>
    </row>
    <row r="13079">
      <c r="A13079" s="76"/>
    </row>
    <row r="13080">
      <c r="A13080" s="76"/>
    </row>
    <row r="13081">
      <c r="A13081" s="76"/>
    </row>
    <row r="13082">
      <c r="A13082" s="76"/>
    </row>
    <row r="13083">
      <c r="A13083" s="76"/>
    </row>
    <row r="13084">
      <c r="A13084" s="76"/>
    </row>
    <row r="13085">
      <c r="A13085" s="76"/>
    </row>
    <row r="13086">
      <c r="A13086" s="76"/>
    </row>
    <row r="13087">
      <c r="A13087" s="76"/>
    </row>
    <row r="13088">
      <c r="A13088" s="76"/>
    </row>
    <row r="13089">
      <c r="A13089" s="76"/>
    </row>
    <row r="13090">
      <c r="A13090" s="76"/>
    </row>
    <row r="13091">
      <c r="A13091" s="76"/>
    </row>
    <row r="13092">
      <c r="A13092" s="76"/>
    </row>
    <row r="13093">
      <c r="A13093" s="76"/>
    </row>
    <row r="13094">
      <c r="A13094" s="76"/>
    </row>
    <row r="13095">
      <c r="A13095" s="76"/>
    </row>
    <row r="13096">
      <c r="A13096" s="76"/>
    </row>
    <row r="13097">
      <c r="A13097" s="76"/>
    </row>
    <row r="13098">
      <c r="A13098" s="76"/>
    </row>
    <row r="13099">
      <c r="A13099" s="76"/>
    </row>
    <row r="13100">
      <c r="A13100" s="76"/>
    </row>
    <row r="13101">
      <c r="A13101" s="76"/>
    </row>
    <row r="13102">
      <c r="A13102" s="76"/>
    </row>
    <row r="13103">
      <c r="A13103" s="76"/>
    </row>
    <row r="13104">
      <c r="A13104" s="76"/>
    </row>
    <row r="13105">
      <c r="A13105" s="76"/>
    </row>
    <row r="13106">
      <c r="A13106" s="76"/>
    </row>
    <row r="13107">
      <c r="A13107" s="76"/>
    </row>
    <row r="13108">
      <c r="A13108" s="76"/>
    </row>
    <row r="13109">
      <c r="A13109" s="76"/>
    </row>
    <row r="13110">
      <c r="A13110" s="76"/>
    </row>
    <row r="13111">
      <c r="A13111" s="76"/>
    </row>
    <row r="13112">
      <c r="A13112" s="76"/>
    </row>
    <row r="13113">
      <c r="A13113" s="76"/>
    </row>
    <row r="13114">
      <c r="A13114" s="76"/>
    </row>
    <row r="13115">
      <c r="A13115" s="76"/>
    </row>
    <row r="13116">
      <c r="A13116" s="76"/>
    </row>
    <row r="13117">
      <c r="A13117" s="76"/>
    </row>
    <row r="13118">
      <c r="A13118" s="76"/>
    </row>
    <row r="13119">
      <c r="A13119" s="76"/>
    </row>
    <row r="13120">
      <c r="A13120" s="76"/>
    </row>
    <row r="13121">
      <c r="A13121" s="76"/>
    </row>
    <row r="13122">
      <c r="A13122" s="76"/>
    </row>
    <row r="13123">
      <c r="A13123" s="76"/>
    </row>
    <row r="13124">
      <c r="A13124" s="76"/>
    </row>
    <row r="13125">
      <c r="A13125" s="76"/>
    </row>
    <row r="13126">
      <c r="A13126" s="76"/>
    </row>
    <row r="13127">
      <c r="A13127" s="76"/>
    </row>
    <row r="13128">
      <c r="A13128" s="76"/>
    </row>
    <row r="13129">
      <c r="A13129" s="76"/>
    </row>
    <row r="13130">
      <c r="A13130" s="76"/>
    </row>
    <row r="13131">
      <c r="A13131" s="76"/>
    </row>
    <row r="13132">
      <c r="A13132" s="76"/>
    </row>
    <row r="13133">
      <c r="A13133" s="76"/>
    </row>
    <row r="13134">
      <c r="A13134" s="76"/>
    </row>
    <row r="13135">
      <c r="A13135" s="76"/>
    </row>
    <row r="13136">
      <c r="A13136" s="76"/>
    </row>
    <row r="13137">
      <c r="A13137" s="76"/>
    </row>
    <row r="13138">
      <c r="A13138" s="76"/>
    </row>
    <row r="13139">
      <c r="A13139" s="76"/>
    </row>
    <row r="13140">
      <c r="A13140" s="76"/>
    </row>
    <row r="13141">
      <c r="A13141" s="76"/>
    </row>
    <row r="13142">
      <c r="A13142" s="76"/>
    </row>
    <row r="13143">
      <c r="A13143" s="76"/>
    </row>
    <row r="13144">
      <c r="A13144" s="76"/>
    </row>
    <row r="13145">
      <c r="A13145" s="76"/>
    </row>
    <row r="13146">
      <c r="A13146" s="76"/>
    </row>
    <row r="13147">
      <c r="A13147" s="76"/>
    </row>
    <row r="13148">
      <c r="A13148" s="76"/>
    </row>
    <row r="13149">
      <c r="A13149" s="76"/>
    </row>
    <row r="13150">
      <c r="A13150" s="76"/>
    </row>
    <row r="13151">
      <c r="A13151" s="76"/>
    </row>
    <row r="13152">
      <c r="A13152" s="76"/>
    </row>
    <row r="13153">
      <c r="A13153" s="76"/>
    </row>
    <row r="13154">
      <c r="A13154" s="76"/>
    </row>
    <row r="13155">
      <c r="A13155" s="76"/>
    </row>
    <row r="13156">
      <c r="A13156" s="76"/>
    </row>
    <row r="13157">
      <c r="A13157" s="76"/>
    </row>
    <row r="13158">
      <c r="A13158" s="76"/>
    </row>
    <row r="13159">
      <c r="A13159" s="76"/>
    </row>
    <row r="13160">
      <c r="A13160" s="76"/>
    </row>
    <row r="13161">
      <c r="A13161" s="76"/>
    </row>
    <row r="13162">
      <c r="A13162" s="76"/>
    </row>
    <row r="13163">
      <c r="A13163" s="76"/>
    </row>
    <row r="13164">
      <c r="A13164" s="76"/>
    </row>
    <row r="13165">
      <c r="A13165" s="76"/>
    </row>
    <row r="13166">
      <c r="A13166" s="76"/>
    </row>
    <row r="13167">
      <c r="A13167" s="76"/>
    </row>
    <row r="13168">
      <c r="A13168" s="76"/>
    </row>
    <row r="13169">
      <c r="A13169" s="76"/>
    </row>
    <row r="13170">
      <c r="A13170" s="76"/>
    </row>
    <row r="13171">
      <c r="A13171" s="76"/>
    </row>
    <row r="13172">
      <c r="A13172" s="76"/>
    </row>
    <row r="13173">
      <c r="A13173" s="76"/>
    </row>
    <row r="13174">
      <c r="A13174" s="76"/>
    </row>
    <row r="13175">
      <c r="A13175" s="76"/>
    </row>
    <row r="13176">
      <c r="A13176" s="76"/>
    </row>
    <row r="13177">
      <c r="A13177" s="76"/>
    </row>
    <row r="13178">
      <c r="A13178" s="76"/>
    </row>
    <row r="13179">
      <c r="A13179" s="76"/>
    </row>
    <row r="13180">
      <c r="A13180" s="76"/>
    </row>
    <row r="13181">
      <c r="A13181" s="76"/>
    </row>
    <row r="13182">
      <c r="A13182" s="76"/>
    </row>
    <row r="13183">
      <c r="A13183" s="76"/>
    </row>
    <row r="13184">
      <c r="A13184" s="76"/>
    </row>
    <row r="13185">
      <c r="A13185" s="76"/>
    </row>
    <row r="13186">
      <c r="A13186" s="76"/>
    </row>
    <row r="13187">
      <c r="A13187" s="76"/>
    </row>
    <row r="13188">
      <c r="A13188" s="76"/>
    </row>
    <row r="13189">
      <c r="A13189" s="76"/>
    </row>
    <row r="13190">
      <c r="A13190" s="76"/>
    </row>
    <row r="13191">
      <c r="A13191" s="76"/>
    </row>
    <row r="13192">
      <c r="A13192" s="76"/>
    </row>
    <row r="13193">
      <c r="A13193" s="76"/>
    </row>
    <row r="13194">
      <c r="A13194" s="76"/>
    </row>
    <row r="13195">
      <c r="A13195" s="76"/>
    </row>
    <row r="13196">
      <c r="A13196" s="76"/>
    </row>
    <row r="13197">
      <c r="A13197" s="76"/>
    </row>
    <row r="13198">
      <c r="A13198" s="76"/>
    </row>
    <row r="13199">
      <c r="A13199" s="76"/>
    </row>
    <row r="13200">
      <c r="A13200" s="76"/>
    </row>
    <row r="13201">
      <c r="A13201" s="76"/>
    </row>
    <row r="13202">
      <c r="A13202" s="76"/>
    </row>
    <row r="13203">
      <c r="A13203" s="76"/>
    </row>
    <row r="13204">
      <c r="A13204" s="76"/>
    </row>
    <row r="13205">
      <c r="A13205" s="76"/>
    </row>
    <row r="13206">
      <c r="A13206" s="76"/>
    </row>
    <row r="13207">
      <c r="A13207" s="76"/>
    </row>
    <row r="13208">
      <c r="A13208" s="76"/>
    </row>
    <row r="13209">
      <c r="A13209" s="76"/>
    </row>
    <row r="13210">
      <c r="A13210" s="76"/>
    </row>
    <row r="13211">
      <c r="A13211" s="76"/>
    </row>
    <row r="13212">
      <c r="A13212" s="76"/>
    </row>
    <row r="13213">
      <c r="A13213" s="76"/>
    </row>
    <row r="13214">
      <c r="A13214" s="76"/>
    </row>
    <row r="13215">
      <c r="A13215" s="76"/>
    </row>
    <row r="13216">
      <c r="A13216" s="76"/>
    </row>
    <row r="13217">
      <c r="A13217" s="76"/>
    </row>
    <row r="13218">
      <c r="A13218" s="76"/>
    </row>
    <row r="13219">
      <c r="A13219" s="76"/>
    </row>
    <row r="13220">
      <c r="A13220" s="76"/>
    </row>
    <row r="13221">
      <c r="A13221" s="76"/>
    </row>
    <row r="13222">
      <c r="A13222" s="76"/>
    </row>
    <row r="13223">
      <c r="A13223" s="76"/>
    </row>
    <row r="13224">
      <c r="A13224" s="76"/>
    </row>
    <row r="13225">
      <c r="A13225" s="76"/>
    </row>
    <row r="13226">
      <c r="A13226" s="76"/>
    </row>
    <row r="13227">
      <c r="A13227" s="76"/>
    </row>
    <row r="13228">
      <c r="A13228" s="76"/>
    </row>
    <row r="13229">
      <c r="A13229" s="76"/>
    </row>
    <row r="13230">
      <c r="A13230" s="76"/>
    </row>
    <row r="13231">
      <c r="A13231" s="76"/>
    </row>
    <row r="13232">
      <c r="A13232" s="76"/>
    </row>
    <row r="13233">
      <c r="A13233" s="76"/>
    </row>
    <row r="13234">
      <c r="A13234" s="76"/>
    </row>
    <row r="13235">
      <c r="A13235" s="76"/>
    </row>
    <row r="13236">
      <c r="A13236" s="76"/>
    </row>
    <row r="13237">
      <c r="A13237" s="76"/>
    </row>
    <row r="13238">
      <c r="A13238" s="76"/>
    </row>
    <row r="13239">
      <c r="A13239" s="76"/>
    </row>
    <row r="13240">
      <c r="A13240" s="76"/>
    </row>
    <row r="13241">
      <c r="A13241" s="76"/>
    </row>
    <row r="13242">
      <c r="A13242" s="76"/>
    </row>
    <row r="13243">
      <c r="A13243" s="76"/>
    </row>
    <row r="13244">
      <c r="A13244" s="76"/>
    </row>
    <row r="13245">
      <c r="A13245" s="76"/>
    </row>
    <row r="13246">
      <c r="A13246" s="76"/>
    </row>
    <row r="13247">
      <c r="A13247" s="76"/>
    </row>
    <row r="13248">
      <c r="A13248" s="76"/>
    </row>
    <row r="13249">
      <c r="A13249" s="76"/>
    </row>
    <row r="13250">
      <c r="A13250" s="76"/>
    </row>
    <row r="13251">
      <c r="A13251" s="76"/>
    </row>
    <row r="13252">
      <c r="A13252" s="76"/>
    </row>
    <row r="13253">
      <c r="A13253" s="76"/>
    </row>
    <row r="13254">
      <c r="A13254" s="76"/>
    </row>
    <row r="13255">
      <c r="A13255" s="76"/>
    </row>
    <row r="13256">
      <c r="A13256" s="76"/>
    </row>
    <row r="13257">
      <c r="A13257" s="76"/>
    </row>
    <row r="13258">
      <c r="A13258" s="76"/>
    </row>
    <row r="13259">
      <c r="A13259" s="76"/>
    </row>
    <row r="13260">
      <c r="A13260" s="76"/>
    </row>
    <row r="13261">
      <c r="A13261" s="76"/>
    </row>
    <row r="13262">
      <c r="A13262" s="76"/>
    </row>
    <row r="13263">
      <c r="A13263" s="76"/>
    </row>
    <row r="13264">
      <c r="A13264" s="76"/>
    </row>
    <row r="13265">
      <c r="A13265" s="76"/>
    </row>
    <row r="13266">
      <c r="A13266" s="76"/>
    </row>
    <row r="13267">
      <c r="A13267" s="76"/>
    </row>
    <row r="13268">
      <c r="A13268" s="76"/>
    </row>
    <row r="13269">
      <c r="A13269" s="76"/>
    </row>
    <row r="13270">
      <c r="A13270" s="76"/>
    </row>
    <row r="13271">
      <c r="A13271" s="76"/>
    </row>
    <row r="13272">
      <c r="A13272" s="76"/>
    </row>
    <row r="13273">
      <c r="A13273" s="76"/>
    </row>
    <row r="13274">
      <c r="A13274" s="76"/>
    </row>
    <row r="13275">
      <c r="A13275" s="76"/>
    </row>
    <row r="13276">
      <c r="A13276" s="76"/>
    </row>
    <row r="13277">
      <c r="A13277" s="76"/>
    </row>
    <row r="13278">
      <c r="A13278" s="76"/>
    </row>
    <row r="13279">
      <c r="A13279" s="76"/>
    </row>
    <row r="13280">
      <c r="A13280" s="76"/>
    </row>
    <row r="13281">
      <c r="A13281" s="76"/>
    </row>
    <row r="13282">
      <c r="A13282" s="76"/>
    </row>
    <row r="13283">
      <c r="A13283" s="76"/>
    </row>
    <row r="13284">
      <c r="A13284" s="76"/>
    </row>
    <row r="13285">
      <c r="A13285" s="76"/>
    </row>
    <row r="13286">
      <c r="A13286" s="76"/>
    </row>
    <row r="13287">
      <c r="A13287" s="76"/>
    </row>
    <row r="13288">
      <c r="A13288" s="76"/>
    </row>
    <row r="13289">
      <c r="A13289" s="76"/>
    </row>
    <row r="13290">
      <c r="A13290" s="76"/>
    </row>
    <row r="13291">
      <c r="A13291" s="76"/>
    </row>
    <row r="13292">
      <c r="A13292" s="76"/>
    </row>
    <row r="13293">
      <c r="A13293" s="76"/>
    </row>
    <row r="13294">
      <c r="A13294" s="76"/>
    </row>
    <row r="13295">
      <c r="A13295" s="76"/>
    </row>
    <row r="13296">
      <c r="A13296" s="76"/>
    </row>
    <row r="13297">
      <c r="A13297" s="76"/>
    </row>
    <row r="13298">
      <c r="A13298" s="76"/>
    </row>
    <row r="13299">
      <c r="A13299" s="76"/>
    </row>
    <row r="13300">
      <c r="A13300" s="76"/>
    </row>
    <row r="13301">
      <c r="A13301" s="76"/>
    </row>
    <row r="13302">
      <c r="A13302" s="76"/>
    </row>
    <row r="13303">
      <c r="A13303" s="76"/>
    </row>
    <row r="13304">
      <c r="A13304" s="76"/>
    </row>
    <row r="13305">
      <c r="A13305" s="76"/>
    </row>
    <row r="13306">
      <c r="A13306" s="76"/>
    </row>
    <row r="13307">
      <c r="A13307" s="76"/>
    </row>
    <row r="13308">
      <c r="A13308" s="76"/>
    </row>
    <row r="13309">
      <c r="A13309" s="76"/>
    </row>
    <row r="13310">
      <c r="A13310" s="76"/>
    </row>
    <row r="13311">
      <c r="A13311" s="76"/>
    </row>
    <row r="13312">
      <c r="A13312" s="76"/>
    </row>
    <row r="13313">
      <c r="A13313" s="76"/>
    </row>
    <row r="13314">
      <c r="A13314" s="76"/>
    </row>
    <row r="13315">
      <c r="A13315" s="76"/>
    </row>
    <row r="13316">
      <c r="A13316" s="76"/>
    </row>
    <row r="13317">
      <c r="A13317" s="76"/>
    </row>
    <row r="13318">
      <c r="A13318" s="76"/>
    </row>
    <row r="13319">
      <c r="A13319" s="76"/>
    </row>
    <row r="13320">
      <c r="A13320" s="76"/>
    </row>
    <row r="13321">
      <c r="A13321" s="76"/>
    </row>
    <row r="13322">
      <c r="A13322" s="76"/>
    </row>
    <row r="13323">
      <c r="A13323" s="76"/>
    </row>
    <row r="13324">
      <c r="A13324" s="76"/>
    </row>
    <row r="13325">
      <c r="A13325" s="76"/>
    </row>
    <row r="13326">
      <c r="A13326" s="76"/>
    </row>
    <row r="13327">
      <c r="A13327" s="76"/>
    </row>
    <row r="13328">
      <c r="A13328" s="76"/>
    </row>
    <row r="13329">
      <c r="A13329" s="76"/>
    </row>
    <row r="13330">
      <c r="A13330" s="76"/>
    </row>
    <row r="13331">
      <c r="A13331" s="76"/>
    </row>
    <row r="13332">
      <c r="A13332" s="76"/>
    </row>
    <row r="13333">
      <c r="A13333" s="76"/>
    </row>
    <row r="13334">
      <c r="A13334" s="76"/>
    </row>
    <row r="13335">
      <c r="A13335" s="76"/>
    </row>
    <row r="13336">
      <c r="A13336" s="76"/>
    </row>
    <row r="13337">
      <c r="A13337" s="76"/>
    </row>
    <row r="13338">
      <c r="A13338" s="76"/>
    </row>
    <row r="13339">
      <c r="A13339" s="76"/>
    </row>
    <row r="13340">
      <c r="A13340" s="76"/>
    </row>
    <row r="13341">
      <c r="A13341" s="76"/>
    </row>
    <row r="13342">
      <c r="A13342" s="76"/>
    </row>
    <row r="13343">
      <c r="A13343" s="76"/>
    </row>
    <row r="13344">
      <c r="A13344" s="76"/>
    </row>
    <row r="13345">
      <c r="A13345" s="76"/>
    </row>
    <row r="13346">
      <c r="A13346" s="76"/>
    </row>
    <row r="13347">
      <c r="A13347" s="76"/>
    </row>
    <row r="13348">
      <c r="A13348" s="76"/>
    </row>
    <row r="13349">
      <c r="A13349" s="76"/>
    </row>
    <row r="13350">
      <c r="A13350" s="76"/>
    </row>
    <row r="13351">
      <c r="A13351" s="76"/>
    </row>
    <row r="13352">
      <c r="A13352" s="76"/>
    </row>
    <row r="13353">
      <c r="A13353" s="76"/>
    </row>
    <row r="13354">
      <c r="A13354" s="76"/>
    </row>
    <row r="13355">
      <c r="A13355" s="76"/>
    </row>
    <row r="13356">
      <c r="A13356" s="76"/>
    </row>
    <row r="13357">
      <c r="A13357" s="76"/>
    </row>
    <row r="13358">
      <c r="A13358" s="76"/>
    </row>
    <row r="13359">
      <c r="A13359" s="76"/>
    </row>
    <row r="13360">
      <c r="A13360" s="76"/>
    </row>
    <row r="13361">
      <c r="A13361" s="76"/>
    </row>
    <row r="13362">
      <c r="A13362" s="76"/>
    </row>
    <row r="13363">
      <c r="A13363" s="76"/>
    </row>
    <row r="13364">
      <c r="A13364" s="76"/>
    </row>
    <row r="13365">
      <c r="A13365" s="76"/>
    </row>
    <row r="13366">
      <c r="A13366" s="76"/>
    </row>
    <row r="13367">
      <c r="A13367" s="76"/>
    </row>
    <row r="13368">
      <c r="A13368" s="76"/>
    </row>
    <row r="13369">
      <c r="A13369" s="76"/>
    </row>
    <row r="13370">
      <c r="A13370" s="76"/>
    </row>
    <row r="13371">
      <c r="A13371" s="76"/>
    </row>
    <row r="13372">
      <c r="A13372" s="76"/>
    </row>
    <row r="13373">
      <c r="A13373" s="76"/>
    </row>
    <row r="13374">
      <c r="A13374" s="76"/>
    </row>
    <row r="13375">
      <c r="A13375" s="76"/>
    </row>
    <row r="13376">
      <c r="A13376" s="76"/>
    </row>
    <row r="13377">
      <c r="A13377" s="76"/>
    </row>
    <row r="13378">
      <c r="A13378" s="76"/>
    </row>
    <row r="13379">
      <c r="A13379" s="76"/>
    </row>
    <row r="13380">
      <c r="A13380" s="76"/>
    </row>
    <row r="13381">
      <c r="A13381" s="76"/>
    </row>
    <row r="13382">
      <c r="A13382" s="76"/>
    </row>
    <row r="13383">
      <c r="A13383" s="76"/>
    </row>
    <row r="13384">
      <c r="A13384" s="76"/>
    </row>
    <row r="13385">
      <c r="A13385" s="76"/>
    </row>
    <row r="13386">
      <c r="A13386" s="76"/>
    </row>
    <row r="13387">
      <c r="A13387" s="76"/>
    </row>
    <row r="13388">
      <c r="A13388" s="76"/>
    </row>
    <row r="13389">
      <c r="A13389" s="76"/>
    </row>
    <row r="13390">
      <c r="A13390" s="76"/>
    </row>
    <row r="13391">
      <c r="A13391" s="76"/>
    </row>
    <row r="13392">
      <c r="A13392" s="76"/>
    </row>
    <row r="13393">
      <c r="A13393" s="76"/>
    </row>
    <row r="13394">
      <c r="A13394" s="76"/>
    </row>
    <row r="13395">
      <c r="A13395" s="76"/>
    </row>
    <row r="13396">
      <c r="A13396" s="76"/>
    </row>
    <row r="13397">
      <c r="A13397" s="76"/>
    </row>
    <row r="13398">
      <c r="A13398" s="76"/>
    </row>
    <row r="13399">
      <c r="A13399" s="76"/>
    </row>
    <row r="13400">
      <c r="A13400" s="76"/>
    </row>
    <row r="13401">
      <c r="A13401" s="76"/>
    </row>
    <row r="13402">
      <c r="A13402" s="76"/>
    </row>
    <row r="13403">
      <c r="A13403" s="76"/>
    </row>
    <row r="13404">
      <c r="A13404" s="76"/>
    </row>
    <row r="13405">
      <c r="A13405" s="76"/>
    </row>
    <row r="13406">
      <c r="A13406" s="76"/>
    </row>
    <row r="13407">
      <c r="A13407" s="76"/>
    </row>
    <row r="13408">
      <c r="A13408" s="76"/>
    </row>
    <row r="13409">
      <c r="A13409" s="76"/>
    </row>
    <row r="13410">
      <c r="A13410" s="76"/>
    </row>
    <row r="13411">
      <c r="A13411" s="76"/>
    </row>
    <row r="13412">
      <c r="A13412" s="76"/>
    </row>
    <row r="13413">
      <c r="A13413" s="76"/>
    </row>
    <row r="13414">
      <c r="A13414" s="76"/>
    </row>
    <row r="13415">
      <c r="A13415" s="76"/>
    </row>
    <row r="13416">
      <c r="A13416" s="76"/>
    </row>
    <row r="13417">
      <c r="A13417" s="76"/>
    </row>
    <row r="13418">
      <c r="A13418" s="76"/>
    </row>
    <row r="13419">
      <c r="A13419" s="76"/>
    </row>
    <row r="13420">
      <c r="A13420" s="76"/>
    </row>
    <row r="13421">
      <c r="A13421" s="76"/>
    </row>
    <row r="13422">
      <c r="A13422" s="76"/>
    </row>
    <row r="13423">
      <c r="A13423" s="76"/>
    </row>
    <row r="13424">
      <c r="A13424" s="76"/>
    </row>
    <row r="13425">
      <c r="A13425" s="76"/>
    </row>
    <row r="13426">
      <c r="A13426" s="76"/>
    </row>
    <row r="13427">
      <c r="A13427" s="76"/>
    </row>
    <row r="13428">
      <c r="A13428" s="76"/>
    </row>
    <row r="13429">
      <c r="A13429" s="76"/>
    </row>
    <row r="13430">
      <c r="A13430" s="76"/>
    </row>
    <row r="13431">
      <c r="A13431" s="76"/>
    </row>
    <row r="13432">
      <c r="A13432" s="76"/>
    </row>
    <row r="13433">
      <c r="A13433" s="76"/>
    </row>
    <row r="13434">
      <c r="A13434" s="76"/>
    </row>
    <row r="13435">
      <c r="A13435" s="76"/>
    </row>
    <row r="13436">
      <c r="A13436" s="76"/>
    </row>
    <row r="13437">
      <c r="A13437" s="76"/>
    </row>
    <row r="13438">
      <c r="A13438" s="76"/>
    </row>
    <row r="13439">
      <c r="A13439" s="76"/>
    </row>
    <row r="13440">
      <c r="A13440" s="76"/>
    </row>
    <row r="13441">
      <c r="A13441" s="76"/>
    </row>
    <row r="13442">
      <c r="A13442" s="76"/>
    </row>
    <row r="13443">
      <c r="A13443" s="76"/>
    </row>
    <row r="13444">
      <c r="A13444" s="76"/>
    </row>
    <row r="13445">
      <c r="A13445" s="76"/>
    </row>
    <row r="13446">
      <c r="A13446" s="76"/>
    </row>
    <row r="13447">
      <c r="A13447" s="76"/>
    </row>
    <row r="13448">
      <c r="A13448" s="76"/>
    </row>
    <row r="13449">
      <c r="A13449" s="76"/>
    </row>
    <row r="13450">
      <c r="A13450" s="76"/>
    </row>
    <row r="13451">
      <c r="A13451" s="76"/>
    </row>
    <row r="13452">
      <c r="A13452" s="76"/>
    </row>
    <row r="13453">
      <c r="A13453" s="76"/>
    </row>
    <row r="13454">
      <c r="A13454" s="76"/>
    </row>
    <row r="13455">
      <c r="A13455" s="76"/>
    </row>
    <row r="13456">
      <c r="A13456" s="76"/>
    </row>
    <row r="13457">
      <c r="A13457" s="76"/>
    </row>
    <row r="13458">
      <c r="A13458" s="76"/>
    </row>
    <row r="13459">
      <c r="A13459" s="76"/>
    </row>
    <row r="13460">
      <c r="A13460" s="76"/>
    </row>
    <row r="13461">
      <c r="A13461" s="76"/>
    </row>
    <row r="13462">
      <c r="A13462" s="76"/>
    </row>
    <row r="13463">
      <c r="A13463" s="76"/>
    </row>
    <row r="13464">
      <c r="A13464" s="76"/>
    </row>
    <row r="13465">
      <c r="A13465" s="76"/>
    </row>
    <row r="13466">
      <c r="A13466" s="76"/>
    </row>
    <row r="13467">
      <c r="A13467" s="76"/>
    </row>
    <row r="13468">
      <c r="A13468" s="76"/>
    </row>
    <row r="13469">
      <c r="A13469" s="76"/>
    </row>
    <row r="13470">
      <c r="A13470" s="76"/>
    </row>
    <row r="13471">
      <c r="A13471" s="76"/>
    </row>
    <row r="13472">
      <c r="A13472" s="76"/>
    </row>
    <row r="13473">
      <c r="A13473" s="76"/>
    </row>
    <row r="13474">
      <c r="A13474" s="76"/>
    </row>
    <row r="13475">
      <c r="A13475" s="76"/>
    </row>
    <row r="13476">
      <c r="A13476" s="76"/>
    </row>
    <row r="13477">
      <c r="A13477" s="76"/>
    </row>
    <row r="13478">
      <c r="A13478" s="76"/>
    </row>
    <row r="13479">
      <c r="A13479" s="76"/>
    </row>
    <row r="13480">
      <c r="A13480" s="76"/>
    </row>
    <row r="13481">
      <c r="A13481" s="76"/>
    </row>
    <row r="13482">
      <c r="A13482" s="76"/>
    </row>
    <row r="13483">
      <c r="A13483" s="76"/>
    </row>
    <row r="13484">
      <c r="A13484" s="76"/>
    </row>
    <row r="13485">
      <c r="A13485" s="76"/>
    </row>
    <row r="13486">
      <c r="A13486" s="76"/>
    </row>
    <row r="13487">
      <c r="A13487" s="76"/>
    </row>
    <row r="13488">
      <c r="A13488" s="76"/>
    </row>
    <row r="13489">
      <c r="A13489" s="76"/>
    </row>
    <row r="13490">
      <c r="A13490" s="76"/>
    </row>
    <row r="13491">
      <c r="A13491" s="76"/>
    </row>
    <row r="13492">
      <c r="A13492" s="76"/>
    </row>
    <row r="13493">
      <c r="A13493" s="76"/>
    </row>
    <row r="13494">
      <c r="A13494" s="76"/>
    </row>
    <row r="13495">
      <c r="A13495" s="76"/>
    </row>
    <row r="13496">
      <c r="A13496" s="76"/>
    </row>
    <row r="13497">
      <c r="A13497" s="76"/>
    </row>
    <row r="13498">
      <c r="A13498" s="76"/>
    </row>
    <row r="13499">
      <c r="A13499" s="76"/>
    </row>
    <row r="13500">
      <c r="A13500" s="76"/>
    </row>
    <row r="13501">
      <c r="A13501" s="76"/>
    </row>
    <row r="13502">
      <c r="A13502" s="76"/>
    </row>
    <row r="13503">
      <c r="A13503" s="76"/>
    </row>
    <row r="13504">
      <c r="A13504" s="76"/>
    </row>
    <row r="13505">
      <c r="A13505" s="76"/>
    </row>
    <row r="13506">
      <c r="A13506" s="76"/>
    </row>
    <row r="13507">
      <c r="A13507" s="76"/>
    </row>
    <row r="13508">
      <c r="A13508" s="76"/>
    </row>
    <row r="13509">
      <c r="A13509" s="76"/>
    </row>
    <row r="13510">
      <c r="A13510" s="76"/>
    </row>
    <row r="13511">
      <c r="A13511" s="76"/>
    </row>
    <row r="13512">
      <c r="A13512" s="76"/>
    </row>
    <row r="13513">
      <c r="A13513" s="76"/>
    </row>
    <row r="13514">
      <c r="A13514" s="76"/>
    </row>
    <row r="13515">
      <c r="A13515" s="76"/>
    </row>
    <row r="13516">
      <c r="A13516" s="76"/>
    </row>
    <row r="13517">
      <c r="A13517" s="76"/>
    </row>
    <row r="13518">
      <c r="A13518" s="76"/>
    </row>
    <row r="13519">
      <c r="A13519" s="76"/>
    </row>
    <row r="13520">
      <c r="A13520" s="76"/>
    </row>
    <row r="13521">
      <c r="A13521" s="76"/>
    </row>
    <row r="13522">
      <c r="A13522" s="76"/>
    </row>
    <row r="13523">
      <c r="A13523" s="76"/>
    </row>
    <row r="13524">
      <c r="A13524" s="76"/>
    </row>
    <row r="13525">
      <c r="A13525" s="76"/>
    </row>
    <row r="13526">
      <c r="A13526" s="76"/>
    </row>
    <row r="13527">
      <c r="A13527" s="76"/>
    </row>
    <row r="13528">
      <c r="A13528" s="76"/>
    </row>
    <row r="13529">
      <c r="A13529" s="76"/>
    </row>
    <row r="13530">
      <c r="A13530" s="76"/>
    </row>
    <row r="13531">
      <c r="A13531" s="76"/>
    </row>
    <row r="13532">
      <c r="A13532" s="76"/>
    </row>
    <row r="13533">
      <c r="A13533" s="76"/>
    </row>
    <row r="13534">
      <c r="A13534" s="76"/>
    </row>
    <row r="13535">
      <c r="A13535" s="76"/>
    </row>
    <row r="13536">
      <c r="A13536" s="76"/>
    </row>
    <row r="13537">
      <c r="A13537" s="76"/>
    </row>
    <row r="13538">
      <c r="A13538" s="76"/>
    </row>
    <row r="13539">
      <c r="A13539" s="76"/>
    </row>
    <row r="13540">
      <c r="A13540" s="76"/>
    </row>
    <row r="13541">
      <c r="A13541" s="76"/>
    </row>
    <row r="13542">
      <c r="A13542" s="76"/>
    </row>
    <row r="13543">
      <c r="A13543" s="76"/>
    </row>
    <row r="13544">
      <c r="A13544" s="76"/>
    </row>
    <row r="13545">
      <c r="A13545" s="76"/>
    </row>
    <row r="13546">
      <c r="A13546" s="76"/>
    </row>
    <row r="13547">
      <c r="A13547" s="76"/>
    </row>
    <row r="13548">
      <c r="A13548" s="76"/>
    </row>
    <row r="13549">
      <c r="A13549" s="76"/>
    </row>
    <row r="13550">
      <c r="A13550" s="76"/>
    </row>
    <row r="13551">
      <c r="A13551" s="76"/>
    </row>
    <row r="13552">
      <c r="A13552" s="76"/>
    </row>
    <row r="13553">
      <c r="A13553" s="76"/>
    </row>
    <row r="13554">
      <c r="A13554" s="76"/>
    </row>
    <row r="13555">
      <c r="A13555" s="76"/>
    </row>
    <row r="13556">
      <c r="A13556" s="76"/>
    </row>
    <row r="13557">
      <c r="A13557" s="76"/>
    </row>
    <row r="13558">
      <c r="A13558" s="76"/>
    </row>
    <row r="13559">
      <c r="A13559" s="76"/>
    </row>
    <row r="13560">
      <c r="A13560" s="76"/>
    </row>
    <row r="13561">
      <c r="A13561" s="76"/>
    </row>
    <row r="13562">
      <c r="A13562" s="76"/>
    </row>
    <row r="13563">
      <c r="A13563" s="76"/>
    </row>
    <row r="13564">
      <c r="A13564" s="76"/>
    </row>
    <row r="13565">
      <c r="A13565" s="76"/>
    </row>
    <row r="13566">
      <c r="A13566" s="76"/>
    </row>
    <row r="13567">
      <c r="A13567" s="76"/>
    </row>
    <row r="13568">
      <c r="A13568" s="76"/>
    </row>
    <row r="13569">
      <c r="A13569" s="76"/>
    </row>
    <row r="13570">
      <c r="A13570" s="76"/>
    </row>
    <row r="13571">
      <c r="A13571" s="76"/>
    </row>
    <row r="13572">
      <c r="A13572" s="76"/>
    </row>
    <row r="13573">
      <c r="A13573" s="76"/>
    </row>
    <row r="13574">
      <c r="A13574" s="76"/>
    </row>
    <row r="13575">
      <c r="A13575" s="76"/>
    </row>
    <row r="13576">
      <c r="A13576" s="76"/>
    </row>
    <row r="13577">
      <c r="A13577" s="76"/>
    </row>
    <row r="13578">
      <c r="A13578" s="76"/>
    </row>
    <row r="13579">
      <c r="A13579" s="76"/>
    </row>
    <row r="13580">
      <c r="A13580" s="76"/>
    </row>
    <row r="13581">
      <c r="A13581" s="76"/>
    </row>
    <row r="13582">
      <c r="A13582" s="76"/>
    </row>
    <row r="13583">
      <c r="A13583" s="76"/>
    </row>
    <row r="13584">
      <c r="A13584" s="76"/>
    </row>
    <row r="13585">
      <c r="A13585" s="76"/>
    </row>
    <row r="13586">
      <c r="A13586" s="76"/>
    </row>
    <row r="13587">
      <c r="A13587" s="76"/>
    </row>
    <row r="13588">
      <c r="A13588" s="76"/>
    </row>
    <row r="13589">
      <c r="A13589" s="76"/>
    </row>
    <row r="13590">
      <c r="A13590" s="76"/>
    </row>
    <row r="13591">
      <c r="A13591" s="76"/>
    </row>
    <row r="13592">
      <c r="A13592" s="76"/>
    </row>
    <row r="13593">
      <c r="A13593" s="76"/>
    </row>
    <row r="13594">
      <c r="A13594" s="76"/>
    </row>
    <row r="13595">
      <c r="A13595" s="76"/>
    </row>
    <row r="13596">
      <c r="A13596" s="76"/>
    </row>
    <row r="13597">
      <c r="A13597" s="76"/>
    </row>
    <row r="13598">
      <c r="A13598" s="76"/>
    </row>
    <row r="13599">
      <c r="A13599" s="76"/>
    </row>
    <row r="13600">
      <c r="A13600" s="76"/>
    </row>
    <row r="13601">
      <c r="A13601" s="76"/>
    </row>
    <row r="13602">
      <c r="A13602" s="76"/>
    </row>
    <row r="13603">
      <c r="A13603" s="76"/>
    </row>
    <row r="13604">
      <c r="A13604" s="76"/>
    </row>
    <row r="13605">
      <c r="A13605" s="76"/>
    </row>
    <row r="13606">
      <c r="A13606" s="76"/>
    </row>
    <row r="13607">
      <c r="A13607" s="76"/>
    </row>
    <row r="13608">
      <c r="A13608" s="76"/>
    </row>
    <row r="13609">
      <c r="A13609" s="76"/>
    </row>
    <row r="13610">
      <c r="A13610" s="76"/>
    </row>
    <row r="13611">
      <c r="A13611" s="76"/>
    </row>
    <row r="13612">
      <c r="A13612" s="76"/>
    </row>
    <row r="13613">
      <c r="A13613" s="76"/>
    </row>
    <row r="13614">
      <c r="A13614" s="76"/>
    </row>
    <row r="13615">
      <c r="A13615" s="76"/>
    </row>
    <row r="13616">
      <c r="A13616" s="76"/>
    </row>
    <row r="13617">
      <c r="A13617" s="76"/>
    </row>
    <row r="13618">
      <c r="A13618" s="76"/>
    </row>
    <row r="13619">
      <c r="A13619" s="76"/>
    </row>
    <row r="13620">
      <c r="A13620" s="76"/>
    </row>
    <row r="13621">
      <c r="A13621" s="76"/>
    </row>
    <row r="13622">
      <c r="A13622" s="76"/>
    </row>
    <row r="13623">
      <c r="A13623" s="76"/>
    </row>
    <row r="13624">
      <c r="A13624" s="76"/>
    </row>
    <row r="13625">
      <c r="A13625" s="76"/>
    </row>
    <row r="13626">
      <c r="A13626" s="76"/>
    </row>
    <row r="13627">
      <c r="A13627" s="76"/>
    </row>
    <row r="13628">
      <c r="A13628" s="76"/>
    </row>
    <row r="13629">
      <c r="A13629" s="76"/>
    </row>
    <row r="13630">
      <c r="A13630" s="76"/>
    </row>
    <row r="13631">
      <c r="A13631" s="76"/>
    </row>
    <row r="13632">
      <c r="A13632" s="76"/>
    </row>
    <row r="13633">
      <c r="A13633" s="76"/>
    </row>
    <row r="13634">
      <c r="A13634" s="76"/>
    </row>
    <row r="13635">
      <c r="A13635" s="76"/>
    </row>
    <row r="13636">
      <c r="A13636" s="76"/>
    </row>
    <row r="13637">
      <c r="A13637" s="76"/>
    </row>
    <row r="13638">
      <c r="A13638" s="76"/>
    </row>
    <row r="13639">
      <c r="A13639" s="76"/>
    </row>
    <row r="13640">
      <c r="A13640" s="76"/>
    </row>
    <row r="13641">
      <c r="A13641" s="76"/>
    </row>
    <row r="13642">
      <c r="A13642" s="76"/>
    </row>
    <row r="13643">
      <c r="A13643" s="76"/>
    </row>
    <row r="13644">
      <c r="A13644" s="76"/>
    </row>
    <row r="13645">
      <c r="A13645" s="76"/>
    </row>
    <row r="13646">
      <c r="A13646" s="76"/>
    </row>
    <row r="13647">
      <c r="A13647" s="76"/>
    </row>
    <row r="13648">
      <c r="A13648" s="76"/>
    </row>
    <row r="13649">
      <c r="A13649" s="76"/>
    </row>
    <row r="13650">
      <c r="A13650" s="76"/>
    </row>
    <row r="13651">
      <c r="A13651" s="76"/>
    </row>
    <row r="13652">
      <c r="A13652" s="76"/>
    </row>
    <row r="13653">
      <c r="A13653" s="76"/>
    </row>
    <row r="13654">
      <c r="A13654" s="76"/>
    </row>
    <row r="13655">
      <c r="A13655" s="76"/>
    </row>
    <row r="13656">
      <c r="A13656" s="76"/>
    </row>
    <row r="13657">
      <c r="A13657" s="76"/>
    </row>
    <row r="13658">
      <c r="A13658" s="76"/>
    </row>
    <row r="13659">
      <c r="A13659" s="76"/>
    </row>
    <row r="13660">
      <c r="A13660" s="76"/>
    </row>
    <row r="13661">
      <c r="A13661" s="76"/>
    </row>
    <row r="13662">
      <c r="A13662" s="76"/>
    </row>
    <row r="13663">
      <c r="A13663" s="76"/>
    </row>
    <row r="13664">
      <c r="A13664" s="76"/>
    </row>
    <row r="13665">
      <c r="A13665" s="76"/>
    </row>
    <row r="13666">
      <c r="A13666" s="76"/>
    </row>
    <row r="13667">
      <c r="A13667" s="76"/>
    </row>
    <row r="13668">
      <c r="A13668" s="76"/>
    </row>
    <row r="13669">
      <c r="A13669" s="76"/>
    </row>
    <row r="13670">
      <c r="A13670" s="76"/>
    </row>
    <row r="13671">
      <c r="A13671" s="76"/>
    </row>
    <row r="13672">
      <c r="A13672" s="76"/>
    </row>
    <row r="13673">
      <c r="A13673" s="76"/>
    </row>
    <row r="13674">
      <c r="A13674" s="76"/>
    </row>
    <row r="13675">
      <c r="A13675" s="76"/>
    </row>
    <row r="13676">
      <c r="A13676" s="76"/>
    </row>
    <row r="13677">
      <c r="A13677" s="76"/>
    </row>
    <row r="13678">
      <c r="A13678" s="76"/>
    </row>
    <row r="13679">
      <c r="A13679" s="76"/>
    </row>
    <row r="13680">
      <c r="A13680" s="76"/>
    </row>
    <row r="13681">
      <c r="A13681" s="76"/>
    </row>
    <row r="13682">
      <c r="A13682" s="76"/>
    </row>
    <row r="13683">
      <c r="A13683" s="76"/>
    </row>
    <row r="13684">
      <c r="A13684" s="76"/>
    </row>
    <row r="13685">
      <c r="A13685" s="76"/>
    </row>
    <row r="13686">
      <c r="A13686" s="76"/>
    </row>
    <row r="13687">
      <c r="A13687" s="76"/>
    </row>
    <row r="13688">
      <c r="A13688" s="76"/>
    </row>
    <row r="13689">
      <c r="A13689" s="76"/>
    </row>
    <row r="13690">
      <c r="A13690" s="76"/>
    </row>
    <row r="13691">
      <c r="A13691" s="76"/>
    </row>
    <row r="13692">
      <c r="A13692" s="76"/>
    </row>
    <row r="13693">
      <c r="A13693" s="76"/>
    </row>
    <row r="13694">
      <c r="A13694" s="76"/>
    </row>
    <row r="13695">
      <c r="A13695" s="76"/>
    </row>
    <row r="13696">
      <c r="A13696" s="76"/>
    </row>
    <row r="13697">
      <c r="A13697" s="76"/>
    </row>
    <row r="13698">
      <c r="A13698" s="76"/>
    </row>
    <row r="13699">
      <c r="A13699" s="76"/>
    </row>
    <row r="13700">
      <c r="A13700" s="76"/>
    </row>
    <row r="13701">
      <c r="A13701" s="76"/>
    </row>
    <row r="13702">
      <c r="A13702" s="76"/>
    </row>
    <row r="13703">
      <c r="A13703" s="76"/>
    </row>
    <row r="13704">
      <c r="A13704" s="76"/>
    </row>
    <row r="13705">
      <c r="A13705" s="76"/>
    </row>
    <row r="13706">
      <c r="A13706" s="76"/>
    </row>
    <row r="13707">
      <c r="A13707" s="76"/>
    </row>
    <row r="13708">
      <c r="A13708" s="76"/>
    </row>
    <row r="13709">
      <c r="A13709" s="76"/>
    </row>
    <row r="13710">
      <c r="A13710" s="76"/>
    </row>
    <row r="13711">
      <c r="A13711" s="76"/>
    </row>
    <row r="13712">
      <c r="A13712" s="76"/>
    </row>
    <row r="13713">
      <c r="A13713" s="76"/>
    </row>
    <row r="13714">
      <c r="A13714" s="76"/>
    </row>
    <row r="13715">
      <c r="A13715" s="76"/>
    </row>
    <row r="13716">
      <c r="A13716" s="76"/>
    </row>
    <row r="13717">
      <c r="A13717" s="76"/>
    </row>
    <row r="13718">
      <c r="A13718" s="76"/>
    </row>
    <row r="13719">
      <c r="A13719" s="76"/>
    </row>
    <row r="13720">
      <c r="A13720" s="76"/>
    </row>
    <row r="13721">
      <c r="A13721" s="76"/>
    </row>
    <row r="13722">
      <c r="A13722" s="76"/>
    </row>
    <row r="13723">
      <c r="A13723" s="76"/>
    </row>
    <row r="13724">
      <c r="A13724" s="76"/>
    </row>
    <row r="13725">
      <c r="A13725" s="76"/>
    </row>
    <row r="13726">
      <c r="A13726" s="76"/>
    </row>
    <row r="13727">
      <c r="A13727" s="76"/>
    </row>
    <row r="13728">
      <c r="A13728" s="76"/>
    </row>
    <row r="13729">
      <c r="A13729" s="76"/>
    </row>
    <row r="13730">
      <c r="A13730" s="76"/>
    </row>
    <row r="13731">
      <c r="A13731" s="76"/>
    </row>
    <row r="13732">
      <c r="A13732" s="76"/>
    </row>
    <row r="13733">
      <c r="A13733" s="76"/>
    </row>
    <row r="13734">
      <c r="A13734" s="76"/>
    </row>
    <row r="13735">
      <c r="A13735" s="76"/>
    </row>
    <row r="13736">
      <c r="A13736" s="76"/>
    </row>
    <row r="13737">
      <c r="A13737" s="76"/>
    </row>
    <row r="13738">
      <c r="A13738" s="76"/>
    </row>
    <row r="13739">
      <c r="A13739" s="76"/>
    </row>
    <row r="13740">
      <c r="A13740" s="76"/>
    </row>
    <row r="13741">
      <c r="A13741" s="76"/>
    </row>
    <row r="13742">
      <c r="A13742" s="76"/>
    </row>
    <row r="13743">
      <c r="A13743" s="76"/>
    </row>
    <row r="13744">
      <c r="A13744" s="76"/>
    </row>
    <row r="13745">
      <c r="A13745" s="76"/>
    </row>
    <row r="13746">
      <c r="A13746" s="76"/>
    </row>
    <row r="13747">
      <c r="A13747" s="76"/>
    </row>
    <row r="13748">
      <c r="A13748" s="76"/>
    </row>
    <row r="13749">
      <c r="A13749" s="76"/>
    </row>
    <row r="13750">
      <c r="A13750" s="76"/>
    </row>
    <row r="13751">
      <c r="A13751" s="76"/>
    </row>
    <row r="13752">
      <c r="A13752" s="76"/>
    </row>
    <row r="13753">
      <c r="A13753" s="76"/>
    </row>
    <row r="13754">
      <c r="A13754" s="76"/>
    </row>
    <row r="13755">
      <c r="A13755" s="76"/>
    </row>
    <row r="13756">
      <c r="A13756" s="76"/>
    </row>
    <row r="13757">
      <c r="A13757" s="76"/>
    </row>
    <row r="13758">
      <c r="A13758" s="76"/>
    </row>
    <row r="13759">
      <c r="A13759" s="76"/>
    </row>
    <row r="13760">
      <c r="A13760" s="76"/>
    </row>
    <row r="13761">
      <c r="A13761" s="76"/>
    </row>
    <row r="13762">
      <c r="A13762" s="76"/>
    </row>
    <row r="13763">
      <c r="A13763" s="76"/>
    </row>
    <row r="13764">
      <c r="A13764" s="76"/>
    </row>
    <row r="13765">
      <c r="A13765" s="76"/>
    </row>
    <row r="13766">
      <c r="A13766" s="76"/>
    </row>
    <row r="13767">
      <c r="A13767" s="76"/>
    </row>
    <row r="13768">
      <c r="A13768" s="76"/>
    </row>
    <row r="13769">
      <c r="A13769" s="76"/>
    </row>
    <row r="13770">
      <c r="A13770" s="76"/>
    </row>
    <row r="13771">
      <c r="A13771" s="76"/>
    </row>
    <row r="13772">
      <c r="A13772" s="76"/>
    </row>
    <row r="13773">
      <c r="A13773" s="76"/>
    </row>
    <row r="13774">
      <c r="A13774" s="76"/>
    </row>
    <row r="13775">
      <c r="A13775" s="76"/>
    </row>
    <row r="13776">
      <c r="A13776" s="76"/>
    </row>
    <row r="13777">
      <c r="A13777" s="76"/>
    </row>
    <row r="13778">
      <c r="A13778" s="76"/>
    </row>
    <row r="13779">
      <c r="A13779" s="76"/>
    </row>
    <row r="13780">
      <c r="A13780" s="76"/>
    </row>
    <row r="13781">
      <c r="A13781" s="76"/>
    </row>
    <row r="13782">
      <c r="A13782" s="76"/>
    </row>
    <row r="13783">
      <c r="A13783" s="76"/>
    </row>
    <row r="13784">
      <c r="A13784" s="76"/>
    </row>
    <row r="13785">
      <c r="A13785" s="76"/>
    </row>
    <row r="13786">
      <c r="A13786" s="76"/>
    </row>
    <row r="13787">
      <c r="A13787" s="76"/>
    </row>
    <row r="13788">
      <c r="A13788" s="76"/>
    </row>
    <row r="13789">
      <c r="A13789" s="76"/>
    </row>
    <row r="13790">
      <c r="A13790" s="76"/>
    </row>
    <row r="13791">
      <c r="A13791" s="76"/>
    </row>
    <row r="13792">
      <c r="A13792" s="76"/>
    </row>
    <row r="13793">
      <c r="A13793" s="76"/>
    </row>
    <row r="13794">
      <c r="A13794" s="76"/>
    </row>
    <row r="13795">
      <c r="A13795" s="76"/>
    </row>
    <row r="13796">
      <c r="A13796" s="76"/>
    </row>
    <row r="13797">
      <c r="A13797" s="76"/>
    </row>
    <row r="13798">
      <c r="A13798" s="76"/>
    </row>
    <row r="13799">
      <c r="A13799" s="76"/>
    </row>
    <row r="13800">
      <c r="A13800" s="76"/>
    </row>
    <row r="13801">
      <c r="A13801" s="76"/>
    </row>
    <row r="13802">
      <c r="A13802" s="76"/>
    </row>
    <row r="13803">
      <c r="A13803" s="76"/>
    </row>
    <row r="13804">
      <c r="A13804" s="76"/>
    </row>
    <row r="13805">
      <c r="A13805" s="76"/>
    </row>
    <row r="13806">
      <c r="A13806" s="76"/>
    </row>
    <row r="13807">
      <c r="A13807" s="76"/>
    </row>
    <row r="13808">
      <c r="A13808" s="76"/>
    </row>
    <row r="13809">
      <c r="A13809" s="76"/>
    </row>
    <row r="13810">
      <c r="A13810" s="76"/>
    </row>
    <row r="13811">
      <c r="A13811" s="76"/>
    </row>
    <row r="13812">
      <c r="A13812" s="76"/>
    </row>
    <row r="13813">
      <c r="A13813" s="76"/>
    </row>
    <row r="13814">
      <c r="A13814" s="76"/>
    </row>
    <row r="13815">
      <c r="A13815" s="76"/>
    </row>
    <row r="13816">
      <c r="A13816" s="76"/>
    </row>
    <row r="13817">
      <c r="A13817" s="76"/>
    </row>
    <row r="13818">
      <c r="A13818" s="76"/>
    </row>
    <row r="13819">
      <c r="A13819" s="76"/>
    </row>
    <row r="13820">
      <c r="A13820" s="76"/>
    </row>
    <row r="13821">
      <c r="A13821" s="76"/>
    </row>
    <row r="13822">
      <c r="A13822" s="76"/>
    </row>
    <row r="13823">
      <c r="A13823" s="76"/>
    </row>
    <row r="13824">
      <c r="A13824" s="76"/>
    </row>
    <row r="13825">
      <c r="A13825" s="76"/>
    </row>
    <row r="13826">
      <c r="A13826" s="76"/>
    </row>
    <row r="13827">
      <c r="A13827" s="76"/>
    </row>
    <row r="13828">
      <c r="A13828" s="76"/>
    </row>
    <row r="13829">
      <c r="A13829" s="76"/>
    </row>
    <row r="13830">
      <c r="A13830" s="76"/>
    </row>
    <row r="13831">
      <c r="A13831" s="76"/>
    </row>
    <row r="13832">
      <c r="A13832" s="76"/>
    </row>
    <row r="13833">
      <c r="A13833" s="76"/>
    </row>
    <row r="13834">
      <c r="A13834" s="76"/>
    </row>
    <row r="13835">
      <c r="A13835" s="76"/>
    </row>
    <row r="13836">
      <c r="A13836" s="76"/>
    </row>
    <row r="13837">
      <c r="A13837" s="76"/>
    </row>
    <row r="13838">
      <c r="A13838" s="76"/>
    </row>
    <row r="13839">
      <c r="A13839" s="76"/>
    </row>
    <row r="13840">
      <c r="A13840" s="76"/>
    </row>
    <row r="13841">
      <c r="A13841" s="76"/>
    </row>
    <row r="13842">
      <c r="A13842" s="76"/>
    </row>
    <row r="13843">
      <c r="A13843" s="76"/>
    </row>
    <row r="13844">
      <c r="A13844" s="76"/>
    </row>
    <row r="13845">
      <c r="A13845" s="76"/>
    </row>
    <row r="13846">
      <c r="A13846" s="76"/>
    </row>
    <row r="13847">
      <c r="A13847" s="76"/>
    </row>
    <row r="13848">
      <c r="A13848" s="76"/>
    </row>
    <row r="13849">
      <c r="A13849" s="76"/>
    </row>
    <row r="13850">
      <c r="A13850" s="76"/>
    </row>
    <row r="13851">
      <c r="A13851" s="76"/>
    </row>
    <row r="13852">
      <c r="A13852" s="76"/>
    </row>
    <row r="13853">
      <c r="A13853" s="76"/>
    </row>
    <row r="13854">
      <c r="A13854" s="76"/>
    </row>
    <row r="13855">
      <c r="A13855" s="76"/>
    </row>
    <row r="13856">
      <c r="A13856" s="76"/>
    </row>
    <row r="13857">
      <c r="A13857" s="76"/>
    </row>
    <row r="13858">
      <c r="A13858" s="76"/>
    </row>
    <row r="13859">
      <c r="A13859" s="76"/>
    </row>
    <row r="13860">
      <c r="A13860" s="76"/>
    </row>
    <row r="13861">
      <c r="A13861" s="76"/>
    </row>
    <row r="13862">
      <c r="A13862" s="76"/>
    </row>
    <row r="13863">
      <c r="A13863" s="76"/>
    </row>
    <row r="13864">
      <c r="A13864" s="76"/>
    </row>
    <row r="13865">
      <c r="A13865" s="76"/>
    </row>
    <row r="13866">
      <c r="A13866" s="76"/>
    </row>
    <row r="13867">
      <c r="A13867" s="76"/>
    </row>
    <row r="13868">
      <c r="A13868" s="76"/>
    </row>
    <row r="13869">
      <c r="A13869" s="76"/>
    </row>
    <row r="13870">
      <c r="A13870" s="76"/>
    </row>
    <row r="13871">
      <c r="A13871" s="76"/>
    </row>
    <row r="13872">
      <c r="A13872" s="76"/>
    </row>
    <row r="13873">
      <c r="A13873" s="76"/>
    </row>
    <row r="13874">
      <c r="A13874" s="76"/>
    </row>
    <row r="13875">
      <c r="A13875" s="76"/>
    </row>
    <row r="13876">
      <c r="A13876" s="76"/>
    </row>
    <row r="13877">
      <c r="A13877" s="76"/>
    </row>
    <row r="13878">
      <c r="A13878" s="76"/>
    </row>
    <row r="13879">
      <c r="A13879" s="76"/>
    </row>
    <row r="13880">
      <c r="A13880" s="76"/>
    </row>
    <row r="13881">
      <c r="A13881" s="76"/>
    </row>
    <row r="13882">
      <c r="A13882" s="76"/>
    </row>
    <row r="13883">
      <c r="A13883" s="76"/>
    </row>
    <row r="13884">
      <c r="A13884" s="76"/>
    </row>
    <row r="13885">
      <c r="A13885" s="76"/>
    </row>
    <row r="13886">
      <c r="A13886" s="76"/>
    </row>
    <row r="13887">
      <c r="A13887" s="76"/>
    </row>
    <row r="13888">
      <c r="A13888" s="76"/>
    </row>
    <row r="13889">
      <c r="A13889" s="76"/>
    </row>
    <row r="13890">
      <c r="A13890" s="76"/>
    </row>
    <row r="13891">
      <c r="A13891" s="76"/>
    </row>
    <row r="13892">
      <c r="A13892" s="76"/>
    </row>
    <row r="13893">
      <c r="A13893" s="76"/>
    </row>
    <row r="13894">
      <c r="A13894" s="76"/>
    </row>
    <row r="13895">
      <c r="A13895" s="76"/>
    </row>
    <row r="13896">
      <c r="A13896" s="76"/>
    </row>
    <row r="13897">
      <c r="A13897" s="76"/>
    </row>
    <row r="13898">
      <c r="A13898" s="76"/>
    </row>
    <row r="13899">
      <c r="A13899" s="76"/>
    </row>
    <row r="13900">
      <c r="A13900" s="76"/>
    </row>
    <row r="13901">
      <c r="A13901" s="76"/>
    </row>
    <row r="13902">
      <c r="A13902" s="76"/>
    </row>
    <row r="13903">
      <c r="A13903" s="76"/>
    </row>
    <row r="13904">
      <c r="A13904" s="76"/>
    </row>
    <row r="13905">
      <c r="A13905" s="76"/>
    </row>
    <row r="13906">
      <c r="A13906" s="76"/>
    </row>
    <row r="13907">
      <c r="A13907" s="76"/>
    </row>
    <row r="13908">
      <c r="A13908" s="76"/>
    </row>
    <row r="13909">
      <c r="A13909" s="76"/>
    </row>
    <row r="13910">
      <c r="A13910" s="76"/>
    </row>
    <row r="13911">
      <c r="A13911" s="76"/>
    </row>
    <row r="13912">
      <c r="A13912" s="76"/>
    </row>
    <row r="13913">
      <c r="A13913" s="76"/>
    </row>
    <row r="13914">
      <c r="A13914" s="76"/>
    </row>
    <row r="13915">
      <c r="A13915" s="76"/>
    </row>
    <row r="13916">
      <c r="A13916" s="76"/>
    </row>
    <row r="13917">
      <c r="A13917" s="76"/>
    </row>
    <row r="13918">
      <c r="A13918" s="76"/>
    </row>
    <row r="13919">
      <c r="A13919" s="76"/>
    </row>
    <row r="13920">
      <c r="A13920" s="76"/>
    </row>
    <row r="13921">
      <c r="A13921" s="76"/>
    </row>
    <row r="13922">
      <c r="A13922" s="76"/>
    </row>
    <row r="13923">
      <c r="A13923" s="76"/>
    </row>
    <row r="13924">
      <c r="A13924" s="76"/>
    </row>
    <row r="13925">
      <c r="A13925" s="76"/>
    </row>
    <row r="13926">
      <c r="A13926" s="76"/>
    </row>
    <row r="13927">
      <c r="A13927" s="76"/>
    </row>
    <row r="13928">
      <c r="A13928" s="76"/>
    </row>
    <row r="13929">
      <c r="A13929" s="76"/>
    </row>
    <row r="13930">
      <c r="A13930" s="76"/>
    </row>
    <row r="13931">
      <c r="A13931" s="76"/>
    </row>
    <row r="13932">
      <c r="A13932" s="76"/>
    </row>
    <row r="13933">
      <c r="A13933" s="76"/>
    </row>
    <row r="13934">
      <c r="A13934" s="76"/>
    </row>
    <row r="13935">
      <c r="A13935" s="76"/>
    </row>
    <row r="13936">
      <c r="A13936" s="76"/>
    </row>
    <row r="13937">
      <c r="A13937" s="76"/>
    </row>
    <row r="13938">
      <c r="A13938" s="76"/>
    </row>
    <row r="13939">
      <c r="A13939" s="76"/>
    </row>
    <row r="13940">
      <c r="A13940" s="76"/>
    </row>
    <row r="13941">
      <c r="A13941" s="76"/>
    </row>
    <row r="13942">
      <c r="A13942" s="76"/>
    </row>
    <row r="13943">
      <c r="A13943" s="76"/>
    </row>
    <row r="13944">
      <c r="A13944" s="76"/>
    </row>
    <row r="13945">
      <c r="A13945" s="76"/>
    </row>
    <row r="13946">
      <c r="A13946" s="76"/>
    </row>
    <row r="13947">
      <c r="A13947" s="76"/>
    </row>
    <row r="13948">
      <c r="A13948" s="76"/>
    </row>
    <row r="13949">
      <c r="A13949" s="76"/>
    </row>
    <row r="13950">
      <c r="A13950" s="76"/>
    </row>
    <row r="13951">
      <c r="A13951" s="76"/>
    </row>
    <row r="13952">
      <c r="A13952" s="76"/>
    </row>
    <row r="13953">
      <c r="A13953" s="76"/>
    </row>
    <row r="13954">
      <c r="A13954" s="76"/>
    </row>
    <row r="13955">
      <c r="A13955" s="76"/>
    </row>
    <row r="13956">
      <c r="A13956" s="76"/>
    </row>
    <row r="13957">
      <c r="A13957" s="76"/>
    </row>
    <row r="13958">
      <c r="A13958" s="76"/>
    </row>
    <row r="13959">
      <c r="A13959" s="76"/>
    </row>
    <row r="13960">
      <c r="A13960" s="76"/>
    </row>
    <row r="13961">
      <c r="A13961" s="76"/>
    </row>
    <row r="13962">
      <c r="A13962" s="76"/>
    </row>
    <row r="13963">
      <c r="A13963" s="76"/>
    </row>
    <row r="13964">
      <c r="A13964" s="76"/>
    </row>
    <row r="13965">
      <c r="A13965" s="76"/>
    </row>
    <row r="13966">
      <c r="A13966" s="76"/>
    </row>
    <row r="13967">
      <c r="A13967" s="76"/>
    </row>
    <row r="13968">
      <c r="A13968" s="76"/>
    </row>
    <row r="13969">
      <c r="A13969" s="76"/>
    </row>
    <row r="13970">
      <c r="A13970" s="76"/>
    </row>
    <row r="13971">
      <c r="A13971" s="76"/>
    </row>
    <row r="13972">
      <c r="A13972" s="76"/>
    </row>
    <row r="13973">
      <c r="A13973" s="76"/>
    </row>
    <row r="13974">
      <c r="A13974" s="76"/>
    </row>
    <row r="13975">
      <c r="A13975" s="76"/>
    </row>
    <row r="13976">
      <c r="A13976" s="76"/>
    </row>
    <row r="13977">
      <c r="A13977" s="76"/>
    </row>
    <row r="13978">
      <c r="A13978" s="76"/>
    </row>
    <row r="13979">
      <c r="A13979" s="76"/>
    </row>
    <row r="13980">
      <c r="A13980" s="76"/>
    </row>
    <row r="13981">
      <c r="A13981" s="76"/>
    </row>
    <row r="13982">
      <c r="A13982" s="76"/>
    </row>
    <row r="13983">
      <c r="A13983" s="76"/>
    </row>
    <row r="13984">
      <c r="A13984" s="76"/>
    </row>
    <row r="13985">
      <c r="A13985" s="76"/>
    </row>
    <row r="13986">
      <c r="A13986" s="76"/>
    </row>
    <row r="13987">
      <c r="A13987" s="76"/>
    </row>
    <row r="13988">
      <c r="A13988" s="76"/>
    </row>
    <row r="13989">
      <c r="A13989" s="76"/>
    </row>
    <row r="13990">
      <c r="A13990" s="76"/>
    </row>
    <row r="13991">
      <c r="A13991" s="76"/>
    </row>
    <row r="13992">
      <c r="A13992" s="76"/>
    </row>
    <row r="13993">
      <c r="A13993" s="76"/>
    </row>
    <row r="13994">
      <c r="A13994" s="76"/>
    </row>
    <row r="13995">
      <c r="A13995" s="76"/>
    </row>
    <row r="13996">
      <c r="A13996" s="76"/>
    </row>
    <row r="13997">
      <c r="A13997" s="76"/>
    </row>
    <row r="13998">
      <c r="A13998" s="76"/>
    </row>
    <row r="13999">
      <c r="A13999" s="76"/>
    </row>
    <row r="14000">
      <c r="A14000" s="76"/>
    </row>
    <row r="14001">
      <c r="A14001" s="76"/>
    </row>
    <row r="14002">
      <c r="A14002" s="76"/>
    </row>
    <row r="14003">
      <c r="A14003" s="76"/>
    </row>
    <row r="14004">
      <c r="A14004" s="76"/>
    </row>
    <row r="14005">
      <c r="A14005" s="76"/>
    </row>
    <row r="14006">
      <c r="A14006" s="76"/>
    </row>
    <row r="14007">
      <c r="A14007" s="76"/>
    </row>
    <row r="14008">
      <c r="A14008" s="76"/>
    </row>
    <row r="14009">
      <c r="A14009" s="76"/>
    </row>
    <row r="14010">
      <c r="A14010" s="76"/>
    </row>
    <row r="14011">
      <c r="A14011" s="76"/>
    </row>
    <row r="14012">
      <c r="A14012" s="76"/>
    </row>
    <row r="14013">
      <c r="A14013" s="76"/>
    </row>
    <row r="14014">
      <c r="A14014" s="76"/>
    </row>
    <row r="14015">
      <c r="A14015" s="76"/>
    </row>
    <row r="14016">
      <c r="A14016" s="76"/>
    </row>
    <row r="14017">
      <c r="A14017" s="76"/>
    </row>
    <row r="14018">
      <c r="A14018" s="76"/>
    </row>
    <row r="14019">
      <c r="A14019" s="76"/>
    </row>
    <row r="14020">
      <c r="A14020" s="76"/>
    </row>
    <row r="14021">
      <c r="A14021" s="76"/>
    </row>
    <row r="14022">
      <c r="A14022" s="76"/>
    </row>
    <row r="14023">
      <c r="A14023" s="76"/>
    </row>
    <row r="14024">
      <c r="A14024" s="76"/>
    </row>
    <row r="14025">
      <c r="A14025" s="76"/>
    </row>
    <row r="14026">
      <c r="A14026" s="76"/>
    </row>
    <row r="14027">
      <c r="A14027" s="76"/>
    </row>
    <row r="14028">
      <c r="A14028" s="76"/>
    </row>
    <row r="14029">
      <c r="A14029" s="76"/>
    </row>
    <row r="14030">
      <c r="A14030" s="76"/>
    </row>
    <row r="14031">
      <c r="A14031" s="76"/>
    </row>
    <row r="14032">
      <c r="A14032" s="76"/>
    </row>
    <row r="14033">
      <c r="A14033" s="76"/>
    </row>
    <row r="14034">
      <c r="A14034" s="76"/>
    </row>
    <row r="14035">
      <c r="A14035" s="76"/>
    </row>
    <row r="14036">
      <c r="A14036" s="76"/>
    </row>
    <row r="14037">
      <c r="A14037" s="76"/>
    </row>
    <row r="14038">
      <c r="A14038" s="76"/>
    </row>
    <row r="14039">
      <c r="A14039" s="76"/>
    </row>
    <row r="14040">
      <c r="A14040" s="76"/>
    </row>
    <row r="14041">
      <c r="A14041" s="76"/>
    </row>
    <row r="14042">
      <c r="A14042" s="76"/>
    </row>
    <row r="14043">
      <c r="A14043" s="76"/>
    </row>
    <row r="14044">
      <c r="A14044" s="76"/>
    </row>
    <row r="14045">
      <c r="A14045" s="76"/>
    </row>
    <row r="14046">
      <c r="A14046" s="76"/>
    </row>
    <row r="14047">
      <c r="A14047" s="76"/>
    </row>
    <row r="14048">
      <c r="A14048" s="76"/>
    </row>
    <row r="14049">
      <c r="A14049" s="76"/>
    </row>
    <row r="14050">
      <c r="A14050" s="76"/>
    </row>
    <row r="14051">
      <c r="A14051" s="76"/>
    </row>
    <row r="14052">
      <c r="A14052" s="76"/>
    </row>
    <row r="14053">
      <c r="A14053" s="76"/>
    </row>
    <row r="14054">
      <c r="A14054" s="76"/>
    </row>
    <row r="14055">
      <c r="A14055" s="76"/>
    </row>
    <row r="14056">
      <c r="A14056" s="76"/>
    </row>
    <row r="14057">
      <c r="A14057" s="76"/>
    </row>
    <row r="14058">
      <c r="A14058" s="76"/>
    </row>
    <row r="14059">
      <c r="A14059" s="76"/>
    </row>
    <row r="14060">
      <c r="A14060" s="76"/>
    </row>
    <row r="14061">
      <c r="A14061" s="76"/>
    </row>
    <row r="14062">
      <c r="A14062" s="76"/>
    </row>
    <row r="14063">
      <c r="A14063" s="76"/>
    </row>
    <row r="14064">
      <c r="A14064" s="76"/>
    </row>
    <row r="14065">
      <c r="A14065" s="76"/>
    </row>
    <row r="14066">
      <c r="A14066" s="76"/>
    </row>
    <row r="14067">
      <c r="A14067" s="76"/>
    </row>
    <row r="14068">
      <c r="A14068" s="76"/>
    </row>
    <row r="14069">
      <c r="A14069" s="76"/>
    </row>
    <row r="14070">
      <c r="A14070" s="76"/>
    </row>
    <row r="14071">
      <c r="A14071" s="76"/>
    </row>
    <row r="14072">
      <c r="A14072" s="76"/>
    </row>
    <row r="14073">
      <c r="A14073" s="76"/>
    </row>
    <row r="14074">
      <c r="A14074" s="76"/>
    </row>
    <row r="14075">
      <c r="A14075" s="76"/>
    </row>
    <row r="14076">
      <c r="A14076" s="76"/>
    </row>
    <row r="14077">
      <c r="A14077" s="76"/>
    </row>
    <row r="14078">
      <c r="A14078" s="76"/>
    </row>
    <row r="14079">
      <c r="A14079" s="76"/>
    </row>
    <row r="14080">
      <c r="A14080" s="76"/>
    </row>
    <row r="14081">
      <c r="A14081" s="76"/>
    </row>
    <row r="14082">
      <c r="A14082" s="76"/>
    </row>
    <row r="14083">
      <c r="A14083" s="76"/>
    </row>
    <row r="14084">
      <c r="A14084" s="76"/>
    </row>
    <row r="14085">
      <c r="A14085" s="76"/>
    </row>
    <row r="14086">
      <c r="A14086" s="76"/>
    </row>
    <row r="14087">
      <c r="A14087" s="76"/>
    </row>
    <row r="14088">
      <c r="A14088" s="76"/>
    </row>
    <row r="14089">
      <c r="A14089" s="76"/>
    </row>
    <row r="14090">
      <c r="A14090" s="76"/>
    </row>
    <row r="14091">
      <c r="A14091" s="76"/>
    </row>
    <row r="14092">
      <c r="A14092" s="76"/>
    </row>
    <row r="14093">
      <c r="A14093" s="76"/>
    </row>
    <row r="14094">
      <c r="A14094" s="76"/>
    </row>
    <row r="14095">
      <c r="A14095" s="76"/>
    </row>
    <row r="14096">
      <c r="A14096" s="76"/>
    </row>
    <row r="14097">
      <c r="A14097" s="76"/>
    </row>
    <row r="14098">
      <c r="A14098" s="76"/>
    </row>
    <row r="14099">
      <c r="A14099" s="76"/>
    </row>
    <row r="14100">
      <c r="A14100" s="76"/>
    </row>
    <row r="14101">
      <c r="A14101" s="76"/>
    </row>
    <row r="14102">
      <c r="A14102" s="76"/>
    </row>
    <row r="14103">
      <c r="A14103" s="76"/>
    </row>
    <row r="14104">
      <c r="A14104" s="76"/>
    </row>
    <row r="14105">
      <c r="A14105" s="76"/>
    </row>
    <row r="14106">
      <c r="A14106" s="76"/>
    </row>
    <row r="14107">
      <c r="A14107" s="76"/>
    </row>
    <row r="14108">
      <c r="A14108" s="76"/>
    </row>
    <row r="14109">
      <c r="A14109" s="76"/>
    </row>
    <row r="14110">
      <c r="A14110" s="76"/>
    </row>
    <row r="14111">
      <c r="A14111" s="76"/>
    </row>
    <row r="14112">
      <c r="A14112" s="76"/>
    </row>
    <row r="14113">
      <c r="A14113" s="76"/>
    </row>
    <row r="14114">
      <c r="A14114" s="76"/>
    </row>
    <row r="14115">
      <c r="A14115" s="76"/>
    </row>
    <row r="14116">
      <c r="A14116" s="76"/>
    </row>
    <row r="14117">
      <c r="A14117" s="76"/>
    </row>
    <row r="14118">
      <c r="A14118" s="76"/>
    </row>
    <row r="14119">
      <c r="A14119" s="76"/>
    </row>
    <row r="14120">
      <c r="A14120" s="76"/>
    </row>
    <row r="14121">
      <c r="A14121" s="76"/>
    </row>
    <row r="14122">
      <c r="A14122" s="76"/>
    </row>
    <row r="14123">
      <c r="A14123" s="76"/>
    </row>
    <row r="14124">
      <c r="A14124" s="76"/>
    </row>
    <row r="14125">
      <c r="A14125" s="76"/>
    </row>
    <row r="14126">
      <c r="A14126" s="76"/>
    </row>
    <row r="14127">
      <c r="A14127" s="76"/>
    </row>
    <row r="14128">
      <c r="A14128" s="76"/>
    </row>
    <row r="14129">
      <c r="A14129" s="76"/>
    </row>
    <row r="14130">
      <c r="A14130" s="76"/>
    </row>
    <row r="14131">
      <c r="A14131" s="76"/>
    </row>
    <row r="14132">
      <c r="A14132" s="76"/>
    </row>
    <row r="14133">
      <c r="A14133" s="76"/>
    </row>
    <row r="14134">
      <c r="A14134" s="76"/>
    </row>
    <row r="14135">
      <c r="A14135" s="76"/>
    </row>
    <row r="14136">
      <c r="A14136" s="76"/>
    </row>
    <row r="14137">
      <c r="A14137" s="76"/>
    </row>
    <row r="14138">
      <c r="A14138" s="76"/>
    </row>
    <row r="14139">
      <c r="A14139" s="76"/>
    </row>
    <row r="14140">
      <c r="A14140" s="76"/>
    </row>
    <row r="14141">
      <c r="A14141" s="76"/>
    </row>
    <row r="14142">
      <c r="A14142" s="76"/>
    </row>
    <row r="14143">
      <c r="A14143" s="76"/>
    </row>
    <row r="14144">
      <c r="A14144" s="76"/>
    </row>
    <row r="14145">
      <c r="A14145" s="76"/>
    </row>
    <row r="14146">
      <c r="A14146" s="76"/>
    </row>
    <row r="14147">
      <c r="A14147" s="76"/>
    </row>
    <row r="14148">
      <c r="A14148" s="76"/>
    </row>
    <row r="14149">
      <c r="A14149" s="76"/>
    </row>
    <row r="14150">
      <c r="A14150" s="76"/>
    </row>
    <row r="14151">
      <c r="A14151" s="76"/>
    </row>
    <row r="14152">
      <c r="A14152" s="76"/>
    </row>
    <row r="14153">
      <c r="A14153" s="76"/>
    </row>
    <row r="14154">
      <c r="A14154" s="76"/>
    </row>
    <row r="14155">
      <c r="A14155" s="76"/>
    </row>
    <row r="14156">
      <c r="A14156" s="76"/>
    </row>
    <row r="14157">
      <c r="A14157" s="76"/>
    </row>
    <row r="14158">
      <c r="A14158" s="76"/>
    </row>
    <row r="14159">
      <c r="A14159" s="76"/>
    </row>
    <row r="14160">
      <c r="A14160" s="76"/>
    </row>
    <row r="14161">
      <c r="A14161" s="76"/>
    </row>
    <row r="14162">
      <c r="A14162" s="76"/>
    </row>
    <row r="14163">
      <c r="A14163" s="76"/>
    </row>
    <row r="14164">
      <c r="A14164" s="76"/>
    </row>
    <row r="14165">
      <c r="A14165" s="76"/>
    </row>
    <row r="14166">
      <c r="A14166" s="76"/>
    </row>
    <row r="14167">
      <c r="A14167" s="76"/>
    </row>
    <row r="14168">
      <c r="A14168" s="76"/>
    </row>
    <row r="14169">
      <c r="A14169" s="76"/>
    </row>
    <row r="14170">
      <c r="A14170" s="76"/>
    </row>
    <row r="14171">
      <c r="A14171" s="76"/>
    </row>
    <row r="14172">
      <c r="A14172" s="76"/>
    </row>
    <row r="14173">
      <c r="A14173" s="76"/>
    </row>
    <row r="14174">
      <c r="A14174" s="76"/>
    </row>
    <row r="14175">
      <c r="A14175" s="76"/>
    </row>
    <row r="14176">
      <c r="A14176" s="76"/>
    </row>
    <row r="14177">
      <c r="A14177" s="76"/>
    </row>
    <row r="14178">
      <c r="A14178" s="76"/>
    </row>
    <row r="14179">
      <c r="A14179" s="76"/>
    </row>
    <row r="14180">
      <c r="A14180" s="76"/>
    </row>
    <row r="14181">
      <c r="A14181" s="76"/>
    </row>
    <row r="14182">
      <c r="A14182" s="76"/>
    </row>
    <row r="14183">
      <c r="A14183" s="76"/>
    </row>
    <row r="14184">
      <c r="A14184" s="76"/>
    </row>
    <row r="14185">
      <c r="A14185" s="76"/>
    </row>
    <row r="14186">
      <c r="A14186" s="76"/>
    </row>
    <row r="14187">
      <c r="A14187" s="76"/>
    </row>
    <row r="14188">
      <c r="A14188" s="76"/>
    </row>
    <row r="14189">
      <c r="A14189" s="76"/>
    </row>
    <row r="14190">
      <c r="A14190" s="76"/>
    </row>
    <row r="14191">
      <c r="A14191" s="76"/>
    </row>
    <row r="14192">
      <c r="A14192" s="76"/>
    </row>
    <row r="14193">
      <c r="A14193" s="76"/>
    </row>
    <row r="14194">
      <c r="A14194" s="76"/>
    </row>
    <row r="14195">
      <c r="A14195" s="76"/>
    </row>
    <row r="14196">
      <c r="A14196" s="76"/>
    </row>
    <row r="14197">
      <c r="A14197" s="76"/>
    </row>
    <row r="14198">
      <c r="A14198" s="76"/>
    </row>
    <row r="14199">
      <c r="A14199" s="76"/>
    </row>
    <row r="14200">
      <c r="A14200" s="76"/>
    </row>
    <row r="14201">
      <c r="A14201" s="76"/>
    </row>
    <row r="14202">
      <c r="A14202" s="76"/>
    </row>
    <row r="14203">
      <c r="A14203" s="76"/>
    </row>
    <row r="14204">
      <c r="A14204" s="76"/>
    </row>
    <row r="14205">
      <c r="A14205" s="76"/>
    </row>
    <row r="14206">
      <c r="A14206" s="76"/>
    </row>
    <row r="14207">
      <c r="A14207" s="76"/>
    </row>
    <row r="14208">
      <c r="A14208" s="76"/>
    </row>
    <row r="14209">
      <c r="A14209" s="76"/>
    </row>
    <row r="14210">
      <c r="A14210" s="76"/>
    </row>
    <row r="14211">
      <c r="A14211" s="76"/>
    </row>
    <row r="14212">
      <c r="A14212" s="76"/>
    </row>
    <row r="14213">
      <c r="A14213" s="76"/>
    </row>
    <row r="14214">
      <c r="A14214" s="76"/>
    </row>
    <row r="14215">
      <c r="A14215" s="76"/>
    </row>
    <row r="14216">
      <c r="A14216" s="76"/>
    </row>
    <row r="14217">
      <c r="A14217" s="76"/>
    </row>
    <row r="14218">
      <c r="A14218" s="76"/>
    </row>
    <row r="14219">
      <c r="A14219" s="76"/>
    </row>
    <row r="14220">
      <c r="A14220" s="76"/>
    </row>
    <row r="14221">
      <c r="A14221" s="76"/>
    </row>
    <row r="14222">
      <c r="A14222" s="76"/>
    </row>
    <row r="14223">
      <c r="A14223" s="76"/>
    </row>
    <row r="14224">
      <c r="A14224" s="76"/>
    </row>
    <row r="14225">
      <c r="A14225" s="76"/>
    </row>
    <row r="14226">
      <c r="A14226" s="76"/>
    </row>
    <row r="14227">
      <c r="A14227" s="76"/>
    </row>
    <row r="14228">
      <c r="A14228" s="76"/>
    </row>
    <row r="14229">
      <c r="A14229" s="76"/>
    </row>
    <row r="14230">
      <c r="A14230" s="76"/>
    </row>
    <row r="14231">
      <c r="A14231" s="76"/>
    </row>
    <row r="14232">
      <c r="A14232" s="76"/>
    </row>
    <row r="14233">
      <c r="A14233" s="76"/>
    </row>
    <row r="14234">
      <c r="A14234" s="76"/>
    </row>
    <row r="14235">
      <c r="A14235" s="76"/>
    </row>
    <row r="14236">
      <c r="A14236" s="76"/>
    </row>
    <row r="14237">
      <c r="A14237" s="76"/>
    </row>
    <row r="14238">
      <c r="A14238" s="76"/>
    </row>
    <row r="14239">
      <c r="A14239" s="76"/>
    </row>
    <row r="14240">
      <c r="A14240" s="76"/>
    </row>
    <row r="14241">
      <c r="A14241" s="76"/>
    </row>
    <row r="14242">
      <c r="A14242" s="76"/>
    </row>
    <row r="14243">
      <c r="A14243" s="76"/>
    </row>
    <row r="14244">
      <c r="A14244" s="76"/>
    </row>
    <row r="14245">
      <c r="A14245" s="76"/>
    </row>
    <row r="14246">
      <c r="A14246" s="76"/>
    </row>
    <row r="14247">
      <c r="A14247" s="76"/>
    </row>
    <row r="14248">
      <c r="A14248" s="76"/>
    </row>
    <row r="14249">
      <c r="A14249" s="76"/>
    </row>
    <row r="14250">
      <c r="A14250" s="76"/>
    </row>
    <row r="14251">
      <c r="A14251" s="76"/>
    </row>
    <row r="14252">
      <c r="A14252" s="76"/>
    </row>
    <row r="14253">
      <c r="A14253" s="76"/>
    </row>
    <row r="14254">
      <c r="A14254" s="76"/>
    </row>
    <row r="14255">
      <c r="A14255" s="76"/>
    </row>
    <row r="14256">
      <c r="A14256" s="76"/>
    </row>
    <row r="14257">
      <c r="A14257" s="76"/>
    </row>
    <row r="14258">
      <c r="A14258" s="76"/>
    </row>
    <row r="14259">
      <c r="A14259" s="76"/>
    </row>
    <row r="14260">
      <c r="A14260" s="76"/>
    </row>
    <row r="14261">
      <c r="A14261" s="76"/>
    </row>
    <row r="14262">
      <c r="A14262" s="76"/>
    </row>
    <row r="14263">
      <c r="A14263" s="76"/>
    </row>
    <row r="14264">
      <c r="A14264" s="76"/>
    </row>
    <row r="14265">
      <c r="A14265" s="76"/>
    </row>
    <row r="14266">
      <c r="A14266" s="76"/>
    </row>
    <row r="14267">
      <c r="A14267" s="76"/>
    </row>
    <row r="14268">
      <c r="A14268" s="76"/>
    </row>
    <row r="14269">
      <c r="A14269" s="76"/>
    </row>
    <row r="14270">
      <c r="A14270" s="76"/>
    </row>
    <row r="14271">
      <c r="A14271" s="76"/>
    </row>
    <row r="14272">
      <c r="A14272" s="76"/>
    </row>
    <row r="14273">
      <c r="A14273" s="76"/>
    </row>
    <row r="14274">
      <c r="A14274" s="76"/>
    </row>
    <row r="14275">
      <c r="A14275" s="76"/>
    </row>
    <row r="14276">
      <c r="A14276" s="76"/>
    </row>
    <row r="14277">
      <c r="A14277" s="76"/>
    </row>
    <row r="14278">
      <c r="A14278" s="76"/>
    </row>
    <row r="14279">
      <c r="A14279" s="76"/>
    </row>
    <row r="14280">
      <c r="A14280" s="76"/>
    </row>
    <row r="14281">
      <c r="A14281" s="76"/>
    </row>
    <row r="14282">
      <c r="A14282" s="76"/>
    </row>
    <row r="14283">
      <c r="A14283" s="76"/>
    </row>
    <row r="14284">
      <c r="A14284" s="76"/>
    </row>
    <row r="14285">
      <c r="A14285" s="76"/>
    </row>
    <row r="14286">
      <c r="A14286" s="76"/>
    </row>
    <row r="14287">
      <c r="A14287" s="76"/>
    </row>
    <row r="14288">
      <c r="A14288" s="76"/>
    </row>
    <row r="14289">
      <c r="A14289" s="76"/>
    </row>
    <row r="14290">
      <c r="A14290" s="76"/>
    </row>
    <row r="14291">
      <c r="A14291" s="76"/>
    </row>
    <row r="14292">
      <c r="A14292" s="76"/>
    </row>
    <row r="14293">
      <c r="A14293" s="76"/>
    </row>
    <row r="14294">
      <c r="A14294" s="76"/>
    </row>
    <row r="14295">
      <c r="A14295" s="76"/>
    </row>
    <row r="14296">
      <c r="A14296" s="76"/>
    </row>
    <row r="14297">
      <c r="A14297" s="76"/>
    </row>
    <row r="14298">
      <c r="A14298" s="76"/>
    </row>
    <row r="14299">
      <c r="A14299" s="76"/>
    </row>
    <row r="14300">
      <c r="A14300" s="76"/>
    </row>
    <row r="14301">
      <c r="A14301" s="76"/>
    </row>
    <row r="14302">
      <c r="A14302" s="76"/>
    </row>
    <row r="14303">
      <c r="A14303" s="76"/>
    </row>
    <row r="14304">
      <c r="A14304" s="76"/>
    </row>
    <row r="14305">
      <c r="A14305" s="76"/>
    </row>
    <row r="14306">
      <c r="A14306" s="76"/>
    </row>
    <row r="14307">
      <c r="A14307" s="76"/>
    </row>
    <row r="14308">
      <c r="A14308" s="76"/>
    </row>
    <row r="14309">
      <c r="A14309" s="76"/>
    </row>
    <row r="14310">
      <c r="A14310" s="76"/>
    </row>
    <row r="14311">
      <c r="A14311" s="76"/>
    </row>
    <row r="14312">
      <c r="A14312" s="76"/>
    </row>
    <row r="14313">
      <c r="A14313" s="76"/>
    </row>
    <row r="14314">
      <c r="A14314" s="76"/>
    </row>
    <row r="14315">
      <c r="A14315" s="76"/>
    </row>
    <row r="14316">
      <c r="A14316" s="76"/>
    </row>
    <row r="14317">
      <c r="A14317" s="76"/>
    </row>
    <row r="14318">
      <c r="A14318" s="76"/>
    </row>
    <row r="14319">
      <c r="A14319" s="76"/>
    </row>
    <row r="14320">
      <c r="A14320" s="76"/>
    </row>
    <row r="14321">
      <c r="A14321" s="76"/>
    </row>
    <row r="14322">
      <c r="A14322" s="76"/>
    </row>
    <row r="14323">
      <c r="A14323" s="76"/>
    </row>
    <row r="14324">
      <c r="A14324" s="76"/>
    </row>
    <row r="14325">
      <c r="A14325" s="76"/>
    </row>
    <row r="14326">
      <c r="A14326" s="76"/>
    </row>
    <row r="14327">
      <c r="A14327" s="76"/>
    </row>
    <row r="14328">
      <c r="A14328" s="76"/>
    </row>
    <row r="14329">
      <c r="A14329" s="76"/>
    </row>
    <row r="14330">
      <c r="A14330" s="76"/>
    </row>
    <row r="14331">
      <c r="A14331" s="76"/>
    </row>
    <row r="14332">
      <c r="A14332" s="76"/>
    </row>
    <row r="14333">
      <c r="A14333" s="76"/>
    </row>
    <row r="14334">
      <c r="A14334" s="76"/>
    </row>
    <row r="14335">
      <c r="A14335" s="76"/>
    </row>
    <row r="14336">
      <c r="A14336" s="76"/>
    </row>
    <row r="14337">
      <c r="A14337" s="76"/>
    </row>
    <row r="14338">
      <c r="A14338" s="76"/>
    </row>
    <row r="14339">
      <c r="A14339" s="76"/>
    </row>
    <row r="14340">
      <c r="A14340" s="76"/>
    </row>
    <row r="14341">
      <c r="A14341" s="76"/>
    </row>
    <row r="14342">
      <c r="A14342" s="76"/>
    </row>
    <row r="14343">
      <c r="A14343" s="76"/>
    </row>
    <row r="14344">
      <c r="A14344" s="76"/>
    </row>
    <row r="14345">
      <c r="A14345" s="76"/>
    </row>
    <row r="14346">
      <c r="A14346" s="76"/>
    </row>
    <row r="14347">
      <c r="A14347" s="76"/>
    </row>
    <row r="14348">
      <c r="A14348" s="76"/>
    </row>
    <row r="14349">
      <c r="A14349" s="76"/>
    </row>
    <row r="14350">
      <c r="A14350" s="76"/>
    </row>
    <row r="14351">
      <c r="A14351" s="76"/>
    </row>
    <row r="14352">
      <c r="A14352" s="76"/>
    </row>
    <row r="14353">
      <c r="A14353" s="76"/>
    </row>
    <row r="14354">
      <c r="A14354" s="76"/>
    </row>
    <row r="14355">
      <c r="A14355" s="76"/>
    </row>
    <row r="14356">
      <c r="A14356" s="76"/>
    </row>
    <row r="14357">
      <c r="A14357" s="76"/>
    </row>
    <row r="14358">
      <c r="A14358" s="76"/>
    </row>
    <row r="14359">
      <c r="A14359" s="76"/>
    </row>
    <row r="14360">
      <c r="A14360" s="76"/>
    </row>
    <row r="14361">
      <c r="A14361" s="76"/>
    </row>
    <row r="14362">
      <c r="A14362" s="76"/>
    </row>
    <row r="14363">
      <c r="A14363" s="76"/>
    </row>
    <row r="14364">
      <c r="A14364" s="76"/>
    </row>
    <row r="14365">
      <c r="A14365" s="76"/>
    </row>
    <row r="14366">
      <c r="A14366" s="76"/>
    </row>
    <row r="14367">
      <c r="A14367" s="76"/>
    </row>
    <row r="14368">
      <c r="A14368" s="76"/>
    </row>
    <row r="14369">
      <c r="A14369" s="76"/>
    </row>
    <row r="14370">
      <c r="A14370" s="76"/>
    </row>
    <row r="14371">
      <c r="A14371" s="76"/>
    </row>
    <row r="14372">
      <c r="A14372" s="76"/>
    </row>
    <row r="14373">
      <c r="A14373" s="76"/>
    </row>
    <row r="14374">
      <c r="A14374" s="76"/>
    </row>
    <row r="14375">
      <c r="A14375" s="76"/>
    </row>
    <row r="14376">
      <c r="A14376" s="76"/>
    </row>
    <row r="14377">
      <c r="A14377" s="76"/>
    </row>
    <row r="14378">
      <c r="A14378" s="76"/>
    </row>
    <row r="14379">
      <c r="A14379" s="76"/>
    </row>
    <row r="14380">
      <c r="A14380" s="76"/>
    </row>
    <row r="14381">
      <c r="A14381" s="76"/>
    </row>
    <row r="14382">
      <c r="A14382" s="76"/>
    </row>
    <row r="14383">
      <c r="A14383" s="76"/>
    </row>
    <row r="14384">
      <c r="A14384" s="76"/>
    </row>
    <row r="14385">
      <c r="A14385" s="76"/>
    </row>
    <row r="14386">
      <c r="A14386" s="76"/>
    </row>
    <row r="14387">
      <c r="A14387" s="76"/>
    </row>
    <row r="14388">
      <c r="A14388" s="76"/>
    </row>
    <row r="14389">
      <c r="A14389" s="76"/>
    </row>
    <row r="14390">
      <c r="A14390" s="76"/>
    </row>
    <row r="14391">
      <c r="A14391" s="76"/>
    </row>
    <row r="14392">
      <c r="A14392" s="76"/>
    </row>
    <row r="14393">
      <c r="A14393" s="76"/>
    </row>
    <row r="14394">
      <c r="A14394" s="76"/>
    </row>
    <row r="14395">
      <c r="A14395" s="76"/>
    </row>
    <row r="14396">
      <c r="A14396" s="76"/>
    </row>
    <row r="14397">
      <c r="A14397" s="76"/>
    </row>
    <row r="14398">
      <c r="A14398" s="76"/>
    </row>
    <row r="14399">
      <c r="A14399" s="76"/>
    </row>
    <row r="14400">
      <c r="A14400" s="76"/>
    </row>
    <row r="14401">
      <c r="A14401" s="76"/>
    </row>
    <row r="14402">
      <c r="A14402" s="76"/>
    </row>
    <row r="14403">
      <c r="A14403" s="76"/>
    </row>
    <row r="14404">
      <c r="A14404" s="76"/>
    </row>
    <row r="14405">
      <c r="A14405" s="76"/>
    </row>
    <row r="14406">
      <c r="A14406" s="76"/>
    </row>
    <row r="14407">
      <c r="A14407" s="76"/>
    </row>
    <row r="14408">
      <c r="A14408" s="76"/>
    </row>
    <row r="14409">
      <c r="A14409" s="76"/>
    </row>
    <row r="14410">
      <c r="A14410" s="76"/>
    </row>
    <row r="14411">
      <c r="A14411" s="76"/>
    </row>
    <row r="14412">
      <c r="A14412" s="76"/>
    </row>
    <row r="14413">
      <c r="A14413" s="76"/>
    </row>
    <row r="14414">
      <c r="A14414" s="76"/>
    </row>
    <row r="14415">
      <c r="A14415" s="76"/>
    </row>
    <row r="14416">
      <c r="A14416" s="76"/>
    </row>
    <row r="14417">
      <c r="A14417" s="76"/>
    </row>
    <row r="14418">
      <c r="A14418" s="76"/>
    </row>
    <row r="14419">
      <c r="A14419" s="76"/>
    </row>
    <row r="14420">
      <c r="A14420" s="76"/>
    </row>
    <row r="14421">
      <c r="A14421" s="76"/>
    </row>
    <row r="14422">
      <c r="A14422" s="76"/>
    </row>
    <row r="14423">
      <c r="A14423" s="76"/>
    </row>
    <row r="14424">
      <c r="A14424" s="76"/>
    </row>
    <row r="14425">
      <c r="A14425" s="76"/>
    </row>
    <row r="14426">
      <c r="A14426" s="76"/>
    </row>
    <row r="14427">
      <c r="A14427" s="76"/>
    </row>
    <row r="14428">
      <c r="A14428" s="76"/>
    </row>
    <row r="14429">
      <c r="A14429" s="76"/>
    </row>
    <row r="14430">
      <c r="A14430" s="76"/>
    </row>
    <row r="14431">
      <c r="A14431" s="76"/>
    </row>
    <row r="14432">
      <c r="A14432" s="76"/>
    </row>
    <row r="14433">
      <c r="A14433" s="76"/>
    </row>
    <row r="14434">
      <c r="A14434" s="76"/>
    </row>
    <row r="14435">
      <c r="A14435" s="76"/>
    </row>
    <row r="14436">
      <c r="A14436" s="76"/>
    </row>
    <row r="14437">
      <c r="A14437" s="76"/>
    </row>
    <row r="14438">
      <c r="A14438" s="76"/>
    </row>
    <row r="14439">
      <c r="A14439" s="76"/>
    </row>
    <row r="14440">
      <c r="A14440" s="76"/>
    </row>
    <row r="14441">
      <c r="A14441" s="76"/>
    </row>
    <row r="14442">
      <c r="A14442" s="76"/>
    </row>
    <row r="14443">
      <c r="A14443" s="76"/>
    </row>
    <row r="14444">
      <c r="A14444" s="76"/>
    </row>
    <row r="14445">
      <c r="A14445" s="76"/>
    </row>
    <row r="14446">
      <c r="A14446" s="76"/>
    </row>
    <row r="14447">
      <c r="A14447" s="76"/>
    </row>
    <row r="14448">
      <c r="A14448" s="76"/>
    </row>
    <row r="14449">
      <c r="A14449" s="76"/>
    </row>
    <row r="14450">
      <c r="A14450" s="76"/>
    </row>
    <row r="14451">
      <c r="A14451" s="76"/>
    </row>
    <row r="14452">
      <c r="A14452" s="76"/>
    </row>
    <row r="14453">
      <c r="A14453" s="76"/>
    </row>
    <row r="14454">
      <c r="A14454" s="76"/>
    </row>
    <row r="14455">
      <c r="A14455" s="76"/>
    </row>
    <row r="14456">
      <c r="A14456" s="76"/>
    </row>
    <row r="14457">
      <c r="A14457" s="76"/>
    </row>
    <row r="14458">
      <c r="A14458" s="76"/>
    </row>
    <row r="14459">
      <c r="A14459" s="76"/>
    </row>
    <row r="14460">
      <c r="A14460" s="76"/>
    </row>
    <row r="14461">
      <c r="A14461" s="76"/>
    </row>
    <row r="14462">
      <c r="A14462" s="76"/>
    </row>
    <row r="14463">
      <c r="A14463" s="76"/>
    </row>
    <row r="14464">
      <c r="A14464" s="76"/>
    </row>
    <row r="14465">
      <c r="A14465" s="76"/>
    </row>
    <row r="14466">
      <c r="A14466" s="76"/>
    </row>
    <row r="14467">
      <c r="A14467" s="76"/>
    </row>
    <row r="14468">
      <c r="A14468" s="76"/>
    </row>
    <row r="14469">
      <c r="A14469" s="76"/>
    </row>
    <row r="14470">
      <c r="A14470" s="76"/>
    </row>
    <row r="14471">
      <c r="A14471" s="76"/>
    </row>
    <row r="14472">
      <c r="A14472" s="76"/>
    </row>
    <row r="14473">
      <c r="A14473" s="76"/>
    </row>
    <row r="14474">
      <c r="A14474" s="76"/>
    </row>
    <row r="14475">
      <c r="A14475" s="76"/>
    </row>
    <row r="14476">
      <c r="A14476" s="76"/>
    </row>
    <row r="14477">
      <c r="A14477" s="76"/>
    </row>
    <row r="14478">
      <c r="A14478" s="76"/>
    </row>
    <row r="14479">
      <c r="A14479" s="76"/>
    </row>
    <row r="14480">
      <c r="A14480" s="76"/>
    </row>
    <row r="14481">
      <c r="A14481" s="76"/>
    </row>
    <row r="14482">
      <c r="A14482" s="76"/>
    </row>
    <row r="14483">
      <c r="A14483" s="76"/>
    </row>
    <row r="14484">
      <c r="A14484" s="76"/>
    </row>
    <row r="14485">
      <c r="A14485" s="76"/>
    </row>
    <row r="14486">
      <c r="A14486" s="76"/>
    </row>
    <row r="14487">
      <c r="A14487" s="76"/>
    </row>
    <row r="14488">
      <c r="A14488" s="76"/>
    </row>
    <row r="14489">
      <c r="A14489" s="76"/>
    </row>
    <row r="14490">
      <c r="A14490" s="76"/>
    </row>
    <row r="14491">
      <c r="A14491" s="76"/>
    </row>
    <row r="14492">
      <c r="A14492" s="76"/>
    </row>
    <row r="14493">
      <c r="A14493" s="76"/>
    </row>
    <row r="14494">
      <c r="A14494" s="76"/>
    </row>
    <row r="14495">
      <c r="A14495" s="76"/>
    </row>
    <row r="14496">
      <c r="A14496" s="76"/>
    </row>
    <row r="14497">
      <c r="A14497" s="76"/>
    </row>
    <row r="14498">
      <c r="A14498" s="76"/>
    </row>
    <row r="14499">
      <c r="A14499" s="76"/>
    </row>
    <row r="14500">
      <c r="A14500" s="76"/>
    </row>
    <row r="14501">
      <c r="A14501" s="76"/>
    </row>
    <row r="14502">
      <c r="A14502" s="76"/>
    </row>
    <row r="14503">
      <c r="A14503" s="76"/>
    </row>
    <row r="14504">
      <c r="A14504" s="76"/>
    </row>
    <row r="14505">
      <c r="A14505" s="76"/>
    </row>
    <row r="14506">
      <c r="A14506" s="76"/>
    </row>
    <row r="14507">
      <c r="A14507" s="76"/>
    </row>
    <row r="14508">
      <c r="A14508" s="76"/>
    </row>
    <row r="14509">
      <c r="A14509" s="76"/>
    </row>
    <row r="14510">
      <c r="A14510" s="76"/>
    </row>
    <row r="14511">
      <c r="A14511" s="76"/>
    </row>
    <row r="14512">
      <c r="A14512" s="76"/>
    </row>
    <row r="14513">
      <c r="A14513" s="76"/>
    </row>
    <row r="14514">
      <c r="A14514" s="76"/>
    </row>
    <row r="14515">
      <c r="A14515" s="76"/>
    </row>
    <row r="14516">
      <c r="A14516" s="76"/>
    </row>
    <row r="14517">
      <c r="A14517" s="76"/>
    </row>
    <row r="14518">
      <c r="A14518" s="76"/>
    </row>
    <row r="14519">
      <c r="A14519" s="76"/>
    </row>
    <row r="14520">
      <c r="A14520" s="76"/>
    </row>
    <row r="14521">
      <c r="A14521" s="76"/>
    </row>
    <row r="14522">
      <c r="A14522" s="76"/>
    </row>
    <row r="14523">
      <c r="A14523" s="76"/>
    </row>
    <row r="14524">
      <c r="A14524" s="76"/>
    </row>
    <row r="14525">
      <c r="A14525" s="76"/>
    </row>
    <row r="14526">
      <c r="A14526" s="76"/>
    </row>
    <row r="14527">
      <c r="A14527" s="76"/>
    </row>
    <row r="14528">
      <c r="A14528" s="76"/>
    </row>
    <row r="14529">
      <c r="A14529" s="76"/>
    </row>
    <row r="14530">
      <c r="A14530" s="76"/>
    </row>
    <row r="14531">
      <c r="A14531" s="76"/>
    </row>
    <row r="14532">
      <c r="A14532" s="76"/>
    </row>
    <row r="14533">
      <c r="A14533" s="76"/>
    </row>
    <row r="14534">
      <c r="A14534" s="76"/>
    </row>
    <row r="14535">
      <c r="A14535" s="76"/>
    </row>
    <row r="14536">
      <c r="A14536" s="76"/>
    </row>
    <row r="14537">
      <c r="A14537" s="76"/>
    </row>
    <row r="14538">
      <c r="A14538" s="76"/>
    </row>
    <row r="14539">
      <c r="A14539" s="76"/>
    </row>
    <row r="14540">
      <c r="A14540" s="76"/>
    </row>
    <row r="14541">
      <c r="A14541" s="76"/>
    </row>
    <row r="14542">
      <c r="A14542" s="76"/>
    </row>
    <row r="14543">
      <c r="A14543" s="76"/>
    </row>
    <row r="14544">
      <c r="A14544" s="76"/>
    </row>
    <row r="14545">
      <c r="A14545" s="76"/>
    </row>
    <row r="14546">
      <c r="A14546" s="76"/>
    </row>
    <row r="14547">
      <c r="A14547" s="76"/>
    </row>
    <row r="14548">
      <c r="A14548" s="76"/>
    </row>
    <row r="14549">
      <c r="A14549" s="76"/>
    </row>
    <row r="14550">
      <c r="A14550" s="76"/>
    </row>
    <row r="14551">
      <c r="A14551" s="76"/>
    </row>
    <row r="14552">
      <c r="A14552" s="76"/>
    </row>
    <row r="14553">
      <c r="A14553" s="76"/>
    </row>
    <row r="14554">
      <c r="A14554" s="76"/>
    </row>
    <row r="14555">
      <c r="A14555" s="76"/>
    </row>
    <row r="14556">
      <c r="A14556" s="76"/>
    </row>
    <row r="14557">
      <c r="A14557" s="76"/>
    </row>
    <row r="14558">
      <c r="A14558" s="76"/>
    </row>
    <row r="14559">
      <c r="A14559" s="76"/>
    </row>
    <row r="14560">
      <c r="A14560" s="76"/>
    </row>
    <row r="14561">
      <c r="A14561" s="76"/>
    </row>
    <row r="14562">
      <c r="A14562" s="76"/>
    </row>
    <row r="14563">
      <c r="A14563" s="76"/>
    </row>
    <row r="14564">
      <c r="A14564" s="76"/>
    </row>
    <row r="14565">
      <c r="A14565" s="76"/>
    </row>
    <row r="14566">
      <c r="A14566" s="76"/>
    </row>
    <row r="14567">
      <c r="A14567" s="76"/>
    </row>
    <row r="14568">
      <c r="A14568" s="76"/>
    </row>
    <row r="14569">
      <c r="A14569" s="76"/>
    </row>
    <row r="14570">
      <c r="A14570" s="76"/>
    </row>
    <row r="14571">
      <c r="A14571" s="76"/>
    </row>
    <row r="14572">
      <c r="A14572" s="76"/>
    </row>
    <row r="14573">
      <c r="A14573" s="76"/>
    </row>
    <row r="14574">
      <c r="A14574" s="76"/>
    </row>
    <row r="14575">
      <c r="A14575" s="76"/>
    </row>
    <row r="14576">
      <c r="A14576" s="76"/>
    </row>
    <row r="14577">
      <c r="A14577" s="76"/>
    </row>
    <row r="14578">
      <c r="A14578" s="76"/>
    </row>
    <row r="14579">
      <c r="A14579" s="76"/>
    </row>
    <row r="14580">
      <c r="A14580" s="76"/>
    </row>
    <row r="14581">
      <c r="A14581" s="76"/>
    </row>
    <row r="14582">
      <c r="A14582" s="76"/>
    </row>
    <row r="14583">
      <c r="A14583" s="76"/>
    </row>
    <row r="14584">
      <c r="A14584" s="76"/>
    </row>
    <row r="14585">
      <c r="A14585" s="76"/>
    </row>
    <row r="14586">
      <c r="A14586" s="76"/>
    </row>
    <row r="14587">
      <c r="A14587" s="76"/>
    </row>
    <row r="14588">
      <c r="A14588" s="76"/>
    </row>
    <row r="14589">
      <c r="A14589" s="76"/>
    </row>
    <row r="14590">
      <c r="A14590" s="76"/>
    </row>
    <row r="14591">
      <c r="A14591" s="76"/>
    </row>
    <row r="14592">
      <c r="A14592" s="76"/>
    </row>
    <row r="14593">
      <c r="A14593" s="76"/>
    </row>
    <row r="14594">
      <c r="A14594" s="76"/>
    </row>
    <row r="14595">
      <c r="A14595" s="76"/>
    </row>
    <row r="14596">
      <c r="A14596" s="76"/>
    </row>
    <row r="14597">
      <c r="A14597" s="76"/>
    </row>
    <row r="14598">
      <c r="A14598" s="76"/>
    </row>
    <row r="14599">
      <c r="A14599" s="76"/>
    </row>
    <row r="14600">
      <c r="A14600" s="76"/>
    </row>
    <row r="14601">
      <c r="A14601" s="76"/>
    </row>
    <row r="14602">
      <c r="A14602" s="76"/>
    </row>
    <row r="14603">
      <c r="A14603" s="76"/>
    </row>
    <row r="14604">
      <c r="A14604" s="76"/>
    </row>
    <row r="14605">
      <c r="A14605" s="76"/>
    </row>
    <row r="14606">
      <c r="A14606" s="76"/>
    </row>
    <row r="14607">
      <c r="A14607" s="76"/>
    </row>
    <row r="14608">
      <c r="A14608" s="76"/>
    </row>
    <row r="14609">
      <c r="A14609" s="76"/>
    </row>
    <row r="14610">
      <c r="A14610" s="76"/>
    </row>
    <row r="14611">
      <c r="A14611" s="76"/>
    </row>
    <row r="14612">
      <c r="A14612" s="76"/>
    </row>
    <row r="14613">
      <c r="A14613" s="76"/>
    </row>
    <row r="14614">
      <c r="A14614" s="76"/>
    </row>
    <row r="14615">
      <c r="A14615" s="76"/>
    </row>
    <row r="14616">
      <c r="A14616" s="76"/>
    </row>
    <row r="14617">
      <c r="A14617" s="76"/>
    </row>
    <row r="14618">
      <c r="A14618" s="76"/>
    </row>
    <row r="14619">
      <c r="A14619" s="76"/>
    </row>
    <row r="14620">
      <c r="A14620" s="76"/>
    </row>
    <row r="14621">
      <c r="A14621" s="76"/>
    </row>
    <row r="14622">
      <c r="A14622" s="76"/>
    </row>
    <row r="14623">
      <c r="A14623" s="76"/>
    </row>
    <row r="14624">
      <c r="A14624" s="76"/>
    </row>
    <row r="14625">
      <c r="A14625" s="76"/>
    </row>
    <row r="14626">
      <c r="A14626" s="76"/>
    </row>
    <row r="14627">
      <c r="A14627" s="76"/>
    </row>
    <row r="14628">
      <c r="A14628" s="76"/>
    </row>
    <row r="14629">
      <c r="A14629" s="76"/>
    </row>
    <row r="14630">
      <c r="A14630" s="76"/>
    </row>
    <row r="14631">
      <c r="A14631" s="76"/>
    </row>
    <row r="14632">
      <c r="A14632" s="76"/>
    </row>
    <row r="14633">
      <c r="A14633" s="76"/>
    </row>
    <row r="14634">
      <c r="A14634" s="76"/>
    </row>
    <row r="14635">
      <c r="A14635" s="76"/>
    </row>
    <row r="14636">
      <c r="A14636" s="76"/>
    </row>
    <row r="14637">
      <c r="A14637" s="76"/>
    </row>
    <row r="14638">
      <c r="A14638" s="76"/>
    </row>
    <row r="14639">
      <c r="A14639" s="76"/>
    </row>
    <row r="14640">
      <c r="A14640" s="76"/>
    </row>
    <row r="14641">
      <c r="A14641" s="76"/>
    </row>
    <row r="14642">
      <c r="A14642" s="76"/>
    </row>
    <row r="14643">
      <c r="A14643" s="76"/>
    </row>
    <row r="14644">
      <c r="A14644" s="76"/>
    </row>
    <row r="14645">
      <c r="A14645" s="76"/>
    </row>
    <row r="14646">
      <c r="A14646" s="76"/>
    </row>
    <row r="14647">
      <c r="A14647" s="76"/>
    </row>
    <row r="14648">
      <c r="A14648" s="76"/>
    </row>
    <row r="14649">
      <c r="A14649" s="76"/>
    </row>
    <row r="14650">
      <c r="A14650" s="76"/>
    </row>
    <row r="14651">
      <c r="A14651" s="76"/>
    </row>
    <row r="14652">
      <c r="A14652" s="76"/>
    </row>
    <row r="14653">
      <c r="A14653" s="76"/>
    </row>
    <row r="14654">
      <c r="A14654" s="76"/>
    </row>
    <row r="14655">
      <c r="A14655" s="76"/>
    </row>
    <row r="14656">
      <c r="A14656" s="76"/>
    </row>
    <row r="14657">
      <c r="A14657" s="76"/>
    </row>
    <row r="14658">
      <c r="A14658" s="76"/>
    </row>
    <row r="14659">
      <c r="A14659" s="76"/>
    </row>
    <row r="14660">
      <c r="A14660" s="76"/>
    </row>
    <row r="14661">
      <c r="A14661" s="76"/>
    </row>
    <row r="14662">
      <c r="A14662" s="76"/>
    </row>
    <row r="14663">
      <c r="A14663" s="76"/>
    </row>
    <row r="14664">
      <c r="A14664" s="76"/>
    </row>
    <row r="14665">
      <c r="A14665" s="76"/>
    </row>
    <row r="14666">
      <c r="A14666" s="76"/>
    </row>
    <row r="14667">
      <c r="A14667" s="76"/>
    </row>
    <row r="14668">
      <c r="A14668" s="76"/>
    </row>
    <row r="14669">
      <c r="A14669" s="76"/>
    </row>
    <row r="14670">
      <c r="A14670" s="76"/>
    </row>
    <row r="14671">
      <c r="A14671" s="76"/>
    </row>
    <row r="14672">
      <c r="A14672" s="76"/>
    </row>
    <row r="14673">
      <c r="A14673" s="76"/>
    </row>
    <row r="14674">
      <c r="A14674" s="76"/>
    </row>
    <row r="14675">
      <c r="A14675" s="76"/>
    </row>
    <row r="14676">
      <c r="A14676" s="76"/>
    </row>
    <row r="14677">
      <c r="A14677" s="76"/>
    </row>
    <row r="14678">
      <c r="A14678" s="76"/>
    </row>
    <row r="14679">
      <c r="A14679" s="76"/>
    </row>
    <row r="14680">
      <c r="A14680" s="76"/>
    </row>
    <row r="14681">
      <c r="A14681" s="76"/>
    </row>
    <row r="14682">
      <c r="A14682" s="76"/>
    </row>
    <row r="14683">
      <c r="A14683" s="76"/>
    </row>
    <row r="14684">
      <c r="A14684" s="76"/>
    </row>
    <row r="14685">
      <c r="A14685" s="76"/>
    </row>
    <row r="14686">
      <c r="A14686" s="76"/>
    </row>
    <row r="14687">
      <c r="A14687" s="76"/>
    </row>
    <row r="14688">
      <c r="A14688" s="76"/>
    </row>
    <row r="14689">
      <c r="A14689" s="76"/>
    </row>
    <row r="14690">
      <c r="A14690" s="76"/>
    </row>
    <row r="14691">
      <c r="A14691" s="76"/>
    </row>
    <row r="14692">
      <c r="A14692" s="76"/>
    </row>
    <row r="14693">
      <c r="A14693" s="76"/>
    </row>
    <row r="14694">
      <c r="A14694" s="76"/>
    </row>
    <row r="14695">
      <c r="A14695" s="76"/>
    </row>
    <row r="14696">
      <c r="A14696" s="76"/>
    </row>
    <row r="14697">
      <c r="A14697" s="76"/>
    </row>
    <row r="14698">
      <c r="A14698" s="76"/>
    </row>
    <row r="14699">
      <c r="A14699" s="76"/>
    </row>
    <row r="14700">
      <c r="A14700" s="76"/>
    </row>
    <row r="14701">
      <c r="A14701" s="76"/>
    </row>
    <row r="14702">
      <c r="A14702" s="76"/>
    </row>
    <row r="14703">
      <c r="A14703" s="76"/>
    </row>
    <row r="14704">
      <c r="A14704" s="76"/>
    </row>
    <row r="14705">
      <c r="A14705" s="76"/>
    </row>
    <row r="14706">
      <c r="A14706" s="76"/>
    </row>
    <row r="14707">
      <c r="A14707" s="76"/>
    </row>
    <row r="14708">
      <c r="A14708" s="76"/>
    </row>
    <row r="14709">
      <c r="A14709" s="76"/>
    </row>
    <row r="14710">
      <c r="A14710" s="76"/>
    </row>
    <row r="14711">
      <c r="A14711" s="76"/>
    </row>
    <row r="14712">
      <c r="A14712" s="76"/>
    </row>
    <row r="14713">
      <c r="A14713" s="76"/>
    </row>
    <row r="14714">
      <c r="A14714" s="76"/>
    </row>
    <row r="14715">
      <c r="A14715" s="76"/>
    </row>
    <row r="14716">
      <c r="A14716" s="76"/>
    </row>
    <row r="14717">
      <c r="A14717" s="76"/>
    </row>
    <row r="14718">
      <c r="A14718" s="76"/>
    </row>
    <row r="14719">
      <c r="A14719" s="76"/>
    </row>
    <row r="14720">
      <c r="A14720" s="76"/>
    </row>
    <row r="14721">
      <c r="A14721" s="76"/>
    </row>
    <row r="14722">
      <c r="A14722" s="76"/>
    </row>
    <row r="14723">
      <c r="A14723" s="76"/>
    </row>
    <row r="14724">
      <c r="A14724" s="76"/>
    </row>
    <row r="14725">
      <c r="A14725" s="76"/>
    </row>
    <row r="14726">
      <c r="A14726" s="76"/>
    </row>
    <row r="14727">
      <c r="A14727" s="76"/>
    </row>
    <row r="14728">
      <c r="A14728" s="76"/>
    </row>
    <row r="14729">
      <c r="A14729" s="76"/>
    </row>
    <row r="14730">
      <c r="A14730" s="76"/>
    </row>
    <row r="14731">
      <c r="A14731" s="76"/>
    </row>
    <row r="14732">
      <c r="A14732" s="76"/>
    </row>
    <row r="14733">
      <c r="A14733" s="76"/>
    </row>
    <row r="14734">
      <c r="A14734" s="76"/>
    </row>
    <row r="14735">
      <c r="A14735" s="76"/>
    </row>
    <row r="14736">
      <c r="A14736" s="76"/>
    </row>
    <row r="14737">
      <c r="A14737" s="76"/>
    </row>
    <row r="14738">
      <c r="A14738" s="76"/>
    </row>
    <row r="14739">
      <c r="A14739" s="76"/>
    </row>
    <row r="14740">
      <c r="A14740" s="76"/>
    </row>
    <row r="14741">
      <c r="A14741" s="76"/>
    </row>
    <row r="14742">
      <c r="A14742" s="76"/>
    </row>
    <row r="14743">
      <c r="A14743" s="76"/>
    </row>
    <row r="14744">
      <c r="A14744" s="76"/>
    </row>
    <row r="14745">
      <c r="A14745" s="76"/>
    </row>
    <row r="14746">
      <c r="A14746" s="76"/>
    </row>
    <row r="14747">
      <c r="A14747" s="76"/>
    </row>
    <row r="14748">
      <c r="A14748" s="76"/>
    </row>
    <row r="14749">
      <c r="A14749" s="76"/>
    </row>
    <row r="14750">
      <c r="A14750" s="76"/>
    </row>
    <row r="14751">
      <c r="A14751" s="76"/>
    </row>
    <row r="14752">
      <c r="A14752" s="76"/>
    </row>
    <row r="14753">
      <c r="A14753" s="76"/>
    </row>
    <row r="14754">
      <c r="A14754" s="76"/>
    </row>
    <row r="14755">
      <c r="A14755" s="76"/>
    </row>
    <row r="14756">
      <c r="A14756" s="76"/>
    </row>
    <row r="14757">
      <c r="A14757" s="76"/>
    </row>
    <row r="14758">
      <c r="A14758" s="76"/>
    </row>
    <row r="14759">
      <c r="A14759" s="76"/>
    </row>
    <row r="14760">
      <c r="A14760" s="76"/>
    </row>
    <row r="14761">
      <c r="A14761" s="76"/>
    </row>
    <row r="14762">
      <c r="A14762" s="76"/>
    </row>
    <row r="14763">
      <c r="A14763" s="76"/>
    </row>
    <row r="14764">
      <c r="A14764" s="76"/>
    </row>
    <row r="14765">
      <c r="A14765" s="76"/>
    </row>
    <row r="14766">
      <c r="A14766" s="76"/>
    </row>
    <row r="14767">
      <c r="A14767" s="76"/>
    </row>
    <row r="14768">
      <c r="A14768" s="76"/>
    </row>
    <row r="14769">
      <c r="A14769" s="76"/>
    </row>
    <row r="14770">
      <c r="A14770" s="76"/>
    </row>
    <row r="14771">
      <c r="A14771" s="76"/>
    </row>
    <row r="14772">
      <c r="A14772" s="76"/>
    </row>
    <row r="14773">
      <c r="A14773" s="76"/>
    </row>
    <row r="14774">
      <c r="A14774" s="76"/>
    </row>
    <row r="14775">
      <c r="A14775" s="76"/>
    </row>
    <row r="14776">
      <c r="A14776" s="76"/>
    </row>
    <row r="14777">
      <c r="A14777" s="76"/>
    </row>
    <row r="14778">
      <c r="A14778" s="76"/>
    </row>
    <row r="14779">
      <c r="A14779" s="76"/>
    </row>
    <row r="14780">
      <c r="A14780" s="76"/>
    </row>
    <row r="14781">
      <c r="A14781" s="76"/>
    </row>
    <row r="14782">
      <c r="A14782" s="76"/>
    </row>
    <row r="14783">
      <c r="A14783" s="76"/>
    </row>
    <row r="14784">
      <c r="A14784" s="76"/>
    </row>
    <row r="14785">
      <c r="A14785" s="76"/>
    </row>
    <row r="14786">
      <c r="A14786" s="7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916</v>
      </c>
      <c r="B1" s="1" t="s">
        <v>917</v>
      </c>
      <c r="C1" s="1" t="s">
        <v>918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  <c r="L1" s="10" t="str">
        <f>IFERROR(__xludf.DUMMYFUNCTION("query(C2:G7254,""select C,sum(G) group by C order by sum(G) desc "" )"),"")</f>
        <v/>
      </c>
      <c r="M1" s="10" t="str">
        <f>IFERROR(__xludf.DUMMYFUNCTION("""COMPUTED_VALUE"""),"sum ")</f>
        <v>sum </v>
      </c>
    </row>
    <row r="2">
      <c r="A2" s="1">
        <v>2025.0</v>
      </c>
      <c r="B2" s="1" t="s">
        <v>674</v>
      </c>
      <c r="C2" s="1">
        <v>621345.0</v>
      </c>
      <c r="D2" s="1" t="s">
        <v>540</v>
      </c>
      <c r="E2" s="1" t="s">
        <v>926</v>
      </c>
      <c r="F2" s="1" t="s">
        <v>926</v>
      </c>
      <c r="G2" s="1">
        <v>43.0</v>
      </c>
      <c r="H2" s="1">
        <v>2.556756757</v>
      </c>
      <c r="I2" s="1">
        <v>5.32</v>
      </c>
      <c r="J2" s="1">
        <v>0.662647</v>
      </c>
      <c r="L2" s="10">
        <f>IFERROR(__xludf.DUMMYFUNCTION("""COMPUTED_VALUE"""),657277.0)</f>
        <v>657277</v>
      </c>
      <c r="M2" s="10">
        <f>IFERROR(__xludf.DUMMYFUNCTION("""COMPUTED_VALUE"""),3280.0)</f>
        <v>3280</v>
      </c>
    </row>
    <row r="3">
      <c r="A3" s="1">
        <v>2025.0</v>
      </c>
      <c r="B3" s="1" t="s">
        <v>674</v>
      </c>
      <c r="C3" s="1">
        <v>621345.0</v>
      </c>
      <c r="D3" s="1" t="s">
        <v>537</v>
      </c>
      <c r="E3" s="1" t="s">
        <v>926</v>
      </c>
      <c r="F3" s="1" t="s">
        <v>926</v>
      </c>
      <c r="G3" s="1">
        <v>21.0</v>
      </c>
      <c r="H3" s="1">
        <v>1.248648649</v>
      </c>
      <c r="I3" s="1">
        <v>5.93</v>
      </c>
      <c r="J3" s="1">
        <v>0.087459</v>
      </c>
      <c r="L3" s="10">
        <f>IFERROR(__xludf.DUMMYFUNCTION("""COMPUTED_VALUE"""),607074.0)</f>
        <v>607074</v>
      </c>
      <c r="M3" s="10">
        <f>IFERROR(__xludf.DUMMYFUNCTION("""COMPUTED_VALUE"""),3212.0)</f>
        <v>3212</v>
      </c>
    </row>
    <row r="4">
      <c r="A4" s="1">
        <v>2025.0</v>
      </c>
      <c r="B4" s="1" t="s">
        <v>674</v>
      </c>
      <c r="C4" s="1">
        <v>621345.0</v>
      </c>
      <c r="D4" s="1" t="s">
        <v>532</v>
      </c>
      <c r="E4" s="1" t="s">
        <v>926</v>
      </c>
      <c r="F4" s="1" t="s">
        <v>927</v>
      </c>
      <c r="G4" s="1">
        <v>18.0</v>
      </c>
      <c r="H4" s="1">
        <v>1.07027027</v>
      </c>
      <c r="I4" s="1">
        <v>3.76</v>
      </c>
      <c r="J4" s="1">
        <v>0.817034</v>
      </c>
      <c r="L4" s="10">
        <f>IFERROR(__xludf.DUMMYFUNCTION("""COMPUTED_VALUE"""),676979.0)</f>
        <v>676979</v>
      </c>
      <c r="M4" s="10">
        <f>IFERROR(__xludf.DUMMYFUNCTION("""COMPUTED_VALUE"""),3148.0)</f>
        <v>3148</v>
      </c>
    </row>
    <row r="5">
      <c r="A5" s="1">
        <v>2025.0</v>
      </c>
      <c r="B5" s="1" t="s">
        <v>674</v>
      </c>
      <c r="C5" s="1">
        <v>621345.0</v>
      </c>
      <c r="D5" s="1" t="s">
        <v>540</v>
      </c>
      <c r="E5" s="1" t="s">
        <v>926</v>
      </c>
      <c r="F5" s="1" t="s">
        <v>927</v>
      </c>
      <c r="G5" s="1">
        <v>45.0</v>
      </c>
      <c r="H5" s="1">
        <v>2.675675676</v>
      </c>
      <c r="I5" s="1">
        <v>5.01</v>
      </c>
      <c r="J5" s="1">
        <v>0.98978</v>
      </c>
      <c r="L5" s="10">
        <f>IFERROR(__xludf.DUMMYFUNCTION("""COMPUTED_VALUE"""),668678.0)</f>
        <v>668678</v>
      </c>
      <c r="M5" s="10">
        <f>IFERROR(__xludf.DUMMYFUNCTION("""COMPUTED_VALUE"""),3133.0)</f>
        <v>3133</v>
      </c>
    </row>
    <row r="6">
      <c r="A6" s="1">
        <v>2025.0</v>
      </c>
      <c r="B6" s="1" t="s">
        <v>674</v>
      </c>
      <c r="C6" s="1">
        <v>621345.0</v>
      </c>
      <c r="D6" s="1" t="s">
        <v>537</v>
      </c>
      <c r="E6" s="1" t="s">
        <v>926</v>
      </c>
      <c r="F6" s="1" t="s">
        <v>927</v>
      </c>
      <c r="G6" s="1">
        <v>58.0</v>
      </c>
      <c r="H6" s="1">
        <v>3.448648649</v>
      </c>
      <c r="I6" s="1">
        <v>5.27</v>
      </c>
      <c r="J6" s="1">
        <v>0.940222</v>
      </c>
      <c r="L6" s="10">
        <f>IFERROR(__xludf.DUMMYFUNCTION("""COMPUTED_VALUE"""),608331.0)</f>
        <v>608331</v>
      </c>
      <c r="M6" s="10">
        <f>IFERROR(__xludf.DUMMYFUNCTION("""COMPUTED_VALUE"""),3109.0)</f>
        <v>3109</v>
      </c>
    </row>
    <row r="7">
      <c r="A7" s="1">
        <v>2025.0</v>
      </c>
      <c r="B7" s="1" t="s">
        <v>735</v>
      </c>
      <c r="C7" s="1">
        <v>640462.0</v>
      </c>
      <c r="D7" s="1" t="s">
        <v>537</v>
      </c>
      <c r="E7" s="1" t="s">
        <v>926</v>
      </c>
      <c r="F7" s="1" t="s">
        <v>926</v>
      </c>
      <c r="G7" s="1">
        <v>37.0</v>
      </c>
      <c r="H7" s="1">
        <v>1.897435897</v>
      </c>
      <c r="I7" s="1">
        <v>6.18</v>
      </c>
      <c r="J7" s="1">
        <v>-0.106694</v>
      </c>
      <c r="L7" s="10">
        <f>IFERROR(__xludf.DUMMYFUNCTION("""COMPUTED_VALUE"""),579328.0)</f>
        <v>579328</v>
      </c>
      <c r="M7" s="10">
        <f>IFERROR(__xludf.DUMMYFUNCTION("""COMPUTED_VALUE"""),3093.0)</f>
        <v>3093</v>
      </c>
    </row>
    <row r="8">
      <c r="A8" s="1">
        <v>2025.0</v>
      </c>
      <c r="B8" s="1" t="s">
        <v>735</v>
      </c>
      <c r="C8" s="1">
        <v>640462.0</v>
      </c>
      <c r="D8" s="1" t="s">
        <v>536</v>
      </c>
      <c r="E8" s="1" t="s">
        <v>926</v>
      </c>
      <c r="F8" s="1" t="s">
        <v>926</v>
      </c>
      <c r="G8" s="1">
        <v>2.0</v>
      </c>
      <c r="H8" s="1">
        <v>0.102564103</v>
      </c>
      <c r="I8" s="1">
        <v>2.17</v>
      </c>
      <c r="J8" s="1">
        <v>0.159547</v>
      </c>
      <c r="L8" s="10">
        <f>IFERROR(__xludf.DUMMYFUNCTION("""COMPUTED_VALUE"""),642547.0)</f>
        <v>642547</v>
      </c>
      <c r="M8" s="10">
        <f>IFERROR(__xludf.DUMMYFUNCTION("""COMPUTED_VALUE"""),3085.0)</f>
        <v>3085</v>
      </c>
    </row>
    <row r="9">
      <c r="A9" s="1">
        <v>2025.0</v>
      </c>
      <c r="B9" s="1" t="s">
        <v>735</v>
      </c>
      <c r="C9" s="1">
        <v>640462.0</v>
      </c>
      <c r="D9" s="1" t="s">
        <v>533</v>
      </c>
      <c r="E9" s="1" t="s">
        <v>926</v>
      </c>
      <c r="F9" s="1" t="s">
        <v>926</v>
      </c>
      <c r="G9" s="1">
        <v>19.0</v>
      </c>
      <c r="H9" s="1">
        <v>0.974358974</v>
      </c>
      <c r="I9" s="1">
        <v>4.76</v>
      </c>
      <c r="J9" s="1">
        <v>0.495825</v>
      </c>
      <c r="L9" s="10">
        <f>IFERROR(__xludf.DUMMYFUNCTION("""COMPUTED_VALUE"""),592662.0)</f>
        <v>592662</v>
      </c>
      <c r="M9" s="10">
        <f>IFERROR(__xludf.DUMMYFUNCTION("""COMPUTED_VALUE"""),3068.0)</f>
        <v>3068</v>
      </c>
    </row>
    <row r="10">
      <c r="A10" s="1">
        <v>2025.0</v>
      </c>
      <c r="B10" s="1" t="s">
        <v>735</v>
      </c>
      <c r="C10" s="1">
        <v>640462.0</v>
      </c>
      <c r="D10" s="1" t="s">
        <v>537</v>
      </c>
      <c r="E10" s="1" t="s">
        <v>926</v>
      </c>
      <c r="F10" s="1" t="s">
        <v>927</v>
      </c>
      <c r="G10" s="1">
        <v>60.0</v>
      </c>
      <c r="H10" s="1">
        <v>3.076923077</v>
      </c>
      <c r="I10" s="1">
        <v>5.32</v>
      </c>
      <c r="J10" s="1">
        <v>0.907514</v>
      </c>
      <c r="L10" s="10">
        <f>IFERROR(__xludf.DUMMYFUNCTION("""COMPUTED_VALUE"""),656302.0)</f>
        <v>656302</v>
      </c>
      <c r="M10" s="10">
        <f>IFERROR(__xludf.DUMMYFUNCTION("""COMPUTED_VALUE"""),3040.0)</f>
        <v>3040</v>
      </c>
    </row>
    <row r="11">
      <c r="A11" s="1">
        <v>2025.0</v>
      </c>
      <c r="B11" s="1" t="s">
        <v>735</v>
      </c>
      <c r="C11" s="1">
        <v>640462.0</v>
      </c>
      <c r="D11" s="1" t="s">
        <v>533</v>
      </c>
      <c r="E11" s="1" t="s">
        <v>926</v>
      </c>
      <c r="F11" s="1" t="s">
        <v>927</v>
      </c>
      <c r="G11" s="1">
        <v>37.0</v>
      </c>
      <c r="H11" s="1">
        <v>1.897435897</v>
      </c>
      <c r="I11" s="1">
        <v>4.85</v>
      </c>
      <c r="J11" s="1">
        <v>0.880791</v>
      </c>
      <c r="L11" s="10">
        <f>IFERROR(__xludf.DUMMYFUNCTION("""COMPUTED_VALUE"""),592332.0)</f>
        <v>592332</v>
      </c>
      <c r="M11" s="10">
        <f>IFERROR(__xludf.DUMMYFUNCTION("""COMPUTED_VALUE"""),3028.0)</f>
        <v>3028</v>
      </c>
    </row>
    <row r="12">
      <c r="A12" s="1">
        <v>2025.0</v>
      </c>
      <c r="B12" s="1" t="s">
        <v>735</v>
      </c>
      <c r="C12" s="1">
        <v>640462.0</v>
      </c>
      <c r="D12" s="1" t="s">
        <v>539</v>
      </c>
      <c r="E12" s="1" t="s">
        <v>926</v>
      </c>
      <c r="F12" s="1" t="s">
        <v>927</v>
      </c>
      <c r="G12" s="1">
        <v>1.0</v>
      </c>
      <c r="H12" s="1">
        <v>0.051282051</v>
      </c>
      <c r="I12" s="1">
        <v>-1.51</v>
      </c>
      <c r="J12" s="1">
        <v>0.15115</v>
      </c>
      <c r="L12" s="10">
        <f>IFERROR(__xludf.DUMMYFUNCTION("""COMPUTED_VALUE"""),666200.0)</f>
        <v>666200</v>
      </c>
      <c r="M12" s="10">
        <f>IFERROR(__xludf.DUMMYFUNCTION("""COMPUTED_VALUE"""),3013.0)</f>
        <v>3013</v>
      </c>
    </row>
    <row r="13">
      <c r="A13" s="1">
        <v>2025.0</v>
      </c>
      <c r="B13" s="1" t="s">
        <v>544</v>
      </c>
      <c r="C13" s="1">
        <v>805123.0</v>
      </c>
      <c r="D13" s="1" t="s">
        <v>532</v>
      </c>
      <c r="E13" s="1" t="s">
        <v>927</v>
      </c>
      <c r="F13" s="1" t="s">
        <v>926</v>
      </c>
      <c r="G13" s="1">
        <v>67.0</v>
      </c>
      <c r="H13" s="1">
        <v>4.23715415</v>
      </c>
      <c r="I13" s="1">
        <v>5.2</v>
      </c>
      <c r="J13" s="1">
        <v>1.113276</v>
      </c>
      <c r="L13" s="10">
        <f>IFERROR(__xludf.DUMMYFUNCTION("""COMPUTED_VALUE"""),694973.0)</f>
        <v>694973</v>
      </c>
      <c r="M13" s="10">
        <f>IFERROR(__xludf.DUMMYFUNCTION("""COMPUTED_VALUE"""),2997.0)</f>
        <v>2997</v>
      </c>
    </row>
    <row r="14">
      <c r="A14" s="1">
        <v>2025.0</v>
      </c>
      <c r="B14" s="1" t="s">
        <v>544</v>
      </c>
      <c r="C14" s="1">
        <v>805123.0</v>
      </c>
      <c r="D14" s="1" t="s">
        <v>541</v>
      </c>
      <c r="E14" s="1" t="s">
        <v>927</v>
      </c>
      <c r="F14" s="1" t="s">
        <v>926</v>
      </c>
      <c r="G14" s="1">
        <v>17.0</v>
      </c>
      <c r="H14" s="1">
        <v>1.075098814</v>
      </c>
      <c r="I14" s="1">
        <v>4.56</v>
      </c>
      <c r="J14" s="1">
        <v>0.527033</v>
      </c>
      <c r="L14" s="10">
        <f>IFERROR(__xludf.DUMMYFUNCTION("""COMPUTED_VALUE"""),676440.0)</f>
        <v>676440</v>
      </c>
      <c r="M14" s="10">
        <f>IFERROR(__xludf.DUMMYFUNCTION("""COMPUTED_VALUE"""),2969.0)</f>
        <v>2969</v>
      </c>
    </row>
    <row r="15">
      <c r="A15" s="1">
        <v>2025.0</v>
      </c>
      <c r="B15" s="1" t="s">
        <v>544</v>
      </c>
      <c r="C15" s="1">
        <v>805123.0</v>
      </c>
      <c r="D15" s="1" t="s">
        <v>540</v>
      </c>
      <c r="E15" s="1" t="s">
        <v>927</v>
      </c>
      <c r="F15" s="1" t="s">
        <v>926</v>
      </c>
      <c r="G15" s="1">
        <v>2.0</v>
      </c>
      <c r="H15" s="1">
        <v>0.126482213</v>
      </c>
      <c r="I15" s="1">
        <v>2.43</v>
      </c>
      <c r="J15" s="1">
        <v>0.143526</v>
      </c>
      <c r="L15" s="10">
        <f>IFERROR(__xludf.DUMMYFUNCTION("""COMPUTED_VALUE"""),686613.0)</f>
        <v>686613</v>
      </c>
      <c r="M15" s="10">
        <f>IFERROR(__xludf.DUMMYFUNCTION("""COMPUTED_VALUE"""),2962.0)</f>
        <v>2962</v>
      </c>
    </row>
    <row r="16">
      <c r="A16" s="1">
        <v>2025.0</v>
      </c>
      <c r="B16" s="1" t="s">
        <v>544</v>
      </c>
      <c r="C16" s="1">
        <v>805123.0</v>
      </c>
      <c r="D16" s="1" t="s">
        <v>537</v>
      </c>
      <c r="E16" s="1" t="s">
        <v>927</v>
      </c>
      <c r="F16" s="1" t="s">
        <v>926</v>
      </c>
      <c r="G16" s="1">
        <v>128.0</v>
      </c>
      <c r="H16" s="1">
        <v>8.09486166</v>
      </c>
      <c r="I16" s="1">
        <v>5.45</v>
      </c>
      <c r="J16" s="1">
        <v>1.724547</v>
      </c>
      <c r="L16" s="10">
        <f>IFERROR(__xludf.DUMMYFUNCTION("""COMPUTED_VALUE"""),663623.0)</f>
        <v>663623</v>
      </c>
      <c r="M16" s="10">
        <f>IFERROR(__xludf.DUMMYFUNCTION("""COMPUTED_VALUE"""),2945.0)</f>
        <v>2945</v>
      </c>
    </row>
    <row r="17">
      <c r="A17" s="1">
        <v>2025.0</v>
      </c>
      <c r="B17" s="1" t="s">
        <v>544</v>
      </c>
      <c r="C17" s="1">
        <v>805123.0</v>
      </c>
      <c r="D17" s="1" t="s">
        <v>533</v>
      </c>
      <c r="E17" s="1" t="s">
        <v>927</v>
      </c>
      <c r="F17" s="1" t="s">
        <v>926</v>
      </c>
      <c r="G17" s="1">
        <v>1.0</v>
      </c>
      <c r="H17" s="1">
        <v>0.063241107</v>
      </c>
      <c r="I17" s="1">
        <v>4.8</v>
      </c>
      <c r="J17" s="1">
        <v>0.026239</v>
      </c>
      <c r="L17" s="10">
        <f>IFERROR(__xludf.DUMMYFUNCTION("""COMPUTED_VALUE"""),668909.0)</f>
        <v>668909</v>
      </c>
      <c r="M17" s="10">
        <f>IFERROR(__xludf.DUMMYFUNCTION("""COMPUTED_VALUE"""),2925.0)</f>
        <v>2925</v>
      </c>
    </row>
    <row r="18">
      <c r="A18" s="1">
        <v>2025.0</v>
      </c>
      <c r="B18" s="1" t="s">
        <v>544</v>
      </c>
      <c r="C18" s="1">
        <v>805123.0</v>
      </c>
      <c r="D18" s="1" t="s">
        <v>539</v>
      </c>
      <c r="E18" s="1" t="s">
        <v>927</v>
      </c>
      <c r="F18" s="1" t="s">
        <v>926</v>
      </c>
      <c r="G18" s="1">
        <v>29.0</v>
      </c>
      <c r="H18" s="1">
        <v>1.833992095</v>
      </c>
      <c r="I18" s="1">
        <v>4.98</v>
      </c>
      <c r="J18" s="1">
        <v>0.618577</v>
      </c>
      <c r="L18" s="10">
        <f>IFERROR(__xludf.DUMMYFUNCTION("""COMPUTED_VALUE"""),694297.0)</f>
        <v>694297</v>
      </c>
      <c r="M18" s="10">
        <f>IFERROR(__xludf.DUMMYFUNCTION("""COMPUTED_VALUE"""),2918.0)</f>
        <v>2918</v>
      </c>
    </row>
    <row r="19">
      <c r="A19" s="1">
        <v>2025.0</v>
      </c>
      <c r="B19" s="1" t="s">
        <v>544</v>
      </c>
      <c r="C19" s="1">
        <v>805123.0</v>
      </c>
      <c r="D19" s="1" t="s">
        <v>532</v>
      </c>
      <c r="E19" s="1" t="s">
        <v>927</v>
      </c>
      <c r="F19" s="1" t="s">
        <v>927</v>
      </c>
      <c r="G19" s="1">
        <v>31.0</v>
      </c>
      <c r="H19" s="1">
        <v>1.960474308</v>
      </c>
      <c r="I19" s="1">
        <v>5.17</v>
      </c>
      <c r="J19" s="1">
        <v>0.549225</v>
      </c>
      <c r="L19" s="10">
        <f>IFERROR(__xludf.DUMMYFUNCTION("""COMPUTED_VALUE"""),622491.0)</f>
        <v>622491</v>
      </c>
      <c r="M19" s="10">
        <f>IFERROR(__xludf.DUMMYFUNCTION("""COMPUTED_VALUE"""),2904.0)</f>
        <v>2904</v>
      </c>
    </row>
    <row r="20">
      <c r="A20" s="1">
        <v>2025.0</v>
      </c>
      <c r="B20" s="1" t="s">
        <v>544</v>
      </c>
      <c r="C20" s="1">
        <v>805123.0</v>
      </c>
      <c r="D20" s="1" t="s">
        <v>540</v>
      </c>
      <c r="E20" s="1" t="s">
        <v>927</v>
      </c>
      <c r="F20" s="1" t="s">
        <v>927</v>
      </c>
      <c r="G20" s="1">
        <v>3.0</v>
      </c>
      <c r="H20" s="1">
        <v>0.18972332</v>
      </c>
      <c r="I20" s="1">
        <v>5.07</v>
      </c>
      <c r="J20" s="1">
        <v>0.062155</v>
      </c>
      <c r="L20" s="10">
        <f>IFERROR(__xludf.DUMMYFUNCTION("""COMPUTED_VALUE"""),650911.0)</f>
        <v>650911</v>
      </c>
      <c r="M20" s="10">
        <f>IFERROR(__xludf.DUMMYFUNCTION("""COMPUTED_VALUE"""),2896.0)</f>
        <v>2896</v>
      </c>
    </row>
    <row r="21">
      <c r="A21" s="1">
        <v>2025.0</v>
      </c>
      <c r="B21" s="1" t="s">
        <v>544</v>
      </c>
      <c r="C21" s="1">
        <v>805123.0</v>
      </c>
      <c r="D21" s="1" t="s">
        <v>537</v>
      </c>
      <c r="E21" s="1" t="s">
        <v>927</v>
      </c>
      <c r="F21" s="1" t="s">
        <v>927</v>
      </c>
      <c r="G21" s="1">
        <v>149.0</v>
      </c>
      <c r="H21" s="1">
        <v>9.422924901</v>
      </c>
      <c r="I21" s="1">
        <v>4.9</v>
      </c>
      <c r="J21" s="1">
        <v>3.667153</v>
      </c>
      <c r="L21" s="10">
        <f>IFERROR(__xludf.DUMMYFUNCTION("""COMPUTED_VALUE"""),645261.0)</f>
        <v>645261</v>
      </c>
      <c r="M21" s="10">
        <f>IFERROR(__xludf.DUMMYFUNCTION("""COMPUTED_VALUE"""),2889.0)</f>
        <v>2889</v>
      </c>
    </row>
    <row r="22">
      <c r="A22" s="1">
        <v>2025.0</v>
      </c>
      <c r="B22" s="1" t="s">
        <v>544</v>
      </c>
      <c r="C22" s="1">
        <v>805123.0</v>
      </c>
      <c r="D22" s="1" t="s">
        <v>539</v>
      </c>
      <c r="E22" s="1" t="s">
        <v>927</v>
      </c>
      <c r="F22" s="1" t="s">
        <v>927</v>
      </c>
      <c r="G22" s="1">
        <v>79.0</v>
      </c>
      <c r="H22" s="1">
        <v>4.996047431</v>
      </c>
      <c r="I22" s="1">
        <v>5.42</v>
      </c>
      <c r="J22" s="1">
        <v>1.094076</v>
      </c>
      <c r="L22" s="10">
        <f>IFERROR(__xludf.DUMMYFUNCTION("""COMPUTED_VALUE"""),664285.0)</f>
        <v>664285</v>
      </c>
      <c r="M22" s="10">
        <f>IFERROR(__xludf.DUMMYFUNCTION("""COMPUTED_VALUE"""),2888.0)</f>
        <v>2888</v>
      </c>
    </row>
    <row r="23">
      <c r="A23" s="1">
        <v>2025.0</v>
      </c>
      <c r="B23" s="1" t="s">
        <v>516</v>
      </c>
      <c r="C23" s="1">
        <v>700363.0</v>
      </c>
      <c r="D23" s="1" t="s">
        <v>541</v>
      </c>
      <c r="E23" s="1" t="s">
        <v>927</v>
      </c>
      <c r="F23" s="1" t="s">
        <v>926</v>
      </c>
      <c r="G23" s="1">
        <v>69.0</v>
      </c>
      <c r="H23" s="1">
        <v>4.302390999</v>
      </c>
      <c r="I23" s="1">
        <v>4.77</v>
      </c>
      <c r="J23" s="1">
        <v>1.853859</v>
      </c>
      <c r="L23" s="10">
        <f>IFERROR(__xludf.DUMMYFUNCTION("""COMPUTED_VALUE"""),656605.0)</f>
        <v>656605</v>
      </c>
      <c r="M23" s="10">
        <f>IFERROR(__xludf.DUMMYFUNCTION("""COMPUTED_VALUE"""),2868.0)</f>
        <v>2868</v>
      </c>
    </row>
    <row r="24">
      <c r="A24" s="1">
        <v>2025.0</v>
      </c>
      <c r="B24" s="1" t="s">
        <v>516</v>
      </c>
      <c r="C24" s="1">
        <v>700363.0</v>
      </c>
      <c r="D24" s="1" t="s">
        <v>537</v>
      </c>
      <c r="E24" s="1" t="s">
        <v>927</v>
      </c>
      <c r="F24" s="1" t="s">
        <v>926</v>
      </c>
      <c r="G24" s="1">
        <v>181.0</v>
      </c>
      <c r="H24" s="1">
        <v>11.28598218</v>
      </c>
      <c r="I24" s="1">
        <v>5.09</v>
      </c>
      <c r="J24" s="1">
        <v>3.777332</v>
      </c>
      <c r="L24" s="10">
        <f>IFERROR(__xludf.DUMMYFUNCTION("""COMPUTED_VALUE"""),663903.0)</f>
        <v>663903</v>
      </c>
      <c r="M24" s="10">
        <f>IFERROR(__xludf.DUMMYFUNCTION("""COMPUTED_VALUE"""),2850.0)</f>
        <v>2850</v>
      </c>
    </row>
    <row r="25">
      <c r="A25" s="1">
        <v>2025.0</v>
      </c>
      <c r="B25" s="1" t="s">
        <v>516</v>
      </c>
      <c r="C25" s="1">
        <v>700363.0</v>
      </c>
      <c r="D25" s="1" t="s">
        <v>538</v>
      </c>
      <c r="E25" s="1" t="s">
        <v>927</v>
      </c>
      <c r="F25" s="1" t="s">
        <v>926</v>
      </c>
      <c r="G25" s="1">
        <v>142.0</v>
      </c>
      <c r="H25" s="1">
        <v>8.854195968</v>
      </c>
      <c r="I25" s="1">
        <v>4.57</v>
      </c>
      <c r="J25" s="1">
        <v>4.179604</v>
      </c>
      <c r="L25" s="10">
        <f>IFERROR(__xludf.DUMMYFUNCTION("""COMPUTED_VALUE"""),601713.0)</f>
        <v>601713</v>
      </c>
      <c r="M25" s="10">
        <f>IFERROR(__xludf.DUMMYFUNCTION("""COMPUTED_VALUE"""),2849.0)</f>
        <v>2849</v>
      </c>
    </row>
    <row r="26">
      <c r="A26" s="1">
        <v>2025.0</v>
      </c>
      <c r="B26" s="1" t="s">
        <v>516</v>
      </c>
      <c r="C26" s="1">
        <v>700363.0</v>
      </c>
      <c r="D26" s="1" t="s">
        <v>533</v>
      </c>
      <c r="E26" s="1" t="s">
        <v>927</v>
      </c>
      <c r="F26" s="1" t="s">
        <v>926</v>
      </c>
      <c r="G26" s="1">
        <v>7.0</v>
      </c>
      <c r="H26" s="1">
        <v>0.436474449</v>
      </c>
      <c r="I26" s="1">
        <v>6.02</v>
      </c>
      <c r="J26" s="1">
        <v>0.01969</v>
      </c>
      <c r="L26" s="10">
        <f>IFERROR(__xludf.DUMMYFUNCTION("""COMPUTED_VALUE"""),669373.0)</f>
        <v>669373</v>
      </c>
      <c r="M26" s="10">
        <f>IFERROR(__xludf.DUMMYFUNCTION("""COMPUTED_VALUE"""),2849.0)</f>
        <v>2849</v>
      </c>
    </row>
    <row r="27">
      <c r="A27" s="1">
        <v>2025.0</v>
      </c>
      <c r="B27" s="1" t="s">
        <v>516</v>
      </c>
      <c r="C27" s="1">
        <v>700363.0</v>
      </c>
      <c r="D27" s="1" t="s">
        <v>541</v>
      </c>
      <c r="E27" s="1" t="s">
        <v>927</v>
      </c>
      <c r="F27" s="1" t="s">
        <v>927</v>
      </c>
      <c r="G27" s="1">
        <v>39.0</v>
      </c>
      <c r="H27" s="1">
        <v>2.431786217</v>
      </c>
      <c r="I27" s="1">
        <v>4.43</v>
      </c>
      <c r="J27" s="1">
        <v>1.305682</v>
      </c>
      <c r="L27" s="10">
        <f>IFERROR(__xludf.DUMMYFUNCTION("""COMPUTED_VALUE"""),605488.0)</f>
        <v>605488</v>
      </c>
      <c r="M27" s="10">
        <f>IFERROR(__xludf.DUMMYFUNCTION("""COMPUTED_VALUE"""),2846.0)</f>
        <v>2846</v>
      </c>
    </row>
    <row r="28">
      <c r="A28" s="1">
        <v>2025.0</v>
      </c>
      <c r="B28" s="1" t="s">
        <v>516</v>
      </c>
      <c r="C28" s="1">
        <v>700363.0</v>
      </c>
      <c r="D28" s="1" t="s">
        <v>537</v>
      </c>
      <c r="E28" s="1" t="s">
        <v>927</v>
      </c>
      <c r="F28" s="1" t="s">
        <v>927</v>
      </c>
      <c r="G28" s="1">
        <v>150.0</v>
      </c>
      <c r="H28" s="1">
        <v>9.35302391</v>
      </c>
      <c r="I28" s="1">
        <v>4.74</v>
      </c>
      <c r="J28" s="1">
        <v>4.141329</v>
      </c>
      <c r="L28" s="10">
        <f>IFERROR(__xludf.DUMMYFUNCTION("""COMPUTED_VALUE"""),518876.0)</f>
        <v>518876</v>
      </c>
      <c r="M28" s="10">
        <f>IFERROR(__xludf.DUMMYFUNCTION("""COMPUTED_VALUE"""),2832.0)</f>
        <v>2832</v>
      </c>
    </row>
    <row r="29">
      <c r="A29" s="1">
        <v>2025.0</v>
      </c>
      <c r="B29" s="1" t="s">
        <v>516</v>
      </c>
      <c r="C29" s="1">
        <v>700363.0</v>
      </c>
      <c r="D29" s="1" t="s">
        <v>538</v>
      </c>
      <c r="E29" s="1" t="s">
        <v>927</v>
      </c>
      <c r="F29" s="1" t="s">
        <v>927</v>
      </c>
      <c r="G29" s="1">
        <v>100.0</v>
      </c>
      <c r="H29" s="1">
        <v>6.235349273</v>
      </c>
      <c r="I29" s="1">
        <v>4.32</v>
      </c>
      <c r="J29" s="1">
        <v>3.462165</v>
      </c>
      <c r="L29" s="10">
        <f>IFERROR(__xludf.DUMMYFUNCTION("""COMPUTED_VALUE"""),656427.0)</f>
        <v>656427</v>
      </c>
      <c r="M29" s="10">
        <f>IFERROR(__xludf.DUMMYFUNCTION("""COMPUTED_VALUE"""),2830.0)</f>
        <v>2830</v>
      </c>
    </row>
    <row r="30">
      <c r="A30" s="1">
        <v>2025.0</v>
      </c>
      <c r="B30" s="1" t="s">
        <v>516</v>
      </c>
      <c r="C30" s="1">
        <v>700363.0</v>
      </c>
      <c r="D30" s="1" t="s">
        <v>533</v>
      </c>
      <c r="E30" s="1" t="s">
        <v>927</v>
      </c>
      <c r="F30" s="1" t="s">
        <v>927</v>
      </c>
      <c r="G30" s="1">
        <v>23.0</v>
      </c>
      <c r="H30" s="1">
        <v>1.434130333</v>
      </c>
      <c r="I30" s="1">
        <v>4.15</v>
      </c>
      <c r="J30" s="1">
        <v>0.922421</v>
      </c>
      <c r="L30" s="10">
        <f>IFERROR(__xludf.DUMMYFUNCTION("""COMPUTED_VALUE"""),605135.0)</f>
        <v>605135</v>
      </c>
      <c r="M30" s="10">
        <f>IFERROR(__xludf.DUMMYFUNCTION("""COMPUTED_VALUE"""),2829.0)</f>
        <v>2829</v>
      </c>
    </row>
    <row r="31">
      <c r="A31" s="1">
        <v>2025.0</v>
      </c>
      <c r="B31" s="1" t="s">
        <v>200</v>
      </c>
      <c r="C31" s="1">
        <v>676879.0</v>
      </c>
      <c r="D31" s="1" t="s">
        <v>532</v>
      </c>
      <c r="E31" s="1" t="s">
        <v>926</v>
      </c>
      <c r="F31" s="1" t="s">
        <v>926</v>
      </c>
      <c r="G31" s="1">
        <v>4.0</v>
      </c>
      <c r="H31" s="1">
        <v>0.258397933</v>
      </c>
      <c r="I31" s="1">
        <v>4.02</v>
      </c>
      <c r="J31" s="1">
        <v>0.159621</v>
      </c>
      <c r="L31" s="10">
        <f>IFERROR(__xludf.DUMMYFUNCTION("""COMPUTED_VALUE"""),669022.0)</f>
        <v>669022</v>
      </c>
      <c r="M31" s="10">
        <f>IFERROR(__xludf.DUMMYFUNCTION("""COMPUTED_VALUE"""),2817.0)</f>
        <v>2817</v>
      </c>
    </row>
    <row r="32">
      <c r="A32" s="1">
        <v>2025.0</v>
      </c>
      <c r="B32" s="1" t="s">
        <v>200</v>
      </c>
      <c r="C32" s="1">
        <v>676879.0</v>
      </c>
      <c r="D32" s="1" t="s">
        <v>541</v>
      </c>
      <c r="E32" s="1" t="s">
        <v>926</v>
      </c>
      <c r="F32" s="1" t="s">
        <v>926</v>
      </c>
      <c r="G32" s="1">
        <v>83.0</v>
      </c>
      <c r="H32" s="1">
        <v>5.361757106</v>
      </c>
      <c r="I32" s="1">
        <v>4.8</v>
      </c>
      <c r="J32" s="1">
        <v>2.183041</v>
      </c>
      <c r="L32" s="10">
        <f>IFERROR(__xludf.DUMMYFUNCTION("""COMPUTED_VALUE"""),701542.0)</f>
        <v>701542</v>
      </c>
      <c r="M32" s="10">
        <f>IFERROR(__xludf.DUMMYFUNCTION("""COMPUTED_VALUE"""),2801.0)</f>
        <v>2801</v>
      </c>
    </row>
    <row r="33">
      <c r="A33" s="1">
        <v>2025.0</v>
      </c>
      <c r="B33" s="1" t="s">
        <v>200</v>
      </c>
      <c r="C33" s="1">
        <v>676879.0</v>
      </c>
      <c r="D33" s="1" t="s">
        <v>537</v>
      </c>
      <c r="E33" s="1" t="s">
        <v>926</v>
      </c>
      <c r="F33" s="1" t="s">
        <v>926</v>
      </c>
      <c r="G33" s="1">
        <v>7.0</v>
      </c>
      <c r="H33" s="1">
        <v>0.452196382</v>
      </c>
      <c r="I33" s="1">
        <v>5.29</v>
      </c>
      <c r="J33" s="1">
        <v>0.113359</v>
      </c>
      <c r="L33" s="10">
        <f>IFERROR(__xludf.DUMMYFUNCTION("""COMPUTED_VALUE"""),657746.0)</f>
        <v>657746</v>
      </c>
      <c r="M33" s="10">
        <f>IFERROR(__xludf.DUMMYFUNCTION("""COMPUTED_VALUE"""),2795.0)</f>
        <v>2795</v>
      </c>
    </row>
    <row r="34">
      <c r="A34" s="1">
        <v>2025.0</v>
      </c>
      <c r="B34" s="1" t="s">
        <v>200</v>
      </c>
      <c r="C34" s="1">
        <v>676879.0</v>
      </c>
      <c r="D34" s="1" t="s">
        <v>536</v>
      </c>
      <c r="E34" s="1" t="s">
        <v>926</v>
      </c>
      <c r="F34" s="1" t="s">
        <v>926</v>
      </c>
      <c r="G34" s="1">
        <v>228.0</v>
      </c>
      <c r="H34" s="1">
        <v>14.72868217</v>
      </c>
      <c r="I34" s="1">
        <v>5.33</v>
      </c>
      <c r="J34" s="1">
        <v>3.530197</v>
      </c>
      <c r="L34" s="10">
        <f>IFERROR(__xludf.DUMMYFUNCTION("""COMPUTED_VALUE"""),808967.0)</f>
        <v>808967</v>
      </c>
      <c r="M34" s="10">
        <f>IFERROR(__xludf.DUMMYFUNCTION("""COMPUTED_VALUE"""),2788.0)</f>
        <v>2788</v>
      </c>
    </row>
    <row r="35">
      <c r="A35" s="1">
        <v>2025.0</v>
      </c>
      <c r="B35" s="1" t="s">
        <v>200</v>
      </c>
      <c r="C35" s="1">
        <v>676879.0</v>
      </c>
      <c r="D35" s="1" t="s">
        <v>533</v>
      </c>
      <c r="E35" s="1" t="s">
        <v>926</v>
      </c>
      <c r="F35" s="1" t="s">
        <v>926</v>
      </c>
      <c r="G35" s="1">
        <v>71.0</v>
      </c>
      <c r="H35" s="1">
        <v>4.586563307</v>
      </c>
      <c r="I35" s="1">
        <v>4.5</v>
      </c>
      <c r="J35" s="1">
        <v>2.248347</v>
      </c>
      <c r="L35" s="10">
        <f>IFERROR(__xludf.DUMMYFUNCTION("""COMPUTED_VALUE"""),641793.0)</f>
        <v>641793</v>
      </c>
      <c r="M35" s="10">
        <f>IFERROR(__xludf.DUMMYFUNCTION("""COMPUTED_VALUE"""),2785.0)</f>
        <v>2785</v>
      </c>
    </row>
    <row r="36">
      <c r="A36" s="1">
        <v>2025.0</v>
      </c>
      <c r="B36" s="1" t="s">
        <v>200</v>
      </c>
      <c r="C36" s="1">
        <v>676879.0</v>
      </c>
      <c r="D36" s="1" t="s">
        <v>532</v>
      </c>
      <c r="E36" s="1" t="s">
        <v>926</v>
      </c>
      <c r="F36" s="1" t="s">
        <v>927</v>
      </c>
      <c r="G36" s="1">
        <v>115.0</v>
      </c>
      <c r="H36" s="1">
        <v>7.428940568</v>
      </c>
      <c r="I36" s="1">
        <v>5.05</v>
      </c>
      <c r="J36" s="1">
        <v>2.401402</v>
      </c>
      <c r="L36" s="10">
        <f>IFERROR(__xludf.DUMMYFUNCTION("""COMPUTED_VALUE"""),667755.0)</f>
        <v>667755</v>
      </c>
      <c r="M36" s="10">
        <f>IFERROR(__xludf.DUMMYFUNCTION("""COMPUTED_VALUE"""),2783.0)</f>
        <v>2783</v>
      </c>
    </row>
    <row r="37">
      <c r="A37" s="1">
        <v>2025.0</v>
      </c>
      <c r="B37" s="1" t="s">
        <v>200</v>
      </c>
      <c r="C37" s="1">
        <v>676879.0</v>
      </c>
      <c r="D37" s="1" t="s">
        <v>541</v>
      </c>
      <c r="E37" s="1" t="s">
        <v>926</v>
      </c>
      <c r="F37" s="1" t="s">
        <v>927</v>
      </c>
      <c r="G37" s="1">
        <v>190.0</v>
      </c>
      <c r="H37" s="1">
        <v>12.27390181</v>
      </c>
      <c r="I37" s="1">
        <v>5.31</v>
      </c>
      <c r="J37" s="1">
        <v>2.875336</v>
      </c>
      <c r="L37" s="10">
        <f>IFERROR(__xludf.DUMMYFUNCTION("""COMPUTED_VALUE"""),605280.0)</f>
        <v>605280</v>
      </c>
      <c r="M37" s="10">
        <f>IFERROR(__xludf.DUMMYFUNCTION("""COMPUTED_VALUE"""),2762.0)</f>
        <v>2762</v>
      </c>
    </row>
    <row r="38">
      <c r="A38" s="1">
        <v>2025.0</v>
      </c>
      <c r="B38" s="1" t="s">
        <v>200</v>
      </c>
      <c r="C38" s="1">
        <v>676879.0</v>
      </c>
      <c r="D38" s="1" t="s">
        <v>537</v>
      </c>
      <c r="E38" s="1" t="s">
        <v>926</v>
      </c>
      <c r="F38" s="1" t="s">
        <v>927</v>
      </c>
      <c r="G38" s="1">
        <v>26.0</v>
      </c>
      <c r="H38" s="1">
        <v>1.679586563</v>
      </c>
      <c r="I38" s="1">
        <v>4.34</v>
      </c>
      <c r="J38" s="1">
        <v>0.933157</v>
      </c>
      <c r="L38" s="10">
        <f>IFERROR(__xludf.DUMMYFUNCTION("""COMPUTED_VALUE"""),571510.0)</f>
        <v>571510</v>
      </c>
      <c r="M38" s="10">
        <f>IFERROR(__xludf.DUMMYFUNCTION("""COMPUTED_VALUE"""),2746.0)</f>
        <v>2746</v>
      </c>
    </row>
    <row r="39">
      <c r="A39" s="1">
        <v>2025.0</v>
      </c>
      <c r="B39" s="1" t="s">
        <v>200</v>
      </c>
      <c r="C39" s="1">
        <v>676879.0</v>
      </c>
      <c r="D39" s="1" t="s">
        <v>536</v>
      </c>
      <c r="E39" s="1" t="s">
        <v>926</v>
      </c>
      <c r="F39" s="1" t="s">
        <v>927</v>
      </c>
      <c r="G39" s="1">
        <v>295.0</v>
      </c>
      <c r="H39" s="1">
        <v>19.05684755</v>
      </c>
      <c r="I39" s="1">
        <v>5.0</v>
      </c>
      <c r="J39" s="1">
        <v>6.695843</v>
      </c>
      <c r="L39" s="10">
        <f>IFERROR(__xludf.DUMMYFUNCTION("""COMPUTED_VALUE"""),622663.0)</f>
        <v>622663</v>
      </c>
      <c r="M39" s="10">
        <f>IFERROR(__xludf.DUMMYFUNCTION("""COMPUTED_VALUE"""),2730.0)</f>
        <v>2730</v>
      </c>
    </row>
    <row r="40">
      <c r="A40" s="1">
        <v>2025.0</v>
      </c>
      <c r="B40" s="1" t="s">
        <v>200</v>
      </c>
      <c r="C40" s="1">
        <v>676879.0</v>
      </c>
      <c r="D40" s="1" t="s">
        <v>533</v>
      </c>
      <c r="E40" s="1" t="s">
        <v>926</v>
      </c>
      <c r="F40" s="1" t="s">
        <v>927</v>
      </c>
      <c r="G40" s="1">
        <v>13.0</v>
      </c>
      <c r="H40" s="1">
        <v>0.839793282</v>
      </c>
      <c r="I40" s="1">
        <v>3.96</v>
      </c>
      <c r="J40" s="1">
        <v>0.518343</v>
      </c>
      <c r="L40" s="10">
        <f>IFERROR(__xludf.DUMMYFUNCTION("""COMPUTED_VALUE"""),669358.0)</f>
        <v>669358</v>
      </c>
      <c r="M40" s="10">
        <f>IFERROR(__xludf.DUMMYFUNCTION("""COMPUTED_VALUE"""),2718.0)</f>
        <v>2718</v>
      </c>
    </row>
    <row r="41">
      <c r="A41" s="1">
        <v>2025.0</v>
      </c>
      <c r="B41" s="1" t="s">
        <v>319</v>
      </c>
      <c r="C41" s="1">
        <v>607481.0</v>
      </c>
      <c r="D41" s="1" t="s">
        <v>541</v>
      </c>
      <c r="E41" s="1" t="s">
        <v>926</v>
      </c>
      <c r="F41" s="1" t="s">
        <v>926</v>
      </c>
      <c r="G41" s="1">
        <v>96.0</v>
      </c>
      <c r="H41" s="1">
        <v>5.596566524</v>
      </c>
      <c r="I41" s="1">
        <v>5.0</v>
      </c>
      <c r="J41" s="1">
        <v>2.01061</v>
      </c>
      <c r="L41" s="10">
        <f>IFERROR(__xludf.DUMMYFUNCTION("""COMPUTED_VALUE"""),669467.0)</f>
        <v>669467</v>
      </c>
      <c r="M41" s="10">
        <f>IFERROR(__xludf.DUMMYFUNCTION("""COMPUTED_VALUE"""),2718.0)</f>
        <v>2718</v>
      </c>
    </row>
    <row r="42">
      <c r="A42" s="1">
        <v>2025.0</v>
      </c>
      <c r="B42" s="1" t="s">
        <v>319</v>
      </c>
      <c r="C42" s="1">
        <v>607481.0</v>
      </c>
      <c r="D42" s="1" t="s">
        <v>537</v>
      </c>
      <c r="E42" s="1" t="s">
        <v>926</v>
      </c>
      <c r="F42" s="1" t="s">
        <v>926</v>
      </c>
      <c r="G42" s="1">
        <v>12.0</v>
      </c>
      <c r="H42" s="1">
        <v>0.699570815</v>
      </c>
      <c r="I42" s="1">
        <v>5.03</v>
      </c>
      <c r="J42" s="1">
        <v>0.237066</v>
      </c>
      <c r="L42" s="10">
        <f>IFERROR(__xludf.DUMMYFUNCTION("""COMPUTED_VALUE"""),543243.0)</f>
        <v>543243</v>
      </c>
      <c r="M42" s="10">
        <f>IFERROR(__xludf.DUMMYFUNCTION("""COMPUTED_VALUE"""),2716.0)</f>
        <v>2716</v>
      </c>
    </row>
    <row r="43">
      <c r="A43" s="1">
        <v>2025.0</v>
      </c>
      <c r="B43" s="1" t="s">
        <v>319</v>
      </c>
      <c r="C43" s="1">
        <v>607481.0</v>
      </c>
      <c r="D43" s="1" t="s">
        <v>536</v>
      </c>
      <c r="E43" s="1" t="s">
        <v>926</v>
      </c>
      <c r="F43" s="1" t="s">
        <v>926</v>
      </c>
      <c r="G43" s="1">
        <v>214.0</v>
      </c>
      <c r="H43" s="1">
        <v>12.47567954</v>
      </c>
      <c r="I43" s="1">
        <v>5.25</v>
      </c>
      <c r="J43" s="1">
        <v>3.635412</v>
      </c>
      <c r="L43" s="10">
        <f>IFERROR(__xludf.DUMMYFUNCTION("""COMPUTED_VALUE"""),693433.0)</f>
        <v>693433</v>
      </c>
      <c r="M43" s="10">
        <f>IFERROR(__xludf.DUMMYFUNCTION("""COMPUTED_VALUE"""),2714.0)</f>
        <v>2714</v>
      </c>
    </row>
    <row r="44">
      <c r="A44" s="1">
        <v>2025.0</v>
      </c>
      <c r="B44" s="1" t="s">
        <v>319</v>
      </c>
      <c r="C44" s="1">
        <v>607481.0</v>
      </c>
      <c r="D44" s="1" t="s">
        <v>539</v>
      </c>
      <c r="E44" s="1" t="s">
        <v>926</v>
      </c>
      <c r="F44" s="1" t="s">
        <v>926</v>
      </c>
      <c r="G44" s="1">
        <v>113.0</v>
      </c>
      <c r="H44" s="1">
        <v>6.587625179</v>
      </c>
      <c r="I44" s="1">
        <v>4.96</v>
      </c>
      <c r="J44" s="1">
        <v>2.506998</v>
      </c>
      <c r="L44" s="10">
        <f>IFERROR(__xludf.DUMMYFUNCTION("""COMPUTED_VALUE"""),671106.0)</f>
        <v>671106</v>
      </c>
      <c r="M44" s="10">
        <f>IFERROR(__xludf.DUMMYFUNCTION("""COMPUTED_VALUE"""),2706.0)</f>
        <v>2706</v>
      </c>
    </row>
    <row r="45">
      <c r="A45" s="1">
        <v>2025.0</v>
      </c>
      <c r="B45" s="1" t="s">
        <v>319</v>
      </c>
      <c r="C45" s="1">
        <v>607481.0</v>
      </c>
      <c r="D45" s="1" t="s">
        <v>541</v>
      </c>
      <c r="E45" s="1" t="s">
        <v>926</v>
      </c>
      <c r="F45" s="1" t="s">
        <v>927</v>
      </c>
      <c r="G45" s="1">
        <v>228.0</v>
      </c>
      <c r="H45" s="1">
        <v>13.29184549</v>
      </c>
      <c r="I45" s="1">
        <v>5.02</v>
      </c>
      <c r="J45" s="1">
        <v>4.952375</v>
      </c>
      <c r="L45" s="10">
        <f>IFERROR(__xludf.DUMMYFUNCTION("""COMPUTED_VALUE"""),680730.0)</f>
        <v>680730</v>
      </c>
      <c r="M45" s="10">
        <f>IFERROR(__xludf.DUMMYFUNCTION("""COMPUTED_VALUE"""),2704.0)</f>
        <v>2704</v>
      </c>
    </row>
    <row r="46">
      <c r="A46" s="1">
        <v>2025.0</v>
      </c>
      <c r="B46" s="1" t="s">
        <v>319</v>
      </c>
      <c r="C46" s="1">
        <v>607481.0</v>
      </c>
      <c r="D46" s="1" t="s">
        <v>537</v>
      </c>
      <c r="E46" s="1" t="s">
        <v>926</v>
      </c>
      <c r="F46" s="1" t="s">
        <v>927</v>
      </c>
      <c r="G46" s="1">
        <v>105.0</v>
      </c>
      <c r="H46" s="1">
        <v>6.121244635</v>
      </c>
      <c r="I46" s="1">
        <v>4.8</v>
      </c>
      <c r="J46" s="1">
        <v>2.77504</v>
      </c>
      <c r="L46" s="10">
        <f>IFERROR(__xludf.DUMMYFUNCTION("""COMPUTED_VALUE"""),686752.0)</f>
        <v>686752</v>
      </c>
      <c r="M46" s="10">
        <f>IFERROR(__xludf.DUMMYFUNCTION("""COMPUTED_VALUE"""),2699.0)</f>
        <v>2699</v>
      </c>
    </row>
    <row r="47">
      <c r="A47" s="1">
        <v>2025.0</v>
      </c>
      <c r="B47" s="1" t="s">
        <v>319</v>
      </c>
      <c r="C47" s="1">
        <v>607481.0</v>
      </c>
      <c r="D47" s="1" t="s">
        <v>536</v>
      </c>
      <c r="E47" s="1" t="s">
        <v>926</v>
      </c>
      <c r="F47" s="1" t="s">
        <v>927</v>
      </c>
      <c r="G47" s="1">
        <v>110.0</v>
      </c>
      <c r="H47" s="1">
        <v>6.412732475</v>
      </c>
      <c r="I47" s="1">
        <v>4.84</v>
      </c>
      <c r="J47" s="1">
        <v>2.8384</v>
      </c>
      <c r="L47" s="10">
        <f>IFERROR(__xludf.DUMMYFUNCTION("""COMPUTED_VALUE"""),656849.0)</f>
        <v>656849</v>
      </c>
      <c r="M47" s="10">
        <f>IFERROR(__xludf.DUMMYFUNCTION("""COMPUTED_VALUE"""),2697.0)</f>
        <v>2697</v>
      </c>
    </row>
    <row r="48">
      <c r="A48" s="1">
        <v>2025.0</v>
      </c>
      <c r="B48" s="1" t="s">
        <v>319</v>
      </c>
      <c r="C48" s="1">
        <v>607481.0</v>
      </c>
      <c r="D48" s="1" t="s">
        <v>539</v>
      </c>
      <c r="E48" s="1" t="s">
        <v>926</v>
      </c>
      <c r="F48" s="1" t="s">
        <v>927</v>
      </c>
      <c r="G48" s="1">
        <v>54.0</v>
      </c>
      <c r="H48" s="1">
        <v>3.14806867</v>
      </c>
      <c r="I48" s="1">
        <v>4.69</v>
      </c>
      <c r="J48" s="1">
        <v>1.439543</v>
      </c>
      <c r="L48" s="10">
        <f>IFERROR(__xludf.DUMMYFUNCTION("""COMPUTED_VALUE"""),678394.0)</f>
        <v>678394</v>
      </c>
      <c r="M48" s="10">
        <f>IFERROR(__xludf.DUMMYFUNCTION("""COMPUTED_VALUE"""),2697.0)</f>
        <v>2697</v>
      </c>
    </row>
    <row r="49">
      <c r="A49" s="1">
        <v>2025.0</v>
      </c>
      <c r="B49" s="1" t="s">
        <v>491</v>
      </c>
      <c r="C49" s="1">
        <v>650644.0</v>
      </c>
      <c r="D49" s="1" t="s">
        <v>541</v>
      </c>
      <c r="E49" s="1" t="s">
        <v>927</v>
      </c>
      <c r="F49" s="1" t="s">
        <v>926</v>
      </c>
      <c r="G49" s="1">
        <v>178.0</v>
      </c>
      <c r="H49" s="1">
        <v>10.40458453</v>
      </c>
      <c r="I49" s="1">
        <v>5.37</v>
      </c>
      <c r="J49" s="1">
        <v>2.51074</v>
      </c>
      <c r="L49" s="10">
        <f>IFERROR(__xludf.DUMMYFUNCTION("""COMPUTED_VALUE"""),665152.0)</f>
        <v>665152</v>
      </c>
      <c r="M49" s="10">
        <f>IFERROR(__xludf.DUMMYFUNCTION("""COMPUTED_VALUE"""),2692.0)</f>
        <v>2692</v>
      </c>
    </row>
    <row r="50">
      <c r="A50" s="1">
        <v>2025.0</v>
      </c>
      <c r="B50" s="1" t="s">
        <v>491</v>
      </c>
      <c r="C50" s="1">
        <v>650644.0</v>
      </c>
      <c r="D50" s="1" t="s">
        <v>540</v>
      </c>
      <c r="E50" s="1" t="s">
        <v>927</v>
      </c>
      <c r="F50" s="1" t="s">
        <v>926</v>
      </c>
      <c r="G50" s="1">
        <v>331.0</v>
      </c>
      <c r="H50" s="1">
        <v>19.347851</v>
      </c>
      <c r="I50" s="1">
        <v>4.67</v>
      </c>
      <c r="J50" s="1">
        <v>9.598344</v>
      </c>
      <c r="L50" s="10">
        <f>IFERROR(__xludf.DUMMYFUNCTION("""COMPUTED_VALUE"""),671096.0)</f>
        <v>671096</v>
      </c>
      <c r="M50" s="10">
        <f>IFERROR(__xludf.DUMMYFUNCTION("""COMPUTED_VALUE"""),2676.0)</f>
        <v>2676</v>
      </c>
    </row>
    <row r="51">
      <c r="A51" s="1">
        <v>2025.0</v>
      </c>
      <c r="B51" s="1" t="s">
        <v>491</v>
      </c>
      <c r="C51" s="1">
        <v>650644.0</v>
      </c>
      <c r="D51" s="1" t="s">
        <v>537</v>
      </c>
      <c r="E51" s="1" t="s">
        <v>927</v>
      </c>
      <c r="F51" s="1" t="s">
        <v>926</v>
      </c>
      <c r="G51" s="1">
        <v>168.0</v>
      </c>
      <c r="H51" s="1">
        <v>9.820057307</v>
      </c>
      <c r="I51" s="1">
        <v>4.78</v>
      </c>
      <c r="J51" s="1">
        <v>4.607343</v>
      </c>
      <c r="L51" s="10">
        <f>IFERROR(__xludf.DUMMYFUNCTION("""COMPUTED_VALUE"""),608379.0)</f>
        <v>608379</v>
      </c>
      <c r="M51" s="10">
        <f>IFERROR(__xludf.DUMMYFUNCTION("""COMPUTED_VALUE"""),2663.0)</f>
        <v>2663</v>
      </c>
    </row>
    <row r="52">
      <c r="A52" s="1">
        <v>2025.0</v>
      </c>
      <c r="B52" s="1" t="s">
        <v>491</v>
      </c>
      <c r="C52" s="1">
        <v>650644.0</v>
      </c>
      <c r="D52" s="1" t="s">
        <v>538</v>
      </c>
      <c r="E52" s="1" t="s">
        <v>927</v>
      </c>
      <c r="F52" s="1" t="s">
        <v>926</v>
      </c>
      <c r="G52" s="1">
        <v>91.0</v>
      </c>
      <c r="H52" s="1">
        <v>5.319197708</v>
      </c>
      <c r="I52" s="1">
        <v>4.92</v>
      </c>
      <c r="J52" s="1">
        <v>2.158635</v>
      </c>
      <c r="L52" s="10">
        <f>IFERROR(__xludf.DUMMYFUNCTION("""COMPUTED_VALUE"""),594798.0)</f>
        <v>594798</v>
      </c>
      <c r="M52" s="10">
        <f>IFERROR(__xludf.DUMMYFUNCTION("""COMPUTED_VALUE"""),2612.0)</f>
        <v>2612</v>
      </c>
    </row>
    <row r="53">
      <c r="A53" s="1">
        <v>2025.0</v>
      </c>
      <c r="B53" s="1" t="s">
        <v>491</v>
      </c>
      <c r="C53" s="1">
        <v>650644.0</v>
      </c>
      <c r="D53" s="1" t="s">
        <v>536</v>
      </c>
      <c r="E53" s="1" t="s">
        <v>927</v>
      </c>
      <c r="F53" s="1" t="s">
        <v>926</v>
      </c>
      <c r="G53" s="1">
        <v>128.0</v>
      </c>
      <c r="H53" s="1">
        <v>7.481948424</v>
      </c>
      <c r="I53" s="1">
        <v>4.4</v>
      </c>
      <c r="J53" s="1">
        <v>4.415177</v>
      </c>
      <c r="L53" s="10">
        <f>IFERROR(__xludf.DUMMYFUNCTION("""COMPUTED_VALUE"""),434378.0)</f>
        <v>434378</v>
      </c>
      <c r="M53" s="10">
        <f>IFERROR(__xludf.DUMMYFUNCTION("""COMPUTED_VALUE"""),2608.0)</f>
        <v>2608</v>
      </c>
    </row>
    <row r="54">
      <c r="A54" s="1">
        <v>2025.0</v>
      </c>
      <c r="B54" s="1" t="s">
        <v>491</v>
      </c>
      <c r="C54" s="1">
        <v>650644.0</v>
      </c>
      <c r="D54" s="1" t="s">
        <v>533</v>
      </c>
      <c r="E54" s="1" t="s">
        <v>927</v>
      </c>
      <c r="F54" s="1" t="s">
        <v>926</v>
      </c>
      <c r="G54" s="1">
        <v>22.0</v>
      </c>
      <c r="H54" s="1">
        <v>1.285959885</v>
      </c>
      <c r="I54" s="1">
        <v>5.41</v>
      </c>
      <c r="J54" s="1">
        <v>0.297422</v>
      </c>
      <c r="L54" s="10">
        <f>IFERROR(__xludf.DUMMYFUNCTION("""COMPUTED_VALUE"""),571578.0)</f>
        <v>571578</v>
      </c>
      <c r="M54" s="10">
        <f>IFERROR(__xludf.DUMMYFUNCTION("""COMPUTED_VALUE"""),2588.0)</f>
        <v>2588</v>
      </c>
    </row>
    <row r="55">
      <c r="A55" s="1">
        <v>2025.0</v>
      </c>
      <c r="B55" s="1" t="s">
        <v>491</v>
      </c>
      <c r="C55" s="1">
        <v>650644.0</v>
      </c>
      <c r="D55" s="1" t="s">
        <v>539</v>
      </c>
      <c r="E55" s="1" t="s">
        <v>927</v>
      </c>
      <c r="F55" s="1" t="s">
        <v>926</v>
      </c>
      <c r="G55" s="1">
        <v>3.0</v>
      </c>
      <c r="H55" s="1">
        <v>0.175358166</v>
      </c>
      <c r="I55" s="1">
        <v>5.53</v>
      </c>
      <c r="J55" s="1">
        <v>0.034346</v>
      </c>
      <c r="L55" s="10">
        <f>IFERROR(__xludf.DUMMYFUNCTION("""COMPUTED_VALUE"""),593958.0)</f>
        <v>593958</v>
      </c>
      <c r="M55" s="10">
        <f>IFERROR(__xludf.DUMMYFUNCTION("""COMPUTED_VALUE"""),2585.0)</f>
        <v>2585</v>
      </c>
    </row>
    <row r="56">
      <c r="A56" s="1">
        <v>2025.0</v>
      </c>
      <c r="B56" s="1" t="s">
        <v>491</v>
      </c>
      <c r="C56" s="1">
        <v>650644.0</v>
      </c>
      <c r="D56" s="1" t="s">
        <v>541</v>
      </c>
      <c r="E56" s="1" t="s">
        <v>927</v>
      </c>
      <c r="F56" s="1" t="s">
        <v>927</v>
      </c>
      <c r="G56" s="1">
        <v>151.0</v>
      </c>
      <c r="H56" s="1">
        <v>8.826361032</v>
      </c>
      <c r="I56" s="1">
        <v>5.01</v>
      </c>
      <c r="J56" s="1">
        <v>3.253794</v>
      </c>
      <c r="L56" s="10">
        <f>IFERROR(__xludf.DUMMYFUNCTION("""COMPUTED_VALUE"""),621244.0)</f>
        <v>621244</v>
      </c>
      <c r="M56" s="10">
        <f>IFERROR(__xludf.DUMMYFUNCTION("""COMPUTED_VALUE"""),2584.0)</f>
        <v>2584</v>
      </c>
    </row>
    <row r="57">
      <c r="A57" s="1">
        <v>2025.0</v>
      </c>
      <c r="B57" s="1" t="s">
        <v>491</v>
      </c>
      <c r="C57" s="1">
        <v>650644.0</v>
      </c>
      <c r="D57" s="1" t="s">
        <v>540</v>
      </c>
      <c r="E57" s="1" t="s">
        <v>927</v>
      </c>
      <c r="F57" s="1" t="s">
        <v>927</v>
      </c>
      <c r="G57" s="1">
        <v>280.0</v>
      </c>
      <c r="H57" s="1">
        <v>16.36676218</v>
      </c>
      <c r="I57" s="1">
        <v>4.92</v>
      </c>
      <c r="J57" s="1">
        <v>6.824939</v>
      </c>
      <c r="L57" s="10">
        <f>IFERROR(__xludf.DUMMYFUNCTION("""COMPUTED_VALUE"""),683004.0)</f>
        <v>683004</v>
      </c>
      <c r="M57" s="10">
        <f>IFERROR(__xludf.DUMMYFUNCTION("""COMPUTED_VALUE"""),2584.0)</f>
        <v>2584</v>
      </c>
    </row>
    <row r="58">
      <c r="A58" s="1">
        <v>2025.0</v>
      </c>
      <c r="B58" s="1" t="s">
        <v>491</v>
      </c>
      <c r="C58" s="1">
        <v>650644.0</v>
      </c>
      <c r="D58" s="1" t="s">
        <v>537</v>
      </c>
      <c r="E58" s="1" t="s">
        <v>927</v>
      </c>
      <c r="F58" s="1" t="s">
        <v>927</v>
      </c>
      <c r="G58" s="1">
        <v>103.0</v>
      </c>
      <c r="H58" s="1">
        <v>6.020630372</v>
      </c>
      <c r="I58" s="1">
        <v>4.37</v>
      </c>
      <c r="J58" s="1">
        <v>3.597624</v>
      </c>
      <c r="L58" s="10">
        <f>IFERROR(__xludf.DUMMYFUNCTION("""COMPUTED_VALUE"""),607259.0)</f>
        <v>607259</v>
      </c>
      <c r="M58" s="10">
        <f>IFERROR(__xludf.DUMMYFUNCTION("""COMPUTED_VALUE"""),2578.0)</f>
        <v>2578</v>
      </c>
    </row>
    <row r="59">
      <c r="A59" s="1">
        <v>2025.0</v>
      </c>
      <c r="B59" s="1" t="s">
        <v>491</v>
      </c>
      <c r="C59" s="1">
        <v>650644.0</v>
      </c>
      <c r="D59" s="1" t="s">
        <v>538</v>
      </c>
      <c r="E59" s="1" t="s">
        <v>927</v>
      </c>
      <c r="F59" s="1" t="s">
        <v>927</v>
      </c>
      <c r="G59" s="1">
        <v>10.0</v>
      </c>
      <c r="H59" s="1">
        <v>0.584527221</v>
      </c>
      <c r="I59" s="1">
        <v>4.18</v>
      </c>
      <c r="J59" s="1">
        <v>0.404939</v>
      </c>
      <c r="L59" s="10">
        <f>IFERROR(__xludf.DUMMYFUNCTION("""COMPUTED_VALUE"""),543294.0)</f>
        <v>543294</v>
      </c>
      <c r="M59" s="10">
        <f>IFERROR(__xludf.DUMMYFUNCTION("""COMPUTED_VALUE"""),2573.0)</f>
        <v>2573</v>
      </c>
    </row>
    <row r="60">
      <c r="A60" s="1">
        <v>2025.0</v>
      </c>
      <c r="B60" s="1" t="s">
        <v>491</v>
      </c>
      <c r="C60" s="1">
        <v>650644.0</v>
      </c>
      <c r="D60" s="1" t="s">
        <v>536</v>
      </c>
      <c r="E60" s="1" t="s">
        <v>927</v>
      </c>
      <c r="F60" s="1" t="s">
        <v>927</v>
      </c>
      <c r="G60" s="1">
        <v>164.0</v>
      </c>
      <c r="H60" s="1">
        <v>9.586246418</v>
      </c>
      <c r="I60" s="1">
        <v>4.58</v>
      </c>
      <c r="J60" s="1">
        <v>5.150177</v>
      </c>
      <c r="L60" s="10">
        <f>IFERROR(__xludf.DUMMYFUNCTION("""COMPUTED_VALUE"""),608372.0)</f>
        <v>608372</v>
      </c>
      <c r="M60" s="10">
        <f>IFERROR(__xludf.DUMMYFUNCTION("""COMPUTED_VALUE"""),2565.0)</f>
        <v>2565</v>
      </c>
    </row>
    <row r="61">
      <c r="A61" s="1">
        <v>2025.0</v>
      </c>
      <c r="B61" s="1" t="s">
        <v>491</v>
      </c>
      <c r="C61" s="1">
        <v>650644.0</v>
      </c>
      <c r="D61" s="1" t="s">
        <v>533</v>
      </c>
      <c r="E61" s="1" t="s">
        <v>927</v>
      </c>
      <c r="F61" s="1" t="s">
        <v>927</v>
      </c>
      <c r="G61" s="1">
        <v>107.0</v>
      </c>
      <c r="H61" s="1">
        <v>6.254441261</v>
      </c>
      <c r="I61" s="1">
        <v>5.25</v>
      </c>
      <c r="J61" s="1">
        <v>1.84072</v>
      </c>
      <c r="L61" s="10">
        <f>IFERROR(__xludf.DUMMYFUNCTION("""COMPUTED_VALUE"""),663978.0)</f>
        <v>663978</v>
      </c>
      <c r="M61" s="10">
        <f>IFERROR(__xludf.DUMMYFUNCTION("""COMPUTED_VALUE"""),2563.0)</f>
        <v>2563</v>
      </c>
    </row>
    <row r="62">
      <c r="A62" s="1">
        <v>2025.0</v>
      </c>
      <c r="B62" s="1" t="s">
        <v>491</v>
      </c>
      <c r="C62" s="1">
        <v>650644.0</v>
      </c>
      <c r="D62" s="1" t="s">
        <v>539</v>
      </c>
      <c r="E62" s="1" t="s">
        <v>927</v>
      </c>
      <c r="F62" s="1" t="s">
        <v>927</v>
      </c>
      <c r="G62" s="1">
        <v>9.0</v>
      </c>
      <c r="H62" s="1">
        <v>0.526074499</v>
      </c>
      <c r="I62" s="1">
        <v>5.94</v>
      </c>
      <c r="J62" s="1">
        <v>0.013673</v>
      </c>
      <c r="L62" s="10">
        <f>IFERROR(__xludf.DUMMYFUNCTION("""COMPUTED_VALUE"""),450203.0)</f>
        <v>450203</v>
      </c>
      <c r="M62" s="10">
        <f>IFERROR(__xludf.DUMMYFUNCTION("""COMPUTED_VALUE"""),2542.0)</f>
        <v>2542</v>
      </c>
    </row>
    <row r="63">
      <c r="A63" s="1">
        <v>2025.0</v>
      </c>
      <c r="B63" s="1" t="s">
        <v>98</v>
      </c>
      <c r="C63" s="1">
        <v>605400.0</v>
      </c>
      <c r="D63" s="1" t="s">
        <v>532</v>
      </c>
      <c r="E63" s="1" t="s">
        <v>927</v>
      </c>
      <c r="F63" s="1" t="s">
        <v>926</v>
      </c>
      <c r="G63" s="1">
        <v>191.0</v>
      </c>
      <c r="H63" s="1">
        <v>11.49819187</v>
      </c>
      <c r="I63" s="1">
        <v>4.97</v>
      </c>
      <c r="J63" s="1">
        <v>4.212729</v>
      </c>
      <c r="L63" s="10">
        <f>IFERROR(__xludf.DUMMYFUNCTION("""COMPUTED_VALUE"""),607067.0)</f>
        <v>607067</v>
      </c>
      <c r="M63" s="10">
        <f>IFERROR(__xludf.DUMMYFUNCTION("""COMPUTED_VALUE"""),2533.0)</f>
        <v>2533</v>
      </c>
    </row>
    <row r="64">
      <c r="A64" s="1">
        <v>2025.0</v>
      </c>
      <c r="B64" s="1" t="s">
        <v>98</v>
      </c>
      <c r="C64" s="1">
        <v>605400.0</v>
      </c>
      <c r="D64" s="1" t="s">
        <v>541</v>
      </c>
      <c r="E64" s="1" t="s">
        <v>927</v>
      </c>
      <c r="F64" s="1" t="s">
        <v>926</v>
      </c>
      <c r="G64" s="1">
        <v>292.0</v>
      </c>
      <c r="H64" s="1">
        <v>17.57838758</v>
      </c>
      <c r="I64" s="1">
        <v>5.39</v>
      </c>
      <c r="J64" s="1">
        <v>3.995724</v>
      </c>
      <c r="L64" s="10">
        <f>IFERROR(__xludf.DUMMYFUNCTION("""COMPUTED_VALUE"""),693821.0)</f>
        <v>693821</v>
      </c>
      <c r="M64" s="10">
        <f>IFERROR(__xludf.DUMMYFUNCTION("""COMPUTED_VALUE"""),2508.0)</f>
        <v>2508</v>
      </c>
    </row>
    <row r="65">
      <c r="A65" s="1">
        <v>2025.0</v>
      </c>
      <c r="B65" s="1" t="s">
        <v>98</v>
      </c>
      <c r="C65" s="1">
        <v>605400.0</v>
      </c>
      <c r="D65" s="1" t="s">
        <v>540</v>
      </c>
      <c r="E65" s="1" t="s">
        <v>927</v>
      </c>
      <c r="F65" s="1" t="s">
        <v>926</v>
      </c>
      <c r="G65" s="1">
        <v>64.0</v>
      </c>
      <c r="H65" s="1">
        <v>3.852797277</v>
      </c>
      <c r="I65" s="1">
        <v>5.22</v>
      </c>
      <c r="J65" s="1">
        <v>1.128345</v>
      </c>
      <c r="L65" s="10">
        <f>IFERROR(__xludf.DUMMYFUNCTION("""COMPUTED_VALUE"""),571945.0)</f>
        <v>571945</v>
      </c>
      <c r="M65" s="10">
        <f>IFERROR(__xludf.DUMMYFUNCTION("""COMPUTED_VALUE"""),2483.0)</f>
        <v>2483</v>
      </c>
    </row>
    <row r="66">
      <c r="A66" s="1">
        <v>2025.0</v>
      </c>
      <c r="B66" s="1" t="s">
        <v>98</v>
      </c>
      <c r="C66" s="1">
        <v>605400.0</v>
      </c>
      <c r="D66" s="1" t="s">
        <v>537</v>
      </c>
      <c r="E66" s="1" t="s">
        <v>927</v>
      </c>
      <c r="F66" s="1" t="s">
        <v>926</v>
      </c>
      <c r="G66" s="1">
        <v>353.0</v>
      </c>
      <c r="H66" s="1">
        <v>21.25058498</v>
      </c>
      <c r="I66" s="1">
        <v>5.21</v>
      </c>
      <c r="J66" s="1">
        <v>6.362877</v>
      </c>
      <c r="L66" s="10">
        <f>IFERROR(__xludf.DUMMYFUNCTION("""COMPUTED_VALUE"""),607536.0)</f>
        <v>607536</v>
      </c>
      <c r="M66" s="10">
        <f>IFERROR(__xludf.DUMMYFUNCTION("""COMPUTED_VALUE"""),2481.0)</f>
        <v>2481</v>
      </c>
    </row>
    <row r="67">
      <c r="A67" s="1">
        <v>2025.0</v>
      </c>
      <c r="B67" s="1" t="s">
        <v>98</v>
      </c>
      <c r="C67" s="1">
        <v>605400.0</v>
      </c>
      <c r="D67" s="1" t="s">
        <v>536</v>
      </c>
      <c r="E67" s="1" t="s">
        <v>927</v>
      </c>
      <c r="F67" s="1" t="s">
        <v>926</v>
      </c>
      <c r="G67" s="1">
        <v>122.0</v>
      </c>
      <c r="H67" s="1">
        <v>7.34439481</v>
      </c>
      <c r="I67" s="1">
        <v>5.25</v>
      </c>
      <c r="J67" s="1">
        <v>1.867929</v>
      </c>
      <c r="L67" s="10">
        <f>IFERROR(__xludf.DUMMYFUNCTION("""COMPUTED_VALUE"""),666157.0)</f>
        <v>666157</v>
      </c>
      <c r="M67" s="10">
        <f>IFERROR(__xludf.DUMMYFUNCTION("""COMPUTED_VALUE"""),2477.0)</f>
        <v>2477</v>
      </c>
    </row>
    <row r="68">
      <c r="A68" s="1">
        <v>2025.0</v>
      </c>
      <c r="B68" s="1" t="s">
        <v>98</v>
      </c>
      <c r="C68" s="1">
        <v>605400.0</v>
      </c>
      <c r="D68" s="1" t="s">
        <v>532</v>
      </c>
      <c r="E68" s="1" t="s">
        <v>927</v>
      </c>
      <c r="F68" s="1" t="s">
        <v>927</v>
      </c>
      <c r="G68" s="1">
        <v>49.0</v>
      </c>
      <c r="H68" s="1">
        <v>2.949797915</v>
      </c>
      <c r="I68" s="1">
        <v>5.41</v>
      </c>
      <c r="J68" s="1">
        <v>0.678887</v>
      </c>
      <c r="L68" s="10">
        <f>IFERROR(__xludf.DUMMYFUNCTION("""COMPUTED_VALUE"""),682990.0)</f>
        <v>682990</v>
      </c>
      <c r="M68" s="10">
        <f>IFERROR(__xludf.DUMMYFUNCTION("""COMPUTED_VALUE"""),2468.0)</f>
        <v>2468</v>
      </c>
    </row>
    <row r="69">
      <c r="A69" s="1">
        <v>2025.0</v>
      </c>
      <c r="B69" s="1" t="s">
        <v>98</v>
      </c>
      <c r="C69" s="1">
        <v>605400.0</v>
      </c>
      <c r="D69" s="1" t="s">
        <v>541</v>
      </c>
      <c r="E69" s="1" t="s">
        <v>927</v>
      </c>
      <c r="F69" s="1" t="s">
        <v>927</v>
      </c>
      <c r="G69" s="1">
        <v>165.0</v>
      </c>
      <c r="H69" s="1">
        <v>9.93299298</v>
      </c>
      <c r="I69" s="1">
        <v>5.44</v>
      </c>
      <c r="J69" s="1">
        <v>2.092456</v>
      </c>
      <c r="L69" s="10">
        <f>IFERROR(__xludf.DUMMYFUNCTION("""COMPUTED_VALUE"""),669194.0)</f>
        <v>669194</v>
      </c>
      <c r="M69" s="10">
        <f>IFERROR(__xludf.DUMMYFUNCTION("""COMPUTED_VALUE"""),2464.0)</f>
        <v>2464</v>
      </c>
    </row>
    <row r="70">
      <c r="A70" s="1">
        <v>2025.0</v>
      </c>
      <c r="B70" s="1" t="s">
        <v>98</v>
      </c>
      <c r="C70" s="1">
        <v>605400.0</v>
      </c>
      <c r="D70" s="1" t="s">
        <v>540</v>
      </c>
      <c r="E70" s="1" t="s">
        <v>927</v>
      </c>
      <c r="F70" s="1" t="s">
        <v>927</v>
      </c>
      <c r="G70" s="1">
        <v>51.0</v>
      </c>
      <c r="H70" s="1">
        <v>3.07019783</v>
      </c>
      <c r="I70" s="1">
        <v>4.83</v>
      </c>
      <c r="J70" s="1">
        <v>1.244453</v>
      </c>
      <c r="L70" s="10">
        <f>IFERROR(__xludf.DUMMYFUNCTION("""COMPUTED_VALUE"""),624133.0)</f>
        <v>624133</v>
      </c>
      <c r="M70" s="10">
        <f>IFERROR(__xludf.DUMMYFUNCTION("""COMPUTED_VALUE"""),2430.0)</f>
        <v>2430</v>
      </c>
    </row>
    <row r="71">
      <c r="A71" s="1">
        <v>2025.0</v>
      </c>
      <c r="B71" s="1" t="s">
        <v>98</v>
      </c>
      <c r="C71" s="1">
        <v>605400.0</v>
      </c>
      <c r="D71" s="1" t="s">
        <v>537</v>
      </c>
      <c r="E71" s="1" t="s">
        <v>927</v>
      </c>
      <c r="F71" s="1" t="s">
        <v>927</v>
      </c>
      <c r="G71" s="1">
        <v>122.0</v>
      </c>
      <c r="H71" s="1">
        <v>7.34439481</v>
      </c>
      <c r="I71" s="1">
        <v>5.31</v>
      </c>
      <c r="J71" s="1">
        <v>1.979464</v>
      </c>
      <c r="L71" s="10">
        <f>IFERROR(__xludf.DUMMYFUNCTION("""COMPUTED_VALUE"""),681343.0)</f>
        <v>681343</v>
      </c>
      <c r="M71" s="10">
        <f>IFERROR(__xludf.DUMMYFUNCTION("""COMPUTED_VALUE"""),2418.0)</f>
        <v>2418</v>
      </c>
    </row>
    <row r="72">
      <c r="A72" s="1">
        <v>2025.0</v>
      </c>
      <c r="B72" s="1" t="s">
        <v>98</v>
      </c>
      <c r="C72" s="1">
        <v>605400.0</v>
      </c>
      <c r="D72" s="1" t="s">
        <v>536</v>
      </c>
      <c r="E72" s="1" t="s">
        <v>927</v>
      </c>
      <c r="F72" s="1" t="s">
        <v>927</v>
      </c>
      <c r="G72" s="1">
        <v>158.0</v>
      </c>
      <c r="H72" s="1">
        <v>9.511593278</v>
      </c>
      <c r="I72" s="1">
        <v>4.95</v>
      </c>
      <c r="J72" s="1">
        <v>3.63395</v>
      </c>
      <c r="L72" s="10">
        <f>IFERROR(__xludf.DUMMYFUNCTION("""COMPUTED_VALUE"""),554430.0)</f>
        <v>554430</v>
      </c>
      <c r="M72" s="10">
        <f>IFERROR(__xludf.DUMMYFUNCTION("""COMPUTED_VALUE"""),2394.0)</f>
        <v>2394</v>
      </c>
    </row>
    <row r="73">
      <c r="A73" s="1">
        <v>2025.0</v>
      </c>
      <c r="B73" s="1" t="s">
        <v>279</v>
      </c>
      <c r="C73" s="1">
        <v>682842.0</v>
      </c>
      <c r="D73" s="1" t="s">
        <v>537</v>
      </c>
      <c r="E73" s="1" t="s">
        <v>927</v>
      </c>
      <c r="F73" s="1" t="s">
        <v>926</v>
      </c>
      <c r="G73" s="1">
        <v>23.0</v>
      </c>
      <c r="H73" s="1">
        <v>1.488545246</v>
      </c>
      <c r="I73" s="1">
        <v>4.33</v>
      </c>
      <c r="J73" s="1">
        <v>0.78705</v>
      </c>
      <c r="L73" s="10">
        <f>IFERROR(__xludf.DUMMYFUNCTION("""COMPUTED_VALUE"""),669461.0)</f>
        <v>669461</v>
      </c>
      <c r="M73" s="10">
        <f>IFERROR(__xludf.DUMMYFUNCTION("""COMPUTED_VALUE"""),2387.0)</f>
        <v>2387</v>
      </c>
    </row>
    <row r="74">
      <c r="A74" s="1">
        <v>2025.0</v>
      </c>
      <c r="B74" s="1" t="s">
        <v>279</v>
      </c>
      <c r="C74" s="1">
        <v>682842.0</v>
      </c>
      <c r="D74" s="1" t="s">
        <v>536</v>
      </c>
      <c r="E74" s="1" t="s">
        <v>927</v>
      </c>
      <c r="F74" s="1" t="s">
        <v>926</v>
      </c>
      <c r="G74" s="1">
        <v>283.0</v>
      </c>
      <c r="H74" s="1">
        <v>18.31557847</v>
      </c>
      <c r="I74" s="1">
        <v>4.41</v>
      </c>
      <c r="J74" s="1">
        <v>9.649373</v>
      </c>
      <c r="L74" s="10">
        <f>IFERROR(__xludf.DUMMYFUNCTION("""COMPUTED_VALUE"""),607625.0)</f>
        <v>607625</v>
      </c>
      <c r="M74" s="10">
        <f>IFERROR(__xludf.DUMMYFUNCTION("""COMPUTED_VALUE"""),2378.0)</f>
        <v>2378</v>
      </c>
    </row>
    <row r="75">
      <c r="A75" s="1">
        <v>2025.0</v>
      </c>
      <c r="B75" s="1" t="s">
        <v>279</v>
      </c>
      <c r="C75" s="1">
        <v>682842.0</v>
      </c>
      <c r="D75" s="1" t="s">
        <v>533</v>
      </c>
      <c r="E75" s="1" t="s">
        <v>927</v>
      </c>
      <c r="F75" s="1" t="s">
        <v>926</v>
      </c>
      <c r="G75" s="1">
        <v>213.0</v>
      </c>
      <c r="H75" s="1">
        <v>13.78522337</v>
      </c>
      <c r="I75" s="1">
        <v>4.84</v>
      </c>
      <c r="J75" s="1">
        <v>5.211962</v>
      </c>
      <c r="L75" s="10">
        <f>IFERROR(__xludf.DUMMYFUNCTION("""COMPUTED_VALUE"""),680732.0)</f>
        <v>680732</v>
      </c>
      <c r="M75" s="10">
        <f>IFERROR(__xludf.DUMMYFUNCTION("""COMPUTED_VALUE"""),2375.0)</f>
        <v>2375</v>
      </c>
    </row>
    <row r="76">
      <c r="A76" s="1">
        <v>2025.0</v>
      </c>
      <c r="B76" s="1" t="s">
        <v>279</v>
      </c>
      <c r="C76" s="1">
        <v>682842.0</v>
      </c>
      <c r="D76" s="1" t="s">
        <v>537</v>
      </c>
      <c r="E76" s="1" t="s">
        <v>927</v>
      </c>
      <c r="F76" s="1" t="s">
        <v>927</v>
      </c>
      <c r="G76" s="1">
        <v>10.0</v>
      </c>
      <c r="H76" s="1">
        <v>0.647193585</v>
      </c>
      <c r="I76" s="1">
        <v>5.46</v>
      </c>
      <c r="J76" s="1">
        <v>0.129487</v>
      </c>
      <c r="L76" s="10">
        <f>IFERROR(__xludf.DUMMYFUNCTION("""COMPUTED_VALUE"""),607200.0)</f>
        <v>607200</v>
      </c>
      <c r="M76" s="10">
        <f>IFERROR(__xludf.DUMMYFUNCTION("""COMPUTED_VALUE"""),2369.0)</f>
        <v>2369</v>
      </c>
    </row>
    <row r="77">
      <c r="A77" s="1">
        <v>2025.0</v>
      </c>
      <c r="B77" s="1" t="s">
        <v>279</v>
      </c>
      <c r="C77" s="1">
        <v>682842.0</v>
      </c>
      <c r="D77" s="1" t="s">
        <v>536</v>
      </c>
      <c r="E77" s="1" t="s">
        <v>927</v>
      </c>
      <c r="F77" s="1" t="s">
        <v>927</v>
      </c>
      <c r="G77" s="1">
        <v>312.0</v>
      </c>
      <c r="H77" s="1">
        <v>20.19243986</v>
      </c>
      <c r="I77" s="1">
        <v>5.11</v>
      </c>
      <c r="J77" s="1">
        <v>6.206337</v>
      </c>
      <c r="L77" s="10">
        <f>IFERROR(__xludf.DUMMYFUNCTION("""COMPUTED_VALUE"""),676664.0)</f>
        <v>676664</v>
      </c>
      <c r="M77" s="10">
        <f>IFERROR(__xludf.DUMMYFUNCTION("""COMPUTED_VALUE"""),2366.0)</f>
        <v>2366</v>
      </c>
    </row>
    <row r="78">
      <c r="A78" s="1">
        <v>2025.0</v>
      </c>
      <c r="B78" s="1" t="s">
        <v>279</v>
      </c>
      <c r="C78" s="1">
        <v>682842.0</v>
      </c>
      <c r="D78" s="1" t="s">
        <v>533</v>
      </c>
      <c r="E78" s="1" t="s">
        <v>927</v>
      </c>
      <c r="F78" s="1" t="s">
        <v>927</v>
      </c>
      <c r="G78" s="1">
        <v>323.0</v>
      </c>
      <c r="H78" s="1">
        <v>20.90435281</v>
      </c>
      <c r="I78" s="1">
        <v>5.28</v>
      </c>
      <c r="J78" s="1">
        <v>5.038721</v>
      </c>
      <c r="L78" s="10">
        <f>IFERROR(__xludf.DUMMYFUNCTION("""COMPUTED_VALUE"""),608337.0)</f>
        <v>608337</v>
      </c>
      <c r="M78" s="10">
        <f>IFERROR(__xludf.DUMMYFUNCTION("""COMPUTED_VALUE"""),2365.0)</f>
        <v>2365</v>
      </c>
    </row>
    <row r="79">
      <c r="A79" s="1">
        <v>2025.0</v>
      </c>
      <c r="B79" s="1" t="s">
        <v>838</v>
      </c>
      <c r="C79" s="1">
        <v>647351.0</v>
      </c>
      <c r="D79" s="1" t="s">
        <v>537</v>
      </c>
      <c r="E79" s="1" t="s">
        <v>927</v>
      </c>
      <c r="F79" s="1" t="s">
        <v>926</v>
      </c>
      <c r="G79" s="1">
        <v>1.0</v>
      </c>
      <c r="H79" s="1">
        <v>0.5</v>
      </c>
      <c r="I79" s="1">
        <v>0.54</v>
      </c>
      <c r="J79" s="1">
        <v>0.1094</v>
      </c>
      <c r="L79" s="10">
        <f>IFERROR(__xludf.DUMMYFUNCTION("""COMPUTED_VALUE"""),641927.0)</f>
        <v>641927</v>
      </c>
      <c r="M79" s="10">
        <f>IFERROR(__xludf.DUMMYFUNCTION("""COMPUTED_VALUE"""),2356.0)</f>
        <v>2356</v>
      </c>
    </row>
    <row r="80">
      <c r="A80" s="1">
        <v>2025.0</v>
      </c>
      <c r="B80" s="1" t="s">
        <v>838</v>
      </c>
      <c r="C80" s="1">
        <v>647351.0</v>
      </c>
      <c r="D80" s="1" t="s">
        <v>537</v>
      </c>
      <c r="E80" s="1" t="s">
        <v>927</v>
      </c>
      <c r="F80" s="1" t="s">
        <v>927</v>
      </c>
      <c r="G80" s="1">
        <v>1.0</v>
      </c>
      <c r="H80" s="1">
        <v>0.5</v>
      </c>
      <c r="I80" s="1">
        <v>3.27</v>
      </c>
      <c r="J80" s="1">
        <v>0.058561</v>
      </c>
      <c r="L80" s="10">
        <f>IFERROR(__xludf.DUMMYFUNCTION("""COMPUTED_VALUE"""),663554.0)</f>
        <v>663554</v>
      </c>
      <c r="M80" s="10">
        <f>IFERROR(__xludf.DUMMYFUNCTION("""COMPUTED_VALUE"""),2352.0)</f>
        <v>2352</v>
      </c>
    </row>
    <row r="81">
      <c r="A81" s="1">
        <v>2025.0</v>
      </c>
      <c r="B81" s="1" t="s">
        <v>590</v>
      </c>
      <c r="C81" s="1">
        <v>800049.0</v>
      </c>
      <c r="D81" s="1" t="s">
        <v>532</v>
      </c>
      <c r="E81" s="1" t="s">
        <v>927</v>
      </c>
      <c r="F81" s="1" t="s">
        <v>926</v>
      </c>
      <c r="G81" s="1">
        <v>35.0</v>
      </c>
      <c r="H81" s="1">
        <v>2.147239264</v>
      </c>
      <c r="I81" s="1">
        <v>4.49</v>
      </c>
      <c r="J81" s="1">
        <v>1.10494</v>
      </c>
      <c r="L81" s="10">
        <f>IFERROR(__xludf.DUMMYFUNCTION("""COMPUTED_VALUE"""),542881.0)</f>
        <v>542881</v>
      </c>
      <c r="M81" s="10">
        <f>IFERROR(__xludf.DUMMYFUNCTION("""COMPUTED_VALUE"""),2337.0)</f>
        <v>2337</v>
      </c>
    </row>
    <row r="82">
      <c r="A82" s="1">
        <v>2025.0</v>
      </c>
      <c r="B82" s="1" t="s">
        <v>590</v>
      </c>
      <c r="C82" s="1">
        <v>800049.0</v>
      </c>
      <c r="D82" s="1" t="s">
        <v>541</v>
      </c>
      <c r="E82" s="1" t="s">
        <v>927</v>
      </c>
      <c r="F82" s="1" t="s">
        <v>926</v>
      </c>
      <c r="G82" s="1">
        <v>38.0</v>
      </c>
      <c r="H82" s="1">
        <v>2.331288344</v>
      </c>
      <c r="I82" s="1">
        <v>4.77</v>
      </c>
      <c r="J82" s="1">
        <v>0.991954</v>
      </c>
      <c r="L82" s="10">
        <f>IFERROR(__xludf.DUMMYFUNCTION("""COMPUTED_VALUE"""),547179.0)</f>
        <v>547179</v>
      </c>
      <c r="M82" s="10">
        <f>IFERROR(__xludf.DUMMYFUNCTION("""COMPUTED_VALUE"""),2318.0)</f>
        <v>2318</v>
      </c>
    </row>
    <row r="83">
      <c r="A83" s="1">
        <v>2025.0</v>
      </c>
      <c r="B83" s="1" t="s">
        <v>590</v>
      </c>
      <c r="C83" s="1">
        <v>800049.0</v>
      </c>
      <c r="D83" s="1" t="s">
        <v>537</v>
      </c>
      <c r="E83" s="1" t="s">
        <v>927</v>
      </c>
      <c r="F83" s="1" t="s">
        <v>926</v>
      </c>
      <c r="G83" s="1">
        <v>69.0</v>
      </c>
      <c r="H83" s="1">
        <v>4.233128834</v>
      </c>
      <c r="I83" s="1">
        <v>5.04</v>
      </c>
      <c r="J83" s="1">
        <v>1.425449</v>
      </c>
      <c r="L83" s="10">
        <f>IFERROR(__xludf.DUMMYFUNCTION("""COMPUTED_VALUE"""),656876.0)</f>
        <v>656876</v>
      </c>
      <c r="M83" s="10">
        <f>IFERROR(__xludf.DUMMYFUNCTION("""COMPUTED_VALUE"""),2315.0)</f>
        <v>2315</v>
      </c>
    </row>
    <row r="84">
      <c r="A84" s="1">
        <v>2025.0</v>
      </c>
      <c r="B84" s="1" t="s">
        <v>590</v>
      </c>
      <c r="C84" s="1">
        <v>800049.0</v>
      </c>
      <c r="D84" s="1" t="s">
        <v>536</v>
      </c>
      <c r="E84" s="1" t="s">
        <v>927</v>
      </c>
      <c r="F84" s="1" t="s">
        <v>926</v>
      </c>
      <c r="G84" s="1">
        <v>32.0</v>
      </c>
      <c r="H84" s="1">
        <v>1.963190184</v>
      </c>
      <c r="I84" s="1">
        <v>4.82</v>
      </c>
      <c r="J84" s="1">
        <v>0.837959</v>
      </c>
      <c r="L84" s="10">
        <f>IFERROR(__xludf.DUMMYFUNCTION("""COMPUTED_VALUE"""),663436.0)</f>
        <v>663436</v>
      </c>
      <c r="M84" s="10">
        <f>IFERROR(__xludf.DUMMYFUNCTION("""COMPUTED_VALUE"""),2307.0)</f>
        <v>2307</v>
      </c>
    </row>
    <row r="85">
      <c r="A85" s="1">
        <v>2025.0</v>
      </c>
      <c r="B85" s="1" t="s">
        <v>590</v>
      </c>
      <c r="C85" s="1">
        <v>800049.0</v>
      </c>
      <c r="D85" s="1" t="s">
        <v>533</v>
      </c>
      <c r="E85" s="1" t="s">
        <v>927</v>
      </c>
      <c r="F85" s="1" t="s">
        <v>926</v>
      </c>
      <c r="G85" s="1">
        <v>90.0</v>
      </c>
      <c r="H85" s="1">
        <v>5.521472393</v>
      </c>
      <c r="I85" s="1">
        <v>5.14</v>
      </c>
      <c r="J85" s="1">
        <v>1.672016</v>
      </c>
      <c r="L85" s="10">
        <f>IFERROR(__xludf.DUMMYFUNCTION("""COMPUTED_VALUE"""),622608.0)</f>
        <v>622608</v>
      </c>
      <c r="M85" s="10">
        <f>IFERROR(__xludf.DUMMYFUNCTION("""COMPUTED_VALUE"""),2283.0)</f>
        <v>2283</v>
      </c>
    </row>
    <row r="86">
      <c r="A86" s="1">
        <v>2025.0</v>
      </c>
      <c r="B86" s="1" t="s">
        <v>590</v>
      </c>
      <c r="C86" s="1">
        <v>800049.0</v>
      </c>
      <c r="D86" s="1" t="s">
        <v>539</v>
      </c>
      <c r="E86" s="1" t="s">
        <v>927</v>
      </c>
      <c r="F86" s="1" t="s">
        <v>926</v>
      </c>
      <c r="G86" s="1">
        <v>9.0</v>
      </c>
      <c r="H86" s="1">
        <v>0.552147239</v>
      </c>
      <c r="I86" s="1">
        <v>4.97</v>
      </c>
      <c r="J86" s="1">
        <v>0.177438</v>
      </c>
      <c r="L86" s="10">
        <f>IFERROR(__xludf.DUMMYFUNCTION("""COMPUTED_VALUE"""),671737.0)</f>
        <v>671737</v>
      </c>
      <c r="M86" s="10">
        <f>IFERROR(__xludf.DUMMYFUNCTION("""COMPUTED_VALUE"""),2271.0)</f>
        <v>2271</v>
      </c>
    </row>
    <row r="87">
      <c r="A87" s="1">
        <v>2025.0</v>
      </c>
      <c r="B87" s="1" t="s">
        <v>590</v>
      </c>
      <c r="C87" s="1">
        <v>800049.0</v>
      </c>
      <c r="D87" s="1" t="s">
        <v>532</v>
      </c>
      <c r="E87" s="1" t="s">
        <v>927</v>
      </c>
      <c r="F87" s="1" t="s">
        <v>927</v>
      </c>
      <c r="G87" s="1">
        <v>6.0</v>
      </c>
      <c r="H87" s="1">
        <v>0.36809816</v>
      </c>
      <c r="I87" s="1">
        <v>3.39</v>
      </c>
      <c r="J87" s="1">
        <v>0.334653</v>
      </c>
      <c r="L87" s="10">
        <f>IFERROR(__xludf.DUMMYFUNCTION("""COMPUTED_VALUE"""),665795.0)</f>
        <v>665795</v>
      </c>
      <c r="M87" s="10">
        <f>IFERROR(__xludf.DUMMYFUNCTION("""COMPUTED_VALUE"""),2249.0)</f>
        <v>2249</v>
      </c>
    </row>
    <row r="88">
      <c r="A88" s="1">
        <v>2025.0</v>
      </c>
      <c r="B88" s="1" t="s">
        <v>590</v>
      </c>
      <c r="C88" s="1">
        <v>800049.0</v>
      </c>
      <c r="D88" s="1" t="s">
        <v>541</v>
      </c>
      <c r="E88" s="1" t="s">
        <v>927</v>
      </c>
      <c r="F88" s="1" t="s">
        <v>927</v>
      </c>
      <c r="G88" s="1">
        <v>15.0</v>
      </c>
      <c r="H88" s="1">
        <v>0.920245399</v>
      </c>
      <c r="I88" s="1">
        <v>4.89</v>
      </c>
      <c r="J88" s="1">
        <v>0.348433</v>
      </c>
      <c r="L88" s="10">
        <f>IFERROR(__xludf.DUMMYFUNCTION("""COMPUTED_VALUE"""),621111.0)</f>
        <v>621111</v>
      </c>
      <c r="M88" s="10">
        <f>IFERROR(__xludf.DUMMYFUNCTION("""COMPUTED_VALUE"""),2188.0)</f>
        <v>2188</v>
      </c>
    </row>
    <row r="89">
      <c r="A89" s="1">
        <v>2025.0</v>
      </c>
      <c r="B89" s="1" t="s">
        <v>590</v>
      </c>
      <c r="C89" s="1">
        <v>800049.0</v>
      </c>
      <c r="D89" s="1" t="s">
        <v>537</v>
      </c>
      <c r="E89" s="1" t="s">
        <v>927</v>
      </c>
      <c r="F89" s="1" t="s">
        <v>927</v>
      </c>
      <c r="G89" s="1">
        <v>47.0</v>
      </c>
      <c r="H89" s="1">
        <v>2.883435583</v>
      </c>
      <c r="I89" s="1">
        <v>5.19</v>
      </c>
      <c r="J89" s="1">
        <v>0.849827</v>
      </c>
      <c r="L89" s="10">
        <f>IFERROR(__xludf.DUMMYFUNCTION("""COMPUTED_VALUE"""),500779.0)</f>
        <v>500779</v>
      </c>
      <c r="M89" s="10">
        <f>IFERROR(__xludf.DUMMYFUNCTION("""COMPUTED_VALUE"""),2174.0)</f>
        <v>2174</v>
      </c>
    </row>
    <row r="90">
      <c r="A90" s="1">
        <v>2025.0</v>
      </c>
      <c r="B90" s="1" t="s">
        <v>590</v>
      </c>
      <c r="C90" s="1">
        <v>800049.0</v>
      </c>
      <c r="D90" s="1" t="s">
        <v>536</v>
      </c>
      <c r="E90" s="1" t="s">
        <v>927</v>
      </c>
      <c r="F90" s="1" t="s">
        <v>927</v>
      </c>
      <c r="G90" s="1">
        <v>47.0</v>
      </c>
      <c r="H90" s="1">
        <v>2.883435583</v>
      </c>
      <c r="I90" s="1">
        <v>4.62</v>
      </c>
      <c r="J90" s="1">
        <v>1.393865</v>
      </c>
      <c r="L90" s="10">
        <f>IFERROR(__xludf.DUMMYFUNCTION("""COMPUTED_VALUE"""),684007.0)</f>
        <v>684007</v>
      </c>
      <c r="M90" s="10">
        <f>IFERROR(__xludf.DUMMYFUNCTION("""COMPUTED_VALUE"""),2174.0)</f>
        <v>2174</v>
      </c>
    </row>
    <row r="91">
      <c r="A91" s="1">
        <v>2025.0</v>
      </c>
      <c r="B91" s="1" t="s">
        <v>590</v>
      </c>
      <c r="C91" s="1">
        <v>800049.0</v>
      </c>
      <c r="D91" s="1" t="s">
        <v>533</v>
      </c>
      <c r="E91" s="1" t="s">
        <v>927</v>
      </c>
      <c r="F91" s="1" t="s">
        <v>927</v>
      </c>
      <c r="G91" s="1">
        <v>51.0</v>
      </c>
      <c r="H91" s="1">
        <v>3.128834356</v>
      </c>
      <c r="I91" s="1">
        <v>5.35</v>
      </c>
      <c r="J91" s="1">
        <v>0.746848</v>
      </c>
      <c r="L91" s="10">
        <f>IFERROR(__xludf.DUMMYFUNCTION("""COMPUTED_VALUE"""),669160.0)</f>
        <v>669160</v>
      </c>
      <c r="M91" s="10">
        <f>IFERROR(__xludf.DUMMYFUNCTION("""COMPUTED_VALUE"""),2169.0)</f>
        <v>2169</v>
      </c>
    </row>
    <row r="92">
      <c r="A92" s="1">
        <v>2025.0</v>
      </c>
      <c r="B92" s="1" t="s">
        <v>590</v>
      </c>
      <c r="C92" s="1">
        <v>800049.0</v>
      </c>
      <c r="D92" s="1" t="s">
        <v>539</v>
      </c>
      <c r="E92" s="1" t="s">
        <v>927</v>
      </c>
      <c r="F92" s="1" t="s">
        <v>927</v>
      </c>
      <c r="G92" s="1">
        <v>50.0</v>
      </c>
      <c r="H92" s="1">
        <v>3.067484663</v>
      </c>
      <c r="I92" s="1">
        <v>4.8</v>
      </c>
      <c r="J92" s="1">
        <v>1.258678</v>
      </c>
      <c r="L92" s="10">
        <f>IFERROR(__xludf.DUMMYFUNCTION("""COMPUTED_VALUE"""),702070.0)</f>
        <v>702070</v>
      </c>
      <c r="M92" s="10">
        <f>IFERROR(__xludf.DUMMYFUNCTION("""COMPUTED_VALUE"""),2163.0)</f>
        <v>2163</v>
      </c>
    </row>
    <row r="93">
      <c r="A93" s="1">
        <v>2025.0</v>
      </c>
      <c r="B93" s="1" t="s">
        <v>772</v>
      </c>
      <c r="C93" s="1">
        <v>493603.0</v>
      </c>
      <c r="D93" s="1" t="s">
        <v>537</v>
      </c>
      <c r="E93" s="1" t="s">
        <v>927</v>
      </c>
      <c r="F93" s="1" t="s">
        <v>926</v>
      </c>
      <c r="G93" s="1">
        <v>5.0</v>
      </c>
      <c r="H93" s="1">
        <v>0.198412698</v>
      </c>
      <c r="I93" s="1">
        <v>3.97</v>
      </c>
      <c r="J93" s="1">
        <v>0.207452</v>
      </c>
      <c r="L93" s="10">
        <f>IFERROR(__xludf.DUMMYFUNCTION("""COMPUTED_VALUE"""),669302.0)</f>
        <v>669302</v>
      </c>
      <c r="M93" s="10">
        <f>IFERROR(__xludf.DUMMYFUNCTION("""COMPUTED_VALUE"""),2154.0)</f>
        <v>2154</v>
      </c>
    </row>
    <row r="94">
      <c r="A94" s="1">
        <v>2025.0</v>
      </c>
      <c r="B94" s="1" t="s">
        <v>772</v>
      </c>
      <c r="C94" s="1">
        <v>493603.0</v>
      </c>
      <c r="D94" s="1" t="s">
        <v>536</v>
      </c>
      <c r="E94" s="1" t="s">
        <v>927</v>
      </c>
      <c r="F94" s="1" t="s">
        <v>926</v>
      </c>
      <c r="G94" s="1">
        <v>3.0</v>
      </c>
      <c r="H94" s="1">
        <v>0.119047619</v>
      </c>
      <c r="I94" s="1">
        <v>1.2</v>
      </c>
      <c r="J94" s="1">
        <v>0.303477</v>
      </c>
      <c r="L94" s="10">
        <f>IFERROR(__xludf.DUMMYFUNCTION("""COMPUTED_VALUE"""),681190.0)</f>
        <v>681190</v>
      </c>
      <c r="M94" s="10">
        <f>IFERROR(__xludf.DUMMYFUNCTION("""COMPUTED_VALUE"""),2148.0)</f>
        <v>2148</v>
      </c>
    </row>
    <row r="95">
      <c r="A95" s="1">
        <v>2025.0</v>
      </c>
      <c r="B95" s="1" t="s">
        <v>772</v>
      </c>
      <c r="C95" s="1">
        <v>493603.0</v>
      </c>
      <c r="D95" s="1" t="s">
        <v>533</v>
      </c>
      <c r="E95" s="1" t="s">
        <v>927</v>
      </c>
      <c r="F95" s="1" t="s">
        <v>926</v>
      </c>
      <c r="G95" s="1">
        <v>1.0</v>
      </c>
      <c r="H95" s="1">
        <v>0.03968254</v>
      </c>
      <c r="I95" s="1">
        <v>6.66</v>
      </c>
      <c r="J95" s="1">
        <v>-0.011971</v>
      </c>
      <c r="L95" s="10">
        <f>IFERROR(__xludf.DUMMYFUNCTION("""COMPUTED_VALUE"""),695418.0)</f>
        <v>695418</v>
      </c>
      <c r="M95" s="10">
        <f>IFERROR(__xludf.DUMMYFUNCTION("""COMPUTED_VALUE"""),2127.0)</f>
        <v>2127</v>
      </c>
    </row>
    <row r="96">
      <c r="A96" s="1">
        <v>2025.0</v>
      </c>
      <c r="B96" s="1" t="s">
        <v>772</v>
      </c>
      <c r="C96" s="1">
        <v>493603.0</v>
      </c>
      <c r="D96" s="1" t="s">
        <v>539</v>
      </c>
      <c r="E96" s="1" t="s">
        <v>927</v>
      </c>
      <c r="F96" s="1" t="s">
        <v>926</v>
      </c>
      <c r="G96" s="1">
        <v>7.0</v>
      </c>
      <c r="H96" s="1">
        <v>0.277777778</v>
      </c>
      <c r="I96" s="1">
        <v>5.11</v>
      </c>
      <c r="J96" s="1">
        <v>0.135385</v>
      </c>
      <c r="L96" s="10">
        <f>IFERROR(__xludf.DUMMYFUNCTION("""COMPUTED_VALUE"""),675911.0)</f>
        <v>675911</v>
      </c>
      <c r="M96" s="10">
        <f>IFERROR(__xludf.DUMMYFUNCTION("""COMPUTED_VALUE"""),2110.0)</f>
        <v>2110</v>
      </c>
    </row>
    <row r="97">
      <c r="A97" s="1">
        <v>2025.0</v>
      </c>
      <c r="B97" s="1" t="s">
        <v>772</v>
      </c>
      <c r="C97" s="1">
        <v>493603.0</v>
      </c>
      <c r="D97" s="1" t="s">
        <v>540</v>
      </c>
      <c r="E97" s="1" t="s">
        <v>927</v>
      </c>
      <c r="F97" s="1" t="s">
        <v>927</v>
      </c>
      <c r="G97" s="1">
        <v>3.0</v>
      </c>
      <c r="H97" s="1">
        <v>0.119047619</v>
      </c>
      <c r="I97" s="1">
        <v>3.94</v>
      </c>
      <c r="J97" s="1">
        <v>0.134425</v>
      </c>
      <c r="L97" s="10">
        <f>IFERROR(__xludf.DUMMYFUNCTION("""COMPUTED_VALUE"""),669923.0)</f>
        <v>669923</v>
      </c>
      <c r="M97" s="10">
        <f>IFERROR(__xludf.DUMMYFUNCTION("""COMPUTED_VALUE"""),2086.0)</f>
        <v>2086</v>
      </c>
    </row>
    <row r="98">
      <c r="A98" s="1">
        <v>2025.0</v>
      </c>
      <c r="B98" s="1" t="s">
        <v>772</v>
      </c>
      <c r="C98" s="1">
        <v>493603.0</v>
      </c>
      <c r="D98" s="1" t="s">
        <v>537</v>
      </c>
      <c r="E98" s="1" t="s">
        <v>927</v>
      </c>
      <c r="F98" s="1" t="s">
        <v>927</v>
      </c>
      <c r="G98" s="1">
        <v>5.0</v>
      </c>
      <c r="H98" s="1">
        <v>0.198412698</v>
      </c>
      <c r="I98" s="1">
        <v>4.02</v>
      </c>
      <c r="J98" s="1">
        <v>0.213887</v>
      </c>
      <c r="L98" s="10">
        <f>IFERROR(__xludf.DUMMYFUNCTION("""COMPUTED_VALUE"""),571760.0)</f>
        <v>571760</v>
      </c>
      <c r="M98" s="10">
        <f>IFERROR(__xludf.DUMMYFUNCTION("""COMPUTED_VALUE"""),2082.0)</f>
        <v>2082</v>
      </c>
    </row>
    <row r="99">
      <c r="A99" s="1">
        <v>2025.0</v>
      </c>
      <c r="B99" s="1" t="s">
        <v>772</v>
      </c>
      <c r="C99" s="1">
        <v>493603.0</v>
      </c>
      <c r="D99" s="1" t="s">
        <v>536</v>
      </c>
      <c r="E99" s="1" t="s">
        <v>927</v>
      </c>
      <c r="F99" s="1" t="s">
        <v>927</v>
      </c>
      <c r="G99" s="1">
        <v>12.0</v>
      </c>
      <c r="H99" s="1">
        <v>0.476190476</v>
      </c>
      <c r="I99" s="1">
        <v>3.45</v>
      </c>
      <c r="J99" s="1">
        <v>0.626864</v>
      </c>
      <c r="L99" s="10">
        <f>IFERROR(__xludf.DUMMYFUNCTION("""COMPUTED_VALUE"""),608566.0)</f>
        <v>608566</v>
      </c>
      <c r="M99" s="10">
        <f>IFERROR(__xludf.DUMMYFUNCTION("""COMPUTED_VALUE"""),2082.0)</f>
        <v>2082</v>
      </c>
    </row>
    <row r="100">
      <c r="A100" s="1">
        <v>2025.0</v>
      </c>
      <c r="B100" s="1" t="s">
        <v>772</v>
      </c>
      <c r="C100" s="1">
        <v>493603.0</v>
      </c>
      <c r="D100" s="1" t="s">
        <v>533</v>
      </c>
      <c r="E100" s="1" t="s">
        <v>927</v>
      </c>
      <c r="F100" s="1" t="s">
        <v>927</v>
      </c>
      <c r="G100" s="1">
        <v>1.0</v>
      </c>
      <c r="H100" s="1">
        <v>0.03968254</v>
      </c>
      <c r="I100" s="1">
        <v>6.85</v>
      </c>
      <c r="J100" s="1">
        <v>-0.014922</v>
      </c>
      <c r="L100" s="10">
        <f>IFERROR(__xludf.DUMMYFUNCTION("""COMPUTED_VALUE"""),677944.0)</f>
        <v>677944</v>
      </c>
      <c r="M100" s="10">
        <f>IFERROR(__xludf.DUMMYFUNCTION("""COMPUTED_VALUE"""),2063.0)</f>
        <v>2063</v>
      </c>
    </row>
    <row r="101">
      <c r="A101" s="1">
        <v>2025.0</v>
      </c>
      <c r="B101" s="1" t="s">
        <v>772</v>
      </c>
      <c r="C101" s="1">
        <v>493603.0</v>
      </c>
      <c r="D101" s="1" t="s">
        <v>539</v>
      </c>
      <c r="E101" s="1" t="s">
        <v>927</v>
      </c>
      <c r="F101" s="1" t="s">
        <v>927</v>
      </c>
      <c r="G101" s="1">
        <v>5.0</v>
      </c>
      <c r="H101" s="1">
        <v>0.198412698</v>
      </c>
      <c r="I101" s="1">
        <v>5.89</v>
      </c>
      <c r="J101" s="1">
        <v>0.027629</v>
      </c>
      <c r="L101" s="10">
        <f>IFERROR(__xludf.DUMMYFUNCTION("""COMPUTED_VALUE"""),592836.0)</f>
        <v>592836</v>
      </c>
      <c r="M101" s="10">
        <f>IFERROR(__xludf.DUMMYFUNCTION("""COMPUTED_VALUE"""),2060.0)</f>
        <v>2060</v>
      </c>
    </row>
    <row r="102">
      <c r="A102" s="1">
        <v>2025.0</v>
      </c>
      <c r="B102" s="1" t="s">
        <v>411</v>
      </c>
      <c r="C102" s="1">
        <v>605288.0</v>
      </c>
      <c r="D102" s="1" t="s">
        <v>532</v>
      </c>
      <c r="E102" s="1" t="s">
        <v>927</v>
      </c>
      <c r="F102" s="1" t="s">
        <v>926</v>
      </c>
      <c r="G102" s="1">
        <v>227.0</v>
      </c>
      <c r="H102" s="1">
        <v>14.99735729</v>
      </c>
      <c r="I102" s="1">
        <v>4.81</v>
      </c>
      <c r="J102" s="1">
        <v>5.67078</v>
      </c>
      <c r="L102" s="10">
        <f>IFERROR(__xludf.DUMMYFUNCTION("""COMPUTED_VALUE"""),519242.0)</f>
        <v>519242</v>
      </c>
      <c r="M102" s="10">
        <f>IFERROR(__xludf.DUMMYFUNCTION("""COMPUTED_VALUE"""),2030.0)</f>
        <v>2030</v>
      </c>
    </row>
    <row r="103">
      <c r="A103" s="1">
        <v>2025.0</v>
      </c>
      <c r="B103" s="1" t="s">
        <v>411</v>
      </c>
      <c r="C103" s="1">
        <v>605288.0</v>
      </c>
      <c r="D103" s="1" t="s">
        <v>541</v>
      </c>
      <c r="E103" s="1" t="s">
        <v>927</v>
      </c>
      <c r="F103" s="1" t="s">
        <v>926</v>
      </c>
      <c r="G103" s="1">
        <v>150.0</v>
      </c>
      <c r="H103" s="1">
        <v>9.910147992</v>
      </c>
      <c r="I103" s="1">
        <v>4.44</v>
      </c>
      <c r="J103" s="1">
        <v>4.942392</v>
      </c>
      <c r="L103" s="10">
        <f>IFERROR(__xludf.DUMMYFUNCTION("""COMPUTED_VALUE"""),694477.0)</f>
        <v>694477</v>
      </c>
      <c r="M103" s="10">
        <f>IFERROR(__xludf.DUMMYFUNCTION("""COMPUTED_VALUE"""),2010.0)</f>
        <v>2010</v>
      </c>
    </row>
    <row r="104">
      <c r="A104" s="1">
        <v>2025.0</v>
      </c>
      <c r="B104" s="1" t="s">
        <v>411</v>
      </c>
      <c r="C104" s="1">
        <v>605288.0</v>
      </c>
      <c r="D104" s="1" t="s">
        <v>537</v>
      </c>
      <c r="E104" s="1" t="s">
        <v>927</v>
      </c>
      <c r="F104" s="1" t="s">
        <v>926</v>
      </c>
      <c r="G104" s="1">
        <v>159.0</v>
      </c>
      <c r="H104" s="1">
        <v>10.50475687</v>
      </c>
      <c r="I104" s="1">
        <v>4.53</v>
      </c>
      <c r="J104" s="1">
        <v>5.004937</v>
      </c>
      <c r="L104" s="10">
        <f>IFERROR(__xludf.DUMMYFUNCTION("""COMPUTED_VALUE"""),615698.0)</f>
        <v>615698</v>
      </c>
      <c r="M104" s="10">
        <f>IFERROR(__xludf.DUMMYFUNCTION("""COMPUTED_VALUE"""),2003.0)</f>
        <v>2003</v>
      </c>
    </row>
    <row r="105">
      <c r="A105" s="1">
        <v>2025.0</v>
      </c>
      <c r="B105" s="1" t="s">
        <v>411</v>
      </c>
      <c r="C105" s="1">
        <v>605288.0</v>
      </c>
      <c r="D105" s="1" t="s">
        <v>536</v>
      </c>
      <c r="E105" s="1" t="s">
        <v>927</v>
      </c>
      <c r="F105" s="1" t="s">
        <v>926</v>
      </c>
      <c r="G105" s="1">
        <v>379.0</v>
      </c>
      <c r="H105" s="1">
        <v>25.03964059</v>
      </c>
      <c r="I105" s="1">
        <v>4.83</v>
      </c>
      <c r="J105" s="1">
        <v>9.772297</v>
      </c>
      <c r="L105" s="10">
        <f>IFERROR(__xludf.DUMMYFUNCTION("""COMPUTED_VALUE"""),592791.0)</f>
        <v>592791</v>
      </c>
      <c r="M105" s="10">
        <f>IFERROR(__xludf.DUMMYFUNCTION("""COMPUTED_VALUE"""),1979.0)</f>
        <v>1979</v>
      </c>
    </row>
    <row r="106">
      <c r="A106" s="1">
        <v>2025.0</v>
      </c>
      <c r="B106" s="1" t="s">
        <v>411</v>
      </c>
      <c r="C106" s="1">
        <v>605288.0</v>
      </c>
      <c r="D106" s="1" t="s">
        <v>533</v>
      </c>
      <c r="E106" s="1" t="s">
        <v>927</v>
      </c>
      <c r="F106" s="1" t="s">
        <v>926</v>
      </c>
      <c r="G106" s="1">
        <v>93.0</v>
      </c>
      <c r="H106" s="1">
        <v>6.144291755</v>
      </c>
      <c r="I106" s="1">
        <v>4.97</v>
      </c>
      <c r="J106" s="1">
        <v>2.088754</v>
      </c>
      <c r="L106" s="10">
        <f>IFERROR(__xludf.DUMMYFUNCTION("""COMPUTED_VALUE"""),700249.0)</f>
        <v>700249</v>
      </c>
      <c r="M106" s="10">
        <f>IFERROR(__xludf.DUMMYFUNCTION("""COMPUTED_VALUE"""),1971.0)</f>
        <v>1971</v>
      </c>
    </row>
    <row r="107">
      <c r="A107" s="1">
        <v>2025.0</v>
      </c>
      <c r="B107" s="1" t="s">
        <v>411</v>
      </c>
      <c r="C107" s="1">
        <v>605288.0</v>
      </c>
      <c r="D107" s="1" t="s">
        <v>532</v>
      </c>
      <c r="E107" s="1" t="s">
        <v>927</v>
      </c>
      <c r="F107" s="1" t="s">
        <v>927</v>
      </c>
      <c r="G107" s="1">
        <v>62.0</v>
      </c>
      <c r="H107" s="1">
        <v>4.096194503</v>
      </c>
      <c r="I107" s="1">
        <v>4.48</v>
      </c>
      <c r="J107" s="1">
        <v>1.930868</v>
      </c>
      <c r="L107" s="10">
        <f>IFERROR(__xludf.DUMMYFUNCTION("""COMPUTED_VALUE"""),656550.0)</f>
        <v>656550</v>
      </c>
      <c r="M107" s="10">
        <f>IFERROR(__xludf.DUMMYFUNCTION("""COMPUTED_VALUE"""),1964.0)</f>
        <v>1964</v>
      </c>
    </row>
    <row r="108">
      <c r="A108" s="1">
        <v>2025.0</v>
      </c>
      <c r="B108" s="1" t="s">
        <v>411</v>
      </c>
      <c r="C108" s="1">
        <v>605288.0</v>
      </c>
      <c r="D108" s="1" t="s">
        <v>541</v>
      </c>
      <c r="E108" s="1" t="s">
        <v>927</v>
      </c>
      <c r="F108" s="1" t="s">
        <v>927</v>
      </c>
      <c r="G108" s="1">
        <v>71.0</v>
      </c>
      <c r="H108" s="1">
        <v>4.690803383</v>
      </c>
      <c r="I108" s="1">
        <v>4.69</v>
      </c>
      <c r="J108" s="1">
        <v>1.964167</v>
      </c>
      <c r="L108" s="10">
        <f>IFERROR(__xludf.DUMMYFUNCTION("""COMPUTED_VALUE"""),663559.0)</f>
        <v>663559</v>
      </c>
      <c r="M108" s="10">
        <f>IFERROR(__xludf.DUMMYFUNCTION("""COMPUTED_VALUE"""),1951.0)</f>
        <v>1951</v>
      </c>
    </row>
    <row r="109">
      <c r="A109" s="1">
        <v>2025.0</v>
      </c>
      <c r="B109" s="1" t="s">
        <v>411</v>
      </c>
      <c r="C109" s="1">
        <v>605288.0</v>
      </c>
      <c r="D109" s="1" t="s">
        <v>537</v>
      </c>
      <c r="E109" s="1" t="s">
        <v>927</v>
      </c>
      <c r="F109" s="1" t="s">
        <v>927</v>
      </c>
      <c r="G109" s="1">
        <v>62.0</v>
      </c>
      <c r="H109" s="1">
        <v>4.096194503</v>
      </c>
      <c r="I109" s="1">
        <v>4.09</v>
      </c>
      <c r="J109" s="1">
        <v>2.481153</v>
      </c>
      <c r="L109" s="10">
        <f>IFERROR(__xludf.DUMMYFUNCTION("""COMPUTED_VALUE"""),543135.0)</f>
        <v>543135</v>
      </c>
      <c r="M109" s="10">
        <f>IFERROR(__xludf.DUMMYFUNCTION("""COMPUTED_VALUE"""),1914.0)</f>
        <v>1914</v>
      </c>
    </row>
    <row r="110">
      <c r="A110" s="1">
        <v>2025.0</v>
      </c>
      <c r="B110" s="1" t="s">
        <v>411</v>
      </c>
      <c r="C110" s="1">
        <v>605288.0</v>
      </c>
      <c r="D110" s="1" t="s">
        <v>536</v>
      </c>
      <c r="E110" s="1" t="s">
        <v>927</v>
      </c>
      <c r="F110" s="1" t="s">
        <v>927</v>
      </c>
      <c r="G110" s="1">
        <v>490.0</v>
      </c>
      <c r="H110" s="1">
        <v>32.37315011</v>
      </c>
      <c r="I110" s="1">
        <v>5.31</v>
      </c>
      <c r="J110" s="1">
        <v>7.775992</v>
      </c>
      <c r="L110" s="10">
        <f>IFERROR(__xludf.DUMMYFUNCTION("""COMPUTED_VALUE"""),673540.0)</f>
        <v>673540</v>
      </c>
      <c r="M110" s="10">
        <f>IFERROR(__xludf.DUMMYFUNCTION("""COMPUTED_VALUE"""),1898.0)</f>
        <v>1898</v>
      </c>
    </row>
    <row r="111">
      <c r="A111" s="1">
        <v>2025.0</v>
      </c>
      <c r="B111" s="1" t="s">
        <v>411</v>
      </c>
      <c r="C111" s="1">
        <v>605288.0</v>
      </c>
      <c r="D111" s="1" t="s">
        <v>533</v>
      </c>
      <c r="E111" s="1" t="s">
        <v>927</v>
      </c>
      <c r="F111" s="1" t="s">
        <v>927</v>
      </c>
      <c r="G111" s="1">
        <v>199.0</v>
      </c>
      <c r="H111" s="1">
        <v>13.147463</v>
      </c>
      <c r="I111" s="1">
        <v>5.15</v>
      </c>
      <c r="J111" s="1">
        <v>3.812353</v>
      </c>
      <c r="L111" s="10">
        <f>IFERROR(__xludf.DUMMYFUNCTION("""COMPUTED_VALUE"""),605288.0)</f>
        <v>605288</v>
      </c>
      <c r="M111" s="10">
        <f>IFERROR(__xludf.DUMMYFUNCTION("""COMPUTED_VALUE"""),1892.0)</f>
        <v>1892</v>
      </c>
    </row>
    <row r="112">
      <c r="A112" s="1">
        <v>2025.0</v>
      </c>
      <c r="B112" s="1" t="s">
        <v>49</v>
      </c>
      <c r="C112" s="1">
        <v>670970.0</v>
      </c>
      <c r="D112" s="1" t="s">
        <v>540</v>
      </c>
      <c r="E112" s="1" t="s">
        <v>926</v>
      </c>
      <c r="F112" s="1" t="s">
        <v>926</v>
      </c>
      <c r="G112" s="1">
        <v>4.0</v>
      </c>
      <c r="H112" s="1">
        <v>0.294961628</v>
      </c>
      <c r="I112" s="1">
        <v>5.54</v>
      </c>
      <c r="J112" s="1">
        <v>0.047235</v>
      </c>
      <c r="L112" s="10">
        <f>IFERROR(__xludf.DUMMYFUNCTION("""COMPUTED_VALUE"""),680573.0)</f>
        <v>680573</v>
      </c>
      <c r="M112" s="10">
        <f>IFERROR(__xludf.DUMMYFUNCTION("""COMPUTED_VALUE"""),1877.0)</f>
        <v>1877</v>
      </c>
    </row>
    <row r="113">
      <c r="A113" s="1">
        <v>2025.0</v>
      </c>
      <c r="B113" s="1" t="s">
        <v>49</v>
      </c>
      <c r="C113" s="1">
        <v>670970.0</v>
      </c>
      <c r="D113" s="1" t="s">
        <v>537</v>
      </c>
      <c r="E113" s="1" t="s">
        <v>926</v>
      </c>
      <c r="F113" s="1" t="s">
        <v>926</v>
      </c>
      <c r="G113" s="1">
        <v>8.0</v>
      </c>
      <c r="H113" s="1">
        <v>0.589923257</v>
      </c>
      <c r="I113" s="1">
        <v>4.53</v>
      </c>
      <c r="J113" s="1">
        <v>0.266509</v>
      </c>
      <c r="L113" s="10">
        <f>IFERROR(__xludf.DUMMYFUNCTION("""COMPUTED_VALUE"""),686799.0)</f>
        <v>686799</v>
      </c>
      <c r="M113" s="10">
        <f>IFERROR(__xludf.DUMMYFUNCTION("""COMPUTED_VALUE"""),1859.0)</f>
        <v>1859</v>
      </c>
    </row>
    <row r="114">
      <c r="A114" s="1">
        <v>2025.0</v>
      </c>
      <c r="B114" s="1" t="s">
        <v>49</v>
      </c>
      <c r="C114" s="1">
        <v>670970.0</v>
      </c>
      <c r="D114" s="1" t="s">
        <v>536</v>
      </c>
      <c r="E114" s="1" t="s">
        <v>926</v>
      </c>
      <c r="F114" s="1" t="s">
        <v>926</v>
      </c>
      <c r="G114" s="1">
        <v>293.0</v>
      </c>
      <c r="H114" s="1">
        <v>21.60593927</v>
      </c>
      <c r="I114" s="1">
        <v>5.58</v>
      </c>
      <c r="J114" s="1">
        <v>2.931977</v>
      </c>
      <c r="L114" s="10">
        <f>IFERROR(__xludf.DUMMYFUNCTION("""COMPUTED_VALUE"""),694738.0)</f>
        <v>694738</v>
      </c>
      <c r="M114" s="10">
        <f>IFERROR(__xludf.DUMMYFUNCTION("""COMPUTED_VALUE"""),1851.0)</f>
        <v>1851</v>
      </c>
    </row>
    <row r="115">
      <c r="A115" s="1">
        <v>2025.0</v>
      </c>
      <c r="B115" s="1" t="s">
        <v>49</v>
      </c>
      <c r="C115" s="1">
        <v>670970.0</v>
      </c>
      <c r="D115" s="1" t="s">
        <v>533</v>
      </c>
      <c r="E115" s="1" t="s">
        <v>926</v>
      </c>
      <c r="F115" s="1" t="s">
        <v>926</v>
      </c>
      <c r="G115" s="1">
        <v>133.0</v>
      </c>
      <c r="H115" s="1">
        <v>9.807474141</v>
      </c>
      <c r="I115" s="1">
        <v>5.15</v>
      </c>
      <c r="J115" s="1">
        <v>2.475863</v>
      </c>
      <c r="L115" s="10">
        <f>IFERROR(__xludf.DUMMYFUNCTION("""COMPUTED_VALUE"""),666214.0)</f>
        <v>666214</v>
      </c>
      <c r="M115" s="10">
        <f>IFERROR(__xludf.DUMMYFUNCTION("""COMPUTED_VALUE"""),1815.0)</f>
        <v>1815</v>
      </c>
    </row>
    <row r="116">
      <c r="A116" s="1">
        <v>2025.0</v>
      </c>
      <c r="B116" s="1" t="s">
        <v>49</v>
      </c>
      <c r="C116" s="1">
        <v>670970.0</v>
      </c>
      <c r="D116" s="1" t="s">
        <v>532</v>
      </c>
      <c r="E116" s="1" t="s">
        <v>926</v>
      </c>
      <c r="F116" s="1" t="s">
        <v>927</v>
      </c>
      <c r="G116" s="1">
        <v>66.0</v>
      </c>
      <c r="H116" s="1">
        <v>4.866866867</v>
      </c>
      <c r="I116" s="1">
        <v>4.87</v>
      </c>
      <c r="J116" s="1">
        <v>1.5789</v>
      </c>
      <c r="L116" s="10">
        <f>IFERROR(__xludf.DUMMYFUNCTION("""COMPUTED_VALUE"""),663460.0)</f>
        <v>663460</v>
      </c>
      <c r="M116" s="10">
        <f>IFERROR(__xludf.DUMMYFUNCTION("""COMPUTED_VALUE"""),1795.0)</f>
        <v>1795</v>
      </c>
    </row>
    <row r="117">
      <c r="A117" s="1">
        <v>2025.0</v>
      </c>
      <c r="B117" s="1" t="s">
        <v>49</v>
      </c>
      <c r="C117" s="1">
        <v>670970.0</v>
      </c>
      <c r="D117" s="1" t="s">
        <v>540</v>
      </c>
      <c r="E117" s="1" t="s">
        <v>926</v>
      </c>
      <c r="F117" s="1" t="s">
        <v>927</v>
      </c>
      <c r="G117" s="1">
        <v>31.0</v>
      </c>
      <c r="H117" s="1">
        <v>2.285952619</v>
      </c>
      <c r="I117" s="1">
        <v>5.0</v>
      </c>
      <c r="J117" s="1">
        <v>0.700198</v>
      </c>
      <c r="L117" s="10">
        <f>IFERROR(__xludf.DUMMYFUNCTION("""COMPUTED_VALUE"""),686563.0)</f>
        <v>686563</v>
      </c>
      <c r="M117" s="10">
        <f>IFERROR(__xludf.DUMMYFUNCTION("""COMPUTED_VALUE"""),1792.0)</f>
        <v>1792</v>
      </c>
    </row>
    <row r="118">
      <c r="A118" s="1">
        <v>2025.0</v>
      </c>
      <c r="B118" s="1" t="s">
        <v>49</v>
      </c>
      <c r="C118" s="1">
        <v>670970.0</v>
      </c>
      <c r="D118" s="1" t="s">
        <v>537</v>
      </c>
      <c r="E118" s="1" t="s">
        <v>926</v>
      </c>
      <c r="F118" s="1" t="s">
        <v>927</v>
      </c>
      <c r="G118" s="1">
        <v>23.0</v>
      </c>
      <c r="H118" s="1">
        <v>1.696029363</v>
      </c>
      <c r="I118" s="1">
        <v>4.26</v>
      </c>
      <c r="J118" s="1">
        <v>0.865544</v>
      </c>
      <c r="L118" s="10">
        <f>IFERROR(__xludf.DUMMYFUNCTION("""COMPUTED_VALUE"""),690990.0)</f>
        <v>690990</v>
      </c>
      <c r="M118" s="10">
        <f>IFERROR(__xludf.DUMMYFUNCTION("""COMPUTED_VALUE"""),1786.0)</f>
        <v>1786</v>
      </c>
    </row>
    <row r="119">
      <c r="A119" s="1">
        <v>2025.0</v>
      </c>
      <c r="B119" s="1" t="s">
        <v>49</v>
      </c>
      <c r="C119" s="1">
        <v>670970.0</v>
      </c>
      <c r="D119" s="1" t="s">
        <v>538</v>
      </c>
      <c r="E119" s="1" t="s">
        <v>926</v>
      </c>
      <c r="F119" s="1" t="s">
        <v>927</v>
      </c>
      <c r="G119" s="1">
        <v>3.0</v>
      </c>
      <c r="H119" s="1">
        <v>0.221221221</v>
      </c>
      <c r="I119" s="1">
        <v>2.12</v>
      </c>
      <c r="J119" s="1">
        <v>0.24474</v>
      </c>
      <c r="L119" s="10">
        <f>IFERROR(__xludf.DUMMYFUNCTION("""COMPUTED_VALUE"""),801403.0)</f>
        <v>801403</v>
      </c>
      <c r="M119" s="10">
        <f>IFERROR(__xludf.DUMMYFUNCTION("""COMPUTED_VALUE"""),1778.0)</f>
        <v>1778</v>
      </c>
    </row>
    <row r="120">
      <c r="A120" s="1">
        <v>2025.0</v>
      </c>
      <c r="B120" s="1" t="s">
        <v>49</v>
      </c>
      <c r="C120" s="1">
        <v>670970.0</v>
      </c>
      <c r="D120" s="1" t="s">
        <v>928</v>
      </c>
      <c r="E120" s="1" t="s">
        <v>926</v>
      </c>
      <c r="F120" s="1" t="s">
        <v>927</v>
      </c>
      <c r="G120" s="1">
        <v>2.0</v>
      </c>
      <c r="H120" s="1">
        <v>0.147480814</v>
      </c>
      <c r="I120" s="1">
        <v>2.3</v>
      </c>
      <c r="J120" s="1">
        <v>0.15603</v>
      </c>
      <c r="L120" s="10">
        <f>IFERROR(__xludf.DUMMYFUNCTION("""COMPUTED_VALUE"""),477132.0)</f>
        <v>477132</v>
      </c>
      <c r="M120" s="10">
        <f>IFERROR(__xludf.DUMMYFUNCTION("""COMPUTED_VALUE"""),1766.0)</f>
        <v>1766</v>
      </c>
    </row>
    <row r="121">
      <c r="A121" s="1">
        <v>2025.0</v>
      </c>
      <c r="B121" s="1" t="s">
        <v>49</v>
      </c>
      <c r="C121" s="1">
        <v>670970.0</v>
      </c>
      <c r="D121" s="1" t="s">
        <v>536</v>
      </c>
      <c r="E121" s="1" t="s">
        <v>926</v>
      </c>
      <c r="F121" s="1" t="s">
        <v>927</v>
      </c>
      <c r="G121" s="1">
        <v>323.0</v>
      </c>
      <c r="H121" s="1">
        <v>23.81815148</v>
      </c>
      <c r="I121" s="1">
        <v>4.88</v>
      </c>
      <c r="J121" s="1">
        <v>8.012935</v>
      </c>
      <c r="L121" s="10">
        <f>IFERROR(__xludf.DUMMYFUNCTION("""COMPUTED_VALUE"""),687473.0)</f>
        <v>687473</v>
      </c>
      <c r="M121" s="10">
        <f>IFERROR(__xludf.DUMMYFUNCTION("""COMPUTED_VALUE"""),1760.0)</f>
        <v>1760</v>
      </c>
    </row>
    <row r="122">
      <c r="A122" s="1">
        <v>2025.0</v>
      </c>
      <c r="B122" s="1" t="s">
        <v>49</v>
      </c>
      <c r="C122" s="1">
        <v>670970.0</v>
      </c>
      <c r="D122" s="1" t="s">
        <v>533</v>
      </c>
      <c r="E122" s="1" t="s">
        <v>926</v>
      </c>
      <c r="F122" s="1" t="s">
        <v>927</v>
      </c>
      <c r="G122" s="1">
        <v>113.0</v>
      </c>
      <c r="H122" s="1">
        <v>8.332665999</v>
      </c>
      <c r="I122" s="1">
        <v>5.46</v>
      </c>
      <c r="J122" s="1">
        <v>1.4241</v>
      </c>
      <c r="L122" s="10">
        <f>IFERROR(__xludf.DUMMYFUNCTION("""COMPUTED_VALUE"""),676962.0)</f>
        <v>676962</v>
      </c>
      <c r="M122" s="10">
        <f>IFERROR(__xludf.DUMMYFUNCTION("""COMPUTED_VALUE"""),1759.0)</f>
        <v>1759</v>
      </c>
    </row>
    <row r="123">
      <c r="A123" s="1">
        <v>2025.0</v>
      </c>
      <c r="B123" s="1" t="s">
        <v>571</v>
      </c>
      <c r="C123" s="1">
        <v>660604.0</v>
      </c>
      <c r="D123" s="1" t="s">
        <v>532</v>
      </c>
      <c r="E123" s="1" t="s">
        <v>927</v>
      </c>
      <c r="F123" s="1" t="s">
        <v>926</v>
      </c>
      <c r="G123" s="1">
        <v>36.0</v>
      </c>
      <c r="H123" s="1">
        <v>2.275862069</v>
      </c>
      <c r="I123" s="1">
        <v>4.53</v>
      </c>
      <c r="J123" s="1">
        <v>1.122996</v>
      </c>
      <c r="L123" s="10">
        <f>IFERROR(__xludf.DUMMYFUNCTION("""COMPUTED_VALUE"""),668881.0)</f>
        <v>668881</v>
      </c>
      <c r="M123" s="10">
        <f>IFERROR(__xludf.DUMMYFUNCTION("""COMPUTED_VALUE"""),1748.0)</f>
        <v>1748</v>
      </c>
    </row>
    <row r="124">
      <c r="A124" s="1">
        <v>2025.0</v>
      </c>
      <c r="B124" s="1" t="s">
        <v>571</v>
      </c>
      <c r="C124" s="1">
        <v>660604.0</v>
      </c>
      <c r="D124" s="1" t="s">
        <v>541</v>
      </c>
      <c r="E124" s="1" t="s">
        <v>927</v>
      </c>
      <c r="F124" s="1" t="s">
        <v>926</v>
      </c>
      <c r="G124" s="1">
        <v>9.0</v>
      </c>
      <c r="H124" s="1">
        <v>0.568965517</v>
      </c>
      <c r="I124" s="1">
        <v>4.45</v>
      </c>
      <c r="J124" s="1">
        <v>0.295377</v>
      </c>
      <c r="L124" s="10">
        <f>IFERROR(__xludf.DUMMYFUNCTION("""COMPUTED_VALUE"""),650644.0)</f>
        <v>650644</v>
      </c>
      <c r="M124" s="10">
        <f>IFERROR(__xludf.DUMMYFUNCTION("""COMPUTED_VALUE"""),1745.0)</f>
        <v>1745</v>
      </c>
    </row>
    <row r="125">
      <c r="A125" s="1">
        <v>2025.0</v>
      </c>
      <c r="B125" s="1" t="s">
        <v>571</v>
      </c>
      <c r="C125" s="1">
        <v>660604.0</v>
      </c>
      <c r="D125" s="1" t="s">
        <v>537</v>
      </c>
      <c r="E125" s="1" t="s">
        <v>927</v>
      </c>
      <c r="F125" s="1" t="s">
        <v>926</v>
      </c>
      <c r="G125" s="1">
        <v>38.0</v>
      </c>
      <c r="H125" s="1">
        <v>2.402298851</v>
      </c>
      <c r="I125" s="1">
        <v>5.55</v>
      </c>
      <c r="J125" s="1">
        <v>0.442251</v>
      </c>
      <c r="L125" s="10">
        <f>IFERROR(__xludf.DUMMYFUNCTION("""COMPUTED_VALUE"""),641778.0)</f>
        <v>641778</v>
      </c>
      <c r="M125" s="10">
        <f>IFERROR(__xludf.DUMMYFUNCTION("""COMPUTED_VALUE"""),1682.0)</f>
        <v>1682</v>
      </c>
    </row>
    <row r="126">
      <c r="A126" s="1">
        <v>2025.0</v>
      </c>
      <c r="B126" s="1" t="s">
        <v>571</v>
      </c>
      <c r="C126" s="1">
        <v>660604.0</v>
      </c>
      <c r="D126" s="1" t="s">
        <v>533</v>
      </c>
      <c r="E126" s="1" t="s">
        <v>927</v>
      </c>
      <c r="F126" s="1" t="s">
        <v>926</v>
      </c>
      <c r="G126" s="1">
        <v>5.0</v>
      </c>
      <c r="H126" s="1">
        <v>0.316091954</v>
      </c>
      <c r="I126" s="1">
        <v>3.78</v>
      </c>
      <c r="J126" s="1">
        <v>0.231128</v>
      </c>
      <c r="L126" s="10">
        <f>IFERROR(__xludf.DUMMYFUNCTION("""COMPUTED_VALUE"""),691587.0)</f>
        <v>691587</v>
      </c>
      <c r="M126" s="10">
        <f>IFERROR(__xludf.DUMMYFUNCTION("""COMPUTED_VALUE"""),1669.0)</f>
        <v>1669</v>
      </c>
    </row>
    <row r="127">
      <c r="A127" s="1">
        <v>2025.0</v>
      </c>
      <c r="B127" s="1" t="s">
        <v>571</v>
      </c>
      <c r="C127" s="1">
        <v>660604.0</v>
      </c>
      <c r="D127" s="1" t="s">
        <v>532</v>
      </c>
      <c r="E127" s="1" t="s">
        <v>927</v>
      </c>
      <c r="F127" s="1" t="s">
        <v>927</v>
      </c>
      <c r="G127" s="1">
        <v>18.0</v>
      </c>
      <c r="H127" s="1">
        <v>1.137931034</v>
      </c>
      <c r="I127" s="1">
        <v>4.71</v>
      </c>
      <c r="J127" s="1">
        <v>0.482999</v>
      </c>
      <c r="L127" s="10">
        <f>IFERROR(__xludf.DUMMYFUNCTION("""COMPUTED_VALUE"""),682052.0)</f>
        <v>682052</v>
      </c>
      <c r="M127" s="10">
        <f>IFERROR(__xludf.DUMMYFUNCTION("""COMPUTED_VALUE"""),1665.0)</f>
        <v>1665</v>
      </c>
    </row>
    <row r="128">
      <c r="A128" s="1">
        <v>2025.0</v>
      </c>
      <c r="B128" s="1" t="s">
        <v>571</v>
      </c>
      <c r="C128" s="1">
        <v>660604.0</v>
      </c>
      <c r="D128" s="1" t="s">
        <v>541</v>
      </c>
      <c r="E128" s="1" t="s">
        <v>927</v>
      </c>
      <c r="F128" s="1" t="s">
        <v>927</v>
      </c>
      <c r="G128" s="1">
        <v>2.0</v>
      </c>
      <c r="H128" s="1">
        <v>0.126436782</v>
      </c>
      <c r="I128" s="1">
        <v>5.36</v>
      </c>
      <c r="J128" s="1">
        <v>0.033036</v>
      </c>
      <c r="L128" s="10">
        <f>IFERROR(__xludf.DUMMYFUNCTION("""COMPUTED_VALUE"""),669387.0)</f>
        <v>669387</v>
      </c>
      <c r="M128" s="10">
        <f>IFERROR(__xludf.DUMMYFUNCTION("""COMPUTED_VALUE"""),1647.0)</f>
        <v>1647</v>
      </c>
    </row>
    <row r="129">
      <c r="A129" s="1">
        <v>2025.0</v>
      </c>
      <c r="B129" s="1" t="s">
        <v>571</v>
      </c>
      <c r="C129" s="1">
        <v>660604.0</v>
      </c>
      <c r="D129" s="1" t="s">
        <v>537</v>
      </c>
      <c r="E129" s="1" t="s">
        <v>927</v>
      </c>
      <c r="F129" s="1" t="s">
        <v>927</v>
      </c>
      <c r="G129" s="1">
        <v>38.0</v>
      </c>
      <c r="H129" s="1">
        <v>2.402298851</v>
      </c>
      <c r="I129" s="1">
        <v>4.88</v>
      </c>
      <c r="J129" s="1">
        <v>0.939362</v>
      </c>
      <c r="L129" s="10">
        <f>IFERROR(__xludf.DUMMYFUNCTION("""COMPUTED_VALUE"""),678024.0)</f>
        <v>678024</v>
      </c>
      <c r="M129" s="10">
        <f>IFERROR(__xludf.DUMMYFUNCTION("""COMPUTED_VALUE"""),1645.0)</f>
        <v>1645</v>
      </c>
    </row>
    <row r="130">
      <c r="A130" s="1">
        <v>2025.0</v>
      </c>
      <c r="B130" s="1" t="s">
        <v>571</v>
      </c>
      <c r="C130" s="1">
        <v>660604.0</v>
      </c>
      <c r="D130" s="1" t="s">
        <v>533</v>
      </c>
      <c r="E130" s="1" t="s">
        <v>927</v>
      </c>
      <c r="F130" s="1" t="s">
        <v>927</v>
      </c>
      <c r="G130" s="1">
        <v>28.0</v>
      </c>
      <c r="H130" s="1">
        <v>1.770114943</v>
      </c>
      <c r="I130" s="1">
        <v>5.17</v>
      </c>
      <c r="J130" s="1">
        <v>0.523525</v>
      </c>
      <c r="L130" s="10">
        <f>IFERROR(__xludf.DUMMYFUNCTION("""COMPUTED_VALUE"""),676282.0)</f>
        <v>676282</v>
      </c>
      <c r="M130" s="10">
        <f>IFERROR(__xludf.DUMMYFUNCTION("""COMPUTED_VALUE"""),1636.0)</f>
        <v>1636</v>
      </c>
    </row>
    <row r="131">
      <c r="A131" s="1">
        <v>2025.0</v>
      </c>
      <c r="B131" s="1" t="s">
        <v>766</v>
      </c>
      <c r="C131" s="1">
        <v>676701.0</v>
      </c>
      <c r="D131" s="1" t="s">
        <v>532</v>
      </c>
      <c r="E131" s="1" t="s">
        <v>927</v>
      </c>
      <c r="F131" s="1" t="s">
        <v>926</v>
      </c>
      <c r="G131" s="1">
        <v>3.0</v>
      </c>
      <c r="H131" s="1">
        <v>0.1875</v>
      </c>
      <c r="I131" s="1">
        <v>2.83</v>
      </c>
      <c r="J131" s="1">
        <v>0.192366</v>
      </c>
      <c r="L131" s="10">
        <f>IFERROR(__xludf.DUMMYFUNCTION("""COMPUTED_VALUE"""),669432.0)</f>
        <v>669432</v>
      </c>
      <c r="M131" s="10">
        <f>IFERROR(__xludf.DUMMYFUNCTION("""COMPUTED_VALUE"""),1627.0)</f>
        <v>1627</v>
      </c>
    </row>
    <row r="132">
      <c r="A132" s="1">
        <v>2025.0</v>
      </c>
      <c r="B132" s="1" t="s">
        <v>766</v>
      </c>
      <c r="C132" s="1">
        <v>676701.0</v>
      </c>
      <c r="D132" s="1" t="s">
        <v>537</v>
      </c>
      <c r="E132" s="1" t="s">
        <v>927</v>
      </c>
      <c r="F132" s="1" t="s">
        <v>926</v>
      </c>
      <c r="G132" s="1">
        <v>6.0</v>
      </c>
      <c r="H132" s="1">
        <v>0.375</v>
      </c>
      <c r="I132" s="1">
        <v>5.4</v>
      </c>
      <c r="J132" s="1">
        <v>0.088899</v>
      </c>
      <c r="L132" s="10">
        <f>IFERROR(__xludf.DUMMYFUNCTION("""COMPUTED_VALUE"""),676083.0)</f>
        <v>676083</v>
      </c>
      <c r="M132" s="10">
        <f>IFERROR(__xludf.DUMMYFUNCTION("""COMPUTED_VALUE"""),1622.0)</f>
        <v>1622</v>
      </c>
    </row>
    <row r="133">
      <c r="A133" s="1">
        <v>2025.0</v>
      </c>
      <c r="B133" s="1" t="s">
        <v>766</v>
      </c>
      <c r="C133" s="1">
        <v>676701.0</v>
      </c>
      <c r="D133" s="1" t="s">
        <v>537</v>
      </c>
      <c r="E133" s="1" t="s">
        <v>927</v>
      </c>
      <c r="F133" s="1" t="s">
        <v>927</v>
      </c>
      <c r="G133" s="1">
        <v>7.0</v>
      </c>
      <c r="H133" s="1">
        <v>0.4375</v>
      </c>
      <c r="I133" s="1">
        <v>4.72</v>
      </c>
      <c r="J133" s="1">
        <v>0.189514</v>
      </c>
      <c r="L133" s="10">
        <f>IFERROR(__xludf.DUMMYFUNCTION("""COMPUTED_VALUE"""),663568.0)</f>
        <v>663568</v>
      </c>
      <c r="M133" s="10">
        <f>IFERROR(__xludf.DUMMYFUNCTION("""COMPUTED_VALUE"""),1590.0)</f>
        <v>1590</v>
      </c>
    </row>
    <row r="134">
      <c r="A134" s="1">
        <v>2025.0</v>
      </c>
      <c r="B134" s="1" t="s">
        <v>711</v>
      </c>
      <c r="C134" s="1">
        <v>544150.0</v>
      </c>
      <c r="D134" s="1" t="s">
        <v>532</v>
      </c>
      <c r="E134" s="1" t="s">
        <v>927</v>
      </c>
      <c r="F134" s="1" t="s">
        <v>926</v>
      </c>
      <c r="G134" s="1">
        <v>17.0</v>
      </c>
      <c r="H134" s="1">
        <v>1.146435453</v>
      </c>
      <c r="I134" s="1">
        <v>4.72</v>
      </c>
      <c r="J134" s="1">
        <v>0.466066</v>
      </c>
      <c r="L134" s="10">
        <f>IFERROR(__xludf.DUMMYFUNCTION("""COMPUTED_VALUE"""),641302.0)</f>
        <v>641302</v>
      </c>
      <c r="M134" s="10">
        <f>IFERROR(__xludf.DUMMYFUNCTION("""COMPUTED_VALUE"""),1582.0)</f>
        <v>1582</v>
      </c>
    </row>
    <row r="135">
      <c r="A135" s="1">
        <v>2025.0</v>
      </c>
      <c r="B135" s="1" t="s">
        <v>711</v>
      </c>
      <c r="C135" s="1">
        <v>544150.0</v>
      </c>
      <c r="D135" s="1" t="s">
        <v>541</v>
      </c>
      <c r="E135" s="1" t="s">
        <v>927</v>
      </c>
      <c r="F135" s="1" t="s">
        <v>926</v>
      </c>
      <c r="G135" s="1">
        <v>13.0</v>
      </c>
      <c r="H135" s="1">
        <v>0.876685934</v>
      </c>
      <c r="I135" s="1">
        <v>5.24</v>
      </c>
      <c r="J135" s="1">
        <v>0.209404</v>
      </c>
      <c r="L135" s="10">
        <f>IFERROR(__xludf.DUMMYFUNCTION("""COMPUTED_VALUE"""),669372.0)</f>
        <v>669372</v>
      </c>
      <c r="M135" s="10">
        <f>IFERROR(__xludf.DUMMYFUNCTION("""COMPUTED_VALUE"""),1574.0)</f>
        <v>1574</v>
      </c>
    </row>
    <row r="136">
      <c r="A136" s="1">
        <v>2025.0</v>
      </c>
      <c r="B136" s="1" t="s">
        <v>711</v>
      </c>
      <c r="C136" s="1">
        <v>544150.0</v>
      </c>
      <c r="D136" s="1" t="s">
        <v>540</v>
      </c>
      <c r="E136" s="1" t="s">
        <v>927</v>
      </c>
      <c r="F136" s="1" t="s">
        <v>926</v>
      </c>
      <c r="G136" s="1">
        <v>3.0</v>
      </c>
      <c r="H136" s="1">
        <v>0.202312139</v>
      </c>
      <c r="I136" s="1">
        <v>4.53</v>
      </c>
      <c r="J136" s="1">
        <v>0.099183</v>
      </c>
      <c r="L136" s="10">
        <f>IFERROR(__xludf.DUMMYFUNCTION("""COMPUTED_VALUE"""),680885.0)</f>
        <v>680885</v>
      </c>
      <c r="M136" s="10">
        <f>IFERROR(__xludf.DUMMYFUNCTION("""COMPUTED_VALUE"""),1573.0)</f>
        <v>1573</v>
      </c>
    </row>
    <row r="137">
      <c r="A137" s="1">
        <v>2025.0</v>
      </c>
      <c r="B137" s="1" t="s">
        <v>711</v>
      </c>
      <c r="C137" s="1">
        <v>544150.0</v>
      </c>
      <c r="D137" s="1" t="s">
        <v>537</v>
      </c>
      <c r="E137" s="1" t="s">
        <v>927</v>
      </c>
      <c r="F137" s="1" t="s">
        <v>926</v>
      </c>
      <c r="G137" s="1">
        <v>45.0</v>
      </c>
      <c r="H137" s="1">
        <v>3.034682081</v>
      </c>
      <c r="I137" s="1">
        <v>4.53</v>
      </c>
      <c r="J137" s="1">
        <v>1.392745</v>
      </c>
      <c r="L137" s="10">
        <f>IFERROR(__xludf.DUMMYFUNCTION("""COMPUTED_VALUE"""),605400.0)</f>
        <v>605400</v>
      </c>
      <c r="M137" s="10">
        <f>IFERROR(__xludf.DUMMYFUNCTION("""COMPUTED_VALUE"""),1567.0)</f>
        <v>1567</v>
      </c>
    </row>
    <row r="138">
      <c r="A138" s="1">
        <v>2025.0</v>
      </c>
      <c r="B138" s="1" t="s">
        <v>711</v>
      </c>
      <c r="C138" s="1">
        <v>544150.0</v>
      </c>
      <c r="D138" s="1" t="s">
        <v>532</v>
      </c>
      <c r="E138" s="1" t="s">
        <v>927</v>
      </c>
      <c r="F138" s="1" t="s">
        <v>927</v>
      </c>
      <c r="G138" s="1">
        <v>2.0</v>
      </c>
      <c r="H138" s="1">
        <v>0.134874759</v>
      </c>
      <c r="I138" s="1">
        <v>6.49</v>
      </c>
      <c r="J138" s="1">
        <v>-0.020623</v>
      </c>
      <c r="L138" s="10">
        <f>IFERROR(__xludf.DUMMYFUNCTION("""COMPUTED_VALUE"""),656794.0)</f>
        <v>656794</v>
      </c>
      <c r="M138" s="10">
        <f>IFERROR(__xludf.DUMMYFUNCTION("""COMPUTED_VALUE"""),1545.0)</f>
        <v>1545</v>
      </c>
    </row>
    <row r="139">
      <c r="A139" s="1">
        <v>2025.0</v>
      </c>
      <c r="B139" s="1" t="s">
        <v>711</v>
      </c>
      <c r="C139" s="1">
        <v>544150.0</v>
      </c>
      <c r="D139" s="1" t="s">
        <v>541</v>
      </c>
      <c r="E139" s="1" t="s">
        <v>927</v>
      </c>
      <c r="F139" s="1" t="s">
        <v>927</v>
      </c>
      <c r="G139" s="1">
        <v>32.0</v>
      </c>
      <c r="H139" s="1">
        <v>2.157996146</v>
      </c>
      <c r="I139" s="1">
        <v>4.77</v>
      </c>
      <c r="J139" s="1">
        <v>0.837107</v>
      </c>
      <c r="L139" s="10">
        <f>IFERROR(__xludf.DUMMYFUNCTION("""COMPUTED_VALUE"""),682243.0)</f>
        <v>682243</v>
      </c>
      <c r="M139" s="10">
        <f>IFERROR(__xludf.DUMMYFUNCTION("""COMPUTED_VALUE"""),1542.0)</f>
        <v>1542</v>
      </c>
    </row>
    <row r="140">
      <c r="A140" s="1">
        <v>2025.0</v>
      </c>
      <c r="B140" s="1" t="s">
        <v>711</v>
      </c>
      <c r="C140" s="1">
        <v>544150.0</v>
      </c>
      <c r="D140" s="1" t="s">
        <v>540</v>
      </c>
      <c r="E140" s="1" t="s">
        <v>927</v>
      </c>
      <c r="F140" s="1" t="s">
        <v>927</v>
      </c>
      <c r="G140" s="1">
        <v>30.0</v>
      </c>
      <c r="H140" s="1">
        <v>2.023121387</v>
      </c>
      <c r="I140" s="1">
        <v>5.06</v>
      </c>
      <c r="J140" s="1">
        <v>0.620052</v>
      </c>
      <c r="L140" s="10">
        <f>IFERROR(__xludf.DUMMYFUNCTION("""COMPUTED_VALUE"""),681347.0)</f>
        <v>681347</v>
      </c>
      <c r="M140" s="10">
        <f>IFERROR(__xludf.DUMMYFUNCTION("""COMPUTED_VALUE"""),1537.0)</f>
        <v>1537</v>
      </c>
    </row>
    <row r="141">
      <c r="A141" s="1">
        <v>2025.0</v>
      </c>
      <c r="B141" s="1" t="s">
        <v>711</v>
      </c>
      <c r="C141" s="1">
        <v>544150.0</v>
      </c>
      <c r="D141" s="1" t="s">
        <v>537</v>
      </c>
      <c r="E141" s="1" t="s">
        <v>927</v>
      </c>
      <c r="F141" s="1" t="s">
        <v>927</v>
      </c>
      <c r="G141" s="1">
        <v>31.0</v>
      </c>
      <c r="H141" s="1">
        <v>2.090558767</v>
      </c>
      <c r="I141" s="1">
        <v>4.62</v>
      </c>
      <c r="J141" s="1">
        <v>0.89033</v>
      </c>
      <c r="L141" s="10">
        <f>IFERROR(__xludf.DUMMYFUNCTION("""COMPUTED_VALUE"""),647336.0)</f>
        <v>647336</v>
      </c>
      <c r="M141" s="10">
        <f>IFERROR(__xludf.DUMMYFUNCTION("""COMPUTED_VALUE"""),1528.0)</f>
        <v>1528</v>
      </c>
    </row>
    <row r="142">
      <c r="A142" s="1">
        <v>2025.0</v>
      </c>
      <c r="B142" s="1" t="s">
        <v>852</v>
      </c>
      <c r="C142" s="1">
        <v>676475.0</v>
      </c>
      <c r="D142" s="1" t="s">
        <v>532</v>
      </c>
      <c r="E142" s="1" t="s">
        <v>926</v>
      </c>
      <c r="F142" s="1" t="s">
        <v>926</v>
      </c>
      <c r="G142" s="1">
        <v>4.0</v>
      </c>
      <c r="H142" s="1">
        <v>0.571428571</v>
      </c>
      <c r="I142" s="1">
        <v>2.04</v>
      </c>
      <c r="J142" s="1">
        <v>0.331374</v>
      </c>
      <c r="L142" s="10">
        <f>IFERROR(__xludf.DUMMYFUNCTION("""COMPUTED_VALUE"""),682847.0)</f>
        <v>682847</v>
      </c>
      <c r="M142" s="10">
        <f>IFERROR(__xludf.DUMMYFUNCTION("""COMPUTED_VALUE"""),1501.0)</f>
        <v>1501</v>
      </c>
    </row>
    <row r="143">
      <c r="A143" s="1">
        <v>2025.0</v>
      </c>
      <c r="B143" s="1" t="s">
        <v>852</v>
      </c>
      <c r="C143" s="1">
        <v>676475.0</v>
      </c>
      <c r="D143" s="1" t="s">
        <v>532</v>
      </c>
      <c r="E143" s="1" t="s">
        <v>926</v>
      </c>
      <c r="F143" s="1" t="s">
        <v>927</v>
      </c>
      <c r="G143" s="1">
        <v>3.0</v>
      </c>
      <c r="H143" s="1">
        <v>0.428571429</v>
      </c>
      <c r="I143" s="1">
        <v>5.28</v>
      </c>
      <c r="J143" s="1">
        <v>0.055638</v>
      </c>
      <c r="L143" s="10">
        <f>IFERROR(__xludf.DUMMYFUNCTION("""COMPUTED_VALUE"""),607192.0)</f>
        <v>607192</v>
      </c>
      <c r="M143" s="10">
        <f>IFERROR(__xludf.DUMMYFUNCTION("""COMPUTED_VALUE"""),1480.0)</f>
        <v>1480</v>
      </c>
    </row>
    <row r="144">
      <c r="A144" s="1">
        <v>2025.0</v>
      </c>
      <c r="B144" s="1" t="s">
        <v>391</v>
      </c>
      <c r="C144" s="1">
        <v>689690.0</v>
      </c>
      <c r="D144" s="1" t="s">
        <v>532</v>
      </c>
      <c r="E144" s="1" t="s">
        <v>927</v>
      </c>
      <c r="F144" s="1" t="s">
        <v>926</v>
      </c>
      <c r="G144" s="1">
        <v>108.0</v>
      </c>
      <c r="H144" s="1">
        <v>6.14334471</v>
      </c>
      <c r="I144" s="1">
        <v>4.97</v>
      </c>
      <c r="J144" s="1">
        <v>2.397626</v>
      </c>
      <c r="L144" s="10">
        <f>IFERROR(__xludf.DUMMYFUNCTION("""COMPUTED_VALUE"""),672456.0)</f>
        <v>672456</v>
      </c>
      <c r="M144" s="10">
        <f>IFERROR(__xludf.DUMMYFUNCTION("""COMPUTED_VALUE"""),1473.0)</f>
        <v>1473</v>
      </c>
    </row>
    <row r="145">
      <c r="A145" s="1">
        <v>2025.0</v>
      </c>
      <c r="B145" s="1" t="s">
        <v>391</v>
      </c>
      <c r="C145" s="1">
        <v>689690.0</v>
      </c>
      <c r="D145" s="1" t="s">
        <v>537</v>
      </c>
      <c r="E145" s="1" t="s">
        <v>927</v>
      </c>
      <c r="F145" s="1" t="s">
        <v>926</v>
      </c>
      <c r="G145" s="1">
        <v>102.0</v>
      </c>
      <c r="H145" s="1">
        <v>5.802047782</v>
      </c>
      <c r="I145" s="1">
        <v>4.83</v>
      </c>
      <c r="J145" s="1">
        <v>2.587758</v>
      </c>
      <c r="L145" s="10">
        <f>IFERROR(__xludf.DUMMYFUNCTION("""COMPUTED_VALUE"""),700241.0)</f>
        <v>700241</v>
      </c>
      <c r="M145" s="10">
        <f>IFERROR(__xludf.DUMMYFUNCTION("""COMPUTED_VALUE"""),1465.0)</f>
        <v>1465</v>
      </c>
    </row>
    <row r="146">
      <c r="A146" s="1">
        <v>2025.0</v>
      </c>
      <c r="B146" s="1" t="s">
        <v>391</v>
      </c>
      <c r="C146" s="1">
        <v>689690.0</v>
      </c>
      <c r="D146" s="1" t="s">
        <v>536</v>
      </c>
      <c r="E146" s="1" t="s">
        <v>927</v>
      </c>
      <c r="F146" s="1" t="s">
        <v>926</v>
      </c>
      <c r="G146" s="1">
        <v>6.0</v>
      </c>
      <c r="H146" s="1">
        <v>0.341296928</v>
      </c>
      <c r="I146" s="1">
        <v>5.91</v>
      </c>
      <c r="J146" s="1">
        <v>0.03971</v>
      </c>
      <c r="L146" s="10">
        <f>IFERROR(__xludf.DUMMYFUNCTION("""COMPUTED_VALUE"""),676467.0)</f>
        <v>676467</v>
      </c>
      <c r="M146" s="10">
        <f>IFERROR(__xludf.DUMMYFUNCTION("""COMPUTED_VALUE"""),1451.0)</f>
        <v>1451</v>
      </c>
    </row>
    <row r="147">
      <c r="A147" s="1">
        <v>2025.0</v>
      </c>
      <c r="B147" s="1" t="s">
        <v>391</v>
      </c>
      <c r="C147" s="1">
        <v>689690.0</v>
      </c>
      <c r="D147" s="1" t="s">
        <v>539</v>
      </c>
      <c r="E147" s="1" t="s">
        <v>927</v>
      </c>
      <c r="F147" s="1" t="s">
        <v>926</v>
      </c>
      <c r="G147" s="1">
        <v>6.0</v>
      </c>
      <c r="H147" s="1">
        <v>0.341296928</v>
      </c>
      <c r="I147" s="1">
        <v>5.84</v>
      </c>
      <c r="J147" s="1">
        <v>0.03723</v>
      </c>
      <c r="L147" s="10">
        <f>IFERROR(__xludf.DUMMYFUNCTION("""COMPUTED_VALUE"""),592866.0)</f>
        <v>592866</v>
      </c>
      <c r="M147" s="10">
        <f>IFERROR(__xludf.DUMMYFUNCTION("""COMPUTED_VALUE"""),1447.0)</f>
        <v>1447</v>
      </c>
    </row>
    <row r="148">
      <c r="A148" s="1">
        <v>2025.0</v>
      </c>
      <c r="B148" s="1" t="s">
        <v>391</v>
      </c>
      <c r="C148" s="1">
        <v>689690.0</v>
      </c>
      <c r="D148" s="1" t="s">
        <v>532</v>
      </c>
      <c r="E148" s="1" t="s">
        <v>927</v>
      </c>
      <c r="F148" s="1" t="s">
        <v>927</v>
      </c>
      <c r="G148" s="1">
        <v>81.0</v>
      </c>
      <c r="H148" s="1">
        <v>4.607508532</v>
      </c>
      <c r="I148" s="1">
        <v>4.86</v>
      </c>
      <c r="J148" s="1">
        <v>1.95837</v>
      </c>
      <c r="L148" s="10">
        <f>IFERROR(__xludf.DUMMYFUNCTION("""COMPUTED_VALUE"""),676106.0)</f>
        <v>676106</v>
      </c>
      <c r="M148" s="10">
        <f>IFERROR(__xludf.DUMMYFUNCTION("""COMPUTED_VALUE"""),1423.0)</f>
        <v>1423</v>
      </c>
    </row>
    <row r="149">
      <c r="A149" s="1">
        <v>2025.0</v>
      </c>
      <c r="B149" s="1" t="s">
        <v>391</v>
      </c>
      <c r="C149" s="1">
        <v>689690.0</v>
      </c>
      <c r="D149" s="1" t="s">
        <v>537</v>
      </c>
      <c r="E149" s="1" t="s">
        <v>927</v>
      </c>
      <c r="F149" s="1" t="s">
        <v>927</v>
      </c>
      <c r="G149" s="1">
        <v>147.0</v>
      </c>
      <c r="H149" s="1">
        <v>8.361774744</v>
      </c>
      <c r="I149" s="1">
        <v>4.75</v>
      </c>
      <c r="J149" s="1">
        <v>3.911667</v>
      </c>
      <c r="L149" s="10">
        <f>IFERROR(__xludf.DUMMYFUNCTION("""COMPUTED_VALUE"""),453286.0)</f>
        <v>453286</v>
      </c>
      <c r="M149" s="10">
        <f>IFERROR(__xludf.DUMMYFUNCTION("""COMPUTED_VALUE"""),1390.0)</f>
        <v>1390</v>
      </c>
    </row>
    <row r="150">
      <c r="A150" s="1">
        <v>2025.0</v>
      </c>
      <c r="B150" s="1" t="s">
        <v>391</v>
      </c>
      <c r="C150" s="1">
        <v>689690.0</v>
      </c>
      <c r="D150" s="1" t="s">
        <v>536</v>
      </c>
      <c r="E150" s="1" t="s">
        <v>927</v>
      </c>
      <c r="F150" s="1" t="s">
        <v>927</v>
      </c>
      <c r="G150" s="1">
        <v>78.0</v>
      </c>
      <c r="H150" s="1">
        <v>4.436860068</v>
      </c>
      <c r="I150" s="1">
        <v>4.88</v>
      </c>
      <c r="J150" s="1">
        <v>1.944496</v>
      </c>
      <c r="L150" s="10">
        <f>IFERROR(__xludf.DUMMYFUNCTION("""COMPUTED_VALUE"""),656641.0)</f>
        <v>656641</v>
      </c>
      <c r="M150" s="10">
        <f>IFERROR(__xludf.DUMMYFUNCTION("""COMPUTED_VALUE"""),1388.0)</f>
        <v>1388</v>
      </c>
    </row>
    <row r="151">
      <c r="A151" s="1">
        <v>2025.0</v>
      </c>
      <c r="B151" s="1" t="s">
        <v>391</v>
      </c>
      <c r="C151" s="1">
        <v>689690.0</v>
      </c>
      <c r="D151" s="1" t="s">
        <v>539</v>
      </c>
      <c r="E151" s="1" t="s">
        <v>927</v>
      </c>
      <c r="F151" s="1" t="s">
        <v>927</v>
      </c>
      <c r="G151" s="1">
        <v>58.0</v>
      </c>
      <c r="H151" s="1">
        <v>3.299203641</v>
      </c>
      <c r="I151" s="1">
        <v>5.21</v>
      </c>
      <c r="J151" s="1">
        <v>1.018255</v>
      </c>
      <c r="L151" s="10">
        <f>IFERROR(__xludf.DUMMYFUNCTION("""COMPUTED_VALUE"""),641816.0)</f>
        <v>641816</v>
      </c>
      <c r="M151" s="10">
        <f>IFERROR(__xludf.DUMMYFUNCTION("""COMPUTED_VALUE"""),1381.0)</f>
        <v>1381</v>
      </c>
    </row>
    <row r="152">
      <c r="A152" s="1">
        <v>2025.0</v>
      </c>
      <c r="B152" s="1" t="s">
        <v>929</v>
      </c>
      <c r="C152" s="1">
        <v>692024.0</v>
      </c>
      <c r="D152" s="1" t="s">
        <v>537</v>
      </c>
      <c r="E152" s="1" t="s">
        <v>927</v>
      </c>
      <c r="F152" s="1" t="s">
        <v>926</v>
      </c>
      <c r="G152" s="1">
        <v>8.0</v>
      </c>
      <c r="H152" s="1">
        <v>0.444444444</v>
      </c>
      <c r="I152" s="1">
        <v>4.89</v>
      </c>
      <c r="J152" s="1">
        <v>0.199359</v>
      </c>
      <c r="L152" s="10">
        <f>IFERROR(__xludf.DUMMYFUNCTION("""COMPUTED_VALUE"""),674370.0)</f>
        <v>674370</v>
      </c>
      <c r="M152" s="10">
        <f>IFERROR(__xludf.DUMMYFUNCTION("""COMPUTED_VALUE"""),1380.0)</f>
        <v>1380</v>
      </c>
    </row>
    <row r="153">
      <c r="A153" s="1">
        <v>2025.0</v>
      </c>
      <c r="B153" s="1" t="s">
        <v>929</v>
      </c>
      <c r="C153" s="1">
        <v>692024.0</v>
      </c>
      <c r="D153" s="1" t="s">
        <v>538</v>
      </c>
      <c r="E153" s="1" t="s">
        <v>927</v>
      </c>
      <c r="F153" s="1" t="s">
        <v>926</v>
      </c>
      <c r="G153" s="1">
        <v>17.0</v>
      </c>
      <c r="H153" s="1">
        <v>0.944444444</v>
      </c>
      <c r="I153" s="1">
        <v>4.88</v>
      </c>
      <c r="J153" s="1">
        <v>0.404893</v>
      </c>
      <c r="L153" s="10">
        <f>IFERROR(__xludf.DUMMYFUNCTION("""COMPUTED_VALUE"""),805673.0)</f>
        <v>805673</v>
      </c>
      <c r="M153" s="10">
        <f>IFERROR(__xludf.DUMMYFUNCTION("""COMPUTED_VALUE"""),1353.0)</f>
        <v>1353</v>
      </c>
    </row>
    <row r="154">
      <c r="A154" s="1">
        <v>2025.0</v>
      </c>
      <c r="B154" s="1" t="s">
        <v>929</v>
      </c>
      <c r="C154" s="1">
        <v>692024.0</v>
      </c>
      <c r="D154" s="1" t="s">
        <v>533</v>
      </c>
      <c r="E154" s="1" t="s">
        <v>927</v>
      </c>
      <c r="F154" s="1" t="s">
        <v>926</v>
      </c>
      <c r="G154" s="1">
        <v>8.0</v>
      </c>
      <c r="H154" s="1">
        <v>0.444444444</v>
      </c>
      <c r="I154" s="1">
        <v>3.99</v>
      </c>
      <c r="J154" s="1">
        <v>0.36777</v>
      </c>
      <c r="L154" s="10">
        <f>IFERROR(__xludf.DUMMYFUNCTION("""COMPUTED_VALUE"""),687765.0)</f>
        <v>687765</v>
      </c>
      <c r="M154" s="10">
        <f>IFERROR(__xludf.DUMMYFUNCTION("""COMPUTED_VALUE"""),1352.0)</f>
        <v>1352</v>
      </c>
    </row>
    <row r="155">
      <c r="A155" s="1">
        <v>2025.0</v>
      </c>
      <c r="B155" s="1" t="s">
        <v>929</v>
      </c>
      <c r="C155" s="1">
        <v>692024.0</v>
      </c>
      <c r="D155" s="1" t="s">
        <v>537</v>
      </c>
      <c r="E155" s="1" t="s">
        <v>927</v>
      </c>
      <c r="F155" s="1" t="s">
        <v>927</v>
      </c>
      <c r="G155" s="1">
        <v>27.0</v>
      </c>
      <c r="H155" s="1">
        <v>1.5</v>
      </c>
      <c r="I155" s="1">
        <v>5.2</v>
      </c>
      <c r="J155" s="1">
        <v>0.499549</v>
      </c>
      <c r="L155" s="10">
        <f>IFERROR(__xludf.DUMMYFUNCTION("""COMPUTED_VALUE"""),681517.0)</f>
        <v>681517</v>
      </c>
      <c r="M155" s="10">
        <f>IFERROR(__xludf.DUMMYFUNCTION("""COMPUTED_VALUE"""),1350.0)</f>
        <v>1350</v>
      </c>
    </row>
    <row r="156">
      <c r="A156" s="1">
        <v>2025.0</v>
      </c>
      <c r="B156" s="1" t="s">
        <v>929</v>
      </c>
      <c r="C156" s="1">
        <v>692024.0</v>
      </c>
      <c r="D156" s="1" t="s">
        <v>538</v>
      </c>
      <c r="E156" s="1" t="s">
        <v>927</v>
      </c>
      <c r="F156" s="1" t="s">
        <v>927</v>
      </c>
      <c r="G156" s="1">
        <v>5.0</v>
      </c>
      <c r="H156" s="1">
        <v>0.277777778</v>
      </c>
      <c r="I156" s="1">
        <v>4.56</v>
      </c>
      <c r="J156" s="1">
        <v>0.16414</v>
      </c>
      <c r="L156" s="10">
        <f>IFERROR(__xludf.DUMMYFUNCTION("""COMPUTED_VALUE"""),656288.0)</f>
        <v>656288</v>
      </c>
      <c r="M156" s="10">
        <f>IFERROR(__xludf.DUMMYFUNCTION("""COMPUTED_VALUE"""),1342.0)</f>
        <v>1342</v>
      </c>
    </row>
    <row r="157">
      <c r="A157" s="1">
        <v>2025.0</v>
      </c>
      <c r="B157" s="1" t="s">
        <v>929</v>
      </c>
      <c r="C157" s="1">
        <v>692024.0</v>
      </c>
      <c r="D157" s="1" t="s">
        <v>533</v>
      </c>
      <c r="E157" s="1" t="s">
        <v>927</v>
      </c>
      <c r="F157" s="1" t="s">
        <v>927</v>
      </c>
      <c r="G157" s="1">
        <v>19.0</v>
      </c>
      <c r="H157" s="1">
        <v>1.055555556</v>
      </c>
      <c r="I157" s="1">
        <v>4.08</v>
      </c>
      <c r="J157" s="1">
        <v>0.771567</v>
      </c>
      <c r="L157" s="10">
        <f>IFERROR(__xludf.DUMMYFUNCTION("""COMPUTED_VALUE"""),671131.0)</f>
        <v>671131</v>
      </c>
      <c r="M157" s="10">
        <f>IFERROR(__xludf.DUMMYFUNCTION("""COMPUTED_VALUE"""),1338.0)</f>
        <v>1338</v>
      </c>
    </row>
    <row r="158">
      <c r="A158" s="1">
        <v>2025.0</v>
      </c>
      <c r="B158" s="1" t="s">
        <v>930</v>
      </c>
      <c r="C158" s="1">
        <v>656577.0</v>
      </c>
      <c r="D158" s="1" t="s">
        <v>537</v>
      </c>
      <c r="E158" s="1" t="s">
        <v>927</v>
      </c>
      <c r="F158" s="1" t="s">
        <v>926</v>
      </c>
      <c r="G158" s="1">
        <v>2.0</v>
      </c>
      <c r="H158" s="1">
        <v>0.153846154</v>
      </c>
      <c r="I158" s="1">
        <v>4.19</v>
      </c>
      <c r="J158" s="1">
        <v>0.084482</v>
      </c>
      <c r="L158" s="10">
        <f>IFERROR(__xludf.DUMMYFUNCTION("""COMPUTED_VALUE"""),688138.0)</f>
        <v>688138</v>
      </c>
      <c r="M158" s="10">
        <f>IFERROR(__xludf.DUMMYFUNCTION("""COMPUTED_VALUE"""),1338.0)</f>
        <v>1338</v>
      </c>
    </row>
    <row r="159">
      <c r="A159" s="1">
        <v>2025.0</v>
      </c>
      <c r="B159" s="1" t="s">
        <v>930</v>
      </c>
      <c r="C159" s="1">
        <v>656577.0</v>
      </c>
      <c r="D159" s="1" t="s">
        <v>537</v>
      </c>
      <c r="E159" s="1" t="s">
        <v>927</v>
      </c>
      <c r="F159" s="1" t="s">
        <v>927</v>
      </c>
      <c r="G159" s="1">
        <v>11.0</v>
      </c>
      <c r="H159" s="1">
        <v>0.846153846</v>
      </c>
      <c r="I159" s="1">
        <v>4.58</v>
      </c>
      <c r="J159" s="1">
        <v>0.367774</v>
      </c>
      <c r="L159" s="10">
        <f>IFERROR(__xludf.DUMMYFUNCTION("""COMPUTED_VALUE"""),678368.0)</f>
        <v>678368</v>
      </c>
      <c r="M159" s="10">
        <f>IFERROR(__xludf.DUMMYFUNCTION("""COMPUTED_VALUE"""),1321.0)</f>
        <v>1321</v>
      </c>
    </row>
    <row r="160">
      <c r="A160" s="1">
        <v>2025.0</v>
      </c>
      <c r="B160" s="1" t="s">
        <v>931</v>
      </c>
      <c r="C160" s="1">
        <v>656638.0</v>
      </c>
      <c r="D160" s="1" t="s">
        <v>532</v>
      </c>
      <c r="E160" s="1" t="s">
        <v>927</v>
      </c>
      <c r="F160" s="1" t="s">
        <v>926</v>
      </c>
      <c r="G160" s="1">
        <v>3.0</v>
      </c>
      <c r="H160" s="1">
        <v>0.15</v>
      </c>
      <c r="I160" s="1">
        <v>4.58</v>
      </c>
      <c r="J160" s="1">
        <v>0.087559</v>
      </c>
      <c r="L160" s="10">
        <f>IFERROR(__xludf.DUMMYFUNCTION("""COMPUTED_VALUE"""),686701.0)</f>
        <v>686701</v>
      </c>
      <c r="M160" s="10">
        <f>IFERROR(__xludf.DUMMYFUNCTION("""COMPUTED_VALUE"""),1312.0)</f>
        <v>1312</v>
      </c>
    </row>
    <row r="161">
      <c r="A161" s="1">
        <v>2025.0</v>
      </c>
      <c r="B161" s="1" t="s">
        <v>931</v>
      </c>
      <c r="C161" s="1">
        <v>656638.0</v>
      </c>
      <c r="D161" s="1" t="s">
        <v>541</v>
      </c>
      <c r="E161" s="1" t="s">
        <v>927</v>
      </c>
      <c r="F161" s="1" t="s">
        <v>926</v>
      </c>
      <c r="G161" s="1">
        <v>7.0</v>
      </c>
      <c r="H161" s="1">
        <v>0.35</v>
      </c>
      <c r="I161" s="1">
        <v>6.02</v>
      </c>
      <c r="J161" s="1">
        <v>-0.001178</v>
      </c>
      <c r="L161" s="10">
        <f>IFERROR(__xludf.DUMMYFUNCTION("""COMPUTED_VALUE"""),702352.0)</f>
        <v>702352</v>
      </c>
      <c r="M161" s="10">
        <f>IFERROR(__xludf.DUMMYFUNCTION("""COMPUTED_VALUE"""),1294.0)</f>
        <v>1294</v>
      </c>
    </row>
    <row r="162">
      <c r="A162" s="1">
        <v>2025.0</v>
      </c>
      <c r="B162" s="1" t="s">
        <v>931</v>
      </c>
      <c r="C162" s="1">
        <v>656638.0</v>
      </c>
      <c r="D162" s="1" t="s">
        <v>537</v>
      </c>
      <c r="E162" s="1" t="s">
        <v>927</v>
      </c>
      <c r="F162" s="1" t="s">
        <v>926</v>
      </c>
      <c r="G162" s="1">
        <v>2.0</v>
      </c>
      <c r="H162" s="1">
        <v>0.1</v>
      </c>
      <c r="I162" s="1">
        <v>0.39</v>
      </c>
      <c r="J162" s="1">
        <v>0.23024</v>
      </c>
      <c r="L162" s="10">
        <f>IFERROR(__xludf.DUMMYFUNCTION("""COMPUTED_VALUE"""),623474.0)</f>
        <v>623474</v>
      </c>
      <c r="M162" s="10">
        <f>IFERROR(__xludf.DUMMYFUNCTION("""COMPUTED_VALUE"""),1282.0)</f>
        <v>1282</v>
      </c>
    </row>
    <row r="163">
      <c r="A163" s="1">
        <v>2025.0</v>
      </c>
      <c r="B163" s="1" t="s">
        <v>931</v>
      </c>
      <c r="C163" s="1">
        <v>656638.0</v>
      </c>
      <c r="D163" s="1" t="s">
        <v>536</v>
      </c>
      <c r="E163" s="1" t="s">
        <v>927</v>
      </c>
      <c r="F163" s="1" t="s">
        <v>926</v>
      </c>
      <c r="G163" s="1">
        <v>1.0</v>
      </c>
      <c r="H163" s="1">
        <v>0.05</v>
      </c>
      <c r="I163" s="1">
        <v>5.85</v>
      </c>
      <c r="J163" s="1">
        <v>0.008169</v>
      </c>
      <c r="L163" s="10">
        <f>IFERROR(__xludf.DUMMYFUNCTION("""COMPUTED_VALUE"""),605130.0)</f>
        <v>605130</v>
      </c>
      <c r="M163" s="10">
        <f>IFERROR(__xludf.DUMMYFUNCTION("""COMPUTED_VALUE"""),1274.0)</f>
        <v>1274</v>
      </c>
    </row>
    <row r="164">
      <c r="A164" s="1">
        <v>2025.0</v>
      </c>
      <c r="B164" s="1" t="s">
        <v>931</v>
      </c>
      <c r="C164" s="1">
        <v>656638.0</v>
      </c>
      <c r="D164" s="1" t="s">
        <v>541</v>
      </c>
      <c r="E164" s="1" t="s">
        <v>927</v>
      </c>
      <c r="F164" s="1" t="s">
        <v>927</v>
      </c>
      <c r="G164" s="1">
        <v>5.0</v>
      </c>
      <c r="H164" s="1">
        <v>0.25</v>
      </c>
      <c r="I164" s="1">
        <v>4.91</v>
      </c>
      <c r="J164" s="1">
        <v>0.128144</v>
      </c>
      <c r="L164" s="10">
        <f>IFERROR(__xludf.DUMMYFUNCTION("""COMPUTED_VALUE"""),676508.0)</f>
        <v>676508</v>
      </c>
      <c r="M164" s="10">
        <f>IFERROR(__xludf.DUMMYFUNCTION("""COMPUTED_VALUE"""),1262.0)</f>
        <v>1262</v>
      </c>
    </row>
    <row r="165">
      <c r="A165" s="1">
        <v>2025.0</v>
      </c>
      <c r="B165" s="1" t="s">
        <v>931</v>
      </c>
      <c r="C165" s="1">
        <v>656638.0</v>
      </c>
      <c r="D165" s="1" t="s">
        <v>536</v>
      </c>
      <c r="E165" s="1" t="s">
        <v>927</v>
      </c>
      <c r="F165" s="1" t="s">
        <v>927</v>
      </c>
      <c r="G165" s="1">
        <v>2.0</v>
      </c>
      <c r="H165" s="1">
        <v>0.1</v>
      </c>
      <c r="I165" s="1">
        <v>5.02</v>
      </c>
      <c r="J165" s="1">
        <v>0.048764</v>
      </c>
      <c r="L165" s="10">
        <f>IFERROR(__xludf.DUMMYFUNCTION("""COMPUTED_VALUE"""),641154.0)</f>
        <v>641154</v>
      </c>
      <c r="M165" s="10">
        <f>IFERROR(__xludf.DUMMYFUNCTION("""COMPUTED_VALUE"""),1259.0)</f>
        <v>1259</v>
      </c>
    </row>
    <row r="166">
      <c r="A166" s="1">
        <v>2025.0</v>
      </c>
      <c r="B166" s="1" t="s">
        <v>92</v>
      </c>
      <c r="C166" s="1">
        <v>681911.0</v>
      </c>
      <c r="D166" s="1" t="s">
        <v>537</v>
      </c>
      <c r="E166" s="1" t="s">
        <v>926</v>
      </c>
      <c r="F166" s="1" t="s">
        <v>926</v>
      </c>
      <c r="G166" s="1">
        <v>183.0</v>
      </c>
      <c r="H166" s="1">
        <v>10.70490196</v>
      </c>
      <c r="I166" s="1">
        <v>5.66</v>
      </c>
      <c r="J166" s="1">
        <v>1.445914</v>
      </c>
      <c r="L166" s="10">
        <f>IFERROR(__xludf.DUMMYFUNCTION("""COMPUTED_VALUE"""),693645.0)</f>
        <v>693645</v>
      </c>
      <c r="M166" s="10">
        <f>IFERROR(__xludf.DUMMYFUNCTION("""COMPUTED_VALUE"""),1253.0)</f>
        <v>1253</v>
      </c>
    </row>
    <row r="167">
      <c r="A167" s="1">
        <v>2025.0</v>
      </c>
      <c r="B167" s="1" t="s">
        <v>92</v>
      </c>
      <c r="C167" s="1">
        <v>681911.0</v>
      </c>
      <c r="D167" s="1" t="s">
        <v>533</v>
      </c>
      <c r="E167" s="1" t="s">
        <v>926</v>
      </c>
      <c r="F167" s="1" t="s">
        <v>926</v>
      </c>
      <c r="G167" s="1">
        <v>157.0</v>
      </c>
      <c r="H167" s="1">
        <v>9.183986928</v>
      </c>
      <c r="I167" s="1">
        <v>5.21</v>
      </c>
      <c r="J167" s="1">
        <v>2.707818</v>
      </c>
      <c r="L167" s="10">
        <f>IFERROR(__xludf.DUMMYFUNCTION("""COMPUTED_VALUE"""),669920.0)</f>
        <v>669920</v>
      </c>
      <c r="M167" s="10">
        <f>IFERROR(__xludf.DUMMYFUNCTION("""COMPUTED_VALUE"""),1252.0)</f>
        <v>1252</v>
      </c>
    </row>
    <row r="168">
      <c r="A168" s="1">
        <v>2025.0</v>
      </c>
      <c r="B168" s="1" t="s">
        <v>92</v>
      </c>
      <c r="C168" s="1">
        <v>681911.0</v>
      </c>
      <c r="D168" s="1" t="s">
        <v>532</v>
      </c>
      <c r="E168" s="1" t="s">
        <v>926</v>
      </c>
      <c r="F168" s="1" t="s">
        <v>927</v>
      </c>
      <c r="G168" s="1">
        <v>63.0</v>
      </c>
      <c r="H168" s="1">
        <v>3.685294118</v>
      </c>
      <c r="I168" s="1">
        <v>4.72</v>
      </c>
      <c r="J168" s="1">
        <v>1.729083</v>
      </c>
      <c r="L168" s="10">
        <f>IFERROR(__xludf.DUMMYFUNCTION("""COMPUTED_VALUE"""),685299.0)</f>
        <v>685299</v>
      </c>
      <c r="M168" s="10">
        <f>IFERROR(__xludf.DUMMYFUNCTION("""COMPUTED_VALUE"""),1244.0)</f>
        <v>1244</v>
      </c>
    </row>
    <row r="169">
      <c r="A169" s="1">
        <v>2025.0</v>
      </c>
      <c r="B169" s="1" t="s">
        <v>92</v>
      </c>
      <c r="C169" s="1">
        <v>681911.0</v>
      </c>
      <c r="D169" s="1" t="s">
        <v>537</v>
      </c>
      <c r="E169" s="1" t="s">
        <v>926</v>
      </c>
      <c r="F169" s="1" t="s">
        <v>927</v>
      </c>
      <c r="G169" s="1">
        <v>403.0</v>
      </c>
      <c r="H169" s="1">
        <v>23.57418301</v>
      </c>
      <c r="I169" s="1">
        <v>5.28</v>
      </c>
      <c r="J169" s="1">
        <v>6.551934</v>
      </c>
      <c r="L169" s="10">
        <f>IFERROR(__xludf.DUMMYFUNCTION("""COMPUTED_VALUE"""),663893.0)</f>
        <v>663893</v>
      </c>
      <c r="M169" s="10">
        <f>IFERROR(__xludf.DUMMYFUNCTION("""COMPUTED_VALUE"""),1240.0)</f>
        <v>1240</v>
      </c>
    </row>
    <row r="170">
      <c r="A170" s="1">
        <v>2025.0</v>
      </c>
      <c r="B170" s="1" t="s">
        <v>92</v>
      </c>
      <c r="C170" s="1">
        <v>681911.0</v>
      </c>
      <c r="D170" s="1" t="s">
        <v>533</v>
      </c>
      <c r="E170" s="1" t="s">
        <v>926</v>
      </c>
      <c r="F170" s="1" t="s">
        <v>927</v>
      </c>
      <c r="G170" s="1">
        <v>214.0</v>
      </c>
      <c r="H170" s="1">
        <v>12.51830065</v>
      </c>
      <c r="I170" s="1">
        <v>5.05</v>
      </c>
      <c r="J170" s="1">
        <v>4.471386</v>
      </c>
      <c r="L170" s="10">
        <f>IFERROR(__xludf.DUMMYFUNCTION("""COMPUTED_VALUE"""),669093.0)</f>
        <v>669093</v>
      </c>
      <c r="M170" s="10">
        <f>IFERROR(__xludf.DUMMYFUNCTION("""COMPUTED_VALUE"""),1236.0)</f>
        <v>1236</v>
      </c>
    </row>
    <row r="171">
      <c r="A171" s="1">
        <v>2025.0</v>
      </c>
      <c r="B171" s="1" t="s">
        <v>832</v>
      </c>
      <c r="C171" s="1">
        <v>664747.0</v>
      </c>
      <c r="D171" s="1" t="s">
        <v>537</v>
      </c>
      <c r="E171" s="1" t="s">
        <v>927</v>
      </c>
      <c r="F171" s="1" t="s">
        <v>926</v>
      </c>
      <c r="G171" s="1">
        <v>90.0</v>
      </c>
      <c r="H171" s="1">
        <v>4.416666667</v>
      </c>
      <c r="I171" s="1">
        <v>4.79</v>
      </c>
      <c r="J171" s="1">
        <v>2.407045</v>
      </c>
      <c r="L171" s="10">
        <f>IFERROR(__xludf.DUMMYFUNCTION("""COMPUTED_VALUE"""),656731.0)</f>
        <v>656731</v>
      </c>
      <c r="M171" s="10">
        <f>IFERROR(__xludf.DUMMYFUNCTION("""COMPUTED_VALUE"""),1234.0)</f>
        <v>1234</v>
      </c>
    </row>
    <row r="172">
      <c r="A172" s="1">
        <v>2025.0</v>
      </c>
      <c r="B172" s="1" t="s">
        <v>832</v>
      </c>
      <c r="C172" s="1">
        <v>664747.0</v>
      </c>
      <c r="D172" s="1" t="s">
        <v>533</v>
      </c>
      <c r="E172" s="1" t="s">
        <v>927</v>
      </c>
      <c r="F172" s="1" t="s">
        <v>926</v>
      </c>
      <c r="G172" s="1">
        <v>56.0</v>
      </c>
      <c r="H172" s="1">
        <v>2.748148148</v>
      </c>
      <c r="I172" s="1">
        <v>4.55</v>
      </c>
      <c r="J172" s="1">
        <v>1.712874</v>
      </c>
      <c r="L172" s="10">
        <f>IFERROR(__xludf.DUMMYFUNCTION("""COMPUTED_VALUE"""),663574.0)</f>
        <v>663574</v>
      </c>
      <c r="M172" s="10">
        <f>IFERROR(__xludf.DUMMYFUNCTION("""COMPUTED_VALUE"""),1229.0)</f>
        <v>1229</v>
      </c>
    </row>
    <row r="173">
      <c r="A173" s="1">
        <v>2025.0</v>
      </c>
      <c r="B173" s="1" t="s">
        <v>832</v>
      </c>
      <c r="C173" s="1">
        <v>664747.0</v>
      </c>
      <c r="D173" s="1" t="s">
        <v>537</v>
      </c>
      <c r="E173" s="1" t="s">
        <v>927</v>
      </c>
      <c r="F173" s="1" t="s">
        <v>927</v>
      </c>
      <c r="G173" s="1">
        <v>125.0</v>
      </c>
      <c r="H173" s="1">
        <v>6.134259259</v>
      </c>
      <c r="I173" s="1">
        <v>4.83</v>
      </c>
      <c r="J173" s="1">
        <v>3.196523</v>
      </c>
      <c r="L173" s="10">
        <f>IFERROR(__xludf.DUMMYFUNCTION("""COMPUTED_VALUE"""),641755.0)</f>
        <v>641755</v>
      </c>
      <c r="M173" s="10">
        <f>IFERROR(__xludf.DUMMYFUNCTION("""COMPUTED_VALUE"""),1225.0)</f>
        <v>1225</v>
      </c>
    </row>
    <row r="174">
      <c r="A174" s="1">
        <v>2025.0</v>
      </c>
      <c r="B174" s="1" t="s">
        <v>832</v>
      </c>
      <c r="C174" s="1">
        <v>664747.0</v>
      </c>
      <c r="D174" s="1" t="s">
        <v>533</v>
      </c>
      <c r="E174" s="1" t="s">
        <v>927</v>
      </c>
      <c r="F174" s="1" t="s">
        <v>927</v>
      </c>
      <c r="G174" s="1">
        <v>89.0</v>
      </c>
      <c r="H174" s="1">
        <v>4.367592593</v>
      </c>
      <c r="I174" s="1">
        <v>4.86</v>
      </c>
      <c r="J174" s="1">
        <v>2.22824</v>
      </c>
      <c r="L174" s="10">
        <f>IFERROR(__xludf.DUMMYFUNCTION("""COMPUTED_VALUE"""),657376.0)</f>
        <v>657376</v>
      </c>
      <c r="M174" s="10">
        <f>IFERROR(__xludf.DUMMYFUNCTION("""COMPUTED_VALUE"""),1225.0)</f>
        <v>1225</v>
      </c>
    </row>
    <row r="175">
      <c r="A175" s="1">
        <v>2025.0</v>
      </c>
      <c r="B175" s="1" t="s">
        <v>601</v>
      </c>
      <c r="C175" s="1">
        <v>642216.0</v>
      </c>
      <c r="D175" s="1" t="s">
        <v>532</v>
      </c>
      <c r="E175" s="1" t="s">
        <v>927</v>
      </c>
      <c r="F175" s="1" t="s">
        <v>926</v>
      </c>
      <c r="G175" s="1">
        <v>36.0</v>
      </c>
      <c r="H175" s="1">
        <v>1.964912281</v>
      </c>
      <c r="I175" s="1">
        <v>4.82</v>
      </c>
      <c r="J175" s="1">
        <v>0.903427</v>
      </c>
      <c r="L175" s="10">
        <f>IFERROR(__xludf.DUMMYFUNCTION("""COMPUTED_VALUE"""),650633.0)</f>
        <v>650633</v>
      </c>
      <c r="M175" s="10">
        <f>IFERROR(__xludf.DUMMYFUNCTION("""COMPUTED_VALUE"""),1219.0)</f>
        <v>1219</v>
      </c>
    </row>
    <row r="176">
      <c r="A176" s="1">
        <v>2025.0</v>
      </c>
      <c r="B176" s="1" t="s">
        <v>601</v>
      </c>
      <c r="C176" s="1">
        <v>642216.0</v>
      </c>
      <c r="D176" s="1" t="s">
        <v>541</v>
      </c>
      <c r="E176" s="1" t="s">
        <v>927</v>
      </c>
      <c r="F176" s="1" t="s">
        <v>926</v>
      </c>
      <c r="G176" s="1">
        <v>5.0</v>
      </c>
      <c r="H176" s="1">
        <v>0.272904483</v>
      </c>
      <c r="I176" s="1">
        <v>3.93</v>
      </c>
      <c r="J176" s="1">
        <v>0.222945</v>
      </c>
      <c r="L176" s="10">
        <f>IFERROR(__xludf.DUMMYFUNCTION("""COMPUTED_VALUE"""),660825.0)</f>
        <v>660825</v>
      </c>
      <c r="M176" s="10">
        <f>IFERROR(__xludf.DUMMYFUNCTION("""COMPUTED_VALUE"""),1215.0)</f>
        <v>1215</v>
      </c>
    </row>
    <row r="177">
      <c r="A177" s="1">
        <v>2025.0</v>
      </c>
      <c r="B177" s="1" t="s">
        <v>601</v>
      </c>
      <c r="C177" s="1">
        <v>642216.0</v>
      </c>
      <c r="D177" s="1" t="s">
        <v>537</v>
      </c>
      <c r="E177" s="1" t="s">
        <v>927</v>
      </c>
      <c r="F177" s="1" t="s">
        <v>926</v>
      </c>
      <c r="G177" s="1">
        <v>23.0</v>
      </c>
      <c r="H177" s="1">
        <v>1.255360624</v>
      </c>
      <c r="I177" s="1">
        <v>3.95</v>
      </c>
      <c r="J177" s="1">
        <v>0.982839</v>
      </c>
      <c r="L177" s="10">
        <f>IFERROR(__xludf.DUMMYFUNCTION("""COMPUTED_VALUE"""),670955.0)</f>
        <v>670955</v>
      </c>
      <c r="M177" s="10">
        <f>IFERROR(__xludf.DUMMYFUNCTION("""COMPUTED_VALUE"""),1214.0)</f>
        <v>1214</v>
      </c>
    </row>
    <row r="178">
      <c r="A178" s="1">
        <v>2025.0</v>
      </c>
      <c r="B178" s="1" t="s">
        <v>601</v>
      </c>
      <c r="C178" s="1">
        <v>642216.0</v>
      </c>
      <c r="D178" s="1" t="s">
        <v>536</v>
      </c>
      <c r="E178" s="1" t="s">
        <v>927</v>
      </c>
      <c r="F178" s="1" t="s">
        <v>926</v>
      </c>
      <c r="G178" s="1">
        <v>13.0</v>
      </c>
      <c r="H178" s="1">
        <v>0.709551657</v>
      </c>
      <c r="I178" s="1">
        <v>4.78</v>
      </c>
      <c r="J178" s="1">
        <v>0.364205</v>
      </c>
      <c r="L178" s="10">
        <f>IFERROR(__xludf.DUMMYFUNCTION("""COMPUTED_VALUE"""),685126.0)</f>
        <v>685126</v>
      </c>
      <c r="M178" s="10">
        <f>IFERROR(__xludf.DUMMYFUNCTION("""COMPUTED_VALUE"""),1214.0)</f>
        <v>1214</v>
      </c>
    </row>
    <row r="179">
      <c r="A179" s="1">
        <v>2025.0</v>
      </c>
      <c r="B179" s="1" t="s">
        <v>601</v>
      </c>
      <c r="C179" s="1">
        <v>642216.0</v>
      </c>
      <c r="D179" s="1" t="s">
        <v>533</v>
      </c>
      <c r="E179" s="1" t="s">
        <v>927</v>
      </c>
      <c r="F179" s="1" t="s">
        <v>926</v>
      </c>
      <c r="G179" s="1">
        <v>6.0</v>
      </c>
      <c r="H179" s="1">
        <v>0.32748538</v>
      </c>
      <c r="I179" s="1">
        <v>5.35</v>
      </c>
      <c r="J179" s="1">
        <v>0.089203</v>
      </c>
      <c r="L179" s="10">
        <f>IFERROR(__xludf.DUMMYFUNCTION("""COMPUTED_VALUE"""),678606.0)</f>
        <v>678606</v>
      </c>
      <c r="M179" s="10">
        <f>IFERROR(__xludf.DUMMYFUNCTION("""COMPUTED_VALUE"""),1206.0)</f>
        <v>1206</v>
      </c>
    </row>
    <row r="180">
      <c r="A180" s="1">
        <v>2025.0</v>
      </c>
      <c r="B180" s="1" t="s">
        <v>601</v>
      </c>
      <c r="C180" s="1">
        <v>642216.0</v>
      </c>
      <c r="D180" s="1" t="s">
        <v>532</v>
      </c>
      <c r="E180" s="1" t="s">
        <v>927</v>
      </c>
      <c r="F180" s="1" t="s">
        <v>927</v>
      </c>
      <c r="G180" s="1">
        <v>20.0</v>
      </c>
      <c r="H180" s="1">
        <v>1.091617934</v>
      </c>
      <c r="I180" s="1">
        <v>5.2</v>
      </c>
      <c r="J180" s="1">
        <v>0.337753</v>
      </c>
      <c r="L180" s="10">
        <f>IFERROR(__xludf.DUMMYFUNCTION("""COMPUTED_VALUE"""),663855.0)</f>
        <v>663855</v>
      </c>
      <c r="M180" s="10">
        <f>IFERROR(__xludf.DUMMYFUNCTION("""COMPUTED_VALUE"""),1198.0)</f>
        <v>1198</v>
      </c>
    </row>
    <row r="181">
      <c r="A181" s="1">
        <v>2025.0</v>
      </c>
      <c r="B181" s="1" t="s">
        <v>601</v>
      </c>
      <c r="C181" s="1">
        <v>642216.0</v>
      </c>
      <c r="D181" s="1" t="s">
        <v>537</v>
      </c>
      <c r="E181" s="1" t="s">
        <v>927</v>
      </c>
      <c r="F181" s="1" t="s">
        <v>927</v>
      </c>
      <c r="G181" s="1">
        <v>3.0</v>
      </c>
      <c r="H181" s="1">
        <v>0.16374269</v>
      </c>
      <c r="I181" s="1">
        <v>5.5</v>
      </c>
      <c r="J181" s="1">
        <v>0.037696</v>
      </c>
      <c r="L181" s="10">
        <f>IFERROR(__xludf.DUMMYFUNCTION("""COMPUTED_VALUE"""),806185.0)</f>
        <v>806185</v>
      </c>
      <c r="M181" s="10">
        <f>IFERROR(__xludf.DUMMYFUNCTION("""COMPUTED_VALUE"""),1194.0)</f>
        <v>1194</v>
      </c>
    </row>
    <row r="182">
      <c r="A182" s="1">
        <v>2025.0</v>
      </c>
      <c r="B182" s="1" t="s">
        <v>601</v>
      </c>
      <c r="C182" s="1">
        <v>642216.0</v>
      </c>
      <c r="D182" s="1" t="s">
        <v>536</v>
      </c>
      <c r="E182" s="1" t="s">
        <v>927</v>
      </c>
      <c r="F182" s="1" t="s">
        <v>927</v>
      </c>
      <c r="G182" s="1">
        <v>39.0</v>
      </c>
      <c r="H182" s="1">
        <v>2.128654971</v>
      </c>
      <c r="I182" s="1">
        <v>5.16</v>
      </c>
      <c r="J182" s="1">
        <v>0.752253</v>
      </c>
      <c r="L182" s="10">
        <f>IFERROR(__xludf.DUMMYFUNCTION("""COMPUTED_VALUE"""),650556.0)</f>
        <v>650556</v>
      </c>
      <c r="M182" s="10">
        <f>IFERROR(__xludf.DUMMYFUNCTION("""COMPUTED_VALUE"""),1189.0)</f>
        <v>1189</v>
      </c>
    </row>
    <row r="183">
      <c r="A183" s="1">
        <v>2025.0</v>
      </c>
      <c r="B183" s="1" t="s">
        <v>601</v>
      </c>
      <c r="C183" s="1">
        <v>642216.0</v>
      </c>
      <c r="D183" s="1" t="s">
        <v>533</v>
      </c>
      <c r="E183" s="1" t="s">
        <v>927</v>
      </c>
      <c r="F183" s="1" t="s">
        <v>927</v>
      </c>
      <c r="G183" s="1">
        <v>26.0</v>
      </c>
      <c r="H183" s="1">
        <v>1.419103314</v>
      </c>
      <c r="I183" s="1">
        <v>4.46</v>
      </c>
      <c r="J183" s="1">
        <v>0.859866</v>
      </c>
      <c r="L183" s="10">
        <f>IFERROR(__xludf.DUMMYFUNCTION("""COMPUTED_VALUE"""),671922.0)</f>
        <v>671922</v>
      </c>
      <c r="M183" s="10">
        <f>IFERROR(__xludf.DUMMYFUNCTION("""COMPUTED_VALUE"""),1182.0)</f>
        <v>1182</v>
      </c>
    </row>
    <row r="184">
      <c r="A184" s="1">
        <v>2025.0</v>
      </c>
      <c r="B184" s="1" t="s">
        <v>932</v>
      </c>
      <c r="C184" s="1">
        <v>645305.0</v>
      </c>
      <c r="D184" s="1" t="s">
        <v>541</v>
      </c>
      <c r="E184" s="1" t="s">
        <v>927</v>
      </c>
      <c r="F184" s="1" t="s">
        <v>926</v>
      </c>
      <c r="G184" s="1">
        <v>7.0</v>
      </c>
      <c r="H184" s="1">
        <v>0.466666667</v>
      </c>
      <c r="I184" s="1">
        <v>5.21</v>
      </c>
      <c r="J184" s="1">
        <v>0.134694</v>
      </c>
      <c r="L184" s="10">
        <f>IFERROR(__xludf.DUMMYFUNCTION("""COMPUTED_VALUE"""),676477.0)</f>
        <v>676477</v>
      </c>
      <c r="M184" s="10">
        <f>IFERROR(__xludf.DUMMYFUNCTION("""COMPUTED_VALUE"""),1180.0)</f>
        <v>1180</v>
      </c>
    </row>
    <row r="185">
      <c r="A185" s="1">
        <v>2025.0</v>
      </c>
      <c r="B185" s="1" t="s">
        <v>932</v>
      </c>
      <c r="C185" s="1">
        <v>645305.0</v>
      </c>
      <c r="D185" s="1" t="s">
        <v>541</v>
      </c>
      <c r="E185" s="1" t="s">
        <v>927</v>
      </c>
      <c r="F185" s="1" t="s">
        <v>927</v>
      </c>
      <c r="G185" s="1">
        <v>7.0</v>
      </c>
      <c r="H185" s="1">
        <v>0.466666667</v>
      </c>
      <c r="I185" s="1">
        <v>4.82</v>
      </c>
      <c r="J185" s="1">
        <v>0.188573</v>
      </c>
      <c r="L185" s="10">
        <f>IFERROR(__xludf.DUMMYFUNCTION("""COMPUTED_VALUE"""),682842.0)</f>
        <v>682842</v>
      </c>
      <c r="M185" s="10">
        <f>IFERROR(__xludf.DUMMYFUNCTION("""COMPUTED_VALUE"""),1164.0)</f>
        <v>1164</v>
      </c>
    </row>
    <row r="186">
      <c r="A186" s="1">
        <v>2025.0</v>
      </c>
      <c r="B186" s="1" t="s">
        <v>932</v>
      </c>
      <c r="C186" s="1">
        <v>645305.0</v>
      </c>
      <c r="D186" s="1" t="s">
        <v>537</v>
      </c>
      <c r="E186" s="1" t="s">
        <v>927</v>
      </c>
      <c r="F186" s="1" t="s">
        <v>927</v>
      </c>
      <c r="G186" s="1">
        <v>1.0</v>
      </c>
      <c r="H186" s="1">
        <v>0.066666667</v>
      </c>
      <c r="I186" s="1">
        <v>3.86</v>
      </c>
      <c r="J186" s="1">
        <v>0.04223</v>
      </c>
      <c r="L186" s="10">
        <f>IFERROR(__xludf.DUMMYFUNCTION("""COMPUTED_VALUE"""),694819.0)</f>
        <v>694819</v>
      </c>
      <c r="M186" s="10">
        <f>IFERROR(__xludf.DUMMYFUNCTION("""COMPUTED_VALUE"""),1164.0)</f>
        <v>1164</v>
      </c>
    </row>
    <row r="187">
      <c r="A187" s="1">
        <v>2025.0</v>
      </c>
      <c r="B187" s="1" t="s">
        <v>807</v>
      </c>
      <c r="C187" s="1">
        <v>642708.0</v>
      </c>
      <c r="D187" s="1" t="s">
        <v>537</v>
      </c>
      <c r="E187" s="1" t="s">
        <v>927</v>
      </c>
      <c r="F187" s="1" t="s">
        <v>926</v>
      </c>
      <c r="G187" s="1">
        <v>2.0</v>
      </c>
      <c r="H187" s="1">
        <v>1.0</v>
      </c>
      <c r="I187" s="1">
        <v>4.4</v>
      </c>
      <c r="J187" s="1">
        <v>0.070992</v>
      </c>
      <c r="L187" s="10">
        <f>IFERROR(__xludf.DUMMYFUNCTION("""COMPUTED_VALUE"""),571927.0)</f>
        <v>571927</v>
      </c>
      <c r="M187" s="10">
        <f>IFERROR(__xludf.DUMMYFUNCTION("""COMPUTED_VALUE"""),1159.0)</f>
        <v>1159</v>
      </c>
    </row>
    <row r="188">
      <c r="A188" s="1">
        <v>2025.0</v>
      </c>
      <c r="B188" s="1" t="s">
        <v>875</v>
      </c>
      <c r="C188" s="1">
        <v>701552.0</v>
      </c>
      <c r="D188" s="1" t="s">
        <v>532</v>
      </c>
      <c r="E188" s="1" t="s">
        <v>927</v>
      </c>
      <c r="F188" s="1" t="s">
        <v>926</v>
      </c>
      <c r="G188" s="1">
        <v>20.0</v>
      </c>
      <c r="H188" s="1">
        <v>1.166666667</v>
      </c>
      <c r="I188" s="1">
        <v>5.02</v>
      </c>
      <c r="J188" s="1">
        <v>0.448972</v>
      </c>
      <c r="L188" s="10">
        <f>IFERROR(__xludf.DUMMYFUNCTION("""COMPUTED_VALUE"""),681857.0)</f>
        <v>681857</v>
      </c>
      <c r="M188" s="10">
        <f>IFERROR(__xludf.DUMMYFUNCTION("""COMPUTED_VALUE"""),1159.0)</f>
        <v>1159</v>
      </c>
    </row>
    <row r="189">
      <c r="A189" s="1">
        <v>2025.0</v>
      </c>
      <c r="B189" s="1" t="s">
        <v>875</v>
      </c>
      <c r="C189" s="1">
        <v>701552.0</v>
      </c>
      <c r="D189" s="1" t="s">
        <v>537</v>
      </c>
      <c r="E189" s="1" t="s">
        <v>927</v>
      </c>
      <c r="F189" s="1" t="s">
        <v>926</v>
      </c>
      <c r="G189" s="1">
        <v>44.0</v>
      </c>
      <c r="H189" s="1">
        <v>2.566666667</v>
      </c>
      <c r="I189" s="1">
        <v>5.17</v>
      </c>
      <c r="J189" s="1">
        <v>0.911854</v>
      </c>
      <c r="L189" s="10">
        <f>IFERROR(__xludf.DUMMYFUNCTION("""COMPUTED_VALUE"""),506433.0)</f>
        <v>506433</v>
      </c>
      <c r="M189" s="10">
        <f>IFERROR(__xludf.DUMMYFUNCTION("""COMPUTED_VALUE"""),1158.0)</f>
        <v>1158</v>
      </c>
    </row>
    <row r="190">
      <c r="A190" s="1">
        <v>2025.0</v>
      </c>
      <c r="B190" s="1" t="s">
        <v>875</v>
      </c>
      <c r="C190" s="1">
        <v>701552.0</v>
      </c>
      <c r="D190" s="1" t="s">
        <v>533</v>
      </c>
      <c r="E190" s="1" t="s">
        <v>927</v>
      </c>
      <c r="F190" s="1" t="s">
        <v>926</v>
      </c>
      <c r="G190" s="1">
        <v>75.0</v>
      </c>
      <c r="H190" s="1">
        <v>4.375</v>
      </c>
      <c r="I190" s="1">
        <v>5.21</v>
      </c>
      <c r="J190" s="1">
        <v>1.346746</v>
      </c>
      <c r="L190" s="10">
        <f>IFERROR(__xludf.DUMMYFUNCTION("""COMPUTED_VALUE"""),663947.0)</f>
        <v>663947</v>
      </c>
      <c r="M190" s="10">
        <f>IFERROR(__xludf.DUMMYFUNCTION("""COMPUTED_VALUE"""),1158.0)</f>
        <v>1158</v>
      </c>
    </row>
    <row r="191">
      <c r="A191" s="1">
        <v>2025.0</v>
      </c>
      <c r="B191" s="1" t="s">
        <v>875</v>
      </c>
      <c r="C191" s="1">
        <v>701552.0</v>
      </c>
      <c r="D191" s="1" t="s">
        <v>537</v>
      </c>
      <c r="E191" s="1" t="s">
        <v>927</v>
      </c>
      <c r="F191" s="1" t="s">
        <v>927</v>
      </c>
      <c r="G191" s="1">
        <v>56.0</v>
      </c>
      <c r="H191" s="1">
        <v>3.266666667</v>
      </c>
      <c r="I191" s="1">
        <v>4.51</v>
      </c>
      <c r="J191" s="1">
        <v>1.890725</v>
      </c>
      <c r="L191" s="10">
        <f>IFERROR(__xludf.DUMMYFUNCTION("""COMPUTED_VALUE"""),571948.0)</f>
        <v>571948</v>
      </c>
      <c r="M191" s="10">
        <f>IFERROR(__xludf.DUMMYFUNCTION("""COMPUTED_VALUE"""),1157.0)</f>
        <v>1157</v>
      </c>
    </row>
    <row r="192">
      <c r="A192" s="1">
        <v>2025.0</v>
      </c>
      <c r="B192" s="1" t="s">
        <v>875</v>
      </c>
      <c r="C192" s="1">
        <v>701552.0</v>
      </c>
      <c r="D192" s="1" t="s">
        <v>536</v>
      </c>
      <c r="E192" s="1" t="s">
        <v>927</v>
      </c>
      <c r="F192" s="1" t="s">
        <v>927</v>
      </c>
      <c r="G192" s="1">
        <v>5.0</v>
      </c>
      <c r="H192" s="1">
        <v>0.291666667</v>
      </c>
      <c r="I192" s="1">
        <v>5.5</v>
      </c>
      <c r="J192" s="1">
        <v>0.052735</v>
      </c>
      <c r="L192" s="10">
        <f>IFERROR(__xludf.DUMMYFUNCTION("""COMPUTED_VALUE"""),678692.0)</f>
        <v>678692</v>
      </c>
      <c r="M192" s="10">
        <f>IFERROR(__xludf.DUMMYFUNCTION("""COMPUTED_VALUE"""),1157.0)</f>
        <v>1157</v>
      </c>
    </row>
    <row r="193">
      <c r="A193" s="1">
        <v>2025.0</v>
      </c>
      <c r="B193" s="1" t="s">
        <v>875</v>
      </c>
      <c r="C193" s="1">
        <v>701552.0</v>
      </c>
      <c r="D193" s="1" t="s">
        <v>533</v>
      </c>
      <c r="E193" s="1" t="s">
        <v>927</v>
      </c>
      <c r="F193" s="1" t="s">
        <v>927</v>
      </c>
      <c r="G193" s="1">
        <v>160.0</v>
      </c>
      <c r="H193" s="1">
        <v>9.333333333</v>
      </c>
      <c r="I193" s="1">
        <v>5.05</v>
      </c>
      <c r="J193" s="1">
        <v>3.506044</v>
      </c>
      <c r="L193" s="10">
        <f>IFERROR(__xludf.DUMMYFUNCTION("""COMPUTED_VALUE"""),681982.0)</f>
        <v>681982</v>
      </c>
      <c r="M193" s="10">
        <f>IFERROR(__xludf.DUMMYFUNCTION("""COMPUTED_VALUE"""),1157.0)</f>
        <v>1157</v>
      </c>
    </row>
    <row r="194">
      <c r="A194" s="1">
        <v>2025.0</v>
      </c>
      <c r="B194" s="1" t="s">
        <v>432</v>
      </c>
      <c r="C194" s="1">
        <v>669467.0</v>
      </c>
      <c r="D194" s="1" t="s">
        <v>541</v>
      </c>
      <c r="E194" s="1" t="s">
        <v>927</v>
      </c>
      <c r="F194" s="1" t="s">
        <v>926</v>
      </c>
      <c r="G194" s="1">
        <v>232.0</v>
      </c>
      <c r="H194" s="1">
        <v>13.88471916</v>
      </c>
      <c r="I194" s="1">
        <v>4.55</v>
      </c>
      <c r="J194" s="1">
        <v>7.033692</v>
      </c>
      <c r="L194" s="10">
        <f>IFERROR(__xludf.DUMMYFUNCTION("""COMPUTED_VALUE"""),684320.0)</f>
        <v>684320</v>
      </c>
      <c r="M194" s="10">
        <f>IFERROR(__xludf.DUMMYFUNCTION("""COMPUTED_VALUE"""),1157.0)</f>
        <v>1157</v>
      </c>
    </row>
    <row r="195">
      <c r="A195" s="1">
        <v>2025.0</v>
      </c>
      <c r="B195" s="1" t="s">
        <v>432</v>
      </c>
      <c r="C195" s="1">
        <v>669467.0</v>
      </c>
      <c r="D195" s="1" t="s">
        <v>537</v>
      </c>
      <c r="E195" s="1" t="s">
        <v>927</v>
      </c>
      <c r="F195" s="1" t="s">
        <v>926</v>
      </c>
      <c r="G195" s="1">
        <v>816.0</v>
      </c>
      <c r="H195" s="1">
        <v>48.83590876</v>
      </c>
      <c r="I195" s="1">
        <v>5.06</v>
      </c>
      <c r="J195" s="1">
        <v>17.287678</v>
      </c>
      <c r="L195" s="10">
        <f>IFERROR(__xludf.DUMMYFUNCTION("""COMPUTED_VALUE"""),621121.0)</f>
        <v>621121</v>
      </c>
      <c r="M195" s="10">
        <f>IFERROR(__xludf.DUMMYFUNCTION("""COMPUTED_VALUE"""),1146.0)</f>
        <v>1146</v>
      </c>
    </row>
    <row r="196">
      <c r="A196" s="1">
        <v>2025.0</v>
      </c>
      <c r="B196" s="1" t="s">
        <v>432</v>
      </c>
      <c r="C196" s="1">
        <v>669467.0</v>
      </c>
      <c r="D196" s="1" t="s">
        <v>536</v>
      </c>
      <c r="E196" s="1" t="s">
        <v>927</v>
      </c>
      <c r="F196" s="1" t="s">
        <v>926</v>
      </c>
      <c r="G196" s="1">
        <v>25.0</v>
      </c>
      <c r="H196" s="1">
        <v>1.496198185</v>
      </c>
      <c r="I196" s="1">
        <v>4.75</v>
      </c>
      <c r="J196" s="1">
        <v>0.689043</v>
      </c>
      <c r="L196" s="10">
        <f>IFERROR(__xludf.DUMMYFUNCTION("""COMPUTED_VALUE"""),676263.0)</f>
        <v>676263</v>
      </c>
      <c r="M196" s="10">
        <f>IFERROR(__xludf.DUMMYFUNCTION("""COMPUTED_VALUE"""),1146.0)</f>
        <v>1146</v>
      </c>
    </row>
    <row r="197">
      <c r="A197" s="1">
        <v>2025.0</v>
      </c>
      <c r="B197" s="1" t="s">
        <v>432</v>
      </c>
      <c r="C197" s="1">
        <v>669467.0</v>
      </c>
      <c r="D197" s="1" t="s">
        <v>533</v>
      </c>
      <c r="E197" s="1" t="s">
        <v>927</v>
      </c>
      <c r="F197" s="1" t="s">
        <v>926</v>
      </c>
      <c r="G197" s="1">
        <v>280.0</v>
      </c>
      <c r="H197" s="1">
        <v>16.75741967</v>
      </c>
      <c r="I197" s="1">
        <v>4.8</v>
      </c>
      <c r="J197" s="1">
        <v>7.085359</v>
      </c>
      <c r="L197" s="10">
        <f>IFERROR(__xludf.DUMMYFUNCTION("""COMPUTED_VALUE"""),686218.0)</f>
        <v>686218</v>
      </c>
      <c r="M197" s="10">
        <f>IFERROR(__xludf.DUMMYFUNCTION("""COMPUTED_VALUE"""),1145.0)</f>
        <v>1145</v>
      </c>
    </row>
    <row r="198">
      <c r="A198" s="1">
        <v>2025.0</v>
      </c>
      <c r="B198" s="1" t="s">
        <v>432</v>
      </c>
      <c r="C198" s="1">
        <v>669467.0</v>
      </c>
      <c r="D198" s="1" t="s">
        <v>541</v>
      </c>
      <c r="E198" s="1" t="s">
        <v>927</v>
      </c>
      <c r="F198" s="1" t="s">
        <v>927</v>
      </c>
      <c r="G198" s="1">
        <v>149.0</v>
      </c>
      <c r="H198" s="1">
        <v>8.917341182</v>
      </c>
      <c r="I198" s="1">
        <v>4.45</v>
      </c>
      <c r="J198" s="1">
        <v>4.815349</v>
      </c>
      <c r="L198" s="10">
        <f>IFERROR(__xludf.DUMMYFUNCTION("""COMPUTED_VALUE"""),663485.0)</f>
        <v>663485</v>
      </c>
      <c r="M198" s="10">
        <f>IFERROR(__xludf.DUMMYFUNCTION("""COMPUTED_VALUE"""),1143.0)</f>
        <v>1143</v>
      </c>
    </row>
    <row r="199">
      <c r="A199" s="1">
        <v>2025.0</v>
      </c>
      <c r="B199" s="1" t="s">
        <v>432</v>
      </c>
      <c r="C199" s="1">
        <v>669467.0</v>
      </c>
      <c r="D199" s="1" t="s">
        <v>537</v>
      </c>
      <c r="E199" s="1" t="s">
        <v>927</v>
      </c>
      <c r="F199" s="1" t="s">
        <v>927</v>
      </c>
      <c r="G199" s="1">
        <v>381.0</v>
      </c>
      <c r="H199" s="1">
        <v>22.80206034</v>
      </c>
      <c r="I199" s="1">
        <v>5.14</v>
      </c>
      <c r="J199" s="1">
        <v>7.701299</v>
      </c>
      <c r="L199" s="10">
        <f>IFERROR(__xludf.DUMMYFUNCTION("""COMPUTED_VALUE"""),669199.0)</f>
        <v>669199</v>
      </c>
      <c r="M199" s="10">
        <f>IFERROR(__xludf.DUMMYFUNCTION("""COMPUTED_VALUE"""),1143.0)</f>
        <v>1143</v>
      </c>
    </row>
    <row r="200">
      <c r="A200" s="1">
        <v>2025.0</v>
      </c>
      <c r="B200" s="1" t="s">
        <v>432</v>
      </c>
      <c r="C200" s="1">
        <v>669467.0</v>
      </c>
      <c r="D200" s="1" t="s">
        <v>536</v>
      </c>
      <c r="E200" s="1" t="s">
        <v>927</v>
      </c>
      <c r="F200" s="1" t="s">
        <v>927</v>
      </c>
      <c r="G200" s="1">
        <v>335.0</v>
      </c>
      <c r="H200" s="1">
        <v>20.04905568</v>
      </c>
      <c r="I200" s="1">
        <v>4.38</v>
      </c>
      <c r="J200" s="1">
        <v>11.513204</v>
      </c>
      <c r="L200" s="10">
        <f>IFERROR(__xludf.DUMMYFUNCTION("""COMPUTED_VALUE"""),670102.0)</f>
        <v>670102</v>
      </c>
      <c r="M200" s="10">
        <f>IFERROR(__xludf.DUMMYFUNCTION("""COMPUTED_VALUE"""),1141.0)</f>
        <v>1141</v>
      </c>
    </row>
    <row r="201">
      <c r="A201" s="1">
        <v>2025.0</v>
      </c>
      <c r="B201" s="1" t="s">
        <v>432</v>
      </c>
      <c r="C201" s="1">
        <v>669467.0</v>
      </c>
      <c r="D201" s="1" t="s">
        <v>533</v>
      </c>
      <c r="E201" s="1" t="s">
        <v>927</v>
      </c>
      <c r="F201" s="1" t="s">
        <v>927</v>
      </c>
      <c r="G201" s="1">
        <v>500.0</v>
      </c>
      <c r="H201" s="1">
        <v>29.9239637</v>
      </c>
      <c r="I201" s="1">
        <v>5.1</v>
      </c>
      <c r="J201" s="1">
        <v>9.785134</v>
      </c>
      <c r="L201" s="10">
        <f>IFERROR(__xludf.DUMMYFUNCTION("""COMPUTED_VALUE"""),593974.0)</f>
        <v>593974</v>
      </c>
      <c r="M201" s="10">
        <f>IFERROR(__xludf.DUMMYFUNCTION("""COMPUTED_VALUE"""),1138.0)</f>
        <v>1138</v>
      </c>
    </row>
    <row r="202">
      <c r="A202" s="1">
        <v>2025.0</v>
      </c>
      <c r="B202" s="1" t="s">
        <v>169</v>
      </c>
      <c r="C202" s="1">
        <v>671096.0</v>
      </c>
      <c r="D202" s="1" t="s">
        <v>532</v>
      </c>
      <c r="E202" s="1" t="s">
        <v>926</v>
      </c>
      <c r="F202" s="1" t="s">
        <v>926</v>
      </c>
      <c r="G202" s="1">
        <v>12.0</v>
      </c>
      <c r="H202" s="1">
        <v>0.745889387</v>
      </c>
      <c r="I202" s="1">
        <v>5.25</v>
      </c>
      <c r="J202" s="1">
        <v>0.192629</v>
      </c>
      <c r="L202" s="10">
        <f>IFERROR(__xludf.DUMMYFUNCTION("""COMPUTED_VALUE"""),676684.0)</f>
        <v>676684</v>
      </c>
      <c r="M202" s="10">
        <f>IFERROR(__xludf.DUMMYFUNCTION("""COMPUTED_VALUE"""),1137.0)</f>
        <v>1137</v>
      </c>
    </row>
    <row r="203">
      <c r="A203" s="1">
        <v>2025.0</v>
      </c>
      <c r="B203" s="1" t="s">
        <v>169</v>
      </c>
      <c r="C203" s="1">
        <v>671096.0</v>
      </c>
      <c r="D203" s="1" t="s">
        <v>541</v>
      </c>
      <c r="E203" s="1" t="s">
        <v>926</v>
      </c>
      <c r="F203" s="1" t="s">
        <v>926</v>
      </c>
      <c r="G203" s="1">
        <v>97.0</v>
      </c>
      <c r="H203" s="1">
        <v>6.029272546</v>
      </c>
      <c r="I203" s="1">
        <v>5.14</v>
      </c>
      <c r="J203" s="1">
        <v>1.800355</v>
      </c>
      <c r="L203" s="10">
        <f>IFERROR(__xludf.DUMMYFUNCTION("""COMPUTED_VALUE"""),673929.0)</f>
        <v>673929</v>
      </c>
      <c r="M203" s="10">
        <f>IFERROR(__xludf.DUMMYFUNCTION("""COMPUTED_VALUE"""),1129.0)</f>
        <v>1129</v>
      </c>
    </row>
    <row r="204">
      <c r="A204" s="1">
        <v>2025.0</v>
      </c>
      <c r="B204" s="1" t="s">
        <v>169</v>
      </c>
      <c r="C204" s="1">
        <v>671096.0</v>
      </c>
      <c r="D204" s="1" t="s">
        <v>540</v>
      </c>
      <c r="E204" s="1" t="s">
        <v>926</v>
      </c>
      <c r="F204" s="1" t="s">
        <v>926</v>
      </c>
      <c r="G204" s="1">
        <v>4.0</v>
      </c>
      <c r="H204" s="1">
        <v>0.248629796</v>
      </c>
      <c r="I204" s="1">
        <v>4.58</v>
      </c>
      <c r="J204" s="1">
        <v>0.120963</v>
      </c>
      <c r="L204" s="10">
        <f>IFERROR(__xludf.DUMMYFUNCTION("""COMPUTED_VALUE"""),656546.0)</f>
        <v>656546</v>
      </c>
      <c r="M204" s="10">
        <f>IFERROR(__xludf.DUMMYFUNCTION("""COMPUTED_VALUE"""),1128.0)</f>
        <v>1128</v>
      </c>
    </row>
    <row r="205">
      <c r="A205" s="1">
        <v>2025.0</v>
      </c>
      <c r="B205" s="1" t="s">
        <v>169</v>
      </c>
      <c r="C205" s="1">
        <v>671096.0</v>
      </c>
      <c r="D205" s="1" t="s">
        <v>537</v>
      </c>
      <c r="E205" s="1" t="s">
        <v>926</v>
      </c>
      <c r="F205" s="1" t="s">
        <v>926</v>
      </c>
      <c r="G205" s="1">
        <v>343.0</v>
      </c>
      <c r="H205" s="1">
        <v>21.32000498</v>
      </c>
      <c r="I205" s="1">
        <v>5.33</v>
      </c>
      <c r="J205" s="1">
        <v>5.295541</v>
      </c>
      <c r="L205" s="10">
        <f>IFERROR(__xludf.DUMMYFUNCTION("""COMPUTED_VALUE"""),621107.0)</f>
        <v>621107</v>
      </c>
      <c r="M205" s="10">
        <f>IFERROR(__xludf.DUMMYFUNCTION("""COMPUTED_VALUE"""),1127.0)</f>
        <v>1127</v>
      </c>
    </row>
    <row r="206">
      <c r="A206" s="1">
        <v>2025.0</v>
      </c>
      <c r="B206" s="1" t="s">
        <v>169</v>
      </c>
      <c r="C206" s="1">
        <v>671096.0</v>
      </c>
      <c r="D206" s="1" t="s">
        <v>539</v>
      </c>
      <c r="E206" s="1" t="s">
        <v>926</v>
      </c>
      <c r="F206" s="1" t="s">
        <v>926</v>
      </c>
      <c r="G206" s="1">
        <v>219.0</v>
      </c>
      <c r="H206" s="1">
        <v>13.61248132</v>
      </c>
      <c r="I206" s="1">
        <v>5.55</v>
      </c>
      <c r="J206" s="1">
        <v>2.342844</v>
      </c>
      <c r="L206" s="10">
        <f>IFERROR(__xludf.DUMMYFUNCTION("""COMPUTED_VALUE"""),677958.0)</f>
        <v>677958</v>
      </c>
      <c r="M206" s="10">
        <f>IFERROR(__xludf.DUMMYFUNCTION("""COMPUTED_VALUE"""),1127.0)</f>
        <v>1127</v>
      </c>
    </row>
    <row r="207">
      <c r="A207" s="1">
        <v>2025.0</v>
      </c>
      <c r="B207" s="1" t="s">
        <v>169</v>
      </c>
      <c r="C207" s="1">
        <v>671096.0</v>
      </c>
      <c r="D207" s="1" t="s">
        <v>532</v>
      </c>
      <c r="E207" s="1" t="s">
        <v>926</v>
      </c>
      <c r="F207" s="1" t="s">
        <v>927</v>
      </c>
      <c r="G207" s="1">
        <v>514.0</v>
      </c>
      <c r="H207" s="1">
        <v>31.94892875</v>
      </c>
      <c r="I207" s="1">
        <v>5.02</v>
      </c>
      <c r="J207" s="1">
        <v>10.996734</v>
      </c>
      <c r="L207" s="10">
        <f>IFERROR(__xludf.DUMMYFUNCTION("""COMPUTED_VALUE"""),663687.0)</f>
        <v>663687</v>
      </c>
      <c r="M207" s="10">
        <f>IFERROR(__xludf.DUMMYFUNCTION("""COMPUTED_VALUE"""),1125.0)</f>
        <v>1125</v>
      </c>
    </row>
    <row r="208">
      <c r="A208" s="1">
        <v>2025.0</v>
      </c>
      <c r="B208" s="1" t="s">
        <v>169</v>
      </c>
      <c r="C208" s="1">
        <v>671096.0</v>
      </c>
      <c r="D208" s="1" t="s">
        <v>541</v>
      </c>
      <c r="E208" s="1" t="s">
        <v>926</v>
      </c>
      <c r="F208" s="1" t="s">
        <v>927</v>
      </c>
      <c r="G208" s="1">
        <v>307.0</v>
      </c>
      <c r="H208" s="1">
        <v>19.08233682</v>
      </c>
      <c r="I208" s="1">
        <v>5.22</v>
      </c>
      <c r="J208" s="1">
        <v>5.455771</v>
      </c>
      <c r="L208" s="10">
        <f>IFERROR(__xludf.DUMMYFUNCTION("""COMPUTED_VALUE"""),542888.0)</f>
        <v>542888</v>
      </c>
      <c r="M208" s="10">
        <f>IFERROR(__xludf.DUMMYFUNCTION("""COMPUTED_VALUE"""),1117.0)</f>
        <v>1117</v>
      </c>
    </row>
    <row r="209">
      <c r="A209" s="1">
        <v>2025.0</v>
      </c>
      <c r="B209" s="1" t="s">
        <v>169</v>
      </c>
      <c r="C209" s="1">
        <v>671096.0</v>
      </c>
      <c r="D209" s="1" t="s">
        <v>540</v>
      </c>
      <c r="E209" s="1" t="s">
        <v>926</v>
      </c>
      <c r="F209" s="1" t="s">
        <v>927</v>
      </c>
      <c r="G209" s="1">
        <v>111.0</v>
      </c>
      <c r="H209" s="1">
        <v>6.899476831</v>
      </c>
      <c r="I209" s="1">
        <v>5.24</v>
      </c>
      <c r="J209" s="1">
        <v>1.998295</v>
      </c>
      <c r="L209" s="10">
        <f>IFERROR(__xludf.DUMMYFUNCTION("""COMPUTED_VALUE"""),608718.0)</f>
        <v>608718</v>
      </c>
      <c r="M209" s="10">
        <f>IFERROR(__xludf.DUMMYFUNCTION("""COMPUTED_VALUE"""),1116.0)</f>
        <v>1116</v>
      </c>
    </row>
    <row r="210">
      <c r="A210" s="1">
        <v>2025.0</v>
      </c>
      <c r="B210" s="1" t="s">
        <v>169</v>
      </c>
      <c r="C210" s="1">
        <v>671096.0</v>
      </c>
      <c r="D210" s="1" t="s">
        <v>537</v>
      </c>
      <c r="E210" s="1" t="s">
        <v>926</v>
      </c>
      <c r="F210" s="1" t="s">
        <v>927</v>
      </c>
      <c r="G210" s="1">
        <v>920.0</v>
      </c>
      <c r="H210" s="1">
        <v>57.18485301</v>
      </c>
      <c r="I210" s="1">
        <v>4.94</v>
      </c>
      <c r="J210" s="1">
        <v>21.824405</v>
      </c>
      <c r="L210" s="10">
        <f>IFERROR(__xludf.DUMMYFUNCTION("""COMPUTED_VALUE"""),663969.0)</f>
        <v>663969</v>
      </c>
      <c r="M210" s="10">
        <f>IFERROR(__xludf.DUMMYFUNCTION("""COMPUTED_VALUE"""),1113.0)</f>
        <v>1113</v>
      </c>
    </row>
    <row r="211">
      <c r="A211" s="1">
        <v>2025.0</v>
      </c>
      <c r="B211" s="1" t="s">
        <v>169</v>
      </c>
      <c r="C211" s="1">
        <v>671096.0</v>
      </c>
      <c r="D211" s="1" t="s">
        <v>539</v>
      </c>
      <c r="E211" s="1" t="s">
        <v>926</v>
      </c>
      <c r="F211" s="1" t="s">
        <v>927</v>
      </c>
      <c r="G211" s="1">
        <v>149.0</v>
      </c>
      <c r="H211" s="1">
        <v>9.26145989</v>
      </c>
      <c r="I211" s="1">
        <v>5.09</v>
      </c>
      <c r="J211" s="1">
        <v>2.870395</v>
      </c>
      <c r="L211" s="10">
        <f>IFERROR(__xludf.DUMMYFUNCTION("""COMPUTED_VALUE"""),642207.0)</f>
        <v>642207</v>
      </c>
      <c r="M211" s="10">
        <f>IFERROR(__xludf.DUMMYFUNCTION("""COMPUTED_VALUE"""),1110.0)</f>
        <v>1110</v>
      </c>
    </row>
    <row r="212">
      <c r="A212" s="1">
        <v>2025.0</v>
      </c>
      <c r="B212" s="1" t="s">
        <v>564</v>
      </c>
      <c r="C212" s="1">
        <v>674841.0</v>
      </c>
      <c r="D212" s="1" t="s">
        <v>541</v>
      </c>
      <c r="E212" s="1" t="s">
        <v>926</v>
      </c>
      <c r="F212" s="1" t="s">
        <v>926</v>
      </c>
      <c r="G212" s="1">
        <v>12.0</v>
      </c>
      <c r="H212" s="1">
        <v>0.67146283</v>
      </c>
      <c r="I212" s="1">
        <v>5.11</v>
      </c>
      <c r="J212" s="1">
        <v>0.21333</v>
      </c>
      <c r="L212" s="10">
        <f>IFERROR(__xludf.DUMMYFUNCTION("""COMPUTED_VALUE"""),641745.0)</f>
        <v>641745</v>
      </c>
      <c r="M212" s="10">
        <f>IFERROR(__xludf.DUMMYFUNCTION("""COMPUTED_VALUE"""),1105.0)</f>
        <v>1105</v>
      </c>
    </row>
    <row r="213">
      <c r="A213" s="1">
        <v>2025.0</v>
      </c>
      <c r="B213" s="1" t="s">
        <v>564</v>
      </c>
      <c r="C213" s="1">
        <v>674841.0</v>
      </c>
      <c r="D213" s="1" t="s">
        <v>537</v>
      </c>
      <c r="E213" s="1" t="s">
        <v>926</v>
      </c>
      <c r="F213" s="1" t="s">
        <v>926</v>
      </c>
      <c r="G213" s="1">
        <v>12.0</v>
      </c>
      <c r="H213" s="1">
        <v>0.67146283</v>
      </c>
      <c r="I213" s="1">
        <v>5.02</v>
      </c>
      <c r="J213" s="1">
        <v>0.255443</v>
      </c>
      <c r="L213" s="10">
        <f>IFERROR(__xludf.DUMMYFUNCTION("""COMPUTED_VALUE"""),660853.0)</f>
        <v>660853</v>
      </c>
      <c r="M213" s="10">
        <f>IFERROR(__xludf.DUMMYFUNCTION("""COMPUTED_VALUE"""),1104.0)</f>
        <v>1104</v>
      </c>
    </row>
    <row r="214">
      <c r="A214" s="1">
        <v>2025.0</v>
      </c>
      <c r="B214" s="1" t="s">
        <v>564</v>
      </c>
      <c r="C214" s="1">
        <v>674841.0</v>
      </c>
      <c r="D214" s="1" t="s">
        <v>536</v>
      </c>
      <c r="E214" s="1" t="s">
        <v>926</v>
      </c>
      <c r="F214" s="1" t="s">
        <v>926</v>
      </c>
      <c r="G214" s="1">
        <v>12.0</v>
      </c>
      <c r="H214" s="1">
        <v>0.67146283</v>
      </c>
      <c r="I214" s="1">
        <v>5.87</v>
      </c>
      <c r="J214" s="1">
        <v>0.050898</v>
      </c>
      <c r="L214" s="10">
        <f>IFERROR(__xludf.DUMMYFUNCTION("""COMPUTED_VALUE"""),666808.0)</f>
        <v>666808</v>
      </c>
      <c r="M214" s="10">
        <f>IFERROR(__xludf.DUMMYFUNCTION("""COMPUTED_VALUE"""),1103.0)</f>
        <v>1103</v>
      </c>
    </row>
    <row r="215">
      <c r="A215" s="1">
        <v>2025.0</v>
      </c>
      <c r="B215" s="1" t="s">
        <v>564</v>
      </c>
      <c r="C215" s="1">
        <v>674841.0</v>
      </c>
      <c r="D215" s="1" t="s">
        <v>533</v>
      </c>
      <c r="E215" s="1" t="s">
        <v>926</v>
      </c>
      <c r="F215" s="1" t="s">
        <v>926</v>
      </c>
      <c r="G215" s="1">
        <v>27.0</v>
      </c>
      <c r="H215" s="1">
        <v>1.510791367</v>
      </c>
      <c r="I215" s="1">
        <v>5.46</v>
      </c>
      <c r="J215" s="1">
        <v>0.325581</v>
      </c>
      <c r="L215" s="10">
        <f>IFERROR(__xludf.DUMMYFUNCTION("""COMPUTED_VALUE"""),669276.0)</f>
        <v>669276</v>
      </c>
      <c r="M215" s="10">
        <f>IFERROR(__xludf.DUMMYFUNCTION("""COMPUTED_VALUE"""),1102.0)</f>
        <v>1102</v>
      </c>
    </row>
    <row r="216">
      <c r="A216" s="1">
        <v>2025.0</v>
      </c>
      <c r="B216" s="1" t="s">
        <v>564</v>
      </c>
      <c r="C216" s="1">
        <v>674841.0</v>
      </c>
      <c r="D216" s="1" t="s">
        <v>532</v>
      </c>
      <c r="E216" s="1" t="s">
        <v>926</v>
      </c>
      <c r="F216" s="1" t="s">
        <v>927</v>
      </c>
      <c r="G216" s="1">
        <v>22.0</v>
      </c>
      <c r="H216" s="1">
        <v>1.231015188</v>
      </c>
      <c r="I216" s="1">
        <v>5.49</v>
      </c>
      <c r="J216" s="1">
        <v>0.244371</v>
      </c>
      <c r="L216" s="10">
        <f>IFERROR(__xludf.DUMMYFUNCTION("""COMPUTED_VALUE"""),677952.0)</f>
        <v>677952</v>
      </c>
      <c r="M216" s="10">
        <f>IFERROR(__xludf.DUMMYFUNCTION("""COMPUTED_VALUE"""),1102.0)</f>
        <v>1102</v>
      </c>
    </row>
    <row r="217">
      <c r="A217" s="1">
        <v>2025.0</v>
      </c>
      <c r="B217" s="1" t="s">
        <v>564</v>
      </c>
      <c r="C217" s="1">
        <v>674841.0</v>
      </c>
      <c r="D217" s="1" t="s">
        <v>541</v>
      </c>
      <c r="E217" s="1" t="s">
        <v>926</v>
      </c>
      <c r="F217" s="1" t="s">
        <v>927</v>
      </c>
      <c r="G217" s="1">
        <v>101.0</v>
      </c>
      <c r="H217" s="1">
        <v>5.651478817</v>
      </c>
      <c r="I217" s="1">
        <v>5.17</v>
      </c>
      <c r="J217" s="1">
        <v>1.587418</v>
      </c>
      <c r="L217" s="10">
        <f>IFERROR(__xludf.DUMMYFUNCTION("""COMPUTED_VALUE"""),622554.0)</f>
        <v>622554</v>
      </c>
      <c r="M217" s="10">
        <f>IFERROR(__xludf.DUMMYFUNCTION("""COMPUTED_VALUE"""),1101.0)</f>
        <v>1101</v>
      </c>
    </row>
    <row r="218">
      <c r="A218" s="1">
        <v>2025.0</v>
      </c>
      <c r="B218" s="1" t="s">
        <v>564</v>
      </c>
      <c r="C218" s="1">
        <v>674841.0</v>
      </c>
      <c r="D218" s="1" t="s">
        <v>537</v>
      </c>
      <c r="E218" s="1" t="s">
        <v>926</v>
      </c>
      <c r="F218" s="1" t="s">
        <v>927</v>
      </c>
      <c r="G218" s="1">
        <v>130.0</v>
      </c>
      <c r="H218" s="1">
        <v>7.274180655</v>
      </c>
      <c r="I218" s="1">
        <v>4.61</v>
      </c>
      <c r="J218" s="1">
        <v>3.778664</v>
      </c>
      <c r="L218" s="10">
        <f>IFERROR(__xludf.DUMMYFUNCTION("""COMPUTED_VALUE"""),641329.0)</f>
        <v>641329</v>
      </c>
      <c r="M218" s="10">
        <f>IFERROR(__xludf.DUMMYFUNCTION("""COMPUTED_VALUE"""),1101.0)</f>
        <v>1101</v>
      </c>
    </row>
    <row r="219">
      <c r="A219" s="1">
        <v>2025.0</v>
      </c>
      <c r="B219" s="1" t="s">
        <v>564</v>
      </c>
      <c r="C219" s="1">
        <v>674841.0</v>
      </c>
      <c r="D219" s="1" t="s">
        <v>536</v>
      </c>
      <c r="E219" s="1" t="s">
        <v>926</v>
      </c>
      <c r="F219" s="1" t="s">
        <v>927</v>
      </c>
      <c r="G219" s="1">
        <v>7.0</v>
      </c>
      <c r="H219" s="1">
        <v>0.391686651</v>
      </c>
      <c r="I219" s="1">
        <v>4.14</v>
      </c>
      <c r="J219" s="1">
        <v>0.262007</v>
      </c>
      <c r="L219" s="10">
        <f>IFERROR(__xludf.DUMMYFUNCTION("""COMPUTED_VALUE"""),672582.0)</f>
        <v>672582</v>
      </c>
      <c r="M219" s="10">
        <f>IFERROR(__xludf.DUMMYFUNCTION("""COMPUTED_VALUE"""),1099.0)</f>
        <v>1099</v>
      </c>
    </row>
    <row r="220">
      <c r="A220" s="1">
        <v>2025.0</v>
      </c>
      <c r="B220" s="1" t="s">
        <v>564</v>
      </c>
      <c r="C220" s="1">
        <v>674841.0</v>
      </c>
      <c r="D220" s="1" t="s">
        <v>533</v>
      </c>
      <c r="E220" s="1" t="s">
        <v>926</v>
      </c>
      <c r="F220" s="1" t="s">
        <v>927</v>
      </c>
      <c r="G220" s="1">
        <v>94.0</v>
      </c>
      <c r="H220" s="1">
        <v>5.259792166</v>
      </c>
      <c r="I220" s="1">
        <v>5.24</v>
      </c>
      <c r="J220" s="1">
        <v>1.599071</v>
      </c>
      <c r="L220" s="10">
        <f>IFERROR(__xludf.DUMMYFUNCTION("""COMPUTED_VALUE"""),672782.0)</f>
        <v>672782</v>
      </c>
      <c r="M220" s="10">
        <f>IFERROR(__xludf.DUMMYFUNCTION("""COMPUTED_VALUE"""),1098.0)</f>
        <v>1098</v>
      </c>
    </row>
    <row r="221">
      <c r="A221" s="1">
        <v>2025.0</v>
      </c>
      <c r="B221" s="1" t="s">
        <v>506</v>
      </c>
      <c r="C221" s="1">
        <v>605177.0</v>
      </c>
      <c r="D221" s="1" t="s">
        <v>537</v>
      </c>
      <c r="E221" s="1" t="s">
        <v>926</v>
      </c>
      <c r="F221" s="1" t="s">
        <v>926</v>
      </c>
      <c r="G221" s="1">
        <v>115.0</v>
      </c>
      <c r="H221" s="1">
        <v>6.305646037</v>
      </c>
      <c r="I221" s="1">
        <v>4.83</v>
      </c>
      <c r="J221" s="1">
        <v>3.055131</v>
      </c>
      <c r="L221" s="10">
        <f>IFERROR(__xludf.DUMMYFUNCTION("""COMPUTED_VALUE"""),672841.0)</f>
        <v>672841</v>
      </c>
      <c r="M221" s="10">
        <f>IFERROR(__xludf.DUMMYFUNCTION("""COMPUTED_VALUE"""),1095.0)</f>
        <v>1095</v>
      </c>
    </row>
    <row r="222">
      <c r="A222" s="1">
        <v>2025.0</v>
      </c>
      <c r="B222" s="1" t="s">
        <v>506</v>
      </c>
      <c r="C222" s="1">
        <v>605177.0</v>
      </c>
      <c r="D222" s="1" t="s">
        <v>536</v>
      </c>
      <c r="E222" s="1" t="s">
        <v>926</v>
      </c>
      <c r="F222" s="1" t="s">
        <v>926</v>
      </c>
      <c r="G222" s="1">
        <v>76.0</v>
      </c>
      <c r="H222" s="1">
        <v>4.167209555</v>
      </c>
      <c r="I222" s="1">
        <v>4.85</v>
      </c>
      <c r="J222" s="1">
        <v>1.925202</v>
      </c>
      <c r="L222" s="10">
        <f>IFERROR(__xludf.DUMMYFUNCTION("""COMPUTED_VALUE"""),640455.0)</f>
        <v>640455</v>
      </c>
      <c r="M222" s="10">
        <f>IFERROR(__xludf.DUMMYFUNCTION("""COMPUTED_VALUE"""),1094.0)</f>
        <v>1094</v>
      </c>
    </row>
    <row r="223">
      <c r="A223" s="1">
        <v>2025.0</v>
      </c>
      <c r="B223" s="1" t="s">
        <v>506</v>
      </c>
      <c r="C223" s="1">
        <v>605177.0</v>
      </c>
      <c r="D223" s="1" t="s">
        <v>533</v>
      </c>
      <c r="E223" s="1" t="s">
        <v>926</v>
      </c>
      <c r="F223" s="1" t="s">
        <v>926</v>
      </c>
      <c r="G223" s="1">
        <v>127.0</v>
      </c>
      <c r="H223" s="1">
        <v>6.963626493</v>
      </c>
      <c r="I223" s="1">
        <v>5.02</v>
      </c>
      <c r="J223" s="1">
        <v>2.633993</v>
      </c>
      <c r="L223" s="10">
        <f>IFERROR(__xludf.DUMMYFUNCTION("""COMPUTED_VALUE"""),643377.0)</f>
        <v>643377</v>
      </c>
      <c r="M223" s="10">
        <f>IFERROR(__xludf.DUMMYFUNCTION("""COMPUTED_VALUE"""),1091.0)</f>
        <v>1091</v>
      </c>
    </row>
    <row r="224">
      <c r="A224" s="1">
        <v>2025.0</v>
      </c>
      <c r="B224" s="1" t="s">
        <v>506</v>
      </c>
      <c r="C224" s="1">
        <v>605177.0</v>
      </c>
      <c r="D224" s="1" t="s">
        <v>532</v>
      </c>
      <c r="E224" s="1" t="s">
        <v>926</v>
      </c>
      <c r="F224" s="1" t="s">
        <v>927</v>
      </c>
      <c r="G224" s="1">
        <v>4.0</v>
      </c>
      <c r="H224" s="1">
        <v>0.219326819</v>
      </c>
      <c r="I224" s="1">
        <v>4.38</v>
      </c>
      <c r="J224" s="1">
        <v>0.14014</v>
      </c>
      <c r="L224" s="10">
        <f>IFERROR(__xludf.DUMMYFUNCTION("""COMPUTED_VALUE"""),676130.0)</f>
        <v>676130</v>
      </c>
      <c r="M224" s="10">
        <f>IFERROR(__xludf.DUMMYFUNCTION("""COMPUTED_VALUE"""),1090.0)</f>
        <v>1090</v>
      </c>
    </row>
    <row r="225">
      <c r="A225" s="1">
        <v>2025.0</v>
      </c>
      <c r="B225" s="1" t="s">
        <v>506</v>
      </c>
      <c r="C225" s="1">
        <v>605177.0</v>
      </c>
      <c r="D225" s="1" t="s">
        <v>537</v>
      </c>
      <c r="E225" s="1" t="s">
        <v>926</v>
      </c>
      <c r="F225" s="1" t="s">
        <v>927</v>
      </c>
      <c r="G225" s="1">
        <v>15.0</v>
      </c>
      <c r="H225" s="1">
        <v>0.82247557</v>
      </c>
      <c r="I225" s="1">
        <v>4.99</v>
      </c>
      <c r="J225" s="1">
        <v>0.342675</v>
      </c>
      <c r="L225" s="10">
        <f>IFERROR(__xludf.DUMMYFUNCTION("""COMPUTED_VALUE"""),680736.0)</f>
        <v>680736</v>
      </c>
      <c r="M225" s="10">
        <f>IFERROR(__xludf.DUMMYFUNCTION("""COMPUTED_VALUE"""),1090.0)</f>
        <v>1090</v>
      </c>
    </row>
    <row r="226">
      <c r="A226" s="1">
        <v>2025.0</v>
      </c>
      <c r="B226" s="1" t="s">
        <v>506</v>
      </c>
      <c r="C226" s="1">
        <v>605177.0</v>
      </c>
      <c r="D226" s="1" t="s">
        <v>536</v>
      </c>
      <c r="E226" s="1" t="s">
        <v>926</v>
      </c>
      <c r="F226" s="1" t="s">
        <v>927</v>
      </c>
      <c r="G226" s="1">
        <v>167.0</v>
      </c>
      <c r="H226" s="1">
        <v>9.15689468</v>
      </c>
      <c r="I226" s="1">
        <v>4.31</v>
      </c>
      <c r="J226" s="1">
        <v>6.260445</v>
      </c>
      <c r="L226" s="10">
        <f>IFERROR(__xludf.DUMMYFUNCTION("""COMPUTED_VALUE"""),686993.0)</f>
        <v>686993</v>
      </c>
      <c r="M226" s="10">
        <f>IFERROR(__xludf.DUMMYFUNCTION("""COMPUTED_VALUE"""),1089.0)</f>
        <v>1089</v>
      </c>
    </row>
    <row r="227">
      <c r="A227" s="1">
        <v>2025.0</v>
      </c>
      <c r="B227" s="1" t="s">
        <v>506</v>
      </c>
      <c r="C227" s="1">
        <v>605177.0</v>
      </c>
      <c r="D227" s="1" t="s">
        <v>533</v>
      </c>
      <c r="E227" s="1" t="s">
        <v>926</v>
      </c>
      <c r="F227" s="1" t="s">
        <v>927</v>
      </c>
      <c r="G227" s="1">
        <v>110.0</v>
      </c>
      <c r="H227" s="1">
        <v>6.031487514</v>
      </c>
      <c r="I227" s="1">
        <v>4.86</v>
      </c>
      <c r="J227" s="1">
        <v>2.595294</v>
      </c>
      <c r="L227" s="10">
        <f>IFERROR(__xludf.DUMMYFUNCTION("""COMPUTED_VALUE"""),606160.0)</f>
        <v>606160</v>
      </c>
      <c r="M227" s="10">
        <f>IFERROR(__xludf.DUMMYFUNCTION("""COMPUTED_VALUE"""),1087.0)</f>
        <v>1087</v>
      </c>
    </row>
    <row r="228">
      <c r="A228" s="1">
        <v>2025.0</v>
      </c>
      <c r="B228" s="1" t="s">
        <v>256</v>
      </c>
      <c r="C228" s="1">
        <v>571760.0</v>
      </c>
      <c r="D228" s="1" t="s">
        <v>532</v>
      </c>
      <c r="E228" s="1" t="s">
        <v>926</v>
      </c>
      <c r="F228" s="1" t="s">
        <v>926</v>
      </c>
      <c r="G228" s="1">
        <v>33.0</v>
      </c>
      <c r="H228" s="1">
        <v>1.939000961</v>
      </c>
      <c r="I228" s="1">
        <v>5.01</v>
      </c>
      <c r="J228" s="1">
        <v>0.705898</v>
      </c>
      <c r="L228" s="10">
        <f>IFERROR(__xludf.DUMMYFUNCTION("""COMPUTED_VALUE"""),592094.0)</f>
        <v>592094</v>
      </c>
      <c r="M228" s="10">
        <f>IFERROR(__xludf.DUMMYFUNCTION("""COMPUTED_VALUE"""),1086.0)</f>
        <v>1086</v>
      </c>
    </row>
    <row r="229">
      <c r="A229" s="1">
        <v>2025.0</v>
      </c>
      <c r="B229" s="1" t="s">
        <v>256</v>
      </c>
      <c r="C229" s="1">
        <v>571760.0</v>
      </c>
      <c r="D229" s="1" t="s">
        <v>541</v>
      </c>
      <c r="E229" s="1" t="s">
        <v>926</v>
      </c>
      <c r="F229" s="1" t="s">
        <v>926</v>
      </c>
      <c r="G229" s="1">
        <v>53.0</v>
      </c>
      <c r="H229" s="1">
        <v>3.114153058</v>
      </c>
      <c r="I229" s="1">
        <v>5.54</v>
      </c>
      <c r="J229" s="1">
        <v>0.550574</v>
      </c>
      <c r="L229" s="10">
        <f>IFERROR(__xludf.DUMMYFUNCTION("""COMPUTED_VALUE"""),621383.0)</f>
        <v>621383</v>
      </c>
      <c r="M229" s="10">
        <f>IFERROR(__xludf.DUMMYFUNCTION("""COMPUTED_VALUE"""),1084.0)</f>
        <v>1084</v>
      </c>
    </row>
    <row r="230">
      <c r="A230" s="1">
        <v>2025.0</v>
      </c>
      <c r="B230" s="1" t="s">
        <v>256</v>
      </c>
      <c r="C230" s="1">
        <v>571760.0</v>
      </c>
      <c r="D230" s="1" t="s">
        <v>537</v>
      </c>
      <c r="E230" s="1" t="s">
        <v>926</v>
      </c>
      <c r="F230" s="1" t="s">
        <v>926</v>
      </c>
      <c r="G230" s="1">
        <v>208.0</v>
      </c>
      <c r="H230" s="1">
        <v>12.22158181</v>
      </c>
      <c r="I230" s="1">
        <v>5.15</v>
      </c>
      <c r="J230" s="1">
        <v>3.913103</v>
      </c>
      <c r="L230" s="10">
        <f>IFERROR(__xludf.DUMMYFUNCTION("""COMPUTED_VALUE"""),672282.0)</f>
        <v>672282</v>
      </c>
      <c r="M230" s="10">
        <f>IFERROR(__xludf.DUMMYFUNCTION("""COMPUTED_VALUE"""),1083.0)</f>
        <v>1083</v>
      </c>
    </row>
    <row r="231">
      <c r="A231" s="1">
        <v>2025.0</v>
      </c>
      <c r="B231" s="1" t="s">
        <v>256</v>
      </c>
      <c r="C231" s="1">
        <v>571760.0</v>
      </c>
      <c r="D231" s="1" t="s">
        <v>536</v>
      </c>
      <c r="E231" s="1" t="s">
        <v>926</v>
      </c>
      <c r="F231" s="1" t="s">
        <v>926</v>
      </c>
      <c r="G231" s="1">
        <v>138.0</v>
      </c>
      <c r="H231" s="1">
        <v>8.108549472</v>
      </c>
      <c r="I231" s="1">
        <v>5.26</v>
      </c>
      <c r="J231" s="1">
        <v>2.363808</v>
      </c>
      <c r="L231" s="10">
        <f>IFERROR(__xludf.DUMMYFUNCTION("""COMPUTED_VALUE"""),666142.0)</f>
        <v>666142</v>
      </c>
      <c r="M231" s="10">
        <f>IFERROR(__xludf.DUMMYFUNCTION("""COMPUTED_VALUE"""),1079.0)</f>
        <v>1079</v>
      </c>
    </row>
    <row r="232">
      <c r="A232" s="1">
        <v>2025.0</v>
      </c>
      <c r="B232" s="1" t="s">
        <v>256</v>
      </c>
      <c r="C232" s="1">
        <v>571760.0</v>
      </c>
      <c r="D232" s="1" t="s">
        <v>533</v>
      </c>
      <c r="E232" s="1" t="s">
        <v>926</v>
      </c>
      <c r="F232" s="1" t="s">
        <v>926</v>
      </c>
      <c r="G232" s="1">
        <v>134.0</v>
      </c>
      <c r="H232" s="1">
        <v>7.873519052</v>
      </c>
      <c r="I232" s="1">
        <v>5.05</v>
      </c>
      <c r="J232" s="1">
        <v>2.781521</v>
      </c>
      <c r="L232" s="10">
        <f>IFERROR(__xludf.DUMMYFUNCTION("""COMPUTED_VALUE"""),663738.0)</f>
        <v>663738</v>
      </c>
      <c r="M232" s="10">
        <f>IFERROR(__xludf.DUMMYFUNCTION("""COMPUTED_VALUE"""),1078.0)</f>
        <v>1078</v>
      </c>
    </row>
    <row r="233">
      <c r="A233" s="1">
        <v>2025.0</v>
      </c>
      <c r="B233" s="1" t="s">
        <v>256</v>
      </c>
      <c r="C233" s="1">
        <v>571760.0</v>
      </c>
      <c r="D233" s="1" t="s">
        <v>532</v>
      </c>
      <c r="E233" s="1" t="s">
        <v>926</v>
      </c>
      <c r="F233" s="1" t="s">
        <v>927</v>
      </c>
      <c r="G233" s="1">
        <v>328.0</v>
      </c>
      <c r="H233" s="1">
        <v>19.2724944</v>
      </c>
      <c r="I233" s="1">
        <v>4.78</v>
      </c>
      <c r="J233" s="1">
        <v>8.667566</v>
      </c>
      <c r="L233" s="10">
        <f>IFERROR(__xludf.DUMMYFUNCTION("""COMPUTED_VALUE"""),663158.0)</f>
        <v>663158</v>
      </c>
      <c r="M233" s="10">
        <f>IFERROR(__xludf.DUMMYFUNCTION("""COMPUTED_VALUE"""),1076.0)</f>
        <v>1076</v>
      </c>
    </row>
    <row r="234">
      <c r="A234" s="1">
        <v>2025.0</v>
      </c>
      <c r="B234" s="1" t="s">
        <v>256</v>
      </c>
      <c r="C234" s="1">
        <v>571760.0</v>
      </c>
      <c r="D234" s="1" t="s">
        <v>541</v>
      </c>
      <c r="E234" s="1" t="s">
        <v>926</v>
      </c>
      <c r="F234" s="1" t="s">
        <v>927</v>
      </c>
      <c r="G234" s="1">
        <v>170.0</v>
      </c>
      <c r="H234" s="1">
        <v>9.988792827</v>
      </c>
      <c r="I234" s="1">
        <v>5.16</v>
      </c>
      <c r="J234" s="1">
        <v>3.249673</v>
      </c>
      <c r="L234" s="10">
        <f>IFERROR(__xludf.DUMMYFUNCTION("""COMPUTED_VALUE"""),661395.0)</f>
        <v>661395</v>
      </c>
      <c r="M234" s="10">
        <f>IFERROR(__xludf.DUMMYFUNCTION("""COMPUTED_VALUE"""),1073.0)</f>
        <v>1073</v>
      </c>
    </row>
    <row r="235">
      <c r="A235" s="1">
        <v>2025.0</v>
      </c>
      <c r="B235" s="1" t="s">
        <v>256</v>
      </c>
      <c r="C235" s="1">
        <v>571760.0</v>
      </c>
      <c r="D235" s="1" t="s">
        <v>537</v>
      </c>
      <c r="E235" s="1" t="s">
        <v>926</v>
      </c>
      <c r="F235" s="1" t="s">
        <v>927</v>
      </c>
      <c r="G235" s="1">
        <v>699.0</v>
      </c>
      <c r="H235" s="1">
        <v>41.0715658</v>
      </c>
      <c r="I235" s="1">
        <v>5.09</v>
      </c>
      <c r="J235" s="1">
        <v>14.351954</v>
      </c>
      <c r="L235" s="10">
        <f>IFERROR(__xludf.DUMMYFUNCTION("""COMPUTED_VALUE"""),689147.0)</f>
        <v>689147</v>
      </c>
      <c r="M235" s="10">
        <f>IFERROR(__xludf.DUMMYFUNCTION("""COMPUTED_VALUE"""),1073.0)</f>
        <v>1073</v>
      </c>
    </row>
    <row r="236">
      <c r="A236" s="1">
        <v>2025.0</v>
      </c>
      <c r="B236" s="1" t="s">
        <v>256</v>
      </c>
      <c r="C236" s="1">
        <v>571760.0</v>
      </c>
      <c r="D236" s="1" t="s">
        <v>536</v>
      </c>
      <c r="E236" s="1" t="s">
        <v>926</v>
      </c>
      <c r="F236" s="1" t="s">
        <v>927</v>
      </c>
      <c r="G236" s="1">
        <v>98.0</v>
      </c>
      <c r="H236" s="1">
        <v>5.758245277</v>
      </c>
      <c r="I236" s="1">
        <v>5.08</v>
      </c>
      <c r="J236" s="1">
        <v>2.006995</v>
      </c>
      <c r="L236" s="10">
        <f>IFERROR(__xludf.DUMMYFUNCTION("""COMPUTED_VALUE"""),669711.0)</f>
        <v>669711</v>
      </c>
      <c r="M236" s="10">
        <f>IFERROR(__xludf.DUMMYFUNCTION("""COMPUTED_VALUE"""),1069.0)</f>
        <v>1069</v>
      </c>
    </row>
    <row r="237">
      <c r="A237" s="1">
        <v>2025.0</v>
      </c>
      <c r="B237" s="1" t="s">
        <v>256</v>
      </c>
      <c r="C237" s="1">
        <v>571760.0</v>
      </c>
      <c r="D237" s="1" t="s">
        <v>533</v>
      </c>
      <c r="E237" s="1" t="s">
        <v>926</v>
      </c>
      <c r="F237" s="1" t="s">
        <v>927</v>
      </c>
      <c r="G237" s="1">
        <v>221.0</v>
      </c>
      <c r="H237" s="1">
        <v>12.98543068</v>
      </c>
      <c r="I237" s="1">
        <v>5.21</v>
      </c>
      <c r="J237" s="1">
        <v>3.873604</v>
      </c>
      <c r="L237" s="10">
        <f>IFERROR(__xludf.DUMMYFUNCTION("""COMPUTED_VALUE"""),641941.0)</f>
        <v>641941</v>
      </c>
      <c r="M237" s="10">
        <f>IFERROR(__xludf.DUMMYFUNCTION("""COMPUTED_VALUE"""),1068.0)</f>
        <v>1068</v>
      </c>
    </row>
    <row r="238">
      <c r="A238" s="1">
        <v>2025.0</v>
      </c>
      <c r="B238" s="1" t="s">
        <v>853</v>
      </c>
      <c r="C238" s="1">
        <v>694851.0</v>
      </c>
      <c r="D238" s="1" t="s">
        <v>532</v>
      </c>
      <c r="E238" s="1" t="s">
        <v>927</v>
      </c>
      <c r="F238" s="1" t="s">
        <v>926</v>
      </c>
      <c r="G238" s="1">
        <v>53.0</v>
      </c>
      <c r="H238" s="1">
        <v>2.595918367</v>
      </c>
      <c r="I238" s="1">
        <v>4.91</v>
      </c>
      <c r="J238" s="1">
        <v>1.197495</v>
      </c>
      <c r="L238" s="10">
        <f>IFERROR(__xludf.DUMMYFUNCTION("""COMPUTED_VALUE"""),686973.0)</f>
        <v>686973</v>
      </c>
      <c r="M238" s="10">
        <f>IFERROR(__xludf.DUMMYFUNCTION("""COMPUTED_VALUE"""),1066.0)</f>
        <v>1066</v>
      </c>
    </row>
    <row r="239">
      <c r="A239" s="1">
        <v>2025.0</v>
      </c>
      <c r="B239" s="1" t="s">
        <v>853</v>
      </c>
      <c r="C239" s="1">
        <v>694851.0</v>
      </c>
      <c r="D239" s="1" t="s">
        <v>537</v>
      </c>
      <c r="E239" s="1" t="s">
        <v>927</v>
      </c>
      <c r="F239" s="1" t="s">
        <v>926</v>
      </c>
      <c r="G239" s="1">
        <v>47.0</v>
      </c>
      <c r="H239" s="1">
        <v>2.302040816</v>
      </c>
      <c r="I239" s="1">
        <v>4.48</v>
      </c>
      <c r="J239" s="1">
        <v>1.509374</v>
      </c>
      <c r="L239" s="10">
        <f>IFERROR(__xludf.DUMMYFUNCTION("""COMPUTED_VALUE"""),607455.0)</f>
        <v>607455</v>
      </c>
      <c r="M239" s="10">
        <f>IFERROR(__xludf.DUMMYFUNCTION("""COMPUTED_VALUE"""),1065.0)</f>
        <v>1065</v>
      </c>
    </row>
    <row r="240">
      <c r="A240" s="1">
        <v>2025.0</v>
      </c>
      <c r="B240" s="1" t="s">
        <v>853</v>
      </c>
      <c r="C240" s="1">
        <v>694851.0</v>
      </c>
      <c r="D240" s="1" t="s">
        <v>533</v>
      </c>
      <c r="E240" s="1" t="s">
        <v>927</v>
      </c>
      <c r="F240" s="1" t="s">
        <v>926</v>
      </c>
      <c r="G240" s="1">
        <v>4.0</v>
      </c>
      <c r="H240" s="1">
        <v>0.195918367</v>
      </c>
      <c r="I240" s="1">
        <v>3.82</v>
      </c>
      <c r="J240" s="1">
        <v>0.177017</v>
      </c>
      <c r="L240" s="10">
        <f>IFERROR(__xludf.DUMMYFUNCTION("""COMPUTED_VALUE"""),621242.0)</f>
        <v>621242</v>
      </c>
      <c r="M240" s="10">
        <f>IFERROR(__xludf.DUMMYFUNCTION("""COMPUTED_VALUE"""),1065.0)</f>
        <v>1065</v>
      </c>
    </row>
    <row r="241">
      <c r="A241" s="1">
        <v>2025.0</v>
      </c>
      <c r="B241" s="1" t="s">
        <v>853</v>
      </c>
      <c r="C241" s="1">
        <v>694851.0</v>
      </c>
      <c r="D241" s="1" t="s">
        <v>532</v>
      </c>
      <c r="E241" s="1" t="s">
        <v>927</v>
      </c>
      <c r="F241" s="1" t="s">
        <v>927</v>
      </c>
      <c r="G241" s="1">
        <v>64.0</v>
      </c>
      <c r="H241" s="1">
        <v>3.134693878</v>
      </c>
      <c r="I241" s="1">
        <v>5.1</v>
      </c>
      <c r="J241" s="1">
        <v>1.259271</v>
      </c>
      <c r="L241" s="10">
        <f>IFERROR(__xludf.DUMMYFUNCTION("""COMPUTED_VALUE"""),675848.0)</f>
        <v>675848</v>
      </c>
      <c r="M241" s="10">
        <f>IFERROR(__xludf.DUMMYFUNCTION("""COMPUTED_VALUE"""),1065.0)</f>
        <v>1065</v>
      </c>
    </row>
    <row r="242">
      <c r="A242" s="1">
        <v>2025.0</v>
      </c>
      <c r="B242" s="1" t="s">
        <v>853</v>
      </c>
      <c r="C242" s="1">
        <v>694851.0</v>
      </c>
      <c r="D242" s="1" t="s">
        <v>537</v>
      </c>
      <c r="E242" s="1" t="s">
        <v>927</v>
      </c>
      <c r="F242" s="1" t="s">
        <v>927</v>
      </c>
      <c r="G242" s="1">
        <v>55.0</v>
      </c>
      <c r="H242" s="1">
        <v>2.693877551</v>
      </c>
      <c r="I242" s="1">
        <v>4.88</v>
      </c>
      <c r="J242" s="1">
        <v>1.347391</v>
      </c>
      <c r="L242" s="10">
        <f>IFERROR(__xludf.DUMMYFUNCTION("""COMPUTED_VALUE"""),592773.0)</f>
        <v>592773</v>
      </c>
      <c r="M242" s="10">
        <f>IFERROR(__xludf.DUMMYFUNCTION("""COMPUTED_VALUE"""),1063.0)</f>
        <v>1063</v>
      </c>
    </row>
    <row r="243">
      <c r="A243" s="1">
        <v>2025.0</v>
      </c>
      <c r="B243" s="1" t="s">
        <v>853</v>
      </c>
      <c r="C243" s="1">
        <v>694851.0</v>
      </c>
      <c r="D243" s="1" t="s">
        <v>533</v>
      </c>
      <c r="E243" s="1" t="s">
        <v>927</v>
      </c>
      <c r="F243" s="1" t="s">
        <v>927</v>
      </c>
      <c r="G243" s="1">
        <v>22.0</v>
      </c>
      <c r="H243" s="1">
        <v>1.07755102</v>
      </c>
      <c r="I243" s="1">
        <v>5.52</v>
      </c>
      <c r="J243" s="1">
        <v>0.252478</v>
      </c>
      <c r="L243" s="10">
        <f>IFERROR(__xludf.DUMMYFUNCTION("""COMPUTED_VALUE"""),673513.0)</f>
        <v>673513</v>
      </c>
      <c r="M243" s="10">
        <f>IFERROR(__xludf.DUMMYFUNCTION("""COMPUTED_VALUE"""),1062.0)</f>
        <v>1062</v>
      </c>
    </row>
    <row r="244">
      <c r="A244" s="1">
        <v>2025.0</v>
      </c>
      <c r="B244" s="1" t="s">
        <v>48</v>
      </c>
      <c r="C244" s="1">
        <v>552640.0</v>
      </c>
      <c r="D244" s="1" t="s">
        <v>537</v>
      </c>
      <c r="E244" s="1" t="s">
        <v>927</v>
      </c>
      <c r="F244" s="1" t="s">
        <v>926</v>
      </c>
      <c r="G244" s="1">
        <v>66.0</v>
      </c>
      <c r="H244" s="1">
        <v>4.5546875</v>
      </c>
      <c r="I244" s="1">
        <v>5.2</v>
      </c>
      <c r="J244" s="1">
        <v>1.230879</v>
      </c>
      <c r="L244" s="10">
        <f>IFERROR(__xludf.DUMMYFUNCTION("""COMPUTED_VALUE"""),660896.0)</f>
        <v>660896</v>
      </c>
      <c r="M244" s="10">
        <f>IFERROR(__xludf.DUMMYFUNCTION("""COMPUTED_VALUE"""),1058.0)</f>
        <v>1058</v>
      </c>
    </row>
    <row r="245">
      <c r="A245" s="1">
        <v>2025.0</v>
      </c>
      <c r="B245" s="1" t="s">
        <v>48</v>
      </c>
      <c r="C245" s="1">
        <v>552640.0</v>
      </c>
      <c r="D245" s="1" t="s">
        <v>538</v>
      </c>
      <c r="E245" s="1" t="s">
        <v>927</v>
      </c>
      <c r="F245" s="1" t="s">
        <v>926</v>
      </c>
      <c r="G245" s="1">
        <v>7.0</v>
      </c>
      <c r="H245" s="1">
        <v>0.483072917</v>
      </c>
      <c r="I245" s="1">
        <v>4.59</v>
      </c>
      <c r="J245" s="1">
        <v>0.204124</v>
      </c>
      <c r="L245" s="10">
        <f>IFERROR(__xludf.DUMMYFUNCTION("""COMPUTED_VALUE"""),669211.0)</f>
        <v>669211</v>
      </c>
      <c r="M245" s="10">
        <f>IFERROR(__xludf.DUMMYFUNCTION("""COMPUTED_VALUE"""),1058.0)</f>
        <v>1058</v>
      </c>
    </row>
    <row r="246">
      <c r="A246" s="1">
        <v>2025.0</v>
      </c>
      <c r="B246" s="1" t="s">
        <v>48</v>
      </c>
      <c r="C246" s="1">
        <v>552640.0</v>
      </c>
      <c r="D246" s="1" t="s">
        <v>536</v>
      </c>
      <c r="E246" s="1" t="s">
        <v>927</v>
      </c>
      <c r="F246" s="1" t="s">
        <v>926</v>
      </c>
      <c r="G246" s="1">
        <v>112.0</v>
      </c>
      <c r="H246" s="1">
        <v>7.729166667</v>
      </c>
      <c r="I246" s="1">
        <v>4.92</v>
      </c>
      <c r="J246" s="1">
        <v>2.767181</v>
      </c>
      <c r="L246" s="10">
        <f>IFERROR(__xludf.DUMMYFUNCTION("""COMPUTED_VALUE"""),676534.0)</f>
        <v>676534</v>
      </c>
      <c r="M246" s="10">
        <f>IFERROR(__xludf.DUMMYFUNCTION("""COMPUTED_VALUE"""),1054.0)</f>
        <v>1054</v>
      </c>
    </row>
    <row r="247">
      <c r="A247" s="1">
        <v>2025.0</v>
      </c>
      <c r="B247" s="1" t="s">
        <v>48</v>
      </c>
      <c r="C247" s="1">
        <v>552640.0</v>
      </c>
      <c r="D247" s="1" t="s">
        <v>533</v>
      </c>
      <c r="E247" s="1" t="s">
        <v>927</v>
      </c>
      <c r="F247" s="1" t="s">
        <v>926</v>
      </c>
      <c r="G247" s="1">
        <v>144.0</v>
      </c>
      <c r="H247" s="1">
        <v>9.9375</v>
      </c>
      <c r="I247" s="1">
        <v>5.48</v>
      </c>
      <c r="J247" s="1">
        <v>1.700696</v>
      </c>
      <c r="L247" s="10">
        <f>IFERROR(__xludf.DUMMYFUNCTION("""COMPUTED_VALUE"""),595345.0)</f>
        <v>595345</v>
      </c>
      <c r="M247" s="10">
        <f>IFERROR(__xludf.DUMMYFUNCTION("""COMPUTED_VALUE"""),1052.0)</f>
        <v>1052</v>
      </c>
    </row>
    <row r="248">
      <c r="A248" s="1">
        <v>2025.0</v>
      </c>
      <c r="B248" s="1" t="s">
        <v>48</v>
      </c>
      <c r="C248" s="1">
        <v>552640.0</v>
      </c>
      <c r="D248" s="1" t="s">
        <v>537</v>
      </c>
      <c r="E248" s="1" t="s">
        <v>927</v>
      </c>
      <c r="F248" s="1" t="s">
        <v>927</v>
      </c>
      <c r="G248" s="1">
        <v>15.0</v>
      </c>
      <c r="H248" s="1">
        <v>1.03515625</v>
      </c>
      <c r="I248" s="1">
        <v>5.23</v>
      </c>
      <c r="J248" s="1">
        <v>0.261647</v>
      </c>
      <c r="L248" s="10">
        <f>IFERROR(__xludf.DUMMYFUNCTION("""COMPUTED_VALUE"""),676428.0)</f>
        <v>676428</v>
      </c>
      <c r="M248" s="10">
        <f>IFERROR(__xludf.DUMMYFUNCTION("""COMPUTED_VALUE"""),1052.0)</f>
        <v>1052</v>
      </c>
    </row>
    <row r="249">
      <c r="A249" s="1">
        <v>2025.0</v>
      </c>
      <c r="B249" s="1" t="s">
        <v>48</v>
      </c>
      <c r="C249" s="1">
        <v>552640.0</v>
      </c>
      <c r="D249" s="1" t="s">
        <v>536</v>
      </c>
      <c r="E249" s="1" t="s">
        <v>927</v>
      </c>
      <c r="F249" s="1" t="s">
        <v>927</v>
      </c>
      <c r="G249" s="1">
        <v>162.0</v>
      </c>
      <c r="H249" s="1">
        <v>11.1796875</v>
      </c>
      <c r="I249" s="1">
        <v>4.85</v>
      </c>
      <c r="J249" s="1">
        <v>4.169571</v>
      </c>
      <c r="L249" s="10">
        <f>IFERROR(__xludf.DUMMYFUNCTION("""COMPUTED_VALUE"""),683769.0)</f>
        <v>683769</v>
      </c>
      <c r="M249" s="10">
        <f>IFERROR(__xludf.DUMMYFUNCTION("""COMPUTED_VALUE"""),1049.0)</f>
        <v>1049</v>
      </c>
    </row>
    <row r="250">
      <c r="A250" s="1">
        <v>2025.0</v>
      </c>
      <c r="B250" s="1" t="s">
        <v>48</v>
      </c>
      <c r="C250" s="1">
        <v>552640.0</v>
      </c>
      <c r="D250" s="1" t="s">
        <v>533</v>
      </c>
      <c r="E250" s="1" t="s">
        <v>927</v>
      </c>
      <c r="F250" s="1" t="s">
        <v>927</v>
      </c>
      <c r="G250" s="1">
        <v>262.0</v>
      </c>
      <c r="H250" s="1">
        <v>18.08072917</v>
      </c>
      <c r="I250" s="1">
        <v>5.51</v>
      </c>
      <c r="J250" s="1">
        <v>3.019039</v>
      </c>
      <c r="L250" s="10">
        <f>IFERROR(__xludf.DUMMYFUNCTION("""COMPUTED_VALUE"""),670167.0)</f>
        <v>670167</v>
      </c>
      <c r="M250" s="10">
        <f>IFERROR(__xludf.DUMMYFUNCTION("""COMPUTED_VALUE"""),1047.0)</f>
        <v>1047</v>
      </c>
    </row>
    <row r="251">
      <c r="A251" s="1">
        <v>2025.0</v>
      </c>
      <c r="B251" s="1" t="s">
        <v>933</v>
      </c>
      <c r="C251" s="1">
        <v>685314.0</v>
      </c>
      <c r="D251" s="1" t="s">
        <v>541</v>
      </c>
      <c r="E251" s="1" t="s">
        <v>926</v>
      </c>
      <c r="F251" s="1" t="s">
        <v>926</v>
      </c>
      <c r="G251" s="1">
        <v>67.0</v>
      </c>
      <c r="H251" s="1">
        <v>4.561032864</v>
      </c>
      <c r="I251" s="1">
        <v>4.69</v>
      </c>
      <c r="J251" s="1">
        <v>1.893888</v>
      </c>
      <c r="L251" s="10">
        <f>IFERROR(__xludf.DUMMYFUNCTION("""COMPUTED_VALUE"""),596133.0)</f>
        <v>596133</v>
      </c>
      <c r="M251" s="10">
        <f>IFERROR(__xludf.DUMMYFUNCTION("""COMPUTED_VALUE"""),1046.0)</f>
        <v>1046</v>
      </c>
    </row>
    <row r="252">
      <c r="A252" s="1">
        <v>2025.0</v>
      </c>
      <c r="B252" s="1" t="s">
        <v>933</v>
      </c>
      <c r="C252" s="1">
        <v>685314.0</v>
      </c>
      <c r="D252" s="1" t="s">
        <v>537</v>
      </c>
      <c r="E252" s="1" t="s">
        <v>926</v>
      </c>
      <c r="F252" s="1" t="s">
        <v>926</v>
      </c>
      <c r="G252" s="1">
        <v>18.0</v>
      </c>
      <c r="H252" s="1">
        <v>1.225352113</v>
      </c>
      <c r="I252" s="1">
        <v>4.8</v>
      </c>
      <c r="J252" s="1">
        <v>0.449025</v>
      </c>
      <c r="L252" s="10">
        <f>IFERROR(__xludf.DUMMYFUNCTION("""COMPUTED_VALUE"""),608032.0)</f>
        <v>608032</v>
      </c>
      <c r="M252" s="10">
        <f>IFERROR(__xludf.DUMMYFUNCTION("""COMPUTED_VALUE"""),1043.0)</f>
        <v>1043</v>
      </c>
    </row>
    <row r="253">
      <c r="A253" s="1">
        <v>2025.0</v>
      </c>
      <c r="B253" s="1" t="s">
        <v>933</v>
      </c>
      <c r="C253" s="1">
        <v>685314.0</v>
      </c>
      <c r="D253" s="1" t="s">
        <v>536</v>
      </c>
      <c r="E253" s="1" t="s">
        <v>926</v>
      </c>
      <c r="F253" s="1" t="s">
        <v>926</v>
      </c>
      <c r="G253" s="1">
        <v>71.0</v>
      </c>
      <c r="H253" s="1">
        <v>4.833333333</v>
      </c>
      <c r="I253" s="1">
        <v>4.59</v>
      </c>
      <c r="J253" s="1">
        <v>2.111145</v>
      </c>
      <c r="L253" s="10">
        <f>IFERROR(__xludf.DUMMYFUNCTION("""COMPUTED_VALUE"""),657649.0)</f>
        <v>657649</v>
      </c>
      <c r="M253" s="10">
        <f>IFERROR(__xludf.DUMMYFUNCTION("""COMPUTED_VALUE"""),1043.0)</f>
        <v>1043</v>
      </c>
    </row>
    <row r="254">
      <c r="A254" s="1">
        <v>2025.0</v>
      </c>
      <c r="B254" s="1" t="s">
        <v>933</v>
      </c>
      <c r="C254" s="1">
        <v>685314.0</v>
      </c>
      <c r="D254" s="1" t="s">
        <v>541</v>
      </c>
      <c r="E254" s="1" t="s">
        <v>926</v>
      </c>
      <c r="F254" s="1" t="s">
        <v>927</v>
      </c>
      <c r="G254" s="1">
        <v>123.0</v>
      </c>
      <c r="H254" s="1">
        <v>8.373239437</v>
      </c>
      <c r="I254" s="1">
        <v>4.9</v>
      </c>
      <c r="J254" s="1">
        <v>2.919221</v>
      </c>
      <c r="L254" s="10">
        <f>IFERROR(__xludf.DUMMYFUNCTION("""COMPUTED_VALUE"""),657571.0)</f>
        <v>657571</v>
      </c>
      <c r="M254" s="10">
        <f>IFERROR(__xludf.DUMMYFUNCTION("""COMPUTED_VALUE"""),1042.0)</f>
        <v>1042</v>
      </c>
    </row>
    <row r="255">
      <c r="A255" s="1">
        <v>2025.0</v>
      </c>
      <c r="B255" s="1" t="s">
        <v>933</v>
      </c>
      <c r="C255" s="1">
        <v>685314.0</v>
      </c>
      <c r="D255" s="1" t="s">
        <v>537</v>
      </c>
      <c r="E255" s="1" t="s">
        <v>926</v>
      </c>
      <c r="F255" s="1" t="s">
        <v>927</v>
      </c>
      <c r="G255" s="1">
        <v>39.0</v>
      </c>
      <c r="H255" s="1">
        <v>2.654929577</v>
      </c>
      <c r="I255" s="1">
        <v>5.25</v>
      </c>
      <c r="J255" s="1">
        <v>0.680616</v>
      </c>
      <c r="L255" s="10">
        <f>IFERROR(__xludf.DUMMYFUNCTION("""COMPUTED_VALUE"""),687911.0)</f>
        <v>687911</v>
      </c>
      <c r="M255" s="10">
        <f>IFERROR(__xludf.DUMMYFUNCTION("""COMPUTED_VALUE"""),1040.0)</f>
        <v>1040</v>
      </c>
    </row>
    <row r="256">
      <c r="A256" s="1">
        <v>2025.0</v>
      </c>
      <c r="B256" s="1" t="s">
        <v>933</v>
      </c>
      <c r="C256" s="1">
        <v>685314.0</v>
      </c>
      <c r="D256" s="1" t="s">
        <v>536</v>
      </c>
      <c r="E256" s="1" t="s">
        <v>926</v>
      </c>
      <c r="F256" s="1" t="s">
        <v>927</v>
      </c>
      <c r="G256" s="1">
        <v>108.0</v>
      </c>
      <c r="H256" s="1">
        <v>7.352112676</v>
      </c>
      <c r="I256" s="1">
        <v>5.01</v>
      </c>
      <c r="J256" s="1">
        <v>2.418368</v>
      </c>
      <c r="L256" s="10">
        <f>IFERROR(__xludf.DUMMYFUNCTION("""COMPUTED_VALUE"""),668933.0)</f>
        <v>668933</v>
      </c>
      <c r="M256" s="10">
        <f>IFERROR(__xludf.DUMMYFUNCTION("""COMPUTED_VALUE"""),1039.0)</f>
        <v>1039</v>
      </c>
    </row>
    <row r="257">
      <c r="A257" s="1">
        <v>2025.0</v>
      </c>
      <c r="B257" s="1" t="s">
        <v>844</v>
      </c>
      <c r="C257" s="1">
        <v>689958.0</v>
      </c>
      <c r="D257" s="1" t="s">
        <v>537</v>
      </c>
      <c r="E257" s="1" t="s">
        <v>927</v>
      </c>
      <c r="F257" s="1" t="s">
        <v>926</v>
      </c>
      <c r="G257" s="1">
        <v>3.0</v>
      </c>
      <c r="H257" s="1">
        <v>0.137931034</v>
      </c>
      <c r="I257" s="1">
        <v>5.84</v>
      </c>
      <c r="J257" s="1">
        <v>0.019001</v>
      </c>
      <c r="L257" s="10">
        <f>IFERROR(__xludf.DUMMYFUNCTION("""COMPUTED_VALUE"""),676974.0)</f>
        <v>676974</v>
      </c>
      <c r="M257" s="10">
        <f>IFERROR(__xludf.DUMMYFUNCTION("""COMPUTED_VALUE"""),1039.0)</f>
        <v>1039</v>
      </c>
    </row>
    <row r="258">
      <c r="A258" s="1">
        <v>2025.0</v>
      </c>
      <c r="B258" s="1" t="s">
        <v>844</v>
      </c>
      <c r="C258" s="1">
        <v>689958.0</v>
      </c>
      <c r="D258" s="1" t="s">
        <v>533</v>
      </c>
      <c r="E258" s="1" t="s">
        <v>927</v>
      </c>
      <c r="F258" s="1" t="s">
        <v>926</v>
      </c>
      <c r="G258" s="1">
        <v>2.0</v>
      </c>
      <c r="H258" s="1">
        <v>0.091954023</v>
      </c>
      <c r="I258" s="1">
        <v>4.29</v>
      </c>
      <c r="J258" s="1">
        <v>0.065677</v>
      </c>
      <c r="L258" s="10">
        <f>IFERROR(__xludf.DUMMYFUNCTION("""COMPUTED_VALUE"""),592454.0)</f>
        <v>592454</v>
      </c>
      <c r="M258" s="10">
        <f>IFERROR(__xludf.DUMMYFUNCTION("""COMPUTED_VALUE"""),1035.0)</f>
        <v>1035</v>
      </c>
    </row>
    <row r="259">
      <c r="A259" s="1">
        <v>2025.0</v>
      </c>
      <c r="B259" s="1" t="s">
        <v>844</v>
      </c>
      <c r="C259" s="1">
        <v>689958.0</v>
      </c>
      <c r="D259" s="1" t="s">
        <v>537</v>
      </c>
      <c r="E259" s="1" t="s">
        <v>927</v>
      </c>
      <c r="F259" s="1" t="s">
        <v>927</v>
      </c>
      <c r="G259" s="1">
        <v>16.0</v>
      </c>
      <c r="H259" s="1">
        <v>0.735632184</v>
      </c>
      <c r="I259" s="1">
        <v>5.47</v>
      </c>
      <c r="J259" s="1">
        <v>0.212119</v>
      </c>
      <c r="L259" s="10">
        <f>IFERROR(__xludf.DUMMYFUNCTION("""COMPUTED_VALUE"""),687134.0)</f>
        <v>687134</v>
      </c>
      <c r="M259" s="10">
        <f>IFERROR(__xludf.DUMMYFUNCTION("""COMPUTED_VALUE"""),1033.0)</f>
        <v>1033</v>
      </c>
    </row>
    <row r="260">
      <c r="A260" s="1">
        <v>2025.0</v>
      </c>
      <c r="B260" s="1" t="s">
        <v>844</v>
      </c>
      <c r="C260" s="1">
        <v>689958.0</v>
      </c>
      <c r="D260" s="1" t="s">
        <v>533</v>
      </c>
      <c r="E260" s="1" t="s">
        <v>927</v>
      </c>
      <c r="F260" s="1" t="s">
        <v>927</v>
      </c>
      <c r="G260" s="1">
        <v>8.0</v>
      </c>
      <c r="H260" s="1">
        <v>0.367816092</v>
      </c>
      <c r="I260" s="1">
        <v>5.04</v>
      </c>
      <c r="J260" s="1">
        <v>0.178197</v>
      </c>
      <c r="L260" s="10">
        <f>IFERROR(__xludf.DUMMYFUNCTION("""COMPUTED_VALUE"""),676879.0)</f>
        <v>676879</v>
      </c>
      <c r="M260" s="10">
        <f>IFERROR(__xludf.DUMMYFUNCTION("""COMPUTED_VALUE"""),1032.0)</f>
        <v>1032</v>
      </c>
    </row>
    <row r="261">
      <c r="A261" s="1">
        <v>2025.0</v>
      </c>
      <c r="B261" s="1" t="s">
        <v>909</v>
      </c>
      <c r="C261" s="1">
        <v>691251.0</v>
      </c>
      <c r="D261" s="1" t="s">
        <v>532</v>
      </c>
      <c r="E261" s="1" t="s">
        <v>927</v>
      </c>
      <c r="F261" s="1" t="s">
        <v>926</v>
      </c>
      <c r="G261" s="1">
        <v>1.0</v>
      </c>
      <c r="H261" s="1">
        <v>0.05620915</v>
      </c>
      <c r="I261" s="1">
        <v>0.06</v>
      </c>
      <c r="J261" s="1">
        <v>0.115743</v>
      </c>
      <c r="L261" s="10">
        <f>IFERROR(__xludf.DUMMYFUNCTION("""COMPUTED_VALUE"""),596001.0)</f>
        <v>596001</v>
      </c>
      <c r="M261" s="10">
        <f>IFERROR(__xludf.DUMMYFUNCTION("""COMPUTED_VALUE"""),1031.0)</f>
        <v>1031</v>
      </c>
    </row>
    <row r="262">
      <c r="A262" s="1">
        <v>2025.0</v>
      </c>
      <c r="B262" s="1" t="s">
        <v>909</v>
      </c>
      <c r="C262" s="1">
        <v>691251.0</v>
      </c>
      <c r="D262" s="1" t="s">
        <v>537</v>
      </c>
      <c r="E262" s="1" t="s">
        <v>927</v>
      </c>
      <c r="F262" s="1" t="s">
        <v>926</v>
      </c>
      <c r="G262" s="1">
        <v>43.0</v>
      </c>
      <c r="H262" s="1">
        <v>2.416993464</v>
      </c>
      <c r="I262" s="1">
        <v>4.72</v>
      </c>
      <c r="J262" s="1">
        <v>1.278695</v>
      </c>
      <c r="L262" s="10">
        <f>IFERROR(__xludf.DUMMYFUNCTION("""COMPUTED_VALUE"""),642397.0)</f>
        <v>642397</v>
      </c>
      <c r="M262" s="10">
        <f>IFERROR(__xludf.DUMMYFUNCTION("""COMPUTED_VALUE"""),1029.0)</f>
        <v>1029</v>
      </c>
    </row>
    <row r="263">
      <c r="A263" s="1">
        <v>2025.0</v>
      </c>
      <c r="B263" s="1" t="s">
        <v>909</v>
      </c>
      <c r="C263" s="1">
        <v>691251.0</v>
      </c>
      <c r="D263" s="1" t="s">
        <v>538</v>
      </c>
      <c r="E263" s="1" t="s">
        <v>927</v>
      </c>
      <c r="F263" s="1" t="s">
        <v>926</v>
      </c>
      <c r="G263" s="1">
        <v>14.0</v>
      </c>
      <c r="H263" s="1">
        <v>0.786928105</v>
      </c>
      <c r="I263" s="1">
        <v>4.62</v>
      </c>
      <c r="J263" s="1">
        <v>0.418054</v>
      </c>
      <c r="L263" s="10">
        <f>IFERROR(__xludf.DUMMYFUNCTION("""COMPUTED_VALUE"""),666171.0)</f>
        <v>666171</v>
      </c>
      <c r="M263" s="10">
        <f>IFERROR(__xludf.DUMMYFUNCTION("""COMPUTED_VALUE"""),1029.0)</f>
        <v>1029</v>
      </c>
    </row>
    <row r="264">
      <c r="A264" s="1">
        <v>2025.0</v>
      </c>
      <c r="B264" s="1" t="s">
        <v>909</v>
      </c>
      <c r="C264" s="1">
        <v>691251.0</v>
      </c>
      <c r="D264" s="1" t="s">
        <v>536</v>
      </c>
      <c r="E264" s="1" t="s">
        <v>927</v>
      </c>
      <c r="F264" s="1" t="s">
        <v>926</v>
      </c>
      <c r="G264" s="1">
        <v>21.0</v>
      </c>
      <c r="H264" s="1">
        <v>1.180392157</v>
      </c>
      <c r="I264" s="1">
        <v>4.66</v>
      </c>
      <c r="J264" s="1">
        <v>0.630778</v>
      </c>
      <c r="L264" s="10">
        <f>IFERROR(__xludf.DUMMYFUNCTION("""COMPUTED_VALUE"""),605483.0)</f>
        <v>605483</v>
      </c>
      <c r="M264" s="10">
        <f>IFERROR(__xludf.DUMMYFUNCTION("""COMPUTED_VALUE"""),1028.0)</f>
        <v>1028</v>
      </c>
    </row>
    <row r="265">
      <c r="A265" s="1">
        <v>2025.0</v>
      </c>
      <c r="B265" s="1" t="s">
        <v>909</v>
      </c>
      <c r="C265" s="1">
        <v>691251.0</v>
      </c>
      <c r="D265" s="1" t="s">
        <v>533</v>
      </c>
      <c r="E265" s="1" t="s">
        <v>927</v>
      </c>
      <c r="F265" s="1" t="s">
        <v>926</v>
      </c>
      <c r="G265" s="1">
        <v>21.0</v>
      </c>
      <c r="H265" s="1">
        <v>1.180392157</v>
      </c>
      <c r="I265" s="1">
        <v>4.26</v>
      </c>
      <c r="J265" s="1">
        <v>0.83423</v>
      </c>
      <c r="L265" s="10">
        <f>IFERROR(__xludf.DUMMYFUNCTION("""COMPUTED_VALUE"""),683409.0)</f>
        <v>683409</v>
      </c>
      <c r="M265" s="10">
        <f>IFERROR(__xludf.DUMMYFUNCTION("""COMPUTED_VALUE"""),1022.0)</f>
        <v>1022</v>
      </c>
    </row>
    <row r="266">
      <c r="A266" s="1">
        <v>2025.0</v>
      </c>
      <c r="B266" s="1" t="s">
        <v>909</v>
      </c>
      <c r="C266" s="1">
        <v>691251.0</v>
      </c>
      <c r="D266" s="1" t="s">
        <v>532</v>
      </c>
      <c r="E266" s="1" t="s">
        <v>927</v>
      </c>
      <c r="F266" s="1" t="s">
        <v>927</v>
      </c>
      <c r="G266" s="1">
        <v>1.0</v>
      </c>
      <c r="H266" s="1">
        <v>0.05620915</v>
      </c>
      <c r="I266" s="1">
        <v>6.51</v>
      </c>
      <c r="J266" s="1">
        <v>-0.007288</v>
      </c>
      <c r="L266" s="10">
        <f>IFERROR(__xludf.DUMMYFUNCTION("""COMPUTED_VALUE"""),681911.0)</f>
        <v>681911</v>
      </c>
      <c r="M266" s="10">
        <f>IFERROR(__xludf.DUMMYFUNCTION("""COMPUTED_VALUE"""),1020.0)</f>
        <v>1020</v>
      </c>
    </row>
    <row r="267">
      <c r="A267" s="1">
        <v>2025.0</v>
      </c>
      <c r="B267" s="1" t="s">
        <v>909</v>
      </c>
      <c r="C267" s="1">
        <v>691251.0</v>
      </c>
      <c r="D267" s="1" t="s">
        <v>537</v>
      </c>
      <c r="E267" s="1" t="s">
        <v>927</v>
      </c>
      <c r="F267" s="1" t="s">
        <v>927</v>
      </c>
      <c r="G267" s="1">
        <v>55.0</v>
      </c>
      <c r="H267" s="1">
        <v>3.091503268</v>
      </c>
      <c r="I267" s="1">
        <v>4.38</v>
      </c>
      <c r="J267" s="1">
        <v>2.014462</v>
      </c>
      <c r="L267" s="10">
        <f>IFERROR(__xludf.DUMMYFUNCTION("""COMPUTED_VALUE"""),670280.0)</f>
        <v>670280</v>
      </c>
      <c r="M267" s="10">
        <f>IFERROR(__xludf.DUMMYFUNCTION("""COMPUTED_VALUE"""),1019.0)</f>
        <v>1019</v>
      </c>
    </row>
    <row r="268">
      <c r="A268" s="1">
        <v>2025.0</v>
      </c>
      <c r="B268" s="1" t="s">
        <v>909</v>
      </c>
      <c r="C268" s="1">
        <v>691251.0</v>
      </c>
      <c r="D268" s="1" t="s">
        <v>538</v>
      </c>
      <c r="E268" s="1" t="s">
        <v>927</v>
      </c>
      <c r="F268" s="1" t="s">
        <v>927</v>
      </c>
      <c r="G268" s="1">
        <v>1.0</v>
      </c>
      <c r="H268" s="1">
        <v>0.05620915</v>
      </c>
      <c r="I268" s="1">
        <v>2.3</v>
      </c>
      <c r="J268" s="1">
        <v>0.074418</v>
      </c>
      <c r="L268" s="10">
        <f>IFERROR(__xludf.DUMMYFUNCTION("""COMPUTED_VALUE"""),642232.0)</f>
        <v>642232</v>
      </c>
      <c r="M268" s="10">
        <f>IFERROR(__xludf.DUMMYFUNCTION("""COMPUTED_VALUE"""),1017.0)</f>
        <v>1017</v>
      </c>
    </row>
    <row r="269">
      <c r="A269" s="1">
        <v>2025.0</v>
      </c>
      <c r="B269" s="1" t="s">
        <v>909</v>
      </c>
      <c r="C269" s="1">
        <v>691251.0</v>
      </c>
      <c r="D269" s="1" t="s">
        <v>536</v>
      </c>
      <c r="E269" s="1" t="s">
        <v>927</v>
      </c>
      <c r="F269" s="1" t="s">
        <v>927</v>
      </c>
      <c r="G269" s="1">
        <v>36.0</v>
      </c>
      <c r="H269" s="1">
        <v>2.023529412</v>
      </c>
      <c r="I269" s="1">
        <v>5.31</v>
      </c>
      <c r="J269" s="1">
        <v>0.657533</v>
      </c>
      <c r="L269" s="10">
        <f>IFERROR(__xludf.DUMMYFUNCTION("""COMPUTED_VALUE"""),676254.0)</f>
        <v>676254</v>
      </c>
      <c r="M269" s="10">
        <f>IFERROR(__xludf.DUMMYFUNCTION("""COMPUTED_VALUE"""),1017.0)</f>
        <v>1017</v>
      </c>
    </row>
    <row r="270">
      <c r="A270" s="1">
        <v>2025.0</v>
      </c>
      <c r="B270" s="1" t="s">
        <v>909</v>
      </c>
      <c r="C270" s="1">
        <v>691251.0</v>
      </c>
      <c r="D270" s="1" t="s">
        <v>533</v>
      </c>
      <c r="E270" s="1" t="s">
        <v>927</v>
      </c>
      <c r="F270" s="1" t="s">
        <v>927</v>
      </c>
      <c r="G270" s="1">
        <v>62.0</v>
      </c>
      <c r="H270" s="1">
        <v>3.48496732</v>
      </c>
      <c r="I270" s="1">
        <v>4.96</v>
      </c>
      <c r="J270" s="1">
        <v>1.445198</v>
      </c>
      <c r="L270" s="10">
        <f>IFERROR(__xludf.DUMMYFUNCTION("""COMPUTED_VALUE"""),662253.0)</f>
        <v>662253</v>
      </c>
      <c r="M270" s="10">
        <f>IFERROR(__xludf.DUMMYFUNCTION("""COMPUTED_VALUE"""),1015.0)</f>
        <v>1015</v>
      </c>
    </row>
    <row r="271">
      <c r="A271" s="1">
        <v>2025.0</v>
      </c>
      <c r="B271" s="1" t="s">
        <v>429</v>
      </c>
      <c r="C271" s="1">
        <v>662253.0</v>
      </c>
      <c r="D271" s="1" t="s">
        <v>532</v>
      </c>
      <c r="E271" s="1" t="s">
        <v>927</v>
      </c>
      <c r="F271" s="1" t="s">
        <v>926</v>
      </c>
      <c r="G271" s="1">
        <v>20.0</v>
      </c>
      <c r="H271" s="1">
        <v>1.228243021</v>
      </c>
      <c r="I271" s="1">
        <v>4.26</v>
      </c>
      <c r="J271" s="1">
        <v>0.732908</v>
      </c>
      <c r="L271" s="10">
        <f>IFERROR(__xludf.DUMMYFUNCTION("""COMPUTED_VALUE"""),656271.0)</f>
        <v>656271</v>
      </c>
      <c r="M271" s="10">
        <f>IFERROR(__xludf.DUMMYFUNCTION("""COMPUTED_VALUE"""),1014.0)</f>
        <v>1014</v>
      </c>
    </row>
    <row r="272">
      <c r="A272" s="1">
        <v>2025.0</v>
      </c>
      <c r="B272" s="1" t="s">
        <v>429</v>
      </c>
      <c r="C272" s="1">
        <v>662253.0</v>
      </c>
      <c r="D272" s="1" t="s">
        <v>537</v>
      </c>
      <c r="E272" s="1" t="s">
        <v>927</v>
      </c>
      <c r="F272" s="1" t="s">
        <v>926</v>
      </c>
      <c r="G272" s="1">
        <v>156.0</v>
      </c>
      <c r="H272" s="1">
        <v>9.580295567</v>
      </c>
      <c r="I272" s="1">
        <v>5.18</v>
      </c>
      <c r="J272" s="1">
        <v>2.950787</v>
      </c>
      <c r="L272" s="10">
        <f>IFERROR(__xludf.DUMMYFUNCTION("""COMPUTED_VALUE"""),623211.0)</f>
        <v>623211</v>
      </c>
      <c r="M272" s="10">
        <f>IFERROR(__xludf.DUMMYFUNCTION("""COMPUTED_VALUE"""),1011.0)</f>
        <v>1011</v>
      </c>
    </row>
    <row r="273">
      <c r="A273" s="1">
        <v>2025.0</v>
      </c>
      <c r="B273" s="1" t="s">
        <v>429</v>
      </c>
      <c r="C273" s="1">
        <v>662253.0</v>
      </c>
      <c r="D273" s="1" t="s">
        <v>536</v>
      </c>
      <c r="E273" s="1" t="s">
        <v>927</v>
      </c>
      <c r="F273" s="1" t="s">
        <v>926</v>
      </c>
      <c r="G273" s="1">
        <v>36.0</v>
      </c>
      <c r="H273" s="1">
        <v>2.210837438</v>
      </c>
      <c r="I273" s="1">
        <v>4.24</v>
      </c>
      <c r="J273" s="1">
        <v>1.31851</v>
      </c>
      <c r="L273" s="10">
        <f>IFERROR(__xludf.DUMMYFUNCTION("""COMPUTED_VALUE"""),669203.0)</f>
        <v>669203</v>
      </c>
      <c r="M273" s="10">
        <f>IFERROR(__xludf.DUMMYFUNCTION("""COMPUTED_VALUE"""),1009.0)</f>
        <v>1009</v>
      </c>
    </row>
    <row r="274">
      <c r="A274" s="1">
        <v>2025.0</v>
      </c>
      <c r="B274" s="1" t="s">
        <v>429</v>
      </c>
      <c r="C274" s="1">
        <v>662253.0</v>
      </c>
      <c r="D274" s="1" t="s">
        <v>533</v>
      </c>
      <c r="E274" s="1" t="s">
        <v>927</v>
      </c>
      <c r="F274" s="1" t="s">
        <v>926</v>
      </c>
      <c r="G274" s="1">
        <v>261.0</v>
      </c>
      <c r="H274" s="1">
        <v>16.02857143</v>
      </c>
      <c r="I274" s="1">
        <v>4.7</v>
      </c>
      <c r="J274" s="1">
        <v>7.292579</v>
      </c>
      <c r="L274" s="10">
        <f>IFERROR(__xludf.DUMMYFUNCTION("""COMPUTED_VALUE"""),664208.0)</f>
        <v>664208</v>
      </c>
      <c r="M274" s="10">
        <f>IFERROR(__xludf.DUMMYFUNCTION("""COMPUTED_VALUE"""),1008.0)</f>
        <v>1008</v>
      </c>
    </row>
    <row r="275">
      <c r="A275" s="1">
        <v>2025.0</v>
      </c>
      <c r="B275" s="1" t="s">
        <v>429</v>
      </c>
      <c r="C275" s="1">
        <v>662253.0</v>
      </c>
      <c r="D275" s="1" t="s">
        <v>532</v>
      </c>
      <c r="E275" s="1" t="s">
        <v>927</v>
      </c>
      <c r="F275" s="1" t="s">
        <v>927</v>
      </c>
      <c r="G275" s="1">
        <v>2.0</v>
      </c>
      <c r="H275" s="1">
        <v>0.122824302</v>
      </c>
      <c r="I275" s="1">
        <v>4.11</v>
      </c>
      <c r="J275" s="1">
        <v>0.077514</v>
      </c>
      <c r="L275" s="10">
        <f>IFERROR(__xludf.DUMMYFUNCTION("""COMPUTED_VALUE"""),642701.0)</f>
        <v>642701</v>
      </c>
      <c r="M275" s="10">
        <f>IFERROR(__xludf.DUMMYFUNCTION("""COMPUTED_VALUE"""),1001.0)</f>
        <v>1001</v>
      </c>
    </row>
    <row r="276">
      <c r="A276" s="1">
        <v>2025.0</v>
      </c>
      <c r="B276" s="1" t="s">
        <v>429</v>
      </c>
      <c r="C276" s="1">
        <v>662253.0</v>
      </c>
      <c r="D276" s="1" t="s">
        <v>537</v>
      </c>
      <c r="E276" s="1" t="s">
        <v>927</v>
      </c>
      <c r="F276" s="1" t="s">
        <v>927</v>
      </c>
      <c r="G276" s="1">
        <v>204.0</v>
      </c>
      <c r="H276" s="1">
        <v>12.52807882</v>
      </c>
      <c r="I276" s="1">
        <v>4.98</v>
      </c>
      <c r="J276" s="1">
        <v>4.533004</v>
      </c>
      <c r="L276" s="10">
        <f>IFERROR(__xludf.DUMMYFUNCTION("""COMPUTED_VALUE"""),663465.0)</f>
        <v>663465</v>
      </c>
      <c r="M276" s="10">
        <f>IFERROR(__xludf.DUMMYFUNCTION("""COMPUTED_VALUE"""),1000.0)</f>
        <v>1000</v>
      </c>
    </row>
    <row r="277">
      <c r="A277" s="1">
        <v>2025.0</v>
      </c>
      <c r="B277" s="1" t="s">
        <v>429</v>
      </c>
      <c r="C277" s="1">
        <v>662253.0</v>
      </c>
      <c r="D277" s="1" t="s">
        <v>536</v>
      </c>
      <c r="E277" s="1" t="s">
        <v>927</v>
      </c>
      <c r="F277" s="1" t="s">
        <v>927</v>
      </c>
      <c r="G277" s="1">
        <v>83.0</v>
      </c>
      <c r="H277" s="1">
        <v>5.097208539</v>
      </c>
      <c r="I277" s="1">
        <v>4.87</v>
      </c>
      <c r="J277" s="1">
        <v>2.045973</v>
      </c>
      <c r="L277" s="10">
        <f>IFERROR(__xludf.DUMMYFUNCTION("""COMPUTED_VALUE"""),596295.0)</f>
        <v>596295</v>
      </c>
      <c r="M277" s="10">
        <f>IFERROR(__xludf.DUMMYFUNCTION("""COMPUTED_VALUE"""),999.0)</f>
        <v>999</v>
      </c>
    </row>
    <row r="278">
      <c r="A278" s="1">
        <v>2025.0</v>
      </c>
      <c r="B278" s="1" t="s">
        <v>429</v>
      </c>
      <c r="C278" s="1">
        <v>662253.0</v>
      </c>
      <c r="D278" s="1" t="s">
        <v>533</v>
      </c>
      <c r="E278" s="1" t="s">
        <v>927</v>
      </c>
      <c r="F278" s="1" t="s">
        <v>927</v>
      </c>
      <c r="G278" s="1">
        <v>253.0</v>
      </c>
      <c r="H278" s="1">
        <v>15.53727422</v>
      </c>
      <c r="I278" s="1">
        <v>4.98</v>
      </c>
      <c r="J278" s="1">
        <v>5.53676</v>
      </c>
      <c r="L278" s="10">
        <f>IFERROR(__xludf.DUMMYFUNCTION("""COMPUTED_VALUE"""),670970.0)</f>
        <v>670970</v>
      </c>
      <c r="M278" s="10">
        <f>IFERROR(__xludf.DUMMYFUNCTION("""COMPUTED_VALUE"""),999.0)</f>
        <v>999</v>
      </c>
    </row>
    <row r="279">
      <c r="A279" s="1">
        <v>2025.0</v>
      </c>
      <c r="B279" s="1" t="s">
        <v>486</v>
      </c>
      <c r="C279" s="1">
        <v>683409.0</v>
      </c>
      <c r="D279" s="1" t="s">
        <v>532</v>
      </c>
      <c r="E279" s="1" t="s">
        <v>927</v>
      </c>
      <c r="F279" s="1" t="s">
        <v>926</v>
      </c>
      <c r="G279" s="1">
        <v>197.0</v>
      </c>
      <c r="H279" s="1">
        <v>11.30854534</v>
      </c>
      <c r="I279" s="1">
        <v>4.75</v>
      </c>
      <c r="J279" s="1">
        <v>5.3129</v>
      </c>
      <c r="L279" s="10">
        <f>IFERROR(__xludf.DUMMYFUNCTION("""COMPUTED_VALUE"""),693855.0)</f>
        <v>693855</v>
      </c>
      <c r="M279" s="10">
        <f>IFERROR(__xludf.DUMMYFUNCTION("""COMPUTED_VALUE"""),995.0)</f>
        <v>995</v>
      </c>
    </row>
    <row r="280">
      <c r="A280" s="1">
        <v>2025.0</v>
      </c>
      <c r="B280" s="1" t="s">
        <v>486</v>
      </c>
      <c r="C280" s="1">
        <v>683409.0</v>
      </c>
      <c r="D280" s="1" t="s">
        <v>537</v>
      </c>
      <c r="E280" s="1" t="s">
        <v>927</v>
      </c>
      <c r="F280" s="1" t="s">
        <v>926</v>
      </c>
      <c r="G280" s="1">
        <v>203.0</v>
      </c>
      <c r="H280" s="1">
        <v>11.65296804</v>
      </c>
      <c r="I280" s="1">
        <v>4.84</v>
      </c>
      <c r="J280" s="1">
        <v>5.289129</v>
      </c>
      <c r="L280" s="10">
        <f>IFERROR(__xludf.DUMMYFUNCTION("""COMPUTED_VALUE"""),621381.0)</f>
        <v>621381</v>
      </c>
      <c r="M280" s="10">
        <f>IFERROR(__xludf.DUMMYFUNCTION("""COMPUTED_VALUE"""),993.0)</f>
        <v>993</v>
      </c>
    </row>
    <row r="281">
      <c r="A281" s="1">
        <v>2025.0</v>
      </c>
      <c r="B281" s="1" t="s">
        <v>486</v>
      </c>
      <c r="C281" s="1">
        <v>683409.0</v>
      </c>
      <c r="D281" s="1" t="s">
        <v>533</v>
      </c>
      <c r="E281" s="1" t="s">
        <v>927</v>
      </c>
      <c r="F281" s="1" t="s">
        <v>926</v>
      </c>
      <c r="G281" s="1">
        <v>14.0</v>
      </c>
      <c r="H281" s="1">
        <v>0.803652968</v>
      </c>
      <c r="I281" s="1">
        <v>4.74</v>
      </c>
      <c r="J281" s="1">
        <v>0.377416</v>
      </c>
      <c r="L281" s="10">
        <f>IFERROR(__xludf.DUMMYFUNCTION("""COMPUTED_VALUE"""),621053.0)</f>
        <v>621053</v>
      </c>
      <c r="M281" s="10">
        <f>IFERROR(__xludf.DUMMYFUNCTION("""COMPUTED_VALUE"""),990.0)</f>
        <v>990</v>
      </c>
    </row>
    <row r="282">
      <c r="A282" s="1">
        <v>2025.0</v>
      </c>
      <c r="B282" s="1" t="s">
        <v>486</v>
      </c>
      <c r="C282" s="1">
        <v>683409.0</v>
      </c>
      <c r="D282" s="1" t="s">
        <v>532</v>
      </c>
      <c r="E282" s="1" t="s">
        <v>927</v>
      </c>
      <c r="F282" s="1" t="s">
        <v>927</v>
      </c>
      <c r="G282" s="1">
        <v>177.0</v>
      </c>
      <c r="H282" s="1">
        <v>10.16046967</v>
      </c>
      <c r="I282" s="1">
        <v>4.78</v>
      </c>
      <c r="J282" s="1">
        <v>4.846306</v>
      </c>
      <c r="L282" s="10">
        <f>IFERROR(__xludf.DUMMYFUNCTION("""COMPUTED_VALUE"""),668941.0)</f>
        <v>668941</v>
      </c>
      <c r="M282" s="10">
        <f>IFERROR(__xludf.DUMMYFUNCTION("""COMPUTED_VALUE"""),989.0)</f>
        <v>989</v>
      </c>
    </row>
    <row r="283">
      <c r="A283" s="1">
        <v>2025.0</v>
      </c>
      <c r="B283" s="1" t="s">
        <v>486</v>
      </c>
      <c r="C283" s="1">
        <v>683409.0</v>
      </c>
      <c r="D283" s="1" t="s">
        <v>537</v>
      </c>
      <c r="E283" s="1" t="s">
        <v>927</v>
      </c>
      <c r="F283" s="1" t="s">
        <v>927</v>
      </c>
      <c r="G283" s="1">
        <v>266.0</v>
      </c>
      <c r="H283" s="1">
        <v>15.26940639</v>
      </c>
      <c r="I283" s="1">
        <v>4.93</v>
      </c>
      <c r="J283" s="1">
        <v>6.457171</v>
      </c>
      <c r="L283" s="10">
        <f>IFERROR(__xludf.DUMMYFUNCTION("""COMPUTED_VALUE"""),664126.0)</f>
        <v>664126</v>
      </c>
      <c r="M283" s="10">
        <f>IFERROR(__xludf.DUMMYFUNCTION("""COMPUTED_VALUE"""),987.0)</f>
        <v>987</v>
      </c>
    </row>
    <row r="284">
      <c r="A284" s="1">
        <v>2025.0</v>
      </c>
      <c r="B284" s="1" t="s">
        <v>486</v>
      </c>
      <c r="C284" s="1">
        <v>683409.0</v>
      </c>
      <c r="D284" s="1" t="s">
        <v>533</v>
      </c>
      <c r="E284" s="1" t="s">
        <v>927</v>
      </c>
      <c r="F284" s="1" t="s">
        <v>927</v>
      </c>
      <c r="G284" s="1">
        <v>165.0</v>
      </c>
      <c r="H284" s="1">
        <v>9.471624266</v>
      </c>
      <c r="I284" s="1">
        <v>4.94</v>
      </c>
      <c r="J284" s="1">
        <v>3.99805</v>
      </c>
      <c r="L284" s="10">
        <f>IFERROR(__xludf.DUMMYFUNCTION("""COMPUTED_VALUE"""),666974.0)</f>
        <v>666974</v>
      </c>
      <c r="M284" s="10">
        <f>IFERROR(__xludf.DUMMYFUNCTION("""COMPUTED_VALUE"""),984.0)</f>
        <v>984</v>
      </c>
    </row>
    <row r="285">
      <c r="A285" s="1">
        <v>2025.0</v>
      </c>
      <c r="B285" s="1" t="s">
        <v>778</v>
      </c>
      <c r="C285" s="1">
        <v>622780.0</v>
      </c>
      <c r="D285" s="1" t="s">
        <v>537</v>
      </c>
      <c r="E285" s="1" t="s">
        <v>926</v>
      </c>
      <c r="F285" s="1" t="s">
        <v>926</v>
      </c>
      <c r="G285" s="1">
        <v>18.0</v>
      </c>
      <c r="H285" s="1">
        <v>0.833333333</v>
      </c>
      <c r="I285" s="1">
        <v>3.8</v>
      </c>
      <c r="J285" s="1">
        <v>0.84023</v>
      </c>
      <c r="L285" s="10">
        <f>IFERROR(__xludf.DUMMYFUNCTION("""COMPUTED_VALUE"""),623437.0)</f>
        <v>623437</v>
      </c>
      <c r="M285" s="10">
        <f>IFERROR(__xludf.DUMMYFUNCTION("""COMPUTED_VALUE"""),980.0)</f>
        <v>980</v>
      </c>
    </row>
    <row r="286">
      <c r="A286" s="1">
        <v>2025.0</v>
      </c>
      <c r="B286" s="1" t="s">
        <v>778</v>
      </c>
      <c r="C286" s="1">
        <v>622780.0</v>
      </c>
      <c r="D286" s="1" t="s">
        <v>533</v>
      </c>
      <c r="E286" s="1" t="s">
        <v>926</v>
      </c>
      <c r="F286" s="1" t="s">
        <v>926</v>
      </c>
      <c r="G286" s="1">
        <v>8.0</v>
      </c>
      <c r="H286" s="1">
        <v>0.37037037</v>
      </c>
      <c r="I286" s="1">
        <v>3.22</v>
      </c>
      <c r="J286" s="1">
        <v>0.466866</v>
      </c>
      <c r="L286" s="10">
        <f>IFERROR(__xludf.DUMMYFUNCTION("""COMPUTED_VALUE"""),664854.0)</f>
        <v>664854</v>
      </c>
      <c r="M286" s="10">
        <f>IFERROR(__xludf.DUMMYFUNCTION("""COMPUTED_VALUE"""),979.0)</f>
        <v>979</v>
      </c>
    </row>
    <row r="287">
      <c r="A287" s="1">
        <v>2025.0</v>
      </c>
      <c r="B287" s="1" t="s">
        <v>778</v>
      </c>
      <c r="C287" s="1">
        <v>622780.0</v>
      </c>
      <c r="D287" s="1" t="s">
        <v>532</v>
      </c>
      <c r="E287" s="1" t="s">
        <v>926</v>
      </c>
      <c r="F287" s="1" t="s">
        <v>927</v>
      </c>
      <c r="G287" s="1">
        <v>3.0</v>
      </c>
      <c r="H287" s="1">
        <v>0.138888889</v>
      </c>
      <c r="I287" s="1">
        <v>6.23</v>
      </c>
      <c r="J287" s="1">
        <v>-0.015867</v>
      </c>
      <c r="L287" s="10">
        <f>IFERROR(__xludf.DUMMYFUNCTION("""COMPUTED_VALUE"""),657097.0)</f>
        <v>657097</v>
      </c>
      <c r="M287" s="10">
        <f>IFERROR(__xludf.DUMMYFUNCTION("""COMPUTED_VALUE"""),978.0)</f>
        <v>978</v>
      </c>
    </row>
    <row r="288">
      <c r="A288" s="1">
        <v>2025.0</v>
      </c>
      <c r="B288" s="1" t="s">
        <v>778</v>
      </c>
      <c r="C288" s="1">
        <v>622780.0</v>
      </c>
      <c r="D288" s="1" t="s">
        <v>537</v>
      </c>
      <c r="E288" s="1" t="s">
        <v>926</v>
      </c>
      <c r="F288" s="1" t="s">
        <v>927</v>
      </c>
      <c r="G288" s="1">
        <v>30.0</v>
      </c>
      <c r="H288" s="1">
        <v>1.388888889</v>
      </c>
      <c r="I288" s="1">
        <v>4.75</v>
      </c>
      <c r="J288" s="1">
        <v>0.80692</v>
      </c>
      <c r="L288" s="10">
        <f>IFERROR(__xludf.DUMMYFUNCTION("""COMPUTED_VALUE"""),657585.0)</f>
        <v>657585</v>
      </c>
      <c r="M288" s="10">
        <f>IFERROR(__xludf.DUMMYFUNCTION("""COMPUTED_VALUE"""),978.0)</f>
        <v>978</v>
      </c>
    </row>
    <row r="289">
      <c r="A289" s="1">
        <v>2025.0</v>
      </c>
      <c r="B289" s="1" t="s">
        <v>778</v>
      </c>
      <c r="C289" s="1">
        <v>622780.0</v>
      </c>
      <c r="D289" s="1" t="s">
        <v>533</v>
      </c>
      <c r="E289" s="1" t="s">
        <v>926</v>
      </c>
      <c r="F289" s="1" t="s">
        <v>927</v>
      </c>
      <c r="G289" s="1">
        <v>13.0</v>
      </c>
      <c r="H289" s="1">
        <v>0.601851852</v>
      </c>
      <c r="I289" s="1">
        <v>4.97</v>
      </c>
      <c r="J289" s="1">
        <v>0.284633</v>
      </c>
      <c r="L289" s="10">
        <f>IFERROR(__xludf.DUMMYFUNCTION("""COMPUTED_VALUE"""),643511.0)</f>
        <v>643511</v>
      </c>
      <c r="M289" s="10">
        <f>IFERROR(__xludf.DUMMYFUNCTION("""COMPUTED_VALUE"""),976.0)</f>
        <v>976</v>
      </c>
    </row>
    <row r="290">
      <c r="A290" s="1">
        <v>2025.0</v>
      </c>
      <c r="B290" s="1" t="s">
        <v>140</v>
      </c>
      <c r="C290" s="1">
        <v>672582.0</v>
      </c>
      <c r="D290" s="1" t="s">
        <v>532</v>
      </c>
      <c r="E290" s="1" t="s">
        <v>926</v>
      </c>
      <c r="F290" s="1" t="s">
        <v>926</v>
      </c>
      <c r="G290" s="1">
        <v>1.0</v>
      </c>
      <c r="H290" s="1">
        <v>0.058841371</v>
      </c>
      <c r="I290" s="1">
        <v>3.39</v>
      </c>
      <c r="J290" s="1">
        <v>0.0531</v>
      </c>
      <c r="L290" s="10">
        <f>IFERROR(__xludf.DUMMYFUNCTION("""COMPUTED_VALUE"""),621051.0)</f>
        <v>621051</v>
      </c>
      <c r="M290" s="10">
        <f>IFERROR(__xludf.DUMMYFUNCTION("""COMPUTED_VALUE"""),974.0)</f>
        <v>974</v>
      </c>
    </row>
    <row r="291">
      <c r="A291" s="1">
        <v>2025.0</v>
      </c>
      <c r="B291" s="1" t="s">
        <v>140</v>
      </c>
      <c r="C291" s="1">
        <v>672582.0</v>
      </c>
      <c r="D291" s="1" t="s">
        <v>537</v>
      </c>
      <c r="E291" s="1" t="s">
        <v>926</v>
      </c>
      <c r="F291" s="1" t="s">
        <v>926</v>
      </c>
      <c r="G291" s="1">
        <v>39.0</v>
      </c>
      <c r="H291" s="1">
        <v>2.294813467</v>
      </c>
      <c r="I291" s="1">
        <v>4.59</v>
      </c>
      <c r="J291" s="1">
        <v>1.203781</v>
      </c>
      <c r="L291" s="10">
        <f>IFERROR(__xludf.DUMMYFUNCTION("""COMPUTED_VALUE"""),695243.0)</f>
        <v>695243</v>
      </c>
      <c r="M291" s="10">
        <f>IFERROR(__xludf.DUMMYFUNCTION("""COMPUTED_VALUE"""),972.0)</f>
        <v>972</v>
      </c>
    </row>
    <row r="292">
      <c r="A292" s="1">
        <v>2025.0</v>
      </c>
      <c r="B292" s="1" t="s">
        <v>140</v>
      </c>
      <c r="C292" s="1">
        <v>672582.0</v>
      </c>
      <c r="D292" s="1" t="s">
        <v>536</v>
      </c>
      <c r="E292" s="1" t="s">
        <v>926</v>
      </c>
      <c r="F292" s="1" t="s">
        <v>926</v>
      </c>
      <c r="G292" s="1">
        <v>282.0</v>
      </c>
      <c r="H292" s="1">
        <v>16.59326661</v>
      </c>
      <c r="I292" s="1">
        <v>5.5</v>
      </c>
      <c r="J292" s="1">
        <v>3.236252</v>
      </c>
      <c r="L292" s="10">
        <f>IFERROR(__xludf.DUMMYFUNCTION("""COMPUTED_VALUE"""),676395.0)</f>
        <v>676395</v>
      </c>
      <c r="M292" s="10">
        <f>IFERROR(__xludf.DUMMYFUNCTION("""COMPUTED_VALUE"""),971.0)</f>
        <v>971</v>
      </c>
    </row>
    <row r="293">
      <c r="A293" s="1">
        <v>2025.0</v>
      </c>
      <c r="B293" s="1" t="s">
        <v>140</v>
      </c>
      <c r="C293" s="1">
        <v>672582.0</v>
      </c>
      <c r="D293" s="1" t="s">
        <v>533</v>
      </c>
      <c r="E293" s="1" t="s">
        <v>926</v>
      </c>
      <c r="F293" s="1" t="s">
        <v>926</v>
      </c>
      <c r="G293" s="1">
        <v>129.0</v>
      </c>
      <c r="H293" s="1">
        <v>7.590536852</v>
      </c>
      <c r="I293" s="1">
        <v>4.93</v>
      </c>
      <c r="J293" s="1">
        <v>3.009171</v>
      </c>
      <c r="L293" s="10">
        <f>IFERROR(__xludf.DUMMYFUNCTION("""COMPUTED_VALUE"""),661563.0)</f>
        <v>661563</v>
      </c>
      <c r="M293" s="10">
        <f>IFERROR(__xludf.DUMMYFUNCTION("""COMPUTED_VALUE"""),970.0)</f>
        <v>970</v>
      </c>
    </row>
    <row r="294">
      <c r="A294" s="1">
        <v>2025.0</v>
      </c>
      <c r="B294" s="1" t="s">
        <v>140</v>
      </c>
      <c r="C294" s="1">
        <v>672582.0</v>
      </c>
      <c r="D294" s="1" t="s">
        <v>532</v>
      </c>
      <c r="E294" s="1" t="s">
        <v>926</v>
      </c>
      <c r="F294" s="1" t="s">
        <v>927</v>
      </c>
      <c r="G294" s="1">
        <v>39.0</v>
      </c>
      <c r="H294" s="1">
        <v>2.294813467</v>
      </c>
      <c r="I294" s="1">
        <v>4.9</v>
      </c>
      <c r="J294" s="1">
        <v>0.957664</v>
      </c>
      <c r="L294" s="10">
        <f>IFERROR(__xludf.DUMMYFUNCTION("""COMPUTED_VALUE"""),572955.0)</f>
        <v>572955</v>
      </c>
      <c r="M294" s="10">
        <f>IFERROR(__xludf.DUMMYFUNCTION("""COMPUTED_VALUE"""),968.0)</f>
        <v>968</v>
      </c>
    </row>
    <row r="295">
      <c r="A295" s="1">
        <v>2025.0</v>
      </c>
      <c r="B295" s="1" t="s">
        <v>140</v>
      </c>
      <c r="C295" s="1">
        <v>672582.0</v>
      </c>
      <c r="D295" s="1" t="s">
        <v>537</v>
      </c>
      <c r="E295" s="1" t="s">
        <v>926</v>
      </c>
      <c r="F295" s="1" t="s">
        <v>927</v>
      </c>
      <c r="G295" s="1">
        <v>179.0</v>
      </c>
      <c r="H295" s="1">
        <v>10.5326054</v>
      </c>
      <c r="I295" s="1">
        <v>4.97</v>
      </c>
      <c r="J295" s="1">
        <v>4.153016</v>
      </c>
      <c r="L295" s="10">
        <f>IFERROR(__xludf.DUMMYFUNCTION("""COMPUTED_VALUE"""),669371.0)</f>
        <v>669371</v>
      </c>
      <c r="M295" s="10">
        <f>IFERROR(__xludf.DUMMYFUNCTION("""COMPUTED_VALUE"""),966.0)</f>
        <v>966</v>
      </c>
    </row>
    <row r="296">
      <c r="A296" s="1">
        <v>2025.0</v>
      </c>
      <c r="B296" s="1" t="s">
        <v>140</v>
      </c>
      <c r="C296" s="1">
        <v>672582.0</v>
      </c>
      <c r="D296" s="1" t="s">
        <v>536</v>
      </c>
      <c r="E296" s="1" t="s">
        <v>926</v>
      </c>
      <c r="F296" s="1" t="s">
        <v>927</v>
      </c>
      <c r="G296" s="1">
        <v>208.0</v>
      </c>
      <c r="H296" s="1">
        <v>12.23900516</v>
      </c>
      <c r="I296" s="1">
        <v>5.14</v>
      </c>
      <c r="J296" s="1">
        <v>4.06186</v>
      </c>
      <c r="L296" s="10">
        <f>IFERROR(__xludf.DUMMYFUNCTION("""COMPUTED_VALUE"""),628452.0)</f>
        <v>628452</v>
      </c>
      <c r="M296" s="10">
        <f>IFERROR(__xludf.DUMMYFUNCTION("""COMPUTED_VALUE"""),964.0)</f>
        <v>964</v>
      </c>
    </row>
    <row r="297">
      <c r="A297" s="1">
        <v>2025.0</v>
      </c>
      <c r="B297" s="1" t="s">
        <v>140</v>
      </c>
      <c r="C297" s="1">
        <v>672582.0</v>
      </c>
      <c r="D297" s="1" t="s">
        <v>533</v>
      </c>
      <c r="E297" s="1" t="s">
        <v>926</v>
      </c>
      <c r="F297" s="1" t="s">
        <v>927</v>
      </c>
      <c r="G297" s="1">
        <v>222.0</v>
      </c>
      <c r="H297" s="1">
        <v>13.06278435</v>
      </c>
      <c r="I297" s="1">
        <v>5.33</v>
      </c>
      <c r="J297" s="1">
        <v>3.268329</v>
      </c>
      <c r="L297" s="10">
        <f>IFERROR(__xludf.DUMMYFUNCTION("""COMPUTED_VALUE"""),694335.0)</f>
        <v>694335</v>
      </c>
      <c r="M297" s="10">
        <f>IFERROR(__xludf.DUMMYFUNCTION("""COMPUTED_VALUE"""),964.0)</f>
        <v>964</v>
      </c>
    </row>
    <row r="298">
      <c r="A298" s="1">
        <v>2025.0</v>
      </c>
      <c r="B298" s="1" t="s">
        <v>310</v>
      </c>
      <c r="C298" s="1">
        <v>607455.0</v>
      </c>
      <c r="D298" s="1" t="s">
        <v>532</v>
      </c>
      <c r="E298" s="1" t="s">
        <v>926</v>
      </c>
      <c r="F298" s="1" t="s">
        <v>926</v>
      </c>
      <c r="G298" s="1">
        <v>1.0</v>
      </c>
      <c r="H298" s="1">
        <v>0.061032864</v>
      </c>
      <c r="I298" s="1">
        <v>4.44</v>
      </c>
      <c r="J298" s="1">
        <v>0.033041</v>
      </c>
      <c r="L298" s="10">
        <f>IFERROR(__xludf.DUMMYFUNCTION("""COMPUTED_VALUE"""),605540.0)</f>
        <v>605540</v>
      </c>
      <c r="M298" s="10">
        <f>IFERROR(__xludf.DUMMYFUNCTION("""COMPUTED_VALUE"""),963.0)</f>
        <v>963</v>
      </c>
    </row>
    <row r="299">
      <c r="A299" s="1">
        <v>2025.0</v>
      </c>
      <c r="B299" s="1" t="s">
        <v>310</v>
      </c>
      <c r="C299" s="1">
        <v>607455.0</v>
      </c>
      <c r="D299" s="1" t="s">
        <v>537</v>
      </c>
      <c r="E299" s="1" t="s">
        <v>926</v>
      </c>
      <c r="F299" s="1" t="s">
        <v>926</v>
      </c>
      <c r="G299" s="1">
        <v>58.0</v>
      </c>
      <c r="H299" s="1">
        <v>3.539906103</v>
      </c>
      <c r="I299" s="1">
        <v>5.72</v>
      </c>
      <c r="J299" s="1">
        <v>0.409544</v>
      </c>
      <c r="L299" s="10">
        <f>IFERROR(__xludf.DUMMYFUNCTION("""COMPUTED_VALUE"""),668674.0)</f>
        <v>668674</v>
      </c>
      <c r="M299" s="10">
        <f>IFERROR(__xludf.DUMMYFUNCTION("""COMPUTED_VALUE"""),962.0)</f>
        <v>962</v>
      </c>
    </row>
    <row r="300">
      <c r="A300" s="1">
        <v>2025.0</v>
      </c>
      <c r="B300" s="1" t="s">
        <v>310</v>
      </c>
      <c r="C300" s="1">
        <v>607455.0</v>
      </c>
      <c r="D300" s="1" t="s">
        <v>536</v>
      </c>
      <c r="E300" s="1" t="s">
        <v>926</v>
      </c>
      <c r="F300" s="1" t="s">
        <v>926</v>
      </c>
      <c r="G300" s="1">
        <v>156.0</v>
      </c>
      <c r="H300" s="1">
        <v>9.521126761</v>
      </c>
      <c r="I300" s="1">
        <v>5.33</v>
      </c>
      <c r="J300" s="1">
        <v>2.394156</v>
      </c>
      <c r="L300" s="10">
        <f>IFERROR(__xludf.DUMMYFUNCTION("""COMPUTED_VALUE"""),656234.0)</f>
        <v>656234</v>
      </c>
      <c r="M300" s="10">
        <f>IFERROR(__xludf.DUMMYFUNCTION("""COMPUTED_VALUE"""),957.0)</f>
        <v>957</v>
      </c>
    </row>
    <row r="301">
      <c r="A301" s="1">
        <v>2025.0</v>
      </c>
      <c r="B301" s="1" t="s">
        <v>310</v>
      </c>
      <c r="C301" s="1">
        <v>607455.0</v>
      </c>
      <c r="D301" s="1" t="s">
        <v>533</v>
      </c>
      <c r="E301" s="1" t="s">
        <v>926</v>
      </c>
      <c r="F301" s="1" t="s">
        <v>926</v>
      </c>
      <c r="G301" s="1">
        <v>252.0</v>
      </c>
      <c r="H301" s="1">
        <v>15.38028169</v>
      </c>
      <c r="I301" s="1">
        <v>4.63</v>
      </c>
      <c r="J301" s="1">
        <v>7.321035</v>
      </c>
      <c r="L301" s="10">
        <f>IFERROR(__xludf.DUMMYFUNCTION("""COMPUTED_VALUE"""),669724.0)</f>
        <v>669724</v>
      </c>
      <c r="M301" s="10">
        <f>IFERROR(__xludf.DUMMYFUNCTION("""COMPUTED_VALUE"""),942.0)</f>
        <v>942</v>
      </c>
    </row>
    <row r="302">
      <c r="A302" s="1">
        <v>2025.0</v>
      </c>
      <c r="B302" s="1" t="s">
        <v>310</v>
      </c>
      <c r="C302" s="1">
        <v>607455.0</v>
      </c>
      <c r="D302" s="1" t="s">
        <v>532</v>
      </c>
      <c r="E302" s="1" t="s">
        <v>926</v>
      </c>
      <c r="F302" s="1" t="s">
        <v>927</v>
      </c>
      <c r="G302" s="1">
        <v>40.0</v>
      </c>
      <c r="H302" s="1">
        <v>2.441314554</v>
      </c>
      <c r="I302" s="1">
        <v>4.64</v>
      </c>
      <c r="J302" s="1">
        <v>1.149287</v>
      </c>
      <c r="L302" s="10">
        <f>IFERROR(__xludf.DUMMYFUNCTION("""COMPUTED_VALUE"""),687064.0)</f>
        <v>687064</v>
      </c>
      <c r="M302" s="10">
        <f>IFERROR(__xludf.DUMMYFUNCTION("""COMPUTED_VALUE"""),939.0)</f>
        <v>939</v>
      </c>
    </row>
    <row r="303">
      <c r="A303" s="1">
        <v>2025.0</v>
      </c>
      <c r="B303" s="1" t="s">
        <v>310</v>
      </c>
      <c r="C303" s="1">
        <v>607455.0</v>
      </c>
      <c r="D303" s="1" t="s">
        <v>537</v>
      </c>
      <c r="E303" s="1" t="s">
        <v>926</v>
      </c>
      <c r="F303" s="1" t="s">
        <v>927</v>
      </c>
      <c r="G303" s="1">
        <v>184.0</v>
      </c>
      <c r="H303" s="1">
        <v>11.23004695</v>
      </c>
      <c r="I303" s="1">
        <v>5.06</v>
      </c>
      <c r="J303" s="1">
        <v>3.811445</v>
      </c>
      <c r="L303" s="10">
        <f>IFERROR(__xludf.DUMMYFUNCTION("""COMPUTED_VALUE"""),570632.0)</f>
        <v>570632</v>
      </c>
      <c r="M303" s="10">
        <f>IFERROR(__xludf.DUMMYFUNCTION("""COMPUTED_VALUE"""),934.0)</f>
        <v>934</v>
      </c>
    </row>
    <row r="304">
      <c r="A304" s="1">
        <v>2025.0</v>
      </c>
      <c r="B304" s="1" t="s">
        <v>310</v>
      </c>
      <c r="C304" s="1">
        <v>607455.0</v>
      </c>
      <c r="D304" s="1" t="s">
        <v>536</v>
      </c>
      <c r="E304" s="1" t="s">
        <v>926</v>
      </c>
      <c r="F304" s="1" t="s">
        <v>927</v>
      </c>
      <c r="G304" s="1">
        <v>102.0</v>
      </c>
      <c r="H304" s="1">
        <v>6.225352113</v>
      </c>
      <c r="I304" s="1">
        <v>5.11</v>
      </c>
      <c r="J304" s="1">
        <v>2.146323</v>
      </c>
      <c r="L304" s="10">
        <f>IFERROR(__xludf.DUMMYFUNCTION("""COMPUTED_VALUE"""),671212.0)</f>
        <v>671212</v>
      </c>
      <c r="M304" s="10">
        <f>IFERROR(__xludf.DUMMYFUNCTION("""COMPUTED_VALUE"""),934.0)</f>
        <v>934</v>
      </c>
    </row>
    <row r="305">
      <c r="A305" s="1">
        <v>2025.0</v>
      </c>
      <c r="B305" s="1" t="s">
        <v>310</v>
      </c>
      <c r="C305" s="1">
        <v>607455.0</v>
      </c>
      <c r="D305" s="1" t="s">
        <v>533</v>
      </c>
      <c r="E305" s="1" t="s">
        <v>926</v>
      </c>
      <c r="F305" s="1" t="s">
        <v>927</v>
      </c>
      <c r="G305" s="1">
        <v>272.0</v>
      </c>
      <c r="H305" s="1">
        <v>16.60093897</v>
      </c>
      <c r="I305" s="1">
        <v>4.8</v>
      </c>
      <c r="J305" s="1">
        <v>6.958755</v>
      </c>
      <c r="L305" s="10">
        <f>IFERROR(__xludf.DUMMYFUNCTION("""COMPUTED_VALUE"""),607481.0)</f>
        <v>607481</v>
      </c>
      <c r="M305" s="10">
        <f>IFERROR(__xludf.DUMMYFUNCTION("""COMPUTED_VALUE"""),932.0)</f>
        <v>932</v>
      </c>
    </row>
    <row r="306">
      <c r="A306" s="1">
        <v>2025.0</v>
      </c>
      <c r="B306" s="1" t="s">
        <v>89</v>
      </c>
      <c r="C306" s="1">
        <v>669622.0</v>
      </c>
      <c r="D306" s="1" t="s">
        <v>532</v>
      </c>
      <c r="E306" s="1" t="s">
        <v>927</v>
      </c>
      <c r="F306" s="1" t="s">
        <v>926</v>
      </c>
      <c r="G306" s="1">
        <v>27.0</v>
      </c>
      <c r="H306" s="1">
        <v>1.726342711</v>
      </c>
      <c r="I306" s="1">
        <v>4.41</v>
      </c>
      <c r="J306" s="1">
        <v>0.92228</v>
      </c>
      <c r="L306" s="10">
        <f>IFERROR(__xludf.DUMMYFUNCTION("""COMPUTED_VALUE"""),690928.0)</f>
        <v>690928</v>
      </c>
      <c r="M306" s="10">
        <f>IFERROR(__xludf.DUMMYFUNCTION("""COMPUTED_VALUE"""),931.0)</f>
        <v>931</v>
      </c>
    </row>
    <row r="307">
      <c r="A307" s="1">
        <v>2025.0</v>
      </c>
      <c r="B307" s="1" t="s">
        <v>89</v>
      </c>
      <c r="C307" s="1">
        <v>669622.0</v>
      </c>
      <c r="D307" s="1" t="s">
        <v>537</v>
      </c>
      <c r="E307" s="1" t="s">
        <v>927</v>
      </c>
      <c r="F307" s="1" t="s">
        <v>926</v>
      </c>
      <c r="G307" s="1">
        <v>13.0</v>
      </c>
      <c r="H307" s="1">
        <v>0.831202046</v>
      </c>
      <c r="I307" s="1">
        <v>4.22</v>
      </c>
      <c r="J307" s="1">
        <v>0.506797</v>
      </c>
      <c r="L307" s="10">
        <f>IFERROR(__xludf.DUMMYFUNCTION("""COMPUTED_VALUE"""),656222.0)</f>
        <v>656222</v>
      </c>
      <c r="M307" s="10">
        <f>IFERROR(__xludf.DUMMYFUNCTION("""COMPUTED_VALUE"""),916.0)</f>
        <v>916</v>
      </c>
    </row>
    <row r="308">
      <c r="A308" s="1">
        <v>2025.0</v>
      </c>
      <c r="B308" s="1" t="s">
        <v>89</v>
      </c>
      <c r="C308" s="1">
        <v>669622.0</v>
      </c>
      <c r="D308" s="1" t="s">
        <v>536</v>
      </c>
      <c r="E308" s="1" t="s">
        <v>927</v>
      </c>
      <c r="F308" s="1" t="s">
        <v>926</v>
      </c>
      <c r="G308" s="1">
        <v>76.0</v>
      </c>
      <c r="H308" s="1">
        <v>4.859335038</v>
      </c>
      <c r="I308" s="1">
        <v>5.02</v>
      </c>
      <c r="J308" s="1">
        <v>1.688062</v>
      </c>
      <c r="L308" s="10">
        <f>IFERROR(__xludf.DUMMYFUNCTION("""COMPUTED_VALUE"""),680767.0)</f>
        <v>680767</v>
      </c>
      <c r="M308" s="10">
        <f>IFERROR(__xludf.DUMMYFUNCTION("""COMPUTED_VALUE"""),916.0)</f>
        <v>916</v>
      </c>
    </row>
    <row r="309">
      <c r="A309" s="1">
        <v>2025.0</v>
      </c>
      <c r="B309" s="1" t="s">
        <v>89</v>
      </c>
      <c r="C309" s="1">
        <v>669622.0</v>
      </c>
      <c r="D309" s="1" t="s">
        <v>533</v>
      </c>
      <c r="E309" s="1" t="s">
        <v>927</v>
      </c>
      <c r="F309" s="1" t="s">
        <v>926</v>
      </c>
      <c r="G309" s="1">
        <v>132.0</v>
      </c>
      <c r="H309" s="1">
        <v>8.439897698</v>
      </c>
      <c r="I309" s="1">
        <v>5.09</v>
      </c>
      <c r="J309" s="1">
        <v>2.738555</v>
      </c>
      <c r="L309" s="10">
        <f>IFERROR(__xludf.DUMMYFUNCTION("""COMPUTED_VALUE"""),656945.0)</f>
        <v>656945</v>
      </c>
      <c r="M309" s="10">
        <f>IFERROR(__xludf.DUMMYFUNCTION("""COMPUTED_VALUE"""),911.0)</f>
        <v>911</v>
      </c>
    </row>
    <row r="310">
      <c r="A310" s="1">
        <v>2025.0</v>
      </c>
      <c r="B310" s="1" t="s">
        <v>89</v>
      </c>
      <c r="C310" s="1">
        <v>669622.0</v>
      </c>
      <c r="D310" s="1" t="s">
        <v>539</v>
      </c>
      <c r="E310" s="1" t="s">
        <v>927</v>
      </c>
      <c r="F310" s="1" t="s">
        <v>926</v>
      </c>
      <c r="G310" s="1">
        <v>102.0</v>
      </c>
      <c r="H310" s="1">
        <v>6.52173913</v>
      </c>
      <c r="I310" s="1">
        <v>5.34</v>
      </c>
      <c r="J310" s="1">
        <v>1.50761</v>
      </c>
      <c r="L310" s="10">
        <f>IFERROR(__xludf.DUMMYFUNCTION("""COMPUTED_VALUE"""),547973.0)</f>
        <v>547973</v>
      </c>
      <c r="M310" s="10">
        <f>IFERROR(__xludf.DUMMYFUNCTION("""COMPUTED_VALUE"""),910.0)</f>
        <v>910</v>
      </c>
    </row>
    <row r="311">
      <c r="A311" s="1">
        <v>2025.0</v>
      </c>
      <c r="B311" s="1" t="s">
        <v>89</v>
      </c>
      <c r="C311" s="1">
        <v>669622.0</v>
      </c>
      <c r="D311" s="1" t="s">
        <v>536</v>
      </c>
      <c r="E311" s="1" t="s">
        <v>927</v>
      </c>
      <c r="F311" s="1" t="s">
        <v>927</v>
      </c>
      <c r="G311" s="1">
        <v>132.0</v>
      </c>
      <c r="H311" s="1">
        <v>8.439897698</v>
      </c>
      <c r="I311" s="1">
        <v>5.07</v>
      </c>
      <c r="J311" s="1">
        <v>2.681324</v>
      </c>
      <c r="L311" s="10">
        <f>IFERROR(__xludf.DUMMYFUNCTION("""COMPUTED_VALUE"""),642100.0)</f>
        <v>642100</v>
      </c>
      <c r="M311" s="10">
        <f>IFERROR(__xludf.DUMMYFUNCTION("""COMPUTED_VALUE"""),910.0)</f>
        <v>910</v>
      </c>
    </row>
    <row r="312">
      <c r="A312" s="1">
        <v>2025.0</v>
      </c>
      <c r="B312" s="1" t="s">
        <v>89</v>
      </c>
      <c r="C312" s="1">
        <v>669622.0</v>
      </c>
      <c r="D312" s="1" t="s">
        <v>533</v>
      </c>
      <c r="E312" s="1" t="s">
        <v>927</v>
      </c>
      <c r="F312" s="1" t="s">
        <v>927</v>
      </c>
      <c r="G312" s="1">
        <v>33.0</v>
      </c>
      <c r="H312" s="1">
        <v>2.109974425</v>
      </c>
      <c r="I312" s="1">
        <v>5.11</v>
      </c>
      <c r="J312" s="1">
        <v>0.620057</v>
      </c>
      <c r="L312" s="10">
        <f>IFERROR(__xludf.DUMMYFUNCTION("""COMPUTED_VALUE"""),806188.0)</f>
        <v>806188</v>
      </c>
      <c r="M312" s="10">
        <f>IFERROR(__xludf.DUMMYFUNCTION("""COMPUTED_VALUE"""),908.0)</f>
        <v>908</v>
      </c>
    </row>
    <row r="313">
      <c r="A313" s="1">
        <v>2025.0</v>
      </c>
      <c r="B313" s="1" t="s">
        <v>89</v>
      </c>
      <c r="C313" s="1">
        <v>669622.0</v>
      </c>
      <c r="D313" s="1" t="s">
        <v>539</v>
      </c>
      <c r="E313" s="1" t="s">
        <v>927</v>
      </c>
      <c r="F313" s="1" t="s">
        <v>927</v>
      </c>
      <c r="G313" s="1">
        <v>267.0</v>
      </c>
      <c r="H313" s="1">
        <v>17.07161125</v>
      </c>
      <c r="I313" s="1">
        <v>5.43</v>
      </c>
      <c r="J313" s="1">
        <v>3.383887</v>
      </c>
      <c r="L313" s="10">
        <f>IFERROR(__xludf.DUMMYFUNCTION("""COMPUTED_VALUE"""),527048.0)</f>
        <v>527048</v>
      </c>
      <c r="M313" s="10">
        <f>IFERROR(__xludf.DUMMYFUNCTION("""COMPUTED_VALUE"""),900.0)</f>
        <v>900</v>
      </c>
    </row>
    <row r="314">
      <c r="A314" s="1">
        <v>2025.0</v>
      </c>
      <c r="B314" s="1" t="s">
        <v>274</v>
      </c>
      <c r="C314" s="1">
        <v>543101.0</v>
      </c>
      <c r="D314" s="1" t="s">
        <v>541</v>
      </c>
      <c r="E314" s="1" t="s">
        <v>927</v>
      </c>
      <c r="F314" s="1" t="s">
        <v>926</v>
      </c>
      <c r="G314" s="1">
        <v>39.0</v>
      </c>
      <c r="H314" s="1">
        <v>2.382306477</v>
      </c>
      <c r="I314" s="1">
        <v>5.05</v>
      </c>
      <c r="J314" s="1">
        <v>0.772111</v>
      </c>
      <c r="L314" s="10">
        <f>IFERROR(__xludf.DUMMYFUNCTION("""COMPUTED_VALUE"""),472610.0)</f>
        <v>472610</v>
      </c>
      <c r="M314" s="10">
        <f>IFERROR(__xludf.DUMMYFUNCTION("""COMPUTED_VALUE"""),896.0)</f>
        <v>896</v>
      </c>
    </row>
    <row r="315">
      <c r="A315" s="1">
        <v>2025.0</v>
      </c>
      <c r="B315" s="1" t="s">
        <v>274</v>
      </c>
      <c r="C315" s="1">
        <v>543101.0</v>
      </c>
      <c r="D315" s="1" t="s">
        <v>537</v>
      </c>
      <c r="E315" s="1" t="s">
        <v>927</v>
      </c>
      <c r="F315" s="1" t="s">
        <v>926</v>
      </c>
      <c r="G315" s="1">
        <v>63.0</v>
      </c>
      <c r="H315" s="1">
        <v>3.848341232</v>
      </c>
      <c r="I315" s="1">
        <v>4.78</v>
      </c>
      <c r="J315" s="1">
        <v>1.705765</v>
      </c>
      <c r="L315" s="10">
        <f>IFERROR(__xludf.DUMMYFUNCTION("""COMPUTED_VALUE"""),573124.0)</f>
        <v>573124</v>
      </c>
      <c r="M315" s="10">
        <f>IFERROR(__xludf.DUMMYFUNCTION("""COMPUTED_VALUE"""),893.0)</f>
        <v>893</v>
      </c>
    </row>
    <row r="316">
      <c r="A316" s="1">
        <v>2025.0</v>
      </c>
      <c r="B316" s="1" t="s">
        <v>274</v>
      </c>
      <c r="C316" s="1">
        <v>543101.0</v>
      </c>
      <c r="D316" s="1" t="s">
        <v>538</v>
      </c>
      <c r="E316" s="1" t="s">
        <v>927</v>
      </c>
      <c r="F316" s="1" t="s">
        <v>926</v>
      </c>
      <c r="G316" s="1">
        <v>92.0</v>
      </c>
      <c r="H316" s="1">
        <v>5.619799895</v>
      </c>
      <c r="I316" s="1">
        <v>4.75</v>
      </c>
      <c r="J316" s="1">
        <v>2.533695</v>
      </c>
      <c r="L316" s="10">
        <f>IFERROR(__xludf.DUMMYFUNCTION("""COMPUTED_VALUE"""),657612.0)</f>
        <v>657612</v>
      </c>
      <c r="M316" s="10">
        <f>IFERROR(__xludf.DUMMYFUNCTION("""COMPUTED_VALUE"""),892.0)</f>
        <v>892</v>
      </c>
    </row>
    <row r="317">
      <c r="A317" s="1">
        <v>2025.0</v>
      </c>
      <c r="B317" s="1" t="s">
        <v>274</v>
      </c>
      <c r="C317" s="1">
        <v>543101.0</v>
      </c>
      <c r="D317" s="1" t="s">
        <v>536</v>
      </c>
      <c r="E317" s="1" t="s">
        <v>927</v>
      </c>
      <c r="F317" s="1" t="s">
        <v>926</v>
      </c>
      <c r="G317" s="1">
        <v>27.0</v>
      </c>
      <c r="H317" s="1">
        <v>1.6492891</v>
      </c>
      <c r="I317" s="1">
        <v>4.11</v>
      </c>
      <c r="J317" s="1">
        <v>1.097288</v>
      </c>
      <c r="L317" s="10">
        <f>IFERROR(__xludf.DUMMYFUNCTION("""COMPUTED_VALUE"""),701581.0)</f>
        <v>701581</v>
      </c>
      <c r="M317" s="10">
        <f>IFERROR(__xludf.DUMMYFUNCTION("""COMPUTED_VALUE"""),882.0)</f>
        <v>882</v>
      </c>
    </row>
    <row r="318">
      <c r="A318" s="1">
        <v>2025.0</v>
      </c>
      <c r="B318" s="1" t="s">
        <v>274</v>
      </c>
      <c r="C318" s="1">
        <v>543101.0</v>
      </c>
      <c r="D318" s="1" t="s">
        <v>533</v>
      </c>
      <c r="E318" s="1" t="s">
        <v>927</v>
      </c>
      <c r="F318" s="1" t="s">
        <v>926</v>
      </c>
      <c r="G318" s="1">
        <v>66.0</v>
      </c>
      <c r="H318" s="1">
        <v>4.031595577</v>
      </c>
      <c r="I318" s="1">
        <v>5.36</v>
      </c>
      <c r="J318" s="1">
        <v>1.022876</v>
      </c>
      <c r="L318" s="10">
        <f>IFERROR(__xludf.DUMMYFUNCTION("""COMPUTED_VALUE"""),695549.0)</f>
        <v>695549</v>
      </c>
      <c r="M318" s="10">
        <f>IFERROR(__xludf.DUMMYFUNCTION("""COMPUTED_VALUE"""),877.0)</f>
        <v>877</v>
      </c>
    </row>
    <row r="319">
      <c r="A319" s="1">
        <v>2025.0</v>
      </c>
      <c r="B319" s="1" t="s">
        <v>274</v>
      </c>
      <c r="C319" s="1">
        <v>543101.0</v>
      </c>
      <c r="D319" s="1" t="s">
        <v>539</v>
      </c>
      <c r="E319" s="1" t="s">
        <v>927</v>
      </c>
      <c r="F319" s="1" t="s">
        <v>926</v>
      </c>
      <c r="G319" s="1">
        <v>2.0</v>
      </c>
      <c r="H319" s="1">
        <v>0.122169563</v>
      </c>
      <c r="I319" s="1">
        <v>2.3</v>
      </c>
      <c r="J319" s="1">
        <v>0.145894</v>
      </c>
      <c r="L319" s="10">
        <f>IFERROR(__xludf.DUMMYFUNCTION("""COMPUTED_VALUE"""),664076.0)</f>
        <v>664076</v>
      </c>
      <c r="M319" s="10">
        <f>IFERROR(__xludf.DUMMYFUNCTION("""COMPUTED_VALUE"""),874.0)</f>
        <v>874</v>
      </c>
    </row>
    <row r="320">
      <c r="A320" s="1">
        <v>2025.0</v>
      </c>
      <c r="B320" s="1" t="s">
        <v>274</v>
      </c>
      <c r="C320" s="1">
        <v>543101.0</v>
      </c>
      <c r="D320" s="1" t="s">
        <v>541</v>
      </c>
      <c r="E320" s="1" t="s">
        <v>927</v>
      </c>
      <c r="F320" s="1" t="s">
        <v>927</v>
      </c>
      <c r="G320" s="1">
        <v>94.0</v>
      </c>
      <c r="H320" s="1">
        <v>5.741969458</v>
      </c>
      <c r="I320" s="1">
        <v>5.0</v>
      </c>
      <c r="J320" s="1">
        <v>2.076373</v>
      </c>
      <c r="L320" s="10">
        <f>IFERROR(__xludf.DUMMYFUNCTION("""COMPUTED_VALUE"""),445276.0)</f>
        <v>445276</v>
      </c>
      <c r="M320" s="10">
        <f>IFERROR(__xludf.DUMMYFUNCTION("""COMPUTED_VALUE"""),868.0)</f>
        <v>868</v>
      </c>
    </row>
    <row r="321">
      <c r="A321" s="1">
        <v>2025.0</v>
      </c>
      <c r="B321" s="1" t="s">
        <v>274</v>
      </c>
      <c r="C321" s="1">
        <v>543101.0</v>
      </c>
      <c r="D321" s="1" t="s">
        <v>537</v>
      </c>
      <c r="E321" s="1" t="s">
        <v>927</v>
      </c>
      <c r="F321" s="1" t="s">
        <v>927</v>
      </c>
      <c r="G321" s="1">
        <v>43.0</v>
      </c>
      <c r="H321" s="1">
        <v>2.626645603</v>
      </c>
      <c r="I321" s="1">
        <v>5.26</v>
      </c>
      <c r="J321" s="1">
        <v>0.792312</v>
      </c>
      <c r="L321" s="10">
        <f>IFERROR(__xludf.DUMMYFUNCTION("""COMPUTED_VALUE"""),605452.0)</f>
        <v>605452</v>
      </c>
      <c r="M321" s="10">
        <f>IFERROR(__xludf.DUMMYFUNCTION("""COMPUTED_VALUE"""),862.0)</f>
        <v>862</v>
      </c>
    </row>
    <row r="322">
      <c r="A322" s="1">
        <v>2025.0</v>
      </c>
      <c r="B322" s="1" t="s">
        <v>274</v>
      </c>
      <c r="C322" s="1">
        <v>543101.0</v>
      </c>
      <c r="D322" s="1" t="s">
        <v>538</v>
      </c>
      <c r="E322" s="1" t="s">
        <v>927</v>
      </c>
      <c r="F322" s="1" t="s">
        <v>927</v>
      </c>
      <c r="G322" s="1">
        <v>37.0</v>
      </c>
      <c r="H322" s="1">
        <v>2.260136914</v>
      </c>
      <c r="I322" s="1">
        <v>5.41</v>
      </c>
      <c r="J322" s="1">
        <v>0.459029</v>
      </c>
      <c r="L322" s="10">
        <f>IFERROR(__xludf.DUMMYFUNCTION("""COMPUTED_VALUE"""),668984.0)</f>
        <v>668984</v>
      </c>
      <c r="M322" s="10">
        <f>IFERROR(__xludf.DUMMYFUNCTION("""COMPUTED_VALUE"""),861.0)</f>
        <v>861</v>
      </c>
    </row>
    <row r="323">
      <c r="A323" s="1">
        <v>2025.0</v>
      </c>
      <c r="B323" s="1" t="s">
        <v>274</v>
      </c>
      <c r="C323" s="1">
        <v>543101.0</v>
      </c>
      <c r="D323" s="1" t="s">
        <v>536</v>
      </c>
      <c r="E323" s="1" t="s">
        <v>927</v>
      </c>
      <c r="F323" s="1" t="s">
        <v>927</v>
      </c>
      <c r="G323" s="1">
        <v>94.0</v>
      </c>
      <c r="H323" s="1">
        <v>5.741969458</v>
      </c>
      <c r="I323" s="1">
        <v>5.17</v>
      </c>
      <c r="J323" s="1">
        <v>1.808797</v>
      </c>
      <c r="L323" s="10">
        <f>IFERROR(__xludf.DUMMYFUNCTION("""COMPUTED_VALUE"""),694462.0)</f>
        <v>694462</v>
      </c>
      <c r="M323" s="10">
        <f>IFERROR(__xludf.DUMMYFUNCTION("""COMPUTED_VALUE"""),861.0)</f>
        <v>861</v>
      </c>
    </row>
    <row r="324">
      <c r="A324" s="1">
        <v>2025.0</v>
      </c>
      <c r="B324" s="1" t="s">
        <v>274</v>
      </c>
      <c r="C324" s="1">
        <v>543101.0</v>
      </c>
      <c r="D324" s="1" t="s">
        <v>533</v>
      </c>
      <c r="E324" s="1" t="s">
        <v>927</v>
      </c>
      <c r="F324" s="1" t="s">
        <v>927</v>
      </c>
      <c r="G324" s="1">
        <v>73.0</v>
      </c>
      <c r="H324" s="1">
        <v>4.459189047</v>
      </c>
      <c r="I324" s="1">
        <v>5.28</v>
      </c>
      <c r="J324" s="1">
        <v>1.261831</v>
      </c>
      <c r="L324" s="10">
        <f>IFERROR(__xludf.DUMMYFUNCTION("""COMPUTED_VALUE"""),689254.0)</f>
        <v>689254</v>
      </c>
      <c r="M324" s="10">
        <f>IFERROR(__xludf.DUMMYFUNCTION("""COMPUTED_VALUE"""),859.0)</f>
        <v>859</v>
      </c>
    </row>
    <row r="325">
      <c r="A325" s="1">
        <v>2025.0</v>
      </c>
      <c r="B325" s="1" t="s">
        <v>274</v>
      </c>
      <c r="C325" s="1">
        <v>543101.0</v>
      </c>
      <c r="D325" s="1" t="s">
        <v>539</v>
      </c>
      <c r="E325" s="1" t="s">
        <v>927</v>
      </c>
      <c r="F325" s="1" t="s">
        <v>927</v>
      </c>
      <c r="G325" s="1">
        <v>3.0</v>
      </c>
      <c r="H325" s="1">
        <v>0.183254344</v>
      </c>
      <c r="I325" s="1">
        <v>4.54</v>
      </c>
      <c r="J325" s="1">
        <v>0.087853</v>
      </c>
      <c r="L325" s="10">
        <f>IFERROR(__xludf.DUMMYFUNCTION("""COMPUTED_VALUE"""),682254.0)</f>
        <v>682254</v>
      </c>
      <c r="M325" s="10">
        <f>IFERROR(__xludf.DUMMYFUNCTION("""COMPUTED_VALUE"""),858.0)</f>
        <v>858</v>
      </c>
    </row>
    <row r="326">
      <c r="A326" s="1">
        <v>2025.0</v>
      </c>
      <c r="B326" s="1" t="s">
        <v>793</v>
      </c>
      <c r="C326" s="1">
        <v>687424.0</v>
      </c>
      <c r="D326" s="1" t="s">
        <v>537</v>
      </c>
      <c r="E326" s="1" t="s">
        <v>927</v>
      </c>
      <c r="F326" s="1" t="s">
        <v>926</v>
      </c>
      <c r="G326" s="1">
        <v>16.0</v>
      </c>
      <c r="H326" s="1">
        <v>0.744186047</v>
      </c>
      <c r="I326" s="1">
        <v>5.08</v>
      </c>
      <c r="J326" s="1">
        <v>0.342489</v>
      </c>
      <c r="L326" s="10">
        <f>IFERROR(__xludf.DUMMYFUNCTION("""COMPUTED_VALUE"""),669060.0)</f>
        <v>669060</v>
      </c>
      <c r="M326" s="10">
        <f>IFERROR(__xludf.DUMMYFUNCTION("""COMPUTED_VALUE"""),853.0)</f>
        <v>853</v>
      </c>
    </row>
    <row r="327">
      <c r="A327" s="1">
        <v>2025.0</v>
      </c>
      <c r="B327" s="1" t="s">
        <v>793</v>
      </c>
      <c r="C327" s="1">
        <v>687424.0</v>
      </c>
      <c r="D327" s="1" t="s">
        <v>533</v>
      </c>
      <c r="E327" s="1" t="s">
        <v>927</v>
      </c>
      <c r="F327" s="1" t="s">
        <v>926</v>
      </c>
      <c r="G327" s="1">
        <v>12.0</v>
      </c>
      <c r="H327" s="1">
        <v>0.558139535</v>
      </c>
      <c r="I327" s="1">
        <v>4.36</v>
      </c>
      <c r="J327" s="1">
        <v>0.402596</v>
      </c>
      <c r="L327" s="10">
        <f>IFERROR(__xludf.DUMMYFUNCTION("""COMPUTED_VALUE"""),664199.0)</f>
        <v>664199</v>
      </c>
      <c r="M327" s="10">
        <f>IFERROR(__xludf.DUMMYFUNCTION("""COMPUTED_VALUE"""),851.0)</f>
        <v>851</v>
      </c>
    </row>
    <row r="328">
      <c r="A328" s="1">
        <v>2025.0</v>
      </c>
      <c r="B328" s="1" t="s">
        <v>793</v>
      </c>
      <c r="C328" s="1">
        <v>687424.0</v>
      </c>
      <c r="D328" s="1" t="s">
        <v>537</v>
      </c>
      <c r="E328" s="1" t="s">
        <v>927</v>
      </c>
      <c r="F328" s="1" t="s">
        <v>927</v>
      </c>
      <c r="G328" s="1">
        <v>46.0</v>
      </c>
      <c r="H328" s="1">
        <v>2.139534884</v>
      </c>
      <c r="I328" s="1">
        <v>4.88</v>
      </c>
      <c r="J328" s="1">
        <v>1.141016</v>
      </c>
      <c r="L328" s="10">
        <f>IFERROR(__xludf.DUMMYFUNCTION("""COMPUTED_VALUE"""),623352.0)</f>
        <v>623352</v>
      </c>
      <c r="M328" s="10">
        <f>IFERROR(__xludf.DUMMYFUNCTION("""COMPUTED_VALUE"""),846.0)</f>
        <v>846</v>
      </c>
    </row>
    <row r="329">
      <c r="A329" s="1">
        <v>2025.0</v>
      </c>
      <c r="B329" s="1" t="s">
        <v>793</v>
      </c>
      <c r="C329" s="1">
        <v>687424.0</v>
      </c>
      <c r="D329" s="1" t="s">
        <v>533</v>
      </c>
      <c r="E329" s="1" t="s">
        <v>927</v>
      </c>
      <c r="F329" s="1" t="s">
        <v>927</v>
      </c>
      <c r="G329" s="1">
        <v>55.0</v>
      </c>
      <c r="H329" s="1">
        <v>2.558139535</v>
      </c>
      <c r="I329" s="1">
        <v>4.68</v>
      </c>
      <c r="J329" s="1">
        <v>1.580708</v>
      </c>
      <c r="L329" s="10">
        <f>IFERROR(__xludf.DUMMYFUNCTION("""COMPUTED_VALUE"""),683232.0)</f>
        <v>683232</v>
      </c>
      <c r="M329" s="10">
        <f>IFERROR(__xludf.DUMMYFUNCTION("""COMPUTED_VALUE"""),845.0)</f>
        <v>845</v>
      </c>
    </row>
    <row r="330">
      <c r="A330" s="1">
        <v>2025.0</v>
      </c>
      <c r="B330" s="1" t="s">
        <v>934</v>
      </c>
      <c r="C330" s="1">
        <v>664948.0</v>
      </c>
      <c r="D330" s="1" t="s">
        <v>541</v>
      </c>
      <c r="E330" s="1" t="s">
        <v>926</v>
      </c>
      <c r="F330" s="1" t="s">
        <v>926</v>
      </c>
      <c r="G330" s="1">
        <v>12.0</v>
      </c>
      <c r="H330" s="1">
        <v>0.486956522</v>
      </c>
      <c r="I330" s="1">
        <v>4.04</v>
      </c>
      <c r="J330" s="1">
        <v>0.481113</v>
      </c>
      <c r="L330" s="10">
        <f>IFERROR(__xludf.DUMMYFUNCTION("""COMPUTED_VALUE"""),640448.0)</f>
        <v>640448</v>
      </c>
      <c r="M330" s="10">
        <f>IFERROR(__xludf.DUMMYFUNCTION("""COMPUTED_VALUE"""),843.0)</f>
        <v>843</v>
      </c>
    </row>
    <row r="331">
      <c r="A331" s="1">
        <v>2025.0</v>
      </c>
      <c r="B331" s="1" t="s">
        <v>934</v>
      </c>
      <c r="C331" s="1">
        <v>664948.0</v>
      </c>
      <c r="D331" s="1" t="s">
        <v>540</v>
      </c>
      <c r="E331" s="1" t="s">
        <v>926</v>
      </c>
      <c r="F331" s="1" t="s">
        <v>926</v>
      </c>
      <c r="G331" s="1">
        <v>32.0</v>
      </c>
      <c r="H331" s="1">
        <v>1.298550725</v>
      </c>
      <c r="I331" s="1">
        <v>5.33</v>
      </c>
      <c r="J331" s="1">
        <v>0.487701</v>
      </c>
      <c r="L331" s="10">
        <f>IFERROR(__xludf.DUMMYFUNCTION("""COMPUTED_VALUE"""),642152.0)</f>
        <v>642152</v>
      </c>
      <c r="M331" s="10">
        <f>IFERROR(__xludf.DUMMYFUNCTION("""COMPUTED_VALUE"""),841.0)</f>
        <v>841</v>
      </c>
    </row>
    <row r="332">
      <c r="A332" s="1">
        <v>2025.0</v>
      </c>
      <c r="B332" s="1" t="s">
        <v>934</v>
      </c>
      <c r="C332" s="1">
        <v>664948.0</v>
      </c>
      <c r="D332" s="1" t="s">
        <v>537</v>
      </c>
      <c r="E332" s="1" t="s">
        <v>926</v>
      </c>
      <c r="F332" s="1" t="s">
        <v>926</v>
      </c>
      <c r="G332" s="1">
        <v>4.0</v>
      </c>
      <c r="H332" s="1">
        <v>0.162318841</v>
      </c>
      <c r="I332" s="1">
        <v>3.7</v>
      </c>
      <c r="J332" s="1">
        <v>0.201208</v>
      </c>
      <c r="L332" s="10">
        <f>IFERROR(__xludf.DUMMYFUNCTION("""COMPUTED_VALUE"""),641401.0)</f>
        <v>641401</v>
      </c>
      <c r="M332" s="10">
        <f>IFERROR(__xludf.DUMMYFUNCTION("""COMPUTED_VALUE"""),840.0)</f>
        <v>840</v>
      </c>
    </row>
    <row r="333">
      <c r="A333" s="1">
        <v>2025.0</v>
      </c>
      <c r="B333" s="1" t="s">
        <v>934</v>
      </c>
      <c r="C333" s="1">
        <v>664948.0</v>
      </c>
      <c r="D333" s="1" t="s">
        <v>532</v>
      </c>
      <c r="E333" s="1" t="s">
        <v>926</v>
      </c>
      <c r="F333" s="1" t="s">
        <v>927</v>
      </c>
      <c r="G333" s="1">
        <v>23.0</v>
      </c>
      <c r="H333" s="1">
        <v>0.933333333</v>
      </c>
      <c r="I333" s="1">
        <v>4.15</v>
      </c>
      <c r="J333" s="1">
        <v>0.899322</v>
      </c>
      <c r="L333" s="10">
        <f>IFERROR(__xludf.DUMMYFUNCTION("""COMPUTED_VALUE"""),573204.0)</f>
        <v>573204</v>
      </c>
      <c r="M333" s="10">
        <f>IFERROR(__xludf.DUMMYFUNCTION("""COMPUTED_VALUE"""),839.0)</f>
        <v>839</v>
      </c>
    </row>
    <row r="334">
      <c r="A334" s="1">
        <v>2025.0</v>
      </c>
      <c r="B334" s="1" t="s">
        <v>934</v>
      </c>
      <c r="C334" s="1">
        <v>664948.0</v>
      </c>
      <c r="D334" s="1" t="s">
        <v>541</v>
      </c>
      <c r="E334" s="1" t="s">
        <v>926</v>
      </c>
      <c r="F334" s="1" t="s">
        <v>927</v>
      </c>
      <c r="G334" s="1">
        <v>8.0</v>
      </c>
      <c r="H334" s="1">
        <v>0.324637681</v>
      </c>
      <c r="I334" s="1">
        <v>4.91</v>
      </c>
      <c r="J334" s="1">
        <v>0.186217</v>
      </c>
      <c r="L334" s="10">
        <f>IFERROR(__xludf.DUMMYFUNCTION("""COMPUTED_VALUE"""),656457.0)</f>
        <v>656457</v>
      </c>
      <c r="M334" s="10">
        <f>IFERROR(__xludf.DUMMYFUNCTION("""COMPUTED_VALUE"""),839.0)</f>
        <v>839</v>
      </c>
    </row>
    <row r="335">
      <c r="A335" s="1">
        <v>2025.0</v>
      </c>
      <c r="B335" s="1" t="s">
        <v>934</v>
      </c>
      <c r="C335" s="1">
        <v>664948.0</v>
      </c>
      <c r="D335" s="1" t="s">
        <v>540</v>
      </c>
      <c r="E335" s="1" t="s">
        <v>926</v>
      </c>
      <c r="F335" s="1" t="s">
        <v>927</v>
      </c>
      <c r="G335" s="1">
        <v>32.0</v>
      </c>
      <c r="H335" s="1">
        <v>1.298550725</v>
      </c>
      <c r="I335" s="1">
        <v>5.51</v>
      </c>
      <c r="J335" s="1">
        <v>0.370776</v>
      </c>
      <c r="L335" s="10">
        <f>IFERROR(__xludf.DUMMYFUNCTION("""COMPUTED_VALUE"""),694037.0)</f>
        <v>694037</v>
      </c>
      <c r="M335" s="10">
        <f>IFERROR(__xludf.DUMMYFUNCTION("""COMPUTED_VALUE"""),839.0)</f>
        <v>839</v>
      </c>
    </row>
    <row r="336">
      <c r="A336" s="1">
        <v>2025.0</v>
      </c>
      <c r="B336" s="1" t="s">
        <v>934</v>
      </c>
      <c r="C336" s="1">
        <v>664948.0</v>
      </c>
      <c r="D336" s="1" t="s">
        <v>537</v>
      </c>
      <c r="E336" s="1" t="s">
        <v>926</v>
      </c>
      <c r="F336" s="1" t="s">
        <v>927</v>
      </c>
      <c r="G336" s="1">
        <v>4.0</v>
      </c>
      <c r="H336" s="1">
        <v>0.162318841</v>
      </c>
      <c r="I336" s="1">
        <v>4.43</v>
      </c>
      <c r="J336" s="1">
        <v>0.141361</v>
      </c>
      <c r="L336" s="10">
        <f>IFERROR(__xludf.DUMMYFUNCTION("""COMPUTED_VALUE"""),680755.0)</f>
        <v>680755</v>
      </c>
      <c r="M336" s="10">
        <f>IFERROR(__xludf.DUMMYFUNCTION("""COMPUTED_VALUE"""),834.0)</f>
        <v>834</v>
      </c>
    </row>
    <row r="337">
      <c r="A337" s="1">
        <v>2025.0</v>
      </c>
      <c r="B337" s="1" t="s">
        <v>517</v>
      </c>
      <c r="C337" s="1">
        <v>683627.0</v>
      </c>
      <c r="D337" s="1" t="s">
        <v>532</v>
      </c>
      <c r="E337" s="1" t="s">
        <v>927</v>
      </c>
      <c r="F337" s="1" t="s">
        <v>926</v>
      </c>
      <c r="G337" s="1">
        <v>103.0</v>
      </c>
      <c r="H337" s="1">
        <v>5.892189219</v>
      </c>
      <c r="I337" s="1">
        <v>4.7</v>
      </c>
      <c r="J337" s="1">
        <v>3.066645</v>
      </c>
      <c r="L337" s="10">
        <f>IFERROR(__xludf.DUMMYFUNCTION("""COMPUTED_VALUE"""),657514.0)</f>
        <v>657514</v>
      </c>
      <c r="M337" s="10">
        <f>IFERROR(__xludf.DUMMYFUNCTION("""COMPUTED_VALUE"""),832.0)</f>
        <v>832</v>
      </c>
    </row>
    <row r="338">
      <c r="A338" s="1">
        <v>2025.0</v>
      </c>
      <c r="B338" s="1" t="s">
        <v>517</v>
      </c>
      <c r="C338" s="1">
        <v>683627.0</v>
      </c>
      <c r="D338" s="1" t="s">
        <v>541</v>
      </c>
      <c r="E338" s="1" t="s">
        <v>927</v>
      </c>
      <c r="F338" s="1" t="s">
        <v>926</v>
      </c>
      <c r="G338" s="1">
        <v>31.0</v>
      </c>
      <c r="H338" s="1">
        <v>1.773377338</v>
      </c>
      <c r="I338" s="1">
        <v>5.33</v>
      </c>
      <c r="J338" s="1">
        <v>0.505819</v>
      </c>
      <c r="L338" s="10">
        <f>IFERROR(__xludf.DUMMYFUNCTION("""COMPUTED_VALUE"""),643410.0)</f>
        <v>643410</v>
      </c>
      <c r="M338" s="10">
        <f>IFERROR(__xludf.DUMMYFUNCTION("""COMPUTED_VALUE"""),831.0)</f>
        <v>831</v>
      </c>
    </row>
    <row r="339">
      <c r="A339" s="1">
        <v>2025.0</v>
      </c>
      <c r="B339" s="1" t="s">
        <v>517</v>
      </c>
      <c r="C339" s="1">
        <v>683627.0</v>
      </c>
      <c r="D339" s="1" t="s">
        <v>540</v>
      </c>
      <c r="E339" s="1" t="s">
        <v>927</v>
      </c>
      <c r="F339" s="1" t="s">
        <v>926</v>
      </c>
      <c r="G339" s="1">
        <v>7.0</v>
      </c>
      <c r="H339" s="1">
        <v>0.400440044</v>
      </c>
      <c r="I339" s="1">
        <v>4.49</v>
      </c>
      <c r="J339" s="1">
        <v>0.24888</v>
      </c>
      <c r="L339" s="10">
        <f>IFERROR(__xludf.DUMMYFUNCTION("""COMPUTED_VALUE"""),668964.0)</f>
        <v>668964</v>
      </c>
      <c r="M339" s="10">
        <f>IFERROR(__xludf.DUMMYFUNCTION("""COMPUTED_VALUE"""),826.0)</f>
        <v>826</v>
      </c>
    </row>
    <row r="340">
      <c r="A340" s="1">
        <v>2025.0</v>
      </c>
      <c r="B340" s="1" t="s">
        <v>517</v>
      </c>
      <c r="C340" s="1">
        <v>683627.0</v>
      </c>
      <c r="D340" s="1" t="s">
        <v>537</v>
      </c>
      <c r="E340" s="1" t="s">
        <v>927</v>
      </c>
      <c r="F340" s="1" t="s">
        <v>926</v>
      </c>
      <c r="G340" s="1">
        <v>149.0</v>
      </c>
      <c r="H340" s="1">
        <v>8.523652365</v>
      </c>
      <c r="I340" s="1">
        <v>4.82</v>
      </c>
      <c r="J340" s="1">
        <v>4.144354</v>
      </c>
      <c r="L340" s="10">
        <f>IFERROR(__xludf.DUMMYFUNCTION("""COMPUTED_VALUE"""),666374.0)</f>
        <v>666374</v>
      </c>
      <c r="M340" s="10">
        <f>IFERROR(__xludf.DUMMYFUNCTION("""COMPUTED_VALUE"""),822.0)</f>
        <v>822</v>
      </c>
    </row>
    <row r="341">
      <c r="A341" s="1">
        <v>2025.0</v>
      </c>
      <c r="B341" s="1" t="s">
        <v>517</v>
      </c>
      <c r="C341" s="1">
        <v>683627.0</v>
      </c>
      <c r="D341" s="1" t="s">
        <v>533</v>
      </c>
      <c r="E341" s="1" t="s">
        <v>927</v>
      </c>
      <c r="F341" s="1" t="s">
        <v>926</v>
      </c>
      <c r="G341" s="1">
        <v>9.0</v>
      </c>
      <c r="H341" s="1">
        <v>0.514851485</v>
      </c>
      <c r="I341" s="1">
        <v>4.8</v>
      </c>
      <c r="J341" s="1">
        <v>0.238539</v>
      </c>
      <c r="L341" s="10">
        <f>IFERROR(__xludf.DUMMYFUNCTION("""COMPUTED_VALUE"""),806960.0)</f>
        <v>806960</v>
      </c>
      <c r="M341" s="10">
        <f>IFERROR(__xludf.DUMMYFUNCTION("""COMPUTED_VALUE"""),819.0)</f>
        <v>819</v>
      </c>
    </row>
    <row r="342">
      <c r="A342" s="1">
        <v>2025.0</v>
      </c>
      <c r="B342" s="1" t="s">
        <v>517</v>
      </c>
      <c r="C342" s="1">
        <v>683627.0</v>
      </c>
      <c r="D342" s="1" t="s">
        <v>532</v>
      </c>
      <c r="E342" s="1" t="s">
        <v>927</v>
      </c>
      <c r="F342" s="1" t="s">
        <v>927</v>
      </c>
      <c r="G342" s="1">
        <v>6.0</v>
      </c>
      <c r="H342" s="1">
        <v>0.343234323</v>
      </c>
      <c r="I342" s="1">
        <v>5.23</v>
      </c>
      <c r="J342" s="1">
        <v>0.125618</v>
      </c>
      <c r="L342" s="10">
        <f>IFERROR(__xludf.DUMMYFUNCTION("""COMPUTED_VALUE"""),458677.0)</f>
        <v>458677</v>
      </c>
      <c r="M342" s="10">
        <f>IFERROR(__xludf.DUMMYFUNCTION("""COMPUTED_VALUE"""),816.0)</f>
        <v>816</v>
      </c>
    </row>
    <row r="343">
      <c r="A343" s="1">
        <v>2025.0</v>
      </c>
      <c r="B343" s="1" t="s">
        <v>517</v>
      </c>
      <c r="C343" s="1">
        <v>683627.0</v>
      </c>
      <c r="D343" s="1" t="s">
        <v>541</v>
      </c>
      <c r="E343" s="1" t="s">
        <v>927</v>
      </c>
      <c r="F343" s="1" t="s">
        <v>927</v>
      </c>
      <c r="G343" s="1">
        <v>62.0</v>
      </c>
      <c r="H343" s="1">
        <v>3.546754675</v>
      </c>
      <c r="I343" s="1">
        <v>4.83</v>
      </c>
      <c r="J343" s="1">
        <v>1.592216</v>
      </c>
      <c r="L343" s="10">
        <f>IFERROR(__xludf.DUMMYFUNCTION("""COMPUTED_VALUE"""),670036.0)</f>
        <v>670036</v>
      </c>
      <c r="M343" s="10">
        <f>IFERROR(__xludf.DUMMYFUNCTION("""COMPUTED_VALUE"""),816.0)</f>
        <v>816</v>
      </c>
    </row>
    <row r="344">
      <c r="A344" s="1">
        <v>2025.0</v>
      </c>
      <c r="B344" s="1" t="s">
        <v>517</v>
      </c>
      <c r="C344" s="1">
        <v>683627.0</v>
      </c>
      <c r="D344" s="1" t="s">
        <v>540</v>
      </c>
      <c r="E344" s="1" t="s">
        <v>927</v>
      </c>
      <c r="F344" s="1" t="s">
        <v>927</v>
      </c>
      <c r="G344" s="1">
        <v>4.0</v>
      </c>
      <c r="H344" s="1">
        <v>0.228822882</v>
      </c>
      <c r="I344" s="1">
        <v>4.67</v>
      </c>
      <c r="J344" s="1">
        <v>0.127219</v>
      </c>
      <c r="L344" s="10">
        <f>IFERROR(__xludf.DUMMYFUNCTION("""COMPUTED_VALUE"""),663941.0)</f>
        <v>663941</v>
      </c>
      <c r="M344" s="10">
        <f>IFERROR(__xludf.DUMMYFUNCTION("""COMPUTED_VALUE"""),815.0)</f>
        <v>815</v>
      </c>
    </row>
    <row r="345">
      <c r="A345" s="1">
        <v>2025.0</v>
      </c>
      <c r="B345" s="1" t="s">
        <v>517</v>
      </c>
      <c r="C345" s="1">
        <v>683627.0</v>
      </c>
      <c r="D345" s="1" t="s">
        <v>537</v>
      </c>
      <c r="E345" s="1" t="s">
        <v>927</v>
      </c>
      <c r="F345" s="1" t="s">
        <v>927</v>
      </c>
      <c r="G345" s="1">
        <v>149.0</v>
      </c>
      <c r="H345" s="1">
        <v>8.523652365</v>
      </c>
      <c r="I345" s="1">
        <v>4.7</v>
      </c>
      <c r="J345" s="1">
        <v>4.401899</v>
      </c>
      <c r="L345" s="10">
        <f>IFERROR(__xludf.DUMMYFUNCTION("""COMPUTED_VALUE"""),687888.0)</f>
        <v>687888</v>
      </c>
      <c r="M345" s="10">
        <f>IFERROR(__xludf.DUMMYFUNCTION("""COMPUTED_VALUE"""),814.0)</f>
        <v>814</v>
      </c>
    </row>
    <row r="346">
      <c r="A346" s="1">
        <v>2025.0</v>
      </c>
      <c r="B346" s="1" t="s">
        <v>517</v>
      </c>
      <c r="C346" s="1">
        <v>683627.0</v>
      </c>
      <c r="D346" s="1" t="s">
        <v>533</v>
      </c>
      <c r="E346" s="1" t="s">
        <v>927</v>
      </c>
      <c r="F346" s="1" t="s">
        <v>927</v>
      </c>
      <c r="G346" s="1">
        <v>86.0</v>
      </c>
      <c r="H346" s="1">
        <v>4.919691969</v>
      </c>
      <c r="I346" s="1">
        <v>4.87</v>
      </c>
      <c r="J346" s="1">
        <v>2.224242</v>
      </c>
      <c r="L346" s="10">
        <f>IFERROR(__xludf.DUMMYFUNCTION("""COMPUTED_VALUE"""),678495.0)</f>
        <v>678495</v>
      </c>
      <c r="M346" s="10">
        <f>IFERROR(__xludf.DUMMYFUNCTION("""COMPUTED_VALUE"""),802.0)</f>
        <v>802</v>
      </c>
    </row>
    <row r="347">
      <c r="A347" s="1">
        <v>2025.0</v>
      </c>
      <c r="B347" s="1" t="s">
        <v>935</v>
      </c>
      <c r="C347" s="1">
        <v>678011.0</v>
      </c>
      <c r="D347" s="1" t="s">
        <v>537</v>
      </c>
      <c r="E347" s="1" t="s">
        <v>936</v>
      </c>
      <c r="F347" s="1" t="s">
        <v>927</v>
      </c>
      <c r="G347" s="1">
        <v>11.0</v>
      </c>
      <c r="H347" s="1">
        <v>1.0</v>
      </c>
      <c r="I347" s="1">
        <v>4.71</v>
      </c>
      <c r="J347" s="1">
        <v>0.306719</v>
      </c>
      <c r="L347" s="10">
        <f>IFERROR(__xludf.DUMMYFUNCTION("""COMPUTED_VALUE"""),519141.0)</f>
        <v>519141</v>
      </c>
      <c r="M347" s="10">
        <f>IFERROR(__xludf.DUMMYFUNCTION("""COMPUTED_VALUE"""),800.0)</f>
        <v>800</v>
      </c>
    </row>
    <row r="348">
      <c r="A348" s="1">
        <v>2025.0</v>
      </c>
      <c r="B348" s="1" t="s">
        <v>676</v>
      </c>
      <c r="C348" s="1">
        <v>685107.0</v>
      </c>
      <c r="D348" s="1" t="s">
        <v>532</v>
      </c>
      <c r="E348" s="1" t="s">
        <v>926</v>
      </c>
      <c r="F348" s="1" t="s">
        <v>926</v>
      </c>
      <c r="G348" s="1">
        <v>1.0</v>
      </c>
      <c r="H348" s="1">
        <v>0.052083333</v>
      </c>
      <c r="I348" s="1">
        <v>5.48</v>
      </c>
      <c r="J348" s="1">
        <v>0.01248</v>
      </c>
      <c r="L348" s="10">
        <f>IFERROR(__xludf.DUMMYFUNCTION("""COMPUTED_VALUE"""),669854.0)</f>
        <v>669854</v>
      </c>
      <c r="M348" s="10">
        <f>IFERROR(__xludf.DUMMYFUNCTION("""COMPUTED_VALUE"""),793.0)</f>
        <v>793</v>
      </c>
    </row>
    <row r="349">
      <c r="A349" s="1">
        <v>2025.0</v>
      </c>
      <c r="B349" s="1" t="s">
        <v>676</v>
      </c>
      <c r="C349" s="1">
        <v>685107.0</v>
      </c>
      <c r="D349" s="1" t="s">
        <v>537</v>
      </c>
      <c r="E349" s="1" t="s">
        <v>926</v>
      </c>
      <c r="F349" s="1" t="s">
        <v>926</v>
      </c>
      <c r="G349" s="1">
        <v>81.0</v>
      </c>
      <c r="H349" s="1">
        <v>4.21875</v>
      </c>
      <c r="I349" s="1">
        <v>4.82</v>
      </c>
      <c r="J349" s="1">
        <v>2.110181</v>
      </c>
      <c r="L349" s="10">
        <f>IFERROR(__xludf.DUMMYFUNCTION("""COMPUTED_VALUE"""),518585.0)</f>
        <v>518585</v>
      </c>
      <c r="M349" s="10">
        <f>IFERROR(__xludf.DUMMYFUNCTION("""COMPUTED_VALUE"""),792.0)</f>
        <v>792</v>
      </c>
    </row>
    <row r="350">
      <c r="A350" s="1">
        <v>2025.0</v>
      </c>
      <c r="B350" s="1" t="s">
        <v>676</v>
      </c>
      <c r="C350" s="1">
        <v>685107.0</v>
      </c>
      <c r="D350" s="1" t="s">
        <v>536</v>
      </c>
      <c r="E350" s="1" t="s">
        <v>926</v>
      </c>
      <c r="F350" s="1" t="s">
        <v>926</v>
      </c>
      <c r="G350" s="1">
        <v>43.0</v>
      </c>
      <c r="H350" s="1">
        <v>2.239583333</v>
      </c>
      <c r="I350" s="1">
        <v>5.28</v>
      </c>
      <c r="J350" s="1">
        <v>0.702158</v>
      </c>
      <c r="L350" s="10">
        <f>IFERROR(__xludf.DUMMYFUNCTION("""COMPUTED_VALUE"""),669674.0)</f>
        <v>669674</v>
      </c>
      <c r="M350" s="10">
        <f>IFERROR(__xludf.DUMMYFUNCTION("""COMPUTED_VALUE"""),786.0)</f>
        <v>786</v>
      </c>
    </row>
    <row r="351">
      <c r="A351" s="1">
        <v>2025.0</v>
      </c>
      <c r="B351" s="1" t="s">
        <v>676</v>
      </c>
      <c r="C351" s="1">
        <v>685107.0</v>
      </c>
      <c r="D351" s="1" t="s">
        <v>533</v>
      </c>
      <c r="E351" s="1" t="s">
        <v>926</v>
      </c>
      <c r="F351" s="1" t="s">
        <v>926</v>
      </c>
      <c r="G351" s="1">
        <v>74.0</v>
      </c>
      <c r="H351" s="1">
        <v>3.854166667</v>
      </c>
      <c r="I351" s="1">
        <v>5.32</v>
      </c>
      <c r="J351" s="1">
        <v>1.085131</v>
      </c>
      <c r="L351" s="10">
        <f>IFERROR(__xludf.DUMMYFUNCTION("""COMPUTED_VALUE"""),672391.0)</f>
        <v>672391</v>
      </c>
      <c r="M351" s="10">
        <f>IFERROR(__xludf.DUMMYFUNCTION("""COMPUTED_VALUE"""),786.0)</f>
        <v>786</v>
      </c>
    </row>
    <row r="352">
      <c r="A352" s="1">
        <v>2025.0</v>
      </c>
      <c r="B352" s="1" t="s">
        <v>676</v>
      </c>
      <c r="C352" s="1">
        <v>685107.0</v>
      </c>
      <c r="D352" s="1" t="s">
        <v>539</v>
      </c>
      <c r="E352" s="1" t="s">
        <v>926</v>
      </c>
      <c r="F352" s="1" t="s">
        <v>926</v>
      </c>
      <c r="G352" s="1">
        <v>76.0</v>
      </c>
      <c r="H352" s="1">
        <v>3.958333333</v>
      </c>
      <c r="I352" s="1">
        <v>4.94</v>
      </c>
      <c r="J352" s="1">
        <v>1.7385</v>
      </c>
      <c r="L352" s="10">
        <f>IFERROR(__xludf.DUMMYFUNCTION("""COMPUTED_VALUE"""),676917.0)</f>
        <v>676917</v>
      </c>
      <c r="M352" s="10">
        <f>IFERROR(__xludf.DUMMYFUNCTION("""COMPUTED_VALUE"""),786.0)</f>
        <v>786</v>
      </c>
    </row>
    <row r="353">
      <c r="A353" s="1">
        <v>2025.0</v>
      </c>
      <c r="B353" s="1" t="s">
        <v>676</v>
      </c>
      <c r="C353" s="1">
        <v>685107.0</v>
      </c>
      <c r="D353" s="1" t="s">
        <v>532</v>
      </c>
      <c r="E353" s="1" t="s">
        <v>926</v>
      </c>
      <c r="F353" s="1" t="s">
        <v>927</v>
      </c>
      <c r="G353" s="1">
        <v>32.0</v>
      </c>
      <c r="H353" s="1">
        <v>1.666666667</v>
      </c>
      <c r="I353" s="1">
        <v>4.57</v>
      </c>
      <c r="J353" s="1">
        <v>0.930907</v>
      </c>
      <c r="L353" s="10">
        <f>IFERROR(__xludf.DUMMYFUNCTION("""COMPUTED_VALUE"""),592426.0)</f>
        <v>592426</v>
      </c>
      <c r="M353" s="10">
        <f>IFERROR(__xludf.DUMMYFUNCTION("""COMPUTED_VALUE"""),782.0)</f>
        <v>782</v>
      </c>
    </row>
    <row r="354">
      <c r="A354" s="1">
        <v>2025.0</v>
      </c>
      <c r="B354" s="1" t="s">
        <v>676</v>
      </c>
      <c r="C354" s="1">
        <v>685107.0</v>
      </c>
      <c r="D354" s="1" t="s">
        <v>537</v>
      </c>
      <c r="E354" s="1" t="s">
        <v>926</v>
      </c>
      <c r="F354" s="1" t="s">
        <v>927</v>
      </c>
      <c r="G354" s="1">
        <v>66.0</v>
      </c>
      <c r="H354" s="1">
        <v>3.4375</v>
      </c>
      <c r="I354" s="1">
        <v>5.17</v>
      </c>
      <c r="J354" s="1">
        <v>1.252564</v>
      </c>
      <c r="L354" s="10">
        <f>IFERROR(__xludf.DUMMYFUNCTION("""COMPUTED_VALUE"""),667463.0)</f>
        <v>667463</v>
      </c>
      <c r="M354" s="10">
        <f>IFERROR(__xludf.DUMMYFUNCTION("""COMPUTED_VALUE"""),782.0)</f>
        <v>782</v>
      </c>
    </row>
    <row r="355">
      <c r="A355" s="1">
        <v>2025.0</v>
      </c>
      <c r="B355" s="1" t="s">
        <v>676</v>
      </c>
      <c r="C355" s="1">
        <v>685107.0</v>
      </c>
      <c r="D355" s="1" t="s">
        <v>536</v>
      </c>
      <c r="E355" s="1" t="s">
        <v>926</v>
      </c>
      <c r="F355" s="1" t="s">
        <v>927</v>
      </c>
      <c r="G355" s="1">
        <v>13.0</v>
      </c>
      <c r="H355" s="1">
        <v>0.677083333</v>
      </c>
      <c r="I355" s="1">
        <v>4.45</v>
      </c>
      <c r="J355" s="1">
        <v>0.417523</v>
      </c>
      <c r="L355" s="10">
        <f>IFERROR(__xludf.DUMMYFUNCTION("""COMPUTED_VALUE"""),669622.0)</f>
        <v>669622</v>
      </c>
      <c r="M355" s="10">
        <f>IFERROR(__xludf.DUMMYFUNCTION("""COMPUTED_VALUE"""),782.0)</f>
        <v>782</v>
      </c>
    </row>
    <row r="356">
      <c r="A356" s="1">
        <v>2025.0</v>
      </c>
      <c r="B356" s="1" t="s">
        <v>676</v>
      </c>
      <c r="C356" s="1">
        <v>685107.0</v>
      </c>
      <c r="D356" s="1" t="s">
        <v>533</v>
      </c>
      <c r="E356" s="1" t="s">
        <v>926</v>
      </c>
      <c r="F356" s="1" t="s">
        <v>927</v>
      </c>
      <c r="G356" s="1">
        <v>61.0</v>
      </c>
      <c r="H356" s="1">
        <v>3.177083333</v>
      </c>
      <c r="I356" s="1">
        <v>5.02</v>
      </c>
      <c r="J356" s="1">
        <v>1.275759</v>
      </c>
      <c r="L356" s="10">
        <f>IFERROR(__xludf.DUMMYFUNCTION("""COMPUTED_VALUE"""),676755.0)</f>
        <v>676755</v>
      </c>
      <c r="M356" s="10">
        <f>IFERROR(__xludf.DUMMYFUNCTION("""COMPUTED_VALUE"""),777.0)</f>
        <v>777</v>
      </c>
    </row>
    <row r="357">
      <c r="A357" s="1">
        <v>2025.0</v>
      </c>
      <c r="B357" s="1" t="s">
        <v>676</v>
      </c>
      <c r="C357" s="1">
        <v>685107.0</v>
      </c>
      <c r="D357" s="1" t="s">
        <v>539</v>
      </c>
      <c r="E357" s="1" t="s">
        <v>926</v>
      </c>
      <c r="F357" s="1" t="s">
        <v>927</v>
      </c>
      <c r="G357" s="1">
        <v>33.0</v>
      </c>
      <c r="H357" s="1">
        <v>1.71875</v>
      </c>
      <c r="I357" s="1">
        <v>5.37</v>
      </c>
      <c r="J357" s="1">
        <v>0.44667</v>
      </c>
      <c r="L357" s="10">
        <f>IFERROR(__xludf.DUMMYFUNCTION("""COMPUTED_VALUE"""),689017.0)</f>
        <v>689017</v>
      </c>
      <c r="M357" s="10">
        <f>IFERROR(__xludf.DUMMYFUNCTION("""COMPUTED_VALUE"""),772.0)</f>
        <v>772</v>
      </c>
    </row>
    <row r="358">
      <c r="A358" s="1">
        <v>2025.0</v>
      </c>
      <c r="B358" s="1" t="s">
        <v>481</v>
      </c>
      <c r="C358" s="1">
        <v>622608.0</v>
      </c>
      <c r="D358" s="1" t="s">
        <v>532</v>
      </c>
      <c r="E358" s="1" t="s">
        <v>927</v>
      </c>
      <c r="F358" s="1" t="s">
        <v>926</v>
      </c>
      <c r="G358" s="1">
        <v>161.0</v>
      </c>
      <c r="H358" s="1">
        <v>9.167761717</v>
      </c>
      <c r="I358" s="1">
        <v>4.7</v>
      </c>
      <c r="J358" s="1">
        <v>4.57753</v>
      </c>
      <c r="L358" s="10">
        <f>IFERROR(__xludf.DUMMYFUNCTION("""COMPUTED_VALUE"""),552640.0)</f>
        <v>552640</v>
      </c>
      <c r="M358" s="10">
        <f>IFERROR(__xludf.DUMMYFUNCTION("""COMPUTED_VALUE"""),768.0)</f>
        <v>768</v>
      </c>
    </row>
    <row r="359">
      <c r="A359" s="1">
        <v>2025.0</v>
      </c>
      <c r="B359" s="1" t="s">
        <v>481</v>
      </c>
      <c r="C359" s="1">
        <v>622608.0</v>
      </c>
      <c r="D359" s="1" t="s">
        <v>541</v>
      </c>
      <c r="E359" s="1" t="s">
        <v>927</v>
      </c>
      <c r="F359" s="1" t="s">
        <v>926</v>
      </c>
      <c r="G359" s="1">
        <v>197.0</v>
      </c>
      <c r="H359" s="1">
        <v>11.21769601</v>
      </c>
      <c r="I359" s="1">
        <v>4.8</v>
      </c>
      <c r="J359" s="1">
        <v>5.218915</v>
      </c>
      <c r="L359" s="10">
        <f>IFERROR(__xludf.DUMMYFUNCTION("""COMPUTED_VALUE"""),688158.0)</f>
        <v>688158</v>
      </c>
      <c r="M359" s="10">
        <f>IFERROR(__xludf.DUMMYFUNCTION("""COMPUTED_VALUE"""),766.0)</f>
        <v>766</v>
      </c>
    </row>
    <row r="360">
      <c r="A360" s="1">
        <v>2025.0</v>
      </c>
      <c r="B360" s="1" t="s">
        <v>481</v>
      </c>
      <c r="C360" s="1">
        <v>622608.0</v>
      </c>
      <c r="D360" s="1" t="s">
        <v>537</v>
      </c>
      <c r="E360" s="1" t="s">
        <v>927</v>
      </c>
      <c r="F360" s="1" t="s">
        <v>926</v>
      </c>
      <c r="G360" s="1">
        <v>675.0</v>
      </c>
      <c r="H360" s="1">
        <v>38.43626807</v>
      </c>
      <c r="I360" s="1">
        <v>4.9</v>
      </c>
      <c r="J360" s="1">
        <v>16.493494</v>
      </c>
      <c r="L360" s="10">
        <f>IFERROR(__xludf.DUMMYFUNCTION("""COMPUTED_VALUE"""),695505.0)</f>
        <v>695505</v>
      </c>
      <c r="M360" s="10">
        <f>IFERROR(__xludf.DUMMYFUNCTION("""COMPUTED_VALUE"""),765.0)</f>
        <v>765</v>
      </c>
    </row>
    <row r="361">
      <c r="A361" s="1">
        <v>2025.0</v>
      </c>
      <c r="B361" s="1" t="s">
        <v>481</v>
      </c>
      <c r="C361" s="1">
        <v>622608.0</v>
      </c>
      <c r="D361" s="1" t="s">
        <v>536</v>
      </c>
      <c r="E361" s="1" t="s">
        <v>927</v>
      </c>
      <c r="F361" s="1" t="s">
        <v>926</v>
      </c>
      <c r="G361" s="1">
        <v>52.0</v>
      </c>
      <c r="H361" s="1">
        <v>2.961016207</v>
      </c>
      <c r="I361" s="1">
        <v>4.66</v>
      </c>
      <c r="J361" s="1">
        <v>1.521483</v>
      </c>
      <c r="L361" s="10">
        <f>IFERROR(__xludf.DUMMYFUNCTION("""COMPUTED_VALUE"""),471911.0)</f>
        <v>471911</v>
      </c>
      <c r="M361" s="10">
        <f>IFERROR(__xludf.DUMMYFUNCTION("""COMPUTED_VALUE"""),764.0)</f>
        <v>764</v>
      </c>
    </row>
    <row r="362">
      <c r="A362" s="1">
        <v>2025.0</v>
      </c>
      <c r="B362" s="1" t="s">
        <v>481</v>
      </c>
      <c r="C362" s="1">
        <v>622608.0</v>
      </c>
      <c r="D362" s="1" t="s">
        <v>533</v>
      </c>
      <c r="E362" s="1" t="s">
        <v>927</v>
      </c>
      <c r="F362" s="1" t="s">
        <v>926</v>
      </c>
      <c r="G362" s="1">
        <v>113.0</v>
      </c>
      <c r="H362" s="1">
        <v>6.434515988</v>
      </c>
      <c r="I362" s="1">
        <v>4.8</v>
      </c>
      <c r="J362" s="1">
        <v>2.972427</v>
      </c>
      <c r="L362" s="10">
        <f>IFERROR(__xludf.DUMMYFUNCTION("""COMPUTED_VALUE"""),489446.0)</f>
        <v>489446</v>
      </c>
      <c r="M362" s="10">
        <f>IFERROR(__xludf.DUMMYFUNCTION("""COMPUTED_VALUE"""),762.0)</f>
        <v>762</v>
      </c>
    </row>
    <row r="363">
      <c r="A363" s="1">
        <v>2025.0</v>
      </c>
      <c r="B363" s="1" t="s">
        <v>481</v>
      </c>
      <c r="C363" s="1">
        <v>622608.0</v>
      </c>
      <c r="D363" s="1" t="s">
        <v>532</v>
      </c>
      <c r="E363" s="1" t="s">
        <v>927</v>
      </c>
      <c r="F363" s="1" t="s">
        <v>927</v>
      </c>
      <c r="G363" s="1">
        <v>13.0</v>
      </c>
      <c r="H363" s="1">
        <v>0.740254052</v>
      </c>
      <c r="I363" s="1">
        <v>3.89</v>
      </c>
      <c r="J363" s="1">
        <v>0.59196</v>
      </c>
      <c r="L363" s="10">
        <f>IFERROR(__xludf.DUMMYFUNCTION("""COMPUTED_VALUE"""),665660.0)</f>
        <v>665660</v>
      </c>
      <c r="M363" s="10">
        <f>IFERROR(__xludf.DUMMYFUNCTION("""COMPUTED_VALUE"""),759.0)</f>
        <v>759</v>
      </c>
    </row>
    <row r="364">
      <c r="A364" s="1">
        <v>2025.0</v>
      </c>
      <c r="B364" s="1" t="s">
        <v>481</v>
      </c>
      <c r="C364" s="1">
        <v>622608.0</v>
      </c>
      <c r="D364" s="1" t="s">
        <v>541</v>
      </c>
      <c r="E364" s="1" t="s">
        <v>927</v>
      </c>
      <c r="F364" s="1" t="s">
        <v>927</v>
      </c>
      <c r="G364" s="1">
        <v>131.0</v>
      </c>
      <c r="H364" s="1">
        <v>7.459483136</v>
      </c>
      <c r="I364" s="1">
        <v>4.5</v>
      </c>
      <c r="J364" s="1">
        <v>4.1564</v>
      </c>
      <c r="L364" s="10">
        <f>IFERROR(__xludf.DUMMYFUNCTION("""COMPUTED_VALUE"""),676617.0)</f>
        <v>676617</v>
      </c>
      <c r="M364" s="10">
        <f>IFERROR(__xludf.DUMMYFUNCTION("""COMPUTED_VALUE"""),758.0)</f>
        <v>758</v>
      </c>
    </row>
    <row r="365">
      <c r="A365" s="1">
        <v>2025.0</v>
      </c>
      <c r="B365" s="1" t="s">
        <v>481</v>
      </c>
      <c r="C365" s="1">
        <v>622608.0</v>
      </c>
      <c r="D365" s="1" t="s">
        <v>537</v>
      </c>
      <c r="E365" s="1" t="s">
        <v>927</v>
      </c>
      <c r="F365" s="1" t="s">
        <v>927</v>
      </c>
      <c r="G365" s="1">
        <v>543.0</v>
      </c>
      <c r="H365" s="1">
        <v>30.91984231</v>
      </c>
      <c r="I365" s="1">
        <v>4.77</v>
      </c>
      <c r="J365" s="1">
        <v>14.975752</v>
      </c>
      <c r="L365" s="10">
        <f>IFERROR(__xludf.DUMMYFUNCTION("""COMPUTED_VALUE"""),672578.0)</f>
        <v>672578</v>
      </c>
      <c r="M365" s="10">
        <f>IFERROR(__xludf.DUMMYFUNCTION("""COMPUTED_VALUE"""),756.0)</f>
        <v>756</v>
      </c>
    </row>
    <row r="366">
      <c r="A366" s="1">
        <v>2025.0</v>
      </c>
      <c r="B366" s="1" t="s">
        <v>481</v>
      </c>
      <c r="C366" s="1">
        <v>622608.0</v>
      </c>
      <c r="D366" s="1" t="s">
        <v>536</v>
      </c>
      <c r="E366" s="1" t="s">
        <v>927</v>
      </c>
      <c r="F366" s="1" t="s">
        <v>927</v>
      </c>
      <c r="G366" s="1">
        <v>62.0</v>
      </c>
      <c r="H366" s="1">
        <v>3.5304424</v>
      </c>
      <c r="I366" s="1">
        <v>5.09</v>
      </c>
      <c r="J366" s="1">
        <v>1.234701</v>
      </c>
      <c r="L366" s="10">
        <f>IFERROR(__xludf.DUMMYFUNCTION("""COMPUTED_VALUE"""),700669.0)</f>
        <v>700669</v>
      </c>
      <c r="M366" s="10">
        <f>IFERROR(__xludf.DUMMYFUNCTION("""COMPUTED_VALUE"""),756.0)</f>
        <v>756</v>
      </c>
    </row>
    <row r="367">
      <c r="A367" s="1">
        <v>2025.0</v>
      </c>
      <c r="B367" s="1" t="s">
        <v>481</v>
      </c>
      <c r="C367" s="1">
        <v>622608.0</v>
      </c>
      <c r="D367" s="1" t="s">
        <v>533</v>
      </c>
      <c r="E367" s="1" t="s">
        <v>927</v>
      </c>
      <c r="F367" s="1" t="s">
        <v>927</v>
      </c>
      <c r="G367" s="1">
        <v>336.0</v>
      </c>
      <c r="H367" s="1">
        <v>19.13272011</v>
      </c>
      <c r="I367" s="1">
        <v>5.08</v>
      </c>
      <c r="J367" s="1">
        <v>6.965766</v>
      </c>
      <c r="L367" s="10">
        <f>IFERROR(__xludf.DUMMYFUNCTION("""COMPUTED_VALUE"""),660271.0)</f>
        <v>660271</v>
      </c>
      <c r="M367" s="10">
        <f>IFERROR(__xludf.DUMMYFUNCTION("""COMPUTED_VALUE"""),753.0)</f>
        <v>753</v>
      </c>
    </row>
    <row r="368">
      <c r="A368" s="1">
        <v>2025.0</v>
      </c>
      <c r="B368" s="1" t="s">
        <v>41</v>
      </c>
      <c r="C368" s="1">
        <v>547973.0</v>
      </c>
      <c r="D368" s="1" t="s">
        <v>537</v>
      </c>
      <c r="E368" s="1" t="s">
        <v>926</v>
      </c>
      <c r="F368" s="1" t="s">
        <v>926</v>
      </c>
      <c r="G368" s="1">
        <v>109.0</v>
      </c>
      <c r="H368" s="1">
        <v>7.346520147</v>
      </c>
      <c r="I368" s="1">
        <v>5.7</v>
      </c>
      <c r="J368" s="1">
        <v>0.936091</v>
      </c>
      <c r="L368" s="10">
        <f>IFERROR(__xludf.DUMMYFUNCTION("""COMPUTED_VALUE"""),656730.0)</f>
        <v>656730</v>
      </c>
      <c r="M368" s="10">
        <f>IFERROR(__xludf.DUMMYFUNCTION("""COMPUTED_VALUE"""),752.0)</f>
        <v>752</v>
      </c>
    </row>
    <row r="369">
      <c r="A369" s="1">
        <v>2025.0</v>
      </c>
      <c r="B369" s="1" t="s">
        <v>41</v>
      </c>
      <c r="C369" s="1">
        <v>547973.0</v>
      </c>
      <c r="D369" s="1" t="s">
        <v>538</v>
      </c>
      <c r="E369" s="1" t="s">
        <v>926</v>
      </c>
      <c r="F369" s="1" t="s">
        <v>926</v>
      </c>
      <c r="G369" s="1">
        <v>3.0</v>
      </c>
      <c r="H369" s="1">
        <v>0.202197802</v>
      </c>
      <c r="I369" s="1">
        <v>6.09</v>
      </c>
      <c r="J369" s="1">
        <v>-0.011183</v>
      </c>
      <c r="L369" s="10">
        <f>IFERROR(__xludf.DUMMYFUNCTION("""COMPUTED_VALUE"""),682120.0)</f>
        <v>682120</v>
      </c>
      <c r="M369" s="10">
        <f>IFERROR(__xludf.DUMMYFUNCTION("""COMPUTED_VALUE"""),750.0)</f>
        <v>750</v>
      </c>
    </row>
    <row r="370">
      <c r="A370" s="1">
        <v>2025.0</v>
      </c>
      <c r="B370" s="1" t="s">
        <v>41</v>
      </c>
      <c r="C370" s="1">
        <v>547973.0</v>
      </c>
      <c r="D370" s="1" t="s">
        <v>536</v>
      </c>
      <c r="E370" s="1" t="s">
        <v>926</v>
      </c>
      <c r="F370" s="1" t="s">
        <v>926</v>
      </c>
      <c r="G370" s="1">
        <v>51.0</v>
      </c>
      <c r="H370" s="1">
        <v>3.437362637</v>
      </c>
      <c r="I370" s="1">
        <v>5.04</v>
      </c>
      <c r="J370" s="1">
        <v>1.031705</v>
      </c>
      <c r="L370" s="10">
        <f>IFERROR(__xludf.DUMMYFUNCTION("""COMPUTED_VALUE"""),656557.0)</f>
        <v>656557</v>
      </c>
      <c r="M370" s="10">
        <f>IFERROR(__xludf.DUMMYFUNCTION("""COMPUTED_VALUE"""),749.0)</f>
        <v>749</v>
      </c>
    </row>
    <row r="371">
      <c r="A371" s="1">
        <v>2025.0</v>
      </c>
      <c r="B371" s="1" t="s">
        <v>41</v>
      </c>
      <c r="C371" s="1">
        <v>547973.0</v>
      </c>
      <c r="D371" s="1" t="s">
        <v>533</v>
      </c>
      <c r="E371" s="1" t="s">
        <v>926</v>
      </c>
      <c r="F371" s="1" t="s">
        <v>926</v>
      </c>
      <c r="G371" s="1">
        <v>59.0</v>
      </c>
      <c r="H371" s="1">
        <v>3.976556777</v>
      </c>
      <c r="I371" s="1">
        <v>5.06</v>
      </c>
      <c r="J371" s="1">
        <v>1.191637</v>
      </c>
      <c r="L371" s="10">
        <f>IFERROR(__xludf.DUMMYFUNCTION("""COMPUTED_VALUE"""),661403.0)</f>
        <v>661403</v>
      </c>
      <c r="M371" s="10">
        <f>IFERROR(__xludf.DUMMYFUNCTION("""COMPUTED_VALUE"""),745.0)</f>
        <v>745</v>
      </c>
    </row>
    <row r="372">
      <c r="A372" s="1">
        <v>2025.0</v>
      </c>
      <c r="B372" s="1" t="s">
        <v>41</v>
      </c>
      <c r="C372" s="1">
        <v>547973.0</v>
      </c>
      <c r="D372" s="1" t="s">
        <v>537</v>
      </c>
      <c r="E372" s="1" t="s">
        <v>926</v>
      </c>
      <c r="F372" s="1" t="s">
        <v>927</v>
      </c>
      <c r="G372" s="1">
        <v>256.0</v>
      </c>
      <c r="H372" s="1">
        <v>17.25421245</v>
      </c>
      <c r="I372" s="1">
        <v>5.2</v>
      </c>
      <c r="J372" s="1">
        <v>4.837549</v>
      </c>
      <c r="L372" s="10">
        <f>IFERROR(__xludf.DUMMYFUNCTION("""COMPUTED_VALUE"""),676961.0)</f>
        <v>676961</v>
      </c>
      <c r="M372" s="10">
        <f>IFERROR(__xludf.DUMMYFUNCTION("""COMPUTED_VALUE"""),742.0)</f>
        <v>742</v>
      </c>
    </row>
    <row r="373">
      <c r="A373" s="1">
        <v>2025.0</v>
      </c>
      <c r="B373" s="1" t="s">
        <v>41</v>
      </c>
      <c r="C373" s="1">
        <v>547973.0</v>
      </c>
      <c r="D373" s="1" t="s">
        <v>538</v>
      </c>
      <c r="E373" s="1" t="s">
        <v>926</v>
      </c>
      <c r="F373" s="1" t="s">
        <v>927</v>
      </c>
      <c r="G373" s="1">
        <v>100.0</v>
      </c>
      <c r="H373" s="1">
        <v>6.73992674</v>
      </c>
      <c r="I373" s="1">
        <v>5.17</v>
      </c>
      <c r="J373" s="1">
        <v>1.743669</v>
      </c>
      <c r="L373" s="10">
        <f>IFERROR(__xludf.DUMMYFUNCTION("""COMPUTED_VALUE"""),608650.0)</f>
        <v>608650</v>
      </c>
      <c r="M373" s="10">
        <f>IFERROR(__xludf.DUMMYFUNCTION("""COMPUTED_VALUE"""),741.0)</f>
        <v>741</v>
      </c>
    </row>
    <row r="374">
      <c r="A374" s="1">
        <v>2025.0</v>
      </c>
      <c r="B374" s="1" t="s">
        <v>41</v>
      </c>
      <c r="C374" s="1">
        <v>547973.0</v>
      </c>
      <c r="D374" s="1" t="s">
        <v>536</v>
      </c>
      <c r="E374" s="1" t="s">
        <v>926</v>
      </c>
      <c r="F374" s="1" t="s">
        <v>927</v>
      </c>
      <c r="G374" s="1">
        <v>252.0</v>
      </c>
      <c r="H374" s="1">
        <v>16.98461538</v>
      </c>
      <c r="I374" s="1">
        <v>5.33</v>
      </c>
      <c r="J374" s="1">
        <v>3.784297</v>
      </c>
      <c r="L374" s="10">
        <f>IFERROR(__xludf.DUMMYFUNCTION("""COMPUTED_VALUE"""),690997.0)</f>
        <v>690997</v>
      </c>
      <c r="M374" s="10">
        <f>IFERROR(__xludf.DUMMYFUNCTION("""COMPUTED_VALUE"""),738.0)</f>
        <v>738</v>
      </c>
    </row>
    <row r="375">
      <c r="A375" s="1">
        <v>2025.0</v>
      </c>
      <c r="B375" s="1" t="s">
        <v>41</v>
      </c>
      <c r="C375" s="1">
        <v>547973.0</v>
      </c>
      <c r="D375" s="1" t="s">
        <v>533</v>
      </c>
      <c r="E375" s="1" t="s">
        <v>926</v>
      </c>
      <c r="F375" s="1" t="s">
        <v>927</v>
      </c>
      <c r="G375" s="1">
        <v>80.0</v>
      </c>
      <c r="H375" s="1">
        <v>5.391941392</v>
      </c>
      <c r="I375" s="1">
        <v>5.16</v>
      </c>
      <c r="J375" s="1">
        <v>1.496764</v>
      </c>
      <c r="L375" s="10">
        <f>IFERROR(__xludf.DUMMYFUNCTION("""COMPUTED_VALUE"""),690916.0)</f>
        <v>690916</v>
      </c>
      <c r="M375" s="10">
        <f>IFERROR(__xludf.DUMMYFUNCTION("""COMPUTED_VALUE"""),734.0)</f>
        <v>734</v>
      </c>
    </row>
    <row r="376">
      <c r="A376" s="1">
        <v>2025.0</v>
      </c>
      <c r="B376" s="1" t="s">
        <v>565</v>
      </c>
      <c r="C376" s="1">
        <v>680735.0</v>
      </c>
      <c r="D376" s="1" t="s">
        <v>541</v>
      </c>
      <c r="E376" s="1" t="s">
        <v>926</v>
      </c>
      <c r="F376" s="1" t="s">
        <v>926</v>
      </c>
      <c r="G376" s="1">
        <v>29.0</v>
      </c>
      <c r="H376" s="1">
        <v>1.448868072</v>
      </c>
      <c r="I376" s="1">
        <v>5.18</v>
      </c>
      <c r="J376" s="1">
        <v>0.511076</v>
      </c>
      <c r="L376" s="10">
        <f>IFERROR(__xludf.DUMMYFUNCTION("""COMPUTED_VALUE"""),656986.0)</f>
        <v>656986</v>
      </c>
      <c r="M376" s="10">
        <f>IFERROR(__xludf.DUMMYFUNCTION("""COMPUTED_VALUE"""),727.0)</f>
        <v>727</v>
      </c>
    </row>
    <row r="377">
      <c r="A377" s="1">
        <v>2025.0</v>
      </c>
      <c r="B377" s="1" t="s">
        <v>565</v>
      </c>
      <c r="C377" s="1">
        <v>680735.0</v>
      </c>
      <c r="D377" s="1" t="s">
        <v>537</v>
      </c>
      <c r="E377" s="1" t="s">
        <v>926</v>
      </c>
      <c r="F377" s="1" t="s">
        <v>926</v>
      </c>
      <c r="G377" s="1">
        <v>61.0</v>
      </c>
      <c r="H377" s="1">
        <v>3.047619048</v>
      </c>
      <c r="I377" s="1">
        <v>5.29</v>
      </c>
      <c r="J377" s="1">
        <v>1.000575</v>
      </c>
      <c r="L377" s="10">
        <f>IFERROR(__xludf.DUMMYFUNCTION("""COMPUTED_VALUE"""),680742.0)</f>
        <v>680742</v>
      </c>
      <c r="M377" s="10">
        <f>IFERROR(__xludf.DUMMYFUNCTION("""COMPUTED_VALUE"""),727.0)</f>
        <v>727</v>
      </c>
    </row>
    <row r="378">
      <c r="A378" s="1">
        <v>2025.0</v>
      </c>
      <c r="B378" s="1" t="s">
        <v>565</v>
      </c>
      <c r="C378" s="1">
        <v>680735.0</v>
      </c>
      <c r="D378" s="1" t="s">
        <v>538</v>
      </c>
      <c r="E378" s="1" t="s">
        <v>926</v>
      </c>
      <c r="F378" s="1" t="s">
        <v>926</v>
      </c>
      <c r="G378" s="1">
        <v>4.0</v>
      </c>
      <c r="H378" s="1">
        <v>0.199843872</v>
      </c>
      <c r="I378" s="1">
        <v>5.74</v>
      </c>
      <c r="J378" s="1">
        <v>0.013013</v>
      </c>
      <c r="L378" s="10">
        <f>IFERROR(__xludf.DUMMYFUNCTION("""COMPUTED_VALUE"""),669438.0)</f>
        <v>669438</v>
      </c>
      <c r="M378" s="10">
        <f>IFERROR(__xludf.DUMMYFUNCTION("""COMPUTED_VALUE"""),723.0)</f>
        <v>723</v>
      </c>
    </row>
    <row r="379">
      <c r="A379" s="1">
        <v>2025.0</v>
      </c>
      <c r="B379" s="1" t="s">
        <v>565</v>
      </c>
      <c r="C379" s="1">
        <v>680735.0</v>
      </c>
      <c r="D379" s="1" t="s">
        <v>536</v>
      </c>
      <c r="E379" s="1" t="s">
        <v>926</v>
      </c>
      <c r="F379" s="1" t="s">
        <v>926</v>
      </c>
      <c r="G379" s="1">
        <v>1.0</v>
      </c>
      <c r="H379" s="1">
        <v>0.049960968</v>
      </c>
      <c r="I379" s="1">
        <v>3.85</v>
      </c>
      <c r="J379" s="1">
        <v>0.044629</v>
      </c>
      <c r="L379" s="10">
        <f>IFERROR(__xludf.DUMMYFUNCTION("""COMPUTED_VALUE"""),681892.0)</f>
        <v>681892</v>
      </c>
      <c r="M379" s="10">
        <f>IFERROR(__xludf.DUMMYFUNCTION("""COMPUTED_VALUE"""),723.0)</f>
        <v>723</v>
      </c>
    </row>
    <row r="380">
      <c r="A380" s="1">
        <v>2025.0</v>
      </c>
      <c r="B380" s="1" t="s">
        <v>565</v>
      </c>
      <c r="C380" s="1">
        <v>680735.0</v>
      </c>
      <c r="D380" s="1" t="s">
        <v>533</v>
      </c>
      <c r="E380" s="1" t="s">
        <v>926</v>
      </c>
      <c r="F380" s="1" t="s">
        <v>926</v>
      </c>
      <c r="G380" s="1">
        <v>83.0</v>
      </c>
      <c r="H380" s="1">
        <v>4.146760343</v>
      </c>
      <c r="I380" s="1">
        <v>5.15</v>
      </c>
      <c r="J380" s="1">
        <v>1.563331</v>
      </c>
      <c r="L380" s="10">
        <f>IFERROR(__xludf.DUMMYFUNCTION("""COMPUTED_VALUE"""),690953.0)</f>
        <v>690953</v>
      </c>
      <c r="M380" s="10">
        <f>IFERROR(__xludf.DUMMYFUNCTION("""COMPUTED_VALUE"""),720.0)</f>
        <v>720</v>
      </c>
    </row>
    <row r="381">
      <c r="A381" s="1">
        <v>2025.0</v>
      </c>
      <c r="B381" s="1" t="s">
        <v>565</v>
      </c>
      <c r="C381" s="1">
        <v>680735.0</v>
      </c>
      <c r="D381" s="1" t="s">
        <v>541</v>
      </c>
      <c r="E381" s="1" t="s">
        <v>926</v>
      </c>
      <c r="F381" s="1" t="s">
        <v>927</v>
      </c>
      <c r="G381" s="1">
        <v>46.0</v>
      </c>
      <c r="H381" s="1">
        <v>2.298204528</v>
      </c>
      <c r="I381" s="1">
        <v>4.93</v>
      </c>
      <c r="J381" s="1">
        <v>1.043215</v>
      </c>
      <c r="L381" s="10">
        <f>IFERROR(__xludf.DUMMYFUNCTION("""COMPUTED_VALUE"""),594902.0)</f>
        <v>594902</v>
      </c>
      <c r="M381" s="10">
        <f>IFERROR(__xludf.DUMMYFUNCTION("""COMPUTED_VALUE"""),719.0)</f>
        <v>719</v>
      </c>
    </row>
    <row r="382">
      <c r="A382" s="1">
        <v>2025.0</v>
      </c>
      <c r="B382" s="1" t="s">
        <v>565</v>
      </c>
      <c r="C382" s="1">
        <v>680735.0</v>
      </c>
      <c r="D382" s="1" t="s">
        <v>540</v>
      </c>
      <c r="E382" s="1" t="s">
        <v>926</v>
      </c>
      <c r="F382" s="1" t="s">
        <v>927</v>
      </c>
      <c r="G382" s="1">
        <v>15.0</v>
      </c>
      <c r="H382" s="1">
        <v>0.74941452</v>
      </c>
      <c r="I382" s="1">
        <v>5.02</v>
      </c>
      <c r="J382" s="1">
        <v>0.342678</v>
      </c>
      <c r="L382" s="10">
        <f>IFERROR(__xludf.DUMMYFUNCTION("""COMPUTED_VALUE"""),543056.0)</f>
        <v>543056</v>
      </c>
      <c r="M382" s="10">
        <f>IFERROR(__xludf.DUMMYFUNCTION("""COMPUTED_VALUE"""),718.0)</f>
        <v>718</v>
      </c>
    </row>
    <row r="383">
      <c r="A383" s="1">
        <v>2025.0</v>
      </c>
      <c r="B383" s="1" t="s">
        <v>565</v>
      </c>
      <c r="C383" s="1">
        <v>680735.0</v>
      </c>
      <c r="D383" s="1" t="s">
        <v>537</v>
      </c>
      <c r="E383" s="1" t="s">
        <v>926</v>
      </c>
      <c r="F383" s="1" t="s">
        <v>927</v>
      </c>
      <c r="G383" s="1">
        <v>91.0</v>
      </c>
      <c r="H383" s="1">
        <v>4.546448087</v>
      </c>
      <c r="I383" s="1">
        <v>5.45</v>
      </c>
      <c r="J383" s="1">
        <v>1.197799</v>
      </c>
      <c r="L383" s="10">
        <f>IFERROR(__xludf.DUMMYFUNCTION("""COMPUTED_VALUE"""),650893.0)</f>
        <v>650893</v>
      </c>
      <c r="M383" s="10">
        <f>IFERROR(__xludf.DUMMYFUNCTION("""COMPUTED_VALUE"""),715.0)</f>
        <v>715</v>
      </c>
    </row>
    <row r="384">
      <c r="A384" s="1">
        <v>2025.0</v>
      </c>
      <c r="B384" s="1" t="s">
        <v>565</v>
      </c>
      <c r="C384" s="1">
        <v>680735.0</v>
      </c>
      <c r="D384" s="1" t="s">
        <v>538</v>
      </c>
      <c r="E384" s="1" t="s">
        <v>926</v>
      </c>
      <c r="F384" s="1" t="s">
        <v>927</v>
      </c>
      <c r="G384" s="1">
        <v>40.0</v>
      </c>
      <c r="H384" s="1">
        <v>1.99843872</v>
      </c>
      <c r="I384" s="1">
        <v>4.9</v>
      </c>
      <c r="J384" s="1">
        <v>0.925035</v>
      </c>
      <c r="L384" s="10">
        <f>IFERROR(__xludf.DUMMYFUNCTION("""COMPUTED_VALUE"""),678226.0)</f>
        <v>678226</v>
      </c>
      <c r="M384" s="10">
        <f>IFERROR(__xludf.DUMMYFUNCTION("""COMPUTED_VALUE"""),713.0)</f>
        <v>713</v>
      </c>
    </row>
    <row r="385">
      <c r="A385" s="1">
        <v>2025.0</v>
      </c>
      <c r="B385" s="1" t="s">
        <v>565</v>
      </c>
      <c r="C385" s="1">
        <v>680735.0</v>
      </c>
      <c r="D385" s="1" t="s">
        <v>536</v>
      </c>
      <c r="E385" s="1" t="s">
        <v>926</v>
      </c>
      <c r="F385" s="1" t="s">
        <v>927</v>
      </c>
      <c r="G385" s="1">
        <v>1.0</v>
      </c>
      <c r="H385" s="1">
        <v>0.049960968</v>
      </c>
      <c r="I385" s="1">
        <v>3.54</v>
      </c>
      <c r="J385" s="1">
        <v>0.052851</v>
      </c>
      <c r="L385" s="10">
        <f>IFERROR(__xludf.DUMMYFUNCTION("""COMPUTED_VALUE"""),656240.0)</f>
        <v>656240</v>
      </c>
      <c r="M385" s="10">
        <f>IFERROR(__xludf.DUMMYFUNCTION("""COMPUTED_VALUE"""),711.0)</f>
        <v>711</v>
      </c>
    </row>
    <row r="386">
      <c r="A386" s="1">
        <v>2025.0</v>
      </c>
      <c r="B386" s="1" t="s">
        <v>565</v>
      </c>
      <c r="C386" s="1">
        <v>680735.0</v>
      </c>
      <c r="D386" s="1" t="s">
        <v>533</v>
      </c>
      <c r="E386" s="1" t="s">
        <v>926</v>
      </c>
      <c r="F386" s="1" t="s">
        <v>927</v>
      </c>
      <c r="G386" s="1">
        <v>56.0</v>
      </c>
      <c r="H386" s="1">
        <v>2.797814208</v>
      </c>
      <c r="I386" s="1">
        <v>4.9</v>
      </c>
      <c r="J386" s="1">
        <v>1.3582</v>
      </c>
      <c r="L386" s="10">
        <f>IFERROR(__xludf.DUMMYFUNCTION("""COMPUTED_VALUE"""),700363.0)</f>
        <v>700363</v>
      </c>
      <c r="M386" s="10">
        <f>IFERROR(__xludf.DUMMYFUNCTION("""COMPUTED_VALUE"""),711.0)</f>
        <v>711</v>
      </c>
    </row>
    <row r="387">
      <c r="A387" s="1">
        <v>2025.0</v>
      </c>
      <c r="B387" s="1" t="s">
        <v>369</v>
      </c>
      <c r="C387" s="1">
        <v>596295.0</v>
      </c>
      <c r="D387" s="1" t="s">
        <v>532</v>
      </c>
      <c r="E387" s="1" t="s">
        <v>926</v>
      </c>
      <c r="F387" s="1" t="s">
        <v>926</v>
      </c>
      <c r="G387" s="1">
        <v>1.0</v>
      </c>
      <c r="H387" s="1">
        <v>0.057724391</v>
      </c>
      <c r="I387" s="1">
        <v>5.38</v>
      </c>
      <c r="J387" s="1">
        <v>0.018831</v>
      </c>
      <c r="L387" s="10">
        <f>IFERROR(__xludf.DUMMYFUNCTION("""COMPUTED_VALUE"""),643338.0)</f>
        <v>643338</v>
      </c>
      <c r="M387" s="10">
        <f>IFERROR(__xludf.DUMMYFUNCTION("""COMPUTED_VALUE"""),710.0)</f>
        <v>710</v>
      </c>
    </row>
    <row r="388">
      <c r="A388" s="1">
        <v>2025.0</v>
      </c>
      <c r="B388" s="1" t="s">
        <v>369</v>
      </c>
      <c r="C388" s="1">
        <v>596295.0</v>
      </c>
      <c r="D388" s="1" t="s">
        <v>541</v>
      </c>
      <c r="E388" s="1" t="s">
        <v>926</v>
      </c>
      <c r="F388" s="1" t="s">
        <v>926</v>
      </c>
      <c r="G388" s="1">
        <v>38.0</v>
      </c>
      <c r="H388" s="1">
        <v>2.19352686</v>
      </c>
      <c r="I388" s="1">
        <v>5.08</v>
      </c>
      <c r="J388" s="1">
        <v>0.770992</v>
      </c>
      <c r="L388" s="10">
        <f>IFERROR(__xludf.DUMMYFUNCTION("""COMPUTED_VALUE"""),593423.0)</f>
        <v>593423</v>
      </c>
      <c r="M388" s="10">
        <f>IFERROR(__xludf.DUMMYFUNCTION("""COMPUTED_VALUE"""),708.0)</f>
        <v>708</v>
      </c>
    </row>
    <row r="389">
      <c r="A389" s="1">
        <v>2025.0</v>
      </c>
      <c r="B389" s="1" t="s">
        <v>369</v>
      </c>
      <c r="C389" s="1">
        <v>596295.0</v>
      </c>
      <c r="D389" s="1" t="s">
        <v>537</v>
      </c>
      <c r="E389" s="1" t="s">
        <v>926</v>
      </c>
      <c r="F389" s="1" t="s">
        <v>926</v>
      </c>
      <c r="G389" s="1">
        <v>74.0</v>
      </c>
      <c r="H389" s="1">
        <v>4.271604938</v>
      </c>
      <c r="I389" s="1">
        <v>4.87</v>
      </c>
      <c r="J389" s="1">
        <v>1.905039</v>
      </c>
      <c r="L389" s="10">
        <f>IFERROR(__xludf.DUMMYFUNCTION("""COMPUTED_VALUE"""),571946.0)</f>
        <v>571946</v>
      </c>
      <c r="M389" s="10">
        <f>IFERROR(__xludf.DUMMYFUNCTION("""COMPUTED_VALUE"""),705.0)</f>
        <v>705</v>
      </c>
    </row>
    <row r="390">
      <c r="A390" s="1">
        <v>2025.0</v>
      </c>
      <c r="B390" s="1" t="s">
        <v>369</v>
      </c>
      <c r="C390" s="1">
        <v>596295.0</v>
      </c>
      <c r="D390" s="1" t="s">
        <v>538</v>
      </c>
      <c r="E390" s="1" t="s">
        <v>926</v>
      </c>
      <c r="F390" s="1" t="s">
        <v>926</v>
      </c>
      <c r="G390" s="1">
        <v>2.0</v>
      </c>
      <c r="H390" s="1">
        <v>0.115448782</v>
      </c>
      <c r="I390" s="1">
        <v>5.6</v>
      </c>
      <c r="J390" s="1">
        <v>0.015915</v>
      </c>
      <c r="L390" s="10">
        <f>IFERROR(__xludf.DUMMYFUNCTION("""COMPUTED_VALUE"""),687223.0)</f>
        <v>687223</v>
      </c>
      <c r="M390" s="10">
        <f>IFERROR(__xludf.DUMMYFUNCTION("""COMPUTED_VALUE"""),705.0)</f>
        <v>705</v>
      </c>
    </row>
    <row r="391">
      <c r="A391" s="1">
        <v>2025.0</v>
      </c>
      <c r="B391" s="1" t="s">
        <v>369</v>
      </c>
      <c r="C391" s="1">
        <v>596295.0</v>
      </c>
      <c r="D391" s="1" t="s">
        <v>533</v>
      </c>
      <c r="E391" s="1" t="s">
        <v>926</v>
      </c>
      <c r="F391" s="1" t="s">
        <v>926</v>
      </c>
      <c r="G391" s="1">
        <v>85.0</v>
      </c>
      <c r="H391" s="1">
        <v>4.90657324</v>
      </c>
      <c r="I391" s="1">
        <v>5.18</v>
      </c>
      <c r="J391" s="1">
        <v>1.573955</v>
      </c>
      <c r="L391" s="10">
        <f>IFERROR(__xludf.DUMMYFUNCTION("""COMPUTED_VALUE"""),573186.0)</f>
        <v>573186</v>
      </c>
      <c r="M391" s="10">
        <f>IFERROR(__xludf.DUMMYFUNCTION("""COMPUTED_VALUE"""),704.0)</f>
        <v>704</v>
      </c>
    </row>
    <row r="392">
      <c r="A392" s="1">
        <v>2025.0</v>
      </c>
      <c r="B392" s="1" t="s">
        <v>369</v>
      </c>
      <c r="C392" s="1">
        <v>596295.0</v>
      </c>
      <c r="D392" s="1" t="s">
        <v>532</v>
      </c>
      <c r="E392" s="1" t="s">
        <v>926</v>
      </c>
      <c r="F392" s="1" t="s">
        <v>927</v>
      </c>
      <c r="G392" s="1">
        <v>163.0</v>
      </c>
      <c r="H392" s="1">
        <v>9.409075742</v>
      </c>
      <c r="I392" s="1">
        <v>5.41</v>
      </c>
      <c r="J392" s="1">
        <v>2.252638</v>
      </c>
      <c r="L392" s="10">
        <f>IFERROR(__xludf.DUMMYFUNCTION("""COMPUTED_VALUE"""),605447.0)</f>
        <v>605447</v>
      </c>
      <c r="M392" s="10">
        <f>IFERROR(__xludf.DUMMYFUNCTION("""COMPUTED_VALUE"""),701.0)</f>
        <v>701</v>
      </c>
    </row>
    <row r="393">
      <c r="A393" s="1">
        <v>2025.0</v>
      </c>
      <c r="B393" s="1" t="s">
        <v>369</v>
      </c>
      <c r="C393" s="1">
        <v>596295.0</v>
      </c>
      <c r="D393" s="1" t="s">
        <v>541</v>
      </c>
      <c r="E393" s="1" t="s">
        <v>926</v>
      </c>
      <c r="F393" s="1" t="s">
        <v>927</v>
      </c>
      <c r="G393" s="1">
        <v>210.0</v>
      </c>
      <c r="H393" s="1">
        <v>12.12212212</v>
      </c>
      <c r="I393" s="1">
        <v>5.06</v>
      </c>
      <c r="J393" s="1">
        <v>4.287317</v>
      </c>
      <c r="L393" s="10">
        <f>IFERROR(__xludf.DUMMYFUNCTION("""COMPUTED_VALUE"""),663767.0)</f>
        <v>663767</v>
      </c>
      <c r="M393" s="10">
        <f>IFERROR(__xludf.DUMMYFUNCTION("""COMPUTED_VALUE"""),692.0)</f>
        <v>692</v>
      </c>
    </row>
    <row r="394">
      <c r="A394" s="1">
        <v>2025.0</v>
      </c>
      <c r="B394" s="1" t="s">
        <v>369</v>
      </c>
      <c r="C394" s="1">
        <v>596295.0</v>
      </c>
      <c r="D394" s="1" t="s">
        <v>540</v>
      </c>
      <c r="E394" s="1" t="s">
        <v>926</v>
      </c>
      <c r="F394" s="1" t="s">
        <v>927</v>
      </c>
      <c r="G394" s="1">
        <v>40.0</v>
      </c>
      <c r="H394" s="1">
        <v>2.308975642</v>
      </c>
      <c r="I394" s="1">
        <v>4.85</v>
      </c>
      <c r="J394" s="1">
        <v>1.027127</v>
      </c>
      <c r="L394" s="10">
        <f>IFERROR(__xludf.DUMMYFUNCTION("""COMPUTED_VALUE"""),606996.0)</f>
        <v>606996</v>
      </c>
      <c r="M394" s="10">
        <f>IFERROR(__xludf.DUMMYFUNCTION("""COMPUTED_VALUE"""),690.0)</f>
        <v>690</v>
      </c>
    </row>
    <row r="395">
      <c r="A395" s="1">
        <v>2025.0</v>
      </c>
      <c r="B395" s="1" t="s">
        <v>369</v>
      </c>
      <c r="C395" s="1">
        <v>596295.0</v>
      </c>
      <c r="D395" s="1" t="s">
        <v>537</v>
      </c>
      <c r="E395" s="1" t="s">
        <v>926</v>
      </c>
      <c r="F395" s="1" t="s">
        <v>927</v>
      </c>
      <c r="G395" s="1">
        <v>269.0</v>
      </c>
      <c r="H395" s="1">
        <v>15.52786119</v>
      </c>
      <c r="I395" s="1">
        <v>4.5</v>
      </c>
      <c r="J395" s="1">
        <v>8.798775</v>
      </c>
      <c r="L395" s="10">
        <f>IFERROR(__xludf.DUMMYFUNCTION("""COMPUTED_VALUE"""),666277.0)</f>
        <v>666277</v>
      </c>
      <c r="M395" s="10">
        <f>IFERROR(__xludf.DUMMYFUNCTION("""COMPUTED_VALUE"""),690.0)</f>
        <v>690</v>
      </c>
    </row>
    <row r="396">
      <c r="A396" s="1">
        <v>2025.0</v>
      </c>
      <c r="B396" s="1" t="s">
        <v>369</v>
      </c>
      <c r="C396" s="1">
        <v>596295.0</v>
      </c>
      <c r="D396" s="1" t="s">
        <v>538</v>
      </c>
      <c r="E396" s="1" t="s">
        <v>926</v>
      </c>
      <c r="F396" s="1" t="s">
        <v>927</v>
      </c>
      <c r="G396" s="1">
        <v>43.0</v>
      </c>
      <c r="H396" s="1">
        <v>2.482148815</v>
      </c>
      <c r="I396" s="1">
        <v>5.85</v>
      </c>
      <c r="J396" s="1">
        <v>0.167656</v>
      </c>
      <c r="L396" s="10">
        <f>IFERROR(__xludf.DUMMYFUNCTION("""COMPUTED_VALUE"""),679358.0)</f>
        <v>679358</v>
      </c>
      <c r="M396" s="10">
        <f>IFERROR(__xludf.DUMMYFUNCTION("""COMPUTED_VALUE"""),681.0)</f>
        <v>681</v>
      </c>
    </row>
    <row r="397">
      <c r="A397" s="1">
        <v>2025.0</v>
      </c>
      <c r="B397" s="1" t="s">
        <v>369</v>
      </c>
      <c r="C397" s="1">
        <v>596295.0</v>
      </c>
      <c r="D397" s="1" t="s">
        <v>533</v>
      </c>
      <c r="E397" s="1" t="s">
        <v>926</v>
      </c>
      <c r="F397" s="1" t="s">
        <v>927</v>
      </c>
      <c r="G397" s="1">
        <v>74.0</v>
      </c>
      <c r="H397" s="1">
        <v>4.271604938</v>
      </c>
      <c r="I397" s="1">
        <v>4.75</v>
      </c>
      <c r="J397" s="1">
        <v>2.00924</v>
      </c>
      <c r="L397" s="10">
        <f>IFERROR(__xludf.DUMMYFUNCTION("""COMPUTED_VALUE"""),669020.0)</f>
        <v>669020</v>
      </c>
      <c r="M397" s="10">
        <f>IFERROR(__xludf.DUMMYFUNCTION("""COMPUTED_VALUE"""),676.0)</f>
        <v>676</v>
      </c>
    </row>
    <row r="398">
      <c r="A398" s="1">
        <v>2025.0</v>
      </c>
      <c r="B398" s="1" t="s">
        <v>774</v>
      </c>
      <c r="C398" s="1">
        <v>595978.0</v>
      </c>
      <c r="D398" s="1" t="s">
        <v>537</v>
      </c>
      <c r="E398" s="1" t="s">
        <v>927</v>
      </c>
      <c r="F398" s="1" t="s">
        <v>926</v>
      </c>
      <c r="G398" s="1">
        <v>23.0</v>
      </c>
      <c r="H398" s="1">
        <v>1.4375</v>
      </c>
      <c r="I398" s="1">
        <v>4.05</v>
      </c>
      <c r="J398" s="1">
        <v>0.914405</v>
      </c>
      <c r="L398" s="10">
        <f>IFERROR(__xludf.DUMMYFUNCTION("""COMPUTED_VALUE"""),680689.0)</f>
        <v>680689</v>
      </c>
      <c r="M398" s="10">
        <f>IFERROR(__xludf.DUMMYFUNCTION("""COMPUTED_VALUE"""),674.0)</f>
        <v>674</v>
      </c>
    </row>
    <row r="399">
      <c r="A399" s="1">
        <v>2025.0</v>
      </c>
      <c r="B399" s="1" t="s">
        <v>774</v>
      </c>
      <c r="C399" s="1">
        <v>595978.0</v>
      </c>
      <c r="D399" s="1" t="s">
        <v>532</v>
      </c>
      <c r="E399" s="1" t="s">
        <v>927</v>
      </c>
      <c r="F399" s="1" t="s">
        <v>927</v>
      </c>
      <c r="G399" s="1">
        <v>1.0</v>
      </c>
      <c r="H399" s="1">
        <v>0.0625</v>
      </c>
      <c r="I399" s="1">
        <v>2.94</v>
      </c>
      <c r="J399" s="1">
        <v>0.060081</v>
      </c>
      <c r="L399" s="10">
        <f>IFERROR(__xludf.DUMMYFUNCTION("""COMPUTED_VALUE"""),829272.0)</f>
        <v>829272</v>
      </c>
      <c r="M399" s="10">
        <f>IFERROR(__xludf.DUMMYFUNCTION("""COMPUTED_VALUE"""),674.0)</f>
        <v>674</v>
      </c>
    </row>
    <row r="400">
      <c r="A400" s="1">
        <v>2025.0</v>
      </c>
      <c r="B400" s="1" t="s">
        <v>774</v>
      </c>
      <c r="C400" s="1">
        <v>595978.0</v>
      </c>
      <c r="D400" s="1" t="s">
        <v>537</v>
      </c>
      <c r="E400" s="1" t="s">
        <v>927</v>
      </c>
      <c r="F400" s="1" t="s">
        <v>927</v>
      </c>
      <c r="G400" s="1">
        <v>24.0</v>
      </c>
      <c r="H400" s="1">
        <v>1.5</v>
      </c>
      <c r="I400" s="1">
        <v>4.49</v>
      </c>
      <c r="J400" s="1">
        <v>0.773559</v>
      </c>
      <c r="L400" s="10">
        <f>IFERROR(__xludf.DUMMYFUNCTION("""COMPUTED_VALUE"""),623167.0)</f>
        <v>623167</v>
      </c>
      <c r="M400" s="10">
        <f>IFERROR(__xludf.DUMMYFUNCTION("""COMPUTED_VALUE"""),672.0)</f>
        <v>672</v>
      </c>
    </row>
    <row r="401">
      <c r="A401" s="1">
        <v>2025.0</v>
      </c>
      <c r="B401" s="1" t="s">
        <v>937</v>
      </c>
      <c r="C401" s="1">
        <v>543592.0</v>
      </c>
      <c r="D401" s="1" t="s">
        <v>537</v>
      </c>
      <c r="E401" s="1" t="s">
        <v>927</v>
      </c>
      <c r="F401" s="1" t="s">
        <v>926</v>
      </c>
      <c r="G401" s="1">
        <v>10.0</v>
      </c>
      <c r="H401" s="1">
        <v>0.625</v>
      </c>
      <c r="I401" s="1">
        <v>4.34</v>
      </c>
      <c r="J401" s="1">
        <v>0.364034</v>
      </c>
      <c r="L401" s="10">
        <f>IFERROR(__xludf.DUMMYFUNCTION("""COMPUTED_VALUE"""),621112.0)</f>
        <v>621112</v>
      </c>
      <c r="M401" s="10">
        <f>IFERROR(__xludf.DUMMYFUNCTION("""COMPUTED_VALUE"""),666.0)</f>
        <v>666</v>
      </c>
    </row>
    <row r="402">
      <c r="A402" s="1">
        <v>2025.0</v>
      </c>
      <c r="B402" s="1" t="s">
        <v>937</v>
      </c>
      <c r="C402" s="1">
        <v>543592.0</v>
      </c>
      <c r="D402" s="1" t="s">
        <v>537</v>
      </c>
      <c r="E402" s="1" t="s">
        <v>927</v>
      </c>
      <c r="F402" s="1" t="s">
        <v>927</v>
      </c>
      <c r="G402" s="1">
        <v>6.0</v>
      </c>
      <c r="H402" s="1">
        <v>0.375</v>
      </c>
      <c r="I402" s="1">
        <v>6.08</v>
      </c>
      <c r="J402" s="1">
        <v>0.031531</v>
      </c>
      <c r="L402" s="10">
        <f>IFERROR(__xludf.DUMMYFUNCTION("""COMPUTED_VALUE"""),670912.0)</f>
        <v>670912</v>
      </c>
      <c r="M402" s="10">
        <f>IFERROR(__xludf.DUMMYFUNCTION("""COMPUTED_VALUE"""),664.0)</f>
        <v>664</v>
      </c>
    </row>
    <row r="403">
      <c r="A403" s="1">
        <v>2025.0</v>
      </c>
      <c r="B403" s="1" t="s">
        <v>938</v>
      </c>
      <c r="C403" s="1">
        <v>687166.0</v>
      </c>
      <c r="D403" s="1" t="s">
        <v>541</v>
      </c>
      <c r="E403" s="1" t="s">
        <v>927</v>
      </c>
      <c r="F403" s="1" t="s">
        <v>926</v>
      </c>
      <c r="G403" s="1">
        <v>5.0</v>
      </c>
      <c r="H403" s="1">
        <v>0.277777778</v>
      </c>
      <c r="I403" s="1">
        <v>5.35</v>
      </c>
      <c r="J403" s="1">
        <v>0.086648</v>
      </c>
      <c r="L403" s="10">
        <f>IFERROR(__xludf.DUMMYFUNCTION("""COMPUTED_VALUE"""),701519.0)</f>
        <v>701519</v>
      </c>
      <c r="M403" s="10">
        <f>IFERROR(__xludf.DUMMYFUNCTION("""COMPUTED_VALUE"""),662.0)</f>
        <v>662</v>
      </c>
    </row>
    <row r="404">
      <c r="A404" s="1">
        <v>2025.0</v>
      </c>
      <c r="B404" s="1" t="s">
        <v>938</v>
      </c>
      <c r="C404" s="1">
        <v>687166.0</v>
      </c>
      <c r="D404" s="1" t="s">
        <v>537</v>
      </c>
      <c r="E404" s="1" t="s">
        <v>927</v>
      </c>
      <c r="F404" s="1" t="s">
        <v>926</v>
      </c>
      <c r="G404" s="1">
        <v>8.0</v>
      </c>
      <c r="H404" s="1">
        <v>0.444444444</v>
      </c>
      <c r="I404" s="1">
        <v>4.26</v>
      </c>
      <c r="J404" s="1">
        <v>0.287465</v>
      </c>
      <c r="L404" s="10">
        <f>IFERROR(__xludf.DUMMYFUNCTION("""COMPUTED_VALUE"""),519151.0)</f>
        <v>519151</v>
      </c>
      <c r="M404" s="10">
        <f>IFERROR(__xludf.DUMMYFUNCTION("""COMPUTED_VALUE"""),660.0)</f>
        <v>660</v>
      </c>
    </row>
    <row r="405">
      <c r="A405" s="1">
        <v>2025.0</v>
      </c>
      <c r="B405" s="1" t="s">
        <v>938</v>
      </c>
      <c r="C405" s="1">
        <v>687166.0</v>
      </c>
      <c r="D405" s="1" t="s">
        <v>536</v>
      </c>
      <c r="E405" s="1" t="s">
        <v>927</v>
      </c>
      <c r="F405" s="1" t="s">
        <v>926</v>
      </c>
      <c r="G405" s="1">
        <v>1.0</v>
      </c>
      <c r="H405" s="1">
        <v>0.055555556</v>
      </c>
      <c r="I405" s="1">
        <v>5.61</v>
      </c>
      <c r="J405" s="1">
        <v>0.012534</v>
      </c>
      <c r="L405" s="10">
        <f>IFERROR(__xludf.DUMMYFUNCTION("""COMPUTED_VALUE"""),547184.0)</f>
        <v>547184</v>
      </c>
      <c r="M405" s="10">
        <f>IFERROR(__xludf.DUMMYFUNCTION("""COMPUTED_VALUE"""),656.0)</f>
        <v>656</v>
      </c>
    </row>
    <row r="406">
      <c r="A406" s="1">
        <v>2025.0</v>
      </c>
      <c r="B406" s="1" t="s">
        <v>938</v>
      </c>
      <c r="C406" s="1">
        <v>687166.0</v>
      </c>
      <c r="D406" s="1" t="s">
        <v>533</v>
      </c>
      <c r="E406" s="1" t="s">
        <v>927</v>
      </c>
      <c r="F406" s="1" t="s">
        <v>926</v>
      </c>
      <c r="G406" s="1">
        <v>1.0</v>
      </c>
      <c r="H406" s="1">
        <v>0.055555556</v>
      </c>
      <c r="I406" s="1">
        <v>1.82</v>
      </c>
      <c r="J406" s="1">
        <v>0.083334</v>
      </c>
      <c r="L406" s="10">
        <f>IFERROR(__xludf.DUMMYFUNCTION("""COMPUTED_VALUE"""),675512.0)</f>
        <v>675512</v>
      </c>
      <c r="M406" s="10">
        <f>IFERROR(__xludf.DUMMYFUNCTION("""COMPUTED_VALUE"""),655.0)</f>
        <v>655</v>
      </c>
    </row>
    <row r="407">
      <c r="A407" s="1">
        <v>2025.0</v>
      </c>
      <c r="B407" s="1" t="s">
        <v>938</v>
      </c>
      <c r="C407" s="1">
        <v>687166.0</v>
      </c>
      <c r="D407" s="1" t="s">
        <v>541</v>
      </c>
      <c r="E407" s="1" t="s">
        <v>927</v>
      </c>
      <c r="F407" s="1" t="s">
        <v>927</v>
      </c>
      <c r="G407" s="1">
        <v>1.0</v>
      </c>
      <c r="H407" s="1">
        <v>0.055555556</v>
      </c>
      <c r="I407" s="1">
        <v>7.93</v>
      </c>
      <c r="J407" s="1">
        <v>-0.04096</v>
      </c>
      <c r="L407" s="10">
        <f>IFERROR(__xludf.DUMMYFUNCTION("""COMPUTED_VALUE"""),663423.0)</f>
        <v>663423</v>
      </c>
      <c r="M407" s="10">
        <f>IFERROR(__xludf.DUMMYFUNCTION("""COMPUTED_VALUE"""),654.0)</f>
        <v>654</v>
      </c>
    </row>
    <row r="408">
      <c r="A408" s="1">
        <v>2025.0</v>
      </c>
      <c r="B408" s="1" t="s">
        <v>938</v>
      </c>
      <c r="C408" s="1">
        <v>687166.0</v>
      </c>
      <c r="D408" s="1" t="s">
        <v>537</v>
      </c>
      <c r="E408" s="1" t="s">
        <v>927</v>
      </c>
      <c r="F408" s="1" t="s">
        <v>927</v>
      </c>
      <c r="G408" s="1">
        <v>10.0</v>
      </c>
      <c r="H408" s="1">
        <v>0.555555556</v>
      </c>
      <c r="I408" s="1">
        <v>5.44</v>
      </c>
      <c r="J408" s="1">
        <v>0.131329</v>
      </c>
      <c r="L408" s="10">
        <f>IFERROR(__xludf.DUMMYFUNCTION("""COMPUTED_VALUE"""),693312.0)</f>
        <v>693312</v>
      </c>
      <c r="M408" s="10">
        <f>IFERROR(__xludf.DUMMYFUNCTION("""COMPUTED_VALUE"""),651.0)</f>
        <v>651</v>
      </c>
    </row>
    <row r="409">
      <c r="A409" s="1">
        <v>2025.0</v>
      </c>
      <c r="B409" s="1" t="s">
        <v>938</v>
      </c>
      <c r="C409" s="1">
        <v>687166.0</v>
      </c>
      <c r="D409" s="1" t="s">
        <v>536</v>
      </c>
      <c r="E409" s="1" t="s">
        <v>927</v>
      </c>
      <c r="F409" s="1" t="s">
        <v>927</v>
      </c>
      <c r="G409" s="1">
        <v>2.0</v>
      </c>
      <c r="H409" s="1">
        <v>0.111111111</v>
      </c>
      <c r="I409" s="1">
        <v>4.51</v>
      </c>
      <c r="J409" s="1">
        <v>0.062858</v>
      </c>
      <c r="L409" s="10">
        <f>IFERROR(__xludf.DUMMYFUNCTION("""COMPUTED_VALUE"""),657044.0)</f>
        <v>657044</v>
      </c>
      <c r="M409" s="10">
        <f>IFERROR(__xludf.DUMMYFUNCTION("""COMPUTED_VALUE"""),650.0)</f>
        <v>650</v>
      </c>
    </row>
    <row r="410">
      <c r="A410" s="1">
        <v>2025.0</v>
      </c>
      <c r="B410" s="1" t="s">
        <v>938</v>
      </c>
      <c r="C410" s="1">
        <v>687166.0</v>
      </c>
      <c r="D410" s="1" t="s">
        <v>533</v>
      </c>
      <c r="E410" s="1" t="s">
        <v>927</v>
      </c>
      <c r="F410" s="1" t="s">
        <v>927</v>
      </c>
      <c r="G410" s="1">
        <v>8.0</v>
      </c>
      <c r="H410" s="1">
        <v>0.444444444</v>
      </c>
      <c r="I410" s="1">
        <v>5.64</v>
      </c>
      <c r="J410" s="1">
        <v>0.087051</v>
      </c>
      <c r="L410" s="10">
        <f>IFERROR(__xludf.DUMMYFUNCTION("""COMPUTED_VALUE"""),669456.0)</f>
        <v>669456</v>
      </c>
      <c r="M410" s="10">
        <f>IFERROR(__xludf.DUMMYFUNCTION("""COMPUTED_VALUE"""),645.0)</f>
        <v>645</v>
      </c>
    </row>
    <row r="411">
      <c r="A411" s="1">
        <v>2025.0</v>
      </c>
      <c r="B411" s="1" t="s">
        <v>773</v>
      </c>
      <c r="C411" s="1">
        <v>681810.0</v>
      </c>
      <c r="D411" s="1" t="s">
        <v>532</v>
      </c>
      <c r="E411" s="1" t="s">
        <v>927</v>
      </c>
      <c r="F411" s="1" t="s">
        <v>926</v>
      </c>
      <c r="G411" s="1">
        <v>6.0</v>
      </c>
      <c r="H411" s="1">
        <v>0.383561644</v>
      </c>
      <c r="I411" s="1">
        <v>4.22</v>
      </c>
      <c r="J411" s="1">
        <v>0.213535</v>
      </c>
      <c r="L411" s="10">
        <f>IFERROR(__xludf.DUMMYFUNCTION("""COMPUTED_VALUE"""),676661.0)</f>
        <v>676661</v>
      </c>
      <c r="M411" s="10">
        <f>IFERROR(__xludf.DUMMYFUNCTION("""COMPUTED_VALUE"""),645.0)</f>
        <v>645</v>
      </c>
    </row>
    <row r="412">
      <c r="A412" s="1">
        <v>2025.0</v>
      </c>
      <c r="B412" s="1" t="s">
        <v>773</v>
      </c>
      <c r="C412" s="1">
        <v>681810.0</v>
      </c>
      <c r="D412" s="1" t="s">
        <v>540</v>
      </c>
      <c r="E412" s="1" t="s">
        <v>927</v>
      </c>
      <c r="F412" s="1" t="s">
        <v>926</v>
      </c>
      <c r="G412" s="1">
        <v>11.0</v>
      </c>
      <c r="H412" s="1">
        <v>0.703196347</v>
      </c>
      <c r="I412" s="1">
        <v>4.57</v>
      </c>
      <c r="J412" s="1">
        <v>0.333177</v>
      </c>
      <c r="L412" s="10">
        <f>IFERROR(__xludf.DUMMYFUNCTION("""COMPUTED_VALUE"""),820862.0)</f>
        <v>820862</v>
      </c>
      <c r="M412" s="10">
        <f>IFERROR(__xludf.DUMMYFUNCTION("""COMPUTED_VALUE"""),645.0)</f>
        <v>645</v>
      </c>
    </row>
    <row r="413">
      <c r="A413" s="1">
        <v>2025.0</v>
      </c>
      <c r="B413" s="1" t="s">
        <v>773</v>
      </c>
      <c r="C413" s="1">
        <v>681810.0</v>
      </c>
      <c r="D413" s="1" t="s">
        <v>537</v>
      </c>
      <c r="E413" s="1" t="s">
        <v>927</v>
      </c>
      <c r="F413" s="1" t="s">
        <v>926</v>
      </c>
      <c r="G413" s="1">
        <v>17.0</v>
      </c>
      <c r="H413" s="1">
        <v>1.086757991</v>
      </c>
      <c r="I413" s="1">
        <v>3.72</v>
      </c>
      <c r="J413" s="1">
        <v>0.803413</v>
      </c>
      <c r="L413" s="10">
        <f>IFERROR(__xludf.DUMMYFUNCTION("""COMPUTED_VALUE"""),674444.0)</f>
        <v>674444</v>
      </c>
      <c r="M413" s="10">
        <f>IFERROR(__xludf.DUMMYFUNCTION("""COMPUTED_VALUE"""),642.0)</f>
        <v>642</v>
      </c>
    </row>
    <row r="414">
      <c r="A414" s="1">
        <v>2025.0</v>
      </c>
      <c r="B414" s="1" t="s">
        <v>773</v>
      </c>
      <c r="C414" s="1">
        <v>681810.0</v>
      </c>
      <c r="D414" s="1" t="s">
        <v>536</v>
      </c>
      <c r="E414" s="1" t="s">
        <v>927</v>
      </c>
      <c r="F414" s="1" t="s">
        <v>926</v>
      </c>
      <c r="G414" s="1">
        <v>28.0</v>
      </c>
      <c r="H414" s="1">
        <v>1.789954338</v>
      </c>
      <c r="I414" s="1">
        <v>4.78</v>
      </c>
      <c r="J414" s="1">
        <v>0.741802</v>
      </c>
      <c r="L414" s="10">
        <f>IFERROR(__xludf.DUMMYFUNCTION("""COMPUTED_VALUE"""),677960.0)</f>
        <v>677960</v>
      </c>
      <c r="M414" s="10">
        <f>IFERROR(__xludf.DUMMYFUNCTION("""COMPUTED_VALUE"""),642.0)</f>
        <v>642</v>
      </c>
    </row>
    <row r="415">
      <c r="A415" s="1">
        <v>2025.0</v>
      </c>
      <c r="B415" s="1" t="s">
        <v>773</v>
      </c>
      <c r="C415" s="1">
        <v>681810.0</v>
      </c>
      <c r="D415" s="1" t="s">
        <v>539</v>
      </c>
      <c r="E415" s="1" t="s">
        <v>927</v>
      </c>
      <c r="F415" s="1" t="s">
        <v>926</v>
      </c>
      <c r="G415" s="1">
        <v>26.0</v>
      </c>
      <c r="H415" s="1">
        <v>1.662100457</v>
      </c>
      <c r="I415" s="1">
        <v>4.59</v>
      </c>
      <c r="J415" s="1">
        <v>0.767268</v>
      </c>
      <c r="L415" s="10">
        <f>IFERROR(__xludf.DUMMYFUNCTION("""COMPUTED_VALUE"""),641656.0)</f>
        <v>641656</v>
      </c>
      <c r="M415" s="10">
        <f>IFERROR(__xludf.DUMMYFUNCTION("""COMPUTED_VALUE"""),640.0)</f>
        <v>640</v>
      </c>
    </row>
    <row r="416">
      <c r="A416" s="1">
        <v>2025.0</v>
      </c>
      <c r="B416" s="1" t="s">
        <v>773</v>
      </c>
      <c r="C416" s="1">
        <v>681810.0</v>
      </c>
      <c r="D416" s="1" t="s">
        <v>540</v>
      </c>
      <c r="E416" s="1" t="s">
        <v>927</v>
      </c>
      <c r="F416" s="1" t="s">
        <v>927</v>
      </c>
      <c r="G416" s="1">
        <v>14.0</v>
      </c>
      <c r="H416" s="1">
        <v>0.894977169</v>
      </c>
      <c r="I416" s="1">
        <v>4.11</v>
      </c>
      <c r="J416" s="1">
        <v>0.559666</v>
      </c>
      <c r="L416" s="10">
        <f>IFERROR(__xludf.DUMMYFUNCTION("""COMPUTED_VALUE"""),455119.0)</f>
        <v>455119</v>
      </c>
      <c r="M416" s="10">
        <f>IFERROR(__xludf.DUMMYFUNCTION("""COMPUTED_VALUE"""),638.0)</f>
        <v>638</v>
      </c>
    </row>
    <row r="417">
      <c r="A417" s="1">
        <v>2025.0</v>
      </c>
      <c r="B417" s="1" t="s">
        <v>773</v>
      </c>
      <c r="C417" s="1">
        <v>681810.0</v>
      </c>
      <c r="D417" s="1" t="s">
        <v>537</v>
      </c>
      <c r="E417" s="1" t="s">
        <v>927</v>
      </c>
      <c r="F417" s="1" t="s">
        <v>927</v>
      </c>
      <c r="G417" s="1">
        <v>3.0</v>
      </c>
      <c r="H417" s="1">
        <v>0.191780822</v>
      </c>
      <c r="I417" s="1">
        <v>3.3</v>
      </c>
      <c r="J417" s="1">
        <v>0.161494</v>
      </c>
      <c r="L417" s="10">
        <f>IFERROR(__xludf.DUMMYFUNCTION("""COMPUTED_VALUE"""),678022.0)</f>
        <v>678022</v>
      </c>
      <c r="M417" s="10">
        <f>IFERROR(__xludf.DUMMYFUNCTION("""COMPUTED_VALUE"""),637.0)</f>
        <v>637</v>
      </c>
    </row>
    <row r="418">
      <c r="A418" s="1">
        <v>2025.0</v>
      </c>
      <c r="B418" s="1" t="s">
        <v>773</v>
      </c>
      <c r="C418" s="1">
        <v>681810.0</v>
      </c>
      <c r="D418" s="1" t="s">
        <v>536</v>
      </c>
      <c r="E418" s="1" t="s">
        <v>927</v>
      </c>
      <c r="F418" s="1" t="s">
        <v>927</v>
      </c>
      <c r="G418" s="1">
        <v>24.0</v>
      </c>
      <c r="H418" s="1">
        <v>1.534246575</v>
      </c>
      <c r="I418" s="1">
        <v>5.97</v>
      </c>
      <c r="J418" s="1">
        <v>0.06118</v>
      </c>
      <c r="L418" s="10">
        <f>IFERROR(__xludf.DUMMYFUNCTION("""COMPUTED_VALUE"""),678020.0)</f>
        <v>678020</v>
      </c>
      <c r="M418" s="10">
        <f>IFERROR(__xludf.DUMMYFUNCTION("""COMPUTED_VALUE"""),635.0)</f>
        <v>635</v>
      </c>
    </row>
    <row r="419">
      <c r="A419" s="1">
        <v>2025.0</v>
      </c>
      <c r="B419" s="1" t="s">
        <v>773</v>
      </c>
      <c r="C419" s="1">
        <v>681810.0</v>
      </c>
      <c r="D419" s="1" t="s">
        <v>533</v>
      </c>
      <c r="E419" s="1" t="s">
        <v>927</v>
      </c>
      <c r="F419" s="1" t="s">
        <v>927</v>
      </c>
      <c r="G419" s="1">
        <v>1.0</v>
      </c>
      <c r="H419" s="1">
        <v>0.063926941</v>
      </c>
      <c r="I419" s="1">
        <v>6.66</v>
      </c>
      <c r="J419" s="1">
        <v>-0.016995</v>
      </c>
      <c r="L419" s="10">
        <f>IFERROR(__xludf.DUMMYFUNCTION("""COMPUTED_VALUE"""),543101.0)</f>
        <v>543101</v>
      </c>
      <c r="M419" s="10">
        <f>IFERROR(__xludf.DUMMYFUNCTION("""COMPUTED_VALUE"""),633.0)</f>
        <v>633</v>
      </c>
    </row>
    <row r="420">
      <c r="A420" s="1">
        <v>2025.0</v>
      </c>
      <c r="B420" s="1" t="s">
        <v>773</v>
      </c>
      <c r="C420" s="1">
        <v>681810.0</v>
      </c>
      <c r="D420" s="1" t="s">
        <v>539</v>
      </c>
      <c r="E420" s="1" t="s">
        <v>927</v>
      </c>
      <c r="F420" s="1" t="s">
        <v>927</v>
      </c>
      <c r="G420" s="1">
        <v>16.0</v>
      </c>
      <c r="H420" s="1">
        <v>1.02283105</v>
      </c>
      <c r="I420" s="1">
        <v>5.69</v>
      </c>
      <c r="J420" s="1">
        <v>0.11915</v>
      </c>
      <c r="L420" s="10">
        <f>IFERROR(__xludf.DUMMYFUNCTION("""COMPUTED_VALUE"""),664192.0)</f>
        <v>664192</v>
      </c>
      <c r="M420" s="10">
        <f>IFERROR(__xludf.DUMMYFUNCTION("""COMPUTED_VALUE"""),632.0)</f>
        <v>632</v>
      </c>
    </row>
    <row r="421">
      <c r="A421" s="1">
        <v>2025.0</v>
      </c>
      <c r="B421" s="1" t="s">
        <v>220</v>
      </c>
      <c r="C421" s="1">
        <v>663559.0</v>
      </c>
      <c r="D421" s="1" t="s">
        <v>541</v>
      </c>
      <c r="E421" s="1" t="s">
        <v>926</v>
      </c>
      <c r="F421" s="1" t="s">
        <v>926</v>
      </c>
      <c r="G421" s="1">
        <v>53.0</v>
      </c>
      <c r="H421" s="1">
        <v>3.404749701</v>
      </c>
      <c r="I421" s="1">
        <v>4.82</v>
      </c>
      <c r="J421" s="1">
        <v>1.331099</v>
      </c>
      <c r="L421" s="10">
        <f>IFERROR(__xludf.DUMMYFUNCTION("""COMPUTED_VALUE"""),642585.0)</f>
        <v>642585</v>
      </c>
      <c r="M421" s="10">
        <f>IFERROR(__xludf.DUMMYFUNCTION("""COMPUTED_VALUE"""),627.0)</f>
        <v>627</v>
      </c>
    </row>
    <row r="422">
      <c r="A422" s="1">
        <v>2025.0</v>
      </c>
      <c r="B422" s="1" t="s">
        <v>220</v>
      </c>
      <c r="C422" s="1">
        <v>663559.0</v>
      </c>
      <c r="D422" s="1" t="s">
        <v>537</v>
      </c>
      <c r="E422" s="1" t="s">
        <v>926</v>
      </c>
      <c r="F422" s="1" t="s">
        <v>926</v>
      </c>
      <c r="G422" s="1">
        <v>194.0</v>
      </c>
      <c r="H422" s="1">
        <v>12.46266872</v>
      </c>
      <c r="I422" s="1">
        <v>5.43</v>
      </c>
      <c r="J422" s="1">
        <v>2.544674</v>
      </c>
      <c r="L422" s="10">
        <f>IFERROR(__xludf.DUMMYFUNCTION("""COMPUTED_VALUE"""),663765.0)</f>
        <v>663765</v>
      </c>
      <c r="M422" s="10">
        <f>IFERROR(__xludf.DUMMYFUNCTION("""COMPUTED_VALUE"""),625.0)</f>
        <v>625</v>
      </c>
    </row>
    <row r="423">
      <c r="A423" s="1">
        <v>2025.0</v>
      </c>
      <c r="B423" s="1" t="s">
        <v>220</v>
      </c>
      <c r="C423" s="1">
        <v>663559.0</v>
      </c>
      <c r="D423" s="1" t="s">
        <v>536</v>
      </c>
      <c r="E423" s="1" t="s">
        <v>926</v>
      </c>
      <c r="F423" s="1" t="s">
        <v>926</v>
      </c>
      <c r="G423" s="1">
        <v>88.0</v>
      </c>
      <c r="H423" s="1">
        <v>5.653169315</v>
      </c>
      <c r="I423" s="1">
        <v>5.35</v>
      </c>
      <c r="J423" s="1">
        <v>1.284533</v>
      </c>
      <c r="L423" s="10">
        <f>IFERROR(__xludf.DUMMYFUNCTION("""COMPUTED_VALUE"""),687863.0)</f>
        <v>687863</v>
      </c>
      <c r="M423" s="10">
        <f>IFERROR(__xludf.DUMMYFUNCTION("""COMPUTED_VALUE"""),624.0)</f>
        <v>624</v>
      </c>
    </row>
    <row r="424">
      <c r="A424" s="1">
        <v>2025.0</v>
      </c>
      <c r="B424" s="1" t="s">
        <v>220</v>
      </c>
      <c r="C424" s="1">
        <v>663559.0</v>
      </c>
      <c r="D424" s="1" t="s">
        <v>533</v>
      </c>
      <c r="E424" s="1" t="s">
        <v>926</v>
      </c>
      <c r="F424" s="1" t="s">
        <v>926</v>
      </c>
      <c r="G424" s="1">
        <v>153.0</v>
      </c>
      <c r="H424" s="1">
        <v>9.828805741</v>
      </c>
      <c r="I424" s="1">
        <v>5.13</v>
      </c>
      <c r="J424" s="1">
        <v>2.876506</v>
      </c>
      <c r="L424" s="10">
        <f>IFERROR(__xludf.DUMMYFUNCTION("""COMPUTED_VALUE"""),800048.0)</f>
        <v>800048</v>
      </c>
      <c r="M424" s="10">
        <f>IFERROR(__xludf.DUMMYFUNCTION("""COMPUTED_VALUE"""),624.0)</f>
        <v>624</v>
      </c>
    </row>
    <row r="425">
      <c r="A425" s="1">
        <v>2025.0</v>
      </c>
      <c r="B425" s="1" t="s">
        <v>220</v>
      </c>
      <c r="C425" s="1">
        <v>663559.0</v>
      </c>
      <c r="D425" s="1" t="s">
        <v>541</v>
      </c>
      <c r="E425" s="1" t="s">
        <v>926</v>
      </c>
      <c r="F425" s="1" t="s">
        <v>927</v>
      </c>
      <c r="G425" s="1">
        <v>213.0</v>
      </c>
      <c r="H425" s="1">
        <v>13.68323936</v>
      </c>
      <c r="I425" s="1">
        <v>4.93</v>
      </c>
      <c r="J425" s="1">
        <v>5.091539</v>
      </c>
      <c r="L425" s="10">
        <f>IFERROR(__xludf.DUMMYFUNCTION("""COMPUTED_VALUE"""),693313.0)</f>
        <v>693313</v>
      </c>
      <c r="M425" s="10">
        <f>IFERROR(__xludf.DUMMYFUNCTION("""COMPUTED_VALUE"""),621.0)</f>
        <v>621</v>
      </c>
    </row>
    <row r="426">
      <c r="A426" s="1">
        <v>2025.0</v>
      </c>
      <c r="B426" s="1" t="s">
        <v>220</v>
      </c>
      <c r="C426" s="1">
        <v>663559.0</v>
      </c>
      <c r="D426" s="1" t="s">
        <v>537</v>
      </c>
      <c r="E426" s="1" t="s">
        <v>926</v>
      </c>
      <c r="F426" s="1" t="s">
        <v>927</v>
      </c>
      <c r="G426" s="1">
        <v>722.0</v>
      </c>
      <c r="H426" s="1">
        <v>46.38168461</v>
      </c>
      <c r="I426" s="1">
        <v>5.07</v>
      </c>
      <c r="J426" s="1">
        <v>14.892531</v>
      </c>
      <c r="L426" s="10">
        <f>IFERROR(__xludf.DUMMYFUNCTION("""COMPUTED_VALUE"""),808963.0)</f>
        <v>808963</v>
      </c>
      <c r="M426" s="10">
        <f>IFERROR(__xludf.DUMMYFUNCTION("""COMPUTED_VALUE"""),621.0)</f>
        <v>621</v>
      </c>
    </row>
    <row r="427">
      <c r="A427" s="1">
        <v>2025.0</v>
      </c>
      <c r="B427" s="1" t="s">
        <v>220</v>
      </c>
      <c r="C427" s="1">
        <v>663559.0</v>
      </c>
      <c r="D427" s="1" t="s">
        <v>538</v>
      </c>
      <c r="E427" s="1" t="s">
        <v>926</v>
      </c>
      <c r="F427" s="1" t="s">
        <v>927</v>
      </c>
      <c r="G427" s="1">
        <v>148.0</v>
      </c>
      <c r="H427" s="1">
        <v>9.507602939</v>
      </c>
      <c r="I427" s="1">
        <v>4.65</v>
      </c>
      <c r="J427" s="1">
        <v>4.350274</v>
      </c>
      <c r="L427" s="10">
        <f>IFERROR(__xludf.DUMMYFUNCTION("""COMPUTED_VALUE"""),668390.0)</f>
        <v>668390</v>
      </c>
      <c r="M427" s="10">
        <f>IFERROR(__xludf.DUMMYFUNCTION("""COMPUTED_VALUE"""),619.0)</f>
        <v>619</v>
      </c>
    </row>
    <row r="428">
      <c r="A428" s="1">
        <v>2025.0</v>
      </c>
      <c r="B428" s="1" t="s">
        <v>220</v>
      </c>
      <c r="C428" s="1">
        <v>663559.0</v>
      </c>
      <c r="D428" s="1" t="s">
        <v>536</v>
      </c>
      <c r="E428" s="1" t="s">
        <v>926</v>
      </c>
      <c r="F428" s="1" t="s">
        <v>927</v>
      </c>
      <c r="G428" s="1">
        <v>179.0</v>
      </c>
      <c r="H428" s="1">
        <v>11.49906031</v>
      </c>
      <c r="I428" s="1">
        <v>4.91</v>
      </c>
      <c r="J428" s="1">
        <v>4.279594</v>
      </c>
      <c r="L428" s="10">
        <f>IFERROR(__xludf.DUMMYFUNCTION("""COMPUTED_VALUE"""),681293.0)</f>
        <v>681293</v>
      </c>
      <c r="M428" s="10">
        <f>IFERROR(__xludf.DUMMYFUNCTION("""COMPUTED_VALUE"""),618.0)</f>
        <v>618</v>
      </c>
    </row>
    <row r="429">
      <c r="A429" s="1">
        <v>2025.0</v>
      </c>
      <c r="B429" s="1" t="s">
        <v>220</v>
      </c>
      <c r="C429" s="1">
        <v>663559.0</v>
      </c>
      <c r="D429" s="1" t="s">
        <v>533</v>
      </c>
      <c r="E429" s="1" t="s">
        <v>926</v>
      </c>
      <c r="F429" s="1" t="s">
        <v>927</v>
      </c>
      <c r="G429" s="1">
        <v>201.0</v>
      </c>
      <c r="H429" s="1">
        <v>12.91235264</v>
      </c>
      <c r="I429" s="1">
        <v>4.8</v>
      </c>
      <c r="J429" s="1">
        <v>5.19681</v>
      </c>
      <c r="L429" s="10">
        <f>IFERROR(__xludf.DUMMYFUNCTION("""COMPUTED_VALUE"""),664299.0)</f>
        <v>664299</v>
      </c>
      <c r="M429" s="10">
        <f>IFERROR(__xludf.DUMMYFUNCTION("""COMPUTED_VALUE"""),617.0)</f>
        <v>617</v>
      </c>
    </row>
    <row r="430">
      <c r="A430" s="1">
        <v>2025.0</v>
      </c>
      <c r="B430" s="1" t="s">
        <v>733</v>
      </c>
      <c r="C430" s="1">
        <v>690544.0</v>
      </c>
      <c r="D430" s="1" t="s">
        <v>540</v>
      </c>
      <c r="E430" s="1" t="s">
        <v>926</v>
      </c>
      <c r="F430" s="1" t="s">
        <v>926</v>
      </c>
      <c r="G430" s="1">
        <v>3.0</v>
      </c>
      <c r="H430" s="1">
        <v>0.151785714</v>
      </c>
      <c r="I430" s="1">
        <v>4.22</v>
      </c>
      <c r="J430" s="1">
        <v>0.109588</v>
      </c>
      <c r="L430" s="10">
        <f>IFERROR(__xludf.DUMMYFUNCTION("""COMPUTED_VALUE"""),666661.0)</f>
        <v>666661</v>
      </c>
      <c r="M430" s="10">
        <f>IFERROR(__xludf.DUMMYFUNCTION("""COMPUTED_VALUE"""),617.0)</f>
        <v>617</v>
      </c>
    </row>
    <row r="431">
      <c r="A431" s="1">
        <v>2025.0</v>
      </c>
      <c r="B431" s="1" t="s">
        <v>733</v>
      </c>
      <c r="C431" s="1">
        <v>690544.0</v>
      </c>
      <c r="D431" s="1" t="s">
        <v>537</v>
      </c>
      <c r="E431" s="1" t="s">
        <v>926</v>
      </c>
      <c r="F431" s="1" t="s">
        <v>926</v>
      </c>
      <c r="G431" s="1">
        <v>20.0</v>
      </c>
      <c r="H431" s="1">
        <v>1.011904762</v>
      </c>
      <c r="I431" s="1">
        <v>5.67</v>
      </c>
      <c r="J431" s="1">
        <v>0.143151</v>
      </c>
      <c r="L431" s="10">
        <f>IFERROR(__xludf.DUMMYFUNCTION("""COMPUTED_VALUE"""),605177.0)</f>
        <v>605177</v>
      </c>
      <c r="M431" s="10">
        <f>IFERROR(__xludf.DUMMYFUNCTION("""COMPUTED_VALUE"""),614.0)</f>
        <v>614</v>
      </c>
    </row>
    <row r="432">
      <c r="A432" s="1">
        <v>2025.0</v>
      </c>
      <c r="B432" s="1" t="s">
        <v>733</v>
      </c>
      <c r="C432" s="1">
        <v>690544.0</v>
      </c>
      <c r="D432" s="1" t="s">
        <v>536</v>
      </c>
      <c r="E432" s="1" t="s">
        <v>926</v>
      </c>
      <c r="F432" s="1" t="s">
        <v>926</v>
      </c>
      <c r="G432" s="1">
        <v>44.0</v>
      </c>
      <c r="H432" s="1">
        <v>2.226190476</v>
      </c>
      <c r="I432" s="1">
        <v>4.83</v>
      </c>
      <c r="J432" s="1">
        <v>1.150023</v>
      </c>
      <c r="L432" s="10">
        <f>IFERROR(__xludf.DUMMYFUNCTION("""COMPUTED_VALUE"""),681006.0)</f>
        <v>681006</v>
      </c>
      <c r="M432" s="10">
        <f>IFERROR(__xludf.DUMMYFUNCTION("""COMPUTED_VALUE"""),611.0)</f>
        <v>611</v>
      </c>
    </row>
    <row r="433">
      <c r="A433" s="1">
        <v>2025.0</v>
      </c>
      <c r="B433" s="1" t="s">
        <v>733</v>
      </c>
      <c r="C433" s="1">
        <v>690544.0</v>
      </c>
      <c r="D433" s="1" t="s">
        <v>539</v>
      </c>
      <c r="E433" s="1" t="s">
        <v>926</v>
      </c>
      <c r="F433" s="1" t="s">
        <v>926</v>
      </c>
      <c r="G433" s="1">
        <v>36.0</v>
      </c>
      <c r="H433" s="1">
        <v>1.821428571</v>
      </c>
      <c r="I433" s="1">
        <v>5.18</v>
      </c>
      <c r="J433" s="1">
        <v>0.655129</v>
      </c>
      <c r="L433" s="10">
        <f>IFERROR(__xludf.DUMMYFUNCTION("""COMPUTED_VALUE"""),592779.0)</f>
        <v>592779</v>
      </c>
      <c r="M433" s="10">
        <f>IFERROR(__xludf.DUMMYFUNCTION("""COMPUTED_VALUE"""),610.0)</f>
        <v>610</v>
      </c>
    </row>
    <row r="434">
      <c r="A434" s="1">
        <v>2025.0</v>
      </c>
      <c r="B434" s="1" t="s">
        <v>733</v>
      </c>
      <c r="C434" s="1">
        <v>690544.0</v>
      </c>
      <c r="D434" s="1" t="s">
        <v>540</v>
      </c>
      <c r="E434" s="1" t="s">
        <v>926</v>
      </c>
      <c r="F434" s="1" t="s">
        <v>927</v>
      </c>
      <c r="G434" s="1">
        <v>31.0</v>
      </c>
      <c r="H434" s="1">
        <v>1.568452381</v>
      </c>
      <c r="I434" s="1">
        <v>5.55</v>
      </c>
      <c r="J434" s="1">
        <v>0.345237</v>
      </c>
      <c r="L434" s="10">
        <f>IFERROR(__xludf.DUMMYFUNCTION("""COMPUTED_VALUE"""),664062.0)</f>
        <v>664062</v>
      </c>
      <c r="M434" s="10">
        <f>IFERROR(__xludf.DUMMYFUNCTION("""COMPUTED_VALUE"""),609.0)</f>
        <v>609</v>
      </c>
    </row>
    <row r="435">
      <c r="A435" s="1">
        <v>2025.0</v>
      </c>
      <c r="B435" s="1" t="s">
        <v>733</v>
      </c>
      <c r="C435" s="1">
        <v>690544.0</v>
      </c>
      <c r="D435" s="1" t="s">
        <v>537</v>
      </c>
      <c r="E435" s="1" t="s">
        <v>926</v>
      </c>
      <c r="F435" s="1" t="s">
        <v>927</v>
      </c>
      <c r="G435" s="1">
        <v>53.0</v>
      </c>
      <c r="H435" s="1">
        <v>2.681547619</v>
      </c>
      <c r="I435" s="1">
        <v>5.22</v>
      </c>
      <c r="J435" s="1">
        <v>0.961163</v>
      </c>
      <c r="L435" s="10">
        <f>IFERROR(__xludf.DUMMYFUNCTION("""COMPUTED_VALUE"""),683627.0)</f>
        <v>683627</v>
      </c>
      <c r="M435" s="10">
        <f>IFERROR(__xludf.DUMMYFUNCTION("""COMPUTED_VALUE"""),606.0)</f>
        <v>606</v>
      </c>
    </row>
    <row r="436">
      <c r="A436" s="1">
        <v>2025.0</v>
      </c>
      <c r="B436" s="1" t="s">
        <v>733</v>
      </c>
      <c r="C436" s="1">
        <v>690544.0</v>
      </c>
      <c r="D436" s="1" t="s">
        <v>539</v>
      </c>
      <c r="E436" s="1" t="s">
        <v>926</v>
      </c>
      <c r="F436" s="1" t="s">
        <v>927</v>
      </c>
      <c r="G436" s="1">
        <v>37.0</v>
      </c>
      <c r="H436" s="1">
        <v>1.87202381</v>
      </c>
      <c r="I436" s="1">
        <v>5.44</v>
      </c>
      <c r="J436" s="1">
        <v>0.465099</v>
      </c>
      <c r="L436" s="10">
        <f>IFERROR(__xludf.DUMMYFUNCTION("""COMPUTED_VALUE"""),670990.0)</f>
        <v>670990</v>
      </c>
      <c r="M436" s="10">
        <f>IFERROR(__xludf.DUMMYFUNCTION("""COMPUTED_VALUE"""),604.0)</f>
        <v>604</v>
      </c>
    </row>
    <row r="437">
      <c r="A437" s="1">
        <v>2025.0</v>
      </c>
      <c r="B437" s="1" t="s">
        <v>173</v>
      </c>
      <c r="C437" s="1">
        <v>641927.0</v>
      </c>
      <c r="D437" s="1" t="s">
        <v>532</v>
      </c>
      <c r="E437" s="1" t="s">
        <v>927</v>
      </c>
      <c r="F437" s="1" t="s">
        <v>926</v>
      </c>
      <c r="G437" s="1">
        <v>430.0</v>
      </c>
      <c r="H437" s="1">
        <v>26.70769666</v>
      </c>
      <c r="I437" s="1">
        <v>5.37</v>
      </c>
      <c r="J437" s="1">
        <v>5.896569</v>
      </c>
      <c r="L437" s="10">
        <f>IFERROR(__xludf.DUMMYFUNCTION("""COMPUTED_VALUE"""),691799.0)</f>
        <v>691799</v>
      </c>
      <c r="M437" s="10">
        <f>IFERROR(__xludf.DUMMYFUNCTION("""COMPUTED_VALUE"""),600.0)</f>
        <v>600</v>
      </c>
    </row>
    <row r="438">
      <c r="A438" s="1">
        <v>2025.0</v>
      </c>
      <c r="B438" s="1" t="s">
        <v>173</v>
      </c>
      <c r="C438" s="1">
        <v>641927.0</v>
      </c>
      <c r="D438" s="1" t="s">
        <v>541</v>
      </c>
      <c r="E438" s="1" t="s">
        <v>927</v>
      </c>
      <c r="F438" s="1" t="s">
        <v>926</v>
      </c>
      <c r="G438" s="1">
        <v>62.0</v>
      </c>
      <c r="H438" s="1">
        <v>3.850877193</v>
      </c>
      <c r="I438" s="1">
        <v>5.12</v>
      </c>
      <c r="J438" s="1">
        <v>1.261668</v>
      </c>
      <c r="L438" s="10">
        <f>IFERROR(__xludf.DUMMYFUNCTION("""COMPUTED_VALUE"""),695445.0)</f>
        <v>695445</v>
      </c>
      <c r="M438" s="10">
        <f>IFERROR(__xludf.DUMMYFUNCTION("""COMPUTED_VALUE"""),600.0)</f>
        <v>600</v>
      </c>
    </row>
    <row r="439">
      <c r="A439" s="1">
        <v>2025.0</v>
      </c>
      <c r="B439" s="1" t="s">
        <v>173</v>
      </c>
      <c r="C439" s="1">
        <v>641927.0</v>
      </c>
      <c r="D439" s="1" t="s">
        <v>537</v>
      </c>
      <c r="E439" s="1" t="s">
        <v>927</v>
      </c>
      <c r="F439" s="1" t="s">
        <v>926</v>
      </c>
      <c r="G439" s="1">
        <v>508.0</v>
      </c>
      <c r="H439" s="1">
        <v>31.55234861</v>
      </c>
      <c r="I439" s="1">
        <v>4.99</v>
      </c>
      <c r="J439" s="1">
        <v>11.529744</v>
      </c>
      <c r="L439" s="10">
        <f>IFERROR(__xludf.DUMMYFUNCTION("""COMPUTED_VALUE"""),641482.0)</f>
        <v>641482</v>
      </c>
      <c r="M439" s="10">
        <f>IFERROR(__xludf.DUMMYFUNCTION("""COMPUTED_VALUE"""),598.0)</f>
        <v>598</v>
      </c>
    </row>
    <row r="440">
      <c r="A440" s="1">
        <v>2025.0</v>
      </c>
      <c r="B440" s="1" t="s">
        <v>173</v>
      </c>
      <c r="C440" s="1">
        <v>641927.0</v>
      </c>
      <c r="D440" s="1" t="s">
        <v>536</v>
      </c>
      <c r="E440" s="1" t="s">
        <v>927</v>
      </c>
      <c r="F440" s="1" t="s">
        <v>926</v>
      </c>
      <c r="G440" s="1">
        <v>9.0</v>
      </c>
      <c r="H440" s="1">
        <v>0.558998302</v>
      </c>
      <c r="I440" s="1">
        <v>5.07</v>
      </c>
      <c r="J440" s="1">
        <v>0.193455</v>
      </c>
      <c r="L440" s="10">
        <f>IFERROR(__xludf.DUMMYFUNCTION("""COMPUTED_VALUE"""),621366.0)</f>
        <v>621366</v>
      </c>
      <c r="M440" s="10">
        <f>IFERROR(__xludf.DUMMYFUNCTION("""COMPUTED_VALUE"""),594.0)</f>
        <v>594</v>
      </c>
    </row>
    <row r="441">
      <c r="A441" s="1">
        <v>2025.0</v>
      </c>
      <c r="B441" s="1" t="s">
        <v>173</v>
      </c>
      <c r="C441" s="1">
        <v>641927.0</v>
      </c>
      <c r="D441" s="1" t="s">
        <v>533</v>
      </c>
      <c r="E441" s="1" t="s">
        <v>927</v>
      </c>
      <c r="F441" s="1" t="s">
        <v>926</v>
      </c>
      <c r="G441" s="1">
        <v>181.0</v>
      </c>
      <c r="H441" s="1">
        <v>11.24207697</v>
      </c>
      <c r="I441" s="1">
        <v>5.23</v>
      </c>
      <c r="J441" s="1">
        <v>3.159848</v>
      </c>
      <c r="L441" s="10">
        <f>IFERROR(__xludf.DUMMYFUNCTION("""COMPUTED_VALUE"""),660787.0)</f>
        <v>660787</v>
      </c>
      <c r="M441" s="10">
        <f>IFERROR(__xludf.DUMMYFUNCTION("""COMPUTED_VALUE"""),590.0)</f>
        <v>590</v>
      </c>
    </row>
    <row r="442">
      <c r="A442" s="1">
        <v>2025.0</v>
      </c>
      <c r="B442" s="1" t="s">
        <v>173</v>
      </c>
      <c r="C442" s="1">
        <v>641927.0</v>
      </c>
      <c r="D442" s="1" t="s">
        <v>539</v>
      </c>
      <c r="E442" s="1" t="s">
        <v>927</v>
      </c>
      <c r="F442" s="1" t="s">
        <v>926</v>
      </c>
      <c r="G442" s="1">
        <v>59.0</v>
      </c>
      <c r="H442" s="1">
        <v>3.664544426</v>
      </c>
      <c r="I442" s="1">
        <v>5.01</v>
      </c>
      <c r="J442" s="1">
        <v>1.257578</v>
      </c>
      <c r="L442" s="10">
        <f>IFERROR(__xludf.DUMMYFUNCTION("""COMPUTED_VALUE"""),669084.0)</f>
        <v>669084</v>
      </c>
      <c r="M442" s="10">
        <f>IFERROR(__xludf.DUMMYFUNCTION("""COMPUTED_VALUE"""),588.0)</f>
        <v>588</v>
      </c>
    </row>
    <row r="443">
      <c r="A443" s="1">
        <v>2025.0</v>
      </c>
      <c r="B443" s="1" t="s">
        <v>173</v>
      </c>
      <c r="C443" s="1">
        <v>641927.0</v>
      </c>
      <c r="D443" s="1" t="s">
        <v>532</v>
      </c>
      <c r="E443" s="1" t="s">
        <v>927</v>
      </c>
      <c r="F443" s="1" t="s">
        <v>927</v>
      </c>
      <c r="G443" s="1">
        <v>251.0</v>
      </c>
      <c r="H443" s="1">
        <v>15.58984154</v>
      </c>
      <c r="I443" s="1">
        <v>5.42</v>
      </c>
      <c r="J443" s="1">
        <v>3.216179</v>
      </c>
      <c r="L443" s="10">
        <f>IFERROR(__xludf.DUMMYFUNCTION("""COMPUTED_VALUE"""),687330.0)</f>
        <v>687330</v>
      </c>
      <c r="M443" s="10">
        <f>IFERROR(__xludf.DUMMYFUNCTION("""COMPUTED_VALUE"""),588.0)</f>
        <v>588</v>
      </c>
    </row>
    <row r="444">
      <c r="A444" s="1">
        <v>2025.0</v>
      </c>
      <c r="B444" s="1" t="s">
        <v>173</v>
      </c>
      <c r="C444" s="1">
        <v>641927.0</v>
      </c>
      <c r="D444" s="1" t="s">
        <v>541</v>
      </c>
      <c r="E444" s="1" t="s">
        <v>927</v>
      </c>
      <c r="F444" s="1" t="s">
        <v>927</v>
      </c>
      <c r="G444" s="1">
        <v>27.0</v>
      </c>
      <c r="H444" s="1">
        <v>1.676994907</v>
      </c>
      <c r="I444" s="1">
        <v>4.67</v>
      </c>
      <c r="J444" s="1">
        <v>0.760921</v>
      </c>
      <c r="L444" s="10">
        <f>IFERROR(__xludf.DUMMYFUNCTION("""COMPUTED_VALUE"""),690986.0)</f>
        <v>690986</v>
      </c>
      <c r="M444" s="10">
        <f>IFERROR(__xludf.DUMMYFUNCTION("""COMPUTED_VALUE"""),588.0)</f>
        <v>588</v>
      </c>
    </row>
    <row r="445">
      <c r="A445" s="1">
        <v>2025.0</v>
      </c>
      <c r="B445" s="1" t="s">
        <v>173</v>
      </c>
      <c r="C445" s="1">
        <v>641927.0</v>
      </c>
      <c r="D445" s="1" t="s">
        <v>537</v>
      </c>
      <c r="E445" s="1" t="s">
        <v>927</v>
      </c>
      <c r="F445" s="1" t="s">
        <v>927</v>
      </c>
      <c r="G445" s="1">
        <v>333.0</v>
      </c>
      <c r="H445" s="1">
        <v>20.68293718</v>
      </c>
      <c r="I445" s="1">
        <v>4.93</v>
      </c>
      <c r="J445" s="1">
        <v>7.912044</v>
      </c>
      <c r="L445" s="10">
        <f>IFERROR(__xludf.DUMMYFUNCTION("""COMPUTED_VALUE"""),670329.0)</f>
        <v>670329</v>
      </c>
      <c r="M445" s="10">
        <f>IFERROR(__xludf.DUMMYFUNCTION("""COMPUTED_VALUE"""),586.0)</f>
        <v>586</v>
      </c>
    </row>
    <row r="446">
      <c r="A446" s="1">
        <v>2025.0</v>
      </c>
      <c r="B446" s="1" t="s">
        <v>173</v>
      </c>
      <c r="C446" s="1">
        <v>641927.0</v>
      </c>
      <c r="D446" s="1" t="s">
        <v>536</v>
      </c>
      <c r="E446" s="1" t="s">
        <v>927</v>
      </c>
      <c r="F446" s="1" t="s">
        <v>927</v>
      </c>
      <c r="G446" s="1">
        <v>71.0</v>
      </c>
      <c r="H446" s="1">
        <v>4.409875495</v>
      </c>
      <c r="I446" s="1">
        <v>4.89</v>
      </c>
      <c r="J446" s="1">
        <v>1.755012</v>
      </c>
      <c r="L446" s="10">
        <f>IFERROR(__xludf.DUMMYFUNCTION("""COMPUTED_VALUE"""),689690.0)</f>
        <v>689690</v>
      </c>
      <c r="M446" s="10">
        <f>IFERROR(__xludf.DUMMYFUNCTION("""COMPUTED_VALUE"""),586.0)</f>
        <v>586</v>
      </c>
    </row>
    <row r="447">
      <c r="A447" s="1">
        <v>2025.0</v>
      </c>
      <c r="B447" s="1" t="s">
        <v>173</v>
      </c>
      <c r="C447" s="1">
        <v>641927.0</v>
      </c>
      <c r="D447" s="1" t="s">
        <v>533</v>
      </c>
      <c r="E447" s="1" t="s">
        <v>927</v>
      </c>
      <c r="F447" s="1" t="s">
        <v>927</v>
      </c>
      <c r="G447" s="1">
        <v>227.0</v>
      </c>
      <c r="H447" s="1">
        <v>14.0991794</v>
      </c>
      <c r="I447" s="1">
        <v>5.19</v>
      </c>
      <c r="J447" s="1">
        <v>4.151467</v>
      </c>
      <c r="L447" s="10">
        <f>IFERROR(__xludf.DUMMYFUNCTION("""COMPUTED_VALUE"""),641672.0)</f>
        <v>641672</v>
      </c>
      <c r="M447" s="10">
        <f>IFERROR(__xludf.DUMMYFUNCTION("""COMPUTED_VALUE"""),585.0)</f>
        <v>585</v>
      </c>
    </row>
    <row r="448">
      <c r="A448" s="1">
        <v>2025.0</v>
      </c>
      <c r="B448" s="1" t="s">
        <v>173</v>
      </c>
      <c r="C448" s="1">
        <v>641927.0</v>
      </c>
      <c r="D448" s="1" t="s">
        <v>539</v>
      </c>
      <c r="E448" s="1" t="s">
        <v>927</v>
      </c>
      <c r="F448" s="1" t="s">
        <v>927</v>
      </c>
      <c r="G448" s="1">
        <v>198.0</v>
      </c>
      <c r="H448" s="1">
        <v>12.29796265</v>
      </c>
      <c r="I448" s="1">
        <v>4.69</v>
      </c>
      <c r="J448" s="1">
        <v>5.536481</v>
      </c>
      <c r="L448" s="10">
        <f>IFERROR(__xludf.DUMMYFUNCTION("""COMPUTED_VALUE"""),677161.0)</f>
        <v>677161</v>
      </c>
      <c r="M448" s="10">
        <f>IFERROR(__xludf.DUMMYFUNCTION("""COMPUTED_VALUE"""),582.0)</f>
        <v>582</v>
      </c>
    </row>
    <row r="449">
      <c r="A449" s="1">
        <v>2025.0</v>
      </c>
      <c r="B449" s="1" t="s">
        <v>667</v>
      </c>
      <c r="C449" s="1">
        <v>689225.0</v>
      </c>
      <c r="D449" s="1" t="s">
        <v>532</v>
      </c>
      <c r="E449" s="1" t="s">
        <v>927</v>
      </c>
      <c r="F449" s="1" t="s">
        <v>926</v>
      </c>
      <c r="G449" s="1">
        <v>72.0</v>
      </c>
      <c r="H449" s="1">
        <v>3.911111111</v>
      </c>
      <c r="I449" s="1">
        <v>5.2</v>
      </c>
      <c r="J449" s="1">
        <v>1.302833</v>
      </c>
      <c r="L449" s="10">
        <f>IFERROR(__xludf.DUMMYFUNCTION("""COMPUTED_VALUE"""),678906.0)</f>
        <v>678906</v>
      </c>
      <c r="M449" s="10">
        <f>IFERROR(__xludf.DUMMYFUNCTION("""COMPUTED_VALUE"""),572.0)</f>
        <v>572</v>
      </c>
    </row>
    <row r="450">
      <c r="A450" s="1">
        <v>2025.0</v>
      </c>
      <c r="B450" s="1" t="s">
        <v>667</v>
      </c>
      <c r="C450" s="1">
        <v>689225.0</v>
      </c>
      <c r="D450" s="1" t="s">
        <v>537</v>
      </c>
      <c r="E450" s="1" t="s">
        <v>927</v>
      </c>
      <c r="F450" s="1" t="s">
        <v>926</v>
      </c>
      <c r="G450" s="1">
        <v>113.0</v>
      </c>
      <c r="H450" s="1">
        <v>6.138271605</v>
      </c>
      <c r="I450" s="1">
        <v>4.95</v>
      </c>
      <c r="J450" s="1">
        <v>2.601196</v>
      </c>
      <c r="L450" s="10">
        <f>IFERROR(__xludf.DUMMYFUNCTION("""COMPUTED_VALUE"""),592155.0)</f>
        <v>592155</v>
      </c>
      <c r="M450" s="10">
        <f>IFERROR(__xludf.DUMMYFUNCTION("""COMPUTED_VALUE"""),571.0)</f>
        <v>571</v>
      </c>
    </row>
    <row r="451">
      <c r="A451" s="1">
        <v>2025.0</v>
      </c>
      <c r="B451" s="1" t="s">
        <v>667</v>
      </c>
      <c r="C451" s="1">
        <v>689225.0</v>
      </c>
      <c r="D451" s="1" t="s">
        <v>536</v>
      </c>
      <c r="E451" s="1" t="s">
        <v>927</v>
      </c>
      <c r="F451" s="1" t="s">
        <v>926</v>
      </c>
      <c r="G451" s="1">
        <v>2.0</v>
      </c>
      <c r="H451" s="1">
        <v>0.108641975</v>
      </c>
      <c r="I451" s="1">
        <v>5.52</v>
      </c>
      <c r="J451" s="1">
        <v>0.03167</v>
      </c>
      <c r="L451" s="10">
        <f>IFERROR(__xludf.DUMMYFUNCTION("""COMPUTED_VALUE"""),669684.0)</f>
        <v>669684</v>
      </c>
      <c r="M451" s="10">
        <f>IFERROR(__xludf.DUMMYFUNCTION("""COMPUTED_VALUE"""),569.0)</f>
        <v>569</v>
      </c>
    </row>
    <row r="452">
      <c r="A452" s="1">
        <v>2025.0</v>
      </c>
      <c r="B452" s="1" t="s">
        <v>667</v>
      </c>
      <c r="C452" s="1">
        <v>689225.0</v>
      </c>
      <c r="D452" s="1" t="s">
        <v>533</v>
      </c>
      <c r="E452" s="1" t="s">
        <v>927</v>
      </c>
      <c r="F452" s="1" t="s">
        <v>926</v>
      </c>
      <c r="G452" s="1">
        <v>5.0</v>
      </c>
      <c r="H452" s="1">
        <v>0.271604938</v>
      </c>
      <c r="I452" s="1">
        <v>4.24</v>
      </c>
      <c r="J452" s="1">
        <v>0.18888</v>
      </c>
      <c r="L452" s="10">
        <f>IFERROR(__xludf.DUMMYFUNCTION("""COMPUTED_VALUE"""),665871.0)</f>
        <v>665871</v>
      </c>
      <c r="M452" s="10">
        <f>IFERROR(__xludf.DUMMYFUNCTION("""COMPUTED_VALUE"""),566.0)</f>
        <v>566</v>
      </c>
    </row>
    <row r="453">
      <c r="A453" s="1">
        <v>2025.0</v>
      </c>
      <c r="B453" s="1" t="s">
        <v>667</v>
      </c>
      <c r="C453" s="1">
        <v>689225.0</v>
      </c>
      <c r="D453" s="1" t="s">
        <v>532</v>
      </c>
      <c r="E453" s="1" t="s">
        <v>927</v>
      </c>
      <c r="F453" s="1" t="s">
        <v>927</v>
      </c>
      <c r="G453" s="1">
        <v>28.0</v>
      </c>
      <c r="H453" s="1">
        <v>1.520987654</v>
      </c>
      <c r="I453" s="1">
        <v>4.75</v>
      </c>
      <c r="J453" s="1">
        <v>0.74827</v>
      </c>
      <c r="L453" s="10">
        <f>IFERROR(__xludf.DUMMYFUNCTION("""COMPUTED_VALUE"""),702674.0)</f>
        <v>702674</v>
      </c>
      <c r="M453" s="10">
        <f>IFERROR(__xludf.DUMMYFUNCTION("""COMPUTED_VALUE"""),562.0)</f>
        <v>562</v>
      </c>
    </row>
    <row r="454">
      <c r="A454" s="1">
        <v>2025.0</v>
      </c>
      <c r="B454" s="1" t="s">
        <v>667</v>
      </c>
      <c r="C454" s="1">
        <v>689225.0</v>
      </c>
      <c r="D454" s="1" t="s">
        <v>537</v>
      </c>
      <c r="E454" s="1" t="s">
        <v>927</v>
      </c>
      <c r="F454" s="1" t="s">
        <v>927</v>
      </c>
      <c r="G454" s="1">
        <v>84.0</v>
      </c>
      <c r="H454" s="1">
        <v>4.562962963</v>
      </c>
      <c r="I454" s="1">
        <v>5.28</v>
      </c>
      <c r="J454" s="1">
        <v>1.439417</v>
      </c>
      <c r="L454" s="10">
        <f>IFERROR(__xludf.DUMMYFUNCTION("""COMPUTED_VALUE"""),681869.0)</f>
        <v>681869</v>
      </c>
      <c r="M454" s="10">
        <f>IFERROR(__xludf.DUMMYFUNCTION("""COMPUTED_VALUE"""),551.0)</f>
        <v>551</v>
      </c>
    </row>
    <row r="455">
      <c r="A455" s="1">
        <v>2025.0</v>
      </c>
      <c r="B455" s="1" t="s">
        <v>667</v>
      </c>
      <c r="C455" s="1">
        <v>689225.0</v>
      </c>
      <c r="D455" s="1" t="s">
        <v>536</v>
      </c>
      <c r="E455" s="1" t="s">
        <v>927</v>
      </c>
      <c r="F455" s="1" t="s">
        <v>927</v>
      </c>
      <c r="G455" s="1">
        <v>65.0</v>
      </c>
      <c r="H455" s="1">
        <v>3.530864198</v>
      </c>
      <c r="I455" s="1">
        <v>4.58</v>
      </c>
      <c r="J455" s="1">
        <v>2.02452</v>
      </c>
      <c r="L455" s="10">
        <f>IFERROR(__xludf.DUMMYFUNCTION("""COMPUTED_VALUE"""),680684.0)</f>
        <v>680684</v>
      </c>
      <c r="M455" s="10">
        <f>IFERROR(__xludf.DUMMYFUNCTION("""COMPUTED_VALUE"""),547.0)</f>
        <v>547</v>
      </c>
    </row>
    <row r="456">
      <c r="A456" s="1">
        <v>2025.0</v>
      </c>
      <c r="B456" s="1" t="s">
        <v>667</v>
      </c>
      <c r="C456" s="1">
        <v>689225.0</v>
      </c>
      <c r="D456" s="1" t="s">
        <v>533</v>
      </c>
      <c r="E456" s="1" t="s">
        <v>927</v>
      </c>
      <c r="F456" s="1" t="s">
        <v>927</v>
      </c>
      <c r="G456" s="1">
        <v>36.0</v>
      </c>
      <c r="H456" s="1">
        <v>1.955555556</v>
      </c>
      <c r="I456" s="1">
        <v>4.49</v>
      </c>
      <c r="J456" s="1">
        <v>1.152088</v>
      </c>
      <c r="L456" s="10">
        <f>IFERROR(__xludf.DUMMYFUNCTION("""COMPUTED_VALUE"""),593576.0)</f>
        <v>593576</v>
      </c>
      <c r="M456" s="10">
        <f>IFERROR(__xludf.DUMMYFUNCTION("""COMPUTED_VALUE"""),546.0)</f>
        <v>546</v>
      </c>
    </row>
    <row r="457">
      <c r="A457" s="1">
        <v>2025.0</v>
      </c>
      <c r="B457" s="1" t="s">
        <v>939</v>
      </c>
      <c r="C457" s="1">
        <v>641386.0</v>
      </c>
      <c r="D457" s="1" t="s">
        <v>537</v>
      </c>
      <c r="E457" s="1" t="s">
        <v>926</v>
      </c>
      <c r="F457" s="1" t="s">
        <v>926</v>
      </c>
      <c r="G457" s="1">
        <v>47.0</v>
      </c>
      <c r="H457" s="1">
        <v>2.695340502</v>
      </c>
      <c r="I457" s="1">
        <v>5.24</v>
      </c>
      <c r="J457" s="1">
        <v>0.791502</v>
      </c>
      <c r="L457" s="10">
        <f>IFERROR(__xludf.DUMMYFUNCTION("""COMPUTED_VALUE"""),674285.0)</f>
        <v>674285</v>
      </c>
      <c r="M457" s="10">
        <f>IFERROR(__xludf.DUMMYFUNCTION("""COMPUTED_VALUE"""),545.0)</f>
        <v>545</v>
      </c>
    </row>
    <row r="458">
      <c r="A458" s="1">
        <v>2025.0</v>
      </c>
      <c r="B458" s="1" t="s">
        <v>939</v>
      </c>
      <c r="C458" s="1">
        <v>641386.0</v>
      </c>
      <c r="D458" s="1" t="s">
        <v>533</v>
      </c>
      <c r="E458" s="1" t="s">
        <v>926</v>
      </c>
      <c r="F458" s="1" t="s">
        <v>926</v>
      </c>
      <c r="G458" s="1">
        <v>36.0</v>
      </c>
      <c r="H458" s="1">
        <v>2.064516129</v>
      </c>
      <c r="I458" s="1">
        <v>4.63</v>
      </c>
      <c r="J458" s="1">
        <v>1.041171</v>
      </c>
      <c r="L458" s="10">
        <f>IFERROR(__xludf.DUMMYFUNCTION("""COMPUTED_VALUE"""),701487.0)</f>
        <v>701487</v>
      </c>
      <c r="M458" s="10">
        <f>IFERROR(__xludf.DUMMYFUNCTION("""COMPUTED_VALUE"""),544.0)</f>
        <v>544</v>
      </c>
    </row>
    <row r="459">
      <c r="A459" s="1">
        <v>2025.0</v>
      </c>
      <c r="B459" s="1" t="s">
        <v>939</v>
      </c>
      <c r="C459" s="1">
        <v>641386.0</v>
      </c>
      <c r="D459" s="1" t="s">
        <v>532</v>
      </c>
      <c r="E459" s="1" t="s">
        <v>926</v>
      </c>
      <c r="F459" s="1" t="s">
        <v>927</v>
      </c>
      <c r="G459" s="1">
        <v>22.0</v>
      </c>
      <c r="H459" s="1">
        <v>1.261648746</v>
      </c>
      <c r="I459" s="1">
        <v>4.58</v>
      </c>
      <c r="J459" s="1">
        <v>0.681197</v>
      </c>
      <c r="L459" s="10">
        <f>IFERROR(__xludf.DUMMYFUNCTION("""COMPUTED_VALUE"""),595928.0)</f>
        <v>595928</v>
      </c>
      <c r="M459" s="10">
        <f>IFERROR(__xludf.DUMMYFUNCTION("""COMPUTED_VALUE"""),543.0)</f>
        <v>543</v>
      </c>
    </row>
    <row r="460">
      <c r="A460" s="1">
        <v>2025.0</v>
      </c>
      <c r="B460" s="1" t="s">
        <v>939</v>
      </c>
      <c r="C460" s="1">
        <v>641386.0</v>
      </c>
      <c r="D460" s="1" t="s">
        <v>541</v>
      </c>
      <c r="E460" s="1" t="s">
        <v>926</v>
      </c>
      <c r="F460" s="1" t="s">
        <v>927</v>
      </c>
      <c r="G460" s="1">
        <v>2.0</v>
      </c>
      <c r="H460" s="1">
        <v>0.114695341</v>
      </c>
      <c r="I460" s="1">
        <v>4.03</v>
      </c>
      <c r="J460" s="1">
        <v>0.082768</v>
      </c>
      <c r="L460" s="10">
        <f>IFERROR(__xludf.DUMMYFUNCTION("""COMPUTED_VALUE"""),620454.0)</f>
        <v>620454</v>
      </c>
      <c r="M460" s="10">
        <f>IFERROR(__xludf.DUMMYFUNCTION("""COMPUTED_VALUE"""),542.0)</f>
        <v>542</v>
      </c>
    </row>
    <row r="461">
      <c r="A461" s="1">
        <v>2025.0</v>
      </c>
      <c r="B461" s="1" t="s">
        <v>939</v>
      </c>
      <c r="C461" s="1">
        <v>641386.0</v>
      </c>
      <c r="D461" s="1" t="s">
        <v>537</v>
      </c>
      <c r="E461" s="1" t="s">
        <v>926</v>
      </c>
      <c r="F461" s="1" t="s">
        <v>927</v>
      </c>
      <c r="G461" s="1">
        <v>62.0</v>
      </c>
      <c r="H461" s="1">
        <v>3.555555556</v>
      </c>
      <c r="I461" s="1">
        <v>5.35</v>
      </c>
      <c r="J461" s="1">
        <v>0.944689</v>
      </c>
      <c r="L461" s="10">
        <f>IFERROR(__xludf.DUMMYFUNCTION("""COMPUTED_VALUE"""),605463.0)</f>
        <v>605463</v>
      </c>
      <c r="M461" s="10">
        <f>IFERROR(__xludf.DUMMYFUNCTION("""COMPUTED_VALUE"""),536.0)</f>
        <v>536</v>
      </c>
    </row>
    <row r="462">
      <c r="A462" s="1">
        <v>2025.0</v>
      </c>
      <c r="B462" s="1" t="s">
        <v>939</v>
      </c>
      <c r="C462" s="1">
        <v>641386.0</v>
      </c>
      <c r="D462" s="1" t="s">
        <v>533</v>
      </c>
      <c r="E462" s="1" t="s">
        <v>926</v>
      </c>
      <c r="F462" s="1" t="s">
        <v>927</v>
      </c>
      <c r="G462" s="1">
        <v>17.0</v>
      </c>
      <c r="H462" s="1">
        <v>0.974910394</v>
      </c>
      <c r="I462" s="1">
        <v>5.21</v>
      </c>
      <c r="J462" s="1">
        <v>0.315784</v>
      </c>
      <c r="L462" s="10">
        <f>IFERROR(__xludf.DUMMYFUNCTION("""COMPUTED_VALUE"""),622503.0)</f>
        <v>622503</v>
      </c>
      <c r="M462" s="10">
        <f>IFERROR(__xludf.DUMMYFUNCTION("""COMPUTED_VALUE"""),534.0)</f>
        <v>534</v>
      </c>
    </row>
    <row r="463">
      <c r="A463" s="1">
        <v>2025.0</v>
      </c>
      <c r="B463" s="1" t="s">
        <v>341</v>
      </c>
      <c r="C463" s="1">
        <v>676962.0</v>
      </c>
      <c r="D463" s="1" t="s">
        <v>532</v>
      </c>
      <c r="E463" s="1" t="s">
        <v>927</v>
      </c>
      <c r="F463" s="1" t="s">
        <v>926</v>
      </c>
      <c r="G463" s="1">
        <v>75.0</v>
      </c>
      <c r="H463" s="1">
        <v>4.533826038</v>
      </c>
      <c r="I463" s="1">
        <v>4.49</v>
      </c>
      <c r="J463" s="1">
        <v>2.396971</v>
      </c>
      <c r="L463" s="10">
        <f>IFERROR(__xludf.DUMMYFUNCTION("""COMPUTED_VALUE"""),689266.0)</f>
        <v>689266</v>
      </c>
      <c r="M463" s="10">
        <f>IFERROR(__xludf.DUMMYFUNCTION("""COMPUTED_VALUE"""),533.0)</f>
        <v>533</v>
      </c>
    </row>
    <row r="464">
      <c r="A464" s="1">
        <v>2025.0</v>
      </c>
      <c r="B464" s="1" t="s">
        <v>341</v>
      </c>
      <c r="C464" s="1">
        <v>676962.0</v>
      </c>
      <c r="D464" s="1" t="s">
        <v>541</v>
      </c>
      <c r="E464" s="1" t="s">
        <v>927</v>
      </c>
      <c r="F464" s="1" t="s">
        <v>926</v>
      </c>
      <c r="G464" s="1">
        <v>295.0</v>
      </c>
      <c r="H464" s="1">
        <v>17.83304908</v>
      </c>
      <c r="I464" s="1">
        <v>5.27</v>
      </c>
      <c r="J464" s="1">
        <v>4.757547</v>
      </c>
      <c r="L464" s="10">
        <f>IFERROR(__xludf.DUMMYFUNCTION("""COMPUTED_VALUE"""),663671.0)</f>
        <v>663671</v>
      </c>
      <c r="M464" s="10">
        <f>IFERROR(__xludf.DUMMYFUNCTION("""COMPUTED_VALUE"""),532.0)</f>
        <v>532</v>
      </c>
    </row>
    <row r="465">
      <c r="A465" s="1">
        <v>2025.0</v>
      </c>
      <c r="B465" s="1" t="s">
        <v>341</v>
      </c>
      <c r="C465" s="1">
        <v>676962.0</v>
      </c>
      <c r="D465" s="1" t="s">
        <v>537</v>
      </c>
      <c r="E465" s="1" t="s">
        <v>927</v>
      </c>
      <c r="F465" s="1" t="s">
        <v>926</v>
      </c>
      <c r="G465" s="1">
        <v>432.0</v>
      </c>
      <c r="H465" s="1">
        <v>26.11483798</v>
      </c>
      <c r="I465" s="1">
        <v>4.85</v>
      </c>
      <c r="J465" s="1">
        <v>11.182207</v>
      </c>
      <c r="L465" s="10">
        <f>IFERROR(__xludf.DUMMYFUNCTION("""COMPUTED_VALUE"""),657424.0)</f>
        <v>657424</v>
      </c>
      <c r="M465" s="10">
        <f>IFERROR(__xludf.DUMMYFUNCTION("""COMPUTED_VALUE"""),530.0)</f>
        <v>530</v>
      </c>
    </row>
    <row r="466">
      <c r="A466" s="1">
        <v>2025.0</v>
      </c>
      <c r="B466" s="1" t="s">
        <v>341</v>
      </c>
      <c r="C466" s="1">
        <v>676962.0</v>
      </c>
      <c r="D466" s="1" t="s">
        <v>532</v>
      </c>
      <c r="E466" s="1" t="s">
        <v>927</v>
      </c>
      <c r="F466" s="1" t="s">
        <v>927</v>
      </c>
      <c r="G466" s="1">
        <v>5.0</v>
      </c>
      <c r="H466" s="1">
        <v>0.302255069</v>
      </c>
      <c r="I466" s="1">
        <v>4.5</v>
      </c>
      <c r="J466" s="1">
        <v>0.159998</v>
      </c>
      <c r="L466" s="10">
        <f>IFERROR(__xludf.DUMMYFUNCTION("""COMPUTED_VALUE"""),668820.0)</f>
        <v>668820</v>
      </c>
      <c r="M466" s="10">
        <f>IFERROR(__xludf.DUMMYFUNCTION("""COMPUTED_VALUE"""),528.0)</f>
        <v>528</v>
      </c>
    </row>
    <row r="467">
      <c r="A467" s="1">
        <v>2025.0</v>
      </c>
      <c r="B467" s="1" t="s">
        <v>341</v>
      </c>
      <c r="C467" s="1">
        <v>676962.0</v>
      </c>
      <c r="D467" s="1" t="s">
        <v>541</v>
      </c>
      <c r="E467" s="1" t="s">
        <v>927</v>
      </c>
      <c r="F467" s="1" t="s">
        <v>927</v>
      </c>
      <c r="G467" s="1">
        <v>406.0</v>
      </c>
      <c r="H467" s="1">
        <v>24.54311162</v>
      </c>
      <c r="I467" s="1">
        <v>5.02</v>
      </c>
      <c r="J467" s="1">
        <v>8.721387</v>
      </c>
      <c r="L467" s="10">
        <f>IFERROR(__xludf.DUMMYFUNCTION("""COMPUTED_VALUE"""),688642.0)</f>
        <v>688642</v>
      </c>
      <c r="M467" s="10">
        <f>IFERROR(__xludf.DUMMYFUNCTION("""COMPUTED_VALUE"""),527.0)</f>
        <v>527</v>
      </c>
    </row>
    <row r="468">
      <c r="A468" s="1">
        <v>2025.0</v>
      </c>
      <c r="B468" s="1" t="s">
        <v>341</v>
      </c>
      <c r="C468" s="1">
        <v>676962.0</v>
      </c>
      <c r="D468" s="1" t="s">
        <v>537</v>
      </c>
      <c r="E468" s="1" t="s">
        <v>927</v>
      </c>
      <c r="F468" s="1" t="s">
        <v>927</v>
      </c>
      <c r="G468" s="1">
        <v>546.0</v>
      </c>
      <c r="H468" s="1">
        <v>33.00625355</v>
      </c>
      <c r="I468" s="1">
        <v>4.92</v>
      </c>
      <c r="J468" s="1">
        <v>13.289513</v>
      </c>
      <c r="L468" s="10">
        <f>IFERROR(__xludf.DUMMYFUNCTION("""COMPUTED_VALUE"""),681676.0)</f>
        <v>681676</v>
      </c>
      <c r="M468" s="10">
        <f>IFERROR(__xludf.DUMMYFUNCTION("""COMPUTED_VALUE"""),524.0)</f>
        <v>524</v>
      </c>
    </row>
    <row r="469">
      <c r="A469" s="1">
        <v>2025.0</v>
      </c>
      <c r="B469" s="1" t="s">
        <v>104</v>
      </c>
      <c r="C469" s="1">
        <v>676508.0</v>
      </c>
      <c r="D469" s="1" t="s">
        <v>541</v>
      </c>
      <c r="E469" s="1" t="s">
        <v>927</v>
      </c>
      <c r="F469" s="1" t="s">
        <v>926</v>
      </c>
      <c r="G469" s="1">
        <v>142.0</v>
      </c>
      <c r="H469" s="1">
        <v>8.739038563</v>
      </c>
      <c r="I469" s="1">
        <v>4.94</v>
      </c>
      <c r="J469" s="1">
        <v>3.256156</v>
      </c>
      <c r="L469" s="10">
        <f>IFERROR(__xludf.DUMMYFUNCTION("""COMPUTED_VALUE"""),663372.0)</f>
        <v>663372</v>
      </c>
      <c r="M469" s="10">
        <f>IFERROR(__xludf.DUMMYFUNCTION("""COMPUTED_VALUE"""),522.0)</f>
        <v>522</v>
      </c>
    </row>
    <row r="470">
      <c r="A470" s="1">
        <v>2025.0</v>
      </c>
      <c r="B470" s="1" t="s">
        <v>104</v>
      </c>
      <c r="C470" s="1">
        <v>676508.0</v>
      </c>
      <c r="D470" s="1" t="s">
        <v>540</v>
      </c>
      <c r="E470" s="1" t="s">
        <v>927</v>
      </c>
      <c r="F470" s="1" t="s">
        <v>926</v>
      </c>
      <c r="G470" s="1">
        <v>134.0</v>
      </c>
      <c r="H470" s="1">
        <v>8.246698362</v>
      </c>
      <c r="I470" s="1">
        <v>5.58</v>
      </c>
      <c r="J470" s="1">
        <v>1.533259</v>
      </c>
      <c r="L470" s="10">
        <f>IFERROR(__xludf.DUMMYFUNCTION("""COMPUTED_VALUE"""),664991.0)</f>
        <v>664991</v>
      </c>
      <c r="M470" s="10">
        <f>IFERROR(__xludf.DUMMYFUNCTION("""COMPUTED_VALUE"""),520.0)</f>
        <v>520</v>
      </c>
    </row>
    <row r="471">
      <c r="A471" s="1">
        <v>2025.0</v>
      </c>
      <c r="B471" s="1" t="s">
        <v>104</v>
      </c>
      <c r="C471" s="1">
        <v>676508.0</v>
      </c>
      <c r="D471" s="1" t="s">
        <v>537</v>
      </c>
      <c r="E471" s="1" t="s">
        <v>927</v>
      </c>
      <c r="F471" s="1" t="s">
        <v>926</v>
      </c>
      <c r="G471" s="1">
        <v>176.0</v>
      </c>
      <c r="H471" s="1">
        <v>10.83148442</v>
      </c>
      <c r="I471" s="1">
        <v>4.75</v>
      </c>
      <c r="J471" s="1">
        <v>4.7568</v>
      </c>
      <c r="L471" s="10">
        <f>IFERROR(__xludf.DUMMYFUNCTION("""COMPUTED_VALUE"""),663399.0)</f>
        <v>663399</v>
      </c>
      <c r="M471" s="10">
        <f>IFERROR(__xludf.DUMMYFUNCTION("""COMPUTED_VALUE"""),512.0)</f>
        <v>512</v>
      </c>
    </row>
    <row r="472">
      <c r="A472" s="1">
        <v>2025.0</v>
      </c>
      <c r="B472" s="1" t="s">
        <v>104</v>
      </c>
      <c r="C472" s="1">
        <v>676508.0</v>
      </c>
      <c r="D472" s="1" t="s">
        <v>533</v>
      </c>
      <c r="E472" s="1" t="s">
        <v>927</v>
      </c>
      <c r="F472" s="1" t="s">
        <v>926</v>
      </c>
      <c r="G472" s="1">
        <v>18.0</v>
      </c>
      <c r="H472" s="1">
        <v>1.107765452</v>
      </c>
      <c r="I472" s="1">
        <v>4.83</v>
      </c>
      <c r="J472" s="1">
        <v>0.43842</v>
      </c>
      <c r="L472" s="10">
        <f>IFERROR(__xludf.DUMMYFUNCTION("""COMPUTED_VALUE"""),669422.0)</f>
        <v>669422</v>
      </c>
      <c r="M472" s="10">
        <f>IFERROR(__xludf.DUMMYFUNCTION("""COMPUTED_VALUE"""),512.0)</f>
        <v>512</v>
      </c>
    </row>
    <row r="473">
      <c r="A473" s="1">
        <v>2025.0</v>
      </c>
      <c r="B473" s="1" t="s">
        <v>104</v>
      </c>
      <c r="C473" s="1">
        <v>676508.0</v>
      </c>
      <c r="D473" s="1" t="s">
        <v>539</v>
      </c>
      <c r="E473" s="1" t="s">
        <v>927</v>
      </c>
      <c r="F473" s="1" t="s">
        <v>926</v>
      </c>
      <c r="G473" s="1">
        <v>38.0</v>
      </c>
      <c r="H473" s="1">
        <v>2.338615954</v>
      </c>
      <c r="I473" s="1">
        <v>5.49</v>
      </c>
      <c r="J473" s="1">
        <v>0.429154</v>
      </c>
      <c r="L473" s="10">
        <f>IFERROR(__xludf.DUMMYFUNCTION("""COMPUTED_VALUE"""),595014.0)</f>
        <v>595014</v>
      </c>
      <c r="M473" s="10">
        <f>IFERROR(__xludf.DUMMYFUNCTION("""COMPUTED_VALUE"""),511.0)</f>
        <v>511</v>
      </c>
    </row>
    <row r="474">
      <c r="A474" s="1">
        <v>2025.0</v>
      </c>
      <c r="B474" s="1" t="s">
        <v>104</v>
      </c>
      <c r="C474" s="1">
        <v>676508.0</v>
      </c>
      <c r="D474" s="1" t="s">
        <v>541</v>
      </c>
      <c r="E474" s="1" t="s">
        <v>927</v>
      </c>
      <c r="F474" s="1" t="s">
        <v>927</v>
      </c>
      <c r="G474" s="1">
        <v>40.0</v>
      </c>
      <c r="H474" s="1">
        <v>2.461701004</v>
      </c>
      <c r="I474" s="1">
        <v>5.05</v>
      </c>
      <c r="J474" s="1">
        <v>0.866448</v>
      </c>
      <c r="L474" s="10">
        <f>IFERROR(__xludf.DUMMYFUNCTION("""COMPUTED_VALUE"""),669713.0)</f>
        <v>669713</v>
      </c>
      <c r="M474" s="10">
        <f>IFERROR(__xludf.DUMMYFUNCTION("""COMPUTED_VALUE"""),508.0)</f>
        <v>508</v>
      </c>
    </row>
    <row r="475">
      <c r="A475" s="1">
        <v>2025.0</v>
      </c>
      <c r="B475" s="1" t="s">
        <v>104</v>
      </c>
      <c r="C475" s="1">
        <v>676508.0</v>
      </c>
      <c r="D475" s="1" t="s">
        <v>540</v>
      </c>
      <c r="E475" s="1" t="s">
        <v>927</v>
      </c>
      <c r="F475" s="1" t="s">
        <v>927</v>
      </c>
      <c r="G475" s="1">
        <v>141.0</v>
      </c>
      <c r="H475" s="1">
        <v>8.677496038</v>
      </c>
      <c r="I475" s="1">
        <v>5.18</v>
      </c>
      <c r="J475" s="1">
        <v>2.721032</v>
      </c>
      <c r="L475" s="10">
        <f>IFERROR(__xludf.DUMMYFUNCTION("""COMPUTED_VALUE"""),805123.0)</f>
        <v>805123</v>
      </c>
      <c r="M475" s="10">
        <f>IFERROR(__xludf.DUMMYFUNCTION("""COMPUTED_VALUE"""),506.0)</f>
        <v>506</v>
      </c>
    </row>
    <row r="476">
      <c r="A476" s="1">
        <v>2025.0</v>
      </c>
      <c r="B476" s="1" t="s">
        <v>104</v>
      </c>
      <c r="C476" s="1">
        <v>676508.0</v>
      </c>
      <c r="D476" s="1" t="s">
        <v>537</v>
      </c>
      <c r="E476" s="1" t="s">
        <v>927</v>
      </c>
      <c r="F476" s="1" t="s">
        <v>927</v>
      </c>
      <c r="G476" s="1">
        <v>208.0</v>
      </c>
      <c r="H476" s="1">
        <v>12.80084522</v>
      </c>
      <c r="I476" s="1">
        <v>5.18</v>
      </c>
      <c r="J476" s="1">
        <v>3.897337</v>
      </c>
      <c r="L476" s="10">
        <f>IFERROR(__xludf.DUMMYFUNCTION("""COMPUTED_VALUE"""),681870.0)</f>
        <v>681870</v>
      </c>
      <c r="M476" s="10">
        <f>IFERROR(__xludf.DUMMYFUNCTION("""COMPUTED_VALUE"""),502.0)</f>
        <v>502</v>
      </c>
    </row>
    <row r="477">
      <c r="A477" s="1">
        <v>2025.0</v>
      </c>
      <c r="B477" s="1" t="s">
        <v>104</v>
      </c>
      <c r="C477" s="1">
        <v>676508.0</v>
      </c>
      <c r="D477" s="1" t="s">
        <v>536</v>
      </c>
      <c r="E477" s="1" t="s">
        <v>927</v>
      </c>
      <c r="F477" s="1" t="s">
        <v>927</v>
      </c>
      <c r="G477" s="1">
        <v>15.0</v>
      </c>
      <c r="H477" s="1">
        <v>0.923137876</v>
      </c>
      <c r="I477" s="1">
        <v>4.65</v>
      </c>
      <c r="J477" s="1">
        <v>0.445448</v>
      </c>
      <c r="L477" s="10">
        <f>IFERROR(__xludf.DUMMYFUNCTION("""COMPUTED_VALUE"""),685326.0)</f>
        <v>685326</v>
      </c>
      <c r="M477" s="10">
        <f>IFERROR(__xludf.DUMMYFUNCTION("""COMPUTED_VALUE"""),502.0)</f>
        <v>502</v>
      </c>
    </row>
    <row r="478">
      <c r="A478" s="1">
        <v>2025.0</v>
      </c>
      <c r="B478" s="1" t="s">
        <v>104</v>
      </c>
      <c r="C478" s="1">
        <v>676508.0</v>
      </c>
      <c r="D478" s="1" t="s">
        <v>533</v>
      </c>
      <c r="E478" s="1" t="s">
        <v>927</v>
      </c>
      <c r="F478" s="1" t="s">
        <v>927</v>
      </c>
      <c r="G478" s="1">
        <v>164.0</v>
      </c>
      <c r="H478" s="1">
        <v>10.09297412</v>
      </c>
      <c r="I478" s="1">
        <v>5.58</v>
      </c>
      <c r="J478" s="1">
        <v>1.605204</v>
      </c>
      <c r="L478" s="10">
        <f>IFERROR(__xludf.DUMMYFUNCTION("""COMPUTED_VALUE"""),663455.0)</f>
        <v>663455</v>
      </c>
      <c r="M478" s="10">
        <f>IFERROR(__xludf.DUMMYFUNCTION("""COMPUTED_VALUE"""),500.0)</f>
        <v>500</v>
      </c>
    </row>
    <row r="479">
      <c r="A479" s="1">
        <v>2025.0</v>
      </c>
      <c r="B479" s="1" t="s">
        <v>104</v>
      </c>
      <c r="C479" s="1">
        <v>676508.0</v>
      </c>
      <c r="D479" s="1" t="s">
        <v>539</v>
      </c>
      <c r="E479" s="1" t="s">
        <v>927</v>
      </c>
      <c r="F479" s="1" t="s">
        <v>927</v>
      </c>
      <c r="G479" s="1">
        <v>186.0</v>
      </c>
      <c r="H479" s="1">
        <v>11.44690967</v>
      </c>
      <c r="I479" s="1">
        <v>5.33</v>
      </c>
      <c r="J479" s="1">
        <v>2.782367</v>
      </c>
      <c r="L479" s="10">
        <f>IFERROR(__xludf.DUMMYFUNCTION("""COMPUTED_VALUE"""),687377.0)</f>
        <v>687377</v>
      </c>
      <c r="M479" s="10">
        <f>IFERROR(__xludf.DUMMYFUNCTION("""COMPUTED_VALUE"""),500.0)</f>
        <v>500</v>
      </c>
    </row>
    <row r="480">
      <c r="A480" s="1">
        <v>2025.0</v>
      </c>
      <c r="B480" s="1" t="s">
        <v>696</v>
      </c>
      <c r="C480" s="1">
        <v>690829.0</v>
      </c>
      <c r="D480" s="1" t="s">
        <v>537</v>
      </c>
      <c r="E480" s="1" t="s">
        <v>927</v>
      </c>
      <c r="F480" s="1" t="s">
        <v>926</v>
      </c>
      <c r="G480" s="1">
        <v>22.0</v>
      </c>
      <c r="H480" s="1">
        <v>1.361904762</v>
      </c>
      <c r="I480" s="1">
        <v>4.38</v>
      </c>
      <c r="J480" s="1">
        <v>0.745918</v>
      </c>
      <c r="L480" s="10">
        <f>IFERROR(__xludf.DUMMYFUNCTION("""COMPUTED_VALUE"""),686580.0)</f>
        <v>686580</v>
      </c>
      <c r="M480" s="10">
        <f>IFERROR(__xludf.DUMMYFUNCTION("""COMPUTED_VALUE"""),499.0)</f>
        <v>499</v>
      </c>
    </row>
    <row r="481">
      <c r="A481" s="1">
        <v>2025.0</v>
      </c>
      <c r="B481" s="1" t="s">
        <v>696</v>
      </c>
      <c r="C481" s="1">
        <v>690829.0</v>
      </c>
      <c r="D481" s="1" t="s">
        <v>536</v>
      </c>
      <c r="E481" s="1" t="s">
        <v>927</v>
      </c>
      <c r="F481" s="1" t="s">
        <v>926</v>
      </c>
      <c r="G481" s="1">
        <v>20.0</v>
      </c>
      <c r="H481" s="1">
        <v>1.238095238</v>
      </c>
      <c r="I481" s="1">
        <v>4.71</v>
      </c>
      <c r="J481" s="1">
        <v>0.558659</v>
      </c>
      <c r="L481" s="10">
        <f>IFERROR(__xludf.DUMMYFUNCTION("""COMPUTED_VALUE"""),680694.0)</f>
        <v>680694</v>
      </c>
      <c r="M481" s="10">
        <f>IFERROR(__xludf.DUMMYFUNCTION("""COMPUTED_VALUE"""),494.0)</f>
        <v>494</v>
      </c>
    </row>
    <row r="482">
      <c r="A482" s="1">
        <v>2025.0</v>
      </c>
      <c r="B482" s="1" t="s">
        <v>696</v>
      </c>
      <c r="C482" s="1">
        <v>690829.0</v>
      </c>
      <c r="D482" s="1" t="s">
        <v>533</v>
      </c>
      <c r="E482" s="1" t="s">
        <v>927</v>
      </c>
      <c r="F482" s="1" t="s">
        <v>926</v>
      </c>
      <c r="G482" s="1">
        <v>1.0</v>
      </c>
      <c r="H482" s="1">
        <v>0.061904762</v>
      </c>
      <c r="I482" s="1">
        <v>6.6</v>
      </c>
      <c r="J482" s="1">
        <v>-0.008481</v>
      </c>
      <c r="L482" s="10">
        <f>IFERROR(__xludf.DUMMYFUNCTION("""COMPUTED_VALUE"""),669308.0)</f>
        <v>669308</v>
      </c>
      <c r="M482" s="10">
        <f>IFERROR(__xludf.DUMMYFUNCTION("""COMPUTED_VALUE"""),493.0)</f>
        <v>493</v>
      </c>
    </row>
    <row r="483">
      <c r="A483" s="1">
        <v>2025.0</v>
      </c>
      <c r="B483" s="1" t="s">
        <v>696</v>
      </c>
      <c r="C483" s="1">
        <v>690829.0</v>
      </c>
      <c r="D483" s="1" t="s">
        <v>532</v>
      </c>
      <c r="E483" s="1" t="s">
        <v>927</v>
      </c>
      <c r="F483" s="1" t="s">
        <v>927</v>
      </c>
      <c r="G483" s="1">
        <v>1.0</v>
      </c>
      <c r="H483" s="1">
        <v>0.061904762</v>
      </c>
      <c r="I483" s="1">
        <v>6.51</v>
      </c>
      <c r="J483" s="1">
        <v>-0.007912</v>
      </c>
      <c r="L483" s="10">
        <f>IFERROR(__xludf.DUMMYFUNCTION("""COMPUTED_VALUE"""),670059.0)</f>
        <v>670059</v>
      </c>
      <c r="M483" s="10">
        <f>IFERROR(__xludf.DUMMYFUNCTION("""COMPUTED_VALUE"""),492.0)</f>
        <v>492</v>
      </c>
    </row>
    <row r="484">
      <c r="A484" s="1">
        <v>2025.0</v>
      </c>
      <c r="B484" s="1" t="s">
        <v>696</v>
      </c>
      <c r="C484" s="1">
        <v>690829.0</v>
      </c>
      <c r="D484" s="1" t="s">
        <v>537</v>
      </c>
      <c r="E484" s="1" t="s">
        <v>927</v>
      </c>
      <c r="F484" s="1" t="s">
        <v>927</v>
      </c>
      <c r="G484" s="1">
        <v>13.0</v>
      </c>
      <c r="H484" s="1">
        <v>0.804761905</v>
      </c>
      <c r="I484" s="1">
        <v>5.3</v>
      </c>
      <c r="J484" s="1">
        <v>0.20547</v>
      </c>
      <c r="L484" s="10">
        <f>IFERROR(__xludf.DUMMYFUNCTION("""COMPUTED_VALUE"""),656464.0)</f>
        <v>656464</v>
      </c>
      <c r="M484" s="10">
        <f>IFERROR(__xludf.DUMMYFUNCTION("""COMPUTED_VALUE"""),491.0)</f>
        <v>491</v>
      </c>
    </row>
    <row r="485">
      <c r="A485" s="1">
        <v>2025.0</v>
      </c>
      <c r="B485" s="1" t="s">
        <v>696</v>
      </c>
      <c r="C485" s="1">
        <v>690829.0</v>
      </c>
      <c r="D485" s="1" t="s">
        <v>536</v>
      </c>
      <c r="E485" s="1" t="s">
        <v>927</v>
      </c>
      <c r="F485" s="1" t="s">
        <v>927</v>
      </c>
      <c r="G485" s="1">
        <v>12.0</v>
      </c>
      <c r="H485" s="1">
        <v>0.742857143</v>
      </c>
      <c r="I485" s="1">
        <v>5.07</v>
      </c>
      <c r="J485" s="1">
        <v>0.255098</v>
      </c>
      <c r="L485" s="10">
        <f>IFERROR(__xludf.DUMMYFUNCTION("""COMPUTED_VALUE"""),800049.0)</f>
        <v>800049</v>
      </c>
      <c r="M485" s="10">
        <f>IFERROR(__xludf.DUMMYFUNCTION("""COMPUTED_VALUE"""),489.0)</f>
        <v>489</v>
      </c>
    </row>
    <row r="486">
      <c r="A486" s="1">
        <v>2025.0</v>
      </c>
      <c r="B486" s="1" t="s">
        <v>696</v>
      </c>
      <c r="C486" s="1">
        <v>690829.0</v>
      </c>
      <c r="D486" s="1" t="s">
        <v>533</v>
      </c>
      <c r="E486" s="1" t="s">
        <v>927</v>
      </c>
      <c r="F486" s="1" t="s">
        <v>927</v>
      </c>
      <c r="G486" s="1">
        <v>1.0</v>
      </c>
      <c r="H486" s="1">
        <v>0.061904762</v>
      </c>
      <c r="I486" s="1">
        <v>6.89</v>
      </c>
      <c r="J486" s="1">
        <v>-0.014667</v>
      </c>
      <c r="L486" s="10">
        <f>IFERROR(__xludf.DUMMYFUNCTION("""COMPUTED_VALUE"""),677955.0)</f>
        <v>677955</v>
      </c>
      <c r="M486" s="10">
        <f>IFERROR(__xludf.DUMMYFUNCTION("""COMPUTED_VALUE"""),487.0)</f>
        <v>487</v>
      </c>
    </row>
    <row r="487">
      <c r="A487" s="1">
        <v>2025.0</v>
      </c>
      <c r="B487" s="1" t="s">
        <v>298</v>
      </c>
      <c r="C487" s="1">
        <v>594902.0</v>
      </c>
      <c r="D487" s="1" t="s">
        <v>532</v>
      </c>
      <c r="E487" s="1" t="s">
        <v>927</v>
      </c>
      <c r="F487" s="1" t="s">
        <v>926</v>
      </c>
      <c r="G487" s="1">
        <v>53.0</v>
      </c>
      <c r="H487" s="1">
        <v>3.29253593</v>
      </c>
      <c r="I487" s="1">
        <v>4.53</v>
      </c>
      <c r="J487" s="1">
        <v>1.65175</v>
      </c>
      <c r="L487" s="10">
        <f>IFERROR(__xludf.DUMMYFUNCTION("""COMPUTED_VALUE"""),669062.0)</f>
        <v>669062</v>
      </c>
      <c r="M487" s="10">
        <f>IFERROR(__xludf.DUMMYFUNCTION("""COMPUTED_VALUE"""),482.0)</f>
        <v>482</v>
      </c>
    </row>
    <row r="488">
      <c r="A488" s="1">
        <v>2025.0</v>
      </c>
      <c r="B488" s="1" t="s">
        <v>298</v>
      </c>
      <c r="C488" s="1">
        <v>594902.0</v>
      </c>
      <c r="D488" s="1" t="s">
        <v>541</v>
      </c>
      <c r="E488" s="1" t="s">
        <v>927</v>
      </c>
      <c r="F488" s="1" t="s">
        <v>926</v>
      </c>
      <c r="G488" s="1">
        <v>40.0</v>
      </c>
      <c r="H488" s="1">
        <v>2.484932777</v>
      </c>
      <c r="I488" s="1">
        <v>4.85</v>
      </c>
      <c r="J488" s="1">
        <v>0.959368</v>
      </c>
      <c r="L488" s="10">
        <f>IFERROR(__xludf.DUMMYFUNCTION("""COMPUTED_VALUE"""),685107.0)</f>
        <v>685107</v>
      </c>
      <c r="M488" s="10">
        <f>IFERROR(__xludf.DUMMYFUNCTION("""COMPUTED_VALUE"""),480.0)</f>
        <v>480</v>
      </c>
    </row>
    <row r="489">
      <c r="A489" s="1">
        <v>2025.0</v>
      </c>
      <c r="B489" s="1" t="s">
        <v>298</v>
      </c>
      <c r="C489" s="1">
        <v>594902.0</v>
      </c>
      <c r="D489" s="1" t="s">
        <v>540</v>
      </c>
      <c r="E489" s="1" t="s">
        <v>927</v>
      </c>
      <c r="F489" s="1" t="s">
        <v>926</v>
      </c>
      <c r="G489" s="1">
        <v>24.0</v>
      </c>
      <c r="H489" s="1">
        <v>1.490959666</v>
      </c>
      <c r="I489" s="1">
        <v>5.4</v>
      </c>
      <c r="J489" s="1">
        <v>0.342331</v>
      </c>
      <c r="L489" s="10">
        <f>IFERROR(__xludf.DUMMYFUNCTION("""COMPUTED_VALUE"""),676092.0)</f>
        <v>676092</v>
      </c>
      <c r="M489" s="10">
        <f>IFERROR(__xludf.DUMMYFUNCTION("""COMPUTED_VALUE"""),477.0)</f>
        <v>477</v>
      </c>
    </row>
    <row r="490">
      <c r="A490" s="1">
        <v>2025.0</v>
      </c>
      <c r="B490" s="1" t="s">
        <v>298</v>
      </c>
      <c r="C490" s="1">
        <v>594902.0</v>
      </c>
      <c r="D490" s="1" t="s">
        <v>537</v>
      </c>
      <c r="E490" s="1" t="s">
        <v>927</v>
      </c>
      <c r="F490" s="1" t="s">
        <v>926</v>
      </c>
      <c r="G490" s="1">
        <v>150.0</v>
      </c>
      <c r="H490" s="1">
        <v>9.318497914</v>
      </c>
      <c r="I490" s="1">
        <v>4.78</v>
      </c>
      <c r="J490" s="1">
        <v>4.073751</v>
      </c>
      <c r="L490" s="10">
        <f>IFERROR(__xludf.DUMMYFUNCTION("""COMPUTED_VALUE"""),687362.0)</f>
        <v>687362</v>
      </c>
      <c r="M490" s="10">
        <f>IFERROR(__xludf.DUMMYFUNCTION("""COMPUTED_VALUE"""),471.0)</f>
        <v>471</v>
      </c>
    </row>
    <row r="491">
      <c r="A491" s="1">
        <v>2025.0</v>
      </c>
      <c r="B491" s="1" t="s">
        <v>298</v>
      </c>
      <c r="C491" s="1">
        <v>594902.0</v>
      </c>
      <c r="D491" s="1" t="s">
        <v>536</v>
      </c>
      <c r="E491" s="1" t="s">
        <v>927</v>
      </c>
      <c r="F491" s="1" t="s">
        <v>926</v>
      </c>
      <c r="G491" s="1">
        <v>72.0</v>
      </c>
      <c r="H491" s="1">
        <v>4.472878999</v>
      </c>
      <c r="I491" s="1">
        <v>4.38</v>
      </c>
      <c r="J491" s="1">
        <v>2.478732</v>
      </c>
      <c r="L491" s="10">
        <f>IFERROR(__xludf.DUMMYFUNCTION("""COMPUTED_VALUE"""),664141.0)</f>
        <v>664141</v>
      </c>
      <c r="M491" s="10">
        <f>IFERROR(__xludf.DUMMYFUNCTION("""COMPUTED_VALUE"""),469.0)</f>
        <v>469</v>
      </c>
    </row>
    <row r="492">
      <c r="A492" s="1">
        <v>2025.0</v>
      </c>
      <c r="B492" s="1" t="s">
        <v>298</v>
      </c>
      <c r="C492" s="1">
        <v>594902.0</v>
      </c>
      <c r="D492" s="1" t="s">
        <v>539</v>
      </c>
      <c r="E492" s="1" t="s">
        <v>927</v>
      </c>
      <c r="F492" s="1" t="s">
        <v>926</v>
      </c>
      <c r="G492" s="1">
        <v>47.0</v>
      </c>
      <c r="H492" s="1">
        <v>2.919796013</v>
      </c>
      <c r="I492" s="1">
        <v>5.18</v>
      </c>
      <c r="J492" s="1">
        <v>0.841492</v>
      </c>
      <c r="L492" s="10">
        <f>IFERROR(__xludf.DUMMYFUNCTION("""COMPUTED_VALUE"""),642528.0)</f>
        <v>642528</v>
      </c>
      <c r="M492" s="10">
        <f>IFERROR(__xludf.DUMMYFUNCTION("""COMPUTED_VALUE"""),465.0)</f>
        <v>465</v>
      </c>
    </row>
    <row r="493">
      <c r="A493" s="1">
        <v>2025.0</v>
      </c>
      <c r="B493" s="1" t="s">
        <v>298</v>
      </c>
      <c r="C493" s="1">
        <v>594902.0</v>
      </c>
      <c r="D493" s="1" t="s">
        <v>532</v>
      </c>
      <c r="E493" s="1" t="s">
        <v>927</v>
      </c>
      <c r="F493" s="1" t="s">
        <v>927</v>
      </c>
      <c r="G493" s="1">
        <v>3.0</v>
      </c>
      <c r="H493" s="1">
        <v>0.186369958</v>
      </c>
      <c r="I493" s="1">
        <v>4.48</v>
      </c>
      <c r="J493" s="1">
        <v>0.10095</v>
      </c>
      <c r="L493" s="10">
        <f>IFERROR(__xludf.DUMMYFUNCTION("""COMPUTED_VALUE"""),690925.0)</f>
        <v>690925</v>
      </c>
      <c r="M493" s="10">
        <f>IFERROR(__xludf.DUMMYFUNCTION("""COMPUTED_VALUE"""),465.0)</f>
        <v>465</v>
      </c>
    </row>
    <row r="494">
      <c r="A494" s="1">
        <v>2025.0</v>
      </c>
      <c r="B494" s="1" t="s">
        <v>298</v>
      </c>
      <c r="C494" s="1">
        <v>594902.0</v>
      </c>
      <c r="D494" s="1" t="s">
        <v>541</v>
      </c>
      <c r="E494" s="1" t="s">
        <v>927</v>
      </c>
      <c r="F494" s="1" t="s">
        <v>927</v>
      </c>
      <c r="G494" s="1">
        <v>13.0</v>
      </c>
      <c r="H494" s="1">
        <v>0.807603153</v>
      </c>
      <c r="I494" s="1">
        <v>4.8</v>
      </c>
      <c r="J494" s="1">
        <v>0.315308</v>
      </c>
      <c r="L494" s="10">
        <f>IFERROR(__xludf.DUMMYFUNCTION("""COMPUTED_VALUE"""),687830.0)</f>
        <v>687830</v>
      </c>
      <c r="M494" s="10">
        <f>IFERROR(__xludf.DUMMYFUNCTION("""COMPUTED_VALUE"""),463.0)</f>
        <v>463</v>
      </c>
    </row>
    <row r="495">
      <c r="A495" s="1">
        <v>2025.0</v>
      </c>
      <c r="B495" s="1" t="s">
        <v>298</v>
      </c>
      <c r="C495" s="1">
        <v>594902.0</v>
      </c>
      <c r="D495" s="1" t="s">
        <v>540</v>
      </c>
      <c r="E495" s="1" t="s">
        <v>927</v>
      </c>
      <c r="F495" s="1" t="s">
        <v>927</v>
      </c>
      <c r="G495" s="1">
        <v>31.0</v>
      </c>
      <c r="H495" s="1">
        <v>1.925822902</v>
      </c>
      <c r="I495" s="1">
        <v>4.97</v>
      </c>
      <c r="J495" s="1">
        <v>0.691784</v>
      </c>
      <c r="L495" s="10">
        <f>IFERROR(__xludf.DUMMYFUNCTION("""COMPUTED_VALUE"""),608334.0)</f>
        <v>608334</v>
      </c>
      <c r="M495" s="10">
        <f>IFERROR(__xludf.DUMMYFUNCTION("""COMPUTED_VALUE"""),461.0)</f>
        <v>461</v>
      </c>
    </row>
    <row r="496">
      <c r="A496" s="1">
        <v>2025.0</v>
      </c>
      <c r="B496" s="1" t="s">
        <v>298</v>
      </c>
      <c r="C496" s="1">
        <v>594902.0</v>
      </c>
      <c r="D496" s="1" t="s">
        <v>537</v>
      </c>
      <c r="E496" s="1" t="s">
        <v>927</v>
      </c>
      <c r="F496" s="1" t="s">
        <v>927</v>
      </c>
      <c r="G496" s="1">
        <v>61.0</v>
      </c>
      <c r="H496" s="1">
        <v>3.789522485</v>
      </c>
      <c r="I496" s="1">
        <v>5.33</v>
      </c>
      <c r="J496" s="1">
        <v>0.987838</v>
      </c>
      <c r="L496" s="10">
        <f>IFERROR(__xludf.DUMMYFUNCTION("""COMPUTED_VALUE"""),667297.0)</f>
        <v>667297</v>
      </c>
      <c r="M496" s="10">
        <f>IFERROR(__xludf.DUMMYFUNCTION("""COMPUTED_VALUE"""),461.0)</f>
        <v>461</v>
      </c>
    </row>
    <row r="497">
      <c r="A497" s="1">
        <v>2025.0</v>
      </c>
      <c r="B497" s="1" t="s">
        <v>298</v>
      </c>
      <c r="C497" s="1">
        <v>594902.0</v>
      </c>
      <c r="D497" s="1" t="s">
        <v>536</v>
      </c>
      <c r="E497" s="1" t="s">
        <v>927</v>
      </c>
      <c r="F497" s="1" t="s">
        <v>927</v>
      </c>
      <c r="G497" s="1">
        <v>135.0</v>
      </c>
      <c r="H497" s="1">
        <v>8.386648122</v>
      </c>
      <c r="I497" s="1">
        <v>5.2</v>
      </c>
      <c r="J497" s="1">
        <v>2.343327</v>
      </c>
      <c r="L497" s="10">
        <f>IFERROR(__xludf.DUMMYFUNCTION("""COMPUTED_VALUE"""),696149.0)</f>
        <v>696149</v>
      </c>
      <c r="M497" s="10">
        <f>IFERROR(__xludf.DUMMYFUNCTION("""COMPUTED_VALUE"""),461.0)</f>
        <v>461</v>
      </c>
    </row>
    <row r="498">
      <c r="A498" s="1">
        <v>2025.0</v>
      </c>
      <c r="B498" s="1" t="s">
        <v>298</v>
      </c>
      <c r="C498" s="1">
        <v>594902.0</v>
      </c>
      <c r="D498" s="1" t="s">
        <v>533</v>
      </c>
      <c r="E498" s="1" t="s">
        <v>927</v>
      </c>
      <c r="F498" s="1" t="s">
        <v>927</v>
      </c>
      <c r="G498" s="1">
        <v>16.0</v>
      </c>
      <c r="H498" s="1">
        <v>0.993973111</v>
      </c>
      <c r="I498" s="1">
        <v>5.38</v>
      </c>
      <c r="J498" s="1">
        <v>0.23691</v>
      </c>
      <c r="L498" s="10">
        <f>IFERROR(__xludf.DUMMYFUNCTION("""COMPUTED_VALUE"""),694350.0)</f>
        <v>694350</v>
      </c>
      <c r="M498" s="10">
        <f>IFERROR(__xludf.DUMMYFUNCTION("""COMPUTED_VALUE"""),459.0)</f>
        <v>459</v>
      </c>
    </row>
    <row r="499">
      <c r="A499" s="1">
        <v>2025.0</v>
      </c>
      <c r="B499" s="1" t="s">
        <v>298</v>
      </c>
      <c r="C499" s="1">
        <v>594902.0</v>
      </c>
      <c r="D499" s="1" t="s">
        <v>539</v>
      </c>
      <c r="E499" s="1" t="s">
        <v>927</v>
      </c>
      <c r="F499" s="1" t="s">
        <v>927</v>
      </c>
      <c r="G499" s="1">
        <v>74.0</v>
      </c>
      <c r="H499" s="1">
        <v>4.597125637</v>
      </c>
      <c r="I499" s="1">
        <v>5.21</v>
      </c>
      <c r="J499" s="1">
        <v>1.313411</v>
      </c>
      <c r="L499" s="10">
        <f>IFERROR(__xludf.DUMMYFUNCTION("""COMPUTED_VALUE"""),605154.0)</f>
        <v>605154</v>
      </c>
      <c r="M499" s="10">
        <f>IFERROR(__xludf.DUMMYFUNCTION("""COMPUTED_VALUE"""),458.0)</f>
        <v>458</v>
      </c>
    </row>
    <row r="500">
      <c r="A500" s="1">
        <v>2025.0</v>
      </c>
      <c r="B500" s="1" t="s">
        <v>102</v>
      </c>
      <c r="C500" s="1">
        <v>656986.0</v>
      </c>
      <c r="D500" s="1" t="s">
        <v>537</v>
      </c>
      <c r="E500" s="1" t="s">
        <v>926</v>
      </c>
      <c r="F500" s="1" t="s">
        <v>926</v>
      </c>
      <c r="G500" s="1">
        <v>90.0</v>
      </c>
      <c r="H500" s="1">
        <v>6.272352132</v>
      </c>
      <c r="I500" s="1">
        <v>5.24</v>
      </c>
      <c r="J500" s="1">
        <v>1.615714</v>
      </c>
      <c r="L500" s="10">
        <f>IFERROR(__xludf.DUMMYFUNCTION("""COMPUTED_VALUE"""),621237.0)</f>
        <v>621237</v>
      </c>
      <c r="M500" s="10">
        <f>IFERROR(__xludf.DUMMYFUNCTION("""COMPUTED_VALUE"""),457.0)</f>
        <v>457</v>
      </c>
    </row>
    <row r="501">
      <c r="A501" s="1">
        <v>2025.0</v>
      </c>
      <c r="B501" s="1" t="s">
        <v>102</v>
      </c>
      <c r="C501" s="1">
        <v>656986.0</v>
      </c>
      <c r="D501" s="1" t="s">
        <v>536</v>
      </c>
      <c r="E501" s="1" t="s">
        <v>926</v>
      </c>
      <c r="F501" s="1" t="s">
        <v>926</v>
      </c>
      <c r="G501" s="1">
        <v>8.0</v>
      </c>
      <c r="H501" s="1">
        <v>0.557542412</v>
      </c>
      <c r="I501" s="1">
        <v>3.8</v>
      </c>
      <c r="J501" s="1">
        <v>0.381896</v>
      </c>
      <c r="L501" s="10">
        <f>IFERROR(__xludf.DUMMYFUNCTION("""COMPUTED_VALUE"""),656186.0)</f>
        <v>656186</v>
      </c>
      <c r="M501" s="10">
        <f>IFERROR(__xludf.DUMMYFUNCTION("""COMPUTED_VALUE"""),456.0)</f>
        <v>456</v>
      </c>
    </row>
    <row r="502">
      <c r="A502" s="1">
        <v>2025.0</v>
      </c>
      <c r="B502" s="1" t="s">
        <v>102</v>
      </c>
      <c r="C502" s="1">
        <v>656986.0</v>
      </c>
      <c r="D502" s="1" t="s">
        <v>533</v>
      </c>
      <c r="E502" s="1" t="s">
        <v>926</v>
      </c>
      <c r="F502" s="1" t="s">
        <v>926</v>
      </c>
      <c r="G502" s="1">
        <v>156.0</v>
      </c>
      <c r="H502" s="1">
        <v>10.87207703</v>
      </c>
      <c r="I502" s="1">
        <v>5.46</v>
      </c>
      <c r="J502" s="1">
        <v>1.89887</v>
      </c>
      <c r="L502" s="10">
        <f>IFERROR(__xludf.DUMMYFUNCTION("""COMPUTED_VALUE"""),606303.0)</f>
        <v>606303</v>
      </c>
      <c r="M502" s="10">
        <f>IFERROR(__xludf.DUMMYFUNCTION("""COMPUTED_VALUE"""),449.0)</f>
        <v>449</v>
      </c>
    </row>
    <row r="503">
      <c r="A503" s="1">
        <v>2025.0</v>
      </c>
      <c r="B503" s="1" t="s">
        <v>102</v>
      </c>
      <c r="C503" s="1">
        <v>656986.0</v>
      </c>
      <c r="D503" s="1" t="s">
        <v>537</v>
      </c>
      <c r="E503" s="1" t="s">
        <v>926</v>
      </c>
      <c r="F503" s="1" t="s">
        <v>927</v>
      </c>
      <c r="G503" s="1">
        <v>204.0</v>
      </c>
      <c r="H503" s="1">
        <v>14.2173315</v>
      </c>
      <c r="I503" s="1">
        <v>4.87</v>
      </c>
      <c r="J503" s="1">
        <v>5.120941</v>
      </c>
      <c r="L503" s="10">
        <f>IFERROR(__xludf.DUMMYFUNCTION("""COMPUTED_VALUE"""),687606.0)</f>
        <v>687606</v>
      </c>
      <c r="M503" s="10">
        <f>IFERROR(__xludf.DUMMYFUNCTION("""COMPUTED_VALUE"""),448.0)</f>
        <v>448</v>
      </c>
    </row>
    <row r="504">
      <c r="A504" s="1">
        <v>2025.0</v>
      </c>
      <c r="B504" s="1" t="s">
        <v>102</v>
      </c>
      <c r="C504" s="1">
        <v>656986.0</v>
      </c>
      <c r="D504" s="1" t="s">
        <v>536</v>
      </c>
      <c r="E504" s="1" t="s">
        <v>926</v>
      </c>
      <c r="F504" s="1" t="s">
        <v>927</v>
      </c>
      <c r="G504" s="1">
        <v>2.0</v>
      </c>
      <c r="H504" s="1">
        <v>0.139385603</v>
      </c>
      <c r="I504" s="1">
        <v>4.59</v>
      </c>
      <c r="J504" s="1">
        <v>0.064473</v>
      </c>
      <c r="L504" s="10">
        <f>IFERROR(__xludf.DUMMYFUNCTION("""COMPUTED_VALUE"""),621199.0)</f>
        <v>621199</v>
      </c>
      <c r="M504" s="10">
        <f>IFERROR(__xludf.DUMMYFUNCTION("""COMPUTED_VALUE"""),447.0)</f>
        <v>447</v>
      </c>
    </row>
    <row r="505">
      <c r="A505" s="1">
        <v>2025.0</v>
      </c>
      <c r="B505" s="1" t="s">
        <v>102</v>
      </c>
      <c r="C505" s="1">
        <v>656986.0</v>
      </c>
      <c r="D505" s="1" t="s">
        <v>533</v>
      </c>
      <c r="E505" s="1" t="s">
        <v>926</v>
      </c>
      <c r="F505" s="1" t="s">
        <v>927</v>
      </c>
      <c r="G505" s="1">
        <v>267.0</v>
      </c>
      <c r="H505" s="1">
        <v>18.60797799</v>
      </c>
      <c r="I505" s="1">
        <v>5.02</v>
      </c>
      <c r="J505" s="1">
        <v>5.696014</v>
      </c>
      <c r="L505" s="10">
        <f>IFERROR(__xludf.DUMMYFUNCTION("""COMPUTED_VALUE"""),687922.0)</f>
        <v>687922</v>
      </c>
      <c r="M505" s="10">
        <f>IFERROR(__xludf.DUMMYFUNCTION("""COMPUTED_VALUE"""),438.0)</f>
        <v>438</v>
      </c>
    </row>
    <row r="506">
      <c r="A506" s="1">
        <v>2025.0</v>
      </c>
      <c r="B506" s="1" t="s">
        <v>574</v>
      </c>
      <c r="C506" s="1">
        <v>694918.0</v>
      </c>
      <c r="D506" s="1" t="s">
        <v>532</v>
      </c>
      <c r="E506" s="1" t="s">
        <v>927</v>
      </c>
      <c r="F506" s="1" t="s">
        <v>926</v>
      </c>
      <c r="G506" s="1">
        <v>10.0</v>
      </c>
      <c r="H506" s="1">
        <v>0.487012987</v>
      </c>
      <c r="I506" s="1">
        <v>4.5</v>
      </c>
      <c r="J506" s="1">
        <v>0.313924</v>
      </c>
      <c r="L506" s="10">
        <f>IFERROR(__xludf.DUMMYFUNCTION("""COMPUTED_VALUE"""),672335.0)</f>
        <v>672335</v>
      </c>
      <c r="M506" s="10">
        <f>IFERROR(__xludf.DUMMYFUNCTION("""COMPUTED_VALUE"""),437.0)</f>
        <v>437</v>
      </c>
    </row>
    <row r="507">
      <c r="A507" s="1">
        <v>2025.0</v>
      </c>
      <c r="B507" s="1" t="s">
        <v>574</v>
      </c>
      <c r="C507" s="1">
        <v>694918.0</v>
      </c>
      <c r="D507" s="1" t="s">
        <v>540</v>
      </c>
      <c r="E507" s="1" t="s">
        <v>927</v>
      </c>
      <c r="F507" s="1" t="s">
        <v>926</v>
      </c>
      <c r="G507" s="1">
        <v>2.0</v>
      </c>
      <c r="H507" s="1">
        <v>0.097402597</v>
      </c>
      <c r="I507" s="1">
        <v>3.67</v>
      </c>
      <c r="J507" s="1">
        <v>0.086398</v>
      </c>
      <c r="L507" s="10">
        <f>IFERROR(__xludf.DUMMYFUNCTION("""COMPUTED_VALUE"""),678821.0)</f>
        <v>678821</v>
      </c>
      <c r="M507" s="10">
        <f>IFERROR(__xludf.DUMMYFUNCTION("""COMPUTED_VALUE"""),436.0)</f>
        <v>436</v>
      </c>
    </row>
    <row r="508">
      <c r="A508" s="1">
        <v>2025.0</v>
      </c>
      <c r="B508" s="1" t="s">
        <v>574</v>
      </c>
      <c r="C508" s="1">
        <v>694918.0</v>
      </c>
      <c r="D508" s="1" t="s">
        <v>537</v>
      </c>
      <c r="E508" s="1" t="s">
        <v>927</v>
      </c>
      <c r="F508" s="1" t="s">
        <v>926</v>
      </c>
      <c r="G508" s="1">
        <v>54.0</v>
      </c>
      <c r="H508" s="1">
        <v>2.62987013</v>
      </c>
      <c r="I508" s="1">
        <v>5.11</v>
      </c>
      <c r="J508" s="1">
        <v>1.087898</v>
      </c>
      <c r="L508" s="10">
        <f>IFERROR(__xludf.DUMMYFUNCTION("""COMPUTED_VALUE"""),655889.0)</f>
        <v>655889</v>
      </c>
      <c r="M508" s="10">
        <f>IFERROR(__xludf.DUMMYFUNCTION("""COMPUTED_VALUE"""),431.0)</f>
        <v>431</v>
      </c>
    </row>
    <row r="509">
      <c r="A509" s="1">
        <v>2025.0</v>
      </c>
      <c r="B509" s="1" t="s">
        <v>574</v>
      </c>
      <c r="C509" s="1">
        <v>694918.0</v>
      </c>
      <c r="D509" s="1" t="s">
        <v>536</v>
      </c>
      <c r="E509" s="1" t="s">
        <v>927</v>
      </c>
      <c r="F509" s="1" t="s">
        <v>926</v>
      </c>
      <c r="G509" s="1">
        <v>6.0</v>
      </c>
      <c r="H509" s="1">
        <v>0.292207792</v>
      </c>
      <c r="I509" s="1">
        <v>5.26</v>
      </c>
      <c r="J509" s="1">
        <v>0.107192</v>
      </c>
      <c r="L509" s="10">
        <f>IFERROR(__xludf.DUMMYFUNCTION("""COMPUTED_VALUE"""),686930.0)</f>
        <v>686930</v>
      </c>
      <c r="M509" s="10">
        <f>IFERROR(__xludf.DUMMYFUNCTION("""COMPUTED_VALUE"""),431.0)</f>
        <v>431</v>
      </c>
    </row>
    <row r="510">
      <c r="A510" s="1">
        <v>2025.0</v>
      </c>
      <c r="B510" s="1" t="s">
        <v>574</v>
      </c>
      <c r="C510" s="1">
        <v>694918.0</v>
      </c>
      <c r="D510" s="1" t="s">
        <v>533</v>
      </c>
      <c r="E510" s="1" t="s">
        <v>927</v>
      </c>
      <c r="F510" s="1" t="s">
        <v>926</v>
      </c>
      <c r="G510" s="1">
        <v>25.0</v>
      </c>
      <c r="H510" s="1">
        <v>1.217532468</v>
      </c>
      <c r="I510" s="1">
        <v>3.92</v>
      </c>
      <c r="J510" s="1">
        <v>1.065761</v>
      </c>
      <c r="L510" s="10">
        <f>IFERROR(__xludf.DUMMYFUNCTION("""COMPUTED_VALUE"""),679775.0)</f>
        <v>679775</v>
      </c>
      <c r="M510" s="10">
        <f>IFERROR(__xludf.DUMMYFUNCTION("""COMPUTED_VALUE"""),430.0)</f>
        <v>430</v>
      </c>
    </row>
    <row r="511">
      <c r="A511" s="1">
        <v>2025.0</v>
      </c>
      <c r="B511" s="1" t="s">
        <v>574</v>
      </c>
      <c r="C511" s="1">
        <v>694918.0</v>
      </c>
      <c r="D511" s="1" t="s">
        <v>539</v>
      </c>
      <c r="E511" s="1" t="s">
        <v>927</v>
      </c>
      <c r="F511" s="1" t="s">
        <v>926</v>
      </c>
      <c r="G511" s="1">
        <v>18.0</v>
      </c>
      <c r="H511" s="1">
        <v>0.876623377</v>
      </c>
      <c r="I511" s="1">
        <v>5.87</v>
      </c>
      <c r="J511" s="1">
        <v>0.097449</v>
      </c>
      <c r="L511" s="10">
        <f>IFERROR(__xludf.DUMMYFUNCTION("""COMPUTED_VALUE"""),680735.0)</f>
        <v>680735</v>
      </c>
      <c r="M511" s="10">
        <f>IFERROR(__xludf.DUMMYFUNCTION("""COMPUTED_VALUE"""),427.0)</f>
        <v>427</v>
      </c>
    </row>
    <row r="512">
      <c r="A512" s="1">
        <v>2025.0</v>
      </c>
      <c r="B512" s="1" t="s">
        <v>574</v>
      </c>
      <c r="C512" s="1">
        <v>694918.0</v>
      </c>
      <c r="D512" s="1" t="s">
        <v>540</v>
      </c>
      <c r="E512" s="1" t="s">
        <v>927</v>
      </c>
      <c r="F512" s="1" t="s">
        <v>927</v>
      </c>
      <c r="G512" s="1">
        <v>1.0</v>
      </c>
      <c r="H512" s="1">
        <v>0.048701299</v>
      </c>
      <c r="I512" s="1">
        <v>4.06</v>
      </c>
      <c r="J512" s="1">
        <v>0.041628</v>
      </c>
      <c r="L512" s="10">
        <f>IFERROR(__xludf.DUMMYFUNCTION("""COMPUTED_VALUE"""),685314.0)</f>
        <v>685314</v>
      </c>
      <c r="M512" s="10">
        <f>IFERROR(__xludf.DUMMYFUNCTION("""COMPUTED_VALUE"""),426.0)</f>
        <v>426</v>
      </c>
    </row>
    <row r="513">
      <c r="A513" s="1">
        <v>2025.0</v>
      </c>
      <c r="B513" s="1" t="s">
        <v>574</v>
      </c>
      <c r="C513" s="1">
        <v>694918.0</v>
      </c>
      <c r="D513" s="1" t="s">
        <v>537</v>
      </c>
      <c r="E513" s="1" t="s">
        <v>927</v>
      </c>
      <c r="F513" s="1" t="s">
        <v>927</v>
      </c>
      <c r="G513" s="1">
        <v>67.0</v>
      </c>
      <c r="H513" s="1">
        <v>3.262987013</v>
      </c>
      <c r="I513" s="1">
        <v>5.0</v>
      </c>
      <c r="J513" s="1">
        <v>1.495511</v>
      </c>
      <c r="L513" s="10">
        <f>IFERROR(__xludf.DUMMYFUNCTION("""COMPUTED_VALUE"""),676571.0)</f>
        <v>676571</v>
      </c>
      <c r="M513" s="10">
        <f>IFERROR(__xludf.DUMMYFUNCTION("""COMPUTED_VALUE"""),419.0)</f>
        <v>419</v>
      </c>
    </row>
    <row r="514">
      <c r="A514" s="1">
        <v>2025.0</v>
      </c>
      <c r="B514" s="1" t="s">
        <v>574</v>
      </c>
      <c r="C514" s="1">
        <v>694918.0</v>
      </c>
      <c r="D514" s="1" t="s">
        <v>536</v>
      </c>
      <c r="E514" s="1" t="s">
        <v>927</v>
      </c>
      <c r="F514" s="1" t="s">
        <v>927</v>
      </c>
      <c r="G514" s="1">
        <v>50.0</v>
      </c>
      <c r="H514" s="1">
        <v>2.435064935</v>
      </c>
      <c r="I514" s="1">
        <v>4.99</v>
      </c>
      <c r="J514" s="1">
        <v>1.099942</v>
      </c>
      <c r="L514" s="10">
        <f>IFERROR(__xludf.DUMMYFUNCTION("""COMPUTED_VALUE"""),674841.0)</f>
        <v>674841</v>
      </c>
      <c r="M514" s="10">
        <f>IFERROR(__xludf.DUMMYFUNCTION("""COMPUTED_VALUE"""),417.0)</f>
        <v>417</v>
      </c>
    </row>
    <row r="515">
      <c r="A515" s="1">
        <v>2025.0</v>
      </c>
      <c r="B515" s="1" t="s">
        <v>574</v>
      </c>
      <c r="C515" s="1">
        <v>694918.0</v>
      </c>
      <c r="D515" s="1" t="s">
        <v>533</v>
      </c>
      <c r="E515" s="1" t="s">
        <v>927</v>
      </c>
      <c r="F515" s="1" t="s">
        <v>927</v>
      </c>
      <c r="G515" s="1">
        <v>42.0</v>
      </c>
      <c r="H515" s="1">
        <v>2.045454545</v>
      </c>
      <c r="I515" s="1">
        <v>5.09</v>
      </c>
      <c r="J515" s="1">
        <v>0.823808</v>
      </c>
      <c r="L515" s="10">
        <f>IFERROR(__xludf.DUMMYFUNCTION("""COMPUTED_VALUE"""),682825.0)</f>
        <v>682825</v>
      </c>
      <c r="M515" s="10">
        <f>IFERROR(__xludf.DUMMYFUNCTION("""COMPUTED_VALUE"""),414.0)</f>
        <v>414</v>
      </c>
    </row>
    <row r="516">
      <c r="A516" s="1">
        <v>2025.0</v>
      </c>
      <c r="B516" s="1" t="s">
        <v>574</v>
      </c>
      <c r="C516" s="1">
        <v>694918.0</v>
      </c>
      <c r="D516" s="1" t="s">
        <v>539</v>
      </c>
      <c r="E516" s="1" t="s">
        <v>927</v>
      </c>
      <c r="F516" s="1" t="s">
        <v>927</v>
      </c>
      <c r="G516" s="1">
        <v>33.0</v>
      </c>
      <c r="H516" s="1">
        <v>1.607142857</v>
      </c>
      <c r="I516" s="1">
        <v>4.88</v>
      </c>
      <c r="J516" s="1">
        <v>0.755219</v>
      </c>
      <c r="L516" s="10">
        <f>IFERROR(__xludf.DUMMYFUNCTION("""COMPUTED_VALUE"""),608717.0)</f>
        <v>608717</v>
      </c>
      <c r="M516" s="10">
        <f>IFERROR(__xludf.DUMMYFUNCTION("""COMPUTED_VALUE"""),411.0)</f>
        <v>411</v>
      </c>
    </row>
    <row r="517">
      <c r="A517" s="1">
        <v>2025.0</v>
      </c>
      <c r="B517" s="1" t="s">
        <v>159</v>
      </c>
      <c r="C517" s="1">
        <v>605483.0</v>
      </c>
      <c r="D517" s="1" t="s">
        <v>532</v>
      </c>
      <c r="E517" s="1" t="s">
        <v>926</v>
      </c>
      <c r="F517" s="1" t="s">
        <v>926</v>
      </c>
      <c r="G517" s="1">
        <v>5.0</v>
      </c>
      <c r="H517" s="1">
        <v>0.298313878</v>
      </c>
      <c r="I517" s="1">
        <v>2.99</v>
      </c>
      <c r="J517" s="1">
        <v>0.293138</v>
      </c>
      <c r="L517" s="10">
        <f>IFERROR(__xludf.DUMMYFUNCTION("""COMPUTED_VALUE"""),701656.0)</f>
        <v>701656</v>
      </c>
      <c r="M517" s="10">
        <f>IFERROR(__xludf.DUMMYFUNCTION("""COMPUTED_VALUE"""),410.0)</f>
        <v>410</v>
      </c>
    </row>
    <row r="518">
      <c r="A518" s="1">
        <v>2025.0</v>
      </c>
      <c r="B518" s="1" t="s">
        <v>159</v>
      </c>
      <c r="C518" s="1">
        <v>605483.0</v>
      </c>
      <c r="D518" s="1" t="s">
        <v>541</v>
      </c>
      <c r="E518" s="1" t="s">
        <v>926</v>
      </c>
      <c r="F518" s="1" t="s">
        <v>926</v>
      </c>
      <c r="G518" s="1">
        <v>48.0</v>
      </c>
      <c r="H518" s="1">
        <v>2.86381323</v>
      </c>
      <c r="I518" s="1">
        <v>5.02</v>
      </c>
      <c r="J518" s="1">
        <v>0.910453</v>
      </c>
      <c r="L518" s="10">
        <f>IFERROR(__xludf.DUMMYFUNCTION("""COMPUTED_VALUE"""),686826.0)</f>
        <v>686826</v>
      </c>
      <c r="M518" s="10">
        <f>IFERROR(__xludf.DUMMYFUNCTION("""COMPUTED_VALUE"""),409.0)</f>
        <v>409</v>
      </c>
    </row>
    <row r="519">
      <c r="A519" s="1">
        <v>2025.0</v>
      </c>
      <c r="B519" s="1" t="s">
        <v>159</v>
      </c>
      <c r="C519" s="1">
        <v>605483.0</v>
      </c>
      <c r="D519" s="1" t="s">
        <v>537</v>
      </c>
      <c r="E519" s="1" t="s">
        <v>926</v>
      </c>
      <c r="F519" s="1" t="s">
        <v>926</v>
      </c>
      <c r="G519" s="1">
        <v>107.0</v>
      </c>
      <c r="H519" s="1">
        <v>6.383916991</v>
      </c>
      <c r="I519" s="1">
        <v>4.94</v>
      </c>
      <c r="J519" s="1">
        <v>2.324501</v>
      </c>
      <c r="L519" s="10">
        <f>IFERROR(__xludf.DUMMYFUNCTION("""COMPUTED_VALUE"""),687931.0)</f>
        <v>687931</v>
      </c>
      <c r="M519" s="10">
        <f>IFERROR(__xludf.DUMMYFUNCTION("""COMPUTED_VALUE"""),408.0)</f>
        <v>408</v>
      </c>
    </row>
    <row r="520">
      <c r="A520" s="1">
        <v>2025.0</v>
      </c>
      <c r="B520" s="1" t="s">
        <v>159</v>
      </c>
      <c r="C520" s="1">
        <v>605483.0</v>
      </c>
      <c r="D520" s="1" t="s">
        <v>533</v>
      </c>
      <c r="E520" s="1" t="s">
        <v>926</v>
      </c>
      <c r="F520" s="1" t="s">
        <v>926</v>
      </c>
      <c r="G520" s="1">
        <v>83.0</v>
      </c>
      <c r="H520" s="1">
        <v>4.952010376</v>
      </c>
      <c r="I520" s="1">
        <v>5.08</v>
      </c>
      <c r="J520" s="1">
        <v>1.550223</v>
      </c>
      <c r="L520" s="10">
        <f>IFERROR(__xludf.DUMMYFUNCTION("""COMPUTED_VALUE"""),669704.0)</f>
        <v>669704</v>
      </c>
      <c r="M520" s="10">
        <f>IFERROR(__xludf.DUMMYFUNCTION("""COMPUTED_VALUE"""),406.0)</f>
        <v>406</v>
      </c>
    </row>
    <row r="521">
      <c r="A521" s="1">
        <v>2025.0</v>
      </c>
      <c r="B521" s="1" t="s">
        <v>159</v>
      </c>
      <c r="C521" s="1">
        <v>605483.0</v>
      </c>
      <c r="D521" s="1" t="s">
        <v>532</v>
      </c>
      <c r="E521" s="1" t="s">
        <v>926</v>
      </c>
      <c r="F521" s="1" t="s">
        <v>927</v>
      </c>
      <c r="G521" s="1">
        <v>238.0</v>
      </c>
      <c r="H521" s="1">
        <v>14.1997406</v>
      </c>
      <c r="I521" s="1">
        <v>5.42</v>
      </c>
      <c r="J521" s="1">
        <v>2.963917</v>
      </c>
      <c r="L521" s="10">
        <f>IFERROR(__xludf.DUMMYFUNCTION("""COMPUTED_VALUE"""),689225.0)</f>
        <v>689225</v>
      </c>
      <c r="M521" s="10">
        <f>IFERROR(__xludf.DUMMYFUNCTION("""COMPUTED_VALUE"""),405.0)</f>
        <v>405</v>
      </c>
    </row>
    <row r="522">
      <c r="A522" s="1">
        <v>2025.0</v>
      </c>
      <c r="B522" s="1" t="s">
        <v>159</v>
      </c>
      <c r="C522" s="1">
        <v>605483.0</v>
      </c>
      <c r="D522" s="1" t="s">
        <v>541</v>
      </c>
      <c r="E522" s="1" t="s">
        <v>926</v>
      </c>
      <c r="F522" s="1" t="s">
        <v>927</v>
      </c>
      <c r="G522" s="1">
        <v>175.0</v>
      </c>
      <c r="H522" s="1">
        <v>10.44098573</v>
      </c>
      <c r="I522" s="1">
        <v>5.15</v>
      </c>
      <c r="J522" s="1">
        <v>2.937605</v>
      </c>
      <c r="L522" s="10">
        <f>IFERROR(__xludf.DUMMYFUNCTION("""COMPUTED_VALUE"""),815083.0)</f>
        <v>815083</v>
      </c>
      <c r="M522" s="10">
        <f>IFERROR(__xludf.DUMMYFUNCTION("""COMPUTED_VALUE"""),405.0)</f>
        <v>405</v>
      </c>
    </row>
    <row r="523">
      <c r="A523" s="1">
        <v>2025.0</v>
      </c>
      <c r="B523" s="1" t="s">
        <v>159</v>
      </c>
      <c r="C523" s="1">
        <v>605483.0</v>
      </c>
      <c r="D523" s="1" t="s">
        <v>537</v>
      </c>
      <c r="E523" s="1" t="s">
        <v>926</v>
      </c>
      <c r="F523" s="1" t="s">
        <v>927</v>
      </c>
      <c r="G523" s="1">
        <v>341.0</v>
      </c>
      <c r="H523" s="1">
        <v>20.34500649</v>
      </c>
      <c r="I523" s="1">
        <v>5.01</v>
      </c>
      <c r="J523" s="1">
        <v>7.186586</v>
      </c>
      <c r="L523" s="10">
        <f>IFERROR(__xludf.DUMMYFUNCTION("""COMPUTED_VALUE"""),518489.0)</f>
        <v>518489</v>
      </c>
      <c r="M523" s="10">
        <f>IFERROR(__xludf.DUMMYFUNCTION("""COMPUTED_VALUE"""),404.0)</f>
        <v>404</v>
      </c>
    </row>
    <row r="524">
      <c r="A524" s="1">
        <v>2025.0</v>
      </c>
      <c r="B524" s="1" t="s">
        <v>159</v>
      </c>
      <c r="C524" s="1">
        <v>605483.0</v>
      </c>
      <c r="D524" s="1" t="s">
        <v>533</v>
      </c>
      <c r="E524" s="1" t="s">
        <v>926</v>
      </c>
      <c r="F524" s="1" t="s">
        <v>927</v>
      </c>
      <c r="G524" s="1">
        <v>31.0</v>
      </c>
      <c r="H524" s="1">
        <v>1.849546044</v>
      </c>
      <c r="I524" s="1">
        <v>4.3</v>
      </c>
      <c r="J524" s="1">
        <v>1.064772</v>
      </c>
      <c r="L524" s="10">
        <f>IFERROR(__xludf.DUMMYFUNCTION("""COMPUTED_VALUE"""),543859.0)</f>
        <v>543859</v>
      </c>
      <c r="M524" s="10">
        <f>IFERROR(__xludf.DUMMYFUNCTION("""COMPUTED_VALUE"""),397.0)</f>
        <v>397</v>
      </c>
    </row>
    <row r="525">
      <c r="A525" s="1">
        <v>2025.0</v>
      </c>
      <c r="B525" s="1" t="s">
        <v>630</v>
      </c>
      <c r="C525" s="1">
        <v>595014.0</v>
      </c>
      <c r="D525" s="1" t="s">
        <v>540</v>
      </c>
      <c r="E525" s="1" t="s">
        <v>927</v>
      </c>
      <c r="F525" s="1" t="s">
        <v>926</v>
      </c>
      <c r="G525" s="1">
        <v>47.0</v>
      </c>
      <c r="H525" s="1">
        <v>2.45270711</v>
      </c>
      <c r="I525" s="1">
        <v>4.83</v>
      </c>
      <c r="J525" s="1">
        <v>1.241593</v>
      </c>
      <c r="L525" s="10">
        <f>IFERROR(__xludf.DUMMYFUNCTION("""COMPUTED_VALUE"""),688297.0)</f>
        <v>688297</v>
      </c>
      <c r="M525" s="10">
        <f>IFERROR(__xludf.DUMMYFUNCTION("""COMPUTED_VALUE"""),394.0)</f>
        <v>394</v>
      </c>
    </row>
    <row r="526">
      <c r="A526" s="1">
        <v>2025.0</v>
      </c>
      <c r="B526" s="1" t="s">
        <v>630</v>
      </c>
      <c r="C526" s="1">
        <v>595014.0</v>
      </c>
      <c r="D526" s="1" t="s">
        <v>537</v>
      </c>
      <c r="E526" s="1" t="s">
        <v>927</v>
      </c>
      <c r="F526" s="1" t="s">
        <v>926</v>
      </c>
      <c r="G526" s="1">
        <v>42.0</v>
      </c>
      <c r="H526" s="1">
        <v>2.191780822</v>
      </c>
      <c r="I526" s="1">
        <v>4.12</v>
      </c>
      <c r="J526" s="1">
        <v>1.643554</v>
      </c>
      <c r="L526" s="10">
        <f>IFERROR(__xludf.DUMMYFUNCTION("""COMPUTED_VALUE"""),668716.0)</f>
        <v>668716</v>
      </c>
      <c r="M526" s="10">
        <f>IFERROR(__xludf.DUMMYFUNCTION("""COMPUTED_VALUE"""),392.0)</f>
        <v>392</v>
      </c>
    </row>
    <row r="527">
      <c r="A527" s="1">
        <v>2025.0</v>
      </c>
      <c r="B527" s="1" t="s">
        <v>630</v>
      </c>
      <c r="C527" s="1">
        <v>595014.0</v>
      </c>
      <c r="D527" s="1" t="s">
        <v>536</v>
      </c>
      <c r="E527" s="1" t="s">
        <v>927</v>
      </c>
      <c r="F527" s="1" t="s">
        <v>926</v>
      </c>
      <c r="G527" s="1">
        <v>31.0</v>
      </c>
      <c r="H527" s="1">
        <v>1.617742988</v>
      </c>
      <c r="I527" s="1">
        <v>4.35</v>
      </c>
      <c r="J527" s="1">
        <v>1.091794</v>
      </c>
      <c r="L527" s="10">
        <f>IFERROR(__xludf.DUMMYFUNCTION("""COMPUTED_VALUE"""),548384.0)</f>
        <v>548384</v>
      </c>
      <c r="M527" s="10">
        <f>IFERROR(__xludf.DUMMYFUNCTION("""COMPUTED_VALUE"""),388.0)</f>
        <v>388</v>
      </c>
    </row>
    <row r="528">
      <c r="A528" s="1">
        <v>2025.0</v>
      </c>
      <c r="B528" s="1" t="s">
        <v>630</v>
      </c>
      <c r="C528" s="1">
        <v>595014.0</v>
      </c>
      <c r="D528" s="1" t="s">
        <v>539</v>
      </c>
      <c r="E528" s="1" t="s">
        <v>927</v>
      </c>
      <c r="F528" s="1" t="s">
        <v>926</v>
      </c>
      <c r="G528" s="1">
        <v>92.0</v>
      </c>
      <c r="H528" s="1">
        <v>4.801043705</v>
      </c>
      <c r="I528" s="1">
        <v>4.98</v>
      </c>
      <c r="J528" s="1">
        <v>1.978433</v>
      </c>
      <c r="L528" s="10">
        <f>IFERROR(__xludf.DUMMYFUNCTION("""COMPUTED_VALUE"""),664139.0)</f>
        <v>664139</v>
      </c>
      <c r="M528" s="10">
        <f>IFERROR(__xludf.DUMMYFUNCTION("""COMPUTED_VALUE"""),388.0)</f>
        <v>388</v>
      </c>
    </row>
    <row r="529">
      <c r="A529" s="1">
        <v>2025.0</v>
      </c>
      <c r="B529" s="1" t="s">
        <v>630</v>
      </c>
      <c r="C529" s="1">
        <v>595014.0</v>
      </c>
      <c r="D529" s="1" t="s">
        <v>540</v>
      </c>
      <c r="E529" s="1" t="s">
        <v>927</v>
      </c>
      <c r="F529" s="1" t="s">
        <v>927</v>
      </c>
      <c r="G529" s="1">
        <v>10.0</v>
      </c>
      <c r="H529" s="1">
        <v>0.521852577</v>
      </c>
      <c r="I529" s="1">
        <v>5.17</v>
      </c>
      <c r="J529" s="1">
        <v>0.204923</v>
      </c>
      <c r="L529" s="10">
        <f>IFERROR(__xludf.DUMMYFUNCTION("""COMPUTED_VALUE"""),605347.0)</f>
        <v>605347</v>
      </c>
      <c r="M529" s="10">
        <f>IFERROR(__xludf.DUMMYFUNCTION("""COMPUTED_VALUE"""),387.0)</f>
        <v>387</v>
      </c>
    </row>
    <row r="530">
      <c r="A530" s="1">
        <v>2025.0</v>
      </c>
      <c r="B530" s="1" t="s">
        <v>630</v>
      </c>
      <c r="C530" s="1">
        <v>595014.0</v>
      </c>
      <c r="D530" s="1" t="s">
        <v>537</v>
      </c>
      <c r="E530" s="1" t="s">
        <v>927</v>
      </c>
      <c r="F530" s="1" t="s">
        <v>927</v>
      </c>
      <c r="G530" s="1">
        <v>19.0</v>
      </c>
      <c r="H530" s="1">
        <v>0.991519896</v>
      </c>
      <c r="I530" s="1">
        <v>3.96</v>
      </c>
      <c r="J530" s="1">
        <v>0.817424</v>
      </c>
      <c r="L530" s="10">
        <f>IFERROR(__xludf.DUMMYFUNCTION("""COMPUTED_VALUE"""),642121.0)</f>
        <v>642121</v>
      </c>
      <c r="M530" s="10">
        <f>IFERROR(__xludf.DUMMYFUNCTION("""COMPUTED_VALUE"""),387.0)</f>
        <v>387</v>
      </c>
    </row>
    <row r="531">
      <c r="A531" s="1">
        <v>2025.0</v>
      </c>
      <c r="B531" s="1" t="s">
        <v>630</v>
      </c>
      <c r="C531" s="1">
        <v>595014.0</v>
      </c>
      <c r="D531" s="1" t="s">
        <v>536</v>
      </c>
      <c r="E531" s="1" t="s">
        <v>927</v>
      </c>
      <c r="F531" s="1" t="s">
        <v>927</v>
      </c>
      <c r="G531" s="1">
        <v>121.0</v>
      </c>
      <c r="H531" s="1">
        <v>6.314416177</v>
      </c>
      <c r="I531" s="1">
        <v>5.48</v>
      </c>
      <c r="J531" s="1">
        <v>1.554705</v>
      </c>
      <c r="L531" s="10">
        <f>IFERROR(__xludf.DUMMYFUNCTION("""COMPUTED_VALUE"""),663795.0)</f>
        <v>663795</v>
      </c>
      <c r="M531" s="10">
        <f>IFERROR(__xludf.DUMMYFUNCTION("""COMPUTED_VALUE"""),382.0)</f>
        <v>382</v>
      </c>
    </row>
    <row r="532">
      <c r="A532" s="1">
        <v>2025.0</v>
      </c>
      <c r="B532" s="1" t="s">
        <v>630</v>
      </c>
      <c r="C532" s="1">
        <v>595014.0</v>
      </c>
      <c r="D532" s="1" t="s">
        <v>539</v>
      </c>
      <c r="E532" s="1" t="s">
        <v>927</v>
      </c>
      <c r="F532" s="1" t="s">
        <v>927</v>
      </c>
      <c r="G532" s="1">
        <v>149.0</v>
      </c>
      <c r="H532" s="1">
        <v>7.775603392</v>
      </c>
      <c r="I532" s="1">
        <v>5.07</v>
      </c>
      <c r="J532" s="1">
        <v>2.996078</v>
      </c>
      <c r="L532" s="10">
        <f>IFERROR(__xludf.DUMMYFUNCTION("""COMPUTED_VALUE"""),621139.0)</f>
        <v>621139</v>
      </c>
      <c r="M532" s="10">
        <f>IFERROR(__xludf.DUMMYFUNCTION("""COMPUTED_VALUE"""),381.0)</f>
        <v>381</v>
      </c>
    </row>
    <row r="533">
      <c r="A533" s="1">
        <v>2025.0</v>
      </c>
      <c r="B533" s="1" t="s">
        <v>847</v>
      </c>
      <c r="C533" s="1">
        <v>680604.0</v>
      </c>
      <c r="D533" s="1" t="s">
        <v>532</v>
      </c>
      <c r="E533" s="1" t="s">
        <v>927</v>
      </c>
      <c r="F533" s="1" t="s">
        <v>926</v>
      </c>
      <c r="G533" s="1">
        <v>16.0</v>
      </c>
      <c r="H533" s="1">
        <v>0.96</v>
      </c>
      <c r="I533" s="1">
        <v>4.19</v>
      </c>
      <c r="J533" s="1">
        <v>0.608328</v>
      </c>
      <c r="L533" s="10">
        <f>IFERROR(__xludf.DUMMYFUNCTION("""COMPUTED_VALUE"""),683175.0)</f>
        <v>683175</v>
      </c>
      <c r="M533" s="10">
        <f>IFERROR(__xludf.DUMMYFUNCTION("""COMPUTED_VALUE"""),377.0)</f>
        <v>377</v>
      </c>
    </row>
    <row r="534">
      <c r="A534" s="1">
        <v>2025.0</v>
      </c>
      <c r="B534" s="1" t="s">
        <v>847</v>
      </c>
      <c r="C534" s="1">
        <v>680604.0</v>
      </c>
      <c r="D534" s="1" t="s">
        <v>540</v>
      </c>
      <c r="E534" s="1" t="s">
        <v>927</v>
      </c>
      <c r="F534" s="1" t="s">
        <v>926</v>
      </c>
      <c r="G534" s="1">
        <v>20.0</v>
      </c>
      <c r="H534" s="1">
        <v>1.2</v>
      </c>
      <c r="I534" s="1">
        <v>4.99</v>
      </c>
      <c r="J534" s="1">
        <v>0.467881</v>
      </c>
      <c r="L534" s="10">
        <f>IFERROR(__xludf.DUMMYFUNCTION("""COMPUTED_VALUE"""),680880.0)</f>
        <v>680880</v>
      </c>
      <c r="M534" s="10">
        <f>IFERROR(__xludf.DUMMYFUNCTION("""COMPUTED_VALUE"""),376.0)</f>
        <v>376</v>
      </c>
    </row>
    <row r="535">
      <c r="A535" s="1">
        <v>2025.0</v>
      </c>
      <c r="B535" s="1" t="s">
        <v>847</v>
      </c>
      <c r="C535" s="1">
        <v>680604.0</v>
      </c>
      <c r="D535" s="1" t="s">
        <v>537</v>
      </c>
      <c r="E535" s="1" t="s">
        <v>927</v>
      </c>
      <c r="F535" s="1" t="s">
        <v>926</v>
      </c>
      <c r="G535" s="1">
        <v>5.0</v>
      </c>
      <c r="H535" s="1">
        <v>0.3</v>
      </c>
      <c r="I535" s="1">
        <v>3.4</v>
      </c>
      <c r="J535" s="1">
        <v>0.269063</v>
      </c>
      <c r="L535" s="10">
        <f>IFERROR(__xludf.DUMMYFUNCTION("""COMPUTED_VALUE"""),641540.0)</f>
        <v>641540</v>
      </c>
      <c r="M535" s="10">
        <f>IFERROR(__xludf.DUMMYFUNCTION("""COMPUTED_VALUE"""),371.0)</f>
        <v>371</v>
      </c>
    </row>
    <row r="536">
      <c r="A536" s="1">
        <v>2025.0</v>
      </c>
      <c r="B536" s="1" t="s">
        <v>847</v>
      </c>
      <c r="C536" s="1">
        <v>680604.0</v>
      </c>
      <c r="D536" s="1" t="s">
        <v>536</v>
      </c>
      <c r="E536" s="1" t="s">
        <v>927</v>
      </c>
      <c r="F536" s="1" t="s">
        <v>926</v>
      </c>
      <c r="G536" s="1">
        <v>3.0</v>
      </c>
      <c r="H536" s="1">
        <v>0.18</v>
      </c>
      <c r="I536" s="1">
        <v>3.41</v>
      </c>
      <c r="J536" s="1">
        <v>0.1582</v>
      </c>
      <c r="L536" s="10">
        <f>IFERROR(__xludf.DUMMYFUNCTION("""COMPUTED_VALUE"""),804636.0)</f>
        <v>804636</v>
      </c>
      <c r="M536" s="10">
        <f>IFERROR(__xludf.DUMMYFUNCTION("""COMPUTED_VALUE"""),371.0)</f>
        <v>371</v>
      </c>
    </row>
    <row r="537">
      <c r="A537" s="1">
        <v>2025.0</v>
      </c>
      <c r="B537" s="1" t="s">
        <v>847</v>
      </c>
      <c r="C537" s="1">
        <v>680604.0</v>
      </c>
      <c r="D537" s="1" t="s">
        <v>539</v>
      </c>
      <c r="E537" s="1" t="s">
        <v>927</v>
      </c>
      <c r="F537" s="1" t="s">
        <v>926</v>
      </c>
      <c r="G537" s="1">
        <v>6.0</v>
      </c>
      <c r="H537" s="1">
        <v>0.36</v>
      </c>
      <c r="I537" s="1">
        <v>4.43</v>
      </c>
      <c r="J537" s="1">
        <v>0.18476</v>
      </c>
      <c r="L537" s="10">
        <f>IFERROR(__xludf.DUMMYFUNCTION("""COMPUTED_VALUE"""),682790.0)</f>
        <v>682790</v>
      </c>
      <c r="M537" s="10">
        <f>IFERROR(__xludf.DUMMYFUNCTION("""COMPUTED_VALUE"""),368.0)</f>
        <v>368</v>
      </c>
    </row>
    <row r="538">
      <c r="A538" s="1">
        <v>2025.0</v>
      </c>
      <c r="B538" s="1" t="s">
        <v>580</v>
      </c>
      <c r="C538" s="1">
        <v>676272.0</v>
      </c>
      <c r="D538" s="1" t="s">
        <v>532</v>
      </c>
      <c r="E538" s="1" t="s">
        <v>927</v>
      </c>
      <c r="F538" s="1" t="s">
        <v>926</v>
      </c>
      <c r="G538" s="1">
        <v>13.0</v>
      </c>
      <c r="H538" s="1">
        <v>0.560344828</v>
      </c>
      <c r="I538" s="1">
        <v>3.96</v>
      </c>
      <c r="J538" s="1">
        <v>0.567471</v>
      </c>
      <c r="L538" s="10">
        <f>IFERROR(__xludf.DUMMYFUNCTION("""COMPUTED_VALUE"""),687396.0)</f>
        <v>687396</v>
      </c>
      <c r="M538" s="10">
        <f>IFERROR(__xludf.DUMMYFUNCTION("""COMPUTED_VALUE"""),365.0)</f>
        <v>365</v>
      </c>
    </row>
    <row r="539">
      <c r="A539" s="1">
        <v>2025.0</v>
      </c>
      <c r="B539" s="1" t="s">
        <v>580</v>
      </c>
      <c r="C539" s="1">
        <v>676272.0</v>
      </c>
      <c r="D539" s="1" t="s">
        <v>541</v>
      </c>
      <c r="E539" s="1" t="s">
        <v>927</v>
      </c>
      <c r="F539" s="1" t="s">
        <v>926</v>
      </c>
      <c r="G539" s="1">
        <v>19.0</v>
      </c>
      <c r="H539" s="1">
        <v>0.818965517</v>
      </c>
      <c r="I539" s="1">
        <v>5.53</v>
      </c>
      <c r="J539" s="1">
        <v>0.19934</v>
      </c>
      <c r="L539" s="10">
        <f>IFERROR(__xludf.DUMMYFUNCTION("""COMPUTED_VALUE"""),664747.0)</f>
        <v>664747</v>
      </c>
      <c r="M539" s="10">
        <f>IFERROR(__xludf.DUMMYFUNCTION("""COMPUTED_VALUE"""),360.0)</f>
        <v>360</v>
      </c>
    </row>
    <row r="540">
      <c r="A540" s="1">
        <v>2025.0</v>
      </c>
      <c r="B540" s="1" t="s">
        <v>580</v>
      </c>
      <c r="C540" s="1">
        <v>676272.0</v>
      </c>
      <c r="D540" s="1" t="s">
        <v>537</v>
      </c>
      <c r="E540" s="1" t="s">
        <v>927</v>
      </c>
      <c r="F540" s="1" t="s">
        <v>926</v>
      </c>
      <c r="G540" s="1">
        <v>19.0</v>
      </c>
      <c r="H540" s="1">
        <v>0.818965517</v>
      </c>
      <c r="I540" s="1">
        <v>5.53</v>
      </c>
      <c r="J540" s="1">
        <v>0.22054</v>
      </c>
      <c r="L540" s="10">
        <f>IFERROR(__xludf.DUMMYFUNCTION("""COMPUTED_VALUE"""),701552.0)</f>
        <v>701552</v>
      </c>
      <c r="M540" s="10">
        <f>IFERROR(__xludf.DUMMYFUNCTION("""COMPUTED_VALUE"""),360.0)</f>
        <v>360</v>
      </c>
    </row>
    <row r="541">
      <c r="A541" s="1">
        <v>2025.0</v>
      </c>
      <c r="B541" s="1" t="s">
        <v>580</v>
      </c>
      <c r="C541" s="1">
        <v>676272.0</v>
      </c>
      <c r="D541" s="1" t="s">
        <v>536</v>
      </c>
      <c r="E541" s="1" t="s">
        <v>927</v>
      </c>
      <c r="F541" s="1" t="s">
        <v>926</v>
      </c>
      <c r="G541" s="1">
        <v>13.0</v>
      </c>
      <c r="H541" s="1">
        <v>0.560344828</v>
      </c>
      <c r="I541" s="1">
        <v>6.11</v>
      </c>
      <c r="J541" s="1">
        <v>-0.023887</v>
      </c>
      <c r="L541" s="10">
        <f>IFERROR(__xludf.DUMMYFUNCTION("""COMPUTED_VALUE"""),554340.0)</f>
        <v>554340</v>
      </c>
      <c r="M541" s="10">
        <f>IFERROR(__xludf.DUMMYFUNCTION("""COMPUTED_VALUE"""),359.0)</f>
        <v>359</v>
      </c>
    </row>
    <row r="542">
      <c r="A542" s="1">
        <v>2025.0</v>
      </c>
      <c r="B542" s="1" t="s">
        <v>580</v>
      </c>
      <c r="C542" s="1">
        <v>676272.0</v>
      </c>
      <c r="D542" s="1" t="s">
        <v>533</v>
      </c>
      <c r="E542" s="1" t="s">
        <v>927</v>
      </c>
      <c r="F542" s="1" t="s">
        <v>926</v>
      </c>
      <c r="G542" s="1">
        <v>2.0</v>
      </c>
      <c r="H542" s="1">
        <v>0.086206897</v>
      </c>
      <c r="I542" s="1">
        <v>5.0</v>
      </c>
      <c r="J542" s="1">
        <v>0.038391</v>
      </c>
      <c r="L542" s="10">
        <f>IFERROR(__xludf.DUMMYFUNCTION("""COMPUTED_VALUE"""),657240.0)</f>
        <v>657240</v>
      </c>
      <c r="M542" s="10">
        <f>IFERROR(__xludf.DUMMYFUNCTION("""COMPUTED_VALUE"""),353.0)</f>
        <v>353</v>
      </c>
    </row>
    <row r="543">
      <c r="A543" s="1">
        <v>2025.0</v>
      </c>
      <c r="B543" s="1" t="s">
        <v>580</v>
      </c>
      <c r="C543" s="1">
        <v>676272.0</v>
      </c>
      <c r="D543" s="1" t="s">
        <v>532</v>
      </c>
      <c r="E543" s="1" t="s">
        <v>927</v>
      </c>
      <c r="F543" s="1" t="s">
        <v>927</v>
      </c>
      <c r="G543" s="1">
        <v>3.0</v>
      </c>
      <c r="H543" s="1">
        <v>0.129310345</v>
      </c>
      <c r="I543" s="1">
        <v>1.1</v>
      </c>
      <c r="J543" s="1">
        <v>0.312138</v>
      </c>
      <c r="L543" s="10">
        <f>IFERROR(__xludf.DUMMYFUNCTION("""COMPUTED_VALUE"""),642239.0)</f>
        <v>642239</v>
      </c>
      <c r="M543" s="10">
        <f>IFERROR(__xludf.DUMMYFUNCTION("""COMPUTED_VALUE"""),347.0)</f>
        <v>347</v>
      </c>
    </row>
    <row r="544">
      <c r="A544" s="1">
        <v>2025.0</v>
      </c>
      <c r="B544" s="1" t="s">
        <v>580</v>
      </c>
      <c r="C544" s="1">
        <v>676272.0</v>
      </c>
      <c r="D544" s="1" t="s">
        <v>541</v>
      </c>
      <c r="E544" s="1" t="s">
        <v>927</v>
      </c>
      <c r="F544" s="1" t="s">
        <v>927</v>
      </c>
      <c r="G544" s="1">
        <v>13.0</v>
      </c>
      <c r="H544" s="1">
        <v>0.560344828</v>
      </c>
      <c r="I544" s="1">
        <v>4.51</v>
      </c>
      <c r="J544" s="1">
        <v>0.396907</v>
      </c>
      <c r="L544" s="10">
        <f>IFERROR(__xludf.DUMMYFUNCTION("""COMPUTED_VALUE"""),676702.0)</f>
        <v>676702</v>
      </c>
      <c r="M544" s="10">
        <f>IFERROR(__xludf.DUMMYFUNCTION("""COMPUTED_VALUE"""),343.0)</f>
        <v>343</v>
      </c>
    </row>
    <row r="545">
      <c r="A545" s="1">
        <v>2025.0</v>
      </c>
      <c r="B545" s="1" t="s">
        <v>580</v>
      </c>
      <c r="C545" s="1">
        <v>676272.0</v>
      </c>
      <c r="D545" s="1" t="s">
        <v>537</v>
      </c>
      <c r="E545" s="1" t="s">
        <v>927</v>
      </c>
      <c r="F545" s="1" t="s">
        <v>927</v>
      </c>
      <c r="G545" s="1">
        <v>12.0</v>
      </c>
      <c r="H545" s="1">
        <v>0.517241379</v>
      </c>
      <c r="I545" s="1">
        <v>5.29</v>
      </c>
      <c r="J545" s="1">
        <v>0.187477</v>
      </c>
      <c r="L545" s="10">
        <f>IFERROR(__xludf.DUMMYFUNCTION("""COMPUTED_VALUE"""),669330.0)</f>
        <v>669330</v>
      </c>
      <c r="M545" s="10">
        <f>IFERROR(__xludf.DUMMYFUNCTION("""COMPUTED_VALUE"""),342.0)</f>
        <v>342</v>
      </c>
    </row>
    <row r="546">
      <c r="A546" s="1">
        <v>2025.0</v>
      </c>
      <c r="B546" s="1" t="s">
        <v>580</v>
      </c>
      <c r="C546" s="1">
        <v>676272.0</v>
      </c>
      <c r="D546" s="1" t="s">
        <v>536</v>
      </c>
      <c r="E546" s="1" t="s">
        <v>927</v>
      </c>
      <c r="F546" s="1" t="s">
        <v>927</v>
      </c>
      <c r="G546" s="1">
        <v>13.0</v>
      </c>
      <c r="H546" s="1">
        <v>0.560344828</v>
      </c>
      <c r="I546" s="1">
        <v>4.6</v>
      </c>
      <c r="J546" s="1">
        <v>0.394523</v>
      </c>
      <c r="L546" s="10">
        <f>IFERROR(__xludf.DUMMYFUNCTION("""COMPUTED_VALUE"""),660730.0)</f>
        <v>660730</v>
      </c>
      <c r="M546" s="10">
        <f>IFERROR(__xludf.DUMMYFUNCTION("""COMPUTED_VALUE"""),335.0)</f>
        <v>335</v>
      </c>
    </row>
    <row r="547">
      <c r="A547" s="1">
        <v>2025.0</v>
      </c>
      <c r="B547" s="1" t="s">
        <v>580</v>
      </c>
      <c r="C547" s="1">
        <v>676272.0</v>
      </c>
      <c r="D547" s="1" t="s">
        <v>533</v>
      </c>
      <c r="E547" s="1" t="s">
        <v>927</v>
      </c>
      <c r="F547" s="1" t="s">
        <v>927</v>
      </c>
      <c r="G547" s="1">
        <v>9.0</v>
      </c>
      <c r="H547" s="1">
        <v>0.387931034</v>
      </c>
      <c r="I547" s="1">
        <v>5.14</v>
      </c>
      <c r="J547" s="1">
        <v>0.170633</v>
      </c>
      <c r="L547" s="10">
        <f>IFERROR(__xludf.DUMMYFUNCTION("""COMPUTED_VALUE"""),696147.0)</f>
        <v>696147</v>
      </c>
      <c r="M547" s="10">
        <f>IFERROR(__xludf.DUMMYFUNCTION("""COMPUTED_VALUE"""),335.0)</f>
        <v>335</v>
      </c>
    </row>
    <row r="548">
      <c r="A548" s="1">
        <v>2025.0</v>
      </c>
      <c r="B548" s="1" t="s">
        <v>428</v>
      </c>
      <c r="C548" s="1">
        <v>670102.0</v>
      </c>
      <c r="D548" s="1" t="s">
        <v>541</v>
      </c>
      <c r="E548" s="1" t="s">
        <v>927</v>
      </c>
      <c r="F548" s="1" t="s">
        <v>926</v>
      </c>
      <c r="G548" s="1">
        <v>104.0</v>
      </c>
      <c r="H548" s="1">
        <v>5.833479404</v>
      </c>
      <c r="I548" s="1">
        <v>4.91</v>
      </c>
      <c r="J548" s="1">
        <v>2.413358</v>
      </c>
      <c r="L548" s="10">
        <f>IFERROR(__xludf.DUMMYFUNCTION("""COMPUTED_VALUE"""),519326.0)</f>
        <v>519326</v>
      </c>
      <c r="M548" s="10">
        <f>IFERROR(__xludf.DUMMYFUNCTION("""COMPUTED_VALUE"""),332.0)</f>
        <v>332</v>
      </c>
    </row>
    <row r="549">
      <c r="A549" s="1">
        <v>2025.0</v>
      </c>
      <c r="B549" s="1" t="s">
        <v>428</v>
      </c>
      <c r="C549" s="1">
        <v>670102.0</v>
      </c>
      <c r="D549" s="1" t="s">
        <v>537</v>
      </c>
      <c r="E549" s="1" t="s">
        <v>927</v>
      </c>
      <c r="F549" s="1" t="s">
        <v>926</v>
      </c>
      <c r="G549" s="1">
        <v>390.0</v>
      </c>
      <c r="H549" s="1">
        <v>21.87554777</v>
      </c>
      <c r="I549" s="1">
        <v>5.07</v>
      </c>
      <c r="J549" s="1">
        <v>8.059934</v>
      </c>
      <c r="L549" s="10">
        <f>IFERROR(__xludf.DUMMYFUNCTION("""COMPUTED_VALUE"""),594580.0)</f>
        <v>594580</v>
      </c>
      <c r="M549" s="10">
        <f>IFERROR(__xludf.DUMMYFUNCTION("""COMPUTED_VALUE"""),332.0)</f>
        <v>332</v>
      </c>
    </row>
    <row r="550">
      <c r="A550" s="1">
        <v>2025.0</v>
      </c>
      <c r="B550" s="1" t="s">
        <v>428</v>
      </c>
      <c r="C550" s="1">
        <v>670102.0</v>
      </c>
      <c r="D550" s="1" t="s">
        <v>538</v>
      </c>
      <c r="E550" s="1" t="s">
        <v>927</v>
      </c>
      <c r="F550" s="1" t="s">
        <v>926</v>
      </c>
      <c r="G550" s="1">
        <v>171.0</v>
      </c>
      <c r="H550" s="1">
        <v>9.591586328</v>
      </c>
      <c r="I550" s="1">
        <v>4.8</v>
      </c>
      <c r="J550" s="1">
        <v>4.322765</v>
      </c>
      <c r="L550" s="10">
        <f>IFERROR(__xludf.DUMMYFUNCTION("""COMPUTED_VALUE"""),656686.0)</f>
        <v>656686</v>
      </c>
      <c r="M550" s="10">
        <f>IFERROR(__xludf.DUMMYFUNCTION("""COMPUTED_VALUE"""),331.0)</f>
        <v>331</v>
      </c>
    </row>
    <row r="551">
      <c r="A551" s="1">
        <v>2025.0</v>
      </c>
      <c r="B551" s="1" t="s">
        <v>428</v>
      </c>
      <c r="C551" s="1">
        <v>670102.0</v>
      </c>
      <c r="D551" s="1" t="s">
        <v>536</v>
      </c>
      <c r="E551" s="1" t="s">
        <v>927</v>
      </c>
      <c r="F551" s="1" t="s">
        <v>926</v>
      </c>
      <c r="G551" s="1">
        <v>4.0</v>
      </c>
      <c r="H551" s="1">
        <v>0.224364592</v>
      </c>
      <c r="I551" s="1">
        <v>5.27</v>
      </c>
      <c r="J551" s="1">
        <v>0.066696</v>
      </c>
      <c r="L551" s="10">
        <f>IFERROR(__xludf.DUMMYFUNCTION("""COMPUTED_VALUE"""),686642.0)</f>
        <v>686642</v>
      </c>
      <c r="M551" s="10">
        <f>IFERROR(__xludf.DUMMYFUNCTION("""COMPUTED_VALUE"""),329.0)</f>
        <v>329</v>
      </c>
    </row>
    <row r="552">
      <c r="A552" s="1">
        <v>2025.0</v>
      </c>
      <c r="B552" s="1" t="s">
        <v>428</v>
      </c>
      <c r="C552" s="1">
        <v>670102.0</v>
      </c>
      <c r="D552" s="1" t="s">
        <v>533</v>
      </c>
      <c r="E552" s="1" t="s">
        <v>927</v>
      </c>
      <c r="F552" s="1" t="s">
        <v>926</v>
      </c>
      <c r="G552" s="1">
        <v>11.0</v>
      </c>
      <c r="H552" s="1">
        <v>0.617002629</v>
      </c>
      <c r="I552" s="1">
        <v>4.91</v>
      </c>
      <c r="J552" s="1">
        <v>0.257745</v>
      </c>
      <c r="L552" s="10">
        <f>IFERROR(__xludf.DUMMYFUNCTION("""COMPUTED_VALUE"""),681895.0)</f>
        <v>681895</v>
      </c>
      <c r="M552" s="10">
        <f>IFERROR(__xludf.DUMMYFUNCTION("""COMPUTED_VALUE"""),328.0)</f>
        <v>328</v>
      </c>
    </row>
    <row r="553">
      <c r="A553" s="1">
        <v>2025.0</v>
      </c>
      <c r="B553" s="1" t="s">
        <v>428</v>
      </c>
      <c r="C553" s="1">
        <v>670102.0</v>
      </c>
      <c r="D553" s="1" t="s">
        <v>541</v>
      </c>
      <c r="E553" s="1" t="s">
        <v>927</v>
      </c>
      <c r="F553" s="1" t="s">
        <v>927</v>
      </c>
      <c r="G553" s="1">
        <v>56.0</v>
      </c>
      <c r="H553" s="1">
        <v>3.141104294</v>
      </c>
      <c r="I553" s="1">
        <v>4.17</v>
      </c>
      <c r="J553" s="1">
        <v>2.198104</v>
      </c>
      <c r="L553" s="10">
        <f>IFERROR(__xludf.DUMMYFUNCTION("""COMPUTED_VALUE"""),656848.0)</f>
        <v>656848</v>
      </c>
      <c r="M553" s="10">
        <f>IFERROR(__xludf.DUMMYFUNCTION("""COMPUTED_VALUE"""),327.0)</f>
        <v>327</v>
      </c>
    </row>
    <row r="554">
      <c r="A554" s="1">
        <v>2025.0</v>
      </c>
      <c r="B554" s="1" t="s">
        <v>428</v>
      </c>
      <c r="C554" s="1">
        <v>670102.0</v>
      </c>
      <c r="D554" s="1" t="s">
        <v>537</v>
      </c>
      <c r="E554" s="1" t="s">
        <v>927</v>
      </c>
      <c r="F554" s="1" t="s">
        <v>927</v>
      </c>
      <c r="G554" s="1">
        <v>249.0</v>
      </c>
      <c r="H554" s="1">
        <v>13.96669588</v>
      </c>
      <c r="I554" s="1">
        <v>5.06</v>
      </c>
      <c r="J554" s="1">
        <v>5.184199</v>
      </c>
      <c r="L554" s="10">
        <f>IFERROR(__xludf.DUMMYFUNCTION("""COMPUTED_VALUE"""),681168.0)</f>
        <v>681168</v>
      </c>
      <c r="M554" s="10">
        <f>IFERROR(__xludf.DUMMYFUNCTION("""COMPUTED_VALUE"""),325.0)</f>
        <v>325</v>
      </c>
    </row>
    <row r="555">
      <c r="A555" s="1">
        <v>2025.0</v>
      </c>
      <c r="B555" s="1" t="s">
        <v>428</v>
      </c>
      <c r="C555" s="1">
        <v>670102.0</v>
      </c>
      <c r="D555" s="1" t="s">
        <v>538</v>
      </c>
      <c r="E555" s="1" t="s">
        <v>927</v>
      </c>
      <c r="F555" s="1" t="s">
        <v>927</v>
      </c>
      <c r="G555" s="1">
        <v>85.0</v>
      </c>
      <c r="H555" s="1">
        <v>4.76774759</v>
      </c>
      <c r="I555" s="1">
        <v>4.99</v>
      </c>
      <c r="J555" s="1">
        <v>1.816936</v>
      </c>
      <c r="L555" s="10">
        <f>IFERROR(__xludf.DUMMYFUNCTION("""COMPUTED_VALUE"""),608665.0)</f>
        <v>608665</v>
      </c>
      <c r="M555" s="10">
        <f>IFERROR(__xludf.DUMMYFUNCTION("""COMPUTED_VALUE"""),324.0)</f>
        <v>324</v>
      </c>
    </row>
    <row r="556">
      <c r="A556" s="1">
        <v>2025.0</v>
      </c>
      <c r="B556" s="1" t="s">
        <v>428</v>
      </c>
      <c r="C556" s="1">
        <v>670102.0</v>
      </c>
      <c r="D556" s="1" t="s">
        <v>536</v>
      </c>
      <c r="E556" s="1" t="s">
        <v>927</v>
      </c>
      <c r="F556" s="1" t="s">
        <v>927</v>
      </c>
      <c r="G556" s="1">
        <v>16.0</v>
      </c>
      <c r="H556" s="1">
        <v>0.89745837</v>
      </c>
      <c r="I556" s="1">
        <v>2.83</v>
      </c>
      <c r="J556" s="1">
        <v>1.082322</v>
      </c>
      <c r="L556" s="10">
        <f>IFERROR(__xludf.DUMMYFUNCTION("""COMPUTED_VALUE"""),813349.0)</f>
        <v>813349</v>
      </c>
      <c r="M556" s="10">
        <f>IFERROR(__xludf.DUMMYFUNCTION("""COMPUTED_VALUE"""),323.0)</f>
        <v>323</v>
      </c>
    </row>
    <row r="557">
      <c r="A557" s="1">
        <v>2025.0</v>
      </c>
      <c r="B557" s="1" t="s">
        <v>428</v>
      </c>
      <c r="C557" s="1">
        <v>670102.0</v>
      </c>
      <c r="D557" s="1" t="s">
        <v>533</v>
      </c>
      <c r="E557" s="1" t="s">
        <v>927</v>
      </c>
      <c r="F557" s="1" t="s">
        <v>927</v>
      </c>
      <c r="G557" s="1">
        <v>55.0</v>
      </c>
      <c r="H557" s="1">
        <v>3.085013146</v>
      </c>
      <c r="I557" s="1">
        <v>4.59</v>
      </c>
      <c r="J557" s="1">
        <v>1.690427</v>
      </c>
      <c r="L557" s="10">
        <f>IFERROR(__xludf.DUMMYFUNCTION("""COMPUTED_VALUE"""),688497.0)</f>
        <v>688497</v>
      </c>
      <c r="M557" s="10">
        <f>IFERROR(__xludf.DUMMYFUNCTION("""COMPUTED_VALUE"""),319.0)</f>
        <v>319</v>
      </c>
    </row>
    <row r="558">
      <c r="A558" s="1">
        <v>2025.0</v>
      </c>
      <c r="B558" s="1" t="s">
        <v>297</v>
      </c>
      <c r="C558" s="1">
        <v>641745.0</v>
      </c>
      <c r="D558" s="1" t="s">
        <v>532</v>
      </c>
      <c r="E558" s="1" t="s">
        <v>927</v>
      </c>
      <c r="F558" s="1" t="s">
        <v>926</v>
      </c>
      <c r="G558" s="1">
        <v>113.0</v>
      </c>
      <c r="H558" s="1">
        <v>7.12428356</v>
      </c>
      <c r="I558" s="1">
        <v>5.07</v>
      </c>
      <c r="J558" s="1">
        <v>2.228694</v>
      </c>
      <c r="L558" s="10">
        <f>IFERROR(__xludf.DUMMYFUNCTION("""COMPUTED_VALUE"""),663542.0)</f>
        <v>663542</v>
      </c>
      <c r="M558" s="10">
        <f>IFERROR(__xludf.DUMMYFUNCTION("""COMPUTED_VALUE"""),318.0)</f>
        <v>318</v>
      </c>
    </row>
    <row r="559">
      <c r="A559" s="1">
        <v>2025.0</v>
      </c>
      <c r="B559" s="1" t="s">
        <v>297</v>
      </c>
      <c r="C559" s="1">
        <v>641745.0</v>
      </c>
      <c r="D559" s="1" t="s">
        <v>537</v>
      </c>
      <c r="E559" s="1" t="s">
        <v>927</v>
      </c>
      <c r="F559" s="1" t="s">
        <v>926</v>
      </c>
      <c r="G559" s="1">
        <v>276.0</v>
      </c>
      <c r="H559" s="1">
        <v>17.40090498</v>
      </c>
      <c r="I559" s="1">
        <v>4.79</v>
      </c>
      <c r="J559" s="1">
        <v>7.362398</v>
      </c>
      <c r="L559" s="10">
        <f>IFERROR(__xludf.DUMMYFUNCTION("""COMPUTED_VALUE"""),623149.0)</f>
        <v>623149</v>
      </c>
      <c r="M559" s="10">
        <f>IFERROR(__xludf.DUMMYFUNCTION("""COMPUTED_VALUE"""),317.0)</f>
        <v>317</v>
      </c>
    </row>
    <row r="560">
      <c r="A560" s="1">
        <v>2025.0</v>
      </c>
      <c r="B560" s="1" t="s">
        <v>297</v>
      </c>
      <c r="C560" s="1">
        <v>641745.0</v>
      </c>
      <c r="D560" s="1" t="s">
        <v>536</v>
      </c>
      <c r="E560" s="1" t="s">
        <v>927</v>
      </c>
      <c r="F560" s="1" t="s">
        <v>926</v>
      </c>
      <c r="G560" s="1">
        <v>8.0</v>
      </c>
      <c r="H560" s="1">
        <v>0.504374057</v>
      </c>
      <c r="I560" s="1">
        <v>4.49</v>
      </c>
      <c r="J560" s="1">
        <v>0.253253</v>
      </c>
      <c r="L560" s="10">
        <f>IFERROR(__xludf.DUMMYFUNCTION("""COMPUTED_VALUE"""),666711.0)</f>
        <v>666711</v>
      </c>
      <c r="M560" s="10">
        <f>IFERROR(__xludf.DUMMYFUNCTION("""COMPUTED_VALUE"""),315.0)</f>
        <v>315</v>
      </c>
    </row>
    <row r="561">
      <c r="A561" s="1">
        <v>2025.0</v>
      </c>
      <c r="B561" s="1" t="s">
        <v>297</v>
      </c>
      <c r="C561" s="1">
        <v>641745.0</v>
      </c>
      <c r="D561" s="1" t="s">
        <v>533</v>
      </c>
      <c r="E561" s="1" t="s">
        <v>927</v>
      </c>
      <c r="F561" s="1" t="s">
        <v>926</v>
      </c>
      <c r="G561" s="1">
        <v>82.0</v>
      </c>
      <c r="H561" s="1">
        <v>5.169834087</v>
      </c>
      <c r="I561" s="1">
        <v>5.07</v>
      </c>
      <c r="J561" s="1">
        <v>1.68087</v>
      </c>
      <c r="L561" s="10">
        <f>IFERROR(__xludf.DUMMYFUNCTION("""COMPUTED_VALUE"""),682989.0)</f>
        <v>682989</v>
      </c>
      <c r="M561" s="10">
        <f>IFERROR(__xludf.DUMMYFUNCTION("""COMPUTED_VALUE"""),314.0)</f>
        <v>314</v>
      </c>
    </row>
    <row r="562">
      <c r="A562" s="1">
        <v>2025.0</v>
      </c>
      <c r="B562" s="1" t="s">
        <v>297</v>
      </c>
      <c r="C562" s="1">
        <v>641745.0</v>
      </c>
      <c r="D562" s="1" t="s">
        <v>539</v>
      </c>
      <c r="E562" s="1" t="s">
        <v>927</v>
      </c>
      <c r="F562" s="1" t="s">
        <v>926</v>
      </c>
      <c r="G562" s="1">
        <v>5.0</v>
      </c>
      <c r="H562" s="1">
        <v>0.315233786</v>
      </c>
      <c r="I562" s="1">
        <v>4.41</v>
      </c>
      <c r="J562" s="1">
        <v>0.152504</v>
      </c>
      <c r="L562" s="10">
        <f>IFERROR(__xludf.DUMMYFUNCTION("""COMPUTED_VALUE"""),518397.0)</f>
        <v>518397</v>
      </c>
      <c r="M562" s="10">
        <f>IFERROR(__xludf.DUMMYFUNCTION("""COMPUTED_VALUE"""),313.0)</f>
        <v>313</v>
      </c>
    </row>
    <row r="563">
      <c r="A563" s="1">
        <v>2025.0</v>
      </c>
      <c r="B563" s="1" t="s">
        <v>297</v>
      </c>
      <c r="C563" s="1">
        <v>641745.0</v>
      </c>
      <c r="D563" s="1" t="s">
        <v>532</v>
      </c>
      <c r="E563" s="1" t="s">
        <v>927</v>
      </c>
      <c r="F563" s="1" t="s">
        <v>927</v>
      </c>
      <c r="G563" s="1">
        <v>10.0</v>
      </c>
      <c r="H563" s="1">
        <v>0.630467572</v>
      </c>
      <c r="I563" s="1">
        <v>4.93</v>
      </c>
      <c r="J563" s="1">
        <v>0.234495</v>
      </c>
      <c r="L563" s="10">
        <f>IFERROR(__xludf.DUMMYFUNCTION("""COMPUTED_VALUE"""),657006.0)</f>
        <v>657006</v>
      </c>
      <c r="M563" s="10">
        <f>IFERROR(__xludf.DUMMYFUNCTION("""COMPUTED_VALUE"""),313.0)</f>
        <v>313</v>
      </c>
    </row>
    <row r="564">
      <c r="A564" s="1">
        <v>2025.0</v>
      </c>
      <c r="B564" s="1" t="s">
        <v>297</v>
      </c>
      <c r="C564" s="1">
        <v>641745.0</v>
      </c>
      <c r="D564" s="1" t="s">
        <v>537</v>
      </c>
      <c r="E564" s="1" t="s">
        <v>927</v>
      </c>
      <c r="F564" s="1" t="s">
        <v>927</v>
      </c>
      <c r="G564" s="1">
        <v>197.0</v>
      </c>
      <c r="H564" s="1">
        <v>12.42021116</v>
      </c>
      <c r="I564" s="1">
        <v>4.97</v>
      </c>
      <c r="J564" s="1">
        <v>4.63997</v>
      </c>
      <c r="L564" s="10">
        <f>IFERROR(__xludf.DUMMYFUNCTION("""COMPUTED_VALUE"""),682274.0)</f>
        <v>682274</v>
      </c>
      <c r="M564" s="10">
        <f>IFERROR(__xludf.DUMMYFUNCTION("""COMPUTED_VALUE"""),313.0)</f>
        <v>313</v>
      </c>
    </row>
    <row r="565">
      <c r="A565" s="1">
        <v>2025.0</v>
      </c>
      <c r="B565" s="1" t="s">
        <v>297</v>
      </c>
      <c r="C565" s="1">
        <v>641745.0</v>
      </c>
      <c r="D565" s="1" t="s">
        <v>536</v>
      </c>
      <c r="E565" s="1" t="s">
        <v>927</v>
      </c>
      <c r="F565" s="1" t="s">
        <v>927</v>
      </c>
      <c r="G565" s="1">
        <v>154.0</v>
      </c>
      <c r="H565" s="1">
        <v>9.709200603</v>
      </c>
      <c r="I565" s="1">
        <v>4.53</v>
      </c>
      <c r="J565" s="1">
        <v>4.902664</v>
      </c>
      <c r="L565" s="10">
        <f>IFERROR(__xludf.DUMMYFUNCTION("""COMPUTED_VALUE"""),687849.0)</f>
        <v>687849</v>
      </c>
      <c r="M565" s="10">
        <f>IFERROR(__xludf.DUMMYFUNCTION("""COMPUTED_VALUE"""),308.0)</f>
        <v>308</v>
      </c>
    </row>
    <row r="566">
      <c r="A566" s="1">
        <v>2025.0</v>
      </c>
      <c r="B566" s="1" t="s">
        <v>297</v>
      </c>
      <c r="C566" s="1">
        <v>641745.0</v>
      </c>
      <c r="D566" s="1" t="s">
        <v>533</v>
      </c>
      <c r="E566" s="1" t="s">
        <v>927</v>
      </c>
      <c r="F566" s="1" t="s">
        <v>927</v>
      </c>
      <c r="G566" s="1">
        <v>131.0</v>
      </c>
      <c r="H566" s="1">
        <v>8.259125189</v>
      </c>
      <c r="I566" s="1">
        <v>5.39</v>
      </c>
      <c r="J566" s="1">
        <v>1.91072</v>
      </c>
      <c r="L566" s="10">
        <f>IFERROR(__xludf.DUMMYFUNCTION("""COMPUTED_VALUE"""),694918.0)</f>
        <v>694918</v>
      </c>
      <c r="M566" s="10">
        <f>IFERROR(__xludf.DUMMYFUNCTION("""COMPUTED_VALUE"""),308.0)</f>
        <v>308</v>
      </c>
    </row>
    <row r="567">
      <c r="A567" s="1">
        <v>2025.0</v>
      </c>
      <c r="B567" s="1" t="s">
        <v>297</v>
      </c>
      <c r="C567" s="1">
        <v>641745.0</v>
      </c>
      <c r="D567" s="1" t="s">
        <v>539</v>
      </c>
      <c r="E567" s="1" t="s">
        <v>927</v>
      </c>
      <c r="F567" s="1" t="s">
        <v>927</v>
      </c>
      <c r="G567" s="1">
        <v>129.0</v>
      </c>
      <c r="H567" s="1">
        <v>8.133031674</v>
      </c>
      <c r="I567" s="1">
        <v>5.23</v>
      </c>
      <c r="J567" s="1">
        <v>2.055791</v>
      </c>
      <c r="L567" s="10">
        <f>IFERROR(__xludf.DUMMYFUNCTION("""COMPUTED_VALUE"""),694361.0)</f>
        <v>694361</v>
      </c>
      <c r="M567" s="10">
        <f>IFERROR(__xludf.DUMMYFUNCTION("""COMPUTED_VALUE"""),305.0)</f>
        <v>305</v>
      </c>
    </row>
    <row r="568">
      <c r="A568" s="1">
        <v>2025.0</v>
      </c>
      <c r="B568" s="1" t="s">
        <v>437</v>
      </c>
      <c r="C568" s="1">
        <v>695418.0</v>
      </c>
      <c r="D568" s="1" t="s">
        <v>532</v>
      </c>
      <c r="E568" s="1" t="s">
        <v>927</v>
      </c>
      <c r="F568" s="1" t="s">
        <v>926</v>
      </c>
      <c r="G568" s="1">
        <v>233.0</v>
      </c>
      <c r="H568" s="1">
        <v>14.31374393</v>
      </c>
      <c r="I568" s="1">
        <v>4.99</v>
      </c>
      <c r="J568" s="1">
        <v>5.329781</v>
      </c>
      <c r="L568" s="10">
        <f>IFERROR(__xludf.DUMMYFUNCTION("""COMPUTED_VALUE"""),502085.0)</f>
        <v>502085</v>
      </c>
      <c r="M568" s="10">
        <f>IFERROR(__xludf.DUMMYFUNCTION("""COMPUTED_VALUE"""),304.0)</f>
        <v>304</v>
      </c>
    </row>
    <row r="569">
      <c r="A569" s="1">
        <v>2025.0</v>
      </c>
      <c r="B569" s="1" t="s">
        <v>437</v>
      </c>
      <c r="C569" s="1">
        <v>695418.0</v>
      </c>
      <c r="D569" s="1" t="s">
        <v>537</v>
      </c>
      <c r="E569" s="1" t="s">
        <v>927</v>
      </c>
      <c r="F569" s="1" t="s">
        <v>926</v>
      </c>
      <c r="G569" s="1">
        <v>628.0</v>
      </c>
      <c r="H569" s="1">
        <v>38.57953299</v>
      </c>
      <c r="I569" s="1">
        <v>4.7</v>
      </c>
      <c r="J569" s="1">
        <v>18.330663</v>
      </c>
      <c r="L569" s="10">
        <f>IFERROR(__xludf.DUMMYFUNCTION("""COMPUTED_VALUE"""),622786.0)</f>
        <v>622786</v>
      </c>
      <c r="M569" s="10">
        <f>IFERROR(__xludf.DUMMYFUNCTION("""COMPUTED_VALUE"""),304.0)</f>
        <v>304</v>
      </c>
    </row>
    <row r="570">
      <c r="A570" s="1">
        <v>2025.0</v>
      </c>
      <c r="B570" s="1" t="s">
        <v>437</v>
      </c>
      <c r="C570" s="1">
        <v>695418.0</v>
      </c>
      <c r="D570" s="1" t="s">
        <v>536</v>
      </c>
      <c r="E570" s="1" t="s">
        <v>927</v>
      </c>
      <c r="F570" s="1" t="s">
        <v>926</v>
      </c>
      <c r="G570" s="1">
        <v>117.0</v>
      </c>
      <c r="H570" s="1">
        <v>7.187588152</v>
      </c>
      <c r="I570" s="1">
        <v>4.85</v>
      </c>
      <c r="J570" s="1">
        <v>3.105797</v>
      </c>
      <c r="L570" s="10">
        <f>IFERROR(__xludf.DUMMYFUNCTION("""COMPUTED_VALUE"""),801139.0)</f>
        <v>801139</v>
      </c>
      <c r="M570" s="10">
        <f>IFERROR(__xludf.DUMMYFUNCTION("""COMPUTED_VALUE"""),304.0)</f>
        <v>304</v>
      </c>
    </row>
    <row r="571">
      <c r="A571" s="1">
        <v>2025.0</v>
      </c>
      <c r="B571" s="1" t="s">
        <v>437</v>
      </c>
      <c r="C571" s="1">
        <v>695418.0</v>
      </c>
      <c r="D571" s="1" t="s">
        <v>533</v>
      </c>
      <c r="E571" s="1" t="s">
        <v>927</v>
      </c>
      <c r="F571" s="1" t="s">
        <v>926</v>
      </c>
      <c r="G571" s="1">
        <v>154.0</v>
      </c>
      <c r="H571" s="1">
        <v>9.460586115</v>
      </c>
      <c r="I571" s="1">
        <v>4.99</v>
      </c>
      <c r="J571" s="1">
        <v>3.425124</v>
      </c>
      <c r="L571" s="10">
        <f>IFERROR(__xludf.DUMMYFUNCTION("""COMPUTED_VALUE"""),691951.0)</f>
        <v>691951</v>
      </c>
      <c r="M571" s="10">
        <f>IFERROR(__xludf.DUMMYFUNCTION("""COMPUTED_VALUE"""),303.0)</f>
        <v>303</v>
      </c>
    </row>
    <row r="572">
      <c r="A572" s="1">
        <v>2025.0</v>
      </c>
      <c r="B572" s="1" t="s">
        <v>437</v>
      </c>
      <c r="C572" s="1">
        <v>695418.0</v>
      </c>
      <c r="D572" s="1" t="s">
        <v>532</v>
      </c>
      <c r="E572" s="1" t="s">
        <v>927</v>
      </c>
      <c r="F572" s="1" t="s">
        <v>927</v>
      </c>
      <c r="G572" s="1">
        <v>45.0</v>
      </c>
      <c r="H572" s="1">
        <v>2.764456982</v>
      </c>
      <c r="I572" s="1">
        <v>5.14</v>
      </c>
      <c r="J572" s="1">
        <v>0.884506</v>
      </c>
      <c r="L572" s="10">
        <f>IFERROR(__xludf.DUMMYFUNCTION("""COMPUTED_VALUE"""),614179.0)</f>
        <v>614179</v>
      </c>
      <c r="M572" s="10">
        <f>IFERROR(__xludf.DUMMYFUNCTION("""COMPUTED_VALUE"""),302.0)</f>
        <v>302</v>
      </c>
    </row>
    <row r="573">
      <c r="A573" s="1">
        <v>2025.0</v>
      </c>
      <c r="B573" s="1" t="s">
        <v>437</v>
      </c>
      <c r="C573" s="1">
        <v>695418.0</v>
      </c>
      <c r="D573" s="1" t="s">
        <v>537</v>
      </c>
      <c r="E573" s="1" t="s">
        <v>927</v>
      </c>
      <c r="F573" s="1" t="s">
        <v>927</v>
      </c>
      <c r="G573" s="1">
        <v>398.0</v>
      </c>
      <c r="H573" s="1">
        <v>24.45008619</v>
      </c>
      <c r="I573" s="1">
        <v>5.08</v>
      </c>
      <c r="J573" s="1">
        <v>8.25831</v>
      </c>
      <c r="L573" s="10">
        <f>IFERROR(__xludf.DUMMYFUNCTION("""COMPUTED_VALUE"""),641835.0)</f>
        <v>641835</v>
      </c>
      <c r="M573" s="10">
        <f>IFERROR(__xludf.DUMMYFUNCTION("""COMPUTED_VALUE"""),301.0)</f>
        <v>301</v>
      </c>
    </row>
    <row r="574">
      <c r="A574" s="1">
        <v>2025.0</v>
      </c>
      <c r="B574" s="1" t="s">
        <v>437</v>
      </c>
      <c r="C574" s="1">
        <v>695418.0</v>
      </c>
      <c r="D574" s="1" t="s">
        <v>536</v>
      </c>
      <c r="E574" s="1" t="s">
        <v>927</v>
      </c>
      <c r="F574" s="1" t="s">
        <v>927</v>
      </c>
      <c r="G574" s="1">
        <v>273.0</v>
      </c>
      <c r="H574" s="1">
        <v>16.77103902</v>
      </c>
      <c r="I574" s="1">
        <v>5.22</v>
      </c>
      <c r="J574" s="1">
        <v>5.062329</v>
      </c>
      <c r="L574" s="10">
        <f>IFERROR(__xludf.DUMMYFUNCTION("""COMPUTED_VALUE"""),671109.0)</f>
        <v>671109</v>
      </c>
      <c r="M574" s="10">
        <f>IFERROR(__xludf.DUMMYFUNCTION("""COMPUTED_VALUE"""),301.0)</f>
        <v>301</v>
      </c>
    </row>
    <row r="575">
      <c r="A575" s="1">
        <v>2025.0</v>
      </c>
      <c r="B575" s="1" t="s">
        <v>437</v>
      </c>
      <c r="C575" s="1">
        <v>695418.0</v>
      </c>
      <c r="D575" s="1" t="s">
        <v>533</v>
      </c>
      <c r="E575" s="1" t="s">
        <v>927</v>
      </c>
      <c r="F575" s="1" t="s">
        <v>927</v>
      </c>
      <c r="G575" s="1">
        <v>279.0</v>
      </c>
      <c r="H575" s="1">
        <v>17.13963329</v>
      </c>
      <c r="I575" s="1">
        <v>4.89</v>
      </c>
      <c r="J575" s="1">
        <v>6.889945</v>
      </c>
      <c r="L575" s="10">
        <f>IFERROR(__xludf.DUMMYFUNCTION("""COMPUTED_VALUE"""),543518.0)</f>
        <v>543518</v>
      </c>
      <c r="M575" s="10">
        <f>IFERROR(__xludf.DUMMYFUNCTION("""COMPUTED_VALUE"""),297.0)</f>
        <v>297</v>
      </c>
    </row>
    <row r="576">
      <c r="A576" s="1">
        <v>2025.0</v>
      </c>
      <c r="B576" s="1" t="s">
        <v>857</v>
      </c>
      <c r="C576" s="1">
        <v>699134.0</v>
      </c>
      <c r="D576" s="1" t="s">
        <v>532</v>
      </c>
      <c r="E576" s="1" t="s">
        <v>927</v>
      </c>
      <c r="F576" s="1" t="s">
        <v>926</v>
      </c>
      <c r="G576" s="1">
        <v>23.0</v>
      </c>
      <c r="H576" s="1">
        <v>1.399470899</v>
      </c>
      <c r="I576" s="1">
        <v>5.31</v>
      </c>
      <c r="J576" s="1">
        <v>0.343973</v>
      </c>
      <c r="L576" s="10">
        <f>IFERROR(__xludf.DUMMYFUNCTION("""COMPUTED_VALUE"""),660761.0)</f>
        <v>660761</v>
      </c>
      <c r="M576" s="10">
        <f>IFERROR(__xludf.DUMMYFUNCTION("""COMPUTED_VALUE"""),295.0)</f>
        <v>295</v>
      </c>
    </row>
    <row r="577">
      <c r="A577" s="1">
        <v>2025.0</v>
      </c>
      <c r="B577" s="1" t="s">
        <v>857</v>
      </c>
      <c r="C577" s="1">
        <v>699134.0</v>
      </c>
      <c r="D577" s="1" t="s">
        <v>537</v>
      </c>
      <c r="E577" s="1" t="s">
        <v>927</v>
      </c>
      <c r="F577" s="1" t="s">
        <v>926</v>
      </c>
      <c r="G577" s="1">
        <v>31.0</v>
      </c>
      <c r="H577" s="1">
        <v>1.886243386</v>
      </c>
      <c r="I577" s="1">
        <v>5.06</v>
      </c>
      <c r="J577" s="1">
        <v>0.605443</v>
      </c>
      <c r="L577" s="10">
        <f>IFERROR(__xludf.DUMMYFUNCTION("""COMPUTED_VALUE"""),800311.0)</f>
        <v>800311</v>
      </c>
      <c r="M577" s="10">
        <f>IFERROR(__xludf.DUMMYFUNCTION("""COMPUTED_VALUE"""),293.0)</f>
        <v>293</v>
      </c>
    </row>
    <row r="578">
      <c r="A578" s="1">
        <v>2025.0</v>
      </c>
      <c r="B578" s="1" t="s">
        <v>857</v>
      </c>
      <c r="C578" s="1">
        <v>699134.0</v>
      </c>
      <c r="D578" s="1" t="s">
        <v>536</v>
      </c>
      <c r="E578" s="1" t="s">
        <v>927</v>
      </c>
      <c r="F578" s="1" t="s">
        <v>926</v>
      </c>
      <c r="G578" s="1">
        <v>2.0</v>
      </c>
      <c r="H578" s="1">
        <v>0.121693122</v>
      </c>
      <c r="I578" s="1">
        <v>2.89</v>
      </c>
      <c r="J578" s="1">
        <v>0.129006</v>
      </c>
      <c r="L578" s="10">
        <f>IFERROR(__xludf.DUMMYFUNCTION("""COMPUTED_VALUE"""),680704.0)</f>
        <v>680704</v>
      </c>
      <c r="M578" s="10">
        <f>IFERROR(__xludf.DUMMYFUNCTION("""COMPUTED_VALUE"""),290.0)</f>
        <v>290</v>
      </c>
    </row>
    <row r="579">
      <c r="A579" s="1">
        <v>2025.0</v>
      </c>
      <c r="B579" s="1" t="s">
        <v>857</v>
      </c>
      <c r="C579" s="1">
        <v>699134.0</v>
      </c>
      <c r="D579" s="1" t="s">
        <v>532</v>
      </c>
      <c r="E579" s="1" t="s">
        <v>927</v>
      </c>
      <c r="F579" s="1" t="s">
        <v>927</v>
      </c>
      <c r="G579" s="1">
        <v>7.0</v>
      </c>
      <c r="H579" s="1">
        <v>0.425925926</v>
      </c>
      <c r="I579" s="1">
        <v>4.38</v>
      </c>
      <c r="J579" s="1">
        <v>0.241988</v>
      </c>
      <c r="L579" s="10">
        <f>IFERROR(__xludf.DUMMYFUNCTION("""COMPUTED_VALUE"""),687075.0)</f>
        <v>687075</v>
      </c>
      <c r="M579" s="10">
        <f>IFERROR(__xludf.DUMMYFUNCTION("""COMPUTED_VALUE"""),290.0)</f>
        <v>290</v>
      </c>
    </row>
    <row r="580">
      <c r="A580" s="1">
        <v>2025.0</v>
      </c>
      <c r="B580" s="1" t="s">
        <v>857</v>
      </c>
      <c r="C580" s="1">
        <v>699134.0</v>
      </c>
      <c r="D580" s="1" t="s">
        <v>540</v>
      </c>
      <c r="E580" s="1" t="s">
        <v>927</v>
      </c>
      <c r="F580" s="1" t="s">
        <v>927</v>
      </c>
      <c r="G580" s="1">
        <v>13.0</v>
      </c>
      <c r="H580" s="1">
        <v>0.791005291</v>
      </c>
      <c r="I580" s="1">
        <v>4.77</v>
      </c>
      <c r="J580" s="1">
        <v>0.34761</v>
      </c>
      <c r="L580" s="10">
        <f>IFERROR(__xludf.DUMMYFUNCTION("""COMPUTED_VALUE"""),692285.0)</f>
        <v>692285</v>
      </c>
      <c r="M580" s="10">
        <f>IFERROR(__xludf.DUMMYFUNCTION("""COMPUTED_VALUE"""),289.0)</f>
        <v>289</v>
      </c>
    </row>
    <row r="581">
      <c r="A581" s="1">
        <v>2025.0</v>
      </c>
      <c r="B581" s="1" t="s">
        <v>857</v>
      </c>
      <c r="C581" s="1">
        <v>699134.0</v>
      </c>
      <c r="D581" s="1" t="s">
        <v>537</v>
      </c>
      <c r="E581" s="1" t="s">
        <v>927</v>
      </c>
      <c r="F581" s="1" t="s">
        <v>927</v>
      </c>
      <c r="G581" s="1">
        <v>19.0</v>
      </c>
      <c r="H581" s="1">
        <v>1.156084656</v>
      </c>
      <c r="I581" s="1">
        <v>4.46</v>
      </c>
      <c r="J581" s="1">
        <v>0.648738</v>
      </c>
      <c r="L581" s="10">
        <f>IFERROR(__xludf.DUMMYFUNCTION("""COMPUTED_VALUE"""),664294.0)</f>
        <v>664294</v>
      </c>
      <c r="M581" s="10">
        <f>IFERROR(__xludf.DUMMYFUNCTION("""COMPUTED_VALUE"""),285.0)</f>
        <v>285</v>
      </c>
    </row>
    <row r="582">
      <c r="A582" s="1">
        <v>2025.0</v>
      </c>
      <c r="B582" s="1" t="s">
        <v>857</v>
      </c>
      <c r="C582" s="1">
        <v>699134.0</v>
      </c>
      <c r="D582" s="1" t="s">
        <v>536</v>
      </c>
      <c r="E582" s="1" t="s">
        <v>927</v>
      </c>
      <c r="F582" s="1" t="s">
        <v>927</v>
      </c>
      <c r="G582" s="1">
        <v>31.0</v>
      </c>
      <c r="H582" s="1">
        <v>1.886243386</v>
      </c>
      <c r="I582" s="1">
        <v>3.7</v>
      </c>
      <c r="J582" s="1">
        <v>1.557713</v>
      </c>
      <c r="L582" s="10">
        <f>IFERROR(__xludf.DUMMYFUNCTION("""COMPUTED_VALUE"""),663804.0)</f>
        <v>663804</v>
      </c>
      <c r="M582" s="10">
        <f>IFERROR(__xludf.DUMMYFUNCTION("""COMPUTED_VALUE"""),281.0)</f>
        <v>281</v>
      </c>
    </row>
    <row r="583">
      <c r="A583" s="1">
        <v>2025.0</v>
      </c>
      <c r="B583" s="1" t="s">
        <v>466</v>
      </c>
      <c r="C583" s="1">
        <v>687134.0</v>
      </c>
      <c r="D583" s="1" t="s">
        <v>541</v>
      </c>
      <c r="E583" s="1" t="s">
        <v>927</v>
      </c>
      <c r="F583" s="1" t="s">
        <v>926</v>
      </c>
      <c r="G583" s="1">
        <v>95.0</v>
      </c>
      <c r="H583" s="1">
        <v>5.395288803</v>
      </c>
      <c r="I583" s="1">
        <v>4.81</v>
      </c>
      <c r="J583" s="1">
        <v>2.467647</v>
      </c>
      <c r="L583" s="10">
        <f>IFERROR(__xludf.DUMMYFUNCTION("""COMPUTED_VALUE"""),502043.0)</f>
        <v>502043</v>
      </c>
      <c r="M583" s="10">
        <f>IFERROR(__xludf.DUMMYFUNCTION("""COMPUTED_VALUE"""),280.0)</f>
        <v>280</v>
      </c>
    </row>
    <row r="584">
      <c r="A584" s="1">
        <v>2025.0</v>
      </c>
      <c r="B584" s="1" t="s">
        <v>466</v>
      </c>
      <c r="C584" s="1">
        <v>687134.0</v>
      </c>
      <c r="D584" s="1" t="s">
        <v>540</v>
      </c>
      <c r="E584" s="1" t="s">
        <v>927</v>
      </c>
      <c r="F584" s="1" t="s">
        <v>926</v>
      </c>
      <c r="G584" s="1">
        <v>53.0</v>
      </c>
      <c r="H584" s="1">
        <v>3.010003227</v>
      </c>
      <c r="I584" s="1">
        <v>4.6</v>
      </c>
      <c r="J584" s="1">
        <v>1.641362</v>
      </c>
      <c r="L584" s="10">
        <f>IFERROR(__xludf.DUMMYFUNCTION("""COMPUTED_VALUE"""),663878.0)</f>
        <v>663878</v>
      </c>
      <c r="M584" s="10">
        <f>IFERROR(__xludf.DUMMYFUNCTION("""COMPUTED_VALUE"""),280.0)</f>
        <v>280</v>
      </c>
    </row>
    <row r="585">
      <c r="A585" s="1">
        <v>2025.0</v>
      </c>
      <c r="B585" s="1" t="s">
        <v>466</v>
      </c>
      <c r="C585" s="1">
        <v>687134.0</v>
      </c>
      <c r="D585" s="1" t="s">
        <v>537</v>
      </c>
      <c r="E585" s="1" t="s">
        <v>927</v>
      </c>
      <c r="F585" s="1" t="s">
        <v>926</v>
      </c>
      <c r="G585" s="1">
        <v>275.0</v>
      </c>
      <c r="H585" s="1">
        <v>15.61794127</v>
      </c>
      <c r="I585" s="1">
        <v>4.8</v>
      </c>
      <c r="J585" s="1">
        <v>7.526747</v>
      </c>
      <c r="L585" s="10">
        <f>IFERROR(__xludf.DUMMYFUNCTION("""COMPUTED_VALUE"""),694363.0)</f>
        <v>694363</v>
      </c>
      <c r="M585" s="10">
        <f>IFERROR(__xludf.DUMMYFUNCTION("""COMPUTED_VALUE"""),280.0)</f>
        <v>280</v>
      </c>
    </row>
    <row r="586">
      <c r="A586" s="1">
        <v>2025.0</v>
      </c>
      <c r="B586" s="1" t="s">
        <v>466</v>
      </c>
      <c r="C586" s="1">
        <v>687134.0</v>
      </c>
      <c r="D586" s="1" t="s">
        <v>538</v>
      </c>
      <c r="E586" s="1" t="s">
        <v>927</v>
      </c>
      <c r="F586" s="1" t="s">
        <v>926</v>
      </c>
      <c r="G586" s="1">
        <v>148.0</v>
      </c>
      <c r="H586" s="1">
        <v>8.40529203</v>
      </c>
      <c r="I586" s="1">
        <v>4.8</v>
      </c>
      <c r="J586" s="1">
        <v>3.967181</v>
      </c>
      <c r="L586" s="10">
        <f>IFERROR(__xludf.DUMMYFUNCTION("""COMPUTED_VALUE"""),608371.0)</f>
        <v>608371</v>
      </c>
      <c r="M586" s="10">
        <f>IFERROR(__xludf.DUMMYFUNCTION("""COMPUTED_VALUE"""),279.0)</f>
        <v>279</v>
      </c>
    </row>
    <row r="587">
      <c r="A587" s="1">
        <v>2025.0</v>
      </c>
      <c r="B587" s="1" t="s">
        <v>466</v>
      </c>
      <c r="C587" s="1">
        <v>687134.0</v>
      </c>
      <c r="D587" s="1" t="s">
        <v>533</v>
      </c>
      <c r="E587" s="1" t="s">
        <v>927</v>
      </c>
      <c r="F587" s="1" t="s">
        <v>926</v>
      </c>
      <c r="G587" s="1">
        <v>15.0</v>
      </c>
      <c r="H587" s="1">
        <v>0.851887706</v>
      </c>
      <c r="I587" s="1">
        <v>4.57</v>
      </c>
      <c r="J587" s="1">
        <v>0.45392</v>
      </c>
      <c r="L587" s="10">
        <f>IFERROR(__xludf.DUMMYFUNCTION("""COMPUTED_VALUE"""),683618.0)</f>
        <v>683618</v>
      </c>
      <c r="M587" s="10">
        <f>IFERROR(__xludf.DUMMYFUNCTION("""COMPUTED_VALUE"""),279.0)</f>
        <v>279</v>
      </c>
    </row>
    <row r="588">
      <c r="A588" s="1">
        <v>2025.0</v>
      </c>
      <c r="B588" s="1" t="s">
        <v>466</v>
      </c>
      <c r="C588" s="1">
        <v>687134.0</v>
      </c>
      <c r="D588" s="1" t="s">
        <v>541</v>
      </c>
      <c r="E588" s="1" t="s">
        <v>927</v>
      </c>
      <c r="F588" s="1" t="s">
        <v>927</v>
      </c>
      <c r="G588" s="1">
        <v>38.0</v>
      </c>
      <c r="H588" s="1">
        <v>2.158115521</v>
      </c>
      <c r="I588" s="1">
        <v>4.31</v>
      </c>
      <c r="J588" s="1">
        <v>1.369674</v>
      </c>
      <c r="L588" s="10">
        <f>IFERROR(__xludf.DUMMYFUNCTION("""COMPUTED_VALUE"""),805299.0)</f>
        <v>805299</v>
      </c>
      <c r="M588" s="10">
        <f>IFERROR(__xludf.DUMMYFUNCTION("""COMPUTED_VALUE"""),277.0)</f>
        <v>277</v>
      </c>
    </row>
    <row r="589">
      <c r="A589" s="1">
        <v>2025.0</v>
      </c>
      <c r="B589" s="1" t="s">
        <v>466</v>
      </c>
      <c r="C589" s="1">
        <v>687134.0</v>
      </c>
      <c r="D589" s="1" t="s">
        <v>540</v>
      </c>
      <c r="E589" s="1" t="s">
        <v>927</v>
      </c>
      <c r="F589" s="1" t="s">
        <v>927</v>
      </c>
      <c r="G589" s="1">
        <v>48.0</v>
      </c>
      <c r="H589" s="1">
        <v>2.726040658</v>
      </c>
      <c r="I589" s="1">
        <v>5.46</v>
      </c>
      <c r="J589" s="1">
        <v>0.690843</v>
      </c>
      <c r="L589" s="10">
        <f>IFERROR(__xludf.DUMMYFUNCTION("""COMPUTED_VALUE"""),596271.0)</f>
        <v>596271</v>
      </c>
      <c r="M589" s="10">
        <f>IFERROR(__xludf.DUMMYFUNCTION("""COMPUTED_VALUE"""),276.0)</f>
        <v>276</v>
      </c>
    </row>
    <row r="590">
      <c r="A590" s="1">
        <v>2025.0</v>
      </c>
      <c r="B590" s="1" t="s">
        <v>466</v>
      </c>
      <c r="C590" s="1">
        <v>687134.0</v>
      </c>
      <c r="D590" s="1" t="s">
        <v>537</v>
      </c>
      <c r="E590" s="1" t="s">
        <v>927</v>
      </c>
      <c r="F590" s="1" t="s">
        <v>927</v>
      </c>
      <c r="G590" s="1">
        <v>205.0</v>
      </c>
      <c r="H590" s="1">
        <v>11.64246531</v>
      </c>
      <c r="I590" s="1">
        <v>4.84</v>
      </c>
      <c r="J590" s="1">
        <v>5.420888</v>
      </c>
      <c r="L590" s="10">
        <f>IFERROR(__xludf.DUMMYFUNCTION("""COMPUTED_VALUE"""),696270.0)</f>
        <v>696270</v>
      </c>
      <c r="M590" s="10">
        <f>IFERROR(__xludf.DUMMYFUNCTION("""COMPUTED_VALUE"""),274.0)</f>
        <v>274</v>
      </c>
    </row>
    <row r="591">
      <c r="A591" s="1">
        <v>2025.0</v>
      </c>
      <c r="B591" s="1" t="s">
        <v>466</v>
      </c>
      <c r="C591" s="1">
        <v>687134.0</v>
      </c>
      <c r="D591" s="1" t="s">
        <v>538</v>
      </c>
      <c r="E591" s="1" t="s">
        <v>927</v>
      </c>
      <c r="F591" s="1" t="s">
        <v>927</v>
      </c>
      <c r="G591" s="1">
        <v>9.0</v>
      </c>
      <c r="H591" s="1">
        <v>0.511132623</v>
      </c>
      <c r="I591" s="1">
        <v>6.14</v>
      </c>
      <c r="J591" s="1">
        <v>-0.009765</v>
      </c>
      <c r="L591" s="10">
        <f>IFERROR(__xludf.DUMMYFUNCTION("""COMPUTED_VALUE"""),519008.0)</f>
        <v>519008</v>
      </c>
      <c r="M591" s="10">
        <f>IFERROR(__xludf.DUMMYFUNCTION("""COMPUTED_VALUE"""),272.0)</f>
        <v>272</v>
      </c>
    </row>
    <row r="592">
      <c r="A592" s="1">
        <v>2025.0</v>
      </c>
      <c r="B592" s="1" t="s">
        <v>466</v>
      </c>
      <c r="C592" s="1">
        <v>687134.0</v>
      </c>
      <c r="D592" s="1" t="s">
        <v>533</v>
      </c>
      <c r="E592" s="1" t="s">
        <v>927</v>
      </c>
      <c r="F592" s="1" t="s">
        <v>927</v>
      </c>
      <c r="G592" s="1">
        <v>147.0</v>
      </c>
      <c r="H592" s="1">
        <v>8.348499516</v>
      </c>
      <c r="I592" s="1">
        <v>5.25</v>
      </c>
      <c r="J592" s="1">
        <v>2.621888</v>
      </c>
      <c r="L592" s="10">
        <f>IFERROR(__xludf.DUMMYFUNCTION("""COMPUTED_VALUE"""),681867.0)</f>
        <v>681867</v>
      </c>
      <c r="M592" s="10">
        <f>IFERROR(__xludf.DUMMYFUNCTION("""COMPUTED_VALUE"""),271.0)</f>
        <v>271</v>
      </c>
    </row>
    <row r="593">
      <c r="A593" s="1">
        <v>2025.0</v>
      </c>
      <c r="B593" s="1" t="s">
        <v>940</v>
      </c>
      <c r="C593" s="1">
        <v>669620.0</v>
      </c>
      <c r="D593" s="1" t="s">
        <v>532</v>
      </c>
      <c r="E593" s="1" t="s">
        <v>926</v>
      </c>
      <c r="F593" s="1" t="s">
        <v>926</v>
      </c>
      <c r="G593" s="1">
        <v>1.0</v>
      </c>
      <c r="H593" s="1">
        <v>0.056634304</v>
      </c>
      <c r="I593" s="1">
        <v>3.8</v>
      </c>
      <c r="J593" s="1">
        <v>0.040042</v>
      </c>
      <c r="L593" s="10">
        <f>IFERROR(__xludf.DUMMYFUNCTION("""COMPUTED_VALUE"""),664875.0)</f>
        <v>664875</v>
      </c>
      <c r="M593" s="10">
        <f>IFERROR(__xludf.DUMMYFUNCTION("""COMPUTED_VALUE"""),270.0)</f>
        <v>270</v>
      </c>
    </row>
    <row r="594">
      <c r="A594" s="1">
        <v>2025.0</v>
      </c>
      <c r="B594" s="1" t="s">
        <v>940</v>
      </c>
      <c r="C594" s="1">
        <v>669620.0</v>
      </c>
      <c r="D594" s="1" t="s">
        <v>541</v>
      </c>
      <c r="E594" s="1" t="s">
        <v>926</v>
      </c>
      <c r="F594" s="1" t="s">
        <v>926</v>
      </c>
      <c r="G594" s="1">
        <v>8.0</v>
      </c>
      <c r="H594" s="1">
        <v>0.453074434</v>
      </c>
      <c r="I594" s="1">
        <v>4.92</v>
      </c>
      <c r="J594" s="1">
        <v>0.17058</v>
      </c>
      <c r="L594" s="10">
        <f>IFERROR(__xludf.DUMMYFUNCTION("""COMPUTED_VALUE"""),679885.0)</f>
        <v>679885</v>
      </c>
      <c r="M594" s="10">
        <f>IFERROR(__xludf.DUMMYFUNCTION("""COMPUTED_VALUE"""),269.0)</f>
        <v>269</v>
      </c>
    </row>
    <row r="595">
      <c r="A595" s="1">
        <v>2025.0</v>
      </c>
      <c r="B595" s="1" t="s">
        <v>940</v>
      </c>
      <c r="C595" s="1">
        <v>669620.0</v>
      </c>
      <c r="D595" s="1" t="s">
        <v>540</v>
      </c>
      <c r="E595" s="1" t="s">
        <v>926</v>
      </c>
      <c r="F595" s="1" t="s">
        <v>926</v>
      </c>
      <c r="G595" s="1">
        <v>26.0</v>
      </c>
      <c r="H595" s="1">
        <v>1.472491909</v>
      </c>
      <c r="I595" s="1">
        <v>4.95</v>
      </c>
      <c r="J595" s="1">
        <v>0.561848</v>
      </c>
      <c r="L595" s="10">
        <f>IFERROR(__xludf.DUMMYFUNCTION("""COMPUTED_VALUE"""),606965.0)</f>
        <v>606965</v>
      </c>
      <c r="M595" s="10">
        <f>IFERROR(__xludf.DUMMYFUNCTION("""COMPUTED_VALUE"""),261.0)</f>
        <v>261</v>
      </c>
    </row>
    <row r="596">
      <c r="A596" s="1">
        <v>2025.0</v>
      </c>
      <c r="B596" s="1" t="s">
        <v>940</v>
      </c>
      <c r="C596" s="1">
        <v>669620.0</v>
      </c>
      <c r="D596" s="1" t="s">
        <v>537</v>
      </c>
      <c r="E596" s="1" t="s">
        <v>926</v>
      </c>
      <c r="F596" s="1" t="s">
        <v>926</v>
      </c>
      <c r="G596" s="1">
        <v>31.0</v>
      </c>
      <c r="H596" s="1">
        <v>1.75566343</v>
      </c>
      <c r="I596" s="1">
        <v>5.47</v>
      </c>
      <c r="J596" s="1">
        <v>0.381212</v>
      </c>
      <c r="L596" s="10">
        <f>IFERROR(__xludf.DUMMYFUNCTION("""COMPUTED_VALUE"""),666215.0)</f>
        <v>666215</v>
      </c>
      <c r="M596" s="10">
        <f>IFERROR(__xludf.DUMMYFUNCTION("""COMPUTED_VALUE"""),256.0)</f>
        <v>256</v>
      </c>
    </row>
    <row r="597">
      <c r="A597" s="1">
        <v>2025.0</v>
      </c>
      <c r="B597" s="1" t="s">
        <v>940</v>
      </c>
      <c r="C597" s="1">
        <v>669620.0</v>
      </c>
      <c r="D597" s="1" t="s">
        <v>536</v>
      </c>
      <c r="E597" s="1" t="s">
        <v>926</v>
      </c>
      <c r="F597" s="1" t="s">
        <v>926</v>
      </c>
      <c r="G597" s="1">
        <v>5.0</v>
      </c>
      <c r="H597" s="1">
        <v>0.283171521</v>
      </c>
      <c r="I597" s="1">
        <v>5.55</v>
      </c>
      <c r="J597" s="1">
        <v>0.053142</v>
      </c>
      <c r="L597" s="10">
        <f>IFERROR(__xludf.DUMMYFUNCTION("""COMPUTED_VALUE"""),642016.0)</f>
        <v>642016</v>
      </c>
      <c r="M597" s="10">
        <f>IFERROR(__xludf.DUMMYFUNCTION("""COMPUTED_VALUE"""),255.0)</f>
        <v>255</v>
      </c>
    </row>
    <row r="598">
      <c r="A598" s="1">
        <v>2025.0</v>
      </c>
      <c r="B598" s="1" t="s">
        <v>940</v>
      </c>
      <c r="C598" s="1">
        <v>669620.0</v>
      </c>
      <c r="D598" s="1" t="s">
        <v>532</v>
      </c>
      <c r="E598" s="1" t="s">
        <v>926</v>
      </c>
      <c r="F598" s="1" t="s">
        <v>927</v>
      </c>
      <c r="G598" s="1">
        <v>20.0</v>
      </c>
      <c r="H598" s="1">
        <v>1.132686084</v>
      </c>
      <c r="I598" s="1">
        <v>4.88</v>
      </c>
      <c r="J598" s="1">
        <v>0.468571</v>
      </c>
      <c r="L598" s="10">
        <f>IFERROR(__xludf.DUMMYFUNCTION("""COMPUTED_VALUE"""),691251.0)</f>
        <v>691251</v>
      </c>
      <c r="M598" s="10">
        <f>IFERROR(__xludf.DUMMYFUNCTION("""COMPUTED_VALUE"""),255.0)</f>
        <v>255</v>
      </c>
    </row>
    <row r="599">
      <c r="A599" s="1">
        <v>2025.0</v>
      </c>
      <c r="B599" s="1" t="s">
        <v>940</v>
      </c>
      <c r="C599" s="1">
        <v>669620.0</v>
      </c>
      <c r="D599" s="1" t="s">
        <v>541</v>
      </c>
      <c r="E599" s="1" t="s">
        <v>926</v>
      </c>
      <c r="F599" s="1" t="s">
        <v>927</v>
      </c>
      <c r="G599" s="1">
        <v>28.0</v>
      </c>
      <c r="H599" s="1">
        <v>1.585760518</v>
      </c>
      <c r="I599" s="1">
        <v>4.37</v>
      </c>
      <c r="J599" s="1">
        <v>0.94389</v>
      </c>
      <c r="L599" s="10">
        <f>IFERROR(__xludf.DUMMYFUNCTION("""COMPUTED_VALUE"""),663546.0)</f>
        <v>663546</v>
      </c>
      <c r="M599" s="10">
        <f>IFERROR(__xludf.DUMMYFUNCTION("""COMPUTED_VALUE"""),254.0)</f>
        <v>254</v>
      </c>
    </row>
    <row r="600">
      <c r="A600" s="1">
        <v>2025.0</v>
      </c>
      <c r="B600" s="1" t="s">
        <v>940</v>
      </c>
      <c r="C600" s="1">
        <v>669620.0</v>
      </c>
      <c r="D600" s="1" t="s">
        <v>540</v>
      </c>
      <c r="E600" s="1" t="s">
        <v>926</v>
      </c>
      <c r="F600" s="1" t="s">
        <v>927</v>
      </c>
      <c r="G600" s="1">
        <v>9.0</v>
      </c>
      <c r="H600" s="1">
        <v>0.509708738</v>
      </c>
      <c r="I600" s="1">
        <v>5.18</v>
      </c>
      <c r="J600" s="1">
        <v>0.161485</v>
      </c>
      <c r="L600" s="10">
        <f>IFERROR(__xludf.DUMMYFUNCTION("""COMPUTED_VALUE"""),663562.0)</f>
        <v>663562</v>
      </c>
      <c r="M600" s="10">
        <f>IFERROR(__xludf.DUMMYFUNCTION("""COMPUTED_VALUE"""),251.0)</f>
        <v>251</v>
      </c>
    </row>
    <row r="601">
      <c r="A601" s="1">
        <v>2025.0</v>
      </c>
      <c r="B601" s="1" t="s">
        <v>940</v>
      </c>
      <c r="C601" s="1">
        <v>669620.0</v>
      </c>
      <c r="D601" s="1" t="s">
        <v>537</v>
      </c>
      <c r="E601" s="1" t="s">
        <v>926</v>
      </c>
      <c r="F601" s="1" t="s">
        <v>927</v>
      </c>
      <c r="G601" s="1">
        <v>73.0</v>
      </c>
      <c r="H601" s="1">
        <v>4.134304207</v>
      </c>
      <c r="I601" s="1">
        <v>4.89</v>
      </c>
      <c r="J601" s="1">
        <v>1.82177</v>
      </c>
      <c r="L601" s="10">
        <f>IFERROR(__xludf.DUMMYFUNCTION("""COMPUTED_VALUE"""),674384.0)</f>
        <v>674384</v>
      </c>
      <c r="M601" s="10">
        <f>IFERROR(__xludf.DUMMYFUNCTION("""COMPUTED_VALUE"""),249.0)</f>
        <v>249</v>
      </c>
    </row>
    <row r="602">
      <c r="A602" s="1">
        <v>2025.0</v>
      </c>
      <c r="B602" s="1" t="s">
        <v>940</v>
      </c>
      <c r="C602" s="1">
        <v>669620.0</v>
      </c>
      <c r="D602" s="1" t="s">
        <v>536</v>
      </c>
      <c r="E602" s="1" t="s">
        <v>926</v>
      </c>
      <c r="F602" s="1" t="s">
        <v>927</v>
      </c>
      <c r="G602" s="1">
        <v>5.0</v>
      </c>
      <c r="H602" s="1">
        <v>0.283171521</v>
      </c>
      <c r="I602" s="1">
        <v>3.2</v>
      </c>
      <c r="J602" s="1">
        <v>0.272299</v>
      </c>
      <c r="L602" s="10">
        <f>IFERROR(__xludf.DUMMYFUNCTION("""COMPUTED_VALUE"""),676604.0)</f>
        <v>676604</v>
      </c>
      <c r="M602" s="10">
        <f>IFERROR(__xludf.DUMMYFUNCTION("""COMPUTED_VALUE"""),245.0)</f>
        <v>245</v>
      </c>
    </row>
    <row r="603">
      <c r="A603" s="1">
        <v>2025.0</v>
      </c>
      <c r="B603" s="1" t="s">
        <v>353</v>
      </c>
      <c r="C603" s="1">
        <v>663903.0</v>
      </c>
      <c r="D603" s="1" t="s">
        <v>540</v>
      </c>
      <c r="E603" s="1" t="s">
        <v>927</v>
      </c>
      <c r="F603" s="1" t="s">
        <v>926</v>
      </c>
      <c r="G603" s="1">
        <v>180.0</v>
      </c>
      <c r="H603" s="1">
        <v>10.71578947</v>
      </c>
      <c r="I603" s="1">
        <v>4.86</v>
      </c>
      <c r="J603" s="1">
        <v>4.541276</v>
      </c>
      <c r="L603" s="10">
        <f>IFERROR(__xludf.DUMMYFUNCTION("""COMPUTED_VALUE"""),686730.0)</f>
        <v>686730</v>
      </c>
      <c r="M603" s="10">
        <f>IFERROR(__xludf.DUMMYFUNCTION("""COMPUTED_VALUE"""),245.0)</f>
        <v>245</v>
      </c>
    </row>
    <row r="604">
      <c r="A604" s="1">
        <v>2025.0</v>
      </c>
      <c r="B604" s="1" t="s">
        <v>353</v>
      </c>
      <c r="C604" s="1">
        <v>663903.0</v>
      </c>
      <c r="D604" s="1" t="s">
        <v>537</v>
      </c>
      <c r="E604" s="1" t="s">
        <v>927</v>
      </c>
      <c r="F604" s="1" t="s">
        <v>926</v>
      </c>
      <c r="G604" s="1">
        <v>187.0</v>
      </c>
      <c r="H604" s="1">
        <v>11.13251462</v>
      </c>
      <c r="I604" s="1">
        <v>4.39</v>
      </c>
      <c r="J604" s="1">
        <v>6.465123</v>
      </c>
      <c r="L604" s="10">
        <f>IFERROR(__xludf.DUMMYFUNCTION("""COMPUTED_VALUE"""),694851.0)</f>
        <v>694851</v>
      </c>
      <c r="M604" s="10">
        <f>IFERROR(__xludf.DUMMYFUNCTION("""COMPUTED_VALUE"""),245.0)</f>
        <v>245</v>
      </c>
    </row>
    <row r="605">
      <c r="A605" s="1">
        <v>2025.0</v>
      </c>
      <c r="B605" s="1" t="s">
        <v>353</v>
      </c>
      <c r="C605" s="1">
        <v>663903.0</v>
      </c>
      <c r="D605" s="1" t="s">
        <v>536</v>
      </c>
      <c r="E605" s="1" t="s">
        <v>927</v>
      </c>
      <c r="F605" s="1" t="s">
        <v>926</v>
      </c>
      <c r="G605" s="1">
        <v>686.0</v>
      </c>
      <c r="H605" s="1">
        <v>40.83906433</v>
      </c>
      <c r="I605" s="1">
        <v>4.75</v>
      </c>
      <c r="J605" s="1">
        <v>18.558772</v>
      </c>
      <c r="L605" s="10">
        <f>IFERROR(__xludf.DUMMYFUNCTION("""COMPUTED_VALUE"""),621363.0)</f>
        <v>621363</v>
      </c>
      <c r="M605" s="10">
        <f>IFERROR(__xludf.DUMMYFUNCTION("""COMPUTED_VALUE"""),244.0)</f>
        <v>244</v>
      </c>
    </row>
    <row r="606">
      <c r="A606" s="1">
        <v>2025.0</v>
      </c>
      <c r="B606" s="1" t="s">
        <v>353</v>
      </c>
      <c r="C606" s="1">
        <v>663903.0</v>
      </c>
      <c r="D606" s="1" t="s">
        <v>533</v>
      </c>
      <c r="E606" s="1" t="s">
        <v>927</v>
      </c>
      <c r="F606" s="1" t="s">
        <v>926</v>
      </c>
      <c r="G606" s="1">
        <v>470.0</v>
      </c>
      <c r="H606" s="1">
        <v>27.98011696</v>
      </c>
      <c r="I606" s="1">
        <v>5.22</v>
      </c>
      <c r="J606" s="1">
        <v>7.887042</v>
      </c>
      <c r="L606" s="10">
        <f>IFERROR(__xludf.DUMMYFUNCTION("""COMPUTED_VALUE"""),623433.0)</f>
        <v>623433</v>
      </c>
      <c r="M606" s="10">
        <f>IFERROR(__xludf.DUMMYFUNCTION("""COMPUTED_VALUE"""),240.0)</f>
        <v>240</v>
      </c>
    </row>
    <row r="607">
      <c r="A607" s="1">
        <v>2025.0</v>
      </c>
      <c r="B607" s="1" t="s">
        <v>353</v>
      </c>
      <c r="C607" s="1">
        <v>663903.0</v>
      </c>
      <c r="D607" s="1" t="s">
        <v>539</v>
      </c>
      <c r="E607" s="1" t="s">
        <v>927</v>
      </c>
      <c r="F607" s="1" t="s">
        <v>926</v>
      </c>
      <c r="G607" s="1">
        <v>118.0</v>
      </c>
      <c r="H607" s="1">
        <v>7.024795322</v>
      </c>
      <c r="I607" s="1">
        <v>5.05</v>
      </c>
      <c r="J607" s="1">
        <v>2.453265</v>
      </c>
      <c r="L607" s="10">
        <f>IFERROR(__xludf.DUMMYFUNCTION("""COMPUTED_VALUE"""),666168.0)</f>
        <v>666168</v>
      </c>
      <c r="M607" s="10">
        <f>IFERROR(__xludf.DUMMYFUNCTION("""COMPUTED_VALUE"""),239.0)</f>
        <v>239</v>
      </c>
    </row>
    <row r="608">
      <c r="A608" s="1">
        <v>2025.0</v>
      </c>
      <c r="B608" s="1" t="s">
        <v>353</v>
      </c>
      <c r="C608" s="1">
        <v>663903.0</v>
      </c>
      <c r="D608" s="1" t="s">
        <v>540</v>
      </c>
      <c r="E608" s="1" t="s">
        <v>927</v>
      </c>
      <c r="F608" s="1" t="s">
        <v>927</v>
      </c>
      <c r="G608" s="1">
        <v>96.0</v>
      </c>
      <c r="H608" s="1">
        <v>5.715087719</v>
      </c>
      <c r="I608" s="1">
        <v>5.17</v>
      </c>
      <c r="J608" s="1">
        <v>1.833437</v>
      </c>
      <c r="L608" s="10">
        <f>IFERROR(__xludf.DUMMYFUNCTION("""COMPUTED_VALUE"""),702056.0)</f>
        <v>702056</v>
      </c>
      <c r="M608" s="10">
        <f>IFERROR(__xludf.DUMMYFUNCTION("""COMPUTED_VALUE"""),239.0)</f>
        <v>239</v>
      </c>
    </row>
    <row r="609">
      <c r="A609" s="1">
        <v>2025.0</v>
      </c>
      <c r="B609" s="1" t="s">
        <v>353</v>
      </c>
      <c r="C609" s="1">
        <v>663903.0</v>
      </c>
      <c r="D609" s="1" t="s">
        <v>537</v>
      </c>
      <c r="E609" s="1" t="s">
        <v>927</v>
      </c>
      <c r="F609" s="1" t="s">
        <v>927</v>
      </c>
      <c r="G609" s="1">
        <v>111.0</v>
      </c>
      <c r="H609" s="1">
        <v>6.608070175</v>
      </c>
      <c r="I609" s="1">
        <v>4.69</v>
      </c>
      <c r="J609" s="1">
        <v>3.163151</v>
      </c>
      <c r="L609" s="10">
        <f>IFERROR(__xludf.DUMMYFUNCTION("""COMPUTED_VALUE"""),521230.0)</f>
        <v>521230</v>
      </c>
      <c r="M609" s="10">
        <f>IFERROR(__xludf.DUMMYFUNCTION("""COMPUTED_VALUE"""),232.0)</f>
        <v>232</v>
      </c>
    </row>
    <row r="610">
      <c r="A610" s="1">
        <v>2025.0</v>
      </c>
      <c r="B610" s="1" t="s">
        <v>353</v>
      </c>
      <c r="C610" s="1">
        <v>663903.0</v>
      </c>
      <c r="D610" s="1" t="s">
        <v>536</v>
      </c>
      <c r="E610" s="1" t="s">
        <v>927</v>
      </c>
      <c r="F610" s="1" t="s">
        <v>927</v>
      </c>
      <c r="G610" s="1">
        <v>472.0</v>
      </c>
      <c r="H610" s="1">
        <v>28.09918129</v>
      </c>
      <c r="I610" s="1">
        <v>5.07</v>
      </c>
      <c r="J610" s="1">
        <v>9.853087</v>
      </c>
      <c r="L610" s="10">
        <f>IFERROR(__xludf.DUMMYFUNCTION("""COMPUTED_VALUE"""),642048.0)</f>
        <v>642048</v>
      </c>
      <c r="M610" s="10">
        <f>IFERROR(__xludf.DUMMYFUNCTION("""COMPUTED_VALUE"""),232.0)</f>
        <v>232</v>
      </c>
    </row>
    <row r="611">
      <c r="A611" s="1">
        <v>2025.0</v>
      </c>
      <c r="B611" s="1" t="s">
        <v>353</v>
      </c>
      <c r="C611" s="1">
        <v>663903.0</v>
      </c>
      <c r="D611" s="1" t="s">
        <v>533</v>
      </c>
      <c r="E611" s="1" t="s">
        <v>927</v>
      </c>
      <c r="F611" s="1" t="s">
        <v>927</v>
      </c>
      <c r="G611" s="1">
        <v>392.0</v>
      </c>
      <c r="H611" s="1">
        <v>23.33660819</v>
      </c>
      <c r="I611" s="1">
        <v>5.11</v>
      </c>
      <c r="J611" s="1">
        <v>7.564059</v>
      </c>
      <c r="L611" s="10">
        <f>IFERROR(__xludf.DUMMYFUNCTION("""COMPUTED_VALUE"""),682171.0)</f>
        <v>682171</v>
      </c>
      <c r="M611" s="10">
        <f>IFERROR(__xludf.DUMMYFUNCTION("""COMPUTED_VALUE"""),232.0)</f>
        <v>232</v>
      </c>
    </row>
    <row r="612">
      <c r="A612" s="1">
        <v>2025.0</v>
      </c>
      <c r="B612" s="1" t="s">
        <v>353</v>
      </c>
      <c r="C612" s="1">
        <v>663903.0</v>
      </c>
      <c r="D612" s="1" t="s">
        <v>539</v>
      </c>
      <c r="E612" s="1" t="s">
        <v>927</v>
      </c>
      <c r="F612" s="1" t="s">
        <v>927</v>
      </c>
      <c r="G612" s="1">
        <v>138.0</v>
      </c>
      <c r="H612" s="1">
        <v>8.215438596</v>
      </c>
      <c r="I612" s="1">
        <v>4.9</v>
      </c>
      <c r="J612" s="1">
        <v>3.271487</v>
      </c>
      <c r="L612" s="10">
        <f>IFERROR(__xludf.DUMMYFUNCTION("""COMPUTED_VALUE"""),656629.0)</f>
        <v>656629</v>
      </c>
      <c r="M612" s="10">
        <f>IFERROR(__xludf.DUMMYFUNCTION("""COMPUTED_VALUE"""),231.0)</f>
        <v>231</v>
      </c>
    </row>
    <row r="613">
      <c r="A613" s="1">
        <v>2025.0</v>
      </c>
      <c r="B613" s="1" t="s">
        <v>367</v>
      </c>
      <c r="C613" s="1">
        <v>685126.0</v>
      </c>
      <c r="D613" s="1" t="s">
        <v>532</v>
      </c>
      <c r="E613" s="1" t="s">
        <v>926</v>
      </c>
      <c r="F613" s="1" t="s">
        <v>926</v>
      </c>
      <c r="G613" s="1">
        <v>37.0</v>
      </c>
      <c r="H613" s="1">
        <v>2.12328391</v>
      </c>
      <c r="I613" s="1">
        <v>4.97</v>
      </c>
      <c r="J613" s="1">
        <v>0.817005</v>
      </c>
      <c r="L613" s="10">
        <f>IFERROR(__xludf.DUMMYFUNCTION("""COMPUTED_VALUE"""),518886.0)</f>
        <v>518886</v>
      </c>
      <c r="M613" s="10">
        <f>IFERROR(__xludf.DUMMYFUNCTION("""COMPUTED_VALUE"""),230.0)</f>
        <v>230</v>
      </c>
    </row>
    <row r="614">
      <c r="A614" s="1">
        <v>2025.0</v>
      </c>
      <c r="B614" s="1" t="s">
        <v>367</v>
      </c>
      <c r="C614" s="1">
        <v>685126.0</v>
      </c>
      <c r="D614" s="1" t="s">
        <v>537</v>
      </c>
      <c r="E614" s="1" t="s">
        <v>926</v>
      </c>
      <c r="F614" s="1" t="s">
        <v>926</v>
      </c>
      <c r="G614" s="1">
        <v>159.0</v>
      </c>
      <c r="H614" s="1">
        <v>9.124382208</v>
      </c>
      <c r="I614" s="1">
        <v>4.89</v>
      </c>
      <c r="J614" s="1">
        <v>3.931484</v>
      </c>
      <c r="L614" s="10">
        <f>IFERROR(__xludf.DUMMYFUNCTION("""COMPUTED_VALUE"""),702795.0)</f>
        <v>702795</v>
      </c>
      <c r="M614" s="10">
        <f>IFERROR(__xludf.DUMMYFUNCTION("""COMPUTED_VALUE"""),230.0)</f>
        <v>230</v>
      </c>
    </row>
    <row r="615">
      <c r="A615" s="1">
        <v>2025.0</v>
      </c>
      <c r="B615" s="1" t="s">
        <v>367</v>
      </c>
      <c r="C615" s="1">
        <v>685126.0</v>
      </c>
      <c r="D615" s="1" t="s">
        <v>536</v>
      </c>
      <c r="E615" s="1" t="s">
        <v>926</v>
      </c>
      <c r="F615" s="1" t="s">
        <v>926</v>
      </c>
      <c r="G615" s="1">
        <v>38.0</v>
      </c>
      <c r="H615" s="1">
        <v>2.180669962</v>
      </c>
      <c r="I615" s="1">
        <v>4.23</v>
      </c>
      <c r="J615" s="1">
        <v>1.440673</v>
      </c>
      <c r="L615" s="10">
        <f>IFERROR(__xludf.DUMMYFUNCTION("""COMPUTED_VALUE"""),600917.0)</f>
        <v>600917</v>
      </c>
      <c r="M615" s="10">
        <f>IFERROR(__xludf.DUMMYFUNCTION("""COMPUTED_VALUE"""),229.0)</f>
        <v>229</v>
      </c>
    </row>
    <row r="616">
      <c r="A616" s="1">
        <v>2025.0</v>
      </c>
      <c r="B616" s="1" t="s">
        <v>367</v>
      </c>
      <c r="C616" s="1">
        <v>685126.0</v>
      </c>
      <c r="D616" s="1" t="s">
        <v>533</v>
      </c>
      <c r="E616" s="1" t="s">
        <v>926</v>
      </c>
      <c r="F616" s="1" t="s">
        <v>926</v>
      </c>
      <c r="G616" s="1">
        <v>336.0</v>
      </c>
      <c r="H616" s="1">
        <v>19.28171334</v>
      </c>
      <c r="I616" s="1">
        <v>5.33</v>
      </c>
      <c r="J616" s="1">
        <v>5.210196</v>
      </c>
      <c r="L616" s="10">
        <f>IFERROR(__xludf.DUMMYFUNCTION("""COMPUTED_VALUE"""),682610.0)</f>
        <v>682610</v>
      </c>
      <c r="M616" s="10">
        <f>IFERROR(__xludf.DUMMYFUNCTION("""COMPUTED_VALUE"""),229.0)</f>
        <v>229</v>
      </c>
    </row>
    <row r="617">
      <c r="A617" s="1">
        <v>2025.0</v>
      </c>
      <c r="B617" s="1" t="s">
        <v>367</v>
      </c>
      <c r="C617" s="1">
        <v>685126.0</v>
      </c>
      <c r="D617" s="1" t="s">
        <v>532</v>
      </c>
      <c r="E617" s="1" t="s">
        <v>926</v>
      </c>
      <c r="F617" s="1" t="s">
        <v>927</v>
      </c>
      <c r="G617" s="1">
        <v>318.0</v>
      </c>
      <c r="H617" s="1">
        <v>18.24876442</v>
      </c>
      <c r="I617" s="1">
        <v>4.72</v>
      </c>
      <c r="J617" s="1">
        <v>8.729086</v>
      </c>
      <c r="L617" s="10">
        <f>IFERROR(__xludf.DUMMYFUNCTION("""COMPUTED_VALUE"""),685801.0)</f>
        <v>685801</v>
      </c>
      <c r="M617" s="10">
        <f>IFERROR(__xludf.DUMMYFUNCTION("""COMPUTED_VALUE"""),227.0)</f>
        <v>227</v>
      </c>
    </row>
    <row r="618">
      <c r="A618" s="1">
        <v>2025.0</v>
      </c>
      <c r="B618" s="1" t="s">
        <v>367</v>
      </c>
      <c r="C618" s="1">
        <v>685126.0</v>
      </c>
      <c r="D618" s="1" t="s">
        <v>537</v>
      </c>
      <c r="E618" s="1" t="s">
        <v>926</v>
      </c>
      <c r="F618" s="1" t="s">
        <v>927</v>
      </c>
      <c r="G618" s="1">
        <v>224.0</v>
      </c>
      <c r="H618" s="1">
        <v>12.85447556</v>
      </c>
      <c r="I618" s="1">
        <v>4.92</v>
      </c>
      <c r="J618" s="1">
        <v>5.400278</v>
      </c>
      <c r="L618" s="10">
        <f>IFERROR(__xludf.DUMMYFUNCTION("""COMPUTED_VALUE"""),664351.0)</f>
        <v>664351</v>
      </c>
      <c r="M618" s="10">
        <f>IFERROR(__xludf.DUMMYFUNCTION("""COMPUTED_VALUE"""),224.0)</f>
        <v>224</v>
      </c>
    </row>
    <row r="619">
      <c r="A619" s="1">
        <v>2025.0</v>
      </c>
      <c r="B619" s="1" t="s">
        <v>367</v>
      </c>
      <c r="C619" s="1">
        <v>685126.0</v>
      </c>
      <c r="D619" s="1" t="s">
        <v>536</v>
      </c>
      <c r="E619" s="1" t="s">
        <v>926</v>
      </c>
      <c r="F619" s="1" t="s">
        <v>927</v>
      </c>
      <c r="G619" s="1">
        <v>3.0</v>
      </c>
      <c r="H619" s="1">
        <v>0.172158155</v>
      </c>
      <c r="I619" s="1">
        <v>2.17</v>
      </c>
      <c r="J619" s="1">
        <v>0.228754</v>
      </c>
      <c r="L619" s="10">
        <f>IFERROR(__xludf.DUMMYFUNCTION("""COMPUTED_VALUE"""),690544.0)</f>
        <v>690544</v>
      </c>
      <c r="M619" s="10">
        <f>IFERROR(__xludf.DUMMYFUNCTION("""COMPUTED_VALUE"""),224.0)</f>
        <v>224</v>
      </c>
    </row>
    <row r="620">
      <c r="A620" s="1">
        <v>2025.0</v>
      </c>
      <c r="B620" s="1" t="s">
        <v>367</v>
      </c>
      <c r="C620" s="1">
        <v>685126.0</v>
      </c>
      <c r="D620" s="1" t="s">
        <v>533</v>
      </c>
      <c r="E620" s="1" t="s">
        <v>926</v>
      </c>
      <c r="F620" s="1" t="s">
        <v>927</v>
      </c>
      <c r="G620" s="1">
        <v>99.0</v>
      </c>
      <c r="H620" s="1">
        <v>5.68121911</v>
      </c>
      <c r="I620" s="1">
        <v>5.24</v>
      </c>
      <c r="J620" s="1">
        <v>1.693537</v>
      </c>
      <c r="L620" s="10">
        <f>IFERROR(__xludf.DUMMYFUNCTION("""COMPUTED_VALUE"""),668834.0)</f>
        <v>668834</v>
      </c>
      <c r="M620" s="10">
        <f>IFERROR(__xludf.DUMMYFUNCTION("""COMPUTED_VALUE"""),223.0)</f>
        <v>223</v>
      </c>
    </row>
    <row r="621">
      <c r="A621" s="1">
        <v>2025.0</v>
      </c>
      <c r="B621" s="1" t="s">
        <v>263</v>
      </c>
      <c r="C621" s="1">
        <v>694297.0</v>
      </c>
      <c r="D621" s="1" t="s">
        <v>532</v>
      </c>
      <c r="E621" s="1" t="s">
        <v>927</v>
      </c>
      <c r="F621" s="1" t="s">
        <v>926</v>
      </c>
      <c r="G621" s="1">
        <v>374.0</v>
      </c>
      <c r="H621" s="1">
        <v>22.64336303</v>
      </c>
      <c r="I621" s="1">
        <v>5.07</v>
      </c>
      <c r="J621" s="1">
        <v>7.512347</v>
      </c>
      <c r="L621" s="10">
        <f>IFERROR(__xludf.DUMMYFUNCTION("""COMPUTED_VALUE"""),663321.0)</f>
        <v>663321</v>
      </c>
      <c r="M621" s="10">
        <f>IFERROR(__xludf.DUMMYFUNCTION("""COMPUTED_VALUE"""),221.0)</f>
        <v>221</v>
      </c>
    </row>
    <row r="622">
      <c r="A622" s="1">
        <v>2025.0</v>
      </c>
      <c r="B622" s="1" t="s">
        <v>263</v>
      </c>
      <c r="C622" s="1">
        <v>694297.0</v>
      </c>
      <c r="D622" s="1" t="s">
        <v>541</v>
      </c>
      <c r="E622" s="1" t="s">
        <v>927</v>
      </c>
      <c r="F622" s="1" t="s">
        <v>926</v>
      </c>
      <c r="G622" s="1">
        <v>223.0</v>
      </c>
      <c r="H622" s="1">
        <v>13.50125657</v>
      </c>
      <c r="I622" s="1">
        <v>5.0</v>
      </c>
      <c r="J622" s="1">
        <v>4.718725</v>
      </c>
      <c r="L622" s="10">
        <f>IFERROR(__xludf.DUMMYFUNCTION("""COMPUTED_VALUE"""),663992.0)</f>
        <v>663992</v>
      </c>
      <c r="M622" s="10">
        <f>IFERROR(__xludf.DUMMYFUNCTION("""COMPUTED_VALUE"""),221.0)</f>
        <v>221</v>
      </c>
    </row>
    <row r="623">
      <c r="A623" s="1">
        <v>2025.0</v>
      </c>
      <c r="B623" s="1" t="s">
        <v>263</v>
      </c>
      <c r="C623" s="1">
        <v>694297.0</v>
      </c>
      <c r="D623" s="1" t="s">
        <v>540</v>
      </c>
      <c r="E623" s="1" t="s">
        <v>927</v>
      </c>
      <c r="F623" s="1" t="s">
        <v>926</v>
      </c>
      <c r="G623" s="1">
        <v>179.0</v>
      </c>
      <c r="H623" s="1">
        <v>10.83733151</v>
      </c>
      <c r="I623" s="1">
        <v>5.28</v>
      </c>
      <c r="J623" s="1">
        <v>3.011226</v>
      </c>
      <c r="L623" s="10">
        <f>IFERROR(__xludf.DUMMYFUNCTION("""COMPUTED_VALUE"""),686228.0)</f>
        <v>686228</v>
      </c>
      <c r="M623" s="10">
        <f>IFERROR(__xludf.DUMMYFUNCTION("""COMPUTED_VALUE"""),220.0)</f>
        <v>220</v>
      </c>
    </row>
    <row r="624">
      <c r="A624" s="1">
        <v>2025.0</v>
      </c>
      <c r="B624" s="1" t="s">
        <v>263</v>
      </c>
      <c r="C624" s="1">
        <v>694297.0</v>
      </c>
      <c r="D624" s="1" t="s">
        <v>537</v>
      </c>
      <c r="E624" s="1" t="s">
        <v>927</v>
      </c>
      <c r="F624" s="1" t="s">
        <v>926</v>
      </c>
      <c r="G624" s="1">
        <v>436.0</v>
      </c>
      <c r="H624" s="1">
        <v>26.39707562</v>
      </c>
      <c r="I624" s="1">
        <v>4.86</v>
      </c>
      <c r="J624" s="1">
        <v>10.743843</v>
      </c>
      <c r="L624" s="10">
        <f>IFERROR(__xludf.DUMMYFUNCTION("""COMPUTED_VALUE"""),677865.0)</f>
        <v>677865</v>
      </c>
      <c r="M624" s="10">
        <f>IFERROR(__xludf.DUMMYFUNCTION("""COMPUTED_VALUE"""),219.0)</f>
        <v>219</v>
      </c>
    </row>
    <row r="625">
      <c r="A625" s="1">
        <v>2025.0</v>
      </c>
      <c r="B625" s="1" t="s">
        <v>263</v>
      </c>
      <c r="C625" s="1">
        <v>694297.0</v>
      </c>
      <c r="D625" s="1" t="s">
        <v>536</v>
      </c>
      <c r="E625" s="1" t="s">
        <v>927</v>
      </c>
      <c r="F625" s="1" t="s">
        <v>926</v>
      </c>
      <c r="G625" s="1">
        <v>244.0</v>
      </c>
      <c r="H625" s="1">
        <v>14.77267535</v>
      </c>
      <c r="I625" s="1">
        <v>4.71</v>
      </c>
      <c r="J625" s="1">
        <v>6.817343</v>
      </c>
      <c r="L625" s="10">
        <f>IFERROR(__xludf.DUMMYFUNCTION("""COMPUTED_VALUE"""),696136.0)</f>
        <v>696136</v>
      </c>
      <c r="M625" s="10">
        <f>IFERROR(__xludf.DUMMYFUNCTION("""COMPUTED_VALUE"""),217.0)</f>
        <v>217</v>
      </c>
    </row>
    <row r="626">
      <c r="A626" s="1">
        <v>2025.0</v>
      </c>
      <c r="B626" s="1" t="s">
        <v>263</v>
      </c>
      <c r="C626" s="1">
        <v>694297.0</v>
      </c>
      <c r="D626" s="1" t="s">
        <v>539</v>
      </c>
      <c r="E626" s="1" t="s">
        <v>927</v>
      </c>
      <c r="F626" s="1" t="s">
        <v>926</v>
      </c>
      <c r="G626" s="1">
        <v>143.0</v>
      </c>
      <c r="H626" s="1">
        <v>8.657756454</v>
      </c>
      <c r="I626" s="1">
        <v>4.69</v>
      </c>
      <c r="J626" s="1">
        <v>3.736484</v>
      </c>
      <c r="L626" s="10">
        <f>IFERROR(__xludf.DUMMYFUNCTION("""COMPUTED_VALUE"""),641312.0)</f>
        <v>641312</v>
      </c>
      <c r="M626" s="10">
        <f>IFERROR(__xludf.DUMMYFUNCTION("""COMPUTED_VALUE"""),216.0)</f>
        <v>216</v>
      </c>
    </row>
    <row r="627">
      <c r="A627" s="1">
        <v>2025.0</v>
      </c>
      <c r="B627" s="1" t="s">
        <v>263</v>
      </c>
      <c r="C627" s="1">
        <v>694297.0</v>
      </c>
      <c r="D627" s="1" t="s">
        <v>532</v>
      </c>
      <c r="E627" s="1" t="s">
        <v>927</v>
      </c>
      <c r="F627" s="1" t="s">
        <v>927</v>
      </c>
      <c r="G627" s="1">
        <v>85.0</v>
      </c>
      <c r="H627" s="1">
        <v>5.146218871</v>
      </c>
      <c r="I627" s="1">
        <v>5.24</v>
      </c>
      <c r="J627" s="1">
        <v>1.428776</v>
      </c>
      <c r="L627" s="10">
        <f>IFERROR(__xludf.DUMMYFUNCTION("""COMPUTED_VALUE"""),643361.0)</f>
        <v>643361</v>
      </c>
      <c r="M627" s="10">
        <f>IFERROR(__xludf.DUMMYFUNCTION("""COMPUTED_VALUE"""),214.0)</f>
        <v>214</v>
      </c>
    </row>
    <row r="628">
      <c r="A628" s="1">
        <v>2025.0</v>
      </c>
      <c r="B628" s="1" t="s">
        <v>263</v>
      </c>
      <c r="C628" s="1">
        <v>694297.0</v>
      </c>
      <c r="D628" s="1" t="s">
        <v>541</v>
      </c>
      <c r="E628" s="1" t="s">
        <v>927</v>
      </c>
      <c r="F628" s="1" t="s">
        <v>927</v>
      </c>
      <c r="G628" s="1">
        <v>66.0</v>
      </c>
      <c r="H628" s="1">
        <v>3.995887594</v>
      </c>
      <c r="I628" s="1">
        <v>4.7</v>
      </c>
      <c r="J628" s="1">
        <v>1.870558</v>
      </c>
      <c r="L628" s="10">
        <f>IFERROR(__xludf.DUMMYFUNCTION("""COMPUTED_VALUE"""),681882.0)</f>
        <v>681882</v>
      </c>
      <c r="M628" s="10">
        <f>IFERROR(__xludf.DUMMYFUNCTION("""COMPUTED_VALUE"""),214.0)</f>
        <v>214</v>
      </c>
    </row>
    <row r="629">
      <c r="A629" s="1">
        <v>2025.0</v>
      </c>
      <c r="B629" s="1" t="s">
        <v>263</v>
      </c>
      <c r="C629" s="1">
        <v>694297.0</v>
      </c>
      <c r="D629" s="1" t="s">
        <v>540</v>
      </c>
      <c r="E629" s="1" t="s">
        <v>927</v>
      </c>
      <c r="F629" s="1" t="s">
        <v>927</v>
      </c>
      <c r="G629" s="1">
        <v>82.0</v>
      </c>
      <c r="H629" s="1">
        <v>4.964587617</v>
      </c>
      <c r="I629" s="1">
        <v>5.35</v>
      </c>
      <c r="J629" s="1">
        <v>1.27538</v>
      </c>
      <c r="L629" s="10">
        <f>IFERROR(__xludf.DUMMYFUNCTION("""COMPUTED_VALUE"""),686751.0)</f>
        <v>686751</v>
      </c>
      <c r="M629" s="10">
        <f>IFERROR(__xludf.DUMMYFUNCTION("""COMPUTED_VALUE"""),214.0)</f>
        <v>214</v>
      </c>
    </row>
    <row r="630">
      <c r="A630" s="1">
        <v>2025.0</v>
      </c>
      <c r="B630" s="1" t="s">
        <v>263</v>
      </c>
      <c r="C630" s="1">
        <v>694297.0</v>
      </c>
      <c r="D630" s="1" t="s">
        <v>537</v>
      </c>
      <c r="E630" s="1" t="s">
        <v>927</v>
      </c>
      <c r="F630" s="1" t="s">
        <v>927</v>
      </c>
      <c r="G630" s="1">
        <v>249.0</v>
      </c>
      <c r="H630" s="1">
        <v>15.07539411</v>
      </c>
      <c r="I630" s="1">
        <v>4.83</v>
      </c>
      <c r="J630" s="1">
        <v>6.377518</v>
      </c>
      <c r="L630" s="10">
        <f>IFERROR(__xludf.DUMMYFUNCTION("""COMPUTED_VALUE"""),679883.0)</f>
        <v>679883</v>
      </c>
      <c r="M630" s="10">
        <f>IFERROR(__xludf.DUMMYFUNCTION("""COMPUTED_VALUE"""),212.0)</f>
        <v>212</v>
      </c>
    </row>
    <row r="631">
      <c r="A631" s="1">
        <v>2025.0</v>
      </c>
      <c r="B631" s="1" t="s">
        <v>263</v>
      </c>
      <c r="C631" s="1">
        <v>694297.0</v>
      </c>
      <c r="D631" s="1" t="s">
        <v>536</v>
      </c>
      <c r="E631" s="1" t="s">
        <v>927</v>
      </c>
      <c r="F631" s="1" t="s">
        <v>927</v>
      </c>
      <c r="G631" s="1">
        <v>436.0</v>
      </c>
      <c r="H631" s="1">
        <v>26.39707562</v>
      </c>
      <c r="I631" s="1">
        <v>5.15</v>
      </c>
      <c r="J631" s="1">
        <v>8.332691</v>
      </c>
      <c r="L631" s="10">
        <f>IFERROR(__xludf.DUMMYFUNCTION("""COMPUTED_VALUE"""),681217.0)</f>
        <v>681217</v>
      </c>
      <c r="M631" s="10">
        <f>IFERROR(__xludf.DUMMYFUNCTION("""COMPUTED_VALUE"""),212.0)</f>
        <v>212</v>
      </c>
    </row>
    <row r="632">
      <c r="A632" s="1">
        <v>2025.0</v>
      </c>
      <c r="B632" s="1" t="s">
        <v>263</v>
      </c>
      <c r="C632" s="1">
        <v>694297.0</v>
      </c>
      <c r="D632" s="1" t="s">
        <v>539</v>
      </c>
      <c r="E632" s="1" t="s">
        <v>927</v>
      </c>
      <c r="F632" s="1" t="s">
        <v>927</v>
      </c>
      <c r="G632" s="1">
        <v>401.0</v>
      </c>
      <c r="H632" s="1">
        <v>24.27804432</v>
      </c>
      <c r="I632" s="1">
        <v>5.3</v>
      </c>
      <c r="J632" s="1">
        <v>6.045176</v>
      </c>
      <c r="L632" s="10">
        <f>IFERROR(__xludf.DUMMYFUNCTION("""COMPUTED_VALUE"""),686790.0)</f>
        <v>686790</v>
      </c>
      <c r="M632" s="10">
        <f>IFERROR(__xludf.DUMMYFUNCTION("""COMPUTED_VALUE"""),212.0)</f>
        <v>212</v>
      </c>
    </row>
    <row r="633">
      <c r="A633" s="1">
        <v>2025.0</v>
      </c>
      <c r="B633" s="1" t="s">
        <v>575</v>
      </c>
      <c r="C633" s="1">
        <v>687075.0</v>
      </c>
      <c r="D633" s="1" t="s">
        <v>532</v>
      </c>
      <c r="E633" s="1" t="s">
        <v>927</v>
      </c>
      <c r="F633" s="1" t="s">
        <v>926</v>
      </c>
      <c r="G633" s="1">
        <v>35.0</v>
      </c>
      <c r="H633" s="1">
        <v>2.494252874</v>
      </c>
      <c r="I633" s="1">
        <v>4.47</v>
      </c>
      <c r="J633" s="1">
        <v>1.146086</v>
      </c>
      <c r="L633" s="10">
        <f>IFERROR(__xludf.DUMMYFUNCTION("""COMPUTED_VALUE"""),592351.0)</f>
        <v>592351</v>
      </c>
      <c r="M633" s="10">
        <f>IFERROR(__xludf.DUMMYFUNCTION("""COMPUTED_VALUE"""),210.0)</f>
        <v>210</v>
      </c>
    </row>
    <row r="634">
      <c r="A634" s="1">
        <v>2025.0</v>
      </c>
      <c r="B634" s="1" t="s">
        <v>575</v>
      </c>
      <c r="C634" s="1">
        <v>687075.0</v>
      </c>
      <c r="D634" s="1" t="s">
        <v>541</v>
      </c>
      <c r="E634" s="1" t="s">
        <v>927</v>
      </c>
      <c r="F634" s="1" t="s">
        <v>926</v>
      </c>
      <c r="G634" s="1">
        <v>30.0</v>
      </c>
      <c r="H634" s="1">
        <v>2.137931034</v>
      </c>
      <c r="I634" s="1">
        <v>5.43</v>
      </c>
      <c r="J634" s="1">
        <v>0.37585</v>
      </c>
      <c r="L634" s="10">
        <f>IFERROR(__xludf.DUMMYFUNCTION("""COMPUTED_VALUE"""),692230.0)</f>
        <v>692230</v>
      </c>
      <c r="M634" s="10">
        <f>IFERROR(__xludf.DUMMYFUNCTION("""COMPUTED_VALUE"""),208.0)</f>
        <v>208</v>
      </c>
    </row>
    <row r="635">
      <c r="A635" s="1">
        <v>2025.0</v>
      </c>
      <c r="B635" s="1" t="s">
        <v>575</v>
      </c>
      <c r="C635" s="1">
        <v>687075.0</v>
      </c>
      <c r="D635" s="1" t="s">
        <v>537</v>
      </c>
      <c r="E635" s="1" t="s">
        <v>927</v>
      </c>
      <c r="F635" s="1" t="s">
        <v>926</v>
      </c>
      <c r="G635" s="1">
        <v>31.0</v>
      </c>
      <c r="H635" s="1">
        <v>2.209195402</v>
      </c>
      <c r="I635" s="1">
        <v>4.16</v>
      </c>
      <c r="J635" s="1">
        <v>1.226014</v>
      </c>
      <c r="L635" s="10">
        <f>IFERROR(__xludf.DUMMYFUNCTION("""COMPUTED_VALUE"""),670174.0)</f>
        <v>670174</v>
      </c>
      <c r="M635" s="10">
        <f>IFERROR(__xludf.DUMMYFUNCTION("""COMPUTED_VALUE"""),207.0)</f>
        <v>207</v>
      </c>
    </row>
    <row r="636">
      <c r="A636" s="1">
        <v>2025.0</v>
      </c>
      <c r="B636" s="1" t="s">
        <v>575</v>
      </c>
      <c r="C636" s="1">
        <v>687075.0</v>
      </c>
      <c r="D636" s="1" t="s">
        <v>536</v>
      </c>
      <c r="E636" s="1" t="s">
        <v>927</v>
      </c>
      <c r="F636" s="1" t="s">
        <v>926</v>
      </c>
      <c r="G636" s="1">
        <v>24.0</v>
      </c>
      <c r="H636" s="1">
        <v>1.710344828</v>
      </c>
      <c r="I636" s="1">
        <v>4.55</v>
      </c>
      <c r="J636" s="1">
        <v>0.759038</v>
      </c>
      <c r="L636" s="10">
        <f>IFERROR(__xludf.DUMMYFUNCTION("""COMPUTED_VALUE"""),678215.0)</f>
        <v>678215</v>
      </c>
      <c r="M636" s="10">
        <f>IFERROR(__xludf.DUMMYFUNCTION("""COMPUTED_VALUE"""),207.0)</f>
        <v>207</v>
      </c>
    </row>
    <row r="637">
      <c r="A637" s="1">
        <v>2025.0</v>
      </c>
      <c r="B637" s="1" t="s">
        <v>575</v>
      </c>
      <c r="C637" s="1">
        <v>687075.0</v>
      </c>
      <c r="D637" s="1" t="s">
        <v>533</v>
      </c>
      <c r="E637" s="1" t="s">
        <v>927</v>
      </c>
      <c r="F637" s="1" t="s">
        <v>926</v>
      </c>
      <c r="G637" s="1">
        <v>6.0</v>
      </c>
      <c r="H637" s="1">
        <v>0.427586207</v>
      </c>
      <c r="I637" s="1">
        <v>3.51</v>
      </c>
      <c r="J637" s="1">
        <v>0.320047</v>
      </c>
      <c r="L637" s="10">
        <f>IFERROR(__xludf.DUMMYFUNCTION("""COMPUTED_VALUE"""),669620.0)</f>
        <v>669620</v>
      </c>
      <c r="M637" s="10">
        <f>IFERROR(__xludf.DUMMYFUNCTION("""COMPUTED_VALUE"""),206.0)</f>
        <v>206</v>
      </c>
    </row>
    <row r="638">
      <c r="A638" s="1">
        <v>2025.0</v>
      </c>
      <c r="B638" s="1" t="s">
        <v>575</v>
      </c>
      <c r="C638" s="1">
        <v>687075.0</v>
      </c>
      <c r="D638" s="1" t="s">
        <v>539</v>
      </c>
      <c r="E638" s="1" t="s">
        <v>927</v>
      </c>
      <c r="F638" s="1" t="s">
        <v>926</v>
      </c>
      <c r="G638" s="1">
        <v>20.0</v>
      </c>
      <c r="H638" s="1">
        <v>1.425287356</v>
      </c>
      <c r="I638" s="1">
        <v>4.85</v>
      </c>
      <c r="J638" s="1">
        <v>0.525271</v>
      </c>
      <c r="L638" s="10">
        <f>IFERROR(__xludf.DUMMYFUNCTION("""COMPUTED_VALUE"""),489119.0)</f>
        <v>489119</v>
      </c>
      <c r="M638" s="10">
        <f>IFERROR(__xludf.DUMMYFUNCTION("""COMPUTED_VALUE"""),204.0)</f>
        <v>204</v>
      </c>
    </row>
    <row r="639">
      <c r="A639" s="1">
        <v>2025.0</v>
      </c>
      <c r="B639" s="1" t="s">
        <v>575</v>
      </c>
      <c r="C639" s="1">
        <v>687075.0</v>
      </c>
      <c r="D639" s="1" t="s">
        <v>532</v>
      </c>
      <c r="E639" s="1" t="s">
        <v>927</v>
      </c>
      <c r="F639" s="1" t="s">
        <v>927</v>
      </c>
      <c r="G639" s="1">
        <v>8.0</v>
      </c>
      <c r="H639" s="1">
        <v>0.570114943</v>
      </c>
      <c r="I639" s="1">
        <v>5.49</v>
      </c>
      <c r="J639" s="1">
        <v>0.080606</v>
      </c>
      <c r="L639" s="10">
        <f>IFERROR(__xludf.DUMMYFUNCTION("""COMPUTED_VALUE"""),666120.0)</f>
        <v>666120</v>
      </c>
      <c r="M639" s="10">
        <f>IFERROR(__xludf.DUMMYFUNCTION("""COMPUTED_VALUE"""),203.0)</f>
        <v>203</v>
      </c>
    </row>
    <row r="640">
      <c r="A640" s="1">
        <v>2025.0</v>
      </c>
      <c r="B640" s="1" t="s">
        <v>575</v>
      </c>
      <c r="C640" s="1">
        <v>687075.0</v>
      </c>
      <c r="D640" s="1" t="s">
        <v>541</v>
      </c>
      <c r="E640" s="1" t="s">
        <v>927</v>
      </c>
      <c r="F640" s="1" t="s">
        <v>927</v>
      </c>
      <c r="G640" s="1">
        <v>13.0</v>
      </c>
      <c r="H640" s="1">
        <v>0.926436782</v>
      </c>
      <c r="I640" s="1">
        <v>4.59</v>
      </c>
      <c r="J640" s="1">
        <v>0.389295</v>
      </c>
      <c r="L640" s="10">
        <f>IFERROR(__xludf.DUMMYFUNCTION("""COMPUTED_VALUE"""),663432.0)</f>
        <v>663432</v>
      </c>
      <c r="M640" s="10">
        <f>IFERROR(__xludf.DUMMYFUNCTION("""COMPUTED_VALUE"""),199.0)</f>
        <v>199</v>
      </c>
    </row>
    <row r="641">
      <c r="A641" s="1">
        <v>2025.0</v>
      </c>
      <c r="B641" s="1" t="s">
        <v>575</v>
      </c>
      <c r="C641" s="1">
        <v>687075.0</v>
      </c>
      <c r="D641" s="1" t="s">
        <v>537</v>
      </c>
      <c r="E641" s="1" t="s">
        <v>927</v>
      </c>
      <c r="F641" s="1" t="s">
        <v>927</v>
      </c>
      <c r="G641" s="1">
        <v>9.0</v>
      </c>
      <c r="H641" s="1">
        <v>0.64137931</v>
      </c>
      <c r="I641" s="1">
        <v>4.18</v>
      </c>
      <c r="J641" s="1">
        <v>0.350551</v>
      </c>
      <c r="L641" s="10">
        <f>IFERROR(__xludf.DUMMYFUNCTION("""COMPUTED_VALUE"""),802419.0)</f>
        <v>802419</v>
      </c>
      <c r="M641" s="10">
        <f>IFERROR(__xludf.DUMMYFUNCTION("""COMPUTED_VALUE"""),199.0)</f>
        <v>199</v>
      </c>
    </row>
    <row r="642">
      <c r="A642" s="1">
        <v>2025.0</v>
      </c>
      <c r="B642" s="1" t="s">
        <v>575</v>
      </c>
      <c r="C642" s="1">
        <v>687075.0</v>
      </c>
      <c r="D642" s="1" t="s">
        <v>536</v>
      </c>
      <c r="E642" s="1" t="s">
        <v>927</v>
      </c>
      <c r="F642" s="1" t="s">
        <v>927</v>
      </c>
      <c r="G642" s="1">
        <v>75.0</v>
      </c>
      <c r="H642" s="1">
        <v>5.344827586</v>
      </c>
      <c r="I642" s="1">
        <v>4.66</v>
      </c>
      <c r="J642" s="1">
        <v>2.146451</v>
      </c>
      <c r="L642" s="10">
        <f>IFERROR(__xludf.DUMMYFUNCTION("""COMPUTED_VALUE"""),672710.0)</f>
        <v>672710</v>
      </c>
      <c r="M642" s="10">
        <f>IFERROR(__xludf.DUMMYFUNCTION("""COMPUTED_VALUE"""),197.0)</f>
        <v>197</v>
      </c>
    </row>
    <row r="643">
      <c r="A643" s="1">
        <v>2025.0</v>
      </c>
      <c r="B643" s="1" t="s">
        <v>575</v>
      </c>
      <c r="C643" s="1">
        <v>687075.0</v>
      </c>
      <c r="D643" s="1" t="s">
        <v>533</v>
      </c>
      <c r="E643" s="1" t="s">
        <v>927</v>
      </c>
      <c r="F643" s="1" t="s">
        <v>927</v>
      </c>
      <c r="G643" s="1">
        <v>12.0</v>
      </c>
      <c r="H643" s="1">
        <v>0.855172414</v>
      </c>
      <c r="I643" s="1">
        <v>4.95</v>
      </c>
      <c r="J643" s="1">
        <v>0.283114</v>
      </c>
      <c r="L643" s="10">
        <f>IFERROR(__xludf.DUMMYFUNCTION("""COMPUTED_VALUE"""),694646.0)</f>
        <v>694646</v>
      </c>
      <c r="M643" s="10">
        <f>IFERROR(__xludf.DUMMYFUNCTION("""COMPUTED_VALUE"""),195.0)</f>
        <v>195</v>
      </c>
    </row>
    <row r="644">
      <c r="A644" s="1">
        <v>2025.0</v>
      </c>
      <c r="B644" s="1" t="s">
        <v>575</v>
      </c>
      <c r="C644" s="1">
        <v>687075.0</v>
      </c>
      <c r="D644" s="1" t="s">
        <v>539</v>
      </c>
      <c r="E644" s="1" t="s">
        <v>927</v>
      </c>
      <c r="F644" s="1" t="s">
        <v>927</v>
      </c>
      <c r="G644" s="1">
        <v>27.0</v>
      </c>
      <c r="H644" s="1">
        <v>1.924137931</v>
      </c>
      <c r="I644" s="1">
        <v>5.3</v>
      </c>
      <c r="J644" s="1">
        <v>0.398408</v>
      </c>
      <c r="L644" s="10">
        <f>IFERROR(__xludf.DUMMYFUNCTION("""COMPUTED_VALUE"""),573009.0)</f>
        <v>573009</v>
      </c>
      <c r="M644" s="10">
        <f>IFERROR(__xludf.DUMMYFUNCTION("""COMPUTED_VALUE"""),192.0)</f>
        <v>192</v>
      </c>
    </row>
    <row r="645">
      <c r="A645" s="1">
        <v>2025.0</v>
      </c>
      <c r="B645" s="1" t="s">
        <v>186</v>
      </c>
      <c r="C645" s="1">
        <v>663399.0</v>
      </c>
      <c r="D645" s="1" t="s">
        <v>532</v>
      </c>
      <c r="E645" s="1" t="s">
        <v>926</v>
      </c>
      <c r="F645" s="1" t="s">
        <v>926</v>
      </c>
      <c r="G645" s="1">
        <v>1.0</v>
      </c>
      <c r="H645" s="1">
        <v>0.061197917</v>
      </c>
      <c r="I645" s="1">
        <v>3.4</v>
      </c>
      <c r="J645" s="1">
        <v>0.053877</v>
      </c>
      <c r="L645" s="10">
        <f>IFERROR(__xludf.DUMMYFUNCTION("""COMPUTED_VALUE"""),680729.0)</f>
        <v>680729</v>
      </c>
      <c r="M645" s="10">
        <f>IFERROR(__xludf.DUMMYFUNCTION("""COMPUTED_VALUE"""),191.0)</f>
        <v>191</v>
      </c>
    </row>
    <row r="646">
      <c r="A646" s="1">
        <v>2025.0</v>
      </c>
      <c r="B646" s="1" t="s">
        <v>186</v>
      </c>
      <c r="C646" s="1">
        <v>663399.0</v>
      </c>
      <c r="D646" s="1" t="s">
        <v>537</v>
      </c>
      <c r="E646" s="1" t="s">
        <v>926</v>
      </c>
      <c r="F646" s="1" t="s">
        <v>926</v>
      </c>
      <c r="G646" s="1">
        <v>14.0</v>
      </c>
      <c r="H646" s="1">
        <v>0.856770833</v>
      </c>
      <c r="I646" s="1">
        <v>4.72</v>
      </c>
      <c r="J646" s="1">
        <v>0.398107</v>
      </c>
      <c r="L646" s="10">
        <f>IFERROR(__xludf.DUMMYFUNCTION("""COMPUTED_VALUE"""),665625.0)</f>
        <v>665625</v>
      </c>
      <c r="M646" s="10">
        <f>IFERROR(__xludf.DUMMYFUNCTION("""COMPUTED_VALUE"""),187.0)</f>
        <v>187</v>
      </c>
    </row>
    <row r="647">
      <c r="A647" s="1">
        <v>2025.0</v>
      </c>
      <c r="B647" s="1" t="s">
        <v>186</v>
      </c>
      <c r="C647" s="1">
        <v>663399.0</v>
      </c>
      <c r="D647" s="1" t="s">
        <v>536</v>
      </c>
      <c r="E647" s="1" t="s">
        <v>926</v>
      </c>
      <c r="F647" s="1" t="s">
        <v>926</v>
      </c>
      <c r="G647" s="1">
        <v>67.0</v>
      </c>
      <c r="H647" s="1">
        <v>4.100260417</v>
      </c>
      <c r="I647" s="1">
        <v>5.37</v>
      </c>
      <c r="J647" s="1">
        <v>0.953669</v>
      </c>
      <c r="L647" s="10">
        <f>IFERROR(__xludf.DUMMYFUNCTION("""COMPUTED_VALUE"""),641386.0)</f>
        <v>641386</v>
      </c>
      <c r="M647" s="10">
        <f>IFERROR(__xludf.DUMMYFUNCTION("""COMPUTED_VALUE"""),186.0)</f>
        <v>186</v>
      </c>
    </row>
    <row r="648">
      <c r="A648" s="1">
        <v>2025.0</v>
      </c>
      <c r="B648" s="1" t="s">
        <v>186</v>
      </c>
      <c r="C648" s="1">
        <v>663399.0</v>
      </c>
      <c r="D648" s="1" t="s">
        <v>533</v>
      </c>
      <c r="E648" s="1" t="s">
        <v>926</v>
      </c>
      <c r="F648" s="1" t="s">
        <v>926</v>
      </c>
      <c r="G648" s="1">
        <v>33.0</v>
      </c>
      <c r="H648" s="1">
        <v>2.01953125</v>
      </c>
      <c r="I648" s="1">
        <v>4.77</v>
      </c>
      <c r="J648" s="1">
        <v>0.864515</v>
      </c>
      <c r="L648" s="10">
        <f>IFERROR(__xludf.DUMMYFUNCTION("""COMPUTED_VALUE"""),683155.0)</f>
        <v>683155</v>
      </c>
      <c r="M648" s="10">
        <f>IFERROR(__xludf.DUMMYFUNCTION("""COMPUTED_VALUE"""),186.0)</f>
        <v>186</v>
      </c>
    </row>
    <row r="649">
      <c r="A649" s="1">
        <v>2025.0</v>
      </c>
      <c r="B649" s="1" t="s">
        <v>186</v>
      </c>
      <c r="C649" s="1">
        <v>663399.0</v>
      </c>
      <c r="D649" s="1" t="s">
        <v>539</v>
      </c>
      <c r="E649" s="1" t="s">
        <v>926</v>
      </c>
      <c r="F649" s="1" t="s">
        <v>926</v>
      </c>
      <c r="G649" s="1">
        <v>59.0</v>
      </c>
      <c r="H649" s="1">
        <v>3.610677083</v>
      </c>
      <c r="I649" s="1">
        <v>5.29</v>
      </c>
      <c r="J649" s="1">
        <v>0.961714</v>
      </c>
      <c r="L649" s="10">
        <f>IFERROR(__xludf.DUMMYFUNCTION("""COMPUTED_VALUE"""),699911.0)</f>
        <v>699911</v>
      </c>
      <c r="M649" s="10">
        <f>IFERROR(__xludf.DUMMYFUNCTION("""COMPUTED_VALUE"""),186.0)</f>
        <v>186</v>
      </c>
    </row>
    <row r="650">
      <c r="A650" s="1">
        <v>2025.0</v>
      </c>
      <c r="B650" s="1" t="s">
        <v>186</v>
      </c>
      <c r="C650" s="1">
        <v>663399.0</v>
      </c>
      <c r="D650" s="1" t="s">
        <v>532</v>
      </c>
      <c r="E650" s="1" t="s">
        <v>926</v>
      </c>
      <c r="F650" s="1" t="s">
        <v>927</v>
      </c>
      <c r="G650" s="1">
        <v>74.0</v>
      </c>
      <c r="H650" s="1">
        <v>4.528645833</v>
      </c>
      <c r="I650" s="1">
        <v>4.97</v>
      </c>
      <c r="J650" s="1">
        <v>1.658974</v>
      </c>
      <c r="L650" s="10">
        <f>IFERROR(__xludf.DUMMYFUNCTION("""COMPUTED_VALUE"""),621345.0)</f>
        <v>621345</v>
      </c>
      <c r="M650" s="10">
        <f>IFERROR(__xludf.DUMMYFUNCTION("""COMPUTED_VALUE"""),185.0)</f>
        <v>185</v>
      </c>
    </row>
    <row r="651">
      <c r="A651" s="1">
        <v>2025.0</v>
      </c>
      <c r="B651" s="1" t="s">
        <v>186</v>
      </c>
      <c r="C651" s="1">
        <v>663399.0</v>
      </c>
      <c r="D651" s="1" t="s">
        <v>537</v>
      </c>
      <c r="E651" s="1" t="s">
        <v>926</v>
      </c>
      <c r="F651" s="1" t="s">
        <v>927</v>
      </c>
      <c r="G651" s="1">
        <v>102.0</v>
      </c>
      <c r="H651" s="1">
        <v>6.2421875</v>
      </c>
      <c r="I651" s="1">
        <v>4.69</v>
      </c>
      <c r="J651" s="1">
        <v>2.954107</v>
      </c>
      <c r="L651" s="10">
        <f>IFERROR(__xludf.DUMMYFUNCTION("""COMPUTED_VALUE"""),657756.0)</f>
        <v>657756</v>
      </c>
      <c r="M651" s="10">
        <f>IFERROR(__xludf.DUMMYFUNCTION("""COMPUTED_VALUE"""),185.0)</f>
        <v>185</v>
      </c>
    </row>
    <row r="652">
      <c r="A652" s="1">
        <v>2025.0</v>
      </c>
      <c r="B652" s="1" t="s">
        <v>186</v>
      </c>
      <c r="C652" s="1">
        <v>663399.0</v>
      </c>
      <c r="D652" s="1" t="s">
        <v>536</v>
      </c>
      <c r="E652" s="1" t="s">
        <v>926</v>
      </c>
      <c r="F652" s="1" t="s">
        <v>927</v>
      </c>
      <c r="G652" s="1">
        <v>44.0</v>
      </c>
      <c r="H652" s="1">
        <v>2.692708333</v>
      </c>
      <c r="I652" s="1">
        <v>4.87</v>
      </c>
      <c r="J652" s="1">
        <v>1.147378</v>
      </c>
      <c r="L652" s="10">
        <f>IFERROR(__xludf.DUMMYFUNCTION("""COMPUTED_VALUE"""),666659.0)</f>
        <v>666659</v>
      </c>
      <c r="M652" s="10">
        <f>IFERROR(__xludf.DUMMYFUNCTION("""COMPUTED_VALUE"""),185.0)</f>
        <v>185</v>
      </c>
    </row>
    <row r="653">
      <c r="A653" s="1">
        <v>2025.0</v>
      </c>
      <c r="B653" s="1" t="s">
        <v>186</v>
      </c>
      <c r="C653" s="1">
        <v>663399.0</v>
      </c>
      <c r="D653" s="1" t="s">
        <v>533</v>
      </c>
      <c r="E653" s="1" t="s">
        <v>926</v>
      </c>
      <c r="F653" s="1" t="s">
        <v>927</v>
      </c>
      <c r="G653" s="1">
        <v>54.0</v>
      </c>
      <c r="H653" s="1">
        <v>3.3046875</v>
      </c>
      <c r="I653" s="1">
        <v>5.78</v>
      </c>
      <c r="J653" s="1">
        <v>0.286164</v>
      </c>
      <c r="L653" s="10">
        <f>IFERROR(__xludf.DUMMYFUNCTION("""COMPUTED_VALUE"""),669721.0)</f>
        <v>669721</v>
      </c>
      <c r="M653" s="10">
        <f>IFERROR(__xludf.DUMMYFUNCTION("""COMPUTED_VALUE"""),183.0)</f>
        <v>183</v>
      </c>
    </row>
    <row r="654">
      <c r="A654" s="1">
        <v>2025.0</v>
      </c>
      <c r="B654" s="1" t="s">
        <v>186</v>
      </c>
      <c r="C654" s="1">
        <v>663399.0</v>
      </c>
      <c r="D654" s="1" t="s">
        <v>539</v>
      </c>
      <c r="E654" s="1" t="s">
        <v>926</v>
      </c>
      <c r="F654" s="1" t="s">
        <v>927</v>
      </c>
      <c r="G654" s="1">
        <v>64.0</v>
      </c>
      <c r="H654" s="1">
        <v>3.916666667</v>
      </c>
      <c r="I654" s="1">
        <v>5.46</v>
      </c>
      <c r="J654" s="1">
        <v>0.807642</v>
      </c>
      <c r="L654" s="10">
        <f>IFERROR(__xludf.DUMMYFUNCTION("""COMPUTED_VALUE"""),673380.0)</f>
        <v>673380</v>
      </c>
      <c r="M654" s="10">
        <f>IFERROR(__xludf.DUMMYFUNCTION("""COMPUTED_VALUE"""),182.0)</f>
        <v>182</v>
      </c>
    </row>
    <row r="655">
      <c r="A655" s="1">
        <v>2025.0</v>
      </c>
      <c r="B655" s="1" t="s">
        <v>63</v>
      </c>
      <c r="C655" s="1">
        <v>687888.0</v>
      </c>
      <c r="D655" s="1" t="s">
        <v>532</v>
      </c>
      <c r="E655" s="1" t="s">
        <v>926</v>
      </c>
      <c r="F655" s="1" t="s">
        <v>926</v>
      </c>
      <c r="G655" s="1">
        <v>1.0</v>
      </c>
      <c r="H655" s="1">
        <v>0.065929566</v>
      </c>
      <c r="I655" s="1">
        <v>5.14</v>
      </c>
      <c r="J655" s="1">
        <v>0.015369</v>
      </c>
      <c r="L655" s="10">
        <f>IFERROR(__xludf.DUMMYFUNCTION("""COMPUTED_VALUE"""),701121.0)</f>
        <v>701121</v>
      </c>
      <c r="M655" s="10">
        <f>IFERROR(__xludf.DUMMYFUNCTION("""COMPUTED_VALUE"""),181.0)</f>
        <v>181</v>
      </c>
    </row>
    <row r="656">
      <c r="A656" s="1">
        <v>2025.0</v>
      </c>
      <c r="B656" s="1" t="s">
        <v>63</v>
      </c>
      <c r="C656" s="1">
        <v>687888.0</v>
      </c>
      <c r="D656" s="1" t="s">
        <v>540</v>
      </c>
      <c r="E656" s="1" t="s">
        <v>926</v>
      </c>
      <c r="F656" s="1" t="s">
        <v>926</v>
      </c>
      <c r="G656" s="1">
        <v>21.0</v>
      </c>
      <c r="H656" s="1">
        <v>1.384520885</v>
      </c>
      <c r="I656" s="1">
        <v>5.38</v>
      </c>
      <c r="J656" s="1">
        <v>0.257763</v>
      </c>
      <c r="L656" s="10">
        <f>IFERROR(__xludf.DUMMYFUNCTION("""COMPUTED_VALUE"""),684974.0)</f>
        <v>684974</v>
      </c>
      <c r="M656" s="10">
        <f>IFERROR(__xludf.DUMMYFUNCTION("""COMPUTED_VALUE"""),176.0)</f>
        <v>176</v>
      </c>
    </row>
    <row r="657">
      <c r="A657" s="1">
        <v>2025.0</v>
      </c>
      <c r="B657" s="1" t="s">
        <v>63</v>
      </c>
      <c r="C657" s="1">
        <v>687888.0</v>
      </c>
      <c r="D657" s="1" t="s">
        <v>537</v>
      </c>
      <c r="E657" s="1" t="s">
        <v>926</v>
      </c>
      <c r="F657" s="1" t="s">
        <v>926</v>
      </c>
      <c r="G657" s="1">
        <v>23.0</v>
      </c>
      <c r="H657" s="1">
        <v>1.516380016</v>
      </c>
      <c r="I657" s="1">
        <v>5.53</v>
      </c>
      <c r="J657" s="1">
        <v>0.262655</v>
      </c>
      <c r="L657" s="10">
        <f>IFERROR(__xludf.DUMMYFUNCTION("""COMPUTED_VALUE"""),681151.0)</f>
        <v>681151</v>
      </c>
      <c r="M657" s="10">
        <f>IFERROR(__xludf.DUMMYFUNCTION("""COMPUTED_VALUE"""),175.0)</f>
        <v>175</v>
      </c>
    </row>
    <row r="658">
      <c r="A658" s="1">
        <v>2025.0</v>
      </c>
      <c r="B658" s="1" t="s">
        <v>63</v>
      </c>
      <c r="C658" s="1">
        <v>687888.0</v>
      </c>
      <c r="D658" s="1" t="s">
        <v>536</v>
      </c>
      <c r="E658" s="1" t="s">
        <v>926</v>
      </c>
      <c r="F658" s="1" t="s">
        <v>926</v>
      </c>
      <c r="G658" s="1">
        <v>56.0</v>
      </c>
      <c r="H658" s="1">
        <v>3.692055692</v>
      </c>
      <c r="I658" s="1">
        <v>5.91</v>
      </c>
      <c r="J658" s="1">
        <v>0.245563</v>
      </c>
      <c r="L658" s="10">
        <f>IFERROR(__xludf.DUMMYFUNCTION("""COMPUTED_VALUE"""),660604.0)</f>
        <v>660604</v>
      </c>
      <c r="M658" s="10">
        <f>IFERROR(__xludf.DUMMYFUNCTION("""COMPUTED_VALUE"""),174.0)</f>
        <v>174</v>
      </c>
    </row>
    <row r="659">
      <c r="A659" s="1">
        <v>2025.0</v>
      </c>
      <c r="B659" s="1" t="s">
        <v>63</v>
      </c>
      <c r="C659" s="1">
        <v>687888.0</v>
      </c>
      <c r="D659" s="1" t="s">
        <v>539</v>
      </c>
      <c r="E659" s="1" t="s">
        <v>926</v>
      </c>
      <c r="F659" s="1" t="s">
        <v>926</v>
      </c>
      <c r="G659" s="1">
        <v>46.0</v>
      </c>
      <c r="H659" s="1">
        <v>3.032760033</v>
      </c>
      <c r="I659" s="1">
        <v>4.48</v>
      </c>
      <c r="J659" s="1">
        <v>1.446708</v>
      </c>
      <c r="L659" s="10">
        <f>IFERROR(__xludf.DUMMYFUNCTION("""COMPUTED_VALUE"""),544150.0)</f>
        <v>544150</v>
      </c>
      <c r="M659" s="10">
        <f>IFERROR(__xludf.DUMMYFUNCTION("""COMPUTED_VALUE"""),173.0)</f>
        <v>173</v>
      </c>
    </row>
    <row r="660">
      <c r="A660" s="1">
        <v>2025.0</v>
      </c>
      <c r="B660" s="1" t="s">
        <v>63</v>
      </c>
      <c r="C660" s="1">
        <v>687888.0</v>
      </c>
      <c r="D660" s="1" t="s">
        <v>532</v>
      </c>
      <c r="E660" s="1" t="s">
        <v>926</v>
      </c>
      <c r="F660" s="1" t="s">
        <v>927</v>
      </c>
      <c r="G660" s="1">
        <v>148.0</v>
      </c>
      <c r="H660" s="1">
        <v>9.757575758</v>
      </c>
      <c r="I660" s="1">
        <v>4.99</v>
      </c>
      <c r="J660" s="1">
        <v>3.205928</v>
      </c>
      <c r="L660" s="10">
        <f>IFERROR(__xludf.DUMMYFUNCTION("""COMPUTED_VALUE"""),668970.0)</f>
        <v>668970</v>
      </c>
      <c r="M660" s="10">
        <f>IFERROR(__xludf.DUMMYFUNCTION("""COMPUTED_VALUE"""),172.0)</f>
        <v>172</v>
      </c>
    </row>
    <row r="661">
      <c r="A661" s="1">
        <v>2025.0</v>
      </c>
      <c r="B661" s="1" t="s">
        <v>63</v>
      </c>
      <c r="C661" s="1">
        <v>687888.0</v>
      </c>
      <c r="D661" s="1" t="s">
        <v>540</v>
      </c>
      <c r="E661" s="1" t="s">
        <v>926</v>
      </c>
      <c r="F661" s="1" t="s">
        <v>927</v>
      </c>
      <c r="G661" s="1">
        <v>202.0</v>
      </c>
      <c r="H661" s="1">
        <v>13.31777232</v>
      </c>
      <c r="I661" s="1">
        <v>5.77</v>
      </c>
      <c r="J661" s="1">
        <v>1.571958</v>
      </c>
      <c r="L661" s="10">
        <f>IFERROR(__xludf.DUMMYFUNCTION("""COMPUTED_VALUE"""),445926.0)</f>
        <v>445926</v>
      </c>
      <c r="M661" s="10">
        <f>IFERROR(__xludf.DUMMYFUNCTION("""COMPUTED_VALUE"""),171.0)</f>
        <v>171</v>
      </c>
    </row>
    <row r="662">
      <c r="A662" s="1">
        <v>2025.0</v>
      </c>
      <c r="B662" s="1" t="s">
        <v>63</v>
      </c>
      <c r="C662" s="1">
        <v>687888.0</v>
      </c>
      <c r="D662" s="1" t="s">
        <v>537</v>
      </c>
      <c r="E662" s="1" t="s">
        <v>926</v>
      </c>
      <c r="F662" s="1" t="s">
        <v>927</v>
      </c>
      <c r="G662" s="1">
        <v>134.0</v>
      </c>
      <c r="H662" s="1">
        <v>8.834561835</v>
      </c>
      <c r="I662" s="1">
        <v>4.5</v>
      </c>
      <c r="J662" s="1">
        <v>4.285628</v>
      </c>
      <c r="L662" s="10">
        <f>IFERROR(__xludf.DUMMYFUNCTION("""COMPUTED_VALUE"""),448179.0)</f>
        <v>448179</v>
      </c>
      <c r="M662" s="10">
        <f>IFERROR(__xludf.DUMMYFUNCTION("""COMPUTED_VALUE"""),171.0)</f>
        <v>171</v>
      </c>
    </row>
    <row r="663">
      <c r="A663" s="1">
        <v>2025.0</v>
      </c>
      <c r="B663" s="1" t="s">
        <v>63</v>
      </c>
      <c r="C663" s="1">
        <v>687888.0</v>
      </c>
      <c r="D663" s="1" t="s">
        <v>536</v>
      </c>
      <c r="E663" s="1" t="s">
        <v>926</v>
      </c>
      <c r="F663" s="1" t="s">
        <v>927</v>
      </c>
      <c r="G663" s="1">
        <v>46.0</v>
      </c>
      <c r="H663" s="1">
        <v>3.032760033</v>
      </c>
      <c r="I663" s="1">
        <v>4.96</v>
      </c>
      <c r="J663" s="1">
        <v>1.054486</v>
      </c>
      <c r="L663" s="10">
        <f>IFERROR(__xludf.DUMMYFUNCTION("""COMPUTED_VALUE"""),642216.0)</f>
        <v>642216</v>
      </c>
      <c r="M663" s="10">
        <f>IFERROR(__xludf.DUMMYFUNCTION("""COMPUTED_VALUE"""),171.0)</f>
        <v>171</v>
      </c>
    </row>
    <row r="664">
      <c r="A664" s="1">
        <v>2025.0</v>
      </c>
      <c r="B664" s="1" t="s">
        <v>63</v>
      </c>
      <c r="C664" s="1">
        <v>687888.0</v>
      </c>
      <c r="D664" s="1" t="s">
        <v>539</v>
      </c>
      <c r="E664" s="1" t="s">
        <v>926</v>
      </c>
      <c r="F664" s="1" t="s">
        <v>927</v>
      </c>
      <c r="G664" s="1">
        <v>137.0</v>
      </c>
      <c r="H664" s="1">
        <v>9.032350532</v>
      </c>
      <c r="I664" s="1">
        <v>5.33</v>
      </c>
      <c r="J664" s="1">
        <v>1.982615</v>
      </c>
      <c r="L664" s="10">
        <f>IFERROR(__xludf.DUMMYFUNCTION("""COMPUTED_VALUE"""),628317.0)</f>
        <v>628317</v>
      </c>
      <c r="M664" s="10">
        <f>IFERROR(__xludf.DUMMYFUNCTION("""COMPUTED_VALUE"""),169.0)</f>
        <v>169</v>
      </c>
    </row>
    <row r="665">
      <c r="A665" s="1">
        <v>2025.0</v>
      </c>
      <c r="B665" s="1" t="s">
        <v>247</v>
      </c>
      <c r="C665" s="1">
        <v>605540.0</v>
      </c>
      <c r="D665" s="1" t="s">
        <v>532</v>
      </c>
      <c r="E665" s="1" t="s">
        <v>927</v>
      </c>
      <c r="F665" s="1" t="s">
        <v>926</v>
      </c>
      <c r="G665" s="1">
        <v>131.0</v>
      </c>
      <c r="H665" s="1">
        <v>8.796815507</v>
      </c>
      <c r="I665" s="1">
        <v>5.02</v>
      </c>
      <c r="J665" s="1">
        <v>2.907539</v>
      </c>
      <c r="L665" s="10">
        <f>IFERROR(__xludf.DUMMYFUNCTION("""COMPUTED_VALUE"""),695534.0)</f>
        <v>695534</v>
      </c>
      <c r="M665" s="10">
        <f>IFERROR(__xludf.DUMMYFUNCTION("""COMPUTED_VALUE"""),169.0)</f>
        <v>169</v>
      </c>
    </row>
    <row r="666">
      <c r="A666" s="1">
        <v>2025.0</v>
      </c>
      <c r="B666" s="1" t="s">
        <v>247</v>
      </c>
      <c r="C666" s="1">
        <v>605540.0</v>
      </c>
      <c r="D666" s="1" t="s">
        <v>541</v>
      </c>
      <c r="E666" s="1" t="s">
        <v>927</v>
      </c>
      <c r="F666" s="1" t="s">
        <v>926</v>
      </c>
      <c r="G666" s="1">
        <v>24.0</v>
      </c>
      <c r="H666" s="1">
        <v>1.611630322</v>
      </c>
      <c r="I666" s="1">
        <v>5.1</v>
      </c>
      <c r="J666" s="1">
        <v>0.499892</v>
      </c>
      <c r="L666" s="10">
        <f>IFERROR(__xludf.DUMMYFUNCTION("""COMPUTED_VALUE"""),622379.0)</f>
        <v>622379</v>
      </c>
      <c r="M666" s="10">
        <f>IFERROR(__xludf.DUMMYFUNCTION("""COMPUTED_VALUE"""),168.0)</f>
        <v>168</v>
      </c>
    </row>
    <row r="667">
      <c r="A667" s="1">
        <v>2025.0</v>
      </c>
      <c r="B667" s="1" t="s">
        <v>247</v>
      </c>
      <c r="C667" s="1">
        <v>605540.0</v>
      </c>
      <c r="D667" s="1" t="s">
        <v>540</v>
      </c>
      <c r="E667" s="1" t="s">
        <v>927</v>
      </c>
      <c r="F667" s="1" t="s">
        <v>926</v>
      </c>
      <c r="G667" s="1">
        <v>61.0</v>
      </c>
      <c r="H667" s="1">
        <v>4.096227068</v>
      </c>
      <c r="I667" s="1">
        <v>5.64</v>
      </c>
      <c r="J667" s="1">
        <v>0.656441</v>
      </c>
      <c r="L667" s="10">
        <f>IFERROR(__xludf.DUMMYFUNCTION("""COMPUTED_VALUE"""),691594.0)</f>
        <v>691594</v>
      </c>
      <c r="M667" s="10">
        <f>IFERROR(__xludf.DUMMYFUNCTION("""COMPUTED_VALUE"""),168.0)</f>
        <v>168</v>
      </c>
    </row>
    <row r="668">
      <c r="A668" s="1">
        <v>2025.0</v>
      </c>
      <c r="B668" s="1" t="s">
        <v>247</v>
      </c>
      <c r="C668" s="1">
        <v>605540.0</v>
      </c>
      <c r="D668" s="1" t="s">
        <v>537</v>
      </c>
      <c r="E668" s="1" t="s">
        <v>927</v>
      </c>
      <c r="F668" s="1" t="s">
        <v>926</v>
      </c>
      <c r="G668" s="1">
        <v>167.0</v>
      </c>
      <c r="H668" s="1">
        <v>11.21426099</v>
      </c>
      <c r="I668" s="1">
        <v>5.03</v>
      </c>
      <c r="J668" s="1">
        <v>3.460154</v>
      </c>
      <c r="L668" s="10">
        <f>IFERROR(__xludf.DUMMYFUNCTION("""COMPUTED_VALUE"""),640451.0)</f>
        <v>640451</v>
      </c>
      <c r="M668" s="10">
        <f>IFERROR(__xludf.DUMMYFUNCTION("""COMPUTED_VALUE"""),167.0)</f>
        <v>167</v>
      </c>
    </row>
    <row r="669">
      <c r="A669" s="1">
        <v>2025.0</v>
      </c>
      <c r="B669" s="1" t="s">
        <v>247</v>
      </c>
      <c r="C669" s="1">
        <v>605540.0</v>
      </c>
      <c r="D669" s="1" t="s">
        <v>536</v>
      </c>
      <c r="E669" s="1" t="s">
        <v>927</v>
      </c>
      <c r="F669" s="1" t="s">
        <v>926</v>
      </c>
      <c r="G669" s="1">
        <v>126.0</v>
      </c>
      <c r="H669" s="1">
        <v>8.46105919</v>
      </c>
      <c r="I669" s="1">
        <v>4.43</v>
      </c>
      <c r="J669" s="1">
        <v>4.297911</v>
      </c>
      <c r="L669" s="10">
        <f>IFERROR(__xludf.DUMMYFUNCTION("""COMPUTED_VALUE"""),676775.0)</f>
        <v>676775</v>
      </c>
      <c r="M669" s="10">
        <f>IFERROR(__xludf.DUMMYFUNCTION("""COMPUTED_VALUE"""),165.0)</f>
        <v>165</v>
      </c>
    </row>
    <row r="670">
      <c r="A670" s="1">
        <v>2025.0</v>
      </c>
      <c r="B670" s="1" t="s">
        <v>247</v>
      </c>
      <c r="C670" s="1">
        <v>605540.0</v>
      </c>
      <c r="D670" s="1" t="s">
        <v>532</v>
      </c>
      <c r="E670" s="1" t="s">
        <v>927</v>
      </c>
      <c r="F670" s="1" t="s">
        <v>927</v>
      </c>
      <c r="G670" s="1">
        <v>38.0</v>
      </c>
      <c r="H670" s="1">
        <v>2.55174801</v>
      </c>
      <c r="I670" s="1">
        <v>4.76</v>
      </c>
      <c r="J670" s="1">
        <v>0.935772</v>
      </c>
      <c r="L670" s="10">
        <f>IFERROR(__xludf.DUMMYFUNCTION("""COMPUTED_VALUE"""),681916.0)</f>
        <v>681916</v>
      </c>
      <c r="M670" s="10">
        <f>IFERROR(__xludf.DUMMYFUNCTION("""COMPUTED_VALUE"""),165.0)</f>
        <v>165</v>
      </c>
    </row>
    <row r="671">
      <c r="A671" s="1">
        <v>2025.0</v>
      </c>
      <c r="B671" s="1" t="s">
        <v>247</v>
      </c>
      <c r="C671" s="1">
        <v>605540.0</v>
      </c>
      <c r="D671" s="1" t="s">
        <v>541</v>
      </c>
      <c r="E671" s="1" t="s">
        <v>927</v>
      </c>
      <c r="F671" s="1" t="s">
        <v>927</v>
      </c>
      <c r="G671" s="1">
        <v>12.0</v>
      </c>
      <c r="H671" s="1">
        <v>0.805815161</v>
      </c>
      <c r="I671" s="1">
        <v>4.51</v>
      </c>
      <c r="J671" s="1">
        <v>0.386365</v>
      </c>
      <c r="L671" s="10">
        <f>IFERROR(__xludf.DUMMYFUNCTION("""COMPUTED_VALUE"""),687209.0)</f>
        <v>687209</v>
      </c>
      <c r="M671" s="10">
        <f>IFERROR(__xludf.DUMMYFUNCTION("""COMPUTED_VALUE"""),165.0)</f>
        <v>165</v>
      </c>
    </row>
    <row r="672">
      <c r="A672" s="1">
        <v>2025.0</v>
      </c>
      <c r="B672" s="1" t="s">
        <v>247</v>
      </c>
      <c r="C672" s="1">
        <v>605540.0</v>
      </c>
      <c r="D672" s="1" t="s">
        <v>540</v>
      </c>
      <c r="E672" s="1" t="s">
        <v>927</v>
      </c>
      <c r="F672" s="1" t="s">
        <v>927</v>
      </c>
      <c r="G672" s="1">
        <v>91.0</v>
      </c>
      <c r="H672" s="1">
        <v>6.110764971</v>
      </c>
      <c r="I672" s="1">
        <v>5.21</v>
      </c>
      <c r="J672" s="1">
        <v>1.679619</v>
      </c>
      <c r="L672" s="10">
        <f>IFERROR(__xludf.DUMMYFUNCTION("""COMPUTED_VALUE"""),676760.0)</f>
        <v>676760</v>
      </c>
      <c r="M672" s="10">
        <f>IFERROR(__xludf.DUMMYFUNCTION("""COMPUTED_VALUE"""),164.0)</f>
        <v>164</v>
      </c>
    </row>
    <row r="673">
      <c r="A673" s="1">
        <v>2025.0</v>
      </c>
      <c r="B673" s="1" t="s">
        <v>247</v>
      </c>
      <c r="C673" s="1">
        <v>605540.0</v>
      </c>
      <c r="D673" s="1" t="s">
        <v>537</v>
      </c>
      <c r="E673" s="1" t="s">
        <v>927</v>
      </c>
      <c r="F673" s="1" t="s">
        <v>927</v>
      </c>
      <c r="G673" s="1">
        <v>129.0</v>
      </c>
      <c r="H673" s="1">
        <v>8.66251298</v>
      </c>
      <c r="I673" s="1">
        <v>4.83</v>
      </c>
      <c r="J673" s="1">
        <v>3.217068</v>
      </c>
      <c r="L673" s="10">
        <f>IFERROR(__xludf.DUMMYFUNCTION("""COMPUTED_VALUE"""),541640.0)</f>
        <v>541640</v>
      </c>
      <c r="M673" s="10">
        <f>IFERROR(__xludf.DUMMYFUNCTION("""COMPUTED_VALUE"""),158.0)</f>
        <v>158</v>
      </c>
    </row>
    <row r="674">
      <c r="A674" s="1">
        <v>2025.0</v>
      </c>
      <c r="B674" s="1" t="s">
        <v>247</v>
      </c>
      <c r="C674" s="1">
        <v>605540.0</v>
      </c>
      <c r="D674" s="1" t="s">
        <v>536</v>
      </c>
      <c r="E674" s="1" t="s">
        <v>927</v>
      </c>
      <c r="F674" s="1" t="s">
        <v>927</v>
      </c>
      <c r="G674" s="1">
        <v>172.0</v>
      </c>
      <c r="H674" s="1">
        <v>11.55001731</v>
      </c>
      <c r="I674" s="1">
        <v>5.0</v>
      </c>
      <c r="J674" s="1">
        <v>3.87596</v>
      </c>
      <c r="L674" s="10">
        <f>IFERROR(__xludf.DUMMYFUNCTION("""COMPUTED_VALUE"""),664849.0)</f>
        <v>664849</v>
      </c>
      <c r="M674" s="10">
        <f>IFERROR(__xludf.DUMMYFUNCTION("""COMPUTED_VALUE"""),158.0)</f>
        <v>158</v>
      </c>
    </row>
    <row r="675">
      <c r="A675" s="1">
        <v>2025.0</v>
      </c>
      <c r="B675" s="1" t="s">
        <v>247</v>
      </c>
      <c r="C675" s="1">
        <v>605540.0</v>
      </c>
      <c r="D675" s="1" t="s">
        <v>539</v>
      </c>
      <c r="E675" s="1" t="s">
        <v>927</v>
      </c>
      <c r="F675" s="1" t="s">
        <v>927</v>
      </c>
      <c r="G675" s="1">
        <v>12.0</v>
      </c>
      <c r="H675" s="1">
        <v>0.805815161</v>
      </c>
      <c r="I675" s="1">
        <v>4.91</v>
      </c>
      <c r="J675" s="1">
        <v>0.298795</v>
      </c>
      <c r="L675" s="10">
        <f>IFERROR(__xludf.DUMMYFUNCTION("""COMPUTED_VALUE"""),690382.0)</f>
        <v>690382</v>
      </c>
      <c r="M675" s="10">
        <f>IFERROR(__xludf.DUMMYFUNCTION("""COMPUTED_VALUE"""),158.0)</f>
        <v>158</v>
      </c>
    </row>
    <row r="676">
      <c r="A676" s="1">
        <v>2025.0</v>
      </c>
      <c r="B676" s="1" t="s">
        <v>191</v>
      </c>
      <c r="C676" s="1">
        <v>687064.0</v>
      </c>
      <c r="D676" s="1" t="s">
        <v>532</v>
      </c>
      <c r="E676" s="1" t="s">
        <v>927</v>
      </c>
      <c r="F676" s="1" t="s">
        <v>926</v>
      </c>
      <c r="G676" s="1">
        <v>37.0</v>
      </c>
      <c r="H676" s="1">
        <v>2.27227547</v>
      </c>
      <c r="I676" s="1">
        <v>4.8</v>
      </c>
      <c r="J676" s="1">
        <v>1.008941</v>
      </c>
      <c r="L676" s="10">
        <f>IFERROR(__xludf.DUMMYFUNCTION("""COMPUTED_VALUE"""),640462.0)</f>
        <v>640462</v>
      </c>
      <c r="M676" s="10">
        <f>IFERROR(__xludf.DUMMYFUNCTION("""COMPUTED_VALUE"""),156.0)</f>
        <v>156</v>
      </c>
    </row>
    <row r="677">
      <c r="A677" s="1">
        <v>2025.0</v>
      </c>
      <c r="B677" s="1" t="s">
        <v>191</v>
      </c>
      <c r="C677" s="1">
        <v>687064.0</v>
      </c>
      <c r="D677" s="1" t="s">
        <v>541</v>
      </c>
      <c r="E677" s="1" t="s">
        <v>927</v>
      </c>
      <c r="F677" s="1" t="s">
        <v>926</v>
      </c>
      <c r="G677" s="1">
        <v>86.0</v>
      </c>
      <c r="H677" s="1">
        <v>5.281505147</v>
      </c>
      <c r="I677" s="1">
        <v>5.12</v>
      </c>
      <c r="J677" s="1">
        <v>1.615736</v>
      </c>
      <c r="L677" s="10">
        <f>IFERROR(__xludf.DUMMYFUNCTION("""COMPUTED_VALUE"""),664123.0)</f>
        <v>664123</v>
      </c>
      <c r="M677" s="10">
        <f>IFERROR(__xludf.DUMMYFUNCTION("""COMPUTED_VALUE"""),156.0)</f>
        <v>156</v>
      </c>
    </row>
    <row r="678">
      <c r="A678" s="1">
        <v>2025.0</v>
      </c>
      <c r="B678" s="1" t="s">
        <v>191</v>
      </c>
      <c r="C678" s="1">
        <v>687064.0</v>
      </c>
      <c r="D678" s="1" t="s">
        <v>540</v>
      </c>
      <c r="E678" s="1" t="s">
        <v>927</v>
      </c>
      <c r="F678" s="1" t="s">
        <v>926</v>
      </c>
      <c r="G678" s="1">
        <v>34.0</v>
      </c>
      <c r="H678" s="1">
        <v>2.088036919</v>
      </c>
      <c r="I678" s="1">
        <v>4.8</v>
      </c>
      <c r="J678" s="1">
        <v>0.875901</v>
      </c>
      <c r="L678" s="10">
        <f>IFERROR(__xludf.DUMMYFUNCTION("""COMPUTED_VALUE"""),669947.0)</f>
        <v>669947</v>
      </c>
      <c r="M678" s="10">
        <f>IFERROR(__xludf.DUMMYFUNCTION("""COMPUTED_VALUE"""),154.0)</f>
        <v>154</v>
      </c>
    </row>
    <row r="679">
      <c r="A679" s="1">
        <v>2025.0</v>
      </c>
      <c r="B679" s="1" t="s">
        <v>191</v>
      </c>
      <c r="C679" s="1">
        <v>687064.0</v>
      </c>
      <c r="D679" s="1" t="s">
        <v>537</v>
      </c>
      <c r="E679" s="1" t="s">
        <v>927</v>
      </c>
      <c r="F679" s="1" t="s">
        <v>926</v>
      </c>
      <c r="G679" s="1">
        <v>263.0</v>
      </c>
      <c r="H679" s="1">
        <v>16.15157969</v>
      </c>
      <c r="I679" s="1">
        <v>5.06</v>
      </c>
      <c r="J679" s="1">
        <v>5.520409</v>
      </c>
      <c r="L679" s="10">
        <f>IFERROR(__xludf.DUMMYFUNCTION("""COMPUTED_VALUE"""),674944.0)</f>
        <v>674944</v>
      </c>
      <c r="M679" s="10">
        <f>IFERROR(__xludf.DUMMYFUNCTION("""COMPUTED_VALUE"""),154.0)</f>
        <v>154</v>
      </c>
    </row>
    <row r="680">
      <c r="A680" s="1">
        <v>2025.0</v>
      </c>
      <c r="B680" s="1" t="s">
        <v>191</v>
      </c>
      <c r="C680" s="1">
        <v>687064.0</v>
      </c>
      <c r="D680" s="1" t="s">
        <v>538</v>
      </c>
      <c r="E680" s="1" t="s">
        <v>927</v>
      </c>
      <c r="F680" s="1" t="s">
        <v>926</v>
      </c>
      <c r="G680" s="1">
        <v>116.0</v>
      </c>
      <c r="H680" s="1">
        <v>7.123890664</v>
      </c>
      <c r="I680" s="1">
        <v>5.13</v>
      </c>
      <c r="J680" s="1">
        <v>2.158694</v>
      </c>
      <c r="L680" s="10">
        <f>IFERROR(__xludf.DUMMYFUNCTION("""COMPUTED_VALUE"""),671111.0)</f>
        <v>671111</v>
      </c>
      <c r="M680" s="10">
        <f>IFERROR(__xludf.DUMMYFUNCTION("""COMPUTED_VALUE"""),153.0)</f>
        <v>153</v>
      </c>
    </row>
    <row r="681">
      <c r="A681" s="1">
        <v>2025.0</v>
      </c>
      <c r="B681" s="1" t="s">
        <v>191</v>
      </c>
      <c r="C681" s="1">
        <v>687064.0</v>
      </c>
      <c r="D681" s="1" t="s">
        <v>533</v>
      </c>
      <c r="E681" s="1" t="s">
        <v>927</v>
      </c>
      <c r="F681" s="1" t="s">
        <v>926</v>
      </c>
      <c r="G681" s="1">
        <v>1.0</v>
      </c>
      <c r="H681" s="1">
        <v>0.061412851</v>
      </c>
      <c r="I681" s="1">
        <v>6.84</v>
      </c>
      <c r="J681" s="1">
        <v>-0.014716</v>
      </c>
      <c r="L681" s="10">
        <f>IFERROR(__xludf.DUMMYFUNCTION("""COMPUTED_VALUE"""),676742.0)</f>
        <v>676742</v>
      </c>
      <c r="M681" s="10">
        <f>IFERROR(__xludf.DUMMYFUNCTION("""COMPUTED_VALUE"""),147.0)</f>
        <v>147</v>
      </c>
    </row>
    <row r="682">
      <c r="A682" s="1">
        <v>2025.0</v>
      </c>
      <c r="B682" s="1" t="s">
        <v>191</v>
      </c>
      <c r="C682" s="1">
        <v>687064.0</v>
      </c>
      <c r="D682" s="1" t="s">
        <v>532</v>
      </c>
      <c r="E682" s="1" t="s">
        <v>927</v>
      </c>
      <c r="F682" s="1" t="s">
        <v>927</v>
      </c>
      <c r="G682" s="1">
        <v>6.0</v>
      </c>
      <c r="H682" s="1">
        <v>0.368477103</v>
      </c>
      <c r="I682" s="1">
        <v>4.18</v>
      </c>
      <c r="J682" s="1">
        <v>0.241234</v>
      </c>
      <c r="L682" s="10">
        <f>IFERROR(__xludf.DUMMYFUNCTION("""COMPUTED_VALUE"""),596112.0)</f>
        <v>596112</v>
      </c>
      <c r="M682" s="10">
        <f>IFERROR(__xludf.DUMMYFUNCTION("""COMPUTED_VALUE"""),146.0)</f>
        <v>146</v>
      </c>
    </row>
    <row r="683">
      <c r="A683" s="1">
        <v>2025.0</v>
      </c>
      <c r="B683" s="1" t="s">
        <v>191</v>
      </c>
      <c r="C683" s="1">
        <v>687064.0</v>
      </c>
      <c r="D683" s="1" t="s">
        <v>541</v>
      </c>
      <c r="E683" s="1" t="s">
        <v>927</v>
      </c>
      <c r="F683" s="1" t="s">
        <v>927</v>
      </c>
      <c r="G683" s="1">
        <v>62.0</v>
      </c>
      <c r="H683" s="1">
        <v>3.807596734</v>
      </c>
      <c r="I683" s="1">
        <v>4.95</v>
      </c>
      <c r="J683" s="1">
        <v>1.393802</v>
      </c>
      <c r="L683" s="10">
        <f>IFERROR(__xludf.DUMMYFUNCTION("""COMPUTED_VALUE"""),606930.0)</f>
        <v>606930</v>
      </c>
      <c r="M683" s="10">
        <f>IFERROR(__xludf.DUMMYFUNCTION("""COMPUTED_VALUE"""),146.0)</f>
        <v>146</v>
      </c>
    </row>
    <row r="684">
      <c r="A684" s="1">
        <v>2025.0</v>
      </c>
      <c r="B684" s="1" t="s">
        <v>191</v>
      </c>
      <c r="C684" s="1">
        <v>687064.0</v>
      </c>
      <c r="D684" s="1" t="s">
        <v>540</v>
      </c>
      <c r="E684" s="1" t="s">
        <v>927</v>
      </c>
      <c r="F684" s="1" t="s">
        <v>927</v>
      </c>
      <c r="G684" s="1">
        <v>52.0</v>
      </c>
      <c r="H684" s="1">
        <v>3.193468229</v>
      </c>
      <c r="I684" s="1">
        <v>4.95</v>
      </c>
      <c r="J684" s="1">
        <v>1.196632</v>
      </c>
      <c r="L684" s="10">
        <f>IFERROR(__xludf.DUMMYFUNCTION("""COMPUTED_VALUE"""),681810.0)</f>
        <v>681810</v>
      </c>
      <c r="M684" s="10">
        <f>IFERROR(__xludf.DUMMYFUNCTION("""COMPUTED_VALUE"""),146.0)</f>
        <v>146</v>
      </c>
    </row>
    <row r="685">
      <c r="A685" s="1">
        <v>2025.0</v>
      </c>
      <c r="B685" s="1" t="s">
        <v>191</v>
      </c>
      <c r="C685" s="1">
        <v>687064.0</v>
      </c>
      <c r="D685" s="1" t="s">
        <v>537</v>
      </c>
      <c r="E685" s="1" t="s">
        <v>927</v>
      </c>
      <c r="F685" s="1" t="s">
        <v>927</v>
      </c>
      <c r="G685" s="1">
        <v>148.0</v>
      </c>
      <c r="H685" s="1">
        <v>9.089101881</v>
      </c>
      <c r="I685" s="1">
        <v>5.44</v>
      </c>
      <c r="J685" s="1">
        <v>2.035999</v>
      </c>
      <c r="L685" s="10">
        <f>IFERROR(__xludf.DUMMYFUNCTION("""COMPUTED_VALUE"""),681799.0)</f>
        <v>681799</v>
      </c>
      <c r="M685" s="10">
        <f>IFERROR(__xludf.DUMMYFUNCTION("""COMPUTED_VALUE"""),144.0)</f>
        <v>144</v>
      </c>
    </row>
    <row r="686">
      <c r="A686" s="1">
        <v>2025.0</v>
      </c>
      <c r="B686" s="1" t="s">
        <v>191</v>
      </c>
      <c r="C686" s="1">
        <v>687064.0</v>
      </c>
      <c r="D686" s="1" t="s">
        <v>538</v>
      </c>
      <c r="E686" s="1" t="s">
        <v>927</v>
      </c>
      <c r="F686" s="1" t="s">
        <v>927</v>
      </c>
      <c r="G686" s="1">
        <v>51.0</v>
      </c>
      <c r="H686" s="1">
        <v>3.132055378</v>
      </c>
      <c r="I686" s="1">
        <v>5.14</v>
      </c>
      <c r="J686" s="1">
        <v>0.885551</v>
      </c>
      <c r="L686" s="10">
        <f>IFERROR(__xludf.DUMMYFUNCTION("""COMPUTED_VALUE"""),697812.0)</f>
        <v>697812</v>
      </c>
      <c r="M686" s="10">
        <f>IFERROR(__xludf.DUMMYFUNCTION("""COMPUTED_VALUE"""),144.0)</f>
        <v>144</v>
      </c>
    </row>
    <row r="687">
      <c r="A687" s="1">
        <v>2025.0</v>
      </c>
      <c r="B687" s="1" t="s">
        <v>191</v>
      </c>
      <c r="C687" s="1">
        <v>687064.0</v>
      </c>
      <c r="D687" s="1" t="s">
        <v>533</v>
      </c>
      <c r="E687" s="1" t="s">
        <v>927</v>
      </c>
      <c r="F687" s="1" t="s">
        <v>927</v>
      </c>
      <c r="G687" s="1">
        <v>83.0</v>
      </c>
      <c r="H687" s="1">
        <v>5.097266596</v>
      </c>
      <c r="I687" s="1">
        <v>5.07</v>
      </c>
      <c r="J687" s="1">
        <v>1.688233</v>
      </c>
      <c r="L687" s="10">
        <f>IFERROR(__xludf.DUMMYFUNCTION("""COMPUTED_VALUE"""),593833.0)</f>
        <v>593833</v>
      </c>
      <c r="M687" s="10">
        <f>IFERROR(__xludf.DUMMYFUNCTION("""COMPUTED_VALUE"""),142.0)</f>
        <v>142</v>
      </c>
    </row>
    <row r="688">
      <c r="A688" s="1">
        <v>2025.0</v>
      </c>
      <c r="B688" s="1" t="s">
        <v>941</v>
      </c>
      <c r="C688" s="1">
        <v>805299.0</v>
      </c>
      <c r="D688" s="1" t="s">
        <v>536</v>
      </c>
      <c r="E688" s="1" t="s">
        <v>926</v>
      </c>
      <c r="F688" s="1" t="s">
        <v>926</v>
      </c>
      <c r="G688" s="1">
        <v>53.0</v>
      </c>
      <c r="H688" s="1">
        <v>2.742478941</v>
      </c>
      <c r="I688" s="1">
        <v>5.65</v>
      </c>
      <c r="J688" s="1">
        <v>0.449906</v>
      </c>
      <c r="L688" s="10">
        <f>IFERROR(__xludf.DUMMYFUNCTION("""COMPUTED_VALUE"""),691172.0)</f>
        <v>691172</v>
      </c>
      <c r="M688" s="10">
        <f>IFERROR(__xludf.DUMMYFUNCTION("""COMPUTED_VALUE"""),140.0)</f>
        <v>140</v>
      </c>
    </row>
    <row r="689">
      <c r="A689" s="1">
        <v>2025.0</v>
      </c>
      <c r="B689" s="1" t="s">
        <v>941</v>
      </c>
      <c r="C689" s="1">
        <v>805299.0</v>
      </c>
      <c r="D689" s="1" t="s">
        <v>533</v>
      </c>
      <c r="E689" s="1" t="s">
        <v>926</v>
      </c>
      <c r="F689" s="1" t="s">
        <v>926</v>
      </c>
      <c r="G689" s="1">
        <v>4.0</v>
      </c>
      <c r="H689" s="1">
        <v>0.206979543</v>
      </c>
      <c r="I689" s="1">
        <v>2.31</v>
      </c>
      <c r="J689" s="1">
        <v>0.309629</v>
      </c>
      <c r="L689" s="10">
        <f>IFERROR(__xludf.DUMMYFUNCTION("""COMPUTED_VALUE"""),622253.0)</f>
        <v>622253</v>
      </c>
      <c r="M689" s="10">
        <f>IFERROR(__xludf.DUMMYFUNCTION("""COMPUTED_VALUE"""),139.0)</f>
        <v>139</v>
      </c>
    </row>
    <row r="690">
      <c r="A690" s="1">
        <v>2025.0</v>
      </c>
      <c r="B690" s="1" t="s">
        <v>941</v>
      </c>
      <c r="C690" s="1">
        <v>805299.0</v>
      </c>
      <c r="D690" s="1" t="s">
        <v>539</v>
      </c>
      <c r="E690" s="1" t="s">
        <v>926</v>
      </c>
      <c r="F690" s="1" t="s">
        <v>926</v>
      </c>
      <c r="G690" s="1">
        <v>46.0</v>
      </c>
      <c r="H690" s="1">
        <v>2.380264741</v>
      </c>
      <c r="I690" s="1">
        <v>5.03</v>
      </c>
      <c r="J690" s="1">
        <v>0.957528</v>
      </c>
      <c r="L690" s="10">
        <f>IFERROR(__xludf.DUMMYFUNCTION("""COMPUTED_VALUE"""),700187.0)</f>
        <v>700187</v>
      </c>
      <c r="M690" s="10">
        <f>IFERROR(__xludf.DUMMYFUNCTION("""COMPUTED_VALUE"""),136.0)</f>
        <v>136</v>
      </c>
    </row>
    <row r="691">
      <c r="A691" s="1">
        <v>2025.0</v>
      </c>
      <c r="B691" s="1" t="s">
        <v>941</v>
      </c>
      <c r="C691" s="1">
        <v>805299.0</v>
      </c>
      <c r="D691" s="1" t="s">
        <v>532</v>
      </c>
      <c r="E691" s="1" t="s">
        <v>926</v>
      </c>
      <c r="F691" s="1" t="s">
        <v>927</v>
      </c>
      <c r="G691" s="1">
        <v>6.0</v>
      </c>
      <c r="H691" s="1">
        <v>0.310469314</v>
      </c>
      <c r="I691" s="1">
        <v>3.04</v>
      </c>
      <c r="J691" s="1">
        <v>0.353988</v>
      </c>
      <c r="L691" s="10">
        <f>IFERROR(__xludf.DUMMYFUNCTION("""COMPUTED_VALUE"""),801434.0)</f>
        <v>801434</v>
      </c>
      <c r="M691" s="10">
        <f>IFERROR(__xludf.DUMMYFUNCTION("""COMPUTED_VALUE"""),136.0)</f>
        <v>136</v>
      </c>
    </row>
    <row r="692">
      <c r="A692" s="1">
        <v>2025.0</v>
      </c>
      <c r="B692" s="1" t="s">
        <v>941</v>
      </c>
      <c r="C692" s="1">
        <v>805299.0</v>
      </c>
      <c r="D692" s="1" t="s">
        <v>536</v>
      </c>
      <c r="E692" s="1" t="s">
        <v>926</v>
      </c>
      <c r="F692" s="1" t="s">
        <v>927</v>
      </c>
      <c r="G692" s="1">
        <v>92.0</v>
      </c>
      <c r="H692" s="1">
        <v>4.760529483</v>
      </c>
      <c r="I692" s="1">
        <v>4.89</v>
      </c>
      <c r="J692" s="1">
        <v>2.141646</v>
      </c>
      <c r="L692" s="10">
        <f>IFERROR(__xludf.DUMMYFUNCTION("""COMPUTED_VALUE"""),669212.0)</f>
        <v>669212</v>
      </c>
      <c r="M692" s="10">
        <f>IFERROR(__xludf.DUMMYFUNCTION("""COMPUTED_VALUE"""),132.0)</f>
        <v>132</v>
      </c>
    </row>
    <row r="693">
      <c r="A693" s="1">
        <v>2025.0</v>
      </c>
      <c r="B693" s="1" t="s">
        <v>941</v>
      </c>
      <c r="C693" s="1">
        <v>805299.0</v>
      </c>
      <c r="D693" s="1" t="s">
        <v>533</v>
      </c>
      <c r="E693" s="1" t="s">
        <v>926</v>
      </c>
      <c r="F693" s="1" t="s">
        <v>927</v>
      </c>
      <c r="G693" s="1">
        <v>38.0</v>
      </c>
      <c r="H693" s="1">
        <v>1.966305656</v>
      </c>
      <c r="I693" s="1">
        <v>5.46</v>
      </c>
      <c r="J693" s="1">
        <v>0.51319</v>
      </c>
      <c r="L693" s="10">
        <f>IFERROR(__xludf.DUMMYFUNCTION("""COMPUTED_VALUE"""),663773.0)</f>
        <v>663773</v>
      </c>
      <c r="M693" s="10">
        <f>IFERROR(__xludf.DUMMYFUNCTION("""COMPUTED_VALUE"""),131.0)</f>
        <v>131</v>
      </c>
    </row>
    <row r="694">
      <c r="A694" s="1">
        <v>2025.0</v>
      </c>
      <c r="B694" s="1" t="s">
        <v>941</v>
      </c>
      <c r="C694" s="1">
        <v>805299.0</v>
      </c>
      <c r="D694" s="1" t="s">
        <v>539</v>
      </c>
      <c r="E694" s="1" t="s">
        <v>926</v>
      </c>
      <c r="F694" s="1" t="s">
        <v>927</v>
      </c>
      <c r="G694" s="1">
        <v>38.0</v>
      </c>
      <c r="H694" s="1">
        <v>1.966305656</v>
      </c>
      <c r="I694" s="1">
        <v>4.5</v>
      </c>
      <c r="J694" s="1">
        <v>1.18582</v>
      </c>
      <c r="L694" s="10">
        <f>IFERROR(__xludf.DUMMYFUNCTION("""COMPUTED_VALUE"""),666619.0)</f>
        <v>666619</v>
      </c>
      <c r="M694" s="10">
        <f>IFERROR(__xludf.DUMMYFUNCTION("""COMPUTED_VALUE"""),131.0)</f>
        <v>131</v>
      </c>
    </row>
    <row r="695">
      <c r="A695" s="1">
        <v>2025.0</v>
      </c>
      <c r="B695" s="1" t="s">
        <v>487</v>
      </c>
      <c r="C695" s="1">
        <v>676428.0</v>
      </c>
      <c r="D695" s="1" t="s">
        <v>532</v>
      </c>
      <c r="E695" s="1" t="s">
        <v>926</v>
      </c>
      <c r="F695" s="1" t="s">
        <v>926</v>
      </c>
      <c r="G695" s="1">
        <v>3.0</v>
      </c>
      <c r="H695" s="1">
        <v>0.179657795</v>
      </c>
      <c r="I695" s="1">
        <v>4.7</v>
      </c>
      <c r="J695" s="1">
        <v>0.09064</v>
      </c>
      <c r="L695" s="10">
        <f>IFERROR(__xludf.DUMMYFUNCTION("""COMPUTED_VALUE"""),676206.0)</f>
        <v>676206</v>
      </c>
      <c r="M695" s="10">
        <f>IFERROR(__xludf.DUMMYFUNCTION("""COMPUTED_VALUE"""),129.0)</f>
        <v>129</v>
      </c>
    </row>
    <row r="696">
      <c r="A696" s="1">
        <v>2025.0</v>
      </c>
      <c r="B696" s="1" t="s">
        <v>487</v>
      </c>
      <c r="C696" s="1">
        <v>676428.0</v>
      </c>
      <c r="D696" s="1" t="s">
        <v>537</v>
      </c>
      <c r="E696" s="1" t="s">
        <v>926</v>
      </c>
      <c r="F696" s="1" t="s">
        <v>926</v>
      </c>
      <c r="G696" s="1">
        <v>4.0</v>
      </c>
      <c r="H696" s="1">
        <v>0.239543726</v>
      </c>
      <c r="I696" s="1">
        <v>4.5</v>
      </c>
      <c r="J696" s="1">
        <v>0.114552</v>
      </c>
      <c r="L696" s="10">
        <f>IFERROR(__xludf.DUMMYFUNCTION("""COMPUTED_VALUE"""),687003.0)</f>
        <v>687003</v>
      </c>
      <c r="M696" s="10">
        <f>IFERROR(__xludf.DUMMYFUNCTION("""COMPUTED_VALUE"""),129.0)</f>
        <v>129</v>
      </c>
    </row>
    <row r="697">
      <c r="A697" s="1">
        <v>2025.0</v>
      </c>
      <c r="B697" s="1" t="s">
        <v>487</v>
      </c>
      <c r="C697" s="1">
        <v>676428.0</v>
      </c>
      <c r="D697" s="1" t="s">
        <v>536</v>
      </c>
      <c r="E697" s="1" t="s">
        <v>926</v>
      </c>
      <c r="F697" s="1" t="s">
        <v>926</v>
      </c>
      <c r="G697" s="1">
        <v>279.0</v>
      </c>
      <c r="H697" s="1">
        <v>16.7081749</v>
      </c>
      <c r="I697" s="1">
        <v>4.89</v>
      </c>
      <c r="J697" s="1">
        <v>6.693361</v>
      </c>
      <c r="L697" s="10">
        <f>IFERROR(__xludf.DUMMYFUNCTION("""COMPUTED_VALUE"""),687424.0)</f>
        <v>687424</v>
      </c>
      <c r="M697" s="10">
        <f>IFERROR(__xludf.DUMMYFUNCTION("""COMPUTED_VALUE"""),129.0)</f>
        <v>129</v>
      </c>
    </row>
    <row r="698">
      <c r="A698" s="1">
        <v>2025.0</v>
      </c>
      <c r="B698" s="1" t="s">
        <v>487</v>
      </c>
      <c r="C698" s="1">
        <v>676428.0</v>
      </c>
      <c r="D698" s="1" t="s">
        <v>539</v>
      </c>
      <c r="E698" s="1" t="s">
        <v>926</v>
      </c>
      <c r="F698" s="1" t="s">
        <v>926</v>
      </c>
      <c r="G698" s="1">
        <v>152.0</v>
      </c>
      <c r="H698" s="1">
        <v>9.102661597</v>
      </c>
      <c r="I698" s="1">
        <v>4.98</v>
      </c>
      <c r="J698" s="1">
        <v>3.265089</v>
      </c>
      <c r="L698" s="10">
        <f>IFERROR(__xludf.DUMMYFUNCTION("""COMPUTED_VALUE"""),657024.0)</f>
        <v>657024</v>
      </c>
      <c r="M698" s="10">
        <f>IFERROR(__xludf.DUMMYFUNCTION("""COMPUTED_VALUE"""),128.0)</f>
        <v>128</v>
      </c>
    </row>
    <row r="699">
      <c r="A699" s="1">
        <v>2025.0</v>
      </c>
      <c r="B699" s="1" t="s">
        <v>487</v>
      </c>
      <c r="C699" s="1">
        <v>676428.0</v>
      </c>
      <c r="D699" s="1" t="s">
        <v>532</v>
      </c>
      <c r="E699" s="1" t="s">
        <v>926</v>
      </c>
      <c r="F699" s="1" t="s">
        <v>927</v>
      </c>
      <c r="G699" s="1">
        <v>109.0</v>
      </c>
      <c r="H699" s="1">
        <v>6.52756654</v>
      </c>
      <c r="I699" s="1">
        <v>4.57</v>
      </c>
      <c r="J699" s="1">
        <v>3.329457</v>
      </c>
      <c r="L699" s="10">
        <f>IFERROR(__xludf.DUMMYFUNCTION("""COMPUTED_VALUE"""),647315.0)</f>
        <v>647315</v>
      </c>
      <c r="M699" s="10">
        <f>IFERROR(__xludf.DUMMYFUNCTION("""COMPUTED_VALUE"""),127.0)</f>
        <v>127</v>
      </c>
    </row>
    <row r="700">
      <c r="A700" s="1">
        <v>2025.0</v>
      </c>
      <c r="B700" s="1" t="s">
        <v>487</v>
      </c>
      <c r="C700" s="1">
        <v>676428.0</v>
      </c>
      <c r="D700" s="1" t="s">
        <v>537</v>
      </c>
      <c r="E700" s="1" t="s">
        <v>926</v>
      </c>
      <c r="F700" s="1" t="s">
        <v>927</v>
      </c>
      <c r="G700" s="1">
        <v>51.0</v>
      </c>
      <c r="H700" s="1">
        <v>3.05418251</v>
      </c>
      <c r="I700" s="1">
        <v>4.4</v>
      </c>
      <c r="J700" s="1">
        <v>1.726302</v>
      </c>
      <c r="L700" s="10">
        <f>IFERROR(__xludf.DUMMYFUNCTION("""COMPUTED_VALUE"""),554431.0)</f>
        <v>554431</v>
      </c>
      <c r="M700" s="10">
        <f>IFERROR(__xludf.DUMMYFUNCTION("""COMPUTED_VALUE"""),126.0)</f>
        <v>126</v>
      </c>
    </row>
    <row r="701">
      <c r="A701" s="1">
        <v>2025.0</v>
      </c>
      <c r="B701" s="1" t="s">
        <v>487</v>
      </c>
      <c r="C701" s="1">
        <v>676428.0</v>
      </c>
      <c r="D701" s="1" t="s">
        <v>536</v>
      </c>
      <c r="E701" s="1" t="s">
        <v>926</v>
      </c>
      <c r="F701" s="1" t="s">
        <v>927</v>
      </c>
      <c r="G701" s="1">
        <v>274.0</v>
      </c>
      <c r="H701" s="1">
        <v>16.40874525</v>
      </c>
      <c r="I701" s="1">
        <v>4.81</v>
      </c>
      <c r="J701" s="1">
        <v>7.22772</v>
      </c>
      <c r="L701" s="10">
        <f>IFERROR(__xludf.DUMMYFUNCTION("""COMPUTED_VALUE"""),699134.0)</f>
        <v>699134</v>
      </c>
      <c r="M701" s="10">
        <f>IFERROR(__xludf.DUMMYFUNCTION("""COMPUTED_VALUE"""),126.0)</f>
        <v>126</v>
      </c>
    </row>
    <row r="702">
      <c r="A702" s="1">
        <v>2025.0</v>
      </c>
      <c r="B702" s="1" t="s">
        <v>487</v>
      </c>
      <c r="C702" s="1">
        <v>676428.0</v>
      </c>
      <c r="D702" s="1" t="s">
        <v>539</v>
      </c>
      <c r="E702" s="1" t="s">
        <v>926</v>
      </c>
      <c r="F702" s="1" t="s">
        <v>927</v>
      </c>
      <c r="G702" s="1">
        <v>180.0</v>
      </c>
      <c r="H702" s="1">
        <v>10.77946768</v>
      </c>
      <c r="I702" s="1">
        <v>4.89</v>
      </c>
      <c r="J702" s="1">
        <v>4.348626</v>
      </c>
      <c r="L702" s="10">
        <f>IFERROR(__xludf.DUMMYFUNCTION("""COMPUTED_VALUE"""),605513.0)</f>
        <v>605513</v>
      </c>
      <c r="M702" s="10">
        <f>IFERROR(__xludf.DUMMYFUNCTION("""COMPUTED_VALUE"""),125.0)</f>
        <v>125</v>
      </c>
    </row>
    <row r="703">
      <c r="A703" s="1">
        <v>2025.0</v>
      </c>
      <c r="B703" s="1" t="s">
        <v>277</v>
      </c>
      <c r="C703" s="1">
        <v>677952.0</v>
      </c>
      <c r="D703" s="1" t="s">
        <v>532</v>
      </c>
      <c r="E703" s="1" t="s">
        <v>927</v>
      </c>
      <c r="F703" s="1" t="s">
        <v>926</v>
      </c>
      <c r="G703" s="1">
        <v>35.0</v>
      </c>
      <c r="H703" s="1">
        <v>2.212643678</v>
      </c>
      <c r="I703" s="1">
        <v>5.01</v>
      </c>
      <c r="J703" s="1">
        <v>0.76639</v>
      </c>
      <c r="L703" s="10">
        <f>IFERROR(__xludf.DUMMYFUNCTION("""COMPUTED_VALUE"""),663474.0)</f>
        <v>663474</v>
      </c>
      <c r="M703" s="10">
        <f>IFERROR(__xludf.DUMMYFUNCTION("""COMPUTED_VALUE"""),123.0)</f>
        <v>123</v>
      </c>
    </row>
    <row r="704">
      <c r="A704" s="1">
        <v>2025.0</v>
      </c>
      <c r="B704" s="1" t="s">
        <v>277</v>
      </c>
      <c r="C704" s="1">
        <v>677952.0</v>
      </c>
      <c r="D704" s="1" t="s">
        <v>541</v>
      </c>
      <c r="E704" s="1" t="s">
        <v>927</v>
      </c>
      <c r="F704" s="1" t="s">
        <v>926</v>
      </c>
      <c r="G704" s="1">
        <v>161.0</v>
      </c>
      <c r="H704" s="1">
        <v>10.17816092</v>
      </c>
      <c r="I704" s="1">
        <v>4.72</v>
      </c>
      <c r="J704" s="1">
        <v>4.471887</v>
      </c>
      <c r="L704" s="10">
        <f>IFERROR(__xludf.DUMMYFUNCTION("""COMPUTED_VALUE"""),642520.0)</f>
        <v>642520</v>
      </c>
      <c r="M704" s="10">
        <f>IFERROR(__xludf.DUMMYFUNCTION("""COMPUTED_VALUE"""),121.0)</f>
        <v>121</v>
      </c>
    </row>
    <row r="705">
      <c r="A705" s="1">
        <v>2025.0</v>
      </c>
      <c r="B705" s="1" t="s">
        <v>277</v>
      </c>
      <c r="C705" s="1">
        <v>677952.0</v>
      </c>
      <c r="D705" s="1" t="s">
        <v>537</v>
      </c>
      <c r="E705" s="1" t="s">
        <v>927</v>
      </c>
      <c r="F705" s="1" t="s">
        <v>926</v>
      </c>
      <c r="G705" s="1">
        <v>184.0</v>
      </c>
      <c r="H705" s="1">
        <v>11.63218391</v>
      </c>
      <c r="I705" s="1">
        <v>4.88</v>
      </c>
      <c r="J705" s="1">
        <v>4.717834</v>
      </c>
      <c r="L705" s="10">
        <f>IFERROR(__xludf.DUMMYFUNCTION("""COMPUTED_VALUE"""),671305.0)</f>
        <v>671305</v>
      </c>
      <c r="M705" s="10">
        <f>IFERROR(__xludf.DUMMYFUNCTION("""COMPUTED_VALUE"""),121.0)</f>
        <v>121</v>
      </c>
    </row>
    <row r="706">
      <c r="A706" s="1">
        <v>2025.0</v>
      </c>
      <c r="B706" s="1" t="s">
        <v>277</v>
      </c>
      <c r="C706" s="1">
        <v>677952.0</v>
      </c>
      <c r="D706" s="1" t="s">
        <v>536</v>
      </c>
      <c r="E706" s="1" t="s">
        <v>927</v>
      </c>
      <c r="F706" s="1" t="s">
        <v>926</v>
      </c>
      <c r="G706" s="1">
        <v>20.0</v>
      </c>
      <c r="H706" s="1">
        <v>1.264367816</v>
      </c>
      <c r="I706" s="1">
        <v>5.14</v>
      </c>
      <c r="J706" s="1">
        <v>0.399048</v>
      </c>
      <c r="L706" s="10">
        <f>IFERROR(__xludf.DUMMYFUNCTION("""COMPUTED_VALUE"""),661527.0)</f>
        <v>661527</v>
      </c>
      <c r="M706" s="10">
        <f>IFERROR(__xludf.DUMMYFUNCTION("""COMPUTED_VALUE"""),120.0)</f>
        <v>120</v>
      </c>
    </row>
    <row r="707">
      <c r="A707" s="1">
        <v>2025.0</v>
      </c>
      <c r="B707" s="1" t="s">
        <v>277</v>
      </c>
      <c r="C707" s="1">
        <v>677952.0</v>
      </c>
      <c r="D707" s="1" t="s">
        <v>533</v>
      </c>
      <c r="E707" s="1" t="s">
        <v>927</v>
      </c>
      <c r="F707" s="1" t="s">
        <v>926</v>
      </c>
      <c r="G707" s="1">
        <v>112.0</v>
      </c>
      <c r="H707" s="1">
        <v>7.08045977</v>
      </c>
      <c r="I707" s="1">
        <v>5.5</v>
      </c>
      <c r="J707" s="1">
        <v>1.327738</v>
      </c>
      <c r="L707" s="10">
        <f>IFERROR(__xludf.DUMMYFUNCTION("""COMPUTED_VALUE"""),669391.0)</f>
        <v>669391</v>
      </c>
      <c r="M707" s="10">
        <f>IFERROR(__xludf.DUMMYFUNCTION("""COMPUTED_VALUE"""),119.0)</f>
        <v>119</v>
      </c>
    </row>
    <row r="708">
      <c r="A708" s="1">
        <v>2025.0</v>
      </c>
      <c r="B708" s="1" t="s">
        <v>277</v>
      </c>
      <c r="C708" s="1">
        <v>677952.0</v>
      </c>
      <c r="D708" s="1" t="s">
        <v>541</v>
      </c>
      <c r="E708" s="1" t="s">
        <v>927</v>
      </c>
      <c r="F708" s="1" t="s">
        <v>927</v>
      </c>
      <c r="G708" s="1">
        <v>71.0</v>
      </c>
      <c r="H708" s="1">
        <v>4.488505747</v>
      </c>
      <c r="I708" s="1">
        <v>5.19</v>
      </c>
      <c r="J708" s="1">
        <v>1.244828</v>
      </c>
      <c r="L708" s="10">
        <f>IFERROR(__xludf.DUMMYFUNCTION("""COMPUTED_VALUE"""),671162.0)</f>
        <v>671162</v>
      </c>
      <c r="M708" s="10">
        <f>IFERROR(__xludf.DUMMYFUNCTION("""COMPUTED_VALUE"""),119.0)</f>
        <v>119</v>
      </c>
    </row>
    <row r="709">
      <c r="A709" s="1">
        <v>2025.0</v>
      </c>
      <c r="B709" s="1" t="s">
        <v>277</v>
      </c>
      <c r="C709" s="1">
        <v>677952.0</v>
      </c>
      <c r="D709" s="1" t="s">
        <v>537</v>
      </c>
      <c r="E709" s="1" t="s">
        <v>927</v>
      </c>
      <c r="F709" s="1" t="s">
        <v>927</v>
      </c>
      <c r="G709" s="1">
        <v>143.0</v>
      </c>
      <c r="H709" s="1">
        <v>9.040229885</v>
      </c>
      <c r="I709" s="1">
        <v>4.63</v>
      </c>
      <c r="J709" s="1">
        <v>4.396565</v>
      </c>
      <c r="L709" s="10">
        <f>IFERROR(__xludf.DUMMYFUNCTION("""COMPUTED_VALUE"""),681751.0)</f>
        <v>681751</v>
      </c>
      <c r="M709" s="10">
        <f>IFERROR(__xludf.DUMMYFUNCTION("""COMPUTED_VALUE"""),119.0)</f>
        <v>119</v>
      </c>
    </row>
    <row r="710">
      <c r="A710" s="1">
        <v>2025.0</v>
      </c>
      <c r="B710" s="1" t="s">
        <v>277</v>
      </c>
      <c r="C710" s="1">
        <v>677952.0</v>
      </c>
      <c r="D710" s="1" t="s">
        <v>536</v>
      </c>
      <c r="E710" s="1" t="s">
        <v>927</v>
      </c>
      <c r="F710" s="1" t="s">
        <v>927</v>
      </c>
      <c r="G710" s="1">
        <v>144.0</v>
      </c>
      <c r="H710" s="1">
        <v>9.103448276</v>
      </c>
      <c r="I710" s="1">
        <v>5.17</v>
      </c>
      <c r="J710" s="1">
        <v>2.837348</v>
      </c>
      <c r="L710" s="10">
        <f>IFERROR(__xludf.DUMMYFUNCTION("""COMPUTED_VALUE"""),670950.0)</f>
        <v>670950</v>
      </c>
      <c r="M710" s="10">
        <f>IFERROR(__xludf.DUMMYFUNCTION("""COMPUTED_VALUE"""),116.0)</f>
        <v>116</v>
      </c>
    </row>
    <row r="711">
      <c r="A711" s="1">
        <v>2025.0</v>
      </c>
      <c r="B711" s="1" t="s">
        <v>277</v>
      </c>
      <c r="C711" s="1">
        <v>677952.0</v>
      </c>
      <c r="D711" s="1" t="s">
        <v>533</v>
      </c>
      <c r="E711" s="1" t="s">
        <v>927</v>
      </c>
      <c r="F711" s="1" t="s">
        <v>927</v>
      </c>
      <c r="G711" s="1">
        <v>232.0</v>
      </c>
      <c r="H711" s="1">
        <v>14.66666667</v>
      </c>
      <c r="I711" s="1">
        <v>5.07</v>
      </c>
      <c r="J711" s="1">
        <v>4.781982</v>
      </c>
      <c r="L711" s="10">
        <f>IFERROR(__xludf.DUMMYFUNCTION("""COMPUTED_VALUE"""),676272.0)</f>
        <v>676272</v>
      </c>
      <c r="M711" s="10">
        <f>IFERROR(__xludf.DUMMYFUNCTION("""COMPUTED_VALUE"""),116.0)</f>
        <v>116</v>
      </c>
    </row>
    <row r="712">
      <c r="A712" s="1">
        <v>2025.0</v>
      </c>
      <c r="B712" s="1" t="s">
        <v>410</v>
      </c>
      <c r="C712" s="1">
        <v>678394.0</v>
      </c>
      <c r="D712" s="1" t="s">
        <v>532</v>
      </c>
      <c r="E712" s="1" t="s">
        <v>927</v>
      </c>
      <c r="F712" s="1" t="s">
        <v>926</v>
      </c>
      <c r="G712" s="1">
        <v>369.0</v>
      </c>
      <c r="H712" s="1">
        <v>22.80311457</v>
      </c>
      <c r="I712" s="1">
        <v>4.55</v>
      </c>
      <c r="J712" s="1">
        <v>11.297421</v>
      </c>
      <c r="L712" s="10">
        <f>IFERROR(__xludf.DUMMYFUNCTION("""COMPUTED_VALUE"""),664948.0)</f>
        <v>664948</v>
      </c>
      <c r="M712" s="10">
        <f>IFERROR(__xludf.DUMMYFUNCTION("""COMPUTED_VALUE"""),115.0)</f>
        <v>115</v>
      </c>
    </row>
    <row r="713">
      <c r="A713" s="1">
        <v>2025.0</v>
      </c>
      <c r="B713" s="1" t="s">
        <v>410</v>
      </c>
      <c r="C713" s="1">
        <v>678394.0</v>
      </c>
      <c r="D713" s="1" t="s">
        <v>540</v>
      </c>
      <c r="E713" s="1" t="s">
        <v>927</v>
      </c>
      <c r="F713" s="1" t="s">
        <v>926</v>
      </c>
      <c r="G713" s="1">
        <v>284.0</v>
      </c>
      <c r="H713" s="1">
        <v>17.5503646</v>
      </c>
      <c r="I713" s="1">
        <v>5.28</v>
      </c>
      <c r="J713" s="1">
        <v>4.869766</v>
      </c>
      <c r="L713" s="10">
        <f>IFERROR(__xludf.DUMMYFUNCTION("""COMPUTED_VALUE"""),605182.0)</f>
        <v>605182</v>
      </c>
      <c r="M713" s="10">
        <f>IFERROR(__xludf.DUMMYFUNCTION("""COMPUTED_VALUE"""),114.0)</f>
        <v>114</v>
      </c>
    </row>
    <row r="714">
      <c r="A714" s="1">
        <v>2025.0</v>
      </c>
      <c r="B714" s="1" t="s">
        <v>410</v>
      </c>
      <c r="C714" s="1">
        <v>678394.0</v>
      </c>
      <c r="D714" s="1" t="s">
        <v>537</v>
      </c>
      <c r="E714" s="1" t="s">
        <v>927</v>
      </c>
      <c r="F714" s="1" t="s">
        <v>926</v>
      </c>
      <c r="G714" s="1">
        <v>330.0</v>
      </c>
      <c r="H714" s="1">
        <v>20.39302929</v>
      </c>
      <c r="I714" s="1">
        <v>4.58</v>
      </c>
      <c r="J714" s="1">
        <v>10.186725</v>
      </c>
      <c r="L714" s="10">
        <f>IFERROR(__xludf.DUMMYFUNCTION("""COMPUTED_VALUE"""),670810.0)</f>
        <v>670810</v>
      </c>
      <c r="M714" s="10">
        <f>IFERROR(__xludf.DUMMYFUNCTION("""COMPUTED_VALUE"""),112.0)</f>
        <v>112</v>
      </c>
    </row>
    <row r="715">
      <c r="A715" s="1">
        <v>2025.0</v>
      </c>
      <c r="B715" s="1" t="s">
        <v>410</v>
      </c>
      <c r="C715" s="1">
        <v>678394.0</v>
      </c>
      <c r="D715" s="1" t="s">
        <v>536</v>
      </c>
      <c r="E715" s="1" t="s">
        <v>927</v>
      </c>
      <c r="F715" s="1" t="s">
        <v>926</v>
      </c>
      <c r="G715" s="1">
        <v>408.0</v>
      </c>
      <c r="H715" s="1">
        <v>25.21319985</v>
      </c>
      <c r="I715" s="1">
        <v>4.64</v>
      </c>
      <c r="J715" s="1">
        <v>12.004309</v>
      </c>
      <c r="L715" s="10">
        <f>IFERROR(__xludf.DUMMYFUNCTION("""COMPUTED_VALUE"""),681146.0)</f>
        <v>681146</v>
      </c>
      <c r="M715" s="10">
        <f>IFERROR(__xludf.DUMMYFUNCTION("""COMPUTED_VALUE"""),112.0)</f>
        <v>112</v>
      </c>
    </row>
    <row r="716">
      <c r="A716" s="1">
        <v>2025.0</v>
      </c>
      <c r="B716" s="1" t="s">
        <v>410</v>
      </c>
      <c r="C716" s="1">
        <v>678394.0</v>
      </c>
      <c r="D716" s="1" t="s">
        <v>533</v>
      </c>
      <c r="E716" s="1" t="s">
        <v>927</v>
      </c>
      <c r="F716" s="1" t="s">
        <v>926</v>
      </c>
      <c r="G716" s="1">
        <v>88.0</v>
      </c>
      <c r="H716" s="1">
        <v>5.438141144</v>
      </c>
      <c r="I716" s="1">
        <v>4.98</v>
      </c>
      <c r="J716" s="1">
        <v>1.94957</v>
      </c>
      <c r="L716" s="10">
        <f>IFERROR(__xludf.DUMMYFUNCTION("""COMPUTED_VALUE"""),663462.0)</f>
        <v>663462</v>
      </c>
      <c r="M716" s="10">
        <f>IFERROR(__xludf.DUMMYFUNCTION("""COMPUTED_VALUE"""),109.0)</f>
        <v>109</v>
      </c>
    </row>
    <row r="717">
      <c r="A717" s="1">
        <v>2025.0</v>
      </c>
      <c r="B717" s="1" t="s">
        <v>410</v>
      </c>
      <c r="C717" s="1">
        <v>678394.0</v>
      </c>
      <c r="D717" s="1" t="s">
        <v>539</v>
      </c>
      <c r="E717" s="1" t="s">
        <v>927</v>
      </c>
      <c r="F717" s="1" t="s">
        <v>926</v>
      </c>
      <c r="G717" s="1">
        <v>148.0</v>
      </c>
      <c r="H717" s="1">
        <v>9.145964652</v>
      </c>
      <c r="I717" s="1">
        <v>5.05</v>
      </c>
      <c r="J717" s="1">
        <v>2.978545</v>
      </c>
      <c r="L717" s="10">
        <f>IFERROR(__xludf.DUMMYFUNCTION("""COMPUTED_VALUE"""),664129.0)</f>
        <v>664129</v>
      </c>
      <c r="M717" s="10">
        <f>IFERROR(__xludf.DUMMYFUNCTION("""COMPUTED_VALUE"""),109.0)</f>
        <v>109</v>
      </c>
    </row>
    <row r="718">
      <c r="A718" s="1">
        <v>2025.0</v>
      </c>
      <c r="B718" s="1" t="s">
        <v>410</v>
      </c>
      <c r="C718" s="1">
        <v>678394.0</v>
      </c>
      <c r="D718" s="1" t="s">
        <v>532</v>
      </c>
      <c r="E718" s="1" t="s">
        <v>927</v>
      </c>
      <c r="F718" s="1" t="s">
        <v>927</v>
      </c>
      <c r="G718" s="1">
        <v>41.0</v>
      </c>
      <c r="H718" s="1">
        <v>2.533679397</v>
      </c>
      <c r="I718" s="1">
        <v>5.0</v>
      </c>
      <c r="J718" s="1">
        <v>0.848032</v>
      </c>
      <c r="L718" s="10">
        <f>IFERROR(__xludf.DUMMYFUNCTION("""COMPUTED_VALUE"""),680951.0)</f>
        <v>680951</v>
      </c>
      <c r="M718" s="10">
        <f>IFERROR(__xludf.DUMMYFUNCTION("""COMPUTED_VALUE"""),108.0)</f>
        <v>108</v>
      </c>
    </row>
    <row r="719">
      <c r="A719" s="1">
        <v>2025.0</v>
      </c>
      <c r="B719" s="1" t="s">
        <v>410</v>
      </c>
      <c r="C719" s="1">
        <v>678394.0</v>
      </c>
      <c r="D719" s="1" t="s">
        <v>540</v>
      </c>
      <c r="E719" s="1" t="s">
        <v>927</v>
      </c>
      <c r="F719" s="1" t="s">
        <v>927</v>
      </c>
      <c r="G719" s="1">
        <v>139.0</v>
      </c>
      <c r="H719" s="1">
        <v>8.589791126</v>
      </c>
      <c r="I719" s="1">
        <v>5.5</v>
      </c>
      <c r="J719" s="1">
        <v>1.640936</v>
      </c>
      <c r="L719" s="10">
        <f>IFERROR(__xludf.DUMMYFUNCTION("""COMPUTED_VALUE"""),674072.0)</f>
        <v>674072</v>
      </c>
      <c r="M719" s="10">
        <f>IFERROR(__xludf.DUMMYFUNCTION("""COMPUTED_VALUE"""),107.0)</f>
        <v>107</v>
      </c>
    </row>
    <row r="720">
      <c r="A720" s="1">
        <v>2025.0</v>
      </c>
      <c r="B720" s="1" t="s">
        <v>410</v>
      </c>
      <c r="C720" s="1">
        <v>678394.0</v>
      </c>
      <c r="D720" s="1" t="s">
        <v>537</v>
      </c>
      <c r="E720" s="1" t="s">
        <v>927</v>
      </c>
      <c r="F720" s="1" t="s">
        <v>927</v>
      </c>
      <c r="G720" s="1">
        <v>78.0</v>
      </c>
      <c r="H720" s="1">
        <v>4.82017056</v>
      </c>
      <c r="I720" s="1">
        <v>4.7</v>
      </c>
      <c r="J720" s="1">
        <v>2.122043</v>
      </c>
      <c r="L720" s="10">
        <f>IFERROR(__xludf.DUMMYFUNCTION("""COMPUTED_VALUE"""),677651.0)</f>
        <v>677651</v>
      </c>
      <c r="M720" s="10">
        <f>IFERROR(__xludf.DUMMYFUNCTION("""COMPUTED_VALUE"""),106.0)</f>
        <v>106</v>
      </c>
    </row>
    <row r="721">
      <c r="A721" s="1">
        <v>2025.0</v>
      </c>
      <c r="B721" s="1" t="s">
        <v>410</v>
      </c>
      <c r="C721" s="1">
        <v>678394.0</v>
      </c>
      <c r="D721" s="1" t="s">
        <v>536</v>
      </c>
      <c r="E721" s="1" t="s">
        <v>927</v>
      </c>
      <c r="F721" s="1" t="s">
        <v>927</v>
      </c>
      <c r="G721" s="1">
        <v>535.0</v>
      </c>
      <c r="H721" s="1">
        <v>33.06142628</v>
      </c>
      <c r="I721" s="1">
        <v>5.05</v>
      </c>
      <c r="J721" s="1">
        <v>11.105251</v>
      </c>
      <c r="L721" s="10">
        <f>IFERROR(__xludf.DUMMYFUNCTION("""COMPUTED_VALUE"""),612434.0)</f>
        <v>612434</v>
      </c>
      <c r="M721" s="10">
        <f>IFERROR(__xludf.DUMMYFUNCTION("""COMPUTED_VALUE"""),105.0)</f>
        <v>105</v>
      </c>
    </row>
    <row r="722">
      <c r="A722" s="1">
        <v>2025.0</v>
      </c>
      <c r="B722" s="1" t="s">
        <v>410</v>
      </c>
      <c r="C722" s="1">
        <v>678394.0</v>
      </c>
      <c r="D722" s="1" t="s">
        <v>533</v>
      </c>
      <c r="E722" s="1" t="s">
        <v>927</v>
      </c>
      <c r="F722" s="1" t="s">
        <v>927</v>
      </c>
      <c r="G722" s="1">
        <v>64.0</v>
      </c>
      <c r="H722" s="1">
        <v>3.955011741</v>
      </c>
      <c r="I722" s="1">
        <v>5.41</v>
      </c>
      <c r="J722" s="1">
        <v>0.828459</v>
      </c>
      <c r="L722" s="10">
        <f>IFERROR(__xludf.DUMMYFUNCTION("""COMPUTED_VALUE"""),663362.0)</f>
        <v>663362</v>
      </c>
      <c r="M722" s="10">
        <f>IFERROR(__xludf.DUMMYFUNCTION("""COMPUTED_VALUE"""),104.0)</f>
        <v>104</v>
      </c>
    </row>
    <row r="723">
      <c r="A723" s="1">
        <v>2025.0</v>
      </c>
      <c r="B723" s="1" t="s">
        <v>410</v>
      </c>
      <c r="C723" s="1">
        <v>678394.0</v>
      </c>
      <c r="D723" s="1" t="s">
        <v>539</v>
      </c>
      <c r="E723" s="1" t="s">
        <v>927</v>
      </c>
      <c r="F723" s="1" t="s">
        <v>927</v>
      </c>
      <c r="G723" s="1">
        <v>213.0</v>
      </c>
      <c r="H723" s="1">
        <v>13.16277345</v>
      </c>
      <c r="I723" s="1">
        <v>5.16</v>
      </c>
      <c r="J723" s="1">
        <v>3.871693</v>
      </c>
      <c r="L723" s="10">
        <f>IFERROR(__xludf.DUMMYFUNCTION("""COMPUTED_VALUE"""),688107.0)</f>
        <v>688107</v>
      </c>
      <c r="M723" s="10">
        <f>IFERROR(__xludf.DUMMYFUNCTION("""COMPUTED_VALUE"""),102.0)</f>
        <v>102</v>
      </c>
    </row>
    <row r="724">
      <c r="A724" s="1">
        <v>2025.0</v>
      </c>
      <c r="B724" s="1" t="s">
        <v>315</v>
      </c>
      <c r="C724" s="1">
        <v>680755.0</v>
      </c>
      <c r="D724" s="1" t="s">
        <v>541</v>
      </c>
      <c r="E724" s="1" t="s">
        <v>927</v>
      </c>
      <c r="F724" s="1" t="s">
        <v>926</v>
      </c>
      <c r="G724" s="1">
        <v>199.0</v>
      </c>
      <c r="H724" s="1">
        <v>11.93045564</v>
      </c>
      <c r="I724" s="1">
        <v>4.97</v>
      </c>
      <c r="J724" s="1">
        <v>4.401795</v>
      </c>
      <c r="L724" s="10">
        <f>IFERROR(__xludf.DUMMYFUNCTION("""COMPUTED_VALUE"""),592254.0)</f>
        <v>592254</v>
      </c>
      <c r="M724" s="10">
        <f>IFERROR(__xludf.DUMMYFUNCTION("""COMPUTED_VALUE"""),101.0)</f>
        <v>101</v>
      </c>
    </row>
    <row r="725">
      <c r="A725" s="1">
        <v>2025.0</v>
      </c>
      <c r="B725" s="1" t="s">
        <v>315</v>
      </c>
      <c r="C725" s="1">
        <v>680755.0</v>
      </c>
      <c r="D725" s="1" t="s">
        <v>540</v>
      </c>
      <c r="E725" s="1" t="s">
        <v>927</v>
      </c>
      <c r="F725" s="1" t="s">
        <v>926</v>
      </c>
      <c r="G725" s="1">
        <v>25.0</v>
      </c>
      <c r="H725" s="1">
        <v>1.498800959</v>
      </c>
      <c r="I725" s="1">
        <v>5.0</v>
      </c>
      <c r="J725" s="1">
        <v>0.583835</v>
      </c>
      <c r="L725" s="10">
        <f>IFERROR(__xludf.DUMMYFUNCTION("""COMPUTED_VALUE"""),686747.0)</f>
        <v>686747</v>
      </c>
      <c r="M725" s="10">
        <f>IFERROR(__xludf.DUMMYFUNCTION("""COMPUTED_VALUE"""),100.0)</f>
        <v>100</v>
      </c>
    </row>
    <row r="726">
      <c r="A726" s="1">
        <v>2025.0</v>
      </c>
      <c r="B726" s="1" t="s">
        <v>315</v>
      </c>
      <c r="C726" s="1">
        <v>680755.0</v>
      </c>
      <c r="D726" s="1" t="s">
        <v>537</v>
      </c>
      <c r="E726" s="1" t="s">
        <v>927</v>
      </c>
      <c r="F726" s="1" t="s">
        <v>926</v>
      </c>
      <c r="G726" s="1">
        <v>104.0</v>
      </c>
      <c r="H726" s="1">
        <v>6.23501199</v>
      </c>
      <c r="I726" s="1">
        <v>4.58</v>
      </c>
      <c r="J726" s="1">
        <v>3.188232</v>
      </c>
      <c r="L726" s="10">
        <f>IFERROR(__xludf.DUMMYFUNCTION("""COMPUTED_VALUE"""),691441.0)</f>
        <v>691441</v>
      </c>
      <c r="M726" s="10">
        <f>IFERROR(__xludf.DUMMYFUNCTION("""COMPUTED_VALUE"""),100.0)</f>
        <v>100</v>
      </c>
    </row>
    <row r="727">
      <c r="A727" s="1">
        <v>2025.0</v>
      </c>
      <c r="B727" s="1" t="s">
        <v>315</v>
      </c>
      <c r="C727" s="1">
        <v>680755.0</v>
      </c>
      <c r="D727" s="1" t="s">
        <v>533</v>
      </c>
      <c r="E727" s="1" t="s">
        <v>927</v>
      </c>
      <c r="F727" s="1" t="s">
        <v>926</v>
      </c>
      <c r="G727" s="1">
        <v>67.0</v>
      </c>
      <c r="H727" s="1">
        <v>4.016786571</v>
      </c>
      <c r="I727" s="1">
        <v>5.12</v>
      </c>
      <c r="J727" s="1">
        <v>1.261762</v>
      </c>
      <c r="L727" s="10">
        <f>IFERROR(__xludf.DUMMYFUNCTION("""COMPUTED_VALUE"""),687847.0)</f>
        <v>687847</v>
      </c>
      <c r="M727" s="10">
        <f>IFERROR(__xludf.DUMMYFUNCTION("""COMPUTED_VALUE"""),99.0)</f>
        <v>99</v>
      </c>
    </row>
    <row r="728">
      <c r="A728" s="1">
        <v>2025.0</v>
      </c>
      <c r="B728" s="1" t="s">
        <v>315</v>
      </c>
      <c r="C728" s="1">
        <v>680755.0</v>
      </c>
      <c r="D728" s="1" t="s">
        <v>541</v>
      </c>
      <c r="E728" s="1" t="s">
        <v>927</v>
      </c>
      <c r="F728" s="1" t="s">
        <v>927</v>
      </c>
      <c r="G728" s="1">
        <v>106.0</v>
      </c>
      <c r="H728" s="1">
        <v>6.354916067</v>
      </c>
      <c r="I728" s="1">
        <v>4.9</v>
      </c>
      <c r="J728" s="1">
        <v>2.489757</v>
      </c>
      <c r="L728" s="10">
        <f>IFERROR(__xludf.DUMMYFUNCTION("""COMPUTED_VALUE"""),607179.0)</f>
        <v>607179</v>
      </c>
      <c r="M728" s="10">
        <f>IFERROR(__xludf.DUMMYFUNCTION("""COMPUTED_VALUE"""),98.0)</f>
        <v>98</v>
      </c>
    </row>
    <row r="729">
      <c r="A729" s="1">
        <v>2025.0</v>
      </c>
      <c r="B729" s="1" t="s">
        <v>315</v>
      </c>
      <c r="C729" s="1">
        <v>680755.0</v>
      </c>
      <c r="D729" s="1" t="s">
        <v>540</v>
      </c>
      <c r="E729" s="1" t="s">
        <v>927</v>
      </c>
      <c r="F729" s="1" t="s">
        <v>927</v>
      </c>
      <c r="G729" s="1">
        <v>1.0</v>
      </c>
      <c r="H729" s="1">
        <v>0.059952038</v>
      </c>
      <c r="I729" s="1">
        <v>5.15</v>
      </c>
      <c r="J729" s="1">
        <v>0.021719</v>
      </c>
      <c r="L729" s="10">
        <f>IFERROR(__xludf.DUMMYFUNCTION("""COMPUTED_VALUE"""),685068.0)</f>
        <v>685068</v>
      </c>
      <c r="M729" s="10">
        <f>IFERROR(__xludf.DUMMYFUNCTION("""COMPUTED_VALUE"""),95.0)</f>
        <v>95</v>
      </c>
    </row>
    <row r="730">
      <c r="A730" s="1">
        <v>2025.0</v>
      </c>
      <c r="B730" s="1" t="s">
        <v>315</v>
      </c>
      <c r="C730" s="1">
        <v>680755.0</v>
      </c>
      <c r="D730" s="1" t="s">
        <v>537</v>
      </c>
      <c r="E730" s="1" t="s">
        <v>927</v>
      </c>
      <c r="F730" s="1" t="s">
        <v>927</v>
      </c>
      <c r="G730" s="1">
        <v>80.0</v>
      </c>
      <c r="H730" s="1">
        <v>4.79616307</v>
      </c>
      <c r="I730" s="1">
        <v>4.71</v>
      </c>
      <c r="J730" s="1">
        <v>2.202385</v>
      </c>
      <c r="L730" s="10">
        <f>IFERROR(__xludf.DUMMYFUNCTION("""COMPUTED_VALUE"""),625643.0)</f>
        <v>625643</v>
      </c>
      <c r="M730" s="10">
        <f>IFERROR(__xludf.DUMMYFUNCTION("""COMPUTED_VALUE"""),94.0)</f>
        <v>94</v>
      </c>
    </row>
    <row r="731">
      <c r="A731" s="1">
        <v>2025.0</v>
      </c>
      <c r="B731" s="1" t="s">
        <v>315</v>
      </c>
      <c r="C731" s="1">
        <v>680755.0</v>
      </c>
      <c r="D731" s="1" t="s">
        <v>533</v>
      </c>
      <c r="E731" s="1" t="s">
        <v>927</v>
      </c>
      <c r="F731" s="1" t="s">
        <v>927</v>
      </c>
      <c r="G731" s="1">
        <v>252.0</v>
      </c>
      <c r="H731" s="1">
        <v>15.10791367</v>
      </c>
      <c r="I731" s="1">
        <v>5.21</v>
      </c>
      <c r="J731" s="1">
        <v>4.540809</v>
      </c>
      <c r="L731" s="10">
        <f>IFERROR(__xludf.DUMMYFUNCTION("""COMPUTED_VALUE"""),689520.0)</f>
        <v>689520</v>
      </c>
      <c r="M731" s="10">
        <f>IFERROR(__xludf.DUMMYFUNCTION("""COMPUTED_VALUE"""),93.0)</f>
        <v>93</v>
      </c>
    </row>
    <row r="732">
      <c r="A732" s="1">
        <v>2025.0</v>
      </c>
      <c r="B732" s="1" t="s">
        <v>289</v>
      </c>
      <c r="C732" s="1">
        <v>669724.0</v>
      </c>
      <c r="D732" s="1" t="s">
        <v>532</v>
      </c>
      <c r="E732" s="1" t="s">
        <v>927</v>
      </c>
      <c r="F732" s="1" t="s">
        <v>926</v>
      </c>
      <c r="G732" s="1">
        <v>38.0</v>
      </c>
      <c r="H732" s="1">
        <v>2.420382166</v>
      </c>
      <c r="I732" s="1">
        <v>4.48</v>
      </c>
      <c r="J732" s="1">
        <v>1.232201</v>
      </c>
      <c r="L732" s="10">
        <f>IFERROR(__xludf.DUMMYFUNCTION("""COMPUTED_VALUE"""),623465.0)</f>
        <v>623465</v>
      </c>
      <c r="M732" s="10">
        <f>IFERROR(__xludf.DUMMYFUNCTION("""COMPUTED_VALUE"""),92.0)</f>
        <v>92</v>
      </c>
    </row>
    <row r="733">
      <c r="A733" s="1">
        <v>2025.0</v>
      </c>
      <c r="B733" s="1" t="s">
        <v>289</v>
      </c>
      <c r="C733" s="1">
        <v>669724.0</v>
      </c>
      <c r="D733" s="1" t="s">
        <v>537</v>
      </c>
      <c r="E733" s="1" t="s">
        <v>927</v>
      </c>
      <c r="F733" s="1" t="s">
        <v>926</v>
      </c>
      <c r="G733" s="1">
        <v>74.0</v>
      </c>
      <c r="H733" s="1">
        <v>4.713375796</v>
      </c>
      <c r="I733" s="1">
        <v>4.54</v>
      </c>
      <c r="J733" s="1">
        <v>2.356711</v>
      </c>
      <c r="L733" s="10">
        <f>IFERROR(__xludf.DUMMYFUNCTION("""COMPUTED_VALUE"""),677020.0)</f>
        <v>677020</v>
      </c>
      <c r="M733" s="10">
        <f>IFERROR(__xludf.DUMMYFUNCTION("""COMPUTED_VALUE"""),92.0)</f>
        <v>92</v>
      </c>
    </row>
    <row r="734">
      <c r="A734" s="1">
        <v>2025.0</v>
      </c>
      <c r="B734" s="1" t="s">
        <v>289</v>
      </c>
      <c r="C734" s="1">
        <v>669724.0</v>
      </c>
      <c r="D734" s="1" t="s">
        <v>536</v>
      </c>
      <c r="E734" s="1" t="s">
        <v>927</v>
      </c>
      <c r="F734" s="1" t="s">
        <v>926</v>
      </c>
      <c r="G734" s="1">
        <v>155.0</v>
      </c>
      <c r="H734" s="1">
        <v>9.872611465</v>
      </c>
      <c r="I734" s="1">
        <v>4.81</v>
      </c>
      <c r="J734" s="1">
        <v>4.026949</v>
      </c>
      <c r="L734" s="10">
        <f>IFERROR(__xludf.DUMMYFUNCTION("""COMPUTED_VALUE"""),669145.0)</f>
        <v>669145</v>
      </c>
      <c r="M734" s="10">
        <f>IFERROR(__xludf.DUMMYFUNCTION("""COMPUTED_VALUE"""),91.0)</f>
        <v>91</v>
      </c>
    </row>
    <row r="735">
      <c r="A735" s="1">
        <v>2025.0</v>
      </c>
      <c r="B735" s="1" t="s">
        <v>289</v>
      </c>
      <c r="C735" s="1">
        <v>669724.0</v>
      </c>
      <c r="D735" s="1" t="s">
        <v>533</v>
      </c>
      <c r="E735" s="1" t="s">
        <v>927</v>
      </c>
      <c r="F735" s="1" t="s">
        <v>926</v>
      </c>
      <c r="G735" s="1">
        <v>54.0</v>
      </c>
      <c r="H735" s="1">
        <v>3.439490446</v>
      </c>
      <c r="I735" s="1">
        <v>4.68</v>
      </c>
      <c r="J735" s="1">
        <v>1.517891</v>
      </c>
      <c r="L735" s="10">
        <f>IFERROR(__xludf.DUMMYFUNCTION("""COMPUTED_VALUE"""),605218.0)</f>
        <v>605218</v>
      </c>
      <c r="M735" s="10">
        <f>IFERROR(__xludf.DUMMYFUNCTION("""COMPUTED_VALUE"""),90.0)</f>
        <v>90</v>
      </c>
    </row>
    <row r="736">
      <c r="A736" s="1">
        <v>2025.0</v>
      </c>
      <c r="B736" s="1" t="s">
        <v>289</v>
      </c>
      <c r="C736" s="1">
        <v>669724.0</v>
      </c>
      <c r="D736" s="1" t="s">
        <v>532</v>
      </c>
      <c r="E736" s="1" t="s">
        <v>927</v>
      </c>
      <c r="F736" s="1" t="s">
        <v>927</v>
      </c>
      <c r="G736" s="1">
        <v>2.0</v>
      </c>
      <c r="H736" s="1">
        <v>0.127388535</v>
      </c>
      <c r="I736" s="1">
        <v>2.58</v>
      </c>
      <c r="J736" s="1">
        <v>0.136168</v>
      </c>
      <c r="L736" s="10">
        <f>IFERROR(__xludf.DUMMYFUNCTION("""COMPUTED_VALUE"""),605242.0)</f>
        <v>605242</v>
      </c>
      <c r="M736" s="10">
        <f>IFERROR(__xludf.DUMMYFUNCTION("""COMPUTED_VALUE"""),90.0)</f>
        <v>90</v>
      </c>
    </row>
    <row r="737">
      <c r="A737" s="1">
        <v>2025.0</v>
      </c>
      <c r="B737" s="1" t="s">
        <v>289</v>
      </c>
      <c r="C737" s="1">
        <v>669724.0</v>
      </c>
      <c r="D737" s="1" t="s">
        <v>537</v>
      </c>
      <c r="E737" s="1" t="s">
        <v>927</v>
      </c>
      <c r="F737" s="1" t="s">
        <v>927</v>
      </c>
      <c r="G737" s="1">
        <v>32.0</v>
      </c>
      <c r="H737" s="1">
        <v>2.038216561</v>
      </c>
      <c r="I737" s="1">
        <v>4.9</v>
      </c>
      <c r="J737" s="1">
        <v>0.74559</v>
      </c>
      <c r="L737" s="10">
        <f>IFERROR(__xludf.DUMMYFUNCTION("""COMPUTED_VALUE"""),676051.0)</f>
        <v>676051</v>
      </c>
      <c r="M737" s="10">
        <f>IFERROR(__xludf.DUMMYFUNCTION("""COMPUTED_VALUE"""),87.0)</f>
        <v>87</v>
      </c>
    </row>
    <row r="738">
      <c r="A738" s="1">
        <v>2025.0</v>
      </c>
      <c r="B738" s="1" t="s">
        <v>289</v>
      </c>
      <c r="C738" s="1">
        <v>669724.0</v>
      </c>
      <c r="D738" s="1" t="s">
        <v>536</v>
      </c>
      <c r="E738" s="1" t="s">
        <v>927</v>
      </c>
      <c r="F738" s="1" t="s">
        <v>927</v>
      </c>
      <c r="G738" s="1">
        <v>442.0</v>
      </c>
      <c r="H738" s="1">
        <v>28.15286624</v>
      </c>
      <c r="I738" s="1">
        <v>5.11</v>
      </c>
      <c r="J738" s="1">
        <v>8.900063</v>
      </c>
      <c r="L738" s="10">
        <f>IFERROR(__xludf.DUMMYFUNCTION("""COMPUTED_VALUE"""),687287.0)</f>
        <v>687287</v>
      </c>
      <c r="M738" s="10">
        <f>IFERROR(__xludf.DUMMYFUNCTION("""COMPUTED_VALUE"""),87.0)</f>
        <v>87</v>
      </c>
    </row>
    <row r="739">
      <c r="A739" s="1">
        <v>2025.0</v>
      </c>
      <c r="B739" s="1" t="s">
        <v>289</v>
      </c>
      <c r="C739" s="1">
        <v>669724.0</v>
      </c>
      <c r="D739" s="1" t="s">
        <v>533</v>
      </c>
      <c r="E739" s="1" t="s">
        <v>927</v>
      </c>
      <c r="F739" s="1" t="s">
        <v>927</v>
      </c>
      <c r="G739" s="1">
        <v>145.0</v>
      </c>
      <c r="H739" s="1">
        <v>9.23566879</v>
      </c>
      <c r="I739" s="1">
        <v>5.14</v>
      </c>
      <c r="J739" s="1">
        <v>2.810502</v>
      </c>
      <c r="L739" s="10">
        <f>IFERROR(__xludf.DUMMYFUNCTION("""COMPUTED_VALUE"""),621057.0)</f>
        <v>621057</v>
      </c>
      <c r="M739" s="10">
        <f>IFERROR(__xludf.DUMMYFUNCTION("""COMPUTED_VALUE"""),86.0)</f>
        <v>86</v>
      </c>
    </row>
    <row r="740">
      <c r="A740" s="1">
        <v>2025.0</v>
      </c>
      <c r="B740" s="1" t="s">
        <v>395</v>
      </c>
      <c r="C740" s="1">
        <v>663893.0</v>
      </c>
      <c r="D740" s="1" t="s">
        <v>541</v>
      </c>
      <c r="E740" s="1" t="s">
        <v>926</v>
      </c>
      <c r="F740" s="1" t="s">
        <v>926</v>
      </c>
      <c r="G740" s="1">
        <v>247.0</v>
      </c>
      <c r="H740" s="1">
        <v>13.61155914</v>
      </c>
      <c r="I740" s="1">
        <v>4.97</v>
      </c>
      <c r="J740" s="1">
        <v>5.291393</v>
      </c>
      <c r="L740" s="10">
        <f>IFERROR(__xludf.DUMMYFUNCTION("""COMPUTED_VALUE"""),670766.0)</f>
        <v>670766</v>
      </c>
      <c r="M740" s="10">
        <f>IFERROR(__xludf.DUMMYFUNCTION("""COMPUTED_VALUE"""),86.0)</f>
        <v>86</v>
      </c>
    </row>
    <row r="741">
      <c r="A741" s="1">
        <v>2025.0</v>
      </c>
      <c r="B741" s="1" t="s">
        <v>395</v>
      </c>
      <c r="C741" s="1">
        <v>663893.0</v>
      </c>
      <c r="D741" s="1" t="s">
        <v>540</v>
      </c>
      <c r="E741" s="1" t="s">
        <v>926</v>
      </c>
      <c r="F741" s="1" t="s">
        <v>926</v>
      </c>
      <c r="G741" s="1">
        <v>31.0</v>
      </c>
      <c r="H741" s="1">
        <v>1.708333333</v>
      </c>
      <c r="I741" s="1">
        <v>5.25</v>
      </c>
      <c r="J741" s="1">
        <v>0.538425</v>
      </c>
      <c r="L741" s="10">
        <f>IFERROR(__xludf.DUMMYFUNCTION("""COMPUTED_VALUE"""),675650.0)</f>
        <v>675650</v>
      </c>
      <c r="M741" s="10">
        <f>IFERROR(__xludf.DUMMYFUNCTION("""COMPUTED_VALUE"""),85.0)</f>
        <v>85</v>
      </c>
    </row>
    <row r="742">
      <c r="A742" s="1">
        <v>2025.0</v>
      </c>
      <c r="B742" s="1" t="s">
        <v>395</v>
      </c>
      <c r="C742" s="1">
        <v>663893.0</v>
      </c>
      <c r="D742" s="1" t="s">
        <v>537</v>
      </c>
      <c r="E742" s="1" t="s">
        <v>926</v>
      </c>
      <c r="F742" s="1" t="s">
        <v>926</v>
      </c>
      <c r="G742" s="1">
        <v>6.0</v>
      </c>
      <c r="H742" s="1">
        <v>0.330645161</v>
      </c>
      <c r="I742" s="1">
        <v>4.13</v>
      </c>
      <c r="J742" s="1">
        <v>0.24536</v>
      </c>
      <c r="L742" s="10">
        <f>IFERROR(__xludf.DUMMYFUNCTION("""COMPUTED_VALUE"""),692024.0)</f>
        <v>692024</v>
      </c>
      <c r="M742" s="10">
        <f>IFERROR(__xludf.DUMMYFUNCTION("""COMPUTED_VALUE"""),84.0)</f>
        <v>84</v>
      </c>
    </row>
    <row r="743">
      <c r="A743" s="1">
        <v>2025.0</v>
      </c>
      <c r="B743" s="1" t="s">
        <v>395</v>
      </c>
      <c r="C743" s="1">
        <v>663893.0</v>
      </c>
      <c r="D743" s="1" t="s">
        <v>536</v>
      </c>
      <c r="E743" s="1" t="s">
        <v>926</v>
      </c>
      <c r="F743" s="1" t="s">
        <v>926</v>
      </c>
      <c r="G743" s="1">
        <v>310.0</v>
      </c>
      <c r="H743" s="1">
        <v>17.08333333</v>
      </c>
      <c r="I743" s="1">
        <v>5.16</v>
      </c>
      <c r="J743" s="1">
        <v>5.786842</v>
      </c>
      <c r="L743" s="10">
        <f>IFERROR(__xludf.DUMMYFUNCTION("""COMPUTED_VALUE"""),595897.0)</f>
        <v>595897</v>
      </c>
      <c r="M743" s="10">
        <f>IFERROR(__xludf.DUMMYFUNCTION("""COMPUTED_VALUE"""),83.0)</f>
        <v>83</v>
      </c>
    </row>
    <row r="744">
      <c r="A744" s="1">
        <v>2025.0</v>
      </c>
      <c r="B744" s="1" t="s">
        <v>395</v>
      </c>
      <c r="C744" s="1">
        <v>663893.0</v>
      </c>
      <c r="D744" s="1" t="s">
        <v>541</v>
      </c>
      <c r="E744" s="1" t="s">
        <v>926</v>
      </c>
      <c r="F744" s="1" t="s">
        <v>927</v>
      </c>
      <c r="G744" s="1">
        <v>323.0</v>
      </c>
      <c r="H744" s="1">
        <v>17.79973118</v>
      </c>
      <c r="I744" s="1">
        <v>4.94</v>
      </c>
      <c r="J744" s="1">
        <v>7.235602</v>
      </c>
      <c r="L744" s="10">
        <f>IFERROR(__xludf.DUMMYFUNCTION("""COMPUTED_VALUE"""),678316.0)</f>
        <v>678316</v>
      </c>
      <c r="M744" s="10">
        <f>IFERROR(__xludf.DUMMYFUNCTION("""COMPUTED_VALUE"""),81.0)</f>
        <v>81</v>
      </c>
    </row>
    <row r="745">
      <c r="A745" s="1">
        <v>2025.0</v>
      </c>
      <c r="B745" s="1" t="s">
        <v>395</v>
      </c>
      <c r="C745" s="1">
        <v>663893.0</v>
      </c>
      <c r="D745" s="1" t="s">
        <v>540</v>
      </c>
      <c r="E745" s="1" t="s">
        <v>926</v>
      </c>
      <c r="F745" s="1" t="s">
        <v>927</v>
      </c>
      <c r="G745" s="1">
        <v>66.0</v>
      </c>
      <c r="H745" s="1">
        <v>3.637096774</v>
      </c>
      <c r="I745" s="1">
        <v>4.34</v>
      </c>
      <c r="J745" s="1">
        <v>2.332586</v>
      </c>
      <c r="L745" s="10">
        <f>IFERROR(__xludf.DUMMYFUNCTION("""COMPUTED_VALUE"""),656420.0)</f>
        <v>656420</v>
      </c>
      <c r="M745" s="10">
        <f>IFERROR(__xludf.DUMMYFUNCTION("""COMPUTED_VALUE"""),80.0)</f>
        <v>80</v>
      </c>
    </row>
    <row r="746">
      <c r="A746" s="1">
        <v>2025.0</v>
      </c>
      <c r="B746" s="1" t="s">
        <v>395</v>
      </c>
      <c r="C746" s="1">
        <v>663893.0</v>
      </c>
      <c r="D746" s="1" t="s">
        <v>537</v>
      </c>
      <c r="E746" s="1" t="s">
        <v>926</v>
      </c>
      <c r="F746" s="1" t="s">
        <v>927</v>
      </c>
      <c r="G746" s="1">
        <v>2.0</v>
      </c>
      <c r="H746" s="1">
        <v>0.110215054</v>
      </c>
      <c r="I746" s="1">
        <v>1.93</v>
      </c>
      <c r="J746" s="1">
        <v>0.163656</v>
      </c>
      <c r="L746" s="10">
        <f>IFERROR(__xludf.DUMMYFUNCTION("""COMPUTED_VALUE"""),663558.0)</f>
        <v>663558</v>
      </c>
      <c r="M746" s="10">
        <f>IFERROR(__xludf.DUMMYFUNCTION("""COMPUTED_VALUE"""),80.0)</f>
        <v>80</v>
      </c>
    </row>
    <row r="747">
      <c r="A747" s="1">
        <v>2025.0</v>
      </c>
      <c r="B747" s="1" t="s">
        <v>395</v>
      </c>
      <c r="C747" s="1">
        <v>663893.0</v>
      </c>
      <c r="D747" s="1" t="s">
        <v>536</v>
      </c>
      <c r="E747" s="1" t="s">
        <v>926</v>
      </c>
      <c r="F747" s="1" t="s">
        <v>927</v>
      </c>
      <c r="G747" s="1">
        <v>255.0</v>
      </c>
      <c r="H747" s="1">
        <v>14.05241935</v>
      </c>
      <c r="I747" s="1">
        <v>4.72</v>
      </c>
      <c r="J747" s="1">
        <v>7.175888</v>
      </c>
      <c r="L747" s="10">
        <f>IFERROR(__xludf.DUMMYFUNCTION("""COMPUTED_VALUE"""),534910.0)</f>
        <v>534910</v>
      </c>
      <c r="M747" s="10">
        <f>IFERROR(__xludf.DUMMYFUNCTION("""COMPUTED_VALUE"""),79.0)</f>
        <v>79</v>
      </c>
    </row>
    <row r="748">
      <c r="A748" s="1">
        <v>2025.0</v>
      </c>
      <c r="B748" s="1" t="s">
        <v>493</v>
      </c>
      <c r="C748" s="1">
        <v>657514.0</v>
      </c>
      <c r="D748" s="1" t="s">
        <v>532</v>
      </c>
      <c r="E748" s="1" t="s">
        <v>926</v>
      </c>
      <c r="F748" s="1" t="s">
        <v>926</v>
      </c>
      <c r="G748" s="1">
        <v>3.0</v>
      </c>
      <c r="H748" s="1">
        <v>0.186298077</v>
      </c>
      <c r="I748" s="1">
        <v>4.78</v>
      </c>
      <c r="J748" s="1">
        <v>0.081686</v>
      </c>
      <c r="L748" s="10">
        <f>IFERROR(__xludf.DUMMYFUNCTION("""COMPUTED_VALUE"""),677976.0)</f>
        <v>677976</v>
      </c>
      <c r="M748" s="10">
        <f>IFERROR(__xludf.DUMMYFUNCTION("""COMPUTED_VALUE"""),79.0)</f>
        <v>79</v>
      </c>
    </row>
    <row r="749">
      <c r="A749" s="1">
        <v>2025.0</v>
      </c>
      <c r="B749" s="1" t="s">
        <v>493</v>
      </c>
      <c r="C749" s="1">
        <v>657514.0</v>
      </c>
      <c r="D749" s="1" t="s">
        <v>541</v>
      </c>
      <c r="E749" s="1" t="s">
        <v>926</v>
      </c>
      <c r="F749" s="1" t="s">
        <v>926</v>
      </c>
      <c r="G749" s="1">
        <v>115.0</v>
      </c>
      <c r="H749" s="1">
        <v>7.141426282</v>
      </c>
      <c r="I749" s="1">
        <v>4.6</v>
      </c>
      <c r="J749" s="1">
        <v>3.32502</v>
      </c>
      <c r="L749" s="10">
        <f>IFERROR(__xludf.DUMMYFUNCTION("""COMPUTED_VALUE"""),691548.0)</f>
        <v>691548</v>
      </c>
      <c r="M749" s="10">
        <f>IFERROR(__xludf.DUMMYFUNCTION("""COMPUTED_VALUE"""),78.0)</f>
        <v>78</v>
      </c>
    </row>
    <row r="750">
      <c r="A750" s="1">
        <v>2025.0</v>
      </c>
      <c r="B750" s="1" t="s">
        <v>493</v>
      </c>
      <c r="C750" s="1">
        <v>657514.0</v>
      </c>
      <c r="D750" s="1" t="s">
        <v>540</v>
      </c>
      <c r="E750" s="1" t="s">
        <v>926</v>
      </c>
      <c r="F750" s="1" t="s">
        <v>926</v>
      </c>
      <c r="G750" s="1">
        <v>13.0</v>
      </c>
      <c r="H750" s="1">
        <v>0.807291667</v>
      </c>
      <c r="I750" s="1">
        <v>5.25</v>
      </c>
      <c r="J750" s="1">
        <v>0.227993</v>
      </c>
      <c r="L750" s="10">
        <f>IFERROR(__xludf.DUMMYFUNCTION("""COMPUTED_VALUE"""),805427.0)</f>
        <v>805427</v>
      </c>
      <c r="M750" s="10">
        <f>IFERROR(__xludf.DUMMYFUNCTION("""COMPUTED_VALUE"""),78.0)</f>
        <v>78</v>
      </c>
    </row>
    <row r="751">
      <c r="A751" s="1">
        <v>2025.0</v>
      </c>
      <c r="B751" s="1" t="s">
        <v>493</v>
      </c>
      <c r="C751" s="1">
        <v>657514.0</v>
      </c>
      <c r="D751" s="1" t="s">
        <v>536</v>
      </c>
      <c r="E751" s="1" t="s">
        <v>926</v>
      </c>
      <c r="F751" s="1" t="s">
        <v>926</v>
      </c>
      <c r="G751" s="1">
        <v>211.0</v>
      </c>
      <c r="H751" s="1">
        <v>13.10296474</v>
      </c>
      <c r="I751" s="1">
        <v>5.25</v>
      </c>
      <c r="J751" s="1">
        <v>3.653705</v>
      </c>
      <c r="L751" s="10">
        <f>IFERROR(__xludf.DUMMYFUNCTION("""COMPUTED_VALUE"""),686654.0)</f>
        <v>686654</v>
      </c>
      <c r="M751" s="10">
        <f>IFERROR(__xludf.DUMMYFUNCTION("""COMPUTED_VALUE"""),77.0)</f>
        <v>77</v>
      </c>
    </row>
    <row r="752">
      <c r="A752" s="1">
        <v>2025.0</v>
      </c>
      <c r="B752" s="1" t="s">
        <v>493</v>
      </c>
      <c r="C752" s="1">
        <v>657514.0</v>
      </c>
      <c r="D752" s="1" t="s">
        <v>533</v>
      </c>
      <c r="E752" s="1" t="s">
        <v>926</v>
      </c>
      <c r="F752" s="1" t="s">
        <v>926</v>
      </c>
      <c r="G752" s="1">
        <v>9.0</v>
      </c>
      <c r="H752" s="1">
        <v>0.558894231</v>
      </c>
      <c r="I752" s="1">
        <v>4.97</v>
      </c>
      <c r="J752" s="1">
        <v>0.202234</v>
      </c>
      <c r="L752" s="10">
        <f>IFERROR(__xludf.DUMMYFUNCTION("""COMPUTED_VALUE"""),641585.0)</f>
        <v>641585</v>
      </c>
      <c r="M752" s="10">
        <f>IFERROR(__xludf.DUMMYFUNCTION("""COMPUTED_VALUE"""),76.0)</f>
        <v>76</v>
      </c>
    </row>
    <row r="753">
      <c r="A753" s="1">
        <v>2025.0</v>
      </c>
      <c r="B753" s="1" t="s">
        <v>493</v>
      </c>
      <c r="C753" s="1">
        <v>657514.0</v>
      </c>
      <c r="D753" s="1" t="s">
        <v>532</v>
      </c>
      <c r="E753" s="1" t="s">
        <v>926</v>
      </c>
      <c r="F753" s="1" t="s">
        <v>927</v>
      </c>
      <c r="G753" s="1">
        <v>101.0</v>
      </c>
      <c r="H753" s="1">
        <v>6.272035256</v>
      </c>
      <c r="I753" s="1">
        <v>4.79</v>
      </c>
      <c r="J753" s="1">
        <v>2.584853</v>
      </c>
      <c r="L753" s="10">
        <f>IFERROR(__xludf.DUMMYFUNCTION("""COMPUTED_VALUE"""),642759.0)</f>
        <v>642759</v>
      </c>
      <c r="M753" s="10">
        <f>IFERROR(__xludf.DUMMYFUNCTION("""COMPUTED_VALUE"""),76.0)</f>
        <v>76</v>
      </c>
    </row>
    <row r="754">
      <c r="A754" s="1">
        <v>2025.0</v>
      </c>
      <c r="B754" s="1" t="s">
        <v>493</v>
      </c>
      <c r="C754" s="1">
        <v>657514.0</v>
      </c>
      <c r="D754" s="1" t="s">
        <v>541</v>
      </c>
      <c r="E754" s="1" t="s">
        <v>926</v>
      </c>
      <c r="F754" s="1" t="s">
        <v>927</v>
      </c>
      <c r="G754" s="1">
        <v>104.0</v>
      </c>
      <c r="H754" s="1">
        <v>6.458333333</v>
      </c>
      <c r="I754" s="1">
        <v>4.5</v>
      </c>
      <c r="J754" s="1">
        <v>3.333895</v>
      </c>
      <c r="L754" s="10">
        <f>IFERROR(__xludf.DUMMYFUNCTION("""COMPUTED_VALUE"""),681432.0)</f>
        <v>681432</v>
      </c>
      <c r="M754" s="10">
        <f>IFERROR(__xludf.DUMMYFUNCTION("""COMPUTED_VALUE"""),76.0)</f>
        <v>76</v>
      </c>
    </row>
    <row r="755">
      <c r="A755" s="1">
        <v>2025.0</v>
      </c>
      <c r="B755" s="1" t="s">
        <v>493</v>
      </c>
      <c r="C755" s="1">
        <v>657514.0</v>
      </c>
      <c r="D755" s="1" t="s">
        <v>540</v>
      </c>
      <c r="E755" s="1" t="s">
        <v>926</v>
      </c>
      <c r="F755" s="1" t="s">
        <v>927</v>
      </c>
      <c r="G755" s="1">
        <v>90.0</v>
      </c>
      <c r="H755" s="1">
        <v>5.588942308</v>
      </c>
      <c r="I755" s="1">
        <v>4.8</v>
      </c>
      <c r="J755" s="1">
        <v>2.470954</v>
      </c>
      <c r="L755" s="10">
        <f>IFERROR(__xludf.DUMMYFUNCTION("""COMPUTED_VALUE"""),696131.0)</f>
        <v>696131</v>
      </c>
      <c r="M755" s="10">
        <f>IFERROR(__xludf.DUMMYFUNCTION("""COMPUTED_VALUE"""),74.0)</f>
        <v>74</v>
      </c>
    </row>
    <row r="756">
      <c r="A756" s="1">
        <v>2025.0</v>
      </c>
      <c r="B756" s="1" t="s">
        <v>493</v>
      </c>
      <c r="C756" s="1">
        <v>657514.0</v>
      </c>
      <c r="D756" s="1" t="s">
        <v>536</v>
      </c>
      <c r="E756" s="1" t="s">
        <v>926</v>
      </c>
      <c r="F756" s="1" t="s">
        <v>927</v>
      </c>
      <c r="G756" s="1">
        <v>161.0</v>
      </c>
      <c r="H756" s="1">
        <v>9.997996795</v>
      </c>
      <c r="I756" s="1">
        <v>4.59</v>
      </c>
      <c r="J756" s="1">
        <v>5.015622</v>
      </c>
      <c r="L756" s="10">
        <f>IFERROR(__xludf.DUMMYFUNCTION("""COMPUTED_VALUE"""),622780.0)</f>
        <v>622780</v>
      </c>
      <c r="M756" s="10">
        <f>IFERROR(__xludf.DUMMYFUNCTION("""COMPUTED_VALUE"""),72.0)</f>
        <v>72</v>
      </c>
    </row>
    <row r="757">
      <c r="A757" s="1">
        <v>2025.0</v>
      </c>
      <c r="B757" s="1" t="s">
        <v>493</v>
      </c>
      <c r="C757" s="1">
        <v>657514.0</v>
      </c>
      <c r="D757" s="1" t="s">
        <v>533</v>
      </c>
      <c r="E757" s="1" t="s">
        <v>926</v>
      </c>
      <c r="F757" s="1" t="s">
        <v>927</v>
      </c>
      <c r="G757" s="1">
        <v>25.0</v>
      </c>
      <c r="H757" s="1">
        <v>1.552483974</v>
      </c>
      <c r="I757" s="1">
        <v>4.6</v>
      </c>
      <c r="J757" s="1">
        <v>0.763886</v>
      </c>
      <c r="L757" s="10">
        <f>IFERROR(__xludf.DUMMYFUNCTION("""COMPUTED_VALUE"""),640454.0)</f>
        <v>640454</v>
      </c>
      <c r="M757" s="10">
        <f>IFERROR(__xludf.DUMMYFUNCTION("""COMPUTED_VALUE"""),71.0)</f>
        <v>71</v>
      </c>
    </row>
    <row r="758">
      <c r="A758" s="1">
        <v>2025.0</v>
      </c>
      <c r="B758" s="1" t="s">
        <v>693</v>
      </c>
      <c r="C758" s="1">
        <v>687396.0</v>
      </c>
      <c r="D758" s="1" t="s">
        <v>537</v>
      </c>
      <c r="E758" s="1" t="s">
        <v>926</v>
      </c>
      <c r="F758" s="1" t="s">
        <v>926</v>
      </c>
      <c r="G758" s="1">
        <v>86.0</v>
      </c>
      <c r="H758" s="1">
        <v>5.419178082</v>
      </c>
      <c r="I758" s="1">
        <v>4.89</v>
      </c>
      <c r="J758" s="1">
        <v>2.103417</v>
      </c>
      <c r="L758" s="10">
        <f>IFERROR(__xludf.DUMMYFUNCTION("""COMPUTED_VALUE"""),691769.0)</f>
        <v>691769</v>
      </c>
      <c r="M758" s="10">
        <f>IFERROR(__xludf.DUMMYFUNCTION("""COMPUTED_VALUE"""),71.0)</f>
        <v>71</v>
      </c>
    </row>
    <row r="759">
      <c r="A759" s="1">
        <v>2025.0</v>
      </c>
      <c r="B759" s="1" t="s">
        <v>693</v>
      </c>
      <c r="C759" s="1">
        <v>687396.0</v>
      </c>
      <c r="D759" s="1" t="s">
        <v>538</v>
      </c>
      <c r="E759" s="1" t="s">
        <v>926</v>
      </c>
      <c r="F759" s="1" t="s">
        <v>926</v>
      </c>
      <c r="G759" s="1">
        <v>3.0</v>
      </c>
      <c r="H759" s="1">
        <v>0.189041096</v>
      </c>
      <c r="I759" s="1">
        <v>5.37</v>
      </c>
      <c r="J759" s="1">
        <v>0.041897</v>
      </c>
      <c r="L759" s="10">
        <f>IFERROR(__xludf.DUMMYFUNCTION("""COMPUTED_VALUE"""),673965.0)</f>
        <v>673965</v>
      </c>
      <c r="M759" s="10">
        <f>IFERROR(__xludf.DUMMYFUNCTION("""COMPUTED_VALUE"""),70.0)</f>
        <v>70</v>
      </c>
    </row>
    <row r="760">
      <c r="A760" s="1">
        <v>2025.0</v>
      </c>
      <c r="B760" s="1" t="s">
        <v>693</v>
      </c>
      <c r="C760" s="1">
        <v>687396.0</v>
      </c>
      <c r="D760" s="1" t="s">
        <v>533</v>
      </c>
      <c r="E760" s="1" t="s">
        <v>926</v>
      </c>
      <c r="F760" s="1" t="s">
        <v>926</v>
      </c>
      <c r="G760" s="1">
        <v>60.0</v>
      </c>
      <c r="H760" s="1">
        <v>3.780821918</v>
      </c>
      <c r="I760" s="1">
        <v>4.96</v>
      </c>
      <c r="J760" s="1">
        <v>1.318819</v>
      </c>
      <c r="L760" s="10">
        <f>IFERROR(__xludf.DUMMYFUNCTION("""COMPUTED_VALUE"""),690829.0)</f>
        <v>690829</v>
      </c>
      <c r="M760" s="10">
        <f>IFERROR(__xludf.DUMMYFUNCTION("""COMPUTED_VALUE"""),70.0)</f>
        <v>70</v>
      </c>
    </row>
    <row r="761">
      <c r="A761" s="1">
        <v>2025.0</v>
      </c>
      <c r="B761" s="1" t="s">
        <v>693</v>
      </c>
      <c r="C761" s="1">
        <v>687396.0</v>
      </c>
      <c r="D761" s="1" t="s">
        <v>537</v>
      </c>
      <c r="E761" s="1" t="s">
        <v>926</v>
      </c>
      <c r="F761" s="1" t="s">
        <v>927</v>
      </c>
      <c r="G761" s="1">
        <v>147.0</v>
      </c>
      <c r="H761" s="1">
        <v>9.263013699</v>
      </c>
      <c r="I761" s="1">
        <v>5.09</v>
      </c>
      <c r="J761" s="1">
        <v>2.948647</v>
      </c>
      <c r="L761" s="10">
        <f>IFERROR(__xludf.DUMMYFUNCTION("""COMPUTED_VALUE"""),547001.0)</f>
        <v>547001</v>
      </c>
      <c r="M761" s="10">
        <f>IFERROR(__xludf.DUMMYFUNCTION("""COMPUTED_VALUE"""),68.0)</f>
        <v>68</v>
      </c>
    </row>
    <row r="762">
      <c r="A762" s="1">
        <v>2025.0</v>
      </c>
      <c r="B762" s="1" t="s">
        <v>693</v>
      </c>
      <c r="C762" s="1">
        <v>687396.0</v>
      </c>
      <c r="D762" s="1" t="s">
        <v>538</v>
      </c>
      <c r="E762" s="1" t="s">
        <v>926</v>
      </c>
      <c r="F762" s="1" t="s">
        <v>927</v>
      </c>
      <c r="G762" s="1">
        <v>36.0</v>
      </c>
      <c r="H762" s="1">
        <v>2.268493151</v>
      </c>
      <c r="I762" s="1">
        <v>4.83</v>
      </c>
      <c r="J762" s="1">
        <v>0.895341</v>
      </c>
      <c r="L762" s="10">
        <f>IFERROR(__xludf.DUMMYFUNCTION("""COMPUTED_VALUE"""),640902.0)</f>
        <v>640902</v>
      </c>
      <c r="M762" s="10">
        <f>IFERROR(__xludf.DUMMYFUNCTION("""COMPUTED_VALUE"""),64.0)</f>
        <v>64</v>
      </c>
    </row>
    <row r="763">
      <c r="A763" s="1">
        <v>2025.0</v>
      </c>
      <c r="B763" s="1" t="s">
        <v>693</v>
      </c>
      <c r="C763" s="1">
        <v>687396.0</v>
      </c>
      <c r="D763" s="1" t="s">
        <v>533</v>
      </c>
      <c r="E763" s="1" t="s">
        <v>926</v>
      </c>
      <c r="F763" s="1" t="s">
        <v>927</v>
      </c>
      <c r="G763" s="1">
        <v>33.0</v>
      </c>
      <c r="H763" s="1">
        <v>2.079452055</v>
      </c>
      <c r="I763" s="1">
        <v>4.87</v>
      </c>
      <c r="J763" s="1">
        <v>0.787744</v>
      </c>
      <c r="L763" s="10">
        <f>IFERROR(__xludf.DUMMYFUNCTION("""COMPUTED_VALUE"""),676680.0)</f>
        <v>676680</v>
      </c>
      <c r="M763" s="10">
        <f>IFERROR(__xludf.DUMMYFUNCTION("""COMPUTED_VALUE"""),64.0)</f>
        <v>64</v>
      </c>
    </row>
    <row r="764">
      <c r="A764" s="1">
        <v>2025.0</v>
      </c>
      <c r="B764" s="1" t="s">
        <v>417</v>
      </c>
      <c r="C764" s="1">
        <v>608718.0</v>
      </c>
      <c r="D764" s="1" t="s">
        <v>532</v>
      </c>
      <c r="E764" s="1" t="s">
        <v>926</v>
      </c>
      <c r="F764" s="1" t="s">
        <v>926</v>
      </c>
      <c r="G764" s="1">
        <v>28.0</v>
      </c>
      <c r="H764" s="1">
        <v>1.697729988</v>
      </c>
      <c r="I764" s="1">
        <v>4.97</v>
      </c>
      <c r="J764" s="1">
        <v>0.625063</v>
      </c>
      <c r="L764" s="10">
        <f>IFERROR(__xludf.DUMMYFUNCTION("""COMPUTED_VALUE"""),680702.0)</f>
        <v>680702</v>
      </c>
      <c r="M764" s="10">
        <f>IFERROR(__xludf.DUMMYFUNCTION("""COMPUTED_VALUE"""),64.0)</f>
        <v>64</v>
      </c>
    </row>
    <row r="765">
      <c r="A765" s="1">
        <v>2025.0</v>
      </c>
      <c r="B765" s="1" t="s">
        <v>417</v>
      </c>
      <c r="C765" s="1">
        <v>608718.0</v>
      </c>
      <c r="D765" s="1" t="s">
        <v>537</v>
      </c>
      <c r="E765" s="1" t="s">
        <v>926</v>
      </c>
      <c r="F765" s="1" t="s">
        <v>926</v>
      </c>
      <c r="G765" s="1">
        <v>147.0</v>
      </c>
      <c r="H765" s="1">
        <v>8.913082437</v>
      </c>
      <c r="I765" s="1">
        <v>5.15</v>
      </c>
      <c r="J765" s="1">
        <v>2.892454</v>
      </c>
      <c r="L765" s="10">
        <f>IFERROR(__xludf.DUMMYFUNCTION("""COMPUTED_VALUE"""),656257.0)</f>
        <v>656257</v>
      </c>
      <c r="M765" s="10">
        <f>IFERROR(__xludf.DUMMYFUNCTION("""COMPUTED_VALUE"""),63.0)</f>
        <v>63</v>
      </c>
    </row>
    <row r="766">
      <c r="A766" s="1">
        <v>2025.0</v>
      </c>
      <c r="B766" s="1" t="s">
        <v>417</v>
      </c>
      <c r="C766" s="1">
        <v>608718.0</v>
      </c>
      <c r="D766" s="1" t="s">
        <v>536</v>
      </c>
      <c r="E766" s="1" t="s">
        <v>926</v>
      </c>
      <c r="F766" s="1" t="s">
        <v>926</v>
      </c>
      <c r="G766" s="1">
        <v>174.0</v>
      </c>
      <c r="H766" s="1">
        <v>10.55017921</v>
      </c>
      <c r="I766" s="1">
        <v>4.77</v>
      </c>
      <c r="J766" s="1">
        <v>4.572274</v>
      </c>
      <c r="L766" s="10">
        <f>IFERROR(__xludf.DUMMYFUNCTION("""COMPUTED_VALUE"""),641343.0)</f>
        <v>641343</v>
      </c>
      <c r="M766" s="10">
        <f>IFERROR(__xludf.DUMMYFUNCTION("""COMPUTED_VALUE"""),62.0)</f>
        <v>62</v>
      </c>
    </row>
    <row r="767">
      <c r="A767" s="1">
        <v>2025.0</v>
      </c>
      <c r="B767" s="1" t="s">
        <v>417</v>
      </c>
      <c r="C767" s="1">
        <v>608718.0</v>
      </c>
      <c r="D767" s="1" t="s">
        <v>533</v>
      </c>
      <c r="E767" s="1" t="s">
        <v>926</v>
      </c>
      <c r="F767" s="1" t="s">
        <v>926</v>
      </c>
      <c r="G767" s="1">
        <v>124.0</v>
      </c>
      <c r="H767" s="1">
        <v>7.518518519</v>
      </c>
      <c r="I767" s="1">
        <v>5.04</v>
      </c>
      <c r="J767" s="1">
        <v>2.563427</v>
      </c>
      <c r="L767" s="10">
        <f>IFERROR(__xludf.DUMMYFUNCTION("""COMPUTED_VALUE"""),687074.0)</f>
        <v>687074</v>
      </c>
      <c r="M767" s="10">
        <f>IFERROR(__xludf.DUMMYFUNCTION("""COMPUTED_VALUE"""),62.0)</f>
        <v>62</v>
      </c>
    </row>
    <row r="768">
      <c r="A768" s="1">
        <v>2025.0</v>
      </c>
      <c r="B768" s="1" t="s">
        <v>417</v>
      </c>
      <c r="C768" s="1">
        <v>608718.0</v>
      </c>
      <c r="D768" s="1" t="s">
        <v>532</v>
      </c>
      <c r="E768" s="1" t="s">
        <v>926</v>
      </c>
      <c r="F768" s="1" t="s">
        <v>927</v>
      </c>
      <c r="G768" s="1">
        <v>223.0</v>
      </c>
      <c r="H768" s="1">
        <v>13.52120669</v>
      </c>
      <c r="I768" s="1">
        <v>4.72</v>
      </c>
      <c r="J768" s="1">
        <v>6.174062</v>
      </c>
      <c r="L768" s="10">
        <f>IFERROR(__xludf.DUMMYFUNCTION("""COMPUTED_VALUE"""),673820.0)</f>
        <v>673820</v>
      </c>
      <c r="M768" s="10">
        <f>IFERROR(__xludf.DUMMYFUNCTION("""COMPUTED_VALUE"""),61.0)</f>
        <v>61</v>
      </c>
    </row>
    <row r="769">
      <c r="A769" s="1">
        <v>2025.0</v>
      </c>
      <c r="B769" s="1" t="s">
        <v>417</v>
      </c>
      <c r="C769" s="1">
        <v>608718.0</v>
      </c>
      <c r="D769" s="1" t="s">
        <v>537</v>
      </c>
      <c r="E769" s="1" t="s">
        <v>926</v>
      </c>
      <c r="F769" s="1" t="s">
        <v>927</v>
      </c>
      <c r="G769" s="1">
        <v>324.0</v>
      </c>
      <c r="H769" s="1">
        <v>19.64516129</v>
      </c>
      <c r="I769" s="1">
        <v>5.0</v>
      </c>
      <c r="J769" s="1">
        <v>7.105041</v>
      </c>
      <c r="L769" s="10">
        <f>IFERROR(__xludf.DUMMYFUNCTION("""COMPUTED_VALUE"""),605507.0)</f>
        <v>605507</v>
      </c>
      <c r="M769" s="10">
        <f>IFERROR(__xludf.DUMMYFUNCTION("""COMPUTED_VALUE"""),60.0)</f>
        <v>60</v>
      </c>
    </row>
    <row r="770">
      <c r="A770" s="1">
        <v>2025.0</v>
      </c>
      <c r="B770" s="1" t="s">
        <v>417</v>
      </c>
      <c r="C770" s="1">
        <v>608718.0</v>
      </c>
      <c r="D770" s="1" t="s">
        <v>536</v>
      </c>
      <c r="E770" s="1" t="s">
        <v>926</v>
      </c>
      <c r="F770" s="1" t="s">
        <v>927</v>
      </c>
      <c r="G770" s="1">
        <v>84.0</v>
      </c>
      <c r="H770" s="1">
        <v>5.093189964</v>
      </c>
      <c r="I770" s="1">
        <v>4.93</v>
      </c>
      <c r="J770" s="1">
        <v>2.016121</v>
      </c>
      <c r="L770" s="10">
        <f>IFERROR(__xludf.DUMMYFUNCTION("""COMPUTED_VALUE"""),700270.0)</f>
        <v>700270</v>
      </c>
      <c r="M770" s="10">
        <f>IFERROR(__xludf.DUMMYFUNCTION("""COMPUTED_VALUE"""),60.0)</f>
        <v>60</v>
      </c>
    </row>
    <row r="771">
      <c r="A771" s="1">
        <v>2025.0</v>
      </c>
      <c r="B771" s="1" t="s">
        <v>417</v>
      </c>
      <c r="C771" s="1">
        <v>608718.0</v>
      </c>
      <c r="D771" s="1" t="s">
        <v>533</v>
      </c>
      <c r="E771" s="1" t="s">
        <v>926</v>
      </c>
      <c r="F771" s="1" t="s">
        <v>927</v>
      </c>
      <c r="G771" s="1">
        <v>12.0</v>
      </c>
      <c r="H771" s="1">
        <v>0.727598566</v>
      </c>
      <c r="I771" s="1">
        <v>4.78</v>
      </c>
      <c r="J771" s="1">
        <v>0.312799</v>
      </c>
      <c r="L771" s="10">
        <f>IFERROR(__xludf.DUMMYFUNCTION("""COMPUTED_VALUE"""),476594.0)</f>
        <v>476594</v>
      </c>
      <c r="M771" s="10">
        <f>IFERROR(__xludf.DUMMYFUNCTION("""COMPUTED_VALUE"""),59.0)</f>
        <v>59</v>
      </c>
    </row>
    <row r="772">
      <c r="A772" s="1">
        <v>2025.0</v>
      </c>
      <c r="B772" s="1" t="s">
        <v>848</v>
      </c>
      <c r="C772" s="1">
        <v>676969.0</v>
      </c>
      <c r="D772" s="1" t="s">
        <v>541</v>
      </c>
      <c r="E772" s="1" t="s">
        <v>927</v>
      </c>
      <c r="F772" s="1" t="s">
        <v>926</v>
      </c>
      <c r="G772" s="1">
        <v>6.0</v>
      </c>
      <c r="H772" s="1">
        <v>0.255319149</v>
      </c>
      <c r="I772" s="1">
        <v>5.07</v>
      </c>
      <c r="J772" s="1">
        <v>0.126405</v>
      </c>
      <c r="L772" s="10">
        <f>IFERROR(__xludf.DUMMYFUNCTION("""COMPUTED_VALUE"""),571771.0)</f>
        <v>571771</v>
      </c>
      <c r="M772" s="10">
        <f>IFERROR(__xludf.DUMMYFUNCTION("""COMPUTED_VALUE"""),56.0)</f>
        <v>56</v>
      </c>
    </row>
    <row r="773">
      <c r="A773" s="1">
        <v>2025.0</v>
      </c>
      <c r="B773" s="1" t="s">
        <v>848</v>
      </c>
      <c r="C773" s="1">
        <v>676969.0</v>
      </c>
      <c r="D773" s="1" t="s">
        <v>540</v>
      </c>
      <c r="E773" s="1" t="s">
        <v>927</v>
      </c>
      <c r="F773" s="1" t="s">
        <v>926</v>
      </c>
      <c r="G773" s="1">
        <v>6.0</v>
      </c>
      <c r="H773" s="1">
        <v>0.255319149</v>
      </c>
      <c r="I773" s="1">
        <v>3.46</v>
      </c>
      <c r="J773" s="1">
        <v>0.322367</v>
      </c>
      <c r="L773" s="10">
        <f>IFERROR(__xludf.DUMMYFUNCTION("""COMPUTED_VALUE"""),664353.0)</f>
        <v>664353</v>
      </c>
      <c r="M773" s="10">
        <f>IFERROR(__xludf.DUMMYFUNCTION("""COMPUTED_VALUE"""),56.0)</f>
        <v>56</v>
      </c>
    </row>
    <row r="774">
      <c r="A774" s="1">
        <v>2025.0</v>
      </c>
      <c r="B774" s="1" t="s">
        <v>848</v>
      </c>
      <c r="C774" s="1">
        <v>676969.0</v>
      </c>
      <c r="D774" s="1" t="s">
        <v>538</v>
      </c>
      <c r="E774" s="1" t="s">
        <v>927</v>
      </c>
      <c r="F774" s="1" t="s">
        <v>926</v>
      </c>
      <c r="G774" s="1">
        <v>4.0</v>
      </c>
      <c r="H774" s="1">
        <v>0.170212766</v>
      </c>
      <c r="I774" s="1">
        <v>4.86</v>
      </c>
      <c r="J774" s="1">
        <v>0.083801</v>
      </c>
      <c r="L774" s="10">
        <f>IFERROR(__xludf.DUMMYFUNCTION("""COMPUTED_VALUE"""),675540.0)</f>
        <v>675540</v>
      </c>
      <c r="M774" s="10">
        <f>IFERROR(__xludf.DUMMYFUNCTION("""COMPUTED_VALUE"""),56.0)</f>
        <v>56</v>
      </c>
    </row>
    <row r="775">
      <c r="A775" s="1">
        <v>2025.0</v>
      </c>
      <c r="B775" s="1" t="s">
        <v>848</v>
      </c>
      <c r="C775" s="1">
        <v>676969.0</v>
      </c>
      <c r="D775" s="1" t="s">
        <v>536</v>
      </c>
      <c r="E775" s="1" t="s">
        <v>927</v>
      </c>
      <c r="F775" s="1" t="s">
        <v>926</v>
      </c>
      <c r="G775" s="1">
        <v>16.0</v>
      </c>
      <c r="H775" s="1">
        <v>0.680851064</v>
      </c>
      <c r="I775" s="1">
        <v>5.94</v>
      </c>
      <c r="J775" s="1">
        <v>0.032058</v>
      </c>
      <c r="L775" s="10">
        <f>IFERROR(__xludf.DUMMYFUNCTION("""COMPUTED_VALUE"""),686753.0)</f>
        <v>686753</v>
      </c>
      <c r="M775" s="10">
        <f>IFERROR(__xludf.DUMMYFUNCTION("""COMPUTED_VALUE"""),53.0)</f>
        <v>53</v>
      </c>
    </row>
    <row r="776">
      <c r="A776" s="1">
        <v>2025.0</v>
      </c>
      <c r="B776" s="1" t="s">
        <v>848</v>
      </c>
      <c r="C776" s="1">
        <v>676969.0</v>
      </c>
      <c r="D776" s="1" t="s">
        <v>541</v>
      </c>
      <c r="E776" s="1" t="s">
        <v>927</v>
      </c>
      <c r="F776" s="1" t="s">
        <v>927</v>
      </c>
      <c r="G776" s="1">
        <v>3.0</v>
      </c>
      <c r="H776" s="1">
        <v>0.127659574</v>
      </c>
      <c r="I776" s="1">
        <v>3.28</v>
      </c>
      <c r="J776" s="1">
        <v>0.16723</v>
      </c>
      <c r="L776" s="10">
        <f>IFERROR(__xludf.DUMMYFUNCTION("""COMPUTED_VALUE"""),676801.0)</f>
        <v>676801</v>
      </c>
      <c r="M776" s="10">
        <f>IFERROR(__xludf.DUMMYFUNCTION("""COMPUTED_VALUE"""),50.0)</f>
        <v>50</v>
      </c>
    </row>
    <row r="777">
      <c r="A777" s="1">
        <v>2025.0</v>
      </c>
      <c r="B777" s="1" t="s">
        <v>848</v>
      </c>
      <c r="C777" s="1">
        <v>676969.0</v>
      </c>
      <c r="D777" s="1" t="s">
        <v>540</v>
      </c>
      <c r="E777" s="1" t="s">
        <v>927</v>
      </c>
      <c r="F777" s="1" t="s">
        <v>927</v>
      </c>
      <c r="G777" s="1">
        <v>1.0</v>
      </c>
      <c r="H777" s="1">
        <v>0.042553191</v>
      </c>
      <c r="I777" s="1">
        <v>1.98</v>
      </c>
      <c r="J777" s="1">
        <v>0.079279</v>
      </c>
      <c r="L777" s="10">
        <f>IFERROR(__xludf.DUMMYFUNCTION("""COMPUTED_VALUE"""),680604.0)</f>
        <v>680604</v>
      </c>
      <c r="M777" s="10">
        <f>IFERROR(__xludf.DUMMYFUNCTION("""COMPUTED_VALUE"""),50.0)</f>
        <v>50</v>
      </c>
    </row>
    <row r="778">
      <c r="A778" s="1">
        <v>2025.0</v>
      </c>
      <c r="B778" s="1" t="s">
        <v>848</v>
      </c>
      <c r="C778" s="1">
        <v>676969.0</v>
      </c>
      <c r="D778" s="1" t="s">
        <v>536</v>
      </c>
      <c r="E778" s="1" t="s">
        <v>927</v>
      </c>
      <c r="F778" s="1" t="s">
        <v>927</v>
      </c>
      <c r="G778" s="1">
        <v>11.0</v>
      </c>
      <c r="H778" s="1">
        <v>0.468085106</v>
      </c>
      <c r="I778" s="1">
        <v>4.99</v>
      </c>
      <c r="J778" s="1">
        <v>0.247337</v>
      </c>
      <c r="L778" s="10">
        <f>IFERROR(__xludf.DUMMYFUNCTION("""COMPUTED_VALUE"""),802686.0)</f>
        <v>802686</v>
      </c>
      <c r="M778" s="10">
        <f>IFERROR(__xludf.DUMMYFUNCTION("""COMPUTED_VALUE"""),50.0)</f>
        <v>50</v>
      </c>
    </row>
    <row r="779">
      <c r="A779" s="1">
        <v>2025.0</v>
      </c>
      <c r="B779" s="1" t="s">
        <v>942</v>
      </c>
      <c r="C779" s="1">
        <v>687003.0</v>
      </c>
      <c r="D779" s="1" t="s">
        <v>532</v>
      </c>
      <c r="E779" s="1" t="s">
        <v>927</v>
      </c>
      <c r="F779" s="1" t="s">
        <v>926</v>
      </c>
      <c r="G779" s="1">
        <v>29.0</v>
      </c>
      <c r="H779" s="1">
        <v>1.873385013</v>
      </c>
      <c r="I779" s="1">
        <v>5.19</v>
      </c>
      <c r="J779" s="1">
        <v>0.59186</v>
      </c>
      <c r="L779" s="10">
        <f>IFERROR(__xludf.DUMMYFUNCTION("""COMPUTED_VALUE"""),595978.0)</f>
        <v>595978</v>
      </c>
      <c r="M779" s="10">
        <f>IFERROR(__xludf.DUMMYFUNCTION("""COMPUTED_VALUE"""),48.0)</f>
        <v>48</v>
      </c>
    </row>
    <row r="780">
      <c r="A780" s="1">
        <v>2025.0</v>
      </c>
      <c r="B780" s="1" t="s">
        <v>942</v>
      </c>
      <c r="C780" s="1">
        <v>687003.0</v>
      </c>
      <c r="D780" s="1" t="s">
        <v>537</v>
      </c>
      <c r="E780" s="1" t="s">
        <v>927</v>
      </c>
      <c r="F780" s="1" t="s">
        <v>926</v>
      </c>
      <c r="G780" s="1">
        <v>7.0</v>
      </c>
      <c r="H780" s="1">
        <v>0.452196382</v>
      </c>
      <c r="I780" s="1">
        <v>4.94</v>
      </c>
      <c r="J780" s="1">
        <v>0.18711</v>
      </c>
      <c r="L780" s="10">
        <f>IFERROR(__xludf.DUMMYFUNCTION("""COMPUTED_VALUE"""),676969.0)</f>
        <v>676969</v>
      </c>
      <c r="M780" s="10">
        <f>IFERROR(__xludf.DUMMYFUNCTION("""COMPUTED_VALUE"""),47.0)</f>
        <v>47</v>
      </c>
    </row>
    <row r="781">
      <c r="A781" s="1">
        <v>2025.0</v>
      </c>
      <c r="B781" s="1" t="s">
        <v>942</v>
      </c>
      <c r="C781" s="1">
        <v>687003.0</v>
      </c>
      <c r="D781" s="1" t="s">
        <v>536</v>
      </c>
      <c r="E781" s="1" t="s">
        <v>927</v>
      </c>
      <c r="F781" s="1" t="s">
        <v>926</v>
      </c>
      <c r="G781" s="1">
        <v>14.0</v>
      </c>
      <c r="H781" s="1">
        <v>0.904392765</v>
      </c>
      <c r="I781" s="1">
        <v>5.63</v>
      </c>
      <c r="J781" s="1">
        <v>0.173975</v>
      </c>
      <c r="L781" s="10">
        <f>IFERROR(__xludf.DUMMYFUNCTION("""COMPUTED_VALUE"""),691094.0)</f>
        <v>691094</v>
      </c>
      <c r="M781" s="10">
        <f>IFERROR(__xludf.DUMMYFUNCTION("""COMPUTED_VALUE"""),47.0)</f>
        <v>47</v>
      </c>
    </row>
    <row r="782">
      <c r="A782" s="1">
        <v>2025.0</v>
      </c>
      <c r="B782" s="1" t="s">
        <v>942</v>
      </c>
      <c r="C782" s="1">
        <v>687003.0</v>
      </c>
      <c r="D782" s="1" t="s">
        <v>533</v>
      </c>
      <c r="E782" s="1" t="s">
        <v>927</v>
      </c>
      <c r="F782" s="1" t="s">
        <v>926</v>
      </c>
      <c r="G782" s="1">
        <v>10.0</v>
      </c>
      <c r="H782" s="1">
        <v>0.645994832</v>
      </c>
      <c r="I782" s="1">
        <v>5.91</v>
      </c>
      <c r="J782" s="1">
        <v>0.066955</v>
      </c>
      <c r="L782" s="10">
        <f>IFERROR(__xludf.DUMMYFUNCTION("""COMPUTED_VALUE"""),682995.0)</f>
        <v>682995</v>
      </c>
      <c r="M782" s="10">
        <f>IFERROR(__xludf.DUMMYFUNCTION("""COMPUTED_VALUE"""),46.0)</f>
        <v>46</v>
      </c>
    </row>
    <row r="783">
      <c r="A783" s="1">
        <v>2025.0</v>
      </c>
      <c r="B783" s="1" t="s">
        <v>942</v>
      </c>
      <c r="C783" s="1">
        <v>687003.0</v>
      </c>
      <c r="D783" s="1" t="s">
        <v>539</v>
      </c>
      <c r="E783" s="1" t="s">
        <v>927</v>
      </c>
      <c r="F783" s="1" t="s">
        <v>926</v>
      </c>
      <c r="G783" s="1">
        <v>5.0</v>
      </c>
      <c r="H783" s="1">
        <v>0.322997416</v>
      </c>
      <c r="I783" s="1">
        <v>4.53</v>
      </c>
      <c r="J783" s="1">
        <v>0.169199</v>
      </c>
      <c r="L783" s="10">
        <f>IFERROR(__xludf.DUMMYFUNCTION("""COMPUTED_VALUE"""),801216.0)</f>
        <v>801216</v>
      </c>
      <c r="M783" s="10">
        <f>IFERROR(__xludf.DUMMYFUNCTION("""COMPUTED_VALUE"""),46.0)</f>
        <v>46</v>
      </c>
    </row>
    <row r="784">
      <c r="A784" s="1">
        <v>2025.0</v>
      </c>
      <c r="B784" s="1" t="s">
        <v>942</v>
      </c>
      <c r="C784" s="1">
        <v>687003.0</v>
      </c>
      <c r="D784" s="1" t="s">
        <v>532</v>
      </c>
      <c r="E784" s="1" t="s">
        <v>927</v>
      </c>
      <c r="F784" s="1" t="s">
        <v>927</v>
      </c>
      <c r="G784" s="1">
        <v>27.0</v>
      </c>
      <c r="H784" s="1">
        <v>1.744186047</v>
      </c>
      <c r="I784" s="1">
        <v>5.76</v>
      </c>
      <c r="J784" s="1">
        <v>0.238236</v>
      </c>
      <c r="L784" s="10">
        <f>IFERROR(__xludf.DUMMYFUNCTION("""COMPUTED_VALUE"""),669193.0)</f>
        <v>669193</v>
      </c>
      <c r="M784" s="10">
        <f>IFERROR(__xludf.DUMMYFUNCTION("""COMPUTED_VALUE"""),44.0)</f>
        <v>44</v>
      </c>
    </row>
    <row r="785">
      <c r="A785" s="1">
        <v>2025.0</v>
      </c>
      <c r="B785" s="1" t="s">
        <v>942</v>
      </c>
      <c r="C785" s="1">
        <v>687003.0</v>
      </c>
      <c r="D785" s="1" t="s">
        <v>537</v>
      </c>
      <c r="E785" s="1" t="s">
        <v>927</v>
      </c>
      <c r="F785" s="1" t="s">
        <v>927</v>
      </c>
      <c r="G785" s="1">
        <v>4.0</v>
      </c>
      <c r="H785" s="1">
        <v>0.258397933</v>
      </c>
      <c r="I785" s="1">
        <v>3.52</v>
      </c>
      <c r="J785" s="1">
        <v>0.234215</v>
      </c>
      <c r="L785" s="10">
        <f>IFERROR(__xludf.DUMMYFUNCTION("""COMPUTED_VALUE"""),669459.0)</f>
        <v>669459</v>
      </c>
      <c r="M785" s="10">
        <f>IFERROR(__xludf.DUMMYFUNCTION("""COMPUTED_VALUE"""),44.0)</f>
        <v>44</v>
      </c>
    </row>
    <row r="786">
      <c r="A786" s="1">
        <v>2025.0</v>
      </c>
      <c r="B786" s="1" t="s">
        <v>942</v>
      </c>
      <c r="C786" s="1">
        <v>687003.0</v>
      </c>
      <c r="D786" s="1" t="s">
        <v>536</v>
      </c>
      <c r="E786" s="1" t="s">
        <v>927</v>
      </c>
      <c r="F786" s="1" t="s">
        <v>927</v>
      </c>
      <c r="G786" s="1">
        <v>18.0</v>
      </c>
      <c r="H786" s="1">
        <v>1.162790698</v>
      </c>
      <c r="I786" s="1">
        <v>4.89</v>
      </c>
      <c r="J786" s="1">
        <v>0.498301</v>
      </c>
      <c r="L786" s="10">
        <f>IFERROR(__xludf.DUMMYFUNCTION("""COMPUTED_VALUE"""),493603.0)</f>
        <v>493603</v>
      </c>
      <c r="M786" s="10">
        <f>IFERROR(__xludf.DUMMYFUNCTION("""COMPUTED_VALUE"""),42.0)</f>
        <v>42</v>
      </c>
    </row>
    <row r="787">
      <c r="A787" s="1">
        <v>2025.0</v>
      </c>
      <c r="B787" s="1" t="s">
        <v>942</v>
      </c>
      <c r="C787" s="1">
        <v>687003.0</v>
      </c>
      <c r="D787" s="1" t="s">
        <v>533</v>
      </c>
      <c r="E787" s="1" t="s">
        <v>927</v>
      </c>
      <c r="F787" s="1" t="s">
        <v>927</v>
      </c>
      <c r="G787" s="1">
        <v>1.0</v>
      </c>
      <c r="H787" s="1">
        <v>0.064599483</v>
      </c>
      <c r="I787" s="1">
        <v>4.59</v>
      </c>
      <c r="J787" s="1">
        <v>0.038817</v>
      </c>
      <c r="L787" s="10">
        <f>IFERROR(__xludf.DUMMYFUNCTION("""COMPUTED_VALUE"""),650671.0)</f>
        <v>650671</v>
      </c>
      <c r="M787" s="10">
        <f>IFERROR(__xludf.DUMMYFUNCTION("""COMPUTED_VALUE"""),41.0)</f>
        <v>41</v>
      </c>
    </row>
    <row r="788">
      <c r="A788" s="1">
        <v>2025.0</v>
      </c>
      <c r="B788" s="1" t="s">
        <v>942</v>
      </c>
      <c r="C788" s="1">
        <v>687003.0</v>
      </c>
      <c r="D788" s="1" t="s">
        <v>539</v>
      </c>
      <c r="E788" s="1" t="s">
        <v>927</v>
      </c>
      <c r="F788" s="1" t="s">
        <v>927</v>
      </c>
      <c r="G788" s="1">
        <v>14.0</v>
      </c>
      <c r="H788" s="1">
        <v>0.904392765</v>
      </c>
      <c r="I788" s="1">
        <v>5.21</v>
      </c>
      <c r="J788" s="1">
        <v>0.288399</v>
      </c>
      <c r="L788" s="10">
        <f>IFERROR(__xludf.DUMMYFUNCTION("""COMPUTED_VALUE"""),685005.0)</f>
        <v>685005</v>
      </c>
      <c r="M788" s="10">
        <f>IFERROR(__xludf.DUMMYFUNCTION("""COMPUTED_VALUE"""),41.0)</f>
        <v>41</v>
      </c>
    </row>
    <row r="789">
      <c r="A789" s="1">
        <v>2025.0</v>
      </c>
      <c r="B789" s="1" t="s">
        <v>291</v>
      </c>
      <c r="C789" s="1">
        <v>656271.0</v>
      </c>
      <c r="D789" s="1" t="s">
        <v>532</v>
      </c>
      <c r="E789" s="1" t="s">
        <v>926</v>
      </c>
      <c r="F789" s="1" t="s">
        <v>926</v>
      </c>
      <c r="G789" s="1">
        <v>25.0</v>
      </c>
      <c r="H789" s="1">
        <v>1.520381328</v>
      </c>
      <c r="I789" s="1">
        <v>4.89</v>
      </c>
      <c r="J789" s="1">
        <v>0.596838</v>
      </c>
      <c r="L789" s="10">
        <f>IFERROR(__xludf.DUMMYFUNCTION("""COMPUTED_VALUE"""),692030.0)</f>
        <v>692030</v>
      </c>
      <c r="M789" s="10">
        <f>IFERROR(__xludf.DUMMYFUNCTION("""COMPUTED_VALUE"""),41.0)</f>
        <v>41</v>
      </c>
    </row>
    <row r="790">
      <c r="A790" s="1">
        <v>2025.0</v>
      </c>
      <c r="B790" s="1" t="s">
        <v>291</v>
      </c>
      <c r="C790" s="1">
        <v>656271.0</v>
      </c>
      <c r="D790" s="1" t="s">
        <v>537</v>
      </c>
      <c r="E790" s="1" t="s">
        <v>926</v>
      </c>
      <c r="F790" s="1" t="s">
        <v>926</v>
      </c>
      <c r="G790" s="1">
        <v>127.0</v>
      </c>
      <c r="H790" s="1">
        <v>7.723537147</v>
      </c>
      <c r="I790" s="1">
        <v>5.12</v>
      </c>
      <c r="J790" s="1">
        <v>2.540954</v>
      </c>
      <c r="L790" s="10">
        <f>IFERROR(__xludf.DUMMYFUNCTION("""COMPUTED_VALUE"""),672724.0)</f>
        <v>672724</v>
      </c>
      <c r="M790" s="10">
        <f>IFERROR(__xludf.DUMMYFUNCTION("""COMPUTED_VALUE"""),40.0)</f>
        <v>40</v>
      </c>
    </row>
    <row r="791">
      <c r="A791" s="1">
        <v>2025.0</v>
      </c>
      <c r="B791" s="1" t="s">
        <v>291</v>
      </c>
      <c r="C791" s="1">
        <v>656271.0</v>
      </c>
      <c r="D791" s="1" t="s">
        <v>536</v>
      </c>
      <c r="E791" s="1" t="s">
        <v>926</v>
      </c>
      <c r="F791" s="1" t="s">
        <v>926</v>
      </c>
      <c r="G791" s="1">
        <v>77.0</v>
      </c>
      <c r="H791" s="1">
        <v>4.68277449</v>
      </c>
      <c r="I791" s="1">
        <v>5.07</v>
      </c>
      <c r="J791" s="1">
        <v>1.67545</v>
      </c>
      <c r="L791" s="10">
        <f>IFERROR(__xludf.DUMMYFUNCTION("""COMPUTED_VALUE"""),675989.0)</f>
        <v>675989</v>
      </c>
      <c r="M791" s="10">
        <f>IFERROR(__xludf.DUMMYFUNCTION("""COMPUTED_VALUE"""),40.0)</f>
        <v>40</v>
      </c>
    </row>
    <row r="792">
      <c r="A792" s="1">
        <v>2025.0</v>
      </c>
      <c r="B792" s="1" t="s">
        <v>291</v>
      </c>
      <c r="C792" s="1">
        <v>656271.0</v>
      </c>
      <c r="D792" s="1" t="s">
        <v>533</v>
      </c>
      <c r="E792" s="1" t="s">
        <v>926</v>
      </c>
      <c r="F792" s="1" t="s">
        <v>926</v>
      </c>
      <c r="G792" s="1">
        <v>159.0</v>
      </c>
      <c r="H792" s="1">
        <v>9.669625247</v>
      </c>
      <c r="I792" s="1">
        <v>5.1</v>
      </c>
      <c r="J792" s="1">
        <v>3.083235</v>
      </c>
      <c r="L792" s="10">
        <f>IFERROR(__xludf.DUMMYFUNCTION("""COMPUTED_VALUE"""),621114.0)</f>
        <v>621114</v>
      </c>
      <c r="M792" s="10">
        <f>IFERROR(__xludf.DUMMYFUNCTION("""COMPUTED_VALUE"""),39.0)</f>
        <v>39</v>
      </c>
    </row>
    <row r="793">
      <c r="A793" s="1">
        <v>2025.0</v>
      </c>
      <c r="B793" s="1" t="s">
        <v>291</v>
      </c>
      <c r="C793" s="1">
        <v>656271.0</v>
      </c>
      <c r="D793" s="1" t="s">
        <v>532</v>
      </c>
      <c r="E793" s="1" t="s">
        <v>926</v>
      </c>
      <c r="F793" s="1" t="s">
        <v>927</v>
      </c>
      <c r="G793" s="1">
        <v>199.0</v>
      </c>
      <c r="H793" s="1">
        <v>12.10223537</v>
      </c>
      <c r="I793" s="1">
        <v>4.96</v>
      </c>
      <c r="J793" s="1">
        <v>4.369447</v>
      </c>
      <c r="L793" s="10">
        <f>IFERROR(__xludf.DUMMYFUNCTION("""COMPUTED_VALUE"""),677961.0)</f>
        <v>677961</v>
      </c>
      <c r="M793" s="10">
        <f>IFERROR(__xludf.DUMMYFUNCTION("""COMPUTED_VALUE"""),39.0)</f>
        <v>39</v>
      </c>
    </row>
    <row r="794">
      <c r="A794" s="1">
        <v>2025.0</v>
      </c>
      <c r="B794" s="1" t="s">
        <v>291</v>
      </c>
      <c r="C794" s="1">
        <v>656271.0</v>
      </c>
      <c r="D794" s="1" t="s">
        <v>537</v>
      </c>
      <c r="E794" s="1" t="s">
        <v>926</v>
      </c>
      <c r="F794" s="1" t="s">
        <v>927</v>
      </c>
      <c r="G794" s="1">
        <v>304.0</v>
      </c>
      <c r="H794" s="1">
        <v>18.48783695</v>
      </c>
      <c r="I794" s="1">
        <v>4.74</v>
      </c>
      <c r="J794" s="1">
        <v>8.398135</v>
      </c>
      <c r="L794" s="10">
        <f>IFERROR(__xludf.DUMMYFUNCTION("""COMPUTED_VALUE"""),686676.0)</f>
        <v>686676</v>
      </c>
      <c r="M794" s="10">
        <f>IFERROR(__xludf.DUMMYFUNCTION("""COMPUTED_VALUE"""),38.0)</f>
        <v>38</v>
      </c>
    </row>
    <row r="795">
      <c r="A795" s="1">
        <v>2025.0</v>
      </c>
      <c r="B795" s="1" t="s">
        <v>291</v>
      </c>
      <c r="C795" s="1">
        <v>656271.0</v>
      </c>
      <c r="D795" s="1" t="s">
        <v>536</v>
      </c>
      <c r="E795" s="1" t="s">
        <v>926</v>
      </c>
      <c r="F795" s="1" t="s">
        <v>927</v>
      </c>
      <c r="G795" s="1">
        <v>3.0</v>
      </c>
      <c r="H795" s="1">
        <v>0.182445759</v>
      </c>
      <c r="I795" s="1">
        <v>5.03</v>
      </c>
      <c r="J795" s="1">
        <v>0.071929</v>
      </c>
      <c r="L795" s="10">
        <f>IFERROR(__xludf.DUMMYFUNCTION("""COMPUTED_VALUE"""),657053.0)</f>
        <v>657053</v>
      </c>
      <c r="M795" s="10">
        <f>IFERROR(__xludf.DUMMYFUNCTION("""COMPUTED_VALUE"""),37.0)</f>
        <v>37</v>
      </c>
    </row>
    <row r="796">
      <c r="A796" s="1">
        <v>2025.0</v>
      </c>
      <c r="B796" s="1" t="s">
        <v>291</v>
      </c>
      <c r="C796" s="1">
        <v>656271.0</v>
      </c>
      <c r="D796" s="1" t="s">
        <v>533</v>
      </c>
      <c r="E796" s="1" t="s">
        <v>926</v>
      </c>
      <c r="F796" s="1" t="s">
        <v>927</v>
      </c>
      <c r="G796" s="1">
        <v>120.0</v>
      </c>
      <c r="H796" s="1">
        <v>7.297830375</v>
      </c>
      <c r="I796" s="1">
        <v>5.45</v>
      </c>
      <c r="J796" s="1">
        <v>1.653056</v>
      </c>
      <c r="L796" s="10">
        <f>IFERROR(__xludf.DUMMYFUNCTION("""COMPUTED_VALUE"""),687166.0)</f>
        <v>687166</v>
      </c>
      <c r="M796" s="10">
        <f>IFERROR(__xludf.DUMMYFUNCTION("""COMPUTED_VALUE"""),36.0)</f>
        <v>36</v>
      </c>
    </row>
    <row r="797">
      <c r="A797" s="1">
        <v>2025.0</v>
      </c>
      <c r="B797" s="1" t="s">
        <v>249</v>
      </c>
      <c r="C797" s="1">
        <v>592779.0</v>
      </c>
      <c r="D797" s="1" t="s">
        <v>532</v>
      </c>
      <c r="E797" s="1" t="s">
        <v>927</v>
      </c>
      <c r="F797" s="1" t="s">
        <v>926</v>
      </c>
      <c r="G797" s="1">
        <v>64.0</v>
      </c>
      <c r="H797" s="1">
        <v>3.951912568</v>
      </c>
      <c r="I797" s="1">
        <v>4.75</v>
      </c>
      <c r="J797" s="1">
        <v>1.692503</v>
      </c>
      <c r="L797" s="10">
        <f>IFERROR(__xludf.DUMMYFUNCTION("""COMPUTED_VALUE"""),624431.0)</f>
        <v>624431</v>
      </c>
      <c r="M797" s="10">
        <f>IFERROR(__xludf.DUMMYFUNCTION("""COMPUTED_VALUE"""),33.0)</f>
        <v>33</v>
      </c>
    </row>
    <row r="798">
      <c r="A798" s="1">
        <v>2025.0</v>
      </c>
      <c r="B798" s="1" t="s">
        <v>249</v>
      </c>
      <c r="C798" s="1">
        <v>592779.0</v>
      </c>
      <c r="D798" s="1" t="s">
        <v>540</v>
      </c>
      <c r="E798" s="1" t="s">
        <v>927</v>
      </c>
      <c r="F798" s="1" t="s">
        <v>926</v>
      </c>
      <c r="G798" s="1">
        <v>47.0</v>
      </c>
      <c r="H798" s="1">
        <v>2.902185792</v>
      </c>
      <c r="I798" s="1">
        <v>4.95</v>
      </c>
      <c r="J798" s="1">
        <v>1.12672</v>
      </c>
      <c r="L798" s="10">
        <f>IFERROR(__xludf.DUMMYFUNCTION("""COMPUTED_VALUE"""),682144.0)</f>
        <v>682144</v>
      </c>
      <c r="M798" s="10">
        <f>IFERROR(__xludf.DUMMYFUNCTION("""COMPUTED_VALUE"""),31.0)</f>
        <v>31</v>
      </c>
    </row>
    <row r="799">
      <c r="A799" s="1">
        <v>2025.0</v>
      </c>
      <c r="B799" s="1" t="s">
        <v>249</v>
      </c>
      <c r="C799" s="1">
        <v>592779.0</v>
      </c>
      <c r="D799" s="1" t="s">
        <v>537</v>
      </c>
      <c r="E799" s="1" t="s">
        <v>927</v>
      </c>
      <c r="F799" s="1" t="s">
        <v>926</v>
      </c>
      <c r="G799" s="1">
        <v>170.0</v>
      </c>
      <c r="H799" s="1">
        <v>10.49726776</v>
      </c>
      <c r="I799" s="1">
        <v>5.12</v>
      </c>
      <c r="J799" s="1">
        <v>3.397958</v>
      </c>
      <c r="L799" s="10">
        <f>IFERROR(__xludf.DUMMYFUNCTION("""COMPUTED_VALUE"""),664744.0)</f>
        <v>664744</v>
      </c>
      <c r="M799" s="10">
        <f>IFERROR(__xludf.DUMMYFUNCTION("""COMPUTED_VALUE"""),29.0)</f>
        <v>29</v>
      </c>
    </row>
    <row r="800">
      <c r="A800" s="1">
        <v>2025.0</v>
      </c>
      <c r="B800" s="1" t="s">
        <v>249</v>
      </c>
      <c r="C800" s="1">
        <v>592779.0</v>
      </c>
      <c r="D800" s="1" t="s">
        <v>536</v>
      </c>
      <c r="E800" s="1" t="s">
        <v>927</v>
      </c>
      <c r="F800" s="1" t="s">
        <v>926</v>
      </c>
      <c r="G800" s="1">
        <v>3.0</v>
      </c>
      <c r="H800" s="1">
        <v>0.185245902</v>
      </c>
      <c r="I800" s="1">
        <v>5.09</v>
      </c>
      <c r="J800" s="1">
        <v>0.067242</v>
      </c>
      <c r="L800" s="10">
        <f>IFERROR(__xludf.DUMMYFUNCTION("""COMPUTED_VALUE"""),689958.0)</f>
        <v>689958</v>
      </c>
      <c r="M800" s="10">
        <f>IFERROR(__xludf.DUMMYFUNCTION("""COMPUTED_VALUE"""),29.0)</f>
        <v>29</v>
      </c>
    </row>
    <row r="801">
      <c r="A801" s="1">
        <v>2025.0</v>
      </c>
      <c r="B801" s="1" t="s">
        <v>249</v>
      </c>
      <c r="C801" s="1">
        <v>592779.0</v>
      </c>
      <c r="D801" s="1" t="s">
        <v>539</v>
      </c>
      <c r="E801" s="1" t="s">
        <v>927</v>
      </c>
      <c r="F801" s="1" t="s">
        <v>926</v>
      </c>
      <c r="G801" s="1">
        <v>8.0</v>
      </c>
      <c r="H801" s="1">
        <v>0.493989071</v>
      </c>
      <c r="I801" s="1">
        <v>3.63</v>
      </c>
      <c r="J801" s="1">
        <v>0.41121</v>
      </c>
      <c r="L801" s="10">
        <f>IFERROR(__xludf.DUMMYFUNCTION("""COMPUTED_VALUE"""),702752.0)</f>
        <v>702752</v>
      </c>
      <c r="M801" s="10">
        <f>IFERROR(__xludf.DUMMYFUNCTION("""COMPUTED_VALUE"""),29.0)</f>
        <v>29</v>
      </c>
    </row>
    <row r="802">
      <c r="A802" s="1">
        <v>2025.0</v>
      </c>
      <c r="B802" s="1" t="s">
        <v>249</v>
      </c>
      <c r="C802" s="1">
        <v>592779.0</v>
      </c>
      <c r="D802" s="1" t="s">
        <v>532</v>
      </c>
      <c r="E802" s="1" t="s">
        <v>927</v>
      </c>
      <c r="F802" s="1" t="s">
        <v>927</v>
      </c>
      <c r="G802" s="1">
        <v>2.0</v>
      </c>
      <c r="H802" s="1">
        <v>0.123497268</v>
      </c>
      <c r="I802" s="1">
        <v>6.7</v>
      </c>
      <c r="J802" s="1">
        <v>-0.029512</v>
      </c>
      <c r="L802" s="10">
        <f>IFERROR(__xludf.DUMMYFUNCTION("""COMPUTED_VALUE"""),675919.0)</f>
        <v>675919</v>
      </c>
      <c r="M802" s="10">
        <f>IFERROR(__xludf.DUMMYFUNCTION("""COMPUTED_VALUE"""),27.0)</f>
        <v>27</v>
      </c>
    </row>
    <row r="803">
      <c r="A803" s="1">
        <v>2025.0</v>
      </c>
      <c r="B803" s="1" t="s">
        <v>249</v>
      </c>
      <c r="C803" s="1">
        <v>592779.0</v>
      </c>
      <c r="D803" s="1" t="s">
        <v>540</v>
      </c>
      <c r="E803" s="1" t="s">
        <v>927</v>
      </c>
      <c r="F803" s="1" t="s">
        <v>927</v>
      </c>
      <c r="G803" s="1">
        <v>20.0</v>
      </c>
      <c r="H803" s="1">
        <v>1.234972678</v>
      </c>
      <c r="I803" s="1">
        <v>5.41</v>
      </c>
      <c r="J803" s="1">
        <v>0.291361</v>
      </c>
      <c r="L803" s="10">
        <f>IFERROR(__xludf.DUMMYFUNCTION("""COMPUTED_VALUE"""),679922.0)</f>
        <v>679922</v>
      </c>
      <c r="M803" s="10">
        <f>IFERROR(__xludf.DUMMYFUNCTION("""COMPUTED_VALUE"""),27.0)</f>
        <v>27</v>
      </c>
    </row>
    <row r="804">
      <c r="A804" s="1">
        <v>2025.0</v>
      </c>
      <c r="B804" s="1" t="s">
        <v>249</v>
      </c>
      <c r="C804" s="1">
        <v>592779.0</v>
      </c>
      <c r="D804" s="1" t="s">
        <v>537</v>
      </c>
      <c r="E804" s="1" t="s">
        <v>927</v>
      </c>
      <c r="F804" s="1" t="s">
        <v>927</v>
      </c>
      <c r="G804" s="1">
        <v>152.0</v>
      </c>
      <c r="H804" s="1">
        <v>9.38579235</v>
      </c>
      <c r="I804" s="1">
        <v>5.47</v>
      </c>
      <c r="J804" s="1">
        <v>2.034059</v>
      </c>
      <c r="L804" s="10">
        <f>IFERROR(__xludf.DUMMYFUNCTION("""COMPUTED_VALUE"""),542932.0)</f>
        <v>542932</v>
      </c>
      <c r="M804" s="10">
        <f>IFERROR(__xludf.DUMMYFUNCTION("""COMPUTED_VALUE"""),26.0)</f>
        <v>26</v>
      </c>
    </row>
    <row r="805">
      <c r="A805" s="1">
        <v>2025.0</v>
      </c>
      <c r="B805" s="1" t="s">
        <v>249</v>
      </c>
      <c r="C805" s="1">
        <v>592779.0</v>
      </c>
      <c r="D805" s="1" t="s">
        <v>536</v>
      </c>
      <c r="E805" s="1" t="s">
        <v>927</v>
      </c>
      <c r="F805" s="1" t="s">
        <v>927</v>
      </c>
      <c r="G805" s="1">
        <v>65.0</v>
      </c>
      <c r="H805" s="1">
        <v>4.013661202</v>
      </c>
      <c r="I805" s="1">
        <v>4.41</v>
      </c>
      <c r="J805" s="1">
        <v>2.265329</v>
      </c>
      <c r="L805" s="10">
        <f>IFERROR(__xludf.DUMMYFUNCTION("""COMPUTED_VALUE"""),607732.0)</f>
        <v>607732</v>
      </c>
      <c r="M805" s="10">
        <f>IFERROR(__xludf.DUMMYFUNCTION("""COMPUTED_VALUE"""),26.0)</f>
        <v>26</v>
      </c>
    </row>
    <row r="806">
      <c r="A806" s="1">
        <v>2025.0</v>
      </c>
      <c r="B806" s="1" t="s">
        <v>249</v>
      </c>
      <c r="C806" s="1">
        <v>592779.0</v>
      </c>
      <c r="D806" s="1" t="s">
        <v>539</v>
      </c>
      <c r="E806" s="1" t="s">
        <v>927</v>
      </c>
      <c r="F806" s="1" t="s">
        <v>927</v>
      </c>
      <c r="G806" s="1">
        <v>79.0</v>
      </c>
      <c r="H806" s="1">
        <v>4.878142077</v>
      </c>
      <c r="I806" s="1">
        <v>5.0</v>
      </c>
      <c r="J806" s="1">
        <v>1.709531</v>
      </c>
      <c r="L806" s="10">
        <f>IFERROR(__xludf.DUMMYFUNCTION("""COMPUTED_VALUE"""),646242.0)</f>
        <v>646242</v>
      </c>
      <c r="M806" s="10">
        <f>IFERROR(__xludf.DUMMYFUNCTION("""COMPUTED_VALUE"""),26.0)</f>
        <v>26</v>
      </c>
    </row>
    <row r="807">
      <c r="A807" s="1">
        <v>2025.0</v>
      </c>
      <c r="B807" s="1" t="s">
        <v>840</v>
      </c>
      <c r="C807" s="1">
        <v>621139.0</v>
      </c>
      <c r="D807" s="1" t="s">
        <v>540</v>
      </c>
      <c r="E807" s="1" t="s">
        <v>927</v>
      </c>
      <c r="F807" s="1" t="s">
        <v>926</v>
      </c>
      <c r="G807" s="1">
        <v>4.0</v>
      </c>
      <c r="H807" s="1">
        <v>0.188976378</v>
      </c>
      <c r="I807" s="1">
        <v>4.45</v>
      </c>
      <c r="J807" s="1">
        <v>0.135788</v>
      </c>
      <c r="L807" s="10">
        <f>IFERROR(__xludf.DUMMYFUNCTION("""COMPUTED_VALUE"""),669717.0)</f>
        <v>669717</v>
      </c>
      <c r="M807" s="10">
        <f>IFERROR(__xludf.DUMMYFUNCTION("""COMPUTED_VALUE"""),26.0)</f>
        <v>26</v>
      </c>
    </row>
    <row r="808">
      <c r="A808" s="1">
        <v>2025.0</v>
      </c>
      <c r="B808" s="1" t="s">
        <v>840</v>
      </c>
      <c r="C808" s="1">
        <v>621139.0</v>
      </c>
      <c r="D808" s="1" t="s">
        <v>537</v>
      </c>
      <c r="E808" s="1" t="s">
        <v>927</v>
      </c>
      <c r="F808" s="1" t="s">
        <v>926</v>
      </c>
      <c r="G808" s="1">
        <v>70.0</v>
      </c>
      <c r="H808" s="1">
        <v>3.307086614</v>
      </c>
      <c r="I808" s="1">
        <v>4.58</v>
      </c>
      <c r="J808" s="1">
        <v>2.198601</v>
      </c>
      <c r="L808" s="10">
        <f>IFERROR(__xludf.DUMMYFUNCTION("""COMPUTED_VALUE"""),676510.0)</f>
        <v>676510</v>
      </c>
      <c r="M808" s="10">
        <f>IFERROR(__xludf.DUMMYFUNCTION("""COMPUTED_VALUE"""),26.0)</f>
        <v>26</v>
      </c>
    </row>
    <row r="809">
      <c r="A809" s="1">
        <v>2025.0</v>
      </c>
      <c r="B809" s="1" t="s">
        <v>840</v>
      </c>
      <c r="C809" s="1">
        <v>621139.0</v>
      </c>
      <c r="D809" s="1" t="s">
        <v>538</v>
      </c>
      <c r="E809" s="1" t="s">
        <v>927</v>
      </c>
      <c r="F809" s="1" t="s">
        <v>926</v>
      </c>
      <c r="G809" s="1">
        <v>96.0</v>
      </c>
      <c r="H809" s="1">
        <v>4.535433071</v>
      </c>
      <c r="I809" s="1">
        <v>5.01</v>
      </c>
      <c r="J809" s="1">
        <v>2.096862</v>
      </c>
      <c r="L809" s="10">
        <f>IFERROR(__xludf.DUMMYFUNCTION("""COMPUTED_VALUE"""),665665.0)</f>
        <v>665665</v>
      </c>
      <c r="M809" s="10">
        <f>IFERROR(__xludf.DUMMYFUNCTION("""COMPUTED_VALUE"""),25.0)</f>
        <v>25</v>
      </c>
    </row>
    <row r="810">
      <c r="A810" s="1">
        <v>2025.0</v>
      </c>
      <c r="B810" s="1" t="s">
        <v>840</v>
      </c>
      <c r="C810" s="1">
        <v>621139.0</v>
      </c>
      <c r="D810" s="1" t="s">
        <v>533</v>
      </c>
      <c r="E810" s="1" t="s">
        <v>927</v>
      </c>
      <c r="F810" s="1" t="s">
        <v>926</v>
      </c>
      <c r="G810" s="1">
        <v>3.0</v>
      </c>
      <c r="H810" s="1">
        <v>0.141732283</v>
      </c>
      <c r="I810" s="1">
        <v>3.23</v>
      </c>
      <c r="J810" s="1">
        <v>0.165365</v>
      </c>
      <c r="L810" s="10">
        <f>IFERROR(__xludf.DUMMYFUNCTION("""COMPUTED_VALUE"""),668670.0)</f>
        <v>668670</v>
      </c>
      <c r="M810" s="10">
        <f>IFERROR(__xludf.DUMMYFUNCTION("""COMPUTED_VALUE"""),25.0)</f>
        <v>25</v>
      </c>
    </row>
    <row r="811">
      <c r="A811" s="1">
        <v>2025.0</v>
      </c>
      <c r="B811" s="1" t="s">
        <v>840</v>
      </c>
      <c r="C811" s="1">
        <v>621139.0</v>
      </c>
      <c r="D811" s="1" t="s">
        <v>540</v>
      </c>
      <c r="E811" s="1" t="s">
        <v>927</v>
      </c>
      <c r="F811" s="1" t="s">
        <v>927</v>
      </c>
      <c r="G811" s="1">
        <v>33.0</v>
      </c>
      <c r="H811" s="1">
        <v>1.559055118</v>
      </c>
      <c r="I811" s="1">
        <v>4.55</v>
      </c>
      <c r="J811" s="1">
        <v>1.066221</v>
      </c>
      <c r="L811" s="10">
        <f>IFERROR(__xludf.DUMMYFUNCTION("""COMPUTED_VALUE"""),543391.0)</f>
        <v>543391</v>
      </c>
      <c r="M811" s="10">
        <f>IFERROR(__xludf.DUMMYFUNCTION("""COMPUTED_VALUE"""),24.0)</f>
        <v>24</v>
      </c>
    </row>
    <row r="812">
      <c r="A812" s="1">
        <v>2025.0</v>
      </c>
      <c r="B812" s="1" t="s">
        <v>840</v>
      </c>
      <c r="C812" s="1">
        <v>621139.0</v>
      </c>
      <c r="D812" s="1" t="s">
        <v>537</v>
      </c>
      <c r="E812" s="1" t="s">
        <v>927</v>
      </c>
      <c r="F812" s="1" t="s">
        <v>927</v>
      </c>
      <c r="G812" s="1">
        <v>63.0</v>
      </c>
      <c r="H812" s="1">
        <v>2.976377953</v>
      </c>
      <c r="I812" s="1">
        <v>4.9</v>
      </c>
      <c r="J812" s="1">
        <v>1.567678</v>
      </c>
      <c r="L812" s="10">
        <f>IFERROR(__xludf.DUMMYFUNCTION("""COMPUTED_VALUE"""),669449.0)</f>
        <v>669449</v>
      </c>
      <c r="M812" s="10">
        <f>IFERROR(__xludf.DUMMYFUNCTION("""COMPUTED_VALUE"""),24.0)</f>
        <v>24</v>
      </c>
    </row>
    <row r="813">
      <c r="A813" s="1">
        <v>2025.0</v>
      </c>
      <c r="B813" s="1" t="s">
        <v>840</v>
      </c>
      <c r="C813" s="1">
        <v>621139.0</v>
      </c>
      <c r="D813" s="1" t="s">
        <v>538</v>
      </c>
      <c r="E813" s="1" t="s">
        <v>927</v>
      </c>
      <c r="F813" s="1" t="s">
        <v>927</v>
      </c>
      <c r="G813" s="1">
        <v>108.0</v>
      </c>
      <c r="H813" s="1">
        <v>5.102362205</v>
      </c>
      <c r="I813" s="1">
        <v>5.08</v>
      </c>
      <c r="J813" s="1">
        <v>2.09379</v>
      </c>
      <c r="L813" s="10">
        <f>IFERROR(__xludf.DUMMYFUNCTION("""COMPUTED_VALUE"""),686249.0)</f>
        <v>686249</v>
      </c>
      <c r="M813" s="10">
        <f>IFERROR(__xludf.DUMMYFUNCTION("""COMPUTED_VALUE"""),24.0)</f>
        <v>24</v>
      </c>
    </row>
    <row r="814">
      <c r="A814" s="1">
        <v>2025.0</v>
      </c>
      <c r="B814" s="1" t="s">
        <v>840</v>
      </c>
      <c r="C814" s="1">
        <v>621139.0</v>
      </c>
      <c r="D814" s="1" t="s">
        <v>533</v>
      </c>
      <c r="E814" s="1" t="s">
        <v>927</v>
      </c>
      <c r="F814" s="1" t="s">
        <v>927</v>
      </c>
      <c r="G814" s="1">
        <v>4.0</v>
      </c>
      <c r="H814" s="1">
        <v>0.188976378</v>
      </c>
      <c r="I814" s="1">
        <v>5.02</v>
      </c>
      <c r="J814" s="1">
        <v>0.083582</v>
      </c>
      <c r="L814" s="10">
        <f>IFERROR(__xludf.DUMMYFUNCTION("""COMPUTED_VALUE"""),680701.0)</f>
        <v>680701</v>
      </c>
      <c r="M814" s="10">
        <f>IFERROR(__xludf.DUMMYFUNCTION("""COMPUTED_VALUE"""),23.0)</f>
        <v>23</v>
      </c>
    </row>
    <row r="815">
      <c r="A815" s="1">
        <v>2025.0</v>
      </c>
      <c r="B815" s="1" t="s">
        <v>943</v>
      </c>
      <c r="C815" s="1">
        <v>548384.0</v>
      </c>
      <c r="D815" s="1" t="s">
        <v>532</v>
      </c>
      <c r="E815" s="1" t="s">
        <v>926</v>
      </c>
      <c r="F815" s="1" t="s">
        <v>926</v>
      </c>
      <c r="G815" s="1">
        <v>4.0</v>
      </c>
      <c r="H815" s="1">
        <v>0.264604811</v>
      </c>
      <c r="I815" s="1">
        <v>4.52</v>
      </c>
      <c r="J815" s="1">
        <v>0.121206</v>
      </c>
      <c r="L815" s="10">
        <f>IFERROR(__xludf.DUMMYFUNCTION("""COMPUTED_VALUE"""),622761.0)</f>
        <v>622761</v>
      </c>
      <c r="M815" s="10">
        <f>IFERROR(__xludf.DUMMYFUNCTION("""COMPUTED_VALUE"""),22.0)</f>
        <v>22</v>
      </c>
    </row>
    <row r="816">
      <c r="A816" s="1">
        <v>2025.0</v>
      </c>
      <c r="B816" s="1" t="s">
        <v>943</v>
      </c>
      <c r="C816" s="1">
        <v>548384.0</v>
      </c>
      <c r="D816" s="1" t="s">
        <v>540</v>
      </c>
      <c r="E816" s="1" t="s">
        <v>926</v>
      </c>
      <c r="F816" s="1" t="s">
        <v>926</v>
      </c>
      <c r="G816" s="1">
        <v>20.0</v>
      </c>
      <c r="H816" s="1">
        <v>1.323024055</v>
      </c>
      <c r="I816" s="1">
        <v>5.54</v>
      </c>
      <c r="J816" s="1">
        <v>0.234311</v>
      </c>
      <c r="L816" s="10">
        <f>IFERROR(__xludf.DUMMYFUNCTION("""COMPUTED_VALUE"""),620443.0)</f>
        <v>620443</v>
      </c>
      <c r="M816" s="10">
        <f>IFERROR(__xludf.DUMMYFUNCTION("""COMPUTED_VALUE"""),21.0)</f>
        <v>21</v>
      </c>
    </row>
    <row r="817">
      <c r="A817" s="1">
        <v>2025.0</v>
      </c>
      <c r="B817" s="1" t="s">
        <v>943</v>
      </c>
      <c r="C817" s="1">
        <v>548384.0</v>
      </c>
      <c r="D817" s="1" t="s">
        <v>536</v>
      </c>
      <c r="E817" s="1" t="s">
        <v>926</v>
      </c>
      <c r="F817" s="1" t="s">
        <v>926</v>
      </c>
      <c r="G817" s="1">
        <v>40.0</v>
      </c>
      <c r="H817" s="1">
        <v>2.64604811</v>
      </c>
      <c r="I817" s="1">
        <v>5.27</v>
      </c>
      <c r="J817" s="1">
        <v>0.660082</v>
      </c>
      <c r="L817" s="10">
        <f>IFERROR(__xludf.DUMMYFUNCTION("""COMPUTED_VALUE"""),670183.0)</f>
        <v>670183</v>
      </c>
      <c r="M817" s="10">
        <f>IFERROR(__xludf.DUMMYFUNCTION("""COMPUTED_VALUE"""),21.0)</f>
        <v>21</v>
      </c>
    </row>
    <row r="818">
      <c r="A818" s="1">
        <v>2025.0</v>
      </c>
      <c r="B818" s="1" t="s">
        <v>943</v>
      </c>
      <c r="C818" s="1">
        <v>548384.0</v>
      </c>
      <c r="D818" s="1" t="s">
        <v>539</v>
      </c>
      <c r="E818" s="1" t="s">
        <v>926</v>
      </c>
      <c r="F818" s="1" t="s">
        <v>926</v>
      </c>
      <c r="G818" s="1">
        <v>62.0</v>
      </c>
      <c r="H818" s="1">
        <v>4.10137457</v>
      </c>
      <c r="I818" s="1">
        <v>5.17</v>
      </c>
      <c r="J818" s="1">
        <v>1.077136</v>
      </c>
      <c r="L818" s="10">
        <f>IFERROR(__xludf.DUMMYFUNCTION("""COMPUTED_VALUE"""),694359.0)</f>
        <v>694359</v>
      </c>
      <c r="M818" s="10">
        <f>IFERROR(__xludf.DUMMYFUNCTION("""COMPUTED_VALUE"""),21.0)</f>
        <v>21</v>
      </c>
    </row>
    <row r="819">
      <c r="A819" s="1">
        <v>2025.0</v>
      </c>
      <c r="B819" s="1" t="s">
        <v>943</v>
      </c>
      <c r="C819" s="1">
        <v>548384.0</v>
      </c>
      <c r="D819" s="1" t="s">
        <v>532</v>
      </c>
      <c r="E819" s="1" t="s">
        <v>926</v>
      </c>
      <c r="F819" s="1" t="s">
        <v>927</v>
      </c>
      <c r="G819" s="1">
        <v>49.0</v>
      </c>
      <c r="H819" s="1">
        <v>3.241408935</v>
      </c>
      <c r="I819" s="1">
        <v>4.91</v>
      </c>
      <c r="J819" s="1">
        <v>1.110934</v>
      </c>
      <c r="L819" s="10">
        <f>IFERROR(__xludf.DUMMYFUNCTION("""COMPUTED_VALUE"""),656638.0)</f>
        <v>656638</v>
      </c>
      <c r="M819" s="10">
        <f>IFERROR(__xludf.DUMMYFUNCTION("""COMPUTED_VALUE"""),20.0)</f>
        <v>20</v>
      </c>
    </row>
    <row r="820">
      <c r="A820" s="1">
        <v>2025.0</v>
      </c>
      <c r="B820" s="1" t="s">
        <v>943</v>
      </c>
      <c r="C820" s="1">
        <v>548384.0</v>
      </c>
      <c r="D820" s="1" t="s">
        <v>540</v>
      </c>
      <c r="E820" s="1" t="s">
        <v>926</v>
      </c>
      <c r="F820" s="1" t="s">
        <v>927</v>
      </c>
      <c r="G820" s="1">
        <v>58.0</v>
      </c>
      <c r="H820" s="1">
        <v>3.836769759</v>
      </c>
      <c r="I820" s="1">
        <v>5.08</v>
      </c>
      <c r="J820" s="1">
        <v>1.162232</v>
      </c>
      <c r="L820" s="10">
        <f>IFERROR(__xludf.DUMMYFUNCTION("""COMPUTED_VALUE"""),663897.0)</f>
        <v>663897</v>
      </c>
      <c r="M820" s="10">
        <f>IFERROR(__xludf.DUMMYFUNCTION("""COMPUTED_VALUE"""),19.0)</f>
        <v>19</v>
      </c>
    </row>
    <row r="821">
      <c r="A821" s="1">
        <v>2025.0</v>
      </c>
      <c r="B821" s="1" t="s">
        <v>943</v>
      </c>
      <c r="C821" s="1">
        <v>548384.0</v>
      </c>
      <c r="D821" s="1" t="s">
        <v>536</v>
      </c>
      <c r="E821" s="1" t="s">
        <v>926</v>
      </c>
      <c r="F821" s="1" t="s">
        <v>927</v>
      </c>
      <c r="G821" s="1">
        <v>54.0</v>
      </c>
      <c r="H821" s="1">
        <v>3.572164948</v>
      </c>
      <c r="I821" s="1">
        <v>4.73</v>
      </c>
      <c r="J821" s="1">
        <v>1.447073</v>
      </c>
      <c r="L821" s="10">
        <f>IFERROR(__xludf.DUMMYFUNCTION("""COMPUTED_VALUE"""),676609.0)</f>
        <v>676609</v>
      </c>
      <c r="M821" s="10">
        <f>IFERROR(__xludf.DUMMYFUNCTION("""COMPUTED_VALUE"""),19.0)</f>
        <v>19</v>
      </c>
    </row>
    <row r="822">
      <c r="A822" s="1">
        <v>2025.0</v>
      </c>
      <c r="B822" s="1" t="s">
        <v>943</v>
      </c>
      <c r="C822" s="1">
        <v>548384.0</v>
      </c>
      <c r="D822" s="1" t="s">
        <v>539</v>
      </c>
      <c r="E822" s="1" t="s">
        <v>926</v>
      </c>
      <c r="F822" s="1" t="s">
        <v>927</v>
      </c>
      <c r="G822" s="1">
        <v>101.0</v>
      </c>
      <c r="H822" s="1">
        <v>6.681271478</v>
      </c>
      <c r="I822" s="1">
        <v>5.93</v>
      </c>
      <c r="J822" s="1">
        <v>0.219209</v>
      </c>
      <c r="L822" s="10">
        <f>IFERROR(__xludf.DUMMYFUNCTION("""COMPUTED_VALUE"""),656458.0)</f>
        <v>656458</v>
      </c>
      <c r="M822" s="10">
        <f>IFERROR(__xludf.DUMMYFUNCTION("""COMPUTED_VALUE"""),18.0)</f>
        <v>18</v>
      </c>
    </row>
    <row r="823">
      <c r="A823" s="1">
        <v>2025.0</v>
      </c>
      <c r="B823" s="1" t="s">
        <v>599</v>
      </c>
      <c r="C823" s="1">
        <v>669145.0</v>
      </c>
      <c r="D823" s="1" t="s">
        <v>541</v>
      </c>
      <c r="E823" s="1" t="s">
        <v>926</v>
      </c>
      <c r="F823" s="1" t="s">
        <v>926</v>
      </c>
      <c r="G823" s="1">
        <v>5.0</v>
      </c>
      <c r="H823" s="1">
        <v>0.32967033</v>
      </c>
      <c r="I823" s="1">
        <v>5.49</v>
      </c>
      <c r="J823" s="1">
        <v>0.065167</v>
      </c>
      <c r="L823" s="10">
        <f>IFERROR(__xludf.DUMMYFUNCTION("""COMPUTED_VALUE"""),624512.0)</f>
        <v>624512</v>
      </c>
      <c r="M823" s="10">
        <f>IFERROR(__xludf.DUMMYFUNCTION("""COMPUTED_VALUE"""),17.0)</f>
        <v>17</v>
      </c>
    </row>
    <row r="824">
      <c r="A824" s="1">
        <v>2025.0</v>
      </c>
      <c r="B824" s="1" t="s">
        <v>599</v>
      </c>
      <c r="C824" s="1">
        <v>669145.0</v>
      </c>
      <c r="D824" s="1" t="s">
        <v>540</v>
      </c>
      <c r="E824" s="1" t="s">
        <v>926</v>
      </c>
      <c r="F824" s="1" t="s">
        <v>926</v>
      </c>
      <c r="G824" s="1">
        <v>3.0</v>
      </c>
      <c r="H824" s="1">
        <v>0.197802198</v>
      </c>
      <c r="I824" s="1">
        <v>3.82</v>
      </c>
      <c r="J824" s="1">
        <v>0.133525</v>
      </c>
      <c r="L824" s="10">
        <f>IFERROR(__xludf.DUMMYFUNCTION("""COMPUTED_VALUE"""),669450.0)</f>
        <v>669450</v>
      </c>
      <c r="M824" s="10">
        <f>IFERROR(__xludf.DUMMYFUNCTION("""COMPUTED_VALUE"""),17.0)</f>
        <v>17</v>
      </c>
    </row>
    <row r="825">
      <c r="A825" s="1">
        <v>2025.0</v>
      </c>
      <c r="B825" s="1" t="s">
        <v>599</v>
      </c>
      <c r="C825" s="1">
        <v>669145.0</v>
      </c>
      <c r="D825" s="1" t="s">
        <v>537</v>
      </c>
      <c r="E825" s="1" t="s">
        <v>926</v>
      </c>
      <c r="F825" s="1" t="s">
        <v>926</v>
      </c>
      <c r="G825" s="1">
        <v>7.0</v>
      </c>
      <c r="H825" s="1">
        <v>0.461538462</v>
      </c>
      <c r="I825" s="1">
        <v>3.64</v>
      </c>
      <c r="J825" s="1">
        <v>0.325756</v>
      </c>
      <c r="L825" s="10">
        <f>IFERROR(__xludf.DUMMYFUNCTION("""COMPUTED_VALUE"""),543592.0)</f>
        <v>543592</v>
      </c>
      <c r="M825" s="10">
        <f>IFERROR(__xludf.DUMMYFUNCTION("""COMPUTED_VALUE"""),16.0)</f>
        <v>16</v>
      </c>
    </row>
    <row r="826">
      <c r="A826" s="1">
        <v>2025.0</v>
      </c>
      <c r="B826" s="1" t="s">
        <v>599</v>
      </c>
      <c r="C826" s="1">
        <v>669145.0</v>
      </c>
      <c r="D826" s="1" t="s">
        <v>538</v>
      </c>
      <c r="E826" s="1" t="s">
        <v>926</v>
      </c>
      <c r="F826" s="1" t="s">
        <v>926</v>
      </c>
      <c r="G826" s="1">
        <v>1.0</v>
      </c>
      <c r="H826" s="1">
        <v>0.065934066</v>
      </c>
      <c r="I826" s="1">
        <v>5.17</v>
      </c>
      <c r="J826" s="1">
        <v>0.015033</v>
      </c>
      <c r="L826" s="10">
        <f>IFERROR(__xludf.DUMMYFUNCTION("""COMPUTED_VALUE"""),676701.0)</f>
        <v>676701</v>
      </c>
      <c r="M826" s="10">
        <f>IFERROR(__xludf.DUMMYFUNCTION("""COMPUTED_VALUE"""),16.0)</f>
        <v>16</v>
      </c>
    </row>
    <row r="827">
      <c r="A827" s="1">
        <v>2025.0</v>
      </c>
      <c r="B827" s="1" t="s">
        <v>599</v>
      </c>
      <c r="C827" s="1">
        <v>669145.0</v>
      </c>
      <c r="D827" s="1" t="s">
        <v>536</v>
      </c>
      <c r="E827" s="1" t="s">
        <v>926</v>
      </c>
      <c r="F827" s="1" t="s">
        <v>926</v>
      </c>
      <c r="G827" s="1">
        <v>12.0</v>
      </c>
      <c r="H827" s="1">
        <v>0.791208791</v>
      </c>
      <c r="I827" s="1">
        <v>5.21</v>
      </c>
      <c r="J827" s="1">
        <v>0.220949</v>
      </c>
      <c r="L827" s="10">
        <f>IFERROR(__xludf.DUMMYFUNCTION("""COMPUTED_VALUE"""),645305.0)</f>
        <v>645305</v>
      </c>
      <c r="M827" s="10">
        <f>IFERROR(__xludf.DUMMYFUNCTION("""COMPUTED_VALUE"""),15.0)</f>
        <v>15</v>
      </c>
    </row>
    <row r="828">
      <c r="A828" s="1">
        <v>2025.0</v>
      </c>
      <c r="B828" s="1" t="s">
        <v>599</v>
      </c>
      <c r="C828" s="1">
        <v>669145.0</v>
      </c>
      <c r="D828" s="1" t="s">
        <v>533</v>
      </c>
      <c r="E828" s="1" t="s">
        <v>926</v>
      </c>
      <c r="F828" s="1" t="s">
        <v>926</v>
      </c>
      <c r="G828" s="1">
        <v>7.0</v>
      </c>
      <c r="H828" s="1">
        <v>0.461538462</v>
      </c>
      <c r="I828" s="1">
        <v>4.99</v>
      </c>
      <c r="J828" s="1">
        <v>0.15438</v>
      </c>
      <c r="L828" s="10">
        <f>IFERROR(__xludf.DUMMYFUNCTION("""COMPUTED_VALUE"""),682515.0)</f>
        <v>682515</v>
      </c>
      <c r="M828" s="10">
        <f>IFERROR(__xludf.DUMMYFUNCTION("""COMPUTED_VALUE"""),15.0)</f>
        <v>15</v>
      </c>
    </row>
    <row r="829">
      <c r="A829" s="1">
        <v>2025.0</v>
      </c>
      <c r="B829" s="1" t="s">
        <v>599</v>
      </c>
      <c r="C829" s="1">
        <v>669145.0</v>
      </c>
      <c r="D829" s="1" t="s">
        <v>541</v>
      </c>
      <c r="E829" s="1" t="s">
        <v>926</v>
      </c>
      <c r="F829" s="1" t="s">
        <v>927</v>
      </c>
      <c r="G829" s="1">
        <v>7.0</v>
      </c>
      <c r="H829" s="1">
        <v>0.461538462</v>
      </c>
      <c r="I829" s="1">
        <v>4.82</v>
      </c>
      <c r="J829" s="1">
        <v>0.181003</v>
      </c>
      <c r="L829" s="10">
        <f>IFERROR(__xludf.DUMMYFUNCTION("""COMPUTED_VALUE"""),680837.0)</f>
        <v>680837</v>
      </c>
      <c r="M829" s="10">
        <f>IFERROR(__xludf.DUMMYFUNCTION("""COMPUTED_VALUE"""),14.0)</f>
        <v>14</v>
      </c>
    </row>
    <row r="830">
      <c r="A830" s="1">
        <v>2025.0</v>
      </c>
      <c r="B830" s="1" t="s">
        <v>599</v>
      </c>
      <c r="C830" s="1">
        <v>669145.0</v>
      </c>
      <c r="D830" s="1" t="s">
        <v>540</v>
      </c>
      <c r="E830" s="1" t="s">
        <v>926</v>
      </c>
      <c r="F830" s="1" t="s">
        <v>927</v>
      </c>
      <c r="G830" s="1">
        <v>3.0</v>
      </c>
      <c r="H830" s="1">
        <v>0.197802198</v>
      </c>
      <c r="I830" s="1">
        <v>5.6</v>
      </c>
      <c r="J830" s="1">
        <v>0.023722</v>
      </c>
      <c r="L830" s="10">
        <f>IFERROR(__xludf.DUMMYFUNCTION("""COMPUTED_VALUE"""),571912.0)</f>
        <v>571912</v>
      </c>
      <c r="M830" s="10">
        <f>IFERROR(__xludf.DUMMYFUNCTION("""COMPUTED_VALUE"""),13.0)</f>
        <v>13</v>
      </c>
    </row>
    <row r="831">
      <c r="A831" s="1">
        <v>2025.0</v>
      </c>
      <c r="B831" s="1" t="s">
        <v>599</v>
      </c>
      <c r="C831" s="1">
        <v>669145.0</v>
      </c>
      <c r="D831" s="1" t="s">
        <v>537</v>
      </c>
      <c r="E831" s="1" t="s">
        <v>926</v>
      </c>
      <c r="F831" s="1" t="s">
        <v>927</v>
      </c>
      <c r="G831" s="1">
        <v>3.0</v>
      </c>
      <c r="H831" s="1">
        <v>0.197802198</v>
      </c>
      <c r="I831" s="1">
        <v>4.14</v>
      </c>
      <c r="J831" s="1">
        <v>0.123876</v>
      </c>
      <c r="L831" s="10">
        <f>IFERROR(__xludf.DUMMYFUNCTION("""COMPUTED_VALUE"""),573262.0)</f>
        <v>573262</v>
      </c>
      <c r="M831" s="10">
        <f>IFERROR(__xludf.DUMMYFUNCTION("""COMPUTED_VALUE"""),13.0)</f>
        <v>13</v>
      </c>
    </row>
    <row r="832">
      <c r="A832" s="1">
        <v>2025.0</v>
      </c>
      <c r="B832" s="1" t="s">
        <v>599</v>
      </c>
      <c r="C832" s="1">
        <v>669145.0</v>
      </c>
      <c r="D832" s="1" t="s">
        <v>538</v>
      </c>
      <c r="E832" s="1" t="s">
        <v>926</v>
      </c>
      <c r="F832" s="1" t="s">
        <v>927</v>
      </c>
      <c r="G832" s="1">
        <v>18.0</v>
      </c>
      <c r="H832" s="1">
        <v>1.186813187</v>
      </c>
      <c r="I832" s="1">
        <v>5.15</v>
      </c>
      <c r="J832" s="1">
        <v>0.343583</v>
      </c>
      <c r="L832" s="10">
        <f>IFERROR(__xludf.DUMMYFUNCTION("""COMPUTED_VALUE"""),622569.0)</f>
        <v>622569</v>
      </c>
      <c r="M832" s="10">
        <f>IFERROR(__xludf.DUMMYFUNCTION("""COMPUTED_VALUE"""),13.0)</f>
        <v>13</v>
      </c>
    </row>
    <row r="833">
      <c r="A833" s="1">
        <v>2025.0</v>
      </c>
      <c r="B833" s="1" t="s">
        <v>599</v>
      </c>
      <c r="C833" s="1">
        <v>669145.0</v>
      </c>
      <c r="D833" s="1" t="s">
        <v>536</v>
      </c>
      <c r="E833" s="1" t="s">
        <v>926</v>
      </c>
      <c r="F833" s="1" t="s">
        <v>927</v>
      </c>
      <c r="G833" s="1">
        <v>16.0</v>
      </c>
      <c r="H833" s="1">
        <v>1.054945055</v>
      </c>
      <c r="I833" s="1">
        <v>4.94</v>
      </c>
      <c r="J833" s="1">
        <v>0.387088</v>
      </c>
      <c r="L833" s="10">
        <f>IFERROR(__xludf.DUMMYFUNCTION("""COMPUTED_VALUE"""),656577.0)</f>
        <v>656577</v>
      </c>
      <c r="M833" s="10">
        <f>IFERROR(__xludf.DUMMYFUNCTION("""COMPUTED_VALUE"""),13.0)</f>
        <v>13</v>
      </c>
    </row>
    <row r="834">
      <c r="A834" s="1">
        <v>2025.0</v>
      </c>
      <c r="B834" s="1" t="s">
        <v>599</v>
      </c>
      <c r="C834" s="1">
        <v>669145.0</v>
      </c>
      <c r="D834" s="1" t="s">
        <v>533</v>
      </c>
      <c r="E834" s="1" t="s">
        <v>926</v>
      </c>
      <c r="F834" s="1" t="s">
        <v>927</v>
      </c>
      <c r="G834" s="1">
        <v>9.0</v>
      </c>
      <c r="H834" s="1">
        <v>0.593406593</v>
      </c>
      <c r="I834" s="1">
        <v>5.11</v>
      </c>
      <c r="J834" s="1">
        <v>0.175788</v>
      </c>
      <c r="L834" s="10">
        <f>IFERROR(__xludf.DUMMYFUNCTION("""COMPUTED_VALUE"""),687589.0)</f>
        <v>687589</v>
      </c>
      <c r="M834" s="10">
        <f>IFERROR(__xludf.DUMMYFUNCTION("""COMPUTED_VALUE"""),13.0)</f>
        <v>13</v>
      </c>
    </row>
    <row r="835">
      <c r="A835" s="1">
        <v>2025.0</v>
      </c>
      <c r="B835" s="1" t="s">
        <v>210</v>
      </c>
      <c r="C835" s="1">
        <v>650556.0</v>
      </c>
      <c r="D835" s="1" t="s">
        <v>532</v>
      </c>
      <c r="E835" s="1" t="s">
        <v>927</v>
      </c>
      <c r="F835" s="1" t="s">
        <v>926</v>
      </c>
      <c r="G835" s="1">
        <v>5.0</v>
      </c>
      <c r="H835" s="1">
        <v>0.298570227</v>
      </c>
      <c r="I835" s="1">
        <v>2.23</v>
      </c>
      <c r="J835" s="1">
        <v>0.37923</v>
      </c>
      <c r="L835" s="10">
        <f>IFERROR(__xludf.DUMMYFUNCTION("""COMPUTED_VALUE"""),500743.0)</f>
        <v>500743</v>
      </c>
      <c r="M835" s="10">
        <f>IFERROR(__xludf.DUMMYFUNCTION("""COMPUTED_VALUE"""),11.0)</f>
        <v>11</v>
      </c>
    </row>
    <row r="836">
      <c r="A836" s="1">
        <v>2025.0</v>
      </c>
      <c r="B836" s="1" t="s">
        <v>210</v>
      </c>
      <c r="C836" s="1">
        <v>650556.0</v>
      </c>
      <c r="D836" s="1" t="s">
        <v>537</v>
      </c>
      <c r="E836" s="1" t="s">
        <v>927</v>
      </c>
      <c r="F836" s="1" t="s">
        <v>926</v>
      </c>
      <c r="G836" s="1">
        <v>269.0</v>
      </c>
      <c r="H836" s="1">
        <v>16.06307822</v>
      </c>
      <c r="I836" s="1">
        <v>4.9</v>
      </c>
      <c r="J836" s="1">
        <v>6.483909</v>
      </c>
      <c r="L836" s="10">
        <f>IFERROR(__xludf.DUMMYFUNCTION("""COMPUTED_VALUE"""),596142.0)</f>
        <v>596142</v>
      </c>
      <c r="M836" s="10">
        <f>IFERROR(__xludf.DUMMYFUNCTION("""COMPUTED_VALUE"""),11.0)</f>
        <v>11</v>
      </c>
    </row>
    <row r="837">
      <c r="A837" s="1">
        <v>2025.0</v>
      </c>
      <c r="B837" s="1" t="s">
        <v>210</v>
      </c>
      <c r="C837" s="1">
        <v>650556.0</v>
      </c>
      <c r="D837" s="1" t="s">
        <v>533</v>
      </c>
      <c r="E837" s="1" t="s">
        <v>927</v>
      </c>
      <c r="F837" s="1" t="s">
        <v>926</v>
      </c>
      <c r="G837" s="1">
        <v>248.0</v>
      </c>
      <c r="H837" s="1">
        <v>14.80908326</v>
      </c>
      <c r="I837" s="1">
        <v>5.46</v>
      </c>
      <c r="J837" s="1">
        <v>3.108807</v>
      </c>
      <c r="L837" s="10">
        <f>IFERROR(__xludf.DUMMYFUNCTION("""COMPUTED_VALUE"""),642215.0)</f>
        <v>642215</v>
      </c>
      <c r="M837" s="10">
        <f>IFERROR(__xludf.DUMMYFUNCTION("""COMPUTED_VALUE"""),11.0)</f>
        <v>11</v>
      </c>
    </row>
    <row r="838">
      <c r="A838" s="1">
        <v>2025.0</v>
      </c>
      <c r="B838" s="1" t="s">
        <v>210</v>
      </c>
      <c r="C838" s="1">
        <v>650556.0</v>
      </c>
      <c r="D838" s="1" t="s">
        <v>537</v>
      </c>
      <c r="E838" s="1" t="s">
        <v>927</v>
      </c>
      <c r="F838" s="1" t="s">
        <v>927</v>
      </c>
      <c r="G838" s="1">
        <v>325.0</v>
      </c>
      <c r="H838" s="1">
        <v>19.40706476</v>
      </c>
      <c r="I838" s="1">
        <v>5.0</v>
      </c>
      <c r="J838" s="1">
        <v>7.093527</v>
      </c>
      <c r="L838" s="10">
        <f>IFERROR(__xludf.DUMMYFUNCTION("""COMPUTED_VALUE"""),678011.0)</f>
        <v>678011</v>
      </c>
      <c r="M838" s="10">
        <f>IFERROR(__xludf.DUMMYFUNCTION("""COMPUTED_VALUE"""),11.0)</f>
        <v>11</v>
      </c>
    </row>
    <row r="839">
      <c r="A839" s="1">
        <v>2025.0</v>
      </c>
      <c r="B839" s="1" t="s">
        <v>210</v>
      </c>
      <c r="C839" s="1">
        <v>650556.0</v>
      </c>
      <c r="D839" s="1" t="s">
        <v>536</v>
      </c>
      <c r="E839" s="1" t="s">
        <v>927</v>
      </c>
      <c r="F839" s="1" t="s">
        <v>927</v>
      </c>
      <c r="G839" s="1">
        <v>14.0</v>
      </c>
      <c r="H839" s="1">
        <v>0.835996636</v>
      </c>
      <c r="I839" s="1">
        <v>4.82</v>
      </c>
      <c r="J839" s="1">
        <v>0.340295</v>
      </c>
      <c r="L839" s="10">
        <f>IFERROR(__xludf.DUMMYFUNCTION("""COMPUTED_VALUE"""),677649.0)</f>
        <v>677649</v>
      </c>
      <c r="M839" s="10">
        <f>IFERROR(__xludf.DUMMYFUNCTION("""COMPUTED_VALUE"""),10.0)</f>
        <v>10</v>
      </c>
    </row>
    <row r="840">
      <c r="A840" s="1">
        <v>2025.0</v>
      </c>
      <c r="B840" s="1" t="s">
        <v>210</v>
      </c>
      <c r="C840" s="1">
        <v>650556.0</v>
      </c>
      <c r="D840" s="1" t="s">
        <v>533</v>
      </c>
      <c r="E840" s="1" t="s">
        <v>927</v>
      </c>
      <c r="F840" s="1" t="s">
        <v>927</v>
      </c>
      <c r="G840" s="1">
        <v>328.0</v>
      </c>
      <c r="H840" s="1">
        <v>19.5862069</v>
      </c>
      <c r="I840" s="1">
        <v>5.17</v>
      </c>
      <c r="J840" s="1">
        <v>5.943959</v>
      </c>
      <c r="L840" s="10">
        <f>IFERROR(__xludf.DUMMYFUNCTION("""COMPUTED_VALUE"""),621512.0)</f>
        <v>621512</v>
      </c>
      <c r="M840" s="10">
        <f>IFERROR(__xludf.DUMMYFUNCTION("""COMPUTED_VALUE"""),9.0)</f>
        <v>9</v>
      </c>
    </row>
    <row r="841">
      <c r="A841" s="1">
        <v>2025.0</v>
      </c>
      <c r="B841" s="1" t="s">
        <v>240</v>
      </c>
      <c r="C841" s="1">
        <v>641329.0</v>
      </c>
      <c r="D841" s="1" t="s">
        <v>532</v>
      </c>
      <c r="E841" s="1" t="s">
        <v>927</v>
      </c>
      <c r="F841" s="1" t="s">
        <v>926</v>
      </c>
      <c r="G841" s="1">
        <v>221.0</v>
      </c>
      <c r="H841" s="1">
        <v>13.78322737</v>
      </c>
      <c r="I841" s="1">
        <v>4.95</v>
      </c>
      <c r="J841" s="1">
        <v>4.898365</v>
      </c>
      <c r="L841" s="10">
        <f>IFERROR(__xludf.DUMMYFUNCTION("""COMPUTED_VALUE"""),656896.0)</f>
        <v>656896</v>
      </c>
      <c r="M841" s="10">
        <f>IFERROR(__xludf.DUMMYFUNCTION("""COMPUTED_VALUE"""),8.0)</f>
        <v>8</v>
      </c>
    </row>
    <row r="842">
      <c r="A842" s="1">
        <v>2025.0</v>
      </c>
      <c r="B842" s="1" t="s">
        <v>240</v>
      </c>
      <c r="C842" s="1">
        <v>641329.0</v>
      </c>
      <c r="D842" s="1" t="s">
        <v>537</v>
      </c>
      <c r="E842" s="1" t="s">
        <v>927</v>
      </c>
      <c r="F842" s="1" t="s">
        <v>926</v>
      </c>
      <c r="G842" s="1">
        <v>308.0</v>
      </c>
      <c r="H842" s="1">
        <v>19.20920375</v>
      </c>
      <c r="I842" s="1">
        <v>5.05</v>
      </c>
      <c r="J842" s="1">
        <v>6.568072</v>
      </c>
      <c r="L842" s="10">
        <f>IFERROR(__xludf.DUMMYFUNCTION("""COMPUTED_VALUE"""),670032.0)</f>
        <v>670032</v>
      </c>
      <c r="M842" s="10">
        <f>IFERROR(__xludf.DUMMYFUNCTION("""COMPUTED_VALUE"""),8.0)</f>
        <v>8</v>
      </c>
    </row>
    <row r="843">
      <c r="A843" s="1">
        <v>2025.0</v>
      </c>
      <c r="B843" s="1" t="s">
        <v>240</v>
      </c>
      <c r="C843" s="1">
        <v>641329.0</v>
      </c>
      <c r="D843" s="1" t="s">
        <v>533</v>
      </c>
      <c r="E843" s="1" t="s">
        <v>927</v>
      </c>
      <c r="F843" s="1" t="s">
        <v>926</v>
      </c>
      <c r="G843" s="1">
        <v>83.0</v>
      </c>
      <c r="H843" s="1">
        <v>5.176506206</v>
      </c>
      <c r="I843" s="1">
        <v>4.78</v>
      </c>
      <c r="J843" s="1">
        <v>2.171784</v>
      </c>
      <c r="L843" s="10">
        <f>IFERROR(__xludf.DUMMYFUNCTION("""COMPUTED_VALUE"""),681987.0)</f>
        <v>681987</v>
      </c>
      <c r="M843" s="10">
        <f>IFERROR(__xludf.DUMMYFUNCTION("""COMPUTED_VALUE"""),8.0)</f>
        <v>8</v>
      </c>
    </row>
    <row r="844">
      <c r="A844" s="1">
        <v>2025.0</v>
      </c>
      <c r="B844" s="1" t="s">
        <v>240</v>
      </c>
      <c r="C844" s="1">
        <v>641329.0</v>
      </c>
      <c r="D844" s="1" t="s">
        <v>532</v>
      </c>
      <c r="E844" s="1" t="s">
        <v>927</v>
      </c>
      <c r="F844" s="1" t="s">
        <v>927</v>
      </c>
      <c r="G844" s="1">
        <v>86.0</v>
      </c>
      <c r="H844" s="1">
        <v>5.36360884</v>
      </c>
      <c r="I844" s="1">
        <v>4.97</v>
      </c>
      <c r="J844" s="1">
        <v>1.859107</v>
      </c>
      <c r="L844" s="10">
        <f>IFERROR(__xludf.DUMMYFUNCTION("""COMPUTED_VALUE"""),621028.0)</f>
        <v>621028</v>
      </c>
      <c r="M844" s="10">
        <f>IFERROR(__xludf.DUMMYFUNCTION("""COMPUTED_VALUE"""),7.0)</f>
        <v>7</v>
      </c>
    </row>
    <row r="845">
      <c r="A845" s="1">
        <v>2025.0</v>
      </c>
      <c r="B845" s="1" t="s">
        <v>240</v>
      </c>
      <c r="C845" s="1">
        <v>641329.0</v>
      </c>
      <c r="D845" s="1" t="s">
        <v>537</v>
      </c>
      <c r="E845" s="1" t="s">
        <v>927</v>
      </c>
      <c r="F845" s="1" t="s">
        <v>927</v>
      </c>
      <c r="G845" s="1">
        <v>212.0</v>
      </c>
      <c r="H845" s="1">
        <v>13.22191947</v>
      </c>
      <c r="I845" s="1">
        <v>4.96</v>
      </c>
      <c r="J845" s="1">
        <v>4.940298</v>
      </c>
      <c r="L845" s="10">
        <f>IFERROR(__xludf.DUMMYFUNCTION("""COMPUTED_VALUE"""),676475.0)</f>
        <v>676475</v>
      </c>
      <c r="M845" s="10">
        <f>IFERROR(__xludf.DUMMYFUNCTION("""COMPUTED_VALUE"""),7.0)</f>
        <v>7</v>
      </c>
    </row>
    <row r="846">
      <c r="A846" s="1">
        <v>2025.0</v>
      </c>
      <c r="B846" s="1" t="s">
        <v>240</v>
      </c>
      <c r="C846" s="1">
        <v>641329.0</v>
      </c>
      <c r="D846" s="1" t="s">
        <v>533</v>
      </c>
      <c r="E846" s="1" t="s">
        <v>927</v>
      </c>
      <c r="F846" s="1" t="s">
        <v>927</v>
      </c>
      <c r="G846" s="1">
        <v>191.0</v>
      </c>
      <c r="H846" s="1">
        <v>11.91220103</v>
      </c>
      <c r="I846" s="1">
        <v>5.32</v>
      </c>
      <c r="J846" s="1">
        <v>3.009351</v>
      </c>
      <c r="L846" s="10">
        <f>IFERROR(__xludf.DUMMYFUNCTION("""COMPUTED_VALUE"""),643396.0)</f>
        <v>643396</v>
      </c>
      <c r="M846" s="10">
        <f>IFERROR(__xludf.DUMMYFUNCTION("""COMPUTED_VALUE"""),6.0)</f>
        <v>6</v>
      </c>
    </row>
    <row r="847">
      <c r="A847" s="1">
        <v>2025.0</v>
      </c>
      <c r="B847" s="1" t="s">
        <v>895</v>
      </c>
      <c r="C847" s="1">
        <v>663773.0</v>
      </c>
      <c r="D847" s="1" t="s">
        <v>537</v>
      </c>
      <c r="E847" s="1" t="s">
        <v>927</v>
      </c>
      <c r="F847" s="1" t="s">
        <v>926</v>
      </c>
      <c r="G847" s="1">
        <v>5.0</v>
      </c>
      <c r="H847" s="1">
        <v>0.305343511</v>
      </c>
      <c r="I847" s="1">
        <v>5.11</v>
      </c>
      <c r="J847" s="1">
        <v>0.099749</v>
      </c>
      <c r="L847" s="10">
        <f>IFERROR(__xludf.DUMMYFUNCTION("""COMPUTED_VALUE"""),669707.0)</f>
        <v>669707</v>
      </c>
      <c r="M847" s="10">
        <f>IFERROR(__xludf.DUMMYFUNCTION("""COMPUTED_VALUE"""),6.0)</f>
        <v>6</v>
      </c>
    </row>
    <row r="848">
      <c r="A848" s="1">
        <v>2025.0</v>
      </c>
      <c r="B848" s="1" t="s">
        <v>895</v>
      </c>
      <c r="C848" s="1">
        <v>663773.0</v>
      </c>
      <c r="D848" s="1" t="s">
        <v>538</v>
      </c>
      <c r="E848" s="1" t="s">
        <v>927</v>
      </c>
      <c r="F848" s="1" t="s">
        <v>926</v>
      </c>
      <c r="G848" s="1">
        <v>27.0</v>
      </c>
      <c r="H848" s="1">
        <v>1.648854962</v>
      </c>
      <c r="I848" s="1">
        <v>4.61</v>
      </c>
      <c r="J848" s="1">
        <v>0.81869</v>
      </c>
      <c r="L848" s="10">
        <f>IFERROR(__xludf.DUMMYFUNCTION("""COMPUTED_VALUE"""),676724.0)</f>
        <v>676724</v>
      </c>
      <c r="M848" s="10">
        <f>IFERROR(__xludf.DUMMYFUNCTION("""COMPUTED_VALUE"""),6.0)</f>
        <v>6</v>
      </c>
    </row>
    <row r="849">
      <c r="A849" s="1">
        <v>2025.0</v>
      </c>
      <c r="B849" s="1" t="s">
        <v>895</v>
      </c>
      <c r="C849" s="1">
        <v>663773.0</v>
      </c>
      <c r="D849" s="1" t="s">
        <v>536</v>
      </c>
      <c r="E849" s="1" t="s">
        <v>927</v>
      </c>
      <c r="F849" s="1" t="s">
        <v>926</v>
      </c>
      <c r="G849" s="1">
        <v>21.0</v>
      </c>
      <c r="H849" s="1">
        <v>1.282442748</v>
      </c>
      <c r="I849" s="1">
        <v>4.8</v>
      </c>
      <c r="J849" s="1">
        <v>0.595235</v>
      </c>
      <c r="L849" s="10">
        <f>IFERROR(__xludf.DUMMYFUNCTION("""COMPUTED_VALUE"""),623168.0)</f>
        <v>623168</v>
      </c>
      <c r="M849" s="10">
        <f>IFERROR(__xludf.DUMMYFUNCTION("""COMPUTED_VALUE"""),5.0)</f>
        <v>5</v>
      </c>
    </row>
    <row r="850">
      <c r="A850" s="1">
        <v>2025.0</v>
      </c>
      <c r="B850" s="1" t="s">
        <v>895</v>
      </c>
      <c r="C850" s="1">
        <v>663773.0</v>
      </c>
      <c r="D850" s="1" t="s">
        <v>538</v>
      </c>
      <c r="E850" s="1" t="s">
        <v>927</v>
      </c>
      <c r="F850" s="1" t="s">
        <v>927</v>
      </c>
      <c r="G850" s="1">
        <v>24.0</v>
      </c>
      <c r="H850" s="1">
        <v>1.465648855</v>
      </c>
      <c r="I850" s="1">
        <v>4.56</v>
      </c>
      <c r="J850" s="1">
        <v>0.764272</v>
      </c>
      <c r="L850" s="10">
        <f>IFERROR(__xludf.DUMMYFUNCTION("""COMPUTED_VALUE"""),683766.0)</f>
        <v>683766</v>
      </c>
      <c r="M850" s="10">
        <f>IFERROR(__xludf.DUMMYFUNCTION("""COMPUTED_VALUE"""),5.0)</f>
        <v>5</v>
      </c>
    </row>
    <row r="851">
      <c r="A851" s="1">
        <v>2025.0</v>
      </c>
      <c r="B851" s="1" t="s">
        <v>895</v>
      </c>
      <c r="C851" s="1">
        <v>663773.0</v>
      </c>
      <c r="D851" s="1" t="s">
        <v>536</v>
      </c>
      <c r="E851" s="1" t="s">
        <v>927</v>
      </c>
      <c r="F851" s="1" t="s">
        <v>927</v>
      </c>
      <c r="G851" s="1">
        <v>41.0</v>
      </c>
      <c r="H851" s="1">
        <v>2.503816794</v>
      </c>
      <c r="I851" s="1">
        <v>5.1</v>
      </c>
      <c r="J851" s="1">
        <v>0.871541</v>
      </c>
      <c r="L851" s="10">
        <f>IFERROR(__xludf.DUMMYFUNCTION("""COMPUTED_VALUE"""),608671.0)</f>
        <v>608671</v>
      </c>
      <c r="M851" s="10">
        <f>IFERROR(__xludf.DUMMYFUNCTION("""COMPUTED_VALUE"""),4.0)</f>
        <v>4</v>
      </c>
    </row>
    <row r="852">
      <c r="A852" s="1">
        <v>2025.0</v>
      </c>
      <c r="B852" s="1" t="s">
        <v>895</v>
      </c>
      <c r="C852" s="1">
        <v>663773.0</v>
      </c>
      <c r="D852" s="1" t="s">
        <v>533</v>
      </c>
      <c r="E852" s="1" t="s">
        <v>927</v>
      </c>
      <c r="F852" s="1" t="s">
        <v>927</v>
      </c>
      <c r="G852" s="1">
        <v>13.0</v>
      </c>
      <c r="H852" s="1">
        <v>0.79389313</v>
      </c>
      <c r="I852" s="1">
        <v>4.42</v>
      </c>
      <c r="J852" s="1">
        <v>0.465107</v>
      </c>
      <c r="L852" s="10">
        <f>IFERROR(__xludf.DUMMYFUNCTION("""COMPUTED_VALUE"""),641658.0)</f>
        <v>641658</v>
      </c>
      <c r="M852" s="10">
        <f>IFERROR(__xludf.DUMMYFUNCTION("""COMPUTED_VALUE"""),3.0)</f>
        <v>3</v>
      </c>
    </row>
    <row r="853">
      <c r="A853" s="1">
        <v>2025.0</v>
      </c>
      <c r="B853" s="1" t="s">
        <v>636</v>
      </c>
      <c r="C853" s="1">
        <v>663542.0</v>
      </c>
      <c r="D853" s="1" t="s">
        <v>532</v>
      </c>
      <c r="E853" s="1" t="s">
        <v>926</v>
      </c>
      <c r="F853" s="1" t="s">
        <v>926</v>
      </c>
      <c r="G853" s="1">
        <v>1.0</v>
      </c>
      <c r="H853" s="1">
        <v>0.047169811</v>
      </c>
      <c r="I853" s="1">
        <v>4.7</v>
      </c>
      <c r="J853" s="1">
        <v>0.030744</v>
      </c>
      <c r="L853" s="10">
        <f>IFERROR(__xludf.DUMMYFUNCTION("""COMPUTED_VALUE"""),642133.0)</f>
        <v>642133</v>
      </c>
      <c r="M853" s="10">
        <f>IFERROR(__xludf.DUMMYFUNCTION("""COMPUTED_VALUE"""),2.0)</f>
        <v>2</v>
      </c>
    </row>
    <row r="854">
      <c r="A854" s="1">
        <v>2025.0</v>
      </c>
      <c r="B854" s="1" t="s">
        <v>636</v>
      </c>
      <c r="C854" s="1">
        <v>663542.0</v>
      </c>
      <c r="D854" s="1" t="s">
        <v>540</v>
      </c>
      <c r="E854" s="1" t="s">
        <v>926</v>
      </c>
      <c r="F854" s="1" t="s">
        <v>926</v>
      </c>
      <c r="G854" s="1">
        <v>5.0</v>
      </c>
      <c r="H854" s="1">
        <v>0.235849057</v>
      </c>
      <c r="I854" s="1">
        <v>4.21</v>
      </c>
      <c r="J854" s="1">
        <v>0.199956</v>
      </c>
      <c r="L854" s="10">
        <f>IFERROR(__xludf.DUMMYFUNCTION("""COMPUTED_VALUE"""),642708.0)</f>
        <v>642708</v>
      </c>
      <c r="M854" s="10">
        <f>IFERROR(__xludf.DUMMYFUNCTION("""COMPUTED_VALUE"""),2.0)</f>
        <v>2</v>
      </c>
    </row>
    <row r="855">
      <c r="A855" s="1">
        <v>2025.0</v>
      </c>
      <c r="B855" s="1" t="s">
        <v>636</v>
      </c>
      <c r="C855" s="1">
        <v>663542.0</v>
      </c>
      <c r="D855" s="1" t="s">
        <v>537</v>
      </c>
      <c r="E855" s="1" t="s">
        <v>926</v>
      </c>
      <c r="F855" s="1" t="s">
        <v>926</v>
      </c>
      <c r="G855" s="1">
        <v>85.0</v>
      </c>
      <c r="H855" s="1">
        <v>4.009433962</v>
      </c>
      <c r="I855" s="1">
        <v>4.88</v>
      </c>
      <c r="J855" s="1">
        <v>2.100496</v>
      </c>
      <c r="L855" s="10">
        <f>IFERROR(__xludf.DUMMYFUNCTION("""COMPUTED_VALUE"""),645444.0)</f>
        <v>645444</v>
      </c>
      <c r="M855" s="10">
        <f>IFERROR(__xludf.DUMMYFUNCTION("""COMPUTED_VALUE"""),2.0)</f>
        <v>2</v>
      </c>
    </row>
    <row r="856">
      <c r="A856" s="1">
        <v>2025.0</v>
      </c>
      <c r="B856" s="1" t="s">
        <v>636</v>
      </c>
      <c r="C856" s="1">
        <v>663542.0</v>
      </c>
      <c r="D856" s="1" t="s">
        <v>536</v>
      </c>
      <c r="E856" s="1" t="s">
        <v>926</v>
      </c>
      <c r="F856" s="1" t="s">
        <v>926</v>
      </c>
      <c r="G856" s="1">
        <v>10.0</v>
      </c>
      <c r="H856" s="1">
        <v>0.471698113</v>
      </c>
      <c r="I856" s="1">
        <v>4.4</v>
      </c>
      <c r="J856" s="1">
        <v>0.351117</v>
      </c>
      <c r="L856" s="10">
        <f>IFERROR(__xludf.DUMMYFUNCTION("""COMPUTED_VALUE"""),647351.0)</f>
        <v>647351</v>
      </c>
      <c r="M856" s="10">
        <f>IFERROR(__xludf.DUMMYFUNCTION("""COMPUTED_VALUE"""),2.0)</f>
        <v>2</v>
      </c>
    </row>
    <row r="857">
      <c r="A857" s="1">
        <v>2025.0</v>
      </c>
      <c r="B857" s="1" t="s">
        <v>636</v>
      </c>
      <c r="C857" s="1">
        <v>663542.0</v>
      </c>
      <c r="D857" s="1" t="s">
        <v>539</v>
      </c>
      <c r="E857" s="1" t="s">
        <v>926</v>
      </c>
      <c r="F857" s="1" t="s">
        <v>926</v>
      </c>
      <c r="G857" s="1">
        <v>25.0</v>
      </c>
      <c r="H857" s="1">
        <v>1.179245283</v>
      </c>
      <c r="I857" s="1">
        <v>5.27</v>
      </c>
      <c r="J857" s="1">
        <v>0.413256</v>
      </c>
      <c r="L857" s="10">
        <f>IFERROR(__xludf.DUMMYFUNCTION("""COMPUTED_VALUE"""),650489.0)</f>
        <v>650489</v>
      </c>
      <c r="M857" s="10">
        <f>IFERROR(__xludf.DUMMYFUNCTION("""COMPUTED_VALUE"""),2.0)</f>
        <v>2</v>
      </c>
    </row>
    <row r="858">
      <c r="A858" s="1">
        <v>2025.0</v>
      </c>
      <c r="B858" s="1" t="s">
        <v>636</v>
      </c>
      <c r="C858" s="1">
        <v>663542.0</v>
      </c>
      <c r="D858" s="1" t="s">
        <v>532</v>
      </c>
      <c r="E858" s="1" t="s">
        <v>926</v>
      </c>
      <c r="F858" s="1" t="s">
        <v>927</v>
      </c>
      <c r="G858" s="1">
        <v>1.0</v>
      </c>
      <c r="H858" s="1">
        <v>0.047169811</v>
      </c>
      <c r="I858" s="1">
        <v>3.5</v>
      </c>
      <c r="J858" s="1">
        <v>0.052994</v>
      </c>
      <c r="L858" s="10">
        <f>IFERROR(__xludf.DUMMYFUNCTION("""COMPUTED_VALUE"""),660644.0)</f>
        <v>660644</v>
      </c>
      <c r="M858" s="10">
        <f>IFERROR(__xludf.DUMMYFUNCTION("""COMPUTED_VALUE"""),2.0)</f>
        <v>2</v>
      </c>
    </row>
    <row r="859">
      <c r="A859" s="1">
        <v>2025.0</v>
      </c>
      <c r="B859" s="1" t="s">
        <v>636</v>
      </c>
      <c r="C859" s="1">
        <v>663542.0</v>
      </c>
      <c r="D859" s="1" t="s">
        <v>540</v>
      </c>
      <c r="E859" s="1" t="s">
        <v>926</v>
      </c>
      <c r="F859" s="1" t="s">
        <v>927</v>
      </c>
      <c r="G859" s="1">
        <v>9.0</v>
      </c>
      <c r="H859" s="1">
        <v>0.424528302</v>
      </c>
      <c r="I859" s="1">
        <v>4.83</v>
      </c>
      <c r="J859" s="1">
        <v>0.243074</v>
      </c>
      <c r="L859" s="10">
        <f>IFERROR(__xludf.DUMMYFUNCTION("""COMPUTED_VALUE"""),665019.0)</f>
        <v>665019</v>
      </c>
      <c r="M859" s="10">
        <f>IFERROR(__xludf.DUMMYFUNCTION("""COMPUTED_VALUE"""),2.0)</f>
        <v>2</v>
      </c>
    </row>
    <row r="860">
      <c r="A860" s="1">
        <v>2025.0</v>
      </c>
      <c r="B860" s="1" t="s">
        <v>636</v>
      </c>
      <c r="C860" s="1">
        <v>663542.0</v>
      </c>
      <c r="D860" s="1" t="s">
        <v>537</v>
      </c>
      <c r="E860" s="1" t="s">
        <v>926</v>
      </c>
      <c r="F860" s="1" t="s">
        <v>927</v>
      </c>
      <c r="G860" s="1">
        <v>127.0</v>
      </c>
      <c r="H860" s="1">
        <v>5.990566038</v>
      </c>
      <c r="I860" s="1">
        <v>4.7</v>
      </c>
      <c r="J860" s="1">
        <v>3.65955</v>
      </c>
      <c r="L860" s="10">
        <f>IFERROR(__xludf.DUMMYFUNCTION("""COMPUTED_VALUE"""),571466.0)</f>
        <v>571466</v>
      </c>
      <c r="M860" s="10">
        <f>IFERROR(__xludf.DUMMYFUNCTION("""COMPUTED_VALUE"""),1.0)</f>
        <v>1</v>
      </c>
    </row>
    <row r="861">
      <c r="A861" s="1">
        <v>2025.0</v>
      </c>
      <c r="B861" s="1" t="s">
        <v>636</v>
      </c>
      <c r="C861" s="1">
        <v>663542.0</v>
      </c>
      <c r="D861" s="1" t="s">
        <v>536</v>
      </c>
      <c r="E861" s="1" t="s">
        <v>926</v>
      </c>
      <c r="F861" s="1" t="s">
        <v>927</v>
      </c>
      <c r="G861" s="1">
        <v>10.0</v>
      </c>
      <c r="H861" s="1">
        <v>0.471698113</v>
      </c>
      <c r="I861" s="1">
        <v>4.73</v>
      </c>
      <c r="J861" s="1">
        <v>0.292776</v>
      </c>
      <c r="L861" s="10">
        <f>IFERROR(__xludf.DUMMYFUNCTION("""COMPUTED_VALUE"""),642180.0)</f>
        <v>642180</v>
      </c>
      <c r="M861" s="10">
        <f>IFERROR(__xludf.DUMMYFUNCTION("""COMPUTED_VALUE"""),1.0)</f>
        <v>1</v>
      </c>
    </row>
    <row r="862">
      <c r="A862" s="1">
        <v>2025.0</v>
      </c>
      <c r="B862" s="1" t="s">
        <v>636</v>
      </c>
      <c r="C862" s="1">
        <v>663542.0</v>
      </c>
      <c r="D862" s="1" t="s">
        <v>539</v>
      </c>
      <c r="E862" s="1" t="s">
        <v>926</v>
      </c>
      <c r="F862" s="1" t="s">
        <v>927</v>
      </c>
      <c r="G862" s="1">
        <v>45.0</v>
      </c>
      <c r="H862" s="1">
        <v>2.122641509</v>
      </c>
      <c r="I862" s="1">
        <v>4.39</v>
      </c>
      <c r="J862" s="1">
        <v>1.512918</v>
      </c>
      <c r="L862" s="10">
        <f>IFERROR(__xludf.DUMMYFUNCTION("""COMPUTED_VALUE"""),670156.0)</f>
        <v>670156</v>
      </c>
      <c r="M862" s="10">
        <f>IFERROR(__xludf.DUMMYFUNCTION("""COMPUTED_VALUE"""),1.0)</f>
        <v>1</v>
      </c>
    </row>
    <row r="863">
      <c r="A863" s="1">
        <v>2025.0</v>
      </c>
      <c r="B863" s="1" t="s">
        <v>76</v>
      </c>
      <c r="C863" s="1">
        <v>687911.0</v>
      </c>
      <c r="D863" s="1" t="s">
        <v>532</v>
      </c>
      <c r="E863" s="1" t="s">
        <v>926</v>
      </c>
      <c r="F863" s="1" t="s">
        <v>926</v>
      </c>
      <c r="G863" s="1">
        <v>1.0</v>
      </c>
      <c r="H863" s="1">
        <v>0.065384615</v>
      </c>
      <c r="I863" s="1">
        <v>4.93</v>
      </c>
      <c r="J863" s="1">
        <v>0.0247</v>
      </c>
      <c r="L863" s="10">
        <f>IFERROR(__xludf.DUMMYFUNCTION("""COMPUTED_VALUE"""),681962.0)</f>
        <v>681962</v>
      </c>
      <c r="M863" s="10">
        <f>IFERROR(__xludf.DUMMYFUNCTION("""COMPUTED_VALUE"""),1.0)</f>
        <v>1</v>
      </c>
    </row>
    <row r="864">
      <c r="A864" s="1">
        <v>2025.0</v>
      </c>
      <c r="B864" s="1" t="s">
        <v>76</v>
      </c>
      <c r="C864" s="1">
        <v>687911.0</v>
      </c>
      <c r="D864" s="1" t="s">
        <v>541</v>
      </c>
      <c r="E864" s="1" t="s">
        <v>926</v>
      </c>
      <c r="F864" s="1" t="s">
        <v>926</v>
      </c>
      <c r="G864" s="1">
        <v>1.0</v>
      </c>
      <c r="H864" s="1">
        <v>0.065384615</v>
      </c>
      <c r="I864" s="1">
        <v>4.56</v>
      </c>
      <c r="J864" s="1">
        <v>0.030349</v>
      </c>
    </row>
    <row r="865">
      <c r="A865" s="1">
        <v>2025.0</v>
      </c>
      <c r="B865" s="1" t="s">
        <v>76</v>
      </c>
      <c r="C865" s="1">
        <v>687911.0</v>
      </c>
      <c r="D865" s="1" t="s">
        <v>537</v>
      </c>
      <c r="E865" s="1" t="s">
        <v>926</v>
      </c>
      <c r="F865" s="1" t="s">
        <v>926</v>
      </c>
      <c r="G865" s="1">
        <v>165.0</v>
      </c>
      <c r="H865" s="1">
        <v>10.78846154</v>
      </c>
      <c r="I865" s="1">
        <v>5.14</v>
      </c>
      <c r="J865" s="1">
        <v>3.168078</v>
      </c>
    </row>
    <row r="866">
      <c r="A866" s="1">
        <v>2025.0</v>
      </c>
      <c r="B866" s="1" t="s">
        <v>76</v>
      </c>
      <c r="C866" s="1">
        <v>687911.0</v>
      </c>
      <c r="D866" s="1" t="s">
        <v>536</v>
      </c>
      <c r="E866" s="1" t="s">
        <v>926</v>
      </c>
      <c r="F866" s="1" t="s">
        <v>926</v>
      </c>
      <c r="G866" s="1">
        <v>36.0</v>
      </c>
      <c r="H866" s="1">
        <v>2.353846154</v>
      </c>
      <c r="I866" s="1">
        <v>5.21</v>
      </c>
      <c r="J866" s="1">
        <v>0.673715</v>
      </c>
    </row>
    <row r="867">
      <c r="A867" s="1">
        <v>2025.0</v>
      </c>
      <c r="B867" s="1" t="s">
        <v>76</v>
      </c>
      <c r="C867" s="1">
        <v>687911.0</v>
      </c>
      <c r="D867" s="1" t="s">
        <v>533</v>
      </c>
      <c r="E867" s="1" t="s">
        <v>926</v>
      </c>
      <c r="F867" s="1" t="s">
        <v>926</v>
      </c>
      <c r="G867" s="1">
        <v>7.0</v>
      </c>
      <c r="H867" s="1">
        <v>0.457692308</v>
      </c>
      <c r="I867" s="1">
        <v>4.64</v>
      </c>
      <c r="J867" s="1">
        <v>0.198171</v>
      </c>
    </row>
    <row r="868">
      <c r="A868" s="1">
        <v>2025.0</v>
      </c>
      <c r="B868" s="1" t="s">
        <v>76</v>
      </c>
      <c r="C868" s="1">
        <v>687911.0</v>
      </c>
      <c r="D868" s="1" t="s">
        <v>539</v>
      </c>
      <c r="E868" s="1" t="s">
        <v>926</v>
      </c>
      <c r="F868" s="1" t="s">
        <v>926</v>
      </c>
      <c r="G868" s="1">
        <v>86.0</v>
      </c>
      <c r="H868" s="1">
        <v>5.623076923</v>
      </c>
      <c r="I868" s="1">
        <v>4.92</v>
      </c>
      <c r="J868" s="1">
        <v>1.943332</v>
      </c>
    </row>
    <row r="869">
      <c r="A869" s="1">
        <v>2025.0</v>
      </c>
      <c r="B869" s="1" t="s">
        <v>76</v>
      </c>
      <c r="C869" s="1">
        <v>687911.0</v>
      </c>
      <c r="D869" s="1" t="s">
        <v>532</v>
      </c>
      <c r="E869" s="1" t="s">
        <v>926</v>
      </c>
      <c r="F869" s="1" t="s">
        <v>927</v>
      </c>
      <c r="G869" s="1">
        <v>14.0</v>
      </c>
      <c r="H869" s="1">
        <v>0.915384615</v>
      </c>
      <c r="I869" s="1">
        <v>4.96</v>
      </c>
      <c r="J869" s="1">
        <v>0.308548</v>
      </c>
    </row>
    <row r="870">
      <c r="A870" s="1">
        <v>2025.0</v>
      </c>
      <c r="B870" s="1" t="s">
        <v>76</v>
      </c>
      <c r="C870" s="1">
        <v>687911.0</v>
      </c>
      <c r="D870" s="1" t="s">
        <v>541</v>
      </c>
      <c r="E870" s="1" t="s">
        <v>926</v>
      </c>
      <c r="F870" s="1" t="s">
        <v>927</v>
      </c>
      <c r="G870" s="1">
        <v>2.0</v>
      </c>
      <c r="H870" s="1">
        <v>0.130769231</v>
      </c>
      <c r="I870" s="1">
        <v>5.34</v>
      </c>
      <c r="J870" s="1">
        <v>0.030889</v>
      </c>
    </row>
    <row r="871">
      <c r="A871" s="1">
        <v>2025.0</v>
      </c>
      <c r="B871" s="1" t="s">
        <v>76</v>
      </c>
      <c r="C871" s="1">
        <v>687911.0</v>
      </c>
      <c r="D871" s="1" t="s">
        <v>537</v>
      </c>
      <c r="E871" s="1" t="s">
        <v>926</v>
      </c>
      <c r="F871" s="1" t="s">
        <v>927</v>
      </c>
      <c r="G871" s="1">
        <v>484.0</v>
      </c>
      <c r="H871" s="1">
        <v>31.64615385</v>
      </c>
      <c r="I871" s="1">
        <v>5.24</v>
      </c>
      <c r="J871" s="1">
        <v>8.317295</v>
      </c>
    </row>
    <row r="872">
      <c r="A872" s="1">
        <v>2025.0</v>
      </c>
      <c r="B872" s="1" t="s">
        <v>76</v>
      </c>
      <c r="C872" s="1">
        <v>687911.0</v>
      </c>
      <c r="D872" s="1" t="s">
        <v>536</v>
      </c>
      <c r="E872" s="1" t="s">
        <v>926</v>
      </c>
      <c r="F872" s="1" t="s">
        <v>927</v>
      </c>
      <c r="G872" s="1">
        <v>21.0</v>
      </c>
      <c r="H872" s="1">
        <v>1.373076923</v>
      </c>
      <c r="I872" s="1">
        <v>4.32</v>
      </c>
      <c r="J872" s="1">
        <v>0.756975</v>
      </c>
    </row>
    <row r="873">
      <c r="A873" s="1">
        <v>2025.0</v>
      </c>
      <c r="B873" s="1" t="s">
        <v>76</v>
      </c>
      <c r="C873" s="1">
        <v>687911.0</v>
      </c>
      <c r="D873" s="1" t="s">
        <v>533</v>
      </c>
      <c r="E873" s="1" t="s">
        <v>926</v>
      </c>
      <c r="F873" s="1" t="s">
        <v>927</v>
      </c>
      <c r="G873" s="1">
        <v>31.0</v>
      </c>
      <c r="H873" s="1">
        <v>2.026923077</v>
      </c>
      <c r="I873" s="1">
        <v>5.28</v>
      </c>
      <c r="J873" s="1">
        <v>0.481896</v>
      </c>
    </row>
    <row r="874">
      <c r="A874" s="1">
        <v>2025.0</v>
      </c>
      <c r="B874" s="1" t="s">
        <v>76</v>
      </c>
      <c r="C874" s="1">
        <v>687911.0</v>
      </c>
      <c r="D874" s="1" t="s">
        <v>539</v>
      </c>
      <c r="E874" s="1" t="s">
        <v>926</v>
      </c>
      <c r="F874" s="1" t="s">
        <v>927</v>
      </c>
      <c r="G874" s="1">
        <v>192.0</v>
      </c>
      <c r="H874" s="1">
        <v>12.55384615</v>
      </c>
      <c r="I874" s="1">
        <v>5.44</v>
      </c>
      <c r="J874" s="1">
        <v>2.523896</v>
      </c>
    </row>
    <row r="875">
      <c r="A875" s="1">
        <v>2025.0</v>
      </c>
      <c r="B875" s="1" t="s">
        <v>90</v>
      </c>
      <c r="C875" s="1">
        <v>693433.0</v>
      </c>
      <c r="D875" s="1" t="s">
        <v>532</v>
      </c>
      <c r="E875" s="1" t="s">
        <v>927</v>
      </c>
      <c r="F875" s="1" t="s">
        <v>926</v>
      </c>
      <c r="G875" s="1">
        <v>177.0</v>
      </c>
      <c r="H875" s="1">
        <v>12.17391304</v>
      </c>
      <c r="I875" s="1">
        <v>4.58</v>
      </c>
      <c r="J875" s="1">
        <v>5.309974</v>
      </c>
    </row>
    <row r="876">
      <c r="A876" s="1">
        <v>2025.0</v>
      </c>
      <c r="B876" s="1" t="s">
        <v>90</v>
      </c>
      <c r="C876" s="1">
        <v>693433.0</v>
      </c>
      <c r="D876" s="1" t="s">
        <v>537</v>
      </c>
      <c r="E876" s="1" t="s">
        <v>927</v>
      </c>
      <c r="F876" s="1" t="s">
        <v>926</v>
      </c>
      <c r="G876" s="1">
        <v>818.0</v>
      </c>
      <c r="H876" s="1">
        <v>56.26136085</v>
      </c>
      <c r="I876" s="1">
        <v>5.19</v>
      </c>
      <c r="J876" s="1">
        <v>15.678383</v>
      </c>
    </row>
    <row r="877">
      <c r="A877" s="1">
        <v>2025.0</v>
      </c>
      <c r="B877" s="1" t="s">
        <v>90</v>
      </c>
      <c r="C877" s="1">
        <v>693433.0</v>
      </c>
      <c r="D877" s="1" t="s">
        <v>536</v>
      </c>
      <c r="E877" s="1" t="s">
        <v>927</v>
      </c>
      <c r="F877" s="1" t="s">
        <v>926</v>
      </c>
      <c r="G877" s="1">
        <v>203.0</v>
      </c>
      <c r="H877" s="1">
        <v>13.96217146</v>
      </c>
      <c r="I877" s="1">
        <v>4.92</v>
      </c>
      <c r="J877" s="1">
        <v>4.739368</v>
      </c>
    </row>
    <row r="878">
      <c r="A878" s="1">
        <v>2025.0</v>
      </c>
      <c r="B878" s="1" t="s">
        <v>90</v>
      </c>
      <c r="C878" s="1">
        <v>693433.0</v>
      </c>
      <c r="D878" s="1" t="s">
        <v>533</v>
      </c>
      <c r="E878" s="1" t="s">
        <v>927</v>
      </c>
      <c r="F878" s="1" t="s">
        <v>926</v>
      </c>
      <c r="G878" s="1">
        <v>168.0</v>
      </c>
      <c r="H878" s="1">
        <v>11.55490052</v>
      </c>
      <c r="I878" s="1">
        <v>5.19</v>
      </c>
      <c r="J878" s="1">
        <v>3.024255</v>
      </c>
    </row>
    <row r="879">
      <c r="A879" s="1">
        <v>2025.0</v>
      </c>
      <c r="B879" s="1" t="s">
        <v>90</v>
      </c>
      <c r="C879" s="1">
        <v>693433.0</v>
      </c>
      <c r="D879" s="1" t="s">
        <v>539</v>
      </c>
      <c r="E879" s="1" t="s">
        <v>927</v>
      </c>
      <c r="F879" s="1" t="s">
        <v>926</v>
      </c>
      <c r="G879" s="1">
        <v>62.0</v>
      </c>
      <c r="H879" s="1">
        <v>4.264308524</v>
      </c>
      <c r="I879" s="1">
        <v>4.63</v>
      </c>
      <c r="J879" s="1">
        <v>1.762126</v>
      </c>
    </row>
    <row r="880">
      <c r="A880" s="1">
        <v>2025.0</v>
      </c>
      <c r="B880" s="1" t="s">
        <v>90</v>
      </c>
      <c r="C880" s="1">
        <v>693433.0</v>
      </c>
      <c r="D880" s="1" t="s">
        <v>532</v>
      </c>
      <c r="E880" s="1" t="s">
        <v>927</v>
      </c>
      <c r="F880" s="1" t="s">
        <v>927</v>
      </c>
      <c r="G880" s="1">
        <v>16.0</v>
      </c>
      <c r="H880" s="1">
        <v>1.100466716</v>
      </c>
      <c r="I880" s="1">
        <v>4.76</v>
      </c>
      <c r="J880" s="1">
        <v>0.399064</v>
      </c>
    </row>
    <row r="881">
      <c r="A881" s="1">
        <v>2025.0</v>
      </c>
      <c r="B881" s="1" t="s">
        <v>90</v>
      </c>
      <c r="C881" s="1">
        <v>693433.0</v>
      </c>
      <c r="D881" s="1" t="s">
        <v>537</v>
      </c>
      <c r="E881" s="1" t="s">
        <v>927</v>
      </c>
      <c r="F881" s="1" t="s">
        <v>927</v>
      </c>
      <c r="G881" s="1">
        <v>465.0</v>
      </c>
      <c r="H881" s="1">
        <v>31.98231393</v>
      </c>
      <c r="I881" s="1">
        <v>5.16</v>
      </c>
      <c r="J881" s="1">
        <v>8.857226</v>
      </c>
    </row>
    <row r="882">
      <c r="A882" s="1">
        <v>2025.0</v>
      </c>
      <c r="B882" s="1" t="s">
        <v>90</v>
      </c>
      <c r="C882" s="1">
        <v>693433.0</v>
      </c>
      <c r="D882" s="1" t="s">
        <v>536</v>
      </c>
      <c r="E882" s="1" t="s">
        <v>927</v>
      </c>
      <c r="F882" s="1" t="s">
        <v>927</v>
      </c>
      <c r="G882" s="1">
        <v>491.0</v>
      </c>
      <c r="H882" s="1">
        <v>33.77057234</v>
      </c>
      <c r="I882" s="1">
        <v>5.47</v>
      </c>
      <c r="J882" s="1">
        <v>6.334072</v>
      </c>
    </row>
    <row r="883">
      <c r="A883" s="1">
        <v>2025.0</v>
      </c>
      <c r="B883" s="1" t="s">
        <v>90</v>
      </c>
      <c r="C883" s="1">
        <v>693433.0</v>
      </c>
      <c r="D883" s="1" t="s">
        <v>533</v>
      </c>
      <c r="E883" s="1" t="s">
        <v>927</v>
      </c>
      <c r="F883" s="1" t="s">
        <v>927</v>
      </c>
      <c r="G883" s="1">
        <v>128.0</v>
      </c>
      <c r="H883" s="1">
        <v>8.803733726</v>
      </c>
      <c r="I883" s="1">
        <v>5.08</v>
      </c>
      <c r="J883" s="1">
        <v>2.617773</v>
      </c>
    </row>
    <row r="884">
      <c r="A884" s="1">
        <v>2025.0</v>
      </c>
      <c r="B884" s="1" t="s">
        <v>90</v>
      </c>
      <c r="C884" s="1">
        <v>693433.0</v>
      </c>
      <c r="D884" s="1" t="s">
        <v>539</v>
      </c>
      <c r="E884" s="1" t="s">
        <v>927</v>
      </c>
      <c r="F884" s="1" t="s">
        <v>927</v>
      </c>
      <c r="G884" s="1">
        <v>186.0</v>
      </c>
      <c r="H884" s="1">
        <v>12.79292557</v>
      </c>
      <c r="I884" s="1">
        <v>4.98</v>
      </c>
      <c r="J884" s="1">
        <v>3.973385</v>
      </c>
    </row>
    <row r="885">
      <c r="A885" s="1">
        <v>2025.0</v>
      </c>
      <c r="B885" s="1" t="s">
        <v>275</v>
      </c>
      <c r="C885" s="1">
        <v>693821.0</v>
      </c>
      <c r="D885" s="1" t="s">
        <v>532</v>
      </c>
      <c r="E885" s="1" t="s">
        <v>927</v>
      </c>
      <c r="F885" s="1" t="s">
        <v>926</v>
      </c>
      <c r="G885" s="1">
        <v>188.0</v>
      </c>
      <c r="H885" s="1">
        <v>11.71876661</v>
      </c>
      <c r="I885" s="1">
        <v>5.0</v>
      </c>
      <c r="J885" s="1">
        <v>4.147522</v>
      </c>
    </row>
    <row r="886">
      <c r="A886" s="1">
        <v>2025.0</v>
      </c>
      <c r="B886" s="1" t="s">
        <v>275</v>
      </c>
      <c r="C886" s="1">
        <v>693821.0</v>
      </c>
      <c r="D886" s="1" t="s">
        <v>537</v>
      </c>
      <c r="E886" s="1" t="s">
        <v>927</v>
      </c>
      <c r="F886" s="1" t="s">
        <v>926</v>
      </c>
      <c r="G886" s="1">
        <v>265.0</v>
      </c>
      <c r="H886" s="1">
        <v>16.51847422</v>
      </c>
      <c r="I886" s="1">
        <v>4.41</v>
      </c>
      <c r="J886" s="1">
        <v>9.15132</v>
      </c>
    </row>
    <row r="887">
      <c r="A887" s="1">
        <v>2025.0</v>
      </c>
      <c r="B887" s="1" t="s">
        <v>275</v>
      </c>
      <c r="C887" s="1">
        <v>693821.0</v>
      </c>
      <c r="D887" s="1" t="s">
        <v>536</v>
      </c>
      <c r="E887" s="1" t="s">
        <v>927</v>
      </c>
      <c r="F887" s="1" t="s">
        <v>926</v>
      </c>
      <c r="G887" s="1">
        <v>367.0</v>
      </c>
      <c r="H887" s="1">
        <v>22.87652844</v>
      </c>
      <c r="I887" s="1">
        <v>4.51</v>
      </c>
      <c r="J887" s="1">
        <v>11.94357</v>
      </c>
    </row>
    <row r="888">
      <c r="A888" s="1">
        <v>2025.0</v>
      </c>
      <c r="B888" s="1" t="s">
        <v>275</v>
      </c>
      <c r="C888" s="1">
        <v>693821.0</v>
      </c>
      <c r="D888" s="1" t="s">
        <v>533</v>
      </c>
      <c r="E888" s="1" t="s">
        <v>927</v>
      </c>
      <c r="F888" s="1" t="s">
        <v>926</v>
      </c>
      <c r="G888" s="1">
        <v>402.0</v>
      </c>
      <c r="H888" s="1">
        <v>25.05821372</v>
      </c>
      <c r="I888" s="1">
        <v>5.37</v>
      </c>
      <c r="J888" s="1">
        <v>5.87982</v>
      </c>
    </row>
    <row r="889">
      <c r="A889" s="1">
        <v>2025.0</v>
      </c>
      <c r="B889" s="1" t="s">
        <v>275</v>
      </c>
      <c r="C889" s="1">
        <v>693821.0</v>
      </c>
      <c r="D889" s="1" t="s">
        <v>532</v>
      </c>
      <c r="E889" s="1" t="s">
        <v>927</v>
      </c>
      <c r="F889" s="1" t="s">
        <v>927</v>
      </c>
      <c r="G889" s="1">
        <v>75.0</v>
      </c>
      <c r="H889" s="1">
        <v>4.675039872</v>
      </c>
      <c r="I889" s="1">
        <v>5.05</v>
      </c>
      <c r="J889" s="1">
        <v>1.575665</v>
      </c>
    </row>
    <row r="890">
      <c r="A890" s="1">
        <v>2025.0</v>
      </c>
      <c r="B890" s="1" t="s">
        <v>275</v>
      </c>
      <c r="C890" s="1">
        <v>693821.0</v>
      </c>
      <c r="D890" s="1" t="s">
        <v>537</v>
      </c>
      <c r="E890" s="1" t="s">
        <v>927</v>
      </c>
      <c r="F890" s="1" t="s">
        <v>927</v>
      </c>
      <c r="G890" s="1">
        <v>44.0</v>
      </c>
      <c r="H890" s="1">
        <v>2.742690058</v>
      </c>
      <c r="I890" s="1">
        <v>4.96</v>
      </c>
      <c r="J890" s="1">
        <v>1.023742</v>
      </c>
    </row>
    <row r="891">
      <c r="A891" s="1">
        <v>2025.0</v>
      </c>
      <c r="B891" s="1" t="s">
        <v>275</v>
      </c>
      <c r="C891" s="1">
        <v>693821.0</v>
      </c>
      <c r="D891" s="1" t="s">
        <v>536</v>
      </c>
      <c r="E891" s="1" t="s">
        <v>927</v>
      </c>
      <c r="F891" s="1" t="s">
        <v>927</v>
      </c>
      <c r="G891" s="1">
        <v>687.0</v>
      </c>
      <c r="H891" s="1">
        <v>42.82336523</v>
      </c>
      <c r="I891" s="1">
        <v>4.93</v>
      </c>
      <c r="J891" s="1">
        <v>16.455393</v>
      </c>
    </row>
    <row r="892">
      <c r="A892" s="1">
        <v>2025.0</v>
      </c>
      <c r="B892" s="1" t="s">
        <v>275</v>
      </c>
      <c r="C892" s="1">
        <v>693821.0</v>
      </c>
      <c r="D892" s="1" t="s">
        <v>533</v>
      </c>
      <c r="E892" s="1" t="s">
        <v>927</v>
      </c>
      <c r="F892" s="1" t="s">
        <v>927</v>
      </c>
      <c r="G892" s="1">
        <v>480.0</v>
      </c>
      <c r="H892" s="1">
        <v>29.92025518</v>
      </c>
      <c r="I892" s="1">
        <v>5.53</v>
      </c>
      <c r="J892" s="1">
        <v>5.67863</v>
      </c>
    </row>
    <row r="893">
      <c r="A893" s="1">
        <v>2025.0</v>
      </c>
      <c r="B893" s="1" t="s">
        <v>598</v>
      </c>
      <c r="C893" s="1">
        <v>686826.0</v>
      </c>
      <c r="D893" s="1" t="s">
        <v>532</v>
      </c>
      <c r="E893" s="1" t="s">
        <v>927</v>
      </c>
      <c r="F893" s="1" t="s">
        <v>926</v>
      </c>
      <c r="G893" s="1">
        <v>78.0</v>
      </c>
      <c r="H893" s="1">
        <v>4.195599022</v>
      </c>
      <c r="I893" s="1">
        <v>4.55</v>
      </c>
      <c r="J893" s="1">
        <v>2.434262</v>
      </c>
    </row>
    <row r="894">
      <c r="A894" s="1">
        <v>2025.0</v>
      </c>
      <c r="B894" s="1" t="s">
        <v>598</v>
      </c>
      <c r="C894" s="1">
        <v>686826.0</v>
      </c>
      <c r="D894" s="1" t="s">
        <v>541</v>
      </c>
      <c r="E894" s="1" t="s">
        <v>927</v>
      </c>
      <c r="F894" s="1" t="s">
        <v>926</v>
      </c>
      <c r="G894" s="1">
        <v>17.0</v>
      </c>
      <c r="H894" s="1">
        <v>0.914425428</v>
      </c>
      <c r="I894" s="1">
        <v>3.79</v>
      </c>
      <c r="J894" s="1">
        <v>0.829922</v>
      </c>
    </row>
    <row r="895">
      <c r="A895" s="1">
        <v>2025.0</v>
      </c>
      <c r="B895" s="1" t="s">
        <v>598</v>
      </c>
      <c r="C895" s="1">
        <v>686826.0</v>
      </c>
      <c r="D895" s="1" t="s">
        <v>540</v>
      </c>
      <c r="E895" s="1" t="s">
        <v>927</v>
      </c>
      <c r="F895" s="1" t="s">
        <v>926</v>
      </c>
      <c r="G895" s="1">
        <v>16.0</v>
      </c>
      <c r="H895" s="1">
        <v>0.860635697</v>
      </c>
      <c r="I895" s="1">
        <v>5.05</v>
      </c>
      <c r="J895" s="1">
        <v>0.368948</v>
      </c>
    </row>
    <row r="896">
      <c r="A896" s="1">
        <v>2025.0</v>
      </c>
      <c r="B896" s="1" t="s">
        <v>598</v>
      </c>
      <c r="C896" s="1">
        <v>686826.0</v>
      </c>
      <c r="D896" s="1" t="s">
        <v>537</v>
      </c>
      <c r="E896" s="1" t="s">
        <v>927</v>
      </c>
      <c r="F896" s="1" t="s">
        <v>926</v>
      </c>
      <c r="G896" s="1">
        <v>89.0</v>
      </c>
      <c r="H896" s="1">
        <v>4.787286064</v>
      </c>
      <c r="I896" s="1">
        <v>5.02</v>
      </c>
      <c r="J896" s="1">
        <v>2.018903</v>
      </c>
    </row>
    <row r="897">
      <c r="A897" s="1">
        <v>2025.0</v>
      </c>
      <c r="B897" s="1" t="s">
        <v>598</v>
      </c>
      <c r="C897" s="1">
        <v>686826.0</v>
      </c>
      <c r="D897" s="1" t="s">
        <v>536</v>
      </c>
      <c r="E897" s="1" t="s">
        <v>927</v>
      </c>
      <c r="F897" s="1" t="s">
        <v>926</v>
      </c>
      <c r="G897" s="1">
        <v>1.0</v>
      </c>
      <c r="H897" s="1">
        <v>0.053789731</v>
      </c>
      <c r="I897" s="1">
        <v>5.35</v>
      </c>
      <c r="J897" s="1">
        <v>0.016842</v>
      </c>
    </row>
    <row r="898">
      <c r="A898" s="1">
        <v>2025.0</v>
      </c>
      <c r="B898" s="1" t="s">
        <v>598</v>
      </c>
      <c r="C898" s="1">
        <v>686826.0</v>
      </c>
      <c r="D898" s="1" t="s">
        <v>533</v>
      </c>
      <c r="E898" s="1" t="s">
        <v>927</v>
      </c>
      <c r="F898" s="1" t="s">
        <v>926</v>
      </c>
      <c r="G898" s="1">
        <v>7.0</v>
      </c>
      <c r="H898" s="1">
        <v>0.376528117</v>
      </c>
      <c r="I898" s="1">
        <v>5.03</v>
      </c>
      <c r="J898" s="1">
        <v>0.140263</v>
      </c>
    </row>
    <row r="899">
      <c r="A899" s="1">
        <v>2025.0</v>
      </c>
      <c r="B899" s="1" t="s">
        <v>598</v>
      </c>
      <c r="C899" s="1">
        <v>686826.0</v>
      </c>
      <c r="D899" s="1" t="s">
        <v>532</v>
      </c>
      <c r="E899" s="1" t="s">
        <v>927</v>
      </c>
      <c r="F899" s="1" t="s">
        <v>927</v>
      </c>
      <c r="G899" s="1">
        <v>9.0</v>
      </c>
      <c r="H899" s="1">
        <v>0.484107579</v>
      </c>
      <c r="I899" s="1">
        <v>5.97</v>
      </c>
      <c r="J899" s="1">
        <v>0.036831</v>
      </c>
    </row>
    <row r="900">
      <c r="A900" s="1">
        <v>2025.0</v>
      </c>
      <c r="B900" s="1" t="s">
        <v>598</v>
      </c>
      <c r="C900" s="1">
        <v>686826.0</v>
      </c>
      <c r="D900" s="1" t="s">
        <v>541</v>
      </c>
      <c r="E900" s="1" t="s">
        <v>927</v>
      </c>
      <c r="F900" s="1" t="s">
        <v>927</v>
      </c>
      <c r="G900" s="1">
        <v>2.0</v>
      </c>
      <c r="H900" s="1">
        <v>0.107579462</v>
      </c>
      <c r="I900" s="1">
        <v>4.99</v>
      </c>
      <c r="J900" s="1">
        <v>0.047609</v>
      </c>
    </row>
    <row r="901">
      <c r="A901" s="1">
        <v>2025.0</v>
      </c>
      <c r="B901" s="1" t="s">
        <v>598</v>
      </c>
      <c r="C901" s="1">
        <v>686826.0</v>
      </c>
      <c r="D901" s="1" t="s">
        <v>537</v>
      </c>
      <c r="E901" s="1" t="s">
        <v>927</v>
      </c>
      <c r="F901" s="1" t="s">
        <v>927</v>
      </c>
      <c r="G901" s="1">
        <v>78.0</v>
      </c>
      <c r="H901" s="1">
        <v>4.195599022</v>
      </c>
      <c r="I901" s="1">
        <v>4.84</v>
      </c>
      <c r="J901" s="1">
        <v>2.10354</v>
      </c>
    </row>
    <row r="902">
      <c r="A902" s="1">
        <v>2025.0</v>
      </c>
      <c r="B902" s="1" t="s">
        <v>598</v>
      </c>
      <c r="C902" s="1">
        <v>686826.0</v>
      </c>
      <c r="D902" s="1" t="s">
        <v>536</v>
      </c>
      <c r="E902" s="1" t="s">
        <v>927</v>
      </c>
      <c r="F902" s="1" t="s">
        <v>927</v>
      </c>
      <c r="G902" s="1">
        <v>33.0</v>
      </c>
      <c r="H902" s="1">
        <v>1.775061125</v>
      </c>
      <c r="I902" s="1">
        <v>5.28</v>
      </c>
      <c r="J902" s="1">
        <v>0.55687</v>
      </c>
    </row>
    <row r="903">
      <c r="A903" s="1">
        <v>2025.0</v>
      </c>
      <c r="B903" s="1" t="s">
        <v>598</v>
      </c>
      <c r="C903" s="1">
        <v>686826.0</v>
      </c>
      <c r="D903" s="1" t="s">
        <v>533</v>
      </c>
      <c r="E903" s="1" t="s">
        <v>927</v>
      </c>
      <c r="F903" s="1" t="s">
        <v>927</v>
      </c>
      <c r="G903" s="1">
        <v>79.0</v>
      </c>
      <c r="H903" s="1">
        <v>4.249388753</v>
      </c>
      <c r="I903" s="1">
        <v>4.84</v>
      </c>
      <c r="J903" s="1">
        <v>2.030558</v>
      </c>
    </row>
    <row r="904">
      <c r="A904" s="1">
        <v>2025.0</v>
      </c>
      <c r="B904" s="1" t="s">
        <v>343</v>
      </c>
      <c r="C904" s="1">
        <v>682243.0</v>
      </c>
      <c r="D904" s="1" t="s">
        <v>532</v>
      </c>
      <c r="E904" s="1" t="s">
        <v>927</v>
      </c>
      <c r="F904" s="1" t="s">
        <v>926</v>
      </c>
      <c r="G904" s="1">
        <v>1.0</v>
      </c>
      <c r="H904" s="1">
        <v>0.058581928</v>
      </c>
      <c r="I904" s="1">
        <v>1.62</v>
      </c>
      <c r="J904" s="1">
        <v>0.088842</v>
      </c>
    </row>
    <row r="905">
      <c r="A905" s="1">
        <v>2025.0</v>
      </c>
      <c r="B905" s="1" t="s">
        <v>343</v>
      </c>
      <c r="C905" s="1">
        <v>682243.0</v>
      </c>
      <c r="D905" s="1" t="s">
        <v>541</v>
      </c>
      <c r="E905" s="1" t="s">
        <v>927</v>
      </c>
      <c r="F905" s="1" t="s">
        <v>926</v>
      </c>
      <c r="G905" s="1">
        <v>109.0</v>
      </c>
      <c r="H905" s="1">
        <v>6.385430177</v>
      </c>
      <c r="I905" s="1">
        <v>4.57</v>
      </c>
      <c r="J905" s="1">
        <v>3.256673</v>
      </c>
    </row>
    <row r="906">
      <c r="A906" s="1">
        <v>2025.0</v>
      </c>
      <c r="B906" s="1" t="s">
        <v>343</v>
      </c>
      <c r="C906" s="1">
        <v>682243.0</v>
      </c>
      <c r="D906" s="1" t="s">
        <v>540</v>
      </c>
      <c r="E906" s="1" t="s">
        <v>927</v>
      </c>
      <c r="F906" s="1" t="s">
        <v>926</v>
      </c>
      <c r="G906" s="1">
        <v>10.0</v>
      </c>
      <c r="H906" s="1">
        <v>0.585819282</v>
      </c>
      <c r="I906" s="1">
        <v>3.05</v>
      </c>
      <c r="J906" s="1">
        <v>0.593431</v>
      </c>
    </row>
    <row r="907">
      <c r="A907" s="1">
        <v>2025.0</v>
      </c>
      <c r="B907" s="1" t="s">
        <v>343</v>
      </c>
      <c r="C907" s="1">
        <v>682243.0</v>
      </c>
      <c r="D907" s="1" t="s">
        <v>537</v>
      </c>
      <c r="E907" s="1" t="s">
        <v>927</v>
      </c>
      <c r="F907" s="1" t="s">
        <v>926</v>
      </c>
      <c r="G907" s="1">
        <v>306.0</v>
      </c>
      <c r="H907" s="1">
        <v>17.92607004</v>
      </c>
      <c r="I907" s="1">
        <v>5.3</v>
      </c>
      <c r="J907" s="1">
        <v>5.01622</v>
      </c>
    </row>
    <row r="908">
      <c r="A908" s="1">
        <v>2025.0</v>
      </c>
      <c r="B908" s="1" t="s">
        <v>343</v>
      </c>
      <c r="C908" s="1">
        <v>682243.0</v>
      </c>
      <c r="D908" s="1" t="s">
        <v>538</v>
      </c>
      <c r="E908" s="1" t="s">
        <v>927</v>
      </c>
      <c r="F908" s="1" t="s">
        <v>926</v>
      </c>
      <c r="G908" s="1">
        <v>170.0</v>
      </c>
      <c r="H908" s="1">
        <v>9.958927799</v>
      </c>
      <c r="I908" s="1">
        <v>4.79</v>
      </c>
      <c r="J908" s="1">
        <v>4.337798</v>
      </c>
    </row>
    <row r="909">
      <c r="A909" s="1">
        <v>2025.0</v>
      </c>
      <c r="B909" s="1" t="s">
        <v>343</v>
      </c>
      <c r="C909" s="1">
        <v>682243.0</v>
      </c>
      <c r="D909" s="1" t="s">
        <v>536</v>
      </c>
      <c r="E909" s="1" t="s">
        <v>927</v>
      </c>
      <c r="F909" s="1" t="s">
        <v>926</v>
      </c>
      <c r="G909" s="1">
        <v>56.0</v>
      </c>
      <c r="H909" s="1">
        <v>3.280587981</v>
      </c>
      <c r="I909" s="1">
        <v>4.32</v>
      </c>
      <c r="J909" s="1">
        <v>2.026911</v>
      </c>
    </row>
    <row r="910">
      <c r="A910" s="1">
        <v>2025.0</v>
      </c>
      <c r="B910" s="1" t="s">
        <v>343</v>
      </c>
      <c r="C910" s="1">
        <v>682243.0</v>
      </c>
      <c r="D910" s="1" t="s">
        <v>533</v>
      </c>
      <c r="E910" s="1" t="s">
        <v>927</v>
      </c>
      <c r="F910" s="1" t="s">
        <v>926</v>
      </c>
      <c r="G910" s="1">
        <v>35.0</v>
      </c>
      <c r="H910" s="1">
        <v>2.050367488</v>
      </c>
      <c r="I910" s="1">
        <v>4.54</v>
      </c>
      <c r="J910" s="1">
        <v>1.104148</v>
      </c>
    </row>
    <row r="911">
      <c r="A911" s="1">
        <v>2025.0</v>
      </c>
      <c r="B911" s="1" t="s">
        <v>343</v>
      </c>
      <c r="C911" s="1">
        <v>682243.0</v>
      </c>
      <c r="D911" s="1" t="s">
        <v>539</v>
      </c>
      <c r="E911" s="1" t="s">
        <v>927</v>
      </c>
      <c r="F911" s="1" t="s">
        <v>926</v>
      </c>
      <c r="G911" s="1">
        <v>9.0</v>
      </c>
      <c r="H911" s="1">
        <v>0.527237354</v>
      </c>
      <c r="I911" s="1">
        <v>4.39</v>
      </c>
      <c r="J911" s="1">
        <v>0.297177</v>
      </c>
    </row>
    <row r="912">
      <c r="A912" s="1">
        <v>2025.0</v>
      </c>
      <c r="B912" s="1" t="s">
        <v>343</v>
      </c>
      <c r="C912" s="1">
        <v>682243.0</v>
      </c>
      <c r="D912" s="1" t="s">
        <v>541</v>
      </c>
      <c r="E912" s="1" t="s">
        <v>927</v>
      </c>
      <c r="F912" s="1" t="s">
        <v>927</v>
      </c>
      <c r="G912" s="1">
        <v>58.0</v>
      </c>
      <c r="H912" s="1">
        <v>3.397751837</v>
      </c>
      <c r="I912" s="1">
        <v>5.07</v>
      </c>
      <c r="J912" s="1">
        <v>1.078821</v>
      </c>
    </row>
    <row r="913">
      <c r="A913" s="1">
        <v>2025.0</v>
      </c>
      <c r="B913" s="1" t="s">
        <v>343</v>
      </c>
      <c r="C913" s="1">
        <v>682243.0</v>
      </c>
      <c r="D913" s="1" t="s">
        <v>540</v>
      </c>
      <c r="E913" s="1" t="s">
        <v>927</v>
      </c>
      <c r="F913" s="1" t="s">
        <v>927</v>
      </c>
      <c r="G913" s="1">
        <v>8.0</v>
      </c>
      <c r="H913" s="1">
        <v>0.468655426</v>
      </c>
      <c r="I913" s="1">
        <v>5.23</v>
      </c>
      <c r="J913" s="1">
        <v>0.12903</v>
      </c>
    </row>
    <row r="914">
      <c r="A914" s="1">
        <v>2025.0</v>
      </c>
      <c r="B914" s="1" t="s">
        <v>343</v>
      </c>
      <c r="C914" s="1">
        <v>682243.0</v>
      </c>
      <c r="D914" s="1" t="s">
        <v>537</v>
      </c>
      <c r="E914" s="1" t="s">
        <v>927</v>
      </c>
      <c r="F914" s="1" t="s">
        <v>927</v>
      </c>
      <c r="G914" s="1">
        <v>326.0</v>
      </c>
      <c r="H914" s="1">
        <v>19.0977086</v>
      </c>
      <c r="I914" s="1">
        <v>5.26</v>
      </c>
      <c r="J914" s="1">
        <v>5.393406</v>
      </c>
    </row>
    <row r="915">
      <c r="A915" s="1">
        <v>2025.0</v>
      </c>
      <c r="B915" s="1" t="s">
        <v>343</v>
      </c>
      <c r="C915" s="1">
        <v>682243.0</v>
      </c>
      <c r="D915" s="1" t="s">
        <v>538</v>
      </c>
      <c r="E915" s="1" t="s">
        <v>927</v>
      </c>
      <c r="F915" s="1" t="s">
        <v>927</v>
      </c>
      <c r="G915" s="1">
        <v>117.0</v>
      </c>
      <c r="H915" s="1">
        <v>6.854085603</v>
      </c>
      <c r="I915" s="1">
        <v>4.83</v>
      </c>
      <c r="J915" s="1">
        <v>2.771639</v>
      </c>
    </row>
    <row r="916">
      <c r="A916" s="1">
        <v>2025.0</v>
      </c>
      <c r="B916" s="1" t="s">
        <v>343</v>
      </c>
      <c r="C916" s="1">
        <v>682243.0</v>
      </c>
      <c r="D916" s="1" t="s">
        <v>536</v>
      </c>
      <c r="E916" s="1" t="s">
        <v>927</v>
      </c>
      <c r="F916" s="1" t="s">
        <v>927</v>
      </c>
      <c r="G916" s="1">
        <v>199.0</v>
      </c>
      <c r="H916" s="1">
        <v>11.65780372</v>
      </c>
      <c r="I916" s="1">
        <v>4.91</v>
      </c>
      <c r="J916" s="1">
        <v>4.799991</v>
      </c>
    </row>
    <row r="917">
      <c r="A917" s="1">
        <v>2025.0</v>
      </c>
      <c r="B917" s="1" t="s">
        <v>343</v>
      </c>
      <c r="C917" s="1">
        <v>682243.0</v>
      </c>
      <c r="D917" s="1" t="s">
        <v>533</v>
      </c>
      <c r="E917" s="1" t="s">
        <v>927</v>
      </c>
      <c r="F917" s="1" t="s">
        <v>927</v>
      </c>
      <c r="G917" s="1">
        <v>81.0</v>
      </c>
      <c r="H917" s="1">
        <v>4.745136187</v>
      </c>
      <c r="I917" s="1">
        <v>4.86</v>
      </c>
      <c r="J917" s="1">
        <v>1.996227</v>
      </c>
    </row>
    <row r="918">
      <c r="A918" s="1">
        <v>2025.0</v>
      </c>
      <c r="B918" s="1" t="s">
        <v>343</v>
      </c>
      <c r="C918" s="1">
        <v>682243.0</v>
      </c>
      <c r="D918" s="1" t="s">
        <v>539</v>
      </c>
      <c r="E918" s="1" t="s">
        <v>927</v>
      </c>
      <c r="F918" s="1" t="s">
        <v>927</v>
      </c>
      <c r="G918" s="1">
        <v>57.0</v>
      </c>
      <c r="H918" s="1">
        <v>3.339169909</v>
      </c>
      <c r="I918" s="1">
        <v>4.65</v>
      </c>
      <c r="J918" s="1">
        <v>1.613976</v>
      </c>
    </row>
    <row r="919">
      <c r="A919" s="1">
        <v>2025.0</v>
      </c>
      <c r="B919" s="1" t="s">
        <v>387</v>
      </c>
      <c r="C919" s="1">
        <v>669060.0</v>
      </c>
      <c r="D919" s="1" t="s">
        <v>532</v>
      </c>
      <c r="E919" s="1" t="s">
        <v>927</v>
      </c>
      <c r="F919" s="1" t="s">
        <v>926</v>
      </c>
      <c r="G919" s="1">
        <v>102.0</v>
      </c>
      <c r="H919" s="1">
        <v>5.660023447</v>
      </c>
      <c r="I919" s="1">
        <v>4.84</v>
      </c>
      <c r="J919" s="1">
        <v>2.579535</v>
      </c>
    </row>
    <row r="920">
      <c r="A920" s="1">
        <v>2025.0</v>
      </c>
      <c r="B920" s="1" t="s">
        <v>387</v>
      </c>
      <c r="C920" s="1">
        <v>669060.0</v>
      </c>
      <c r="D920" s="1" t="s">
        <v>541</v>
      </c>
      <c r="E920" s="1" t="s">
        <v>927</v>
      </c>
      <c r="F920" s="1" t="s">
        <v>926</v>
      </c>
      <c r="G920" s="1">
        <v>16.0</v>
      </c>
      <c r="H920" s="1">
        <v>0.887846815</v>
      </c>
      <c r="I920" s="1">
        <v>5.5</v>
      </c>
      <c r="J920" s="1">
        <v>0.182339</v>
      </c>
    </row>
    <row r="921">
      <c r="A921" s="1">
        <v>2025.0</v>
      </c>
      <c r="B921" s="1" t="s">
        <v>387</v>
      </c>
      <c r="C921" s="1">
        <v>669060.0</v>
      </c>
      <c r="D921" s="1" t="s">
        <v>540</v>
      </c>
      <c r="E921" s="1" t="s">
        <v>927</v>
      </c>
      <c r="F921" s="1" t="s">
        <v>926</v>
      </c>
      <c r="G921" s="1">
        <v>126.0</v>
      </c>
      <c r="H921" s="1">
        <v>6.991793669</v>
      </c>
      <c r="I921" s="1">
        <v>4.75</v>
      </c>
      <c r="J921" s="1">
        <v>3.514521</v>
      </c>
    </row>
    <row r="922">
      <c r="A922" s="1">
        <v>2025.0</v>
      </c>
      <c r="B922" s="1" t="s">
        <v>387</v>
      </c>
      <c r="C922" s="1">
        <v>669060.0</v>
      </c>
      <c r="D922" s="1" t="s">
        <v>537</v>
      </c>
      <c r="E922" s="1" t="s">
        <v>927</v>
      </c>
      <c r="F922" s="1" t="s">
        <v>926</v>
      </c>
      <c r="G922" s="1">
        <v>86.0</v>
      </c>
      <c r="H922" s="1">
        <v>4.772176631</v>
      </c>
      <c r="I922" s="1">
        <v>4.49</v>
      </c>
      <c r="J922" s="1">
        <v>2.904098</v>
      </c>
    </row>
    <row r="923">
      <c r="A923" s="1">
        <v>2025.0</v>
      </c>
      <c r="B923" s="1" t="s">
        <v>387</v>
      </c>
      <c r="C923" s="1">
        <v>669060.0</v>
      </c>
      <c r="D923" s="1" t="s">
        <v>536</v>
      </c>
      <c r="E923" s="1" t="s">
        <v>927</v>
      </c>
      <c r="F923" s="1" t="s">
        <v>926</v>
      </c>
      <c r="G923" s="1">
        <v>44.0</v>
      </c>
      <c r="H923" s="1">
        <v>2.441578742</v>
      </c>
      <c r="I923" s="1">
        <v>4.42</v>
      </c>
      <c r="J923" s="1">
        <v>1.56099</v>
      </c>
    </row>
    <row r="924">
      <c r="A924" s="1">
        <v>2025.0</v>
      </c>
      <c r="B924" s="1" t="s">
        <v>387</v>
      </c>
      <c r="C924" s="1">
        <v>669060.0</v>
      </c>
      <c r="D924" s="1" t="s">
        <v>532</v>
      </c>
      <c r="E924" s="1" t="s">
        <v>927</v>
      </c>
      <c r="F924" s="1" t="s">
        <v>927</v>
      </c>
      <c r="G924" s="1">
        <v>48.0</v>
      </c>
      <c r="H924" s="1">
        <v>2.663540445</v>
      </c>
      <c r="I924" s="1">
        <v>5.45</v>
      </c>
      <c r="J924" s="1">
        <v>0.587574</v>
      </c>
    </row>
    <row r="925">
      <c r="A925" s="1">
        <v>2025.0</v>
      </c>
      <c r="B925" s="1" t="s">
        <v>387</v>
      </c>
      <c r="C925" s="1">
        <v>669060.0</v>
      </c>
      <c r="D925" s="1" t="s">
        <v>541</v>
      </c>
      <c r="E925" s="1" t="s">
        <v>927</v>
      </c>
      <c r="F925" s="1" t="s">
        <v>927</v>
      </c>
      <c r="G925" s="1">
        <v>127.0</v>
      </c>
      <c r="H925" s="1">
        <v>7.047284095</v>
      </c>
      <c r="I925" s="1">
        <v>5.07</v>
      </c>
      <c r="J925" s="1">
        <v>2.663689</v>
      </c>
    </row>
    <row r="926">
      <c r="A926" s="1">
        <v>2025.0</v>
      </c>
      <c r="B926" s="1" t="s">
        <v>387</v>
      </c>
      <c r="C926" s="1">
        <v>669060.0</v>
      </c>
      <c r="D926" s="1" t="s">
        <v>540</v>
      </c>
      <c r="E926" s="1" t="s">
        <v>927</v>
      </c>
      <c r="F926" s="1" t="s">
        <v>927</v>
      </c>
      <c r="G926" s="1">
        <v>79.0</v>
      </c>
      <c r="H926" s="1">
        <v>4.38374365</v>
      </c>
      <c r="I926" s="1">
        <v>5.43</v>
      </c>
      <c r="J926" s="1">
        <v>1.168984</v>
      </c>
    </row>
    <row r="927">
      <c r="A927" s="1">
        <v>2025.0</v>
      </c>
      <c r="B927" s="1" t="s">
        <v>387</v>
      </c>
      <c r="C927" s="1">
        <v>669060.0</v>
      </c>
      <c r="D927" s="1" t="s">
        <v>537</v>
      </c>
      <c r="E927" s="1" t="s">
        <v>927</v>
      </c>
      <c r="F927" s="1" t="s">
        <v>927</v>
      </c>
      <c r="G927" s="1">
        <v>67.0</v>
      </c>
      <c r="H927" s="1">
        <v>3.717858538</v>
      </c>
      <c r="I927" s="1">
        <v>4.98</v>
      </c>
      <c r="J927" s="1">
        <v>1.571842</v>
      </c>
    </row>
    <row r="928">
      <c r="A928" s="1">
        <v>2025.0</v>
      </c>
      <c r="B928" s="1" t="s">
        <v>387</v>
      </c>
      <c r="C928" s="1">
        <v>669060.0</v>
      </c>
      <c r="D928" s="1" t="s">
        <v>536</v>
      </c>
      <c r="E928" s="1" t="s">
        <v>927</v>
      </c>
      <c r="F928" s="1" t="s">
        <v>927</v>
      </c>
      <c r="G928" s="1">
        <v>158.0</v>
      </c>
      <c r="H928" s="1">
        <v>8.7674873</v>
      </c>
      <c r="I928" s="1">
        <v>5.27</v>
      </c>
      <c r="J928" s="1">
        <v>2.661432</v>
      </c>
    </row>
    <row r="929">
      <c r="A929" s="1">
        <v>2025.0</v>
      </c>
      <c r="B929" s="1" t="s">
        <v>557</v>
      </c>
      <c r="C929" s="1">
        <v>696149.0</v>
      </c>
      <c r="D929" s="1" t="s">
        <v>532</v>
      </c>
      <c r="E929" s="1" t="s">
        <v>927</v>
      </c>
      <c r="F929" s="1" t="s">
        <v>926</v>
      </c>
      <c r="G929" s="1">
        <v>92.0</v>
      </c>
      <c r="H929" s="1">
        <v>6.25307303</v>
      </c>
      <c r="I929" s="1">
        <v>4.98</v>
      </c>
      <c r="J929" s="1">
        <v>2.092151</v>
      </c>
    </row>
    <row r="930">
      <c r="A930" s="1">
        <v>2025.0</v>
      </c>
      <c r="B930" s="1" t="s">
        <v>557</v>
      </c>
      <c r="C930" s="1">
        <v>696149.0</v>
      </c>
      <c r="D930" s="1" t="s">
        <v>541</v>
      </c>
      <c r="E930" s="1" t="s">
        <v>927</v>
      </c>
      <c r="F930" s="1" t="s">
        <v>926</v>
      </c>
      <c r="G930" s="1">
        <v>16.0</v>
      </c>
      <c r="H930" s="1">
        <v>1.087490962</v>
      </c>
      <c r="I930" s="1">
        <v>5.23</v>
      </c>
      <c r="J930" s="1">
        <v>0.309742</v>
      </c>
    </row>
    <row r="931">
      <c r="A931" s="1">
        <v>2025.0</v>
      </c>
      <c r="B931" s="1" t="s">
        <v>557</v>
      </c>
      <c r="C931" s="1">
        <v>696149.0</v>
      </c>
      <c r="D931" s="1" t="s">
        <v>537</v>
      </c>
      <c r="E931" s="1" t="s">
        <v>927</v>
      </c>
      <c r="F931" s="1" t="s">
        <v>926</v>
      </c>
      <c r="G931" s="1">
        <v>129.0</v>
      </c>
      <c r="H931" s="1">
        <v>8.767895879</v>
      </c>
      <c r="I931" s="1">
        <v>5.46</v>
      </c>
      <c r="J931" s="1">
        <v>1.738309</v>
      </c>
    </row>
    <row r="932">
      <c r="A932" s="1">
        <v>2025.0</v>
      </c>
      <c r="B932" s="1" t="s">
        <v>557</v>
      </c>
      <c r="C932" s="1">
        <v>696149.0</v>
      </c>
      <c r="D932" s="1" t="s">
        <v>533</v>
      </c>
      <c r="E932" s="1" t="s">
        <v>927</v>
      </c>
      <c r="F932" s="1" t="s">
        <v>926</v>
      </c>
      <c r="G932" s="1">
        <v>14.0</v>
      </c>
      <c r="H932" s="1">
        <v>0.951554591</v>
      </c>
      <c r="I932" s="1">
        <v>6.02</v>
      </c>
      <c r="J932" s="1">
        <v>0.024285</v>
      </c>
    </row>
    <row r="933">
      <c r="A933" s="1">
        <v>2025.0</v>
      </c>
      <c r="B933" s="1" t="s">
        <v>557</v>
      </c>
      <c r="C933" s="1">
        <v>696149.0</v>
      </c>
      <c r="D933" s="1" t="s">
        <v>532</v>
      </c>
      <c r="E933" s="1" t="s">
        <v>927</v>
      </c>
      <c r="F933" s="1" t="s">
        <v>927</v>
      </c>
      <c r="G933" s="1">
        <v>12.0</v>
      </c>
      <c r="H933" s="1">
        <v>0.815618221</v>
      </c>
      <c r="I933" s="1">
        <v>4.99</v>
      </c>
      <c r="J933" s="1">
        <v>0.264907</v>
      </c>
    </row>
    <row r="934">
      <c r="A934" s="1">
        <v>2025.0</v>
      </c>
      <c r="B934" s="1" t="s">
        <v>557</v>
      </c>
      <c r="C934" s="1">
        <v>696149.0</v>
      </c>
      <c r="D934" s="1" t="s">
        <v>541</v>
      </c>
      <c r="E934" s="1" t="s">
        <v>927</v>
      </c>
      <c r="F934" s="1" t="s">
        <v>927</v>
      </c>
      <c r="G934" s="1">
        <v>11.0</v>
      </c>
      <c r="H934" s="1">
        <v>0.747650036</v>
      </c>
      <c r="I934" s="1">
        <v>4.93</v>
      </c>
      <c r="J934" s="1">
        <v>0.278133</v>
      </c>
    </row>
    <row r="935">
      <c r="A935" s="1">
        <v>2025.0</v>
      </c>
      <c r="B935" s="1" t="s">
        <v>557</v>
      </c>
      <c r="C935" s="1">
        <v>696149.0</v>
      </c>
      <c r="D935" s="1" t="s">
        <v>537</v>
      </c>
      <c r="E935" s="1" t="s">
        <v>927</v>
      </c>
      <c r="F935" s="1" t="s">
        <v>927</v>
      </c>
      <c r="G935" s="1">
        <v>120.0</v>
      </c>
      <c r="H935" s="1">
        <v>8.156182213</v>
      </c>
      <c r="I935" s="1">
        <v>5.04</v>
      </c>
      <c r="J935" s="1">
        <v>2.739058</v>
      </c>
    </row>
    <row r="936">
      <c r="A936" s="1">
        <v>2025.0</v>
      </c>
      <c r="B936" s="1" t="s">
        <v>557</v>
      </c>
      <c r="C936" s="1">
        <v>696149.0</v>
      </c>
      <c r="D936" s="1" t="s">
        <v>533</v>
      </c>
      <c r="E936" s="1" t="s">
        <v>927</v>
      </c>
      <c r="F936" s="1" t="s">
        <v>927</v>
      </c>
      <c r="G936" s="1">
        <v>67.0</v>
      </c>
      <c r="H936" s="1">
        <v>4.553868402</v>
      </c>
      <c r="I936" s="1">
        <v>5.37</v>
      </c>
      <c r="J936" s="1">
        <v>1.055409</v>
      </c>
    </row>
    <row r="937">
      <c r="A937" s="1">
        <v>2025.0</v>
      </c>
      <c r="B937" s="1" t="s">
        <v>325</v>
      </c>
      <c r="C937" s="1">
        <v>676917.0</v>
      </c>
      <c r="D937" s="1" t="s">
        <v>532</v>
      </c>
      <c r="E937" s="1" t="s">
        <v>927</v>
      </c>
      <c r="F937" s="1" t="s">
        <v>926</v>
      </c>
      <c r="G937" s="1">
        <v>79.0</v>
      </c>
      <c r="H937" s="1">
        <v>4.891433418</v>
      </c>
      <c r="I937" s="1">
        <v>4.94</v>
      </c>
      <c r="J937" s="1">
        <v>1.813293</v>
      </c>
    </row>
    <row r="938">
      <c r="A938" s="1">
        <v>2025.0</v>
      </c>
      <c r="B938" s="1" t="s">
        <v>325</v>
      </c>
      <c r="C938" s="1">
        <v>676917.0</v>
      </c>
      <c r="D938" s="1" t="s">
        <v>541</v>
      </c>
      <c r="E938" s="1" t="s">
        <v>927</v>
      </c>
      <c r="F938" s="1" t="s">
        <v>926</v>
      </c>
      <c r="G938" s="1">
        <v>124.0</v>
      </c>
      <c r="H938" s="1">
        <v>7.67769296</v>
      </c>
      <c r="I938" s="1">
        <v>5.1</v>
      </c>
      <c r="J938" s="1">
        <v>2.429721</v>
      </c>
    </row>
    <row r="939">
      <c r="A939" s="1">
        <v>2025.0</v>
      </c>
      <c r="B939" s="1" t="s">
        <v>325</v>
      </c>
      <c r="C939" s="1">
        <v>676917.0</v>
      </c>
      <c r="D939" s="1" t="s">
        <v>540</v>
      </c>
      <c r="E939" s="1" t="s">
        <v>927</v>
      </c>
      <c r="F939" s="1" t="s">
        <v>926</v>
      </c>
      <c r="G939" s="1">
        <v>24.0</v>
      </c>
      <c r="H939" s="1">
        <v>1.486005089</v>
      </c>
      <c r="I939" s="1">
        <v>5.09</v>
      </c>
      <c r="J939" s="1">
        <v>0.470096</v>
      </c>
    </row>
    <row r="940">
      <c r="A940" s="1">
        <v>2025.0</v>
      </c>
      <c r="B940" s="1" t="s">
        <v>325</v>
      </c>
      <c r="C940" s="1">
        <v>676917.0</v>
      </c>
      <c r="D940" s="1" t="s">
        <v>537</v>
      </c>
      <c r="E940" s="1" t="s">
        <v>927</v>
      </c>
      <c r="F940" s="1" t="s">
        <v>926</v>
      </c>
      <c r="G940" s="1">
        <v>161.0</v>
      </c>
      <c r="H940" s="1">
        <v>9.968617472</v>
      </c>
      <c r="I940" s="1">
        <v>5.06</v>
      </c>
      <c r="J940" s="1">
        <v>3.397237</v>
      </c>
    </row>
    <row r="941">
      <c r="A941" s="1">
        <v>2025.0</v>
      </c>
      <c r="B941" s="1" t="s">
        <v>325</v>
      </c>
      <c r="C941" s="1">
        <v>676917.0</v>
      </c>
      <c r="D941" s="1" t="s">
        <v>536</v>
      </c>
      <c r="E941" s="1" t="s">
        <v>927</v>
      </c>
      <c r="F941" s="1" t="s">
        <v>926</v>
      </c>
      <c r="G941" s="1">
        <v>54.0</v>
      </c>
      <c r="H941" s="1">
        <v>3.34351145</v>
      </c>
      <c r="I941" s="1">
        <v>4.85</v>
      </c>
      <c r="J941" s="1">
        <v>1.405778</v>
      </c>
    </row>
    <row r="942">
      <c r="A942" s="1">
        <v>2025.0</v>
      </c>
      <c r="B942" s="1" t="s">
        <v>325</v>
      </c>
      <c r="C942" s="1">
        <v>676917.0</v>
      </c>
      <c r="D942" s="1" t="s">
        <v>532</v>
      </c>
      <c r="E942" s="1" t="s">
        <v>927</v>
      </c>
      <c r="F942" s="1" t="s">
        <v>927</v>
      </c>
      <c r="G942" s="1">
        <v>28.0</v>
      </c>
      <c r="H942" s="1">
        <v>1.733672604</v>
      </c>
      <c r="I942" s="1">
        <v>5.31</v>
      </c>
      <c r="J942" s="1">
        <v>0.44456</v>
      </c>
    </row>
    <row r="943">
      <c r="A943" s="1">
        <v>2025.0</v>
      </c>
      <c r="B943" s="1" t="s">
        <v>325</v>
      </c>
      <c r="C943" s="1">
        <v>676917.0</v>
      </c>
      <c r="D943" s="1" t="s">
        <v>541</v>
      </c>
      <c r="E943" s="1" t="s">
        <v>927</v>
      </c>
      <c r="F943" s="1" t="s">
        <v>927</v>
      </c>
      <c r="G943" s="1">
        <v>115.0</v>
      </c>
      <c r="H943" s="1">
        <v>7.120441052</v>
      </c>
      <c r="I943" s="1">
        <v>4.68</v>
      </c>
      <c r="J943" s="1">
        <v>3.219893</v>
      </c>
    </row>
    <row r="944">
      <c r="A944" s="1">
        <v>2025.0</v>
      </c>
      <c r="B944" s="1" t="s">
        <v>325</v>
      </c>
      <c r="C944" s="1">
        <v>676917.0</v>
      </c>
      <c r="D944" s="1" t="s">
        <v>540</v>
      </c>
      <c r="E944" s="1" t="s">
        <v>927</v>
      </c>
      <c r="F944" s="1" t="s">
        <v>927</v>
      </c>
      <c r="G944" s="1">
        <v>34.0</v>
      </c>
      <c r="H944" s="1">
        <v>2.105173876</v>
      </c>
      <c r="I944" s="1">
        <v>5.08</v>
      </c>
      <c r="J944" s="1">
        <v>0.662752</v>
      </c>
    </row>
    <row r="945">
      <c r="A945" s="1">
        <v>2025.0</v>
      </c>
      <c r="B945" s="1" t="s">
        <v>325</v>
      </c>
      <c r="C945" s="1">
        <v>676917.0</v>
      </c>
      <c r="D945" s="1" t="s">
        <v>537</v>
      </c>
      <c r="E945" s="1" t="s">
        <v>927</v>
      </c>
      <c r="F945" s="1" t="s">
        <v>927</v>
      </c>
      <c r="G945" s="1">
        <v>78.0</v>
      </c>
      <c r="H945" s="1">
        <v>4.829516539</v>
      </c>
      <c r="I945" s="1">
        <v>4.49</v>
      </c>
      <c r="J945" s="1">
        <v>2.563328</v>
      </c>
    </row>
    <row r="946">
      <c r="A946" s="1">
        <v>2025.0</v>
      </c>
      <c r="B946" s="1" t="s">
        <v>325</v>
      </c>
      <c r="C946" s="1">
        <v>676917.0</v>
      </c>
      <c r="D946" s="1" t="s">
        <v>536</v>
      </c>
      <c r="E946" s="1" t="s">
        <v>927</v>
      </c>
      <c r="F946" s="1" t="s">
        <v>927</v>
      </c>
      <c r="G946" s="1">
        <v>89.0</v>
      </c>
      <c r="H946" s="1">
        <v>5.510602205</v>
      </c>
      <c r="I946" s="1">
        <v>5.03</v>
      </c>
      <c r="J946" s="1">
        <v>1.909586</v>
      </c>
    </row>
    <row r="947">
      <c r="A947" s="1">
        <v>2025.0</v>
      </c>
      <c r="B947" s="1" t="s">
        <v>266</v>
      </c>
      <c r="C947" s="1">
        <v>806188.0</v>
      </c>
      <c r="D947" s="1" t="s">
        <v>532</v>
      </c>
      <c r="E947" s="1" t="s">
        <v>926</v>
      </c>
      <c r="F947" s="1" t="s">
        <v>926</v>
      </c>
      <c r="G947" s="1">
        <v>15.0</v>
      </c>
      <c r="H947" s="1">
        <v>0.9030837</v>
      </c>
      <c r="I947" s="1">
        <v>5.09</v>
      </c>
      <c r="J947" s="1">
        <v>0.29284</v>
      </c>
    </row>
    <row r="948">
      <c r="A948" s="1">
        <v>2025.0</v>
      </c>
      <c r="B948" s="1" t="s">
        <v>266</v>
      </c>
      <c r="C948" s="1">
        <v>806188.0</v>
      </c>
      <c r="D948" s="1" t="s">
        <v>541</v>
      </c>
      <c r="E948" s="1" t="s">
        <v>926</v>
      </c>
      <c r="F948" s="1" t="s">
        <v>926</v>
      </c>
      <c r="G948" s="1">
        <v>92.0</v>
      </c>
      <c r="H948" s="1">
        <v>5.538913363</v>
      </c>
      <c r="I948" s="1">
        <v>4.62</v>
      </c>
      <c r="J948" s="1">
        <v>2.655543</v>
      </c>
    </row>
    <row r="949">
      <c r="A949" s="1">
        <v>2025.0</v>
      </c>
      <c r="B949" s="1" t="s">
        <v>266</v>
      </c>
      <c r="C949" s="1">
        <v>806188.0</v>
      </c>
      <c r="D949" s="1" t="s">
        <v>537</v>
      </c>
      <c r="E949" s="1" t="s">
        <v>926</v>
      </c>
      <c r="F949" s="1" t="s">
        <v>926</v>
      </c>
      <c r="G949" s="1">
        <v>40.0</v>
      </c>
      <c r="H949" s="1">
        <v>2.408223201</v>
      </c>
      <c r="I949" s="1">
        <v>4.33</v>
      </c>
      <c r="J949" s="1">
        <v>1.364171</v>
      </c>
    </row>
    <row r="950">
      <c r="A950" s="1">
        <v>2025.0</v>
      </c>
      <c r="B950" s="1" t="s">
        <v>266</v>
      </c>
      <c r="C950" s="1">
        <v>806188.0</v>
      </c>
      <c r="D950" s="1" t="s">
        <v>536</v>
      </c>
      <c r="E950" s="1" t="s">
        <v>926</v>
      </c>
      <c r="F950" s="1" t="s">
        <v>926</v>
      </c>
      <c r="G950" s="1">
        <v>125.0</v>
      </c>
      <c r="H950" s="1">
        <v>7.525697504</v>
      </c>
      <c r="I950" s="1">
        <v>5.23</v>
      </c>
      <c r="J950" s="1">
        <v>2.123353</v>
      </c>
    </row>
    <row r="951">
      <c r="A951" s="1">
        <v>2025.0</v>
      </c>
      <c r="B951" s="1" t="s">
        <v>266</v>
      </c>
      <c r="C951" s="1">
        <v>806188.0</v>
      </c>
      <c r="D951" s="1" t="s">
        <v>533</v>
      </c>
      <c r="E951" s="1" t="s">
        <v>926</v>
      </c>
      <c r="F951" s="1" t="s">
        <v>926</v>
      </c>
      <c r="G951" s="1">
        <v>51.0</v>
      </c>
      <c r="H951" s="1">
        <v>3.070484581</v>
      </c>
      <c r="I951" s="1">
        <v>5.62</v>
      </c>
      <c r="J951" s="1">
        <v>0.473941</v>
      </c>
    </row>
    <row r="952">
      <c r="A952" s="1">
        <v>2025.0</v>
      </c>
      <c r="B952" s="1" t="s">
        <v>266</v>
      </c>
      <c r="C952" s="1">
        <v>806188.0</v>
      </c>
      <c r="D952" s="1" t="s">
        <v>539</v>
      </c>
      <c r="E952" s="1" t="s">
        <v>926</v>
      </c>
      <c r="F952" s="1" t="s">
        <v>926</v>
      </c>
      <c r="G952" s="1">
        <v>115.0</v>
      </c>
      <c r="H952" s="1">
        <v>6.923641703</v>
      </c>
      <c r="I952" s="1">
        <v>5.04</v>
      </c>
      <c r="J952" s="1">
        <v>2.282634</v>
      </c>
    </row>
    <row r="953">
      <c r="A953" s="1">
        <v>2025.0</v>
      </c>
      <c r="B953" s="1" t="s">
        <v>266</v>
      </c>
      <c r="C953" s="1">
        <v>806188.0</v>
      </c>
      <c r="D953" s="1" t="s">
        <v>532</v>
      </c>
      <c r="E953" s="1" t="s">
        <v>926</v>
      </c>
      <c r="F953" s="1" t="s">
        <v>927</v>
      </c>
      <c r="G953" s="1">
        <v>117.0</v>
      </c>
      <c r="H953" s="1">
        <v>7.044052863</v>
      </c>
      <c r="I953" s="1">
        <v>5.22</v>
      </c>
      <c r="J953" s="1">
        <v>1.937063</v>
      </c>
    </row>
    <row r="954">
      <c r="A954" s="1">
        <v>2025.0</v>
      </c>
      <c r="B954" s="1" t="s">
        <v>266</v>
      </c>
      <c r="C954" s="1">
        <v>806188.0</v>
      </c>
      <c r="D954" s="1" t="s">
        <v>541</v>
      </c>
      <c r="E954" s="1" t="s">
        <v>926</v>
      </c>
      <c r="F954" s="1" t="s">
        <v>927</v>
      </c>
      <c r="G954" s="1">
        <v>168.0</v>
      </c>
      <c r="H954" s="1">
        <v>10.11453744</v>
      </c>
      <c r="I954" s="1">
        <v>5.19</v>
      </c>
      <c r="J954" s="1">
        <v>2.770331</v>
      </c>
    </row>
    <row r="955">
      <c r="A955" s="1">
        <v>2025.0</v>
      </c>
      <c r="B955" s="1" t="s">
        <v>266</v>
      </c>
      <c r="C955" s="1">
        <v>806188.0</v>
      </c>
      <c r="D955" s="1" t="s">
        <v>537</v>
      </c>
      <c r="E955" s="1" t="s">
        <v>926</v>
      </c>
      <c r="F955" s="1" t="s">
        <v>927</v>
      </c>
      <c r="G955" s="1">
        <v>48.0</v>
      </c>
      <c r="H955" s="1">
        <v>2.889867841</v>
      </c>
      <c r="I955" s="1">
        <v>4.18</v>
      </c>
      <c r="J955" s="1">
        <v>1.800494</v>
      </c>
    </row>
    <row r="956">
      <c r="A956" s="1">
        <v>2025.0</v>
      </c>
      <c r="B956" s="1" t="s">
        <v>266</v>
      </c>
      <c r="C956" s="1">
        <v>806188.0</v>
      </c>
      <c r="D956" s="1" t="s">
        <v>536</v>
      </c>
      <c r="E956" s="1" t="s">
        <v>926</v>
      </c>
      <c r="F956" s="1" t="s">
        <v>927</v>
      </c>
      <c r="G956" s="1">
        <v>88.0</v>
      </c>
      <c r="H956" s="1">
        <v>5.298091043</v>
      </c>
      <c r="I956" s="1">
        <v>4.75</v>
      </c>
      <c r="J956" s="1">
        <v>2.417627</v>
      </c>
    </row>
    <row r="957">
      <c r="A957" s="1">
        <v>2025.0</v>
      </c>
      <c r="B957" s="1" t="s">
        <v>266</v>
      </c>
      <c r="C957" s="1">
        <v>806188.0</v>
      </c>
      <c r="D957" s="1" t="s">
        <v>533</v>
      </c>
      <c r="E957" s="1" t="s">
        <v>926</v>
      </c>
      <c r="F957" s="1" t="s">
        <v>927</v>
      </c>
      <c r="G957" s="1">
        <v>34.0</v>
      </c>
      <c r="H957" s="1">
        <v>2.046989721</v>
      </c>
      <c r="I957" s="1">
        <v>5.43</v>
      </c>
      <c r="J957" s="1">
        <v>0.439322</v>
      </c>
    </row>
    <row r="958">
      <c r="A958" s="1">
        <v>2025.0</v>
      </c>
      <c r="B958" s="1" t="s">
        <v>266</v>
      </c>
      <c r="C958" s="1">
        <v>806188.0</v>
      </c>
      <c r="D958" s="1" t="s">
        <v>539</v>
      </c>
      <c r="E958" s="1" t="s">
        <v>926</v>
      </c>
      <c r="F958" s="1" t="s">
        <v>927</v>
      </c>
      <c r="G958" s="1">
        <v>15.0</v>
      </c>
      <c r="H958" s="1">
        <v>0.9030837</v>
      </c>
      <c r="I958" s="1">
        <v>3.73</v>
      </c>
      <c r="J958" s="1">
        <v>0.659676</v>
      </c>
    </row>
    <row r="959">
      <c r="A959" s="1">
        <v>2025.0</v>
      </c>
      <c r="B959" s="1" t="s">
        <v>434</v>
      </c>
      <c r="C959" s="1">
        <v>690990.0</v>
      </c>
      <c r="D959" s="1" t="s">
        <v>532</v>
      </c>
      <c r="E959" s="1" t="s">
        <v>927</v>
      </c>
      <c r="F959" s="1" t="s">
        <v>926</v>
      </c>
      <c r="G959" s="1">
        <v>217.0</v>
      </c>
      <c r="H959" s="1">
        <v>14.33706607</v>
      </c>
      <c r="I959" s="1">
        <v>4.37</v>
      </c>
      <c r="J959" s="1">
        <v>7.382176</v>
      </c>
    </row>
    <row r="960">
      <c r="A960" s="1">
        <v>2025.0</v>
      </c>
      <c r="B960" s="1" t="s">
        <v>434</v>
      </c>
      <c r="C960" s="1">
        <v>690990.0</v>
      </c>
      <c r="D960" s="1" t="s">
        <v>541</v>
      </c>
      <c r="E960" s="1" t="s">
        <v>927</v>
      </c>
      <c r="F960" s="1" t="s">
        <v>926</v>
      </c>
      <c r="G960" s="1">
        <v>166.0</v>
      </c>
      <c r="H960" s="1">
        <v>10.9675252</v>
      </c>
      <c r="I960" s="1">
        <v>5.05</v>
      </c>
      <c r="J960" s="1">
        <v>3.480978</v>
      </c>
    </row>
    <row r="961">
      <c r="A961" s="1">
        <v>2025.0</v>
      </c>
      <c r="B961" s="1" t="s">
        <v>434</v>
      </c>
      <c r="C961" s="1">
        <v>690990.0</v>
      </c>
      <c r="D961" s="1" t="s">
        <v>537</v>
      </c>
      <c r="E961" s="1" t="s">
        <v>927</v>
      </c>
      <c r="F961" s="1" t="s">
        <v>926</v>
      </c>
      <c r="G961" s="1">
        <v>504.0</v>
      </c>
      <c r="H961" s="1">
        <v>33.29899216</v>
      </c>
      <c r="I961" s="1">
        <v>4.96</v>
      </c>
      <c r="J961" s="1">
        <v>11.748463</v>
      </c>
    </row>
    <row r="962">
      <c r="A962" s="1">
        <v>2025.0</v>
      </c>
      <c r="B962" s="1" t="s">
        <v>434</v>
      </c>
      <c r="C962" s="1">
        <v>690990.0</v>
      </c>
      <c r="D962" s="1" t="s">
        <v>536</v>
      </c>
      <c r="E962" s="1" t="s">
        <v>927</v>
      </c>
      <c r="F962" s="1" t="s">
        <v>926</v>
      </c>
      <c r="G962" s="1">
        <v>3.0</v>
      </c>
      <c r="H962" s="1">
        <v>0.198208287</v>
      </c>
      <c r="I962" s="1">
        <v>6.58</v>
      </c>
      <c r="J962" s="1">
        <v>-0.032112</v>
      </c>
    </row>
    <row r="963">
      <c r="A963" s="1">
        <v>2025.0</v>
      </c>
      <c r="B963" s="1" t="s">
        <v>434</v>
      </c>
      <c r="C963" s="1">
        <v>690990.0</v>
      </c>
      <c r="D963" s="1" t="s">
        <v>533</v>
      </c>
      <c r="E963" s="1" t="s">
        <v>927</v>
      </c>
      <c r="F963" s="1" t="s">
        <v>926</v>
      </c>
      <c r="G963" s="1">
        <v>1.0</v>
      </c>
      <c r="H963" s="1">
        <v>0.066069429</v>
      </c>
      <c r="I963" s="1">
        <v>3.7</v>
      </c>
      <c r="J963" s="1">
        <v>0.049127</v>
      </c>
    </row>
    <row r="964">
      <c r="A964" s="1">
        <v>2025.0</v>
      </c>
      <c r="B964" s="1" t="s">
        <v>434</v>
      </c>
      <c r="C964" s="1">
        <v>690990.0</v>
      </c>
      <c r="D964" s="1" t="s">
        <v>539</v>
      </c>
      <c r="E964" s="1" t="s">
        <v>927</v>
      </c>
      <c r="F964" s="1" t="s">
        <v>926</v>
      </c>
      <c r="G964" s="1">
        <v>30.0</v>
      </c>
      <c r="H964" s="1">
        <v>1.982082867</v>
      </c>
      <c r="I964" s="1">
        <v>5.46</v>
      </c>
      <c r="J964" s="1">
        <v>0.384583</v>
      </c>
    </row>
    <row r="965">
      <c r="A965" s="1">
        <v>2025.0</v>
      </c>
      <c r="B965" s="1" t="s">
        <v>434</v>
      </c>
      <c r="C965" s="1">
        <v>690990.0</v>
      </c>
      <c r="D965" s="1" t="s">
        <v>532</v>
      </c>
      <c r="E965" s="1" t="s">
        <v>927</v>
      </c>
      <c r="F965" s="1" t="s">
        <v>927</v>
      </c>
      <c r="G965" s="1">
        <v>11.0</v>
      </c>
      <c r="H965" s="1">
        <v>0.726763718</v>
      </c>
      <c r="I965" s="1">
        <v>2.74</v>
      </c>
      <c r="J965" s="1">
        <v>0.711094</v>
      </c>
    </row>
    <row r="966">
      <c r="A966" s="1">
        <v>2025.0</v>
      </c>
      <c r="B966" s="1" t="s">
        <v>434</v>
      </c>
      <c r="C966" s="1">
        <v>690990.0</v>
      </c>
      <c r="D966" s="1" t="s">
        <v>541</v>
      </c>
      <c r="E966" s="1" t="s">
        <v>927</v>
      </c>
      <c r="F966" s="1" t="s">
        <v>927</v>
      </c>
      <c r="G966" s="1">
        <v>18.0</v>
      </c>
      <c r="H966" s="1">
        <v>1.18924972</v>
      </c>
      <c r="I966" s="1">
        <v>5.08</v>
      </c>
      <c r="J966" s="1">
        <v>0.34877</v>
      </c>
    </row>
    <row r="967">
      <c r="A967" s="1">
        <v>2025.0</v>
      </c>
      <c r="B967" s="1" t="s">
        <v>434</v>
      </c>
      <c r="C967" s="1">
        <v>690990.0</v>
      </c>
      <c r="D967" s="1" t="s">
        <v>537</v>
      </c>
      <c r="E967" s="1" t="s">
        <v>927</v>
      </c>
      <c r="F967" s="1" t="s">
        <v>927</v>
      </c>
      <c r="G967" s="1">
        <v>393.0</v>
      </c>
      <c r="H967" s="1">
        <v>25.96528555</v>
      </c>
      <c r="I967" s="1">
        <v>5.11</v>
      </c>
      <c r="J967" s="1">
        <v>8.127799</v>
      </c>
    </row>
    <row r="968">
      <c r="A968" s="1">
        <v>2025.0</v>
      </c>
      <c r="B968" s="1" t="s">
        <v>434</v>
      </c>
      <c r="C968" s="1">
        <v>690990.0</v>
      </c>
      <c r="D968" s="1" t="s">
        <v>536</v>
      </c>
      <c r="E968" s="1" t="s">
        <v>927</v>
      </c>
      <c r="F968" s="1" t="s">
        <v>927</v>
      </c>
      <c r="G968" s="1">
        <v>97.0</v>
      </c>
      <c r="H968" s="1">
        <v>6.408734602</v>
      </c>
      <c r="I968" s="1">
        <v>4.27</v>
      </c>
      <c r="J968" s="1">
        <v>3.530269</v>
      </c>
    </row>
    <row r="969">
      <c r="A969" s="1">
        <v>2025.0</v>
      </c>
      <c r="B969" s="1" t="s">
        <v>434</v>
      </c>
      <c r="C969" s="1">
        <v>690990.0</v>
      </c>
      <c r="D969" s="1" t="s">
        <v>533</v>
      </c>
      <c r="E969" s="1" t="s">
        <v>927</v>
      </c>
      <c r="F969" s="1" t="s">
        <v>927</v>
      </c>
      <c r="G969" s="1">
        <v>3.0</v>
      </c>
      <c r="H969" s="1">
        <v>0.198208287</v>
      </c>
      <c r="I969" s="1">
        <v>2.48</v>
      </c>
      <c r="J969" s="1">
        <v>0.21263</v>
      </c>
    </row>
    <row r="970">
      <c r="A970" s="1">
        <v>2025.0</v>
      </c>
      <c r="B970" s="1" t="s">
        <v>434</v>
      </c>
      <c r="C970" s="1">
        <v>690990.0</v>
      </c>
      <c r="D970" s="1" t="s">
        <v>539</v>
      </c>
      <c r="E970" s="1" t="s">
        <v>927</v>
      </c>
      <c r="F970" s="1" t="s">
        <v>927</v>
      </c>
      <c r="G970" s="1">
        <v>343.0</v>
      </c>
      <c r="H970" s="1">
        <v>22.66181411</v>
      </c>
      <c r="I970" s="1">
        <v>4.9</v>
      </c>
      <c r="J970" s="1">
        <v>8.17825</v>
      </c>
    </row>
    <row r="971">
      <c r="A971" s="1">
        <v>2025.0</v>
      </c>
      <c r="B971" s="1" t="s">
        <v>347</v>
      </c>
      <c r="C971" s="1">
        <v>700249.0</v>
      </c>
      <c r="D971" s="1" t="s">
        <v>532</v>
      </c>
      <c r="E971" s="1" t="s">
        <v>926</v>
      </c>
      <c r="F971" s="1" t="s">
        <v>926</v>
      </c>
      <c r="G971" s="1">
        <v>4.0</v>
      </c>
      <c r="H971" s="1">
        <v>0.227972265</v>
      </c>
      <c r="I971" s="1">
        <v>4.25</v>
      </c>
      <c r="J971" s="1">
        <v>0.134457</v>
      </c>
    </row>
    <row r="972">
      <c r="A972" s="1">
        <v>2025.0</v>
      </c>
      <c r="B972" s="1" t="s">
        <v>347</v>
      </c>
      <c r="C972" s="1">
        <v>700249.0</v>
      </c>
      <c r="D972" s="1" t="s">
        <v>541</v>
      </c>
      <c r="E972" s="1" t="s">
        <v>926</v>
      </c>
      <c r="F972" s="1" t="s">
        <v>926</v>
      </c>
      <c r="G972" s="1">
        <v>37.0</v>
      </c>
      <c r="H972" s="1">
        <v>2.108743447</v>
      </c>
      <c r="I972" s="1">
        <v>4.45</v>
      </c>
      <c r="J972" s="1">
        <v>1.167936</v>
      </c>
    </row>
    <row r="973">
      <c r="A973" s="1">
        <v>2025.0</v>
      </c>
      <c r="B973" s="1" t="s">
        <v>347</v>
      </c>
      <c r="C973" s="1">
        <v>700249.0</v>
      </c>
      <c r="D973" s="1" t="s">
        <v>540</v>
      </c>
      <c r="E973" s="1" t="s">
        <v>926</v>
      </c>
      <c r="F973" s="1" t="s">
        <v>926</v>
      </c>
      <c r="G973" s="1">
        <v>10.0</v>
      </c>
      <c r="H973" s="1">
        <v>0.569930661</v>
      </c>
      <c r="I973" s="1">
        <v>4.62</v>
      </c>
      <c r="J973" s="1">
        <v>0.282732</v>
      </c>
    </row>
    <row r="974">
      <c r="A974" s="1">
        <v>2025.0</v>
      </c>
      <c r="B974" s="1" t="s">
        <v>347</v>
      </c>
      <c r="C974" s="1">
        <v>700249.0</v>
      </c>
      <c r="D974" s="1" t="s">
        <v>537</v>
      </c>
      <c r="E974" s="1" t="s">
        <v>926</v>
      </c>
      <c r="F974" s="1" t="s">
        <v>926</v>
      </c>
      <c r="G974" s="1">
        <v>123.0</v>
      </c>
      <c r="H974" s="1">
        <v>7.010147133</v>
      </c>
      <c r="I974" s="1">
        <v>5.25</v>
      </c>
      <c r="J974" s="1">
        <v>2.081096</v>
      </c>
    </row>
    <row r="975">
      <c r="A975" s="1">
        <v>2025.0</v>
      </c>
      <c r="B975" s="1" t="s">
        <v>347</v>
      </c>
      <c r="C975" s="1">
        <v>700249.0</v>
      </c>
      <c r="D975" s="1" t="s">
        <v>536</v>
      </c>
      <c r="E975" s="1" t="s">
        <v>926</v>
      </c>
      <c r="F975" s="1" t="s">
        <v>926</v>
      </c>
      <c r="G975" s="1">
        <v>157.0</v>
      </c>
      <c r="H975" s="1">
        <v>8.947911382</v>
      </c>
      <c r="I975" s="1">
        <v>5.35</v>
      </c>
      <c r="J975" s="1">
        <v>2.234886</v>
      </c>
    </row>
    <row r="976">
      <c r="A976" s="1">
        <v>2025.0</v>
      </c>
      <c r="B976" s="1" t="s">
        <v>347</v>
      </c>
      <c r="C976" s="1">
        <v>700249.0</v>
      </c>
      <c r="D976" s="1" t="s">
        <v>533</v>
      </c>
      <c r="E976" s="1" t="s">
        <v>926</v>
      </c>
      <c r="F976" s="1" t="s">
        <v>926</v>
      </c>
      <c r="G976" s="1">
        <v>2.0</v>
      </c>
      <c r="H976" s="1">
        <v>0.113986132</v>
      </c>
      <c r="I976" s="1">
        <v>5.04</v>
      </c>
      <c r="J976" s="1">
        <v>0.044857</v>
      </c>
    </row>
    <row r="977">
      <c r="A977" s="1">
        <v>2025.0</v>
      </c>
      <c r="B977" s="1" t="s">
        <v>347</v>
      </c>
      <c r="C977" s="1">
        <v>700249.0</v>
      </c>
      <c r="D977" s="1" t="s">
        <v>539</v>
      </c>
      <c r="E977" s="1" t="s">
        <v>926</v>
      </c>
      <c r="F977" s="1" t="s">
        <v>926</v>
      </c>
      <c r="G977" s="1">
        <v>131.0</v>
      </c>
      <c r="H977" s="1">
        <v>7.466091662</v>
      </c>
      <c r="I977" s="1">
        <v>5.22</v>
      </c>
      <c r="J977" s="1">
        <v>2.202888</v>
      </c>
    </row>
    <row r="978">
      <c r="A978" s="1">
        <v>2025.0</v>
      </c>
      <c r="B978" s="1" t="s">
        <v>347</v>
      </c>
      <c r="C978" s="1">
        <v>700249.0</v>
      </c>
      <c r="D978" s="1" t="s">
        <v>532</v>
      </c>
      <c r="E978" s="1" t="s">
        <v>926</v>
      </c>
      <c r="F978" s="1" t="s">
        <v>927</v>
      </c>
      <c r="G978" s="1">
        <v>303.0</v>
      </c>
      <c r="H978" s="1">
        <v>17.26889904</v>
      </c>
      <c r="I978" s="1">
        <v>4.48</v>
      </c>
      <c r="J978" s="1">
        <v>9.739538</v>
      </c>
    </row>
    <row r="979">
      <c r="A979" s="1">
        <v>2025.0</v>
      </c>
      <c r="B979" s="1" t="s">
        <v>347</v>
      </c>
      <c r="C979" s="1">
        <v>700249.0</v>
      </c>
      <c r="D979" s="1" t="s">
        <v>541</v>
      </c>
      <c r="E979" s="1" t="s">
        <v>926</v>
      </c>
      <c r="F979" s="1" t="s">
        <v>927</v>
      </c>
      <c r="G979" s="1">
        <v>393.0</v>
      </c>
      <c r="H979" s="1">
        <v>22.39827499</v>
      </c>
      <c r="I979" s="1">
        <v>5.32</v>
      </c>
      <c r="J979" s="1">
        <v>5.856877</v>
      </c>
    </row>
    <row r="980">
      <c r="A980" s="1">
        <v>2025.0</v>
      </c>
      <c r="B980" s="1" t="s">
        <v>347</v>
      </c>
      <c r="C980" s="1">
        <v>700249.0</v>
      </c>
      <c r="D980" s="1" t="s">
        <v>540</v>
      </c>
      <c r="E980" s="1" t="s">
        <v>926</v>
      </c>
      <c r="F980" s="1" t="s">
        <v>927</v>
      </c>
      <c r="G980" s="1">
        <v>43.0</v>
      </c>
      <c r="H980" s="1">
        <v>2.450701843</v>
      </c>
      <c r="I980" s="1">
        <v>4.32</v>
      </c>
      <c r="J980" s="1">
        <v>1.513514</v>
      </c>
    </row>
    <row r="981">
      <c r="A981" s="1">
        <v>2025.0</v>
      </c>
      <c r="B981" s="1" t="s">
        <v>347</v>
      </c>
      <c r="C981" s="1">
        <v>700249.0</v>
      </c>
      <c r="D981" s="1" t="s">
        <v>537</v>
      </c>
      <c r="E981" s="1" t="s">
        <v>926</v>
      </c>
      <c r="F981" s="1" t="s">
        <v>927</v>
      </c>
      <c r="G981" s="1">
        <v>590.0</v>
      </c>
      <c r="H981" s="1">
        <v>33.62590901</v>
      </c>
      <c r="I981" s="1">
        <v>5.05</v>
      </c>
      <c r="J981" s="1">
        <v>12.684981</v>
      </c>
    </row>
    <row r="982">
      <c r="A982" s="1">
        <v>2025.0</v>
      </c>
      <c r="B982" s="1" t="s">
        <v>347</v>
      </c>
      <c r="C982" s="1">
        <v>700249.0</v>
      </c>
      <c r="D982" s="1" t="s">
        <v>536</v>
      </c>
      <c r="E982" s="1" t="s">
        <v>926</v>
      </c>
      <c r="F982" s="1" t="s">
        <v>927</v>
      </c>
      <c r="G982" s="1">
        <v>85.0</v>
      </c>
      <c r="H982" s="1">
        <v>4.844410621</v>
      </c>
      <c r="I982" s="1">
        <v>4.47</v>
      </c>
      <c r="J982" s="1">
        <v>2.809119</v>
      </c>
    </row>
    <row r="983">
      <c r="A983" s="1">
        <v>2025.0</v>
      </c>
      <c r="B983" s="1" t="s">
        <v>347</v>
      </c>
      <c r="C983" s="1">
        <v>700249.0</v>
      </c>
      <c r="D983" s="1" t="s">
        <v>539</v>
      </c>
      <c r="E983" s="1" t="s">
        <v>926</v>
      </c>
      <c r="F983" s="1" t="s">
        <v>927</v>
      </c>
      <c r="G983" s="1">
        <v>93.0</v>
      </c>
      <c r="H983" s="1">
        <v>5.30035515</v>
      </c>
      <c r="I983" s="1">
        <v>4.81</v>
      </c>
      <c r="J983" s="1">
        <v>2.295404</v>
      </c>
    </row>
    <row r="984">
      <c r="A984" s="1">
        <v>2025.0</v>
      </c>
      <c r="B984" s="1" t="s">
        <v>135</v>
      </c>
      <c r="C984" s="1">
        <v>671922.0</v>
      </c>
      <c r="D984" s="1" t="s">
        <v>537</v>
      </c>
      <c r="E984" s="1" t="s">
        <v>927</v>
      </c>
      <c r="F984" s="1" t="s">
        <v>926</v>
      </c>
      <c r="G984" s="1">
        <v>384.0</v>
      </c>
      <c r="H984" s="1">
        <v>23.9323181</v>
      </c>
      <c r="I984" s="1">
        <v>5.19</v>
      </c>
      <c r="J984" s="1">
        <v>7.106068</v>
      </c>
    </row>
    <row r="985">
      <c r="A985" s="1">
        <v>2025.0</v>
      </c>
      <c r="B985" s="1" t="s">
        <v>135</v>
      </c>
      <c r="C985" s="1">
        <v>671922.0</v>
      </c>
      <c r="D985" s="1" t="s">
        <v>538</v>
      </c>
      <c r="E985" s="1" t="s">
        <v>927</v>
      </c>
      <c r="F985" s="1" t="s">
        <v>926</v>
      </c>
      <c r="G985" s="1">
        <v>170.0</v>
      </c>
      <c r="H985" s="1">
        <v>10.59503666</v>
      </c>
      <c r="I985" s="1">
        <v>5.12</v>
      </c>
      <c r="J985" s="1">
        <v>3.24198</v>
      </c>
    </row>
    <row r="986">
      <c r="A986" s="1">
        <v>2025.0</v>
      </c>
      <c r="B986" s="1" t="s">
        <v>135</v>
      </c>
      <c r="C986" s="1">
        <v>671922.0</v>
      </c>
      <c r="D986" s="1" t="s">
        <v>539</v>
      </c>
      <c r="E986" s="1" t="s">
        <v>927</v>
      </c>
      <c r="F986" s="1" t="s">
        <v>926</v>
      </c>
      <c r="G986" s="1">
        <v>10.0</v>
      </c>
      <c r="H986" s="1">
        <v>0.623237451</v>
      </c>
      <c r="I986" s="1">
        <v>5.93</v>
      </c>
      <c r="J986" s="1">
        <v>0.031599</v>
      </c>
    </row>
    <row r="987">
      <c r="A987" s="1">
        <v>2025.0</v>
      </c>
      <c r="B987" s="1" t="s">
        <v>135</v>
      </c>
      <c r="C987" s="1">
        <v>671922.0</v>
      </c>
      <c r="D987" s="1" t="s">
        <v>537</v>
      </c>
      <c r="E987" s="1" t="s">
        <v>927</v>
      </c>
      <c r="F987" s="1" t="s">
        <v>927</v>
      </c>
      <c r="G987" s="1">
        <v>442.0</v>
      </c>
      <c r="H987" s="1">
        <v>27.54709532</v>
      </c>
      <c r="I987" s="1">
        <v>5.15</v>
      </c>
      <c r="J987" s="1">
        <v>8.662378</v>
      </c>
    </row>
    <row r="988">
      <c r="A988" s="1">
        <v>2025.0</v>
      </c>
      <c r="B988" s="1" t="s">
        <v>135</v>
      </c>
      <c r="C988" s="1">
        <v>671922.0</v>
      </c>
      <c r="D988" s="1" t="s">
        <v>538</v>
      </c>
      <c r="E988" s="1" t="s">
        <v>927</v>
      </c>
      <c r="F988" s="1" t="s">
        <v>927</v>
      </c>
      <c r="G988" s="1">
        <v>81.0</v>
      </c>
      <c r="H988" s="1">
        <v>5.04822335</v>
      </c>
      <c r="I988" s="1">
        <v>5.21</v>
      </c>
      <c r="J988" s="1">
        <v>1.344619</v>
      </c>
    </row>
    <row r="989">
      <c r="A989" s="1">
        <v>2025.0</v>
      </c>
      <c r="B989" s="1" t="s">
        <v>135</v>
      </c>
      <c r="C989" s="1">
        <v>671922.0</v>
      </c>
      <c r="D989" s="1" t="s">
        <v>539</v>
      </c>
      <c r="E989" s="1" t="s">
        <v>927</v>
      </c>
      <c r="F989" s="1" t="s">
        <v>927</v>
      </c>
      <c r="G989" s="1">
        <v>95.0</v>
      </c>
      <c r="H989" s="1">
        <v>5.920755781</v>
      </c>
      <c r="I989" s="1">
        <v>4.98</v>
      </c>
      <c r="J989" s="1">
        <v>2.116266</v>
      </c>
    </row>
    <row r="990">
      <c r="A990" s="1">
        <v>2025.0</v>
      </c>
      <c r="B990" s="1" t="s">
        <v>510</v>
      </c>
      <c r="C990" s="1">
        <v>702674.0</v>
      </c>
      <c r="D990" s="1" t="s">
        <v>532</v>
      </c>
      <c r="E990" s="1" t="s">
        <v>927</v>
      </c>
      <c r="F990" s="1" t="s">
        <v>926</v>
      </c>
      <c r="G990" s="1">
        <v>85.0</v>
      </c>
      <c r="H990" s="1">
        <v>4.890272835</v>
      </c>
      <c r="I990" s="1">
        <v>4.57</v>
      </c>
      <c r="J990" s="1">
        <v>2.547076</v>
      </c>
    </row>
    <row r="991">
      <c r="A991" s="1">
        <v>2025.0</v>
      </c>
      <c r="B991" s="1" t="s">
        <v>510</v>
      </c>
      <c r="C991" s="1">
        <v>702674.0</v>
      </c>
      <c r="D991" s="1" t="s">
        <v>541</v>
      </c>
      <c r="E991" s="1" t="s">
        <v>927</v>
      </c>
      <c r="F991" s="1" t="s">
        <v>926</v>
      </c>
      <c r="G991" s="1">
        <v>25.0</v>
      </c>
      <c r="H991" s="1">
        <v>1.43831554</v>
      </c>
      <c r="I991" s="1">
        <v>4.97</v>
      </c>
      <c r="J991" s="1">
        <v>0.573106</v>
      </c>
    </row>
    <row r="992">
      <c r="A992" s="1">
        <v>2025.0</v>
      </c>
      <c r="B992" s="1" t="s">
        <v>510</v>
      </c>
      <c r="C992" s="1">
        <v>702674.0</v>
      </c>
      <c r="D992" s="1" t="s">
        <v>537</v>
      </c>
      <c r="E992" s="1" t="s">
        <v>927</v>
      </c>
      <c r="F992" s="1" t="s">
        <v>926</v>
      </c>
      <c r="G992" s="1">
        <v>132.0</v>
      </c>
      <c r="H992" s="1">
        <v>7.59430605</v>
      </c>
      <c r="I992" s="1">
        <v>4.6</v>
      </c>
      <c r="J992" s="1">
        <v>3.991023</v>
      </c>
    </row>
    <row r="993">
      <c r="A993" s="1">
        <v>2025.0</v>
      </c>
      <c r="B993" s="1" t="s">
        <v>510</v>
      </c>
      <c r="C993" s="1">
        <v>702674.0</v>
      </c>
      <c r="D993" s="1" t="s">
        <v>533</v>
      </c>
      <c r="E993" s="1" t="s">
        <v>927</v>
      </c>
      <c r="F993" s="1" t="s">
        <v>926</v>
      </c>
      <c r="G993" s="1">
        <v>44.0</v>
      </c>
      <c r="H993" s="1">
        <v>2.53143535</v>
      </c>
      <c r="I993" s="1">
        <v>5.23</v>
      </c>
      <c r="J993" s="1">
        <v>0.738372</v>
      </c>
    </row>
    <row r="994">
      <c r="A994" s="1">
        <v>2025.0</v>
      </c>
      <c r="B994" s="1" t="s">
        <v>510</v>
      </c>
      <c r="C994" s="1">
        <v>702674.0</v>
      </c>
      <c r="D994" s="1" t="s">
        <v>532</v>
      </c>
      <c r="E994" s="1" t="s">
        <v>927</v>
      </c>
      <c r="F994" s="1" t="s">
        <v>927</v>
      </c>
      <c r="G994" s="1">
        <v>24.0</v>
      </c>
      <c r="H994" s="1">
        <v>1.380782918</v>
      </c>
      <c r="I994" s="1">
        <v>5.35</v>
      </c>
      <c r="J994" s="1">
        <v>0.328224</v>
      </c>
    </row>
    <row r="995">
      <c r="A995" s="1">
        <v>2025.0</v>
      </c>
      <c r="B995" s="1" t="s">
        <v>510</v>
      </c>
      <c r="C995" s="1">
        <v>702674.0</v>
      </c>
      <c r="D995" s="1" t="s">
        <v>541</v>
      </c>
      <c r="E995" s="1" t="s">
        <v>927</v>
      </c>
      <c r="F995" s="1" t="s">
        <v>927</v>
      </c>
      <c r="G995" s="1">
        <v>20.0</v>
      </c>
      <c r="H995" s="1">
        <v>1.150652432</v>
      </c>
      <c r="I995" s="1">
        <v>3.86</v>
      </c>
      <c r="J995" s="1">
        <v>0.89116</v>
      </c>
    </row>
    <row r="996">
      <c r="A996" s="1">
        <v>2025.0</v>
      </c>
      <c r="B996" s="1" t="s">
        <v>510</v>
      </c>
      <c r="C996" s="1">
        <v>702674.0</v>
      </c>
      <c r="D996" s="1" t="s">
        <v>537</v>
      </c>
      <c r="E996" s="1" t="s">
        <v>927</v>
      </c>
      <c r="F996" s="1" t="s">
        <v>927</v>
      </c>
      <c r="G996" s="1">
        <v>121.0</v>
      </c>
      <c r="H996" s="1">
        <v>6.961447212</v>
      </c>
      <c r="I996" s="1">
        <v>4.48</v>
      </c>
      <c r="J996" s="1">
        <v>3.969629</v>
      </c>
    </row>
    <row r="997">
      <c r="A997" s="1">
        <v>2025.0</v>
      </c>
      <c r="B997" s="1" t="s">
        <v>510</v>
      </c>
      <c r="C997" s="1">
        <v>702674.0</v>
      </c>
      <c r="D997" s="1" t="s">
        <v>533</v>
      </c>
      <c r="E997" s="1" t="s">
        <v>927</v>
      </c>
      <c r="F997" s="1" t="s">
        <v>927</v>
      </c>
      <c r="G997" s="1">
        <v>111.0</v>
      </c>
      <c r="H997" s="1">
        <v>6.386120996</v>
      </c>
      <c r="I997" s="1">
        <v>5.06</v>
      </c>
      <c r="J997" s="1">
        <v>2.304279</v>
      </c>
    </row>
    <row r="998">
      <c r="A998" s="1">
        <v>2025.0</v>
      </c>
      <c r="B998" s="1" t="s">
        <v>464</v>
      </c>
      <c r="C998" s="1">
        <v>615698.0</v>
      </c>
      <c r="D998" s="1" t="s">
        <v>532</v>
      </c>
      <c r="E998" s="1" t="s">
        <v>927</v>
      </c>
      <c r="F998" s="1" t="s">
        <v>926</v>
      </c>
      <c r="G998" s="1">
        <v>2.0</v>
      </c>
      <c r="H998" s="1">
        <v>0.117490431</v>
      </c>
      <c r="I998" s="1">
        <v>3.62</v>
      </c>
      <c r="J998" s="1">
        <v>0.097103</v>
      </c>
    </row>
    <row r="999">
      <c r="A999" s="1">
        <v>2025.0</v>
      </c>
      <c r="B999" s="1" t="s">
        <v>464</v>
      </c>
      <c r="C999" s="1">
        <v>615698.0</v>
      </c>
      <c r="D999" s="1" t="s">
        <v>541</v>
      </c>
      <c r="E999" s="1" t="s">
        <v>927</v>
      </c>
      <c r="F999" s="1" t="s">
        <v>926</v>
      </c>
      <c r="G999" s="1">
        <v>102.0</v>
      </c>
      <c r="H999" s="1">
        <v>5.992011982</v>
      </c>
      <c r="I999" s="1">
        <v>4.9</v>
      </c>
      <c r="J999" s="1">
        <v>2.446192</v>
      </c>
    </row>
    <row r="1000">
      <c r="A1000" s="1">
        <v>2025.0</v>
      </c>
      <c r="B1000" s="1" t="s">
        <v>464</v>
      </c>
      <c r="C1000" s="1">
        <v>615698.0</v>
      </c>
      <c r="D1000" s="1" t="s">
        <v>540</v>
      </c>
      <c r="E1000" s="1" t="s">
        <v>927</v>
      </c>
      <c r="F1000" s="1" t="s">
        <v>926</v>
      </c>
      <c r="G1000" s="1">
        <v>279.0</v>
      </c>
      <c r="H1000" s="1">
        <v>16.38991513</v>
      </c>
      <c r="I1000" s="1">
        <v>5.16</v>
      </c>
      <c r="J1000" s="1">
        <v>5.373498</v>
      </c>
    </row>
    <row r="1001">
      <c r="A1001" s="1">
        <v>2025.0</v>
      </c>
      <c r="B1001" s="1" t="s">
        <v>464</v>
      </c>
      <c r="C1001" s="1">
        <v>615698.0</v>
      </c>
      <c r="D1001" s="1" t="s">
        <v>537</v>
      </c>
      <c r="E1001" s="1" t="s">
        <v>927</v>
      </c>
      <c r="F1001" s="1" t="s">
        <v>926</v>
      </c>
      <c r="G1001" s="1">
        <v>190.0</v>
      </c>
      <c r="H1001" s="1">
        <v>11.16159095</v>
      </c>
      <c r="I1001" s="1">
        <v>4.46</v>
      </c>
      <c r="J1001" s="1">
        <v>6.39282</v>
      </c>
    </row>
    <row r="1002">
      <c r="A1002" s="1">
        <v>2025.0</v>
      </c>
      <c r="B1002" s="1" t="s">
        <v>464</v>
      </c>
      <c r="C1002" s="1">
        <v>615698.0</v>
      </c>
      <c r="D1002" s="1" t="s">
        <v>538</v>
      </c>
      <c r="E1002" s="1" t="s">
        <v>927</v>
      </c>
      <c r="F1002" s="1" t="s">
        <v>926</v>
      </c>
      <c r="G1002" s="1">
        <v>263.0</v>
      </c>
      <c r="H1002" s="1">
        <v>15.44999168</v>
      </c>
      <c r="I1002" s="1">
        <v>4.7</v>
      </c>
      <c r="J1002" s="1">
        <v>7.182179</v>
      </c>
    </row>
    <row r="1003">
      <c r="A1003" s="1">
        <v>2025.0</v>
      </c>
      <c r="B1003" s="1" t="s">
        <v>464</v>
      </c>
      <c r="C1003" s="1">
        <v>615698.0</v>
      </c>
      <c r="D1003" s="1" t="s">
        <v>536</v>
      </c>
      <c r="E1003" s="1" t="s">
        <v>927</v>
      </c>
      <c r="F1003" s="1" t="s">
        <v>926</v>
      </c>
      <c r="G1003" s="1">
        <v>121.0</v>
      </c>
      <c r="H1003" s="1">
        <v>7.108171077</v>
      </c>
      <c r="I1003" s="1">
        <v>4.92</v>
      </c>
      <c r="J1003" s="1">
        <v>2.998501</v>
      </c>
    </row>
    <row r="1004">
      <c r="A1004" s="1">
        <v>2025.0</v>
      </c>
      <c r="B1004" s="1" t="s">
        <v>464</v>
      </c>
      <c r="C1004" s="1">
        <v>615698.0</v>
      </c>
      <c r="D1004" s="1" t="s">
        <v>533</v>
      </c>
      <c r="E1004" s="1" t="s">
        <v>927</v>
      </c>
      <c r="F1004" s="1" t="s">
        <v>926</v>
      </c>
      <c r="G1004" s="1">
        <v>7.0</v>
      </c>
      <c r="H1004" s="1">
        <v>0.411216509</v>
      </c>
      <c r="I1004" s="1">
        <v>4.64</v>
      </c>
      <c r="J1004" s="1">
        <v>0.180389</v>
      </c>
    </row>
    <row r="1005">
      <c r="A1005" s="1">
        <v>2025.0</v>
      </c>
      <c r="B1005" s="1" t="s">
        <v>464</v>
      </c>
      <c r="C1005" s="1">
        <v>615698.0</v>
      </c>
      <c r="D1005" s="1" t="s">
        <v>532</v>
      </c>
      <c r="E1005" s="1" t="s">
        <v>927</v>
      </c>
      <c r="F1005" s="1" t="s">
        <v>927</v>
      </c>
      <c r="G1005" s="1">
        <v>3.0</v>
      </c>
      <c r="H1005" s="1">
        <v>0.176235647</v>
      </c>
      <c r="I1005" s="1">
        <v>3.83</v>
      </c>
      <c r="J1005" s="1">
        <v>0.13332</v>
      </c>
    </row>
    <row r="1006">
      <c r="A1006" s="1">
        <v>2025.0</v>
      </c>
      <c r="B1006" s="1" t="s">
        <v>464</v>
      </c>
      <c r="C1006" s="1">
        <v>615698.0</v>
      </c>
      <c r="D1006" s="1" t="s">
        <v>541</v>
      </c>
      <c r="E1006" s="1" t="s">
        <v>927</v>
      </c>
      <c r="F1006" s="1" t="s">
        <v>927</v>
      </c>
      <c r="G1006" s="1">
        <v>134.0</v>
      </c>
      <c r="H1006" s="1">
        <v>7.871858878</v>
      </c>
      <c r="I1006" s="1">
        <v>4.69</v>
      </c>
      <c r="J1006" s="1">
        <v>3.805346</v>
      </c>
    </row>
    <row r="1007">
      <c r="A1007" s="1">
        <v>2025.0</v>
      </c>
      <c r="B1007" s="1" t="s">
        <v>464</v>
      </c>
      <c r="C1007" s="1">
        <v>615698.0</v>
      </c>
      <c r="D1007" s="1" t="s">
        <v>540</v>
      </c>
      <c r="E1007" s="1" t="s">
        <v>927</v>
      </c>
      <c r="F1007" s="1" t="s">
        <v>927</v>
      </c>
      <c r="G1007" s="1">
        <v>156.0</v>
      </c>
      <c r="H1007" s="1">
        <v>9.16425362</v>
      </c>
      <c r="I1007" s="1">
        <v>5.2</v>
      </c>
      <c r="J1007" s="1">
        <v>2.90773</v>
      </c>
    </row>
    <row r="1008">
      <c r="A1008" s="1">
        <v>2025.0</v>
      </c>
      <c r="B1008" s="1" t="s">
        <v>464</v>
      </c>
      <c r="C1008" s="1">
        <v>615698.0</v>
      </c>
      <c r="D1008" s="1" t="s">
        <v>537</v>
      </c>
      <c r="E1008" s="1" t="s">
        <v>927</v>
      </c>
      <c r="F1008" s="1" t="s">
        <v>927</v>
      </c>
      <c r="G1008" s="1">
        <v>219.0</v>
      </c>
      <c r="H1008" s="1">
        <v>12.8652022</v>
      </c>
      <c r="I1008" s="1">
        <v>4.56</v>
      </c>
      <c r="J1008" s="1">
        <v>6.931634</v>
      </c>
    </row>
    <row r="1009">
      <c r="A1009" s="1">
        <v>2025.0</v>
      </c>
      <c r="B1009" s="1" t="s">
        <v>464</v>
      </c>
      <c r="C1009" s="1">
        <v>615698.0</v>
      </c>
      <c r="D1009" s="1" t="s">
        <v>538</v>
      </c>
      <c r="E1009" s="1" t="s">
        <v>927</v>
      </c>
      <c r="F1009" s="1" t="s">
        <v>927</v>
      </c>
      <c r="G1009" s="1">
        <v>157.0</v>
      </c>
      <c r="H1009" s="1">
        <v>9.222998835</v>
      </c>
      <c r="I1009" s="1">
        <v>4.81</v>
      </c>
      <c r="J1009" s="1">
        <v>4.035855</v>
      </c>
    </row>
    <row r="1010">
      <c r="A1010" s="1">
        <v>2025.0</v>
      </c>
      <c r="B1010" s="1" t="s">
        <v>464</v>
      </c>
      <c r="C1010" s="1">
        <v>615698.0</v>
      </c>
      <c r="D1010" s="1" t="s">
        <v>536</v>
      </c>
      <c r="E1010" s="1" t="s">
        <v>927</v>
      </c>
      <c r="F1010" s="1" t="s">
        <v>927</v>
      </c>
      <c r="G1010" s="1">
        <v>212.0</v>
      </c>
      <c r="H1010" s="1">
        <v>12.45398569</v>
      </c>
      <c r="I1010" s="1">
        <v>4.98</v>
      </c>
      <c r="J1010" s="1">
        <v>4.846036</v>
      </c>
    </row>
    <row r="1011">
      <c r="A1011" s="1">
        <v>2025.0</v>
      </c>
      <c r="B1011" s="1" t="s">
        <v>464</v>
      </c>
      <c r="C1011" s="1">
        <v>615698.0</v>
      </c>
      <c r="D1011" s="1" t="s">
        <v>533</v>
      </c>
      <c r="E1011" s="1" t="s">
        <v>927</v>
      </c>
      <c r="F1011" s="1" t="s">
        <v>927</v>
      </c>
      <c r="G1011" s="1">
        <v>158.0</v>
      </c>
      <c r="H1011" s="1">
        <v>9.281744051</v>
      </c>
      <c r="I1011" s="1">
        <v>5.08</v>
      </c>
      <c r="J1011" s="1">
        <v>3.21839</v>
      </c>
    </row>
    <row r="1012">
      <c r="A1012" s="1">
        <v>2025.0</v>
      </c>
      <c r="B1012" s="1" t="s">
        <v>349</v>
      </c>
      <c r="C1012" s="1">
        <v>676961.0</v>
      </c>
      <c r="D1012" s="1" t="s">
        <v>532</v>
      </c>
      <c r="E1012" s="1" t="s">
        <v>927</v>
      </c>
      <c r="F1012" s="1" t="s">
        <v>926</v>
      </c>
      <c r="G1012" s="1">
        <v>92.0</v>
      </c>
      <c r="H1012" s="1">
        <v>5.372866128</v>
      </c>
      <c r="I1012" s="1">
        <v>4.81</v>
      </c>
      <c r="J1012" s="1">
        <v>2.331162</v>
      </c>
    </row>
    <row r="1013">
      <c r="A1013" s="1">
        <v>2025.0</v>
      </c>
      <c r="B1013" s="1" t="s">
        <v>349</v>
      </c>
      <c r="C1013" s="1">
        <v>676961.0</v>
      </c>
      <c r="D1013" s="1" t="s">
        <v>541</v>
      </c>
      <c r="E1013" s="1" t="s">
        <v>927</v>
      </c>
      <c r="F1013" s="1" t="s">
        <v>926</v>
      </c>
      <c r="G1013" s="1">
        <v>47.0</v>
      </c>
      <c r="H1013" s="1">
        <v>2.744833783</v>
      </c>
      <c r="I1013" s="1">
        <v>4.94</v>
      </c>
      <c r="J1013" s="1">
        <v>1.089778</v>
      </c>
    </row>
    <row r="1014">
      <c r="A1014" s="1">
        <v>2025.0</v>
      </c>
      <c r="B1014" s="1" t="s">
        <v>349</v>
      </c>
      <c r="C1014" s="1">
        <v>676961.0</v>
      </c>
      <c r="D1014" s="1" t="s">
        <v>540</v>
      </c>
      <c r="E1014" s="1" t="s">
        <v>927</v>
      </c>
      <c r="F1014" s="1" t="s">
        <v>926</v>
      </c>
      <c r="G1014" s="1">
        <v>84.0</v>
      </c>
      <c r="H1014" s="1">
        <v>4.905660377</v>
      </c>
      <c r="I1014" s="1">
        <v>5.01</v>
      </c>
      <c r="J1014" s="1">
        <v>1.793367</v>
      </c>
    </row>
    <row r="1015">
      <c r="A1015" s="1">
        <v>2025.0</v>
      </c>
      <c r="B1015" s="1" t="s">
        <v>349</v>
      </c>
      <c r="C1015" s="1">
        <v>676961.0</v>
      </c>
      <c r="D1015" s="1" t="s">
        <v>537</v>
      </c>
      <c r="E1015" s="1" t="s">
        <v>927</v>
      </c>
      <c r="F1015" s="1" t="s">
        <v>926</v>
      </c>
      <c r="G1015" s="1">
        <v>92.0</v>
      </c>
      <c r="H1015" s="1">
        <v>5.372866128</v>
      </c>
      <c r="I1015" s="1">
        <v>4.79</v>
      </c>
      <c r="J1015" s="1">
        <v>2.528392</v>
      </c>
    </row>
    <row r="1016">
      <c r="A1016" s="1">
        <v>2025.0</v>
      </c>
      <c r="B1016" s="1" t="s">
        <v>349</v>
      </c>
      <c r="C1016" s="1">
        <v>676961.0</v>
      </c>
      <c r="D1016" s="1" t="s">
        <v>536</v>
      </c>
      <c r="E1016" s="1" t="s">
        <v>927</v>
      </c>
      <c r="F1016" s="1" t="s">
        <v>926</v>
      </c>
      <c r="G1016" s="1">
        <v>41.0</v>
      </c>
      <c r="H1016" s="1">
        <v>2.39442947</v>
      </c>
      <c r="I1016" s="1">
        <v>4.81</v>
      </c>
      <c r="J1016" s="1">
        <v>1.028039</v>
      </c>
    </row>
    <row r="1017">
      <c r="A1017" s="1">
        <v>2025.0</v>
      </c>
      <c r="B1017" s="1" t="s">
        <v>349</v>
      </c>
      <c r="C1017" s="1">
        <v>676961.0</v>
      </c>
      <c r="D1017" s="1" t="s">
        <v>533</v>
      </c>
      <c r="E1017" s="1" t="s">
        <v>927</v>
      </c>
      <c r="F1017" s="1" t="s">
        <v>926</v>
      </c>
      <c r="G1017" s="1">
        <v>3.0</v>
      </c>
      <c r="H1017" s="1">
        <v>0.175202156</v>
      </c>
      <c r="I1017" s="1">
        <v>5.62</v>
      </c>
      <c r="J1017" s="1">
        <v>0.027325</v>
      </c>
    </row>
    <row r="1018">
      <c r="A1018" s="1">
        <v>2025.0</v>
      </c>
      <c r="B1018" s="1" t="s">
        <v>349</v>
      </c>
      <c r="C1018" s="1">
        <v>676961.0</v>
      </c>
      <c r="D1018" s="1" t="s">
        <v>532</v>
      </c>
      <c r="E1018" s="1" t="s">
        <v>927</v>
      </c>
      <c r="F1018" s="1" t="s">
        <v>927</v>
      </c>
      <c r="G1018" s="1">
        <v>6.0</v>
      </c>
      <c r="H1018" s="1">
        <v>0.350404313</v>
      </c>
      <c r="I1018" s="1">
        <v>4.76</v>
      </c>
      <c r="J1018" s="1">
        <v>0.155298</v>
      </c>
    </row>
    <row r="1019">
      <c r="A1019" s="1">
        <v>2025.0</v>
      </c>
      <c r="B1019" s="1" t="s">
        <v>349</v>
      </c>
      <c r="C1019" s="1">
        <v>676961.0</v>
      </c>
      <c r="D1019" s="1" t="s">
        <v>541</v>
      </c>
      <c r="E1019" s="1" t="s">
        <v>927</v>
      </c>
      <c r="F1019" s="1" t="s">
        <v>927</v>
      </c>
      <c r="G1019" s="1">
        <v>7.0</v>
      </c>
      <c r="H1019" s="1">
        <v>0.408805031</v>
      </c>
      <c r="I1019" s="1">
        <v>3.85</v>
      </c>
      <c r="J1019" s="1">
        <v>0.321211</v>
      </c>
    </row>
    <row r="1020">
      <c r="A1020" s="1">
        <v>2025.0</v>
      </c>
      <c r="B1020" s="1" t="s">
        <v>349</v>
      </c>
      <c r="C1020" s="1">
        <v>676961.0</v>
      </c>
      <c r="D1020" s="1" t="s">
        <v>540</v>
      </c>
      <c r="E1020" s="1" t="s">
        <v>927</v>
      </c>
      <c r="F1020" s="1" t="s">
        <v>927</v>
      </c>
      <c r="G1020" s="1">
        <v>58.0</v>
      </c>
      <c r="H1020" s="1">
        <v>3.387241689</v>
      </c>
      <c r="I1020" s="1">
        <v>5.17</v>
      </c>
      <c r="J1020" s="1">
        <v>1.093074</v>
      </c>
    </row>
    <row r="1021">
      <c r="A1021" s="1">
        <v>2025.0</v>
      </c>
      <c r="B1021" s="1" t="s">
        <v>349</v>
      </c>
      <c r="C1021" s="1">
        <v>676961.0</v>
      </c>
      <c r="D1021" s="1" t="s">
        <v>537</v>
      </c>
      <c r="E1021" s="1" t="s">
        <v>927</v>
      </c>
      <c r="F1021" s="1" t="s">
        <v>927</v>
      </c>
      <c r="G1021" s="1">
        <v>53.0</v>
      </c>
      <c r="H1021" s="1">
        <v>3.095238095</v>
      </c>
      <c r="I1021" s="1">
        <v>5.57</v>
      </c>
      <c r="J1021" s="1">
        <v>0.558108</v>
      </c>
    </row>
    <row r="1022">
      <c r="A1022" s="1">
        <v>2025.0</v>
      </c>
      <c r="B1022" s="1" t="s">
        <v>349</v>
      </c>
      <c r="C1022" s="1">
        <v>676961.0</v>
      </c>
      <c r="D1022" s="1" t="s">
        <v>536</v>
      </c>
      <c r="E1022" s="1" t="s">
        <v>927</v>
      </c>
      <c r="F1022" s="1" t="s">
        <v>927</v>
      </c>
      <c r="G1022" s="1">
        <v>165.0</v>
      </c>
      <c r="H1022" s="1">
        <v>9.636118598</v>
      </c>
      <c r="I1022" s="1">
        <v>4.8</v>
      </c>
      <c r="J1022" s="1">
        <v>4.231729</v>
      </c>
    </row>
    <row r="1023">
      <c r="A1023" s="1">
        <v>2025.0</v>
      </c>
      <c r="B1023" s="1" t="s">
        <v>349</v>
      </c>
      <c r="C1023" s="1">
        <v>676961.0</v>
      </c>
      <c r="D1023" s="1" t="s">
        <v>533</v>
      </c>
      <c r="E1023" s="1" t="s">
        <v>927</v>
      </c>
      <c r="F1023" s="1" t="s">
        <v>927</v>
      </c>
      <c r="G1023" s="1">
        <v>63.0</v>
      </c>
      <c r="H1023" s="1">
        <v>3.679245283</v>
      </c>
      <c r="I1023" s="1">
        <v>5.37</v>
      </c>
      <c r="J1023" s="1">
        <v>0.911624</v>
      </c>
    </row>
    <row r="1024">
      <c r="A1024" s="1">
        <v>2025.0</v>
      </c>
      <c r="B1024" s="1" t="s">
        <v>349</v>
      </c>
      <c r="C1024" s="1">
        <v>676961.0</v>
      </c>
      <c r="D1024" s="1" t="s">
        <v>539</v>
      </c>
      <c r="E1024" s="1" t="s">
        <v>927</v>
      </c>
      <c r="F1024" s="1" t="s">
        <v>927</v>
      </c>
      <c r="G1024" s="1">
        <v>31.0</v>
      </c>
      <c r="H1024" s="1">
        <v>1.810422282</v>
      </c>
      <c r="I1024" s="1">
        <v>5.19</v>
      </c>
      <c r="J1024" s="1">
        <v>0.57221</v>
      </c>
    </row>
    <row r="1025">
      <c r="A1025" s="1">
        <v>2025.0</v>
      </c>
      <c r="B1025" s="1" t="s">
        <v>107</v>
      </c>
      <c r="C1025" s="1">
        <v>657571.0</v>
      </c>
      <c r="D1025" s="1" t="s">
        <v>541</v>
      </c>
      <c r="E1025" s="1" t="s">
        <v>926</v>
      </c>
      <c r="F1025" s="1" t="s">
        <v>926</v>
      </c>
      <c r="G1025" s="1">
        <v>34.0</v>
      </c>
      <c r="H1025" s="1">
        <v>2.131797825</v>
      </c>
      <c r="I1025" s="1">
        <v>5.47</v>
      </c>
      <c r="J1025" s="1">
        <v>0.417725</v>
      </c>
    </row>
    <row r="1026">
      <c r="A1026" s="1">
        <v>2025.0</v>
      </c>
      <c r="B1026" s="1" t="s">
        <v>107</v>
      </c>
      <c r="C1026" s="1">
        <v>657571.0</v>
      </c>
      <c r="D1026" s="1" t="s">
        <v>540</v>
      </c>
      <c r="E1026" s="1" t="s">
        <v>926</v>
      </c>
      <c r="F1026" s="1" t="s">
        <v>926</v>
      </c>
      <c r="G1026" s="1">
        <v>112.0</v>
      </c>
      <c r="H1026" s="1">
        <v>7.022392834</v>
      </c>
      <c r="I1026" s="1">
        <v>4.9</v>
      </c>
      <c r="J1026" s="1">
        <v>2.632213</v>
      </c>
    </row>
    <row r="1027">
      <c r="A1027" s="1">
        <v>2025.0</v>
      </c>
      <c r="B1027" s="1" t="s">
        <v>107</v>
      </c>
      <c r="C1027" s="1">
        <v>657571.0</v>
      </c>
      <c r="D1027" s="1" t="s">
        <v>537</v>
      </c>
      <c r="E1027" s="1" t="s">
        <v>926</v>
      </c>
      <c r="F1027" s="1" t="s">
        <v>926</v>
      </c>
      <c r="G1027" s="1">
        <v>101.0</v>
      </c>
      <c r="H1027" s="1">
        <v>6.332693538</v>
      </c>
      <c r="I1027" s="1">
        <v>4.94</v>
      </c>
      <c r="J1027" s="1">
        <v>2.2983</v>
      </c>
    </row>
    <row r="1028">
      <c r="A1028" s="1">
        <v>2025.0</v>
      </c>
      <c r="B1028" s="1" t="s">
        <v>107</v>
      </c>
      <c r="C1028" s="1">
        <v>657571.0</v>
      </c>
      <c r="D1028" s="1" t="s">
        <v>536</v>
      </c>
      <c r="E1028" s="1" t="s">
        <v>926</v>
      </c>
      <c r="F1028" s="1" t="s">
        <v>926</v>
      </c>
      <c r="G1028" s="1">
        <v>212.0</v>
      </c>
      <c r="H1028" s="1">
        <v>13.29238644</v>
      </c>
      <c r="I1028" s="1">
        <v>5.32</v>
      </c>
      <c r="J1028" s="1">
        <v>3.391087</v>
      </c>
    </row>
    <row r="1029">
      <c r="A1029" s="1">
        <v>2025.0</v>
      </c>
      <c r="B1029" s="1" t="s">
        <v>107</v>
      </c>
      <c r="C1029" s="1">
        <v>657571.0</v>
      </c>
      <c r="D1029" s="1" t="s">
        <v>541</v>
      </c>
      <c r="E1029" s="1" t="s">
        <v>926</v>
      </c>
      <c r="F1029" s="1" t="s">
        <v>927</v>
      </c>
      <c r="G1029" s="1">
        <v>193.0</v>
      </c>
      <c r="H1029" s="1">
        <v>12.10108765</v>
      </c>
      <c r="I1029" s="1">
        <v>5.43</v>
      </c>
      <c r="J1029" s="1">
        <v>2.648245</v>
      </c>
    </row>
    <row r="1030">
      <c r="A1030" s="1">
        <v>2025.0</v>
      </c>
      <c r="B1030" s="1" t="s">
        <v>107</v>
      </c>
      <c r="C1030" s="1">
        <v>657571.0</v>
      </c>
      <c r="D1030" s="1" t="s">
        <v>540</v>
      </c>
      <c r="E1030" s="1" t="s">
        <v>926</v>
      </c>
      <c r="F1030" s="1" t="s">
        <v>927</v>
      </c>
      <c r="G1030" s="1">
        <v>132.0</v>
      </c>
      <c r="H1030" s="1">
        <v>8.276391555</v>
      </c>
      <c r="I1030" s="1">
        <v>5.54</v>
      </c>
      <c r="J1030" s="1">
        <v>1.421498</v>
      </c>
    </row>
    <row r="1031">
      <c r="A1031" s="1">
        <v>2025.0</v>
      </c>
      <c r="B1031" s="1" t="s">
        <v>107</v>
      </c>
      <c r="C1031" s="1">
        <v>657571.0</v>
      </c>
      <c r="D1031" s="1" t="s">
        <v>537</v>
      </c>
      <c r="E1031" s="1" t="s">
        <v>926</v>
      </c>
      <c r="F1031" s="1" t="s">
        <v>927</v>
      </c>
      <c r="G1031" s="1">
        <v>228.0</v>
      </c>
      <c r="H1031" s="1">
        <v>14.29558541</v>
      </c>
      <c r="I1031" s="1">
        <v>4.93</v>
      </c>
      <c r="J1031" s="1">
        <v>5.496321</v>
      </c>
    </row>
    <row r="1032">
      <c r="A1032" s="1">
        <v>2025.0</v>
      </c>
      <c r="B1032" s="1" t="s">
        <v>107</v>
      </c>
      <c r="C1032" s="1">
        <v>657571.0</v>
      </c>
      <c r="D1032" s="1" t="s">
        <v>536</v>
      </c>
      <c r="E1032" s="1" t="s">
        <v>926</v>
      </c>
      <c r="F1032" s="1" t="s">
        <v>927</v>
      </c>
      <c r="G1032" s="1">
        <v>30.0</v>
      </c>
      <c r="H1032" s="1">
        <v>1.880998081</v>
      </c>
      <c r="I1032" s="1">
        <v>4.74</v>
      </c>
      <c r="J1032" s="1">
        <v>0.849603</v>
      </c>
    </row>
    <row r="1033">
      <c r="A1033" s="1">
        <v>2025.0</v>
      </c>
      <c r="B1033" s="1" t="s">
        <v>806</v>
      </c>
      <c r="C1033" s="1">
        <v>673965.0</v>
      </c>
      <c r="D1033" s="1" t="s">
        <v>541</v>
      </c>
      <c r="E1033" s="1" t="s">
        <v>927</v>
      </c>
      <c r="F1033" s="1" t="s">
        <v>926</v>
      </c>
      <c r="G1033" s="1">
        <v>13.0</v>
      </c>
      <c r="H1033" s="1">
        <v>0.619047619</v>
      </c>
      <c r="I1033" s="1">
        <v>5.23</v>
      </c>
      <c r="J1033" s="1">
        <v>0.226416</v>
      </c>
    </row>
    <row r="1034">
      <c r="A1034" s="1">
        <v>2025.0</v>
      </c>
      <c r="B1034" s="1" t="s">
        <v>806</v>
      </c>
      <c r="C1034" s="1">
        <v>673965.0</v>
      </c>
      <c r="D1034" s="1" t="s">
        <v>537</v>
      </c>
      <c r="E1034" s="1" t="s">
        <v>927</v>
      </c>
      <c r="F1034" s="1" t="s">
        <v>926</v>
      </c>
      <c r="G1034" s="1">
        <v>13.0</v>
      </c>
      <c r="H1034" s="1">
        <v>0.619047619</v>
      </c>
      <c r="I1034" s="1">
        <v>5.01</v>
      </c>
      <c r="J1034" s="1">
        <v>0.299764</v>
      </c>
    </row>
    <row r="1035">
      <c r="A1035" s="1">
        <v>2025.0</v>
      </c>
      <c r="B1035" s="1" t="s">
        <v>806</v>
      </c>
      <c r="C1035" s="1">
        <v>673965.0</v>
      </c>
      <c r="D1035" s="1" t="s">
        <v>533</v>
      </c>
      <c r="E1035" s="1" t="s">
        <v>927</v>
      </c>
      <c r="F1035" s="1" t="s">
        <v>926</v>
      </c>
      <c r="G1035" s="1">
        <v>2.0</v>
      </c>
      <c r="H1035" s="1">
        <v>0.095238095</v>
      </c>
      <c r="I1035" s="1">
        <v>5.73</v>
      </c>
      <c r="J1035" s="1">
        <v>0.004592</v>
      </c>
    </row>
    <row r="1036">
      <c r="A1036" s="1">
        <v>2025.0</v>
      </c>
      <c r="B1036" s="1" t="s">
        <v>806</v>
      </c>
      <c r="C1036" s="1">
        <v>673965.0</v>
      </c>
      <c r="D1036" s="1" t="s">
        <v>541</v>
      </c>
      <c r="E1036" s="1" t="s">
        <v>927</v>
      </c>
      <c r="F1036" s="1" t="s">
        <v>927</v>
      </c>
      <c r="G1036" s="1">
        <v>8.0</v>
      </c>
      <c r="H1036" s="1">
        <v>0.380952381</v>
      </c>
      <c r="I1036" s="1">
        <v>4.5</v>
      </c>
      <c r="J1036" s="1">
        <v>0.261155</v>
      </c>
    </row>
    <row r="1037">
      <c r="A1037" s="1">
        <v>2025.0</v>
      </c>
      <c r="B1037" s="1" t="s">
        <v>806</v>
      </c>
      <c r="C1037" s="1">
        <v>673965.0</v>
      </c>
      <c r="D1037" s="1" t="s">
        <v>537</v>
      </c>
      <c r="E1037" s="1" t="s">
        <v>927</v>
      </c>
      <c r="F1037" s="1" t="s">
        <v>927</v>
      </c>
      <c r="G1037" s="1">
        <v>21.0</v>
      </c>
      <c r="H1037" s="1">
        <v>1.0</v>
      </c>
      <c r="I1037" s="1">
        <v>4.88</v>
      </c>
      <c r="J1037" s="1">
        <v>0.50803</v>
      </c>
    </row>
    <row r="1038">
      <c r="A1038" s="1">
        <v>2025.0</v>
      </c>
      <c r="B1038" s="1" t="s">
        <v>806</v>
      </c>
      <c r="C1038" s="1">
        <v>673965.0</v>
      </c>
      <c r="D1038" s="1" t="s">
        <v>533</v>
      </c>
      <c r="E1038" s="1" t="s">
        <v>927</v>
      </c>
      <c r="F1038" s="1" t="s">
        <v>927</v>
      </c>
      <c r="G1038" s="1">
        <v>13.0</v>
      </c>
      <c r="H1038" s="1">
        <v>0.619047619</v>
      </c>
      <c r="I1038" s="1">
        <v>5.95</v>
      </c>
      <c r="J1038" s="1">
        <v>0.012255</v>
      </c>
    </row>
    <row r="1039">
      <c r="A1039" s="1">
        <v>2025.0</v>
      </c>
      <c r="B1039" s="1" t="s">
        <v>71</v>
      </c>
      <c r="C1039" s="1">
        <v>573204.0</v>
      </c>
      <c r="D1039" s="1" t="s">
        <v>541</v>
      </c>
      <c r="E1039" s="1" t="s">
        <v>926</v>
      </c>
      <c r="F1039" s="1" t="s">
        <v>926</v>
      </c>
      <c r="G1039" s="1">
        <v>44.0</v>
      </c>
      <c r="H1039" s="1">
        <v>3.041716329</v>
      </c>
      <c r="I1039" s="1">
        <v>4.76</v>
      </c>
      <c r="J1039" s="1">
        <v>1.18929</v>
      </c>
    </row>
    <row r="1040">
      <c r="A1040" s="1">
        <v>2025.0</v>
      </c>
      <c r="B1040" s="1" t="s">
        <v>71</v>
      </c>
      <c r="C1040" s="1">
        <v>573204.0</v>
      </c>
      <c r="D1040" s="1" t="s">
        <v>537</v>
      </c>
      <c r="E1040" s="1" t="s">
        <v>926</v>
      </c>
      <c r="F1040" s="1" t="s">
        <v>926</v>
      </c>
      <c r="G1040" s="1">
        <v>152.0</v>
      </c>
      <c r="H1040" s="1">
        <v>10.50774732</v>
      </c>
      <c r="I1040" s="1">
        <v>5.33</v>
      </c>
      <c r="J1040" s="1">
        <v>2.427482</v>
      </c>
    </row>
    <row r="1041">
      <c r="A1041" s="1">
        <v>2025.0</v>
      </c>
      <c r="B1041" s="1" t="s">
        <v>71</v>
      </c>
      <c r="C1041" s="1">
        <v>573204.0</v>
      </c>
      <c r="D1041" s="1" t="s">
        <v>533</v>
      </c>
      <c r="E1041" s="1" t="s">
        <v>926</v>
      </c>
      <c r="F1041" s="1" t="s">
        <v>926</v>
      </c>
      <c r="G1041" s="1">
        <v>65.0</v>
      </c>
      <c r="H1041" s="1">
        <v>4.493444577</v>
      </c>
      <c r="I1041" s="1">
        <v>5.12</v>
      </c>
      <c r="J1041" s="1">
        <v>1.280634</v>
      </c>
    </row>
    <row r="1042">
      <c r="A1042" s="1">
        <v>2025.0</v>
      </c>
      <c r="B1042" s="1" t="s">
        <v>71</v>
      </c>
      <c r="C1042" s="1">
        <v>573204.0</v>
      </c>
      <c r="D1042" s="1" t="s">
        <v>539</v>
      </c>
      <c r="E1042" s="1" t="s">
        <v>926</v>
      </c>
      <c r="F1042" s="1" t="s">
        <v>926</v>
      </c>
      <c r="G1042" s="1">
        <v>125.0</v>
      </c>
      <c r="H1042" s="1">
        <v>8.641239571</v>
      </c>
      <c r="I1042" s="1">
        <v>5.33</v>
      </c>
      <c r="J1042" s="1">
        <v>1.928759</v>
      </c>
    </row>
    <row r="1043">
      <c r="A1043" s="1">
        <v>2025.0</v>
      </c>
      <c r="B1043" s="1" t="s">
        <v>71</v>
      </c>
      <c r="C1043" s="1">
        <v>573204.0</v>
      </c>
      <c r="D1043" s="1" t="s">
        <v>541</v>
      </c>
      <c r="E1043" s="1" t="s">
        <v>926</v>
      </c>
      <c r="F1043" s="1" t="s">
        <v>927</v>
      </c>
      <c r="G1043" s="1">
        <v>192.0</v>
      </c>
      <c r="H1043" s="1">
        <v>13.27294398</v>
      </c>
      <c r="I1043" s="1">
        <v>5.06</v>
      </c>
      <c r="J1043" s="1">
        <v>3.977722</v>
      </c>
    </row>
    <row r="1044">
      <c r="A1044" s="1">
        <v>2025.0</v>
      </c>
      <c r="B1044" s="1" t="s">
        <v>71</v>
      </c>
      <c r="C1044" s="1">
        <v>573204.0</v>
      </c>
      <c r="D1044" s="1" t="s">
        <v>537</v>
      </c>
      <c r="E1044" s="1" t="s">
        <v>926</v>
      </c>
      <c r="F1044" s="1" t="s">
        <v>927</v>
      </c>
      <c r="G1044" s="1">
        <v>201.0</v>
      </c>
      <c r="H1044" s="1">
        <v>13.89511323</v>
      </c>
      <c r="I1044" s="1">
        <v>5.33</v>
      </c>
      <c r="J1044" s="1">
        <v>3.213288</v>
      </c>
    </row>
    <row r="1045">
      <c r="A1045" s="1">
        <v>2025.0</v>
      </c>
      <c r="B1045" s="1" t="s">
        <v>71</v>
      </c>
      <c r="C1045" s="1">
        <v>573204.0</v>
      </c>
      <c r="D1045" s="1" t="s">
        <v>533</v>
      </c>
      <c r="E1045" s="1" t="s">
        <v>926</v>
      </c>
      <c r="F1045" s="1" t="s">
        <v>927</v>
      </c>
      <c r="G1045" s="1">
        <v>51.0</v>
      </c>
      <c r="H1045" s="1">
        <v>3.525625745</v>
      </c>
      <c r="I1045" s="1">
        <v>4.97</v>
      </c>
      <c r="J1045" s="1">
        <v>1.120159</v>
      </c>
    </row>
    <row r="1046">
      <c r="A1046" s="1">
        <v>2025.0</v>
      </c>
      <c r="B1046" s="1" t="s">
        <v>71</v>
      </c>
      <c r="C1046" s="1">
        <v>573204.0</v>
      </c>
      <c r="D1046" s="1" t="s">
        <v>539</v>
      </c>
      <c r="E1046" s="1" t="s">
        <v>926</v>
      </c>
      <c r="F1046" s="1" t="s">
        <v>927</v>
      </c>
      <c r="G1046" s="1">
        <v>9.0</v>
      </c>
      <c r="H1046" s="1">
        <v>0.622169249</v>
      </c>
      <c r="I1046" s="1">
        <v>3.43</v>
      </c>
      <c r="J1046" s="1">
        <v>0.48269</v>
      </c>
    </row>
    <row r="1047">
      <c r="A1047" s="1">
        <v>2025.0</v>
      </c>
      <c r="B1047" s="1" t="s">
        <v>262</v>
      </c>
      <c r="C1047" s="1">
        <v>676534.0</v>
      </c>
      <c r="D1047" s="1" t="s">
        <v>532</v>
      </c>
      <c r="E1047" s="1" t="s">
        <v>927</v>
      </c>
      <c r="F1047" s="1" t="s">
        <v>926</v>
      </c>
      <c r="G1047" s="1">
        <v>1.0</v>
      </c>
      <c r="H1047" s="1">
        <v>0.057242252</v>
      </c>
      <c r="I1047" s="1">
        <v>3.67</v>
      </c>
      <c r="J1047" s="1">
        <v>0.05015</v>
      </c>
    </row>
    <row r="1048">
      <c r="A1048" s="1">
        <v>2025.0</v>
      </c>
      <c r="B1048" s="1" t="s">
        <v>262</v>
      </c>
      <c r="C1048" s="1">
        <v>676534.0</v>
      </c>
      <c r="D1048" s="1" t="s">
        <v>541</v>
      </c>
      <c r="E1048" s="1" t="s">
        <v>927</v>
      </c>
      <c r="F1048" s="1" t="s">
        <v>926</v>
      </c>
      <c r="G1048" s="1">
        <v>141.0</v>
      </c>
      <c r="H1048" s="1">
        <v>8.071157495</v>
      </c>
      <c r="I1048" s="1">
        <v>4.62</v>
      </c>
      <c r="J1048" s="1">
        <v>4.056536</v>
      </c>
    </row>
    <row r="1049">
      <c r="A1049" s="1">
        <v>2025.0</v>
      </c>
      <c r="B1049" s="1" t="s">
        <v>262</v>
      </c>
      <c r="C1049" s="1">
        <v>676534.0</v>
      </c>
      <c r="D1049" s="1" t="s">
        <v>540</v>
      </c>
      <c r="E1049" s="1" t="s">
        <v>927</v>
      </c>
      <c r="F1049" s="1" t="s">
        <v>926</v>
      </c>
      <c r="G1049" s="1">
        <v>226.0</v>
      </c>
      <c r="H1049" s="1">
        <v>12.93674889</v>
      </c>
      <c r="I1049" s="1">
        <v>5.67</v>
      </c>
      <c r="J1049" s="1">
        <v>1.865398</v>
      </c>
    </row>
    <row r="1050">
      <c r="A1050" s="1">
        <v>2025.0</v>
      </c>
      <c r="B1050" s="1" t="s">
        <v>262</v>
      </c>
      <c r="C1050" s="1">
        <v>676534.0</v>
      </c>
      <c r="D1050" s="1" t="s">
        <v>537</v>
      </c>
      <c r="E1050" s="1" t="s">
        <v>927</v>
      </c>
      <c r="F1050" s="1" t="s">
        <v>926</v>
      </c>
      <c r="G1050" s="1">
        <v>116.0</v>
      </c>
      <c r="H1050" s="1">
        <v>6.640101202</v>
      </c>
      <c r="I1050" s="1">
        <v>4.45</v>
      </c>
      <c r="J1050" s="1">
        <v>3.914889</v>
      </c>
    </row>
    <row r="1051">
      <c r="A1051" s="1">
        <v>2025.0</v>
      </c>
      <c r="B1051" s="1" t="s">
        <v>262</v>
      </c>
      <c r="C1051" s="1">
        <v>676534.0</v>
      </c>
      <c r="D1051" s="1" t="s">
        <v>536</v>
      </c>
      <c r="E1051" s="1" t="s">
        <v>927</v>
      </c>
      <c r="F1051" s="1" t="s">
        <v>926</v>
      </c>
      <c r="G1051" s="1">
        <v>24.0</v>
      </c>
      <c r="H1051" s="1">
        <v>1.373814042</v>
      </c>
      <c r="I1051" s="1">
        <v>3.98</v>
      </c>
      <c r="J1051" s="1">
        <v>1.001706</v>
      </c>
    </row>
    <row r="1052">
      <c r="A1052" s="1">
        <v>2025.0</v>
      </c>
      <c r="B1052" s="1" t="s">
        <v>262</v>
      </c>
      <c r="C1052" s="1">
        <v>676534.0</v>
      </c>
      <c r="D1052" s="1" t="s">
        <v>539</v>
      </c>
      <c r="E1052" s="1" t="s">
        <v>927</v>
      </c>
      <c r="F1052" s="1" t="s">
        <v>926</v>
      </c>
      <c r="G1052" s="1">
        <v>23.0</v>
      </c>
      <c r="H1052" s="1">
        <v>1.31657179</v>
      </c>
      <c r="I1052" s="1">
        <v>5.18</v>
      </c>
      <c r="J1052" s="1">
        <v>0.406183</v>
      </c>
    </row>
    <row r="1053">
      <c r="A1053" s="1">
        <v>2025.0</v>
      </c>
      <c r="B1053" s="1" t="s">
        <v>262</v>
      </c>
      <c r="C1053" s="1">
        <v>676534.0</v>
      </c>
      <c r="D1053" s="1" t="s">
        <v>541</v>
      </c>
      <c r="E1053" s="1" t="s">
        <v>927</v>
      </c>
      <c r="F1053" s="1" t="s">
        <v>927</v>
      </c>
      <c r="G1053" s="1">
        <v>18.0</v>
      </c>
      <c r="H1053" s="1">
        <v>1.030360531</v>
      </c>
      <c r="I1053" s="1">
        <v>4.75</v>
      </c>
      <c r="J1053" s="1">
        <v>0.469454</v>
      </c>
    </row>
    <row r="1054">
      <c r="A1054" s="1">
        <v>2025.0</v>
      </c>
      <c r="B1054" s="1" t="s">
        <v>262</v>
      </c>
      <c r="C1054" s="1">
        <v>676534.0</v>
      </c>
      <c r="D1054" s="1" t="s">
        <v>540</v>
      </c>
      <c r="E1054" s="1" t="s">
        <v>927</v>
      </c>
      <c r="F1054" s="1" t="s">
        <v>927</v>
      </c>
      <c r="G1054" s="1">
        <v>163.0</v>
      </c>
      <c r="H1054" s="1">
        <v>9.330487034</v>
      </c>
      <c r="I1054" s="1">
        <v>5.44</v>
      </c>
      <c r="J1054" s="1">
        <v>2.1754</v>
      </c>
    </row>
    <row r="1055">
      <c r="A1055" s="1">
        <v>2025.0</v>
      </c>
      <c r="B1055" s="1" t="s">
        <v>262</v>
      </c>
      <c r="C1055" s="1">
        <v>676534.0</v>
      </c>
      <c r="D1055" s="1" t="s">
        <v>537</v>
      </c>
      <c r="E1055" s="1" t="s">
        <v>927</v>
      </c>
      <c r="F1055" s="1" t="s">
        <v>927</v>
      </c>
      <c r="G1055" s="1">
        <v>68.0</v>
      </c>
      <c r="H1055" s="1">
        <v>3.892473118</v>
      </c>
      <c r="I1055" s="1">
        <v>4.82</v>
      </c>
      <c r="J1055" s="1">
        <v>1.752772</v>
      </c>
    </row>
    <row r="1056">
      <c r="A1056" s="1">
        <v>2025.0</v>
      </c>
      <c r="B1056" s="1" t="s">
        <v>262</v>
      </c>
      <c r="C1056" s="1">
        <v>676534.0</v>
      </c>
      <c r="D1056" s="1" t="s">
        <v>536</v>
      </c>
      <c r="E1056" s="1" t="s">
        <v>927</v>
      </c>
      <c r="F1056" s="1" t="s">
        <v>927</v>
      </c>
      <c r="G1056" s="1">
        <v>105.0</v>
      </c>
      <c r="H1056" s="1">
        <v>6.010436433</v>
      </c>
      <c r="I1056" s="1">
        <v>4.58</v>
      </c>
      <c r="J1056" s="1">
        <v>3.160572</v>
      </c>
    </row>
    <row r="1057">
      <c r="A1057" s="1">
        <v>2025.0</v>
      </c>
      <c r="B1057" s="1" t="s">
        <v>262</v>
      </c>
      <c r="C1057" s="1">
        <v>676534.0</v>
      </c>
      <c r="D1057" s="1" t="s">
        <v>539</v>
      </c>
      <c r="E1057" s="1" t="s">
        <v>927</v>
      </c>
      <c r="F1057" s="1" t="s">
        <v>927</v>
      </c>
      <c r="G1057" s="1">
        <v>169.0</v>
      </c>
      <c r="H1057" s="1">
        <v>9.673940544</v>
      </c>
      <c r="I1057" s="1">
        <v>5.38</v>
      </c>
      <c r="J1057" s="1">
        <v>2.18853</v>
      </c>
    </row>
    <row r="1058">
      <c r="A1058" s="1">
        <v>2025.0</v>
      </c>
      <c r="B1058" s="1" t="s">
        <v>252</v>
      </c>
      <c r="C1058" s="1">
        <v>592155.0</v>
      </c>
      <c r="D1058" s="1" t="s">
        <v>540</v>
      </c>
      <c r="E1058" s="1" t="s">
        <v>926</v>
      </c>
      <c r="F1058" s="1" t="s">
        <v>926</v>
      </c>
      <c r="G1058" s="1">
        <v>15.0</v>
      </c>
      <c r="H1058" s="1">
        <v>0.814360771</v>
      </c>
      <c r="I1058" s="1">
        <v>4.75</v>
      </c>
      <c r="J1058" s="1">
        <v>0.388522</v>
      </c>
    </row>
    <row r="1059">
      <c r="A1059" s="1">
        <v>2025.0</v>
      </c>
      <c r="B1059" s="1" t="s">
        <v>252</v>
      </c>
      <c r="C1059" s="1">
        <v>592155.0</v>
      </c>
      <c r="D1059" s="1" t="s">
        <v>537</v>
      </c>
      <c r="E1059" s="1" t="s">
        <v>926</v>
      </c>
      <c r="F1059" s="1" t="s">
        <v>926</v>
      </c>
      <c r="G1059" s="1">
        <v>106.0</v>
      </c>
      <c r="H1059" s="1">
        <v>5.754816112</v>
      </c>
      <c r="I1059" s="1">
        <v>5.35</v>
      </c>
      <c r="J1059" s="1">
        <v>1.602512</v>
      </c>
    </row>
    <row r="1060">
      <c r="A1060" s="1">
        <v>2025.0</v>
      </c>
      <c r="B1060" s="1" t="s">
        <v>252</v>
      </c>
      <c r="C1060" s="1">
        <v>592155.0</v>
      </c>
      <c r="D1060" s="1" t="s">
        <v>539</v>
      </c>
      <c r="E1060" s="1" t="s">
        <v>926</v>
      </c>
      <c r="F1060" s="1" t="s">
        <v>926</v>
      </c>
      <c r="G1060" s="1">
        <v>122.0</v>
      </c>
      <c r="H1060" s="1">
        <v>6.623467601</v>
      </c>
      <c r="I1060" s="1">
        <v>5.3</v>
      </c>
      <c r="J1060" s="1">
        <v>1.880397</v>
      </c>
    </row>
    <row r="1061">
      <c r="A1061" s="1">
        <v>2025.0</v>
      </c>
      <c r="B1061" s="1" t="s">
        <v>252</v>
      </c>
      <c r="C1061" s="1">
        <v>592155.0</v>
      </c>
      <c r="D1061" s="1" t="s">
        <v>532</v>
      </c>
      <c r="E1061" s="1" t="s">
        <v>926</v>
      </c>
      <c r="F1061" s="1" t="s">
        <v>927</v>
      </c>
      <c r="G1061" s="1">
        <v>15.0</v>
      </c>
      <c r="H1061" s="1">
        <v>0.814360771</v>
      </c>
      <c r="I1061" s="1">
        <v>4.55</v>
      </c>
      <c r="J1061" s="1">
        <v>0.4712</v>
      </c>
    </row>
    <row r="1062">
      <c r="A1062" s="1">
        <v>2025.0</v>
      </c>
      <c r="B1062" s="1" t="s">
        <v>252</v>
      </c>
      <c r="C1062" s="1">
        <v>592155.0</v>
      </c>
      <c r="D1062" s="1" t="s">
        <v>540</v>
      </c>
      <c r="E1062" s="1" t="s">
        <v>926</v>
      </c>
      <c r="F1062" s="1" t="s">
        <v>927</v>
      </c>
      <c r="G1062" s="1">
        <v>97.0</v>
      </c>
      <c r="H1062" s="1">
        <v>5.26619965</v>
      </c>
      <c r="I1062" s="1">
        <v>5.14</v>
      </c>
      <c r="J1062" s="1">
        <v>1.873271</v>
      </c>
    </row>
    <row r="1063">
      <c r="A1063" s="1">
        <v>2025.0</v>
      </c>
      <c r="B1063" s="1" t="s">
        <v>252</v>
      </c>
      <c r="C1063" s="1">
        <v>592155.0</v>
      </c>
      <c r="D1063" s="1" t="s">
        <v>537</v>
      </c>
      <c r="E1063" s="1" t="s">
        <v>926</v>
      </c>
      <c r="F1063" s="1" t="s">
        <v>927</v>
      </c>
      <c r="G1063" s="1">
        <v>156.0</v>
      </c>
      <c r="H1063" s="1">
        <v>8.469352014</v>
      </c>
      <c r="I1063" s="1">
        <v>4.87</v>
      </c>
      <c r="J1063" s="1">
        <v>3.828431</v>
      </c>
    </row>
    <row r="1064">
      <c r="A1064" s="1">
        <v>2025.0</v>
      </c>
      <c r="B1064" s="1" t="s">
        <v>252</v>
      </c>
      <c r="C1064" s="1">
        <v>592155.0</v>
      </c>
      <c r="D1064" s="1" t="s">
        <v>539</v>
      </c>
      <c r="E1064" s="1" t="s">
        <v>926</v>
      </c>
      <c r="F1064" s="1" t="s">
        <v>927</v>
      </c>
      <c r="G1064" s="1">
        <v>60.0</v>
      </c>
      <c r="H1064" s="1">
        <v>3.257443082</v>
      </c>
      <c r="I1064" s="1">
        <v>5.5</v>
      </c>
      <c r="J1064" s="1">
        <v>0.664973</v>
      </c>
    </row>
    <row r="1065">
      <c r="A1065" s="1">
        <v>2025.0</v>
      </c>
      <c r="B1065" s="1" t="s">
        <v>944</v>
      </c>
      <c r="C1065" s="1">
        <v>676742.0</v>
      </c>
      <c r="D1065" s="1" t="s">
        <v>532</v>
      </c>
      <c r="E1065" s="1" t="s">
        <v>927</v>
      </c>
      <c r="F1065" s="1" t="s">
        <v>926</v>
      </c>
      <c r="G1065" s="1">
        <v>14.0</v>
      </c>
      <c r="H1065" s="1">
        <v>0.634920635</v>
      </c>
      <c r="I1065" s="1">
        <v>5.43</v>
      </c>
      <c r="J1065" s="1">
        <v>0.172881</v>
      </c>
    </row>
    <row r="1066">
      <c r="A1066" s="1">
        <v>2025.0</v>
      </c>
      <c r="B1066" s="1" t="s">
        <v>944</v>
      </c>
      <c r="C1066" s="1">
        <v>676742.0</v>
      </c>
      <c r="D1066" s="1" t="s">
        <v>537</v>
      </c>
      <c r="E1066" s="1" t="s">
        <v>927</v>
      </c>
      <c r="F1066" s="1" t="s">
        <v>926</v>
      </c>
      <c r="G1066" s="1">
        <v>29.0</v>
      </c>
      <c r="H1066" s="1">
        <v>1.315192744</v>
      </c>
      <c r="I1066" s="1">
        <v>4.51</v>
      </c>
      <c r="J1066" s="1">
        <v>0.979831</v>
      </c>
    </row>
    <row r="1067">
      <c r="A1067" s="1">
        <v>2025.0</v>
      </c>
      <c r="B1067" s="1" t="s">
        <v>944</v>
      </c>
      <c r="C1067" s="1">
        <v>676742.0</v>
      </c>
      <c r="D1067" s="1" t="s">
        <v>533</v>
      </c>
      <c r="E1067" s="1" t="s">
        <v>927</v>
      </c>
      <c r="F1067" s="1" t="s">
        <v>926</v>
      </c>
      <c r="G1067" s="1">
        <v>6.0</v>
      </c>
      <c r="H1067" s="1">
        <v>0.272108844</v>
      </c>
      <c r="I1067" s="1">
        <v>6.38</v>
      </c>
      <c r="J1067" s="1">
        <v>-0.019168</v>
      </c>
    </row>
    <row r="1068">
      <c r="A1068" s="1">
        <v>2025.0</v>
      </c>
      <c r="B1068" s="1" t="s">
        <v>944</v>
      </c>
      <c r="C1068" s="1">
        <v>676742.0</v>
      </c>
      <c r="D1068" s="1" t="s">
        <v>532</v>
      </c>
      <c r="E1068" s="1" t="s">
        <v>927</v>
      </c>
      <c r="F1068" s="1" t="s">
        <v>927</v>
      </c>
      <c r="G1068" s="1">
        <v>4.0</v>
      </c>
      <c r="H1068" s="1">
        <v>0.181405896</v>
      </c>
      <c r="I1068" s="1">
        <v>4.06</v>
      </c>
      <c r="J1068" s="1">
        <v>0.159729</v>
      </c>
    </row>
    <row r="1069">
      <c r="A1069" s="1">
        <v>2025.0</v>
      </c>
      <c r="B1069" s="1" t="s">
        <v>944</v>
      </c>
      <c r="C1069" s="1">
        <v>676742.0</v>
      </c>
      <c r="D1069" s="1" t="s">
        <v>537</v>
      </c>
      <c r="E1069" s="1" t="s">
        <v>927</v>
      </c>
      <c r="F1069" s="1" t="s">
        <v>927</v>
      </c>
      <c r="G1069" s="1">
        <v>48.0</v>
      </c>
      <c r="H1069" s="1">
        <v>2.176870748</v>
      </c>
      <c r="I1069" s="1">
        <v>4.81</v>
      </c>
      <c r="J1069" s="1">
        <v>1.29483</v>
      </c>
    </row>
    <row r="1070">
      <c r="A1070" s="1">
        <v>2025.0</v>
      </c>
      <c r="B1070" s="1" t="s">
        <v>944</v>
      </c>
      <c r="C1070" s="1">
        <v>676742.0</v>
      </c>
      <c r="D1070" s="1" t="s">
        <v>533</v>
      </c>
      <c r="E1070" s="1" t="s">
        <v>927</v>
      </c>
      <c r="F1070" s="1" t="s">
        <v>927</v>
      </c>
      <c r="G1070" s="1">
        <v>32.0</v>
      </c>
      <c r="H1070" s="1">
        <v>1.451247166</v>
      </c>
      <c r="I1070" s="1">
        <v>4.88</v>
      </c>
      <c r="J1070" s="1">
        <v>0.822009</v>
      </c>
    </row>
    <row r="1071">
      <c r="A1071" s="1">
        <v>2025.0</v>
      </c>
      <c r="B1071" s="1" t="s">
        <v>944</v>
      </c>
      <c r="C1071" s="1">
        <v>676742.0</v>
      </c>
      <c r="D1071" s="1" t="s">
        <v>539</v>
      </c>
      <c r="E1071" s="1" t="s">
        <v>927</v>
      </c>
      <c r="F1071" s="1" t="s">
        <v>927</v>
      </c>
      <c r="G1071" s="1">
        <v>14.0</v>
      </c>
      <c r="H1071" s="1">
        <v>0.634920635</v>
      </c>
      <c r="I1071" s="1">
        <v>4.95</v>
      </c>
      <c r="J1071" s="1">
        <v>0.318828</v>
      </c>
    </row>
    <row r="1072">
      <c r="A1072" s="1">
        <v>2025.0</v>
      </c>
      <c r="B1072" s="1" t="s">
        <v>363</v>
      </c>
      <c r="C1072" s="1">
        <v>693645.0</v>
      </c>
      <c r="D1072" s="1" t="s">
        <v>541</v>
      </c>
      <c r="E1072" s="1" t="s">
        <v>927</v>
      </c>
      <c r="F1072" s="1" t="s">
        <v>926</v>
      </c>
      <c r="G1072" s="1">
        <v>154.0</v>
      </c>
      <c r="H1072" s="1">
        <v>8.972067039</v>
      </c>
      <c r="I1072" s="1">
        <v>5.0</v>
      </c>
      <c r="J1072" s="1">
        <v>3.313376</v>
      </c>
    </row>
    <row r="1073">
      <c r="A1073" s="1">
        <v>2025.0</v>
      </c>
      <c r="B1073" s="1" t="s">
        <v>363</v>
      </c>
      <c r="C1073" s="1">
        <v>693645.0</v>
      </c>
      <c r="D1073" s="1" t="s">
        <v>540</v>
      </c>
      <c r="E1073" s="1" t="s">
        <v>927</v>
      </c>
      <c r="F1073" s="1" t="s">
        <v>926</v>
      </c>
      <c r="G1073" s="1">
        <v>131.0</v>
      </c>
      <c r="H1073" s="1">
        <v>7.632083001</v>
      </c>
      <c r="I1073" s="1">
        <v>5.25</v>
      </c>
      <c r="J1073" s="1">
        <v>2.269742</v>
      </c>
    </row>
    <row r="1074">
      <c r="A1074" s="1">
        <v>2025.0</v>
      </c>
      <c r="B1074" s="1" t="s">
        <v>363</v>
      </c>
      <c r="C1074" s="1">
        <v>693645.0</v>
      </c>
      <c r="D1074" s="1" t="s">
        <v>537</v>
      </c>
      <c r="E1074" s="1" t="s">
        <v>927</v>
      </c>
      <c r="F1074" s="1" t="s">
        <v>926</v>
      </c>
      <c r="G1074" s="1">
        <v>429.0</v>
      </c>
      <c r="H1074" s="1">
        <v>24.99361532</v>
      </c>
      <c r="I1074" s="1">
        <v>4.74</v>
      </c>
      <c r="J1074" s="1">
        <v>11.868876</v>
      </c>
    </row>
    <row r="1075">
      <c r="A1075" s="1">
        <v>2025.0</v>
      </c>
      <c r="B1075" s="1" t="s">
        <v>363</v>
      </c>
      <c r="C1075" s="1">
        <v>693645.0</v>
      </c>
      <c r="D1075" s="1" t="s">
        <v>536</v>
      </c>
      <c r="E1075" s="1" t="s">
        <v>927</v>
      </c>
      <c r="F1075" s="1" t="s">
        <v>926</v>
      </c>
      <c r="G1075" s="1">
        <v>21.0</v>
      </c>
      <c r="H1075" s="1">
        <v>1.223463687</v>
      </c>
      <c r="I1075" s="1">
        <v>4.36</v>
      </c>
      <c r="J1075" s="1">
        <v>0.774969</v>
      </c>
    </row>
    <row r="1076">
      <c r="A1076" s="1">
        <v>2025.0</v>
      </c>
      <c r="B1076" s="1" t="s">
        <v>363</v>
      </c>
      <c r="C1076" s="1">
        <v>693645.0</v>
      </c>
      <c r="D1076" s="1" t="s">
        <v>539</v>
      </c>
      <c r="E1076" s="1" t="s">
        <v>927</v>
      </c>
      <c r="F1076" s="1" t="s">
        <v>926</v>
      </c>
      <c r="G1076" s="1">
        <v>1.0</v>
      </c>
      <c r="H1076" s="1">
        <v>0.058260176</v>
      </c>
      <c r="I1076" s="1">
        <v>7.6</v>
      </c>
      <c r="J1076" s="1">
        <v>-0.027179</v>
      </c>
    </row>
    <row r="1077">
      <c r="A1077" s="1">
        <v>2025.0</v>
      </c>
      <c r="B1077" s="1" t="s">
        <v>363</v>
      </c>
      <c r="C1077" s="1">
        <v>693645.0</v>
      </c>
      <c r="D1077" s="1" t="s">
        <v>541</v>
      </c>
      <c r="E1077" s="1" t="s">
        <v>927</v>
      </c>
      <c r="F1077" s="1" t="s">
        <v>927</v>
      </c>
      <c r="G1077" s="1">
        <v>33.0</v>
      </c>
      <c r="H1077" s="1">
        <v>1.922585794</v>
      </c>
      <c r="I1077" s="1">
        <v>5.03</v>
      </c>
      <c r="J1077" s="1">
        <v>0.680172</v>
      </c>
    </row>
    <row r="1078">
      <c r="A1078" s="1">
        <v>2025.0</v>
      </c>
      <c r="B1078" s="1" t="s">
        <v>363</v>
      </c>
      <c r="C1078" s="1">
        <v>693645.0</v>
      </c>
      <c r="D1078" s="1" t="s">
        <v>540</v>
      </c>
      <c r="E1078" s="1" t="s">
        <v>927</v>
      </c>
      <c r="F1078" s="1" t="s">
        <v>927</v>
      </c>
      <c r="G1078" s="1">
        <v>129.0</v>
      </c>
      <c r="H1078" s="1">
        <v>7.51556265</v>
      </c>
      <c r="I1078" s="1">
        <v>5.21</v>
      </c>
      <c r="J1078" s="1">
        <v>2.193801</v>
      </c>
    </row>
    <row r="1079">
      <c r="A1079" s="1">
        <v>2025.0</v>
      </c>
      <c r="B1079" s="1" t="s">
        <v>363</v>
      </c>
      <c r="C1079" s="1">
        <v>693645.0</v>
      </c>
      <c r="D1079" s="1" t="s">
        <v>537</v>
      </c>
      <c r="E1079" s="1" t="s">
        <v>927</v>
      </c>
      <c r="F1079" s="1" t="s">
        <v>927</v>
      </c>
      <c r="G1079" s="1">
        <v>257.0</v>
      </c>
      <c r="H1079" s="1">
        <v>14.97286512</v>
      </c>
      <c r="I1079" s="1">
        <v>5.0</v>
      </c>
      <c r="J1079" s="1">
        <v>5.598859</v>
      </c>
    </row>
    <row r="1080">
      <c r="A1080" s="1">
        <v>2025.0</v>
      </c>
      <c r="B1080" s="1" t="s">
        <v>363</v>
      </c>
      <c r="C1080" s="1">
        <v>693645.0</v>
      </c>
      <c r="D1080" s="1" t="s">
        <v>536</v>
      </c>
      <c r="E1080" s="1" t="s">
        <v>927</v>
      </c>
      <c r="F1080" s="1" t="s">
        <v>927</v>
      </c>
      <c r="G1080" s="1">
        <v>69.0</v>
      </c>
      <c r="H1080" s="1">
        <v>4.019952115</v>
      </c>
      <c r="I1080" s="1">
        <v>4.89</v>
      </c>
      <c r="J1080" s="1">
        <v>1.647982</v>
      </c>
    </row>
    <row r="1081">
      <c r="A1081" s="1">
        <v>2025.0</v>
      </c>
      <c r="B1081" s="1" t="s">
        <v>363</v>
      </c>
      <c r="C1081" s="1">
        <v>693645.0</v>
      </c>
      <c r="D1081" s="1" t="s">
        <v>533</v>
      </c>
      <c r="E1081" s="1" t="s">
        <v>927</v>
      </c>
      <c r="F1081" s="1" t="s">
        <v>927</v>
      </c>
      <c r="G1081" s="1">
        <v>2.0</v>
      </c>
      <c r="H1081" s="1">
        <v>0.116520351</v>
      </c>
      <c r="I1081" s="1">
        <v>5.98</v>
      </c>
      <c r="J1081" s="1">
        <v>0.001737</v>
      </c>
    </row>
    <row r="1082">
      <c r="A1082" s="1">
        <v>2025.0</v>
      </c>
      <c r="B1082" s="1" t="s">
        <v>363</v>
      </c>
      <c r="C1082" s="1">
        <v>693645.0</v>
      </c>
      <c r="D1082" s="1" t="s">
        <v>539</v>
      </c>
      <c r="E1082" s="1" t="s">
        <v>927</v>
      </c>
      <c r="F1082" s="1" t="s">
        <v>927</v>
      </c>
      <c r="G1082" s="1">
        <v>27.0</v>
      </c>
      <c r="H1082" s="1">
        <v>1.573024741</v>
      </c>
      <c r="I1082" s="1">
        <v>5.67</v>
      </c>
      <c r="J1082" s="1">
        <v>0.212651</v>
      </c>
    </row>
    <row r="1083">
      <c r="A1083" s="1">
        <v>2025.0</v>
      </c>
      <c r="B1083" s="1" t="s">
        <v>304</v>
      </c>
      <c r="C1083" s="1">
        <v>666808.0</v>
      </c>
      <c r="D1083" s="1" t="s">
        <v>540</v>
      </c>
      <c r="E1083" s="1" t="s">
        <v>927</v>
      </c>
      <c r="F1083" s="1" t="s">
        <v>926</v>
      </c>
      <c r="G1083" s="1">
        <v>217.0</v>
      </c>
      <c r="H1083" s="1">
        <v>12.85343004</v>
      </c>
      <c r="I1083" s="1">
        <v>4.97</v>
      </c>
      <c r="J1083" s="1">
        <v>4.990072</v>
      </c>
    </row>
    <row r="1084">
      <c r="A1084" s="1">
        <v>2025.0</v>
      </c>
      <c r="B1084" s="1" t="s">
        <v>304</v>
      </c>
      <c r="C1084" s="1">
        <v>666808.0</v>
      </c>
      <c r="D1084" s="1" t="s">
        <v>536</v>
      </c>
      <c r="E1084" s="1" t="s">
        <v>927</v>
      </c>
      <c r="F1084" s="1" t="s">
        <v>926</v>
      </c>
      <c r="G1084" s="1">
        <v>37.0</v>
      </c>
      <c r="H1084" s="1">
        <v>2.19159867</v>
      </c>
      <c r="I1084" s="1">
        <v>4.88</v>
      </c>
      <c r="J1084" s="1">
        <v>0.89918</v>
      </c>
    </row>
    <row r="1085">
      <c r="A1085" s="1">
        <v>2025.0</v>
      </c>
      <c r="B1085" s="1" t="s">
        <v>304</v>
      </c>
      <c r="C1085" s="1">
        <v>666808.0</v>
      </c>
      <c r="D1085" s="1" t="s">
        <v>533</v>
      </c>
      <c r="E1085" s="1" t="s">
        <v>927</v>
      </c>
      <c r="F1085" s="1" t="s">
        <v>926</v>
      </c>
      <c r="G1085" s="1">
        <v>247.0</v>
      </c>
      <c r="H1085" s="1">
        <v>14.63040193</v>
      </c>
      <c r="I1085" s="1">
        <v>5.24</v>
      </c>
      <c r="J1085" s="1">
        <v>4.125293</v>
      </c>
    </row>
    <row r="1086">
      <c r="A1086" s="1">
        <v>2025.0</v>
      </c>
      <c r="B1086" s="1" t="s">
        <v>304</v>
      </c>
      <c r="C1086" s="1">
        <v>666808.0</v>
      </c>
      <c r="D1086" s="1" t="s">
        <v>540</v>
      </c>
      <c r="E1086" s="1" t="s">
        <v>927</v>
      </c>
      <c r="F1086" s="1" t="s">
        <v>927</v>
      </c>
      <c r="G1086" s="1">
        <v>243.0</v>
      </c>
      <c r="H1086" s="1">
        <v>14.39347235</v>
      </c>
      <c r="I1086" s="1">
        <v>4.81</v>
      </c>
      <c r="J1086" s="1">
        <v>6.485109</v>
      </c>
    </row>
    <row r="1087">
      <c r="A1087" s="1">
        <v>2025.0</v>
      </c>
      <c r="B1087" s="1" t="s">
        <v>304</v>
      </c>
      <c r="C1087" s="1">
        <v>666808.0</v>
      </c>
      <c r="D1087" s="1" t="s">
        <v>536</v>
      </c>
      <c r="E1087" s="1" t="s">
        <v>927</v>
      </c>
      <c r="F1087" s="1" t="s">
        <v>927</v>
      </c>
      <c r="G1087" s="1">
        <v>77.0</v>
      </c>
      <c r="H1087" s="1">
        <v>4.56089453</v>
      </c>
      <c r="I1087" s="1">
        <v>4.79</v>
      </c>
      <c r="J1087" s="1">
        <v>2.106885</v>
      </c>
    </row>
    <row r="1088">
      <c r="A1088" s="1">
        <v>2025.0</v>
      </c>
      <c r="B1088" s="1" t="s">
        <v>304</v>
      </c>
      <c r="C1088" s="1">
        <v>666808.0</v>
      </c>
      <c r="D1088" s="1" t="s">
        <v>533</v>
      </c>
      <c r="E1088" s="1" t="s">
        <v>927</v>
      </c>
      <c r="F1088" s="1" t="s">
        <v>927</v>
      </c>
      <c r="G1088" s="1">
        <v>282.0</v>
      </c>
      <c r="H1088" s="1">
        <v>16.70353581</v>
      </c>
      <c r="I1088" s="1">
        <v>5.1</v>
      </c>
      <c r="J1088" s="1">
        <v>5.530458</v>
      </c>
    </row>
    <row r="1089">
      <c r="A1089" s="1">
        <v>2025.0</v>
      </c>
      <c r="B1089" s="1" t="s">
        <v>803</v>
      </c>
      <c r="C1089" s="1">
        <v>605218.0</v>
      </c>
      <c r="D1089" s="1" t="s">
        <v>532</v>
      </c>
      <c r="E1089" s="1" t="s">
        <v>927</v>
      </c>
      <c r="F1089" s="1" t="s">
        <v>926</v>
      </c>
      <c r="G1089" s="1">
        <v>8.0</v>
      </c>
      <c r="H1089" s="1">
        <v>0.533333333</v>
      </c>
      <c r="I1089" s="1">
        <v>5.24</v>
      </c>
      <c r="J1089" s="1">
        <v>0.128768</v>
      </c>
    </row>
    <row r="1090">
      <c r="A1090" s="1">
        <v>2025.0</v>
      </c>
      <c r="B1090" s="1" t="s">
        <v>803</v>
      </c>
      <c r="C1090" s="1">
        <v>605218.0</v>
      </c>
      <c r="D1090" s="1" t="s">
        <v>541</v>
      </c>
      <c r="E1090" s="1" t="s">
        <v>927</v>
      </c>
      <c r="F1090" s="1" t="s">
        <v>926</v>
      </c>
      <c r="G1090" s="1">
        <v>12.0</v>
      </c>
      <c r="H1090" s="1">
        <v>0.8</v>
      </c>
      <c r="I1090" s="1">
        <v>4.55</v>
      </c>
      <c r="J1090" s="1">
        <v>0.37648</v>
      </c>
    </row>
    <row r="1091">
      <c r="A1091" s="1">
        <v>2025.0</v>
      </c>
      <c r="B1091" s="1" t="s">
        <v>803</v>
      </c>
      <c r="C1091" s="1">
        <v>605218.0</v>
      </c>
      <c r="D1091" s="1" t="s">
        <v>537</v>
      </c>
      <c r="E1091" s="1" t="s">
        <v>927</v>
      </c>
      <c r="F1091" s="1" t="s">
        <v>926</v>
      </c>
      <c r="G1091" s="1">
        <v>12.0</v>
      </c>
      <c r="H1091" s="1">
        <v>0.8</v>
      </c>
      <c r="I1091" s="1">
        <v>4.79</v>
      </c>
      <c r="J1091" s="1">
        <v>0.319256</v>
      </c>
    </row>
    <row r="1092">
      <c r="A1092" s="1">
        <v>2025.0</v>
      </c>
      <c r="B1092" s="1" t="s">
        <v>803</v>
      </c>
      <c r="C1092" s="1">
        <v>605218.0</v>
      </c>
      <c r="D1092" s="1" t="s">
        <v>532</v>
      </c>
      <c r="E1092" s="1" t="s">
        <v>927</v>
      </c>
      <c r="F1092" s="1" t="s">
        <v>927</v>
      </c>
      <c r="G1092" s="1">
        <v>5.0</v>
      </c>
      <c r="H1092" s="1">
        <v>0.333333333</v>
      </c>
      <c r="I1092" s="1">
        <v>4.8</v>
      </c>
      <c r="J1092" s="1">
        <v>0.137786</v>
      </c>
    </row>
    <row r="1093">
      <c r="A1093" s="1">
        <v>2025.0</v>
      </c>
      <c r="B1093" s="1" t="s">
        <v>803</v>
      </c>
      <c r="C1093" s="1">
        <v>605218.0</v>
      </c>
      <c r="D1093" s="1" t="s">
        <v>541</v>
      </c>
      <c r="E1093" s="1" t="s">
        <v>927</v>
      </c>
      <c r="F1093" s="1" t="s">
        <v>927</v>
      </c>
      <c r="G1093" s="1">
        <v>19.0</v>
      </c>
      <c r="H1093" s="1">
        <v>1.266666667</v>
      </c>
      <c r="I1093" s="1">
        <v>4.92</v>
      </c>
      <c r="J1093" s="1">
        <v>0.47744</v>
      </c>
    </row>
    <row r="1094">
      <c r="A1094" s="1">
        <v>2025.0</v>
      </c>
      <c r="B1094" s="1" t="s">
        <v>803</v>
      </c>
      <c r="C1094" s="1">
        <v>605218.0</v>
      </c>
      <c r="D1094" s="1" t="s">
        <v>537</v>
      </c>
      <c r="E1094" s="1" t="s">
        <v>927</v>
      </c>
      <c r="F1094" s="1" t="s">
        <v>927</v>
      </c>
      <c r="G1094" s="1">
        <v>34.0</v>
      </c>
      <c r="H1094" s="1">
        <v>2.266666667</v>
      </c>
      <c r="I1094" s="1">
        <v>5.77</v>
      </c>
      <c r="J1094" s="1">
        <v>0.236063</v>
      </c>
    </row>
    <row r="1095">
      <c r="A1095" s="1">
        <v>2025.0</v>
      </c>
      <c r="B1095" s="1" t="s">
        <v>324</v>
      </c>
      <c r="C1095" s="1">
        <v>471911.0</v>
      </c>
      <c r="D1095" s="1" t="s">
        <v>532</v>
      </c>
      <c r="E1095" s="1" t="s">
        <v>927</v>
      </c>
      <c r="F1095" s="1" t="s">
        <v>926</v>
      </c>
      <c r="G1095" s="1">
        <v>125.0</v>
      </c>
      <c r="H1095" s="1">
        <v>7.471640489</v>
      </c>
      <c r="I1095" s="1">
        <v>5.16</v>
      </c>
      <c r="J1095" s="1">
        <v>2.276034</v>
      </c>
    </row>
    <row r="1096">
      <c r="A1096" s="1">
        <v>2025.0</v>
      </c>
      <c r="B1096" s="1" t="s">
        <v>324</v>
      </c>
      <c r="C1096" s="1">
        <v>471911.0</v>
      </c>
      <c r="D1096" s="1" t="s">
        <v>541</v>
      </c>
      <c r="E1096" s="1" t="s">
        <v>927</v>
      </c>
      <c r="F1096" s="1" t="s">
        <v>926</v>
      </c>
      <c r="G1096" s="1">
        <v>63.0</v>
      </c>
      <c r="H1096" s="1">
        <v>3.765706806</v>
      </c>
      <c r="I1096" s="1">
        <v>4.57</v>
      </c>
      <c r="J1096" s="1">
        <v>1.923524</v>
      </c>
    </row>
    <row r="1097">
      <c r="A1097" s="1">
        <v>2025.0</v>
      </c>
      <c r="B1097" s="1" t="s">
        <v>324</v>
      </c>
      <c r="C1097" s="1">
        <v>471911.0</v>
      </c>
      <c r="D1097" s="1" t="s">
        <v>537</v>
      </c>
      <c r="E1097" s="1" t="s">
        <v>927</v>
      </c>
      <c r="F1097" s="1" t="s">
        <v>926</v>
      </c>
      <c r="G1097" s="1">
        <v>124.0</v>
      </c>
      <c r="H1097" s="1">
        <v>7.411867365</v>
      </c>
      <c r="I1097" s="1">
        <v>4.8</v>
      </c>
      <c r="J1097" s="1">
        <v>3.32423</v>
      </c>
    </row>
    <row r="1098">
      <c r="A1098" s="1">
        <v>2025.0</v>
      </c>
      <c r="B1098" s="1" t="s">
        <v>324</v>
      </c>
      <c r="C1098" s="1">
        <v>471911.0</v>
      </c>
      <c r="D1098" s="1" t="s">
        <v>536</v>
      </c>
      <c r="E1098" s="1" t="s">
        <v>927</v>
      </c>
      <c r="F1098" s="1" t="s">
        <v>926</v>
      </c>
      <c r="G1098" s="1">
        <v>78.0</v>
      </c>
      <c r="H1098" s="1">
        <v>4.662303665</v>
      </c>
      <c r="I1098" s="1">
        <v>4.71</v>
      </c>
      <c r="J1098" s="1">
        <v>2.217499</v>
      </c>
    </row>
    <row r="1099">
      <c r="A1099" s="1">
        <v>2025.0</v>
      </c>
      <c r="B1099" s="1" t="s">
        <v>324</v>
      </c>
      <c r="C1099" s="1">
        <v>471911.0</v>
      </c>
      <c r="D1099" s="1" t="s">
        <v>533</v>
      </c>
      <c r="E1099" s="1" t="s">
        <v>927</v>
      </c>
      <c r="F1099" s="1" t="s">
        <v>926</v>
      </c>
      <c r="G1099" s="1">
        <v>53.0</v>
      </c>
      <c r="H1099" s="1">
        <v>3.167975567</v>
      </c>
      <c r="I1099" s="1">
        <v>5.3</v>
      </c>
      <c r="J1099" s="1">
        <v>0.879122</v>
      </c>
    </row>
    <row r="1100">
      <c r="A1100" s="1">
        <v>2025.0</v>
      </c>
      <c r="B1100" s="1" t="s">
        <v>324</v>
      </c>
      <c r="C1100" s="1">
        <v>471911.0</v>
      </c>
      <c r="D1100" s="1" t="s">
        <v>539</v>
      </c>
      <c r="E1100" s="1" t="s">
        <v>927</v>
      </c>
      <c r="F1100" s="1" t="s">
        <v>926</v>
      </c>
      <c r="G1100" s="1">
        <v>1.0</v>
      </c>
      <c r="H1100" s="1">
        <v>0.059773124</v>
      </c>
      <c r="I1100" s="1">
        <v>0.09</v>
      </c>
      <c r="J1100" s="1">
        <v>0.115322</v>
      </c>
    </row>
    <row r="1101">
      <c r="A1101" s="1">
        <v>2025.0</v>
      </c>
      <c r="B1101" s="1" t="s">
        <v>324</v>
      </c>
      <c r="C1101" s="1">
        <v>471911.0</v>
      </c>
      <c r="D1101" s="1" t="s">
        <v>532</v>
      </c>
      <c r="E1101" s="1" t="s">
        <v>927</v>
      </c>
      <c r="F1101" s="1" t="s">
        <v>927</v>
      </c>
      <c r="G1101" s="1">
        <v>37.0</v>
      </c>
      <c r="H1101" s="1">
        <v>2.211605585</v>
      </c>
      <c r="I1101" s="1">
        <v>6.19</v>
      </c>
      <c r="J1101" s="1">
        <v>-0.121349</v>
      </c>
    </row>
    <row r="1102">
      <c r="A1102" s="1">
        <v>2025.0</v>
      </c>
      <c r="B1102" s="1" t="s">
        <v>324</v>
      </c>
      <c r="C1102" s="1">
        <v>471911.0</v>
      </c>
      <c r="D1102" s="1" t="s">
        <v>541</v>
      </c>
      <c r="E1102" s="1" t="s">
        <v>927</v>
      </c>
      <c r="F1102" s="1" t="s">
        <v>927</v>
      </c>
      <c r="G1102" s="1">
        <v>11.0</v>
      </c>
      <c r="H1102" s="1">
        <v>0.657504363</v>
      </c>
      <c r="I1102" s="1">
        <v>4.92</v>
      </c>
      <c r="J1102" s="1">
        <v>0.261443</v>
      </c>
    </row>
    <row r="1103">
      <c r="A1103" s="1">
        <v>2025.0</v>
      </c>
      <c r="B1103" s="1" t="s">
        <v>324</v>
      </c>
      <c r="C1103" s="1">
        <v>471911.0</v>
      </c>
      <c r="D1103" s="1" t="s">
        <v>537</v>
      </c>
      <c r="E1103" s="1" t="s">
        <v>927</v>
      </c>
      <c r="F1103" s="1" t="s">
        <v>927</v>
      </c>
      <c r="G1103" s="1">
        <v>36.0</v>
      </c>
      <c r="H1103" s="1">
        <v>2.151832461</v>
      </c>
      <c r="I1103" s="1">
        <v>4.88</v>
      </c>
      <c r="J1103" s="1">
        <v>0.921171</v>
      </c>
    </row>
    <row r="1104">
      <c r="A1104" s="1">
        <v>2025.0</v>
      </c>
      <c r="B1104" s="1" t="s">
        <v>324</v>
      </c>
      <c r="C1104" s="1">
        <v>471911.0</v>
      </c>
      <c r="D1104" s="1" t="s">
        <v>536</v>
      </c>
      <c r="E1104" s="1" t="s">
        <v>927</v>
      </c>
      <c r="F1104" s="1" t="s">
        <v>927</v>
      </c>
      <c r="G1104" s="1">
        <v>92.0</v>
      </c>
      <c r="H1104" s="1">
        <v>5.4991274</v>
      </c>
      <c r="I1104" s="1">
        <v>4.76</v>
      </c>
      <c r="J1104" s="1">
        <v>2.475055</v>
      </c>
    </row>
    <row r="1105">
      <c r="A1105" s="1">
        <v>2025.0</v>
      </c>
      <c r="B1105" s="1" t="s">
        <v>324</v>
      </c>
      <c r="C1105" s="1">
        <v>471911.0</v>
      </c>
      <c r="D1105" s="1" t="s">
        <v>533</v>
      </c>
      <c r="E1105" s="1" t="s">
        <v>927</v>
      </c>
      <c r="F1105" s="1" t="s">
        <v>927</v>
      </c>
      <c r="G1105" s="1">
        <v>143.0</v>
      </c>
      <c r="H1105" s="1">
        <v>8.547556719</v>
      </c>
      <c r="I1105" s="1">
        <v>5.09</v>
      </c>
      <c r="J1105" s="1">
        <v>2.874277</v>
      </c>
    </row>
    <row r="1106">
      <c r="A1106" s="1">
        <v>2025.0</v>
      </c>
      <c r="B1106" s="1" t="s">
        <v>324</v>
      </c>
      <c r="C1106" s="1">
        <v>471911.0</v>
      </c>
      <c r="D1106" s="1" t="s">
        <v>539</v>
      </c>
      <c r="E1106" s="1" t="s">
        <v>927</v>
      </c>
      <c r="F1106" s="1" t="s">
        <v>927</v>
      </c>
      <c r="G1106" s="1">
        <v>1.0</v>
      </c>
      <c r="H1106" s="1">
        <v>0.059773124</v>
      </c>
      <c r="I1106" s="1">
        <v>4.49</v>
      </c>
      <c r="J1106" s="1">
        <v>0.033506</v>
      </c>
    </row>
    <row r="1107">
      <c r="A1107" s="1">
        <v>2025.0</v>
      </c>
      <c r="B1107" s="1" t="s">
        <v>837</v>
      </c>
      <c r="C1107" s="1">
        <v>679922.0</v>
      </c>
      <c r="D1107" s="1" t="s">
        <v>537</v>
      </c>
      <c r="E1107" s="1" t="s">
        <v>927</v>
      </c>
      <c r="F1107" s="1" t="s">
        <v>926</v>
      </c>
      <c r="G1107" s="1">
        <v>4.0</v>
      </c>
      <c r="H1107" s="1">
        <v>0.049382716</v>
      </c>
      <c r="I1107" s="1">
        <v>4.25</v>
      </c>
      <c r="J1107" s="1">
        <v>0.139185</v>
      </c>
    </row>
    <row r="1108">
      <c r="A1108" s="1">
        <v>2025.0</v>
      </c>
      <c r="B1108" s="1" t="s">
        <v>837</v>
      </c>
      <c r="C1108" s="1">
        <v>679922.0</v>
      </c>
      <c r="D1108" s="1" t="s">
        <v>533</v>
      </c>
      <c r="E1108" s="1" t="s">
        <v>927</v>
      </c>
      <c r="F1108" s="1" t="s">
        <v>926</v>
      </c>
      <c r="G1108" s="1">
        <v>2.0</v>
      </c>
      <c r="H1108" s="1">
        <v>0.024691358</v>
      </c>
      <c r="I1108" s="1">
        <v>5.34</v>
      </c>
      <c r="J1108" s="1">
        <v>0.025195</v>
      </c>
    </row>
    <row r="1109">
      <c r="A1109" s="1">
        <v>2025.0</v>
      </c>
      <c r="B1109" s="1" t="s">
        <v>837</v>
      </c>
      <c r="C1109" s="1">
        <v>679922.0</v>
      </c>
      <c r="D1109" s="1" t="s">
        <v>537</v>
      </c>
      <c r="E1109" s="1" t="s">
        <v>927</v>
      </c>
      <c r="F1109" s="1" t="s">
        <v>927</v>
      </c>
      <c r="G1109" s="1">
        <v>8.0</v>
      </c>
      <c r="H1109" s="1">
        <v>0.098765432</v>
      </c>
      <c r="I1109" s="1">
        <v>3.67</v>
      </c>
      <c r="J1109" s="1">
        <v>0.386817</v>
      </c>
    </row>
    <row r="1110">
      <c r="A1110" s="1">
        <v>2025.0</v>
      </c>
      <c r="B1110" s="1" t="s">
        <v>837</v>
      </c>
      <c r="C1110" s="1">
        <v>679922.0</v>
      </c>
      <c r="D1110" s="1" t="s">
        <v>536</v>
      </c>
      <c r="E1110" s="1" t="s">
        <v>927</v>
      </c>
      <c r="F1110" s="1" t="s">
        <v>927</v>
      </c>
      <c r="G1110" s="1">
        <v>9.0</v>
      </c>
      <c r="H1110" s="1">
        <v>0.111111111</v>
      </c>
      <c r="I1110" s="1">
        <v>4.62</v>
      </c>
      <c r="J1110" s="1">
        <v>0.246982</v>
      </c>
    </row>
    <row r="1111">
      <c r="A1111" s="1">
        <v>2025.0</v>
      </c>
      <c r="B1111" s="1" t="s">
        <v>837</v>
      </c>
      <c r="C1111" s="1">
        <v>679922.0</v>
      </c>
      <c r="D1111" s="1" t="s">
        <v>533</v>
      </c>
      <c r="E1111" s="1" t="s">
        <v>927</v>
      </c>
      <c r="F1111" s="1" t="s">
        <v>927</v>
      </c>
      <c r="G1111" s="1">
        <v>4.0</v>
      </c>
      <c r="H1111" s="1">
        <v>0.049382716</v>
      </c>
      <c r="I1111" s="1">
        <v>4.73</v>
      </c>
      <c r="J1111" s="1">
        <v>0.098169</v>
      </c>
    </row>
    <row r="1112">
      <c r="A1112" s="1">
        <v>2025.0</v>
      </c>
      <c r="B1112" s="1" t="s">
        <v>280</v>
      </c>
      <c r="C1112" s="1">
        <v>608032.0</v>
      </c>
      <c r="D1112" s="1" t="s">
        <v>532</v>
      </c>
      <c r="E1112" s="1" t="s">
        <v>927</v>
      </c>
      <c r="F1112" s="1" t="s">
        <v>926</v>
      </c>
      <c r="G1112" s="1">
        <v>148.0</v>
      </c>
      <c r="H1112" s="1">
        <v>9.365292426</v>
      </c>
      <c r="I1112" s="1">
        <v>4.59</v>
      </c>
      <c r="J1112" s="1">
        <v>4.542644</v>
      </c>
    </row>
    <row r="1113">
      <c r="A1113" s="1">
        <v>2025.0</v>
      </c>
      <c r="B1113" s="1" t="s">
        <v>280</v>
      </c>
      <c r="C1113" s="1">
        <v>608032.0</v>
      </c>
      <c r="D1113" s="1" t="s">
        <v>537</v>
      </c>
      <c r="E1113" s="1" t="s">
        <v>927</v>
      </c>
      <c r="F1113" s="1" t="s">
        <v>926</v>
      </c>
      <c r="G1113" s="1">
        <v>311.0</v>
      </c>
      <c r="H1113" s="1">
        <v>19.67976989</v>
      </c>
      <c r="I1113" s="1">
        <v>5.07</v>
      </c>
      <c r="J1113" s="1">
        <v>6.48494</v>
      </c>
    </row>
    <row r="1114">
      <c r="A1114" s="1">
        <v>2025.0</v>
      </c>
      <c r="B1114" s="1" t="s">
        <v>280</v>
      </c>
      <c r="C1114" s="1">
        <v>608032.0</v>
      </c>
      <c r="D1114" s="1" t="s">
        <v>533</v>
      </c>
      <c r="E1114" s="1" t="s">
        <v>927</v>
      </c>
      <c r="F1114" s="1" t="s">
        <v>926</v>
      </c>
      <c r="G1114" s="1">
        <v>122.0</v>
      </c>
      <c r="H1114" s="1">
        <v>7.720038351</v>
      </c>
      <c r="I1114" s="1">
        <v>5.03</v>
      </c>
      <c r="J1114" s="1">
        <v>2.648482</v>
      </c>
    </row>
    <row r="1115">
      <c r="A1115" s="1">
        <v>2025.0</v>
      </c>
      <c r="B1115" s="1" t="s">
        <v>280</v>
      </c>
      <c r="C1115" s="1">
        <v>608032.0</v>
      </c>
      <c r="D1115" s="1" t="s">
        <v>532</v>
      </c>
      <c r="E1115" s="1" t="s">
        <v>927</v>
      </c>
      <c r="F1115" s="1" t="s">
        <v>927</v>
      </c>
      <c r="G1115" s="1">
        <v>15.0</v>
      </c>
      <c r="H1115" s="1">
        <v>0.949185043</v>
      </c>
      <c r="I1115" s="1">
        <v>4.64</v>
      </c>
      <c r="J1115" s="1">
        <v>0.441909</v>
      </c>
    </row>
    <row r="1116">
      <c r="A1116" s="1">
        <v>2025.0</v>
      </c>
      <c r="B1116" s="1" t="s">
        <v>280</v>
      </c>
      <c r="C1116" s="1">
        <v>608032.0</v>
      </c>
      <c r="D1116" s="1" t="s">
        <v>537</v>
      </c>
      <c r="E1116" s="1" t="s">
        <v>927</v>
      </c>
      <c r="F1116" s="1" t="s">
        <v>927</v>
      </c>
      <c r="G1116" s="1">
        <v>247.0</v>
      </c>
      <c r="H1116" s="1">
        <v>15.62991371</v>
      </c>
      <c r="I1116" s="1">
        <v>5.05</v>
      </c>
      <c r="J1116" s="1">
        <v>5.320712</v>
      </c>
    </row>
    <row r="1117">
      <c r="A1117" s="1">
        <v>2025.0</v>
      </c>
      <c r="B1117" s="1" t="s">
        <v>280</v>
      </c>
      <c r="C1117" s="1">
        <v>608032.0</v>
      </c>
      <c r="D1117" s="1" t="s">
        <v>533</v>
      </c>
      <c r="E1117" s="1" t="s">
        <v>927</v>
      </c>
      <c r="F1117" s="1" t="s">
        <v>927</v>
      </c>
      <c r="G1117" s="1">
        <v>200.0</v>
      </c>
      <c r="H1117" s="1">
        <v>12.65580058</v>
      </c>
      <c r="I1117" s="1">
        <v>5.06</v>
      </c>
      <c r="J1117" s="1">
        <v>4.275425</v>
      </c>
    </row>
    <row r="1118">
      <c r="A1118" s="1">
        <v>2025.0</v>
      </c>
      <c r="B1118" s="1" t="s">
        <v>348</v>
      </c>
      <c r="C1118" s="1">
        <v>672578.0</v>
      </c>
      <c r="D1118" s="1" t="s">
        <v>541</v>
      </c>
      <c r="E1118" s="1" t="s">
        <v>927</v>
      </c>
      <c r="F1118" s="1" t="s">
        <v>926</v>
      </c>
      <c r="G1118" s="1">
        <v>39.0</v>
      </c>
      <c r="H1118" s="1">
        <v>2.235449735</v>
      </c>
      <c r="I1118" s="1">
        <v>4.84</v>
      </c>
      <c r="J1118" s="1">
        <v>0.99016</v>
      </c>
    </row>
    <row r="1119">
      <c r="A1119" s="1">
        <v>2025.0</v>
      </c>
      <c r="B1119" s="1" t="s">
        <v>348</v>
      </c>
      <c r="C1119" s="1">
        <v>672578.0</v>
      </c>
      <c r="D1119" s="1" t="s">
        <v>537</v>
      </c>
      <c r="E1119" s="1" t="s">
        <v>927</v>
      </c>
      <c r="F1119" s="1" t="s">
        <v>926</v>
      </c>
      <c r="G1119" s="1">
        <v>207.0</v>
      </c>
      <c r="H1119" s="1">
        <v>11.86507937</v>
      </c>
      <c r="I1119" s="1">
        <v>5.19</v>
      </c>
      <c r="J1119" s="1">
        <v>3.849387</v>
      </c>
    </row>
    <row r="1120">
      <c r="A1120" s="1">
        <v>2025.0</v>
      </c>
      <c r="B1120" s="1" t="s">
        <v>348</v>
      </c>
      <c r="C1120" s="1">
        <v>672578.0</v>
      </c>
      <c r="D1120" s="1" t="s">
        <v>538</v>
      </c>
      <c r="E1120" s="1" t="s">
        <v>927</v>
      </c>
      <c r="F1120" s="1" t="s">
        <v>926</v>
      </c>
      <c r="G1120" s="1">
        <v>105.0</v>
      </c>
      <c r="H1120" s="1">
        <v>6.018518519</v>
      </c>
      <c r="I1120" s="1">
        <v>4.61</v>
      </c>
      <c r="J1120" s="1">
        <v>3.079198</v>
      </c>
    </row>
    <row r="1121">
      <c r="A1121" s="1">
        <v>2025.0</v>
      </c>
      <c r="B1121" s="1" t="s">
        <v>348</v>
      </c>
      <c r="C1121" s="1">
        <v>672578.0</v>
      </c>
      <c r="D1121" s="1" t="s">
        <v>536</v>
      </c>
      <c r="E1121" s="1" t="s">
        <v>927</v>
      </c>
      <c r="F1121" s="1" t="s">
        <v>926</v>
      </c>
      <c r="G1121" s="1">
        <v>9.0</v>
      </c>
      <c r="H1121" s="1">
        <v>0.515873016</v>
      </c>
      <c r="I1121" s="1">
        <v>5.39</v>
      </c>
      <c r="J1121" s="1">
        <v>0.121705</v>
      </c>
    </row>
    <row r="1122">
      <c r="A1122" s="1">
        <v>2025.0</v>
      </c>
      <c r="B1122" s="1" t="s">
        <v>348</v>
      </c>
      <c r="C1122" s="1">
        <v>672578.0</v>
      </c>
      <c r="D1122" s="1" t="s">
        <v>533</v>
      </c>
      <c r="E1122" s="1" t="s">
        <v>927</v>
      </c>
      <c r="F1122" s="1" t="s">
        <v>926</v>
      </c>
      <c r="G1122" s="1">
        <v>29.0</v>
      </c>
      <c r="H1122" s="1">
        <v>1.662257496</v>
      </c>
      <c r="I1122" s="1">
        <v>4.87</v>
      </c>
      <c r="J1122" s="1">
        <v>0.723276</v>
      </c>
    </row>
    <row r="1123">
      <c r="A1123" s="1">
        <v>2025.0</v>
      </c>
      <c r="B1123" s="1" t="s">
        <v>348</v>
      </c>
      <c r="C1123" s="1">
        <v>672578.0</v>
      </c>
      <c r="D1123" s="1" t="s">
        <v>541</v>
      </c>
      <c r="E1123" s="1" t="s">
        <v>927</v>
      </c>
      <c r="F1123" s="1" t="s">
        <v>927</v>
      </c>
      <c r="G1123" s="1">
        <v>12.0</v>
      </c>
      <c r="H1123" s="1">
        <v>0.687830688</v>
      </c>
      <c r="I1123" s="1">
        <v>5.22</v>
      </c>
      <c r="J1123" s="1">
        <v>0.225473</v>
      </c>
    </row>
    <row r="1124">
      <c r="A1124" s="1">
        <v>2025.0</v>
      </c>
      <c r="B1124" s="1" t="s">
        <v>348</v>
      </c>
      <c r="C1124" s="1">
        <v>672578.0</v>
      </c>
      <c r="D1124" s="1" t="s">
        <v>537</v>
      </c>
      <c r="E1124" s="1" t="s">
        <v>927</v>
      </c>
      <c r="F1124" s="1" t="s">
        <v>927</v>
      </c>
      <c r="G1124" s="1">
        <v>178.0</v>
      </c>
      <c r="H1124" s="1">
        <v>10.20282187</v>
      </c>
      <c r="I1124" s="1">
        <v>5.19</v>
      </c>
      <c r="J1124" s="1">
        <v>3.283331</v>
      </c>
    </row>
    <row r="1125">
      <c r="A1125" s="1">
        <v>2025.0</v>
      </c>
      <c r="B1125" s="1" t="s">
        <v>348</v>
      </c>
      <c r="C1125" s="1">
        <v>672578.0</v>
      </c>
      <c r="D1125" s="1" t="s">
        <v>538</v>
      </c>
      <c r="E1125" s="1" t="s">
        <v>927</v>
      </c>
      <c r="F1125" s="1" t="s">
        <v>927</v>
      </c>
      <c r="G1125" s="1">
        <v>46.0</v>
      </c>
      <c r="H1125" s="1">
        <v>2.636684303</v>
      </c>
      <c r="I1125" s="1">
        <v>4.87</v>
      </c>
      <c r="J1125" s="1">
        <v>1.083987</v>
      </c>
    </row>
    <row r="1126">
      <c r="A1126" s="1">
        <v>2025.0</v>
      </c>
      <c r="B1126" s="1" t="s">
        <v>348</v>
      </c>
      <c r="C1126" s="1">
        <v>672578.0</v>
      </c>
      <c r="D1126" s="1" t="s">
        <v>536</v>
      </c>
      <c r="E1126" s="1" t="s">
        <v>927</v>
      </c>
      <c r="F1126" s="1" t="s">
        <v>927</v>
      </c>
      <c r="G1126" s="1">
        <v>13.0</v>
      </c>
      <c r="H1126" s="1">
        <v>0.745149912</v>
      </c>
      <c r="I1126" s="1">
        <v>4.09</v>
      </c>
      <c r="J1126" s="1">
        <v>0.536589</v>
      </c>
    </row>
    <row r="1127">
      <c r="A1127" s="1">
        <v>2025.0</v>
      </c>
      <c r="B1127" s="1" t="s">
        <v>348</v>
      </c>
      <c r="C1127" s="1">
        <v>672578.0</v>
      </c>
      <c r="D1127" s="1" t="s">
        <v>533</v>
      </c>
      <c r="E1127" s="1" t="s">
        <v>927</v>
      </c>
      <c r="F1127" s="1" t="s">
        <v>927</v>
      </c>
      <c r="G1127" s="1">
        <v>117.0</v>
      </c>
      <c r="H1127" s="1">
        <v>6.706349206</v>
      </c>
      <c r="I1127" s="1">
        <v>4.96</v>
      </c>
      <c r="J1127" s="1">
        <v>2.656959</v>
      </c>
    </row>
    <row r="1128">
      <c r="A1128" s="1">
        <v>2025.0</v>
      </c>
      <c r="B1128" s="1" t="s">
        <v>348</v>
      </c>
      <c r="C1128" s="1">
        <v>672578.0</v>
      </c>
      <c r="D1128" s="1" t="s">
        <v>539</v>
      </c>
      <c r="E1128" s="1" t="s">
        <v>927</v>
      </c>
      <c r="F1128" s="1" t="s">
        <v>927</v>
      </c>
      <c r="G1128" s="1">
        <v>1.0</v>
      </c>
      <c r="H1128" s="1">
        <v>0.057319224</v>
      </c>
      <c r="I1128" s="1">
        <v>3.17</v>
      </c>
      <c r="J1128" s="1">
        <v>0.060288</v>
      </c>
    </row>
    <row r="1129">
      <c r="A1129" s="1">
        <v>2025.0</v>
      </c>
      <c r="B1129" s="1" t="s">
        <v>587</v>
      </c>
      <c r="C1129" s="1">
        <v>692230.0</v>
      </c>
      <c r="D1129" s="1" t="s">
        <v>532</v>
      </c>
      <c r="E1129" s="1" t="s">
        <v>927</v>
      </c>
      <c r="F1129" s="1" t="s">
        <v>926</v>
      </c>
      <c r="G1129" s="1">
        <v>39.0</v>
      </c>
      <c r="H1129" s="1">
        <v>1.8125</v>
      </c>
      <c r="I1129" s="1">
        <v>4.24</v>
      </c>
      <c r="J1129" s="1">
        <v>1.565106</v>
      </c>
    </row>
    <row r="1130">
      <c r="A1130" s="1">
        <v>2025.0</v>
      </c>
      <c r="B1130" s="1" t="s">
        <v>587</v>
      </c>
      <c r="C1130" s="1">
        <v>692230.0</v>
      </c>
      <c r="D1130" s="1" t="s">
        <v>541</v>
      </c>
      <c r="E1130" s="1" t="s">
        <v>927</v>
      </c>
      <c r="F1130" s="1" t="s">
        <v>926</v>
      </c>
      <c r="G1130" s="1">
        <v>7.0</v>
      </c>
      <c r="H1130" s="1">
        <v>0.325320513</v>
      </c>
      <c r="I1130" s="1">
        <v>5.77</v>
      </c>
      <c r="J1130" s="1">
        <v>0.046082</v>
      </c>
    </row>
    <row r="1131">
      <c r="A1131" s="1">
        <v>2025.0</v>
      </c>
      <c r="B1131" s="1" t="s">
        <v>587</v>
      </c>
      <c r="C1131" s="1">
        <v>692230.0</v>
      </c>
      <c r="D1131" s="1" t="s">
        <v>540</v>
      </c>
      <c r="E1131" s="1" t="s">
        <v>927</v>
      </c>
      <c r="F1131" s="1" t="s">
        <v>926</v>
      </c>
      <c r="G1131" s="1">
        <v>10.0</v>
      </c>
      <c r="H1131" s="1">
        <v>0.46474359</v>
      </c>
      <c r="I1131" s="1">
        <v>5.94</v>
      </c>
      <c r="J1131" s="1">
        <v>0.036856</v>
      </c>
    </row>
    <row r="1132">
      <c r="A1132" s="1">
        <v>2025.0</v>
      </c>
      <c r="B1132" s="1" t="s">
        <v>587</v>
      </c>
      <c r="C1132" s="1">
        <v>692230.0</v>
      </c>
      <c r="D1132" s="1" t="s">
        <v>537</v>
      </c>
      <c r="E1132" s="1" t="s">
        <v>927</v>
      </c>
      <c r="F1132" s="1" t="s">
        <v>926</v>
      </c>
      <c r="G1132" s="1">
        <v>29.0</v>
      </c>
      <c r="H1132" s="1">
        <v>1.34775641</v>
      </c>
      <c r="I1132" s="1">
        <v>5.43</v>
      </c>
      <c r="J1132" s="1">
        <v>0.442944</v>
      </c>
    </row>
    <row r="1133">
      <c r="A1133" s="1">
        <v>2025.0</v>
      </c>
      <c r="B1133" s="1" t="s">
        <v>587</v>
      </c>
      <c r="C1133" s="1">
        <v>692230.0</v>
      </c>
      <c r="D1133" s="1" t="s">
        <v>536</v>
      </c>
      <c r="E1133" s="1" t="s">
        <v>927</v>
      </c>
      <c r="F1133" s="1" t="s">
        <v>926</v>
      </c>
      <c r="G1133" s="1">
        <v>2.0</v>
      </c>
      <c r="H1133" s="1">
        <v>0.092948718</v>
      </c>
      <c r="I1133" s="1">
        <v>4.96</v>
      </c>
      <c r="J1133" s="1">
        <v>0.058286</v>
      </c>
    </row>
    <row r="1134">
      <c r="A1134" s="1">
        <v>2025.0</v>
      </c>
      <c r="B1134" s="1" t="s">
        <v>587</v>
      </c>
      <c r="C1134" s="1">
        <v>692230.0</v>
      </c>
      <c r="D1134" s="1" t="s">
        <v>533</v>
      </c>
      <c r="E1134" s="1" t="s">
        <v>927</v>
      </c>
      <c r="F1134" s="1" t="s">
        <v>926</v>
      </c>
      <c r="G1134" s="1">
        <v>1.0</v>
      </c>
      <c r="H1134" s="1">
        <v>0.046474359</v>
      </c>
      <c r="I1134" s="1">
        <v>7.51</v>
      </c>
      <c r="J1134" s="1">
        <v>-0.027353</v>
      </c>
    </row>
    <row r="1135">
      <c r="A1135" s="1">
        <v>2025.0</v>
      </c>
      <c r="B1135" s="1" t="s">
        <v>587</v>
      </c>
      <c r="C1135" s="1">
        <v>692230.0</v>
      </c>
      <c r="D1135" s="1" t="s">
        <v>532</v>
      </c>
      <c r="E1135" s="1" t="s">
        <v>927</v>
      </c>
      <c r="F1135" s="1" t="s">
        <v>927</v>
      </c>
      <c r="G1135" s="1">
        <v>7.0</v>
      </c>
      <c r="H1135" s="1">
        <v>0.325320513</v>
      </c>
      <c r="I1135" s="1">
        <v>4.63</v>
      </c>
      <c r="J1135" s="1">
        <v>0.213551</v>
      </c>
    </row>
    <row r="1136">
      <c r="A1136" s="1">
        <v>2025.0</v>
      </c>
      <c r="B1136" s="1" t="s">
        <v>587</v>
      </c>
      <c r="C1136" s="1">
        <v>692230.0</v>
      </c>
      <c r="D1136" s="1" t="s">
        <v>541</v>
      </c>
      <c r="E1136" s="1" t="s">
        <v>927</v>
      </c>
      <c r="F1136" s="1" t="s">
        <v>927</v>
      </c>
      <c r="G1136" s="1">
        <v>7.0</v>
      </c>
      <c r="H1136" s="1">
        <v>0.325320513</v>
      </c>
      <c r="I1136" s="1">
        <v>4.63</v>
      </c>
      <c r="J1136" s="1">
        <v>0.205436</v>
      </c>
    </row>
    <row r="1137">
      <c r="A1137" s="1">
        <v>2025.0</v>
      </c>
      <c r="B1137" s="1" t="s">
        <v>587</v>
      </c>
      <c r="C1137" s="1">
        <v>692230.0</v>
      </c>
      <c r="D1137" s="1" t="s">
        <v>540</v>
      </c>
      <c r="E1137" s="1" t="s">
        <v>927</v>
      </c>
      <c r="F1137" s="1" t="s">
        <v>927</v>
      </c>
      <c r="G1137" s="1">
        <v>33.0</v>
      </c>
      <c r="H1137" s="1">
        <v>1.533653846</v>
      </c>
      <c r="I1137" s="1">
        <v>5.21</v>
      </c>
      <c r="J1137" s="1">
        <v>0.661001</v>
      </c>
    </row>
    <row r="1138">
      <c r="A1138" s="1">
        <v>2025.0</v>
      </c>
      <c r="B1138" s="1" t="s">
        <v>587</v>
      </c>
      <c r="C1138" s="1">
        <v>692230.0</v>
      </c>
      <c r="D1138" s="1" t="s">
        <v>537</v>
      </c>
      <c r="E1138" s="1" t="s">
        <v>927</v>
      </c>
      <c r="F1138" s="1" t="s">
        <v>927</v>
      </c>
      <c r="G1138" s="1">
        <v>25.0</v>
      </c>
      <c r="H1138" s="1">
        <v>1.161858974</v>
      </c>
      <c r="I1138" s="1">
        <v>4.66</v>
      </c>
      <c r="J1138" s="1">
        <v>0.765621</v>
      </c>
    </row>
    <row r="1139">
      <c r="A1139" s="1">
        <v>2025.0</v>
      </c>
      <c r="B1139" s="1" t="s">
        <v>587</v>
      </c>
      <c r="C1139" s="1">
        <v>692230.0</v>
      </c>
      <c r="D1139" s="1" t="s">
        <v>536</v>
      </c>
      <c r="E1139" s="1" t="s">
        <v>927</v>
      </c>
      <c r="F1139" s="1" t="s">
        <v>927</v>
      </c>
      <c r="G1139" s="1">
        <v>10.0</v>
      </c>
      <c r="H1139" s="1">
        <v>0.46474359</v>
      </c>
      <c r="I1139" s="1">
        <v>3.94</v>
      </c>
      <c r="J1139" s="1">
        <v>0.4795</v>
      </c>
    </row>
    <row r="1140">
      <c r="A1140" s="1">
        <v>2025.0</v>
      </c>
      <c r="B1140" s="1" t="s">
        <v>587</v>
      </c>
      <c r="C1140" s="1">
        <v>692230.0</v>
      </c>
      <c r="D1140" s="1" t="s">
        <v>533</v>
      </c>
      <c r="E1140" s="1" t="s">
        <v>927</v>
      </c>
      <c r="F1140" s="1" t="s">
        <v>927</v>
      </c>
      <c r="G1140" s="1">
        <v>38.0</v>
      </c>
      <c r="H1140" s="1">
        <v>1.766025641</v>
      </c>
      <c r="I1140" s="1">
        <v>5.81</v>
      </c>
      <c r="J1140" s="1">
        <v>0.266217</v>
      </c>
    </row>
    <row r="1141">
      <c r="A1141" s="1">
        <v>2025.0</v>
      </c>
      <c r="B1141" s="1" t="s">
        <v>285</v>
      </c>
      <c r="C1141" s="1">
        <v>607074.0</v>
      </c>
      <c r="D1141" s="1" t="s">
        <v>532</v>
      </c>
      <c r="E1141" s="1" t="s">
        <v>926</v>
      </c>
      <c r="F1141" s="1" t="s">
        <v>926</v>
      </c>
      <c r="G1141" s="1">
        <v>4.0</v>
      </c>
      <c r="H1141" s="1">
        <v>0.243254462</v>
      </c>
      <c r="I1141" s="1">
        <v>5.35</v>
      </c>
      <c r="J1141" s="1">
        <v>0.043892</v>
      </c>
    </row>
    <row r="1142">
      <c r="A1142" s="1">
        <v>2025.0</v>
      </c>
      <c r="B1142" s="1" t="s">
        <v>285</v>
      </c>
      <c r="C1142" s="1">
        <v>607074.0</v>
      </c>
      <c r="D1142" s="1" t="s">
        <v>541</v>
      </c>
      <c r="E1142" s="1" t="s">
        <v>926</v>
      </c>
      <c r="F1142" s="1" t="s">
        <v>926</v>
      </c>
      <c r="G1142" s="1">
        <v>5.0</v>
      </c>
      <c r="H1142" s="1">
        <v>0.304068078</v>
      </c>
      <c r="I1142" s="1">
        <v>4.26</v>
      </c>
      <c r="J1142" s="1">
        <v>0.180258</v>
      </c>
    </row>
    <row r="1143">
      <c r="A1143" s="1">
        <v>2025.0</v>
      </c>
      <c r="B1143" s="1" t="s">
        <v>285</v>
      </c>
      <c r="C1143" s="1">
        <v>607074.0</v>
      </c>
      <c r="D1143" s="1" t="s">
        <v>540</v>
      </c>
      <c r="E1143" s="1" t="s">
        <v>926</v>
      </c>
      <c r="F1143" s="1" t="s">
        <v>926</v>
      </c>
      <c r="G1143" s="1">
        <v>5.0</v>
      </c>
      <c r="H1143" s="1">
        <v>0.304068078</v>
      </c>
      <c r="I1143" s="1">
        <v>5.12</v>
      </c>
      <c r="J1143" s="1">
        <v>0.10327</v>
      </c>
    </row>
    <row r="1144">
      <c r="A1144" s="1">
        <v>2025.0</v>
      </c>
      <c r="B1144" s="1" t="s">
        <v>285</v>
      </c>
      <c r="C1144" s="1">
        <v>607074.0</v>
      </c>
      <c r="D1144" s="1" t="s">
        <v>537</v>
      </c>
      <c r="E1144" s="1" t="s">
        <v>926</v>
      </c>
      <c r="F1144" s="1" t="s">
        <v>926</v>
      </c>
      <c r="G1144" s="1">
        <v>221.0</v>
      </c>
      <c r="H1144" s="1">
        <v>13.43980905</v>
      </c>
      <c r="I1144" s="1">
        <v>5.48</v>
      </c>
      <c r="J1144" s="1">
        <v>2.810522</v>
      </c>
    </row>
    <row r="1145">
      <c r="A1145" s="1">
        <v>2025.0</v>
      </c>
      <c r="B1145" s="1" t="s">
        <v>285</v>
      </c>
      <c r="C1145" s="1">
        <v>607074.0</v>
      </c>
      <c r="D1145" s="1" t="s">
        <v>536</v>
      </c>
      <c r="E1145" s="1" t="s">
        <v>926</v>
      </c>
      <c r="F1145" s="1" t="s">
        <v>926</v>
      </c>
      <c r="G1145" s="1">
        <v>229.0</v>
      </c>
      <c r="H1145" s="1">
        <v>13.92631797</v>
      </c>
      <c r="I1145" s="1">
        <v>4.92</v>
      </c>
      <c r="J1145" s="1">
        <v>5.314415</v>
      </c>
    </row>
    <row r="1146">
      <c r="A1146" s="1">
        <v>2025.0</v>
      </c>
      <c r="B1146" s="1" t="s">
        <v>285</v>
      </c>
      <c r="C1146" s="1">
        <v>607074.0</v>
      </c>
      <c r="D1146" s="1" t="s">
        <v>533</v>
      </c>
      <c r="E1146" s="1" t="s">
        <v>926</v>
      </c>
      <c r="F1146" s="1" t="s">
        <v>926</v>
      </c>
      <c r="G1146" s="1">
        <v>267.0</v>
      </c>
      <c r="H1146" s="1">
        <v>16.23723537</v>
      </c>
      <c r="I1146" s="1">
        <v>4.9</v>
      </c>
      <c r="J1146" s="1">
        <v>6.318514</v>
      </c>
    </row>
    <row r="1147">
      <c r="A1147" s="1">
        <v>2025.0</v>
      </c>
      <c r="B1147" s="1" t="s">
        <v>285</v>
      </c>
      <c r="C1147" s="1">
        <v>607074.0</v>
      </c>
      <c r="D1147" s="1" t="s">
        <v>532</v>
      </c>
      <c r="E1147" s="1" t="s">
        <v>926</v>
      </c>
      <c r="F1147" s="1" t="s">
        <v>927</v>
      </c>
      <c r="G1147" s="1">
        <v>515.0</v>
      </c>
      <c r="H1147" s="1">
        <v>31.31901204</v>
      </c>
      <c r="I1147" s="1">
        <v>4.81</v>
      </c>
      <c r="J1147" s="1">
        <v>13.084782</v>
      </c>
    </row>
    <row r="1148">
      <c r="A1148" s="1">
        <v>2025.0</v>
      </c>
      <c r="B1148" s="1" t="s">
        <v>285</v>
      </c>
      <c r="C1148" s="1">
        <v>607074.0</v>
      </c>
      <c r="D1148" s="1" t="s">
        <v>541</v>
      </c>
      <c r="E1148" s="1" t="s">
        <v>926</v>
      </c>
      <c r="F1148" s="1" t="s">
        <v>927</v>
      </c>
      <c r="G1148" s="1">
        <v>117.0</v>
      </c>
      <c r="H1148" s="1">
        <v>7.115193026</v>
      </c>
      <c r="I1148" s="1">
        <v>4.74</v>
      </c>
      <c r="J1148" s="1">
        <v>3.232027</v>
      </c>
    </row>
    <row r="1149">
      <c r="A1149" s="1">
        <v>2025.0</v>
      </c>
      <c r="B1149" s="1" t="s">
        <v>285</v>
      </c>
      <c r="C1149" s="1">
        <v>607074.0</v>
      </c>
      <c r="D1149" s="1" t="s">
        <v>537</v>
      </c>
      <c r="E1149" s="1" t="s">
        <v>926</v>
      </c>
      <c r="F1149" s="1" t="s">
        <v>927</v>
      </c>
      <c r="G1149" s="1">
        <v>1123.0</v>
      </c>
      <c r="H1149" s="1">
        <v>68.29369033</v>
      </c>
      <c r="I1149" s="1">
        <v>5.02</v>
      </c>
      <c r="J1149" s="1">
        <v>25.011074</v>
      </c>
    </row>
    <row r="1150">
      <c r="A1150" s="1">
        <v>2025.0</v>
      </c>
      <c r="B1150" s="1" t="s">
        <v>285</v>
      </c>
      <c r="C1150" s="1">
        <v>607074.0</v>
      </c>
      <c r="D1150" s="1" t="s">
        <v>536</v>
      </c>
      <c r="E1150" s="1" t="s">
        <v>926</v>
      </c>
      <c r="F1150" s="1" t="s">
        <v>927</v>
      </c>
      <c r="G1150" s="1">
        <v>80.0</v>
      </c>
      <c r="H1150" s="1">
        <v>4.865089249</v>
      </c>
      <c r="I1150" s="1">
        <v>4.24</v>
      </c>
      <c r="J1150" s="1">
        <v>3.022019</v>
      </c>
    </row>
    <row r="1151">
      <c r="A1151" s="1">
        <v>2025.0</v>
      </c>
      <c r="B1151" s="1" t="s">
        <v>285</v>
      </c>
      <c r="C1151" s="1">
        <v>607074.0</v>
      </c>
      <c r="D1151" s="1" t="s">
        <v>533</v>
      </c>
      <c r="E1151" s="1" t="s">
        <v>926</v>
      </c>
      <c r="F1151" s="1" t="s">
        <v>927</v>
      </c>
      <c r="G1151" s="1">
        <v>646.0</v>
      </c>
      <c r="H1151" s="1">
        <v>39.28559568</v>
      </c>
      <c r="I1151" s="1">
        <v>5.2</v>
      </c>
      <c r="J1151" s="1">
        <v>11.328741</v>
      </c>
    </row>
    <row r="1152">
      <c r="A1152" s="1">
        <v>2025.0</v>
      </c>
      <c r="B1152" s="1" t="s">
        <v>101</v>
      </c>
      <c r="C1152" s="1">
        <v>672841.0</v>
      </c>
      <c r="D1152" s="1" t="s">
        <v>532</v>
      </c>
      <c r="E1152" s="1" t="s">
        <v>927</v>
      </c>
      <c r="F1152" s="1" t="s">
        <v>926</v>
      </c>
      <c r="G1152" s="1">
        <v>11.0</v>
      </c>
      <c r="H1152" s="1">
        <v>0.773515982</v>
      </c>
      <c r="I1152" s="1">
        <v>4.46</v>
      </c>
      <c r="J1152" s="1">
        <v>0.354207</v>
      </c>
    </row>
    <row r="1153">
      <c r="A1153" s="1">
        <v>2025.0</v>
      </c>
      <c r="B1153" s="1" t="s">
        <v>101</v>
      </c>
      <c r="C1153" s="1">
        <v>672841.0</v>
      </c>
      <c r="D1153" s="1" t="s">
        <v>540</v>
      </c>
      <c r="E1153" s="1" t="s">
        <v>927</v>
      </c>
      <c r="F1153" s="1" t="s">
        <v>926</v>
      </c>
      <c r="G1153" s="1">
        <v>72.0</v>
      </c>
      <c r="H1153" s="1">
        <v>5.063013699</v>
      </c>
      <c r="I1153" s="1">
        <v>5.4</v>
      </c>
      <c r="J1153" s="1">
        <v>1.017549</v>
      </c>
    </row>
    <row r="1154">
      <c r="A1154" s="1">
        <v>2025.0</v>
      </c>
      <c r="B1154" s="1" t="s">
        <v>101</v>
      </c>
      <c r="C1154" s="1">
        <v>672841.0</v>
      </c>
      <c r="D1154" s="1" t="s">
        <v>537</v>
      </c>
      <c r="E1154" s="1" t="s">
        <v>927</v>
      </c>
      <c r="F1154" s="1" t="s">
        <v>926</v>
      </c>
      <c r="G1154" s="1">
        <v>18.0</v>
      </c>
      <c r="H1154" s="1">
        <v>1.265753425</v>
      </c>
      <c r="I1154" s="1">
        <v>4.45</v>
      </c>
      <c r="J1154" s="1">
        <v>0.617534</v>
      </c>
    </row>
    <row r="1155">
      <c r="A1155" s="1">
        <v>2025.0</v>
      </c>
      <c r="B1155" s="1" t="s">
        <v>101</v>
      </c>
      <c r="C1155" s="1">
        <v>672841.0</v>
      </c>
      <c r="D1155" s="1" t="s">
        <v>536</v>
      </c>
      <c r="E1155" s="1" t="s">
        <v>927</v>
      </c>
      <c r="F1155" s="1" t="s">
        <v>926</v>
      </c>
      <c r="G1155" s="1">
        <v>270.0</v>
      </c>
      <c r="H1155" s="1">
        <v>18.98630137</v>
      </c>
      <c r="I1155" s="1">
        <v>4.94</v>
      </c>
      <c r="J1155" s="1">
        <v>6.462633</v>
      </c>
    </row>
    <row r="1156">
      <c r="A1156" s="1">
        <v>2025.0</v>
      </c>
      <c r="B1156" s="1" t="s">
        <v>101</v>
      </c>
      <c r="C1156" s="1">
        <v>672841.0</v>
      </c>
      <c r="D1156" s="1" t="s">
        <v>533</v>
      </c>
      <c r="E1156" s="1" t="s">
        <v>927</v>
      </c>
      <c r="F1156" s="1" t="s">
        <v>926</v>
      </c>
      <c r="G1156" s="1">
        <v>85.0</v>
      </c>
      <c r="H1156" s="1">
        <v>5.97716895</v>
      </c>
      <c r="I1156" s="1">
        <v>5.51</v>
      </c>
      <c r="J1156" s="1">
        <v>0.896817</v>
      </c>
    </row>
    <row r="1157">
      <c r="A1157" s="1">
        <v>2025.0</v>
      </c>
      <c r="B1157" s="1" t="s">
        <v>101</v>
      </c>
      <c r="C1157" s="1">
        <v>672841.0</v>
      </c>
      <c r="D1157" s="1" t="s">
        <v>532</v>
      </c>
      <c r="E1157" s="1" t="s">
        <v>927</v>
      </c>
      <c r="F1157" s="1" t="s">
        <v>927</v>
      </c>
      <c r="G1157" s="1">
        <v>10.0</v>
      </c>
      <c r="H1157" s="1">
        <v>0.703196347</v>
      </c>
      <c r="I1157" s="1">
        <v>4.7</v>
      </c>
      <c r="J1157" s="1">
        <v>0.275696</v>
      </c>
    </row>
    <row r="1158">
      <c r="A1158" s="1">
        <v>2025.0</v>
      </c>
      <c r="B1158" s="1" t="s">
        <v>101</v>
      </c>
      <c r="C1158" s="1">
        <v>672841.0</v>
      </c>
      <c r="D1158" s="1" t="s">
        <v>540</v>
      </c>
      <c r="E1158" s="1" t="s">
        <v>927</v>
      </c>
      <c r="F1158" s="1" t="s">
        <v>927</v>
      </c>
      <c r="G1158" s="1">
        <v>79.0</v>
      </c>
      <c r="H1158" s="1">
        <v>5.555251142</v>
      </c>
      <c r="I1158" s="1">
        <v>4.92</v>
      </c>
      <c r="J1158" s="1">
        <v>1.88176</v>
      </c>
    </row>
    <row r="1159">
      <c r="A1159" s="1">
        <v>2025.0</v>
      </c>
      <c r="B1159" s="1" t="s">
        <v>101</v>
      </c>
      <c r="C1159" s="1">
        <v>672841.0</v>
      </c>
      <c r="D1159" s="1" t="s">
        <v>537</v>
      </c>
      <c r="E1159" s="1" t="s">
        <v>927</v>
      </c>
      <c r="F1159" s="1" t="s">
        <v>927</v>
      </c>
      <c r="G1159" s="1">
        <v>21.0</v>
      </c>
      <c r="H1159" s="1">
        <v>1.476712329</v>
      </c>
      <c r="I1159" s="1">
        <v>4.93</v>
      </c>
      <c r="J1159" s="1">
        <v>0.4768</v>
      </c>
    </row>
    <row r="1160">
      <c r="A1160" s="1">
        <v>2025.0</v>
      </c>
      <c r="B1160" s="1" t="s">
        <v>101</v>
      </c>
      <c r="C1160" s="1">
        <v>672841.0</v>
      </c>
      <c r="D1160" s="1" t="s">
        <v>536</v>
      </c>
      <c r="E1160" s="1" t="s">
        <v>927</v>
      </c>
      <c r="F1160" s="1" t="s">
        <v>927</v>
      </c>
      <c r="G1160" s="1">
        <v>423.0</v>
      </c>
      <c r="H1160" s="1">
        <v>29.74520548</v>
      </c>
      <c r="I1160" s="1">
        <v>5.19</v>
      </c>
      <c r="J1160" s="1">
        <v>7.916656</v>
      </c>
    </row>
    <row r="1161">
      <c r="A1161" s="1">
        <v>2025.0</v>
      </c>
      <c r="B1161" s="1" t="s">
        <v>101</v>
      </c>
      <c r="C1161" s="1">
        <v>672841.0</v>
      </c>
      <c r="D1161" s="1" t="s">
        <v>533</v>
      </c>
      <c r="E1161" s="1" t="s">
        <v>927</v>
      </c>
      <c r="F1161" s="1" t="s">
        <v>927</v>
      </c>
      <c r="G1161" s="1">
        <v>106.0</v>
      </c>
      <c r="H1161" s="1">
        <v>7.453881279</v>
      </c>
      <c r="I1161" s="1">
        <v>4.91</v>
      </c>
      <c r="J1161" s="1">
        <v>2.488763</v>
      </c>
    </row>
    <row r="1162">
      <c r="A1162" s="1">
        <v>2025.0</v>
      </c>
      <c r="B1162" s="1" t="s">
        <v>267</v>
      </c>
      <c r="C1162" s="1">
        <v>669387.0</v>
      </c>
      <c r="D1162" s="1" t="s">
        <v>532</v>
      </c>
      <c r="E1162" s="1" t="s">
        <v>927</v>
      </c>
      <c r="F1162" s="1" t="s">
        <v>926</v>
      </c>
      <c r="G1162" s="1">
        <v>4.0</v>
      </c>
      <c r="H1162" s="1">
        <v>0.240437158</v>
      </c>
      <c r="I1162" s="1">
        <v>4.09</v>
      </c>
      <c r="J1162" s="1">
        <v>0.164999</v>
      </c>
    </row>
    <row r="1163">
      <c r="A1163" s="1">
        <v>2025.0</v>
      </c>
      <c r="B1163" s="1" t="s">
        <v>267</v>
      </c>
      <c r="C1163" s="1">
        <v>669387.0</v>
      </c>
      <c r="D1163" s="1" t="s">
        <v>541</v>
      </c>
      <c r="E1163" s="1" t="s">
        <v>927</v>
      </c>
      <c r="F1163" s="1" t="s">
        <v>926</v>
      </c>
      <c r="G1163" s="1">
        <v>85.0</v>
      </c>
      <c r="H1163" s="1">
        <v>5.109289617</v>
      </c>
      <c r="I1163" s="1">
        <v>5.5</v>
      </c>
      <c r="J1163" s="1">
        <v>1.033506</v>
      </c>
    </row>
    <row r="1164">
      <c r="A1164" s="1">
        <v>2025.0</v>
      </c>
      <c r="B1164" s="1" t="s">
        <v>267</v>
      </c>
      <c r="C1164" s="1">
        <v>669387.0</v>
      </c>
      <c r="D1164" s="1" t="s">
        <v>540</v>
      </c>
      <c r="E1164" s="1" t="s">
        <v>927</v>
      </c>
      <c r="F1164" s="1" t="s">
        <v>926</v>
      </c>
      <c r="G1164" s="1">
        <v>2.0</v>
      </c>
      <c r="H1164" s="1">
        <v>0.120218579</v>
      </c>
      <c r="I1164" s="1">
        <v>4.94</v>
      </c>
      <c r="J1164" s="1">
        <v>0.047413</v>
      </c>
    </row>
    <row r="1165">
      <c r="A1165" s="1">
        <v>2025.0</v>
      </c>
      <c r="B1165" s="1" t="s">
        <v>267</v>
      </c>
      <c r="C1165" s="1">
        <v>669387.0</v>
      </c>
      <c r="D1165" s="1" t="s">
        <v>537</v>
      </c>
      <c r="E1165" s="1" t="s">
        <v>927</v>
      </c>
      <c r="F1165" s="1" t="s">
        <v>926</v>
      </c>
      <c r="G1165" s="1">
        <v>344.0</v>
      </c>
      <c r="H1165" s="1">
        <v>20.67759563</v>
      </c>
      <c r="I1165" s="1">
        <v>4.73</v>
      </c>
      <c r="J1165" s="1">
        <v>9.461329</v>
      </c>
    </row>
    <row r="1166">
      <c r="A1166" s="1">
        <v>2025.0</v>
      </c>
      <c r="B1166" s="1" t="s">
        <v>267</v>
      </c>
      <c r="C1166" s="1">
        <v>669387.0</v>
      </c>
      <c r="D1166" s="1" t="s">
        <v>538</v>
      </c>
      <c r="E1166" s="1" t="s">
        <v>927</v>
      </c>
      <c r="F1166" s="1" t="s">
        <v>926</v>
      </c>
      <c r="G1166" s="1">
        <v>183.0</v>
      </c>
      <c r="H1166" s="1">
        <v>11.0</v>
      </c>
      <c r="I1166" s="1">
        <v>4.64</v>
      </c>
      <c r="J1166" s="1">
        <v>5.194426</v>
      </c>
    </row>
    <row r="1167">
      <c r="A1167" s="1">
        <v>2025.0</v>
      </c>
      <c r="B1167" s="1" t="s">
        <v>267</v>
      </c>
      <c r="C1167" s="1">
        <v>669387.0</v>
      </c>
      <c r="D1167" s="1" t="s">
        <v>536</v>
      </c>
      <c r="E1167" s="1" t="s">
        <v>927</v>
      </c>
      <c r="F1167" s="1" t="s">
        <v>926</v>
      </c>
      <c r="G1167" s="1">
        <v>13.0</v>
      </c>
      <c r="H1167" s="1">
        <v>0.781420765</v>
      </c>
      <c r="I1167" s="1">
        <v>3.81</v>
      </c>
      <c r="J1167" s="1">
        <v>0.579668</v>
      </c>
    </row>
    <row r="1168">
      <c r="A1168" s="1">
        <v>2025.0</v>
      </c>
      <c r="B1168" s="1" t="s">
        <v>267</v>
      </c>
      <c r="C1168" s="1">
        <v>669387.0</v>
      </c>
      <c r="D1168" s="1" t="s">
        <v>533</v>
      </c>
      <c r="E1168" s="1" t="s">
        <v>927</v>
      </c>
      <c r="F1168" s="1" t="s">
        <v>926</v>
      </c>
      <c r="G1168" s="1">
        <v>89.0</v>
      </c>
      <c r="H1168" s="1">
        <v>5.349726776</v>
      </c>
      <c r="I1168" s="1">
        <v>5.89</v>
      </c>
      <c r="J1168" s="1">
        <v>0.335362</v>
      </c>
    </row>
    <row r="1169">
      <c r="A1169" s="1">
        <v>2025.0</v>
      </c>
      <c r="B1169" s="1" t="s">
        <v>267</v>
      </c>
      <c r="C1169" s="1">
        <v>669387.0</v>
      </c>
      <c r="D1169" s="1" t="s">
        <v>539</v>
      </c>
      <c r="E1169" s="1" t="s">
        <v>927</v>
      </c>
      <c r="F1169" s="1" t="s">
        <v>926</v>
      </c>
      <c r="G1169" s="1">
        <v>74.0</v>
      </c>
      <c r="H1169" s="1">
        <v>4.448087432</v>
      </c>
      <c r="I1169" s="1">
        <v>5.67</v>
      </c>
      <c r="J1169" s="1">
        <v>0.657143</v>
      </c>
    </row>
    <row r="1170">
      <c r="A1170" s="1">
        <v>2025.0</v>
      </c>
      <c r="B1170" s="1" t="s">
        <v>267</v>
      </c>
      <c r="C1170" s="1">
        <v>669387.0</v>
      </c>
      <c r="D1170" s="1" t="s">
        <v>541</v>
      </c>
      <c r="E1170" s="1" t="s">
        <v>927</v>
      </c>
      <c r="F1170" s="1" t="s">
        <v>927</v>
      </c>
      <c r="G1170" s="1">
        <v>60.0</v>
      </c>
      <c r="H1170" s="1">
        <v>3.606557377</v>
      </c>
      <c r="I1170" s="1">
        <v>5.4</v>
      </c>
      <c r="J1170" s="1">
        <v>0.864651</v>
      </c>
    </row>
    <row r="1171">
      <c r="A1171" s="1">
        <v>2025.0</v>
      </c>
      <c r="B1171" s="1" t="s">
        <v>267</v>
      </c>
      <c r="C1171" s="1">
        <v>669387.0</v>
      </c>
      <c r="D1171" s="1" t="s">
        <v>540</v>
      </c>
      <c r="E1171" s="1" t="s">
        <v>927</v>
      </c>
      <c r="F1171" s="1" t="s">
        <v>927</v>
      </c>
      <c r="G1171" s="1">
        <v>2.0</v>
      </c>
      <c r="H1171" s="1">
        <v>0.120218579</v>
      </c>
      <c r="I1171" s="1">
        <v>3.92</v>
      </c>
      <c r="J1171" s="1">
        <v>0.085866</v>
      </c>
    </row>
    <row r="1172">
      <c r="A1172" s="1">
        <v>2025.0</v>
      </c>
      <c r="B1172" s="1" t="s">
        <v>267</v>
      </c>
      <c r="C1172" s="1">
        <v>669387.0</v>
      </c>
      <c r="D1172" s="1" t="s">
        <v>537</v>
      </c>
      <c r="E1172" s="1" t="s">
        <v>927</v>
      </c>
      <c r="F1172" s="1" t="s">
        <v>927</v>
      </c>
      <c r="G1172" s="1">
        <v>261.0</v>
      </c>
      <c r="H1172" s="1">
        <v>15.68852459</v>
      </c>
      <c r="I1172" s="1">
        <v>4.68</v>
      </c>
      <c r="J1172" s="1">
        <v>7.330738</v>
      </c>
    </row>
    <row r="1173">
      <c r="A1173" s="1">
        <v>2025.0</v>
      </c>
      <c r="B1173" s="1" t="s">
        <v>267</v>
      </c>
      <c r="C1173" s="1">
        <v>669387.0</v>
      </c>
      <c r="D1173" s="1" t="s">
        <v>538</v>
      </c>
      <c r="E1173" s="1" t="s">
        <v>927</v>
      </c>
      <c r="F1173" s="1" t="s">
        <v>927</v>
      </c>
      <c r="G1173" s="1">
        <v>63.0</v>
      </c>
      <c r="H1173" s="1">
        <v>3.786885246</v>
      </c>
      <c r="I1173" s="1">
        <v>4.92</v>
      </c>
      <c r="J1173" s="1">
        <v>1.445877</v>
      </c>
    </row>
    <row r="1174">
      <c r="A1174" s="1">
        <v>2025.0</v>
      </c>
      <c r="B1174" s="1" t="s">
        <v>267</v>
      </c>
      <c r="C1174" s="1">
        <v>669387.0</v>
      </c>
      <c r="D1174" s="1" t="s">
        <v>536</v>
      </c>
      <c r="E1174" s="1" t="s">
        <v>927</v>
      </c>
      <c r="F1174" s="1" t="s">
        <v>927</v>
      </c>
      <c r="G1174" s="1">
        <v>225.0</v>
      </c>
      <c r="H1174" s="1">
        <v>13.52459016</v>
      </c>
      <c r="I1174" s="1">
        <v>5.16</v>
      </c>
      <c r="J1174" s="1">
        <v>4.318962</v>
      </c>
    </row>
    <row r="1175">
      <c r="A1175" s="1">
        <v>2025.0</v>
      </c>
      <c r="B1175" s="1" t="s">
        <v>267</v>
      </c>
      <c r="C1175" s="1">
        <v>669387.0</v>
      </c>
      <c r="D1175" s="1" t="s">
        <v>533</v>
      </c>
      <c r="E1175" s="1" t="s">
        <v>927</v>
      </c>
      <c r="F1175" s="1" t="s">
        <v>927</v>
      </c>
      <c r="G1175" s="1">
        <v>164.0</v>
      </c>
      <c r="H1175" s="1">
        <v>9.857923497</v>
      </c>
      <c r="I1175" s="1">
        <v>5.46</v>
      </c>
      <c r="J1175" s="1">
        <v>1.990317</v>
      </c>
    </row>
    <row r="1176">
      <c r="A1176" s="1">
        <v>2025.0</v>
      </c>
      <c r="B1176" s="1" t="s">
        <v>267</v>
      </c>
      <c r="C1176" s="1">
        <v>669387.0</v>
      </c>
      <c r="D1176" s="1" t="s">
        <v>539</v>
      </c>
      <c r="E1176" s="1" t="s">
        <v>927</v>
      </c>
      <c r="F1176" s="1" t="s">
        <v>927</v>
      </c>
      <c r="G1176" s="1">
        <v>78.0</v>
      </c>
      <c r="H1176" s="1">
        <v>4.68852459</v>
      </c>
      <c r="I1176" s="1">
        <v>5.23</v>
      </c>
      <c r="J1176" s="1">
        <v>1.305407</v>
      </c>
    </row>
    <row r="1177">
      <c r="A1177" s="1">
        <v>2025.0</v>
      </c>
      <c r="B1177" s="1" t="s">
        <v>603</v>
      </c>
      <c r="C1177" s="1">
        <v>608334.0</v>
      </c>
      <c r="D1177" s="1" t="s">
        <v>532</v>
      </c>
      <c r="E1177" s="1" t="s">
        <v>927</v>
      </c>
      <c r="F1177" s="1" t="s">
        <v>926</v>
      </c>
      <c r="G1177" s="1">
        <v>97.0</v>
      </c>
      <c r="H1177" s="1">
        <v>6.17208966</v>
      </c>
      <c r="I1177" s="1">
        <v>4.97</v>
      </c>
      <c r="J1177" s="1">
        <v>2.217822</v>
      </c>
    </row>
    <row r="1178">
      <c r="A1178" s="1">
        <v>2025.0</v>
      </c>
      <c r="B1178" s="1" t="s">
        <v>603</v>
      </c>
      <c r="C1178" s="1">
        <v>608334.0</v>
      </c>
      <c r="D1178" s="1" t="s">
        <v>541</v>
      </c>
      <c r="E1178" s="1" t="s">
        <v>927</v>
      </c>
      <c r="F1178" s="1" t="s">
        <v>926</v>
      </c>
      <c r="G1178" s="1">
        <v>14.0</v>
      </c>
      <c r="H1178" s="1">
        <v>0.890817064</v>
      </c>
      <c r="I1178" s="1">
        <v>4.83</v>
      </c>
      <c r="J1178" s="1">
        <v>0.366533</v>
      </c>
    </row>
    <row r="1179">
      <c r="A1179" s="1">
        <v>2025.0</v>
      </c>
      <c r="B1179" s="1" t="s">
        <v>603</v>
      </c>
      <c r="C1179" s="1">
        <v>608334.0</v>
      </c>
      <c r="D1179" s="1" t="s">
        <v>537</v>
      </c>
      <c r="E1179" s="1" t="s">
        <v>927</v>
      </c>
      <c r="F1179" s="1" t="s">
        <v>926</v>
      </c>
      <c r="G1179" s="1">
        <v>80.0</v>
      </c>
      <c r="H1179" s="1">
        <v>5.090383225</v>
      </c>
      <c r="I1179" s="1">
        <v>4.86</v>
      </c>
      <c r="J1179" s="1">
        <v>2.112351</v>
      </c>
    </row>
    <row r="1180">
      <c r="A1180" s="1">
        <v>2025.0</v>
      </c>
      <c r="B1180" s="1" t="s">
        <v>603</v>
      </c>
      <c r="C1180" s="1">
        <v>608334.0</v>
      </c>
      <c r="D1180" s="1" t="s">
        <v>536</v>
      </c>
      <c r="E1180" s="1" t="s">
        <v>927</v>
      </c>
      <c r="F1180" s="1" t="s">
        <v>926</v>
      </c>
      <c r="G1180" s="1">
        <v>32.0</v>
      </c>
      <c r="H1180" s="1">
        <v>2.03615329</v>
      </c>
      <c r="I1180" s="1">
        <v>4.22</v>
      </c>
      <c r="J1180" s="1">
        <v>1.230328</v>
      </c>
    </row>
    <row r="1181">
      <c r="A1181" s="1">
        <v>2025.0</v>
      </c>
      <c r="B1181" s="1" t="s">
        <v>603</v>
      </c>
      <c r="C1181" s="1">
        <v>608334.0</v>
      </c>
      <c r="D1181" s="1" t="s">
        <v>533</v>
      </c>
      <c r="E1181" s="1" t="s">
        <v>927</v>
      </c>
      <c r="F1181" s="1" t="s">
        <v>926</v>
      </c>
      <c r="G1181" s="1">
        <v>17.0</v>
      </c>
      <c r="H1181" s="1">
        <v>1.081706435</v>
      </c>
      <c r="I1181" s="1">
        <v>4.24</v>
      </c>
      <c r="J1181" s="1">
        <v>0.632584</v>
      </c>
    </row>
    <row r="1182">
      <c r="A1182" s="1">
        <v>2025.0</v>
      </c>
      <c r="B1182" s="1" t="s">
        <v>603</v>
      </c>
      <c r="C1182" s="1">
        <v>608334.0</v>
      </c>
      <c r="D1182" s="1" t="s">
        <v>532</v>
      </c>
      <c r="E1182" s="1" t="s">
        <v>927</v>
      </c>
      <c r="F1182" s="1" t="s">
        <v>927</v>
      </c>
      <c r="G1182" s="1">
        <v>34.0</v>
      </c>
      <c r="H1182" s="1">
        <v>2.163412871</v>
      </c>
      <c r="I1182" s="1">
        <v>5.24</v>
      </c>
      <c r="J1182" s="1">
        <v>0.57334</v>
      </c>
    </row>
    <row r="1183">
      <c r="A1183" s="1">
        <v>2025.0</v>
      </c>
      <c r="B1183" s="1" t="s">
        <v>603</v>
      </c>
      <c r="C1183" s="1">
        <v>608334.0</v>
      </c>
      <c r="D1183" s="1" t="s">
        <v>541</v>
      </c>
      <c r="E1183" s="1" t="s">
        <v>927</v>
      </c>
      <c r="F1183" s="1" t="s">
        <v>927</v>
      </c>
      <c r="G1183" s="1">
        <v>15.0</v>
      </c>
      <c r="H1183" s="1">
        <v>0.954446855</v>
      </c>
      <c r="I1183" s="1">
        <v>5.43</v>
      </c>
      <c r="J1183" s="1">
        <v>0.198577</v>
      </c>
    </row>
    <row r="1184">
      <c r="A1184" s="1">
        <v>2025.0</v>
      </c>
      <c r="B1184" s="1" t="s">
        <v>603</v>
      </c>
      <c r="C1184" s="1">
        <v>608334.0</v>
      </c>
      <c r="D1184" s="1" t="s">
        <v>537</v>
      </c>
      <c r="E1184" s="1" t="s">
        <v>927</v>
      </c>
      <c r="F1184" s="1" t="s">
        <v>927</v>
      </c>
      <c r="G1184" s="1">
        <v>43.0</v>
      </c>
      <c r="H1184" s="1">
        <v>2.736080983</v>
      </c>
      <c r="I1184" s="1">
        <v>5.01</v>
      </c>
      <c r="J1184" s="1">
        <v>0.971209</v>
      </c>
    </row>
    <row r="1185">
      <c r="A1185" s="1">
        <v>2025.0</v>
      </c>
      <c r="B1185" s="1" t="s">
        <v>603</v>
      </c>
      <c r="C1185" s="1">
        <v>608334.0</v>
      </c>
      <c r="D1185" s="1" t="s">
        <v>536</v>
      </c>
      <c r="E1185" s="1" t="s">
        <v>927</v>
      </c>
      <c r="F1185" s="1" t="s">
        <v>927</v>
      </c>
      <c r="G1185" s="1">
        <v>65.0</v>
      </c>
      <c r="H1185" s="1">
        <v>4.13593637</v>
      </c>
      <c r="I1185" s="1">
        <v>5.06</v>
      </c>
      <c r="J1185" s="1">
        <v>1.450721</v>
      </c>
    </row>
    <row r="1186">
      <c r="A1186" s="1">
        <v>2025.0</v>
      </c>
      <c r="B1186" s="1" t="s">
        <v>603</v>
      </c>
      <c r="C1186" s="1">
        <v>608334.0</v>
      </c>
      <c r="D1186" s="1" t="s">
        <v>533</v>
      </c>
      <c r="E1186" s="1" t="s">
        <v>927</v>
      </c>
      <c r="F1186" s="1" t="s">
        <v>927</v>
      </c>
      <c r="G1186" s="1">
        <v>64.0</v>
      </c>
      <c r="H1186" s="1">
        <v>4.07230658</v>
      </c>
      <c r="I1186" s="1">
        <v>4.84</v>
      </c>
      <c r="J1186" s="1">
        <v>1.603814</v>
      </c>
    </row>
    <row r="1187">
      <c r="A1187" s="1">
        <v>2025.0</v>
      </c>
      <c r="B1187" s="1" t="s">
        <v>449</v>
      </c>
      <c r="C1187" s="1">
        <v>687223.0</v>
      </c>
      <c r="D1187" s="1" t="s">
        <v>540</v>
      </c>
      <c r="E1187" s="1" t="s">
        <v>926</v>
      </c>
      <c r="F1187" s="1" t="s">
        <v>926</v>
      </c>
      <c r="G1187" s="1">
        <v>37.0</v>
      </c>
      <c r="H1187" s="1">
        <v>1.801891253</v>
      </c>
      <c r="I1187" s="1">
        <v>5.22</v>
      </c>
      <c r="J1187" s="1">
        <v>0.706767</v>
      </c>
    </row>
    <row r="1188">
      <c r="A1188" s="1">
        <v>2025.0</v>
      </c>
      <c r="B1188" s="1" t="s">
        <v>449</v>
      </c>
      <c r="C1188" s="1">
        <v>687223.0</v>
      </c>
      <c r="D1188" s="1" t="s">
        <v>537</v>
      </c>
      <c r="E1188" s="1" t="s">
        <v>926</v>
      </c>
      <c r="F1188" s="1" t="s">
        <v>926</v>
      </c>
      <c r="G1188" s="1">
        <v>90.0</v>
      </c>
      <c r="H1188" s="1">
        <v>4.382978723</v>
      </c>
      <c r="I1188" s="1">
        <v>4.92</v>
      </c>
      <c r="J1188" s="1">
        <v>2.17368</v>
      </c>
    </row>
    <row r="1189">
      <c r="A1189" s="1">
        <v>2025.0</v>
      </c>
      <c r="B1189" s="1" t="s">
        <v>449</v>
      </c>
      <c r="C1189" s="1">
        <v>687223.0</v>
      </c>
      <c r="D1189" s="1" t="s">
        <v>533</v>
      </c>
      <c r="E1189" s="1" t="s">
        <v>926</v>
      </c>
      <c r="F1189" s="1" t="s">
        <v>926</v>
      </c>
      <c r="G1189" s="1">
        <v>6.0</v>
      </c>
      <c r="H1189" s="1">
        <v>0.292198582</v>
      </c>
      <c r="I1189" s="1">
        <v>6.15</v>
      </c>
      <c r="J1189" s="1">
        <v>-0.028403</v>
      </c>
    </row>
    <row r="1190">
      <c r="A1190" s="1">
        <v>2025.0</v>
      </c>
      <c r="B1190" s="1" t="s">
        <v>449</v>
      </c>
      <c r="C1190" s="1">
        <v>687223.0</v>
      </c>
      <c r="D1190" s="1" t="s">
        <v>539</v>
      </c>
      <c r="E1190" s="1" t="s">
        <v>926</v>
      </c>
      <c r="F1190" s="1" t="s">
        <v>926</v>
      </c>
      <c r="G1190" s="1">
        <v>69.0</v>
      </c>
      <c r="H1190" s="1">
        <v>3.360283688</v>
      </c>
      <c r="I1190" s="1">
        <v>4.65</v>
      </c>
      <c r="J1190" s="1">
        <v>1.986694</v>
      </c>
    </row>
    <row r="1191">
      <c r="A1191" s="1">
        <v>2025.0</v>
      </c>
      <c r="B1191" s="1" t="s">
        <v>449</v>
      </c>
      <c r="C1191" s="1">
        <v>687223.0</v>
      </c>
      <c r="D1191" s="1" t="s">
        <v>532</v>
      </c>
      <c r="E1191" s="1" t="s">
        <v>926</v>
      </c>
      <c r="F1191" s="1" t="s">
        <v>927</v>
      </c>
      <c r="G1191" s="1">
        <v>25.0</v>
      </c>
      <c r="H1191" s="1">
        <v>1.21749409</v>
      </c>
      <c r="I1191" s="1">
        <v>4.27</v>
      </c>
      <c r="J1191" s="1">
        <v>0.90923</v>
      </c>
    </row>
    <row r="1192">
      <c r="A1192" s="1">
        <v>2025.0</v>
      </c>
      <c r="B1192" s="1" t="s">
        <v>449</v>
      </c>
      <c r="C1192" s="1">
        <v>687223.0</v>
      </c>
      <c r="D1192" s="1" t="s">
        <v>540</v>
      </c>
      <c r="E1192" s="1" t="s">
        <v>926</v>
      </c>
      <c r="F1192" s="1" t="s">
        <v>927</v>
      </c>
      <c r="G1192" s="1">
        <v>51.0</v>
      </c>
      <c r="H1192" s="1">
        <v>2.483687943</v>
      </c>
      <c r="I1192" s="1">
        <v>5.0</v>
      </c>
      <c r="J1192" s="1">
        <v>1.208631</v>
      </c>
    </row>
    <row r="1193">
      <c r="A1193" s="1">
        <v>2025.0</v>
      </c>
      <c r="B1193" s="1" t="s">
        <v>449</v>
      </c>
      <c r="C1193" s="1">
        <v>687223.0</v>
      </c>
      <c r="D1193" s="1" t="s">
        <v>537</v>
      </c>
      <c r="E1193" s="1" t="s">
        <v>926</v>
      </c>
      <c r="F1193" s="1" t="s">
        <v>927</v>
      </c>
      <c r="G1193" s="1">
        <v>279.0</v>
      </c>
      <c r="H1193" s="1">
        <v>13.58723404</v>
      </c>
      <c r="I1193" s="1">
        <v>4.86</v>
      </c>
      <c r="J1193" s="1">
        <v>7.205289</v>
      </c>
    </row>
    <row r="1194">
      <c r="A1194" s="1">
        <v>2025.0</v>
      </c>
      <c r="B1194" s="1" t="s">
        <v>449</v>
      </c>
      <c r="C1194" s="1">
        <v>687223.0</v>
      </c>
      <c r="D1194" s="1" t="s">
        <v>536</v>
      </c>
      <c r="E1194" s="1" t="s">
        <v>926</v>
      </c>
      <c r="F1194" s="1" t="s">
        <v>927</v>
      </c>
      <c r="G1194" s="1">
        <v>1.0</v>
      </c>
      <c r="H1194" s="1">
        <v>0.048699764</v>
      </c>
      <c r="I1194" s="1">
        <v>3.42</v>
      </c>
      <c r="J1194" s="1">
        <v>0.053799</v>
      </c>
    </row>
    <row r="1195">
      <c r="A1195" s="1">
        <v>2025.0</v>
      </c>
      <c r="B1195" s="1" t="s">
        <v>449</v>
      </c>
      <c r="C1195" s="1">
        <v>687223.0</v>
      </c>
      <c r="D1195" s="1" t="s">
        <v>533</v>
      </c>
      <c r="E1195" s="1" t="s">
        <v>926</v>
      </c>
      <c r="F1195" s="1" t="s">
        <v>927</v>
      </c>
      <c r="G1195" s="1">
        <v>21.0</v>
      </c>
      <c r="H1195" s="1">
        <v>1.022695035</v>
      </c>
      <c r="I1195" s="1">
        <v>5.78</v>
      </c>
      <c r="J1195" s="1">
        <v>0.118288</v>
      </c>
    </row>
    <row r="1196">
      <c r="A1196" s="1">
        <v>2025.0</v>
      </c>
      <c r="B1196" s="1" t="s">
        <v>449</v>
      </c>
      <c r="C1196" s="1">
        <v>687223.0</v>
      </c>
      <c r="D1196" s="1" t="s">
        <v>539</v>
      </c>
      <c r="E1196" s="1" t="s">
        <v>926</v>
      </c>
      <c r="F1196" s="1" t="s">
        <v>927</v>
      </c>
      <c r="G1196" s="1">
        <v>126.0</v>
      </c>
      <c r="H1196" s="1">
        <v>6.136170213</v>
      </c>
      <c r="I1196" s="1">
        <v>4.81</v>
      </c>
      <c r="J1196" s="1">
        <v>3.257164</v>
      </c>
    </row>
    <row r="1197">
      <c r="A1197" s="1">
        <v>2025.0</v>
      </c>
      <c r="B1197" s="1" t="s">
        <v>610</v>
      </c>
      <c r="C1197" s="1">
        <v>685068.0</v>
      </c>
      <c r="D1197" s="1" t="s">
        <v>541</v>
      </c>
      <c r="E1197" s="1" t="s">
        <v>927</v>
      </c>
      <c r="F1197" s="1" t="s">
        <v>926</v>
      </c>
      <c r="G1197" s="1">
        <v>11.0</v>
      </c>
      <c r="H1197" s="1">
        <v>0.578947368</v>
      </c>
      <c r="I1197" s="1">
        <v>5.66</v>
      </c>
      <c r="J1197" s="1">
        <v>0.094558</v>
      </c>
    </row>
    <row r="1198">
      <c r="A1198" s="1">
        <v>2025.0</v>
      </c>
      <c r="B1198" s="1" t="s">
        <v>610</v>
      </c>
      <c r="C1198" s="1">
        <v>685068.0</v>
      </c>
      <c r="D1198" s="1" t="s">
        <v>537</v>
      </c>
      <c r="E1198" s="1" t="s">
        <v>927</v>
      </c>
      <c r="F1198" s="1" t="s">
        <v>926</v>
      </c>
      <c r="G1198" s="1">
        <v>16.0</v>
      </c>
      <c r="H1198" s="1">
        <v>0.842105263</v>
      </c>
      <c r="I1198" s="1">
        <v>4.37</v>
      </c>
      <c r="J1198" s="1">
        <v>0.549495</v>
      </c>
    </row>
    <row r="1199">
      <c r="A1199" s="1">
        <v>2025.0</v>
      </c>
      <c r="B1199" s="1" t="s">
        <v>610</v>
      </c>
      <c r="C1199" s="1">
        <v>685068.0</v>
      </c>
      <c r="D1199" s="1" t="s">
        <v>538</v>
      </c>
      <c r="E1199" s="1" t="s">
        <v>927</v>
      </c>
      <c r="F1199" s="1" t="s">
        <v>926</v>
      </c>
      <c r="G1199" s="1">
        <v>7.0</v>
      </c>
      <c r="H1199" s="1">
        <v>0.368421053</v>
      </c>
      <c r="I1199" s="1">
        <v>4.45</v>
      </c>
      <c r="J1199" s="1">
        <v>0.226271</v>
      </c>
    </row>
    <row r="1200">
      <c r="A1200" s="1">
        <v>2025.0</v>
      </c>
      <c r="B1200" s="1" t="s">
        <v>610</v>
      </c>
      <c r="C1200" s="1">
        <v>685068.0</v>
      </c>
      <c r="D1200" s="1" t="s">
        <v>536</v>
      </c>
      <c r="E1200" s="1" t="s">
        <v>927</v>
      </c>
      <c r="F1200" s="1" t="s">
        <v>926</v>
      </c>
      <c r="G1200" s="1">
        <v>2.0</v>
      </c>
      <c r="H1200" s="1">
        <v>0.105263158</v>
      </c>
      <c r="I1200" s="1">
        <v>4.4</v>
      </c>
      <c r="J1200" s="1">
        <v>0.070449</v>
      </c>
    </row>
    <row r="1201">
      <c r="A1201" s="1">
        <v>2025.0</v>
      </c>
      <c r="B1201" s="1" t="s">
        <v>610</v>
      </c>
      <c r="C1201" s="1">
        <v>685068.0</v>
      </c>
      <c r="D1201" s="1" t="s">
        <v>541</v>
      </c>
      <c r="E1201" s="1" t="s">
        <v>927</v>
      </c>
      <c r="F1201" s="1" t="s">
        <v>927</v>
      </c>
      <c r="G1201" s="1">
        <v>19.0</v>
      </c>
      <c r="H1201" s="1">
        <v>1.0</v>
      </c>
      <c r="I1201" s="1">
        <v>4.65</v>
      </c>
      <c r="J1201" s="1">
        <v>0.526764</v>
      </c>
    </row>
    <row r="1202">
      <c r="A1202" s="1">
        <v>2025.0</v>
      </c>
      <c r="B1202" s="1" t="s">
        <v>610</v>
      </c>
      <c r="C1202" s="1">
        <v>685068.0</v>
      </c>
      <c r="D1202" s="1" t="s">
        <v>537</v>
      </c>
      <c r="E1202" s="1" t="s">
        <v>927</v>
      </c>
      <c r="F1202" s="1" t="s">
        <v>927</v>
      </c>
      <c r="G1202" s="1">
        <v>11.0</v>
      </c>
      <c r="H1202" s="1">
        <v>0.578947368</v>
      </c>
      <c r="I1202" s="1">
        <v>5.61</v>
      </c>
      <c r="J1202" s="1">
        <v>0.123118</v>
      </c>
    </row>
    <row r="1203">
      <c r="A1203" s="1">
        <v>2025.0</v>
      </c>
      <c r="B1203" s="1" t="s">
        <v>610</v>
      </c>
      <c r="C1203" s="1">
        <v>685068.0</v>
      </c>
      <c r="D1203" s="1" t="s">
        <v>538</v>
      </c>
      <c r="E1203" s="1" t="s">
        <v>927</v>
      </c>
      <c r="F1203" s="1" t="s">
        <v>927</v>
      </c>
      <c r="G1203" s="1">
        <v>2.0</v>
      </c>
      <c r="H1203" s="1">
        <v>0.105263158</v>
      </c>
      <c r="I1203" s="1">
        <v>8.24</v>
      </c>
      <c r="J1203" s="1">
        <v>-0.081797</v>
      </c>
    </row>
    <row r="1204">
      <c r="A1204" s="1">
        <v>2025.0</v>
      </c>
      <c r="B1204" s="1" t="s">
        <v>610</v>
      </c>
      <c r="C1204" s="1">
        <v>685068.0</v>
      </c>
      <c r="D1204" s="1" t="s">
        <v>536</v>
      </c>
      <c r="E1204" s="1" t="s">
        <v>927</v>
      </c>
      <c r="F1204" s="1" t="s">
        <v>927</v>
      </c>
      <c r="G1204" s="1">
        <v>20.0</v>
      </c>
      <c r="H1204" s="1">
        <v>1.052631579</v>
      </c>
      <c r="I1204" s="1">
        <v>4.73</v>
      </c>
      <c r="J1204" s="1">
        <v>0.541532</v>
      </c>
    </row>
    <row r="1205">
      <c r="A1205" s="1">
        <v>2025.0</v>
      </c>
      <c r="B1205" s="1" t="s">
        <v>610</v>
      </c>
      <c r="C1205" s="1">
        <v>685068.0</v>
      </c>
      <c r="D1205" s="1" t="s">
        <v>533</v>
      </c>
      <c r="E1205" s="1" t="s">
        <v>927</v>
      </c>
      <c r="F1205" s="1" t="s">
        <v>927</v>
      </c>
      <c r="G1205" s="1">
        <v>7.0</v>
      </c>
      <c r="H1205" s="1">
        <v>0.368421053</v>
      </c>
      <c r="I1205" s="1">
        <v>4.06</v>
      </c>
      <c r="J1205" s="1">
        <v>0.276458</v>
      </c>
    </row>
    <row r="1206">
      <c r="A1206" s="1">
        <v>2025.0</v>
      </c>
      <c r="B1206" s="1" t="s">
        <v>501</v>
      </c>
      <c r="C1206" s="1">
        <v>693313.0</v>
      </c>
      <c r="D1206" s="1" t="s">
        <v>541</v>
      </c>
      <c r="E1206" s="1" t="s">
        <v>927</v>
      </c>
      <c r="F1206" s="1" t="s">
        <v>926</v>
      </c>
      <c r="G1206" s="1">
        <v>18.0</v>
      </c>
      <c r="H1206" s="1">
        <v>1.043478261</v>
      </c>
      <c r="I1206" s="1">
        <v>4.16</v>
      </c>
      <c r="J1206" s="1">
        <v>0.704482</v>
      </c>
    </row>
    <row r="1207">
      <c r="A1207" s="1">
        <v>2025.0</v>
      </c>
      <c r="B1207" s="1" t="s">
        <v>501</v>
      </c>
      <c r="C1207" s="1">
        <v>693313.0</v>
      </c>
      <c r="D1207" s="1" t="s">
        <v>540</v>
      </c>
      <c r="E1207" s="1" t="s">
        <v>927</v>
      </c>
      <c r="F1207" s="1" t="s">
        <v>926</v>
      </c>
      <c r="G1207" s="1">
        <v>39.0</v>
      </c>
      <c r="H1207" s="1">
        <v>2.260869565</v>
      </c>
      <c r="I1207" s="1">
        <v>4.99</v>
      </c>
      <c r="J1207" s="1">
        <v>0.842707</v>
      </c>
    </row>
    <row r="1208">
      <c r="A1208" s="1">
        <v>2025.0</v>
      </c>
      <c r="B1208" s="1" t="s">
        <v>501</v>
      </c>
      <c r="C1208" s="1">
        <v>693313.0</v>
      </c>
      <c r="D1208" s="1" t="s">
        <v>537</v>
      </c>
      <c r="E1208" s="1" t="s">
        <v>927</v>
      </c>
      <c r="F1208" s="1" t="s">
        <v>926</v>
      </c>
      <c r="G1208" s="1">
        <v>59.0</v>
      </c>
      <c r="H1208" s="1">
        <v>3.420289855</v>
      </c>
      <c r="I1208" s="1">
        <v>4.64</v>
      </c>
      <c r="J1208" s="1">
        <v>1.738994</v>
      </c>
    </row>
    <row r="1209">
      <c r="A1209" s="1">
        <v>2025.0</v>
      </c>
      <c r="B1209" s="1" t="s">
        <v>501</v>
      </c>
      <c r="C1209" s="1">
        <v>693313.0</v>
      </c>
      <c r="D1209" s="1" t="s">
        <v>536</v>
      </c>
      <c r="E1209" s="1" t="s">
        <v>927</v>
      </c>
      <c r="F1209" s="1" t="s">
        <v>926</v>
      </c>
      <c r="G1209" s="1">
        <v>103.0</v>
      </c>
      <c r="H1209" s="1">
        <v>5.971014493</v>
      </c>
      <c r="I1209" s="1">
        <v>5.04</v>
      </c>
      <c r="J1209" s="1">
        <v>2.187487</v>
      </c>
    </row>
    <row r="1210">
      <c r="A1210" s="1">
        <v>2025.0</v>
      </c>
      <c r="B1210" s="1" t="s">
        <v>501</v>
      </c>
      <c r="C1210" s="1">
        <v>693313.0</v>
      </c>
      <c r="D1210" s="1" t="s">
        <v>533</v>
      </c>
      <c r="E1210" s="1" t="s">
        <v>927</v>
      </c>
      <c r="F1210" s="1" t="s">
        <v>926</v>
      </c>
      <c r="G1210" s="1">
        <v>67.0</v>
      </c>
      <c r="H1210" s="1">
        <v>3.884057971</v>
      </c>
      <c r="I1210" s="1">
        <v>4.6</v>
      </c>
      <c r="J1210" s="1">
        <v>1.956499</v>
      </c>
    </row>
    <row r="1211">
      <c r="A1211" s="1">
        <v>2025.0</v>
      </c>
      <c r="B1211" s="1" t="s">
        <v>501</v>
      </c>
      <c r="C1211" s="1">
        <v>693313.0</v>
      </c>
      <c r="D1211" s="1" t="s">
        <v>541</v>
      </c>
      <c r="E1211" s="1" t="s">
        <v>927</v>
      </c>
      <c r="F1211" s="1" t="s">
        <v>927</v>
      </c>
      <c r="G1211" s="1">
        <v>20.0</v>
      </c>
      <c r="H1211" s="1">
        <v>1.15942029</v>
      </c>
      <c r="I1211" s="1">
        <v>4.46</v>
      </c>
      <c r="J1211" s="1">
        <v>0.63623</v>
      </c>
    </row>
    <row r="1212">
      <c r="A1212" s="1">
        <v>2025.0</v>
      </c>
      <c r="B1212" s="1" t="s">
        <v>501</v>
      </c>
      <c r="C1212" s="1">
        <v>693313.0</v>
      </c>
      <c r="D1212" s="1" t="s">
        <v>540</v>
      </c>
      <c r="E1212" s="1" t="s">
        <v>927</v>
      </c>
      <c r="F1212" s="1" t="s">
        <v>927</v>
      </c>
      <c r="G1212" s="1">
        <v>23.0</v>
      </c>
      <c r="H1212" s="1">
        <v>1.333333333</v>
      </c>
      <c r="I1212" s="1">
        <v>4.31</v>
      </c>
      <c r="J1212" s="1">
        <v>0.834332</v>
      </c>
    </row>
    <row r="1213">
      <c r="A1213" s="1">
        <v>2025.0</v>
      </c>
      <c r="B1213" s="1" t="s">
        <v>501</v>
      </c>
      <c r="C1213" s="1">
        <v>693313.0</v>
      </c>
      <c r="D1213" s="1" t="s">
        <v>537</v>
      </c>
      <c r="E1213" s="1" t="s">
        <v>927</v>
      </c>
      <c r="F1213" s="1" t="s">
        <v>927</v>
      </c>
      <c r="G1213" s="1">
        <v>78.0</v>
      </c>
      <c r="H1213" s="1">
        <v>4.52173913</v>
      </c>
      <c r="I1213" s="1">
        <v>4.48</v>
      </c>
      <c r="J1213" s="1">
        <v>2.626786</v>
      </c>
    </row>
    <row r="1214">
      <c r="A1214" s="1">
        <v>2025.0</v>
      </c>
      <c r="B1214" s="1" t="s">
        <v>501</v>
      </c>
      <c r="C1214" s="1">
        <v>693313.0</v>
      </c>
      <c r="D1214" s="1" t="s">
        <v>536</v>
      </c>
      <c r="E1214" s="1" t="s">
        <v>927</v>
      </c>
      <c r="F1214" s="1" t="s">
        <v>927</v>
      </c>
      <c r="G1214" s="1">
        <v>159.0</v>
      </c>
      <c r="H1214" s="1">
        <v>9.217391304</v>
      </c>
      <c r="I1214" s="1">
        <v>5.11</v>
      </c>
      <c r="J1214" s="1">
        <v>3.253671</v>
      </c>
    </row>
    <row r="1215">
      <c r="A1215" s="1">
        <v>2025.0</v>
      </c>
      <c r="B1215" s="1" t="s">
        <v>501</v>
      </c>
      <c r="C1215" s="1">
        <v>693313.0</v>
      </c>
      <c r="D1215" s="1" t="s">
        <v>533</v>
      </c>
      <c r="E1215" s="1" t="s">
        <v>927</v>
      </c>
      <c r="F1215" s="1" t="s">
        <v>927</v>
      </c>
      <c r="G1215" s="1">
        <v>55.0</v>
      </c>
      <c r="H1215" s="1">
        <v>3.188405797</v>
      </c>
      <c r="I1215" s="1">
        <v>4.57</v>
      </c>
      <c r="J1215" s="1">
        <v>1.717997</v>
      </c>
    </row>
    <row r="1216">
      <c r="A1216" s="1">
        <v>2025.0</v>
      </c>
      <c r="B1216" s="1" t="s">
        <v>579</v>
      </c>
      <c r="C1216" s="1">
        <v>686730.0</v>
      </c>
      <c r="D1216" s="1" t="s">
        <v>532</v>
      </c>
      <c r="E1216" s="1" t="s">
        <v>927</v>
      </c>
      <c r="F1216" s="1" t="s">
        <v>926</v>
      </c>
      <c r="G1216" s="1">
        <v>39.0</v>
      </c>
      <c r="H1216" s="1">
        <v>2.12244898</v>
      </c>
      <c r="I1216" s="1">
        <v>4.54</v>
      </c>
      <c r="J1216" s="1">
        <v>1.222658</v>
      </c>
    </row>
    <row r="1217">
      <c r="A1217" s="1">
        <v>2025.0</v>
      </c>
      <c r="B1217" s="1" t="s">
        <v>579</v>
      </c>
      <c r="C1217" s="1">
        <v>686730.0</v>
      </c>
      <c r="D1217" s="1" t="s">
        <v>540</v>
      </c>
      <c r="E1217" s="1" t="s">
        <v>927</v>
      </c>
      <c r="F1217" s="1" t="s">
        <v>926</v>
      </c>
      <c r="G1217" s="1">
        <v>27.0</v>
      </c>
      <c r="H1217" s="1">
        <v>1.469387755</v>
      </c>
      <c r="I1217" s="1">
        <v>4.59</v>
      </c>
      <c r="J1217" s="1">
        <v>0.854933</v>
      </c>
    </row>
    <row r="1218">
      <c r="A1218" s="1">
        <v>2025.0</v>
      </c>
      <c r="B1218" s="1" t="s">
        <v>579</v>
      </c>
      <c r="C1218" s="1">
        <v>686730.0</v>
      </c>
      <c r="D1218" s="1" t="s">
        <v>537</v>
      </c>
      <c r="E1218" s="1" t="s">
        <v>927</v>
      </c>
      <c r="F1218" s="1" t="s">
        <v>926</v>
      </c>
      <c r="G1218" s="1">
        <v>18.0</v>
      </c>
      <c r="H1218" s="1">
        <v>0.979591837</v>
      </c>
      <c r="I1218" s="1">
        <v>4.16</v>
      </c>
      <c r="J1218" s="1">
        <v>0.68333</v>
      </c>
    </row>
    <row r="1219">
      <c r="A1219" s="1">
        <v>2025.0</v>
      </c>
      <c r="B1219" s="1" t="s">
        <v>579</v>
      </c>
      <c r="C1219" s="1">
        <v>686730.0</v>
      </c>
      <c r="D1219" s="1" t="s">
        <v>536</v>
      </c>
      <c r="E1219" s="1" t="s">
        <v>927</v>
      </c>
      <c r="F1219" s="1" t="s">
        <v>926</v>
      </c>
      <c r="G1219" s="1">
        <v>13.0</v>
      </c>
      <c r="H1219" s="1">
        <v>0.707482993</v>
      </c>
      <c r="I1219" s="1">
        <v>4.31</v>
      </c>
      <c r="J1219" s="1">
        <v>0.458234</v>
      </c>
    </row>
    <row r="1220">
      <c r="A1220" s="1">
        <v>2025.0</v>
      </c>
      <c r="B1220" s="1" t="s">
        <v>579</v>
      </c>
      <c r="C1220" s="1">
        <v>686730.0</v>
      </c>
      <c r="D1220" s="1" t="s">
        <v>539</v>
      </c>
      <c r="E1220" s="1" t="s">
        <v>927</v>
      </c>
      <c r="F1220" s="1" t="s">
        <v>926</v>
      </c>
      <c r="G1220" s="1">
        <v>25.0</v>
      </c>
      <c r="H1220" s="1">
        <v>1.360544218</v>
      </c>
      <c r="I1220" s="1">
        <v>5.06</v>
      </c>
      <c r="J1220" s="1">
        <v>0.507089</v>
      </c>
    </row>
    <row r="1221">
      <c r="A1221" s="1">
        <v>2025.0</v>
      </c>
      <c r="B1221" s="1" t="s">
        <v>579</v>
      </c>
      <c r="C1221" s="1">
        <v>686730.0</v>
      </c>
      <c r="D1221" s="1" t="s">
        <v>532</v>
      </c>
      <c r="E1221" s="1" t="s">
        <v>927</v>
      </c>
      <c r="F1221" s="1" t="s">
        <v>927</v>
      </c>
      <c r="G1221" s="1">
        <v>16.0</v>
      </c>
      <c r="H1221" s="1">
        <v>0.870748299</v>
      </c>
      <c r="I1221" s="1">
        <v>4.19</v>
      </c>
      <c r="J1221" s="1">
        <v>0.590577</v>
      </c>
    </row>
    <row r="1222">
      <c r="A1222" s="1">
        <v>2025.0</v>
      </c>
      <c r="B1222" s="1" t="s">
        <v>579</v>
      </c>
      <c r="C1222" s="1">
        <v>686730.0</v>
      </c>
      <c r="D1222" s="1" t="s">
        <v>540</v>
      </c>
      <c r="E1222" s="1" t="s">
        <v>927</v>
      </c>
      <c r="F1222" s="1" t="s">
        <v>927</v>
      </c>
      <c r="G1222" s="1">
        <v>19.0</v>
      </c>
      <c r="H1222" s="1">
        <v>1.034013605</v>
      </c>
      <c r="I1222" s="1">
        <v>5.04</v>
      </c>
      <c r="J1222" s="1">
        <v>0.420603</v>
      </c>
    </row>
    <row r="1223">
      <c r="A1223" s="1">
        <v>2025.0</v>
      </c>
      <c r="B1223" s="1" t="s">
        <v>579</v>
      </c>
      <c r="C1223" s="1">
        <v>686730.0</v>
      </c>
      <c r="D1223" s="1" t="s">
        <v>537</v>
      </c>
      <c r="E1223" s="1" t="s">
        <v>927</v>
      </c>
      <c r="F1223" s="1" t="s">
        <v>927</v>
      </c>
      <c r="G1223" s="1">
        <v>17.0</v>
      </c>
      <c r="H1223" s="1">
        <v>0.925170068</v>
      </c>
      <c r="I1223" s="1">
        <v>5.4</v>
      </c>
      <c r="J1223" s="1">
        <v>0.216967</v>
      </c>
    </row>
    <row r="1224">
      <c r="A1224" s="1">
        <v>2025.0</v>
      </c>
      <c r="B1224" s="1" t="s">
        <v>579</v>
      </c>
      <c r="C1224" s="1">
        <v>686730.0</v>
      </c>
      <c r="D1224" s="1" t="s">
        <v>536</v>
      </c>
      <c r="E1224" s="1" t="s">
        <v>927</v>
      </c>
      <c r="F1224" s="1" t="s">
        <v>927</v>
      </c>
      <c r="G1224" s="1">
        <v>40.0</v>
      </c>
      <c r="H1224" s="1">
        <v>2.176870748</v>
      </c>
      <c r="I1224" s="1">
        <v>5.18</v>
      </c>
      <c r="J1224" s="1">
        <v>0.724695</v>
      </c>
    </row>
    <row r="1225">
      <c r="A1225" s="1">
        <v>2025.0</v>
      </c>
      <c r="B1225" s="1" t="s">
        <v>579</v>
      </c>
      <c r="C1225" s="1">
        <v>686730.0</v>
      </c>
      <c r="D1225" s="1" t="s">
        <v>539</v>
      </c>
      <c r="E1225" s="1" t="s">
        <v>927</v>
      </c>
      <c r="F1225" s="1" t="s">
        <v>927</v>
      </c>
      <c r="G1225" s="1">
        <v>31.0</v>
      </c>
      <c r="H1225" s="1">
        <v>1.68707483</v>
      </c>
      <c r="I1225" s="1">
        <v>5.03</v>
      </c>
      <c r="J1225" s="1">
        <v>0.645545</v>
      </c>
    </row>
    <row r="1226">
      <c r="A1226" s="1">
        <v>2025.0</v>
      </c>
      <c r="B1226" s="1" t="s">
        <v>597</v>
      </c>
      <c r="C1226" s="1">
        <v>687931.0</v>
      </c>
      <c r="D1226" s="1" t="s">
        <v>532</v>
      </c>
      <c r="E1226" s="1" t="s">
        <v>926</v>
      </c>
      <c r="F1226" s="1" t="s">
        <v>926</v>
      </c>
      <c r="G1226" s="1">
        <v>38.0</v>
      </c>
      <c r="H1226" s="1">
        <v>2.173202614</v>
      </c>
      <c r="I1226" s="1">
        <v>5.48</v>
      </c>
      <c r="J1226" s="1">
        <v>0.480616</v>
      </c>
    </row>
    <row r="1227">
      <c r="A1227" s="1">
        <v>2025.0</v>
      </c>
      <c r="B1227" s="1" t="s">
        <v>597</v>
      </c>
      <c r="C1227" s="1">
        <v>687931.0</v>
      </c>
      <c r="D1227" s="1" t="s">
        <v>536</v>
      </c>
      <c r="E1227" s="1" t="s">
        <v>926</v>
      </c>
      <c r="F1227" s="1" t="s">
        <v>926</v>
      </c>
      <c r="G1227" s="1">
        <v>49.0</v>
      </c>
      <c r="H1227" s="1">
        <v>2.802287582</v>
      </c>
      <c r="I1227" s="1">
        <v>5.27</v>
      </c>
      <c r="J1227" s="1">
        <v>0.864794</v>
      </c>
    </row>
    <row r="1228">
      <c r="A1228" s="1">
        <v>2025.0</v>
      </c>
      <c r="B1228" s="1" t="s">
        <v>597</v>
      </c>
      <c r="C1228" s="1">
        <v>687931.0</v>
      </c>
      <c r="D1228" s="1" t="s">
        <v>533</v>
      </c>
      <c r="E1228" s="1" t="s">
        <v>926</v>
      </c>
      <c r="F1228" s="1" t="s">
        <v>926</v>
      </c>
      <c r="G1228" s="1">
        <v>32.0</v>
      </c>
      <c r="H1228" s="1">
        <v>1.830065359</v>
      </c>
      <c r="I1228" s="1">
        <v>4.9</v>
      </c>
      <c r="J1228" s="1">
        <v>0.807701</v>
      </c>
    </row>
    <row r="1229">
      <c r="A1229" s="1">
        <v>2025.0</v>
      </c>
      <c r="B1229" s="1" t="s">
        <v>597</v>
      </c>
      <c r="C1229" s="1">
        <v>687931.0</v>
      </c>
      <c r="D1229" s="1" t="s">
        <v>532</v>
      </c>
      <c r="E1229" s="1" t="s">
        <v>926</v>
      </c>
      <c r="F1229" s="1" t="s">
        <v>927</v>
      </c>
      <c r="G1229" s="1">
        <v>114.0</v>
      </c>
      <c r="H1229" s="1">
        <v>6.519607843</v>
      </c>
      <c r="I1229" s="1">
        <v>5.09</v>
      </c>
      <c r="J1229" s="1">
        <v>2.465245</v>
      </c>
    </row>
    <row r="1230">
      <c r="A1230" s="1">
        <v>2025.0</v>
      </c>
      <c r="B1230" s="1" t="s">
        <v>597</v>
      </c>
      <c r="C1230" s="1">
        <v>687931.0</v>
      </c>
      <c r="D1230" s="1" t="s">
        <v>541</v>
      </c>
      <c r="E1230" s="1" t="s">
        <v>926</v>
      </c>
      <c r="F1230" s="1" t="s">
        <v>927</v>
      </c>
      <c r="G1230" s="1">
        <v>4.0</v>
      </c>
      <c r="H1230" s="1">
        <v>0.22875817</v>
      </c>
      <c r="I1230" s="1">
        <v>4.6</v>
      </c>
      <c r="J1230" s="1">
        <v>0.137916</v>
      </c>
    </row>
    <row r="1231">
      <c r="A1231" s="1">
        <v>2025.0</v>
      </c>
      <c r="B1231" s="1" t="s">
        <v>597</v>
      </c>
      <c r="C1231" s="1">
        <v>687931.0</v>
      </c>
      <c r="D1231" s="1" t="s">
        <v>536</v>
      </c>
      <c r="E1231" s="1" t="s">
        <v>926</v>
      </c>
      <c r="F1231" s="1" t="s">
        <v>927</v>
      </c>
      <c r="G1231" s="1">
        <v>146.0</v>
      </c>
      <c r="H1231" s="1">
        <v>8.349673203</v>
      </c>
      <c r="I1231" s="1">
        <v>4.07</v>
      </c>
      <c r="J1231" s="1">
        <v>6.168138</v>
      </c>
    </row>
    <row r="1232">
      <c r="A1232" s="1">
        <v>2025.0</v>
      </c>
      <c r="B1232" s="1" t="s">
        <v>597</v>
      </c>
      <c r="C1232" s="1">
        <v>687931.0</v>
      </c>
      <c r="D1232" s="1" t="s">
        <v>533</v>
      </c>
      <c r="E1232" s="1" t="s">
        <v>926</v>
      </c>
      <c r="F1232" s="1" t="s">
        <v>927</v>
      </c>
      <c r="G1232" s="1">
        <v>25.0</v>
      </c>
      <c r="H1232" s="1">
        <v>1.429738562</v>
      </c>
      <c r="I1232" s="1">
        <v>4.76</v>
      </c>
      <c r="J1232" s="1">
        <v>0.745353</v>
      </c>
    </row>
    <row r="1233">
      <c r="A1233" s="1">
        <v>2025.0</v>
      </c>
      <c r="B1233" s="1" t="s">
        <v>945</v>
      </c>
      <c r="C1233" s="1">
        <v>543391.0</v>
      </c>
      <c r="D1233" s="1" t="s">
        <v>532</v>
      </c>
      <c r="E1233" s="1" t="s">
        <v>927</v>
      </c>
      <c r="F1233" s="1" t="s">
        <v>926</v>
      </c>
      <c r="G1233" s="1">
        <v>2.0</v>
      </c>
      <c r="H1233" s="1">
        <v>0.138888889</v>
      </c>
      <c r="I1233" s="1">
        <v>5.98</v>
      </c>
      <c r="J1233" s="1">
        <v>8.4E-5</v>
      </c>
    </row>
    <row r="1234">
      <c r="A1234" s="1">
        <v>2025.0</v>
      </c>
      <c r="B1234" s="1" t="s">
        <v>945</v>
      </c>
      <c r="C1234" s="1">
        <v>543391.0</v>
      </c>
      <c r="D1234" s="1" t="s">
        <v>537</v>
      </c>
      <c r="E1234" s="1" t="s">
        <v>927</v>
      </c>
      <c r="F1234" s="1" t="s">
        <v>926</v>
      </c>
      <c r="G1234" s="1">
        <v>3.0</v>
      </c>
      <c r="H1234" s="1">
        <v>0.208333333</v>
      </c>
      <c r="I1234" s="1">
        <v>4.02</v>
      </c>
      <c r="J1234" s="1">
        <v>0.126905</v>
      </c>
    </row>
    <row r="1235">
      <c r="A1235" s="1">
        <v>2025.0</v>
      </c>
      <c r="B1235" s="1" t="s">
        <v>945</v>
      </c>
      <c r="C1235" s="1">
        <v>543391.0</v>
      </c>
      <c r="D1235" s="1" t="s">
        <v>532</v>
      </c>
      <c r="E1235" s="1" t="s">
        <v>927</v>
      </c>
      <c r="F1235" s="1" t="s">
        <v>927</v>
      </c>
      <c r="G1235" s="1">
        <v>2.0</v>
      </c>
      <c r="H1235" s="1">
        <v>0.138888889</v>
      </c>
      <c r="I1235" s="1">
        <v>7.22</v>
      </c>
      <c r="J1235" s="1">
        <v>-0.04626</v>
      </c>
    </row>
    <row r="1236">
      <c r="A1236" s="1">
        <v>2025.0</v>
      </c>
      <c r="B1236" s="1" t="s">
        <v>945</v>
      </c>
      <c r="C1236" s="1">
        <v>543391.0</v>
      </c>
      <c r="D1236" s="1" t="s">
        <v>541</v>
      </c>
      <c r="E1236" s="1" t="s">
        <v>927</v>
      </c>
      <c r="F1236" s="1" t="s">
        <v>927</v>
      </c>
      <c r="G1236" s="1">
        <v>1.0</v>
      </c>
      <c r="H1236" s="1">
        <v>0.069444444</v>
      </c>
      <c r="I1236" s="1">
        <v>2.98</v>
      </c>
      <c r="J1236" s="1">
        <v>0.062041</v>
      </c>
    </row>
    <row r="1237">
      <c r="A1237" s="1">
        <v>2025.0</v>
      </c>
      <c r="B1237" s="1" t="s">
        <v>945</v>
      </c>
      <c r="C1237" s="1">
        <v>543391.0</v>
      </c>
      <c r="D1237" s="1" t="s">
        <v>537</v>
      </c>
      <c r="E1237" s="1" t="s">
        <v>927</v>
      </c>
      <c r="F1237" s="1" t="s">
        <v>927</v>
      </c>
      <c r="G1237" s="1">
        <v>7.0</v>
      </c>
      <c r="H1237" s="1">
        <v>0.486111111</v>
      </c>
      <c r="I1237" s="1">
        <v>3.94</v>
      </c>
      <c r="J1237" s="1">
        <v>0.305852</v>
      </c>
    </row>
    <row r="1238">
      <c r="A1238" s="1">
        <v>2025.0</v>
      </c>
      <c r="B1238" s="1" t="s">
        <v>945</v>
      </c>
      <c r="C1238" s="1">
        <v>543391.0</v>
      </c>
      <c r="D1238" s="1" t="s">
        <v>536</v>
      </c>
      <c r="E1238" s="1" t="s">
        <v>927</v>
      </c>
      <c r="F1238" s="1" t="s">
        <v>927</v>
      </c>
      <c r="G1238" s="1">
        <v>4.0</v>
      </c>
      <c r="H1238" s="1">
        <v>0.277777778</v>
      </c>
      <c r="I1238" s="1">
        <v>4.34</v>
      </c>
      <c r="J1238" s="1">
        <v>0.137672</v>
      </c>
    </row>
    <row r="1239">
      <c r="A1239" s="1">
        <v>2025.0</v>
      </c>
      <c r="B1239" s="1" t="s">
        <v>945</v>
      </c>
      <c r="C1239" s="1">
        <v>543391.0</v>
      </c>
      <c r="D1239" s="1" t="s">
        <v>533</v>
      </c>
      <c r="E1239" s="1" t="s">
        <v>927</v>
      </c>
      <c r="F1239" s="1" t="s">
        <v>927</v>
      </c>
      <c r="G1239" s="1">
        <v>5.0</v>
      </c>
      <c r="H1239" s="1">
        <v>0.347222222</v>
      </c>
      <c r="I1239" s="1">
        <v>4.57</v>
      </c>
      <c r="J1239" s="1">
        <v>0.147145</v>
      </c>
    </row>
    <row r="1240">
      <c r="A1240" s="1">
        <v>2025.0</v>
      </c>
      <c r="B1240" s="1" t="s">
        <v>558</v>
      </c>
      <c r="C1240" s="1">
        <v>596271.0</v>
      </c>
      <c r="D1240" s="1" t="s">
        <v>532</v>
      </c>
      <c r="E1240" s="1" t="s">
        <v>927</v>
      </c>
      <c r="F1240" s="1" t="s">
        <v>926</v>
      </c>
      <c r="G1240" s="1">
        <v>51.0</v>
      </c>
      <c r="H1240" s="1">
        <v>3.264492754</v>
      </c>
      <c r="I1240" s="1">
        <v>5.59</v>
      </c>
      <c r="J1240" s="1">
        <v>0.488934</v>
      </c>
    </row>
    <row r="1241">
      <c r="A1241" s="1">
        <v>2025.0</v>
      </c>
      <c r="B1241" s="1" t="s">
        <v>558</v>
      </c>
      <c r="C1241" s="1">
        <v>596271.0</v>
      </c>
      <c r="D1241" s="1" t="s">
        <v>541</v>
      </c>
      <c r="E1241" s="1" t="s">
        <v>927</v>
      </c>
      <c r="F1241" s="1" t="s">
        <v>926</v>
      </c>
      <c r="G1241" s="1">
        <v>2.0</v>
      </c>
      <c r="H1241" s="1">
        <v>0.128019324</v>
      </c>
      <c r="I1241" s="1">
        <v>3.6</v>
      </c>
      <c r="J1241" s="1">
        <v>0.100919</v>
      </c>
    </row>
    <row r="1242">
      <c r="A1242" s="1">
        <v>2025.0</v>
      </c>
      <c r="B1242" s="1" t="s">
        <v>558</v>
      </c>
      <c r="C1242" s="1">
        <v>596271.0</v>
      </c>
      <c r="D1242" s="1" t="s">
        <v>540</v>
      </c>
      <c r="E1242" s="1" t="s">
        <v>927</v>
      </c>
      <c r="F1242" s="1" t="s">
        <v>926</v>
      </c>
      <c r="G1242" s="1">
        <v>4.0</v>
      </c>
      <c r="H1242" s="1">
        <v>0.256038647</v>
      </c>
      <c r="I1242" s="1">
        <v>4.83</v>
      </c>
      <c r="J1242" s="1">
        <v>0.100045</v>
      </c>
    </row>
    <row r="1243">
      <c r="A1243" s="1">
        <v>2025.0</v>
      </c>
      <c r="B1243" s="1" t="s">
        <v>558</v>
      </c>
      <c r="C1243" s="1">
        <v>596271.0</v>
      </c>
      <c r="D1243" s="1" t="s">
        <v>537</v>
      </c>
      <c r="E1243" s="1" t="s">
        <v>927</v>
      </c>
      <c r="F1243" s="1" t="s">
        <v>926</v>
      </c>
      <c r="G1243" s="1">
        <v>14.0</v>
      </c>
      <c r="H1243" s="1">
        <v>0.896135266</v>
      </c>
      <c r="I1243" s="1">
        <v>4.81</v>
      </c>
      <c r="J1243" s="1">
        <v>0.388811</v>
      </c>
    </row>
    <row r="1244">
      <c r="A1244" s="1">
        <v>2025.0</v>
      </c>
      <c r="B1244" s="1" t="s">
        <v>558</v>
      </c>
      <c r="C1244" s="1">
        <v>596271.0</v>
      </c>
      <c r="D1244" s="1" t="s">
        <v>536</v>
      </c>
      <c r="E1244" s="1" t="s">
        <v>927</v>
      </c>
      <c r="F1244" s="1" t="s">
        <v>926</v>
      </c>
      <c r="G1244" s="1">
        <v>31.0</v>
      </c>
      <c r="H1244" s="1">
        <v>1.984299517</v>
      </c>
      <c r="I1244" s="1">
        <v>4.73</v>
      </c>
      <c r="J1244" s="1">
        <v>0.848516</v>
      </c>
    </row>
    <row r="1245">
      <c r="A1245" s="1">
        <v>2025.0</v>
      </c>
      <c r="B1245" s="1" t="s">
        <v>558</v>
      </c>
      <c r="C1245" s="1">
        <v>596271.0</v>
      </c>
      <c r="D1245" s="1" t="s">
        <v>533</v>
      </c>
      <c r="E1245" s="1" t="s">
        <v>927</v>
      </c>
      <c r="F1245" s="1" t="s">
        <v>926</v>
      </c>
      <c r="G1245" s="1">
        <v>6.0</v>
      </c>
      <c r="H1245" s="1">
        <v>0.384057971</v>
      </c>
      <c r="I1245" s="1">
        <v>5.98</v>
      </c>
      <c r="J1245" s="1">
        <v>0.003807</v>
      </c>
    </row>
    <row r="1246">
      <c r="A1246" s="1">
        <v>2025.0</v>
      </c>
      <c r="B1246" s="1" t="s">
        <v>558</v>
      </c>
      <c r="C1246" s="1">
        <v>596271.0</v>
      </c>
      <c r="D1246" s="1" t="s">
        <v>539</v>
      </c>
      <c r="E1246" s="1" t="s">
        <v>927</v>
      </c>
      <c r="F1246" s="1" t="s">
        <v>926</v>
      </c>
      <c r="G1246" s="1">
        <v>14.0</v>
      </c>
      <c r="H1246" s="1">
        <v>0.896135266</v>
      </c>
      <c r="I1246" s="1">
        <v>5.06</v>
      </c>
      <c r="J1246" s="1">
        <v>0.291623</v>
      </c>
    </row>
    <row r="1247">
      <c r="A1247" s="1">
        <v>2025.0</v>
      </c>
      <c r="B1247" s="1" t="s">
        <v>558</v>
      </c>
      <c r="C1247" s="1">
        <v>596271.0</v>
      </c>
      <c r="D1247" s="1" t="s">
        <v>532</v>
      </c>
      <c r="E1247" s="1" t="s">
        <v>927</v>
      </c>
      <c r="F1247" s="1" t="s">
        <v>927</v>
      </c>
      <c r="G1247" s="1">
        <v>8.0</v>
      </c>
      <c r="H1247" s="1">
        <v>0.512077295</v>
      </c>
      <c r="I1247" s="1">
        <v>5.92</v>
      </c>
      <c r="J1247" s="1">
        <v>0.011511</v>
      </c>
    </row>
    <row r="1248">
      <c r="A1248" s="1">
        <v>2025.0</v>
      </c>
      <c r="B1248" s="1" t="s">
        <v>558</v>
      </c>
      <c r="C1248" s="1">
        <v>596271.0</v>
      </c>
      <c r="D1248" s="1" t="s">
        <v>540</v>
      </c>
      <c r="E1248" s="1" t="s">
        <v>927</v>
      </c>
      <c r="F1248" s="1" t="s">
        <v>927</v>
      </c>
      <c r="G1248" s="1">
        <v>1.0</v>
      </c>
      <c r="H1248" s="1">
        <v>0.064009662</v>
      </c>
      <c r="I1248" s="1">
        <v>4.19</v>
      </c>
      <c r="J1248" s="1">
        <v>0.039239</v>
      </c>
    </row>
    <row r="1249">
      <c r="A1249" s="1">
        <v>2025.0</v>
      </c>
      <c r="B1249" s="1" t="s">
        <v>558</v>
      </c>
      <c r="C1249" s="1">
        <v>596271.0</v>
      </c>
      <c r="D1249" s="1" t="s">
        <v>537</v>
      </c>
      <c r="E1249" s="1" t="s">
        <v>927</v>
      </c>
      <c r="F1249" s="1" t="s">
        <v>927</v>
      </c>
      <c r="G1249" s="1">
        <v>5.0</v>
      </c>
      <c r="H1249" s="1">
        <v>0.320048309</v>
      </c>
      <c r="I1249" s="1">
        <v>5.26</v>
      </c>
      <c r="J1249" s="1">
        <v>0.085176</v>
      </c>
    </row>
    <row r="1250">
      <c r="A1250" s="1">
        <v>2025.0</v>
      </c>
      <c r="B1250" s="1" t="s">
        <v>558</v>
      </c>
      <c r="C1250" s="1">
        <v>596271.0</v>
      </c>
      <c r="D1250" s="1" t="s">
        <v>536</v>
      </c>
      <c r="E1250" s="1" t="s">
        <v>927</v>
      </c>
      <c r="F1250" s="1" t="s">
        <v>927</v>
      </c>
      <c r="G1250" s="1">
        <v>79.0</v>
      </c>
      <c r="H1250" s="1">
        <v>5.056763285</v>
      </c>
      <c r="I1250" s="1">
        <v>5.0</v>
      </c>
      <c r="J1250" s="1">
        <v>1.748051</v>
      </c>
    </row>
    <row r="1251">
      <c r="A1251" s="1">
        <v>2025.0</v>
      </c>
      <c r="B1251" s="1" t="s">
        <v>558</v>
      </c>
      <c r="C1251" s="1">
        <v>596271.0</v>
      </c>
      <c r="D1251" s="1" t="s">
        <v>533</v>
      </c>
      <c r="E1251" s="1" t="s">
        <v>927</v>
      </c>
      <c r="F1251" s="1" t="s">
        <v>927</v>
      </c>
      <c r="G1251" s="1">
        <v>29.0</v>
      </c>
      <c r="H1251" s="1">
        <v>1.856280193</v>
      </c>
      <c r="I1251" s="1">
        <v>5.52</v>
      </c>
      <c r="J1251" s="1">
        <v>0.33483</v>
      </c>
    </row>
    <row r="1252">
      <c r="A1252" s="1">
        <v>2025.0</v>
      </c>
      <c r="B1252" s="1" t="s">
        <v>558</v>
      </c>
      <c r="C1252" s="1">
        <v>596271.0</v>
      </c>
      <c r="D1252" s="1" t="s">
        <v>539</v>
      </c>
      <c r="E1252" s="1" t="s">
        <v>927</v>
      </c>
      <c r="F1252" s="1" t="s">
        <v>927</v>
      </c>
      <c r="G1252" s="1">
        <v>32.0</v>
      </c>
      <c r="H1252" s="1">
        <v>2.048309179</v>
      </c>
      <c r="I1252" s="1">
        <v>5.01</v>
      </c>
      <c r="J1252" s="1">
        <v>0.67201</v>
      </c>
    </row>
    <row r="1253">
      <c r="A1253" s="1">
        <v>2025.0</v>
      </c>
      <c r="B1253" s="1" t="s">
        <v>340</v>
      </c>
      <c r="C1253" s="1">
        <v>668984.0</v>
      </c>
      <c r="D1253" s="1" t="s">
        <v>532</v>
      </c>
      <c r="E1253" s="1" t="s">
        <v>927</v>
      </c>
      <c r="F1253" s="1" t="s">
        <v>926</v>
      </c>
      <c r="G1253" s="1">
        <v>82.0</v>
      </c>
      <c r="H1253" s="1">
        <v>4.73015873</v>
      </c>
      <c r="I1253" s="1">
        <v>4.64</v>
      </c>
      <c r="J1253" s="1">
        <v>2.449751</v>
      </c>
    </row>
    <row r="1254">
      <c r="A1254" s="1">
        <v>2025.0</v>
      </c>
      <c r="B1254" s="1" t="s">
        <v>340</v>
      </c>
      <c r="C1254" s="1">
        <v>668984.0</v>
      </c>
      <c r="D1254" s="1" t="s">
        <v>537</v>
      </c>
      <c r="E1254" s="1" t="s">
        <v>927</v>
      </c>
      <c r="F1254" s="1" t="s">
        <v>926</v>
      </c>
      <c r="G1254" s="1">
        <v>246.0</v>
      </c>
      <c r="H1254" s="1">
        <v>14.19047619</v>
      </c>
      <c r="I1254" s="1">
        <v>4.97</v>
      </c>
      <c r="J1254" s="1">
        <v>5.698776</v>
      </c>
    </row>
    <row r="1255">
      <c r="A1255" s="1">
        <v>2025.0</v>
      </c>
      <c r="B1255" s="1" t="s">
        <v>340</v>
      </c>
      <c r="C1255" s="1">
        <v>668984.0</v>
      </c>
      <c r="D1255" s="1" t="s">
        <v>536</v>
      </c>
      <c r="E1255" s="1" t="s">
        <v>927</v>
      </c>
      <c r="F1255" s="1" t="s">
        <v>926</v>
      </c>
      <c r="G1255" s="1">
        <v>52.0</v>
      </c>
      <c r="H1255" s="1">
        <v>2.999612853</v>
      </c>
      <c r="I1255" s="1">
        <v>4.95</v>
      </c>
      <c r="J1255" s="1">
        <v>1.361674</v>
      </c>
    </row>
    <row r="1256">
      <c r="A1256" s="1">
        <v>2025.0</v>
      </c>
      <c r="B1256" s="1" t="s">
        <v>340</v>
      </c>
      <c r="C1256" s="1">
        <v>668984.0</v>
      </c>
      <c r="D1256" s="1" t="s">
        <v>533</v>
      </c>
      <c r="E1256" s="1" t="s">
        <v>927</v>
      </c>
      <c r="F1256" s="1" t="s">
        <v>926</v>
      </c>
      <c r="G1256" s="1">
        <v>6.0</v>
      </c>
      <c r="H1256" s="1">
        <v>0.346109175</v>
      </c>
      <c r="I1256" s="1">
        <v>6.07</v>
      </c>
      <c r="J1256" s="1">
        <v>0.00541</v>
      </c>
    </row>
    <row r="1257">
      <c r="A1257" s="1">
        <v>2025.0</v>
      </c>
      <c r="B1257" s="1" t="s">
        <v>340</v>
      </c>
      <c r="C1257" s="1">
        <v>668984.0</v>
      </c>
      <c r="D1257" s="1" t="s">
        <v>539</v>
      </c>
      <c r="E1257" s="1" t="s">
        <v>927</v>
      </c>
      <c r="F1257" s="1" t="s">
        <v>926</v>
      </c>
      <c r="G1257" s="1">
        <v>34.0</v>
      </c>
      <c r="H1257" s="1">
        <v>1.961285327</v>
      </c>
      <c r="I1257" s="1">
        <v>5.39</v>
      </c>
      <c r="J1257" s="1">
        <v>0.52245</v>
      </c>
    </row>
    <row r="1258">
      <c r="A1258" s="1">
        <v>2025.0</v>
      </c>
      <c r="B1258" s="1" t="s">
        <v>340</v>
      </c>
      <c r="C1258" s="1">
        <v>668984.0</v>
      </c>
      <c r="D1258" s="1" t="s">
        <v>532</v>
      </c>
      <c r="E1258" s="1" t="s">
        <v>927</v>
      </c>
      <c r="F1258" s="1" t="s">
        <v>927</v>
      </c>
      <c r="G1258" s="1">
        <v>10.0</v>
      </c>
      <c r="H1258" s="1">
        <v>0.576848626</v>
      </c>
      <c r="I1258" s="1">
        <v>3.0</v>
      </c>
      <c r="J1258" s="1">
        <v>0.608388</v>
      </c>
    </row>
    <row r="1259">
      <c r="A1259" s="1">
        <v>2025.0</v>
      </c>
      <c r="B1259" s="1" t="s">
        <v>340</v>
      </c>
      <c r="C1259" s="1">
        <v>668984.0</v>
      </c>
      <c r="D1259" s="1" t="s">
        <v>537</v>
      </c>
      <c r="E1259" s="1" t="s">
        <v>927</v>
      </c>
      <c r="F1259" s="1" t="s">
        <v>927</v>
      </c>
      <c r="G1259" s="1">
        <v>239.0</v>
      </c>
      <c r="H1259" s="1">
        <v>13.78668215</v>
      </c>
      <c r="I1259" s="1">
        <v>5.06</v>
      </c>
      <c r="J1259" s="1">
        <v>5.041844</v>
      </c>
    </row>
    <row r="1260">
      <c r="A1260" s="1">
        <v>2025.0</v>
      </c>
      <c r="B1260" s="1" t="s">
        <v>340</v>
      </c>
      <c r="C1260" s="1">
        <v>668984.0</v>
      </c>
      <c r="D1260" s="1" t="s">
        <v>536</v>
      </c>
      <c r="E1260" s="1" t="s">
        <v>927</v>
      </c>
      <c r="F1260" s="1" t="s">
        <v>927</v>
      </c>
      <c r="G1260" s="1">
        <v>83.0</v>
      </c>
      <c r="H1260" s="1">
        <v>4.787843593</v>
      </c>
      <c r="I1260" s="1">
        <v>5.54</v>
      </c>
      <c r="J1260" s="1">
        <v>1.018515</v>
      </c>
    </row>
    <row r="1261">
      <c r="A1261" s="1">
        <v>2025.0</v>
      </c>
      <c r="B1261" s="1" t="s">
        <v>340</v>
      </c>
      <c r="C1261" s="1">
        <v>668984.0</v>
      </c>
      <c r="D1261" s="1" t="s">
        <v>533</v>
      </c>
      <c r="E1261" s="1" t="s">
        <v>927</v>
      </c>
      <c r="F1261" s="1" t="s">
        <v>927</v>
      </c>
      <c r="G1261" s="1">
        <v>10.0</v>
      </c>
      <c r="H1261" s="1">
        <v>0.576848626</v>
      </c>
      <c r="I1261" s="1">
        <v>5.25</v>
      </c>
      <c r="J1261" s="1">
        <v>0.158967</v>
      </c>
    </row>
    <row r="1262">
      <c r="A1262" s="1">
        <v>2025.0</v>
      </c>
      <c r="B1262" s="1" t="s">
        <v>340</v>
      </c>
      <c r="C1262" s="1">
        <v>668984.0</v>
      </c>
      <c r="D1262" s="1" t="s">
        <v>539</v>
      </c>
      <c r="E1262" s="1" t="s">
        <v>927</v>
      </c>
      <c r="F1262" s="1" t="s">
        <v>927</v>
      </c>
      <c r="G1262" s="1">
        <v>99.0</v>
      </c>
      <c r="H1262" s="1">
        <v>5.710801394</v>
      </c>
      <c r="I1262" s="1">
        <v>5.07</v>
      </c>
      <c r="J1262" s="1">
        <v>2.052259</v>
      </c>
    </row>
    <row r="1263">
      <c r="A1263" s="1">
        <v>2025.0</v>
      </c>
      <c r="B1263" s="1" t="s">
        <v>125</v>
      </c>
      <c r="C1263" s="1">
        <v>663554.0</v>
      </c>
      <c r="D1263" s="1" t="s">
        <v>541</v>
      </c>
      <c r="E1263" s="1" t="s">
        <v>927</v>
      </c>
      <c r="F1263" s="1" t="s">
        <v>926</v>
      </c>
      <c r="G1263" s="1">
        <v>101.0</v>
      </c>
      <c r="H1263" s="1">
        <v>6.398384354</v>
      </c>
      <c r="I1263" s="1">
        <v>5.4</v>
      </c>
      <c r="J1263" s="1">
        <v>1.40494</v>
      </c>
    </row>
    <row r="1264">
      <c r="A1264" s="1">
        <v>2025.0</v>
      </c>
      <c r="B1264" s="1" t="s">
        <v>125</v>
      </c>
      <c r="C1264" s="1">
        <v>663554.0</v>
      </c>
      <c r="D1264" s="1" t="s">
        <v>537</v>
      </c>
      <c r="E1264" s="1" t="s">
        <v>927</v>
      </c>
      <c r="F1264" s="1" t="s">
        <v>926</v>
      </c>
      <c r="G1264" s="1">
        <v>519.0</v>
      </c>
      <c r="H1264" s="1">
        <v>32.87882653</v>
      </c>
      <c r="I1264" s="1">
        <v>4.93</v>
      </c>
      <c r="J1264" s="1">
        <v>12.223652</v>
      </c>
    </row>
    <row r="1265">
      <c r="A1265" s="1">
        <v>2025.0</v>
      </c>
      <c r="B1265" s="1" t="s">
        <v>125</v>
      </c>
      <c r="C1265" s="1">
        <v>663554.0</v>
      </c>
      <c r="D1265" s="1" t="s">
        <v>538</v>
      </c>
      <c r="E1265" s="1" t="s">
        <v>927</v>
      </c>
      <c r="F1265" s="1" t="s">
        <v>926</v>
      </c>
      <c r="G1265" s="1">
        <v>407.0</v>
      </c>
      <c r="H1265" s="1">
        <v>25.78358844</v>
      </c>
      <c r="I1265" s="1">
        <v>4.99</v>
      </c>
      <c r="J1265" s="1">
        <v>8.855571</v>
      </c>
    </row>
    <row r="1266">
      <c r="A1266" s="1">
        <v>2025.0</v>
      </c>
      <c r="B1266" s="1" t="s">
        <v>125</v>
      </c>
      <c r="C1266" s="1">
        <v>663554.0</v>
      </c>
      <c r="D1266" s="1" t="s">
        <v>536</v>
      </c>
      <c r="E1266" s="1" t="s">
        <v>927</v>
      </c>
      <c r="F1266" s="1" t="s">
        <v>926</v>
      </c>
      <c r="G1266" s="1">
        <v>11.0</v>
      </c>
      <c r="H1266" s="1">
        <v>0.696853741</v>
      </c>
      <c r="I1266" s="1">
        <v>4.7</v>
      </c>
      <c r="J1266" s="1">
        <v>0.323304</v>
      </c>
    </row>
    <row r="1267">
      <c r="A1267" s="1">
        <v>2025.0</v>
      </c>
      <c r="B1267" s="1" t="s">
        <v>125</v>
      </c>
      <c r="C1267" s="1">
        <v>663554.0</v>
      </c>
      <c r="D1267" s="1" t="s">
        <v>533</v>
      </c>
      <c r="E1267" s="1" t="s">
        <v>927</v>
      </c>
      <c r="F1267" s="1" t="s">
        <v>926</v>
      </c>
      <c r="G1267" s="1">
        <v>237.0</v>
      </c>
      <c r="H1267" s="1">
        <v>15.01403061</v>
      </c>
      <c r="I1267" s="1">
        <v>5.53</v>
      </c>
      <c r="J1267" s="1">
        <v>2.834554</v>
      </c>
    </row>
    <row r="1268">
      <c r="A1268" s="1">
        <v>2025.0</v>
      </c>
      <c r="B1268" s="1" t="s">
        <v>125</v>
      </c>
      <c r="C1268" s="1">
        <v>663554.0</v>
      </c>
      <c r="D1268" s="1" t="s">
        <v>539</v>
      </c>
      <c r="E1268" s="1" t="s">
        <v>927</v>
      </c>
      <c r="F1268" s="1" t="s">
        <v>926</v>
      </c>
      <c r="G1268" s="1">
        <v>1.0</v>
      </c>
      <c r="H1268" s="1">
        <v>0.06335034</v>
      </c>
      <c r="I1268" s="1">
        <v>6.45</v>
      </c>
      <c r="J1268" s="1">
        <v>-0.006248</v>
      </c>
    </row>
    <row r="1269">
      <c r="A1269" s="1">
        <v>2025.0</v>
      </c>
      <c r="B1269" s="1" t="s">
        <v>125</v>
      </c>
      <c r="C1269" s="1">
        <v>663554.0</v>
      </c>
      <c r="D1269" s="1" t="s">
        <v>541</v>
      </c>
      <c r="E1269" s="1" t="s">
        <v>927</v>
      </c>
      <c r="F1269" s="1" t="s">
        <v>927</v>
      </c>
      <c r="G1269" s="1">
        <v>213.0</v>
      </c>
      <c r="H1269" s="1">
        <v>13.49362245</v>
      </c>
      <c r="I1269" s="1">
        <v>5.42</v>
      </c>
      <c r="J1269" s="1">
        <v>2.824275</v>
      </c>
    </row>
    <row r="1270">
      <c r="A1270" s="1">
        <v>2025.0</v>
      </c>
      <c r="B1270" s="1" t="s">
        <v>125</v>
      </c>
      <c r="C1270" s="1">
        <v>663554.0</v>
      </c>
      <c r="D1270" s="1" t="s">
        <v>537</v>
      </c>
      <c r="E1270" s="1" t="s">
        <v>927</v>
      </c>
      <c r="F1270" s="1" t="s">
        <v>927</v>
      </c>
      <c r="G1270" s="1">
        <v>282.0</v>
      </c>
      <c r="H1270" s="1">
        <v>17.86479592</v>
      </c>
      <c r="I1270" s="1">
        <v>4.98</v>
      </c>
      <c r="J1270" s="1">
        <v>6.586351</v>
      </c>
    </row>
    <row r="1271">
      <c r="A1271" s="1">
        <v>2025.0</v>
      </c>
      <c r="B1271" s="1" t="s">
        <v>125</v>
      </c>
      <c r="C1271" s="1">
        <v>663554.0</v>
      </c>
      <c r="D1271" s="1" t="s">
        <v>538</v>
      </c>
      <c r="E1271" s="1" t="s">
        <v>927</v>
      </c>
      <c r="F1271" s="1" t="s">
        <v>927</v>
      </c>
      <c r="G1271" s="1">
        <v>161.0</v>
      </c>
      <c r="H1271" s="1">
        <v>10.19940476</v>
      </c>
      <c r="I1271" s="1">
        <v>5.26</v>
      </c>
      <c r="J1271" s="1">
        <v>2.615435</v>
      </c>
    </row>
    <row r="1272">
      <c r="A1272" s="1">
        <v>2025.0</v>
      </c>
      <c r="B1272" s="1" t="s">
        <v>125</v>
      </c>
      <c r="C1272" s="1">
        <v>663554.0</v>
      </c>
      <c r="D1272" s="1" t="s">
        <v>536</v>
      </c>
      <c r="E1272" s="1" t="s">
        <v>927</v>
      </c>
      <c r="F1272" s="1" t="s">
        <v>927</v>
      </c>
      <c r="G1272" s="1">
        <v>275.0</v>
      </c>
      <c r="H1272" s="1">
        <v>17.42134354</v>
      </c>
      <c r="I1272" s="1">
        <v>5.3</v>
      </c>
      <c r="J1272" s="1">
        <v>4.687072</v>
      </c>
    </row>
    <row r="1273">
      <c r="A1273" s="1">
        <v>2025.0</v>
      </c>
      <c r="B1273" s="1" t="s">
        <v>125</v>
      </c>
      <c r="C1273" s="1">
        <v>663554.0</v>
      </c>
      <c r="D1273" s="1" t="s">
        <v>533</v>
      </c>
      <c r="E1273" s="1" t="s">
        <v>927</v>
      </c>
      <c r="F1273" s="1" t="s">
        <v>927</v>
      </c>
      <c r="G1273" s="1">
        <v>141.0</v>
      </c>
      <c r="H1273" s="1">
        <v>8.932397959</v>
      </c>
      <c r="I1273" s="1">
        <v>5.16</v>
      </c>
      <c r="J1273" s="1">
        <v>2.687761</v>
      </c>
    </row>
    <row r="1274">
      <c r="A1274" s="1">
        <v>2025.0</v>
      </c>
      <c r="B1274" s="1" t="s">
        <v>125</v>
      </c>
      <c r="C1274" s="1">
        <v>663554.0</v>
      </c>
      <c r="D1274" s="1" t="s">
        <v>539</v>
      </c>
      <c r="E1274" s="1" t="s">
        <v>927</v>
      </c>
      <c r="F1274" s="1" t="s">
        <v>927</v>
      </c>
      <c r="G1274" s="1">
        <v>4.0</v>
      </c>
      <c r="H1274" s="1">
        <v>0.253401361</v>
      </c>
      <c r="I1274" s="1">
        <v>6.75</v>
      </c>
      <c r="J1274" s="1">
        <v>-0.061169</v>
      </c>
    </row>
    <row r="1275">
      <c r="A1275" s="1">
        <v>2025.0</v>
      </c>
      <c r="B1275" s="1" t="s">
        <v>174</v>
      </c>
      <c r="C1275" s="1">
        <v>643338.0</v>
      </c>
      <c r="D1275" s="1" t="s">
        <v>537</v>
      </c>
      <c r="E1275" s="1" t="s">
        <v>927</v>
      </c>
      <c r="F1275" s="1" t="s">
        <v>926</v>
      </c>
      <c r="G1275" s="1">
        <v>185.0</v>
      </c>
      <c r="H1275" s="1">
        <v>11.37793427</v>
      </c>
      <c r="I1275" s="1">
        <v>5.26</v>
      </c>
      <c r="J1275" s="1">
        <v>3.153491</v>
      </c>
    </row>
    <row r="1276">
      <c r="A1276" s="1">
        <v>2025.0</v>
      </c>
      <c r="B1276" s="1" t="s">
        <v>174</v>
      </c>
      <c r="C1276" s="1">
        <v>643338.0</v>
      </c>
      <c r="D1276" s="1" t="s">
        <v>533</v>
      </c>
      <c r="E1276" s="1" t="s">
        <v>927</v>
      </c>
      <c r="F1276" s="1" t="s">
        <v>926</v>
      </c>
      <c r="G1276" s="1">
        <v>94.0</v>
      </c>
      <c r="H1276" s="1">
        <v>5.781220657</v>
      </c>
      <c r="I1276" s="1">
        <v>5.0</v>
      </c>
      <c r="J1276" s="1">
        <v>2.019799</v>
      </c>
    </row>
    <row r="1277">
      <c r="A1277" s="1">
        <v>2025.0</v>
      </c>
      <c r="B1277" s="1" t="s">
        <v>174</v>
      </c>
      <c r="C1277" s="1">
        <v>643338.0</v>
      </c>
      <c r="D1277" s="1" t="s">
        <v>537</v>
      </c>
      <c r="E1277" s="1" t="s">
        <v>927</v>
      </c>
      <c r="F1277" s="1" t="s">
        <v>927</v>
      </c>
      <c r="G1277" s="1">
        <v>173.0</v>
      </c>
      <c r="H1277" s="1">
        <v>10.6399061</v>
      </c>
      <c r="I1277" s="1">
        <v>5.19</v>
      </c>
      <c r="J1277" s="1">
        <v>3.150738</v>
      </c>
    </row>
    <row r="1278">
      <c r="A1278" s="1">
        <v>2025.0</v>
      </c>
      <c r="B1278" s="1" t="s">
        <v>174</v>
      </c>
      <c r="C1278" s="1">
        <v>643338.0</v>
      </c>
      <c r="D1278" s="1" t="s">
        <v>536</v>
      </c>
      <c r="E1278" s="1" t="s">
        <v>927</v>
      </c>
      <c r="F1278" s="1" t="s">
        <v>927</v>
      </c>
      <c r="G1278" s="1">
        <v>15.0</v>
      </c>
      <c r="H1278" s="1">
        <v>0.922535211</v>
      </c>
      <c r="I1278" s="1">
        <v>4.87</v>
      </c>
      <c r="J1278" s="1">
        <v>0.38719</v>
      </c>
    </row>
    <row r="1279">
      <c r="A1279" s="1">
        <v>2025.0</v>
      </c>
      <c r="B1279" s="1" t="s">
        <v>174</v>
      </c>
      <c r="C1279" s="1">
        <v>643338.0</v>
      </c>
      <c r="D1279" s="1" t="s">
        <v>533</v>
      </c>
      <c r="E1279" s="1" t="s">
        <v>927</v>
      </c>
      <c r="F1279" s="1" t="s">
        <v>927</v>
      </c>
      <c r="G1279" s="1">
        <v>243.0</v>
      </c>
      <c r="H1279" s="1">
        <v>14.94507042</v>
      </c>
      <c r="I1279" s="1">
        <v>5.01</v>
      </c>
      <c r="J1279" s="1">
        <v>5.210007</v>
      </c>
    </row>
    <row r="1280">
      <c r="A1280" s="1">
        <v>2025.0</v>
      </c>
      <c r="B1280" s="1" t="s">
        <v>496</v>
      </c>
      <c r="C1280" s="1">
        <v>694477.0</v>
      </c>
      <c r="D1280" s="1" t="s">
        <v>532</v>
      </c>
      <c r="E1280" s="1" t="s">
        <v>927</v>
      </c>
      <c r="F1280" s="1" t="s">
        <v>926</v>
      </c>
      <c r="G1280" s="1">
        <v>112.0</v>
      </c>
      <c r="H1280" s="1">
        <v>6.667993367</v>
      </c>
      <c r="I1280" s="1">
        <v>4.48</v>
      </c>
      <c r="J1280" s="1">
        <v>3.613403</v>
      </c>
    </row>
    <row r="1281">
      <c r="A1281" s="1">
        <v>2025.0</v>
      </c>
      <c r="B1281" s="1" t="s">
        <v>496</v>
      </c>
      <c r="C1281" s="1">
        <v>694477.0</v>
      </c>
      <c r="D1281" s="1" t="s">
        <v>541</v>
      </c>
      <c r="E1281" s="1" t="s">
        <v>927</v>
      </c>
      <c r="F1281" s="1" t="s">
        <v>926</v>
      </c>
      <c r="G1281" s="1">
        <v>5.0</v>
      </c>
      <c r="H1281" s="1">
        <v>0.297678275</v>
      </c>
      <c r="I1281" s="1">
        <v>5.44</v>
      </c>
      <c r="J1281" s="1">
        <v>0.061106</v>
      </c>
    </row>
    <row r="1282">
      <c r="A1282" s="1">
        <v>2025.0</v>
      </c>
      <c r="B1282" s="1" t="s">
        <v>496</v>
      </c>
      <c r="C1282" s="1">
        <v>694477.0</v>
      </c>
      <c r="D1282" s="1" t="s">
        <v>540</v>
      </c>
      <c r="E1282" s="1" t="s">
        <v>927</v>
      </c>
      <c r="F1282" s="1" t="s">
        <v>926</v>
      </c>
      <c r="G1282" s="1">
        <v>367.0</v>
      </c>
      <c r="H1282" s="1">
        <v>21.84958541</v>
      </c>
      <c r="I1282" s="1">
        <v>4.83</v>
      </c>
      <c r="J1282" s="1">
        <v>9.34063</v>
      </c>
    </row>
    <row r="1283">
      <c r="A1283" s="1">
        <v>2025.0</v>
      </c>
      <c r="B1283" s="1" t="s">
        <v>496</v>
      </c>
      <c r="C1283" s="1">
        <v>694477.0</v>
      </c>
      <c r="D1283" s="1" t="s">
        <v>537</v>
      </c>
      <c r="E1283" s="1" t="s">
        <v>927</v>
      </c>
      <c r="F1283" s="1" t="s">
        <v>926</v>
      </c>
      <c r="G1283" s="1">
        <v>275.0</v>
      </c>
      <c r="H1283" s="1">
        <v>16.37230514</v>
      </c>
      <c r="I1283" s="1">
        <v>4.64</v>
      </c>
      <c r="J1283" s="1">
        <v>8.15921</v>
      </c>
    </row>
    <row r="1284">
      <c r="A1284" s="1">
        <v>2025.0</v>
      </c>
      <c r="B1284" s="1" t="s">
        <v>496</v>
      </c>
      <c r="C1284" s="1">
        <v>694477.0</v>
      </c>
      <c r="D1284" s="1" t="s">
        <v>536</v>
      </c>
      <c r="E1284" s="1" t="s">
        <v>927</v>
      </c>
      <c r="F1284" s="1" t="s">
        <v>926</v>
      </c>
      <c r="G1284" s="1">
        <v>166.0</v>
      </c>
      <c r="H1284" s="1">
        <v>9.88291874</v>
      </c>
      <c r="I1284" s="1">
        <v>4.5</v>
      </c>
      <c r="J1284" s="1">
        <v>5.36564</v>
      </c>
    </row>
    <row r="1285">
      <c r="A1285" s="1">
        <v>2025.0</v>
      </c>
      <c r="B1285" s="1" t="s">
        <v>496</v>
      </c>
      <c r="C1285" s="1">
        <v>694477.0</v>
      </c>
      <c r="D1285" s="1" t="s">
        <v>533</v>
      </c>
      <c r="E1285" s="1" t="s">
        <v>927</v>
      </c>
      <c r="F1285" s="1" t="s">
        <v>926</v>
      </c>
      <c r="G1285" s="1">
        <v>22.0</v>
      </c>
      <c r="H1285" s="1">
        <v>1.309784411</v>
      </c>
      <c r="I1285" s="1">
        <v>4.59</v>
      </c>
      <c r="J1285" s="1">
        <v>0.66305</v>
      </c>
    </row>
    <row r="1286">
      <c r="A1286" s="1">
        <v>2025.0</v>
      </c>
      <c r="B1286" s="1" t="s">
        <v>496</v>
      </c>
      <c r="C1286" s="1">
        <v>694477.0</v>
      </c>
      <c r="D1286" s="1" t="s">
        <v>532</v>
      </c>
      <c r="E1286" s="1" t="s">
        <v>927</v>
      </c>
      <c r="F1286" s="1" t="s">
        <v>927</v>
      </c>
      <c r="G1286" s="1">
        <v>16.0</v>
      </c>
      <c r="H1286" s="1">
        <v>0.952570481</v>
      </c>
      <c r="I1286" s="1">
        <v>3.58</v>
      </c>
      <c r="J1286" s="1">
        <v>0.781119</v>
      </c>
    </row>
    <row r="1287">
      <c r="A1287" s="1">
        <v>2025.0</v>
      </c>
      <c r="B1287" s="1" t="s">
        <v>496</v>
      </c>
      <c r="C1287" s="1">
        <v>694477.0</v>
      </c>
      <c r="D1287" s="1" t="s">
        <v>541</v>
      </c>
      <c r="E1287" s="1" t="s">
        <v>927</v>
      </c>
      <c r="F1287" s="1" t="s">
        <v>927</v>
      </c>
      <c r="G1287" s="1">
        <v>9.0</v>
      </c>
      <c r="H1287" s="1">
        <v>0.535820896</v>
      </c>
      <c r="I1287" s="1">
        <v>5.47</v>
      </c>
      <c r="J1287" s="1">
        <v>0.105992</v>
      </c>
    </row>
    <row r="1288">
      <c r="A1288" s="1">
        <v>2025.0</v>
      </c>
      <c r="B1288" s="1" t="s">
        <v>496</v>
      </c>
      <c r="C1288" s="1">
        <v>694477.0</v>
      </c>
      <c r="D1288" s="1" t="s">
        <v>540</v>
      </c>
      <c r="E1288" s="1" t="s">
        <v>927</v>
      </c>
      <c r="F1288" s="1" t="s">
        <v>927</v>
      </c>
      <c r="G1288" s="1">
        <v>462.0</v>
      </c>
      <c r="H1288" s="1">
        <v>27.50547264</v>
      </c>
      <c r="I1288" s="1">
        <v>5.02</v>
      </c>
      <c r="J1288" s="1">
        <v>9.976645</v>
      </c>
    </row>
    <row r="1289">
      <c r="A1289" s="1">
        <v>2025.0</v>
      </c>
      <c r="B1289" s="1" t="s">
        <v>496</v>
      </c>
      <c r="C1289" s="1">
        <v>694477.0</v>
      </c>
      <c r="D1289" s="1" t="s">
        <v>537</v>
      </c>
      <c r="E1289" s="1" t="s">
        <v>927</v>
      </c>
      <c r="F1289" s="1" t="s">
        <v>927</v>
      </c>
      <c r="G1289" s="1">
        <v>165.0</v>
      </c>
      <c r="H1289" s="1">
        <v>9.823383085</v>
      </c>
      <c r="I1289" s="1">
        <v>4.71</v>
      </c>
      <c r="J1289" s="1">
        <v>4.548799</v>
      </c>
    </row>
    <row r="1290">
      <c r="A1290" s="1">
        <v>2025.0</v>
      </c>
      <c r="B1290" s="1" t="s">
        <v>496</v>
      </c>
      <c r="C1290" s="1">
        <v>694477.0</v>
      </c>
      <c r="D1290" s="1" t="s">
        <v>536</v>
      </c>
      <c r="E1290" s="1" t="s">
        <v>927</v>
      </c>
      <c r="F1290" s="1" t="s">
        <v>927</v>
      </c>
      <c r="G1290" s="1">
        <v>309.0</v>
      </c>
      <c r="H1290" s="1">
        <v>18.39651741</v>
      </c>
      <c r="I1290" s="1">
        <v>4.94</v>
      </c>
      <c r="J1290" s="1">
        <v>7.243559</v>
      </c>
    </row>
    <row r="1291">
      <c r="A1291" s="1">
        <v>2025.0</v>
      </c>
      <c r="B1291" s="1" t="s">
        <v>496</v>
      </c>
      <c r="C1291" s="1">
        <v>694477.0</v>
      </c>
      <c r="D1291" s="1" t="s">
        <v>533</v>
      </c>
      <c r="E1291" s="1" t="s">
        <v>927</v>
      </c>
      <c r="F1291" s="1" t="s">
        <v>927</v>
      </c>
      <c r="G1291" s="1">
        <v>102.0</v>
      </c>
      <c r="H1291" s="1">
        <v>6.072636816</v>
      </c>
      <c r="I1291" s="1">
        <v>4.92</v>
      </c>
      <c r="J1291" s="1">
        <v>2.412842</v>
      </c>
    </row>
    <row r="1292">
      <c r="A1292" s="1">
        <v>2025.0</v>
      </c>
      <c r="B1292" s="1" t="s">
        <v>474</v>
      </c>
      <c r="C1292" s="1">
        <v>450203.0</v>
      </c>
      <c r="D1292" s="1" t="s">
        <v>532</v>
      </c>
      <c r="E1292" s="1" t="s">
        <v>927</v>
      </c>
      <c r="F1292" s="1" t="s">
        <v>926</v>
      </c>
      <c r="G1292" s="1">
        <v>195.0</v>
      </c>
      <c r="H1292" s="1">
        <v>10.89299764</v>
      </c>
      <c r="I1292" s="1">
        <v>4.99</v>
      </c>
      <c r="J1292" s="1">
        <v>4.377384</v>
      </c>
    </row>
    <row r="1293">
      <c r="A1293" s="1">
        <v>2025.0</v>
      </c>
      <c r="B1293" s="1" t="s">
        <v>474</v>
      </c>
      <c r="C1293" s="1">
        <v>450203.0</v>
      </c>
      <c r="D1293" s="1" t="s">
        <v>541</v>
      </c>
      <c r="E1293" s="1" t="s">
        <v>927</v>
      </c>
      <c r="F1293" s="1" t="s">
        <v>926</v>
      </c>
      <c r="G1293" s="1">
        <v>582.0</v>
      </c>
      <c r="H1293" s="1">
        <v>32.51140834</v>
      </c>
      <c r="I1293" s="1">
        <v>4.97</v>
      </c>
      <c r="J1293" s="1">
        <v>12.926092</v>
      </c>
    </row>
    <row r="1294">
      <c r="A1294" s="1">
        <v>2025.0</v>
      </c>
      <c r="B1294" s="1" t="s">
        <v>474</v>
      </c>
      <c r="C1294" s="1">
        <v>450203.0</v>
      </c>
      <c r="D1294" s="1" t="s">
        <v>540</v>
      </c>
      <c r="E1294" s="1" t="s">
        <v>927</v>
      </c>
      <c r="F1294" s="1" t="s">
        <v>926</v>
      </c>
      <c r="G1294" s="1">
        <v>84.0</v>
      </c>
      <c r="H1294" s="1">
        <v>4.692368214</v>
      </c>
      <c r="I1294" s="1">
        <v>5.21</v>
      </c>
      <c r="J1294" s="1">
        <v>1.535898</v>
      </c>
    </row>
    <row r="1295">
      <c r="A1295" s="1">
        <v>2025.0</v>
      </c>
      <c r="B1295" s="1" t="s">
        <v>474</v>
      </c>
      <c r="C1295" s="1">
        <v>450203.0</v>
      </c>
      <c r="D1295" s="1" t="s">
        <v>537</v>
      </c>
      <c r="E1295" s="1" t="s">
        <v>927</v>
      </c>
      <c r="F1295" s="1" t="s">
        <v>926</v>
      </c>
      <c r="G1295" s="1">
        <v>424.0</v>
      </c>
      <c r="H1295" s="1">
        <v>23.68528718</v>
      </c>
      <c r="I1295" s="1">
        <v>4.37</v>
      </c>
      <c r="J1295" s="1">
        <v>15.031608</v>
      </c>
    </row>
    <row r="1296">
      <c r="A1296" s="1">
        <v>2025.0</v>
      </c>
      <c r="B1296" s="1" t="s">
        <v>474</v>
      </c>
      <c r="C1296" s="1">
        <v>450203.0</v>
      </c>
      <c r="D1296" s="1" t="s">
        <v>536</v>
      </c>
      <c r="E1296" s="1" t="s">
        <v>927</v>
      </c>
      <c r="F1296" s="1" t="s">
        <v>926</v>
      </c>
      <c r="G1296" s="1">
        <v>96.0</v>
      </c>
      <c r="H1296" s="1">
        <v>5.36270653</v>
      </c>
      <c r="I1296" s="1">
        <v>4.4</v>
      </c>
      <c r="J1296" s="1">
        <v>3.325322</v>
      </c>
    </row>
    <row r="1297">
      <c r="A1297" s="1">
        <v>2025.0</v>
      </c>
      <c r="B1297" s="1" t="s">
        <v>474</v>
      </c>
      <c r="C1297" s="1">
        <v>450203.0</v>
      </c>
      <c r="D1297" s="1" t="s">
        <v>532</v>
      </c>
      <c r="E1297" s="1" t="s">
        <v>927</v>
      </c>
      <c r="F1297" s="1" t="s">
        <v>927</v>
      </c>
      <c r="G1297" s="1">
        <v>58.0</v>
      </c>
      <c r="H1297" s="1">
        <v>3.239968529</v>
      </c>
      <c r="I1297" s="1">
        <v>5.13</v>
      </c>
      <c r="J1297" s="1">
        <v>1.151395</v>
      </c>
    </row>
    <row r="1298">
      <c r="A1298" s="1">
        <v>2025.0</v>
      </c>
      <c r="B1298" s="1" t="s">
        <v>474</v>
      </c>
      <c r="C1298" s="1">
        <v>450203.0</v>
      </c>
      <c r="D1298" s="1" t="s">
        <v>541</v>
      </c>
      <c r="E1298" s="1" t="s">
        <v>927</v>
      </c>
      <c r="F1298" s="1" t="s">
        <v>927</v>
      </c>
      <c r="G1298" s="1">
        <v>394.0</v>
      </c>
      <c r="H1298" s="1">
        <v>22.00944138</v>
      </c>
      <c r="I1298" s="1">
        <v>5.17</v>
      </c>
      <c r="J1298" s="1">
        <v>7.273926</v>
      </c>
    </row>
    <row r="1299">
      <c r="A1299" s="1">
        <v>2025.0</v>
      </c>
      <c r="B1299" s="1" t="s">
        <v>474</v>
      </c>
      <c r="C1299" s="1">
        <v>450203.0</v>
      </c>
      <c r="D1299" s="1" t="s">
        <v>540</v>
      </c>
      <c r="E1299" s="1" t="s">
        <v>927</v>
      </c>
      <c r="F1299" s="1" t="s">
        <v>927</v>
      </c>
      <c r="G1299" s="1">
        <v>145.0</v>
      </c>
      <c r="H1299" s="1">
        <v>8.099921322</v>
      </c>
      <c r="I1299" s="1">
        <v>5.07</v>
      </c>
      <c r="J1299" s="1">
        <v>3.091154</v>
      </c>
    </row>
    <row r="1300">
      <c r="A1300" s="1">
        <v>2025.0</v>
      </c>
      <c r="B1300" s="1" t="s">
        <v>474</v>
      </c>
      <c r="C1300" s="1">
        <v>450203.0</v>
      </c>
      <c r="D1300" s="1" t="s">
        <v>537</v>
      </c>
      <c r="E1300" s="1" t="s">
        <v>927</v>
      </c>
      <c r="F1300" s="1" t="s">
        <v>927</v>
      </c>
      <c r="G1300" s="1">
        <v>277.0</v>
      </c>
      <c r="H1300" s="1">
        <v>15.4736428</v>
      </c>
      <c r="I1300" s="1">
        <v>4.49</v>
      </c>
      <c r="J1300" s="1">
        <v>9.060024</v>
      </c>
    </row>
    <row r="1301">
      <c r="A1301" s="1">
        <v>2025.0</v>
      </c>
      <c r="B1301" s="1" t="s">
        <v>474</v>
      </c>
      <c r="C1301" s="1">
        <v>450203.0</v>
      </c>
      <c r="D1301" s="1" t="s">
        <v>536</v>
      </c>
      <c r="E1301" s="1" t="s">
        <v>927</v>
      </c>
      <c r="F1301" s="1" t="s">
        <v>927</v>
      </c>
      <c r="G1301" s="1">
        <v>287.0</v>
      </c>
      <c r="H1301" s="1">
        <v>16.03225806</v>
      </c>
      <c r="I1301" s="1">
        <v>5.03</v>
      </c>
      <c r="J1301" s="1">
        <v>6.283283</v>
      </c>
    </row>
    <row r="1302">
      <c r="A1302" s="1">
        <v>2025.0</v>
      </c>
      <c r="B1302" s="1" t="s">
        <v>946</v>
      </c>
      <c r="C1302" s="1">
        <v>676801.0</v>
      </c>
      <c r="D1302" s="1" t="s">
        <v>537</v>
      </c>
      <c r="E1302" s="1" t="s">
        <v>926</v>
      </c>
      <c r="F1302" s="1" t="s">
        <v>926</v>
      </c>
      <c r="G1302" s="1">
        <v>17.0</v>
      </c>
      <c r="H1302" s="1">
        <v>1.02</v>
      </c>
      <c r="I1302" s="1">
        <v>3.37</v>
      </c>
      <c r="J1302" s="1">
        <v>0.936865</v>
      </c>
    </row>
    <row r="1303">
      <c r="A1303" s="1">
        <v>2025.0</v>
      </c>
      <c r="B1303" s="1" t="s">
        <v>946</v>
      </c>
      <c r="C1303" s="1">
        <v>676801.0</v>
      </c>
      <c r="D1303" s="1" t="s">
        <v>537</v>
      </c>
      <c r="E1303" s="1" t="s">
        <v>926</v>
      </c>
      <c r="F1303" s="1" t="s">
        <v>927</v>
      </c>
      <c r="G1303" s="1">
        <v>33.0</v>
      </c>
      <c r="H1303" s="1">
        <v>1.98</v>
      </c>
      <c r="I1303" s="1">
        <v>4.45</v>
      </c>
      <c r="J1303" s="1">
        <v>1.144324</v>
      </c>
    </row>
    <row r="1304">
      <c r="A1304" s="1">
        <v>2025.0</v>
      </c>
      <c r="B1304" s="1" t="s">
        <v>118</v>
      </c>
      <c r="C1304" s="1">
        <v>695505.0</v>
      </c>
      <c r="D1304" s="1" t="s">
        <v>532</v>
      </c>
      <c r="E1304" s="1" t="s">
        <v>927</v>
      </c>
      <c r="F1304" s="1" t="s">
        <v>926</v>
      </c>
      <c r="G1304" s="1">
        <v>42.0</v>
      </c>
      <c r="H1304" s="1">
        <v>2.379084967</v>
      </c>
      <c r="I1304" s="1">
        <v>4.73</v>
      </c>
      <c r="J1304" s="1">
        <v>1.120068</v>
      </c>
    </row>
    <row r="1305">
      <c r="A1305" s="1">
        <v>2025.0</v>
      </c>
      <c r="B1305" s="1" t="s">
        <v>118</v>
      </c>
      <c r="C1305" s="1">
        <v>695505.0</v>
      </c>
      <c r="D1305" s="1" t="s">
        <v>541</v>
      </c>
      <c r="E1305" s="1" t="s">
        <v>927</v>
      </c>
      <c r="F1305" s="1" t="s">
        <v>926</v>
      </c>
      <c r="G1305" s="1">
        <v>6.0</v>
      </c>
      <c r="H1305" s="1">
        <v>0.339869281</v>
      </c>
      <c r="I1305" s="1">
        <v>3.98</v>
      </c>
      <c r="J1305" s="1">
        <v>0.270419</v>
      </c>
    </row>
    <row r="1306">
      <c r="A1306" s="1">
        <v>2025.0</v>
      </c>
      <c r="B1306" s="1" t="s">
        <v>118</v>
      </c>
      <c r="C1306" s="1">
        <v>695505.0</v>
      </c>
      <c r="D1306" s="1" t="s">
        <v>537</v>
      </c>
      <c r="E1306" s="1" t="s">
        <v>927</v>
      </c>
      <c r="F1306" s="1" t="s">
        <v>926</v>
      </c>
      <c r="G1306" s="1">
        <v>249.0</v>
      </c>
      <c r="H1306" s="1">
        <v>14.10457516</v>
      </c>
      <c r="I1306" s="1">
        <v>5.17</v>
      </c>
      <c r="J1306" s="1">
        <v>4.679198</v>
      </c>
    </row>
    <row r="1307">
      <c r="A1307" s="1">
        <v>2025.0</v>
      </c>
      <c r="B1307" s="1" t="s">
        <v>118</v>
      </c>
      <c r="C1307" s="1">
        <v>695505.0</v>
      </c>
      <c r="D1307" s="1" t="s">
        <v>536</v>
      </c>
      <c r="E1307" s="1" t="s">
        <v>927</v>
      </c>
      <c r="F1307" s="1" t="s">
        <v>926</v>
      </c>
      <c r="G1307" s="1">
        <v>7.0</v>
      </c>
      <c r="H1307" s="1">
        <v>0.396514161</v>
      </c>
      <c r="I1307" s="1">
        <v>4.12</v>
      </c>
      <c r="J1307" s="1">
        <v>0.273673</v>
      </c>
    </row>
    <row r="1308">
      <c r="A1308" s="1">
        <v>2025.0</v>
      </c>
      <c r="B1308" s="1" t="s">
        <v>118</v>
      </c>
      <c r="C1308" s="1">
        <v>695505.0</v>
      </c>
      <c r="D1308" s="1" t="s">
        <v>533</v>
      </c>
      <c r="E1308" s="1" t="s">
        <v>927</v>
      </c>
      <c r="F1308" s="1" t="s">
        <v>926</v>
      </c>
      <c r="G1308" s="1">
        <v>109.0</v>
      </c>
      <c r="H1308" s="1">
        <v>6.174291939</v>
      </c>
      <c r="I1308" s="1">
        <v>5.25</v>
      </c>
      <c r="J1308" s="1">
        <v>1.731179</v>
      </c>
    </row>
    <row r="1309">
      <c r="A1309" s="1">
        <v>2025.0</v>
      </c>
      <c r="B1309" s="1" t="s">
        <v>118</v>
      </c>
      <c r="C1309" s="1">
        <v>695505.0</v>
      </c>
      <c r="D1309" s="1" t="s">
        <v>532</v>
      </c>
      <c r="E1309" s="1" t="s">
        <v>927</v>
      </c>
      <c r="F1309" s="1" t="s">
        <v>927</v>
      </c>
      <c r="G1309" s="1">
        <v>2.0</v>
      </c>
      <c r="H1309" s="1">
        <v>0.11328976</v>
      </c>
      <c r="I1309" s="1">
        <v>4.77</v>
      </c>
      <c r="J1309" s="1">
        <v>0.053948</v>
      </c>
    </row>
    <row r="1310">
      <c r="A1310" s="1">
        <v>2025.0</v>
      </c>
      <c r="B1310" s="1" t="s">
        <v>118</v>
      </c>
      <c r="C1310" s="1">
        <v>695505.0</v>
      </c>
      <c r="D1310" s="1" t="s">
        <v>537</v>
      </c>
      <c r="E1310" s="1" t="s">
        <v>927</v>
      </c>
      <c r="F1310" s="1" t="s">
        <v>927</v>
      </c>
      <c r="G1310" s="1">
        <v>193.0</v>
      </c>
      <c r="H1310" s="1">
        <v>10.93246187</v>
      </c>
      <c r="I1310" s="1">
        <v>5.6</v>
      </c>
      <c r="J1310" s="1">
        <v>1.948271</v>
      </c>
    </row>
    <row r="1311">
      <c r="A1311" s="1">
        <v>2025.0</v>
      </c>
      <c r="B1311" s="1" t="s">
        <v>118</v>
      </c>
      <c r="C1311" s="1">
        <v>695505.0</v>
      </c>
      <c r="D1311" s="1" t="s">
        <v>536</v>
      </c>
      <c r="E1311" s="1" t="s">
        <v>927</v>
      </c>
      <c r="F1311" s="1" t="s">
        <v>927</v>
      </c>
      <c r="G1311" s="1">
        <v>1.0</v>
      </c>
      <c r="H1311" s="1">
        <v>0.05664488</v>
      </c>
      <c r="I1311" s="1">
        <v>4.64</v>
      </c>
      <c r="J1311" s="1">
        <v>0.027588</v>
      </c>
    </row>
    <row r="1312">
      <c r="A1312" s="1">
        <v>2025.0</v>
      </c>
      <c r="B1312" s="1" t="s">
        <v>118</v>
      </c>
      <c r="C1312" s="1">
        <v>695505.0</v>
      </c>
      <c r="D1312" s="1" t="s">
        <v>533</v>
      </c>
      <c r="E1312" s="1" t="s">
        <v>927</v>
      </c>
      <c r="F1312" s="1" t="s">
        <v>927</v>
      </c>
      <c r="G1312" s="1">
        <v>156.0</v>
      </c>
      <c r="H1312" s="1">
        <v>8.836601307</v>
      </c>
      <c r="I1312" s="1">
        <v>5.18</v>
      </c>
      <c r="J1312" s="1">
        <v>2.804479</v>
      </c>
    </row>
    <row r="1313">
      <c r="A1313" s="1">
        <v>2025.0</v>
      </c>
      <c r="B1313" s="1" t="s">
        <v>495</v>
      </c>
      <c r="C1313" s="1">
        <v>801403.0</v>
      </c>
      <c r="D1313" s="1" t="s">
        <v>532</v>
      </c>
      <c r="E1313" s="1" t="s">
        <v>927</v>
      </c>
      <c r="F1313" s="1" t="s">
        <v>926</v>
      </c>
      <c r="G1313" s="1">
        <v>125.0</v>
      </c>
      <c r="H1313" s="1">
        <v>6.88976378</v>
      </c>
      <c r="I1313" s="1">
        <v>4.53</v>
      </c>
      <c r="J1313" s="1">
        <v>3.988592</v>
      </c>
    </row>
    <row r="1314">
      <c r="A1314" s="1">
        <v>2025.0</v>
      </c>
      <c r="B1314" s="1" t="s">
        <v>495</v>
      </c>
      <c r="C1314" s="1">
        <v>801403.0</v>
      </c>
      <c r="D1314" s="1" t="s">
        <v>541</v>
      </c>
      <c r="E1314" s="1" t="s">
        <v>927</v>
      </c>
      <c r="F1314" s="1" t="s">
        <v>926</v>
      </c>
      <c r="G1314" s="1">
        <v>192.0</v>
      </c>
      <c r="H1314" s="1">
        <v>10.58267717</v>
      </c>
      <c r="I1314" s="1">
        <v>4.36</v>
      </c>
      <c r="J1314" s="1">
        <v>6.674039</v>
      </c>
    </row>
    <row r="1315">
      <c r="A1315" s="1">
        <v>2025.0</v>
      </c>
      <c r="B1315" s="1" t="s">
        <v>495</v>
      </c>
      <c r="C1315" s="1">
        <v>801403.0</v>
      </c>
      <c r="D1315" s="1" t="s">
        <v>540</v>
      </c>
      <c r="E1315" s="1" t="s">
        <v>927</v>
      </c>
      <c r="F1315" s="1" t="s">
        <v>926</v>
      </c>
      <c r="G1315" s="1">
        <v>55.0</v>
      </c>
      <c r="H1315" s="1">
        <v>3.031496063</v>
      </c>
      <c r="I1315" s="1">
        <v>4.71</v>
      </c>
      <c r="J1315" s="1">
        <v>1.53947</v>
      </c>
    </row>
    <row r="1316">
      <c r="A1316" s="1">
        <v>2025.0</v>
      </c>
      <c r="B1316" s="1" t="s">
        <v>495</v>
      </c>
      <c r="C1316" s="1">
        <v>801403.0</v>
      </c>
      <c r="D1316" s="1" t="s">
        <v>537</v>
      </c>
      <c r="E1316" s="1" t="s">
        <v>927</v>
      </c>
      <c r="F1316" s="1" t="s">
        <v>926</v>
      </c>
      <c r="G1316" s="1">
        <v>494.0</v>
      </c>
      <c r="H1316" s="1">
        <v>27.22834646</v>
      </c>
      <c r="I1316" s="1">
        <v>4.85</v>
      </c>
      <c r="J1316" s="1">
        <v>12.786109</v>
      </c>
    </row>
    <row r="1317">
      <c r="A1317" s="1">
        <v>2025.0</v>
      </c>
      <c r="B1317" s="1" t="s">
        <v>495</v>
      </c>
      <c r="C1317" s="1">
        <v>801403.0</v>
      </c>
      <c r="D1317" s="1" t="s">
        <v>536</v>
      </c>
      <c r="E1317" s="1" t="s">
        <v>927</v>
      </c>
      <c r="F1317" s="1" t="s">
        <v>926</v>
      </c>
      <c r="G1317" s="1">
        <v>78.0</v>
      </c>
      <c r="H1317" s="1">
        <v>4.299212598</v>
      </c>
      <c r="I1317" s="1">
        <v>4.81</v>
      </c>
      <c r="J1317" s="1">
        <v>2.048328</v>
      </c>
    </row>
    <row r="1318">
      <c r="A1318" s="1">
        <v>2025.0</v>
      </c>
      <c r="B1318" s="1" t="s">
        <v>495</v>
      </c>
      <c r="C1318" s="1">
        <v>801403.0</v>
      </c>
      <c r="D1318" s="1" t="s">
        <v>532</v>
      </c>
      <c r="E1318" s="1" t="s">
        <v>927</v>
      </c>
      <c r="F1318" s="1" t="s">
        <v>927</v>
      </c>
      <c r="G1318" s="1">
        <v>13.0</v>
      </c>
      <c r="H1318" s="1">
        <v>0.716535433</v>
      </c>
      <c r="I1318" s="1">
        <v>4.41</v>
      </c>
      <c r="J1318" s="1">
        <v>0.438702</v>
      </c>
    </row>
    <row r="1319">
      <c r="A1319" s="1">
        <v>2025.0</v>
      </c>
      <c r="B1319" s="1" t="s">
        <v>495</v>
      </c>
      <c r="C1319" s="1">
        <v>801403.0</v>
      </c>
      <c r="D1319" s="1" t="s">
        <v>541</v>
      </c>
      <c r="E1319" s="1" t="s">
        <v>927</v>
      </c>
      <c r="F1319" s="1" t="s">
        <v>927</v>
      </c>
      <c r="G1319" s="1">
        <v>187.0</v>
      </c>
      <c r="H1319" s="1">
        <v>10.30708661</v>
      </c>
      <c r="I1319" s="1">
        <v>4.71</v>
      </c>
      <c r="J1319" s="1">
        <v>5.116893</v>
      </c>
    </row>
    <row r="1320">
      <c r="A1320" s="1">
        <v>2025.0</v>
      </c>
      <c r="B1320" s="1" t="s">
        <v>495</v>
      </c>
      <c r="C1320" s="1">
        <v>801403.0</v>
      </c>
      <c r="D1320" s="1" t="s">
        <v>540</v>
      </c>
      <c r="E1320" s="1" t="s">
        <v>927</v>
      </c>
      <c r="F1320" s="1" t="s">
        <v>927</v>
      </c>
      <c r="G1320" s="1">
        <v>161.0</v>
      </c>
      <c r="H1320" s="1">
        <v>8.874015748</v>
      </c>
      <c r="I1320" s="1">
        <v>5.12</v>
      </c>
      <c r="J1320" s="1">
        <v>3.200305</v>
      </c>
    </row>
    <row r="1321">
      <c r="A1321" s="1">
        <v>2025.0</v>
      </c>
      <c r="B1321" s="1" t="s">
        <v>495</v>
      </c>
      <c r="C1321" s="1">
        <v>801403.0</v>
      </c>
      <c r="D1321" s="1" t="s">
        <v>537</v>
      </c>
      <c r="E1321" s="1" t="s">
        <v>927</v>
      </c>
      <c r="F1321" s="1" t="s">
        <v>927</v>
      </c>
      <c r="G1321" s="1">
        <v>373.0</v>
      </c>
      <c r="H1321" s="1">
        <v>20.55905512</v>
      </c>
      <c r="I1321" s="1">
        <v>4.88</v>
      </c>
      <c r="J1321" s="1">
        <v>9.171294</v>
      </c>
    </row>
    <row r="1322">
      <c r="A1322" s="1">
        <v>2025.0</v>
      </c>
      <c r="B1322" s="1" t="s">
        <v>495</v>
      </c>
      <c r="C1322" s="1">
        <v>801403.0</v>
      </c>
      <c r="D1322" s="1" t="s">
        <v>536</v>
      </c>
      <c r="E1322" s="1" t="s">
        <v>927</v>
      </c>
      <c r="F1322" s="1" t="s">
        <v>927</v>
      </c>
      <c r="G1322" s="1">
        <v>97.0</v>
      </c>
      <c r="H1322" s="1">
        <v>5.346456693</v>
      </c>
      <c r="I1322" s="1">
        <v>5.06</v>
      </c>
      <c r="J1322" s="1">
        <v>2.041615</v>
      </c>
    </row>
    <row r="1323">
      <c r="A1323" s="1">
        <v>2025.0</v>
      </c>
      <c r="B1323" s="1" t="s">
        <v>495</v>
      </c>
      <c r="C1323" s="1">
        <v>801403.0</v>
      </c>
      <c r="D1323" s="1" t="s">
        <v>533</v>
      </c>
      <c r="E1323" s="1" t="s">
        <v>927</v>
      </c>
      <c r="F1323" s="1" t="s">
        <v>927</v>
      </c>
      <c r="G1323" s="1">
        <v>3.0</v>
      </c>
      <c r="H1323" s="1">
        <v>0.165354331</v>
      </c>
      <c r="I1323" s="1">
        <v>5.99</v>
      </c>
      <c r="J1323" s="1">
        <v>0.015206</v>
      </c>
    </row>
    <row r="1324">
      <c r="A1324" s="1">
        <v>2025.0</v>
      </c>
      <c r="B1324" s="1" t="s">
        <v>160</v>
      </c>
      <c r="C1324" s="1">
        <v>695445.0</v>
      </c>
      <c r="D1324" s="1" t="s">
        <v>532</v>
      </c>
      <c r="E1324" s="1" t="s">
        <v>927</v>
      </c>
      <c r="F1324" s="1" t="s">
        <v>926</v>
      </c>
      <c r="G1324" s="1">
        <v>34.0</v>
      </c>
      <c r="H1324" s="1">
        <v>2.115555556</v>
      </c>
      <c r="I1324" s="1">
        <v>5.17</v>
      </c>
      <c r="J1324" s="1">
        <v>0.634769</v>
      </c>
    </row>
    <row r="1325">
      <c r="A1325" s="1">
        <v>2025.0</v>
      </c>
      <c r="B1325" s="1" t="s">
        <v>160</v>
      </c>
      <c r="C1325" s="1">
        <v>695445.0</v>
      </c>
      <c r="D1325" s="1" t="s">
        <v>537</v>
      </c>
      <c r="E1325" s="1" t="s">
        <v>927</v>
      </c>
      <c r="F1325" s="1" t="s">
        <v>926</v>
      </c>
      <c r="G1325" s="1">
        <v>76.0</v>
      </c>
      <c r="H1325" s="1">
        <v>4.728888889</v>
      </c>
      <c r="I1325" s="1">
        <v>4.57</v>
      </c>
      <c r="J1325" s="1">
        <v>2.281857</v>
      </c>
    </row>
    <row r="1326">
      <c r="A1326" s="1">
        <v>2025.0</v>
      </c>
      <c r="B1326" s="1" t="s">
        <v>160</v>
      </c>
      <c r="C1326" s="1">
        <v>695445.0</v>
      </c>
      <c r="D1326" s="1" t="s">
        <v>536</v>
      </c>
      <c r="E1326" s="1" t="s">
        <v>927</v>
      </c>
      <c r="F1326" s="1" t="s">
        <v>926</v>
      </c>
      <c r="G1326" s="1">
        <v>53.0</v>
      </c>
      <c r="H1326" s="1">
        <v>3.297777778</v>
      </c>
      <c r="I1326" s="1">
        <v>5.68</v>
      </c>
      <c r="J1326" s="1">
        <v>0.498907</v>
      </c>
    </row>
    <row r="1327">
      <c r="A1327" s="1">
        <v>2025.0</v>
      </c>
      <c r="B1327" s="1" t="s">
        <v>160</v>
      </c>
      <c r="C1327" s="1">
        <v>695445.0</v>
      </c>
      <c r="D1327" s="1" t="s">
        <v>533</v>
      </c>
      <c r="E1327" s="1" t="s">
        <v>927</v>
      </c>
      <c r="F1327" s="1" t="s">
        <v>926</v>
      </c>
      <c r="G1327" s="1">
        <v>2.0</v>
      </c>
      <c r="H1327" s="1">
        <v>0.124444444</v>
      </c>
      <c r="I1327" s="1">
        <v>5.36</v>
      </c>
      <c r="J1327" s="1">
        <v>0.029611</v>
      </c>
    </row>
    <row r="1328">
      <c r="A1328" s="1">
        <v>2025.0</v>
      </c>
      <c r="B1328" s="1" t="s">
        <v>160</v>
      </c>
      <c r="C1328" s="1">
        <v>695445.0</v>
      </c>
      <c r="D1328" s="1" t="s">
        <v>539</v>
      </c>
      <c r="E1328" s="1" t="s">
        <v>927</v>
      </c>
      <c r="F1328" s="1" t="s">
        <v>926</v>
      </c>
      <c r="G1328" s="1">
        <v>91.0</v>
      </c>
      <c r="H1328" s="1">
        <v>5.662222222</v>
      </c>
      <c r="I1328" s="1">
        <v>5.25</v>
      </c>
      <c r="J1328" s="1">
        <v>1.509854</v>
      </c>
    </row>
    <row r="1329">
      <c r="A1329" s="1">
        <v>2025.0</v>
      </c>
      <c r="B1329" s="1" t="s">
        <v>160</v>
      </c>
      <c r="C1329" s="1">
        <v>695445.0</v>
      </c>
      <c r="D1329" s="1" t="s">
        <v>532</v>
      </c>
      <c r="E1329" s="1" t="s">
        <v>927</v>
      </c>
      <c r="F1329" s="1" t="s">
        <v>927</v>
      </c>
      <c r="G1329" s="1">
        <v>2.0</v>
      </c>
      <c r="H1329" s="1">
        <v>0.124444444</v>
      </c>
      <c r="I1329" s="1">
        <v>6.51</v>
      </c>
      <c r="J1329" s="1">
        <v>-0.015329</v>
      </c>
    </row>
    <row r="1330">
      <c r="A1330" s="1">
        <v>2025.0</v>
      </c>
      <c r="B1330" s="1" t="s">
        <v>160</v>
      </c>
      <c r="C1330" s="1">
        <v>695445.0</v>
      </c>
      <c r="D1330" s="1" t="s">
        <v>537</v>
      </c>
      <c r="E1330" s="1" t="s">
        <v>927</v>
      </c>
      <c r="F1330" s="1" t="s">
        <v>927</v>
      </c>
      <c r="G1330" s="1">
        <v>85.0</v>
      </c>
      <c r="H1330" s="1">
        <v>5.288888889</v>
      </c>
      <c r="I1330" s="1">
        <v>4.9</v>
      </c>
      <c r="J1330" s="1">
        <v>1.95799</v>
      </c>
    </row>
    <row r="1331">
      <c r="A1331" s="1">
        <v>2025.0</v>
      </c>
      <c r="B1331" s="1" t="s">
        <v>160</v>
      </c>
      <c r="C1331" s="1">
        <v>695445.0</v>
      </c>
      <c r="D1331" s="1" t="s">
        <v>536</v>
      </c>
      <c r="E1331" s="1" t="s">
        <v>927</v>
      </c>
      <c r="F1331" s="1" t="s">
        <v>927</v>
      </c>
      <c r="G1331" s="1">
        <v>141.0</v>
      </c>
      <c r="H1331" s="1">
        <v>8.773333333</v>
      </c>
      <c r="I1331" s="1">
        <v>4.9</v>
      </c>
      <c r="J1331" s="1">
        <v>3.433822</v>
      </c>
    </row>
    <row r="1332">
      <c r="A1332" s="1">
        <v>2025.0</v>
      </c>
      <c r="B1332" s="1" t="s">
        <v>160</v>
      </c>
      <c r="C1332" s="1">
        <v>695445.0</v>
      </c>
      <c r="D1332" s="1" t="s">
        <v>533</v>
      </c>
      <c r="E1332" s="1" t="s">
        <v>927</v>
      </c>
      <c r="F1332" s="1" t="s">
        <v>927</v>
      </c>
      <c r="G1332" s="1">
        <v>5.0</v>
      </c>
      <c r="H1332" s="1">
        <v>0.311111111</v>
      </c>
      <c r="I1332" s="1">
        <v>5.48</v>
      </c>
      <c r="J1332" s="1">
        <v>0.060222</v>
      </c>
    </row>
    <row r="1333">
      <c r="A1333" s="1">
        <v>2025.0</v>
      </c>
      <c r="B1333" s="1" t="s">
        <v>160</v>
      </c>
      <c r="C1333" s="1">
        <v>695445.0</v>
      </c>
      <c r="D1333" s="1" t="s">
        <v>539</v>
      </c>
      <c r="E1333" s="1" t="s">
        <v>927</v>
      </c>
      <c r="F1333" s="1" t="s">
        <v>927</v>
      </c>
      <c r="G1333" s="1">
        <v>111.0</v>
      </c>
      <c r="H1333" s="1">
        <v>6.906666667</v>
      </c>
      <c r="I1333" s="1">
        <v>5.46</v>
      </c>
      <c r="J1333" s="1">
        <v>1.330847</v>
      </c>
    </row>
    <row r="1334">
      <c r="A1334" s="1">
        <v>2025.0</v>
      </c>
      <c r="B1334" s="1" t="s">
        <v>602</v>
      </c>
      <c r="C1334" s="1">
        <v>695534.0</v>
      </c>
      <c r="D1334" s="1" t="s">
        <v>532</v>
      </c>
      <c r="E1334" s="1" t="s">
        <v>927</v>
      </c>
      <c r="F1334" s="1" t="s">
        <v>926</v>
      </c>
      <c r="G1334" s="1">
        <v>10.0</v>
      </c>
      <c r="H1334" s="1">
        <v>0.355029586</v>
      </c>
      <c r="I1334" s="1">
        <v>5.01</v>
      </c>
      <c r="J1334" s="1">
        <v>0.208354</v>
      </c>
    </row>
    <row r="1335">
      <c r="A1335" s="1">
        <v>2025.0</v>
      </c>
      <c r="B1335" s="1" t="s">
        <v>602</v>
      </c>
      <c r="C1335" s="1">
        <v>695534.0</v>
      </c>
      <c r="D1335" s="1" t="s">
        <v>537</v>
      </c>
      <c r="E1335" s="1" t="s">
        <v>927</v>
      </c>
      <c r="F1335" s="1" t="s">
        <v>926</v>
      </c>
      <c r="G1335" s="1">
        <v>13.0</v>
      </c>
      <c r="H1335" s="1">
        <v>0.461538462</v>
      </c>
      <c r="I1335" s="1">
        <v>4.61</v>
      </c>
      <c r="J1335" s="1">
        <v>0.394554</v>
      </c>
    </row>
    <row r="1336">
      <c r="A1336" s="1">
        <v>2025.0</v>
      </c>
      <c r="B1336" s="1" t="s">
        <v>602</v>
      </c>
      <c r="C1336" s="1">
        <v>695534.0</v>
      </c>
      <c r="D1336" s="1" t="s">
        <v>536</v>
      </c>
      <c r="E1336" s="1" t="s">
        <v>927</v>
      </c>
      <c r="F1336" s="1" t="s">
        <v>926</v>
      </c>
      <c r="G1336" s="1">
        <v>9.0</v>
      </c>
      <c r="H1336" s="1">
        <v>0.319526627</v>
      </c>
      <c r="I1336" s="1">
        <v>3.83</v>
      </c>
      <c r="J1336" s="1">
        <v>0.388573</v>
      </c>
    </row>
    <row r="1337">
      <c r="A1337" s="1">
        <v>2025.0</v>
      </c>
      <c r="B1337" s="1" t="s">
        <v>602</v>
      </c>
      <c r="C1337" s="1">
        <v>695534.0</v>
      </c>
      <c r="D1337" s="1" t="s">
        <v>533</v>
      </c>
      <c r="E1337" s="1" t="s">
        <v>927</v>
      </c>
      <c r="F1337" s="1" t="s">
        <v>926</v>
      </c>
      <c r="G1337" s="1">
        <v>18.0</v>
      </c>
      <c r="H1337" s="1">
        <v>0.639053254</v>
      </c>
      <c r="I1337" s="1">
        <v>5.2</v>
      </c>
      <c r="J1337" s="1">
        <v>0.296611</v>
      </c>
    </row>
    <row r="1338">
      <c r="A1338" s="1">
        <v>2025.0</v>
      </c>
      <c r="B1338" s="1" t="s">
        <v>602</v>
      </c>
      <c r="C1338" s="1">
        <v>695534.0</v>
      </c>
      <c r="D1338" s="1" t="s">
        <v>539</v>
      </c>
      <c r="E1338" s="1" t="s">
        <v>927</v>
      </c>
      <c r="F1338" s="1" t="s">
        <v>926</v>
      </c>
      <c r="G1338" s="1">
        <v>2.0</v>
      </c>
      <c r="H1338" s="1">
        <v>0.071005917</v>
      </c>
      <c r="I1338" s="1">
        <v>3.08</v>
      </c>
      <c r="J1338" s="1">
        <v>0.116879</v>
      </c>
    </row>
    <row r="1339">
      <c r="A1339" s="1">
        <v>2025.0</v>
      </c>
      <c r="B1339" s="1" t="s">
        <v>602</v>
      </c>
      <c r="C1339" s="1">
        <v>695534.0</v>
      </c>
      <c r="D1339" s="1" t="s">
        <v>532</v>
      </c>
      <c r="E1339" s="1" t="s">
        <v>927</v>
      </c>
      <c r="F1339" s="1" t="s">
        <v>927</v>
      </c>
      <c r="G1339" s="1">
        <v>10.0</v>
      </c>
      <c r="H1339" s="1">
        <v>0.355029586</v>
      </c>
      <c r="I1339" s="1">
        <v>5.47</v>
      </c>
      <c r="J1339" s="1">
        <v>0.127259</v>
      </c>
    </row>
    <row r="1340">
      <c r="A1340" s="1">
        <v>2025.0</v>
      </c>
      <c r="B1340" s="1" t="s">
        <v>602</v>
      </c>
      <c r="C1340" s="1">
        <v>695534.0</v>
      </c>
      <c r="D1340" s="1" t="s">
        <v>537</v>
      </c>
      <c r="E1340" s="1" t="s">
        <v>927</v>
      </c>
      <c r="F1340" s="1" t="s">
        <v>927</v>
      </c>
      <c r="G1340" s="1">
        <v>24.0</v>
      </c>
      <c r="H1340" s="1">
        <v>0.852071006</v>
      </c>
      <c r="I1340" s="1">
        <v>3.88</v>
      </c>
      <c r="J1340" s="1">
        <v>1.025159</v>
      </c>
    </row>
    <row r="1341">
      <c r="A1341" s="1">
        <v>2025.0</v>
      </c>
      <c r="B1341" s="1" t="s">
        <v>602</v>
      </c>
      <c r="C1341" s="1">
        <v>695534.0</v>
      </c>
      <c r="D1341" s="1" t="s">
        <v>536</v>
      </c>
      <c r="E1341" s="1" t="s">
        <v>927</v>
      </c>
      <c r="F1341" s="1" t="s">
        <v>927</v>
      </c>
      <c r="G1341" s="1">
        <v>32.0</v>
      </c>
      <c r="H1341" s="1">
        <v>1.136094675</v>
      </c>
      <c r="I1341" s="1">
        <v>5.04</v>
      </c>
      <c r="J1341" s="1">
        <v>0.681822</v>
      </c>
    </row>
    <row r="1342">
      <c r="A1342" s="1">
        <v>2025.0</v>
      </c>
      <c r="B1342" s="1" t="s">
        <v>602</v>
      </c>
      <c r="C1342" s="1">
        <v>695534.0</v>
      </c>
      <c r="D1342" s="1" t="s">
        <v>533</v>
      </c>
      <c r="E1342" s="1" t="s">
        <v>927</v>
      </c>
      <c r="F1342" s="1" t="s">
        <v>927</v>
      </c>
      <c r="G1342" s="1">
        <v>37.0</v>
      </c>
      <c r="H1342" s="1">
        <v>1.313609467</v>
      </c>
      <c r="I1342" s="1">
        <v>4.93</v>
      </c>
      <c r="J1342" s="1">
        <v>0.822016</v>
      </c>
    </row>
    <row r="1343">
      <c r="A1343" s="1">
        <v>2025.0</v>
      </c>
      <c r="B1343" s="1" t="s">
        <v>602</v>
      </c>
      <c r="C1343" s="1">
        <v>695534.0</v>
      </c>
      <c r="D1343" s="1" t="s">
        <v>539</v>
      </c>
      <c r="E1343" s="1" t="s">
        <v>927</v>
      </c>
      <c r="F1343" s="1" t="s">
        <v>927</v>
      </c>
      <c r="G1343" s="1">
        <v>14.0</v>
      </c>
      <c r="H1343" s="1">
        <v>0.49704142</v>
      </c>
      <c r="I1343" s="1">
        <v>5.09</v>
      </c>
      <c r="J1343" s="1">
        <v>0.270984</v>
      </c>
    </row>
    <row r="1344">
      <c r="A1344" s="1">
        <v>2025.0</v>
      </c>
      <c r="B1344" s="1" t="s">
        <v>463</v>
      </c>
      <c r="C1344" s="1">
        <v>663767.0</v>
      </c>
      <c r="D1344" s="1" t="s">
        <v>532</v>
      </c>
      <c r="E1344" s="1" t="s">
        <v>927</v>
      </c>
      <c r="F1344" s="1" t="s">
        <v>926</v>
      </c>
      <c r="G1344" s="1">
        <v>42.0</v>
      </c>
      <c r="H1344" s="1">
        <v>2.731213873</v>
      </c>
      <c r="I1344" s="1">
        <v>4.21</v>
      </c>
      <c r="J1344" s="1">
        <v>1.575635</v>
      </c>
    </row>
    <row r="1345">
      <c r="A1345" s="1">
        <v>2025.0</v>
      </c>
      <c r="B1345" s="1" t="s">
        <v>463</v>
      </c>
      <c r="C1345" s="1">
        <v>663767.0</v>
      </c>
      <c r="D1345" s="1" t="s">
        <v>540</v>
      </c>
      <c r="E1345" s="1" t="s">
        <v>927</v>
      </c>
      <c r="F1345" s="1" t="s">
        <v>926</v>
      </c>
      <c r="G1345" s="1">
        <v>70.0</v>
      </c>
      <c r="H1345" s="1">
        <v>4.552023121</v>
      </c>
      <c r="I1345" s="1">
        <v>4.71</v>
      </c>
      <c r="J1345" s="1">
        <v>1.975452</v>
      </c>
    </row>
    <row r="1346">
      <c r="A1346" s="1">
        <v>2025.0</v>
      </c>
      <c r="B1346" s="1" t="s">
        <v>463</v>
      </c>
      <c r="C1346" s="1">
        <v>663767.0</v>
      </c>
      <c r="D1346" s="1" t="s">
        <v>537</v>
      </c>
      <c r="E1346" s="1" t="s">
        <v>927</v>
      </c>
      <c r="F1346" s="1" t="s">
        <v>926</v>
      </c>
      <c r="G1346" s="1">
        <v>64.0</v>
      </c>
      <c r="H1346" s="1">
        <v>4.161849711</v>
      </c>
      <c r="I1346" s="1">
        <v>4.06</v>
      </c>
      <c r="J1346" s="1">
        <v>2.623777</v>
      </c>
    </row>
    <row r="1347">
      <c r="A1347" s="1">
        <v>2025.0</v>
      </c>
      <c r="B1347" s="1" t="s">
        <v>463</v>
      </c>
      <c r="C1347" s="1">
        <v>663767.0</v>
      </c>
      <c r="D1347" s="1" t="s">
        <v>536</v>
      </c>
      <c r="E1347" s="1" t="s">
        <v>927</v>
      </c>
      <c r="F1347" s="1" t="s">
        <v>926</v>
      </c>
      <c r="G1347" s="1">
        <v>9.0</v>
      </c>
      <c r="H1347" s="1">
        <v>0.585260116</v>
      </c>
      <c r="I1347" s="1">
        <v>3.33</v>
      </c>
      <c r="J1347" s="1">
        <v>0.51756</v>
      </c>
    </row>
    <row r="1348">
      <c r="A1348" s="1">
        <v>2025.0</v>
      </c>
      <c r="B1348" s="1" t="s">
        <v>463</v>
      </c>
      <c r="C1348" s="1">
        <v>663767.0</v>
      </c>
      <c r="D1348" s="1" t="s">
        <v>539</v>
      </c>
      <c r="E1348" s="1" t="s">
        <v>927</v>
      </c>
      <c r="F1348" s="1" t="s">
        <v>926</v>
      </c>
      <c r="G1348" s="1">
        <v>66.0</v>
      </c>
      <c r="H1348" s="1">
        <v>4.291907514</v>
      </c>
      <c r="I1348" s="1">
        <v>5.04</v>
      </c>
      <c r="J1348" s="1">
        <v>1.308001</v>
      </c>
    </row>
    <row r="1349">
      <c r="A1349" s="1">
        <v>2025.0</v>
      </c>
      <c r="B1349" s="1" t="s">
        <v>463</v>
      </c>
      <c r="C1349" s="1">
        <v>663767.0</v>
      </c>
      <c r="D1349" s="1" t="s">
        <v>532</v>
      </c>
      <c r="E1349" s="1" t="s">
        <v>927</v>
      </c>
      <c r="F1349" s="1" t="s">
        <v>927</v>
      </c>
      <c r="G1349" s="1">
        <v>7.0</v>
      </c>
      <c r="H1349" s="1">
        <v>0.455202312</v>
      </c>
      <c r="I1349" s="1">
        <v>5.45</v>
      </c>
      <c r="J1349" s="1">
        <v>0.071219</v>
      </c>
    </row>
    <row r="1350">
      <c r="A1350" s="1">
        <v>2025.0</v>
      </c>
      <c r="B1350" s="1" t="s">
        <v>463</v>
      </c>
      <c r="C1350" s="1">
        <v>663767.0</v>
      </c>
      <c r="D1350" s="1" t="s">
        <v>540</v>
      </c>
      <c r="E1350" s="1" t="s">
        <v>927</v>
      </c>
      <c r="F1350" s="1" t="s">
        <v>927</v>
      </c>
      <c r="G1350" s="1">
        <v>106.0</v>
      </c>
      <c r="H1350" s="1">
        <v>6.893063584</v>
      </c>
      <c r="I1350" s="1">
        <v>5.44</v>
      </c>
      <c r="J1350" s="1">
        <v>1.427764</v>
      </c>
    </row>
    <row r="1351">
      <c r="A1351" s="1">
        <v>2025.0</v>
      </c>
      <c r="B1351" s="1" t="s">
        <v>463</v>
      </c>
      <c r="C1351" s="1">
        <v>663767.0</v>
      </c>
      <c r="D1351" s="1" t="s">
        <v>537</v>
      </c>
      <c r="E1351" s="1" t="s">
        <v>927</v>
      </c>
      <c r="F1351" s="1" t="s">
        <v>927</v>
      </c>
      <c r="G1351" s="1">
        <v>66.0</v>
      </c>
      <c r="H1351" s="1">
        <v>4.291907514</v>
      </c>
      <c r="I1351" s="1">
        <v>4.59</v>
      </c>
      <c r="J1351" s="1">
        <v>2.03173</v>
      </c>
    </row>
    <row r="1352">
      <c r="A1352" s="1">
        <v>2025.0</v>
      </c>
      <c r="B1352" s="1" t="s">
        <v>463</v>
      </c>
      <c r="C1352" s="1">
        <v>663767.0</v>
      </c>
      <c r="D1352" s="1" t="s">
        <v>536</v>
      </c>
      <c r="E1352" s="1" t="s">
        <v>927</v>
      </c>
      <c r="F1352" s="1" t="s">
        <v>927</v>
      </c>
      <c r="G1352" s="1">
        <v>129.0</v>
      </c>
      <c r="H1352" s="1">
        <v>8.388728324</v>
      </c>
      <c r="I1352" s="1">
        <v>4.9</v>
      </c>
      <c r="J1352" s="1">
        <v>3.116083</v>
      </c>
    </row>
    <row r="1353">
      <c r="A1353" s="1">
        <v>2025.0</v>
      </c>
      <c r="B1353" s="1" t="s">
        <v>463</v>
      </c>
      <c r="C1353" s="1">
        <v>663767.0</v>
      </c>
      <c r="D1353" s="1" t="s">
        <v>539</v>
      </c>
      <c r="E1353" s="1" t="s">
        <v>927</v>
      </c>
      <c r="F1353" s="1" t="s">
        <v>927</v>
      </c>
      <c r="G1353" s="1">
        <v>133.0</v>
      </c>
      <c r="H1353" s="1">
        <v>8.648843931</v>
      </c>
      <c r="I1353" s="1">
        <v>5.11</v>
      </c>
      <c r="J1353" s="1">
        <v>2.507083</v>
      </c>
    </row>
    <row r="1354">
      <c r="A1354" s="1">
        <v>2025.0</v>
      </c>
      <c r="B1354" s="1" t="s">
        <v>947</v>
      </c>
      <c r="C1354" s="1">
        <v>681217.0</v>
      </c>
      <c r="D1354" s="1" t="s">
        <v>537</v>
      </c>
      <c r="E1354" s="1" t="s">
        <v>927</v>
      </c>
      <c r="F1354" s="1" t="s">
        <v>926</v>
      </c>
      <c r="G1354" s="1">
        <v>42.0</v>
      </c>
      <c r="H1354" s="1">
        <v>2.179245283</v>
      </c>
      <c r="I1354" s="1">
        <v>4.75</v>
      </c>
      <c r="J1354" s="1">
        <v>1.163832</v>
      </c>
    </row>
    <row r="1355">
      <c r="A1355" s="1">
        <v>2025.0</v>
      </c>
      <c r="B1355" s="1" t="s">
        <v>947</v>
      </c>
      <c r="C1355" s="1">
        <v>681217.0</v>
      </c>
      <c r="D1355" s="1" t="s">
        <v>538</v>
      </c>
      <c r="E1355" s="1" t="s">
        <v>927</v>
      </c>
      <c r="F1355" s="1" t="s">
        <v>926</v>
      </c>
      <c r="G1355" s="1">
        <v>24.0</v>
      </c>
      <c r="H1355" s="1">
        <v>1.245283019</v>
      </c>
      <c r="I1355" s="1">
        <v>4.02</v>
      </c>
      <c r="J1355" s="1">
        <v>0.988067</v>
      </c>
    </row>
    <row r="1356">
      <c r="A1356" s="1">
        <v>2025.0</v>
      </c>
      <c r="B1356" s="1" t="s">
        <v>947</v>
      </c>
      <c r="C1356" s="1">
        <v>681217.0</v>
      </c>
      <c r="D1356" s="1" t="s">
        <v>536</v>
      </c>
      <c r="E1356" s="1" t="s">
        <v>927</v>
      </c>
      <c r="F1356" s="1" t="s">
        <v>926</v>
      </c>
      <c r="G1356" s="1">
        <v>2.0</v>
      </c>
      <c r="H1356" s="1">
        <v>0.103773585</v>
      </c>
      <c r="I1356" s="1">
        <v>5.37</v>
      </c>
      <c r="J1356" s="1">
        <v>0.033316</v>
      </c>
    </row>
    <row r="1357">
      <c r="A1357" s="1">
        <v>2025.0</v>
      </c>
      <c r="B1357" s="1" t="s">
        <v>947</v>
      </c>
      <c r="C1357" s="1">
        <v>681217.0</v>
      </c>
      <c r="D1357" s="1" t="s">
        <v>539</v>
      </c>
      <c r="E1357" s="1" t="s">
        <v>927</v>
      </c>
      <c r="F1357" s="1" t="s">
        <v>926</v>
      </c>
      <c r="G1357" s="1">
        <v>9.0</v>
      </c>
      <c r="H1357" s="1">
        <v>0.466981132</v>
      </c>
      <c r="I1357" s="1">
        <v>4.38</v>
      </c>
      <c r="J1357" s="1">
        <v>0.305423</v>
      </c>
    </row>
    <row r="1358">
      <c r="A1358" s="1">
        <v>2025.0</v>
      </c>
      <c r="B1358" s="1" t="s">
        <v>947</v>
      </c>
      <c r="C1358" s="1">
        <v>681217.0</v>
      </c>
      <c r="D1358" s="1" t="s">
        <v>537</v>
      </c>
      <c r="E1358" s="1" t="s">
        <v>927</v>
      </c>
      <c r="F1358" s="1" t="s">
        <v>927</v>
      </c>
      <c r="G1358" s="1">
        <v>34.0</v>
      </c>
      <c r="H1358" s="1">
        <v>1.764150943</v>
      </c>
      <c r="I1358" s="1">
        <v>4.51</v>
      </c>
      <c r="J1358" s="1">
        <v>1.126924</v>
      </c>
    </row>
    <row r="1359">
      <c r="A1359" s="1">
        <v>2025.0</v>
      </c>
      <c r="B1359" s="1" t="s">
        <v>947</v>
      </c>
      <c r="C1359" s="1">
        <v>681217.0</v>
      </c>
      <c r="D1359" s="1" t="s">
        <v>538</v>
      </c>
      <c r="E1359" s="1" t="s">
        <v>927</v>
      </c>
      <c r="F1359" s="1" t="s">
        <v>927</v>
      </c>
      <c r="G1359" s="1">
        <v>15.0</v>
      </c>
      <c r="H1359" s="1">
        <v>0.778301887</v>
      </c>
      <c r="I1359" s="1">
        <v>5.7</v>
      </c>
      <c r="J1359" s="1">
        <v>0.049946</v>
      </c>
    </row>
    <row r="1360">
      <c r="A1360" s="1">
        <v>2025.0</v>
      </c>
      <c r="B1360" s="1" t="s">
        <v>947</v>
      </c>
      <c r="C1360" s="1">
        <v>681217.0</v>
      </c>
      <c r="D1360" s="1" t="s">
        <v>536</v>
      </c>
      <c r="E1360" s="1" t="s">
        <v>927</v>
      </c>
      <c r="F1360" s="1" t="s">
        <v>927</v>
      </c>
      <c r="G1360" s="1">
        <v>26.0</v>
      </c>
      <c r="H1360" s="1">
        <v>1.349056604</v>
      </c>
      <c r="I1360" s="1">
        <v>4.75</v>
      </c>
      <c r="J1360" s="1">
        <v>0.747313</v>
      </c>
    </row>
    <row r="1361">
      <c r="A1361" s="1">
        <v>2025.0</v>
      </c>
      <c r="B1361" s="1" t="s">
        <v>947</v>
      </c>
      <c r="C1361" s="1">
        <v>681217.0</v>
      </c>
      <c r="D1361" s="1" t="s">
        <v>539</v>
      </c>
      <c r="E1361" s="1" t="s">
        <v>927</v>
      </c>
      <c r="F1361" s="1" t="s">
        <v>927</v>
      </c>
      <c r="G1361" s="1">
        <v>60.0</v>
      </c>
      <c r="H1361" s="1">
        <v>3.113207547</v>
      </c>
      <c r="I1361" s="1">
        <v>5.13</v>
      </c>
      <c r="J1361" s="1">
        <v>1.143379</v>
      </c>
    </row>
    <row r="1362">
      <c r="A1362" s="1">
        <v>2025.0</v>
      </c>
      <c r="B1362" s="1" t="s">
        <v>621</v>
      </c>
      <c r="C1362" s="1">
        <v>694646.0</v>
      </c>
      <c r="D1362" s="1" t="s">
        <v>541</v>
      </c>
      <c r="E1362" s="1" t="s">
        <v>927</v>
      </c>
      <c r="F1362" s="1" t="s">
        <v>926</v>
      </c>
      <c r="G1362" s="1">
        <v>2.0</v>
      </c>
      <c r="H1362" s="1">
        <v>0.088888889</v>
      </c>
      <c r="I1362" s="1">
        <v>4.47</v>
      </c>
      <c r="J1362" s="1">
        <v>0.06649</v>
      </c>
    </row>
    <row r="1363">
      <c r="A1363" s="1">
        <v>2025.0</v>
      </c>
      <c r="B1363" s="1" t="s">
        <v>621</v>
      </c>
      <c r="C1363" s="1">
        <v>694646.0</v>
      </c>
      <c r="D1363" s="1" t="s">
        <v>540</v>
      </c>
      <c r="E1363" s="1" t="s">
        <v>927</v>
      </c>
      <c r="F1363" s="1" t="s">
        <v>926</v>
      </c>
      <c r="G1363" s="1">
        <v>7.0</v>
      </c>
      <c r="H1363" s="1">
        <v>0.311111111</v>
      </c>
      <c r="I1363" s="1">
        <v>4.75</v>
      </c>
      <c r="J1363" s="1">
        <v>0.1975</v>
      </c>
    </row>
    <row r="1364">
      <c r="A1364" s="1">
        <v>2025.0</v>
      </c>
      <c r="B1364" s="1" t="s">
        <v>621</v>
      </c>
      <c r="C1364" s="1">
        <v>694646.0</v>
      </c>
      <c r="D1364" s="1" t="s">
        <v>537</v>
      </c>
      <c r="E1364" s="1" t="s">
        <v>927</v>
      </c>
      <c r="F1364" s="1" t="s">
        <v>926</v>
      </c>
      <c r="G1364" s="1">
        <v>58.0</v>
      </c>
      <c r="H1364" s="1">
        <v>2.577777778</v>
      </c>
      <c r="I1364" s="1">
        <v>4.03</v>
      </c>
      <c r="J1364" s="1">
        <v>2.446501</v>
      </c>
    </row>
    <row r="1365">
      <c r="A1365" s="1">
        <v>2025.0</v>
      </c>
      <c r="B1365" s="1" t="s">
        <v>621</v>
      </c>
      <c r="C1365" s="1">
        <v>694646.0</v>
      </c>
      <c r="D1365" s="1" t="s">
        <v>538</v>
      </c>
      <c r="E1365" s="1" t="s">
        <v>927</v>
      </c>
      <c r="F1365" s="1" t="s">
        <v>926</v>
      </c>
      <c r="G1365" s="1">
        <v>10.0</v>
      </c>
      <c r="H1365" s="1">
        <v>0.444444444</v>
      </c>
      <c r="I1365" s="1">
        <v>5.55</v>
      </c>
      <c r="J1365" s="1">
        <v>0.100383</v>
      </c>
    </row>
    <row r="1366">
      <c r="A1366" s="1">
        <v>2025.0</v>
      </c>
      <c r="B1366" s="1" t="s">
        <v>621</v>
      </c>
      <c r="C1366" s="1">
        <v>694646.0</v>
      </c>
      <c r="D1366" s="1" t="s">
        <v>533</v>
      </c>
      <c r="E1366" s="1" t="s">
        <v>927</v>
      </c>
      <c r="F1366" s="1" t="s">
        <v>926</v>
      </c>
      <c r="G1366" s="1">
        <v>17.0</v>
      </c>
      <c r="H1366" s="1">
        <v>0.755555556</v>
      </c>
      <c r="I1366" s="1">
        <v>4.71</v>
      </c>
      <c r="J1366" s="1">
        <v>0.496261</v>
      </c>
    </row>
    <row r="1367">
      <c r="A1367" s="1">
        <v>2025.0</v>
      </c>
      <c r="B1367" s="1" t="s">
        <v>621</v>
      </c>
      <c r="C1367" s="1">
        <v>694646.0</v>
      </c>
      <c r="D1367" s="1" t="s">
        <v>539</v>
      </c>
      <c r="E1367" s="1" t="s">
        <v>927</v>
      </c>
      <c r="F1367" s="1" t="s">
        <v>926</v>
      </c>
      <c r="G1367" s="1">
        <v>1.0</v>
      </c>
      <c r="H1367" s="1">
        <v>0.044444444</v>
      </c>
      <c r="I1367" s="1">
        <v>4.88</v>
      </c>
      <c r="J1367" s="1">
        <v>0.025653</v>
      </c>
    </row>
    <row r="1368">
      <c r="A1368" s="1">
        <v>2025.0</v>
      </c>
      <c r="B1368" s="1" t="s">
        <v>621</v>
      </c>
      <c r="C1368" s="1">
        <v>694646.0</v>
      </c>
      <c r="D1368" s="1" t="s">
        <v>540</v>
      </c>
      <c r="E1368" s="1" t="s">
        <v>927</v>
      </c>
      <c r="F1368" s="1" t="s">
        <v>927</v>
      </c>
      <c r="G1368" s="1">
        <v>10.0</v>
      </c>
      <c r="H1368" s="1">
        <v>0.444444444</v>
      </c>
      <c r="I1368" s="1">
        <v>5.32</v>
      </c>
      <c r="J1368" s="1">
        <v>0.168595</v>
      </c>
    </row>
    <row r="1369">
      <c r="A1369" s="1">
        <v>2025.0</v>
      </c>
      <c r="B1369" s="1" t="s">
        <v>621</v>
      </c>
      <c r="C1369" s="1">
        <v>694646.0</v>
      </c>
      <c r="D1369" s="1" t="s">
        <v>537</v>
      </c>
      <c r="E1369" s="1" t="s">
        <v>927</v>
      </c>
      <c r="F1369" s="1" t="s">
        <v>927</v>
      </c>
      <c r="G1369" s="1">
        <v>47.0</v>
      </c>
      <c r="H1369" s="1">
        <v>2.088888889</v>
      </c>
      <c r="I1369" s="1">
        <v>4.73</v>
      </c>
      <c r="J1369" s="1">
        <v>1.353182</v>
      </c>
    </row>
    <row r="1370">
      <c r="A1370" s="1">
        <v>2025.0</v>
      </c>
      <c r="B1370" s="1" t="s">
        <v>621</v>
      </c>
      <c r="C1370" s="1">
        <v>694646.0</v>
      </c>
      <c r="D1370" s="1" t="s">
        <v>533</v>
      </c>
      <c r="E1370" s="1" t="s">
        <v>927</v>
      </c>
      <c r="F1370" s="1" t="s">
        <v>927</v>
      </c>
      <c r="G1370" s="1">
        <v>36.0</v>
      </c>
      <c r="H1370" s="1">
        <v>1.6</v>
      </c>
      <c r="I1370" s="1">
        <v>4.03</v>
      </c>
      <c r="J1370" s="1">
        <v>1.475783</v>
      </c>
    </row>
    <row r="1371">
      <c r="A1371" s="1">
        <v>2025.0</v>
      </c>
      <c r="B1371" s="1" t="s">
        <v>621</v>
      </c>
      <c r="C1371" s="1">
        <v>694646.0</v>
      </c>
      <c r="D1371" s="1" t="s">
        <v>539</v>
      </c>
      <c r="E1371" s="1" t="s">
        <v>927</v>
      </c>
      <c r="F1371" s="1" t="s">
        <v>927</v>
      </c>
      <c r="G1371" s="1">
        <v>7.0</v>
      </c>
      <c r="H1371" s="1">
        <v>0.311111111</v>
      </c>
      <c r="I1371" s="1">
        <v>4.82</v>
      </c>
      <c r="J1371" s="1">
        <v>0.179066</v>
      </c>
    </row>
    <row r="1372">
      <c r="A1372" s="1">
        <v>2025.0</v>
      </c>
      <c r="B1372" s="1" t="s">
        <v>456</v>
      </c>
      <c r="C1372" s="1">
        <v>605135.0</v>
      </c>
      <c r="D1372" s="1" t="s">
        <v>532</v>
      </c>
      <c r="E1372" s="1" t="s">
        <v>927</v>
      </c>
      <c r="F1372" s="1" t="s">
        <v>926</v>
      </c>
      <c r="G1372" s="1">
        <v>63.0</v>
      </c>
      <c r="H1372" s="1">
        <v>3.79321315</v>
      </c>
      <c r="I1372" s="1">
        <v>5.11</v>
      </c>
      <c r="J1372" s="1">
        <v>1.263026</v>
      </c>
    </row>
    <row r="1373">
      <c r="A1373" s="1">
        <v>2025.0</v>
      </c>
      <c r="B1373" s="1" t="s">
        <v>456</v>
      </c>
      <c r="C1373" s="1">
        <v>605135.0</v>
      </c>
      <c r="D1373" s="1" t="s">
        <v>541</v>
      </c>
      <c r="E1373" s="1" t="s">
        <v>927</v>
      </c>
      <c r="F1373" s="1" t="s">
        <v>926</v>
      </c>
      <c r="G1373" s="1">
        <v>294.0</v>
      </c>
      <c r="H1373" s="1">
        <v>17.70166136</v>
      </c>
      <c r="I1373" s="1">
        <v>4.93</v>
      </c>
      <c r="J1373" s="1">
        <v>6.71419</v>
      </c>
    </row>
    <row r="1374">
      <c r="A1374" s="1">
        <v>2025.0</v>
      </c>
      <c r="B1374" s="1" t="s">
        <v>456</v>
      </c>
      <c r="C1374" s="1">
        <v>605135.0</v>
      </c>
      <c r="D1374" s="1" t="s">
        <v>540</v>
      </c>
      <c r="E1374" s="1" t="s">
        <v>927</v>
      </c>
      <c r="F1374" s="1" t="s">
        <v>926</v>
      </c>
      <c r="G1374" s="1">
        <v>349.0</v>
      </c>
      <c r="H1374" s="1">
        <v>21.01319665</v>
      </c>
      <c r="I1374" s="1">
        <v>4.86</v>
      </c>
      <c r="J1374" s="1">
        <v>8.642341</v>
      </c>
    </row>
    <row r="1375">
      <c r="A1375" s="1">
        <v>2025.0</v>
      </c>
      <c r="B1375" s="1" t="s">
        <v>456</v>
      </c>
      <c r="C1375" s="1">
        <v>605135.0</v>
      </c>
      <c r="D1375" s="1" t="s">
        <v>537</v>
      </c>
      <c r="E1375" s="1" t="s">
        <v>927</v>
      </c>
      <c r="F1375" s="1" t="s">
        <v>926</v>
      </c>
      <c r="G1375" s="1">
        <v>221.0</v>
      </c>
      <c r="H1375" s="1">
        <v>13.30635089</v>
      </c>
      <c r="I1375" s="1">
        <v>4.57</v>
      </c>
      <c r="J1375" s="1">
        <v>6.857907</v>
      </c>
    </row>
    <row r="1376">
      <c r="A1376" s="1">
        <v>2025.0</v>
      </c>
      <c r="B1376" s="1" t="s">
        <v>456</v>
      </c>
      <c r="C1376" s="1">
        <v>605135.0</v>
      </c>
      <c r="D1376" s="1" t="s">
        <v>538</v>
      </c>
      <c r="E1376" s="1" t="s">
        <v>927</v>
      </c>
      <c r="F1376" s="1" t="s">
        <v>926</v>
      </c>
      <c r="G1376" s="1">
        <v>112.0</v>
      </c>
      <c r="H1376" s="1">
        <v>6.743490044</v>
      </c>
      <c r="I1376" s="1">
        <v>4.36</v>
      </c>
      <c r="J1376" s="1">
        <v>3.85684</v>
      </c>
    </row>
    <row r="1377">
      <c r="A1377" s="1">
        <v>2025.0</v>
      </c>
      <c r="B1377" s="1" t="s">
        <v>456</v>
      </c>
      <c r="C1377" s="1">
        <v>605135.0</v>
      </c>
      <c r="D1377" s="1" t="s">
        <v>536</v>
      </c>
      <c r="E1377" s="1" t="s">
        <v>927</v>
      </c>
      <c r="F1377" s="1" t="s">
        <v>926</v>
      </c>
      <c r="G1377" s="1">
        <v>539.0</v>
      </c>
      <c r="H1377" s="1">
        <v>32.45304583</v>
      </c>
      <c r="I1377" s="1">
        <v>4.81</v>
      </c>
      <c r="J1377" s="1">
        <v>14.083706</v>
      </c>
    </row>
    <row r="1378">
      <c r="A1378" s="1">
        <v>2025.0</v>
      </c>
      <c r="B1378" s="1" t="s">
        <v>456</v>
      </c>
      <c r="C1378" s="1">
        <v>605135.0</v>
      </c>
      <c r="D1378" s="1" t="s">
        <v>533</v>
      </c>
      <c r="E1378" s="1" t="s">
        <v>927</v>
      </c>
      <c r="F1378" s="1" t="s">
        <v>926</v>
      </c>
      <c r="G1378" s="1">
        <v>33.0</v>
      </c>
      <c r="H1378" s="1">
        <v>1.986921174</v>
      </c>
      <c r="I1378" s="1">
        <v>5.54</v>
      </c>
      <c r="J1378" s="1">
        <v>0.338628</v>
      </c>
    </row>
    <row r="1379">
      <c r="A1379" s="1">
        <v>2025.0</v>
      </c>
      <c r="B1379" s="1" t="s">
        <v>456</v>
      </c>
      <c r="C1379" s="1">
        <v>605135.0</v>
      </c>
      <c r="D1379" s="1" t="s">
        <v>539</v>
      </c>
      <c r="E1379" s="1" t="s">
        <v>927</v>
      </c>
      <c r="F1379" s="1" t="s">
        <v>926</v>
      </c>
      <c r="G1379" s="1">
        <v>23.0</v>
      </c>
      <c r="H1379" s="1">
        <v>1.384823848</v>
      </c>
      <c r="I1379" s="1">
        <v>5.82</v>
      </c>
      <c r="J1379" s="1">
        <v>0.115723</v>
      </c>
    </row>
    <row r="1380">
      <c r="A1380" s="1">
        <v>2025.0</v>
      </c>
      <c r="B1380" s="1" t="s">
        <v>456</v>
      </c>
      <c r="C1380" s="1">
        <v>605135.0</v>
      </c>
      <c r="D1380" s="1" t="s">
        <v>532</v>
      </c>
      <c r="E1380" s="1" t="s">
        <v>927</v>
      </c>
      <c r="F1380" s="1" t="s">
        <v>927</v>
      </c>
      <c r="G1380" s="1">
        <v>15.0</v>
      </c>
      <c r="H1380" s="1">
        <v>0.903145988</v>
      </c>
      <c r="I1380" s="1">
        <v>4.91</v>
      </c>
      <c r="J1380" s="1">
        <v>0.381554</v>
      </c>
    </row>
    <row r="1381">
      <c r="A1381" s="1">
        <v>2025.0</v>
      </c>
      <c r="B1381" s="1" t="s">
        <v>456</v>
      </c>
      <c r="C1381" s="1">
        <v>605135.0</v>
      </c>
      <c r="D1381" s="1" t="s">
        <v>541</v>
      </c>
      <c r="E1381" s="1" t="s">
        <v>927</v>
      </c>
      <c r="F1381" s="1" t="s">
        <v>927</v>
      </c>
      <c r="G1381" s="1">
        <v>166.0</v>
      </c>
      <c r="H1381" s="1">
        <v>9.9948156</v>
      </c>
      <c r="I1381" s="1">
        <v>4.7</v>
      </c>
      <c r="J1381" s="1">
        <v>4.651865</v>
      </c>
    </row>
    <row r="1382">
      <c r="A1382" s="1">
        <v>2025.0</v>
      </c>
      <c r="B1382" s="1" t="s">
        <v>456</v>
      </c>
      <c r="C1382" s="1">
        <v>605135.0</v>
      </c>
      <c r="D1382" s="1" t="s">
        <v>540</v>
      </c>
      <c r="E1382" s="1" t="s">
        <v>927</v>
      </c>
      <c r="F1382" s="1" t="s">
        <v>927</v>
      </c>
      <c r="G1382" s="1">
        <v>129.0</v>
      </c>
      <c r="H1382" s="1">
        <v>7.767055497</v>
      </c>
      <c r="I1382" s="1">
        <v>5.06</v>
      </c>
      <c r="J1382" s="1">
        <v>2.521019</v>
      </c>
    </row>
    <row r="1383">
      <c r="A1383" s="1">
        <v>2025.0</v>
      </c>
      <c r="B1383" s="1" t="s">
        <v>456</v>
      </c>
      <c r="C1383" s="1">
        <v>605135.0</v>
      </c>
      <c r="D1383" s="1" t="s">
        <v>537</v>
      </c>
      <c r="E1383" s="1" t="s">
        <v>927</v>
      </c>
      <c r="F1383" s="1" t="s">
        <v>927</v>
      </c>
      <c r="G1383" s="1">
        <v>42.0</v>
      </c>
      <c r="H1383" s="1">
        <v>2.528808766</v>
      </c>
      <c r="I1383" s="1">
        <v>4.7</v>
      </c>
      <c r="J1383" s="1">
        <v>1.22397</v>
      </c>
    </row>
    <row r="1384">
      <c r="A1384" s="1">
        <v>2025.0</v>
      </c>
      <c r="B1384" s="1" t="s">
        <v>456</v>
      </c>
      <c r="C1384" s="1">
        <v>605135.0</v>
      </c>
      <c r="D1384" s="1" t="s">
        <v>538</v>
      </c>
      <c r="E1384" s="1" t="s">
        <v>927</v>
      </c>
      <c r="F1384" s="1" t="s">
        <v>927</v>
      </c>
      <c r="G1384" s="1">
        <v>15.0</v>
      </c>
      <c r="H1384" s="1">
        <v>0.903145988</v>
      </c>
      <c r="I1384" s="1">
        <v>4.85</v>
      </c>
      <c r="J1384" s="1">
        <v>0.375082</v>
      </c>
    </row>
    <row r="1385">
      <c r="A1385" s="1">
        <v>2025.0</v>
      </c>
      <c r="B1385" s="1" t="s">
        <v>456</v>
      </c>
      <c r="C1385" s="1">
        <v>605135.0</v>
      </c>
      <c r="D1385" s="1" t="s">
        <v>536</v>
      </c>
      <c r="E1385" s="1" t="s">
        <v>927</v>
      </c>
      <c r="F1385" s="1" t="s">
        <v>927</v>
      </c>
      <c r="G1385" s="1">
        <v>640.0</v>
      </c>
      <c r="H1385" s="1">
        <v>38.53422882</v>
      </c>
      <c r="I1385" s="1">
        <v>5.02</v>
      </c>
      <c r="J1385" s="1">
        <v>14.095539</v>
      </c>
    </row>
    <row r="1386">
      <c r="A1386" s="1">
        <v>2025.0</v>
      </c>
      <c r="B1386" s="1" t="s">
        <v>456</v>
      </c>
      <c r="C1386" s="1">
        <v>605135.0</v>
      </c>
      <c r="D1386" s="1" t="s">
        <v>533</v>
      </c>
      <c r="E1386" s="1" t="s">
        <v>927</v>
      </c>
      <c r="F1386" s="1" t="s">
        <v>927</v>
      </c>
      <c r="G1386" s="1">
        <v>48.0</v>
      </c>
      <c r="H1386" s="1">
        <v>2.890067162</v>
      </c>
      <c r="I1386" s="1">
        <v>4.61</v>
      </c>
      <c r="J1386" s="1">
        <v>1.464322</v>
      </c>
    </row>
    <row r="1387">
      <c r="A1387" s="1">
        <v>2025.0</v>
      </c>
      <c r="B1387" s="1" t="s">
        <v>456</v>
      </c>
      <c r="C1387" s="1">
        <v>605135.0</v>
      </c>
      <c r="D1387" s="1" t="s">
        <v>539</v>
      </c>
      <c r="E1387" s="1" t="s">
        <v>927</v>
      </c>
      <c r="F1387" s="1" t="s">
        <v>927</v>
      </c>
      <c r="G1387" s="1">
        <v>140.0</v>
      </c>
      <c r="H1387" s="1">
        <v>8.429362554</v>
      </c>
      <c r="I1387" s="1">
        <v>5.34</v>
      </c>
      <c r="J1387" s="1">
        <v>1.96831</v>
      </c>
    </row>
    <row r="1388">
      <c r="A1388" s="1">
        <v>2025.0</v>
      </c>
      <c r="B1388" s="1" t="s">
        <v>742</v>
      </c>
      <c r="C1388" s="1">
        <v>606965.0</v>
      </c>
      <c r="D1388" s="1" t="s">
        <v>532</v>
      </c>
      <c r="E1388" s="1" t="s">
        <v>927</v>
      </c>
      <c r="F1388" s="1" t="s">
        <v>926</v>
      </c>
      <c r="G1388" s="1">
        <v>64.0</v>
      </c>
      <c r="H1388" s="1">
        <v>4.086845466</v>
      </c>
      <c r="I1388" s="1">
        <v>5.77</v>
      </c>
      <c r="J1388" s="1">
        <v>0.347346</v>
      </c>
    </row>
    <row r="1389">
      <c r="A1389" s="1">
        <v>2025.0</v>
      </c>
      <c r="B1389" s="1" t="s">
        <v>742</v>
      </c>
      <c r="C1389" s="1">
        <v>606965.0</v>
      </c>
      <c r="D1389" s="1" t="s">
        <v>540</v>
      </c>
      <c r="E1389" s="1" t="s">
        <v>927</v>
      </c>
      <c r="F1389" s="1" t="s">
        <v>926</v>
      </c>
      <c r="G1389" s="1">
        <v>10.0</v>
      </c>
      <c r="H1389" s="1">
        <v>0.638569604</v>
      </c>
      <c r="I1389" s="1">
        <v>4.71</v>
      </c>
      <c r="J1389" s="1">
        <v>0.277712</v>
      </c>
    </row>
    <row r="1390">
      <c r="A1390" s="1">
        <v>2025.0</v>
      </c>
      <c r="B1390" s="1" t="s">
        <v>742</v>
      </c>
      <c r="C1390" s="1">
        <v>606965.0</v>
      </c>
      <c r="D1390" s="1" t="s">
        <v>537</v>
      </c>
      <c r="E1390" s="1" t="s">
        <v>927</v>
      </c>
      <c r="F1390" s="1" t="s">
        <v>926</v>
      </c>
      <c r="G1390" s="1">
        <v>18.0</v>
      </c>
      <c r="H1390" s="1">
        <v>1.149425287</v>
      </c>
      <c r="I1390" s="1">
        <v>4.55</v>
      </c>
      <c r="J1390" s="1">
        <v>0.557356</v>
      </c>
    </row>
    <row r="1391">
      <c r="A1391" s="1">
        <v>2025.0</v>
      </c>
      <c r="B1391" s="1" t="s">
        <v>742</v>
      </c>
      <c r="C1391" s="1">
        <v>606965.0</v>
      </c>
      <c r="D1391" s="1" t="s">
        <v>536</v>
      </c>
      <c r="E1391" s="1" t="s">
        <v>927</v>
      </c>
      <c r="F1391" s="1" t="s">
        <v>926</v>
      </c>
      <c r="G1391" s="1">
        <v>1.0</v>
      </c>
      <c r="H1391" s="1">
        <v>0.06385696</v>
      </c>
      <c r="I1391" s="1">
        <v>2.25</v>
      </c>
      <c r="J1391" s="1">
        <v>0.073728</v>
      </c>
    </row>
    <row r="1392">
      <c r="A1392" s="1">
        <v>2025.0</v>
      </c>
      <c r="B1392" s="1" t="s">
        <v>742</v>
      </c>
      <c r="C1392" s="1">
        <v>606965.0</v>
      </c>
      <c r="D1392" s="1" t="s">
        <v>533</v>
      </c>
      <c r="E1392" s="1" t="s">
        <v>927</v>
      </c>
      <c r="F1392" s="1" t="s">
        <v>926</v>
      </c>
      <c r="G1392" s="1">
        <v>1.0</v>
      </c>
      <c r="H1392" s="1">
        <v>0.06385696</v>
      </c>
      <c r="I1392" s="1">
        <v>3.37</v>
      </c>
      <c r="J1392" s="1">
        <v>0.051402</v>
      </c>
    </row>
    <row r="1393">
      <c r="A1393" s="1">
        <v>2025.0</v>
      </c>
      <c r="B1393" s="1" t="s">
        <v>742</v>
      </c>
      <c r="C1393" s="1">
        <v>606965.0</v>
      </c>
      <c r="D1393" s="1" t="s">
        <v>539</v>
      </c>
      <c r="E1393" s="1" t="s">
        <v>927</v>
      </c>
      <c r="F1393" s="1" t="s">
        <v>926</v>
      </c>
      <c r="G1393" s="1">
        <v>14.0</v>
      </c>
      <c r="H1393" s="1">
        <v>0.893997446</v>
      </c>
      <c r="I1393" s="1">
        <v>4.85</v>
      </c>
      <c r="J1393" s="1">
        <v>0.338185</v>
      </c>
    </row>
    <row r="1394">
      <c r="A1394" s="1">
        <v>2025.0</v>
      </c>
      <c r="B1394" s="1" t="s">
        <v>742</v>
      </c>
      <c r="C1394" s="1">
        <v>606965.0</v>
      </c>
      <c r="D1394" s="1" t="s">
        <v>532</v>
      </c>
      <c r="E1394" s="1" t="s">
        <v>927</v>
      </c>
      <c r="F1394" s="1" t="s">
        <v>927</v>
      </c>
      <c r="G1394" s="1">
        <v>38.0</v>
      </c>
      <c r="H1394" s="1">
        <v>2.426564496</v>
      </c>
      <c r="I1394" s="1">
        <v>5.21</v>
      </c>
      <c r="J1394" s="1">
        <v>0.60566</v>
      </c>
    </row>
    <row r="1395">
      <c r="A1395" s="1">
        <v>2025.0</v>
      </c>
      <c r="B1395" s="1" t="s">
        <v>742</v>
      </c>
      <c r="C1395" s="1">
        <v>606965.0</v>
      </c>
      <c r="D1395" s="1" t="s">
        <v>540</v>
      </c>
      <c r="E1395" s="1" t="s">
        <v>927</v>
      </c>
      <c r="F1395" s="1" t="s">
        <v>927</v>
      </c>
      <c r="G1395" s="1">
        <v>34.0</v>
      </c>
      <c r="H1395" s="1">
        <v>2.171136654</v>
      </c>
      <c r="I1395" s="1">
        <v>4.56</v>
      </c>
      <c r="J1395" s="1">
        <v>1.055614</v>
      </c>
    </row>
    <row r="1396">
      <c r="A1396" s="1">
        <v>2025.0</v>
      </c>
      <c r="B1396" s="1" t="s">
        <v>742</v>
      </c>
      <c r="C1396" s="1">
        <v>606965.0</v>
      </c>
      <c r="D1396" s="1" t="s">
        <v>537</v>
      </c>
      <c r="E1396" s="1" t="s">
        <v>927</v>
      </c>
      <c r="F1396" s="1" t="s">
        <v>927</v>
      </c>
      <c r="G1396" s="1">
        <v>37.0</v>
      </c>
      <c r="H1396" s="1">
        <v>2.362707535</v>
      </c>
      <c r="I1396" s="1">
        <v>5.15</v>
      </c>
      <c r="J1396" s="1">
        <v>0.730671</v>
      </c>
    </row>
    <row r="1397">
      <c r="A1397" s="1">
        <v>2025.0</v>
      </c>
      <c r="B1397" s="1" t="s">
        <v>742</v>
      </c>
      <c r="C1397" s="1">
        <v>606965.0</v>
      </c>
      <c r="D1397" s="1" t="s">
        <v>536</v>
      </c>
      <c r="E1397" s="1" t="s">
        <v>927</v>
      </c>
      <c r="F1397" s="1" t="s">
        <v>927</v>
      </c>
      <c r="G1397" s="1">
        <v>2.0</v>
      </c>
      <c r="H1397" s="1">
        <v>0.127713921</v>
      </c>
      <c r="I1397" s="1">
        <v>7.68</v>
      </c>
      <c r="J1397" s="1">
        <v>-0.070544</v>
      </c>
    </row>
    <row r="1398">
      <c r="A1398" s="1">
        <v>2025.0</v>
      </c>
      <c r="B1398" s="1" t="s">
        <v>742</v>
      </c>
      <c r="C1398" s="1">
        <v>606965.0</v>
      </c>
      <c r="D1398" s="1" t="s">
        <v>533</v>
      </c>
      <c r="E1398" s="1" t="s">
        <v>927</v>
      </c>
      <c r="F1398" s="1" t="s">
        <v>927</v>
      </c>
      <c r="G1398" s="1">
        <v>2.0</v>
      </c>
      <c r="H1398" s="1">
        <v>0.127713921</v>
      </c>
      <c r="I1398" s="1">
        <v>5.49</v>
      </c>
      <c r="J1398" s="1">
        <v>0.028749</v>
      </c>
    </row>
    <row r="1399">
      <c r="A1399" s="1">
        <v>2025.0</v>
      </c>
      <c r="B1399" s="1" t="s">
        <v>742</v>
      </c>
      <c r="C1399" s="1">
        <v>606965.0</v>
      </c>
      <c r="D1399" s="1" t="s">
        <v>539</v>
      </c>
      <c r="E1399" s="1" t="s">
        <v>927</v>
      </c>
      <c r="F1399" s="1" t="s">
        <v>927</v>
      </c>
      <c r="G1399" s="1">
        <v>40.0</v>
      </c>
      <c r="H1399" s="1">
        <v>2.554278416</v>
      </c>
      <c r="I1399" s="1">
        <v>5.47</v>
      </c>
      <c r="J1399" s="1">
        <v>0.492191</v>
      </c>
    </row>
    <row r="1400">
      <c r="A1400" s="1">
        <v>2025.0</v>
      </c>
      <c r="B1400" s="1" t="s">
        <v>462</v>
      </c>
      <c r="C1400" s="1">
        <v>623167.0</v>
      </c>
      <c r="D1400" s="1" t="s">
        <v>532</v>
      </c>
      <c r="E1400" s="1" t="s">
        <v>927</v>
      </c>
      <c r="F1400" s="1" t="s">
        <v>926</v>
      </c>
      <c r="G1400" s="1">
        <v>14.0</v>
      </c>
      <c r="H1400" s="1">
        <v>0.909722222</v>
      </c>
      <c r="I1400" s="1">
        <v>4.35</v>
      </c>
      <c r="J1400" s="1">
        <v>0.498327</v>
      </c>
    </row>
    <row r="1401">
      <c r="A1401" s="1">
        <v>2025.0</v>
      </c>
      <c r="B1401" s="1" t="s">
        <v>462</v>
      </c>
      <c r="C1401" s="1">
        <v>623167.0</v>
      </c>
      <c r="D1401" s="1" t="s">
        <v>541</v>
      </c>
      <c r="E1401" s="1" t="s">
        <v>927</v>
      </c>
      <c r="F1401" s="1" t="s">
        <v>926</v>
      </c>
      <c r="G1401" s="1">
        <v>64.0</v>
      </c>
      <c r="H1401" s="1">
        <v>4.158730159</v>
      </c>
      <c r="I1401" s="1">
        <v>4.61</v>
      </c>
      <c r="J1401" s="1">
        <v>1.864088</v>
      </c>
    </row>
    <row r="1402">
      <c r="A1402" s="1">
        <v>2025.0</v>
      </c>
      <c r="B1402" s="1" t="s">
        <v>462</v>
      </c>
      <c r="C1402" s="1">
        <v>623167.0</v>
      </c>
      <c r="D1402" s="1" t="s">
        <v>540</v>
      </c>
      <c r="E1402" s="1" t="s">
        <v>927</v>
      </c>
      <c r="F1402" s="1" t="s">
        <v>926</v>
      </c>
      <c r="G1402" s="1">
        <v>53.0</v>
      </c>
      <c r="H1402" s="1">
        <v>3.443948413</v>
      </c>
      <c r="I1402" s="1">
        <v>4.8</v>
      </c>
      <c r="J1402" s="1">
        <v>1.378181</v>
      </c>
    </row>
    <row r="1403">
      <c r="A1403" s="1">
        <v>2025.0</v>
      </c>
      <c r="B1403" s="1" t="s">
        <v>462</v>
      </c>
      <c r="C1403" s="1">
        <v>623167.0</v>
      </c>
      <c r="D1403" s="1" t="s">
        <v>537</v>
      </c>
      <c r="E1403" s="1" t="s">
        <v>927</v>
      </c>
      <c r="F1403" s="1" t="s">
        <v>926</v>
      </c>
      <c r="G1403" s="1">
        <v>142.0</v>
      </c>
      <c r="H1403" s="1">
        <v>9.22718254</v>
      </c>
      <c r="I1403" s="1">
        <v>5.01</v>
      </c>
      <c r="J1403" s="1">
        <v>3.166409</v>
      </c>
    </row>
    <row r="1404">
      <c r="A1404" s="1">
        <v>2025.0</v>
      </c>
      <c r="B1404" s="1" t="s">
        <v>462</v>
      </c>
      <c r="C1404" s="1">
        <v>623167.0</v>
      </c>
      <c r="D1404" s="1" t="s">
        <v>533</v>
      </c>
      <c r="E1404" s="1" t="s">
        <v>927</v>
      </c>
      <c r="F1404" s="1" t="s">
        <v>926</v>
      </c>
      <c r="G1404" s="1">
        <v>16.0</v>
      </c>
      <c r="H1404" s="1">
        <v>1.03968254</v>
      </c>
      <c r="I1404" s="1">
        <v>5.06</v>
      </c>
      <c r="J1404" s="1">
        <v>0.300778</v>
      </c>
    </row>
    <row r="1405">
      <c r="A1405" s="1">
        <v>2025.0</v>
      </c>
      <c r="B1405" s="1" t="s">
        <v>462</v>
      </c>
      <c r="C1405" s="1">
        <v>623167.0</v>
      </c>
      <c r="D1405" s="1" t="s">
        <v>541</v>
      </c>
      <c r="E1405" s="1" t="s">
        <v>927</v>
      </c>
      <c r="F1405" s="1" t="s">
        <v>927</v>
      </c>
      <c r="G1405" s="1">
        <v>75.0</v>
      </c>
      <c r="H1405" s="1">
        <v>4.873511905</v>
      </c>
      <c r="I1405" s="1">
        <v>4.88</v>
      </c>
      <c r="J1405" s="1">
        <v>1.781878</v>
      </c>
    </row>
    <row r="1406">
      <c r="A1406" s="1">
        <v>2025.0</v>
      </c>
      <c r="B1406" s="1" t="s">
        <v>462</v>
      </c>
      <c r="C1406" s="1">
        <v>623167.0</v>
      </c>
      <c r="D1406" s="1" t="s">
        <v>540</v>
      </c>
      <c r="E1406" s="1" t="s">
        <v>927</v>
      </c>
      <c r="F1406" s="1" t="s">
        <v>927</v>
      </c>
      <c r="G1406" s="1">
        <v>137.0</v>
      </c>
      <c r="H1406" s="1">
        <v>8.902281746</v>
      </c>
      <c r="I1406" s="1">
        <v>5.25</v>
      </c>
      <c r="J1406" s="1">
        <v>2.415814</v>
      </c>
    </row>
    <row r="1407">
      <c r="A1407" s="1">
        <v>2025.0</v>
      </c>
      <c r="B1407" s="1" t="s">
        <v>462</v>
      </c>
      <c r="C1407" s="1">
        <v>623167.0</v>
      </c>
      <c r="D1407" s="1" t="s">
        <v>537</v>
      </c>
      <c r="E1407" s="1" t="s">
        <v>927</v>
      </c>
      <c r="F1407" s="1" t="s">
        <v>927</v>
      </c>
      <c r="G1407" s="1">
        <v>134.0</v>
      </c>
      <c r="H1407" s="1">
        <v>8.70734127</v>
      </c>
      <c r="I1407" s="1">
        <v>4.73</v>
      </c>
      <c r="J1407" s="1">
        <v>3.763698</v>
      </c>
    </row>
    <row r="1408">
      <c r="A1408" s="1">
        <v>2025.0</v>
      </c>
      <c r="B1408" s="1" t="s">
        <v>462</v>
      </c>
      <c r="C1408" s="1">
        <v>623167.0</v>
      </c>
      <c r="D1408" s="1" t="s">
        <v>533</v>
      </c>
      <c r="E1408" s="1" t="s">
        <v>927</v>
      </c>
      <c r="F1408" s="1" t="s">
        <v>927</v>
      </c>
      <c r="G1408" s="1">
        <v>37.0</v>
      </c>
      <c r="H1408" s="1">
        <v>2.404265873</v>
      </c>
      <c r="I1408" s="1">
        <v>4.57</v>
      </c>
      <c r="J1408" s="1">
        <v>1.109261</v>
      </c>
    </row>
    <row r="1409">
      <c r="A1409" s="1">
        <v>2025.0</v>
      </c>
      <c r="B1409" s="1" t="s">
        <v>74</v>
      </c>
      <c r="C1409" s="1">
        <v>455119.0</v>
      </c>
      <c r="D1409" s="1" t="s">
        <v>540</v>
      </c>
      <c r="E1409" s="1" t="s">
        <v>927</v>
      </c>
      <c r="F1409" s="1" t="s">
        <v>926</v>
      </c>
      <c r="G1409" s="1">
        <v>98.0</v>
      </c>
      <c r="H1409" s="1">
        <v>6.50261233</v>
      </c>
      <c r="I1409" s="1">
        <v>5.34</v>
      </c>
      <c r="J1409" s="1">
        <v>1.49135</v>
      </c>
    </row>
    <row r="1410">
      <c r="A1410" s="1">
        <v>2025.0</v>
      </c>
      <c r="B1410" s="1" t="s">
        <v>74</v>
      </c>
      <c r="C1410" s="1">
        <v>455119.0</v>
      </c>
      <c r="D1410" s="1" t="s">
        <v>537</v>
      </c>
      <c r="E1410" s="1" t="s">
        <v>927</v>
      </c>
      <c r="F1410" s="1" t="s">
        <v>926</v>
      </c>
      <c r="G1410" s="1">
        <v>81.0</v>
      </c>
      <c r="H1410" s="1">
        <v>5.37460815</v>
      </c>
      <c r="I1410" s="1">
        <v>4.74</v>
      </c>
      <c r="J1410" s="1">
        <v>2.237583</v>
      </c>
    </row>
    <row r="1411">
      <c r="A1411" s="1">
        <v>2025.0</v>
      </c>
      <c r="B1411" s="1" t="s">
        <v>74</v>
      </c>
      <c r="C1411" s="1">
        <v>455119.0</v>
      </c>
      <c r="D1411" s="1" t="s">
        <v>538</v>
      </c>
      <c r="E1411" s="1" t="s">
        <v>927</v>
      </c>
      <c r="F1411" s="1" t="s">
        <v>926</v>
      </c>
      <c r="G1411" s="1">
        <v>64.0</v>
      </c>
      <c r="H1411" s="1">
        <v>4.246603971</v>
      </c>
      <c r="I1411" s="1">
        <v>5.31</v>
      </c>
      <c r="J1411" s="1">
        <v>0.983494</v>
      </c>
    </row>
    <row r="1412">
      <c r="A1412" s="1">
        <v>2025.0</v>
      </c>
      <c r="B1412" s="1" t="s">
        <v>74</v>
      </c>
      <c r="C1412" s="1">
        <v>455119.0</v>
      </c>
      <c r="D1412" s="1" t="s">
        <v>536</v>
      </c>
      <c r="E1412" s="1" t="s">
        <v>927</v>
      </c>
      <c r="F1412" s="1" t="s">
        <v>926</v>
      </c>
      <c r="G1412" s="1">
        <v>5.0</v>
      </c>
      <c r="H1412" s="1">
        <v>0.331765935</v>
      </c>
      <c r="I1412" s="1">
        <v>4.99</v>
      </c>
      <c r="J1412" s="1">
        <v>0.115476</v>
      </c>
    </row>
    <row r="1413">
      <c r="A1413" s="1">
        <v>2025.0</v>
      </c>
      <c r="B1413" s="1" t="s">
        <v>74</v>
      </c>
      <c r="C1413" s="1">
        <v>455119.0</v>
      </c>
      <c r="D1413" s="1" t="s">
        <v>539</v>
      </c>
      <c r="E1413" s="1" t="s">
        <v>927</v>
      </c>
      <c r="F1413" s="1" t="s">
        <v>926</v>
      </c>
      <c r="G1413" s="1">
        <v>6.0</v>
      </c>
      <c r="H1413" s="1">
        <v>0.398119122</v>
      </c>
      <c r="I1413" s="1">
        <v>6.06</v>
      </c>
      <c r="J1413" s="1">
        <v>-0.005294</v>
      </c>
    </row>
    <row r="1414">
      <c r="A1414" s="1">
        <v>2025.0</v>
      </c>
      <c r="B1414" s="1" t="s">
        <v>74</v>
      </c>
      <c r="C1414" s="1">
        <v>455119.0</v>
      </c>
      <c r="D1414" s="1" t="s">
        <v>540</v>
      </c>
      <c r="E1414" s="1" t="s">
        <v>927</v>
      </c>
      <c r="F1414" s="1" t="s">
        <v>927</v>
      </c>
      <c r="G1414" s="1">
        <v>132.0</v>
      </c>
      <c r="H1414" s="1">
        <v>8.75862069</v>
      </c>
      <c r="I1414" s="1">
        <v>5.35</v>
      </c>
      <c r="J1414" s="1">
        <v>2.021006</v>
      </c>
    </row>
    <row r="1415">
      <c r="A1415" s="1">
        <v>2025.0</v>
      </c>
      <c r="B1415" s="1" t="s">
        <v>74</v>
      </c>
      <c r="C1415" s="1">
        <v>455119.0</v>
      </c>
      <c r="D1415" s="1" t="s">
        <v>537</v>
      </c>
      <c r="E1415" s="1" t="s">
        <v>927</v>
      </c>
      <c r="F1415" s="1" t="s">
        <v>927</v>
      </c>
      <c r="G1415" s="1">
        <v>118.0</v>
      </c>
      <c r="H1415" s="1">
        <v>7.829676071</v>
      </c>
      <c r="I1415" s="1">
        <v>4.93</v>
      </c>
      <c r="J1415" s="1">
        <v>2.75917</v>
      </c>
    </row>
    <row r="1416">
      <c r="A1416" s="1">
        <v>2025.0</v>
      </c>
      <c r="B1416" s="1" t="s">
        <v>74</v>
      </c>
      <c r="C1416" s="1">
        <v>455119.0</v>
      </c>
      <c r="D1416" s="1" t="s">
        <v>538</v>
      </c>
      <c r="E1416" s="1" t="s">
        <v>927</v>
      </c>
      <c r="F1416" s="1" t="s">
        <v>927</v>
      </c>
      <c r="G1416" s="1">
        <v>50.0</v>
      </c>
      <c r="H1416" s="1">
        <v>3.317659352</v>
      </c>
      <c r="I1416" s="1">
        <v>5.5</v>
      </c>
      <c r="J1416" s="1">
        <v>0.514821</v>
      </c>
    </row>
    <row r="1417">
      <c r="A1417" s="1">
        <v>2025.0</v>
      </c>
      <c r="B1417" s="1" t="s">
        <v>74</v>
      </c>
      <c r="C1417" s="1">
        <v>455119.0</v>
      </c>
      <c r="D1417" s="1" t="s">
        <v>536</v>
      </c>
      <c r="E1417" s="1" t="s">
        <v>927</v>
      </c>
      <c r="F1417" s="1" t="s">
        <v>927</v>
      </c>
      <c r="G1417" s="1">
        <v>77.0</v>
      </c>
      <c r="H1417" s="1">
        <v>5.109195402</v>
      </c>
      <c r="I1417" s="1">
        <v>5.25</v>
      </c>
      <c r="J1417" s="1">
        <v>1.336906</v>
      </c>
    </row>
    <row r="1418">
      <c r="A1418" s="1">
        <v>2025.0</v>
      </c>
      <c r="B1418" s="1" t="s">
        <v>74</v>
      </c>
      <c r="C1418" s="1">
        <v>455119.0</v>
      </c>
      <c r="D1418" s="1" t="s">
        <v>539</v>
      </c>
      <c r="E1418" s="1" t="s">
        <v>927</v>
      </c>
      <c r="F1418" s="1" t="s">
        <v>927</v>
      </c>
      <c r="G1418" s="1">
        <v>7.0</v>
      </c>
      <c r="H1418" s="1">
        <v>0.464472309</v>
      </c>
      <c r="I1418" s="1">
        <v>5.92</v>
      </c>
      <c r="J1418" s="1">
        <v>0.01973</v>
      </c>
    </row>
    <row r="1419">
      <c r="A1419" s="1">
        <v>2025.0</v>
      </c>
      <c r="B1419" s="1" t="s">
        <v>402</v>
      </c>
      <c r="C1419" s="1">
        <v>669684.0</v>
      </c>
      <c r="D1419" s="1" t="s">
        <v>541</v>
      </c>
      <c r="E1419" s="1" t="s">
        <v>926</v>
      </c>
      <c r="F1419" s="1" t="s">
        <v>926</v>
      </c>
      <c r="G1419" s="1">
        <v>44.0</v>
      </c>
      <c r="H1419" s="1">
        <v>2.680726421</v>
      </c>
      <c r="I1419" s="1">
        <v>4.78</v>
      </c>
      <c r="J1419" s="1">
        <v>1.133899</v>
      </c>
    </row>
    <row r="1420">
      <c r="A1420" s="1">
        <v>2025.0</v>
      </c>
      <c r="B1420" s="1" t="s">
        <v>402</v>
      </c>
      <c r="C1420" s="1">
        <v>669684.0</v>
      </c>
      <c r="D1420" s="1" t="s">
        <v>537</v>
      </c>
      <c r="E1420" s="1" t="s">
        <v>926</v>
      </c>
      <c r="F1420" s="1" t="s">
        <v>926</v>
      </c>
      <c r="G1420" s="1">
        <v>83.0</v>
      </c>
      <c r="H1420" s="1">
        <v>5.056824839</v>
      </c>
      <c r="I1420" s="1">
        <v>4.94</v>
      </c>
      <c r="J1420" s="1">
        <v>2.000368</v>
      </c>
    </row>
    <row r="1421">
      <c r="A1421" s="1">
        <v>2025.0</v>
      </c>
      <c r="B1421" s="1" t="s">
        <v>402</v>
      </c>
      <c r="C1421" s="1">
        <v>669684.0</v>
      </c>
      <c r="D1421" s="1" t="s">
        <v>536</v>
      </c>
      <c r="E1421" s="1" t="s">
        <v>926</v>
      </c>
      <c r="F1421" s="1" t="s">
        <v>926</v>
      </c>
      <c r="G1421" s="1">
        <v>25.0</v>
      </c>
      <c r="H1421" s="1">
        <v>1.523140012</v>
      </c>
      <c r="I1421" s="1">
        <v>4.82</v>
      </c>
      <c r="J1421" s="1">
        <v>0.668832</v>
      </c>
    </row>
    <row r="1422">
      <c r="A1422" s="1">
        <v>2025.0</v>
      </c>
      <c r="B1422" s="1" t="s">
        <v>402</v>
      </c>
      <c r="C1422" s="1">
        <v>669684.0</v>
      </c>
      <c r="D1422" s="1" t="s">
        <v>533</v>
      </c>
      <c r="E1422" s="1" t="s">
        <v>926</v>
      </c>
      <c r="F1422" s="1" t="s">
        <v>926</v>
      </c>
      <c r="G1422" s="1">
        <v>35.0</v>
      </c>
      <c r="H1422" s="1">
        <v>2.132396016</v>
      </c>
      <c r="I1422" s="1">
        <v>4.83</v>
      </c>
      <c r="J1422" s="1">
        <v>0.888394</v>
      </c>
    </row>
    <row r="1423">
      <c r="A1423" s="1">
        <v>2025.0</v>
      </c>
      <c r="B1423" s="1" t="s">
        <v>402</v>
      </c>
      <c r="C1423" s="1">
        <v>669684.0</v>
      </c>
      <c r="D1423" s="1" t="s">
        <v>539</v>
      </c>
      <c r="E1423" s="1" t="s">
        <v>926</v>
      </c>
      <c r="F1423" s="1" t="s">
        <v>926</v>
      </c>
      <c r="G1423" s="1">
        <v>36.0</v>
      </c>
      <c r="H1423" s="1">
        <v>2.193321617</v>
      </c>
      <c r="I1423" s="1">
        <v>4.89</v>
      </c>
      <c r="J1423" s="1">
        <v>0.856547</v>
      </c>
    </row>
    <row r="1424">
      <c r="A1424" s="1">
        <v>2025.0</v>
      </c>
      <c r="B1424" s="1" t="s">
        <v>402</v>
      </c>
      <c r="C1424" s="1">
        <v>669684.0</v>
      </c>
      <c r="D1424" s="1" t="s">
        <v>532</v>
      </c>
      <c r="E1424" s="1" t="s">
        <v>926</v>
      </c>
      <c r="F1424" s="1" t="s">
        <v>927</v>
      </c>
      <c r="G1424" s="1">
        <v>29.0</v>
      </c>
      <c r="H1424" s="1">
        <v>1.766842414</v>
      </c>
      <c r="I1424" s="1">
        <v>4.63</v>
      </c>
      <c r="J1424" s="1">
        <v>0.877999</v>
      </c>
    </row>
    <row r="1425">
      <c r="A1425" s="1">
        <v>2025.0</v>
      </c>
      <c r="B1425" s="1" t="s">
        <v>402</v>
      </c>
      <c r="C1425" s="1">
        <v>669684.0</v>
      </c>
      <c r="D1425" s="1" t="s">
        <v>541</v>
      </c>
      <c r="E1425" s="1" t="s">
        <v>926</v>
      </c>
      <c r="F1425" s="1" t="s">
        <v>927</v>
      </c>
      <c r="G1425" s="1">
        <v>133.0</v>
      </c>
      <c r="H1425" s="1">
        <v>8.103104862</v>
      </c>
      <c r="I1425" s="1">
        <v>5.44</v>
      </c>
      <c r="J1425" s="1">
        <v>1.867027</v>
      </c>
    </row>
    <row r="1426">
      <c r="A1426" s="1">
        <v>2025.0</v>
      </c>
      <c r="B1426" s="1" t="s">
        <v>402</v>
      </c>
      <c r="C1426" s="1">
        <v>669684.0</v>
      </c>
      <c r="D1426" s="1" t="s">
        <v>537</v>
      </c>
      <c r="E1426" s="1" t="s">
        <v>926</v>
      </c>
      <c r="F1426" s="1" t="s">
        <v>927</v>
      </c>
      <c r="G1426" s="1">
        <v>99.0</v>
      </c>
      <c r="H1426" s="1">
        <v>6.031634446</v>
      </c>
      <c r="I1426" s="1">
        <v>4.56</v>
      </c>
      <c r="J1426" s="1">
        <v>3.16597</v>
      </c>
    </row>
    <row r="1427">
      <c r="A1427" s="1">
        <v>2025.0</v>
      </c>
      <c r="B1427" s="1" t="s">
        <v>402</v>
      </c>
      <c r="C1427" s="1">
        <v>669684.0</v>
      </c>
      <c r="D1427" s="1" t="s">
        <v>538</v>
      </c>
      <c r="E1427" s="1" t="s">
        <v>926</v>
      </c>
      <c r="F1427" s="1" t="s">
        <v>927</v>
      </c>
      <c r="G1427" s="1">
        <v>6.0</v>
      </c>
      <c r="H1427" s="1">
        <v>0.365553603</v>
      </c>
      <c r="I1427" s="1">
        <v>4.43</v>
      </c>
      <c r="J1427" s="1">
        <v>0.194169</v>
      </c>
    </row>
    <row r="1428">
      <c r="A1428" s="1">
        <v>2025.0</v>
      </c>
      <c r="B1428" s="1" t="s">
        <v>402</v>
      </c>
      <c r="C1428" s="1">
        <v>669684.0</v>
      </c>
      <c r="D1428" s="1" t="s">
        <v>533</v>
      </c>
      <c r="E1428" s="1" t="s">
        <v>926</v>
      </c>
      <c r="F1428" s="1" t="s">
        <v>927</v>
      </c>
      <c r="G1428" s="1">
        <v>79.0</v>
      </c>
      <c r="H1428" s="1">
        <v>4.813122437</v>
      </c>
      <c r="I1428" s="1">
        <v>4.84</v>
      </c>
      <c r="J1428" s="1">
        <v>2.12114</v>
      </c>
    </row>
    <row r="1429">
      <c r="A1429" s="1">
        <v>2025.0</v>
      </c>
      <c r="B1429" s="1" t="s">
        <v>133</v>
      </c>
      <c r="C1429" s="1">
        <v>663978.0</v>
      </c>
      <c r="D1429" s="1" t="s">
        <v>532</v>
      </c>
      <c r="E1429" s="1" t="s">
        <v>927</v>
      </c>
      <c r="F1429" s="1" t="s">
        <v>926</v>
      </c>
      <c r="G1429" s="1">
        <v>421.0</v>
      </c>
      <c r="H1429" s="1">
        <v>25.95317987</v>
      </c>
      <c r="I1429" s="1">
        <v>5.46</v>
      </c>
      <c r="J1429" s="1">
        <v>5.202515</v>
      </c>
    </row>
    <row r="1430">
      <c r="A1430" s="1">
        <v>2025.0</v>
      </c>
      <c r="B1430" s="1" t="s">
        <v>133</v>
      </c>
      <c r="C1430" s="1">
        <v>663978.0</v>
      </c>
      <c r="D1430" s="1" t="s">
        <v>541</v>
      </c>
      <c r="E1430" s="1" t="s">
        <v>927</v>
      </c>
      <c r="F1430" s="1" t="s">
        <v>926</v>
      </c>
      <c r="G1430" s="1">
        <v>162.0</v>
      </c>
      <c r="H1430" s="1">
        <v>9.986734296</v>
      </c>
      <c r="I1430" s="1">
        <v>4.88</v>
      </c>
      <c r="J1430" s="1">
        <v>3.9823</v>
      </c>
    </row>
    <row r="1431">
      <c r="A1431" s="1">
        <v>2025.0</v>
      </c>
      <c r="B1431" s="1" t="s">
        <v>133</v>
      </c>
      <c r="C1431" s="1">
        <v>663978.0</v>
      </c>
      <c r="D1431" s="1" t="s">
        <v>540</v>
      </c>
      <c r="E1431" s="1" t="s">
        <v>927</v>
      </c>
      <c r="F1431" s="1" t="s">
        <v>926</v>
      </c>
      <c r="G1431" s="1">
        <v>88.0</v>
      </c>
      <c r="H1431" s="1">
        <v>5.424892704</v>
      </c>
      <c r="I1431" s="1">
        <v>5.02</v>
      </c>
      <c r="J1431" s="1">
        <v>1.926596</v>
      </c>
    </row>
    <row r="1432">
      <c r="A1432" s="1">
        <v>2025.0</v>
      </c>
      <c r="B1432" s="1" t="s">
        <v>133</v>
      </c>
      <c r="C1432" s="1">
        <v>663978.0</v>
      </c>
      <c r="D1432" s="1" t="s">
        <v>537</v>
      </c>
      <c r="E1432" s="1" t="s">
        <v>927</v>
      </c>
      <c r="F1432" s="1" t="s">
        <v>926</v>
      </c>
      <c r="G1432" s="1">
        <v>614.0</v>
      </c>
      <c r="H1432" s="1">
        <v>37.85095591</v>
      </c>
      <c r="I1432" s="1">
        <v>5.11</v>
      </c>
      <c r="J1432" s="1">
        <v>12.243221</v>
      </c>
    </row>
    <row r="1433">
      <c r="A1433" s="1">
        <v>2025.0</v>
      </c>
      <c r="B1433" s="1" t="s">
        <v>133</v>
      </c>
      <c r="C1433" s="1">
        <v>663978.0</v>
      </c>
      <c r="D1433" s="1" t="s">
        <v>536</v>
      </c>
      <c r="E1433" s="1" t="s">
        <v>927</v>
      </c>
      <c r="F1433" s="1" t="s">
        <v>926</v>
      </c>
      <c r="G1433" s="1">
        <v>11.0</v>
      </c>
      <c r="H1433" s="1">
        <v>0.678111588</v>
      </c>
      <c r="I1433" s="1">
        <v>5.55</v>
      </c>
      <c r="J1433" s="1">
        <v>0.124597</v>
      </c>
    </row>
    <row r="1434">
      <c r="A1434" s="1">
        <v>2025.0</v>
      </c>
      <c r="B1434" s="1" t="s">
        <v>133</v>
      </c>
      <c r="C1434" s="1">
        <v>663978.0</v>
      </c>
      <c r="D1434" s="1" t="s">
        <v>533</v>
      </c>
      <c r="E1434" s="1" t="s">
        <v>927</v>
      </c>
      <c r="F1434" s="1" t="s">
        <v>926</v>
      </c>
      <c r="G1434" s="1">
        <v>77.0</v>
      </c>
      <c r="H1434" s="1">
        <v>4.746781116</v>
      </c>
      <c r="I1434" s="1">
        <v>4.68</v>
      </c>
      <c r="J1434" s="1">
        <v>2.188197</v>
      </c>
    </row>
    <row r="1435">
      <c r="A1435" s="1">
        <v>2025.0</v>
      </c>
      <c r="B1435" s="1" t="s">
        <v>133</v>
      </c>
      <c r="C1435" s="1">
        <v>663978.0</v>
      </c>
      <c r="D1435" s="1" t="s">
        <v>532</v>
      </c>
      <c r="E1435" s="1" t="s">
        <v>927</v>
      </c>
      <c r="F1435" s="1" t="s">
        <v>927</v>
      </c>
      <c r="G1435" s="1">
        <v>180.0</v>
      </c>
      <c r="H1435" s="1">
        <v>11.09637144</v>
      </c>
      <c r="I1435" s="1">
        <v>5.41</v>
      </c>
      <c r="J1435" s="1">
        <v>2.375336</v>
      </c>
    </row>
    <row r="1436">
      <c r="A1436" s="1">
        <v>2025.0</v>
      </c>
      <c r="B1436" s="1" t="s">
        <v>133</v>
      </c>
      <c r="C1436" s="1">
        <v>663978.0</v>
      </c>
      <c r="D1436" s="1" t="s">
        <v>541</v>
      </c>
      <c r="E1436" s="1" t="s">
        <v>927</v>
      </c>
      <c r="F1436" s="1" t="s">
        <v>927</v>
      </c>
      <c r="G1436" s="1">
        <v>142.0</v>
      </c>
      <c r="H1436" s="1">
        <v>8.753804136</v>
      </c>
      <c r="I1436" s="1">
        <v>4.72</v>
      </c>
      <c r="J1436" s="1">
        <v>3.953923</v>
      </c>
    </row>
    <row r="1437">
      <c r="A1437" s="1">
        <v>2025.0</v>
      </c>
      <c r="B1437" s="1" t="s">
        <v>133</v>
      </c>
      <c r="C1437" s="1">
        <v>663978.0</v>
      </c>
      <c r="D1437" s="1" t="s">
        <v>540</v>
      </c>
      <c r="E1437" s="1" t="s">
        <v>927</v>
      </c>
      <c r="F1437" s="1" t="s">
        <v>927</v>
      </c>
      <c r="G1437" s="1">
        <v>92.0</v>
      </c>
      <c r="H1437" s="1">
        <v>5.671478736</v>
      </c>
      <c r="I1437" s="1">
        <v>5.1</v>
      </c>
      <c r="J1437" s="1">
        <v>1.838061</v>
      </c>
    </row>
    <row r="1438">
      <c r="A1438" s="1">
        <v>2025.0</v>
      </c>
      <c r="B1438" s="1" t="s">
        <v>133</v>
      </c>
      <c r="C1438" s="1">
        <v>663978.0</v>
      </c>
      <c r="D1438" s="1" t="s">
        <v>537</v>
      </c>
      <c r="E1438" s="1" t="s">
        <v>927</v>
      </c>
      <c r="F1438" s="1" t="s">
        <v>927</v>
      </c>
      <c r="G1438" s="1">
        <v>520.0</v>
      </c>
      <c r="H1438" s="1">
        <v>32.05618416</v>
      </c>
      <c r="I1438" s="1">
        <v>5.16</v>
      </c>
      <c r="J1438" s="1">
        <v>9.889788</v>
      </c>
    </row>
    <row r="1439">
      <c r="A1439" s="1">
        <v>2025.0</v>
      </c>
      <c r="B1439" s="1" t="s">
        <v>133</v>
      </c>
      <c r="C1439" s="1">
        <v>663978.0</v>
      </c>
      <c r="D1439" s="1" t="s">
        <v>536</v>
      </c>
      <c r="E1439" s="1" t="s">
        <v>927</v>
      </c>
      <c r="F1439" s="1" t="s">
        <v>927</v>
      </c>
      <c r="G1439" s="1">
        <v>102.0</v>
      </c>
      <c r="H1439" s="1">
        <v>6.287943816</v>
      </c>
      <c r="I1439" s="1">
        <v>5.24</v>
      </c>
      <c r="J1439" s="1">
        <v>1.843077</v>
      </c>
    </row>
    <row r="1440">
      <c r="A1440" s="1">
        <v>2025.0</v>
      </c>
      <c r="B1440" s="1" t="s">
        <v>133</v>
      </c>
      <c r="C1440" s="1">
        <v>663978.0</v>
      </c>
      <c r="D1440" s="1" t="s">
        <v>533</v>
      </c>
      <c r="E1440" s="1" t="s">
        <v>927</v>
      </c>
      <c r="F1440" s="1" t="s">
        <v>927</v>
      </c>
      <c r="G1440" s="1">
        <v>154.0</v>
      </c>
      <c r="H1440" s="1">
        <v>9.493562232</v>
      </c>
      <c r="I1440" s="1">
        <v>5.25</v>
      </c>
      <c r="J1440" s="1">
        <v>2.614796</v>
      </c>
    </row>
    <row r="1441">
      <c r="A1441" s="1">
        <v>2025.0</v>
      </c>
      <c r="B1441" s="1" t="s">
        <v>665</v>
      </c>
      <c r="C1441" s="1">
        <v>688297.0</v>
      </c>
      <c r="D1441" s="1" t="s">
        <v>540</v>
      </c>
      <c r="E1441" s="1" t="s">
        <v>927</v>
      </c>
      <c r="F1441" s="1" t="s">
        <v>926</v>
      </c>
      <c r="G1441" s="1">
        <v>23.0</v>
      </c>
      <c r="H1441" s="1">
        <v>1.20642978</v>
      </c>
      <c r="I1441" s="1">
        <v>4.32</v>
      </c>
      <c r="J1441" s="1">
        <v>0.844202</v>
      </c>
    </row>
    <row r="1442">
      <c r="A1442" s="1">
        <v>2025.0</v>
      </c>
      <c r="B1442" s="1" t="s">
        <v>665</v>
      </c>
      <c r="C1442" s="1">
        <v>688297.0</v>
      </c>
      <c r="D1442" s="1" t="s">
        <v>537</v>
      </c>
      <c r="E1442" s="1" t="s">
        <v>927</v>
      </c>
      <c r="F1442" s="1" t="s">
        <v>926</v>
      </c>
      <c r="G1442" s="1">
        <v>78.0</v>
      </c>
      <c r="H1442" s="1">
        <v>4.091370558</v>
      </c>
      <c r="I1442" s="1">
        <v>4.22</v>
      </c>
      <c r="J1442" s="1">
        <v>2.975339</v>
      </c>
    </row>
    <row r="1443">
      <c r="A1443" s="1">
        <v>2025.0</v>
      </c>
      <c r="B1443" s="1" t="s">
        <v>665</v>
      </c>
      <c r="C1443" s="1">
        <v>688297.0</v>
      </c>
      <c r="D1443" s="1" t="s">
        <v>536</v>
      </c>
      <c r="E1443" s="1" t="s">
        <v>927</v>
      </c>
      <c r="F1443" s="1" t="s">
        <v>926</v>
      </c>
      <c r="G1443" s="1">
        <v>43.0</v>
      </c>
      <c r="H1443" s="1">
        <v>2.255499154</v>
      </c>
      <c r="I1443" s="1">
        <v>5.02</v>
      </c>
      <c r="J1443" s="1">
        <v>0.912056</v>
      </c>
    </row>
    <row r="1444">
      <c r="A1444" s="1">
        <v>2025.0</v>
      </c>
      <c r="B1444" s="1" t="s">
        <v>665</v>
      </c>
      <c r="C1444" s="1">
        <v>688297.0</v>
      </c>
      <c r="D1444" s="1" t="s">
        <v>539</v>
      </c>
      <c r="E1444" s="1" t="s">
        <v>927</v>
      </c>
      <c r="F1444" s="1" t="s">
        <v>926</v>
      </c>
      <c r="G1444" s="1">
        <v>3.0</v>
      </c>
      <c r="H1444" s="1">
        <v>0.157360406</v>
      </c>
      <c r="I1444" s="1">
        <v>5.61</v>
      </c>
      <c r="J1444" s="1">
        <v>0.026095</v>
      </c>
    </row>
    <row r="1445">
      <c r="A1445" s="1">
        <v>2025.0</v>
      </c>
      <c r="B1445" s="1" t="s">
        <v>665</v>
      </c>
      <c r="C1445" s="1">
        <v>688297.0</v>
      </c>
      <c r="D1445" s="1" t="s">
        <v>540</v>
      </c>
      <c r="E1445" s="1" t="s">
        <v>927</v>
      </c>
      <c r="F1445" s="1" t="s">
        <v>927</v>
      </c>
      <c r="G1445" s="1">
        <v>63.0</v>
      </c>
      <c r="H1445" s="1">
        <v>3.304568528</v>
      </c>
      <c r="I1445" s="1">
        <v>4.9</v>
      </c>
      <c r="J1445" s="1">
        <v>1.4564</v>
      </c>
    </row>
    <row r="1446">
      <c r="A1446" s="1">
        <v>2025.0</v>
      </c>
      <c r="B1446" s="1" t="s">
        <v>665</v>
      </c>
      <c r="C1446" s="1">
        <v>688297.0</v>
      </c>
      <c r="D1446" s="1" t="s">
        <v>537</v>
      </c>
      <c r="E1446" s="1" t="s">
        <v>927</v>
      </c>
      <c r="F1446" s="1" t="s">
        <v>927</v>
      </c>
      <c r="G1446" s="1">
        <v>33.0</v>
      </c>
      <c r="H1446" s="1">
        <v>1.730964467</v>
      </c>
      <c r="I1446" s="1">
        <v>4.97</v>
      </c>
      <c r="J1446" s="1">
        <v>0.752139</v>
      </c>
    </row>
    <row r="1447">
      <c r="A1447" s="1">
        <v>2025.0</v>
      </c>
      <c r="B1447" s="1" t="s">
        <v>665</v>
      </c>
      <c r="C1447" s="1">
        <v>688297.0</v>
      </c>
      <c r="D1447" s="1" t="s">
        <v>536</v>
      </c>
      <c r="E1447" s="1" t="s">
        <v>927</v>
      </c>
      <c r="F1447" s="1" t="s">
        <v>927</v>
      </c>
      <c r="G1447" s="1">
        <v>148.0</v>
      </c>
      <c r="H1447" s="1">
        <v>7.763113367</v>
      </c>
      <c r="I1447" s="1">
        <v>4.98</v>
      </c>
      <c r="J1447" s="1">
        <v>3.322996</v>
      </c>
    </row>
    <row r="1448">
      <c r="A1448" s="1">
        <v>2025.0</v>
      </c>
      <c r="B1448" s="1" t="s">
        <v>665</v>
      </c>
      <c r="C1448" s="1">
        <v>688297.0</v>
      </c>
      <c r="D1448" s="1" t="s">
        <v>539</v>
      </c>
      <c r="E1448" s="1" t="s">
        <v>927</v>
      </c>
      <c r="F1448" s="1" t="s">
        <v>927</v>
      </c>
      <c r="G1448" s="1">
        <v>3.0</v>
      </c>
      <c r="H1448" s="1">
        <v>0.157360406</v>
      </c>
      <c r="I1448" s="1">
        <v>5.08</v>
      </c>
      <c r="J1448" s="1">
        <v>0.06268</v>
      </c>
    </row>
    <row r="1449">
      <c r="A1449" s="1">
        <v>2025.0</v>
      </c>
      <c r="B1449" s="1" t="s">
        <v>156</v>
      </c>
      <c r="C1449" s="1">
        <v>519242.0</v>
      </c>
      <c r="D1449" s="1" t="s">
        <v>532</v>
      </c>
      <c r="E1449" s="1" t="s">
        <v>926</v>
      </c>
      <c r="F1449" s="1" t="s">
        <v>926</v>
      </c>
      <c r="G1449" s="1">
        <v>8.0</v>
      </c>
      <c r="H1449" s="1">
        <v>0.495238095</v>
      </c>
      <c r="I1449" s="1">
        <v>4.79</v>
      </c>
      <c r="J1449" s="1">
        <v>0.215989</v>
      </c>
    </row>
    <row r="1450">
      <c r="A1450" s="1">
        <v>2025.0</v>
      </c>
      <c r="B1450" s="1" t="s">
        <v>156</v>
      </c>
      <c r="C1450" s="1">
        <v>519242.0</v>
      </c>
      <c r="D1450" s="1" t="s">
        <v>537</v>
      </c>
      <c r="E1450" s="1" t="s">
        <v>926</v>
      </c>
      <c r="F1450" s="1" t="s">
        <v>926</v>
      </c>
      <c r="G1450" s="1">
        <v>119.0</v>
      </c>
      <c r="H1450" s="1">
        <v>7.366666667</v>
      </c>
      <c r="I1450" s="1">
        <v>5.13</v>
      </c>
      <c r="J1450" s="1">
        <v>2.282757</v>
      </c>
    </row>
    <row r="1451">
      <c r="A1451" s="1">
        <v>2025.0</v>
      </c>
      <c r="B1451" s="1" t="s">
        <v>156</v>
      </c>
      <c r="C1451" s="1">
        <v>519242.0</v>
      </c>
      <c r="D1451" s="1" t="s">
        <v>536</v>
      </c>
      <c r="E1451" s="1" t="s">
        <v>926</v>
      </c>
      <c r="F1451" s="1" t="s">
        <v>926</v>
      </c>
      <c r="G1451" s="1">
        <v>56.0</v>
      </c>
      <c r="H1451" s="1">
        <v>3.466666667</v>
      </c>
      <c r="I1451" s="1">
        <v>5.94</v>
      </c>
      <c r="J1451" s="1">
        <v>0.212743</v>
      </c>
    </row>
    <row r="1452">
      <c r="A1452" s="1">
        <v>2025.0</v>
      </c>
      <c r="B1452" s="1" t="s">
        <v>156</v>
      </c>
      <c r="C1452" s="1">
        <v>519242.0</v>
      </c>
      <c r="D1452" s="1" t="s">
        <v>533</v>
      </c>
      <c r="E1452" s="1" t="s">
        <v>926</v>
      </c>
      <c r="F1452" s="1" t="s">
        <v>926</v>
      </c>
      <c r="G1452" s="1">
        <v>192.0</v>
      </c>
      <c r="H1452" s="1">
        <v>11.88571429</v>
      </c>
      <c r="I1452" s="1">
        <v>5.24</v>
      </c>
      <c r="J1452" s="1">
        <v>3.142292</v>
      </c>
    </row>
    <row r="1453">
      <c r="A1453" s="1">
        <v>2025.0</v>
      </c>
      <c r="B1453" s="1" t="s">
        <v>156</v>
      </c>
      <c r="C1453" s="1">
        <v>519242.0</v>
      </c>
      <c r="D1453" s="1" t="s">
        <v>532</v>
      </c>
      <c r="E1453" s="1" t="s">
        <v>926</v>
      </c>
      <c r="F1453" s="1" t="s">
        <v>927</v>
      </c>
      <c r="G1453" s="1">
        <v>142.0</v>
      </c>
      <c r="H1453" s="1">
        <v>8.79047619</v>
      </c>
      <c r="I1453" s="1">
        <v>4.87</v>
      </c>
      <c r="J1453" s="1">
        <v>3.532124</v>
      </c>
    </row>
    <row r="1454">
      <c r="A1454" s="1">
        <v>2025.0</v>
      </c>
      <c r="B1454" s="1" t="s">
        <v>156</v>
      </c>
      <c r="C1454" s="1">
        <v>519242.0</v>
      </c>
      <c r="D1454" s="1" t="s">
        <v>537</v>
      </c>
      <c r="E1454" s="1" t="s">
        <v>926</v>
      </c>
      <c r="F1454" s="1" t="s">
        <v>927</v>
      </c>
      <c r="G1454" s="1">
        <v>730.0</v>
      </c>
      <c r="H1454" s="1">
        <v>45.19047619</v>
      </c>
      <c r="I1454" s="1">
        <v>5.02</v>
      </c>
      <c r="J1454" s="1">
        <v>15.919281</v>
      </c>
    </row>
    <row r="1455">
      <c r="A1455" s="1">
        <v>2025.0</v>
      </c>
      <c r="B1455" s="1" t="s">
        <v>156</v>
      </c>
      <c r="C1455" s="1">
        <v>519242.0</v>
      </c>
      <c r="D1455" s="1" t="s">
        <v>536</v>
      </c>
      <c r="E1455" s="1" t="s">
        <v>926</v>
      </c>
      <c r="F1455" s="1" t="s">
        <v>927</v>
      </c>
      <c r="G1455" s="1">
        <v>15.0</v>
      </c>
      <c r="H1455" s="1">
        <v>0.928571429</v>
      </c>
      <c r="I1455" s="1">
        <v>4.48</v>
      </c>
      <c r="J1455" s="1">
        <v>0.49262</v>
      </c>
    </row>
    <row r="1456">
      <c r="A1456" s="1">
        <v>2025.0</v>
      </c>
      <c r="B1456" s="1" t="s">
        <v>156</v>
      </c>
      <c r="C1456" s="1">
        <v>519242.0</v>
      </c>
      <c r="D1456" s="1" t="s">
        <v>533</v>
      </c>
      <c r="E1456" s="1" t="s">
        <v>926</v>
      </c>
      <c r="F1456" s="1" t="s">
        <v>927</v>
      </c>
      <c r="G1456" s="1">
        <v>768.0</v>
      </c>
      <c r="H1456" s="1">
        <v>47.54285714</v>
      </c>
      <c r="I1456" s="1">
        <v>5.19</v>
      </c>
      <c r="J1456" s="1">
        <v>13.547831</v>
      </c>
    </row>
    <row r="1457">
      <c r="A1457" s="1">
        <v>2025.0</v>
      </c>
      <c r="B1457" s="1" t="s">
        <v>726</v>
      </c>
      <c r="C1457" s="1">
        <v>608717.0</v>
      </c>
      <c r="D1457" s="1" t="s">
        <v>532</v>
      </c>
      <c r="E1457" s="1" t="s">
        <v>927</v>
      </c>
      <c r="F1457" s="1" t="s">
        <v>926</v>
      </c>
      <c r="G1457" s="1">
        <v>54.0</v>
      </c>
      <c r="H1457" s="1">
        <v>2.759124088</v>
      </c>
      <c r="I1457" s="1">
        <v>4.7</v>
      </c>
      <c r="J1457" s="1">
        <v>1.473531</v>
      </c>
    </row>
    <row r="1458">
      <c r="A1458" s="1">
        <v>2025.0</v>
      </c>
      <c r="B1458" s="1" t="s">
        <v>726</v>
      </c>
      <c r="C1458" s="1">
        <v>608717.0</v>
      </c>
      <c r="D1458" s="1" t="s">
        <v>541</v>
      </c>
      <c r="E1458" s="1" t="s">
        <v>927</v>
      </c>
      <c r="F1458" s="1" t="s">
        <v>926</v>
      </c>
      <c r="G1458" s="1">
        <v>52.0</v>
      </c>
      <c r="H1458" s="1">
        <v>2.656934307</v>
      </c>
      <c r="I1458" s="1">
        <v>4.97</v>
      </c>
      <c r="J1458" s="1">
        <v>1.15119</v>
      </c>
    </row>
    <row r="1459">
      <c r="A1459" s="1">
        <v>2025.0</v>
      </c>
      <c r="B1459" s="1" t="s">
        <v>726</v>
      </c>
      <c r="C1459" s="1">
        <v>608717.0</v>
      </c>
      <c r="D1459" s="1" t="s">
        <v>537</v>
      </c>
      <c r="E1459" s="1" t="s">
        <v>927</v>
      </c>
      <c r="F1459" s="1" t="s">
        <v>926</v>
      </c>
      <c r="G1459" s="1">
        <v>91.0</v>
      </c>
      <c r="H1459" s="1">
        <v>4.649635036</v>
      </c>
      <c r="I1459" s="1">
        <v>4.39</v>
      </c>
      <c r="J1459" s="1">
        <v>3.09466</v>
      </c>
    </row>
    <row r="1460">
      <c r="A1460" s="1">
        <v>2025.0</v>
      </c>
      <c r="B1460" s="1" t="s">
        <v>726</v>
      </c>
      <c r="C1460" s="1">
        <v>608717.0</v>
      </c>
      <c r="D1460" s="1" t="s">
        <v>536</v>
      </c>
      <c r="E1460" s="1" t="s">
        <v>927</v>
      </c>
      <c r="F1460" s="1" t="s">
        <v>926</v>
      </c>
      <c r="G1460" s="1">
        <v>1.0</v>
      </c>
      <c r="H1460" s="1">
        <v>0.051094891</v>
      </c>
      <c r="I1460" s="1">
        <v>4.29</v>
      </c>
      <c r="J1460" s="1">
        <v>0.040637</v>
      </c>
    </row>
    <row r="1461">
      <c r="A1461" s="1">
        <v>2025.0</v>
      </c>
      <c r="B1461" s="1" t="s">
        <v>726</v>
      </c>
      <c r="C1461" s="1">
        <v>608717.0</v>
      </c>
      <c r="D1461" s="1" t="s">
        <v>533</v>
      </c>
      <c r="E1461" s="1" t="s">
        <v>927</v>
      </c>
      <c r="F1461" s="1" t="s">
        <v>926</v>
      </c>
      <c r="G1461" s="1">
        <v>3.0</v>
      </c>
      <c r="H1461" s="1">
        <v>0.153284672</v>
      </c>
      <c r="I1461" s="1">
        <v>5.95</v>
      </c>
      <c r="J1461" s="1">
        <v>-4.44E-4</v>
      </c>
    </row>
    <row r="1462">
      <c r="A1462" s="1">
        <v>2025.0</v>
      </c>
      <c r="B1462" s="1" t="s">
        <v>726</v>
      </c>
      <c r="C1462" s="1">
        <v>608717.0</v>
      </c>
      <c r="D1462" s="1" t="s">
        <v>539</v>
      </c>
      <c r="E1462" s="1" t="s">
        <v>927</v>
      </c>
      <c r="F1462" s="1" t="s">
        <v>926</v>
      </c>
      <c r="G1462" s="1">
        <v>1.0</v>
      </c>
      <c r="H1462" s="1">
        <v>0.051094891</v>
      </c>
      <c r="I1462" s="1">
        <v>4.7</v>
      </c>
      <c r="J1462" s="1">
        <v>0.02435</v>
      </c>
    </row>
    <row r="1463">
      <c r="A1463" s="1">
        <v>2025.0</v>
      </c>
      <c r="B1463" s="1" t="s">
        <v>726</v>
      </c>
      <c r="C1463" s="1">
        <v>608717.0</v>
      </c>
      <c r="D1463" s="1" t="s">
        <v>532</v>
      </c>
      <c r="E1463" s="1" t="s">
        <v>927</v>
      </c>
      <c r="F1463" s="1" t="s">
        <v>927</v>
      </c>
      <c r="G1463" s="1">
        <v>21.0</v>
      </c>
      <c r="H1463" s="1">
        <v>1.072992701</v>
      </c>
      <c r="I1463" s="1">
        <v>5.12</v>
      </c>
      <c r="J1463" s="1">
        <v>0.374766</v>
      </c>
    </row>
    <row r="1464">
      <c r="A1464" s="1">
        <v>2025.0</v>
      </c>
      <c r="B1464" s="1" t="s">
        <v>726</v>
      </c>
      <c r="C1464" s="1">
        <v>608717.0</v>
      </c>
      <c r="D1464" s="1" t="s">
        <v>541</v>
      </c>
      <c r="E1464" s="1" t="s">
        <v>927</v>
      </c>
      <c r="F1464" s="1" t="s">
        <v>927</v>
      </c>
      <c r="G1464" s="1">
        <v>33.0</v>
      </c>
      <c r="H1464" s="1">
        <v>1.686131387</v>
      </c>
      <c r="I1464" s="1">
        <v>5.34</v>
      </c>
      <c r="J1464" s="1">
        <v>0.491867</v>
      </c>
    </row>
    <row r="1465">
      <c r="A1465" s="1">
        <v>2025.0</v>
      </c>
      <c r="B1465" s="1" t="s">
        <v>726</v>
      </c>
      <c r="C1465" s="1">
        <v>608717.0</v>
      </c>
      <c r="D1465" s="1" t="s">
        <v>537</v>
      </c>
      <c r="E1465" s="1" t="s">
        <v>927</v>
      </c>
      <c r="F1465" s="1" t="s">
        <v>927</v>
      </c>
      <c r="G1465" s="1">
        <v>75.0</v>
      </c>
      <c r="H1465" s="1">
        <v>3.832116788</v>
      </c>
      <c r="I1465" s="1">
        <v>4.78</v>
      </c>
      <c r="J1465" s="1">
        <v>2.030127</v>
      </c>
    </row>
    <row r="1466">
      <c r="A1466" s="1">
        <v>2025.0</v>
      </c>
      <c r="B1466" s="1" t="s">
        <v>726</v>
      </c>
      <c r="C1466" s="1">
        <v>608717.0</v>
      </c>
      <c r="D1466" s="1" t="s">
        <v>536</v>
      </c>
      <c r="E1466" s="1" t="s">
        <v>927</v>
      </c>
      <c r="F1466" s="1" t="s">
        <v>927</v>
      </c>
      <c r="G1466" s="1">
        <v>10.0</v>
      </c>
      <c r="H1466" s="1">
        <v>0.510948905</v>
      </c>
      <c r="I1466" s="1">
        <v>5.5</v>
      </c>
      <c r="J1466" s="1">
        <v>0.125821</v>
      </c>
    </row>
    <row r="1467">
      <c r="A1467" s="1">
        <v>2025.0</v>
      </c>
      <c r="B1467" s="1" t="s">
        <v>726</v>
      </c>
      <c r="C1467" s="1">
        <v>608717.0</v>
      </c>
      <c r="D1467" s="1" t="s">
        <v>533</v>
      </c>
      <c r="E1467" s="1" t="s">
        <v>927</v>
      </c>
      <c r="F1467" s="1" t="s">
        <v>927</v>
      </c>
      <c r="G1467" s="1">
        <v>68.0</v>
      </c>
      <c r="H1467" s="1">
        <v>3.474452555</v>
      </c>
      <c r="I1467" s="1">
        <v>4.87</v>
      </c>
      <c r="J1467" s="1">
        <v>1.660477</v>
      </c>
    </row>
    <row r="1468">
      <c r="A1468" s="1">
        <v>2025.0</v>
      </c>
      <c r="B1468" s="1" t="s">
        <v>726</v>
      </c>
      <c r="C1468" s="1">
        <v>608717.0</v>
      </c>
      <c r="D1468" s="1" t="s">
        <v>539</v>
      </c>
      <c r="E1468" s="1" t="s">
        <v>927</v>
      </c>
      <c r="F1468" s="1" t="s">
        <v>927</v>
      </c>
      <c r="G1468" s="1">
        <v>2.0</v>
      </c>
      <c r="H1468" s="1">
        <v>0.102189781</v>
      </c>
      <c r="I1468" s="1">
        <v>4.56</v>
      </c>
      <c r="J1468" s="1">
        <v>0.052956</v>
      </c>
    </row>
    <row r="1469">
      <c r="A1469" s="1">
        <v>2025.0</v>
      </c>
      <c r="B1469" s="1" t="s">
        <v>770</v>
      </c>
      <c r="C1469" s="1">
        <v>683766.0</v>
      </c>
      <c r="D1469" s="1" t="s">
        <v>537</v>
      </c>
      <c r="E1469" s="1" t="s">
        <v>927</v>
      </c>
      <c r="F1469" s="1" t="s">
        <v>927</v>
      </c>
      <c r="G1469" s="1">
        <v>3.0</v>
      </c>
      <c r="H1469" s="1">
        <v>2.4</v>
      </c>
      <c r="I1469" s="1">
        <v>5.12</v>
      </c>
      <c r="J1469" s="1">
        <v>0.05486</v>
      </c>
    </row>
    <row r="1470">
      <c r="A1470" s="1">
        <v>2025.0</v>
      </c>
      <c r="B1470" s="1" t="s">
        <v>770</v>
      </c>
      <c r="C1470" s="1">
        <v>683766.0</v>
      </c>
      <c r="D1470" s="1" t="s">
        <v>928</v>
      </c>
      <c r="E1470" s="1" t="s">
        <v>927</v>
      </c>
      <c r="F1470" s="1" t="s">
        <v>927</v>
      </c>
      <c r="G1470" s="1">
        <v>2.0</v>
      </c>
      <c r="H1470" s="1">
        <v>1.6</v>
      </c>
      <c r="I1470" s="1">
        <v>3.79</v>
      </c>
      <c r="J1470" s="1">
        <v>0.090703</v>
      </c>
    </row>
    <row r="1471">
      <c r="A1471" s="1">
        <v>2025.0</v>
      </c>
      <c r="B1471" s="1" t="s">
        <v>868</v>
      </c>
      <c r="C1471" s="1">
        <v>801216.0</v>
      </c>
      <c r="D1471" s="1" t="s">
        <v>532</v>
      </c>
      <c r="E1471" s="1" t="s">
        <v>927</v>
      </c>
      <c r="F1471" s="1" t="s">
        <v>926</v>
      </c>
      <c r="G1471" s="1">
        <v>4.0</v>
      </c>
      <c r="H1471" s="1">
        <v>0.231884058</v>
      </c>
      <c r="I1471" s="1">
        <v>4.82</v>
      </c>
      <c r="J1471" s="1">
        <v>0.099806</v>
      </c>
    </row>
    <row r="1472">
      <c r="A1472" s="1">
        <v>2025.0</v>
      </c>
      <c r="B1472" s="1" t="s">
        <v>868</v>
      </c>
      <c r="C1472" s="1">
        <v>801216.0</v>
      </c>
      <c r="D1472" s="1" t="s">
        <v>537</v>
      </c>
      <c r="E1472" s="1" t="s">
        <v>927</v>
      </c>
      <c r="F1472" s="1" t="s">
        <v>926</v>
      </c>
      <c r="G1472" s="1">
        <v>10.0</v>
      </c>
      <c r="H1472" s="1">
        <v>0.579710145</v>
      </c>
      <c r="I1472" s="1">
        <v>5.13</v>
      </c>
      <c r="J1472" s="1">
        <v>0.187539</v>
      </c>
    </row>
    <row r="1473">
      <c r="A1473" s="1">
        <v>2025.0</v>
      </c>
      <c r="B1473" s="1" t="s">
        <v>868</v>
      </c>
      <c r="C1473" s="1">
        <v>801216.0</v>
      </c>
      <c r="D1473" s="1" t="s">
        <v>536</v>
      </c>
      <c r="E1473" s="1" t="s">
        <v>927</v>
      </c>
      <c r="F1473" s="1" t="s">
        <v>926</v>
      </c>
      <c r="G1473" s="1">
        <v>1.0</v>
      </c>
      <c r="H1473" s="1">
        <v>0.057971014</v>
      </c>
      <c r="I1473" s="1">
        <v>4.21</v>
      </c>
      <c r="J1473" s="1">
        <v>0.038128</v>
      </c>
    </row>
    <row r="1474">
      <c r="A1474" s="1">
        <v>2025.0</v>
      </c>
      <c r="B1474" s="1" t="s">
        <v>868</v>
      </c>
      <c r="C1474" s="1">
        <v>801216.0</v>
      </c>
      <c r="D1474" s="1" t="s">
        <v>533</v>
      </c>
      <c r="E1474" s="1" t="s">
        <v>927</v>
      </c>
      <c r="F1474" s="1" t="s">
        <v>926</v>
      </c>
      <c r="G1474" s="1">
        <v>6.0</v>
      </c>
      <c r="H1474" s="1">
        <v>0.347826087</v>
      </c>
      <c r="I1474" s="1">
        <v>5.98</v>
      </c>
      <c r="J1474" s="1">
        <v>0.024363</v>
      </c>
    </row>
    <row r="1475">
      <c r="A1475" s="1">
        <v>2025.0</v>
      </c>
      <c r="B1475" s="1" t="s">
        <v>868</v>
      </c>
      <c r="C1475" s="1">
        <v>801216.0</v>
      </c>
      <c r="D1475" s="1" t="s">
        <v>537</v>
      </c>
      <c r="E1475" s="1" t="s">
        <v>927</v>
      </c>
      <c r="F1475" s="1" t="s">
        <v>927</v>
      </c>
      <c r="G1475" s="1">
        <v>6.0</v>
      </c>
      <c r="H1475" s="1">
        <v>0.347826087</v>
      </c>
      <c r="I1475" s="1">
        <v>3.28</v>
      </c>
      <c r="J1475" s="1">
        <v>0.32978</v>
      </c>
    </row>
    <row r="1476">
      <c r="A1476" s="1">
        <v>2025.0</v>
      </c>
      <c r="B1476" s="1" t="s">
        <v>868</v>
      </c>
      <c r="C1476" s="1">
        <v>801216.0</v>
      </c>
      <c r="D1476" s="1" t="s">
        <v>536</v>
      </c>
      <c r="E1476" s="1" t="s">
        <v>927</v>
      </c>
      <c r="F1476" s="1" t="s">
        <v>927</v>
      </c>
      <c r="G1476" s="1">
        <v>11.0</v>
      </c>
      <c r="H1476" s="1">
        <v>0.637681159</v>
      </c>
      <c r="I1476" s="1">
        <v>5.16</v>
      </c>
      <c r="J1476" s="1">
        <v>0.219896</v>
      </c>
    </row>
    <row r="1477">
      <c r="A1477" s="1">
        <v>2025.0</v>
      </c>
      <c r="B1477" s="1" t="s">
        <v>868</v>
      </c>
      <c r="C1477" s="1">
        <v>801216.0</v>
      </c>
      <c r="D1477" s="1" t="s">
        <v>533</v>
      </c>
      <c r="E1477" s="1" t="s">
        <v>927</v>
      </c>
      <c r="F1477" s="1" t="s">
        <v>927</v>
      </c>
      <c r="G1477" s="1">
        <v>8.0</v>
      </c>
      <c r="H1477" s="1">
        <v>0.463768116</v>
      </c>
      <c r="I1477" s="1">
        <v>5.58</v>
      </c>
      <c r="J1477" s="1">
        <v>0.077027</v>
      </c>
    </row>
    <row r="1478">
      <c r="A1478" s="1">
        <v>2025.0</v>
      </c>
      <c r="B1478" s="1" t="s">
        <v>948</v>
      </c>
      <c r="C1478" s="1">
        <v>685005.0</v>
      </c>
      <c r="D1478" s="1" t="s">
        <v>532</v>
      </c>
      <c r="E1478" s="1" t="s">
        <v>927</v>
      </c>
      <c r="F1478" s="1" t="s">
        <v>926</v>
      </c>
      <c r="G1478" s="1">
        <v>3.0</v>
      </c>
      <c r="H1478" s="1">
        <v>0.219512195</v>
      </c>
      <c r="I1478" s="1">
        <v>4.06</v>
      </c>
      <c r="J1478" s="1">
        <v>0.114534</v>
      </c>
    </row>
    <row r="1479">
      <c r="A1479" s="1">
        <v>2025.0</v>
      </c>
      <c r="B1479" s="1" t="s">
        <v>948</v>
      </c>
      <c r="C1479" s="1">
        <v>685005.0</v>
      </c>
      <c r="D1479" s="1" t="s">
        <v>537</v>
      </c>
      <c r="E1479" s="1" t="s">
        <v>927</v>
      </c>
      <c r="F1479" s="1" t="s">
        <v>926</v>
      </c>
      <c r="G1479" s="1">
        <v>5.0</v>
      </c>
      <c r="H1479" s="1">
        <v>0.365853659</v>
      </c>
      <c r="I1479" s="1">
        <v>3.48</v>
      </c>
      <c r="J1479" s="1">
        <v>0.256806</v>
      </c>
    </row>
    <row r="1480">
      <c r="A1480" s="1">
        <v>2025.0</v>
      </c>
      <c r="B1480" s="1" t="s">
        <v>948</v>
      </c>
      <c r="C1480" s="1">
        <v>685005.0</v>
      </c>
      <c r="D1480" s="1" t="s">
        <v>536</v>
      </c>
      <c r="E1480" s="1" t="s">
        <v>927</v>
      </c>
      <c r="F1480" s="1" t="s">
        <v>926</v>
      </c>
      <c r="G1480" s="1">
        <v>3.0</v>
      </c>
      <c r="H1480" s="1">
        <v>0.219512195</v>
      </c>
      <c r="I1480" s="1">
        <v>5.6</v>
      </c>
      <c r="J1480" s="1">
        <v>0.032796</v>
      </c>
    </row>
    <row r="1481">
      <c r="A1481" s="1">
        <v>2025.0</v>
      </c>
      <c r="B1481" s="1" t="s">
        <v>948</v>
      </c>
      <c r="C1481" s="1">
        <v>685005.0</v>
      </c>
      <c r="D1481" s="1" t="s">
        <v>533</v>
      </c>
      <c r="E1481" s="1" t="s">
        <v>927</v>
      </c>
      <c r="F1481" s="1" t="s">
        <v>926</v>
      </c>
      <c r="G1481" s="1">
        <v>5.0</v>
      </c>
      <c r="H1481" s="1">
        <v>0.365853659</v>
      </c>
      <c r="I1481" s="1">
        <v>4.21</v>
      </c>
      <c r="J1481" s="1">
        <v>0.176999</v>
      </c>
    </row>
    <row r="1482">
      <c r="A1482" s="1">
        <v>2025.0</v>
      </c>
      <c r="B1482" s="1" t="s">
        <v>948</v>
      </c>
      <c r="C1482" s="1">
        <v>685005.0</v>
      </c>
      <c r="D1482" s="1" t="s">
        <v>537</v>
      </c>
      <c r="E1482" s="1" t="s">
        <v>927</v>
      </c>
      <c r="F1482" s="1" t="s">
        <v>927</v>
      </c>
      <c r="G1482" s="1">
        <v>4.0</v>
      </c>
      <c r="H1482" s="1">
        <v>0.292682927</v>
      </c>
      <c r="I1482" s="1">
        <v>6.38</v>
      </c>
      <c r="J1482" s="1">
        <v>-0.043431</v>
      </c>
    </row>
    <row r="1483">
      <c r="A1483" s="1">
        <v>2025.0</v>
      </c>
      <c r="B1483" s="1" t="s">
        <v>948</v>
      </c>
      <c r="C1483" s="1">
        <v>685005.0</v>
      </c>
      <c r="D1483" s="1" t="s">
        <v>536</v>
      </c>
      <c r="E1483" s="1" t="s">
        <v>927</v>
      </c>
      <c r="F1483" s="1" t="s">
        <v>927</v>
      </c>
      <c r="G1483" s="1">
        <v>14.0</v>
      </c>
      <c r="H1483" s="1">
        <v>1.024390244</v>
      </c>
      <c r="I1483" s="1">
        <v>4.37</v>
      </c>
      <c r="J1483" s="1">
        <v>0.462095</v>
      </c>
    </row>
    <row r="1484">
      <c r="A1484" s="1">
        <v>2025.0</v>
      </c>
      <c r="B1484" s="1" t="s">
        <v>948</v>
      </c>
      <c r="C1484" s="1">
        <v>685005.0</v>
      </c>
      <c r="D1484" s="1" t="s">
        <v>533</v>
      </c>
      <c r="E1484" s="1" t="s">
        <v>927</v>
      </c>
      <c r="F1484" s="1" t="s">
        <v>927</v>
      </c>
      <c r="G1484" s="1">
        <v>7.0</v>
      </c>
      <c r="H1484" s="1">
        <v>0.512195122</v>
      </c>
      <c r="I1484" s="1">
        <v>3.35</v>
      </c>
      <c r="J1484" s="1">
        <v>0.361421</v>
      </c>
    </row>
    <row r="1485">
      <c r="A1485" s="1">
        <v>2025.0</v>
      </c>
      <c r="B1485" s="1" t="s">
        <v>817</v>
      </c>
      <c r="C1485" s="1">
        <v>672335.0</v>
      </c>
      <c r="D1485" s="1" t="s">
        <v>541</v>
      </c>
      <c r="E1485" s="1" t="s">
        <v>926</v>
      </c>
      <c r="F1485" s="1" t="s">
        <v>926</v>
      </c>
      <c r="G1485" s="1">
        <v>17.0</v>
      </c>
      <c r="H1485" s="1">
        <v>0.84286804</v>
      </c>
      <c r="I1485" s="1">
        <v>5.41</v>
      </c>
      <c r="J1485" s="1">
        <v>0.220335</v>
      </c>
    </row>
    <row r="1486">
      <c r="A1486" s="1">
        <v>2025.0</v>
      </c>
      <c r="B1486" s="1" t="s">
        <v>817</v>
      </c>
      <c r="C1486" s="1">
        <v>672335.0</v>
      </c>
      <c r="D1486" s="1" t="s">
        <v>540</v>
      </c>
      <c r="E1486" s="1" t="s">
        <v>926</v>
      </c>
      <c r="F1486" s="1" t="s">
        <v>926</v>
      </c>
      <c r="G1486" s="1">
        <v>8.0</v>
      </c>
      <c r="H1486" s="1">
        <v>0.396643783</v>
      </c>
      <c r="I1486" s="1">
        <v>5.9</v>
      </c>
      <c r="J1486" s="1">
        <v>0.022757</v>
      </c>
    </row>
    <row r="1487">
      <c r="A1487" s="1">
        <v>2025.0</v>
      </c>
      <c r="B1487" s="1" t="s">
        <v>817</v>
      </c>
      <c r="C1487" s="1">
        <v>672335.0</v>
      </c>
      <c r="D1487" s="1" t="s">
        <v>537</v>
      </c>
      <c r="E1487" s="1" t="s">
        <v>926</v>
      </c>
      <c r="F1487" s="1" t="s">
        <v>926</v>
      </c>
      <c r="G1487" s="1">
        <v>12.0</v>
      </c>
      <c r="H1487" s="1">
        <v>0.594965675</v>
      </c>
      <c r="I1487" s="1">
        <v>4.67</v>
      </c>
      <c r="J1487" s="1">
        <v>0.341604</v>
      </c>
    </row>
    <row r="1488">
      <c r="A1488" s="1">
        <v>2025.0</v>
      </c>
      <c r="B1488" s="1" t="s">
        <v>817</v>
      </c>
      <c r="C1488" s="1">
        <v>672335.0</v>
      </c>
      <c r="D1488" s="1" t="s">
        <v>536</v>
      </c>
      <c r="E1488" s="1" t="s">
        <v>926</v>
      </c>
      <c r="F1488" s="1" t="s">
        <v>926</v>
      </c>
      <c r="G1488" s="1">
        <v>89.0</v>
      </c>
      <c r="H1488" s="1">
        <v>4.41266209</v>
      </c>
      <c r="I1488" s="1">
        <v>4.96</v>
      </c>
      <c r="J1488" s="1">
        <v>2.025711</v>
      </c>
    </row>
    <row r="1489">
      <c r="A1489" s="1">
        <v>2025.0</v>
      </c>
      <c r="B1489" s="1" t="s">
        <v>817</v>
      </c>
      <c r="C1489" s="1">
        <v>672335.0</v>
      </c>
      <c r="D1489" s="1" t="s">
        <v>533</v>
      </c>
      <c r="E1489" s="1" t="s">
        <v>926</v>
      </c>
      <c r="F1489" s="1" t="s">
        <v>926</v>
      </c>
      <c r="G1489" s="1">
        <v>53.0</v>
      </c>
      <c r="H1489" s="1">
        <v>2.627765065</v>
      </c>
      <c r="I1489" s="1">
        <v>5.18</v>
      </c>
      <c r="J1489" s="1">
        <v>0.949873</v>
      </c>
    </row>
    <row r="1490">
      <c r="A1490" s="1">
        <v>2025.0</v>
      </c>
      <c r="B1490" s="1" t="s">
        <v>817</v>
      </c>
      <c r="C1490" s="1">
        <v>672335.0</v>
      </c>
      <c r="D1490" s="1" t="s">
        <v>541</v>
      </c>
      <c r="E1490" s="1" t="s">
        <v>926</v>
      </c>
      <c r="F1490" s="1" t="s">
        <v>927</v>
      </c>
      <c r="G1490" s="1">
        <v>51.0</v>
      </c>
      <c r="H1490" s="1">
        <v>2.528604119</v>
      </c>
      <c r="I1490" s="1">
        <v>5.41</v>
      </c>
      <c r="J1490" s="1">
        <v>0.679782</v>
      </c>
    </row>
    <row r="1491">
      <c r="A1491" s="1">
        <v>2025.0</v>
      </c>
      <c r="B1491" s="1" t="s">
        <v>817</v>
      </c>
      <c r="C1491" s="1">
        <v>672335.0</v>
      </c>
      <c r="D1491" s="1" t="s">
        <v>540</v>
      </c>
      <c r="E1491" s="1" t="s">
        <v>926</v>
      </c>
      <c r="F1491" s="1" t="s">
        <v>927</v>
      </c>
      <c r="G1491" s="1">
        <v>4.0</v>
      </c>
      <c r="H1491" s="1">
        <v>0.198321892</v>
      </c>
      <c r="I1491" s="1">
        <v>2.6</v>
      </c>
      <c r="J1491" s="1">
        <v>0.286298</v>
      </c>
    </row>
    <row r="1492">
      <c r="A1492" s="1">
        <v>2025.0</v>
      </c>
      <c r="B1492" s="1" t="s">
        <v>817</v>
      </c>
      <c r="C1492" s="1">
        <v>672335.0</v>
      </c>
      <c r="D1492" s="1" t="s">
        <v>537</v>
      </c>
      <c r="E1492" s="1" t="s">
        <v>926</v>
      </c>
      <c r="F1492" s="1" t="s">
        <v>927</v>
      </c>
      <c r="G1492" s="1">
        <v>37.0</v>
      </c>
      <c r="H1492" s="1">
        <v>1.834477498</v>
      </c>
      <c r="I1492" s="1">
        <v>4.63</v>
      </c>
      <c r="J1492" s="1">
        <v>1.110098</v>
      </c>
    </row>
    <row r="1493">
      <c r="A1493" s="1">
        <v>2025.0</v>
      </c>
      <c r="B1493" s="1" t="s">
        <v>817</v>
      </c>
      <c r="C1493" s="1">
        <v>672335.0</v>
      </c>
      <c r="D1493" s="1" t="s">
        <v>536</v>
      </c>
      <c r="E1493" s="1" t="s">
        <v>926</v>
      </c>
      <c r="F1493" s="1" t="s">
        <v>927</v>
      </c>
      <c r="G1493" s="1">
        <v>98.0</v>
      </c>
      <c r="H1493" s="1">
        <v>4.858886346</v>
      </c>
      <c r="I1493" s="1">
        <v>3.97</v>
      </c>
      <c r="J1493" s="1">
        <v>4.234691</v>
      </c>
    </row>
    <row r="1494">
      <c r="A1494" s="1">
        <v>2025.0</v>
      </c>
      <c r="B1494" s="1" t="s">
        <v>817</v>
      </c>
      <c r="C1494" s="1">
        <v>672335.0</v>
      </c>
      <c r="D1494" s="1" t="s">
        <v>533</v>
      </c>
      <c r="E1494" s="1" t="s">
        <v>926</v>
      </c>
      <c r="F1494" s="1" t="s">
        <v>927</v>
      </c>
      <c r="G1494" s="1">
        <v>68.0</v>
      </c>
      <c r="H1494" s="1">
        <v>3.371472159</v>
      </c>
      <c r="I1494" s="1">
        <v>4.96</v>
      </c>
      <c r="J1494" s="1">
        <v>1.522612</v>
      </c>
    </row>
    <row r="1495">
      <c r="A1495" s="1">
        <v>2025.0</v>
      </c>
      <c r="B1495" s="1" t="s">
        <v>408</v>
      </c>
      <c r="C1495" s="1">
        <v>657376.0</v>
      </c>
      <c r="D1495" s="1" t="s">
        <v>541</v>
      </c>
      <c r="E1495" s="1" t="s">
        <v>927</v>
      </c>
      <c r="F1495" s="1" t="s">
        <v>926</v>
      </c>
      <c r="G1495" s="1">
        <v>189.0</v>
      </c>
      <c r="H1495" s="1">
        <v>12.13714286</v>
      </c>
      <c r="I1495" s="1">
        <v>5.08</v>
      </c>
      <c r="J1495" s="1">
        <v>3.704683</v>
      </c>
    </row>
    <row r="1496">
      <c r="A1496" s="1">
        <v>2025.0</v>
      </c>
      <c r="B1496" s="1" t="s">
        <v>408</v>
      </c>
      <c r="C1496" s="1">
        <v>657376.0</v>
      </c>
      <c r="D1496" s="1" t="s">
        <v>540</v>
      </c>
      <c r="E1496" s="1" t="s">
        <v>927</v>
      </c>
      <c r="F1496" s="1" t="s">
        <v>926</v>
      </c>
      <c r="G1496" s="1">
        <v>286.0</v>
      </c>
      <c r="H1496" s="1">
        <v>18.3662585</v>
      </c>
      <c r="I1496" s="1">
        <v>4.76</v>
      </c>
      <c r="J1496" s="1">
        <v>7.827593</v>
      </c>
    </row>
    <row r="1497">
      <c r="A1497" s="1">
        <v>2025.0</v>
      </c>
      <c r="B1497" s="1" t="s">
        <v>408</v>
      </c>
      <c r="C1497" s="1">
        <v>657376.0</v>
      </c>
      <c r="D1497" s="1" t="s">
        <v>537</v>
      </c>
      <c r="E1497" s="1" t="s">
        <v>927</v>
      </c>
      <c r="F1497" s="1" t="s">
        <v>926</v>
      </c>
      <c r="G1497" s="1">
        <v>64.0</v>
      </c>
      <c r="H1497" s="1">
        <v>4.109931973</v>
      </c>
      <c r="I1497" s="1">
        <v>4.64</v>
      </c>
      <c r="J1497" s="1">
        <v>1.891995</v>
      </c>
    </row>
    <row r="1498">
      <c r="A1498" s="1">
        <v>2025.0</v>
      </c>
      <c r="B1498" s="1" t="s">
        <v>408</v>
      </c>
      <c r="C1498" s="1">
        <v>657376.0</v>
      </c>
      <c r="D1498" s="1" t="s">
        <v>536</v>
      </c>
      <c r="E1498" s="1" t="s">
        <v>927</v>
      </c>
      <c r="F1498" s="1" t="s">
        <v>926</v>
      </c>
      <c r="G1498" s="1">
        <v>36.0</v>
      </c>
      <c r="H1498" s="1">
        <v>2.311836735</v>
      </c>
      <c r="I1498" s="1">
        <v>4.58</v>
      </c>
      <c r="J1498" s="1">
        <v>1.128861</v>
      </c>
    </row>
    <row r="1499">
      <c r="A1499" s="1">
        <v>2025.0</v>
      </c>
      <c r="B1499" s="1" t="s">
        <v>408</v>
      </c>
      <c r="C1499" s="1">
        <v>657376.0</v>
      </c>
      <c r="D1499" s="1" t="s">
        <v>533</v>
      </c>
      <c r="E1499" s="1" t="s">
        <v>927</v>
      </c>
      <c r="F1499" s="1" t="s">
        <v>926</v>
      </c>
      <c r="G1499" s="1">
        <v>12.0</v>
      </c>
      <c r="H1499" s="1">
        <v>0.770612245</v>
      </c>
      <c r="I1499" s="1">
        <v>5.26</v>
      </c>
      <c r="J1499" s="1">
        <v>0.205162</v>
      </c>
    </row>
    <row r="1500">
      <c r="A1500" s="1">
        <v>2025.0</v>
      </c>
      <c r="B1500" s="1" t="s">
        <v>408</v>
      </c>
      <c r="C1500" s="1">
        <v>657376.0</v>
      </c>
      <c r="D1500" s="1" t="s">
        <v>539</v>
      </c>
      <c r="E1500" s="1" t="s">
        <v>927</v>
      </c>
      <c r="F1500" s="1" t="s">
        <v>926</v>
      </c>
      <c r="G1500" s="1">
        <v>58.0</v>
      </c>
      <c r="H1500" s="1">
        <v>3.72462585</v>
      </c>
      <c r="I1500" s="1">
        <v>4.89</v>
      </c>
      <c r="J1500" s="1">
        <v>1.413531</v>
      </c>
    </row>
    <row r="1501">
      <c r="A1501" s="1">
        <v>2025.0</v>
      </c>
      <c r="B1501" s="1" t="s">
        <v>408</v>
      </c>
      <c r="C1501" s="1">
        <v>657376.0</v>
      </c>
      <c r="D1501" s="1" t="s">
        <v>541</v>
      </c>
      <c r="E1501" s="1" t="s">
        <v>927</v>
      </c>
      <c r="F1501" s="1" t="s">
        <v>927</v>
      </c>
      <c r="G1501" s="1">
        <v>34.0</v>
      </c>
      <c r="H1501" s="1">
        <v>2.183401361</v>
      </c>
      <c r="I1501" s="1">
        <v>5.15</v>
      </c>
      <c r="J1501" s="1">
        <v>0.590468</v>
      </c>
    </row>
    <row r="1502">
      <c r="A1502" s="1">
        <v>2025.0</v>
      </c>
      <c r="B1502" s="1" t="s">
        <v>408</v>
      </c>
      <c r="C1502" s="1">
        <v>657376.0</v>
      </c>
      <c r="D1502" s="1" t="s">
        <v>540</v>
      </c>
      <c r="E1502" s="1" t="s">
        <v>927</v>
      </c>
      <c r="F1502" s="1" t="s">
        <v>927</v>
      </c>
      <c r="G1502" s="1">
        <v>210.0</v>
      </c>
      <c r="H1502" s="1">
        <v>13.48571429</v>
      </c>
      <c r="I1502" s="1">
        <v>4.95</v>
      </c>
      <c r="J1502" s="1">
        <v>4.938523</v>
      </c>
    </row>
    <row r="1503">
      <c r="A1503" s="1">
        <v>2025.0</v>
      </c>
      <c r="B1503" s="1" t="s">
        <v>408</v>
      </c>
      <c r="C1503" s="1">
        <v>657376.0</v>
      </c>
      <c r="D1503" s="1" t="s">
        <v>537</v>
      </c>
      <c r="E1503" s="1" t="s">
        <v>927</v>
      </c>
      <c r="F1503" s="1" t="s">
        <v>927</v>
      </c>
      <c r="G1503" s="1">
        <v>35.0</v>
      </c>
      <c r="H1503" s="1">
        <v>2.247619048</v>
      </c>
      <c r="I1503" s="1">
        <v>4.7</v>
      </c>
      <c r="J1503" s="1">
        <v>0.956116</v>
      </c>
    </row>
    <row r="1504">
      <c r="A1504" s="1">
        <v>2025.0</v>
      </c>
      <c r="B1504" s="1" t="s">
        <v>408</v>
      </c>
      <c r="C1504" s="1">
        <v>657376.0</v>
      </c>
      <c r="D1504" s="1" t="s">
        <v>536</v>
      </c>
      <c r="E1504" s="1" t="s">
        <v>927</v>
      </c>
      <c r="F1504" s="1" t="s">
        <v>927</v>
      </c>
      <c r="G1504" s="1">
        <v>64.0</v>
      </c>
      <c r="H1504" s="1">
        <v>4.109931973</v>
      </c>
      <c r="I1504" s="1">
        <v>4.52</v>
      </c>
      <c r="J1504" s="1">
        <v>2.099513</v>
      </c>
    </row>
    <row r="1505">
      <c r="A1505" s="1">
        <v>2025.0</v>
      </c>
      <c r="B1505" s="1" t="s">
        <v>408</v>
      </c>
      <c r="C1505" s="1">
        <v>657376.0</v>
      </c>
      <c r="D1505" s="1" t="s">
        <v>533</v>
      </c>
      <c r="E1505" s="1" t="s">
        <v>927</v>
      </c>
      <c r="F1505" s="1" t="s">
        <v>927</v>
      </c>
      <c r="G1505" s="1">
        <v>47.0</v>
      </c>
      <c r="H1505" s="1">
        <v>3.018231293</v>
      </c>
      <c r="I1505" s="1">
        <v>4.9</v>
      </c>
      <c r="J1505" s="1">
        <v>1.132532</v>
      </c>
    </row>
    <row r="1506">
      <c r="A1506" s="1">
        <v>2025.0</v>
      </c>
      <c r="B1506" s="1" t="s">
        <v>408</v>
      </c>
      <c r="C1506" s="1">
        <v>657376.0</v>
      </c>
      <c r="D1506" s="1" t="s">
        <v>539</v>
      </c>
      <c r="E1506" s="1" t="s">
        <v>927</v>
      </c>
      <c r="F1506" s="1" t="s">
        <v>927</v>
      </c>
      <c r="G1506" s="1">
        <v>190.0</v>
      </c>
      <c r="H1506" s="1">
        <v>12.20136054</v>
      </c>
      <c r="I1506" s="1">
        <v>5.37</v>
      </c>
      <c r="J1506" s="1">
        <v>2.643604</v>
      </c>
    </row>
    <row r="1507">
      <c r="A1507" s="1">
        <v>2025.0</v>
      </c>
      <c r="B1507" s="1" t="s">
        <v>269</v>
      </c>
      <c r="C1507" s="1">
        <v>605280.0</v>
      </c>
      <c r="D1507" s="1" t="s">
        <v>532</v>
      </c>
      <c r="E1507" s="1" t="s">
        <v>927</v>
      </c>
      <c r="F1507" s="1" t="s">
        <v>926</v>
      </c>
      <c r="G1507" s="1">
        <v>347.0</v>
      </c>
      <c r="H1507" s="1">
        <v>20.81329954</v>
      </c>
      <c r="I1507" s="1">
        <v>5.14</v>
      </c>
      <c r="J1507" s="1">
        <v>6.198354</v>
      </c>
    </row>
    <row r="1508">
      <c r="A1508" s="1">
        <v>2025.0</v>
      </c>
      <c r="B1508" s="1" t="s">
        <v>269</v>
      </c>
      <c r="C1508" s="1">
        <v>605280.0</v>
      </c>
      <c r="D1508" s="1" t="s">
        <v>540</v>
      </c>
      <c r="E1508" s="1" t="s">
        <v>927</v>
      </c>
      <c r="F1508" s="1" t="s">
        <v>926</v>
      </c>
      <c r="G1508" s="1">
        <v>180.0</v>
      </c>
      <c r="H1508" s="1">
        <v>10.79652426</v>
      </c>
      <c r="I1508" s="1">
        <v>4.45</v>
      </c>
      <c r="J1508" s="1">
        <v>5.944537</v>
      </c>
    </row>
    <row r="1509">
      <c r="A1509" s="1">
        <v>2025.0</v>
      </c>
      <c r="B1509" s="1" t="s">
        <v>269</v>
      </c>
      <c r="C1509" s="1">
        <v>605280.0</v>
      </c>
      <c r="D1509" s="1" t="s">
        <v>537</v>
      </c>
      <c r="E1509" s="1" t="s">
        <v>927</v>
      </c>
      <c r="F1509" s="1" t="s">
        <v>926</v>
      </c>
      <c r="G1509" s="1">
        <v>94.0</v>
      </c>
      <c r="H1509" s="1">
        <v>5.63818489</v>
      </c>
      <c r="I1509" s="1">
        <v>4.34</v>
      </c>
      <c r="J1509" s="1">
        <v>3.255988</v>
      </c>
    </row>
    <row r="1510">
      <c r="A1510" s="1">
        <v>2025.0</v>
      </c>
      <c r="B1510" s="1" t="s">
        <v>269</v>
      </c>
      <c r="C1510" s="1">
        <v>605280.0</v>
      </c>
      <c r="D1510" s="1" t="s">
        <v>536</v>
      </c>
      <c r="E1510" s="1" t="s">
        <v>927</v>
      </c>
      <c r="F1510" s="1" t="s">
        <v>926</v>
      </c>
      <c r="G1510" s="1">
        <v>557.0</v>
      </c>
      <c r="H1510" s="1">
        <v>33.40924451</v>
      </c>
      <c r="I1510" s="1">
        <v>5.01</v>
      </c>
      <c r="J1510" s="1">
        <v>12.264475</v>
      </c>
    </row>
    <row r="1511">
      <c r="A1511" s="1">
        <v>2025.0</v>
      </c>
      <c r="B1511" s="1" t="s">
        <v>269</v>
      </c>
      <c r="C1511" s="1">
        <v>605280.0</v>
      </c>
      <c r="D1511" s="1" t="s">
        <v>533</v>
      </c>
      <c r="E1511" s="1" t="s">
        <v>927</v>
      </c>
      <c r="F1511" s="1" t="s">
        <v>926</v>
      </c>
      <c r="G1511" s="1">
        <v>116.0</v>
      </c>
      <c r="H1511" s="1">
        <v>6.957760077</v>
      </c>
      <c r="I1511" s="1">
        <v>5.19</v>
      </c>
      <c r="J1511" s="1">
        <v>2.02422</v>
      </c>
    </row>
    <row r="1512">
      <c r="A1512" s="1">
        <v>2025.0</v>
      </c>
      <c r="B1512" s="1" t="s">
        <v>269</v>
      </c>
      <c r="C1512" s="1">
        <v>605280.0</v>
      </c>
      <c r="D1512" s="1" t="s">
        <v>539</v>
      </c>
      <c r="E1512" s="1" t="s">
        <v>927</v>
      </c>
      <c r="F1512" s="1" t="s">
        <v>926</v>
      </c>
      <c r="G1512" s="1">
        <v>207.0</v>
      </c>
      <c r="H1512" s="1">
        <v>12.4160029</v>
      </c>
      <c r="I1512" s="1">
        <v>5.04</v>
      </c>
      <c r="J1512" s="1">
        <v>4.275222</v>
      </c>
    </row>
    <row r="1513">
      <c r="A1513" s="1">
        <v>2025.0</v>
      </c>
      <c r="B1513" s="1" t="s">
        <v>269</v>
      </c>
      <c r="C1513" s="1">
        <v>605280.0</v>
      </c>
      <c r="D1513" s="1" t="s">
        <v>532</v>
      </c>
      <c r="E1513" s="1" t="s">
        <v>927</v>
      </c>
      <c r="F1513" s="1" t="s">
        <v>927</v>
      </c>
      <c r="G1513" s="1">
        <v>85.0</v>
      </c>
      <c r="H1513" s="1">
        <v>5.098358677</v>
      </c>
      <c r="I1513" s="1">
        <v>5.44</v>
      </c>
      <c r="J1513" s="1">
        <v>0.976739</v>
      </c>
    </row>
    <row r="1514">
      <c r="A1514" s="1">
        <v>2025.0</v>
      </c>
      <c r="B1514" s="1" t="s">
        <v>269</v>
      </c>
      <c r="C1514" s="1">
        <v>605280.0</v>
      </c>
      <c r="D1514" s="1" t="s">
        <v>540</v>
      </c>
      <c r="E1514" s="1" t="s">
        <v>927</v>
      </c>
      <c r="F1514" s="1" t="s">
        <v>927</v>
      </c>
      <c r="G1514" s="1">
        <v>48.0</v>
      </c>
      <c r="H1514" s="1">
        <v>2.879073135</v>
      </c>
      <c r="I1514" s="1">
        <v>4.49</v>
      </c>
      <c r="J1514" s="1">
        <v>1.55891</v>
      </c>
    </row>
    <row r="1515">
      <c r="A1515" s="1">
        <v>2025.0</v>
      </c>
      <c r="B1515" s="1" t="s">
        <v>269</v>
      </c>
      <c r="C1515" s="1">
        <v>605280.0</v>
      </c>
      <c r="D1515" s="1" t="s">
        <v>537</v>
      </c>
      <c r="E1515" s="1" t="s">
        <v>927</v>
      </c>
      <c r="F1515" s="1" t="s">
        <v>927</v>
      </c>
      <c r="G1515" s="1">
        <v>53.0</v>
      </c>
      <c r="H1515" s="1">
        <v>3.178976587</v>
      </c>
      <c r="I1515" s="1">
        <v>4.18</v>
      </c>
      <c r="J1515" s="1">
        <v>1.99728</v>
      </c>
    </row>
    <row r="1516">
      <c r="A1516" s="1">
        <v>2025.0</v>
      </c>
      <c r="B1516" s="1" t="s">
        <v>269</v>
      </c>
      <c r="C1516" s="1">
        <v>605280.0</v>
      </c>
      <c r="D1516" s="1" t="s">
        <v>536</v>
      </c>
      <c r="E1516" s="1" t="s">
        <v>927</v>
      </c>
      <c r="F1516" s="1" t="s">
        <v>927</v>
      </c>
      <c r="G1516" s="1">
        <v>575.0</v>
      </c>
      <c r="H1516" s="1">
        <v>34.48889693</v>
      </c>
      <c r="I1516" s="1">
        <v>5.24</v>
      </c>
      <c r="J1516" s="1">
        <v>9.930991</v>
      </c>
    </row>
    <row r="1517">
      <c r="A1517" s="1">
        <v>2025.0</v>
      </c>
      <c r="B1517" s="1" t="s">
        <v>269</v>
      </c>
      <c r="C1517" s="1">
        <v>605280.0</v>
      </c>
      <c r="D1517" s="1" t="s">
        <v>533</v>
      </c>
      <c r="E1517" s="1" t="s">
        <v>927</v>
      </c>
      <c r="F1517" s="1" t="s">
        <v>927</v>
      </c>
      <c r="G1517" s="1">
        <v>173.0</v>
      </c>
      <c r="H1517" s="1">
        <v>10.37665943</v>
      </c>
      <c r="I1517" s="1">
        <v>5.07</v>
      </c>
      <c r="J1517" s="1">
        <v>3.42227</v>
      </c>
    </row>
    <row r="1518">
      <c r="A1518" s="1">
        <v>2025.0</v>
      </c>
      <c r="B1518" s="1" t="s">
        <v>269</v>
      </c>
      <c r="C1518" s="1">
        <v>605280.0</v>
      </c>
      <c r="D1518" s="1" t="s">
        <v>539</v>
      </c>
      <c r="E1518" s="1" t="s">
        <v>927</v>
      </c>
      <c r="F1518" s="1" t="s">
        <v>927</v>
      </c>
      <c r="G1518" s="1">
        <v>327.0</v>
      </c>
      <c r="H1518" s="1">
        <v>19.61368573</v>
      </c>
      <c r="I1518" s="1">
        <v>5.06</v>
      </c>
      <c r="J1518" s="1">
        <v>6.442763</v>
      </c>
    </row>
    <row r="1519">
      <c r="A1519" s="1">
        <v>2025.0</v>
      </c>
      <c r="B1519" s="1" t="s">
        <v>911</v>
      </c>
      <c r="C1519" s="1">
        <v>690925.0</v>
      </c>
      <c r="D1519" s="1" t="s">
        <v>537</v>
      </c>
      <c r="E1519" s="1" t="s">
        <v>927</v>
      </c>
      <c r="F1519" s="1" t="s">
        <v>926</v>
      </c>
      <c r="G1519" s="1">
        <v>138.0</v>
      </c>
      <c r="H1519" s="1">
        <v>7.51827957</v>
      </c>
      <c r="I1519" s="1">
        <v>4.64</v>
      </c>
      <c r="J1519" s="1">
        <v>4.197243</v>
      </c>
    </row>
    <row r="1520">
      <c r="A1520" s="1">
        <v>2025.0</v>
      </c>
      <c r="B1520" s="1" t="s">
        <v>911</v>
      </c>
      <c r="C1520" s="1">
        <v>690925.0</v>
      </c>
      <c r="D1520" s="1" t="s">
        <v>533</v>
      </c>
      <c r="E1520" s="1" t="s">
        <v>927</v>
      </c>
      <c r="F1520" s="1" t="s">
        <v>926</v>
      </c>
      <c r="G1520" s="1">
        <v>104.0</v>
      </c>
      <c r="H1520" s="1">
        <v>5.665949821</v>
      </c>
      <c r="I1520" s="1">
        <v>5.02</v>
      </c>
      <c r="J1520" s="1">
        <v>2.194056</v>
      </c>
    </row>
    <row r="1521">
      <c r="A1521" s="1">
        <v>2025.0</v>
      </c>
      <c r="B1521" s="1" t="s">
        <v>911</v>
      </c>
      <c r="C1521" s="1">
        <v>690925.0</v>
      </c>
      <c r="D1521" s="1" t="s">
        <v>537</v>
      </c>
      <c r="E1521" s="1" t="s">
        <v>927</v>
      </c>
      <c r="F1521" s="1" t="s">
        <v>927</v>
      </c>
      <c r="G1521" s="1">
        <v>113.0</v>
      </c>
      <c r="H1521" s="1">
        <v>6.156272401</v>
      </c>
      <c r="I1521" s="1">
        <v>5.1</v>
      </c>
      <c r="J1521" s="1">
        <v>2.314367</v>
      </c>
    </row>
    <row r="1522">
      <c r="A1522" s="1">
        <v>2025.0</v>
      </c>
      <c r="B1522" s="1" t="s">
        <v>911</v>
      </c>
      <c r="C1522" s="1">
        <v>690925.0</v>
      </c>
      <c r="D1522" s="1" t="s">
        <v>533</v>
      </c>
      <c r="E1522" s="1" t="s">
        <v>927</v>
      </c>
      <c r="F1522" s="1" t="s">
        <v>927</v>
      </c>
      <c r="G1522" s="1">
        <v>110.0</v>
      </c>
      <c r="H1522" s="1">
        <v>5.992831541</v>
      </c>
      <c r="I1522" s="1">
        <v>4.81</v>
      </c>
      <c r="J1522" s="1">
        <v>2.851884</v>
      </c>
    </row>
    <row r="1523">
      <c r="A1523" s="1">
        <v>2025.0</v>
      </c>
      <c r="B1523" s="1" t="s">
        <v>457</v>
      </c>
      <c r="C1523" s="1">
        <v>477132.0</v>
      </c>
      <c r="D1523" s="1" t="s">
        <v>541</v>
      </c>
      <c r="E1523" s="1" t="s">
        <v>926</v>
      </c>
      <c r="F1523" s="1" t="s">
        <v>926</v>
      </c>
      <c r="G1523" s="1">
        <v>54.0</v>
      </c>
      <c r="H1523" s="1">
        <v>3.445073613</v>
      </c>
      <c r="I1523" s="1">
        <v>4.6</v>
      </c>
      <c r="J1523" s="1">
        <v>1.556631</v>
      </c>
    </row>
    <row r="1524">
      <c r="A1524" s="1">
        <v>2025.0</v>
      </c>
      <c r="B1524" s="1" t="s">
        <v>457</v>
      </c>
      <c r="C1524" s="1">
        <v>477132.0</v>
      </c>
      <c r="D1524" s="1" t="s">
        <v>537</v>
      </c>
      <c r="E1524" s="1" t="s">
        <v>926</v>
      </c>
      <c r="F1524" s="1" t="s">
        <v>926</v>
      </c>
      <c r="G1524" s="1">
        <v>138.0</v>
      </c>
      <c r="H1524" s="1">
        <v>8.80407701</v>
      </c>
      <c r="I1524" s="1">
        <v>4.89</v>
      </c>
      <c r="J1524" s="1">
        <v>3.33677</v>
      </c>
    </row>
    <row r="1525">
      <c r="A1525" s="1">
        <v>2025.0</v>
      </c>
      <c r="B1525" s="1" t="s">
        <v>457</v>
      </c>
      <c r="C1525" s="1">
        <v>477132.0</v>
      </c>
      <c r="D1525" s="1" t="s">
        <v>536</v>
      </c>
      <c r="E1525" s="1" t="s">
        <v>926</v>
      </c>
      <c r="F1525" s="1" t="s">
        <v>926</v>
      </c>
      <c r="G1525" s="1">
        <v>7.0</v>
      </c>
      <c r="H1525" s="1">
        <v>0.446583616</v>
      </c>
      <c r="I1525" s="1">
        <v>5.01</v>
      </c>
      <c r="J1525" s="1">
        <v>0.13539</v>
      </c>
    </row>
    <row r="1526">
      <c r="A1526" s="1">
        <v>2025.0</v>
      </c>
      <c r="B1526" s="1" t="s">
        <v>457</v>
      </c>
      <c r="C1526" s="1">
        <v>477132.0</v>
      </c>
      <c r="D1526" s="1" t="s">
        <v>533</v>
      </c>
      <c r="E1526" s="1" t="s">
        <v>926</v>
      </c>
      <c r="F1526" s="1" t="s">
        <v>926</v>
      </c>
      <c r="G1526" s="1">
        <v>166.0</v>
      </c>
      <c r="H1526" s="1">
        <v>10.59041148</v>
      </c>
      <c r="I1526" s="1">
        <v>5.28</v>
      </c>
      <c r="J1526" s="1">
        <v>2.59443</v>
      </c>
    </row>
    <row r="1527">
      <c r="A1527" s="1">
        <v>2025.0</v>
      </c>
      <c r="B1527" s="1" t="s">
        <v>457</v>
      </c>
      <c r="C1527" s="1">
        <v>477132.0</v>
      </c>
      <c r="D1527" s="1" t="s">
        <v>541</v>
      </c>
      <c r="E1527" s="1" t="s">
        <v>926</v>
      </c>
      <c r="F1527" s="1" t="s">
        <v>927</v>
      </c>
      <c r="G1527" s="1">
        <v>263.0</v>
      </c>
      <c r="H1527" s="1">
        <v>16.77878445</v>
      </c>
      <c r="I1527" s="1">
        <v>4.65</v>
      </c>
      <c r="J1527" s="1">
        <v>7.405374</v>
      </c>
    </row>
    <row r="1528">
      <c r="A1528" s="1">
        <v>2025.0</v>
      </c>
      <c r="B1528" s="1" t="s">
        <v>457</v>
      </c>
      <c r="C1528" s="1">
        <v>477132.0</v>
      </c>
      <c r="D1528" s="1" t="s">
        <v>537</v>
      </c>
      <c r="E1528" s="1" t="s">
        <v>926</v>
      </c>
      <c r="F1528" s="1" t="s">
        <v>927</v>
      </c>
      <c r="G1528" s="1">
        <v>475.0</v>
      </c>
      <c r="H1528" s="1">
        <v>30.30388826</v>
      </c>
      <c r="I1528" s="1">
        <v>4.63</v>
      </c>
      <c r="J1528" s="1">
        <v>14.125036</v>
      </c>
    </row>
    <row r="1529">
      <c r="A1529" s="1">
        <v>2025.0</v>
      </c>
      <c r="B1529" s="1" t="s">
        <v>457</v>
      </c>
      <c r="C1529" s="1">
        <v>477132.0</v>
      </c>
      <c r="D1529" s="1" t="s">
        <v>538</v>
      </c>
      <c r="E1529" s="1" t="s">
        <v>926</v>
      </c>
      <c r="F1529" s="1" t="s">
        <v>927</v>
      </c>
      <c r="G1529" s="1">
        <v>98.0</v>
      </c>
      <c r="H1529" s="1">
        <v>6.25217063</v>
      </c>
      <c r="I1529" s="1">
        <v>4.47</v>
      </c>
      <c r="J1529" s="1">
        <v>3.157983</v>
      </c>
    </row>
    <row r="1530">
      <c r="A1530" s="1">
        <v>2025.0</v>
      </c>
      <c r="B1530" s="1" t="s">
        <v>457</v>
      </c>
      <c r="C1530" s="1">
        <v>477132.0</v>
      </c>
      <c r="D1530" s="1" t="s">
        <v>536</v>
      </c>
      <c r="E1530" s="1" t="s">
        <v>926</v>
      </c>
      <c r="F1530" s="1" t="s">
        <v>927</v>
      </c>
      <c r="G1530" s="1">
        <v>4.0</v>
      </c>
      <c r="H1530" s="1">
        <v>0.255190638</v>
      </c>
      <c r="I1530" s="1">
        <v>3.51</v>
      </c>
      <c r="J1530" s="1">
        <v>0.195038</v>
      </c>
    </row>
    <row r="1531">
      <c r="A1531" s="1">
        <v>2025.0</v>
      </c>
      <c r="B1531" s="1" t="s">
        <v>457</v>
      </c>
      <c r="C1531" s="1">
        <v>477132.0</v>
      </c>
      <c r="D1531" s="1" t="s">
        <v>533</v>
      </c>
      <c r="E1531" s="1" t="s">
        <v>926</v>
      </c>
      <c r="F1531" s="1" t="s">
        <v>927</v>
      </c>
      <c r="G1531" s="1">
        <v>561.0</v>
      </c>
      <c r="H1531" s="1">
        <v>35.79048698</v>
      </c>
      <c r="I1531" s="1">
        <v>5.1</v>
      </c>
      <c r="J1531" s="1">
        <v>11.30369</v>
      </c>
    </row>
    <row r="1532">
      <c r="A1532" s="1">
        <v>2025.0</v>
      </c>
      <c r="B1532" s="1" t="s">
        <v>861</v>
      </c>
      <c r="C1532" s="1">
        <v>676051.0</v>
      </c>
      <c r="D1532" s="1" t="s">
        <v>532</v>
      </c>
      <c r="E1532" s="1" t="s">
        <v>927</v>
      </c>
      <c r="F1532" s="1" t="s">
        <v>926</v>
      </c>
      <c r="G1532" s="1">
        <v>5.0</v>
      </c>
      <c r="H1532" s="1">
        <v>0.268199234</v>
      </c>
      <c r="I1532" s="1">
        <v>5.97</v>
      </c>
      <c r="J1532" s="1">
        <v>0.002606</v>
      </c>
    </row>
    <row r="1533">
      <c r="A1533" s="1">
        <v>2025.0</v>
      </c>
      <c r="B1533" s="1" t="s">
        <v>861</v>
      </c>
      <c r="C1533" s="1">
        <v>676051.0</v>
      </c>
      <c r="D1533" s="1" t="s">
        <v>537</v>
      </c>
      <c r="E1533" s="1" t="s">
        <v>927</v>
      </c>
      <c r="F1533" s="1" t="s">
        <v>926</v>
      </c>
      <c r="G1533" s="1">
        <v>21.0</v>
      </c>
      <c r="H1533" s="1">
        <v>1.126436782</v>
      </c>
      <c r="I1533" s="1">
        <v>4.33</v>
      </c>
      <c r="J1533" s="1">
        <v>0.831285</v>
      </c>
    </row>
    <row r="1534">
      <c r="A1534" s="1">
        <v>2025.0</v>
      </c>
      <c r="B1534" s="1" t="s">
        <v>861</v>
      </c>
      <c r="C1534" s="1">
        <v>676051.0</v>
      </c>
      <c r="D1534" s="1" t="s">
        <v>533</v>
      </c>
      <c r="E1534" s="1" t="s">
        <v>927</v>
      </c>
      <c r="F1534" s="1" t="s">
        <v>926</v>
      </c>
      <c r="G1534" s="1">
        <v>20.0</v>
      </c>
      <c r="H1534" s="1">
        <v>1.072796935</v>
      </c>
      <c r="I1534" s="1">
        <v>4.35</v>
      </c>
      <c r="J1534" s="1">
        <v>0.779682</v>
      </c>
    </row>
    <row r="1535">
      <c r="A1535" s="1">
        <v>2025.0</v>
      </c>
      <c r="B1535" s="1" t="s">
        <v>861</v>
      </c>
      <c r="C1535" s="1">
        <v>676051.0</v>
      </c>
      <c r="D1535" s="1" t="s">
        <v>532</v>
      </c>
      <c r="E1535" s="1" t="s">
        <v>927</v>
      </c>
      <c r="F1535" s="1" t="s">
        <v>927</v>
      </c>
      <c r="G1535" s="1">
        <v>1.0</v>
      </c>
      <c r="H1535" s="1">
        <v>0.053639847</v>
      </c>
      <c r="I1535" s="1">
        <v>3.18</v>
      </c>
      <c r="J1535" s="1">
        <v>0.061064</v>
      </c>
    </row>
    <row r="1536">
      <c r="A1536" s="1">
        <v>2025.0</v>
      </c>
      <c r="B1536" s="1" t="s">
        <v>861</v>
      </c>
      <c r="C1536" s="1">
        <v>676051.0</v>
      </c>
      <c r="D1536" s="1" t="s">
        <v>537</v>
      </c>
      <c r="E1536" s="1" t="s">
        <v>927</v>
      </c>
      <c r="F1536" s="1" t="s">
        <v>927</v>
      </c>
      <c r="G1536" s="1">
        <v>17.0</v>
      </c>
      <c r="H1536" s="1">
        <v>0.911877395</v>
      </c>
      <c r="I1536" s="1">
        <v>4.63</v>
      </c>
      <c r="J1536" s="1">
        <v>0.542289</v>
      </c>
    </row>
    <row r="1537">
      <c r="A1537" s="1">
        <v>2025.0</v>
      </c>
      <c r="B1537" s="1" t="s">
        <v>861</v>
      </c>
      <c r="C1537" s="1">
        <v>676051.0</v>
      </c>
      <c r="D1537" s="1" t="s">
        <v>533</v>
      </c>
      <c r="E1537" s="1" t="s">
        <v>927</v>
      </c>
      <c r="F1537" s="1" t="s">
        <v>927</v>
      </c>
      <c r="G1537" s="1">
        <v>23.0</v>
      </c>
      <c r="H1537" s="1">
        <v>1.233716475</v>
      </c>
      <c r="I1537" s="1">
        <v>4.28</v>
      </c>
      <c r="J1537" s="1">
        <v>0.907011</v>
      </c>
    </row>
    <row r="1538">
      <c r="A1538" s="1">
        <v>2025.0</v>
      </c>
      <c r="B1538" s="1" t="s">
        <v>749</v>
      </c>
      <c r="C1538" s="1">
        <v>675989.0</v>
      </c>
      <c r="D1538" s="1" t="s">
        <v>537</v>
      </c>
      <c r="E1538" s="1" t="s">
        <v>927</v>
      </c>
      <c r="F1538" s="1" t="s">
        <v>926</v>
      </c>
      <c r="G1538" s="1">
        <v>3.0</v>
      </c>
      <c r="H1538" s="1">
        <v>0.15</v>
      </c>
      <c r="I1538" s="1">
        <v>4.52</v>
      </c>
      <c r="J1538" s="1">
        <v>0.100895</v>
      </c>
    </row>
    <row r="1539">
      <c r="A1539" s="1">
        <v>2025.0</v>
      </c>
      <c r="B1539" s="1" t="s">
        <v>749</v>
      </c>
      <c r="C1539" s="1">
        <v>675989.0</v>
      </c>
      <c r="D1539" s="1" t="s">
        <v>536</v>
      </c>
      <c r="E1539" s="1" t="s">
        <v>927</v>
      </c>
      <c r="F1539" s="1" t="s">
        <v>926</v>
      </c>
      <c r="G1539" s="1">
        <v>3.0</v>
      </c>
      <c r="H1539" s="1">
        <v>0.15</v>
      </c>
      <c r="I1539" s="1">
        <v>3.14</v>
      </c>
      <c r="J1539" s="1">
        <v>0.175935</v>
      </c>
    </row>
    <row r="1540">
      <c r="A1540" s="1">
        <v>2025.0</v>
      </c>
      <c r="B1540" s="1" t="s">
        <v>749</v>
      </c>
      <c r="C1540" s="1">
        <v>675989.0</v>
      </c>
      <c r="D1540" s="1" t="s">
        <v>533</v>
      </c>
      <c r="E1540" s="1" t="s">
        <v>927</v>
      </c>
      <c r="F1540" s="1" t="s">
        <v>926</v>
      </c>
      <c r="G1540" s="1">
        <v>4.0</v>
      </c>
      <c r="H1540" s="1">
        <v>0.2</v>
      </c>
      <c r="I1540" s="1">
        <v>5.66</v>
      </c>
      <c r="J1540" s="1">
        <v>0.030024</v>
      </c>
    </row>
    <row r="1541">
      <c r="A1541" s="1">
        <v>2025.0</v>
      </c>
      <c r="B1541" s="1" t="s">
        <v>749</v>
      </c>
      <c r="C1541" s="1">
        <v>675989.0</v>
      </c>
      <c r="D1541" s="1" t="s">
        <v>540</v>
      </c>
      <c r="E1541" s="1" t="s">
        <v>927</v>
      </c>
      <c r="F1541" s="1" t="s">
        <v>927</v>
      </c>
      <c r="G1541" s="1">
        <v>3.0</v>
      </c>
      <c r="H1541" s="1">
        <v>0.15</v>
      </c>
      <c r="I1541" s="1">
        <v>5.28</v>
      </c>
      <c r="J1541" s="1">
        <v>0.052754</v>
      </c>
    </row>
    <row r="1542">
      <c r="A1542" s="1">
        <v>2025.0</v>
      </c>
      <c r="B1542" s="1" t="s">
        <v>749</v>
      </c>
      <c r="C1542" s="1">
        <v>675989.0</v>
      </c>
      <c r="D1542" s="1" t="s">
        <v>537</v>
      </c>
      <c r="E1542" s="1" t="s">
        <v>927</v>
      </c>
      <c r="F1542" s="1" t="s">
        <v>927</v>
      </c>
      <c r="G1542" s="1">
        <v>2.0</v>
      </c>
      <c r="H1542" s="1">
        <v>0.1</v>
      </c>
      <c r="I1542" s="1">
        <v>3.98</v>
      </c>
      <c r="J1542" s="1">
        <v>0.083535</v>
      </c>
    </row>
    <row r="1543">
      <c r="A1543" s="1">
        <v>2025.0</v>
      </c>
      <c r="B1543" s="1" t="s">
        <v>749</v>
      </c>
      <c r="C1543" s="1">
        <v>675989.0</v>
      </c>
      <c r="D1543" s="1" t="s">
        <v>536</v>
      </c>
      <c r="E1543" s="1" t="s">
        <v>927</v>
      </c>
      <c r="F1543" s="1" t="s">
        <v>927</v>
      </c>
      <c r="G1543" s="1">
        <v>14.0</v>
      </c>
      <c r="H1543" s="1">
        <v>0.7</v>
      </c>
      <c r="I1543" s="1">
        <v>5.07</v>
      </c>
      <c r="J1543" s="1">
        <v>0.279534</v>
      </c>
    </row>
    <row r="1544">
      <c r="A1544" s="1">
        <v>2025.0</v>
      </c>
      <c r="B1544" s="1" t="s">
        <v>749</v>
      </c>
      <c r="C1544" s="1">
        <v>675989.0</v>
      </c>
      <c r="D1544" s="1" t="s">
        <v>533</v>
      </c>
      <c r="E1544" s="1" t="s">
        <v>927</v>
      </c>
      <c r="F1544" s="1" t="s">
        <v>927</v>
      </c>
      <c r="G1544" s="1">
        <v>11.0</v>
      </c>
      <c r="H1544" s="1">
        <v>0.55</v>
      </c>
      <c r="I1544" s="1">
        <v>6.18</v>
      </c>
      <c r="J1544" s="1">
        <v>-0.031154</v>
      </c>
    </row>
    <row r="1545">
      <c r="A1545" s="1">
        <v>2025.0</v>
      </c>
      <c r="B1545" s="1" t="s">
        <v>949</v>
      </c>
      <c r="C1545" s="1">
        <v>689520.0</v>
      </c>
      <c r="D1545" s="1" t="s">
        <v>532</v>
      </c>
      <c r="E1545" s="1" t="s">
        <v>927</v>
      </c>
      <c r="F1545" s="1" t="s">
        <v>926</v>
      </c>
      <c r="G1545" s="1">
        <v>25.0</v>
      </c>
      <c r="H1545" s="1">
        <v>2.0609319</v>
      </c>
      <c r="I1545" s="1">
        <v>5.67</v>
      </c>
      <c r="J1545" s="1">
        <v>0.198819</v>
      </c>
    </row>
    <row r="1546">
      <c r="A1546" s="1">
        <v>2025.0</v>
      </c>
      <c r="B1546" s="1" t="s">
        <v>949</v>
      </c>
      <c r="C1546" s="1">
        <v>689520.0</v>
      </c>
      <c r="D1546" s="1" t="s">
        <v>537</v>
      </c>
      <c r="E1546" s="1" t="s">
        <v>927</v>
      </c>
      <c r="F1546" s="1" t="s">
        <v>926</v>
      </c>
      <c r="G1546" s="1">
        <v>43.0</v>
      </c>
      <c r="H1546" s="1">
        <v>3.544802867</v>
      </c>
      <c r="I1546" s="1">
        <v>5.15</v>
      </c>
      <c r="J1546" s="1">
        <v>0.81056</v>
      </c>
    </row>
    <row r="1547">
      <c r="A1547" s="1">
        <v>2025.0</v>
      </c>
      <c r="B1547" s="1" t="s">
        <v>949</v>
      </c>
      <c r="C1547" s="1">
        <v>689520.0</v>
      </c>
      <c r="D1547" s="1" t="s">
        <v>540</v>
      </c>
      <c r="E1547" s="1" t="s">
        <v>927</v>
      </c>
      <c r="F1547" s="1" t="s">
        <v>927</v>
      </c>
      <c r="G1547" s="1">
        <v>10.0</v>
      </c>
      <c r="H1547" s="1">
        <v>0.82437276</v>
      </c>
      <c r="I1547" s="1">
        <v>5.09</v>
      </c>
      <c r="J1547" s="1">
        <v>0.180064</v>
      </c>
    </row>
    <row r="1548">
      <c r="A1548" s="1">
        <v>2025.0</v>
      </c>
      <c r="B1548" s="1" t="s">
        <v>949</v>
      </c>
      <c r="C1548" s="1">
        <v>689520.0</v>
      </c>
      <c r="D1548" s="1" t="s">
        <v>537</v>
      </c>
      <c r="E1548" s="1" t="s">
        <v>927</v>
      </c>
      <c r="F1548" s="1" t="s">
        <v>927</v>
      </c>
      <c r="G1548" s="1">
        <v>15.0</v>
      </c>
      <c r="H1548" s="1">
        <v>1.23655914</v>
      </c>
      <c r="I1548" s="1">
        <v>5.18</v>
      </c>
      <c r="J1548" s="1">
        <v>0.283765</v>
      </c>
    </row>
    <row r="1549">
      <c r="A1549" s="1">
        <v>2025.0</v>
      </c>
      <c r="B1549" s="1" t="s">
        <v>608</v>
      </c>
      <c r="C1549" s="1">
        <v>547001.0</v>
      </c>
      <c r="D1549" s="1" t="s">
        <v>532</v>
      </c>
      <c r="E1549" s="1" t="s">
        <v>927</v>
      </c>
      <c r="F1549" s="1" t="s">
        <v>926</v>
      </c>
      <c r="G1549" s="1">
        <v>13.0</v>
      </c>
      <c r="H1549" s="1">
        <v>0.509803922</v>
      </c>
      <c r="I1549" s="1">
        <v>5.53</v>
      </c>
      <c r="J1549" s="1">
        <v>0.126165</v>
      </c>
    </row>
    <row r="1550">
      <c r="A1550" s="1">
        <v>2025.0</v>
      </c>
      <c r="B1550" s="1" t="s">
        <v>608</v>
      </c>
      <c r="C1550" s="1">
        <v>547001.0</v>
      </c>
      <c r="D1550" s="1" t="s">
        <v>537</v>
      </c>
      <c r="E1550" s="1" t="s">
        <v>927</v>
      </c>
      <c r="F1550" s="1" t="s">
        <v>926</v>
      </c>
      <c r="G1550" s="1">
        <v>5.0</v>
      </c>
      <c r="H1550" s="1">
        <v>0.196078431</v>
      </c>
      <c r="I1550" s="1">
        <v>2.81</v>
      </c>
      <c r="J1550" s="1">
        <v>0.31985</v>
      </c>
    </row>
    <row r="1551">
      <c r="A1551" s="1">
        <v>2025.0</v>
      </c>
      <c r="B1551" s="1" t="s">
        <v>608</v>
      </c>
      <c r="C1551" s="1">
        <v>547001.0</v>
      </c>
      <c r="D1551" s="1" t="s">
        <v>536</v>
      </c>
      <c r="E1551" s="1" t="s">
        <v>927</v>
      </c>
      <c r="F1551" s="1" t="s">
        <v>926</v>
      </c>
      <c r="G1551" s="1">
        <v>8.0</v>
      </c>
      <c r="H1551" s="1">
        <v>0.31372549</v>
      </c>
      <c r="I1551" s="1">
        <v>3.9</v>
      </c>
      <c r="J1551" s="1">
        <v>0.346908</v>
      </c>
    </row>
    <row r="1552">
      <c r="A1552" s="1">
        <v>2025.0</v>
      </c>
      <c r="B1552" s="1" t="s">
        <v>608</v>
      </c>
      <c r="C1552" s="1">
        <v>547001.0</v>
      </c>
      <c r="D1552" s="1" t="s">
        <v>533</v>
      </c>
      <c r="E1552" s="1" t="s">
        <v>927</v>
      </c>
      <c r="F1552" s="1" t="s">
        <v>926</v>
      </c>
      <c r="G1552" s="1">
        <v>9.0</v>
      </c>
      <c r="H1552" s="1">
        <v>0.352941176</v>
      </c>
      <c r="I1552" s="1">
        <v>4.99</v>
      </c>
      <c r="J1552" s="1">
        <v>0.204768</v>
      </c>
    </row>
    <row r="1553">
      <c r="A1553" s="1">
        <v>2025.0</v>
      </c>
      <c r="B1553" s="1" t="s">
        <v>608</v>
      </c>
      <c r="C1553" s="1">
        <v>547001.0</v>
      </c>
      <c r="D1553" s="1" t="s">
        <v>539</v>
      </c>
      <c r="E1553" s="1" t="s">
        <v>927</v>
      </c>
      <c r="F1553" s="1" t="s">
        <v>926</v>
      </c>
      <c r="G1553" s="1">
        <v>2.0</v>
      </c>
      <c r="H1553" s="1">
        <v>0.078431373</v>
      </c>
      <c r="I1553" s="1">
        <v>6.48</v>
      </c>
      <c r="J1553" s="1">
        <v>-0.015658</v>
      </c>
    </row>
    <row r="1554">
      <c r="A1554" s="1">
        <v>2025.0</v>
      </c>
      <c r="B1554" s="1" t="s">
        <v>608</v>
      </c>
      <c r="C1554" s="1">
        <v>547001.0</v>
      </c>
      <c r="D1554" s="1" t="s">
        <v>532</v>
      </c>
      <c r="E1554" s="1" t="s">
        <v>927</v>
      </c>
      <c r="F1554" s="1" t="s">
        <v>927</v>
      </c>
      <c r="G1554" s="1">
        <v>1.0</v>
      </c>
      <c r="H1554" s="1">
        <v>0.039215686</v>
      </c>
      <c r="I1554" s="1">
        <v>6.59</v>
      </c>
      <c r="J1554" s="1">
        <v>-0.008527</v>
      </c>
    </row>
    <row r="1555">
      <c r="A1555" s="1">
        <v>2025.0</v>
      </c>
      <c r="B1555" s="1" t="s">
        <v>608</v>
      </c>
      <c r="C1555" s="1">
        <v>547001.0</v>
      </c>
      <c r="D1555" s="1" t="s">
        <v>536</v>
      </c>
      <c r="E1555" s="1" t="s">
        <v>927</v>
      </c>
      <c r="F1555" s="1" t="s">
        <v>927</v>
      </c>
      <c r="G1555" s="1">
        <v>11.0</v>
      </c>
      <c r="H1555" s="1">
        <v>0.431372549</v>
      </c>
      <c r="I1555" s="1">
        <v>5.15</v>
      </c>
      <c r="J1555" s="1">
        <v>0.217475</v>
      </c>
    </row>
    <row r="1556">
      <c r="A1556" s="1">
        <v>2025.0</v>
      </c>
      <c r="B1556" s="1" t="s">
        <v>608</v>
      </c>
      <c r="C1556" s="1">
        <v>547001.0</v>
      </c>
      <c r="D1556" s="1" t="s">
        <v>533</v>
      </c>
      <c r="E1556" s="1" t="s">
        <v>927</v>
      </c>
      <c r="F1556" s="1" t="s">
        <v>927</v>
      </c>
      <c r="G1556" s="1">
        <v>15.0</v>
      </c>
      <c r="H1556" s="1">
        <v>0.588235294</v>
      </c>
      <c r="I1556" s="1">
        <v>4.62</v>
      </c>
      <c r="J1556" s="1">
        <v>0.447279</v>
      </c>
    </row>
    <row r="1557">
      <c r="A1557" s="1">
        <v>2025.0</v>
      </c>
      <c r="B1557" s="1" t="s">
        <v>608</v>
      </c>
      <c r="C1557" s="1">
        <v>547001.0</v>
      </c>
      <c r="D1557" s="1" t="s">
        <v>539</v>
      </c>
      <c r="E1557" s="1" t="s">
        <v>927</v>
      </c>
      <c r="F1557" s="1" t="s">
        <v>927</v>
      </c>
      <c r="G1557" s="1">
        <v>4.0</v>
      </c>
      <c r="H1557" s="1">
        <v>0.156862745</v>
      </c>
      <c r="I1557" s="1">
        <v>5.7</v>
      </c>
      <c r="J1557" s="1">
        <v>0.016777</v>
      </c>
    </row>
    <row r="1558">
      <c r="A1558" s="1">
        <v>2025.0</v>
      </c>
      <c r="B1558" s="1" t="s">
        <v>507</v>
      </c>
      <c r="C1558" s="1">
        <v>669371.0</v>
      </c>
      <c r="D1558" s="1" t="s">
        <v>532</v>
      </c>
      <c r="E1558" s="1" t="s">
        <v>927</v>
      </c>
      <c r="F1558" s="1" t="s">
        <v>926</v>
      </c>
      <c r="G1558" s="1">
        <v>27.0</v>
      </c>
      <c r="H1558" s="1">
        <v>1.472049689</v>
      </c>
      <c r="I1558" s="1">
        <v>4.41</v>
      </c>
      <c r="J1558" s="1">
        <v>0.912059</v>
      </c>
    </row>
    <row r="1559">
      <c r="A1559" s="1">
        <v>2025.0</v>
      </c>
      <c r="B1559" s="1" t="s">
        <v>507</v>
      </c>
      <c r="C1559" s="1">
        <v>669371.0</v>
      </c>
      <c r="D1559" s="1" t="s">
        <v>541</v>
      </c>
      <c r="E1559" s="1" t="s">
        <v>927</v>
      </c>
      <c r="F1559" s="1" t="s">
        <v>926</v>
      </c>
      <c r="G1559" s="1">
        <v>84.0</v>
      </c>
      <c r="H1559" s="1">
        <v>4.579710145</v>
      </c>
      <c r="I1559" s="1">
        <v>4.6</v>
      </c>
      <c r="J1559" s="1">
        <v>2.50075</v>
      </c>
    </row>
    <row r="1560">
      <c r="A1560" s="1">
        <v>2025.0</v>
      </c>
      <c r="B1560" s="1" t="s">
        <v>507</v>
      </c>
      <c r="C1560" s="1">
        <v>669371.0</v>
      </c>
      <c r="D1560" s="1" t="s">
        <v>540</v>
      </c>
      <c r="E1560" s="1" t="s">
        <v>927</v>
      </c>
      <c r="F1560" s="1" t="s">
        <v>926</v>
      </c>
      <c r="G1560" s="1">
        <v>27.0</v>
      </c>
      <c r="H1560" s="1">
        <v>1.472049689</v>
      </c>
      <c r="I1560" s="1">
        <v>4.38</v>
      </c>
      <c r="J1560" s="1">
        <v>0.930575</v>
      </c>
    </row>
    <row r="1561">
      <c r="A1561" s="1">
        <v>2025.0</v>
      </c>
      <c r="B1561" s="1" t="s">
        <v>507</v>
      </c>
      <c r="C1561" s="1">
        <v>669371.0</v>
      </c>
      <c r="D1561" s="1" t="s">
        <v>537</v>
      </c>
      <c r="E1561" s="1" t="s">
        <v>927</v>
      </c>
      <c r="F1561" s="1" t="s">
        <v>926</v>
      </c>
      <c r="G1561" s="1">
        <v>245.0</v>
      </c>
      <c r="H1561" s="1">
        <v>13.35748792</v>
      </c>
      <c r="I1561" s="1">
        <v>4.75</v>
      </c>
      <c r="J1561" s="1">
        <v>6.605118</v>
      </c>
    </row>
    <row r="1562">
      <c r="A1562" s="1">
        <v>2025.0</v>
      </c>
      <c r="B1562" s="1" t="s">
        <v>507</v>
      </c>
      <c r="C1562" s="1">
        <v>669371.0</v>
      </c>
      <c r="D1562" s="1" t="s">
        <v>536</v>
      </c>
      <c r="E1562" s="1" t="s">
        <v>927</v>
      </c>
      <c r="F1562" s="1" t="s">
        <v>926</v>
      </c>
      <c r="G1562" s="1">
        <v>9.0</v>
      </c>
      <c r="H1562" s="1">
        <v>0.49068323</v>
      </c>
      <c r="I1562" s="1">
        <v>4.17</v>
      </c>
      <c r="J1562" s="1">
        <v>0.373471</v>
      </c>
    </row>
    <row r="1563">
      <c r="A1563" s="1">
        <v>2025.0</v>
      </c>
      <c r="B1563" s="1" t="s">
        <v>507</v>
      </c>
      <c r="C1563" s="1">
        <v>669371.0</v>
      </c>
      <c r="D1563" s="1" t="s">
        <v>541</v>
      </c>
      <c r="E1563" s="1" t="s">
        <v>927</v>
      </c>
      <c r="F1563" s="1" t="s">
        <v>927</v>
      </c>
      <c r="G1563" s="1">
        <v>233.0</v>
      </c>
      <c r="H1563" s="1">
        <v>12.70324362</v>
      </c>
      <c r="I1563" s="1">
        <v>4.88</v>
      </c>
      <c r="J1563" s="1">
        <v>5.616955</v>
      </c>
    </row>
    <row r="1564">
      <c r="A1564" s="1">
        <v>2025.0</v>
      </c>
      <c r="B1564" s="1" t="s">
        <v>507</v>
      </c>
      <c r="C1564" s="1">
        <v>669371.0</v>
      </c>
      <c r="D1564" s="1" t="s">
        <v>540</v>
      </c>
      <c r="E1564" s="1" t="s">
        <v>927</v>
      </c>
      <c r="F1564" s="1" t="s">
        <v>927</v>
      </c>
      <c r="G1564" s="1">
        <v>8.0</v>
      </c>
      <c r="H1564" s="1">
        <v>0.436162871</v>
      </c>
      <c r="I1564" s="1">
        <v>5.89</v>
      </c>
      <c r="J1564" s="1">
        <v>0.015295</v>
      </c>
    </row>
    <row r="1565">
      <c r="A1565" s="1">
        <v>2025.0</v>
      </c>
      <c r="B1565" s="1" t="s">
        <v>507</v>
      </c>
      <c r="C1565" s="1">
        <v>669371.0</v>
      </c>
      <c r="D1565" s="1" t="s">
        <v>537</v>
      </c>
      <c r="E1565" s="1" t="s">
        <v>927</v>
      </c>
      <c r="F1565" s="1" t="s">
        <v>927</v>
      </c>
      <c r="G1565" s="1">
        <v>250.0</v>
      </c>
      <c r="H1565" s="1">
        <v>13.63008972</v>
      </c>
      <c r="I1565" s="1">
        <v>4.79</v>
      </c>
      <c r="J1565" s="1">
        <v>6.476434</v>
      </c>
    </row>
    <row r="1566">
      <c r="A1566" s="1">
        <v>2025.0</v>
      </c>
      <c r="B1566" s="1" t="s">
        <v>507</v>
      </c>
      <c r="C1566" s="1">
        <v>669371.0</v>
      </c>
      <c r="D1566" s="1" t="s">
        <v>536</v>
      </c>
      <c r="E1566" s="1" t="s">
        <v>927</v>
      </c>
      <c r="F1566" s="1" t="s">
        <v>927</v>
      </c>
      <c r="G1566" s="1">
        <v>83.0</v>
      </c>
      <c r="H1566" s="1">
        <v>4.525189786</v>
      </c>
      <c r="I1566" s="1">
        <v>4.49</v>
      </c>
      <c r="J1566" s="1">
        <v>2.725291</v>
      </c>
    </row>
    <row r="1567">
      <c r="A1567" s="1">
        <v>2025.0</v>
      </c>
      <c r="B1567" s="1" t="s">
        <v>205</v>
      </c>
      <c r="C1567" s="1">
        <v>666142.0</v>
      </c>
      <c r="D1567" s="1" t="s">
        <v>532</v>
      </c>
      <c r="E1567" s="1" t="s">
        <v>926</v>
      </c>
      <c r="F1567" s="1" t="s">
        <v>926</v>
      </c>
      <c r="G1567" s="1">
        <v>12.0</v>
      </c>
      <c r="H1567" s="1">
        <v>0.685820204</v>
      </c>
      <c r="I1567" s="1">
        <v>4.8</v>
      </c>
      <c r="J1567" s="1">
        <v>0.280405</v>
      </c>
    </row>
    <row r="1568">
      <c r="A1568" s="1">
        <v>2025.0</v>
      </c>
      <c r="B1568" s="1" t="s">
        <v>205</v>
      </c>
      <c r="C1568" s="1">
        <v>666142.0</v>
      </c>
      <c r="D1568" s="1" t="s">
        <v>541</v>
      </c>
      <c r="E1568" s="1" t="s">
        <v>926</v>
      </c>
      <c r="F1568" s="1" t="s">
        <v>926</v>
      </c>
      <c r="G1568" s="1">
        <v>24.0</v>
      </c>
      <c r="H1568" s="1">
        <v>1.371640408</v>
      </c>
      <c r="I1568" s="1">
        <v>4.26</v>
      </c>
      <c r="J1568" s="1">
        <v>0.850799</v>
      </c>
    </row>
    <row r="1569">
      <c r="A1569" s="1">
        <v>2025.0</v>
      </c>
      <c r="B1569" s="1" t="s">
        <v>205</v>
      </c>
      <c r="C1569" s="1">
        <v>666142.0</v>
      </c>
      <c r="D1569" s="1" t="s">
        <v>540</v>
      </c>
      <c r="E1569" s="1" t="s">
        <v>926</v>
      </c>
      <c r="F1569" s="1" t="s">
        <v>926</v>
      </c>
      <c r="G1569" s="1">
        <v>4.0</v>
      </c>
      <c r="H1569" s="1">
        <v>0.228606735</v>
      </c>
      <c r="I1569" s="1">
        <v>3.93</v>
      </c>
      <c r="J1569" s="1">
        <v>0.163696</v>
      </c>
    </row>
    <row r="1570">
      <c r="A1570" s="1">
        <v>2025.0</v>
      </c>
      <c r="B1570" s="1" t="s">
        <v>205</v>
      </c>
      <c r="C1570" s="1">
        <v>666142.0</v>
      </c>
      <c r="D1570" s="1" t="s">
        <v>537</v>
      </c>
      <c r="E1570" s="1" t="s">
        <v>926</v>
      </c>
      <c r="F1570" s="1" t="s">
        <v>926</v>
      </c>
      <c r="G1570" s="1">
        <v>147.0</v>
      </c>
      <c r="H1570" s="1">
        <v>8.401297498</v>
      </c>
      <c r="I1570" s="1">
        <v>4.94</v>
      </c>
      <c r="J1570" s="1">
        <v>3.444283</v>
      </c>
    </row>
    <row r="1571">
      <c r="A1571" s="1">
        <v>2025.0</v>
      </c>
      <c r="B1571" s="1" t="s">
        <v>205</v>
      </c>
      <c r="C1571" s="1">
        <v>666142.0</v>
      </c>
      <c r="D1571" s="1" t="s">
        <v>533</v>
      </c>
      <c r="E1571" s="1" t="s">
        <v>926</v>
      </c>
      <c r="F1571" s="1" t="s">
        <v>926</v>
      </c>
      <c r="G1571" s="1">
        <v>88.0</v>
      </c>
      <c r="H1571" s="1">
        <v>5.029348162</v>
      </c>
      <c r="I1571" s="1">
        <v>5.19</v>
      </c>
      <c r="J1571" s="1">
        <v>1.537691</v>
      </c>
    </row>
    <row r="1572">
      <c r="A1572" s="1">
        <v>2025.0</v>
      </c>
      <c r="B1572" s="1" t="s">
        <v>205</v>
      </c>
      <c r="C1572" s="1">
        <v>666142.0</v>
      </c>
      <c r="D1572" s="1" t="s">
        <v>532</v>
      </c>
      <c r="E1572" s="1" t="s">
        <v>926</v>
      </c>
      <c r="F1572" s="1" t="s">
        <v>927</v>
      </c>
      <c r="G1572" s="1">
        <v>195.0</v>
      </c>
      <c r="H1572" s="1">
        <v>11.14457831</v>
      </c>
      <c r="I1572" s="1">
        <v>5.23</v>
      </c>
      <c r="J1572" s="1">
        <v>3.246658</v>
      </c>
    </row>
    <row r="1573">
      <c r="A1573" s="1">
        <v>2025.0</v>
      </c>
      <c r="B1573" s="1" t="s">
        <v>205</v>
      </c>
      <c r="C1573" s="1">
        <v>666142.0</v>
      </c>
      <c r="D1573" s="1" t="s">
        <v>541</v>
      </c>
      <c r="E1573" s="1" t="s">
        <v>926</v>
      </c>
      <c r="F1573" s="1" t="s">
        <v>927</v>
      </c>
      <c r="G1573" s="1">
        <v>114.0</v>
      </c>
      <c r="H1573" s="1">
        <v>6.515291937</v>
      </c>
      <c r="I1573" s="1">
        <v>4.88</v>
      </c>
      <c r="J1573" s="1">
        <v>2.774836</v>
      </c>
    </row>
    <row r="1574">
      <c r="A1574" s="1">
        <v>2025.0</v>
      </c>
      <c r="B1574" s="1" t="s">
        <v>205</v>
      </c>
      <c r="C1574" s="1">
        <v>666142.0</v>
      </c>
      <c r="D1574" s="1" t="s">
        <v>540</v>
      </c>
      <c r="E1574" s="1" t="s">
        <v>926</v>
      </c>
      <c r="F1574" s="1" t="s">
        <v>927</v>
      </c>
      <c r="G1574" s="1">
        <v>47.0</v>
      </c>
      <c r="H1574" s="1">
        <v>2.686129132</v>
      </c>
      <c r="I1574" s="1">
        <v>5.46</v>
      </c>
      <c r="J1574" s="1">
        <v>0.636728</v>
      </c>
    </row>
    <row r="1575">
      <c r="A1575" s="1">
        <v>2025.0</v>
      </c>
      <c r="B1575" s="1" t="s">
        <v>205</v>
      </c>
      <c r="C1575" s="1">
        <v>666142.0</v>
      </c>
      <c r="D1575" s="1" t="s">
        <v>537</v>
      </c>
      <c r="E1575" s="1" t="s">
        <v>926</v>
      </c>
      <c r="F1575" s="1" t="s">
        <v>927</v>
      </c>
      <c r="G1575" s="1">
        <v>387.0</v>
      </c>
      <c r="H1575" s="1">
        <v>22.11770158</v>
      </c>
      <c r="I1575" s="1">
        <v>5.27</v>
      </c>
      <c r="J1575" s="1">
        <v>6.285092</v>
      </c>
    </row>
    <row r="1576">
      <c r="A1576" s="1">
        <v>2025.0</v>
      </c>
      <c r="B1576" s="1" t="s">
        <v>205</v>
      </c>
      <c r="C1576" s="1">
        <v>666142.0</v>
      </c>
      <c r="D1576" s="1" t="s">
        <v>533</v>
      </c>
      <c r="E1576" s="1" t="s">
        <v>926</v>
      </c>
      <c r="F1576" s="1" t="s">
        <v>927</v>
      </c>
      <c r="G1576" s="1">
        <v>61.0</v>
      </c>
      <c r="H1576" s="1">
        <v>3.486252703</v>
      </c>
      <c r="I1576" s="1">
        <v>5.27</v>
      </c>
      <c r="J1576" s="1">
        <v>0.891159</v>
      </c>
    </row>
    <row r="1577">
      <c r="A1577" s="1">
        <v>2025.0</v>
      </c>
      <c r="B1577" s="1" t="s">
        <v>237</v>
      </c>
      <c r="C1577" s="1">
        <v>663485.0</v>
      </c>
      <c r="D1577" s="1" t="s">
        <v>541</v>
      </c>
      <c r="E1577" s="1" t="s">
        <v>927</v>
      </c>
      <c r="F1577" s="1" t="s">
        <v>926</v>
      </c>
      <c r="G1577" s="1">
        <v>84.0</v>
      </c>
      <c r="H1577" s="1">
        <v>5.291338583</v>
      </c>
      <c r="I1577" s="1">
        <v>4.72</v>
      </c>
      <c r="J1577" s="1">
        <v>2.315835</v>
      </c>
    </row>
    <row r="1578">
      <c r="A1578" s="1">
        <v>2025.0</v>
      </c>
      <c r="B1578" s="1" t="s">
        <v>237</v>
      </c>
      <c r="C1578" s="1">
        <v>663485.0</v>
      </c>
      <c r="D1578" s="1" t="s">
        <v>540</v>
      </c>
      <c r="E1578" s="1" t="s">
        <v>927</v>
      </c>
      <c r="F1578" s="1" t="s">
        <v>926</v>
      </c>
      <c r="G1578" s="1">
        <v>144.0</v>
      </c>
      <c r="H1578" s="1">
        <v>9.070866142</v>
      </c>
      <c r="I1578" s="1">
        <v>5.11</v>
      </c>
      <c r="J1578" s="1">
        <v>2.942105</v>
      </c>
    </row>
    <row r="1579">
      <c r="A1579" s="1">
        <v>2025.0</v>
      </c>
      <c r="B1579" s="1" t="s">
        <v>237</v>
      </c>
      <c r="C1579" s="1">
        <v>663485.0</v>
      </c>
      <c r="D1579" s="1" t="s">
        <v>537</v>
      </c>
      <c r="E1579" s="1" t="s">
        <v>927</v>
      </c>
      <c r="F1579" s="1" t="s">
        <v>926</v>
      </c>
      <c r="G1579" s="1">
        <v>174.0</v>
      </c>
      <c r="H1579" s="1">
        <v>10.96062992</v>
      </c>
      <c r="I1579" s="1">
        <v>4.92</v>
      </c>
      <c r="J1579" s="1">
        <v>4.230525</v>
      </c>
    </row>
    <row r="1580">
      <c r="A1580" s="1">
        <v>2025.0</v>
      </c>
      <c r="B1580" s="1" t="s">
        <v>237</v>
      </c>
      <c r="C1580" s="1">
        <v>663485.0</v>
      </c>
      <c r="D1580" s="1" t="s">
        <v>538</v>
      </c>
      <c r="E1580" s="1" t="s">
        <v>927</v>
      </c>
      <c r="F1580" s="1" t="s">
        <v>926</v>
      </c>
      <c r="G1580" s="1">
        <v>164.0</v>
      </c>
      <c r="H1580" s="1">
        <v>10.33070866</v>
      </c>
      <c r="I1580" s="1">
        <v>5.16</v>
      </c>
      <c r="J1580" s="1">
        <v>3.002648</v>
      </c>
    </row>
    <row r="1581">
      <c r="A1581" s="1">
        <v>2025.0</v>
      </c>
      <c r="B1581" s="1" t="s">
        <v>237</v>
      </c>
      <c r="C1581" s="1">
        <v>663485.0</v>
      </c>
      <c r="D1581" s="1" t="s">
        <v>536</v>
      </c>
      <c r="E1581" s="1" t="s">
        <v>927</v>
      </c>
      <c r="F1581" s="1" t="s">
        <v>926</v>
      </c>
      <c r="G1581" s="1">
        <v>8.0</v>
      </c>
      <c r="H1581" s="1">
        <v>0.503937008</v>
      </c>
      <c r="I1581" s="1">
        <v>4.88</v>
      </c>
      <c r="J1581" s="1">
        <v>0.212746</v>
      </c>
    </row>
    <row r="1582">
      <c r="A1582" s="1">
        <v>2025.0</v>
      </c>
      <c r="B1582" s="1" t="s">
        <v>237</v>
      </c>
      <c r="C1582" s="1">
        <v>663485.0</v>
      </c>
      <c r="D1582" s="1" t="s">
        <v>541</v>
      </c>
      <c r="E1582" s="1" t="s">
        <v>927</v>
      </c>
      <c r="F1582" s="1" t="s">
        <v>927</v>
      </c>
      <c r="G1582" s="1">
        <v>129.0</v>
      </c>
      <c r="H1582" s="1">
        <v>8.125984252</v>
      </c>
      <c r="I1582" s="1">
        <v>4.97</v>
      </c>
      <c r="J1582" s="1">
        <v>2.922651</v>
      </c>
    </row>
    <row r="1583">
      <c r="A1583" s="1">
        <v>2025.0</v>
      </c>
      <c r="B1583" s="1" t="s">
        <v>237</v>
      </c>
      <c r="C1583" s="1">
        <v>663485.0</v>
      </c>
      <c r="D1583" s="1" t="s">
        <v>540</v>
      </c>
      <c r="E1583" s="1" t="s">
        <v>927</v>
      </c>
      <c r="F1583" s="1" t="s">
        <v>927</v>
      </c>
      <c r="G1583" s="1">
        <v>132.0</v>
      </c>
      <c r="H1583" s="1">
        <v>8.31496063</v>
      </c>
      <c r="I1583" s="1">
        <v>5.41</v>
      </c>
      <c r="J1583" s="1">
        <v>1.892957</v>
      </c>
    </row>
    <row r="1584">
      <c r="A1584" s="1">
        <v>2025.0</v>
      </c>
      <c r="B1584" s="1" t="s">
        <v>237</v>
      </c>
      <c r="C1584" s="1">
        <v>663485.0</v>
      </c>
      <c r="D1584" s="1" t="s">
        <v>537</v>
      </c>
      <c r="E1584" s="1" t="s">
        <v>927</v>
      </c>
      <c r="F1584" s="1" t="s">
        <v>927</v>
      </c>
      <c r="G1584" s="1">
        <v>128.0</v>
      </c>
      <c r="H1584" s="1">
        <v>8.062992126</v>
      </c>
      <c r="I1584" s="1">
        <v>4.85</v>
      </c>
      <c r="J1584" s="1">
        <v>3.288658</v>
      </c>
    </row>
    <row r="1585">
      <c r="A1585" s="1">
        <v>2025.0</v>
      </c>
      <c r="B1585" s="1" t="s">
        <v>237</v>
      </c>
      <c r="C1585" s="1">
        <v>663485.0</v>
      </c>
      <c r="D1585" s="1" t="s">
        <v>538</v>
      </c>
      <c r="E1585" s="1" t="s">
        <v>927</v>
      </c>
      <c r="F1585" s="1" t="s">
        <v>927</v>
      </c>
      <c r="G1585" s="1">
        <v>83.0</v>
      </c>
      <c r="H1585" s="1">
        <v>5.228346457</v>
      </c>
      <c r="I1585" s="1">
        <v>5.36</v>
      </c>
      <c r="J1585" s="1">
        <v>1.217417</v>
      </c>
    </row>
    <row r="1586">
      <c r="A1586" s="1">
        <v>2025.0</v>
      </c>
      <c r="B1586" s="1" t="s">
        <v>237</v>
      </c>
      <c r="C1586" s="1">
        <v>663485.0</v>
      </c>
      <c r="D1586" s="1" t="s">
        <v>536</v>
      </c>
      <c r="E1586" s="1" t="s">
        <v>927</v>
      </c>
      <c r="F1586" s="1" t="s">
        <v>927</v>
      </c>
      <c r="G1586" s="1">
        <v>97.0</v>
      </c>
      <c r="H1586" s="1">
        <v>6.11023622</v>
      </c>
      <c r="I1586" s="1">
        <v>4.91</v>
      </c>
      <c r="J1586" s="1">
        <v>2.421523</v>
      </c>
    </row>
    <row r="1587">
      <c r="A1587" s="1">
        <v>2025.0</v>
      </c>
      <c r="B1587" s="1" t="s">
        <v>784</v>
      </c>
      <c r="C1587" s="1">
        <v>642121.0</v>
      </c>
      <c r="D1587" s="1" t="s">
        <v>532</v>
      </c>
      <c r="E1587" s="1" t="s">
        <v>927</v>
      </c>
      <c r="F1587" s="1" t="s">
        <v>926</v>
      </c>
      <c r="G1587" s="1">
        <v>72.0</v>
      </c>
      <c r="H1587" s="1">
        <v>4.217054264</v>
      </c>
      <c r="I1587" s="1">
        <v>5.09</v>
      </c>
      <c r="J1587" s="1">
        <v>1.341087</v>
      </c>
    </row>
    <row r="1588">
      <c r="A1588" s="1">
        <v>2025.0</v>
      </c>
      <c r="B1588" s="1" t="s">
        <v>784</v>
      </c>
      <c r="C1588" s="1">
        <v>642121.0</v>
      </c>
      <c r="D1588" s="1" t="s">
        <v>540</v>
      </c>
      <c r="E1588" s="1" t="s">
        <v>927</v>
      </c>
      <c r="F1588" s="1" t="s">
        <v>926</v>
      </c>
      <c r="G1588" s="1">
        <v>33.0</v>
      </c>
      <c r="H1588" s="1">
        <v>1.932816537</v>
      </c>
      <c r="I1588" s="1">
        <v>4.88</v>
      </c>
      <c r="J1588" s="1">
        <v>0.83944</v>
      </c>
    </row>
    <row r="1589">
      <c r="A1589" s="1">
        <v>2025.0</v>
      </c>
      <c r="B1589" s="1" t="s">
        <v>784</v>
      </c>
      <c r="C1589" s="1">
        <v>642121.0</v>
      </c>
      <c r="D1589" s="1" t="s">
        <v>537</v>
      </c>
      <c r="E1589" s="1" t="s">
        <v>927</v>
      </c>
      <c r="F1589" s="1" t="s">
        <v>926</v>
      </c>
      <c r="G1589" s="1">
        <v>87.0</v>
      </c>
      <c r="H1589" s="1">
        <v>5.095607235</v>
      </c>
      <c r="I1589" s="1">
        <v>5.63</v>
      </c>
      <c r="J1589" s="1">
        <v>0.832081</v>
      </c>
    </row>
    <row r="1590">
      <c r="A1590" s="1">
        <v>2025.0</v>
      </c>
      <c r="B1590" s="1" t="s">
        <v>784</v>
      </c>
      <c r="C1590" s="1">
        <v>642121.0</v>
      </c>
      <c r="D1590" s="1" t="s">
        <v>532</v>
      </c>
      <c r="E1590" s="1" t="s">
        <v>927</v>
      </c>
      <c r="F1590" s="1" t="s">
        <v>927</v>
      </c>
      <c r="G1590" s="1">
        <v>79.0</v>
      </c>
      <c r="H1590" s="1">
        <v>4.62704565</v>
      </c>
      <c r="I1590" s="1">
        <v>5.21</v>
      </c>
      <c r="J1590" s="1">
        <v>1.329887</v>
      </c>
    </row>
    <row r="1591">
      <c r="A1591" s="1">
        <v>2025.0</v>
      </c>
      <c r="B1591" s="1" t="s">
        <v>784</v>
      </c>
      <c r="C1591" s="1">
        <v>642121.0</v>
      </c>
      <c r="D1591" s="1" t="s">
        <v>540</v>
      </c>
      <c r="E1591" s="1" t="s">
        <v>927</v>
      </c>
      <c r="F1591" s="1" t="s">
        <v>927</v>
      </c>
      <c r="G1591" s="1">
        <v>48.0</v>
      </c>
      <c r="H1591" s="1">
        <v>2.811369509</v>
      </c>
      <c r="I1591" s="1">
        <v>5.01</v>
      </c>
      <c r="J1591" s="1">
        <v>1.072318</v>
      </c>
    </row>
    <row r="1592">
      <c r="A1592" s="1">
        <v>2025.0</v>
      </c>
      <c r="B1592" s="1" t="s">
        <v>784</v>
      </c>
      <c r="C1592" s="1">
        <v>642121.0</v>
      </c>
      <c r="D1592" s="1" t="s">
        <v>537</v>
      </c>
      <c r="E1592" s="1" t="s">
        <v>927</v>
      </c>
      <c r="F1592" s="1" t="s">
        <v>927</v>
      </c>
      <c r="G1592" s="1">
        <v>66.0</v>
      </c>
      <c r="H1592" s="1">
        <v>3.865633075</v>
      </c>
      <c r="I1592" s="1">
        <v>5.37</v>
      </c>
      <c r="J1592" s="1">
        <v>0.971387</v>
      </c>
    </row>
    <row r="1593">
      <c r="A1593" s="1">
        <v>2025.0</v>
      </c>
      <c r="B1593" s="1" t="s">
        <v>784</v>
      </c>
      <c r="C1593" s="1">
        <v>642121.0</v>
      </c>
      <c r="D1593" s="1" t="s">
        <v>533</v>
      </c>
      <c r="E1593" s="1" t="s">
        <v>927</v>
      </c>
      <c r="F1593" s="1" t="s">
        <v>927</v>
      </c>
      <c r="G1593" s="1">
        <v>1.0</v>
      </c>
      <c r="H1593" s="1">
        <v>0.058570198</v>
      </c>
      <c r="I1593" s="1">
        <v>3.8</v>
      </c>
      <c r="J1593" s="1">
        <v>0.049471</v>
      </c>
    </row>
    <row r="1594">
      <c r="A1594" s="1">
        <v>2025.0</v>
      </c>
      <c r="B1594" s="1" t="s">
        <v>784</v>
      </c>
      <c r="C1594" s="1">
        <v>642121.0</v>
      </c>
      <c r="D1594" s="1" t="s">
        <v>539</v>
      </c>
      <c r="E1594" s="1" t="s">
        <v>927</v>
      </c>
      <c r="F1594" s="1" t="s">
        <v>927</v>
      </c>
      <c r="G1594" s="1">
        <v>1.0</v>
      </c>
      <c r="H1594" s="1">
        <v>0.058570198</v>
      </c>
      <c r="I1594" s="1">
        <v>5.34</v>
      </c>
      <c r="J1594" s="1">
        <v>0.014302</v>
      </c>
    </row>
    <row r="1595">
      <c r="A1595" s="1">
        <v>2025.0</v>
      </c>
      <c r="B1595" s="1" t="s">
        <v>950</v>
      </c>
      <c r="C1595" s="1">
        <v>677961.0</v>
      </c>
      <c r="D1595" s="1" t="s">
        <v>536</v>
      </c>
      <c r="E1595" s="1" t="s">
        <v>927</v>
      </c>
      <c r="F1595" s="1" t="s">
        <v>926</v>
      </c>
      <c r="G1595" s="1">
        <v>8.0</v>
      </c>
      <c r="H1595" s="1">
        <v>0.205128205</v>
      </c>
      <c r="I1595" s="1">
        <v>3.36</v>
      </c>
      <c r="J1595" s="1">
        <v>0.436501</v>
      </c>
    </row>
    <row r="1596">
      <c r="A1596" s="1">
        <v>2025.0</v>
      </c>
      <c r="B1596" s="1" t="s">
        <v>950</v>
      </c>
      <c r="C1596" s="1">
        <v>677961.0</v>
      </c>
      <c r="D1596" s="1" t="s">
        <v>533</v>
      </c>
      <c r="E1596" s="1" t="s">
        <v>927</v>
      </c>
      <c r="F1596" s="1" t="s">
        <v>926</v>
      </c>
      <c r="G1596" s="1">
        <v>4.0</v>
      </c>
      <c r="H1596" s="1">
        <v>0.102564103</v>
      </c>
      <c r="I1596" s="1">
        <v>5.5</v>
      </c>
      <c r="J1596" s="1">
        <v>0.050668</v>
      </c>
    </row>
    <row r="1597">
      <c r="A1597" s="1">
        <v>2025.0</v>
      </c>
      <c r="B1597" s="1" t="s">
        <v>950</v>
      </c>
      <c r="C1597" s="1">
        <v>677961.0</v>
      </c>
      <c r="D1597" s="1" t="s">
        <v>539</v>
      </c>
      <c r="E1597" s="1" t="s">
        <v>927</v>
      </c>
      <c r="F1597" s="1" t="s">
        <v>926</v>
      </c>
      <c r="G1597" s="1">
        <v>2.0</v>
      </c>
      <c r="H1597" s="1">
        <v>0.051282051</v>
      </c>
      <c r="I1597" s="1">
        <v>4.39</v>
      </c>
      <c r="J1597" s="1">
        <v>0.070389</v>
      </c>
    </row>
    <row r="1598">
      <c r="A1598" s="1">
        <v>2025.0</v>
      </c>
      <c r="B1598" s="1" t="s">
        <v>950</v>
      </c>
      <c r="C1598" s="1">
        <v>677961.0</v>
      </c>
      <c r="D1598" s="1" t="s">
        <v>536</v>
      </c>
      <c r="E1598" s="1" t="s">
        <v>927</v>
      </c>
      <c r="F1598" s="1" t="s">
        <v>927</v>
      </c>
      <c r="G1598" s="1">
        <v>15.0</v>
      </c>
      <c r="H1598" s="1">
        <v>0.384615385</v>
      </c>
      <c r="I1598" s="1">
        <v>4.56</v>
      </c>
      <c r="J1598" s="1">
        <v>0.471343</v>
      </c>
    </row>
    <row r="1599">
      <c r="A1599" s="1">
        <v>2025.0</v>
      </c>
      <c r="B1599" s="1" t="s">
        <v>950</v>
      </c>
      <c r="C1599" s="1">
        <v>677961.0</v>
      </c>
      <c r="D1599" s="1" t="s">
        <v>533</v>
      </c>
      <c r="E1599" s="1" t="s">
        <v>927</v>
      </c>
      <c r="F1599" s="1" t="s">
        <v>927</v>
      </c>
      <c r="G1599" s="1">
        <v>5.0</v>
      </c>
      <c r="H1599" s="1">
        <v>0.128205128</v>
      </c>
      <c r="I1599" s="1">
        <v>5.89</v>
      </c>
      <c r="J1599" s="1">
        <v>0.02836</v>
      </c>
    </row>
    <row r="1600">
      <c r="A1600" s="1">
        <v>2025.0</v>
      </c>
      <c r="B1600" s="1" t="s">
        <v>950</v>
      </c>
      <c r="C1600" s="1">
        <v>677961.0</v>
      </c>
      <c r="D1600" s="1" t="s">
        <v>539</v>
      </c>
      <c r="E1600" s="1" t="s">
        <v>927</v>
      </c>
      <c r="F1600" s="1" t="s">
        <v>927</v>
      </c>
      <c r="G1600" s="1">
        <v>5.0</v>
      </c>
      <c r="H1600" s="1">
        <v>0.128205128</v>
      </c>
      <c r="I1600" s="1">
        <v>4.44</v>
      </c>
      <c r="J1600" s="1">
        <v>0.162689</v>
      </c>
    </row>
    <row r="1601">
      <c r="A1601" s="1">
        <v>2025.0</v>
      </c>
      <c r="B1601" s="1" t="s">
        <v>502</v>
      </c>
      <c r="C1601" s="1">
        <v>668390.0</v>
      </c>
      <c r="D1601" s="1" t="s">
        <v>541</v>
      </c>
      <c r="E1601" s="1" t="s">
        <v>927</v>
      </c>
      <c r="F1601" s="1" t="s">
        <v>926</v>
      </c>
      <c r="G1601" s="1">
        <v>2.0</v>
      </c>
      <c r="H1601" s="1">
        <v>0.13462574</v>
      </c>
      <c r="I1601" s="1">
        <v>4.64</v>
      </c>
      <c r="J1601" s="1">
        <v>0.065062</v>
      </c>
    </row>
    <row r="1602">
      <c r="A1602" s="1">
        <v>2025.0</v>
      </c>
      <c r="B1602" s="1" t="s">
        <v>502</v>
      </c>
      <c r="C1602" s="1">
        <v>668390.0</v>
      </c>
      <c r="D1602" s="1" t="s">
        <v>540</v>
      </c>
      <c r="E1602" s="1" t="s">
        <v>927</v>
      </c>
      <c r="F1602" s="1" t="s">
        <v>926</v>
      </c>
      <c r="G1602" s="1">
        <v>46.0</v>
      </c>
      <c r="H1602" s="1">
        <v>3.09639203</v>
      </c>
      <c r="I1602" s="1">
        <v>5.08</v>
      </c>
      <c r="J1602" s="1">
        <v>1.008923</v>
      </c>
    </row>
    <row r="1603">
      <c r="A1603" s="1">
        <v>2025.0</v>
      </c>
      <c r="B1603" s="1" t="s">
        <v>502</v>
      </c>
      <c r="C1603" s="1">
        <v>668390.0</v>
      </c>
      <c r="D1603" s="1" t="s">
        <v>537</v>
      </c>
      <c r="E1603" s="1" t="s">
        <v>927</v>
      </c>
      <c r="F1603" s="1" t="s">
        <v>926</v>
      </c>
      <c r="G1603" s="1">
        <v>85.0</v>
      </c>
      <c r="H1603" s="1">
        <v>5.721593969</v>
      </c>
      <c r="I1603" s="1">
        <v>4.67</v>
      </c>
      <c r="J1603" s="1">
        <v>2.534755</v>
      </c>
    </row>
    <row r="1604">
      <c r="A1604" s="1">
        <v>2025.0</v>
      </c>
      <c r="B1604" s="1" t="s">
        <v>502</v>
      </c>
      <c r="C1604" s="1">
        <v>668390.0</v>
      </c>
      <c r="D1604" s="1" t="s">
        <v>538</v>
      </c>
      <c r="E1604" s="1" t="s">
        <v>927</v>
      </c>
      <c r="F1604" s="1" t="s">
        <v>926</v>
      </c>
      <c r="G1604" s="1">
        <v>45.0</v>
      </c>
      <c r="H1604" s="1">
        <v>3.02907916</v>
      </c>
      <c r="I1604" s="1">
        <v>4.17</v>
      </c>
      <c r="J1604" s="1">
        <v>1.741252</v>
      </c>
    </row>
    <row r="1605">
      <c r="A1605" s="1">
        <v>2025.0</v>
      </c>
      <c r="B1605" s="1" t="s">
        <v>502</v>
      </c>
      <c r="C1605" s="1">
        <v>668390.0</v>
      </c>
      <c r="D1605" s="1" t="s">
        <v>536</v>
      </c>
      <c r="E1605" s="1" t="s">
        <v>927</v>
      </c>
      <c r="F1605" s="1" t="s">
        <v>926</v>
      </c>
      <c r="G1605" s="1">
        <v>21.0</v>
      </c>
      <c r="H1605" s="1">
        <v>1.413570275</v>
      </c>
      <c r="I1605" s="1">
        <v>3.79</v>
      </c>
      <c r="J1605" s="1">
        <v>1.01069</v>
      </c>
    </row>
    <row r="1606">
      <c r="A1606" s="1">
        <v>2025.0</v>
      </c>
      <c r="B1606" s="1" t="s">
        <v>502</v>
      </c>
      <c r="C1606" s="1">
        <v>668390.0</v>
      </c>
      <c r="D1606" s="1" t="s">
        <v>533</v>
      </c>
      <c r="E1606" s="1" t="s">
        <v>927</v>
      </c>
      <c r="F1606" s="1" t="s">
        <v>926</v>
      </c>
      <c r="G1606" s="1">
        <v>44.0</v>
      </c>
      <c r="H1606" s="1">
        <v>2.96176629</v>
      </c>
      <c r="I1606" s="1">
        <v>5.22</v>
      </c>
      <c r="J1606" s="1">
        <v>0.773947</v>
      </c>
    </row>
    <row r="1607">
      <c r="A1607" s="1">
        <v>2025.0</v>
      </c>
      <c r="B1607" s="1" t="s">
        <v>502</v>
      </c>
      <c r="C1607" s="1">
        <v>668390.0</v>
      </c>
      <c r="D1607" s="1" t="s">
        <v>541</v>
      </c>
      <c r="E1607" s="1" t="s">
        <v>927</v>
      </c>
      <c r="F1607" s="1" t="s">
        <v>927</v>
      </c>
      <c r="G1607" s="1">
        <v>4.0</v>
      </c>
      <c r="H1607" s="1">
        <v>0.269251481</v>
      </c>
      <c r="I1607" s="1">
        <v>4.52</v>
      </c>
      <c r="J1607" s="1">
        <v>0.128696</v>
      </c>
    </row>
    <row r="1608">
      <c r="A1608" s="1">
        <v>2025.0</v>
      </c>
      <c r="B1608" s="1" t="s">
        <v>502</v>
      </c>
      <c r="C1608" s="1">
        <v>668390.0</v>
      </c>
      <c r="D1608" s="1" t="s">
        <v>540</v>
      </c>
      <c r="E1608" s="1" t="s">
        <v>927</v>
      </c>
      <c r="F1608" s="1" t="s">
        <v>927</v>
      </c>
      <c r="G1608" s="1">
        <v>72.0</v>
      </c>
      <c r="H1608" s="1">
        <v>4.846526656</v>
      </c>
      <c r="I1608" s="1">
        <v>5.38</v>
      </c>
      <c r="J1608" s="1">
        <v>1.110749</v>
      </c>
    </row>
    <row r="1609">
      <c r="A1609" s="1">
        <v>2025.0</v>
      </c>
      <c r="B1609" s="1" t="s">
        <v>502</v>
      </c>
      <c r="C1609" s="1">
        <v>668390.0</v>
      </c>
      <c r="D1609" s="1" t="s">
        <v>537</v>
      </c>
      <c r="E1609" s="1" t="s">
        <v>927</v>
      </c>
      <c r="F1609" s="1" t="s">
        <v>927</v>
      </c>
      <c r="G1609" s="1">
        <v>87.0</v>
      </c>
      <c r="H1609" s="1">
        <v>5.856219709</v>
      </c>
      <c r="I1609" s="1">
        <v>5.0</v>
      </c>
      <c r="J1609" s="1">
        <v>1.914797</v>
      </c>
    </row>
    <row r="1610">
      <c r="A1610" s="1">
        <v>2025.0</v>
      </c>
      <c r="B1610" s="1" t="s">
        <v>502</v>
      </c>
      <c r="C1610" s="1">
        <v>668390.0</v>
      </c>
      <c r="D1610" s="1" t="s">
        <v>538</v>
      </c>
      <c r="E1610" s="1" t="s">
        <v>927</v>
      </c>
      <c r="F1610" s="1" t="s">
        <v>927</v>
      </c>
      <c r="G1610" s="1">
        <v>30.0</v>
      </c>
      <c r="H1610" s="1">
        <v>2.019386107</v>
      </c>
      <c r="I1610" s="1">
        <v>3.77</v>
      </c>
      <c r="J1610" s="1">
        <v>1.419779</v>
      </c>
    </row>
    <row r="1611">
      <c r="A1611" s="1">
        <v>2025.0</v>
      </c>
      <c r="B1611" s="1" t="s">
        <v>502</v>
      </c>
      <c r="C1611" s="1">
        <v>668390.0</v>
      </c>
      <c r="D1611" s="1" t="s">
        <v>536</v>
      </c>
      <c r="E1611" s="1" t="s">
        <v>927</v>
      </c>
      <c r="F1611" s="1" t="s">
        <v>927</v>
      </c>
      <c r="G1611" s="1">
        <v>108.0</v>
      </c>
      <c r="H1611" s="1">
        <v>7.269789984</v>
      </c>
      <c r="I1611" s="1">
        <v>4.56</v>
      </c>
      <c r="J1611" s="1">
        <v>3.372084</v>
      </c>
    </row>
    <row r="1612">
      <c r="A1612" s="1">
        <v>2025.0</v>
      </c>
      <c r="B1612" s="1" t="s">
        <v>502</v>
      </c>
      <c r="C1612" s="1">
        <v>668390.0</v>
      </c>
      <c r="D1612" s="1" t="s">
        <v>533</v>
      </c>
      <c r="E1612" s="1" t="s">
        <v>927</v>
      </c>
      <c r="F1612" s="1" t="s">
        <v>927</v>
      </c>
      <c r="G1612" s="1">
        <v>75.0</v>
      </c>
      <c r="H1612" s="1">
        <v>5.048465267</v>
      </c>
      <c r="I1612" s="1">
        <v>5.18</v>
      </c>
      <c r="J1612" s="1">
        <v>1.376169</v>
      </c>
    </row>
    <row r="1613">
      <c r="A1613" s="1">
        <v>2025.0</v>
      </c>
      <c r="B1613" s="1" t="s">
        <v>663</v>
      </c>
      <c r="C1613" s="1">
        <v>670059.0</v>
      </c>
      <c r="D1613" s="1" t="s">
        <v>540</v>
      </c>
      <c r="E1613" s="1" t="s">
        <v>927</v>
      </c>
      <c r="F1613" s="1" t="s">
        <v>926</v>
      </c>
      <c r="G1613" s="1">
        <v>60.0</v>
      </c>
      <c r="H1613" s="1">
        <v>3.130081301</v>
      </c>
      <c r="I1613" s="1">
        <v>5.28</v>
      </c>
      <c r="J1613" s="1">
        <v>0.95881</v>
      </c>
    </row>
    <row r="1614">
      <c r="A1614" s="1">
        <v>2025.0</v>
      </c>
      <c r="B1614" s="1" t="s">
        <v>663</v>
      </c>
      <c r="C1614" s="1">
        <v>670059.0</v>
      </c>
      <c r="D1614" s="1" t="s">
        <v>537</v>
      </c>
      <c r="E1614" s="1" t="s">
        <v>927</v>
      </c>
      <c r="F1614" s="1" t="s">
        <v>926</v>
      </c>
      <c r="G1614" s="1">
        <v>25.0</v>
      </c>
      <c r="H1614" s="1">
        <v>1.304200542</v>
      </c>
      <c r="I1614" s="1">
        <v>4.63</v>
      </c>
      <c r="J1614" s="1">
        <v>0.763363</v>
      </c>
    </row>
    <row r="1615">
      <c r="A1615" s="1">
        <v>2025.0</v>
      </c>
      <c r="B1615" s="1" t="s">
        <v>663</v>
      </c>
      <c r="C1615" s="1">
        <v>670059.0</v>
      </c>
      <c r="D1615" s="1" t="s">
        <v>538</v>
      </c>
      <c r="E1615" s="1" t="s">
        <v>927</v>
      </c>
      <c r="F1615" s="1" t="s">
        <v>926</v>
      </c>
      <c r="G1615" s="1">
        <v>19.0</v>
      </c>
      <c r="H1615" s="1">
        <v>0.991192412</v>
      </c>
      <c r="I1615" s="1">
        <v>4.69</v>
      </c>
      <c r="J1615" s="1">
        <v>0.523438</v>
      </c>
    </row>
    <row r="1616">
      <c r="A1616" s="1">
        <v>2025.0</v>
      </c>
      <c r="B1616" s="1" t="s">
        <v>663</v>
      </c>
      <c r="C1616" s="1">
        <v>670059.0</v>
      </c>
      <c r="D1616" s="1" t="s">
        <v>536</v>
      </c>
      <c r="E1616" s="1" t="s">
        <v>927</v>
      </c>
      <c r="F1616" s="1" t="s">
        <v>926</v>
      </c>
      <c r="G1616" s="1">
        <v>44.0</v>
      </c>
      <c r="H1616" s="1">
        <v>2.295392954</v>
      </c>
      <c r="I1616" s="1">
        <v>4.94</v>
      </c>
      <c r="J1616" s="1">
        <v>1.045105</v>
      </c>
    </row>
    <row r="1617">
      <c r="A1617" s="1">
        <v>2025.0</v>
      </c>
      <c r="B1617" s="1" t="s">
        <v>663</v>
      </c>
      <c r="C1617" s="1">
        <v>670059.0</v>
      </c>
      <c r="D1617" s="1" t="s">
        <v>539</v>
      </c>
      <c r="E1617" s="1" t="s">
        <v>927</v>
      </c>
      <c r="F1617" s="1" t="s">
        <v>926</v>
      </c>
      <c r="G1617" s="1">
        <v>45.0</v>
      </c>
      <c r="H1617" s="1">
        <v>2.347560976</v>
      </c>
      <c r="I1617" s="1">
        <v>4.24</v>
      </c>
      <c r="J1617" s="1">
        <v>1.668208</v>
      </c>
    </row>
    <row r="1618">
      <c r="A1618" s="1">
        <v>2025.0</v>
      </c>
      <c r="B1618" s="1" t="s">
        <v>663</v>
      </c>
      <c r="C1618" s="1">
        <v>670059.0</v>
      </c>
      <c r="D1618" s="1" t="s">
        <v>540</v>
      </c>
      <c r="E1618" s="1" t="s">
        <v>927</v>
      </c>
      <c r="F1618" s="1" t="s">
        <v>927</v>
      </c>
      <c r="G1618" s="1">
        <v>61.0</v>
      </c>
      <c r="H1618" s="1">
        <v>3.182249322</v>
      </c>
      <c r="I1618" s="1">
        <v>5.06</v>
      </c>
      <c r="J1618" s="1">
        <v>1.36123</v>
      </c>
    </row>
    <row r="1619">
      <c r="A1619" s="1">
        <v>2025.0</v>
      </c>
      <c r="B1619" s="1" t="s">
        <v>663</v>
      </c>
      <c r="C1619" s="1">
        <v>670059.0</v>
      </c>
      <c r="D1619" s="1" t="s">
        <v>537</v>
      </c>
      <c r="E1619" s="1" t="s">
        <v>927</v>
      </c>
      <c r="F1619" s="1" t="s">
        <v>927</v>
      </c>
      <c r="G1619" s="1">
        <v>8.0</v>
      </c>
      <c r="H1619" s="1">
        <v>0.417344173</v>
      </c>
      <c r="I1619" s="1">
        <v>4.84</v>
      </c>
      <c r="J1619" s="1">
        <v>0.198372</v>
      </c>
    </row>
    <row r="1620">
      <c r="A1620" s="1">
        <v>2025.0</v>
      </c>
      <c r="B1620" s="1" t="s">
        <v>663</v>
      </c>
      <c r="C1620" s="1">
        <v>670059.0</v>
      </c>
      <c r="D1620" s="1" t="s">
        <v>536</v>
      </c>
      <c r="E1620" s="1" t="s">
        <v>927</v>
      </c>
      <c r="F1620" s="1" t="s">
        <v>927</v>
      </c>
      <c r="G1620" s="1">
        <v>140.0</v>
      </c>
      <c r="H1620" s="1">
        <v>7.303523035</v>
      </c>
      <c r="I1620" s="1">
        <v>5.0</v>
      </c>
      <c r="J1620" s="1">
        <v>3.167792</v>
      </c>
    </row>
    <row r="1621">
      <c r="A1621" s="1">
        <v>2025.0</v>
      </c>
      <c r="B1621" s="1" t="s">
        <v>663</v>
      </c>
      <c r="C1621" s="1">
        <v>670059.0</v>
      </c>
      <c r="D1621" s="1" t="s">
        <v>533</v>
      </c>
      <c r="E1621" s="1" t="s">
        <v>927</v>
      </c>
      <c r="F1621" s="1" t="s">
        <v>927</v>
      </c>
      <c r="G1621" s="1">
        <v>2.0</v>
      </c>
      <c r="H1621" s="1">
        <v>0.104336043</v>
      </c>
      <c r="I1621" s="1">
        <v>6.43</v>
      </c>
      <c r="J1621" s="1">
        <v>-0.017225</v>
      </c>
    </row>
    <row r="1622">
      <c r="A1622" s="1">
        <v>2025.0</v>
      </c>
      <c r="B1622" s="1" t="s">
        <v>663</v>
      </c>
      <c r="C1622" s="1">
        <v>670059.0</v>
      </c>
      <c r="D1622" s="1" t="s">
        <v>539</v>
      </c>
      <c r="E1622" s="1" t="s">
        <v>927</v>
      </c>
      <c r="F1622" s="1" t="s">
        <v>927</v>
      </c>
      <c r="G1622" s="1">
        <v>88.0</v>
      </c>
      <c r="H1622" s="1">
        <v>4.590785908</v>
      </c>
      <c r="I1622" s="1">
        <v>4.52</v>
      </c>
      <c r="J1622" s="1">
        <v>2.707433</v>
      </c>
    </row>
    <row r="1623">
      <c r="A1623" s="1">
        <v>2025.0</v>
      </c>
      <c r="B1623" s="1" t="s">
        <v>644</v>
      </c>
      <c r="C1623" s="1">
        <v>621363.0</v>
      </c>
      <c r="D1623" s="1" t="s">
        <v>541</v>
      </c>
      <c r="E1623" s="1" t="s">
        <v>926</v>
      </c>
      <c r="F1623" s="1" t="s">
        <v>926</v>
      </c>
      <c r="G1623" s="1">
        <v>4.0</v>
      </c>
      <c r="H1623" s="1">
        <v>0.153005464</v>
      </c>
      <c r="I1623" s="1">
        <v>3.7</v>
      </c>
      <c r="J1623" s="1">
        <v>0.191871</v>
      </c>
    </row>
    <row r="1624">
      <c r="A1624" s="1">
        <v>2025.0</v>
      </c>
      <c r="B1624" s="1" t="s">
        <v>644</v>
      </c>
      <c r="C1624" s="1">
        <v>621363.0</v>
      </c>
      <c r="D1624" s="1" t="s">
        <v>537</v>
      </c>
      <c r="E1624" s="1" t="s">
        <v>926</v>
      </c>
      <c r="F1624" s="1" t="s">
        <v>926</v>
      </c>
      <c r="G1624" s="1">
        <v>96.0</v>
      </c>
      <c r="H1624" s="1">
        <v>3.672131148</v>
      </c>
      <c r="I1624" s="1">
        <v>5.08</v>
      </c>
      <c r="J1624" s="1">
        <v>1.947608</v>
      </c>
    </row>
    <row r="1625">
      <c r="A1625" s="1">
        <v>2025.0</v>
      </c>
      <c r="B1625" s="1" t="s">
        <v>644</v>
      </c>
      <c r="C1625" s="1">
        <v>621363.0</v>
      </c>
      <c r="D1625" s="1" t="s">
        <v>533</v>
      </c>
      <c r="E1625" s="1" t="s">
        <v>926</v>
      </c>
      <c r="F1625" s="1" t="s">
        <v>926</v>
      </c>
      <c r="G1625" s="1">
        <v>37.0</v>
      </c>
      <c r="H1625" s="1">
        <v>1.415300546</v>
      </c>
      <c r="I1625" s="1">
        <v>4.55</v>
      </c>
      <c r="J1625" s="1">
        <v>1.112163</v>
      </c>
    </row>
    <row r="1626">
      <c r="A1626" s="1">
        <v>2025.0</v>
      </c>
      <c r="B1626" s="1" t="s">
        <v>644</v>
      </c>
      <c r="C1626" s="1">
        <v>621363.0</v>
      </c>
      <c r="D1626" s="1" t="s">
        <v>541</v>
      </c>
      <c r="E1626" s="1" t="s">
        <v>926</v>
      </c>
      <c r="F1626" s="1" t="s">
        <v>927</v>
      </c>
      <c r="G1626" s="1">
        <v>1.0</v>
      </c>
      <c r="H1626" s="1">
        <v>0.038251366</v>
      </c>
      <c r="I1626" s="1">
        <v>1.99</v>
      </c>
      <c r="J1626" s="1">
        <v>0.079001</v>
      </c>
    </row>
    <row r="1627">
      <c r="A1627" s="1">
        <v>2025.0</v>
      </c>
      <c r="B1627" s="1" t="s">
        <v>644</v>
      </c>
      <c r="C1627" s="1">
        <v>621363.0</v>
      </c>
      <c r="D1627" s="1" t="s">
        <v>537</v>
      </c>
      <c r="E1627" s="1" t="s">
        <v>926</v>
      </c>
      <c r="F1627" s="1" t="s">
        <v>927</v>
      </c>
      <c r="G1627" s="1">
        <v>79.0</v>
      </c>
      <c r="H1627" s="1">
        <v>3.021857923</v>
      </c>
      <c r="I1627" s="1">
        <v>4.56</v>
      </c>
      <c r="J1627" s="1">
        <v>2.491808</v>
      </c>
    </row>
    <row r="1628">
      <c r="A1628" s="1">
        <v>2025.0</v>
      </c>
      <c r="B1628" s="1" t="s">
        <v>644</v>
      </c>
      <c r="C1628" s="1">
        <v>621363.0</v>
      </c>
      <c r="D1628" s="1" t="s">
        <v>533</v>
      </c>
      <c r="E1628" s="1" t="s">
        <v>926</v>
      </c>
      <c r="F1628" s="1" t="s">
        <v>927</v>
      </c>
      <c r="G1628" s="1">
        <v>27.0</v>
      </c>
      <c r="H1628" s="1">
        <v>1.032786885</v>
      </c>
      <c r="I1628" s="1">
        <v>3.38</v>
      </c>
      <c r="J1628" s="1">
        <v>1.45788</v>
      </c>
    </row>
    <row r="1629">
      <c r="A1629" s="1">
        <v>2025.0</v>
      </c>
      <c r="B1629" s="1" t="s">
        <v>313</v>
      </c>
      <c r="C1629" s="1">
        <v>607067.0</v>
      </c>
      <c r="D1629" s="1" t="s">
        <v>541</v>
      </c>
      <c r="E1629" s="1" t="s">
        <v>927</v>
      </c>
      <c r="F1629" s="1" t="s">
        <v>926</v>
      </c>
      <c r="G1629" s="1">
        <v>218.0</v>
      </c>
      <c r="H1629" s="1">
        <v>13.71285695</v>
      </c>
      <c r="I1629" s="1">
        <v>5.29</v>
      </c>
      <c r="J1629" s="1">
        <v>3.618691</v>
      </c>
    </row>
    <row r="1630">
      <c r="A1630" s="1">
        <v>2025.0</v>
      </c>
      <c r="B1630" s="1" t="s">
        <v>313</v>
      </c>
      <c r="C1630" s="1">
        <v>607067.0</v>
      </c>
      <c r="D1630" s="1" t="s">
        <v>540</v>
      </c>
      <c r="E1630" s="1" t="s">
        <v>927</v>
      </c>
      <c r="F1630" s="1" t="s">
        <v>926</v>
      </c>
      <c r="G1630" s="1">
        <v>113.0</v>
      </c>
      <c r="H1630" s="1">
        <v>7.108040532</v>
      </c>
      <c r="I1630" s="1">
        <v>4.51</v>
      </c>
      <c r="J1630" s="1">
        <v>3.664402</v>
      </c>
    </row>
    <row r="1631">
      <c r="A1631" s="1">
        <v>2025.0</v>
      </c>
      <c r="B1631" s="1" t="s">
        <v>313</v>
      </c>
      <c r="C1631" s="1">
        <v>607067.0</v>
      </c>
      <c r="D1631" s="1" t="s">
        <v>537</v>
      </c>
      <c r="E1631" s="1" t="s">
        <v>927</v>
      </c>
      <c r="F1631" s="1" t="s">
        <v>926</v>
      </c>
      <c r="G1631" s="1">
        <v>631.0</v>
      </c>
      <c r="H1631" s="1">
        <v>39.69180155</v>
      </c>
      <c r="I1631" s="1">
        <v>4.78</v>
      </c>
      <c r="J1631" s="1">
        <v>17.559949</v>
      </c>
    </row>
    <row r="1632">
      <c r="A1632" s="1">
        <v>2025.0</v>
      </c>
      <c r="B1632" s="1" t="s">
        <v>313</v>
      </c>
      <c r="C1632" s="1">
        <v>607067.0</v>
      </c>
      <c r="D1632" s="1" t="s">
        <v>538</v>
      </c>
      <c r="E1632" s="1" t="s">
        <v>927</v>
      </c>
      <c r="F1632" s="1" t="s">
        <v>926</v>
      </c>
      <c r="G1632" s="1">
        <v>278.0</v>
      </c>
      <c r="H1632" s="1">
        <v>17.48703777</v>
      </c>
      <c r="I1632" s="1">
        <v>4.91</v>
      </c>
      <c r="J1632" s="1">
        <v>6.643915</v>
      </c>
    </row>
    <row r="1633">
      <c r="A1633" s="1">
        <v>2025.0</v>
      </c>
      <c r="B1633" s="1" t="s">
        <v>313</v>
      </c>
      <c r="C1633" s="1">
        <v>607067.0</v>
      </c>
      <c r="D1633" s="1" t="s">
        <v>536</v>
      </c>
      <c r="E1633" s="1" t="s">
        <v>927</v>
      </c>
      <c r="F1633" s="1" t="s">
        <v>926</v>
      </c>
      <c r="G1633" s="1">
        <v>50.0</v>
      </c>
      <c r="H1633" s="1">
        <v>3.145150678</v>
      </c>
      <c r="I1633" s="1">
        <v>4.05</v>
      </c>
      <c r="J1633" s="1">
        <v>2.018165</v>
      </c>
    </row>
    <row r="1634">
      <c r="A1634" s="1">
        <v>2025.0</v>
      </c>
      <c r="B1634" s="1" t="s">
        <v>313</v>
      </c>
      <c r="C1634" s="1">
        <v>607067.0</v>
      </c>
      <c r="D1634" s="1" t="s">
        <v>533</v>
      </c>
      <c r="E1634" s="1" t="s">
        <v>927</v>
      </c>
      <c r="F1634" s="1" t="s">
        <v>926</v>
      </c>
      <c r="G1634" s="1">
        <v>52.0</v>
      </c>
      <c r="H1634" s="1">
        <v>3.270956705</v>
      </c>
      <c r="I1634" s="1">
        <v>5.57</v>
      </c>
      <c r="J1634" s="1">
        <v>0.452983</v>
      </c>
    </row>
    <row r="1635">
      <c r="A1635" s="1">
        <v>2025.0</v>
      </c>
      <c r="B1635" s="1" t="s">
        <v>313</v>
      </c>
      <c r="C1635" s="1">
        <v>607067.0</v>
      </c>
      <c r="D1635" s="1" t="s">
        <v>539</v>
      </c>
      <c r="E1635" s="1" t="s">
        <v>927</v>
      </c>
      <c r="F1635" s="1" t="s">
        <v>926</v>
      </c>
      <c r="G1635" s="1">
        <v>15.0</v>
      </c>
      <c r="H1635" s="1">
        <v>0.943545203</v>
      </c>
      <c r="I1635" s="1">
        <v>5.03</v>
      </c>
      <c r="J1635" s="1">
        <v>0.300444</v>
      </c>
    </row>
    <row r="1636">
      <c r="A1636" s="1">
        <v>2025.0</v>
      </c>
      <c r="B1636" s="1" t="s">
        <v>313</v>
      </c>
      <c r="C1636" s="1">
        <v>607067.0</v>
      </c>
      <c r="D1636" s="1" t="s">
        <v>541</v>
      </c>
      <c r="E1636" s="1" t="s">
        <v>927</v>
      </c>
      <c r="F1636" s="1" t="s">
        <v>927</v>
      </c>
      <c r="G1636" s="1">
        <v>14.0</v>
      </c>
      <c r="H1636" s="1">
        <v>0.88064219</v>
      </c>
      <c r="I1636" s="1">
        <v>5.15</v>
      </c>
      <c r="J1636" s="1">
        <v>0.270075</v>
      </c>
    </row>
    <row r="1637">
      <c r="A1637" s="1">
        <v>2025.0</v>
      </c>
      <c r="B1637" s="1" t="s">
        <v>313</v>
      </c>
      <c r="C1637" s="1">
        <v>607067.0</v>
      </c>
      <c r="D1637" s="1" t="s">
        <v>540</v>
      </c>
      <c r="E1637" s="1" t="s">
        <v>927</v>
      </c>
      <c r="F1637" s="1" t="s">
        <v>927</v>
      </c>
      <c r="G1637" s="1">
        <v>73.0</v>
      </c>
      <c r="H1637" s="1">
        <v>4.591919989</v>
      </c>
      <c r="I1637" s="1">
        <v>5.15</v>
      </c>
      <c r="J1637" s="1">
        <v>1.468031</v>
      </c>
    </row>
    <row r="1638">
      <c r="A1638" s="1">
        <v>2025.0</v>
      </c>
      <c r="B1638" s="1" t="s">
        <v>313</v>
      </c>
      <c r="C1638" s="1">
        <v>607067.0</v>
      </c>
      <c r="D1638" s="1" t="s">
        <v>537</v>
      </c>
      <c r="E1638" s="1" t="s">
        <v>927</v>
      </c>
      <c r="F1638" s="1" t="s">
        <v>927</v>
      </c>
      <c r="G1638" s="1">
        <v>436.0</v>
      </c>
      <c r="H1638" s="1">
        <v>27.42571391</v>
      </c>
      <c r="I1638" s="1">
        <v>4.94</v>
      </c>
      <c r="J1638" s="1">
        <v>10.641791</v>
      </c>
    </row>
    <row r="1639">
      <c r="A1639" s="1">
        <v>2025.0</v>
      </c>
      <c r="B1639" s="1" t="s">
        <v>313</v>
      </c>
      <c r="C1639" s="1">
        <v>607067.0</v>
      </c>
      <c r="D1639" s="1" t="s">
        <v>538</v>
      </c>
      <c r="E1639" s="1" t="s">
        <v>927</v>
      </c>
      <c r="F1639" s="1" t="s">
        <v>927</v>
      </c>
      <c r="G1639" s="1">
        <v>28.0</v>
      </c>
      <c r="H1639" s="1">
        <v>1.76128438</v>
      </c>
      <c r="I1639" s="1">
        <v>4.2</v>
      </c>
      <c r="J1639" s="1">
        <v>1.039419</v>
      </c>
    </row>
    <row r="1640">
      <c r="A1640" s="1">
        <v>2025.0</v>
      </c>
      <c r="B1640" s="1" t="s">
        <v>313</v>
      </c>
      <c r="C1640" s="1">
        <v>607067.0</v>
      </c>
      <c r="D1640" s="1" t="s">
        <v>536</v>
      </c>
      <c r="E1640" s="1" t="s">
        <v>927</v>
      </c>
      <c r="F1640" s="1" t="s">
        <v>927</v>
      </c>
      <c r="G1640" s="1">
        <v>202.0</v>
      </c>
      <c r="H1640" s="1">
        <v>12.70640874</v>
      </c>
      <c r="I1640" s="1">
        <v>4.76</v>
      </c>
      <c r="J1640" s="1">
        <v>5.574725</v>
      </c>
    </row>
    <row r="1641">
      <c r="A1641" s="1">
        <v>2025.0</v>
      </c>
      <c r="B1641" s="1" t="s">
        <v>313</v>
      </c>
      <c r="C1641" s="1">
        <v>607067.0</v>
      </c>
      <c r="D1641" s="1" t="s">
        <v>533</v>
      </c>
      <c r="E1641" s="1" t="s">
        <v>927</v>
      </c>
      <c r="F1641" s="1" t="s">
        <v>927</v>
      </c>
      <c r="G1641" s="1">
        <v>189.0</v>
      </c>
      <c r="H1641" s="1">
        <v>11.88866956</v>
      </c>
      <c r="I1641" s="1">
        <v>5.22</v>
      </c>
      <c r="J1641" s="1">
        <v>3.416749</v>
      </c>
    </row>
    <row r="1642">
      <c r="A1642" s="1">
        <v>2025.0</v>
      </c>
      <c r="B1642" s="1" t="s">
        <v>313</v>
      </c>
      <c r="C1642" s="1">
        <v>607067.0</v>
      </c>
      <c r="D1642" s="1" t="s">
        <v>539</v>
      </c>
      <c r="E1642" s="1" t="s">
        <v>927</v>
      </c>
      <c r="F1642" s="1" t="s">
        <v>927</v>
      </c>
      <c r="G1642" s="1">
        <v>234.0</v>
      </c>
      <c r="H1642" s="1">
        <v>14.71930517</v>
      </c>
      <c r="I1642" s="1">
        <v>5.47</v>
      </c>
      <c r="J1642" s="1">
        <v>2.767861</v>
      </c>
    </row>
    <row r="1643">
      <c r="A1643" s="1">
        <v>2025.0</v>
      </c>
      <c r="B1643" s="1" t="s">
        <v>782</v>
      </c>
      <c r="C1643" s="1">
        <v>681882.0</v>
      </c>
      <c r="D1643" s="1" t="s">
        <v>541</v>
      </c>
      <c r="E1643" s="1" t="s">
        <v>927</v>
      </c>
      <c r="F1643" s="1" t="s">
        <v>926</v>
      </c>
      <c r="G1643" s="1">
        <v>39.0</v>
      </c>
      <c r="H1643" s="1">
        <v>2.551401869</v>
      </c>
      <c r="I1643" s="1">
        <v>4.6</v>
      </c>
      <c r="J1643" s="1">
        <v>1.136399</v>
      </c>
    </row>
    <row r="1644">
      <c r="A1644" s="1">
        <v>2025.0</v>
      </c>
      <c r="B1644" s="1" t="s">
        <v>782</v>
      </c>
      <c r="C1644" s="1">
        <v>681882.0</v>
      </c>
      <c r="D1644" s="1" t="s">
        <v>537</v>
      </c>
      <c r="E1644" s="1" t="s">
        <v>927</v>
      </c>
      <c r="F1644" s="1" t="s">
        <v>926</v>
      </c>
      <c r="G1644" s="1">
        <v>30.0</v>
      </c>
      <c r="H1644" s="1">
        <v>1.962616822</v>
      </c>
      <c r="I1644" s="1">
        <v>4.83</v>
      </c>
      <c r="J1644" s="1">
        <v>0.803733</v>
      </c>
    </row>
    <row r="1645">
      <c r="A1645" s="1">
        <v>2025.0</v>
      </c>
      <c r="B1645" s="1" t="s">
        <v>782</v>
      </c>
      <c r="C1645" s="1">
        <v>681882.0</v>
      </c>
      <c r="D1645" s="1" t="s">
        <v>536</v>
      </c>
      <c r="E1645" s="1" t="s">
        <v>927</v>
      </c>
      <c r="F1645" s="1" t="s">
        <v>926</v>
      </c>
      <c r="G1645" s="1">
        <v>49.0</v>
      </c>
      <c r="H1645" s="1">
        <v>3.205607477</v>
      </c>
      <c r="I1645" s="1">
        <v>4.42</v>
      </c>
      <c r="J1645" s="1">
        <v>1.670048</v>
      </c>
    </row>
    <row r="1646">
      <c r="A1646" s="1">
        <v>2025.0</v>
      </c>
      <c r="B1646" s="1" t="s">
        <v>782</v>
      </c>
      <c r="C1646" s="1">
        <v>681882.0</v>
      </c>
      <c r="D1646" s="1" t="s">
        <v>533</v>
      </c>
      <c r="E1646" s="1" t="s">
        <v>927</v>
      </c>
      <c r="F1646" s="1" t="s">
        <v>926</v>
      </c>
      <c r="G1646" s="1">
        <v>8.0</v>
      </c>
      <c r="H1646" s="1">
        <v>0.523364486</v>
      </c>
      <c r="I1646" s="1">
        <v>5.31</v>
      </c>
      <c r="J1646" s="1">
        <v>0.109705</v>
      </c>
    </row>
    <row r="1647">
      <c r="A1647" s="1">
        <v>2025.0</v>
      </c>
      <c r="B1647" s="1" t="s">
        <v>782</v>
      </c>
      <c r="C1647" s="1">
        <v>681882.0</v>
      </c>
      <c r="D1647" s="1" t="s">
        <v>541</v>
      </c>
      <c r="E1647" s="1" t="s">
        <v>927</v>
      </c>
      <c r="F1647" s="1" t="s">
        <v>927</v>
      </c>
      <c r="G1647" s="1">
        <v>17.0</v>
      </c>
      <c r="H1647" s="1">
        <v>1.112149533</v>
      </c>
      <c r="I1647" s="1">
        <v>5.46</v>
      </c>
      <c r="J1647" s="1">
        <v>0.239523</v>
      </c>
    </row>
    <row r="1648">
      <c r="A1648" s="1">
        <v>2025.0</v>
      </c>
      <c r="B1648" s="1" t="s">
        <v>782</v>
      </c>
      <c r="C1648" s="1">
        <v>681882.0</v>
      </c>
      <c r="D1648" s="1" t="s">
        <v>537</v>
      </c>
      <c r="E1648" s="1" t="s">
        <v>927</v>
      </c>
      <c r="F1648" s="1" t="s">
        <v>927</v>
      </c>
      <c r="G1648" s="1">
        <v>2.0</v>
      </c>
      <c r="H1648" s="1">
        <v>0.130841121</v>
      </c>
      <c r="I1648" s="1">
        <v>4.73</v>
      </c>
      <c r="J1648" s="1">
        <v>0.058668</v>
      </c>
    </row>
    <row r="1649">
      <c r="A1649" s="1">
        <v>2025.0</v>
      </c>
      <c r="B1649" s="1" t="s">
        <v>782</v>
      </c>
      <c r="C1649" s="1">
        <v>681882.0</v>
      </c>
      <c r="D1649" s="1" t="s">
        <v>536</v>
      </c>
      <c r="E1649" s="1" t="s">
        <v>927</v>
      </c>
      <c r="F1649" s="1" t="s">
        <v>927</v>
      </c>
      <c r="G1649" s="1">
        <v>41.0</v>
      </c>
      <c r="H1649" s="1">
        <v>2.682242991</v>
      </c>
      <c r="I1649" s="1">
        <v>4.89</v>
      </c>
      <c r="J1649" s="1">
        <v>1.054144</v>
      </c>
    </row>
    <row r="1650">
      <c r="A1650" s="1">
        <v>2025.0</v>
      </c>
      <c r="B1650" s="1" t="s">
        <v>782</v>
      </c>
      <c r="C1650" s="1">
        <v>681882.0</v>
      </c>
      <c r="D1650" s="1" t="s">
        <v>533</v>
      </c>
      <c r="E1650" s="1" t="s">
        <v>927</v>
      </c>
      <c r="F1650" s="1" t="s">
        <v>927</v>
      </c>
      <c r="G1650" s="1">
        <v>28.0</v>
      </c>
      <c r="H1650" s="1">
        <v>1.831775701</v>
      </c>
      <c r="I1650" s="1">
        <v>4.9</v>
      </c>
      <c r="J1650" s="1">
        <v>0.701618</v>
      </c>
    </row>
    <row r="1651">
      <c r="A1651" s="1">
        <v>2025.0</v>
      </c>
      <c r="B1651" s="1" t="s">
        <v>683</v>
      </c>
      <c r="C1651" s="1">
        <v>676092.0</v>
      </c>
      <c r="D1651" s="1" t="s">
        <v>541</v>
      </c>
      <c r="E1651" s="1" t="s">
        <v>927</v>
      </c>
      <c r="F1651" s="1" t="s">
        <v>926</v>
      </c>
      <c r="G1651" s="1">
        <v>25.0</v>
      </c>
      <c r="H1651" s="1">
        <v>1.380153739</v>
      </c>
      <c r="I1651" s="1">
        <v>5.51</v>
      </c>
      <c r="J1651" s="1">
        <v>0.277306</v>
      </c>
    </row>
    <row r="1652">
      <c r="A1652" s="1">
        <v>2025.0</v>
      </c>
      <c r="B1652" s="1" t="s">
        <v>683</v>
      </c>
      <c r="C1652" s="1">
        <v>676092.0</v>
      </c>
      <c r="D1652" s="1" t="s">
        <v>540</v>
      </c>
      <c r="E1652" s="1" t="s">
        <v>927</v>
      </c>
      <c r="F1652" s="1" t="s">
        <v>926</v>
      </c>
      <c r="G1652" s="1">
        <v>56.0</v>
      </c>
      <c r="H1652" s="1">
        <v>3.091544375</v>
      </c>
      <c r="I1652" s="1">
        <v>5.27</v>
      </c>
      <c r="J1652" s="1">
        <v>0.918307</v>
      </c>
    </row>
    <row r="1653">
      <c r="A1653" s="1">
        <v>2025.0</v>
      </c>
      <c r="B1653" s="1" t="s">
        <v>683</v>
      </c>
      <c r="C1653" s="1">
        <v>676092.0</v>
      </c>
      <c r="D1653" s="1" t="s">
        <v>537</v>
      </c>
      <c r="E1653" s="1" t="s">
        <v>927</v>
      </c>
      <c r="F1653" s="1" t="s">
        <v>926</v>
      </c>
      <c r="G1653" s="1">
        <v>65.0</v>
      </c>
      <c r="H1653" s="1">
        <v>3.58839972</v>
      </c>
      <c r="I1653" s="1">
        <v>4.89</v>
      </c>
      <c r="J1653" s="1">
        <v>1.550475</v>
      </c>
    </row>
    <row r="1654">
      <c r="A1654" s="1">
        <v>2025.0</v>
      </c>
      <c r="B1654" s="1" t="s">
        <v>683</v>
      </c>
      <c r="C1654" s="1">
        <v>676092.0</v>
      </c>
      <c r="D1654" s="1" t="s">
        <v>536</v>
      </c>
      <c r="E1654" s="1" t="s">
        <v>927</v>
      </c>
      <c r="F1654" s="1" t="s">
        <v>926</v>
      </c>
      <c r="G1654" s="1">
        <v>9.0</v>
      </c>
      <c r="H1654" s="1">
        <v>0.496855346</v>
      </c>
      <c r="I1654" s="1">
        <v>4.44</v>
      </c>
      <c r="J1654" s="1">
        <v>0.318854</v>
      </c>
    </row>
    <row r="1655">
      <c r="A1655" s="1">
        <v>2025.0</v>
      </c>
      <c r="B1655" s="1" t="s">
        <v>683</v>
      </c>
      <c r="C1655" s="1">
        <v>676092.0</v>
      </c>
      <c r="D1655" s="1" t="s">
        <v>539</v>
      </c>
      <c r="E1655" s="1" t="s">
        <v>927</v>
      </c>
      <c r="F1655" s="1" t="s">
        <v>926</v>
      </c>
      <c r="G1655" s="1">
        <v>51.0</v>
      </c>
      <c r="H1655" s="1">
        <v>2.815513627</v>
      </c>
      <c r="I1655" s="1">
        <v>4.84</v>
      </c>
      <c r="J1655" s="1">
        <v>1.23594</v>
      </c>
    </row>
    <row r="1656">
      <c r="A1656" s="1">
        <v>2025.0</v>
      </c>
      <c r="B1656" s="1" t="s">
        <v>683</v>
      </c>
      <c r="C1656" s="1">
        <v>676092.0</v>
      </c>
      <c r="D1656" s="1" t="s">
        <v>541</v>
      </c>
      <c r="E1656" s="1" t="s">
        <v>927</v>
      </c>
      <c r="F1656" s="1" t="s">
        <v>927</v>
      </c>
      <c r="G1656" s="1">
        <v>12.0</v>
      </c>
      <c r="H1656" s="1">
        <v>0.662473795</v>
      </c>
      <c r="I1656" s="1">
        <v>5.49</v>
      </c>
      <c r="J1656" s="1">
        <v>0.141182</v>
      </c>
    </row>
    <row r="1657">
      <c r="A1657" s="1">
        <v>2025.0</v>
      </c>
      <c r="B1657" s="1" t="s">
        <v>683</v>
      </c>
      <c r="C1657" s="1">
        <v>676092.0</v>
      </c>
      <c r="D1657" s="1" t="s">
        <v>540</v>
      </c>
      <c r="E1657" s="1" t="s">
        <v>927</v>
      </c>
      <c r="F1657" s="1" t="s">
        <v>927</v>
      </c>
      <c r="G1657" s="1">
        <v>61.0</v>
      </c>
      <c r="H1657" s="1">
        <v>3.367575122</v>
      </c>
      <c r="I1657" s="1">
        <v>5.52</v>
      </c>
      <c r="J1657" s="1">
        <v>0.722627</v>
      </c>
    </row>
    <row r="1658">
      <c r="A1658" s="1">
        <v>2025.0</v>
      </c>
      <c r="B1658" s="1" t="s">
        <v>683</v>
      </c>
      <c r="C1658" s="1">
        <v>676092.0</v>
      </c>
      <c r="D1658" s="1" t="s">
        <v>537</v>
      </c>
      <c r="E1658" s="1" t="s">
        <v>927</v>
      </c>
      <c r="F1658" s="1" t="s">
        <v>927</v>
      </c>
      <c r="G1658" s="1">
        <v>82.0</v>
      </c>
      <c r="H1658" s="1">
        <v>4.526904263</v>
      </c>
      <c r="I1658" s="1">
        <v>5.25</v>
      </c>
      <c r="J1658" s="1">
        <v>1.387016</v>
      </c>
    </row>
    <row r="1659">
      <c r="A1659" s="1">
        <v>2025.0</v>
      </c>
      <c r="B1659" s="1" t="s">
        <v>683</v>
      </c>
      <c r="C1659" s="1">
        <v>676092.0</v>
      </c>
      <c r="D1659" s="1" t="s">
        <v>536</v>
      </c>
      <c r="E1659" s="1" t="s">
        <v>927</v>
      </c>
      <c r="F1659" s="1" t="s">
        <v>927</v>
      </c>
      <c r="G1659" s="1">
        <v>13.0</v>
      </c>
      <c r="H1659" s="1">
        <v>0.717679944</v>
      </c>
      <c r="I1659" s="1">
        <v>4.94</v>
      </c>
      <c r="J1659" s="1">
        <v>0.312699</v>
      </c>
    </row>
    <row r="1660">
      <c r="A1660" s="1">
        <v>2025.0</v>
      </c>
      <c r="B1660" s="1" t="s">
        <v>683</v>
      </c>
      <c r="C1660" s="1">
        <v>676092.0</v>
      </c>
      <c r="D1660" s="1" t="s">
        <v>539</v>
      </c>
      <c r="E1660" s="1" t="s">
        <v>927</v>
      </c>
      <c r="F1660" s="1" t="s">
        <v>927</v>
      </c>
      <c r="G1660" s="1">
        <v>103.0</v>
      </c>
      <c r="H1660" s="1">
        <v>5.686233403</v>
      </c>
      <c r="I1660" s="1">
        <v>5.43</v>
      </c>
      <c r="J1660" s="1">
        <v>1.276642</v>
      </c>
    </row>
    <row r="1661">
      <c r="A1661" s="1">
        <v>2025.0</v>
      </c>
      <c r="B1661" s="1" t="s">
        <v>197</v>
      </c>
      <c r="C1661" s="1">
        <v>676467.0</v>
      </c>
      <c r="D1661" s="1" t="s">
        <v>541</v>
      </c>
      <c r="E1661" s="1" t="s">
        <v>926</v>
      </c>
      <c r="F1661" s="1" t="s">
        <v>926</v>
      </c>
      <c r="G1661" s="1">
        <v>8.0</v>
      </c>
      <c r="H1661" s="1">
        <v>0.474155755</v>
      </c>
      <c r="I1661" s="1">
        <v>5.67</v>
      </c>
      <c r="J1661" s="1">
        <v>0.055097</v>
      </c>
    </row>
    <row r="1662">
      <c r="A1662" s="1">
        <v>2025.0</v>
      </c>
      <c r="B1662" s="1" t="s">
        <v>197</v>
      </c>
      <c r="C1662" s="1">
        <v>676467.0</v>
      </c>
      <c r="D1662" s="1" t="s">
        <v>537</v>
      </c>
      <c r="E1662" s="1" t="s">
        <v>926</v>
      </c>
      <c r="F1662" s="1" t="s">
        <v>926</v>
      </c>
      <c r="G1662" s="1">
        <v>84.0</v>
      </c>
      <c r="H1662" s="1">
        <v>4.978635424</v>
      </c>
      <c r="I1662" s="1">
        <v>5.46</v>
      </c>
      <c r="J1662" s="1">
        <v>1.020045</v>
      </c>
    </row>
    <row r="1663">
      <c r="A1663" s="1">
        <v>2025.0</v>
      </c>
      <c r="B1663" s="1" t="s">
        <v>197</v>
      </c>
      <c r="C1663" s="1">
        <v>676467.0</v>
      </c>
      <c r="D1663" s="1" t="s">
        <v>536</v>
      </c>
      <c r="E1663" s="1" t="s">
        <v>926</v>
      </c>
      <c r="F1663" s="1" t="s">
        <v>926</v>
      </c>
      <c r="G1663" s="1">
        <v>74.0</v>
      </c>
      <c r="H1663" s="1">
        <v>4.385940731</v>
      </c>
      <c r="I1663" s="1">
        <v>5.52</v>
      </c>
      <c r="J1663" s="1">
        <v>0.843286</v>
      </c>
    </row>
    <row r="1664">
      <c r="A1664" s="1">
        <v>2025.0</v>
      </c>
      <c r="B1664" s="1" t="s">
        <v>197</v>
      </c>
      <c r="C1664" s="1">
        <v>676467.0</v>
      </c>
      <c r="D1664" s="1" t="s">
        <v>533</v>
      </c>
      <c r="E1664" s="1" t="s">
        <v>926</v>
      </c>
      <c r="F1664" s="1" t="s">
        <v>926</v>
      </c>
      <c r="G1664" s="1">
        <v>4.0</v>
      </c>
      <c r="H1664" s="1">
        <v>0.237077877</v>
      </c>
      <c r="I1664" s="1">
        <v>3.41</v>
      </c>
      <c r="J1664" s="1">
        <v>0.219951</v>
      </c>
    </row>
    <row r="1665">
      <c r="A1665" s="1">
        <v>2025.0</v>
      </c>
      <c r="B1665" s="1" t="s">
        <v>197</v>
      </c>
      <c r="C1665" s="1">
        <v>676467.0</v>
      </c>
      <c r="D1665" s="1" t="s">
        <v>539</v>
      </c>
      <c r="E1665" s="1" t="s">
        <v>926</v>
      </c>
      <c r="F1665" s="1" t="s">
        <v>926</v>
      </c>
      <c r="G1665" s="1">
        <v>127.0</v>
      </c>
      <c r="H1665" s="1">
        <v>7.527222605</v>
      </c>
      <c r="I1665" s="1">
        <v>5.59</v>
      </c>
      <c r="J1665" s="1">
        <v>1.229212</v>
      </c>
    </row>
    <row r="1666">
      <c r="A1666" s="1">
        <v>2025.0</v>
      </c>
      <c r="B1666" s="1" t="s">
        <v>197</v>
      </c>
      <c r="C1666" s="1">
        <v>676467.0</v>
      </c>
      <c r="D1666" s="1" t="s">
        <v>532</v>
      </c>
      <c r="E1666" s="1" t="s">
        <v>926</v>
      </c>
      <c r="F1666" s="1" t="s">
        <v>927</v>
      </c>
      <c r="G1666" s="1">
        <v>115.0</v>
      </c>
      <c r="H1666" s="1">
        <v>6.815988973</v>
      </c>
      <c r="I1666" s="1">
        <v>4.91</v>
      </c>
      <c r="J1666" s="1">
        <v>2.729678</v>
      </c>
    </row>
    <row r="1667">
      <c r="A1667" s="1">
        <v>2025.0</v>
      </c>
      <c r="B1667" s="1" t="s">
        <v>197</v>
      </c>
      <c r="C1667" s="1">
        <v>676467.0</v>
      </c>
      <c r="D1667" s="1" t="s">
        <v>541</v>
      </c>
      <c r="E1667" s="1" t="s">
        <v>926</v>
      </c>
      <c r="F1667" s="1" t="s">
        <v>927</v>
      </c>
      <c r="G1667" s="1">
        <v>140.0</v>
      </c>
      <c r="H1667" s="1">
        <v>8.297725706</v>
      </c>
      <c r="I1667" s="1">
        <v>5.12</v>
      </c>
      <c r="J1667" s="1">
        <v>2.765117</v>
      </c>
    </row>
    <row r="1668">
      <c r="A1668" s="1">
        <v>2025.0</v>
      </c>
      <c r="B1668" s="1" t="s">
        <v>197</v>
      </c>
      <c r="C1668" s="1">
        <v>676467.0</v>
      </c>
      <c r="D1668" s="1" t="s">
        <v>537</v>
      </c>
      <c r="E1668" s="1" t="s">
        <v>926</v>
      </c>
      <c r="F1668" s="1" t="s">
        <v>927</v>
      </c>
      <c r="G1668" s="1">
        <v>522.0</v>
      </c>
      <c r="H1668" s="1">
        <v>30.93866299</v>
      </c>
      <c r="I1668" s="1">
        <v>4.92</v>
      </c>
      <c r="J1668" s="1">
        <v>12.518392</v>
      </c>
    </row>
    <row r="1669">
      <c r="A1669" s="1">
        <v>2025.0</v>
      </c>
      <c r="B1669" s="1" t="s">
        <v>197</v>
      </c>
      <c r="C1669" s="1">
        <v>676467.0</v>
      </c>
      <c r="D1669" s="1" t="s">
        <v>536</v>
      </c>
      <c r="E1669" s="1" t="s">
        <v>926</v>
      </c>
      <c r="F1669" s="1" t="s">
        <v>927</v>
      </c>
      <c r="G1669" s="1">
        <v>71.0</v>
      </c>
      <c r="H1669" s="1">
        <v>4.208132323</v>
      </c>
      <c r="I1669" s="1">
        <v>4.23</v>
      </c>
      <c r="J1669" s="1">
        <v>2.620566</v>
      </c>
    </row>
    <row r="1670">
      <c r="A1670" s="1">
        <v>2025.0</v>
      </c>
      <c r="B1670" s="1" t="s">
        <v>197</v>
      </c>
      <c r="C1670" s="1">
        <v>676467.0</v>
      </c>
      <c r="D1670" s="1" t="s">
        <v>533</v>
      </c>
      <c r="E1670" s="1" t="s">
        <v>926</v>
      </c>
      <c r="F1670" s="1" t="s">
        <v>927</v>
      </c>
      <c r="G1670" s="1">
        <v>19.0</v>
      </c>
      <c r="H1670" s="1">
        <v>1.126119917</v>
      </c>
      <c r="I1670" s="1">
        <v>5.1</v>
      </c>
      <c r="J1670" s="1">
        <v>0.370667</v>
      </c>
    </row>
    <row r="1671">
      <c r="A1671" s="1">
        <v>2025.0</v>
      </c>
      <c r="B1671" s="1" t="s">
        <v>197</v>
      </c>
      <c r="C1671" s="1">
        <v>676467.0</v>
      </c>
      <c r="D1671" s="1" t="s">
        <v>539</v>
      </c>
      <c r="E1671" s="1" t="s">
        <v>926</v>
      </c>
      <c r="F1671" s="1" t="s">
        <v>927</v>
      </c>
      <c r="G1671" s="1">
        <v>287.0</v>
      </c>
      <c r="H1671" s="1">
        <v>17.0103377</v>
      </c>
      <c r="I1671" s="1">
        <v>5.45</v>
      </c>
      <c r="J1671" s="1">
        <v>3.542499</v>
      </c>
    </row>
    <row r="1672">
      <c r="A1672" s="1">
        <v>2025.0</v>
      </c>
      <c r="B1672" s="1" t="s">
        <v>570</v>
      </c>
      <c r="C1672" s="1">
        <v>813349.0</v>
      </c>
      <c r="D1672" s="1" t="s">
        <v>532</v>
      </c>
      <c r="E1672" s="1" t="s">
        <v>926</v>
      </c>
      <c r="F1672" s="1" t="s">
        <v>926</v>
      </c>
      <c r="G1672" s="1">
        <v>4.0</v>
      </c>
      <c r="H1672" s="1">
        <v>0.239422085</v>
      </c>
      <c r="I1672" s="1">
        <v>6.0</v>
      </c>
      <c r="J1672" s="1">
        <v>-0.004257</v>
      </c>
    </row>
    <row r="1673">
      <c r="A1673" s="1">
        <v>2025.0</v>
      </c>
      <c r="B1673" s="1" t="s">
        <v>570</v>
      </c>
      <c r="C1673" s="1">
        <v>813349.0</v>
      </c>
      <c r="D1673" s="1" t="s">
        <v>541</v>
      </c>
      <c r="E1673" s="1" t="s">
        <v>926</v>
      </c>
      <c r="F1673" s="1" t="s">
        <v>926</v>
      </c>
      <c r="G1673" s="1">
        <v>8.0</v>
      </c>
      <c r="H1673" s="1">
        <v>0.478844169</v>
      </c>
      <c r="I1673" s="1">
        <v>3.67</v>
      </c>
      <c r="J1673" s="1">
        <v>0.405771</v>
      </c>
    </row>
    <row r="1674">
      <c r="A1674" s="1">
        <v>2025.0</v>
      </c>
      <c r="B1674" s="1" t="s">
        <v>570</v>
      </c>
      <c r="C1674" s="1">
        <v>813349.0</v>
      </c>
      <c r="D1674" s="1" t="s">
        <v>537</v>
      </c>
      <c r="E1674" s="1" t="s">
        <v>926</v>
      </c>
      <c r="F1674" s="1" t="s">
        <v>926</v>
      </c>
      <c r="G1674" s="1">
        <v>15.0</v>
      </c>
      <c r="H1674" s="1">
        <v>0.897832817</v>
      </c>
      <c r="I1674" s="1">
        <v>4.9</v>
      </c>
      <c r="J1674" s="1">
        <v>0.376476</v>
      </c>
    </row>
    <row r="1675">
      <c r="A1675" s="1">
        <v>2025.0</v>
      </c>
      <c r="B1675" s="1" t="s">
        <v>570</v>
      </c>
      <c r="C1675" s="1">
        <v>813349.0</v>
      </c>
      <c r="D1675" s="1" t="s">
        <v>536</v>
      </c>
      <c r="E1675" s="1" t="s">
        <v>926</v>
      </c>
      <c r="F1675" s="1" t="s">
        <v>926</v>
      </c>
      <c r="G1675" s="1">
        <v>25.0</v>
      </c>
      <c r="H1675" s="1">
        <v>1.496388029</v>
      </c>
      <c r="I1675" s="1">
        <v>5.33</v>
      </c>
      <c r="J1675" s="1">
        <v>0.413661</v>
      </c>
    </row>
    <row r="1676">
      <c r="A1676" s="1">
        <v>2025.0</v>
      </c>
      <c r="B1676" s="1" t="s">
        <v>570</v>
      </c>
      <c r="C1676" s="1">
        <v>813349.0</v>
      </c>
      <c r="D1676" s="1" t="s">
        <v>533</v>
      </c>
      <c r="E1676" s="1" t="s">
        <v>926</v>
      </c>
      <c r="F1676" s="1" t="s">
        <v>926</v>
      </c>
      <c r="G1676" s="1">
        <v>15.0</v>
      </c>
      <c r="H1676" s="1">
        <v>0.897832817</v>
      </c>
      <c r="I1676" s="1">
        <v>5.27</v>
      </c>
      <c r="J1676" s="1">
        <v>0.281891</v>
      </c>
    </row>
    <row r="1677">
      <c r="A1677" s="1">
        <v>2025.0</v>
      </c>
      <c r="B1677" s="1" t="s">
        <v>570</v>
      </c>
      <c r="C1677" s="1">
        <v>813349.0</v>
      </c>
      <c r="D1677" s="1" t="s">
        <v>539</v>
      </c>
      <c r="E1677" s="1" t="s">
        <v>926</v>
      </c>
      <c r="F1677" s="1" t="s">
        <v>926</v>
      </c>
      <c r="G1677" s="1">
        <v>17.0</v>
      </c>
      <c r="H1677" s="1">
        <v>1.01754386</v>
      </c>
      <c r="I1677" s="1">
        <v>5.46</v>
      </c>
      <c r="J1677" s="1">
        <v>0.201121</v>
      </c>
    </row>
    <row r="1678">
      <c r="A1678" s="1">
        <v>2025.0</v>
      </c>
      <c r="B1678" s="1" t="s">
        <v>570</v>
      </c>
      <c r="C1678" s="1">
        <v>813349.0</v>
      </c>
      <c r="D1678" s="1" t="s">
        <v>532</v>
      </c>
      <c r="E1678" s="1" t="s">
        <v>926</v>
      </c>
      <c r="F1678" s="1" t="s">
        <v>927</v>
      </c>
      <c r="G1678" s="1">
        <v>59.0</v>
      </c>
      <c r="H1678" s="1">
        <v>3.531475748</v>
      </c>
      <c r="I1678" s="1">
        <v>5.14</v>
      </c>
      <c r="J1678" s="1">
        <v>1.110427</v>
      </c>
    </row>
    <row r="1679">
      <c r="A1679" s="1">
        <v>2025.0</v>
      </c>
      <c r="B1679" s="1" t="s">
        <v>570</v>
      </c>
      <c r="C1679" s="1">
        <v>813349.0</v>
      </c>
      <c r="D1679" s="1" t="s">
        <v>541</v>
      </c>
      <c r="E1679" s="1" t="s">
        <v>926</v>
      </c>
      <c r="F1679" s="1" t="s">
        <v>927</v>
      </c>
      <c r="G1679" s="1">
        <v>60.0</v>
      </c>
      <c r="H1679" s="1">
        <v>3.591331269</v>
      </c>
      <c r="I1679" s="1">
        <v>5.13</v>
      </c>
      <c r="J1679" s="1">
        <v>1.134264</v>
      </c>
    </row>
    <row r="1680">
      <c r="A1680" s="1">
        <v>2025.0</v>
      </c>
      <c r="B1680" s="1" t="s">
        <v>570</v>
      </c>
      <c r="C1680" s="1">
        <v>813349.0</v>
      </c>
      <c r="D1680" s="1" t="s">
        <v>537</v>
      </c>
      <c r="E1680" s="1" t="s">
        <v>926</v>
      </c>
      <c r="F1680" s="1" t="s">
        <v>927</v>
      </c>
      <c r="G1680" s="1">
        <v>80.0</v>
      </c>
      <c r="H1680" s="1">
        <v>4.788441692</v>
      </c>
      <c r="I1680" s="1">
        <v>5.11</v>
      </c>
      <c r="J1680" s="1">
        <v>1.678237</v>
      </c>
    </row>
    <row r="1681">
      <c r="A1681" s="1">
        <v>2025.0</v>
      </c>
      <c r="B1681" s="1" t="s">
        <v>570</v>
      </c>
      <c r="C1681" s="1">
        <v>813349.0</v>
      </c>
      <c r="D1681" s="1" t="s">
        <v>536</v>
      </c>
      <c r="E1681" s="1" t="s">
        <v>926</v>
      </c>
      <c r="F1681" s="1" t="s">
        <v>927</v>
      </c>
      <c r="G1681" s="1">
        <v>16.0</v>
      </c>
      <c r="H1681" s="1">
        <v>0.957688338</v>
      </c>
      <c r="I1681" s="1">
        <v>5.49</v>
      </c>
      <c r="J1681" s="1">
        <v>0.175752</v>
      </c>
    </row>
    <row r="1682">
      <c r="A1682" s="1">
        <v>2025.0</v>
      </c>
      <c r="B1682" s="1" t="s">
        <v>570</v>
      </c>
      <c r="C1682" s="1">
        <v>813349.0</v>
      </c>
      <c r="D1682" s="1" t="s">
        <v>533</v>
      </c>
      <c r="E1682" s="1" t="s">
        <v>926</v>
      </c>
      <c r="F1682" s="1" t="s">
        <v>927</v>
      </c>
      <c r="G1682" s="1">
        <v>24.0</v>
      </c>
      <c r="H1682" s="1">
        <v>1.436532508</v>
      </c>
      <c r="I1682" s="1">
        <v>5.65</v>
      </c>
      <c r="J1682" s="1">
        <v>0.243603</v>
      </c>
    </row>
    <row r="1683">
      <c r="A1683" s="1">
        <v>2025.0</v>
      </c>
      <c r="B1683" s="1" t="s">
        <v>283</v>
      </c>
      <c r="C1683" s="1">
        <v>641401.0</v>
      </c>
      <c r="D1683" s="1" t="s">
        <v>532</v>
      </c>
      <c r="E1683" s="1" t="s">
        <v>927</v>
      </c>
      <c r="F1683" s="1" t="s">
        <v>926</v>
      </c>
      <c r="G1683" s="1">
        <v>202.0</v>
      </c>
      <c r="H1683" s="1">
        <v>11.30238095</v>
      </c>
      <c r="I1683" s="1">
        <v>5.18</v>
      </c>
      <c r="J1683" s="1">
        <v>3.634275</v>
      </c>
    </row>
    <row r="1684">
      <c r="A1684" s="1">
        <v>2025.0</v>
      </c>
      <c r="B1684" s="1" t="s">
        <v>283</v>
      </c>
      <c r="C1684" s="1">
        <v>641401.0</v>
      </c>
      <c r="D1684" s="1" t="s">
        <v>540</v>
      </c>
      <c r="E1684" s="1" t="s">
        <v>927</v>
      </c>
      <c r="F1684" s="1" t="s">
        <v>926</v>
      </c>
      <c r="G1684" s="1">
        <v>42.0</v>
      </c>
      <c r="H1684" s="1">
        <v>2.35</v>
      </c>
      <c r="I1684" s="1">
        <v>5.18</v>
      </c>
      <c r="J1684" s="1">
        <v>0.797753</v>
      </c>
    </row>
    <row r="1685">
      <c r="A1685" s="1">
        <v>2025.0</v>
      </c>
      <c r="B1685" s="1" t="s">
        <v>283</v>
      </c>
      <c r="C1685" s="1">
        <v>641401.0</v>
      </c>
      <c r="D1685" s="1" t="s">
        <v>537</v>
      </c>
      <c r="E1685" s="1" t="s">
        <v>927</v>
      </c>
      <c r="F1685" s="1" t="s">
        <v>926</v>
      </c>
      <c r="G1685" s="1">
        <v>172.0</v>
      </c>
      <c r="H1685" s="1">
        <v>9.623809524</v>
      </c>
      <c r="I1685" s="1">
        <v>4.84</v>
      </c>
      <c r="J1685" s="1">
        <v>4.356354</v>
      </c>
    </row>
    <row r="1686">
      <c r="A1686" s="1">
        <v>2025.0</v>
      </c>
      <c r="B1686" s="1" t="s">
        <v>283</v>
      </c>
      <c r="C1686" s="1">
        <v>641401.0</v>
      </c>
      <c r="D1686" s="1" t="s">
        <v>532</v>
      </c>
      <c r="E1686" s="1" t="s">
        <v>927</v>
      </c>
      <c r="F1686" s="1" t="s">
        <v>927</v>
      </c>
      <c r="G1686" s="1">
        <v>150.0</v>
      </c>
      <c r="H1686" s="1">
        <v>8.392857143</v>
      </c>
      <c r="I1686" s="1">
        <v>5.35</v>
      </c>
      <c r="J1686" s="1">
        <v>2.210854</v>
      </c>
    </row>
    <row r="1687">
      <c r="A1687" s="1">
        <v>2025.0</v>
      </c>
      <c r="B1687" s="1" t="s">
        <v>283</v>
      </c>
      <c r="C1687" s="1">
        <v>641401.0</v>
      </c>
      <c r="D1687" s="1" t="s">
        <v>540</v>
      </c>
      <c r="E1687" s="1" t="s">
        <v>927</v>
      </c>
      <c r="F1687" s="1" t="s">
        <v>927</v>
      </c>
      <c r="G1687" s="1">
        <v>94.0</v>
      </c>
      <c r="H1687" s="1">
        <v>5.25952381</v>
      </c>
      <c r="I1687" s="1">
        <v>5.02</v>
      </c>
      <c r="J1687" s="1">
        <v>2.078948</v>
      </c>
    </row>
    <row r="1688">
      <c r="A1688" s="1">
        <v>2025.0</v>
      </c>
      <c r="B1688" s="1" t="s">
        <v>283</v>
      </c>
      <c r="C1688" s="1">
        <v>641401.0</v>
      </c>
      <c r="D1688" s="1" t="s">
        <v>537</v>
      </c>
      <c r="E1688" s="1" t="s">
        <v>927</v>
      </c>
      <c r="F1688" s="1" t="s">
        <v>927</v>
      </c>
      <c r="G1688" s="1">
        <v>180.0</v>
      </c>
      <c r="H1688" s="1">
        <v>10.07142857</v>
      </c>
      <c r="I1688" s="1">
        <v>5.03</v>
      </c>
      <c r="J1688" s="1">
        <v>3.838045</v>
      </c>
    </row>
    <row r="1689">
      <c r="A1689" s="1">
        <v>2025.0</v>
      </c>
      <c r="B1689" s="1" t="s">
        <v>561</v>
      </c>
      <c r="C1689" s="1">
        <v>687362.0</v>
      </c>
      <c r="D1689" s="1" t="s">
        <v>532</v>
      </c>
      <c r="E1689" s="1" t="s">
        <v>927</v>
      </c>
      <c r="F1689" s="1" t="s">
        <v>926</v>
      </c>
      <c r="G1689" s="1">
        <v>65.0</v>
      </c>
      <c r="H1689" s="1">
        <v>3.588110403</v>
      </c>
      <c r="I1689" s="1">
        <v>4.93</v>
      </c>
      <c r="J1689" s="1">
        <v>1.490899</v>
      </c>
    </row>
    <row r="1690">
      <c r="A1690" s="1">
        <v>2025.0</v>
      </c>
      <c r="B1690" s="1" t="s">
        <v>561</v>
      </c>
      <c r="C1690" s="1">
        <v>687362.0</v>
      </c>
      <c r="D1690" s="1" t="s">
        <v>541</v>
      </c>
      <c r="E1690" s="1" t="s">
        <v>927</v>
      </c>
      <c r="F1690" s="1" t="s">
        <v>926</v>
      </c>
      <c r="G1690" s="1">
        <v>5.0</v>
      </c>
      <c r="H1690" s="1">
        <v>0.276008493</v>
      </c>
      <c r="I1690" s="1">
        <v>3.25</v>
      </c>
      <c r="J1690" s="1">
        <v>0.306633</v>
      </c>
    </row>
    <row r="1691">
      <c r="A1691" s="1">
        <v>2025.0</v>
      </c>
      <c r="B1691" s="1" t="s">
        <v>561</v>
      </c>
      <c r="C1691" s="1">
        <v>687362.0</v>
      </c>
      <c r="D1691" s="1" t="s">
        <v>540</v>
      </c>
      <c r="E1691" s="1" t="s">
        <v>927</v>
      </c>
      <c r="F1691" s="1" t="s">
        <v>926</v>
      </c>
      <c r="G1691" s="1">
        <v>52.0</v>
      </c>
      <c r="H1691" s="1">
        <v>2.870488323</v>
      </c>
      <c r="I1691" s="1">
        <v>5.73</v>
      </c>
      <c r="J1691" s="1">
        <v>0.400371</v>
      </c>
    </row>
    <row r="1692">
      <c r="A1692" s="1">
        <v>2025.0</v>
      </c>
      <c r="B1692" s="1" t="s">
        <v>561</v>
      </c>
      <c r="C1692" s="1">
        <v>687362.0</v>
      </c>
      <c r="D1692" s="1" t="s">
        <v>537</v>
      </c>
      <c r="E1692" s="1" t="s">
        <v>927</v>
      </c>
      <c r="F1692" s="1" t="s">
        <v>926</v>
      </c>
      <c r="G1692" s="1">
        <v>73.0</v>
      </c>
      <c r="H1692" s="1">
        <v>4.029723992</v>
      </c>
      <c r="I1692" s="1">
        <v>4.89</v>
      </c>
      <c r="J1692" s="1">
        <v>1.835297</v>
      </c>
    </row>
    <row r="1693">
      <c r="A1693" s="1">
        <v>2025.0</v>
      </c>
      <c r="B1693" s="1" t="s">
        <v>561</v>
      </c>
      <c r="C1693" s="1">
        <v>687362.0</v>
      </c>
      <c r="D1693" s="1" t="s">
        <v>533</v>
      </c>
      <c r="E1693" s="1" t="s">
        <v>927</v>
      </c>
      <c r="F1693" s="1" t="s">
        <v>926</v>
      </c>
      <c r="G1693" s="1">
        <v>8.0</v>
      </c>
      <c r="H1693" s="1">
        <v>0.441613588</v>
      </c>
      <c r="I1693" s="1">
        <v>4.78</v>
      </c>
      <c r="J1693" s="1">
        <v>0.201407</v>
      </c>
    </row>
    <row r="1694">
      <c r="A1694" s="1">
        <v>2025.0</v>
      </c>
      <c r="B1694" s="1" t="s">
        <v>561</v>
      </c>
      <c r="C1694" s="1">
        <v>687362.0</v>
      </c>
      <c r="D1694" s="1" t="s">
        <v>539</v>
      </c>
      <c r="E1694" s="1" t="s">
        <v>927</v>
      </c>
      <c r="F1694" s="1" t="s">
        <v>926</v>
      </c>
      <c r="G1694" s="1">
        <v>48.0</v>
      </c>
      <c r="H1694" s="1">
        <v>2.649681529</v>
      </c>
      <c r="I1694" s="1">
        <v>4.87</v>
      </c>
      <c r="J1694" s="1">
        <v>1.205324</v>
      </c>
    </row>
    <row r="1695">
      <c r="A1695" s="1">
        <v>2025.0</v>
      </c>
      <c r="B1695" s="1" t="s">
        <v>561</v>
      </c>
      <c r="C1695" s="1">
        <v>687362.0</v>
      </c>
      <c r="D1695" s="1" t="s">
        <v>532</v>
      </c>
      <c r="E1695" s="1" t="s">
        <v>927</v>
      </c>
      <c r="F1695" s="1" t="s">
        <v>927</v>
      </c>
      <c r="G1695" s="1">
        <v>8.0</v>
      </c>
      <c r="H1695" s="1">
        <v>0.441613588</v>
      </c>
      <c r="I1695" s="1">
        <v>4.58</v>
      </c>
      <c r="J1695" s="1">
        <v>0.237116</v>
      </c>
    </row>
    <row r="1696">
      <c r="A1696" s="1">
        <v>2025.0</v>
      </c>
      <c r="B1696" s="1" t="s">
        <v>561</v>
      </c>
      <c r="C1696" s="1">
        <v>687362.0</v>
      </c>
      <c r="D1696" s="1" t="s">
        <v>540</v>
      </c>
      <c r="E1696" s="1" t="s">
        <v>927</v>
      </c>
      <c r="F1696" s="1" t="s">
        <v>927</v>
      </c>
      <c r="G1696" s="1">
        <v>65.0</v>
      </c>
      <c r="H1696" s="1">
        <v>3.588110403</v>
      </c>
      <c r="I1696" s="1">
        <v>4.64</v>
      </c>
      <c r="J1696" s="1">
        <v>1.920943</v>
      </c>
    </row>
    <row r="1697">
      <c r="A1697" s="1">
        <v>2025.0</v>
      </c>
      <c r="B1697" s="1" t="s">
        <v>561</v>
      </c>
      <c r="C1697" s="1">
        <v>687362.0</v>
      </c>
      <c r="D1697" s="1" t="s">
        <v>537</v>
      </c>
      <c r="E1697" s="1" t="s">
        <v>927</v>
      </c>
      <c r="F1697" s="1" t="s">
        <v>927</v>
      </c>
      <c r="G1697" s="1">
        <v>64.0</v>
      </c>
      <c r="H1697" s="1">
        <v>3.532908705</v>
      </c>
      <c r="I1697" s="1">
        <v>4.85</v>
      </c>
      <c r="J1697" s="1">
        <v>1.573089</v>
      </c>
    </row>
    <row r="1698">
      <c r="A1698" s="1">
        <v>2025.0</v>
      </c>
      <c r="B1698" s="1" t="s">
        <v>561</v>
      </c>
      <c r="C1698" s="1">
        <v>687362.0</v>
      </c>
      <c r="D1698" s="1" t="s">
        <v>533</v>
      </c>
      <c r="E1698" s="1" t="s">
        <v>927</v>
      </c>
      <c r="F1698" s="1" t="s">
        <v>927</v>
      </c>
      <c r="G1698" s="1">
        <v>20.0</v>
      </c>
      <c r="H1698" s="1">
        <v>1.10403397</v>
      </c>
      <c r="I1698" s="1">
        <v>5.27</v>
      </c>
      <c r="J1698" s="1">
        <v>0.335815</v>
      </c>
    </row>
    <row r="1699">
      <c r="A1699" s="1">
        <v>2025.0</v>
      </c>
      <c r="B1699" s="1" t="s">
        <v>561</v>
      </c>
      <c r="C1699" s="1">
        <v>687362.0</v>
      </c>
      <c r="D1699" s="1" t="s">
        <v>539</v>
      </c>
      <c r="E1699" s="1" t="s">
        <v>927</v>
      </c>
      <c r="F1699" s="1" t="s">
        <v>927</v>
      </c>
      <c r="G1699" s="1">
        <v>63.0</v>
      </c>
      <c r="H1699" s="1">
        <v>3.477707006</v>
      </c>
      <c r="I1699" s="1">
        <v>5.19</v>
      </c>
      <c r="J1699" s="1">
        <v>1.136675</v>
      </c>
    </row>
    <row r="1700">
      <c r="A1700" s="1">
        <v>2025.0</v>
      </c>
      <c r="B1700" s="1" t="s">
        <v>889</v>
      </c>
      <c r="C1700" s="1">
        <v>683175.0</v>
      </c>
      <c r="D1700" s="1" t="s">
        <v>541</v>
      </c>
      <c r="E1700" s="1" t="s">
        <v>927</v>
      </c>
      <c r="F1700" s="1" t="s">
        <v>926</v>
      </c>
      <c r="G1700" s="1">
        <v>14.0</v>
      </c>
      <c r="H1700" s="1">
        <v>0.928381963</v>
      </c>
      <c r="I1700" s="1">
        <v>5.22</v>
      </c>
      <c r="J1700" s="1">
        <v>0.241417</v>
      </c>
    </row>
    <row r="1701">
      <c r="A1701" s="1">
        <v>2025.0</v>
      </c>
      <c r="B1701" s="1" t="s">
        <v>889</v>
      </c>
      <c r="C1701" s="1">
        <v>683175.0</v>
      </c>
      <c r="D1701" s="1" t="s">
        <v>537</v>
      </c>
      <c r="E1701" s="1" t="s">
        <v>927</v>
      </c>
      <c r="F1701" s="1" t="s">
        <v>926</v>
      </c>
      <c r="G1701" s="1">
        <v>100.0</v>
      </c>
      <c r="H1701" s="1">
        <v>6.631299735</v>
      </c>
      <c r="I1701" s="1">
        <v>4.56</v>
      </c>
      <c r="J1701" s="1">
        <v>3.090638</v>
      </c>
    </row>
    <row r="1702">
      <c r="A1702" s="1">
        <v>2025.0</v>
      </c>
      <c r="B1702" s="1" t="s">
        <v>889</v>
      </c>
      <c r="C1702" s="1">
        <v>683175.0</v>
      </c>
      <c r="D1702" s="1" t="s">
        <v>539</v>
      </c>
      <c r="E1702" s="1" t="s">
        <v>927</v>
      </c>
      <c r="F1702" s="1" t="s">
        <v>926</v>
      </c>
      <c r="G1702" s="1">
        <v>51.0</v>
      </c>
      <c r="H1702" s="1">
        <v>3.381962865</v>
      </c>
      <c r="I1702" s="1">
        <v>4.84</v>
      </c>
      <c r="J1702" s="1">
        <v>1.255361</v>
      </c>
    </row>
    <row r="1703">
      <c r="A1703" s="1">
        <v>2025.0</v>
      </c>
      <c r="B1703" s="1" t="s">
        <v>889</v>
      </c>
      <c r="C1703" s="1">
        <v>683175.0</v>
      </c>
      <c r="D1703" s="1" t="s">
        <v>541</v>
      </c>
      <c r="E1703" s="1" t="s">
        <v>927</v>
      </c>
      <c r="F1703" s="1" t="s">
        <v>927</v>
      </c>
      <c r="G1703" s="1">
        <v>5.0</v>
      </c>
      <c r="H1703" s="1">
        <v>0.331564987</v>
      </c>
      <c r="I1703" s="1">
        <v>4.37</v>
      </c>
      <c r="J1703" s="1">
        <v>0.182054</v>
      </c>
    </row>
    <row r="1704">
      <c r="A1704" s="1">
        <v>2025.0</v>
      </c>
      <c r="B1704" s="1" t="s">
        <v>889</v>
      </c>
      <c r="C1704" s="1">
        <v>683175.0</v>
      </c>
      <c r="D1704" s="1" t="s">
        <v>537</v>
      </c>
      <c r="E1704" s="1" t="s">
        <v>927</v>
      </c>
      <c r="F1704" s="1" t="s">
        <v>927</v>
      </c>
      <c r="G1704" s="1">
        <v>88.0</v>
      </c>
      <c r="H1704" s="1">
        <v>5.835543767</v>
      </c>
      <c r="I1704" s="1">
        <v>4.58</v>
      </c>
      <c r="J1704" s="1">
        <v>2.727656</v>
      </c>
    </row>
    <row r="1705">
      <c r="A1705" s="1">
        <v>2025.0</v>
      </c>
      <c r="B1705" s="1" t="s">
        <v>889</v>
      </c>
      <c r="C1705" s="1">
        <v>683175.0</v>
      </c>
      <c r="D1705" s="1" t="s">
        <v>539</v>
      </c>
      <c r="E1705" s="1" t="s">
        <v>927</v>
      </c>
      <c r="F1705" s="1" t="s">
        <v>927</v>
      </c>
      <c r="G1705" s="1">
        <v>119.0</v>
      </c>
      <c r="H1705" s="1">
        <v>7.891246684</v>
      </c>
      <c r="I1705" s="1">
        <v>5.34</v>
      </c>
      <c r="J1705" s="1">
        <v>1.789979</v>
      </c>
    </row>
    <row r="1706">
      <c r="A1706" s="1">
        <v>2025.0</v>
      </c>
      <c r="B1706" s="1" t="s">
        <v>739</v>
      </c>
      <c r="C1706" s="1">
        <v>657756.0</v>
      </c>
      <c r="D1706" s="1" t="s">
        <v>532</v>
      </c>
      <c r="E1706" s="1" t="s">
        <v>927</v>
      </c>
      <c r="F1706" s="1" t="s">
        <v>926</v>
      </c>
      <c r="G1706" s="1">
        <v>40.0</v>
      </c>
      <c r="H1706" s="1">
        <v>2.234234234</v>
      </c>
      <c r="I1706" s="1">
        <v>4.51</v>
      </c>
      <c r="J1706" s="1">
        <v>1.296151</v>
      </c>
    </row>
    <row r="1707">
      <c r="A1707" s="1">
        <v>2025.0</v>
      </c>
      <c r="B1707" s="1" t="s">
        <v>739</v>
      </c>
      <c r="C1707" s="1">
        <v>657756.0</v>
      </c>
      <c r="D1707" s="1" t="s">
        <v>537</v>
      </c>
      <c r="E1707" s="1" t="s">
        <v>927</v>
      </c>
      <c r="F1707" s="1" t="s">
        <v>926</v>
      </c>
      <c r="G1707" s="1">
        <v>55.0</v>
      </c>
      <c r="H1707" s="1">
        <v>3.072072072</v>
      </c>
      <c r="I1707" s="1">
        <v>5.22</v>
      </c>
      <c r="J1707" s="1">
        <v>1.023658</v>
      </c>
    </row>
    <row r="1708">
      <c r="A1708" s="1">
        <v>2025.0</v>
      </c>
      <c r="B1708" s="1" t="s">
        <v>739</v>
      </c>
      <c r="C1708" s="1">
        <v>657756.0</v>
      </c>
      <c r="D1708" s="1" t="s">
        <v>533</v>
      </c>
      <c r="E1708" s="1" t="s">
        <v>927</v>
      </c>
      <c r="F1708" s="1" t="s">
        <v>926</v>
      </c>
      <c r="G1708" s="1">
        <v>15.0</v>
      </c>
      <c r="H1708" s="1">
        <v>0.837837838</v>
      </c>
      <c r="I1708" s="1">
        <v>5.55</v>
      </c>
      <c r="J1708" s="1">
        <v>0.200177</v>
      </c>
    </row>
    <row r="1709">
      <c r="A1709" s="1">
        <v>2025.0</v>
      </c>
      <c r="B1709" s="1" t="s">
        <v>739</v>
      </c>
      <c r="C1709" s="1">
        <v>657756.0</v>
      </c>
      <c r="D1709" s="1" t="s">
        <v>532</v>
      </c>
      <c r="E1709" s="1" t="s">
        <v>927</v>
      </c>
      <c r="F1709" s="1" t="s">
        <v>927</v>
      </c>
      <c r="G1709" s="1">
        <v>9.0</v>
      </c>
      <c r="H1709" s="1">
        <v>0.502702703</v>
      </c>
      <c r="I1709" s="1">
        <v>3.58</v>
      </c>
      <c r="J1709" s="1">
        <v>0.432678</v>
      </c>
    </row>
    <row r="1710">
      <c r="A1710" s="1">
        <v>2025.0</v>
      </c>
      <c r="B1710" s="1" t="s">
        <v>739</v>
      </c>
      <c r="C1710" s="1">
        <v>657756.0</v>
      </c>
      <c r="D1710" s="1" t="s">
        <v>537</v>
      </c>
      <c r="E1710" s="1" t="s">
        <v>927</v>
      </c>
      <c r="F1710" s="1" t="s">
        <v>927</v>
      </c>
      <c r="G1710" s="1">
        <v>39.0</v>
      </c>
      <c r="H1710" s="1">
        <v>2.178378378</v>
      </c>
      <c r="I1710" s="1">
        <v>4.66</v>
      </c>
      <c r="J1710" s="1">
        <v>1.156225</v>
      </c>
    </row>
    <row r="1711">
      <c r="A1711" s="1">
        <v>2025.0</v>
      </c>
      <c r="B1711" s="1" t="s">
        <v>739</v>
      </c>
      <c r="C1711" s="1">
        <v>657756.0</v>
      </c>
      <c r="D1711" s="1" t="s">
        <v>533</v>
      </c>
      <c r="E1711" s="1" t="s">
        <v>927</v>
      </c>
      <c r="F1711" s="1" t="s">
        <v>927</v>
      </c>
      <c r="G1711" s="1">
        <v>23.0</v>
      </c>
      <c r="H1711" s="1">
        <v>1.284684685</v>
      </c>
      <c r="I1711" s="1">
        <v>4.68</v>
      </c>
      <c r="J1711" s="1">
        <v>0.661527</v>
      </c>
    </row>
    <row r="1712">
      <c r="A1712" s="1">
        <v>2025.0</v>
      </c>
      <c r="B1712" s="1" t="s">
        <v>739</v>
      </c>
      <c r="C1712" s="1">
        <v>657756.0</v>
      </c>
      <c r="D1712" s="1" t="s">
        <v>539</v>
      </c>
      <c r="E1712" s="1" t="s">
        <v>927</v>
      </c>
      <c r="F1712" s="1" t="s">
        <v>927</v>
      </c>
      <c r="G1712" s="1">
        <v>4.0</v>
      </c>
      <c r="H1712" s="1">
        <v>0.223423423</v>
      </c>
      <c r="I1712" s="1">
        <v>6.9</v>
      </c>
      <c r="J1712" s="1">
        <v>-0.057396</v>
      </c>
    </row>
    <row r="1713">
      <c r="A1713" s="1">
        <v>2025.0</v>
      </c>
      <c r="B1713" s="1" t="s">
        <v>692</v>
      </c>
      <c r="C1713" s="1">
        <v>671162.0</v>
      </c>
      <c r="D1713" s="1" t="s">
        <v>532</v>
      </c>
      <c r="E1713" s="1" t="s">
        <v>926</v>
      </c>
      <c r="F1713" s="1" t="s">
        <v>926</v>
      </c>
      <c r="G1713" s="1">
        <v>3.0</v>
      </c>
      <c r="H1713" s="1">
        <v>0.134453782</v>
      </c>
      <c r="I1713" s="1">
        <v>1.72</v>
      </c>
      <c r="J1713" s="1">
        <v>0.26331</v>
      </c>
    </row>
    <row r="1714">
      <c r="A1714" s="1">
        <v>2025.0</v>
      </c>
      <c r="B1714" s="1" t="s">
        <v>692</v>
      </c>
      <c r="C1714" s="1">
        <v>671162.0</v>
      </c>
      <c r="D1714" s="1" t="s">
        <v>540</v>
      </c>
      <c r="E1714" s="1" t="s">
        <v>926</v>
      </c>
      <c r="F1714" s="1" t="s">
        <v>926</v>
      </c>
      <c r="G1714" s="1">
        <v>7.0</v>
      </c>
      <c r="H1714" s="1">
        <v>0.31372549</v>
      </c>
      <c r="I1714" s="1">
        <v>5.45</v>
      </c>
      <c r="J1714" s="1">
        <v>0.098303</v>
      </c>
    </row>
    <row r="1715">
      <c r="A1715" s="1">
        <v>2025.0</v>
      </c>
      <c r="B1715" s="1" t="s">
        <v>692</v>
      </c>
      <c r="C1715" s="1">
        <v>671162.0</v>
      </c>
      <c r="D1715" s="1" t="s">
        <v>537</v>
      </c>
      <c r="E1715" s="1" t="s">
        <v>926</v>
      </c>
      <c r="F1715" s="1" t="s">
        <v>926</v>
      </c>
      <c r="G1715" s="1">
        <v>2.0</v>
      </c>
      <c r="H1715" s="1">
        <v>0.089635854</v>
      </c>
      <c r="I1715" s="1">
        <v>3.13</v>
      </c>
      <c r="J1715" s="1">
        <v>0.122724</v>
      </c>
    </row>
    <row r="1716">
      <c r="A1716" s="1">
        <v>2025.0</v>
      </c>
      <c r="B1716" s="1" t="s">
        <v>692</v>
      </c>
      <c r="C1716" s="1">
        <v>671162.0</v>
      </c>
      <c r="D1716" s="1" t="s">
        <v>536</v>
      </c>
      <c r="E1716" s="1" t="s">
        <v>926</v>
      </c>
      <c r="F1716" s="1" t="s">
        <v>926</v>
      </c>
      <c r="G1716" s="1">
        <v>21.0</v>
      </c>
      <c r="H1716" s="1">
        <v>0.941176471</v>
      </c>
      <c r="I1716" s="1">
        <v>4.92</v>
      </c>
      <c r="J1716" s="1">
        <v>0.486263</v>
      </c>
    </row>
    <row r="1717">
      <c r="A1717" s="1">
        <v>2025.0</v>
      </c>
      <c r="B1717" s="1" t="s">
        <v>692</v>
      </c>
      <c r="C1717" s="1">
        <v>671162.0</v>
      </c>
      <c r="D1717" s="1" t="s">
        <v>533</v>
      </c>
      <c r="E1717" s="1" t="s">
        <v>926</v>
      </c>
      <c r="F1717" s="1" t="s">
        <v>926</v>
      </c>
      <c r="G1717" s="1">
        <v>10.0</v>
      </c>
      <c r="H1717" s="1">
        <v>0.448179272</v>
      </c>
      <c r="I1717" s="1">
        <v>4.81</v>
      </c>
      <c r="J1717" s="1">
        <v>0.2546</v>
      </c>
    </row>
    <row r="1718">
      <c r="A1718" s="1">
        <v>2025.0</v>
      </c>
      <c r="B1718" s="1" t="s">
        <v>692</v>
      </c>
      <c r="C1718" s="1">
        <v>671162.0</v>
      </c>
      <c r="D1718" s="1" t="s">
        <v>539</v>
      </c>
      <c r="E1718" s="1" t="s">
        <v>926</v>
      </c>
      <c r="F1718" s="1" t="s">
        <v>926</v>
      </c>
      <c r="G1718" s="1">
        <v>4.0</v>
      </c>
      <c r="H1718" s="1">
        <v>0.179271709</v>
      </c>
      <c r="I1718" s="1">
        <v>4.38</v>
      </c>
      <c r="J1718" s="1">
        <v>0.130098</v>
      </c>
    </row>
    <row r="1719">
      <c r="A1719" s="1">
        <v>2025.0</v>
      </c>
      <c r="B1719" s="1" t="s">
        <v>692</v>
      </c>
      <c r="C1719" s="1">
        <v>671162.0</v>
      </c>
      <c r="D1719" s="1" t="s">
        <v>532</v>
      </c>
      <c r="E1719" s="1" t="s">
        <v>926</v>
      </c>
      <c r="F1719" s="1" t="s">
        <v>927</v>
      </c>
      <c r="G1719" s="1">
        <v>19.0</v>
      </c>
      <c r="H1719" s="1">
        <v>0.851540616</v>
      </c>
      <c r="I1719" s="1">
        <v>5.22</v>
      </c>
      <c r="J1719" s="1">
        <v>0.335901</v>
      </c>
    </row>
    <row r="1720">
      <c r="A1720" s="1">
        <v>2025.0</v>
      </c>
      <c r="B1720" s="1" t="s">
        <v>692</v>
      </c>
      <c r="C1720" s="1">
        <v>671162.0</v>
      </c>
      <c r="D1720" s="1" t="s">
        <v>540</v>
      </c>
      <c r="E1720" s="1" t="s">
        <v>926</v>
      </c>
      <c r="F1720" s="1" t="s">
        <v>927</v>
      </c>
      <c r="G1720" s="1">
        <v>20.0</v>
      </c>
      <c r="H1720" s="1">
        <v>0.896358543</v>
      </c>
      <c r="I1720" s="1">
        <v>4.58</v>
      </c>
      <c r="J1720" s="1">
        <v>0.611859</v>
      </c>
    </row>
    <row r="1721">
      <c r="A1721" s="1">
        <v>2025.0</v>
      </c>
      <c r="B1721" s="1" t="s">
        <v>692</v>
      </c>
      <c r="C1721" s="1">
        <v>671162.0</v>
      </c>
      <c r="D1721" s="1" t="s">
        <v>537</v>
      </c>
      <c r="E1721" s="1" t="s">
        <v>926</v>
      </c>
      <c r="F1721" s="1" t="s">
        <v>927</v>
      </c>
      <c r="G1721" s="1">
        <v>3.0</v>
      </c>
      <c r="H1721" s="1">
        <v>0.134453782</v>
      </c>
      <c r="I1721" s="1">
        <v>6.04</v>
      </c>
      <c r="J1721" s="1">
        <v>0.008312</v>
      </c>
    </row>
    <row r="1722">
      <c r="A1722" s="1">
        <v>2025.0</v>
      </c>
      <c r="B1722" s="1" t="s">
        <v>692</v>
      </c>
      <c r="C1722" s="1">
        <v>671162.0</v>
      </c>
      <c r="D1722" s="1" t="s">
        <v>536</v>
      </c>
      <c r="E1722" s="1" t="s">
        <v>926</v>
      </c>
      <c r="F1722" s="1" t="s">
        <v>927</v>
      </c>
      <c r="G1722" s="1">
        <v>24.0</v>
      </c>
      <c r="H1722" s="1">
        <v>1.075630252</v>
      </c>
      <c r="I1722" s="1">
        <v>4.38</v>
      </c>
      <c r="J1722" s="1">
        <v>0.82472</v>
      </c>
    </row>
    <row r="1723">
      <c r="A1723" s="1">
        <v>2025.0</v>
      </c>
      <c r="B1723" s="1" t="s">
        <v>692</v>
      </c>
      <c r="C1723" s="1">
        <v>671162.0</v>
      </c>
      <c r="D1723" s="1" t="s">
        <v>533</v>
      </c>
      <c r="E1723" s="1" t="s">
        <v>926</v>
      </c>
      <c r="F1723" s="1" t="s">
        <v>927</v>
      </c>
      <c r="G1723" s="1">
        <v>4.0</v>
      </c>
      <c r="H1723" s="1">
        <v>0.179271709</v>
      </c>
      <c r="I1723" s="1">
        <v>3.62</v>
      </c>
      <c r="J1723" s="1">
        <v>0.189637</v>
      </c>
    </row>
    <row r="1724">
      <c r="A1724" s="1">
        <v>2025.0</v>
      </c>
      <c r="B1724" s="1" t="s">
        <v>692</v>
      </c>
      <c r="C1724" s="1">
        <v>671162.0</v>
      </c>
      <c r="D1724" s="1" t="s">
        <v>539</v>
      </c>
      <c r="E1724" s="1" t="s">
        <v>926</v>
      </c>
      <c r="F1724" s="1" t="s">
        <v>927</v>
      </c>
      <c r="G1724" s="1">
        <v>2.0</v>
      </c>
      <c r="H1724" s="1">
        <v>0.089635854</v>
      </c>
      <c r="I1724" s="1">
        <v>4.25</v>
      </c>
      <c r="J1724" s="1">
        <v>0.070565</v>
      </c>
    </row>
    <row r="1725">
      <c r="A1725" s="1">
        <v>2025.0</v>
      </c>
      <c r="B1725" s="1" t="s">
        <v>563</v>
      </c>
      <c r="C1725" s="1">
        <v>681867.0</v>
      </c>
      <c r="D1725" s="1" t="s">
        <v>532</v>
      </c>
      <c r="E1725" s="1" t="s">
        <v>927</v>
      </c>
      <c r="F1725" s="1" t="s">
        <v>926</v>
      </c>
      <c r="G1725" s="1">
        <v>44.0</v>
      </c>
      <c r="H1725" s="1">
        <v>2.868388684</v>
      </c>
      <c r="I1725" s="1">
        <v>5.45</v>
      </c>
      <c r="J1725" s="1">
        <v>0.585109</v>
      </c>
    </row>
    <row r="1726">
      <c r="A1726" s="1">
        <v>2025.0</v>
      </c>
      <c r="B1726" s="1" t="s">
        <v>563</v>
      </c>
      <c r="C1726" s="1">
        <v>681867.0</v>
      </c>
      <c r="D1726" s="1" t="s">
        <v>540</v>
      </c>
      <c r="E1726" s="1" t="s">
        <v>927</v>
      </c>
      <c r="F1726" s="1" t="s">
        <v>926</v>
      </c>
      <c r="G1726" s="1">
        <v>36.0</v>
      </c>
      <c r="H1726" s="1">
        <v>2.346863469</v>
      </c>
      <c r="I1726" s="1">
        <v>5.58</v>
      </c>
      <c r="J1726" s="1">
        <v>0.378082</v>
      </c>
    </row>
    <row r="1727">
      <c r="A1727" s="1">
        <v>2025.0</v>
      </c>
      <c r="B1727" s="1" t="s">
        <v>563</v>
      </c>
      <c r="C1727" s="1">
        <v>681867.0</v>
      </c>
      <c r="D1727" s="1" t="s">
        <v>536</v>
      </c>
      <c r="E1727" s="1" t="s">
        <v>927</v>
      </c>
      <c r="F1727" s="1" t="s">
        <v>926</v>
      </c>
      <c r="G1727" s="1">
        <v>13.0</v>
      </c>
      <c r="H1727" s="1">
        <v>0.847478475</v>
      </c>
      <c r="I1727" s="1">
        <v>5.43</v>
      </c>
      <c r="J1727" s="1">
        <v>0.175346</v>
      </c>
    </row>
    <row r="1728">
      <c r="A1728" s="1">
        <v>2025.0</v>
      </c>
      <c r="B1728" s="1" t="s">
        <v>563</v>
      </c>
      <c r="C1728" s="1">
        <v>681867.0</v>
      </c>
      <c r="D1728" s="1" t="s">
        <v>539</v>
      </c>
      <c r="E1728" s="1" t="s">
        <v>927</v>
      </c>
      <c r="F1728" s="1" t="s">
        <v>926</v>
      </c>
      <c r="G1728" s="1">
        <v>6.0</v>
      </c>
      <c r="H1728" s="1">
        <v>0.391143911</v>
      </c>
      <c r="I1728" s="1">
        <v>3.28</v>
      </c>
      <c r="J1728" s="1">
        <v>0.33106</v>
      </c>
    </row>
    <row r="1729">
      <c r="A1729" s="1">
        <v>2025.0</v>
      </c>
      <c r="B1729" s="1" t="s">
        <v>563</v>
      </c>
      <c r="C1729" s="1">
        <v>681867.0</v>
      </c>
      <c r="D1729" s="1" t="s">
        <v>532</v>
      </c>
      <c r="E1729" s="1" t="s">
        <v>927</v>
      </c>
      <c r="F1729" s="1" t="s">
        <v>927</v>
      </c>
      <c r="G1729" s="1">
        <v>41.0</v>
      </c>
      <c r="H1729" s="1">
        <v>2.672816728</v>
      </c>
      <c r="I1729" s="1">
        <v>5.61</v>
      </c>
      <c r="J1729" s="1">
        <v>0.389538</v>
      </c>
    </row>
    <row r="1730">
      <c r="A1730" s="1">
        <v>2025.0</v>
      </c>
      <c r="B1730" s="1" t="s">
        <v>563</v>
      </c>
      <c r="C1730" s="1">
        <v>681867.0</v>
      </c>
      <c r="D1730" s="1" t="s">
        <v>540</v>
      </c>
      <c r="E1730" s="1" t="s">
        <v>927</v>
      </c>
      <c r="F1730" s="1" t="s">
        <v>927</v>
      </c>
      <c r="G1730" s="1">
        <v>44.0</v>
      </c>
      <c r="H1730" s="1">
        <v>2.868388684</v>
      </c>
      <c r="I1730" s="1">
        <v>5.28</v>
      </c>
      <c r="J1730" s="1">
        <v>0.72098</v>
      </c>
    </row>
    <row r="1731">
      <c r="A1731" s="1">
        <v>2025.0</v>
      </c>
      <c r="B1731" s="1" t="s">
        <v>563</v>
      </c>
      <c r="C1731" s="1">
        <v>681867.0</v>
      </c>
      <c r="D1731" s="1" t="s">
        <v>536</v>
      </c>
      <c r="E1731" s="1" t="s">
        <v>927</v>
      </c>
      <c r="F1731" s="1" t="s">
        <v>927</v>
      </c>
      <c r="G1731" s="1">
        <v>62.0</v>
      </c>
      <c r="H1731" s="1">
        <v>4.041820418</v>
      </c>
      <c r="I1731" s="1">
        <v>5.15</v>
      </c>
      <c r="J1731" s="1">
        <v>1.221943</v>
      </c>
    </row>
    <row r="1732">
      <c r="A1732" s="1">
        <v>2025.0</v>
      </c>
      <c r="B1732" s="1" t="s">
        <v>563</v>
      </c>
      <c r="C1732" s="1">
        <v>681867.0</v>
      </c>
      <c r="D1732" s="1" t="s">
        <v>539</v>
      </c>
      <c r="E1732" s="1" t="s">
        <v>927</v>
      </c>
      <c r="F1732" s="1" t="s">
        <v>927</v>
      </c>
      <c r="G1732" s="1">
        <v>25.0</v>
      </c>
      <c r="H1732" s="1">
        <v>1.629766298</v>
      </c>
      <c r="I1732" s="1">
        <v>5.32</v>
      </c>
      <c r="J1732" s="1">
        <v>0.342898</v>
      </c>
    </row>
    <row r="1733">
      <c r="A1733" s="1">
        <v>2025.0</v>
      </c>
      <c r="B1733" s="1" t="s">
        <v>951</v>
      </c>
      <c r="C1733" s="1">
        <v>669450.0</v>
      </c>
      <c r="D1733" s="1" t="s">
        <v>537</v>
      </c>
      <c r="E1733" s="1" t="s">
        <v>927</v>
      </c>
      <c r="F1733" s="1" t="s">
        <v>926</v>
      </c>
      <c r="G1733" s="1">
        <v>11.0</v>
      </c>
      <c r="H1733" s="1">
        <v>0.647058824</v>
      </c>
      <c r="I1733" s="1">
        <v>4.6</v>
      </c>
      <c r="J1733" s="1">
        <v>0.359781</v>
      </c>
    </row>
    <row r="1734">
      <c r="A1734" s="1">
        <v>2025.0</v>
      </c>
      <c r="B1734" s="1" t="s">
        <v>951</v>
      </c>
      <c r="C1734" s="1">
        <v>669450.0</v>
      </c>
      <c r="D1734" s="1" t="s">
        <v>537</v>
      </c>
      <c r="E1734" s="1" t="s">
        <v>927</v>
      </c>
      <c r="F1734" s="1" t="s">
        <v>927</v>
      </c>
      <c r="G1734" s="1">
        <v>6.0</v>
      </c>
      <c r="H1734" s="1">
        <v>0.352941176</v>
      </c>
      <c r="I1734" s="1">
        <v>3.34</v>
      </c>
      <c r="J1734" s="1">
        <v>0.352956</v>
      </c>
    </row>
    <row r="1735">
      <c r="A1735" s="1">
        <v>2025.0</v>
      </c>
      <c r="B1735" s="1" t="s">
        <v>431</v>
      </c>
      <c r="C1735" s="1">
        <v>669203.0</v>
      </c>
      <c r="D1735" s="1" t="s">
        <v>532</v>
      </c>
      <c r="E1735" s="1" t="s">
        <v>927</v>
      </c>
      <c r="F1735" s="1" t="s">
        <v>926</v>
      </c>
      <c r="G1735" s="1">
        <v>73.0</v>
      </c>
      <c r="H1735" s="1">
        <v>4.654443343</v>
      </c>
      <c r="I1735" s="1">
        <v>4.37</v>
      </c>
      <c r="J1735" s="1">
        <v>2.518056</v>
      </c>
    </row>
    <row r="1736">
      <c r="A1736" s="1">
        <v>2025.0</v>
      </c>
      <c r="B1736" s="1" t="s">
        <v>431</v>
      </c>
      <c r="C1736" s="1">
        <v>669203.0</v>
      </c>
      <c r="D1736" s="1" t="s">
        <v>541</v>
      </c>
      <c r="E1736" s="1" t="s">
        <v>927</v>
      </c>
      <c r="F1736" s="1" t="s">
        <v>926</v>
      </c>
      <c r="G1736" s="1">
        <v>148.0</v>
      </c>
      <c r="H1736" s="1">
        <v>9.436405682</v>
      </c>
      <c r="I1736" s="1">
        <v>4.74</v>
      </c>
      <c r="J1736" s="1">
        <v>3.862461</v>
      </c>
    </row>
    <row r="1737">
      <c r="A1737" s="1">
        <v>2025.0</v>
      </c>
      <c r="B1737" s="1" t="s">
        <v>431</v>
      </c>
      <c r="C1737" s="1">
        <v>669203.0</v>
      </c>
      <c r="D1737" s="1" t="s">
        <v>540</v>
      </c>
      <c r="E1737" s="1" t="s">
        <v>927</v>
      </c>
      <c r="F1737" s="1" t="s">
        <v>926</v>
      </c>
      <c r="G1737" s="1">
        <v>360.0</v>
      </c>
      <c r="H1737" s="1">
        <v>22.95341923</v>
      </c>
      <c r="I1737" s="1">
        <v>4.89</v>
      </c>
      <c r="J1737" s="1">
        <v>8.720429</v>
      </c>
    </row>
    <row r="1738">
      <c r="A1738" s="1">
        <v>2025.0</v>
      </c>
      <c r="B1738" s="1" t="s">
        <v>431</v>
      </c>
      <c r="C1738" s="1">
        <v>669203.0</v>
      </c>
      <c r="D1738" s="1" t="s">
        <v>539</v>
      </c>
      <c r="E1738" s="1" t="s">
        <v>927</v>
      </c>
      <c r="F1738" s="1" t="s">
        <v>926</v>
      </c>
      <c r="G1738" s="1">
        <v>1.0</v>
      </c>
      <c r="H1738" s="1">
        <v>0.063759498</v>
      </c>
      <c r="I1738" s="1">
        <v>-6.12</v>
      </c>
      <c r="J1738" s="1">
        <v>0.247958</v>
      </c>
    </row>
    <row r="1739">
      <c r="A1739" s="1">
        <v>2025.0</v>
      </c>
      <c r="B1739" s="1" t="s">
        <v>431</v>
      </c>
      <c r="C1739" s="1">
        <v>669203.0</v>
      </c>
      <c r="D1739" s="1" t="s">
        <v>541</v>
      </c>
      <c r="E1739" s="1" t="s">
        <v>927</v>
      </c>
      <c r="F1739" s="1" t="s">
        <v>927</v>
      </c>
      <c r="G1739" s="1">
        <v>46.0</v>
      </c>
      <c r="H1739" s="1">
        <v>2.932936901</v>
      </c>
      <c r="I1739" s="1">
        <v>5.0</v>
      </c>
      <c r="J1739" s="1">
        <v>1.005877</v>
      </c>
    </row>
    <row r="1740">
      <c r="A1740" s="1">
        <v>2025.0</v>
      </c>
      <c r="B1740" s="1" t="s">
        <v>431</v>
      </c>
      <c r="C1740" s="1">
        <v>669203.0</v>
      </c>
      <c r="D1740" s="1" t="s">
        <v>540</v>
      </c>
      <c r="E1740" s="1" t="s">
        <v>927</v>
      </c>
      <c r="F1740" s="1" t="s">
        <v>927</v>
      </c>
      <c r="G1740" s="1">
        <v>194.0</v>
      </c>
      <c r="H1740" s="1">
        <v>12.36934258</v>
      </c>
      <c r="I1740" s="1">
        <v>5.02</v>
      </c>
      <c r="J1740" s="1">
        <v>4.406161</v>
      </c>
    </row>
    <row r="1741">
      <c r="A1741" s="1">
        <v>2025.0</v>
      </c>
      <c r="B1741" s="1" t="s">
        <v>431</v>
      </c>
      <c r="C1741" s="1">
        <v>669203.0</v>
      </c>
      <c r="D1741" s="1" t="s">
        <v>536</v>
      </c>
      <c r="E1741" s="1" t="s">
        <v>927</v>
      </c>
      <c r="F1741" s="1" t="s">
        <v>927</v>
      </c>
      <c r="G1741" s="1">
        <v>97.0</v>
      </c>
      <c r="H1741" s="1">
        <v>6.184671292</v>
      </c>
      <c r="I1741" s="1">
        <v>4.7</v>
      </c>
      <c r="J1741" s="1">
        <v>2.682834</v>
      </c>
    </row>
    <row r="1742">
      <c r="A1742" s="1">
        <v>2025.0</v>
      </c>
      <c r="B1742" s="1" t="s">
        <v>431</v>
      </c>
      <c r="C1742" s="1">
        <v>669203.0</v>
      </c>
      <c r="D1742" s="1" t="s">
        <v>533</v>
      </c>
      <c r="E1742" s="1" t="s">
        <v>927</v>
      </c>
      <c r="F1742" s="1" t="s">
        <v>927</v>
      </c>
      <c r="G1742" s="1">
        <v>89.0</v>
      </c>
      <c r="H1742" s="1">
        <v>5.674595309</v>
      </c>
      <c r="I1742" s="1">
        <v>5.44</v>
      </c>
      <c r="J1742" s="1">
        <v>1.091011</v>
      </c>
    </row>
    <row r="1743">
      <c r="A1743" s="1">
        <v>2025.0</v>
      </c>
      <c r="B1743" s="1" t="s">
        <v>431</v>
      </c>
      <c r="C1743" s="1">
        <v>669203.0</v>
      </c>
      <c r="D1743" s="1" t="s">
        <v>539</v>
      </c>
      <c r="E1743" s="1" t="s">
        <v>927</v>
      </c>
      <c r="F1743" s="1" t="s">
        <v>927</v>
      </c>
      <c r="G1743" s="1">
        <v>1.0</v>
      </c>
      <c r="H1743" s="1">
        <v>0.063759498</v>
      </c>
      <c r="I1743" s="1">
        <v>5.72</v>
      </c>
      <c r="J1743" s="1">
        <v>0.007375</v>
      </c>
    </row>
    <row r="1744">
      <c r="A1744" s="1">
        <v>2025.0</v>
      </c>
      <c r="B1744" s="1" t="s">
        <v>910</v>
      </c>
      <c r="C1744" s="1">
        <v>656686.0</v>
      </c>
      <c r="D1744" s="1" t="s">
        <v>532</v>
      </c>
      <c r="E1744" s="1" t="s">
        <v>927</v>
      </c>
      <c r="F1744" s="1" t="s">
        <v>926</v>
      </c>
      <c r="G1744" s="1">
        <v>10.0</v>
      </c>
      <c r="H1744" s="1">
        <v>0.543806647</v>
      </c>
      <c r="I1744" s="1">
        <v>4.39</v>
      </c>
      <c r="J1744" s="1">
        <v>0.344893</v>
      </c>
    </row>
    <row r="1745">
      <c r="A1745" s="1">
        <v>2025.0</v>
      </c>
      <c r="B1745" s="1" t="s">
        <v>910</v>
      </c>
      <c r="C1745" s="1">
        <v>656686.0</v>
      </c>
      <c r="D1745" s="1" t="s">
        <v>541</v>
      </c>
      <c r="E1745" s="1" t="s">
        <v>927</v>
      </c>
      <c r="F1745" s="1" t="s">
        <v>926</v>
      </c>
      <c r="G1745" s="1">
        <v>31.0</v>
      </c>
      <c r="H1745" s="1">
        <v>1.685800604</v>
      </c>
      <c r="I1745" s="1">
        <v>5.25</v>
      </c>
      <c r="J1745" s="1">
        <v>0.531408</v>
      </c>
    </row>
    <row r="1746">
      <c r="A1746" s="1">
        <v>2025.0</v>
      </c>
      <c r="B1746" s="1" t="s">
        <v>910</v>
      </c>
      <c r="C1746" s="1">
        <v>656686.0</v>
      </c>
      <c r="D1746" s="1" t="s">
        <v>537</v>
      </c>
      <c r="E1746" s="1" t="s">
        <v>927</v>
      </c>
      <c r="F1746" s="1" t="s">
        <v>926</v>
      </c>
      <c r="G1746" s="1">
        <v>79.0</v>
      </c>
      <c r="H1746" s="1">
        <v>4.296072508</v>
      </c>
      <c r="I1746" s="1">
        <v>4.93</v>
      </c>
      <c r="J1746" s="1">
        <v>1.842136</v>
      </c>
    </row>
    <row r="1747">
      <c r="A1747" s="1">
        <v>2025.0</v>
      </c>
      <c r="B1747" s="1" t="s">
        <v>910</v>
      </c>
      <c r="C1747" s="1">
        <v>656686.0</v>
      </c>
      <c r="D1747" s="1" t="s">
        <v>533</v>
      </c>
      <c r="E1747" s="1" t="s">
        <v>927</v>
      </c>
      <c r="F1747" s="1" t="s">
        <v>926</v>
      </c>
      <c r="G1747" s="1">
        <v>37.0</v>
      </c>
      <c r="H1747" s="1">
        <v>2.012084592</v>
      </c>
      <c r="I1747" s="1">
        <v>4.67</v>
      </c>
      <c r="J1747" s="1">
        <v>1.055533</v>
      </c>
    </row>
    <row r="1748">
      <c r="A1748" s="1">
        <v>2025.0</v>
      </c>
      <c r="B1748" s="1" t="s">
        <v>910</v>
      </c>
      <c r="C1748" s="1">
        <v>656686.0</v>
      </c>
      <c r="D1748" s="1" t="s">
        <v>541</v>
      </c>
      <c r="E1748" s="1" t="s">
        <v>927</v>
      </c>
      <c r="F1748" s="1" t="s">
        <v>927</v>
      </c>
      <c r="G1748" s="1">
        <v>37.0</v>
      </c>
      <c r="H1748" s="1">
        <v>2.012084592</v>
      </c>
      <c r="I1748" s="1">
        <v>4.85</v>
      </c>
      <c r="J1748" s="1">
        <v>0.952663</v>
      </c>
    </row>
    <row r="1749">
      <c r="A1749" s="1">
        <v>2025.0</v>
      </c>
      <c r="B1749" s="1" t="s">
        <v>910</v>
      </c>
      <c r="C1749" s="1">
        <v>656686.0</v>
      </c>
      <c r="D1749" s="1" t="s">
        <v>537</v>
      </c>
      <c r="E1749" s="1" t="s">
        <v>927</v>
      </c>
      <c r="F1749" s="1" t="s">
        <v>927</v>
      </c>
      <c r="G1749" s="1">
        <v>67.0</v>
      </c>
      <c r="H1749" s="1">
        <v>3.643504532</v>
      </c>
      <c r="I1749" s="1">
        <v>5.31</v>
      </c>
      <c r="J1749" s="1">
        <v>1.110423</v>
      </c>
    </row>
    <row r="1750">
      <c r="A1750" s="1">
        <v>2025.0</v>
      </c>
      <c r="B1750" s="1" t="s">
        <v>910</v>
      </c>
      <c r="C1750" s="1">
        <v>656686.0</v>
      </c>
      <c r="D1750" s="1" t="s">
        <v>533</v>
      </c>
      <c r="E1750" s="1" t="s">
        <v>927</v>
      </c>
      <c r="F1750" s="1" t="s">
        <v>927</v>
      </c>
      <c r="G1750" s="1">
        <v>70.0</v>
      </c>
      <c r="H1750" s="1">
        <v>3.806646526</v>
      </c>
      <c r="I1750" s="1">
        <v>4.63</v>
      </c>
      <c r="J1750" s="1">
        <v>2.10582</v>
      </c>
    </row>
    <row r="1751">
      <c r="A1751" s="1">
        <v>2025.0</v>
      </c>
      <c r="B1751" s="1" t="s">
        <v>865</v>
      </c>
      <c r="C1751" s="1">
        <v>518886.0</v>
      </c>
      <c r="D1751" s="1" t="s">
        <v>532</v>
      </c>
      <c r="E1751" s="1" t="s">
        <v>927</v>
      </c>
      <c r="F1751" s="1" t="s">
        <v>926</v>
      </c>
      <c r="G1751" s="1">
        <v>12.0</v>
      </c>
      <c r="H1751" s="1">
        <v>0.626086957</v>
      </c>
      <c r="I1751" s="1">
        <v>4.0</v>
      </c>
      <c r="J1751" s="1">
        <v>0.47958</v>
      </c>
    </row>
    <row r="1752">
      <c r="A1752" s="1">
        <v>2025.0</v>
      </c>
      <c r="B1752" s="1" t="s">
        <v>865</v>
      </c>
      <c r="C1752" s="1">
        <v>518886.0</v>
      </c>
      <c r="D1752" s="1" t="s">
        <v>541</v>
      </c>
      <c r="E1752" s="1" t="s">
        <v>927</v>
      </c>
      <c r="F1752" s="1" t="s">
        <v>926</v>
      </c>
      <c r="G1752" s="1">
        <v>15.0</v>
      </c>
      <c r="H1752" s="1">
        <v>0.782608696</v>
      </c>
      <c r="I1752" s="1">
        <v>5.14</v>
      </c>
      <c r="J1752" s="1">
        <v>0.285386</v>
      </c>
    </row>
    <row r="1753">
      <c r="A1753" s="1">
        <v>2025.0</v>
      </c>
      <c r="B1753" s="1" t="s">
        <v>865</v>
      </c>
      <c r="C1753" s="1">
        <v>518886.0</v>
      </c>
      <c r="D1753" s="1" t="s">
        <v>537</v>
      </c>
      <c r="E1753" s="1" t="s">
        <v>927</v>
      </c>
      <c r="F1753" s="1" t="s">
        <v>926</v>
      </c>
      <c r="G1753" s="1">
        <v>63.0</v>
      </c>
      <c r="H1753" s="1">
        <v>3.286956522</v>
      </c>
      <c r="I1753" s="1">
        <v>4.93</v>
      </c>
      <c r="J1753" s="1">
        <v>1.420476</v>
      </c>
    </row>
    <row r="1754">
      <c r="A1754" s="1">
        <v>2025.0</v>
      </c>
      <c r="B1754" s="1" t="s">
        <v>865</v>
      </c>
      <c r="C1754" s="1">
        <v>518886.0</v>
      </c>
      <c r="D1754" s="1" t="s">
        <v>539</v>
      </c>
      <c r="E1754" s="1" t="s">
        <v>927</v>
      </c>
      <c r="F1754" s="1" t="s">
        <v>926</v>
      </c>
      <c r="G1754" s="1">
        <v>10.0</v>
      </c>
      <c r="H1754" s="1">
        <v>0.52173913</v>
      </c>
      <c r="I1754" s="1">
        <v>5.11</v>
      </c>
      <c r="J1754" s="1">
        <v>0.17687</v>
      </c>
    </row>
    <row r="1755">
      <c r="A1755" s="1">
        <v>2025.0</v>
      </c>
      <c r="B1755" s="1" t="s">
        <v>865</v>
      </c>
      <c r="C1755" s="1">
        <v>518886.0</v>
      </c>
      <c r="D1755" s="1" t="s">
        <v>541</v>
      </c>
      <c r="E1755" s="1" t="s">
        <v>927</v>
      </c>
      <c r="F1755" s="1" t="s">
        <v>927</v>
      </c>
      <c r="G1755" s="1">
        <v>29.0</v>
      </c>
      <c r="H1755" s="1">
        <v>1.513043478</v>
      </c>
      <c r="I1755" s="1">
        <v>4.82</v>
      </c>
      <c r="J1755" s="1">
        <v>0.71694</v>
      </c>
    </row>
    <row r="1756">
      <c r="A1756" s="1">
        <v>2025.0</v>
      </c>
      <c r="B1756" s="1" t="s">
        <v>865</v>
      </c>
      <c r="C1756" s="1">
        <v>518886.0</v>
      </c>
      <c r="D1756" s="1" t="s">
        <v>537</v>
      </c>
      <c r="E1756" s="1" t="s">
        <v>927</v>
      </c>
      <c r="F1756" s="1" t="s">
        <v>927</v>
      </c>
      <c r="G1756" s="1">
        <v>86.0</v>
      </c>
      <c r="H1756" s="1">
        <v>4.486956522</v>
      </c>
      <c r="I1756" s="1">
        <v>5.2</v>
      </c>
      <c r="J1756" s="1">
        <v>1.500804</v>
      </c>
    </row>
    <row r="1757">
      <c r="A1757" s="1">
        <v>2025.0</v>
      </c>
      <c r="B1757" s="1" t="s">
        <v>865</v>
      </c>
      <c r="C1757" s="1">
        <v>518886.0</v>
      </c>
      <c r="D1757" s="1" t="s">
        <v>533</v>
      </c>
      <c r="E1757" s="1" t="s">
        <v>927</v>
      </c>
      <c r="F1757" s="1" t="s">
        <v>927</v>
      </c>
      <c r="G1757" s="1">
        <v>2.0</v>
      </c>
      <c r="H1757" s="1">
        <v>0.104347826</v>
      </c>
      <c r="I1757" s="1">
        <v>3.59</v>
      </c>
      <c r="J1757" s="1">
        <v>0.098369</v>
      </c>
    </row>
    <row r="1758">
      <c r="A1758" s="1">
        <v>2025.0</v>
      </c>
      <c r="B1758" s="1" t="s">
        <v>865</v>
      </c>
      <c r="C1758" s="1">
        <v>518886.0</v>
      </c>
      <c r="D1758" s="1" t="s">
        <v>539</v>
      </c>
      <c r="E1758" s="1" t="s">
        <v>927</v>
      </c>
      <c r="F1758" s="1" t="s">
        <v>927</v>
      </c>
      <c r="G1758" s="1">
        <v>13.0</v>
      </c>
      <c r="H1758" s="1">
        <v>0.67826087</v>
      </c>
      <c r="I1758" s="1">
        <v>4.73</v>
      </c>
      <c r="J1758" s="1">
        <v>0.352103</v>
      </c>
    </row>
    <row r="1759">
      <c r="A1759" s="1">
        <v>2025.0</v>
      </c>
      <c r="B1759" s="1" t="s">
        <v>815</v>
      </c>
      <c r="C1759" s="1">
        <v>684974.0</v>
      </c>
      <c r="D1759" s="1" t="s">
        <v>532</v>
      </c>
      <c r="E1759" s="1" t="s">
        <v>927</v>
      </c>
      <c r="F1759" s="1" t="s">
        <v>926</v>
      </c>
      <c r="G1759" s="1">
        <v>44.0</v>
      </c>
      <c r="H1759" s="1">
        <v>2.166666667</v>
      </c>
      <c r="I1759" s="1">
        <v>4.83</v>
      </c>
      <c r="J1759" s="1">
        <v>1.083675</v>
      </c>
    </row>
    <row r="1760">
      <c r="A1760" s="1">
        <v>2025.0</v>
      </c>
      <c r="B1760" s="1" t="s">
        <v>815</v>
      </c>
      <c r="C1760" s="1">
        <v>684974.0</v>
      </c>
      <c r="D1760" s="1" t="s">
        <v>540</v>
      </c>
      <c r="E1760" s="1" t="s">
        <v>927</v>
      </c>
      <c r="F1760" s="1" t="s">
        <v>926</v>
      </c>
      <c r="G1760" s="1">
        <v>8.0</v>
      </c>
      <c r="H1760" s="1">
        <v>0.393939394</v>
      </c>
      <c r="I1760" s="1">
        <v>4.04</v>
      </c>
      <c r="J1760" s="1">
        <v>0.318087</v>
      </c>
    </row>
    <row r="1761">
      <c r="A1761" s="1">
        <v>2025.0</v>
      </c>
      <c r="B1761" s="1" t="s">
        <v>815</v>
      </c>
      <c r="C1761" s="1">
        <v>684974.0</v>
      </c>
      <c r="D1761" s="1" t="s">
        <v>537</v>
      </c>
      <c r="E1761" s="1" t="s">
        <v>927</v>
      </c>
      <c r="F1761" s="1" t="s">
        <v>926</v>
      </c>
      <c r="G1761" s="1">
        <v>20.0</v>
      </c>
      <c r="H1761" s="1">
        <v>0.984848485</v>
      </c>
      <c r="I1761" s="1">
        <v>4.01</v>
      </c>
      <c r="J1761" s="1">
        <v>0.848722</v>
      </c>
    </row>
    <row r="1762">
      <c r="A1762" s="1">
        <v>2025.0</v>
      </c>
      <c r="B1762" s="1" t="s">
        <v>815</v>
      </c>
      <c r="C1762" s="1">
        <v>684974.0</v>
      </c>
      <c r="D1762" s="1" t="s">
        <v>539</v>
      </c>
      <c r="E1762" s="1" t="s">
        <v>927</v>
      </c>
      <c r="F1762" s="1" t="s">
        <v>926</v>
      </c>
      <c r="G1762" s="1">
        <v>3.0</v>
      </c>
      <c r="H1762" s="1">
        <v>0.147727273</v>
      </c>
      <c r="I1762" s="1">
        <v>6.52</v>
      </c>
      <c r="J1762" s="1">
        <v>-0.037477</v>
      </c>
    </row>
    <row r="1763">
      <c r="A1763" s="1">
        <v>2025.0</v>
      </c>
      <c r="B1763" s="1" t="s">
        <v>815</v>
      </c>
      <c r="C1763" s="1">
        <v>684974.0</v>
      </c>
      <c r="D1763" s="1" t="s">
        <v>532</v>
      </c>
      <c r="E1763" s="1" t="s">
        <v>927</v>
      </c>
      <c r="F1763" s="1" t="s">
        <v>927</v>
      </c>
      <c r="G1763" s="1">
        <v>37.0</v>
      </c>
      <c r="H1763" s="1">
        <v>1.821969697</v>
      </c>
      <c r="I1763" s="1">
        <v>5.83</v>
      </c>
      <c r="J1763" s="1">
        <v>0.201646</v>
      </c>
    </row>
    <row r="1764">
      <c r="A1764" s="1">
        <v>2025.0</v>
      </c>
      <c r="B1764" s="1" t="s">
        <v>815</v>
      </c>
      <c r="C1764" s="1">
        <v>684974.0</v>
      </c>
      <c r="D1764" s="1" t="s">
        <v>540</v>
      </c>
      <c r="E1764" s="1" t="s">
        <v>927</v>
      </c>
      <c r="F1764" s="1" t="s">
        <v>927</v>
      </c>
      <c r="G1764" s="1">
        <v>4.0</v>
      </c>
      <c r="H1764" s="1">
        <v>0.196969697</v>
      </c>
      <c r="I1764" s="1">
        <v>4.1</v>
      </c>
      <c r="J1764" s="1">
        <v>0.167526</v>
      </c>
    </row>
    <row r="1765">
      <c r="A1765" s="1">
        <v>2025.0</v>
      </c>
      <c r="B1765" s="1" t="s">
        <v>815</v>
      </c>
      <c r="C1765" s="1">
        <v>684974.0</v>
      </c>
      <c r="D1765" s="1" t="s">
        <v>537</v>
      </c>
      <c r="E1765" s="1" t="s">
        <v>927</v>
      </c>
      <c r="F1765" s="1" t="s">
        <v>927</v>
      </c>
      <c r="G1765" s="1">
        <v>47.0</v>
      </c>
      <c r="H1765" s="1">
        <v>2.314393939</v>
      </c>
      <c r="I1765" s="1">
        <v>4.79</v>
      </c>
      <c r="J1765" s="1">
        <v>1.193672</v>
      </c>
    </row>
    <row r="1766">
      <c r="A1766" s="1">
        <v>2025.0</v>
      </c>
      <c r="B1766" s="1" t="s">
        <v>815</v>
      </c>
      <c r="C1766" s="1">
        <v>684974.0</v>
      </c>
      <c r="D1766" s="1" t="s">
        <v>539</v>
      </c>
      <c r="E1766" s="1" t="s">
        <v>927</v>
      </c>
      <c r="F1766" s="1" t="s">
        <v>927</v>
      </c>
      <c r="G1766" s="1">
        <v>13.0</v>
      </c>
      <c r="H1766" s="1">
        <v>0.640151515</v>
      </c>
      <c r="I1766" s="1">
        <v>4.38</v>
      </c>
      <c r="J1766" s="1">
        <v>0.447393</v>
      </c>
    </row>
    <row r="1767">
      <c r="A1767" s="1">
        <v>2025.0</v>
      </c>
      <c r="B1767" s="1" t="s">
        <v>479</v>
      </c>
      <c r="C1767" s="1">
        <v>664299.0</v>
      </c>
      <c r="D1767" s="1" t="s">
        <v>532</v>
      </c>
      <c r="E1767" s="1" t="s">
        <v>927</v>
      </c>
      <c r="F1767" s="1" t="s">
        <v>926</v>
      </c>
      <c r="G1767" s="1">
        <v>106.0</v>
      </c>
      <c r="H1767" s="1">
        <v>6.356564019</v>
      </c>
      <c r="I1767" s="1">
        <v>4.93</v>
      </c>
      <c r="J1767" s="1">
        <v>2.397745</v>
      </c>
    </row>
    <row r="1768">
      <c r="A1768" s="1">
        <v>2025.0</v>
      </c>
      <c r="B1768" s="1" t="s">
        <v>479</v>
      </c>
      <c r="C1768" s="1">
        <v>664299.0</v>
      </c>
      <c r="D1768" s="1" t="s">
        <v>541</v>
      </c>
      <c r="E1768" s="1" t="s">
        <v>927</v>
      </c>
      <c r="F1768" s="1" t="s">
        <v>926</v>
      </c>
      <c r="G1768" s="1">
        <v>59.0</v>
      </c>
      <c r="H1768" s="1">
        <v>3.53808752</v>
      </c>
      <c r="I1768" s="1">
        <v>4.83</v>
      </c>
      <c r="J1768" s="1">
        <v>1.462934</v>
      </c>
    </row>
    <row r="1769">
      <c r="A1769" s="1">
        <v>2025.0</v>
      </c>
      <c r="B1769" s="1" t="s">
        <v>479</v>
      </c>
      <c r="C1769" s="1">
        <v>664299.0</v>
      </c>
      <c r="D1769" s="1" t="s">
        <v>537</v>
      </c>
      <c r="E1769" s="1" t="s">
        <v>927</v>
      </c>
      <c r="F1769" s="1" t="s">
        <v>926</v>
      </c>
      <c r="G1769" s="1">
        <v>123.0</v>
      </c>
      <c r="H1769" s="1">
        <v>7.376012966</v>
      </c>
      <c r="I1769" s="1">
        <v>4.33</v>
      </c>
      <c r="J1769" s="1">
        <v>4.347136</v>
      </c>
    </row>
    <row r="1770">
      <c r="A1770" s="1">
        <v>2025.0</v>
      </c>
      <c r="B1770" s="1" t="s">
        <v>479</v>
      </c>
      <c r="C1770" s="1">
        <v>664299.0</v>
      </c>
      <c r="D1770" s="1" t="s">
        <v>536</v>
      </c>
      <c r="E1770" s="1" t="s">
        <v>927</v>
      </c>
      <c r="F1770" s="1" t="s">
        <v>926</v>
      </c>
      <c r="G1770" s="1">
        <v>7.0</v>
      </c>
      <c r="H1770" s="1">
        <v>0.419773096</v>
      </c>
      <c r="I1770" s="1">
        <v>3.11</v>
      </c>
      <c r="J1770" s="1">
        <v>0.403352</v>
      </c>
    </row>
    <row r="1771">
      <c r="A1771" s="1">
        <v>2025.0</v>
      </c>
      <c r="B1771" s="1" t="s">
        <v>479</v>
      </c>
      <c r="C1771" s="1">
        <v>664299.0</v>
      </c>
      <c r="D1771" s="1" t="s">
        <v>539</v>
      </c>
      <c r="E1771" s="1" t="s">
        <v>927</v>
      </c>
      <c r="F1771" s="1" t="s">
        <v>926</v>
      </c>
      <c r="G1771" s="1">
        <v>39.0</v>
      </c>
      <c r="H1771" s="1">
        <v>2.338735818</v>
      </c>
      <c r="I1771" s="1">
        <v>4.97</v>
      </c>
      <c r="J1771" s="1">
        <v>0.823824</v>
      </c>
    </row>
    <row r="1772">
      <c r="A1772" s="1">
        <v>2025.0</v>
      </c>
      <c r="B1772" s="1" t="s">
        <v>479</v>
      </c>
      <c r="C1772" s="1">
        <v>664299.0</v>
      </c>
      <c r="D1772" s="1" t="s">
        <v>532</v>
      </c>
      <c r="E1772" s="1" t="s">
        <v>927</v>
      </c>
      <c r="F1772" s="1" t="s">
        <v>927</v>
      </c>
      <c r="G1772" s="1">
        <v>10.0</v>
      </c>
      <c r="H1772" s="1">
        <v>0.599675851</v>
      </c>
      <c r="I1772" s="1">
        <v>5.13</v>
      </c>
      <c r="J1772" s="1">
        <v>0.171424</v>
      </c>
    </row>
    <row r="1773">
      <c r="A1773" s="1">
        <v>2025.0</v>
      </c>
      <c r="B1773" s="1" t="s">
        <v>479</v>
      </c>
      <c r="C1773" s="1">
        <v>664299.0</v>
      </c>
      <c r="D1773" s="1" t="s">
        <v>541</v>
      </c>
      <c r="E1773" s="1" t="s">
        <v>927</v>
      </c>
      <c r="F1773" s="1" t="s">
        <v>927</v>
      </c>
      <c r="G1773" s="1">
        <v>15.0</v>
      </c>
      <c r="H1773" s="1">
        <v>0.899513776</v>
      </c>
      <c r="I1773" s="1">
        <v>4.35</v>
      </c>
      <c r="J1773" s="1">
        <v>0.516954</v>
      </c>
    </row>
    <row r="1774">
      <c r="A1774" s="1">
        <v>2025.0</v>
      </c>
      <c r="B1774" s="1" t="s">
        <v>479</v>
      </c>
      <c r="C1774" s="1">
        <v>664299.0</v>
      </c>
      <c r="D1774" s="1" t="s">
        <v>537</v>
      </c>
      <c r="E1774" s="1" t="s">
        <v>927</v>
      </c>
      <c r="F1774" s="1" t="s">
        <v>927</v>
      </c>
      <c r="G1774" s="1">
        <v>122.0</v>
      </c>
      <c r="H1774" s="1">
        <v>7.316045381</v>
      </c>
      <c r="I1774" s="1">
        <v>5.03</v>
      </c>
      <c r="J1774" s="1">
        <v>2.535985</v>
      </c>
    </row>
    <row r="1775">
      <c r="A1775" s="1">
        <v>2025.0</v>
      </c>
      <c r="B1775" s="1" t="s">
        <v>479</v>
      </c>
      <c r="C1775" s="1">
        <v>664299.0</v>
      </c>
      <c r="D1775" s="1" t="s">
        <v>536</v>
      </c>
      <c r="E1775" s="1" t="s">
        <v>927</v>
      </c>
      <c r="F1775" s="1" t="s">
        <v>927</v>
      </c>
      <c r="G1775" s="1">
        <v>52.0</v>
      </c>
      <c r="H1775" s="1">
        <v>3.118314425</v>
      </c>
      <c r="I1775" s="1">
        <v>4.48</v>
      </c>
      <c r="J1775" s="1">
        <v>1.698495</v>
      </c>
    </row>
    <row r="1776">
      <c r="A1776" s="1">
        <v>2025.0</v>
      </c>
      <c r="B1776" s="1" t="s">
        <v>479</v>
      </c>
      <c r="C1776" s="1">
        <v>664299.0</v>
      </c>
      <c r="D1776" s="1" t="s">
        <v>539</v>
      </c>
      <c r="E1776" s="1" t="s">
        <v>927</v>
      </c>
      <c r="F1776" s="1" t="s">
        <v>927</v>
      </c>
      <c r="G1776" s="1">
        <v>84.0</v>
      </c>
      <c r="H1776" s="1">
        <v>5.037277147</v>
      </c>
      <c r="I1776" s="1">
        <v>5.22</v>
      </c>
      <c r="J1776" s="1">
        <v>1.332127</v>
      </c>
    </row>
    <row r="1777">
      <c r="A1777" s="1">
        <v>2025.0</v>
      </c>
      <c r="B1777" s="1" t="s">
        <v>703</v>
      </c>
      <c r="C1777" s="1">
        <v>691441.0</v>
      </c>
      <c r="D1777" s="1" t="s">
        <v>532</v>
      </c>
      <c r="E1777" s="1" t="s">
        <v>927</v>
      </c>
      <c r="F1777" s="1" t="s">
        <v>926</v>
      </c>
      <c r="G1777" s="1">
        <v>15.0</v>
      </c>
      <c r="H1777" s="1">
        <v>1.0</v>
      </c>
      <c r="I1777" s="1">
        <v>4.75</v>
      </c>
      <c r="J1777" s="1">
        <v>0.398449</v>
      </c>
    </row>
    <row r="1778">
      <c r="A1778" s="1">
        <v>2025.0</v>
      </c>
      <c r="B1778" s="1" t="s">
        <v>703</v>
      </c>
      <c r="C1778" s="1">
        <v>691441.0</v>
      </c>
      <c r="D1778" s="1" t="s">
        <v>541</v>
      </c>
      <c r="E1778" s="1" t="s">
        <v>927</v>
      </c>
      <c r="F1778" s="1" t="s">
        <v>926</v>
      </c>
      <c r="G1778" s="1">
        <v>23.0</v>
      </c>
      <c r="H1778" s="1">
        <v>1.533333333</v>
      </c>
      <c r="I1778" s="1">
        <v>5.85</v>
      </c>
      <c r="J1778" s="1">
        <v>0.076258</v>
      </c>
    </row>
    <row r="1779">
      <c r="A1779" s="1">
        <v>2025.0</v>
      </c>
      <c r="B1779" s="1" t="s">
        <v>703</v>
      </c>
      <c r="C1779" s="1">
        <v>691441.0</v>
      </c>
      <c r="D1779" s="1" t="s">
        <v>537</v>
      </c>
      <c r="E1779" s="1" t="s">
        <v>927</v>
      </c>
      <c r="F1779" s="1" t="s">
        <v>926</v>
      </c>
      <c r="G1779" s="1">
        <v>16.0</v>
      </c>
      <c r="H1779" s="1">
        <v>1.066666667</v>
      </c>
      <c r="I1779" s="1">
        <v>3.99</v>
      </c>
      <c r="J1779" s="1">
        <v>0.678793</v>
      </c>
    </row>
    <row r="1780">
      <c r="A1780" s="1">
        <v>2025.0</v>
      </c>
      <c r="B1780" s="1" t="s">
        <v>703</v>
      </c>
      <c r="C1780" s="1">
        <v>691441.0</v>
      </c>
      <c r="D1780" s="1" t="s">
        <v>536</v>
      </c>
      <c r="E1780" s="1" t="s">
        <v>927</v>
      </c>
      <c r="F1780" s="1" t="s">
        <v>926</v>
      </c>
      <c r="G1780" s="1">
        <v>1.0</v>
      </c>
      <c r="H1780" s="1">
        <v>0.066666667</v>
      </c>
      <c r="I1780" s="1">
        <v>1.73</v>
      </c>
      <c r="J1780" s="1">
        <v>0.089582</v>
      </c>
    </row>
    <row r="1781">
      <c r="A1781" s="1">
        <v>2025.0</v>
      </c>
      <c r="B1781" s="1" t="s">
        <v>703</v>
      </c>
      <c r="C1781" s="1">
        <v>691441.0</v>
      </c>
      <c r="D1781" s="1" t="s">
        <v>541</v>
      </c>
      <c r="E1781" s="1" t="s">
        <v>927</v>
      </c>
      <c r="F1781" s="1" t="s">
        <v>927</v>
      </c>
      <c r="G1781" s="1">
        <v>10.0</v>
      </c>
      <c r="H1781" s="1">
        <v>0.666666667</v>
      </c>
      <c r="I1781" s="1">
        <v>3.91</v>
      </c>
      <c r="J1781" s="1">
        <v>0.435175</v>
      </c>
    </row>
    <row r="1782">
      <c r="A1782" s="1">
        <v>2025.0</v>
      </c>
      <c r="B1782" s="1" t="s">
        <v>703</v>
      </c>
      <c r="C1782" s="1">
        <v>691441.0</v>
      </c>
      <c r="D1782" s="1" t="s">
        <v>537</v>
      </c>
      <c r="E1782" s="1" t="s">
        <v>927</v>
      </c>
      <c r="F1782" s="1" t="s">
        <v>927</v>
      </c>
      <c r="G1782" s="1">
        <v>13.0</v>
      </c>
      <c r="H1782" s="1">
        <v>0.866666667</v>
      </c>
      <c r="I1782" s="1">
        <v>5.28</v>
      </c>
      <c r="J1782" s="1">
        <v>0.193676</v>
      </c>
    </row>
    <row r="1783">
      <c r="A1783" s="1">
        <v>2025.0</v>
      </c>
      <c r="B1783" s="1" t="s">
        <v>703</v>
      </c>
      <c r="C1783" s="1">
        <v>691441.0</v>
      </c>
      <c r="D1783" s="1" t="s">
        <v>536</v>
      </c>
      <c r="E1783" s="1" t="s">
        <v>927</v>
      </c>
      <c r="F1783" s="1" t="s">
        <v>927</v>
      </c>
      <c r="G1783" s="1">
        <v>11.0</v>
      </c>
      <c r="H1783" s="1">
        <v>0.733333333</v>
      </c>
      <c r="I1783" s="1">
        <v>4.85</v>
      </c>
      <c r="J1783" s="1">
        <v>0.290106</v>
      </c>
    </row>
    <row r="1784">
      <c r="A1784" s="1">
        <v>2025.0</v>
      </c>
      <c r="B1784" s="1" t="s">
        <v>703</v>
      </c>
      <c r="C1784" s="1">
        <v>691441.0</v>
      </c>
      <c r="D1784" s="1" t="s">
        <v>539</v>
      </c>
      <c r="E1784" s="1" t="s">
        <v>927</v>
      </c>
      <c r="F1784" s="1" t="s">
        <v>927</v>
      </c>
      <c r="G1784" s="1">
        <v>11.0</v>
      </c>
      <c r="H1784" s="1">
        <v>0.733333333</v>
      </c>
      <c r="I1784" s="1">
        <v>4.86</v>
      </c>
      <c r="J1784" s="1">
        <v>0.28208</v>
      </c>
    </row>
    <row r="1785">
      <c r="A1785" s="1">
        <v>2025.0</v>
      </c>
      <c r="B1785" s="1" t="s">
        <v>44</v>
      </c>
      <c r="C1785" s="1">
        <v>650911.0</v>
      </c>
      <c r="D1785" s="1" t="s">
        <v>532</v>
      </c>
      <c r="E1785" s="1" t="s">
        <v>926</v>
      </c>
      <c r="F1785" s="1" t="s">
        <v>926</v>
      </c>
      <c r="G1785" s="1">
        <v>89.0</v>
      </c>
      <c r="H1785" s="1">
        <v>6.207872928</v>
      </c>
      <c r="I1785" s="1">
        <v>4.65</v>
      </c>
      <c r="J1785" s="1">
        <v>2.411468</v>
      </c>
    </row>
    <row r="1786">
      <c r="A1786" s="1">
        <v>2025.0</v>
      </c>
      <c r="B1786" s="1" t="s">
        <v>44</v>
      </c>
      <c r="C1786" s="1">
        <v>650911.0</v>
      </c>
      <c r="D1786" s="1" t="s">
        <v>536</v>
      </c>
      <c r="E1786" s="1" t="s">
        <v>926</v>
      </c>
      <c r="F1786" s="1" t="s">
        <v>926</v>
      </c>
      <c r="G1786" s="1">
        <v>336.0</v>
      </c>
      <c r="H1786" s="1">
        <v>23.43646409</v>
      </c>
      <c r="I1786" s="1">
        <v>5.66</v>
      </c>
      <c r="J1786" s="1">
        <v>2.756477</v>
      </c>
    </row>
    <row r="1787">
      <c r="A1787" s="1">
        <v>2025.0</v>
      </c>
      <c r="B1787" s="1" t="s">
        <v>44</v>
      </c>
      <c r="C1787" s="1">
        <v>650911.0</v>
      </c>
      <c r="D1787" s="1" t="s">
        <v>533</v>
      </c>
      <c r="E1787" s="1" t="s">
        <v>926</v>
      </c>
      <c r="F1787" s="1" t="s">
        <v>926</v>
      </c>
      <c r="G1787" s="1">
        <v>180.0</v>
      </c>
      <c r="H1787" s="1">
        <v>12.55524862</v>
      </c>
      <c r="I1787" s="1">
        <v>5.08</v>
      </c>
      <c r="J1787" s="1">
        <v>3.577017</v>
      </c>
    </row>
    <row r="1788">
      <c r="A1788" s="1">
        <v>2025.0</v>
      </c>
      <c r="B1788" s="1" t="s">
        <v>44</v>
      </c>
      <c r="C1788" s="1">
        <v>650911.0</v>
      </c>
      <c r="D1788" s="1" t="s">
        <v>532</v>
      </c>
      <c r="E1788" s="1" t="s">
        <v>926</v>
      </c>
      <c r="F1788" s="1" t="s">
        <v>927</v>
      </c>
      <c r="G1788" s="1">
        <v>994.0</v>
      </c>
      <c r="H1788" s="1">
        <v>69.33287293</v>
      </c>
      <c r="I1788" s="1">
        <v>5.32</v>
      </c>
      <c r="J1788" s="1">
        <v>14.418182</v>
      </c>
    </row>
    <row r="1789">
      <c r="A1789" s="1">
        <v>2025.0</v>
      </c>
      <c r="B1789" s="1" t="s">
        <v>44</v>
      </c>
      <c r="C1789" s="1">
        <v>650911.0</v>
      </c>
      <c r="D1789" s="1" t="s">
        <v>536</v>
      </c>
      <c r="E1789" s="1" t="s">
        <v>926</v>
      </c>
      <c r="F1789" s="1" t="s">
        <v>927</v>
      </c>
      <c r="G1789" s="1">
        <v>996.0</v>
      </c>
      <c r="H1789" s="1">
        <v>69.47237569</v>
      </c>
      <c r="I1789" s="1">
        <v>5.02</v>
      </c>
      <c r="J1789" s="1">
        <v>21.299201</v>
      </c>
    </row>
    <row r="1790">
      <c r="A1790" s="1">
        <v>2025.0</v>
      </c>
      <c r="B1790" s="1" t="s">
        <v>44</v>
      </c>
      <c r="C1790" s="1">
        <v>650911.0</v>
      </c>
      <c r="D1790" s="1" t="s">
        <v>533</v>
      </c>
      <c r="E1790" s="1" t="s">
        <v>926</v>
      </c>
      <c r="F1790" s="1" t="s">
        <v>927</v>
      </c>
      <c r="G1790" s="1">
        <v>301.0</v>
      </c>
      <c r="H1790" s="1">
        <v>20.99516575</v>
      </c>
      <c r="I1790" s="1">
        <v>5.24</v>
      </c>
      <c r="J1790" s="1">
        <v>5.047796</v>
      </c>
    </row>
    <row r="1791">
      <c r="A1791" s="1">
        <v>2025.0</v>
      </c>
      <c r="B1791" s="1" t="s">
        <v>265</v>
      </c>
      <c r="C1791" s="1">
        <v>669084.0</v>
      </c>
      <c r="D1791" s="1" t="s">
        <v>532</v>
      </c>
      <c r="E1791" s="1" t="s">
        <v>926</v>
      </c>
      <c r="F1791" s="1" t="s">
        <v>926</v>
      </c>
      <c r="G1791" s="1">
        <v>8.0</v>
      </c>
      <c r="H1791" s="1">
        <v>0.526077098</v>
      </c>
      <c r="I1791" s="1">
        <v>4.38</v>
      </c>
      <c r="J1791" s="1">
        <v>0.261436</v>
      </c>
    </row>
    <row r="1792">
      <c r="A1792" s="1">
        <v>2025.0</v>
      </c>
      <c r="B1792" s="1" t="s">
        <v>265</v>
      </c>
      <c r="C1792" s="1">
        <v>669084.0</v>
      </c>
      <c r="D1792" s="1" t="s">
        <v>541</v>
      </c>
      <c r="E1792" s="1" t="s">
        <v>926</v>
      </c>
      <c r="F1792" s="1" t="s">
        <v>926</v>
      </c>
      <c r="G1792" s="1">
        <v>13.0</v>
      </c>
      <c r="H1792" s="1">
        <v>0.854875283</v>
      </c>
      <c r="I1792" s="1">
        <v>5.34</v>
      </c>
      <c r="J1792" s="1">
        <v>0.192941</v>
      </c>
    </row>
    <row r="1793">
      <c r="A1793" s="1">
        <v>2025.0</v>
      </c>
      <c r="B1793" s="1" t="s">
        <v>265</v>
      </c>
      <c r="C1793" s="1">
        <v>669084.0</v>
      </c>
      <c r="D1793" s="1" t="s">
        <v>540</v>
      </c>
      <c r="E1793" s="1" t="s">
        <v>926</v>
      </c>
      <c r="F1793" s="1" t="s">
        <v>926</v>
      </c>
      <c r="G1793" s="1">
        <v>39.0</v>
      </c>
      <c r="H1793" s="1">
        <v>2.56462585</v>
      </c>
      <c r="I1793" s="1">
        <v>5.19</v>
      </c>
      <c r="J1793" s="1">
        <v>0.753072</v>
      </c>
    </row>
    <row r="1794">
      <c r="A1794" s="1">
        <v>2025.0</v>
      </c>
      <c r="B1794" s="1" t="s">
        <v>265</v>
      </c>
      <c r="C1794" s="1">
        <v>669084.0</v>
      </c>
      <c r="D1794" s="1" t="s">
        <v>537</v>
      </c>
      <c r="E1794" s="1" t="s">
        <v>926</v>
      </c>
      <c r="F1794" s="1" t="s">
        <v>926</v>
      </c>
      <c r="G1794" s="1">
        <v>85.0</v>
      </c>
      <c r="H1794" s="1">
        <v>5.589569161</v>
      </c>
      <c r="I1794" s="1">
        <v>5.34</v>
      </c>
      <c r="J1794" s="1">
        <v>1.30132</v>
      </c>
    </row>
    <row r="1795">
      <c r="A1795" s="1">
        <v>2025.0</v>
      </c>
      <c r="B1795" s="1" t="s">
        <v>265</v>
      </c>
      <c r="C1795" s="1">
        <v>669084.0</v>
      </c>
      <c r="D1795" s="1" t="s">
        <v>536</v>
      </c>
      <c r="E1795" s="1" t="s">
        <v>926</v>
      </c>
      <c r="F1795" s="1" t="s">
        <v>926</v>
      </c>
      <c r="G1795" s="1">
        <v>27.0</v>
      </c>
      <c r="H1795" s="1">
        <v>1.775510204</v>
      </c>
      <c r="I1795" s="1">
        <v>5.0</v>
      </c>
      <c r="J1795" s="1">
        <v>0.634113</v>
      </c>
    </row>
    <row r="1796">
      <c r="A1796" s="1">
        <v>2025.0</v>
      </c>
      <c r="B1796" s="1" t="s">
        <v>265</v>
      </c>
      <c r="C1796" s="1">
        <v>669084.0</v>
      </c>
      <c r="D1796" s="1" t="s">
        <v>533</v>
      </c>
      <c r="E1796" s="1" t="s">
        <v>926</v>
      </c>
      <c r="F1796" s="1" t="s">
        <v>926</v>
      </c>
      <c r="G1796" s="1">
        <v>85.0</v>
      </c>
      <c r="H1796" s="1">
        <v>5.589569161</v>
      </c>
      <c r="I1796" s="1">
        <v>4.99</v>
      </c>
      <c r="J1796" s="1">
        <v>1.893182</v>
      </c>
    </row>
    <row r="1797">
      <c r="A1797" s="1">
        <v>2025.0</v>
      </c>
      <c r="B1797" s="1" t="s">
        <v>265</v>
      </c>
      <c r="C1797" s="1">
        <v>669084.0</v>
      </c>
      <c r="D1797" s="1" t="s">
        <v>532</v>
      </c>
      <c r="E1797" s="1" t="s">
        <v>926</v>
      </c>
      <c r="F1797" s="1" t="s">
        <v>927</v>
      </c>
      <c r="G1797" s="1">
        <v>96.0</v>
      </c>
      <c r="H1797" s="1">
        <v>6.31292517</v>
      </c>
      <c r="I1797" s="1">
        <v>4.7</v>
      </c>
      <c r="J1797" s="1">
        <v>2.704911</v>
      </c>
    </row>
    <row r="1798">
      <c r="A1798" s="1">
        <v>2025.0</v>
      </c>
      <c r="B1798" s="1" t="s">
        <v>265</v>
      </c>
      <c r="C1798" s="1">
        <v>669084.0</v>
      </c>
      <c r="D1798" s="1" t="s">
        <v>541</v>
      </c>
      <c r="E1798" s="1" t="s">
        <v>926</v>
      </c>
      <c r="F1798" s="1" t="s">
        <v>927</v>
      </c>
      <c r="G1798" s="1">
        <v>42.0</v>
      </c>
      <c r="H1798" s="1">
        <v>2.761904762</v>
      </c>
      <c r="I1798" s="1">
        <v>5.39</v>
      </c>
      <c r="J1798" s="1">
        <v>0.584992</v>
      </c>
    </row>
    <row r="1799">
      <c r="A1799" s="1">
        <v>2025.0</v>
      </c>
      <c r="B1799" s="1" t="s">
        <v>265</v>
      </c>
      <c r="C1799" s="1">
        <v>669084.0</v>
      </c>
      <c r="D1799" s="1" t="s">
        <v>540</v>
      </c>
      <c r="E1799" s="1" t="s">
        <v>926</v>
      </c>
      <c r="F1799" s="1" t="s">
        <v>927</v>
      </c>
      <c r="G1799" s="1">
        <v>63.0</v>
      </c>
      <c r="H1799" s="1">
        <v>4.142857143</v>
      </c>
      <c r="I1799" s="1">
        <v>5.28</v>
      </c>
      <c r="J1799" s="1">
        <v>1.073563</v>
      </c>
    </row>
    <row r="1800">
      <c r="A1800" s="1">
        <v>2025.0</v>
      </c>
      <c r="B1800" s="1" t="s">
        <v>265</v>
      </c>
      <c r="C1800" s="1">
        <v>669084.0</v>
      </c>
      <c r="D1800" s="1" t="s">
        <v>537</v>
      </c>
      <c r="E1800" s="1" t="s">
        <v>926</v>
      </c>
      <c r="F1800" s="1" t="s">
        <v>927</v>
      </c>
      <c r="G1800" s="1">
        <v>90.0</v>
      </c>
      <c r="H1800" s="1">
        <v>5.918367347</v>
      </c>
      <c r="I1800" s="1">
        <v>4.72</v>
      </c>
      <c r="J1800" s="1">
        <v>2.50709</v>
      </c>
    </row>
    <row r="1801">
      <c r="A1801" s="1">
        <v>2025.0</v>
      </c>
      <c r="B1801" s="1" t="s">
        <v>265</v>
      </c>
      <c r="C1801" s="1">
        <v>669084.0</v>
      </c>
      <c r="D1801" s="1" t="s">
        <v>536</v>
      </c>
      <c r="E1801" s="1" t="s">
        <v>926</v>
      </c>
      <c r="F1801" s="1" t="s">
        <v>927</v>
      </c>
      <c r="G1801" s="1">
        <v>15.0</v>
      </c>
      <c r="H1801" s="1">
        <v>0.986394558</v>
      </c>
      <c r="I1801" s="1">
        <v>4.36</v>
      </c>
      <c r="J1801" s="1">
        <v>0.523266</v>
      </c>
    </row>
    <row r="1802">
      <c r="A1802" s="1">
        <v>2025.0</v>
      </c>
      <c r="B1802" s="1" t="s">
        <v>265</v>
      </c>
      <c r="C1802" s="1">
        <v>669084.0</v>
      </c>
      <c r="D1802" s="1" t="s">
        <v>533</v>
      </c>
      <c r="E1802" s="1" t="s">
        <v>926</v>
      </c>
      <c r="F1802" s="1" t="s">
        <v>927</v>
      </c>
      <c r="G1802" s="1">
        <v>25.0</v>
      </c>
      <c r="H1802" s="1">
        <v>1.64399093</v>
      </c>
      <c r="I1802" s="1">
        <v>3.69</v>
      </c>
      <c r="J1802" s="1">
        <v>1.156835</v>
      </c>
    </row>
    <row r="1803">
      <c r="A1803" s="1">
        <v>2025.0</v>
      </c>
      <c r="B1803" s="1" t="s">
        <v>851</v>
      </c>
      <c r="C1803" s="1">
        <v>656186.0</v>
      </c>
      <c r="D1803" s="1" t="s">
        <v>532</v>
      </c>
      <c r="E1803" s="1" t="s">
        <v>927</v>
      </c>
      <c r="F1803" s="1" t="s">
        <v>926</v>
      </c>
      <c r="G1803" s="1">
        <v>91.0</v>
      </c>
      <c r="H1803" s="1">
        <v>5.787280702</v>
      </c>
      <c r="I1803" s="1">
        <v>4.89</v>
      </c>
      <c r="J1803" s="1">
        <v>2.186832</v>
      </c>
    </row>
    <row r="1804">
      <c r="A1804" s="1">
        <v>2025.0</v>
      </c>
      <c r="B1804" s="1" t="s">
        <v>851</v>
      </c>
      <c r="C1804" s="1">
        <v>656186.0</v>
      </c>
      <c r="D1804" s="1" t="s">
        <v>537</v>
      </c>
      <c r="E1804" s="1" t="s">
        <v>927</v>
      </c>
      <c r="F1804" s="1" t="s">
        <v>926</v>
      </c>
      <c r="G1804" s="1">
        <v>67.0</v>
      </c>
      <c r="H1804" s="1">
        <v>4.260964912</v>
      </c>
      <c r="I1804" s="1">
        <v>4.78</v>
      </c>
      <c r="J1804" s="1">
        <v>1.831888</v>
      </c>
    </row>
    <row r="1805">
      <c r="A1805" s="1">
        <v>2025.0</v>
      </c>
      <c r="B1805" s="1" t="s">
        <v>851</v>
      </c>
      <c r="C1805" s="1">
        <v>656186.0</v>
      </c>
      <c r="D1805" s="1" t="s">
        <v>536</v>
      </c>
      <c r="E1805" s="1" t="s">
        <v>927</v>
      </c>
      <c r="F1805" s="1" t="s">
        <v>926</v>
      </c>
      <c r="G1805" s="1">
        <v>49.0</v>
      </c>
      <c r="H1805" s="1">
        <v>3.11622807</v>
      </c>
      <c r="I1805" s="1">
        <v>4.49</v>
      </c>
      <c r="J1805" s="1">
        <v>1.578692</v>
      </c>
    </row>
    <row r="1806">
      <c r="A1806" s="1">
        <v>2025.0</v>
      </c>
      <c r="B1806" s="1" t="s">
        <v>851</v>
      </c>
      <c r="C1806" s="1">
        <v>656186.0</v>
      </c>
      <c r="D1806" s="1" t="s">
        <v>533</v>
      </c>
      <c r="E1806" s="1" t="s">
        <v>927</v>
      </c>
      <c r="F1806" s="1" t="s">
        <v>926</v>
      </c>
      <c r="G1806" s="1">
        <v>20.0</v>
      </c>
      <c r="H1806" s="1">
        <v>1.271929825</v>
      </c>
      <c r="I1806" s="1">
        <v>5.09</v>
      </c>
      <c r="J1806" s="1">
        <v>0.401348</v>
      </c>
    </row>
    <row r="1807">
      <c r="A1807" s="1">
        <v>2025.0</v>
      </c>
      <c r="B1807" s="1" t="s">
        <v>851</v>
      </c>
      <c r="C1807" s="1">
        <v>656186.0</v>
      </c>
      <c r="D1807" s="1" t="s">
        <v>532</v>
      </c>
      <c r="E1807" s="1" t="s">
        <v>927</v>
      </c>
      <c r="F1807" s="1" t="s">
        <v>927</v>
      </c>
      <c r="G1807" s="1">
        <v>14.0</v>
      </c>
      <c r="H1807" s="1">
        <v>0.890350877</v>
      </c>
      <c r="I1807" s="1">
        <v>4.4</v>
      </c>
      <c r="J1807" s="1">
        <v>0.456351</v>
      </c>
    </row>
    <row r="1808">
      <c r="A1808" s="1">
        <v>2025.0</v>
      </c>
      <c r="B1808" s="1" t="s">
        <v>851</v>
      </c>
      <c r="C1808" s="1">
        <v>656186.0</v>
      </c>
      <c r="D1808" s="1" t="s">
        <v>537</v>
      </c>
      <c r="E1808" s="1" t="s">
        <v>927</v>
      </c>
      <c r="F1808" s="1" t="s">
        <v>927</v>
      </c>
      <c r="G1808" s="1">
        <v>52.0</v>
      </c>
      <c r="H1808" s="1">
        <v>3.307017544</v>
      </c>
      <c r="I1808" s="1">
        <v>4.14</v>
      </c>
      <c r="J1808" s="1">
        <v>1.967957</v>
      </c>
    </row>
    <row r="1809">
      <c r="A1809" s="1">
        <v>2025.0</v>
      </c>
      <c r="B1809" s="1" t="s">
        <v>851</v>
      </c>
      <c r="C1809" s="1">
        <v>656186.0</v>
      </c>
      <c r="D1809" s="1" t="s">
        <v>536</v>
      </c>
      <c r="E1809" s="1" t="s">
        <v>927</v>
      </c>
      <c r="F1809" s="1" t="s">
        <v>927</v>
      </c>
      <c r="G1809" s="1">
        <v>69.0</v>
      </c>
      <c r="H1809" s="1">
        <v>4.388157895</v>
      </c>
      <c r="I1809" s="1">
        <v>4.78</v>
      </c>
      <c r="J1809" s="1">
        <v>1.843708</v>
      </c>
    </row>
    <row r="1810">
      <c r="A1810" s="1">
        <v>2025.0</v>
      </c>
      <c r="B1810" s="1" t="s">
        <v>851</v>
      </c>
      <c r="C1810" s="1">
        <v>656186.0</v>
      </c>
      <c r="D1810" s="1" t="s">
        <v>533</v>
      </c>
      <c r="E1810" s="1" t="s">
        <v>927</v>
      </c>
      <c r="F1810" s="1" t="s">
        <v>927</v>
      </c>
      <c r="G1810" s="1">
        <v>94.0</v>
      </c>
      <c r="H1810" s="1">
        <v>5.978070175</v>
      </c>
      <c r="I1810" s="1">
        <v>5.27</v>
      </c>
      <c r="J1810" s="1">
        <v>1.572813</v>
      </c>
    </row>
    <row r="1811">
      <c r="A1811" s="1">
        <v>2025.0</v>
      </c>
      <c r="B1811" s="1" t="s">
        <v>796</v>
      </c>
      <c r="C1811" s="1">
        <v>641540.0</v>
      </c>
      <c r="D1811" s="1" t="s">
        <v>532</v>
      </c>
      <c r="E1811" s="1" t="s">
        <v>927</v>
      </c>
      <c r="F1811" s="1" t="s">
        <v>926</v>
      </c>
      <c r="G1811" s="1">
        <v>50.0</v>
      </c>
      <c r="H1811" s="1">
        <v>2.785265049</v>
      </c>
      <c r="I1811" s="1">
        <v>5.02</v>
      </c>
      <c r="J1811" s="1">
        <v>1.054163</v>
      </c>
    </row>
    <row r="1812">
      <c r="A1812" s="1">
        <v>2025.0</v>
      </c>
      <c r="B1812" s="1" t="s">
        <v>796</v>
      </c>
      <c r="C1812" s="1">
        <v>641540.0</v>
      </c>
      <c r="D1812" s="1" t="s">
        <v>541</v>
      </c>
      <c r="E1812" s="1" t="s">
        <v>927</v>
      </c>
      <c r="F1812" s="1" t="s">
        <v>926</v>
      </c>
      <c r="G1812" s="1">
        <v>10.0</v>
      </c>
      <c r="H1812" s="1">
        <v>0.55705301</v>
      </c>
      <c r="I1812" s="1">
        <v>4.74</v>
      </c>
      <c r="J1812" s="1">
        <v>0.271763</v>
      </c>
    </row>
    <row r="1813">
      <c r="A1813" s="1">
        <v>2025.0</v>
      </c>
      <c r="B1813" s="1" t="s">
        <v>796</v>
      </c>
      <c r="C1813" s="1">
        <v>641540.0</v>
      </c>
      <c r="D1813" s="1" t="s">
        <v>540</v>
      </c>
      <c r="E1813" s="1" t="s">
        <v>927</v>
      </c>
      <c r="F1813" s="1" t="s">
        <v>926</v>
      </c>
      <c r="G1813" s="1">
        <v>80.0</v>
      </c>
      <c r="H1813" s="1">
        <v>4.456424079</v>
      </c>
      <c r="I1813" s="1">
        <v>5.1</v>
      </c>
      <c r="J1813" s="1">
        <v>1.602949</v>
      </c>
    </row>
    <row r="1814">
      <c r="A1814" s="1">
        <v>2025.0</v>
      </c>
      <c r="B1814" s="1" t="s">
        <v>796</v>
      </c>
      <c r="C1814" s="1">
        <v>641540.0</v>
      </c>
      <c r="D1814" s="1" t="s">
        <v>536</v>
      </c>
      <c r="E1814" s="1" t="s">
        <v>927</v>
      </c>
      <c r="F1814" s="1" t="s">
        <v>926</v>
      </c>
      <c r="G1814" s="1">
        <v>40.0</v>
      </c>
      <c r="H1814" s="1">
        <v>2.22821204</v>
      </c>
      <c r="I1814" s="1">
        <v>4.57</v>
      </c>
      <c r="J1814" s="1">
        <v>1.231841</v>
      </c>
    </row>
    <row r="1815">
      <c r="A1815" s="1">
        <v>2025.0</v>
      </c>
      <c r="B1815" s="1" t="s">
        <v>796</v>
      </c>
      <c r="C1815" s="1">
        <v>641540.0</v>
      </c>
      <c r="D1815" s="1" t="s">
        <v>533</v>
      </c>
      <c r="E1815" s="1" t="s">
        <v>927</v>
      </c>
      <c r="F1815" s="1" t="s">
        <v>926</v>
      </c>
      <c r="G1815" s="1">
        <v>3.0</v>
      </c>
      <c r="H1815" s="1">
        <v>0.167115903</v>
      </c>
      <c r="I1815" s="1">
        <v>6.64</v>
      </c>
      <c r="J1815" s="1">
        <v>-0.044279</v>
      </c>
    </row>
    <row r="1816">
      <c r="A1816" s="1">
        <v>2025.0</v>
      </c>
      <c r="B1816" s="1" t="s">
        <v>796</v>
      </c>
      <c r="C1816" s="1">
        <v>641540.0</v>
      </c>
      <c r="D1816" s="1" t="s">
        <v>532</v>
      </c>
      <c r="E1816" s="1" t="s">
        <v>927</v>
      </c>
      <c r="F1816" s="1" t="s">
        <v>927</v>
      </c>
      <c r="G1816" s="1">
        <v>17.0</v>
      </c>
      <c r="H1816" s="1">
        <v>0.946990117</v>
      </c>
      <c r="I1816" s="1">
        <v>5.89</v>
      </c>
      <c r="J1816" s="1">
        <v>0.051234</v>
      </c>
    </row>
    <row r="1817">
      <c r="A1817" s="1">
        <v>2025.0</v>
      </c>
      <c r="B1817" s="1" t="s">
        <v>796</v>
      </c>
      <c r="C1817" s="1">
        <v>641540.0</v>
      </c>
      <c r="D1817" s="1" t="s">
        <v>541</v>
      </c>
      <c r="E1817" s="1" t="s">
        <v>927</v>
      </c>
      <c r="F1817" s="1" t="s">
        <v>927</v>
      </c>
      <c r="G1817" s="1">
        <v>1.0</v>
      </c>
      <c r="H1817" s="1">
        <v>0.055705301</v>
      </c>
      <c r="I1817" s="1">
        <v>3.2</v>
      </c>
      <c r="J1817" s="1">
        <v>0.057659</v>
      </c>
    </row>
    <row r="1818">
      <c r="A1818" s="1">
        <v>2025.0</v>
      </c>
      <c r="B1818" s="1" t="s">
        <v>796</v>
      </c>
      <c r="C1818" s="1">
        <v>641540.0</v>
      </c>
      <c r="D1818" s="1" t="s">
        <v>540</v>
      </c>
      <c r="E1818" s="1" t="s">
        <v>927</v>
      </c>
      <c r="F1818" s="1" t="s">
        <v>927</v>
      </c>
      <c r="G1818" s="1">
        <v>67.0</v>
      </c>
      <c r="H1818" s="1">
        <v>3.732255166</v>
      </c>
      <c r="I1818" s="1">
        <v>5.04</v>
      </c>
      <c r="J1818" s="1">
        <v>1.456402</v>
      </c>
    </row>
    <row r="1819">
      <c r="A1819" s="1">
        <v>2025.0</v>
      </c>
      <c r="B1819" s="1" t="s">
        <v>796</v>
      </c>
      <c r="C1819" s="1">
        <v>641540.0</v>
      </c>
      <c r="D1819" s="1" t="s">
        <v>537</v>
      </c>
      <c r="E1819" s="1" t="s">
        <v>927</v>
      </c>
      <c r="F1819" s="1" t="s">
        <v>927</v>
      </c>
      <c r="G1819" s="1">
        <v>2.0</v>
      </c>
      <c r="H1819" s="1">
        <v>0.111410602</v>
      </c>
      <c r="I1819" s="1">
        <v>4.34</v>
      </c>
      <c r="J1819" s="1">
        <v>0.069231</v>
      </c>
    </row>
    <row r="1820">
      <c r="A1820" s="1">
        <v>2025.0</v>
      </c>
      <c r="B1820" s="1" t="s">
        <v>796</v>
      </c>
      <c r="C1820" s="1">
        <v>641540.0</v>
      </c>
      <c r="D1820" s="1" t="s">
        <v>536</v>
      </c>
      <c r="E1820" s="1" t="s">
        <v>927</v>
      </c>
      <c r="F1820" s="1" t="s">
        <v>927</v>
      </c>
      <c r="G1820" s="1">
        <v>69.0</v>
      </c>
      <c r="H1820" s="1">
        <v>3.843665768</v>
      </c>
      <c r="I1820" s="1">
        <v>4.65</v>
      </c>
      <c r="J1820" s="1">
        <v>2.065997</v>
      </c>
    </row>
    <row r="1821">
      <c r="A1821" s="1">
        <v>2025.0</v>
      </c>
      <c r="B1821" s="1" t="s">
        <v>796</v>
      </c>
      <c r="C1821" s="1">
        <v>641540.0</v>
      </c>
      <c r="D1821" s="1" t="s">
        <v>533</v>
      </c>
      <c r="E1821" s="1" t="s">
        <v>927</v>
      </c>
      <c r="F1821" s="1" t="s">
        <v>927</v>
      </c>
      <c r="G1821" s="1">
        <v>32.0</v>
      </c>
      <c r="H1821" s="1">
        <v>1.782569632</v>
      </c>
      <c r="I1821" s="1">
        <v>4.59</v>
      </c>
      <c r="J1821" s="1">
        <v>0.954327</v>
      </c>
    </row>
    <row r="1822">
      <c r="A1822" s="1">
        <v>2025.0</v>
      </c>
      <c r="B1822" s="1" t="s">
        <v>293</v>
      </c>
      <c r="C1822" s="1">
        <v>663738.0</v>
      </c>
      <c r="D1822" s="1" t="s">
        <v>532</v>
      </c>
      <c r="E1822" s="1" t="s">
        <v>926</v>
      </c>
      <c r="F1822" s="1" t="s">
        <v>926</v>
      </c>
      <c r="G1822" s="1">
        <v>14.0</v>
      </c>
      <c r="H1822" s="1">
        <v>0.878787879</v>
      </c>
      <c r="I1822" s="1">
        <v>5.19</v>
      </c>
      <c r="J1822" s="1">
        <v>0.242863</v>
      </c>
    </row>
    <row r="1823">
      <c r="A1823" s="1">
        <v>2025.0</v>
      </c>
      <c r="B1823" s="1" t="s">
        <v>293</v>
      </c>
      <c r="C1823" s="1">
        <v>663738.0</v>
      </c>
      <c r="D1823" s="1" t="s">
        <v>541</v>
      </c>
      <c r="E1823" s="1" t="s">
        <v>926</v>
      </c>
      <c r="F1823" s="1" t="s">
        <v>926</v>
      </c>
      <c r="G1823" s="1">
        <v>5.0</v>
      </c>
      <c r="H1823" s="1">
        <v>0.313852814</v>
      </c>
      <c r="I1823" s="1">
        <v>4.75</v>
      </c>
      <c r="J1823" s="1">
        <v>0.136121</v>
      </c>
    </row>
    <row r="1824">
      <c r="A1824" s="1">
        <v>2025.0</v>
      </c>
      <c r="B1824" s="1" t="s">
        <v>293</v>
      </c>
      <c r="C1824" s="1">
        <v>663738.0</v>
      </c>
      <c r="D1824" s="1" t="s">
        <v>537</v>
      </c>
      <c r="E1824" s="1" t="s">
        <v>926</v>
      </c>
      <c r="F1824" s="1" t="s">
        <v>926</v>
      </c>
      <c r="G1824" s="1">
        <v>73.0</v>
      </c>
      <c r="H1824" s="1">
        <v>4.582251082</v>
      </c>
      <c r="I1824" s="1">
        <v>5.2</v>
      </c>
      <c r="J1824" s="1">
        <v>1.39318</v>
      </c>
    </row>
    <row r="1825">
      <c r="A1825" s="1">
        <v>2025.0</v>
      </c>
      <c r="B1825" s="1" t="s">
        <v>293</v>
      </c>
      <c r="C1825" s="1">
        <v>663738.0</v>
      </c>
      <c r="D1825" s="1" t="s">
        <v>536</v>
      </c>
      <c r="E1825" s="1" t="s">
        <v>926</v>
      </c>
      <c r="F1825" s="1" t="s">
        <v>926</v>
      </c>
      <c r="G1825" s="1">
        <v>130.0</v>
      </c>
      <c r="H1825" s="1">
        <v>8.16017316</v>
      </c>
      <c r="I1825" s="1">
        <v>5.26</v>
      </c>
      <c r="J1825" s="1">
        <v>2.184846</v>
      </c>
    </row>
    <row r="1826">
      <c r="A1826" s="1">
        <v>2025.0</v>
      </c>
      <c r="B1826" s="1" t="s">
        <v>293</v>
      </c>
      <c r="C1826" s="1">
        <v>663738.0</v>
      </c>
      <c r="D1826" s="1" t="s">
        <v>533</v>
      </c>
      <c r="E1826" s="1" t="s">
        <v>926</v>
      </c>
      <c r="F1826" s="1" t="s">
        <v>926</v>
      </c>
      <c r="G1826" s="1">
        <v>220.0</v>
      </c>
      <c r="H1826" s="1">
        <v>13.80952381</v>
      </c>
      <c r="I1826" s="1">
        <v>5.03</v>
      </c>
      <c r="J1826" s="1">
        <v>4.785857</v>
      </c>
    </row>
    <row r="1827">
      <c r="A1827" s="1">
        <v>2025.0</v>
      </c>
      <c r="B1827" s="1" t="s">
        <v>293</v>
      </c>
      <c r="C1827" s="1">
        <v>663738.0</v>
      </c>
      <c r="D1827" s="1" t="s">
        <v>532</v>
      </c>
      <c r="E1827" s="1" t="s">
        <v>926</v>
      </c>
      <c r="F1827" s="1" t="s">
        <v>927</v>
      </c>
      <c r="G1827" s="1">
        <v>190.0</v>
      </c>
      <c r="H1827" s="1">
        <v>11.92640693</v>
      </c>
      <c r="I1827" s="1">
        <v>5.06</v>
      </c>
      <c r="J1827" s="1">
        <v>3.90488</v>
      </c>
    </row>
    <row r="1828">
      <c r="A1828" s="1">
        <v>2025.0</v>
      </c>
      <c r="B1828" s="1" t="s">
        <v>293</v>
      </c>
      <c r="C1828" s="1">
        <v>663738.0</v>
      </c>
      <c r="D1828" s="1" t="s">
        <v>541</v>
      </c>
      <c r="E1828" s="1" t="s">
        <v>926</v>
      </c>
      <c r="F1828" s="1" t="s">
        <v>927</v>
      </c>
      <c r="G1828" s="1">
        <v>100.0</v>
      </c>
      <c r="H1828" s="1">
        <v>6.277056277</v>
      </c>
      <c r="I1828" s="1">
        <v>5.33</v>
      </c>
      <c r="J1828" s="1">
        <v>1.619366</v>
      </c>
    </row>
    <row r="1829">
      <c r="A1829" s="1">
        <v>2025.0</v>
      </c>
      <c r="B1829" s="1" t="s">
        <v>293</v>
      </c>
      <c r="C1829" s="1">
        <v>663738.0</v>
      </c>
      <c r="D1829" s="1" t="s">
        <v>537</v>
      </c>
      <c r="E1829" s="1" t="s">
        <v>926</v>
      </c>
      <c r="F1829" s="1" t="s">
        <v>927</v>
      </c>
      <c r="G1829" s="1">
        <v>170.0</v>
      </c>
      <c r="H1829" s="1">
        <v>10.67099567</v>
      </c>
      <c r="I1829" s="1">
        <v>4.35</v>
      </c>
      <c r="J1829" s="1">
        <v>6.144582</v>
      </c>
    </row>
    <row r="1830">
      <c r="A1830" s="1">
        <v>2025.0</v>
      </c>
      <c r="B1830" s="1" t="s">
        <v>293</v>
      </c>
      <c r="C1830" s="1">
        <v>663738.0</v>
      </c>
      <c r="D1830" s="1" t="s">
        <v>536</v>
      </c>
      <c r="E1830" s="1" t="s">
        <v>926</v>
      </c>
      <c r="F1830" s="1" t="s">
        <v>927</v>
      </c>
      <c r="G1830" s="1">
        <v>78.0</v>
      </c>
      <c r="H1830" s="1">
        <v>4.896103896</v>
      </c>
      <c r="I1830" s="1">
        <v>4.69</v>
      </c>
      <c r="J1830" s="1">
        <v>2.250685</v>
      </c>
    </row>
    <row r="1831">
      <c r="A1831" s="1">
        <v>2025.0</v>
      </c>
      <c r="B1831" s="1" t="s">
        <v>293</v>
      </c>
      <c r="C1831" s="1">
        <v>663738.0</v>
      </c>
      <c r="D1831" s="1" t="s">
        <v>533</v>
      </c>
      <c r="E1831" s="1" t="s">
        <v>926</v>
      </c>
      <c r="F1831" s="1" t="s">
        <v>927</v>
      </c>
      <c r="G1831" s="1">
        <v>98.0</v>
      </c>
      <c r="H1831" s="1">
        <v>6.151515152</v>
      </c>
      <c r="I1831" s="1">
        <v>5.12</v>
      </c>
      <c r="J1831" s="1">
        <v>1.930858</v>
      </c>
    </row>
    <row r="1832">
      <c r="A1832" s="1">
        <v>2025.0</v>
      </c>
      <c r="B1832" s="1" t="s">
        <v>167</v>
      </c>
      <c r="C1832" s="1">
        <v>694037.0</v>
      </c>
      <c r="D1832" s="1" t="s">
        <v>541</v>
      </c>
      <c r="E1832" s="1" t="s">
        <v>927</v>
      </c>
      <c r="F1832" s="1" t="s">
        <v>926</v>
      </c>
      <c r="G1832" s="1">
        <v>1.0</v>
      </c>
      <c r="H1832" s="1">
        <v>0.062773143</v>
      </c>
      <c r="I1832" s="1">
        <v>5.5</v>
      </c>
      <c r="J1832" s="1">
        <v>0.01432</v>
      </c>
    </row>
    <row r="1833">
      <c r="A1833" s="1">
        <v>2025.0</v>
      </c>
      <c r="B1833" s="1" t="s">
        <v>167</v>
      </c>
      <c r="C1833" s="1">
        <v>694037.0</v>
      </c>
      <c r="D1833" s="1" t="s">
        <v>537</v>
      </c>
      <c r="E1833" s="1" t="s">
        <v>927</v>
      </c>
      <c r="F1833" s="1" t="s">
        <v>926</v>
      </c>
      <c r="G1833" s="1">
        <v>315.0</v>
      </c>
      <c r="H1833" s="1">
        <v>19.77353993</v>
      </c>
      <c r="I1833" s="1">
        <v>4.94</v>
      </c>
      <c r="J1833" s="1">
        <v>7.392882</v>
      </c>
    </row>
    <row r="1834">
      <c r="A1834" s="1">
        <v>2025.0</v>
      </c>
      <c r="B1834" s="1" t="s">
        <v>167</v>
      </c>
      <c r="C1834" s="1">
        <v>694037.0</v>
      </c>
      <c r="D1834" s="1" t="s">
        <v>538</v>
      </c>
      <c r="E1834" s="1" t="s">
        <v>927</v>
      </c>
      <c r="F1834" s="1" t="s">
        <v>926</v>
      </c>
      <c r="G1834" s="1">
        <v>37.0</v>
      </c>
      <c r="H1834" s="1">
        <v>2.322606277</v>
      </c>
      <c r="I1834" s="1">
        <v>4.79</v>
      </c>
      <c r="J1834" s="1">
        <v>0.958451</v>
      </c>
    </row>
    <row r="1835">
      <c r="A1835" s="1">
        <v>2025.0</v>
      </c>
      <c r="B1835" s="1" t="s">
        <v>167</v>
      </c>
      <c r="C1835" s="1">
        <v>694037.0</v>
      </c>
      <c r="D1835" s="1" t="s">
        <v>536</v>
      </c>
      <c r="E1835" s="1" t="s">
        <v>927</v>
      </c>
      <c r="F1835" s="1" t="s">
        <v>926</v>
      </c>
      <c r="G1835" s="1">
        <v>1.0</v>
      </c>
      <c r="H1835" s="1">
        <v>0.062773143</v>
      </c>
      <c r="I1835" s="1">
        <v>6.4</v>
      </c>
      <c r="J1835" s="1">
        <v>-0.005179</v>
      </c>
    </row>
    <row r="1836">
      <c r="A1836" s="1">
        <v>2025.0</v>
      </c>
      <c r="B1836" s="1" t="s">
        <v>167</v>
      </c>
      <c r="C1836" s="1">
        <v>694037.0</v>
      </c>
      <c r="D1836" s="1" t="s">
        <v>533</v>
      </c>
      <c r="E1836" s="1" t="s">
        <v>927</v>
      </c>
      <c r="F1836" s="1" t="s">
        <v>926</v>
      </c>
      <c r="G1836" s="1">
        <v>82.0</v>
      </c>
      <c r="H1836" s="1">
        <v>5.147397696</v>
      </c>
      <c r="I1836" s="1">
        <v>4.97</v>
      </c>
      <c r="J1836" s="1">
        <v>1.864667</v>
      </c>
    </row>
    <row r="1837">
      <c r="A1837" s="1">
        <v>2025.0</v>
      </c>
      <c r="B1837" s="1" t="s">
        <v>167</v>
      </c>
      <c r="C1837" s="1">
        <v>694037.0</v>
      </c>
      <c r="D1837" s="1" t="s">
        <v>541</v>
      </c>
      <c r="E1837" s="1" t="s">
        <v>927</v>
      </c>
      <c r="F1837" s="1" t="s">
        <v>927</v>
      </c>
      <c r="G1837" s="1">
        <v>2.0</v>
      </c>
      <c r="H1837" s="1">
        <v>0.125546285</v>
      </c>
      <c r="I1837" s="1">
        <v>6.53</v>
      </c>
      <c r="J1837" s="1">
        <v>-0.013748</v>
      </c>
    </row>
    <row r="1838">
      <c r="A1838" s="1">
        <v>2025.0</v>
      </c>
      <c r="B1838" s="1" t="s">
        <v>167</v>
      </c>
      <c r="C1838" s="1">
        <v>694037.0</v>
      </c>
      <c r="D1838" s="1" t="s">
        <v>537</v>
      </c>
      <c r="E1838" s="1" t="s">
        <v>927</v>
      </c>
      <c r="F1838" s="1" t="s">
        <v>927</v>
      </c>
      <c r="G1838" s="1">
        <v>278.0</v>
      </c>
      <c r="H1838" s="1">
        <v>17.45093365</v>
      </c>
      <c r="I1838" s="1">
        <v>5.32</v>
      </c>
      <c r="J1838" s="1">
        <v>4.372695</v>
      </c>
    </row>
    <row r="1839">
      <c r="A1839" s="1">
        <v>2025.0</v>
      </c>
      <c r="B1839" s="1" t="s">
        <v>167</v>
      </c>
      <c r="C1839" s="1">
        <v>694037.0</v>
      </c>
      <c r="D1839" s="1" t="s">
        <v>538</v>
      </c>
      <c r="E1839" s="1" t="s">
        <v>927</v>
      </c>
      <c r="F1839" s="1" t="s">
        <v>927</v>
      </c>
      <c r="G1839" s="1">
        <v>2.0</v>
      </c>
      <c r="H1839" s="1">
        <v>0.125546285</v>
      </c>
      <c r="I1839" s="1">
        <v>5.58</v>
      </c>
      <c r="J1839" s="1">
        <v>0.020597</v>
      </c>
    </row>
    <row r="1840">
      <c r="A1840" s="1">
        <v>2025.0</v>
      </c>
      <c r="B1840" s="1" t="s">
        <v>167</v>
      </c>
      <c r="C1840" s="1">
        <v>694037.0</v>
      </c>
      <c r="D1840" s="1" t="s">
        <v>536</v>
      </c>
      <c r="E1840" s="1" t="s">
        <v>927</v>
      </c>
      <c r="F1840" s="1" t="s">
        <v>927</v>
      </c>
      <c r="G1840" s="1">
        <v>9.0</v>
      </c>
      <c r="H1840" s="1">
        <v>0.564958284</v>
      </c>
      <c r="I1840" s="1">
        <v>5.13</v>
      </c>
      <c r="J1840" s="1">
        <v>0.176625</v>
      </c>
    </row>
    <row r="1841">
      <c r="A1841" s="1">
        <v>2025.0</v>
      </c>
      <c r="B1841" s="1" t="s">
        <v>167</v>
      </c>
      <c r="C1841" s="1">
        <v>694037.0</v>
      </c>
      <c r="D1841" s="1" t="s">
        <v>533</v>
      </c>
      <c r="E1841" s="1" t="s">
        <v>927</v>
      </c>
      <c r="F1841" s="1" t="s">
        <v>927</v>
      </c>
      <c r="G1841" s="1">
        <v>112.0</v>
      </c>
      <c r="H1841" s="1">
        <v>7.030591975</v>
      </c>
      <c r="I1841" s="1">
        <v>5.25</v>
      </c>
      <c r="J1841" s="1">
        <v>1.952786</v>
      </c>
    </row>
    <row r="1842">
      <c r="A1842" s="1">
        <v>2025.0</v>
      </c>
      <c r="B1842" s="1" t="s">
        <v>788</v>
      </c>
      <c r="C1842" s="1">
        <v>642016.0</v>
      </c>
      <c r="D1842" s="1" t="s">
        <v>532</v>
      </c>
      <c r="E1842" s="1" t="s">
        <v>927</v>
      </c>
      <c r="F1842" s="1" t="s">
        <v>926</v>
      </c>
      <c r="G1842" s="1">
        <v>1.0</v>
      </c>
      <c r="H1842" s="1">
        <v>0.050980392</v>
      </c>
      <c r="I1842" s="1">
        <v>6.21</v>
      </c>
      <c r="J1842" s="1">
        <v>-0.001547</v>
      </c>
    </row>
    <row r="1843">
      <c r="A1843" s="1">
        <v>2025.0</v>
      </c>
      <c r="B1843" s="1" t="s">
        <v>788</v>
      </c>
      <c r="C1843" s="1">
        <v>642016.0</v>
      </c>
      <c r="D1843" s="1" t="s">
        <v>540</v>
      </c>
      <c r="E1843" s="1" t="s">
        <v>927</v>
      </c>
      <c r="F1843" s="1" t="s">
        <v>926</v>
      </c>
      <c r="G1843" s="1">
        <v>28.0</v>
      </c>
      <c r="H1843" s="1">
        <v>1.42745098</v>
      </c>
      <c r="I1843" s="1">
        <v>5.04</v>
      </c>
      <c r="J1843" s="1">
        <v>0.601983</v>
      </c>
    </row>
    <row r="1844">
      <c r="A1844" s="1">
        <v>2025.0</v>
      </c>
      <c r="B1844" s="1" t="s">
        <v>788</v>
      </c>
      <c r="C1844" s="1">
        <v>642016.0</v>
      </c>
      <c r="D1844" s="1" t="s">
        <v>537</v>
      </c>
      <c r="E1844" s="1" t="s">
        <v>927</v>
      </c>
      <c r="F1844" s="1" t="s">
        <v>926</v>
      </c>
      <c r="G1844" s="1">
        <v>32.0</v>
      </c>
      <c r="H1844" s="1">
        <v>1.631372549</v>
      </c>
      <c r="I1844" s="1">
        <v>4.44</v>
      </c>
      <c r="J1844" s="1">
        <v>1.095347</v>
      </c>
    </row>
    <row r="1845">
      <c r="A1845" s="1">
        <v>2025.0</v>
      </c>
      <c r="B1845" s="1" t="s">
        <v>788</v>
      </c>
      <c r="C1845" s="1">
        <v>642016.0</v>
      </c>
      <c r="D1845" s="1" t="s">
        <v>536</v>
      </c>
      <c r="E1845" s="1" t="s">
        <v>927</v>
      </c>
      <c r="F1845" s="1" t="s">
        <v>926</v>
      </c>
      <c r="G1845" s="1">
        <v>1.0</v>
      </c>
      <c r="H1845" s="1">
        <v>0.050980392</v>
      </c>
      <c r="I1845" s="1">
        <v>3.7</v>
      </c>
      <c r="J1845" s="1">
        <v>0.049009</v>
      </c>
    </row>
    <row r="1846">
      <c r="A1846" s="1">
        <v>2025.0</v>
      </c>
      <c r="B1846" s="1" t="s">
        <v>788</v>
      </c>
      <c r="C1846" s="1">
        <v>642016.0</v>
      </c>
      <c r="D1846" s="1" t="s">
        <v>539</v>
      </c>
      <c r="E1846" s="1" t="s">
        <v>927</v>
      </c>
      <c r="F1846" s="1" t="s">
        <v>926</v>
      </c>
      <c r="G1846" s="1">
        <v>44.0</v>
      </c>
      <c r="H1846" s="1">
        <v>2.243137255</v>
      </c>
      <c r="I1846" s="1">
        <v>4.84</v>
      </c>
      <c r="J1846" s="1">
        <v>1.088451</v>
      </c>
    </row>
    <row r="1847">
      <c r="A1847" s="1">
        <v>2025.0</v>
      </c>
      <c r="B1847" s="1" t="s">
        <v>788</v>
      </c>
      <c r="C1847" s="1">
        <v>642016.0</v>
      </c>
      <c r="D1847" s="1" t="s">
        <v>540</v>
      </c>
      <c r="E1847" s="1" t="s">
        <v>927</v>
      </c>
      <c r="F1847" s="1" t="s">
        <v>927</v>
      </c>
      <c r="G1847" s="1">
        <v>38.0</v>
      </c>
      <c r="H1847" s="1">
        <v>1.937254902</v>
      </c>
      <c r="I1847" s="1">
        <v>4.92</v>
      </c>
      <c r="J1847" s="1">
        <v>0.892358</v>
      </c>
    </row>
    <row r="1848">
      <c r="A1848" s="1">
        <v>2025.0</v>
      </c>
      <c r="B1848" s="1" t="s">
        <v>788</v>
      </c>
      <c r="C1848" s="1">
        <v>642016.0</v>
      </c>
      <c r="D1848" s="1" t="s">
        <v>537</v>
      </c>
      <c r="E1848" s="1" t="s">
        <v>927</v>
      </c>
      <c r="F1848" s="1" t="s">
        <v>927</v>
      </c>
      <c r="G1848" s="1">
        <v>27.0</v>
      </c>
      <c r="H1848" s="1">
        <v>1.376470588</v>
      </c>
      <c r="I1848" s="1">
        <v>4.25</v>
      </c>
      <c r="J1848" s="1">
        <v>0.997459</v>
      </c>
    </row>
    <row r="1849">
      <c r="A1849" s="1">
        <v>2025.0</v>
      </c>
      <c r="B1849" s="1" t="s">
        <v>788</v>
      </c>
      <c r="C1849" s="1">
        <v>642016.0</v>
      </c>
      <c r="D1849" s="1" t="s">
        <v>536</v>
      </c>
      <c r="E1849" s="1" t="s">
        <v>927</v>
      </c>
      <c r="F1849" s="1" t="s">
        <v>927</v>
      </c>
      <c r="G1849" s="1">
        <v>22.0</v>
      </c>
      <c r="H1849" s="1">
        <v>1.121568627</v>
      </c>
      <c r="I1849" s="1">
        <v>4.56</v>
      </c>
      <c r="J1849" s="1">
        <v>0.679682</v>
      </c>
    </row>
    <row r="1850">
      <c r="A1850" s="1">
        <v>2025.0</v>
      </c>
      <c r="B1850" s="1" t="s">
        <v>788</v>
      </c>
      <c r="C1850" s="1">
        <v>642016.0</v>
      </c>
      <c r="D1850" s="1" t="s">
        <v>539</v>
      </c>
      <c r="E1850" s="1" t="s">
        <v>927</v>
      </c>
      <c r="F1850" s="1" t="s">
        <v>927</v>
      </c>
      <c r="G1850" s="1">
        <v>62.0</v>
      </c>
      <c r="H1850" s="1">
        <v>3.160784314</v>
      </c>
      <c r="I1850" s="1">
        <v>5.42</v>
      </c>
      <c r="J1850" s="1">
        <v>0.800574</v>
      </c>
    </row>
    <row r="1851">
      <c r="A1851" s="1">
        <v>2025.0</v>
      </c>
      <c r="B1851" s="1" t="s">
        <v>435</v>
      </c>
      <c r="C1851" s="1">
        <v>543056.0</v>
      </c>
      <c r="D1851" s="1" t="s">
        <v>541</v>
      </c>
      <c r="E1851" s="1" t="s">
        <v>926</v>
      </c>
      <c r="F1851" s="1" t="s">
        <v>926</v>
      </c>
      <c r="G1851" s="1">
        <v>3.0</v>
      </c>
      <c r="H1851" s="1">
        <v>0.179665738</v>
      </c>
      <c r="I1851" s="1">
        <v>5.62</v>
      </c>
      <c r="J1851" s="1">
        <v>0.021862</v>
      </c>
    </row>
    <row r="1852">
      <c r="A1852" s="1">
        <v>2025.0</v>
      </c>
      <c r="B1852" s="1" t="s">
        <v>435</v>
      </c>
      <c r="C1852" s="1">
        <v>543056.0</v>
      </c>
      <c r="D1852" s="1" t="s">
        <v>540</v>
      </c>
      <c r="E1852" s="1" t="s">
        <v>926</v>
      </c>
      <c r="F1852" s="1" t="s">
        <v>926</v>
      </c>
      <c r="G1852" s="1">
        <v>139.0</v>
      </c>
      <c r="H1852" s="1">
        <v>8.324512535</v>
      </c>
      <c r="I1852" s="1">
        <v>5.31</v>
      </c>
      <c r="J1852" s="1">
        <v>2.112696</v>
      </c>
    </row>
    <row r="1853">
      <c r="A1853" s="1">
        <v>2025.0</v>
      </c>
      <c r="B1853" s="1" t="s">
        <v>435</v>
      </c>
      <c r="C1853" s="1">
        <v>543056.0</v>
      </c>
      <c r="D1853" s="1" t="s">
        <v>537</v>
      </c>
      <c r="E1853" s="1" t="s">
        <v>926</v>
      </c>
      <c r="F1853" s="1" t="s">
        <v>926</v>
      </c>
      <c r="G1853" s="1">
        <v>35.0</v>
      </c>
      <c r="H1853" s="1">
        <v>2.096100279</v>
      </c>
      <c r="I1853" s="1">
        <v>4.55</v>
      </c>
      <c r="J1853" s="1">
        <v>1.113114</v>
      </c>
    </row>
    <row r="1854">
      <c r="A1854" s="1">
        <v>2025.0</v>
      </c>
      <c r="B1854" s="1" t="s">
        <v>435</v>
      </c>
      <c r="C1854" s="1">
        <v>543056.0</v>
      </c>
      <c r="D1854" s="1" t="s">
        <v>536</v>
      </c>
      <c r="E1854" s="1" t="s">
        <v>926</v>
      </c>
      <c r="F1854" s="1" t="s">
        <v>926</v>
      </c>
      <c r="G1854" s="1">
        <v>98.0</v>
      </c>
      <c r="H1854" s="1">
        <v>5.86908078</v>
      </c>
      <c r="I1854" s="1">
        <v>4.83</v>
      </c>
      <c r="J1854" s="1">
        <v>2.523341</v>
      </c>
    </row>
    <row r="1855">
      <c r="A1855" s="1">
        <v>2025.0</v>
      </c>
      <c r="B1855" s="1" t="s">
        <v>435</v>
      </c>
      <c r="C1855" s="1">
        <v>543056.0</v>
      </c>
      <c r="D1855" s="1" t="s">
        <v>539</v>
      </c>
      <c r="E1855" s="1" t="s">
        <v>926</v>
      </c>
      <c r="F1855" s="1" t="s">
        <v>926</v>
      </c>
      <c r="G1855" s="1">
        <v>42.0</v>
      </c>
      <c r="H1855" s="1">
        <v>2.515320334</v>
      </c>
      <c r="I1855" s="1">
        <v>4.86</v>
      </c>
      <c r="J1855" s="1">
        <v>0.983131</v>
      </c>
    </row>
    <row r="1856">
      <c r="A1856" s="1">
        <v>2025.0</v>
      </c>
      <c r="B1856" s="1" t="s">
        <v>435</v>
      </c>
      <c r="C1856" s="1">
        <v>543056.0</v>
      </c>
      <c r="D1856" s="1" t="s">
        <v>541</v>
      </c>
      <c r="E1856" s="1" t="s">
        <v>926</v>
      </c>
      <c r="F1856" s="1" t="s">
        <v>927</v>
      </c>
      <c r="G1856" s="1">
        <v>18.0</v>
      </c>
      <c r="H1856" s="1">
        <v>1.077994429</v>
      </c>
      <c r="I1856" s="1">
        <v>4.85</v>
      </c>
      <c r="J1856" s="1">
        <v>0.448217</v>
      </c>
    </row>
    <row r="1857">
      <c r="A1857" s="1">
        <v>2025.0</v>
      </c>
      <c r="B1857" s="1" t="s">
        <v>435</v>
      </c>
      <c r="C1857" s="1">
        <v>543056.0</v>
      </c>
      <c r="D1857" s="1" t="s">
        <v>540</v>
      </c>
      <c r="E1857" s="1" t="s">
        <v>926</v>
      </c>
      <c r="F1857" s="1" t="s">
        <v>927</v>
      </c>
      <c r="G1857" s="1">
        <v>151.0</v>
      </c>
      <c r="H1857" s="1">
        <v>9.043175487</v>
      </c>
      <c r="I1857" s="1">
        <v>5.24</v>
      </c>
      <c r="J1857" s="1">
        <v>2.556234</v>
      </c>
    </row>
    <row r="1858">
      <c r="A1858" s="1">
        <v>2025.0</v>
      </c>
      <c r="B1858" s="1" t="s">
        <v>435</v>
      </c>
      <c r="C1858" s="1">
        <v>543056.0</v>
      </c>
      <c r="D1858" s="1" t="s">
        <v>537</v>
      </c>
      <c r="E1858" s="1" t="s">
        <v>926</v>
      </c>
      <c r="F1858" s="1" t="s">
        <v>927</v>
      </c>
      <c r="G1858" s="1">
        <v>101.0</v>
      </c>
      <c r="H1858" s="1">
        <v>6.048746518</v>
      </c>
      <c r="I1858" s="1">
        <v>4.61</v>
      </c>
      <c r="J1858" s="1">
        <v>3.090216</v>
      </c>
    </row>
    <row r="1859">
      <c r="A1859" s="1">
        <v>2025.0</v>
      </c>
      <c r="B1859" s="1" t="s">
        <v>435</v>
      </c>
      <c r="C1859" s="1">
        <v>543056.0</v>
      </c>
      <c r="D1859" s="1" t="s">
        <v>536</v>
      </c>
      <c r="E1859" s="1" t="s">
        <v>926</v>
      </c>
      <c r="F1859" s="1" t="s">
        <v>927</v>
      </c>
      <c r="G1859" s="1">
        <v>43.0</v>
      </c>
      <c r="H1859" s="1">
        <v>2.575208914</v>
      </c>
      <c r="I1859" s="1">
        <v>4.43</v>
      </c>
      <c r="J1859" s="1">
        <v>1.511522</v>
      </c>
    </row>
    <row r="1860">
      <c r="A1860" s="1">
        <v>2025.0</v>
      </c>
      <c r="B1860" s="1" t="s">
        <v>435</v>
      </c>
      <c r="C1860" s="1">
        <v>543056.0</v>
      </c>
      <c r="D1860" s="1" t="s">
        <v>539</v>
      </c>
      <c r="E1860" s="1" t="s">
        <v>926</v>
      </c>
      <c r="F1860" s="1" t="s">
        <v>927</v>
      </c>
      <c r="G1860" s="1">
        <v>88.0</v>
      </c>
      <c r="H1860" s="1">
        <v>5.270194986</v>
      </c>
      <c r="I1860" s="1">
        <v>4.53</v>
      </c>
      <c r="J1860" s="1">
        <v>2.745452</v>
      </c>
    </row>
    <row r="1861">
      <c r="A1861" s="1">
        <v>2025.0</v>
      </c>
      <c r="B1861" s="1" t="s">
        <v>647</v>
      </c>
      <c r="C1861" s="1">
        <v>664849.0</v>
      </c>
      <c r="D1861" s="1" t="s">
        <v>540</v>
      </c>
      <c r="E1861" s="1" t="s">
        <v>926</v>
      </c>
      <c r="F1861" s="1" t="s">
        <v>926</v>
      </c>
      <c r="G1861" s="1">
        <v>3.0</v>
      </c>
      <c r="H1861" s="1">
        <v>0.158227848</v>
      </c>
      <c r="I1861" s="1">
        <v>3.58</v>
      </c>
      <c r="J1861" s="1">
        <v>0.150166</v>
      </c>
    </row>
    <row r="1862">
      <c r="A1862" s="1">
        <v>2025.0</v>
      </c>
      <c r="B1862" s="1" t="s">
        <v>647</v>
      </c>
      <c r="C1862" s="1">
        <v>664849.0</v>
      </c>
      <c r="D1862" s="1" t="s">
        <v>536</v>
      </c>
      <c r="E1862" s="1" t="s">
        <v>926</v>
      </c>
      <c r="F1862" s="1" t="s">
        <v>926</v>
      </c>
      <c r="G1862" s="1">
        <v>47.0</v>
      </c>
      <c r="H1862" s="1">
        <v>2.478902954</v>
      </c>
      <c r="I1862" s="1">
        <v>4.92</v>
      </c>
      <c r="J1862" s="1">
        <v>1.061526</v>
      </c>
    </row>
    <row r="1863">
      <c r="A1863" s="1">
        <v>2025.0</v>
      </c>
      <c r="B1863" s="1" t="s">
        <v>647</v>
      </c>
      <c r="C1863" s="1">
        <v>664849.0</v>
      </c>
      <c r="D1863" s="1" t="s">
        <v>539</v>
      </c>
      <c r="E1863" s="1" t="s">
        <v>926</v>
      </c>
      <c r="F1863" s="1" t="s">
        <v>926</v>
      </c>
      <c r="G1863" s="1">
        <v>24.0</v>
      </c>
      <c r="H1863" s="1">
        <v>1.265822785</v>
      </c>
      <c r="I1863" s="1">
        <v>3.6</v>
      </c>
      <c r="J1863" s="1">
        <v>1.190223</v>
      </c>
    </row>
    <row r="1864">
      <c r="A1864" s="1">
        <v>2025.0</v>
      </c>
      <c r="B1864" s="1" t="s">
        <v>647</v>
      </c>
      <c r="C1864" s="1">
        <v>664849.0</v>
      </c>
      <c r="D1864" s="1" t="s">
        <v>540</v>
      </c>
      <c r="E1864" s="1" t="s">
        <v>926</v>
      </c>
      <c r="F1864" s="1" t="s">
        <v>927</v>
      </c>
      <c r="G1864" s="1">
        <v>2.0</v>
      </c>
      <c r="H1864" s="1">
        <v>0.105485232</v>
      </c>
      <c r="I1864" s="1">
        <v>5.21</v>
      </c>
      <c r="J1864" s="1">
        <v>0.026144</v>
      </c>
    </row>
    <row r="1865">
      <c r="A1865" s="1">
        <v>2025.0</v>
      </c>
      <c r="B1865" s="1" t="s">
        <v>647</v>
      </c>
      <c r="C1865" s="1">
        <v>664849.0</v>
      </c>
      <c r="D1865" s="1" t="s">
        <v>536</v>
      </c>
      <c r="E1865" s="1" t="s">
        <v>926</v>
      </c>
      <c r="F1865" s="1" t="s">
        <v>927</v>
      </c>
      <c r="G1865" s="1">
        <v>40.0</v>
      </c>
      <c r="H1865" s="1">
        <v>2.109704641</v>
      </c>
      <c r="I1865" s="1">
        <v>4.89</v>
      </c>
      <c r="J1865" s="1">
        <v>0.968465</v>
      </c>
    </row>
    <row r="1866">
      <c r="A1866" s="1">
        <v>2025.0</v>
      </c>
      <c r="B1866" s="1" t="s">
        <v>647</v>
      </c>
      <c r="C1866" s="1">
        <v>664849.0</v>
      </c>
      <c r="D1866" s="1" t="s">
        <v>539</v>
      </c>
      <c r="E1866" s="1" t="s">
        <v>926</v>
      </c>
      <c r="F1866" s="1" t="s">
        <v>927</v>
      </c>
      <c r="G1866" s="1">
        <v>42.0</v>
      </c>
      <c r="H1866" s="1">
        <v>2.215189873</v>
      </c>
      <c r="I1866" s="1">
        <v>4.53</v>
      </c>
      <c r="J1866" s="1">
        <v>1.281988</v>
      </c>
    </row>
    <row r="1867">
      <c r="A1867" s="1">
        <v>2025.0</v>
      </c>
      <c r="B1867" s="1" t="s">
        <v>708</v>
      </c>
      <c r="C1867" s="1">
        <v>670766.0</v>
      </c>
      <c r="D1867" s="1" t="s">
        <v>532</v>
      </c>
      <c r="E1867" s="1" t="s">
        <v>927</v>
      </c>
      <c r="F1867" s="1" t="s">
        <v>926</v>
      </c>
      <c r="G1867" s="1">
        <v>5.0</v>
      </c>
      <c r="H1867" s="1">
        <v>0.310077519</v>
      </c>
      <c r="I1867" s="1">
        <v>4.77</v>
      </c>
      <c r="J1867" s="1">
        <v>0.128572</v>
      </c>
    </row>
    <row r="1868">
      <c r="A1868" s="1">
        <v>2025.0</v>
      </c>
      <c r="B1868" s="1" t="s">
        <v>708</v>
      </c>
      <c r="C1868" s="1">
        <v>670766.0</v>
      </c>
      <c r="D1868" s="1" t="s">
        <v>537</v>
      </c>
      <c r="E1868" s="1" t="s">
        <v>927</v>
      </c>
      <c r="F1868" s="1" t="s">
        <v>926</v>
      </c>
      <c r="G1868" s="1">
        <v>8.0</v>
      </c>
      <c r="H1868" s="1">
        <v>0.496124031</v>
      </c>
      <c r="I1868" s="1">
        <v>5.32</v>
      </c>
      <c r="J1868" s="1">
        <v>0.133673</v>
      </c>
    </row>
    <row r="1869">
      <c r="A1869" s="1">
        <v>2025.0</v>
      </c>
      <c r="B1869" s="1" t="s">
        <v>708</v>
      </c>
      <c r="C1869" s="1">
        <v>670766.0</v>
      </c>
      <c r="D1869" s="1" t="s">
        <v>533</v>
      </c>
      <c r="E1869" s="1" t="s">
        <v>927</v>
      </c>
      <c r="F1869" s="1" t="s">
        <v>926</v>
      </c>
      <c r="G1869" s="1">
        <v>1.0</v>
      </c>
      <c r="H1869" s="1">
        <v>0.062015504</v>
      </c>
      <c r="I1869" s="1">
        <v>5.38</v>
      </c>
      <c r="J1869" s="1">
        <v>0.012208</v>
      </c>
    </row>
    <row r="1870">
      <c r="A1870" s="1">
        <v>2025.0</v>
      </c>
      <c r="B1870" s="1" t="s">
        <v>708</v>
      </c>
      <c r="C1870" s="1">
        <v>670766.0</v>
      </c>
      <c r="D1870" s="1" t="s">
        <v>539</v>
      </c>
      <c r="E1870" s="1" t="s">
        <v>927</v>
      </c>
      <c r="F1870" s="1" t="s">
        <v>926</v>
      </c>
      <c r="G1870" s="1">
        <v>2.0</v>
      </c>
      <c r="H1870" s="1">
        <v>0.124031008</v>
      </c>
      <c r="I1870" s="1">
        <v>5.58</v>
      </c>
      <c r="J1870" s="1">
        <v>0.021761</v>
      </c>
    </row>
    <row r="1871">
      <c r="A1871" s="1">
        <v>2025.0</v>
      </c>
      <c r="B1871" s="1" t="s">
        <v>708</v>
      </c>
      <c r="C1871" s="1">
        <v>670766.0</v>
      </c>
      <c r="D1871" s="1" t="s">
        <v>532</v>
      </c>
      <c r="E1871" s="1" t="s">
        <v>927</v>
      </c>
      <c r="F1871" s="1" t="s">
        <v>927</v>
      </c>
      <c r="G1871" s="1">
        <v>5.0</v>
      </c>
      <c r="H1871" s="1">
        <v>0.310077519</v>
      </c>
      <c r="I1871" s="1">
        <v>6.02</v>
      </c>
      <c r="J1871" s="1">
        <v>0.009997</v>
      </c>
    </row>
    <row r="1872">
      <c r="A1872" s="1">
        <v>2025.0</v>
      </c>
      <c r="B1872" s="1" t="s">
        <v>708</v>
      </c>
      <c r="C1872" s="1">
        <v>670766.0</v>
      </c>
      <c r="D1872" s="1" t="s">
        <v>537</v>
      </c>
      <c r="E1872" s="1" t="s">
        <v>927</v>
      </c>
      <c r="F1872" s="1" t="s">
        <v>927</v>
      </c>
      <c r="G1872" s="1">
        <v>12.0</v>
      </c>
      <c r="H1872" s="1">
        <v>0.744186047</v>
      </c>
      <c r="I1872" s="1">
        <v>5.37</v>
      </c>
      <c r="J1872" s="1">
        <v>0.179726</v>
      </c>
    </row>
    <row r="1873">
      <c r="A1873" s="1">
        <v>2025.0</v>
      </c>
      <c r="B1873" s="1" t="s">
        <v>708</v>
      </c>
      <c r="C1873" s="1">
        <v>670766.0</v>
      </c>
      <c r="D1873" s="1" t="s">
        <v>536</v>
      </c>
      <c r="E1873" s="1" t="s">
        <v>927</v>
      </c>
      <c r="F1873" s="1" t="s">
        <v>927</v>
      </c>
      <c r="G1873" s="1">
        <v>20.0</v>
      </c>
      <c r="H1873" s="1">
        <v>1.240310078</v>
      </c>
      <c r="I1873" s="1">
        <v>5.15</v>
      </c>
      <c r="J1873" s="1">
        <v>0.368809</v>
      </c>
    </row>
    <row r="1874">
      <c r="A1874" s="1">
        <v>2025.0</v>
      </c>
      <c r="B1874" s="1" t="s">
        <v>708</v>
      </c>
      <c r="C1874" s="1">
        <v>670766.0</v>
      </c>
      <c r="D1874" s="1" t="s">
        <v>533</v>
      </c>
      <c r="E1874" s="1" t="s">
        <v>927</v>
      </c>
      <c r="F1874" s="1" t="s">
        <v>927</v>
      </c>
      <c r="G1874" s="1">
        <v>13.0</v>
      </c>
      <c r="H1874" s="1">
        <v>0.80620155</v>
      </c>
      <c r="I1874" s="1">
        <v>5.74</v>
      </c>
      <c r="J1874" s="1">
        <v>0.092124</v>
      </c>
    </row>
    <row r="1875">
      <c r="A1875" s="1">
        <v>2025.0</v>
      </c>
      <c r="B1875" s="1" t="s">
        <v>708</v>
      </c>
      <c r="C1875" s="1">
        <v>670766.0</v>
      </c>
      <c r="D1875" s="1" t="s">
        <v>539</v>
      </c>
      <c r="E1875" s="1" t="s">
        <v>927</v>
      </c>
      <c r="F1875" s="1" t="s">
        <v>927</v>
      </c>
      <c r="G1875" s="1">
        <v>20.0</v>
      </c>
      <c r="H1875" s="1">
        <v>1.240310078</v>
      </c>
      <c r="I1875" s="1">
        <v>5.8</v>
      </c>
      <c r="J1875" s="1">
        <v>0.104843</v>
      </c>
    </row>
    <row r="1876">
      <c r="A1876" s="1">
        <v>2025.0</v>
      </c>
      <c r="B1876" s="1" t="s">
        <v>952</v>
      </c>
      <c r="C1876" s="1">
        <v>664294.0</v>
      </c>
      <c r="D1876" s="1" t="s">
        <v>532</v>
      </c>
      <c r="E1876" s="1" t="s">
        <v>927</v>
      </c>
      <c r="F1876" s="1" t="s">
        <v>926</v>
      </c>
      <c r="G1876" s="1">
        <v>3.0</v>
      </c>
      <c r="H1876" s="1">
        <v>0.175438596</v>
      </c>
      <c r="I1876" s="1">
        <v>3.65</v>
      </c>
      <c r="J1876" s="1">
        <v>0.16353</v>
      </c>
    </row>
    <row r="1877">
      <c r="A1877" s="1">
        <v>2025.0</v>
      </c>
      <c r="B1877" s="1" t="s">
        <v>952</v>
      </c>
      <c r="C1877" s="1">
        <v>664294.0</v>
      </c>
      <c r="D1877" s="1" t="s">
        <v>537</v>
      </c>
      <c r="E1877" s="1" t="s">
        <v>927</v>
      </c>
      <c r="F1877" s="1" t="s">
        <v>926</v>
      </c>
      <c r="G1877" s="1">
        <v>47.0</v>
      </c>
      <c r="H1877" s="1">
        <v>2.748538012</v>
      </c>
      <c r="I1877" s="1">
        <v>4.51</v>
      </c>
      <c r="J1877" s="1">
        <v>1.564753</v>
      </c>
    </row>
    <row r="1878">
      <c r="A1878" s="1">
        <v>2025.0</v>
      </c>
      <c r="B1878" s="1" t="s">
        <v>952</v>
      </c>
      <c r="C1878" s="1">
        <v>664294.0</v>
      </c>
      <c r="D1878" s="1" t="s">
        <v>533</v>
      </c>
      <c r="E1878" s="1" t="s">
        <v>927</v>
      </c>
      <c r="F1878" s="1" t="s">
        <v>926</v>
      </c>
      <c r="G1878" s="1">
        <v>75.0</v>
      </c>
      <c r="H1878" s="1">
        <v>4.385964912</v>
      </c>
      <c r="I1878" s="1">
        <v>5.03</v>
      </c>
      <c r="J1878" s="1">
        <v>1.681218</v>
      </c>
    </row>
    <row r="1879">
      <c r="A1879" s="1">
        <v>2025.0</v>
      </c>
      <c r="B1879" s="1" t="s">
        <v>952</v>
      </c>
      <c r="C1879" s="1">
        <v>664294.0</v>
      </c>
      <c r="D1879" s="1" t="s">
        <v>537</v>
      </c>
      <c r="E1879" s="1" t="s">
        <v>927</v>
      </c>
      <c r="F1879" s="1" t="s">
        <v>927</v>
      </c>
      <c r="G1879" s="1">
        <v>74.0</v>
      </c>
      <c r="H1879" s="1">
        <v>4.32748538</v>
      </c>
      <c r="I1879" s="1">
        <v>4.51</v>
      </c>
      <c r="J1879" s="1">
        <v>2.484243</v>
      </c>
    </row>
    <row r="1880">
      <c r="A1880" s="1">
        <v>2025.0</v>
      </c>
      <c r="B1880" s="1" t="s">
        <v>952</v>
      </c>
      <c r="C1880" s="1">
        <v>664294.0</v>
      </c>
      <c r="D1880" s="1" t="s">
        <v>533</v>
      </c>
      <c r="E1880" s="1" t="s">
        <v>927</v>
      </c>
      <c r="F1880" s="1" t="s">
        <v>927</v>
      </c>
      <c r="G1880" s="1">
        <v>86.0</v>
      </c>
      <c r="H1880" s="1">
        <v>5.029239766</v>
      </c>
      <c r="I1880" s="1">
        <v>4.99</v>
      </c>
      <c r="J1880" s="1">
        <v>1.968695</v>
      </c>
    </row>
    <row r="1881">
      <c r="A1881" s="1">
        <v>2025.0</v>
      </c>
      <c r="B1881" s="1" t="s">
        <v>183</v>
      </c>
      <c r="C1881" s="1">
        <v>670280.0</v>
      </c>
      <c r="D1881" s="1" t="s">
        <v>541</v>
      </c>
      <c r="E1881" s="1" t="s">
        <v>927</v>
      </c>
      <c r="F1881" s="1" t="s">
        <v>926</v>
      </c>
      <c r="G1881" s="1">
        <v>168.0</v>
      </c>
      <c r="H1881" s="1">
        <v>10.33169774</v>
      </c>
      <c r="I1881" s="1">
        <v>5.03</v>
      </c>
      <c r="J1881" s="1">
        <v>3.7131</v>
      </c>
    </row>
    <row r="1882">
      <c r="A1882" s="1">
        <v>2025.0</v>
      </c>
      <c r="B1882" s="1" t="s">
        <v>183</v>
      </c>
      <c r="C1882" s="1">
        <v>670280.0</v>
      </c>
      <c r="D1882" s="1" t="s">
        <v>537</v>
      </c>
      <c r="E1882" s="1" t="s">
        <v>927</v>
      </c>
      <c r="F1882" s="1" t="s">
        <v>926</v>
      </c>
      <c r="G1882" s="1">
        <v>195.0</v>
      </c>
      <c r="H1882" s="1">
        <v>11.99214917</v>
      </c>
      <c r="I1882" s="1">
        <v>5.05</v>
      </c>
      <c r="J1882" s="1">
        <v>4.189831</v>
      </c>
    </row>
    <row r="1883">
      <c r="A1883" s="1">
        <v>2025.0</v>
      </c>
      <c r="B1883" s="1" t="s">
        <v>183</v>
      </c>
      <c r="C1883" s="1">
        <v>670280.0</v>
      </c>
      <c r="D1883" s="1" t="s">
        <v>538</v>
      </c>
      <c r="E1883" s="1" t="s">
        <v>927</v>
      </c>
      <c r="F1883" s="1" t="s">
        <v>926</v>
      </c>
      <c r="G1883" s="1">
        <v>129.0</v>
      </c>
      <c r="H1883" s="1">
        <v>7.93326791</v>
      </c>
      <c r="I1883" s="1">
        <v>5.34</v>
      </c>
      <c r="J1883" s="1">
        <v>1.918132</v>
      </c>
    </row>
    <row r="1884">
      <c r="A1884" s="1">
        <v>2025.0</v>
      </c>
      <c r="B1884" s="1" t="s">
        <v>183</v>
      </c>
      <c r="C1884" s="1">
        <v>670280.0</v>
      </c>
      <c r="D1884" s="1" t="s">
        <v>541</v>
      </c>
      <c r="E1884" s="1" t="s">
        <v>927</v>
      </c>
      <c r="F1884" s="1" t="s">
        <v>927</v>
      </c>
      <c r="G1884" s="1">
        <v>202.0</v>
      </c>
      <c r="H1884" s="1">
        <v>12.42263657</v>
      </c>
      <c r="I1884" s="1">
        <v>4.96</v>
      </c>
      <c r="J1884" s="1">
        <v>4.667521</v>
      </c>
    </row>
    <row r="1885">
      <c r="A1885" s="1">
        <v>2025.0</v>
      </c>
      <c r="B1885" s="1" t="s">
        <v>183</v>
      </c>
      <c r="C1885" s="1">
        <v>670280.0</v>
      </c>
      <c r="D1885" s="1" t="s">
        <v>537</v>
      </c>
      <c r="E1885" s="1" t="s">
        <v>927</v>
      </c>
      <c r="F1885" s="1" t="s">
        <v>927</v>
      </c>
      <c r="G1885" s="1">
        <v>254.0</v>
      </c>
      <c r="H1885" s="1">
        <v>15.62054302</v>
      </c>
      <c r="I1885" s="1">
        <v>5.23</v>
      </c>
      <c r="J1885" s="1">
        <v>4.538408</v>
      </c>
    </row>
    <row r="1886">
      <c r="A1886" s="1">
        <v>2025.0</v>
      </c>
      <c r="B1886" s="1" t="s">
        <v>183</v>
      </c>
      <c r="C1886" s="1">
        <v>670280.0</v>
      </c>
      <c r="D1886" s="1" t="s">
        <v>538</v>
      </c>
      <c r="E1886" s="1" t="s">
        <v>927</v>
      </c>
      <c r="F1886" s="1" t="s">
        <v>927</v>
      </c>
      <c r="G1886" s="1">
        <v>71.0</v>
      </c>
      <c r="H1886" s="1">
        <v>4.36637226</v>
      </c>
      <c r="I1886" s="1">
        <v>5.28</v>
      </c>
      <c r="J1886" s="1">
        <v>1.114233</v>
      </c>
    </row>
    <row r="1887">
      <c r="A1887" s="1">
        <v>2025.0</v>
      </c>
      <c r="B1887" s="1" t="s">
        <v>253</v>
      </c>
      <c r="C1887" s="1">
        <v>701581.0</v>
      </c>
      <c r="D1887" s="1" t="s">
        <v>532</v>
      </c>
      <c r="E1887" s="1" t="s">
        <v>927</v>
      </c>
      <c r="F1887" s="1" t="s">
        <v>926</v>
      </c>
      <c r="G1887" s="1">
        <v>165.0</v>
      </c>
      <c r="H1887" s="1">
        <v>9.977324263</v>
      </c>
      <c r="I1887" s="1">
        <v>4.88</v>
      </c>
      <c r="J1887" s="1">
        <v>4.002329</v>
      </c>
    </row>
    <row r="1888">
      <c r="A1888" s="1">
        <v>2025.0</v>
      </c>
      <c r="B1888" s="1" t="s">
        <v>253</v>
      </c>
      <c r="C1888" s="1">
        <v>701581.0</v>
      </c>
      <c r="D1888" s="1" t="s">
        <v>537</v>
      </c>
      <c r="E1888" s="1" t="s">
        <v>927</v>
      </c>
      <c r="F1888" s="1" t="s">
        <v>926</v>
      </c>
      <c r="G1888" s="1">
        <v>160.0</v>
      </c>
      <c r="H1888" s="1">
        <v>9.674981104</v>
      </c>
      <c r="I1888" s="1">
        <v>5.29</v>
      </c>
      <c r="J1888" s="1">
        <v>2.729005</v>
      </c>
    </row>
    <row r="1889">
      <c r="A1889" s="1">
        <v>2025.0</v>
      </c>
      <c r="B1889" s="1" t="s">
        <v>253</v>
      </c>
      <c r="C1889" s="1">
        <v>701581.0</v>
      </c>
      <c r="D1889" s="1" t="s">
        <v>536</v>
      </c>
      <c r="E1889" s="1" t="s">
        <v>927</v>
      </c>
      <c r="F1889" s="1" t="s">
        <v>926</v>
      </c>
      <c r="G1889" s="1">
        <v>37.0</v>
      </c>
      <c r="H1889" s="1">
        <v>2.23733938</v>
      </c>
      <c r="I1889" s="1">
        <v>4.82</v>
      </c>
      <c r="J1889" s="1">
        <v>0.991044</v>
      </c>
    </row>
    <row r="1890">
      <c r="A1890" s="1">
        <v>2025.0</v>
      </c>
      <c r="B1890" s="1" t="s">
        <v>253</v>
      </c>
      <c r="C1890" s="1">
        <v>701581.0</v>
      </c>
      <c r="D1890" s="1" t="s">
        <v>533</v>
      </c>
      <c r="E1890" s="1" t="s">
        <v>927</v>
      </c>
      <c r="F1890" s="1" t="s">
        <v>926</v>
      </c>
      <c r="G1890" s="1">
        <v>82.0</v>
      </c>
      <c r="H1890" s="1">
        <v>4.958427816</v>
      </c>
      <c r="I1890" s="1">
        <v>5.36</v>
      </c>
      <c r="J1890" s="1">
        <v>1.223584</v>
      </c>
    </row>
    <row r="1891">
      <c r="A1891" s="1">
        <v>2025.0</v>
      </c>
      <c r="B1891" s="1" t="s">
        <v>253</v>
      </c>
      <c r="C1891" s="1">
        <v>701581.0</v>
      </c>
      <c r="D1891" s="1" t="s">
        <v>532</v>
      </c>
      <c r="E1891" s="1" t="s">
        <v>927</v>
      </c>
      <c r="F1891" s="1" t="s">
        <v>927</v>
      </c>
      <c r="G1891" s="1">
        <v>91.0</v>
      </c>
      <c r="H1891" s="1">
        <v>5.502645503</v>
      </c>
      <c r="I1891" s="1">
        <v>4.82</v>
      </c>
      <c r="J1891" s="1">
        <v>2.314156</v>
      </c>
    </row>
    <row r="1892">
      <c r="A1892" s="1">
        <v>2025.0</v>
      </c>
      <c r="B1892" s="1" t="s">
        <v>253</v>
      </c>
      <c r="C1892" s="1">
        <v>701581.0</v>
      </c>
      <c r="D1892" s="1" t="s">
        <v>537</v>
      </c>
      <c r="E1892" s="1" t="s">
        <v>927</v>
      </c>
      <c r="F1892" s="1" t="s">
        <v>927</v>
      </c>
      <c r="G1892" s="1">
        <v>120.0</v>
      </c>
      <c r="H1892" s="1">
        <v>7.256235828</v>
      </c>
      <c r="I1892" s="1">
        <v>5.26</v>
      </c>
      <c r="J1892" s="1">
        <v>2.067956</v>
      </c>
    </row>
    <row r="1893">
      <c r="A1893" s="1">
        <v>2025.0</v>
      </c>
      <c r="B1893" s="1" t="s">
        <v>253</v>
      </c>
      <c r="C1893" s="1">
        <v>701581.0</v>
      </c>
      <c r="D1893" s="1" t="s">
        <v>536</v>
      </c>
      <c r="E1893" s="1" t="s">
        <v>927</v>
      </c>
      <c r="F1893" s="1" t="s">
        <v>927</v>
      </c>
      <c r="G1893" s="1">
        <v>73.0</v>
      </c>
      <c r="H1893" s="1">
        <v>4.414210128</v>
      </c>
      <c r="I1893" s="1">
        <v>4.73</v>
      </c>
      <c r="J1893" s="1">
        <v>2.090842</v>
      </c>
    </row>
    <row r="1894">
      <c r="A1894" s="1">
        <v>2025.0</v>
      </c>
      <c r="B1894" s="1" t="s">
        <v>253</v>
      </c>
      <c r="C1894" s="1">
        <v>701581.0</v>
      </c>
      <c r="D1894" s="1" t="s">
        <v>533</v>
      </c>
      <c r="E1894" s="1" t="s">
        <v>927</v>
      </c>
      <c r="F1894" s="1" t="s">
        <v>927</v>
      </c>
      <c r="G1894" s="1">
        <v>154.0</v>
      </c>
      <c r="H1894" s="1">
        <v>9.312169312</v>
      </c>
      <c r="I1894" s="1">
        <v>5.13</v>
      </c>
      <c r="J1894" s="1">
        <v>3.011724</v>
      </c>
    </row>
    <row r="1895">
      <c r="A1895" s="1">
        <v>2025.0</v>
      </c>
      <c r="B1895" s="1" t="s">
        <v>498</v>
      </c>
      <c r="C1895" s="1">
        <v>688158.0</v>
      </c>
      <c r="D1895" s="1" t="s">
        <v>532</v>
      </c>
      <c r="E1895" s="1" t="s">
        <v>927</v>
      </c>
      <c r="F1895" s="1" t="s">
        <v>926</v>
      </c>
      <c r="G1895" s="1">
        <v>1.0</v>
      </c>
      <c r="H1895" s="1">
        <v>0.061792863</v>
      </c>
      <c r="I1895" s="1">
        <v>5.09</v>
      </c>
      <c r="J1895" s="1">
        <v>0.020928</v>
      </c>
    </row>
    <row r="1896">
      <c r="A1896" s="1">
        <v>2025.0</v>
      </c>
      <c r="B1896" s="1" t="s">
        <v>498</v>
      </c>
      <c r="C1896" s="1">
        <v>688158.0</v>
      </c>
      <c r="D1896" s="1" t="s">
        <v>541</v>
      </c>
      <c r="E1896" s="1" t="s">
        <v>927</v>
      </c>
      <c r="F1896" s="1" t="s">
        <v>926</v>
      </c>
      <c r="G1896" s="1">
        <v>103.0</v>
      </c>
      <c r="H1896" s="1">
        <v>6.364664926</v>
      </c>
      <c r="I1896" s="1">
        <v>4.6</v>
      </c>
      <c r="J1896" s="1">
        <v>3.046805</v>
      </c>
    </row>
    <row r="1897">
      <c r="A1897" s="1">
        <v>2025.0</v>
      </c>
      <c r="B1897" s="1" t="s">
        <v>498</v>
      </c>
      <c r="C1897" s="1">
        <v>688158.0</v>
      </c>
      <c r="D1897" s="1" t="s">
        <v>537</v>
      </c>
      <c r="E1897" s="1" t="s">
        <v>927</v>
      </c>
      <c r="F1897" s="1" t="s">
        <v>926</v>
      </c>
      <c r="G1897" s="1">
        <v>137.0</v>
      </c>
      <c r="H1897" s="1">
        <v>8.46562228</v>
      </c>
      <c r="I1897" s="1">
        <v>4.57</v>
      </c>
      <c r="J1897" s="1">
        <v>4.206893</v>
      </c>
    </row>
    <row r="1898">
      <c r="A1898" s="1">
        <v>2025.0</v>
      </c>
      <c r="B1898" s="1" t="s">
        <v>498</v>
      </c>
      <c r="C1898" s="1">
        <v>688158.0</v>
      </c>
      <c r="D1898" s="1" t="s">
        <v>536</v>
      </c>
      <c r="E1898" s="1" t="s">
        <v>927</v>
      </c>
      <c r="F1898" s="1" t="s">
        <v>926</v>
      </c>
      <c r="G1898" s="1">
        <v>30.0</v>
      </c>
      <c r="H1898" s="1">
        <v>1.853785901</v>
      </c>
      <c r="I1898" s="1">
        <v>3.67</v>
      </c>
      <c r="J1898" s="1">
        <v>1.425267</v>
      </c>
    </row>
    <row r="1899">
      <c r="A1899" s="1">
        <v>2025.0</v>
      </c>
      <c r="B1899" s="1" t="s">
        <v>498</v>
      </c>
      <c r="C1899" s="1">
        <v>688158.0</v>
      </c>
      <c r="D1899" s="1" t="s">
        <v>533</v>
      </c>
      <c r="E1899" s="1" t="s">
        <v>927</v>
      </c>
      <c r="F1899" s="1" t="s">
        <v>926</v>
      </c>
      <c r="G1899" s="1">
        <v>25.0</v>
      </c>
      <c r="H1899" s="1">
        <v>1.544821584</v>
      </c>
      <c r="I1899" s="1">
        <v>4.38</v>
      </c>
      <c r="J1899" s="1">
        <v>0.855614</v>
      </c>
    </row>
    <row r="1900">
      <c r="A1900" s="1">
        <v>2025.0</v>
      </c>
      <c r="B1900" s="1" t="s">
        <v>498</v>
      </c>
      <c r="C1900" s="1">
        <v>688158.0</v>
      </c>
      <c r="D1900" s="1" t="s">
        <v>541</v>
      </c>
      <c r="E1900" s="1" t="s">
        <v>927</v>
      </c>
      <c r="F1900" s="1" t="s">
        <v>927</v>
      </c>
      <c r="G1900" s="1">
        <v>76.0</v>
      </c>
      <c r="H1900" s="1">
        <v>4.696257615</v>
      </c>
      <c r="I1900" s="1">
        <v>4.76</v>
      </c>
      <c r="J1900" s="1">
        <v>1.956335</v>
      </c>
    </row>
    <row r="1901">
      <c r="A1901" s="1">
        <v>2025.0</v>
      </c>
      <c r="B1901" s="1" t="s">
        <v>498</v>
      </c>
      <c r="C1901" s="1">
        <v>688158.0</v>
      </c>
      <c r="D1901" s="1" t="s">
        <v>537</v>
      </c>
      <c r="E1901" s="1" t="s">
        <v>927</v>
      </c>
      <c r="F1901" s="1" t="s">
        <v>927</v>
      </c>
      <c r="G1901" s="1">
        <v>144.0</v>
      </c>
      <c r="H1901" s="1">
        <v>8.898172324</v>
      </c>
      <c r="I1901" s="1">
        <v>4.82</v>
      </c>
      <c r="J1901" s="1">
        <v>3.69434</v>
      </c>
    </row>
    <row r="1902">
      <c r="A1902" s="1">
        <v>2025.0</v>
      </c>
      <c r="B1902" s="1" t="s">
        <v>498</v>
      </c>
      <c r="C1902" s="1">
        <v>688158.0</v>
      </c>
      <c r="D1902" s="1" t="s">
        <v>536</v>
      </c>
      <c r="E1902" s="1" t="s">
        <v>927</v>
      </c>
      <c r="F1902" s="1" t="s">
        <v>927</v>
      </c>
      <c r="G1902" s="1">
        <v>135.0</v>
      </c>
      <c r="H1902" s="1">
        <v>8.342036554</v>
      </c>
      <c r="I1902" s="1">
        <v>5.23</v>
      </c>
      <c r="J1902" s="1">
        <v>2.383491</v>
      </c>
    </row>
    <row r="1903">
      <c r="A1903" s="1">
        <v>2025.0</v>
      </c>
      <c r="B1903" s="1" t="s">
        <v>498</v>
      </c>
      <c r="C1903" s="1">
        <v>688158.0</v>
      </c>
      <c r="D1903" s="1" t="s">
        <v>533</v>
      </c>
      <c r="E1903" s="1" t="s">
        <v>927</v>
      </c>
      <c r="F1903" s="1" t="s">
        <v>927</v>
      </c>
      <c r="G1903" s="1">
        <v>115.0</v>
      </c>
      <c r="H1903" s="1">
        <v>7.106179286</v>
      </c>
      <c r="I1903" s="1">
        <v>4.91</v>
      </c>
      <c r="J1903" s="1">
        <v>2.73914</v>
      </c>
    </row>
    <row r="1904">
      <c r="A1904" s="1">
        <v>2025.0</v>
      </c>
      <c r="B1904" s="1" t="s">
        <v>307</v>
      </c>
      <c r="C1904" s="1">
        <v>656849.0</v>
      </c>
      <c r="D1904" s="1" t="s">
        <v>532</v>
      </c>
      <c r="E1904" s="1" t="s">
        <v>926</v>
      </c>
      <c r="F1904" s="1" t="s">
        <v>926</v>
      </c>
      <c r="G1904" s="1">
        <v>17.0</v>
      </c>
      <c r="H1904" s="1">
        <v>1.063156594</v>
      </c>
      <c r="I1904" s="1">
        <v>5.82</v>
      </c>
      <c r="J1904" s="1">
        <v>0.06754</v>
      </c>
    </row>
    <row r="1905">
      <c r="A1905" s="1">
        <v>2025.0</v>
      </c>
      <c r="B1905" s="1" t="s">
        <v>307</v>
      </c>
      <c r="C1905" s="1">
        <v>656849.0</v>
      </c>
      <c r="D1905" s="1" t="s">
        <v>541</v>
      </c>
      <c r="E1905" s="1" t="s">
        <v>926</v>
      </c>
      <c r="F1905" s="1" t="s">
        <v>926</v>
      </c>
      <c r="G1905" s="1">
        <v>53.0</v>
      </c>
      <c r="H1905" s="1">
        <v>3.314547028</v>
      </c>
      <c r="I1905" s="1">
        <v>5.11</v>
      </c>
      <c r="J1905" s="1">
        <v>1.058079</v>
      </c>
    </row>
    <row r="1906">
      <c r="A1906" s="1">
        <v>2025.0</v>
      </c>
      <c r="B1906" s="1" t="s">
        <v>307</v>
      </c>
      <c r="C1906" s="1">
        <v>656849.0</v>
      </c>
      <c r="D1906" s="1" t="s">
        <v>537</v>
      </c>
      <c r="E1906" s="1" t="s">
        <v>926</v>
      </c>
      <c r="F1906" s="1" t="s">
        <v>926</v>
      </c>
      <c r="G1906" s="1">
        <v>66.0</v>
      </c>
      <c r="H1906" s="1">
        <v>4.127549129</v>
      </c>
      <c r="I1906" s="1">
        <v>4.95</v>
      </c>
      <c r="J1906" s="1">
        <v>1.54095</v>
      </c>
    </row>
    <row r="1907">
      <c r="A1907" s="1">
        <v>2025.0</v>
      </c>
      <c r="B1907" s="1" t="s">
        <v>307</v>
      </c>
      <c r="C1907" s="1">
        <v>656849.0</v>
      </c>
      <c r="D1907" s="1" t="s">
        <v>536</v>
      </c>
      <c r="E1907" s="1" t="s">
        <v>926</v>
      </c>
      <c r="F1907" s="1" t="s">
        <v>926</v>
      </c>
      <c r="G1907" s="1">
        <v>246.0</v>
      </c>
      <c r="H1907" s="1">
        <v>15.3845013</v>
      </c>
      <c r="I1907" s="1">
        <v>5.36</v>
      </c>
      <c r="J1907" s="1">
        <v>3.7729</v>
      </c>
    </row>
    <row r="1908">
      <c r="A1908" s="1">
        <v>2025.0</v>
      </c>
      <c r="B1908" s="1" t="s">
        <v>307</v>
      </c>
      <c r="C1908" s="1">
        <v>656849.0</v>
      </c>
      <c r="D1908" s="1" t="s">
        <v>533</v>
      </c>
      <c r="E1908" s="1" t="s">
        <v>926</v>
      </c>
      <c r="F1908" s="1" t="s">
        <v>926</v>
      </c>
      <c r="G1908" s="1">
        <v>185.0</v>
      </c>
      <c r="H1908" s="1">
        <v>11.56964528</v>
      </c>
      <c r="I1908" s="1">
        <v>5.08</v>
      </c>
      <c r="J1908" s="1">
        <v>3.759566</v>
      </c>
    </row>
    <row r="1909">
      <c r="A1909" s="1">
        <v>2025.0</v>
      </c>
      <c r="B1909" s="1" t="s">
        <v>307</v>
      </c>
      <c r="C1909" s="1">
        <v>656849.0</v>
      </c>
      <c r="D1909" s="1" t="s">
        <v>532</v>
      </c>
      <c r="E1909" s="1" t="s">
        <v>926</v>
      </c>
      <c r="F1909" s="1" t="s">
        <v>927</v>
      </c>
      <c r="G1909" s="1">
        <v>397.0</v>
      </c>
      <c r="H1909" s="1">
        <v>24.8278334</v>
      </c>
      <c r="I1909" s="1">
        <v>5.06</v>
      </c>
      <c r="J1909" s="1">
        <v>8.176064</v>
      </c>
    </row>
    <row r="1910">
      <c r="A1910" s="1">
        <v>2025.0</v>
      </c>
      <c r="B1910" s="1" t="s">
        <v>307</v>
      </c>
      <c r="C1910" s="1">
        <v>656849.0</v>
      </c>
      <c r="D1910" s="1" t="s">
        <v>541</v>
      </c>
      <c r="E1910" s="1" t="s">
        <v>926</v>
      </c>
      <c r="F1910" s="1" t="s">
        <v>927</v>
      </c>
      <c r="G1910" s="1">
        <v>317.0</v>
      </c>
      <c r="H1910" s="1">
        <v>19.82474354</v>
      </c>
      <c r="I1910" s="1">
        <v>4.9</v>
      </c>
      <c r="J1910" s="1">
        <v>7.511656</v>
      </c>
    </row>
    <row r="1911">
      <c r="A1911" s="1">
        <v>2025.0</v>
      </c>
      <c r="B1911" s="1" t="s">
        <v>307</v>
      </c>
      <c r="C1911" s="1">
        <v>656849.0</v>
      </c>
      <c r="D1911" s="1" t="s">
        <v>537</v>
      </c>
      <c r="E1911" s="1" t="s">
        <v>926</v>
      </c>
      <c r="F1911" s="1" t="s">
        <v>927</v>
      </c>
      <c r="G1911" s="1">
        <v>545.0</v>
      </c>
      <c r="H1911" s="1">
        <v>34.08354962</v>
      </c>
      <c r="I1911" s="1">
        <v>4.63</v>
      </c>
      <c r="J1911" s="1">
        <v>16.151154</v>
      </c>
    </row>
    <row r="1912">
      <c r="A1912" s="1">
        <v>2025.0</v>
      </c>
      <c r="B1912" s="1" t="s">
        <v>307</v>
      </c>
      <c r="C1912" s="1">
        <v>656849.0</v>
      </c>
      <c r="D1912" s="1" t="s">
        <v>536</v>
      </c>
      <c r="E1912" s="1" t="s">
        <v>926</v>
      </c>
      <c r="F1912" s="1" t="s">
        <v>927</v>
      </c>
      <c r="G1912" s="1">
        <v>540.0</v>
      </c>
      <c r="H1912" s="1">
        <v>33.77085651</v>
      </c>
      <c r="I1912" s="1">
        <v>4.75</v>
      </c>
      <c r="J1912" s="1">
        <v>15.112401</v>
      </c>
    </row>
    <row r="1913">
      <c r="A1913" s="1">
        <v>2025.0</v>
      </c>
      <c r="B1913" s="1" t="s">
        <v>307</v>
      </c>
      <c r="C1913" s="1">
        <v>656849.0</v>
      </c>
      <c r="D1913" s="1" t="s">
        <v>533</v>
      </c>
      <c r="E1913" s="1" t="s">
        <v>926</v>
      </c>
      <c r="F1913" s="1" t="s">
        <v>927</v>
      </c>
      <c r="G1913" s="1">
        <v>331.0</v>
      </c>
      <c r="H1913" s="1">
        <v>20.70028427</v>
      </c>
      <c r="I1913" s="1">
        <v>5.22</v>
      </c>
      <c r="J1913" s="1">
        <v>5.514779</v>
      </c>
    </row>
    <row r="1914">
      <c r="A1914" s="1">
        <v>2025.0</v>
      </c>
      <c r="B1914" s="1" t="s">
        <v>953</v>
      </c>
      <c r="C1914" s="1">
        <v>502085.0</v>
      </c>
      <c r="D1914" s="1" t="s">
        <v>532</v>
      </c>
      <c r="E1914" s="1" t="s">
        <v>927</v>
      </c>
      <c r="F1914" s="1" t="s">
        <v>926</v>
      </c>
      <c r="G1914" s="1">
        <v>3.0</v>
      </c>
      <c r="H1914" s="1">
        <v>0.174342105</v>
      </c>
      <c r="I1914" s="1">
        <v>5.25</v>
      </c>
      <c r="J1914" s="1">
        <v>0.046317</v>
      </c>
    </row>
    <row r="1915">
      <c r="A1915" s="1">
        <v>2025.0</v>
      </c>
      <c r="B1915" s="1" t="s">
        <v>953</v>
      </c>
      <c r="C1915" s="1">
        <v>502085.0</v>
      </c>
      <c r="D1915" s="1" t="s">
        <v>541</v>
      </c>
      <c r="E1915" s="1" t="s">
        <v>927</v>
      </c>
      <c r="F1915" s="1" t="s">
        <v>926</v>
      </c>
      <c r="G1915" s="1">
        <v>49.0</v>
      </c>
      <c r="H1915" s="1">
        <v>2.847587719</v>
      </c>
      <c r="I1915" s="1">
        <v>4.92</v>
      </c>
      <c r="J1915" s="1">
        <v>1.076115</v>
      </c>
    </row>
    <row r="1916">
      <c r="A1916" s="1">
        <v>2025.0</v>
      </c>
      <c r="B1916" s="1" t="s">
        <v>953</v>
      </c>
      <c r="C1916" s="1">
        <v>502085.0</v>
      </c>
      <c r="D1916" s="1" t="s">
        <v>540</v>
      </c>
      <c r="E1916" s="1" t="s">
        <v>927</v>
      </c>
      <c r="F1916" s="1" t="s">
        <v>926</v>
      </c>
      <c r="G1916" s="1">
        <v>73.0</v>
      </c>
      <c r="H1916" s="1">
        <v>4.242324561</v>
      </c>
      <c r="I1916" s="1">
        <v>5.11</v>
      </c>
      <c r="J1916" s="1">
        <v>1.422858</v>
      </c>
    </row>
    <row r="1917">
      <c r="A1917" s="1">
        <v>2025.0</v>
      </c>
      <c r="B1917" s="1" t="s">
        <v>953</v>
      </c>
      <c r="C1917" s="1">
        <v>502085.0</v>
      </c>
      <c r="D1917" s="1" t="s">
        <v>536</v>
      </c>
      <c r="E1917" s="1" t="s">
        <v>927</v>
      </c>
      <c r="F1917" s="1" t="s">
        <v>926</v>
      </c>
      <c r="G1917" s="1">
        <v>1.0</v>
      </c>
      <c r="H1917" s="1">
        <v>0.058114035</v>
      </c>
      <c r="I1917" s="1">
        <v>3.76</v>
      </c>
      <c r="J1917" s="1">
        <v>0.051004</v>
      </c>
    </row>
    <row r="1918">
      <c r="A1918" s="1">
        <v>2025.0</v>
      </c>
      <c r="B1918" s="1" t="s">
        <v>953</v>
      </c>
      <c r="C1918" s="1">
        <v>502085.0</v>
      </c>
      <c r="D1918" s="1" t="s">
        <v>533</v>
      </c>
      <c r="E1918" s="1" t="s">
        <v>927</v>
      </c>
      <c r="F1918" s="1" t="s">
        <v>926</v>
      </c>
      <c r="G1918" s="1">
        <v>8.0</v>
      </c>
      <c r="H1918" s="1">
        <v>0.464912281</v>
      </c>
      <c r="I1918" s="1">
        <v>4.94</v>
      </c>
      <c r="J1918" s="1">
        <v>0.188339</v>
      </c>
    </row>
    <row r="1919">
      <c r="A1919" s="1">
        <v>2025.0</v>
      </c>
      <c r="B1919" s="1" t="s">
        <v>953</v>
      </c>
      <c r="C1919" s="1">
        <v>502085.0</v>
      </c>
      <c r="D1919" s="1" t="s">
        <v>541</v>
      </c>
      <c r="E1919" s="1" t="s">
        <v>927</v>
      </c>
      <c r="F1919" s="1" t="s">
        <v>927</v>
      </c>
      <c r="G1919" s="1">
        <v>53.0</v>
      </c>
      <c r="H1919" s="1">
        <v>3.08004386</v>
      </c>
      <c r="I1919" s="1">
        <v>5.27</v>
      </c>
      <c r="J1919" s="1">
        <v>0.8103</v>
      </c>
    </row>
    <row r="1920">
      <c r="A1920" s="1">
        <v>2025.0</v>
      </c>
      <c r="B1920" s="1" t="s">
        <v>953</v>
      </c>
      <c r="C1920" s="1">
        <v>502085.0</v>
      </c>
      <c r="D1920" s="1" t="s">
        <v>540</v>
      </c>
      <c r="E1920" s="1" t="s">
        <v>927</v>
      </c>
      <c r="F1920" s="1" t="s">
        <v>927</v>
      </c>
      <c r="G1920" s="1">
        <v>79.0</v>
      </c>
      <c r="H1920" s="1">
        <v>4.591008772</v>
      </c>
      <c r="I1920" s="1">
        <v>4.79</v>
      </c>
      <c r="J1920" s="1">
        <v>2.078472</v>
      </c>
    </row>
    <row r="1921">
      <c r="A1921" s="1">
        <v>2025.0</v>
      </c>
      <c r="B1921" s="1" t="s">
        <v>953</v>
      </c>
      <c r="C1921" s="1">
        <v>502085.0</v>
      </c>
      <c r="D1921" s="1" t="s">
        <v>536</v>
      </c>
      <c r="E1921" s="1" t="s">
        <v>927</v>
      </c>
      <c r="F1921" s="1" t="s">
        <v>927</v>
      </c>
      <c r="G1921" s="1">
        <v>14.0</v>
      </c>
      <c r="H1921" s="1">
        <v>0.813596491</v>
      </c>
      <c r="I1921" s="1">
        <v>3.93</v>
      </c>
      <c r="J1921" s="1">
        <v>0.598328</v>
      </c>
    </row>
    <row r="1922">
      <c r="A1922" s="1">
        <v>2025.0</v>
      </c>
      <c r="B1922" s="1" t="s">
        <v>953</v>
      </c>
      <c r="C1922" s="1">
        <v>502085.0</v>
      </c>
      <c r="D1922" s="1" t="s">
        <v>533</v>
      </c>
      <c r="E1922" s="1" t="s">
        <v>927</v>
      </c>
      <c r="F1922" s="1" t="s">
        <v>927</v>
      </c>
      <c r="G1922" s="1">
        <v>24.0</v>
      </c>
      <c r="H1922" s="1">
        <v>1.394736842</v>
      </c>
      <c r="I1922" s="1">
        <v>5.31</v>
      </c>
      <c r="J1922" s="1">
        <v>0.367377</v>
      </c>
    </row>
    <row r="1923">
      <c r="A1923" s="1">
        <v>2025.0</v>
      </c>
      <c r="B1923" s="1" t="s">
        <v>586</v>
      </c>
      <c r="C1923" s="1">
        <v>669721.0</v>
      </c>
      <c r="D1923" s="1" t="s">
        <v>537</v>
      </c>
      <c r="E1923" s="1" t="s">
        <v>927</v>
      </c>
      <c r="F1923" s="1" t="s">
        <v>926</v>
      </c>
      <c r="G1923" s="1">
        <v>23.0</v>
      </c>
      <c r="H1923" s="1">
        <v>1.256830601</v>
      </c>
      <c r="I1923" s="1">
        <v>3.96</v>
      </c>
      <c r="J1923" s="1">
        <v>1.018094</v>
      </c>
    </row>
    <row r="1924">
      <c r="A1924" s="1">
        <v>2025.0</v>
      </c>
      <c r="B1924" s="1" t="s">
        <v>586</v>
      </c>
      <c r="C1924" s="1">
        <v>669721.0</v>
      </c>
      <c r="D1924" s="1" t="s">
        <v>538</v>
      </c>
      <c r="E1924" s="1" t="s">
        <v>927</v>
      </c>
      <c r="F1924" s="1" t="s">
        <v>926</v>
      </c>
      <c r="G1924" s="1">
        <v>22.0</v>
      </c>
      <c r="H1924" s="1">
        <v>1.202185792</v>
      </c>
      <c r="I1924" s="1">
        <v>5.15</v>
      </c>
      <c r="J1924" s="1">
        <v>0.415316</v>
      </c>
    </row>
    <row r="1925">
      <c r="A1925" s="1">
        <v>2025.0</v>
      </c>
      <c r="B1925" s="1" t="s">
        <v>586</v>
      </c>
      <c r="C1925" s="1">
        <v>669721.0</v>
      </c>
      <c r="D1925" s="1" t="s">
        <v>533</v>
      </c>
      <c r="E1925" s="1" t="s">
        <v>927</v>
      </c>
      <c r="F1925" s="1" t="s">
        <v>926</v>
      </c>
      <c r="G1925" s="1">
        <v>7.0</v>
      </c>
      <c r="H1925" s="1">
        <v>0.382513661</v>
      </c>
      <c r="I1925" s="1">
        <v>5.57</v>
      </c>
      <c r="J1925" s="1">
        <v>0.065171</v>
      </c>
    </row>
    <row r="1926">
      <c r="A1926" s="1">
        <v>2025.0</v>
      </c>
      <c r="B1926" s="1" t="s">
        <v>586</v>
      </c>
      <c r="C1926" s="1">
        <v>669721.0</v>
      </c>
      <c r="D1926" s="1" t="s">
        <v>539</v>
      </c>
      <c r="E1926" s="1" t="s">
        <v>927</v>
      </c>
      <c r="F1926" s="1" t="s">
        <v>926</v>
      </c>
      <c r="G1926" s="1">
        <v>2.0</v>
      </c>
      <c r="H1926" s="1">
        <v>0.109289617</v>
      </c>
      <c r="I1926" s="1">
        <v>4.85</v>
      </c>
      <c r="J1926" s="1">
        <v>0.052208</v>
      </c>
    </row>
    <row r="1927">
      <c r="A1927" s="1">
        <v>2025.0</v>
      </c>
      <c r="B1927" s="1" t="s">
        <v>586</v>
      </c>
      <c r="C1927" s="1">
        <v>669721.0</v>
      </c>
      <c r="D1927" s="1" t="s">
        <v>537</v>
      </c>
      <c r="E1927" s="1" t="s">
        <v>927</v>
      </c>
      <c r="F1927" s="1" t="s">
        <v>927</v>
      </c>
      <c r="G1927" s="1">
        <v>70.0</v>
      </c>
      <c r="H1927" s="1">
        <v>3.825136612</v>
      </c>
      <c r="I1927" s="1">
        <v>4.9</v>
      </c>
      <c r="J1927" s="1">
        <v>1.75601</v>
      </c>
    </row>
    <row r="1928">
      <c r="A1928" s="1">
        <v>2025.0</v>
      </c>
      <c r="B1928" s="1" t="s">
        <v>586</v>
      </c>
      <c r="C1928" s="1">
        <v>669721.0</v>
      </c>
      <c r="D1928" s="1" t="s">
        <v>538</v>
      </c>
      <c r="E1928" s="1" t="s">
        <v>927</v>
      </c>
      <c r="F1928" s="1" t="s">
        <v>927</v>
      </c>
      <c r="G1928" s="1">
        <v>19.0</v>
      </c>
      <c r="H1928" s="1">
        <v>1.038251366</v>
      </c>
      <c r="I1928" s="1">
        <v>5.92</v>
      </c>
      <c r="J1928" s="1">
        <v>0.033644</v>
      </c>
    </row>
    <row r="1929">
      <c r="A1929" s="1">
        <v>2025.0</v>
      </c>
      <c r="B1929" s="1" t="s">
        <v>586</v>
      </c>
      <c r="C1929" s="1">
        <v>669721.0</v>
      </c>
      <c r="D1929" s="1" t="s">
        <v>533</v>
      </c>
      <c r="E1929" s="1" t="s">
        <v>927</v>
      </c>
      <c r="F1929" s="1" t="s">
        <v>927</v>
      </c>
      <c r="G1929" s="1">
        <v>27.0</v>
      </c>
      <c r="H1929" s="1">
        <v>1.475409836</v>
      </c>
      <c r="I1929" s="1">
        <v>5.07</v>
      </c>
      <c r="J1929" s="1">
        <v>0.551752</v>
      </c>
    </row>
    <row r="1930">
      <c r="A1930" s="1">
        <v>2025.0</v>
      </c>
      <c r="B1930" s="1" t="s">
        <v>586</v>
      </c>
      <c r="C1930" s="1">
        <v>669721.0</v>
      </c>
      <c r="D1930" s="1" t="s">
        <v>539</v>
      </c>
      <c r="E1930" s="1" t="s">
        <v>927</v>
      </c>
      <c r="F1930" s="1" t="s">
        <v>927</v>
      </c>
      <c r="G1930" s="1">
        <v>13.0</v>
      </c>
      <c r="H1930" s="1">
        <v>0.710382514</v>
      </c>
      <c r="I1930" s="1">
        <v>5.07</v>
      </c>
      <c r="J1930" s="1">
        <v>0.239318</v>
      </c>
    </row>
    <row r="1931">
      <c r="A1931" s="1">
        <v>2025.0</v>
      </c>
      <c r="B1931" s="1" t="s">
        <v>335</v>
      </c>
      <c r="C1931" s="1">
        <v>663436.0</v>
      </c>
      <c r="D1931" s="1" t="s">
        <v>532</v>
      </c>
      <c r="E1931" s="1" t="s">
        <v>927</v>
      </c>
      <c r="F1931" s="1" t="s">
        <v>926</v>
      </c>
      <c r="G1931" s="1">
        <v>406.0</v>
      </c>
      <c r="H1931" s="1">
        <v>25.10735443</v>
      </c>
      <c r="I1931" s="1">
        <v>5.06</v>
      </c>
      <c r="J1931" s="1">
        <v>8.450238</v>
      </c>
    </row>
    <row r="1932">
      <c r="A1932" s="1">
        <v>2025.0</v>
      </c>
      <c r="B1932" s="1" t="s">
        <v>335</v>
      </c>
      <c r="C1932" s="1">
        <v>663436.0</v>
      </c>
      <c r="D1932" s="1" t="s">
        <v>541</v>
      </c>
      <c r="E1932" s="1" t="s">
        <v>927</v>
      </c>
      <c r="F1932" s="1" t="s">
        <v>926</v>
      </c>
      <c r="G1932" s="1">
        <v>100.0</v>
      </c>
      <c r="H1932" s="1">
        <v>6.184077445</v>
      </c>
      <c r="I1932" s="1">
        <v>4.76</v>
      </c>
      <c r="J1932" s="1">
        <v>2.772279</v>
      </c>
    </row>
    <row r="1933">
      <c r="A1933" s="1">
        <v>2025.0</v>
      </c>
      <c r="B1933" s="1" t="s">
        <v>335</v>
      </c>
      <c r="C1933" s="1">
        <v>663436.0</v>
      </c>
      <c r="D1933" s="1" t="s">
        <v>540</v>
      </c>
      <c r="E1933" s="1" t="s">
        <v>927</v>
      </c>
      <c r="F1933" s="1" t="s">
        <v>926</v>
      </c>
      <c r="G1933" s="1">
        <v>208.0</v>
      </c>
      <c r="H1933" s="1">
        <v>12.86288109</v>
      </c>
      <c r="I1933" s="1">
        <v>5.12</v>
      </c>
      <c r="J1933" s="1">
        <v>4.214449</v>
      </c>
    </row>
    <row r="1934">
      <c r="A1934" s="1">
        <v>2025.0</v>
      </c>
      <c r="B1934" s="1" t="s">
        <v>335</v>
      </c>
      <c r="C1934" s="1">
        <v>663436.0</v>
      </c>
      <c r="D1934" s="1" t="s">
        <v>537</v>
      </c>
      <c r="E1934" s="1" t="s">
        <v>927</v>
      </c>
      <c r="F1934" s="1" t="s">
        <v>926</v>
      </c>
      <c r="G1934" s="1">
        <v>429.0</v>
      </c>
      <c r="H1934" s="1">
        <v>26.52969224</v>
      </c>
      <c r="I1934" s="1">
        <v>4.7</v>
      </c>
      <c r="J1934" s="1">
        <v>12.664903</v>
      </c>
    </row>
    <row r="1935">
      <c r="A1935" s="1">
        <v>2025.0</v>
      </c>
      <c r="B1935" s="1" t="s">
        <v>335</v>
      </c>
      <c r="C1935" s="1">
        <v>663436.0</v>
      </c>
      <c r="D1935" s="1" t="s">
        <v>536</v>
      </c>
      <c r="E1935" s="1" t="s">
        <v>927</v>
      </c>
      <c r="F1935" s="1" t="s">
        <v>926</v>
      </c>
      <c r="G1935" s="1">
        <v>49.0</v>
      </c>
      <c r="H1935" s="1">
        <v>3.030197948</v>
      </c>
      <c r="I1935" s="1">
        <v>4.87</v>
      </c>
      <c r="J1935" s="1">
        <v>1.209197</v>
      </c>
    </row>
    <row r="1936">
      <c r="A1936" s="1">
        <v>2025.0</v>
      </c>
      <c r="B1936" s="1" t="s">
        <v>335</v>
      </c>
      <c r="C1936" s="1">
        <v>663436.0</v>
      </c>
      <c r="D1936" s="1" t="s">
        <v>533</v>
      </c>
      <c r="E1936" s="1" t="s">
        <v>927</v>
      </c>
      <c r="F1936" s="1" t="s">
        <v>926</v>
      </c>
      <c r="G1936" s="1">
        <v>11.0</v>
      </c>
      <c r="H1936" s="1">
        <v>0.680248519</v>
      </c>
      <c r="I1936" s="1">
        <v>3.76</v>
      </c>
      <c r="J1936" s="1">
        <v>0.509983</v>
      </c>
    </row>
    <row r="1937">
      <c r="A1937" s="1">
        <v>2025.0</v>
      </c>
      <c r="B1937" s="1" t="s">
        <v>335</v>
      </c>
      <c r="C1937" s="1">
        <v>663436.0</v>
      </c>
      <c r="D1937" s="1" t="s">
        <v>532</v>
      </c>
      <c r="E1937" s="1" t="s">
        <v>927</v>
      </c>
      <c r="F1937" s="1" t="s">
        <v>927</v>
      </c>
      <c r="G1937" s="1">
        <v>152.0</v>
      </c>
      <c r="H1937" s="1">
        <v>9.399797717</v>
      </c>
      <c r="I1937" s="1">
        <v>5.57</v>
      </c>
      <c r="J1937" s="1">
        <v>1.558078</v>
      </c>
    </row>
    <row r="1938">
      <c r="A1938" s="1">
        <v>2025.0</v>
      </c>
      <c r="B1938" s="1" t="s">
        <v>335</v>
      </c>
      <c r="C1938" s="1">
        <v>663436.0</v>
      </c>
      <c r="D1938" s="1" t="s">
        <v>541</v>
      </c>
      <c r="E1938" s="1" t="s">
        <v>927</v>
      </c>
      <c r="F1938" s="1" t="s">
        <v>927</v>
      </c>
      <c r="G1938" s="1">
        <v>11.0</v>
      </c>
      <c r="H1938" s="1">
        <v>0.680248519</v>
      </c>
      <c r="I1938" s="1">
        <v>4.51</v>
      </c>
      <c r="J1938" s="1">
        <v>0.351808</v>
      </c>
    </row>
    <row r="1939">
      <c r="A1939" s="1">
        <v>2025.0</v>
      </c>
      <c r="B1939" s="1" t="s">
        <v>335</v>
      </c>
      <c r="C1939" s="1">
        <v>663436.0</v>
      </c>
      <c r="D1939" s="1" t="s">
        <v>540</v>
      </c>
      <c r="E1939" s="1" t="s">
        <v>927</v>
      </c>
      <c r="F1939" s="1" t="s">
        <v>927</v>
      </c>
      <c r="G1939" s="1">
        <v>325.0</v>
      </c>
      <c r="H1939" s="1">
        <v>20.0982517</v>
      </c>
      <c r="I1939" s="1">
        <v>4.84</v>
      </c>
      <c r="J1939" s="1">
        <v>8.265514</v>
      </c>
    </row>
    <row r="1940">
      <c r="A1940" s="1">
        <v>2025.0</v>
      </c>
      <c r="B1940" s="1" t="s">
        <v>335</v>
      </c>
      <c r="C1940" s="1">
        <v>663436.0</v>
      </c>
      <c r="D1940" s="1" t="s">
        <v>537</v>
      </c>
      <c r="E1940" s="1" t="s">
        <v>927</v>
      </c>
      <c r="F1940" s="1" t="s">
        <v>927</v>
      </c>
      <c r="G1940" s="1">
        <v>334.0</v>
      </c>
      <c r="H1940" s="1">
        <v>20.65481867</v>
      </c>
      <c r="I1940" s="1">
        <v>4.75</v>
      </c>
      <c r="J1940" s="1">
        <v>9.186372</v>
      </c>
    </row>
    <row r="1941">
      <c r="A1941" s="1">
        <v>2025.0</v>
      </c>
      <c r="B1941" s="1" t="s">
        <v>335</v>
      </c>
      <c r="C1941" s="1">
        <v>663436.0</v>
      </c>
      <c r="D1941" s="1" t="s">
        <v>536</v>
      </c>
      <c r="E1941" s="1" t="s">
        <v>927</v>
      </c>
      <c r="F1941" s="1" t="s">
        <v>927</v>
      </c>
      <c r="G1941" s="1">
        <v>193.0</v>
      </c>
      <c r="H1941" s="1">
        <v>11.93526947</v>
      </c>
      <c r="I1941" s="1">
        <v>5.31</v>
      </c>
      <c r="J1941" s="1">
        <v>3.239409</v>
      </c>
    </row>
    <row r="1942">
      <c r="A1942" s="1">
        <v>2025.0</v>
      </c>
      <c r="B1942" s="1" t="s">
        <v>335</v>
      </c>
      <c r="C1942" s="1">
        <v>663436.0</v>
      </c>
      <c r="D1942" s="1" t="s">
        <v>533</v>
      </c>
      <c r="E1942" s="1" t="s">
        <v>927</v>
      </c>
      <c r="F1942" s="1" t="s">
        <v>927</v>
      </c>
      <c r="G1942" s="1">
        <v>89.0</v>
      </c>
      <c r="H1942" s="1">
        <v>5.503828926</v>
      </c>
      <c r="I1942" s="1">
        <v>5.18</v>
      </c>
      <c r="J1942" s="1">
        <v>1.642753</v>
      </c>
    </row>
    <row r="1943">
      <c r="A1943" s="1">
        <v>2025.0</v>
      </c>
      <c r="B1943" s="1" t="s">
        <v>414</v>
      </c>
      <c r="C1943" s="1">
        <v>678226.0</v>
      </c>
      <c r="D1943" s="1" t="s">
        <v>537</v>
      </c>
      <c r="E1943" s="1" t="s">
        <v>927</v>
      </c>
      <c r="F1943" s="1" t="s">
        <v>926</v>
      </c>
      <c r="G1943" s="1">
        <v>147.0</v>
      </c>
      <c r="H1943" s="1">
        <v>7.628330996</v>
      </c>
      <c r="I1943" s="1">
        <v>4.42</v>
      </c>
      <c r="J1943" s="1">
        <v>4.938462</v>
      </c>
    </row>
    <row r="1944">
      <c r="A1944" s="1">
        <v>2025.0</v>
      </c>
      <c r="B1944" s="1" t="s">
        <v>414</v>
      </c>
      <c r="C1944" s="1">
        <v>678226.0</v>
      </c>
      <c r="D1944" s="1" t="s">
        <v>533</v>
      </c>
      <c r="E1944" s="1" t="s">
        <v>927</v>
      </c>
      <c r="F1944" s="1" t="s">
        <v>926</v>
      </c>
      <c r="G1944" s="1">
        <v>194.0</v>
      </c>
      <c r="H1944" s="1">
        <v>10.06732118</v>
      </c>
      <c r="I1944" s="1">
        <v>5.14</v>
      </c>
      <c r="J1944" s="1">
        <v>3.597714</v>
      </c>
    </row>
    <row r="1945">
      <c r="A1945" s="1">
        <v>2025.0</v>
      </c>
      <c r="B1945" s="1" t="s">
        <v>414</v>
      </c>
      <c r="C1945" s="1">
        <v>678226.0</v>
      </c>
      <c r="D1945" s="1" t="s">
        <v>537</v>
      </c>
      <c r="E1945" s="1" t="s">
        <v>927</v>
      </c>
      <c r="F1945" s="1" t="s">
        <v>927</v>
      </c>
      <c r="G1945" s="1">
        <v>167.0</v>
      </c>
      <c r="H1945" s="1">
        <v>8.666199158</v>
      </c>
      <c r="I1945" s="1">
        <v>4.71</v>
      </c>
      <c r="J1945" s="1">
        <v>4.701375</v>
      </c>
    </row>
    <row r="1946">
      <c r="A1946" s="1">
        <v>2025.0</v>
      </c>
      <c r="B1946" s="1" t="s">
        <v>414</v>
      </c>
      <c r="C1946" s="1">
        <v>678226.0</v>
      </c>
      <c r="D1946" s="1" t="s">
        <v>533</v>
      </c>
      <c r="E1946" s="1" t="s">
        <v>927</v>
      </c>
      <c r="F1946" s="1" t="s">
        <v>927</v>
      </c>
      <c r="G1946" s="1">
        <v>205.0</v>
      </c>
      <c r="H1946" s="1">
        <v>10.63814867</v>
      </c>
      <c r="I1946" s="1">
        <v>5.21</v>
      </c>
      <c r="J1946" s="1">
        <v>3.588519</v>
      </c>
    </row>
    <row r="1947">
      <c r="A1947" s="1">
        <v>2025.0</v>
      </c>
      <c r="B1947" s="1" t="s">
        <v>294</v>
      </c>
      <c r="C1947" s="1">
        <v>665152.0</v>
      </c>
      <c r="D1947" s="1" t="s">
        <v>541</v>
      </c>
      <c r="E1947" s="1" t="s">
        <v>927</v>
      </c>
      <c r="F1947" s="1" t="s">
        <v>926</v>
      </c>
      <c r="G1947" s="1">
        <v>284.0</v>
      </c>
      <c r="H1947" s="1">
        <v>18.11045072</v>
      </c>
      <c r="I1947" s="1">
        <v>4.84</v>
      </c>
      <c r="J1947" s="1">
        <v>7.13405</v>
      </c>
    </row>
    <row r="1948">
      <c r="A1948" s="1">
        <v>2025.0</v>
      </c>
      <c r="B1948" s="1" t="s">
        <v>294</v>
      </c>
      <c r="C1948" s="1">
        <v>665152.0</v>
      </c>
      <c r="D1948" s="1" t="s">
        <v>540</v>
      </c>
      <c r="E1948" s="1" t="s">
        <v>927</v>
      </c>
      <c r="F1948" s="1" t="s">
        <v>926</v>
      </c>
      <c r="G1948" s="1">
        <v>115.0</v>
      </c>
      <c r="H1948" s="1">
        <v>7.333457157</v>
      </c>
      <c r="I1948" s="1">
        <v>4.89</v>
      </c>
      <c r="J1948" s="1">
        <v>2.637744</v>
      </c>
    </row>
    <row r="1949">
      <c r="A1949" s="1">
        <v>2025.0</v>
      </c>
      <c r="B1949" s="1" t="s">
        <v>294</v>
      </c>
      <c r="C1949" s="1">
        <v>665152.0</v>
      </c>
      <c r="D1949" s="1" t="s">
        <v>537</v>
      </c>
      <c r="E1949" s="1" t="s">
        <v>927</v>
      </c>
      <c r="F1949" s="1" t="s">
        <v>926</v>
      </c>
      <c r="G1949" s="1">
        <v>487.0</v>
      </c>
      <c r="H1949" s="1">
        <v>31.05559683</v>
      </c>
      <c r="I1949" s="1">
        <v>5.07</v>
      </c>
      <c r="J1949" s="1">
        <v>10.277472</v>
      </c>
    </row>
    <row r="1950">
      <c r="A1950" s="1">
        <v>2025.0</v>
      </c>
      <c r="B1950" s="1" t="s">
        <v>294</v>
      </c>
      <c r="C1950" s="1">
        <v>665152.0</v>
      </c>
      <c r="D1950" s="1" t="s">
        <v>538</v>
      </c>
      <c r="E1950" s="1" t="s">
        <v>927</v>
      </c>
      <c r="F1950" s="1" t="s">
        <v>926</v>
      </c>
      <c r="G1950" s="1">
        <v>439.0</v>
      </c>
      <c r="H1950" s="1">
        <v>27.99467558</v>
      </c>
      <c r="I1950" s="1">
        <v>4.79</v>
      </c>
      <c r="J1950" s="1">
        <v>11.373649</v>
      </c>
    </row>
    <row r="1951">
      <c r="A1951" s="1">
        <v>2025.0</v>
      </c>
      <c r="B1951" s="1" t="s">
        <v>294</v>
      </c>
      <c r="C1951" s="1">
        <v>665152.0</v>
      </c>
      <c r="D1951" s="1" t="s">
        <v>536</v>
      </c>
      <c r="E1951" s="1" t="s">
        <v>927</v>
      </c>
      <c r="F1951" s="1" t="s">
        <v>926</v>
      </c>
      <c r="G1951" s="1">
        <v>178.0</v>
      </c>
      <c r="H1951" s="1">
        <v>11.3509163</v>
      </c>
      <c r="I1951" s="1">
        <v>4.76</v>
      </c>
      <c r="J1951" s="1">
        <v>4.874807</v>
      </c>
    </row>
    <row r="1952">
      <c r="A1952" s="1">
        <v>2025.0</v>
      </c>
      <c r="B1952" s="1" t="s">
        <v>294</v>
      </c>
      <c r="C1952" s="1">
        <v>665152.0</v>
      </c>
      <c r="D1952" s="1" t="s">
        <v>541</v>
      </c>
      <c r="E1952" s="1" t="s">
        <v>927</v>
      </c>
      <c r="F1952" s="1" t="s">
        <v>927</v>
      </c>
      <c r="G1952" s="1">
        <v>60.0</v>
      </c>
      <c r="H1952" s="1">
        <v>3.82615156</v>
      </c>
      <c r="I1952" s="1">
        <v>4.84</v>
      </c>
      <c r="J1952" s="1">
        <v>1.526879</v>
      </c>
    </row>
    <row r="1953">
      <c r="A1953" s="1">
        <v>2025.0</v>
      </c>
      <c r="B1953" s="1" t="s">
        <v>294</v>
      </c>
      <c r="C1953" s="1">
        <v>665152.0</v>
      </c>
      <c r="D1953" s="1" t="s">
        <v>540</v>
      </c>
      <c r="E1953" s="1" t="s">
        <v>927</v>
      </c>
      <c r="F1953" s="1" t="s">
        <v>927</v>
      </c>
      <c r="G1953" s="1">
        <v>428.0</v>
      </c>
      <c r="H1953" s="1">
        <v>27.29321446</v>
      </c>
      <c r="I1953" s="1">
        <v>5.01</v>
      </c>
      <c r="J1953" s="1">
        <v>9.32788</v>
      </c>
    </row>
    <row r="1954">
      <c r="A1954" s="1">
        <v>2025.0</v>
      </c>
      <c r="B1954" s="1" t="s">
        <v>294</v>
      </c>
      <c r="C1954" s="1">
        <v>665152.0</v>
      </c>
      <c r="D1954" s="1" t="s">
        <v>537</v>
      </c>
      <c r="E1954" s="1" t="s">
        <v>927</v>
      </c>
      <c r="F1954" s="1" t="s">
        <v>927</v>
      </c>
      <c r="G1954" s="1">
        <v>238.0</v>
      </c>
      <c r="H1954" s="1">
        <v>15.17706786</v>
      </c>
      <c r="I1954" s="1">
        <v>5.2</v>
      </c>
      <c r="J1954" s="1">
        <v>4.446489</v>
      </c>
    </row>
    <row r="1955">
      <c r="A1955" s="1">
        <v>2025.0</v>
      </c>
      <c r="B1955" s="1" t="s">
        <v>294</v>
      </c>
      <c r="C1955" s="1">
        <v>665152.0</v>
      </c>
      <c r="D1955" s="1" t="s">
        <v>538</v>
      </c>
      <c r="E1955" s="1" t="s">
        <v>927</v>
      </c>
      <c r="F1955" s="1" t="s">
        <v>927</v>
      </c>
      <c r="G1955" s="1">
        <v>127.0</v>
      </c>
      <c r="H1955" s="1">
        <v>8.098687469</v>
      </c>
      <c r="I1955" s="1">
        <v>4.6</v>
      </c>
      <c r="J1955" s="1">
        <v>3.67325</v>
      </c>
    </row>
    <row r="1956">
      <c r="A1956" s="1">
        <v>2025.0</v>
      </c>
      <c r="B1956" s="1" t="s">
        <v>294</v>
      </c>
      <c r="C1956" s="1">
        <v>665152.0</v>
      </c>
      <c r="D1956" s="1" t="s">
        <v>536</v>
      </c>
      <c r="E1956" s="1" t="s">
        <v>927</v>
      </c>
      <c r="F1956" s="1" t="s">
        <v>927</v>
      </c>
      <c r="G1956" s="1">
        <v>333.0</v>
      </c>
      <c r="H1956" s="1">
        <v>21.23514116</v>
      </c>
      <c r="I1956" s="1">
        <v>5.03</v>
      </c>
      <c r="J1956" s="1">
        <v>7.124522</v>
      </c>
    </row>
    <row r="1957">
      <c r="A1957" s="1">
        <v>2025.0</v>
      </c>
      <c r="B1957" s="1" t="s">
        <v>294</v>
      </c>
      <c r="C1957" s="1">
        <v>665152.0</v>
      </c>
      <c r="D1957" s="1" t="s">
        <v>533</v>
      </c>
      <c r="E1957" s="1" t="s">
        <v>927</v>
      </c>
      <c r="F1957" s="1" t="s">
        <v>927</v>
      </c>
      <c r="G1957" s="1">
        <v>3.0</v>
      </c>
      <c r="H1957" s="1">
        <v>0.191307578</v>
      </c>
      <c r="I1957" s="1">
        <v>4.1</v>
      </c>
      <c r="J1957" s="1">
        <v>0.105873</v>
      </c>
    </row>
    <row r="1958">
      <c r="A1958" s="1">
        <v>2025.0</v>
      </c>
      <c r="B1958" s="1" t="s">
        <v>791</v>
      </c>
      <c r="C1958" s="1">
        <v>673380.0</v>
      </c>
      <c r="D1958" s="1" t="s">
        <v>532</v>
      </c>
      <c r="E1958" s="1" t="s">
        <v>927</v>
      </c>
      <c r="F1958" s="1" t="s">
        <v>926</v>
      </c>
      <c r="G1958" s="1">
        <v>2.0</v>
      </c>
      <c r="H1958" s="1">
        <v>0.106227106</v>
      </c>
      <c r="I1958" s="1">
        <v>2.54</v>
      </c>
      <c r="J1958" s="1">
        <v>0.140056</v>
      </c>
    </row>
    <row r="1959">
      <c r="A1959" s="1">
        <v>2025.0</v>
      </c>
      <c r="B1959" s="1" t="s">
        <v>791</v>
      </c>
      <c r="C1959" s="1">
        <v>673380.0</v>
      </c>
      <c r="D1959" s="1" t="s">
        <v>537</v>
      </c>
      <c r="E1959" s="1" t="s">
        <v>927</v>
      </c>
      <c r="F1959" s="1" t="s">
        <v>926</v>
      </c>
      <c r="G1959" s="1">
        <v>49.0</v>
      </c>
      <c r="H1959" s="1">
        <v>2.602564103</v>
      </c>
      <c r="I1959" s="1">
        <v>4.33</v>
      </c>
      <c r="J1959" s="1">
        <v>1.719032</v>
      </c>
    </row>
    <row r="1960">
      <c r="A1960" s="1">
        <v>2025.0</v>
      </c>
      <c r="B1960" s="1" t="s">
        <v>791</v>
      </c>
      <c r="C1960" s="1">
        <v>673380.0</v>
      </c>
      <c r="D1960" s="1" t="s">
        <v>536</v>
      </c>
      <c r="E1960" s="1" t="s">
        <v>927</v>
      </c>
      <c r="F1960" s="1" t="s">
        <v>926</v>
      </c>
      <c r="G1960" s="1">
        <v>1.0</v>
      </c>
      <c r="H1960" s="1">
        <v>0.053113553</v>
      </c>
      <c r="I1960" s="1">
        <v>1.57</v>
      </c>
      <c r="J1960" s="1">
        <v>0.09012</v>
      </c>
    </row>
    <row r="1961">
      <c r="A1961" s="1">
        <v>2025.0</v>
      </c>
      <c r="B1961" s="1" t="s">
        <v>791</v>
      </c>
      <c r="C1961" s="1">
        <v>673380.0</v>
      </c>
      <c r="D1961" s="1" t="s">
        <v>533</v>
      </c>
      <c r="E1961" s="1" t="s">
        <v>927</v>
      </c>
      <c r="F1961" s="1" t="s">
        <v>926</v>
      </c>
      <c r="G1961" s="1">
        <v>41.0</v>
      </c>
      <c r="H1961" s="1">
        <v>2.177655678</v>
      </c>
      <c r="I1961" s="1">
        <v>4.72</v>
      </c>
      <c r="J1961" s="1">
        <v>1.15429</v>
      </c>
    </row>
    <row r="1962">
      <c r="A1962" s="1">
        <v>2025.0</v>
      </c>
      <c r="B1962" s="1" t="s">
        <v>791</v>
      </c>
      <c r="C1962" s="1">
        <v>673380.0</v>
      </c>
      <c r="D1962" s="1" t="s">
        <v>532</v>
      </c>
      <c r="E1962" s="1" t="s">
        <v>927</v>
      </c>
      <c r="F1962" s="1" t="s">
        <v>927</v>
      </c>
      <c r="G1962" s="1">
        <v>1.0</v>
      </c>
      <c r="H1962" s="1">
        <v>0.053113553</v>
      </c>
      <c r="I1962" s="1">
        <v>6.52</v>
      </c>
      <c r="J1962" s="1">
        <v>-0.006402</v>
      </c>
    </row>
    <row r="1963">
      <c r="A1963" s="1">
        <v>2025.0</v>
      </c>
      <c r="B1963" s="1" t="s">
        <v>791</v>
      </c>
      <c r="C1963" s="1">
        <v>673380.0</v>
      </c>
      <c r="D1963" s="1" t="s">
        <v>537</v>
      </c>
      <c r="E1963" s="1" t="s">
        <v>927</v>
      </c>
      <c r="F1963" s="1" t="s">
        <v>927</v>
      </c>
      <c r="G1963" s="1">
        <v>46.0</v>
      </c>
      <c r="H1963" s="1">
        <v>2.443223443</v>
      </c>
      <c r="I1963" s="1">
        <v>5.35</v>
      </c>
      <c r="J1963" s="1">
        <v>0.805736</v>
      </c>
    </row>
    <row r="1964">
      <c r="A1964" s="1">
        <v>2025.0</v>
      </c>
      <c r="B1964" s="1" t="s">
        <v>791</v>
      </c>
      <c r="C1964" s="1">
        <v>673380.0</v>
      </c>
      <c r="D1964" s="1" t="s">
        <v>533</v>
      </c>
      <c r="E1964" s="1" t="s">
        <v>927</v>
      </c>
      <c r="F1964" s="1" t="s">
        <v>927</v>
      </c>
      <c r="G1964" s="1">
        <v>42.0</v>
      </c>
      <c r="H1964" s="1">
        <v>2.230769231</v>
      </c>
      <c r="I1964" s="1">
        <v>5.32</v>
      </c>
      <c r="J1964" s="1">
        <v>0.619341</v>
      </c>
    </row>
    <row r="1965">
      <c r="A1965" s="1">
        <v>2025.0</v>
      </c>
      <c r="B1965" s="1" t="s">
        <v>217</v>
      </c>
      <c r="C1965" s="1">
        <v>642701.0</v>
      </c>
      <c r="D1965" s="1" t="s">
        <v>532</v>
      </c>
      <c r="E1965" s="1" t="s">
        <v>927</v>
      </c>
      <c r="F1965" s="1" t="s">
        <v>926</v>
      </c>
      <c r="G1965" s="1">
        <v>60.0</v>
      </c>
      <c r="H1965" s="1">
        <v>4.215784216</v>
      </c>
      <c r="I1965" s="1">
        <v>4.36</v>
      </c>
      <c r="J1965" s="1">
        <v>2.08336</v>
      </c>
    </row>
    <row r="1966">
      <c r="A1966" s="1">
        <v>2025.0</v>
      </c>
      <c r="B1966" s="1" t="s">
        <v>217</v>
      </c>
      <c r="C1966" s="1">
        <v>642701.0</v>
      </c>
      <c r="D1966" s="1" t="s">
        <v>540</v>
      </c>
      <c r="E1966" s="1" t="s">
        <v>927</v>
      </c>
      <c r="F1966" s="1" t="s">
        <v>926</v>
      </c>
      <c r="G1966" s="1">
        <v>20.0</v>
      </c>
      <c r="H1966" s="1">
        <v>1.405261405</v>
      </c>
      <c r="I1966" s="1">
        <v>5.03</v>
      </c>
      <c r="J1966" s="1">
        <v>0.441575</v>
      </c>
    </row>
    <row r="1967">
      <c r="A1967" s="1">
        <v>2025.0</v>
      </c>
      <c r="B1967" s="1" t="s">
        <v>217</v>
      </c>
      <c r="C1967" s="1">
        <v>642701.0</v>
      </c>
      <c r="D1967" s="1" t="s">
        <v>537</v>
      </c>
      <c r="E1967" s="1" t="s">
        <v>927</v>
      </c>
      <c r="F1967" s="1" t="s">
        <v>926</v>
      </c>
      <c r="G1967" s="1">
        <v>156.0</v>
      </c>
      <c r="H1967" s="1">
        <v>10.96103896</v>
      </c>
      <c r="I1967" s="1">
        <v>4.74</v>
      </c>
      <c r="J1967" s="1">
        <v>4.414542</v>
      </c>
    </row>
    <row r="1968">
      <c r="A1968" s="1">
        <v>2025.0</v>
      </c>
      <c r="B1968" s="1" t="s">
        <v>217</v>
      </c>
      <c r="C1968" s="1">
        <v>642701.0</v>
      </c>
      <c r="D1968" s="1" t="s">
        <v>536</v>
      </c>
      <c r="E1968" s="1" t="s">
        <v>927</v>
      </c>
      <c r="F1968" s="1" t="s">
        <v>926</v>
      </c>
      <c r="G1968" s="1">
        <v>6.0</v>
      </c>
      <c r="H1968" s="1">
        <v>0.421578422</v>
      </c>
      <c r="I1968" s="1">
        <v>5.03</v>
      </c>
      <c r="J1968" s="1">
        <v>0.122803</v>
      </c>
    </row>
    <row r="1969">
      <c r="A1969" s="1">
        <v>2025.0</v>
      </c>
      <c r="B1969" s="1" t="s">
        <v>217</v>
      </c>
      <c r="C1969" s="1">
        <v>642701.0</v>
      </c>
      <c r="D1969" s="1" t="s">
        <v>533</v>
      </c>
      <c r="E1969" s="1" t="s">
        <v>927</v>
      </c>
      <c r="F1969" s="1" t="s">
        <v>926</v>
      </c>
      <c r="G1969" s="1">
        <v>179.0</v>
      </c>
      <c r="H1969" s="1">
        <v>12.57708958</v>
      </c>
      <c r="I1969" s="1">
        <v>5.16</v>
      </c>
      <c r="J1969" s="1">
        <v>3.321449</v>
      </c>
    </row>
    <row r="1970">
      <c r="A1970" s="1">
        <v>2025.0</v>
      </c>
      <c r="B1970" s="1" t="s">
        <v>217</v>
      </c>
      <c r="C1970" s="1">
        <v>642701.0</v>
      </c>
      <c r="D1970" s="1" t="s">
        <v>532</v>
      </c>
      <c r="E1970" s="1" t="s">
        <v>927</v>
      </c>
      <c r="F1970" s="1" t="s">
        <v>927</v>
      </c>
      <c r="G1970" s="1">
        <v>4.0</v>
      </c>
      <c r="H1970" s="1">
        <v>0.281052281</v>
      </c>
      <c r="I1970" s="1">
        <v>5.74</v>
      </c>
      <c r="J1970" s="1">
        <v>0.029591</v>
      </c>
    </row>
    <row r="1971">
      <c r="A1971" s="1">
        <v>2025.0</v>
      </c>
      <c r="B1971" s="1" t="s">
        <v>217</v>
      </c>
      <c r="C1971" s="1">
        <v>642701.0</v>
      </c>
      <c r="D1971" s="1" t="s">
        <v>540</v>
      </c>
      <c r="E1971" s="1" t="s">
        <v>927</v>
      </c>
      <c r="F1971" s="1" t="s">
        <v>927</v>
      </c>
      <c r="G1971" s="1">
        <v>85.0</v>
      </c>
      <c r="H1971" s="1">
        <v>5.972360972</v>
      </c>
      <c r="I1971" s="1">
        <v>5.2</v>
      </c>
      <c r="J1971" s="1">
        <v>1.645613</v>
      </c>
    </row>
    <row r="1972">
      <c r="A1972" s="1">
        <v>2025.0</v>
      </c>
      <c r="B1972" s="1" t="s">
        <v>217</v>
      </c>
      <c r="C1972" s="1">
        <v>642701.0</v>
      </c>
      <c r="D1972" s="1" t="s">
        <v>537</v>
      </c>
      <c r="E1972" s="1" t="s">
        <v>927</v>
      </c>
      <c r="F1972" s="1" t="s">
        <v>927</v>
      </c>
      <c r="G1972" s="1">
        <v>131.0</v>
      </c>
      <c r="H1972" s="1">
        <v>9.204462204</v>
      </c>
      <c r="I1972" s="1">
        <v>4.67</v>
      </c>
      <c r="J1972" s="1">
        <v>3.905893</v>
      </c>
    </row>
    <row r="1973">
      <c r="A1973" s="1">
        <v>2025.0</v>
      </c>
      <c r="B1973" s="1" t="s">
        <v>217</v>
      </c>
      <c r="C1973" s="1">
        <v>642701.0</v>
      </c>
      <c r="D1973" s="1" t="s">
        <v>536</v>
      </c>
      <c r="E1973" s="1" t="s">
        <v>927</v>
      </c>
      <c r="F1973" s="1" t="s">
        <v>927</v>
      </c>
      <c r="G1973" s="1">
        <v>75.0</v>
      </c>
      <c r="H1973" s="1">
        <v>5.26973027</v>
      </c>
      <c r="I1973" s="1">
        <v>5.1</v>
      </c>
      <c r="J1973" s="1">
        <v>1.574545</v>
      </c>
    </row>
    <row r="1974">
      <c r="A1974" s="1">
        <v>2025.0</v>
      </c>
      <c r="B1974" s="1" t="s">
        <v>217</v>
      </c>
      <c r="C1974" s="1">
        <v>642701.0</v>
      </c>
      <c r="D1974" s="1" t="s">
        <v>533</v>
      </c>
      <c r="E1974" s="1" t="s">
        <v>927</v>
      </c>
      <c r="F1974" s="1" t="s">
        <v>927</v>
      </c>
      <c r="G1974" s="1">
        <v>285.0</v>
      </c>
      <c r="H1974" s="1">
        <v>20.02497502</v>
      </c>
      <c r="I1974" s="1">
        <v>5.12</v>
      </c>
      <c r="J1974" s="1">
        <v>5.656007</v>
      </c>
    </row>
    <row r="1975">
      <c r="A1975" s="1">
        <v>2025.0</v>
      </c>
      <c r="B1975" s="1" t="s">
        <v>114</v>
      </c>
      <c r="C1975" s="1">
        <v>642207.0</v>
      </c>
      <c r="D1975" s="1" t="s">
        <v>532</v>
      </c>
      <c r="E1975" s="1" t="s">
        <v>927</v>
      </c>
      <c r="F1975" s="1" t="s">
        <v>926</v>
      </c>
      <c r="G1975" s="1">
        <v>238.0</v>
      </c>
      <c r="H1975" s="1">
        <v>13.29369369</v>
      </c>
      <c r="I1975" s="1">
        <v>5.42</v>
      </c>
      <c r="J1975" s="1">
        <v>3.067264</v>
      </c>
    </row>
    <row r="1976">
      <c r="A1976" s="1">
        <v>2025.0</v>
      </c>
      <c r="B1976" s="1" t="s">
        <v>114</v>
      </c>
      <c r="C1976" s="1">
        <v>642207.0</v>
      </c>
      <c r="D1976" s="1" t="s">
        <v>540</v>
      </c>
      <c r="E1976" s="1" t="s">
        <v>927</v>
      </c>
      <c r="F1976" s="1" t="s">
        <v>926</v>
      </c>
      <c r="G1976" s="1">
        <v>2.0</v>
      </c>
      <c r="H1976" s="1">
        <v>0.111711712</v>
      </c>
      <c r="I1976" s="1">
        <v>5.72</v>
      </c>
      <c r="J1976" s="1">
        <v>0.014504</v>
      </c>
    </row>
    <row r="1977">
      <c r="A1977" s="1">
        <v>2025.0</v>
      </c>
      <c r="B1977" s="1" t="s">
        <v>114</v>
      </c>
      <c r="C1977" s="1">
        <v>642207.0</v>
      </c>
      <c r="D1977" s="1" t="s">
        <v>537</v>
      </c>
      <c r="E1977" s="1" t="s">
        <v>927</v>
      </c>
      <c r="F1977" s="1" t="s">
        <v>926</v>
      </c>
      <c r="G1977" s="1">
        <v>275.0</v>
      </c>
      <c r="H1977" s="1">
        <v>15.36036036</v>
      </c>
      <c r="I1977" s="1">
        <v>4.92</v>
      </c>
      <c r="J1977" s="1">
        <v>6.451231</v>
      </c>
    </row>
    <row r="1978">
      <c r="A1978" s="1">
        <v>2025.0</v>
      </c>
      <c r="B1978" s="1" t="s">
        <v>114</v>
      </c>
      <c r="C1978" s="1">
        <v>642207.0</v>
      </c>
      <c r="D1978" s="1" t="s">
        <v>532</v>
      </c>
      <c r="E1978" s="1" t="s">
        <v>927</v>
      </c>
      <c r="F1978" s="1" t="s">
        <v>927</v>
      </c>
      <c r="G1978" s="1">
        <v>345.0</v>
      </c>
      <c r="H1978" s="1">
        <v>19.27027027</v>
      </c>
      <c r="I1978" s="1">
        <v>5.83</v>
      </c>
      <c r="J1978" s="1">
        <v>1.576381</v>
      </c>
    </row>
    <row r="1979">
      <c r="A1979" s="1">
        <v>2025.0</v>
      </c>
      <c r="B1979" s="1" t="s">
        <v>114</v>
      </c>
      <c r="C1979" s="1">
        <v>642207.0</v>
      </c>
      <c r="D1979" s="1" t="s">
        <v>537</v>
      </c>
      <c r="E1979" s="1" t="s">
        <v>927</v>
      </c>
      <c r="F1979" s="1" t="s">
        <v>927</v>
      </c>
      <c r="G1979" s="1">
        <v>250.0</v>
      </c>
      <c r="H1979" s="1">
        <v>13.96396396</v>
      </c>
      <c r="I1979" s="1">
        <v>4.65</v>
      </c>
      <c r="J1979" s="1">
        <v>7.220869</v>
      </c>
    </row>
    <row r="1980">
      <c r="A1980" s="1">
        <v>2025.0</v>
      </c>
      <c r="B1980" s="1" t="s">
        <v>553</v>
      </c>
      <c r="C1980" s="1">
        <v>800311.0</v>
      </c>
      <c r="D1980" s="1" t="s">
        <v>541</v>
      </c>
      <c r="E1980" s="1" t="s">
        <v>927</v>
      </c>
      <c r="F1980" s="1" t="s">
        <v>926</v>
      </c>
      <c r="G1980" s="1">
        <v>25.0</v>
      </c>
      <c r="H1980" s="1">
        <v>1.109215017</v>
      </c>
      <c r="I1980" s="1">
        <v>4.66</v>
      </c>
      <c r="J1980" s="1">
        <v>0.71114</v>
      </c>
    </row>
    <row r="1981">
      <c r="A1981" s="1">
        <v>2025.0</v>
      </c>
      <c r="B1981" s="1" t="s">
        <v>553</v>
      </c>
      <c r="C1981" s="1">
        <v>800311.0</v>
      </c>
      <c r="D1981" s="1" t="s">
        <v>537</v>
      </c>
      <c r="E1981" s="1" t="s">
        <v>927</v>
      </c>
      <c r="F1981" s="1" t="s">
        <v>926</v>
      </c>
      <c r="G1981" s="1">
        <v>75.0</v>
      </c>
      <c r="H1981" s="1">
        <v>3.327645051</v>
      </c>
      <c r="I1981" s="1">
        <v>5.27</v>
      </c>
      <c r="J1981" s="1">
        <v>1.235776</v>
      </c>
    </row>
    <row r="1982">
      <c r="A1982" s="1">
        <v>2025.0</v>
      </c>
      <c r="B1982" s="1" t="s">
        <v>553</v>
      </c>
      <c r="C1982" s="1">
        <v>800311.0</v>
      </c>
      <c r="D1982" s="1" t="s">
        <v>538</v>
      </c>
      <c r="E1982" s="1" t="s">
        <v>927</v>
      </c>
      <c r="F1982" s="1" t="s">
        <v>926</v>
      </c>
      <c r="G1982" s="1">
        <v>4.0</v>
      </c>
      <c r="H1982" s="1">
        <v>0.177474403</v>
      </c>
      <c r="I1982" s="1">
        <v>3.87</v>
      </c>
      <c r="J1982" s="1">
        <v>0.172922</v>
      </c>
    </row>
    <row r="1983">
      <c r="A1983" s="1">
        <v>2025.0</v>
      </c>
      <c r="B1983" s="1" t="s">
        <v>553</v>
      </c>
      <c r="C1983" s="1">
        <v>800311.0</v>
      </c>
      <c r="D1983" s="1" t="s">
        <v>539</v>
      </c>
      <c r="E1983" s="1" t="s">
        <v>927</v>
      </c>
      <c r="F1983" s="1" t="s">
        <v>926</v>
      </c>
      <c r="G1983" s="1">
        <v>22.0</v>
      </c>
      <c r="H1983" s="1">
        <v>0.976109215</v>
      </c>
      <c r="I1983" s="1">
        <v>4.83</v>
      </c>
      <c r="J1983" s="1">
        <v>0.565968</v>
      </c>
    </row>
    <row r="1984">
      <c r="A1984" s="1">
        <v>2025.0</v>
      </c>
      <c r="B1984" s="1" t="s">
        <v>553</v>
      </c>
      <c r="C1984" s="1">
        <v>800311.0</v>
      </c>
      <c r="D1984" s="1" t="s">
        <v>541</v>
      </c>
      <c r="E1984" s="1" t="s">
        <v>927</v>
      </c>
      <c r="F1984" s="1" t="s">
        <v>927</v>
      </c>
      <c r="G1984" s="1">
        <v>8.0</v>
      </c>
      <c r="H1984" s="1">
        <v>0.354948805</v>
      </c>
      <c r="I1984" s="1">
        <v>4.74</v>
      </c>
      <c r="J1984" s="1">
        <v>0.213325</v>
      </c>
    </row>
    <row r="1985">
      <c r="A1985" s="1">
        <v>2025.0</v>
      </c>
      <c r="B1985" s="1" t="s">
        <v>553</v>
      </c>
      <c r="C1985" s="1">
        <v>800311.0</v>
      </c>
      <c r="D1985" s="1" t="s">
        <v>537</v>
      </c>
      <c r="E1985" s="1" t="s">
        <v>927</v>
      </c>
      <c r="F1985" s="1" t="s">
        <v>927</v>
      </c>
      <c r="G1985" s="1">
        <v>94.0</v>
      </c>
      <c r="H1985" s="1">
        <v>4.170648464</v>
      </c>
      <c r="I1985" s="1">
        <v>5.5</v>
      </c>
      <c r="J1985" s="1">
        <v>1.199995</v>
      </c>
    </row>
    <row r="1986">
      <c r="A1986" s="1">
        <v>2025.0</v>
      </c>
      <c r="B1986" s="1" t="s">
        <v>553</v>
      </c>
      <c r="C1986" s="1">
        <v>800311.0</v>
      </c>
      <c r="D1986" s="1" t="s">
        <v>538</v>
      </c>
      <c r="E1986" s="1" t="s">
        <v>927</v>
      </c>
      <c r="F1986" s="1" t="s">
        <v>927</v>
      </c>
      <c r="G1986" s="1">
        <v>5.0</v>
      </c>
      <c r="H1986" s="1">
        <v>0.221843003</v>
      </c>
      <c r="I1986" s="1">
        <v>4.73</v>
      </c>
      <c r="J1986" s="1">
        <v>0.132033</v>
      </c>
    </row>
    <row r="1987">
      <c r="A1987" s="1">
        <v>2025.0</v>
      </c>
      <c r="B1987" s="1" t="s">
        <v>553</v>
      </c>
      <c r="C1987" s="1">
        <v>800311.0</v>
      </c>
      <c r="D1987" s="1" t="s">
        <v>539</v>
      </c>
      <c r="E1987" s="1" t="s">
        <v>927</v>
      </c>
      <c r="F1987" s="1" t="s">
        <v>927</v>
      </c>
      <c r="G1987" s="1">
        <v>60.0</v>
      </c>
      <c r="H1987" s="1">
        <v>2.662116041</v>
      </c>
      <c r="I1987" s="1">
        <v>4.65</v>
      </c>
      <c r="J1987" s="1">
        <v>1.724216</v>
      </c>
    </row>
    <row r="1988">
      <c r="A1988" s="1">
        <v>2025.0</v>
      </c>
      <c r="B1988" s="1" t="s">
        <v>172</v>
      </c>
      <c r="C1988" s="1">
        <v>608650.0</v>
      </c>
      <c r="D1988" s="1" t="s">
        <v>532</v>
      </c>
      <c r="E1988" s="1" t="s">
        <v>926</v>
      </c>
      <c r="F1988" s="1" t="s">
        <v>926</v>
      </c>
      <c r="G1988" s="1">
        <v>50.0</v>
      </c>
      <c r="H1988" s="1">
        <v>3.126405758</v>
      </c>
      <c r="I1988" s="1">
        <v>5.44</v>
      </c>
      <c r="J1988" s="1">
        <v>0.646621</v>
      </c>
    </row>
    <row r="1989">
      <c r="A1989" s="1">
        <v>2025.0</v>
      </c>
      <c r="B1989" s="1" t="s">
        <v>172</v>
      </c>
      <c r="C1989" s="1">
        <v>608650.0</v>
      </c>
      <c r="D1989" s="1" t="s">
        <v>541</v>
      </c>
      <c r="E1989" s="1" t="s">
        <v>926</v>
      </c>
      <c r="F1989" s="1" t="s">
        <v>926</v>
      </c>
      <c r="G1989" s="1">
        <v>4.0</v>
      </c>
      <c r="H1989" s="1">
        <v>0.250112461</v>
      </c>
      <c r="I1989" s="1">
        <v>5.07</v>
      </c>
      <c r="J1989" s="1">
        <v>0.086926</v>
      </c>
    </row>
    <row r="1990">
      <c r="A1990" s="1">
        <v>2025.0</v>
      </c>
      <c r="B1990" s="1" t="s">
        <v>172</v>
      </c>
      <c r="C1990" s="1">
        <v>608650.0</v>
      </c>
      <c r="D1990" s="1" t="s">
        <v>540</v>
      </c>
      <c r="E1990" s="1" t="s">
        <v>926</v>
      </c>
      <c r="F1990" s="1" t="s">
        <v>926</v>
      </c>
      <c r="G1990" s="1">
        <v>78.0</v>
      </c>
      <c r="H1990" s="1">
        <v>4.877192982</v>
      </c>
      <c r="I1990" s="1">
        <v>5.13</v>
      </c>
      <c r="J1990" s="1">
        <v>1.482064</v>
      </c>
    </row>
    <row r="1991">
      <c r="A1991" s="1">
        <v>2025.0</v>
      </c>
      <c r="B1991" s="1" t="s">
        <v>172</v>
      </c>
      <c r="C1991" s="1">
        <v>608650.0</v>
      </c>
      <c r="D1991" s="1" t="s">
        <v>537</v>
      </c>
      <c r="E1991" s="1" t="s">
        <v>926</v>
      </c>
      <c r="F1991" s="1" t="s">
        <v>926</v>
      </c>
      <c r="G1991" s="1">
        <v>114.0</v>
      </c>
      <c r="H1991" s="1">
        <v>7.128205128</v>
      </c>
      <c r="I1991" s="1">
        <v>5.44</v>
      </c>
      <c r="J1991" s="1">
        <v>1.519226</v>
      </c>
    </row>
    <row r="1992">
      <c r="A1992" s="1">
        <v>2025.0</v>
      </c>
      <c r="B1992" s="1" t="s">
        <v>172</v>
      </c>
      <c r="C1992" s="1">
        <v>608650.0</v>
      </c>
      <c r="D1992" s="1" t="s">
        <v>536</v>
      </c>
      <c r="E1992" s="1" t="s">
        <v>926</v>
      </c>
      <c r="F1992" s="1" t="s">
        <v>926</v>
      </c>
      <c r="G1992" s="1">
        <v>27.0</v>
      </c>
      <c r="H1992" s="1">
        <v>1.688259109</v>
      </c>
      <c r="I1992" s="1">
        <v>5.57</v>
      </c>
      <c r="J1992" s="1">
        <v>0.27024</v>
      </c>
    </row>
    <row r="1993">
      <c r="A1993" s="1">
        <v>2025.0</v>
      </c>
      <c r="B1993" s="1" t="s">
        <v>172</v>
      </c>
      <c r="C1993" s="1">
        <v>608650.0</v>
      </c>
      <c r="D1993" s="1" t="s">
        <v>532</v>
      </c>
      <c r="E1993" s="1" t="s">
        <v>926</v>
      </c>
      <c r="F1993" s="1" t="s">
        <v>927</v>
      </c>
      <c r="G1993" s="1">
        <v>169.0</v>
      </c>
      <c r="H1993" s="1">
        <v>10.56725146</v>
      </c>
      <c r="I1993" s="1">
        <v>4.86</v>
      </c>
      <c r="J1993" s="1">
        <v>4.21445</v>
      </c>
    </row>
    <row r="1994">
      <c r="A1994" s="1">
        <v>2025.0</v>
      </c>
      <c r="B1994" s="1" t="s">
        <v>172</v>
      </c>
      <c r="C1994" s="1">
        <v>608650.0</v>
      </c>
      <c r="D1994" s="1" t="s">
        <v>541</v>
      </c>
      <c r="E1994" s="1" t="s">
        <v>926</v>
      </c>
      <c r="F1994" s="1" t="s">
        <v>927</v>
      </c>
      <c r="G1994" s="1">
        <v>32.0</v>
      </c>
      <c r="H1994" s="1">
        <v>2.000899685</v>
      </c>
      <c r="I1994" s="1">
        <v>4.46</v>
      </c>
      <c r="J1994" s="1">
        <v>1.05659</v>
      </c>
    </row>
    <row r="1995">
      <c r="A1995" s="1">
        <v>2025.0</v>
      </c>
      <c r="B1995" s="1" t="s">
        <v>172</v>
      </c>
      <c r="C1995" s="1">
        <v>608650.0</v>
      </c>
      <c r="D1995" s="1" t="s">
        <v>540</v>
      </c>
      <c r="E1995" s="1" t="s">
        <v>926</v>
      </c>
      <c r="F1995" s="1" t="s">
        <v>927</v>
      </c>
      <c r="G1995" s="1">
        <v>45.0</v>
      </c>
      <c r="H1995" s="1">
        <v>2.813765182</v>
      </c>
      <c r="I1995" s="1">
        <v>4.95</v>
      </c>
      <c r="J1995" s="1">
        <v>1.035511</v>
      </c>
    </row>
    <row r="1996">
      <c r="A1996" s="1">
        <v>2025.0</v>
      </c>
      <c r="B1996" s="1" t="s">
        <v>172</v>
      </c>
      <c r="C1996" s="1">
        <v>608650.0</v>
      </c>
      <c r="D1996" s="1" t="s">
        <v>537</v>
      </c>
      <c r="E1996" s="1" t="s">
        <v>926</v>
      </c>
      <c r="F1996" s="1" t="s">
        <v>927</v>
      </c>
      <c r="G1996" s="1">
        <v>213.0</v>
      </c>
      <c r="H1996" s="1">
        <v>13.31848853</v>
      </c>
      <c r="I1996" s="1">
        <v>5.11</v>
      </c>
      <c r="J1996" s="1">
        <v>4.408225</v>
      </c>
    </row>
    <row r="1997">
      <c r="A1997" s="1">
        <v>2025.0</v>
      </c>
      <c r="B1997" s="1" t="s">
        <v>172</v>
      </c>
      <c r="C1997" s="1">
        <v>608650.0</v>
      </c>
      <c r="D1997" s="1" t="s">
        <v>536</v>
      </c>
      <c r="E1997" s="1" t="s">
        <v>926</v>
      </c>
      <c r="F1997" s="1" t="s">
        <v>927</v>
      </c>
      <c r="G1997" s="1">
        <v>9.0</v>
      </c>
      <c r="H1997" s="1">
        <v>0.562753036</v>
      </c>
      <c r="I1997" s="1">
        <v>5.89</v>
      </c>
      <c r="J1997" s="1">
        <v>0.036647</v>
      </c>
    </row>
    <row r="1998">
      <c r="A1998" s="1">
        <v>2025.0</v>
      </c>
      <c r="B1998" s="1" t="s">
        <v>811</v>
      </c>
      <c r="C1998" s="1">
        <v>622253.0</v>
      </c>
      <c r="D1998" s="1" t="s">
        <v>532</v>
      </c>
      <c r="E1998" s="1" t="s">
        <v>927</v>
      </c>
      <c r="F1998" s="1" t="s">
        <v>926</v>
      </c>
      <c r="G1998" s="1">
        <v>25.0</v>
      </c>
      <c r="H1998" s="1">
        <v>1.139088729</v>
      </c>
      <c r="I1998" s="1">
        <v>4.06</v>
      </c>
      <c r="J1998" s="1">
        <v>1.009347</v>
      </c>
    </row>
    <row r="1999">
      <c r="A1999" s="1">
        <v>2025.0</v>
      </c>
      <c r="B1999" s="1" t="s">
        <v>811</v>
      </c>
      <c r="C1999" s="1">
        <v>622253.0</v>
      </c>
      <c r="D1999" s="1" t="s">
        <v>537</v>
      </c>
      <c r="E1999" s="1" t="s">
        <v>927</v>
      </c>
      <c r="F1999" s="1" t="s">
        <v>926</v>
      </c>
      <c r="G1999" s="1">
        <v>3.0</v>
      </c>
      <c r="H1999" s="1">
        <v>0.136690647</v>
      </c>
      <c r="I1999" s="1">
        <v>3.71</v>
      </c>
      <c r="J1999" s="1">
        <v>0.149119</v>
      </c>
    </row>
    <row r="2000">
      <c r="A2000" s="1">
        <v>2025.0</v>
      </c>
      <c r="B2000" s="1" t="s">
        <v>811</v>
      </c>
      <c r="C2000" s="1">
        <v>622253.0</v>
      </c>
      <c r="D2000" s="1" t="s">
        <v>536</v>
      </c>
      <c r="E2000" s="1" t="s">
        <v>927</v>
      </c>
      <c r="F2000" s="1" t="s">
        <v>926</v>
      </c>
      <c r="G2000" s="1">
        <v>16.0</v>
      </c>
      <c r="H2000" s="1">
        <v>0.729016787</v>
      </c>
      <c r="I2000" s="1">
        <v>4.99</v>
      </c>
      <c r="J2000" s="1">
        <v>0.366876</v>
      </c>
    </row>
    <row r="2001">
      <c r="A2001" s="1">
        <v>2025.0</v>
      </c>
      <c r="B2001" s="1" t="s">
        <v>811</v>
      </c>
      <c r="C2001" s="1">
        <v>622253.0</v>
      </c>
      <c r="D2001" s="1" t="s">
        <v>539</v>
      </c>
      <c r="E2001" s="1" t="s">
        <v>927</v>
      </c>
      <c r="F2001" s="1" t="s">
        <v>926</v>
      </c>
      <c r="G2001" s="1">
        <v>17.0</v>
      </c>
      <c r="H2001" s="1">
        <v>0.774580336</v>
      </c>
      <c r="I2001" s="1">
        <v>4.61</v>
      </c>
      <c r="J2001" s="1">
        <v>0.491372</v>
      </c>
    </row>
    <row r="2002">
      <c r="A2002" s="1">
        <v>2025.0</v>
      </c>
      <c r="B2002" s="1" t="s">
        <v>811</v>
      </c>
      <c r="C2002" s="1">
        <v>622253.0</v>
      </c>
      <c r="D2002" s="1" t="s">
        <v>532</v>
      </c>
      <c r="E2002" s="1" t="s">
        <v>927</v>
      </c>
      <c r="F2002" s="1" t="s">
        <v>927</v>
      </c>
      <c r="G2002" s="1">
        <v>4.0</v>
      </c>
      <c r="H2002" s="1">
        <v>0.182254197</v>
      </c>
      <c r="I2002" s="1">
        <v>5.56</v>
      </c>
      <c r="J2002" s="1">
        <v>0.04267</v>
      </c>
    </row>
    <row r="2003">
      <c r="A2003" s="1">
        <v>2025.0</v>
      </c>
      <c r="B2003" s="1" t="s">
        <v>811</v>
      </c>
      <c r="C2003" s="1">
        <v>622253.0</v>
      </c>
      <c r="D2003" s="1" t="s">
        <v>536</v>
      </c>
      <c r="E2003" s="1" t="s">
        <v>927</v>
      </c>
      <c r="F2003" s="1" t="s">
        <v>927</v>
      </c>
      <c r="G2003" s="1">
        <v>31.0</v>
      </c>
      <c r="H2003" s="1">
        <v>1.412470024</v>
      </c>
      <c r="I2003" s="1">
        <v>5.1</v>
      </c>
      <c r="J2003" s="1">
        <v>0.610925</v>
      </c>
    </row>
    <row r="2004">
      <c r="A2004" s="1">
        <v>2025.0</v>
      </c>
      <c r="B2004" s="1" t="s">
        <v>811</v>
      </c>
      <c r="C2004" s="1">
        <v>622253.0</v>
      </c>
      <c r="D2004" s="1" t="s">
        <v>539</v>
      </c>
      <c r="E2004" s="1" t="s">
        <v>927</v>
      </c>
      <c r="F2004" s="1" t="s">
        <v>927</v>
      </c>
      <c r="G2004" s="1">
        <v>43.0</v>
      </c>
      <c r="H2004" s="1">
        <v>1.959232614</v>
      </c>
      <c r="I2004" s="1">
        <v>5.42</v>
      </c>
      <c r="J2004" s="1">
        <v>0.591597</v>
      </c>
    </row>
    <row r="2005">
      <c r="A2005" s="1">
        <v>2025.0</v>
      </c>
      <c r="B2005" s="1" t="s">
        <v>954</v>
      </c>
      <c r="C2005" s="1">
        <v>687589.0</v>
      </c>
      <c r="D2005" s="1" t="s">
        <v>532</v>
      </c>
      <c r="E2005" s="1" t="s">
        <v>927</v>
      </c>
      <c r="F2005" s="1" t="s">
        <v>926</v>
      </c>
      <c r="G2005" s="1">
        <v>1.0</v>
      </c>
      <c r="H2005" s="1">
        <v>0.076923077</v>
      </c>
      <c r="I2005" s="1">
        <v>4.77</v>
      </c>
      <c r="J2005" s="1">
        <v>0.029268</v>
      </c>
    </row>
    <row r="2006">
      <c r="A2006" s="1">
        <v>2025.0</v>
      </c>
      <c r="B2006" s="1" t="s">
        <v>954</v>
      </c>
      <c r="C2006" s="1">
        <v>687589.0</v>
      </c>
      <c r="D2006" s="1" t="s">
        <v>533</v>
      </c>
      <c r="E2006" s="1" t="s">
        <v>927</v>
      </c>
      <c r="F2006" s="1" t="s">
        <v>926</v>
      </c>
      <c r="G2006" s="1">
        <v>2.0</v>
      </c>
      <c r="H2006" s="1">
        <v>0.153846154</v>
      </c>
      <c r="I2006" s="1">
        <v>5.79</v>
      </c>
      <c r="J2006" s="1">
        <v>0.015824</v>
      </c>
    </row>
    <row r="2007">
      <c r="A2007" s="1">
        <v>2025.0</v>
      </c>
      <c r="B2007" s="1" t="s">
        <v>954</v>
      </c>
      <c r="C2007" s="1">
        <v>687589.0</v>
      </c>
      <c r="D2007" s="1" t="s">
        <v>539</v>
      </c>
      <c r="E2007" s="1" t="s">
        <v>927</v>
      </c>
      <c r="F2007" s="1" t="s">
        <v>926</v>
      </c>
      <c r="G2007" s="1">
        <v>1.0</v>
      </c>
      <c r="H2007" s="1">
        <v>0.076923077</v>
      </c>
      <c r="I2007" s="1">
        <v>3.38</v>
      </c>
      <c r="J2007" s="1">
        <v>0.060003</v>
      </c>
    </row>
    <row r="2008">
      <c r="A2008" s="1">
        <v>2025.0</v>
      </c>
      <c r="B2008" s="1" t="s">
        <v>954</v>
      </c>
      <c r="C2008" s="1">
        <v>687589.0</v>
      </c>
      <c r="D2008" s="1" t="s">
        <v>540</v>
      </c>
      <c r="E2008" s="1" t="s">
        <v>927</v>
      </c>
      <c r="F2008" s="1" t="s">
        <v>927</v>
      </c>
      <c r="G2008" s="1">
        <v>1.0</v>
      </c>
      <c r="H2008" s="1">
        <v>0.076923077</v>
      </c>
      <c r="I2008" s="1">
        <v>5.37</v>
      </c>
      <c r="J2008" s="1">
        <v>0.018797</v>
      </c>
    </row>
    <row r="2009">
      <c r="A2009" s="1">
        <v>2025.0</v>
      </c>
      <c r="B2009" s="1" t="s">
        <v>954</v>
      </c>
      <c r="C2009" s="1">
        <v>687589.0</v>
      </c>
      <c r="D2009" s="1" t="s">
        <v>537</v>
      </c>
      <c r="E2009" s="1" t="s">
        <v>927</v>
      </c>
      <c r="F2009" s="1" t="s">
        <v>927</v>
      </c>
      <c r="G2009" s="1">
        <v>2.0</v>
      </c>
      <c r="H2009" s="1">
        <v>0.153846154</v>
      </c>
      <c r="I2009" s="1">
        <v>-0.59</v>
      </c>
      <c r="J2009" s="1">
        <v>0.292094</v>
      </c>
    </row>
    <row r="2010">
      <c r="A2010" s="1">
        <v>2025.0</v>
      </c>
      <c r="B2010" s="1" t="s">
        <v>954</v>
      </c>
      <c r="C2010" s="1">
        <v>687589.0</v>
      </c>
      <c r="D2010" s="1" t="s">
        <v>536</v>
      </c>
      <c r="E2010" s="1" t="s">
        <v>927</v>
      </c>
      <c r="F2010" s="1" t="s">
        <v>927</v>
      </c>
      <c r="G2010" s="1">
        <v>1.0</v>
      </c>
      <c r="H2010" s="1">
        <v>0.076923077</v>
      </c>
      <c r="I2010" s="1">
        <v>5.76</v>
      </c>
      <c r="J2010" s="1">
        <v>0.009406</v>
      </c>
    </row>
    <row r="2011">
      <c r="A2011" s="1">
        <v>2025.0</v>
      </c>
      <c r="B2011" s="1" t="s">
        <v>954</v>
      </c>
      <c r="C2011" s="1">
        <v>687589.0</v>
      </c>
      <c r="D2011" s="1" t="s">
        <v>533</v>
      </c>
      <c r="E2011" s="1" t="s">
        <v>927</v>
      </c>
      <c r="F2011" s="1" t="s">
        <v>927</v>
      </c>
      <c r="G2011" s="1">
        <v>2.0</v>
      </c>
      <c r="H2011" s="1">
        <v>0.153846154</v>
      </c>
      <c r="I2011" s="1">
        <v>4.92</v>
      </c>
      <c r="J2011" s="1">
        <v>0.052922</v>
      </c>
    </row>
    <row r="2012">
      <c r="A2012" s="1">
        <v>2025.0</v>
      </c>
      <c r="B2012" s="1" t="s">
        <v>954</v>
      </c>
      <c r="C2012" s="1">
        <v>687589.0</v>
      </c>
      <c r="D2012" s="1" t="s">
        <v>539</v>
      </c>
      <c r="E2012" s="1" t="s">
        <v>927</v>
      </c>
      <c r="F2012" s="1" t="s">
        <v>927</v>
      </c>
      <c r="G2012" s="1">
        <v>3.0</v>
      </c>
      <c r="H2012" s="1">
        <v>0.230769231</v>
      </c>
      <c r="I2012" s="1">
        <v>5.05</v>
      </c>
      <c r="J2012" s="1">
        <v>0.065455</v>
      </c>
    </row>
    <row r="2013">
      <c r="A2013" s="1">
        <v>2025.0</v>
      </c>
      <c r="B2013" s="1" t="s">
        <v>623</v>
      </c>
      <c r="C2013" s="1">
        <v>680951.0</v>
      </c>
      <c r="D2013" s="1" t="s">
        <v>532</v>
      </c>
      <c r="E2013" s="1" t="s">
        <v>926</v>
      </c>
      <c r="F2013" s="1" t="s">
        <v>926</v>
      </c>
      <c r="G2013" s="1">
        <v>1.0</v>
      </c>
      <c r="H2013" s="1">
        <v>0.037037037</v>
      </c>
      <c r="I2013" s="1">
        <v>1.15</v>
      </c>
      <c r="J2013" s="1">
        <v>0.096372</v>
      </c>
    </row>
    <row r="2014">
      <c r="A2014" s="1">
        <v>2025.0</v>
      </c>
      <c r="B2014" s="1" t="s">
        <v>623</v>
      </c>
      <c r="C2014" s="1">
        <v>680951.0</v>
      </c>
      <c r="D2014" s="1" t="s">
        <v>537</v>
      </c>
      <c r="E2014" s="1" t="s">
        <v>926</v>
      </c>
      <c r="F2014" s="1" t="s">
        <v>926</v>
      </c>
      <c r="G2014" s="1">
        <v>17.0</v>
      </c>
      <c r="H2014" s="1">
        <v>0.62962963</v>
      </c>
      <c r="I2014" s="1">
        <v>4.67</v>
      </c>
      <c r="J2014" s="1">
        <v>0.48393</v>
      </c>
    </row>
    <row r="2015">
      <c r="A2015" s="1">
        <v>2025.0</v>
      </c>
      <c r="B2015" s="1" t="s">
        <v>623</v>
      </c>
      <c r="C2015" s="1">
        <v>680951.0</v>
      </c>
      <c r="D2015" s="1" t="s">
        <v>533</v>
      </c>
      <c r="E2015" s="1" t="s">
        <v>926</v>
      </c>
      <c r="F2015" s="1" t="s">
        <v>926</v>
      </c>
      <c r="G2015" s="1">
        <v>13.0</v>
      </c>
      <c r="H2015" s="1">
        <v>0.481481481</v>
      </c>
      <c r="I2015" s="1">
        <v>5.12</v>
      </c>
      <c r="J2015" s="1">
        <v>0.240023</v>
      </c>
    </row>
    <row r="2016">
      <c r="A2016" s="1">
        <v>2025.0</v>
      </c>
      <c r="B2016" s="1" t="s">
        <v>623</v>
      </c>
      <c r="C2016" s="1">
        <v>680951.0</v>
      </c>
      <c r="D2016" s="1" t="s">
        <v>539</v>
      </c>
      <c r="E2016" s="1" t="s">
        <v>926</v>
      </c>
      <c r="F2016" s="1" t="s">
        <v>926</v>
      </c>
      <c r="G2016" s="1">
        <v>5.0</v>
      </c>
      <c r="H2016" s="1">
        <v>0.185185185</v>
      </c>
      <c r="I2016" s="1">
        <v>5.24</v>
      </c>
      <c r="J2016" s="1">
        <v>0.072529</v>
      </c>
    </row>
    <row r="2017">
      <c r="A2017" s="1">
        <v>2025.0</v>
      </c>
      <c r="B2017" s="1" t="s">
        <v>623</v>
      </c>
      <c r="C2017" s="1">
        <v>680951.0</v>
      </c>
      <c r="D2017" s="1" t="s">
        <v>532</v>
      </c>
      <c r="E2017" s="1" t="s">
        <v>926</v>
      </c>
      <c r="F2017" s="1" t="s">
        <v>927</v>
      </c>
      <c r="G2017" s="1">
        <v>7.0</v>
      </c>
      <c r="H2017" s="1">
        <v>0.259259259</v>
      </c>
      <c r="I2017" s="1">
        <v>3.76</v>
      </c>
      <c r="J2017" s="1">
        <v>0.332251</v>
      </c>
    </row>
    <row r="2018">
      <c r="A2018" s="1">
        <v>2025.0</v>
      </c>
      <c r="B2018" s="1" t="s">
        <v>623</v>
      </c>
      <c r="C2018" s="1">
        <v>680951.0</v>
      </c>
      <c r="D2018" s="1" t="s">
        <v>541</v>
      </c>
      <c r="E2018" s="1" t="s">
        <v>926</v>
      </c>
      <c r="F2018" s="1" t="s">
        <v>927</v>
      </c>
      <c r="G2018" s="1">
        <v>12.0</v>
      </c>
      <c r="H2018" s="1">
        <v>0.444444444</v>
      </c>
      <c r="I2018" s="1">
        <v>4.77</v>
      </c>
      <c r="J2018" s="1">
        <v>0.303927</v>
      </c>
    </row>
    <row r="2019">
      <c r="A2019" s="1">
        <v>2025.0</v>
      </c>
      <c r="B2019" s="1" t="s">
        <v>623</v>
      </c>
      <c r="C2019" s="1">
        <v>680951.0</v>
      </c>
      <c r="D2019" s="1" t="s">
        <v>537</v>
      </c>
      <c r="E2019" s="1" t="s">
        <v>926</v>
      </c>
      <c r="F2019" s="1" t="s">
        <v>927</v>
      </c>
      <c r="G2019" s="1">
        <v>34.0</v>
      </c>
      <c r="H2019" s="1">
        <v>1.259259259</v>
      </c>
      <c r="I2019" s="1">
        <v>4.31</v>
      </c>
      <c r="J2019" s="1">
        <v>1.192623</v>
      </c>
    </row>
    <row r="2020">
      <c r="A2020" s="1">
        <v>2025.0</v>
      </c>
      <c r="B2020" s="1" t="s">
        <v>623</v>
      </c>
      <c r="C2020" s="1">
        <v>680951.0</v>
      </c>
      <c r="D2020" s="1" t="s">
        <v>533</v>
      </c>
      <c r="E2020" s="1" t="s">
        <v>926</v>
      </c>
      <c r="F2020" s="1" t="s">
        <v>927</v>
      </c>
      <c r="G2020" s="1">
        <v>18.0</v>
      </c>
      <c r="H2020" s="1">
        <v>0.666666667</v>
      </c>
      <c r="I2020" s="1">
        <v>4.97</v>
      </c>
      <c r="J2020" s="1">
        <v>0.402412</v>
      </c>
    </row>
    <row r="2021">
      <c r="A2021" s="1">
        <v>2025.0</v>
      </c>
      <c r="B2021" s="1" t="s">
        <v>623</v>
      </c>
      <c r="C2021" s="1">
        <v>680951.0</v>
      </c>
      <c r="D2021" s="1" t="s">
        <v>539</v>
      </c>
      <c r="E2021" s="1" t="s">
        <v>926</v>
      </c>
      <c r="F2021" s="1" t="s">
        <v>927</v>
      </c>
      <c r="G2021" s="1">
        <v>1.0</v>
      </c>
      <c r="H2021" s="1">
        <v>0.037037037</v>
      </c>
      <c r="I2021" s="1">
        <v>5.82</v>
      </c>
      <c r="J2021" s="1">
        <v>0.003744</v>
      </c>
    </row>
    <row r="2022">
      <c r="A2022" s="1">
        <v>2025.0</v>
      </c>
      <c r="B2022" s="1" t="s">
        <v>203</v>
      </c>
      <c r="C2022" s="1">
        <v>519141.0</v>
      </c>
      <c r="D2022" s="1" t="s">
        <v>541</v>
      </c>
      <c r="E2022" s="1" t="s">
        <v>926</v>
      </c>
      <c r="F2022" s="1" t="s">
        <v>926</v>
      </c>
      <c r="G2022" s="1">
        <v>52.0</v>
      </c>
      <c r="H2022" s="1">
        <v>3.228333333</v>
      </c>
      <c r="I2022" s="1">
        <v>4.77</v>
      </c>
      <c r="J2022" s="1">
        <v>1.361328</v>
      </c>
    </row>
    <row r="2023">
      <c r="A2023" s="1">
        <v>2025.0</v>
      </c>
      <c r="B2023" s="1" t="s">
        <v>203</v>
      </c>
      <c r="C2023" s="1">
        <v>519141.0</v>
      </c>
      <c r="D2023" s="1" t="s">
        <v>537</v>
      </c>
      <c r="E2023" s="1" t="s">
        <v>926</v>
      </c>
      <c r="F2023" s="1" t="s">
        <v>926</v>
      </c>
      <c r="G2023" s="1">
        <v>266.0</v>
      </c>
      <c r="H2023" s="1">
        <v>16.51416667</v>
      </c>
      <c r="I2023" s="1">
        <v>5.26</v>
      </c>
      <c r="J2023" s="1">
        <v>4.531723</v>
      </c>
    </row>
    <row r="2024">
      <c r="A2024" s="1">
        <v>2025.0</v>
      </c>
      <c r="B2024" s="1" t="s">
        <v>203</v>
      </c>
      <c r="C2024" s="1">
        <v>519141.0</v>
      </c>
      <c r="D2024" s="1" t="s">
        <v>541</v>
      </c>
      <c r="E2024" s="1" t="s">
        <v>926</v>
      </c>
      <c r="F2024" s="1" t="s">
        <v>927</v>
      </c>
      <c r="G2024" s="1">
        <v>134.0</v>
      </c>
      <c r="H2024" s="1">
        <v>8.319166667</v>
      </c>
      <c r="I2024" s="1">
        <v>4.96</v>
      </c>
      <c r="J2024" s="1">
        <v>2.955389</v>
      </c>
    </row>
    <row r="2025">
      <c r="A2025" s="1">
        <v>2025.0</v>
      </c>
      <c r="B2025" s="1" t="s">
        <v>203</v>
      </c>
      <c r="C2025" s="1">
        <v>519141.0</v>
      </c>
      <c r="D2025" s="1" t="s">
        <v>537</v>
      </c>
      <c r="E2025" s="1" t="s">
        <v>926</v>
      </c>
      <c r="F2025" s="1" t="s">
        <v>927</v>
      </c>
      <c r="G2025" s="1">
        <v>348.0</v>
      </c>
      <c r="H2025" s="1">
        <v>21.605</v>
      </c>
      <c r="I2025" s="1">
        <v>5.07</v>
      </c>
      <c r="J2025" s="1">
        <v>7.321252</v>
      </c>
    </row>
    <row r="2026">
      <c r="A2026" s="1">
        <v>2025.0</v>
      </c>
      <c r="B2026" s="1" t="s">
        <v>97</v>
      </c>
      <c r="C2026" s="1">
        <v>656876.0</v>
      </c>
      <c r="D2026" s="1" t="s">
        <v>532</v>
      </c>
      <c r="E2026" s="1" t="s">
        <v>927</v>
      </c>
      <c r="F2026" s="1" t="s">
        <v>926</v>
      </c>
      <c r="G2026" s="1">
        <v>28.0</v>
      </c>
      <c r="H2026" s="1">
        <v>1.81425486</v>
      </c>
      <c r="I2026" s="1">
        <v>4.44</v>
      </c>
      <c r="J2026" s="77">
        <v>0.945417</v>
      </c>
    </row>
    <row r="2027">
      <c r="A2027" s="1">
        <v>2025.0</v>
      </c>
      <c r="B2027" s="1" t="s">
        <v>97</v>
      </c>
      <c r="C2027" s="1">
        <v>656876.0</v>
      </c>
      <c r="D2027" s="1" t="s">
        <v>541</v>
      </c>
      <c r="E2027" s="1" t="s">
        <v>927</v>
      </c>
      <c r="F2027" s="1" t="s">
        <v>926</v>
      </c>
      <c r="G2027" s="1">
        <v>97.0</v>
      </c>
      <c r="H2027" s="1">
        <v>6.285097192</v>
      </c>
      <c r="I2027" s="1">
        <v>4.94</v>
      </c>
      <c r="J2027" s="1">
        <v>2.266572</v>
      </c>
    </row>
    <row r="2028">
      <c r="A2028" s="1">
        <v>2025.0</v>
      </c>
      <c r="B2028" s="1" t="s">
        <v>97</v>
      </c>
      <c r="C2028" s="1">
        <v>656876.0</v>
      </c>
      <c r="D2028" s="1" t="s">
        <v>540</v>
      </c>
      <c r="E2028" s="1" t="s">
        <v>927</v>
      </c>
      <c r="F2028" s="1" t="s">
        <v>926</v>
      </c>
      <c r="G2028" s="1">
        <v>419.0</v>
      </c>
      <c r="H2028" s="1">
        <v>27.14902808</v>
      </c>
      <c r="I2028" s="1">
        <v>5.34</v>
      </c>
      <c r="J2028" s="1">
        <v>6.243812</v>
      </c>
    </row>
    <row r="2029">
      <c r="A2029" s="1">
        <v>2025.0</v>
      </c>
      <c r="B2029" s="1" t="s">
        <v>97</v>
      </c>
      <c r="C2029" s="1">
        <v>656876.0</v>
      </c>
      <c r="D2029" s="1" t="s">
        <v>537</v>
      </c>
      <c r="E2029" s="1" t="s">
        <v>927</v>
      </c>
      <c r="F2029" s="1" t="s">
        <v>926</v>
      </c>
      <c r="G2029" s="1">
        <v>578.0</v>
      </c>
      <c r="H2029" s="1">
        <v>37.45140389</v>
      </c>
      <c r="I2029" s="1">
        <v>5.35</v>
      </c>
      <c r="J2029" s="1">
        <v>8.83067</v>
      </c>
    </row>
    <row r="2030">
      <c r="A2030" s="1">
        <v>2025.0</v>
      </c>
      <c r="B2030" s="1" t="s">
        <v>97</v>
      </c>
      <c r="C2030" s="1">
        <v>656876.0</v>
      </c>
      <c r="D2030" s="1" t="s">
        <v>536</v>
      </c>
      <c r="E2030" s="1" t="s">
        <v>927</v>
      </c>
      <c r="F2030" s="1" t="s">
        <v>926</v>
      </c>
      <c r="G2030" s="1">
        <v>187.0</v>
      </c>
      <c r="H2030" s="1">
        <v>12.11663067</v>
      </c>
      <c r="I2030" s="1">
        <v>4.21</v>
      </c>
      <c r="J2030" s="1">
        <v>6.91637</v>
      </c>
    </row>
    <row r="2031">
      <c r="A2031" s="1">
        <v>2025.0</v>
      </c>
      <c r="B2031" s="1" t="s">
        <v>97</v>
      </c>
      <c r="C2031" s="1">
        <v>656876.0</v>
      </c>
      <c r="D2031" s="1" t="s">
        <v>539</v>
      </c>
      <c r="E2031" s="1" t="s">
        <v>927</v>
      </c>
      <c r="F2031" s="1" t="s">
        <v>926</v>
      </c>
      <c r="G2031" s="1">
        <v>15.0</v>
      </c>
      <c r="H2031" s="1">
        <v>0.971922246</v>
      </c>
      <c r="I2031" s="1">
        <v>4.28</v>
      </c>
      <c r="J2031" s="1">
        <v>0.522749</v>
      </c>
    </row>
    <row r="2032">
      <c r="A2032" s="1">
        <v>2025.0</v>
      </c>
      <c r="B2032" s="1" t="s">
        <v>97</v>
      </c>
      <c r="C2032" s="1">
        <v>656876.0</v>
      </c>
      <c r="D2032" s="1" t="s">
        <v>541</v>
      </c>
      <c r="E2032" s="1" t="s">
        <v>927</v>
      </c>
      <c r="F2032" s="1" t="s">
        <v>927</v>
      </c>
      <c r="G2032" s="1">
        <v>3.0</v>
      </c>
      <c r="H2032" s="1">
        <v>0.194384449</v>
      </c>
      <c r="I2032" s="1">
        <v>5.35</v>
      </c>
      <c r="J2032" s="1">
        <v>0.037875</v>
      </c>
    </row>
    <row r="2033">
      <c r="A2033" s="1">
        <v>2025.0</v>
      </c>
      <c r="B2033" s="1" t="s">
        <v>97</v>
      </c>
      <c r="C2033" s="1">
        <v>656876.0</v>
      </c>
      <c r="D2033" s="1" t="s">
        <v>540</v>
      </c>
      <c r="E2033" s="1" t="s">
        <v>927</v>
      </c>
      <c r="F2033" s="1" t="s">
        <v>927</v>
      </c>
      <c r="G2033" s="1">
        <v>310.0</v>
      </c>
      <c r="H2033" s="1">
        <v>20.08639309</v>
      </c>
      <c r="I2033" s="1">
        <v>5.28</v>
      </c>
      <c r="J2033" s="1">
        <v>5.028241</v>
      </c>
    </row>
    <row r="2034">
      <c r="A2034" s="1">
        <v>2025.0</v>
      </c>
      <c r="B2034" s="1" t="s">
        <v>97</v>
      </c>
      <c r="C2034" s="1">
        <v>656876.0</v>
      </c>
      <c r="D2034" s="1" t="s">
        <v>537</v>
      </c>
      <c r="E2034" s="1" t="s">
        <v>927</v>
      </c>
      <c r="F2034" s="1" t="s">
        <v>927</v>
      </c>
      <c r="G2034" s="1">
        <v>241.0</v>
      </c>
      <c r="H2034" s="1">
        <v>15.61555076</v>
      </c>
      <c r="I2034" s="1">
        <v>5.5</v>
      </c>
      <c r="J2034" s="1">
        <v>2.868743</v>
      </c>
    </row>
    <row r="2035">
      <c r="A2035" s="1">
        <v>2025.0</v>
      </c>
      <c r="B2035" s="1" t="s">
        <v>97</v>
      </c>
      <c r="C2035" s="1">
        <v>656876.0</v>
      </c>
      <c r="D2035" s="1" t="s">
        <v>536</v>
      </c>
      <c r="E2035" s="1" t="s">
        <v>927</v>
      </c>
      <c r="F2035" s="1" t="s">
        <v>927</v>
      </c>
      <c r="G2035" s="1">
        <v>340.0</v>
      </c>
      <c r="H2035" s="1">
        <v>22.03023758</v>
      </c>
      <c r="I2035" s="1">
        <v>5.02</v>
      </c>
      <c r="J2035" s="1">
        <v>7.38618</v>
      </c>
    </row>
    <row r="2036">
      <c r="A2036" s="1">
        <v>2025.0</v>
      </c>
      <c r="B2036" s="1" t="s">
        <v>97</v>
      </c>
      <c r="C2036" s="1">
        <v>656876.0</v>
      </c>
      <c r="D2036" s="1" t="s">
        <v>539</v>
      </c>
      <c r="E2036" s="1" t="s">
        <v>927</v>
      </c>
      <c r="F2036" s="1" t="s">
        <v>927</v>
      </c>
      <c r="G2036" s="1">
        <v>97.0</v>
      </c>
      <c r="H2036" s="1">
        <v>6.285097192</v>
      </c>
      <c r="I2036" s="1">
        <v>4.98</v>
      </c>
      <c r="J2036" s="1">
        <v>2.074658</v>
      </c>
    </row>
    <row r="2037">
      <c r="A2037" s="1">
        <v>2025.0</v>
      </c>
      <c r="B2037" s="1" t="s">
        <v>955</v>
      </c>
      <c r="C2037" s="1">
        <v>805427.0</v>
      </c>
      <c r="D2037" s="1" t="s">
        <v>537</v>
      </c>
      <c r="E2037" s="1" t="s">
        <v>926</v>
      </c>
      <c r="F2037" s="1" t="s">
        <v>926</v>
      </c>
      <c r="G2037" s="1">
        <v>2.0</v>
      </c>
      <c r="H2037" s="1">
        <v>0.076923077</v>
      </c>
      <c r="I2037" s="1">
        <v>6.7</v>
      </c>
      <c r="J2037" s="1">
        <v>-0.022611</v>
      </c>
    </row>
    <row r="2038">
      <c r="A2038" s="1">
        <v>2025.0</v>
      </c>
      <c r="B2038" s="1" t="s">
        <v>955</v>
      </c>
      <c r="C2038" s="1">
        <v>805427.0</v>
      </c>
      <c r="D2038" s="1" t="s">
        <v>536</v>
      </c>
      <c r="E2038" s="1" t="s">
        <v>926</v>
      </c>
      <c r="F2038" s="1" t="s">
        <v>926</v>
      </c>
      <c r="G2038" s="1">
        <v>14.0</v>
      </c>
      <c r="H2038" s="1">
        <v>0.538461538</v>
      </c>
      <c r="I2038" s="1">
        <v>5.63</v>
      </c>
      <c r="J2038" s="1">
        <v>0.12792</v>
      </c>
    </row>
    <row r="2039">
      <c r="A2039" s="1">
        <v>2025.0</v>
      </c>
      <c r="B2039" s="1" t="s">
        <v>955</v>
      </c>
      <c r="C2039" s="1">
        <v>805427.0</v>
      </c>
      <c r="D2039" s="1" t="s">
        <v>533</v>
      </c>
      <c r="E2039" s="1" t="s">
        <v>926</v>
      </c>
      <c r="F2039" s="1" t="s">
        <v>926</v>
      </c>
      <c r="G2039" s="1">
        <v>15.0</v>
      </c>
      <c r="H2039" s="1">
        <v>0.576923077</v>
      </c>
      <c r="I2039" s="1">
        <v>5.79</v>
      </c>
      <c r="J2039" s="1">
        <v>0.068072</v>
      </c>
    </row>
    <row r="2040">
      <c r="A2040" s="1">
        <v>2025.0</v>
      </c>
      <c r="B2040" s="1" t="s">
        <v>955</v>
      </c>
      <c r="C2040" s="1">
        <v>805427.0</v>
      </c>
      <c r="D2040" s="1" t="s">
        <v>532</v>
      </c>
      <c r="E2040" s="1" t="s">
        <v>926</v>
      </c>
      <c r="F2040" s="1" t="s">
        <v>927</v>
      </c>
      <c r="G2040" s="1">
        <v>1.0</v>
      </c>
      <c r="H2040" s="1">
        <v>0.038461538</v>
      </c>
      <c r="I2040" s="1">
        <v>3.93</v>
      </c>
      <c r="J2040" s="1">
        <v>0.046866</v>
      </c>
    </row>
    <row r="2041">
      <c r="A2041" s="1">
        <v>2025.0</v>
      </c>
      <c r="B2041" s="1" t="s">
        <v>955</v>
      </c>
      <c r="C2041" s="1">
        <v>805427.0</v>
      </c>
      <c r="D2041" s="1" t="s">
        <v>537</v>
      </c>
      <c r="E2041" s="1" t="s">
        <v>926</v>
      </c>
      <c r="F2041" s="1" t="s">
        <v>927</v>
      </c>
      <c r="G2041" s="1">
        <v>8.0</v>
      </c>
      <c r="H2041" s="1">
        <v>0.307692308</v>
      </c>
      <c r="I2041" s="1">
        <v>4.74</v>
      </c>
      <c r="J2041" s="1">
        <v>0.209306</v>
      </c>
    </row>
    <row r="2042">
      <c r="A2042" s="1">
        <v>2025.0</v>
      </c>
      <c r="B2042" s="1" t="s">
        <v>955</v>
      </c>
      <c r="C2042" s="1">
        <v>805427.0</v>
      </c>
      <c r="D2042" s="1" t="s">
        <v>536</v>
      </c>
      <c r="E2042" s="1" t="s">
        <v>926</v>
      </c>
      <c r="F2042" s="1" t="s">
        <v>927</v>
      </c>
      <c r="G2042" s="1">
        <v>20.0</v>
      </c>
      <c r="H2042" s="1">
        <v>0.769230769</v>
      </c>
      <c r="I2042" s="1">
        <v>4.38</v>
      </c>
      <c r="J2042" s="1">
        <v>0.685654</v>
      </c>
    </row>
    <row r="2043">
      <c r="A2043" s="1">
        <v>2025.0</v>
      </c>
      <c r="B2043" s="1" t="s">
        <v>955</v>
      </c>
      <c r="C2043" s="1">
        <v>805427.0</v>
      </c>
      <c r="D2043" s="1" t="s">
        <v>533</v>
      </c>
      <c r="E2043" s="1" t="s">
        <v>926</v>
      </c>
      <c r="F2043" s="1" t="s">
        <v>927</v>
      </c>
      <c r="G2043" s="1">
        <v>18.0</v>
      </c>
      <c r="H2043" s="1">
        <v>0.692307692</v>
      </c>
      <c r="I2043" s="1">
        <v>4.97</v>
      </c>
      <c r="J2043" s="1">
        <v>0.375283</v>
      </c>
    </row>
    <row r="2044">
      <c r="A2044" s="1">
        <v>2025.0</v>
      </c>
      <c r="B2044" s="1" t="s">
        <v>813</v>
      </c>
      <c r="C2044" s="1">
        <v>686753.0</v>
      </c>
      <c r="D2044" s="1" t="s">
        <v>532</v>
      </c>
      <c r="E2044" s="1" t="s">
        <v>927</v>
      </c>
      <c r="F2044" s="1" t="s">
        <v>926</v>
      </c>
      <c r="G2044" s="1">
        <v>12.0</v>
      </c>
      <c r="H2044" s="1">
        <v>0.679245283</v>
      </c>
      <c r="I2044" s="1">
        <v>4.02</v>
      </c>
      <c r="J2044" s="1">
        <v>0.496167</v>
      </c>
    </row>
    <row r="2045">
      <c r="A2045" s="1">
        <v>2025.0</v>
      </c>
      <c r="B2045" s="1" t="s">
        <v>813</v>
      </c>
      <c r="C2045" s="1">
        <v>686753.0</v>
      </c>
      <c r="D2045" s="1" t="s">
        <v>537</v>
      </c>
      <c r="E2045" s="1" t="s">
        <v>927</v>
      </c>
      <c r="F2045" s="1" t="s">
        <v>926</v>
      </c>
      <c r="G2045" s="1">
        <v>6.0</v>
      </c>
      <c r="H2045" s="1">
        <v>0.339622642</v>
      </c>
      <c r="I2045" s="1">
        <v>4.84</v>
      </c>
      <c r="J2045" s="1">
        <v>0.155614</v>
      </c>
    </row>
    <row r="2046">
      <c r="A2046" s="1">
        <v>2025.0</v>
      </c>
      <c r="B2046" s="1" t="s">
        <v>813</v>
      </c>
      <c r="C2046" s="1">
        <v>686753.0</v>
      </c>
      <c r="D2046" s="1" t="s">
        <v>536</v>
      </c>
      <c r="E2046" s="1" t="s">
        <v>927</v>
      </c>
      <c r="F2046" s="1" t="s">
        <v>926</v>
      </c>
      <c r="G2046" s="1">
        <v>9.0</v>
      </c>
      <c r="H2046" s="1">
        <v>0.509433962</v>
      </c>
      <c r="I2046" s="1">
        <v>4.58</v>
      </c>
      <c r="J2046" s="1">
        <v>0.275906</v>
      </c>
    </row>
    <row r="2047">
      <c r="A2047" s="1">
        <v>2025.0</v>
      </c>
      <c r="B2047" s="1" t="s">
        <v>813</v>
      </c>
      <c r="C2047" s="1">
        <v>686753.0</v>
      </c>
      <c r="D2047" s="1" t="s">
        <v>533</v>
      </c>
      <c r="E2047" s="1" t="s">
        <v>927</v>
      </c>
      <c r="F2047" s="1" t="s">
        <v>926</v>
      </c>
      <c r="G2047" s="1">
        <v>2.0</v>
      </c>
      <c r="H2047" s="1">
        <v>0.113207547</v>
      </c>
      <c r="I2047" s="1">
        <v>5.1</v>
      </c>
      <c r="J2047" s="1">
        <v>0.042283</v>
      </c>
    </row>
    <row r="2048">
      <c r="A2048" s="1">
        <v>2025.0</v>
      </c>
      <c r="B2048" s="1" t="s">
        <v>813</v>
      </c>
      <c r="C2048" s="1">
        <v>686753.0</v>
      </c>
      <c r="D2048" s="1" t="s">
        <v>532</v>
      </c>
      <c r="E2048" s="1" t="s">
        <v>927</v>
      </c>
      <c r="F2048" s="1" t="s">
        <v>927</v>
      </c>
      <c r="G2048" s="1">
        <v>1.0</v>
      </c>
      <c r="H2048" s="1">
        <v>0.056603774</v>
      </c>
      <c r="I2048" s="1">
        <v>7.76</v>
      </c>
      <c r="J2048" s="1">
        <v>-0.030815</v>
      </c>
    </row>
    <row r="2049">
      <c r="A2049" s="1">
        <v>2025.0</v>
      </c>
      <c r="B2049" s="1" t="s">
        <v>813</v>
      </c>
      <c r="C2049" s="1">
        <v>686753.0</v>
      </c>
      <c r="D2049" s="1" t="s">
        <v>537</v>
      </c>
      <c r="E2049" s="1" t="s">
        <v>927</v>
      </c>
      <c r="F2049" s="1" t="s">
        <v>927</v>
      </c>
      <c r="G2049" s="1">
        <v>4.0</v>
      </c>
      <c r="H2049" s="1">
        <v>0.226415094</v>
      </c>
      <c r="I2049" s="1">
        <v>4.63</v>
      </c>
      <c r="J2049" s="1">
        <v>0.10885</v>
      </c>
    </row>
    <row r="2050">
      <c r="A2050" s="1">
        <v>2025.0</v>
      </c>
      <c r="B2050" s="1" t="s">
        <v>813</v>
      </c>
      <c r="C2050" s="1">
        <v>686753.0</v>
      </c>
      <c r="D2050" s="1" t="s">
        <v>536</v>
      </c>
      <c r="E2050" s="1" t="s">
        <v>927</v>
      </c>
      <c r="F2050" s="1" t="s">
        <v>927</v>
      </c>
      <c r="G2050" s="1">
        <v>7.0</v>
      </c>
      <c r="H2050" s="1">
        <v>0.396226415</v>
      </c>
      <c r="I2050" s="1">
        <v>5.17</v>
      </c>
      <c r="J2050" s="1">
        <v>0.129157</v>
      </c>
    </row>
    <row r="2051">
      <c r="A2051" s="1">
        <v>2025.0</v>
      </c>
      <c r="B2051" s="1" t="s">
        <v>813</v>
      </c>
      <c r="C2051" s="1">
        <v>686753.0</v>
      </c>
      <c r="D2051" s="1" t="s">
        <v>533</v>
      </c>
      <c r="E2051" s="1" t="s">
        <v>927</v>
      </c>
      <c r="F2051" s="1" t="s">
        <v>927</v>
      </c>
      <c r="G2051" s="1">
        <v>12.0</v>
      </c>
      <c r="H2051" s="1">
        <v>0.679245283</v>
      </c>
      <c r="I2051" s="1">
        <v>4.14</v>
      </c>
      <c r="J2051" s="1">
        <v>0.454326</v>
      </c>
    </row>
    <row r="2052">
      <c r="A2052" s="1">
        <v>2025.0</v>
      </c>
      <c r="B2052" s="1" t="s">
        <v>956</v>
      </c>
      <c r="C2052" s="1">
        <v>699911.0</v>
      </c>
      <c r="D2052" s="1" t="s">
        <v>537</v>
      </c>
      <c r="E2052" s="1" t="s">
        <v>927</v>
      </c>
      <c r="F2052" s="1" t="s">
        <v>926</v>
      </c>
      <c r="G2052" s="1">
        <v>40.0</v>
      </c>
      <c r="H2052" s="1">
        <v>2.508960573</v>
      </c>
      <c r="I2052" s="1">
        <v>4.78</v>
      </c>
      <c r="J2052" s="1">
        <v>1.157681</v>
      </c>
    </row>
    <row r="2053">
      <c r="A2053" s="1">
        <v>2025.0</v>
      </c>
      <c r="B2053" s="1" t="s">
        <v>956</v>
      </c>
      <c r="C2053" s="1">
        <v>699911.0</v>
      </c>
      <c r="D2053" s="1" t="s">
        <v>538</v>
      </c>
      <c r="E2053" s="1" t="s">
        <v>927</v>
      </c>
      <c r="F2053" s="1" t="s">
        <v>926</v>
      </c>
      <c r="G2053" s="1">
        <v>34.0</v>
      </c>
      <c r="H2053" s="1">
        <v>2.132616487</v>
      </c>
      <c r="I2053" s="1">
        <v>4.78</v>
      </c>
      <c r="J2053" s="1">
        <v>0.974162</v>
      </c>
    </row>
    <row r="2054">
      <c r="A2054" s="1">
        <v>2025.0</v>
      </c>
      <c r="B2054" s="1" t="s">
        <v>956</v>
      </c>
      <c r="C2054" s="1">
        <v>699911.0</v>
      </c>
      <c r="D2054" s="1" t="s">
        <v>533</v>
      </c>
      <c r="E2054" s="1" t="s">
        <v>927</v>
      </c>
      <c r="F2054" s="1" t="s">
        <v>926</v>
      </c>
      <c r="G2054" s="1">
        <v>3.0</v>
      </c>
      <c r="H2054" s="1">
        <v>0.188172043</v>
      </c>
      <c r="I2054" s="1">
        <v>6.08</v>
      </c>
      <c r="J2054" s="1">
        <v>0.009209</v>
      </c>
    </row>
    <row r="2055">
      <c r="A2055" s="1">
        <v>2025.0</v>
      </c>
      <c r="B2055" s="1" t="s">
        <v>956</v>
      </c>
      <c r="C2055" s="1">
        <v>699911.0</v>
      </c>
      <c r="D2055" s="1" t="s">
        <v>537</v>
      </c>
      <c r="E2055" s="1" t="s">
        <v>927</v>
      </c>
      <c r="F2055" s="1" t="s">
        <v>927</v>
      </c>
      <c r="G2055" s="1">
        <v>58.0</v>
      </c>
      <c r="H2055" s="1">
        <v>3.637992832</v>
      </c>
      <c r="I2055" s="1">
        <v>4.58</v>
      </c>
      <c r="J2055" s="1">
        <v>1.866605</v>
      </c>
    </row>
    <row r="2056">
      <c r="A2056" s="1">
        <v>2025.0</v>
      </c>
      <c r="B2056" s="1" t="s">
        <v>956</v>
      </c>
      <c r="C2056" s="1">
        <v>699911.0</v>
      </c>
      <c r="D2056" s="1" t="s">
        <v>538</v>
      </c>
      <c r="E2056" s="1" t="s">
        <v>927</v>
      </c>
      <c r="F2056" s="1" t="s">
        <v>927</v>
      </c>
      <c r="G2056" s="1">
        <v>16.0</v>
      </c>
      <c r="H2056" s="1">
        <v>1.003584229</v>
      </c>
      <c r="I2056" s="1">
        <v>4.67</v>
      </c>
      <c r="J2056" s="1">
        <v>0.490351</v>
      </c>
    </row>
    <row r="2057">
      <c r="A2057" s="1">
        <v>2025.0</v>
      </c>
      <c r="B2057" s="1" t="s">
        <v>956</v>
      </c>
      <c r="C2057" s="1">
        <v>699911.0</v>
      </c>
      <c r="D2057" s="1" t="s">
        <v>533</v>
      </c>
      <c r="E2057" s="1" t="s">
        <v>927</v>
      </c>
      <c r="F2057" s="1" t="s">
        <v>927</v>
      </c>
      <c r="G2057" s="1">
        <v>35.0</v>
      </c>
      <c r="H2057" s="1">
        <v>2.195340502</v>
      </c>
      <c r="I2057" s="1">
        <v>5.22</v>
      </c>
      <c r="J2057" s="1">
        <v>0.681673</v>
      </c>
    </row>
    <row r="2058">
      <c r="A2058" s="1">
        <v>2025.0</v>
      </c>
      <c r="B2058" s="1" t="s">
        <v>329</v>
      </c>
      <c r="C2058" s="1">
        <v>669160.0</v>
      </c>
      <c r="D2058" s="1" t="s">
        <v>532</v>
      </c>
      <c r="E2058" s="1" t="s">
        <v>927</v>
      </c>
      <c r="F2058" s="1" t="s">
        <v>926</v>
      </c>
      <c r="G2058" s="1">
        <v>18.0</v>
      </c>
      <c r="H2058" s="1">
        <v>1.098201936</v>
      </c>
      <c r="I2058" s="1">
        <v>4.69</v>
      </c>
      <c r="J2058" s="1">
        <v>0.510349</v>
      </c>
    </row>
    <row r="2059">
      <c r="A2059" s="1">
        <v>2025.0</v>
      </c>
      <c r="B2059" s="1" t="s">
        <v>329</v>
      </c>
      <c r="C2059" s="1">
        <v>669160.0</v>
      </c>
      <c r="D2059" s="1" t="s">
        <v>540</v>
      </c>
      <c r="E2059" s="1" t="s">
        <v>927</v>
      </c>
      <c r="F2059" s="1" t="s">
        <v>926</v>
      </c>
      <c r="G2059" s="1">
        <v>155.0</v>
      </c>
      <c r="H2059" s="1">
        <v>9.456738897</v>
      </c>
      <c r="I2059" s="1">
        <v>4.77</v>
      </c>
      <c r="J2059" s="1">
        <v>4.236606</v>
      </c>
    </row>
    <row r="2060">
      <c r="A2060" s="1">
        <v>2025.0</v>
      </c>
      <c r="B2060" s="1" t="s">
        <v>329</v>
      </c>
      <c r="C2060" s="1">
        <v>669160.0</v>
      </c>
      <c r="D2060" s="1" t="s">
        <v>537</v>
      </c>
      <c r="E2060" s="1" t="s">
        <v>927</v>
      </c>
      <c r="F2060" s="1" t="s">
        <v>926</v>
      </c>
      <c r="G2060" s="1">
        <v>269.0</v>
      </c>
      <c r="H2060" s="1">
        <v>16.41201783</v>
      </c>
      <c r="I2060" s="1">
        <v>4.42</v>
      </c>
      <c r="J2060" s="1">
        <v>9.117212</v>
      </c>
    </row>
    <row r="2061">
      <c r="A2061" s="1">
        <v>2025.0</v>
      </c>
      <c r="B2061" s="1" t="s">
        <v>329</v>
      </c>
      <c r="C2061" s="1">
        <v>669160.0</v>
      </c>
      <c r="D2061" s="1" t="s">
        <v>536</v>
      </c>
      <c r="E2061" s="1" t="s">
        <v>927</v>
      </c>
      <c r="F2061" s="1" t="s">
        <v>926</v>
      </c>
      <c r="G2061" s="1">
        <v>359.0</v>
      </c>
      <c r="H2061" s="1">
        <v>21.90302751</v>
      </c>
      <c r="I2061" s="1">
        <v>4.73</v>
      </c>
      <c r="J2061" s="1">
        <v>10.056857</v>
      </c>
    </row>
    <row r="2062">
      <c r="A2062" s="1">
        <v>2025.0</v>
      </c>
      <c r="B2062" s="1" t="s">
        <v>329</v>
      </c>
      <c r="C2062" s="1">
        <v>669160.0</v>
      </c>
      <c r="D2062" s="1" t="s">
        <v>539</v>
      </c>
      <c r="E2062" s="1" t="s">
        <v>927</v>
      </c>
      <c r="F2062" s="1" t="s">
        <v>926</v>
      </c>
      <c r="G2062" s="1">
        <v>493.0</v>
      </c>
      <c r="H2062" s="1">
        <v>30.07853081</v>
      </c>
      <c r="I2062" s="1">
        <v>5.13</v>
      </c>
      <c r="J2062" s="1">
        <v>9.112276</v>
      </c>
    </row>
    <row r="2063">
      <c r="A2063" s="1">
        <v>2025.0</v>
      </c>
      <c r="B2063" s="1" t="s">
        <v>329</v>
      </c>
      <c r="C2063" s="1">
        <v>669160.0</v>
      </c>
      <c r="D2063" s="1" t="s">
        <v>540</v>
      </c>
      <c r="E2063" s="1" t="s">
        <v>927</v>
      </c>
      <c r="F2063" s="1" t="s">
        <v>927</v>
      </c>
      <c r="G2063" s="1">
        <v>55.0</v>
      </c>
      <c r="H2063" s="1">
        <v>3.355617028</v>
      </c>
      <c r="I2063" s="1">
        <v>5.26</v>
      </c>
      <c r="J2063" s="1">
        <v>1.026297</v>
      </c>
    </row>
    <row r="2064">
      <c r="A2064" s="1">
        <v>2025.0</v>
      </c>
      <c r="B2064" s="1" t="s">
        <v>329</v>
      </c>
      <c r="C2064" s="1">
        <v>669160.0</v>
      </c>
      <c r="D2064" s="1" t="s">
        <v>537</v>
      </c>
      <c r="E2064" s="1" t="s">
        <v>927</v>
      </c>
      <c r="F2064" s="1" t="s">
        <v>927</v>
      </c>
      <c r="G2064" s="1">
        <v>91.0</v>
      </c>
      <c r="H2064" s="1">
        <v>5.552020901</v>
      </c>
      <c r="I2064" s="1">
        <v>4.59</v>
      </c>
      <c r="J2064" s="1">
        <v>2.742527</v>
      </c>
    </row>
    <row r="2065">
      <c r="A2065" s="1">
        <v>2025.0</v>
      </c>
      <c r="B2065" s="1" t="s">
        <v>329</v>
      </c>
      <c r="C2065" s="1">
        <v>669160.0</v>
      </c>
      <c r="D2065" s="1" t="s">
        <v>536</v>
      </c>
      <c r="E2065" s="1" t="s">
        <v>927</v>
      </c>
      <c r="F2065" s="1" t="s">
        <v>927</v>
      </c>
      <c r="G2065" s="1">
        <v>369.0</v>
      </c>
      <c r="H2065" s="1">
        <v>22.5131397</v>
      </c>
      <c r="I2065" s="1">
        <v>5.2</v>
      </c>
      <c r="J2065" s="1">
        <v>6.909516</v>
      </c>
    </row>
    <row r="2066">
      <c r="A2066" s="1">
        <v>2025.0</v>
      </c>
      <c r="B2066" s="1" t="s">
        <v>329</v>
      </c>
      <c r="C2066" s="1">
        <v>669160.0</v>
      </c>
      <c r="D2066" s="1" t="s">
        <v>539</v>
      </c>
      <c r="E2066" s="1" t="s">
        <v>927</v>
      </c>
      <c r="F2066" s="1" t="s">
        <v>927</v>
      </c>
      <c r="G2066" s="1">
        <v>360.0</v>
      </c>
      <c r="H2066" s="1">
        <v>21.96403873</v>
      </c>
      <c r="I2066" s="1">
        <v>5.2</v>
      </c>
      <c r="J2066" s="1">
        <v>6.237946</v>
      </c>
    </row>
    <row r="2067">
      <c r="A2067" s="1">
        <v>2025.0</v>
      </c>
      <c r="B2067" s="1" t="s">
        <v>282</v>
      </c>
      <c r="C2067" s="1">
        <v>656302.0</v>
      </c>
      <c r="D2067" s="1" t="s">
        <v>532</v>
      </c>
      <c r="E2067" s="1" t="s">
        <v>927</v>
      </c>
      <c r="F2067" s="1" t="s">
        <v>926</v>
      </c>
      <c r="G2067" s="1">
        <v>34.0</v>
      </c>
      <c r="H2067" s="1">
        <v>1.878947368</v>
      </c>
      <c r="I2067" s="1">
        <v>4.73</v>
      </c>
      <c r="J2067" s="1">
        <v>0.886311</v>
      </c>
    </row>
    <row r="2068">
      <c r="A2068" s="1">
        <v>2025.0</v>
      </c>
      <c r="B2068" s="1" t="s">
        <v>282</v>
      </c>
      <c r="C2068" s="1">
        <v>656302.0</v>
      </c>
      <c r="D2068" s="1" t="s">
        <v>541</v>
      </c>
      <c r="E2068" s="1" t="s">
        <v>927</v>
      </c>
      <c r="F2068" s="1" t="s">
        <v>926</v>
      </c>
      <c r="G2068" s="1">
        <v>200.0</v>
      </c>
      <c r="H2068" s="1">
        <v>11.05263158</v>
      </c>
      <c r="I2068" s="1">
        <v>4.78</v>
      </c>
      <c r="J2068" s="1">
        <v>5.186629</v>
      </c>
    </row>
    <row r="2069">
      <c r="A2069" s="1">
        <v>2025.0</v>
      </c>
      <c r="B2069" s="1" t="s">
        <v>282</v>
      </c>
      <c r="C2069" s="1">
        <v>656302.0</v>
      </c>
      <c r="D2069" s="1" t="s">
        <v>537</v>
      </c>
      <c r="E2069" s="1" t="s">
        <v>927</v>
      </c>
      <c r="F2069" s="1" t="s">
        <v>926</v>
      </c>
      <c r="G2069" s="1">
        <v>657.0</v>
      </c>
      <c r="H2069" s="1">
        <v>36.30789474</v>
      </c>
      <c r="I2069" s="1">
        <v>4.99</v>
      </c>
      <c r="J2069" s="1">
        <v>14.472188</v>
      </c>
    </row>
    <row r="2070">
      <c r="A2070" s="1">
        <v>2025.0</v>
      </c>
      <c r="B2070" s="1" t="s">
        <v>282</v>
      </c>
      <c r="C2070" s="1">
        <v>656302.0</v>
      </c>
      <c r="D2070" s="1" t="s">
        <v>536</v>
      </c>
      <c r="E2070" s="1" t="s">
        <v>927</v>
      </c>
      <c r="F2070" s="1" t="s">
        <v>926</v>
      </c>
      <c r="G2070" s="1">
        <v>53.0</v>
      </c>
      <c r="H2070" s="1">
        <v>2.928947368</v>
      </c>
      <c r="I2070" s="1">
        <v>4.3</v>
      </c>
      <c r="J2070" s="1">
        <v>1.883023</v>
      </c>
    </row>
    <row r="2071">
      <c r="A2071" s="1">
        <v>2025.0</v>
      </c>
      <c r="B2071" s="1" t="s">
        <v>282</v>
      </c>
      <c r="C2071" s="1">
        <v>656302.0</v>
      </c>
      <c r="D2071" s="1" t="s">
        <v>533</v>
      </c>
      <c r="E2071" s="1" t="s">
        <v>927</v>
      </c>
      <c r="F2071" s="1" t="s">
        <v>926</v>
      </c>
      <c r="G2071" s="1">
        <v>554.0</v>
      </c>
      <c r="H2071" s="1">
        <v>30.61578947</v>
      </c>
      <c r="I2071" s="1">
        <v>5.23</v>
      </c>
      <c r="J2071" s="1">
        <v>9.036684</v>
      </c>
    </row>
    <row r="2072">
      <c r="A2072" s="1">
        <v>2025.0</v>
      </c>
      <c r="B2072" s="1" t="s">
        <v>282</v>
      </c>
      <c r="C2072" s="1">
        <v>656302.0</v>
      </c>
      <c r="D2072" s="1" t="s">
        <v>539</v>
      </c>
      <c r="E2072" s="1" t="s">
        <v>927</v>
      </c>
      <c r="F2072" s="1" t="s">
        <v>926</v>
      </c>
      <c r="G2072" s="1">
        <v>13.0</v>
      </c>
      <c r="H2072" s="1">
        <v>0.718421053</v>
      </c>
      <c r="I2072" s="1">
        <v>4.57</v>
      </c>
      <c r="J2072" s="1">
        <v>0.390563</v>
      </c>
    </row>
    <row r="2073">
      <c r="A2073" s="1">
        <v>2025.0</v>
      </c>
      <c r="B2073" s="1" t="s">
        <v>282</v>
      </c>
      <c r="C2073" s="1">
        <v>656302.0</v>
      </c>
      <c r="D2073" s="1" t="s">
        <v>541</v>
      </c>
      <c r="E2073" s="1" t="s">
        <v>927</v>
      </c>
      <c r="F2073" s="1" t="s">
        <v>927</v>
      </c>
      <c r="G2073" s="1">
        <v>51.0</v>
      </c>
      <c r="H2073" s="1">
        <v>2.818421053</v>
      </c>
      <c r="I2073" s="1">
        <v>4.74</v>
      </c>
      <c r="J2073" s="1">
        <v>1.366519</v>
      </c>
    </row>
    <row r="2074">
      <c r="A2074" s="1">
        <v>2025.0</v>
      </c>
      <c r="B2074" s="1" t="s">
        <v>282</v>
      </c>
      <c r="C2074" s="1">
        <v>656302.0</v>
      </c>
      <c r="D2074" s="1" t="s">
        <v>537</v>
      </c>
      <c r="E2074" s="1" t="s">
        <v>927</v>
      </c>
      <c r="F2074" s="1" t="s">
        <v>927</v>
      </c>
      <c r="G2074" s="1">
        <v>595.0</v>
      </c>
      <c r="H2074" s="1">
        <v>32.88157895</v>
      </c>
      <c r="I2074" s="1">
        <v>5.1</v>
      </c>
      <c r="J2074" s="1">
        <v>11.66964</v>
      </c>
    </row>
    <row r="2075">
      <c r="A2075" s="1">
        <v>2025.0</v>
      </c>
      <c r="B2075" s="1" t="s">
        <v>282</v>
      </c>
      <c r="C2075" s="1">
        <v>656302.0</v>
      </c>
      <c r="D2075" s="1" t="s">
        <v>536</v>
      </c>
      <c r="E2075" s="1" t="s">
        <v>927</v>
      </c>
      <c r="F2075" s="1" t="s">
        <v>927</v>
      </c>
      <c r="G2075" s="1">
        <v>99.0</v>
      </c>
      <c r="H2075" s="1">
        <v>5.471052632</v>
      </c>
      <c r="I2075" s="1">
        <v>4.71</v>
      </c>
      <c r="J2075" s="1">
        <v>2.77919</v>
      </c>
    </row>
    <row r="2076">
      <c r="A2076" s="1">
        <v>2025.0</v>
      </c>
      <c r="B2076" s="1" t="s">
        <v>282</v>
      </c>
      <c r="C2076" s="1">
        <v>656302.0</v>
      </c>
      <c r="D2076" s="1" t="s">
        <v>533</v>
      </c>
      <c r="E2076" s="1" t="s">
        <v>927</v>
      </c>
      <c r="F2076" s="1" t="s">
        <v>927</v>
      </c>
      <c r="G2076" s="1">
        <v>692.0</v>
      </c>
      <c r="H2076" s="1">
        <v>38.24210526</v>
      </c>
      <c r="I2076" s="1">
        <v>5.24</v>
      </c>
      <c r="J2076" s="1">
        <v>11.516114</v>
      </c>
    </row>
    <row r="2077">
      <c r="A2077" s="1">
        <v>2025.0</v>
      </c>
      <c r="B2077" s="1" t="s">
        <v>282</v>
      </c>
      <c r="C2077" s="1">
        <v>656302.0</v>
      </c>
      <c r="D2077" s="1" t="s">
        <v>539</v>
      </c>
      <c r="E2077" s="1" t="s">
        <v>927</v>
      </c>
      <c r="F2077" s="1" t="s">
        <v>927</v>
      </c>
      <c r="G2077" s="1">
        <v>92.0</v>
      </c>
      <c r="H2077" s="1">
        <v>5.084210526</v>
      </c>
      <c r="I2077" s="1">
        <v>5.4</v>
      </c>
      <c r="J2077" s="1">
        <v>1.249242</v>
      </c>
    </row>
    <row r="2078">
      <c r="A2078" s="1">
        <v>2025.0</v>
      </c>
      <c r="B2078" s="1" t="s">
        <v>244</v>
      </c>
      <c r="C2078" s="1">
        <v>689266.0</v>
      </c>
      <c r="D2078" s="1" t="s">
        <v>532</v>
      </c>
      <c r="E2078" s="1" t="s">
        <v>926</v>
      </c>
      <c r="F2078" s="1" t="s">
        <v>926</v>
      </c>
      <c r="G2078" s="1">
        <v>3.0</v>
      </c>
      <c r="H2078" s="1">
        <v>0.196998124</v>
      </c>
      <c r="I2078" s="1">
        <v>3.31</v>
      </c>
      <c r="J2078" s="1">
        <v>0.178972</v>
      </c>
    </row>
    <row r="2079">
      <c r="A2079" s="1">
        <v>2025.0</v>
      </c>
      <c r="B2079" s="1" t="s">
        <v>244</v>
      </c>
      <c r="C2079" s="1">
        <v>689266.0</v>
      </c>
      <c r="D2079" s="1" t="s">
        <v>540</v>
      </c>
      <c r="E2079" s="1" t="s">
        <v>926</v>
      </c>
      <c r="F2079" s="1" t="s">
        <v>926</v>
      </c>
      <c r="G2079" s="1">
        <v>128.0</v>
      </c>
      <c r="H2079" s="1">
        <v>8.405253283</v>
      </c>
      <c r="I2079" s="1">
        <v>5.14</v>
      </c>
      <c r="J2079" s="1">
        <v>2.546809</v>
      </c>
    </row>
    <row r="2080">
      <c r="A2080" s="1">
        <v>2025.0</v>
      </c>
      <c r="B2080" s="1" t="s">
        <v>244</v>
      </c>
      <c r="C2080" s="1">
        <v>689266.0</v>
      </c>
      <c r="D2080" s="1" t="s">
        <v>537</v>
      </c>
      <c r="E2080" s="1" t="s">
        <v>926</v>
      </c>
      <c r="F2080" s="1" t="s">
        <v>926</v>
      </c>
      <c r="G2080" s="1">
        <v>64.0</v>
      </c>
      <c r="H2080" s="1">
        <v>4.202626642</v>
      </c>
      <c r="I2080" s="1">
        <v>5.21</v>
      </c>
      <c r="J2080" s="1">
        <v>1.212861</v>
      </c>
    </row>
    <row r="2081">
      <c r="A2081" s="1">
        <v>2025.0</v>
      </c>
      <c r="B2081" s="1" t="s">
        <v>244</v>
      </c>
      <c r="C2081" s="1">
        <v>689266.0</v>
      </c>
      <c r="D2081" s="1" t="s">
        <v>533</v>
      </c>
      <c r="E2081" s="1" t="s">
        <v>926</v>
      </c>
      <c r="F2081" s="1" t="s">
        <v>926</v>
      </c>
      <c r="G2081" s="1">
        <v>29.0</v>
      </c>
      <c r="H2081" s="1">
        <v>1.904315197</v>
      </c>
      <c r="I2081" s="1">
        <v>4.24</v>
      </c>
      <c r="J2081" s="1">
        <v>1.074084</v>
      </c>
    </row>
    <row r="2082">
      <c r="A2082" s="1">
        <v>2025.0</v>
      </c>
      <c r="B2082" s="1" t="s">
        <v>244</v>
      </c>
      <c r="C2082" s="1">
        <v>689266.0</v>
      </c>
      <c r="D2082" s="1" t="s">
        <v>532</v>
      </c>
      <c r="E2082" s="1" t="s">
        <v>926</v>
      </c>
      <c r="F2082" s="1" t="s">
        <v>927</v>
      </c>
      <c r="G2082" s="1">
        <v>10.0</v>
      </c>
      <c r="H2082" s="1">
        <v>0.656660413</v>
      </c>
      <c r="I2082" s="1">
        <v>4.71</v>
      </c>
      <c r="J2082" s="1">
        <v>0.303051</v>
      </c>
    </row>
    <row r="2083">
      <c r="A2083" s="1">
        <v>2025.0</v>
      </c>
      <c r="B2083" s="1" t="s">
        <v>244</v>
      </c>
      <c r="C2083" s="1">
        <v>689266.0</v>
      </c>
      <c r="D2083" s="1" t="s">
        <v>540</v>
      </c>
      <c r="E2083" s="1" t="s">
        <v>926</v>
      </c>
      <c r="F2083" s="1" t="s">
        <v>927</v>
      </c>
      <c r="G2083" s="1">
        <v>160.0</v>
      </c>
      <c r="H2083" s="1">
        <v>10.5065666</v>
      </c>
      <c r="I2083" s="1">
        <v>4.98</v>
      </c>
      <c r="J2083" s="1">
        <v>3.777843</v>
      </c>
    </row>
    <row r="2084">
      <c r="A2084" s="1">
        <v>2025.0</v>
      </c>
      <c r="B2084" s="1" t="s">
        <v>244</v>
      </c>
      <c r="C2084" s="1">
        <v>689266.0</v>
      </c>
      <c r="D2084" s="1" t="s">
        <v>537</v>
      </c>
      <c r="E2084" s="1" t="s">
        <v>926</v>
      </c>
      <c r="F2084" s="1" t="s">
        <v>927</v>
      </c>
      <c r="G2084" s="1">
        <v>123.0</v>
      </c>
      <c r="H2084" s="1">
        <v>8.076923077</v>
      </c>
      <c r="I2084" s="1">
        <v>5.26</v>
      </c>
      <c r="J2084" s="1">
        <v>2.267464</v>
      </c>
    </row>
    <row r="2085">
      <c r="A2085" s="1">
        <v>2025.0</v>
      </c>
      <c r="B2085" s="1" t="s">
        <v>244</v>
      </c>
      <c r="C2085" s="1">
        <v>689266.0</v>
      </c>
      <c r="D2085" s="1" t="s">
        <v>533</v>
      </c>
      <c r="E2085" s="1" t="s">
        <v>926</v>
      </c>
      <c r="F2085" s="1" t="s">
        <v>927</v>
      </c>
      <c r="G2085" s="1">
        <v>16.0</v>
      </c>
      <c r="H2085" s="1">
        <v>1.05065666</v>
      </c>
      <c r="I2085" s="1">
        <v>4.21</v>
      </c>
      <c r="J2085" s="1">
        <v>0.623165</v>
      </c>
    </row>
    <row r="2086">
      <c r="A2086" s="1">
        <v>2025.0</v>
      </c>
      <c r="B2086" s="1" t="s">
        <v>91</v>
      </c>
      <c r="C2086" s="1">
        <v>669276.0</v>
      </c>
      <c r="D2086" s="1" t="s">
        <v>532</v>
      </c>
      <c r="E2086" s="1" t="s">
        <v>926</v>
      </c>
      <c r="F2086" s="1" t="s">
        <v>926</v>
      </c>
      <c r="G2086" s="1">
        <v>6.0</v>
      </c>
      <c r="H2086" s="1">
        <v>0.372050817</v>
      </c>
      <c r="I2086" s="1">
        <v>4.96</v>
      </c>
      <c r="J2086" s="1">
        <v>0.131931</v>
      </c>
    </row>
    <row r="2087">
      <c r="A2087" s="1">
        <v>2025.0</v>
      </c>
      <c r="B2087" s="1" t="s">
        <v>91</v>
      </c>
      <c r="C2087" s="1">
        <v>669276.0</v>
      </c>
      <c r="D2087" s="1" t="s">
        <v>537</v>
      </c>
      <c r="E2087" s="1" t="s">
        <v>926</v>
      </c>
      <c r="F2087" s="1" t="s">
        <v>926</v>
      </c>
      <c r="G2087" s="1">
        <v>167.0</v>
      </c>
      <c r="H2087" s="1">
        <v>10.3554144</v>
      </c>
      <c r="I2087" s="1">
        <v>5.41</v>
      </c>
      <c r="J2087" s="1">
        <v>2.297365</v>
      </c>
    </row>
    <row r="2088">
      <c r="A2088" s="1">
        <v>2025.0</v>
      </c>
      <c r="B2088" s="1" t="s">
        <v>91</v>
      </c>
      <c r="C2088" s="1">
        <v>669276.0</v>
      </c>
      <c r="D2088" s="1" t="s">
        <v>533</v>
      </c>
      <c r="E2088" s="1" t="s">
        <v>926</v>
      </c>
      <c r="F2088" s="1" t="s">
        <v>926</v>
      </c>
      <c r="G2088" s="1">
        <v>331.0</v>
      </c>
      <c r="H2088" s="1">
        <v>20.52480339</v>
      </c>
      <c r="I2088" s="1">
        <v>5.09</v>
      </c>
      <c r="J2088" s="1">
        <v>6.660655</v>
      </c>
    </row>
    <row r="2089">
      <c r="A2089" s="1">
        <v>2025.0</v>
      </c>
      <c r="B2089" s="1" t="s">
        <v>91</v>
      </c>
      <c r="C2089" s="1">
        <v>669276.0</v>
      </c>
      <c r="D2089" s="1" t="s">
        <v>532</v>
      </c>
      <c r="E2089" s="1" t="s">
        <v>926</v>
      </c>
      <c r="F2089" s="1" t="s">
        <v>927</v>
      </c>
      <c r="G2089" s="1">
        <v>140.0</v>
      </c>
      <c r="H2089" s="1">
        <v>8.681185723</v>
      </c>
      <c r="I2089" s="1">
        <v>5.31</v>
      </c>
      <c r="J2089" s="1">
        <v>2.14393</v>
      </c>
    </row>
    <row r="2090">
      <c r="A2090" s="1">
        <v>2025.0</v>
      </c>
      <c r="B2090" s="1" t="s">
        <v>91</v>
      </c>
      <c r="C2090" s="1">
        <v>669276.0</v>
      </c>
      <c r="D2090" s="1" t="s">
        <v>537</v>
      </c>
      <c r="E2090" s="1" t="s">
        <v>926</v>
      </c>
      <c r="F2090" s="1" t="s">
        <v>927</v>
      </c>
      <c r="G2090" s="1">
        <v>177.0</v>
      </c>
      <c r="H2090" s="1">
        <v>10.97549909</v>
      </c>
      <c r="I2090" s="1">
        <v>5.56</v>
      </c>
      <c r="J2090" s="1">
        <v>1.855996</v>
      </c>
    </row>
    <row r="2091">
      <c r="A2091" s="1">
        <v>2025.0</v>
      </c>
      <c r="B2091" s="1" t="s">
        <v>91</v>
      </c>
      <c r="C2091" s="1">
        <v>669276.0</v>
      </c>
      <c r="D2091" s="1" t="s">
        <v>533</v>
      </c>
      <c r="E2091" s="1" t="s">
        <v>926</v>
      </c>
      <c r="F2091" s="1" t="s">
        <v>927</v>
      </c>
      <c r="G2091" s="1">
        <v>281.0</v>
      </c>
      <c r="H2091" s="1">
        <v>17.42437992</v>
      </c>
      <c r="I2091" s="1">
        <v>4.99</v>
      </c>
      <c r="J2091" s="1">
        <v>6.260479</v>
      </c>
    </row>
    <row r="2092">
      <c r="A2092" s="1">
        <v>2025.0</v>
      </c>
      <c r="B2092" s="1" t="s">
        <v>860</v>
      </c>
      <c r="C2092" s="1">
        <v>681916.0</v>
      </c>
      <c r="D2092" s="1" t="s">
        <v>537</v>
      </c>
      <c r="E2092" s="1" t="s">
        <v>927</v>
      </c>
      <c r="F2092" s="1" t="s">
        <v>926</v>
      </c>
      <c r="G2092" s="1">
        <v>34.0</v>
      </c>
      <c r="H2092" s="1">
        <v>2.678787879</v>
      </c>
      <c r="I2092" s="1">
        <v>5.42</v>
      </c>
      <c r="J2092" s="1">
        <v>0.509435</v>
      </c>
    </row>
    <row r="2093">
      <c r="A2093" s="1">
        <v>2025.0</v>
      </c>
      <c r="B2093" s="1" t="s">
        <v>860</v>
      </c>
      <c r="C2093" s="1">
        <v>681916.0</v>
      </c>
      <c r="D2093" s="1" t="s">
        <v>538</v>
      </c>
      <c r="E2093" s="1" t="s">
        <v>927</v>
      </c>
      <c r="F2093" s="1" t="s">
        <v>926</v>
      </c>
      <c r="G2093" s="1">
        <v>11.0</v>
      </c>
      <c r="H2093" s="1">
        <v>0.866666667</v>
      </c>
      <c r="I2093" s="1">
        <v>3.93</v>
      </c>
      <c r="J2093" s="1">
        <v>0.491356</v>
      </c>
    </row>
    <row r="2094">
      <c r="A2094" s="1">
        <v>2025.0</v>
      </c>
      <c r="B2094" s="1" t="s">
        <v>860</v>
      </c>
      <c r="C2094" s="1">
        <v>681916.0</v>
      </c>
      <c r="D2094" s="1" t="s">
        <v>539</v>
      </c>
      <c r="E2094" s="1" t="s">
        <v>927</v>
      </c>
      <c r="F2094" s="1" t="s">
        <v>926</v>
      </c>
      <c r="G2094" s="1">
        <v>18.0</v>
      </c>
      <c r="H2094" s="1">
        <v>1.418181818</v>
      </c>
      <c r="I2094" s="1">
        <v>5.21</v>
      </c>
      <c r="J2094" s="1">
        <v>0.334438</v>
      </c>
    </row>
    <row r="2095">
      <c r="A2095" s="1">
        <v>2025.0</v>
      </c>
      <c r="B2095" s="1" t="s">
        <v>860</v>
      </c>
      <c r="C2095" s="1">
        <v>681916.0</v>
      </c>
      <c r="D2095" s="1" t="s">
        <v>537</v>
      </c>
      <c r="E2095" s="1" t="s">
        <v>927</v>
      </c>
      <c r="F2095" s="1" t="s">
        <v>927</v>
      </c>
      <c r="G2095" s="1">
        <v>50.0</v>
      </c>
      <c r="H2095" s="1">
        <v>3.939393939</v>
      </c>
      <c r="I2095" s="1">
        <v>4.65</v>
      </c>
      <c r="J2095" s="1">
        <v>1.50731</v>
      </c>
    </row>
    <row r="2096">
      <c r="A2096" s="1">
        <v>2025.0</v>
      </c>
      <c r="B2096" s="1" t="s">
        <v>860</v>
      </c>
      <c r="C2096" s="1">
        <v>681916.0</v>
      </c>
      <c r="D2096" s="1" t="s">
        <v>538</v>
      </c>
      <c r="E2096" s="1" t="s">
        <v>927</v>
      </c>
      <c r="F2096" s="1" t="s">
        <v>927</v>
      </c>
      <c r="G2096" s="1">
        <v>4.0</v>
      </c>
      <c r="H2096" s="1">
        <v>0.315151515</v>
      </c>
      <c r="I2096" s="1">
        <v>3.13</v>
      </c>
      <c r="J2096" s="1">
        <v>0.244363</v>
      </c>
    </row>
    <row r="2097">
      <c r="A2097" s="1">
        <v>2025.0</v>
      </c>
      <c r="B2097" s="1" t="s">
        <v>860</v>
      </c>
      <c r="C2097" s="1">
        <v>681916.0</v>
      </c>
      <c r="D2097" s="1" t="s">
        <v>536</v>
      </c>
      <c r="E2097" s="1" t="s">
        <v>927</v>
      </c>
      <c r="F2097" s="1" t="s">
        <v>927</v>
      </c>
      <c r="G2097" s="1">
        <v>10.0</v>
      </c>
      <c r="H2097" s="1">
        <v>0.787878788</v>
      </c>
      <c r="I2097" s="1">
        <v>3.95</v>
      </c>
      <c r="J2097" s="1">
        <v>0.454219</v>
      </c>
    </row>
    <row r="2098">
      <c r="A2098" s="1">
        <v>2025.0</v>
      </c>
      <c r="B2098" s="1" t="s">
        <v>860</v>
      </c>
      <c r="C2098" s="1">
        <v>681916.0</v>
      </c>
      <c r="D2098" s="1" t="s">
        <v>539</v>
      </c>
      <c r="E2098" s="1" t="s">
        <v>927</v>
      </c>
      <c r="F2098" s="1" t="s">
        <v>927</v>
      </c>
      <c r="G2098" s="1">
        <v>38.0</v>
      </c>
      <c r="H2098" s="1">
        <v>2.993939394</v>
      </c>
      <c r="I2098" s="1">
        <v>4.7</v>
      </c>
      <c r="J2098" s="1">
        <v>1.103751</v>
      </c>
    </row>
    <row r="2099">
      <c r="A2099" s="1">
        <v>2025.0</v>
      </c>
      <c r="B2099" s="1" t="s">
        <v>577</v>
      </c>
      <c r="C2099" s="1">
        <v>687922.0</v>
      </c>
      <c r="D2099" s="1" t="s">
        <v>532</v>
      </c>
      <c r="E2099" s="1" t="s">
        <v>926</v>
      </c>
      <c r="F2099" s="1" t="s">
        <v>926</v>
      </c>
      <c r="G2099" s="1">
        <v>4.0</v>
      </c>
      <c r="H2099" s="1">
        <v>0.222222222</v>
      </c>
      <c r="I2099" s="1">
        <v>5.28</v>
      </c>
      <c r="J2099" s="1">
        <v>0.064347</v>
      </c>
    </row>
    <row r="2100">
      <c r="A2100" s="1">
        <v>2025.0</v>
      </c>
      <c r="B2100" s="1" t="s">
        <v>577</v>
      </c>
      <c r="C2100" s="1">
        <v>687922.0</v>
      </c>
      <c r="D2100" s="1" t="s">
        <v>540</v>
      </c>
      <c r="E2100" s="1" t="s">
        <v>926</v>
      </c>
      <c r="F2100" s="1" t="s">
        <v>926</v>
      </c>
      <c r="G2100" s="1">
        <v>2.0</v>
      </c>
      <c r="H2100" s="1">
        <v>0.111111111</v>
      </c>
      <c r="I2100" s="1">
        <v>4.95</v>
      </c>
      <c r="J2100" s="1">
        <v>0.046281</v>
      </c>
    </row>
    <row r="2101">
      <c r="A2101" s="1">
        <v>2025.0</v>
      </c>
      <c r="B2101" s="1" t="s">
        <v>577</v>
      </c>
      <c r="C2101" s="1">
        <v>687922.0</v>
      </c>
      <c r="D2101" s="1" t="s">
        <v>537</v>
      </c>
      <c r="E2101" s="1" t="s">
        <v>926</v>
      </c>
      <c r="F2101" s="1" t="s">
        <v>926</v>
      </c>
      <c r="G2101" s="1">
        <v>68.0</v>
      </c>
      <c r="H2101" s="1">
        <v>3.777777778</v>
      </c>
      <c r="I2101" s="1">
        <v>4.77</v>
      </c>
      <c r="J2101" s="1">
        <v>1.797348</v>
      </c>
    </row>
    <row r="2102">
      <c r="A2102" s="1">
        <v>2025.0</v>
      </c>
      <c r="B2102" s="1" t="s">
        <v>577</v>
      </c>
      <c r="C2102" s="1">
        <v>687922.0</v>
      </c>
      <c r="D2102" s="1" t="s">
        <v>533</v>
      </c>
      <c r="E2102" s="1" t="s">
        <v>926</v>
      </c>
      <c r="F2102" s="1" t="s">
        <v>926</v>
      </c>
      <c r="G2102" s="1">
        <v>42.0</v>
      </c>
      <c r="H2102" s="1">
        <v>2.333333333</v>
      </c>
      <c r="I2102" s="1">
        <v>4.44</v>
      </c>
      <c r="J2102" s="1">
        <v>1.325929</v>
      </c>
    </row>
    <row r="2103">
      <c r="A2103" s="1">
        <v>2025.0</v>
      </c>
      <c r="B2103" s="1" t="s">
        <v>577</v>
      </c>
      <c r="C2103" s="1">
        <v>687922.0</v>
      </c>
      <c r="D2103" s="1" t="s">
        <v>539</v>
      </c>
      <c r="E2103" s="1" t="s">
        <v>926</v>
      </c>
      <c r="F2103" s="1" t="s">
        <v>926</v>
      </c>
      <c r="G2103" s="1">
        <v>18.0</v>
      </c>
      <c r="H2103" s="1">
        <v>1.0</v>
      </c>
      <c r="I2103" s="1">
        <v>5.08</v>
      </c>
      <c r="J2103" s="1">
        <v>0.344368</v>
      </c>
    </row>
    <row r="2104">
      <c r="A2104" s="1">
        <v>2025.0</v>
      </c>
      <c r="B2104" s="1" t="s">
        <v>577</v>
      </c>
      <c r="C2104" s="1">
        <v>687922.0</v>
      </c>
      <c r="D2104" s="1" t="s">
        <v>532</v>
      </c>
      <c r="E2104" s="1" t="s">
        <v>926</v>
      </c>
      <c r="F2104" s="1" t="s">
        <v>927</v>
      </c>
      <c r="G2104" s="1">
        <v>87.0</v>
      </c>
      <c r="H2104" s="1">
        <v>4.833333333</v>
      </c>
      <c r="I2104" s="1">
        <v>4.72</v>
      </c>
      <c r="J2104" s="1">
        <v>2.405948</v>
      </c>
    </row>
    <row r="2105">
      <c r="A2105" s="1">
        <v>2025.0</v>
      </c>
      <c r="B2105" s="1" t="s">
        <v>577</v>
      </c>
      <c r="C2105" s="1">
        <v>687922.0</v>
      </c>
      <c r="D2105" s="1" t="s">
        <v>540</v>
      </c>
      <c r="E2105" s="1" t="s">
        <v>926</v>
      </c>
      <c r="F2105" s="1" t="s">
        <v>927</v>
      </c>
      <c r="G2105" s="1">
        <v>30.0</v>
      </c>
      <c r="H2105" s="1">
        <v>1.666666667</v>
      </c>
      <c r="I2105" s="1">
        <v>4.5</v>
      </c>
      <c r="J2105" s="1">
        <v>0.961329</v>
      </c>
    </row>
    <row r="2106">
      <c r="A2106" s="1">
        <v>2025.0</v>
      </c>
      <c r="B2106" s="1" t="s">
        <v>577</v>
      </c>
      <c r="C2106" s="1">
        <v>687922.0</v>
      </c>
      <c r="D2106" s="1" t="s">
        <v>537</v>
      </c>
      <c r="E2106" s="1" t="s">
        <v>926</v>
      </c>
      <c r="F2106" s="1" t="s">
        <v>927</v>
      </c>
      <c r="G2106" s="1">
        <v>151.0</v>
      </c>
      <c r="H2106" s="1">
        <v>8.388888889</v>
      </c>
      <c r="I2106" s="1">
        <v>5.19</v>
      </c>
      <c r="J2106" s="1">
        <v>2.815818</v>
      </c>
    </row>
    <row r="2107">
      <c r="A2107" s="1">
        <v>2025.0</v>
      </c>
      <c r="B2107" s="1" t="s">
        <v>577</v>
      </c>
      <c r="C2107" s="1">
        <v>687922.0</v>
      </c>
      <c r="D2107" s="1" t="s">
        <v>533</v>
      </c>
      <c r="E2107" s="1" t="s">
        <v>926</v>
      </c>
      <c r="F2107" s="1" t="s">
        <v>927</v>
      </c>
      <c r="G2107" s="1">
        <v>28.0</v>
      </c>
      <c r="H2107" s="1">
        <v>1.555555556</v>
      </c>
      <c r="I2107" s="1">
        <v>5.0</v>
      </c>
      <c r="J2107" s="1">
        <v>0.620951</v>
      </c>
    </row>
    <row r="2108">
      <c r="A2108" s="1">
        <v>2025.0</v>
      </c>
      <c r="B2108" s="1" t="s">
        <v>577</v>
      </c>
      <c r="C2108" s="1">
        <v>687922.0</v>
      </c>
      <c r="D2108" s="1" t="s">
        <v>539</v>
      </c>
      <c r="E2108" s="1" t="s">
        <v>926</v>
      </c>
      <c r="F2108" s="1" t="s">
        <v>927</v>
      </c>
      <c r="G2108" s="1">
        <v>8.0</v>
      </c>
      <c r="H2108" s="1">
        <v>0.444444444</v>
      </c>
      <c r="I2108" s="1">
        <v>5.67</v>
      </c>
      <c r="J2108" s="1">
        <v>0.086197</v>
      </c>
    </row>
    <row r="2109">
      <c r="A2109" s="1">
        <v>2025.0</v>
      </c>
      <c r="B2109" s="1" t="s">
        <v>835</v>
      </c>
      <c r="C2109" s="1">
        <v>668834.0</v>
      </c>
      <c r="D2109" s="1" t="s">
        <v>532</v>
      </c>
      <c r="E2109" s="1" t="s">
        <v>927</v>
      </c>
      <c r="F2109" s="1" t="s">
        <v>926</v>
      </c>
      <c r="G2109" s="1">
        <v>4.0</v>
      </c>
      <c r="H2109" s="1">
        <v>0.263079223</v>
      </c>
      <c r="I2109" s="1">
        <v>4.47</v>
      </c>
      <c r="J2109" s="1">
        <v>0.130593</v>
      </c>
    </row>
    <row r="2110">
      <c r="A2110" s="1">
        <v>2025.0</v>
      </c>
      <c r="B2110" s="1" t="s">
        <v>835</v>
      </c>
      <c r="C2110" s="1">
        <v>668834.0</v>
      </c>
      <c r="D2110" s="1" t="s">
        <v>541</v>
      </c>
      <c r="E2110" s="1" t="s">
        <v>927</v>
      </c>
      <c r="F2110" s="1" t="s">
        <v>926</v>
      </c>
      <c r="G2110" s="1">
        <v>41.0</v>
      </c>
      <c r="H2110" s="1">
        <v>2.696562033</v>
      </c>
      <c r="I2110" s="1">
        <v>4.86</v>
      </c>
      <c r="J2110" s="1">
        <v>1.011175</v>
      </c>
    </row>
    <row r="2111">
      <c r="A2111" s="1">
        <v>2025.0</v>
      </c>
      <c r="B2111" s="1" t="s">
        <v>835</v>
      </c>
      <c r="C2111" s="1">
        <v>668834.0</v>
      </c>
      <c r="D2111" s="1" t="s">
        <v>540</v>
      </c>
      <c r="E2111" s="1" t="s">
        <v>927</v>
      </c>
      <c r="F2111" s="1" t="s">
        <v>926</v>
      </c>
      <c r="G2111" s="1">
        <v>23.0</v>
      </c>
      <c r="H2111" s="1">
        <v>1.512705531</v>
      </c>
      <c r="I2111" s="1">
        <v>5.28</v>
      </c>
      <c r="J2111" s="1">
        <v>0.416043</v>
      </c>
    </row>
    <row r="2112">
      <c r="A2112" s="1">
        <v>2025.0</v>
      </c>
      <c r="B2112" s="1" t="s">
        <v>835</v>
      </c>
      <c r="C2112" s="1">
        <v>668834.0</v>
      </c>
      <c r="D2112" s="1" t="s">
        <v>537</v>
      </c>
      <c r="E2112" s="1" t="s">
        <v>927</v>
      </c>
      <c r="F2112" s="1" t="s">
        <v>926</v>
      </c>
      <c r="G2112" s="1">
        <v>27.0</v>
      </c>
      <c r="H2112" s="1">
        <v>1.775784753</v>
      </c>
      <c r="I2112" s="1">
        <v>5.13</v>
      </c>
      <c r="J2112" s="1">
        <v>0.553628</v>
      </c>
    </row>
    <row r="2113">
      <c r="A2113" s="1">
        <v>2025.0</v>
      </c>
      <c r="B2113" s="1" t="s">
        <v>835</v>
      </c>
      <c r="C2113" s="1">
        <v>668834.0</v>
      </c>
      <c r="D2113" s="1" t="s">
        <v>536</v>
      </c>
      <c r="E2113" s="1" t="s">
        <v>927</v>
      </c>
      <c r="F2113" s="1" t="s">
        <v>926</v>
      </c>
      <c r="G2113" s="1">
        <v>33.0</v>
      </c>
      <c r="H2113" s="1">
        <v>2.170403587</v>
      </c>
      <c r="I2113" s="1">
        <v>5.19</v>
      </c>
      <c r="J2113" s="1">
        <v>0.589411</v>
      </c>
    </row>
    <row r="2114">
      <c r="A2114" s="1">
        <v>2025.0</v>
      </c>
      <c r="B2114" s="1" t="s">
        <v>835</v>
      </c>
      <c r="C2114" s="1">
        <v>668834.0</v>
      </c>
      <c r="D2114" s="1" t="s">
        <v>541</v>
      </c>
      <c r="E2114" s="1" t="s">
        <v>927</v>
      </c>
      <c r="F2114" s="1" t="s">
        <v>927</v>
      </c>
      <c r="G2114" s="1">
        <v>26.0</v>
      </c>
      <c r="H2114" s="1">
        <v>1.710014948</v>
      </c>
      <c r="I2114" s="1">
        <v>5.38</v>
      </c>
      <c r="J2114" s="1">
        <v>0.373728</v>
      </c>
    </row>
    <row r="2115">
      <c r="A2115" s="1">
        <v>2025.0</v>
      </c>
      <c r="B2115" s="1" t="s">
        <v>835</v>
      </c>
      <c r="C2115" s="1">
        <v>668834.0</v>
      </c>
      <c r="D2115" s="1" t="s">
        <v>540</v>
      </c>
      <c r="E2115" s="1" t="s">
        <v>927</v>
      </c>
      <c r="F2115" s="1" t="s">
        <v>927</v>
      </c>
      <c r="G2115" s="1">
        <v>6.0</v>
      </c>
      <c r="H2115" s="1">
        <v>0.394618834</v>
      </c>
      <c r="I2115" s="1">
        <v>5.79</v>
      </c>
      <c r="J2115" s="1">
        <v>0.041373</v>
      </c>
    </row>
    <row r="2116">
      <c r="A2116" s="1">
        <v>2025.0</v>
      </c>
      <c r="B2116" s="1" t="s">
        <v>835</v>
      </c>
      <c r="C2116" s="1">
        <v>668834.0</v>
      </c>
      <c r="D2116" s="1" t="s">
        <v>537</v>
      </c>
      <c r="E2116" s="1" t="s">
        <v>927</v>
      </c>
      <c r="F2116" s="1" t="s">
        <v>927</v>
      </c>
      <c r="G2116" s="1">
        <v>18.0</v>
      </c>
      <c r="H2116" s="1">
        <v>1.183856502</v>
      </c>
      <c r="I2116" s="1">
        <v>4.23</v>
      </c>
      <c r="J2116" s="1">
        <v>0.690345</v>
      </c>
    </row>
    <row r="2117">
      <c r="A2117" s="1">
        <v>2025.0</v>
      </c>
      <c r="B2117" s="1" t="s">
        <v>835</v>
      </c>
      <c r="C2117" s="1">
        <v>668834.0</v>
      </c>
      <c r="D2117" s="1" t="s">
        <v>536</v>
      </c>
      <c r="E2117" s="1" t="s">
        <v>927</v>
      </c>
      <c r="F2117" s="1" t="s">
        <v>927</v>
      </c>
      <c r="G2117" s="1">
        <v>38.0</v>
      </c>
      <c r="H2117" s="1">
        <v>2.499252616</v>
      </c>
      <c r="I2117" s="1">
        <v>4.97</v>
      </c>
      <c r="J2117" s="1">
        <v>0.85522</v>
      </c>
    </row>
    <row r="2118">
      <c r="A2118" s="1">
        <v>2025.0</v>
      </c>
      <c r="B2118" s="1" t="s">
        <v>835</v>
      </c>
      <c r="C2118" s="1">
        <v>668834.0</v>
      </c>
      <c r="D2118" s="1" t="s">
        <v>539</v>
      </c>
      <c r="E2118" s="1" t="s">
        <v>927</v>
      </c>
      <c r="F2118" s="1" t="s">
        <v>927</v>
      </c>
      <c r="G2118" s="1">
        <v>7.0</v>
      </c>
      <c r="H2118" s="1">
        <v>0.46038864</v>
      </c>
      <c r="I2118" s="1">
        <v>5.47</v>
      </c>
      <c r="J2118" s="1">
        <v>0.085475</v>
      </c>
    </row>
    <row r="2119">
      <c r="A2119" s="1">
        <v>2025.0</v>
      </c>
      <c r="B2119" s="1" t="s">
        <v>957</v>
      </c>
      <c r="C2119" s="1">
        <v>683618.0</v>
      </c>
      <c r="D2119" s="1" t="s">
        <v>540</v>
      </c>
      <c r="E2119" s="1" t="s">
        <v>927</v>
      </c>
      <c r="F2119" s="1" t="s">
        <v>926</v>
      </c>
      <c r="G2119" s="1">
        <v>31.0</v>
      </c>
      <c r="H2119" s="1">
        <v>2.111111111</v>
      </c>
      <c r="I2119" s="1">
        <v>4.73</v>
      </c>
      <c r="J2119" s="1">
        <v>0.847055</v>
      </c>
    </row>
    <row r="2120">
      <c r="A2120" s="1">
        <v>2025.0</v>
      </c>
      <c r="B2120" s="1" t="s">
        <v>957</v>
      </c>
      <c r="C2120" s="1">
        <v>683618.0</v>
      </c>
      <c r="D2120" s="1" t="s">
        <v>537</v>
      </c>
      <c r="E2120" s="1" t="s">
        <v>927</v>
      </c>
      <c r="F2120" s="1" t="s">
        <v>926</v>
      </c>
      <c r="G2120" s="1">
        <v>41.0</v>
      </c>
      <c r="H2120" s="1">
        <v>2.792114695</v>
      </c>
      <c r="I2120" s="1">
        <v>5.31</v>
      </c>
      <c r="J2120" s="1">
        <v>0.659006</v>
      </c>
    </row>
    <row r="2121">
      <c r="A2121" s="1">
        <v>2025.0</v>
      </c>
      <c r="B2121" s="1" t="s">
        <v>957</v>
      </c>
      <c r="C2121" s="1">
        <v>683618.0</v>
      </c>
      <c r="D2121" s="1" t="s">
        <v>536</v>
      </c>
      <c r="E2121" s="1" t="s">
        <v>927</v>
      </c>
      <c r="F2121" s="1" t="s">
        <v>926</v>
      </c>
      <c r="G2121" s="1">
        <v>6.0</v>
      </c>
      <c r="H2121" s="1">
        <v>0.408602151</v>
      </c>
      <c r="I2121" s="1">
        <v>5.89</v>
      </c>
      <c r="J2121" s="1">
        <v>0.028941</v>
      </c>
    </row>
    <row r="2122">
      <c r="A2122" s="1">
        <v>2025.0</v>
      </c>
      <c r="B2122" s="1" t="s">
        <v>957</v>
      </c>
      <c r="C2122" s="1">
        <v>683618.0</v>
      </c>
      <c r="D2122" s="1" t="s">
        <v>533</v>
      </c>
      <c r="E2122" s="1" t="s">
        <v>927</v>
      </c>
      <c r="F2122" s="1" t="s">
        <v>926</v>
      </c>
      <c r="G2122" s="1">
        <v>13.0</v>
      </c>
      <c r="H2122" s="1">
        <v>0.885304659</v>
      </c>
      <c r="I2122" s="1">
        <v>4.87</v>
      </c>
      <c r="J2122" s="1">
        <v>0.294894</v>
      </c>
    </row>
    <row r="2123">
      <c r="A2123" s="1">
        <v>2025.0</v>
      </c>
      <c r="B2123" s="1" t="s">
        <v>957</v>
      </c>
      <c r="C2123" s="1">
        <v>683618.0</v>
      </c>
      <c r="D2123" s="1" t="s">
        <v>541</v>
      </c>
      <c r="E2123" s="1" t="s">
        <v>927</v>
      </c>
      <c r="F2123" s="1" t="s">
        <v>927</v>
      </c>
      <c r="G2123" s="1">
        <v>8.0</v>
      </c>
      <c r="H2123" s="1">
        <v>0.544802867</v>
      </c>
      <c r="I2123" s="1">
        <v>5.61</v>
      </c>
      <c r="J2123" s="1">
        <v>0.054897</v>
      </c>
    </row>
    <row r="2124">
      <c r="A2124" s="1">
        <v>2025.0</v>
      </c>
      <c r="B2124" s="1" t="s">
        <v>957</v>
      </c>
      <c r="C2124" s="1">
        <v>683618.0</v>
      </c>
      <c r="D2124" s="1" t="s">
        <v>540</v>
      </c>
      <c r="E2124" s="1" t="s">
        <v>927</v>
      </c>
      <c r="F2124" s="1" t="s">
        <v>927</v>
      </c>
      <c r="G2124" s="1">
        <v>25.0</v>
      </c>
      <c r="H2124" s="1">
        <v>1.702508961</v>
      </c>
      <c r="I2124" s="1">
        <v>4.3</v>
      </c>
      <c r="J2124" s="1">
        <v>0.912824</v>
      </c>
    </row>
    <row r="2125">
      <c r="A2125" s="1">
        <v>2025.0</v>
      </c>
      <c r="B2125" s="1" t="s">
        <v>957</v>
      </c>
      <c r="C2125" s="1">
        <v>683618.0</v>
      </c>
      <c r="D2125" s="1" t="s">
        <v>537</v>
      </c>
      <c r="E2125" s="1" t="s">
        <v>927</v>
      </c>
      <c r="F2125" s="1" t="s">
        <v>927</v>
      </c>
      <c r="G2125" s="1">
        <v>34.0</v>
      </c>
      <c r="H2125" s="1">
        <v>2.315412186</v>
      </c>
      <c r="I2125" s="1">
        <v>5.3</v>
      </c>
      <c r="J2125" s="1">
        <v>0.511807</v>
      </c>
    </row>
    <row r="2126">
      <c r="A2126" s="1">
        <v>2025.0</v>
      </c>
      <c r="B2126" s="1" t="s">
        <v>957</v>
      </c>
      <c r="C2126" s="1">
        <v>683618.0</v>
      </c>
      <c r="D2126" s="1" t="s">
        <v>536</v>
      </c>
      <c r="E2126" s="1" t="s">
        <v>927</v>
      </c>
      <c r="F2126" s="1" t="s">
        <v>927</v>
      </c>
      <c r="G2126" s="1">
        <v>78.0</v>
      </c>
      <c r="H2126" s="1">
        <v>5.311827957</v>
      </c>
      <c r="I2126" s="1">
        <v>4.95</v>
      </c>
      <c r="J2126" s="1">
        <v>1.77203</v>
      </c>
    </row>
    <row r="2127">
      <c r="A2127" s="1">
        <v>2025.0</v>
      </c>
      <c r="B2127" s="1" t="s">
        <v>957</v>
      </c>
      <c r="C2127" s="1">
        <v>683618.0</v>
      </c>
      <c r="D2127" s="1" t="s">
        <v>533</v>
      </c>
      <c r="E2127" s="1" t="s">
        <v>927</v>
      </c>
      <c r="F2127" s="1" t="s">
        <v>927</v>
      </c>
      <c r="G2127" s="1">
        <v>43.0</v>
      </c>
      <c r="H2127" s="1">
        <v>2.928315412</v>
      </c>
      <c r="I2127" s="1">
        <v>5.42</v>
      </c>
      <c r="J2127" s="1">
        <v>0.561322</v>
      </c>
    </row>
    <row r="2128">
      <c r="A2128" s="1">
        <v>2025.0</v>
      </c>
      <c r="B2128" s="1" t="s">
        <v>157</v>
      </c>
      <c r="C2128" s="1">
        <v>660825.0</v>
      </c>
      <c r="D2128" s="1" t="s">
        <v>540</v>
      </c>
      <c r="E2128" s="1" t="s">
        <v>927</v>
      </c>
      <c r="F2128" s="1" t="s">
        <v>926</v>
      </c>
      <c r="G2128" s="1">
        <v>1.0</v>
      </c>
      <c r="H2128" s="1">
        <v>0.064746228</v>
      </c>
      <c r="I2128" s="1">
        <v>6.08</v>
      </c>
      <c r="J2128" s="1">
        <v>0.002222</v>
      </c>
    </row>
    <row r="2129">
      <c r="A2129" s="1">
        <v>2025.0</v>
      </c>
      <c r="B2129" s="1" t="s">
        <v>157</v>
      </c>
      <c r="C2129" s="1">
        <v>660825.0</v>
      </c>
      <c r="D2129" s="1" t="s">
        <v>537</v>
      </c>
      <c r="E2129" s="1" t="s">
        <v>927</v>
      </c>
      <c r="F2129" s="1" t="s">
        <v>926</v>
      </c>
      <c r="G2129" s="1">
        <v>87.0</v>
      </c>
      <c r="H2129" s="1">
        <v>5.632921811</v>
      </c>
      <c r="I2129" s="1">
        <v>4.84</v>
      </c>
      <c r="J2129" s="1">
        <v>2.211031</v>
      </c>
    </row>
    <row r="2130">
      <c r="A2130" s="1">
        <v>2025.0</v>
      </c>
      <c r="B2130" s="1" t="s">
        <v>157</v>
      </c>
      <c r="C2130" s="1">
        <v>660825.0</v>
      </c>
      <c r="D2130" s="1" t="s">
        <v>538</v>
      </c>
      <c r="E2130" s="1" t="s">
        <v>927</v>
      </c>
      <c r="F2130" s="1" t="s">
        <v>926</v>
      </c>
      <c r="G2130" s="1">
        <v>20.0</v>
      </c>
      <c r="H2130" s="1">
        <v>1.294924554</v>
      </c>
      <c r="I2130" s="1">
        <v>4.76</v>
      </c>
      <c r="J2130" s="1">
        <v>0.520733</v>
      </c>
    </row>
    <row r="2131">
      <c r="A2131" s="1">
        <v>2025.0</v>
      </c>
      <c r="B2131" s="1" t="s">
        <v>157</v>
      </c>
      <c r="C2131" s="1">
        <v>660825.0</v>
      </c>
      <c r="D2131" s="1" t="s">
        <v>536</v>
      </c>
      <c r="E2131" s="1" t="s">
        <v>927</v>
      </c>
      <c r="F2131" s="1" t="s">
        <v>926</v>
      </c>
      <c r="G2131" s="1">
        <v>180.0</v>
      </c>
      <c r="H2131" s="1">
        <v>11.65432099</v>
      </c>
      <c r="I2131" s="1">
        <v>4.8</v>
      </c>
      <c r="J2131" s="1">
        <v>4.64926</v>
      </c>
    </row>
    <row r="2132">
      <c r="A2132" s="1">
        <v>2025.0</v>
      </c>
      <c r="B2132" s="1" t="s">
        <v>157</v>
      </c>
      <c r="C2132" s="1">
        <v>660825.0</v>
      </c>
      <c r="D2132" s="1" t="s">
        <v>533</v>
      </c>
      <c r="E2132" s="1" t="s">
        <v>927</v>
      </c>
      <c r="F2132" s="1" t="s">
        <v>926</v>
      </c>
      <c r="G2132" s="1">
        <v>274.0</v>
      </c>
      <c r="H2132" s="1">
        <v>17.74046639</v>
      </c>
      <c r="I2132" s="1">
        <v>5.23</v>
      </c>
      <c r="J2132" s="1">
        <v>4.621475</v>
      </c>
    </row>
    <row r="2133">
      <c r="A2133" s="1">
        <v>2025.0</v>
      </c>
      <c r="B2133" s="1" t="s">
        <v>157</v>
      </c>
      <c r="C2133" s="1">
        <v>660825.0</v>
      </c>
      <c r="D2133" s="1" t="s">
        <v>537</v>
      </c>
      <c r="E2133" s="1" t="s">
        <v>927</v>
      </c>
      <c r="F2133" s="1" t="s">
        <v>927</v>
      </c>
      <c r="G2133" s="1">
        <v>86.0</v>
      </c>
      <c r="H2133" s="1">
        <v>5.568175583</v>
      </c>
      <c r="I2133" s="1">
        <v>4.68</v>
      </c>
      <c r="J2133" s="1">
        <v>2.450775</v>
      </c>
    </row>
    <row r="2134">
      <c r="A2134" s="1">
        <v>2025.0</v>
      </c>
      <c r="B2134" s="1" t="s">
        <v>157</v>
      </c>
      <c r="C2134" s="1">
        <v>660825.0</v>
      </c>
      <c r="D2134" s="1" t="s">
        <v>538</v>
      </c>
      <c r="E2134" s="1" t="s">
        <v>927</v>
      </c>
      <c r="F2134" s="1" t="s">
        <v>927</v>
      </c>
      <c r="G2134" s="1">
        <v>6.0</v>
      </c>
      <c r="H2134" s="1">
        <v>0.388477366</v>
      </c>
      <c r="I2134" s="1">
        <v>6.28</v>
      </c>
      <c r="J2134" s="1">
        <v>-0.029899</v>
      </c>
    </row>
    <row r="2135">
      <c r="A2135" s="1">
        <v>2025.0</v>
      </c>
      <c r="B2135" s="1" t="s">
        <v>157</v>
      </c>
      <c r="C2135" s="1">
        <v>660825.0</v>
      </c>
      <c r="D2135" s="1" t="s">
        <v>536</v>
      </c>
      <c r="E2135" s="1" t="s">
        <v>927</v>
      </c>
      <c r="F2135" s="1" t="s">
        <v>927</v>
      </c>
      <c r="G2135" s="1">
        <v>311.0</v>
      </c>
      <c r="H2135" s="1">
        <v>20.13607682</v>
      </c>
      <c r="I2135" s="1">
        <v>5.0</v>
      </c>
      <c r="J2135" s="1">
        <v>6.774842</v>
      </c>
    </row>
    <row r="2136">
      <c r="A2136" s="1">
        <v>2025.0</v>
      </c>
      <c r="B2136" s="1" t="s">
        <v>157</v>
      </c>
      <c r="C2136" s="1">
        <v>660825.0</v>
      </c>
      <c r="D2136" s="1" t="s">
        <v>533</v>
      </c>
      <c r="E2136" s="1" t="s">
        <v>927</v>
      </c>
      <c r="F2136" s="1" t="s">
        <v>927</v>
      </c>
      <c r="G2136" s="1">
        <v>250.0</v>
      </c>
      <c r="H2136" s="1">
        <v>16.18655693</v>
      </c>
      <c r="I2136" s="1">
        <v>5.37</v>
      </c>
      <c r="J2136" s="1">
        <v>3.440472</v>
      </c>
    </row>
    <row r="2137">
      <c r="A2137" s="1">
        <v>2025.0</v>
      </c>
      <c r="B2137" s="1" t="s">
        <v>368</v>
      </c>
      <c r="C2137" s="1">
        <v>593958.0</v>
      </c>
      <c r="D2137" s="1" t="s">
        <v>532</v>
      </c>
      <c r="E2137" s="1" t="s">
        <v>926</v>
      </c>
      <c r="F2137" s="1" t="s">
        <v>926</v>
      </c>
      <c r="G2137" s="1">
        <v>26.0</v>
      </c>
      <c r="H2137" s="1">
        <v>1.552288846</v>
      </c>
      <c r="I2137" s="1">
        <v>4.74</v>
      </c>
      <c r="J2137" s="1">
        <v>0.634456</v>
      </c>
    </row>
    <row r="2138">
      <c r="A2138" s="1">
        <v>2025.0</v>
      </c>
      <c r="B2138" s="1" t="s">
        <v>368</v>
      </c>
      <c r="C2138" s="1">
        <v>593958.0</v>
      </c>
      <c r="D2138" s="1" t="s">
        <v>541</v>
      </c>
      <c r="E2138" s="1" t="s">
        <v>926</v>
      </c>
      <c r="F2138" s="1" t="s">
        <v>926</v>
      </c>
      <c r="G2138" s="1">
        <v>45.0</v>
      </c>
      <c r="H2138" s="1">
        <v>2.686653772</v>
      </c>
      <c r="I2138" s="1">
        <v>5.2</v>
      </c>
      <c r="J2138" s="1">
        <v>0.82363</v>
      </c>
    </row>
    <row r="2139">
      <c r="A2139" s="1">
        <v>2025.0</v>
      </c>
      <c r="B2139" s="1" t="s">
        <v>368</v>
      </c>
      <c r="C2139" s="1">
        <v>593958.0</v>
      </c>
      <c r="D2139" s="1" t="s">
        <v>540</v>
      </c>
      <c r="E2139" s="1" t="s">
        <v>926</v>
      </c>
      <c r="F2139" s="1" t="s">
        <v>926</v>
      </c>
      <c r="G2139" s="1">
        <v>27.0</v>
      </c>
      <c r="H2139" s="1">
        <v>1.611992263</v>
      </c>
      <c r="I2139" s="1">
        <v>4.89</v>
      </c>
      <c r="J2139" s="1">
        <v>0.651544</v>
      </c>
    </row>
    <row r="2140">
      <c r="A2140" s="1">
        <v>2025.0</v>
      </c>
      <c r="B2140" s="1" t="s">
        <v>368</v>
      </c>
      <c r="C2140" s="1">
        <v>593958.0</v>
      </c>
      <c r="D2140" s="1" t="s">
        <v>537</v>
      </c>
      <c r="E2140" s="1" t="s">
        <v>926</v>
      </c>
      <c r="F2140" s="1" t="s">
        <v>926</v>
      </c>
      <c r="G2140" s="1">
        <v>234.0</v>
      </c>
      <c r="H2140" s="1">
        <v>13.97059961</v>
      </c>
      <c r="I2140" s="1">
        <v>5.1</v>
      </c>
      <c r="J2140" s="1">
        <v>4.912406</v>
      </c>
    </row>
    <row r="2141">
      <c r="A2141" s="1">
        <v>2025.0</v>
      </c>
      <c r="B2141" s="1" t="s">
        <v>368</v>
      </c>
      <c r="C2141" s="1">
        <v>593958.0</v>
      </c>
      <c r="D2141" s="1" t="s">
        <v>536</v>
      </c>
      <c r="E2141" s="1" t="s">
        <v>926</v>
      </c>
      <c r="F2141" s="1" t="s">
        <v>926</v>
      </c>
      <c r="G2141" s="1">
        <v>154.0</v>
      </c>
      <c r="H2141" s="1">
        <v>9.194326241</v>
      </c>
      <c r="I2141" s="1">
        <v>4.81</v>
      </c>
      <c r="J2141" s="1">
        <v>4.019389</v>
      </c>
    </row>
    <row r="2142">
      <c r="A2142" s="1">
        <v>2025.0</v>
      </c>
      <c r="B2142" s="1" t="s">
        <v>368</v>
      </c>
      <c r="C2142" s="1">
        <v>593958.0</v>
      </c>
      <c r="D2142" s="1" t="s">
        <v>533</v>
      </c>
      <c r="E2142" s="1" t="s">
        <v>926</v>
      </c>
      <c r="F2142" s="1" t="s">
        <v>926</v>
      </c>
      <c r="G2142" s="1">
        <v>71.0</v>
      </c>
      <c r="H2142" s="1">
        <v>4.238942618</v>
      </c>
      <c r="I2142" s="1">
        <v>5.18</v>
      </c>
      <c r="J2142" s="1">
        <v>1.25312</v>
      </c>
    </row>
    <row r="2143">
      <c r="A2143" s="1">
        <v>2025.0</v>
      </c>
      <c r="B2143" s="1" t="s">
        <v>368</v>
      </c>
      <c r="C2143" s="1">
        <v>593958.0</v>
      </c>
      <c r="D2143" s="1" t="s">
        <v>532</v>
      </c>
      <c r="E2143" s="1" t="s">
        <v>926</v>
      </c>
      <c r="F2143" s="1" t="s">
        <v>927</v>
      </c>
      <c r="G2143" s="1">
        <v>503.0</v>
      </c>
      <c r="H2143" s="1">
        <v>30.03081883</v>
      </c>
      <c r="I2143" s="1">
        <v>5.1</v>
      </c>
      <c r="J2143" s="1">
        <v>9.987152</v>
      </c>
    </row>
    <row r="2144">
      <c r="A2144" s="1">
        <v>2025.0</v>
      </c>
      <c r="B2144" s="1" t="s">
        <v>368</v>
      </c>
      <c r="C2144" s="1">
        <v>593958.0</v>
      </c>
      <c r="D2144" s="1" t="s">
        <v>541</v>
      </c>
      <c r="E2144" s="1" t="s">
        <v>926</v>
      </c>
      <c r="F2144" s="1" t="s">
        <v>927</v>
      </c>
      <c r="G2144" s="1">
        <v>49.0</v>
      </c>
      <c r="H2144" s="1">
        <v>2.92546744</v>
      </c>
      <c r="I2144" s="1">
        <v>5.11</v>
      </c>
      <c r="J2144" s="1">
        <v>0.981408</v>
      </c>
    </row>
    <row r="2145">
      <c r="A2145" s="1">
        <v>2025.0</v>
      </c>
      <c r="B2145" s="1" t="s">
        <v>368</v>
      </c>
      <c r="C2145" s="1">
        <v>593958.0</v>
      </c>
      <c r="D2145" s="1" t="s">
        <v>540</v>
      </c>
      <c r="E2145" s="1" t="s">
        <v>926</v>
      </c>
      <c r="F2145" s="1" t="s">
        <v>927</v>
      </c>
      <c r="G2145" s="1">
        <v>386.0</v>
      </c>
      <c r="H2145" s="1">
        <v>23.04551902</v>
      </c>
      <c r="I2145" s="1">
        <v>5.1</v>
      </c>
      <c r="J2145" s="1">
        <v>8.178202</v>
      </c>
    </row>
    <row r="2146">
      <c r="A2146" s="1">
        <v>2025.0</v>
      </c>
      <c r="B2146" s="1" t="s">
        <v>368</v>
      </c>
      <c r="C2146" s="1">
        <v>593958.0</v>
      </c>
      <c r="D2146" s="1" t="s">
        <v>537</v>
      </c>
      <c r="E2146" s="1" t="s">
        <v>926</v>
      </c>
      <c r="F2146" s="1" t="s">
        <v>927</v>
      </c>
      <c r="G2146" s="1">
        <v>949.0</v>
      </c>
      <c r="H2146" s="1">
        <v>56.65854288</v>
      </c>
      <c r="I2146" s="1">
        <v>4.79</v>
      </c>
      <c r="J2146" s="1">
        <v>25.360989</v>
      </c>
    </row>
    <row r="2147">
      <c r="A2147" s="1">
        <v>2025.0</v>
      </c>
      <c r="B2147" s="1" t="s">
        <v>368</v>
      </c>
      <c r="C2147" s="1">
        <v>593958.0</v>
      </c>
      <c r="D2147" s="1" t="s">
        <v>536</v>
      </c>
      <c r="E2147" s="1" t="s">
        <v>926</v>
      </c>
      <c r="F2147" s="1" t="s">
        <v>927</v>
      </c>
      <c r="G2147" s="1">
        <v>85.0</v>
      </c>
      <c r="H2147" s="1">
        <v>5.074790458</v>
      </c>
      <c r="I2147" s="1">
        <v>4.38</v>
      </c>
      <c r="J2147" s="1">
        <v>2.929777</v>
      </c>
    </row>
    <row r="2148">
      <c r="A2148" s="1">
        <v>2025.0</v>
      </c>
      <c r="B2148" s="1" t="s">
        <v>368</v>
      </c>
      <c r="C2148" s="1">
        <v>593958.0</v>
      </c>
      <c r="D2148" s="1" t="s">
        <v>533</v>
      </c>
      <c r="E2148" s="1" t="s">
        <v>926</v>
      </c>
      <c r="F2148" s="1" t="s">
        <v>927</v>
      </c>
      <c r="G2148" s="1">
        <v>56.0</v>
      </c>
      <c r="H2148" s="1">
        <v>3.34339136</v>
      </c>
      <c r="I2148" s="1">
        <v>5.02</v>
      </c>
      <c r="J2148" s="1">
        <v>1.128943</v>
      </c>
    </row>
    <row r="2149">
      <c r="A2149" s="1">
        <v>2025.0</v>
      </c>
      <c r="B2149" s="1" t="s">
        <v>508</v>
      </c>
      <c r="C2149" s="1">
        <v>674285.0</v>
      </c>
      <c r="D2149" s="1" t="s">
        <v>532</v>
      </c>
      <c r="E2149" s="1" t="s">
        <v>927</v>
      </c>
      <c r="F2149" s="1" t="s">
        <v>926</v>
      </c>
      <c r="G2149" s="1">
        <v>9.0</v>
      </c>
      <c r="H2149" s="1">
        <v>0.478899083</v>
      </c>
      <c r="I2149" s="1">
        <v>4.04</v>
      </c>
      <c r="J2149" s="1">
        <v>0.37663</v>
      </c>
    </row>
    <row r="2150">
      <c r="A2150" s="1">
        <v>2025.0</v>
      </c>
      <c r="B2150" s="1" t="s">
        <v>508</v>
      </c>
      <c r="C2150" s="1">
        <v>674285.0</v>
      </c>
      <c r="D2150" s="1" t="s">
        <v>537</v>
      </c>
      <c r="E2150" s="1" t="s">
        <v>927</v>
      </c>
      <c r="F2150" s="1" t="s">
        <v>926</v>
      </c>
      <c r="G2150" s="1">
        <v>108.0</v>
      </c>
      <c r="H2150" s="1">
        <v>5.746788991</v>
      </c>
      <c r="I2150" s="1">
        <v>4.27</v>
      </c>
      <c r="J2150" s="1">
        <v>4.032505</v>
      </c>
    </row>
    <row r="2151">
      <c r="A2151" s="1">
        <v>2025.0</v>
      </c>
      <c r="B2151" s="1" t="s">
        <v>508</v>
      </c>
      <c r="C2151" s="1">
        <v>674285.0</v>
      </c>
      <c r="D2151" s="1" t="s">
        <v>536</v>
      </c>
      <c r="E2151" s="1" t="s">
        <v>927</v>
      </c>
      <c r="F2151" s="1" t="s">
        <v>926</v>
      </c>
      <c r="G2151" s="1">
        <v>87.0</v>
      </c>
      <c r="H2151" s="1">
        <v>4.629357798</v>
      </c>
      <c r="I2151" s="1">
        <v>4.77</v>
      </c>
      <c r="J2151" s="1">
        <v>2.5046</v>
      </c>
    </row>
    <row r="2152">
      <c r="A2152" s="1">
        <v>2025.0</v>
      </c>
      <c r="B2152" s="1" t="s">
        <v>508</v>
      </c>
      <c r="C2152" s="1">
        <v>674285.0</v>
      </c>
      <c r="D2152" s="1" t="s">
        <v>533</v>
      </c>
      <c r="E2152" s="1" t="s">
        <v>927</v>
      </c>
      <c r="F2152" s="1" t="s">
        <v>926</v>
      </c>
      <c r="G2152" s="1">
        <v>61.0</v>
      </c>
      <c r="H2152" s="1">
        <v>3.24587156</v>
      </c>
      <c r="I2152" s="1">
        <v>5.12</v>
      </c>
      <c r="J2152" s="1">
        <v>1.18747</v>
      </c>
    </row>
    <row r="2153">
      <c r="A2153" s="1">
        <v>2025.0</v>
      </c>
      <c r="B2153" s="1" t="s">
        <v>508</v>
      </c>
      <c r="C2153" s="1">
        <v>674285.0</v>
      </c>
      <c r="D2153" s="1" t="s">
        <v>537</v>
      </c>
      <c r="E2153" s="1" t="s">
        <v>927</v>
      </c>
      <c r="F2153" s="1" t="s">
        <v>927</v>
      </c>
      <c r="G2153" s="1">
        <v>31.0</v>
      </c>
      <c r="H2153" s="1">
        <v>1.649541284</v>
      </c>
      <c r="I2153" s="1">
        <v>4.81</v>
      </c>
      <c r="J2153" s="1">
        <v>0.844514</v>
      </c>
    </row>
    <row r="2154">
      <c r="A2154" s="1">
        <v>2025.0</v>
      </c>
      <c r="B2154" s="1" t="s">
        <v>508</v>
      </c>
      <c r="C2154" s="1">
        <v>674285.0</v>
      </c>
      <c r="D2154" s="1" t="s">
        <v>536</v>
      </c>
      <c r="E2154" s="1" t="s">
        <v>927</v>
      </c>
      <c r="F2154" s="1" t="s">
        <v>927</v>
      </c>
      <c r="G2154" s="1">
        <v>137.0</v>
      </c>
      <c r="H2154" s="1">
        <v>7.289908257</v>
      </c>
      <c r="I2154" s="1">
        <v>4.83</v>
      </c>
      <c r="J2154" s="1">
        <v>3.55541</v>
      </c>
    </row>
    <row r="2155">
      <c r="A2155" s="1">
        <v>2025.0</v>
      </c>
      <c r="B2155" s="1" t="s">
        <v>508</v>
      </c>
      <c r="C2155" s="1">
        <v>674285.0</v>
      </c>
      <c r="D2155" s="1" t="s">
        <v>533</v>
      </c>
      <c r="E2155" s="1" t="s">
        <v>927</v>
      </c>
      <c r="F2155" s="1" t="s">
        <v>927</v>
      </c>
      <c r="G2155" s="1">
        <v>112.0</v>
      </c>
      <c r="H2155" s="1">
        <v>5.959633028</v>
      </c>
      <c r="I2155" s="1">
        <v>5.04</v>
      </c>
      <c r="J2155" s="1">
        <v>2.423559</v>
      </c>
    </row>
    <row r="2156">
      <c r="A2156" s="1">
        <v>2025.0</v>
      </c>
      <c r="B2156" s="1" t="s">
        <v>958</v>
      </c>
      <c r="C2156" s="1">
        <v>674384.0</v>
      </c>
      <c r="D2156" s="1" t="s">
        <v>541</v>
      </c>
      <c r="E2156" s="1" t="s">
        <v>927</v>
      </c>
      <c r="F2156" s="1" t="s">
        <v>926</v>
      </c>
      <c r="G2156" s="1">
        <v>5.0</v>
      </c>
      <c r="H2156" s="1">
        <v>0.254350736</v>
      </c>
      <c r="I2156" s="1">
        <v>4.87</v>
      </c>
      <c r="J2156" s="1">
        <v>0.122375</v>
      </c>
    </row>
    <row r="2157">
      <c r="A2157" s="1">
        <v>2025.0</v>
      </c>
      <c r="B2157" s="1" t="s">
        <v>958</v>
      </c>
      <c r="C2157" s="1">
        <v>674384.0</v>
      </c>
      <c r="D2157" s="1" t="s">
        <v>537</v>
      </c>
      <c r="E2157" s="1" t="s">
        <v>927</v>
      </c>
      <c r="F2157" s="1" t="s">
        <v>926</v>
      </c>
      <c r="G2157" s="1">
        <v>59.0</v>
      </c>
      <c r="H2157" s="1">
        <v>3.001338688</v>
      </c>
      <c r="I2157" s="1">
        <v>3.98</v>
      </c>
      <c r="J2157" s="1">
        <v>2.512617</v>
      </c>
    </row>
    <row r="2158">
      <c r="A2158" s="1">
        <v>2025.0</v>
      </c>
      <c r="B2158" s="1" t="s">
        <v>958</v>
      </c>
      <c r="C2158" s="1">
        <v>674384.0</v>
      </c>
      <c r="D2158" s="1" t="s">
        <v>533</v>
      </c>
      <c r="E2158" s="1" t="s">
        <v>927</v>
      </c>
      <c r="F2158" s="1" t="s">
        <v>926</v>
      </c>
      <c r="G2158" s="1">
        <v>34.0</v>
      </c>
      <c r="H2158" s="1">
        <v>1.729585007</v>
      </c>
      <c r="I2158" s="1">
        <v>5.33</v>
      </c>
      <c r="J2158" s="1">
        <v>0.531549</v>
      </c>
    </row>
    <row r="2159">
      <c r="A2159" s="1">
        <v>2025.0</v>
      </c>
      <c r="B2159" s="1" t="s">
        <v>958</v>
      </c>
      <c r="C2159" s="1">
        <v>674384.0</v>
      </c>
      <c r="D2159" s="1" t="s">
        <v>541</v>
      </c>
      <c r="E2159" s="1" t="s">
        <v>927</v>
      </c>
      <c r="F2159" s="1" t="s">
        <v>927</v>
      </c>
      <c r="G2159" s="1">
        <v>1.0</v>
      </c>
      <c r="H2159" s="1">
        <v>0.050870147</v>
      </c>
      <c r="I2159" s="1">
        <v>5.88</v>
      </c>
      <c r="J2159" s="1">
        <v>1.79E-4</v>
      </c>
    </row>
    <row r="2160">
      <c r="A2160" s="1">
        <v>2025.0</v>
      </c>
      <c r="B2160" s="1" t="s">
        <v>958</v>
      </c>
      <c r="C2160" s="1">
        <v>674384.0</v>
      </c>
      <c r="D2160" s="1" t="s">
        <v>537</v>
      </c>
      <c r="E2160" s="1" t="s">
        <v>927</v>
      </c>
      <c r="F2160" s="1" t="s">
        <v>927</v>
      </c>
      <c r="G2160" s="1">
        <v>96.0</v>
      </c>
      <c r="H2160" s="1">
        <v>4.883534137</v>
      </c>
      <c r="I2160" s="1">
        <v>4.77</v>
      </c>
      <c r="J2160" s="1">
        <v>2.556413</v>
      </c>
    </row>
    <row r="2161">
      <c r="A2161" s="1">
        <v>2025.0</v>
      </c>
      <c r="B2161" s="1" t="s">
        <v>958</v>
      </c>
      <c r="C2161" s="1">
        <v>674384.0</v>
      </c>
      <c r="D2161" s="1" t="s">
        <v>533</v>
      </c>
      <c r="E2161" s="1" t="s">
        <v>927</v>
      </c>
      <c r="F2161" s="1" t="s">
        <v>927</v>
      </c>
      <c r="G2161" s="1">
        <v>54.0</v>
      </c>
      <c r="H2161" s="1">
        <v>2.746987952</v>
      </c>
      <c r="I2161" s="1">
        <v>4.92</v>
      </c>
      <c r="J2161" s="1">
        <v>1.22691</v>
      </c>
    </row>
    <row r="2162">
      <c r="A2162" s="1">
        <v>2025.0</v>
      </c>
      <c r="B2162" s="1" t="s">
        <v>171</v>
      </c>
      <c r="C2162" s="1">
        <v>665795.0</v>
      </c>
      <c r="D2162" s="1" t="s">
        <v>532</v>
      </c>
      <c r="E2162" s="1" t="s">
        <v>927</v>
      </c>
      <c r="F2162" s="1" t="s">
        <v>926</v>
      </c>
      <c r="G2162" s="1">
        <v>349.0</v>
      </c>
      <c r="H2162" s="1">
        <v>21.36312435</v>
      </c>
      <c r="I2162" s="1">
        <v>5.26</v>
      </c>
      <c r="J2162" s="1">
        <v>5.391919</v>
      </c>
    </row>
    <row r="2163">
      <c r="A2163" s="1">
        <v>2025.0</v>
      </c>
      <c r="B2163" s="1" t="s">
        <v>171</v>
      </c>
      <c r="C2163" s="1">
        <v>665795.0</v>
      </c>
      <c r="D2163" s="1" t="s">
        <v>541</v>
      </c>
      <c r="E2163" s="1" t="s">
        <v>927</v>
      </c>
      <c r="F2163" s="1" t="s">
        <v>926</v>
      </c>
      <c r="G2163" s="1">
        <v>316.0</v>
      </c>
      <c r="H2163" s="1">
        <v>19.34311546</v>
      </c>
      <c r="I2163" s="1">
        <v>5.03</v>
      </c>
      <c r="J2163" s="1">
        <v>6.56585</v>
      </c>
    </row>
    <row r="2164">
      <c r="A2164" s="1">
        <v>2025.0</v>
      </c>
      <c r="B2164" s="1" t="s">
        <v>171</v>
      </c>
      <c r="C2164" s="1">
        <v>665795.0</v>
      </c>
      <c r="D2164" s="1" t="s">
        <v>537</v>
      </c>
      <c r="E2164" s="1" t="s">
        <v>927</v>
      </c>
      <c r="F2164" s="1" t="s">
        <v>926</v>
      </c>
      <c r="G2164" s="1">
        <v>192.0</v>
      </c>
      <c r="H2164" s="1">
        <v>11.75277901</v>
      </c>
      <c r="I2164" s="1">
        <v>4.59</v>
      </c>
      <c r="J2164" s="1">
        <v>5.873896</v>
      </c>
    </row>
    <row r="2165">
      <c r="A2165" s="1">
        <v>2025.0</v>
      </c>
      <c r="B2165" s="1" t="s">
        <v>171</v>
      </c>
      <c r="C2165" s="1">
        <v>665795.0</v>
      </c>
      <c r="D2165" s="1" t="s">
        <v>536</v>
      </c>
      <c r="E2165" s="1" t="s">
        <v>927</v>
      </c>
      <c r="F2165" s="1" t="s">
        <v>926</v>
      </c>
      <c r="G2165" s="1">
        <v>217.0</v>
      </c>
      <c r="H2165" s="1">
        <v>13.28308878</v>
      </c>
      <c r="I2165" s="1">
        <v>5.04</v>
      </c>
      <c r="J2165" s="1">
        <v>4.59608</v>
      </c>
    </row>
    <row r="2166">
      <c r="A2166" s="1">
        <v>2025.0</v>
      </c>
      <c r="B2166" s="1" t="s">
        <v>171</v>
      </c>
      <c r="C2166" s="1">
        <v>665795.0</v>
      </c>
      <c r="D2166" s="1" t="s">
        <v>533</v>
      </c>
      <c r="E2166" s="1" t="s">
        <v>927</v>
      </c>
      <c r="F2166" s="1" t="s">
        <v>926</v>
      </c>
      <c r="G2166" s="1">
        <v>145.0</v>
      </c>
      <c r="H2166" s="1">
        <v>8.87579665</v>
      </c>
      <c r="I2166" s="1">
        <v>4.84</v>
      </c>
      <c r="J2166" s="1">
        <v>3.540126</v>
      </c>
    </row>
    <row r="2167">
      <c r="A2167" s="1">
        <v>2025.0</v>
      </c>
      <c r="B2167" s="1" t="s">
        <v>171</v>
      </c>
      <c r="C2167" s="1">
        <v>665795.0</v>
      </c>
      <c r="D2167" s="1" t="s">
        <v>532</v>
      </c>
      <c r="E2167" s="1" t="s">
        <v>927</v>
      </c>
      <c r="F2167" s="1" t="s">
        <v>927</v>
      </c>
      <c r="G2167" s="1">
        <v>229.0</v>
      </c>
      <c r="H2167" s="1">
        <v>14.01763747</v>
      </c>
      <c r="I2167" s="1">
        <v>5.4</v>
      </c>
      <c r="J2167" s="1">
        <v>2.968575</v>
      </c>
    </row>
    <row r="2168">
      <c r="A2168" s="1">
        <v>2025.0</v>
      </c>
      <c r="B2168" s="1" t="s">
        <v>171</v>
      </c>
      <c r="C2168" s="1">
        <v>665795.0</v>
      </c>
      <c r="D2168" s="1" t="s">
        <v>541</v>
      </c>
      <c r="E2168" s="1" t="s">
        <v>927</v>
      </c>
      <c r="F2168" s="1" t="s">
        <v>927</v>
      </c>
      <c r="G2168" s="1">
        <v>215.0</v>
      </c>
      <c r="H2168" s="1">
        <v>13.160664</v>
      </c>
      <c r="I2168" s="1">
        <v>4.98</v>
      </c>
      <c r="J2168" s="1">
        <v>4.612027</v>
      </c>
    </row>
    <row r="2169">
      <c r="A2169" s="1">
        <v>2025.0</v>
      </c>
      <c r="B2169" s="1" t="s">
        <v>171</v>
      </c>
      <c r="C2169" s="1">
        <v>665795.0</v>
      </c>
      <c r="D2169" s="1" t="s">
        <v>537</v>
      </c>
      <c r="E2169" s="1" t="s">
        <v>927</v>
      </c>
      <c r="F2169" s="1" t="s">
        <v>927</v>
      </c>
      <c r="G2169" s="1">
        <v>95.0</v>
      </c>
      <c r="H2169" s="1">
        <v>5.815177116</v>
      </c>
      <c r="I2169" s="1">
        <v>4.71</v>
      </c>
      <c r="J2169" s="1">
        <v>2.609792</v>
      </c>
    </row>
    <row r="2170">
      <c r="A2170" s="1">
        <v>2025.0</v>
      </c>
      <c r="B2170" s="1" t="s">
        <v>171</v>
      </c>
      <c r="C2170" s="1">
        <v>665795.0</v>
      </c>
      <c r="D2170" s="1" t="s">
        <v>536</v>
      </c>
      <c r="E2170" s="1" t="s">
        <v>927</v>
      </c>
      <c r="F2170" s="1" t="s">
        <v>927</v>
      </c>
      <c r="G2170" s="1">
        <v>248.0</v>
      </c>
      <c r="H2170" s="1">
        <v>15.18067289</v>
      </c>
      <c r="I2170" s="1">
        <v>5.57</v>
      </c>
      <c r="J2170" s="1">
        <v>2.719861</v>
      </c>
    </row>
    <row r="2171">
      <c r="A2171" s="1">
        <v>2025.0</v>
      </c>
      <c r="B2171" s="1" t="s">
        <v>171</v>
      </c>
      <c r="C2171" s="1">
        <v>665795.0</v>
      </c>
      <c r="D2171" s="1" t="s">
        <v>533</v>
      </c>
      <c r="E2171" s="1" t="s">
        <v>927</v>
      </c>
      <c r="F2171" s="1" t="s">
        <v>927</v>
      </c>
      <c r="G2171" s="1">
        <v>243.0</v>
      </c>
      <c r="H2171" s="1">
        <v>14.87461094</v>
      </c>
      <c r="I2171" s="1">
        <v>5.08</v>
      </c>
      <c r="J2171" s="1">
        <v>4.947891</v>
      </c>
    </row>
    <row r="2172">
      <c r="A2172" s="1">
        <v>2025.0</v>
      </c>
      <c r="B2172" s="1" t="s">
        <v>327</v>
      </c>
      <c r="C2172" s="1">
        <v>621242.0</v>
      </c>
      <c r="D2172" s="1" t="s">
        <v>532</v>
      </c>
      <c r="E2172" s="1" t="s">
        <v>927</v>
      </c>
      <c r="F2172" s="1" t="s">
        <v>926</v>
      </c>
      <c r="G2172" s="1">
        <v>1.0</v>
      </c>
      <c r="H2172" s="1">
        <v>0.06228482</v>
      </c>
      <c r="I2172" s="1">
        <v>6.43</v>
      </c>
      <c r="J2172" s="1">
        <v>-0.010944</v>
      </c>
    </row>
    <row r="2173">
      <c r="A2173" s="1">
        <v>2025.0</v>
      </c>
      <c r="B2173" s="1" t="s">
        <v>327</v>
      </c>
      <c r="C2173" s="1">
        <v>621242.0</v>
      </c>
      <c r="D2173" s="1" t="s">
        <v>537</v>
      </c>
      <c r="E2173" s="1" t="s">
        <v>927</v>
      </c>
      <c r="F2173" s="1" t="s">
        <v>926</v>
      </c>
      <c r="G2173" s="1">
        <v>308.0</v>
      </c>
      <c r="H2173" s="1">
        <v>19.18372457</v>
      </c>
      <c r="I2173" s="1">
        <v>4.87</v>
      </c>
      <c r="J2173" s="1">
        <v>7.646665</v>
      </c>
    </row>
    <row r="2174">
      <c r="A2174" s="1">
        <v>2025.0</v>
      </c>
      <c r="B2174" s="1" t="s">
        <v>327</v>
      </c>
      <c r="C2174" s="1">
        <v>621242.0</v>
      </c>
      <c r="D2174" s="1" t="s">
        <v>533</v>
      </c>
      <c r="E2174" s="1" t="s">
        <v>927</v>
      </c>
      <c r="F2174" s="1" t="s">
        <v>926</v>
      </c>
      <c r="G2174" s="1">
        <v>259.0</v>
      </c>
      <c r="H2174" s="1">
        <v>16.13176839</v>
      </c>
      <c r="I2174" s="1">
        <v>5.0</v>
      </c>
      <c r="J2174" s="1">
        <v>5.598599</v>
      </c>
    </row>
    <row r="2175">
      <c r="A2175" s="1">
        <v>2025.0</v>
      </c>
      <c r="B2175" s="1" t="s">
        <v>327</v>
      </c>
      <c r="C2175" s="1">
        <v>621242.0</v>
      </c>
      <c r="D2175" s="1" t="s">
        <v>537</v>
      </c>
      <c r="E2175" s="1" t="s">
        <v>927</v>
      </c>
      <c r="F2175" s="1" t="s">
        <v>927</v>
      </c>
      <c r="G2175" s="1">
        <v>251.0</v>
      </c>
      <c r="H2175" s="1">
        <v>15.63348983</v>
      </c>
      <c r="I2175" s="1">
        <v>5.03</v>
      </c>
      <c r="J2175" s="1">
        <v>5.337319</v>
      </c>
    </row>
    <row r="2176">
      <c r="A2176" s="1">
        <v>2025.0</v>
      </c>
      <c r="B2176" s="1" t="s">
        <v>327</v>
      </c>
      <c r="C2176" s="1">
        <v>621242.0</v>
      </c>
      <c r="D2176" s="1" t="s">
        <v>533</v>
      </c>
      <c r="E2176" s="1" t="s">
        <v>927</v>
      </c>
      <c r="F2176" s="1" t="s">
        <v>927</v>
      </c>
      <c r="G2176" s="1">
        <v>246.0</v>
      </c>
      <c r="H2176" s="1">
        <v>15.32206573</v>
      </c>
      <c r="I2176" s="1">
        <v>4.78</v>
      </c>
      <c r="J2176" s="1">
        <v>6.437982</v>
      </c>
    </row>
    <row r="2177">
      <c r="A2177" s="1">
        <v>2025.0</v>
      </c>
      <c r="B2177" s="1" t="s">
        <v>400</v>
      </c>
      <c r="C2177" s="1">
        <v>670955.0</v>
      </c>
      <c r="D2177" s="1" t="s">
        <v>532</v>
      </c>
      <c r="E2177" s="1" t="s">
        <v>927</v>
      </c>
      <c r="F2177" s="1" t="s">
        <v>926</v>
      </c>
      <c r="G2177" s="1">
        <v>231.0</v>
      </c>
      <c r="H2177" s="1">
        <v>14.46128501</v>
      </c>
      <c r="I2177" s="1">
        <v>4.68</v>
      </c>
      <c r="J2177" s="1">
        <v>6.671595</v>
      </c>
    </row>
    <row r="2178">
      <c r="A2178" s="1">
        <v>2025.0</v>
      </c>
      <c r="B2178" s="1" t="s">
        <v>400</v>
      </c>
      <c r="C2178" s="1">
        <v>670955.0</v>
      </c>
      <c r="D2178" s="1" t="s">
        <v>540</v>
      </c>
      <c r="E2178" s="1" t="s">
        <v>927</v>
      </c>
      <c r="F2178" s="1" t="s">
        <v>926</v>
      </c>
      <c r="G2178" s="1">
        <v>69.0</v>
      </c>
      <c r="H2178" s="1">
        <v>4.319604613</v>
      </c>
      <c r="I2178" s="1">
        <v>5.37</v>
      </c>
      <c r="J2178" s="1">
        <v>1.093601</v>
      </c>
    </row>
    <row r="2179">
      <c r="A2179" s="1">
        <v>2025.0</v>
      </c>
      <c r="B2179" s="1" t="s">
        <v>400</v>
      </c>
      <c r="C2179" s="1">
        <v>670955.0</v>
      </c>
      <c r="D2179" s="1" t="s">
        <v>537</v>
      </c>
      <c r="E2179" s="1" t="s">
        <v>927</v>
      </c>
      <c r="F2179" s="1" t="s">
        <v>926</v>
      </c>
      <c r="G2179" s="1">
        <v>235.0</v>
      </c>
      <c r="H2179" s="1">
        <v>14.71169687</v>
      </c>
      <c r="I2179" s="1">
        <v>4.77</v>
      </c>
      <c r="J2179" s="1">
        <v>6.298615</v>
      </c>
    </row>
    <row r="2180">
      <c r="A2180" s="1">
        <v>2025.0</v>
      </c>
      <c r="B2180" s="1" t="s">
        <v>400</v>
      </c>
      <c r="C2180" s="1">
        <v>670955.0</v>
      </c>
      <c r="D2180" s="1" t="s">
        <v>536</v>
      </c>
      <c r="E2180" s="1" t="s">
        <v>927</v>
      </c>
      <c r="F2180" s="1" t="s">
        <v>926</v>
      </c>
      <c r="G2180" s="1">
        <v>1.0</v>
      </c>
      <c r="H2180" s="1">
        <v>0.062602965</v>
      </c>
      <c r="I2180" s="1">
        <v>6.01</v>
      </c>
      <c r="J2180" s="1">
        <v>0.001525</v>
      </c>
    </row>
    <row r="2181">
      <c r="A2181" s="1">
        <v>2025.0</v>
      </c>
      <c r="B2181" s="1" t="s">
        <v>400</v>
      </c>
      <c r="C2181" s="1">
        <v>670955.0</v>
      </c>
      <c r="D2181" s="1" t="s">
        <v>539</v>
      </c>
      <c r="E2181" s="1" t="s">
        <v>927</v>
      </c>
      <c r="F2181" s="1" t="s">
        <v>926</v>
      </c>
      <c r="G2181" s="1">
        <v>1.0</v>
      </c>
      <c r="H2181" s="1">
        <v>0.062602965</v>
      </c>
      <c r="I2181" s="1">
        <v>7.83</v>
      </c>
      <c r="J2181" s="1">
        <v>-0.038408</v>
      </c>
    </row>
    <row r="2182">
      <c r="A2182" s="1">
        <v>2025.0</v>
      </c>
      <c r="B2182" s="1" t="s">
        <v>400</v>
      </c>
      <c r="C2182" s="1">
        <v>670955.0</v>
      </c>
      <c r="D2182" s="1" t="s">
        <v>532</v>
      </c>
      <c r="E2182" s="1" t="s">
        <v>927</v>
      </c>
      <c r="F2182" s="1" t="s">
        <v>927</v>
      </c>
      <c r="G2182" s="1">
        <v>241.0</v>
      </c>
      <c r="H2182" s="1">
        <v>15.08731466</v>
      </c>
      <c r="I2182" s="1">
        <v>4.92</v>
      </c>
      <c r="J2182" s="1">
        <v>5.659889</v>
      </c>
    </row>
    <row r="2183">
      <c r="A2183" s="1">
        <v>2025.0</v>
      </c>
      <c r="B2183" s="1" t="s">
        <v>400</v>
      </c>
      <c r="C2183" s="1">
        <v>670955.0</v>
      </c>
      <c r="D2183" s="1" t="s">
        <v>540</v>
      </c>
      <c r="E2183" s="1" t="s">
        <v>927</v>
      </c>
      <c r="F2183" s="1" t="s">
        <v>927</v>
      </c>
      <c r="G2183" s="1">
        <v>124.0</v>
      </c>
      <c r="H2183" s="1">
        <v>7.76276771</v>
      </c>
      <c r="I2183" s="1">
        <v>5.13</v>
      </c>
      <c r="J2183" s="1">
        <v>2.496213</v>
      </c>
    </row>
    <row r="2184">
      <c r="A2184" s="1">
        <v>2025.0</v>
      </c>
      <c r="B2184" s="1" t="s">
        <v>400</v>
      </c>
      <c r="C2184" s="1">
        <v>670955.0</v>
      </c>
      <c r="D2184" s="1" t="s">
        <v>537</v>
      </c>
      <c r="E2184" s="1" t="s">
        <v>927</v>
      </c>
      <c r="F2184" s="1" t="s">
        <v>927</v>
      </c>
      <c r="G2184" s="1">
        <v>258.0</v>
      </c>
      <c r="H2184" s="1">
        <v>16.15156507</v>
      </c>
      <c r="I2184" s="1">
        <v>4.9</v>
      </c>
      <c r="J2184" s="1">
        <v>6.193554</v>
      </c>
    </row>
    <row r="2185">
      <c r="A2185" s="1">
        <v>2025.0</v>
      </c>
      <c r="B2185" s="1" t="s">
        <v>400</v>
      </c>
      <c r="C2185" s="1">
        <v>670955.0</v>
      </c>
      <c r="D2185" s="1" t="s">
        <v>536</v>
      </c>
      <c r="E2185" s="1" t="s">
        <v>927</v>
      </c>
      <c r="F2185" s="1" t="s">
        <v>927</v>
      </c>
      <c r="G2185" s="1">
        <v>19.0</v>
      </c>
      <c r="H2185" s="1">
        <v>1.189456343</v>
      </c>
      <c r="I2185" s="1">
        <v>4.95</v>
      </c>
      <c r="J2185" s="1">
        <v>0.449403</v>
      </c>
    </row>
    <row r="2186">
      <c r="A2186" s="1">
        <v>2025.0</v>
      </c>
      <c r="B2186" s="1" t="s">
        <v>400</v>
      </c>
      <c r="C2186" s="1">
        <v>670955.0</v>
      </c>
      <c r="D2186" s="1" t="s">
        <v>539</v>
      </c>
      <c r="E2186" s="1" t="s">
        <v>927</v>
      </c>
      <c r="F2186" s="1" t="s">
        <v>927</v>
      </c>
      <c r="G2186" s="1">
        <v>35.0</v>
      </c>
      <c r="H2186" s="1">
        <v>2.191103789</v>
      </c>
      <c r="I2186" s="1">
        <v>5.38</v>
      </c>
      <c r="J2186" s="1">
        <v>0.474753</v>
      </c>
    </row>
    <row r="2187">
      <c r="A2187" s="1">
        <v>2025.0</v>
      </c>
      <c r="B2187" s="1" t="s">
        <v>631</v>
      </c>
      <c r="C2187" s="1">
        <v>669212.0</v>
      </c>
      <c r="D2187" s="1" t="s">
        <v>532</v>
      </c>
      <c r="E2187" s="1" t="s">
        <v>927</v>
      </c>
      <c r="F2187" s="1" t="s">
        <v>926</v>
      </c>
      <c r="G2187" s="1">
        <v>35.0</v>
      </c>
      <c r="H2187" s="1">
        <v>1.944444444</v>
      </c>
      <c r="I2187" s="1">
        <v>5.26</v>
      </c>
      <c r="J2187" s="1">
        <v>0.561676</v>
      </c>
    </row>
    <row r="2188">
      <c r="A2188" s="1">
        <v>2025.0</v>
      </c>
      <c r="B2188" s="1" t="s">
        <v>631</v>
      </c>
      <c r="C2188" s="1">
        <v>669212.0</v>
      </c>
      <c r="D2188" s="1" t="s">
        <v>537</v>
      </c>
      <c r="E2188" s="1" t="s">
        <v>927</v>
      </c>
      <c r="F2188" s="1" t="s">
        <v>926</v>
      </c>
      <c r="G2188" s="1">
        <v>23.0</v>
      </c>
      <c r="H2188" s="1">
        <v>1.277777778</v>
      </c>
      <c r="I2188" s="1">
        <v>5.83</v>
      </c>
      <c r="J2188" s="1">
        <v>0.100654</v>
      </c>
    </row>
    <row r="2189">
      <c r="A2189" s="1">
        <v>2025.0</v>
      </c>
      <c r="B2189" s="1" t="s">
        <v>631</v>
      </c>
      <c r="C2189" s="1">
        <v>669212.0</v>
      </c>
      <c r="D2189" s="1" t="s">
        <v>533</v>
      </c>
      <c r="E2189" s="1" t="s">
        <v>927</v>
      </c>
      <c r="F2189" s="1" t="s">
        <v>926</v>
      </c>
      <c r="G2189" s="1">
        <v>12.0</v>
      </c>
      <c r="H2189" s="1">
        <v>0.666666667</v>
      </c>
      <c r="I2189" s="1">
        <v>4.99</v>
      </c>
      <c r="J2189" s="1">
        <v>0.261892</v>
      </c>
    </row>
    <row r="2190">
      <c r="A2190" s="1">
        <v>2025.0</v>
      </c>
      <c r="B2190" s="1" t="s">
        <v>631</v>
      </c>
      <c r="C2190" s="1">
        <v>669212.0</v>
      </c>
      <c r="D2190" s="1" t="s">
        <v>532</v>
      </c>
      <c r="E2190" s="1" t="s">
        <v>927</v>
      </c>
      <c r="F2190" s="1" t="s">
        <v>927</v>
      </c>
      <c r="G2190" s="1">
        <v>20.0</v>
      </c>
      <c r="H2190" s="1">
        <v>1.111111111</v>
      </c>
      <c r="I2190" s="1">
        <v>5.03</v>
      </c>
      <c r="J2190" s="1">
        <v>0.416264</v>
      </c>
    </row>
    <row r="2191">
      <c r="A2191" s="1">
        <v>2025.0</v>
      </c>
      <c r="B2191" s="1" t="s">
        <v>631</v>
      </c>
      <c r="C2191" s="1">
        <v>669212.0</v>
      </c>
      <c r="D2191" s="1" t="s">
        <v>537</v>
      </c>
      <c r="E2191" s="1" t="s">
        <v>927</v>
      </c>
      <c r="F2191" s="1" t="s">
        <v>927</v>
      </c>
      <c r="G2191" s="1">
        <v>16.0</v>
      </c>
      <c r="H2191" s="1">
        <v>0.888888889</v>
      </c>
      <c r="I2191" s="1">
        <v>5.13</v>
      </c>
      <c r="J2191" s="1">
        <v>0.294555</v>
      </c>
    </row>
    <row r="2192">
      <c r="A2192" s="1">
        <v>2025.0</v>
      </c>
      <c r="B2192" s="1" t="s">
        <v>631</v>
      </c>
      <c r="C2192" s="1">
        <v>669212.0</v>
      </c>
      <c r="D2192" s="1" t="s">
        <v>533</v>
      </c>
      <c r="E2192" s="1" t="s">
        <v>927</v>
      </c>
      <c r="F2192" s="1" t="s">
        <v>927</v>
      </c>
      <c r="G2192" s="1">
        <v>26.0</v>
      </c>
      <c r="H2192" s="1">
        <v>1.444444444</v>
      </c>
      <c r="I2192" s="1">
        <v>5.12</v>
      </c>
      <c r="J2192" s="1">
        <v>0.49884</v>
      </c>
    </row>
    <row r="2193">
      <c r="A2193" s="1">
        <v>2025.0</v>
      </c>
      <c r="B2193" s="1" t="s">
        <v>560</v>
      </c>
      <c r="C2193" s="1">
        <v>660730.0</v>
      </c>
      <c r="D2193" s="1" t="s">
        <v>532</v>
      </c>
      <c r="E2193" s="1" t="s">
        <v>927</v>
      </c>
      <c r="F2193" s="1" t="s">
        <v>926</v>
      </c>
      <c r="G2193" s="1">
        <v>18.0</v>
      </c>
      <c r="H2193" s="1">
        <v>1.056716418</v>
      </c>
      <c r="I2193" s="1">
        <v>4.86</v>
      </c>
      <c r="J2193" s="1">
        <v>0.425808</v>
      </c>
    </row>
    <row r="2194">
      <c r="A2194" s="1">
        <v>2025.0</v>
      </c>
      <c r="B2194" s="1" t="s">
        <v>560</v>
      </c>
      <c r="C2194" s="1">
        <v>660730.0</v>
      </c>
      <c r="D2194" s="1" t="s">
        <v>541</v>
      </c>
      <c r="E2194" s="1" t="s">
        <v>927</v>
      </c>
      <c r="F2194" s="1" t="s">
        <v>926</v>
      </c>
      <c r="G2194" s="1">
        <v>25.0</v>
      </c>
      <c r="H2194" s="1">
        <v>1.467661692</v>
      </c>
      <c r="I2194" s="1">
        <v>4.97</v>
      </c>
      <c r="J2194" s="1">
        <v>0.552413</v>
      </c>
    </row>
    <row r="2195">
      <c r="A2195" s="1">
        <v>2025.0</v>
      </c>
      <c r="B2195" s="1" t="s">
        <v>560</v>
      </c>
      <c r="C2195" s="1">
        <v>660730.0</v>
      </c>
      <c r="D2195" s="1" t="s">
        <v>540</v>
      </c>
      <c r="E2195" s="1" t="s">
        <v>927</v>
      </c>
      <c r="F2195" s="1" t="s">
        <v>926</v>
      </c>
      <c r="G2195" s="1">
        <v>17.0</v>
      </c>
      <c r="H2195" s="1">
        <v>0.99800995</v>
      </c>
      <c r="I2195" s="1">
        <v>5.23</v>
      </c>
      <c r="J2195" s="1">
        <v>0.302158</v>
      </c>
    </row>
    <row r="2196">
      <c r="A2196" s="1">
        <v>2025.0</v>
      </c>
      <c r="B2196" s="1" t="s">
        <v>560</v>
      </c>
      <c r="C2196" s="1">
        <v>660730.0</v>
      </c>
      <c r="D2196" s="1" t="s">
        <v>537</v>
      </c>
      <c r="E2196" s="1" t="s">
        <v>927</v>
      </c>
      <c r="F2196" s="1" t="s">
        <v>926</v>
      </c>
      <c r="G2196" s="1">
        <v>63.0</v>
      </c>
      <c r="H2196" s="1">
        <v>3.698507463</v>
      </c>
      <c r="I2196" s="1">
        <v>5.24</v>
      </c>
      <c r="J2196" s="1">
        <v>1.069923</v>
      </c>
    </row>
    <row r="2197">
      <c r="A2197" s="1">
        <v>2025.0</v>
      </c>
      <c r="B2197" s="1" t="s">
        <v>560</v>
      </c>
      <c r="C2197" s="1">
        <v>660730.0</v>
      </c>
      <c r="D2197" s="1" t="s">
        <v>532</v>
      </c>
      <c r="E2197" s="1" t="s">
        <v>927</v>
      </c>
      <c r="F2197" s="1" t="s">
        <v>927</v>
      </c>
      <c r="G2197" s="1">
        <v>2.0</v>
      </c>
      <c r="H2197" s="1">
        <v>0.117412935</v>
      </c>
      <c r="I2197" s="1">
        <v>3.63</v>
      </c>
      <c r="J2197" s="1">
        <v>0.096358</v>
      </c>
    </row>
    <row r="2198">
      <c r="A2198" s="1">
        <v>2025.0</v>
      </c>
      <c r="B2198" s="1" t="s">
        <v>560</v>
      </c>
      <c r="C2198" s="1">
        <v>660730.0</v>
      </c>
      <c r="D2198" s="1" t="s">
        <v>541</v>
      </c>
      <c r="E2198" s="1" t="s">
        <v>927</v>
      </c>
      <c r="F2198" s="1" t="s">
        <v>927</v>
      </c>
      <c r="G2198" s="1">
        <v>45.0</v>
      </c>
      <c r="H2198" s="1">
        <v>2.641791045</v>
      </c>
      <c r="I2198" s="1">
        <v>4.36</v>
      </c>
      <c r="J2198" s="1">
        <v>1.558724</v>
      </c>
    </row>
    <row r="2199">
      <c r="A2199" s="1">
        <v>2025.0</v>
      </c>
      <c r="B2199" s="1" t="s">
        <v>560</v>
      </c>
      <c r="C2199" s="1">
        <v>660730.0</v>
      </c>
      <c r="D2199" s="1" t="s">
        <v>540</v>
      </c>
      <c r="E2199" s="1" t="s">
        <v>927</v>
      </c>
      <c r="F2199" s="1" t="s">
        <v>927</v>
      </c>
      <c r="G2199" s="1">
        <v>39.0</v>
      </c>
      <c r="H2199" s="1">
        <v>2.289552239</v>
      </c>
      <c r="I2199" s="1">
        <v>5.12</v>
      </c>
      <c r="J2199" s="1">
        <v>0.803651</v>
      </c>
    </row>
    <row r="2200">
      <c r="A2200" s="1">
        <v>2025.0</v>
      </c>
      <c r="B2200" s="1" t="s">
        <v>560</v>
      </c>
      <c r="C2200" s="1">
        <v>660730.0</v>
      </c>
      <c r="D2200" s="1" t="s">
        <v>537</v>
      </c>
      <c r="E2200" s="1" t="s">
        <v>927</v>
      </c>
      <c r="F2200" s="1" t="s">
        <v>927</v>
      </c>
      <c r="G2200" s="1">
        <v>92.0</v>
      </c>
      <c r="H2200" s="1">
        <v>5.400995025</v>
      </c>
      <c r="I2200" s="1">
        <v>5.09</v>
      </c>
      <c r="J2200" s="1">
        <v>1.890223</v>
      </c>
    </row>
    <row r="2201">
      <c r="A2201" s="1">
        <v>2025.0</v>
      </c>
      <c r="B2201" s="1" t="s">
        <v>560</v>
      </c>
      <c r="C2201" s="1">
        <v>660730.0</v>
      </c>
      <c r="D2201" s="1" t="s">
        <v>539</v>
      </c>
      <c r="E2201" s="1" t="s">
        <v>927</v>
      </c>
      <c r="F2201" s="1" t="s">
        <v>927</v>
      </c>
      <c r="G2201" s="1">
        <v>34.0</v>
      </c>
      <c r="H2201" s="1">
        <v>1.9960199</v>
      </c>
      <c r="I2201" s="1">
        <v>4.66</v>
      </c>
      <c r="J2201" s="1">
        <v>0.954437</v>
      </c>
    </row>
    <row r="2202">
      <c r="A2202" s="1">
        <v>2025.0</v>
      </c>
      <c r="B2202" s="1" t="s">
        <v>471</v>
      </c>
      <c r="C2202" s="1">
        <v>665660.0</v>
      </c>
      <c r="D2202" s="1" t="s">
        <v>532</v>
      </c>
      <c r="E2202" s="1" t="s">
        <v>927</v>
      </c>
      <c r="F2202" s="1" t="s">
        <v>926</v>
      </c>
      <c r="G2202" s="1">
        <v>30.0</v>
      </c>
      <c r="H2202" s="1">
        <v>1.673254282</v>
      </c>
      <c r="I2202" s="1">
        <v>4.53</v>
      </c>
      <c r="J2202" s="1">
        <v>0.940742</v>
      </c>
    </row>
    <row r="2203">
      <c r="A2203" s="1">
        <v>2025.0</v>
      </c>
      <c r="B2203" s="1" t="s">
        <v>471</v>
      </c>
      <c r="C2203" s="1">
        <v>665660.0</v>
      </c>
      <c r="D2203" s="1" t="s">
        <v>537</v>
      </c>
      <c r="E2203" s="1" t="s">
        <v>927</v>
      </c>
      <c r="F2203" s="1" t="s">
        <v>926</v>
      </c>
      <c r="G2203" s="1">
        <v>199.0</v>
      </c>
      <c r="H2203" s="1">
        <v>11.0992534</v>
      </c>
      <c r="I2203" s="1">
        <v>4.76</v>
      </c>
      <c r="J2203" s="1">
        <v>5.443811</v>
      </c>
    </row>
    <row r="2204">
      <c r="A2204" s="1">
        <v>2025.0</v>
      </c>
      <c r="B2204" s="1" t="s">
        <v>471</v>
      </c>
      <c r="C2204" s="1">
        <v>665660.0</v>
      </c>
      <c r="D2204" s="1" t="s">
        <v>536</v>
      </c>
      <c r="E2204" s="1" t="s">
        <v>927</v>
      </c>
      <c r="F2204" s="1" t="s">
        <v>926</v>
      </c>
      <c r="G2204" s="1">
        <v>29.0</v>
      </c>
      <c r="H2204" s="1">
        <v>1.617479139</v>
      </c>
      <c r="I2204" s="1">
        <v>4.77</v>
      </c>
      <c r="J2204" s="1">
        <v>0.80595</v>
      </c>
    </row>
    <row r="2205">
      <c r="A2205" s="1">
        <v>2025.0</v>
      </c>
      <c r="B2205" s="1" t="s">
        <v>471</v>
      </c>
      <c r="C2205" s="1">
        <v>665660.0</v>
      </c>
      <c r="D2205" s="1" t="s">
        <v>533</v>
      </c>
      <c r="E2205" s="1" t="s">
        <v>927</v>
      </c>
      <c r="F2205" s="1" t="s">
        <v>926</v>
      </c>
      <c r="G2205" s="1">
        <v>87.0</v>
      </c>
      <c r="H2205" s="1">
        <v>4.852437418</v>
      </c>
      <c r="I2205" s="1">
        <v>4.85</v>
      </c>
      <c r="J2205" s="1">
        <v>2.191617</v>
      </c>
    </row>
    <row r="2206">
      <c r="A2206" s="1">
        <v>2025.0</v>
      </c>
      <c r="B2206" s="1" t="s">
        <v>471</v>
      </c>
      <c r="C2206" s="1">
        <v>665660.0</v>
      </c>
      <c r="D2206" s="1" t="s">
        <v>532</v>
      </c>
      <c r="E2206" s="1" t="s">
        <v>927</v>
      </c>
      <c r="F2206" s="1" t="s">
        <v>927</v>
      </c>
      <c r="G2206" s="1">
        <v>1.0</v>
      </c>
      <c r="H2206" s="1">
        <v>0.055775143</v>
      </c>
      <c r="I2206" s="1">
        <v>6.69</v>
      </c>
      <c r="J2206" s="1">
        <v>-0.011795</v>
      </c>
    </row>
    <row r="2207">
      <c r="A2207" s="1">
        <v>2025.0</v>
      </c>
      <c r="B2207" s="1" t="s">
        <v>471</v>
      </c>
      <c r="C2207" s="1">
        <v>665660.0</v>
      </c>
      <c r="D2207" s="1" t="s">
        <v>537</v>
      </c>
      <c r="E2207" s="1" t="s">
        <v>927</v>
      </c>
      <c r="F2207" s="1" t="s">
        <v>927</v>
      </c>
      <c r="G2207" s="1">
        <v>210.0</v>
      </c>
      <c r="H2207" s="1">
        <v>11.71277997</v>
      </c>
      <c r="I2207" s="1">
        <v>4.91</v>
      </c>
      <c r="J2207" s="1">
        <v>5.034509</v>
      </c>
    </row>
    <row r="2208">
      <c r="A2208" s="1">
        <v>2025.0</v>
      </c>
      <c r="B2208" s="1" t="s">
        <v>471</v>
      </c>
      <c r="C2208" s="1">
        <v>665660.0</v>
      </c>
      <c r="D2208" s="1" t="s">
        <v>536</v>
      </c>
      <c r="E2208" s="1" t="s">
        <v>927</v>
      </c>
      <c r="F2208" s="1" t="s">
        <v>927</v>
      </c>
      <c r="G2208" s="1">
        <v>47.0</v>
      </c>
      <c r="H2208" s="1">
        <v>2.621431708</v>
      </c>
      <c r="I2208" s="1">
        <v>5.71</v>
      </c>
      <c r="J2208" s="1">
        <v>0.365829</v>
      </c>
    </row>
    <row r="2209">
      <c r="A2209" s="1">
        <v>2025.0</v>
      </c>
      <c r="B2209" s="1" t="s">
        <v>471</v>
      </c>
      <c r="C2209" s="1">
        <v>665660.0</v>
      </c>
      <c r="D2209" s="1" t="s">
        <v>533</v>
      </c>
      <c r="E2209" s="1" t="s">
        <v>927</v>
      </c>
      <c r="F2209" s="1" t="s">
        <v>927</v>
      </c>
      <c r="G2209" s="1">
        <v>156.0</v>
      </c>
      <c r="H2209" s="1">
        <v>8.700922266</v>
      </c>
      <c r="I2209" s="1">
        <v>4.67</v>
      </c>
      <c r="J2209" s="1">
        <v>4.521616</v>
      </c>
    </row>
    <row r="2210">
      <c r="A2210" s="1">
        <v>2025.0</v>
      </c>
      <c r="B2210" s="1" t="s">
        <v>690</v>
      </c>
      <c r="C2210" s="1">
        <v>665625.0</v>
      </c>
      <c r="D2210" s="1" t="s">
        <v>536</v>
      </c>
      <c r="E2210" s="1" t="s">
        <v>927</v>
      </c>
      <c r="F2210" s="1" t="s">
        <v>926</v>
      </c>
      <c r="G2210" s="1">
        <v>40.0</v>
      </c>
      <c r="H2210" s="1">
        <v>1.996434938</v>
      </c>
      <c r="I2210" s="1">
        <v>4.1</v>
      </c>
      <c r="J2210" s="1">
        <v>1.593318</v>
      </c>
    </row>
    <row r="2211">
      <c r="A2211" s="1">
        <v>2025.0</v>
      </c>
      <c r="B2211" s="1" t="s">
        <v>690</v>
      </c>
      <c r="C2211" s="1">
        <v>665625.0</v>
      </c>
      <c r="D2211" s="1" t="s">
        <v>533</v>
      </c>
      <c r="E2211" s="1" t="s">
        <v>927</v>
      </c>
      <c r="F2211" s="1" t="s">
        <v>926</v>
      </c>
      <c r="G2211" s="1">
        <v>26.0</v>
      </c>
      <c r="H2211" s="1">
        <v>1.297682709</v>
      </c>
      <c r="I2211" s="1">
        <v>5.44</v>
      </c>
      <c r="J2211" s="1">
        <v>0.339473</v>
      </c>
    </row>
    <row r="2212">
      <c r="A2212" s="1">
        <v>2025.0</v>
      </c>
      <c r="B2212" s="1" t="s">
        <v>690</v>
      </c>
      <c r="C2212" s="1">
        <v>665625.0</v>
      </c>
      <c r="D2212" s="1" t="s">
        <v>536</v>
      </c>
      <c r="E2212" s="1" t="s">
        <v>927</v>
      </c>
      <c r="F2212" s="1" t="s">
        <v>927</v>
      </c>
      <c r="G2212" s="1">
        <v>54.0</v>
      </c>
      <c r="H2212" s="1">
        <v>2.695187166</v>
      </c>
      <c r="I2212" s="1">
        <v>5.06</v>
      </c>
      <c r="J2212" s="1">
        <v>1.130974</v>
      </c>
    </row>
    <row r="2213">
      <c r="A2213" s="1">
        <v>2025.0</v>
      </c>
      <c r="B2213" s="1" t="s">
        <v>690</v>
      </c>
      <c r="C2213" s="1">
        <v>665625.0</v>
      </c>
      <c r="D2213" s="1" t="s">
        <v>533</v>
      </c>
      <c r="E2213" s="1" t="s">
        <v>927</v>
      </c>
      <c r="F2213" s="1" t="s">
        <v>927</v>
      </c>
      <c r="G2213" s="1">
        <v>67.0</v>
      </c>
      <c r="H2213" s="1">
        <v>3.34402852</v>
      </c>
      <c r="I2213" s="1">
        <v>5.04</v>
      </c>
      <c r="J2213" s="1">
        <v>1.357723</v>
      </c>
    </row>
    <row r="2214">
      <c r="A2214" s="1">
        <v>2025.0</v>
      </c>
      <c r="B2214" s="1" t="s">
        <v>509</v>
      </c>
      <c r="C2214" s="1">
        <v>676106.0</v>
      </c>
      <c r="D2214" s="1" t="s">
        <v>532</v>
      </c>
      <c r="E2214" s="1" t="s">
        <v>927</v>
      </c>
      <c r="F2214" s="1" t="s">
        <v>926</v>
      </c>
      <c r="G2214" s="1">
        <v>233.0</v>
      </c>
      <c r="H2214" s="1">
        <v>14.73647224</v>
      </c>
      <c r="I2214" s="1">
        <v>4.74</v>
      </c>
      <c r="J2214" s="1">
        <v>6.444603</v>
      </c>
    </row>
    <row r="2215">
      <c r="A2215" s="1">
        <v>2025.0</v>
      </c>
      <c r="B2215" s="1" t="s">
        <v>509</v>
      </c>
      <c r="C2215" s="1">
        <v>676106.0</v>
      </c>
      <c r="D2215" s="1" t="s">
        <v>537</v>
      </c>
      <c r="E2215" s="1" t="s">
        <v>927</v>
      </c>
      <c r="F2215" s="1" t="s">
        <v>926</v>
      </c>
      <c r="G2215" s="1">
        <v>242.0</v>
      </c>
      <c r="H2215" s="1">
        <v>15.3056922</v>
      </c>
      <c r="I2215" s="1">
        <v>4.53</v>
      </c>
      <c r="J2215" s="1">
        <v>7.76841</v>
      </c>
    </row>
    <row r="2216">
      <c r="A2216" s="1">
        <v>2025.0</v>
      </c>
      <c r="B2216" s="1" t="s">
        <v>509</v>
      </c>
      <c r="C2216" s="1">
        <v>676106.0</v>
      </c>
      <c r="D2216" s="1" t="s">
        <v>536</v>
      </c>
      <c r="E2216" s="1" t="s">
        <v>927</v>
      </c>
      <c r="F2216" s="1" t="s">
        <v>926</v>
      </c>
      <c r="G2216" s="1">
        <v>266.0</v>
      </c>
      <c r="H2216" s="1">
        <v>16.82361209</v>
      </c>
      <c r="I2216" s="1">
        <v>4.66</v>
      </c>
      <c r="J2216" s="1">
        <v>7.952981</v>
      </c>
    </row>
    <row r="2217">
      <c r="A2217" s="1">
        <v>2025.0</v>
      </c>
      <c r="B2217" s="1" t="s">
        <v>509</v>
      </c>
      <c r="C2217" s="1">
        <v>676106.0</v>
      </c>
      <c r="D2217" s="1" t="s">
        <v>533</v>
      </c>
      <c r="E2217" s="1" t="s">
        <v>927</v>
      </c>
      <c r="F2217" s="1" t="s">
        <v>926</v>
      </c>
      <c r="G2217" s="1">
        <v>57.0</v>
      </c>
      <c r="H2217" s="1">
        <v>3.605059733</v>
      </c>
      <c r="I2217" s="1">
        <v>4.71</v>
      </c>
      <c r="J2217" s="77">
        <v>1.583851</v>
      </c>
    </row>
    <row r="2218">
      <c r="A2218" s="1">
        <v>2025.0</v>
      </c>
      <c r="B2218" s="1" t="s">
        <v>509</v>
      </c>
      <c r="C2218" s="1">
        <v>676106.0</v>
      </c>
      <c r="D2218" s="1" t="s">
        <v>539</v>
      </c>
      <c r="E2218" s="1" t="s">
        <v>927</v>
      </c>
      <c r="F2218" s="1" t="s">
        <v>926</v>
      </c>
      <c r="G2218" s="1">
        <v>3.0</v>
      </c>
      <c r="H2218" s="1">
        <v>0.189739986</v>
      </c>
      <c r="I2218" s="1">
        <v>3.15</v>
      </c>
      <c r="J2218" s="1">
        <v>0.179241</v>
      </c>
    </row>
    <row r="2219">
      <c r="A2219" s="1">
        <v>2025.0</v>
      </c>
      <c r="B2219" s="1" t="s">
        <v>509</v>
      </c>
      <c r="C2219" s="1">
        <v>676106.0</v>
      </c>
      <c r="D2219" s="1" t="s">
        <v>532</v>
      </c>
      <c r="E2219" s="1" t="s">
        <v>927</v>
      </c>
      <c r="F2219" s="1" t="s">
        <v>927</v>
      </c>
      <c r="G2219" s="1">
        <v>58.0</v>
      </c>
      <c r="H2219" s="1">
        <v>3.668306395</v>
      </c>
      <c r="I2219" s="1">
        <v>4.23</v>
      </c>
      <c r="J2219" s="1">
        <v>2.136689</v>
      </c>
    </row>
    <row r="2220">
      <c r="A2220" s="1">
        <v>2025.0</v>
      </c>
      <c r="B2220" s="1" t="s">
        <v>509</v>
      </c>
      <c r="C2220" s="1">
        <v>676106.0</v>
      </c>
      <c r="D2220" s="1" t="s">
        <v>537</v>
      </c>
      <c r="E2220" s="1" t="s">
        <v>927</v>
      </c>
      <c r="F2220" s="1" t="s">
        <v>927</v>
      </c>
      <c r="G2220" s="1">
        <v>124.0</v>
      </c>
      <c r="H2220" s="1">
        <v>7.842586086</v>
      </c>
      <c r="I2220" s="1">
        <v>4.52</v>
      </c>
      <c r="J2220" s="1">
        <v>4.01028</v>
      </c>
    </row>
    <row r="2221">
      <c r="A2221" s="1">
        <v>2025.0</v>
      </c>
      <c r="B2221" s="1" t="s">
        <v>509</v>
      </c>
      <c r="C2221" s="1">
        <v>676106.0</v>
      </c>
      <c r="D2221" s="1" t="s">
        <v>536</v>
      </c>
      <c r="E2221" s="1" t="s">
        <v>927</v>
      </c>
      <c r="F2221" s="1" t="s">
        <v>927</v>
      </c>
      <c r="G2221" s="1">
        <v>291.0</v>
      </c>
      <c r="H2221" s="1">
        <v>18.40477864</v>
      </c>
      <c r="I2221" s="1">
        <v>5.33</v>
      </c>
      <c r="J2221" s="1">
        <v>4.754182</v>
      </c>
    </row>
    <row r="2222">
      <c r="A2222" s="1">
        <v>2025.0</v>
      </c>
      <c r="B2222" s="1" t="s">
        <v>509</v>
      </c>
      <c r="C2222" s="1">
        <v>676106.0</v>
      </c>
      <c r="D2222" s="1" t="s">
        <v>533</v>
      </c>
      <c r="E2222" s="1" t="s">
        <v>927</v>
      </c>
      <c r="F2222" s="1" t="s">
        <v>927</v>
      </c>
      <c r="G2222" s="1">
        <v>108.0</v>
      </c>
      <c r="H2222" s="1">
        <v>6.830639494</v>
      </c>
      <c r="I2222" s="1">
        <v>4.6</v>
      </c>
      <c r="J2222" s="1">
        <v>3.310404</v>
      </c>
    </row>
    <row r="2223">
      <c r="A2223" s="1">
        <v>2025.0</v>
      </c>
      <c r="B2223" s="1" t="s">
        <v>509</v>
      </c>
      <c r="C2223" s="1">
        <v>676106.0</v>
      </c>
      <c r="D2223" s="1" t="s">
        <v>539</v>
      </c>
      <c r="E2223" s="1" t="s">
        <v>927</v>
      </c>
      <c r="F2223" s="1" t="s">
        <v>927</v>
      </c>
      <c r="G2223" s="1">
        <v>41.0</v>
      </c>
      <c r="H2223" s="1">
        <v>2.593113141</v>
      </c>
      <c r="I2223" s="1">
        <v>5.06</v>
      </c>
      <c r="J2223" s="1">
        <v>0.87552</v>
      </c>
    </row>
    <row r="2224">
      <c r="A2224" s="1">
        <v>2025.0</v>
      </c>
      <c r="B2224" s="1" t="s">
        <v>128</v>
      </c>
      <c r="C2224" s="1">
        <v>641941.0</v>
      </c>
      <c r="D2224" s="1" t="s">
        <v>540</v>
      </c>
      <c r="E2224" s="1" t="s">
        <v>927</v>
      </c>
      <c r="F2224" s="1" t="s">
        <v>926</v>
      </c>
      <c r="G2224" s="1">
        <v>53.0</v>
      </c>
      <c r="H2224" s="1">
        <v>3.407615481</v>
      </c>
      <c r="I2224" s="1">
        <v>5.12</v>
      </c>
      <c r="J2224" s="1">
        <v>1.01257</v>
      </c>
    </row>
    <row r="2225">
      <c r="A2225" s="1">
        <v>2025.0</v>
      </c>
      <c r="B2225" s="1" t="s">
        <v>128</v>
      </c>
      <c r="C2225" s="1">
        <v>641941.0</v>
      </c>
      <c r="D2225" s="1" t="s">
        <v>537</v>
      </c>
      <c r="E2225" s="1" t="s">
        <v>927</v>
      </c>
      <c r="F2225" s="1" t="s">
        <v>926</v>
      </c>
      <c r="G2225" s="1">
        <v>344.0</v>
      </c>
      <c r="H2225" s="1">
        <v>22.11735331</v>
      </c>
      <c r="I2225" s="1">
        <v>5.08</v>
      </c>
      <c r="J2225" s="1">
        <v>7.014644</v>
      </c>
    </row>
    <row r="2226">
      <c r="A2226" s="1">
        <v>2025.0</v>
      </c>
      <c r="B2226" s="1" t="s">
        <v>128</v>
      </c>
      <c r="C2226" s="1">
        <v>641941.0</v>
      </c>
      <c r="D2226" s="1" t="s">
        <v>538</v>
      </c>
      <c r="E2226" s="1" t="s">
        <v>927</v>
      </c>
      <c r="F2226" s="1" t="s">
        <v>926</v>
      </c>
      <c r="G2226" s="1">
        <v>174.0</v>
      </c>
      <c r="H2226" s="1">
        <v>11.18726592</v>
      </c>
      <c r="I2226" s="1">
        <v>4.99</v>
      </c>
      <c r="J2226" s="1">
        <v>3.778023</v>
      </c>
    </row>
    <row r="2227">
      <c r="A2227" s="1">
        <v>2025.0</v>
      </c>
      <c r="B2227" s="1" t="s">
        <v>128</v>
      </c>
      <c r="C2227" s="1">
        <v>641941.0</v>
      </c>
      <c r="D2227" s="1" t="s">
        <v>540</v>
      </c>
      <c r="E2227" s="1" t="s">
        <v>927</v>
      </c>
      <c r="F2227" s="1" t="s">
        <v>927</v>
      </c>
      <c r="G2227" s="1">
        <v>146.0</v>
      </c>
      <c r="H2227" s="1">
        <v>9.38701623</v>
      </c>
      <c r="I2227" s="1">
        <v>4.86</v>
      </c>
      <c r="J2227" s="1">
        <v>3.677633</v>
      </c>
    </row>
    <row r="2228">
      <c r="A2228" s="1">
        <v>2025.0</v>
      </c>
      <c r="B2228" s="1" t="s">
        <v>128</v>
      </c>
      <c r="C2228" s="1">
        <v>641941.0</v>
      </c>
      <c r="D2228" s="1" t="s">
        <v>537</v>
      </c>
      <c r="E2228" s="1" t="s">
        <v>927</v>
      </c>
      <c r="F2228" s="1" t="s">
        <v>927</v>
      </c>
      <c r="G2228" s="1">
        <v>310.0</v>
      </c>
      <c r="H2228" s="1">
        <v>19.93133583</v>
      </c>
      <c r="I2228" s="1">
        <v>5.4</v>
      </c>
      <c r="J2228" s="1">
        <v>4.527771</v>
      </c>
    </row>
    <row r="2229">
      <c r="A2229" s="1">
        <v>2025.0</v>
      </c>
      <c r="B2229" s="1" t="s">
        <v>128</v>
      </c>
      <c r="C2229" s="1">
        <v>641941.0</v>
      </c>
      <c r="D2229" s="1" t="s">
        <v>538</v>
      </c>
      <c r="E2229" s="1" t="s">
        <v>927</v>
      </c>
      <c r="F2229" s="1" t="s">
        <v>927</v>
      </c>
      <c r="G2229" s="1">
        <v>41.0</v>
      </c>
      <c r="H2229" s="1">
        <v>2.6360799</v>
      </c>
      <c r="I2229" s="1">
        <v>5.13</v>
      </c>
      <c r="J2229" s="1">
        <v>0.771557</v>
      </c>
    </row>
    <row r="2230">
      <c r="A2230" s="1">
        <v>2025.0</v>
      </c>
      <c r="B2230" s="1" t="s">
        <v>132</v>
      </c>
      <c r="C2230" s="1">
        <v>661403.0</v>
      </c>
      <c r="D2230" s="1" t="s">
        <v>540</v>
      </c>
      <c r="E2230" s="1" t="s">
        <v>927</v>
      </c>
      <c r="F2230" s="1" t="s">
        <v>926</v>
      </c>
      <c r="G2230" s="1">
        <v>259.0</v>
      </c>
      <c r="H2230" s="1">
        <v>16.45548098</v>
      </c>
      <c r="I2230" s="1">
        <v>5.34</v>
      </c>
      <c r="J2230" s="1">
        <v>3.977953</v>
      </c>
    </row>
    <row r="2231">
      <c r="A2231" s="1">
        <v>2025.0</v>
      </c>
      <c r="B2231" s="1" t="s">
        <v>132</v>
      </c>
      <c r="C2231" s="1">
        <v>661403.0</v>
      </c>
      <c r="D2231" s="1" t="s">
        <v>536</v>
      </c>
      <c r="E2231" s="1" t="s">
        <v>927</v>
      </c>
      <c r="F2231" s="1" t="s">
        <v>926</v>
      </c>
      <c r="G2231" s="1">
        <v>2.0</v>
      </c>
      <c r="H2231" s="1">
        <v>0.127069351</v>
      </c>
      <c r="I2231" s="1">
        <v>3.68</v>
      </c>
      <c r="J2231" s="1">
        <v>0.095697</v>
      </c>
    </row>
    <row r="2232">
      <c r="A2232" s="1">
        <v>2025.0</v>
      </c>
      <c r="B2232" s="1" t="s">
        <v>132</v>
      </c>
      <c r="C2232" s="1">
        <v>661403.0</v>
      </c>
      <c r="D2232" s="1" t="s">
        <v>533</v>
      </c>
      <c r="E2232" s="1" t="s">
        <v>927</v>
      </c>
      <c r="F2232" s="1" t="s">
        <v>926</v>
      </c>
      <c r="G2232" s="1">
        <v>52.0</v>
      </c>
      <c r="H2232" s="1">
        <v>3.303803132</v>
      </c>
      <c r="I2232" s="1">
        <v>5.53</v>
      </c>
      <c r="J2232" s="1">
        <v>0.49824</v>
      </c>
    </row>
    <row r="2233">
      <c r="A2233" s="1">
        <v>2025.0</v>
      </c>
      <c r="B2233" s="1" t="s">
        <v>132</v>
      </c>
      <c r="C2233" s="1">
        <v>661403.0</v>
      </c>
      <c r="D2233" s="1" t="s">
        <v>540</v>
      </c>
      <c r="E2233" s="1" t="s">
        <v>927</v>
      </c>
      <c r="F2233" s="1" t="s">
        <v>927</v>
      </c>
      <c r="G2233" s="1">
        <v>255.0</v>
      </c>
      <c r="H2233" s="1">
        <v>16.20134228</v>
      </c>
      <c r="I2233" s="1">
        <v>4.93</v>
      </c>
      <c r="J2233" s="1">
        <v>6.040202</v>
      </c>
    </row>
    <row r="2234">
      <c r="A2234" s="1">
        <v>2025.0</v>
      </c>
      <c r="B2234" s="1" t="s">
        <v>132</v>
      </c>
      <c r="C2234" s="1">
        <v>661403.0</v>
      </c>
      <c r="D2234" s="1" t="s">
        <v>537</v>
      </c>
      <c r="E2234" s="1" t="s">
        <v>927</v>
      </c>
      <c r="F2234" s="1" t="s">
        <v>927</v>
      </c>
      <c r="G2234" s="1">
        <v>1.0</v>
      </c>
      <c r="H2234" s="1">
        <v>0.063534676</v>
      </c>
      <c r="I2234" s="1">
        <v>2.14</v>
      </c>
      <c r="J2234" s="1">
        <v>0.079104</v>
      </c>
    </row>
    <row r="2235">
      <c r="A2235" s="1">
        <v>2025.0</v>
      </c>
      <c r="B2235" s="1" t="s">
        <v>132</v>
      </c>
      <c r="C2235" s="1">
        <v>661403.0</v>
      </c>
      <c r="D2235" s="1" t="s">
        <v>536</v>
      </c>
      <c r="E2235" s="1" t="s">
        <v>927</v>
      </c>
      <c r="F2235" s="1" t="s">
        <v>927</v>
      </c>
      <c r="G2235" s="1">
        <v>3.0</v>
      </c>
      <c r="H2235" s="1">
        <v>0.190604027</v>
      </c>
      <c r="I2235" s="1">
        <v>3.06</v>
      </c>
      <c r="J2235" s="1">
        <v>0.183283</v>
      </c>
    </row>
    <row r="2236">
      <c r="A2236" s="1">
        <v>2025.0</v>
      </c>
      <c r="B2236" s="1" t="s">
        <v>132</v>
      </c>
      <c r="C2236" s="1">
        <v>661403.0</v>
      </c>
      <c r="D2236" s="1" t="s">
        <v>533</v>
      </c>
      <c r="E2236" s="1" t="s">
        <v>927</v>
      </c>
      <c r="F2236" s="1" t="s">
        <v>927</v>
      </c>
      <c r="G2236" s="1">
        <v>173.0</v>
      </c>
      <c r="H2236" s="1">
        <v>10.99149888</v>
      </c>
      <c r="I2236" s="1">
        <v>5.05</v>
      </c>
      <c r="J2236" s="1">
        <v>3.556635</v>
      </c>
    </row>
    <row r="2237">
      <c r="A2237" s="1">
        <v>2025.0</v>
      </c>
      <c r="B2237" s="1" t="s">
        <v>839</v>
      </c>
      <c r="C2237" s="1">
        <v>656896.0</v>
      </c>
      <c r="D2237" s="1" t="s">
        <v>532</v>
      </c>
      <c r="E2237" s="1" t="s">
        <v>927</v>
      </c>
      <c r="F2237" s="1" t="s">
        <v>926</v>
      </c>
      <c r="G2237" s="1">
        <v>1.0</v>
      </c>
      <c r="H2237" s="1">
        <v>0.125</v>
      </c>
      <c r="I2237" s="1">
        <v>5.84</v>
      </c>
      <c r="J2237" s="1">
        <v>0.00794</v>
      </c>
    </row>
    <row r="2238">
      <c r="A2238" s="1">
        <v>2025.0</v>
      </c>
      <c r="B2238" s="1" t="s">
        <v>839</v>
      </c>
      <c r="C2238" s="1">
        <v>656896.0</v>
      </c>
      <c r="D2238" s="1" t="s">
        <v>537</v>
      </c>
      <c r="E2238" s="1" t="s">
        <v>927</v>
      </c>
      <c r="F2238" s="1" t="s">
        <v>926</v>
      </c>
      <c r="G2238" s="1">
        <v>3.0</v>
      </c>
      <c r="H2238" s="1">
        <v>0.375</v>
      </c>
      <c r="I2238" s="1">
        <v>2.98</v>
      </c>
      <c r="J2238" s="1">
        <v>0.194363</v>
      </c>
    </row>
    <row r="2239">
      <c r="A2239" s="1">
        <v>2025.0</v>
      </c>
      <c r="B2239" s="1" t="s">
        <v>839</v>
      </c>
      <c r="C2239" s="1">
        <v>656896.0</v>
      </c>
      <c r="D2239" s="1" t="s">
        <v>537</v>
      </c>
      <c r="E2239" s="1" t="s">
        <v>927</v>
      </c>
      <c r="F2239" s="1" t="s">
        <v>927</v>
      </c>
      <c r="G2239" s="1">
        <v>4.0</v>
      </c>
      <c r="H2239" s="1">
        <v>0.5</v>
      </c>
      <c r="I2239" s="1">
        <v>4.49</v>
      </c>
      <c r="J2239" s="1">
        <v>0.133645</v>
      </c>
    </row>
    <row r="2240">
      <c r="A2240" s="1">
        <v>2025.0</v>
      </c>
      <c r="B2240" s="1" t="s">
        <v>176</v>
      </c>
      <c r="C2240" s="1">
        <v>686218.0</v>
      </c>
      <c r="D2240" s="1" t="s">
        <v>532</v>
      </c>
      <c r="E2240" s="1" t="s">
        <v>927</v>
      </c>
      <c r="F2240" s="1" t="s">
        <v>926</v>
      </c>
      <c r="G2240" s="1">
        <v>123.0</v>
      </c>
      <c r="H2240" s="1">
        <v>7.877729258</v>
      </c>
      <c r="I2240" s="1">
        <v>4.91</v>
      </c>
      <c r="J2240" s="1">
        <v>2.870765</v>
      </c>
    </row>
    <row r="2241">
      <c r="A2241" s="1">
        <v>2025.0</v>
      </c>
      <c r="B2241" s="1" t="s">
        <v>176</v>
      </c>
      <c r="C2241" s="1">
        <v>686218.0</v>
      </c>
      <c r="D2241" s="1" t="s">
        <v>541</v>
      </c>
      <c r="E2241" s="1" t="s">
        <v>927</v>
      </c>
      <c r="F2241" s="1" t="s">
        <v>926</v>
      </c>
      <c r="G2241" s="1">
        <v>49.0</v>
      </c>
      <c r="H2241" s="1">
        <v>3.138282387</v>
      </c>
      <c r="I2241" s="1">
        <v>4.5</v>
      </c>
      <c r="J2241" s="1">
        <v>1.556308</v>
      </c>
    </row>
    <row r="2242">
      <c r="A2242" s="1">
        <v>2025.0</v>
      </c>
      <c r="B2242" s="1" t="s">
        <v>176</v>
      </c>
      <c r="C2242" s="1">
        <v>686218.0</v>
      </c>
      <c r="D2242" s="1" t="s">
        <v>537</v>
      </c>
      <c r="E2242" s="1" t="s">
        <v>927</v>
      </c>
      <c r="F2242" s="1" t="s">
        <v>926</v>
      </c>
      <c r="G2242" s="1">
        <v>219.0</v>
      </c>
      <c r="H2242" s="1">
        <v>14.02620087</v>
      </c>
      <c r="I2242" s="1">
        <v>5.19</v>
      </c>
      <c r="J2242" s="1">
        <v>3.932501</v>
      </c>
    </row>
    <row r="2243">
      <c r="A2243" s="1">
        <v>2025.0</v>
      </c>
      <c r="B2243" s="1" t="s">
        <v>176</v>
      </c>
      <c r="C2243" s="1">
        <v>686218.0</v>
      </c>
      <c r="D2243" s="1" t="s">
        <v>533</v>
      </c>
      <c r="E2243" s="1" t="s">
        <v>927</v>
      </c>
      <c r="F2243" s="1" t="s">
        <v>926</v>
      </c>
      <c r="G2243" s="1">
        <v>70.0</v>
      </c>
      <c r="H2243" s="1">
        <v>4.483260553</v>
      </c>
      <c r="I2243" s="1">
        <v>4.98</v>
      </c>
      <c r="J2243" s="1">
        <v>1.475985</v>
      </c>
    </row>
    <row r="2244">
      <c r="A2244" s="1">
        <v>2025.0</v>
      </c>
      <c r="B2244" s="1" t="s">
        <v>176</v>
      </c>
      <c r="C2244" s="1">
        <v>686218.0</v>
      </c>
      <c r="D2244" s="1" t="s">
        <v>532</v>
      </c>
      <c r="E2244" s="1" t="s">
        <v>927</v>
      </c>
      <c r="F2244" s="1" t="s">
        <v>927</v>
      </c>
      <c r="G2244" s="1">
        <v>68.0</v>
      </c>
      <c r="H2244" s="1">
        <v>4.355167394</v>
      </c>
      <c r="I2244" s="1">
        <v>5.15</v>
      </c>
      <c r="J2244" s="1">
        <v>1.218469</v>
      </c>
    </row>
    <row r="2245">
      <c r="A2245" s="1">
        <v>2025.0</v>
      </c>
      <c r="B2245" s="1" t="s">
        <v>176</v>
      </c>
      <c r="C2245" s="1">
        <v>686218.0</v>
      </c>
      <c r="D2245" s="1" t="s">
        <v>541</v>
      </c>
      <c r="E2245" s="1" t="s">
        <v>927</v>
      </c>
      <c r="F2245" s="1" t="s">
        <v>927</v>
      </c>
      <c r="G2245" s="1">
        <v>21.0</v>
      </c>
      <c r="H2245" s="1">
        <v>1.344978166</v>
      </c>
      <c r="I2245" s="1">
        <v>4.16</v>
      </c>
      <c r="J2245" s="1">
        <v>0.844295</v>
      </c>
    </row>
    <row r="2246">
      <c r="A2246" s="1">
        <v>2025.0</v>
      </c>
      <c r="B2246" s="1" t="s">
        <v>176</v>
      </c>
      <c r="C2246" s="1">
        <v>686218.0</v>
      </c>
      <c r="D2246" s="1" t="s">
        <v>537</v>
      </c>
      <c r="E2246" s="1" t="s">
        <v>927</v>
      </c>
      <c r="F2246" s="1" t="s">
        <v>927</v>
      </c>
      <c r="G2246" s="1">
        <v>317.0</v>
      </c>
      <c r="H2246" s="1">
        <v>20.30276565</v>
      </c>
      <c r="I2246" s="1">
        <v>5.27</v>
      </c>
      <c r="J2246" s="1">
        <v>5.349687</v>
      </c>
    </row>
    <row r="2247">
      <c r="A2247" s="1">
        <v>2025.0</v>
      </c>
      <c r="B2247" s="1" t="s">
        <v>176</v>
      </c>
      <c r="C2247" s="1">
        <v>686218.0</v>
      </c>
      <c r="D2247" s="1" t="s">
        <v>533</v>
      </c>
      <c r="E2247" s="1" t="s">
        <v>927</v>
      </c>
      <c r="F2247" s="1" t="s">
        <v>927</v>
      </c>
      <c r="G2247" s="1">
        <v>278.0</v>
      </c>
      <c r="H2247" s="1">
        <v>17.80494905</v>
      </c>
      <c r="I2247" s="1">
        <v>4.98</v>
      </c>
      <c r="J2247" s="1">
        <v>6.155788</v>
      </c>
    </row>
    <row r="2248">
      <c r="A2248" s="1">
        <v>2025.0</v>
      </c>
      <c r="B2248" s="1" t="s">
        <v>759</v>
      </c>
      <c r="C2248" s="1">
        <v>571771.0</v>
      </c>
      <c r="D2248" s="1" t="s">
        <v>541</v>
      </c>
      <c r="E2248" s="1" t="s">
        <v>927</v>
      </c>
      <c r="F2248" s="1" t="s">
        <v>926</v>
      </c>
      <c r="G2248" s="1">
        <v>21.0</v>
      </c>
      <c r="H2248" s="1">
        <v>2.0</v>
      </c>
      <c r="I2248" s="1">
        <v>5.23</v>
      </c>
      <c r="J2248" s="1">
        <v>0.37457</v>
      </c>
    </row>
    <row r="2249">
      <c r="A2249" s="1">
        <v>2025.0</v>
      </c>
      <c r="B2249" s="1" t="s">
        <v>759</v>
      </c>
      <c r="C2249" s="1">
        <v>571771.0</v>
      </c>
      <c r="D2249" s="1" t="s">
        <v>537</v>
      </c>
      <c r="E2249" s="1" t="s">
        <v>927</v>
      </c>
      <c r="F2249" s="1" t="s">
        <v>926</v>
      </c>
      <c r="G2249" s="1">
        <v>3.0</v>
      </c>
      <c r="H2249" s="1">
        <v>0.285714286</v>
      </c>
      <c r="I2249" s="1">
        <v>3.11</v>
      </c>
      <c r="J2249" s="1">
        <v>0.182819</v>
      </c>
    </row>
    <row r="2250">
      <c r="A2250" s="1">
        <v>2025.0</v>
      </c>
      <c r="B2250" s="1" t="s">
        <v>759</v>
      </c>
      <c r="C2250" s="1">
        <v>571771.0</v>
      </c>
      <c r="D2250" s="1" t="s">
        <v>541</v>
      </c>
      <c r="E2250" s="1" t="s">
        <v>927</v>
      </c>
      <c r="F2250" s="1" t="s">
        <v>927</v>
      </c>
      <c r="G2250" s="1">
        <v>30.0</v>
      </c>
      <c r="H2250" s="1">
        <v>2.857142857</v>
      </c>
      <c r="I2250" s="1">
        <v>4.45</v>
      </c>
      <c r="J2250" s="1">
        <v>0.964426</v>
      </c>
    </row>
    <row r="2251">
      <c r="A2251" s="1">
        <v>2025.0</v>
      </c>
      <c r="B2251" s="1" t="s">
        <v>759</v>
      </c>
      <c r="C2251" s="1">
        <v>571771.0</v>
      </c>
      <c r="D2251" s="1" t="s">
        <v>537</v>
      </c>
      <c r="E2251" s="1" t="s">
        <v>927</v>
      </c>
      <c r="F2251" s="1" t="s">
        <v>927</v>
      </c>
      <c r="G2251" s="1">
        <v>2.0</v>
      </c>
      <c r="H2251" s="1">
        <v>0.19047619</v>
      </c>
      <c r="I2251" s="1">
        <v>1.26</v>
      </c>
      <c r="J2251" s="1">
        <v>0.181356</v>
      </c>
    </row>
    <row r="2252">
      <c r="A2252" s="1">
        <v>2025.0</v>
      </c>
      <c r="B2252" s="1" t="s">
        <v>346</v>
      </c>
      <c r="C2252" s="1">
        <v>660853.0</v>
      </c>
      <c r="D2252" s="1" t="s">
        <v>532</v>
      </c>
      <c r="E2252" s="1" t="s">
        <v>927</v>
      </c>
      <c r="F2252" s="1" t="s">
        <v>926</v>
      </c>
      <c r="G2252" s="1">
        <v>162.0</v>
      </c>
      <c r="H2252" s="1">
        <v>9.684782609</v>
      </c>
      <c r="I2252" s="1">
        <v>4.92</v>
      </c>
      <c r="J2252" s="1">
        <v>3.873349</v>
      </c>
    </row>
    <row r="2253">
      <c r="A2253" s="1">
        <v>2025.0</v>
      </c>
      <c r="B2253" s="1" t="s">
        <v>346</v>
      </c>
      <c r="C2253" s="1">
        <v>660853.0</v>
      </c>
      <c r="D2253" s="1" t="s">
        <v>537</v>
      </c>
      <c r="E2253" s="1" t="s">
        <v>927</v>
      </c>
      <c r="F2253" s="1" t="s">
        <v>926</v>
      </c>
      <c r="G2253" s="1">
        <v>208.0</v>
      </c>
      <c r="H2253" s="1">
        <v>12.43478261</v>
      </c>
      <c r="I2253" s="1">
        <v>4.87</v>
      </c>
      <c r="J2253" s="1">
        <v>5.258135</v>
      </c>
    </row>
    <row r="2254">
      <c r="A2254" s="1">
        <v>2025.0</v>
      </c>
      <c r="B2254" s="1" t="s">
        <v>346</v>
      </c>
      <c r="C2254" s="1">
        <v>660853.0</v>
      </c>
      <c r="D2254" s="1" t="s">
        <v>533</v>
      </c>
      <c r="E2254" s="1" t="s">
        <v>927</v>
      </c>
      <c r="F2254" s="1" t="s">
        <v>926</v>
      </c>
      <c r="G2254" s="1">
        <v>54.0</v>
      </c>
      <c r="H2254" s="1">
        <v>3.22826087</v>
      </c>
      <c r="I2254" s="1">
        <v>4.91</v>
      </c>
      <c r="J2254" s="1">
        <v>1.33334</v>
      </c>
    </row>
    <row r="2255">
      <c r="A2255" s="1">
        <v>2025.0</v>
      </c>
      <c r="B2255" s="1" t="s">
        <v>346</v>
      </c>
      <c r="C2255" s="1">
        <v>660853.0</v>
      </c>
      <c r="D2255" s="1" t="s">
        <v>532</v>
      </c>
      <c r="E2255" s="1" t="s">
        <v>927</v>
      </c>
      <c r="F2255" s="1" t="s">
        <v>927</v>
      </c>
      <c r="G2255" s="1">
        <v>6.0</v>
      </c>
      <c r="H2255" s="1">
        <v>0.358695652</v>
      </c>
      <c r="I2255" s="1">
        <v>4.56</v>
      </c>
      <c r="J2255" s="1">
        <v>0.176964</v>
      </c>
    </row>
    <row r="2256">
      <c r="A2256" s="1">
        <v>2025.0</v>
      </c>
      <c r="B2256" s="1" t="s">
        <v>346</v>
      </c>
      <c r="C2256" s="1">
        <v>660853.0</v>
      </c>
      <c r="D2256" s="1" t="s">
        <v>537</v>
      </c>
      <c r="E2256" s="1" t="s">
        <v>927</v>
      </c>
      <c r="F2256" s="1" t="s">
        <v>927</v>
      </c>
      <c r="G2256" s="1">
        <v>332.0</v>
      </c>
      <c r="H2256" s="1">
        <v>19.84782609</v>
      </c>
      <c r="I2256" s="1">
        <v>4.95</v>
      </c>
      <c r="J2256" s="1">
        <v>7.891781</v>
      </c>
    </row>
    <row r="2257">
      <c r="A2257" s="1">
        <v>2025.0</v>
      </c>
      <c r="B2257" s="1" t="s">
        <v>346</v>
      </c>
      <c r="C2257" s="1">
        <v>660853.0</v>
      </c>
      <c r="D2257" s="1" t="s">
        <v>533</v>
      </c>
      <c r="E2257" s="1" t="s">
        <v>927</v>
      </c>
      <c r="F2257" s="1" t="s">
        <v>927</v>
      </c>
      <c r="G2257" s="1">
        <v>342.0</v>
      </c>
      <c r="H2257" s="1">
        <v>20.44565217</v>
      </c>
      <c r="I2257" s="1">
        <v>5.1</v>
      </c>
      <c r="J2257" s="1">
        <v>6.7503</v>
      </c>
    </row>
    <row r="2258">
      <c r="A2258" s="1">
        <v>2025.0</v>
      </c>
      <c r="B2258" s="1" t="s">
        <v>959</v>
      </c>
      <c r="C2258" s="1">
        <v>541640.0</v>
      </c>
      <c r="D2258" s="1" t="s">
        <v>532</v>
      </c>
      <c r="E2258" s="1" t="s">
        <v>927</v>
      </c>
      <c r="F2258" s="1" t="s">
        <v>926</v>
      </c>
      <c r="G2258" s="1">
        <v>18.0</v>
      </c>
      <c r="H2258" s="1">
        <v>1.253164557</v>
      </c>
      <c r="I2258" s="1">
        <v>4.53</v>
      </c>
      <c r="J2258" s="1">
        <v>0.532971</v>
      </c>
    </row>
    <row r="2259">
      <c r="A2259" s="1">
        <v>2025.0</v>
      </c>
      <c r="B2259" s="1" t="s">
        <v>959</v>
      </c>
      <c r="C2259" s="1">
        <v>541640.0</v>
      </c>
      <c r="D2259" s="1" t="s">
        <v>541</v>
      </c>
      <c r="E2259" s="1" t="s">
        <v>927</v>
      </c>
      <c r="F2259" s="1" t="s">
        <v>926</v>
      </c>
      <c r="G2259" s="1">
        <v>2.0</v>
      </c>
      <c r="H2259" s="1">
        <v>0.139240506</v>
      </c>
      <c r="I2259" s="1">
        <v>5.79</v>
      </c>
      <c r="J2259" s="1">
        <v>0.008711</v>
      </c>
    </row>
    <row r="2260">
      <c r="A2260" s="1">
        <v>2025.0</v>
      </c>
      <c r="B2260" s="1" t="s">
        <v>959</v>
      </c>
      <c r="C2260" s="1">
        <v>541640.0</v>
      </c>
      <c r="D2260" s="1" t="s">
        <v>540</v>
      </c>
      <c r="E2260" s="1" t="s">
        <v>927</v>
      </c>
      <c r="F2260" s="1" t="s">
        <v>926</v>
      </c>
      <c r="G2260" s="1">
        <v>49.0</v>
      </c>
      <c r="H2260" s="1">
        <v>3.411392405</v>
      </c>
      <c r="I2260" s="1">
        <v>5.44</v>
      </c>
      <c r="J2260" s="1">
        <v>0.614068</v>
      </c>
    </row>
    <row r="2261">
      <c r="A2261" s="1">
        <v>2025.0</v>
      </c>
      <c r="B2261" s="1" t="s">
        <v>959</v>
      </c>
      <c r="C2261" s="1">
        <v>541640.0</v>
      </c>
      <c r="D2261" s="1" t="s">
        <v>537</v>
      </c>
      <c r="E2261" s="1" t="s">
        <v>927</v>
      </c>
      <c r="F2261" s="1" t="s">
        <v>926</v>
      </c>
      <c r="G2261" s="1">
        <v>4.0</v>
      </c>
      <c r="H2261" s="1">
        <v>0.278481013</v>
      </c>
      <c r="I2261" s="1">
        <v>4.44</v>
      </c>
      <c r="J2261" s="1">
        <v>0.134849</v>
      </c>
    </row>
    <row r="2262">
      <c r="A2262" s="1">
        <v>2025.0</v>
      </c>
      <c r="B2262" s="1" t="s">
        <v>959</v>
      </c>
      <c r="C2262" s="1">
        <v>541640.0</v>
      </c>
      <c r="D2262" s="1" t="s">
        <v>536</v>
      </c>
      <c r="E2262" s="1" t="s">
        <v>927</v>
      </c>
      <c r="F2262" s="1" t="s">
        <v>926</v>
      </c>
      <c r="G2262" s="1">
        <v>24.0</v>
      </c>
      <c r="H2262" s="1">
        <v>1.670886076</v>
      </c>
      <c r="I2262" s="1">
        <v>4.56</v>
      </c>
      <c r="J2262" s="1">
        <v>0.731932</v>
      </c>
    </row>
    <row r="2263">
      <c r="A2263" s="1">
        <v>2025.0</v>
      </c>
      <c r="B2263" s="1" t="s">
        <v>959</v>
      </c>
      <c r="C2263" s="1">
        <v>541640.0</v>
      </c>
      <c r="D2263" s="1" t="s">
        <v>541</v>
      </c>
      <c r="E2263" s="1" t="s">
        <v>927</v>
      </c>
      <c r="F2263" s="1" t="s">
        <v>927</v>
      </c>
      <c r="G2263" s="1">
        <v>7.0</v>
      </c>
      <c r="H2263" s="1">
        <v>0.487341772</v>
      </c>
      <c r="I2263" s="1">
        <v>4.86</v>
      </c>
      <c r="J2263" s="1">
        <v>0.157346</v>
      </c>
    </row>
    <row r="2264">
      <c r="A2264" s="1">
        <v>2025.0</v>
      </c>
      <c r="B2264" s="1" t="s">
        <v>959</v>
      </c>
      <c r="C2264" s="1">
        <v>541640.0</v>
      </c>
      <c r="D2264" s="1" t="s">
        <v>540</v>
      </c>
      <c r="E2264" s="1" t="s">
        <v>927</v>
      </c>
      <c r="F2264" s="1" t="s">
        <v>927</v>
      </c>
      <c r="G2264" s="1">
        <v>23.0</v>
      </c>
      <c r="H2264" s="1">
        <v>1.601265823</v>
      </c>
      <c r="I2264" s="1">
        <v>4.84</v>
      </c>
      <c r="J2264" s="1">
        <v>0.577381</v>
      </c>
    </row>
    <row r="2265">
      <c r="A2265" s="1">
        <v>2025.0</v>
      </c>
      <c r="B2265" s="1" t="s">
        <v>959</v>
      </c>
      <c r="C2265" s="1">
        <v>541640.0</v>
      </c>
      <c r="D2265" s="1" t="s">
        <v>537</v>
      </c>
      <c r="E2265" s="1" t="s">
        <v>927</v>
      </c>
      <c r="F2265" s="1" t="s">
        <v>927</v>
      </c>
      <c r="G2265" s="1">
        <v>5.0</v>
      </c>
      <c r="H2265" s="1">
        <v>0.348101266</v>
      </c>
      <c r="I2265" s="1">
        <v>4.77</v>
      </c>
      <c r="J2265" s="1">
        <v>0.132529</v>
      </c>
    </row>
    <row r="2266">
      <c r="A2266" s="1">
        <v>2025.0</v>
      </c>
      <c r="B2266" s="1" t="s">
        <v>959</v>
      </c>
      <c r="C2266" s="1">
        <v>541640.0</v>
      </c>
      <c r="D2266" s="1" t="s">
        <v>536</v>
      </c>
      <c r="E2266" s="1" t="s">
        <v>927</v>
      </c>
      <c r="F2266" s="1" t="s">
        <v>927</v>
      </c>
      <c r="G2266" s="1">
        <v>26.0</v>
      </c>
      <c r="H2266" s="1">
        <v>1.810126582</v>
      </c>
      <c r="I2266" s="1">
        <v>4.87</v>
      </c>
      <c r="J2266" s="1">
        <v>0.621871</v>
      </c>
    </row>
    <row r="2267">
      <c r="A2267" s="1">
        <v>2025.0</v>
      </c>
      <c r="B2267" s="1" t="s">
        <v>332</v>
      </c>
      <c r="C2267" s="1">
        <v>641778.0</v>
      </c>
      <c r="D2267" s="1" t="s">
        <v>532</v>
      </c>
      <c r="E2267" s="1" t="s">
        <v>926</v>
      </c>
      <c r="F2267" s="1" t="s">
        <v>926</v>
      </c>
      <c r="G2267" s="1">
        <v>8.0</v>
      </c>
      <c r="H2267" s="1">
        <v>0.497820055</v>
      </c>
      <c r="I2267" s="1">
        <v>4.51</v>
      </c>
      <c r="J2267" s="1">
        <v>0.250788</v>
      </c>
    </row>
    <row r="2268">
      <c r="A2268" s="1">
        <v>2025.0</v>
      </c>
      <c r="B2268" s="1" t="s">
        <v>332</v>
      </c>
      <c r="C2268" s="1">
        <v>641778.0</v>
      </c>
      <c r="D2268" s="1" t="s">
        <v>541</v>
      </c>
      <c r="E2268" s="1" t="s">
        <v>926</v>
      </c>
      <c r="F2268" s="1" t="s">
        <v>926</v>
      </c>
      <c r="G2268" s="1">
        <v>50.0</v>
      </c>
      <c r="H2268" s="1">
        <v>3.111375347</v>
      </c>
      <c r="I2268" s="1">
        <v>5.23</v>
      </c>
      <c r="J2268" s="1">
        <v>0.873353</v>
      </c>
    </row>
    <row r="2269">
      <c r="A2269" s="1">
        <v>2025.0</v>
      </c>
      <c r="B2269" s="1" t="s">
        <v>332</v>
      </c>
      <c r="C2269" s="1">
        <v>641778.0</v>
      </c>
      <c r="D2269" s="1" t="s">
        <v>540</v>
      </c>
      <c r="E2269" s="1" t="s">
        <v>926</v>
      </c>
      <c r="F2269" s="1" t="s">
        <v>926</v>
      </c>
      <c r="G2269" s="1">
        <v>97.0</v>
      </c>
      <c r="H2269" s="1">
        <v>6.036068173</v>
      </c>
      <c r="I2269" s="1">
        <v>5.43</v>
      </c>
      <c r="J2269" s="1">
        <v>1.376115</v>
      </c>
    </row>
    <row r="2270">
      <c r="A2270" s="1">
        <v>2025.0</v>
      </c>
      <c r="B2270" s="1" t="s">
        <v>332</v>
      </c>
      <c r="C2270" s="1">
        <v>641778.0</v>
      </c>
      <c r="D2270" s="1" t="s">
        <v>537</v>
      </c>
      <c r="E2270" s="1" t="s">
        <v>926</v>
      </c>
      <c r="F2270" s="1" t="s">
        <v>926</v>
      </c>
      <c r="G2270" s="1">
        <v>230.0</v>
      </c>
      <c r="H2270" s="1">
        <v>14.3123266</v>
      </c>
      <c r="I2270" s="1">
        <v>5.03</v>
      </c>
      <c r="J2270" s="1">
        <v>5.093208</v>
      </c>
    </row>
    <row r="2271">
      <c r="A2271" s="1">
        <v>2025.0</v>
      </c>
      <c r="B2271" s="1" t="s">
        <v>332</v>
      </c>
      <c r="C2271" s="1">
        <v>641778.0</v>
      </c>
      <c r="D2271" s="1" t="s">
        <v>533</v>
      </c>
      <c r="E2271" s="1" t="s">
        <v>926</v>
      </c>
      <c r="F2271" s="1" t="s">
        <v>926</v>
      </c>
      <c r="G2271" s="1">
        <v>78.0</v>
      </c>
      <c r="H2271" s="1">
        <v>4.853745541</v>
      </c>
      <c r="I2271" s="1">
        <v>5.26</v>
      </c>
      <c r="J2271" s="1">
        <v>1.382147</v>
      </c>
    </row>
    <row r="2272">
      <c r="A2272" s="1">
        <v>2025.0</v>
      </c>
      <c r="B2272" s="1" t="s">
        <v>332</v>
      </c>
      <c r="C2272" s="1">
        <v>641778.0</v>
      </c>
      <c r="D2272" s="1" t="s">
        <v>532</v>
      </c>
      <c r="E2272" s="1" t="s">
        <v>926</v>
      </c>
      <c r="F2272" s="1" t="s">
        <v>927</v>
      </c>
      <c r="G2272" s="1">
        <v>126.0</v>
      </c>
      <c r="H2272" s="1">
        <v>7.840665874</v>
      </c>
      <c r="I2272" s="1">
        <v>4.55</v>
      </c>
      <c r="J2272" s="1">
        <v>3.957652</v>
      </c>
    </row>
    <row r="2273">
      <c r="A2273" s="1">
        <v>2025.0</v>
      </c>
      <c r="B2273" s="1" t="s">
        <v>332</v>
      </c>
      <c r="C2273" s="1">
        <v>641778.0</v>
      </c>
      <c r="D2273" s="1" t="s">
        <v>541</v>
      </c>
      <c r="E2273" s="1" t="s">
        <v>926</v>
      </c>
      <c r="F2273" s="1" t="s">
        <v>927</v>
      </c>
      <c r="G2273" s="1">
        <v>192.0</v>
      </c>
      <c r="H2273" s="1">
        <v>11.94768133</v>
      </c>
      <c r="I2273" s="1">
        <v>5.1</v>
      </c>
      <c r="J2273" s="1">
        <v>3.953032</v>
      </c>
    </row>
    <row r="2274">
      <c r="A2274" s="1">
        <v>2025.0</v>
      </c>
      <c r="B2274" s="1" t="s">
        <v>332</v>
      </c>
      <c r="C2274" s="1">
        <v>641778.0</v>
      </c>
      <c r="D2274" s="1" t="s">
        <v>540</v>
      </c>
      <c r="E2274" s="1" t="s">
        <v>926</v>
      </c>
      <c r="F2274" s="1" t="s">
        <v>927</v>
      </c>
      <c r="G2274" s="1">
        <v>247.0</v>
      </c>
      <c r="H2274" s="1">
        <v>15.37019421</v>
      </c>
      <c r="I2274" s="1">
        <v>5.22</v>
      </c>
      <c r="J2274" s="1">
        <v>4.401985</v>
      </c>
    </row>
    <row r="2275">
      <c r="A2275" s="1">
        <v>2025.0</v>
      </c>
      <c r="B2275" s="1" t="s">
        <v>332</v>
      </c>
      <c r="C2275" s="1">
        <v>641778.0</v>
      </c>
      <c r="D2275" s="1" t="s">
        <v>537</v>
      </c>
      <c r="E2275" s="1" t="s">
        <v>926</v>
      </c>
      <c r="F2275" s="1" t="s">
        <v>927</v>
      </c>
      <c r="G2275" s="1">
        <v>552.0</v>
      </c>
      <c r="H2275" s="1">
        <v>34.34958383</v>
      </c>
      <c r="I2275" s="1">
        <v>4.76</v>
      </c>
      <c r="J2275" s="1">
        <v>15.359924</v>
      </c>
    </row>
    <row r="2276">
      <c r="A2276" s="1">
        <v>2025.0</v>
      </c>
      <c r="B2276" s="1" t="s">
        <v>332</v>
      </c>
      <c r="C2276" s="1">
        <v>641778.0</v>
      </c>
      <c r="D2276" s="1" t="s">
        <v>536</v>
      </c>
      <c r="E2276" s="1" t="s">
        <v>926</v>
      </c>
      <c r="F2276" s="1" t="s">
        <v>927</v>
      </c>
      <c r="G2276" s="1">
        <v>1.0</v>
      </c>
      <c r="H2276" s="1">
        <v>0.062227507</v>
      </c>
      <c r="I2276" s="1">
        <v>3.37</v>
      </c>
      <c r="J2276" s="1">
        <v>0.056369</v>
      </c>
    </row>
    <row r="2277">
      <c r="A2277" s="1">
        <v>2025.0</v>
      </c>
      <c r="B2277" s="1" t="s">
        <v>332</v>
      </c>
      <c r="C2277" s="1">
        <v>641778.0</v>
      </c>
      <c r="D2277" s="1" t="s">
        <v>533</v>
      </c>
      <c r="E2277" s="1" t="s">
        <v>926</v>
      </c>
      <c r="F2277" s="1" t="s">
        <v>927</v>
      </c>
      <c r="G2277" s="1">
        <v>101.0</v>
      </c>
      <c r="H2277" s="1">
        <v>6.284978201</v>
      </c>
      <c r="I2277" s="1">
        <v>4.69</v>
      </c>
      <c r="J2277" s="1">
        <v>2.848508</v>
      </c>
    </row>
    <row r="2278">
      <c r="A2278" s="1">
        <v>2025.0</v>
      </c>
      <c r="B2278" s="1" t="s">
        <v>257</v>
      </c>
      <c r="C2278" s="1">
        <v>679358.0</v>
      </c>
      <c r="D2278" s="1" t="s">
        <v>537</v>
      </c>
      <c r="E2278" s="1" t="s">
        <v>927</v>
      </c>
      <c r="F2278" s="1" t="s">
        <v>926</v>
      </c>
      <c r="G2278" s="1">
        <v>79.0</v>
      </c>
      <c r="H2278" s="1">
        <v>4.833578071</v>
      </c>
      <c r="I2278" s="1">
        <v>4.78</v>
      </c>
      <c r="J2278" s="1">
        <v>2.207203</v>
      </c>
    </row>
    <row r="2279">
      <c r="A2279" s="1">
        <v>2025.0</v>
      </c>
      <c r="B2279" s="1" t="s">
        <v>257</v>
      </c>
      <c r="C2279" s="1">
        <v>679358.0</v>
      </c>
      <c r="D2279" s="1" t="s">
        <v>538</v>
      </c>
      <c r="E2279" s="1" t="s">
        <v>927</v>
      </c>
      <c r="F2279" s="1" t="s">
        <v>926</v>
      </c>
      <c r="G2279" s="1">
        <v>187.0</v>
      </c>
      <c r="H2279" s="1">
        <v>11.44150759</v>
      </c>
      <c r="I2279" s="1">
        <v>5.21</v>
      </c>
      <c r="J2279" s="1">
        <v>3.296373</v>
      </c>
    </row>
    <row r="2280">
      <c r="A2280" s="1">
        <v>2025.0</v>
      </c>
      <c r="B2280" s="1" t="s">
        <v>257</v>
      </c>
      <c r="C2280" s="1">
        <v>679358.0</v>
      </c>
      <c r="D2280" s="1" t="s">
        <v>536</v>
      </c>
      <c r="E2280" s="1" t="s">
        <v>927</v>
      </c>
      <c r="F2280" s="1" t="s">
        <v>926</v>
      </c>
      <c r="G2280" s="1">
        <v>2.0</v>
      </c>
      <c r="H2280" s="1">
        <v>0.122369065</v>
      </c>
      <c r="I2280" s="1">
        <v>5.7</v>
      </c>
      <c r="J2280" s="1">
        <v>0.017601</v>
      </c>
    </row>
    <row r="2281">
      <c r="A2281" s="1">
        <v>2025.0</v>
      </c>
      <c r="B2281" s="1" t="s">
        <v>257</v>
      </c>
      <c r="C2281" s="1">
        <v>679358.0</v>
      </c>
      <c r="D2281" s="1" t="s">
        <v>533</v>
      </c>
      <c r="E2281" s="1" t="s">
        <v>927</v>
      </c>
      <c r="F2281" s="1" t="s">
        <v>926</v>
      </c>
      <c r="G2281" s="1">
        <v>71.0</v>
      </c>
      <c r="H2281" s="1">
        <v>4.344101811</v>
      </c>
      <c r="I2281" s="1">
        <v>4.93</v>
      </c>
      <c r="J2281" s="1">
        <v>1.7227</v>
      </c>
    </row>
    <row r="2282">
      <c r="A2282" s="1">
        <v>2025.0</v>
      </c>
      <c r="B2282" s="1" t="s">
        <v>257</v>
      </c>
      <c r="C2282" s="1">
        <v>679358.0</v>
      </c>
      <c r="D2282" s="1" t="s">
        <v>537</v>
      </c>
      <c r="E2282" s="1" t="s">
        <v>927</v>
      </c>
      <c r="F2282" s="1" t="s">
        <v>927</v>
      </c>
      <c r="G2282" s="1">
        <v>93.0</v>
      </c>
      <c r="H2282" s="1">
        <v>5.690161527</v>
      </c>
      <c r="I2282" s="1">
        <v>4.56</v>
      </c>
      <c r="J2282" s="1">
        <v>2.904843</v>
      </c>
    </row>
    <row r="2283">
      <c r="A2283" s="1">
        <v>2025.0</v>
      </c>
      <c r="B2283" s="1" t="s">
        <v>257</v>
      </c>
      <c r="C2283" s="1">
        <v>679358.0</v>
      </c>
      <c r="D2283" s="1" t="s">
        <v>538</v>
      </c>
      <c r="E2283" s="1" t="s">
        <v>927</v>
      </c>
      <c r="F2283" s="1" t="s">
        <v>927</v>
      </c>
      <c r="G2283" s="1">
        <v>143.0</v>
      </c>
      <c r="H2283" s="1">
        <v>8.749388155</v>
      </c>
      <c r="I2283" s="1">
        <v>5.04</v>
      </c>
      <c r="J2283" s="1">
        <v>2.931371</v>
      </c>
    </row>
    <row r="2284">
      <c r="A2284" s="1">
        <v>2025.0</v>
      </c>
      <c r="B2284" s="1" t="s">
        <v>257</v>
      </c>
      <c r="C2284" s="1">
        <v>679358.0</v>
      </c>
      <c r="D2284" s="1" t="s">
        <v>533</v>
      </c>
      <c r="E2284" s="1" t="s">
        <v>927</v>
      </c>
      <c r="F2284" s="1" t="s">
        <v>927</v>
      </c>
      <c r="G2284" s="1">
        <v>106.0</v>
      </c>
      <c r="H2284" s="1">
        <v>6.48556045</v>
      </c>
      <c r="I2284" s="1">
        <v>5.47</v>
      </c>
      <c r="J2284" s="1">
        <v>1.38675</v>
      </c>
    </row>
    <row r="2285">
      <c r="A2285" s="1">
        <v>2025.0</v>
      </c>
      <c r="B2285" s="1" t="s">
        <v>321</v>
      </c>
      <c r="C2285" s="1">
        <v>607200.0</v>
      </c>
      <c r="D2285" s="1" t="s">
        <v>532</v>
      </c>
      <c r="E2285" s="1" t="s">
        <v>927</v>
      </c>
      <c r="F2285" s="1" t="s">
        <v>926</v>
      </c>
      <c r="G2285" s="1">
        <v>262.0</v>
      </c>
      <c r="H2285" s="1">
        <v>15.59392149</v>
      </c>
      <c r="I2285" s="1">
        <v>4.92</v>
      </c>
      <c r="J2285" s="1">
        <v>6.107609</v>
      </c>
    </row>
    <row r="2286">
      <c r="A2286" s="1">
        <v>2025.0</v>
      </c>
      <c r="B2286" s="1" t="s">
        <v>321</v>
      </c>
      <c r="C2286" s="1">
        <v>607200.0</v>
      </c>
      <c r="D2286" s="1" t="s">
        <v>540</v>
      </c>
      <c r="E2286" s="1" t="s">
        <v>927</v>
      </c>
      <c r="F2286" s="1" t="s">
        <v>926</v>
      </c>
      <c r="G2286" s="1">
        <v>412.0</v>
      </c>
      <c r="H2286" s="1">
        <v>24.52173913</v>
      </c>
      <c r="I2286" s="1">
        <v>5.06</v>
      </c>
      <c r="J2286" s="1">
        <v>8.595103</v>
      </c>
    </row>
    <row r="2287">
      <c r="A2287" s="1">
        <v>2025.0</v>
      </c>
      <c r="B2287" s="1" t="s">
        <v>321</v>
      </c>
      <c r="C2287" s="1">
        <v>607200.0</v>
      </c>
      <c r="D2287" s="1" t="s">
        <v>536</v>
      </c>
      <c r="E2287" s="1" t="s">
        <v>927</v>
      </c>
      <c r="F2287" s="1" t="s">
        <v>926</v>
      </c>
      <c r="G2287" s="1">
        <v>348.0</v>
      </c>
      <c r="H2287" s="1">
        <v>20.71253694</v>
      </c>
      <c r="I2287" s="1">
        <v>4.7</v>
      </c>
      <c r="J2287" s="1">
        <v>9.907051</v>
      </c>
    </row>
    <row r="2288">
      <c r="A2288" s="1">
        <v>2025.0</v>
      </c>
      <c r="B2288" s="1" t="s">
        <v>321</v>
      </c>
      <c r="C2288" s="1">
        <v>607200.0</v>
      </c>
      <c r="D2288" s="1" t="s">
        <v>539</v>
      </c>
      <c r="E2288" s="1" t="s">
        <v>927</v>
      </c>
      <c r="F2288" s="1" t="s">
        <v>926</v>
      </c>
      <c r="G2288" s="1">
        <v>238.0</v>
      </c>
      <c r="H2288" s="1">
        <v>14.16547066</v>
      </c>
      <c r="I2288" s="1">
        <v>5.31</v>
      </c>
      <c r="J2288" s="1">
        <v>3.655254</v>
      </c>
    </row>
    <row r="2289">
      <c r="A2289" s="1">
        <v>2025.0</v>
      </c>
      <c r="B2289" s="1" t="s">
        <v>321</v>
      </c>
      <c r="C2289" s="1">
        <v>607200.0</v>
      </c>
      <c r="D2289" s="1" t="s">
        <v>532</v>
      </c>
      <c r="E2289" s="1" t="s">
        <v>927</v>
      </c>
      <c r="F2289" s="1" t="s">
        <v>927</v>
      </c>
      <c r="G2289" s="1">
        <v>19.0</v>
      </c>
      <c r="H2289" s="1">
        <v>1.130856902</v>
      </c>
      <c r="I2289" s="1">
        <v>3.44</v>
      </c>
      <c r="J2289" s="1">
        <v>0.997239</v>
      </c>
    </row>
    <row r="2290">
      <c r="A2290" s="1">
        <v>2025.0</v>
      </c>
      <c r="B2290" s="1" t="s">
        <v>321</v>
      </c>
      <c r="C2290" s="1">
        <v>607200.0</v>
      </c>
      <c r="D2290" s="1" t="s">
        <v>540</v>
      </c>
      <c r="E2290" s="1" t="s">
        <v>927</v>
      </c>
      <c r="F2290" s="1" t="s">
        <v>927</v>
      </c>
      <c r="G2290" s="1">
        <v>252.0</v>
      </c>
      <c r="H2290" s="1">
        <v>14.99873364</v>
      </c>
      <c r="I2290" s="1">
        <v>5.44</v>
      </c>
      <c r="J2290" s="1">
        <v>3.408243</v>
      </c>
    </row>
    <row r="2291">
      <c r="A2291" s="1">
        <v>2025.0</v>
      </c>
      <c r="B2291" s="1" t="s">
        <v>321</v>
      </c>
      <c r="C2291" s="1">
        <v>607200.0</v>
      </c>
      <c r="D2291" s="1" t="s">
        <v>536</v>
      </c>
      <c r="E2291" s="1" t="s">
        <v>927</v>
      </c>
      <c r="F2291" s="1" t="s">
        <v>927</v>
      </c>
      <c r="G2291" s="1">
        <v>461.0</v>
      </c>
      <c r="H2291" s="1">
        <v>27.43815956</v>
      </c>
      <c r="I2291" s="1">
        <v>4.79</v>
      </c>
      <c r="J2291" s="1">
        <v>12.266765</v>
      </c>
    </row>
    <row r="2292">
      <c r="A2292" s="1">
        <v>2025.0</v>
      </c>
      <c r="B2292" s="1" t="s">
        <v>321</v>
      </c>
      <c r="C2292" s="1">
        <v>607200.0</v>
      </c>
      <c r="D2292" s="1" t="s">
        <v>539</v>
      </c>
      <c r="E2292" s="1" t="s">
        <v>927</v>
      </c>
      <c r="F2292" s="1" t="s">
        <v>927</v>
      </c>
      <c r="G2292" s="1">
        <v>377.0</v>
      </c>
      <c r="H2292" s="1">
        <v>22.43858168</v>
      </c>
      <c r="I2292" s="1">
        <v>5.02</v>
      </c>
      <c r="J2292" s="1">
        <v>7.997277</v>
      </c>
    </row>
    <row r="2293">
      <c r="A2293" s="1">
        <v>2025.0</v>
      </c>
      <c r="B2293" s="1" t="s">
        <v>655</v>
      </c>
      <c r="C2293" s="1">
        <v>669062.0</v>
      </c>
      <c r="D2293" s="1" t="s">
        <v>532</v>
      </c>
      <c r="E2293" s="1" t="s">
        <v>926</v>
      </c>
      <c r="F2293" s="1" t="s">
        <v>926</v>
      </c>
      <c r="G2293" s="1">
        <v>8.0</v>
      </c>
      <c r="H2293" s="1">
        <v>0.497925311</v>
      </c>
      <c r="I2293" s="1">
        <v>4.49</v>
      </c>
      <c r="J2293" s="1">
        <v>0.249342</v>
      </c>
    </row>
    <row r="2294">
      <c r="A2294" s="1">
        <v>2025.0</v>
      </c>
      <c r="B2294" s="1" t="s">
        <v>655</v>
      </c>
      <c r="C2294" s="1">
        <v>669062.0</v>
      </c>
      <c r="D2294" s="1" t="s">
        <v>537</v>
      </c>
      <c r="E2294" s="1" t="s">
        <v>926</v>
      </c>
      <c r="F2294" s="1" t="s">
        <v>926</v>
      </c>
      <c r="G2294" s="1">
        <v>48.0</v>
      </c>
      <c r="H2294" s="1">
        <v>2.987551867</v>
      </c>
      <c r="I2294" s="1">
        <v>4.12</v>
      </c>
      <c r="J2294" s="1">
        <v>1.946606</v>
      </c>
    </row>
    <row r="2295">
      <c r="A2295" s="1">
        <v>2025.0</v>
      </c>
      <c r="B2295" s="1" t="s">
        <v>655</v>
      </c>
      <c r="C2295" s="1">
        <v>669062.0</v>
      </c>
      <c r="D2295" s="1" t="s">
        <v>536</v>
      </c>
      <c r="E2295" s="1" t="s">
        <v>926</v>
      </c>
      <c r="F2295" s="1" t="s">
        <v>926</v>
      </c>
      <c r="G2295" s="1">
        <v>68.0</v>
      </c>
      <c r="H2295" s="1">
        <v>4.232365145</v>
      </c>
      <c r="I2295" s="1">
        <v>5.49</v>
      </c>
      <c r="J2295" s="1">
        <v>0.815091</v>
      </c>
    </row>
    <row r="2296">
      <c r="A2296" s="1">
        <v>2025.0</v>
      </c>
      <c r="B2296" s="1" t="s">
        <v>655</v>
      </c>
      <c r="C2296" s="1">
        <v>669062.0</v>
      </c>
      <c r="D2296" s="1" t="s">
        <v>533</v>
      </c>
      <c r="E2296" s="1" t="s">
        <v>926</v>
      </c>
      <c r="F2296" s="1" t="s">
        <v>926</v>
      </c>
      <c r="G2296" s="1">
        <v>63.0</v>
      </c>
      <c r="H2296" s="1">
        <v>3.921161826</v>
      </c>
      <c r="I2296" s="1">
        <v>5.03</v>
      </c>
      <c r="J2296" s="1">
        <v>1.333619</v>
      </c>
    </row>
    <row r="2297">
      <c r="A2297" s="1">
        <v>2025.0</v>
      </c>
      <c r="B2297" s="1" t="s">
        <v>655</v>
      </c>
      <c r="C2297" s="1">
        <v>669062.0</v>
      </c>
      <c r="D2297" s="1" t="s">
        <v>532</v>
      </c>
      <c r="E2297" s="1" t="s">
        <v>926</v>
      </c>
      <c r="F2297" s="1" t="s">
        <v>927</v>
      </c>
      <c r="G2297" s="1">
        <v>116.0</v>
      </c>
      <c r="H2297" s="1">
        <v>7.219917012</v>
      </c>
      <c r="I2297" s="1">
        <v>5.19</v>
      </c>
      <c r="J2297" s="1">
        <v>2.100314</v>
      </c>
    </row>
    <row r="2298">
      <c r="A2298" s="1">
        <v>2025.0</v>
      </c>
      <c r="B2298" s="1" t="s">
        <v>655</v>
      </c>
      <c r="C2298" s="1">
        <v>669062.0</v>
      </c>
      <c r="D2298" s="1" t="s">
        <v>537</v>
      </c>
      <c r="E2298" s="1" t="s">
        <v>926</v>
      </c>
      <c r="F2298" s="1" t="s">
        <v>927</v>
      </c>
      <c r="G2298" s="1">
        <v>117.0</v>
      </c>
      <c r="H2298" s="1">
        <v>7.282157676</v>
      </c>
      <c r="I2298" s="1">
        <v>4.28</v>
      </c>
      <c r="J2298" s="1">
        <v>4.306631</v>
      </c>
    </row>
    <row r="2299">
      <c r="A2299" s="1">
        <v>2025.0</v>
      </c>
      <c r="B2299" s="1" t="s">
        <v>655</v>
      </c>
      <c r="C2299" s="1">
        <v>669062.0</v>
      </c>
      <c r="D2299" s="1" t="s">
        <v>536</v>
      </c>
      <c r="E2299" s="1" t="s">
        <v>926</v>
      </c>
      <c r="F2299" s="1" t="s">
        <v>927</v>
      </c>
      <c r="G2299" s="1">
        <v>18.0</v>
      </c>
      <c r="H2299" s="1">
        <v>1.12033195</v>
      </c>
      <c r="I2299" s="1">
        <v>4.82</v>
      </c>
      <c r="J2299" s="1">
        <v>0.472068</v>
      </c>
    </row>
    <row r="2300">
      <c r="A2300" s="1">
        <v>2025.0</v>
      </c>
      <c r="B2300" s="1" t="s">
        <v>655</v>
      </c>
      <c r="C2300" s="1">
        <v>669062.0</v>
      </c>
      <c r="D2300" s="1" t="s">
        <v>533</v>
      </c>
      <c r="E2300" s="1" t="s">
        <v>926</v>
      </c>
      <c r="F2300" s="1" t="s">
        <v>927</v>
      </c>
      <c r="G2300" s="1">
        <v>44.0</v>
      </c>
      <c r="H2300" s="1">
        <v>2.738589212</v>
      </c>
      <c r="I2300" s="1">
        <v>4.81</v>
      </c>
      <c r="J2300" s="1">
        <v>1.154922</v>
      </c>
    </row>
    <row r="2301">
      <c r="A2301" s="1">
        <v>2025.0</v>
      </c>
      <c r="B2301" s="1" t="s">
        <v>543</v>
      </c>
      <c r="C2301" s="1">
        <v>681870.0</v>
      </c>
      <c r="D2301" s="1" t="s">
        <v>541</v>
      </c>
      <c r="E2301" s="1" t="s">
        <v>926</v>
      </c>
      <c r="F2301" s="1" t="s">
        <v>926</v>
      </c>
      <c r="G2301" s="1">
        <v>14.0</v>
      </c>
      <c r="H2301" s="1">
        <v>0.818061089</v>
      </c>
      <c r="I2301" s="1">
        <v>4.68</v>
      </c>
      <c r="J2301" s="1">
        <v>0.393915</v>
      </c>
    </row>
    <row r="2302">
      <c r="A2302" s="1">
        <v>2025.0</v>
      </c>
      <c r="B2302" s="1" t="s">
        <v>543</v>
      </c>
      <c r="C2302" s="1">
        <v>681870.0</v>
      </c>
      <c r="D2302" s="1" t="s">
        <v>537</v>
      </c>
      <c r="E2302" s="1" t="s">
        <v>926</v>
      </c>
      <c r="F2302" s="1" t="s">
        <v>926</v>
      </c>
      <c r="G2302" s="1">
        <v>123.0</v>
      </c>
      <c r="H2302" s="1">
        <v>7.187250996</v>
      </c>
      <c r="I2302" s="1">
        <v>5.49</v>
      </c>
      <c r="J2302" s="1">
        <v>1.591343</v>
      </c>
    </row>
    <row r="2303">
      <c r="A2303" s="1">
        <v>2025.0</v>
      </c>
      <c r="B2303" s="1" t="s">
        <v>543</v>
      </c>
      <c r="C2303" s="1">
        <v>681870.0</v>
      </c>
      <c r="D2303" s="1" t="s">
        <v>533</v>
      </c>
      <c r="E2303" s="1" t="s">
        <v>926</v>
      </c>
      <c r="F2303" s="1" t="s">
        <v>926</v>
      </c>
      <c r="G2303" s="1">
        <v>63.0</v>
      </c>
      <c r="H2303" s="1">
        <v>3.6812749</v>
      </c>
      <c r="I2303" s="1">
        <v>5.0</v>
      </c>
      <c r="J2303" s="1">
        <v>1.443496</v>
      </c>
    </row>
    <row r="2304">
      <c r="A2304" s="1">
        <v>2025.0</v>
      </c>
      <c r="B2304" s="1" t="s">
        <v>543</v>
      </c>
      <c r="C2304" s="1">
        <v>681870.0</v>
      </c>
      <c r="D2304" s="1" t="s">
        <v>541</v>
      </c>
      <c r="E2304" s="1" t="s">
        <v>926</v>
      </c>
      <c r="F2304" s="1" t="s">
        <v>927</v>
      </c>
      <c r="G2304" s="1">
        <v>62.0</v>
      </c>
      <c r="H2304" s="1">
        <v>3.622841965</v>
      </c>
      <c r="I2304" s="1">
        <v>4.43</v>
      </c>
      <c r="J2304" s="1">
        <v>2.065566</v>
      </c>
    </row>
    <row r="2305">
      <c r="A2305" s="1">
        <v>2025.0</v>
      </c>
      <c r="B2305" s="1" t="s">
        <v>543</v>
      </c>
      <c r="C2305" s="1">
        <v>681870.0</v>
      </c>
      <c r="D2305" s="1" t="s">
        <v>537</v>
      </c>
      <c r="E2305" s="1" t="s">
        <v>926</v>
      </c>
      <c r="F2305" s="1" t="s">
        <v>927</v>
      </c>
      <c r="G2305" s="1">
        <v>219.0</v>
      </c>
      <c r="H2305" s="1">
        <v>12.79681275</v>
      </c>
      <c r="I2305" s="1">
        <v>5.05</v>
      </c>
      <c r="J2305" s="1">
        <v>4.759828</v>
      </c>
    </row>
    <row r="2306">
      <c r="A2306" s="1">
        <v>2025.0</v>
      </c>
      <c r="B2306" s="1" t="s">
        <v>543</v>
      </c>
      <c r="C2306" s="1">
        <v>681870.0</v>
      </c>
      <c r="D2306" s="1" t="s">
        <v>533</v>
      </c>
      <c r="E2306" s="1" t="s">
        <v>926</v>
      </c>
      <c r="F2306" s="1" t="s">
        <v>927</v>
      </c>
      <c r="G2306" s="1">
        <v>21.0</v>
      </c>
      <c r="H2306" s="1">
        <v>1.227091633</v>
      </c>
      <c r="I2306" s="1">
        <v>3.95</v>
      </c>
      <c r="J2306" s="1">
        <v>0.931855</v>
      </c>
    </row>
    <row r="2307">
      <c r="A2307" s="1">
        <v>2025.0</v>
      </c>
      <c r="B2307" s="1" t="s">
        <v>858</v>
      </c>
      <c r="C2307" s="1">
        <v>657024.0</v>
      </c>
      <c r="D2307" s="1" t="s">
        <v>537</v>
      </c>
      <c r="E2307" s="1" t="s">
        <v>927</v>
      </c>
      <c r="F2307" s="1" t="s">
        <v>926</v>
      </c>
      <c r="G2307" s="1">
        <v>37.0</v>
      </c>
      <c r="H2307" s="1">
        <v>1.541666667</v>
      </c>
      <c r="I2307" s="1">
        <v>4.6</v>
      </c>
      <c r="J2307" s="1">
        <v>1.097835</v>
      </c>
    </row>
    <row r="2308">
      <c r="A2308" s="1">
        <v>2025.0</v>
      </c>
      <c r="B2308" s="1" t="s">
        <v>858</v>
      </c>
      <c r="C2308" s="1">
        <v>657024.0</v>
      </c>
      <c r="D2308" s="1" t="s">
        <v>538</v>
      </c>
      <c r="E2308" s="1" t="s">
        <v>927</v>
      </c>
      <c r="F2308" s="1" t="s">
        <v>926</v>
      </c>
      <c r="G2308" s="1">
        <v>29.0</v>
      </c>
      <c r="H2308" s="1">
        <v>1.208333333</v>
      </c>
      <c r="I2308" s="1">
        <v>4.48</v>
      </c>
      <c r="J2308" s="1">
        <v>0.930101</v>
      </c>
    </row>
    <row r="2309">
      <c r="A2309" s="1">
        <v>2025.0</v>
      </c>
      <c r="B2309" s="1" t="s">
        <v>858</v>
      </c>
      <c r="C2309" s="1">
        <v>657024.0</v>
      </c>
      <c r="D2309" s="1" t="s">
        <v>537</v>
      </c>
      <c r="E2309" s="1" t="s">
        <v>927</v>
      </c>
      <c r="F2309" s="1" t="s">
        <v>927</v>
      </c>
      <c r="G2309" s="1">
        <v>22.0</v>
      </c>
      <c r="H2309" s="1">
        <v>0.916666667</v>
      </c>
      <c r="I2309" s="1">
        <v>4.28</v>
      </c>
      <c r="J2309" s="1">
        <v>0.807883</v>
      </c>
    </row>
    <row r="2310">
      <c r="A2310" s="1">
        <v>2025.0</v>
      </c>
      <c r="B2310" s="1" t="s">
        <v>858</v>
      </c>
      <c r="C2310" s="1">
        <v>657024.0</v>
      </c>
      <c r="D2310" s="1" t="s">
        <v>538</v>
      </c>
      <c r="E2310" s="1" t="s">
        <v>927</v>
      </c>
      <c r="F2310" s="1" t="s">
        <v>927</v>
      </c>
      <c r="G2310" s="1">
        <v>27.0</v>
      </c>
      <c r="H2310" s="1">
        <v>1.125</v>
      </c>
      <c r="I2310" s="1">
        <v>5.13</v>
      </c>
      <c r="J2310" s="1">
        <v>0.509481</v>
      </c>
    </row>
    <row r="2311">
      <c r="A2311" s="1">
        <v>2025.0</v>
      </c>
      <c r="B2311" s="1" t="s">
        <v>858</v>
      </c>
      <c r="C2311" s="1">
        <v>657024.0</v>
      </c>
      <c r="D2311" s="1" t="s">
        <v>533</v>
      </c>
      <c r="E2311" s="1" t="s">
        <v>927</v>
      </c>
      <c r="F2311" s="1" t="s">
        <v>927</v>
      </c>
      <c r="G2311" s="1">
        <v>13.0</v>
      </c>
      <c r="H2311" s="1">
        <v>0.541666667</v>
      </c>
      <c r="I2311" s="1">
        <v>4.59</v>
      </c>
      <c r="J2311" s="1">
        <v>0.40237</v>
      </c>
    </row>
    <row r="2312">
      <c r="A2312" s="1">
        <v>2025.0</v>
      </c>
      <c r="B2312" s="1" t="s">
        <v>789</v>
      </c>
      <c r="C2312" s="1">
        <v>681799.0</v>
      </c>
      <c r="D2312" s="1" t="s">
        <v>540</v>
      </c>
      <c r="E2312" s="1" t="s">
        <v>927</v>
      </c>
      <c r="F2312" s="1" t="s">
        <v>926</v>
      </c>
      <c r="G2312" s="1">
        <v>29.0</v>
      </c>
      <c r="H2312" s="1">
        <v>1.8125</v>
      </c>
      <c r="I2312" s="1">
        <v>5.01</v>
      </c>
      <c r="J2312" s="1">
        <v>0.651737</v>
      </c>
    </row>
    <row r="2313">
      <c r="A2313" s="1">
        <v>2025.0</v>
      </c>
      <c r="B2313" s="1" t="s">
        <v>789</v>
      </c>
      <c r="C2313" s="1">
        <v>681799.0</v>
      </c>
      <c r="D2313" s="1" t="s">
        <v>539</v>
      </c>
      <c r="E2313" s="1" t="s">
        <v>927</v>
      </c>
      <c r="F2313" s="1" t="s">
        <v>926</v>
      </c>
      <c r="G2313" s="1">
        <v>33.0</v>
      </c>
      <c r="H2313" s="1">
        <v>2.0625</v>
      </c>
      <c r="I2313" s="1">
        <v>4.78</v>
      </c>
      <c r="J2313" s="1">
        <v>0.854517</v>
      </c>
    </row>
    <row r="2314">
      <c r="A2314" s="1">
        <v>2025.0</v>
      </c>
      <c r="B2314" s="1" t="s">
        <v>789</v>
      </c>
      <c r="C2314" s="1">
        <v>681799.0</v>
      </c>
      <c r="D2314" s="1" t="s">
        <v>540</v>
      </c>
      <c r="E2314" s="1" t="s">
        <v>927</v>
      </c>
      <c r="F2314" s="1" t="s">
        <v>927</v>
      </c>
      <c r="G2314" s="1">
        <v>25.0</v>
      </c>
      <c r="H2314" s="1">
        <v>1.5625</v>
      </c>
      <c r="I2314" s="1">
        <v>5.57</v>
      </c>
      <c r="J2314" s="1">
        <v>0.288195</v>
      </c>
    </row>
    <row r="2315">
      <c r="A2315" s="1">
        <v>2025.0</v>
      </c>
      <c r="B2315" s="1" t="s">
        <v>789</v>
      </c>
      <c r="C2315" s="1">
        <v>681799.0</v>
      </c>
      <c r="D2315" s="1" t="s">
        <v>536</v>
      </c>
      <c r="E2315" s="1" t="s">
        <v>927</v>
      </c>
      <c r="F2315" s="1" t="s">
        <v>927</v>
      </c>
      <c r="G2315" s="1">
        <v>7.0</v>
      </c>
      <c r="H2315" s="1">
        <v>0.4375</v>
      </c>
      <c r="I2315" s="1">
        <v>4.85</v>
      </c>
      <c r="J2315" s="1">
        <v>0.187401</v>
      </c>
    </row>
    <row r="2316">
      <c r="A2316" s="1">
        <v>2025.0</v>
      </c>
      <c r="B2316" s="1" t="s">
        <v>789</v>
      </c>
      <c r="C2316" s="1">
        <v>681799.0</v>
      </c>
      <c r="D2316" s="1" t="s">
        <v>539</v>
      </c>
      <c r="E2316" s="1" t="s">
        <v>927</v>
      </c>
      <c r="F2316" s="1" t="s">
        <v>927</v>
      </c>
      <c r="G2316" s="1">
        <v>50.0</v>
      </c>
      <c r="H2316" s="1">
        <v>3.125</v>
      </c>
      <c r="I2316" s="1">
        <v>5.47</v>
      </c>
      <c r="J2316" s="1">
        <v>0.5941</v>
      </c>
    </row>
    <row r="2317">
      <c r="A2317" s="1">
        <v>2025.0</v>
      </c>
      <c r="B2317" s="1" t="s">
        <v>323</v>
      </c>
      <c r="C2317" s="1">
        <v>691587.0</v>
      </c>
      <c r="D2317" s="1" t="s">
        <v>532</v>
      </c>
      <c r="E2317" s="1" t="s">
        <v>927</v>
      </c>
      <c r="F2317" s="1" t="s">
        <v>926</v>
      </c>
      <c r="G2317" s="1">
        <v>115.0</v>
      </c>
      <c r="H2317" s="1">
        <v>6.568803675</v>
      </c>
      <c r="I2317" s="1">
        <v>4.26</v>
      </c>
      <c r="J2317" s="1">
        <v>4.10033</v>
      </c>
    </row>
    <row r="2318">
      <c r="A2318" s="1">
        <v>2025.0</v>
      </c>
      <c r="B2318" s="1" t="s">
        <v>323</v>
      </c>
      <c r="C2318" s="1">
        <v>691587.0</v>
      </c>
      <c r="D2318" s="1" t="s">
        <v>541</v>
      </c>
      <c r="E2318" s="1" t="s">
        <v>927</v>
      </c>
      <c r="F2318" s="1" t="s">
        <v>926</v>
      </c>
      <c r="G2318" s="1">
        <v>130.0</v>
      </c>
      <c r="H2318" s="1">
        <v>7.425604154</v>
      </c>
      <c r="I2318" s="1">
        <v>4.89</v>
      </c>
      <c r="J2318" s="1">
        <v>3.111135</v>
      </c>
    </row>
    <row r="2319">
      <c r="A2319" s="1">
        <v>2025.0</v>
      </c>
      <c r="B2319" s="1" t="s">
        <v>323</v>
      </c>
      <c r="C2319" s="1">
        <v>691587.0</v>
      </c>
      <c r="D2319" s="1" t="s">
        <v>537</v>
      </c>
      <c r="E2319" s="1" t="s">
        <v>927</v>
      </c>
      <c r="F2319" s="1" t="s">
        <v>926</v>
      </c>
      <c r="G2319" s="1">
        <v>526.0</v>
      </c>
      <c r="H2319" s="1">
        <v>30.04513681</v>
      </c>
      <c r="I2319" s="1">
        <v>5.39</v>
      </c>
      <c r="J2319" s="1">
        <v>7.363151</v>
      </c>
    </row>
    <row r="2320">
      <c r="A2320" s="1">
        <v>2025.0</v>
      </c>
      <c r="B2320" s="1" t="s">
        <v>323</v>
      </c>
      <c r="C2320" s="1">
        <v>691587.0</v>
      </c>
      <c r="D2320" s="1" t="s">
        <v>536</v>
      </c>
      <c r="E2320" s="1" t="s">
        <v>927</v>
      </c>
      <c r="F2320" s="1" t="s">
        <v>926</v>
      </c>
      <c r="G2320" s="1">
        <v>11.0</v>
      </c>
      <c r="H2320" s="1">
        <v>0.628320352</v>
      </c>
      <c r="I2320" s="1">
        <v>4.03</v>
      </c>
      <c r="J2320" s="1">
        <v>0.464297</v>
      </c>
    </row>
    <row r="2321">
      <c r="A2321" s="1">
        <v>2025.0</v>
      </c>
      <c r="B2321" s="1" t="s">
        <v>323</v>
      </c>
      <c r="C2321" s="1">
        <v>691587.0</v>
      </c>
      <c r="D2321" s="1" t="s">
        <v>533</v>
      </c>
      <c r="E2321" s="1" t="s">
        <v>927</v>
      </c>
      <c r="F2321" s="1" t="s">
        <v>926</v>
      </c>
      <c r="G2321" s="1">
        <v>205.0</v>
      </c>
      <c r="H2321" s="1">
        <v>11.70960655</v>
      </c>
      <c r="I2321" s="1">
        <v>4.77</v>
      </c>
      <c r="J2321" s="1">
        <v>5.40148</v>
      </c>
    </row>
    <row r="2322">
      <c r="A2322" s="1">
        <v>2025.0</v>
      </c>
      <c r="B2322" s="1" t="s">
        <v>323</v>
      </c>
      <c r="C2322" s="1">
        <v>691587.0</v>
      </c>
      <c r="D2322" s="1" t="s">
        <v>539</v>
      </c>
      <c r="E2322" s="1" t="s">
        <v>927</v>
      </c>
      <c r="F2322" s="1" t="s">
        <v>926</v>
      </c>
      <c r="G2322" s="1">
        <v>15.0</v>
      </c>
      <c r="H2322" s="1">
        <v>0.856800479</v>
      </c>
      <c r="I2322" s="1">
        <v>5.2</v>
      </c>
      <c r="J2322" s="1">
        <v>0.256653</v>
      </c>
    </row>
    <row r="2323">
      <c r="A2323" s="1">
        <v>2025.0</v>
      </c>
      <c r="B2323" s="1" t="s">
        <v>323</v>
      </c>
      <c r="C2323" s="1">
        <v>691587.0</v>
      </c>
      <c r="D2323" s="1" t="s">
        <v>532</v>
      </c>
      <c r="E2323" s="1" t="s">
        <v>927</v>
      </c>
      <c r="F2323" s="1" t="s">
        <v>927</v>
      </c>
      <c r="G2323" s="1">
        <v>15.0</v>
      </c>
      <c r="H2323" s="1">
        <v>0.856800479</v>
      </c>
      <c r="I2323" s="1">
        <v>4.41</v>
      </c>
      <c r="J2323" s="1">
        <v>0.521996</v>
      </c>
    </row>
    <row r="2324">
      <c r="A2324" s="1">
        <v>2025.0</v>
      </c>
      <c r="B2324" s="1" t="s">
        <v>323</v>
      </c>
      <c r="C2324" s="1">
        <v>691587.0</v>
      </c>
      <c r="D2324" s="1" t="s">
        <v>541</v>
      </c>
      <c r="E2324" s="1" t="s">
        <v>927</v>
      </c>
      <c r="F2324" s="1" t="s">
        <v>927</v>
      </c>
      <c r="G2324" s="1">
        <v>21.0</v>
      </c>
      <c r="H2324" s="1">
        <v>1.199520671</v>
      </c>
      <c r="I2324" s="1">
        <v>4.95</v>
      </c>
      <c r="J2324" s="1">
        <v>0.45556</v>
      </c>
    </row>
    <row r="2325">
      <c r="A2325" s="1">
        <v>2025.0</v>
      </c>
      <c r="B2325" s="1" t="s">
        <v>323</v>
      </c>
      <c r="C2325" s="1">
        <v>691587.0</v>
      </c>
      <c r="D2325" s="1" t="s">
        <v>537</v>
      </c>
      <c r="E2325" s="1" t="s">
        <v>927</v>
      </c>
      <c r="F2325" s="1" t="s">
        <v>927</v>
      </c>
      <c r="G2325" s="1">
        <v>335.0</v>
      </c>
      <c r="H2325" s="1">
        <v>19.13521071</v>
      </c>
      <c r="I2325" s="1">
        <v>5.06</v>
      </c>
      <c r="J2325" s="1">
        <v>7.02367</v>
      </c>
    </row>
    <row r="2326">
      <c r="A2326" s="1">
        <v>2025.0</v>
      </c>
      <c r="B2326" s="1" t="s">
        <v>323</v>
      </c>
      <c r="C2326" s="1">
        <v>691587.0</v>
      </c>
      <c r="D2326" s="1" t="s">
        <v>536</v>
      </c>
      <c r="E2326" s="1" t="s">
        <v>927</v>
      </c>
      <c r="F2326" s="1" t="s">
        <v>927</v>
      </c>
      <c r="G2326" s="1">
        <v>3.0</v>
      </c>
      <c r="H2326" s="1">
        <v>0.171360096</v>
      </c>
      <c r="I2326" s="1">
        <v>3.6</v>
      </c>
      <c r="J2326" s="1">
        <v>0.149116</v>
      </c>
    </row>
    <row r="2327">
      <c r="A2327" s="1">
        <v>2025.0</v>
      </c>
      <c r="B2327" s="1" t="s">
        <v>323</v>
      </c>
      <c r="C2327" s="1">
        <v>691587.0</v>
      </c>
      <c r="D2327" s="1" t="s">
        <v>533</v>
      </c>
      <c r="E2327" s="1" t="s">
        <v>927</v>
      </c>
      <c r="F2327" s="1" t="s">
        <v>927</v>
      </c>
      <c r="G2327" s="1">
        <v>176.0</v>
      </c>
      <c r="H2327" s="1">
        <v>10.05312562</v>
      </c>
      <c r="I2327" s="1">
        <v>4.68</v>
      </c>
      <c r="J2327" s="1">
        <v>4.826889</v>
      </c>
    </row>
    <row r="2328">
      <c r="A2328" s="1">
        <v>2025.0</v>
      </c>
      <c r="B2328" s="1" t="s">
        <v>323</v>
      </c>
      <c r="C2328" s="1">
        <v>691587.0</v>
      </c>
      <c r="D2328" s="1" t="s">
        <v>539</v>
      </c>
      <c r="E2328" s="1" t="s">
        <v>927</v>
      </c>
      <c r="F2328" s="1" t="s">
        <v>927</v>
      </c>
      <c r="G2328" s="1">
        <v>117.0</v>
      </c>
      <c r="H2328" s="1">
        <v>6.683043739</v>
      </c>
      <c r="I2328" s="1">
        <v>5.15</v>
      </c>
      <c r="J2328" s="1">
        <v>2.128855</v>
      </c>
    </row>
    <row r="2329">
      <c r="A2329" s="1">
        <v>2025.0</v>
      </c>
      <c r="B2329" s="1" t="s">
        <v>694</v>
      </c>
      <c r="C2329" s="1">
        <v>623465.0</v>
      </c>
      <c r="D2329" s="1" t="s">
        <v>540</v>
      </c>
      <c r="E2329" s="1" t="s">
        <v>927</v>
      </c>
      <c r="F2329" s="1" t="s">
        <v>926</v>
      </c>
      <c r="G2329" s="1">
        <v>7.0</v>
      </c>
      <c r="H2329" s="1">
        <v>0.43115942</v>
      </c>
      <c r="I2329" s="1">
        <v>6.25</v>
      </c>
      <c r="J2329" s="1">
        <v>-3.2E-4</v>
      </c>
    </row>
    <row r="2330">
      <c r="A2330" s="1">
        <v>2025.0</v>
      </c>
      <c r="B2330" s="1" t="s">
        <v>694</v>
      </c>
      <c r="C2330" s="1">
        <v>623465.0</v>
      </c>
      <c r="D2330" s="1" t="s">
        <v>537</v>
      </c>
      <c r="E2330" s="1" t="s">
        <v>927</v>
      </c>
      <c r="F2330" s="1" t="s">
        <v>926</v>
      </c>
      <c r="G2330" s="1">
        <v>13.0</v>
      </c>
      <c r="H2330" s="1">
        <v>0.800724638</v>
      </c>
      <c r="I2330" s="1">
        <v>5.22</v>
      </c>
      <c r="J2330" s="1">
        <v>0.225305</v>
      </c>
    </row>
    <row r="2331">
      <c r="A2331" s="1">
        <v>2025.0</v>
      </c>
      <c r="B2331" s="1" t="s">
        <v>694</v>
      </c>
      <c r="C2331" s="1">
        <v>623465.0</v>
      </c>
      <c r="D2331" s="1" t="s">
        <v>536</v>
      </c>
      <c r="E2331" s="1" t="s">
        <v>927</v>
      </c>
      <c r="F2331" s="1" t="s">
        <v>926</v>
      </c>
      <c r="G2331" s="1">
        <v>1.0</v>
      </c>
      <c r="H2331" s="1">
        <v>0.061594203</v>
      </c>
      <c r="I2331" s="1">
        <v>0.38</v>
      </c>
      <c r="J2331" s="1">
        <v>0.107223</v>
      </c>
    </row>
    <row r="2332">
      <c r="A2332" s="1">
        <v>2025.0</v>
      </c>
      <c r="B2332" s="1" t="s">
        <v>694</v>
      </c>
      <c r="C2332" s="1">
        <v>623465.0</v>
      </c>
      <c r="D2332" s="1" t="s">
        <v>539</v>
      </c>
      <c r="E2332" s="1" t="s">
        <v>927</v>
      </c>
      <c r="F2332" s="1" t="s">
        <v>926</v>
      </c>
      <c r="G2332" s="1">
        <v>11.0</v>
      </c>
      <c r="H2332" s="1">
        <v>0.677536232</v>
      </c>
      <c r="I2332" s="1">
        <v>5.56</v>
      </c>
      <c r="J2332" s="1">
        <v>0.123169</v>
      </c>
    </row>
    <row r="2333">
      <c r="A2333" s="1">
        <v>2025.0</v>
      </c>
      <c r="B2333" s="1" t="s">
        <v>694</v>
      </c>
      <c r="C2333" s="1">
        <v>623465.0</v>
      </c>
      <c r="D2333" s="1" t="s">
        <v>537</v>
      </c>
      <c r="E2333" s="1" t="s">
        <v>927</v>
      </c>
      <c r="F2333" s="1" t="s">
        <v>927</v>
      </c>
      <c r="G2333" s="1">
        <v>16.0</v>
      </c>
      <c r="H2333" s="1">
        <v>0.985507246</v>
      </c>
      <c r="I2333" s="1">
        <v>5.35</v>
      </c>
      <c r="J2333" s="1">
        <v>0.264617</v>
      </c>
    </row>
    <row r="2334">
      <c r="A2334" s="1">
        <v>2025.0</v>
      </c>
      <c r="B2334" s="1" t="s">
        <v>694</v>
      </c>
      <c r="C2334" s="1">
        <v>623465.0</v>
      </c>
      <c r="D2334" s="1" t="s">
        <v>536</v>
      </c>
      <c r="E2334" s="1" t="s">
        <v>927</v>
      </c>
      <c r="F2334" s="1" t="s">
        <v>927</v>
      </c>
      <c r="G2334" s="1">
        <v>6.0</v>
      </c>
      <c r="H2334" s="1">
        <v>0.369565217</v>
      </c>
      <c r="I2334" s="1">
        <v>6.56</v>
      </c>
      <c r="J2334" s="1">
        <v>-0.051003</v>
      </c>
    </row>
    <row r="2335">
      <c r="A2335" s="1">
        <v>2025.0</v>
      </c>
      <c r="B2335" s="1" t="s">
        <v>694</v>
      </c>
      <c r="C2335" s="1">
        <v>623465.0</v>
      </c>
      <c r="D2335" s="1" t="s">
        <v>539</v>
      </c>
      <c r="E2335" s="1" t="s">
        <v>927</v>
      </c>
      <c r="F2335" s="1" t="s">
        <v>927</v>
      </c>
      <c r="G2335" s="1">
        <v>38.0</v>
      </c>
      <c r="H2335" s="1">
        <v>2.34057971</v>
      </c>
      <c r="I2335" s="1">
        <v>5.06</v>
      </c>
      <c r="J2335" s="1">
        <v>0.75774</v>
      </c>
    </row>
    <row r="2336">
      <c r="A2336" s="1">
        <v>2025.0</v>
      </c>
      <c r="B2336" s="1" t="s">
        <v>734</v>
      </c>
      <c r="C2336" s="1">
        <v>681895.0</v>
      </c>
      <c r="D2336" s="1" t="s">
        <v>541</v>
      </c>
      <c r="E2336" s="1" t="s">
        <v>926</v>
      </c>
      <c r="F2336" s="1" t="s">
        <v>926</v>
      </c>
      <c r="G2336" s="1">
        <v>2.0</v>
      </c>
      <c r="H2336" s="1">
        <v>0.107723577</v>
      </c>
      <c r="I2336" s="1">
        <v>5.04</v>
      </c>
      <c r="J2336" s="1">
        <v>0.046932</v>
      </c>
    </row>
    <row r="2337">
      <c r="A2337" s="1">
        <v>2025.0</v>
      </c>
      <c r="B2337" s="1" t="s">
        <v>734</v>
      </c>
      <c r="C2337" s="1">
        <v>681895.0</v>
      </c>
      <c r="D2337" s="1" t="s">
        <v>540</v>
      </c>
      <c r="E2337" s="1" t="s">
        <v>926</v>
      </c>
      <c r="F2337" s="1" t="s">
        <v>926</v>
      </c>
      <c r="G2337" s="1">
        <v>7.0</v>
      </c>
      <c r="H2337" s="1">
        <v>0.37703252</v>
      </c>
      <c r="I2337" s="1">
        <v>2.12</v>
      </c>
      <c r="J2337" s="1">
        <v>0.577922</v>
      </c>
    </row>
    <row r="2338">
      <c r="A2338" s="1">
        <v>2025.0</v>
      </c>
      <c r="B2338" s="1" t="s">
        <v>734</v>
      </c>
      <c r="C2338" s="1">
        <v>681895.0</v>
      </c>
      <c r="D2338" s="1" t="s">
        <v>537</v>
      </c>
      <c r="E2338" s="1" t="s">
        <v>926</v>
      </c>
      <c r="F2338" s="1" t="s">
        <v>926</v>
      </c>
      <c r="G2338" s="1">
        <v>4.0</v>
      </c>
      <c r="H2338" s="1">
        <v>0.215447154</v>
      </c>
      <c r="I2338" s="1">
        <v>4.44</v>
      </c>
      <c r="J2338" s="1">
        <v>0.168014</v>
      </c>
    </row>
    <row r="2339">
      <c r="A2339" s="1">
        <v>2025.0</v>
      </c>
      <c r="B2339" s="1" t="s">
        <v>734</v>
      </c>
      <c r="C2339" s="1">
        <v>681895.0</v>
      </c>
      <c r="D2339" s="1" t="s">
        <v>536</v>
      </c>
      <c r="E2339" s="1" t="s">
        <v>926</v>
      </c>
      <c r="F2339" s="1" t="s">
        <v>926</v>
      </c>
      <c r="G2339" s="1">
        <v>81.0</v>
      </c>
      <c r="H2339" s="1">
        <v>4.362804878</v>
      </c>
      <c r="I2339" s="1">
        <v>3.91</v>
      </c>
      <c r="J2339" s="1">
        <v>3.55289</v>
      </c>
    </row>
    <row r="2340">
      <c r="A2340" s="1">
        <v>2025.0</v>
      </c>
      <c r="B2340" s="1" t="s">
        <v>734</v>
      </c>
      <c r="C2340" s="1">
        <v>681895.0</v>
      </c>
      <c r="D2340" s="1" t="s">
        <v>533</v>
      </c>
      <c r="E2340" s="1" t="s">
        <v>926</v>
      </c>
      <c r="F2340" s="1" t="s">
        <v>926</v>
      </c>
      <c r="G2340" s="1">
        <v>29.0</v>
      </c>
      <c r="H2340" s="1">
        <v>1.56199187</v>
      </c>
      <c r="I2340" s="1">
        <v>4.32</v>
      </c>
      <c r="J2340" s="1">
        <v>0.995202</v>
      </c>
    </row>
    <row r="2341">
      <c r="A2341" s="1">
        <v>2025.0</v>
      </c>
      <c r="B2341" s="1" t="s">
        <v>734</v>
      </c>
      <c r="C2341" s="1">
        <v>681895.0</v>
      </c>
      <c r="D2341" s="1" t="s">
        <v>539</v>
      </c>
      <c r="E2341" s="1" t="s">
        <v>926</v>
      </c>
      <c r="F2341" s="1" t="s">
        <v>926</v>
      </c>
      <c r="G2341" s="1">
        <v>47.0</v>
      </c>
      <c r="H2341" s="1">
        <v>2.531504065</v>
      </c>
      <c r="I2341" s="1">
        <v>4.87</v>
      </c>
      <c r="J2341" s="1">
        <v>1.171468</v>
      </c>
    </row>
    <row r="2342">
      <c r="A2342" s="1">
        <v>2025.0</v>
      </c>
      <c r="B2342" s="1" t="s">
        <v>734</v>
      </c>
      <c r="C2342" s="1">
        <v>681895.0</v>
      </c>
      <c r="D2342" s="1" t="s">
        <v>541</v>
      </c>
      <c r="E2342" s="1" t="s">
        <v>926</v>
      </c>
      <c r="F2342" s="1" t="s">
        <v>927</v>
      </c>
      <c r="G2342" s="1">
        <v>31.0</v>
      </c>
      <c r="H2342" s="1">
        <v>1.669715447</v>
      </c>
      <c r="I2342" s="1">
        <v>5.03</v>
      </c>
      <c r="J2342" s="1">
        <v>0.619819</v>
      </c>
    </row>
    <row r="2343">
      <c r="A2343" s="1">
        <v>2025.0</v>
      </c>
      <c r="B2343" s="1" t="s">
        <v>734</v>
      </c>
      <c r="C2343" s="1">
        <v>681895.0</v>
      </c>
      <c r="D2343" s="1" t="s">
        <v>540</v>
      </c>
      <c r="E2343" s="1" t="s">
        <v>926</v>
      </c>
      <c r="F2343" s="1" t="s">
        <v>927</v>
      </c>
      <c r="G2343" s="1">
        <v>27.0</v>
      </c>
      <c r="H2343" s="1">
        <v>1.454268293</v>
      </c>
      <c r="I2343" s="1">
        <v>4.91</v>
      </c>
      <c r="J2343" s="1">
        <v>0.676691</v>
      </c>
    </row>
    <row r="2344">
      <c r="A2344" s="1">
        <v>2025.0</v>
      </c>
      <c r="B2344" s="1" t="s">
        <v>734</v>
      </c>
      <c r="C2344" s="1">
        <v>681895.0</v>
      </c>
      <c r="D2344" s="1" t="s">
        <v>537</v>
      </c>
      <c r="E2344" s="1" t="s">
        <v>926</v>
      </c>
      <c r="F2344" s="1" t="s">
        <v>927</v>
      </c>
      <c r="G2344" s="1">
        <v>63.0</v>
      </c>
      <c r="H2344" s="1">
        <v>3.393292683</v>
      </c>
      <c r="I2344" s="1">
        <v>4.97</v>
      </c>
      <c r="J2344" s="1">
        <v>1.411379</v>
      </c>
    </row>
    <row r="2345">
      <c r="A2345" s="1">
        <v>2025.0</v>
      </c>
      <c r="B2345" s="1" t="s">
        <v>734</v>
      </c>
      <c r="C2345" s="1">
        <v>681895.0</v>
      </c>
      <c r="D2345" s="1" t="s">
        <v>536</v>
      </c>
      <c r="E2345" s="1" t="s">
        <v>926</v>
      </c>
      <c r="F2345" s="1" t="s">
        <v>927</v>
      </c>
      <c r="G2345" s="1">
        <v>21.0</v>
      </c>
      <c r="H2345" s="1">
        <v>1.131097561</v>
      </c>
      <c r="I2345" s="1">
        <v>4.82</v>
      </c>
      <c r="J2345" s="1">
        <v>0.538512</v>
      </c>
    </row>
    <row r="2346">
      <c r="A2346" s="1">
        <v>2025.0</v>
      </c>
      <c r="B2346" s="1" t="s">
        <v>734</v>
      </c>
      <c r="C2346" s="1">
        <v>681895.0</v>
      </c>
      <c r="D2346" s="1" t="s">
        <v>533</v>
      </c>
      <c r="E2346" s="1" t="s">
        <v>926</v>
      </c>
      <c r="F2346" s="1" t="s">
        <v>927</v>
      </c>
      <c r="G2346" s="1">
        <v>10.0</v>
      </c>
      <c r="H2346" s="1">
        <v>0.538617886</v>
      </c>
      <c r="I2346" s="1">
        <v>5.62</v>
      </c>
      <c r="J2346" s="1">
        <v>0.098391</v>
      </c>
    </row>
    <row r="2347">
      <c r="A2347" s="1">
        <v>2025.0</v>
      </c>
      <c r="B2347" s="1" t="s">
        <v>734</v>
      </c>
      <c r="C2347" s="1">
        <v>681895.0</v>
      </c>
      <c r="D2347" s="1" t="s">
        <v>539</v>
      </c>
      <c r="E2347" s="1" t="s">
        <v>926</v>
      </c>
      <c r="F2347" s="1" t="s">
        <v>927</v>
      </c>
      <c r="G2347" s="1">
        <v>6.0</v>
      </c>
      <c r="H2347" s="1">
        <v>0.323170732</v>
      </c>
      <c r="I2347" s="1">
        <v>4.35</v>
      </c>
      <c r="J2347" s="1">
        <v>0.19485</v>
      </c>
    </row>
    <row r="2348">
      <c r="A2348" s="1">
        <v>2025.0</v>
      </c>
      <c r="B2348" s="1" t="s">
        <v>750</v>
      </c>
      <c r="C2348" s="1">
        <v>677649.0</v>
      </c>
      <c r="D2348" s="1" t="s">
        <v>533</v>
      </c>
      <c r="E2348" s="1" t="s">
        <v>927</v>
      </c>
      <c r="F2348" s="1" t="s">
        <v>926</v>
      </c>
      <c r="G2348" s="1">
        <v>1.0</v>
      </c>
      <c r="H2348" s="1">
        <v>0.333333333</v>
      </c>
      <c r="I2348" s="1">
        <v>3.83</v>
      </c>
      <c r="J2348" s="1">
        <v>0.046536</v>
      </c>
    </row>
    <row r="2349">
      <c r="A2349" s="1">
        <v>2025.0</v>
      </c>
      <c r="B2349" s="1" t="s">
        <v>750</v>
      </c>
      <c r="C2349" s="1">
        <v>677649.0</v>
      </c>
      <c r="D2349" s="1" t="s">
        <v>541</v>
      </c>
      <c r="E2349" s="1" t="s">
        <v>927</v>
      </c>
      <c r="F2349" s="1" t="s">
        <v>927</v>
      </c>
      <c r="G2349" s="1">
        <v>6.0</v>
      </c>
      <c r="H2349" s="1">
        <v>2.0</v>
      </c>
      <c r="I2349" s="1">
        <v>3.77</v>
      </c>
      <c r="J2349" s="1">
        <v>0.283438</v>
      </c>
    </row>
    <row r="2350">
      <c r="A2350" s="1">
        <v>2025.0</v>
      </c>
      <c r="B2350" s="1" t="s">
        <v>750</v>
      </c>
      <c r="C2350" s="1">
        <v>677649.0</v>
      </c>
      <c r="D2350" s="1" t="s">
        <v>537</v>
      </c>
      <c r="E2350" s="1" t="s">
        <v>927</v>
      </c>
      <c r="F2350" s="1" t="s">
        <v>927</v>
      </c>
      <c r="G2350" s="1">
        <v>1.0</v>
      </c>
      <c r="H2350" s="1">
        <v>0.333333333</v>
      </c>
      <c r="I2350" s="1">
        <v>3.53</v>
      </c>
      <c r="J2350" s="1">
        <v>0.055207</v>
      </c>
    </row>
    <row r="2351">
      <c r="A2351" s="1">
        <v>2025.0</v>
      </c>
      <c r="B2351" s="1" t="s">
        <v>750</v>
      </c>
      <c r="C2351" s="1">
        <v>677649.0</v>
      </c>
      <c r="D2351" s="1" t="s">
        <v>533</v>
      </c>
      <c r="E2351" s="1" t="s">
        <v>927</v>
      </c>
      <c r="F2351" s="1" t="s">
        <v>927</v>
      </c>
      <c r="G2351" s="1">
        <v>2.0</v>
      </c>
      <c r="H2351" s="1">
        <v>0.666666667</v>
      </c>
      <c r="I2351" s="1">
        <v>4.21</v>
      </c>
      <c r="J2351" s="1">
        <v>0.07627</v>
      </c>
    </row>
    <row r="2352">
      <c r="A2352" s="1">
        <v>2025.0</v>
      </c>
      <c r="B2352" s="1" t="s">
        <v>422</v>
      </c>
      <c r="C2352" s="1">
        <v>518585.0</v>
      </c>
      <c r="D2352" s="1" t="s">
        <v>537</v>
      </c>
      <c r="E2352" s="1" t="s">
        <v>927</v>
      </c>
      <c r="F2352" s="1" t="s">
        <v>926</v>
      </c>
      <c r="G2352" s="1">
        <v>95.0</v>
      </c>
      <c r="H2352" s="1">
        <v>5.757575758</v>
      </c>
      <c r="I2352" s="1">
        <v>4.71</v>
      </c>
      <c r="J2352" s="1">
        <v>2.768293</v>
      </c>
    </row>
    <row r="2353">
      <c r="A2353" s="1">
        <v>2025.0</v>
      </c>
      <c r="B2353" s="1" t="s">
        <v>422</v>
      </c>
      <c r="C2353" s="1">
        <v>518585.0</v>
      </c>
      <c r="D2353" s="1" t="s">
        <v>538</v>
      </c>
      <c r="E2353" s="1" t="s">
        <v>927</v>
      </c>
      <c r="F2353" s="1" t="s">
        <v>926</v>
      </c>
      <c r="G2353" s="1">
        <v>195.0</v>
      </c>
      <c r="H2353" s="1">
        <v>11.81818182</v>
      </c>
      <c r="I2353" s="1">
        <v>5.17</v>
      </c>
      <c r="J2353" s="1">
        <v>3.592254</v>
      </c>
    </row>
    <row r="2354">
      <c r="A2354" s="1">
        <v>2025.0</v>
      </c>
      <c r="B2354" s="1" t="s">
        <v>422</v>
      </c>
      <c r="C2354" s="1">
        <v>518585.0</v>
      </c>
      <c r="D2354" s="1" t="s">
        <v>536</v>
      </c>
      <c r="E2354" s="1" t="s">
        <v>927</v>
      </c>
      <c r="F2354" s="1" t="s">
        <v>926</v>
      </c>
      <c r="G2354" s="1">
        <v>4.0</v>
      </c>
      <c r="H2354" s="1">
        <v>0.242424242</v>
      </c>
      <c r="I2354" s="1">
        <v>2.69</v>
      </c>
      <c r="J2354" s="1">
        <v>0.274927</v>
      </c>
    </row>
    <row r="2355">
      <c r="A2355" s="1">
        <v>2025.0</v>
      </c>
      <c r="B2355" s="1" t="s">
        <v>422</v>
      </c>
      <c r="C2355" s="1">
        <v>518585.0</v>
      </c>
      <c r="D2355" s="1" t="s">
        <v>533</v>
      </c>
      <c r="E2355" s="1" t="s">
        <v>927</v>
      </c>
      <c r="F2355" s="1" t="s">
        <v>926</v>
      </c>
      <c r="G2355" s="1">
        <v>17.0</v>
      </c>
      <c r="H2355" s="1">
        <v>1.03030303</v>
      </c>
      <c r="I2355" s="1">
        <v>4.51</v>
      </c>
      <c r="J2355" s="1">
        <v>0.538911</v>
      </c>
    </row>
    <row r="2356">
      <c r="A2356" s="1">
        <v>2025.0</v>
      </c>
      <c r="B2356" s="1" t="s">
        <v>422</v>
      </c>
      <c r="C2356" s="1">
        <v>518585.0</v>
      </c>
      <c r="D2356" s="1" t="s">
        <v>537</v>
      </c>
      <c r="E2356" s="1" t="s">
        <v>927</v>
      </c>
      <c r="F2356" s="1" t="s">
        <v>927</v>
      </c>
      <c r="G2356" s="1">
        <v>58.0</v>
      </c>
      <c r="H2356" s="1">
        <v>3.515151515</v>
      </c>
      <c r="I2356" s="1">
        <v>5.43</v>
      </c>
      <c r="J2356" s="1">
        <v>0.877881</v>
      </c>
    </row>
    <row r="2357">
      <c r="A2357" s="1">
        <v>2025.0</v>
      </c>
      <c r="B2357" s="1" t="s">
        <v>422</v>
      </c>
      <c r="C2357" s="1">
        <v>518585.0</v>
      </c>
      <c r="D2357" s="1" t="s">
        <v>538</v>
      </c>
      <c r="E2357" s="1" t="s">
        <v>927</v>
      </c>
      <c r="F2357" s="1" t="s">
        <v>927</v>
      </c>
      <c r="G2357" s="1">
        <v>284.0</v>
      </c>
      <c r="H2357" s="1">
        <v>17.21212121</v>
      </c>
      <c r="I2357" s="1">
        <v>4.87</v>
      </c>
      <c r="J2357" s="1">
        <v>6.880276</v>
      </c>
    </row>
    <row r="2358">
      <c r="A2358" s="1">
        <v>2025.0</v>
      </c>
      <c r="B2358" s="1" t="s">
        <v>422</v>
      </c>
      <c r="C2358" s="1">
        <v>518585.0</v>
      </c>
      <c r="D2358" s="1" t="s">
        <v>536</v>
      </c>
      <c r="E2358" s="1" t="s">
        <v>927</v>
      </c>
      <c r="F2358" s="1" t="s">
        <v>927</v>
      </c>
      <c r="G2358" s="1">
        <v>109.0</v>
      </c>
      <c r="H2358" s="1">
        <v>6.606060606</v>
      </c>
      <c r="I2358" s="1">
        <v>4.55</v>
      </c>
      <c r="J2358" s="1">
        <v>3.452655</v>
      </c>
    </row>
    <row r="2359">
      <c r="A2359" s="1">
        <v>2025.0</v>
      </c>
      <c r="B2359" s="1" t="s">
        <v>422</v>
      </c>
      <c r="C2359" s="1">
        <v>518585.0</v>
      </c>
      <c r="D2359" s="1" t="s">
        <v>533</v>
      </c>
      <c r="E2359" s="1" t="s">
        <v>927</v>
      </c>
      <c r="F2359" s="1" t="s">
        <v>927</v>
      </c>
      <c r="G2359" s="1">
        <v>30.0</v>
      </c>
      <c r="H2359" s="1">
        <v>1.818181818</v>
      </c>
      <c r="I2359" s="1">
        <v>4.84</v>
      </c>
      <c r="J2359" s="1">
        <v>0.789618</v>
      </c>
    </row>
    <row r="2360">
      <c r="A2360" s="1">
        <v>2025.0</v>
      </c>
      <c r="B2360" s="1" t="s">
        <v>736</v>
      </c>
      <c r="C2360" s="1">
        <v>666215.0</v>
      </c>
      <c r="D2360" s="1" t="s">
        <v>532</v>
      </c>
      <c r="E2360" s="1" t="s">
        <v>927</v>
      </c>
      <c r="F2360" s="1" t="s">
        <v>926</v>
      </c>
      <c r="G2360" s="1">
        <v>3.0</v>
      </c>
      <c r="H2360" s="1">
        <v>0.140625</v>
      </c>
      <c r="I2360" s="1">
        <v>6.1</v>
      </c>
      <c r="J2360" s="1">
        <v>-0.009519</v>
      </c>
    </row>
    <row r="2361">
      <c r="A2361" s="1">
        <v>2025.0</v>
      </c>
      <c r="B2361" s="1" t="s">
        <v>736</v>
      </c>
      <c r="C2361" s="1">
        <v>666215.0</v>
      </c>
      <c r="D2361" s="1" t="s">
        <v>541</v>
      </c>
      <c r="E2361" s="1" t="s">
        <v>927</v>
      </c>
      <c r="F2361" s="1" t="s">
        <v>926</v>
      </c>
      <c r="G2361" s="1">
        <v>32.0</v>
      </c>
      <c r="H2361" s="1">
        <v>1.5</v>
      </c>
      <c r="I2361" s="1">
        <v>4.43</v>
      </c>
      <c r="J2361" s="1">
        <v>1.024885</v>
      </c>
    </row>
    <row r="2362">
      <c r="A2362" s="1">
        <v>2025.0</v>
      </c>
      <c r="B2362" s="1" t="s">
        <v>736</v>
      </c>
      <c r="C2362" s="1">
        <v>666215.0</v>
      </c>
      <c r="D2362" s="1" t="s">
        <v>540</v>
      </c>
      <c r="E2362" s="1" t="s">
        <v>927</v>
      </c>
      <c r="F2362" s="1" t="s">
        <v>926</v>
      </c>
      <c r="G2362" s="1">
        <v>50.0</v>
      </c>
      <c r="H2362" s="1">
        <v>2.34375</v>
      </c>
      <c r="I2362" s="1">
        <v>5.25</v>
      </c>
      <c r="J2362" s="1">
        <v>0.844307</v>
      </c>
    </row>
    <row r="2363">
      <c r="A2363" s="1">
        <v>2025.0</v>
      </c>
      <c r="B2363" s="1" t="s">
        <v>736</v>
      </c>
      <c r="C2363" s="1">
        <v>666215.0</v>
      </c>
      <c r="D2363" s="1" t="s">
        <v>537</v>
      </c>
      <c r="E2363" s="1" t="s">
        <v>927</v>
      </c>
      <c r="F2363" s="1" t="s">
        <v>926</v>
      </c>
      <c r="G2363" s="1">
        <v>67.0</v>
      </c>
      <c r="H2363" s="1">
        <v>3.140625</v>
      </c>
      <c r="I2363" s="1">
        <v>4.66</v>
      </c>
      <c r="J2363" s="1">
        <v>1.911579</v>
      </c>
    </row>
    <row r="2364">
      <c r="A2364" s="1">
        <v>2025.0</v>
      </c>
      <c r="B2364" s="1" t="s">
        <v>736</v>
      </c>
      <c r="C2364" s="1">
        <v>666215.0</v>
      </c>
      <c r="D2364" s="1" t="s">
        <v>536</v>
      </c>
      <c r="E2364" s="1" t="s">
        <v>927</v>
      </c>
      <c r="F2364" s="1" t="s">
        <v>926</v>
      </c>
      <c r="G2364" s="1">
        <v>13.0</v>
      </c>
      <c r="H2364" s="1">
        <v>0.609375</v>
      </c>
      <c r="I2364" s="1">
        <v>5.77</v>
      </c>
      <c r="J2364" s="1">
        <v>0.107935</v>
      </c>
    </row>
    <row r="2365">
      <c r="A2365" s="1">
        <v>2025.0</v>
      </c>
      <c r="B2365" s="1" t="s">
        <v>736</v>
      </c>
      <c r="C2365" s="1">
        <v>666215.0</v>
      </c>
      <c r="D2365" s="1" t="s">
        <v>541</v>
      </c>
      <c r="E2365" s="1" t="s">
        <v>927</v>
      </c>
      <c r="F2365" s="1" t="s">
        <v>927</v>
      </c>
      <c r="G2365" s="1">
        <v>22.0</v>
      </c>
      <c r="H2365" s="1">
        <v>1.03125</v>
      </c>
      <c r="I2365" s="1">
        <v>5.09</v>
      </c>
      <c r="J2365" s="1">
        <v>0.434767</v>
      </c>
    </row>
    <row r="2366">
      <c r="A2366" s="1">
        <v>2025.0</v>
      </c>
      <c r="B2366" s="1" t="s">
        <v>736</v>
      </c>
      <c r="C2366" s="1">
        <v>666215.0</v>
      </c>
      <c r="D2366" s="1" t="s">
        <v>540</v>
      </c>
      <c r="E2366" s="1" t="s">
        <v>927</v>
      </c>
      <c r="F2366" s="1" t="s">
        <v>927</v>
      </c>
      <c r="G2366" s="1">
        <v>18.0</v>
      </c>
      <c r="H2366" s="1">
        <v>0.84375</v>
      </c>
      <c r="I2366" s="1">
        <v>5.01</v>
      </c>
      <c r="J2366" s="1">
        <v>0.385772</v>
      </c>
    </row>
    <row r="2367">
      <c r="A2367" s="1">
        <v>2025.0</v>
      </c>
      <c r="B2367" s="1" t="s">
        <v>736</v>
      </c>
      <c r="C2367" s="1">
        <v>666215.0</v>
      </c>
      <c r="D2367" s="1" t="s">
        <v>537</v>
      </c>
      <c r="E2367" s="1" t="s">
        <v>927</v>
      </c>
      <c r="F2367" s="1" t="s">
        <v>927</v>
      </c>
      <c r="G2367" s="1">
        <v>13.0</v>
      </c>
      <c r="H2367" s="1">
        <v>0.609375</v>
      </c>
      <c r="I2367" s="1">
        <v>5.41</v>
      </c>
      <c r="J2367" s="1">
        <v>0.193924</v>
      </c>
    </row>
    <row r="2368">
      <c r="A2368" s="1">
        <v>2025.0</v>
      </c>
      <c r="B2368" s="1" t="s">
        <v>736</v>
      </c>
      <c r="C2368" s="1">
        <v>666215.0</v>
      </c>
      <c r="D2368" s="1" t="s">
        <v>536</v>
      </c>
      <c r="E2368" s="1" t="s">
        <v>927</v>
      </c>
      <c r="F2368" s="1" t="s">
        <v>927</v>
      </c>
      <c r="G2368" s="1">
        <v>38.0</v>
      </c>
      <c r="H2368" s="1">
        <v>1.78125</v>
      </c>
      <c r="I2368" s="1">
        <v>4.98</v>
      </c>
      <c r="J2368" s="1">
        <v>0.850353</v>
      </c>
    </row>
    <row r="2369">
      <c r="A2369" s="1">
        <v>2025.0</v>
      </c>
      <c r="B2369" s="1" t="s">
        <v>113</v>
      </c>
      <c r="C2369" s="1">
        <v>664285.0</v>
      </c>
      <c r="D2369" s="1" t="s">
        <v>532</v>
      </c>
      <c r="E2369" s="1" t="s">
        <v>926</v>
      </c>
      <c r="F2369" s="1" t="s">
        <v>926</v>
      </c>
      <c r="G2369" s="1">
        <v>19.0</v>
      </c>
      <c r="H2369" s="1">
        <v>1.263157895</v>
      </c>
      <c r="I2369" s="1">
        <v>5.03</v>
      </c>
      <c r="J2369" s="1">
        <v>0.385012</v>
      </c>
    </row>
    <row r="2370">
      <c r="A2370" s="1">
        <v>2025.0</v>
      </c>
      <c r="B2370" s="1" t="s">
        <v>113</v>
      </c>
      <c r="C2370" s="1">
        <v>664285.0</v>
      </c>
      <c r="D2370" s="1" t="s">
        <v>541</v>
      </c>
      <c r="E2370" s="1" t="s">
        <v>926</v>
      </c>
      <c r="F2370" s="1" t="s">
        <v>926</v>
      </c>
      <c r="G2370" s="1">
        <v>152.0</v>
      </c>
      <c r="H2370" s="1">
        <v>10.10526316</v>
      </c>
      <c r="I2370" s="1">
        <v>4.95</v>
      </c>
      <c r="J2370" s="1">
        <v>3.304029</v>
      </c>
    </row>
    <row r="2371">
      <c r="A2371" s="1">
        <v>2025.0</v>
      </c>
      <c r="B2371" s="1" t="s">
        <v>113</v>
      </c>
      <c r="C2371" s="1">
        <v>664285.0</v>
      </c>
      <c r="D2371" s="1" t="s">
        <v>537</v>
      </c>
      <c r="E2371" s="1" t="s">
        <v>926</v>
      </c>
      <c r="F2371" s="1" t="s">
        <v>926</v>
      </c>
      <c r="G2371" s="1">
        <v>12.0</v>
      </c>
      <c r="H2371" s="1">
        <v>0.797783934</v>
      </c>
      <c r="I2371" s="1">
        <v>4.94</v>
      </c>
      <c r="J2371" s="1">
        <v>0.291406</v>
      </c>
    </row>
    <row r="2372">
      <c r="A2372" s="1">
        <v>2025.0</v>
      </c>
      <c r="B2372" s="1" t="s">
        <v>113</v>
      </c>
      <c r="C2372" s="1">
        <v>664285.0</v>
      </c>
      <c r="D2372" s="1" t="s">
        <v>536</v>
      </c>
      <c r="E2372" s="1" t="s">
        <v>926</v>
      </c>
      <c r="F2372" s="1" t="s">
        <v>926</v>
      </c>
      <c r="G2372" s="1">
        <v>289.0</v>
      </c>
      <c r="H2372" s="1">
        <v>19.2132964</v>
      </c>
      <c r="I2372" s="1">
        <v>5.65</v>
      </c>
      <c r="J2372" s="1">
        <v>2.612282</v>
      </c>
    </row>
    <row r="2373">
      <c r="A2373" s="1">
        <v>2025.0</v>
      </c>
      <c r="B2373" s="1" t="s">
        <v>113</v>
      </c>
      <c r="C2373" s="1">
        <v>664285.0</v>
      </c>
      <c r="D2373" s="1" t="s">
        <v>533</v>
      </c>
      <c r="E2373" s="1" t="s">
        <v>926</v>
      </c>
      <c r="F2373" s="1" t="s">
        <v>926</v>
      </c>
      <c r="G2373" s="1">
        <v>44.0</v>
      </c>
      <c r="H2373" s="1">
        <v>2.925207756</v>
      </c>
      <c r="I2373" s="1">
        <v>4.78</v>
      </c>
      <c r="J2373" s="1">
        <v>1.123461</v>
      </c>
    </row>
    <row r="2374">
      <c r="A2374" s="1">
        <v>2025.0</v>
      </c>
      <c r="B2374" s="1" t="s">
        <v>113</v>
      </c>
      <c r="C2374" s="1">
        <v>664285.0</v>
      </c>
      <c r="D2374" s="1" t="s">
        <v>532</v>
      </c>
      <c r="E2374" s="1" t="s">
        <v>926</v>
      </c>
      <c r="F2374" s="1" t="s">
        <v>927</v>
      </c>
      <c r="G2374" s="1">
        <v>506.0</v>
      </c>
      <c r="H2374" s="1">
        <v>33.6398892</v>
      </c>
      <c r="I2374" s="1">
        <v>5.17</v>
      </c>
      <c r="J2374" s="1">
        <v>9.108534</v>
      </c>
    </row>
    <row r="2375">
      <c r="A2375" s="1">
        <v>2025.0</v>
      </c>
      <c r="B2375" s="1" t="s">
        <v>113</v>
      </c>
      <c r="C2375" s="1">
        <v>664285.0</v>
      </c>
      <c r="D2375" s="1" t="s">
        <v>541</v>
      </c>
      <c r="E2375" s="1" t="s">
        <v>926</v>
      </c>
      <c r="F2375" s="1" t="s">
        <v>927</v>
      </c>
      <c r="G2375" s="1">
        <v>804.0</v>
      </c>
      <c r="H2375" s="1">
        <v>53.45152355</v>
      </c>
      <c r="I2375" s="1">
        <v>5.08</v>
      </c>
      <c r="J2375" s="1">
        <v>15.295895</v>
      </c>
    </row>
    <row r="2376">
      <c r="A2376" s="1">
        <v>2025.0</v>
      </c>
      <c r="B2376" s="1" t="s">
        <v>113</v>
      </c>
      <c r="C2376" s="1">
        <v>664285.0</v>
      </c>
      <c r="D2376" s="1" t="s">
        <v>537</v>
      </c>
      <c r="E2376" s="1" t="s">
        <v>926</v>
      </c>
      <c r="F2376" s="1" t="s">
        <v>927</v>
      </c>
      <c r="G2376" s="1">
        <v>32.0</v>
      </c>
      <c r="H2376" s="1">
        <v>2.127423823</v>
      </c>
      <c r="I2376" s="1">
        <v>4.8</v>
      </c>
      <c r="J2376" s="1">
        <v>0.85291</v>
      </c>
    </row>
    <row r="2377">
      <c r="A2377" s="1">
        <v>2025.0</v>
      </c>
      <c r="B2377" s="1" t="s">
        <v>113</v>
      </c>
      <c r="C2377" s="1">
        <v>664285.0</v>
      </c>
      <c r="D2377" s="1" t="s">
        <v>536</v>
      </c>
      <c r="E2377" s="1" t="s">
        <v>926</v>
      </c>
      <c r="F2377" s="1" t="s">
        <v>927</v>
      </c>
      <c r="G2377" s="1">
        <v>983.0</v>
      </c>
      <c r="H2377" s="1">
        <v>65.35180055</v>
      </c>
      <c r="I2377" s="1">
        <v>4.97</v>
      </c>
      <c r="J2377" s="1">
        <v>22.505718</v>
      </c>
    </row>
    <row r="2378">
      <c r="A2378" s="1">
        <v>2025.0</v>
      </c>
      <c r="B2378" s="1" t="s">
        <v>113</v>
      </c>
      <c r="C2378" s="1">
        <v>664285.0</v>
      </c>
      <c r="D2378" s="1" t="s">
        <v>533</v>
      </c>
      <c r="E2378" s="1" t="s">
        <v>926</v>
      </c>
      <c r="F2378" s="1" t="s">
        <v>927</v>
      </c>
      <c r="G2378" s="1">
        <v>47.0</v>
      </c>
      <c r="H2378" s="1">
        <v>3.12465374</v>
      </c>
      <c r="I2378" s="1">
        <v>4.71</v>
      </c>
      <c r="J2378" s="1">
        <v>1.268973</v>
      </c>
    </row>
    <row r="2379">
      <c r="A2379" s="1">
        <v>2025.0</v>
      </c>
      <c r="B2379" s="1" t="s">
        <v>379</v>
      </c>
      <c r="C2379" s="1">
        <v>593423.0</v>
      </c>
      <c r="D2379" s="1" t="s">
        <v>540</v>
      </c>
      <c r="E2379" s="1" t="s">
        <v>927</v>
      </c>
      <c r="F2379" s="1" t="s">
        <v>926</v>
      </c>
      <c r="G2379" s="1">
        <v>54.0</v>
      </c>
      <c r="H2379" s="1">
        <v>2.949152542</v>
      </c>
      <c r="I2379" s="1">
        <v>5.2</v>
      </c>
      <c r="J2379" s="1">
        <v>1.059224</v>
      </c>
    </row>
    <row r="2380">
      <c r="A2380" s="1">
        <v>2025.0</v>
      </c>
      <c r="B2380" s="1" t="s">
        <v>379</v>
      </c>
      <c r="C2380" s="1">
        <v>593423.0</v>
      </c>
      <c r="D2380" s="1" t="s">
        <v>537</v>
      </c>
      <c r="E2380" s="1" t="s">
        <v>927</v>
      </c>
      <c r="F2380" s="1" t="s">
        <v>926</v>
      </c>
      <c r="G2380" s="1">
        <v>91.0</v>
      </c>
      <c r="H2380" s="1">
        <v>4.969868173</v>
      </c>
      <c r="I2380" s="1">
        <v>4.91</v>
      </c>
      <c r="J2380" s="1">
        <v>2.260337</v>
      </c>
    </row>
    <row r="2381">
      <c r="A2381" s="1">
        <v>2025.0</v>
      </c>
      <c r="B2381" s="1" t="s">
        <v>379</v>
      </c>
      <c r="C2381" s="1">
        <v>593423.0</v>
      </c>
      <c r="D2381" s="1" t="s">
        <v>538</v>
      </c>
      <c r="E2381" s="1" t="s">
        <v>927</v>
      </c>
      <c r="F2381" s="1" t="s">
        <v>926</v>
      </c>
      <c r="G2381" s="1">
        <v>84.0</v>
      </c>
      <c r="H2381" s="1">
        <v>4.587570621</v>
      </c>
      <c r="I2381" s="1">
        <v>4.82</v>
      </c>
      <c r="J2381" s="1">
        <v>2.121771</v>
      </c>
    </row>
    <row r="2382">
      <c r="A2382" s="1">
        <v>2025.0</v>
      </c>
      <c r="B2382" s="1" t="s">
        <v>379</v>
      </c>
      <c r="C2382" s="1">
        <v>593423.0</v>
      </c>
      <c r="D2382" s="1" t="s">
        <v>536</v>
      </c>
      <c r="E2382" s="1" t="s">
        <v>927</v>
      </c>
      <c r="F2382" s="1" t="s">
        <v>926</v>
      </c>
      <c r="G2382" s="1">
        <v>36.0</v>
      </c>
      <c r="H2382" s="1">
        <v>1.966101695</v>
      </c>
      <c r="I2382" s="1">
        <v>4.35</v>
      </c>
      <c r="J2382" s="1">
        <v>1.334355</v>
      </c>
    </row>
    <row r="2383">
      <c r="A2383" s="1">
        <v>2025.0</v>
      </c>
      <c r="B2383" s="1" t="s">
        <v>379</v>
      </c>
      <c r="C2383" s="1">
        <v>593423.0</v>
      </c>
      <c r="D2383" s="1" t="s">
        <v>533</v>
      </c>
      <c r="E2383" s="1" t="s">
        <v>927</v>
      </c>
      <c r="F2383" s="1" t="s">
        <v>926</v>
      </c>
      <c r="G2383" s="1">
        <v>40.0</v>
      </c>
      <c r="H2383" s="1">
        <v>2.184557439</v>
      </c>
      <c r="I2383" s="1">
        <v>5.08</v>
      </c>
      <c r="J2383" s="1">
        <v>0.810585</v>
      </c>
    </row>
    <row r="2384">
      <c r="A2384" s="1">
        <v>2025.0</v>
      </c>
      <c r="B2384" s="1" t="s">
        <v>379</v>
      </c>
      <c r="C2384" s="1">
        <v>593423.0</v>
      </c>
      <c r="D2384" s="1" t="s">
        <v>539</v>
      </c>
      <c r="E2384" s="1" t="s">
        <v>927</v>
      </c>
      <c r="F2384" s="1" t="s">
        <v>926</v>
      </c>
      <c r="G2384" s="1">
        <v>34.0</v>
      </c>
      <c r="H2384" s="1">
        <v>1.856873823</v>
      </c>
      <c r="I2384" s="1">
        <v>5.17</v>
      </c>
      <c r="J2384" s="1">
        <v>0.641269</v>
      </c>
    </row>
    <row r="2385">
      <c r="A2385" s="1">
        <v>2025.0</v>
      </c>
      <c r="B2385" s="1" t="s">
        <v>379</v>
      </c>
      <c r="C2385" s="1">
        <v>593423.0</v>
      </c>
      <c r="D2385" s="1" t="s">
        <v>540</v>
      </c>
      <c r="E2385" s="1" t="s">
        <v>927</v>
      </c>
      <c r="F2385" s="1" t="s">
        <v>927</v>
      </c>
      <c r="G2385" s="1">
        <v>18.0</v>
      </c>
      <c r="H2385" s="1">
        <v>0.983050847</v>
      </c>
      <c r="I2385" s="1">
        <v>5.23</v>
      </c>
      <c r="J2385" s="1">
        <v>0.339359</v>
      </c>
    </row>
    <row r="2386">
      <c r="A2386" s="1">
        <v>2025.0</v>
      </c>
      <c r="B2386" s="1" t="s">
        <v>379</v>
      </c>
      <c r="C2386" s="1">
        <v>593423.0</v>
      </c>
      <c r="D2386" s="1" t="s">
        <v>537</v>
      </c>
      <c r="E2386" s="1" t="s">
        <v>927</v>
      </c>
      <c r="F2386" s="1" t="s">
        <v>927</v>
      </c>
      <c r="G2386" s="1">
        <v>81.0</v>
      </c>
      <c r="H2386" s="1">
        <v>4.423728814</v>
      </c>
      <c r="I2386" s="1">
        <v>4.86</v>
      </c>
      <c r="J2386" s="1">
        <v>2.12386</v>
      </c>
    </row>
    <row r="2387">
      <c r="A2387" s="1">
        <v>2025.0</v>
      </c>
      <c r="B2387" s="1" t="s">
        <v>379</v>
      </c>
      <c r="C2387" s="1">
        <v>593423.0</v>
      </c>
      <c r="D2387" s="1" t="s">
        <v>538</v>
      </c>
      <c r="E2387" s="1" t="s">
        <v>927</v>
      </c>
      <c r="F2387" s="1" t="s">
        <v>927</v>
      </c>
      <c r="G2387" s="1">
        <v>62.0</v>
      </c>
      <c r="H2387" s="1">
        <v>3.38606403</v>
      </c>
      <c r="I2387" s="1">
        <v>5.19</v>
      </c>
      <c r="J2387" s="1">
        <v>1.044647</v>
      </c>
    </row>
    <row r="2388">
      <c r="A2388" s="1">
        <v>2025.0</v>
      </c>
      <c r="B2388" s="1" t="s">
        <v>379</v>
      </c>
      <c r="C2388" s="1">
        <v>593423.0</v>
      </c>
      <c r="D2388" s="1" t="s">
        <v>536</v>
      </c>
      <c r="E2388" s="1" t="s">
        <v>927</v>
      </c>
      <c r="F2388" s="1" t="s">
        <v>927</v>
      </c>
      <c r="G2388" s="1">
        <v>94.0</v>
      </c>
      <c r="H2388" s="1">
        <v>5.133709981</v>
      </c>
      <c r="I2388" s="1">
        <v>5.0</v>
      </c>
      <c r="J2388" s="1">
        <v>2.149485</v>
      </c>
    </row>
    <row r="2389">
      <c r="A2389" s="1">
        <v>2025.0</v>
      </c>
      <c r="B2389" s="1" t="s">
        <v>379</v>
      </c>
      <c r="C2389" s="1">
        <v>593423.0</v>
      </c>
      <c r="D2389" s="1" t="s">
        <v>533</v>
      </c>
      <c r="E2389" s="1" t="s">
        <v>927</v>
      </c>
      <c r="F2389" s="1" t="s">
        <v>927</v>
      </c>
      <c r="G2389" s="1">
        <v>79.0</v>
      </c>
      <c r="H2389" s="1">
        <v>4.314500942</v>
      </c>
      <c r="I2389" s="1">
        <v>5.15</v>
      </c>
      <c r="J2389" s="1">
        <v>1.464059</v>
      </c>
    </row>
    <row r="2390">
      <c r="A2390" s="1">
        <v>2025.0</v>
      </c>
      <c r="B2390" s="1" t="s">
        <v>379</v>
      </c>
      <c r="C2390" s="1">
        <v>593423.0</v>
      </c>
      <c r="D2390" s="1" t="s">
        <v>539</v>
      </c>
      <c r="E2390" s="1" t="s">
        <v>927</v>
      </c>
      <c r="F2390" s="1" t="s">
        <v>927</v>
      </c>
      <c r="G2390" s="1">
        <v>35.0</v>
      </c>
      <c r="H2390" s="1">
        <v>1.911487759</v>
      </c>
      <c r="I2390" s="1">
        <v>5.64</v>
      </c>
      <c r="J2390" s="1">
        <v>0.308717</v>
      </c>
    </row>
    <row r="2391">
      <c r="A2391" s="1">
        <v>2025.0</v>
      </c>
      <c r="B2391" s="1" t="s">
        <v>718</v>
      </c>
      <c r="C2391" s="1">
        <v>686642.0</v>
      </c>
      <c r="D2391" s="1" t="s">
        <v>537</v>
      </c>
      <c r="E2391" s="1" t="s">
        <v>926</v>
      </c>
      <c r="F2391" s="1" t="s">
        <v>926</v>
      </c>
      <c r="G2391" s="1">
        <v>77.0</v>
      </c>
      <c r="H2391" s="1">
        <v>3.978723404</v>
      </c>
      <c r="I2391" s="1">
        <v>5.0</v>
      </c>
      <c r="J2391" s="1">
        <v>1.686879</v>
      </c>
    </row>
    <row r="2392">
      <c r="A2392" s="1">
        <v>2025.0</v>
      </c>
      <c r="B2392" s="1" t="s">
        <v>718</v>
      </c>
      <c r="C2392" s="1">
        <v>686642.0</v>
      </c>
      <c r="D2392" s="1" t="s">
        <v>536</v>
      </c>
      <c r="E2392" s="1" t="s">
        <v>926</v>
      </c>
      <c r="F2392" s="1" t="s">
        <v>926</v>
      </c>
      <c r="G2392" s="1">
        <v>41.0</v>
      </c>
      <c r="H2392" s="1">
        <v>2.118541033</v>
      </c>
      <c r="I2392" s="1">
        <v>4.4</v>
      </c>
      <c r="J2392" s="1">
        <v>1.379246</v>
      </c>
    </row>
    <row r="2393">
      <c r="A2393" s="1">
        <v>2025.0</v>
      </c>
      <c r="B2393" s="1" t="s">
        <v>718</v>
      </c>
      <c r="C2393" s="1">
        <v>686642.0</v>
      </c>
      <c r="D2393" s="1" t="s">
        <v>533</v>
      </c>
      <c r="E2393" s="1" t="s">
        <v>926</v>
      </c>
      <c r="F2393" s="1" t="s">
        <v>926</v>
      </c>
      <c r="G2393" s="1">
        <v>44.0</v>
      </c>
      <c r="H2393" s="1">
        <v>2.273556231</v>
      </c>
      <c r="I2393" s="1">
        <v>5.24</v>
      </c>
      <c r="J2393" s="1">
        <v>0.748953</v>
      </c>
    </row>
    <row r="2394">
      <c r="A2394" s="1">
        <v>2025.0</v>
      </c>
      <c r="B2394" s="1" t="s">
        <v>718</v>
      </c>
      <c r="C2394" s="1">
        <v>686642.0</v>
      </c>
      <c r="D2394" s="1" t="s">
        <v>532</v>
      </c>
      <c r="E2394" s="1" t="s">
        <v>926</v>
      </c>
      <c r="F2394" s="1" t="s">
        <v>927</v>
      </c>
      <c r="G2394" s="1">
        <v>23.0</v>
      </c>
      <c r="H2394" s="1">
        <v>1.188449848</v>
      </c>
      <c r="I2394" s="1">
        <v>4.12</v>
      </c>
      <c r="J2394" s="1">
        <v>0.902253</v>
      </c>
    </row>
    <row r="2395">
      <c r="A2395" s="1">
        <v>2025.0</v>
      </c>
      <c r="B2395" s="1" t="s">
        <v>718</v>
      </c>
      <c r="C2395" s="1">
        <v>686642.0</v>
      </c>
      <c r="D2395" s="1" t="s">
        <v>540</v>
      </c>
      <c r="E2395" s="1" t="s">
        <v>926</v>
      </c>
      <c r="F2395" s="1" t="s">
        <v>927</v>
      </c>
      <c r="G2395" s="1">
        <v>3.0</v>
      </c>
      <c r="H2395" s="1">
        <v>0.155015198</v>
      </c>
      <c r="I2395" s="1">
        <v>4.94</v>
      </c>
      <c r="J2395" s="1">
        <v>0.065733</v>
      </c>
    </row>
    <row r="2396">
      <c r="A2396" s="1">
        <v>2025.0</v>
      </c>
      <c r="B2396" s="1" t="s">
        <v>718</v>
      </c>
      <c r="C2396" s="1">
        <v>686642.0</v>
      </c>
      <c r="D2396" s="1" t="s">
        <v>537</v>
      </c>
      <c r="E2396" s="1" t="s">
        <v>926</v>
      </c>
      <c r="F2396" s="1" t="s">
        <v>927</v>
      </c>
      <c r="G2396" s="1">
        <v>92.0</v>
      </c>
      <c r="H2396" s="1">
        <v>4.753799392</v>
      </c>
      <c r="I2396" s="1">
        <v>4.86</v>
      </c>
      <c r="J2396" s="1">
        <v>2.359521</v>
      </c>
    </row>
    <row r="2397">
      <c r="A2397" s="1">
        <v>2025.0</v>
      </c>
      <c r="B2397" s="1" t="s">
        <v>718</v>
      </c>
      <c r="C2397" s="1">
        <v>686642.0</v>
      </c>
      <c r="D2397" s="1" t="s">
        <v>536</v>
      </c>
      <c r="E2397" s="1" t="s">
        <v>926</v>
      </c>
      <c r="F2397" s="1" t="s">
        <v>927</v>
      </c>
      <c r="G2397" s="1">
        <v>7.0</v>
      </c>
      <c r="H2397" s="1">
        <v>0.361702128</v>
      </c>
      <c r="I2397" s="1">
        <v>4.24</v>
      </c>
      <c r="J2397" s="1">
        <v>0.264952</v>
      </c>
    </row>
    <row r="2398">
      <c r="A2398" s="1">
        <v>2025.0</v>
      </c>
      <c r="B2398" s="1" t="s">
        <v>718</v>
      </c>
      <c r="C2398" s="1">
        <v>686642.0</v>
      </c>
      <c r="D2398" s="1" t="s">
        <v>533</v>
      </c>
      <c r="E2398" s="1" t="s">
        <v>926</v>
      </c>
      <c r="F2398" s="1" t="s">
        <v>927</v>
      </c>
      <c r="G2398" s="1">
        <v>42.0</v>
      </c>
      <c r="H2398" s="1">
        <v>2.170212766</v>
      </c>
      <c r="I2398" s="1">
        <v>4.55</v>
      </c>
      <c r="J2398" s="1">
        <v>1.301283</v>
      </c>
    </row>
    <row r="2399">
      <c r="A2399" s="1">
        <v>2025.0</v>
      </c>
      <c r="B2399" s="1" t="s">
        <v>180</v>
      </c>
      <c r="C2399" s="1">
        <v>642547.0</v>
      </c>
      <c r="D2399" s="1" t="s">
        <v>532</v>
      </c>
      <c r="E2399" s="1" t="s">
        <v>927</v>
      </c>
      <c r="F2399" s="1" t="s">
        <v>926</v>
      </c>
      <c r="G2399" s="1">
        <v>398.0</v>
      </c>
      <c r="H2399" s="1">
        <v>22.79200432</v>
      </c>
      <c r="I2399" s="1">
        <v>4.59</v>
      </c>
      <c r="J2399" s="1">
        <v>11.86561</v>
      </c>
    </row>
    <row r="2400">
      <c r="A2400" s="1">
        <v>2025.0</v>
      </c>
      <c r="B2400" s="1" t="s">
        <v>180</v>
      </c>
      <c r="C2400" s="1">
        <v>642547.0</v>
      </c>
      <c r="D2400" s="1" t="s">
        <v>541</v>
      </c>
      <c r="E2400" s="1" t="s">
        <v>927</v>
      </c>
      <c r="F2400" s="1" t="s">
        <v>926</v>
      </c>
      <c r="G2400" s="1">
        <v>246.0</v>
      </c>
      <c r="H2400" s="1">
        <v>14.08752026</v>
      </c>
      <c r="I2400" s="1">
        <v>5.18</v>
      </c>
      <c r="J2400" s="1">
        <v>4.331483</v>
      </c>
    </row>
    <row r="2401">
      <c r="A2401" s="1">
        <v>2025.0</v>
      </c>
      <c r="B2401" s="1" t="s">
        <v>180</v>
      </c>
      <c r="C2401" s="1">
        <v>642547.0</v>
      </c>
      <c r="D2401" s="1" t="s">
        <v>537</v>
      </c>
      <c r="E2401" s="1" t="s">
        <v>927</v>
      </c>
      <c r="F2401" s="1" t="s">
        <v>926</v>
      </c>
      <c r="G2401" s="1">
        <v>858.0</v>
      </c>
      <c r="H2401" s="1">
        <v>49.13452188</v>
      </c>
      <c r="I2401" s="1">
        <v>5.27</v>
      </c>
      <c r="J2401" s="1">
        <v>14.034885</v>
      </c>
    </row>
    <row r="2402">
      <c r="A2402" s="1">
        <v>2025.0</v>
      </c>
      <c r="B2402" s="1" t="s">
        <v>180</v>
      </c>
      <c r="C2402" s="1">
        <v>642547.0</v>
      </c>
      <c r="D2402" s="1" t="s">
        <v>533</v>
      </c>
      <c r="E2402" s="1" t="s">
        <v>927</v>
      </c>
      <c r="F2402" s="1" t="s">
        <v>926</v>
      </c>
      <c r="G2402" s="1">
        <v>49.0</v>
      </c>
      <c r="H2402" s="1">
        <v>2.806050783</v>
      </c>
      <c r="I2402" s="1">
        <v>4.77</v>
      </c>
      <c r="J2402" s="1">
        <v>1.26966</v>
      </c>
    </row>
    <row r="2403">
      <c r="A2403" s="1">
        <v>2025.0</v>
      </c>
      <c r="B2403" s="1" t="s">
        <v>180</v>
      </c>
      <c r="C2403" s="1">
        <v>642547.0</v>
      </c>
      <c r="D2403" s="1" t="s">
        <v>532</v>
      </c>
      <c r="E2403" s="1" t="s">
        <v>927</v>
      </c>
      <c r="F2403" s="1" t="s">
        <v>927</v>
      </c>
      <c r="G2403" s="1">
        <v>257.0</v>
      </c>
      <c r="H2403" s="1">
        <v>14.71745003</v>
      </c>
      <c r="I2403" s="1">
        <v>5.19</v>
      </c>
      <c r="J2403" s="1">
        <v>4.513709</v>
      </c>
    </row>
    <row r="2404">
      <c r="A2404" s="1">
        <v>2025.0</v>
      </c>
      <c r="B2404" s="1" t="s">
        <v>180</v>
      </c>
      <c r="C2404" s="1">
        <v>642547.0</v>
      </c>
      <c r="D2404" s="1" t="s">
        <v>541</v>
      </c>
      <c r="E2404" s="1" t="s">
        <v>927</v>
      </c>
      <c r="F2404" s="1" t="s">
        <v>927</v>
      </c>
      <c r="G2404" s="1">
        <v>241.0</v>
      </c>
      <c r="H2404" s="1">
        <v>13.80118855</v>
      </c>
      <c r="I2404" s="1">
        <v>5.09</v>
      </c>
      <c r="J2404" s="1">
        <v>4.59953</v>
      </c>
    </row>
    <row r="2405">
      <c r="A2405" s="1">
        <v>2025.0</v>
      </c>
      <c r="B2405" s="1" t="s">
        <v>180</v>
      </c>
      <c r="C2405" s="1">
        <v>642547.0</v>
      </c>
      <c r="D2405" s="1" t="s">
        <v>537</v>
      </c>
      <c r="E2405" s="1" t="s">
        <v>927</v>
      </c>
      <c r="F2405" s="1" t="s">
        <v>927</v>
      </c>
      <c r="G2405" s="1">
        <v>792.0</v>
      </c>
      <c r="H2405" s="1">
        <v>45.35494327</v>
      </c>
      <c r="I2405" s="1">
        <v>5.41</v>
      </c>
      <c r="J2405" s="1">
        <v>10.297839</v>
      </c>
    </row>
    <row r="2406">
      <c r="A2406" s="1">
        <v>2025.0</v>
      </c>
      <c r="B2406" s="1" t="s">
        <v>180</v>
      </c>
      <c r="C2406" s="1">
        <v>642547.0</v>
      </c>
      <c r="D2406" s="1" t="s">
        <v>533</v>
      </c>
      <c r="E2406" s="1" t="s">
        <v>927</v>
      </c>
      <c r="F2406" s="1" t="s">
        <v>927</v>
      </c>
      <c r="G2406" s="1">
        <v>244.0</v>
      </c>
      <c r="H2406" s="1">
        <v>13.97298757</v>
      </c>
      <c r="I2406" s="1">
        <v>4.9</v>
      </c>
      <c r="J2406" s="1">
        <v>5.626386</v>
      </c>
    </row>
    <row r="2407">
      <c r="A2407" s="1">
        <v>2025.0</v>
      </c>
      <c r="B2407" s="1" t="s">
        <v>880</v>
      </c>
      <c r="C2407" s="1">
        <v>676206.0</v>
      </c>
      <c r="D2407" s="1" t="s">
        <v>532</v>
      </c>
      <c r="E2407" s="1" t="s">
        <v>927</v>
      </c>
      <c r="F2407" s="1" t="s">
        <v>926</v>
      </c>
      <c r="G2407" s="1">
        <v>24.0</v>
      </c>
      <c r="H2407" s="1">
        <v>1.364341085</v>
      </c>
      <c r="I2407" s="1">
        <v>4.14</v>
      </c>
      <c r="J2407" s="1">
        <v>0.926808</v>
      </c>
    </row>
    <row r="2408">
      <c r="A2408" s="1">
        <v>2025.0</v>
      </c>
      <c r="B2408" s="1" t="s">
        <v>880</v>
      </c>
      <c r="C2408" s="1">
        <v>676206.0</v>
      </c>
      <c r="D2408" s="1" t="s">
        <v>541</v>
      </c>
      <c r="E2408" s="1" t="s">
        <v>927</v>
      </c>
      <c r="F2408" s="1" t="s">
        <v>926</v>
      </c>
      <c r="G2408" s="1">
        <v>20.0</v>
      </c>
      <c r="H2408" s="1">
        <v>1.136950904</v>
      </c>
      <c r="I2408" s="1">
        <v>4.65</v>
      </c>
      <c r="J2408" s="1">
        <v>0.580545</v>
      </c>
    </row>
    <row r="2409">
      <c r="A2409" s="1">
        <v>2025.0</v>
      </c>
      <c r="B2409" s="1" t="s">
        <v>880</v>
      </c>
      <c r="C2409" s="1">
        <v>676206.0</v>
      </c>
      <c r="D2409" s="1" t="s">
        <v>537</v>
      </c>
      <c r="E2409" s="1" t="s">
        <v>927</v>
      </c>
      <c r="F2409" s="1" t="s">
        <v>926</v>
      </c>
      <c r="G2409" s="1">
        <v>27.0</v>
      </c>
      <c r="H2409" s="1">
        <v>1.534883721</v>
      </c>
      <c r="I2409" s="1">
        <v>4.85</v>
      </c>
      <c r="J2409" s="1">
        <v>0.691314</v>
      </c>
    </row>
    <row r="2410">
      <c r="A2410" s="1">
        <v>2025.0</v>
      </c>
      <c r="B2410" s="1" t="s">
        <v>880</v>
      </c>
      <c r="C2410" s="1">
        <v>676206.0</v>
      </c>
      <c r="D2410" s="1" t="s">
        <v>536</v>
      </c>
      <c r="E2410" s="1" t="s">
        <v>927</v>
      </c>
      <c r="F2410" s="1" t="s">
        <v>926</v>
      </c>
      <c r="G2410" s="1">
        <v>2.0</v>
      </c>
      <c r="H2410" s="1">
        <v>0.11369509</v>
      </c>
      <c r="I2410" s="1">
        <v>5.88</v>
      </c>
      <c r="J2410" s="1">
        <v>0.013917</v>
      </c>
    </row>
    <row r="2411">
      <c r="A2411" s="1">
        <v>2025.0</v>
      </c>
      <c r="B2411" s="1" t="s">
        <v>880</v>
      </c>
      <c r="C2411" s="1">
        <v>676206.0</v>
      </c>
      <c r="D2411" s="1" t="s">
        <v>533</v>
      </c>
      <c r="E2411" s="1" t="s">
        <v>927</v>
      </c>
      <c r="F2411" s="1" t="s">
        <v>926</v>
      </c>
      <c r="G2411" s="1">
        <v>11.0</v>
      </c>
      <c r="H2411" s="1">
        <v>0.625322997</v>
      </c>
      <c r="I2411" s="1">
        <v>5.93</v>
      </c>
      <c r="J2411" s="1">
        <v>0.028312</v>
      </c>
    </row>
    <row r="2412">
      <c r="A2412" s="1">
        <v>2025.0</v>
      </c>
      <c r="B2412" s="1" t="s">
        <v>880</v>
      </c>
      <c r="C2412" s="1">
        <v>676206.0</v>
      </c>
      <c r="D2412" s="1" t="s">
        <v>532</v>
      </c>
      <c r="E2412" s="1" t="s">
        <v>927</v>
      </c>
      <c r="F2412" s="1" t="s">
        <v>927</v>
      </c>
      <c r="G2412" s="1">
        <v>8.0</v>
      </c>
      <c r="H2412" s="1">
        <v>0.454780362</v>
      </c>
      <c r="I2412" s="1">
        <v>4.35</v>
      </c>
      <c r="J2412" s="1">
        <v>0.289363</v>
      </c>
    </row>
    <row r="2413">
      <c r="A2413" s="1">
        <v>2025.0</v>
      </c>
      <c r="B2413" s="1" t="s">
        <v>880</v>
      </c>
      <c r="C2413" s="1">
        <v>676206.0</v>
      </c>
      <c r="D2413" s="1" t="s">
        <v>541</v>
      </c>
      <c r="E2413" s="1" t="s">
        <v>927</v>
      </c>
      <c r="F2413" s="1" t="s">
        <v>927</v>
      </c>
      <c r="G2413" s="1">
        <v>2.0</v>
      </c>
      <c r="H2413" s="1">
        <v>0.11369509</v>
      </c>
      <c r="I2413" s="1">
        <v>3.86</v>
      </c>
      <c r="J2413" s="1">
        <v>0.085991</v>
      </c>
    </row>
    <row r="2414">
      <c r="A2414" s="1">
        <v>2025.0</v>
      </c>
      <c r="B2414" s="1" t="s">
        <v>880</v>
      </c>
      <c r="C2414" s="1">
        <v>676206.0</v>
      </c>
      <c r="D2414" s="1" t="s">
        <v>537</v>
      </c>
      <c r="E2414" s="1" t="s">
        <v>927</v>
      </c>
      <c r="F2414" s="1" t="s">
        <v>927</v>
      </c>
      <c r="G2414" s="1">
        <v>17.0</v>
      </c>
      <c r="H2414" s="1">
        <v>0.966408269</v>
      </c>
      <c r="I2414" s="1">
        <v>4.83</v>
      </c>
      <c r="J2414" s="1">
        <v>0.438222</v>
      </c>
    </row>
    <row r="2415">
      <c r="A2415" s="1">
        <v>2025.0</v>
      </c>
      <c r="B2415" s="1" t="s">
        <v>880</v>
      </c>
      <c r="C2415" s="1">
        <v>676206.0</v>
      </c>
      <c r="D2415" s="1" t="s">
        <v>536</v>
      </c>
      <c r="E2415" s="1" t="s">
        <v>927</v>
      </c>
      <c r="F2415" s="1" t="s">
        <v>927</v>
      </c>
      <c r="G2415" s="1">
        <v>7.0</v>
      </c>
      <c r="H2415" s="1">
        <v>0.397932817</v>
      </c>
      <c r="I2415" s="1">
        <v>5.4</v>
      </c>
      <c r="J2415" s="1">
        <v>0.103779</v>
      </c>
    </row>
    <row r="2416">
      <c r="A2416" s="1">
        <v>2025.0</v>
      </c>
      <c r="B2416" s="1" t="s">
        <v>880</v>
      </c>
      <c r="C2416" s="1">
        <v>676206.0</v>
      </c>
      <c r="D2416" s="1" t="s">
        <v>533</v>
      </c>
      <c r="E2416" s="1" t="s">
        <v>927</v>
      </c>
      <c r="F2416" s="1" t="s">
        <v>927</v>
      </c>
      <c r="G2416" s="1">
        <v>11.0</v>
      </c>
      <c r="H2416" s="1">
        <v>0.625322997</v>
      </c>
      <c r="I2416" s="1">
        <v>4.93</v>
      </c>
      <c r="J2416" s="1">
        <v>0.261914</v>
      </c>
    </row>
    <row r="2417">
      <c r="A2417" s="1">
        <v>2025.0</v>
      </c>
      <c r="B2417" s="1" t="s">
        <v>426</v>
      </c>
      <c r="C2417" s="1">
        <v>642585.0</v>
      </c>
      <c r="D2417" s="1" t="s">
        <v>540</v>
      </c>
      <c r="E2417" s="1" t="s">
        <v>927</v>
      </c>
      <c r="F2417" s="1" t="s">
        <v>926</v>
      </c>
      <c r="G2417" s="1">
        <v>1.0</v>
      </c>
      <c r="H2417" s="1">
        <v>0.05528974</v>
      </c>
      <c r="I2417" s="1">
        <v>4.77</v>
      </c>
      <c r="J2417" s="1">
        <v>0.027997</v>
      </c>
    </row>
    <row r="2418">
      <c r="A2418" s="1">
        <v>2025.0</v>
      </c>
      <c r="B2418" s="1" t="s">
        <v>426</v>
      </c>
      <c r="C2418" s="1">
        <v>642585.0</v>
      </c>
      <c r="D2418" s="1" t="s">
        <v>538</v>
      </c>
      <c r="E2418" s="1" t="s">
        <v>927</v>
      </c>
      <c r="F2418" s="1" t="s">
        <v>926</v>
      </c>
      <c r="G2418" s="1">
        <v>107.0</v>
      </c>
      <c r="H2418" s="1">
        <v>5.916002127</v>
      </c>
      <c r="I2418" s="1">
        <v>4.5</v>
      </c>
      <c r="J2418" s="1">
        <v>3.358853</v>
      </c>
    </row>
    <row r="2419">
      <c r="A2419" s="1">
        <v>2025.0</v>
      </c>
      <c r="B2419" s="1" t="s">
        <v>426</v>
      </c>
      <c r="C2419" s="1">
        <v>642585.0</v>
      </c>
      <c r="D2419" s="1" t="s">
        <v>536</v>
      </c>
      <c r="E2419" s="1" t="s">
        <v>927</v>
      </c>
      <c r="F2419" s="1" t="s">
        <v>926</v>
      </c>
      <c r="G2419" s="1">
        <v>204.0</v>
      </c>
      <c r="H2419" s="1">
        <v>11.27910686</v>
      </c>
      <c r="I2419" s="1">
        <v>5.14</v>
      </c>
      <c r="J2419" s="1">
        <v>3.865247</v>
      </c>
    </row>
    <row r="2420">
      <c r="A2420" s="1">
        <v>2025.0</v>
      </c>
      <c r="B2420" s="1" t="s">
        <v>426</v>
      </c>
      <c r="C2420" s="1">
        <v>642585.0</v>
      </c>
      <c r="D2420" s="1" t="s">
        <v>533</v>
      </c>
      <c r="E2420" s="1" t="s">
        <v>927</v>
      </c>
      <c r="F2420" s="1" t="s">
        <v>926</v>
      </c>
      <c r="G2420" s="1">
        <v>7.0</v>
      </c>
      <c r="H2420" s="1">
        <v>0.387028177</v>
      </c>
      <c r="I2420" s="1">
        <v>4.63</v>
      </c>
      <c r="J2420" s="1">
        <v>0.209446</v>
      </c>
    </row>
    <row r="2421">
      <c r="A2421" s="1">
        <v>2025.0</v>
      </c>
      <c r="B2421" s="1" t="s">
        <v>426</v>
      </c>
      <c r="C2421" s="1">
        <v>642585.0</v>
      </c>
      <c r="D2421" s="1" t="s">
        <v>540</v>
      </c>
      <c r="E2421" s="1" t="s">
        <v>927</v>
      </c>
      <c r="F2421" s="1" t="s">
        <v>927</v>
      </c>
      <c r="G2421" s="1">
        <v>1.0</v>
      </c>
      <c r="H2421" s="1">
        <v>0.05528974</v>
      </c>
      <c r="I2421" s="1">
        <v>6.17</v>
      </c>
      <c r="J2421" s="1">
        <v>-3.91E-4</v>
      </c>
    </row>
    <row r="2422">
      <c r="A2422" s="1">
        <v>2025.0</v>
      </c>
      <c r="B2422" s="1" t="s">
        <v>426</v>
      </c>
      <c r="C2422" s="1">
        <v>642585.0</v>
      </c>
      <c r="D2422" s="1" t="s">
        <v>538</v>
      </c>
      <c r="E2422" s="1" t="s">
        <v>927</v>
      </c>
      <c r="F2422" s="1" t="s">
        <v>927</v>
      </c>
      <c r="G2422" s="1">
        <v>72.0</v>
      </c>
      <c r="H2422" s="1">
        <v>3.980861244</v>
      </c>
      <c r="I2422" s="1">
        <v>4.86</v>
      </c>
      <c r="J2422" s="1">
        <v>1.676762</v>
      </c>
    </row>
    <row r="2423">
      <c r="A2423" s="1">
        <v>2025.0</v>
      </c>
      <c r="B2423" s="1" t="s">
        <v>426</v>
      </c>
      <c r="C2423" s="1">
        <v>642585.0</v>
      </c>
      <c r="D2423" s="1" t="s">
        <v>536</v>
      </c>
      <c r="E2423" s="1" t="s">
        <v>927</v>
      </c>
      <c r="F2423" s="1" t="s">
        <v>927</v>
      </c>
      <c r="G2423" s="1">
        <v>184.0</v>
      </c>
      <c r="H2423" s="1">
        <v>10.17331207</v>
      </c>
      <c r="I2423" s="1">
        <v>4.97</v>
      </c>
      <c r="J2423" s="1">
        <v>4.160789</v>
      </c>
    </row>
    <row r="2424">
      <c r="A2424" s="1">
        <v>2025.0</v>
      </c>
      <c r="B2424" s="1" t="s">
        <v>426</v>
      </c>
      <c r="C2424" s="1">
        <v>642585.0</v>
      </c>
      <c r="D2424" s="1" t="s">
        <v>533</v>
      </c>
      <c r="E2424" s="1" t="s">
        <v>927</v>
      </c>
      <c r="F2424" s="1" t="s">
        <v>927</v>
      </c>
      <c r="G2424" s="1">
        <v>51.0</v>
      </c>
      <c r="H2424" s="1">
        <v>2.819776715</v>
      </c>
      <c r="I2424" s="1">
        <v>4.71</v>
      </c>
      <c r="J2424" s="1">
        <v>1.426874</v>
      </c>
    </row>
    <row r="2425">
      <c r="A2425" s="1">
        <v>2025.0</v>
      </c>
      <c r="B2425" s="1" t="s">
        <v>53</v>
      </c>
      <c r="C2425" s="1">
        <v>642100.0</v>
      </c>
      <c r="D2425" s="1" t="s">
        <v>537</v>
      </c>
      <c r="E2425" s="1" t="s">
        <v>926</v>
      </c>
      <c r="F2425" s="1" t="s">
        <v>926</v>
      </c>
      <c r="G2425" s="1">
        <v>135.0</v>
      </c>
      <c r="H2425" s="1">
        <v>9.197802198</v>
      </c>
      <c r="I2425" s="1">
        <v>5.2</v>
      </c>
      <c r="J2425" s="1">
        <v>2.39025</v>
      </c>
    </row>
    <row r="2426">
      <c r="A2426" s="1">
        <v>2025.0</v>
      </c>
      <c r="B2426" s="1" t="s">
        <v>53</v>
      </c>
      <c r="C2426" s="1">
        <v>642100.0</v>
      </c>
      <c r="D2426" s="1" t="s">
        <v>536</v>
      </c>
      <c r="E2426" s="1" t="s">
        <v>926</v>
      </c>
      <c r="F2426" s="1" t="s">
        <v>926</v>
      </c>
      <c r="G2426" s="1">
        <v>182.0</v>
      </c>
      <c r="H2426" s="1">
        <v>12.4</v>
      </c>
      <c r="I2426" s="1">
        <v>5.42</v>
      </c>
      <c r="J2426" s="1">
        <v>2.557715</v>
      </c>
    </row>
    <row r="2427">
      <c r="A2427" s="1">
        <v>2025.0</v>
      </c>
      <c r="B2427" s="1" t="s">
        <v>53</v>
      </c>
      <c r="C2427" s="1">
        <v>642100.0</v>
      </c>
      <c r="D2427" s="1" t="s">
        <v>533</v>
      </c>
      <c r="E2427" s="1" t="s">
        <v>926</v>
      </c>
      <c r="F2427" s="1" t="s">
        <v>926</v>
      </c>
      <c r="G2427" s="1">
        <v>100.0</v>
      </c>
      <c r="H2427" s="1">
        <v>6.813186813</v>
      </c>
      <c r="I2427" s="1">
        <v>5.29</v>
      </c>
      <c r="J2427" s="1">
        <v>1.557745</v>
      </c>
    </row>
    <row r="2428">
      <c r="A2428" s="1">
        <v>2025.0</v>
      </c>
      <c r="B2428" s="1" t="s">
        <v>53</v>
      </c>
      <c r="C2428" s="1">
        <v>642100.0</v>
      </c>
      <c r="D2428" s="1" t="s">
        <v>537</v>
      </c>
      <c r="E2428" s="1" t="s">
        <v>926</v>
      </c>
      <c r="F2428" s="1" t="s">
        <v>927</v>
      </c>
      <c r="G2428" s="1">
        <v>270.0</v>
      </c>
      <c r="H2428" s="1">
        <v>18.3956044</v>
      </c>
      <c r="I2428" s="1">
        <v>5.22</v>
      </c>
      <c r="J2428" s="1">
        <v>4.704785</v>
      </c>
    </row>
    <row r="2429">
      <c r="A2429" s="1">
        <v>2025.0</v>
      </c>
      <c r="B2429" s="1" t="s">
        <v>53</v>
      </c>
      <c r="C2429" s="1">
        <v>642100.0</v>
      </c>
      <c r="D2429" s="1" t="s">
        <v>536</v>
      </c>
      <c r="E2429" s="1" t="s">
        <v>926</v>
      </c>
      <c r="F2429" s="1" t="s">
        <v>927</v>
      </c>
      <c r="G2429" s="1">
        <v>86.0</v>
      </c>
      <c r="H2429" s="1">
        <v>5.859340659</v>
      </c>
      <c r="I2429" s="1">
        <v>5.05</v>
      </c>
      <c r="J2429" s="1">
        <v>1.891514</v>
      </c>
    </row>
    <row r="2430">
      <c r="A2430" s="1">
        <v>2025.0</v>
      </c>
      <c r="B2430" s="1" t="s">
        <v>53</v>
      </c>
      <c r="C2430" s="1">
        <v>642100.0</v>
      </c>
      <c r="D2430" s="1" t="s">
        <v>533</v>
      </c>
      <c r="E2430" s="1" t="s">
        <v>926</v>
      </c>
      <c r="F2430" s="1" t="s">
        <v>927</v>
      </c>
      <c r="G2430" s="1">
        <v>137.0</v>
      </c>
      <c r="H2430" s="1">
        <v>9.334065934</v>
      </c>
      <c r="I2430" s="1">
        <v>4.94</v>
      </c>
      <c r="J2430" s="1">
        <v>3.039604</v>
      </c>
    </row>
    <row r="2431">
      <c r="A2431" s="1">
        <v>2025.0</v>
      </c>
      <c r="B2431" s="1" t="s">
        <v>960</v>
      </c>
      <c r="C2431" s="1">
        <v>670183.0</v>
      </c>
      <c r="D2431" s="1" t="s">
        <v>532</v>
      </c>
      <c r="E2431" s="1" t="s">
        <v>927</v>
      </c>
      <c r="F2431" s="1" t="s">
        <v>926</v>
      </c>
      <c r="G2431" s="1">
        <v>4.0</v>
      </c>
      <c r="H2431" s="1">
        <v>0.19047619</v>
      </c>
      <c r="I2431" s="1">
        <v>4.86</v>
      </c>
      <c r="J2431" s="1">
        <v>0.101384</v>
      </c>
    </row>
    <row r="2432">
      <c r="A2432" s="1">
        <v>2025.0</v>
      </c>
      <c r="B2432" s="1" t="s">
        <v>960</v>
      </c>
      <c r="C2432" s="1">
        <v>670183.0</v>
      </c>
      <c r="D2432" s="1" t="s">
        <v>537</v>
      </c>
      <c r="E2432" s="1" t="s">
        <v>927</v>
      </c>
      <c r="F2432" s="1" t="s">
        <v>926</v>
      </c>
      <c r="G2432" s="1">
        <v>14.0</v>
      </c>
      <c r="H2432" s="1">
        <v>0.666666667</v>
      </c>
      <c r="I2432" s="1">
        <v>3.31</v>
      </c>
      <c r="J2432" s="1">
        <v>0.756806</v>
      </c>
    </row>
    <row r="2433">
      <c r="A2433" s="1">
        <v>2025.0</v>
      </c>
      <c r="B2433" s="1" t="s">
        <v>960</v>
      </c>
      <c r="C2433" s="1">
        <v>670183.0</v>
      </c>
      <c r="D2433" s="1" t="s">
        <v>537</v>
      </c>
      <c r="E2433" s="1" t="s">
        <v>927</v>
      </c>
      <c r="F2433" s="1" t="s">
        <v>927</v>
      </c>
      <c r="G2433" s="1">
        <v>3.0</v>
      </c>
      <c r="H2433" s="1">
        <v>0.142857143</v>
      </c>
      <c r="I2433" s="1">
        <v>5.37</v>
      </c>
      <c r="J2433" s="1">
        <v>0.045251</v>
      </c>
    </row>
    <row r="2434">
      <c r="A2434" s="1">
        <v>2025.0</v>
      </c>
      <c r="B2434" s="1" t="s">
        <v>185</v>
      </c>
      <c r="C2434" s="1">
        <v>664076.0</v>
      </c>
      <c r="D2434" s="1" t="s">
        <v>537</v>
      </c>
      <c r="E2434" s="1" t="s">
        <v>926</v>
      </c>
      <c r="F2434" s="1" t="s">
        <v>926</v>
      </c>
      <c r="G2434" s="1">
        <v>13.0</v>
      </c>
      <c r="H2434" s="1">
        <v>0.912280702</v>
      </c>
      <c r="I2434" s="1">
        <v>5.31</v>
      </c>
      <c r="J2434" s="1">
        <v>0.176601</v>
      </c>
    </row>
    <row r="2435">
      <c r="A2435" s="1">
        <v>2025.0</v>
      </c>
      <c r="B2435" s="1" t="s">
        <v>185</v>
      </c>
      <c r="C2435" s="1">
        <v>664076.0</v>
      </c>
      <c r="D2435" s="1" t="s">
        <v>536</v>
      </c>
      <c r="E2435" s="1" t="s">
        <v>926</v>
      </c>
      <c r="F2435" s="1" t="s">
        <v>926</v>
      </c>
      <c r="G2435" s="1">
        <v>148.0</v>
      </c>
      <c r="H2435" s="1">
        <v>10.38596491</v>
      </c>
      <c r="I2435" s="1">
        <v>5.11</v>
      </c>
      <c r="J2435" s="1">
        <v>3.020375</v>
      </c>
    </row>
    <row r="2436">
      <c r="A2436" s="1">
        <v>2025.0</v>
      </c>
      <c r="B2436" s="1" t="s">
        <v>185</v>
      </c>
      <c r="C2436" s="1">
        <v>664076.0</v>
      </c>
      <c r="D2436" s="1" t="s">
        <v>533</v>
      </c>
      <c r="E2436" s="1" t="s">
        <v>926</v>
      </c>
      <c r="F2436" s="1" t="s">
        <v>926</v>
      </c>
      <c r="G2436" s="1">
        <v>41.0</v>
      </c>
      <c r="H2436" s="1">
        <v>2.877192982</v>
      </c>
      <c r="I2436" s="1">
        <v>4.83</v>
      </c>
      <c r="J2436" s="1">
        <v>1.08243</v>
      </c>
    </row>
    <row r="2437">
      <c r="A2437" s="1">
        <v>2025.0</v>
      </c>
      <c r="B2437" s="1" t="s">
        <v>185</v>
      </c>
      <c r="C2437" s="1">
        <v>664076.0</v>
      </c>
      <c r="D2437" s="1" t="s">
        <v>539</v>
      </c>
      <c r="E2437" s="1" t="s">
        <v>926</v>
      </c>
      <c r="F2437" s="1" t="s">
        <v>926</v>
      </c>
      <c r="G2437" s="1">
        <v>92.0</v>
      </c>
      <c r="H2437" s="1">
        <v>6.456140351</v>
      </c>
      <c r="I2437" s="1">
        <v>5.26</v>
      </c>
      <c r="J2437" s="1">
        <v>1.45684</v>
      </c>
    </row>
    <row r="2438">
      <c r="A2438" s="1">
        <v>2025.0</v>
      </c>
      <c r="B2438" s="1" t="s">
        <v>185</v>
      </c>
      <c r="C2438" s="1">
        <v>664076.0</v>
      </c>
      <c r="D2438" s="1" t="s">
        <v>540</v>
      </c>
      <c r="E2438" s="1" t="s">
        <v>926</v>
      </c>
      <c r="F2438" s="1" t="s">
        <v>927</v>
      </c>
      <c r="G2438" s="1">
        <v>15.0</v>
      </c>
      <c r="H2438" s="1">
        <v>1.052631579</v>
      </c>
      <c r="I2438" s="1">
        <v>4.2</v>
      </c>
      <c r="J2438" s="1">
        <v>0.60707</v>
      </c>
    </row>
    <row r="2439">
      <c r="A2439" s="1">
        <v>2025.0</v>
      </c>
      <c r="B2439" s="1" t="s">
        <v>185</v>
      </c>
      <c r="C2439" s="1">
        <v>664076.0</v>
      </c>
      <c r="D2439" s="1" t="s">
        <v>537</v>
      </c>
      <c r="E2439" s="1" t="s">
        <v>926</v>
      </c>
      <c r="F2439" s="1" t="s">
        <v>927</v>
      </c>
      <c r="G2439" s="1">
        <v>96.0</v>
      </c>
      <c r="H2439" s="1">
        <v>6.736842105</v>
      </c>
      <c r="I2439" s="1">
        <v>4.59</v>
      </c>
      <c r="J2439" s="1">
        <v>2.92196</v>
      </c>
    </row>
    <row r="2440">
      <c r="A2440" s="1">
        <v>2025.0</v>
      </c>
      <c r="B2440" s="1" t="s">
        <v>185</v>
      </c>
      <c r="C2440" s="1">
        <v>664076.0</v>
      </c>
      <c r="D2440" s="1" t="s">
        <v>536</v>
      </c>
      <c r="E2440" s="1" t="s">
        <v>926</v>
      </c>
      <c r="F2440" s="1" t="s">
        <v>927</v>
      </c>
      <c r="G2440" s="1">
        <v>173.0</v>
      </c>
      <c r="H2440" s="1">
        <v>12.14035088</v>
      </c>
      <c r="I2440" s="1">
        <v>4.84</v>
      </c>
      <c r="J2440" s="1">
        <v>4.417641</v>
      </c>
    </row>
    <row r="2441">
      <c r="A2441" s="1">
        <v>2025.0</v>
      </c>
      <c r="B2441" s="1" t="s">
        <v>185</v>
      </c>
      <c r="C2441" s="1">
        <v>664076.0</v>
      </c>
      <c r="D2441" s="1" t="s">
        <v>533</v>
      </c>
      <c r="E2441" s="1" t="s">
        <v>926</v>
      </c>
      <c r="F2441" s="1" t="s">
        <v>927</v>
      </c>
      <c r="G2441" s="1">
        <v>289.0</v>
      </c>
      <c r="H2441" s="1">
        <v>20.28070175</v>
      </c>
      <c r="I2441" s="1">
        <v>5.08</v>
      </c>
      <c r="J2441" s="1">
        <v>6.053625</v>
      </c>
    </row>
    <row r="2442">
      <c r="A2442" s="1">
        <v>2025.0</v>
      </c>
      <c r="B2442" s="1" t="s">
        <v>185</v>
      </c>
      <c r="C2442" s="1">
        <v>664076.0</v>
      </c>
      <c r="D2442" s="1" t="s">
        <v>539</v>
      </c>
      <c r="E2442" s="1" t="s">
        <v>926</v>
      </c>
      <c r="F2442" s="1" t="s">
        <v>927</v>
      </c>
      <c r="G2442" s="1">
        <v>7.0</v>
      </c>
      <c r="H2442" s="1">
        <v>0.49122807</v>
      </c>
      <c r="I2442" s="1">
        <v>5.98</v>
      </c>
      <c r="J2442" s="1">
        <v>0.005104</v>
      </c>
    </row>
    <row r="2443">
      <c r="A2443" s="1">
        <v>2025.0</v>
      </c>
      <c r="B2443" s="1" t="s">
        <v>100</v>
      </c>
      <c r="C2443" s="1">
        <v>676979.0</v>
      </c>
      <c r="D2443" s="1" t="s">
        <v>540</v>
      </c>
      <c r="E2443" s="1" t="s">
        <v>926</v>
      </c>
      <c r="F2443" s="1" t="s">
        <v>926</v>
      </c>
      <c r="G2443" s="1">
        <v>129.0</v>
      </c>
      <c r="H2443" s="1">
        <v>8.414231258</v>
      </c>
      <c r="I2443" s="1">
        <v>5.51</v>
      </c>
      <c r="J2443" s="1">
        <v>1.543334</v>
      </c>
    </row>
    <row r="2444">
      <c r="A2444" s="1">
        <v>2025.0</v>
      </c>
      <c r="B2444" s="1" t="s">
        <v>100</v>
      </c>
      <c r="C2444" s="1">
        <v>676979.0</v>
      </c>
      <c r="D2444" s="1" t="s">
        <v>537</v>
      </c>
      <c r="E2444" s="1" t="s">
        <v>926</v>
      </c>
      <c r="F2444" s="1" t="s">
        <v>926</v>
      </c>
      <c r="G2444" s="1">
        <v>134.0</v>
      </c>
      <c r="H2444" s="1">
        <v>8.740364252</v>
      </c>
      <c r="I2444" s="1">
        <v>5.02</v>
      </c>
      <c r="J2444" s="1">
        <v>2.798746</v>
      </c>
    </row>
    <row r="2445">
      <c r="A2445" s="1">
        <v>2025.0</v>
      </c>
      <c r="B2445" s="1" t="s">
        <v>100</v>
      </c>
      <c r="C2445" s="1">
        <v>676979.0</v>
      </c>
      <c r="D2445" s="1" t="s">
        <v>536</v>
      </c>
      <c r="E2445" s="1" t="s">
        <v>926</v>
      </c>
      <c r="F2445" s="1" t="s">
        <v>926</v>
      </c>
      <c r="G2445" s="1">
        <v>201.0</v>
      </c>
      <c r="H2445" s="1">
        <v>13.11054638</v>
      </c>
      <c r="I2445" s="1">
        <v>5.45</v>
      </c>
      <c r="J2445" s="1">
        <v>2.632399</v>
      </c>
    </row>
    <row r="2446">
      <c r="A2446" s="1">
        <v>2025.0</v>
      </c>
      <c r="B2446" s="1" t="s">
        <v>100</v>
      </c>
      <c r="C2446" s="1">
        <v>676979.0</v>
      </c>
      <c r="D2446" s="1" t="s">
        <v>539</v>
      </c>
      <c r="E2446" s="1" t="s">
        <v>926</v>
      </c>
      <c r="F2446" s="1" t="s">
        <v>926</v>
      </c>
      <c r="G2446" s="1">
        <v>87.0</v>
      </c>
      <c r="H2446" s="1">
        <v>5.674714104</v>
      </c>
      <c r="I2446" s="1">
        <v>5.18</v>
      </c>
      <c r="J2446" s="1">
        <v>1.513648</v>
      </c>
    </row>
    <row r="2447">
      <c r="A2447" s="1">
        <v>2025.0</v>
      </c>
      <c r="B2447" s="1" t="s">
        <v>100</v>
      </c>
      <c r="C2447" s="1">
        <v>676979.0</v>
      </c>
      <c r="D2447" s="1" t="s">
        <v>532</v>
      </c>
      <c r="E2447" s="1" t="s">
        <v>926</v>
      </c>
      <c r="F2447" s="1" t="s">
        <v>927</v>
      </c>
      <c r="G2447" s="1">
        <v>134.0</v>
      </c>
      <c r="H2447" s="1">
        <v>8.740364252</v>
      </c>
      <c r="I2447" s="1">
        <v>4.68</v>
      </c>
      <c r="J2447" s="1">
        <v>3.746287</v>
      </c>
    </row>
    <row r="2448">
      <c r="A2448" s="1">
        <v>2025.0</v>
      </c>
      <c r="B2448" s="1" t="s">
        <v>100</v>
      </c>
      <c r="C2448" s="1">
        <v>676979.0</v>
      </c>
      <c r="D2448" s="1" t="s">
        <v>540</v>
      </c>
      <c r="E2448" s="1" t="s">
        <v>926</v>
      </c>
      <c r="F2448" s="1" t="s">
        <v>927</v>
      </c>
      <c r="G2448" s="1">
        <v>747.0</v>
      </c>
      <c r="H2448" s="1">
        <v>48.72426938</v>
      </c>
      <c r="I2448" s="1">
        <v>5.4</v>
      </c>
      <c r="J2448" s="1">
        <v>10.722768</v>
      </c>
    </row>
    <row r="2449">
      <c r="A2449" s="1">
        <v>2025.0</v>
      </c>
      <c r="B2449" s="1" t="s">
        <v>100</v>
      </c>
      <c r="C2449" s="1">
        <v>676979.0</v>
      </c>
      <c r="D2449" s="1" t="s">
        <v>537</v>
      </c>
      <c r="E2449" s="1" t="s">
        <v>926</v>
      </c>
      <c r="F2449" s="1" t="s">
        <v>927</v>
      </c>
      <c r="G2449" s="1">
        <v>1006.0</v>
      </c>
      <c r="H2449" s="1">
        <v>65.61795849</v>
      </c>
      <c r="I2449" s="1">
        <v>4.97</v>
      </c>
      <c r="J2449" s="1">
        <v>23.077671</v>
      </c>
    </row>
    <row r="2450">
      <c r="A2450" s="1">
        <v>2025.0</v>
      </c>
      <c r="B2450" s="1" t="s">
        <v>100</v>
      </c>
      <c r="C2450" s="1">
        <v>676979.0</v>
      </c>
      <c r="D2450" s="1" t="s">
        <v>536</v>
      </c>
      <c r="E2450" s="1" t="s">
        <v>926</v>
      </c>
      <c r="F2450" s="1" t="s">
        <v>927</v>
      </c>
      <c r="G2450" s="1">
        <v>296.0</v>
      </c>
      <c r="H2450" s="1">
        <v>19.30707327</v>
      </c>
      <c r="I2450" s="1">
        <v>5.05</v>
      </c>
      <c r="J2450" s="1">
        <v>6.324264</v>
      </c>
    </row>
    <row r="2451">
      <c r="A2451" s="1">
        <v>2025.0</v>
      </c>
      <c r="B2451" s="1" t="s">
        <v>100</v>
      </c>
      <c r="C2451" s="1">
        <v>676979.0</v>
      </c>
      <c r="D2451" s="1" t="s">
        <v>539</v>
      </c>
      <c r="E2451" s="1" t="s">
        <v>926</v>
      </c>
      <c r="F2451" s="1" t="s">
        <v>927</v>
      </c>
      <c r="G2451" s="1">
        <v>414.0</v>
      </c>
      <c r="H2451" s="1">
        <v>27.00381194</v>
      </c>
      <c r="I2451" s="1">
        <v>5.13</v>
      </c>
      <c r="J2451" s="1">
        <v>7.322455</v>
      </c>
    </row>
    <row r="2452">
      <c r="A2452" s="1">
        <v>2025.0</v>
      </c>
      <c r="B2452" s="1" t="s">
        <v>897</v>
      </c>
      <c r="C2452" s="1">
        <v>641658.0</v>
      </c>
      <c r="D2452" s="1" t="s">
        <v>541</v>
      </c>
      <c r="E2452" s="1" t="s">
        <v>927</v>
      </c>
      <c r="F2452" s="1" t="s">
        <v>926</v>
      </c>
      <c r="G2452" s="1">
        <v>1.0</v>
      </c>
      <c r="H2452" s="1">
        <v>0.333333333</v>
      </c>
      <c r="I2452" s="1">
        <v>3.75</v>
      </c>
      <c r="J2452" s="1">
        <v>0.048158</v>
      </c>
    </row>
    <row r="2453">
      <c r="A2453" s="1">
        <v>2025.0</v>
      </c>
      <c r="B2453" s="1" t="s">
        <v>897</v>
      </c>
      <c r="C2453" s="1">
        <v>641658.0</v>
      </c>
      <c r="D2453" s="1" t="s">
        <v>533</v>
      </c>
      <c r="E2453" s="1" t="s">
        <v>927</v>
      </c>
      <c r="F2453" s="1" t="s">
        <v>927</v>
      </c>
      <c r="G2453" s="1">
        <v>2.0</v>
      </c>
      <c r="H2453" s="1">
        <v>0.666666667</v>
      </c>
      <c r="I2453" s="1">
        <v>6.2</v>
      </c>
      <c r="J2453" s="1">
        <v>0.002518</v>
      </c>
    </row>
    <row r="2454">
      <c r="A2454" s="1">
        <v>2025.0</v>
      </c>
      <c r="B2454" s="1" t="s">
        <v>760</v>
      </c>
      <c r="C2454" s="1">
        <v>680729.0</v>
      </c>
      <c r="D2454" s="1" t="s">
        <v>541</v>
      </c>
      <c r="E2454" s="1" t="s">
        <v>926</v>
      </c>
      <c r="F2454" s="1" t="s">
        <v>926</v>
      </c>
      <c r="G2454" s="1">
        <v>4.0</v>
      </c>
      <c r="H2454" s="1">
        <v>0.223385689</v>
      </c>
      <c r="I2454" s="1">
        <v>3.45</v>
      </c>
      <c r="J2454" s="1">
        <v>0.209582</v>
      </c>
    </row>
    <row r="2455">
      <c r="A2455" s="1">
        <v>2025.0</v>
      </c>
      <c r="B2455" s="1" t="s">
        <v>760</v>
      </c>
      <c r="C2455" s="1">
        <v>680729.0</v>
      </c>
      <c r="D2455" s="1" t="s">
        <v>536</v>
      </c>
      <c r="E2455" s="1" t="s">
        <v>926</v>
      </c>
      <c r="F2455" s="1" t="s">
        <v>926</v>
      </c>
      <c r="G2455" s="1">
        <v>26.0</v>
      </c>
      <c r="H2455" s="1">
        <v>1.452006981</v>
      </c>
      <c r="I2455" s="1">
        <v>4.63</v>
      </c>
      <c r="J2455" s="1">
        <v>0.777038</v>
      </c>
    </row>
    <row r="2456">
      <c r="A2456" s="1">
        <v>2025.0</v>
      </c>
      <c r="B2456" s="1" t="s">
        <v>760</v>
      </c>
      <c r="C2456" s="1">
        <v>680729.0</v>
      </c>
      <c r="D2456" s="1" t="s">
        <v>533</v>
      </c>
      <c r="E2456" s="1" t="s">
        <v>926</v>
      </c>
      <c r="F2456" s="1" t="s">
        <v>926</v>
      </c>
      <c r="G2456" s="1">
        <v>46.0</v>
      </c>
      <c r="H2456" s="1">
        <v>2.568935428</v>
      </c>
      <c r="I2456" s="1">
        <v>4.64</v>
      </c>
      <c r="J2456" s="1">
        <v>1.32993</v>
      </c>
    </row>
    <row r="2457">
      <c r="A2457" s="1">
        <v>2025.0</v>
      </c>
      <c r="B2457" s="1" t="s">
        <v>760</v>
      </c>
      <c r="C2457" s="1">
        <v>680729.0</v>
      </c>
      <c r="D2457" s="1" t="s">
        <v>541</v>
      </c>
      <c r="E2457" s="1" t="s">
        <v>926</v>
      </c>
      <c r="F2457" s="1" t="s">
        <v>927</v>
      </c>
      <c r="G2457" s="1">
        <v>4.0</v>
      </c>
      <c r="H2457" s="1">
        <v>0.223385689</v>
      </c>
      <c r="I2457" s="1">
        <v>4.77</v>
      </c>
      <c r="J2457" s="1">
        <v>0.106465</v>
      </c>
    </row>
    <row r="2458">
      <c r="A2458" s="1">
        <v>2025.0</v>
      </c>
      <c r="B2458" s="1" t="s">
        <v>760</v>
      </c>
      <c r="C2458" s="1">
        <v>680729.0</v>
      </c>
      <c r="D2458" s="1" t="s">
        <v>536</v>
      </c>
      <c r="E2458" s="1" t="s">
        <v>926</v>
      </c>
      <c r="F2458" s="1" t="s">
        <v>927</v>
      </c>
      <c r="G2458" s="1">
        <v>57.0</v>
      </c>
      <c r="H2458" s="1">
        <v>3.183246073</v>
      </c>
      <c r="I2458" s="1">
        <v>4.35</v>
      </c>
      <c r="J2458" s="1">
        <v>1.996691</v>
      </c>
    </row>
    <row r="2459">
      <c r="A2459" s="1">
        <v>2025.0</v>
      </c>
      <c r="B2459" s="1" t="s">
        <v>760</v>
      </c>
      <c r="C2459" s="1">
        <v>680729.0</v>
      </c>
      <c r="D2459" s="1" t="s">
        <v>533</v>
      </c>
      <c r="E2459" s="1" t="s">
        <v>926</v>
      </c>
      <c r="F2459" s="1" t="s">
        <v>927</v>
      </c>
      <c r="G2459" s="1">
        <v>54.0</v>
      </c>
      <c r="H2459" s="1">
        <v>3.015706806</v>
      </c>
      <c r="I2459" s="1">
        <v>4.66</v>
      </c>
      <c r="J2459" s="1">
        <v>1.555726</v>
      </c>
    </row>
    <row r="2460">
      <c r="A2460" s="1">
        <v>2025.0</v>
      </c>
      <c r="B2460" s="1" t="s">
        <v>250</v>
      </c>
      <c r="C2460" s="1">
        <v>676477.0</v>
      </c>
      <c r="D2460" s="1" t="s">
        <v>532</v>
      </c>
      <c r="E2460" s="1" t="s">
        <v>927</v>
      </c>
      <c r="F2460" s="1" t="s">
        <v>926</v>
      </c>
      <c r="G2460" s="1">
        <v>173.0</v>
      </c>
      <c r="H2460" s="1">
        <v>10.5559322</v>
      </c>
      <c r="I2460" s="1">
        <v>5.17</v>
      </c>
      <c r="J2460" s="1">
        <v>3.1746</v>
      </c>
    </row>
    <row r="2461">
      <c r="A2461" s="1">
        <v>2025.0</v>
      </c>
      <c r="B2461" s="1" t="s">
        <v>250</v>
      </c>
      <c r="C2461" s="1">
        <v>676477.0</v>
      </c>
      <c r="D2461" s="1" t="s">
        <v>536</v>
      </c>
      <c r="E2461" s="1" t="s">
        <v>927</v>
      </c>
      <c r="F2461" s="1" t="s">
        <v>926</v>
      </c>
      <c r="G2461" s="1">
        <v>229.0</v>
      </c>
      <c r="H2461" s="1">
        <v>13.97288136</v>
      </c>
      <c r="I2461" s="1">
        <v>4.98</v>
      </c>
      <c r="J2461" s="1">
        <v>5.197703</v>
      </c>
    </row>
    <row r="2462">
      <c r="A2462" s="1">
        <v>2025.0</v>
      </c>
      <c r="B2462" s="1" t="s">
        <v>250</v>
      </c>
      <c r="C2462" s="1">
        <v>676477.0</v>
      </c>
      <c r="D2462" s="1" t="s">
        <v>533</v>
      </c>
      <c r="E2462" s="1" t="s">
        <v>927</v>
      </c>
      <c r="F2462" s="1" t="s">
        <v>926</v>
      </c>
      <c r="G2462" s="1">
        <v>129.0</v>
      </c>
      <c r="H2462" s="1">
        <v>7.871186441</v>
      </c>
      <c r="I2462" s="1">
        <v>4.91</v>
      </c>
      <c r="J2462" s="1">
        <v>3.040631</v>
      </c>
    </row>
    <row r="2463">
      <c r="A2463" s="1">
        <v>2025.0</v>
      </c>
      <c r="B2463" s="1" t="s">
        <v>250</v>
      </c>
      <c r="C2463" s="1">
        <v>676477.0</v>
      </c>
      <c r="D2463" s="1" t="s">
        <v>539</v>
      </c>
      <c r="E2463" s="1" t="s">
        <v>927</v>
      </c>
      <c r="F2463" s="1" t="s">
        <v>926</v>
      </c>
      <c r="G2463" s="1">
        <v>20.0</v>
      </c>
      <c r="H2463" s="1">
        <v>1.220338983</v>
      </c>
      <c r="I2463" s="1">
        <v>4.75</v>
      </c>
      <c r="J2463" s="1">
        <v>0.535216</v>
      </c>
    </row>
    <row r="2464">
      <c r="A2464" s="1">
        <v>2025.0</v>
      </c>
      <c r="B2464" s="1" t="s">
        <v>250</v>
      </c>
      <c r="C2464" s="1">
        <v>676477.0</v>
      </c>
      <c r="D2464" s="1" t="s">
        <v>532</v>
      </c>
      <c r="E2464" s="1" t="s">
        <v>927</v>
      </c>
      <c r="F2464" s="1" t="s">
        <v>927</v>
      </c>
      <c r="G2464" s="1">
        <v>73.0</v>
      </c>
      <c r="H2464" s="1">
        <v>4.454237288</v>
      </c>
      <c r="I2464" s="1">
        <v>5.62</v>
      </c>
      <c r="J2464" s="1">
        <v>0.542017</v>
      </c>
    </row>
    <row r="2465">
      <c r="A2465" s="1">
        <v>2025.0</v>
      </c>
      <c r="B2465" s="1" t="s">
        <v>250</v>
      </c>
      <c r="C2465" s="1">
        <v>676477.0</v>
      </c>
      <c r="D2465" s="1" t="s">
        <v>536</v>
      </c>
      <c r="E2465" s="1" t="s">
        <v>927</v>
      </c>
      <c r="F2465" s="1" t="s">
        <v>927</v>
      </c>
      <c r="G2465" s="1">
        <v>327.0</v>
      </c>
      <c r="H2465" s="1">
        <v>19.95254237</v>
      </c>
      <c r="I2465" s="1">
        <v>4.92</v>
      </c>
      <c r="J2465" s="1">
        <v>7.841815</v>
      </c>
    </row>
    <row r="2466">
      <c r="A2466" s="1">
        <v>2025.0</v>
      </c>
      <c r="B2466" s="1" t="s">
        <v>250</v>
      </c>
      <c r="C2466" s="1">
        <v>676477.0</v>
      </c>
      <c r="D2466" s="1" t="s">
        <v>533</v>
      </c>
      <c r="E2466" s="1" t="s">
        <v>927</v>
      </c>
      <c r="F2466" s="1" t="s">
        <v>927</v>
      </c>
      <c r="G2466" s="1">
        <v>188.0</v>
      </c>
      <c r="H2466" s="1">
        <v>11.47118644</v>
      </c>
      <c r="I2466" s="1">
        <v>5.16</v>
      </c>
      <c r="J2466" s="1">
        <v>3.479027</v>
      </c>
    </row>
    <row r="2467">
      <c r="A2467" s="1">
        <v>2025.0</v>
      </c>
      <c r="B2467" s="1" t="s">
        <v>250</v>
      </c>
      <c r="C2467" s="1">
        <v>676477.0</v>
      </c>
      <c r="D2467" s="1" t="s">
        <v>539</v>
      </c>
      <c r="E2467" s="1" t="s">
        <v>927</v>
      </c>
      <c r="F2467" s="1" t="s">
        <v>927</v>
      </c>
      <c r="G2467" s="1">
        <v>41.0</v>
      </c>
      <c r="H2467" s="1">
        <v>2.501694915</v>
      </c>
      <c r="I2467" s="1">
        <v>4.84</v>
      </c>
      <c r="J2467" s="1">
        <v>0.998072</v>
      </c>
    </row>
    <row r="2468">
      <c r="A2468" s="1">
        <v>2025.0</v>
      </c>
      <c r="B2468" s="1" t="s">
        <v>810</v>
      </c>
      <c r="C2468" s="1">
        <v>596142.0</v>
      </c>
      <c r="D2468" s="1" t="s">
        <v>537</v>
      </c>
      <c r="E2468" s="1" t="s">
        <v>927</v>
      </c>
      <c r="F2468" s="1" t="s">
        <v>926</v>
      </c>
      <c r="G2468" s="1">
        <v>4.0</v>
      </c>
      <c r="H2468" s="1">
        <v>0.363636364</v>
      </c>
      <c r="I2468" s="1">
        <v>4.77</v>
      </c>
      <c r="J2468" s="1">
        <v>0.110908</v>
      </c>
    </row>
    <row r="2469">
      <c r="A2469" s="1">
        <v>2025.0</v>
      </c>
      <c r="B2469" s="1" t="s">
        <v>810</v>
      </c>
      <c r="C2469" s="1">
        <v>596142.0</v>
      </c>
      <c r="D2469" s="1" t="s">
        <v>537</v>
      </c>
      <c r="E2469" s="1" t="s">
        <v>927</v>
      </c>
      <c r="F2469" s="1" t="s">
        <v>927</v>
      </c>
      <c r="G2469" s="1">
        <v>7.0</v>
      </c>
      <c r="H2469" s="1">
        <v>0.636363636</v>
      </c>
      <c r="I2469" s="1">
        <v>4.11</v>
      </c>
      <c r="J2469" s="1">
        <v>0.282431</v>
      </c>
    </row>
    <row r="2470">
      <c r="A2470" s="1">
        <v>2025.0</v>
      </c>
      <c r="B2470" s="1" t="s">
        <v>787</v>
      </c>
      <c r="C2470" s="1">
        <v>668970.0</v>
      </c>
      <c r="D2470" s="1" t="s">
        <v>537</v>
      </c>
      <c r="E2470" s="1" t="s">
        <v>927</v>
      </c>
      <c r="F2470" s="1" t="s">
        <v>926</v>
      </c>
      <c r="G2470" s="1">
        <v>45.0</v>
      </c>
      <c r="H2470" s="1">
        <v>2.441860465</v>
      </c>
      <c r="I2470" s="1">
        <v>4.58</v>
      </c>
      <c r="J2470" s="1">
        <v>1.35187</v>
      </c>
    </row>
    <row r="2471">
      <c r="A2471" s="1">
        <v>2025.0</v>
      </c>
      <c r="B2471" s="1" t="s">
        <v>787</v>
      </c>
      <c r="C2471" s="1">
        <v>668970.0</v>
      </c>
      <c r="D2471" s="1" t="s">
        <v>536</v>
      </c>
      <c r="E2471" s="1" t="s">
        <v>927</v>
      </c>
      <c r="F2471" s="1" t="s">
        <v>926</v>
      </c>
      <c r="G2471" s="1">
        <v>3.0</v>
      </c>
      <c r="H2471" s="1">
        <v>0.162790698</v>
      </c>
      <c r="I2471" s="1">
        <v>4.98</v>
      </c>
      <c r="J2471" s="1">
        <v>0.074718</v>
      </c>
    </row>
    <row r="2472">
      <c r="A2472" s="1">
        <v>2025.0</v>
      </c>
      <c r="B2472" s="1" t="s">
        <v>787</v>
      </c>
      <c r="C2472" s="1">
        <v>668970.0</v>
      </c>
      <c r="D2472" s="1" t="s">
        <v>539</v>
      </c>
      <c r="E2472" s="1" t="s">
        <v>927</v>
      </c>
      <c r="F2472" s="1" t="s">
        <v>926</v>
      </c>
      <c r="G2472" s="1">
        <v>24.0</v>
      </c>
      <c r="H2472" s="1">
        <v>1.302325581</v>
      </c>
      <c r="I2472" s="1">
        <v>4.45</v>
      </c>
      <c r="J2472" s="1">
        <v>0.775563</v>
      </c>
    </row>
    <row r="2473">
      <c r="A2473" s="1">
        <v>2025.0</v>
      </c>
      <c r="B2473" s="1" t="s">
        <v>787</v>
      </c>
      <c r="C2473" s="1">
        <v>668970.0</v>
      </c>
      <c r="D2473" s="1" t="s">
        <v>537</v>
      </c>
      <c r="E2473" s="1" t="s">
        <v>927</v>
      </c>
      <c r="F2473" s="1" t="s">
        <v>927</v>
      </c>
      <c r="G2473" s="1">
        <v>33.0</v>
      </c>
      <c r="H2473" s="1">
        <v>1.790697674</v>
      </c>
      <c r="I2473" s="1">
        <v>5.08</v>
      </c>
      <c r="J2473" s="1">
        <v>0.68743</v>
      </c>
    </row>
    <row r="2474">
      <c r="A2474" s="1">
        <v>2025.0</v>
      </c>
      <c r="B2474" s="1" t="s">
        <v>787</v>
      </c>
      <c r="C2474" s="1">
        <v>668970.0</v>
      </c>
      <c r="D2474" s="1" t="s">
        <v>536</v>
      </c>
      <c r="E2474" s="1" t="s">
        <v>927</v>
      </c>
      <c r="F2474" s="1" t="s">
        <v>927</v>
      </c>
      <c r="G2474" s="1">
        <v>33.0</v>
      </c>
      <c r="H2474" s="1">
        <v>1.790697674</v>
      </c>
      <c r="I2474" s="1">
        <v>5.21</v>
      </c>
      <c r="J2474" s="1">
        <v>0.573313</v>
      </c>
    </row>
    <row r="2475">
      <c r="A2475" s="1">
        <v>2025.0</v>
      </c>
      <c r="B2475" s="1" t="s">
        <v>787</v>
      </c>
      <c r="C2475" s="1">
        <v>668970.0</v>
      </c>
      <c r="D2475" s="1" t="s">
        <v>539</v>
      </c>
      <c r="E2475" s="1" t="s">
        <v>927</v>
      </c>
      <c r="F2475" s="1" t="s">
        <v>927</v>
      </c>
      <c r="G2475" s="1">
        <v>34.0</v>
      </c>
      <c r="H2475" s="1">
        <v>1.84496124</v>
      </c>
      <c r="I2475" s="1">
        <v>4.87</v>
      </c>
      <c r="J2475" s="1">
        <v>0.82666</v>
      </c>
    </row>
    <row r="2476">
      <c r="A2476" s="1">
        <v>2025.0</v>
      </c>
      <c r="B2476" s="1" t="s">
        <v>376</v>
      </c>
      <c r="C2476" s="1">
        <v>668909.0</v>
      </c>
      <c r="D2476" s="1" t="s">
        <v>532</v>
      </c>
      <c r="E2476" s="1" t="s">
        <v>927</v>
      </c>
      <c r="F2476" s="1" t="s">
        <v>926</v>
      </c>
      <c r="G2476" s="1">
        <v>1.0</v>
      </c>
      <c r="H2476" s="1">
        <v>0.057321937</v>
      </c>
      <c r="I2476" s="1">
        <v>2.58</v>
      </c>
      <c r="J2476" s="1">
        <v>0.068751</v>
      </c>
    </row>
    <row r="2477">
      <c r="A2477" s="1">
        <v>2025.0</v>
      </c>
      <c r="B2477" s="1" t="s">
        <v>376</v>
      </c>
      <c r="C2477" s="1">
        <v>668909.0</v>
      </c>
      <c r="D2477" s="1" t="s">
        <v>541</v>
      </c>
      <c r="E2477" s="1" t="s">
        <v>927</v>
      </c>
      <c r="F2477" s="1" t="s">
        <v>926</v>
      </c>
      <c r="G2477" s="1">
        <v>510.0</v>
      </c>
      <c r="H2477" s="1">
        <v>29.23418803</v>
      </c>
      <c r="I2477" s="1">
        <v>4.77</v>
      </c>
      <c r="J2477" s="1">
        <v>13.136662</v>
      </c>
    </row>
    <row r="2478">
      <c r="A2478" s="1">
        <v>2025.0</v>
      </c>
      <c r="B2478" s="1" t="s">
        <v>376</v>
      </c>
      <c r="C2478" s="1">
        <v>668909.0</v>
      </c>
      <c r="D2478" s="1" t="s">
        <v>540</v>
      </c>
      <c r="E2478" s="1" t="s">
        <v>927</v>
      </c>
      <c r="F2478" s="1" t="s">
        <v>926</v>
      </c>
      <c r="G2478" s="1">
        <v>217.0</v>
      </c>
      <c r="H2478" s="1">
        <v>12.4388604</v>
      </c>
      <c r="I2478" s="1">
        <v>5.09</v>
      </c>
      <c r="J2478" s="1">
        <v>4.444218</v>
      </c>
    </row>
    <row r="2479">
      <c r="A2479" s="1">
        <v>2025.0</v>
      </c>
      <c r="B2479" s="1" t="s">
        <v>376</v>
      </c>
      <c r="C2479" s="1">
        <v>668909.0</v>
      </c>
      <c r="D2479" s="1" t="s">
        <v>537</v>
      </c>
      <c r="E2479" s="1" t="s">
        <v>927</v>
      </c>
      <c r="F2479" s="1" t="s">
        <v>926</v>
      </c>
      <c r="G2479" s="1">
        <v>668.0</v>
      </c>
      <c r="H2479" s="1">
        <v>38.29105413</v>
      </c>
      <c r="I2479" s="1">
        <v>5.03</v>
      </c>
      <c r="J2479" s="1">
        <v>14.72204</v>
      </c>
    </row>
    <row r="2480">
      <c r="A2480" s="1">
        <v>2025.0</v>
      </c>
      <c r="B2480" s="1" t="s">
        <v>376</v>
      </c>
      <c r="C2480" s="1">
        <v>668909.0</v>
      </c>
      <c r="D2480" s="1" t="s">
        <v>536</v>
      </c>
      <c r="E2480" s="1" t="s">
        <v>927</v>
      </c>
      <c r="F2480" s="1" t="s">
        <v>926</v>
      </c>
      <c r="G2480" s="1">
        <v>29.0</v>
      </c>
      <c r="H2480" s="1">
        <v>1.662336182</v>
      </c>
      <c r="I2480" s="1">
        <v>4.52</v>
      </c>
      <c r="J2480" s="1">
        <v>0.946135</v>
      </c>
    </row>
    <row r="2481">
      <c r="A2481" s="1">
        <v>2025.0</v>
      </c>
      <c r="B2481" s="1" t="s">
        <v>376</v>
      </c>
      <c r="C2481" s="1">
        <v>668909.0</v>
      </c>
      <c r="D2481" s="1" t="s">
        <v>539</v>
      </c>
      <c r="E2481" s="1" t="s">
        <v>927</v>
      </c>
      <c r="F2481" s="1" t="s">
        <v>926</v>
      </c>
      <c r="G2481" s="1">
        <v>129.0</v>
      </c>
      <c r="H2481" s="1">
        <v>7.394529915</v>
      </c>
      <c r="I2481" s="1">
        <v>4.99</v>
      </c>
      <c r="J2481" s="1">
        <v>2.829945</v>
      </c>
    </row>
    <row r="2482">
      <c r="A2482" s="1">
        <v>2025.0</v>
      </c>
      <c r="B2482" s="1" t="s">
        <v>376</v>
      </c>
      <c r="C2482" s="1">
        <v>668909.0</v>
      </c>
      <c r="D2482" s="1" t="s">
        <v>532</v>
      </c>
      <c r="E2482" s="1" t="s">
        <v>927</v>
      </c>
      <c r="F2482" s="1" t="s">
        <v>927</v>
      </c>
      <c r="G2482" s="1">
        <v>1.0</v>
      </c>
      <c r="H2482" s="1">
        <v>0.057321937</v>
      </c>
      <c r="I2482" s="1">
        <v>4.02</v>
      </c>
      <c r="J2482" s="1">
        <v>0.040679</v>
      </c>
    </row>
    <row r="2483">
      <c r="A2483" s="1">
        <v>2025.0</v>
      </c>
      <c r="B2483" s="1" t="s">
        <v>376</v>
      </c>
      <c r="C2483" s="1">
        <v>668909.0</v>
      </c>
      <c r="D2483" s="1" t="s">
        <v>541</v>
      </c>
      <c r="E2483" s="1" t="s">
        <v>927</v>
      </c>
      <c r="F2483" s="1" t="s">
        <v>927</v>
      </c>
      <c r="G2483" s="1">
        <v>137.0</v>
      </c>
      <c r="H2483" s="1">
        <v>7.853105413</v>
      </c>
      <c r="I2483" s="1">
        <v>4.67</v>
      </c>
      <c r="J2483" s="1">
        <v>3.829743</v>
      </c>
    </row>
    <row r="2484">
      <c r="A2484" s="1">
        <v>2025.0</v>
      </c>
      <c r="B2484" s="1" t="s">
        <v>376</v>
      </c>
      <c r="C2484" s="1">
        <v>668909.0</v>
      </c>
      <c r="D2484" s="1" t="s">
        <v>540</v>
      </c>
      <c r="E2484" s="1" t="s">
        <v>927</v>
      </c>
      <c r="F2484" s="1" t="s">
        <v>927</v>
      </c>
      <c r="G2484" s="1">
        <v>194.0</v>
      </c>
      <c r="H2484" s="1">
        <v>11.12045584</v>
      </c>
      <c r="I2484" s="1">
        <v>5.33</v>
      </c>
      <c r="J2484" s="1">
        <v>3.071929</v>
      </c>
    </row>
    <row r="2485">
      <c r="A2485" s="1">
        <v>2025.0</v>
      </c>
      <c r="B2485" s="1" t="s">
        <v>376</v>
      </c>
      <c r="C2485" s="1">
        <v>668909.0</v>
      </c>
      <c r="D2485" s="1" t="s">
        <v>537</v>
      </c>
      <c r="E2485" s="1" t="s">
        <v>927</v>
      </c>
      <c r="F2485" s="1" t="s">
        <v>927</v>
      </c>
      <c r="G2485" s="1">
        <v>428.0</v>
      </c>
      <c r="H2485" s="1">
        <v>24.53378917</v>
      </c>
      <c r="I2485" s="1">
        <v>4.83</v>
      </c>
      <c r="J2485" s="1">
        <v>11.046453</v>
      </c>
    </row>
    <row r="2486">
      <c r="A2486" s="1">
        <v>2025.0</v>
      </c>
      <c r="B2486" s="1" t="s">
        <v>376</v>
      </c>
      <c r="C2486" s="1">
        <v>668909.0</v>
      </c>
      <c r="D2486" s="1" t="s">
        <v>536</v>
      </c>
      <c r="E2486" s="1" t="s">
        <v>927</v>
      </c>
      <c r="F2486" s="1" t="s">
        <v>927</v>
      </c>
      <c r="G2486" s="1">
        <v>160.0</v>
      </c>
      <c r="H2486" s="1">
        <v>9.171509972</v>
      </c>
      <c r="I2486" s="1">
        <v>5.22</v>
      </c>
      <c r="J2486" s="1">
        <v>2.948382</v>
      </c>
    </row>
    <row r="2487">
      <c r="A2487" s="1">
        <v>2025.0</v>
      </c>
      <c r="B2487" s="1" t="s">
        <v>376</v>
      </c>
      <c r="C2487" s="1">
        <v>668909.0</v>
      </c>
      <c r="D2487" s="1" t="s">
        <v>533</v>
      </c>
      <c r="E2487" s="1" t="s">
        <v>927</v>
      </c>
      <c r="F2487" s="1" t="s">
        <v>927</v>
      </c>
      <c r="G2487" s="1">
        <v>11.0</v>
      </c>
      <c r="H2487" s="1">
        <v>0.630541311</v>
      </c>
      <c r="I2487" s="1">
        <v>4.66</v>
      </c>
      <c r="J2487" s="1">
        <v>0.306944</v>
      </c>
    </row>
    <row r="2488">
      <c r="A2488" s="1">
        <v>2025.0</v>
      </c>
      <c r="B2488" s="1" t="s">
        <v>376</v>
      </c>
      <c r="C2488" s="1">
        <v>668909.0</v>
      </c>
      <c r="D2488" s="1" t="s">
        <v>539</v>
      </c>
      <c r="E2488" s="1" t="s">
        <v>927</v>
      </c>
      <c r="F2488" s="1" t="s">
        <v>927</v>
      </c>
      <c r="G2488" s="1">
        <v>440.0</v>
      </c>
      <c r="H2488" s="1">
        <v>25.22165242</v>
      </c>
      <c r="I2488" s="1">
        <v>4.99</v>
      </c>
      <c r="J2488" s="1">
        <v>9.612447</v>
      </c>
    </row>
    <row r="2489">
      <c r="A2489" s="1">
        <v>2025.0</v>
      </c>
      <c r="B2489" s="1" t="s">
        <v>906</v>
      </c>
      <c r="C2489" s="1">
        <v>664129.0</v>
      </c>
      <c r="D2489" s="1" t="s">
        <v>537</v>
      </c>
      <c r="E2489" s="1" t="s">
        <v>927</v>
      </c>
      <c r="F2489" s="1" t="s">
        <v>926</v>
      </c>
      <c r="G2489" s="1">
        <v>22.0</v>
      </c>
      <c r="H2489" s="1">
        <v>0.672782875</v>
      </c>
      <c r="I2489" s="1">
        <v>3.42</v>
      </c>
      <c r="J2489" s="1">
        <v>1.21142</v>
      </c>
    </row>
    <row r="2490">
      <c r="A2490" s="1">
        <v>2025.0</v>
      </c>
      <c r="B2490" s="1" t="s">
        <v>906</v>
      </c>
      <c r="C2490" s="1">
        <v>664129.0</v>
      </c>
      <c r="D2490" s="1" t="s">
        <v>533</v>
      </c>
      <c r="E2490" s="1" t="s">
        <v>927</v>
      </c>
      <c r="F2490" s="1" t="s">
        <v>926</v>
      </c>
      <c r="G2490" s="1">
        <v>31.0</v>
      </c>
      <c r="H2490" s="1">
        <v>0.948012232</v>
      </c>
      <c r="I2490" s="1">
        <v>4.7</v>
      </c>
      <c r="J2490" s="1">
        <v>0.883516</v>
      </c>
    </row>
    <row r="2491">
      <c r="A2491" s="1">
        <v>2025.0</v>
      </c>
      <c r="B2491" s="1" t="s">
        <v>906</v>
      </c>
      <c r="C2491" s="1">
        <v>664129.0</v>
      </c>
      <c r="D2491" s="1" t="s">
        <v>537</v>
      </c>
      <c r="E2491" s="1" t="s">
        <v>927</v>
      </c>
      <c r="F2491" s="1" t="s">
        <v>927</v>
      </c>
      <c r="G2491" s="1">
        <v>4.0</v>
      </c>
      <c r="H2491" s="1">
        <v>0.122324159</v>
      </c>
      <c r="I2491" s="1">
        <v>6.04</v>
      </c>
      <c r="J2491" s="1">
        <v>2.71E-4</v>
      </c>
    </row>
    <row r="2492">
      <c r="A2492" s="1">
        <v>2025.0</v>
      </c>
      <c r="B2492" s="1" t="s">
        <v>906</v>
      </c>
      <c r="C2492" s="1">
        <v>664129.0</v>
      </c>
      <c r="D2492" s="1" t="s">
        <v>536</v>
      </c>
      <c r="E2492" s="1" t="s">
        <v>927</v>
      </c>
      <c r="F2492" s="1" t="s">
        <v>927</v>
      </c>
      <c r="G2492" s="1">
        <v>16.0</v>
      </c>
      <c r="H2492" s="1">
        <v>0.489296636</v>
      </c>
      <c r="I2492" s="1">
        <v>4.9</v>
      </c>
      <c r="J2492" s="1">
        <v>0.421595</v>
      </c>
    </row>
    <row r="2493">
      <c r="A2493" s="1">
        <v>2025.0</v>
      </c>
      <c r="B2493" s="1" t="s">
        <v>906</v>
      </c>
      <c r="C2493" s="1">
        <v>664129.0</v>
      </c>
      <c r="D2493" s="1" t="s">
        <v>533</v>
      </c>
      <c r="E2493" s="1" t="s">
        <v>927</v>
      </c>
      <c r="F2493" s="1" t="s">
        <v>927</v>
      </c>
      <c r="G2493" s="1">
        <v>36.0</v>
      </c>
      <c r="H2493" s="1">
        <v>1.100917431</v>
      </c>
      <c r="I2493" s="1">
        <v>4.66</v>
      </c>
      <c r="J2493" s="1">
        <v>1.019303</v>
      </c>
    </row>
    <row r="2494">
      <c r="A2494" s="1">
        <v>2025.0</v>
      </c>
      <c r="B2494" s="1" t="s">
        <v>164</v>
      </c>
      <c r="C2494" s="1">
        <v>669923.0</v>
      </c>
      <c r="D2494" s="1" t="s">
        <v>532</v>
      </c>
      <c r="E2494" s="1" t="s">
        <v>927</v>
      </c>
      <c r="F2494" s="1" t="s">
        <v>926</v>
      </c>
      <c r="G2494" s="1">
        <v>40.0</v>
      </c>
      <c r="H2494" s="1">
        <v>2.416107383</v>
      </c>
      <c r="I2494" s="1">
        <v>5.08</v>
      </c>
      <c r="J2494" s="1">
        <v>0.824791</v>
      </c>
    </row>
    <row r="2495">
      <c r="A2495" s="1">
        <v>2025.0</v>
      </c>
      <c r="B2495" s="1" t="s">
        <v>164</v>
      </c>
      <c r="C2495" s="1">
        <v>669923.0</v>
      </c>
      <c r="D2495" s="1" t="s">
        <v>541</v>
      </c>
      <c r="E2495" s="1" t="s">
        <v>927</v>
      </c>
      <c r="F2495" s="1" t="s">
        <v>926</v>
      </c>
      <c r="G2495" s="1">
        <v>238.0</v>
      </c>
      <c r="H2495" s="1">
        <v>14.37583893</v>
      </c>
      <c r="I2495" s="1">
        <v>5.11</v>
      </c>
      <c r="J2495" s="1">
        <v>4.51712</v>
      </c>
    </row>
    <row r="2496">
      <c r="A2496" s="1">
        <v>2025.0</v>
      </c>
      <c r="B2496" s="1" t="s">
        <v>164</v>
      </c>
      <c r="C2496" s="1">
        <v>669923.0</v>
      </c>
      <c r="D2496" s="1" t="s">
        <v>537</v>
      </c>
      <c r="E2496" s="1" t="s">
        <v>927</v>
      </c>
      <c r="F2496" s="1" t="s">
        <v>926</v>
      </c>
      <c r="G2496" s="1">
        <v>354.0</v>
      </c>
      <c r="H2496" s="1">
        <v>21.38255034</v>
      </c>
      <c r="I2496" s="1">
        <v>4.63</v>
      </c>
      <c r="J2496" s="1">
        <v>10.500701</v>
      </c>
    </row>
    <row r="2497">
      <c r="A2497" s="1">
        <v>2025.0</v>
      </c>
      <c r="B2497" s="1" t="s">
        <v>164</v>
      </c>
      <c r="C2497" s="1">
        <v>669923.0</v>
      </c>
      <c r="D2497" s="1" t="s">
        <v>538</v>
      </c>
      <c r="E2497" s="1" t="s">
        <v>927</v>
      </c>
      <c r="F2497" s="1" t="s">
        <v>926</v>
      </c>
      <c r="G2497" s="1">
        <v>42.0</v>
      </c>
      <c r="H2497" s="1">
        <v>2.536912752</v>
      </c>
      <c r="I2497" s="1">
        <v>4.85</v>
      </c>
      <c r="J2497" s="1">
        <v>1.01555</v>
      </c>
    </row>
    <row r="2498">
      <c r="A2498" s="1">
        <v>2025.0</v>
      </c>
      <c r="B2498" s="1" t="s">
        <v>164</v>
      </c>
      <c r="C2498" s="1">
        <v>669923.0</v>
      </c>
      <c r="D2498" s="1" t="s">
        <v>536</v>
      </c>
      <c r="E2498" s="1" t="s">
        <v>927</v>
      </c>
      <c r="F2498" s="1" t="s">
        <v>926</v>
      </c>
      <c r="G2498" s="1">
        <v>202.0</v>
      </c>
      <c r="H2498" s="1">
        <v>12.20134228</v>
      </c>
      <c r="I2498" s="1">
        <v>4.86</v>
      </c>
      <c r="J2498" s="1">
        <v>4.941577</v>
      </c>
    </row>
    <row r="2499">
      <c r="A2499" s="1">
        <v>2025.0</v>
      </c>
      <c r="B2499" s="1" t="s">
        <v>164</v>
      </c>
      <c r="C2499" s="1">
        <v>669923.0</v>
      </c>
      <c r="D2499" s="1" t="s">
        <v>533</v>
      </c>
      <c r="E2499" s="1" t="s">
        <v>927</v>
      </c>
      <c r="F2499" s="1" t="s">
        <v>926</v>
      </c>
      <c r="G2499" s="1">
        <v>296.0</v>
      </c>
      <c r="H2499" s="1">
        <v>17.87919463</v>
      </c>
      <c r="I2499" s="1">
        <v>5.7</v>
      </c>
      <c r="J2499" s="1">
        <v>2.184325</v>
      </c>
    </row>
    <row r="2500">
      <c r="A2500" s="1">
        <v>2025.0</v>
      </c>
      <c r="B2500" s="1" t="s">
        <v>164</v>
      </c>
      <c r="C2500" s="1">
        <v>669923.0</v>
      </c>
      <c r="D2500" s="1" t="s">
        <v>532</v>
      </c>
      <c r="E2500" s="1" t="s">
        <v>927</v>
      </c>
      <c r="F2500" s="1" t="s">
        <v>927</v>
      </c>
      <c r="G2500" s="1">
        <v>6.0</v>
      </c>
      <c r="H2500" s="1">
        <v>0.362416107</v>
      </c>
      <c r="I2500" s="1">
        <v>5.68</v>
      </c>
      <c r="J2500" s="1">
        <v>0.047353</v>
      </c>
    </row>
    <row r="2501">
      <c r="A2501" s="1">
        <v>2025.0</v>
      </c>
      <c r="B2501" s="1" t="s">
        <v>164</v>
      </c>
      <c r="C2501" s="1">
        <v>669923.0</v>
      </c>
      <c r="D2501" s="1" t="s">
        <v>541</v>
      </c>
      <c r="E2501" s="1" t="s">
        <v>927</v>
      </c>
      <c r="F2501" s="1" t="s">
        <v>927</v>
      </c>
      <c r="G2501" s="1">
        <v>15.0</v>
      </c>
      <c r="H2501" s="1">
        <v>0.906040268</v>
      </c>
      <c r="I2501" s="1">
        <v>4.73</v>
      </c>
      <c r="J2501" s="1">
        <v>0.418588</v>
      </c>
    </row>
    <row r="2502">
      <c r="A2502" s="1">
        <v>2025.0</v>
      </c>
      <c r="B2502" s="1" t="s">
        <v>164</v>
      </c>
      <c r="C2502" s="1">
        <v>669923.0</v>
      </c>
      <c r="D2502" s="1" t="s">
        <v>537</v>
      </c>
      <c r="E2502" s="1" t="s">
        <v>927</v>
      </c>
      <c r="F2502" s="1" t="s">
        <v>927</v>
      </c>
      <c r="G2502" s="1">
        <v>250.0</v>
      </c>
      <c r="H2502" s="1">
        <v>15.10067114</v>
      </c>
      <c r="I2502" s="1">
        <v>4.77</v>
      </c>
      <c r="J2502" s="1">
        <v>6.577536</v>
      </c>
    </row>
    <row r="2503">
      <c r="A2503" s="1">
        <v>2025.0</v>
      </c>
      <c r="B2503" s="1" t="s">
        <v>164</v>
      </c>
      <c r="C2503" s="1">
        <v>669923.0</v>
      </c>
      <c r="D2503" s="1" t="s">
        <v>538</v>
      </c>
      <c r="E2503" s="1" t="s">
        <v>927</v>
      </c>
      <c r="F2503" s="1" t="s">
        <v>927</v>
      </c>
      <c r="G2503" s="1">
        <v>14.0</v>
      </c>
      <c r="H2503" s="1">
        <v>0.845637584</v>
      </c>
      <c r="I2503" s="1">
        <v>5.12</v>
      </c>
      <c r="J2503" s="1">
        <v>0.269499</v>
      </c>
    </row>
    <row r="2504">
      <c r="A2504" s="1">
        <v>2025.0</v>
      </c>
      <c r="B2504" s="1" t="s">
        <v>164</v>
      </c>
      <c r="C2504" s="1">
        <v>669923.0</v>
      </c>
      <c r="D2504" s="1" t="s">
        <v>536</v>
      </c>
      <c r="E2504" s="1" t="s">
        <v>927</v>
      </c>
      <c r="F2504" s="1" t="s">
        <v>927</v>
      </c>
      <c r="G2504" s="1">
        <v>354.0</v>
      </c>
      <c r="H2504" s="1">
        <v>21.38255034</v>
      </c>
      <c r="I2504" s="1">
        <v>5.36</v>
      </c>
      <c r="J2504" s="1">
        <v>5.300036</v>
      </c>
    </row>
    <row r="2505">
      <c r="A2505" s="1">
        <v>2025.0</v>
      </c>
      <c r="B2505" s="1" t="s">
        <v>164</v>
      </c>
      <c r="C2505" s="1">
        <v>669923.0</v>
      </c>
      <c r="D2505" s="1" t="s">
        <v>533</v>
      </c>
      <c r="E2505" s="1" t="s">
        <v>927</v>
      </c>
      <c r="F2505" s="1" t="s">
        <v>927</v>
      </c>
      <c r="G2505" s="1">
        <v>275.0</v>
      </c>
      <c r="H2505" s="1">
        <v>16.61073826</v>
      </c>
      <c r="I2505" s="1">
        <v>5.5</v>
      </c>
      <c r="J2505" s="1">
        <v>3.191518</v>
      </c>
    </row>
    <row r="2506">
      <c r="A2506" s="1">
        <v>2025.0</v>
      </c>
      <c r="B2506" s="1" t="s">
        <v>469</v>
      </c>
      <c r="C2506" s="1">
        <v>666277.0</v>
      </c>
      <c r="D2506" s="1" t="s">
        <v>532</v>
      </c>
      <c r="E2506" s="1" t="s">
        <v>927</v>
      </c>
      <c r="F2506" s="1" t="s">
        <v>926</v>
      </c>
      <c r="G2506" s="1">
        <v>148.0</v>
      </c>
      <c r="H2506" s="1">
        <v>7.8647343</v>
      </c>
      <c r="I2506" s="1">
        <v>4.72</v>
      </c>
      <c r="J2506" s="1">
        <v>4.091064</v>
      </c>
    </row>
    <row r="2507">
      <c r="A2507" s="1">
        <v>2025.0</v>
      </c>
      <c r="B2507" s="1" t="s">
        <v>469</v>
      </c>
      <c r="C2507" s="1">
        <v>666277.0</v>
      </c>
      <c r="D2507" s="1" t="s">
        <v>537</v>
      </c>
      <c r="E2507" s="1" t="s">
        <v>927</v>
      </c>
      <c r="F2507" s="1" t="s">
        <v>926</v>
      </c>
      <c r="G2507" s="1">
        <v>89.0</v>
      </c>
      <c r="H2507" s="1">
        <v>4.729468599</v>
      </c>
      <c r="I2507" s="1">
        <v>4.36</v>
      </c>
      <c r="J2507" s="1">
        <v>3.117934</v>
      </c>
    </row>
    <row r="2508">
      <c r="A2508" s="1">
        <v>2025.0</v>
      </c>
      <c r="B2508" s="1" t="s">
        <v>469</v>
      </c>
      <c r="C2508" s="1">
        <v>666277.0</v>
      </c>
      <c r="D2508" s="1" t="s">
        <v>536</v>
      </c>
      <c r="E2508" s="1" t="s">
        <v>927</v>
      </c>
      <c r="F2508" s="1" t="s">
        <v>926</v>
      </c>
      <c r="G2508" s="1">
        <v>39.0</v>
      </c>
      <c r="H2508" s="1">
        <v>2.072463768</v>
      </c>
      <c r="I2508" s="1">
        <v>5.49</v>
      </c>
      <c r="J2508" s="1">
        <v>0.502428</v>
      </c>
    </row>
    <row r="2509">
      <c r="A2509" s="1">
        <v>2025.0</v>
      </c>
      <c r="B2509" s="1" t="s">
        <v>469</v>
      </c>
      <c r="C2509" s="1">
        <v>666277.0</v>
      </c>
      <c r="D2509" s="1" t="s">
        <v>533</v>
      </c>
      <c r="E2509" s="1" t="s">
        <v>927</v>
      </c>
      <c r="F2509" s="1" t="s">
        <v>926</v>
      </c>
      <c r="G2509" s="1">
        <v>90.0</v>
      </c>
      <c r="H2509" s="1">
        <v>4.782608696</v>
      </c>
      <c r="I2509" s="1">
        <v>5.02</v>
      </c>
      <c r="J2509" s="1">
        <v>1.919382</v>
      </c>
    </row>
    <row r="2510">
      <c r="A2510" s="1">
        <v>2025.0</v>
      </c>
      <c r="B2510" s="1" t="s">
        <v>469</v>
      </c>
      <c r="C2510" s="1">
        <v>666277.0</v>
      </c>
      <c r="D2510" s="1" t="s">
        <v>532</v>
      </c>
      <c r="E2510" s="1" t="s">
        <v>927</v>
      </c>
      <c r="F2510" s="1" t="s">
        <v>927</v>
      </c>
      <c r="G2510" s="1">
        <v>64.0</v>
      </c>
      <c r="H2510" s="1">
        <v>3.400966184</v>
      </c>
      <c r="I2510" s="1">
        <v>4.84</v>
      </c>
      <c r="J2510" s="1">
        <v>1.546952</v>
      </c>
    </row>
    <row r="2511">
      <c r="A2511" s="1">
        <v>2025.0</v>
      </c>
      <c r="B2511" s="1" t="s">
        <v>469</v>
      </c>
      <c r="C2511" s="1">
        <v>666277.0</v>
      </c>
      <c r="D2511" s="1" t="s">
        <v>537</v>
      </c>
      <c r="E2511" s="1" t="s">
        <v>927</v>
      </c>
      <c r="F2511" s="1" t="s">
        <v>927</v>
      </c>
      <c r="G2511" s="1">
        <v>42.0</v>
      </c>
      <c r="H2511" s="1">
        <v>2.231884058</v>
      </c>
      <c r="I2511" s="1">
        <v>5.01</v>
      </c>
      <c r="J2511" s="1">
        <v>0.944702</v>
      </c>
    </row>
    <row r="2512">
      <c r="A2512" s="1">
        <v>2025.0</v>
      </c>
      <c r="B2512" s="1" t="s">
        <v>469</v>
      </c>
      <c r="C2512" s="1">
        <v>666277.0</v>
      </c>
      <c r="D2512" s="1" t="s">
        <v>536</v>
      </c>
      <c r="E2512" s="1" t="s">
        <v>927</v>
      </c>
      <c r="F2512" s="1" t="s">
        <v>927</v>
      </c>
      <c r="G2512" s="1">
        <v>87.0</v>
      </c>
      <c r="H2512" s="1">
        <v>4.623188406</v>
      </c>
      <c r="I2512" s="1">
        <v>4.53</v>
      </c>
      <c r="J2512" s="1">
        <v>2.798755</v>
      </c>
    </row>
    <row r="2513">
      <c r="A2513" s="1">
        <v>2025.0</v>
      </c>
      <c r="B2513" s="1" t="s">
        <v>469</v>
      </c>
      <c r="C2513" s="1">
        <v>666277.0</v>
      </c>
      <c r="D2513" s="1" t="s">
        <v>533</v>
      </c>
      <c r="E2513" s="1" t="s">
        <v>927</v>
      </c>
      <c r="F2513" s="1" t="s">
        <v>927</v>
      </c>
      <c r="G2513" s="1">
        <v>131.0</v>
      </c>
      <c r="H2513" s="1">
        <v>6.961352657</v>
      </c>
      <c r="I2513" s="1">
        <v>5.06</v>
      </c>
      <c r="J2513" s="1">
        <v>2.63232</v>
      </c>
    </row>
    <row r="2514">
      <c r="A2514" s="1">
        <v>2025.0</v>
      </c>
      <c r="B2514" s="1" t="s">
        <v>513</v>
      </c>
      <c r="C2514" s="1">
        <v>608566.0</v>
      </c>
      <c r="D2514" s="1" t="s">
        <v>532</v>
      </c>
      <c r="E2514" s="1" t="s">
        <v>927</v>
      </c>
      <c r="F2514" s="1" t="s">
        <v>926</v>
      </c>
      <c r="G2514" s="1">
        <v>46.0</v>
      </c>
      <c r="H2514" s="1">
        <v>2.791226385</v>
      </c>
      <c r="I2514" s="1">
        <v>4.33</v>
      </c>
      <c r="J2514" s="1">
        <v>1.705204</v>
      </c>
    </row>
    <row r="2515">
      <c r="A2515" s="1">
        <v>2025.0</v>
      </c>
      <c r="B2515" s="1" t="s">
        <v>513</v>
      </c>
      <c r="C2515" s="1">
        <v>608566.0</v>
      </c>
      <c r="D2515" s="1" t="s">
        <v>541</v>
      </c>
      <c r="E2515" s="1" t="s">
        <v>927</v>
      </c>
      <c r="F2515" s="1" t="s">
        <v>926</v>
      </c>
      <c r="G2515" s="1">
        <v>372.0</v>
      </c>
      <c r="H2515" s="1">
        <v>22.57252642</v>
      </c>
      <c r="I2515" s="1">
        <v>4.94</v>
      </c>
      <c r="J2515" s="1">
        <v>8.807121</v>
      </c>
    </row>
    <row r="2516">
      <c r="A2516" s="1">
        <v>2025.0</v>
      </c>
      <c r="B2516" s="1" t="s">
        <v>513</v>
      </c>
      <c r="C2516" s="1">
        <v>608566.0</v>
      </c>
      <c r="D2516" s="1" t="s">
        <v>537</v>
      </c>
      <c r="E2516" s="1" t="s">
        <v>927</v>
      </c>
      <c r="F2516" s="1" t="s">
        <v>926</v>
      </c>
      <c r="G2516" s="1">
        <v>408.0</v>
      </c>
      <c r="H2516" s="1">
        <v>24.75696446</v>
      </c>
      <c r="I2516" s="1">
        <v>4.54</v>
      </c>
      <c r="J2516" s="1">
        <v>13.345673</v>
      </c>
    </row>
    <row r="2517">
      <c r="A2517" s="1">
        <v>2025.0</v>
      </c>
      <c r="B2517" s="1" t="s">
        <v>513</v>
      </c>
      <c r="C2517" s="1">
        <v>608566.0</v>
      </c>
      <c r="D2517" s="1" t="s">
        <v>536</v>
      </c>
      <c r="E2517" s="1" t="s">
        <v>927</v>
      </c>
      <c r="F2517" s="1" t="s">
        <v>926</v>
      </c>
      <c r="G2517" s="1">
        <v>247.0</v>
      </c>
      <c r="H2517" s="1">
        <v>14.98767211</v>
      </c>
      <c r="I2517" s="1">
        <v>4.59</v>
      </c>
      <c r="J2517" s="1">
        <v>7.867832</v>
      </c>
    </row>
    <row r="2518">
      <c r="A2518" s="1">
        <v>2025.0</v>
      </c>
      <c r="B2518" s="1" t="s">
        <v>513</v>
      </c>
      <c r="C2518" s="1">
        <v>608566.0</v>
      </c>
      <c r="D2518" s="1" t="s">
        <v>533</v>
      </c>
      <c r="E2518" s="1" t="s">
        <v>927</v>
      </c>
      <c r="F2518" s="1" t="s">
        <v>926</v>
      </c>
      <c r="G2518" s="1">
        <v>30.0</v>
      </c>
      <c r="H2518" s="1">
        <v>1.820365034</v>
      </c>
      <c r="I2518" s="1">
        <v>4.67</v>
      </c>
      <c r="J2518" s="1">
        <v>0.880507</v>
      </c>
    </row>
    <row r="2519">
      <c r="A2519" s="1">
        <v>2025.0</v>
      </c>
      <c r="B2519" s="1" t="s">
        <v>513</v>
      </c>
      <c r="C2519" s="1">
        <v>608566.0</v>
      </c>
      <c r="D2519" s="1" t="s">
        <v>532</v>
      </c>
      <c r="E2519" s="1" t="s">
        <v>927</v>
      </c>
      <c r="F2519" s="1" t="s">
        <v>927</v>
      </c>
      <c r="G2519" s="1">
        <v>1.0</v>
      </c>
      <c r="H2519" s="1">
        <v>0.060678834</v>
      </c>
      <c r="I2519" s="1">
        <v>4.47</v>
      </c>
      <c r="J2519" s="1">
        <v>0.031447</v>
      </c>
    </row>
    <row r="2520">
      <c r="A2520" s="1">
        <v>2025.0</v>
      </c>
      <c r="B2520" s="1" t="s">
        <v>513</v>
      </c>
      <c r="C2520" s="1">
        <v>608566.0</v>
      </c>
      <c r="D2520" s="1" t="s">
        <v>541</v>
      </c>
      <c r="E2520" s="1" t="s">
        <v>927</v>
      </c>
      <c r="F2520" s="1" t="s">
        <v>927</v>
      </c>
      <c r="G2520" s="1">
        <v>286.0</v>
      </c>
      <c r="H2520" s="1">
        <v>17.35414665</v>
      </c>
      <c r="I2520" s="1">
        <v>4.75</v>
      </c>
      <c r="J2520" s="1">
        <v>7.854018</v>
      </c>
    </row>
    <row r="2521">
      <c r="A2521" s="1">
        <v>2025.0</v>
      </c>
      <c r="B2521" s="1" t="s">
        <v>513</v>
      </c>
      <c r="C2521" s="1">
        <v>608566.0</v>
      </c>
      <c r="D2521" s="1" t="s">
        <v>537</v>
      </c>
      <c r="E2521" s="1" t="s">
        <v>927</v>
      </c>
      <c r="F2521" s="1" t="s">
        <v>927</v>
      </c>
      <c r="G2521" s="1">
        <v>281.0</v>
      </c>
      <c r="H2521" s="1">
        <v>17.05075248</v>
      </c>
      <c r="I2521" s="1">
        <v>4.82</v>
      </c>
      <c r="J2521" s="1">
        <v>7.803083</v>
      </c>
    </row>
    <row r="2522">
      <c r="A2522" s="1">
        <v>2025.0</v>
      </c>
      <c r="B2522" s="1" t="s">
        <v>513</v>
      </c>
      <c r="C2522" s="1">
        <v>608566.0</v>
      </c>
      <c r="D2522" s="1" t="s">
        <v>536</v>
      </c>
      <c r="E2522" s="1" t="s">
        <v>927</v>
      </c>
      <c r="F2522" s="1" t="s">
        <v>927</v>
      </c>
      <c r="G2522" s="1">
        <v>215.0</v>
      </c>
      <c r="H2522" s="1">
        <v>13.04594941</v>
      </c>
      <c r="I2522" s="1">
        <v>4.95</v>
      </c>
      <c r="J2522" s="1">
        <v>5.290348</v>
      </c>
    </row>
    <row r="2523">
      <c r="A2523" s="1">
        <v>2025.0</v>
      </c>
      <c r="B2523" s="1" t="s">
        <v>513</v>
      </c>
      <c r="C2523" s="1">
        <v>608566.0</v>
      </c>
      <c r="D2523" s="1" t="s">
        <v>533</v>
      </c>
      <c r="E2523" s="1" t="s">
        <v>927</v>
      </c>
      <c r="F2523" s="1" t="s">
        <v>927</v>
      </c>
      <c r="G2523" s="1">
        <v>196.0</v>
      </c>
      <c r="H2523" s="1">
        <v>11.89305155</v>
      </c>
      <c r="I2523" s="1">
        <v>4.99</v>
      </c>
      <c r="J2523" s="1">
        <v>4.597841</v>
      </c>
    </row>
    <row r="2524">
      <c r="A2524" s="1">
        <v>2025.0</v>
      </c>
      <c r="B2524" s="1" t="s">
        <v>710</v>
      </c>
      <c r="C2524" s="1">
        <v>642520.0</v>
      </c>
      <c r="D2524" s="1" t="s">
        <v>532</v>
      </c>
      <c r="E2524" s="1" t="s">
        <v>927</v>
      </c>
      <c r="F2524" s="1" t="s">
        <v>926</v>
      </c>
      <c r="G2524" s="1">
        <v>19.0</v>
      </c>
      <c r="H2524" s="1">
        <v>1.256198347</v>
      </c>
      <c r="I2524" s="1">
        <v>4.9</v>
      </c>
      <c r="J2524" s="1">
        <v>0.475616</v>
      </c>
    </row>
    <row r="2525">
      <c r="A2525" s="1">
        <v>2025.0</v>
      </c>
      <c r="B2525" s="1" t="s">
        <v>710</v>
      </c>
      <c r="C2525" s="1">
        <v>642520.0</v>
      </c>
      <c r="D2525" s="1" t="s">
        <v>541</v>
      </c>
      <c r="E2525" s="1" t="s">
        <v>927</v>
      </c>
      <c r="F2525" s="1" t="s">
        <v>926</v>
      </c>
      <c r="G2525" s="1">
        <v>5.0</v>
      </c>
      <c r="H2525" s="1">
        <v>0.330578512</v>
      </c>
      <c r="I2525" s="1">
        <v>5.25</v>
      </c>
      <c r="J2525" s="1">
        <v>0.07617</v>
      </c>
    </row>
    <row r="2526">
      <c r="A2526" s="1">
        <v>2025.0</v>
      </c>
      <c r="B2526" s="1" t="s">
        <v>710</v>
      </c>
      <c r="C2526" s="1">
        <v>642520.0</v>
      </c>
      <c r="D2526" s="1" t="s">
        <v>537</v>
      </c>
      <c r="E2526" s="1" t="s">
        <v>927</v>
      </c>
      <c r="F2526" s="1" t="s">
        <v>926</v>
      </c>
      <c r="G2526" s="1">
        <v>16.0</v>
      </c>
      <c r="H2526" s="1">
        <v>1.05785124</v>
      </c>
      <c r="I2526" s="1">
        <v>4.92</v>
      </c>
      <c r="J2526" s="1">
        <v>0.396244</v>
      </c>
    </row>
    <row r="2527">
      <c r="A2527" s="1">
        <v>2025.0</v>
      </c>
      <c r="B2527" s="1" t="s">
        <v>710</v>
      </c>
      <c r="C2527" s="1">
        <v>642520.0</v>
      </c>
      <c r="D2527" s="1" t="s">
        <v>536</v>
      </c>
      <c r="E2527" s="1" t="s">
        <v>927</v>
      </c>
      <c r="F2527" s="1" t="s">
        <v>926</v>
      </c>
      <c r="G2527" s="1">
        <v>3.0</v>
      </c>
      <c r="H2527" s="1">
        <v>0.198347107</v>
      </c>
      <c r="I2527" s="1">
        <v>2.97</v>
      </c>
      <c r="J2527" s="1">
        <v>0.196344</v>
      </c>
    </row>
    <row r="2528">
      <c r="A2528" s="1">
        <v>2025.0</v>
      </c>
      <c r="B2528" s="1" t="s">
        <v>710</v>
      </c>
      <c r="C2528" s="1">
        <v>642520.0</v>
      </c>
      <c r="D2528" s="1" t="s">
        <v>533</v>
      </c>
      <c r="E2528" s="1" t="s">
        <v>927</v>
      </c>
      <c r="F2528" s="1" t="s">
        <v>926</v>
      </c>
      <c r="G2528" s="1">
        <v>25.0</v>
      </c>
      <c r="H2528" s="1">
        <v>1.652892562</v>
      </c>
      <c r="I2528" s="1">
        <v>5.25</v>
      </c>
      <c r="J2528" s="1">
        <v>0.461147</v>
      </c>
    </row>
    <row r="2529">
      <c r="A2529" s="1">
        <v>2025.0</v>
      </c>
      <c r="B2529" s="1" t="s">
        <v>710</v>
      </c>
      <c r="C2529" s="1">
        <v>642520.0</v>
      </c>
      <c r="D2529" s="1" t="s">
        <v>541</v>
      </c>
      <c r="E2529" s="1" t="s">
        <v>927</v>
      </c>
      <c r="F2529" s="1" t="s">
        <v>927</v>
      </c>
      <c r="G2529" s="1">
        <v>24.0</v>
      </c>
      <c r="H2529" s="1">
        <v>1.58677686</v>
      </c>
      <c r="I2529" s="1">
        <v>4.76</v>
      </c>
      <c r="J2529" s="1">
        <v>0.661096</v>
      </c>
    </row>
    <row r="2530">
      <c r="A2530" s="1">
        <v>2025.0</v>
      </c>
      <c r="B2530" s="1" t="s">
        <v>710</v>
      </c>
      <c r="C2530" s="1">
        <v>642520.0</v>
      </c>
      <c r="D2530" s="1" t="s">
        <v>537</v>
      </c>
      <c r="E2530" s="1" t="s">
        <v>927</v>
      </c>
      <c r="F2530" s="1" t="s">
        <v>927</v>
      </c>
      <c r="G2530" s="1">
        <v>9.0</v>
      </c>
      <c r="H2530" s="1">
        <v>0.595041322</v>
      </c>
      <c r="I2530" s="1">
        <v>5.01</v>
      </c>
      <c r="J2530" s="1">
        <v>0.203147</v>
      </c>
    </row>
    <row r="2531">
      <c r="A2531" s="1">
        <v>2025.0</v>
      </c>
      <c r="B2531" s="1" t="s">
        <v>710</v>
      </c>
      <c r="C2531" s="1">
        <v>642520.0</v>
      </c>
      <c r="D2531" s="1" t="s">
        <v>536</v>
      </c>
      <c r="E2531" s="1" t="s">
        <v>927</v>
      </c>
      <c r="F2531" s="1" t="s">
        <v>927</v>
      </c>
      <c r="G2531" s="1">
        <v>18.0</v>
      </c>
      <c r="H2531" s="1">
        <v>1.190082645</v>
      </c>
      <c r="I2531" s="1">
        <v>5.39</v>
      </c>
      <c r="J2531" s="1">
        <v>0.269096</v>
      </c>
    </row>
    <row r="2532">
      <c r="A2532" s="1">
        <v>2025.0</v>
      </c>
      <c r="B2532" s="1" t="s">
        <v>710</v>
      </c>
      <c r="C2532" s="1">
        <v>642520.0</v>
      </c>
      <c r="D2532" s="1" t="s">
        <v>533</v>
      </c>
      <c r="E2532" s="1" t="s">
        <v>927</v>
      </c>
      <c r="F2532" s="1" t="s">
        <v>927</v>
      </c>
      <c r="G2532" s="1">
        <v>2.0</v>
      </c>
      <c r="H2532" s="1">
        <v>0.132231405</v>
      </c>
      <c r="I2532" s="1">
        <v>5.99</v>
      </c>
      <c r="J2532" s="1">
        <v>0.004718</v>
      </c>
    </row>
    <row r="2533">
      <c r="A2533" s="1">
        <v>2025.0</v>
      </c>
      <c r="B2533" s="1" t="s">
        <v>337</v>
      </c>
      <c r="C2533" s="1">
        <v>700669.0</v>
      </c>
      <c r="D2533" s="1" t="s">
        <v>532</v>
      </c>
      <c r="E2533" s="1" t="s">
        <v>927</v>
      </c>
      <c r="F2533" s="1" t="s">
        <v>926</v>
      </c>
      <c r="G2533" s="1">
        <v>17.0</v>
      </c>
      <c r="H2533" s="1">
        <v>0.966931217</v>
      </c>
      <c r="I2533" s="1">
        <v>5.66</v>
      </c>
      <c r="J2533" s="1">
        <v>0.159116</v>
      </c>
    </row>
    <row r="2534">
      <c r="A2534" s="1">
        <v>2025.0</v>
      </c>
      <c r="B2534" s="1" t="s">
        <v>337</v>
      </c>
      <c r="C2534" s="1">
        <v>700669.0</v>
      </c>
      <c r="D2534" s="1" t="s">
        <v>541</v>
      </c>
      <c r="E2534" s="1" t="s">
        <v>927</v>
      </c>
      <c r="F2534" s="1" t="s">
        <v>926</v>
      </c>
      <c r="G2534" s="1">
        <v>106.0</v>
      </c>
      <c r="H2534" s="1">
        <v>6.029100529</v>
      </c>
      <c r="I2534" s="1">
        <v>4.92</v>
      </c>
      <c r="J2534" s="1">
        <v>2.419249</v>
      </c>
    </row>
    <row r="2535">
      <c r="A2535" s="1">
        <v>2025.0</v>
      </c>
      <c r="B2535" s="1" t="s">
        <v>337</v>
      </c>
      <c r="C2535" s="1">
        <v>700669.0</v>
      </c>
      <c r="D2535" s="1" t="s">
        <v>537</v>
      </c>
      <c r="E2535" s="1" t="s">
        <v>927</v>
      </c>
      <c r="F2535" s="1" t="s">
        <v>926</v>
      </c>
      <c r="G2535" s="1">
        <v>133.0</v>
      </c>
      <c r="H2535" s="1">
        <v>7.564814815</v>
      </c>
      <c r="I2535" s="1">
        <v>4.97</v>
      </c>
      <c r="J2535" s="1">
        <v>3.05477</v>
      </c>
    </row>
    <row r="2536">
      <c r="A2536" s="1">
        <v>2025.0</v>
      </c>
      <c r="B2536" s="1" t="s">
        <v>337</v>
      </c>
      <c r="C2536" s="1">
        <v>700669.0</v>
      </c>
      <c r="D2536" s="1" t="s">
        <v>536</v>
      </c>
      <c r="E2536" s="1" t="s">
        <v>927</v>
      </c>
      <c r="F2536" s="1" t="s">
        <v>926</v>
      </c>
      <c r="G2536" s="1">
        <v>3.0</v>
      </c>
      <c r="H2536" s="1">
        <v>0.170634921</v>
      </c>
      <c r="I2536" s="1">
        <v>5.71</v>
      </c>
      <c r="J2536" s="1">
        <v>0.024617</v>
      </c>
    </row>
    <row r="2537">
      <c r="A2537" s="1">
        <v>2025.0</v>
      </c>
      <c r="B2537" s="1" t="s">
        <v>337</v>
      </c>
      <c r="C2537" s="1">
        <v>700669.0</v>
      </c>
      <c r="D2537" s="1" t="s">
        <v>533</v>
      </c>
      <c r="E2537" s="1" t="s">
        <v>927</v>
      </c>
      <c r="F2537" s="1" t="s">
        <v>926</v>
      </c>
      <c r="G2537" s="1">
        <v>49.0</v>
      </c>
      <c r="H2537" s="1">
        <v>2.787037037</v>
      </c>
      <c r="I2537" s="1">
        <v>5.48</v>
      </c>
      <c r="J2537" s="1">
        <v>0.63056</v>
      </c>
    </row>
    <row r="2538">
      <c r="A2538" s="1">
        <v>2025.0</v>
      </c>
      <c r="B2538" s="1" t="s">
        <v>337</v>
      </c>
      <c r="C2538" s="1">
        <v>700669.0</v>
      </c>
      <c r="D2538" s="1" t="s">
        <v>532</v>
      </c>
      <c r="E2538" s="1" t="s">
        <v>927</v>
      </c>
      <c r="F2538" s="1" t="s">
        <v>927</v>
      </c>
      <c r="G2538" s="1">
        <v>3.0</v>
      </c>
      <c r="H2538" s="1">
        <v>0.170634921</v>
      </c>
      <c r="I2538" s="1">
        <v>5.72</v>
      </c>
      <c r="J2538" s="1">
        <v>0.026501</v>
      </c>
    </row>
    <row r="2539">
      <c r="A2539" s="1">
        <v>2025.0</v>
      </c>
      <c r="B2539" s="1" t="s">
        <v>337</v>
      </c>
      <c r="C2539" s="1">
        <v>700669.0</v>
      </c>
      <c r="D2539" s="1" t="s">
        <v>541</v>
      </c>
      <c r="E2539" s="1" t="s">
        <v>927</v>
      </c>
      <c r="F2539" s="1" t="s">
        <v>927</v>
      </c>
      <c r="G2539" s="1">
        <v>89.0</v>
      </c>
      <c r="H2539" s="1">
        <v>5.062169312</v>
      </c>
      <c r="I2539" s="1">
        <v>4.8</v>
      </c>
      <c r="J2539" s="1">
        <v>2.231136</v>
      </c>
    </row>
    <row r="2540">
      <c r="A2540" s="1">
        <v>2025.0</v>
      </c>
      <c r="B2540" s="1" t="s">
        <v>337</v>
      </c>
      <c r="C2540" s="1">
        <v>700669.0</v>
      </c>
      <c r="D2540" s="1" t="s">
        <v>537</v>
      </c>
      <c r="E2540" s="1" t="s">
        <v>927</v>
      </c>
      <c r="F2540" s="1" t="s">
        <v>927</v>
      </c>
      <c r="G2540" s="1">
        <v>189.0</v>
      </c>
      <c r="H2540" s="1">
        <v>10.75</v>
      </c>
      <c r="I2540" s="1">
        <v>4.98</v>
      </c>
      <c r="J2540" s="1">
        <v>4.293794</v>
      </c>
    </row>
    <row r="2541">
      <c r="A2541" s="1">
        <v>2025.0</v>
      </c>
      <c r="B2541" s="1" t="s">
        <v>337</v>
      </c>
      <c r="C2541" s="1">
        <v>700669.0</v>
      </c>
      <c r="D2541" s="1" t="s">
        <v>536</v>
      </c>
      <c r="E2541" s="1" t="s">
        <v>927</v>
      </c>
      <c r="F2541" s="1" t="s">
        <v>927</v>
      </c>
      <c r="G2541" s="1">
        <v>17.0</v>
      </c>
      <c r="H2541" s="1">
        <v>0.966931217</v>
      </c>
      <c r="I2541" s="1">
        <v>4.54</v>
      </c>
      <c r="J2541" s="1">
        <v>0.534312</v>
      </c>
    </row>
    <row r="2542">
      <c r="A2542" s="1">
        <v>2025.0</v>
      </c>
      <c r="B2542" s="1" t="s">
        <v>337</v>
      </c>
      <c r="C2542" s="1">
        <v>700669.0</v>
      </c>
      <c r="D2542" s="1" t="s">
        <v>533</v>
      </c>
      <c r="E2542" s="1" t="s">
        <v>927</v>
      </c>
      <c r="F2542" s="1" t="s">
        <v>927</v>
      </c>
      <c r="G2542" s="1">
        <v>150.0</v>
      </c>
      <c r="H2542" s="1">
        <v>8.531746032</v>
      </c>
      <c r="I2542" s="1">
        <v>5.11</v>
      </c>
      <c r="J2542" s="1">
        <v>2.974107</v>
      </c>
    </row>
    <row r="2543">
      <c r="A2543" s="1">
        <v>2025.0</v>
      </c>
      <c r="B2543" s="1" t="s">
        <v>211</v>
      </c>
      <c r="C2543" s="1">
        <v>668933.0</v>
      </c>
      <c r="D2543" s="1" t="s">
        <v>540</v>
      </c>
      <c r="E2543" s="1" t="s">
        <v>927</v>
      </c>
      <c r="F2543" s="1" t="s">
        <v>926</v>
      </c>
      <c r="G2543" s="1">
        <v>285.0</v>
      </c>
      <c r="H2543" s="1">
        <v>17.92107796</v>
      </c>
      <c r="I2543" s="1">
        <v>4.98</v>
      </c>
      <c r="J2543" s="1">
        <v>6.418124</v>
      </c>
    </row>
    <row r="2544">
      <c r="A2544" s="1">
        <v>2025.0</v>
      </c>
      <c r="B2544" s="1" t="s">
        <v>211</v>
      </c>
      <c r="C2544" s="1">
        <v>668933.0</v>
      </c>
      <c r="D2544" s="1" t="s">
        <v>533</v>
      </c>
      <c r="E2544" s="1" t="s">
        <v>927</v>
      </c>
      <c r="F2544" s="1" t="s">
        <v>926</v>
      </c>
      <c r="G2544" s="1">
        <v>185.0</v>
      </c>
      <c r="H2544" s="1">
        <v>11.63298043</v>
      </c>
      <c r="I2544" s="1">
        <v>5.31</v>
      </c>
      <c r="J2544" s="1">
        <v>2.755926</v>
      </c>
    </row>
    <row r="2545">
      <c r="A2545" s="1">
        <v>2025.0</v>
      </c>
      <c r="B2545" s="1" t="s">
        <v>211</v>
      </c>
      <c r="C2545" s="1">
        <v>668933.0</v>
      </c>
      <c r="D2545" s="1" t="s">
        <v>540</v>
      </c>
      <c r="E2545" s="1" t="s">
        <v>927</v>
      </c>
      <c r="F2545" s="1" t="s">
        <v>927</v>
      </c>
      <c r="G2545" s="1">
        <v>277.0</v>
      </c>
      <c r="H2545" s="1">
        <v>17.41803016</v>
      </c>
      <c r="I2545" s="1">
        <v>4.81</v>
      </c>
      <c r="J2545" s="1">
        <v>7.416169</v>
      </c>
    </row>
    <row r="2546">
      <c r="A2546" s="1">
        <v>2025.0</v>
      </c>
      <c r="B2546" s="1" t="s">
        <v>211</v>
      </c>
      <c r="C2546" s="1">
        <v>668933.0</v>
      </c>
      <c r="D2546" s="1" t="s">
        <v>533</v>
      </c>
      <c r="E2546" s="1" t="s">
        <v>927</v>
      </c>
      <c r="F2546" s="1" t="s">
        <v>927</v>
      </c>
      <c r="G2546" s="1">
        <v>292.0</v>
      </c>
      <c r="H2546" s="1">
        <v>18.36124479</v>
      </c>
      <c r="I2546" s="1">
        <v>5.27</v>
      </c>
      <c r="J2546" s="1">
        <v>4.896305</v>
      </c>
    </row>
    <row r="2547">
      <c r="A2547" s="1">
        <v>2025.0</v>
      </c>
      <c r="B2547" s="1" t="s">
        <v>318</v>
      </c>
      <c r="C2547" s="1">
        <v>681982.0</v>
      </c>
      <c r="D2547" s="1" t="s">
        <v>532</v>
      </c>
      <c r="E2547" s="1" t="s">
        <v>927</v>
      </c>
      <c r="F2547" s="1" t="s">
        <v>926</v>
      </c>
      <c r="G2547" s="1">
        <v>42.0</v>
      </c>
      <c r="H2547" s="1">
        <v>2.528954192</v>
      </c>
      <c r="I2547" s="1">
        <v>4.85</v>
      </c>
      <c r="J2547" s="1">
        <v>1.050124</v>
      </c>
    </row>
    <row r="2548">
      <c r="A2548" s="1">
        <v>2025.0</v>
      </c>
      <c r="B2548" s="1" t="s">
        <v>318</v>
      </c>
      <c r="C2548" s="1">
        <v>681982.0</v>
      </c>
      <c r="D2548" s="1" t="s">
        <v>537</v>
      </c>
      <c r="E2548" s="1" t="s">
        <v>927</v>
      </c>
      <c r="F2548" s="1" t="s">
        <v>926</v>
      </c>
      <c r="G2548" s="1">
        <v>249.0</v>
      </c>
      <c r="H2548" s="1">
        <v>14.99308557</v>
      </c>
      <c r="I2548" s="1">
        <v>4.91</v>
      </c>
      <c r="J2548" s="1">
        <v>6.088679</v>
      </c>
    </row>
    <row r="2549">
      <c r="A2549" s="1">
        <v>2025.0</v>
      </c>
      <c r="B2549" s="1" t="s">
        <v>318</v>
      </c>
      <c r="C2549" s="1">
        <v>681982.0</v>
      </c>
      <c r="D2549" s="1" t="s">
        <v>536</v>
      </c>
      <c r="E2549" s="1" t="s">
        <v>927</v>
      </c>
      <c r="F2549" s="1" t="s">
        <v>926</v>
      </c>
      <c r="G2549" s="1">
        <v>36.0</v>
      </c>
      <c r="H2549" s="1">
        <v>2.167675022</v>
      </c>
      <c r="I2549" s="1">
        <v>4.59</v>
      </c>
      <c r="J2549" s="1">
        <v>1.116249</v>
      </c>
    </row>
    <row r="2550">
      <c r="A2550" s="1">
        <v>2025.0</v>
      </c>
      <c r="B2550" s="1" t="s">
        <v>318</v>
      </c>
      <c r="C2550" s="1">
        <v>681982.0</v>
      </c>
      <c r="D2550" s="1" t="s">
        <v>533</v>
      </c>
      <c r="E2550" s="1" t="s">
        <v>927</v>
      </c>
      <c r="F2550" s="1" t="s">
        <v>926</v>
      </c>
      <c r="G2550" s="1">
        <v>34.0</v>
      </c>
      <c r="H2550" s="1">
        <v>2.047248632</v>
      </c>
      <c r="I2550" s="1">
        <v>4.84</v>
      </c>
      <c r="J2550" s="1">
        <v>0.843483</v>
      </c>
    </row>
    <row r="2551">
      <c r="A2551" s="1">
        <v>2025.0</v>
      </c>
      <c r="B2551" s="1" t="s">
        <v>318</v>
      </c>
      <c r="C2551" s="1">
        <v>681982.0</v>
      </c>
      <c r="D2551" s="1" t="s">
        <v>539</v>
      </c>
      <c r="E2551" s="1" t="s">
        <v>927</v>
      </c>
      <c r="F2551" s="1" t="s">
        <v>926</v>
      </c>
      <c r="G2551" s="1">
        <v>88.0</v>
      </c>
      <c r="H2551" s="1">
        <v>5.298761164</v>
      </c>
      <c r="I2551" s="1">
        <v>5.0</v>
      </c>
      <c r="J2551" s="1">
        <v>1.876239</v>
      </c>
    </row>
    <row r="2552">
      <c r="A2552" s="1">
        <v>2025.0</v>
      </c>
      <c r="B2552" s="1" t="s">
        <v>318</v>
      </c>
      <c r="C2552" s="1">
        <v>681982.0</v>
      </c>
      <c r="D2552" s="1" t="s">
        <v>532</v>
      </c>
      <c r="E2552" s="1" t="s">
        <v>927</v>
      </c>
      <c r="F2552" s="1" t="s">
        <v>927</v>
      </c>
      <c r="G2552" s="1">
        <v>6.0</v>
      </c>
      <c r="H2552" s="1">
        <v>0.36127917</v>
      </c>
      <c r="I2552" s="1">
        <v>4.63</v>
      </c>
      <c r="J2552" s="1">
        <v>0.170179</v>
      </c>
    </row>
    <row r="2553">
      <c r="A2553" s="1">
        <v>2025.0</v>
      </c>
      <c r="B2553" s="1" t="s">
        <v>318</v>
      </c>
      <c r="C2553" s="1">
        <v>681982.0</v>
      </c>
      <c r="D2553" s="1" t="s">
        <v>537</v>
      </c>
      <c r="E2553" s="1" t="s">
        <v>927</v>
      </c>
      <c r="F2553" s="1" t="s">
        <v>927</v>
      </c>
      <c r="G2553" s="1">
        <v>135.0</v>
      </c>
      <c r="H2553" s="1">
        <v>8.128781331</v>
      </c>
      <c r="I2553" s="1">
        <v>4.71</v>
      </c>
      <c r="J2553" s="1">
        <v>3.672921</v>
      </c>
    </row>
    <row r="2554">
      <c r="A2554" s="1">
        <v>2025.0</v>
      </c>
      <c r="B2554" s="1" t="s">
        <v>318</v>
      </c>
      <c r="C2554" s="1">
        <v>681982.0</v>
      </c>
      <c r="D2554" s="1" t="s">
        <v>536</v>
      </c>
      <c r="E2554" s="1" t="s">
        <v>927</v>
      </c>
      <c r="F2554" s="1" t="s">
        <v>927</v>
      </c>
      <c r="G2554" s="1">
        <v>251.0</v>
      </c>
      <c r="H2554" s="1">
        <v>15.11351196</v>
      </c>
      <c r="I2554" s="1">
        <v>5.14</v>
      </c>
      <c r="J2554" s="1">
        <v>4.912962</v>
      </c>
    </row>
    <row r="2555">
      <c r="A2555" s="1">
        <v>2025.0</v>
      </c>
      <c r="B2555" s="1" t="s">
        <v>318</v>
      </c>
      <c r="C2555" s="1">
        <v>681982.0</v>
      </c>
      <c r="D2555" s="1" t="s">
        <v>533</v>
      </c>
      <c r="E2555" s="1" t="s">
        <v>927</v>
      </c>
      <c r="F2555" s="1" t="s">
        <v>927</v>
      </c>
      <c r="G2555" s="1">
        <v>62.0</v>
      </c>
      <c r="H2555" s="1">
        <v>3.733218093</v>
      </c>
      <c r="I2555" s="1">
        <v>5.13</v>
      </c>
      <c r="J2555" s="1">
        <v>1.184004</v>
      </c>
    </row>
    <row r="2556">
      <c r="A2556" s="1">
        <v>2025.0</v>
      </c>
      <c r="B2556" s="1" t="s">
        <v>318</v>
      </c>
      <c r="C2556" s="1">
        <v>681982.0</v>
      </c>
      <c r="D2556" s="1" t="s">
        <v>539</v>
      </c>
      <c r="E2556" s="1" t="s">
        <v>927</v>
      </c>
      <c r="F2556" s="1" t="s">
        <v>927</v>
      </c>
      <c r="G2556" s="1">
        <v>254.0</v>
      </c>
      <c r="H2556" s="1">
        <v>15.29415154</v>
      </c>
      <c r="I2556" s="1">
        <v>5.04</v>
      </c>
      <c r="J2556" s="1">
        <v>5.199117</v>
      </c>
    </row>
    <row r="2557">
      <c r="A2557" s="1">
        <v>2025.0</v>
      </c>
      <c r="B2557" s="1" t="s">
        <v>681</v>
      </c>
      <c r="C2557" s="1">
        <v>680880.0</v>
      </c>
      <c r="D2557" s="1" t="s">
        <v>537</v>
      </c>
      <c r="E2557" s="1" t="s">
        <v>927</v>
      </c>
      <c r="F2557" s="1" t="s">
        <v>926</v>
      </c>
      <c r="G2557" s="1">
        <v>76.0</v>
      </c>
      <c r="H2557" s="1">
        <v>4.64893617</v>
      </c>
      <c r="I2557" s="1">
        <v>4.35</v>
      </c>
      <c r="J2557" s="1">
        <v>2.678824</v>
      </c>
    </row>
    <row r="2558">
      <c r="A2558" s="1">
        <v>2025.0</v>
      </c>
      <c r="B2558" s="1" t="s">
        <v>681</v>
      </c>
      <c r="C2558" s="1">
        <v>680880.0</v>
      </c>
      <c r="D2558" s="1" t="s">
        <v>538</v>
      </c>
      <c r="E2558" s="1" t="s">
        <v>927</v>
      </c>
      <c r="F2558" s="1" t="s">
        <v>926</v>
      </c>
      <c r="G2558" s="1">
        <v>75.0</v>
      </c>
      <c r="H2558" s="1">
        <v>4.587765957</v>
      </c>
      <c r="I2558" s="1">
        <v>5.05</v>
      </c>
      <c r="J2558" s="1">
        <v>1.5457</v>
      </c>
    </row>
    <row r="2559">
      <c r="A2559" s="1">
        <v>2025.0</v>
      </c>
      <c r="B2559" s="1" t="s">
        <v>681</v>
      </c>
      <c r="C2559" s="1">
        <v>680880.0</v>
      </c>
      <c r="D2559" s="1" t="s">
        <v>536</v>
      </c>
      <c r="E2559" s="1" t="s">
        <v>927</v>
      </c>
      <c r="F2559" s="1" t="s">
        <v>926</v>
      </c>
      <c r="G2559" s="1">
        <v>2.0</v>
      </c>
      <c r="H2559" s="1">
        <v>0.122340426</v>
      </c>
      <c r="I2559" s="1">
        <v>4.07</v>
      </c>
      <c r="J2559" s="1">
        <v>0.077637</v>
      </c>
    </row>
    <row r="2560">
      <c r="A2560" s="1">
        <v>2025.0</v>
      </c>
      <c r="B2560" s="1" t="s">
        <v>681</v>
      </c>
      <c r="C2560" s="1">
        <v>680880.0</v>
      </c>
      <c r="D2560" s="1" t="s">
        <v>533</v>
      </c>
      <c r="E2560" s="1" t="s">
        <v>927</v>
      </c>
      <c r="F2560" s="1" t="s">
        <v>926</v>
      </c>
      <c r="G2560" s="1">
        <v>6.0</v>
      </c>
      <c r="H2560" s="1">
        <v>0.367021277</v>
      </c>
      <c r="I2560" s="1">
        <v>5.52</v>
      </c>
      <c r="J2560" s="1">
        <v>0.080722</v>
      </c>
    </row>
    <row r="2561">
      <c r="A2561" s="1">
        <v>2025.0</v>
      </c>
      <c r="B2561" s="1" t="s">
        <v>681</v>
      </c>
      <c r="C2561" s="1">
        <v>680880.0</v>
      </c>
      <c r="D2561" s="1" t="s">
        <v>537</v>
      </c>
      <c r="E2561" s="1" t="s">
        <v>927</v>
      </c>
      <c r="F2561" s="1" t="s">
        <v>927</v>
      </c>
      <c r="G2561" s="1">
        <v>101.0</v>
      </c>
      <c r="H2561" s="1">
        <v>6.178191489</v>
      </c>
      <c r="I2561" s="1">
        <v>4.74</v>
      </c>
      <c r="J2561" s="1">
        <v>2.759719</v>
      </c>
    </row>
    <row r="2562">
      <c r="A2562" s="1">
        <v>2025.0</v>
      </c>
      <c r="B2562" s="1" t="s">
        <v>681</v>
      </c>
      <c r="C2562" s="1">
        <v>680880.0</v>
      </c>
      <c r="D2562" s="1" t="s">
        <v>538</v>
      </c>
      <c r="E2562" s="1" t="s">
        <v>927</v>
      </c>
      <c r="F2562" s="1" t="s">
        <v>927</v>
      </c>
      <c r="G2562" s="1">
        <v>69.0</v>
      </c>
      <c r="H2562" s="1">
        <v>4.220744681</v>
      </c>
      <c r="I2562" s="1">
        <v>5.28</v>
      </c>
      <c r="J2562" s="1">
        <v>1.116116</v>
      </c>
    </row>
    <row r="2563">
      <c r="A2563" s="1">
        <v>2025.0</v>
      </c>
      <c r="B2563" s="1" t="s">
        <v>681</v>
      </c>
      <c r="C2563" s="1">
        <v>680880.0</v>
      </c>
      <c r="D2563" s="1" t="s">
        <v>536</v>
      </c>
      <c r="E2563" s="1" t="s">
        <v>927</v>
      </c>
      <c r="F2563" s="1" t="s">
        <v>927</v>
      </c>
      <c r="G2563" s="1">
        <v>1.0</v>
      </c>
      <c r="H2563" s="1">
        <v>0.061170213</v>
      </c>
      <c r="I2563" s="1">
        <v>3.11</v>
      </c>
      <c r="J2563" s="1">
        <v>0.060758</v>
      </c>
    </row>
    <row r="2564">
      <c r="A2564" s="1">
        <v>2025.0</v>
      </c>
      <c r="B2564" s="1" t="s">
        <v>681</v>
      </c>
      <c r="C2564" s="1">
        <v>680880.0</v>
      </c>
      <c r="D2564" s="1" t="s">
        <v>533</v>
      </c>
      <c r="E2564" s="1" t="s">
        <v>927</v>
      </c>
      <c r="F2564" s="1" t="s">
        <v>927</v>
      </c>
      <c r="G2564" s="1">
        <v>46.0</v>
      </c>
      <c r="H2564" s="1">
        <v>2.813829787</v>
      </c>
      <c r="I2564" s="1">
        <v>4.48</v>
      </c>
      <c r="J2564" s="1">
        <v>1.470641</v>
      </c>
    </row>
    <row r="2565">
      <c r="A2565" s="1">
        <v>2025.0</v>
      </c>
      <c r="B2565" s="1" t="s">
        <v>366</v>
      </c>
      <c r="C2565" s="1">
        <v>656550.0</v>
      </c>
      <c r="D2565" s="1" t="s">
        <v>532</v>
      </c>
      <c r="E2565" s="1" t="s">
        <v>927</v>
      </c>
      <c r="F2565" s="1" t="s">
        <v>926</v>
      </c>
      <c r="G2565" s="1">
        <v>19.0</v>
      </c>
      <c r="H2565" s="1">
        <v>1.112525458</v>
      </c>
      <c r="I2565" s="1">
        <v>4.55</v>
      </c>
      <c r="J2565" s="1">
        <v>0.569888</v>
      </c>
    </row>
    <row r="2566">
      <c r="A2566" s="1">
        <v>2025.0</v>
      </c>
      <c r="B2566" s="1" t="s">
        <v>366</v>
      </c>
      <c r="C2566" s="1">
        <v>656550.0</v>
      </c>
      <c r="D2566" s="1" t="s">
        <v>541</v>
      </c>
      <c r="E2566" s="1" t="s">
        <v>927</v>
      </c>
      <c r="F2566" s="1" t="s">
        <v>926</v>
      </c>
      <c r="G2566" s="1">
        <v>233.0</v>
      </c>
      <c r="H2566" s="1">
        <v>13.64307536</v>
      </c>
      <c r="I2566" s="1">
        <v>4.68</v>
      </c>
      <c r="J2566" s="1">
        <v>6.43303</v>
      </c>
    </row>
    <row r="2567">
      <c r="A2567" s="1">
        <v>2025.0</v>
      </c>
      <c r="B2567" s="1" t="s">
        <v>366</v>
      </c>
      <c r="C2567" s="1">
        <v>656550.0</v>
      </c>
      <c r="D2567" s="1" t="s">
        <v>540</v>
      </c>
      <c r="E2567" s="1" t="s">
        <v>927</v>
      </c>
      <c r="F2567" s="1" t="s">
        <v>926</v>
      </c>
      <c r="G2567" s="1">
        <v>172.0</v>
      </c>
      <c r="H2567" s="1">
        <v>10.0712831</v>
      </c>
      <c r="I2567" s="1">
        <v>5.08</v>
      </c>
      <c r="J2567" s="1">
        <v>3.639</v>
      </c>
    </row>
    <row r="2568">
      <c r="A2568" s="1">
        <v>2025.0</v>
      </c>
      <c r="B2568" s="1" t="s">
        <v>366</v>
      </c>
      <c r="C2568" s="1">
        <v>656550.0</v>
      </c>
      <c r="D2568" s="1" t="s">
        <v>537</v>
      </c>
      <c r="E2568" s="1" t="s">
        <v>927</v>
      </c>
      <c r="F2568" s="1" t="s">
        <v>926</v>
      </c>
      <c r="G2568" s="1">
        <v>302.0</v>
      </c>
      <c r="H2568" s="1">
        <v>17.68329939</v>
      </c>
      <c r="I2568" s="1">
        <v>4.68</v>
      </c>
      <c r="J2568" s="1">
        <v>8.539625</v>
      </c>
    </row>
    <row r="2569">
      <c r="A2569" s="1">
        <v>2025.0</v>
      </c>
      <c r="B2569" s="1" t="s">
        <v>366</v>
      </c>
      <c r="C2569" s="1">
        <v>656550.0</v>
      </c>
      <c r="D2569" s="1" t="s">
        <v>536</v>
      </c>
      <c r="E2569" s="1" t="s">
        <v>927</v>
      </c>
      <c r="F2569" s="1" t="s">
        <v>926</v>
      </c>
      <c r="G2569" s="1">
        <v>3.0</v>
      </c>
      <c r="H2569" s="1">
        <v>0.175661914</v>
      </c>
      <c r="I2569" s="1">
        <v>5.25</v>
      </c>
      <c r="J2569" s="1">
        <v>0.064139</v>
      </c>
    </row>
    <row r="2570">
      <c r="A2570" s="1">
        <v>2025.0</v>
      </c>
      <c r="B2570" s="1" t="s">
        <v>366</v>
      </c>
      <c r="C2570" s="1">
        <v>656550.0</v>
      </c>
      <c r="D2570" s="1" t="s">
        <v>533</v>
      </c>
      <c r="E2570" s="1" t="s">
        <v>927</v>
      </c>
      <c r="F2570" s="1" t="s">
        <v>926</v>
      </c>
      <c r="G2570" s="1">
        <v>261.0</v>
      </c>
      <c r="H2570" s="1">
        <v>15.28258656</v>
      </c>
      <c r="I2570" s="1">
        <v>5.11</v>
      </c>
      <c r="J2570" s="1">
        <v>5.057251</v>
      </c>
    </row>
    <row r="2571">
      <c r="A2571" s="1">
        <v>2025.0</v>
      </c>
      <c r="B2571" s="1" t="s">
        <v>366</v>
      </c>
      <c r="C2571" s="1">
        <v>656550.0</v>
      </c>
      <c r="D2571" s="1" t="s">
        <v>532</v>
      </c>
      <c r="E2571" s="1" t="s">
        <v>927</v>
      </c>
      <c r="F2571" s="1" t="s">
        <v>927</v>
      </c>
      <c r="G2571" s="1">
        <v>4.0</v>
      </c>
      <c r="H2571" s="1">
        <v>0.234215886</v>
      </c>
      <c r="I2571" s="1">
        <v>5.24</v>
      </c>
      <c r="J2571" s="1">
        <v>0.056766</v>
      </c>
    </row>
    <row r="2572">
      <c r="A2572" s="1">
        <v>2025.0</v>
      </c>
      <c r="B2572" s="1" t="s">
        <v>366</v>
      </c>
      <c r="C2572" s="1">
        <v>656550.0</v>
      </c>
      <c r="D2572" s="1" t="s">
        <v>541</v>
      </c>
      <c r="E2572" s="1" t="s">
        <v>927</v>
      </c>
      <c r="F2572" s="1" t="s">
        <v>927</v>
      </c>
      <c r="G2572" s="1">
        <v>70.0</v>
      </c>
      <c r="H2572" s="1">
        <v>4.098778004</v>
      </c>
      <c r="I2572" s="1">
        <v>4.82</v>
      </c>
      <c r="J2572" s="1">
        <v>1.694957</v>
      </c>
    </row>
    <row r="2573">
      <c r="A2573" s="1">
        <v>2025.0</v>
      </c>
      <c r="B2573" s="1" t="s">
        <v>366</v>
      </c>
      <c r="C2573" s="1">
        <v>656550.0</v>
      </c>
      <c r="D2573" s="1" t="s">
        <v>540</v>
      </c>
      <c r="E2573" s="1" t="s">
        <v>927</v>
      </c>
      <c r="F2573" s="1" t="s">
        <v>927</v>
      </c>
      <c r="G2573" s="1">
        <v>123.0</v>
      </c>
      <c r="H2573" s="1">
        <v>7.202138493</v>
      </c>
      <c r="I2573" s="1">
        <v>5.25</v>
      </c>
      <c r="J2573" s="1">
        <v>2.190018</v>
      </c>
    </row>
    <row r="2574">
      <c r="A2574" s="1">
        <v>2025.0</v>
      </c>
      <c r="B2574" s="1" t="s">
        <v>366</v>
      </c>
      <c r="C2574" s="1">
        <v>656550.0</v>
      </c>
      <c r="D2574" s="1" t="s">
        <v>537</v>
      </c>
      <c r="E2574" s="1" t="s">
        <v>927</v>
      </c>
      <c r="F2574" s="1" t="s">
        <v>927</v>
      </c>
      <c r="G2574" s="1">
        <v>339.0</v>
      </c>
      <c r="H2574" s="1">
        <v>19.84979633</v>
      </c>
      <c r="I2574" s="1">
        <v>4.89</v>
      </c>
      <c r="J2574" s="1">
        <v>8.37077</v>
      </c>
    </row>
    <row r="2575">
      <c r="A2575" s="1">
        <v>2025.0</v>
      </c>
      <c r="B2575" s="1" t="s">
        <v>366</v>
      </c>
      <c r="C2575" s="1">
        <v>656550.0</v>
      </c>
      <c r="D2575" s="1" t="s">
        <v>536</v>
      </c>
      <c r="E2575" s="1" t="s">
        <v>927</v>
      </c>
      <c r="F2575" s="1" t="s">
        <v>927</v>
      </c>
      <c r="G2575" s="1">
        <v>1.0</v>
      </c>
      <c r="H2575" s="1">
        <v>0.058553971</v>
      </c>
      <c r="I2575" s="1">
        <v>4.71</v>
      </c>
      <c r="J2575" s="1">
        <v>0.027415</v>
      </c>
    </row>
    <row r="2576">
      <c r="A2576" s="1">
        <v>2025.0</v>
      </c>
      <c r="B2576" s="1" t="s">
        <v>366</v>
      </c>
      <c r="C2576" s="1">
        <v>656550.0</v>
      </c>
      <c r="D2576" s="1" t="s">
        <v>533</v>
      </c>
      <c r="E2576" s="1" t="s">
        <v>927</v>
      </c>
      <c r="F2576" s="1" t="s">
        <v>927</v>
      </c>
      <c r="G2576" s="1">
        <v>437.0</v>
      </c>
      <c r="H2576" s="1">
        <v>25.58808554</v>
      </c>
      <c r="I2576" s="1">
        <v>5.11</v>
      </c>
      <c r="J2576" s="1">
        <v>8.493316</v>
      </c>
    </row>
    <row r="2577">
      <c r="A2577" s="1">
        <v>2025.0</v>
      </c>
      <c r="B2577" s="1" t="s">
        <v>106</v>
      </c>
      <c r="C2577" s="1">
        <v>691799.0</v>
      </c>
      <c r="D2577" s="1" t="s">
        <v>541</v>
      </c>
      <c r="E2577" s="1" t="s">
        <v>927</v>
      </c>
      <c r="F2577" s="1" t="s">
        <v>926</v>
      </c>
      <c r="G2577" s="1">
        <v>86.0</v>
      </c>
      <c r="H2577" s="1">
        <v>5.255555556</v>
      </c>
      <c r="I2577" s="1">
        <v>5.54</v>
      </c>
      <c r="J2577" s="1">
        <v>0.892847</v>
      </c>
    </row>
    <row r="2578">
      <c r="A2578" s="1">
        <v>2025.0</v>
      </c>
      <c r="B2578" s="1" t="s">
        <v>106</v>
      </c>
      <c r="C2578" s="1">
        <v>691799.0</v>
      </c>
      <c r="D2578" s="1" t="s">
        <v>540</v>
      </c>
      <c r="E2578" s="1" t="s">
        <v>927</v>
      </c>
      <c r="F2578" s="1" t="s">
        <v>926</v>
      </c>
      <c r="G2578" s="1">
        <v>66.0</v>
      </c>
      <c r="H2578" s="1">
        <v>4.033333333</v>
      </c>
      <c r="I2578" s="1">
        <v>5.67</v>
      </c>
      <c r="J2578" s="1">
        <v>0.560868</v>
      </c>
    </row>
    <row r="2579">
      <c r="A2579" s="1">
        <v>2025.0</v>
      </c>
      <c r="B2579" s="1" t="s">
        <v>106</v>
      </c>
      <c r="C2579" s="1">
        <v>691799.0</v>
      </c>
      <c r="D2579" s="1" t="s">
        <v>537</v>
      </c>
      <c r="E2579" s="1" t="s">
        <v>927</v>
      </c>
      <c r="F2579" s="1" t="s">
        <v>926</v>
      </c>
      <c r="G2579" s="1">
        <v>186.0</v>
      </c>
      <c r="H2579" s="1">
        <v>11.36666667</v>
      </c>
      <c r="I2579" s="1">
        <v>4.94</v>
      </c>
      <c r="J2579" s="1">
        <v>4.367065</v>
      </c>
    </row>
    <row r="2580">
      <c r="A2580" s="1">
        <v>2025.0</v>
      </c>
      <c r="B2580" s="1" t="s">
        <v>106</v>
      </c>
      <c r="C2580" s="1">
        <v>691799.0</v>
      </c>
      <c r="D2580" s="1" t="s">
        <v>541</v>
      </c>
      <c r="E2580" s="1" t="s">
        <v>927</v>
      </c>
      <c r="F2580" s="1" t="s">
        <v>927</v>
      </c>
      <c r="G2580" s="1">
        <v>44.0</v>
      </c>
      <c r="H2580" s="1">
        <v>2.688888889</v>
      </c>
      <c r="I2580" s="1">
        <v>5.49</v>
      </c>
      <c r="J2580" s="1">
        <v>0.541698</v>
      </c>
    </row>
    <row r="2581">
      <c r="A2581" s="1">
        <v>2025.0</v>
      </c>
      <c r="B2581" s="1" t="s">
        <v>106</v>
      </c>
      <c r="C2581" s="1">
        <v>691799.0</v>
      </c>
      <c r="D2581" s="1" t="s">
        <v>540</v>
      </c>
      <c r="E2581" s="1" t="s">
        <v>927</v>
      </c>
      <c r="F2581" s="1" t="s">
        <v>927</v>
      </c>
      <c r="G2581" s="1">
        <v>34.0</v>
      </c>
      <c r="H2581" s="1">
        <v>2.077777778</v>
      </c>
      <c r="I2581" s="1">
        <v>4.96</v>
      </c>
      <c r="J2581" s="1">
        <v>0.767748</v>
      </c>
    </row>
    <row r="2582">
      <c r="A2582" s="1">
        <v>2025.0</v>
      </c>
      <c r="B2582" s="1" t="s">
        <v>106</v>
      </c>
      <c r="C2582" s="1">
        <v>691799.0</v>
      </c>
      <c r="D2582" s="1" t="s">
        <v>537</v>
      </c>
      <c r="E2582" s="1" t="s">
        <v>927</v>
      </c>
      <c r="F2582" s="1" t="s">
        <v>927</v>
      </c>
      <c r="G2582" s="1">
        <v>146.0</v>
      </c>
      <c r="H2582" s="1">
        <v>8.922222222</v>
      </c>
      <c r="I2582" s="1">
        <v>5.12</v>
      </c>
      <c r="J2582" s="1">
        <v>2.937744</v>
      </c>
    </row>
    <row r="2583">
      <c r="A2583" s="1">
        <v>2025.0</v>
      </c>
      <c r="B2583" s="1" t="s">
        <v>106</v>
      </c>
      <c r="C2583" s="1">
        <v>691799.0</v>
      </c>
      <c r="D2583" s="1" t="s">
        <v>533</v>
      </c>
      <c r="E2583" s="1" t="s">
        <v>927</v>
      </c>
      <c r="F2583" s="1" t="s">
        <v>927</v>
      </c>
      <c r="G2583" s="1">
        <v>38.0</v>
      </c>
      <c r="H2583" s="1">
        <v>2.322222222</v>
      </c>
      <c r="I2583" s="1">
        <v>5.16</v>
      </c>
      <c r="J2583" s="1">
        <v>0.673075</v>
      </c>
    </row>
    <row r="2584">
      <c r="A2584" s="1">
        <v>2025.0</v>
      </c>
      <c r="B2584" s="1" t="s">
        <v>441</v>
      </c>
      <c r="C2584" s="1">
        <v>664991.0</v>
      </c>
      <c r="D2584" s="1" t="s">
        <v>541</v>
      </c>
      <c r="E2584" s="1" t="s">
        <v>926</v>
      </c>
      <c r="F2584" s="1" t="s">
        <v>926</v>
      </c>
      <c r="G2584" s="1">
        <v>11.0</v>
      </c>
      <c r="H2584" s="1">
        <v>0.564102564</v>
      </c>
      <c r="I2584" s="1">
        <v>5.13</v>
      </c>
      <c r="J2584" s="1">
        <v>0.193643</v>
      </c>
    </row>
    <row r="2585">
      <c r="A2585" s="1">
        <v>2025.0</v>
      </c>
      <c r="B2585" s="1" t="s">
        <v>441</v>
      </c>
      <c r="C2585" s="1">
        <v>664991.0</v>
      </c>
      <c r="D2585" s="1" t="s">
        <v>537</v>
      </c>
      <c r="E2585" s="1" t="s">
        <v>926</v>
      </c>
      <c r="F2585" s="1" t="s">
        <v>926</v>
      </c>
      <c r="G2585" s="1">
        <v>13.0</v>
      </c>
      <c r="H2585" s="1">
        <v>0.666666667</v>
      </c>
      <c r="I2585" s="1">
        <v>4.28</v>
      </c>
      <c r="J2585" s="1">
        <v>0.439226</v>
      </c>
    </row>
    <row r="2586">
      <c r="A2586" s="1">
        <v>2025.0</v>
      </c>
      <c r="B2586" s="1" t="s">
        <v>441</v>
      </c>
      <c r="C2586" s="1">
        <v>664991.0</v>
      </c>
      <c r="D2586" s="1" t="s">
        <v>536</v>
      </c>
      <c r="E2586" s="1" t="s">
        <v>926</v>
      </c>
      <c r="F2586" s="1" t="s">
        <v>926</v>
      </c>
      <c r="G2586" s="1">
        <v>102.0</v>
      </c>
      <c r="H2586" s="1">
        <v>5.230769231</v>
      </c>
      <c r="I2586" s="1">
        <v>4.92</v>
      </c>
      <c r="J2586" s="1">
        <v>2.401</v>
      </c>
    </row>
    <row r="2587">
      <c r="A2587" s="1">
        <v>2025.0</v>
      </c>
      <c r="B2587" s="1" t="s">
        <v>441</v>
      </c>
      <c r="C2587" s="1">
        <v>664991.0</v>
      </c>
      <c r="D2587" s="1" t="s">
        <v>533</v>
      </c>
      <c r="E2587" s="1" t="s">
        <v>926</v>
      </c>
      <c r="F2587" s="1" t="s">
        <v>926</v>
      </c>
      <c r="G2587" s="1">
        <v>92.0</v>
      </c>
      <c r="H2587" s="1">
        <v>4.717948718</v>
      </c>
      <c r="I2587" s="1">
        <v>5.12</v>
      </c>
      <c r="J2587" s="1">
        <v>1.784708</v>
      </c>
    </row>
    <row r="2588">
      <c r="A2588" s="1">
        <v>2025.0</v>
      </c>
      <c r="B2588" s="1" t="s">
        <v>441</v>
      </c>
      <c r="C2588" s="1">
        <v>664991.0</v>
      </c>
      <c r="D2588" s="1" t="s">
        <v>539</v>
      </c>
      <c r="E2588" s="1" t="s">
        <v>926</v>
      </c>
      <c r="F2588" s="1" t="s">
        <v>926</v>
      </c>
      <c r="G2588" s="1">
        <v>12.0</v>
      </c>
      <c r="H2588" s="1">
        <v>0.615384615</v>
      </c>
      <c r="I2588" s="1">
        <v>3.73</v>
      </c>
      <c r="J2588" s="1">
        <v>0.520744</v>
      </c>
    </row>
    <row r="2589">
      <c r="A2589" s="1">
        <v>2025.0</v>
      </c>
      <c r="B2589" s="1" t="s">
        <v>441</v>
      </c>
      <c r="C2589" s="1">
        <v>664991.0</v>
      </c>
      <c r="D2589" s="1" t="s">
        <v>541</v>
      </c>
      <c r="E2589" s="1" t="s">
        <v>926</v>
      </c>
      <c r="F2589" s="1" t="s">
        <v>927</v>
      </c>
      <c r="G2589" s="1">
        <v>65.0</v>
      </c>
      <c r="H2589" s="1">
        <v>3.333333333</v>
      </c>
      <c r="I2589" s="1">
        <v>5.1</v>
      </c>
      <c r="J2589" s="1">
        <v>1.261427</v>
      </c>
    </row>
    <row r="2590">
      <c r="A2590" s="1">
        <v>2025.0</v>
      </c>
      <c r="B2590" s="1" t="s">
        <v>441</v>
      </c>
      <c r="C2590" s="1">
        <v>664991.0</v>
      </c>
      <c r="D2590" s="1" t="s">
        <v>537</v>
      </c>
      <c r="E2590" s="1" t="s">
        <v>926</v>
      </c>
      <c r="F2590" s="1" t="s">
        <v>927</v>
      </c>
      <c r="G2590" s="1">
        <v>66.0</v>
      </c>
      <c r="H2590" s="1">
        <v>3.384615385</v>
      </c>
      <c r="I2590" s="1">
        <v>5.04</v>
      </c>
      <c r="J2590" s="1">
        <v>1.410296</v>
      </c>
    </row>
    <row r="2591">
      <c r="A2591" s="1">
        <v>2025.0</v>
      </c>
      <c r="B2591" s="1" t="s">
        <v>441</v>
      </c>
      <c r="C2591" s="1">
        <v>664991.0</v>
      </c>
      <c r="D2591" s="1" t="s">
        <v>538</v>
      </c>
      <c r="E2591" s="1" t="s">
        <v>926</v>
      </c>
      <c r="F2591" s="1" t="s">
        <v>927</v>
      </c>
      <c r="G2591" s="1">
        <v>1.0</v>
      </c>
      <c r="H2591" s="1">
        <v>0.051282051</v>
      </c>
      <c r="I2591" s="1">
        <v>3.28</v>
      </c>
      <c r="J2591" s="1">
        <v>0.054696</v>
      </c>
    </row>
    <row r="2592">
      <c r="A2592" s="1">
        <v>2025.0</v>
      </c>
      <c r="B2592" s="1" t="s">
        <v>441</v>
      </c>
      <c r="C2592" s="1">
        <v>664991.0</v>
      </c>
      <c r="D2592" s="1" t="s">
        <v>536</v>
      </c>
      <c r="E2592" s="1" t="s">
        <v>926</v>
      </c>
      <c r="F2592" s="1" t="s">
        <v>927</v>
      </c>
      <c r="G2592" s="1">
        <v>109.0</v>
      </c>
      <c r="H2592" s="1">
        <v>5.58974359</v>
      </c>
      <c r="I2592" s="1">
        <v>4.8</v>
      </c>
      <c r="J2592" s="1">
        <v>2.861464</v>
      </c>
    </row>
    <row r="2593">
      <c r="A2593" s="1">
        <v>2025.0</v>
      </c>
      <c r="B2593" s="1" t="s">
        <v>441</v>
      </c>
      <c r="C2593" s="1">
        <v>664991.0</v>
      </c>
      <c r="D2593" s="1" t="s">
        <v>533</v>
      </c>
      <c r="E2593" s="1" t="s">
        <v>926</v>
      </c>
      <c r="F2593" s="1" t="s">
        <v>927</v>
      </c>
      <c r="G2593" s="1">
        <v>40.0</v>
      </c>
      <c r="H2593" s="1">
        <v>2.051282051</v>
      </c>
      <c r="I2593" s="1">
        <v>4.71</v>
      </c>
      <c r="J2593" s="1">
        <v>1.127737</v>
      </c>
    </row>
    <row r="2594">
      <c r="A2594" s="1">
        <v>2025.0</v>
      </c>
      <c r="B2594" s="1" t="s">
        <v>441</v>
      </c>
      <c r="C2594" s="1">
        <v>664991.0</v>
      </c>
      <c r="D2594" s="1" t="s">
        <v>539</v>
      </c>
      <c r="E2594" s="1" t="s">
        <v>926</v>
      </c>
      <c r="F2594" s="1" t="s">
        <v>927</v>
      </c>
      <c r="G2594" s="1">
        <v>9.0</v>
      </c>
      <c r="H2594" s="1">
        <v>0.461538462</v>
      </c>
      <c r="I2594" s="1">
        <v>4.74</v>
      </c>
      <c r="J2594" s="1">
        <v>0.247956</v>
      </c>
    </row>
    <row r="2595">
      <c r="A2595" s="1">
        <v>2025.0</v>
      </c>
      <c r="B2595" s="1" t="s">
        <v>406</v>
      </c>
      <c r="C2595" s="1">
        <v>669711.0</v>
      </c>
      <c r="D2595" s="1" t="s">
        <v>532</v>
      </c>
      <c r="E2595" s="1" t="s">
        <v>927</v>
      </c>
      <c r="F2595" s="1" t="s">
        <v>926</v>
      </c>
      <c r="G2595" s="1">
        <v>88.0</v>
      </c>
      <c r="H2595" s="1">
        <v>5.515434986</v>
      </c>
      <c r="I2595" s="1">
        <v>4.59</v>
      </c>
      <c r="J2595" s="1">
        <v>2.652567</v>
      </c>
    </row>
    <row r="2596">
      <c r="A2596" s="1">
        <v>2025.0</v>
      </c>
      <c r="B2596" s="1" t="s">
        <v>406</v>
      </c>
      <c r="C2596" s="1">
        <v>669711.0</v>
      </c>
      <c r="D2596" s="1" t="s">
        <v>541</v>
      </c>
      <c r="E2596" s="1" t="s">
        <v>927</v>
      </c>
      <c r="F2596" s="1" t="s">
        <v>926</v>
      </c>
      <c r="G2596" s="1">
        <v>24.0</v>
      </c>
      <c r="H2596" s="1">
        <v>1.504209542</v>
      </c>
      <c r="I2596" s="1">
        <v>4.18</v>
      </c>
      <c r="J2596" s="1">
        <v>0.917388</v>
      </c>
    </row>
    <row r="2597">
      <c r="A2597" s="1">
        <v>2025.0</v>
      </c>
      <c r="B2597" s="1" t="s">
        <v>406</v>
      </c>
      <c r="C2597" s="1">
        <v>669711.0</v>
      </c>
      <c r="D2597" s="1" t="s">
        <v>537</v>
      </c>
      <c r="E2597" s="1" t="s">
        <v>927</v>
      </c>
      <c r="F2597" s="1" t="s">
        <v>926</v>
      </c>
      <c r="G2597" s="1">
        <v>171.0</v>
      </c>
      <c r="H2597" s="1">
        <v>10.71749298</v>
      </c>
      <c r="I2597" s="1">
        <v>4.74</v>
      </c>
      <c r="J2597" s="1">
        <v>4.7292</v>
      </c>
    </row>
    <row r="2598">
      <c r="A2598" s="1">
        <v>2025.0</v>
      </c>
      <c r="B2598" s="1" t="s">
        <v>406</v>
      </c>
      <c r="C2598" s="1">
        <v>669711.0</v>
      </c>
      <c r="D2598" s="1" t="s">
        <v>536</v>
      </c>
      <c r="E2598" s="1" t="s">
        <v>927</v>
      </c>
      <c r="F2598" s="1" t="s">
        <v>926</v>
      </c>
      <c r="G2598" s="1">
        <v>64.0</v>
      </c>
      <c r="H2598" s="1">
        <v>4.011225444</v>
      </c>
      <c r="I2598" s="1">
        <v>4.98</v>
      </c>
      <c r="J2598" s="1">
        <v>1.437705</v>
      </c>
    </row>
    <row r="2599">
      <c r="A2599" s="1">
        <v>2025.0</v>
      </c>
      <c r="B2599" s="1" t="s">
        <v>406</v>
      </c>
      <c r="C2599" s="1">
        <v>669711.0</v>
      </c>
      <c r="D2599" s="1" t="s">
        <v>533</v>
      </c>
      <c r="E2599" s="1" t="s">
        <v>927</v>
      </c>
      <c r="F2599" s="1" t="s">
        <v>926</v>
      </c>
      <c r="G2599" s="1">
        <v>73.0</v>
      </c>
      <c r="H2599" s="1">
        <v>4.575304022</v>
      </c>
      <c r="I2599" s="1">
        <v>5.23</v>
      </c>
      <c r="J2599" s="1">
        <v>1.270649</v>
      </c>
    </row>
    <row r="2600">
      <c r="A2600" s="1">
        <v>2025.0</v>
      </c>
      <c r="B2600" s="1" t="s">
        <v>406</v>
      </c>
      <c r="C2600" s="1">
        <v>669711.0</v>
      </c>
      <c r="D2600" s="1" t="s">
        <v>539</v>
      </c>
      <c r="E2600" s="1" t="s">
        <v>927</v>
      </c>
      <c r="F2600" s="1" t="s">
        <v>926</v>
      </c>
      <c r="G2600" s="1">
        <v>31.0</v>
      </c>
      <c r="H2600" s="1">
        <v>1.942937325</v>
      </c>
      <c r="I2600" s="1">
        <v>3.84</v>
      </c>
      <c r="J2600" s="1">
        <v>1.424091</v>
      </c>
    </row>
    <row r="2601">
      <c r="A2601" s="1">
        <v>2025.0</v>
      </c>
      <c r="B2601" s="1" t="s">
        <v>406</v>
      </c>
      <c r="C2601" s="1">
        <v>669711.0</v>
      </c>
      <c r="D2601" s="1" t="s">
        <v>532</v>
      </c>
      <c r="E2601" s="1" t="s">
        <v>927</v>
      </c>
      <c r="F2601" s="1" t="s">
        <v>927</v>
      </c>
      <c r="G2601" s="1">
        <v>15.0</v>
      </c>
      <c r="H2601" s="1">
        <v>0.940130964</v>
      </c>
      <c r="I2601" s="1">
        <v>4.28</v>
      </c>
      <c r="J2601" s="1">
        <v>0.53984</v>
      </c>
    </row>
    <row r="2602">
      <c r="A2602" s="1">
        <v>2025.0</v>
      </c>
      <c r="B2602" s="1" t="s">
        <v>406</v>
      </c>
      <c r="C2602" s="1">
        <v>669711.0</v>
      </c>
      <c r="D2602" s="1" t="s">
        <v>541</v>
      </c>
      <c r="E2602" s="1" t="s">
        <v>927</v>
      </c>
      <c r="F2602" s="1" t="s">
        <v>927</v>
      </c>
      <c r="G2602" s="1">
        <v>19.0</v>
      </c>
      <c r="H2602" s="1">
        <v>1.190832554</v>
      </c>
      <c r="I2602" s="1">
        <v>4.95</v>
      </c>
      <c r="J2602" s="1">
        <v>0.428645</v>
      </c>
    </row>
    <row r="2603">
      <c r="A2603" s="1">
        <v>2025.0</v>
      </c>
      <c r="B2603" s="1" t="s">
        <v>406</v>
      </c>
      <c r="C2603" s="1">
        <v>669711.0</v>
      </c>
      <c r="D2603" s="1" t="s">
        <v>537</v>
      </c>
      <c r="E2603" s="1" t="s">
        <v>927</v>
      </c>
      <c r="F2603" s="1" t="s">
        <v>927</v>
      </c>
      <c r="G2603" s="1">
        <v>185.0</v>
      </c>
      <c r="H2603" s="1">
        <v>11.59494855</v>
      </c>
      <c r="I2603" s="1">
        <v>4.84</v>
      </c>
      <c r="J2603" s="1">
        <v>4.752436</v>
      </c>
    </row>
    <row r="2604">
      <c r="A2604" s="1">
        <v>2025.0</v>
      </c>
      <c r="B2604" s="1" t="s">
        <v>406</v>
      </c>
      <c r="C2604" s="1">
        <v>669711.0</v>
      </c>
      <c r="D2604" s="1" t="s">
        <v>536</v>
      </c>
      <c r="E2604" s="1" t="s">
        <v>927</v>
      </c>
      <c r="F2604" s="1" t="s">
        <v>927</v>
      </c>
      <c r="G2604" s="1">
        <v>235.0</v>
      </c>
      <c r="H2604" s="1">
        <v>14.72871843</v>
      </c>
      <c r="I2604" s="1">
        <v>5.11</v>
      </c>
      <c r="J2604" s="1">
        <v>4.8756</v>
      </c>
    </row>
    <row r="2605">
      <c r="A2605" s="1">
        <v>2025.0</v>
      </c>
      <c r="B2605" s="1" t="s">
        <v>406</v>
      </c>
      <c r="C2605" s="1">
        <v>669711.0</v>
      </c>
      <c r="D2605" s="1" t="s">
        <v>533</v>
      </c>
      <c r="E2605" s="1" t="s">
        <v>927</v>
      </c>
      <c r="F2605" s="1" t="s">
        <v>927</v>
      </c>
      <c r="G2605" s="1">
        <v>99.0</v>
      </c>
      <c r="H2605" s="1">
        <v>6.204864359</v>
      </c>
      <c r="I2605" s="1">
        <v>5.36</v>
      </c>
      <c r="J2605" s="1">
        <v>1.511067</v>
      </c>
    </row>
    <row r="2606">
      <c r="A2606" s="1">
        <v>2025.0</v>
      </c>
      <c r="B2606" s="1" t="s">
        <v>406</v>
      </c>
      <c r="C2606" s="1">
        <v>669711.0</v>
      </c>
      <c r="D2606" s="1" t="s">
        <v>539</v>
      </c>
      <c r="E2606" s="1" t="s">
        <v>927</v>
      </c>
      <c r="F2606" s="1" t="s">
        <v>927</v>
      </c>
      <c r="G2606" s="1">
        <v>65.0</v>
      </c>
      <c r="H2606" s="1">
        <v>4.073900842</v>
      </c>
      <c r="I2606" s="1">
        <v>5.42</v>
      </c>
      <c r="J2606" s="1">
        <v>0.837658</v>
      </c>
    </row>
    <row r="2607">
      <c r="A2607" s="1">
        <v>2025.0</v>
      </c>
      <c r="B2607" s="1" t="s">
        <v>684</v>
      </c>
      <c r="C2607" s="1">
        <v>666619.0</v>
      </c>
      <c r="D2607" s="1" t="s">
        <v>537</v>
      </c>
      <c r="E2607" s="1" t="s">
        <v>927</v>
      </c>
      <c r="F2607" s="1" t="s">
        <v>926</v>
      </c>
      <c r="G2607" s="1">
        <v>2.0</v>
      </c>
      <c r="H2607" s="1">
        <v>0.106870229</v>
      </c>
      <c r="I2607" s="1">
        <v>5.47</v>
      </c>
      <c r="J2607" s="1">
        <v>0.027382</v>
      </c>
    </row>
    <row r="2608">
      <c r="A2608" s="1">
        <v>2025.0</v>
      </c>
      <c r="B2608" s="1" t="s">
        <v>684</v>
      </c>
      <c r="C2608" s="1">
        <v>666619.0</v>
      </c>
      <c r="D2608" s="1" t="s">
        <v>536</v>
      </c>
      <c r="E2608" s="1" t="s">
        <v>927</v>
      </c>
      <c r="F2608" s="1" t="s">
        <v>926</v>
      </c>
      <c r="G2608" s="1">
        <v>17.0</v>
      </c>
      <c r="H2608" s="1">
        <v>0.908396947</v>
      </c>
      <c r="I2608" s="1">
        <v>5.09</v>
      </c>
      <c r="J2608" s="1">
        <v>0.359088</v>
      </c>
    </row>
    <row r="2609">
      <c r="A2609" s="1">
        <v>2025.0</v>
      </c>
      <c r="B2609" s="1" t="s">
        <v>684</v>
      </c>
      <c r="C2609" s="1">
        <v>666619.0</v>
      </c>
      <c r="D2609" s="1" t="s">
        <v>533</v>
      </c>
      <c r="E2609" s="1" t="s">
        <v>927</v>
      </c>
      <c r="F2609" s="1" t="s">
        <v>926</v>
      </c>
      <c r="G2609" s="1">
        <v>25.0</v>
      </c>
      <c r="H2609" s="1">
        <v>1.335877863</v>
      </c>
      <c r="I2609" s="1">
        <v>4.39</v>
      </c>
      <c r="J2609" s="1">
        <v>0.878175</v>
      </c>
    </row>
    <row r="2610">
      <c r="A2610" s="1">
        <v>2025.0</v>
      </c>
      <c r="B2610" s="1" t="s">
        <v>684</v>
      </c>
      <c r="C2610" s="1">
        <v>666619.0</v>
      </c>
      <c r="D2610" s="1" t="s">
        <v>532</v>
      </c>
      <c r="E2610" s="1" t="s">
        <v>927</v>
      </c>
      <c r="F2610" s="1" t="s">
        <v>927</v>
      </c>
      <c r="G2610" s="1">
        <v>2.0</v>
      </c>
      <c r="H2610" s="1">
        <v>0.106870229</v>
      </c>
      <c r="I2610" s="1">
        <v>4.46</v>
      </c>
      <c r="J2610" s="1">
        <v>0.074226</v>
      </c>
    </row>
    <row r="2611">
      <c r="A2611" s="1">
        <v>2025.0</v>
      </c>
      <c r="B2611" s="1" t="s">
        <v>684</v>
      </c>
      <c r="C2611" s="1">
        <v>666619.0</v>
      </c>
      <c r="D2611" s="1" t="s">
        <v>536</v>
      </c>
      <c r="E2611" s="1" t="s">
        <v>927</v>
      </c>
      <c r="F2611" s="1" t="s">
        <v>927</v>
      </c>
      <c r="G2611" s="1">
        <v>30.0</v>
      </c>
      <c r="H2611" s="1">
        <v>1.603053435</v>
      </c>
      <c r="I2611" s="1">
        <v>3.89</v>
      </c>
      <c r="J2611" s="1">
        <v>1.335669</v>
      </c>
    </row>
    <row r="2612">
      <c r="A2612" s="1">
        <v>2025.0</v>
      </c>
      <c r="B2612" s="1" t="s">
        <v>684</v>
      </c>
      <c r="C2612" s="1">
        <v>666619.0</v>
      </c>
      <c r="D2612" s="1" t="s">
        <v>533</v>
      </c>
      <c r="E2612" s="1" t="s">
        <v>927</v>
      </c>
      <c r="F2612" s="1" t="s">
        <v>927</v>
      </c>
      <c r="G2612" s="1">
        <v>55.0</v>
      </c>
      <c r="H2612" s="1">
        <v>2.938931298</v>
      </c>
      <c r="I2612" s="1">
        <v>4.99</v>
      </c>
      <c r="J2612" s="1">
        <v>1.172048</v>
      </c>
    </row>
    <row r="2613">
      <c r="A2613" s="1">
        <v>2025.0</v>
      </c>
      <c r="B2613" s="1" t="s">
        <v>433</v>
      </c>
      <c r="C2613" s="1">
        <v>642397.0</v>
      </c>
      <c r="D2613" s="1" t="s">
        <v>537</v>
      </c>
      <c r="E2613" s="1" t="s">
        <v>926</v>
      </c>
      <c r="F2613" s="1" t="s">
        <v>926</v>
      </c>
      <c r="G2613" s="1">
        <v>19.0</v>
      </c>
      <c r="H2613" s="1">
        <v>1.114026563</v>
      </c>
      <c r="I2613" s="1">
        <v>4.48</v>
      </c>
      <c r="J2613" s="1">
        <v>0.622974</v>
      </c>
    </row>
    <row r="2614">
      <c r="A2614" s="1">
        <v>2025.0</v>
      </c>
      <c r="B2614" s="1" t="s">
        <v>433</v>
      </c>
      <c r="C2614" s="1">
        <v>642397.0</v>
      </c>
      <c r="D2614" s="1" t="s">
        <v>536</v>
      </c>
      <c r="E2614" s="1" t="s">
        <v>926</v>
      </c>
      <c r="F2614" s="1" t="s">
        <v>926</v>
      </c>
      <c r="G2614" s="1">
        <v>258.0</v>
      </c>
      <c r="H2614" s="1">
        <v>15.12730807</v>
      </c>
      <c r="I2614" s="1">
        <v>5.3</v>
      </c>
      <c r="J2614" s="1">
        <v>4.097008</v>
      </c>
    </row>
    <row r="2615">
      <c r="A2615" s="1">
        <v>2025.0</v>
      </c>
      <c r="B2615" s="1" t="s">
        <v>433</v>
      </c>
      <c r="C2615" s="1">
        <v>642397.0</v>
      </c>
      <c r="D2615" s="1" t="s">
        <v>533</v>
      </c>
      <c r="E2615" s="1" t="s">
        <v>926</v>
      </c>
      <c r="F2615" s="1" t="s">
        <v>926</v>
      </c>
      <c r="G2615" s="1">
        <v>140.0</v>
      </c>
      <c r="H2615" s="1">
        <v>8.20861678</v>
      </c>
      <c r="I2615" s="1">
        <v>4.87</v>
      </c>
      <c r="J2615" s="1">
        <v>3.344206</v>
      </c>
    </row>
    <row r="2616">
      <c r="A2616" s="1">
        <v>2025.0</v>
      </c>
      <c r="B2616" s="1" t="s">
        <v>433</v>
      </c>
      <c r="C2616" s="1">
        <v>642397.0</v>
      </c>
      <c r="D2616" s="1" t="s">
        <v>539</v>
      </c>
      <c r="E2616" s="1" t="s">
        <v>926</v>
      </c>
      <c r="F2616" s="1" t="s">
        <v>926</v>
      </c>
      <c r="G2616" s="1">
        <v>20.0</v>
      </c>
      <c r="H2616" s="1">
        <v>1.17265954</v>
      </c>
      <c r="I2616" s="1">
        <v>4.79</v>
      </c>
      <c r="J2616" s="1">
        <v>0.484045</v>
      </c>
    </row>
    <row r="2617">
      <c r="A2617" s="1">
        <v>2025.0</v>
      </c>
      <c r="B2617" s="1" t="s">
        <v>433</v>
      </c>
      <c r="C2617" s="1">
        <v>642397.0</v>
      </c>
      <c r="D2617" s="1" t="s">
        <v>537</v>
      </c>
      <c r="E2617" s="1" t="s">
        <v>926</v>
      </c>
      <c r="F2617" s="1" t="s">
        <v>927</v>
      </c>
      <c r="G2617" s="1">
        <v>53.0</v>
      </c>
      <c r="H2617" s="1">
        <v>3.107547781</v>
      </c>
      <c r="I2617" s="1">
        <v>4.87</v>
      </c>
      <c r="J2617" s="1">
        <v>1.288969</v>
      </c>
    </row>
    <row r="2618">
      <c r="A2618" s="1">
        <v>2025.0</v>
      </c>
      <c r="B2618" s="1" t="s">
        <v>433</v>
      </c>
      <c r="C2618" s="1">
        <v>642397.0</v>
      </c>
      <c r="D2618" s="1" t="s">
        <v>538</v>
      </c>
      <c r="E2618" s="1" t="s">
        <v>926</v>
      </c>
      <c r="F2618" s="1" t="s">
        <v>927</v>
      </c>
      <c r="G2618" s="1">
        <v>4.0</v>
      </c>
      <c r="H2618" s="1">
        <v>0.234531908</v>
      </c>
      <c r="I2618" s="1">
        <v>4.16</v>
      </c>
      <c r="J2618" s="1">
        <v>0.157215</v>
      </c>
    </row>
    <row r="2619">
      <c r="A2619" s="1">
        <v>2025.0</v>
      </c>
      <c r="B2619" s="1" t="s">
        <v>433</v>
      </c>
      <c r="C2619" s="1">
        <v>642397.0</v>
      </c>
      <c r="D2619" s="1" t="s">
        <v>536</v>
      </c>
      <c r="E2619" s="1" t="s">
        <v>926</v>
      </c>
      <c r="F2619" s="1" t="s">
        <v>927</v>
      </c>
      <c r="G2619" s="1">
        <v>282.0</v>
      </c>
      <c r="H2619" s="1">
        <v>16.53449951</v>
      </c>
      <c r="I2619" s="1">
        <v>4.7</v>
      </c>
      <c r="J2619" s="1">
        <v>8.063286</v>
      </c>
    </row>
    <row r="2620">
      <c r="A2620" s="1">
        <v>2025.0</v>
      </c>
      <c r="B2620" s="1" t="s">
        <v>433</v>
      </c>
      <c r="C2620" s="1">
        <v>642397.0</v>
      </c>
      <c r="D2620" s="1" t="s">
        <v>533</v>
      </c>
      <c r="E2620" s="1" t="s">
        <v>926</v>
      </c>
      <c r="F2620" s="1" t="s">
        <v>927</v>
      </c>
      <c r="G2620" s="1">
        <v>223.0</v>
      </c>
      <c r="H2620" s="1">
        <v>13.07515387</v>
      </c>
      <c r="I2620" s="1">
        <v>4.76</v>
      </c>
      <c r="J2620" s="1">
        <v>5.862849</v>
      </c>
    </row>
    <row r="2621">
      <c r="A2621" s="1">
        <v>2025.0</v>
      </c>
      <c r="B2621" s="1" t="s">
        <v>433</v>
      </c>
      <c r="C2621" s="1">
        <v>642397.0</v>
      </c>
      <c r="D2621" s="1" t="s">
        <v>539</v>
      </c>
      <c r="E2621" s="1" t="s">
        <v>926</v>
      </c>
      <c r="F2621" s="1" t="s">
        <v>927</v>
      </c>
      <c r="G2621" s="1">
        <v>30.0</v>
      </c>
      <c r="H2621" s="1">
        <v>1.75898931</v>
      </c>
      <c r="I2621" s="1">
        <v>4.43</v>
      </c>
      <c r="J2621" s="1">
        <v>0.997458</v>
      </c>
    </row>
    <row r="2622">
      <c r="A2622" s="1">
        <v>2025.0</v>
      </c>
      <c r="B2622" s="1" t="s">
        <v>382</v>
      </c>
      <c r="C2622" s="1">
        <v>656288.0</v>
      </c>
      <c r="D2622" s="1" t="s">
        <v>532</v>
      </c>
      <c r="E2622" s="1" t="s">
        <v>927</v>
      </c>
      <c r="F2622" s="1" t="s">
        <v>926</v>
      </c>
      <c r="G2622" s="1">
        <v>197.0</v>
      </c>
      <c r="H2622" s="1">
        <v>11.2054148</v>
      </c>
      <c r="I2622" s="1">
        <v>5.26</v>
      </c>
      <c r="J2622" s="1">
        <v>3.295803</v>
      </c>
    </row>
    <row r="2623">
      <c r="A2623" s="1">
        <v>2025.0</v>
      </c>
      <c r="B2623" s="1" t="s">
        <v>382</v>
      </c>
      <c r="C2623" s="1">
        <v>656288.0</v>
      </c>
      <c r="D2623" s="1" t="s">
        <v>541</v>
      </c>
      <c r="E2623" s="1" t="s">
        <v>927</v>
      </c>
      <c r="F2623" s="1" t="s">
        <v>926</v>
      </c>
      <c r="G2623" s="1">
        <v>49.0</v>
      </c>
      <c r="H2623" s="1">
        <v>2.787133631</v>
      </c>
      <c r="I2623" s="1">
        <v>5.32</v>
      </c>
      <c r="J2623" s="1">
        <v>0.759365</v>
      </c>
    </row>
    <row r="2624">
      <c r="A2624" s="1">
        <v>2025.0</v>
      </c>
      <c r="B2624" s="1" t="s">
        <v>382</v>
      </c>
      <c r="C2624" s="1">
        <v>656288.0</v>
      </c>
      <c r="D2624" s="1" t="s">
        <v>540</v>
      </c>
      <c r="E2624" s="1" t="s">
        <v>927</v>
      </c>
      <c r="F2624" s="1" t="s">
        <v>926</v>
      </c>
      <c r="G2624" s="1">
        <v>46.0</v>
      </c>
      <c r="H2624" s="1">
        <v>2.616492797</v>
      </c>
      <c r="I2624" s="1">
        <v>4.69</v>
      </c>
      <c r="J2624" s="1">
        <v>1.343795</v>
      </c>
    </row>
    <row r="2625">
      <c r="A2625" s="1">
        <v>2025.0</v>
      </c>
      <c r="B2625" s="1" t="s">
        <v>382</v>
      </c>
      <c r="C2625" s="1">
        <v>656288.0</v>
      </c>
      <c r="D2625" s="1" t="s">
        <v>537</v>
      </c>
      <c r="E2625" s="1" t="s">
        <v>927</v>
      </c>
      <c r="F2625" s="1" t="s">
        <v>926</v>
      </c>
      <c r="G2625" s="1">
        <v>235.0</v>
      </c>
      <c r="H2625" s="1">
        <v>13.36686538</v>
      </c>
      <c r="I2625" s="1">
        <v>4.36</v>
      </c>
      <c r="J2625" s="1">
        <v>8.326491</v>
      </c>
    </row>
    <row r="2626">
      <c r="A2626" s="1">
        <v>2025.0</v>
      </c>
      <c r="B2626" s="1" t="s">
        <v>382</v>
      </c>
      <c r="C2626" s="1">
        <v>656288.0</v>
      </c>
      <c r="D2626" s="1" t="s">
        <v>536</v>
      </c>
      <c r="E2626" s="1" t="s">
        <v>927</v>
      </c>
      <c r="F2626" s="1" t="s">
        <v>926</v>
      </c>
      <c r="G2626" s="1">
        <v>3.0</v>
      </c>
      <c r="H2626" s="1">
        <v>0.170640835</v>
      </c>
      <c r="I2626" s="1">
        <v>5.17</v>
      </c>
      <c r="J2626" s="1">
        <v>0.071367</v>
      </c>
    </row>
    <row r="2627">
      <c r="A2627" s="1">
        <v>2025.0</v>
      </c>
      <c r="B2627" s="1" t="s">
        <v>382</v>
      </c>
      <c r="C2627" s="1">
        <v>656288.0</v>
      </c>
      <c r="D2627" s="1" t="s">
        <v>533</v>
      </c>
      <c r="E2627" s="1" t="s">
        <v>927</v>
      </c>
      <c r="F2627" s="1" t="s">
        <v>926</v>
      </c>
      <c r="G2627" s="1">
        <v>184.0</v>
      </c>
      <c r="H2627" s="1">
        <v>10.46597119</v>
      </c>
      <c r="I2627" s="1">
        <v>4.89</v>
      </c>
      <c r="J2627" s="1">
        <v>4.42902</v>
      </c>
    </row>
    <row r="2628">
      <c r="A2628" s="1">
        <v>2025.0</v>
      </c>
      <c r="B2628" s="1" t="s">
        <v>382</v>
      </c>
      <c r="C2628" s="1">
        <v>656288.0</v>
      </c>
      <c r="D2628" s="1" t="s">
        <v>532</v>
      </c>
      <c r="E2628" s="1" t="s">
        <v>927</v>
      </c>
      <c r="F2628" s="1" t="s">
        <v>927</v>
      </c>
      <c r="G2628" s="1">
        <v>114.0</v>
      </c>
      <c r="H2628" s="1">
        <v>6.484351714</v>
      </c>
      <c r="I2628" s="1">
        <v>5.06</v>
      </c>
      <c r="J2628" s="1">
        <v>2.373199</v>
      </c>
    </row>
    <row r="2629">
      <c r="A2629" s="1">
        <v>2025.0</v>
      </c>
      <c r="B2629" s="1" t="s">
        <v>382</v>
      </c>
      <c r="C2629" s="1">
        <v>656288.0</v>
      </c>
      <c r="D2629" s="1" t="s">
        <v>541</v>
      </c>
      <c r="E2629" s="1" t="s">
        <v>927</v>
      </c>
      <c r="F2629" s="1" t="s">
        <v>927</v>
      </c>
      <c r="G2629" s="1">
        <v>38.0</v>
      </c>
      <c r="H2629" s="1">
        <v>2.161450571</v>
      </c>
      <c r="I2629" s="1">
        <v>4.84</v>
      </c>
      <c r="J2629" s="1">
        <v>0.937391</v>
      </c>
    </row>
    <row r="2630">
      <c r="A2630" s="1">
        <v>2025.0</v>
      </c>
      <c r="B2630" s="1" t="s">
        <v>382</v>
      </c>
      <c r="C2630" s="1">
        <v>656288.0</v>
      </c>
      <c r="D2630" s="1" t="s">
        <v>540</v>
      </c>
      <c r="E2630" s="1" t="s">
        <v>927</v>
      </c>
      <c r="F2630" s="1" t="s">
        <v>927</v>
      </c>
      <c r="G2630" s="1">
        <v>5.0</v>
      </c>
      <c r="H2630" s="1">
        <v>0.284401391</v>
      </c>
      <c r="I2630" s="1">
        <v>2.99</v>
      </c>
      <c r="J2630" s="1">
        <v>0.323149</v>
      </c>
    </row>
    <row r="2631">
      <c r="A2631" s="1">
        <v>2025.0</v>
      </c>
      <c r="B2631" s="1" t="s">
        <v>382</v>
      </c>
      <c r="C2631" s="1">
        <v>656288.0</v>
      </c>
      <c r="D2631" s="1" t="s">
        <v>537</v>
      </c>
      <c r="E2631" s="1" t="s">
        <v>927</v>
      </c>
      <c r="F2631" s="1" t="s">
        <v>927</v>
      </c>
      <c r="G2631" s="1">
        <v>228.0</v>
      </c>
      <c r="H2631" s="1">
        <v>12.96870343</v>
      </c>
      <c r="I2631" s="1">
        <v>4.86</v>
      </c>
      <c r="J2631" s="1">
        <v>5.775134</v>
      </c>
    </row>
    <row r="2632">
      <c r="A2632" s="1">
        <v>2025.0</v>
      </c>
      <c r="B2632" s="1" t="s">
        <v>382</v>
      </c>
      <c r="C2632" s="1">
        <v>656288.0</v>
      </c>
      <c r="D2632" s="1" t="s">
        <v>536</v>
      </c>
      <c r="E2632" s="1" t="s">
        <v>927</v>
      </c>
      <c r="F2632" s="1" t="s">
        <v>927</v>
      </c>
      <c r="G2632" s="1">
        <v>5.0</v>
      </c>
      <c r="H2632" s="1">
        <v>0.284401391</v>
      </c>
      <c r="I2632" s="1">
        <v>5.44</v>
      </c>
      <c r="J2632" s="1">
        <v>0.062177</v>
      </c>
    </row>
    <row r="2633">
      <c r="A2633" s="1">
        <v>2025.0</v>
      </c>
      <c r="B2633" s="1" t="s">
        <v>382</v>
      </c>
      <c r="C2633" s="1">
        <v>656288.0</v>
      </c>
      <c r="D2633" s="1" t="s">
        <v>533</v>
      </c>
      <c r="E2633" s="1" t="s">
        <v>927</v>
      </c>
      <c r="F2633" s="1" t="s">
        <v>927</v>
      </c>
      <c r="G2633" s="1">
        <v>238.0</v>
      </c>
      <c r="H2633" s="1">
        <v>13.53750621</v>
      </c>
      <c r="I2633" s="1">
        <v>5.39</v>
      </c>
      <c r="J2633" s="1">
        <v>3.278453</v>
      </c>
    </row>
    <row r="2634">
      <c r="A2634" s="1">
        <v>2025.0</v>
      </c>
      <c r="B2634" s="1" t="s">
        <v>28</v>
      </c>
      <c r="C2634" s="1">
        <v>643377.0</v>
      </c>
      <c r="D2634" s="1" t="s">
        <v>532</v>
      </c>
      <c r="E2634" s="1" t="s">
        <v>927</v>
      </c>
      <c r="F2634" s="1" t="s">
        <v>926</v>
      </c>
      <c r="G2634" s="1">
        <v>170.0</v>
      </c>
      <c r="H2634" s="1">
        <v>10.28414299</v>
      </c>
      <c r="I2634" s="1">
        <v>5.24</v>
      </c>
      <c r="J2634" s="1">
        <v>2.799761</v>
      </c>
    </row>
    <row r="2635">
      <c r="A2635" s="1">
        <v>2025.0</v>
      </c>
      <c r="B2635" s="1" t="s">
        <v>28</v>
      </c>
      <c r="C2635" s="1">
        <v>643377.0</v>
      </c>
      <c r="D2635" s="1" t="s">
        <v>541</v>
      </c>
      <c r="E2635" s="1" t="s">
        <v>927</v>
      </c>
      <c r="F2635" s="1" t="s">
        <v>926</v>
      </c>
      <c r="G2635" s="1">
        <v>2.0</v>
      </c>
      <c r="H2635" s="1">
        <v>0.120989918</v>
      </c>
      <c r="I2635" s="1">
        <v>3.37</v>
      </c>
      <c r="J2635" s="1">
        <v>0.107051</v>
      </c>
    </row>
    <row r="2636">
      <c r="A2636" s="1">
        <v>2025.0</v>
      </c>
      <c r="B2636" s="1" t="s">
        <v>28</v>
      </c>
      <c r="C2636" s="1">
        <v>643377.0</v>
      </c>
      <c r="D2636" s="1" t="s">
        <v>540</v>
      </c>
      <c r="E2636" s="1" t="s">
        <v>927</v>
      </c>
      <c r="F2636" s="1" t="s">
        <v>926</v>
      </c>
      <c r="G2636" s="1">
        <v>38.0</v>
      </c>
      <c r="H2636" s="1">
        <v>2.298808433</v>
      </c>
      <c r="I2636" s="1">
        <v>5.08</v>
      </c>
      <c r="J2636" s="1">
        <v>0.803504</v>
      </c>
    </row>
    <row r="2637">
      <c r="A2637" s="1">
        <v>2025.0</v>
      </c>
      <c r="B2637" s="1" t="s">
        <v>28</v>
      </c>
      <c r="C2637" s="1">
        <v>643377.0</v>
      </c>
      <c r="D2637" s="1" t="s">
        <v>537</v>
      </c>
      <c r="E2637" s="1" t="s">
        <v>927</v>
      </c>
      <c r="F2637" s="1" t="s">
        <v>926</v>
      </c>
      <c r="G2637" s="1">
        <v>123.0</v>
      </c>
      <c r="H2637" s="1">
        <v>7.440879927</v>
      </c>
      <c r="I2637" s="1">
        <v>5.33</v>
      </c>
      <c r="J2637" s="1">
        <v>1.987042</v>
      </c>
    </row>
    <row r="2638">
      <c r="A2638" s="1">
        <v>2025.0</v>
      </c>
      <c r="B2638" s="1" t="s">
        <v>28</v>
      </c>
      <c r="C2638" s="1">
        <v>643377.0</v>
      </c>
      <c r="D2638" s="1" t="s">
        <v>536</v>
      </c>
      <c r="E2638" s="1" t="s">
        <v>927</v>
      </c>
      <c r="F2638" s="1" t="s">
        <v>926</v>
      </c>
      <c r="G2638" s="1">
        <v>2.0</v>
      </c>
      <c r="H2638" s="1">
        <v>0.120989918</v>
      </c>
      <c r="I2638" s="1">
        <v>2.91</v>
      </c>
      <c r="J2638" s="1">
        <v>0.128803</v>
      </c>
    </row>
    <row r="2639">
      <c r="A2639" s="1">
        <v>2025.0</v>
      </c>
      <c r="B2639" s="1" t="s">
        <v>28</v>
      </c>
      <c r="C2639" s="1">
        <v>643377.0</v>
      </c>
      <c r="D2639" s="1" t="s">
        <v>539</v>
      </c>
      <c r="E2639" s="1" t="s">
        <v>927</v>
      </c>
      <c r="F2639" s="1" t="s">
        <v>926</v>
      </c>
      <c r="G2639" s="1">
        <v>205.0</v>
      </c>
      <c r="H2639" s="1">
        <v>12.40146654</v>
      </c>
      <c r="I2639" s="1">
        <v>5.54</v>
      </c>
      <c r="J2639" s="1">
        <v>2.187855</v>
      </c>
    </row>
    <row r="2640">
      <c r="A2640" s="1">
        <v>2025.0</v>
      </c>
      <c r="B2640" s="1" t="s">
        <v>28</v>
      </c>
      <c r="C2640" s="1">
        <v>643377.0</v>
      </c>
      <c r="D2640" s="1" t="s">
        <v>532</v>
      </c>
      <c r="E2640" s="1" t="s">
        <v>927</v>
      </c>
      <c r="F2640" s="1" t="s">
        <v>927</v>
      </c>
      <c r="G2640" s="1">
        <v>74.0</v>
      </c>
      <c r="H2640" s="1">
        <v>4.476626948</v>
      </c>
      <c r="I2640" s="1">
        <v>5.44</v>
      </c>
      <c r="J2640" s="1">
        <v>0.888235</v>
      </c>
    </row>
    <row r="2641">
      <c r="A2641" s="1">
        <v>2025.0</v>
      </c>
      <c r="B2641" s="1" t="s">
        <v>28</v>
      </c>
      <c r="C2641" s="1">
        <v>643377.0</v>
      </c>
      <c r="D2641" s="1" t="s">
        <v>541</v>
      </c>
      <c r="E2641" s="1" t="s">
        <v>927</v>
      </c>
      <c r="F2641" s="1" t="s">
        <v>927</v>
      </c>
      <c r="G2641" s="1">
        <v>3.0</v>
      </c>
      <c r="H2641" s="1">
        <v>0.181484876</v>
      </c>
      <c r="I2641" s="1">
        <v>5.61</v>
      </c>
      <c r="J2641" s="1">
        <v>0.019735</v>
      </c>
    </row>
    <row r="2642">
      <c r="A2642" s="1">
        <v>2025.0</v>
      </c>
      <c r="B2642" s="1" t="s">
        <v>28</v>
      </c>
      <c r="C2642" s="1">
        <v>643377.0</v>
      </c>
      <c r="D2642" s="1" t="s">
        <v>540</v>
      </c>
      <c r="E2642" s="1" t="s">
        <v>927</v>
      </c>
      <c r="F2642" s="1" t="s">
        <v>927</v>
      </c>
      <c r="G2642" s="1">
        <v>6.0</v>
      </c>
      <c r="H2642" s="1">
        <v>0.362969753</v>
      </c>
      <c r="I2642" s="1">
        <v>4.95</v>
      </c>
      <c r="J2642" s="1">
        <v>0.149428</v>
      </c>
    </row>
    <row r="2643">
      <c r="A2643" s="1">
        <v>2025.0</v>
      </c>
      <c r="B2643" s="1" t="s">
        <v>28</v>
      </c>
      <c r="C2643" s="1">
        <v>643377.0</v>
      </c>
      <c r="D2643" s="1" t="s">
        <v>537</v>
      </c>
      <c r="E2643" s="1" t="s">
        <v>927</v>
      </c>
      <c r="F2643" s="1" t="s">
        <v>927</v>
      </c>
      <c r="G2643" s="1">
        <v>72.0</v>
      </c>
      <c r="H2643" s="1">
        <v>4.35563703</v>
      </c>
      <c r="I2643" s="1">
        <v>5.29</v>
      </c>
      <c r="J2643" s="1">
        <v>1.162075</v>
      </c>
    </row>
    <row r="2644">
      <c r="A2644" s="1">
        <v>2025.0</v>
      </c>
      <c r="B2644" s="1" t="s">
        <v>28</v>
      </c>
      <c r="C2644" s="1">
        <v>643377.0</v>
      </c>
      <c r="D2644" s="1" t="s">
        <v>536</v>
      </c>
      <c r="E2644" s="1" t="s">
        <v>927</v>
      </c>
      <c r="F2644" s="1" t="s">
        <v>927</v>
      </c>
      <c r="G2644" s="1">
        <v>125.0</v>
      </c>
      <c r="H2644" s="1">
        <v>7.561869844</v>
      </c>
      <c r="I2644" s="1">
        <v>5.22</v>
      </c>
      <c r="J2644" s="1">
        <v>2.214298</v>
      </c>
    </row>
    <row r="2645">
      <c r="A2645" s="1">
        <v>2025.0</v>
      </c>
      <c r="B2645" s="1" t="s">
        <v>28</v>
      </c>
      <c r="C2645" s="1">
        <v>643377.0</v>
      </c>
      <c r="D2645" s="1" t="s">
        <v>539</v>
      </c>
      <c r="E2645" s="1" t="s">
        <v>927</v>
      </c>
      <c r="F2645" s="1" t="s">
        <v>927</v>
      </c>
      <c r="G2645" s="1">
        <v>271.0</v>
      </c>
      <c r="H2645" s="1">
        <v>16.39413382</v>
      </c>
      <c r="I2645" s="1">
        <v>5.7</v>
      </c>
      <c r="J2645" s="1">
        <v>2.032096</v>
      </c>
    </row>
    <row r="2646">
      <c r="A2646" s="1">
        <v>2025.0</v>
      </c>
      <c r="B2646" s="1" t="s">
        <v>243</v>
      </c>
      <c r="C2646" s="1">
        <v>680684.0</v>
      </c>
      <c r="D2646" s="1" t="s">
        <v>532</v>
      </c>
      <c r="E2646" s="1" t="s">
        <v>927</v>
      </c>
      <c r="F2646" s="1" t="s">
        <v>926</v>
      </c>
      <c r="G2646" s="1">
        <v>94.0</v>
      </c>
      <c r="H2646" s="1">
        <v>5.556368068</v>
      </c>
      <c r="I2646" s="1">
        <v>4.89</v>
      </c>
      <c r="J2646" s="1">
        <v>2.184215</v>
      </c>
    </row>
    <row r="2647">
      <c r="A2647" s="1">
        <v>2025.0</v>
      </c>
      <c r="B2647" s="1" t="s">
        <v>243</v>
      </c>
      <c r="C2647" s="1">
        <v>680684.0</v>
      </c>
      <c r="D2647" s="1" t="s">
        <v>537</v>
      </c>
      <c r="E2647" s="1" t="s">
        <v>927</v>
      </c>
      <c r="F2647" s="1" t="s">
        <v>926</v>
      </c>
      <c r="G2647" s="1">
        <v>114.0</v>
      </c>
      <c r="H2647" s="1">
        <v>6.73857404</v>
      </c>
      <c r="I2647" s="1">
        <v>5.18</v>
      </c>
      <c r="J2647" s="1">
        <v>2.017585</v>
      </c>
    </row>
    <row r="2648">
      <c r="A2648" s="1">
        <v>2025.0</v>
      </c>
      <c r="B2648" s="1" t="s">
        <v>243</v>
      </c>
      <c r="C2648" s="1">
        <v>680684.0</v>
      </c>
      <c r="D2648" s="1" t="s">
        <v>536</v>
      </c>
      <c r="E2648" s="1" t="s">
        <v>927</v>
      </c>
      <c r="F2648" s="1" t="s">
        <v>926</v>
      </c>
      <c r="G2648" s="1">
        <v>22.0</v>
      </c>
      <c r="H2648" s="1">
        <v>1.300426569</v>
      </c>
      <c r="I2648" s="1">
        <v>4.99</v>
      </c>
      <c r="J2648" s="1">
        <v>0.470954</v>
      </c>
    </row>
    <row r="2649">
      <c r="A2649" s="1">
        <v>2025.0</v>
      </c>
      <c r="B2649" s="1" t="s">
        <v>243</v>
      </c>
      <c r="C2649" s="1">
        <v>680684.0</v>
      </c>
      <c r="D2649" s="1" t="s">
        <v>533</v>
      </c>
      <c r="E2649" s="1" t="s">
        <v>927</v>
      </c>
      <c r="F2649" s="1" t="s">
        <v>926</v>
      </c>
      <c r="G2649" s="1">
        <v>37.0</v>
      </c>
      <c r="H2649" s="1">
        <v>2.187081048</v>
      </c>
      <c r="I2649" s="1">
        <v>5.03</v>
      </c>
      <c r="J2649" s="1">
        <v>0.799888</v>
      </c>
    </row>
    <row r="2650">
      <c r="A2650" s="1">
        <v>2025.0</v>
      </c>
      <c r="B2650" s="1" t="s">
        <v>243</v>
      </c>
      <c r="C2650" s="1">
        <v>680684.0</v>
      </c>
      <c r="D2650" s="1" t="s">
        <v>539</v>
      </c>
      <c r="E2650" s="1" t="s">
        <v>927</v>
      </c>
      <c r="F2650" s="1" t="s">
        <v>926</v>
      </c>
      <c r="G2650" s="1">
        <v>34.0</v>
      </c>
      <c r="H2650" s="1">
        <v>2.009750152</v>
      </c>
      <c r="I2650" s="1">
        <v>5.03</v>
      </c>
      <c r="J2650" s="1">
        <v>0.699472</v>
      </c>
    </row>
    <row r="2651">
      <c r="A2651" s="1">
        <v>2025.0</v>
      </c>
      <c r="B2651" s="1" t="s">
        <v>243</v>
      </c>
      <c r="C2651" s="1">
        <v>680684.0</v>
      </c>
      <c r="D2651" s="1" t="s">
        <v>532</v>
      </c>
      <c r="E2651" s="1" t="s">
        <v>927</v>
      </c>
      <c r="F2651" s="1" t="s">
        <v>927</v>
      </c>
      <c r="G2651" s="1">
        <v>32.0</v>
      </c>
      <c r="H2651" s="1">
        <v>1.891529555</v>
      </c>
      <c r="I2651" s="1">
        <v>5.4</v>
      </c>
      <c r="J2651" s="1">
        <v>0.398329</v>
      </c>
    </row>
    <row r="2652">
      <c r="A2652" s="1">
        <v>2025.0</v>
      </c>
      <c r="B2652" s="1" t="s">
        <v>243</v>
      </c>
      <c r="C2652" s="1">
        <v>680684.0</v>
      </c>
      <c r="D2652" s="1" t="s">
        <v>537</v>
      </c>
      <c r="E2652" s="1" t="s">
        <v>927</v>
      </c>
      <c r="F2652" s="1" t="s">
        <v>927</v>
      </c>
      <c r="G2652" s="1">
        <v>82.0</v>
      </c>
      <c r="H2652" s="1">
        <v>4.847044485</v>
      </c>
      <c r="I2652" s="1">
        <v>4.99</v>
      </c>
      <c r="J2652" s="1">
        <v>1.855746</v>
      </c>
    </row>
    <row r="2653">
      <c r="A2653" s="1">
        <v>2025.0</v>
      </c>
      <c r="B2653" s="1" t="s">
        <v>243</v>
      </c>
      <c r="C2653" s="1">
        <v>680684.0</v>
      </c>
      <c r="D2653" s="1" t="s">
        <v>536</v>
      </c>
      <c r="E2653" s="1" t="s">
        <v>927</v>
      </c>
      <c r="F2653" s="1" t="s">
        <v>927</v>
      </c>
      <c r="G2653" s="1">
        <v>69.0</v>
      </c>
      <c r="H2653" s="1">
        <v>4.078610603</v>
      </c>
      <c r="I2653" s="1">
        <v>5.35</v>
      </c>
      <c r="J2653" s="1">
        <v>1.0369</v>
      </c>
    </row>
    <row r="2654">
      <c r="A2654" s="1">
        <v>2025.0</v>
      </c>
      <c r="B2654" s="1" t="s">
        <v>243</v>
      </c>
      <c r="C2654" s="1">
        <v>680684.0</v>
      </c>
      <c r="D2654" s="1" t="s">
        <v>533</v>
      </c>
      <c r="E2654" s="1" t="s">
        <v>927</v>
      </c>
      <c r="F2654" s="1" t="s">
        <v>927</v>
      </c>
      <c r="G2654" s="1">
        <v>2.0</v>
      </c>
      <c r="H2654" s="1">
        <v>0.118220597</v>
      </c>
      <c r="I2654" s="1">
        <v>4.27</v>
      </c>
      <c r="J2654" s="1">
        <v>0.076488</v>
      </c>
    </row>
    <row r="2655">
      <c r="A2655" s="1">
        <v>2025.0</v>
      </c>
      <c r="B2655" s="1" t="s">
        <v>243</v>
      </c>
      <c r="C2655" s="1">
        <v>680684.0</v>
      </c>
      <c r="D2655" s="1" t="s">
        <v>539</v>
      </c>
      <c r="E2655" s="1" t="s">
        <v>927</v>
      </c>
      <c r="F2655" s="1" t="s">
        <v>927</v>
      </c>
      <c r="G2655" s="1">
        <v>61.0</v>
      </c>
      <c r="H2655" s="1">
        <v>3.605728215</v>
      </c>
      <c r="I2655" s="1">
        <v>4.84</v>
      </c>
      <c r="J2655" s="1">
        <v>1.515348</v>
      </c>
    </row>
    <row r="2656">
      <c r="A2656" s="1">
        <v>2025.0</v>
      </c>
      <c r="B2656" s="1" t="s">
        <v>312</v>
      </c>
      <c r="C2656" s="1">
        <v>650893.0</v>
      </c>
      <c r="D2656" s="1" t="s">
        <v>541</v>
      </c>
      <c r="E2656" s="1" t="s">
        <v>926</v>
      </c>
      <c r="F2656" s="1" t="s">
        <v>926</v>
      </c>
      <c r="G2656" s="1">
        <v>45.0</v>
      </c>
      <c r="H2656" s="1">
        <v>2.685314685</v>
      </c>
      <c r="I2656" s="1">
        <v>5.29</v>
      </c>
      <c r="J2656" s="1">
        <v>0.71004</v>
      </c>
    </row>
    <row r="2657">
      <c r="A2657" s="1">
        <v>2025.0</v>
      </c>
      <c r="B2657" s="1" t="s">
        <v>312</v>
      </c>
      <c r="C2657" s="1">
        <v>650893.0</v>
      </c>
      <c r="D2657" s="1" t="s">
        <v>540</v>
      </c>
      <c r="E2657" s="1" t="s">
        <v>926</v>
      </c>
      <c r="F2657" s="1" t="s">
        <v>926</v>
      </c>
      <c r="G2657" s="1">
        <v>96.0</v>
      </c>
      <c r="H2657" s="1">
        <v>5.728671329</v>
      </c>
      <c r="I2657" s="1">
        <v>5.02</v>
      </c>
      <c r="J2657" s="1">
        <v>2.080356</v>
      </c>
    </row>
    <row r="2658">
      <c r="A2658" s="1">
        <v>2025.0</v>
      </c>
      <c r="B2658" s="1" t="s">
        <v>312</v>
      </c>
      <c r="C2658" s="1">
        <v>650893.0</v>
      </c>
      <c r="D2658" s="1" t="s">
        <v>537</v>
      </c>
      <c r="E2658" s="1" t="s">
        <v>926</v>
      </c>
      <c r="F2658" s="1" t="s">
        <v>926</v>
      </c>
      <c r="G2658" s="1">
        <v>61.0</v>
      </c>
      <c r="H2658" s="1">
        <v>3.64009324</v>
      </c>
      <c r="I2658" s="1">
        <v>5.18</v>
      </c>
      <c r="J2658" s="1">
        <v>1.081931</v>
      </c>
    </row>
    <row r="2659">
      <c r="A2659" s="1">
        <v>2025.0</v>
      </c>
      <c r="B2659" s="1" t="s">
        <v>312</v>
      </c>
      <c r="C2659" s="1">
        <v>650893.0</v>
      </c>
      <c r="D2659" s="1" t="s">
        <v>538</v>
      </c>
      <c r="E2659" s="1" t="s">
        <v>926</v>
      </c>
      <c r="F2659" s="1" t="s">
        <v>926</v>
      </c>
      <c r="G2659" s="1">
        <v>1.0</v>
      </c>
      <c r="H2659" s="1">
        <v>0.05967366</v>
      </c>
      <c r="I2659" s="1">
        <v>2.07</v>
      </c>
      <c r="J2659" s="1">
        <v>0.078218</v>
      </c>
    </row>
    <row r="2660">
      <c r="A2660" s="1">
        <v>2025.0</v>
      </c>
      <c r="B2660" s="1" t="s">
        <v>312</v>
      </c>
      <c r="C2660" s="1">
        <v>650893.0</v>
      </c>
      <c r="D2660" s="1" t="s">
        <v>536</v>
      </c>
      <c r="E2660" s="1" t="s">
        <v>926</v>
      </c>
      <c r="F2660" s="1" t="s">
        <v>926</v>
      </c>
      <c r="G2660" s="1">
        <v>102.0</v>
      </c>
      <c r="H2660" s="1">
        <v>6.086713287</v>
      </c>
      <c r="I2660" s="1">
        <v>4.93</v>
      </c>
      <c r="J2660" s="1">
        <v>2.437088</v>
      </c>
    </row>
    <row r="2661">
      <c r="A2661" s="1">
        <v>2025.0</v>
      </c>
      <c r="B2661" s="1" t="s">
        <v>312</v>
      </c>
      <c r="C2661" s="1">
        <v>650893.0</v>
      </c>
      <c r="D2661" s="1" t="s">
        <v>541</v>
      </c>
      <c r="E2661" s="1" t="s">
        <v>926</v>
      </c>
      <c r="F2661" s="1" t="s">
        <v>927</v>
      </c>
      <c r="G2661" s="1">
        <v>94.0</v>
      </c>
      <c r="H2661" s="1">
        <v>5.609324009</v>
      </c>
      <c r="I2661" s="1">
        <v>5.36</v>
      </c>
      <c r="J2661" s="1">
        <v>1.409321</v>
      </c>
    </row>
    <row r="2662">
      <c r="A2662" s="1">
        <v>2025.0</v>
      </c>
      <c r="B2662" s="1" t="s">
        <v>312</v>
      </c>
      <c r="C2662" s="1">
        <v>650893.0</v>
      </c>
      <c r="D2662" s="1" t="s">
        <v>540</v>
      </c>
      <c r="E2662" s="1" t="s">
        <v>926</v>
      </c>
      <c r="F2662" s="1" t="s">
        <v>927</v>
      </c>
      <c r="G2662" s="1">
        <v>50.0</v>
      </c>
      <c r="H2662" s="1">
        <v>2.983682984</v>
      </c>
      <c r="I2662" s="1">
        <v>4.9</v>
      </c>
      <c r="J2662" s="1">
        <v>1.257511</v>
      </c>
    </row>
    <row r="2663">
      <c r="A2663" s="1">
        <v>2025.0</v>
      </c>
      <c r="B2663" s="1" t="s">
        <v>312</v>
      </c>
      <c r="C2663" s="1">
        <v>650893.0</v>
      </c>
      <c r="D2663" s="1" t="s">
        <v>537</v>
      </c>
      <c r="E2663" s="1" t="s">
        <v>926</v>
      </c>
      <c r="F2663" s="1" t="s">
        <v>927</v>
      </c>
      <c r="G2663" s="1">
        <v>94.0</v>
      </c>
      <c r="H2663" s="1">
        <v>5.609324009</v>
      </c>
      <c r="I2663" s="1">
        <v>5.3</v>
      </c>
      <c r="J2663" s="1">
        <v>1.535631</v>
      </c>
    </row>
    <row r="2664">
      <c r="A2664" s="1">
        <v>2025.0</v>
      </c>
      <c r="B2664" s="1" t="s">
        <v>312</v>
      </c>
      <c r="C2664" s="1">
        <v>650893.0</v>
      </c>
      <c r="D2664" s="1" t="s">
        <v>538</v>
      </c>
      <c r="E2664" s="1" t="s">
        <v>926</v>
      </c>
      <c r="F2664" s="1" t="s">
        <v>927</v>
      </c>
      <c r="G2664" s="1">
        <v>92.0</v>
      </c>
      <c r="H2664" s="1">
        <v>5.48997669</v>
      </c>
      <c r="I2664" s="1">
        <v>4.53</v>
      </c>
      <c r="J2664" s="1">
        <v>2.910845</v>
      </c>
    </row>
    <row r="2665">
      <c r="A2665" s="1">
        <v>2025.0</v>
      </c>
      <c r="B2665" s="1" t="s">
        <v>312</v>
      </c>
      <c r="C2665" s="1">
        <v>650893.0</v>
      </c>
      <c r="D2665" s="1" t="s">
        <v>536</v>
      </c>
      <c r="E2665" s="1" t="s">
        <v>926</v>
      </c>
      <c r="F2665" s="1" t="s">
        <v>927</v>
      </c>
      <c r="G2665" s="1">
        <v>80.0</v>
      </c>
      <c r="H2665" s="1">
        <v>4.773892774</v>
      </c>
      <c r="I2665" s="1">
        <v>4.68</v>
      </c>
      <c r="J2665" s="1">
        <v>2.403163</v>
      </c>
    </row>
    <row r="2666">
      <c r="A2666" s="1">
        <v>2025.0</v>
      </c>
      <c r="B2666" s="1" t="s">
        <v>514</v>
      </c>
      <c r="C2666" s="1">
        <v>806185.0</v>
      </c>
      <c r="D2666" s="1" t="s">
        <v>532</v>
      </c>
      <c r="E2666" s="1" t="s">
        <v>927</v>
      </c>
      <c r="F2666" s="1" t="s">
        <v>926</v>
      </c>
      <c r="G2666" s="1">
        <v>147.0</v>
      </c>
      <c r="H2666" s="1">
        <v>8.084589615</v>
      </c>
      <c r="I2666" s="1">
        <v>4.79</v>
      </c>
      <c r="J2666" s="1">
        <v>3.70547</v>
      </c>
    </row>
    <row r="2667">
      <c r="A2667" s="1">
        <v>2025.0</v>
      </c>
      <c r="B2667" s="1" t="s">
        <v>514</v>
      </c>
      <c r="C2667" s="1">
        <v>806185.0</v>
      </c>
      <c r="D2667" s="1" t="s">
        <v>541</v>
      </c>
      <c r="E2667" s="1" t="s">
        <v>927</v>
      </c>
      <c r="F2667" s="1" t="s">
        <v>926</v>
      </c>
      <c r="G2667" s="1">
        <v>82.0</v>
      </c>
      <c r="H2667" s="1">
        <v>4.509771078</v>
      </c>
      <c r="I2667" s="1">
        <v>4.26</v>
      </c>
      <c r="J2667" s="1">
        <v>3.072067</v>
      </c>
    </row>
    <row r="2668">
      <c r="A2668" s="1">
        <v>2025.0</v>
      </c>
      <c r="B2668" s="1" t="s">
        <v>514</v>
      </c>
      <c r="C2668" s="1">
        <v>806185.0</v>
      </c>
      <c r="D2668" s="1" t="s">
        <v>537</v>
      </c>
      <c r="E2668" s="1" t="s">
        <v>927</v>
      </c>
      <c r="F2668" s="1" t="s">
        <v>926</v>
      </c>
      <c r="G2668" s="1">
        <v>264.0</v>
      </c>
      <c r="H2668" s="1">
        <v>14.51926298</v>
      </c>
      <c r="I2668" s="1">
        <v>4.67</v>
      </c>
      <c r="J2668" s="1">
        <v>7.694896</v>
      </c>
    </row>
    <row r="2669">
      <c r="A2669" s="1">
        <v>2025.0</v>
      </c>
      <c r="B2669" s="1" t="s">
        <v>514</v>
      </c>
      <c r="C2669" s="1">
        <v>806185.0</v>
      </c>
      <c r="D2669" s="1" t="s">
        <v>533</v>
      </c>
      <c r="E2669" s="1" t="s">
        <v>927</v>
      </c>
      <c r="F2669" s="1" t="s">
        <v>926</v>
      </c>
      <c r="G2669" s="1">
        <v>121.0</v>
      </c>
      <c r="H2669" s="1">
        <v>6.6546622</v>
      </c>
      <c r="I2669" s="1">
        <v>4.8</v>
      </c>
      <c r="J2669" s="1">
        <v>3.153068</v>
      </c>
    </row>
    <row r="2670">
      <c r="A2670" s="1">
        <v>2025.0</v>
      </c>
      <c r="B2670" s="1" t="s">
        <v>514</v>
      </c>
      <c r="C2670" s="1">
        <v>806185.0</v>
      </c>
      <c r="D2670" s="1" t="s">
        <v>532</v>
      </c>
      <c r="E2670" s="1" t="s">
        <v>927</v>
      </c>
      <c r="F2670" s="1" t="s">
        <v>927</v>
      </c>
      <c r="G2670" s="1">
        <v>54.0</v>
      </c>
      <c r="H2670" s="1">
        <v>2.969849246</v>
      </c>
      <c r="I2670" s="1">
        <v>4.84</v>
      </c>
      <c r="J2670" s="1">
        <v>1.319291</v>
      </c>
    </row>
    <row r="2671">
      <c r="A2671" s="1">
        <v>2025.0</v>
      </c>
      <c r="B2671" s="1" t="s">
        <v>514</v>
      </c>
      <c r="C2671" s="1">
        <v>806185.0</v>
      </c>
      <c r="D2671" s="1" t="s">
        <v>541</v>
      </c>
      <c r="E2671" s="1" t="s">
        <v>927</v>
      </c>
      <c r="F2671" s="1" t="s">
        <v>927</v>
      </c>
      <c r="G2671" s="1">
        <v>77.0</v>
      </c>
      <c r="H2671" s="1">
        <v>4.234785036</v>
      </c>
      <c r="I2671" s="1">
        <v>4.44</v>
      </c>
      <c r="J2671" s="1">
        <v>2.562982</v>
      </c>
    </row>
    <row r="2672">
      <c r="A2672" s="1">
        <v>2025.0</v>
      </c>
      <c r="B2672" s="1" t="s">
        <v>514</v>
      </c>
      <c r="C2672" s="1">
        <v>806185.0</v>
      </c>
      <c r="D2672" s="1" t="s">
        <v>537</v>
      </c>
      <c r="E2672" s="1" t="s">
        <v>927</v>
      </c>
      <c r="F2672" s="1" t="s">
        <v>927</v>
      </c>
      <c r="G2672" s="1">
        <v>263.0</v>
      </c>
      <c r="H2672" s="1">
        <v>14.46426577</v>
      </c>
      <c r="I2672" s="1">
        <v>5.01</v>
      </c>
      <c r="J2672" s="1">
        <v>5.82204</v>
      </c>
    </row>
    <row r="2673">
      <c r="A2673" s="1">
        <v>2025.0</v>
      </c>
      <c r="B2673" s="1" t="s">
        <v>514</v>
      </c>
      <c r="C2673" s="1">
        <v>806185.0</v>
      </c>
      <c r="D2673" s="1" t="s">
        <v>533</v>
      </c>
      <c r="E2673" s="1" t="s">
        <v>927</v>
      </c>
      <c r="F2673" s="1" t="s">
        <v>927</v>
      </c>
      <c r="G2673" s="1">
        <v>186.0</v>
      </c>
      <c r="H2673" s="1">
        <v>10.22948074</v>
      </c>
      <c r="I2673" s="1">
        <v>4.7</v>
      </c>
      <c r="J2673" s="1">
        <v>5.275053</v>
      </c>
    </row>
    <row r="2674">
      <c r="A2674" s="1">
        <v>2025.0</v>
      </c>
      <c r="B2674" s="1" t="s">
        <v>961</v>
      </c>
      <c r="C2674" s="1">
        <v>802686.0</v>
      </c>
      <c r="D2674" s="1" t="s">
        <v>537</v>
      </c>
      <c r="E2674" s="1" t="s">
        <v>926</v>
      </c>
      <c r="F2674" s="1" t="s">
        <v>926</v>
      </c>
      <c r="G2674" s="1">
        <v>4.0</v>
      </c>
      <c r="H2674" s="1">
        <v>0.213333333</v>
      </c>
      <c r="I2674" s="1">
        <v>5.6</v>
      </c>
      <c r="J2674" s="1">
        <v>0.052889</v>
      </c>
    </row>
    <row r="2675">
      <c r="A2675" s="1">
        <v>2025.0</v>
      </c>
      <c r="B2675" s="1" t="s">
        <v>961</v>
      </c>
      <c r="C2675" s="1">
        <v>802686.0</v>
      </c>
      <c r="D2675" s="1" t="s">
        <v>539</v>
      </c>
      <c r="E2675" s="1" t="s">
        <v>926</v>
      </c>
      <c r="F2675" s="1" t="s">
        <v>926</v>
      </c>
      <c r="G2675" s="1">
        <v>1.0</v>
      </c>
      <c r="H2675" s="1">
        <v>0.053333333</v>
      </c>
      <c r="I2675" s="1">
        <v>2.18</v>
      </c>
      <c r="J2675" s="1">
        <v>0.083128</v>
      </c>
    </row>
    <row r="2676">
      <c r="A2676" s="1">
        <v>2025.0</v>
      </c>
      <c r="B2676" s="1" t="s">
        <v>961</v>
      </c>
      <c r="C2676" s="1">
        <v>802686.0</v>
      </c>
      <c r="D2676" s="1" t="s">
        <v>537</v>
      </c>
      <c r="E2676" s="1" t="s">
        <v>926</v>
      </c>
      <c r="F2676" s="1" t="s">
        <v>927</v>
      </c>
      <c r="G2676" s="1">
        <v>38.0</v>
      </c>
      <c r="H2676" s="1">
        <v>2.026666667</v>
      </c>
      <c r="I2676" s="1">
        <v>4.99</v>
      </c>
      <c r="J2676" s="1">
        <v>0.933262</v>
      </c>
    </row>
    <row r="2677">
      <c r="A2677" s="1">
        <v>2025.0</v>
      </c>
      <c r="B2677" s="1" t="s">
        <v>961</v>
      </c>
      <c r="C2677" s="1">
        <v>802686.0</v>
      </c>
      <c r="D2677" s="1" t="s">
        <v>538</v>
      </c>
      <c r="E2677" s="1" t="s">
        <v>926</v>
      </c>
      <c r="F2677" s="1" t="s">
        <v>927</v>
      </c>
      <c r="G2677" s="1">
        <v>2.0</v>
      </c>
      <c r="H2677" s="1">
        <v>0.106666667</v>
      </c>
      <c r="I2677" s="1">
        <v>2.74</v>
      </c>
      <c r="J2677" s="1">
        <v>0.132457</v>
      </c>
    </row>
    <row r="2678">
      <c r="A2678" s="1">
        <v>2025.0</v>
      </c>
      <c r="B2678" s="1" t="s">
        <v>961</v>
      </c>
      <c r="C2678" s="1">
        <v>802686.0</v>
      </c>
      <c r="D2678" s="1" t="s">
        <v>539</v>
      </c>
      <c r="E2678" s="1" t="s">
        <v>926</v>
      </c>
      <c r="F2678" s="1" t="s">
        <v>927</v>
      </c>
      <c r="G2678" s="1">
        <v>5.0</v>
      </c>
      <c r="H2678" s="1">
        <v>0.266666667</v>
      </c>
      <c r="I2678" s="1">
        <v>5.84</v>
      </c>
      <c r="J2678" s="1">
        <v>0.013327</v>
      </c>
    </row>
    <row r="2679">
      <c r="A2679" s="1">
        <v>2025.0</v>
      </c>
      <c r="B2679" s="1" t="s">
        <v>562</v>
      </c>
      <c r="C2679" s="1">
        <v>669713.0</v>
      </c>
      <c r="D2679" s="1" t="s">
        <v>532</v>
      </c>
      <c r="E2679" s="1" t="s">
        <v>927</v>
      </c>
      <c r="F2679" s="1" t="s">
        <v>926</v>
      </c>
      <c r="G2679" s="1">
        <v>35.0</v>
      </c>
      <c r="H2679" s="1">
        <v>2.204724409</v>
      </c>
      <c r="I2679" s="1">
        <v>5.33</v>
      </c>
      <c r="J2679" s="1">
        <v>0.491128</v>
      </c>
    </row>
    <row r="2680">
      <c r="A2680" s="1">
        <v>2025.0</v>
      </c>
      <c r="B2680" s="1" t="s">
        <v>562</v>
      </c>
      <c r="C2680" s="1">
        <v>669713.0</v>
      </c>
      <c r="D2680" s="1" t="s">
        <v>541</v>
      </c>
      <c r="E2680" s="1" t="s">
        <v>927</v>
      </c>
      <c r="F2680" s="1" t="s">
        <v>926</v>
      </c>
      <c r="G2680" s="1">
        <v>31.0</v>
      </c>
      <c r="H2680" s="1">
        <v>1.952755906</v>
      </c>
      <c r="I2680" s="1">
        <v>4.5</v>
      </c>
      <c r="J2680" s="1">
        <v>0.986448</v>
      </c>
    </row>
    <row r="2681">
      <c r="A2681" s="1">
        <v>2025.0</v>
      </c>
      <c r="B2681" s="1" t="s">
        <v>562</v>
      </c>
      <c r="C2681" s="1">
        <v>669713.0</v>
      </c>
      <c r="D2681" s="1" t="s">
        <v>540</v>
      </c>
      <c r="E2681" s="1" t="s">
        <v>927</v>
      </c>
      <c r="F2681" s="1" t="s">
        <v>926</v>
      </c>
      <c r="G2681" s="1">
        <v>46.0</v>
      </c>
      <c r="H2681" s="1">
        <v>2.897637795</v>
      </c>
      <c r="I2681" s="1">
        <v>5.23</v>
      </c>
      <c r="J2681" s="1">
        <v>0.733733</v>
      </c>
    </row>
    <row r="2682">
      <c r="A2682" s="1">
        <v>2025.0</v>
      </c>
      <c r="B2682" s="1" t="s">
        <v>562</v>
      </c>
      <c r="C2682" s="1">
        <v>669713.0</v>
      </c>
      <c r="D2682" s="1" t="s">
        <v>537</v>
      </c>
      <c r="E2682" s="1" t="s">
        <v>927</v>
      </c>
      <c r="F2682" s="1" t="s">
        <v>926</v>
      </c>
      <c r="G2682" s="1">
        <v>88.0</v>
      </c>
      <c r="H2682" s="1">
        <v>5.543307087</v>
      </c>
      <c r="I2682" s="1">
        <v>4.87</v>
      </c>
      <c r="J2682" s="1">
        <v>2.191281</v>
      </c>
    </row>
    <row r="2683">
      <c r="A2683" s="1">
        <v>2025.0</v>
      </c>
      <c r="B2683" s="1" t="s">
        <v>562</v>
      </c>
      <c r="C2683" s="1">
        <v>669713.0</v>
      </c>
      <c r="D2683" s="1" t="s">
        <v>536</v>
      </c>
      <c r="E2683" s="1" t="s">
        <v>927</v>
      </c>
      <c r="F2683" s="1" t="s">
        <v>926</v>
      </c>
      <c r="G2683" s="1">
        <v>1.0</v>
      </c>
      <c r="H2683" s="1">
        <v>0.062992126</v>
      </c>
      <c r="I2683" s="1">
        <v>5.54</v>
      </c>
      <c r="J2683" s="1">
        <v>0.012825</v>
      </c>
    </row>
    <row r="2684">
      <c r="A2684" s="1">
        <v>2025.0</v>
      </c>
      <c r="B2684" s="1" t="s">
        <v>562</v>
      </c>
      <c r="C2684" s="1">
        <v>669713.0</v>
      </c>
      <c r="D2684" s="1" t="s">
        <v>539</v>
      </c>
      <c r="E2684" s="1" t="s">
        <v>927</v>
      </c>
      <c r="F2684" s="1" t="s">
        <v>926</v>
      </c>
      <c r="G2684" s="1">
        <v>15.0</v>
      </c>
      <c r="H2684" s="1">
        <v>0.94488189</v>
      </c>
      <c r="I2684" s="1">
        <v>5.58</v>
      </c>
      <c r="J2684" s="1">
        <v>0.122085</v>
      </c>
    </row>
    <row r="2685">
      <c r="A2685" s="1">
        <v>2025.0</v>
      </c>
      <c r="B2685" s="1" t="s">
        <v>562</v>
      </c>
      <c r="C2685" s="1">
        <v>669713.0</v>
      </c>
      <c r="D2685" s="1" t="s">
        <v>532</v>
      </c>
      <c r="E2685" s="1" t="s">
        <v>927</v>
      </c>
      <c r="F2685" s="1" t="s">
        <v>927</v>
      </c>
      <c r="G2685" s="1">
        <v>8.0</v>
      </c>
      <c r="H2685" s="1">
        <v>0.503937008</v>
      </c>
      <c r="I2685" s="1">
        <v>5.25</v>
      </c>
      <c r="J2685" s="1">
        <v>0.138301</v>
      </c>
    </row>
    <row r="2686">
      <c r="A2686" s="1">
        <v>2025.0</v>
      </c>
      <c r="B2686" s="1" t="s">
        <v>562</v>
      </c>
      <c r="C2686" s="1">
        <v>669713.0</v>
      </c>
      <c r="D2686" s="1" t="s">
        <v>541</v>
      </c>
      <c r="E2686" s="1" t="s">
        <v>927</v>
      </c>
      <c r="F2686" s="1" t="s">
        <v>927</v>
      </c>
      <c r="G2686" s="1">
        <v>14.0</v>
      </c>
      <c r="H2686" s="1">
        <v>0.881889764</v>
      </c>
      <c r="I2686" s="1">
        <v>4.74</v>
      </c>
      <c r="J2686" s="1">
        <v>0.399435</v>
      </c>
    </row>
    <row r="2687">
      <c r="A2687" s="1">
        <v>2025.0</v>
      </c>
      <c r="B2687" s="1" t="s">
        <v>562</v>
      </c>
      <c r="C2687" s="1">
        <v>669713.0</v>
      </c>
      <c r="D2687" s="1" t="s">
        <v>540</v>
      </c>
      <c r="E2687" s="1" t="s">
        <v>927</v>
      </c>
      <c r="F2687" s="1" t="s">
        <v>927</v>
      </c>
      <c r="G2687" s="1">
        <v>12.0</v>
      </c>
      <c r="H2687" s="1">
        <v>0.755905512</v>
      </c>
      <c r="I2687" s="1">
        <v>5.16</v>
      </c>
      <c r="J2687" s="1">
        <v>0.239135</v>
      </c>
    </row>
    <row r="2688">
      <c r="A2688" s="1">
        <v>2025.0</v>
      </c>
      <c r="B2688" s="1" t="s">
        <v>562</v>
      </c>
      <c r="C2688" s="1">
        <v>669713.0</v>
      </c>
      <c r="D2688" s="1" t="s">
        <v>537</v>
      </c>
      <c r="E2688" s="1" t="s">
        <v>927</v>
      </c>
      <c r="F2688" s="1" t="s">
        <v>927</v>
      </c>
      <c r="G2688" s="1">
        <v>94.0</v>
      </c>
      <c r="H2688" s="1">
        <v>5.921259843</v>
      </c>
      <c r="I2688" s="1">
        <v>4.86</v>
      </c>
      <c r="J2688" s="1">
        <v>2.392106</v>
      </c>
    </row>
    <row r="2689">
      <c r="A2689" s="1">
        <v>2025.0</v>
      </c>
      <c r="B2689" s="1" t="s">
        <v>562</v>
      </c>
      <c r="C2689" s="1">
        <v>669713.0</v>
      </c>
      <c r="D2689" s="1" t="s">
        <v>536</v>
      </c>
      <c r="E2689" s="1" t="s">
        <v>927</v>
      </c>
      <c r="F2689" s="1" t="s">
        <v>927</v>
      </c>
      <c r="G2689" s="1">
        <v>52.0</v>
      </c>
      <c r="H2689" s="1">
        <v>3.275590551</v>
      </c>
      <c r="I2689" s="1">
        <v>5.22</v>
      </c>
      <c r="J2689" s="1">
        <v>0.927733</v>
      </c>
    </row>
    <row r="2690">
      <c r="A2690" s="1">
        <v>2025.0</v>
      </c>
      <c r="B2690" s="1" t="s">
        <v>562</v>
      </c>
      <c r="C2690" s="1">
        <v>669713.0</v>
      </c>
      <c r="D2690" s="1" t="s">
        <v>539</v>
      </c>
      <c r="E2690" s="1" t="s">
        <v>927</v>
      </c>
      <c r="F2690" s="1" t="s">
        <v>927</v>
      </c>
      <c r="G2690" s="1">
        <v>112.0</v>
      </c>
      <c r="H2690" s="1">
        <v>7.05511811</v>
      </c>
      <c r="I2690" s="1">
        <v>5.52</v>
      </c>
      <c r="J2690" s="1">
        <v>1.159053</v>
      </c>
    </row>
    <row r="2691">
      <c r="A2691" s="1">
        <v>2025.0</v>
      </c>
      <c r="B2691" s="1" t="s">
        <v>151</v>
      </c>
      <c r="C2691" s="1">
        <v>571948.0</v>
      </c>
      <c r="D2691" s="1" t="s">
        <v>532</v>
      </c>
      <c r="E2691" s="1" t="s">
        <v>926</v>
      </c>
      <c r="F2691" s="1" t="s">
        <v>926</v>
      </c>
      <c r="G2691" s="1">
        <v>25.0</v>
      </c>
      <c r="H2691" s="1">
        <v>1.519734947</v>
      </c>
      <c r="I2691" s="1">
        <v>5.1</v>
      </c>
      <c r="J2691" s="1">
        <v>0.463957</v>
      </c>
    </row>
    <row r="2692">
      <c r="A2692" s="1">
        <v>2025.0</v>
      </c>
      <c r="B2692" s="1" t="s">
        <v>151</v>
      </c>
      <c r="C2692" s="1">
        <v>571948.0</v>
      </c>
      <c r="D2692" s="1" t="s">
        <v>541</v>
      </c>
      <c r="E2692" s="1" t="s">
        <v>926</v>
      </c>
      <c r="F2692" s="1" t="s">
        <v>926</v>
      </c>
      <c r="G2692" s="1">
        <v>1.0</v>
      </c>
      <c r="H2692" s="1">
        <v>0.060789398</v>
      </c>
      <c r="I2692" s="1">
        <v>5.16</v>
      </c>
      <c r="J2692" s="1">
        <v>0.017136</v>
      </c>
    </row>
    <row r="2693">
      <c r="A2693" s="1">
        <v>2025.0</v>
      </c>
      <c r="B2693" s="1" t="s">
        <v>151</v>
      </c>
      <c r="C2693" s="1">
        <v>571948.0</v>
      </c>
      <c r="D2693" s="1" t="s">
        <v>537</v>
      </c>
      <c r="E2693" s="1" t="s">
        <v>926</v>
      </c>
      <c r="F2693" s="1" t="s">
        <v>926</v>
      </c>
      <c r="G2693" s="1">
        <v>38.0</v>
      </c>
      <c r="H2693" s="1">
        <v>2.309997119</v>
      </c>
      <c r="I2693" s="1">
        <v>4.73</v>
      </c>
      <c r="J2693" s="1">
        <v>0.97152</v>
      </c>
    </row>
    <row r="2694">
      <c r="A2694" s="1">
        <v>2025.0</v>
      </c>
      <c r="B2694" s="1" t="s">
        <v>151</v>
      </c>
      <c r="C2694" s="1">
        <v>571948.0</v>
      </c>
      <c r="D2694" s="1" t="s">
        <v>536</v>
      </c>
      <c r="E2694" s="1" t="s">
        <v>926</v>
      </c>
      <c r="F2694" s="1" t="s">
        <v>926</v>
      </c>
      <c r="G2694" s="1">
        <v>213.0</v>
      </c>
      <c r="H2694" s="1">
        <v>12.94814175</v>
      </c>
      <c r="I2694" s="1">
        <v>5.51</v>
      </c>
      <c r="J2694" s="1">
        <v>2.470952</v>
      </c>
    </row>
    <row r="2695">
      <c r="A2695" s="1">
        <v>2025.0</v>
      </c>
      <c r="B2695" s="1" t="s">
        <v>151</v>
      </c>
      <c r="C2695" s="1">
        <v>571948.0</v>
      </c>
      <c r="D2695" s="1" t="s">
        <v>539</v>
      </c>
      <c r="E2695" s="1" t="s">
        <v>926</v>
      </c>
      <c r="F2695" s="1" t="s">
        <v>926</v>
      </c>
      <c r="G2695" s="1">
        <v>221.0</v>
      </c>
      <c r="H2695" s="1">
        <v>13.43445693</v>
      </c>
      <c r="I2695" s="1">
        <v>5.47</v>
      </c>
      <c r="J2695" s="1">
        <v>2.727867</v>
      </c>
    </row>
    <row r="2696">
      <c r="A2696" s="1">
        <v>2025.0</v>
      </c>
      <c r="B2696" s="1" t="s">
        <v>151</v>
      </c>
      <c r="C2696" s="1">
        <v>571948.0</v>
      </c>
      <c r="D2696" s="1" t="s">
        <v>532</v>
      </c>
      <c r="E2696" s="1" t="s">
        <v>926</v>
      </c>
      <c r="F2696" s="1" t="s">
        <v>927</v>
      </c>
      <c r="G2696" s="1">
        <v>176.0</v>
      </c>
      <c r="H2696" s="1">
        <v>10.69893402</v>
      </c>
      <c r="I2696" s="1">
        <v>5.2</v>
      </c>
      <c r="J2696" s="1">
        <v>3.163977</v>
      </c>
    </row>
    <row r="2697">
      <c r="A2697" s="1">
        <v>2025.0</v>
      </c>
      <c r="B2697" s="1" t="s">
        <v>151</v>
      </c>
      <c r="C2697" s="1">
        <v>571948.0</v>
      </c>
      <c r="D2697" s="1" t="s">
        <v>537</v>
      </c>
      <c r="E2697" s="1" t="s">
        <v>926</v>
      </c>
      <c r="F2697" s="1" t="s">
        <v>927</v>
      </c>
      <c r="G2697" s="1">
        <v>132.0</v>
      </c>
      <c r="H2697" s="1">
        <v>8.024200519</v>
      </c>
      <c r="I2697" s="1">
        <v>4.47</v>
      </c>
      <c r="J2697" s="1">
        <v>4.251756</v>
      </c>
    </row>
    <row r="2698">
      <c r="A2698" s="1">
        <v>2025.0</v>
      </c>
      <c r="B2698" s="1" t="s">
        <v>151</v>
      </c>
      <c r="C2698" s="1">
        <v>571948.0</v>
      </c>
      <c r="D2698" s="1" t="s">
        <v>536</v>
      </c>
      <c r="E2698" s="1" t="s">
        <v>926</v>
      </c>
      <c r="F2698" s="1" t="s">
        <v>927</v>
      </c>
      <c r="G2698" s="1">
        <v>167.0</v>
      </c>
      <c r="H2698" s="1">
        <v>10.15182944</v>
      </c>
      <c r="I2698" s="1">
        <v>4.9</v>
      </c>
      <c r="J2698" s="1">
        <v>4.116885</v>
      </c>
    </row>
    <row r="2699">
      <c r="A2699" s="1">
        <v>2025.0</v>
      </c>
      <c r="B2699" s="1" t="s">
        <v>151</v>
      </c>
      <c r="C2699" s="1">
        <v>571948.0</v>
      </c>
      <c r="D2699" s="1" t="s">
        <v>539</v>
      </c>
      <c r="E2699" s="1" t="s">
        <v>926</v>
      </c>
      <c r="F2699" s="1" t="s">
        <v>927</v>
      </c>
      <c r="G2699" s="1">
        <v>184.0</v>
      </c>
      <c r="H2699" s="1">
        <v>11.18524921</v>
      </c>
      <c r="I2699" s="1">
        <v>5.07</v>
      </c>
      <c r="J2699" s="1">
        <v>3.768932</v>
      </c>
    </row>
    <row r="2700">
      <c r="A2700" s="1">
        <v>2025.0</v>
      </c>
      <c r="B2700" s="1" t="s">
        <v>227</v>
      </c>
      <c r="C2700" s="1">
        <v>663687.0</v>
      </c>
      <c r="D2700" s="1" t="s">
        <v>532</v>
      </c>
      <c r="E2700" s="1" t="s">
        <v>926</v>
      </c>
      <c r="F2700" s="1" t="s">
        <v>926</v>
      </c>
      <c r="G2700" s="1">
        <v>6.0</v>
      </c>
      <c r="H2700" s="1">
        <v>0.344888889</v>
      </c>
      <c r="I2700" s="1">
        <v>5.32</v>
      </c>
      <c r="J2700" s="1">
        <v>0.078368</v>
      </c>
    </row>
    <row r="2701">
      <c r="A2701" s="1">
        <v>2025.0</v>
      </c>
      <c r="B2701" s="1" t="s">
        <v>227</v>
      </c>
      <c r="C2701" s="1">
        <v>663687.0</v>
      </c>
      <c r="D2701" s="1" t="s">
        <v>541</v>
      </c>
      <c r="E2701" s="1" t="s">
        <v>926</v>
      </c>
      <c r="F2701" s="1" t="s">
        <v>926</v>
      </c>
      <c r="G2701" s="1">
        <v>104.0</v>
      </c>
      <c r="H2701" s="1">
        <v>5.978074074</v>
      </c>
      <c r="I2701" s="1">
        <v>5.19</v>
      </c>
      <c r="J2701" s="1">
        <v>1.853165</v>
      </c>
    </row>
    <row r="2702">
      <c r="A2702" s="1">
        <v>2025.0</v>
      </c>
      <c r="B2702" s="1" t="s">
        <v>227</v>
      </c>
      <c r="C2702" s="1">
        <v>663687.0</v>
      </c>
      <c r="D2702" s="1" t="s">
        <v>540</v>
      </c>
      <c r="E2702" s="1" t="s">
        <v>926</v>
      </c>
      <c r="F2702" s="1" t="s">
        <v>926</v>
      </c>
      <c r="G2702" s="1">
        <v>25.0</v>
      </c>
      <c r="H2702" s="1">
        <v>1.437037037</v>
      </c>
      <c r="I2702" s="1">
        <v>4.46</v>
      </c>
      <c r="J2702" s="1">
        <v>0.821456</v>
      </c>
    </row>
    <row r="2703">
      <c r="A2703" s="1">
        <v>2025.0</v>
      </c>
      <c r="B2703" s="1" t="s">
        <v>227</v>
      </c>
      <c r="C2703" s="1">
        <v>663687.0</v>
      </c>
      <c r="D2703" s="1" t="s">
        <v>537</v>
      </c>
      <c r="E2703" s="1" t="s">
        <v>926</v>
      </c>
      <c r="F2703" s="1" t="s">
        <v>926</v>
      </c>
      <c r="G2703" s="1">
        <v>277.0</v>
      </c>
      <c r="H2703" s="1">
        <v>15.92237037</v>
      </c>
      <c r="I2703" s="1">
        <v>5.14</v>
      </c>
      <c r="J2703" s="1">
        <v>5.251503</v>
      </c>
    </row>
    <row r="2704">
      <c r="A2704" s="1">
        <v>2025.0</v>
      </c>
      <c r="B2704" s="1" t="s">
        <v>227</v>
      </c>
      <c r="C2704" s="1">
        <v>663687.0</v>
      </c>
      <c r="D2704" s="1" t="s">
        <v>533</v>
      </c>
      <c r="E2704" s="1" t="s">
        <v>926</v>
      </c>
      <c r="F2704" s="1" t="s">
        <v>926</v>
      </c>
      <c r="G2704" s="1">
        <v>11.0</v>
      </c>
      <c r="H2704" s="1">
        <v>0.632296296</v>
      </c>
      <c r="I2704" s="1">
        <v>5.22</v>
      </c>
      <c r="J2704" s="1">
        <v>0.201858</v>
      </c>
    </row>
    <row r="2705">
      <c r="A2705" s="1">
        <v>2025.0</v>
      </c>
      <c r="B2705" s="1" t="s">
        <v>227</v>
      </c>
      <c r="C2705" s="1">
        <v>663687.0</v>
      </c>
      <c r="D2705" s="1" t="s">
        <v>539</v>
      </c>
      <c r="E2705" s="1" t="s">
        <v>926</v>
      </c>
      <c r="F2705" s="1" t="s">
        <v>926</v>
      </c>
      <c r="G2705" s="1">
        <v>30.0</v>
      </c>
      <c r="H2705" s="1">
        <v>1.724444444</v>
      </c>
      <c r="I2705" s="1">
        <v>4.81</v>
      </c>
      <c r="J2705" s="1">
        <v>0.762893</v>
      </c>
    </row>
    <row r="2706">
      <c r="A2706" s="1">
        <v>2025.0</v>
      </c>
      <c r="B2706" s="1" t="s">
        <v>227</v>
      </c>
      <c r="C2706" s="1">
        <v>663687.0</v>
      </c>
      <c r="D2706" s="1" t="s">
        <v>532</v>
      </c>
      <c r="E2706" s="1" t="s">
        <v>926</v>
      </c>
      <c r="F2706" s="1" t="s">
        <v>927</v>
      </c>
      <c r="G2706" s="1">
        <v>142.0</v>
      </c>
      <c r="H2706" s="1">
        <v>8.16237037</v>
      </c>
      <c r="I2706" s="1">
        <v>5.19</v>
      </c>
      <c r="J2706" s="1">
        <v>2.520788</v>
      </c>
    </row>
    <row r="2707">
      <c r="A2707" s="1">
        <v>2025.0</v>
      </c>
      <c r="B2707" s="1" t="s">
        <v>227</v>
      </c>
      <c r="C2707" s="1">
        <v>663687.0</v>
      </c>
      <c r="D2707" s="1" t="s">
        <v>541</v>
      </c>
      <c r="E2707" s="1" t="s">
        <v>926</v>
      </c>
      <c r="F2707" s="1" t="s">
        <v>927</v>
      </c>
      <c r="G2707" s="1">
        <v>152.0</v>
      </c>
      <c r="H2707" s="1">
        <v>8.737185185</v>
      </c>
      <c r="I2707" s="1">
        <v>5.29</v>
      </c>
      <c r="J2707" s="1">
        <v>2.368805</v>
      </c>
    </row>
    <row r="2708">
      <c r="A2708" s="1">
        <v>2025.0</v>
      </c>
      <c r="B2708" s="1" t="s">
        <v>227</v>
      </c>
      <c r="C2708" s="1">
        <v>663687.0</v>
      </c>
      <c r="D2708" s="1" t="s">
        <v>540</v>
      </c>
      <c r="E2708" s="1" t="s">
        <v>926</v>
      </c>
      <c r="F2708" s="1" t="s">
        <v>927</v>
      </c>
      <c r="G2708" s="1">
        <v>15.0</v>
      </c>
      <c r="H2708" s="1">
        <v>0.862222222</v>
      </c>
      <c r="I2708" s="1">
        <v>5.31</v>
      </c>
      <c r="J2708" s="1">
        <v>0.239578</v>
      </c>
    </row>
    <row r="2709">
      <c r="A2709" s="1">
        <v>2025.0</v>
      </c>
      <c r="B2709" s="1" t="s">
        <v>227</v>
      </c>
      <c r="C2709" s="1">
        <v>663687.0</v>
      </c>
      <c r="D2709" s="1" t="s">
        <v>537</v>
      </c>
      <c r="E2709" s="1" t="s">
        <v>926</v>
      </c>
      <c r="F2709" s="1" t="s">
        <v>927</v>
      </c>
      <c r="G2709" s="1">
        <v>360.0</v>
      </c>
      <c r="H2709" s="1">
        <v>20.69333333</v>
      </c>
      <c r="I2709" s="1">
        <v>5.07</v>
      </c>
      <c r="J2709" s="1">
        <v>7.638207</v>
      </c>
    </row>
    <row r="2710">
      <c r="A2710" s="1">
        <v>2025.0</v>
      </c>
      <c r="B2710" s="1" t="s">
        <v>227</v>
      </c>
      <c r="C2710" s="1">
        <v>663687.0</v>
      </c>
      <c r="D2710" s="1" t="s">
        <v>536</v>
      </c>
      <c r="E2710" s="1" t="s">
        <v>926</v>
      </c>
      <c r="F2710" s="1" t="s">
        <v>927</v>
      </c>
      <c r="G2710" s="1">
        <v>1.0</v>
      </c>
      <c r="H2710" s="1">
        <v>0.057481481</v>
      </c>
      <c r="I2710" s="1">
        <v>5.63</v>
      </c>
      <c r="J2710" s="1">
        <v>0.009234</v>
      </c>
    </row>
    <row r="2711">
      <c r="A2711" s="1">
        <v>2025.0</v>
      </c>
      <c r="B2711" s="1" t="s">
        <v>227</v>
      </c>
      <c r="C2711" s="1">
        <v>663687.0</v>
      </c>
      <c r="D2711" s="1" t="s">
        <v>533</v>
      </c>
      <c r="E2711" s="1" t="s">
        <v>926</v>
      </c>
      <c r="F2711" s="1" t="s">
        <v>927</v>
      </c>
      <c r="G2711" s="1">
        <v>1.0</v>
      </c>
      <c r="H2711" s="1">
        <v>0.057481481</v>
      </c>
      <c r="I2711" s="1">
        <v>5.81</v>
      </c>
      <c r="J2711" s="1">
        <v>0.005476</v>
      </c>
    </row>
    <row r="2712">
      <c r="A2712" s="1">
        <v>2025.0</v>
      </c>
      <c r="B2712" s="1" t="s">
        <v>227</v>
      </c>
      <c r="C2712" s="1">
        <v>663687.0</v>
      </c>
      <c r="D2712" s="1" t="s">
        <v>539</v>
      </c>
      <c r="E2712" s="1" t="s">
        <v>926</v>
      </c>
      <c r="F2712" s="1" t="s">
        <v>927</v>
      </c>
      <c r="G2712" s="1">
        <v>1.0</v>
      </c>
      <c r="H2712" s="1">
        <v>0.057481481</v>
      </c>
      <c r="I2712" s="1">
        <v>6.31</v>
      </c>
      <c r="J2712" s="1">
        <v>-0.009522</v>
      </c>
    </row>
    <row r="2713">
      <c r="A2713" s="1">
        <v>2025.0</v>
      </c>
      <c r="B2713" s="1" t="s">
        <v>438</v>
      </c>
      <c r="C2713" s="1">
        <v>623211.0</v>
      </c>
      <c r="D2713" s="1" t="s">
        <v>532</v>
      </c>
      <c r="E2713" s="1" t="s">
        <v>927</v>
      </c>
      <c r="F2713" s="1" t="s">
        <v>926</v>
      </c>
      <c r="G2713" s="1">
        <v>218.0</v>
      </c>
      <c r="H2713" s="1">
        <v>13.58456973</v>
      </c>
      <c r="I2713" s="1">
        <v>4.9</v>
      </c>
      <c r="J2713" s="1">
        <v>5.160632</v>
      </c>
    </row>
    <row r="2714">
      <c r="A2714" s="1">
        <v>2025.0</v>
      </c>
      <c r="B2714" s="1" t="s">
        <v>438</v>
      </c>
      <c r="C2714" s="1">
        <v>623211.0</v>
      </c>
      <c r="D2714" s="1" t="s">
        <v>540</v>
      </c>
      <c r="E2714" s="1" t="s">
        <v>927</v>
      </c>
      <c r="F2714" s="1" t="s">
        <v>926</v>
      </c>
      <c r="G2714" s="1">
        <v>34.0</v>
      </c>
      <c r="H2714" s="1">
        <v>2.118694362</v>
      </c>
      <c r="I2714" s="1">
        <v>3.9</v>
      </c>
      <c r="J2714" s="1">
        <v>1.474701</v>
      </c>
    </row>
    <row r="2715">
      <c r="A2715" s="1">
        <v>2025.0</v>
      </c>
      <c r="B2715" s="1" t="s">
        <v>438</v>
      </c>
      <c r="C2715" s="1">
        <v>623211.0</v>
      </c>
      <c r="D2715" s="1" t="s">
        <v>537</v>
      </c>
      <c r="E2715" s="1" t="s">
        <v>927</v>
      </c>
      <c r="F2715" s="1" t="s">
        <v>926</v>
      </c>
      <c r="G2715" s="1">
        <v>67.0</v>
      </c>
      <c r="H2715" s="1">
        <v>4.175074184</v>
      </c>
      <c r="I2715" s="1">
        <v>4.47</v>
      </c>
      <c r="J2715" s="1">
        <v>2.204673</v>
      </c>
    </row>
    <row r="2716">
      <c r="A2716" s="1">
        <v>2025.0</v>
      </c>
      <c r="B2716" s="1" t="s">
        <v>438</v>
      </c>
      <c r="C2716" s="1">
        <v>623211.0</v>
      </c>
      <c r="D2716" s="1" t="s">
        <v>536</v>
      </c>
      <c r="E2716" s="1" t="s">
        <v>927</v>
      </c>
      <c r="F2716" s="1" t="s">
        <v>926</v>
      </c>
      <c r="G2716" s="1">
        <v>117.0</v>
      </c>
      <c r="H2716" s="1">
        <v>7.290801187</v>
      </c>
      <c r="I2716" s="1">
        <v>4.79</v>
      </c>
      <c r="J2716" s="1">
        <v>3.163107</v>
      </c>
    </row>
    <row r="2717">
      <c r="A2717" s="1">
        <v>2025.0</v>
      </c>
      <c r="B2717" s="1" t="s">
        <v>438</v>
      </c>
      <c r="C2717" s="1">
        <v>623211.0</v>
      </c>
      <c r="D2717" s="1" t="s">
        <v>532</v>
      </c>
      <c r="E2717" s="1" t="s">
        <v>927</v>
      </c>
      <c r="F2717" s="1" t="s">
        <v>927</v>
      </c>
      <c r="G2717" s="1">
        <v>167.0</v>
      </c>
      <c r="H2717" s="1">
        <v>10.40652819</v>
      </c>
      <c r="I2717" s="1">
        <v>4.9</v>
      </c>
      <c r="J2717" s="1">
        <v>3.94677</v>
      </c>
    </row>
    <row r="2718">
      <c r="A2718" s="1">
        <v>2025.0</v>
      </c>
      <c r="B2718" s="1" t="s">
        <v>438</v>
      </c>
      <c r="C2718" s="1">
        <v>623211.0</v>
      </c>
      <c r="D2718" s="1" t="s">
        <v>540</v>
      </c>
      <c r="E2718" s="1" t="s">
        <v>927</v>
      </c>
      <c r="F2718" s="1" t="s">
        <v>927</v>
      </c>
      <c r="G2718" s="1">
        <v>94.0</v>
      </c>
      <c r="H2718" s="1">
        <v>5.857566766</v>
      </c>
      <c r="I2718" s="1">
        <v>4.88</v>
      </c>
      <c r="J2718" s="1">
        <v>2.325548</v>
      </c>
    </row>
    <row r="2719">
      <c r="A2719" s="1">
        <v>2025.0</v>
      </c>
      <c r="B2719" s="1" t="s">
        <v>438</v>
      </c>
      <c r="C2719" s="1">
        <v>623211.0</v>
      </c>
      <c r="D2719" s="1" t="s">
        <v>537</v>
      </c>
      <c r="E2719" s="1" t="s">
        <v>927</v>
      </c>
      <c r="F2719" s="1" t="s">
        <v>927</v>
      </c>
      <c r="G2719" s="1">
        <v>58.0</v>
      </c>
      <c r="H2719" s="1">
        <v>3.614243323</v>
      </c>
      <c r="I2719" s="1">
        <v>4.77</v>
      </c>
      <c r="J2719" s="1">
        <v>1.576087</v>
      </c>
    </row>
    <row r="2720">
      <c r="A2720" s="1">
        <v>2025.0</v>
      </c>
      <c r="B2720" s="1" t="s">
        <v>438</v>
      </c>
      <c r="C2720" s="1">
        <v>623211.0</v>
      </c>
      <c r="D2720" s="1" t="s">
        <v>536</v>
      </c>
      <c r="E2720" s="1" t="s">
        <v>927</v>
      </c>
      <c r="F2720" s="1" t="s">
        <v>927</v>
      </c>
      <c r="G2720" s="1">
        <v>256.0</v>
      </c>
      <c r="H2720" s="1">
        <v>15.95252226</v>
      </c>
      <c r="I2720" s="1">
        <v>5.26</v>
      </c>
      <c r="J2720" s="1">
        <v>4.393734</v>
      </c>
    </row>
    <row r="2721">
      <c r="A2721" s="1">
        <v>2025.0</v>
      </c>
      <c r="B2721" s="1" t="s">
        <v>962</v>
      </c>
      <c r="C2721" s="1">
        <v>682995.0</v>
      </c>
      <c r="D2721" s="1" t="s">
        <v>536</v>
      </c>
      <c r="E2721" s="1" t="s">
        <v>926</v>
      </c>
      <c r="F2721" s="1" t="s">
        <v>926</v>
      </c>
      <c r="G2721" s="1">
        <v>8.0</v>
      </c>
      <c r="H2721" s="1">
        <v>0.52173913</v>
      </c>
      <c r="I2721" s="1">
        <v>4.92</v>
      </c>
      <c r="J2721" s="1">
        <v>0.19899</v>
      </c>
    </row>
    <row r="2722">
      <c r="A2722" s="1">
        <v>2025.0</v>
      </c>
      <c r="B2722" s="1" t="s">
        <v>962</v>
      </c>
      <c r="C2722" s="1">
        <v>682995.0</v>
      </c>
      <c r="D2722" s="1" t="s">
        <v>533</v>
      </c>
      <c r="E2722" s="1" t="s">
        <v>926</v>
      </c>
      <c r="F2722" s="1" t="s">
        <v>926</v>
      </c>
      <c r="G2722" s="1">
        <v>3.0</v>
      </c>
      <c r="H2722" s="1">
        <v>0.195652174</v>
      </c>
      <c r="I2722" s="1">
        <v>3.64</v>
      </c>
      <c r="J2722" s="1">
        <v>0.148904</v>
      </c>
    </row>
    <row r="2723">
      <c r="A2723" s="1">
        <v>2025.0</v>
      </c>
      <c r="B2723" s="1" t="s">
        <v>962</v>
      </c>
      <c r="C2723" s="1">
        <v>682995.0</v>
      </c>
      <c r="D2723" s="1" t="s">
        <v>538</v>
      </c>
      <c r="E2723" s="1" t="s">
        <v>926</v>
      </c>
      <c r="F2723" s="1" t="s">
        <v>927</v>
      </c>
      <c r="G2723" s="1">
        <v>13.0</v>
      </c>
      <c r="H2723" s="1">
        <v>0.847826087</v>
      </c>
      <c r="I2723" s="1">
        <v>5.12</v>
      </c>
      <c r="J2723" s="1">
        <v>0.249637</v>
      </c>
    </row>
    <row r="2724">
      <c r="A2724" s="1">
        <v>2025.0</v>
      </c>
      <c r="B2724" s="1" t="s">
        <v>962</v>
      </c>
      <c r="C2724" s="1">
        <v>682995.0</v>
      </c>
      <c r="D2724" s="1" t="s">
        <v>536</v>
      </c>
      <c r="E2724" s="1" t="s">
        <v>926</v>
      </c>
      <c r="F2724" s="1" t="s">
        <v>927</v>
      </c>
      <c r="G2724" s="1">
        <v>15.0</v>
      </c>
      <c r="H2724" s="1">
        <v>0.97826087</v>
      </c>
      <c r="I2724" s="1">
        <v>5.29</v>
      </c>
      <c r="J2724" s="1">
        <v>0.257955</v>
      </c>
    </row>
    <row r="2725">
      <c r="A2725" s="1">
        <v>2025.0</v>
      </c>
      <c r="B2725" s="1" t="s">
        <v>962</v>
      </c>
      <c r="C2725" s="1">
        <v>682995.0</v>
      </c>
      <c r="D2725" s="1" t="s">
        <v>533</v>
      </c>
      <c r="E2725" s="1" t="s">
        <v>926</v>
      </c>
      <c r="F2725" s="1" t="s">
        <v>927</v>
      </c>
      <c r="G2725" s="1">
        <v>7.0</v>
      </c>
      <c r="H2725" s="1">
        <v>0.456521739</v>
      </c>
      <c r="I2725" s="1">
        <v>5.15</v>
      </c>
      <c r="J2725" s="1">
        <v>0.136104</v>
      </c>
    </row>
    <row r="2726">
      <c r="A2726" s="1">
        <v>2025.0</v>
      </c>
      <c r="B2726" s="1" t="s">
        <v>671</v>
      </c>
      <c r="C2726" s="1">
        <v>685801.0</v>
      </c>
      <c r="D2726" s="1" t="s">
        <v>541</v>
      </c>
      <c r="E2726" s="1" t="s">
        <v>927</v>
      </c>
      <c r="F2726" s="1" t="s">
        <v>926</v>
      </c>
      <c r="G2726" s="1">
        <v>10.0</v>
      </c>
      <c r="H2726" s="1">
        <v>0.660792952</v>
      </c>
      <c r="I2726" s="1">
        <v>4.91</v>
      </c>
      <c r="J2726" s="1">
        <v>0.226354</v>
      </c>
    </row>
    <row r="2727">
      <c r="A2727" s="1">
        <v>2025.0</v>
      </c>
      <c r="B2727" s="1" t="s">
        <v>671</v>
      </c>
      <c r="C2727" s="1">
        <v>685801.0</v>
      </c>
      <c r="D2727" s="1" t="s">
        <v>537</v>
      </c>
      <c r="E2727" s="1" t="s">
        <v>927</v>
      </c>
      <c r="F2727" s="1" t="s">
        <v>926</v>
      </c>
      <c r="G2727" s="1">
        <v>41.0</v>
      </c>
      <c r="H2727" s="1">
        <v>2.709251101</v>
      </c>
      <c r="I2727" s="1">
        <v>5.51</v>
      </c>
      <c r="J2727" s="1">
        <v>0.499084</v>
      </c>
    </row>
    <row r="2728">
      <c r="A2728" s="1">
        <v>2025.0</v>
      </c>
      <c r="B2728" s="1" t="s">
        <v>671</v>
      </c>
      <c r="C2728" s="1">
        <v>685801.0</v>
      </c>
      <c r="D2728" s="1" t="s">
        <v>538</v>
      </c>
      <c r="E2728" s="1" t="s">
        <v>927</v>
      </c>
      <c r="F2728" s="1" t="s">
        <v>926</v>
      </c>
      <c r="G2728" s="1">
        <v>1.0</v>
      </c>
      <c r="H2728" s="1">
        <v>0.066079295</v>
      </c>
      <c r="I2728" s="1">
        <v>6.28</v>
      </c>
      <c r="J2728" s="1">
        <v>-0.002233</v>
      </c>
    </row>
    <row r="2729">
      <c r="A2729" s="1">
        <v>2025.0</v>
      </c>
      <c r="B2729" s="1" t="s">
        <v>671</v>
      </c>
      <c r="C2729" s="1">
        <v>685801.0</v>
      </c>
      <c r="D2729" s="1" t="s">
        <v>533</v>
      </c>
      <c r="E2729" s="1" t="s">
        <v>927</v>
      </c>
      <c r="F2729" s="1" t="s">
        <v>926</v>
      </c>
      <c r="G2729" s="1">
        <v>33.0</v>
      </c>
      <c r="H2729" s="1">
        <v>2.18061674</v>
      </c>
      <c r="I2729" s="1">
        <v>4.73</v>
      </c>
      <c r="J2729" s="1">
        <v>0.885619</v>
      </c>
    </row>
    <row r="2730">
      <c r="A2730" s="1">
        <v>2025.0</v>
      </c>
      <c r="B2730" s="1" t="s">
        <v>671</v>
      </c>
      <c r="C2730" s="1">
        <v>685801.0</v>
      </c>
      <c r="D2730" s="1" t="s">
        <v>541</v>
      </c>
      <c r="E2730" s="1" t="s">
        <v>927</v>
      </c>
      <c r="F2730" s="1" t="s">
        <v>927</v>
      </c>
      <c r="G2730" s="1">
        <v>3.0</v>
      </c>
      <c r="H2730" s="1">
        <v>0.198237885</v>
      </c>
      <c r="I2730" s="1">
        <v>4.56</v>
      </c>
      <c r="J2730" s="1">
        <v>0.087805</v>
      </c>
    </row>
    <row r="2731">
      <c r="A2731" s="1">
        <v>2025.0</v>
      </c>
      <c r="B2731" s="1" t="s">
        <v>671</v>
      </c>
      <c r="C2731" s="1">
        <v>685801.0</v>
      </c>
      <c r="D2731" s="1" t="s">
        <v>537</v>
      </c>
      <c r="E2731" s="1" t="s">
        <v>927</v>
      </c>
      <c r="F2731" s="1" t="s">
        <v>927</v>
      </c>
      <c r="G2731" s="1">
        <v>65.0</v>
      </c>
      <c r="H2731" s="1">
        <v>4.295154185</v>
      </c>
      <c r="I2731" s="1">
        <v>5.04</v>
      </c>
      <c r="J2731" s="1">
        <v>1.419744</v>
      </c>
    </row>
    <row r="2732">
      <c r="A2732" s="1">
        <v>2025.0</v>
      </c>
      <c r="B2732" s="1" t="s">
        <v>671</v>
      </c>
      <c r="C2732" s="1">
        <v>685801.0</v>
      </c>
      <c r="D2732" s="1" t="s">
        <v>536</v>
      </c>
      <c r="E2732" s="1" t="s">
        <v>927</v>
      </c>
      <c r="F2732" s="1" t="s">
        <v>927</v>
      </c>
      <c r="G2732" s="1">
        <v>5.0</v>
      </c>
      <c r="H2732" s="1">
        <v>0.330396476</v>
      </c>
      <c r="I2732" s="1">
        <v>4.9</v>
      </c>
      <c r="J2732" s="1">
        <v>0.118957</v>
      </c>
    </row>
    <row r="2733">
      <c r="A2733" s="1">
        <v>2025.0</v>
      </c>
      <c r="B2733" s="1" t="s">
        <v>671</v>
      </c>
      <c r="C2733" s="1">
        <v>685801.0</v>
      </c>
      <c r="D2733" s="1" t="s">
        <v>533</v>
      </c>
      <c r="E2733" s="1" t="s">
        <v>927</v>
      </c>
      <c r="F2733" s="1" t="s">
        <v>927</v>
      </c>
      <c r="G2733" s="1">
        <v>69.0</v>
      </c>
      <c r="H2733" s="1">
        <v>4.559471366</v>
      </c>
      <c r="I2733" s="1">
        <v>4.98</v>
      </c>
      <c r="J2733" s="1">
        <v>1.452586</v>
      </c>
    </row>
    <row r="2734">
      <c r="A2734" s="1">
        <v>2025.0</v>
      </c>
      <c r="B2734" s="1" t="s">
        <v>339</v>
      </c>
      <c r="C2734" s="1">
        <v>686613.0</v>
      </c>
      <c r="D2734" s="1" t="s">
        <v>532</v>
      </c>
      <c r="E2734" s="1" t="s">
        <v>927</v>
      </c>
      <c r="F2734" s="1" t="s">
        <v>926</v>
      </c>
      <c r="G2734" s="1">
        <v>326.0</v>
      </c>
      <c r="H2734" s="1">
        <v>20.39792933</v>
      </c>
      <c r="I2734" s="1">
        <v>4.69</v>
      </c>
      <c r="J2734" s="1">
        <v>9.088308</v>
      </c>
    </row>
    <row r="2735">
      <c r="A2735" s="1">
        <v>2025.0</v>
      </c>
      <c r="B2735" s="1" t="s">
        <v>339</v>
      </c>
      <c r="C2735" s="1">
        <v>686613.0</v>
      </c>
      <c r="D2735" s="1" t="s">
        <v>541</v>
      </c>
      <c r="E2735" s="1" t="s">
        <v>927</v>
      </c>
      <c r="F2735" s="1" t="s">
        <v>926</v>
      </c>
      <c r="G2735" s="1">
        <v>347.0</v>
      </c>
      <c r="H2735" s="1">
        <v>21.71190637</v>
      </c>
      <c r="I2735" s="1">
        <v>4.8</v>
      </c>
      <c r="J2735" s="1">
        <v>8.667206</v>
      </c>
    </row>
    <row r="2736">
      <c r="A2736" s="1">
        <v>2025.0</v>
      </c>
      <c r="B2736" s="1" t="s">
        <v>339</v>
      </c>
      <c r="C2736" s="1">
        <v>686613.0</v>
      </c>
      <c r="D2736" s="1" t="s">
        <v>540</v>
      </c>
      <c r="E2736" s="1" t="s">
        <v>927</v>
      </c>
      <c r="F2736" s="1" t="s">
        <v>926</v>
      </c>
      <c r="G2736" s="1">
        <v>49.0</v>
      </c>
      <c r="H2736" s="1">
        <v>3.065946433</v>
      </c>
      <c r="I2736" s="1">
        <v>4.82</v>
      </c>
      <c r="J2736" s="1">
        <v>1.271393</v>
      </c>
    </row>
    <row r="2737">
      <c r="A2737" s="1">
        <v>2025.0</v>
      </c>
      <c r="B2737" s="1" t="s">
        <v>339</v>
      </c>
      <c r="C2737" s="1">
        <v>686613.0</v>
      </c>
      <c r="D2737" s="1" t="s">
        <v>537</v>
      </c>
      <c r="E2737" s="1" t="s">
        <v>927</v>
      </c>
      <c r="F2737" s="1" t="s">
        <v>926</v>
      </c>
      <c r="G2737" s="1">
        <v>724.0</v>
      </c>
      <c r="H2737" s="1">
        <v>45.3009228</v>
      </c>
      <c r="I2737" s="1">
        <v>4.86</v>
      </c>
      <c r="J2737" s="1">
        <v>17.919463</v>
      </c>
    </row>
    <row r="2738">
      <c r="A2738" s="1">
        <v>2025.0</v>
      </c>
      <c r="B2738" s="1" t="s">
        <v>339</v>
      </c>
      <c r="C2738" s="1">
        <v>686613.0</v>
      </c>
      <c r="D2738" s="1" t="s">
        <v>536</v>
      </c>
      <c r="E2738" s="1" t="s">
        <v>927</v>
      </c>
      <c r="F2738" s="1" t="s">
        <v>926</v>
      </c>
      <c r="G2738" s="1">
        <v>171.0</v>
      </c>
      <c r="H2738" s="1">
        <v>10.69952735</v>
      </c>
      <c r="I2738" s="1">
        <v>4.78</v>
      </c>
      <c r="J2738" s="1">
        <v>4.530915</v>
      </c>
    </row>
    <row r="2739">
      <c r="A2739" s="1">
        <v>2025.0</v>
      </c>
      <c r="B2739" s="1" t="s">
        <v>339</v>
      </c>
      <c r="C2739" s="1">
        <v>686613.0</v>
      </c>
      <c r="D2739" s="1" t="s">
        <v>533</v>
      </c>
      <c r="E2739" s="1" t="s">
        <v>927</v>
      </c>
      <c r="F2739" s="1" t="s">
        <v>926</v>
      </c>
      <c r="G2739" s="1">
        <v>18.0</v>
      </c>
      <c r="H2739" s="1">
        <v>1.126266036</v>
      </c>
      <c r="I2739" s="1">
        <v>5.43</v>
      </c>
      <c r="J2739" s="1">
        <v>0.271545</v>
      </c>
    </row>
    <row r="2740">
      <c r="A2740" s="1">
        <v>2025.0</v>
      </c>
      <c r="B2740" s="1" t="s">
        <v>339</v>
      </c>
      <c r="C2740" s="1">
        <v>686613.0</v>
      </c>
      <c r="D2740" s="1" t="s">
        <v>532</v>
      </c>
      <c r="E2740" s="1" t="s">
        <v>927</v>
      </c>
      <c r="F2740" s="1" t="s">
        <v>927</v>
      </c>
      <c r="G2740" s="1">
        <v>30.0</v>
      </c>
      <c r="H2740" s="1">
        <v>1.877110061</v>
      </c>
      <c r="I2740" s="1">
        <v>4.64</v>
      </c>
      <c r="J2740" s="1">
        <v>0.846281</v>
      </c>
    </row>
    <row r="2741">
      <c r="A2741" s="1">
        <v>2025.0</v>
      </c>
      <c r="B2741" s="1" t="s">
        <v>339</v>
      </c>
      <c r="C2741" s="1">
        <v>686613.0</v>
      </c>
      <c r="D2741" s="1" t="s">
        <v>541</v>
      </c>
      <c r="E2741" s="1" t="s">
        <v>927</v>
      </c>
      <c r="F2741" s="1" t="s">
        <v>927</v>
      </c>
      <c r="G2741" s="1">
        <v>183.0</v>
      </c>
      <c r="H2741" s="1">
        <v>11.45037137</v>
      </c>
      <c r="I2741" s="1">
        <v>5.0</v>
      </c>
      <c r="J2741" s="1">
        <v>3.931726</v>
      </c>
    </row>
    <row r="2742">
      <c r="A2742" s="1">
        <v>2025.0</v>
      </c>
      <c r="B2742" s="1" t="s">
        <v>339</v>
      </c>
      <c r="C2742" s="1">
        <v>686613.0</v>
      </c>
      <c r="D2742" s="1" t="s">
        <v>540</v>
      </c>
      <c r="E2742" s="1" t="s">
        <v>927</v>
      </c>
      <c r="F2742" s="1" t="s">
        <v>927</v>
      </c>
      <c r="G2742" s="1">
        <v>115.0</v>
      </c>
      <c r="H2742" s="1">
        <v>7.195588566</v>
      </c>
      <c r="I2742" s="1">
        <v>5.07</v>
      </c>
      <c r="J2742" s="1">
        <v>2.225429</v>
      </c>
    </row>
    <row r="2743">
      <c r="A2743" s="1">
        <v>2025.0</v>
      </c>
      <c r="B2743" s="1" t="s">
        <v>339</v>
      </c>
      <c r="C2743" s="1">
        <v>686613.0</v>
      </c>
      <c r="D2743" s="1" t="s">
        <v>537</v>
      </c>
      <c r="E2743" s="1" t="s">
        <v>927</v>
      </c>
      <c r="F2743" s="1" t="s">
        <v>927</v>
      </c>
      <c r="G2743" s="1">
        <v>400.0</v>
      </c>
      <c r="H2743" s="1">
        <v>25.02813414</v>
      </c>
      <c r="I2743" s="1">
        <v>5.02</v>
      </c>
      <c r="J2743" s="1">
        <v>8.72689</v>
      </c>
    </row>
    <row r="2744">
      <c r="A2744" s="1">
        <v>2025.0</v>
      </c>
      <c r="B2744" s="1" t="s">
        <v>339</v>
      </c>
      <c r="C2744" s="1">
        <v>686613.0</v>
      </c>
      <c r="D2744" s="1" t="s">
        <v>536</v>
      </c>
      <c r="E2744" s="1" t="s">
        <v>927</v>
      </c>
      <c r="F2744" s="1" t="s">
        <v>927</v>
      </c>
      <c r="G2744" s="1">
        <v>486.0</v>
      </c>
      <c r="H2744" s="1">
        <v>30.40918298</v>
      </c>
      <c r="I2744" s="1">
        <v>4.98</v>
      </c>
      <c r="J2744" s="1">
        <v>10.999442</v>
      </c>
    </row>
    <row r="2745">
      <c r="A2745" s="1">
        <v>2025.0</v>
      </c>
      <c r="B2745" s="1" t="s">
        <v>339</v>
      </c>
      <c r="C2745" s="1">
        <v>686613.0</v>
      </c>
      <c r="D2745" s="1" t="s">
        <v>533</v>
      </c>
      <c r="E2745" s="1" t="s">
        <v>927</v>
      </c>
      <c r="F2745" s="1" t="s">
        <v>927</v>
      </c>
      <c r="G2745" s="1">
        <v>113.0</v>
      </c>
      <c r="H2745" s="1">
        <v>7.070447896</v>
      </c>
      <c r="I2745" s="1">
        <v>5.2</v>
      </c>
      <c r="J2745" s="1">
        <v>2.054925</v>
      </c>
    </row>
    <row r="2746">
      <c r="A2746" s="1">
        <v>2025.0</v>
      </c>
      <c r="B2746" s="1" t="s">
        <v>143</v>
      </c>
      <c r="C2746" s="1">
        <v>690928.0</v>
      </c>
      <c r="D2746" s="1" t="s">
        <v>541</v>
      </c>
      <c r="E2746" s="1" t="s">
        <v>927</v>
      </c>
      <c r="F2746" s="1" t="s">
        <v>926</v>
      </c>
      <c r="G2746" s="1">
        <v>95.0</v>
      </c>
      <c r="H2746" s="1">
        <v>6.224489796</v>
      </c>
      <c r="I2746" s="1">
        <v>4.89</v>
      </c>
      <c r="J2746" s="1">
        <v>2.236413</v>
      </c>
    </row>
    <row r="2747">
      <c r="A2747" s="1">
        <v>2025.0</v>
      </c>
      <c r="B2747" s="1" t="s">
        <v>143</v>
      </c>
      <c r="C2747" s="1">
        <v>690928.0</v>
      </c>
      <c r="D2747" s="1" t="s">
        <v>537</v>
      </c>
      <c r="E2747" s="1" t="s">
        <v>927</v>
      </c>
      <c r="F2747" s="1" t="s">
        <v>926</v>
      </c>
      <c r="G2747" s="1">
        <v>185.0</v>
      </c>
      <c r="H2747" s="1">
        <v>12.12137487</v>
      </c>
      <c r="I2747" s="1">
        <v>5.19</v>
      </c>
      <c r="J2747" s="1">
        <v>3.479587</v>
      </c>
    </row>
    <row r="2748">
      <c r="A2748" s="1">
        <v>2025.0</v>
      </c>
      <c r="B2748" s="1" t="s">
        <v>143</v>
      </c>
      <c r="C2748" s="1">
        <v>690928.0</v>
      </c>
      <c r="D2748" s="1" t="s">
        <v>538</v>
      </c>
      <c r="E2748" s="1" t="s">
        <v>927</v>
      </c>
      <c r="F2748" s="1" t="s">
        <v>926</v>
      </c>
      <c r="G2748" s="1">
        <v>69.0</v>
      </c>
      <c r="H2748" s="1">
        <v>4.52094522</v>
      </c>
      <c r="I2748" s="1">
        <v>4.73</v>
      </c>
      <c r="J2748" s="1">
        <v>1.856423</v>
      </c>
    </row>
    <row r="2749">
      <c r="A2749" s="1">
        <v>2025.0</v>
      </c>
      <c r="B2749" s="1" t="s">
        <v>143</v>
      </c>
      <c r="C2749" s="1">
        <v>690928.0</v>
      </c>
      <c r="D2749" s="1" t="s">
        <v>533</v>
      </c>
      <c r="E2749" s="1" t="s">
        <v>927</v>
      </c>
      <c r="F2749" s="1" t="s">
        <v>926</v>
      </c>
      <c r="G2749" s="1">
        <v>86.0</v>
      </c>
      <c r="H2749" s="1">
        <v>5.634801289</v>
      </c>
      <c r="I2749" s="1">
        <v>5.26</v>
      </c>
      <c r="J2749" s="1">
        <v>1.448378</v>
      </c>
    </row>
    <row r="2750">
      <c r="A2750" s="1">
        <v>2025.0</v>
      </c>
      <c r="B2750" s="1" t="s">
        <v>143</v>
      </c>
      <c r="C2750" s="1">
        <v>690928.0</v>
      </c>
      <c r="D2750" s="1" t="s">
        <v>539</v>
      </c>
      <c r="E2750" s="1" t="s">
        <v>927</v>
      </c>
      <c r="F2750" s="1" t="s">
        <v>926</v>
      </c>
      <c r="G2750" s="1">
        <v>19.0</v>
      </c>
      <c r="H2750" s="1">
        <v>1.244897959</v>
      </c>
      <c r="I2750" s="1">
        <v>5.93</v>
      </c>
      <c r="J2750" s="1">
        <v>0.065792</v>
      </c>
    </row>
    <row r="2751">
      <c r="A2751" s="1">
        <v>2025.0</v>
      </c>
      <c r="B2751" s="1" t="s">
        <v>143</v>
      </c>
      <c r="C2751" s="1">
        <v>690928.0</v>
      </c>
      <c r="D2751" s="1" t="s">
        <v>541</v>
      </c>
      <c r="E2751" s="1" t="s">
        <v>927</v>
      </c>
      <c r="F2751" s="1" t="s">
        <v>927</v>
      </c>
      <c r="G2751" s="1">
        <v>17.0</v>
      </c>
      <c r="H2751" s="1">
        <v>1.113856069</v>
      </c>
      <c r="I2751" s="1">
        <v>5.17</v>
      </c>
      <c r="J2751" s="1">
        <v>0.284788</v>
      </c>
    </row>
    <row r="2752">
      <c r="A2752" s="1">
        <v>2025.0</v>
      </c>
      <c r="B2752" s="1" t="s">
        <v>143</v>
      </c>
      <c r="C2752" s="1">
        <v>690928.0</v>
      </c>
      <c r="D2752" s="1" t="s">
        <v>537</v>
      </c>
      <c r="E2752" s="1" t="s">
        <v>927</v>
      </c>
      <c r="F2752" s="1" t="s">
        <v>927</v>
      </c>
      <c r="G2752" s="1">
        <v>192.0</v>
      </c>
      <c r="H2752" s="1">
        <v>12.58002148</v>
      </c>
      <c r="I2752" s="1">
        <v>4.99</v>
      </c>
      <c r="J2752" s="1">
        <v>4.286165</v>
      </c>
    </row>
    <row r="2753">
      <c r="A2753" s="1">
        <v>2025.0</v>
      </c>
      <c r="B2753" s="1" t="s">
        <v>143</v>
      </c>
      <c r="C2753" s="1">
        <v>690928.0</v>
      </c>
      <c r="D2753" s="1" t="s">
        <v>538</v>
      </c>
      <c r="E2753" s="1" t="s">
        <v>927</v>
      </c>
      <c r="F2753" s="1" t="s">
        <v>927</v>
      </c>
      <c r="G2753" s="1">
        <v>12.0</v>
      </c>
      <c r="H2753" s="1">
        <v>0.786251343</v>
      </c>
      <c r="I2753" s="1">
        <v>5.09</v>
      </c>
      <c r="J2753" s="1">
        <v>0.251538</v>
      </c>
    </row>
    <row r="2754">
      <c r="A2754" s="1">
        <v>2025.0</v>
      </c>
      <c r="B2754" s="1" t="s">
        <v>143</v>
      </c>
      <c r="C2754" s="1">
        <v>690928.0</v>
      </c>
      <c r="D2754" s="1" t="s">
        <v>536</v>
      </c>
      <c r="E2754" s="1" t="s">
        <v>927</v>
      </c>
      <c r="F2754" s="1" t="s">
        <v>927</v>
      </c>
      <c r="G2754" s="1">
        <v>13.0</v>
      </c>
      <c r="H2754" s="1">
        <v>0.851772288</v>
      </c>
      <c r="I2754" s="1">
        <v>4.44</v>
      </c>
      <c r="J2754" s="1">
        <v>0.44799</v>
      </c>
    </row>
    <row r="2755">
      <c r="A2755" s="1">
        <v>2025.0</v>
      </c>
      <c r="B2755" s="1" t="s">
        <v>143</v>
      </c>
      <c r="C2755" s="1">
        <v>690928.0</v>
      </c>
      <c r="D2755" s="1" t="s">
        <v>533</v>
      </c>
      <c r="E2755" s="1" t="s">
        <v>927</v>
      </c>
      <c r="F2755" s="1" t="s">
        <v>927</v>
      </c>
      <c r="G2755" s="1">
        <v>172.0</v>
      </c>
      <c r="H2755" s="1">
        <v>11.26960258</v>
      </c>
      <c r="I2755" s="1">
        <v>5.13</v>
      </c>
      <c r="J2755" s="1">
        <v>3.420595</v>
      </c>
    </row>
    <row r="2756">
      <c r="A2756" s="1">
        <v>2025.0</v>
      </c>
      <c r="B2756" s="1" t="s">
        <v>143</v>
      </c>
      <c r="C2756" s="1">
        <v>690928.0</v>
      </c>
      <c r="D2756" s="1" t="s">
        <v>539</v>
      </c>
      <c r="E2756" s="1" t="s">
        <v>927</v>
      </c>
      <c r="F2756" s="1" t="s">
        <v>927</v>
      </c>
      <c r="G2756" s="1">
        <v>71.0</v>
      </c>
      <c r="H2756" s="1">
        <v>4.651987111</v>
      </c>
      <c r="I2756" s="1">
        <v>5.2</v>
      </c>
      <c r="J2756" s="1">
        <v>1.184058</v>
      </c>
    </row>
    <row r="2757">
      <c r="A2757" s="1">
        <v>2025.0</v>
      </c>
      <c r="B2757" s="1" t="s">
        <v>238</v>
      </c>
      <c r="C2757" s="1">
        <v>683769.0</v>
      </c>
      <c r="D2757" s="1" t="s">
        <v>532</v>
      </c>
      <c r="E2757" s="1" t="s">
        <v>927</v>
      </c>
      <c r="F2757" s="1" t="s">
        <v>926</v>
      </c>
      <c r="G2757" s="1">
        <v>107.0</v>
      </c>
      <c r="H2757" s="1">
        <v>6.800127105</v>
      </c>
      <c r="I2757" s="1">
        <v>4.47</v>
      </c>
      <c r="J2757" s="1">
        <v>3.391471</v>
      </c>
    </row>
    <row r="2758">
      <c r="A2758" s="1">
        <v>2025.0</v>
      </c>
      <c r="B2758" s="1" t="s">
        <v>238</v>
      </c>
      <c r="C2758" s="1">
        <v>683769.0</v>
      </c>
      <c r="D2758" s="1" t="s">
        <v>537</v>
      </c>
      <c r="E2758" s="1" t="s">
        <v>927</v>
      </c>
      <c r="F2758" s="1" t="s">
        <v>926</v>
      </c>
      <c r="G2758" s="1">
        <v>171.0</v>
      </c>
      <c r="H2758" s="1">
        <v>10.86749285</v>
      </c>
      <c r="I2758" s="1">
        <v>5.02</v>
      </c>
      <c r="J2758" s="1">
        <v>3.783621</v>
      </c>
    </row>
    <row r="2759">
      <c r="A2759" s="1">
        <v>2025.0</v>
      </c>
      <c r="B2759" s="1" t="s">
        <v>238</v>
      </c>
      <c r="C2759" s="1">
        <v>683769.0</v>
      </c>
      <c r="D2759" s="1" t="s">
        <v>533</v>
      </c>
      <c r="E2759" s="1" t="s">
        <v>927</v>
      </c>
      <c r="F2759" s="1" t="s">
        <v>926</v>
      </c>
      <c r="G2759" s="1">
        <v>180.0</v>
      </c>
      <c r="H2759" s="1">
        <v>11.43946616</v>
      </c>
      <c r="I2759" s="1">
        <v>5.29</v>
      </c>
      <c r="J2759" s="1">
        <v>2.815012</v>
      </c>
    </row>
    <row r="2760">
      <c r="A2760" s="1">
        <v>2025.0</v>
      </c>
      <c r="B2760" s="1" t="s">
        <v>238</v>
      </c>
      <c r="C2760" s="1">
        <v>683769.0</v>
      </c>
      <c r="D2760" s="1" t="s">
        <v>532</v>
      </c>
      <c r="E2760" s="1" t="s">
        <v>927</v>
      </c>
      <c r="F2760" s="1" t="s">
        <v>927</v>
      </c>
      <c r="G2760" s="1">
        <v>32.0</v>
      </c>
      <c r="H2760" s="1">
        <v>2.033682873</v>
      </c>
      <c r="I2760" s="1">
        <v>4.52</v>
      </c>
      <c r="J2760" s="1">
        <v>0.973024</v>
      </c>
    </row>
    <row r="2761">
      <c r="A2761" s="1">
        <v>2025.0</v>
      </c>
      <c r="B2761" s="1" t="s">
        <v>238</v>
      </c>
      <c r="C2761" s="1">
        <v>683769.0</v>
      </c>
      <c r="D2761" s="1" t="s">
        <v>537</v>
      </c>
      <c r="E2761" s="1" t="s">
        <v>927</v>
      </c>
      <c r="F2761" s="1" t="s">
        <v>927</v>
      </c>
      <c r="G2761" s="1">
        <v>176.0</v>
      </c>
      <c r="H2761" s="1">
        <v>11.1852558</v>
      </c>
      <c r="I2761" s="1">
        <v>4.98</v>
      </c>
      <c r="J2761" s="1">
        <v>4.027993</v>
      </c>
    </row>
    <row r="2762">
      <c r="A2762" s="1">
        <v>2025.0</v>
      </c>
      <c r="B2762" s="1" t="s">
        <v>238</v>
      </c>
      <c r="C2762" s="1">
        <v>683769.0</v>
      </c>
      <c r="D2762" s="1" t="s">
        <v>533</v>
      </c>
      <c r="E2762" s="1" t="s">
        <v>927</v>
      </c>
      <c r="F2762" s="1" t="s">
        <v>927</v>
      </c>
      <c r="G2762" s="1">
        <v>383.0</v>
      </c>
      <c r="H2762" s="1">
        <v>24.34064188</v>
      </c>
      <c r="I2762" s="1">
        <v>5.08</v>
      </c>
      <c r="J2762" s="1">
        <v>7.691474</v>
      </c>
    </row>
    <row r="2763">
      <c r="A2763" s="1">
        <v>2025.0</v>
      </c>
      <c r="B2763" s="1" t="s">
        <v>73</v>
      </c>
      <c r="C2763" s="1">
        <v>668881.0</v>
      </c>
      <c r="D2763" s="1" t="s">
        <v>541</v>
      </c>
      <c r="E2763" s="1" t="s">
        <v>927</v>
      </c>
      <c r="F2763" s="1" t="s">
        <v>926</v>
      </c>
      <c r="G2763" s="1">
        <v>1.0</v>
      </c>
      <c r="H2763" s="1">
        <v>0.061594203</v>
      </c>
      <c r="I2763" s="1">
        <v>5.01</v>
      </c>
      <c r="J2763" s="1">
        <v>0.020455</v>
      </c>
    </row>
    <row r="2764">
      <c r="A2764" s="1">
        <v>2025.0</v>
      </c>
      <c r="B2764" s="1" t="s">
        <v>73</v>
      </c>
      <c r="C2764" s="1">
        <v>668881.0</v>
      </c>
      <c r="D2764" s="1" t="s">
        <v>537</v>
      </c>
      <c r="E2764" s="1" t="s">
        <v>927</v>
      </c>
      <c r="F2764" s="1" t="s">
        <v>926</v>
      </c>
      <c r="G2764" s="1">
        <v>480.0</v>
      </c>
      <c r="H2764" s="1">
        <v>29.56521739</v>
      </c>
      <c r="I2764" s="1">
        <v>5.43</v>
      </c>
      <c r="J2764" s="1">
        <v>6.280814</v>
      </c>
    </row>
    <row r="2765">
      <c r="A2765" s="1">
        <v>2025.0</v>
      </c>
      <c r="B2765" s="1" t="s">
        <v>73</v>
      </c>
      <c r="C2765" s="1">
        <v>668881.0</v>
      </c>
      <c r="D2765" s="1" t="s">
        <v>538</v>
      </c>
      <c r="E2765" s="1" t="s">
        <v>927</v>
      </c>
      <c r="F2765" s="1" t="s">
        <v>926</v>
      </c>
      <c r="G2765" s="1">
        <v>159.0</v>
      </c>
      <c r="H2765" s="1">
        <v>9.793478261</v>
      </c>
      <c r="I2765" s="1">
        <v>4.62</v>
      </c>
      <c r="J2765" s="1">
        <v>4.665143</v>
      </c>
    </row>
    <row r="2766">
      <c r="A2766" s="1">
        <v>2025.0</v>
      </c>
      <c r="B2766" s="1" t="s">
        <v>73</v>
      </c>
      <c r="C2766" s="1">
        <v>668881.0</v>
      </c>
      <c r="D2766" s="1" t="s">
        <v>533</v>
      </c>
      <c r="E2766" s="1" t="s">
        <v>927</v>
      </c>
      <c r="F2766" s="1" t="s">
        <v>926</v>
      </c>
      <c r="G2766" s="1">
        <v>238.0</v>
      </c>
      <c r="H2766" s="1">
        <v>14.65942029</v>
      </c>
      <c r="I2766" s="1">
        <v>5.14</v>
      </c>
      <c r="J2766" s="1">
        <v>4.269443</v>
      </c>
    </row>
    <row r="2767">
      <c r="A2767" s="1">
        <v>2025.0</v>
      </c>
      <c r="B2767" s="1" t="s">
        <v>73</v>
      </c>
      <c r="C2767" s="1">
        <v>668881.0</v>
      </c>
      <c r="D2767" s="1" t="s">
        <v>541</v>
      </c>
      <c r="E2767" s="1" t="s">
        <v>927</v>
      </c>
      <c r="F2767" s="1" t="s">
        <v>927</v>
      </c>
      <c r="G2767" s="1">
        <v>1.0</v>
      </c>
      <c r="H2767" s="1">
        <v>0.061594203</v>
      </c>
      <c r="I2767" s="1">
        <v>-0.39</v>
      </c>
      <c r="J2767" s="1">
        <v>0.128675</v>
      </c>
    </row>
    <row r="2768">
      <c r="A2768" s="1">
        <v>2025.0</v>
      </c>
      <c r="B2768" s="1" t="s">
        <v>73</v>
      </c>
      <c r="C2768" s="1">
        <v>668881.0</v>
      </c>
      <c r="D2768" s="1" t="s">
        <v>537</v>
      </c>
      <c r="E2768" s="1" t="s">
        <v>927</v>
      </c>
      <c r="F2768" s="1" t="s">
        <v>927</v>
      </c>
      <c r="G2768" s="1">
        <v>467.0</v>
      </c>
      <c r="H2768" s="1">
        <v>28.76449275</v>
      </c>
      <c r="I2768" s="1">
        <v>5.52</v>
      </c>
      <c r="J2768" s="1">
        <v>5.135478</v>
      </c>
    </row>
    <row r="2769">
      <c r="A2769" s="1">
        <v>2025.0</v>
      </c>
      <c r="B2769" s="1" t="s">
        <v>73</v>
      </c>
      <c r="C2769" s="1">
        <v>668881.0</v>
      </c>
      <c r="D2769" s="1" t="s">
        <v>538</v>
      </c>
      <c r="E2769" s="1" t="s">
        <v>927</v>
      </c>
      <c r="F2769" s="1" t="s">
        <v>927</v>
      </c>
      <c r="G2769" s="1">
        <v>29.0</v>
      </c>
      <c r="H2769" s="1">
        <v>1.786231884</v>
      </c>
      <c r="I2769" s="1">
        <v>4.22</v>
      </c>
      <c r="J2769" s="1">
        <v>1.054264</v>
      </c>
    </row>
    <row r="2770">
      <c r="A2770" s="1">
        <v>2025.0</v>
      </c>
      <c r="B2770" s="1" t="s">
        <v>73</v>
      </c>
      <c r="C2770" s="1">
        <v>668881.0</v>
      </c>
      <c r="D2770" s="1" t="s">
        <v>533</v>
      </c>
      <c r="E2770" s="1" t="s">
        <v>927</v>
      </c>
      <c r="F2770" s="1" t="s">
        <v>927</v>
      </c>
      <c r="G2770" s="1">
        <v>373.0</v>
      </c>
      <c r="H2770" s="1">
        <v>22.97463768</v>
      </c>
      <c r="I2770" s="1">
        <v>5.04</v>
      </c>
      <c r="J2770" s="1">
        <v>7.53713</v>
      </c>
    </row>
    <row r="2771">
      <c r="A2771" s="1">
        <v>2025.0</v>
      </c>
      <c r="B2771" s="1" t="s">
        <v>650</v>
      </c>
      <c r="C2771" s="1">
        <v>640451.0</v>
      </c>
      <c r="D2771" s="1" t="s">
        <v>541</v>
      </c>
      <c r="E2771" s="1" t="s">
        <v>927</v>
      </c>
      <c r="F2771" s="1" t="s">
        <v>926</v>
      </c>
      <c r="G2771" s="1">
        <v>15.0</v>
      </c>
      <c r="H2771" s="1">
        <v>0.958083832</v>
      </c>
      <c r="I2771" s="1">
        <v>4.81</v>
      </c>
      <c r="J2771" s="1">
        <v>0.405007</v>
      </c>
    </row>
    <row r="2772">
      <c r="A2772" s="1">
        <v>2025.0</v>
      </c>
      <c r="B2772" s="1" t="s">
        <v>650</v>
      </c>
      <c r="C2772" s="1">
        <v>640451.0</v>
      </c>
      <c r="D2772" s="1" t="s">
        <v>537</v>
      </c>
      <c r="E2772" s="1" t="s">
        <v>927</v>
      </c>
      <c r="F2772" s="1" t="s">
        <v>926</v>
      </c>
      <c r="G2772" s="1">
        <v>45.0</v>
      </c>
      <c r="H2772" s="1">
        <v>2.874251497</v>
      </c>
      <c r="I2772" s="1">
        <v>5.41</v>
      </c>
      <c r="J2772" s="1">
        <v>0.635527</v>
      </c>
    </row>
    <row r="2773">
      <c r="A2773" s="1">
        <v>2025.0</v>
      </c>
      <c r="B2773" s="1" t="s">
        <v>650</v>
      </c>
      <c r="C2773" s="1">
        <v>640451.0</v>
      </c>
      <c r="D2773" s="1" t="s">
        <v>538</v>
      </c>
      <c r="E2773" s="1" t="s">
        <v>927</v>
      </c>
      <c r="F2773" s="1" t="s">
        <v>926</v>
      </c>
      <c r="G2773" s="1">
        <v>23.0</v>
      </c>
      <c r="H2773" s="1">
        <v>1.469061876</v>
      </c>
      <c r="I2773" s="1">
        <v>4.07</v>
      </c>
      <c r="J2773" s="1">
        <v>0.939005</v>
      </c>
    </row>
    <row r="2774">
      <c r="A2774" s="1">
        <v>2025.0</v>
      </c>
      <c r="B2774" s="1" t="s">
        <v>650</v>
      </c>
      <c r="C2774" s="1">
        <v>640451.0</v>
      </c>
      <c r="D2774" s="1" t="s">
        <v>533</v>
      </c>
      <c r="E2774" s="1" t="s">
        <v>927</v>
      </c>
      <c r="F2774" s="1" t="s">
        <v>926</v>
      </c>
      <c r="G2774" s="1">
        <v>3.0</v>
      </c>
      <c r="H2774" s="1">
        <v>0.191616766</v>
      </c>
      <c r="I2774" s="1">
        <v>5.09</v>
      </c>
      <c r="J2774" s="1">
        <v>0.057266</v>
      </c>
    </row>
    <row r="2775">
      <c r="A2775" s="1">
        <v>2025.0</v>
      </c>
      <c r="B2775" s="1" t="s">
        <v>650</v>
      </c>
      <c r="C2775" s="1">
        <v>640451.0</v>
      </c>
      <c r="D2775" s="1" t="s">
        <v>541</v>
      </c>
      <c r="E2775" s="1" t="s">
        <v>927</v>
      </c>
      <c r="F2775" s="1" t="s">
        <v>927</v>
      </c>
      <c r="G2775" s="1">
        <v>1.0</v>
      </c>
      <c r="H2775" s="1">
        <v>0.063872255</v>
      </c>
      <c r="I2775" s="1">
        <v>5.74</v>
      </c>
      <c r="J2775" s="1">
        <v>0.008877</v>
      </c>
    </row>
    <row r="2776">
      <c r="A2776" s="1">
        <v>2025.0</v>
      </c>
      <c r="B2776" s="1" t="s">
        <v>650</v>
      </c>
      <c r="C2776" s="1">
        <v>640451.0</v>
      </c>
      <c r="D2776" s="1" t="s">
        <v>537</v>
      </c>
      <c r="E2776" s="1" t="s">
        <v>927</v>
      </c>
      <c r="F2776" s="1" t="s">
        <v>927</v>
      </c>
      <c r="G2776" s="1">
        <v>44.0</v>
      </c>
      <c r="H2776" s="1">
        <v>2.810379242</v>
      </c>
      <c r="I2776" s="1">
        <v>5.18</v>
      </c>
      <c r="J2776" s="1">
        <v>0.811316</v>
      </c>
    </row>
    <row r="2777">
      <c r="A2777" s="1">
        <v>2025.0</v>
      </c>
      <c r="B2777" s="1" t="s">
        <v>650</v>
      </c>
      <c r="C2777" s="1">
        <v>640451.0</v>
      </c>
      <c r="D2777" s="1" t="s">
        <v>538</v>
      </c>
      <c r="E2777" s="1" t="s">
        <v>927</v>
      </c>
      <c r="F2777" s="1" t="s">
        <v>927</v>
      </c>
      <c r="G2777" s="1">
        <v>9.0</v>
      </c>
      <c r="H2777" s="1">
        <v>0.574850299</v>
      </c>
      <c r="I2777" s="1">
        <v>4.85</v>
      </c>
      <c r="J2777" s="1">
        <v>0.200243</v>
      </c>
    </row>
    <row r="2778">
      <c r="A2778" s="1">
        <v>2025.0</v>
      </c>
      <c r="B2778" s="1" t="s">
        <v>650</v>
      </c>
      <c r="C2778" s="1">
        <v>640451.0</v>
      </c>
      <c r="D2778" s="1" t="s">
        <v>533</v>
      </c>
      <c r="E2778" s="1" t="s">
        <v>927</v>
      </c>
      <c r="F2778" s="1" t="s">
        <v>927</v>
      </c>
      <c r="G2778" s="1">
        <v>27.0</v>
      </c>
      <c r="H2778" s="1">
        <v>1.724550898</v>
      </c>
      <c r="I2778" s="1">
        <v>5.15</v>
      </c>
      <c r="J2778" s="1">
        <v>0.499584</v>
      </c>
    </row>
    <row r="2779">
      <c r="A2779" s="1">
        <v>2025.0</v>
      </c>
      <c r="B2779" s="1" t="s">
        <v>812</v>
      </c>
      <c r="C2779" s="1">
        <v>676702.0</v>
      </c>
      <c r="D2779" s="1" t="s">
        <v>540</v>
      </c>
      <c r="E2779" s="1" t="s">
        <v>927</v>
      </c>
      <c r="F2779" s="1" t="s">
        <v>926</v>
      </c>
      <c r="G2779" s="1">
        <v>34.0</v>
      </c>
      <c r="H2779" s="1">
        <v>1.883381924</v>
      </c>
      <c r="I2779" s="1">
        <v>5.37</v>
      </c>
      <c r="J2779" s="1">
        <v>0.508533</v>
      </c>
    </row>
    <row r="2780">
      <c r="A2780" s="1">
        <v>2025.0</v>
      </c>
      <c r="B2780" s="1" t="s">
        <v>812</v>
      </c>
      <c r="C2780" s="1">
        <v>676702.0</v>
      </c>
      <c r="D2780" s="1" t="s">
        <v>537</v>
      </c>
      <c r="E2780" s="1" t="s">
        <v>927</v>
      </c>
      <c r="F2780" s="1" t="s">
        <v>926</v>
      </c>
      <c r="G2780" s="1">
        <v>67.0</v>
      </c>
      <c r="H2780" s="1">
        <v>3.711370262</v>
      </c>
      <c r="I2780" s="1">
        <v>4.59</v>
      </c>
      <c r="J2780" s="1">
        <v>2.094462</v>
      </c>
    </row>
    <row r="2781">
      <c r="A2781" s="1">
        <v>2025.0</v>
      </c>
      <c r="B2781" s="1" t="s">
        <v>812</v>
      </c>
      <c r="C2781" s="1">
        <v>676702.0</v>
      </c>
      <c r="D2781" s="1" t="s">
        <v>538</v>
      </c>
      <c r="E2781" s="1" t="s">
        <v>927</v>
      </c>
      <c r="F2781" s="1" t="s">
        <v>926</v>
      </c>
      <c r="G2781" s="1">
        <v>2.0</v>
      </c>
      <c r="H2781" s="1">
        <v>0.110787172</v>
      </c>
      <c r="I2781" s="1">
        <v>3.36</v>
      </c>
      <c r="J2781" s="1">
        <v>0.113274</v>
      </c>
    </row>
    <row r="2782">
      <c r="A2782" s="1">
        <v>2025.0</v>
      </c>
      <c r="B2782" s="1" t="s">
        <v>812</v>
      </c>
      <c r="C2782" s="1">
        <v>676702.0</v>
      </c>
      <c r="D2782" s="1" t="s">
        <v>536</v>
      </c>
      <c r="E2782" s="1" t="s">
        <v>927</v>
      </c>
      <c r="F2782" s="1" t="s">
        <v>926</v>
      </c>
      <c r="G2782" s="1">
        <v>3.0</v>
      </c>
      <c r="H2782" s="1">
        <v>0.166180758</v>
      </c>
      <c r="I2782" s="1">
        <v>3.7</v>
      </c>
      <c r="J2782" s="1">
        <v>0.144428</v>
      </c>
    </row>
    <row r="2783">
      <c r="A2783" s="1">
        <v>2025.0</v>
      </c>
      <c r="B2783" s="1" t="s">
        <v>812</v>
      </c>
      <c r="C2783" s="1">
        <v>676702.0</v>
      </c>
      <c r="D2783" s="1" t="s">
        <v>533</v>
      </c>
      <c r="E2783" s="1" t="s">
        <v>927</v>
      </c>
      <c r="F2783" s="1" t="s">
        <v>926</v>
      </c>
      <c r="G2783" s="1">
        <v>43.0</v>
      </c>
      <c r="H2783" s="1">
        <v>2.381924198</v>
      </c>
      <c r="I2783" s="1">
        <v>5.17</v>
      </c>
      <c r="J2783" s="1">
        <v>0.785603</v>
      </c>
    </row>
    <row r="2784">
      <c r="A2784" s="1">
        <v>2025.0</v>
      </c>
      <c r="B2784" s="1" t="s">
        <v>812</v>
      </c>
      <c r="C2784" s="1">
        <v>676702.0</v>
      </c>
      <c r="D2784" s="1" t="s">
        <v>540</v>
      </c>
      <c r="E2784" s="1" t="s">
        <v>927</v>
      </c>
      <c r="F2784" s="1" t="s">
        <v>927</v>
      </c>
      <c r="G2784" s="1">
        <v>39.0</v>
      </c>
      <c r="H2784" s="1">
        <v>2.160349854</v>
      </c>
      <c r="I2784" s="1">
        <v>5.34</v>
      </c>
      <c r="J2784" s="1">
        <v>0.627291</v>
      </c>
    </row>
    <row r="2785">
      <c r="A2785" s="1">
        <v>2025.0</v>
      </c>
      <c r="B2785" s="1" t="s">
        <v>812</v>
      </c>
      <c r="C2785" s="1">
        <v>676702.0</v>
      </c>
      <c r="D2785" s="1" t="s">
        <v>537</v>
      </c>
      <c r="E2785" s="1" t="s">
        <v>927</v>
      </c>
      <c r="F2785" s="1" t="s">
        <v>927</v>
      </c>
      <c r="G2785" s="1">
        <v>93.0</v>
      </c>
      <c r="H2785" s="1">
        <v>5.151603499</v>
      </c>
      <c r="I2785" s="1">
        <v>4.86</v>
      </c>
      <c r="J2785" s="1">
        <v>2.373483</v>
      </c>
    </row>
    <row r="2786">
      <c r="A2786" s="1">
        <v>2025.0</v>
      </c>
      <c r="B2786" s="1" t="s">
        <v>812</v>
      </c>
      <c r="C2786" s="1">
        <v>676702.0</v>
      </c>
      <c r="D2786" s="1" t="s">
        <v>538</v>
      </c>
      <c r="E2786" s="1" t="s">
        <v>927</v>
      </c>
      <c r="F2786" s="1" t="s">
        <v>927</v>
      </c>
      <c r="G2786" s="1">
        <v>2.0</v>
      </c>
      <c r="H2786" s="1">
        <v>0.110787172</v>
      </c>
      <c r="I2786" s="1">
        <v>4.8</v>
      </c>
      <c r="J2786" s="1">
        <v>0.055811</v>
      </c>
    </row>
    <row r="2787">
      <c r="A2787" s="1">
        <v>2025.0</v>
      </c>
      <c r="B2787" s="1" t="s">
        <v>812</v>
      </c>
      <c r="C2787" s="1">
        <v>676702.0</v>
      </c>
      <c r="D2787" s="1" t="s">
        <v>536</v>
      </c>
      <c r="E2787" s="1" t="s">
        <v>927</v>
      </c>
      <c r="F2787" s="1" t="s">
        <v>927</v>
      </c>
      <c r="G2787" s="1">
        <v>4.0</v>
      </c>
      <c r="H2787" s="1">
        <v>0.221574344</v>
      </c>
      <c r="I2787" s="1">
        <v>5.5</v>
      </c>
      <c r="J2787" s="1">
        <v>0.04235</v>
      </c>
    </row>
    <row r="2788">
      <c r="A2788" s="1">
        <v>2025.0</v>
      </c>
      <c r="B2788" s="1" t="s">
        <v>812</v>
      </c>
      <c r="C2788" s="1">
        <v>676702.0</v>
      </c>
      <c r="D2788" s="1" t="s">
        <v>533</v>
      </c>
      <c r="E2788" s="1" t="s">
        <v>927</v>
      </c>
      <c r="F2788" s="1" t="s">
        <v>927</v>
      </c>
      <c r="G2788" s="1">
        <v>56.0</v>
      </c>
      <c r="H2788" s="1">
        <v>3.102040816</v>
      </c>
      <c r="I2788" s="1">
        <v>4.98</v>
      </c>
      <c r="J2788" s="1">
        <v>1.23904</v>
      </c>
    </row>
    <row r="2789">
      <c r="A2789" s="1">
        <v>2025.0</v>
      </c>
      <c r="B2789" s="1" t="s">
        <v>834</v>
      </c>
      <c r="C2789" s="1">
        <v>519326.0</v>
      </c>
      <c r="D2789" s="1" t="s">
        <v>532</v>
      </c>
      <c r="E2789" s="1" t="s">
        <v>927</v>
      </c>
      <c r="F2789" s="1" t="s">
        <v>926</v>
      </c>
      <c r="G2789" s="1">
        <v>26.0</v>
      </c>
      <c r="H2789" s="1">
        <v>1.722891566</v>
      </c>
      <c r="I2789" s="1">
        <v>4.84</v>
      </c>
      <c r="J2789" s="1">
        <v>0.65227</v>
      </c>
    </row>
    <row r="2790">
      <c r="A2790" s="1">
        <v>2025.0</v>
      </c>
      <c r="B2790" s="1" t="s">
        <v>834</v>
      </c>
      <c r="C2790" s="1">
        <v>519326.0</v>
      </c>
      <c r="D2790" s="1" t="s">
        <v>537</v>
      </c>
      <c r="E2790" s="1" t="s">
        <v>927</v>
      </c>
      <c r="F2790" s="1" t="s">
        <v>926</v>
      </c>
      <c r="G2790" s="1">
        <v>64.0</v>
      </c>
      <c r="H2790" s="1">
        <v>4.240963855</v>
      </c>
      <c r="I2790" s="1">
        <v>4.73</v>
      </c>
      <c r="J2790" s="1">
        <v>1.811048</v>
      </c>
    </row>
    <row r="2791">
      <c r="A2791" s="1">
        <v>2025.0</v>
      </c>
      <c r="B2791" s="1" t="s">
        <v>834</v>
      </c>
      <c r="C2791" s="1">
        <v>519326.0</v>
      </c>
      <c r="D2791" s="1" t="s">
        <v>533</v>
      </c>
      <c r="E2791" s="1" t="s">
        <v>927</v>
      </c>
      <c r="F2791" s="1" t="s">
        <v>926</v>
      </c>
      <c r="G2791" s="1">
        <v>35.0</v>
      </c>
      <c r="H2791" s="1">
        <v>2.319277108</v>
      </c>
      <c r="I2791" s="1">
        <v>5.25</v>
      </c>
      <c r="J2791" s="1">
        <v>0.621018</v>
      </c>
    </row>
    <row r="2792">
      <c r="A2792" s="1">
        <v>2025.0</v>
      </c>
      <c r="B2792" s="1" t="s">
        <v>834</v>
      </c>
      <c r="C2792" s="1">
        <v>519326.0</v>
      </c>
      <c r="D2792" s="1" t="s">
        <v>539</v>
      </c>
      <c r="E2792" s="1" t="s">
        <v>927</v>
      </c>
      <c r="F2792" s="1" t="s">
        <v>926</v>
      </c>
      <c r="G2792" s="1">
        <v>13.0</v>
      </c>
      <c r="H2792" s="1">
        <v>0.861445783</v>
      </c>
      <c r="I2792" s="1">
        <v>4.49</v>
      </c>
      <c r="J2792" s="1">
        <v>0.405798</v>
      </c>
    </row>
    <row r="2793">
      <c r="A2793" s="1">
        <v>2025.0</v>
      </c>
      <c r="B2793" s="1" t="s">
        <v>834</v>
      </c>
      <c r="C2793" s="1">
        <v>519326.0</v>
      </c>
      <c r="D2793" s="1" t="s">
        <v>532</v>
      </c>
      <c r="E2793" s="1" t="s">
        <v>927</v>
      </c>
      <c r="F2793" s="1" t="s">
        <v>927</v>
      </c>
      <c r="G2793" s="1">
        <v>2.0</v>
      </c>
      <c r="H2793" s="1">
        <v>0.13253012</v>
      </c>
      <c r="I2793" s="1">
        <v>5.93</v>
      </c>
      <c r="J2793" s="1">
        <v>0.002021</v>
      </c>
    </row>
    <row r="2794">
      <c r="A2794" s="1">
        <v>2025.0</v>
      </c>
      <c r="B2794" s="1" t="s">
        <v>834</v>
      </c>
      <c r="C2794" s="1">
        <v>519326.0</v>
      </c>
      <c r="D2794" s="1" t="s">
        <v>537</v>
      </c>
      <c r="E2794" s="1" t="s">
        <v>927</v>
      </c>
      <c r="F2794" s="1" t="s">
        <v>927</v>
      </c>
      <c r="G2794" s="1">
        <v>53.0</v>
      </c>
      <c r="H2794" s="1">
        <v>3.512048193</v>
      </c>
      <c r="I2794" s="1">
        <v>5.02</v>
      </c>
      <c r="J2794" s="1">
        <v>1.187562</v>
      </c>
    </row>
    <row r="2795">
      <c r="A2795" s="1">
        <v>2025.0</v>
      </c>
      <c r="B2795" s="1" t="s">
        <v>834</v>
      </c>
      <c r="C2795" s="1">
        <v>519326.0</v>
      </c>
      <c r="D2795" s="1" t="s">
        <v>536</v>
      </c>
      <c r="E2795" s="1" t="s">
        <v>927</v>
      </c>
      <c r="F2795" s="1" t="s">
        <v>927</v>
      </c>
      <c r="G2795" s="1">
        <v>35.0</v>
      </c>
      <c r="H2795" s="1">
        <v>2.319277108</v>
      </c>
      <c r="I2795" s="1">
        <v>4.42</v>
      </c>
      <c r="J2795" s="1">
        <v>1.174502</v>
      </c>
    </row>
    <row r="2796">
      <c r="A2796" s="1">
        <v>2025.0</v>
      </c>
      <c r="B2796" s="1" t="s">
        <v>834</v>
      </c>
      <c r="C2796" s="1">
        <v>519326.0</v>
      </c>
      <c r="D2796" s="1" t="s">
        <v>533</v>
      </c>
      <c r="E2796" s="1" t="s">
        <v>927</v>
      </c>
      <c r="F2796" s="1" t="s">
        <v>927</v>
      </c>
      <c r="G2796" s="1">
        <v>71.0</v>
      </c>
      <c r="H2796" s="1">
        <v>4.704819277</v>
      </c>
      <c r="I2796" s="1">
        <v>5.33</v>
      </c>
      <c r="J2796" s="1">
        <v>1.104102</v>
      </c>
    </row>
    <row r="2797">
      <c r="A2797" s="1">
        <v>2025.0</v>
      </c>
      <c r="B2797" s="1" t="s">
        <v>834</v>
      </c>
      <c r="C2797" s="1">
        <v>519326.0</v>
      </c>
      <c r="D2797" s="1" t="s">
        <v>539</v>
      </c>
      <c r="E2797" s="1" t="s">
        <v>927</v>
      </c>
      <c r="F2797" s="1" t="s">
        <v>927</v>
      </c>
      <c r="G2797" s="1">
        <v>33.0</v>
      </c>
      <c r="H2797" s="1">
        <v>2.186746988</v>
      </c>
      <c r="I2797" s="1">
        <v>5.29</v>
      </c>
      <c r="J2797" s="1">
        <v>0.473253</v>
      </c>
    </row>
    <row r="2798">
      <c r="A2798" s="1">
        <v>2025.0</v>
      </c>
      <c r="B2798" s="1" t="s">
        <v>260</v>
      </c>
      <c r="C2798" s="1">
        <v>694462.0</v>
      </c>
      <c r="D2798" s="1" t="s">
        <v>541</v>
      </c>
      <c r="E2798" s="1" t="s">
        <v>927</v>
      </c>
      <c r="F2798" s="1" t="s">
        <v>926</v>
      </c>
      <c r="G2798" s="1">
        <v>78.0</v>
      </c>
      <c r="H2798" s="1">
        <v>5.103368177</v>
      </c>
      <c r="I2798" s="1">
        <v>4.54</v>
      </c>
      <c r="J2798" s="1">
        <v>2.378697</v>
      </c>
    </row>
    <row r="2799">
      <c r="A2799" s="1">
        <v>2025.0</v>
      </c>
      <c r="B2799" s="1" t="s">
        <v>260</v>
      </c>
      <c r="C2799" s="1">
        <v>694462.0</v>
      </c>
      <c r="D2799" s="1" t="s">
        <v>540</v>
      </c>
      <c r="E2799" s="1" t="s">
        <v>927</v>
      </c>
      <c r="F2799" s="1" t="s">
        <v>926</v>
      </c>
      <c r="G2799" s="1">
        <v>108.0</v>
      </c>
      <c r="H2799" s="1">
        <v>7.066202091</v>
      </c>
      <c r="I2799" s="1">
        <v>5.19</v>
      </c>
      <c r="J2799" s="1">
        <v>1.950214</v>
      </c>
    </row>
    <row r="2800">
      <c r="A2800" s="1">
        <v>2025.0</v>
      </c>
      <c r="B2800" s="1" t="s">
        <v>260</v>
      </c>
      <c r="C2800" s="1">
        <v>694462.0</v>
      </c>
      <c r="D2800" s="1" t="s">
        <v>537</v>
      </c>
      <c r="E2800" s="1" t="s">
        <v>927</v>
      </c>
      <c r="F2800" s="1" t="s">
        <v>926</v>
      </c>
      <c r="G2800" s="1">
        <v>12.0</v>
      </c>
      <c r="H2800" s="1">
        <v>0.785133566</v>
      </c>
      <c r="I2800" s="1">
        <v>4.35</v>
      </c>
      <c r="J2800" s="1">
        <v>0.420736</v>
      </c>
    </row>
    <row r="2801">
      <c r="A2801" s="1">
        <v>2025.0</v>
      </c>
      <c r="B2801" s="1" t="s">
        <v>260</v>
      </c>
      <c r="C2801" s="1">
        <v>694462.0</v>
      </c>
      <c r="D2801" s="1" t="s">
        <v>538</v>
      </c>
      <c r="E2801" s="1" t="s">
        <v>927</v>
      </c>
      <c r="F2801" s="1" t="s">
        <v>926</v>
      </c>
      <c r="G2801" s="1">
        <v>186.0</v>
      </c>
      <c r="H2801" s="1">
        <v>12.16957027</v>
      </c>
      <c r="I2801" s="1">
        <v>4.89</v>
      </c>
      <c r="J2801" s="1">
        <v>4.174797</v>
      </c>
    </row>
    <row r="2802">
      <c r="A2802" s="1">
        <v>2025.0</v>
      </c>
      <c r="B2802" s="1" t="s">
        <v>260</v>
      </c>
      <c r="C2802" s="1">
        <v>694462.0</v>
      </c>
      <c r="D2802" s="1" t="s">
        <v>536</v>
      </c>
      <c r="E2802" s="1" t="s">
        <v>927</v>
      </c>
      <c r="F2802" s="1" t="s">
        <v>926</v>
      </c>
      <c r="G2802" s="1">
        <v>99.0</v>
      </c>
      <c r="H2802" s="1">
        <v>6.477351916</v>
      </c>
      <c r="I2802" s="1">
        <v>4.87</v>
      </c>
      <c r="J2802" s="1">
        <v>2.506344</v>
      </c>
    </row>
    <row r="2803">
      <c r="A2803" s="1">
        <v>2025.0</v>
      </c>
      <c r="B2803" s="1" t="s">
        <v>260</v>
      </c>
      <c r="C2803" s="1">
        <v>694462.0</v>
      </c>
      <c r="D2803" s="1" t="s">
        <v>533</v>
      </c>
      <c r="E2803" s="1" t="s">
        <v>927</v>
      </c>
      <c r="F2803" s="1" t="s">
        <v>926</v>
      </c>
      <c r="G2803" s="1">
        <v>34.0</v>
      </c>
      <c r="H2803" s="1">
        <v>2.224545103</v>
      </c>
      <c r="I2803" s="1">
        <v>5.54</v>
      </c>
      <c r="J2803" s="1">
        <v>0.367546</v>
      </c>
    </row>
    <row r="2804">
      <c r="A2804" s="1">
        <v>2025.0</v>
      </c>
      <c r="B2804" s="1" t="s">
        <v>260</v>
      </c>
      <c r="C2804" s="1">
        <v>694462.0</v>
      </c>
      <c r="D2804" s="1" t="s">
        <v>541</v>
      </c>
      <c r="E2804" s="1" t="s">
        <v>927</v>
      </c>
      <c r="F2804" s="1" t="s">
        <v>927</v>
      </c>
      <c r="G2804" s="1">
        <v>36.0</v>
      </c>
      <c r="H2804" s="1">
        <v>2.355400697</v>
      </c>
      <c r="I2804" s="1">
        <v>5.01</v>
      </c>
      <c r="J2804" s="1">
        <v>0.767698</v>
      </c>
    </row>
    <row r="2805">
      <c r="A2805" s="1">
        <v>2025.0</v>
      </c>
      <c r="B2805" s="1" t="s">
        <v>260</v>
      </c>
      <c r="C2805" s="1">
        <v>694462.0</v>
      </c>
      <c r="D2805" s="1" t="s">
        <v>540</v>
      </c>
      <c r="E2805" s="1" t="s">
        <v>927</v>
      </c>
      <c r="F2805" s="1" t="s">
        <v>927</v>
      </c>
      <c r="G2805" s="1">
        <v>82.0</v>
      </c>
      <c r="H2805" s="1">
        <v>5.365079365</v>
      </c>
      <c r="I2805" s="1">
        <v>4.9</v>
      </c>
      <c r="J2805" s="1">
        <v>2.076306</v>
      </c>
    </row>
    <row r="2806">
      <c r="A2806" s="1">
        <v>2025.0</v>
      </c>
      <c r="B2806" s="1" t="s">
        <v>260</v>
      </c>
      <c r="C2806" s="1">
        <v>694462.0</v>
      </c>
      <c r="D2806" s="1" t="s">
        <v>537</v>
      </c>
      <c r="E2806" s="1" t="s">
        <v>927</v>
      </c>
      <c r="F2806" s="1" t="s">
        <v>927</v>
      </c>
      <c r="G2806" s="1">
        <v>10.0</v>
      </c>
      <c r="H2806" s="1">
        <v>0.654277971</v>
      </c>
      <c r="I2806" s="1">
        <v>4.77</v>
      </c>
      <c r="J2806" s="1">
        <v>0.286047</v>
      </c>
    </row>
    <row r="2807">
      <c r="A2807" s="1">
        <v>2025.0</v>
      </c>
      <c r="B2807" s="1" t="s">
        <v>260</v>
      </c>
      <c r="C2807" s="1">
        <v>694462.0</v>
      </c>
      <c r="D2807" s="1" t="s">
        <v>538</v>
      </c>
      <c r="E2807" s="1" t="s">
        <v>927</v>
      </c>
      <c r="F2807" s="1" t="s">
        <v>927</v>
      </c>
      <c r="G2807" s="1">
        <v>92.0</v>
      </c>
      <c r="H2807" s="1">
        <v>6.019357336</v>
      </c>
      <c r="I2807" s="1">
        <v>5.08</v>
      </c>
      <c r="J2807" s="1">
        <v>1.825142</v>
      </c>
    </row>
    <row r="2808">
      <c r="A2808" s="1">
        <v>2025.0</v>
      </c>
      <c r="B2808" s="1" t="s">
        <v>260</v>
      </c>
      <c r="C2808" s="1">
        <v>694462.0</v>
      </c>
      <c r="D2808" s="1" t="s">
        <v>536</v>
      </c>
      <c r="E2808" s="1" t="s">
        <v>927</v>
      </c>
      <c r="F2808" s="1" t="s">
        <v>927</v>
      </c>
      <c r="G2808" s="1">
        <v>59.0</v>
      </c>
      <c r="H2808" s="1">
        <v>3.860240031</v>
      </c>
      <c r="I2808" s="1">
        <v>4.62</v>
      </c>
      <c r="J2808" s="1">
        <v>1.769558</v>
      </c>
    </row>
    <row r="2809">
      <c r="A2809" s="1">
        <v>2025.0</v>
      </c>
      <c r="B2809" s="1" t="s">
        <v>260</v>
      </c>
      <c r="C2809" s="1">
        <v>694462.0</v>
      </c>
      <c r="D2809" s="1" t="s">
        <v>533</v>
      </c>
      <c r="E2809" s="1" t="s">
        <v>927</v>
      </c>
      <c r="F2809" s="1" t="s">
        <v>927</v>
      </c>
      <c r="G2809" s="1">
        <v>65.0</v>
      </c>
      <c r="H2809" s="1">
        <v>4.252806814</v>
      </c>
      <c r="I2809" s="1">
        <v>5.29</v>
      </c>
      <c r="J2809" s="1">
        <v>1.06598</v>
      </c>
    </row>
    <row r="2810">
      <c r="A2810" s="1">
        <v>2025.0</v>
      </c>
      <c r="B2810" s="1" t="s">
        <v>401</v>
      </c>
      <c r="C2810" s="1">
        <v>593576.0</v>
      </c>
      <c r="D2810" s="1" t="s">
        <v>532</v>
      </c>
      <c r="E2810" s="1" t="s">
        <v>927</v>
      </c>
      <c r="F2810" s="1" t="s">
        <v>926</v>
      </c>
      <c r="G2810" s="1">
        <v>1.0</v>
      </c>
      <c r="H2810" s="1">
        <v>0.048840049</v>
      </c>
      <c r="I2810" s="1">
        <v>9.52</v>
      </c>
      <c r="J2810" s="1">
        <v>-0.074578</v>
      </c>
    </row>
    <row r="2811">
      <c r="A2811" s="1">
        <v>2025.0</v>
      </c>
      <c r="B2811" s="1" t="s">
        <v>401</v>
      </c>
      <c r="C2811" s="1">
        <v>593576.0</v>
      </c>
      <c r="D2811" s="1" t="s">
        <v>537</v>
      </c>
      <c r="E2811" s="1" t="s">
        <v>927</v>
      </c>
      <c r="F2811" s="1" t="s">
        <v>926</v>
      </c>
      <c r="G2811" s="1">
        <v>133.0</v>
      </c>
      <c r="H2811" s="1">
        <v>6.495726496</v>
      </c>
      <c r="I2811" s="1">
        <v>5.06</v>
      </c>
      <c r="J2811" s="1">
        <v>2.801244</v>
      </c>
    </row>
    <row r="2812">
      <c r="A2812" s="1">
        <v>2025.0</v>
      </c>
      <c r="B2812" s="1" t="s">
        <v>401</v>
      </c>
      <c r="C2812" s="1">
        <v>593576.0</v>
      </c>
      <c r="D2812" s="1" t="s">
        <v>538</v>
      </c>
      <c r="E2812" s="1" t="s">
        <v>927</v>
      </c>
      <c r="F2812" s="1" t="s">
        <v>926</v>
      </c>
      <c r="G2812" s="1">
        <v>143.0</v>
      </c>
      <c r="H2812" s="1">
        <v>6.984126984</v>
      </c>
      <c r="I2812" s="1">
        <v>5.06</v>
      </c>
      <c r="J2812" s="1">
        <v>2.951562</v>
      </c>
    </row>
    <row r="2813">
      <c r="A2813" s="1">
        <v>2025.0</v>
      </c>
      <c r="B2813" s="1" t="s">
        <v>401</v>
      </c>
      <c r="C2813" s="1">
        <v>593576.0</v>
      </c>
      <c r="D2813" s="1" t="s">
        <v>536</v>
      </c>
      <c r="E2813" s="1" t="s">
        <v>927</v>
      </c>
      <c r="F2813" s="1" t="s">
        <v>926</v>
      </c>
      <c r="G2813" s="1">
        <v>5.0</v>
      </c>
      <c r="H2813" s="1">
        <v>0.244200244</v>
      </c>
      <c r="I2813" s="1">
        <v>3.56</v>
      </c>
      <c r="J2813" s="1">
        <v>0.263722</v>
      </c>
    </row>
    <row r="2814">
      <c r="A2814" s="1">
        <v>2025.0</v>
      </c>
      <c r="B2814" s="1" t="s">
        <v>401</v>
      </c>
      <c r="C2814" s="1">
        <v>593576.0</v>
      </c>
      <c r="D2814" s="1" t="s">
        <v>533</v>
      </c>
      <c r="E2814" s="1" t="s">
        <v>927</v>
      </c>
      <c r="F2814" s="1" t="s">
        <v>926</v>
      </c>
      <c r="G2814" s="1">
        <v>3.0</v>
      </c>
      <c r="H2814" s="1">
        <v>0.146520147</v>
      </c>
      <c r="I2814" s="1">
        <v>3.64</v>
      </c>
      <c r="J2814" s="1">
        <v>0.14938</v>
      </c>
    </row>
    <row r="2815">
      <c r="A2815" s="1">
        <v>2025.0</v>
      </c>
      <c r="B2815" s="1" t="s">
        <v>401</v>
      </c>
      <c r="C2815" s="1">
        <v>593576.0</v>
      </c>
      <c r="D2815" s="1" t="s">
        <v>532</v>
      </c>
      <c r="E2815" s="1" t="s">
        <v>927</v>
      </c>
      <c r="F2815" s="1" t="s">
        <v>927</v>
      </c>
      <c r="G2815" s="1">
        <v>27.0</v>
      </c>
      <c r="H2815" s="1">
        <v>1.318681319</v>
      </c>
      <c r="I2815" s="1">
        <v>4.81</v>
      </c>
      <c r="J2815" s="1">
        <v>0.675887</v>
      </c>
    </row>
    <row r="2816">
      <c r="A2816" s="1">
        <v>2025.0</v>
      </c>
      <c r="B2816" s="1" t="s">
        <v>401</v>
      </c>
      <c r="C2816" s="1">
        <v>593576.0</v>
      </c>
      <c r="D2816" s="1" t="s">
        <v>537</v>
      </c>
      <c r="E2816" s="1" t="s">
        <v>927</v>
      </c>
      <c r="F2816" s="1" t="s">
        <v>927</v>
      </c>
      <c r="G2816" s="1">
        <v>91.0</v>
      </c>
      <c r="H2816" s="1">
        <v>4.444444444</v>
      </c>
      <c r="I2816" s="1">
        <v>4.49</v>
      </c>
      <c r="J2816" s="1">
        <v>2.934109</v>
      </c>
    </row>
    <row r="2817">
      <c r="A2817" s="1">
        <v>2025.0</v>
      </c>
      <c r="B2817" s="1" t="s">
        <v>401</v>
      </c>
      <c r="C2817" s="1">
        <v>593576.0</v>
      </c>
      <c r="D2817" s="1" t="s">
        <v>538</v>
      </c>
      <c r="E2817" s="1" t="s">
        <v>927</v>
      </c>
      <c r="F2817" s="1" t="s">
        <v>927</v>
      </c>
      <c r="G2817" s="1">
        <v>95.0</v>
      </c>
      <c r="H2817" s="1">
        <v>4.63980464</v>
      </c>
      <c r="I2817" s="1">
        <v>4.79</v>
      </c>
      <c r="J2817" s="1">
        <v>2.433115</v>
      </c>
    </row>
    <row r="2818">
      <c r="A2818" s="1">
        <v>2025.0</v>
      </c>
      <c r="B2818" s="1" t="s">
        <v>401</v>
      </c>
      <c r="C2818" s="1">
        <v>593576.0</v>
      </c>
      <c r="D2818" s="1" t="s">
        <v>536</v>
      </c>
      <c r="E2818" s="1" t="s">
        <v>927</v>
      </c>
      <c r="F2818" s="1" t="s">
        <v>927</v>
      </c>
      <c r="G2818" s="1">
        <v>35.0</v>
      </c>
      <c r="H2818" s="1">
        <v>1.709401709</v>
      </c>
      <c r="I2818" s="1">
        <v>5.21</v>
      </c>
      <c r="J2818" s="1">
        <v>0.639978</v>
      </c>
    </row>
    <row r="2819">
      <c r="A2819" s="1">
        <v>2025.0</v>
      </c>
      <c r="B2819" s="1" t="s">
        <v>401</v>
      </c>
      <c r="C2819" s="1">
        <v>593576.0</v>
      </c>
      <c r="D2819" s="1" t="s">
        <v>533</v>
      </c>
      <c r="E2819" s="1" t="s">
        <v>927</v>
      </c>
      <c r="F2819" s="1" t="s">
        <v>927</v>
      </c>
      <c r="G2819" s="1">
        <v>13.0</v>
      </c>
      <c r="H2819" s="1">
        <v>0.634920635</v>
      </c>
      <c r="I2819" s="1">
        <v>5.95</v>
      </c>
      <c r="J2819" s="1">
        <v>0.038643</v>
      </c>
    </row>
    <row r="2820">
      <c r="A2820" s="1">
        <v>2025.0</v>
      </c>
      <c r="B2820" s="1" t="s">
        <v>775</v>
      </c>
      <c r="C2820" s="1">
        <v>666120.0</v>
      </c>
      <c r="D2820" s="1" t="s">
        <v>532</v>
      </c>
      <c r="E2820" s="1" t="s">
        <v>927</v>
      </c>
      <c r="F2820" s="1" t="s">
        <v>926</v>
      </c>
      <c r="G2820" s="1">
        <v>28.0</v>
      </c>
      <c r="H2820" s="1">
        <v>1.287356322</v>
      </c>
      <c r="I2820" s="1">
        <v>4.71</v>
      </c>
      <c r="J2820" s="1">
        <v>0.816333</v>
      </c>
    </row>
    <row r="2821">
      <c r="A2821" s="1">
        <v>2025.0</v>
      </c>
      <c r="B2821" s="1" t="s">
        <v>775</v>
      </c>
      <c r="C2821" s="1">
        <v>666120.0</v>
      </c>
      <c r="D2821" s="1" t="s">
        <v>541</v>
      </c>
      <c r="E2821" s="1" t="s">
        <v>927</v>
      </c>
      <c r="F2821" s="1" t="s">
        <v>926</v>
      </c>
      <c r="G2821" s="1">
        <v>9.0</v>
      </c>
      <c r="H2821" s="1">
        <v>0.413793103</v>
      </c>
      <c r="I2821" s="1">
        <v>4.69</v>
      </c>
      <c r="J2821" s="1">
        <v>0.275445</v>
      </c>
    </row>
    <row r="2822">
      <c r="A2822" s="1">
        <v>2025.0</v>
      </c>
      <c r="B2822" s="1" t="s">
        <v>775</v>
      </c>
      <c r="C2822" s="1">
        <v>666120.0</v>
      </c>
      <c r="D2822" s="1" t="s">
        <v>537</v>
      </c>
      <c r="E2822" s="1" t="s">
        <v>927</v>
      </c>
      <c r="F2822" s="1" t="s">
        <v>926</v>
      </c>
      <c r="G2822" s="1">
        <v>31.0</v>
      </c>
      <c r="H2822" s="1">
        <v>1.425287356</v>
      </c>
      <c r="I2822" s="1">
        <v>4.09</v>
      </c>
      <c r="J2822" s="1">
        <v>1.324711</v>
      </c>
    </row>
    <row r="2823">
      <c r="A2823" s="1">
        <v>2025.0</v>
      </c>
      <c r="B2823" s="1" t="s">
        <v>775</v>
      </c>
      <c r="C2823" s="1">
        <v>666120.0</v>
      </c>
      <c r="D2823" s="1" t="s">
        <v>532</v>
      </c>
      <c r="E2823" s="1" t="s">
        <v>927</v>
      </c>
      <c r="F2823" s="1" t="s">
        <v>927</v>
      </c>
      <c r="G2823" s="1">
        <v>42.0</v>
      </c>
      <c r="H2823" s="1">
        <v>1.931034483</v>
      </c>
      <c r="I2823" s="1">
        <v>4.44</v>
      </c>
      <c r="J2823" s="1">
        <v>1.379405</v>
      </c>
    </row>
    <row r="2824">
      <c r="A2824" s="1">
        <v>2025.0</v>
      </c>
      <c r="B2824" s="1" t="s">
        <v>775</v>
      </c>
      <c r="C2824" s="1">
        <v>666120.0</v>
      </c>
      <c r="D2824" s="1" t="s">
        <v>541</v>
      </c>
      <c r="E2824" s="1" t="s">
        <v>927</v>
      </c>
      <c r="F2824" s="1" t="s">
        <v>927</v>
      </c>
      <c r="G2824" s="1">
        <v>19.0</v>
      </c>
      <c r="H2824" s="1">
        <v>0.873563218</v>
      </c>
      <c r="I2824" s="1">
        <v>4.53</v>
      </c>
      <c r="J2824" s="1">
        <v>0.612349</v>
      </c>
    </row>
    <row r="2825">
      <c r="A2825" s="1">
        <v>2025.0</v>
      </c>
      <c r="B2825" s="1" t="s">
        <v>775</v>
      </c>
      <c r="C2825" s="1">
        <v>666120.0</v>
      </c>
      <c r="D2825" s="1" t="s">
        <v>537</v>
      </c>
      <c r="E2825" s="1" t="s">
        <v>927</v>
      </c>
      <c r="F2825" s="1" t="s">
        <v>927</v>
      </c>
      <c r="G2825" s="1">
        <v>74.0</v>
      </c>
      <c r="H2825" s="1">
        <v>3.402298851</v>
      </c>
      <c r="I2825" s="1">
        <v>4.51</v>
      </c>
      <c r="J2825" s="1">
        <v>2.494742</v>
      </c>
    </row>
    <row r="2826">
      <c r="A2826" s="1">
        <v>2025.0</v>
      </c>
      <c r="B2826" s="1" t="s">
        <v>653</v>
      </c>
      <c r="C2826" s="1">
        <v>664139.0</v>
      </c>
      <c r="D2826" s="1" t="s">
        <v>532</v>
      </c>
      <c r="E2826" s="1" t="s">
        <v>927</v>
      </c>
      <c r="F2826" s="1" t="s">
        <v>926</v>
      </c>
      <c r="G2826" s="1">
        <v>12.0</v>
      </c>
      <c r="H2826" s="1">
        <v>0.783505155</v>
      </c>
      <c r="I2826" s="1">
        <v>4.59</v>
      </c>
      <c r="J2826" s="1">
        <v>0.364744</v>
      </c>
    </row>
    <row r="2827">
      <c r="A2827" s="1">
        <v>2025.0</v>
      </c>
      <c r="B2827" s="1" t="s">
        <v>653</v>
      </c>
      <c r="C2827" s="1">
        <v>664139.0</v>
      </c>
      <c r="D2827" s="1" t="s">
        <v>540</v>
      </c>
      <c r="E2827" s="1" t="s">
        <v>927</v>
      </c>
      <c r="F2827" s="1" t="s">
        <v>926</v>
      </c>
      <c r="G2827" s="1">
        <v>23.0</v>
      </c>
      <c r="H2827" s="1">
        <v>1.501718213</v>
      </c>
      <c r="I2827" s="1">
        <v>5.52</v>
      </c>
      <c r="J2827" s="1">
        <v>0.298789</v>
      </c>
    </row>
    <row r="2828">
      <c r="A2828" s="1">
        <v>2025.0</v>
      </c>
      <c r="B2828" s="1" t="s">
        <v>653</v>
      </c>
      <c r="C2828" s="1">
        <v>664139.0</v>
      </c>
      <c r="D2828" s="1" t="s">
        <v>537</v>
      </c>
      <c r="E2828" s="1" t="s">
        <v>927</v>
      </c>
      <c r="F2828" s="1" t="s">
        <v>926</v>
      </c>
      <c r="G2828" s="1">
        <v>100.0</v>
      </c>
      <c r="H2828" s="1">
        <v>6.529209622</v>
      </c>
      <c r="I2828" s="1">
        <v>4.84</v>
      </c>
      <c r="J2828" s="1">
        <v>2.604972</v>
      </c>
    </row>
    <row r="2829">
      <c r="A2829" s="1">
        <v>2025.0</v>
      </c>
      <c r="B2829" s="1" t="s">
        <v>653</v>
      </c>
      <c r="C2829" s="1">
        <v>664139.0</v>
      </c>
      <c r="D2829" s="1" t="s">
        <v>533</v>
      </c>
      <c r="E2829" s="1" t="s">
        <v>927</v>
      </c>
      <c r="F2829" s="1" t="s">
        <v>926</v>
      </c>
      <c r="G2829" s="1">
        <v>8.0</v>
      </c>
      <c r="H2829" s="1">
        <v>0.52233677</v>
      </c>
      <c r="I2829" s="1">
        <v>5.94</v>
      </c>
      <c r="J2829" s="1">
        <v>0.009746</v>
      </c>
    </row>
    <row r="2830">
      <c r="A2830" s="1">
        <v>2025.0</v>
      </c>
      <c r="B2830" s="1" t="s">
        <v>653</v>
      </c>
      <c r="C2830" s="1">
        <v>664139.0</v>
      </c>
      <c r="D2830" s="1" t="s">
        <v>539</v>
      </c>
      <c r="E2830" s="1" t="s">
        <v>927</v>
      </c>
      <c r="F2830" s="1" t="s">
        <v>926</v>
      </c>
      <c r="G2830" s="1">
        <v>32.0</v>
      </c>
      <c r="H2830" s="1">
        <v>2.089347079</v>
      </c>
      <c r="I2830" s="1">
        <v>4.9</v>
      </c>
      <c r="J2830" s="1">
        <v>0.775446</v>
      </c>
    </row>
    <row r="2831">
      <c r="A2831" s="1">
        <v>2025.0</v>
      </c>
      <c r="B2831" s="1" t="s">
        <v>653</v>
      </c>
      <c r="C2831" s="1">
        <v>664139.0</v>
      </c>
      <c r="D2831" s="1" t="s">
        <v>532</v>
      </c>
      <c r="E2831" s="1" t="s">
        <v>927</v>
      </c>
      <c r="F2831" s="1" t="s">
        <v>927</v>
      </c>
      <c r="G2831" s="1">
        <v>1.0</v>
      </c>
      <c r="H2831" s="1">
        <v>0.065292096</v>
      </c>
      <c r="I2831" s="1">
        <v>6.77</v>
      </c>
      <c r="J2831" s="1">
        <v>-0.01365</v>
      </c>
    </row>
    <row r="2832">
      <c r="A2832" s="1">
        <v>2025.0</v>
      </c>
      <c r="B2832" s="1" t="s">
        <v>653</v>
      </c>
      <c r="C2832" s="1">
        <v>664139.0</v>
      </c>
      <c r="D2832" s="1" t="s">
        <v>540</v>
      </c>
      <c r="E2832" s="1" t="s">
        <v>927</v>
      </c>
      <c r="F2832" s="1" t="s">
        <v>927</v>
      </c>
      <c r="G2832" s="1">
        <v>31.0</v>
      </c>
      <c r="H2832" s="1">
        <v>2.024054983</v>
      </c>
      <c r="I2832" s="1">
        <v>5.44</v>
      </c>
      <c r="J2832" s="1">
        <v>0.448314</v>
      </c>
    </row>
    <row r="2833">
      <c r="A2833" s="1">
        <v>2025.0</v>
      </c>
      <c r="B2833" s="1" t="s">
        <v>653</v>
      </c>
      <c r="C2833" s="1">
        <v>664139.0</v>
      </c>
      <c r="D2833" s="1" t="s">
        <v>537</v>
      </c>
      <c r="E2833" s="1" t="s">
        <v>927</v>
      </c>
      <c r="F2833" s="1" t="s">
        <v>927</v>
      </c>
      <c r="G2833" s="1">
        <v>100.0</v>
      </c>
      <c r="H2833" s="1">
        <v>6.529209622</v>
      </c>
      <c r="I2833" s="1">
        <v>5.35</v>
      </c>
      <c r="J2833" s="1">
        <v>1.525809</v>
      </c>
    </row>
    <row r="2834">
      <c r="A2834" s="1">
        <v>2025.0</v>
      </c>
      <c r="B2834" s="1" t="s">
        <v>653</v>
      </c>
      <c r="C2834" s="1">
        <v>664139.0</v>
      </c>
      <c r="D2834" s="1" t="s">
        <v>533</v>
      </c>
      <c r="E2834" s="1" t="s">
        <v>927</v>
      </c>
      <c r="F2834" s="1" t="s">
        <v>927</v>
      </c>
      <c r="G2834" s="1">
        <v>20.0</v>
      </c>
      <c r="H2834" s="1">
        <v>1.305841924</v>
      </c>
      <c r="I2834" s="1">
        <v>4.93</v>
      </c>
      <c r="J2834" s="1">
        <v>0.478338</v>
      </c>
    </row>
    <row r="2835">
      <c r="A2835" s="1">
        <v>2025.0</v>
      </c>
      <c r="B2835" s="1" t="s">
        <v>653</v>
      </c>
      <c r="C2835" s="1">
        <v>664139.0</v>
      </c>
      <c r="D2835" s="1" t="s">
        <v>539</v>
      </c>
      <c r="E2835" s="1" t="s">
        <v>927</v>
      </c>
      <c r="F2835" s="1" t="s">
        <v>927</v>
      </c>
      <c r="G2835" s="1">
        <v>61.0</v>
      </c>
      <c r="H2835" s="1">
        <v>3.982817869</v>
      </c>
      <c r="I2835" s="1">
        <v>5.01</v>
      </c>
      <c r="J2835" s="1">
        <v>1.324384</v>
      </c>
    </row>
    <row r="2836">
      <c r="A2836" s="1">
        <v>2025.0</v>
      </c>
      <c r="B2836" s="1" t="s">
        <v>520</v>
      </c>
      <c r="C2836" s="1">
        <v>641656.0</v>
      </c>
      <c r="D2836" s="1" t="s">
        <v>537</v>
      </c>
      <c r="E2836" s="1" t="s">
        <v>927</v>
      </c>
      <c r="F2836" s="1" t="s">
        <v>926</v>
      </c>
      <c r="G2836" s="1">
        <v>76.0</v>
      </c>
      <c r="H2836" s="1">
        <v>4.75</v>
      </c>
      <c r="I2836" s="1">
        <v>4.89</v>
      </c>
      <c r="J2836" s="1">
        <v>1.876138</v>
      </c>
    </row>
    <row r="2837">
      <c r="A2837" s="1">
        <v>2025.0</v>
      </c>
      <c r="B2837" s="1" t="s">
        <v>520</v>
      </c>
      <c r="C2837" s="1">
        <v>641656.0</v>
      </c>
      <c r="D2837" s="1" t="s">
        <v>536</v>
      </c>
      <c r="E2837" s="1" t="s">
        <v>927</v>
      </c>
      <c r="F2837" s="1" t="s">
        <v>926</v>
      </c>
      <c r="G2837" s="1">
        <v>114.0</v>
      </c>
      <c r="H2837" s="1">
        <v>7.125</v>
      </c>
      <c r="I2837" s="1">
        <v>4.73</v>
      </c>
      <c r="J2837" s="1">
        <v>3.23211</v>
      </c>
    </row>
    <row r="2838">
      <c r="A2838" s="1">
        <v>2025.0</v>
      </c>
      <c r="B2838" s="1" t="s">
        <v>520</v>
      </c>
      <c r="C2838" s="1">
        <v>641656.0</v>
      </c>
      <c r="D2838" s="1" t="s">
        <v>533</v>
      </c>
      <c r="E2838" s="1" t="s">
        <v>927</v>
      </c>
      <c r="F2838" s="1" t="s">
        <v>926</v>
      </c>
      <c r="G2838" s="1">
        <v>72.0</v>
      </c>
      <c r="H2838" s="1">
        <v>4.5</v>
      </c>
      <c r="I2838" s="1">
        <v>4.3</v>
      </c>
      <c r="J2838" s="1">
        <v>2.603387</v>
      </c>
    </row>
    <row r="2839">
      <c r="A2839" s="1">
        <v>2025.0</v>
      </c>
      <c r="B2839" s="1" t="s">
        <v>520</v>
      </c>
      <c r="C2839" s="1">
        <v>641656.0</v>
      </c>
      <c r="D2839" s="1" t="s">
        <v>537</v>
      </c>
      <c r="E2839" s="1" t="s">
        <v>927</v>
      </c>
      <c r="F2839" s="1" t="s">
        <v>927</v>
      </c>
      <c r="G2839" s="1">
        <v>14.0</v>
      </c>
      <c r="H2839" s="1">
        <v>0.875</v>
      </c>
      <c r="I2839" s="1">
        <v>4.35</v>
      </c>
      <c r="J2839" s="1">
        <v>0.510503</v>
      </c>
    </row>
    <row r="2840">
      <c r="A2840" s="1">
        <v>2025.0</v>
      </c>
      <c r="B2840" s="1" t="s">
        <v>520</v>
      </c>
      <c r="C2840" s="1">
        <v>641656.0</v>
      </c>
      <c r="D2840" s="1" t="s">
        <v>536</v>
      </c>
      <c r="E2840" s="1" t="s">
        <v>927</v>
      </c>
      <c r="F2840" s="1" t="s">
        <v>927</v>
      </c>
      <c r="G2840" s="1">
        <v>192.0</v>
      </c>
      <c r="H2840" s="1">
        <v>12.0</v>
      </c>
      <c r="I2840" s="1">
        <v>4.77</v>
      </c>
      <c r="J2840" s="1">
        <v>5.205267</v>
      </c>
    </row>
    <row r="2841">
      <c r="A2841" s="1">
        <v>2025.0</v>
      </c>
      <c r="B2841" s="1" t="s">
        <v>520</v>
      </c>
      <c r="C2841" s="1">
        <v>641656.0</v>
      </c>
      <c r="D2841" s="1" t="s">
        <v>533</v>
      </c>
      <c r="E2841" s="1" t="s">
        <v>927</v>
      </c>
      <c r="F2841" s="1" t="s">
        <v>927</v>
      </c>
      <c r="G2841" s="1">
        <v>172.0</v>
      </c>
      <c r="H2841" s="1">
        <v>10.75</v>
      </c>
      <c r="I2841" s="1">
        <v>4.69</v>
      </c>
      <c r="J2841" s="1">
        <v>4.864264</v>
      </c>
    </row>
    <row r="2842">
      <c r="A2842" s="1">
        <v>2025.0</v>
      </c>
      <c r="B2842" s="1" t="s">
        <v>364</v>
      </c>
      <c r="C2842" s="1">
        <v>693855.0</v>
      </c>
      <c r="D2842" s="1" t="s">
        <v>532</v>
      </c>
      <c r="E2842" s="1" t="s">
        <v>926</v>
      </c>
      <c r="F2842" s="1" t="s">
        <v>926</v>
      </c>
      <c r="G2842" s="1">
        <v>80.0</v>
      </c>
      <c r="H2842" s="1">
        <v>4.582914573</v>
      </c>
      <c r="I2842" s="1">
        <v>5.05</v>
      </c>
      <c r="J2842" s="1">
        <v>1.62424</v>
      </c>
    </row>
    <row r="2843">
      <c r="A2843" s="1">
        <v>2025.0</v>
      </c>
      <c r="B2843" s="1" t="s">
        <v>364</v>
      </c>
      <c r="C2843" s="1">
        <v>693855.0</v>
      </c>
      <c r="D2843" s="1" t="s">
        <v>541</v>
      </c>
      <c r="E2843" s="1" t="s">
        <v>926</v>
      </c>
      <c r="F2843" s="1" t="s">
        <v>926</v>
      </c>
      <c r="G2843" s="1">
        <v>1.0</v>
      </c>
      <c r="H2843" s="1">
        <v>0.057286432</v>
      </c>
      <c r="I2843" s="1">
        <v>7.32</v>
      </c>
      <c r="J2843" s="1">
        <v>-0.029962</v>
      </c>
    </row>
    <row r="2844">
      <c r="A2844" s="1">
        <v>2025.0</v>
      </c>
      <c r="B2844" s="1" t="s">
        <v>364</v>
      </c>
      <c r="C2844" s="1">
        <v>693855.0</v>
      </c>
      <c r="D2844" s="1" t="s">
        <v>540</v>
      </c>
      <c r="E2844" s="1" t="s">
        <v>926</v>
      </c>
      <c r="F2844" s="1" t="s">
        <v>926</v>
      </c>
      <c r="G2844" s="1">
        <v>34.0</v>
      </c>
      <c r="H2844" s="1">
        <v>1.947738693</v>
      </c>
      <c r="I2844" s="1">
        <v>5.23</v>
      </c>
      <c r="J2844" s="1">
        <v>0.625603</v>
      </c>
    </row>
    <row r="2845">
      <c r="A2845" s="1">
        <v>2025.0</v>
      </c>
      <c r="B2845" s="1" t="s">
        <v>364</v>
      </c>
      <c r="C2845" s="1">
        <v>693855.0</v>
      </c>
      <c r="D2845" s="1" t="s">
        <v>537</v>
      </c>
      <c r="E2845" s="1" t="s">
        <v>926</v>
      </c>
      <c r="F2845" s="1" t="s">
        <v>926</v>
      </c>
      <c r="G2845" s="1">
        <v>98.0</v>
      </c>
      <c r="H2845" s="1">
        <v>5.614070352</v>
      </c>
      <c r="I2845" s="1">
        <v>5.24</v>
      </c>
      <c r="J2845" s="1">
        <v>1.702741</v>
      </c>
    </row>
    <row r="2846">
      <c r="A2846" s="1">
        <v>2025.0</v>
      </c>
      <c r="B2846" s="1" t="s">
        <v>364</v>
      </c>
      <c r="C2846" s="1">
        <v>693855.0</v>
      </c>
      <c r="D2846" s="1" t="s">
        <v>536</v>
      </c>
      <c r="E2846" s="1" t="s">
        <v>926</v>
      </c>
      <c r="F2846" s="1" t="s">
        <v>926</v>
      </c>
      <c r="G2846" s="1">
        <v>49.0</v>
      </c>
      <c r="H2846" s="1">
        <v>2.807035176</v>
      </c>
      <c r="I2846" s="1">
        <v>4.64</v>
      </c>
      <c r="J2846" s="1">
        <v>1.476839</v>
      </c>
    </row>
    <row r="2847">
      <c r="A2847" s="1">
        <v>2025.0</v>
      </c>
      <c r="B2847" s="1" t="s">
        <v>364</v>
      </c>
      <c r="C2847" s="1">
        <v>693855.0</v>
      </c>
      <c r="D2847" s="1" t="s">
        <v>539</v>
      </c>
      <c r="E2847" s="1" t="s">
        <v>926</v>
      </c>
      <c r="F2847" s="1" t="s">
        <v>926</v>
      </c>
      <c r="G2847" s="1">
        <v>74.0</v>
      </c>
      <c r="H2847" s="1">
        <v>4.23919598</v>
      </c>
      <c r="I2847" s="1">
        <v>5.33</v>
      </c>
      <c r="J2847" s="1">
        <v>1.088664</v>
      </c>
    </row>
    <row r="2848">
      <c r="A2848" s="1">
        <v>2025.0</v>
      </c>
      <c r="B2848" s="1" t="s">
        <v>364</v>
      </c>
      <c r="C2848" s="1">
        <v>693855.0</v>
      </c>
      <c r="D2848" s="1" t="s">
        <v>532</v>
      </c>
      <c r="E2848" s="1" t="s">
        <v>926</v>
      </c>
      <c r="F2848" s="1" t="s">
        <v>927</v>
      </c>
      <c r="G2848" s="1">
        <v>235.0</v>
      </c>
      <c r="H2848" s="1">
        <v>13.46231156</v>
      </c>
      <c r="I2848" s="1">
        <v>5.01</v>
      </c>
      <c r="J2848" s="1">
        <v>5.159481</v>
      </c>
    </row>
    <row r="2849">
      <c r="A2849" s="1">
        <v>2025.0</v>
      </c>
      <c r="B2849" s="1" t="s">
        <v>364</v>
      </c>
      <c r="C2849" s="1">
        <v>693855.0</v>
      </c>
      <c r="D2849" s="1" t="s">
        <v>541</v>
      </c>
      <c r="E2849" s="1" t="s">
        <v>926</v>
      </c>
      <c r="F2849" s="1" t="s">
        <v>927</v>
      </c>
      <c r="G2849" s="1">
        <v>14.0</v>
      </c>
      <c r="H2849" s="1">
        <v>0.80201005</v>
      </c>
      <c r="I2849" s="1">
        <v>5.06</v>
      </c>
      <c r="J2849" s="1">
        <v>0.293892</v>
      </c>
    </row>
    <row r="2850">
      <c r="A2850" s="1">
        <v>2025.0</v>
      </c>
      <c r="B2850" s="1" t="s">
        <v>364</v>
      </c>
      <c r="C2850" s="1">
        <v>693855.0</v>
      </c>
      <c r="D2850" s="1" t="s">
        <v>540</v>
      </c>
      <c r="E2850" s="1" t="s">
        <v>926</v>
      </c>
      <c r="F2850" s="1" t="s">
        <v>927</v>
      </c>
      <c r="G2850" s="1">
        <v>180.0</v>
      </c>
      <c r="H2850" s="1">
        <v>10.31155779</v>
      </c>
      <c r="I2850" s="1">
        <v>5.03</v>
      </c>
      <c r="J2850" s="1">
        <v>4.139002</v>
      </c>
    </row>
    <row r="2851">
      <c r="A2851" s="1">
        <v>2025.0</v>
      </c>
      <c r="B2851" s="1" t="s">
        <v>364</v>
      </c>
      <c r="C2851" s="1">
        <v>693855.0</v>
      </c>
      <c r="D2851" s="1" t="s">
        <v>537</v>
      </c>
      <c r="E2851" s="1" t="s">
        <v>926</v>
      </c>
      <c r="F2851" s="1" t="s">
        <v>927</v>
      </c>
      <c r="G2851" s="1">
        <v>219.0</v>
      </c>
      <c r="H2851" s="1">
        <v>12.54572864</v>
      </c>
      <c r="I2851" s="1">
        <v>4.88</v>
      </c>
      <c r="J2851" s="1">
        <v>5.603733</v>
      </c>
    </row>
    <row r="2852">
      <c r="A2852" s="1">
        <v>2025.0</v>
      </c>
      <c r="B2852" s="1" t="s">
        <v>364</v>
      </c>
      <c r="C2852" s="1">
        <v>693855.0</v>
      </c>
      <c r="D2852" s="1" t="s">
        <v>536</v>
      </c>
      <c r="E2852" s="1" t="s">
        <v>926</v>
      </c>
      <c r="F2852" s="1" t="s">
        <v>927</v>
      </c>
      <c r="G2852" s="1">
        <v>5.0</v>
      </c>
      <c r="H2852" s="1">
        <v>0.286432161</v>
      </c>
      <c r="I2852" s="1">
        <v>3.11</v>
      </c>
      <c r="J2852" s="1">
        <v>0.30343</v>
      </c>
    </row>
    <row r="2853">
      <c r="A2853" s="1">
        <v>2025.0</v>
      </c>
      <c r="B2853" s="1" t="s">
        <v>364</v>
      </c>
      <c r="C2853" s="1">
        <v>693855.0</v>
      </c>
      <c r="D2853" s="1" t="s">
        <v>539</v>
      </c>
      <c r="E2853" s="1" t="s">
        <v>926</v>
      </c>
      <c r="F2853" s="1" t="s">
        <v>927</v>
      </c>
      <c r="G2853" s="1">
        <v>6.0</v>
      </c>
      <c r="H2853" s="1">
        <v>0.343718593</v>
      </c>
      <c r="I2853" s="1">
        <v>3.55</v>
      </c>
      <c r="J2853" s="1">
        <v>0.316618</v>
      </c>
    </row>
    <row r="2854">
      <c r="A2854" s="1">
        <v>2025.0</v>
      </c>
      <c r="B2854" s="1" t="s">
        <v>338</v>
      </c>
      <c r="C2854" s="1">
        <v>676755.0</v>
      </c>
      <c r="D2854" s="1" t="s">
        <v>532</v>
      </c>
      <c r="E2854" s="1" t="s">
        <v>927</v>
      </c>
      <c r="F2854" s="1" t="s">
        <v>926</v>
      </c>
      <c r="G2854" s="1">
        <v>74.0</v>
      </c>
      <c r="H2854" s="1">
        <v>4.53968254</v>
      </c>
      <c r="I2854" s="1">
        <v>4.74</v>
      </c>
      <c r="J2854" s="1">
        <v>2.028168</v>
      </c>
    </row>
    <row r="2855">
      <c r="A2855" s="1">
        <v>2025.0</v>
      </c>
      <c r="B2855" s="1" t="s">
        <v>338</v>
      </c>
      <c r="C2855" s="1">
        <v>676755.0</v>
      </c>
      <c r="D2855" s="1" t="s">
        <v>541</v>
      </c>
      <c r="E2855" s="1" t="s">
        <v>927</v>
      </c>
      <c r="F2855" s="1" t="s">
        <v>926</v>
      </c>
      <c r="G2855" s="1">
        <v>1.0</v>
      </c>
      <c r="H2855" s="1">
        <v>0.061347061</v>
      </c>
      <c r="I2855" s="1">
        <v>3.78</v>
      </c>
      <c r="J2855" s="1">
        <v>0.04801</v>
      </c>
    </row>
    <row r="2856">
      <c r="A2856" s="1">
        <v>2025.0</v>
      </c>
      <c r="B2856" s="1" t="s">
        <v>338</v>
      </c>
      <c r="C2856" s="1">
        <v>676755.0</v>
      </c>
      <c r="D2856" s="1" t="s">
        <v>537</v>
      </c>
      <c r="E2856" s="1" t="s">
        <v>927</v>
      </c>
      <c r="F2856" s="1" t="s">
        <v>926</v>
      </c>
      <c r="G2856" s="1">
        <v>314.0</v>
      </c>
      <c r="H2856" s="1">
        <v>19.26297726</v>
      </c>
      <c r="I2856" s="1">
        <v>4.98</v>
      </c>
      <c r="J2856" s="1">
        <v>7.298939</v>
      </c>
    </row>
    <row r="2857">
      <c r="A2857" s="1">
        <v>2025.0</v>
      </c>
      <c r="B2857" s="1" t="s">
        <v>338</v>
      </c>
      <c r="C2857" s="1">
        <v>676755.0</v>
      </c>
      <c r="D2857" s="1" t="s">
        <v>533</v>
      </c>
      <c r="E2857" s="1" t="s">
        <v>927</v>
      </c>
      <c r="F2857" s="1" t="s">
        <v>926</v>
      </c>
      <c r="G2857" s="1">
        <v>7.0</v>
      </c>
      <c r="H2857" s="1">
        <v>0.429429429</v>
      </c>
      <c r="I2857" s="1">
        <v>3.98</v>
      </c>
      <c r="J2857" s="1">
        <v>0.300644</v>
      </c>
    </row>
    <row r="2858">
      <c r="A2858" s="1">
        <v>2025.0</v>
      </c>
      <c r="B2858" s="1" t="s">
        <v>338</v>
      </c>
      <c r="C2858" s="1">
        <v>676755.0</v>
      </c>
      <c r="D2858" s="1" t="s">
        <v>532</v>
      </c>
      <c r="E2858" s="1" t="s">
        <v>927</v>
      </c>
      <c r="F2858" s="1" t="s">
        <v>927</v>
      </c>
      <c r="G2858" s="1">
        <v>17.0</v>
      </c>
      <c r="H2858" s="1">
        <v>1.042900043</v>
      </c>
      <c r="I2858" s="1">
        <v>5.41</v>
      </c>
      <c r="J2858" s="1">
        <v>0.233024</v>
      </c>
    </row>
    <row r="2859">
      <c r="A2859" s="1">
        <v>2025.0</v>
      </c>
      <c r="B2859" s="1" t="s">
        <v>338</v>
      </c>
      <c r="C2859" s="1">
        <v>676755.0</v>
      </c>
      <c r="D2859" s="1" t="s">
        <v>541</v>
      </c>
      <c r="E2859" s="1" t="s">
        <v>927</v>
      </c>
      <c r="F2859" s="1" t="s">
        <v>927</v>
      </c>
      <c r="G2859" s="1">
        <v>6.0</v>
      </c>
      <c r="H2859" s="1">
        <v>0.368082368</v>
      </c>
      <c r="I2859" s="1">
        <v>5.39</v>
      </c>
      <c r="J2859" s="1">
        <v>0.090081</v>
      </c>
    </row>
    <row r="2860">
      <c r="A2860" s="1">
        <v>2025.0</v>
      </c>
      <c r="B2860" s="1" t="s">
        <v>338</v>
      </c>
      <c r="C2860" s="1">
        <v>676755.0</v>
      </c>
      <c r="D2860" s="1" t="s">
        <v>537</v>
      </c>
      <c r="E2860" s="1" t="s">
        <v>927</v>
      </c>
      <c r="F2860" s="1" t="s">
        <v>927</v>
      </c>
      <c r="G2860" s="1">
        <v>296.0</v>
      </c>
      <c r="H2860" s="1">
        <v>18.15873016</v>
      </c>
      <c r="I2860" s="1">
        <v>4.99</v>
      </c>
      <c r="J2860" s="1">
        <v>6.830249</v>
      </c>
    </row>
    <row r="2861">
      <c r="A2861" s="1">
        <v>2025.0</v>
      </c>
      <c r="B2861" s="1" t="s">
        <v>338</v>
      </c>
      <c r="C2861" s="1">
        <v>676755.0</v>
      </c>
      <c r="D2861" s="1" t="s">
        <v>533</v>
      </c>
      <c r="E2861" s="1" t="s">
        <v>927</v>
      </c>
      <c r="F2861" s="1" t="s">
        <v>927</v>
      </c>
      <c r="G2861" s="1">
        <v>62.0</v>
      </c>
      <c r="H2861" s="1">
        <v>3.803517804</v>
      </c>
      <c r="I2861" s="1">
        <v>5.02</v>
      </c>
      <c r="J2861" s="1">
        <v>1.308585</v>
      </c>
    </row>
    <row r="2862">
      <c r="A2862" s="1">
        <v>2025.0</v>
      </c>
      <c r="B2862" s="1" t="s">
        <v>963</v>
      </c>
      <c r="C2862" s="1">
        <v>663462.0</v>
      </c>
      <c r="D2862" s="1" t="s">
        <v>541</v>
      </c>
      <c r="E2862" s="1" t="s">
        <v>927</v>
      </c>
      <c r="F2862" s="1" t="s">
        <v>926</v>
      </c>
      <c r="G2862" s="1">
        <v>13.0</v>
      </c>
      <c r="H2862" s="1">
        <v>0.914373089</v>
      </c>
      <c r="I2862" s="1">
        <v>5.08</v>
      </c>
      <c r="J2862" s="1">
        <v>0.263611</v>
      </c>
    </row>
    <row r="2863">
      <c r="A2863" s="1">
        <v>2025.0</v>
      </c>
      <c r="B2863" s="1" t="s">
        <v>963</v>
      </c>
      <c r="C2863" s="1">
        <v>663462.0</v>
      </c>
      <c r="D2863" s="1" t="s">
        <v>537</v>
      </c>
      <c r="E2863" s="1" t="s">
        <v>927</v>
      </c>
      <c r="F2863" s="1" t="s">
        <v>926</v>
      </c>
      <c r="G2863" s="1">
        <v>13.0</v>
      </c>
      <c r="H2863" s="1">
        <v>0.914373089</v>
      </c>
      <c r="I2863" s="1">
        <v>5.09</v>
      </c>
      <c r="J2863" s="1">
        <v>0.269981</v>
      </c>
    </row>
    <row r="2864">
      <c r="A2864" s="1">
        <v>2025.0</v>
      </c>
      <c r="B2864" s="1" t="s">
        <v>963</v>
      </c>
      <c r="C2864" s="1">
        <v>663462.0</v>
      </c>
      <c r="D2864" s="1" t="s">
        <v>533</v>
      </c>
      <c r="E2864" s="1" t="s">
        <v>927</v>
      </c>
      <c r="F2864" s="1" t="s">
        <v>926</v>
      </c>
      <c r="G2864" s="1">
        <v>16.0</v>
      </c>
      <c r="H2864" s="1">
        <v>1.125382263</v>
      </c>
      <c r="I2864" s="1">
        <v>5.78</v>
      </c>
      <c r="J2864" s="1">
        <v>0.102569</v>
      </c>
    </row>
    <row r="2865">
      <c r="A2865" s="1">
        <v>2025.0</v>
      </c>
      <c r="B2865" s="1" t="s">
        <v>963</v>
      </c>
      <c r="C2865" s="1">
        <v>663462.0</v>
      </c>
      <c r="D2865" s="1" t="s">
        <v>537</v>
      </c>
      <c r="E2865" s="1" t="s">
        <v>927</v>
      </c>
      <c r="F2865" s="1" t="s">
        <v>927</v>
      </c>
      <c r="G2865" s="1">
        <v>7.0</v>
      </c>
      <c r="H2865" s="1">
        <v>0.49235474</v>
      </c>
      <c r="I2865" s="1">
        <v>5.63</v>
      </c>
      <c r="J2865" s="1">
        <v>0.06625</v>
      </c>
    </row>
    <row r="2866">
      <c r="A2866" s="1">
        <v>2025.0</v>
      </c>
      <c r="B2866" s="1" t="s">
        <v>963</v>
      </c>
      <c r="C2866" s="1">
        <v>663462.0</v>
      </c>
      <c r="D2866" s="1" t="s">
        <v>536</v>
      </c>
      <c r="E2866" s="1" t="s">
        <v>927</v>
      </c>
      <c r="F2866" s="1" t="s">
        <v>927</v>
      </c>
      <c r="G2866" s="1">
        <v>11.0</v>
      </c>
      <c r="H2866" s="1">
        <v>0.773700306</v>
      </c>
      <c r="I2866" s="1">
        <v>4.14</v>
      </c>
      <c r="J2866" s="1">
        <v>0.438815</v>
      </c>
    </row>
    <row r="2867">
      <c r="A2867" s="1">
        <v>2025.0</v>
      </c>
      <c r="B2867" s="1" t="s">
        <v>963</v>
      </c>
      <c r="C2867" s="1">
        <v>663462.0</v>
      </c>
      <c r="D2867" s="1" t="s">
        <v>533</v>
      </c>
      <c r="E2867" s="1" t="s">
        <v>927</v>
      </c>
      <c r="F2867" s="1" t="s">
        <v>927</v>
      </c>
      <c r="G2867" s="1">
        <v>33.0</v>
      </c>
      <c r="H2867" s="1">
        <v>2.321100917</v>
      </c>
      <c r="I2867" s="1">
        <v>5.21</v>
      </c>
      <c r="J2867" s="1">
        <v>0.604259</v>
      </c>
    </row>
    <row r="2868">
      <c r="A2868" s="1">
        <v>2025.0</v>
      </c>
      <c r="B2868" s="1" t="s">
        <v>963</v>
      </c>
      <c r="C2868" s="1">
        <v>663462.0</v>
      </c>
      <c r="D2868" s="1" t="s">
        <v>539</v>
      </c>
      <c r="E2868" s="1" t="s">
        <v>927</v>
      </c>
      <c r="F2868" s="1" t="s">
        <v>927</v>
      </c>
      <c r="G2868" s="1">
        <v>16.0</v>
      </c>
      <c r="H2868" s="1">
        <v>1.125382263</v>
      </c>
      <c r="I2868" s="1">
        <v>5.44</v>
      </c>
      <c r="J2868" s="1">
        <v>0.20249</v>
      </c>
    </row>
    <row r="2869">
      <c r="A2869" s="1">
        <v>2025.0</v>
      </c>
      <c r="B2869" s="1" t="s">
        <v>964</v>
      </c>
      <c r="C2869" s="1">
        <v>643396.0</v>
      </c>
      <c r="D2869" s="1" t="s">
        <v>537</v>
      </c>
      <c r="E2869" s="1" t="s">
        <v>927</v>
      </c>
      <c r="F2869" s="1" t="s">
        <v>926</v>
      </c>
      <c r="G2869" s="1">
        <v>5.0</v>
      </c>
      <c r="H2869" s="1">
        <v>0.555555556</v>
      </c>
      <c r="I2869" s="1">
        <v>4.73</v>
      </c>
      <c r="J2869" s="1">
        <v>0.155295</v>
      </c>
    </row>
    <row r="2870">
      <c r="A2870" s="1">
        <v>2025.0</v>
      </c>
      <c r="B2870" s="1" t="s">
        <v>964</v>
      </c>
      <c r="C2870" s="1">
        <v>643396.0</v>
      </c>
      <c r="D2870" s="1" t="s">
        <v>537</v>
      </c>
      <c r="E2870" s="1" t="s">
        <v>927</v>
      </c>
      <c r="F2870" s="1" t="s">
        <v>927</v>
      </c>
      <c r="G2870" s="1">
        <v>1.0</v>
      </c>
      <c r="H2870" s="1">
        <v>0.111111111</v>
      </c>
      <c r="I2870" s="1">
        <v>3.33</v>
      </c>
      <c r="J2870" s="1">
        <v>0.057932</v>
      </c>
    </row>
    <row r="2871">
      <c r="A2871" s="1">
        <v>2025.0</v>
      </c>
      <c r="B2871" s="1" t="s">
        <v>805</v>
      </c>
      <c r="C2871" s="1">
        <v>656420.0</v>
      </c>
      <c r="D2871" s="1" t="s">
        <v>532</v>
      </c>
      <c r="E2871" s="1" t="s">
        <v>927</v>
      </c>
      <c r="F2871" s="1" t="s">
        <v>926</v>
      </c>
      <c r="G2871" s="1">
        <v>19.0</v>
      </c>
      <c r="H2871" s="1">
        <v>0.95</v>
      </c>
      <c r="I2871" s="1">
        <v>5.29</v>
      </c>
      <c r="J2871" s="1">
        <v>0.284579</v>
      </c>
    </row>
    <row r="2872">
      <c r="A2872" s="1">
        <v>2025.0</v>
      </c>
      <c r="B2872" s="1" t="s">
        <v>805</v>
      </c>
      <c r="C2872" s="1">
        <v>656420.0</v>
      </c>
      <c r="D2872" s="1" t="s">
        <v>537</v>
      </c>
      <c r="E2872" s="1" t="s">
        <v>927</v>
      </c>
      <c r="F2872" s="1" t="s">
        <v>926</v>
      </c>
      <c r="G2872" s="1">
        <v>11.0</v>
      </c>
      <c r="H2872" s="1">
        <v>0.55</v>
      </c>
      <c r="I2872" s="1">
        <v>5.6</v>
      </c>
      <c r="J2872" s="1">
        <v>0.120923</v>
      </c>
    </row>
    <row r="2873">
      <c r="A2873" s="1">
        <v>2025.0</v>
      </c>
      <c r="B2873" s="1" t="s">
        <v>805</v>
      </c>
      <c r="C2873" s="1">
        <v>656420.0</v>
      </c>
      <c r="D2873" s="1" t="s">
        <v>533</v>
      </c>
      <c r="E2873" s="1" t="s">
        <v>927</v>
      </c>
      <c r="F2873" s="1" t="s">
        <v>926</v>
      </c>
      <c r="G2873" s="1">
        <v>1.0</v>
      </c>
      <c r="H2873" s="1">
        <v>0.05</v>
      </c>
      <c r="I2873" s="1">
        <v>5.07</v>
      </c>
      <c r="J2873" s="1">
        <v>0.02144</v>
      </c>
    </row>
    <row r="2874">
      <c r="A2874" s="1">
        <v>2025.0</v>
      </c>
      <c r="B2874" s="1" t="s">
        <v>805</v>
      </c>
      <c r="C2874" s="1">
        <v>656420.0</v>
      </c>
      <c r="D2874" s="1" t="s">
        <v>532</v>
      </c>
      <c r="E2874" s="1" t="s">
        <v>927</v>
      </c>
      <c r="F2874" s="1" t="s">
        <v>927</v>
      </c>
      <c r="G2874" s="1">
        <v>16.0</v>
      </c>
      <c r="H2874" s="1">
        <v>0.8</v>
      </c>
      <c r="I2874" s="1">
        <v>5.59</v>
      </c>
      <c r="J2874" s="1">
        <v>0.134825</v>
      </c>
    </row>
    <row r="2875">
      <c r="A2875" s="1">
        <v>2025.0</v>
      </c>
      <c r="B2875" s="1" t="s">
        <v>805</v>
      </c>
      <c r="C2875" s="1">
        <v>656420.0</v>
      </c>
      <c r="D2875" s="1" t="s">
        <v>537</v>
      </c>
      <c r="E2875" s="1" t="s">
        <v>927</v>
      </c>
      <c r="F2875" s="1" t="s">
        <v>927</v>
      </c>
      <c r="G2875" s="1">
        <v>17.0</v>
      </c>
      <c r="H2875" s="1">
        <v>0.85</v>
      </c>
      <c r="I2875" s="1">
        <v>5.09</v>
      </c>
      <c r="J2875" s="1">
        <v>0.347731</v>
      </c>
    </row>
    <row r="2876">
      <c r="A2876" s="1">
        <v>2025.0</v>
      </c>
      <c r="B2876" s="1" t="s">
        <v>805</v>
      </c>
      <c r="C2876" s="1">
        <v>656420.0</v>
      </c>
      <c r="D2876" s="1" t="s">
        <v>533</v>
      </c>
      <c r="E2876" s="1" t="s">
        <v>927</v>
      </c>
      <c r="F2876" s="1" t="s">
        <v>927</v>
      </c>
      <c r="G2876" s="1">
        <v>15.0</v>
      </c>
      <c r="H2876" s="1">
        <v>0.75</v>
      </c>
      <c r="I2876" s="1">
        <v>4.72</v>
      </c>
      <c r="J2876" s="1">
        <v>0.425976</v>
      </c>
    </row>
    <row r="2877">
      <c r="A2877" s="1">
        <v>2025.0</v>
      </c>
      <c r="B2877" s="1" t="s">
        <v>805</v>
      </c>
      <c r="C2877" s="1">
        <v>656420.0</v>
      </c>
      <c r="D2877" s="1" t="s">
        <v>539</v>
      </c>
      <c r="E2877" s="1" t="s">
        <v>927</v>
      </c>
      <c r="F2877" s="1" t="s">
        <v>927</v>
      </c>
      <c r="G2877" s="1">
        <v>1.0</v>
      </c>
      <c r="H2877" s="1">
        <v>0.05</v>
      </c>
      <c r="I2877" s="1">
        <v>3.9</v>
      </c>
      <c r="J2877" s="1">
        <v>0.04529</v>
      </c>
    </row>
    <row r="2878">
      <c r="A2878" s="1">
        <v>2025.0</v>
      </c>
      <c r="B2878" s="1" t="s">
        <v>965</v>
      </c>
      <c r="C2878" s="1">
        <v>641585.0</v>
      </c>
      <c r="D2878" s="1" t="s">
        <v>532</v>
      </c>
      <c r="E2878" s="1" t="s">
        <v>927</v>
      </c>
      <c r="F2878" s="1" t="s">
        <v>926</v>
      </c>
      <c r="G2878" s="1">
        <v>3.0</v>
      </c>
      <c r="H2878" s="1">
        <v>0.157894737</v>
      </c>
      <c r="I2878" s="1">
        <v>4.57</v>
      </c>
      <c r="J2878" s="1">
        <v>0.085698</v>
      </c>
    </row>
    <row r="2879">
      <c r="A2879" s="1">
        <v>2025.0</v>
      </c>
      <c r="B2879" s="1" t="s">
        <v>965</v>
      </c>
      <c r="C2879" s="1">
        <v>641585.0</v>
      </c>
      <c r="D2879" s="1" t="s">
        <v>541</v>
      </c>
      <c r="E2879" s="1" t="s">
        <v>927</v>
      </c>
      <c r="F2879" s="1" t="s">
        <v>926</v>
      </c>
      <c r="G2879" s="1">
        <v>5.0</v>
      </c>
      <c r="H2879" s="1">
        <v>0.263157895</v>
      </c>
      <c r="I2879" s="1">
        <v>4.45</v>
      </c>
      <c r="J2879" s="1">
        <v>0.169983</v>
      </c>
    </row>
    <row r="2880">
      <c r="A2880" s="1">
        <v>2025.0</v>
      </c>
      <c r="B2880" s="1" t="s">
        <v>965</v>
      </c>
      <c r="C2880" s="1">
        <v>641585.0</v>
      </c>
      <c r="D2880" s="1" t="s">
        <v>540</v>
      </c>
      <c r="E2880" s="1" t="s">
        <v>927</v>
      </c>
      <c r="F2880" s="1" t="s">
        <v>926</v>
      </c>
      <c r="G2880" s="1">
        <v>3.0</v>
      </c>
      <c r="H2880" s="1">
        <v>0.157894737</v>
      </c>
      <c r="I2880" s="1">
        <v>5.06</v>
      </c>
      <c r="J2880" s="1">
        <v>0.064789</v>
      </c>
    </row>
    <row r="2881">
      <c r="A2881" s="1">
        <v>2025.0</v>
      </c>
      <c r="B2881" s="1" t="s">
        <v>965</v>
      </c>
      <c r="C2881" s="1">
        <v>641585.0</v>
      </c>
      <c r="D2881" s="1" t="s">
        <v>537</v>
      </c>
      <c r="E2881" s="1" t="s">
        <v>927</v>
      </c>
      <c r="F2881" s="1" t="s">
        <v>926</v>
      </c>
      <c r="G2881" s="1">
        <v>2.0</v>
      </c>
      <c r="H2881" s="1">
        <v>0.105263158</v>
      </c>
      <c r="I2881" s="1">
        <v>3.49</v>
      </c>
      <c r="J2881" s="1">
        <v>0.100679</v>
      </c>
    </row>
    <row r="2882">
      <c r="A2882" s="1">
        <v>2025.0</v>
      </c>
      <c r="B2882" s="1" t="s">
        <v>965</v>
      </c>
      <c r="C2882" s="1">
        <v>641585.0</v>
      </c>
      <c r="D2882" s="1" t="s">
        <v>532</v>
      </c>
      <c r="E2882" s="1" t="s">
        <v>927</v>
      </c>
      <c r="F2882" s="1" t="s">
        <v>927</v>
      </c>
      <c r="G2882" s="1">
        <v>1.0</v>
      </c>
      <c r="H2882" s="1">
        <v>0.052631579</v>
      </c>
      <c r="I2882" s="1">
        <v>7.26</v>
      </c>
      <c r="J2882" s="1">
        <v>-0.019366</v>
      </c>
    </row>
    <row r="2883">
      <c r="A2883" s="1">
        <v>2025.0</v>
      </c>
      <c r="B2883" s="1" t="s">
        <v>965</v>
      </c>
      <c r="C2883" s="1">
        <v>641585.0</v>
      </c>
      <c r="D2883" s="1" t="s">
        <v>541</v>
      </c>
      <c r="E2883" s="1" t="s">
        <v>927</v>
      </c>
      <c r="F2883" s="1" t="s">
        <v>927</v>
      </c>
      <c r="G2883" s="1">
        <v>9.0</v>
      </c>
      <c r="H2883" s="1">
        <v>0.473684211</v>
      </c>
      <c r="I2883" s="1">
        <v>4.56</v>
      </c>
      <c r="J2883" s="1">
        <v>0.284764</v>
      </c>
    </row>
    <row r="2884">
      <c r="A2884" s="1">
        <v>2025.0</v>
      </c>
      <c r="B2884" s="1" t="s">
        <v>965</v>
      </c>
      <c r="C2884" s="1">
        <v>641585.0</v>
      </c>
      <c r="D2884" s="1" t="s">
        <v>540</v>
      </c>
      <c r="E2884" s="1" t="s">
        <v>927</v>
      </c>
      <c r="F2884" s="1" t="s">
        <v>927</v>
      </c>
      <c r="G2884" s="1">
        <v>27.0</v>
      </c>
      <c r="H2884" s="1">
        <v>1.421052632</v>
      </c>
      <c r="I2884" s="1">
        <v>5.0</v>
      </c>
      <c r="J2884" s="1">
        <v>0.647233</v>
      </c>
    </row>
    <row r="2885">
      <c r="A2885" s="1">
        <v>2025.0</v>
      </c>
      <c r="B2885" s="1" t="s">
        <v>965</v>
      </c>
      <c r="C2885" s="1">
        <v>641585.0</v>
      </c>
      <c r="D2885" s="1" t="s">
        <v>537</v>
      </c>
      <c r="E2885" s="1" t="s">
        <v>927</v>
      </c>
      <c r="F2885" s="1" t="s">
        <v>927</v>
      </c>
      <c r="G2885" s="1">
        <v>24.0</v>
      </c>
      <c r="H2885" s="1">
        <v>1.263157895</v>
      </c>
      <c r="I2885" s="1">
        <v>5.13</v>
      </c>
      <c r="J2885" s="1">
        <v>0.481845</v>
      </c>
    </row>
    <row r="2886">
      <c r="A2886" s="1">
        <v>2025.0</v>
      </c>
      <c r="B2886" s="1" t="s">
        <v>965</v>
      </c>
      <c r="C2886" s="1">
        <v>641585.0</v>
      </c>
      <c r="D2886" s="1" t="s">
        <v>536</v>
      </c>
      <c r="E2886" s="1" t="s">
        <v>927</v>
      </c>
      <c r="F2886" s="1" t="s">
        <v>927</v>
      </c>
      <c r="G2886" s="1">
        <v>1.0</v>
      </c>
      <c r="H2886" s="1">
        <v>0.052631579</v>
      </c>
      <c r="I2886" s="1">
        <v>2.45</v>
      </c>
      <c r="J2886" s="1">
        <v>0.072616</v>
      </c>
    </row>
    <row r="2887">
      <c r="A2887" s="1">
        <v>2025.0</v>
      </c>
      <c r="B2887" s="1" t="s">
        <v>965</v>
      </c>
      <c r="C2887" s="1">
        <v>641585.0</v>
      </c>
      <c r="D2887" s="1" t="s">
        <v>539</v>
      </c>
      <c r="E2887" s="1" t="s">
        <v>927</v>
      </c>
      <c r="F2887" s="1" t="s">
        <v>927</v>
      </c>
      <c r="G2887" s="1">
        <v>1.0</v>
      </c>
      <c r="H2887" s="1">
        <v>0.052631579</v>
      </c>
      <c r="I2887" s="1">
        <v>2.16</v>
      </c>
      <c r="J2887" s="1">
        <v>0.073911</v>
      </c>
    </row>
    <row r="2888">
      <c r="A2888" s="1">
        <v>2025.0</v>
      </c>
      <c r="B2888" s="1" t="s">
        <v>296</v>
      </c>
      <c r="C2888" s="1">
        <v>669372.0</v>
      </c>
      <c r="D2888" s="1" t="s">
        <v>532</v>
      </c>
      <c r="E2888" s="1" t="s">
        <v>927</v>
      </c>
      <c r="F2888" s="1" t="s">
        <v>926</v>
      </c>
      <c r="G2888" s="1">
        <v>136.0</v>
      </c>
      <c r="H2888" s="1">
        <v>7.805167302</v>
      </c>
      <c r="I2888" s="1">
        <v>4.68</v>
      </c>
      <c r="J2888" s="1">
        <v>3.742039</v>
      </c>
    </row>
    <row r="2889">
      <c r="A2889" s="1">
        <v>2025.0</v>
      </c>
      <c r="B2889" s="1" t="s">
        <v>296</v>
      </c>
      <c r="C2889" s="1">
        <v>669372.0</v>
      </c>
      <c r="D2889" s="1" t="s">
        <v>540</v>
      </c>
      <c r="E2889" s="1" t="s">
        <v>927</v>
      </c>
      <c r="F2889" s="1" t="s">
        <v>926</v>
      </c>
      <c r="G2889" s="1">
        <v>177.0</v>
      </c>
      <c r="H2889" s="1">
        <v>10.15819568</v>
      </c>
      <c r="I2889" s="1">
        <v>4.63</v>
      </c>
      <c r="J2889" s="1">
        <v>5.179854</v>
      </c>
    </row>
    <row r="2890">
      <c r="A2890" s="1">
        <v>2025.0</v>
      </c>
      <c r="B2890" s="1" t="s">
        <v>296</v>
      </c>
      <c r="C2890" s="1">
        <v>669372.0</v>
      </c>
      <c r="D2890" s="1" t="s">
        <v>536</v>
      </c>
      <c r="E2890" s="1" t="s">
        <v>927</v>
      </c>
      <c r="F2890" s="1" t="s">
        <v>926</v>
      </c>
      <c r="G2890" s="1">
        <v>284.0</v>
      </c>
      <c r="H2890" s="1">
        <v>16.29902584</v>
      </c>
      <c r="I2890" s="1">
        <v>4.85</v>
      </c>
      <c r="J2890" s="1">
        <v>7.039154</v>
      </c>
    </row>
    <row r="2891">
      <c r="A2891" s="1">
        <v>2025.0</v>
      </c>
      <c r="B2891" s="1" t="s">
        <v>296</v>
      </c>
      <c r="C2891" s="1">
        <v>669372.0</v>
      </c>
      <c r="D2891" s="1" t="s">
        <v>533</v>
      </c>
      <c r="E2891" s="1" t="s">
        <v>927</v>
      </c>
      <c r="F2891" s="1" t="s">
        <v>926</v>
      </c>
      <c r="G2891" s="1">
        <v>108.0</v>
      </c>
      <c r="H2891" s="1">
        <v>6.198221093</v>
      </c>
      <c r="I2891" s="1">
        <v>5.42</v>
      </c>
      <c r="J2891" s="1">
        <v>1.474641</v>
      </c>
    </row>
    <row r="2892">
      <c r="A2892" s="1">
        <v>2025.0</v>
      </c>
      <c r="B2892" s="1" t="s">
        <v>296</v>
      </c>
      <c r="C2892" s="1">
        <v>669372.0</v>
      </c>
      <c r="D2892" s="1" t="s">
        <v>532</v>
      </c>
      <c r="E2892" s="1" t="s">
        <v>927</v>
      </c>
      <c r="F2892" s="1" t="s">
        <v>927</v>
      </c>
      <c r="G2892" s="1">
        <v>16.0</v>
      </c>
      <c r="H2892" s="1">
        <v>0.918254977</v>
      </c>
      <c r="I2892" s="1">
        <v>4.96</v>
      </c>
      <c r="J2892" s="1">
        <v>0.366513</v>
      </c>
    </row>
    <row r="2893">
      <c r="A2893" s="1">
        <v>2025.0</v>
      </c>
      <c r="B2893" s="1" t="s">
        <v>296</v>
      </c>
      <c r="C2893" s="1">
        <v>669372.0</v>
      </c>
      <c r="D2893" s="1" t="s">
        <v>540</v>
      </c>
      <c r="E2893" s="1" t="s">
        <v>927</v>
      </c>
      <c r="F2893" s="1" t="s">
        <v>927</v>
      </c>
      <c r="G2893" s="1">
        <v>37.0</v>
      </c>
      <c r="H2893" s="1">
        <v>2.123464634</v>
      </c>
      <c r="I2893" s="1">
        <v>5.24</v>
      </c>
      <c r="J2893" s="1">
        <v>0.685001</v>
      </c>
    </row>
    <row r="2894">
      <c r="A2894" s="1">
        <v>2025.0</v>
      </c>
      <c r="B2894" s="1" t="s">
        <v>296</v>
      </c>
      <c r="C2894" s="1">
        <v>669372.0</v>
      </c>
      <c r="D2894" s="1" t="s">
        <v>537</v>
      </c>
      <c r="E2894" s="1" t="s">
        <v>927</v>
      </c>
      <c r="F2894" s="1" t="s">
        <v>927</v>
      </c>
      <c r="G2894" s="1">
        <v>3.0</v>
      </c>
      <c r="H2894" s="1">
        <v>0.172172808</v>
      </c>
      <c r="I2894" s="1">
        <v>4.09</v>
      </c>
      <c r="J2894" s="1">
        <v>0.126586</v>
      </c>
    </row>
    <row r="2895">
      <c r="A2895" s="1">
        <v>2025.0</v>
      </c>
      <c r="B2895" s="1" t="s">
        <v>296</v>
      </c>
      <c r="C2895" s="1">
        <v>669372.0</v>
      </c>
      <c r="D2895" s="1" t="s">
        <v>536</v>
      </c>
      <c r="E2895" s="1" t="s">
        <v>927</v>
      </c>
      <c r="F2895" s="1" t="s">
        <v>927</v>
      </c>
      <c r="G2895" s="1">
        <v>516.0</v>
      </c>
      <c r="H2895" s="1">
        <v>29.613723</v>
      </c>
      <c r="I2895" s="1">
        <v>5.21</v>
      </c>
      <c r="J2895" s="1">
        <v>8.981939</v>
      </c>
    </row>
    <row r="2896">
      <c r="A2896" s="1">
        <v>2025.0</v>
      </c>
      <c r="B2896" s="1" t="s">
        <v>296</v>
      </c>
      <c r="C2896" s="1">
        <v>669372.0</v>
      </c>
      <c r="D2896" s="1" t="s">
        <v>533</v>
      </c>
      <c r="E2896" s="1" t="s">
        <v>927</v>
      </c>
      <c r="F2896" s="1" t="s">
        <v>927</v>
      </c>
      <c r="G2896" s="1">
        <v>297.0</v>
      </c>
      <c r="H2896" s="1">
        <v>17.04510801</v>
      </c>
      <c r="I2896" s="1">
        <v>5.17</v>
      </c>
      <c r="J2896" s="1">
        <v>5.361744</v>
      </c>
    </row>
    <row r="2897">
      <c r="A2897" s="1">
        <v>2025.0</v>
      </c>
      <c r="B2897" s="1" t="s">
        <v>251</v>
      </c>
      <c r="C2897" s="1">
        <v>676664.0</v>
      </c>
      <c r="D2897" s="1" t="s">
        <v>532</v>
      </c>
      <c r="E2897" s="1" t="s">
        <v>926</v>
      </c>
      <c r="F2897" s="1" t="s">
        <v>926</v>
      </c>
      <c r="G2897" s="1">
        <v>1.0</v>
      </c>
      <c r="H2897" s="1">
        <v>0.057340096</v>
      </c>
      <c r="I2897" s="1">
        <v>7.33</v>
      </c>
      <c r="J2897" s="1">
        <v>-0.02507</v>
      </c>
    </row>
    <row r="2898">
      <c r="A2898" s="1">
        <v>2025.0</v>
      </c>
      <c r="B2898" s="1" t="s">
        <v>251</v>
      </c>
      <c r="C2898" s="1">
        <v>676664.0</v>
      </c>
      <c r="D2898" s="1" t="s">
        <v>537</v>
      </c>
      <c r="E2898" s="1" t="s">
        <v>926</v>
      </c>
      <c r="F2898" s="1" t="s">
        <v>926</v>
      </c>
      <c r="G2898" s="1">
        <v>122.0</v>
      </c>
      <c r="H2898" s="1">
        <v>6.995491688</v>
      </c>
      <c r="I2898" s="1">
        <v>5.13</v>
      </c>
      <c r="J2898" s="1">
        <v>2.402326</v>
      </c>
    </row>
    <row r="2899">
      <c r="A2899" s="1">
        <v>2025.0</v>
      </c>
      <c r="B2899" s="1" t="s">
        <v>251</v>
      </c>
      <c r="C2899" s="1">
        <v>676664.0</v>
      </c>
      <c r="D2899" s="1" t="s">
        <v>536</v>
      </c>
      <c r="E2899" s="1" t="s">
        <v>926</v>
      </c>
      <c r="F2899" s="1" t="s">
        <v>926</v>
      </c>
      <c r="G2899" s="1">
        <v>35.0</v>
      </c>
      <c r="H2899" s="1">
        <v>2.006903353</v>
      </c>
      <c r="I2899" s="1">
        <v>5.31</v>
      </c>
      <c r="J2899" s="1">
        <v>0.584958</v>
      </c>
    </row>
    <row r="2900">
      <c r="A2900" s="1">
        <v>2025.0</v>
      </c>
      <c r="B2900" s="1" t="s">
        <v>251</v>
      </c>
      <c r="C2900" s="1">
        <v>676664.0</v>
      </c>
      <c r="D2900" s="1" t="s">
        <v>533</v>
      </c>
      <c r="E2900" s="1" t="s">
        <v>926</v>
      </c>
      <c r="F2900" s="1" t="s">
        <v>926</v>
      </c>
      <c r="G2900" s="1">
        <v>48.0</v>
      </c>
      <c r="H2900" s="1">
        <v>2.752324598</v>
      </c>
      <c r="I2900" s="1">
        <v>5.82</v>
      </c>
      <c r="J2900" s="1">
        <v>0.282804</v>
      </c>
    </row>
    <row r="2901">
      <c r="A2901" s="1">
        <v>2025.0</v>
      </c>
      <c r="B2901" s="1" t="s">
        <v>251</v>
      </c>
      <c r="C2901" s="1">
        <v>676664.0</v>
      </c>
      <c r="D2901" s="1" t="s">
        <v>539</v>
      </c>
      <c r="E2901" s="1" t="s">
        <v>926</v>
      </c>
      <c r="F2901" s="1" t="s">
        <v>926</v>
      </c>
      <c r="G2901" s="1">
        <v>161.0</v>
      </c>
      <c r="H2901" s="1">
        <v>9.231755424</v>
      </c>
      <c r="I2901" s="1">
        <v>5.52</v>
      </c>
      <c r="J2901" s="1">
        <v>1.859879</v>
      </c>
    </row>
    <row r="2902">
      <c r="A2902" s="1">
        <v>2025.0</v>
      </c>
      <c r="B2902" s="1" t="s">
        <v>251</v>
      </c>
      <c r="C2902" s="1">
        <v>676664.0</v>
      </c>
      <c r="D2902" s="1" t="s">
        <v>532</v>
      </c>
      <c r="E2902" s="1" t="s">
        <v>926</v>
      </c>
      <c r="F2902" s="1" t="s">
        <v>927</v>
      </c>
      <c r="G2902" s="1">
        <v>353.0</v>
      </c>
      <c r="H2902" s="1">
        <v>20.24105382</v>
      </c>
      <c r="I2902" s="1">
        <v>4.79</v>
      </c>
      <c r="J2902" s="1">
        <v>9.371738</v>
      </c>
    </row>
    <row r="2903">
      <c r="A2903" s="1">
        <v>2025.0</v>
      </c>
      <c r="B2903" s="1" t="s">
        <v>251</v>
      </c>
      <c r="C2903" s="1">
        <v>676664.0</v>
      </c>
      <c r="D2903" s="1" t="s">
        <v>541</v>
      </c>
      <c r="E2903" s="1" t="s">
        <v>926</v>
      </c>
      <c r="F2903" s="1" t="s">
        <v>927</v>
      </c>
      <c r="G2903" s="1">
        <v>76.0</v>
      </c>
      <c r="H2903" s="1">
        <v>4.357847281</v>
      </c>
      <c r="I2903" s="1">
        <v>4.44</v>
      </c>
      <c r="J2903" s="1">
        <v>2.419284</v>
      </c>
    </row>
    <row r="2904">
      <c r="A2904" s="1">
        <v>2025.0</v>
      </c>
      <c r="B2904" s="1" t="s">
        <v>251</v>
      </c>
      <c r="C2904" s="1">
        <v>676664.0</v>
      </c>
      <c r="D2904" s="1" t="s">
        <v>540</v>
      </c>
      <c r="E2904" s="1" t="s">
        <v>926</v>
      </c>
      <c r="F2904" s="1" t="s">
        <v>927</v>
      </c>
      <c r="G2904" s="1">
        <v>8.0</v>
      </c>
      <c r="H2904" s="1">
        <v>0.458720766</v>
      </c>
      <c r="I2904" s="1">
        <v>4.31</v>
      </c>
      <c r="J2904" s="1">
        <v>0.291823</v>
      </c>
    </row>
    <row r="2905">
      <c r="A2905" s="1">
        <v>2025.0</v>
      </c>
      <c r="B2905" s="1" t="s">
        <v>251</v>
      </c>
      <c r="C2905" s="1">
        <v>676664.0</v>
      </c>
      <c r="D2905" s="1" t="s">
        <v>537</v>
      </c>
      <c r="E2905" s="1" t="s">
        <v>926</v>
      </c>
      <c r="F2905" s="1" t="s">
        <v>927</v>
      </c>
      <c r="G2905" s="1">
        <v>839.0</v>
      </c>
      <c r="H2905" s="1">
        <v>48.10834038</v>
      </c>
      <c r="I2905" s="1">
        <v>4.94</v>
      </c>
      <c r="J2905" s="1">
        <v>19.413444</v>
      </c>
    </row>
    <row r="2906">
      <c r="A2906" s="1">
        <v>2025.0</v>
      </c>
      <c r="B2906" s="1" t="s">
        <v>251</v>
      </c>
      <c r="C2906" s="1">
        <v>676664.0</v>
      </c>
      <c r="D2906" s="1" t="s">
        <v>536</v>
      </c>
      <c r="E2906" s="1" t="s">
        <v>926</v>
      </c>
      <c r="F2906" s="1" t="s">
        <v>927</v>
      </c>
      <c r="G2906" s="1">
        <v>117.0</v>
      </c>
      <c r="H2906" s="1">
        <v>6.708791209</v>
      </c>
      <c r="I2906" s="1">
        <v>4.97</v>
      </c>
      <c r="J2906" s="1">
        <v>2.690546</v>
      </c>
    </row>
    <row r="2907">
      <c r="A2907" s="1">
        <v>2025.0</v>
      </c>
      <c r="B2907" s="1" t="s">
        <v>251</v>
      </c>
      <c r="C2907" s="1">
        <v>676664.0</v>
      </c>
      <c r="D2907" s="1" t="s">
        <v>533</v>
      </c>
      <c r="E2907" s="1" t="s">
        <v>926</v>
      </c>
      <c r="F2907" s="1" t="s">
        <v>927</v>
      </c>
      <c r="G2907" s="1">
        <v>131.0</v>
      </c>
      <c r="H2907" s="1">
        <v>7.51155255</v>
      </c>
      <c r="I2907" s="1">
        <v>5.35</v>
      </c>
      <c r="J2907" s="1">
        <v>1.965104</v>
      </c>
    </row>
    <row r="2908">
      <c r="A2908" s="1">
        <v>2025.0</v>
      </c>
      <c r="B2908" s="1" t="s">
        <v>251</v>
      </c>
      <c r="C2908" s="1">
        <v>676664.0</v>
      </c>
      <c r="D2908" s="1" t="s">
        <v>539</v>
      </c>
      <c r="E2908" s="1" t="s">
        <v>926</v>
      </c>
      <c r="F2908" s="1" t="s">
        <v>927</v>
      </c>
      <c r="G2908" s="1">
        <v>475.0</v>
      </c>
      <c r="H2908" s="1">
        <v>27.23654551</v>
      </c>
      <c r="I2908" s="1">
        <v>5.5</v>
      </c>
      <c r="J2908" s="1">
        <v>5.52911</v>
      </c>
    </row>
    <row r="2909">
      <c r="A2909" s="1">
        <v>2025.0</v>
      </c>
      <c r="B2909" s="1" t="s">
        <v>594</v>
      </c>
      <c r="C2909" s="1">
        <v>664141.0</v>
      </c>
      <c r="D2909" s="1" t="s">
        <v>532</v>
      </c>
      <c r="E2909" s="1" t="s">
        <v>927</v>
      </c>
      <c r="F2909" s="1" t="s">
        <v>926</v>
      </c>
      <c r="G2909" s="1">
        <v>66.0</v>
      </c>
      <c r="H2909" s="1">
        <v>4.034115139</v>
      </c>
      <c r="I2909" s="1">
        <v>5.13</v>
      </c>
      <c r="J2909" s="1">
        <v>1.214159</v>
      </c>
    </row>
    <row r="2910">
      <c r="A2910" s="1">
        <v>2025.0</v>
      </c>
      <c r="B2910" s="1" t="s">
        <v>594</v>
      </c>
      <c r="C2910" s="1">
        <v>664141.0</v>
      </c>
      <c r="D2910" s="1" t="s">
        <v>541</v>
      </c>
      <c r="E2910" s="1" t="s">
        <v>927</v>
      </c>
      <c r="F2910" s="1" t="s">
        <v>926</v>
      </c>
      <c r="G2910" s="1">
        <v>31.0</v>
      </c>
      <c r="H2910" s="1">
        <v>1.894811656</v>
      </c>
      <c r="I2910" s="1">
        <v>4.81</v>
      </c>
      <c r="J2910" s="1">
        <v>0.776296</v>
      </c>
    </row>
    <row r="2911">
      <c r="A2911" s="1">
        <v>2025.0</v>
      </c>
      <c r="B2911" s="1" t="s">
        <v>594</v>
      </c>
      <c r="C2911" s="1">
        <v>664141.0</v>
      </c>
      <c r="D2911" s="1" t="s">
        <v>537</v>
      </c>
      <c r="E2911" s="1" t="s">
        <v>927</v>
      </c>
      <c r="F2911" s="1" t="s">
        <v>926</v>
      </c>
      <c r="G2911" s="1">
        <v>5.0</v>
      </c>
      <c r="H2911" s="1">
        <v>0.305614783</v>
      </c>
      <c r="I2911" s="1">
        <v>5.85</v>
      </c>
      <c r="J2911" s="1">
        <v>0.044891</v>
      </c>
    </row>
    <row r="2912">
      <c r="A2912" s="1">
        <v>2025.0</v>
      </c>
      <c r="B2912" s="1" t="s">
        <v>594</v>
      </c>
      <c r="C2912" s="1">
        <v>664141.0</v>
      </c>
      <c r="D2912" s="1" t="s">
        <v>536</v>
      </c>
      <c r="E2912" s="1" t="s">
        <v>927</v>
      </c>
      <c r="F2912" s="1" t="s">
        <v>926</v>
      </c>
      <c r="G2912" s="1">
        <v>94.0</v>
      </c>
      <c r="H2912" s="1">
        <v>5.745557925</v>
      </c>
      <c r="I2912" s="1">
        <v>4.34</v>
      </c>
      <c r="J2912" s="1">
        <v>3.35991</v>
      </c>
    </row>
    <row r="2913">
      <c r="A2913" s="1">
        <v>2025.0</v>
      </c>
      <c r="B2913" s="1" t="s">
        <v>594</v>
      </c>
      <c r="C2913" s="1">
        <v>664141.0</v>
      </c>
      <c r="D2913" s="1" t="s">
        <v>533</v>
      </c>
      <c r="E2913" s="1" t="s">
        <v>927</v>
      </c>
      <c r="F2913" s="1" t="s">
        <v>926</v>
      </c>
      <c r="G2913" s="1">
        <v>26.0</v>
      </c>
      <c r="H2913" s="1">
        <v>1.589196873</v>
      </c>
      <c r="I2913" s="1">
        <v>4.65</v>
      </c>
      <c r="J2913" s="1">
        <v>0.731997</v>
      </c>
    </row>
    <row r="2914">
      <c r="A2914" s="1">
        <v>2025.0</v>
      </c>
      <c r="B2914" s="1" t="s">
        <v>594</v>
      </c>
      <c r="C2914" s="1">
        <v>664141.0</v>
      </c>
      <c r="D2914" s="1" t="s">
        <v>532</v>
      </c>
      <c r="E2914" s="1" t="s">
        <v>927</v>
      </c>
      <c r="F2914" s="1" t="s">
        <v>927</v>
      </c>
      <c r="G2914" s="1">
        <v>6.0</v>
      </c>
      <c r="H2914" s="1">
        <v>0.36673774</v>
      </c>
      <c r="I2914" s="1">
        <v>4.97</v>
      </c>
      <c r="J2914" s="1">
        <v>0.152394</v>
      </c>
    </row>
    <row r="2915">
      <c r="A2915" s="1">
        <v>2025.0</v>
      </c>
      <c r="B2915" s="1" t="s">
        <v>594</v>
      </c>
      <c r="C2915" s="1">
        <v>664141.0</v>
      </c>
      <c r="D2915" s="1" t="s">
        <v>541</v>
      </c>
      <c r="E2915" s="1" t="s">
        <v>927</v>
      </c>
      <c r="F2915" s="1" t="s">
        <v>927</v>
      </c>
      <c r="G2915" s="1">
        <v>17.0</v>
      </c>
      <c r="H2915" s="1">
        <v>1.039090263</v>
      </c>
      <c r="I2915" s="1">
        <v>5.32</v>
      </c>
      <c r="J2915" s="1">
        <v>0.236454</v>
      </c>
    </row>
    <row r="2916">
      <c r="A2916" s="1">
        <v>2025.0</v>
      </c>
      <c r="B2916" s="1" t="s">
        <v>594</v>
      </c>
      <c r="C2916" s="1">
        <v>664141.0</v>
      </c>
      <c r="D2916" s="1" t="s">
        <v>537</v>
      </c>
      <c r="E2916" s="1" t="s">
        <v>927</v>
      </c>
      <c r="F2916" s="1" t="s">
        <v>927</v>
      </c>
      <c r="G2916" s="1">
        <v>14.0</v>
      </c>
      <c r="H2916" s="1">
        <v>0.855721393</v>
      </c>
      <c r="I2916" s="1">
        <v>4.8</v>
      </c>
      <c r="J2916" s="1">
        <v>0.400563</v>
      </c>
    </row>
    <row r="2917">
      <c r="A2917" s="1">
        <v>2025.0</v>
      </c>
      <c r="B2917" s="1" t="s">
        <v>594</v>
      </c>
      <c r="C2917" s="1">
        <v>664141.0</v>
      </c>
      <c r="D2917" s="1" t="s">
        <v>536</v>
      </c>
      <c r="E2917" s="1" t="s">
        <v>927</v>
      </c>
      <c r="F2917" s="1" t="s">
        <v>927</v>
      </c>
      <c r="G2917" s="1">
        <v>121.0</v>
      </c>
      <c r="H2917" s="1">
        <v>7.395877754</v>
      </c>
      <c r="I2917" s="1">
        <v>4.66</v>
      </c>
      <c r="J2917" s="1">
        <v>3.426507</v>
      </c>
    </row>
    <row r="2918">
      <c r="A2918" s="1">
        <v>2025.0</v>
      </c>
      <c r="B2918" s="1" t="s">
        <v>594</v>
      </c>
      <c r="C2918" s="1">
        <v>664141.0</v>
      </c>
      <c r="D2918" s="1" t="s">
        <v>533</v>
      </c>
      <c r="E2918" s="1" t="s">
        <v>927</v>
      </c>
      <c r="F2918" s="1" t="s">
        <v>927</v>
      </c>
      <c r="G2918" s="1">
        <v>89.0</v>
      </c>
      <c r="H2918" s="1">
        <v>5.439943141</v>
      </c>
      <c r="I2918" s="1">
        <v>4.97</v>
      </c>
      <c r="J2918" s="1">
        <v>1.973329</v>
      </c>
    </row>
    <row r="2919">
      <c r="A2919" s="1">
        <v>2025.0</v>
      </c>
      <c r="B2919" s="1" t="s">
        <v>206</v>
      </c>
      <c r="C2919" s="1">
        <v>676263.0</v>
      </c>
      <c r="D2919" s="1" t="s">
        <v>541</v>
      </c>
      <c r="E2919" s="1" t="s">
        <v>926</v>
      </c>
      <c r="F2919" s="1" t="s">
        <v>926</v>
      </c>
      <c r="G2919" s="1">
        <v>26.0</v>
      </c>
      <c r="H2919" s="1">
        <v>1.731820826</v>
      </c>
      <c r="I2919" s="1">
        <v>4.49</v>
      </c>
      <c r="J2919" s="1">
        <v>0.812112</v>
      </c>
    </row>
    <row r="2920">
      <c r="A2920" s="1">
        <v>2025.0</v>
      </c>
      <c r="B2920" s="1" t="s">
        <v>206</v>
      </c>
      <c r="C2920" s="1">
        <v>676263.0</v>
      </c>
      <c r="D2920" s="1" t="s">
        <v>537</v>
      </c>
      <c r="E2920" s="1" t="s">
        <v>926</v>
      </c>
      <c r="F2920" s="1" t="s">
        <v>926</v>
      </c>
      <c r="G2920" s="1">
        <v>157.0</v>
      </c>
      <c r="H2920" s="1">
        <v>10.45753345</v>
      </c>
      <c r="I2920" s="1">
        <v>5.21</v>
      </c>
      <c r="J2920" s="1">
        <v>2.895096</v>
      </c>
    </row>
    <row r="2921">
      <c r="A2921" s="1">
        <v>2025.0</v>
      </c>
      <c r="B2921" s="1" t="s">
        <v>206</v>
      </c>
      <c r="C2921" s="1">
        <v>676263.0</v>
      </c>
      <c r="D2921" s="1" t="s">
        <v>533</v>
      </c>
      <c r="E2921" s="1" t="s">
        <v>926</v>
      </c>
      <c r="F2921" s="1" t="s">
        <v>926</v>
      </c>
      <c r="G2921" s="1">
        <v>206.0</v>
      </c>
      <c r="H2921" s="1">
        <v>13.72134962</v>
      </c>
      <c r="I2921" s="1">
        <v>4.91</v>
      </c>
      <c r="J2921" s="1">
        <v>4.772027</v>
      </c>
    </row>
    <row r="2922">
      <c r="A2922" s="1">
        <v>2025.0</v>
      </c>
      <c r="B2922" s="1" t="s">
        <v>206</v>
      </c>
      <c r="C2922" s="1">
        <v>676263.0</v>
      </c>
      <c r="D2922" s="1" t="s">
        <v>541</v>
      </c>
      <c r="E2922" s="1" t="s">
        <v>926</v>
      </c>
      <c r="F2922" s="1" t="s">
        <v>927</v>
      </c>
      <c r="G2922" s="1">
        <v>74.0</v>
      </c>
      <c r="H2922" s="1">
        <v>4.929028505</v>
      </c>
      <c r="I2922" s="1">
        <v>4.93</v>
      </c>
      <c r="J2922" s="1">
        <v>1.727531</v>
      </c>
    </row>
    <row r="2923">
      <c r="A2923" s="1">
        <v>2025.0</v>
      </c>
      <c r="B2923" s="1" t="s">
        <v>206</v>
      </c>
      <c r="C2923" s="1">
        <v>676263.0</v>
      </c>
      <c r="D2923" s="1" t="s">
        <v>537</v>
      </c>
      <c r="E2923" s="1" t="s">
        <v>926</v>
      </c>
      <c r="F2923" s="1" t="s">
        <v>927</v>
      </c>
      <c r="G2923" s="1">
        <v>360.0</v>
      </c>
      <c r="H2923" s="1">
        <v>23.97905759</v>
      </c>
      <c r="I2923" s="1">
        <v>5.17</v>
      </c>
      <c r="J2923" s="1">
        <v>6.824686</v>
      </c>
    </row>
    <row r="2924">
      <c r="A2924" s="1">
        <v>2025.0</v>
      </c>
      <c r="B2924" s="1" t="s">
        <v>206</v>
      </c>
      <c r="C2924" s="1">
        <v>676263.0</v>
      </c>
      <c r="D2924" s="1" t="s">
        <v>533</v>
      </c>
      <c r="E2924" s="1" t="s">
        <v>926</v>
      </c>
      <c r="F2924" s="1" t="s">
        <v>927</v>
      </c>
      <c r="G2924" s="1">
        <v>323.0</v>
      </c>
      <c r="H2924" s="1">
        <v>21.51454334</v>
      </c>
      <c r="I2924" s="1">
        <v>4.88</v>
      </c>
      <c r="J2924" s="1">
        <v>7.902772</v>
      </c>
    </row>
    <row r="2925">
      <c r="A2925" s="1">
        <v>2025.0</v>
      </c>
      <c r="B2925" s="1" t="s">
        <v>316</v>
      </c>
      <c r="C2925" s="1">
        <v>656427.0</v>
      </c>
      <c r="D2925" s="1" t="s">
        <v>532</v>
      </c>
      <c r="E2925" s="1" t="s">
        <v>927</v>
      </c>
      <c r="F2925" s="1" t="s">
        <v>926</v>
      </c>
      <c r="G2925" s="1">
        <v>61.0</v>
      </c>
      <c r="H2925" s="1">
        <v>3.470318021</v>
      </c>
      <c r="I2925" s="1">
        <v>3.87</v>
      </c>
      <c r="J2925" s="1">
        <v>2.723611</v>
      </c>
    </row>
    <row r="2926">
      <c r="A2926" s="1">
        <v>2025.0</v>
      </c>
      <c r="B2926" s="1" t="s">
        <v>316</v>
      </c>
      <c r="C2926" s="1">
        <v>656427.0</v>
      </c>
      <c r="D2926" s="1" t="s">
        <v>541</v>
      </c>
      <c r="E2926" s="1" t="s">
        <v>927</v>
      </c>
      <c r="F2926" s="1" t="s">
        <v>926</v>
      </c>
      <c r="G2926" s="1">
        <v>384.0</v>
      </c>
      <c r="H2926" s="1">
        <v>21.8459364</v>
      </c>
      <c r="I2926" s="1">
        <v>5.02</v>
      </c>
      <c r="J2926" s="1">
        <v>8.141657</v>
      </c>
    </row>
    <row r="2927">
      <c r="A2927" s="1">
        <v>2025.0</v>
      </c>
      <c r="B2927" s="1" t="s">
        <v>316</v>
      </c>
      <c r="C2927" s="1">
        <v>656427.0</v>
      </c>
      <c r="D2927" s="1" t="s">
        <v>537</v>
      </c>
      <c r="E2927" s="1" t="s">
        <v>927</v>
      </c>
      <c r="F2927" s="1" t="s">
        <v>926</v>
      </c>
      <c r="G2927" s="1">
        <v>686.0</v>
      </c>
      <c r="H2927" s="1">
        <v>39.02685512</v>
      </c>
      <c r="I2927" s="1">
        <v>5.05</v>
      </c>
      <c r="J2927" s="1">
        <v>14.668813</v>
      </c>
    </row>
    <row r="2928">
      <c r="A2928" s="1">
        <v>2025.0</v>
      </c>
      <c r="B2928" s="1" t="s">
        <v>316</v>
      </c>
      <c r="C2928" s="1">
        <v>656427.0</v>
      </c>
      <c r="D2928" s="1" t="s">
        <v>536</v>
      </c>
      <c r="E2928" s="1" t="s">
        <v>927</v>
      </c>
      <c r="F2928" s="1" t="s">
        <v>926</v>
      </c>
      <c r="G2928" s="1">
        <v>21.0</v>
      </c>
      <c r="H2928" s="1">
        <v>1.194699647</v>
      </c>
      <c r="I2928" s="1">
        <v>4.11</v>
      </c>
      <c r="J2928" s="1">
        <v>0.845454</v>
      </c>
    </row>
    <row r="2929">
      <c r="A2929" s="1">
        <v>2025.0</v>
      </c>
      <c r="B2929" s="1" t="s">
        <v>316</v>
      </c>
      <c r="C2929" s="1">
        <v>656427.0</v>
      </c>
      <c r="D2929" s="1" t="s">
        <v>533</v>
      </c>
      <c r="E2929" s="1" t="s">
        <v>927</v>
      </c>
      <c r="F2929" s="1" t="s">
        <v>926</v>
      </c>
      <c r="G2929" s="1">
        <v>366.0</v>
      </c>
      <c r="H2929" s="1">
        <v>20.82190813</v>
      </c>
      <c r="I2929" s="1">
        <v>5.23</v>
      </c>
      <c r="J2929" s="1">
        <v>6.204038</v>
      </c>
    </row>
    <row r="2930">
      <c r="A2930" s="1">
        <v>2025.0</v>
      </c>
      <c r="B2930" s="1" t="s">
        <v>316</v>
      </c>
      <c r="C2930" s="1">
        <v>656427.0</v>
      </c>
      <c r="D2930" s="1" t="s">
        <v>532</v>
      </c>
      <c r="E2930" s="1" t="s">
        <v>927</v>
      </c>
      <c r="F2930" s="1" t="s">
        <v>927</v>
      </c>
      <c r="G2930" s="1">
        <v>11.0</v>
      </c>
      <c r="H2930" s="1">
        <v>0.625795053</v>
      </c>
      <c r="I2930" s="1">
        <v>3.36</v>
      </c>
      <c r="J2930" s="1">
        <v>0.603966</v>
      </c>
    </row>
    <row r="2931">
      <c r="A2931" s="1">
        <v>2025.0</v>
      </c>
      <c r="B2931" s="1" t="s">
        <v>316</v>
      </c>
      <c r="C2931" s="1">
        <v>656427.0</v>
      </c>
      <c r="D2931" s="1" t="s">
        <v>541</v>
      </c>
      <c r="E2931" s="1" t="s">
        <v>927</v>
      </c>
      <c r="F2931" s="1" t="s">
        <v>927</v>
      </c>
      <c r="G2931" s="1">
        <v>333.0</v>
      </c>
      <c r="H2931" s="1">
        <v>18.94452297</v>
      </c>
      <c r="I2931" s="1">
        <v>4.96</v>
      </c>
      <c r="J2931" s="1">
        <v>7.468304</v>
      </c>
    </row>
    <row r="2932">
      <c r="A2932" s="1">
        <v>2025.0</v>
      </c>
      <c r="B2932" s="1" t="s">
        <v>316</v>
      </c>
      <c r="C2932" s="1">
        <v>656427.0</v>
      </c>
      <c r="D2932" s="1" t="s">
        <v>537</v>
      </c>
      <c r="E2932" s="1" t="s">
        <v>927</v>
      </c>
      <c r="F2932" s="1" t="s">
        <v>927</v>
      </c>
      <c r="G2932" s="1">
        <v>641.0</v>
      </c>
      <c r="H2932" s="1">
        <v>36.46678445</v>
      </c>
      <c r="I2932" s="1">
        <v>5.14</v>
      </c>
      <c r="J2932" s="1">
        <v>12.448199</v>
      </c>
    </row>
    <row r="2933">
      <c r="A2933" s="1">
        <v>2025.0</v>
      </c>
      <c r="B2933" s="1" t="s">
        <v>316</v>
      </c>
      <c r="C2933" s="1">
        <v>656427.0</v>
      </c>
      <c r="D2933" s="1" t="s">
        <v>536</v>
      </c>
      <c r="E2933" s="1" t="s">
        <v>927</v>
      </c>
      <c r="F2933" s="1" t="s">
        <v>927</v>
      </c>
      <c r="G2933" s="1">
        <v>24.0</v>
      </c>
      <c r="H2933" s="1">
        <v>1.365371025</v>
      </c>
      <c r="I2933" s="1">
        <v>3.29</v>
      </c>
      <c r="J2933" s="1">
        <v>1.346884</v>
      </c>
    </row>
    <row r="2934">
      <c r="A2934" s="1">
        <v>2025.0</v>
      </c>
      <c r="B2934" s="1" t="s">
        <v>316</v>
      </c>
      <c r="C2934" s="1">
        <v>656427.0</v>
      </c>
      <c r="D2934" s="1" t="s">
        <v>533</v>
      </c>
      <c r="E2934" s="1" t="s">
        <v>927</v>
      </c>
      <c r="F2934" s="1" t="s">
        <v>927</v>
      </c>
      <c r="G2934" s="1">
        <v>303.0</v>
      </c>
      <c r="H2934" s="1">
        <v>17.23780919</v>
      </c>
      <c r="I2934" s="1">
        <v>5.13</v>
      </c>
      <c r="J2934" s="1">
        <v>5.855022</v>
      </c>
    </row>
    <row r="2935">
      <c r="A2935" s="1">
        <v>2025.0</v>
      </c>
      <c r="B2935" s="1" t="s">
        <v>521</v>
      </c>
      <c r="C2935" s="1">
        <v>686799.0</v>
      </c>
      <c r="D2935" s="1" t="s">
        <v>532</v>
      </c>
      <c r="E2935" s="1" t="s">
        <v>927</v>
      </c>
      <c r="F2935" s="1" t="s">
        <v>926</v>
      </c>
      <c r="G2935" s="1">
        <v>222.0</v>
      </c>
      <c r="H2935" s="1">
        <v>13.25551372</v>
      </c>
      <c r="I2935" s="1">
        <v>4.89</v>
      </c>
      <c r="J2935" s="1">
        <v>5.53468</v>
      </c>
    </row>
    <row r="2936">
      <c r="A2936" s="1">
        <v>2025.0</v>
      </c>
      <c r="B2936" s="1" t="s">
        <v>521</v>
      </c>
      <c r="C2936" s="1">
        <v>686799.0</v>
      </c>
      <c r="D2936" s="1" t="s">
        <v>537</v>
      </c>
      <c r="E2936" s="1" t="s">
        <v>927</v>
      </c>
      <c r="F2936" s="1" t="s">
        <v>926</v>
      </c>
      <c r="G2936" s="1">
        <v>249.0</v>
      </c>
      <c r="H2936" s="1">
        <v>14.86767079</v>
      </c>
      <c r="I2936" s="1">
        <v>4.49</v>
      </c>
      <c r="J2936" s="1">
        <v>8.50767</v>
      </c>
    </row>
    <row r="2937">
      <c r="A2937" s="1">
        <v>2025.0</v>
      </c>
      <c r="B2937" s="1" t="s">
        <v>521</v>
      </c>
      <c r="C2937" s="1">
        <v>686799.0</v>
      </c>
      <c r="D2937" s="1" t="s">
        <v>536</v>
      </c>
      <c r="E2937" s="1" t="s">
        <v>927</v>
      </c>
      <c r="F2937" s="1" t="s">
        <v>926</v>
      </c>
      <c r="G2937" s="1">
        <v>486.0</v>
      </c>
      <c r="H2937" s="1">
        <v>29.01882733</v>
      </c>
      <c r="I2937" s="1">
        <v>4.61</v>
      </c>
      <c r="J2937" s="1">
        <v>15.157086</v>
      </c>
    </row>
    <row r="2938">
      <c r="A2938" s="1">
        <v>2025.0</v>
      </c>
      <c r="B2938" s="1" t="s">
        <v>521</v>
      </c>
      <c r="C2938" s="1">
        <v>686799.0</v>
      </c>
      <c r="D2938" s="1" t="s">
        <v>533</v>
      </c>
      <c r="E2938" s="1" t="s">
        <v>927</v>
      </c>
      <c r="F2938" s="1" t="s">
        <v>926</v>
      </c>
      <c r="G2938" s="1">
        <v>130.0</v>
      </c>
      <c r="H2938" s="1">
        <v>7.762237762</v>
      </c>
      <c r="I2938" s="1">
        <v>5.13</v>
      </c>
      <c r="J2938" s="1">
        <v>2.722609</v>
      </c>
    </row>
    <row r="2939">
      <c r="A2939" s="1">
        <v>2025.0</v>
      </c>
      <c r="B2939" s="1" t="s">
        <v>521</v>
      </c>
      <c r="C2939" s="1">
        <v>686799.0</v>
      </c>
      <c r="D2939" s="1" t="s">
        <v>539</v>
      </c>
      <c r="E2939" s="1" t="s">
        <v>927</v>
      </c>
      <c r="F2939" s="1" t="s">
        <v>926</v>
      </c>
      <c r="G2939" s="1">
        <v>35.0</v>
      </c>
      <c r="H2939" s="1">
        <v>2.089833244</v>
      </c>
      <c r="I2939" s="1">
        <v>4.09</v>
      </c>
      <c r="J2939" s="1">
        <v>1.441339</v>
      </c>
    </row>
    <row r="2940">
      <c r="A2940" s="1">
        <v>2025.0</v>
      </c>
      <c r="B2940" s="1" t="s">
        <v>521</v>
      </c>
      <c r="C2940" s="1">
        <v>686799.0</v>
      </c>
      <c r="D2940" s="1" t="s">
        <v>532</v>
      </c>
      <c r="E2940" s="1" t="s">
        <v>927</v>
      </c>
      <c r="F2940" s="1" t="s">
        <v>927</v>
      </c>
      <c r="G2940" s="1">
        <v>41.0</v>
      </c>
      <c r="H2940" s="1">
        <v>2.448090371</v>
      </c>
      <c r="I2940" s="1">
        <v>4.97</v>
      </c>
      <c r="J2940" s="1">
        <v>0.898336</v>
      </c>
    </row>
    <row r="2941">
      <c r="A2941" s="1">
        <v>2025.0</v>
      </c>
      <c r="B2941" s="1" t="s">
        <v>521</v>
      </c>
      <c r="C2941" s="1">
        <v>686799.0</v>
      </c>
      <c r="D2941" s="1" t="s">
        <v>537</v>
      </c>
      <c r="E2941" s="1" t="s">
        <v>927</v>
      </c>
      <c r="F2941" s="1" t="s">
        <v>927</v>
      </c>
      <c r="G2941" s="1">
        <v>103.0</v>
      </c>
      <c r="H2941" s="1">
        <v>6.150080689</v>
      </c>
      <c r="I2941" s="1">
        <v>4.26</v>
      </c>
      <c r="J2941" s="1">
        <v>3.888417</v>
      </c>
    </row>
    <row r="2942">
      <c r="A2942" s="1">
        <v>2025.0</v>
      </c>
      <c r="B2942" s="1" t="s">
        <v>521</v>
      </c>
      <c r="C2942" s="1">
        <v>686799.0</v>
      </c>
      <c r="D2942" s="1" t="s">
        <v>536</v>
      </c>
      <c r="E2942" s="1" t="s">
        <v>927</v>
      </c>
      <c r="F2942" s="1" t="s">
        <v>927</v>
      </c>
      <c r="G2942" s="1">
        <v>382.0</v>
      </c>
      <c r="H2942" s="1">
        <v>22.80903712</v>
      </c>
      <c r="I2942" s="1">
        <v>4.92</v>
      </c>
      <c r="J2942" s="1">
        <v>9.29539</v>
      </c>
    </row>
    <row r="2943">
      <c r="A2943" s="1">
        <v>2025.0</v>
      </c>
      <c r="B2943" s="1" t="s">
        <v>521</v>
      </c>
      <c r="C2943" s="1">
        <v>686799.0</v>
      </c>
      <c r="D2943" s="1" t="s">
        <v>533</v>
      </c>
      <c r="E2943" s="1" t="s">
        <v>927</v>
      </c>
      <c r="F2943" s="1" t="s">
        <v>927</v>
      </c>
      <c r="G2943" s="1">
        <v>139.0</v>
      </c>
      <c r="H2943" s="1">
        <v>8.299623453</v>
      </c>
      <c r="I2943" s="1">
        <v>4.77</v>
      </c>
      <c r="J2943" s="1">
        <v>3.862542</v>
      </c>
    </row>
    <row r="2944">
      <c r="A2944" s="1">
        <v>2025.0</v>
      </c>
      <c r="B2944" s="1" t="s">
        <v>521</v>
      </c>
      <c r="C2944" s="1">
        <v>686799.0</v>
      </c>
      <c r="D2944" s="1" t="s">
        <v>539</v>
      </c>
      <c r="E2944" s="1" t="s">
        <v>927</v>
      </c>
      <c r="F2944" s="1" t="s">
        <v>927</v>
      </c>
      <c r="G2944" s="1">
        <v>72.0</v>
      </c>
      <c r="H2944" s="1">
        <v>4.29908553</v>
      </c>
      <c r="I2944" s="1">
        <v>4.44</v>
      </c>
      <c r="J2944" s="1">
        <v>2.420871</v>
      </c>
    </row>
    <row r="2945">
      <c r="A2945" s="1">
        <v>2025.0</v>
      </c>
      <c r="B2945" s="1" t="s">
        <v>374</v>
      </c>
      <c r="C2945" s="1">
        <v>683004.0</v>
      </c>
      <c r="D2945" s="1" t="s">
        <v>532</v>
      </c>
      <c r="E2945" s="1" t="s">
        <v>927</v>
      </c>
      <c r="F2945" s="1" t="s">
        <v>926</v>
      </c>
      <c r="G2945" s="1">
        <v>297.0</v>
      </c>
      <c r="H2945" s="1">
        <v>17.43227554</v>
      </c>
      <c r="I2945" s="1">
        <v>4.5</v>
      </c>
      <c r="J2945" s="1">
        <v>9.621076</v>
      </c>
    </row>
    <row r="2946">
      <c r="A2946" s="1">
        <v>2025.0</v>
      </c>
      <c r="B2946" s="1" t="s">
        <v>374</v>
      </c>
      <c r="C2946" s="1">
        <v>683004.0</v>
      </c>
      <c r="D2946" s="1" t="s">
        <v>541</v>
      </c>
      <c r="E2946" s="1" t="s">
        <v>927</v>
      </c>
      <c r="F2946" s="1" t="s">
        <v>926</v>
      </c>
      <c r="G2946" s="1">
        <v>179.0</v>
      </c>
      <c r="H2946" s="1">
        <v>10.50632095</v>
      </c>
      <c r="I2946" s="1">
        <v>4.62</v>
      </c>
      <c r="J2946" s="1">
        <v>5.353031</v>
      </c>
    </row>
    <row r="2947">
      <c r="A2947" s="1">
        <v>2025.0</v>
      </c>
      <c r="B2947" s="1" t="s">
        <v>374</v>
      </c>
      <c r="C2947" s="1">
        <v>683004.0</v>
      </c>
      <c r="D2947" s="1" t="s">
        <v>537</v>
      </c>
      <c r="E2947" s="1" t="s">
        <v>927</v>
      </c>
      <c r="F2947" s="1" t="s">
        <v>926</v>
      </c>
      <c r="G2947" s="1">
        <v>487.0</v>
      </c>
      <c r="H2947" s="1">
        <v>28.58423633</v>
      </c>
      <c r="I2947" s="1">
        <v>5.04</v>
      </c>
      <c r="J2947" s="1">
        <v>10.451676</v>
      </c>
    </row>
    <row r="2948">
      <c r="A2948" s="1">
        <v>2025.0</v>
      </c>
      <c r="B2948" s="1" t="s">
        <v>374</v>
      </c>
      <c r="C2948" s="1">
        <v>683004.0</v>
      </c>
      <c r="D2948" s="1" t="s">
        <v>536</v>
      </c>
      <c r="E2948" s="1" t="s">
        <v>927</v>
      </c>
      <c r="F2948" s="1" t="s">
        <v>926</v>
      </c>
      <c r="G2948" s="1">
        <v>174.0</v>
      </c>
      <c r="H2948" s="1">
        <v>10.2128483</v>
      </c>
      <c r="I2948" s="1">
        <v>5.17</v>
      </c>
      <c r="J2948" s="1">
        <v>3.389285</v>
      </c>
    </row>
    <row r="2949">
      <c r="A2949" s="1">
        <v>2025.0</v>
      </c>
      <c r="B2949" s="1" t="s">
        <v>374</v>
      </c>
      <c r="C2949" s="1">
        <v>683004.0</v>
      </c>
      <c r="D2949" s="1" t="s">
        <v>533</v>
      </c>
      <c r="E2949" s="1" t="s">
        <v>927</v>
      </c>
      <c r="F2949" s="1" t="s">
        <v>926</v>
      </c>
      <c r="G2949" s="1">
        <v>199.0</v>
      </c>
      <c r="H2949" s="1">
        <v>11.68021156</v>
      </c>
      <c r="I2949" s="1">
        <v>5.3</v>
      </c>
      <c r="J2949" s="1">
        <v>3.176348</v>
      </c>
    </row>
    <row r="2950">
      <c r="A2950" s="1">
        <v>2025.0</v>
      </c>
      <c r="B2950" s="1" t="s">
        <v>374</v>
      </c>
      <c r="C2950" s="1">
        <v>683004.0</v>
      </c>
      <c r="D2950" s="1" t="s">
        <v>532</v>
      </c>
      <c r="E2950" s="1" t="s">
        <v>927</v>
      </c>
      <c r="F2950" s="1" t="s">
        <v>927</v>
      </c>
      <c r="G2950" s="1">
        <v>127.0</v>
      </c>
      <c r="H2950" s="1">
        <v>7.454205366</v>
      </c>
      <c r="I2950" s="1">
        <v>4.73</v>
      </c>
      <c r="J2950" s="1">
        <v>3.42391</v>
      </c>
    </row>
    <row r="2951">
      <c r="A2951" s="1">
        <v>2025.0</v>
      </c>
      <c r="B2951" s="1" t="s">
        <v>374</v>
      </c>
      <c r="C2951" s="1">
        <v>683004.0</v>
      </c>
      <c r="D2951" s="1" t="s">
        <v>541</v>
      </c>
      <c r="E2951" s="1" t="s">
        <v>927</v>
      </c>
      <c r="F2951" s="1" t="s">
        <v>927</v>
      </c>
      <c r="G2951" s="1">
        <v>64.0</v>
      </c>
      <c r="H2951" s="1">
        <v>3.756449948</v>
      </c>
      <c r="I2951" s="1">
        <v>4.66</v>
      </c>
      <c r="J2951" s="1">
        <v>1.80542</v>
      </c>
    </row>
    <row r="2952">
      <c r="A2952" s="1">
        <v>2025.0</v>
      </c>
      <c r="B2952" s="1" t="s">
        <v>374</v>
      </c>
      <c r="C2952" s="1">
        <v>683004.0</v>
      </c>
      <c r="D2952" s="1" t="s">
        <v>537</v>
      </c>
      <c r="E2952" s="1" t="s">
        <v>927</v>
      </c>
      <c r="F2952" s="1" t="s">
        <v>927</v>
      </c>
      <c r="G2952" s="1">
        <v>501.0</v>
      </c>
      <c r="H2952" s="1">
        <v>29.40595975</v>
      </c>
      <c r="I2952" s="1">
        <v>4.99</v>
      </c>
      <c r="J2952" s="1">
        <v>11.284364</v>
      </c>
    </row>
    <row r="2953">
      <c r="A2953" s="1">
        <v>2025.0</v>
      </c>
      <c r="B2953" s="1" t="s">
        <v>374</v>
      </c>
      <c r="C2953" s="1">
        <v>683004.0</v>
      </c>
      <c r="D2953" s="1" t="s">
        <v>536</v>
      </c>
      <c r="E2953" s="1" t="s">
        <v>927</v>
      </c>
      <c r="F2953" s="1" t="s">
        <v>927</v>
      </c>
      <c r="G2953" s="1">
        <v>151.0</v>
      </c>
      <c r="H2953" s="1">
        <v>8.862874097</v>
      </c>
      <c r="I2953" s="1">
        <v>4.97</v>
      </c>
      <c r="J2953" s="1">
        <v>3.600312</v>
      </c>
    </row>
    <row r="2954">
      <c r="A2954" s="1">
        <v>2025.0</v>
      </c>
      <c r="B2954" s="1" t="s">
        <v>374</v>
      </c>
      <c r="C2954" s="1">
        <v>683004.0</v>
      </c>
      <c r="D2954" s="1" t="s">
        <v>533</v>
      </c>
      <c r="E2954" s="1" t="s">
        <v>927</v>
      </c>
      <c r="F2954" s="1" t="s">
        <v>927</v>
      </c>
      <c r="G2954" s="1">
        <v>405.0</v>
      </c>
      <c r="H2954" s="1">
        <v>23.77128483</v>
      </c>
      <c r="I2954" s="1">
        <v>5.09</v>
      </c>
      <c r="J2954" s="1">
        <v>8.362458</v>
      </c>
    </row>
    <row r="2955">
      <c r="A2955" s="1">
        <v>2025.0</v>
      </c>
      <c r="B2955" s="1" t="s">
        <v>886</v>
      </c>
      <c r="C2955" s="1">
        <v>669193.0</v>
      </c>
      <c r="D2955" s="1" t="s">
        <v>537</v>
      </c>
      <c r="E2955" s="1" t="s">
        <v>927</v>
      </c>
      <c r="F2955" s="1" t="s">
        <v>926</v>
      </c>
      <c r="G2955" s="1">
        <v>6.0</v>
      </c>
      <c r="H2955" s="1">
        <v>0.409090909</v>
      </c>
      <c r="I2955" s="1">
        <v>5.03</v>
      </c>
      <c r="J2955" s="1">
        <v>0.134432</v>
      </c>
    </row>
    <row r="2956">
      <c r="A2956" s="1">
        <v>2025.0</v>
      </c>
      <c r="B2956" s="1" t="s">
        <v>886</v>
      </c>
      <c r="C2956" s="1">
        <v>669193.0</v>
      </c>
      <c r="D2956" s="1" t="s">
        <v>538</v>
      </c>
      <c r="E2956" s="1" t="s">
        <v>927</v>
      </c>
      <c r="F2956" s="1" t="s">
        <v>926</v>
      </c>
      <c r="G2956" s="1">
        <v>5.0</v>
      </c>
      <c r="H2956" s="1">
        <v>0.340909091</v>
      </c>
      <c r="I2956" s="1">
        <v>4.51</v>
      </c>
      <c r="J2956" s="1">
        <v>0.163828</v>
      </c>
    </row>
    <row r="2957">
      <c r="A2957" s="1">
        <v>2025.0</v>
      </c>
      <c r="B2957" s="1" t="s">
        <v>886</v>
      </c>
      <c r="C2957" s="1">
        <v>669193.0</v>
      </c>
      <c r="D2957" s="1" t="s">
        <v>533</v>
      </c>
      <c r="E2957" s="1" t="s">
        <v>927</v>
      </c>
      <c r="F2957" s="1" t="s">
        <v>926</v>
      </c>
      <c r="G2957" s="1">
        <v>1.0</v>
      </c>
      <c r="H2957" s="1">
        <v>0.068181818</v>
      </c>
      <c r="I2957" s="1">
        <v>6.24</v>
      </c>
      <c r="J2957" s="1">
        <v>-0.00349</v>
      </c>
    </row>
    <row r="2958">
      <c r="A2958" s="1">
        <v>2025.0</v>
      </c>
      <c r="B2958" s="1" t="s">
        <v>886</v>
      </c>
      <c r="C2958" s="1">
        <v>669193.0</v>
      </c>
      <c r="D2958" s="1" t="s">
        <v>537</v>
      </c>
      <c r="E2958" s="1" t="s">
        <v>927</v>
      </c>
      <c r="F2958" s="1" t="s">
        <v>927</v>
      </c>
      <c r="G2958" s="1">
        <v>19.0</v>
      </c>
      <c r="H2958" s="1">
        <v>1.295454545</v>
      </c>
      <c r="I2958" s="1">
        <v>4.87</v>
      </c>
      <c r="J2958" s="1">
        <v>0.462087</v>
      </c>
    </row>
    <row r="2959">
      <c r="A2959" s="1">
        <v>2025.0</v>
      </c>
      <c r="B2959" s="1" t="s">
        <v>886</v>
      </c>
      <c r="C2959" s="1">
        <v>669193.0</v>
      </c>
      <c r="D2959" s="1" t="s">
        <v>538</v>
      </c>
      <c r="E2959" s="1" t="s">
        <v>927</v>
      </c>
      <c r="F2959" s="1" t="s">
        <v>927</v>
      </c>
      <c r="G2959" s="1">
        <v>2.0</v>
      </c>
      <c r="H2959" s="1">
        <v>0.136363636</v>
      </c>
      <c r="I2959" s="1">
        <v>3.91</v>
      </c>
      <c r="J2959" s="1">
        <v>0.09118</v>
      </c>
    </row>
    <row r="2960">
      <c r="A2960" s="1">
        <v>2025.0</v>
      </c>
      <c r="B2960" s="1" t="s">
        <v>886</v>
      </c>
      <c r="C2960" s="1">
        <v>669193.0</v>
      </c>
      <c r="D2960" s="1" t="s">
        <v>533</v>
      </c>
      <c r="E2960" s="1" t="s">
        <v>927</v>
      </c>
      <c r="F2960" s="1" t="s">
        <v>927</v>
      </c>
      <c r="G2960" s="1">
        <v>11.0</v>
      </c>
      <c r="H2960" s="1">
        <v>0.75</v>
      </c>
      <c r="I2960" s="1">
        <v>5.66</v>
      </c>
      <c r="J2960" s="1">
        <v>0.100759</v>
      </c>
    </row>
    <row r="2961">
      <c r="A2961" s="1">
        <v>2025.0</v>
      </c>
      <c r="B2961" s="1" t="s">
        <v>350</v>
      </c>
      <c r="C2961" s="1">
        <v>678022.0</v>
      </c>
      <c r="D2961" s="1" t="s">
        <v>532</v>
      </c>
      <c r="E2961" s="1" t="s">
        <v>927</v>
      </c>
      <c r="F2961" s="1" t="s">
        <v>926</v>
      </c>
      <c r="G2961" s="1">
        <v>55.0</v>
      </c>
      <c r="H2961" s="1">
        <v>3.338566196</v>
      </c>
      <c r="I2961" s="1">
        <v>4.87</v>
      </c>
      <c r="J2961" s="1">
        <v>1.325037</v>
      </c>
    </row>
    <row r="2962">
      <c r="A2962" s="1">
        <v>2025.0</v>
      </c>
      <c r="B2962" s="1" t="s">
        <v>350</v>
      </c>
      <c r="C2962" s="1">
        <v>678022.0</v>
      </c>
      <c r="D2962" s="1" t="s">
        <v>541</v>
      </c>
      <c r="E2962" s="1" t="s">
        <v>927</v>
      </c>
      <c r="F2962" s="1" t="s">
        <v>926</v>
      </c>
      <c r="G2962" s="1">
        <v>5.0</v>
      </c>
      <c r="H2962" s="1">
        <v>0.303506018</v>
      </c>
      <c r="I2962" s="1">
        <v>3.61</v>
      </c>
      <c r="J2962" s="1">
        <v>0.247437</v>
      </c>
    </row>
    <row r="2963">
      <c r="A2963" s="1">
        <v>2025.0</v>
      </c>
      <c r="B2963" s="1" t="s">
        <v>350</v>
      </c>
      <c r="C2963" s="1">
        <v>678022.0</v>
      </c>
      <c r="D2963" s="1" t="s">
        <v>540</v>
      </c>
      <c r="E2963" s="1" t="s">
        <v>927</v>
      </c>
      <c r="F2963" s="1" t="s">
        <v>926</v>
      </c>
      <c r="G2963" s="1">
        <v>59.0</v>
      </c>
      <c r="H2963" s="1">
        <v>3.58137101</v>
      </c>
      <c r="I2963" s="1">
        <v>5.13</v>
      </c>
      <c r="J2963" s="1">
        <v>1.194145</v>
      </c>
    </row>
    <row r="2964">
      <c r="A2964" s="1">
        <v>2025.0</v>
      </c>
      <c r="B2964" s="1" t="s">
        <v>350</v>
      </c>
      <c r="C2964" s="1">
        <v>678022.0</v>
      </c>
      <c r="D2964" s="1" t="s">
        <v>537</v>
      </c>
      <c r="E2964" s="1" t="s">
        <v>927</v>
      </c>
      <c r="F2964" s="1" t="s">
        <v>926</v>
      </c>
      <c r="G2964" s="1">
        <v>129.0</v>
      </c>
      <c r="H2964" s="1">
        <v>7.830455259</v>
      </c>
      <c r="I2964" s="1">
        <v>4.49</v>
      </c>
      <c r="J2964" s="1">
        <v>4.206433</v>
      </c>
    </row>
    <row r="2965">
      <c r="A2965" s="1">
        <v>2025.0</v>
      </c>
      <c r="B2965" s="1" t="s">
        <v>350</v>
      </c>
      <c r="C2965" s="1">
        <v>678022.0</v>
      </c>
      <c r="D2965" s="1" t="s">
        <v>533</v>
      </c>
      <c r="E2965" s="1" t="s">
        <v>927</v>
      </c>
      <c r="F2965" s="1" t="s">
        <v>926</v>
      </c>
      <c r="G2965" s="1">
        <v>6.0</v>
      </c>
      <c r="H2965" s="1">
        <v>0.364207221</v>
      </c>
      <c r="I2965" s="1">
        <v>5.25</v>
      </c>
      <c r="J2965" s="1">
        <v>0.11788</v>
      </c>
    </row>
    <row r="2966">
      <c r="A2966" s="1">
        <v>2025.0</v>
      </c>
      <c r="B2966" s="1" t="s">
        <v>350</v>
      </c>
      <c r="C2966" s="1">
        <v>678022.0</v>
      </c>
      <c r="D2966" s="1" t="s">
        <v>539</v>
      </c>
      <c r="E2966" s="1" t="s">
        <v>927</v>
      </c>
      <c r="F2966" s="1" t="s">
        <v>926</v>
      </c>
      <c r="G2966" s="1">
        <v>87.0</v>
      </c>
      <c r="H2966" s="1">
        <v>5.28100471</v>
      </c>
      <c r="I2966" s="1">
        <v>5.28</v>
      </c>
      <c r="J2966" s="1">
        <v>1.397656</v>
      </c>
    </row>
    <row r="2967">
      <c r="A2967" s="1">
        <v>2025.0</v>
      </c>
      <c r="B2967" s="1" t="s">
        <v>350</v>
      </c>
      <c r="C2967" s="1">
        <v>678022.0</v>
      </c>
      <c r="D2967" s="1" t="s">
        <v>532</v>
      </c>
      <c r="E2967" s="1" t="s">
        <v>927</v>
      </c>
      <c r="F2967" s="1" t="s">
        <v>927</v>
      </c>
      <c r="G2967" s="1">
        <v>11.0</v>
      </c>
      <c r="H2967" s="1">
        <v>0.667713239</v>
      </c>
      <c r="I2967" s="1">
        <v>5.53</v>
      </c>
      <c r="J2967" s="1">
        <v>0.106181</v>
      </c>
    </row>
    <row r="2968">
      <c r="A2968" s="1">
        <v>2025.0</v>
      </c>
      <c r="B2968" s="1" t="s">
        <v>350</v>
      </c>
      <c r="C2968" s="1">
        <v>678022.0</v>
      </c>
      <c r="D2968" s="1" t="s">
        <v>540</v>
      </c>
      <c r="E2968" s="1" t="s">
        <v>927</v>
      </c>
      <c r="F2968" s="1" t="s">
        <v>927</v>
      </c>
      <c r="G2968" s="1">
        <v>30.0</v>
      </c>
      <c r="H2968" s="1">
        <v>1.821036107</v>
      </c>
      <c r="I2968" s="1">
        <v>5.35</v>
      </c>
      <c r="J2968" s="1">
        <v>0.48219</v>
      </c>
    </row>
    <row r="2969">
      <c r="A2969" s="1">
        <v>2025.0</v>
      </c>
      <c r="B2969" s="1" t="s">
        <v>350</v>
      </c>
      <c r="C2969" s="1">
        <v>678022.0</v>
      </c>
      <c r="D2969" s="1" t="s">
        <v>537</v>
      </c>
      <c r="E2969" s="1" t="s">
        <v>927</v>
      </c>
      <c r="F2969" s="1" t="s">
        <v>927</v>
      </c>
      <c r="G2969" s="1">
        <v>139.0</v>
      </c>
      <c r="H2969" s="1">
        <v>8.437467295</v>
      </c>
      <c r="I2969" s="1">
        <v>4.69</v>
      </c>
      <c r="J2969" s="1">
        <v>4.004955</v>
      </c>
    </row>
    <row r="2970">
      <c r="A2970" s="1">
        <v>2025.0</v>
      </c>
      <c r="B2970" s="1" t="s">
        <v>350</v>
      </c>
      <c r="C2970" s="1">
        <v>678022.0</v>
      </c>
      <c r="D2970" s="1" t="s">
        <v>539</v>
      </c>
      <c r="E2970" s="1" t="s">
        <v>927</v>
      </c>
      <c r="F2970" s="1" t="s">
        <v>927</v>
      </c>
      <c r="G2970" s="1">
        <v>116.0</v>
      </c>
      <c r="H2970" s="1">
        <v>7.041339613</v>
      </c>
      <c r="I2970" s="1">
        <v>5.28</v>
      </c>
      <c r="J2970" s="1">
        <v>1.783552</v>
      </c>
    </row>
    <row r="2971">
      <c r="A2971" s="1">
        <v>2025.0</v>
      </c>
      <c r="B2971" s="1" t="s">
        <v>377</v>
      </c>
      <c r="C2971" s="1">
        <v>695549.0</v>
      </c>
      <c r="D2971" s="1" t="s">
        <v>532</v>
      </c>
      <c r="E2971" s="1" t="s">
        <v>927</v>
      </c>
      <c r="F2971" s="1" t="s">
        <v>926</v>
      </c>
      <c r="G2971" s="1">
        <v>99.0</v>
      </c>
      <c r="H2971" s="1">
        <v>5.531356899</v>
      </c>
      <c r="I2971" s="1">
        <v>4.5</v>
      </c>
      <c r="J2971" s="1">
        <v>3.1106</v>
      </c>
    </row>
    <row r="2972">
      <c r="A2972" s="1">
        <v>2025.0</v>
      </c>
      <c r="B2972" s="1" t="s">
        <v>377</v>
      </c>
      <c r="C2972" s="1">
        <v>695549.0</v>
      </c>
      <c r="D2972" s="1" t="s">
        <v>541</v>
      </c>
      <c r="E2972" s="1" t="s">
        <v>927</v>
      </c>
      <c r="F2972" s="1" t="s">
        <v>926</v>
      </c>
      <c r="G2972" s="1">
        <v>50.0</v>
      </c>
      <c r="H2972" s="1">
        <v>2.793614595</v>
      </c>
      <c r="I2972" s="1">
        <v>4.82</v>
      </c>
      <c r="J2972" s="1">
        <v>1.283828</v>
      </c>
    </row>
    <row r="2973">
      <c r="A2973" s="1">
        <v>2025.0</v>
      </c>
      <c r="B2973" s="1" t="s">
        <v>377</v>
      </c>
      <c r="C2973" s="1">
        <v>695549.0</v>
      </c>
      <c r="D2973" s="1" t="s">
        <v>540</v>
      </c>
      <c r="E2973" s="1" t="s">
        <v>927</v>
      </c>
      <c r="F2973" s="1" t="s">
        <v>926</v>
      </c>
      <c r="G2973" s="1">
        <v>13.0</v>
      </c>
      <c r="H2973" s="1">
        <v>0.726339795</v>
      </c>
      <c r="I2973" s="1">
        <v>4.48</v>
      </c>
      <c r="J2973" s="1">
        <v>0.423953</v>
      </c>
    </row>
    <row r="2974">
      <c r="A2974" s="1">
        <v>2025.0</v>
      </c>
      <c r="B2974" s="1" t="s">
        <v>377</v>
      </c>
      <c r="C2974" s="1">
        <v>695549.0</v>
      </c>
      <c r="D2974" s="1" t="s">
        <v>537</v>
      </c>
      <c r="E2974" s="1" t="s">
        <v>927</v>
      </c>
      <c r="F2974" s="1" t="s">
        <v>926</v>
      </c>
      <c r="G2974" s="1">
        <v>157.0</v>
      </c>
      <c r="H2974" s="1">
        <v>8.771949829</v>
      </c>
      <c r="I2974" s="1">
        <v>5.2</v>
      </c>
      <c r="J2974" s="1">
        <v>2.878503</v>
      </c>
    </row>
    <row r="2975">
      <c r="A2975" s="1">
        <v>2025.0</v>
      </c>
      <c r="B2975" s="1" t="s">
        <v>377</v>
      </c>
      <c r="C2975" s="1">
        <v>695549.0</v>
      </c>
      <c r="D2975" s="1" t="s">
        <v>533</v>
      </c>
      <c r="E2975" s="1" t="s">
        <v>927</v>
      </c>
      <c r="F2975" s="1" t="s">
        <v>926</v>
      </c>
      <c r="G2975" s="1">
        <v>106.0</v>
      </c>
      <c r="H2975" s="1">
        <v>5.922462942</v>
      </c>
      <c r="I2975" s="1">
        <v>5.2</v>
      </c>
      <c r="J2975" s="1">
        <v>1.869146</v>
      </c>
    </row>
    <row r="2976">
      <c r="A2976" s="1">
        <v>2025.0</v>
      </c>
      <c r="B2976" s="1" t="s">
        <v>377</v>
      </c>
      <c r="C2976" s="1">
        <v>695549.0</v>
      </c>
      <c r="D2976" s="1" t="s">
        <v>539</v>
      </c>
      <c r="E2976" s="1" t="s">
        <v>927</v>
      </c>
      <c r="F2976" s="1" t="s">
        <v>926</v>
      </c>
      <c r="G2976" s="1">
        <v>1.0</v>
      </c>
      <c r="H2976" s="1">
        <v>0.055872292</v>
      </c>
      <c r="I2976" s="1">
        <v>4.54</v>
      </c>
      <c r="J2976" s="1">
        <v>0.03158</v>
      </c>
    </row>
    <row r="2977">
      <c r="A2977" s="1">
        <v>2025.0</v>
      </c>
      <c r="B2977" s="1" t="s">
        <v>377</v>
      </c>
      <c r="C2977" s="1">
        <v>695549.0</v>
      </c>
      <c r="D2977" s="1" t="s">
        <v>532</v>
      </c>
      <c r="E2977" s="1" t="s">
        <v>927</v>
      </c>
      <c r="F2977" s="1" t="s">
        <v>927</v>
      </c>
      <c r="G2977" s="1">
        <v>49.0</v>
      </c>
      <c r="H2977" s="1">
        <v>2.737742303</v>
      </c>
      <c r="I2977" s="1">
        <v>5.13</v>
      </c>
      <c r="J2977" s="1">
        <v>0.918341</v>
      </c>
    </row>
    <row r="2978">
      <c r="A2978" s="1">
        <v>2025.0</v>
      </c>
      <c r="B2978" s="1" t="s">
        <v>377</v>
      </c>
      <c r="C2978" s="1">
        <v>695549.0</v>
      </c>
      <c r="D2978" s="1" t="s">
        <v>541</v>
      </c>
      <c r="E2978" s="1" t="s">
        <v>927</v>
      </c>
      <c r="F2978" s="1" t="s">
        <v>927</v>
      </c>
      <c r="G2978" s="1">
        <v>21.0</v>
      </c>
      <c r="H2978" s="1">
        <v>1.17331813</v>
      </c>
      <c r="I2978" s="1">
        <v>4.48</v>
      </c>
      <c r="J2978" s="1">
        <v>0.673932</v>
      </c>
    </row>
    <row r="2979">
      <c r="A2979" s="1">
        <v>2025.0</v>
      </c>
      <c r="B2979" s="1" t="s">
        <v>377</v>
      </c>
      <c r="C2979" s="1">
        <v>695549.0</v>
      </c>
      <c r="D2979" s="1" t="s">
        <v>540</v>
      </c>
      <c r="E2979" s="1" t="s">
        <v>927</v>
      </c>
      <c r="F2979" s="1" t="s">
        <v>927</v>
      </c>
      <c r="G2979" s="1">
        <v>10.0</v>
      </c>
      <c r="H2979" s="1">
        <v>0.558722919</v>
      </c>
      <c r="I2979" s="1">
        <v>6.17</v>
      </c>
      <c r="J2979" s="1">
        <v>-0.023688</v>
      </c>
    </row>
    <row r="2980">
      <c r="A2980" s="1">
        <v>2025.0</v>
      </c>
      <c r="B2980" s="1" t="s">
        <v>377</v>
      </c>
      <c r="C2980" s="1">
        <v>695549.0</v>
      </c>
      <c r="D2980" s="1" t="s">
        <v>537</v>
      </c>
      <c r="E2980" s="1" t="s">
        <v>927</v>
      </c>
      <c r="F2980" s="1" t="s">
        <v>927</v>
      </c>
      <c r="G2980" s="1">
        <v>116.0</v>
      </c>
      <c r="H2980" s="1">
        <v>6.481185861</v>
      </c>
      <c r="I2980" s="1">
        <v>5.12</v>
      </c>
      <c r="J2980" s="1">
        <v>2.298733</v>
      </c>
    </row>
    <row r="2981">
      <c r="A2981" s="1">
        <v>2025.0</v>
      </c>
      <c r="B2981" s="1" t="s">
        <v>377</v>
      </c>
      <c r="C2981" s="1">
        <v>695549.0</v>
      </c>
      <c r="D2981" s="1" t="s">
        <v>536</v>
      </c>
      <c r="E2981" s="1" t="s">
        <v>927</v>
      </c>
      <c r="F2981" s="1" t="s">
        <v>927</v>
      </c>
      <c r="G2981" s="1">
        <v>115.0</v>
      </c>
      <c r="H2981" s="1">
        <v>6.425313569</v>
      </c>
      <c r="I2981" s="1">
        <v>4.34</v>
      </c>
      <c r="J2981" s="1">
        <v>4.046344</v>
      </c>
    </row>
    <row r="2982">
      <c r="A2982" s="1">
        <v>2025.0</v>
      </c>
      <c r="B2982" s="1" t="s">
        <v>377</v>
      </c>
      <c r="C2982" s="1">
        <v>695549.0</v>
      </c>
      <c r="D2982" s="1" t="s">
        <v>533</v>
      </c>
      <c r="E2982" s="1" t="s">
        <v>927</v>
      </c>
      <c r="F2982" s="1" t="s">
        <v>927</v>
      </c>
      <c r="G2982" s="1">
        <v>137.0</v>
      </c>
      <c r="H2982" s="1">
        <v>7.654503991</v>
      </c>
      <c r="I2982" s="1">
        <v>5.33</v>
      </c>
      <c r="J2982" s="1">
        <v>2.04406</v>
      </c>
    </row>
    <row r="2983">
      <c r="A2983" s="1">
        <v>2025.0</v>
      </c>
      <c r="B2983" s="1" t="s">
        <v>377</v>
      </c>
      <c r="C2983" s="1">
        <v>695549.0</v>
      </c>
      <c r="D2983" s="1" t="s">
        <v>539</v>
      </c>
      <c r="E2983" s="1" t="s">
        <v>927</v>
      </c>
      <c r="F2983" s="1" t="s">
        <v>927</v>
      </c>
      <c r="G2983" s="1">
        <v>3.0</v>
      </c>
      <c r="H2983" s="1">
        <v>0.167616876</v>
      </c>
      <c r="I2983" s="1">
        <v>3.22</v>
      </c>
      <c r="J2983" s="1">
        <v>0.170311</v>
      </c>
    </row>
    <row r="2984">
      <c r="A2984" s="1">
        <v>2025.0</v>
      </c>
      <c r="B2984" s="1" t="s">
        <v>846</v>
      </c>
      <c r="C2984" s="1">
        <v>663804.0</v>
      </c>
      <c r="D2984" s="1" t="s">
        <v>532</v>
      </c>
      <c r="E2984" s="1" t="s">
        <v>927</v>
      </c>
      <c r="F2984" s="1" t="s">
        <v>926</v>
      </c>
      <c r="G2984" s="1">
        <v>9.0</v>
      </c>
      <c r="H2984" s="1">
        <v>0.544483986</v>
      </c>
      <c r="I2984" s="1">
        <v>4.17</v>
      </c>
      <c r="J2984" s="1">
        <v>0.340071</v>
      </c>
    </row>
    <row r="2985">
      <c r="A2985" s="1">
        <v>2025.0</v>
      </c>
      <c r="B2985" s="1" t="s">
        <v>846</v>
      </c>
      <c r="C2985" s="1">
        <v>663804.0</v>
      </c>
      <c r="D2985" s="1" t="s">
        <v>537</v>
      </c>
      <c r="E2985" s="1" t="s">
        <v>927</v>
      </c>
      <c r="F2985" s="1" t="s">
        <v>926</v>
      </c>
      <c r="G2985" s="1">
        <v>96.0</v>
      </c>
      <c r="H2985" s="1">
        <v>5.807829181</v>
      </c>
      <c r="I2985" s="1">
        <v>4.92</v>
      </c>
      <c r="J2985" s="1">
        <v>2.353598</v>
      </c>
    </row>
    <row r="2986">
      <c r="A2986" s="1">
        <v>2025.0</v>
      </c>
      <c r="B2986" s="1" t="s">
        <v>846</v>
      </c>
      <c r="C2986" s="1">
        <v>663804.0</v>
      </c>
      <c r="D2986" s="1" t="s">
        <v>536</v>
      </c>
      <c r="E2986" s="1" t="s">
        <v>927</v>
      </c>
      <c r="F2986" s="1" t="s">
        <v>926</v>
      </c>
      <c r="G2986" s="1">
        <v>2.0</v>
      </c>
      <c r="H2986" s="1">
        <v>0.120996441</v>
      </c>
      <c r="I2986" s="1">
        <v>6.15</v>
      </c>
      <c r="J2986" s="1">
        <v>0.001355</v>
      </c>
    </row>
    <row r="2987">
      <c r="A2987" s="1">
        <v>2025.0</v>
      </c>
      <c r="B2987" s="1" t="s">
        <v>846</v>
      </c>
      <c r="C2987" s="1">
        <v>663804.0</v>
      </c>
      <c r="D2987" s="1" t="s">
        <v>533</v>
      </c>
      <c r="E2987" s="1" t="s">
        <v>927</v>
      </c>
      <c r="F2987" s="1" t="s">
        <v>926</v>
      </c>
      <c r="G2987" s="1">
        <v>61.0</v>
      </c>
      <c r="H2987" s="1">
        <v>3.690391459</v>
      </c>
      <c r="I2987" s="1">
        <v>5.19</v>
      </c>
      <c r="J2987" s="1">
        <v>1.107805</v>
      </c>
    </row>
    <row r="2988">
      <c r="A2988" s="1">
        <v>2025.0</v>
      </c>
      <c r="B2988" s="1" t="s">
        <v>846</v>
      </c>
      <c r="C2988" s="1">
        <v>663804.0</v>
      </c>
      <c r="D2988" s="1" t="s">
        <v>532</v>
      </c>
      <c r="E2988" s="1" t="s">
        <v>927</v>
      </c>
      <c r="F2988" s="1" t="s">
        <v>927</v>
      </c>
      <c r="G2988" s="1">
        <v>6.0</v>
      </c>
      <c r="H2988" s="1">
        <v>0.362989324</v>
      </c>
      <c r="I2988" s="1">
        <v>2.73</v>
      </c>
      <c r="J2988" s="1">
        <v>0.407942</v>
      </c>
    </row>
    <row r="2989">
      <c r="A2989" s="1">
        <v>2025.0</v>
      </c>
      <c r="B2989" s="1" t="s">
        <v>846</v>
      </c>
      <c r="C2989" s="1">
        <v>663804.0</v>
      </c>
      <c r="D2989" s="1" t="s">
        <v>537</v>
      </c>
      <c r="E2989" s="1" t="s">
        <v>927</v>
      </c>
      <c r="F2989" s="1" t="s">
        <v>927</v>
      </c>
      <c r="G2989" s="1">
        <v>66.0</v>
      </c>
      <c r="H2989" s="1">
        <v>3.992882562</v>
      </c>
      <c r="I2989" s="1">
        <v>5.26</v>
      </c>
      <c r="J2989" s="1">
        <v>1.1271</v>
      </c>
    </row>
    <row r="2990">
      <c r="A2990" s="1">
        <v>2025.0</v>
      </c>
      <c r="B2990" s="1" t="s">
        <v>846</v>
      </c>
      <c r="C2990" s="1">
        <v>663804.0</v>
      </c>
      <c r="D2990" s="1" t="s">
        <v>536</v>
      </c>
      <c r="E2990" s="1" t="s">
        <v>927</v>
      </c>
      <c r="F2990" s="1" t="s">
        <v>927</v>
      </c>
      <c r="G2990" s="1">
        <v>2.0</v>
      </c>
      <c r="H2990" s="1">
        <v>0.120996441</v>
      </c>
      <c r="I2990" s="1">
        <v>5.35</v>
      </c>
      <c r="J2990" s="1">
        <v>0.032276</v>
      </c>
    </row>
    <row r="2991">
      <c r="A2991" s="1">
        <v>2025.0</v>
      </c>
      <c r="B2991" s="1" t="s">
        <v>846</v>
      </c>
      <c r="C2991" s="1">
        <v>663804.0</v>
      </c>
      <c r="D2991" s="1" t="s">
        <v>533</v>
      </c>
      <c r="E2991" s="1" t="s">
        <v>927</v>
      </c>
      <c r="F2991" s="1" t="s">
        <v>927</v>
      </c>
      <c r="G2991" s="1">
        <v>39.0</v>
      </c>
      <c r="H2991" s="1">
        <v>2.359430605</v>
      </c>
      <c r="I2991" s="1">
        <v>4.13</v>
      </c>
      <c r="J2991" s="1">
        <v>1.455082</v>
      </c>
    </row>
    <row r="2992">
      <c r="A2992" s="1">
        <v>2025.0</v>
      </c>
      <c r="B2992" s="1" t="s">
        <v>511</v>
      </c>
      <c r="C2992" s="1">
        <v>671131.0</v>
      </c>
      <c r="D2992" s="1" t="s">
        <v>540</v>
      </c>
      <c r="E2992" s="1" t="s">
        <v>927</v>
      </c>
      <c r="F2992" s="1" t="s">
        <v>926</v>
      </c>
      <c r="G2992" s="1">
        <v>101.0</v>
      </c>
      <c r="H2992" s="1">
        <v>5.535625311</v>
      </c>
      <c r="I2992" s="1">
        <v>4.89</v>
      </c>
      <c r="J2992" s="1">
        <v>2.504812</v>
      </c>
    </row>
    <row r="2993">
      <c r="A2993" s="1">
        <v>2025.0</v>
      </c>
      <c r="B2993" s="1" t="s">
        <v>511</v>
      </c>
      <c r="C2993" s="1">
        <v>671131.0</v>
      </c>
      <c r="D2993" s="1" t="s">
        <v>537</v>
      </c>
      <c r="E2993" s="1" t="s">
        <v>927</v>
      </c>
      <c r="F2993" s="1" t="s">
        <v>926</v>
      </c>
      <c r="G2993" s="1">
        <v>161.0</v>
      </c>
      <c r="H2993" s="1">
        <v>8.824115595</v>
      </c>
      <c r="I2993" s="1">
        <v>4.73</v>
      </c>
      <c r="J2993" s="1">
        <v>4.562052</v>
      </c>
    </row>
    <row r="2994">
      <c r="A2994" s="1">
        <v>2025.0</v>
      </c>
      <c r="B2994" s="1" t="s">
        <v>511</v>
      </c>
      <c r="C2994" s="1">
        <v>671131.0</v>
      </c>
      <c r="D2994" s="1" t="s">
        <v>538</v>
      </c>
      <c r="E2994" s="1" t="s">
        <v>927</v>
      </c>
      <c r="F2994" s="1" t="s">
        <v>926</v>
      </c>
      <c r="G2994" s="1">
        <v>113.0</v>
      </c>
      <c r="H2994" s="1">
        <v>6.193323368</v>
      </c>
      <c r="I2994" s="1">
        <v>4.22</v>
      </c>
      <c r="J2994" s="1">
        <v>4.222322</v>
      </c>
    </row>
    <row r="2995">
      <c r="A2995" s="1">
        <v>2025.0</v>
      </c>
      <c r="B2995" s="1" t="s">
        <v>511</v>
      </c>
      <c r="C2995" s="1">
        <v>671131.0</v>
      </c>
      <c r="D2995" s="1" t="s">
        <v>536</v>
      </c>
      <c r="E2995" s="1" t="s">
        <v>927</v>
      </c>
      <c r="F2995" s="1" t="s">
        <v>926</v>
      </c>
      <c r="G2995" s="1">
        <v>123.0</v>
      </c>
      <c r="H2995" s="1">
        <v>6.741405082</v>
      </c>
      <c r="I2995" s="1">
        <v>4.73</v>
      </c>
      <c r="J2995" s="1">
        <v>3.527644</v>
      </c>
    </row>
    <row r="2996">
      <c r="A2996" s="1">
        <v>2025.0</v>
      </c>
      <c r="B2996" s="1" t="s">
        <v>511</v>
      </c>
      <c r="C2996" s="1">
        <v>671131.0</v>
      </c>
      <c r="D2996" s="1" t="s">
        <v>533</v>
      </c>
      <c r="E2996" s="1" t="s">
        <v>927</v>
      </c>
      <c r="F2996" s="1" t="s">
        <v>926</v>
      </c>
      <c r="G2996" s="1">
        <v>60.0</v>
      </c>
      <c r="H2996" s="1">
        <v>3.288490284</v>
      </c>
      <c r="I2996" s="1">
        <v>4.31</v>
      </c>
      <c r="J2996" s="1">
        <v>2.164642</v>
      </c>
    </row>
    <row r="2997">
      <c r="A2997" s="1">
        <v>2025.0</v>
      </c>
      <c r="B2997" s="1" t="s">
        <v>511</v>
      </c>
      <c r="C2997" s="1">
        <v>671131.0</v>
      </c>
      <c r="D2997" s="1" t="s">
        <v>540</v>
      </c>
      <c r="E2997" s="1" t="s">
        <v>927</v>
      </c>
      <c r="F2997" s="1" t="s">
        <v>927</v>
      </c>
      <c r="G2997" s="1">
        <v>79.0</v>
      </c>
      <c r="H2997" s="1">
        <v>4.329845541</v>
      </c>
      <c r="I2997" s="1">
        <v>4.87</v>
      </c>
      <c r="J2997" s="1">
        <v>1.94083</v>
      </c>
    </row>
    <row r="2998">
      <c r="A2998" s="1">
        <v>2025.0</v>
      </c>
      <c r="B2998" s="1" t="s">
        <v>511</v>
      </c>
      <c r="C2998" s="1">
        <v>671131.0</v>
      </c>
      <c r="D2998" s="1" t="s">
        <v>537</v>
      </c>
      <c r="E2998" s="1" t="s">
        <v>927</v>
      </c>
      <c r="F2998" s="1" t="s">
        <v>927</v>
      </c>
      <c r="G2998" s="1">
        <v>102.0</v>
      </c>
      <c r="H2998" s="1">
        <v>5.590433483</v>
      </c>
      <c r="I2998" s="1">
        <v>4.69</v>
      </c>
      <c r="J2998" s="1">
        <v>2.954639</v>
      </c>
    </row>
    <row r="2999">
      <c r="A2999" s="1">
        <v>2025.0</v>
      </c>
      <c r="B2999" s="1" t="s">
        <v>511</v>
      </c>
      <c r="C2999" s="1">
        <v>671131.0</v>
      </c>
      <c r="D2999" s="1" t="s">
        <v>538</v>
      </c>
      <c r="E2999" s="1" t="s">
        <v>927</v>
      </c>
      <c r="F2999" s="1" t="s">
        <v>927</v>
      </c>
      <c r="G2999" s="1">
        <v>13.0</v>
      </c>
      <c r="H2999" s="1">
        <v>0.712506228</v>
      </c>
      <c r="I2999" s="1">
        <v>3.97</v>
      </c>
      <c r="J2999" s="1">
        <v>0.542403</v>
      </c>
    </row>
    <row r="3000">
      <c r="A3000" s="1">
        <v>2025.0</v>
      </c>
      <c r="B3000" s="1" t="s">
        <v>511</v>
      </c>
      <c r="C3000" s="1">
        <v>671131.0</v>
      </c>
      <c r="D3000" s="1" t="s">
        <v>536</v>
      </c>
      <c r="E3000" s="1" t="s">
        <v>927</v>
      </c>
      <c r="F3000" s="1" t="s">
        <v>927</v>
      </c>
      <c r="G3000" s="1">
        <v>300.0</v>
      </c>
      <c r="H3000" s="1">
        <v>16.44245142</v>
      </c>
      <c r="I3000" s="1">
        <v>5.26</v>
      </c>
      <c r="J3000" s="1">
        <v>5.086562</v>
      </c>
    </row>
    <row r="3001">
      <c r="A3001" s="1">
        <v>2025.0</v>
      </c>
      <c r="B3001" s="1" t="s">
        <v>511</v>
      </c>
      <c r="C3001" s="1">
        <v>671131.0</v>
      </c>
      <c r="D3001" s="1" t="s">
        <v>533</v>
      </c>
      <c r="E3001" s="1" t="s">
        <v>927</v>
      </c>
      <c r="F3001" s="1" t="s">
        <v>927</v>
      </c>
      <c r="G3001" s="1">
        <v>286.0</v>
      </c>
      <c r="H3001" s="1">
        <v>15.67513702</v>
      </c>
      <c r="I3001" s="1">
        <v>4.66</v>
      </c>
      <c r="J3001" s="1">
        <v>8.198838</v>
      </c>
    </row>
    <row r="3002">
      <c r="A3002" s="1">
        <v>2025.0</v>
      </c>
      <c r="B3002" s="1" t="s">
        <v>637</v>
      </c>
      <c r="C3002" s="1">
        <v>606930.0</v>
      </c>
      <c r="D3002" s="1" t="s">
        <v>540</v>
      </c>
      <c r="E3002" s="1" t="s">
        <v>927</v>
      </c>
      <c r="F3002" s="1" t="s">
        <v>926</v>
      </c>
      <c r="G3002" s="1">
        <v>22.0</v>
      </c>
      <c r="H3002" s="1">
        <v>1.205479452</v>
      </c>
      <c r="I3002" s="1">
        <v>4.86</v>
      </c>
      <c r="J3002" s="1">
        <v>0.55392</v>
      </c>
    </row>
    <row r="3003">
      <c r="A3003" s="1">
        <v>2025.0</v>
      </c>
      <c r="B3003" s="1" t="s">
        <v>637</v>
      </c>
      <c r="C3003" s="1">
        <v>606930.0</v>
      </c>
      <c r="D3003" s="1" t="s">
        <v>537</v>
      </c>
      <c r="E3003" s="1" t="s">
        <v>927</v>
      </c>
      <c r="F3003" s="1" t="s">
        <v>926</v>
      </c>
      <c r="G3003" s="1">
        <v>24.0</v>
      </c>
      <c r="H3003" s="1">
        <v>1.315068493</v>
      </c>
      <c r="I3003" s="1">
        <v>4.82</v>
      </c>
      <c r="J3003" s="1">
        <v>0.581952</v>
      </c>
    </row>
    <row r="3004">
      <c r="A3004" s="1">
        <v>2025.0</v>
      </c>
      <c r="B3004" s="1" t="s">
        <v>637</v>
      </c>
      <c r="C3004" s="1">
        <v>606930.0</v>
      </c>
      <c r="D3004" s="1" t="s">
        <v>538</v>
      </c>
      <c r="E3004" s="1" t="s">
        <v>927</v>
      </c>
      <c r="F3004" s="1" t="s">
        <v>926</v>
      </c>
      <c r="G3004" s="1">
        <v>8.0</v>
      </c>
      <c r="H3004" s="1">
        <v>0.438356164</v>
      </c>
      <c r="I3004" s="1">
        <v>3.11</v>
      </c>
      <c r="J3004" s="1">
        <v>0.460831</v>
      </c>
    </row>
    <row r="3005">
      <c r="A3005" s="1">
        <v>2025.0</v>
      </c>
      <c r="B3005" s="1" t="s">
        <v>637</v>
      </c>
      <c r="C3005" s="1">
        <v>606930.0</v>
      </c>
      <c r="D3005" s="1" t="s">
        <v>533</v>
      </c>
      <c r="E3005" s="1" t="s">
        <v>927</v>
      </c>
      <c r="F3005" s="1" t="s">
        <v>926</v>
      </c>
      <c r="G3005" s="1">
        <v>7.0</v>
      </c>
      <c r="H3005" s="1">
        <v>0.383561644</v>
      </c>
      <c r="I3005" s="1">
        <v>5.03</v>
      </c>
      <c r="J3005" s="1">
        <v>0.128093</v>
      </c>
    </row>
    <row r="3006">
      <c r="A3006" s="1">
        <v>2025.0</v>
      </c>
      <c r="B3006" s="1" t="s">
        <v>637</v>
      </c>
      <c r="C3006" s="1">
        <v>606930.0</v>
      </c>
      <c r="D3006" s="1" t="s">
        <v>540</v>
      </c>
      <c r="E3006" s="1" t="s">
        <v>927</v>
      </c>
      <c r="F3006" s="1" t="s">
        <v>927</v>
      </c>
      <c r="G3006" s="1">
        <v>50.0</v>
      </c>
      <c r="H3006" s="1">
        <v>2.739726027</v>
      </c>
      <c r="I3006" s="1">
        <v>4.85</v>
      </c>
      <c r="J3006" s="1">
        <v>1.228634</v>
      </c>
    </row>
    <row r="3007">
      <c r="A3007" s="1">
        <v>2025.0</v>
      </c>
      <c r="B3007" s="1" t="s">
        <v>637</v>
      </c>
      <c r="C3007" s="1">
        <v>606930.0</v>
      </c>
      <c r="D3007" s="1" t="s">
        <v>537</v>
      </c>
      <c r="E3007" s="1" t="s">
        <v>927</v>
      </c>
      <c r="F3007" s="1" t="s">
        <v>927</v>
      </c>
      <c r="G3007" s="1">
        <v>30.0</v>
      </c>
      <c r="H3007" s="1">
        <v>1.643835616</v>
      </c>
      <c r="I3007" s="1">
        <v>5.22</v>
      </c>
      <c r="J3007" s="1">
        <v>0.549908</v>
      </c>
    </row>
    <row r="3008">
      <c r="A3008" s="1">
        <v>2025.0</v>
      </c>
      <c r="B3008" s="1" t="s">
        <v>637</v>
      </c>
      <c r="C3008" s="1">
        <v>606930.0</v>
      </c>
      <c r="D3008" s="1" t="s">
        <v>538</v>
      </c>
      <c r="E3008" s="1" t="s">
        <v>927</v>
      </c>
      <c r="F3008" s="1" t="s">
        <v>927</v>
      </c>
      <c r="G3008" s="1">
        <v>2.0</v>
      </c>
      <c r="H3008" s="1">
        <v>0.109589041</v>
      </c>
      <c r="I3008" s="1">
        <v>5.48</v>
      </c>
      <c r="J3008" s="1">
        <v>0.027228</v>
      </c>
    </row>
    <row r="3009">
      <c r="A3009" s="1">
        <v>2025.0</v>
      </c>
      <c r="B3009" s="1" t="s">
        <v>637</v>
      </c>
      <c r="C3009" s="1">
        <v>606930.0</v>
      </c>
      <c r="D3009" s="1" t="s">
        <v>533</v>
      </c>
      <c r="E3009" s="1" t="s">
        <v>927</v>
      </c>
      <c r="F3009" s="1" t="s">
        <v>927</v>
      </c>
      <c r="G3009" s="1">
        <v>3.0</v>
      </c>
      <c r="H3009" s="1">
        <v>0.164383562</v>
      </c>
      <c r="I3009" s="1">
        <v>5.73</v>
      </c>
      <c r="J3009" s="1">
        <v>0.026158</v>
      </c>
    </row>
    <row r="3010">
      <c r="A3010" s="1">
        <v>2025.0</v>
      </c>
      <c r="B3010" s="1" t="s">
        <v>111</v>
      </c>
      <c r="C3010" s="1">
        <v>656641.0</v>
      </c>
      <c r="D3010" s="1" t="s">
        <v>532</v>
      </c>
      <c r="E3010" s="1" t="s">
        <v>926</v>
      </c>
      <c r="F3010" s="1" t="s">
        <v>926</v>
      </c>
      <c r="G3010" s="1">
        <v>41.0</v>
      </c>
      <c r="H3010" s="1">
        <v>2.53049952</v>
      </c>
      <c r="I3010" s="1">
        <v>4.96</v>
      </c>
      <c r="J3010" s="1">
        <v>0.91809</v>
      </c>
    </row>
    <row r="3011">
      <c r="A3011" s="1">
        <v>2025.0</v>
      </c>
      <c r="B3011" s="1" t="s">
        <v>111</v>
      </c>
      <c r="C3011" s="1">
        <v>656641.0</v>
      </c>
      <c r="D3011" s="1" t="s">
        <v>541</v>
      </c>
      <c r="E3011" s="1" t="s">
        <v>926</v>
      </c>
      <c r="F3011" s="1" t="s">
        <v>926</v>
      </c>
      <c r="G3011" s="1">
        <v>18.0</v>
      </c>
      <c r="H3011" s="1">
        <v>1.110951009</v>
      </c>
      <c r="I3011" s="1">
        <v>4.74</v>
      </c>
      <c r="J3011" s="1">
        <v>0.492809</v>
      </c>
    </row>
    <row r="3012">
      <c r="A3012" s="1">
        <v>2025.0</v>
      </c>
      <c r="B3012" s="1" t="s">
        <v>111</v>
      </c>
      <c r="C3012" s="1">
        <v>656641.0</v>
      </c>
      <c r="D3012" s="1" t="s">
        <v>537</v>
      </c>
      <c r="E3012" s="1" t="s">
        <v>926</v>
      </c>
      <c r="F3012" s="1" t="s">
        <v>926</v>
      </c>
      <c r="G3012" s="1">
        <v>225.0</v>
      </c>
      <c r="H3012" s="1">
        <v>13.88688761</v>
      </c>
      <c r="I3012" s="1">
        <v>5.48</v>
      </c>
      <c r="J3012" s="1">
        <v>2.713777</v>
      </c>
    </row>
    <row r="3013">
      <c r="A3013" s="1">
        <v>2025.0</v>
      </c>
      <c r="B3013" s="1" t="s">
        <v>111</v>
      </c>
      <c r="C3013" s="1">
        <v>656641.0</v>
      </c>
      <c r="D3013" s="1" t="s">
        <v>533</v>
      </c>
      <c r="E3013" s="1" t="s">
        <v>926</v>
      </c>
      <c r="F3013" s="1" t="s">
        <v>926</v>
      </c>
      <c r="G3013" s="1">
        <v>173.0</v>
      </c>
      <c r="H3013" s="1">
        <v>10.67747358</v>
      </c>
      <c r="I3013" s="1">
        <v>5.3</v>
      </c>
      <c r="J3013" s="1">
        <v>2.675034</v>
      </c>
    </row>
    <row r="3014">
      <c r="A3014" s="1">
        <v>2025.0</v>
      </c>
      <c r="B3014" s="1" t="s">
        <v>111</v>
      </c>
      <c r="C3014" s="1">
        <v>656641.0</v>
      </c>
      <c r="D3014" s="1" t="s">
        <v>532</v>
      </c>
      <c r="E3014" s="1" t="s">
        <v>926</v>
      </c>
      <c r="F3014" s="1" t="s">
        <v>927</v>
      </c>
      <c r="G3014" s="1">
        <v>283.0</v>
      </c>
      <c r="H3014" s="1">
        <v>17.46661864</v>
      </c>
      <c r="I3014" s="1">
        <v>4.65</v>
      </c>
      <c r="J3014" s="1">
        <v>8.063194</v>
      </c>
    </row>
    <row r="3015">
      <c r="A3015" s="1">
        <v>2025.0</v>
      </c>
      <c r="B3015" s="1" t="s">
        <v>111</v>
      </c>
      <c r="C3015" s="1">
        <v>656641.0</v>
      </c>
      <c r="D3015" s="1" t="s">
        <v>541</v>
      </c>
      <c r="E3015" s="1" t="s">
        <v>926</v>
      </c>
      <c r="F3015" s="1" t="s">
        <v>927</v>
      </c>
      <c r="G3015" s="1">
        <v>71.0</v>
      </c>
      <c r="H3015" s="1">
        <v>4.382084534</v>
      </c>
      <c r="I3015" s="1">
        <v>4.71</v>
      </c>
      <c r="J3015" s="1">
        <v>1.982771</v>
      </c>
    </row>
    <row r="3016">
      <c r="A3016" s="1">
        <v>2025.0</v>
      </c>
      <c r="B3016" s="1" t="s">
        <v>111</v>
      </c>
      <c r="C3016" s="1">
        <v>656641.0</v>
      </c>
      <c r="D3016" s="1" t="s">
        <v>537</v>
      </c>
      <c r="E3016" s="1" t="s">
        <v>926</v>
      </c>
      <c r="F3016" s="1" t="s">
        <v>927</v>
      </c>
      <c r="G3016" s="1">
        <v>460.0</v>
      </c>
      <c r="H3016" s="1">
        <v>28.39097022</v>
      </c>
      <c r="I3016" s="1">
        <v>5.39</v>
      </c>
      <c r="J3016" s="1">
        <v>6.336704</v>
      </c>
    </row>
    <row r="3017">
      <c r="A3017" s="1">
        <v>2025.0</v>
      </c>
      <c r="B3017" s="1" t="s">
        <v>111</v>
      </c>
      <c r="C3017" s="1">
        <v>656641.0</v>
      </c>
      <c r="D3017" s="1" t="s">
        <v>533</v>
      </c>
      <c r="E3017" s="1" t="s">
        <v>926</v>
      </c>
      <c r="F3017" s="1" t="s">
        <v>927</v>
      </c>
      <c r="G3017" s="1">
        <v>117.0</v>
      </c>
      <c r="H3017" s="1">
        <v>7.221181556</v>
      </c>
      <c r="I3017" s="1">
        <v>5.2</v>
      </c>
      <c r="J3017" s="1">
        <v>2.041224</v>
      </c>
    </row>
    <row r="3018">
      <c r="A3018" s="1">
        <v>2025.0</v>
      </c>
      <c r="B3018" s="1" t="s">
        <v>389</v>
      </c>
      <c r="C3018" s="1">
        <v>682052.0</v>
      </c>
      <c r="D3018" s="1" t="s">
        <v>532</v>
      </c>
      <c r="E3018" s="1" t="s">
        <v>926</v>
      </c>
      <c r="F3018" s="1" t="s">
        <v>926</v>
      </c>
      <c r="G3018" s="1">
        <v>8.0</v>
      </c>
      <c r="H3018" s="1">
        <v>0.445245245</v>
      </c>
      <c r="I3018" s="1">
        <v>4.01</v>
      </c>
      <c r="J3018" s="1">
        <v>0.330502</v>
      </c>
    </row>
    <row r="3019">
      <c r="A3019" s="1">
        <v>2025.0</v>
      </c>
      <c r="B3019" s="1" t="s">
        <v>389</v>
      </c>
      <c r="C3019" s="1">
        <v>682052.0</v>
      </c>
      <c r="D3019" s="1" t="s">
        <v>540</v>
      </c>
      <c r="E3019" s="1" t="s">
        <v>926</v>
      </c>
      <c r="F3019" s="1" t="s">
        <v>926</v>
      </c>
      <c r="G3019" s="1">
        <v>23.0</v>
      </c>
      <c r="H3019" s="1">
        <v>1.28008008</v>
      </c>
      <c r="I3019" s="1">
        <v>4.56</v>
      </c>
      <c r="J3019" s="1">
        <v>0.704844</v>
      </c>
    </row>
    <row r="3020">
      <c r="A3020" s="1">
        <v>2025.0</v>
      </c>
      <c r="B3020" s="1" t="s">
        <v>389</v>
      </c>
      <c r="C3020" s="1">
        <v>682052.0</v>
      </c>
      <c r="D3020" s="1" t="s">
        <v>537</v>
      </c>
      <c r="E3020" s="1" t="s">
        <v>926</v>
      </c>
      <c r="F3020" s="1" t="s">
        <v>926</v>
      </c>
      <c r="G3020" s="1">
        <v>146.0</v>
      </c>
      <c r="H3020" s="1">
        <v>8.125725726</v>
      </c>
      <c r="I3020" s="1">
        <v>4.98</v>
      </c>
      <c r="J3020" s="1">
        <v>3.280726</v>
      </c>
    </row>
    <row r="3021">
      <c r="A3021" s="1">
        <v>2025.0</v>
      </c>
      <c r="B3021" s="1" t="s">
        <v>389</v>
      </c>
      <c r="C3021" s="1">
        <v>682052.0</v>
      </c>
      <c r="D3021" s="1" t="s">
        <v>536</v>
      </c>
      <c r="E3021" s="1" t="s">
        <v>926</v>
      </c>
      <c r="F3021" s="1" t="s">
        <v>926</v>
      </c>
      <c r="G3021" s="1">
        <v>9.0</v>
      </c>
      <c r="H3021" s="1">
        <v>0.500900901</v>
      </c>
      <c r="I3021" s="1">
        <v>5.99</v>
      </c>
      <c r="J3021" s="1">
        <v>0.01448</v>
      </c>
    </row>
    <row r="3022">
      <c r="A3022" s="1">
        <v>2025.0</v>
      </c>
      <c r="B3022" s="1" t="s">
        <v>389</v>
      </c>
      <c r="C3022" s="1">
        <v>682052.0</v>
      </c>
      <c r="D3022" s="1" t="s">
        <v>533</v>
      </c>
      <c r="E3022" s="1" t="s">
        <v>926</v>
      </c>
      <c r="F3022" s="1" t="s">
        <v>926</v>
      </c>
      <c r="G3022" s="1">
        <v>166.0</v>
      </c>
      <c r="H3022" s="1">
        <v>9.238838839</v>
      </c>
      <c r="I3022" s="1">
        <v>5.76</v>
      </c>
      <c r="J3022" s="1">
        <v>1.062545</v>
      </c>
    </row>
    <row r="3023">
      <c r="A3023" s="1">
        <v>2025.0</v>
      </c>
      <c r="B3023" s="1" t="s">
        <v>389</v>
      </c>
      <c r="C3023" s="1">
        <v>682052.0</v>
      </c>
      <c r="D3023" s="1" t="s">
        <v>532</v>
      </c>
      <c r="E3023" s="1" t="s">
        <v>926</v>
      </c>
      <c r="F3023" s="1" t="s">
        <v>927</v>
      </c>
      <c r="G3023" s="1">
        <v>215.0</v>
      </c>
      <c r="H3023" s="1">
        <v>11.96596597</v>
      </c>
      <c r="I3023" s="1">
        <v>4.92</v>
      </c>
      <c r="J3023" s="1">
        <v>5.037144</v>
      </c>
    </row>
    <row r="3024">
      <c r="A3024" s="1">
        <v>2025.0</v>
      </c>
      <c r="B3024" s="1" t="s">
        <v>389</v>
      </c>
      <c r="C3024" s="1">
        <v>682052.0</v>
      </c>
      <c r="D3024" s="1" t="s">
        <v>540</v>
      </c>
      <c r="E3024" s="1" t="s">
        <v>926</v>
      </c>
      <c r="F3024" s="1" t="s">
        <v>927</v>
      </c>
      <c r="G3024" s="1">
        <v>220.0</v>
      </c>
      <c r="H3024" s="1">
        <v>12.24424424</v>
      </c>
      <c r="I3024" s="1">
        <v>5.0</v>
      </c>
      <c r="J3024" s="1">
        <v>4.822027</v>
      </c>
    </row>
    <row r="3025">
      <c r="A3025" s="1">
        <v>2025.0</v>
      </c>
      <c r="B3025" s="1" t="s">
        <v>389</v>
      </c>
      <c r="C3025" s="1">
        <v>682052.0</v>
      </c>
      <c r="D3025" s="1" t="s">
        <v>537</v>
      </c>
      <c r="E3025" s="1" t="s">
        <v>926</v>
      </c>
      <c r="F3025" s="1" t="s">
        <v>927</v>
      </c>
      <c r="G3025" s="1">
        <v>468.0</v>
      </c>
      <c r="H3025" s="1">
        <v>26.04684685</v>
      </c>
      <c r="I3025" s="1">
        <v>4.33</v>
      </c>
      <c r="J3025" s="1">
        <v>16.88202</v>
      </c>
    </row>
    <row r="3026">
      <c r="A3026" s="1">
        <v>2025.0</v>
      </c>
      <c r="B3026" s="1" t="s">
        <v>389</v>
      </c>
      <c r="C3026" s="1">
        <v>682052.0</v>
      </c>
      <c r="D3026" s="1" t="s">
        <v>536</v>
      </c>
      <c r="E3026" s="1" t="s">
        <v>926</v>
      </c>
      <c r="F3026" s="1" t="s">
        <v>927</v>
      </c>
      <c r="G3026" s="1">
        <v>67.0</v>
      </c>
      <c r="H3026" s="1">
        <v>3.728928929</v>
      </c>
      <c r="I3026" s="1">
        <v>4.84</v>
      </c>
      <c r="J3026" s="1">
        <v>1.80499</v>
      </c>
    </row>
    <row r="3027">
      <c r="A3027" s="1">
        <v>2025.0</v>
      </c>
      <c r="B3027" s="1" t="s">
        <v>389</v>
      </c>
      <c r="C3027" s="1">
        <v>682052.0</v>
      </c>
      <c r="D3027" s="1" t="s">
        <v>533</v>
      </c>
      <c r="E3027" s="1" t="s">
        <v>926</v>
      </c>
      <c r="F3027" s="1" t="s">
        <v>927</v>
      </c>
      <c r="G3027" s="1">
        <v>343.0</v>
      </c>
      <c r="H3027" s="1">
        <v>19.08988989</v>
      </c>
      <c r="I3027" s="1">
        <v>5.42</v>
      </c>
      <c r="J3027" s="1">
        <v>4.446086</v>
      </c>
    </row>
    <row r="3028">
      <c r="A3028" s="1">
        <v>2025.0</v>
      </c>
      <c r="B3028" s="1" t="s">
        <v>188</v>
      </c>
      <c r="C3028" s="1">
        <v>694819.0</v>
      </c>
      <c r="D3028" s="1" t="s">
        <v>532</v>
      </c>
      <c r="E3028" s="1" t="s">
        <v>927</v>
      </c>
      <c r="F3028" s="1" t="s">
        <v>926</v>
      </c>
      <c r="G3028" s="1">
        <v>65.0</v>
      </c>
      <c r="H3028" s="1">
        <v>3.68556701</v>
      </c>
      <c r="I3028" s="1">
        <v>4.74</v>
      </c>
      <c r="J3028" s="1">
        <v>1.714092</v>
      </c>
    </row>
    <row r="3029">
      <c r="A3029" s="1">
        <v>2025.0</v>
      </c>
      <c r="B3029" s="1" t="s">
        <v>188</v>
      </c>
      <c r="C3029" s="1">
        <v>694819.0</v>
      </c>
      <c r="D3029" s="1" t="s">
        <v>541</v>
      </c>
      <c r="E3029" s="1" t="s">
        <v>927</v>
      </c>
      <c r="F3029" s="1" t="s">
        <v>926</v>
      </c>
      <c r="G3029" s="1">
        <v>99.0</v>
      </c>
      <c r="H3029" s="1">
        <v>5.613402062</v>
      </c>
      <c r="I3029" s="1">
        <v>5.1</v>
      </c>
      <c r="J3029" s="1">
        <v>1.998495</v>
      </c>
    </row>
    <row r="3030">
      <c r="A3030" s="1">
        <v>2025.0</v>
      </c>
      <c r="B3030" s="1" t="s">
        <v>188</v>
      </c>
      <c r="C3030" s="1">
        <v>694819.0</v>
      </c>
      <c r="D3030" s="1" t="s">
        <v>537</v>
      </c>
      <c r="E3030" s="1" t="s">
        <v>927</v>
      </c>
      <c r="F3030" s="1" t="s">
        <v>926</v>
      </c>
      <c r="G3030" s="1">
        <v>357.0</v>
      </c>
      <c r="H3030" s="1">
        <v>20.24226804</v>
      </c>
      <c r="I3030" s="1">
        <v>5.17</v>
      </c>
      <c r="J3030" s="1">
        <v>6.80238</v>
      </c>
    </row>
    <row r="3031">
      <c r="A3031" s="1">
        <v>2025.0</v>
      </c>
      <c r="B3031" s="1" t="s">
        <v>188</v>
      </c>
      <c r="C3031" s="1">
        <v>694819.0</v>
      </c>
      <c r="D3031" s="1" t="s">
        <v>533</v>
      </c>
      <c r="E3031" s="1" t="s">
        <v>927</v>
      </c>
      <c r="F3031" s="1" t="s">
        <v>926</v>
      </c>
      <c r="G3031" s="1">
        <v>95.0</v>
      </c>
      <c r="H3031" s="1">
        <v>5.386597938</v>
      </c>
      <c r="I3031" s="1">
        <v>5.47</v>
      </c>
      <c r="J3031" s="1">
        <v>1.205631</v>
      </c>
    </row>
    <row r="3032">
      <c r="A3032" s="1">
        <v>2025.0</v>
      </c>
      <c r="B3032" s="1" t="s">
        <v>188</v>
      </c>
      <c r="C3032" s="1">
        <v>694819.0</v>
      </c>
      <c r="D3032" s="1" t="s">
        <v>532</v>
      </c>
      <c r="E3032" s="1" t="s">
        <v>927</v>
      </c>
      <c r="F3032" s="1" t="s">
        <v>927</v>
      </c>
      <c r="G3032" s="1">
        <v>4.0</v>
      </c>
      <c r="H3032" s="1">
        <v>0.226804124</v>
      </c>
      <c r="I3032" s="1">
        <v>6.29</v>
      </c>
      <c r="J3032" s="1">
        <v>-0.030854</v>
      </c>
    </row>
    <row r="3033">
      <c r="A3033" s="1">
        <v>2025.0</v>
      </c>
      <c r="B3033" s="1" t="s">
        <v>188</v>
      </c>
      <c r="C3033" s="1">
        <v>694819.0</v>
      </c>
      <c r="D3033" s="1" t="s">
        <v>541</v>
      </c>
      <c r="E3033" s="1" t="s">
        <v>927</v>
      </c>
      <c r="F3033" s="1" t="s">
        <v>927</v>
      </c>
      <c r="G3033" s="1">
        <v>71.0</v>
      </c>
      <c r="H3033" s="1">
        <v>4.025773196</v>
      </c>
      <c r="I3033" s="1">
        <v>4.86</v>
      </c>
      <c r="J3033" s="1">
        <v>1.768781</v>
      </c>
    </row>
    <row r="3034">
      <c r="A3034" s="1">
        <v>2025.0</v>
      </c>
      <c r="B3034" s="1" t="s">
        <v>188</v>
      </c>
      <c r="C3034" s="1">
        <v>694819.0</v>
      </c>
      <c r="D3034" s="1" t="s">
        <v>537</v>
      </c>
      <c r="E3034" s="1" t="s">
        <v>927</v>
      </c>
      <c r="F3034" s="1" t="s">
        <v>927</v>
      </c>
      <c r="G3034" s="1">
        <v>285.0</v>
      </c>
      <c r="H3034" s="1">
        <v>16.15979381</v>
      </c>
      <c r="I3034" s="1">
        <v>5.31</v>
      </c>
      <c r="J3034" s="1">
        <v>4.633004</v>
      </c>
    </row>
    <row r="3035">
      <c r="A3035" s="1">
        <v>2025.0</v>
      </c>
      <c r="B3035" s="1" t="s">
        <v>188</v>
      </c>
      <c r="C3035" s="1">
        <v>694819.0</v>
      </c>
      <c r="D3035" s="1" t="s">
        <v>533</v>
      </c>
      <c r="E3035" s="1" t="s">
        <v>927</v>
      </c>
      <c r="F3035" s="1" t="s">
        <v>927</v>
      </c>
      <c r="G3035" s="1">
        <v>188.0</v>
      </c>
      <c r="H3035" s="1">
        <v>10.65979381</v>
      </c>
      <c r="I3035" s="1">
        <v>5.29</v>
      </c>
      <c r="J3035" s="1">
        <v>3.156065</v>
      </c>
    </row>
    <row r="3036">
      <c r="A3036" s="1">
        <v>2025.0</v>
      </c>
      <c r="B3036" s="1" t="s">
        <v>751</v>
      </c>
      <c r="C3036" s="1">
        <v>607732.0</v>
      </c>
      <c r="D3036" s="1" t="s">
        <v>532</v>
      </c>
      <c r="E3036" s="1" t="s">
        <v>927</v>
      </c>
      <c r="F3036" s="1" t="s">
        <v>926</v>
      </c>
      <c r="G3036" s="1">
        <v>3.0</v>
      </c>
      <c r="H3036" s="1">
        <v>0.230769231</v>
      </c>
      <c r="I3036" s="1">
        <v>4.47</v>
      </c>
      <c r="J3036" s="1">
        <v>0.099272</v>
      </c>
    </row>
    <row r="3037">
      <c r="A3037" s="1">
        <v>2025.0</v>
      </c>
      <c r="B3037" s="1" t="s">
        <v>751</v>
      </c>
      <c r="C3037" s="1">
        <v>607732.0</v>
      </c>
      <c r="D3037" s="1" t="s">
        <v>541</v>
      </c>
      <c r="E3037" s="1" t="s">
        <v>927</v>
      </c>
      <c r="F3037" s="1" t="s">
        <v>926</v>
      </c>
      <c r="G3037" s="1">
        <v>4.0</v>
      </c>
      <c r="H3037" s="1">
        <v>0.307692308</v>
      </c>
      <c r="I3037" s="1">
        <v>2.25</v>
      </c>
      <c r="J3037" s="1">
        <v>0.30498</v>
      </c>
    </row>
    <row r="3038">
      <c r="A3038" s="1">
        <v>2025.0</v>
      </c>
      <c r="B3038" s="1" t="s">
        <v>751</v>
      </c>
      <c r="C3038" s="1">
        <v>607732.0</v>
      </c>
      <c r="D3038" s="1" t="s">
        <v>537</v>
      </c>
      <c r="E3038" s="1" t="s">
        <v>927</v>
      </c>
      <c r="F3038" s="1" t="s">
        <v>926</v>
      </c>
      <c r="G3038" s="1">
        <v>12.0</v>
      </c>
      <c r="H3038" s="1">
        <v>0.923076923</v>
      </c>
      <c r="I3038" s="1">
        <v>4.19</v>
      </c>
      <c r="J3038" s="1">
        <v>0.472343</v>
      </c>
    </row>
    <row r="3039">
      <c r="A3039" s="1">
        <v>2025.0</v>
      </c>
      <c r="B3039" s="1" t="s">
        <v>751</v>
      </c>
      <c r="C3039" s="1">
        <v>607732.0</v>
      </c>
      <c r="D3039" s="1" t="s">
        <v>541</v>
      </c>
      <c r="E3039" s="1" t="s">
        <v>927</v>
      </c>
      <c r="F3039" s="1" t="s">
        <v>927</v>
      </c>
      <c r="G3039" s="1">
        <v>2.0</v>
      </c>
      <c r="H3039" s="1">
        <v>0.153846154</v>
      </c>
      <c r="I3039" s="1">
        <v>2.94</v>
      </c>
      <c r="J3039" s="1">
        <v>0.124182</v>
      </c>
    </row>
    <row r="3040">
      <c r="A3040" s="1">
        <v>2025.0</v>
      </c>
      <c r="B3040" s="1" t="s">
        <v>751</v>
      </c>
      <c r="C3040" s="1">
        <v>607732.0</v>
      </c>
      <c r="D3040" s="1" t="s">
        <v>537</v>
      </c>
      <c r="E3040" s="1" t="s">
        <v>927</v>
      </c>
      <c r="F3040" s="1" t="s">
        <v>927</v>
      </c>
      <c r="G3040" s="1">
        <v>5.0</v>
      </c>
      <c r="H3040" s="1">
        <v>0.384615385</v>
      </c>
      <c r="I3040" s="1">
        <v>4.31</v>
      </c>
      <c r="J3040" s="1">
        <v>0.186532</v>
      </c>
    </row>
    <row r="3041">
      <c r="A3041" s="1">
        <v>2025.0</v>
      </c>
      <c r="B3041" s="1" t="s">
        <v>87</v>
      </c>
      <c r="C3041" s="1">
        <v>657097.0</v>
      </c>
      <c r="D3041" s="1" t="s">
        <v>532</v>
      </c>
      <c r="E3041" s="1" t="s">
        <v>927</v>
      </c>
      <c r="F3041" s="1" t="s">
        <v>926</v>
      </c>
      <c r="G3041" s="1">
        <v>207.0</v>
      </c>
      <c r="H3041" s="1">
        <v>13.96932515</v>
      </c>
      <c r="I3041" s="1">
        <v>5.18</v>
      </c>
      <c r="J3041" s="1">
        <v>3.667321</v>
      </c>
    </row>
    <row r="3042">
      <c r="A3042" s="1">
        <v>2025.0</v>
      </c>
      <c r="B3042" s="1" t="s">
        <v>87</v>
      </c>
      <c r="C3042" s="1">
        <v>657097.0</v>
      </c>
      <c r="D3042" s="1" t="s">
        <v>537</v>
      </c>
      <c r="E3042" s="1" t="s">
        <v>927</v>
      </c>
      <c r="F3042" s="1" t="s">
        <v>926</v>
      </c>
      <c r="G3042" s="1">
        <v>185.0</v>
      </c>
      <c r="H3042" s="1">
        <v>12.48466258</v>
      </c>
      <c r="I3042" s="1">
        <v>5.23</v>
      </c>
      <c r="J3042" s="1">
        <v>3.219142</v>
      </c>
    </row>
    <row r="3043">
      <c r="A3043" s="1">
        <v>2025.0</v>
      </c>
      <c r="B3043" s="1" t="s">
        <v>87</v>
      </c>
      <c r="C3043" s="1">
        <v>657097.0</v>
      </c>
      <c r="D3043" s="1" t="s">
        <v>539</v>
      </c>
      <c r="E3043" s="1" t="s">
        <v>927</v>
      </c>
      <c r="F3043" s="1" t="s">
        <v>926</v>
      </c>
      <c r="G3043" s="1">
        <v>51.0</v>
      </c>
      <c r="H3043" s="1">
        <v>3.441717791</v>
      </c>
      <c r="I3043" s="1">
        <v>4.89</v>
      </c>
      <c r="J3043" s="1">
        <v>1.208773</v>
      </c>
    </row>
    <row r="3044">
      <c r="A3044" s="1">
        <v>2025.0</v>
      </c>
      <c r="B3044" s="1" t="s">
        <v>87</v>
      </c>
      <c r="C3044" s="1">
        <v>657097.0</v>
      </c>
      <c r="D3044" s="1" t="s">
        <v>532</v>
      </c>
      <c r="E3044" s="1" t="s">
        <v>927</v>
      </c>
      <c r="F3044" s="1" t="s">
        <v>927</v>
      </c>
      <c r="G3044" s="1">
        <v>132.0</v>
      </c>
      <c r="H3044" s="1">
        <v>8.90797546</v>
      </c>
      <c r="I3044" s="1">
        <v>4.89</v>
      </c>
      <c r="J3044" s="1">
        <v>3.168062</v>
      </c>
    </row>
    <row r="3045">
      <c r="A3045" s="1">
        <v>2025.0</v>
      </c>
      <c r="B3045" s="1" t="s">
        <v>87</v>
      </c>
      <c r="C3045" s="1">
        <v>657097.0</v>
      </c>
      <c r="D3045" s="1" t="s">
        <v>537</v>
      </c>
      <c r="E3045" s="1" t="s">
        <v>927</v>
      </c>
      <c r="F3045" s="1" t="s">
        <v>927</v>
      </c>
      <c r="G3045" s="1">
        <v>250.0</v>
      </c>
      <c r="H3045" s="1">
        <v>16.87116564</v>
      </c>
      <c r="I3045" s="1">
        <v>5.23</v>
      </c>
      <c r="J3045" s="1">
        <v>4.280092</v>
      </c>
    </row>
    <row r="3046">
      <c r="A3046" s="1">
        <v>2025.0</v>
      </c>
      <c r="B3046" s="1" t="s">
        <v>87</v>
      </c>
      <c r="C3046" s="1">
        <v>657097.0</v>
      </c>
      <c r="D3046" s="1" t="s">
        <v>539</v>
      </c>
      <c r="E3046" s="1" t="s">
        <v>927</v>
      </c>
      <c r="F3046" s="1" t="s">
        <v>927</v>
      </c>
      <c r="G3046" s="1">
        <v>153.0</v>
      </c>
      <c r="H3046" s="1">
        <v>10.32515337</v>
      </c>
      <c r="I3046" s="1">
        <v>5.14</v>
      </c>
      <c r="J3046" s="1">
        <v>2.948367</v>
      </c>
    </row>
    <row r="3047">
      <c r="A3047" s="1">
        <v>2025.0</v>
      </c>
      <c r="B3047" s="1" t="s">
        <v>57</v>
      </c>
      <c r="C3047" s="1">
        <v>594798.0</v>
      </c>
      <c r="D3047" s="1" t="s">
        <v>532</v>
      </c>
      <c r="E3047" s="1" t="s">
        <v>927</v>
      </c>
      <c r="F3047" s="1" t="s">
        <v>926</v>
      </c>
      <c r="G3047" s="1">
        <v>259.0</v>
      </c>
      <c r="H3047" s="1">
        <v>17.12123532</v>
      </c>
      <c r="I3047" s="1">
        <v>4.53</v>
      </c>
      <c r="J3047" s="1">
        <v>7.975059</v>
      </c>
    </row>
    <row r="3048">
      <c r="A3048" s="1">
        <v>2025.0</v>
      </c>
      <c r="B3048" s="1" t="s">
        <v>57</v>
      </c>
      <c r="C3048" s="1">
        <v>594798.0</v>
      </c>
      <c r="D3048" s="1" t="s">
        <v>541</v>
      </c>
      <c r="E3048" s="1" t="s">
        <v>927</v>
      </c>
      <c r="F3048" s="1" t="s">
        <v>926</v>
      </c>
      <c r="G3048" s="1">
        <v>109.0</v>
      </c>
      <c r="H3048" s="1">
        <v>7.20546197</v>
      </c>
      <c r="I3048" s="1">
        <v>5.33</v>
      </c>
      <c r="J3048" s="1">
        <v>1.729997</v>
      </c>
    </row>
    <row r="3049">
      <c r="A3049" s="1">
        <v>2025.0</v>
      </c>
      <c r="B3049" s="1" t="s">
        <v>57</v>
      </c>
      <c r="C3049" s="1">
        <v>594798.0</v>
      </c>
      <c r="D3049" s="1" t="s">
        <v>537</v>
      </c>
      <c r="E3049" s="1" t="s">
        <v>927</v>
      </c>
      <c r="F3049" s="1" t="s">
        <v>926</v>
      </c>
      <c r="G3049" s="1">
        <v>567.0</v>
      </c>
      <c r="H3049" s="1">
        <v>37.48162328</v>
      </c>
      <c r="I3049" s="1">
        <v>5.3</v>
      </c>
      <c r="J3049" s="1">
        <v>9.061281</v>
      </c>
    </row>
    <row r="3050">
      <c r="A3050" s="1">
        <v>2025.0</v>
      </c>
      <c r="B3050" s="1" t="s">
        <v>57</v>
      </c>
      <c r="C3050" s="1">
        <v>594798.0</v>
      </c>
      <c r="D3050" s="1" t="s">
        <v>533</v>
      </c>
      <c r="E3050" s="1" t="s">
        <v>927</v>
      </c>
      <c r="F3050" s="1" t="s">
        <v>926</v>
      </c>
      <c r="G3050" s="1">
        <v>406.0</v>
      </c>
      <c r="H3050" s="1">
        <v>26.83869321</v>
      </c>
      <c r="I3050" s="1">
        <v>5.39</v>
      </c>
      <c r="J3050" s="1">
        <v>5.41204</v>
      </c>
    </row>
    <row r="3051">
      <c r="A3051" s="1">
        <v>2025.0</v>
      </c>
      <c r="B3051" s="1" t="s">
        <v>57</v>
      </c>
      <c r="C3051" s="1">
        <v>594798.0</v>
      </c>
      <c r="D3051" s="1" t="s">
        <v>532</v>
      </c>
      <c r="E3051" s="1" t="s">
        <v>927</v>
      </c>
      <c r="F3051" s="1" t="s">
        <v>927</v>
      </c>
      <c r="G3051" s="1">
        <v>36.0</v>
      </c>
      <c r="H3051" s="1">
        <v>2.379785605</v>
      </c>
      <c r="I3051" s="1">
        <v>4.93</v>
      </c>
      <c r="J3051" s="1">
        <v>0.786937</v>
      </c>
    </row>
    <row r="3052">
      <c r="A3052" s="1">
        <v>2025.0</v>
      </c>
      <c r="B3052" s="1" t="s">
        <v>57</v>
      </c>
      <c r="C3052" s="1">
        <v>594798.0</v>
      </c>
      <c r="D3052" s="1" t="s">
        <v>541</v>
      </c>
      <c r="E3052" s="1" t="s">
        <v>927</v>
      </c>
      <c r="F3052" s="1" t="s">
        <v>927</v>
      </c>
      <c r="G3052" s="1">
        <v>23.0</v>
      </c>
      <c r="H3052" s="1">
        <v>1.520418581</v>
      </c>
      <c r="I3052" s="1">
        <v>5.35</v>
      </c>
      <c r="J3052" s="1">
        <v>0.314602</v>
      </c>
    </row>
    <row r="3053">
      <c r="A3053" s="1">
        <v>2025.0</v>
      </c>
      <c r="B3053" s="1" t="s">
        <v>57</v>
      </c>
      <c r="C3053" s="1">
        <v>594798.0</v>
      </c>
      <c r="D3053" s="1" t="s">
        <v>537</v>
      </c>
      <c r="E3053" s="1" t="s">
        <v>927</v>
      </c>
      <c r="F3053" s="1" t="s">
        <v>927</v>
      </c>
      <c r="G3053" s="1">
        <v>636.0</v>
      </c>
      <c r="H3053" s="1">
        <v>42.04287902</v>
      </c>
      <c r="I3053" s="1">
        <v>5.31</v>
      </c>
      <c r="J3053" s="1">
        <v>9.885426</v>
      </c>
    </row>
    <row r="3054">
      <c r="A3054" s="1">
        <v>2025.0</v>
      </c>
      <c r="B3054" s="1" t="s">
        <v>57</v>
      </c>
      <c r="C3054" s="1">
        <v>594798.0</v>
      </c>
      <c r="D3054" s="1" t="s">
        <v>533</v>
      </c>
      <c r="E3054" s="1" t="s">
        <v>927</v>
      </c>
      <c r="F3054" s="1" t="s">
        <v>927</v>
      </c>
      <c r="G3054" s="1">
        <v>576.0</v>
      </c>
      <c r="H3054" s="1">
        <v>38.07656968</v>
      </c>
      <c r="I3054" s="1">
        <v>5.2</v>
      </c>
      <c r="J3054" s="1">
        <v>9.799042</v>
      </c>
    </row>
    <row r="3055">
      <c r="A3055" s="1">
        <v>2025.0</v>
      </c>
      <c r="B3055" s="1" t="s">
        <v>728</v>
      </c>
      <c r="C3055" s="1">
        <v>677955.0</v>
      </c>
      <c r="D3055" s="1" t="s">
        <v>532</v>
      </c>
      <c r="E3055" s="1" t="s">
        <v>927</v>
      </c>
      <c r="F3055" s="1" t="s">
        <v>926</v>
      </c>
      <c r="G3055" s="1">
        <v>102.0</v>
      </c>
      <c r="H3055" s="1">
        <v>6.143737166</v>
      </c>
      <c r="I3055" s="1">
        <v>4.79</v>
      </c>
      <c r="J3055" s="1">
        <v>2.759079</v>
      </c>
    </row>
    <row r="3056">
      <c r="A3056" s="1">
        <v>2025.0</v>
      </c>
      <c r="B3056" s="1" t="s">
        <v>728</v>
      </c>
      <c r="C3056" s="1">
        <v>677955.0</v>
      </c>
      <c r="D3056" s="1" t="s">
        <v>537</v>
      </c>
      <c r="E3056" s="1" t="s">
        <v>927</v>
      </c>
      <c r="F3056" s="1" t="s">
        <v>926</v>
      </c>
      <c r="G3056" s="1">
        <v>72.0</v>
      </c>
      <c r="H3056" s="1">
        <v>4.336755647</v>
      </c>
      <c r="I3056" s="1">
        <v>4.42</v>
      </c>
      <c r="J3056" s="1">
        <v>2.460496</v>
      </c>
    </row>
    <row r="3057">
      <c r="A3057" s="1">
        <v>2025.0</v>
      </c>
      <c r="B3057" s="1" t="s">
        <v>728</v>
      </c>
      <c r="C3057" s="1">
        <v>677955.0</v>
      </c>
      <c r="D3057" s="1" t="s">
        <v>536</v>
      </c>
      <c r="E3057" s="1" t="s">
        <v>927</v>
      </c>
      <c r="F3057" s="1" t="s">
        <v>926</v>
      </c>
      <c r="G3057" s="1">
        <v>49.0</v>
      </c>
      <c r="H3057" s="1">
        <v>2.951403149</v>
      </c>
      <c r="I3057" s="1">
        <v>4.73</v>
      </c>
      <c r="J3057" s="1">
        <v>1.388352</v>
      </c>
    </row>
    <row r="3058">
      <c r="A3058" s="1">
        <v>2025.0</v>
      </c>
      <c r="B3058" s="1" t="s">
        <v>728</v>
      </c>
      <c r="C3058" s="1">
        <v>677955.0</v>
      </c>
      <c r="D3058" s="1" t="s">
        <v>533</v>
      </c>
      <c r="E3058" s="1" t="s">
        <v>927</v>
      </c>
      <c r="F3058" s="1" t="s">
        <v>926</v>
      </c>
      <c r="G3058" s="1">
        <v>7.0</v>
      </c>
      <c r="H3058" s="1">
        <v>0.421629021</v>
      </c>
      <c r="I3058" s="1">
        <v>5.15</v>
      </c>
      <c r="J3058" s="1">
        <v>0.133735</v>
      </c>
    </row>
    <row r="3059">
      <c r="A3059" s="1">
        <v>2025.0</v>
      </c>
      <c r="B3059" s="1" t="s">
        <v>728</v>
      </c>
      <c r="C3059" s="1">
        <v>677955.0</v>
      </c>
      <c r="D3059" s="1" t="s">
        <v>539</v>
      </c>
      <c r="E3059" s="1" t="s">
        <v>927</v>
      </c>
      <c r="F3059" s="1" t="s">
        <v>926</v>
      </c>
      <c r="G3059" s="1">
        <v>3.0</v>
      </c>
      <c r="H3059" s="1">
        <v>0.180698152</v>
      </c>
      <c r="I3059" s="1">
        <v>5.13</v>
      </c>
      <c r="J3059" s="1">
        <v>0.052919</v>
      </c>
    </row>
    <row r="3060">
      <c r="A3060" s="1">
        <v>2025.0</v>
      </c>
      <c r="B3060" s="1" t="s">
        <v>728</v>
      </c>
      <c r="C3060" s="1">
        <v>677955.0</v>
      </c>
      <c r="D3060" s="1" t="s">
        <v>532</v>
      </c>
      <c r="E3060" s="1" t="s">
        <v>927</v>
      </c>
      <c r="F3060" s="1" t="s">
        <v>927</v>
      </c>
      <c r="G3060" s="1">
        <v>18.0</v>
      </c>
      <c r="H3060" s="1">
        <v>1.084188912</v>
      </c>
      <c r="I3060" s="1">
        <v>3.89</v>
      </c>
      <c r="J3060" s="1">
        <v>0.782964</v>
      </c>
    </row>
    <row r="3061">
      <c r="A3061" s="1">
        <v>2025.0</v>
      </c>
      <c r="B3061" s="1" t="s">
        <v>728</v>
      </c>
      <c r="C3061" s="1">
        <v>677955.0</v>
      </c>
      <c r="D3061" s="1" t="s">
        <v>537</v>
      </c>
      <c r="E3061" s="1" t="s">
        <v>927</v>
      </c>
      <c r="F3061" s="1" t="s">
        <v>927</v>
      </c>
      <c r="G3061" s="1">
        <v>55.0</v>
      </c>
      <c r="H3061" s="1">
        <v>3.312799452</v>
      </c>
      <c r="I3061" s="1">
        <v>4.69</v>
      </c>
      <c r="J3061" s="1">
        <v>1.580245</v>
      </c>
    </row>
    <row r="3062">
      <c r="A3062" s="1">
        <v>2025.0</v>
      </c>
      <c r="B3062" s="1" t="s">
        <v>728</v>
      </c>
      <c r="C3062" s="1">
        <v>677955.0</v>
      </c>
      <c r="D3062" s="1" t="s">
        <v>536</v>
      </c>
      <c r="E3062" s="1" t="s">
        <v>927</v>
      </c>
      <c r="F3062" s="1" t="s">
        <v>927</v>
      </c>
      <c r="G3062" s="1">
        <v>73.0</v>
      </c>
      <c r="H3062" s="1">
        <v>4.396988364</v>
      </c>
      <c r="I3062" s="1">
        <v>5.26</v>
      </c>
      <c r="J3062" s="1">
        <v>1.330659</v>
      </c>
    </row>
    <row r="3063">
      <c r="A3063" s="1">
        <v>2025.0</v>
      </c>
      <c r="B3063" s="1" t="s">
        <v>728</v>
      </c>
      <c r="C3063" s="1">
        <v>677955.0</v>
      </c>
      <c r="D3063" s="1" t="s">
        <v>533</v>
      </c>
      <c r="E3063" s="1" t="s">
        <v>927</v>
      </c>
      <c r="F3063" s="1" t="s">
        <v>927</v>
      </c>
      <c r="G3063" s="1">
        <v>101.0</v>
      </c>
      <c r="H3063" s="1">
        <v>6.083504449</v>
      </c>
      <c r="I3063" s="1">
        <v>4.75</v>
      </c>
      <c r="J3063" s="1">
        <v>2.811728</v>
      </c>
    </row>
    <row r="3064">
      <c r="A3064" s="1">
        <v>2025.0</v>
      </c>
      <c r="B3064" s="1" t="s">
        <v>728</v>
      </c>
      <c r="C3064" s="1">
        <v>677955.0</v>
      </c>
      <c r="D3064" s="1" t="s">
        <v>539</v>
      </c>
      <c r="E3064" s="1" t="s">
        <v>927</v>
      </c>
      <c r="F3064" s="1" t="s">
        <v>927</v>
      </c>
      <c r="G3064" s="1">
        <v>7.0</v>
      </c>
      <c r="H3064" s="1">
        <v>0.421629021</v>
      </c>
      <c r="I3064" s="1">
        <v>3.78</v>
      </c>
      <c r="J3064" s="1">
        <v>0.323489</v>
      </c>
    </row>
    <row r="3065">
      <c r="A3065" s="1">
        <v>2025.0</v>
      </c>
      <c r="B3065" s="1" t="s">
        <v>689</v>
      </c>
      <c r="C3065" s="1">
        <v>641343.0</v>
      </c>
      <c r="D3065" s="1" t="s">
        <v>532</v>
      </c>
      <c r="E3065" s="1" t="s">
        <v>926</v>
      </c>
      <c r="F3065" s="1" t="s">
        <v>926</v>
      </c>
      <c r="G3065" s="1">
        <v>2.0</v>
      </c>
      <c r="H3065" s="1">
        <v>0.161290323</v>
      </c>
      <c r="I3065" s="1">
        <v>-1.19</v>
      </c>
      <c r="J3065" s="1">
        <v>0.300857</v>
      </c>
    </row>
    <row r="3066">
      <c r="A3066" s="1">
        <v>2025.0</v>
      </c>
      <c r="B3066" s="1" t="s">
        <v>689</v>
      </c>
      <c r="C3066" s="1">
        <v>641343.0</v>
      </c>
      <c r="D3066" s="1" t="s">
        <v>537</v>
      </c>
      <c r="E3066" s="1" t="s">
        <v>926</v>
      </c>
      <c r="F3066" s="1" t="s">
        <v>926</v>
      </c>
      <c r="G3066" s="1">
        <v>20.0</v>
      </c>
      <c r="H3066" s="1">
        <v>1.612903226</v>
      </c>
      <c r="I3066" s="1">
        <v>3.34</v>
      </c>
      <c r="J3066" s="1">
        <v>1.112951</v>
      </c>
    </row>
    <row r="3067">
      <c r="A3067" s="1">
        <v>2025.0</v>
      </c>
      <c r="B3067" s="1" t="s">
        <v>689</v>
      </c>
      <c r="C3067" s="1">
        <v>641343.0</v>
      </c>
      <c r="D3067" s="1" t="s">
        <v>537</v>
      </c>
      <c r="E3067" s="1" t="s">
        <v>926</v>
      </c>
      <c r="F3067" s="1" t="s">
        <v>927</v>
      </c>
      <c r="G3067" s="1">
        <v>40.0</v>
      </c>
      <c r="H3067" s="1">
        <v>3.225806452</v>
      </c>
      <c r="I3067" s="1">
        <v>4.41</v>
      </c>
      <c r="J3067" s="1">
        <v>1.409171</v>
      </c>
    </row>
    <row r="3068">
      <c r="A3068" s="1">
        <v>2025.0</v>
      </c>
      <c r="B3068" s="1" t="s">
        <v>215</v>
      </c>
      <c r="C3068" s="1">
        <v>656234.0</v>
      </c>
      <c r="D3068" s="1" t="s">
        <v>541</v>
      </c>
      <c r="E3068" s="1" t="s">
        <v>927</v>
      </c>
      <c r="F3068" s="1" t="s">
        <v>926</v>
      </c>
      <c r="G3068" s="1">
        <v>161.0</v>
      </c>
      <c r="H3068" s="1">
        <v>9.308951585</v>
      </c>
      <c r="I3068" s="1">
        <v>5.07</v>
      </c>
      <c r="J3068" s="1">
        <v>3.213482</v>
      </c>
    </row>
    <row r="3069">
      <c r="A3069" s="1">
        <v>2025.0</v>
      </c>
      <c r="B3069" s="1" t="s">
        <v>215</v>
      </c>
      <c r="C3069" s="1">
        <v>656234.0</v>
      </c>
      <c r="D3069" s="1" t="s">
        <v>540</v>
      </c>
      <c r="E3069" s="1" t="s">
        <v>927</v>
      </c>
      <c r="F3069" s="1" t="s">
        <v>926</v>
      </c>
      <c r="G3069" s="1">
        <v>11.0</v>
      </c>
      <c r="H3069" s="1">
        <v>0.636015326</v>
      </c>
      <c r="I3069" s="1">
        <v>4.13</v>
      </c>
      <c r="J3069" s="1">
        <v>0.422616</v>
      </c>
    </row>
    <row r="3070">
      <c r="A3070" s="1">
        <v>2025.0</v>
      </c>
      <c r="B3070" s="1" t="s">
        <v>215</v>
      </c>
      <c r="C3070" s="1">
        <v>656234.0</v>
      </c>
      <c r="D3070" s="1" t="s">
        <v>537</v>
      </c>
      <c r="E3070" s="1" t="s">
        <v>927</v>
      </c>
      <c r="F3070" s="1" t="s">
        <v>926</v>
      </c>
      <c r="G3070" s="1">
        <v>1.0</v>
      </c>
      <c r="H3070" s="1">
        <v>0.057819575</v>
      </c>
      <c r="I3070" s="1">
        <v>6.14</v>
      </c>
      <c r="J3070" s="1">
        <v>0.00194</v>
      </c>
    </row>
    <row r="3071">
      <c r="A3071" s="1">
        <v>2025.0</v>
      </c>
      <c r="B3071" s="1" t="s">
        <v>215</v>
      </c>
      <c r="C3071" s="1">
        <v>656234.0</v>
      </c>
      <c r="D3071" s="1" t="s">
        <v>536</v>
      </c>
      <c r="E3071" s="1" t="s">
        <v>927</v>
      </c>
      <c r="F3071" s="1" t="s">
        <v>926</v>
      </c>
      <c r="G3071" s="1">
        <v>168.0</v>
      </c>
      <c r="H3071" s="1">
        <v>9.71368861</v>
      </c>
      <c r="I3071" s="1">
        <v>4.49</v>
      </c>
      <c r="J3071" s="1">
        <v>5.528653</v>
      </c>
    </row>
    <row r="3072">
      <c r="A3072" s="1">
        <v>2025.0</v>
      </c>
      <c r="B3072" s="1" t="s">
        <v>215</v>
      </c>
      <c r="C3072" s="1">
        <v>656234.0</v>
      </c>
      <c r="D3072" s="1" t="s">
        <v>533</v>
      </c>
      <c r="E3072" s="1" t="s">
        <v>927</v>
      </c>
      <c r="F3072" s="1" t="s">
        <v>926</v>
      </c>
      <c r="G3072" s="1">
        <v>72.0</v>
      </c>
      <c r="H3072" s="1">
        <v>4.163009404</v>
      </c>
      <c r="I3072" s="1">
        <v>6.05</v>
      </c>
      <c r="J3072" s="1">
        <v>0.019248</v>
      </c>
    </row>
    <row r="3073">
      <c r="A3073" s="1">
        <v>2025.0</v>
      </c>
      <c r="B3073" s="1" t="s">
        <v>215</v>
      </c>
      <c r="C3073" s="1">
        <v>656234.0</v>
      </c>
      <c r="D3073" s="1" t="s">
        <v>539</v>
      </c>
      <c r="E3073" s="1" t="s">
        <v>927</v>
      </c>
      <c r="F3073" s="1" t="s">
        <v>926</v>
      </c>
      <c r="G3073" s="1">
        <v>13.0</v>
      </c>
      <c r="H3073" s="1">
        <v>0.751654476</v>
      </c>
      <c r="I3073" s="1">
        <v>4.83</v>
      </c>
      <c r="J3073" s="1">
        <v>0.329682</v>
      </c>
    </row>
    <row r="3074">
      <c r="A3074" s="1">
        <v>2025.0</v>
      </c>
      <c r="B3074" s="1" t="s">
        <v>215</v>
      </c>
      <c r="C3074" s="1">
        <v>656234.0</v>
      </c>
      <c r="D3074" s="1" t="s">
        <v>541</v>
      </c>
      <c r="E3074" s="1" t="s">
        <v>927</v>
      </c>
      <c r="F3074" s="1" t="s">
        <v>927</v>
      </c>
      <c r="G3074" s="1">
        <v>56.0</v>
      </c>
      <c r="H3074" s="1">
        <v>3.237896203</v>
      </c>
      <c r="I3074" s="1">
        <v>5.1</v>
      </c>
      <c r="J3074" s="1">
        <v>1.084217</v>
      </c>
    </row>
    <row r="3075">
      <c r="A3075" s="1">
        <v>2025.0</v>
      </c>
      <c r="B3075" s="1" t="s">
        <v>215</v>
      </c>
      <c r="C3075" s="1">
        <v>656234.0</v>
      </c>
      <c r="D3075" s="1" t="s">
        <v>540</v>
      </c>
      <c r="E3075" s="1" t="s">
        <v>927</v>
      </c>
      <c r="F3075" s="1" t="s">
        <v>927</v>
      </c>
      <c r="G3075" s="1">
        <v>13.0</v>
      </c>
      <c r="H3075" s="1">
        <v>0.751654476</v>
      </c>
      <c r="I3075" s="1">
        <v>3.64</v>
      </c>
      <c r="J3075" s="1">
        <v>0.651785</v>
      </c>
    </row>
    <row r="3076">
      <c r="A3076" s="1">
        <v>2025.0</v>
      </c>
      <c r="B3076" s="1" t="s">
        <v>215</v>
      </c>
      <c r="C3076" s="1">
        <v>656234.0</v>
      </c>
      <c r="D3076" s="1" t="s">
        <v>537</v>
      </c>
      <c r="E3076" s="1" t="s">
        <v>927</v>
      </c>
      <c r="F3076" s="1" t="s">
        <v>927</v>
      </c>
      <c r="G3076" s="1">
        <v>5.0</v>
      </c>
      <c r="H3076" s="1">
        <v>0.289097875</v>
      </c>
      <c r="I3076" s="1">
        <v>5.46</v>
      </c>
      <c r="J3076" s="1">
        <v>0.06792</v>
      </c>
    </row>
    <row r="3077">
      <c r="A3077" s="1">
        <v>2025.0</v>
      </c>
      <c r="B3077" s="1" t="s">
        <v>215</v>
      </c>
      <c r="C3077" s="1">
        <v>656234.0</v>
      </c>
      <c r="D3077" s="1" t="s">
        <v>536</v>
      </c>
      <c r="E3077" s="1" t="s">
        <v>927</v>
      </c>
      <c r="F3077" s="1" t="s">
        <v>927</v>
      </c>
      <c r="G3077" s="1">
        <v>154.0</v>
      </c>
      <c r="H3077" s="1">
        <v>8.904214559</v>
      </c>
      <c r="I3077" s="1">
        <v>4.62</v>
      </c>
      <c r="J3077" s="1">
        <v>4.589485</v>
      </c>
    </row>
    <row r="3078">
      <c r="A3078" s="1">
        <v>2025.0</v>
      </c>
      <c r="B3078" s="1" t="s">
        <v>215</v>
      </c>
      <c r="C3078" s="1">
        <v>656234.0</v>
      </c>
      <c r="D3078" s="1" t="s">
        <v>533</v>
      </c>
      <c r="E3078" s="1" t="s">
        <v>927</v>
      </c>
      <c r="F3078" s="1" t="s">
        <v>927</v>
      </c>
      <c r="G3078" s="1">
        <v>238.0</v>
      </c>
      <c r="H3078" s="1">
        <v>13.76105886</v>
      </c>
      <c r="I3078" s="1">
        <v>5.63</v>
      </c>
      <c r="J3078" s="1">
        <v>2.210276</v>
      </c>
    </row>
    <row r="3079">
      <c r="A3079" s="1">
        <v>2025.0</v>
      </c>
      <c r="B3079" s="1" t="s">
        <v>215</v>
      </c>
      <c r="C3079" s="1">
        <v>656234.0</v>
      </c>
      <c r="D3079" s="1" t="s">
        <v>539</v>
      </c>
      <c r="E3079" s="1" t="s">
        <v>927</v>
      </c>
      <c r="F3079" s="1" t="s">
        <v>927</v>
      </c>
      <c r="G3079" s="1">
        <v>65.0</v>
      </c>
      <c r="H3079" s="1">
        <v>3.758272379</v>
      </c>
      <c r="I3079" s="1">
        <v>5.99</v>
      </c>
      <c r="J3079" s="1">
        <v>0.108241</v>
      </c>
    </row>
    <row r="3080">
      <c r="A3080" s="1">
        <v>2025.0</v>
      </c>
      <c r="B3080" s="1" t="s">
        <v>604</v>
      </c>
      <c r="C3080" s="1">
        <v>671109.0</v>
      </c>
      <c r="D3080" s="1" t="s">
        <v>532</v>
      </c>
      <c r="E3080" s="1" t="s">
        <v>926</v>
      </c>
      <c r="F3080" s="1" t="s">
        <v>926</v>
      </c>
      <c r="G3080" s="1">
        <v>1.0</v>
      </c>
      <c r="H3080" s="1">
        <v>0.060908084</v>
      </c>
      <c r="I3080" s="1">
        <v>0.83</v>
      </c>
      <c r="J3080" s="1">
        <v>0.102701</v>
      </c>
    </row>
    <row r="3081">
      <c r="A3081" s="1">
        <v>2025.0</v>
      </c>
      <c r="B3081" s="1" t="s">
        <v>604</v>
      </c>
      <c r="C3081" s="1">
        <v>671109.0</v>
      </c>
      <c r="D3081" s="1" t="s">
        <v>537</v>
      </c>
      <c r="E3081" s="1" t="s">
        <v>926</v>
      </c>
      <c r="F3081" s="1" t="s">
        <v>926</v>
      </c>
      <c r="G3081" s="1">
        <v>25.0</v>
      </c>
      <c r="H3081" s="1">
        <v>1.522702104</v>
      </c>
      <c r="I3081" s="1">
        <v>5.25</v>
      </c>
      <c r="J3081" s="1">
        <v>0.460292</v>
      </c>
    </row>
    <row r="3082">
      <c r="A3082" s="1">
        <v>2025.0</v>
      </c>
      <c r="B3082" s="1" t="s">
        <v>604</v>
      </c>
      <c r="C3082" s="1">
        <v>671109.0</v>
      </c>
      <c r="D3082" s="1" t="s">
        <v>533</v>
      </c>
      <c r="E3082" s="1" t="s">
        <v>926</v>
      </c>
      <c r="F3082" s="1" t="s">
        <v>926</v>
      </c>
      <c r="G3082" s="1">
        <v>34.0</v>
      </c>
      <c r="H3082" s="1">
        <v>2.070874862</v>
      </c>
      <c r="I3082" s="1">
        <v>4.89</v>
      </c>
      <c r="J3082" s="1">
        <v>0.848608</v>
      </c>
    </row>
    <row r="3083">
      <c r="A3083" s="1">
        <v>2025.0</v>
      </c>
      <c r="B3083" s="1" t="s">
        <v>604</v>
      </c>
      <c r="C3083" s="1">
        <v>671109.0</v>
      </c>
      <c r="D3083" s="1" t="s">
        <v>539</v>
      </c>
      <c r="E3083" s="1" t="s">
        <v>926</v>
      </c>
      <c r="F3083" s="1" t="s">
        <v>926</v>
      </c>
      <c r="G3083" s="1">
        <v>31.0</v>
      </c>
      <c r="H3083" s="1">
        <v>1.888150609</v>
      </c>
      <c r="I3083" s="1">
        <v>4.56</v>
      </c>
      <c r="J3083" s="1">
        <v>0.951112</v>
      </c>
    </row>
    <row r="3084">
      <c r="A3084" s="1">
        <v>2025.0</v>
      </c>
      <c r="B3084" s="1" t="s">
        <v>604</v>
      </c>
      <c r="C3084" s="1">
        <v>671109.0</v>
      </c>
      <c r="D3084" s="1" t="s">
        <v>532</v>
      </c>
      <c r="E3084" s="1" t="s">
        <v>926</v>
      </c>
      <c r="F3084" s="1" t="s">
        <v>927</v>
      </c>
      <c r="G3084" s="1">
        <v>52.0</v>
      </c>
      <c r="H3084" s="1">
        <v>3.167220377</v>
      </c>
      <c r="I3084" s="1">
        <v>4.48</v>
      </c>
      <c r="J3084" s="1">
        <v>1.69009</v>
      </c>
    </row>
    <row r="3085">
      <c r="A3085" s="1">
        <v>2025.0</v>
      </c>
      <c r="B3085" s="1" t="s">
        <v>604</v>
      </c>
      <c r="C3085" s="1">
        <v>671109.0</v>
      </c>
      <c r="D3085" s="1" t="s">
        <v>537</v>
      </c>
      <c r="E3085" s="1" t="s">
        <v>926</v>
      </c>
      <c r="F3085" s="1" t="s">
        <v>927</v>
      </c>
      <c r="G3085" s="1">
        <v>108.0</v>
      </c>
      <c r="H3085" s="1">
        <v>6.57807309</v>
      </c>
      <c r="I3085" s="1">
        <v>4.44</v>
      </c>
      <c r="J3085" s="1">
        <v>3.693929</v>
      </c>
    </row>
    <row r="3086">
      <c r="A3086" s="1">
        <v>2025.0</v>
      </c>
      <c r="B3086" s="1" t="s">
        <v>604</v>
      </c>
      <c r="C3086" s="1">
        <v>671109.0</v>
      </c>
      <c r="D3086" s="1" t="s">
        <v>533</v>
      </c>
      <c r="E3086" s="1" t="s">
        <v>926</v>
      </c>
      <c r="F3086" s="1" t="s">
        <v>927</v>
      </c>
      <c r="G3086" s="1">
        <v>31.0</v>
      </c>
      <c r="H3086" s="1">
        <v>1.888150609</v>
      </c>
      <c r="I3086" s="1">
        <v>5.21</v>
      </c>
      <c r="J3086" s="1">
        <v>0.586615</v>
      </c>
    </row>
    <row r="3087">
      <c r="A3087" s="1">
        <v>2025.0</v>
      </c>
      <c r="B3087" s="1" t="s">
        <v>604</v>
      </c>
      <c r="C3087" s="1">
        <v>671109.0</v>
      </c>
      <c r="D3087" s="1" t="s">
        <v>539</v>
      </c>
      <c r="E3087" s="1" t="s">
        <v>926</v>
      </c>
      <c r="F3087" s="1" t="s">
        <v>927</v>
      </c>
      <c r="G3087" s="1">
        <v>19.0</v>
      </c>
      <c r="H3087" s="1">
        <v>1.157253599</v>
      </c>
      <c r="I3087" s="1">
        <v>4.8</v>
      </c>
      <c r="J3087" s="1">
        <v>0.498299</v>
      </c>
    </row>
    <row r="3088">
      <c r="A3088" s="1">
        <v>2025.0</v>
      </c>
      <c r="B3088" s="1" t="s">
        <v>396</v>
      </c>
      <c r="C3088" s="1">
        <v>663623.0</v>
      </c>
      <c r="D3088" s="1" t="s">
        <v>532</v>
      </c>
      <c r="E3088" s="1" t="s">
        <v>927</v>
      </c>
      <c r="F3088" s="1" t="s">
        <v>926</v>
      </c>
      <c r="G3088" s="1">
        <v>208.0</v>
      </c>
      <c r="H3088" s="1">
        <v>12.71307301</v>
      </c>
      <c r="I3088" s="1">
        <v>5.05</v>
      </c>
      <c r="J3088" s="1">
        <v>4.397353</v>
      </c>
    </row>
    <row r="3089">
      <c r="A3089" s="1">
        <v>2025.0</v>
      </c>
      <c r="B3089" s="1" t="s">
        <v>396</v>
      </c>
      <c r="C3089" s="1">
        <v>663623.0</v>
      </c>
      <c r="D3089" s="1" t="s">
        <v>541</v>
      </c>
      <c r="E3089" s="1" t="s">
        <v>927</v>
      </c>
      <c r="F3089" s="1" t="s">
        <v>926</v>
      </c>
      <c r="G3089" s="1">
        <v>555.0</v>
      </c>
      <c r="H3089" s="1">
        <v>33.92190153</v>
      </c>
      <c r="I3089" s="1">
        <v>5.2</v>
      </c>
      <c r="J3089" s="1">
        <v>9.816479</v>
      </c>
    </row>
    <row r="3090">
      <c r="A3090" s="1">
        <v>2025.0</v>
      </c>
      <c r="B3090" s="1" t="s">
        <v>396</v>
      </c>
      <c r="C3090" s="1">
        <v>663623.0</v>
      </c>
      <c r="D3090" s="1" t="s">
        <v>540</v>
      </c>
      <c r="E3090" s="1" t="s">
        <v>927</v>
      </c>
      <c r="F3090" s="1" t="s">
        <v>926</v>
      </c>
      <c r="G3090" s="1">
        <v>49.0</v>
      </c>
      <c r="H3090" s="1">
        <v>2.994906621</v>
      </c>
      <c r="I3090" s="1">
        <v>5.1</v>
      </c>
      <c r="J3090" s="1">
        <v>1.018087</v>
      </c>
    </row>
    <row r="3091">
      <c r="A3091" s="1">
        <v>2025.0</v>
      </c>
      <c r="B3091" s="1" t="s">
        <v>396</v>
      </c>
      <c r="C3091" s="1">
        <v>663623.0</v>
      </c>
      <c r="D3091" s="1" t="s">
        <v>537</v>
      </c>
      <c r="E3091" s="1" t="s">
        <v>927</v>
      </c>
      <c r="F3091" s="1" t="s">
        <v>926</v>
      </c>
      <c r="G3091" s="1">
        <v>643.0</v>
      </c>
      <c r="H3091" s="1">
        <v>39.30050934</v>
      </c>
      <c r="I3091" s="1">
        <v>4.61</v>
      </c>
      <c r="J3091" s="1">
        <v>19.241897</v>
      </c>
    </row>
    <row r="3092">
      <c r="A3092" s="1">
        <v>2025.0</v>
      </c>
      <c r="B3092" s="1" t="s">
        <v>396</v>
      </c>
      <c r="C3092" s="1">
        <v>663623.0</v>
      </c>
      <c r="D3092" s="1" t="s">
        <v>536</v>
      </c>
      <c r="E3092" s="1" t="s">
        <v>927</v>
      </c>
      <c r="F3092" s="1" t="s">
        <v>926</v>
      </c>
      <c r="G3092" s="1">
        <v>193.0</v>
      </c>
      <c r="H3092" s="1">
        <v>11.79626486</v>
      </c>
      <c r="I3092" s="1">
        <v>4.53</v>
      </c>
      <c r="J3092" s="1">
        <v>6.258671</v>
      </c>
    </row>
    <row r="3093">
      <c r="A3093" s="1">
        <v>2025.0</v>
      </c>
      <c r="B3093" s="1" t="s">
        <v>396</v>
      </c>
      <c r="C3093" s="1">
        <v>663623.0</v>
      </c>
      <c r="D3093" s="1" t="s">
        <v>533</v>
      </c>
      <c r="E3093" s="1" t="s">
        <v>927</v>
      </c>
      <c r="F3093" s="1" t="s">
        <v>926</v>
      </c>
      <c r="G3093" s="1">
        <v>37.0</v>
      </c>
      <c r="H3093" s="1">
        <v>2.261460102</v>
      </c>
      <c r="I3093" s="1">
        <v>4.76</v>
      </c>
      <c r="J3093" s="1">
        <v>0.944204</v>
      </c>
    </row>
    <row r="3094">
      <c r="A3094" s="1">
        <v>2025.0</v>
      </c>
      <c r="B3094" s="1" t="s">
        <v>396</v>
      </c>
      <c r="C3094" s="1">
        <v>663623.0</v>
      </c>
      <c r="D3094" s="1" t="s">
        <v>532</v>
      </c>
      <c r="E3094" s="1" t="s">
        <v>927</v>
      </c>
      <c r="F3094" s="1" t="s">
        <v>927</v>
      </c>
      <c r="G3094" s="1">
        <v>20.0</v>
      </c>
      <c r="H3094" s="1">
        <v>1.222410866</v>
      </c>
      <c r="I3094" s="1">
        <v>5.61</v>
      </c>
      <c r="J3094" s="1">
        <v>0.188558</v>
      </c>
    </row>
    <row r="3095">
      <c r="A3095" s="1">
        <v>2025.0</v>
      </c>
      <c r="B3095" s="1" t="s">
        <v>396</v>
      </c>
      <c r="C3095" s="1">
        <v>663623.0</v>
      </c>
      <c r="D3095" s="1" t="s">
        <v>541</v>
      </c>
      <c r="E3095" s="1" t="s">
        <v>927</v>
      </c>
      <c r="F3095" s="1" t="s">
        <v>927</v>
      </c>
      <c r="G3095" s="1">
        <v>318.0</v>
      </c>
      <c r="H3095" s="1">
        <v>19.43633277</v>
      </c>
      <c r="I3095" s="1">
        <v>5.21</v>
      </c>
      <c r="J3095" s="1">
        <v>5.561379</v>
      </c>
    </row>
    <row r="3096">
      <c r="A3096" s="1">
        <v>2025.0</v>
      </c>
      <c r="B3096" s="1" t="s">
        <v>396</v>
      </c>
      <c r="C3096" s="1">
        <v>663623.0</v>
      </c>
      <c r="D3096" s="1" t="s">
        <v>540</v>
      </c>
      <c r="E3096" s="1" t="s">
        <v>927</v>
      </c>
      <c r="F3096" s="1" t="s">
        <v>927</v>
      </c>
      <c r="G3096" s="1">
        <v>71.0</v>
      </c>
      <c r="H3096" s="1">
        <v>4.339558574</v>
      </c>
      <c r="I3096" s="1">
        <v>5.21</v>
      </c>
      <c r="J3096" s="1">
        <v>1.2599</v>
      </c>
    </row>
    <row r="3097">
      <c r="A3097" s="1">
        <v>2025.0</v>
      </c>
      <c r="B3097" s="1" t="s">
        <v>396</v>
      </c>
      <c r="C3097" s="1">
        <v>663623.0</v>
      </c>
      <c r="D3097" s="1" t="s">
        <v>537</v>
      </c>
      <c r="E3097" s="1" t="s">
        <v>927</v>
      </c>
      <c r="F3097" s="1" t="s">
        <v>927</v>
      </c>
      <c r="G3097" s="1">
        <v>304.0</v>
      </c>
      <c r="H3097" s="1">
        <v>18.58064516</v>
      </c>
      <c r="I3097" s="1">
        <v>4.7</v>
      </c>
      <c r="J3097" s="1">
        <v>8.514146</v>
      </c>
    </row>
    <row r="3098">
      <c r="A3098" s="1">
        <v>2025.0</v>
      </c>
      <c r="B3098" s="1" t="s">
        <v>396</v>
      </c>
      <c r="C3098" s="1">
        <v>663623.0</v>
      </c>
      <c r="D3098" s="1" t="s">
        <v>536</v>
      </c>
      <c r="E3098" s="1" t="s">
        <v>927</v>
      </c>
      <c r="F3098" s="1" t="s">
        <v>927</v>
      </c>
      <c r="G3098" s="1">
        <v>453.0</v>
      </c>
      <c r="H3098" s="1">
        <v>27.68760611</v>
      </c>
      <c r="I3098" s="1">
        <v>5.08</v>
      </c>
      <c r="J3098" s="1">
        <v>9.482939</v>
      </c>
    </row>
    <row r="3099">
      <c r="A3099" s="1">
        <v>2025.0</v>
      </c>
      <c r="B3099" s="1" t="s">
        <v>396</v>
      </c>
      <c r="C3099" s="1">
        <v>663623.0</v>
      </c>
      <c r="D3099" s="1" t="s">
        <v>533</v>
      </c>
      <c r="E3099" s="1" t="s">
        <v>927</v>
      </c>
      <c r="F3099" s="1" t="s">
        <v>927</v>
      </c>
      <c r="G3099" s="1">
        <v>94.0</v>
      </c>
      <c r="H3099" s="1">
        <v>5.74533107</v>
      </c>
      <c r="I3099" s="1">
        <v>4.95</v>
      </c>
      <c r="J3099" s="1">
        <v>2.130947</v>
      </c>
    </row>
    <row r="3100">
      <c r="A3100" s="1">
        <v>2025.0</v>
      </c>
      <c r="B3100" s="1" t="s">
        <v>892</v>
      </c>
      <c r="C3100" s="1">
        <v>669449.0</v>
      </c>
      <c r="D3100" s="1" t="s">
        <v>537</v>
      </c>
      <c r="E3100" s="1" t="s">
        <v>926</v>
      </c>
      <c r="F3100" s="1" t="s">
        <v>926</v>
      </c>
      <c r="G3100" s="1">
        <v>2.0</v>
      </c>
      <c r="H3100" s="1">
        <v>0.083333333</v>
      </c>
      <c r="I3100" s="1">
        <v>4.69</v>
      </c>
      <c r="J3100" s="1">
        <v>0.056906</v>
      </c>
    </row>
    <row r="3101">
      <c r="A3101" s="1">
        <v>2025.0</v>
      </c>
      <c r="B3101" s="1" t="s">
        <v>892</v>
      </c>
      <c r="C3101" s="1">
        <v>669449.0</v>
      </c>
      <c r="D3101" s="1" t="s">
        <v>533</v>
      </c>
      <c r="E3101" s="1" t="s">
        <v>926</v>
      </c>
      <c r="F3101" s="1" t="s">
        <v>926</v>
      </c>
      <c r="G3101" s="1">
        <v>3.0</v>
      </c>
      <c r="H3101" s="1">
        <v>0.125</v>
      </c>
      <c r="I3101" s="1">
        <v>4.05</v>
      </c>
      <c r="J3101" s="1">
        <v>0.125728</v>
      </c>
    </row>
    <row r="3102">
      <c r="A3102" s="1">
        <v>2025.0</v>
      </c>
      <c r="B3102" s="1" t="s">
        <v>892</v>
      </c>
      <c r="C3102" s="1">
        <v>669449.0</v>
      </c>
      <c r="D3102" s="1" t="s">
        <v>532</v>
      </c>
      <c r="E3102" s="1" t="s">
        <v>926</v>
      </c>
      <c r="F3102" s="1" t="s">
        <v>927</v>
      </c>
      <c r="G3102" s="1">
        <v>5.0</v>
      </c>
      <c r="H3102" s="1">
        <v>0.208333333</v>
      </c>
      <c r="I3102" s="1">
        <v>5.35</v>
      </c>
      <c r="J3102" s="1">
        <v>0.082027</v>
      </c>
    </row>
    <row r="3103">
      <c r="A3103" s="1">
        <v>2025.0</v>
      </c>
      <c r="B3103" s="1" t="s">
        <v>892</v>
      </c>
      <c r="C3103" s="1">
        <v>669449.0</v>
      </c>
      <c r="D3103" s="1" t="s">
        <v>540</v>
      </c>
      <c r="E3103" s="1" t="s">
        <v>926</v>
      </c>
      <c r="F3103" s="1" t="s">
        <v>927</v>
      </c>
      <c r="G3103" s="1">
        <v>4.0</v>
      </c>
      <c r="H3103" s="1">
        <v>0.166666667</v>
      </c>
      <c r="I3103" s="1">
        <v>4.1</v>
      </c>
      <c r="J3103" s="1">
        <v>0.166672</v>
      </c>
    </row>
    <row r="3104">
      <c r="A3104" s="1">
        <v>2025.0</v>
      </c>
      <c r="B3104" s="1" t="s">
        <v>892</v>
      </c>
      <c r="C3104" s="1">
        <v>669449.0</v>
      </c>
      <c r="D3104" s="1" t="s">
        <v>537</v>
      </c>
      <c r="E3104" s="1" t="s">
        <v>926</v>
      </c>
      <c r="F3104" s="1" t="s">
        <v>927</v>
      </c>
      <c r="G3104" s="1">
        <v>6.0</v>
      </c>
      <c r="H3104" s="1">
        <v>0.25</v>
      </c>
      <c r="I3104" s="1">
        <v>4.74</v>
      </c>
      <c r="J3104" s="1">
        <v>0.156528</v>
      </c>
    </row>
    <row r="3105">
      <c r="A3105" s="1">
        <v>2025.0</v>
      </c>
      <c r="B3105" s="1" t="s">
        <v>892</v>
      </c>
      <c r="C3105" s="1">
        <v>669449.0</v>
      </c>
      <c r="D3105" s="1" t="s">
        <v>533</v>
      </c>
      <c r="E3105" s="1" t="s">
        <v>926</v>
      </c>
      <c r="F3105" s="1" t="s">
        <v>927</v>
      </c>
      <c r="G3105" s="1">
        <v>4.0</v>
      </c>
      <c r="H3105" s="1">
        <v>0.166666667</v>
      </c>
      <c r="I3105" s="1">
        <v>5.28</v>
      </c>
      <c r="J3105" s="1">
        <v>0.067514</v>
      </c>
    </row>
    <row r="3106">
      <c r="A3106" s="1">
        <v>2025.0</v>
      </c>
      <c r="B3106" s="1" t="s">
        <v>876</v>
      </c>
      <c r="C3106" s="1">
        <v>668670.0</v>
      </c>
      <c r="D3106" s="1" t="s">
        <v>537</v>
      </c>
      <c r="E3106" s="1" t="s">
        <v>927</v>
      </c>
      <c r="F3106" s="1" t="s">
        <v>926</v>
      </c>
      <c r="G3106" s="1">
        <v>12.0</v>
      </c>
      <c r="H3106" s="1">
        <v>1.76</v>
      </c>
      <c r="I3106" s="1">
        <v>5.63</v>
      </c>
      <c r="J3106" s="1">
        <v>0.128756</v>
      </c>
    </row>
    <row r="3107">
      <c r="A3107" s="1">
        <v>2025.0</v>
      </c>
      <c r="B3107" s="1" t="s">
        <v>876</v>
      </c>
      <c r="C3107" s="1">
        <v>668670.0</v>
      </c>
      <c r="D3107" s="1" t="s">
        <v>928</v>
      </c>
      <c r="E3107" s="1" t="s">
        <v>927</v>
      </c>
      <c r="F3107" s="1" t="s">
        <v>926</v>
      </c>
      <c r="G3107" s="1">
        <v>2.0</v>
      </c>
      <c r="H3107" s="1">
        <v>0.293333333</v>
      </c>
      <c r="I3107" s="1">
        <v>1.93</v>
      </c>
      <c r="J3107" s="1">
        <v>0.165945</v>
      </c>
    </row>
    <row r="3108">
      <c r="A3108" s="1">
        <v>2025.0</v>
      </c>
      <c r="B3108" s="1" t="s">
        <v>876</v>
      </c>
      <c r="C3108" s="1">
        <v>668670.0</v>
      </c>
      <c r="D3108" s="1" t="s">
        <v>537</v>
      </c>
      <c r="E3108" s="1" t="s">
        <v>927</v>
      </c>
      <c r="F3108" s="1" t="s">
        <v>927</v>
      </c>
      <c r="G3108" s="1">
        <v>8.0</v>
      </c>
      <c r="H3108" s="1">
        <v>1.173333333</v>
      </c>
      <c r="I3108" s="1">
        <v>3.83</v>
      </c>
      <c r="J3108" s="1">
        <v>0.380767</v>
      </c>
    </row>
    <row r="3109">
      <c r="A3109" s="1">
        <v>2025.0</v>
      </c>
      <c r="B3109" s="1" t="s">
        <v>876</v>
      </c>
      <c r="C3109" s="1">
        <v>668670.0</v>
      </c>
      <c r="D3109" s="1" t="s">
        <v>928</v>
      </c>
      <c r="E3109" s="1" t="s">
        <v>927</v>
      </c>
      <c r="F3109" s="1" t="s">
        <v>927</v>
      </c>
      <c r="G3109" s="1">
        <v>3.0</v>
      </c>
      <c r="H3109" s="1">
        <v>0.44</v>
      </c>
      <c r="I3109" s="1">
        <v>5.09</v>
      </c>
      <c r="J3109" s="1">
        <v>0.060166</v>
      </c>
    </row>
    <row r="3110">
      <c r="A3110" s="1">
        <v>2025.0</v>
      </c>
      <c r="B3110" s="1" t="s">
        <v>328</v>
      </c>
      <c r="C3110" s="1">
        <v>663765.0</v>
      </c>
      <c r="D3110" s="1" t="s">
        <v>532</v>
      </c>
      <c r="E3110" s="1" t="s">
        <v>927</v>
      </c>
      <c r="F3110" s="1" t="s">
        <v>926</v>
      </c>
      <c r="G3110" s="1">
        <v>78.0</v>
      </c>
      <c r="H3110" s="1">
        <v>4.5344</v>
      </c>
      <c r="I3110" s="1">
        <v>4.75</v>
      </c>
      <c r="J3110" s="1">
        <v>2.109315</v>
      </c>
    </row>
    <row r="3111">
      <c r="A3111" s="1">
        <v>2025.0</v>
      </c>
      <c r="B3111" s="1" t="s">
        <v>328</v>
      </c>
      <c r="C3111" s="1">
        <v>663765.0</v>
      </c>
      <c r="D3111" s="1" t="s">
        <v>540</v>
      </c>
      <c r="E3111" s="1" t="s">
        <v>927</v>
      </c>
      <c r="F3111" s="1" t="s">
        <v>926</v>
      </c>
      <c r="G3111" s="1">
        <v>34.0</v>
      </c>
      <c r="H3111" s="1">
        <v>1.976533333</v>
      </c>
      <c r="I3111" s="1">
        <v>4.32</v>
      </c>
      <c r="J3111" s="1">
        <v>1.189358</v>
      </c>
    </row>
    <row r="3112">
      <c r="A3112" s="1">
        <v>2025.0</v>
      </c>
      <c r="B3112" s="1" t="s">
        <v>328</v>
      </c>
      <c r="C3112" s="1">
        <v>663765.0</v>
      </c>
      <c r="D3112" s="1" t="s">
        <v>537</v>
      </c>
      <c r="E3112" s="1" t="s">
        <v>927</v>
      </c>
      <c r="F3112" s="1" t="s">
        <v>926</v>
      </c>
      <c r="G3112" s="1">
        <v>74.0</v>
      </c>
      <c r="H3112" s="1">
        <v>4.301866667</v>
      </c>
      <c r="I3112" s="1">
        <v>4.65</v>
      </c>
      <c r="J3112" s="1">
        <v>2.144691</v>
      </c>
    </row>
    <row r="3113">
      <c r="A3113" s="1">
        <v>2025.0</v>
      </c>
      <c r="B3113" s="1" t="s">
        <v>328</v>
      </c>
      <c r="C3113" s="1">
        <v>663765.0</v>
      </c>
      <c r="D3113" s="1" t="s">
        <v>536</v>
      </c>
      <c r="E3113" s="1" t="s">
        <v>927</v>
      </c>
      <c r="F3113" s="1" t="s">
        <v>926</v>
      </c>
      <c r="G3113" s="1">
        <v>17.0</v>
      </c>
      <c r="H3113" s="1">
        <v>0.988266667</v>
      </c>
      <c r="I3113" s="1">
        <v>5.01</v>
      </c>
      <c r="J3113" s="1">
        <v>0.366318</v>
      </c>
    </row>
    <row r="3114">
      <c r="A3114" s="1">
        <v>2025.0</v>
      </c>
      <c r="B3114" s="1" t="s">
        <v>328</v>
      </c>
      <c r="C3114" s="1">
        <v>663765.0</v>
      </c>
      <c r="D3114" s="1" t="s">
        <v>533</v>
      </c>
      <c r="E3114" s="1" t="s">
        <v>927</v>
      </c>
      <c r="F3114" s="1" t="s">
        <v>926</v>
      </c>
      <c r="G3114" s="1">
        <v>1.0</v>
      </c>
      <c r="H3114" s="1">
        <v>0.058133333</v>
      </c>
      <c r="I3114" s="1">
        <v>6.45</v>
      </c>
      <c r="J3114" s="1">
        <v>-0.006283</v>
      </c>
    </row>
    <row r="3115">
      <c r="A3115" s="1">
        <v>2025.0</v>
      </c>
      <c r="B3115" s="1" t="s">
        <v>328</v>
      </c>
      <c r="C3115" s="1">
        <v>663765.0</v>
      </c>
      <c r="D3115" s="1" t="s">
        <v>539</v>
      </c>
      <c r="E3115" s="1" t="s">
        <v>927</v>
      </c>
      <c r="F3115" s="1" t="s">
        <v>926</v>
      </c>
      <c r="G3115" s="1">
        <v>11.0</v>
      </c>
      <c r="H3115" s="1">
        <v>0.639466667</v>
      </c>
      <c r="I3115" s="1">
        <v>5.32</v>
      </c>
      <c r="J3115" s="1">
        <v>0.16119</v>
      </c>
    </row>
    <row r="3116">
      <c r="A3116" s="1">
        <v>2025.0</v>
      </c>
      <c r="B3116" s="1" t="s">
        <v>328</v>
      </c>
      <c r="C3116" s="1">
        <v>663765.0</v>
      </c>
      <c r="D3116" s="1" t="s">
        <v>532</v>
      </c>
      <c r="E3116" s="1" t="s">
        <v>927</v>
      </c>
      <c r="F3116" s="1" t="s">
        <v>927</v>
      </c>
      <c r="G3116" s="1">
        <v>38.0</v>
      </c>
      <c r="H3116" s="1">
        <v>2.209066667</v>
      </c>
      <c r="I3116" s="1">
        <v>4.83</v>
      </c>
      <c r="J3116" s="1">
        <v>0.931852</v>
      </c>
    </row>
    <row r="3117">
      <c r="A3117" s="1">
        <v>2025.0</v>
      </c>
      <c r="B3117" s="1" t="s">
        <v>328</v>
      </c>
      <c r="C3117" s="1">
        <v>663765.0</v>
      </c>
      <c r="D3117" s="1" t="s">
        <v>540</v>
      </c>
      <c r="E3117" s="1" t="s">
        <v>927</v>
      </c>
      <c r="F3117" s="1" t="s">
        <v>927</v>
      </c>
      <c r="G3117" s="1">
        <v>28.0</v>
      </c>
      <c r="H3117" s="1">
        <v>1.627733333</v>
      </c>
      <c r="I3117" s="1">
        <v>5.71</v>
      </c>
      <c r="J3117" s="1">
        <v>0.227691</v>
      </c>
    </row>
    <row r="3118">
      <c r="A3118" s="1">
        <v>2025.0</v>
      </c>
      <c r="B3118" s="1" t="s">
        <v>328</v>
      </c>
      <c r="C3118" s="1">
        <v>663765.0</v>
      </c>
      <c r="D3118" s="1" t="s">
        <v>537</v>
      </c>
      <c r="E3118" s="1" t="s">
        <v>927</v>
      </c>
      <c r="F3118" s="1" t="s">
        <v>927</v>
      </c>
      <c r="G3118" s="1">
        <v>34.0</v>
      </c>
      <c r="H3118" s="1">
        <v>1.976533333</v>
      </c>
      <c r="I3118" s="1">
        <v>4.31</v>
      </c>
      <c r="J3118" s="1">
        <v>1.206401</v>
      </c>
    </row>
    <row r="3119">
      <c r="A3119" s="1">
        <v>2025.0</v>
      </c>
      <c r="B3119" s="1" t="s">
        <v>328</v>
      </c>
      <c r="C3119" s="1">
        <v>663765.0</v>
      </c>
      <c r="D3119" s="1" t="s">
        <v>536</v>
      </c>
      <c r="E3119" s="1" t="s">
        <v>927</v>
      </c>
      <c r="F3119" s="1" t="s">
        <v>927</v>
      </c>
      <c r="G3119" s="1">
        <v>179.0</v>
      </c>
      <c r="H3119" s="1">
        <v>10.40586667</v>
      </c>
      <c r="I3119" s="1">
        <v>5.28</v>
      </c>
      <c r="J3119" s="1">
        <v>3.035771</v>
      </c>
    </row>
    <row r="3120">
      <c r="A3120" s="1">
        <v>2025.0</v>
      </c>
      <c r="B3120" s="1" t="s">
        <v>328</v>
      </c>
      <c r="C3120" s="1">
        <v>663765.0</v>
      </c>
      <c r="D3120" s="1" t="s">
        <v>533</v>
      </c>
      <c r="E3120" s="1" t="s">
        <v>927</v>
      </c>
      <c r="F3120" s="1" t="s">
        <v>927</v>
      </c>
      <c r="G3120" s="1">
        <v>7.0</v>
      </c>
      <c r="H3120" s="1">
        <v>0.406933333</v>
      </c>
      <c r="I3120" s="1">
        <v>3.79</v>
      </c>
      <c r="J3120" s="1">
        <v>0.325297</v>
      </c>
    </row>
    <row r="3121">
      <c r="A3121" s="1">
        <v>2025.0</v>
      </c>
      <c r="B3121" s="1" t="s">
        <v>328</v>
      </c>
      <c r="C3121" s="1">
        <v>663765.0</v>
      </c>
      <c r="D3121" s="1" t="s">
        <v>539</v>
      </c>
      <c r="E3121" s="1" t="s">
        <v>927</v>
      </c>
      <c r="F3121" s="1" t="s">
        <v>927</v>
      </c>
      <c r="G3121" s="1">
        <v>124.0</v>
      </c>
      <c r="H3121" s="1">
        <v>7.208533333</v>
      </c>
      <c r="I3121" s="1">
        <v>5.26</v>
      </c>
      <c r="J3121" s="1">
        <v>2.019497</v>
      </c>
    </row>
    <row r="3122">
      <c r="A3122" s="1">
        <v>2025.0</v>
      </c>
      <c r="B3122" s="1" t="s">
        <v>117</v>
      </c>
      <c r="C3122" s="1">
        <v>596001.0</v>
      </c>
      <c r="D3122" s="1" t="s">
        <v>532</v>
      </c>
      <c r="E3122" s="1" t="s">
        <v>927</v>
      </c>
      <c r="F3122" s="1" t="s">
        <v>926</v>
      </c>
      <c r="G3122" s="1">
        <v>159.0</v>
      </c>
      <c r="H3122" s="1">
        <v>10.28128031</v>
      </c>
      <c r="I3122" s="1">
        <v>5.1</v>
      </c>
      <c r="J3122" s="1">
        <v>3.196853</v>
      </c>
    </row>
    <row r="3123">
      <c r="A3123" s="1">
        <v>2025.0</v>
      </c>
      <c r="B3123" s="1" t="s">
        <v>117</v>
      </c>
      <c r="C3123" s="1">
        <v>596001.0</v>
      </c>
      <c r="D3123" s="1" t="s">
        <v>540</v>
      </c>
      <c r="E3123" s="1" t="s">
        <v>927</v>
      </c>
      <c r="F3123" s="1" t="s">
        <v>926</v>
      </c>
      <c r="G3123" s="1">
        <v>1.0</v>
      </c>
      <c r="H3123" s="1">
        <v>0.06466214</v>
      </c>
      <c r="I3123" s="1">
        <v>8.0</v>
      </c>
      <c r="J3123" s="1">
        <v>-0.043162</v>
      </c>
    </row>
    <row r="3124">
      <c r="A3124" s="1">
        <v>2025.0</v>
      </c>
      <c r="B3124" s="1" t="s">
        <v>117</v>
      </c>
      <c r="C3124" s="1">
        <v>596001.0</v>
      </c>
      <c r="D3124" s="1" t="s">
        <v>537</v>
      </c>
      <c r="E3124" s="1" t="s">
        <v>927</v>
      </c>
      <c r="F3124" s="1" t="s">
        <v>926</v>
      </c>
      <c r="G3124" s="1">
        <v>59.0</v>
      </c>
      <c r="H3124" s="1">
        <v>3.815066279</v>
      </c>
      <c r="I3124" s="1">
        <v>4.86</v>
      </c>
      <c r="J3124" s="1">
        <v>1.534909</v>
      </c>
    </row>
    <row r="3125">
      <c r="A3125" s="1">
        <v>2025.0</v>
      </c>
      <c r="B3125" s="1" t="s">
        <v>117</v>
      </c>
      <c r="C3125" s="1">
        <v>596001.0</v>
      </c>
      <c r="D3125" s="1" t="s">
        <v>536</v>
      </c>
      <c r="E3125" s="1" t="s">
        <v>927</v>
      </c>
      <c r="F3125" s="1" t="s">
        <v>926</v>
      </c>
      <c r="G3125" s="1">
        <v>74.0</v>
      </c>
      <c r="H3125" s="1">
        <v>4.784998383</v>
      </c>
      <c r="I3125" s="1">
        <v>4.44</v>
      </c>
      <c r="J3125" s="1">
        <v>2.462569</v>
      </c>
    </row>
    <row r="3126">
      <c r="A3126" s="1">
        <v>2025.0</v>
      </c>
      <c r="B3126" s="1" t="s">
        <v>117</v>
      </c>
      <c r="C3126" s="1">
        <v>596001.0</v>
      </c>
      <c r="D3126" s="1" t="s">
        <v>533</v>
      </c>
      <c r="E3126" s="1" t="s">
        <v>927</v>
      </c>
      <c r="F3126" s="1" t="s">
        <v>926</v>
      </c>
      <c r="G3126" s="1">
        <v>120.0</v>
      </c>
      <c r="H3126" s="1">
        <v>7.759456838</v>
      </c>
      <c r="I3126" s="1">
        <v>5.02</v>
      </c>
      <c r="J3126" s="1">
        <v>2.557545</v>
      </c>
    </row>
    <row r="3127">
      <c r="A3127" s="1">
        <v>2025.0</v>
      </c>
      <c r="B3127" s="1" t="s">
        <v>117</v>
      </c>
      <c r="C3127" s="1">
        <v>596001.0</v>
      </c>
      <c r="D3127" s="1" t="s">
        <v>532</v>
      </c>
      <c r="E3127" s="1" t="s">
        <v>927</v>
      </c>
      <c r="F3127" s="1" t="s">
        <v>927</v>
      </c>
      <c r="G3127" s="1">
        <v>48.0</v>
      </c>
      <c r="H3127" s="1">
        <v>3.103782735</v>
      </c>
      <c r="I3127" s="1">
        <v>5.21</v>
      </c>
      <c r="J3127" s="1">
        <v>0.803932</v>
      </c>
    </row>
    <row r="3128">
      <c r="A3128" s="1">
        <v>2025.0</v>
      </c>
      <c r="B3128" s="1" t="s">
        <v>117</v>
      </c>
      <c r="C3128" s="1">
        <v>596001.0</v>
      </c>
      <c r="D3128" s="1" t="s">
        <v>537</v>
      </c>
      <c r="E3128" s="1" t="s">
        <v>927</v>
      </c>
      <c r="F3128" s="1" t="s">
        <v>927</v>
      </c>
      <c r="G3128" s="1">
        <v>28.0</v>
      </c>
      <c r="H3128" s="1">
        <v>1.810539929</v>
      </c>
      <c r="I3128" s="1">
        <v>5.22</v>
      </c>
      <c r="J3128" s="1">
        <v>0.544446</v>
      </c>
    </row>
    <row r="3129">
      <c r="A3129" s="1">
        <v>2025.0</v>
      </c>
      <c r="B3129" s="1" t="s">
        <v>117</v>
      </c>
      <c r="C3129" s="1">
        <v>596001.0</v>
      </c>
      <c r="D3129" s="1" t="s">
        <v>536</v>
      </c>
      <c r="E3129" s="1" t="s">
        <v>927</v>
      </c>
      <c r="F3129" s="1" t="s">
        <v>927</v>
      </c>
      <c r="G3129" s="1">
        <v>203.0</v>
      </c>
      <c r="H3129" s="1">
        <v>13.12641448</v>
      </c>
      <c r="I3129" s="1">
        <v>4.97</v>
      </c>
      <c r="J3129" s="1">
        <v>4.774705</v>
      </c>
    </row>
    <row r="3130">
      <c r="A3130" s="1">
        <v>2025.0</v>
      </c>
      <c r="B3130" s="1" t="s">
        <v>117</v>
      </c>
      <c r="C3130" s="1">
        <v>596001.0</v>
      </c>
      <c r="D3130" s="1" t="s">
        <v>533</v>
      </c>
      <c r="E3130" s="1" t="s">
        <v>927</v>
      </c>
      <c r="F3130" s="1" t="s">
        <v>927</v>
      </c>
      <c r="G3130" s="1">
        <v>339.0</v>
      </c>
      <c r="H3130" s="1">
        <v>21.92046557</v>
      </c>
      <c r="I3130" s="1">
        <v>5.49</v>
      </c>
      <c r="J3130" s="1">
        <v>4.01674</v>
      </c>
    </row>
    <row r="3131">
      <c r="A3131" s="1">
        <v>2025.0</v>
      </c>
      <c r="B3131" s="1" t="s">
        <v>489</v>
      </c>
      <c r="C3131" s="1">
        <v>656222.0</v>
      </c>
      <c r="D3131" s="1" t="s">
        <v>532</v>
      </c>
      <c r="E3131" s="1" t="s">
        <v>926</v>
      </c>
      <c r="F3131" s="1" t="s">
        <v>926</v>
      </c>
      <c r="G3131" s="1">
        <v>104.0</v>
      </c>
      <c r="H3131" s="1">
        <v>6.509461426</v>
      </c>
      <c r="I3131" s="1">
        <v>4.39</v>
      </c>
      <c r="J3131" s="1">
        <v>3.498244</v>
      </c>
    </row>
    <row r="3132">
      <c r="A3132" s="1">
        <v>2025.0</v>
      </c>
      <c r="B3132" s="1" t="s">
        <v>489</v>
      </c>
      <c r="C3132" s="1">
        <v>656222.0</v>
      </c>
      <c r="D3132" s="1" t="s">
        <v>540</v>
      </c>
      <c r="E3132" s="1" t="s">
        <v>926</v>
      </c>
      <c r="F3132" s="1" t="s">
        <v>926</v>
      </c>
      <c r="G3132" s="1">
        <v>76.0</v>
      </c>
      <c r="H3132" s="1">
        <v>4.756914119</v>
      </c>
      <c r="I3132" s="1">
        <v>4.62</v>
      </c>
      <c r="J3132" s="1">
        <v>2.232776</v>
      </c>
    </row>
    <row r="3133">
      <c r="A3133" s="1">
        <v>2025.0</v>
      </c>
      <c r="B3133" s="1" t="s">
        <v>489</v>
      </c>
      <c r="C3133" s="1">
        <v>656222.0</v>
      </c>
      <c r="D3133" s="1" t="s">
        <v>537</v>
      </c>
      <c r="E3133" s="1" t="s">
        <v>926</v>
      </c>
      <c r="F3133" s="1" t="s">
        <v>926</v>
      </c>
      <c r="G3133" s="1">
        <v>211.0</v>
      </c>
      <c r="H3133" s="1">
        <v>13.20669578</v>
      </c>
      <c r="I3133" s="1">
        <v>5.21</v>
      </c>
      <c r="J3133" s="1">
        <v>3.834958</v>
      </c>
    </row>
    <row r="3134">
      <c r="A3134" s="1">
        <v>2025.0</v>
      </c>
      <c r="B3134" s="1" t="s">
        <v>489</v>
      </c>
      <c r="C3134" s="1">
        <v>656222.0</v>
      </c>
      <c r="D3134" s="1" t="s">
        <v>532</v>
      </c>
      <c r="E3134" s="1" t="s">
        <v>926</v>
      </c>
      <c r="F3134" s="1" t="s">
        <v>927</v>
      </c>
      <c r="G3134" s="1">
        <v>241.0</v>
      </c>
      <c r="H3134" s="1">
        <v>15.08442504</v>
      </c>
      <c r="I3134" s="1">
        <v>4.58</v>
      </c>
      <c r="J3134" s="1">
        <v>7.152736</v>
      </c>
    </row>
    <row r="3135">
      <c r="A3135" s="1">
        <v>2025.0</v>
      </c>
      <c r="B3135" s="1" t="s">
        <v>489</v>
      </c>
      <c r="C3135" s="1">
        <v>656222.0</v>
      </c>
      <c r="D3135" s="1" t="s">
        <v>540</v>
      </c>
      <c r="E3135" s="1" t="s">
        <v>926</v>
      </c>
      <c r="F3135" s="1" t="s">
        <v>927</v>
      </c>
      <c r="G3135" s="1">
        <v>15.0</v>
      </c>
      <c r="H3135" s="1">
        <v>0.938864629</v>
      </c>
      <c r="I3135" s="1">
        <v>4.9</v>
      </c>
      <c r="J3135" s="1">
        <v>0.358679</v>
      </c>
    </row>
    <row r="3136">
      <c r="A3136" s="1">
        <v>2025.0</v>
      </c>
      <c r="B3136" s="1" t="s">
        <v>489</v>
      </c>
      <c r="C3136" s="1">
        <v>656222.0</v>
      </c>
      <c r="D3136" s="1" t="s">
        <v>537</v>
      </c>
      <c r="E3136" s="1" t="s">
        <v>926</v>
      </c>
      <c r="F3136" s="1" t="s">
        <v>927</v>
      </c>
      <c r="G3136" s="1">
        <v>269.0</v>
      </c>
      <c r="H3136" s="1">
        <v>16.83697234</v>
      </c>
      <c r="I3136" s="1">
        <v>4.88</v>
      </c>
      <c r="J3136" s="1">
        <v>6.743078</v>
      </c>
    </row>
    <row r="3137">
      <c r="A3137" s="1">
        <v>2025.0</v>
      </c>
      <c r="B3137" s="1" t="s">
        <v>99</v>
      </c>
      <c r="C3137" s="1">
        <v>592791.0</v>
      </c>
      <c r="D3137" s="1" t="s">
        <v>532</v>
      </c>
      <c r="E3137" s="1" t="s">
        <v>927</v>
      </c>
      <c r="F3137" s="1" t="s">
        <v>926</v>
      </c>
      <c r="G3137" s="1">
        <v>219.0</v>
      </c>
      <c r="H3137" s="1">
        <v>14.34916625</v>
      </c>
      <c r="I3137" s="1">
        <v>5.07</v>
      </c>
      <c r="J3137" s="1">
        <v>4.342413</v>
      </c>
    </row>
    <row r="3138">
      <c r="A3138" s="1">
        <v>2025.0</v>
      </c>
      <c r="B3138" s="1" t="s">
        <v>99</v>
      </c>
      <c r="C3138" s="1">
        <v>592791.0</v>
      </c>
      <c r="D3138" s="1" t="s">
        <v>541</v>
      </c>
      <c r="E3138" s="1" t="s">
        <v>927</v>
      </c>
      <c r="F3138" s="1" t="s">
        <v>926</v>
      </c>
      <c r="G3138" s="1">
        <v>256.0</v>
      </c>
      <c r="H3138" s="1">
        <v>16.77345461</v>
      </c>
      <c r="I3138" s="1">
        <v>5.08</v>
      </c>
      <c r="J3138" s="1">
        <v>5.120093</v>
      </c>
    </row>
    <row r="3139">
      <c r="A3139" s="1">
        <v>2025.0</v>
      </c>
      <c r="B3139" s="1" t="s">
        <v>99</v>
      </c>
      <c r="C3139" s="1">
        <v>592791.0</v>
      </c>
      <c r="D3139" s="1" t="s">
        <v>540</v>
      </c>
      <c r="E3139" s="1" t="s">
        <v>927</v>
      </c>
      <c r="F3139" s="1" t="s">
        <v>926</v>
      </c>
      <c r="G3139" s="1">
        <v>85.0</v>
      </c>
      <c r="H3139" s="1">
        <v>5.5693111</v>
      </c>
      <c r="I3139" s="1">
        <v>5.1</v>
      </c>
      <c r="J3139" s="1">
        <v>1.651926</v>
      </c>
    </row>
    <row r="3140">
      <c r="A3140" s="1">
        <v>2025.0</v>
      </c>
      <c r="B3140" s="1" t="s">
        <v>99</v>
      </c>
      <c r="C3140" s="1">
        <v>592791.0</v>
      </c>
      <c r="D3140" s="1" t="s">
        <v>537</v>
      </c>
      <c r="E3140" s="1" t="s">
        <v>927</v>
      </c>
      <c r="F3140" s="1" t="s">
        <v>926</v>
      </c>
      <c r="G3140" s="1">
        <v>465.0</v>
      </c>
      <c r="H3140" s="1">
        <v>30.46740778</v>
      </c>
      <c r="I3140" s="1">
        <v>5.04</v>
      </c>
      <c r="J3140" s="1">
        <v>9.840193</v>
      </c>
    </row>
    <row r="3141">
      <c r="A3141" s="1">
        <v>2025.0</v>
      </c>
      <c r="B3141" s="1" t="s">
        <v>99</v>
      </c>
      <c r="C3141" s="1">
        <v>592791.0</v>
      </c>
      <c r="D3141" s="1" t="s">
        <v>536</v>
      </c>
      <c r="E3141" s="1" t="s">
        <v>927</v>
      </c>
      <c r="F3141" s="1" t="s">
        <v>926</v>
      </c>
      <c r="G3141" s="1">
        <v>34.0</v>
      </c>
      <c r="H3141" s="1">
        <v>2.22772444</v>
      </c>
      <c r="I3141" s="1">
        <v>4.84</v>
      </c>
      <c r="J3141" s="1">
        <v>0.779867</v>
      </c>
    </row>
    <row r="3142">
      <c r="A3142" s="1">
        <v>2025.0</v>
      </c>
      <c r="B3142" s="1" t="s">
        <v>99</v>
      </c>
      <c r="C3142" s="1">
        <v>592791.0</v>
      </c>
      <c r="D3142" s="1" t="s">
        <v>539</v>
      </c>
      <c r="E3142" s="1" t="s">
        <v>927</v>
      </c>
      <c r="F3142" s="1" t="s">
        <v>926</v>
      </c>
      <c r="G3142" s="1">
        <v>17.0</v>
      </c>
      <c r="H3142" s="1">
        <v>1.11386222</v>
      </c>
      <c r="I3142" s="1">
        <v>4.68</v>
      </c>
      <c r="J3142" s="1">
        <v>0.466565</v>
      </c>
    </row>
    <row r="3143">
      <c r="A3143" s="1">
        <v>2025.0</v>
      </c>
      <c r="B3143" s="1" t="s">
        <v>99</v>
      </c>
      <c r="C3143" s="1">
        <v>592791.0</v>
      </c>
      <c r="D3143" s="1" t="s">
        <v>532</v>
      </c>
      <c r="E3143" s="1" t="s">
        <v>927</v>
      </c>
      <c r="F3143" s="1" t="s">
        <v>927</v>
      </c>
      <c r="G3143" s="1">
        <v>2.0</v>
      </c>
      <c r="H3143" s="1">
        <v>0.131042614</v>
      </c>
      <c r="I3143" s="1">
        <v>2.82</v>
      </c>
      <c r="J3143" s="1">
        <v>0.138181</v>
      </c>
    </row>
    <row r="3144">
      <c r="A3144" s="1">
        <v>2025.0</v>
      </c>
      <c r="B3144" s="1" t="s">
        <v>99</v>
      </c>
      <c r="C3144" s="1">
        <v>592791.0</v>
      </c>
      <c r="D3144" s="1" t="s">
        <v>541</v>
      </c>
      <c r="E3144" s="1" t="s">
        <v>927</v>
      </c>
      <c r="F3144" s="1" t="s">
        <v>927</v>
      </c>
      <c r="G3144" s="1">
        <v>16.0</v>
      </c>
      <c r="H3144" s="1">
        <v>1.048340913</v>
      </c>
      <c r="I3144" s="1">
        <v>5.38</v>
      </c>
      <c r="J3144" s="1">
        <v>0.212716</v>
      </c>
    </row>
    <row r="3145">
      <c r="A3145" s="1">
        <v>2025.0</v>
      </c>
      <c r="B3145" s="1" t="s">
        <v>99</v>
      </c>
      <c r="C3145" s="1">
        <v>592791.0</v>
      </c>
      <c r="D3145" s="1" t="s">
        <v>540</v>
      </c>
      <c r="E3145" s="1" t="s">
        <v>927</v>
      </c>
      <c r="F3145" s="1" t="s">
        <v>927</v>
      </c>
      <c r="G3145" s="1">
        <v>204.0</v>
      </c>
      <c r="H3145" s="1">
        <v>13.36634664</v>
      </c>
      <c r="I3145" s="1">
        <v>5.51</v>
      </c>
      <c r="J3145" s="1">
        <v>2.460872</v>
      </c>
    </row>
    <row r="3146">
      <c r="A3146" s="1">
        <v>2025.0</v>
      </c>
      <c r="B3146" s="1" t="s">
        <v>99</v>
      </c>
      <c r="C3146" s="1">
        <v>592791.0</v>
      </c>
      <c r="D3146" s="1" t="s">
        <v>537</v>
      </c>
      <c r="E3146" s="1" t="s">
        <v>927</v>
      </c>
      <c r="F3146" s="1" t="s">
        <v>927</v>
      </c>
      <c r="G3146" s="1">
        <v>287.0</v>
      </c>
      <c r="H3146" s="1">
        <v>18.80461513</v>
      </c>
      <c r="I3146" s="1">
        <v>5.32</v>
      </c>
      <c r="J3146" s="1">
        <v>4.670959</v>
      </c>
    </row>
    <row r="3147">
      <c r="A3147" s="1">
        <v>2025.0</v>
      </c>
      <c r="B3147" s="1" t="s">
        <v>99</v>
      </c>
      <c r="C3147" s="1">
        <v>592791.0</v>
      </c>
      <c r="D3147" s="1" t="s">
        <v>536</v>
      </c>
      <c r="E3147" s="1" t="s">
        <v>927</v>
      </c>
      <c r="F3147" s="1" t="s">
        <v>927</v>
      </c>
      <c r="G3147" s="1">
        <v>112.0</v>
      </c>
      <c r="H3147" s="1">
        <v>7.33838639</v>
      </c>
      <c r="I3147" s="1">
        <v>4.74</v>
      </c>
      <c r="J3147" s="1">
        <v>2.96705</v>
      </c>
    </row>
    <row r="3148">
      <c r="A3148" s="1">
        <v>2025.0</v>
      </c>
      <c r="B3148" s="1" t="s">
        <v>99</v>
      </c>
      <c r="C3148" s="1">
        <v>592791.0</v>
      </c>
      <c r="D3148" s="1" t="s">
        <v>539</v>
      </c>
      <c r="E3148" s="1" t="s">
        <v>927</v>
      </c>
      <c r="F3148" s="1" t="s">
        <v>927</v>
      </c>
      <c r="G3148" s="1">
        <v>282.0</v>
      </c>
      <c r="H3148" s="1">
        <v>18.47700859</v>
      </c>
      <c r="I3148" s="1">
        <v>5.17</v>
      </c>
      <c r="J3148" s="1">
        <v>4.928256</v>
      </c>
    </row>
    <row r="3149">
      <c r="A3149" s="1">
        <v>2025.0</v>
      </c>
      <c r="B3149" s="1" t="s">
        <v>35</v>
      </c>
      <c r="C3149" s="1">
        <v>676083.0</v>
      </c>
      <c r="D3149" s="1" t="s">
        <v>532</v>
      </c>
      <c r="E3149" s="1" t="s">
        <v>927</v>
      </c>
      <c r="F3149" s="1" t="s">
        <v>926</v>
      </c>
      <c r="G3149" s="1">
        <v>114.0</v>
      </c>
      <c r="H3149" s="1">
        <v>7.731196054</v>
      </c>
      <c r="I3149" s="1">
        <v>4.85</v>
      </c>
      <c r="J3149" s="1">
        <v>2.84183</v>
      </c>
    </row>
    <row r="3150">
      <c r="A3150" s="1">
        <v>2025.0</v>
      </c>
      <c r="B3150" s="1" t="s">
        <v>35</v>
      </c>
      <c r="C3150" s="1">
        <v>676083.0</v>
      </c>
      <c r="D3150" s="1" t="s">
        <v>541</v>
      </c>
      <c r="E3150" s="1" t="s">
        <v>927</v>
      </c>
      <c r="F3150" s="1" t="s">
        <v>926</v>
      </c>
      <c r="G3150" s="1">
        <v>164.0</v>
      </c>
      <c r="H3150" s="1">
        <v>11.12207152</v>
      </c>
      <c r="I3150" s="1">
        <v>5.15</v>
      </c>
      <c r="J3150" s="1">
        <v>3.105247</v>
      </c>
    </row>
    <row r="3151">
      <c r="A3151" s="1">
        <v>2025.0</v>
      </c>
      <c r="B3151" s="1" t="s">
        <v>35</v>
      </c>
      <c r="C3151" s="1">
        <v>676083.0</v>
      </c>
      <c r="D3151" s="1" t="s">
        <v>537</v>
      </c>
      <c r="E3151" s="1" t="s">
        <v>927</v>
      </c>
      <c r="F3151" s="1" t="s">
        <v>926</v>
      </c>
      <c r="G3151" s="1">
        <v>318.0</v>
      </c>
      <c r="H3151" s="1">
        <v>21.56596794</v>
      </c>
      <c r="I3151" s="1">
        <v>5.04</v>
      </c>
      <c r="J3151" s="1">
        <v>6.762513</v>
      </c>
    </row>
    <row r="3152">
      <c r="A3152" s="1">
        <v>2025.0</v>
      </c>
      <c r="B3152" s="1" t="s">
        <v>35</v>
      </c>
      <c r="C3152" s="1">
        <v>676083.0</v>
      </c>
      <c r="D3152" s="1" t="s">
        <v>533</v>
      </c>
      <c r="E3152" s="1" t="s">
        <v>927</v>
      </c>
      <c r="F3152" s="1" t="s">
        <v>926</v>
      </c>
      <c r="G3152" s="1">
        <v>233.0</v>
      </c>
      <c r="H3152" s="1">
        <v>15.80147965</v>
      </c>
      <c r="I3152" s="1">
        <v>5.37</v>
      </c>
      <c r="J3152" s="1">
        <v>3.351546</v>
      </c>
    </row>
    <row r="3153">
      <c r="A3153" s="1">
        <v>2025.0</v>
      </c>
      <c r="B3153" s="1" t="s">
        <v>35</v>
      </c>
      <c r="C3153" s="1">
        <v>676083.0</v>
      </c>
      <c r="D3153" s="1" t="s">
        <v>539</v>
      </c>
      <c r="E3153" s="1" t="s">
        <v>927</v>
      </c>
      <c r="F3153" s="1" t="s">
        <v>926</v>
      </c>
      <c r="G3153" s="1">
        <v>27.0</v>
      </c>
      <c r="H3153" s="1">
        <v>1.83107275</v>
      </c>
      <c r="I3153" s="1">
        <v>5.22</v>
      </c>
      <c r="J3153" s="1">
        <v>0.463613</v>
      </c>
    </row>
    <row r="3154">
      <c r="A3154" s="1">
        <v>2025.0</v>
      </c>
      <c r="B3154" s="1" t="s">
        <v>35</v>
      </c>
      <c r="C3154" s="1">
        <v>676083.0</v>
      </c>
      <c r="D3154" s="1" t="s">
        <v>532</v>
      </c>
      <c r="E3154" s="1" t="s">
        <v>927</v>
      </c>
      <c r="F3154" s="1" t="s">
        <v>927</v>
      </c>
      <c r="G3154" s="1">
        <v>13.0</v>
      </c>
      <c r="H3154" s="1">
        <v>0.88162762</v>
      </c>
      <c r="I3154" s="1">
        <v>4.39</v>
      </c>
      <c r="J3154" s="1">
        <v>0.435652</v>
      </c>
    </row>
    <row r="3155">
      <c r="A3155" s="1">
        <v>2025.0</v>
      </c>
      <c r="B3155" s="1" t="s">
        <v>35</v>
      </c>
      <c r="C3155" s="1">
        <v>676083.0</v>
      </c>
      <c r="D3155" s="1" t="s">
        <v>541</v>
      </c>
      <c r="E3155" s="1" t="s">
        <v>927</v>
      </c>
      <c r="F3155" s="1" t="s">
        <v>927</v>
      </c>
      <c r="G3155" s="1">
        <v>26.0</v>
      </c>
      <c r="H3155" s="1">
        <v>1.76325524</v>
      </c>
      <c r="I3155" s="1">
        <v>5.09</v>
      </c>
      <c r="J3155" s="1">
        <v>0.502634</v>
      </c>
    </row>
    <row r="3156">
      <c r="A3156" s="1">
        <v>2025.0</v>
      </c>
      <c r="B3156" s="1" t="s">
        <v>35</v>
      </c>
      <c r="C3156" s="1">
        <v>676083.0</v>
      </c>
      <c r="D3156" s="1" t="s">
        <v>537</v>
      </c>
      <c r="E3156" s="1" t="s">
        <v>927</v>
      </c>
      <c r="F3156" s="1" t="s">
        <v>927</v>
      </c>
      <c r="G3156" s="1">
        <v>293.0</v>
      </c>
      <c r="H3156" s="1">
        <v>19.87053021</v>
      </c>
      <c r="I3156" s="1">
        <v>5.22</v>
      </c>
      <c r="J3156" s="1">
        <v>5.074206</v>
      </c>
    </row>
    <row r="3157">
      <c r="A3157" s="1">
        <v>2025.0</v>
      </c>
      <c r="B3157" s="1" t="s">
        <v>35</v>
      </c>
      <c r="C3157" s="1">
        <v>676083.0</v>
      </c>
      <c r="D3157" s="1" t="s">
        <v>533</v>
      </c>
      <c r="E3157" s="1" t="s">
        <v>927</v>
      </c>
      <c r="F3157" s="1" t="s">
        <v>927</v>
      </c>
      <c r="G3157" s="1">
        <v>237.0</v>
      </c>
      <c r="H3157" s="1">
        <v>16.07274969</v>
      </c>
      <c r="I3157" s="1">
        <v>5.56</v>
      </c>
      <c r="J3157" s="1">
        <v>2.460278</v>
      </c>
    </row>
    <row r="3158">
      <c r="A3158" s="1">
        <v>2025.0</v>
      </c>
      <c r="B3158" s="1" t="s">
        <v>35</v>
      </c>
      <c r="C3158" s="1">
        <v>676083.0</v>
      </c>
      <c r="D3158" s="1" t="s">
        <v>539</v>
      </c>
      <c r="E3158" s="1" t="s">
        <v>927</v>
      </c>
      <c r="F3158" s="1" t="s">
        <v>927</v>
      </c>
      <c r="G3158" s="1">
        <v>197.0</v>
      </c>
      <c r="H3158" s="1">
        <v>13.36004932</v>
      </c>
      <c r="I3158" s="1">
        <v>5.64</v>
      </c>
      <c r="J3158" s="1">
        <v>1.737652</v>
      </c>
    </row>
    <row r="3159">
      <c r="A3159" s="1">
        <v>2025.0</v>
      </c>
      <c r="B3159" s="1" t="s">
        <v>418</v>
      </c>
      <c r="C3159" s="1">
        <v>657649.0</v>
      </c>
      <c r="D3159" s="1" t="s">
        <v>532</v>
      </c>
      <c r="E3159" s="1" t="s">
        <v>926</v>
      </c>
      <c r="F3159" s="1" t="s">
        <v>926</v>
      </c>
      <c r="G3159" s="1">
        <v>1.0</v>
      </c>
      <c r="H3159" s="1">
        <v>0.063279003</v>
      </c>
      <c r="I3159" s="1">
        <v>4.77</v>
      </c>
      <c r="J3159" s="1">
        <v>0.027602</v>
      </c>
    </row>
    <row r="3160">
      <c r="A3160" s="1">
        <v>2025.0</v>
      </c>
      <c r="B3160" s="1" t="s">
        <v>418</v>
      </c>
      <c r="C3160" s="1">
        <v>657649.0</v>
      </c>
      <c r="D3160" s="1" t="s">
        <v>541</v>
      </c>
      <c r="E3160" s="1" t="s">
        <v>926</v>
      </c>
      <c r="F3160" s="1" t="s">
        <v>926</v>
      </c>
      <c r="G3160" s="1">
        <v>86.0</v>
      </c>
      <c r="H3160" s="1">
        <v>5.441994247</v>
      </c>
      <c r="I3160" s="1">
        <v>4.99</v>
      </c>
      <c r="J3160" s="1">
        <v>1.875572</v>
      </c>
    </row>
    <row r="3161">
      <c r="A3161" s="1">
        <v>2025.0</v>
      </c>
      <c r="B3161" s="1" t="s">
        <v>418</v>
      </c>
      <c r="C3161" s="1">
        <v>657649.0</v>
      </c>
      <c r="D3161" s="1" t="s">
        <v>540</v>
      </c>
      <c r="E3161" s="1" t="s">
        <v>926</v>
      </c>
      <c r="F3161" s="1" t="s">
        <v>926</v>
      </c>
      <c r="G3161" s="1">
        <v>78.0</v>
      </c>
      <c r="H3161" s="1">
        <v>4.935762224</v>
      </c>
      <c r="I3161" s="1">
        <v>4.95</v>
      </c>
      <c r="J3161" s="1">
        <v>1.803692</v>
      </c>
    </row>
    <row r="3162">
      <c r="A3162" s="1">
        <v>2025.0</v>
      </c>
      <c r="B3162" s="1" t="s">
        <v>418</v>
      </c>
      <c r="C3162" s="1">
        <v>657649.0</v>
      </c>
      <c r="D3162" s="1" t="s">
        <v>537</v>
      </c>
      <c r="E3162" s="1" t="s">
        <v>926</v>
      </c>
      <c r="F3162" s="1" t="s">
        <v>926</v>
      </c>
      <c r="G3162" s="1">
        <v>4.0</v>
      </c>
      <c r="H3162" s="1">
        <v>0.253116012</v>
      </c>
      <c r="I3162" s="1">
        <v>3.64</v>
      </c>
      <c r="J3162" s="1">
        <v>0.192848</v>
      </c>
    </row>
    <row r="3163">
      <c r="A3163" s="1">
        <v>2025.0</v>
      </c>
      <c r="B3163" s="1" t="s">
        <v>418</v>
      </c>
      <c r="C3163" s="1">
        <v>657649.0</v>
      </c>
      <c r="D3163" s="1" t="s">
        <v>536</v>
      </c>
      <c r="E3163" s="1" t="s">
        <v>926</v>
      </c>
      <c r="F3163" s="1" t="s">
        <v>926</v>
      </c>
      <c r="G3163" s="1">
        <v>241.0</v>
      </c>
      <c r="H3163" s="1">
        <v>15.25023969</v>
      </c>
      <c r="I3163" s="1">
        <v>5.37</v>
      </c>
      <c r="J3163" s="1">
        <v>3.445077</v>
      </c>
    </row>
    <row r="3164">
      <c r="A3164" s="1">
        <v>2025.0</v>
      </c>
      <c r="B3164" s="1" t="s">
        <v>418</v>
      </c>
      <c r="C3164" s="1">
        <v>657649.0</v>
      </c>
      <c r="D3164" s="1" t="s">
        <v>532</v>
      </c>
      <c r="E3164" s="1" t="s">
        <v>926</v>
      </c>
      <c r="F3164" s="1" t="s">
        <v>927</v>
      </c>
      <c r="G3164" s="1">
        <v>94.0</v>
      </c>
      <c r="H3164" s="1">
        <v>5.94822627</v>
      </c>
      <c r="I3164" s="1">
        <v>4.59</v>
      </c>
      <c r="J3164" s="1">
        <v>2.866444</v>
      </c>
    </row>
    <row r="3165">
      <c r="A3165" s="1">
        <v>2025.0</v>
      </c>
      <c r="B3165" s="1" t="s">
        <v>418</v>
      </c>
      <c r="C3165" s="1">
        <v>657649.0</v>
      </c>
      <c r="D3165" s="1" t="s">
        <v>541</v>
      </c>
      <c r="E3165" s="1" t="s">
        <v>926</v>
      </c>
      <c r="F3165" s="1" t="s">
        <v>927</v>
      </c>
      <c r="G3165" s="1">
        <v>76.0</v>
      </c>
      <c r="H3165" s="1">
        <v>4.809204219</v>
      </c>
      <c r="I3165" s="1">
        <v>4.68</v>
      </c>
      <c r="J3165" s="1">
        <v>2.032278</v>
      </c>
    </row>
    <row r="3166">
      <c r="A3166" s="1">
        <v>2025.0</v>
      </c>
      <c r="B3166" s="1" t="s">
        <v>418</v>
      </c>
      <c r="C3166" s="1">
        <v>657649.0</v>
      </c>
      <c r="D3166" s="1" t="s">
        <v>540</v>
      </c>
      <c r="E3166" s="1" t="s">
        <v>926</v>
      </c>
      <c r="F3166" s="1" t="s">
        <v>927</v>
      </c>
      <c r="G3166" s="1">
        <v>107.0</v>
      </c>
      <c r="H3166" s="1">
        <v>6.770853308</v>
      </c>
      <c r="I3166" s="1">
        <v>5.01</v>
      </c>
      <c r="J3166" s="1">
        <v>2.404054</v>
      </c>
    </row>
    <row r="3167">
      <c r="A3167" s="1">
        <v>2025.0</v>
      </c>
      <c r="B3167" s="1" t="s">
        <v>418</v>
      </c>
      <c r="C3167" s="1">
        <v>657649.0</v>
      </c>
      <c r="D3167" s="1" t="s">
        <v>537</v>
      </c>
      <c r="E3167" s="1" t="s">
        <v>926</v>
      </c>
      <c r="F3167" s="1" t="s">
        <v>927</v>
      </c>
      <c r="G3167" s="1">
        <v>7.0</v>
      </c>
      <c r="H3167" s="1">
        <v>0.44295302</v>
      </c>
      <c r="I3167" s="1">
        <v>5.46</v>
      </c>
      <c r="J3167" s="1">
        <v>0.091081</v>
      </c>
    </row>
    <row r="3168">
      <c r="A3168" s="1">
        <v>2025.0</v>
      </c>
      <c r="B3168" s="1" t="s">
        <v>418</v>
      </c>
      <c r="C3168" s="1">
        <v>657649.0</v>
      </c>
      <c r="D3168" s="1" t="s">
        <v>536</v>
      </c>
      <c r="E3168" s="1" t="s">
        <v>926</v>
      </c>
      <c r="F3168" s="1" t="s">
        <v>927</v>
      </c>
      <c r="G3168" s="1">
        <v>349.0</v>
      </c>
      <c r="H3168" s="1">
        <v>22.084372</v>
      </c>
      <c r="I3168" s="1">
        <v>4.73</v>
      </c>
      <c r="J3168" s="1">
        <v>9.647997</v>
      </c>
    </row>
    <row r="3169">
      <c r="A3169" s="1">
        <v>2025.0</v>
      </c>
      <c r="B3169" s="1" t="s">
        <v>706</v>
      </c>
      <c r="C3169" s="1">
        <v>694363.0</v>
      </c>
      <c r="D3169" s="1" t="s">
        <v>532</v>
      </c>
      <c r="E3169" s="1" t="s">
        <v>926</v>
      </c>
      <c r="F3169" s="1" t="s">
        <v>926</v>
      </c>
      <c r="G3169" s="1">
        <v>13.0</v>
      </c>
      <c r="H3169" s="1">
        <v>0.727380952</v>
      </c>
      <c r="I3169" s="1">
        <v>4.41</v>
      </c>
      <c r="J3169" s="1">
        <v>0.433515</v>
      </c>
    </row>
    <row r="3170">
      <c r="A3170" s="1">
        <v>2025.0</v>
      </c>
      <c r="B3170" s="1" t="s">
        <v>706</v>
      </c>
      <c r="C3170" s="1">
        <v>694363.0</v>
      </c>
      <c r="D3170" s="1" t="s">
        <v>537</v>
      </c>
      <c r="E3170" s="1" t="s">
        <v>926</v>
      </c>
      <c r="F3170" s="1" t="s">
        <v>926</v>
      </c>
      <c r="G3170" s="1">
        <v>23.0</v>
      </c>
      <c r="H3170" s="1">
        <v>1.286904762</v>
      </c>
      <c r="I3170" s="1">
        <v>5.17</v>
      </c>
      <c r="J3170" s="1">
        <v>0.432286</v>
      </c>
    </row>
    <row r="3171">
      <c r="A3171" s="1">
        <v>2025.0</v>
      </c>
      <c r="B3171" s="1" t="s">
        <v>706</v>
      </c>
      <c r="C3171" s="1">
        <v>694363.0</v>
      </c>
      <c r="D3171" s="1" t="s">
        <v>536</v>
      </c>
      <c r="E3171" s="1" t="s">
        <v>926</v>
      </c>
      <c r="F3171" s="1" t="s">
        <v>926</v>
      </c>
      <c r="G3171" s="1">
        <v>11.0</v>
      </c>
      <c r="H3171" s="1">
        <v>0.61547619</v>
      </c>
      <c r="I3171" s="1">
        <v>3.14</v>
      </c>
      <c r="J3171" s="1">
        <v>0.647192</v>
      </c>
    </row>
    <row r="3172">
      <c r="A3172" s="1">
        <v>2025.0</v>
      </c>
      <c r="B3172" s="1" t="s">
        <v>706</v>
      </c>
      <c r="C3172" s="1">
        <v>694363.0</v>
      </c>
      <c r="D3172" s="1" t="s">
        <v>533</v>
      </c>
      <c r="E3172" s="1" t="s">
        <v>926</v>
      </c>
      <c r="F3172" s="1" t="s">
        <v>926</v>
      </c>
      <c r="G3172" s="1">
        <v>45.0</v>
      </c>
      <c r="H3172" s="1">
        <v>2.517857143</v>
      </c>
      <c r="I3172" s="1">
        <v>5.22</v>
      </c>
      <c r="J3172" s="1">
        <v>0.806831</v>
      </c>
    </row>
    <row r="3173">
      <c r="A3173" s="1">
        <v>2025.0</v>
      </c>
      <c r="B3173" s="1" t="s">
        <v>706</v>
      </c>
      <c r="C3173" s="1">
        <v>694363.0</v>
      </c>
      <c r="D3173" s="1" t="s">
        <v>532</v>
      </c>
      <c r="E3173" s="1" t="s">
        <v>926</v>
      </c>
      <c r="F3173" s="1" t="s">
        <v>927</v>
      </c>
      <c r="G3173" s="1">
        <v>90.0</v>
      </c>
      <c r="H3173" s="1">
        <v>5.035714286</v>
      </c>
      <c r="I3173" s="1">
        <v>5.16</v>
      </c>
      <c r="J3173" s="1">
        <v>1.657522</v>
      </c>
    </row>
    <row r="3174">
      <c r="A3174" s="1">
        <v>2025.0</v>
      </c>
      <c r="B3174" s="1" t="s">
        <v>706</v>
      </c>
      <c r="C3174" s="1">
        <v>694363.0</v>
      </c>
      <c r="D3174" s="1" t="s">
        <v>537</v>
      </c>
      <c r="E3174" s="1" t="s">
        <v>926</v>
      </c>
      <c r="F3174" s="1" t="s">
        <v>927</v>
      </c>
      <c r="G3174" s="1">
        <v>67.0</v>
      </c>
      <c r="H3174" s="1">
        <v>3.748809524</v>
      </c>
      <c r="I3174" s="1">
        <v>4.67</v>
      </c>
      <c r="J3174" s="1">
        <v>1.971084</v>
      </c>
    </row>
    <row r="3175">
      <c r="A3175" s="1">
        <v>2025.0</v>
      </c>
      <c r="B3175" s="1" t="s">
        <v>706</v>
      </c>
      <c r="C3175" s="1">
        <v>694363.0</v>
      </c>
      <c r="D3175" s="1" t="s">
        <v>536</v>
      </c>
      <c r="E3175" s="1" t="s">
        <v>926</v>
      </c>
      <c r="F3175" s="1" t="s">
        <v>927</v>
      </c>
      <c r="G3175" s="1">
        <v>1.0</v>
      </c>
      <c r="H3175" s="1">
        <v>0.055952381</v>
      </c>
      <c r="I3175" s="1">
        <v>3.26</v>
      </c>
      <c r="J3175" s="1">
        <v>0.056012</v>
      </c>
    </row>
    <row r="3176">
      <c r="A3176" s="1">
        <v>2025.0</v>
      </c>
      <c r="B3176" s="1" t="s">
        <v>706</v>
      </c>
      <c r="C3176" s="1">
        <v>694363.0</v>
      </c>
      <c r="D3176" s="1" t="s">
        <v>533</v>
      </c>
      <c r="E3176" s="1" t="s">
        <v>926</v>
      </c>
      <c r="F3176" s="1" t="s">
        <v>927</v>
      </c>
      <c r="G3176" s="1">
        <v>30.0</v>
      </c>
      <c r="H3176" s="1">
        <v>1.678571429</v>
      </c>
      <c r="I3176" s="1">
        <v>5.84</v>
      </c>
      <c r="J3176" s="1">
        <v>0.185231</v>
      </c>
    </row>
    <row r="3177">
      <c r="A3177" s="1">
        <v>2025.0</v>
      </c>
      <c r="B3177" s="1" t="s">
        <v>966</v>
      </c>
      <c r="C3177" s="1">
        <v>669707.0</v>
      </c>
      <c r="D3177" s="1" t="s">
        <v>537</v>
      </c>
      <c r="E3177" s="1" t="s">
        <v>927</v>
      </c>
      <c r="F3177" s="1" t="s">
        <v>927</v>
      </c>
      <c r="G3177" s="1">
        <v>6.0</v>
      </c>
      <c r="H3177" s="1">
        <v>1.0</v>
      </c>
      <c r="I3177" s="1">
        <v>3.44</v>
      </c>
      <c r="J3177" s="1">
        <v>0.309384</v>
      </c>
    </row>
    <row r="3178">
      <c r="A3178" s="1">
        <v>2025.0</v>
      </c>
      <c r="B3178" s="1" t="s">
        <v>881</v>
      </c>
      <c r="C3178" s="1">
        <v>676724.0</v>
      </c>
      <c r="D3178" s="1" t="s">
        <v>537</v>
      </c>
      <c r="E3178" s="1" t="s">
        <v>927</v>
      </c>
      <c r="F3178" s="1" t="s">
        <v>926</v>
      </c>
      <c r="G3178" s="1">
        <v>5.0</v>
      </c>
      <c r="H3178" s="1">
        <v>0.277777778</v>
      </c>
      <c r="I3178" s="1">
        <v>5.61</v>
      </c>
      <c r="J3178" s="1">
        <v>0.047476</v>
      </c>
    </row>
    <row r="3179">
      <c r="A3179" s="1">
        <v>2025.0</v>
      </c>
      <c r="B3179" s="1" t="s">
        <v>881</v>
      </c>
      <c r="C3179" s="1">
        <v>676724.0</v>
      </c>
      <c r="D3179" s="1" t="s">
        <v>537</v>
      </c>
      <c r="E3179" s="1" t="s">
        <v>927</v>
      </c>
      <c r="F3179" s="1" t="s">
        <v>927</v>
      </c>
      <c r="G3179" s="1">
        <v>1.0</v>
      </c>
      <c r="H3179" s="1">
        <v>0.055555556</v>
      </c>
      <c r="I3179" s="1">
        <v>2.26</v>
      </c>
      <c r="J3179" s="1">
        <v>0.07873</v>
      </c>
    </row>
    <row r="3180">
      <c r="A3180" s="1">
        <v>2025.0</v>
      </c>
      <c r="B3180" s="1" t="s">
        <v>342</v>
      </c>
      <c r="C3180" s="1">
        <v>592094.0</v>
      </c>
      <c r="D3180" s="1" t="s">
        <v>532</v>
      </c>
      <c r="E3180" s="1" t="s">
        <v>927</v>
      </c>
      <c r="F3180" s="1" t="s">
        <v>926</v>
      </c>
      <c r="G3180" s="1">
        <v>248.0</v>
      </c>
      <c r="H3180" s="1">
        <v>14.91958257</v>
      </c>
      <c r="I3180" s="1">
        <v>4.86</v>
      </c>
      <c r="J3180" s="1">
        <v>5.956963</v>
      </c>
    </row>
    <row r="3181">
      <c r="A3181" s="1">
        <v>2025.0</v>
      </c>
      <c r="B3181" s="1" t="s">
        <v>342</v>
      </c>
      <c r="C3181" s="1">
        <v>592094.0</v>
      </c>
      <c r="D3181" s="1" t="s">
        <v>540</v>
      </c>
      <c r="E3181" s="1" t="s">
        <v>927</v>
      </c>
      <c r="F3181" s="1" t="s">
        <v>926</v>
      </c>
      <c r="G3181" s="1">
        <v>1.0</v>
      </c>
      <c r="H3181" s="1">
        <v>0.060159607</v>
      </c>
      <c r="I3181" s="1">
        <v>5.68</v>
      </c>
      <c r="J3181" s="1">
        <v>0.008806</v>
      </c>
    </row>
    <row r="3182">
      <c r="A3182" s="1">
        <v>2025.0</v>
      </c>
      <c r="B3182" s="1" t="s">
        <v>342</v>
      </c>
      <c r="C3182" s="1">
        <v>592094.0</v>
      </c>
      <c r="D3182" s="1" t="s">
        <v>537</v>
      </c>
      <c r="E3182" s="1" t="s">
        <v>927</v>
      </c>
      <c r="F3182" s="1" t="s">
        <v>926</v>
      </c>
      <c r="G3182" s="1">
        <v>106.0</v>
      </c>
      <c r="H3182" s="1">
        <v>6.376918355</v>
      </c>
      <c r="I3182" s="1">
        <v>4.77</v>
      </c>
      <c r="J3182" s="1">
        <v>2.814384</v>
      </c>
    </row>
    <row r="3183">
      <c r="A3183" s="1">
        <v>2025.0</v>
      </c>
      <c r="B3183" s="1" t="s">
        <v>342</v>
      </c>
      <c r="C3183" s="1">
        <v>592094.0</v>
      </c>
      <c r="D3183" s="1" t="s">
        <v>533</v>
      </c>
      <c r="E3183" s="1" t="s">
        <v>927</v>
      </c>
      <c r="F3183" s="1" t="s">
        <v>926</v>
      </c>
      <c r="G3183" s="1">
        <v>150.0</v>
      </c>
      <c r="H3183" s="1">
        <v>9.023941068</v>
      </c>
      <c r="I3183" s="1">
        <v>5.16</v>
      </c>
      <c r="J3183" s="1">
        <v>2.803594</v>
      </c>
    </row>
    <row r="3184">
      <c r="A3184" s="1">
        <v>2025.0</v>
      </c>
      <c r="B3184" s="1" t="s">
        <v>342</v>
      </c>
      <c r="C3184" s="1">
        <v>592094.0</v>
      </c>
      <c r="D3184" s="1" t="s">
        <v>539</v>
      </c>
      <c r="E3184" s="1" t="s">
        <v>927</v>
      </c>
      <c r="F3184" s="1" t="s">
        <v>926</v>
      </c>
      <c r="G3184" s="1">
        <v>24.0</v>
      </c>
      <c r="H3184" s="1">
        <v>1.443830571</v>
      </c>
      <c r="I3184" s="1">
        <v>4.44</v>
      </c>
      <c r="J3184" s="1">
        <v>0.774238</v>
      </c>
    </row>
    <row r="3185">
      <c r="A3185" s="1">
        <v>2025.0</v>
      </c>
      <c r="B3185" s="1" t="s">
        <v>342</v>
      </c>
      <c r="C3185" s="1">
        <v>592094.0</v>
      </c>
      <c r="D3185" s="1" t="s">
        <v>532</v>
      </c>
      <c r="E3185" s="1" t="s">
        <v>927</v>
      </c>
      <c r="F3185" s="1" t="s">
        <v>927</v>
      </c>
      <c r="G3185" s="1">
        <v>115.0</v>
      </c>
      <c r="H3185" s="1">
        <v>6.918354819</v>
      </c>
      <c r="I3185" s="1">
        <v>5.02</v>
      </c>
      <c r="J3185" s="1">
        <v>2.429412</v>
      </c>
    </row>
    <row r="3186">
      <c r="A3186" s="1">
        <v>2025.0</v>
      </c>
      <c r="B3186" s="1" t="s">
        <v>342</v>
      </c>
      <c r="C3186" s="1">
        <v>592094.0</v>
      </c>
      <c r="D3186" s="1" t="s">
        <v>540</v>
      </c>
      <c r="E3186" s="1" t="s">
        <v>927</v>
      </c>
      <c r="F3186" s="1" t="s">
        <v>927</v>
      </c>
      <c r="G3186" s="1">
        <v>2.0</v>
      </c>
      <c r="H3186" s="1">
        <v>0.120319214</v>
      </c>
      <c r="I3186" s="1">
        <v>6.79</v>
      </c>
      <c r="J3186" s="1">
        <v>-0.027711</v>
      </c>
    </row>
    <row r="3187">
      <c r="A3187" s="1">
        <v>2025.0</v>
      </c>
      <c r="B3187" s="1" t="s">
        <v>342</v>
      </c>
      <c r="C3187" s="1">
        <v>592094.0</v>
      </c>
      <c r="D3187" s="1" t="s">
        <v>537</v>
      </c>
      <c r="E3187" s="1" t="s">
        <v>927</v>
      </c>
      <c r="F3187" s="1" t="s">
        <v>927</v>
      </c>
      <c r="G3187" s="1">
        <v>141.0</v>
      </c>
      <c r="H3187" s="1">
        <v>8.482504604</v>
      </c>
      <c r="I3187" s="1">
        <v>4.98</v>
      </c>
      <c r="J3187" s="1">
        <v>3.222447</v>
      </c>
    </row>
    <row r="3188">
      <c r="A3188" s="1">
        <v>2025.0</v>
      </c>
      <c r="B3188" s="1" t="s">
        <v>342</v>
      </c>
      <c r="C3188" s="1">
        <v>592094.0</v>
      </c>
      <c r="D3188" s="1" t="s">
        <v>533</v>
      </c>
      <c r="E3188" s="1" t="s">
        <v>927</v>
      </c>
      <c r="F3188" s="1" t="s">
        <v>927</v>
      </c>
      <c r="G3188" s="1">
        <v>233.0</v>
      </c>
      <c r="H3188" s="1">
        <v>14.01718846</v>
      </c>
      <c r="I3188" s="1">
        <v>5.15</v>
      </c>
      <c r="J3188" s="1">
        <v>4.438404</v>
      </c>
    </row>
    <row r="3189">
      <c r="A3189" s="1">
        <v>2025.0</v>
      </c>
      <c r="B3189" s="1" t="s">
        <v>342</v>
      </c>
      <c r="C3189" s="1">
        <v>592094.0</v>
      </c>
      <c r="D3189" s="1" t="s">
        <v>539</v>
      </c>
      <c r="E3189" s="1" t="s">
        <v>927</v>
      </c>
      <c r="F3189" s="1" t="s">
        <v>927</v>
      </c>
      <c r="G3189" s="1">
        <v>66.0</v>
      </c>
      <c r="H3189" s="1">
        <v>3.97053407</v>
      </c>
      <c r="I3189" s="1">
        <v>4.17</v>
      </c>
      <c r="J3189" s="1">
        <v>2.52174</v>
      </c>
    </row>
    <row r="3190">
      <c r="A3190" s="1">
        <v>2025.0</v>
      </c>
      <c r="B3190" s="1" t="s">
        <v>264</v>
      </c>
      <c r="C3190" s="1">
        <v>669920.0</v>
      </c>
      <c r="D3190" s="1" t="s">
        <v>532</v>
      </c>
      <c r="E3190" s="1" t="s">
        <v>927</v>
      </c>
      <c r="F3190" s="1" t="s">
        <v>926</v>
      </c>
      <c r="G3190" s="1">
        <v>252.0</v>
      </c>
      <c r="H3190" s="1">
        <v>15.56549521</v>
      </c>
      <c r="I3190" s="1">
        <v>5.17</v>
      </c>
      <c r="J3190" s="1">
        <v>4.417481</v>
      </c>
    </row>
    <row r="3191">
      <c r="A3191" s="1">
        <v>2025.0</v>
      </c>
      <c r="B3191" s="1" t="s">
        <v>264</v>
      </c>
      <c r="C3191" s="1">
        <v>669920.0</v>
      </c>
      <c r="D3191" s="1" t="s">
        <v>540</v>
      </c>
      <c r="E3191" s="1" t="s">
        <v>927</v>
      </c>
      <c r="F3191" s="1" t="s">
        <v>926</v>
      </c>
      <c r="G3191" s="1">
        <v>12.0</v>
      </c>
      <c r="H3191" s="1">
        <v>0.741214058</v>
      </c>
      <c r="I3191" s="1">
        <v>4.58</v>
      </c>
      <c r="J3191" s="1">
        <v>0.370387</v>
      </c>
    </row>
    <row r="3192">
      <c r="A3192" s="1">
        <v>2025.0</v>
      </c>
      <c r="B3192" s="1" t="s">
        <v>264</v>
      </c>
      <c r="C3192" s="1">
        <v>669920.0</v>
      </c>
      <c r="D3192" s="1" t="s">
        <v>537</v>
      </c>
      <c r="E3192" s="1" t="s">
        <v>927</v>
      </c>
      <c r="F3192" s="1" t="s">
        <v>926</v>
      </c>
      <c r="G3192" s="1">
        <v>87.0</v>
      </c>
      <c r="H3192" s="1">
        <v>5.373801917</v>
      </c>
      <c r="I3192" s="1">
        <v>4.1</v>
      </c>
      <c r="J3192" s="1">
        <v>3.469286</v>
      </c>
    </row>
    <row r="3193">
      <c r="A3193" s="1">
        <v>2025.0</v>
      </c>
      <c r="B3193" s="1" t="s">
        <v>264</v>
      </c>
      <c r="C3193" s="1">
        <v>669920.0</v>
      </c>
      <c r="D3193" s="1" t="s">
        <v>536</v>
      </c>
      <c r="E3193" s="1" t="s">
        <v>927</v>
      </c>
      <c r="F3193" s="1" t="s">
        <v>926</v>
      </c>
      <c r="G3193" s="1">
        <v>226.0</v>
      </c>
      <c r="H3193" s="1">
        <v>13.95953142</v>
      </c>
      <c r="I3193" s="1">
        <v>5.14</v>
      </c>
      <c r="J3193" s="1">
        <v>4.435273</v>
      </c>
    </row>
    <row r="3194">
      <c r="A3194" s="1">
        <v>2025.0</v>
      </c>
      <c r="B3194" s="1" t="s">
        <v>264</v>
      </c>
      <c r="C3194" s="1">
        <v>669920.0</v>
      </c>
      <c r="D3194" s="1" t="s">
        <v>533</v>
      </c>
      <c r="E3194" s="1" t="s">
        <v>927</v>
      </c>
      <c r="F3194" s="1" t="s">
        <v>926</v>
      </c>
      <c r="G3194" s="1">
        <v>1.0</v>
      </c>
      <c r="H3194" s="1">
        <v>0.061767838</v>
      </c>
      <c r="I3194" s="1">
        <v>4.36</v>
      </c>
      <c r="J3194" s="1">
        <v>0.037775</v>
      </c>
    </row>
    <row r="3195">
      <c r="A3195" s="1">
        <v>2025.0</v>
      </c>
      <c r="B3195" s="1" t="s">
        <v>264</v>
      </c>
      <c r="C3195" s="1">
        <v>669920.0</v>
      </c>
      <c r="D3195" s="1" t="s">
        <v>539</v>
      </c>
      <c r="E3195" s="1" t="s">
        <v>927</v>
      </c>
      <c r="F3195" s="1" t="s">
        <v>926</v>
      </c>
      <c r="G3195" s="1">
        <v>108.0</v>
      </c>
      <c r="H3195" s="1">
        <v>6.670926518</v>
      </c>
      <c r="I3195" s="1">
        <v>5.19</v>
      </c>
      <c r="J3195" s="1">
        <v>1.838174</v>
      </c>
    </row>
    <row r="3196">
      <c r="A3196" s="1">
        <v>2025.0</v>
      </c>
      <c r="B3196" s="1" t="s">
        <v>264</v>
      </c>
      <c r="C3196" s="1">
        <v>669920.0</v>
      </c>
      <c r="D3196" s="1" t="s">
        <v>532</v>
      </c>
      <c r="E3196" s="1" t="s">
        <v>927</v>
      </c>
      <c r="F3196" s="1" t="s">
        <v>927</v>
      </c>
      <c r="G3196" s="1">
        <v>159.0</v>
      </c>
      <c r="H3196" s="1">
        <v>9.821086262</v>
      </c>
      <c r="I3196" s="1">
        <v>4.85</v>
      </c>
      <c r="J3196" s="1">
        <v>3.772372</v>
      </c>
    </row>
    <row r="3197">
      <c r="A3197" s="1">
        <v>2025.0</v>
      </c>
      <c r="B3197" s="1" t="s">
        <v>264</v>
      </c>
      <c r="C3197" s="1">
        <v>669920.0</v>
      </c>
      <c r="D3197" s="1" t="s">
        <v>540</v>
      </c>
      <c r="E3197" s="1" t="s">
        <v>927</v>
      </c>
      <c r="F3197" s="1" t="s">
        <v>927</v>
      </c>
      <c r="G3197" s="1">
        <v>1.0</v>
      </c>
      <c r="H3197" s="1">
        <v>0.061767838</v>
      </c>
      <c r="I3197" s="1">
        <v>4.23</v>
      </c>
      <c r="J3197" s="1">
        <v>0.028262</v>
      </c>
    </row>
    <row r="3198">
      <c r="A3198" s="1">
        <v>2025.0</v>
      </c>
      <c r="B3198" s="1" t="s">
        <v>264</v>
      </c>
      <c r="C3198" s="1">
        <v>669920.0</v>
      </c>
      <c r="D3198" s="1" t="s">
        <v>537</v>
      </c>
      <c r="E3198" s="1" t="s">
        <v>927</v>
      </c>
      <c r="F3198" s="1" t="s">
        <v>927</v>
      </c>
      <c r="G3198" s="1">
        <v>39.0</v>
      </c>
      <c r="H3198" s="1">
        <v>2.408945687</v>
      </c>
      <c r="I3198" s="1">
        <v>4.0</v>
      </c>
      <c r="J3198" s="1">
        <v>1.632861</v>
      </c>
    </row>
    <row r="3199">
      <c r="A3199" s="1">
        <v>2025.0</v>
      </c>
      <c r="B3199" s="1" t="s">
        <v>264</v>
      </c>
      <c r="C3199" s="1">
        <v>669920.0</v>
      </c>
      <c r="D3199" s="1" t="s">
        <v>536</v>
      </c>
      <c r="E3199" s="1" t="s">
        <v>927</v>
      </c>
      <c r="F3199" s="1" t="s">
        <v>927</v>
      </c>
      <c r="G3199" s="1">
        <v>274.0</v>
      </c>
      <c r="H3199" s="1">
        <v>16.92438765</v>
      </c>
      <c r="I3199" s="1">
        <v>5.24</v>
      </c>
      <c r="J3199" s="1">
        <v>4.694734</v>
      </c>
    </row>
    <row r="3200">
      <c r="A3200" s="1">
        <v>2025.0</v>
      </c>
      <c r="B3200" s="1" t="s">
        <v>264</v>
      </c>
      <c r="C3200" s="1">
        <v>669920.0</v>
      </c>
      <c r="D3200" s="1" t="s">
        <v>533</v>
      </c>
      <c r="E3200" s="1" t="s">
        <v>927</v>
      </c>
      <c r="F3200" s="1" t="s">
        <v>927</v>
      </c>
      <c r="G3200" s="1">
        <v>1.0</v>
      </c>
      <c r="H3200" s="1">
        <v>0.061767838</v>
      </c>
      <c r="I3200" s="1">
        <v>6.03</v>
      </c>
      <c r="J3200" s="1">
        <v>-0.004103</v>
      </c>
    </row>
    <row r="3201">
      <c r="A3201" s="1">
        <v>2025.0</v>
      </c>
      <c r="B3201" s="1" t="s">
        <v>264</v>
      </c>
      <c r="C3201" s="1">
        <v>669920.0</v>
      </c>
      <c r="D3201" s="1" t="s">
        <v>539</v>
      </c>
      <c r="E3201" s="1" t="s">
        <v>927</v>
      </c>
      <c r="F3201" s="1" t="s">
        <v>927</v>
      </c>
      <c r="G3201" s="1">
        <v>92.0</v>
      </c>
      <c r="H3201" s="1">
        <v>5.682641108</v>
      </c>
      <c r="I3201" s="1">
        <v>4.72</v>
      </c>
      <c r="J3201" s="1">
        <v>2.473776</v>
      </c>
    </row>
    <row r="3202">
      <c r="A3202" s="1">
        <v>2025.0</v>
      </c>
      <c r="B3202" s="1" t="s">
        <v>500</v>
      </c>
      <c r="C3202" s="1">
        <v>665871.0</v>
      </c>
      <c r="D3202" s="1" t="s">
        <v>532</v>
      </c>
      <c r="E3202" s="1" t="s">
        <v>927</v>
      </c>
      <c r="F3202" s="1" t="s">
        <v>926</v>
      </c>
      <c r="G3202" s="1">
        <v>23.0</v>
      </c>
      <c r="H3202" s="1">
        <v>1.503533569</v>
      </c>
      <c r="I3202" s="1">
        <v>4.82</v>
      </c>
      <c r="J3202" s="1">
        <v>0.570662</v>
      </c>
    </row>
    <row r="3203">
      <c r="A3203" s="1">
        <v>2025.0</v>
      </c>
      <c r="B3203" s="1" t="s">
        <v>500</v>
      </c>
      <c r="C3203" s="1">
        <v>665871.0</v>
      </c>
      <c r="D3203" s="1" t="s">
        <v>541</v>
      </c>
      <c r="E3203" s="1" t="s">
        <v>927</v>
      </c>
      <c r="F3203" s="1" t="s">
        <v>926</v>
      </c>
      <c r="G3203" s="1">
        <v>32.0</v>
      </c>
      <c r="H3203" s="1">
        <v>2.091872792</v>
      </c>
      <c r="I3203" s="1">
        <v>4.58</v>
      </c>
      <c r="J3203" s="1">
        <v>0.969717</v>
      </c>
    </row>
    <row r="3204">
      <c r="A3204" s="1">
        <v>2025.0</v>
      </c>
      <c r="B3204" s="1" t="s">
        <v>500</v>
      </c>
      <c r="C3204" s="1">
        <v>665871.0</v>
      </c>
      <c r="D3204" s="1" t="s">
        <v>540</v>
      </c>
      <c r="E3204" s="1" t="s">
        <v>927</v>
      </c>
      <c r="F3204" s="1" t="s">
        <v>926</v>
      </c>
      <c r="G3204" s="1">
        <v>67.0</v>
      </c>
      <c r="H3204" s="1">
        <v>4.379858657</v>
      </c>
      <c r="I3204" s="1">
        <v>5.03</v>
      </c>
      <c r="J3204" s="1">
        <v>1.464583</v>
      </c>
    </row>
    <row r="3205">
      <c r="A3205" s="1">
        <v>2025.0</v>
      </c>
      <c r="B3205" s="1" t="s">
        <v>500</v>
      </c>
      <c r="C3205" s="1">
        <v>665871.0</v>
      </c>
      <c r="D3205" s="1" t="s">
        <v>537</v>
      </c>
      <c r="E3205" s="1" t="s">
        <v>927</v>
      </c>
      <c r="F3205" s="1" t="s">
        <v>926</v>
      </c>
      <c r="G3205" s="1">
        <v>60.0</v>
      </c>
      <c r="H3205" s="1">
        <v>3.922261484</v>
      </c>
      <c r="I3205" s="1">
        <v>4.61</v>
      </c>
      <c r="J3205" s="1">
        <v>1.814055</v>
      </c>
    </row>
    <row r="3206">
      <c r="A3206" s="1">
        <v>2025.0</v>
      </c>
      <c r="B3206" s="1" t="s">
        <v>500</v>
      </c>
      <c r="C3206" s="1">
        <v>665871.0</v>
      </c>
      <c r="D3206" s="1" t="s">
        <v>536</v>
      </c>
      <c r="E3206" s="1" t="s">
        <v>927</v>
      </c>
      <c r="F3206" s="1" t="s">
        <v>926</v>
      </c>
      <c r="G3206" s="1">
        <v>66.0</v>
      </c>
      <c r="H3206" s="1">
        <v>4.314487633</v>
      </c>
      <c r="I3206" s="1">
        <v>4.9</v>
      </c>
      <c r="J3206" s="1">
        <v>1.644714</v>
      </c>
    </row>
    <row r="3207">
      <c r="A3207" s="1">
        <v>2025.0</v>
      </c>
      <c r="B3207" s="1" t="s">
        <v>500</v>
      </c>
      <c r="C3207" s="1">
        <v>665871.0</v>
      </c>
      <c r="D3207" s="1" t="s">
        <v>532</v>
      </c>
      <c r="E3207" s="1" t="s">
        <v>927</v>
      </c>
      <c r="F3207" s="1" t="s">
        <v>927</v>
      </c>
      <c r="G3207" s="1">
        <v>1.0</v>
      </c>
      <c r="H3207" s="1">
        <v>0.065371025</v>
      </c>
      <c r="I3207" s="1">
        <v>5.72</v>
      </c>
      <c r="J3207" s="1">
        <v>0.008921</v>
      </c>
    </row>
    <row r="3208">
      <c r="A3208" s="1">
        <v>2025.0</v>
      </c>
      <c r="B3208" s="1" t="s">
        <v>500</v>
      </c>
      <c r="C3208" s="1">
        <v>665871.0</v>
      </c>
      <c r="D3208" s="1" t="s">
        <v>541</v>
      </c>
      <c r="E3208" s="1" t="s">
        <v>927</v>
      </c>
      <c r="F3208" s="1" t="s">
        <v>927</v>
      </c>
      <c r="G3208" s="1">
        <v>4.0</v>
      </c>
      <c r="H3208" s="1">
        <v>0.261484099</v>
      </c>
      <c r="I3208" s="1">
        <v>5.98</v>
      </c>
      <c r="J3208" s="1">
        <v>0.010973</v>
      </c>
    </row>
    <row r="3209">
      <c r="A3209" s="1">
        <v>2025.0</v>
      </c>
      <c r="B3209" s="1" t="s">
        <v>500</v>
      </c>
      <c r="C3209" s="1">
        <v>665871.0</v>
      </c>
      <c r="D3209" s="1" t="s">
        <v>540</v>
      </c>
      <c r="E3209" s="1" t="s">
        <v>927</v>
      </c>
      <c r="F3209" s="1" t="s">
        <v>927</v>
      </c>
      <c r="G3209" s="1">
        <v>54.0</v>
      </c>
      <c r="H3209" s="1">
        <v>3.530035336</v>
      </c>
      <c r="I3209" s="1">
        <v>4.81</v>
      </c>
      <c r="J3209" s="1">
        <v>1.417449</v>
      </c>
    </row>
    <row r="3210">
      <c r="A3210" s="1">
        <v>2025.0</v>
      </c>
      <c r="B3210" s="1" t="s">
        <v>500</v>
      </c>
      <c r="C3210" s="1">
        <v>665871.0</v>
      </c>
      <c r="D3210" s="1" t="s">
        <v>537</v>
      </c>
      <c r="E3210" s="1" t="s">
        <v>927</v>
      </c>
      <c r="F3210" s="1" t="s">
        <v>927</v>
      </c>
      <c r="G3210" s="1">
        <v>19.0</v>
      </c>
      <c r="H3210" s="1">
        <v>1.24204947</v>
      </c>
      <c r="I3210" s="1">
        <v>4.77</v>
      </c>
      <c r="J3210" s="1">
        <v>0.496164</v>
      </c>
    </row>
    <row r="3211">
      <c r="A3211" s="1">
        <v>2025.0</v>
      </c>
      <c r="B3211" s="1" t="s">
        <v>500</v>
      </c>
      <c r="C3211" s="1">
        <v>665871.0</v>
      </c>
      <c r="D3211" s="1" t="s">
        <v>536</v>
      </c>
      <c r="E3211" s="1" t="s">
        <v>927</v>
      </c>
      <c r="F3211" s="1" t="s">
        <v>927</v>
      </c>
      <c r="G3211" s="1">
        <v>160.0</v>
      </c>
      <c r="H3211" s="1">
        <v>10.45936396</v>
      </c>
      <c r="I3211" s="1">
        <v>4.76</v>
      </c>
      <c r="J3211" s="1">
        <v>4.329683</v>
      </c>
    </row>
    <row r="3212">
      <c r="A3212" s="1">
        <v>2025.0</v>
      </c>
      <c r="B3212" s="1" t="s">
        <v>500</v>
      </c>
      <c r="C3212" s="1">
        <v>665871.0</v>
      </c>
      <c r="D3212" s="1" t="s">
        <v>533</v>
      </c>
      <c r="E3212" s="1" t="s">
        <v>927</v>
      </c>
      <c r="F3212" s="1" t="s">
        <v>927</v>
      </c>
      <c r="G3212" s="1">
        <v>10.0</v>
      </c>
      <c r="H3212" s="1">
        <v>0.653710247</v>
      </c>
      <c r="I3212" s="1">
        <v>4.96</v>
      </c>
      <c r="J3212" s="1">
        <v>0.219477</v>
      </c>
    </row>
    <row r="3213">
      <c r="A3213" s="1">
        <v>2025.0</v>
      </c>
      <c r="B3213" s="1" t="s">
        <v>500</v>
      </c>
      <c r="C3213" s="1">
        <v>665871.0</v>
      </c>
      <c r="D3213" s="1" t="s">
        <v>539</v>
      </c>
      <c r="E3213" s="1" t="s">
        <v>927</v>
      </c>
      <c r="F3213" s="1" t="s">
        <v>927</v>
      </c>
      <c r="G3213" s="1">
        <v>70.0</v>
      </c>
      <c r="H3213" s="1">
        <v>4.575971731</v>
      </c>
      <c r="I3213" s="1">
        <v>4.58</v>
      </c>
      <c r="J3213" s="1">
        <v>2.073716</v>
      </c>
    </row>
    <row r="3214">
      <c r="A3214" s="1">
        <v>2025.0</v>
      </c>
      <c r="B3214" s="1" t="s">
        <v>781</v>
      </c>
      <c r="C3214" s="1">
        <v>691594.0</v>
      </c>
      <c r="D3214" s="1" t="s">
        <v>537</v>
      </c>
      <c r="E3214" s="1" t="s">
        <v>927</v>
      </c>
      <c r="F3214" s="1" t="s">
        <v>926</v>
      </c>
      <c r="G3214" s="1">
        <v>71.0</v>
      </c>
      <c r="H3214" s="1">
        <v>3.944444444</v>
      </c>
      <c r="I3214" s="1">
        <v>4.3</v>
      </c>
      <c r="J3214" s="1">
        <v>2.786935</v>
      </c>
    </row>
    <row r="3215">
      <c r="A3215" s="1">
        <v>2025.0</v>
      </c>
      <c r="B3215" s="1" t="s">
        <v>781</v>
      </c>
      <c r="C3215" s="1">
        <v>691594.0</v>
      </c>
      <c r="D3215" s="1" t="s">
        <v>541</v>
      </c>
      <c r="E3215" s="1" t="s">
        <v>927</v>
      </c>
      <c r="F3215" s="1" t="s">
        <v>927</v>
      </c>
      <c r="G3215" s="1">
        <v>1.0</v>
      </c>
      <c r="H3215" s="1">
        <v>0.055555556</v>
      </c>
      <c r="I3215" s="1">
        <v>5.32</v>
      </c>
      <c r="J3215" s="1">
        <v>0.018922</v>
      </c>
    </row>
    <row r="3216">
      <c r="A3216" s="1">
        <v>2025.0</v>
      </c>
      <c r="B3216" s="1" t="s">
        <v>781</v>
      </c>
      <c r="C3216" s="1">
        <v>691594.0</v>
      </c>
      <c r="D3216" s="1" t="s">
        <v>537</v>
      </c>
      <c r="E3216" s="1" t="s">
        <v>927</v>
      </c>
      <c r="F3216" s="1" t="s">
        <v>927</v>
      </c>
      <c r="G3216" s="1">
        <v>96.0</v>
      </c>
      <c r="H3216" s="1">
        <v>5.333333333</v>
      </c>
      <c r="I3216" s="1">
        <v>3.97</v>
      </c>
      <c r="J3216" s="1">
        <v>4.21596</v>
      </c>
    </row>
    <row r="3217">
      <c r="A3217" s="1">
        <v>2025.0</v>
      </c>
      <c r="B3217" s="1" t="s">
        <v>967</v>
      </c>
      <c r="C3217" s="1">
        <v>681151.0</v>
      </c>
      <c r="D3217" s="1" t="s">
        <v>532</v>
      </c>
      <c r="E3217" s="1" t="s">
        <v>927</v>
      </c>
      <c r="F3217" s="1" t="s">
        <v>926</v>
      </c>
      <c r="G3217" s="1">
        <v>6.0</v>
      </c>
      <c r="H3217" s="1">
        <v>0.4</v>
      </c>
      <c r="I3217" s="1">
        <v>5.27</v>
      </c>
      <c r="J3217" s="1">
        <v>0.092097</v>
      </c>
    </row>
    <row r="3218">
      <c r="A3218" s="1">
        <v>2025.0</v>
      </c>
      <c r="B3218" s="1" t="s">
        <v>967</v>
      </c>
      <c r="C3218" s="1">
        <v>681151.0</v>
      </c>
      <c r="D3218" s="1" t="s">
        <v>541</v>
      </c>
      <c r="E3218" s="1" t="s">
        <v>927</v>
      </c>
      <c r="F3218" s="1" t="s">
        <v>926</v>
      </c>
      <c r="G3218" s="1">
        <v>5.0</v>
      </c>
      <c r="H3218" s="1">
        <v>0.333333333</v>
      </c>
      <c r="I3218" s="1">
        <v>4.68</v>
      </c>
      <c r="J3218" s="1">
        <v>0.132974</v>
      </c>
    </row>
    <row r="3219">
      <c r="A3219" s="1">
        <v>2025.0</v>
      </c>
      <c r="B3219" s="1" t="s">
        <v>967</v>
      </c>
      <c r="C3219" s="1">
        <v>681151.0</v>
      </c>
      <c r="D3219" s="1" t="s">
        <v>540</v>
      </c>
      <c r="E3219" s="1" t="s">
        <v>927</v>
      </c>
      <c r="F3219" s="1" t="s">
        <v>926</v>
      </c>
      <c r="G3219" s="1">
        <v>6.0</v>
      </c>
      <c r="H3219" s="1">
        <v>0.4</v>
      </c>
      <c r="I3219" s="1">
        <v>4.48</v>
      </c>
      <c r="J3219" s="1">
        <v>0.198184</v>
      </c>
    </row>
    <row r="3220">
      <c r="A3220" s="1">
        <v>2025.0</v>
      </c>
      <c r="B3220" s="1" t="s">
        <v>967</v>
      </c>
      <c r="C3220" s="1">
        <v>681151.0</v>
      </c>
      <c r="D3220" s="1" t="s">
        <v>537</v>
      </c>
      <c r="E3220" s="1" t="s">
        <v>927</v>
      </c>
      <c r="F3220" s="1" t="s">
        <v>926</v>
      </c>
      <c r="G3220" s="1">
        <v>40.0</v>
      </c>
      <c r="H3220" s="1">
        <v>2.666666667</v>
      </c>
      <c r="I3220" s="1">
        <v>4.72</v>
      </c>
      <c r="J3220" s="1">
        <v>1.134092</v>
      </c>
    </row>
    <row r="3221">
      <c r="A3221" s="1">
        <v>2025.0</v>
      </c>
      <c r="B3221" s="1" t="s">
        <v>967</v>
      </c>
      <c r="C3221" s="1">
        <v>681151.0</v>
      </c>
      <c r="D3221" s="1" t="s">
        <v>536</v>
      </c>
      <c r="E3221" s="1" t="s">
        <v>927</v>
      </c>
      <c r="F3221" s="1" t="s">
        <v>926</v>
      </c>
      <c r="G3221" s="1">
        <v>10.0</v>
      </c>
      <c r="H3221" s="1">
        <v>0.666666667</v>
      </c>
      <c r="I3221" s="1">
        <v>5.48</v>
      </c>
      <c r="J3221" s="1">
        <v>0.129085</v>
      </c>
    </row>
    <row r="3222">
      <c r="A3222" s="1">
        <v>2025.0</v>
      </c>
      <c r="B3222" s="1" t="s">
        <v>967</v>
      </c>
      <c r="C3222" s="1">
        <v>681151.0</v>
      </c>
      <c r="D3222" s="1" t="s">
        <v>539</v>
      </c>
      <c r="E3222" s="1" t="s">
        <v>927</v>
      </c>
      <c r="F3222" s="1" t="s">
        <v>926</v>
      </c>
      <c r="G3222" s="1">
        <v>10.0</v>
      </c>
      <c r="H3222" s="1">
        <v>0.666666667</v>
      </c>
      <c r="I3222" s="1">
        <v>3.74</v>
      </c>
      <c r="J3222" s="1">
        <v>0.467125</v>
      </c>
    </row>
    <row r="3223">
      <c r="A3223" s="1">
        <v>2025.0</v>
      </c>
      <c r="B3223" s="1" t="s">
        <v>967</v>
      </c>
      <c r="C3223" s="1">
        <v>681151.0</v>
      </c>
      <c r="D3223" s="1" t="s">
        <v>540</v>
      </c>
      <c r="E3223" s="1" t="s">
        <v>927</v>
      </c>
      <c r="F3223" s="1" t="s">
        <v>927</v>
      </c>
      <c r="G3223" s="1">
        <v>4.0</v>
      </c>
      <c r="H3223" s="1">
        <v>0.266666667</v>
      </c>
      <c r="I3223" s="1">
        <v>5.43</v>
      </c>
      <c r="J3223" s="1">
        <v>0.046583</v>
      </c>
    </row>
    <row r="3224">
      <c r="A3224" s="1">
        <v>2025.0</v>
      </c>
      <c r="B3224" s="1" t="s">
        <v>967</v>
      </c>
      <c r="C3224" s="1">
        <v>681151.0</v>
      </c>
      <c r="D3224" s="1" t="s">
        <v>537</v>
      </c>
      <c r="E3224" s="1" t="s">
        <v>927</v>
      </c>
      <c r="F3224" s="1" t="s">
        <v>927</v>
      </c>
      <c r="G3224" s="1">
        <v>34.0</v>
      </c>
      <c r="H3224" s="1">
        <v>2.266666667</v>
      </c>
      <c r="I3224" s="1">
        <v>4.47</v>
      </c>
      <c r="J3224" s="1">
        <v>1.079196</v>
      </c>
    </row>
    <row r="3225">
      <c r="A3225" s="1">
        <v>2025.0</v>
      </c>
      <c r="B3225" s="1" t="s">
        <v>967</v>
      </c>
      <c r="C3225" s="1">
        <v>681151.0</v>
      </c>
      <c r="D3225" s="1" t="s">
        <v>536</v>
      </c>
      <c r="E3225" s="1" t="s">
        <v>927</v>
      </c>
      <c r="F3225" s="1" t="s">
        <v>927</v>
      </c>
      <c r="G3225" s="1">
        <v>37.0</v>
      </c>
      <c r="H3225" s="1">
        <v>2.466666667</v>
      </c>
      <c r="I3225" s="1">
        <v>5.66</v>
      </c>
      <c r="J3225" s="1">
        <v>0.323597</v>
      </c>
    </row>
    <row r="3226">
      <c r="A3226" s="1">
        <v>2025.0</v>
      </c>
      <c r="B3226" s="1" t="s">
        <v>967</v>
      </c>
      <c r="C3226" s="1">
        <v>681151.0</v>
      </c>
      <c r="D3226" s="1" t="s">
        <v>539</v>
      </c>
      <c r="E3226" s="1" t="s">
        <v>927</v>
      </c>
      <c r="F3226" s="1" t="s">
        <v>927</v>
      </c>
      <c r="G3226" s="1">
        <v>23.0</v>
      </c>
      <c r="H3226" s="1">
        <v>1.533333333</v>
      </c>
      <c r="I3226" s="1">
        <v>5.23</v>
      </c>
      <c r="J3226" s="1">
        <v>0.374877</v>
      </c>
    </row>
    <row r="3227">
      <c r="A3227" s="1">
        <v>2025.0</v>
      </c>
      <c r="B3227" s="1" t="s">
        <v>968</v>
      </c>
      <c r="C3227" s="1">
        <v>682144.0</v>
      </c>
      <c r="D3227" s="1" t="s">
        <v>537</v>
      </c>
      <c r="E3227" s="1" t="s">
        <v>926</v>
      </c>
      <c r="F3227" s="1" t="s">
        <v>926</v>
      </c>
      <c r="G3227" s="1">
        <v>5.0</v>
      </c>
      <c r="H3227" s="1">
        <v>0.107526882</v>
      </c>
      <c r="I3227" s="1">
        <v>4.29</v>
      </c>
      <c r="J3227" s="1">
        <v>0.178538</v>
      </c>
    </row>
    <row r="3228">
      <c r="A3228" s="1">
        <v>2025.0</v>
      </c>
      <c r="B3228" s="1" t="s">
        <v>968</v>
      </c>
      <c r="C3228" s="1">
        <v>682144.0</v>
      </c>
      <c r="D3228" s="1" t="s">
        <v>536</v>
      </c>
      <c r="E3228" s="1" t="s">
        <v>926</v>
      </c>
      <c r="F3228" s="1" t="s">
        <v>926</v>
      </c>
      <c r="G3228" s="1">
        <v>4.0</v>
      </c>
      <c r="H3228" s="1">
        <v>0.086021505</v>
      </c>
      <c r="I3228" s="1">
        <v>5.39</v>
      </c>
      <c r="J3228" s="1">
        <v>0.044628</v>
      </c>
    </row>
    <row r="3229">
      <c r="A3229" s="1">
        <v>2025.0</v>
      </c>
      <c r="B3229" s="1" t="s">
        <v>968</v>
      </c>
      <c r="C3229" s="1">
        <v>682144.0</v>
      </c>
      <c r="D3229" s="1" t="s">
        <v>533</v>
      </c>
      <c r="E3229" s="1" t="s">
        <v>926</v>
      </c>
      <c r="F3229" s="1" t="s">
        <v>926</v>
      </c>
      <c r="G3229" s="1">
        <v>9.0</v>
      </c>
      <c r="H3229" s="1">
        <v>0.193548387</v>
      </c>
      <c r="I3229" s="1">
        <v>3.5</v>
      </c>
      <c r="J3229" s="1">
        <v>0.463524</v>
      </c>
    </row>
    <row r="3230">
      <c r="A3230" s="1">
        <v>2025.0</v>
      </c>
      <c r="B3230" s="1" t="s">
        <v>968</v>
      </c>
      <c r="C3230" s="1">
        <v>682144.0</v>
      </c>
      <c r="D3230" s="1" t="s">
        <v>537</v>
      </c>
      <c r="E3230" s="1" t="s">
        <v>926</v>
      </c>
      <c r="F3230" s="1" t="s">
        <v>927</v>
      </c>
      <c r="G3230" s="1">
        <v>7.0</v>
      </c>
      <c r="H3230" s="1">
        <v>0.150537634</v>
      </c>
      <c r="I3230" s="1">
        <v>3.72</v>
      </c>
      <c r="J3230" s="1">
        <v>0.335683</v>
      </c>
    </row>
    <row r="3231">
      <c r="A3231" s="1">
        <v>2025.0</v>
      </c>
      <c r="B3231" s="1" t="s">
        <v>968</v>
      </c>
      <c r="C3231" s="1">
        <v>682144.0</v>
      </c>
      <c r="D3231" s="1" t="s">
        <v>538</v>
      </c>
      <c r="E3231" s="1" t="s">
        <v>926</v>
      </c>
      <c r="F3231" s="1" t="s">
        <v>927</v>
      </c>
      <c r="G3231" s="1">
        <v>2.0</v>
      </c>
      <c r="H3231" s="1">
        <v>0.043010753</v>
      </c>
      <c r="I3231" s="1">
        <v>4.71</v>
      </c>
      <c r="J3231" s="1">
        <v>0.057258</v>
      </c>
    </row>
    <row r="3232">
      <c r="A3232" s="1">
        <v>2025.0</v>
      </c>
      <c r="B3232" s="1" t="s">
        <v>968</v>
      </c>
      <c r="C3232" s="1">
        <v>682144.0</v>
      </c>
      <c r="D3232" s="1" t="s">
        <v>533</v>
      </c>
      <c r="E3232" s="1" t="s">
        <v>926</v>
      </c>
      <c r="F3232" s="1" t="s">
        <v>927</v>
      </c>
      <c r="G3232" s="1">
        <v>4.0</v>
      </c>
      <c r="H3232" s="1">
        <v>0.086021505</v>
      </c>
      <c r="I3232" s="1">
        <v>1.87</v>
      </c>
      <c r="J3232" s="1">
        <v>0.340216</v>
      </c>
    </row>
    <row r="3233">
      <c r="A3233" s="1">
        <v>2025.0</v>
      </c>
      <c r="B3233" s="1" t="s">
        <v>854</v>
      </c>
      <c r="C3233" s="1">
        <v>656257.0</v>
      </c>
      <c r="D3233" s="1" t="s">
        <v>540</v>
      </c>
      <c r="E3233" s="1" t="s">
        <v>927</v>
      </c>
      <c r="F3233" s="1" t="s">
        <v>926</v>
      </c>
      <c r="G3233" s="1">
        <v>22.0</v>
      </c>
      <c r="H3233" s="1">
        <v>1.164021164</v>
      </c>
      <c r="I3233" s="1">
        <v>4.83</v>
      </c>
      <c r="J3233" s="1">
        <v>0.579795</v>
      </c>
    </row>
    <row r="3234">
      <c r="A3234" s="1">
        <v>2025.0</v>
      </c>
      <c r="B3234" s="1" t="s">
        <v>854</v>
      </c>
      <c r="C3234" s="1">
        <v>656257.0</v>
      </c>
      <c r="D3234" s="1" t="s">
        <v>537</v>
      </c>
      <c r="E3234" s="1" t="s">
        <v>927</v>
      </c>
      <c r="F3234" s="1" t="s">
        <v>926</v>
      </c>
      <c r="G3234" s="1">
        <v>23.0</v>
      </c>
      <c r="H3234" s="1">
        <v>1.216931217</v>
      </c>
      <c r="I3234" s="1">
        <v>5.27</v>
      </c>
      <c r="J3234" s="1">
        <v>0.389681</v>
      </c>
    </row>
    <row r="3235">
      <c r="A3235" s="1">
        <v>2025.0</v>
      </c>
      <c r="B3235" s="1" t="s">
        <v>854</v>
      </c>
      <c r="C3235" s="1">
        <v>656257.0</v>
      </c>
      <c r="D3235" s="1" t="s">
        <v>533</v>
      </c>
      <c r="E3235" s="1" t="s">
        <v>927</v>
      </c>
      <c r="F3235" s="1" t="s">
        <v>926</v>
      </c>
      <c r="G3235" s="1">
        <v>2.0</v>
      </c>
      <c r="H3235" s="1">
        <v>0.105820106</v>
      </c>
      <c r="I3235" s="1">
        <v>5.13</v>
      </c>
      <c r="J3235" s="1">
        <v>0.047639</v>
      </c>
    </row>
    <row r="3236">
      <c r="A3236" s="1">
        <v>2025.0</v>
      </c>
      <c r="B3236" s="1" t="s">
        <v>854</v>
      </c>
      <c r="C3236" s="1">
        <v>656257.0</v>
      </c>
      <c r="D3236" s="1" t="s">
        <v>539</v>
      </c>
      <c r="E3236" s="1" t="s">
        <v>927</v>
      </c>
      <c r="F3236" s="1" t="s">
        <v>926</v>
      </c>
      <c r="G3236" s="1">
        <v>9.0</v>
      </c>
      <c r="H3236" s="1">
        <v>0.476190476</v>
      </c>
      <c r="I3236" s="1">
        <v>3.44</v>
      </c>
      <c r="J3236" s="1">
        <v>0.46701</v>
      </c>
    </row>
    <row r="3237">
      <c r="A3237" s="1">
        <v>2025.0</v>
      </c>
      <c r="B3237" s="1" t="s">
        <v>854</v>
      </c>
      <c r="C3237" s="1">
        <v>656257.0</v>
      </c>
      <c r="D3237" s="1" t="s">
        <v>537</v>
      </c>
      <c r="E3237" s="1" t="s">
        <v>927</v>
      </c>
      <c r="F3237" s="1" t="s">
        <v>927</v>
      </c>
      <c r="G3237" s="1">
        <v>3.0</v>
      </c>
      <c r="H3237" s="1">
        <v>0.158730159</v>
      </c>
      <c r="I3237" s="1">
        <v>5.31</v>
      </c>
      <c r="J3237" s="1">
        <v>0.051823</v>
      </c>
    </row>
    <row r="3238">
      <c r="A3238" s="1">
        <v>2025.0</v>
      </c>
      <c r="B3238" s="1" t="s">
        <v>854</v>
      </c>
      <c r="C3238" s="1">
        <v>656257.0</v>
      </c>
      <c r="D3238" s="1" t="s">
        <v>533</v>
      </c>
      <c r="E3238" s="1" t="s">
        <v>927</v>
      </c>
      <c r="F3238" s="1" t="s">
        <v>927</v>
      </c>
      <c r="G3238" s="1">
        <v>3.0</v>
      </c>
      <c r="H3238" s="1">
        <v>0.158730159</v>
      </c>
      <c r="I3238" s="1">
        <v>4.65</v>
      </c>
      <c r="J3238" s="1">
        <v>0.100858</v>
      </c>
    </row>
    <row r="3239">
      <c r="A3239" s="1">
        <v>2025.0</v>
      </c>
      <c r="B3239" s="1" t="s">
        <v>854</v>
      </c>
      <c r="C3239" s="1">
        <v>656257.0</v>
      </c>
      <c r="D3239" s="1" t="s">
        <v>539</v>
      </c>
      <c r="E3239" s="1" t="s">
        <v>927</v>
      </c>
      <c r="F3239" s="1" t="s">
        <v>927</v>
      </c>
      <c r="G3239" s="1">
        <v>1.0</v>
      </c>
      <c r="H3239" s="1">
        <v>0.052910053</v>
      </c>
      <c r="I3239" s="1">
        <v>5.13</v>
      </c>
      <c r="J3239" s="1">
        <v>0.016153</v>
      </c>
    </row>
    <row r="3240">
      <c r="A3240" s="1">
        <v>2025.0</v>
      </c>
      <c r="B3240" s="1" t="s">
        <v>311</v>
      </c>
      <c r="C3240" s="1">
        <v>656546.0</v>
      </c>
      <c r="D3240" s="1" t="s">
        <v>537</v>
      </c>
      <c r="E3240" s="1" t="s">
        <v>927</v>
      </c>
      <c r="F3240" s="1" t="s">
        <v>926</v>
      </c>
      <c r="G3240" s="1">
        <v>242.0</v>
      </c>
      <c r="H3240" s="1">
        <v>14.58865248</v>
      </c>
      <c r="I3240" s="1">
        <v>5.11</v>
      </c>
      <c r="J3240" s="1">
        <v>4.898957</v>
      </c>
    </row>
    <row r="3241">
      <c r="A3241" s="1">
        <v>2025.0</v>
      </c>
      <c r="B3241" s="1" t="s">
        <v>311</v>
      </c>
      <c r="C3241" s="1">
        <v>656546.0</v>
      </c>
      <c r="D3241" s="1" t="s">
        <v>538</v>
      </c>
      <c r="E3241" s="1" t="s">
        <v>927</v>
      </c>
      <c r="F3241" s="1" t="s">
        <v>926</v>
      </c>
      <c r="G3241" s="1">
        <v>209.0</v>
      </c>
      <c r="H3241" s="1">
        <v>12.59929078</v>
      </c>
      <c r="I3241" s="1">
        <v>4.66</v>
      </c>
      <c r="J3241" s="1">
        <v>5.930083</v>
      </c>
    </row>
    <row r="3242">
      <c r="A3242" s="1">
        <v>2025.0</v>
      </c>
      <c r="B3242" s="1" t="s">
        <v>311</v>
      </c>
      <c r="C3242" s="1">
        <v>656546.0</v>
      </c>
      <c r="D3242" s="1" t="s">
        <v>536</v>
      </c>
      <c r="E3242" s="1" t="s">
        <v>927</v>
      </c>
      <c r="F3242" s="1" t="s">
        <v>926</v>
      </c>
      <c r="G3242" s="1">
        <v>16.0</v>
      </c>
      <c r="H3242" s="1">
        <v>0.964539007</v>
      </c>
      <c r="I3242" s="1">
        <v>5.57</v>
      </c>
      <c r="J3242" s="1">
        <v>0.168855</v>
      </c>
    </row>
    <row r="3243">
      <c r="A3243" s="1">
        <v>2025.0</v>
      </c>
      <c r="B3243" s="1" t="s">
        <v>311</v>
      </c>
      <c r="C3243" s="1">
        <v>656546.0</v>
      </c>
      <c r="D3243" s="1" t="s">
        <v>533</v>
      </c>
      <c r="E3243" s="1" t="s">
        <v>927</v>
      </c>
      <c r="F3243" s="1" t="s">
        <v>926</v>
      </c>
      <c r="G3243" s="1">
        <v>96.0</v>
      </c>
      <c r="H3243" s="1">
        <v>5.787234043</v>
      </c>
      <c r="I3243" s="1">
        <v>4.67</v>
      </c>
      <c r="J3243" s="1">
        <v>2.68146</v>
      </c>
    </row>
    <row r="3244">
      <c r="A3244" s="1">
        <v>2025.0</v>
      </c>
      <c r="B3244" s="1" t="s">
        <v>311</v>
      </c>
      <c r="C3244" s="1">
        <v>656546.0</v>
      </c>
      <c r="D3244" s="1" t="s">
        <v>537</v>
      </c>
      <c r="E3244" s="1" t="s">
        <v>927</v>
      </c>
      <c r="F3244" s="1" t="s">
        <v>927</v>
      </c>
      <c r="G3244" s="1">
        <v>199.0</v>
      </c>
      <c r="H3244" s="1">
        <v>11.9964539</v>
      </c>
      <c r="I3244" s="1">
        <v>5.14</v>
      </c>
      <c r="J3244" s="1">
        <v>3.820866</v>
      </c>
    </row>
    <row r="3245">
      <c r="A3245" s="1">
        <v>2025.0</v>
      </c>
      <c r="B3245" s="1" t="s">
        <v>311</v>
      </c>
      <c r="C3245" s="1">
        <v>656546.0</v>
      </c>
      <c r="D3245" s="1" t="s">
        <v>538</v>
      </c>
      <c r="E3245" s="1" t="s">
        <v>927</v>
      </c>
      <c r="F3245" s="1" t="s">
        <v>927</v>
      </c>
      <c r="G3245" s="1">
        <v>59.0</v>
      </c>
      <c r="H3245" s="1">
        <v>3.556737589</v>
      </c>
      <c r="I3245" s="1">
        <v>4.91</v>
      </c>
      <c r="J3245" s="1">
        <v>1.355033</v>
      </c>
    </row>
    <row r="3246">
      <c r="A3246" s="1">
        <v>2025.0</v>
      </c>
      <c r="B3246" s="1" t="s">
        <v>311</v>
      </c>
      <c r="C3246" s="1">
        <v>656546.0</v>
      </c>
      <c r="D3246" s="1" t="s">
        <v>536</v>
      </c>
      <c r="E3246" s="1" t="s">
        <v>927</v>
      </c>
      <c r="F3246" s="1" t="s">
        <v>927</v>
      </c>
      <c r="G3246" s="1">
        <v>66.0</v>
      </c>
      <c r="H3246" s="1">
        <v>3.978723404</v>
      </c>
      <c r="I3246" s="1">
        <v>5.45</v>
      </c>
      <c r="J3246" s="1">
        <v>0.868566</v>
      </c>
    </row>
    <row r="3247">
      <c r="A3247" s="1">
        <v>2025.0</v>
      </c>
      <c r="B3247" s="1" t="s">
        <v>311</v>
      </c>
      <c r="C3247" s="1">
        <v>656546.0</v>
      </c>
      <c r="D3247" s="1" t="s">
        <v>533</v>
      </c>
      <c r="E3247" s="1" t="s">
        <v>927</v>
      </c>
      <c r="F3247" s="1" t="s">
        <v>927</v>
      </c>
      <c r="G3247" s="1">
        <v>241.0</v>
      </c>
      <c r="H3247" s="1">
        <v>14.52836879</v>
      </c>
      <c r="I3247" s="1">
        <v>4.93</v>
      </c>
      <c r="J3247" s="1">
        <v>5.619988</v>
      </c>
    </row>
    <row r="3248">
      <c r="A3248" s="1">
        <v>2025.0</v>
      </c>
      <c r="B3248" s="1" t="s">
        <v>336</v>
      </c>
      <c r="C3248" s="1">
        <v>605488.0</v>
      </c>
      <c r="D3248" s="1" t="s">
        <v>532</v>
      </c>
      <c r="E3248" s="1" t="s">
        <v>926</v>
      </c>
      <c r="F3248" s="1" t="s">
        <v>926</v>
      </c>
      <c r="G3248" s="1">
        <v>9.0</v>
      </c>
      <c r="H3248" s="1">
        <v>0.54075896</v>
      </c>
      <c r="I3248" s="1">
        <v>5.77</v>
      </c>
      <c r="J3248" s="1">
        <v>0.046869</v>
      </c>
    </row>
    <row r="3249">
      <c r="A3249" s="1">
        <v>2025.0</v>
      </c>
      <c r="B3249" s="1" t="s">
        <v>336</v>
      </c>
      <c r="C3249" s="1">
        <v>605488.0</v>
      </c>
      <c r="D3249" s="1" t="s">
        <v>540</v>
      </c>
      <c r="E3249" s="1" t="s">
        <v>926</v>
      </c>
      <c r="F3249" s="1" t="s">
        <v>926</v>
      </c>
      <c r="G3249" s="1">
        <v>14.0</v>
      </c>
      <c r="H3249" s="1">
        <v>0.841180604</v>
      </c>
      <c r="I3249" s="1">
        <v>5.17</v>
      </c>
      <c r="J3249" s="1">
        <v>0.263195</v>
      </c>
    </row>
    <row r="3250">
      <c r="A3250" s="1">
        <v>2025.0</v>
      </c>
      <c r="B3250" s="1" t="s">
        <v>336</v>
      </c>
      <c r="C3250" s="1">
        <v>605488.0</v>
      </c>
      <c r="D3250" s="1" t="s">
        <v>537</v>
      </c>
      <c r="E3250" s="1" t="s">
        <v>926</v>
      </c>
      <c r="F3250" s="1" t="s">
        <v>926</v>
      </c>
      <c r="G3250" s="1">
        <v>242.0</v>
      </c>
      <c r="H3250" s="1">
        <v>14.54040759</v>
      </c>
      <c r="I3250" s="1">
        <v>4.95</v>
      </c>
      <c r="J3250" s="1">
        <v>5.603224</v>
      </c>
    </row>
    <row r="3251">
      <c r="A3251" s="1">
        <v>2025.0</v>
      </c>
      <c r="B3251" s="1" t="s">
        <v>336</v>
      </c>
      <c r="C3251" s="1">
        <v>605488.0</v>
      </c>
      <c r="D3251" s="1" t="s">
        <v>533</v>
      </c>
      <c r="E3251" s="1" t="s">
        <v>926</v>
      </c>
      <c r="F3251" s="1" t="s">
        <v>926</v>
      </c>
      <c r="G3251" s="1">
        <v>237.0</v>
      </c>
      <c r="H3251" s="1">
        <v>14.23998595</v>
      </c>
      <c r="I3251" s="1">
        <v>5.26</v>
      </c>
      <c r="J3251" s="1">
        <v>3.987022</v>
      </c>
    </row>
    <row r="3252">
      <c r="A3252" s="1">
        <v>2025.0</v>
      </c>
      <c r="B3252" s="1" t="s">
        <v>336</v>
      </c>
      <c r="C3252" s="1">
        <v>605488.0</v>
      </c>
      <c r="D3252" s="1" t="s">
        <v>539</v>
      </c>
      <c r="E3252" s="1" t="s">
        <v>926</v>
      </c>
      <c r="F3252" s="1" t="s">
        <v>926</v>
      </c>
      <c r="G3252" s="1">
        <v>75.0</v>
      </c>
      <c r="H3252" s="1">
        <v>4.506324666</v>
      </c>
      <c r="I3252" s="1">
        <v>5.14</v>
      </c>
      <c r="J3252" s="1">
        <v>1.386886</v>
      </c>
    </row>
    <row r="3253">
      <c r="A3253" s="1">
        <v>2025.0</v>
      </c>
      <c r="B3253" s="1" t="s">
        <v>336</v>
      </c>
      <c r="C3253" s="1">
        <v>605488.0</v>
      </c>
      <c r="D3253" s="1" t="s">
        <v>532</v>
      </c>
      <c r="E3253" s="1" t="s">
        <v>926</v>
      </c>
      <c r="F3253" s="1" t="s">
        <v>927</v>
      </c>
      <c r="G3253" s="1">
        <v>711.0</v>
      </c>
      <c r="H3253" s="1">
        <v>42.71995784</v>
      </c>
      <c r="I3253" s="1">
        <v>5.19</v>
      </c>
      <c r="J3253" s="1">
        <v>12.377695</v>
      </c>
    </row>
    <row r="3254">
      <c r="A3254" s="1">
        <v>2025.0</v>
      </c>
      <c r="B3254" s="1" t="s">
        <v>336</v>
      </c>
      <c r="C3254" s="1">
        <v>605488.0</v>
      </c>
      <c r="D3254" s="1" t="s">
        <v>540</v>
      </c>
      <c r="E3254" s="1" t="s">
        <v>926</v>
      </c>
      <c r="F3254" s="1" t="s">
        <v>927</v>
      </c>
      <c r="G3254" s="1">
        <v>144.0</v>
      </c>
      <c r="H3254" s="1">
        <v>8.652143359</v>
      </c>
      <c r="I3254" s="1">
        <v>4.54</v>
      </c>
      <c r="J3254" s="1">
        <v>4.556514</v>
      </c>
    </row>
    <row r="3255">
      <c r="A3255" s="1">
        <v>2025.0</v>
      </c>
      <c r="B3255" s="1" t="s">
        <v>336</v>
      </c>
      <c r="C3255" s="1">
        <v>605488.0</v>
      </c>
      <c r="D3255" s="1" t="s">
        <v>537</v>
      </c>
      <c r="E3255" s="1" t="s">
        <v>926</v>
      </c>
      <c r="F3255" s="1" t="s">
        <v>927</v>
      </c>
      <c r="G3255" s="1">
        <v>972.0</v>
      </c>
      <c r="H3255" s="1">
        <v>58.40196767</v>
      </c>
      <c r="I3255" s="1">
        <v>4.64</v>
      </c>
      <c r="J3255" s="1">
        <v>28.860339</v>
      </c>
    </row>
    <row r="3256">
      <c r="A3256" s="1">
        <v>2025.0</v>
      </c>
      <c r="B3256" s="1" t="s">
        <v>336</v>
      </c>
      <c r="C3256" s="1">
        <v>605488.0</v>
      </c>
      <c r="D3256" s="1" t="s">
        <v>533</v>
      </c>
      <c r="E3256" s="1" t="s">
        <v>926</v>
      </c>
      <c r="F3256" s="1" t="s">
        <v>927</v>
      </c>
      <c r="G3256" s="1">
        <v>348.0</v>
      </c>
      <c r="H3256" s="1">
        <v>20.90934645</v>
      </c>
      <c r="I3256" s="1">
        <v>5.22</v>
      </c>
      <c r="J3256" s="1">
        <v>6.26546</v>
      </c>
    </row>
    <row r="3257">
      <c r="A3257" s="1">
        <v>2025.0</v>
      </c>
      <c r="B3257" s="1" t="s">
        <v>336</v>
      </c>
      <c r="C3257" s="1">
        <v>605488.0</v>
      </c>
      <c r="D3257" s="1" t="s">
        <v>539</v>
      </c>
      <c r="E3257" s="1" t="s">
        <v>926</v>
      </c>
      <c r="F3257" s="1" t="s">
        <v>927</v>
      </c>
      <c r="G3257" s="1">
        <v>94.0</v>
      </c>
      <c r="H3257" s="1">
        <v>5.647926915</v>
      </c>
      <c r="I3257" s="1">
        <v>5.23</v>
      </c>
      <c r="J3257" s="1">
        <v>1.6153</v>
      </c>
    </row>
    <row r="3258">
      <c r="A3258" s="1">
        <v>2025.0</v>
      </c>
      <c r="B3258" s="1" t="s">
        <v>94</v>
      </c>
      <c r="C3258" s="1">
        <v>669093.0</v>
      </c>
      <c r="D3258" s="1" t="s">
        <v>537</v>
      </c>
      <c r="E3258" s="1" t="s">
        <v>927</v>
      </c>
      <c r="F3258" s="1" t="s">
        <v>926</v>
      </c>
      <c r="G3258" s="1">
        <v>304.0</v>
      </c>
      <c r="H3258" s="1">
        <v>17.95469256</v>
      </c>
      <c r="I3258" s="1">
        <v>5.3</v>
      </c>
      <c r="J3258" s="1">
        <v>4.713976</v>
      </c>
    </row>
    <row r="3259">
      <c r="A3259" s="1">
        <v>2025.0</v>
      </c>
      <c r="B3259" s="1" t="s">
        <v>94</v>
      </c>
      <c r="C3259" s="1">
        <v>669093.0</v>
      </c>
      <c r="D3259" s="1" t="s">
        <v>538</v>
      </c>
      <c r="E3259" s="1" t="s">
        <v>927</v>
      </c>
      <c r="F3259" s="1" t="s">
        <v>926</v>
      </c>
      <c r="G3259" s="1">
        <v>178.0</v>
      </c>
      <c r="H3259" s="1">
        <v>10.51294498</v>
      </c>
      <c r="I3259" s="1">
        <v>4.52</v>
      </c>
      <c r="J3259" s="1">
        <v>5.579766</v>
      </c>
    </row>
    <row r="3260">
      <c r="A3260" s="1">
        <v>2025.0</v>
      </c>
      <c r="B3260" s="1" t="s">
        <v>94</v>
      </c>
      <c r="C3260" s="1">
        <v>669093.0</v>
      </c>
      <c r="D3260" s="1" t="s">
        <v>533</v>
      </c>
      <c r="E3260" s="1" t="s">
        <v>927</v>
      </c>
      <c r="F3260" s="1" t="s">
        <v>926</v>
      </c>
      <c r="G3260" s="1">
        <v>43.0</v>
      </c>
      <c r="H3260" s="1">
        <v>2.539644013</v>
      </c>
      <c r="I3260" s="1">
        <v>5.6</v>
      </c>
      <c r="J3260" s="1">
        <v>0.385351</v>
      </c>
    </row>
    <row r="3261">
      <c r="A3261" s="1">
        <v>2025.0</v>
      </c>
      <c r="B3261" s="1" t="s">
        <v>94</v>
      </c>
      <c r="C3261" s="1">
        <v>669093.0</v>
      </c>
      <c r="D3261" s="1" t="s">
        <v>537</v>
      </c>
      <c r="E3261" s="1" t="s">
        <v>927</v>
      </c>
      <c r="F3261" s="1" t="s">
        <v>927</v>
      </c>
      <c r="G3261" s="1">
        <v>398.0</v>
      </c>
      <c r="H3261" s="1">
        <v>23.50647249</v>
      </c>
      <c r="I3261" s="1">
        <v>5.66</v>
      </c>
      <c r="J3261" s="1">
        <v>3.372656</v>
      </c>
    </row>
    <row r="3262">
      <c r="A3262" s="1">
        <v>2025.0</v>
      </c>
      <c r="B3262" s="1" t="s">
        <v>94</v>
      </c>
      <c r="C3262" s="1">
        <v>669093.0</v>
      </c>
      <c r="D3262" s="1" t="s">
        <v>538</v>
      </c>
      <c r="E3262" s="1" t="s">
        <v>927</v>
      </c>
      <c r="F3262" s="1" t="s">
        <v>927</v>
      </c>
      <c r="G3262" s="1">
        <v>109.0</v>
      </c>
      <c r="H3262" s="1">
        <v>6.437702265</v>
      </c>
      <c r="I3262" s="1">
        <v>4.49</v>
      </c>
      <c r="J3262" s="1">
        <v>3.394556</v>
      </c>
    </row>
    <row r="3263">
      <c r="A3263" s="1">
        <v>2025.0</v>
      </c>
      <c r="B3263" s="1" t="s">
        <v>94</v>
      </c>
      <c r="C3263" s="1">
        <v>669093.0</v>
      </c>
      <c r="D3263" s="1" t="s">
        <v>533</v>
      </c>
      <c r="E3263" s="1" t="s">
        <v>927</v>
      </c>
      <c r="F3263" s="1" t="s">
        <v>927</v>
      </c>
      <c r="G3263" s="1">
        <v>204.0</v>
      </c>
      <c r="H3263" s="1">
        <v>12.04854369</v>
      </c>
      <c r="I3263" s="1">
        <v>5.26</v>
      </c>
      <c r="J3263" s="1">
        <v>3.429444</v>
      </c>
    </row>
    <row r="3264">
      <c r="A3264" s="1">
        <v>2025.0</v>
      </c>
      <c r="B3264" s="1" t="s">
        <v>620</v>
      </c>
      <c r="C3264" s="1">
        <v>445926.0</v>
      </c>
      <c r="D3264" s="1" t="s">
        <v>532</v>
      </c>
      <c r="E3264" s="1" t="s">
        <v>927</v>
      </c>
      <c r="F3264" s="1" t="s">
        <v>926</v>
      </c>
      <c r="G3264" s="1">
        <v>18.0</v>
      </c>
      <c r="H3264" s="1">
        <v>0.842105263</v>
      </c>
      <c r="I3264" s="1">
        <v>3.11</v>
      </c>
      <c r="J3264" s="1">
        <v>1.073172</v>
      </c>
    </row>
    <row r="3265">
      <c r="A3265" s="1">
        <v>2025.0</v>
      </c>
      <c r="B3265" s="1" t="s">
        <v>620</v>
      </c>
      <c r="C3265" s="1">
        <v>445926.0</v>
      </c>
      <c r="D3265" s="1" t="s">
        <v>541</v>
      </c>
      <c r="E3265" s="1" t="s">
        <v>927</v>
      </c>
      <c r="F3265" s="1" t="s">
        <v>926</v>
      </c>
      <c r="G3265" s="1">
        <v>3.0</v>
      </c>
      <c r="H3265" s="1">
        <v>0.140350877</v>
      </c>
      <c r="I3265" s="1">
        <v>3.61</v>
      </c>
      <c r="J3265" s="1">
        <v>0.145683</v>
      </c>
    </row>
    <row r="3266">
      <c r="A3266" s="1">
        <v>2025.0</v>
      </c>
      <c r="B3266" s="1" t="s">
        <v>620</v>
      </c>
      <c r="C3266" s="1">
        <v>445926.0</v>
      </c>
      <c r="D3266" s="1" t="s">
        <v>540</v>
      </c>
      <c r="E3266" s="1" t="s">
        <v>927</v>
      </c>
      <c r="F3266" s="1" t="s">
        <v>926</v>
      </c>
      <c r="G3266" s="1">
        <v>29.0</v>
      </c>
      <c r="H3266" s="1">
        <v>1.356725146</v>
      </c>
      <c r="I3266" s="1">
        <v>4.9</v>
      </c>
      <c r="J3266" s="1">
        <v>0.744283</v>
      </c>
    </row>
    <row r="3267">
      <c r="A3267" s="1">
        <v>2025.0</v>
      </c>
      <c r="B3267" s="1" t="s">
        <v>620</v>
      </c>
      <c r="C3267" s="1">
        <v>445926.0</v>
      </c>
      <c r="D3267" s="1" t="s">
        <v>536</v>
      </c>
      <c r="E3267" s="1" t="s">
        <v>927</v>
      </c>
      <c r="F3267" s="1" t="s">
        <v>926</v>
      </c>
      <c r="G3267" s="1">
        <v>17.0</v>
      </c>
      <c r="H3267" s="1">
        <v>0.795321637</v>
      </c>
      <c r="I3267" s="1">
        <v>4.4</v>
      </c>
      <c r="J3267" s="1">
        <v>0.58745</v>
      </c>
    </row>
    <row r="3268">
      <c r="A3268" s="1">
        <v>2025.0</v>
      </c>
      <c r="B3268" s="1" t="s">
        <v>620</v>
      </c>
      <c r="C3268" s="1">
        <v>445926.0</v>
      </c>
      <c r="D3268" s="1" t="s">
        <v>533</v>
      </c>
      <c r="E3268" s="1" t="s">
        <v>927</v>
      </c>
      <c r="F3268" s="1" t="s">
        <v>926</v>
      </c>
      <c r="G3268" s="1">
        <v>1.0</v>
      </c>
      <c r="H3268" s="1">
        <v>0.046783626</v>
      </c>
      <c r="I3268" s="1">
        <v>5.9</v>
      </c>
      <c r="J3268" s="1">
        <v>0.006847</v>
      </c>
    </row>
    <row r="3269">
      <c r="A3269" s="1">
        <v>2025.0</v>
      </c>
      <c r="B3269" s="1" t="s">
        <v>620</v>
      </c>
      <c r="C3269" s="1">
        <v>445926.0</v>
      </c>
      <c r="D3269" s="1" t="s">
        <v>532</v>
      </c>
      <c r="E3269" s="1" t="s">
        <v>927</v>
      </c>
      <c r="F3269" s="1" t="s">
        <v>927</v>
      </c>
      <c r="G3269" s="1">
        <v>11.0</v>
      </c>
      <c r="H3269" s="1">
        <v>0.514619883</v>
      </c>
      <c r="I3269" s="1">
        <v>3.67</v>
      </c>
      <c r="J3269" s="1">
        <v>0.533187</v>
      </c>
    </row>
    <row r="3270">
      <c r="A3270" s="1">
        <v>2025.0</v>
      </c>
      <c r="B3270" s="1" t="s">
        <v>620</v>
      </c>
      <c r="C3270" s="1">
        <v>445926.0</v>
      </c>
      <c r="D3270" s="1" t="s">
        <v>541</v>
      </c>
      <c r="E3270" s="1" t="s">
        <v>927</v>
      </c>
      <c r="F3270" s="1" t="s">
        <v>927</v>
      </c>
      <c r="G3270" s="1">
        <v>7.0</v>
      </c>
      <c r="H3270" s="1">
        <v>0.32748538</v>
      </c>
      <c r="I3270" s="1">
        <v>5.73</v>
      </c>
      <c r="J3270" s="1">
        <v>0.052445</v>
      </c>
    </row>
    <row r="3271">
      <c r="A3271" s="1">
        <v>2025.0</v>
      </c>
      <c r="B3271" s="1" t="s">
        <v>620</v>
      </c>
      <c r="C3271" s="1">
        <v>445926.0</v>
      </c>
      <c r="D3271" s="1" t="s">
        <v>540</v>
      </c>
      <c r="E3271" s="1" t="s">
        <v>927</v>
      </c>
      <c r="F3271" s="1" t="s">
        <v>927</v>
      </c>
      <c r="G3271" s="1">
        <v>37.0</v>
      </c>
      <c r="H3271" s="1">
        <v>1.730994152</v>
      </c>
      <c r="I3271" s="1">
        <v>5.17</v>
      </c>
      <c r="J3271" s="1">
        <v>0.670968</v>
      </c>
    </row>
    <row r="3272">
      <c r="A3272" s="1">
        <v>2025.0</v>
      </c>
      <c r="B3272" s="1" t="s">
        <v>620</v>
      </c>
      <c r="C3272" s="1">
        <v>445926.0</v>
      </c>
      <c r="D3272" s="1" t="s">
        <v>536</v>
      </c>
      <c r="E3272" s="1" t="s">
        <v>927</v>
      </c>
      <c r="F3272" s="1" t="s">
        <v>927</v>
      </c>
      <c r="G3272" s="1">
        <v>42.0</v>
      </c>
      <c r="H3272" s="1">
        <v>1.964912281</v>
      </c>
      <c r="I3272" s="1">
        <v>5.01</v>
      </c>
      <c r="J3272" s="1">
        <v>0.947269</v>
      </c>
    </row>
    <row r="3273">
      <c r="A3273" s="1">
        <v>2025.0</v>
      </c>
      <c r="B3273" s="1" t="s">
        <v>620</v>
      </c>
      <c r="C3273" s="1">
        <v>445926.0</v>
      </c>
      <c r="D3273" s="1" t="s">
        <v>533</v>
      </c>
      <c r="E3273" s="1" t="s">
        <v>927</v>
      </c>
      <c r="F3273" s="1" t="s">
        <v>927</v>
      </c>
      <c r="G3273" s="1">
        <v>6.0</v>
      </c>
      <c r="H3273" s="1">
        <v>0.280701754</v>
      </c>
      <c r="I3273" s="1">
        <v>4.86</v>
      </c>
      <c r="J3273" s="77">
        <v>0.149549</v>
      </c>
    </row>
    <row r="3274">
      <c r="A3274" s="1">
        <v>2025.0</v>
      </c>
      <c r="B3274" s="1" t="s">
        <v>783</v>
      </c>
      <c r="C3274" s="1">
        <v>534910.0</v>
      </c>
      <c r="D3274" s="1" t="s">
        <v>541</v>
      </c>
      <c r="E3274" s="1" t="s">
        <v>927</v>
      </c>
      <c r="F3274" s="1" t="s">
        <v>926</v>
      </c>
      <c r="G3274" s="1">
        <v>6.0</v>
      </c>
      <c r="H3274" s="1">
        <v>0.379746835</v>
      </c>
      <c r="I3274" s="1">
        <v>4.54</v>
      </c>
      <c r="J3274" s="1">
        <v>0.192278</v>
      </c>
    </row>
    <row r="3275">
      <c r="A3275" s="1">
        <v>2025.0</v>
      </c>
      <c r="B3275" s="1" t="s">
        <v>783</v>
      </c>
      <c r="C3275" s="1">
        <v>534910.0</v>
      </c>
      <c r="D3275" s="1" t="s">
        <v>536</v>
      </c>
      <c r="E3275" s="1" t="s">
        <v>927</v>
      </c>
      <c r="F3275" s="1" t="s">
        <v>926</v>
      </c>
      <c r="G3275" s="1">
        <v>15.0</v>
      </c>
      <c r="H3275" s="1">
        <v>0.949367089</v>
      </c>
      <c r="I3275" s="1">
        <v>3.42</v>
      </c>
      <c r="J3275" s="1">
        <v>0.817133</v>
      </c>
    </row>
    <row r="3276">
      <c r="A3276" s="1">
        <v>2025.0</v>
      </c>
      <c r="B3276" s="1" t="s">
        <v>783</v>
      </c>
      <c r="C3276" s="1">
        <v>534910.0</v>
      </c>
      <c r="D3276" s="1" t="s">
        <v>533</v>
      </c>
      <c r="E3276" s="1" t="s">
        <v>927</v>
      </c>
      <c r="F3276" s="1" t="s">
        <v>926</v>
      </c>
      <c r="G3276" s="1">
        <v>1.0</v>
      </c>
      <c r="H3276" s="1">
        <v>0.063291139</v>
      </c>
      <c r="I3276" s="1">
        <v>4.91</v>
      </c>
      <c r="J3276" s="1">
        <v>0.026185</v>
      </c>
    </row>
    <row r="3277">
      <c r="A3277" s="1">
        <v>2025.0</v>
      </c>
      <c r="B3277" s="1" t="s">
        <v>783</v>
      </c>
      <c r="C3277" s="1">
        <v>534910.0</v>
      </c>
      <c r="D3277" s="1" t="s">
        <v>539</v>
      </c>
      <c r="E3277" s="1" t="s">
        <v>927</v>
      </c>
      <c r="F3277" s="1" t="s">
        <v>926</v>
      </c>
      <c r="G3277" s="1">
        <v>2.0</v>
      </c>
      <c r="H3277" s="1">
        <v>0.126582278</v>
      </c>
      <c r="I3277" s="1">
        <v>5.16</v>
      </c>
      <c r="J3277" s="1">
        <v>0.040221</v>
      </c>
    </row>
    <row r="3278">
      <c r="A3278" s="1">
        <v>2025.0</v>
      </c>
      <c r="B3278" s="1" t="s">
        <v>783</v>
      </c>
      <c r="C3278" s="1">
        <v>534910.0</v>
      </c>
      <c r="D3278" s="1" t="s">
        <v>541</v>
      </c>
      <c r="E3278" s="1" t="s">
        <v>927</v>
      </c>
      <c r="F3278" s="1" t="s">
        <v>927</v>
      </c>
      <c r="G3278" s="1">
        <v>5.0</v>
      </c>
      <c r="H3278" s="1">
        <v>0.316455696</v>
      </c>
      <c r="I3278" s="1">
        <v>4.61</v>
      </c>
      <c r="J3278" s="1">
        <v>0.145564</v>
      </c>
    </row>
    <row r="3279">
      <c r="A3279" s="1">
        <v>2025.0</v>
      </c>
      <c r="B3279" s="1" t="s">
        <v>783</v>
      </c>
      <c r="C3279" s="1">
        <v>534910.0</v>
      </c>
      <c r="D3279" s="1" t="s">
        <v>536</v>
      </c>
      <c r="E3279" s="1" t="s">
        <v>927</v>
      </c>
      <c r="F3279" s="1" t="s">
        <v>927</v>
      </c>
      <c r="G3279" s="1">
        <v>36.0</v>
      </c>
      <c r="H3279" s="1">
        <v>2.278481013</v>
      </c>
      <c r="I3279" s="1">
        <v>5.51</v>
      </c>
      <c r="J3279" s="1">
        <v>0.423092</v>
      </c>
    </row>
    <row r="3280">
      <c r="A3280" s="1">
        <v>2025.0</v>
      </c>
      <c r="B3280" s="1" t="s">
        <v>783</v>
      </c>
      <c r="C3280" s="1">
        <v>534910.0</v>
      </c>
      <c r="D3280" s="1" t="s">
        <v>533</v>
      </c>
      <c r="E3280" s="1" t="s">
        <v>927</v>
      </c>
      <c r="F3280" s="1" t="s">
        <v>927</v>
      </c>
      <c r="G3280" s="1">
        <v>1.0</v>
      </c>
      <c r="H3280" s="1">
        <v>0.063291139</v>
      </c>
      <c r="I3280" s="1">
        <v>3.72</v>
      </c>
      <c r="J3280" s="1">
        <v>0.050017</v>
      </c>
    </row>
    <row r="3281">
      <c r="A3281" s="1">
        <v>2025.0</v>
      </c>
      <c r="B3281" s="1" t="s">
        <v>783</v>
      </c>
      <c r="C3281" s="1">
        <v>534910.0</v>
      </c>
      <c r="D3281" s="1" t="s">
        <v>539</v>
      </c>
      <c r="E3281" s="1" t="s">
        <v>927</v>
      </c>
      <c r="F3281" s="1" t="s">
        <v>927</v>
      </c>
      <c r="G3281" s="1">
        <v>13.0</v>
      </c>
      <c r="H3281" s="1">
        <v>0.82278481</v>
      </c>
      <c r="I3281" s="1">
        <v>3.94</v>
      </c>
      <c r="J3281" s="1">
        <v>0.561506</v>
      </c>
    </row>
    <row r="3282">
      <c r="A3282" s="1">
        <v>2025.0</v>
      </c>
      <c r="B3282" s="1" t="s">
        <v>569</v>
      </c>
      <c r="C3282" s="1">
        <v>669947.0</v>
      </c>
      <c r="D3282" s="1" t="s">
        <v>537</v>
      </c>
      <c r="E3282" s="1" t="s">
        <v>927</v>
      </c>
      <c r="F3282" s="1" t="s">
        <v>926</v>
      </c>
      <c r="G3282" s="1">
        <v>21.0</v>
      </c>
      <c r="H3282" s="1">
        <v>1.136363636</v>
      </c>
      <c r="I3282" s="1">
        <v>4.38</v>
      </c>
      <c r="J3282" s="1">
        <v>0.693426</v>
      </c>
    </row>
    <row r="3283">
      <c r="A3283" s="1">
        <v>2025.0</v>
      </c>
      <c r="B3283" s="1" t="s">
        <v>569</v>
      </c>
      <c r="C3283" s="1">
        <v>669947.0</v>
      </c>
      <c r="D3283" s="1" t="s">
        <v>538</v>
      </c>
      <c r="E3283" s="1" t="s">
        <v>927</v>
      </c>
      <c r="F3283" s="1" t="s">
        <v>926</v>
      </c>
      <c r="G3283" s="1">
        <v>8.0</v>
      </c>
      <c r="H3283" s="1">
        <v>0.432900433</v>
      </c>
      <c r="I3283" s="1">
        <v>5.14</v>
      </c>
      <c r="J3283" s="1">
        <v>0.141159</v>
      </c>
    </row>
    <row r="3284">
      <c r="A3284" s="1">
        <v>2025.0</v>
      </c>
      <c r="B3284" s="1" t="s">
        <v>569</v>
      </c>
      <c r="C3284" s="1">
        <v>669947.0</v>
      </c>
      <c r="D3284" s="1" t="s">
        <v>533</v>
      </c>
      <c r="E3284" s="1" t="s">
        <v>927</v>
      </c>
      <c r="F3284" s="1" t="s">
        <v>926</v>
      </c>
      <c r="G3284" s="1">
        <v>20.0</v>
      </c>
      <c r="H3284" s="1">
        <v>1.082251082</v>
      </c>
      <c r="I3284" s="1">
        <v>5.52</v>
      </c>
      <c r="J3284" s="1">
        <v>0.198649</v>
      </c>
    </row>
    <row r="3285">
      <c r="A3285" s="1">
        <v>2025.0</v>
      </c>
      <c r="B3285" s="1" t="s">
        <v>569</v>
      </c>
      <c r="C3285" s="1">
        <v>669947.0</v>
      </c>
      <c r="D3285" s="1" t="s">
        <v>539</v>
      </c>
      <c r="E3285" s="1" t="s">
        <v>927</v>
      </c>
      <c r="F3285" s="1" t="s">
        <v>926</v>
      </c>
      <c r="G3285" s="1">
        <v>1.0</v>
      </c>
      <c r="H3285" s="1">
        <v>0.054112554</v>
      </c>
      <c r="I3285" s="1">
        <v>2.92</v>
      </c>
      <c r="J3285" s="1">
        <v>0.060742</v>
      </c>
    </row>
    <row r="3286">
      <c r="A3286" s="1">
        <v>2025.0</v>
      </c>
      <c r="B3286" s="1" t="s">
        <v>569</v>
      </c>
      <c r="C3286" s="1">
        <v>669947.0</v>
      </c>
      <c r="D3286" s="1" t="s">
        <v>537</v>
      </c>
      <c r="E3286" s="1" t="s">
        <v>927</v>
      </c>
      <c r="F3286" s="1" t="s">
        <v>927</v>
      </c>
      <c r="G3286" s="1">
        <v>38.0</v>
      </c>
      <c r="H3286" s="1">
        <v>2.056277056</v>
      </c>
      <c r="I3286" s="1">
        <v>5.03</v>
      </c>
      <c r="J3286" s="1">
        <v>0.752551</v>
      </c>
    </row>
    <row r="3287">
      <c r="A3287" s="1">
        <v>2025.0</v>
      </c>
      <c r="B3287" s="1" t="s">
        <v>569</v>
      </c>
      <c r="C3287" s="1">
        <v>669947.0</v>
      </c>
      <c r="D3287" s="1" t="s">
        <v>533</v>
      </c>
      <c r="E3287" s="1" t="s">
        <v>927</v>
      </c>
      <c r="F3287" s="1" t="s">
        <v>927</v>
      </c>
      <c r="G3287" s="1">
        <v>32.0</v>
      </c>
      <c r="H3287" s="1">
        <v>1.731601732</v>
      </c>
      <c r="I3287" s="1">
        <v>5.39</v>
      </c>
      <c r="J3287" s="1">
        <v>0.421624</v>
      </c>
    </row>
    <row r="3288">
      <c r="A3288" s="1">
        <v>2025.0</v>
      </c>
      <c r="B3288" s="1" t="s">
        <v>569</v>
      </c>
      <c r="C3288" s="1">
        <v>669947.0</v>
      </c>
      <c r="D3288" s="1" t="s">
        <v>539</v>
      </c>
      <c r="E3288" s="1" t="s">
        <v>927</v>
      </c>
      <c r="F3288" s="1" t="s">
        <v>927</v>
      </c>
      <c r="G3288" s="1">
        <v>34.0</v>
      </c>
      <c r="H3288" s="1">
        <v>1.83982684</v>
      </c>
      <c r="I3288" s="1">
        <v>4.73</v>
      </c>
      <c r="J3288" s="1">
        <v>0.825328</v>
      </c>
    </row>
    <row r="3289">
      <c r="A3289" s="1">
        <v>2025.0</v>
      </c>
      <c r="B3289" s="1" t="s">
        <v>661</v>
      </c>
      <c r="C3289" s="1">
        <v>622786.0</v>
      </c>
      <c r="D3289" s="1" t="s">
        <v>532</v>
      </c>
      <c r="E3289" s="1" t="s">
        <v>927</v>
      </c>
      <c r="F3289" s="1" t="s">
        <v>926</v>
      </c>
      <c r="G3289" s="1">
        <v>34.0</v>
      </c>
      <c r="H3289" s="1">
        <v>2.162280702</v>
      </c>
      <c r="I3289" s="1">
        <v>4.39</v>
      </c>
      <c r="J3289" s="1">
        <v>1.143945</v>
      </c>
    </row>
    <row r="3290">
      <c r="A3290" s="1">
        <v>2025.0</v>
      </c>
      <c r="B3290" s="1" t="s">
        <v>661</v>
      </c>
      <c r="C3290" s="1">
        <v>622786.0</v>
      </c>
      <c r="D3290" s="1" t="s">
        <v>537</v>
      </c>
      <c r="E3290" s="1" t="s">
        <v>927</v>
      </c>
      <c r="F3290" s="1" t="s">
        <v>926</v>
      </c>
      <c r="G3290" s="1">
        <v>21.0</v>
      </c>
      <c r="H3290" s="1">
        <v>1.335526316</v>
      </c>
      <c r="I3290" s="1">
        <v>5.03</v>
      </c>
      <c r="J3290" s="1">
        <v>0.44711</v>
      </c>
    </row>
    <row r="3291">
      <c r="A3291" s="1">
        <v>2025.0</v>
      </c>
      <c r="B3291" s="1" t="s">
        <v>661</v>
      </c>
      <c r="C3291" s="1">
        <v>622786.0</v>
      </c>
      <c r="D3291" s="1" t="s">
        <v>536</v>
      </c>
      <c r="E3291" s="1" t="s">
        <v>927</v>
      </c>
      <c r="F3291" s="1" t="s">
        <v>926</v>
      </c>
      <c r="G3291" s="1">
        <v>34.0</v>
      </c>
      <c r="H3291" s="1">
        <v>2.162280702</v>
      </c>
      <c r="I3291" s="1">
        <v>5.25</v>
      </c>
      <c r="J3291" s="1">
        <v>0.575662</v>
      </c>
    </row>
    <row r="3292">
      <c r="A3292" s="1">
        <v>2025.0</v>
      </c>
      <c r="B3292" s="1" t="s">
        <v>661</v>
      </c>
      <c r="C3292" s="1">
        <v>622786.0</v>
      </c>
      <c r="D3292" s="1" t="s">
        <v>533</v>
      </c>
      <c r="E3292" s="1" t="s">
        <v>927</v>
      </c>
      <c r="F3292" s="1" t="s">
        <v>926</v>
      </c>
      <c r="G3292" s="1">
        <v>55.0</v>
      </c>
      <c r="H3292" s="1">
        <v>3.497807018</v>
      </c>
      <c r="I3292" s="1">
        <v>5.22</v>
      </c>
      <c r="J3292" s="1">
        <v>0.953897</v>
      </c>
    </row>
    <row r="3293">
      <c r="A3293" s="1">
        <v>2025.0</v>
      </c>
      <c r="B3293" s="1" t="s">
        <v>661</v>
      </c>
      <c r="C3293" s="1">
        <v>622786.0</v>
      </c>
      <c r="D3293" s="1" t="s">
        <v>532</v>
      </c>
      <c r="E3293" s="1" t="s">
        <v>927</v>
      </c>
      <c r="F3293" s="1" t="s">
        <v>927</v>
      </c>
      <c r="G3293" s="1">
        <v>12.0</v>
      </c>
      <c r="H3293" s="1">
        <v>0.763157895</v>
      </c>
      <c r="I3293" s="1">
        <v>5.18</v>
      </c>
      <c r="J3293" s="1">
        <v>0.21626</v>
      </c>
    </row>
    <row r="3294">
      <c r="A3294" s="1">
        <v>2025.0</v>
      </c>
      <c r="B3294" s="1" t="s">
        <v>661</v>
      </c>
      <c r="C3294" s="1">
        <v>622786.0</v>
      </c>
      <c r="D3294" s="1" t="s">
        <v>537</v>
      </c>
      <c r="E3294" s="1" t="s">
        <v>927</v>
      </c>
      <c r="F3294" s="1" t="s">
        <v>927</v>
      </c>
      <c r="G3294" s="1">
        <v>10.0</v>
      </c>
      <c r="H3294" s="1">
        <v>0.635964912</v>
      </c>
      <c r="I3294" s="1">
        <v>4.68</v>
      </c>
      <c r="J3294" s="1">
        <v>0.268792</v>
      </c>
    </row>
    <row r="3295">
      <c r="A3295" s="1">
        <v>2025.0</v>
      </c>
      <c r="B3295" s="1" t="s">
        <v>661</v>
      </c>
      <c r="C3295" s="1">
        <v>622786.0</v>
      </c>
      <c r="D3295" s="1" t="s">
        <v>536</v>
      </c>
      <c r="E3295" s="1" t="s">
        <v>927</v>
      </c>
      <c r="F3295" s="1" t="s">
        <v>927</v>
      </c>
      <c r="G3295" s="1">
        <v>63.0</v>
      </c>
      <c r="H3295" s="1">
        <v>4.006578947</v>
      </c>
      <c r="I3295" s="1">
        <v>5.56</v>
      </c>
      <c r="J3295" s="1">
        <v>0.648848</v>
      </c>
    </row>
    <row r="3296">
      <c r="A3296" s="1">
        <v>2025.0</v>
      </c>
      <c r="B3296" s="1" t="s">
        <v>661</v>
      </c>
      <c r="C3296" s="1">
        <v>622786.0</v>
      </c>
      <c r="D3296" s="1" t="s">
        <v>533</v>
      </c>
      <c r="E3296" s="1" t="s">
        <v>927</v>
      </c>
      <c r="F3296" s="1" t="s">
        <v>927</v>
      </c>
      <c r="G3296" s="1">
        <v>75.0</v>
      </c>
      <c r="H3296" s="1">
        <v>4.769736842</v>
      </c>
      <c r="I3296" s="1">
        <v>5.26</v>
      </c>
      <c r="J3296" s="1">
        <v>1.219264</v>
      </c>
    </row>
    <row r="3297">
      <c r="A3297" s="1">
        <v>2025.0</v>
      </c>
      <c r="B3297" s="1" t="s">
        <v>130</v>
      </c>
      <c r="C3297" s="1">
        <v>666200.0</v>
      </c>
      <c r="D3297" s="1" t="s">
        <v>532</v>
      </c>
      <c r="E3297" s="1" t="s">
        <v>926</v>
      </c>
      <c r="F3297" s="1" t="s">
        <v>926</v>
      </c>
      <c r="G3297" s="1">
        <v>16.0</v>
      </c>
      <c r="H3297" s="1">
        <v>0.975329129</v>
      </c>
      <c r="I3297" s="1">
        <v>5.33</v>
      </c>
      <c r="J3297" s="1">
        <v>0.171234</v>
      </c>
    </row>
    <row r="3298">
      <c r="A3298" s="1">
        <v>2025.0</v>
      </c>
      <c r="B3298" s="1" t="s">
        <v>130</v>
      </c>
      <c r="C3298" s="1">
        <v>666200.0</v>
      </c>
      <c r="D3298" s="1" t="s">
        <v>537</v>
      </c>
      <c r="E3298" s="1" t="s">
        <v>926</v>
      </c>
      <c r="F3298" s="1" t="s">
        <v>926</v>
      </c>
      <c r="G3298" s="1">
        <v>137.0</v>
      </c>
      <c r="H3298" s="1">
        <v>8.35125567</v>
      </c>
      <c r="I3298" s="1">
        <v>5.28</v>
      </c>
      <c r="J3298" s="1">
        <v>2.191522</v>
      </c>
    </row>
    <row r="3299">
      <c r="A3299" s="1">
        <v>2025.0</v>
      </c>
      <c r="B3299" s="1" t="s">
        <v>130</v>
      </c>
      <c r="C3299" s="1">
        <v>666200.0</v>
      </c>
      <c r="D3299" s="1" t="s">
        <v>536</v>
      </c>
      <c r="E3299" s="1" t="s">
        <v>926</v>
      </c>
      <c r="F3299" s="1" t="s">
        <v>926</v>
      </c>
      <c r="G3299" s="1">
        <v>145.0</v>
      </c>
      <c r="H3299" s="1">
        <v>8.838920235</v>
      </c>
      <c r="I3299" s="1">
        <v>6.06</v>
      </c>
      <c r="J3299" s="1">
        <v>0.131863</v>
      </c>
    </row>
    <row r="3300">
      <c r="A3300" s="1">
        <v>2025.0</v>
      </c>
      <c r="B3300" s="1" t="s">
        <v>130</v>
      </c>
      <c r="C3300" s="1">
        <v>666200.0</v>
      </c>
      <c r="D3300" s="1" t="s">
        <v>533</v>
      </c>
      <c r="E3300" s="1" t="s">
        <v>926</v>
      </c>
      <c r="F3300" s="1" t="s">
        <v>926</v>
      </c>
      <c r="G3300" s="1">
        <v>21.0</v>
      </c>
      <c r="H3300" s="1">
        <v>1.280119482</v>
      </c>
      <c r="I3300" s="1">
        <v>4.48</v>
      </c>
      <c r="J3300" s="1">
        <v>0.681117</v>
      </c>
    </row>
    <row r="3301">
      <c r="A3301" s="1">
        <v>2025.0</v>
      </c>
      <c r="B3301" s="1" t="s">
        <v>130</v>
      </c>
      <c r="C3301" s="1">
        <v>666200.0</v>
      </c>
      <c r="D3301" s="1" t="s">
        <v>539</v>
      </c>
      <c r="E3301" s="1" t="s">
        <v>926</v>
      </c>
      <c r="F3301" s="1" t="s">
        <v>926</v>
      </c>
      <c r="G3301" s="1">
        <v>336.0</v>
      </c>
      <c r="H3301" s="1">
        <v>20.48191172</v>
      </c>
      <c r="I3301" s="1">
        <v>5.27</v>
      </c>
      <c r="J3301" s="1">
        <v>5.162444</v>
      </c>
    </row>
    <row r="3302">
      <c r="A3302" s="1">
        <v>2025.0</v>
      </c>
      <c r="B3302" s="1" t="s">
        <v>130</v>
      </c>
      <c r="C3302" s="1">
        <v>666200.0</v>
      </c>
      <c r="D3302" s="1" t="s">
        <v>532</v>
      </c>
      <c r="E3302" s="1" t="s">
        <v>926</v>
      </c>
      <c r="F3302" s="1" t="s">
        <v>927</v>
      </c>
      <c r="G3302" s="1">
        <v>505.0</v>
      </c>
      <c r="H3302" s="1">
        <v>30.78382564</v>
      </c>
      <c r="I3302" s="1">
        <v>5.27</v>
      </c>
      <c r="J3302" s="1">
        <v>8.191929</v>
      </c>
    </row>
    <row r="3303">
      <c r="A3303" s="1">
        <v>2025.0</v>
      </c>
      <c r="B3303" s="1" t="s">
        <v>130</v>
      </c>
      <c r="C3303" s="1">
        <v>666200.0</v>
      </c>
      <c r="D3303" s="1" t="s">
        <v>537</v>
      </c>
      <c r="E3303" s="1" t="s">
        <v>926</v>
      </c>
      <c r="F3303" s="1" t="s">
        <v>927</v>
      </c>
      <c r="G3303" s="1">
        <v>891.0</v>
      </c>
      <c r="H3303" s="1">
        <v>54.31364089</v>
      </c>
      <c r="I3303" s="1">
        <v>4.88</v>
      </c>
      <c r="J3303" s="1">
        <v>21.88215</v>
      </c>
    </row>
    <row r="3304">
      <c r="A3304" s="1">
        <v>2025.0</v>
      </c>
      <c r="B3304" s="1" t="s">
        <v>130</v>
      </c>
      <c r="C3304" s="1">
        <v>666200.0</v>
      </c>
      <c r="D3304" s="1" t="s">
        <v>536</v>
      </c>
      <c r="E3304" s="1" t="s">
        <v>926</v>
      </c>
      <c r="F3304" s="1" t="s">
        <v>927</v>
      </c>
      <c r="G3304" s="1">
        <v>155.0</v>
      </c>
      <c r="H3304" s="1">
        <v>9.44850094</v>
      </c>
      <c r="I3304" s="1">
        <v>5.05</v>
      </c>
      <c r="J3304" s="1">
        <v>3.342139</v>
      </c>
    </row>
    <row r="3305">
      <c r="A3305" s="1">
        <v>2025.0</v>
      </c>
      <c r="B3305" s="1" t="s">
        <v>130</v>
      </c>
      <c r="C3305" s="1">
        <v>666200.0</v>
      </c>
      <c r="D3305" s="1" t="s">
        <v>533</v>
      </c>
      <c r="E3305" s="1" t="s">
        <v>926</v>
      </c>
      <c r="F3305" s="1" t="s">
        <v>927</v>
      </c>
      <c r="G3305" s="1">
        <v>218.0</v>
      </c>
      <c r="H3305" s="1">
        <v>13.28885939</v>
      </c>
      <c r="I3305" s="1">
        <v>4.87</v>
      </c>
      <c r="J3305" s="1">
        <v>5.079924</v>
      </c>
    </row>
    <row r="3306">
      <c r="A3306" s="1">
        <v>2025.0</v>
      </c>
      <c r="B3306" s="1" t="s">
        <v>130</v>
      </c>
      <c r="C3306" s="1">
        <v>666200.0</v>
      </c>
      <c r="D3306" s="1" t="s">
        <v>539</v>
      </c>
      <c r="E3306" s="1" t="s">
        <v>926</v>
      </c>
      <c r="F3306" s="1" t="s">
        <v>927</v>
      </c>
      <c r="G3306" s="1">
        <v>589.0</v>
      </c>
      <c r="H3306" s="1">
        <v>35.90430357</v>
      </c>
      <c r="I3306" s="1">
        <v>5.31</v>
      </c>
      <c r="J3306" s="1">
        <v>8.849102</v>
      </c>
    </row>
    <row r="3307">
      <c r="A3307" s="1">
        <v>2025.0</v>
      </c>
      <c r="B3307" s="1" t="s">
        <v>122</v>
      </c>
      <c r="C3307" s="1">
        <v>661395.0</v>
      </c>
      <c r="D3307" s="1" t="s">
        <v>541</v>
      </c>
      <c r="E3307" s="1" t="s">
        <v>927</v>
      </c>
      <c r="F3307" s="1" t="s">
        <v>926</v>
      </c>
      <c r="G3307" s="1">
        <v>116.0</v>
      </c>
      <c r="H3307" s="1">
        <v>7.567567568</v>
      </c>
      <c r="I3307" s="1">
        <v>4.59</v>
      </c>
      <c r="J3307" s="1">
        <v>3.405886</v>
      </c>
    </row>
    <row r="3308">
      <c r="A3308" s="1">
        <v>2025.0</v>
      </c>
      <c r="B3308" s="1" t="s">
        <v>122</v>
      </c>
      <c r="C3308" s="1">
        <v>661395.0</v>
      </c>
      <c r="D3308" s="1" t="s">
        <v>537</v>
      </c>
      <c r="E3308" s="1" t="s">
        <v>927</v>
      </c>
      <c r="F3308" s="1" t="s">
        <v>926</v>
      </c>
      <c r="G3308" s="1">
        <v>250.0</v>
      </c>
      <c r="H3308" s="1">
        <v>16.30941286</v>
      </c>
      <c r="I3308" s="1">
        <v>5.01</v>
      </c>
      <c r="J3308" s="1">
        <v>5.417827</v>
      </c>
    </row>
    <row r="3309">
      <c r="A3309" s="1">
        <v>2025.0</v>
      </c>
      <c r="B3309" s="1" t="s">
        <v>122</v>
      </c>
      <c r="C3309" s="1">
        <v>661395.0</v>
      </c>
      <c r="D3309" s="1" t="s">
        <v>538</v>
      </c>
      <c r="E3309" s="1" t="s">
        <v>927</v>
      </c>
      <c r="F3309" s="1" t="s">
        <v>926</v>
      </c>
      <c r="G3309" s="1">
        <v>220.0</v>
      </c>
      <c r="H3309" s="1">
        <v>14.35228332</v>
      </c>
      <c r="I3309" s="1">
        <v>5.4</v>
      </c>
      <c r="J3309" s="1">
        <v>3.085076</v>
      </c>
    </row>
    <row r="3310">
      <c r="A3310" s="1">
        <v>2025.0</v>
      </c>
      <c r="B3310" s="1" t="s">
        <v>122</v>
      </c>
      <c r="C3310" s="1">
        <v>661395.0</v>
      </c>
      <c r="D3310" s="1" t="s">
        <v>539</v>
      </c>
      <c r="E3310" s="1" t="s">
        <v>927</v>
      </c>
      <c r="F3310" s="1" t="s">
        <v>926</v>
      </c>
      <c r="G3310" s="1">
        <v>3.0</v>
      </c>
      <c r="H3310" s="1">
        <v>0.195712954</v>
      </c>
      <c r="I3310" s="1">
        <v>-0.16</v>
      </c>
      <c r="J3310" s="1">
        <v>0.359292</v>
      </c>
    </row>
    <row r="3311">
      <c r="A3311" s="1">
        <v>2025.0</v>
      </c>
      <c r="B3311" s="1" t="s">
        <v>122</v>
      </c>
      <c r="C3311" s="1">
        <v>661395.0</v>
      </c>
      <c r="D3311" s="1" t="s">
        <v>541</v>
      </c>
      <c r="E3311" s="1" t="s">
        <v>927</v>
      </c>
      <c r="F3311" s="1" t="s">
        <v>927</v>
      </c>
      <c r="G3311" s="1">
        <v>90.0</v>
      </c>
      <c r="H3311" s="1">
        <v>5.87138863</v>
      </c>
      <c r="I3311" s="1">
        <v>4.68</v>
      </c>
      <c r="J3311" s="1">
        <v>2.464861</v>
      </c>
    </row>
    <row r="3312">
      <c r="A3312" s="1">
        <v>2025.0</v>
      </c>
      <c r="B3312" s="1" t="s">
        <v>122</v>
      </c>
      <c r="C3312" s="1">
        <v>661395.0</v>
      </c>
      <c r="D3312" s="1" t="s">
        <v>537</v>
      </c>
      <c r="E3312" s="1" t="s">
        <v>927</v>
      </c>
      <c r="F3312" s="1" t="s">
        <v>927</v>
      </c>
      <c r="G3312" s="1">
        <v>126.0</v>
      </c>
      <c r="H3312" s="1">
        <v>8.219944082</v>
      </c>
      <c r="I3312" s="1">
        <v>5.16</v>
      </c>
      <c r="J3312" s="1">
        <v>2.370029</v>
      </c>
    </row>
    <row r="3313">
      <c r="A3313" s="1">
        <v>2025.0</v>
      </c>
      <c r="B3313" s="1" t="s">
        <v>122</v>
      </c>
      <c r="C3313" s="1">
        <v>661395.0</v>
      </c>
      <c r="D3313" s="1" t="s">
        <v>538</v>
      </c>
      <c r="E3313" s="1" t="s">
        <v>927</v>
      </c>
      <c r="F3313" s="1" t="s">
        <v>927</v>
      </c>
      <c r="G3313" s="1">
        <v>209.0</v>
      </c>
      <c r="H3313" s="1">
        <v>13.63466915</v>
      </c>
      <c r="I3313" s="1">
        <v>5.65</v>
      </c>
      <c r="J3313" s="1">
        <v>1.934858</v>
      </c>
    </row>
    <row r="3314">
      <c r="A3314" s="1">
        <v>2025.0</v>
      </c>
      <c r="B3314" s="1" t="s">
        <v>122</v>
      </c>
      <c r="C3314" s="1">
        <v>661395.0</v>
      </c>
      <c r="D3314" s="1" t="s">
        <v>539</v>
      </c>
      <c r="E3314" s="1" t="s">
        <v>927</v>
      </c>
      <c r="F3314" s="1" t="s">
        <v>927</v>
      </c>
      <c r="G3314" s="1">
        <v>59.0</v>
      </c>
      <c r="H3314" s="1">
        <v>3.849021435</v>
      </c>
      <c r="I3314" s="1">
        <v>4.35</v>
      </c>
      <c r="J3314" s="1">
        <v>2.018452</v>
      </c>
    </row>
    <row r="3315">
      <c r="A3315" s="1">
        <v>2025.0</v>
      </c>
      <c r="B3315" s="1" t="s">
        <v>755</v>
      </c>
      <c r="C3315" s="1">
        <v>646242.0</v>
      </c>
      <c r="D3315" s="1" t="s">
        <v>537</v>
      </c>
      <c r="E3315" s="1" t="s">
        <v>926</v>
      </c>
      <c r="F3315" s="1" t="s">
        <v>926</v>
      </c>
      <c r="G3315" s="1">
        <v>1.0</v>
      </c>
      <c r="H3315" s="1">
        <v>0.051282051</v>
      </c>
      <c r="I3315" s="1">
        <v>3.99</v>
      </c>
      <c r="J3315" s="1">
        <v>0.044715</v>
      </c>
    </row>
    <row r="3316">
      <c r="A3316" s="1">
        <v>2025.0</v>
      </c>
      <c r="B3316" s="1" t="s">
        <v>755</v>
      </c>
      <c r="C3316" s="1">
        <v>646242.0</v>
      </c>
      <c r="D3316" s="1" t="s">
        <v>536</v>
      </c>
      <c r="E3316" s="1" t="s">
        <v>926</v>
      </c>
      <c r="F3316" s="1" t="s">
        <v>926</v>
      </c>
      <c r="G3316" s="1">
        <v>1.0</v>
      </c>
      <c r="H3316" s="1">
        <v>0.051282051</v>
      </c>
      <c r="I3316" s="1">
        <v>3.69</v>
      </c>
      <c r="J3316" s="1">
        <v>0.048182</v>
      </c>
    </row>
    <row r="3317">
      <c r="A3317" s="1">
        <v>2025.0</v>
      </c>
      <c r="B3317" s="1" t="s">
        <v>755</v>
      </c>
      <c r="C3317" s="1">
        <v>646242.0</v>
      </c>
      <c r="D3317" s="1" t="s">
        <v>533</v>
      </c>
      <c r="E3317" s="1" t="s">
        <v>926</v>
      </c>
      <c r="F3317" s="1" t="s">
        <v>926</v>
      </c>
      <c r="G3317" s="1">
        <v>6.0</v>
      </c>
      <c r="H3317" s="1">
        <v>0.307692308</v>
      </c>
      <c r="I3317" s="1">
        <v>4.85</v>
      </c>
      <c r="J3317" s="1">
        <v>0.142076</v>
      </c>
    </row>
    <row r="3318">
      <c r="A3318" s="1">
        <v>2025.0</v>
      </c>
      <c r="B3318" s="1" t="s">
        <v>755</v>
      </c>
      <c r="C3318" s="1">
        <v>646242.0</v>
      </c>
      <c r="D3318" s="1" t="s">
        <v>532</v>
      </c>
      <c r="E3318" s="1" t="s">
        <v>926</v>
      </c>
      <c r="F3318" s="1" t="s">
        <v>927</v>
      </c>
      <c r="G3318" s="1">
        <v>5.0</v>
      </c>
      <c r="H3318" s="1">
        <v>0.256410256</v>
      </c>
      <c r="I3318" s="1">
        <v>3.74</v>
      </c>
      <c r="J3318" s="1">
        <v>0.232559</v>
      </c>
    </row>
    <row r="3319">
      <c r="A3319" s="1">
        <v>2025.0</v>
      </c>
      <c r="B3319" s="1" t="s">
        <v>755</v>
      </c>
      <c r="C3319" s="1">
        <v>646242.0</v>
      </c>
      <c r="D3319" s="1" t="s">
        <v>541</v>
      </c>
      <c r="E3319" s="1" t="s">
        <v>926</v>
      </c>
      <c r="F3319" s="1" t="s">
        <v>927</v>
      </c>
      <c r="G3319" s="1">
        <v>3.0</v>
      </c>
      <c r="H3319" s="1">
        <v>0.153846154</v>
      </c>
      <c r="I3319" s="1">
        <v>5.93</v>
      </c>
      <c r="J3319" s="1">
        <v>0.007613</v>
      </c>
    </row>
    <row r="3320">
      <c r="A3320" s="1">
        <v>2025.0</v>
      </c>
      <c r="B3320" s="1" t="s">
        <v>755</v>
      </c>
      <c r="C3320" s="1">
        <v>646242.0</v>
      </c>
      <c r="D3320" s="1" t="s">
        <v>537</v>
      </c>
      <c r="E3320" s="1" t="s">
        <v>926</v>
      </c>
      <c r="F3320" s="1" t="s">
        <v>927</v>
      </c>
      <c r="G3320" s="1">
        <v>2.0</v>
      </c>
      <c r="H3320" s="1">
        <v>0.102564103</v>
      </c>
      <c r="I3320" s="1">
        <v>1.06</v>
      </c>
      <c r="J3320" s="1">
        <v>0.197893</v>
      </c>
    </row>
    <row r="3321">
      <c r="A3321" s="1">
        <v>2025.0</v>
      </c>
      <c r="B3321" s="1" t="s">
        <v>755</v>
      </c>
      <c r="C3321" s="1">
        <v>646242.0</v>
      </c>
      <c r="D3321" s="1" t="s">
        <v>536</v>
      </c>
      <c r="E3321" s="1" t="s">
        <v>926</v>
      </c>
      <c r="F3321" s="1" t="s">
        <v>927</v>
      </c>
      <c r="G3321" s="1">
        <v>2.0</v>
      </c>
      <c r="H3321" s="1">
        <v>0.102564103</v>
      </c>
      <c r="I3321" s="1">
        <v>6.51</v>
      </c>
      <c r="J3321" s="1">
        <v>-0.013418</v>
      </c>
    </row>
    <row r="3322">
      <c r="A3322" s="1">
        <v>2025.0</v>
      </c>
      <c r="B3322" s="1" t="s">
        <v>755</v>
      </c>
      <c r="C3322" s="1">
        <v>646242.0</v>
      </c>
      <c r="D3322" s="1" t="s">
        <v>533</v>
      </c>
      <c r="E3322" s="1" t="s">
        <v>926</v>
      </c>
      <c r="F3322" s="1" t="s">
        <v>927</v>
      </c>
      <c r="G3322" s="1">
        <v>6.0</v>
      </c>
      <c r="H3322" s="1">
        <v>0.307692308</v>
      </c>
      <c r="I3322" s="1">
        <v>5.52</v>
      </c>
      <c r="J3322" s="1">
        <v>0.064813</v>
      </c>
    </row>
    <row r="3323">
      <c r="A3323" s="1">
        <v>2025.0</v>
      </c>
      <c r="B3323" s="1" t="s">
        <v>768</v>
      </c>
      <c r="C3323" s="1">
        <v>640902.0</v>
      </c>
      <c r="D3323" s="1" t="s">
        <v>532</v>
      </c>
      <c r="E3323" s="1" t="s">
        <v>927</v>
      </c>
      <c r="F3323" s="1" t="s">
        <v>926</v>
      </c>
      <c r="G3323" s="1">
        <v>2.0</v>
      </c>
      <c r="H3323" s="1">
        <v>0.09375</v>
      </c>
      <c r="I3323" s="1">
        <v>6.12</v>
      </c>
      <c r="J3323" s="1">
        <v>-0.001101</v>
      </c>
    </row>
    <row r="3324">
      <c r="A3324" s="1">
        <v>2025.0</v>
      </c>
      <c r="B3324" s="1" t="s">
        <v>768</v>
      </c>
      <c r="C3324" s="1">
        <v>640902.0</v>
      </c>
      <c r="D3324" s="1" t="s">
        <v>537</v>
      </c>
      <c r="E3324" s="1" t="s">
        <v>927</v>
      </c>
      <c r="F3324" s="1" t="s">
        <v>926</v>
      </c>
      <c r="G3324" s="1">
        <v>29.0</v>
      </c>
      <c r="H3324" s="1">
        <v>1.359375</v>
      </c>
      <c r="I3324" s="1">
        <v>4.25</v>
      </c>
      <c r="J3324" s="1">
        <v>1.093886</v>
      </c>
    </row>
    <row r="3325">
      <c r="A3325" s="1">
        <v>2025.0</v>
      </c>
      <c r="B3325" s="1" t="s">
        <v>768</v>
      </c>
      <c r="C3325" s="1">
        <v>640902.0</v>
      </c>
      <c r="D3325" s="1" t="s">
        <v>533</v>
      </c>
      <c r="E3325" s="1" t="s">
        <v>927</v>
      </c>
      <c r="F3325" s="1" t="s">
        <v>926</v>
      </c>
      <c r="G3325" s="1">
        <v>2.0</v>
      </c>
      <c r="H3325" s="1">
        <v>0.09375</v>
      </c>
      <c r="I3325" s="1">
        <v>5.39</v>
      </c>
      <c r="J3325" s="1">
        <v>0.030509</v>
      </c>
    </row>
    <row r="3326">
      <c r="A3326" s="1">
        <v>2025.0</v>
      </c>
      <c r="B3326" s="1" t="s">
        <v>768</v>
      </c>
      <c r="C3326" s="1">
        <v>640902.0</v>
      </c>
      <c r="D3326" s="1" t="s">
        <v>532</v>
      </c>
      <c r="E3326" s="1" t="s">
        <v>927</v>
      </c>
      <c r="F3326" s="1" t="s">
        <v>927</v>
      </c>
      <c r="G3326" s="1">
        <v>8.0</v>
      </c>
      <c r="H3326" s="1">
        <v>0.375</v>
      </c>
      <c r="I3326" s="1">
        <v>4.87</v>
      </c>
      <c r="J3326" s="1">
        <v>0.189709</v>
      </c>
    </row>
    <row r="3327">
      <c r="A3327" s="1">
        <v>2025.0</v>
      </c>
      <c r="B3327" s="1" t="s">
        <v>768</v>
      </c>
      <c r="C3327" s="1">
        <v>640902.0</v>
      </c>
      <c r="D3327" s="1" t="s">
        <v>541</v>
      </c>
      <c r="E3327" s="1" t="s">
        <v>927</v>
      </c>
      <c r="F3327" s="1" t="s">
        <v>927</v>
      </c>
      <c r="G3327" s="1">
        <v>1.0</v>
      </c>
      <c r="H3327" s="1">
        <v>0.046875</v>
      </c>
      <c r="I3327" s="1">
        <v>4.15</v>
      </c>
      <c r="J3327" s="1">
        <v>0.03601</v>
      </c>
    </row>
    <row r="3328">
      <c r="A3328" s="1">
        <v>2025.0</v>
      </c>
      <c r="B3328" s="1" t="s">
        <v>768</v>
      </c>
      <c r="C3328" s="1">
        <v>640902.0</v>
      </c>
      <c r="D3328" s="1" t="s">
        <v>537</v>
      </c>
      <c r="E3328" s="1" t="s">
        <v>927</v>
      </c>
      <c r="F3328" s="1" t="s">
        <v>927</v>
      </c>
      <c r="G3328" s="1">
        <v>21.0</v>
      </c>
      <c r="H3328" s="1">
        <v>0.984375</v>
      </c>
      <c r="I3328" s="1">
        <v>3.6</v>
      </c>
      <c r="J3328" s="1">
        <v>1.067791</v>
      </c>
    </row>
    <row r="3329">
      <c r="A3329" s="1">
        <v>2025.0</v>
      </c>
      <c r="B3329" s="1" t="s">
        <v>768</v>
      </c>
      <c r="C3329" s="1">
        <v>640902.0</v>
      </c>
      <c r="D3329" s="1" t="s">
        <v>533</v>
      </c>
      <c r="E3329" s="1" t="s">
        <v>927</v>
      </c>
      <c r="F3329" s="1" t="s">
        <v>927</v>
      </c>
      <c r="G3329" s="1">
        <v>1.0</v>
      </c>
      <c r="H3329" s="1">
        <v>0.046875</v>
      </c>
      <c r="I3329" s="1">
        <v>4.91</v>
      </c>
      <c r="J3329" s="1">
        <v>0.024303</v>
      </c>
    </row>
    <row r="3330">
      <c r="A3330" s="1">
        <v>2025.0</v>
      </c>
      <c r="B3330" s="1" t="s">
        <v>451</v>
      </c>
      <c r="C3330" s="1">
        <v>623474.0</v>
      </c>
      <c r="D3330" s="1" t="s">
        <v>532</v>
      </c>
      <c r="E3330" s="1" t="s">
        <v>927</v>
      </c>
      <c r="F3330" s="1" t="s">
        <v>926</v>
      </c>
      <c r="G3330" s="1">
        <v>70.0</v>
      </c>
      <c r="H3330" s="1">
        <v>4.550182007</v>
      </c>
      <c r="I3330" s="1">
        <v>4.46</v>
      </c>
      <c r="J3330" s="1">
        <v>2.375468</v>
      </c>
    </row>
    <row r="3331">
      <c r="A3331" s="1">
        <v>2025.0</v>
      </c>
      <c r="B3331" s="1" t="s">
        <v>451</v>
      </c>
      <c r="C3331" s="1">
        <v>623474.0</v>
      </c>
      <c r="D3331" s="1" t="s">
        <v>541</v>
      </c>
      <c r="E3331" s="1" t="s">
        <v>927</v>
      </c>
      <c r="F3331" s="1" t="s">
        <v>926</v>
      </c>
      <c r="G3331" s="1">
        <v>179.0</v>
      </c>
      <c r="H3331" s="1">
        <v>11.63546542</v>
      </c>
      <c r="I3331" s="1">
        <v>5.0</v>
      </c>
      <c r="J3331" s="1">
        <v>3.901291</v>
      </c>
    </row>
    <row r="3332">
      <c r="A3332" s="1">
        <v>2025.0</v>
      </c>
      <c r="B3332" s="1" t="s">
        <v>451</v>
      </c>
      <c r="C3332" s="1">
        <v>623474.0</v>
      </c>
      <c r="D3332" s="1" t="s">
        <v>537</v>
      </c>
      <c r="E3332" s="1" t="s">
        <v>927</v>
      </c>
      <c r="F3332" s="1" t="s">
        <v>926</v>
      </c>
      <c r="G3332" s="1">
        <v>63.0</v>
      </c>
      <c r="H3332" s="1">
        <v>4.095163807</v>
      </c>
      <c r="I3332" s="1">
        <v>3.45</v>
      </c>
      <c r="J3332" s="1">
        <v>3.367699</v>
      </c>
    </row>
    <row r="3333">
      <c r="A3333" s="1">
        <v>2025.0</v>
      </c>
      <c r="B3333" s="1" t="s">
        <v>451</v>
      </c>
      <c r="C3333" s="1">
        <v>623474.0</v>
      </c>
      <c r="D3333" s="1" t="s">
        <v>536</v>
      </c>
      <c r="E3333" s="1" t="s">
        <v>927</v>
      </c>
      <c r="F3333" s="1" t="s">
        <v>926</v>
      </c>
      <c r="G3333" s="1">
        <v>163.0</v>
      </c>
      <c r="H3333" s="1">
        <v>10.59542382</v>
      </c>
      <c r="I3333" s="1">
        <v>4.43</v>
      </c>
      <c r="J3333" s="1">
        <v>5.622201</v>
      </c>
    </row>
    <row r="3334">
      <c r="A3334" s="1">
        <v>2025.0</v>
      </c>
      <c r="B3334" s="1" t="s">
        <v>451</v>
      </c>
      <c r="C3334" s="1">
        <v>623474.0</v>
      </c>
      <c r="D3334" s="1" t="s">
        <v>533</v>
      </c>
      <c r="E3334" s="1" t="s">
        <v>927</v>
      </c>
      <c r="F3334" s="1" t="s">
        <v>926</v>
      </c>
      <c r="G3334" s="1">
        <v>145.0</v>
      </c>
      <c r="H3334" s="1">
        <v>9.425377015</v>
      </c>
      <c r="I3334" s="1">
        <v>5.22</v>
      </c>
      <c r="J3334" s="1">
        <v>2.665145</v>
      </c>
    </row>
    <row r="3335">
      <c r="A3335" s="1">
        <v>2025.0</v>
      </c>
      <c r="B3335" s="1" t="s">
        <v>451</v>
      </c>
      <c r="C3335" s="1">
        <v>623474.0</v>
      </c>
      <c r="D3335" s="1" t="s">
        <v>532</v>
      </c>
      <c r="E3335" s="1" t="s">
        <v>927</v>
      </c>
      <c r="F3335" s="1" t="s">
        <v>927</v>
      </c>
      <c r="G3335" s="1">
        <v>1.0</v>
      </c>
      <c r="H3335" s="1">
        <v>0.0650026</v>
      </c>
      <c r="I3335" s="1">
        <v>4.84</v>
      </c>
      <c r="J3335" s="1">
        <v>0.021593</v>
      </c>
    </row>
    <row r="3336">
      <c r="A3336" s="1">
        <v>2025.0</v>
      </c>
      <c r="B3336" s="1" t="s">
        <v>451</v>
      </c>
      <c r="C3336" s="1">
        <v>623474.0</v>
      </c>
      <c r="D3336" s="1" t="s">
        <v>541</v>
      </c>
      <c r="E3336" s="1" t="s">
        <v>927</v>
      </c>
      <c r="F3336" s="1" t="s">
        <v>927</v>
      </c>
      <c r="G3336" s="1">
        <v>219.0</v>
      </c>
      <c r="H3336" s="1">
        <v>14.23556942</v>
      </c>
      <c r="I3336" s="1">
        <v>5.25</v>
      </c>
      <c r="J3336" s="1">
        <v>3.668882</v>
      </c>
    </row>
    <row r="3337">
      <c r="A3337" s="1">
        <v>2025.0</v>
      </c>
      <c r="B3337" s="1" t="s">
        <v>451</v>
      </c>
      <c r="C3337" s="1">
        <v>623474.0</v>
      </c>
      <c r="D3337" s="1" t="s">
        <v>537</v>
      </c>
      <c r="E3337" s="1" t="s">
        <v>927</v>
      </c>
      <c r="F3337" s="1" t="s">
        <v>927</v>
      </c>
      <c r="G3337" s="1">
        <v>33.0</v>
      </c>
      <c r="H3337" s="1">
        <v>2.145085803</v>
      </c>
      <c r="I3337" s="1">
        <v>3.36</v>
      </c>
      <c r="J3337" s="1">
        <v>1.821803</v>
      </c>
    </row>
    <row r="3338">
      <c r="A3338" s="1">
        <v>2025.0</v>
      </c>
      <c r="B3338" s="1" t="s">
        <v>451</v>
      </c>
      <c r="C3338" s="1">
        <v>623474.0</v>
      </c>
      <c r="D3338" s="1" t="s">
        <v>536</v>
      </c>
      <c r="E3338" s="1" t="s">
        <v>927</v>
      </c>
      <c r="F3338" s="1" t="s">
        <v>927</v>
      </c>
      <c r="G3338" s="1">
        <v>194.0</v>
      </c>
      <c r="H3338" s="1">
        <v>12.61050442</v>
      </c>
      <c r="I3338" s="1">
        <v>5.03</v>
      </c>
      <c r="J3338" s="1">
        <v>4.422227</v>
      </c>
    </row>
    <row r="3339">
      <c r="A3339" s="1">
        <v>2025.0</v>
      </c>
      <c r="B3339" s="1" t="s">
        <v>451</v>
      </c>
      <c r="C3339" s="1">
        <v>623474.0</v>
      </c>
      <c r="D3339" s="1" t="s">
        <v>533</v>
      </c>
      <c r="E3339" s="1" t="s">
        <v>927</v>
      </c>
      <c r="F3339" s="1" t="s">
        <v>927</v>
      </c>
      <c r="G3339" s="1">
        <v>215.0</v>
      </c>
      <c r="H3339" s="1">
        <v>13.97555902</v>
      </c>
      <c r="I3339" s="1">
        <v>5.27</v>
      </c>
      <c r="J3339" s="1">
        <v>3.764801</v>
      </c>
    </row>
    <row r="3340">
      <c r="A3340" s="1">
        <v>2025.0</v>
      </c>
      <c r="B3340" s="1" t="s">
        <v>193</v>
      </c>
      <c r="C3340" s="1">
        <v>668941.0</v>
      </c>
      <c r="D3340" s="1" t="s">
        <v>537</v>
      </c>
      <c r="E3340" s="1" t="s">
        <v>926</v>
      </c>
      <c r="F3340" s="1" t="s">
        <v>926</v>
      </c>
      <c r="G3340" s="1">
        <v>15.0</v>
      </c>
      <c r="H3340" s="1">
        <v>0.925176946</v>
      </c>
      <c r="I3340" s="1">
        <v>4.3</v>
      </c>
      <c r="J3340" s="1">
        <v>0.542302</v>
      </c>
    </row>
    <row r="3341">
      <c r="A3341" s="1">
        <v>2025.0</v>
      </c>
      <c r="B3341" s="1" t="s">
        <v>193</v>
      </c>
      <c r="C3341" s="1">
        <v>668941.0</v>
      </c>
      <c r="D3341" s="1" t="s">
        <v>536</v>
      </c>
      <c r="E3341" s="1" t="s">
        <v>926</v>
      </c>
      <c r="F3341" s="1" t="s">
        <v>926</v>
      </c>
      <c r="G3341" s="1">
        <v>149.0</v>
      </c>
      <c r="H3341" s="1">
        <v>9.190091001</v>
      </c>
      <c r="I3341" s="1">
        <v>5.25</v>
      </c>
      <c r="J3341" s="1">
        <v>2.552812</v>
      </c>
    </row>
    <row r="3342">
      <c r="A3342" s="1">
        <v>2025.0</v>
      </c>
      <c r="B3342" s="1" t="s">
        <v>193</v>
      </c>
      <c r="C3342" s="1">
        <v>668941.0</v>
      </c>
      <c r="D3342" s="1" t="s">
        <v>533</v>
      </c>
      <c r="E3342" s="1" t="s">
        <v>926</v>
      </c>
      <c r="F3342" s="1" t="s">
        <v>926</v>
      </c>
      <c r="G3342" s="1">
        <v>238.0</v>
      </c>
      <c r="H3342" s="1">
        <v>14.67947422</v>
      </c>
      <c r="I3342" s="1">
        <v>5.19</v>
      </c>
      <c r="J3342" s="1">
        <v>4.148372</v>
      </c>
    </row>
    <row r="3343">
      <c r="A3343" s="1">
        <v>2025.0</v>
      </c>
      <c r="B3343" s="1" t="s">
        <v>193</v>
      </c>
      <c r="C3343" s="1">
        <v>668941.0</v>
      </c>
      <c r="D3343" s="1" t="s">
        <v>532</v>
      </c>
      <c r="E3343" s="1" t="s">
        <v>926</v>
      </c>
      <c r="F3343" s="1" t="s">
        <v>927</v>
      </c>
      <c r="G3343" s="1">
        <v>221.0</v>
      </c>
      <c r="H3343" s="1">
        <v>13.63094034</v>
      </c>
      <c r="I3343" s="1">
        <v>4.76</v>
      </c>
      <c r="J3343" s="1">
        <v>5.879493</v>
      </c>
    </row>
    <row r="3344">
      <c r="A3344" s="1">
        <v>2025.0</v>
      </c>
      <c r="B3344" s="1" t="s">
        <v>193</v>
      </c>
      <c r="C3344" s="1">
        <v>668941.0</v>
      </c>
      <c r="D3344" s="1" t="s">
        <v>541</v>
      </c>
      <c r="E3344" s="1" t="s">
        <v>926</v>
      </c>
      <c r="F3344" s="1" t="s">
        <v>927</v>
      </c>
      <c r="G3344" s="1">
        <v>3.0</v>
      </c>
      <c r="H3344" s="1">
        <v>0.185035389</v>
      </c>
      <c r="I3344" s="1">
        <v>5.56</v>
      </c>
      <c r="J3344" s="1">
        <v>0.026014</v>
      </c>
    </row>
    <row r="3345">
      <c r="A3345" s="1">
        <v>2025.0</v>
      </c>
      <c r="B3345" s="1" t="s">
        <v>193</v>
      </c>
      <c r="C3345" s="1">
        <v>668941.0</v>
      </c>
      <c r="D3345" s="1" t="s">
        <v>540</v>
      </c>
      <c r="E3345" s="1" t="s">
        <v>926</v>
      </c>
      <c r="F3345" s="1" t="s">
        <v>927</v>
      </c>
      <c r="G3345" s="1">
        <v>1.0</v>
      </c>
      <c r="H3345" s="1">
        <v>0.061678463</v>
      </c>
      <c r="I3345" s="1">
        <v>1.03</v>
      </c>
      <c r="J3345" s="1">
        <v>0.106044</v>
      </c>
    </row>
    <row r="3346">
      <c r="A3346" s="1">
        <v>2025.0</v>
      </c>
      <c r="B3346" s="1" t="s">
        <v>193</v>
      </c>
      <c r="C3346" s="1">
        <v>668941.0</v>
      </c>
      <c r="D3346" s="1" t="s">
        <v>537</v>
      </c>
      <c r="E3346" s="1" t="s">
        <v>926</v>
      </c>
      <c r="F3346" s="1" t="s">
        <v>927</v>
      </c>
      <c r="G3346" s="1">
        <v>44.0</v>
      </c>
      <c r="H3346" s="1">
        <v>2.713852376</v>
      </c>
      <c r="I3346" s="1">
        <v>4.45</v>
      </c>
      <c r="J3346" s="1">
        <v>1.457362</v>
      </c>
    </row>
    <row r="3347">
      <c r="A3347" s="1">
        <v>2025.0</v>
      </c>
      <c r="B3347" s="1" t="s">
        <v>193</v>
      </c>
      <c r="C3347" s="1">
        <v>668941.0</v>
      </c>
      <c r="D3347" s="1" t="s">
        <v>536</v>
      </c>
      <c r="E3347" s="1" t="s">
        <v>926</v>
      </c>
      <c r="F3347" s="1" t="s">
        <v>927</v>
      </c>
      <c r="G3347" s="1">
        <v>171.0</v>
      </c>
      <c r="H3347" s="1">
        <v>10.54701719</v>
      </c>
      <c r="I3347" s="1">
        <v>5.3</v>
      </c>
      <c r="J3347" s="1">
        <v>2.863348</v>
      </c>
    </row>
    <row r="3348">
      <c r="A3348" s="1">
        <v>2025.0</v>
      </c>
      <c r="B3348" s="1" t="s">
        <v>193</v>
      </c>
      <c r="C3348" s="1">
        <v>668941.0</v>
      </c>
      <c r="D3348" s="1" t="s">
        <v>533</v>
      </c>
      <c r="E3348" s="1" t="s">
        <v>926</v>
      </c>
      <c r="F3348" s="1" t="s">
        <v>927</v>
      </c>
      <c r="G3348" s="1">
        <v>147.0</v>
      </c>
      <c r="H3348" s="1">
        <v>9.066734075</v>
      </c>
      <c r="I3348" s="1">
        <v>5.35</v>
      </c>
      <c r="J3348" s="1">
        <v>2.116876</v>
      </c>
    </row>
    <row r="3349">
      <c r="A3349" s="1">
        <v>2025.0</v>
      </c>
      <c r="B3349" s="1" t="s">
        <v>492</v>
      </c>
      <c r="C3349" s="1">
        <v>671212.0</v>
      </c>
      <c r="D3349" s="1" t="s">
        <v>537</v>
      </c>
      <c r="E3349" s="1" t="s">
        <v>927</v>
      </c>
      <c r="F3349" s="1" t="s">
        <v>926</v>
      </c>
      <c r="G3349" s="1">
        <v>259.0</v>
      </c>
      <c r="H3349" s="1">
        <v>14.41970021</v>
      </c>
      <c r="I3349" s="1">
        <v>4.61</v>
      </c>
      <c r="J3349" s="1">
        <v>7.967777</v>
      </c>
    </row>
    <row r="3350">
      <c r="A3350" s="1">
        <v>2025.0</v>
      </c>
      <c r="B3350" s="1" t="s">
        <v>492</v>
      </c>
      <c r="C3350" s="1">
        <v>671212.0</v>
      </c>
      <c r="D3350" s="1" t="s">
        <v>538</v>
      </c>
      <c r="E3350" s="1" t="s">
        <v>927</v>
      </c>
      <c r="F3350" s="1" t="s">
        <v>926</v>
      </c>
      <c r="G3350" s="1">
        <v>87.0</v>
      </c>
      <c r="H3350" s="1">
        <v>4.843683084</v>
      </c>
      <c r="I3350" s="1">
        <v>4.27</v>
      </c>
      <c r="J3350" s="1">
        <v>3.146301</v>
      </c>
    </row>
    <row r="3351">
      <c r="A3351" s="1">
        <v>2025.0</v>
      </c>
      <c r="B3351" s="1" t="s">
        <v>492</v>
      </c>
      <c r="C3351" s="1">
        <v>671212.0</v>
      </c>
      <c r="D3351" s="1" t="s">
        <v>533</v>
      </c>
      <c r="E3351" s="1" t="s">
        <v>927</v>
      </c>
      <c r="F3351" s="1" t="s">
        <v>926</v>
      </c>
      <c r="G3351" s="1">
        <v>162.0</v>
      </c>
      <c r="H3351" s="1">
        <v>9.019271949</v>
      </c>
      <c r="I3351" s="1">
        <v>5.4</v>
      </c>
      <c r="J3351" s="1">
        <v>2.200756</v>
      </c>
    </row>
    <row r="3352">
      <c r="A3352" s="1">
        <v>2025.0</v>
      </c>
      <c r="B3352" s="1" t="s">
        <v>492</v>
      </c>
      <c r="C3352" s="1">
        <v>671212.0</v>
      </c>
      <c r="D3352" s="1" t="s">
        <v>537</v>
      </c>
      <c r="E3352" s="1" t="s">
        <v>927</v>
      </c>
      <c r="F3352" s="1" t="s">
        <v>927</v>
      </c>
      <c r="G3352" s="1">
        <v>194.0</v>
      </c>
      <c r="H3352" s="1">
        <v>10.80085653</v>
      </c>
      <c r="I3352" s="1">
        <v>4.73</v>
      </c>
      <c r="J3352" s="1">
        <v>5.481857</v>
      </c>
    </row>
    <row r="3353">
      <c r="A3353" s="1">
        <v>2025.0</v>
      </c>
      <c r="B3353" s="1" t="s">
        <v>492</v>
      </c>
      <c r="C3353" s="1">
        <v>671212.0</v>
      </c>
      <c r="D3353" s="1" t="s">
        <v>538</v>
      </c>
      <c r="E3353" s="1" t="s">
        <v>927</v>
      </c>
      <c r="F3353" s="1" t="s">
        <v>927</v>
      </c>
      <c r="G3353" s="1">
        <v>65.0</v>
      </c>
      <c r="H3353" s="1">
        <v>3.618843683</v>
      </c>
      <c r="I3353" s="1">
        <v>5.04</v>
      </c>
      <c r="J3353" s="1">
        <v>1.353206</v>
      </c>
    </row>
    <row r="3354">
      <c r="A3354" s="1">
        <v>2025.0</v>
      </c>
      <c r="B3354" s="1" t="s">
        <v>492</v>
      </c>
      <c r="C3354" s="1">
        <v>671212.0</v>
      </c>
      <c r="D3354" s="1" t="s">
        <v>533</v>
      </c>
      <c r="E3354" s="1" t="s">
        <v>927</v>
      </c>
      <c r="F3354" s="1" t="s">
        <v>927</v>
      </c>
      <c r="G3354" s="1">
        <v>166.0</v>
      </c>
      <c r="H3354" s="1">
        <v>9.241970021</v>
      </c>
      <c r="I3354" s="1">
        <v>4.87</v>
      </c>
      <c r="J3354" s="1">
        <v>4.092181</v>
      </c>
    </row>
    <row r="3355">
      <c r="A3355" s="1">
        <v>2025.0</v>
      </c>
      <c r="B3355" s="1" t="s">
        <v>492</v>
      </c>
      <c r="C3355" s="1">
        <v>671212.0</v>
      </c>
      <c r="D3355" s="1" t="s">
        <v>539</v>
      </c>
      <c r="E3355" s="1" t="s">
        <v>927</v>
      </c>
      <c r="F3355" s="1" t="s">
        <v>927</v>
      </c>
      <c r="G3355" s="1">
        <v>1.0</v>
      </c>
      <c r="H3355" s="1">
        <v>0.055674518</v>
      </c>
      <c r="I3355" s="1">
        <v>3.75</v>
      </c>
      <c r="J3355" s="1">
        <v>0.045815</v>
      </c>
    </row>
    <row r="3356">
      <c r="A3356" s="1">
        <v>2025.0</v>
      </c>
      <c r="B3356" s="1" t="s">
        <v>867</v>
      </c>
      <c r="C3356" s="1">
        <v>686747.0</v>
      </c>
      <c r="D3356" s="1" t="s">
        <v>537</v>
      </c>
      <c r="E3356" s="1" t="s">
        <v>926</v>
      </c>
      <c r="F3356" s="1" t="s">
        <v>926</v>
      </c>
      <c r="G3356" s="1">
        <v>3.0</v>
      </c>
      <c r="H3356" s="1">
        <v>0.2</v>
      </c>
      <c r="I3356" s="1">
        <v>5.79</v>
      </c>
      <c r="J3356" s="1">
        <v>0.018772</v>
      </c>
    </row>
    <row r="3357">
      <c r="A3357" s="1">
        <v>2025.0</v>
      </c>
      <c r="B3357" s="1" t="s">
        <v>867</v>
      </c>
      <c r="C3357" s="1">
        <v>686747.0</v>
      </c>
      <c r="D3357" s="1" t="s">
        <v>536</v>
      </c>
      <c r="E3357" s="1" t="s">
        <v>926</v>
      </c>
      <c r="F3357" s="1" t="s">
        <v>926</v>
      </c>
      <c r="G3357" s="1">
        <v>18.0</v>
      </c>
      <c r="H3357" s="1">
        <v>1.2</v>
      </c>
      <c r="I3357" s="1">
        <v>5.94</v>
      </c>
      <c r="J3357" s="1">
        <v>0.05282</v>
      </c>
    </row>
    <row r="3358">
      <c r="A3358" s="1">
        <v>2025.0</v>
      </c>
      <c r="B3358" s="1" t="s">
        <v>867</v>
      </c>
      <c r="C3358" s="1">
        <v>686747.0</v>
      </c>
      <c r="D3358" s="1" t="s">
        <v>533</v>
      </c>
      <c r="E3358" s="1" t="s">
        <v>926</v>
      </c>
      <c r="F3358" s="1" t="s">
        <v>926</v>
      </c>
      <c r="G3358" s="1">
        <v>2.0</v>
      </c>
      <c r="H3358" s="1">
        <v>0.133333333</v>
      </c>
      <c r="I3358" s="1">
        <v>4.32</v>
      </c>
      <c r="J3358" s="1">
        <v>0.069746</v>
      </c>
    </row>
    <row r="3359">
      <c r="A3359" s="1">
        <v>2025.0</v>
      </c>
      <c r="B3359" s="1" t="s">
        <v>867</v>
      </c>
      <c r="C3359" s="1">
        <v>686747.0</v>
      </c>
      <c r="D3359" s="1" t="s">
        <v>539</v>
      </c>
      <c r="E3359" s="1" t="s">
        <v>926</v>
      </c>
      <c r="F3359" s="1" t="s">
        <v>926</v>
      </c>
      <c r="G3359" s="1">
        <v>12.0</v>
      </c>
      <c r="H3359" s="1">
        <v>0.8</v>
      </c>
      <c r="I3359" s="1">
        <v>5.43</v>
      </c>
      <c r="J3359" s="1">
        <v>0.15396</v>
      </c>
    </row>
    <row r="3360">
      <c r="A3360" s="1">
        <v>2025.0</v>
      </c>
      <c r="B3360" s="1" t="s">
        <v>867</v>
      </c>
      <c r="C3360" s="1">
        <v>686747.0</v>
      </c>
      <c r="D3360" s="1" t="s">
        <v>532</v>
      </c>
      <c r="E3360" s="1" t="s">
        <v>926</v>
      </c>
      <c r="F3360" s="1" t="s">
        <v>927</v>
      </c>
      <c r="G3360" s="1">
        <v>14.0</v>
      </c>
      <c r="H3360" s="1">
        <v>0.933333333</v>
      </c>
      <c r="I3360" s="1">
        <v>4.06</v>
      </c>
      <c r="J3360" s="1">
        <v>0.570914</v>
      </c>
    </row>
    <row r="3361">
      <c r="A3361" s="1">
        <v>2025.0</v>
      </c>
      <c r="B3361" s="1" t="s">
        <v>867</v>
      </c>
      <c r="C3361" s="1">
        <v>686747.0</v>
      </c>
      <c r="D3361" s="1" t="s">
        <v>537</v>
      </c>
      <c r="E3361" s="1" t="s">
        <v>926</v>
      </c>
      <c r="F3361" s="1" t="s">
        <v>927</v>
      </c>
      <c r="G3361" s="1">
        <v>22.0</v>
      </c>
      <c r="H3361" s="1">
        <v>1.466666667</v>
      </c>
      <c r="I3361" s="1">
        <v>4.88</v>
      </c>
      <c r="J3361" s="1">
        <v>0.531389</v>
      </c>
    </row>
    <row r="3362">
      <c r="A3362" s="1">
        <v>2025.0</v>
      </c>
      <c r="B3362" s="1" t="s">
        <v>867</v>
      </c>
      <c r="C3362" s="1">
        <v>686747.0</v>
      </c>
      <c r="D3362" s="1" t="s">
        <v>536</v>
      </c>
      <c r="E3362" s="1" t="s">
        <v>926</v>
      </c>
      <c r="F3362" s="1" t="s">
        <v>927</v>
      </c>
      <c r="G3362" s="1">
        <v>21.0</v>
      </c>
      <c r="H3362" s="1">
        <v>1.4</v>
      </c>
      <c r="I3362" s="1">
        <v>4.4</v>
      </c>
      <c r="J3362" s="1">
        <v>0.723049</v>
      </c>
    </row>
    <row r="3363">
      <c r="A3363" s="1">
        <v>2025.0</v>
      </c>
      <c r="B3363" s="1" t="s">
        <v>867</v>
      </c>
      <c r="C3363" s="1">
        <v>686747.0</v>
      </c>
      <c r="D3363" s="1" t="s">
        <v>539</v>
      </c>
      <c r="E3363" s="1" t="s">
        <v>926</v>
      </c>
      <c r="F3363" s="1" t="s">
        <v>927</v>
      </c>
      <c r="G3363" s="1">
        <v>8.0</v>
      </c>
      <c r="H3363" s="1">
        <v>0.533333333</v>
      </c>
      <c r="I3363" s="1">
        <v>5.39</v>
      </c>
      <c r="J3363" s="1">
        <v>0.102018</v>
      </c>
    </row>
    <row r="3364">
      <c r="A3364" s="1">
        <v>2025.0</v>
      </c>
      <c r="B3364" s="1" t="s">
        <v>685</v>
      </c>
      <c r="C3364" s="1">
        <v>573009.0</v>
      </c>
      <c r="D3364" s="1" t="s">
        <v>532</v>
      </c>
      <c r="E3364" s="1" t="s">
        <v>926</v>
      </c>
      <c r="F3364" s="1" t="s">
        <v>926</v>
      </c>
      <c r="G3364" s="1">
        <v>4.0</v>
      </c>
      <c r="H3364" s="1">
        <v>0.201388889</v>
      </c>
      <c r="I3364" s="1">
        <v>5.22</v>
      </c>
      <c r="J3364" s="1">
        <v>0.070833</v>
      </c>
    </row>
    <row r="3365">
      <c r="A3365" s="1">
        <v>2025.0</v>
      </c>
      <c r="B3365" s="1" t="s">
        <v>685</v>
      </c>
      <c r="C3365" s="1">
        <v>573009.0</v>
      </c>
      <c r="D3365" s="1" t="s">
        <v>541</v>
      </c>
      <c r="E3365" s="1" t="s">
        <v>926</v>
      </c>
      <c r="F3365" s="1" t="s">
        <v>926</v>
      </c>
      <c r="G3365" s="1">
        <v>39.0</v>
      </c>
      <c r="H3365" s="1">
        <v>1.963541667</v>
      </c>
      <c r="I3365" s="1">
        <v>5.08</v>
      </c>
      <c r="J3365" s="1">
        <v>0.789762</v>
      </c>
    </row>
    <row r="3366">
      <c r="A3366" s="1">
        <v>2025.0</v>
      </c>
      <c r="B3366" s="1" t="s">
        <v>685</v>
      </c>
      <c r="C3366" s="1">
        <v>573009.0</v>
      </c>
      <c r="D3366" s="1" t="s">
        <v>537</v>
      </c>
      <c r="E3366" s="1" t="s">
        <v>926</v>
      </c>
      <c r="F3366" s="1" t="s">
        <v>926</v>
      </c>
      <c r="G3366" s="1">
        <v>1.0</v>
      </c>
      <c r="H3366" s="1">
        <v>0.050347222</v>
      </c>
      <c r="I3366" s="1">
        <v>-0.19</v>
      </c>
      <c r="J3366" s="1">
        <v>0.120284</v>
      </c>
    </row>
    <row r="3367">
      <c r="A3367" s="1">
        <v>2025.0</v>
      </c>
      <c r="B3367" s="1" t="s">
        <v>685</v>
      </c>
      <c r="C3367" s="1">
        <v>573009.0</v>
      </c>
      <c r="D3367" s="1" t="s">
        <v>536</v>
      </c>
      <c r="E3367" s="1" t="s">
        <v>926</v>
      </c>
      <c r="F3367" s="1" t="s">
        <v>926</v>
      </c>
      <c r="G3367" s="1">
        <v>42.0</v>
      </c>
      <c r="H3367" s="1">
        <v>2.114583333</v>
      </c>
      <c r="I3367" s="1">
        <v>5.45</v>
      </c>
      <c r="J3367" s="1">
        <v>0.551173</v>
      </c>
    </row>
    <row r="3368">
      <c r="A3368" s="1">
        <v>2025.0</v>
      </c>
      <c r="B3368" s="1" t="s">
        <v>685</v>
      </c>
      <c r="C3368" s="1">
        <v>573009.0</v>
      </c>
      <c r="D3368" s="1" t="s">
        <v>532</v>
      </c>
      <c r="E3368" s="1" t="s">
        <v>926</v>
      </c>
      <c r="F3368" s="1" t="s">
        <v>927</v>
      </c>
      <c r="G3368" s="1">
        <v>47.0</v>
      </c>
      <c r="H3368" s="1">
        <v>2.366319444</v>
      </c>
      <c r="I3368" s="1">
        <v>5.42</v>
      </c>
      <c r="J3368" s="1">
        <v>0.627768</v>
      </c>
    </row>
    <row r="3369">
      <c r="A3369" s="1">
        <v>2025.0</v>
      </c>
      <c r="B3369" s="1" t="s">
        <v>685</v>
      </c>
      <c r="C3369" s="1">
        <v>573009.0</v>
      </c>
      <c r="D3369" s="1" t="s">
        <v>541</v>
      </c>
      <c r="E3369" s="1" t="s">
        <v>926</v>
      </c>
      <c r="F3369" s="1" t="s">
        <v>927</v>
      </c>
      <c r="G3369" s="1">
        <v>30.0</v>
      </c>
      <c r="H3369" s="1">
        <v>1.510416667</v>
      </c>
      <c r="I3369" s="1">
        <v>4.56</v>
      </c>
      <c r="J3369" s="1">
        <v>0.921236</v>
      </c>
    </row>
    <row r="3370">
      <c r="A3370" s="1">
        <v>2025.0</v>
      </c>
      <c r="B3370" s="1" t="s">
        <v>685</v>
      </c>
      <c r="C3370" s="1">
        <v>573009.0</v>
      </c>
      <c r="D3370" s="1" t="s">
        <v>537</v>
      </c>
      <c r="E3370" s="1" t="s">
        <v>926</v>
      </c>
      <c r="F3370" s="1" t="s">
        <v>927</v>
      </c>
      <c r="G3370" s="1">
        <v>3.0</v>
      </c>
      <c r="H3370" s="1">
        <v>0.151041667</v>
      </c>
      <c r="I3370" s="1">
        <v>-0.81</v>
      </c>
      <c r="J3370" s="1">
        <v>0.413291</v>
      </c>
    </row>
    <row r="3371">
      <c r="A3371" s="1">
        <v>2025.0</v>
      </c>
      <c r="B3371" s="1" t="s">
        <v>685</v>
      </c>
      <c r="C3371" s="1">
        <v>573009.0</v>
      </c>
      <c r="D3371" s="1" t="s">
        <v>536</v>
      </c>
      <c r="E3371" s="1" t="s">
        <v>926</v>
      </c>
      <c r="F3371" s="1" t="s">
        <v>927</v>
      </c>
      <c r="G3371" s="1">
        <v>26.0</v>
      </c>
      <c r="H3371" s="1">
        <v>1.309027778</v>
      </c>
      <c r="I3371" s="1">
        <v>4.79</v>
      </c>
      <c r="J3371" s="1">
        <v>0.67994</v>
      </c>
    </row>
    <row r="3372">
      <c r="A3372" s="1">
        <v>2025.0</v>
      </c>
      <c r="B3372" s="1" t="s">
        <v>901</v>
      </c>
      <c r="C3372" s="1">
        <v>697812.0</v>
      </c>
      <c r="D3372" s="1" t="s">
        <v>537</v>
      </c>
      <c r="E3372" s="1" t="s">
        <v>926</v>
      </c>
      <c r="F3372" s="1" t="s">
        <v>926</v>
      </c>
      <c r="G3372" s="1">
        <v>10.0</v>
      </c>
      <c r="H3372" s="1">
        <v>0.532407407</v>
      </c>
      <c r="I3372" s="1">
        <v>3.06</v>
      </c>
      <c r="J3372" s="1">
        <v>0.60726</v>
      </c>
    </row>
    <row r="3373">
      <c r="A3373" s="1">
        <v>2025.0</v>
      </c>
      <c r="B3373" s="1" t="s">
        <v>901</v>
      </c>
      <c r="C3373" s="1">
        <v>697812.0</v>
      </c>
      <c r="D3373" s="1" t="s">
        <v>536</v>
      </c>
      <c r="E3373" s="1" t="s">
        <v>926</v>
      </c>
      <c r="F3373" s="1" t="s">
        <v>926</v>
      </c>
      <c r="G3373" s="1">
        <v>36.0</v>
      </c>
      <c r="H3373" s="1">
        <v>1.916666667</v>
      </c>
      <c r="I3373" s="1">
        <v>5.25</v>
      </c>
      <c r="J3373" s="1">
        <v>0.573095</v>
      </c>
    </row>
    <row r="3374">
      <c r="A3374" s="1">
        <v>2025.0</v>
      </c>
      <c r="B3374" s="1" t="s">
        <v>901</v>
      </c>
      <c r="C3374" s="1">
        <v>697812.0</v>
      </c>
      <c r="D3374" s="1" t="s">
        <v>533</v>
      </c>
      <c r="E3374" s="1" t="s">
        <v>926</v>
      </c>
      <c r="F3374" s="1" t="s">
        <v>926</v>
      </c>
      <c r="G3374" s="1">
        <v>25.0</v>
      </c>
      <c r="H3374" s="1">
        <v>1.331018519</v>
      </c>
      <c r="I3374" s="1">
        <v>4.86</v>
      </c>
      <c r="J3374" s="1">
        <v>0.559124</v>
      </c>
    </row>
    <row r="3375">
      <c r="A3375" s="1">
        <v>2025.0</v>
      </c>
      <c r="B3375" s="1" t="s">
        <v>901</v>
      </c>
      <c r="C3375" s="1">
        <v>697812.0</v>
      </c>
      <c r="D3375" s="1" t="s">
        <v>532</v>
      </c>
      <c r="E3375" s="1" t="s">
        <v>926</v>
      </c>
      <c r="F3375" s="1" t="s">
        <v>927</v>
      </c>
      <c r="G3375" s="1">
        <v>10.0</v>
      </c>
      <c r="H3375" s="1">
        <v>0.532407407</v>
      </c>
      <c r="I3375" s="1">
        <v>4.92</v>
      </c>
      <c r="J3375" s="1">
        <v>0.236426</v>
      </c>
    </row>
    <row r="3376">
      <c r="A3376" s="1">
        <v>2025.0</v>
      </c>
      <c r="B3376" s="1" t="s">
        <v>901</v>
      </c>
      <c r="C3376" s="1">
        <v>697812.0</v>
      </c>
      <c r="D3376" s="1" t="s">
        <v>537</v>
      </c>
      <c r="E3376" s="1" t="s">
        <v>926</v>
      </c>
      <c r="F3376" s="1" t="s">
        <v>927</v>
      </c>
      <c r="G3376" s="1">
        <v>19.0</v>
      </c>
      <c r="H3376" s="1">
        <v>1.011574074</v>
      </c>
      <c r="I3376" s="1">
        <v>4.56</v>
      </c>
      <c r="J3376" s="1">
        <v>0.581157</v>
      </c>
    </row>
    <row r="3377">
      <c r="A3377" s="1">
        <v>2025.0</v>
      </c>
      <c r="B3377" s="1" t="s">
        <v>901</v>
      </c>
      <c r="C3377" s="1">
        <v>697812.0</v>
      </c>
      <c r="D3377" s="1" t="s">
        <v>536</v>
      </c>
      <c r="E3377" s="1" t="s">
        <v>926</v>
      </c>
      <c r="F3377" s="1" t="s">
        <v>927</v>
      </c>
      <c r="G3377" s="1">
        <v>32.0</v>
      </c>
      <c r="H3377" s="1">
        <v>1.703703704</v>
      </c>
      <c r="I3377" s="1">
        <v>4.53</v>
      </c>
      <c r="J3377" s="1">
        <v>1.012761</v>
      </c>
    </row>
    <row r="3378">
      <c r="A3378" s="1">
        <v>2025.0</v>
      </c>
      <c r="B3378" s="1" t="s">
        <v>901</v>
      </c>
      <c r="C3378" s="1">
        <v>697812.0</v>
      </c>
      <c r="D3378" s="1" t="s">
        <v>533</v>
      </c>
      <c r="E3378" s="1" t="s">
        <v>926</v>
      </c>
      <c r="F3378" s="1" t="s">
        <v>927</v>
      </c>
      <c r="G3378" s="1">
        <v>12.0</v>
      </c>
      <c r="H3378" s="1">
        <v>0.638888889</v>
      </c>
      <c r="I3378" s="1">
        <v>5.37</v>
      </c>
      <c r="J3378" s="1">
        <v>0.14688</v>
      </c>
    </row>
    <row r="3379">
      <c r="A3379" s="1">
        <v>2025.0</v>
      </c>
      <c r="B3379" s="1" t="s">
        <v>360</v>
      </c>
      <c r="C3379" s="1">
        <v>605452.0</v>
      </c>
      <c r="D3379" s="1" t="s">
        <v>532</v>
      </c>
      <c r="E3379" s="1" t="s">
        <v>927</v>
      </c>
      <c r="F3379" s="1" t="s">
        <v>926</v>
      </c>
      <c r="G3379" s="1">
        <v>69.0</v>
      </c>
      <c r="H3379" s="1">
        <v>4.082366589</v>
      </c>
      <c r="I3379" s="1">
        <v>5.12</v>
      </c>
      <c r="J3379" s="1">
        <v>1.37819</v>
      </c>
    </row>
    <row r="3380">
      <c r="A3380" s="1">
        <v>2025.0</v>
      </c>
      <c r="B3380" s="1" t="s">
        <v>360</v>
      </c>
      <c r="C3380" s="1">
        <v>605452.0</v>
      </c>
      <c r="D3380" s="1" t="s">
        <v>541</v>
      </c>
      <c r="E3380" s="1" t="s">
        <v>927</v>
      </c>
      <c r="F3380" s="1" t="s">
        <v>926</v>
      </c>
      <c r="G3380" s="1">
        <v>31.0</v>
      </c>
      <c r="H3380" s="1">
        <v>1.834106729</v>
      </c>
      <c r="I3380" s="1">
        <v>5.08</v>
      </c>
      <c r="J3380" s="1">
        <v>0.603901</v>
      </c>
    </row>
    <row r="3381">
      <c r="A3381" s="1">
        <v>2025.0</v>
      </c>
      <c r="B3381" s="1" t="s">
        <v>360</v>
      </c>
      <c r="C3381" s="1">
        <v>605452.0</v>
      </c>
      <c r="D3381" s="1" t="s">
        <v>537</v>
      </c>
      <c r="E3381" s="1" t="s">
        <v>927</v>
      </c>
      <c r="F3381" s="1" t="s">
        <v>926</v>
      </c>
      <c r="G3381" s="1">
        <v>161.0</v>
      </c>
      <c r="H3381" s="1">
        <v>9.525522042</v>
      </c>
      <c r="I3381" s="1">
        <v>4.72</v>
      </c>
      <c r="J3381" s="1">
        <v>4.597708</v>
      </c>
    </row>
    <row r="3382">
      <c r="A3382" s="1">
        <v>2025.0</v>
      </c>
      <c r="B3382" s="1" t="s">
        <v>360</v>
      </c>
      <c r="C3382" s="1">
        <v>605452.0</v>
      </c>
      <c r="D3382" s="1" t="s">
        <v>536</v>
      </c>
      <c r="E3382" s="1" t="s">
        <v>927</v>
      </c>
      <c r="F3382" s="1" t="s">
        <v>926</v>
      </c>
      <c r="G3382" s="1">
        <v>66.0</v>
      </c>
      <c r="H3382" s="1">
        <v>3.90487239</v>
      </c>
      <c r="I3382" s="1">
        <v>4.78</v>
      </c>
      <c r="J3382" s="1">
        <v>1.78514</v>
      </c>
    </row>
    <row r="3383">
      <c r="A3383" s="1">
        <v>2025.0</v>
      </c>
      <c r="B3383" s="1" t="s">
        <v>360</v>
      </c>
      <c r="C3383" s="1">
        <v>605452.0</v>
      </c>
      <c r="D3383" s="1" t="s">
        <v>533</v>
      </c>
      <c r="E3383" s="1" t="s">
        <v>927</v>
      </c>
      <c r="F3383" s="1" t="s">
        <v>926</v>
      </c>
      <c r="G3383" s="1">
        <v>39.0</v>
      </c>
      <c r="H3383" s="1">
        <v>2.307424594</v>
      </c>
      <c r="I3383" s="1">
        <v>4.71</v>
      </c>
      <c r="J3383" s="1">
        <v>1.074375</v>
      </c>
    </row>
    <row r="3384">
      <c r="A3384" s="1">
        <v>2025.0</v>
      </c>
      <c r="B3384" s="1" t="s">
        <v>360</v>
      </c>
      <c r="C3384" s="1">
        <v>605452.0</v>
      </c>
      <c r="D3384" s="1" t="s">
        <v>532</v>
      </c>
      <c r="E3384" s="1" t="s">
        <v>927</v>
      </c>
      <c r="F3384" s="1" t="s">
        <v>927</v>
      </c>
      <c r="G3384" s="1">
        <v>6.0</v>
      </c>
      <c r="H3384" s="1">
        <v>0.354988399</v>
      </c>
      <c r="I3384" s="1">
        <v>5.09</v>
      </c>
      <c r="J3384" s="1">
        <v>0.122893</v>
      </c>
    </row>
    <row r="3385">
      <c r="A3385" s="1">
        <v>2025.0</v>
      </c>
      <c r="B3385" s="1" t="s">
        <v>360</v>
      </c>
      <c r="C3385" s="1">
        <v>605452.0</v>
      </c>
      <c r="D3385" s="1" t="s">
        <v>541</v>
      </c>
      <c r="E3385" s="1" t="s">
        <v>927</v>
      </c>
      <c r="F3385" s="1" t="s">
        <v>927</v>
      </c>
      <c r="G3385" s="1">
        <v>15.0</v>
      </c>
      <c r="H3385" s="1">
        <v>0.887470998</v>
      </c>
      <c r="I3385" s="1">
        <v>4.69</v>
      </c>
      <c r="J3385" s="1">
        <v>0.389938</v>
      </c>
    </row>
    <row r="3386">
      <c r="A3386" s="1">
        <v>2025.0</v>
      </c>
      <c r="B3386" s="1" t="s">
        <v>360</v>
      </c>
      <c r="C3386" s="1">
        <v>605452.0</v>
      </c>
      <c r="D3386" s="1" t="s">
        <v>537</v>
      </c>
      <c r="E3386" s="1" t="s">
        <v>927</v>
      </c>
      <c r="F3386" s="1" t="s">
        <v>927</v>
      </c>
      <c r="G3386" s="1">
        <v>160.0</v>
      </c>
      <c r="H3386" s="1">
        <v>9.466357309</v>
      </c>
      <c r="I3386" s="1">
        <v>4.95</v>
      </c>
      <c r="J3386" s="1">
        <v>3.744073</v>
      </c>
    </row>
    <row r="3387">
      <c r="A3387" s="1">
        <v>2025.0</v>
      </c>
      <c r="B3387" s="1" t="s">
        <v>360</v>
      </c>
      <c r="C3387" s="1">
        <v>605452.0</v>
      </c>
      <c r="D3387" s="1" t="s">
        <v>536</v>
      </c>
      <c r="E3387" s="1" t="s">
        <v>927</v>
      </c>
      <c r="F3387" s="1" t="s">
        <v>927</v>
      </c>
      <c r="G3387" s="1">
        <v>163.0</v>
      </c>
      <c r="H3387" s="1">
        <v>9.643851508</v>
      </c>
      <c r="I3387" s="1">
        <v>5.05</v>
      </c>
      <c r="J3387" s="1">
        <v>3.513135</v>
      </c>
    </row>
    <row r="3388">
      <c r="A3388" s="1">
        <v>2025.0</v>
      </c>
      <c r="B3388" s="1" t="s">
        <v>360</v>
      </c>
      <c r="C3388" s="1">
        <v>605452.0</v>
      </c>
      <c r="D3388" s="1" t="s">
        <v>533</v>
      </c>
      <c r="E3388" s="1" t="s">
        <v>927</v>
      </c>
      <c r="F3388" s="1" t="s">
        <v>927</v>
      </c>
      <c r="G3388" s="1">
        <v>152.0</v>
      </c>
      <c r="H3388" s="1">
        <v>8.993039443</v>
      </c>
      <c r="I3388" s="1">
        <v>5.25</v>
      </c>
      <c r="J3388" s="1">
        <v>2.600943</v>
      </c>
    </row>
    <row r="3389">
      <c r="A3389" s="1">
        <v>2025.0</v>
      </c>
      <c r="B3389" s="1" t="s">
        <v>150</v>
      </c>
      <c r="C3389" s="1">
        <v>657746.0</v>
      </c>
      <c r="D3389" s="1" t="s">
        <v>541</v>
      </c>
      <c r="E3389" s="1" t="s">
        <v>927</v>
      </c>
      <c r="F3389" s="1" t="s">
        <v>926</v>
      </c>
      <c r="G3389" s="1">
        <v>71.0</v>
      </c>
      <c r="H3389" s="1">
        <v>4.343828265</v>
      </c>
      <c r="I3389" s="1">
        <v>4.6</v>
      </c>
      <c r="J3389" s="1">
        <v>2.116007</v>
      </c>
    </row>
    <row r="3390">
      <c r="A3390" s="1">
        <v>2025.0</v>
      </c>
      <c r="B3390" s="1" t="s">
        <v>150</v>
      </c>
      <c r="C3390" s="1">
        <v>657746.0</v>
      </c>
      <c r="D3390" s="1" t="s">
        <v>537</v>
      </c>
      <c r="E3390" s="1" t="s">
        <v>927</v>
      </c>
      <c r="F3390" s="1" t="s">
        <v>926</v>
      </c>
      <c r="G3390" s="1">
        <v>782.0</v>
      </c>
      <c r="H3390" s="1">
        <v>47.84329159</v>
      </c>
      <c r="I3390" s="1">
        <v>5.33</v>
      </c>
      <c r="J3390" s="1">
        <v>12.397326</v>
      </c>
    </row>
    <row r="3391">
      <c r="A3391" s="1">
        <v>2025.0</v>
      </c>
      <c r="B3391" s="1" t="s">
        <v>150</v>
      </c>
      <c r="C3391" s="1">
        <v>657746.0</v>
      </c>
      <c r="D3391" s="1" t="s">
        <v>538</v>
      </c>
      <c r="E3391" s="1" t="s">
        <v>927</v>
      </c>
      <c r="F3391" s="1" t="s">
        <v>926</v>
      </c>
      <c r="G3391" s="1">
        <v>227.0</v>
      </c>
      <c r="H3391" s="1">
        <v>13.88801431</v>
      </c>
      <c r="I3391" s="1">
        <v>4.69</v>
      </c>
      <c r="J3391" s="1">
        <v>6.394622</v>
      </c>
    </row>
    <row r="3392">
      <c r="A3392" s="1">
        <v>2025.0</v>
      </c>
      <c r="B3392" s="1" t="s">
        <v>150</v>
      </c>
      <c r="C3392" s="1">
        <v>657746.0</v>
      </c>
      <c r="D3392" s="1" t="s">
        <v>536</v>
      </c>
      <c r="E3392" s="1" t="s">
        <v>927</v>
      </c>
      <c r="F3392" s="1" t="s">
        <v>926</v>
      </c>
      <c r="G3392" s="1">
        <v>93.0</v>
      </c>
      <c r="H3392" s="1">
        <v>5.68980322</v>
      </c>
      <c r="I3392" s="1">
        <v>4.65</v>
      </c>
      <c r="J3392" s="1">
        <v>2.652619</v>
      </c>
    </row>
    <row r="3393">
      <c r="A3393" s="1">
        <v>2025.0</v>
      </c>
      <c r="B3393" s="1" t="s">
        <v>150</v>
      </c>
      <c r="C3393" s="1">
        <v>657746.0</v>
      </c>
      <c r="D3393" s="1" t="s">
        <v>533</v>
      </c>
      <c r="E3393" s="1" t="s">
        <v>927</v>
      </c>
      <c r="F3393" s="1" t="s">
        <v>926</v>
      </c>
      <c r="G3393" s="1">
        <v>113.0</v>
      </c>
      <c r="H3393" s="1">
        <v>6.913416816</v>
      </c>
      <c r="I3393" s="1">
        <v>4.89</v>
      </c>
      <c r="J3393" s="1">
        <v>2.734756</v>
      </c>
    </row>
    <row r="3394">
      <c r="A3394" s="1">
        <v>2025.0</v>
      </c>
      <c r="B3394" s="1" t="s">
        <v>150</v>
      </c>
      <c r="C3394" s="1">
        <v>657746.0</v>
      </c>
      <c r="D3394" s="1" t="s">
        <v>539</v>
      </c>
      <c r="E3394" s="1" t="s">
        <v>927</v>
      </c>
      <c r="F3394" s="1" t="s">
        <v>926</v>
      </c>
      <c r="G3394" s="1">
        <v>139.0</v>
      </c>
      <c r="H3394" s="1">
        <v>8.50411449</v>
      </c>
      <c r="I3394" s="1">
        <v>5.05</v>
      </c>
      <c r="J3394" s="1">
        <v>2.926215</v>
      </c>
    </row>
    <row r="3395">
      <c r="A3395" s="1">
        <v>2025.0</v>
      </c>
      <c r="B3395" s="1" t="s">
        <v>150</v>
      </c>
      <c r="C3395" s="1">
        <v>657746.0</v>
      </c>
      <c r="D3395" s="1" t="s">
        <v>541</v>
      </c>
      <c r="E3395" s="1" t="s">
        <v>927</v>
      </c>
      <c r="F3395" s="1" t="s">
        <v>927</v>
      </c>
      <c r="G3395" s="1">
        <v>37.0</v>
      </c>
      <c r="H3395" s="1">
        <v>2.263685152</v>
      </c>
      <c r="I3395" s="1">
        <v>5.17</v>
      </c>
      <c r="J3395" s="1">
        <v>0.634253</v>
      </c>
    </row>
    <row r="3396">
      <c r="A3396" s="1">
        <v>2025.0</v>
      </c>
      <c r="B3396" s="1" t="s">
        <v>150</v>
      </c>
      <c r="C3396" s="1">
        <v>657746.0</v>
      </c>
      <c r="D3396" s="1" t="s">
        <v>537</v>
      </c>
      <c r="E3396" s="1" t="s">
        <v>927</v>
      </c>
      <c r="F3396" s="1" t="s">
        <v>927</v>
      </c>
      <c r="G3396" s="1">
        <v>648.0</v>
      </c>
      <c r="H3396" s="1">
        <v>39.6450805</v>
      </c>
      <c r="I3396" s="1">
        <v>5.48</v>
      </c>
      <c r="J3396" s="1">
        <v>7.931823</v>
      </c>
    </row>
    <row r="3397">
      <c r="A3397" s="1">
        <v>2025.0</v>
      </c>
      <c r="B3397" s="1" t="s">
        <v>150</v>
      </c>
      <c r="C3397" s="1">
        <v>657746.0</v>
      </c>
      <c r="D3397" s="1" t="s">
        <v>538</v>
      </c>
      <c r="E3397" s="1" t="s">
        <v>927</v>
      </c>
      <c r="F3397" s="1" t="s">
        <v>927</v>
      </c>
      <c r="G3397" s="1">
        <v>88.0</v>
      </c>
      <c r="H3397" s="1">
        <v>5.383899821</v>
      </c>
      <c r="I3397" s="1">
        <v>4.37</v>
      </c>
      <c r="J3397" s="1">
        <v>3.032568</v>
      </c>
    </row>
    <row r="3398">
      <c r="A3398" s="1">
        <v>2025.0</v>
      </c>
      <c r="B3398" s="1" t="s">
        <v>150</v>
      </c>
      <c r="C3398" s="1">
        <v>657746.0</v>
      </c>
      <c r="D3398" s="1" t="s">
        <v>536</v>
      </c>
      <c r="E3398" s="1" t="s">
        <v>927</v>
      </c>
      <c r="F3398" s="1" t="s">
        <v>927</v>
      </c>
      <c r="G3398" s="1">
        <v>221.0</v>
      </c>
      <c r="H3398" s="1">
        <v>13.52093023</v>
      </c>
      <c r="I3398" s="1">
        <v>5.09</v>
      </c>
      <c r="J3398" s="1">
        <v>4.461543</v>
      </c>
    </row>
    <row r="3399">
      <c r="A3399" s="1">
        <v>2025.0</v>
      </c>
      <c r="B3399" s="1" t="s">
        <v>150</v>
      </c>
      <c r="C3399" s="1">
        <v>657746.0</v>
      </c>
      <c r="D3399" s="1" t="s">
        <v>533</v>
      </c>
      <c r="E3399" s="1" t="s">
        <v>927</v>
      </c>
      <c r="F3399" s="1" t="s">
        <v>927</v>
      </c>
      <c r="G3399" s="1">
        <v>149.0</v>
      </c>
      <c r="H3399" s="1">
        <v>9.115921288</v>
      </c>
      <c r="I3399" s="1">
        <v>4.86</v>
      </c>
      <c r="J3399" s="1">
        <v>3.640185</v>
      </c>
    </row>
    <row r="3400">
      <c r="A3400" s="1">
        <v>2025.0</v>
      </c>
      <c r="B3400" s="1" t="s">
        <v>150</v>
      </c>
      <c r="C3400" s="1">
        <v>657746.0</v>
      </c>
      <c r="D3400" s="1" t="s">
        <v>539</v>
      </c>
      <c r="E3400" s="1" t="s">
        <v>927</v>
      </c>
      <c r="F3400" s="1" t="s">
        <v>927</v>
      </c>
      <c r="G3400" s="1">
        <v>227.0</v>
      </c>
      <c r="H3400" s="1">
        <v>13.88801431</v>
      </c>
      <c r="I3400" s="1">
        <v>5.08</v>
      </c>
      <c r="J3400" s="1">
        <v>4.414257</v>
      </c>
    </row>
    <row r="3401">
      <c r="A3401" s="1">
        <v>2025.0</v>
      </c>
      <c r="B3401" s="1" t="s">
        <v>634</v>
      </c>
      <c r="C3401" s="1">
        <v>606303.0</v>
      </c>
      <c r="D3401" s="1" t="s">
        <v>532</v>
      </c>
      <c r="E3401" s="1" t="s">
        <v>927</v>
      </c>
      <c r="F3401" s="1" t="s">
        <v>926</v>
      </c>
      <c r="G3401" s="1">
        <v>4.0</v>
      </c>
      <c r="H3401" s="1">
        <v>0.234595397</v>
      </c>
      <c r="I3401" s="1">
        <v>3.7</v>
      </c>
      <c r="J3401" s="1">
        <v>0.196819</v>
      </c>
    </row>
    <row r="3402">
      <c r="A3402" s="1">
        <v>2025.0</v>
      </c>
      <c r="B3402" s="1" t="s">
        <v>634</v>
      </c>
      <c r="C3402" s="1">
        <v>606303.0</v>
      </c>
      <c r="D3402" s="1" t="s">
        <v>540</v>
      </c>
      <c r="E3402" s="1" t="s">
        <v>927</v>
      </c>
      <c r="F3402" s="1" t="s">
        <v>926</v>
      </c>
      <c r="G3402" s="1">
        <v>2.0</v>
      </c>
      <c r="H3402" s="1">
        <v>0.117297699</v>
      </c>
      <c r="I3402" s="1">
        <v>3.69</v>
      </c>
      <c r="J3402" s="1">
        <v>0.104025</v>
      </c>
    </row>
    <row r="3403">
      <c r="A3403" s="1">
        <v>2025.0</v>
      </c>
      <c r="B3403" s="1" t="s">
        <v>634</v>
      </c>
      <c r="C3403" s="1">
        <v>606303.0</v>
      </c>
      <c r="D3403" s="1" t="s">
        <v>537</v>
      </c>
      <c r="E3403" s="1" t="s">
        <v>927</v>
      </c>
      <c r="F3403" s="1" t="s">
        <v>926</v>
      </c>
      <c r="G3403" s="1">
        <v>78.0</v>
      </c>
      <c r="H3403" s="1">
        <v>4.574610245</v>
      </c>
      <c r="I3403" s="1">
        <v>4.95</v>
      </c>
      <c r="J3403" s="1">
        <v>1.822906</v>
      </c>
    </row>
    <row r="3404">
      <c r="A3404" s="1">
        <v>2025.0</v>
      </c>
      <c r="B3404" s="1" t="s">
        <v>634</v>
      </c>
      <c r="C3404" s="1">
        <v>606303.0</v>
      </c>
      <c r="D3404" s="1" t="s">
        <v>536</v>
      </c>
      <c r="E3404" s="1" t="s">
        <v>927</v>
      </c>
      <c r="F3404" s="1" t="s">
        <v>926</v>
      </c>
      <c r="G3404" s="1">
        <v>21.0</v>
      </c>
      <c r="H3404" s="1">
        <v>1.231625835</v>
      </c>
      <c r="I3404" s="1">
        <v>4.62</v>
      </c>
      <c r="J3404" s="1">
        <v>0.640276</v>
      </c>
    </row>
    <row r="3405">
      <c r="A3405" s="1">
        <v>2025.0</v>
      </c>
      <c r="B3405" s="1" t="s">
        <v>634</v>
      </c>
      <c r="C3405" s="1">
        <v>606303.0</v>
      </c>
      <c r="D3405" s="1" t="s">
        <v>533</v>
      </c>
      <c r="E3405" s="1" t="s">
        <v>927</v>
      </c>
      <c r="F3405" s="1" t="s">
        <v>926</v>
      </c>
      <c r="G3405" s="1">
        <v>79.0</v>
      </c>
      <c r="H3405" s="1">
        <v>4.633259094</v>
      </c>
      <c r="I3405" s="1">
        <v>4.94</v>
      </c>
      <c r="J3405" s="1">
        <v>1.839095</v>
      </c>
    </row>
    <row r="3406">
      <c r="A3406" s="1">
        <v>2025.0</v>
      </c>
      <c r="B3406" s="1" t="s">
        <v>634</v>
      </c>
      <c r="C3406" s="1">
        <v>606303.0</v>
      </c>
      <c r="D3406" s="1" t="s">
        <v>537</v>
      </c>
      <c r="E3406" s="1" t="s">
        <v>927</v>
      </c>
      <c r="F3406" s="1" t="s">
        <v>927</v>
      </c>
      <c r="G3406" s="1">
        <v>88.0</v>
      </c>
      <c r="H3406" s="1">
        <v>5.161098738</v>
      </c>
      <c r="I3406" s="1">
        <v>4.91</v>
      </c>
      <c r="J3406" s="1">
        <v>2.104516</v>
      </c>
    </row>
    <row r="3407">
      <c r="A3407" s="1">
        <v>2025.0</v>
      </c>
      <c r="B3407" s="1" t="s">
        <v>634</v>
      </c>
      <c r="C3407" s="1">
        <v>606303.0</v>
      </c>
      <c r="D3407" s="1" t="s">
        <v>536</v>
      </c>
      <c r="E3407" s="1" t="s">
        <v>927</v>
      </c>
      <c r="F3407" s="1" t="s">
        <v>927</v>
      </c>
      <c r="G3407" s="1">
        <v>45.0</v>
      </c>
      <c r="H3407" s="1">
        <v>2.639198218</v>
      </c>
      <c r="I3407" s="1">
        <v>4.95</v>
      </c>
      <c r="J3407" s="1">
        <v>1.068007</v>
      </c>
    </row>
    <row r="3408">
      <c r="A3408" s="1">
        <v>2025.0</v>
      </c>
      <c r="B3408" s="1" t="s">
        <v>634</v>
      </c>
      <c r="C3408" s="1">
        <v>606303.0</v>
      </c>
      <c r="D3408" s="1" t="s">
        <v>533</v>
      </c>
      <c r="E3408" s="1" t="s">
        <v>927</v>
      </c>
      <c r="F3408" s="1" t="s">
        <v>927</v>
      </c>
      <c r="G3408" s="1">
        <v>132.0</v>
      </c>
      <c r="H3408" s="1">
        <v>7.741648107</v>
      </c>
      <c r="I3408" s="1">
        <v>5.59</v>
      </c>
      <c r="J3408" s="1">
        <v>1.272508</v>
      </c>
    </row>
    <row r="3409">
      <c r="A3409" s="1">
        <v>2025.0</v>
      </c>
      <c r="B3409" s="1" t="s">
        <v>969</v>
      </c>
      <c r="C3409" s="1">
        <v>666711.0</v>
      </c>
      <c r="D3409" s="1" t="s">
        <v>537</v>
      </c>
      <c r="E3409" s="1" t="s">
        <v>927</v>
      </c>
      <c r="F3409" s="1" t="s">
        <v>926</v>
      </c>
      <c r="G3409" s="1">
        <v>57.0</v>
      </c>
      <c r="H3409" s="1">
        <v>4.041269841</v>
      </c>
      <c r="I3409" s="1">
        <v>4.72</v>
      </c>
      <c r="J3409" s="1">
        <v>1.659288</v>
      </c>
    </row>
    <row r="3410">
      <c r="A3410" s="1">
        <v>2025.0</v>
      </c>
      <c r="B3410" s="1" t="s">
        <v>969</v>
      </c>
      <c r="C3410" s="1">
        <v>666711.0</v>
      </c>
      <c r="D3410" s="1" t="s">
        <v>536</v>
      </c>
      <c r="E3410" s="1" t="s">
        <v>927</v>
      </c>
      <c r="F3410" s="1" t="s">
        <v>926</v>
      </c>
      <c r="G3410" s="1">
        <v>27.0</v>
      </c>
      <c r="H3410" s="1">
        <v>1.914285714</v>
      </c>
      <c r="I3410" s="1">
        <v>4.34</v>
      </c>
      <c r="J3410" s="1">
        <v>1.002187</v>
      </c>
    </row>
    <row r="3411">
      <c r="A3411" s="1">
        <v>2025.0</v>
      </c>
      <c r="B3411" s="1" t="s">
        <v>969</v>
      </c>
      <c r="C3411" s="1">
        <v>666711.0</v>
      </c>
      <c r="D3411" s="1" t="s">
        <v>533</v>
      </c>
      <c r="E3411" s="1" t="s">
        <v>927</v>
      </c>
      <c r="F3411" s="1" t="s">
        <v>926</v>
      </c>
      <c r="G3411" s="1">
        <v>33.0</v>
      </c>
      <c r="H3411" s="1">
        <v>2.33968254</v>
      </c>
      <c r="I3411" s="1">
        <v>5.38</v>
      </c>
      <c r="J3411" s="1">
        <v>0.450698</v>
      </c>
    </row>
    <row r="3412">
      <c r="A3412" s="1">
        <v>2025.0</v>
      </c>
      <c r="B3412" s="1" t="s">
        <v>969</v>
      </c>
      <c r="C3412" s="1">
        <v>666711.0</v>
      </c>
      <c r="D3412" s="1" t="s">
        <v>537</v>
      </c>
      <c r="E3412" s="1" t="s">
        <v>927</v>
      </c>
      <c r="F3412" s="1" t="s">
        <v>927</v>
      </c>
      <c r="G3412" s="1">
        <v>49.0</v>
      </c>
      <c r="H3412" s="1">
        <v>3.474074074</v>
      </c>
      <c r="I3412" s="1">
        <v>4.74</v>
      </c>
      <c r="J3412" s="1">
        <v>1.42885</v>
      </c>
    </row>
    <row r="3413">
      <c r="A3413" s="1">
        <v>2025.0</v>
      </c>
      <c r="B3413" s="1" t="s">
        <v>969</v>
      </c>
      <c r="C3413" s="1">
        <v>666711.0</v>
      </c>
      <c r="D3413" s="1" t="s">
        <v>536</v>
      </c>
      <c r="E3413" s="1" t="s">
        <v>927</v>
      </c>
      <c r="F3413" s="1" t="s">
        <v>927</v>
      </c>
      <c r="G3413" s="1">
        <v>78.0</v>
      </c>
      <c r="H3413" s="1">
        <v>5.53015873</v>
      </c>
      <c r="I3413" s="1">
        <v>4.93</v>
      </c>
      <c r="J3413" s="1">
        <v>1.88482</v>
      </c>
    </row>
    <row r="3414">
      <c r="A3414" s="1">
        <v>2025.0</v>
      </c>
      <c r="B3414" s="1" t="s">
        <v>969</v>
      </c>
      <c r="C3414" s="1">
        <v>666711.0</v>
      </c>
      <c r="D3414" s="1" t="s">
        <v>533</v>
      </c>
      <c r="E3414" s="1" t="s">
        <v>927</v>
      </c>
      <c r="F3414" s="1" t="s">
        <v>927</v>
      </c>
      <c r="G3414" s="1">
        <v>71.0</v>
      </c>
      <c r="H3414" s="1">
        <v>5.033862434</v>
      </c>
      <c r="I3414" s="1">
        <v>5.15</v>
      </c>
      <c r="J3414" s="1">
        <v>1.368405</v>
      </c>
    </row>
    <row r="3415">
      <c r="A3415" s="1">
        <v>2025.0</v>
      </c>
      <c r="B3415" s="1" t="s">
        <v>398</v>
      </c>
      <c r="C3415" s="1">
        <v>676282.0</v>
      </c>
      <c r="D3415" s="1" t="s">
        <v>532</v>
      </c>
      <c r="E3415" s="1" t="s">
        <v>926</v>
      </c>
      <c r="F3415" s="1" t="s">
        <v>926</v>
      </c>
      <c r="G3415" s="1">
        <v>98.0</v>
      </c>
      <c r="H3415" s="1">
        <v>5.710676447</v>
      </c>
      <c r="I3415" s="1">
        <v>4.62</v>
      </c>
      <c r="J3415" s="1">
        <v>2.81912</v>
      </c>
    </row>
    <row r="3416">
      <c r="A3416" s="1">
        <v>2025.0</v>
      </c>
      <c r="B3416" s="1" t="s">
        <v>398</v>
      </c>
      <c r="C3416" s="1">
        <v>676282.0</v>
      </c>
      <c r="D3416" s="1" t="s">
        <v>541</v>
      </c>
      <c r="E3416" s="1" t="s">
        <v>926</v>
      </c>
      <c r="F3416" s="1" t="s">
        <v>926</v>
      </c>
      <c r="G3416" s="1">
        <v>59.0</v>
      </c>
      <c r="H3416" s="1">
        <v>3.43806031</v>
      </c>
      <c r="I3416" s="1">
        <v>5.28</v>
      </c>
      <c r="J3416" s="1">
        <v>0.92008</v>
      </c>
    </row>
    <row r="3417">
      <c r="A3417" s="1">
        <v>2025.0</v>
      </c>
      <c r="B3417" s="1" t="s">
        <v>398</v>
      </c>
      <c r="C3417" s="1">
        <v>676282.0</v>
      </c>
      <c r="D3417" s="1" t="s">
        <v>537</v>
      </c>
      <c r="E3417" s="1" t="s">
        <v>926</v>
      </c>
      <c r="F3417" s="1" t="s">
        <v>926</v>
      </c>
      <c r="G3417" s="1">
        <v>215.0</v>
      </c>
      <c r="H3417" s="1">
        <v>12.52852486</v>
      </c>
      <c r="I3417" s="1">
        <v>4.78</v>
      </c>
      <c r="J3417" s="1">
        <v>5.686575</v>
      </c>
    </row>
    <row r="3418">
      <c r="A3418" s="1">
        <v>2025.0</v>
      </c>
      <c r="B3418" s="1" t="s">
        <v>398</v>
      </c>
      <c r="C3418" s="1">
        <v>676282.0</v>
      </c>
      <c r="D3418" s="1" t="s">
        <v>533</v>
      </c>
      <c r="E3418" s="1" t="s">
        <v>926</v>
      </c>
      <c r="F3418" s="1" t="s">
        <v>926</v>
      </c>
      <c r="G3418" s="1">
        <v>94.0</v>
      </c>
      <c r="H3418" s="1">
        <v>5.477587612</v>
      </c>
      <c r="I3418" s="1">
        <v>4.89</v>
      </c>
      <c r="J3418" s="1">
        <v>2.273272</v>
      </c>
    </row>
    <row r="3419">
      <c r="A3419" s="1">
        <v>2025.0</v>
      </c>
      <c r="B3419" s="1" t="s">
        <v>398</v>
      </c>
      <c r="C3419" s="1">
        <v>676282.0</v>
      </c>
      <c r="D3419" s="1" t="s">
        <v>532</v>
      </c>
      <c r="E3419" s="1" t="s">
        <v>926</v>
      </c>
      <c r="F3419" s="1" t="s">
        <v>927</v>
      </c>
      <c r="G3419" s="1">
        <v>402.0</v>
      </c>
      <c r="H3419" s="1">
        <v>23.42542787</v>
      </c>
      <c r="I3419" s="1">
        <v>4.95</v>
      </c>
      <c r="J3419" s="1">
        <v>9.02631</v>
      </c>
    </row>
    <row r="3420">
      <c r="A3420" s="1">
        <v>2025.0</v>
      </c>
      <c r="B3420" s="1" t="s">
        <v>398</v>
      </c>
      <c r="C3420" s="1">
        <v>676282.0</v>
      </c>
      <c r="D3420" s="1" t="s">
        <v>541</v>
      </c>
      <c r="E3420" s="1" t="s">
        <v>926</v>
      </c>
      <c r="F3420" s="1" t="s">
        <v>927</v>
      </c>
      <c r="G3420" s="1">
        <v>248.0</v>
      </c>
      <c r="H3420" s="1">
        <v>14.45150774</v>
      </c>
      <c r="I3420" s="1">
        <v>5.1</v>
      </c>
      <c r="J3420" s="1">
        <v>4.809616</v>
      </c>
    </row>
    <row r="3421">
      <c r="A3421" s="1">
        <v>2025.0</v>
      </c>
      <c r="B3421" s="1" t="s">
        <v>398</v>
      </c>
      <c r="C3421" s="1">
        <v>676282.0</v>
      </c>
      <c r="D3421" s="1" t="s">
        <v>537</v>
      </c>
      <c r="E3421" s="1" t="s">
        <v>926</v>
      </c>
      <c r="F3421" s="1" t="s">
        <v>927</v>
      </c>
      <c r="G3421" s="1">
        <v>474.0</v>
      </c>
      <c r="H3421" s="1">
        <v>27.62102689</v>
      </c>
      <c r="I3421" s="1">
        <v>4.86</v>
      </c>
      <c r="J3421" s="1">
        <v>12.121884</v>
      </c>
    </row>
    <row r="3422">
      <c r="A3422" s="1">
        <v>2025.0</v>
      </c>
      <c r="B3422" s="1" t="s">
        <v>398</v>
      </c>
      <c r="C3422" s="1">
        <v>676282.0</v>
      </c>
      <c r="D3422" s="1" t="s">
        <v>533</v>
      </c>
      <c r="E3422" s="1" t="s">
        <v>926</v>
      </c>
      <c r="F3422" s="1" t="s">
        <v>927</v>
      </c>
      <c r="G3422" s="1">
        <v>46.0</v>
      </c>
      <c r="H3422" s="1">
        <v>2.680521597</v>
      </c>
      <c r="I3422" s="1">
        <v>5.28</v>
      </c>
      <c r="J3422" s="1">
        <v>0.803239</v>
      </c>
    </row>
    <row r="3423">
      <c r="A3423" s="1">
        <v>2025.0</v>
      </c>
      <c r="B3423" s="1" t="s">
        <v>619</v>
      </c>
      <c r="C3423" s="1">
        <v>683155.0</v>
      </c>
      <c r="D3423" s="1" t="s">
        <v>532</v>
      </c>
      <c r="E3423" s="1" t="s">
        <v>927</v>
      </c>
      <c r="F3423" s="1" t="s">
        <v>926</v>
      </c>
      <c r="G3423" s="1">
        <v>16.0</v>
      </c>
      <c r="H3423" s="1">
        <v>0.946236559</v>
      </c>
      <c r="I3423" s="1">
        <v>4.91</v>
      </c>
      <c r="J3423" s="1">
        <v>0.386146</v>
      </c>
    </row>
    <row r="3424">
      <c r="A3424" s="1">
        <v>2025.0</v>
      </c>
      <c r="B3424" s="1" t="s">
        <v>619</v>
      </c>
      <c r="C3424" s="1">
        <v>683155.0</v>
      </c>
      <c r="D3424" s="1" t="s">
        <v>537</v>
      </c>
      <c r="E3424" s="1" t="s">
        <v>927</v>
      </c>
      <c r="F3424" s="1" t="s">
        <v>926</v>
      </c>
      <c r="G3424" s="1">
        <v>44.0</v>
      </c>
      <c r="H3424" s="1">
        <v>2.602150538</v>
      </c>
      <c r="I3424" s="1">
        <v>4.13</v>
      </c>
      <c r="J3424" s="1">
        <v>1.733005</v>
      </c>
    </row>
    <row r="3425">
      <c r="A3425" s="1">
        <v>2025.0</v>
      </c>
      <c r="B3425" s="1" t="s">
        <v>619</v>
      </c>
      <c r="C3425" s="1">
        <v>683155.0</v>
      </c>
      <c r="D3425" s="1" t="s">
        <v>536</v>
      </c>
      <c r="E3425" s="1" t="s">
        <v>927</v>
      </c>
      <c r="F3425" s="1" t="s">
        <v>926</v>
      </c>
      <c r="G3425" s="1">
        <v>5.0</v>
      </c>
      <c r="H3425" s="1">
        <v>0.295698925</v>
      </c>
      <c r="I3425" s="1">
        <v>4.18</v>
      </c>
      <c r="J3425" s="1">
        <v>0.201023</v>
      </c>
    </row>
    <row r="3426">
      <c r="A3426" s="1">
        <v>2025.0</v>
      </c>
      <c r="B3426" s="1" t="s">
        <v>619</v>
      </c>
      <c r="C3426" s="1">
        <v>683155.0</v>
      </c>
      <c r="D3426" s="1" t="s">
        <v>533</v>
      </c>
      <c r="E3426" s="1" t="s">
        <v>927</v>
      </c>
      <c r="F3426" s="1" t="s">
        <v>926</v>
      </c>
      <c r="G3426" s="1">
        <v>14.0</v>
      </c>
      <c r="H3426" s="1">
        <v>0.827956989</v>
      </c>
      <c r="I3426" s="1">
        <v>4.34</v>
      </c>
      <c r="J3426" s="1">
        <v>0.499779</v>
      </c>
    </row>
    <row r="3427">
      <c r="A3427" s="1">
        <v>2025.0</v>
      </c>
      <c r="B3427" s="1" t="s">
        <v>619</v>
      </c>
      <c r="C3427" s="1">
        <v>683155.0</v>
      </c>
      <c r="D3427" s="1" t="s">
        <v>539</v>
      </c>
      <c r="E3427" s="1" t="s">
        <v>927</v>
      </c>
      <c r="F3427" s="1" t="s">
        <v>926</v>
      </c>
      <c r="G3427" s="1">
        <v>7.0</v>
      </c>
      <c r="H3427" s="1">
        <v>0.413978495</v>
      </c>
      <c r="I3427" s="1">
        <v>5.89</v>
      </c>
      <c r="J3427" s="1">
        <v>0.030621</v>
      </c>
    </row>
    <row r="3428">
      <c r="A3428" s="1">
        <v>2025.0</v>
      </c>
      <c r="B3428" s="1" t="s">
        <v>619</v>
      </c>
      <c r="C3428" s="1">
        <v>683155.0</v>
      </c>
      <c r="D3428" s="1" t="s">
        <v>532</v>
      </c>
      <c r="E3428" s="1" t="s">
        <v>927</v>
      </c>
      <c r="F3428" s="1" t="s">
        <v>927</v>
      </c>
      <c r="G3428" s="1">
        <v>2.0</v>
      </c>
      <c r="H3428" s="1">
        <v>0.11827957</v>
      </c>
      <c r="I3428" s="1">
        <v>3.74</v>
      </c>
      <c r="J3428" s="1">
        <v>0.090785</v>
      </c>
    </row>
    <row r="3429">
      <c r="A3429" s="1">
        <v>2025.0</v>
      </c>
      <c r="B3429" s="1" t="s">
        <v>619</v>
      </c>
      <c r="C3429" s="1">
        <v>683155.0</v>
      </c>
      <c r="D3429" s="1" t="s">
        <v>537</v>
      </c>
      <c r="E3429" s="1" t="s">
        <v>927</v>
      </c>
      <c r="F3429" s="1" t="s">
        <v>927</v>
      </c>
      <c r="G3429" s="1">
        <v>54.0</v>
      </c>
      <c r="H3429" s="1">
        <v>3.193548387</v>
      </c>
      <c r="I3429" s="1">
        <v>5.35</v>
      </c>
      <c r="J3429" s="1">
        <v>0.83618</v>
      </c>
    </row>
    <row r="3430">
      <c r="A3430" s="1">
        <v>2025.0</v>
      </c>
      <c r="B3430" s="1" t="s">
        <v>619</v>
      </c>
      <c r="C3430" s="1">
        <v>683155.0</v>
      </c>
      <c r="D3430" s="1" t="s">
        <v>536</v>
      </c>
      <c r="E3430" s="1" t="s">
        <v>927</v>
      </c>
      <c r="F3430" s="1" t="s">
        <v>927</v>
      </c>
      <c r="G3430" s="1">
        <v>8.0</v>
      </c>
      <c r="H3430" s="1">
        <v>0.47311828</v>
      </c>
      <c r="I3430" s="1">
        <v>4.5</v>
      </c>
      <c r="J3430" s="1">
        <v>0.26624</v>
      </c>
    </row>
    <row r="3431">
      <c r="A3431" s="1">
        <v>2025.0</v>
      </c>
      <c r="B3431" s="1" t="s">
        <v>619</v>
      </c>
      <c r="C3431" s="1">
        <v>683155.0</v>
      </c>
      <c r="D3431" s="1" t="s">
        <v>533</v>
      </c>
      <c r="E3431" s="1" t="s">
        <v>927</v>
      </c>
      <c r="F3431" s="1" t="s">
        <v>927</v>
      </c>
      <c r="G3431" s="1">
        <v>15.0</v>
      </c>
      <c r="H3431" s="1">
        <v>0.887096774</v>
      </c>
      <c r="I3431" s="1">
        <v>5.37</v>
      </c>
      <c r="J3431" s="1">
        <v>0.221045</v>
      </c>
    </row>
    <row r="3432">
      <c r="A3432" s="1">
        <v>2025.0</v>
      </c>
      <c r="B3432" s="1" t="s">
        <v>619</v>
      </c>
      <c r="C3432" s="1">
        <v>683155.0</v>
      </c>
      <c r="D3432" s="1" t="s">
        <v>539</v>
      </c>
      <c r="E3432" s="1" t="s">
        <v>927</v>
      </c>
      <c r="F3432" s="1" t="s">
        <v>927</v>
      </c>
      <c r="G3432" s="1">
        <v>21.0</v>
      </c>
      <c r="H3432" s="1">
        <v>1.241935484</v>
      </c>
      <c r="I3432" s="1">
        <v>5.09</v>
      </c>
      <c r="J3432" s="1">
        <v>0.404935</v>
      </c>
    </row>
    <row r="3433">
      <c r="A3433" s="1">
        <v>2025.0</v>
      </c>
      <c r="B3433" s="1" t="s">
        <v>970</v>
      </c>
      <c r="C3433" s="1">
        <v>680702.0</v>
      </c>
      <c r="D3433" s="1" t="s">
        <v>532</v>
      </c>
      <c r="E3433" s="1" t="s">
        <v>927</v>
      </c>
      <c r="F3433" s="1" t="s">
        <v>926</v>
      </c>
      <c r="G3433" s="1">
        <v>1.0</v>
      </c>
      <c r="H3433" s="1">
        <v>0.067708333</v>
      </c>
      <c r="I3433" s="1">
        <v>4.83</v>
      </c>
      <c r="J3433" s="1">
        <v>0.027313</v>
      </c>
    </row>
    <row r="3434">
      <c r="A3434" s="1">
        <v>2025.0</v>
      </c>
      <c r="B3434" s="1" t="s">
        <v>970</v>
      </c>
      <c r="C3434" s="1">
        <v>680702.0</v>
      </c>
      <c r="D3434" s="1" t="s">
        <v>537</v>
      </c>
      <c r="E3434" s="1" t="s">
        <v>927</v>
      </c>
      <c r="F3434" s="1" t="s">
        <v>926</v>
      </c>
      <c r="G3434" s="1">
        <v>28.0</v>
      </c>
      <c r="H3434" s="1">
        <v>1.895833333</v>
      </c>
      <c r="I3434" s="1">
        <v>5.18</v>
      </c>
      <c r="J3434" s="1">
        <v>0.535441</v>
      </c>
    </row>
    <row r="3435">
      <c r="A3435" s="1">
        <v>2025.0</v>
      </c>
      <c r="B3435" s="1" t="s">
        <v>970</v>
      </c>
      <c r="C3435" s="1">
        <v>680702.0</v>
      </c>
      <c r="D3435" s="1" t="s">
        <v>533</v>
      </c>
      <c r="E3435" s="1" t="s">
        <v>927</v>
      </c>
      <c r="F3435" s="1" t="s">
        <v>926</v>
      </c>
      <c r="G3435" s="1">
        <v>12.0</v>
      </c>
      <c r="H3435" s="1">
        <v>0.8125</v>
      </c>
      <c r="I3435" s="1">
        <v>5.53</v>
      </c>
      <c r="J3435" s="1">
        <v>0.144933</v>
      </c>
    </row>
    <row r="3436">
      <c r="A3436" s="1">
        <v>2025.0</v>
      </c>
      <c r="B3436" s="1" t="s">
        <v>970</v>
      </c>
      <c r="C3436" s="1">
        <v>680702.0</v>
      </c>
      <c r="D3436" s="1" t="s">
        <v>537</v>
      </c>
      <c r="E3436" s="1" t="s">
        <v>927</v>
      </c>
      <c r="F3436" s="1" t="s">
        <v>927</v>
      </c>
      <c r="G3436" s="1">
        <v>17.0</v>
      </c>
      <c r="H3436" s="1">
        <v>1.151041667</v>
      </c>
      <c r="I3436" s="1">
        <v>5.09</v>
      </c>
      <c r="J3436" s="1">
        <v>0.375297</v>
      </c>
    </row>
    <row r="3437">
      <c r="A3437" s="1">
        <v>2025.0</v>
      </c>
      <c r="B3437" s="1" t="s">
        <v>970</v>
      </c>
      <c r="C3437" s="1">
        <v>680702.0</v>
      </c>
      <c r="D3437" s="1" t="s">
        <v>533</v>
      </c>
      <c r="E3437" s="1" t="s">
        <v>927</v>
      </c>
      <c r="F3437" s="1" t="s">
        <v>927</v>
      </c>
      <c r="G3437" s="1">
        <v>6.0</v>
      </c>
      <c r="H3437" s="1">
        <v>0.40625</v>
      </c>
      <c r="I3437" s="1">
        <v>4.02</v>
      </c>
      <c r="J3437" s="1">
        <v>0.265371</v>
      </c>
    </row>
    <row r="3438">
      <c r="A3438" s="1">
        <v>2025.0</v>
      </c>
      <c r="B3438" s="1" t="s">
        <v>483</v>
      </c>
      <c r="C3438" s="1">
        <v>664192.0</v>
      </c>
      <c r="D3438" s="1" t="s">
        <v>541</v>
      </c>
      <c r="E3438" s="1" t="s">
        <v>926</v>
      </c>
      <c r="F3438" s="1" t="s">
        <v>926</v>
      </c>
      <c r="G3438" s="1">
        <v>83.0</v>
      </c>
      <c r="H3438" s="1">
        <v>5.0342827</v>
      </c>
      <c r="I3438" s="1">
        <v>4.45</v>
      </c>
      <c r="J3438" s="1">
        <v>2.680798</v>
      </c>
    </row>
    <row r="3439">
      <c r="A3439" s="1">
        <v>2025.0</v>
      </c>
      <c r="B3439" s="1" t="s">
        <v>483</v>
      </c>
      <c r="C3439" s="1">
        <v>664192.0</v>
      </c>
      <c r="D3439" s="1" t="s">
        <v>537</v>
      </c>
      <c r="E3439" s="1" t="s">
        <v>926</v>
      </c>
      <c r="F3439" s="1" t="s">
        <v>926</v>
      </c>
      <c r="G3439" s="1">
        <v>52.0</v>
      </c>
      <c r="H3439" s="1">
        <v>3.154008439</v>
      </c>
      <c r="I3439" s="1">
        <v>4.58</v>
      </c>
      <c r="J3439" s="1">
        <v>1.540595</v>
      </c>
    </row>
    <row r="3440">
      <c r="A3440" s="1">
        <v>2025.0</v>
      </c>
      <c r="B3440" s="1" t="s">
        <v>483</v>
      </c>
      <c r="C3440" s="1">
        <v>664192.0</v>
      </c>
      <c r="D3440" s="1" t="s">
        <v>536</v>
      </c>
      <c r="E3440" s="1" t="s">
        <v>926</v>
      </c>
      <c r="F3440" s="1" t="s">
        <v>926</v>
      </c>
      <c r="G3440" s="1">
        <v>203.0</v>
      </c>
      <c r="H3440" s="1">
        <v>12.31276371</v>
      </c>
      <c r="I3440" s="1">
        <v>5.38</v>
      </c>
      <c r="J3440" s="1">
        <v>3.003527</v>
      </c>
    </row>
    <row r="3441">
      <c r="A3441" s="1">
        <v>2025.0</v>
      </c>
      <c r="B3441" s="1" t="s">
        <v>483</v>
      </c>
      <c r="C3441" s="1">
        <v>664192.0</v>
      </c>
      <c r="D3441" s="1" t="s">
        <v>541</v>
      </c>
      <c r="E3441" s="1" t="s">
        <v>926</v>
      </c>
      <c r="F3441" s="1" t="s">
        <v>927</v>
      </c>
      <c r="G3441" s="1">
        <v>85.0</v>
      </c>
      <c r="H3441" s="1">
        <v>5.155590717</v>
      </c>
      <c r="I3441" s="1">
        <v>4.29</v>
      </c>
      <c r="J3441" s="1">
        <v>3.034036</v>
      </c>
    </row>
    <row r="3442">
      <c r="A3442" s="1">
        <v>2025.0</v>
      </c>
      <c r="B3442" s="1" t="s">
        <v>483</v>
      </c>
      <c r="C3442" s="1">
        <v>664192.0</v>
      </c>
      <c r="D3442" s="1" t="s">
        <v>537</v>
      </c>
      <c r="E3442" s="1" t="s">
        <v>926</v>
      </c>
      <c r="F3442" s="1" t="s">
        <v>927</v>
      </c>
      <c r="G3442" s="1">
        <v>109.0</v>
      </c>
      <c r="H3442" s="1">
        <v>6.61128692</v>
      </c>
      <c r="I3442" s="1">
        <v>4.64</v>
      </c>
      <c r="J3442" s="1">
        <v>3.242074</v>
      </c>
    </row>
    <row r="3443">
      <c r="A3443" s="1">
        <v>2025.0</v>
      </c>
      <c r="B3443" s="1" t="s">
        <v>483</v>
      </c>
      <c r="C3443" s="1">
        <v>664192.0</v>
      </c>
      <c r="D3443" s="1" t="s">
        <v>538</v>
      </c>
      <c r="E3443" s="1" t="s">
        <v>926</v>
      </c>
      <c r="F3443" s="1" t="s">
        <v>927</v>
      </c>
      <c r="G3443" s="1">
        <v>2.0</v>
      </c>
      <c r="H3443" s="1">
        <v>0.121308017</v>
      </c>
      <c r="I3443" s="1">
        <v>3.81</v>
      </c>
      <c r="J3443" s="1">
        <v>0.096762</v>
      </c>
    </row>
    <row r="3444">
      <c r="A3444" s="1">
        <v>2025.0</v>
      </c>
      <c r="B3444" s="1" t="s">
        <v>483</v>
      </c>
      <c r="C3444" s="1">
        <v>664192.0</v>
      </c>
      <c r="D3444" s="1" t="s">
        <v>536</v>
      </c>
      <c r="E3444" s="1" t="s">
        <v>926</v>
      </c>
      <c r="F3444" s="1" t="s">
        <v>927</v>
      </c>
      <c r="G3444" s="1">
        <v>98.0</v>
      </c>
      <c r="H3444" s="1">
        <v>5.944092827</v>
      </c>
      <c r="I3444" s="1">
        <v>4.66</v>
      </c>
      <c r="J3444" s="1">
        <v>2.87545</v>
      </c>
    </row>
    <row r="3445">
      <c r="A3445" s="1">
        <v>2025.0</v>
      </c>
      <c r="B3445" s="1" t="s">
        <v>384</v>
      </c>
      <c r="C3445" s="1">
        <v>666214.0</v>
      </c>
      <c r="D3445" s="1" t="s">
        <v>532</v>
      </c>
      <c r="E3445" s="1" t="s">
        <v>926</v>
      </c>
      <c r="F3445" s="1" t="s">
        <v>926</v>
      </c>
      <c r="G3445" s="1">
        <v>1.0</v>
      </c>
      <c r="H3445" s="1">
        <v>0.05399449</v>
      </c>
      <c r="I3445" s="1">
        <v>5.05</v>
      </c>
      <c r="J3445" s="1">
        <v>0.022284</v>
      </c>
    </row>
    <row r="3446">
      <c r="A3446" s="1">
        <v>2025.0</v>
      </c>
      <c r="B3446" s="1" t="s">
        <v>384</v>
      </c>
      <c r="C3446" s="1">
        <v>666214.0</v>
      </c>
      <c r="D3446" s="1" t="s">
        <v>541</v>
      </c>
      <c r="E3446" s="1" t="s">
        <v>926</v>
      </c>
      <c r="F3446" s="1" t="s">
        <v>926</v>
      </c>
      <c r="G3446" s="1">
        <v>55.0</v>
      </c>
      <c r="H3446" s="1">
        <v>2.96969697</v>
      </c>
      <c r="I3446" s="1">
        <v>5.09</v>
      </c>
      <c r="J3446" s="1">
        <v>1.079417</v>
      </c>
    </row>
    <row r="3447">
      <c r="A3447" s="1">
        <v>2025.0</v>
      </c>
      <c r="B3447" s="1" t="s">
        <v>384</v>
      </c>
      <c r="C3447" s="1">
        <v>666214.0</v>
      </c>
      <c r="D3447" s="1" t="s">
        <v>540</v>
      </c>
      <c r="E3447" s="1" t="s">
        <v>926</v>
      </c>
      <c r="F3447" s="1" t="s">
        <v>926</v>
      </c>
      <c r="G3447" s="1">
        <v>76.0</v>
      </c>
      <c r="H3447" s="1">
        <v>4.103581267</v>
      </c>
      <c r="I3447" s="1">
        <v>5.27</v>
      </c>
      <c r="J3447" s="1">
        <v>1.241908</v>
      </c>
    </row>
    <row r="3448">
      <c r="A3448" s="1">
        <v>2025.0</v>
      </c>
      <c r="B3448" s="1" t="s">
        <v>384</v>
      </c>
      <c r="C3448" s="1">
        <v>666214.0</v>
      </c>
      <c r="D3448" s="1" t="s">
        <v>537</v>
      </c>
      <c r="E3448" s="1" t="s">
        <v>926</v>
      </c>
      <c r="F3448" s="1" t="s">
        <v>926</v>
      </c>
      <c r="G3448" s="1">
        <v>221.0</v>
      </c>
      <c r="H3448" s="1">
        <v>11.93278237</v>
      </c>
      <c r="I3448" s="1">
        <v>5.02</v>
      </c>
      <c r="J3448" s="1">
        <v>4.857416</v>
      </c>
    </row>
    <row r="3449">
      <c r="A3449" s="1">
        <v>2025.0</v>
      </c>
      <c r="B3449" s="1" t="s">
        <v>384</v>
      </c>
      <c r="C3449" s="1">
        <v>666214.0</v>
      </c>
      <c r="D3449" s="1" t="s">
        <v>533</v>
      </c>
      <c r="E3449" s="1" t="s">
        <v>926</v>
      </c>
      <c r="F3449" s="1" t="s">
        <v>926</v>
      </c>
      <c r="G3449" s="1">
        <v>161.0</v>
      </c>
      <c r="H3449" s="1">
        <v>8.693112948</v>
      </c>
      <c r="I3449" s="1">
        <v>5.38</v>
      </c>
      <c r="J3449" s="1">
        <v>2.33841</v>
      </c>
    </row>
    <row r="3450">
      <c r="A3450" s="1">
        <v>2025.0</v>
      </c>
      <c r="B3450" s="1" t="s">
        <v>384</v>
      </c>
      <c r="C3450" s="1">
        <v>666214.0</v>
      </c>
      <c r="D3450" s="1" t="s">
        <v>532</v>
      </c>
      <c r="E3450" s="1" t="s">
        <v>926</v>
      </c>
      <c r="F3450" s="1" t="s">
        <v>927</v>
      </c>
      <c r="G3450" s="1">
        <v>62.0</v>
      </c>
      <c r="H3450" s="1">
        <v>3.347658402</v>
      </c>
      <c r="I3450" s="1">
        <v>4.89</v>
      </c>
      <c r="J3450" s="1">
        <v>1.489688</v>
      </c>
    </row>
    <row r="3451">
      <c r="A3451" s="1">
        <v>2025.0</v>
      </c>
      <c r="B3451" s="1" t="s">
        <v>384</v>
      </c>
      <c r="C3451" s="1">
        <v>666214.0</v>
      </c>
      <c r="D3451" s="1" t="s">
        <v>541</v>
      </c>
      <c r="E3451" s="1" t="s">
        <v>926</v>
      </c>
      <c r="F3451" s="1" t="s">
        <v>927</v>
      </c>
      <c r="G3451" s="1">
        <v>267.0</v>
      </c>
      <c r="H3451" s="1">
        <v>14.41652893</v>
      </c>
      <c r="I3451" s="1">
        <v>4.8</v>
      </c>
      <c r="J3451" s="1">
        <v>6.854451</v>
      </c>
    </row>
    <row r="3452">
      <c r="A3452" s="1">
        <v>2025.0</v>
      </c>
      <c r="B3452" s="1" t="s">
        <v>384</v>
      </c>
      <c r="C3452" s="1">
        <v>666214.0</v>
      </c>
      <c r="D3452" s="1" t="s">
        <v>540</v>
      </c>
      <c r="E3452" s="1" t="s">
        <v>926</v>
      </c>
      <c r="F3452" s="1" t="s">
        <v>927</v>
      </c>
      <c r="G3452" s="1">
        <v>74.0</v>
      </c>
      <c r="H3452" s="1">
        <v>3.995592287</v>
      </c>
      <c r="I3452" s="1">
        <v>4.93</v>
      </c>
      <c r="J3452" s="1">
        <v>1.750962</v>
      </c>
    </row>
    <row r="3453">
      <c r="A3453" s="1">
        <v>2025.0</v>
      </c>
      <c r="B3453" s="1" t="s">
        <v>384</v>
      </c>
      <c r="C3453" s="1">
        <v>666214.0</v>
      </c>
      <c r="D3453" s="1" t="s">
        <v>537</v>
      </c>
      <c r="E3453" s="1" t="s">
        <v>926</v>
      </c>
      <c r="F3453" s="1" t="s">
        <v>927</v>
      </c>
      <c r="G3453" s="1">
        <v>579.0</v>
      </c>
      <c r="H3453" s="1">
        <v>31.26280992</v>
      </c>
      <c r="I3453" s="1">
        <v>4.88</v>
      </c>
      <c r="J3453" s="1">
        <v>14.558065</v>
      </c>
    </row>
    <row r="3454">
      <c r="A3454" s="1">
        <v>2025.0</v>
      </c>
      <c r="B3454" s="1" t="s">
        <v>384</v>
      </c>
      <c r="C3454" s="1">
        <v>666214.0</v>
      </c>
      <c r="D3454" s="1" t="s">
        <v>533</v>
      </c>
      <c r="E3454" s="1" t="s">
        <v>926</v>
      </c>
      <c r="F3454" s="1" t="s">
        <v>927</v>
      </c>
      <c r="G3454" s="1">
        <v>319.0</v>
      </c>
      <c r="H3454" s="1">
        <v>17.22424242</v>
      </c>
      <c r="I3454" s="1">
        <v>5.23</v>
      </c>
      <c r="J3454" s="1">
        <v>5.756956</v>
      </c>
    </row>
    <row r="3455">
      <c r="A3455" s="1">
        <v>2025.0</v>
      </c>
      <c r="B3455" s="1" t="s">
        <v>355</v>
      </c>
      <c r="C3455" s="1">
        <v>670912.0</v>
      </c>
      <c r="D3455" s="1" t="s">
        <v>532</v>
      </c>
      <c r="E3455" s="1" t="s">
        <v>927</v>
      </c>
      <c r="F3455" s="1" t="s">
        <v>926</v>
      </c>
      <c r="G3455" s="1">
        <v>35.0</v>
      </c>
      <c r="H3455" s="1">
        <v>2.126004016</v>
      </c>
      <c r="I3455" s="1">
        <v>4.52</v>
      </c>
      <c r="J3455" s="1">
        <v>1.140078</v>
      </c>
    </row>
    <row r="3456">
      <c r="A3456" s="1">
        <v>2025.0</v>
      </c>
      <c r="B3456" s="1" t="s">
        <v>355</v>
      </c>
      <c r="C3456" s="1">
        <v>670912.0</v>
      </c>
      <c r="D3456" s="1" t="s">
        <v>541</v>
      </c>
      <c r="E3456" s="1" t="s">
        <v>927</v>
      </c>
      <c r="F3456" s="1" t="s">
        <v>926</v>
      </c>
      <c r="G3456" s="1">
        <v>72.0</v>
      </c>
      <c r="H3456" s="1">
        <v>4.373493976</v>
      </c>
      <c r="I3456" s="1">
        <v>5.02</v>
      </c>
      <c r="J3456" s="1">
        <v>1.604933</v>
      </c>
    </row>
    <row r="3457">
      <c r="A3457" s="1">
        <v>2025.0</v>
      </c>
      <c r="B3457" s="1" t="s">
        <v>355</v>
      </c>
      <c r="C3457" s="1">
        <v>670912.0</v>
      </c>
      <c r="D3457" s="1" t="s">
        <v>537</v>
      </c>
      <c r="E3457" s="1" t="s">
        <v>927</v>
      </c>
      <c r="F3457" s="1" t="s">
        <v>926</v>
      </c>
      <c r="G3457" s="1">
        <v>125.0</v>
      </c>
      <c r="H3457" s="1">
        <v>7.592871486</v>
      </c>
      <c r="I3457" s="1">
        <v>4.85</v>
      </c>
      <c r="J3457" s="1">
        <v>3.23043</v>
      </c>
    </row>
    <row r="3458">
      <c r="A3458" s="1">
        <v>2025.0</v>
      </c>
      <c r="B3458" s="1" t="s">
        <v>355</v>
      </c>
      <c r="C3458" s="1">
        <v>670912.0</v>
      </c>
      <c r="D3458" s="1" t="s">
        <v>536</v>
      </c>
      <c r="E3458" s="1" t="s">
        <v>927</v>
      </c>
      <c r="F3458" s="1" t="s">
        <v>926</v>
      </c>
      <c r="G3458" s="1">
        <v>5.0</v>
      </c>
      <c r="H3458" s="1">
        <v>0.303714859</v>
      </c>
      <c r="I3458" s="1">
        <v>4.9</v>
      </c>
      <c r="J3458" s="1">
        <v>0.118695</v>
      </c>
    </row>
    <row r="3459">
      <c r="A3459" s="1">
        <v>2025.0</v>
      </c>
      <c r="B3459" s="1" t="s">
        <v>355</v>
      </c>
      <c r="C3459" s="1">
        <v>670912.0</v>
      </c>
      <c r="D3459" s="1" t="s">
        <v>533</v>
      </c>
      <c r="E3459" s="1" t="s">
        <v>927</v>
      </c>
      <c r="F3459" s="1" t="s">
        <v>926</v>
      </c>
      <c r="G3459" s="1">
        <v>83.0</v>
      </c>
      <c r="H3459" s="1">
        <v>5.041666667</v>
      </c>
      <c r="I3459" s="1">
        <v>5.68</v>
      </c>
      <c r="J3459" s="1">
        <v>0.704359</v>
      </c>
    </row>
    <row r="3460">
      <c r="A3460" s="1">
        <v>2025.0</v>
      </c>
      <c r="B3460" s="1" t="s">
        <v>355</v>
      </c>
      <c r="C3460" s="1">
        <v>670912.0</v>
      </c>
      <c r="D3460" s="1" t="s">
        <v>532</v>
      </c>
      <c r="E3460" s="1" t="s">
        <v>927</v>
      </c>
      <c r="F3460" s="1" t="s">
        <v>927</v>
      </c>
      <c r="G3460" s="1">
        <v>4.0</v>
      </c>
      <c r="H3460" s="1">
        <v>0.242971888</v>
      </c>
      <c r="I3460" s="1">
        <v>4.67</v>
      </c>
      <c r="J3460" s="1">
        <v>0.118767</v>
      </c>
    </row>
    <row r="3461">
      <c r="A3461" s="1">
        <v>2025.0</v>
      </c>
      <c r="B3461" s="1" t="s">
        <v>355</v>
      </c>
      <c r="C3461" s="1">
        <v>670912.0</v>
      </c>
      <c r="D3461" s="1" t="s">
        <v>541</v>
      </c>
      <c r="E3461" s="1" t="s">
        <v>927</v>
      </c>
      <c r="F3461" s="1" t="s">
        <v>927</v>
      </c>
      <c r="G3461" s="1">
        <v>34.0</v>
      </c>
      <c r="H3461" s="1">
        <v>2.065261044</v>
      </c>
      <c r="I3461" s="1">
        <v>4.78</v>
      </c>
      <c r="J3461" s="1">
        <v>0.886981</v>
      </c>
    </row>
    <row r="3462">
      <c r="A3462" s="1">
        <v>2025.0</v>
      </c>
      <c r="B3462" s="1" t="s">
        <v>355</v>
      </c>
      <c r="C3462" s="1">
        <v>670912.0</v>
      </c>
      <c r="D3462" s="1" t="s">
        <v>537</v>
      </c>
      <c r="E3462" s="1" t="s">
        <v>927</v>
      </c>
      <c r="F3462" s="1" t="s">
        <v>927</v>
      </c>
      <c r="G3462" s="1">
        <v>121.0</v>
      </c>
      <c r="H3462" s="1">
        <v>7.349899598</v>
      </c>
      <c r="I3462" s="1">
        <v>4.71</v>
      </c>
      <c r="J3462" s="1">
        <v>3.435428</v>
      </c>
    </row>
    <row r="3463">
      <c r="A3463" s="1">
        <v>2025.0</v>
      </c>
      <c r="B3463" s="1" t="s">
        <v>355</v>
      </c>
      <c r="C3463" s="1">
        <v>670912.0</v>
      </c>
      <c r="D3463" s="1" t="s">
        <v>536</v>
      </c>
      <c r="E3463" s="1" t="s">
        <v>927</v>
      </c>
      <c r="F3463" s="1" t="s">
        <v>927</v>
      </c>
      <c r="G3463" s="1">
        <v>56.0</v>
      </c>
      <c r="H3463" s="1">
        <v>3.401606426</v>
      </c>
      <c r="I3463" s="1">
        <v>4.32</v>
      </c>
      <c r="J3463" s="1">
        <v>2.064812</v>
      </c>
    </row>
    <row r="3464">
      <c r="A3464" s="1">
        <v>2025.0</v>
      </c>
      <c r="B3464" s="1" t="s">
        <v>355</v>
      </c>
      <c r="C3464" s="1">
        <v>670912.0</v>
      </c>
      <c r="D3464" s="1" t="s">
        <v>533</v>
      </c>
      <c r="E3464" s="1" t="s">
        <v>927</v>
      </c>
      <c r="F3464" s="1" t="s">
        <v>927</v>
      </c>
      <c r="G3464" s="1">
        <v>129.0</v>
      </c>
      <c r="H3464" s="1">
        <v>7.835843373</v>
      </c>
      <c r="I3464" s="1">
        <v>5.2</v>
      </c>
      <c r="J3464" s="1">
        <v>2.31961</v>
      </c>
    </row>
    <row r="3465">
      <c r="A3465" s="1">
        <v>2025.0</v>
      </c>
      <c r="B3465" s="1" t="s">
        <v>666</v>
      </c>
      <c r="C3465" s="1">
        <v>605154.0</v>
      </c>
      <c r="D3465" s="1" t="s">
        <v>532</v>
      </c>
      <c r="E3465" s="1" t="s">
        <v>927</v>
      </c>
      <c r="F3465" s="1" t="s">
        <v>926</v>
      </c>
      <c r="G3465" s="1">
        <v>24.0</v>
      </c>
      <c r="H3465" s="1">
        <v>1.222707424</v>
      </c>
      <c r="I3465" s="1">
        <v>4.57</v>
      </c>
      <c r="J3465" s="1">
        <v>0.72374</v>
      </c>
    </row>
    <row r="3466">
      <c r="A3466" s="1">
        <v>2025.0</v>
      </c>
      <c r="B3466" s="1" t="s">
        <v>666</v>
      </c>
      <c r="C3466" s="1">
        <v>605154.0</v>
      </c>
      <c r="D3466" s="1" t="s">
        <v>541</v>
      </c>
      <c r="E3466" s="1" t="s">
        <v>927</v>
      </c>
      <c r="F3466" s="1" t="s">
        <v>926</v>
      </c>
      <c r="G3466" s="1">
        <v>3.0</v>
      </c>
      <c r="H3466" s="1">
        <v>0.152838428</v>
      </c>
      <c r="I3466" s="1">
        <v>5.05</v>
      </c>
      <c r="J3466" s="1">
        <v>0.060137</v>
      </c>
    </row>
    <row r="3467">
      <c r="A3467" s="1">
        <v>2025.0</v>
      </c>
      <c r="B3467" s="1" t="s">
        <v>666</v>
      </c>
      <c r="C3467" s="1">
        <v>605154.0</v>
      </c>
      <c r="D3467" s="1" t="s">
        <v>537</v>
      </c>
      <c r="E3467" s="1" t="s">
        <v>927</v>
      </c>
      <c r="F3467" s="1" t="s">
        <v>926</v>
      </c>
      <c r="G3467" s="1">
        <v>107.0</v>
      </c>
      <c r="H3467" s="1">
        <v>5.451237263</v>
      </c>
      <c r="I3467" s="1">
        <v>4.72</v>
      </c>
      <c r="J3467" s="1">
        <v>3.006499</v>
      </c>
    </row>
    <row r="3468">
      <c r="A3468" s="1">
        <v>2025.0</v>
      </c>
      <c r="B3468" s="1" t="s">
        <v>666</v>
      </c>
      <c r="C3468" s="1">
        <v>605154.0</v>
      </c>
      <c r="D3468" s="1" t="s">
        <v>533</v>
      </c>
      <c r="E3468" s="1" t="s">
        <v>927</v>
      </c>
      <c r="F3468" s="1" t="s">
        <v>926</v>
      </c>
      <c r="G3468" s="1">
        <v>83.0</v>
      </c>
      <c r="H3468" s="1">
        <v>4.22852984</v>
      </c>
      <c r="I3468" s="1">
        <v>5.35</v>
      </c>
      <c r="J3468" s="1">
        <v>1.216414</v>
      </c>
    </row>
    <row r="3469">
      <c r="A3469" s="1">
        <v>2025.0</v>
      </c>
      <c r="B3469" s="1" t="s">
        <v>666</v>
      </c>
      <c r="C3469" s="1">
        <v>605154.0</v>
      </c>
      <c r="D3469" s="1" t="s">
        <v>532</v>
      </c>
      <c r="E3469" s="1" t="s">
        <v>927</v>
      </c>
      <c r="F3469" s="1" t="s">
        <v>927</v>
      </c>
      <c r="G3469" s="1">
        <v>7.0</v>
      </c>
      <c r="H3469" s="1">
        <v>0.356622999</v>
      </c>
      <c r="I3469" s="1">
        <v>4.47</v>
      </c>
      <c r="J3469" s="1">
        <v>0.225514</v>
      </c>
    </row>
    <row r="3470">
      <c r="A3470" s="1">
        <v>2025.0</v>
      </c>
      <c r="B3470" s="1" t="s">
        <v>666</v>
      </c>
      <c r="C3470" s="1">
        <v>605154.0</v>
      </c>
      <c r="D3470" s="1" t="s">
        <v>541</v>
      </c>
      <c r="E3470" s="1" t="s">
        <v>927</v>
      </c>
      <c r="F3470" s="1" t="s">
        <v>927</v>
      </c>
      <c r="G3470" s="1">
        <v>1.0</v>
      </c>
      <c r="H3470" s="1">
        <v>0.050946143</v>
      </c>
      <c r="I3470" s="1">
        <v>4.34</v>
      </c>
      <c r="J3470" s="1">
        <v>0.038769</v>
      </c>
    </row>
    <row r="3471">
      <c r="A3471" s="1">
        <v>2025.0</v>
      </c>
      <c r="B3471" s="1" t="s">
        <v>666</v>
      </c>
      <c r="C3471" s="1">
        <v>605154.0</v>
      </c>
      <c r="D3471" s="1" t="s">
        <v>537</v>
      </c>
      <c r="E3471" s="1" t="s">
        <v>927</v>
      </c>
      <c r="F3471" s="1" t="s">
        <v>927</v>
      </c>
      <c r="G3471" s="1">
        <v>117.0</v>
      </c>
      <c r="H3471" s="1">
        <v>5.96069869</v>
      </c>
      <c r="I3471" s="1">
        <v>4.89</v>
      </c>
      <c r="J3471" s="1">
        <v>2.857776</v>
      </c>
    </row>
    <row r="3472">
      <c r="A3472" s="1">
        <v>2025.0</v>
      </c>
      <c r="B3472" s="1" t="s">
        <v>666</v>
      </c>
      <c r="C3472" s="1">
        <v>605154.0</v>
      </c>
      <c r="D3472" s="1" t="s">
        <v>533</v>
      </c>
      <c r="E3472" s="1" t="s">
        <v>927</v>
      </c>
      <c r="F3472" s="1" t="s">
        <v>927</v>
      </c>
      <c r="G3472" s="1">
        <v>116.0</v>
      </c>
      <c r="H3472" s="1">
        <v>5.909752547</v>
      </c>
      <c r="I3472" s="1">
        <v>5.08</v>
      </c>
      <c r="J3472" s="1">
        <v>2.388426</v>
      </c>
    </row>
    <row r="3473">
      <c r="A3473" s="1">
        <v>2025.0</v>
      </c>
      <c r="B3473" s="1" t="s">
        <v>149</v>
      </c>
      <c r="C3473" s="1">
        <v>595928.0</v>
      </c>
      <c r="D3473" s="1" t="s">
        <v>532</v>
      </c>
      <c r="E3473" s="1" t="s">
        <v>927</v>
      </c>
      <c r="F3473" s="1" t="s">
        <v>926</v>
      </c>
      <c r="G3473" s="1">
        <v>30.0</v>
      </c>
      <c r="H3473" s="1">
        <v>2.025782689</v>
      </c>
      <c r="I3473" s="1">
        <v>4.46</v>
      </c>
      <c r="J3473" s="1">
        <v>0.966917</v>
      </c>
    </row>
    <row r="3474">
      <c r="A3474" s="1">
        <v>2025.0</v>
      </c>
      <c r="B3474" s="1" t="s">
        <v>149</v>
      </c>
      <c r="C3474" s="1">
        <v>595928.0</v>
      </c>
      <c r="D3474" s="1" t="s">
        <v>540</v>
      </c>
      <c r="E3474" s="1" t="s">
        <v>927</v>
      </c>
      <c r="F3474" s="1" t="s">
        <v>926</v>
      </c>
      <c r="G3474" s="1">
        <v>90.0</v>
      </c>
      <c r="H3474" s="1">
        <v>6.077348066</v>
      </c>
      <c r="I3474" s="1">
        <v>5.15</v>
      </c>
      <c r="J3474" s="1">
        <v>1.687879</v>
      </c>
    </row>
    <row r="3475">
      <c r="A3475" s="1">
        <v>2025.0</v>
      </c>
      <c r="B3475" s="1" t="s">
        <v>149</v>
      </c>
      <c r="C3475" s="1">
        <v>595928.0</v>
      </c>
      <c r="D3475" s="1" t="s">
        <v>537</v>
      </c>
      <c r="E3475" s="1" t="s">
        <v>927</v>
      </c>
      <c r="F3475" s="1" t="s">
        <v>926</v>
      </c>
      <c r="G3475" s="1">
        <v>153.0</v>
      </c>
      <c r="H3475" s="1">
        <v>10.33149171</v>
      </c>
      <c r="I3475" s="1">
        <v>5.06</v>
      </c>
      <c r="J3475" s="1">
        <v>3.143681</v>
      </c>
    </row>
    <row r="3476">
      <c r="A3476" s="1">
        <v>2025.0</v>
      </c>
      <c r="B3476" s="1" t="s">
        <v>149</v>
      </c>
      <c r="C3476" s="1">
        <v>595928.0</v>
      </c>
      <c r="D3476" s="1" t="s">
        <v>533</v>
      </c>
      <c r="E3476" s="1" t="s">
        <v>927</v>
      </c>
      <c r="F3476" s="1" t="s">
        <v>926</v>
      </c>
      <c r="G3476" s="1">
        <v>11.0</v>
      </c>
      <c r="H3476" s="1">
        <v>0.742786986</v>
      </c>
      <c r="I3476" s="1">
        <v>5.41</v>
      </c>
      <c r="J3476" s="1">
        <v>0.142151</v>
      </c>
    </row>
    <row r="3477">
      <c r="A3477" s="1">
        <v>2025.0</v>
      </c>
      <c r="B3477" s="1" t="s">
        <v>149</v>
      </c>
      <c r="C3477" s="1">
        <v>595928.0</v>
      </c>
      <c r="D3477" s="1" t="s">
        <v>532</v>
      </c>
      <c r="E3477" s="1" t="s">
        <v>927</v>
      </c>
      <c r="F3477" s="1" t="s">
        <v>927</v>
      </c>
      <c r="G3477" s="1">
        <v>6.0</v>
      </c>
      <c r="H3477" s="1">
        <v>0.405156538</v>
      </c>
      <c r="I3477" s="1">
        <v>3.81</v>
      </c>
      <c r="J3477" s="1">
        <v>0.272015</v>
      </c>
    </row>
    <row r="3478">
      <c r="A3478" s="1">
        <v>2025.0</v>
      </c>
      <c r="B3478" s="1" t="s">
        <v>149</v>
      </c>
      <c r="C3478" s="1">
        <v>595928.0</v>
      </c>
      <c r="D3478" s="1" t="s">
        <v>540</v>
      </c>
      <c r="E3478" s="1" t="s">
        <v>927</v>
      </c>
      <c r="F3478" s="1" t="s">
        <v>927</v>
      </c>
      <c r="G3478" s="1">
        <v>76.0</v>
      </c>
      <c r="H3478" s="1">
        <v>5.131982812</v>
      </c>
      <c r="I3478" s="1">
        <v>5.19</v>
      </c>
      <c r="J3478" s="1">
        <v>1.393026</v>
      </c>
    </row>
    <row r="3479">
      <c r="A3479" s="1">
        <v>2025.0</v>
      </c>
      <c r="B3479" s="1" t="s">
        <v>149</v>
      </c>
      <c r="C3479" s="1">
        <v>595928.0</v>
      </c>
      <c r="D3479" s="1" t="s">
        <v>537</v>
      </c>
      <c r="E3479" s="1" t="s">
        <v>927</v>
      </c>
      <c r="F3479" s="1" t="s">
        <v>927</v>
      </c>
      <c r="G3479" s="1">
        <v>139.0</v>
      </c>
      <c r="H3479" s="1">
        <v>9.386126458</v>
      </c>
      <c r="I3479" s="1">
        <v>4.97</v>
      </c>
      <c r="J3479" s="1">
        <v>3.221256</v>
      </c>
    </row>
    <row r="3480">
      <c r="A3480" s="1">
        <v>2025.0</v>
      </c>
      <c r="B3480" s="1" t="s">
        <v>149</v>
      </c>
      <c r="C3480" s="1">
        <v>595928.0</v>
      </c>
      <c r="D3480" s="1" t="s">
        <v>533</v>
      </c>
      <c r="E3480" s="1" t="s">
        <v>927</v>
      </c>
      <c r="F3480" s="1" t="s">
        <v>927</v>
      </c>
      <c r="G3480" s="1">
        <v>38.0</v>
      </c>
      <c r="H3480" s="1">
        <v>2.565991406</v>
      </c>
      <c r="I3480" s="1">
        <v>5.34</v>
      </c>
      <c r="J3480" s="1">
        <v>0.594643</v>
      </c>
    </row>
    <row r="3481">
      <c r="A3481" s="1">
        <v>2025.0</v>
      </c>
      <c r="B3481" s="1" t="s">
        <v>273</v>
      </c>
      <c r="C3481" s="1">
        <v>667463.0</v>
      </c>
      <c r="D3481" s="1" t="s">
        <v>532</v>
      </c>
      <c r="E3481" s="1" t="s">
        <v>926</v>
      </c>
      <c r="F3481" s="1" t="s">
        <v>926</v>
      </c>
      <c r="G3481" s="1">
        <v>14.0</v>
      </c>
      <c r="H3481" s="1">
        <v>0.865302643</v>
      </c>
      <c r="I3481" s="1">
        <v>5.67</v>
      </c>
      <c r="J3481" s="1">
        <v>0.107761</v>
      </c>
    </row>
    <row r="3482">
      <c r="A3482" s="1">
        <v>2025.0</v>
      </c>
      <c r="B3482" s="1" t="s">
        <v>273</v>
      </c>
      <c r="C3482" s="1">
        <v>667463.0</v>
      </c>
      <c r="D3482" s="1" t="s">
        <v>541</v>
      </c>
      <c r="E3482" s="1" t="s">
        <v>926</v>
      </c>
      <c r="F3482" s="1" t="s">
        <v>926</v>
      </c>
      <c r="G3482" s="1">
        <v>3.0</v>
      </c>
      <c r="H3482" s="1">
        <v>0.185421995</v>
      </c>
      <c r="I3482" s="1">
        <v>4.36</v>
      </c>
      <c r="J3482" s="1">
        <v>0.09886</v>
      </c>
    </row>
    <row r="3483">
      <c r="A3483" s="1">
        <v>2025.0</v>
      </c>
      <c r="B3483" s="1" t="s">
        <v>273</v>
      </c>
      <c r="C3483" s="1">
        <v>667463.0</v>
      </c>
      <c r="D3483" s="1" t="s">
        <v>536</v>
      </c>
      <c r="E3483" s="1" t="s">
        <v>926</v>
      </c>
      <c r="F3483" s="1" t="s">
        <v>926</v>
      </c>
      <c r="G3483" s="1">
        <v>222.0</v>
      </c>
      <c r="H3483" s="1">
        <v>13.72122762</v>
      </c>
      <c r="I3483" s="1">
        <v>5.55</v>
      </c>
      <c r="J3483" s="1">
        <v>2.438457</v>
      </c>
    </row>
    <row r="3484">
      <c r="A3484" s="1">
        <v>2025.0</v>
      </c>
      <c r="B3484" s="1" t="s">
        <v>273</v>
      </c>
      <c r="C3484" s="1">
        <v>667463.0</v>
      </c>
      <c r="D3484" s="1" t="s">
        <v>533</v>
      </c>
      <c r="E3484" s="1" t="s">
        <v>926</v>
      </c>
      <c r="F3484" s="1" t="s">
        <v>926</v>
      </c>
      <c r="G3484" s="1">
        <v>97.0</v>
      </c>
      <c r="H3484" s="1">
        <v>5.995311168</v>
      </c>
      <c r="I3484" s="1">
        <v>4.99</v>
      </c>
      <c r="J3484" s="1">
        <v>2.157391</v>
      </c>
    </row>
    <row r="3485">
      <c r="A3485" s="1">
        <v>2025.0</v>
      </c>
      <c r="B3485" s="1" t="s">
        <v>273</v>
      </c>
      <c r="C3485" s="1">
        <v>667463.0</v>
      </c>
      <c r="D3485" s="1" t="s">
        <v>532</v>
      </c>
      <c r="E3485" s="1" t="s">
        <v>926</v>
      </c>
      <c r="F3485" s="1" t="s">
        <v>927</v>
      </c>
      <c r="G3485" s="1">
        <v>138.0</v>
      </c>
      <c r="H3485" s="1">
        <v>8.529411765</v>
      </c>
      <c r="I3485" s="1">
        <v>4.9</v>
      </c>
      <c r="J3485" s="1">
        <v>3.346271</v>
      </c>
    </row>
    <row r="3486">
      <c r="A3486" s="1">
        <v>2025.0</v>
      </c>
      <c r="B3486" s="1" t="s">
        <v>273</v>
      </c>
      <c r="C3486" s="1">
        <v>667463.0</v>
      </c>
      <c r="D3486" s="1" t="s">
        <v>541</v>
      </c>
      <c r="E3486" s="1" t="s">
        <v>926</v>
      </c>
      <c r="F3486" s="1" t="s">
        <v>927</v>
      </c>
      <c r="G3486" s="1">
        <v>40.0</v>
      </c>
      <c r="H3486" s="1">
        <v>2.472293265</v>
      </c>
      <c r="I3486" s="1">
        <v>4.77</v>
      </c>
      <c r="J3486" s="1">
        <v>1.032649</v>
      </c>
    </row>
    <row r="3487">
      <c r="A3487" s="1">
        <v>2025.0</v>
      </c>
      <c r="B3487" s="1" t="s">
        <v>273</v>
      </c>
      <c r="C3487" s="1">
        <v>667463.0</v>
      </c>
      <c r="D3487" s="1" t="s">
        <v>537</v>
      </c>
      <c r="E3487" s="1" t="s">
        <v>926</v>
      </c>
      <c r="F3487" s="1" t="s">
        <v>927</v>
      </c>
      <c r="G3487" s="1">
        <v>13.0</v>
      </c>
      <c r="H3487" s="1">
        <v>0.803495311</v>
      </c>
      <c r="I3487" s="1">
        <v>3.46</v>
      </c>
      <c r="J3487" s="1">
        <v>0.677393</v>
      </c>
    </row>
    <row r="3488">
      <c r="A3488" s="1">
        <v>2025.0</v>
      </c>
      <c r="B3488" s="1" t="s">
        <v>273</v>
      </c>
      <c r="C3488" s="1">
        <v>667463.0</v>
      </c>
      <c r="D3488" s="1" t="s">
        <v>536</v>
      </c>
      <c r="E3488" s="1" t="s">
        <v>926</v>
      </c>
      <c r="F3488" s="1" t="s">
        <v>927</v>
      </c>
      <c r="G3488" s="1">
        <v>239.0</v>
      </c>
      <c r="H3488" s="1">
        <v>14.77195226</v>
      </c>
      <c r="I3488" s="1">
        <v>4.66</v>
      </c>
      <c r="J3488" s="1">
        <v>6.984345</v>
      </c>
    </row>
    <row r="3489">
      <c r="A3489" s="1">
        <v>2025.0</v>
      </c>
      <c r="B3489" s="1" t="s">
        <v>273</v>
      </c>
      <c r="C3489" s="1">
        <v>667463.0</v>
      </c>
      <c r="D3489" s="1" t="s">
        <v>533</v>
      </c>
      <c r="E3489" s="1" t="s">
        <v>926</v>
      </c>
      <c r="F3489" s="1" t="s">
        <v>927</v>
      </c>
      <c r="G3489" s="1">
        <v>16.0</v>
      </c>
      <c r="H3489" s="1">
        <v>0.988917306</v>
      </c>
      <c r="I3489" s="1">
        <v>5.04</v>
      </c>
      <c r="J3489" s="1">
        <v>0.307563</v>
      </c>
    </row>
    <row r="3490">
      <c r="A3490" s="1">
        <v>2025.0</v>
      </c>
      <c r="B3490" s="1" t="s">
        <v>971</v>
      </c>
      <c r="C3490" s="1">
        <v>680701.0</v>
      </c>
      <c r="D3490" s="1" t="s">
        <v>537</v>
      </c>
      <c r="E3490" s="1" t="s">
        <v>926</v>
      </c>
      <c r="F3490" s="1" t="s">
        <v>926</v>
      </c>
      <c r="G3490" s="1">
        <v>2.0</v>
      </c>
      <c r="H3490" s="1">
        <v>0.115942029</v>
      </c>
      <c r="I3490" s="1">
        <v>5.09</v>
      </c>
      <c r="J3490" s="1">
        <v>0.039793</v>
      </c>
    </row>
    <row r="3491">
      <c r="A3491" s="1">
        <v>2025.0</v>
      </c>
      <c r="B3491" s="1" t="s">
        <v>971</v>
      </c>
      <c r="C3491" s="1">
        <v>680701.0</v>
      </c>
      <c r="D3491" s="1" t="s">
        <v>536</v>
      </c>
      <c r="E3491" s="1" t="s">
        <v>926</v>
      </c>
      <c r="F3491" s="1" t="s">
        <v>926</v>
      </c>
      <c r="G3491" s="1">
        <v>5.0</v>
      </c>
      <c r="H3491" s="1">
        <v>0.289855072</v>
      </c>
      <c r="I3491" s="1">
        <v>1.5</v>
      </c>
      <c r="J3491" s="1">
        <v>0.413353</v>
      </c>
    </row>
    <row r="3492">
      <c r="A3492" s="1">
        <v>2025.0</v>
      </c>
      <c r="B3492" s="1" t="s">
        <v>971</v>
      </c>
      <c r="C3492" s="1">
        <v>680701.0</v>
      </c>
      <c r="D3492" s="1" t="s">
        <v>539</v>
      </c>
      <c r="E3492" s="1" t="s">
        <v>926</v>
      </c>
      <c r="F3492" s="1" t="s">
        <v>926</v>
      </c>
      <c r="G3492" s="1">
        <v>10.0</v>
      </c>
      <c r="H3492" s="1">
        <v>0.579710145</v>
      </c>
      <c r="I3492" s="1">
        <v>6.5</v>
      </c>
      <c r="J3492" s="1">
        <v>-0.068093</v>
      </c>
    </row>
    <row r="3493">
      <c r="A3493" s="1">
        <v>2025.0</v>
      </c>
      <c r="B3493" s="1" t="s">
        <v>971</v>
      </c>
      <c r="C3493" s="1">
        <v>680701.0</v>
      </c>
      <c r="D3493" s="1" t="s">
        <v>537</v>
      </c>
      <c r="E3493" s="1" t="s">
        <v>926</v>
      </c>
      <c r="F3493" s="1" t="s">
        <v>927</v>
      </c>
      <c r="G3493" s="1">
        <v>2.0</v>
      </c>
      <c r="H3493" s="1">
        <v>0.115942029</v>
      </c>
      <c r="I3493" s="1">
        <v>4.41</v>
      </c>
      <c r="J3493" s="1">
        <v>0.06503</v>
      </c>
    </row>
    <row r="3494">
      <c r="A3494" s="1">
        <v>2025.0</v>
      </c>
      <c r="B3494" s="1" t="s">
        <v>971</v>
      </c>
      <c r="C3494" s="1">
        <v>680701.0</v>
      </c>
      <c r="D3494" s="1" t="s">
        <v>539</v>
      </c>
      <c r="E3494" s="1" t="s">
        <v>926</v>
      </c>
      <c r="F3494" s="1" t="s">
        <v>927</v>
      </c>
      <c r="G3494" s="1">
        <v>4.0</v>
      </c>
      <c r="H3494" s="1">
        <v>0.231884058</v>
      </c>
      <c r="I3494" s="1">
        <v>4.64</v>
      </c>
      <c r="J3494" s="1">
        <v>0.110944</v>
      </c>
    </row>
    <row r="3495">
      <c r="A3495" s="1">
        <v>2025.0</v>
      </c>
      <c r="B3495" s="1" t="s">
        <v>144</v>
      </c>
      <c r="C3495" s="1">
        <v>670167.0</v>
      </c>
      <c r="D3495" s="1" t="s">
        <v>532</v>
      </c>
      <c r="E3495" s="1" t="s">
        <v>927</v>
      </c>
      <c r="F3495" s="1" t="s">
        <v>926</v>
      </c>
      <c r="G3495" s="1">
        <v>19.0</v>
      </c>
      <c r="H3495" s="1">
        <v>1.161413563</v>
      </c>
      <c r="I3495" s="1">
        <v>4.57</v>
      </c>
      <c r="J3495" s="1">
        <v>0.565326</v>
      </c>
    </row>
    <row r="3496">
      <c r="A3496" s="1">
        <v>2025.0</v>
      </c>
      <c r="B3496" s="1" t="s">
        <v>144</v>
      </c>
      <c r="C3496" s="1">
        <v>670167.0</v>
      </c>
      <c r="D3496" s="1" t="s">
        <v>540</v>
      </c>
      <c r="E3496" s="1" t="s">
        <v>927</v>
      </c>
      <c r="F3496" s="1" t="s">
        <v>926</v>
      </c>
      <c r="G3496" s="1">
        <v>116.0</v>
      </c>
      <c r="H3496" s="1">
        <v>7.090735435</v>
      </c>
      <c r="I3496" s="1">
        <v>5.24</v>
      </c>
      <c r="J3496" s="1">
        <v>2.052485</v>
      </c>
    </row>
    <row r="3497">
      <c r="A3497" s="1">
        <v>2025.0</v>
      </c>
      <c r="B3497" s="1" t="s">
        <v>144</v>
      </c>
      <c r="C3497" s="1">
        <v>670167.0</v>
      </c>
      <c r="D3497" s="1" t="s">
        <v>537</v>
      </c>
      <c r="E3497" s="1" t="s">
        <v>927</v>
      </c>
      <c r="F3497" s="1" t="s">
        <v>926</v>
      </c>
      <c r="G3497" s="1">
        <v>172.0</v>
      </c>
      <c r="H3497" s="1">
        <v>10.51384909</v>
      </c>
      <c r="I3497" s="1">
        <v>4.72</v>
      </c>
      <c r="J3497" s="1">
        <v>4.771422</v>
      </c>
    </row>
    <row r="3498">
      <c r="A3498" s="1">
        <v>2025.0</v>
      </c>
      <c r="B3498" s="1" t="s">
        <v>144</v>
      </c>
      <c r="C3498" s="1">
        <v>670167.0</v>
      </c>
      <c r="D3498" s="1" t="s">
        <v>536</v>
      </c>
      <c r="E3498" s="1" t="s">
        <v>927</v>
      </c>
      <c r="F3498" s="1" t="s">
        <v>926</v>
      </c>
      <c r="G3498" s="1">
        <v>42.0</v>
      </c>
      <c r="H3498" s="1">
        <v>2.567335244</v>
      </c>
      <c r="I3498" s="1">
        <v>4.8</v>
      </c>
      <c r="J3498" s="1">
        <v>1.044709</v>
      </c>
    </row>
    <row r="3499">
      <c r="A3499" s="1">
        <v>2025.0</v>
      </c>
      <c r="B3499" s="1" t="s">
        <v>144</v>
      </c>
      <c r="C3499" s="1">
        <v>670167.0</v>
      </c>
      <c r="D3499" s="1" t="s">
        <v>539</v>
      </c>
      <c r="E3499" s="1" t="s">
        <v>927</v>
      </c>
      <c r="F3499" s="1" t="s">
        <v>926</v>
      </c>
      <c r="G3499" s="1">
        <v>89.0</v>
      </c>
      <c r="H3499" s="1">
        <v>5.440305635</v>
      </c>
      <c r="I3499" s="1">
        <v>5.34</v>
      </c>
      <c r="J3499" s="1">
        <v>1.325067</v>
      </c>
    </row>
    <row r="3500">
      <c r="A3500" s="1">
        <v>2025.0</v>
      </c>
      <c r="B3500" s="1" t="s">
        <v>144</v>
      </c>
      <c r="C3500" s="1">
        <v>670167.0</v>
      </c>
      <c r="D3500" s="1" t="s">
        <v>532</v>
      </c>
      <c r="E3500" s="1" t="s">
        <v>927</v>
      </c>
      <c r="F3500" s="1" t="s">
        <v>927</v>
      </c>
      <c r="G3500" s="1">
        <v>2.0</v>
      </c>
      <c r="H3500" s="1">
        <v>0.122254059</v>
      </c>
      <c r="I3500" s="1">
        <v>6.93</v>
      </c>
      <c r="J3500" s="1">
        <v>-0.037329</v>
      </c>
    </row>
    <row r="3501">
      <c r="A3501" s="1">
        <v>2025.0</v>
      </c>
      <c r="B3501" s="1" t="s">
        <v>144</v>
      </c>
      <c r="C3501" s="1">
        <v>670167.0</v>
      </c>
      <c r="D3501" s="1" t="s">
        <v>540</v>
      </c>
      <c r="E3501" s="1" t="s">
        <v>927</v>
      </c>
      <c r="F3501" s="1" t="s">
        <v>927</v>
      </c>
      <c r="G3501" s="1">
        <v>80.0</v>
      </c>
      <c r="H3501" s="1">
        <v>4.890162369</v>
      </c>
      <c r="I3501" s="1">
        <v>5.02</v>
      </c>
      <c r="J3501" s="1">
        <v>1.777211</v>
      </c>
    </row>
    <row r="3502">
      <c r="A3502" s="1">
        <v>2025.0</v>
      </c>
      <c r="B3502" s="1" t="s">
        <v>144</v>
      </c>
      <c r="C3502" s="1">
        <v>670167.0</v>
      </c>
      <c r="D3502" s="1" t="s">
        <v>537</v>
      </c>
      <c r="E3502" s="1" t="s">
        <v>927</v>
      </c>
      <c r="F3502" s="1" t="s">
        <v>927</v>
      </c>
      <c r="G3502" s="1">
        <v>158.0</v>
      </c>
      <c r="H3502" s="1">
        <v>9.658070678</v>
      </c>
      <c r="I3502" s="1">
        <v>5.17</v>
      </c>
      <c r="J3502" s="1">
        <v>2.80221</v>
      </c>
    </row>
    <row r="3503">
      <c r="A3503" s="1">
        <v>2025.0</v>
      </c>
      <c r="B3503" s="1" t="s">
        <v>144</v>
      </c>
      <c r="C3503" s="1">
        <v>670167.0</v>
      </c>
      <c r="D3503" s="1" t="s">
        <v>536</v>
      </c>
      <c r="E3503" s="1" t="s">
        <v>927</v>
      </c>
      <c r="F3503" s="1" t="s">
        <v>927</v>
      </c>
      <c r="G3503" s="1">
        <v>162.0</v>
      </c>
      <c r="H3503" s="1">
        <v>9.902578797</v>
      </c>
      <c r="I3503" s="1">
        <v>5.48</v>
      </c>
      <c r="J3503" s="1">
        <v>1.999538</v>
      </c>
    </row>
    <row r="3504">
      <c r="A3504" s="1">
        <v>2025.0</v>
      </c>
      <c r="B3504" s="1" t="s">
        <v>144</v>
      </c>
      <c r="C3504" s="1">
        <v>670167.0</v>
      </c>
      <c r="D3504" s="1" t="s">
        <v>539</v>
      </c>
      <c r="E3504" s="1" t="s">
        <v>927</v>
      </c>
      <c r="F3504" s="1" t="s">
        <v>927</v>
      </c>
      <c r="G3504" s="1">
        <v>207.0</v>
      </c>
      <c r="H3504" s="1">
        <v>12.65329513</v>
      </c>
      <c r="I3504" s="1">
        <v>5.22</v>
      </c>
      <c r="J3504" s="1">
        <v>3.597253</v>
      </c>
    </row>
    <row r="3505">
      <c r="A3505" s="1">
        <v>2025.0</v>
      </c>
      <c r="B3505" s="1" t="s">
        <v>912</v>
      </c>
      <c r="C3505" s="1">
        <v>542932.0</v>
      </c>
      <c r="D3505" s="1" t="s">
        <v>537</v>
      </c>
      <c r="E3505" s="1" t="s">
        <v>927</v>
      </c>
      <c r="F3505" s="1" t="s">
        <v>926</v>
      </c>
      <c r="G3505" s="1">
        <v>13.0</v>
      </c>
      <c r="H3505" s="1">
        <v>1.833333333</v>
      </c>
      <c r="I3505" s="1">
        <v>3.7</v>
      </c>
      <c r="J3505" s="1">
        <v>0.657012</v>
      </c>
    </row>
    <row r="3506">
      <c r="A3506" s="1">
        <v>2025.0</v>
      </c>
      <c r="B3506" s="1" t="s">
        <v>912</v>
      </c>
      <c r="C3506" s="1">
        <v>542932.0</v>
      </c>
      <c r="D3506" s="1" t="s">
        <v>537</v>
      </c>
      <c r="E3506" s="1" t="s">
        <v>927</v>
      </c>
      <c r="F3506" s="1" t="s">
        <v>927</v>
      </c>
      <c r="G3506" s="1">
        <v>13.0</v>
      </c>
      <c r="H3506" s="1">
        <v>1.833333333</v>
      </c>
      <c r="I3506" s="1">
        <v>4.49</v>
      </c>
      <c r="J3506" s="1">
        <v>0.444249</v>
      </c>
    </row>
    <row r="3507">
      <c r="A3507" s="1">
        <v>2025.0</v>
      </c>
      <c r="B3507" s="1" t="s">
        <v>578</v>
      </c>
      <c r="C3507" s="1">
        <v>592351.0</v>
      </c>
      <c r="D3507" s="1" t="s">
        <v>532</v>
      </c>
      <c r="E3507" s="1" t="s">
        <v>927</v>
      </c>
      <c r="F3507" s="1" t="s">
        <v>926</v>
      </c>
      <c r="G3507" s="1">
        <v>14.0</v>
      </c>
      <c r="H3507" s="1">
        <v>0.933333333</v>
      </c>
      <c r="I3507" s="1">
        <v>4.58</v>
      </c>
      <c r="J3507" s="1">
        <v>0.420018</v>
      </c>
    </row>
    <row r="3508">
      <c r="A3508" s="1">
        <v>2025.0</v>
      </c>
      <c r="B3508" s="1" t="s">
        <v>578</v>
      </c>
      <c r="C3508" s="1">
        <v>592351.0</v>
      </c>
      <c r="D3508" s="1" t="s">
        <v>541</v>
      </c>
      <c r="E3508" s="1" t="s">
        <v>927</v>
      </c>
      <c r="F3508" s="1" t="s">
        <v>926</v>
      </c>
      <c r="G3508" s="1">
        <v>5.0</v>
      </c>
      <c r="H3508" s="1">
        <v>0.333333333</v>
      </c>
      <c r="I3508" s="1">
        <v>4.65</v>
      </c>
      <c r="J3508" s="1">
        <v>0.141852</v>
      </c>
    </row>
    <row r="3509">
      <c r="A3509" s="1">
        <v>2025.0</v>
      </c>
      <c r="B3509" s="1" t="s">
        <v>578</v>
      </c>
      <c r="C3509" s="1">
        <v>592351.0</v>
      </c>
      <c r="D3509" s="1" t="s">
        <v>537</v>
      </c>
      <c r="E3509" s="1" t="s">
        <v>927</v>
      </c>
      <c r="F3509" s="1" t="s">
        <v>926</v>
      </c>
      <c r="G3509" s="1">
        <v>36.0</v>
      </c>
      <c r="H3509" s="1">
        <v>2.4</v>
      </c>
      <c r="I3509" s="1">
        <v>4.7</v>
      </c>
      <c r="J3509" s="1">
        <v>1.030343</v>
      </c>
    </row>
    <row r="3510">
      <c r="A3510" s="1">
        <v>2025.0</v>
      </c>
      <c r="B3510" s="1" t="s">
        <v>578</v>
      </c>
      <c r="C3510" s="1">
        <v>592351.0</v>
      </c>
      <c r="D3510" s="1" t="s">
        <v>533</v>
      </c>
      <c r="E3510" s="1" t="s">
        <v>927</v>
      </c>
      <c r="F3510" s="1" t="s">
        <v>926</v>
      </c>
      <c r="G3510" s="1">
        <v>27.0</v>
      </c>
      <c r="H3510" s="1">
        <v>1.8</v>
      </c>
      <c r="I3510" s="1">
        <v>5.16</v>
      </c>
      <c r="J3510" s="1">
        <v>0.517157</v>
      </c>
    </row>
    <row r="3511">
      <c r="A3511" s="1">
        <v>2025.0</v>
      </c>
      <c r="B3511" s="1" t="s">
        <v>578</v>
      </c>
      <c r="C3511" s="1">
        <v>592351.0</v>
      </c>
      <c r="D3511" s="1" t="s">
        <v>532</v>
      </c>
      <c r="E3511" s="1" t="s">
        <v>927</v>
      </c>
      <c r="F3511" s="1" t="s">
        <v>927</v>
      </c>
      <c r="G3511" s="1">
        <v>2.0</v>
      </c>
      <c r="H3511" s="1">
        <v>0.133333333</v>
      </c>
      <c r="I3511" s="1">
        <v>6.19</v>
      </c>
      <c r="J3511" s="1">
        <v>-0.001819</v>
      </c>
    </row>
    <row r="3512">
      <c r="A3512" s="1">
        <v>2025.0</v>
      </c>
      <c r="B3512" s="1" t="s">
        <v>578</v>
      </c>
      <c r="C3512" s="1">
        <v>592351.0</v>
      </c>
      <c r="D3512" s="1" t="s">
        <v>541</v>
      </c>
      <c r="E3512" s="1" t="s">
        <v>927</v>
      </c>
      <c r="F3512" s="1" t="s">
        <v>927</v>
      </c>
      <c r="G3512" s="1">
        <v>1.0</v>
      </c>
      <c r="H3512" s="1">
        <v>0.066666667</v>
      </c>
      <c r="I3512" s="1">
        <v>4.99</v>
      </c>
      <c r="J3512" s="1">
        <v>0.024739</v>
      </c>
    </row>
    <row r="3513">
      <c r="A3513" s="1">
        <v>2025.0</v>
      </c>
      <c r="B3513" s="1" t="s">
        <v>578</v>
      </c>
      <c r="C3513" s="1">
        <v>592351.0</v>
      </c>
      <c r="D3513" s="1" t="s">
        <v>537</v>
      </c>
      <c r="E3513" s="1" t="s">
        <v>927</v>
      </c>
      <c r="F3513" s="1" t="s">
        <v>927</v>
      </c>
      <c r="G3513" s="1">
        <v>63.0</v>
      </c>
      <c r="H3513" s="1">
        <v>4.2</v>
      </c>
      <c r="I3513" s="1">
        <v>4.32</v>
      </c>
      <c r="J3513" s="1">
        <v>2.354361</v>
      </c>
    </row>
    <row r="3514">
      <c r="A3514" s="1">
        <v>2025.0</v>
      </c>
      <c r="B3514" s="1" t="s">
        <v>578</v>
      </c>
      <c r="C3514" s="1">
        <v>592351.0</v>
      </c>
      <c r="D3514" s="1" t="s">
        <v>533</v>
      </c>
      <c r="E3514" s="1" t="s">
        <v>927</v>
      </c>
      <c r="F3514" s="1" t="s">
        <v>927</v>
      </c>
      <c r="G3514" s="1">
        <v>62.0</v>
      </c>
      <c r="H3514" s="1">
        <v>4.133333333</v>
      </c>
      <c r="I3514" s="1">
        <v>4.89</v>
      </c>
      <c r="J3514" s="1">
        <v>1.535874</v>
      </c>
    </row>
    <row r="3515">
      <c r="A3515" s="1">
        <v>2025.0</v>
      </c>
      <c r="B3515" s="1" t="s">
        <v>864</v>
      </c>
      <c r="C3515" s="1">
        <v>681146.0</v>
      </c>
      <c r="D3515" s="1" t="s">
        <v>537</v>
      </c>
      <c r="E3515" s="1" t="s">
        <v>927</v>
      </c>
      <c r="F3515" s="1" t="s">
        <v>926</v>
      </c>
      <c r="G3515" s="1">
        <v>38.0</v>
      </c>
      <c r="H3515" s="1">
        <v>2.035714286</v>
      </c>
      <c r="I3515" s="1">
        <v>4.2</v>
      </c>
      <c r="J3515" s="1">
        <v>1.497178</v>
      </c>
    </row>
    <row r="3516">
      <c r="A3516" s="1">
        <v>2025.0</v>
      </c>
      <c r="B3516" s="1" t="s">
        <v>864</v>
      </c>
      <c r="C3516" s="1">
        <v>681146.0</v>
      </c>
      <c r="D3516" s="1" t="s">
        <v>928</v>
      </c>
      <c r="E3516" s="1" t="s">
        <v>927</v>
      </c>
      <c r="F3516" s="1" t="s">
        <v>926</v>
      </c>
      <c r="G3516" s="1">
        <v>8.0</v>
      </c>
      <c r="H3516" s="1">
        <v>0.428571429</v>
      </c>
      <c r="I3516" s="1">
        <v>3.65</v>
      </c>
      <c r="J3516" s="1">
        <v>0.400557</v>
      </c>
    </row>
    <row r="3517">
      <c r="A3517" s="1">
        <v>2025.0</v>
      </c>
      <c r="B3517" s="1" t="s">
        <v>864</v>
      </c>
      <c r="C3517" s="1">
        <v>681146.0</v>
      </c>
      <c r="D3517" s="1" t="s">
        <v>541</v>
      </c>
      <c r="E3517" s="1" t="s">
        <v>927</v>
      </c>
      <c r="F3517" s="1" t="s">
        <v>927</v>
      </c>
      <c r="G3517" s="1">
        <v>12.0</v>
      </c>
      <c r="H3517" s="1">
        <v>0.642857143</v>
      </c>
      <c r="I3517" s="1">
        <v>4.98</v>
      </c>
      <c r="J3517" s="1">
        <v>0.280208</v>
      </c>
    </row>
    <row r="3518">
      <c r="A3518" s="1">
        <v>2025.0</v>
      </c>
      <c r="B3518" s="1" t="s">
        <v>864</v>
      </c>
      <c r="C3518" s="1">
        <v>681146.0</v>
      </c>
      <c r="D3518" s="1" t="s">
        <v>537</v>
      </c>
      <c r="E3518" s="1" t="s">
        <v>927</v>
      </c>
      <c r="F3518" s="1" t="s">
        <v>927</v>
      </c>
      <c r="G3518" s="1">
        <v>48.0</v>
      </c>
      <c r="H3518" s="1">
        <v>2.571428571</v>
      </c>
      <c r="I3518" s="1">
        <v>4.15</v>
      </c>
      <c r="J3518" s="1">
        <v>1.973819</v>
      </c>
    </row>
    <row r="3519">
      <c r="A3519" s="1">
        <v>2025.0</v>
      </c>
      <c r="B3519" s="1" t="s">
        <v>864</v>
      </c>
      <c r="C3519" s="1">
        <v>681146.0</v>
      </c>
      <c r="D3519" s="1" t="s">
        <v>928</v>
      </c>
      <c r="E3519" s="1" t="s">
        <v>927</v>
      </c>
      <c r="F3519" s="1" t="s">
        <v>927</v>
      </c>
      <c r="G3519" s="1">
        <v>6.0</v>
      </c>
      <c r="H3519" s="1">
        <v>0.321428571</v>
      </c>
      <c r="I3519" s="1">
        <v>3.4</v>
      </c>
      <c r="J3519" s="1">
        <v>0.335291</v>
      </c>
    </row>
    <row r="3520">
      <c r="A3520" s="1">
        <v>2025.0</v>
      </c>
      <c r="B3520" s="1" t="s">
        <v>581</v>
      </c>
      <c r="C3520" s="1">
        <v>804636.0</v>
      </c>
      <c r="D3520" s="1" t="s">
        <v>532</v>
      </c>
      <c r="E3520" s="1" t="s">
        <v>927</v>
      </c>
      <c r="F3520" s="1" t="s">
        <v>926</v>
      </c>
      <c r="G3520" s="1">
        <v>51.0</v>
      </c>
      <c r="H3520" s="1">
        <v>2.566037736</v>
      </c>
      <c r="I3520" s="1">
        <v>4.06</v>
      </c>
      <c r="J3520" s="1">
        <v>2.090474</v>
      </c>
    </row>
    <row r="3521">
      <c r="A3521" s="1">
        <v>2025.0</v>
      </c>
      <c r="B3521" s="1" t="s">
        <v>581</v>
      </c>
      <c r="C3521" s="1">
        <v>804636.0</v>
      </c>
      <c r="D3521" s="1" t="s">
        <v>541</v>
      </c>
      <c r="E3521" s="1" t="s">
        <v>927</v>
      </c>
      <c r="F3521" s="1" t="s">
        <v>926</v>
      </c>
      <c r="G3521" s="1">
        <v>25.0</v>
      </c>
      <c r="H3521" s="1">
        <v>1.257861635</v>
      </c>
      <c r="I3521" s="1">
        <v>4.7</v>
      </c>
      <c r="J3521" s="1">
        <v>0.68908</v>
      </c>
    </row>
    <row r="3522">
      <c r="A3522" s="1">
        <v>2025.0</v>
      </c>
      <c r="B3522" s="1" t="s">
        <v>581</v>
      </c>
      <c r="C3522" s="1">
        <v>804636.0</v>
      </c>
      <c r="D3522" s="1" t="s">
        <v>537</v>
      </c>
      <c r="E3522" s="1" t="s">
        <v>927</v>
      </c>
      <c r="F3522" s="1" t="s">
        <v>926</v>
      </c>
      <c r="G3522" s="1">
        <v>104.0</v>
      </c>
      <c r="H3522" s="1">
        <v>5.232704403</v>
      </c>
      <c r="I3522" s="1">
        <v>5.21</v>
      </c>
      <c r="J3522" s="1">
        <v>1.856238</v>
      </c>
    </row>
    <row r="3523">
      <c r="A3523" s="1">
        <v>2025.0</v>
      </c>
      <c r="B3523" s="1" t="s">
        <v>581</v>
      </c>
      <c r="C3523" s="1">
        <v>804636.0</v>
      </c>
      <c r="D3523" s="1" t="s">
        <v>532</v>
      </c>
      <c r="E3523" s="1" t="s">
        <v>927</v>
      </c>
      <c r="F3523" s="1" t="s">
        <v>927</v>
      </c>
      <c r="G3523" s="1">
        <v>51.0</v>
      </c>
      <c r="H3523" s="1">
        <v>2.566037736</v>
      </c>
      <c r="I3523" s="1">
        <v>4.27</v>
      </c>
      <c r="J3523" s="1">
        <v>1.862265</v>
      </c>
    </row>
    <row r="3524">
      <c r="A3524" s="1">
        <v>2025.0</v>
      </c>
      <c r="B3524" s="1" t="s">
        <v>581</v>
      </c>
      <c r="C3524" s="1">
        <v>804636.0</v>
      </c>
      <c r="D3524" s="1" t="s">
        <v>541</v>
      </c>
      <c r="E3524" s="1" t="s">
        <v>927</v>
      </c>
      <c r="F3524" s="1" t="s">
        <v>927</v>
      </c>
      <c r="G3524" s="1">
        <v>21.0</v>
      </c>
      <c r="H3524" s="1">
        <v>1.056603774</v>
      </c>
      <c r="I3524" s="1">
        <v>5.06</v>
      </c>
      <c r="J3524" s="1">
        <v>0.427495</v>
      </c>
    </row>
    <row r="3525">
      <c r="A3525" s="1">
        <v>2025.0</v>
      </c>
      <c r="B3525" s="1" t="s">
        <v>581</v>
      </c>
      <c r="C3525" s="1">
        <v>804636.0</v>
      </c>
      <c r="D3525" s="1" t="s">
        <v>537</v>
      </c>
      <c r="E3525" s="1" t="s">
        <v>927</v>
      </c>
      <c r="F3525" s="1" t="s">
        <v>927</v>
      </c>
      <c r="G3525" s="1">
        <v>109.0</v>
      </c>
      <c r="H3525" s="1">
        <v>5.48427673</v>
      </c>
      <c r="I3525" s="1">
        <v>5.23</v>
      </c>
      <c r="J3525" s="1">
        <v>1.8928</v>
      </c>
    </row>
    <row r="3526">
      <c r="A3526" s="1">
        <v>2025.0</v>
      </c>
      <c r="B3526" s="1" t="s">
        <v>581</v>
      </c>
      <c r="C3526" s="1">
        <v>804636.0</v>
      </c>
      <c r="D3526" s="1" t="s">
        <v>533</v>
      </c>
      <c r="E3526" s="1" t="s">
        <v>927</v>
      </c>
      <c r="F3526" s="1" t="s">
        <v>927</v>
      </c>
      <c r="G3526" s="1">
        <v>10.0</v>
      </c>
      <c r="H3526" s="1">
        <v>0.503144654</v>
      </c>
      <c r="I3526" s="1">
        <v>4.27</v>
      </c>
      <c r="J3526" s="1">
        <v>0.379993</v>
      </c>
    </row>
    <row r="3527">
      <c r="A3527" s="1">
        <v>2025.0</v>
      </c>
      <c r="B3527" s="1" t="s">
        <v>236</v>
      </c>
      <c r="C3527" s="1">
        <v>680742.0</v>
      </c>
      <c r="D3527" s="1" t="s">
        <v>532</v>
      </c>
      <c r="E3527" s="1" t="s">
        <v>927</v>
      </c>
      <c r="F3527" s="1" t="s">
        <v>926</v>
      </c>
      <c r="G3527" s="1">
        <v>53.0</v>
      </c>
      <c r="H3527" s="1">
        <v>3.232003668</v>
      </c>
      <c r="I3527" s="1">
        <v>4.99</v>
      </c>
      <c r="J3527" s="1">
        <v>1.187519</v>
      </c>
    </row>
    <row r="3528">
      <c r="A3528" s="1">
        <v>2025.0</v>
      </c>
      <c r="B3528" s="1" t="s">
        <v>236</v>
      </c>
      <c r="C3528" s="1">
        <v>680742.0</v>
      </c>
      <c r="D3528" s="1" t="s">
        <v>541</v>
      </c>
      <c r="E3528" s="1" t="s">
        <v>927</v>
      </c>
      <c r="F3528" s="1" t="s">
        <v>926</v>
      </c>
      <c r="G3528" s="1">
        <v>54.0</v>
      </c>
      <c r="H3528" s="1">
        <v>3.292984869</v>
      </c>
      <c r="I3528" s="1">
        <v>4.56</v>
      </c>
      <c r="J3528" s="1">
        <v>1.676876</v>
      </c>
    </row>
    <row r="3529">
      <c r="A3529" s="1">
        <v>2025.0</v>
      </c>
      <c r="B3529" s="1" t="s">
        <v>236</v>
      </c>
      <c r="C3529" s="1">
        <v>680742.0</v>
      </c>
      <c r="D3529" s="1" t="s">
        <v>537</v>
      </c>
      <c r="E3529" s="1" t="s">
        <v>927</v>
      </c>
      <c r="F3529" s="1" t="s">
        <v>926</v>
      </c>
      <c r="G3529" s="1">
        <v>148.0</v>
      </c>
      <c r="H3529" s="1">
        <v>9.02521779</v>
      </c>
      <c r="I3529" s="1">
        <v>5.04</v>
      </c>
      <c r="J3529" s="1">
        <v>3.142105</v>
      </c>
    </row>
    <row r="3530">
      <c r="A3530" s="1">
        <v>2025.0</v>
      </c>
      <c r="B3530" s="1" t="s">
        <v>236</v>
      </c>
      <c r="C3530" s="1">
        <v>680742.0</v>
      </c>
      <c r="D3530" s="1" t="s">
        <v>536</v>
      </c>
      <c r="E3530" s="1" t="s">
        <v>927</v>
      </c>
      <c r="F3530" s="1" t="s">
        <v>926</v>
      </c>
      <c r="G3530" s="1">
        <v>26.0</v>
      </c>
      <c r="H3530" s="1">
        <v>1.585511233</v>
      </c>
      <c r="I3530" s="1">
        <v>5.33</v>
      </c>
      <c r="J3530" s="1">
        <v>0.402078</v>
      </c>
    </row>
    <row r="3531">
      <c r="A3531" s="1">
        <v>2025.0</v>
      </c>
      <c r="B3531" s="1" t="s">
        <v>236</v>
      </c>
      <c r="C3531" s="1">
        <v>680742.0</v>
      </c>
      <c r="D3531" s="1" t="s">
        <v>533</v>
      </c>
      <c r="E3531" s="1" t="s">
        <v>927</v>
      </c>
      <c r="F3531" s="1" t="s">
        <v>926</v>
      </c>
      <c r="G3531" s="1">
        <v>64.0</v>
      </c>
      <c r="H3531" s="1">
        <v>3.902796882</v>
      </c>
      <c r="I3531" s="1">
        <v>5.5</v>
      </c>
      <c r="J3531" s="1">
        <v>0.659418</v>
      </c>
    </row>
    <row r="3532">
      <c r="A3532" s="1">
        <v>2025.0</v>
      </c>
      <c r="B3532" s="1" t="s">
        <v>236</v>
      </c>
      <c r="C3532" s="1">
        <v>680742.0</v>
      </c>
      <c r="D3532" s="1" t="s">
        <v>532</v>
      </c>
      <c r="E3532" s="1" t="s">
        <v>927</v>
      </c>
      <c r="F3532" s="1" t="s">
        <v>927</v>
      </c>
      <c r="G3532" s="1">
        <v>8.0</v>
      </c>
      <c r="H3532" s="1">
        <v>0.48784961</v>
      </c>
      <c r="I3532" s="1">
        <v>5.92</v>
      </c>
      <c r="J3532" s="1">
        <v>0.012501</v>
      </c>
    </row>
    <row r="3533">
      <c r="A3533" s="1">
        <v>2025.0</v>
      </c>
      <c r="B3533" s="1" t="s">
        <v>236</v>
      </c>
      <c r="C3533" s="1">
        <v>680742.0</v>
      </c>
      <c r="D3533" s="1" t="s">
        <v>541</v>
      </c>
      <c r="E3533" s="1" t="s">
        <v>927</v>
      </c>
      <c r="F3533" s="1" t="s">
        <v>927</v>
      </c>
      <c r="G3533" s="1">
        <v>16.0</v>
      </c>
      <c r="H3533" s="1">
        <v>0.975699221</v>
      </c>
      <c r="I3533" s="1">
        <v>4.65</v>
      </c>
      <c r="J3533" s="1">
        <v>0.47469</v>
      </c>
    </row>
    <row r="3534">
      <c r="A3534" s="1">
        <v>2025.0</v>
      </c>
      <c r="B3534" s="1" t="s">
        <v>236</v>
      </c>
      <c r="C3534" s="1">
        <v>680742.0</v>
      </c>
      <c r="D3534" s="1" t="s">
        <v>537</v>
      </c>
      <c r="E3534" s="1" t="s">
        <v>927</v>
      </c>
      <c r="F3534" s="1" t="s">
        <v>927</v>
      </c>
      <c r="G3534" s="1">
        <v>95.0</v>
      </c>
      <c r="H3534" s="1">
        <v>5.793214122</v>
      </c>
      <c r="I3534" s="1">
        <v>4.6</v>
      </c>
      <c r="J3534" s="1">
        <v>2.89935</v>
      </c>
    </row>
    <row r="3535">
      <c r="A3535" s="1">
        <v>2025.0</v>
      </c>
      <c r="B3535" s="1" t="s">
        <v>236</v>
      </c>
      <c r="C3535" s="1">
        <v>680742.0</v>
      </c>
      <c r="D3535" s="1" t="s">
        <v>536</v>
      </c>
      <c r="E3535" s="1" t="s">
        <v>927</v>
      </c>
      <c r="F3535" s="1" t="s">
        <v>927</v>
      </c>
      <c r="G3535" s="1">
        <v>100.0</v>
      </c>
      <c r="H3535" s="1">
        <v>6.098120128</v>
      </c>
      <c r="I3535" s="1">
        <v>5.13</v>
      </c>
      <c r="J3535" s="1">
        <v>1.999869</v>
      </c>
    </row>
    <row r="3536">
      <c r="A3536" s="1">
        <v>2025.0</v>
      </c>
      <c r="B3536" s="1" t="s">
        <v>236</v>
      </c>
      <c r="C3536" s="1">
        <v>680742.0</v>
      </c>
      <c r="D3536" s="1" t="s">
        <v>533</v>
      </c>
      <c r="E3536" s="1" t="s">
        <v>927</v>
      </c>
      <c r="F3536" s="1" t="s">
        <v>927</v>
      </c>
      <c r="G3536" s="1">
        <v>163.0</v>
      </c>
      <c r="H3536" s="1">
        <v>9.939935809</v>
      </c>
      <c r="I3536" s="1">
        <v>5.32</v>
      </c>
      <c r="J3536" s="1">
        <v>2.552356</v>
      </c>
    </row>
    <row r="3537">
      <c r="A3537" s="1">
        <v>2025.0</v>
      </c>
      <c r="B3537" s="1" t="s">
        <v>361</v>
      </c>
      <c r="C3537" s="1">
        <v>686563.0</v>
      </c>
      <c r="D3537" s="1" t="s">
        <v>532</v>
      </c>
      <c r="E3537" s="1" t="s">
        <v>927</v>
      </c>
      <c r="F3537" s="1" t="s">
        <v>926</v>
      </c>
      <c r="G3537" s="1">
        <v>245.0</v>
      </c>
      <c r="H3537" s="1">
        <v>14.17317708</v>
      </c>
      <c r="I3537" s="1">
        <v>5.03</v>
      </c>
      <c r="J3537" s="1">
        <v>5.413293</v>
      </c>
    </row>
    <row r="3538">
      <c r="A3538" s="1">
        <v>2025.0</v>
      </c>
      <c r="B3538" s="1" t="s">
        <v>361</v>
      </c>
      <c r="C3538" s="1">
        <v>686563.0</v>
      </c>
      <c r="D3538" s="1" t="s">
        <v>540</v>
      </c>
      <c r="E3538" s="1" t="s">
        <v>927</v>
      </c>
      <c r="F3538" s="1" t="s">
        <v>926</v>
      </c>
      <c r="G3538" s="1">
        <v>300.0</v>
      </c>
      <c r="H3538" s="1">
        <v>17.35491071</v>
      </c>
      <c r="I3538" s="1">
        <v>5.04</v>
      </c>
      <c r="J3538" s="1">
        <v>6.652087</v>
      </c>
    </row>
    <row r="3539">
      <c r="A3539" s="1">
        <v>2025.0</v>
      </c>
      <c r="B3539" s="1" t="s">
        <v>361</v>
      </c>
      <c r="C3539" s="1">
        <v>686563.0</v>
      </c>
      <c r="D3539" s="1" t="s">
        <v>537</v>
      </c>
      <c r="E3539" s="1" t="s">
        <v>927</v>
      </c>
      <c r="F3539" s="1" t="s">
        <v>926</v>
      </c>
      <c r="G3539" s="1">
        <v>196.0</v>
      </c>
      <c r="H3539" s="1">
        <v>11.33854167</v>
      </c>
      <c r="I3539" s="1">
        <v>4.63</v>
      </c>
      <c r="J3539" s="1">
        <v>6.026402</v>
      </c>
    </row>
    <row r="3540">
      <c r="A3540" s="1">
        <v>2025.0</v>
      </c>
      <c r="B3540" s="1" t="s">
        <v>361</v>
      </c>
      <c r="C3540" s="1">
        <v>686563.0</v>
      </c>
      <c r="D3540" s="1" t="s">
        <v>536</v>
      </c>
      <c r="E3540" s="1" t="s">
        <v>927</v>
      </c>
      <c r="F3540" s="1" t="s">
        <v>926</v>
      </c>
      <c r="G3540" s="1">
        <v>112.0</v>
      </c>
      <c r="H3540" s="1">
        <v>6.479166667</v>
      </c>
      <c r="I3540" s="1">
        <v>4.14</v>
      </c>
      <c r="J3540" s="1">
        <v>4.445863</v>
      </c>
    </row>
    <row r="3541">
      <c r="A3541" s="1">
        <v>2025.0</v>
      </c>
      <c r="B3541" s="1" t="s">
        <v>361</v>
      </c>
      <c r="C3541" s="1">
        <v>686563.0</v>
      </c>
      <c r="D3541" s="1" t="s">
        <v>539</v>
      </c>
      <c r="E3541" s="1" t="s">
        <v>927</v>
      </c>
      <c r="F3541" s="1" t="s">
        <v>926</v>
      </c>
      <c r="G3541" s="1">
        <v>45.0</v>
      </c>
      <c r="H3541" s="1">
        <v>2.603236607</v>
      </c>
      <c r="I3541" s="1">
        <v>5.8</v>
      </c>
      <c r="J3541" s="1">
        <v>0.262119</v>
      </c>
    </row>
    <row r="3542">
      <c r="A3542" s="1">
        <v>2025.0</v>
      </c>
      <c r="B3542" s="1" t="s">
        <v>361</v>
      </c>
      <c r="C3542" s="1">
        <v>686563.0</v>
      </c>
      <c r="D3542" s="1" t="s">
        <v>532</v>
      </c>
      <c r="E3542" s="1" t="s">
        <v>927</v>
      </c>
      <c r="F3542" s="1" t="s">
        <v>927</v>
      </c>
      <c r="G3542" s="1">
        <v>137.0</v>
      </c>
      <c r="H3542" s="1">
        <v>7.925409226</v>
      </c>
      <c r="I3542" s="1">
        <v>5.41</v>
      </c>
      <c r="J3542" s="1">
        <v>1.837717</v>
      </c>
    </row>
    <row r="3543">
      <c r="A3543" s="1">
        <v>2025.0</v>
      </c>
      <c r="B3543" s="1" t="s">
        <v>361</v>
      </c>
      <c r="C3543" s="1">
        <v>686563.0</v>
      </c>
      <c r="D3543" s="1" t="s">
        <v>540</v>
      </c>
      <c r="E3543" s="1" t="s">
        <v>927</v>
      </c>
      <c r="F3543" s="1" t="s">
        <v>927</v>
      </c>
      <c r="G3543" s="1">
        <v>123.0</v>
      </c>
      <c r="H3543" s="1">
        <v>7.115513393</v>
      </c>
      <c r="I3543" s="1">
        <v>5.59</v>
      </c>
      <c r="J3543" s="1">
        <v>1.338919</v>
      </c>
    </row>
    <row r="3544">
      <c r="A3544" s="1">
        <v>2025.0</v>
      </c>
      <c r="B3544" s="1" t="s">
        <v>361</v>
      </c>
      <c r="C3544" s="1">
        <v>686563.0</v>
      </c>
      <c r="D3544" s="1" t="s">
        <v>537</v>
      </c>
      <c r="E3544" s="1" t="s">
        <v>927</v>
      </c>
      <c r="F3544" s="1" t="s">
        <v>927</v>
      </c>
      <c r="G3544" s="1">
        <v>127.0</v>
      </c>
      <c r="H3544" s="1">
        <v>7.346912202</v>
      </c>
      <c r="I3544" s="1">
        <v>4.6</v>
      </c>
      <c r="J3544" s="1">
        <v>3.75127</v>
      </c>
    </row>
    <row r="3545">
      <c r="A3545" s="1">
        <v>2025.0</v>
      </c>
      <c r="B3545" s="1" t="s">
        <v>361</v>
      </c>
      <c r="C3545" s="1">
        <v>686563.0</v>
      </c>
      <c r="D3545" s="1" t="s">
        <v>536</v>
      </c>
      <c r="E3545" s="1" t="s">
        <v>927</v>
      </c>
      <c r="F3545" s="1" t="s">
        <v>927</v>
      </c>
      <c r="G3545" s="1">
        <v>281.0</v>
      </c>
      <c r="H3545" s="1">
        <v>16.25576637</v>
      </c>
      <c r="I3545" s="1">
        <v>4.9</v>
      </c>
      <c r="J3545" s="1">
        <v>6.951409</v>
      </c>
    </row>
    <row r="3546">
      <c r="A3546" s="1">
        <v>2025.0</v>
      </c>
      <c r="B3546" s="1" t="s">
        <v>361</v>
      </c>
      <c r="C3546" s="1">
        <v>686563.0</v>
      </c>
      <c r="D3546" s="1" t="s">
        <v>539</v>
      </c>
      <c r="E3546" s="1" t="s">
        <v>927</v>
      </c>
      <c r="F3546" s="1" t="s">
        <v>927</v>
      </c>
      <c r="G3546" s="1">
        <v>226.0</v>
      </c>
      <c r="H3546" s="1">
        <v>13.07403274</v>
      </c>
      <c r="I3546" s="1">
        <v>5.27</v>
      </c>
      <c r="J3546" s="1">
        <v>3.778697</v>
      </c>
    </row>
    <row r="3547">
      <c r="A3547" s="1">
        <v>2025.0</v>
      </c>
      <c r="B3547" s="1" t="s">
        <v>547</v>
      </c>
      <c r="C3547" s="1">
        <v>642528.0</v>
      </c>
      <c r="D3547" s="1" t="s">
        <v>532</v>
      </c>
      <c r="E3547" s="1" t="s">
        <v>927</v>
      </c>
      <c r="F3547" s="1" t="s">
        <v>926</v>
      </c>
      <c r="G3547" s="1">
        <v>73.0</v>
      </c>
      <c r="H3547" s="1">
        <v>4.65734767</v>
      </c>
      <c r="I3547" s="1">
        <v>4.9</v>
      </c>
      <c r="J3547" s="1">
        <v>1.707076</v>
      </c>
    </row>
    <row r="3548">
      <c r="A3548" s="1">
        <v>2025.0</v>
      </c>
      <c r="B3548" s="1" t="s">
        <v>547</v>
      </c>
      <c r="C3548" s="1">
        <v>642528.0</v>
      </c>
      <c r="D3548" s="1" t="s">
        <v>541</v>
      </c>
      <c r="E3548" s="1" t="s">
        <v>927</v>
      </c>
      <c r="F3548" s="1" t="s">
        <v>926</v>
      </c>
      <c r="G3548" s="1">
        <v>17.0</v>
      </c>
      <c r="H3548" s="1">
        <v>1.084587814</v>
      </c>
      <c r="I3548" s="1">
        <v>5.31</v>
      </c>
      <c r="J3548" s="1">
        <v>0.273406</v>
      </c>
    </row>
    <row r="3549">
      <c r="A3549" s="1">
        <v>2025.0</v>
      </c>
      <c r="B3549" s="1" t="s">
        <v>547</v>
      </c>
      <c r="C3549" s="1">
        <v>642528.0</v>
      </c>
      <c r="D3549" s="1" t="s">
        <v>540</v>
      </c>
      <c r="E3549" s="1" t="s">
        <v>927</v>
      </c>
      <c r="F3549" s="1" t="s">
        <v>926</v>
      </c>
      <c r="G3549" s="1">
        <v>3.0</v>
      </c>
      <c r="H3549" s="1">
        <v>0.191397849</v>
      </c>
      <c r="I3549" s="1">
        <v>4.09</v>
      </c>
      <c r="J3549" s="1">
        <v>0.118421</v>
      </c>
    </row>
    <row r="3550">
      <c r="A3550" s="1">
        <v>2025.0</v>
      </c>
      <c r="B3550" s="1" t="s">
        <v>547</v>
      </c>
      <c r="C3550" s="1">
        <v>642528.0</v>
      </c>
      <c r="D3550" s="1" t="s">
        <v>537</v>
      </c>
      <c r="E3550" s="1" t="s">
        <v>927</v>
      </c>
      <c r="F3550" s="1" t="s">
        <v>926</v>
      </c>
      <c r="G3550" s="1">
        <v>9.0</v>
      </c>
      <c r="H3550" s="1">
        <v>0.574193548</v>
      </c>
      <c r="I3550" s="1">
        <v>5.52</v>
      </c>
      <c r="J3550" s="1">
        <v>0.100839</v>
      </c>
    </row>
    <row r="3551">
      <c r="A3551" s="1">
        <v>2025.0</v>
      </c>
      <c r="B3551" s="1" t="s">
        <v>547</v>
      </c>
      <c r="C3551" s="1">
        <v>642528.0</v>
      </c>
      <c r="D3551" s="1" t="s">
        <v>536</v>
      </c>
      <c r="E3551" s="1" t="s">
        <v>927</v>
      </c>
      <c r="F3551" s="1" t="s">
        <v>926</v>
      </c>
      <c r="G3551" s="1">
        <v>78.0</v>
      </c>
      <c r="H3551" s="1">
        <v>4.976344086</v>
      </c>
      <c r="I3551" s="1">
        <v>4.18</v>
      </c>
      <c r="J3551" s="1">
        <v>3.052788</v>
      </c>
    </row>
    <row r="3552">
      <c r="A3552" s="1">
        <v>2025.0</v>
      </c>
      <c r="B3552" s="1" t="s">
        <v>547</v>
      </c>
      <c r="C3552" s="1">
        <v>642528.0</v>
      </c>
      <c r="D3552" s="1" t="s">
        <v>532</v>
      </c>
      <c r="E3552" s="1" t="s">
        <v>927</v>
      </c>
      <c r="F3552" s="1" t="s">
        <v>927</v>
      </c>
      <c r="G3552" s="1">
        <v>15.0</v>
      </c>
      <c r="H3552" s="1">
        <v>0.956989247</v>
      </c>
      <c r="I3552" s="1">
        <v>4.92</v>
      </c>
      <c r="J3552" s="1">
        <v>0.334328</v>
      </c>
    </row>
    <row r="3553">
      <c r="A3553" s="1">
        <v>2025.0</v>
      </c>
      <c r="B3553" s="1" t="s">
        <v>547</v>
      </c>
      <c r="C3553" s="1">
        <v>642528.0</v>
      </c>
      <c r="D3553" s="1" t="s">
        <v>541</v>
      </c>
      <c r="E3553" s="1" t="s">
        <v>927</v>
      </c>
      <c r="F3553" s="1" t="s">
        <v>927</v>
      </c>
      <c r="G3553" s="1">
        <v>60.0</v>
      </c>
      <c r="H3553" s="1">
        <v>3.827956989</v>
      </c>
      <c r="I3553" s="1">
        <v>5.3</v>
      </c>
      <c r="J3553" s="1">
        <v>0.961956</v>
      </c>
    </row>
    <row r="3554">
      <c r="A3554" s="1">
        <v>2025.0</v>
      </c>
      <c r="B3554" s="1" t="s">
        <v>547</v>
      </c>
      <c r="C3554" s="1">
        <v>642528.0</v>
      </c>
      <c r="D3554" s="1" t="s">
        <v>540</v>
      </c>
      <c r="E3554" s="1" t="s">
        <v>927</v>
      </c>
      <c r="F3554" s="1" t="s">
        <v>927</v>
      </c>
      <c r="G3554" s="1">
        <v>14.0</v>
      </c>
      <c r="H3554" s="1">
        <v>0.893189964</v>
      </c>
      <c r="I3554" s="1">
        <v>3.55</v>
      </c>
      <c r="J3554" s="1">
        <v>0.712579</v>
      </c>
    </row>
    <row r="3555">
      <c r="A3555" s="1">
        <v>2025.0</v>
      </c>
      <c r="B3555" s="1" t="s">
        <v>547</v>
      </c>
      <c r="C3555" s="1">
        <v>642528.0</v>
      </c>
      <c r="D3555" s="1" t="s">
        <v>537</v>
      </c>
      <c r="E3555" s="1" t="s">
        <v>927</v>
      </c>
      <c r="F3555" s="1" t="s">
        <v>927</v>
      </c>
      <c r="G3555" s="1">
        <v>5.0</v>
      </c>
      <c r="H3555" s="1">
        <v>0.318996416</v>
      </c>
      <c r="I3555" s="1">
        <v>5.08</v>
      </c>
      <c r="J3555" s="1">
        <v>0.100221</v>
      </c>
    </row>
    <row r="3556">
      <c r="A3556" s="1">
        <v>2025.0</v>
      </c>
      <c r="B3556" s="1" t="s">
        <v>547</v>
      </c>
      <c r="C3556" s="1">
        <v>642528.0</v>
      </c>
      <c r="D3556" s="1" t="s">
        <v>536</v>
      </c>
      <c r="E3556" s="1" t="s">
        <v>927</v>
      </c>
      <c r="F3556" s="1" t="s">
        <v>927</v>
      </c>
      <c r="G3556" s="1">
        <v>191.0</v>
      </c>
      <c r="H3556" s="1">
        <v>12.18566308</v>
      </c>
      <c r="I3556" s="1">
        <v>5.13</v>
      </c>
      <c r="J3556" s="1">
        <v>3.670555</v>
      </c>
    </row>
    <row r="3557">
      <c r="A3557" s="1">
        <v>2025.0</v>
      </c>
      <c r="B3557" s="1" t="s">
        <v>896</v>
      </c>
      <c r="C3557" s="1">
        <v>702752.0</v>
      </c>
      <c r="D3557" s="1" t="s">
        <v>532</v>
      </c>
      <c r="E3557" s="1" t="s">
        <v>927</v>
      </c>
      <c r="F3557" s="1" t="s">
        <v>926</v>
      </c>
      <c r="G3557" s="1">
        <v>2.0</v>
      </c>
      <c r="H3557" s="1">
        <v>0.045977011</v>
      </c>
      <c r="I3557" s="1">
        <v>1.96</v>
      </c>
      <c r="J3557" s="1">
        <v>0.160947</v>
      </c>
    </row>
    <row r="3558">
      <c r="A3558" s="1">
        <v>2025.0</v>
      </c>
      <c r="B3558" s="1" t="s">
        <v>896</v>
      </c>
      <c r="C3558" s="1">
        <v>702752.0</v>
      </c>
      <c r="D3558" s="1" t="s">
        <v>540</v>
      </c>
      <c r="E3558" s="1" t="s">
        <v>927</v>
      </c>
      <c r="F3558" s="1" t="s">
        <v>926</v>
      </c>
      <c r="G3558" s="1">
        <v>12.0</v>
      </c>
      <c r="H3558" s="1">
        <v>0.275862069</v>
      </c>
      <c r="I3558" s="1">
        <v>3.9</v>
      </c>
      <c r="J3558" s="1">
        <v>0.530995</v>
      </c>
    </row>
    <row r="3559">
      <c r="A3559" s="1">
        <v>2025.0</v>
      </c>
      <c r="B3559" s="1" t="s">
        <v>896</v>
      </c>
      <c r="C3559" s="1">
        <v>702752.0</v>
      </c>
      <c r="D3559" s="1" t="s">
        <v>537</v>
      </c>
      <c r="E3559" s="1" t="s">
        <v>927</v>
      </c>
      <c r="F3559" s="1" t="s">
        <v>926</v>
      </c>
      <c r="G3559" s="1">
        <v>3.0</v>
      </c>
      <c r="H3559" s="1">
        <v>0.068965517</v>
      </c>
      <c r="I3559" s="1">
        <v>2.8</v>
      </c>
      <c r="J3559" s="1">
        <v>0.195649</v>
      </c>
    </row>
    <row r="3560">
      <c r="A3560" s="1">
        <v>2025.0</v>
      </c>
      <c r="B3560" s="1" t="s">
        <v>896</v>
      </c>
      <c r="C3560" s="1">
        <v>702752.0</v>
      </c>
      <c r="D3560" s="1" t="s">
        <v>540</v>
      </c>
      <c r="E3560" s="1" t="s">
        <v>927</v>
      </c>
      <c r="F3560" s="1" t="s">
        <v>927</v>
      </c>
      <c r="G3560" s="1">
        <v>9.0</v>
      </c>
      <c r="H3560" s="1">
        <v>0.206896552</v>
      </c>
      <c r="I3560" s="1">
        <v>5.23</v>
      </c>
      <c r="J3560" s="1">
        <v>0.148638</v>
      </c>
    </row>
    <row r="3561">
      <c r="A3561" s="1">
        <v>2025.0</v>
      </c>
      <c r="B3561" s="1" t="s">
        <v>896</v>
      </c>
      <c r="C3561" s="1">
        <v>702752.0</v>
      </c>
      <c r="D3561" s="1" t="s">
        <v>537</v>
      </c>
      <c r="E3561" s="1" t="s">
        <v>927</v>
      </c>
      <c r="F3561" s="1" t="s">
        <v>927</v>
      </c>
      <c r="G3561" s="1">
        <v>3.0</v>
      </c>
      <c r="H3561" s="1">
        <v>0.068965517</v>
      </c>
      <c r="I3561" s="1">
        <v>1.84</v>
      </c>
      <c r="J3561" s="1">
        <v>0.254534</v>
      </c>
    </row>
    <row r="3562">
      <c r="A3562" s="1">
        <v>2025.0</v>
      </c>
      <c r="B3562" s="1" t="s">
        <v>445</v>
      </c>
      <c r="C3562" s="1">
        <v>663855.0</v>
      </c>
      <c r="D3562" s="1" t="s">
        <v>537</v>
      </c>
      <c r="E3562" s="1" t="s">
        <v>927</v>
      </c>
      <c r="F3562" s="1" t="s">
        <v>926</v>
      </c>
      <c r="G3562" s="1">
        <v>78.0</v>
      </c>
      <c r="H3562" s="1">
        <v>4.383973289</v>
      </c>
      <c r="I3562" s="1">
        <v>4.48</v>
      </c>
      <c r="J3562" s="1">
        <v>2.543173</v>
      </c>
    </row>
    <row r="3563">
      <c r="A3563" s="1">
        <v>2025.0</v>
      </c>
      <c r="B3563" s="1" t="s">
        <v>445</v>
      </c>
      <c r="C3563" s="1">
        <v>663855.0</v>
      </c>
      <c r="D3563" s="1" t="s">
        <v>538</v>
      </c>
      <c r="E3563" s="1" t="s">
        <v>927</v>
      </c>
      <c r="F3563" s="1" t="s">
        <v>926</v>
      </c>
      <c r="G3563" s="1">
        <v>59.0</v>
      </c>
      <c r="H3563" s="1">
        <v>3.316082359</v>
      </c>
      <c r="I3563" s="1">
        <v>4.39</v>
      </c>
      <c r="J3563" s="1">
        <v>1.978024</v>
      </c>
    </row>
    <row r="3564">
      <c r="A3564" s="1">
        <v>2025.0</v>
      </c>
      <c r="B3564" s="1" t="s">
        <v>445</v>
      </c>
      <c r="C3564" s="1">
        <v>663855.0</v>
      </c>
      <c r="D3564" s="1" t="s">
        <v>536</v>
      </c>
      <c r="E3564" s="1" t="s">
        <v>927</v>
      </c>
      <c r="F3564" s="1" t="s">
        <v>926</v>
      </c>
      <c r="G3564" s="1">
        <v>278.0</v>
      </c>
      <c r="H3564" s="1">
        <v>15.62493044</v>
      </c>
      <c r="I3564" s="1">
        <v>5.08</v>
      </c>
      <c r="J3564" s="1">
        <v>5.827126</v>
      </c>
    </row>
    <row r="3565">
      <c r="A3565" s="1">
        <v>2025.0</v>
      </c>
      <c r="B3565" s="1" t="s">
        <v>445</v>
      </c>
      <c r="C3565" s="1">
        <v>663855.0</v>
      </c>
      <c r="D3565" s="1" t="s">
        <v>533</v>
      </c>
      <c r="E3565" s="1" t="s">
        <v>927</v>
      </c>
      <c r="F3565" s="1" t="s">
        <v>926</v>
      </c>
      <c r="G3565" s="1">
        <v>22.0</v>
      </c>
      <c r="H3565" s="1">
        <v>1.236505287</v>
      </c>
      <c r="I3565" s="1">
        <v>3.59</v>
      </c>
      <c r="J3565" s="1">
        <v>1.121958</v>
      </c>
    </row>
    <row r="3566">
      <c r="A3566" s="1">
        <v>2025.0</v>
      </c>
      <c r="B3566" s="1" t="s">
        <v>445</v>
      </c>
      <c r="C3566" s="1">
        <v>663855.0</v>
      </c>
      <c r="D3566" s="1" t="s">
        <v>539</v>
      </c>
      <c r="E3566" s="1" t="s">
        <v>927</v>
      </c>
      <c r="F3566" s="1" t="s">
        <v>926</v>
      </c>
      <c r="G3566" s="1">
        <v>124.0</v>
      </c>
      <c r="H3566" s="1">
        <v>6.969393434</v>
      </c>
      <c r="I3566" s="1">
        <v>4.77</v>
      </c>
      <c r="J3566" s="1">
        <v>3.249803</v>
      </c>
    </row>
    <row r="3567">
      <c r="A3567" s="1">
        <v>2025.0</v>
      </c>
      <c r="B3567" s="1" t="s">
        <v>445</v>
      </c>
      <c r="C3567" s="1">
        <v>663855.0</v>
      </c>
      <c r="D3567" s="1" t="s">
        <v>537</v>
      </c>
      <c r="E3567" s="1" t="s">
        <v>927</v>
      </c>
      <c r="F3567" s="1" t="s">
        <v>927</v>
      </c>
      <c r="G3567" s="1">
        <v>33.0</v>
      </c>
      <c r="H3567" s="1">
        <v>1.85475793</v>
      </c>
      <c r="I3567" s="1">
        <v>4.33</v>
      </c>
      <c r="J3567" s="1">
        <v>1.177232</v>
      </c>
    </row>
    <row r="3568">
      <c r="A3568" s="1">
        <v>2025.0</v>
      </c>
      <c r="B3568" s="1" t="s">
        <v>445</v>
      </c>
      <c r="C3568" s="1">
        <v>663855.0</v>
      </c>
      <c r="D3568" s="1" t="s">
        <v>538</v>
      </c>
      <c r="E3568" s="1" t="s">
        <v>927</v>
      </c>
      <c r="F3568" s="1" t="s">
        <v>927</v>
      </c>
      <c r="G3568" s="1">
        <v>13.0</v>
      </c>
      <c r="H3568" s="1">
        <v>0.730662215</v>
      </c>
      <c r="I3568" s="1">
        <v>4.12</v>
      </c>
      <c r="J3568" s="1">
        <v>0.512641</v>
      </c>
    </row>
    <row r="3569">
      <c r="A3569" s="1">
        <v>2025.0</v>
      </c>
      <c r="B3569" s="1" t="s">
        <v>445</v>
      </c>
      <c r="C3569" s="1">
        <v>663855.0</v>
      </c>
      <c r="D3569" s="1" t="s">
        <v>536</v>
      </c>
      <c r="E3569" s="1" t="s">
        <v>927</v>
      </c>
      <c r="F3569" s="1" t="s">
        <v>927</v>
      </c>
      <c r="G3569" s="1">
        <v>375.0</v>
      </c>
      <c r="H3569" s="1">
        <v>21.07679466</v>
      </c>
      <c r="I3569" s="1">
        <v>5.15</v>
      </c>
      <c r="J3569" s="1">
        <v>6.991744</v>
      </c>
    </row>
    <row r="3570">
      <c r="A3570" s="1">
        <v>2025.0</v>
      </c>
      <c r="B3570" s="1" t="s">
        <v>445</v>
      </c>
      <c r="C3570" s="1">
        <v>663855.0</v>
      </c>
      <c r="D3570" s="1" t="s">
        <v>533</v>
      </c>
      <c r="E3570" s="1" t="s">
        <v>927</v>
      </c>
      <c r="F3570" s="1" t="s">
        <v>927</v>
      </c>
      <c r="G3570" s="1">
        <v>52.0</v>
      </c>
      <c r="H3570" s="1">
        <v>2.922648859</v>
      </c>
      <c r="I3570" s="1">
        <v>4.72</v>
      </c>
      <c r="J3570" s="1">
        <v>1.446584</v>
      </c>
    </row>
    <row r="3571">
      <c r="A3571" s="1">
        <v>2025.0</v>
      </c>
      <c r="B3571" s="1" t="s">
        <v>445</v>
      </c>
      <c r="C3571" s="1">
        <v>663855.0</v>
      </c>
      <c r="D3571" s="1" t="s">
        <v>539</v>
      </c>
      <c r="E3571" s="1" t="s">
        <v>927</v>
      </c>
      <c r="F3571" s="1" t="s">
        <v>927</v>
      </c>
      <c r="G3571" s="1">
        <v>164.0</v>
      </c>
      <c r="H3571" s="1">
        <v>9.217584864</v>
      </c>
      <c r="I3571" s="1">
        <v>5.05</v>
      </c>
      <c r="J3571" s="1">
        <v>3.363386</v>
      </c>
    </row>
    <row r="3572">
      <c r="A3572" s="1">
        <v>2025.0</v>
      </c>
      <c r="B3572" s="1" t="s">
        <v>317</v>
      </c>
      <c r="C3572" s="1">
        <v>673929.0</v>
      </c>
      <c r="D3572" s="1" t="s">
        <v>537</v>
      </c>
      <c r="E3572" s="1" t="s">
        <v>927</v>
      </c>
      <c r="F3572" s="1" t="s">
        <v>926</v>
      </c>
      <c r="G3572" s="1">
        <v>287.0</v>
      </c>
      <c r="H3572" s="1">
        <v>16.35400059</v>
      </c>
      <c r="I3572" s="1">
        <v>5.03</v>
      </c>
      <c r="J3572" s="1">
        <v>6.2512</v>
      </c>
    </row>
    <row r="3573">
      <c r="A3573" s="1">
        <v>2025.0</v>
      </c>
      <c r="B3573" s="1" t="s">
        <v>317</v>
      </c>
      <c r="C3573" s="1">
        <v>673929.0</v>
      </c>
      <c r="D3573" s="1" t="s">
        <v>538</v>
      </c>
      <c r="E3573" s="1" t="s">
        <v>927</v>
      </c>
      <c r="F3573" s="1" t="s">
        <v>926</v>
      </c>
      <c r="G3573" s="1">
        <v>30.0</v>
      </c>
      <c r="H3573" s="1">
        <v>1.709477414</v>
      </c>
      <c r="I3573" s="1">
        <v>4.46</v>
      </c>
      <c r="J3573" s="1">
        <v>0.99105</v>
      </c>
    </row>
    <row r="3574">
      <c r="A3574" s="1">
        <v>2025.0</v>
      </c>
      <c r="B3574" s="1" t="s">
        <v>317</v>
      </c>
      <c r="C3574" s="1">
        <v>673929.0</v>
      </c>
      <c r="D3574" s="1" t="s">
        <v>533</v>
      </c>
      <c r="E3574" s="1" t="s">
        <v>927</v>
      </c>
      <c r="F3574" s="1" t="s">
        <v>926</v>
      </c>
      <c r="G3574" s="1">
        <v>154.0</v>
      </c>
      <c r="H3574" s="1">
        <v>8.77531739</v>
      </c>
      <c r="I3574" s="1">
        <v>5.02</v>
      </c>
      <c r="J3574" s="1">
        <v>3.341728</v>
      </c>
    </row>
    <row r="3575">
      <c r="A3575" s="1">
        <v>2025.0</v>
      </c>
      <c r="B3575" s="1" t="s">
        <v>317</v>
      </c>
      <c r="C3575" s="1">
        <v>673929.0</v>
      </c>
      <c r="D3575" s="1" t="s">
        <v>537</v>
      </c>
      <c r="E3575" s="1" t="s">
        <v>927</v>
      </c>
      <c r="F3575" s="1" t="s">
        <v>927</v>
      </c>
      <c r="G3575" s="1">
        <v>324.0</v>
      </c>
      <c r="H3575" s="1">
        <v>18.46235607</v>
      </c>
      <c r="I3575" s="1">
        <v>5.15</v>
      </c>
      <c r="J3575" s="1">
        <v>6.225809</v>
      </c>
    </row>
    <row r="3576">
      <c r="A3576" s="1">
        <v>2025.0</v>
      </c>
      <c r="B3576" s="1" t="s">
        <v>317</v>
      </c>
      <c r="C3576" s="1">
        <v>673929.0</v>
      </c>
      <c r="D3576" s="1" t="s">
        <v>538</v>
      </c>
      <c r="E3576" s="1" t="s">
        <v>927</v>
      </c>
      <c r="F3576" s="1" t="s">
        <v>927</v>
      </c>
      <c r="G3576" s="1">
        <v>1.0</v>
      </c>
      <c r="H3576" s="1">
        <v>0.05698258</v>
      </c>
      <c r="I3576" s="1">
        <v>3.6</v>
      </c>
      <c r="J3576" s="1">
        <v>0.051137</v>
      </c>
    </row>
    <row r="3577">
      <c r="A3577" s="1">
        <v>2025.0</v>
      </c>
      <c r="B3577" s="1" t="s">
        <v>317</v>
      </c>
      <c r="C3577" s="1">
        <v>673929.0</v>
      </c>
      <c r="D3577" s="1" t="s">
        <v>536</v>
      </c>
      <c r="E3577" s="1" t="s">
        <v>927</v>
      </c>
      <c r="F3577" s="1" t="s">
        <v>927</v>
      </c>
      <c r="G3577" s="1">
        <v>8.0</v>
      </c>
      <c r="H3577" s="1">
        <v>0.455860644</v>
      </c>
      <c r="I3577" s="1">
        <v>4.16</v>
      </c>
      <c r="J3577" s="1">
        <v>0.316612</v>
      </c>
    </row>
    <row r="3578">
      <c r="A3578" s="1">
        <v>2025.0</v>
      </c>
      <c r="B3578" s="1" t="s">
        <v>317</v>
      </c>
      <c r="C3578" s="1">
        <v>673929.0</v>
      </c>
      <c r="D3578" s="1" t="s">
        <v>533</v>
      </c>
      <c r="E3578" s="1" t="s">
        <v>927</v>
      </c>
      <c r="F3578" s="1" t="s">
        <v>927</v>
      </c>
      <c r="G3578" s="1">
        <v>325.0</v>
      </c>
      <c r="H3578" s="1">
        <v>18.51933865</v>
      </c>
      <c r="I3578" s="1">
        <v>5.05</v>
      </c>
      <c r="J3578" s="1">
        <v>6.924973</v>
      </c>
    </row>
    <row r="3579">
      <c r="A3579" s="1">
        <v>2025.0</v>
      </c>
      <c r="B3579" s="1" t="s">
        <v>208</v>
      </c>
      <c r="C3579" s="1">
        <v>605447.0</v>
      </c>
      <c r="D3579" s="1" t="s">
        <v>537</v>
      </c>
      <c r="E3579" s="1" t="s">
        <v>927</v>
      </c>
      <c r="F3579" s="1" t="s">
        <v>926</v>
      </c>
      <c r="G3579" s="1">
        <v>131.0</v>
      </c>
      <c r="H3579" s="1">
        <v>7.973371374</v>
      </c>
      <c r="I3579" s="1">
        <v>4.91</v>
      </c>
      <c r="J3579" s="1">
        <v>3.106369</v>
      </c>
    </row>
    <row r="3580">
      <c r="A3580" s="1">
        <v>2025.0</v>
      </c>
      <c r="B3580" s="1" t="s">
        <v>208</v>
      </c>
      <c r="C3580" s="1">
        <v>605447.0</v>
      </c>
      <c r="D3580" s="1" t="s">
        <v>533</v>
      </c>
      <c r="E3580" s="1" t="s">
        <v>927</v>
      </c>
      <c r="F3580" s="1" t="s">
        <v>926</v>
      </c>
      <c r="G3580" s="1">
        <v>205.0</v>
      </c>
      <c r="H3580" s="1">
        <v>12.47741322</v>
      </c>
      <c r="I3580" s="1">
        <v>5.4</v>
      </c>
      <c r="J3580" s="1">
        <v>2.792831</v>
      </c>
    </row>
    <row r="3581">
      <c r="A3581" s="1">
        <v>2025.0</v>
      </c>
      <c r="B3581" s="1" t="s">
        <v>208</v>
      </c>
      <c r="C3581" s="1">
        <v>605447.0</v>
      </c>
      <c r="D3581" s="1" t="s">
        <v>537</v>
      </c>
      <c r="E3581" s="1" t="s">
        <v>927</v>
      </c>
      <c r="F3581" s="1" t="s">
        <v>927</v>
      </c>
      <c r="G3581" s="1">
        <v>127.0</v>
      </c>
      <c r="H3581" s="1">
        <v>7.729909653</v>
      </c>
      <c r="I3581" s="1">
        <v>4.71</v>
      </c>
      <c r="J3581" s="1">
        <v>3.557734</v>
      </c>
    </row>
    <row r="3582">
      <c r="A3582" s="1">
        <v>2025.0</v>
      </c>
      <c r="B3582" s="1" t="s">
        <v>208</v>
      </c>
      <c r="C3582" s="1">
        <v>605447.0</v>
      </c>
      <c r="D3582" s="1" t="s">
        <v>533</v>
      </c>
      <c r="E3582" s="1" t="s">
        <v>927</v>
      </c>
      <c r="F3582" s="1" t="s">
        <v>927</v>
      </c>
      <c r="G3582" s="1">
        <v>238.0</v>
      </c>
      <c r="H3582" s="1">
        <v>14.48597242</v>
      </c>
      <c r="I3582" s="1">
        <v>5.13</v>
      </c>
      <c r="J3582" s="1">
        <v>4.52266</v>
      </c>
    </row>
    <row r="3583">
      <c r="A3583" s="1">
        <v>2025.0</v>
      </c>
      <c r="B3583" s="1" t="s">
        <v>903</v>
      </c>
      <c r="C3583" s="1">
        <v>607179.0</v>
      </c>
      <c r="D3583" s="1" t="s">
        <v>541</v>
      </c>
      <c r="E3583" s="1" t="s">
        <v>927</v>
      </c>
      <c r="F3583" s="1" t="s">
        <v>926</v>
      </c>
      <c r="G3583" s="1">
        <v>2.0</v>
      </c>
      <c r="H3583" s="1">
        <v>0.088435374</v>
      </c>
      <c r="I3583" s="1">
        <v>2.75</v>
      </c>
      <c r="J3583" s="1">
        <v>0.125312</v>
      </c>
    </row>
    <row r="3584">
      <c r="A3584" s="1">
        <v>2025.0</v>
      </c>
      <c r="B3584" s="1" t="s">
        <v>903</v>
      </c>
      <c r="C3584" s="1">
        <v>607179.0</v>
      </c>
      <c r="D3584" s="1" t="s">
        <v>537</v>
      </c>
      <c r="E3584" s="1" t="s">
        <v>927</v>
      </c>
      <c r="F3584" s="1" t="s">
        <v>926</v>
      </c>
      <c r="G3584" s="1">
        <v>29.0</v>
      </c>
      <c r="H3584" s="1">
        <v>1.282312925</v>
      </c>
      <c r="I3584" s="1">
        <v>4.09</v>
      </c>
      <c r="J3584" s="1">
        <v>1.1368</v>
      </c>
    </row>
    <row r="3585">
      <c r="A3585" s="1">
        <v>2025.0</v>
      </c>
      <c r="B3585" s="1" t="s">
        <v>903</v>
      </c>
      <c r="C3585" s="1">
        <v>607179.0</v>
      </c>
      <c r="D3585" s="1" t="s">
        <v>538</v>
      </c>
      <c r="E3585" s="1" t="s">
        <v>927</v>
      </c>
      <c r="F3585" s="1" t="s">
        <v>926</v>
      </c>
      <c r="G3585" s="1">
        <v>11.0</v>
      </c>
      <c r="H3585" s="1">
        <v>0.486394558</v>
      </c>
      <c r="I3585" s="1">
        <v>3.25</v>
      </c>
      <c r="J3585" s="1">
        <v>0.587835</v>
      </c>
    </row>
    <row r="3586">
      <c r="A3586" s="1">
        <v>2025.0</v>
      </c>
      <c r="B3586" s="1" t="s">
        <v>903</v>
      </c>
      <c r="C3586" s="1">
        <v>607179.0</v>
      </c>
      <c r="D3586" s="1" t="s">
        <v>533</v>
      </c>
      <c r="E3586" s="1" t="s">
        <v>927</v>
      </c>
      <c r="F3586" s="1" t="s">
        <v>926</v>
      </c>
      <c r="G3586" s="1">
        <v>8.0</v>
      </c>
      <c r="H3586" s="1">
        <v>0.353741497</v>
      </c>
      <c r="I3586" s="1">
        <v>5.26</v>
      </c>
      <c r="J3586" s="1">
        <v>0.129844</v>
      </c>
    </row>
    <row r="3587">
      <c r="A3587" s="1">
        <v>2025.0</v>
      </c>
      <c r="B3587" s="1" t="s">
        <v>903</v>
      </c>
      <c r="C3587" s="1">
        <v>607179.0</v>
      </c>
      <c r="D3587" s="1" t="s">
        <v>537</v>
      </c>
      <c r="E3587" s="1" t="s">
        <v>927</v>
      </c>
      <c r="F3587" s="1" t="s">
        <v>927</v>
      </c>
      <c r="G3587" s="1">
        <v>28.0</v>
      </c>
      <c r="H3587" s="1">
        <v>1.238095238</v>
      </c>
      <c r="I3587" s="1">
        <v>5.04</v>
      </c>
      <c r="J3587" s="1">
        <v>0.617028</v>
      </c>
    </row>
    <row r="3588">
      <c r="A3588" s="1">
        <v>2025.0</v>
      </c>
      <c r="B3588" s="1" t="s">
        <v>903</v>
      </c>
      <c r="C3588" s="1">
        <v>607179.0</v>
      </c>
      <c r="D3588" s="1" t="s">
        <v>533</v>
      </c>
      <c r="E3588" s="1" t="s">
        <v>927</v>
      </c>
      <c r="F3588" s="1" t="s">
        <v>927</v>
      </c>
      <c r="G3588" s="1">
        <v>20.0</v>
      </c>
      <c r="H3588" s="1">
        <v>0.884353741</v>
      </c>
      <c r="I3588" s="1">
        <v>5.07</v>
      </c>
      <c r="J3588" s="1">
        <v>0.392983</v>
      </c>
    </row>
    <row r="3589">
      <c r="A3589" s="1">
        <v>2025.0</v>
      </c>
      <c r="B3589" s="1" t="s">
        <v>556</v>
      </c>
      <c r="C3589" s="1">
        <v>696136.0</v>
      </c>
      <c r="D3589" s="1" t="s">
        <v>532</v>
      </c>
      <c r="E3589" s="1" t="s">
        <v>926</v>
      </c>
      <c r="F3589" s="1" t="s">
        <v>926</v>
      </c>
      <c r="G3589" s="1">
        <v>5.0</v>
      </c>
      <c r="H3589" s="1">
        <v>0.330261137</v>
      </c>
      <c r="I3589" s="1">
        <v>3.6</v>
      </c>
      <c r="J3589" s="1">
        <v>0.233477</v>
      </c>
    </row>
    <row r="3590">
      <c r="A3590" s="1">
        <v>2025.0</v>
      </c>
      <c r="B3590" s="1" t="s">
        <v>556</v>
      </c>
      <c r="C3590" s="1">
        <v>696136.0</v>
      </c>
      <c r="D3590" s="1" t="s">
        <v>541</v>
      </c>
      <c r="E3590" s="1" t="s">
        <v>926</v>
      </c>
      <c r="F3590" s="1" t="s">
        <v>926</v>
      </c>
      <c r="G3590" s="1">
        <v>1.0</v>
      </c>
      <c r="H3590" s="1">
        <v>0.066052227</v>
      </c>
      <c r="I3590" s="1">
        <v>6.41</v>
      </c>
      <c r="J3590" s="1">
        <v>-0.006031</v>
      </c>
    </row>
    <row r="3591">
      <c r="A3591" s="1">
        <v>2025.0</v>
      </c>
      <c r="B3591" s="1" t="s">
        <v>556</v>
      </c>
      <c r="C3591" s="1">
        <v>696136.0</v>
      </c>
      <c r="D3591" s="1" t="s">
        <v>537</v>
      </c>
      <c r="E3591" s="1" t="s">
        <v>926</v>
      </c>
      <c r="F3591" s="1" t="s">
        <v>926</v>
      </c>
      <c r="G3591" s="1">
        <v>17.0</v>
      </c>
      <c r="H3591" s="1">
        <v>1.122887865</v>
      </c>
      <c r="I3591" s="1">
        <v>5.06</v>
      </c>
      <c r="J3591" s="1">
        <v>0.372833</v>
      </c>
    </row>
    <row r="3592">
      <c r="A3592" s="1">
        <v>2025.0</v>
      </c>
      <c r="B3592" s="1" t="s">
        <v>556</v>
      </c>
      <c r="C3592" s="1">
        <v>696136.0</v>
      </c>
      <c r="D3592" s="1" t="s">
        <v>536</v>
      </c>
      <c r="E3592" s="1" t="s">
        <v>926</v>
      </c>
      <c r="F3592" s="1" t="s">
        <v>926</v>
      </c>
      <c r="G3592" s="1">
        <v>18.0</v>
      </c>
      <c r="H3592" s="1">
        <v>1.188940092</v>
      </c>
      <c r="I3592" s="1">
        <v>4.62</v>
      </c>
      <c r="J3592" s="1">
        <v>0.517964</v>
      </c>
    </row>
    <row r="3593">
      <c r="A3593" s="1">
        <v>2025.0</v>
      </c>
      <c r="B3593" s="1" t="s">
        <v>556</v>
      </c>
      <c r="C3593" s="1">
        <v>696136.0</v>
      </c>
      <c r="D3593" s="1" t="s">
        <v>533</v>
      </c>
      <c r="E3593" s="1" t="s">
        <v>926</v>
      </c>
      <c r="F3593" s="1" t="s">
        <v>926</v>
      </c>
      <c r="G3593" s="1">
        <v>22.0</v>
      </c>
      <c r="H3593" s="1">
        <v>1.453149002</v>
      </c>
      <c r="I3593" s="1">
        <v>5.68</v>
      </c>
      <c r="J3593" s="1">
        <v>0.194399</v>
      </c>
    </row>
    <row r="3594">
      <c r="A3594" s="1">
        <v>2025.0</v>
      </c>
      <c r="B3594" s="1" t="s">
        <v>556</v>
      </c>
      <c r="C3594" s="1">
        <v>696136.0</v>
      </c>
      <c r="D3594" s="1" t="s">
        <v>539</v>
      </c>
      <c r="E3594" s="1" t="s">
        <v>926</v>
      </c>
      <c r="F3594" s="1" t="s">
        <v>926</v>
      </c>
      <c r="G3594" s="1">
        <v>19.0</v>
      </c>
      <c r="H3594" s="1">
        <v>1.25499232</v>
      </c>
      <c r="I3594" s="1">
        <v>5.01</v>
      </c>
      <c r="J3594" s="1">
        <v>0.4087</v>
      </c>
    </row>
    <row r="3595">
      <c r="A3595" s="1">
        <v>2025.0</v>
      </c>
      <c r="B3595" s="1" t="s">
        <v>556</v>
      </c>
      <c r="C3595" s="1">
        <v>696136.0</v>
      </c>
      <c r="D3595" s="1" t="s">
        <v>532</v>
      </c>
      <c r="E3595" s="1" t="s">
        <v>926</v>
      </c>
      <c r="F3595" s="1" t="s">
        <v>927</v>
      </c>
      <c r="G3595" s="1">
        <v>48.0</v>
      </c>
      <c r="H3595" s="1">
        <v>3.170506912</v>
      </c>
      <c r="I3595" s="1">
        <v>4.89</v>
      </c>
      <c r="J3595" s="1">
        <v>1.173594</v>
      </c>
    </row>
    <row r="3596">
      <c r="A3596" s="1">
        <v>2025.0</v>
      </c>
      <c r="B3596" s="1" t="s">
        <v>556</v>
      </c>
      <c r="C3596" s="1">
        <v>696136.0</v>
      </c>
      <c r="D3596" s="1" t="s">
        <v>541</v>
      </c>
      <c r="E3596" s="1" t="s">
        <v>926</v>
      </c>
      <c r="F3596" s="1" t="s">
        <v>927</v>
      </c>
      <c r="G3596" s="1">
        <v>1.0</v>
      </c>
      <c r="H3596" s="1">
        <v>0.066052227</v>
      </c>
      <c r="I3596" s="1">
        <v>3.07</v>
      </c>
      <c r="J3596" s="1">
        <v>0.058253</v>
      </c>
    </row>
    <row r="3597">
      <c r="A3597" s="1">
        <v>2025.0</v>
      </c>
      <c r="B3597" s="1" t="s">
        <v>556</v>
      </c>
      <c r="C3597" s="1">
        <v>696136.0</v>
      </c>
      <c r="D3597" s="1" t="s">
        <v>537</v>
      </c>
      <c r="E3597" s="1" t="s">
        <v>926</v>
      </c>
      <c r="F3597" s="1" t="s">
        <v>927</v>
      </c>
      <c r="G3597" s="1">
        <v>69.0</v>
      </c>
      <c r="H3597" s="1">
        <v>4.557603687</v>
      </c>
      <c r="I3597" s="1">
        <v>5.52</v>
      </c>
      <c r="J3597" s="1">
        <v>0.796381</v>
      </c>
    </row>
    <row r="3598">
      <c r="A3598" s="1">
        <v>2025.0</v>
      </c>
      <c r="B3598" s="1" t="s">
        <v>556</v>
      </c>
      <c r="C3598" s="1">
        <v>696136.0</v>
      </c>
      <c r="D3598" s="1" t="s">
        <v>536</v>
      </c>
      <c r="E3598" s="1" t="s">
        <v>926</v>
      </c>
      <c r="F3598" s="1" t="s">
        <v>927</v>
      </c>
      <c r="G3598" s="1">
        <v>4.0</v>
      </c>
      <c r="H3598" s="1">
        <v>0.264208909</v>
      </c>
      <c r="I3598" s="1">
        <v>3.45</v>
      </c>
      <c r="J3598" s="1">
        <v>0.213449</v>
      </c>
    </row>
    <row r="3599">
      <c r="A3599" s="1">
        <v>2025.0</v>
      </c>
      <c r="B3599" s="1" t="s">
        <v>556</v>
      </c>
      <c r="C3599" s="1">
        <v>696136.0</v>
      </c>
      <c r="D3599" s="1" t="s">
        <v>533</v>
      </c>
      <c r="E3599" s="1" t="s">
        <v>926</v>
      </c>
      <c r="F3599" s="1" t="s">
        <v>927</v>
      </c>
      <c r="G3599" s="1">
        <v>6.0</v>
      </c>
      <c r="H3599" s="1">
        <v>0.396313364</v>
      </c>
      <c r="I3599" s="1">
        <v>5.44</v>
      </c>
      <c r="J3599" s="1">
        <v>0.076718</v>
      </c>
    </row>
    <row r="3600">
      <c r="A3600" s="1">
        <v>2025.0</v>
      </c>
      <c r="B3600" s="1" t="s">
        <v>556</v>
      </c>
      <c r="C3600" s="1">
        <v>696136.0</v>
      </c>
      <c r="D3600" s="1" t="s">
        <v>539</v>
      </c>
      <c r="E3600" s="1" t="s">
        <v>926</v>
      </c>
      <c r="F3600" s="1" t="s">
        <v>927</v>
      </c>
      <c r="G3600" s="1">
        <v>7.0</v>
      </c>
      <c r="H3600" s="1">
        <v>0.462365591</v>
      </c>
      <c r="I3600" s="1">
        <v>5.68</v>
      </c>
      <c r="J3600" s="1">
        <v>0.041842</v>
      </c>
    </row>
    <row r="3601">
      <c r="A3601" s="1">
        <v>2025.0</v>
      </c>
      <c r="B3601" s="1" t="s">
        <v>397</v>
      </c>
      <c r="C3601" s="1">
        <v>660896.0</v>
      </c>
      <c r="D3601" s="1" t="s">
        <v>532</v>
      </c>
      <c r="E3601" s="1" t="s">
        <v>927</v>
      </c>
      <c r="F3601" s="1" t="s">
        <v>926</v>
      </c>
      <c r="G3601" s="1">
        <v>19.0</v>
      </c>
      <c r="H3601" s="1">
        <v>0.987712665</v>
      </c>
      <c r="I3601" s="1">
        <v>4.34</v>
      </c>
      <c r="J3601" s="1">
        <v>0.665446</v>
      </c>
    </row>
    <row r="3602">
      <c r="A3602" s="1">
        <v>2025.0</v>
      </c>
      <c r="B3602" s="1" t="s">
        <v>397</v>
      </c>
      <c r="C3602" s="1">
        <v>660896.0</v>
      </c>
      <c r="D3602" s="1" t="s">
        <v>541</v>
      </c>
      <c r="E3602" s="1" t="s">
        <v>927</v>
      </c>
      <c r="F3602" s="1" t="s">
        <v>926</v>
      </c>
      <c r="G3602" s="1">
        <v>116.0</v>
      </c>
      <c r="H3602" s="1">
        <v>6.030245747</v>
      </c>
      <c r="I3602" s="1">
        <v>4.75</v>
      </c>
      <c r="J3602" s="1">
        <v>3.119661</v>
      </c>
    </row>
    <row r="3603">
      <c r="A3603" s="1">
        <v>2025.0</v>
      </c>
      <c r="B3603" s="1" t="s">
        <v>397</v>
      </c>
      <c r="C3603" s="1">
        <v>660896.0</v>
      </c>
      <c r="D3603" s="1" t="s">
        <v>537</v>
      </c>
      <c r="E3603" s="1" t="s">
        <v>927</v>
      </c>
      <c r="F3603" s="1" t="s">
        <v>926</v>
      </c>
      <c r="G3603" s="1">
        <v>231.0</v>
      </c>
      <c r="H3603" s="1">
        <v>12.00850662</v>
      </c>
      <c r="I3603" s="1">
        <v>4.96</v>
      </c>
      <c r="J3603" s="1">
        <v>5.275558</v>
      </c>
    </row>
    <row r="3604">
      <c r="A3604" s="1">
        <v>2025.0</v>
      </c>
      <c r="B3604" s="1" t="s">
        <v>397</v>
      </c>
      <c r="C3604" s="1">
        <v>660896.0</v>
      </c>
      <c r="D3604" s="1" t="s">
        <v>536</v>
      </c>
      <c r="E3604" s="1" t="s">
        <v>927</v>
      </c>
      <c r="F3604" s="1" t="s">
        <v>926</v>
      </c>
      <c r="G3604" s="1">
        <v>2.0</v>
      </c>
      <c r="H3604" s="1">
        <v>0.103969754</v>
      </c>
      <c r="I3604" s="1">
        <v>-0.35</v>
      </c>
      <c r="J3604" s="1">
        <v>0.261719</v>
      </c>
    </row>
    <row r="3605">
      <c r="A3605" s="1">
        <v>2025.0</v>
      </c>
      <c r="B3605" s="1" t="s">
        <v>397</v>
      </c>
      <c r="C3605" s="1">
        <v>660896.0</v>
      </c>
      <c r="D3605" s="1" t="s">
        <v>533</v>
      </c>
      <c r="E3605" s="1" t="s">
        <v>927</v>
      </c>
      <c r="F3605" s="1" t="s">
        <v>926</v>
      </c>
      <c r="G3605" s="1">
        <v>57.0</v>
      </c>
      <c r="H3605" s="1">
        <v>2.963137996</v>
      </c>
      <c r="I3605" s="1">
        <v>4.95</v>
      </c>
      <c r="J3605" s="1">
        <v>1.343054</v>
      </c>
    </row>
    <row r="3606">
      <c r="A3606" s="1">
        <v>2025.0</v>
      </c>
      <c r="B3606" s="1" t="s">
        <v>397</v>
      </c>
      <c r="C3606" s="1">
        <v>660896.0</v>
      </c>
      <c r="D3606" s="1" t="s">
        <v>532</v>
      </c>
      <c r="E3606" s="1" t="s">
        <v>927</v>
      </c>
      <c r="F3606" s="1" t="s">
        <v>927</v>
      </c>
      <c r="G3606" s="1">
        <v>1.0</v>
      </c>
      <c r="H3606" s="1">
        <v>0.051984877</v>
      </c>
      <c r="I3606" s="1">
        <v>6.39</v>
      </c>
      <c r="J3606" s="1">
        <v>-0.008898</v>
      </c>
    </row>
    <row r="3607">
      <c r="A3607" s="1">
        <v>2025.0</v>
      </c>
      <c r="B3607" s="1" t="s">
        <v>397</v>
      </c>
      <c r="C3607" s="1">
        <v>660896.0</v>
      </c>
      <c r="D3607" s="1" t="s">
        <v>541</v>
      </c>
      <c r="E3607" s="1" t="s">
        <v>927</v>
      </c>
      <c r="F3607" s="1" t="s">
        <v>927</v>
      </c>
      <c r="G3607" s="1">
        <v>129.0</v>
      </c>
      <c r="H3607" s="1">
        <v>6.706049149</v>
      </c>
      <c r="I3607" s="1">
        <v>4.97</v>
      </c>
      <c r="J3607" s="1">
        <v>2.77352</v>
      </c>
    </row>
    <row r="3608">
      <c r="A3608" s="1">
        <v>2025.0</v>
      </c>
      <c r="B3608" s="1" t="s">
        <v>397</v>
      </c>
      <c r="C3608" s="1">
        <v>660896.0</v>
      </c>
      <c r="D3608" s="1" t="s">
        <v>537</v>
      </c>
      <c r="E3608" s="1" t="s">
        <v>927</v>
      </c>
      <c r="F3608" s="1" t="s">
        <v>927</v>
      </c>
      <c r="G3608" s="1">
        <v>256.0</v>
      </c>
      <c r="H3608" s="1">
        <v>13.30812854</v>
      </c>
      <c r="I3608" s="1">
        <v>4.85</v>
      </c>
      <c r="J3608" s="1">
        <v>6.46174</v>
      </c>
    </row>
    <row r="3609">
      <c r="A3609" s="1">
        <v>2025.0</v>
      </c>
      <c r="B3609" s="1" t="s">
        <v>397</v>
      </c>
      <c r="C3609" s="1">
        <v>660896.0</v>
      </c>
      <c r="D3609" s="1" t="s">
        <v>536</v>
      </c>
      <c r="E3609" s="1" t="s">
        <v>927</v>
      </c>
      <c r="F3609" s="1" t="s">
        <v>927</v>
      </c>
      <c r="G3609" s="1">
        <v>140.0</v>
      </c>
      <c r="H3609" s="1">
        <v>7.277882798</v>
      </c>
      <c r="I3609" s="1">
        <v>5.07</v>
      </c>
      <c r="J3609" s="1">
        <v>2.994285</v>
      </c>
    </row>
    <row r="3610">
      <c r="A3610" s="1">
        <v>2025.0</v>
      </c>
      <c r="B3610" s="1" t="s">
        <v>397</v>
      </c>
      <c r="C3610" s="1">
        <v>660896.0</v>
      </c>
      <c r="D3610" s="1" t="s">
        <v>533</v>
      </c>
      <c r="E3610" s="1" t="s">
        <v>927</v>
      </c>
      <c r="F3610" s="1" t="s">
        <v>927</v>
      </c>
      <c r="G3610" s="1">
        <v>107.0</v>
      </c>
      <c r="H3610" s="1">
        <v>5.562381853</v>
      </c>
      <c r="I3610" s="1">
        <v>4.96</v>
      </c>
      <c r="J3610" s="1">
        <v>2.43361</v>
      </c>
    </row>
    <row r="3611">
      <c r="A3611" s="1">
        <v>2025.0</v>
      </c>
      <c r="B3611" s="1" t="s">
        <v>697</v>
      </c>
      <c r="C3611" s="1">
        <v>605347.0</v>
      </c>
      <c r="D3611" s="1" t="s">
        <v>532</v>
      </c>
      <c r="E3611" s="1" t="s">
        <v>927</v>
      </c>
      <c r="F3611" s="1" t="s">
        <v>926</v>
      </c>
      <c r="G3611" s="1">
        <v>28.0</v>
      </c>
      <c r="H3611" s="1">
        <v>1.784668389</v>
      </c>
      <c r="I3611" s="1">
        <v>4.41</v>
      </c>
      <c r="J3611" s="1">
        <v>0.899109</v>
      </c>
    </row>
    <row r="3612">
      <c r="A3612" s="1">
        <v>2025.0</v>
      </c>
      <c r="B3612" s="1" t="s">
        <v>697</v>
      </c>
      <c r="C3612" s="1">
        <v>605347.0</v>
      </c>
      <c r="D3612" s="1" t="s">
        <v>541</v>
      </c>
      <c r="E3612" s="1" t="s">
        <v>927</v>
      </c>
      <c r="F3612" s="1" t="s">
        <v>926</v>
      </c>
      <c r="G3612" s="1">
        <v>60.0</v>
      </c>
      <c r="H3612" s="1">
        <v>3.824289406</v>
      </c>
      <c r="I3612" s="1">
        <v>4.89</v>
      </c>
      <c r="J3612" s="1">
        <v>1.430065</v>
      </c>
    </row>
    <row r="3613">
      <c r="A3613" s="1">
        <v>2025.0</v>
      </c>
      <c r="B3613" s="1" t="s">
        <v>697</v>
      </c>
      <c r="C3613" s="1">
        <v>605347.0</v>
      </c>
      <c r="D3613" s="1" t="s">
        <v>537</v>
      </c>
      <c r="E3613" s="1" t="s">
        <v>927</v>
      </c>
      <c r="F3613" s="1" t="s">
        <v>926</v>
      </c>
      <c r="G3613" s="1">
        <v>96.0</v>
      </c>
      <c r="H3613" s="1">
        <v>6.118863049</v>
      </c>
      <c r="I3613" s="1">
        <v>4.33</v>
      </c>
      <c r="J3613" s="1">
        <v>3.488932</v>
      </c>
    </row>
    <row r="3614">
      <c r="A3614" s="1">
        <v>2025.0</v>
      </c>
      <c r="B3614" s="1" t="s">
        <v>697</v>
      </c>
      <c r="C3614" s="1">
        <v>605347.0</v>
      </c>
      <c r="D3614" s="1" t="s">
        <v>536</v>
      </c>
      <c r="E3614" s="1" t="s">
        <v>927</v>
      </c>
      <c r="F3614" s="1" t="s">
        <v>926</v>
      </c>
      <c r="G3614" s="1">
        <v>9.0</v>
      </c>
      <c r="H3614" s="1">
        <v>0.573643411</v>
      </c>
      <c r="I3614" s="1">
        <v>4.33</v>
      </c>
      <c r="J3614" s="1">
        <v>0.306705</v>
      </c>
    </row>
    <row r="3615">
      <c r="A3615" s="1">
        <v>2025.0</v>
      </c>
      <c r="B3615" s="1" t="s">
        <v>697</v>
      </c>
      <c r="C3615" s="1">
        <v>605347.0</v>
      </c>
      <c r="D3615" s="1" t="s">
        <v>533</v>
      </c>
      <c r="E3615" s="1" t="s">
        <v>927</v>
      </c>
      <c r="F3615" s="1" t="s">
        <v>926</v>
      </c>
      <c r="G3615" s="1">
        <v>6.0</v>
      </c>
      <c r="H3615" s="1">
        <v>0.382428941</v>
      </c>
      <c r="I3615" s="1">
        <v>3.66</v>
      </c>
      <c r="J3615" s="1">
        <v>0.285015</v>
      </c>
    </row>
    <row r="3616">
      <c r="A3616" s="1">
        <v>2025.0</v>
      </c>
      <c r="B3616" s="1" t="s">
        <v>697</v>
      </c>
      <c r="C3616" s="1">
        <v>605347.0</v>
      </c>
      <c r="D3616" s="1" t="s">
        <v>532</v>
      </c>
      <c r="E3616" s="1" t="s">
        <v>927</v>
      </c>
      <c r="F3616" s="1" t="s">
        <v>927</v>
      </c>
      <c r="G3616" s="1">
        <v>9.0</v>
      </c>
      <c r="H3616" s="1">
        <v>0.573643411</v>
      </c>
      <c r="I3616" s="1">
        <v>4.09</v>
      </c>
      <c r="J3616" s="1">
        <v>0.358329</v>
      </c>
    </row>
    <row r="3617">
      <c r="A3617" s="1">
        <v>2025.0</v>
      </c>
      <c r="B3617" s="1" t="s">
        <v>697</v>
      </c>
      <c r="C3617" s="1">
        <v>605347.0</v>
      </c>
      <c r="D3617" s="1" t="s">
        <v>541</v>
      </c>
      <c r="E3617" s="1" t="s">
        <v>927</v>
      </c>
      <c r="F3617" s="1" t="s">
        <v>927</v>
      </c>
      <c r="G3617" s="1">
        <v>5.0</v>
      </c>
      <c r="H3617" s="1">
        <v>0.318690784</v>
      </c>
      <c r="I3617" s="1">
        <v>3.2</v>
      </c>
      <c r="J3617" s="1">
        <v>0.294111</v>
      </c>
    </row>
    <row r="3618">
      <c r="A3618" s="1">
        <v>2025.0</v>
      </c>
      <c r="B3618" s="1" t="s">
        <v>697</v>
      </c>
      <c r="C3618" s="1">
        <v>605347.0</v>
      </c>
      <c r="D3618" s="1" t="s">
        <v>537</v>
      </c>
      <c r="E3618" s="1" t="s">
        <v>927</v>
      </c>
      <c r="F3618" s="1" t="s">
        <v>927</v>
      </c>
      <c r="G3618" s="1">
        <v>5.0</v>
      </c>
      <c r="H3618" s="1">
        <v>0.318690784</v>
      </c>
      <c r="I3618" s="1">
        <v>3.84</v>
      </c>
      <c r="J3618" s="1">
        <v>0.216194</v>
      </c>
    </row>
    <row r="3619">
      <c r="A3619" s="1">
        <v>2025.0</v>
      </c>
      <c r="B3619" s="1" t="s">
        <v>697</v>
      </c>
      <c r="C3619" s="1">
        <v>605347.0</v>
      </c>
      <c r="D3619" s="1" t="s">
        <v>536</v>
      </c>
      <c r="E3619" s="1" t="s">
        <v>927</v>
      </c>
      <c r="F3619" s="1" t="s">
        <v>927</v>
      </c>
      <c r="G3619" s="1">
        <v>95.0</v>
      </c>
      <c r="H3619" s="1">
        <v>6.055124892</v>
      </c>
      <c r="I3619" s="1">
        <v>5.2</v>
      </c>
      <c r="J3619" s="1">
        <v>1.736215</v>
      </c>
    </row>
    <row r="3620">
      <c r="A3620" s="1">
        <v>2025.0</v>
      </c>
      <c r="B3620" s="1" t="s">
        <v>697</v>
      </c>
      <c r="C3620" s="1">
        <v>605347.0</v>
      </c>
      <c r="D3620" s="1" t="s">
        <v>533</v>
      </c>
      <c r="E3620" s="1" t="s">
        <v>927</v>
      </c>
      <c r="F3620" s="1" t="s">
        <v>927</v>
      </c>
      <c r="G3620" s="1">
        <v>74.0</v>
      </c>
      <c r="H3620" s="1">
        <v>4.7166236</v>
      </c>
      <c r="I3620" s="1">
        <v>5.13</v>
      </c>
      <c r="J3620" s="1">
        <v>1.46167</v>
      </c>
    </row>
    <row r="3621">
      <c r="A3621" s="1">
        <v>2025.0</v>
      </c>
      <c r="B3621" s="1" t="s">
        <v>809</v>
      </c>
      <c r="C3621" s="1">
        <v>622761.0</v>
      </c>
      <c r="D3621" s="1" t="s">
        <v>537</v>
      </c>
      <c r="E3621" s="1" t="s">
        <v>927</v>
      </c>
      <c r="F3621" s="1" t="s">
        <v>926</v>
      </c>
      <c r="G3621" s="1">
        <v>5.0</v>
      </c>
      <c r="H3621" s="1">
        <v>0.227272727</v>
      </c>
      <c r="I3621" s="1">
        <v>2.29</v>
      </c>
      <c r="J3621" s="1">
        <v>0.374962</v>
      </c>
    </row>
    <row r="3622">
      <c r="A3622" s="1">
        <v>2025.0</v>
      </c>
      <c r="B3622" s="1" t="s">
        <v>809</v>
      </c>
      <c r="C3622" s="1">
        <v>622761.0</v>
      </c>
      <c r="D3622" s="1" t="s">
        <v>537</v>
      </c>
      <c r="E3622" s="1" t="s">
        <v>927</v>
      </c>
      <c r="F3622" s="1" t="s">
        <v>927</v>
      </c>
      <c r="G3622" s="1">
        <v>17.0</v>
      </c>
      <c r="H3622" s="1">
        <v>0.772727273</v>
      </c>
      <c r="I3622" s="1">
        <v>4.17</v>
      </c>
      <c r="J3622" s="1">
        <v>0.648177</v>
      </c>
    </row>
    <row r="3623">
      <c r="A3623" s="1">
        <v>2025.0</v>
      </c>
      <c r="B3623" s="1" t="s">
        <v>86</v>
      </c>
      <c r="C3623" s="1">
        <v>678606.0</v>
      </c>
      <c r="D3623" s="1" t="s">
        <v>532</v>
      </c>
      <c r="E3623" s="1" t="s">
        <v>926</v>
      </c>
      <c r="F3623" s="1" t="s">
        <v>926</v>
      </c>
      <c r="G3623" s="1">
        <v>20.0</v>
      </c>
      <c r="H3623" s="1">
        <v>1.265892758</v>
      </c>
      <c r="I3623" s="1">
        <v>4.46</v>
      </c>
      <c r="J3623" s="1">
        <v>0.655461</v>
      </c>
    </row>
    <row r="3624">
      <c r="A3624" s="1">
        <v>2025.0</v>
      </c>
      <c r="B3624" s="1" t="s">
        <v>86</v>
      </c>
      <c r="C3624" s="1">
        <v>678606.0</v>
      </c>
      <c r="D3624" s="1" t="s">
        <v>536</v>
      </c>
      <c r="E3624" s="1" t="s">
        <v>926</v>
      </c>
      <c r="F3624" s="1" t="s">
        <v>926</v>
      </c>
      <c r="G3624" s="1">
        <v>322.0</v>
      </c>
      <c r="H3624" s="1">
        <v>20.38087341</v>
      </c>
      <c r="I3624" s="1">
        <v>5.88</v>
      </c>
      <c r="J3624" s="1">
        <v>1.29282</v>
      </c>
    </row>
    <row r="3625">
      <c r="A3625" s="1">
        <v>2025.0</v>
      </c>
      <c r="B3625" s="1" t="s">
        <v>86</v>
      </c>
      <c r="C3625" s="1">
        <v>678606.0</v>
      </c>
      <c r="D3625" s="1" t="s">
        <v>533</v>
      </c>
      <c r="E3625" s="1" t="s">
        <v>926</v>
      </c>
      <c r="F3625" s="1" t="s">
        <v>926</v>
      </c>
      <c r="G3625" s="1">
        <v>74.0</v>
      </c>
      <c r="H3625" s="1">
        <v>4.683803206</v>
      </c>
      <c r="I3625" s="1">
        <v>4.65</v>
      </c>
      <c r="J3625" s="1">
        <v>2.118907</v>
      </c>
    </row>
    <row r="3626">
      <c r="A3626" s="1">
        <v>2025.0</v>
      </c>
      <c r="B3626" s="1" t="s">
        <v>86</v>
      </c>
      <c r="C3626" s="1">
        <v>678606.0</v>
      </c>
      <c r="D3626" s="1" t="s">
        <v>532</v>
      </c>
      <c r="E3626" s="1" t="s">
        <v>926</v>
      </c>
      <c r="F3626" s="1" t="s">
        <v>927</v>
      </c>
      <c r="G3626" s="1">
        <v>243.0</v>
      </c>
      <c r="H3626" s="1">
        <v>15.38059701</v>
      </c>
      <c r="I3626" s="1">
        <v>4.74</v>
      </c>
      <c r="J3626" s="1">
        <v>6.492027</v>
      </c>
    </row>
    <row r="3627">
      <c r="A3627" s="1">
        <v>2025.0</v>
      </c>
      <c r="B3627" s="1" t="s">
        <v>86</v>
      </c>
      <c r="C3627" s="1">
        <v>678606.0</v>
      </c>
      <c r="D3627" s="1" t="s">
        <v>536</v>
      </c>
      <c r="E3627" s="1" t="s">
        <v>926</v>
      </c>
      <c r="F3627" s="1" t="s">
        <v>927</v>
      </c>
      <c r="G3627" s="1">
        <v>531.0</v>
      </c>
      <c r="H3627" s="1">
        <v>33.60945274</v>
      </c>
      <c r="I3627" s="1">
        <v>5.14</v>
      </c>
      <c r="J3627" s="1">
        <v>10.42295</v>
      </c>
    </row>
    <row r="3628">
      <c r="A3628" s="1">
        <v>2025.0</v>
      </c>
      <c r="B3628" s="1" t="s">
        <v>86</v>
      </c>
      <c r="C3628" s="1">
        <v>678606.0</v>
      </c>
      <c r="D3628" s="1" t="s">
        <v>533</v>
      </c>
      <c r="E3628" s="1" t="s">
        <v>926</v>
      </c>
      <c r="F3628" s="1" t="s">
        <v>927</v>
      </c>
      <c r="G3628" s="1">
        <v>16.0</v>
      </c>
      <c r="H3628" s="1">
        <v>1.012714207</v>
      </c>
      <c r="I3628" s="1">
        <v>5.25</v>
      </c>
      <c r="J3628" s="1">
        <v>0.230489</v>
      </c>
    </row>
    <row r="3629">
      <c r="A3629" s="1">
        <v>2025.0</v>
      </c>
      <c r="B3629" s="1" t="s">
        <v>972</v>
      </c>
      <c r="C3629" s="1">
        <v>692030.0</v>
      </c>
      <c r="D3629" s="1" t="s">
        <v>532</v>
      </c>
      <c r="E3629" s="1" t="s">
        <v>927</v>
      </c>
      <c r="F3629" s="1" t="s">
        <v>926</v>
      </c>
      <c r="G3629" s="1">
        <v>8.0</v>
      </c>
      <c r="H3629" s="1">
        <v>0.325203252</v>
      </c>
      <c r="I3629" s="1">
        <v>3.94</v>
      </c>
      <c r="J3629" s="1">
        <v>0.371192</v>
      </c>
    </row>
    <row r="3630">
      <c r="A3630" s="1">
        <v>2025.0</v>
      </c>
      <c r="B3630" s="1" t="s">
        <v>972</v>
      </c>
      <c r="C3630" s="1">
        <v>692030.0</v>
      </c>
      <c r="D3630" s="1" t="s">
        <v>540</v>
      </c>
      <c r="E3630" s="1" t="s">
        <v>927</v>
      </c>
      <c r="F3630" s="1" t="s">
        <v>926</v>
      </c>
      <c r="G3630" s="1">
        <v>12.0</v>
      </c>
      <c r="H3630" s="1">
        <v>0.487804878</v>
      </c>
      <c r="I3630" s="1">
        <v>4.8</v>
      </c>
      <c r="J3630" s="1">
        <v>0.338022</v>
      </c>
    </row>
    <row r="3631">
      <c r="A3631" s="1">
        <v>2025.0</v>
      </c>
      <c r="B3631" s="1" t="s">
        <v>972</v>
      </c>
      <c r="C3631" s="1">
        <v>692030.0</v>
      </c>
      <c r="D3631" s="1" t="s">
        <v>537</v>
      </c>
      <c r="E3631" s="1" t="s">
        <v>927</v>
      </c>
      <c r="F3631" s="1" t="s">
        <v>926</v>
      </c>
      <c r="G3631" s="1">
        <v>20.0</v>
      </c>
      <c r="H3631" s="1">
        <v>0.81300813</v>
      </c>
      <c r="I3631" s="1">
        <v>4.85</v>
      </c>
      <c r="J3631" s="1">
        <v>0.544473</v>
      </c>
    </row>
    <row r="3632">
      <c r="A3632" s="1">
        <v>2025.0</v>
      </c>
      <c r="B3632" s="1" t="s">
        <v>972</v>
      </c>
      <c r="C3632" s="1">
        <v>692030.0</v>
      </c>
      <c r="D3632" s="1" t="s">
        <v>539</v>
      </c>
      <c r="E3632" s="1" t="s">
        <v>927</v>
      </c>
      <c r="F3632" s="1" t="s">
        <v>926</v>
      </c>
      <c r="G3632" s="1">
        <v>1.0</v>
      </c>
      <c r="H3632" s="1">
        <v>0.040650407</v>
      </c>
      <c r="I3632" s="1">
        <v>2.56</v>
      </c>
      <c r="J3632" s="1">
        <v>0.073929</v>
      </c>
    </row>
    <row r="3633">
      <c r="A3633" s="1">
        <v>2025.0</v>
      </c>
      <c r="B3633" s="1" t="s">
        <v>973</v>
      </c>
      <c r="C3633" s="1">
        <v>664744.0</v>
      </c>
      <c r="D3633" s="1" t="s">
        <v>537</v>
      </c>
      <c r="E3633" s="1" t="s">
        <v>927</v>
      </c>
      <c r="F3633" s="1" t="s">
        <v>926</v>
      </c>
      <c r="G3633" s="1">
        <v>6.0</v>
      </c>
      <c r="H3633" s="1">
        <v>0.620689655</v>
      </c>
      <c r="I3633" s="1">
        <v>5.62</v>
      </c>
      <c r="J3633" s="1">
        <v>0.054515</v>
      </c>
    </row>
    <row r="3634">
      <c r="A3634" s="1">
        <v>2025.0</v>
      </c>
      <c r="B3634" s="1" t="s">
        <v>973</v>
      </c>
      <c r="C3634" s="1">
        <v>664744.0</v>
      </c>
      <c r="D3634" s="1" t="s">
        <v>538</v>
      </c>
      <c r="E3634" s="1" t="s">
        <v>927</v>
      </c>
      <c r="F3634" s="1" t="s">
        <v>926</v>
      </c>
      <c r="G3634" s="1">
        <v>6.0</v>
      </c>
      <c r="H3634" s="1">
        <v>0.620689655</v>
      </c>
      <c r="I3634" s="1">
        <v>3.94</v>
      </c>
      <c r="J3634" s="1">
        <v>0.249479</v>
      </c>
    </row>
    <row r="3635">
      <c r="A3635" s="1">
        <v>2025.0</v>
      </c>
      <c r="B3635" s="1" t="s">
        <v>973</v>
      </c>
      <c r="C3635" s="1">
        <v>664744.0</v>
      </c>
      <c r="D3635" s="1" t="s">
        <v>533</v>
      </c>
      <c r="E3635" s="1" t="s">
        <v>927</v>
      </c>
      <c r="F3635" s="1" t="s">
        <v>926</v>
      </c>
      <c r="G3635" s="1">
        <v>3.0</v>
      </c>
      <c r="H3635" s="1">
        <v>0.310344828</v>
      </c>
      <c r="I3635" s="1">
        <v>7.27</v>
      </c>
      <c r="J3635" s="1">
        <v>-0.072334</v>
      </c>
    </row>
    <row r="3636">
      <c r="A3636" s="1">
        <v>2025.0</v>
      </c>
      <c r="B3636" s="1" t="s">
        <v>973</v>
      </c>
      <c r="C3636" s="1">
        <v>664744.0</v>
      </c>
      <c r="D3636" s="1" t="s">
        <v>537</v>
      </c>
      <c r="E3636" s="1" t="s">
        <v>927</v>
      </c>
      <c r="F3636" s="1" t="s">
        <v>927</v>
      </c>
      <c r="G3636" s="1">
        <v>8.0</v>
      </c>
      <c r="H3636" s="1">
        <v>0.827586207</v>
      </c>
      <c r="I3636" s="1">
        <v>4.98</v>
      </c>
      <c r="J3636" s="1">
        <v>0.179019</v>
      </c>
    </row>
    <row r="3637">
      <c r="A3637" s="1">
        <v>2025.0</v>
      </c>
      <c r="B3637" s="1" t="s">
        <v>973</v>
      </c>
      <c r="C3637" s="1">
        <v>664744.0</v>
      </c>
      <c r="D3637" s="1" t="s">
        <v>538</v>
      </c>
      <c r="E3637" s="1" t="s">
        <v>927</v>
      </c>
      <c r="F3637" s="1" t="s">
        <v>927</v>
      </c>
      <c r="G3637" s="1">
        <v>3.0</v>
      </c>
      <c r="H3637" s="1">
        <v>0.310344828</v>
      </c>
      <c r="I3637" s="1">
        <v>4.42</v>
      </c>
      <c r="J3637" s="1">
        <v>0.095264</v>
      </c>
    </row>
    <row r="3638">
      <c r="A3638" s="1">
        <v>2025.0</v>
      </c>
      <c r="B3638" s="1" t="s">
        <v>973</v>
      </c>
      <c r="C3638" s="1">
        <v>664744.0</v>
      </c>
      <c r="D3638" s="1" t="s">
        <v>533</v>
      </c>
      <c r="E3638" s="1" t="s">
        <v>927</v>
      </c>
      <c r="F3638" s="1" t="s">
        <v>927</v>
      </c>
      <c r="G3638" s="1">
        <v>3.0</v>
      </c>
      <c r="H3638" s="1">
        <v>0.310344828</v>
      </c>
      <c r="I3638" s="1">
        <v>5.49</v>
      </c>
      <c r="J3638" s="1">
        <v>0.038361</v>
      </c>
    </row>
    <row r="3639">
      <c r="A3639" s="1">
        <v>2025.0</v>
      </c>
      <c r="B3639" s="1" t="s">
        <v>381</v>
      </c>
      <c r="C3639" s="1">
        <v>820862.0</v>
      </c>
      <c r="D3639" s="1" t="s">
        <v>537</v>
      </c>
      <c r="E3639" s="1" t="s">
        <v>927</v>
      </c>
      <c r="F3639" s="1" t="s">
        <v>926</v>
      </c>
      <c r="G3639" s="1">
        <v>158.0</v>
      </c>
      <c r="H3639" s="1">
        <v>8.410335917</v>
      </c>
      <c r="I3639" s="1">
        <v>5.09</v>
      </c>
      <c r="J3639" s="1">
        <v>3.300968</v>
      </c>
    </row>
    <row r="3640">
      <c r="A3640" s="1">
        <v>2025.0</v>
      </c>
      <c r="B3640" s="1" t="s">
        <v>381</v>
      </c>
      <c r="C3640" s="1">
        <v>820862.0</v>
      </c>
      <c r="D3640" s="1" t="s">
        <v>536</v>
      </c>
      <c r="E3640" s="1" t="s">
        <v>927</v>
      </c>
      <c r="F3640" s="1" t="s">
        <v>926</v>
      </c>
      <c r="G3640" s="1">
        <v>6.0</v>
      </c>
      <c r="H3640" s="1">
        <v>0.319379845</v>
      </c>
      <c r="I3640" s="1">
        <v>5.67</v>
      </c>
      <c r="J3640" s="1">
        <v>0.068201</v>
      </c>
    </row>
    <row r="3641">
      <c r="A3641" s="1">
        <v>2025.0</v>
      </c>
      <c r="B3641" s="1" t="s">
        <v>381</v>
      </c>
      <c r="C3641" s="1">
        <v>820862.0</v>
      </c>
      <c r="D3641" s="1" t="s">
        <v>533</v>
      </c>
      <c r="E3641" s="1" t="s">
        <v>927</v>
      </c>
      <c r="F3641" s="1" t="s">
        <v>926</v>
      </c>
      <c r="G3641" s="1">
        <v>134.0</v>
      </c>
      <c r="H3641" s="1">
        <v>7.132816537</v>
      </c>
      <c r="I3641" s="1">
        <v>4.83</v>
      </c>
      <c r="J3641" s="1">
        <v>3.408959</v>
      </c>
    </row>
    <row r="3642">
      <c r="A3642" s="1">
        <v>2025.0</v>
      </c>
      <c r="B3642" s="1" t="s">
        <v>381</v>
      </c>
      <c r="C3642" s="1">
        <v>820862.0</v>
      </c>
      <c r="D3642" s="1" t="s">
        <v>532</v>
      </c>
      <c r="E3642" s="1" t="s">
        <v>927</v>
      </c>
      <c r="F3642" s="1" t="s">
        <v>927</v>
      </c>
      <c r="G3642" s="1">
        <v>1.0</v>
      </c>
      <c r="H3642" s="1">
        <v>0.053229974</v>
      </c>
      <c r="I3642" s="1">
        <v>3.79</v>
      </c>
      <c r="J3642" s="1">
        <v>0.046605</v>
      </c>
    </row>
    <row r="3643">
      <c r="A3643" s="1">
        <v>2025.0</v>
      </c>
      <c r="B3643" s="1" t="s">
        <v>381</v>
      </c>
      <c r="C3643" s="1">
        <v>820862.0</v>
      </c>
      <c r="D3643" s="1" t="s">
        <v>537</v>
      </c>
      <c r="E3643" s="1" t="s">
        <v>927</v>
      </c>
      <c r="F3643" s="1" t="s">
        <v>927</v>
      </c>
      <c r="G3643" s="1">
        <v>153.0</v>
      </c>
      <c r="H3643" s="1">
        <v>8.144186047</v>
      </c>
      <c r="I3643" s="1">
        <v>5.16</v>
      </c>
      <c r="J3643" s="1">
        <v>2.958049</v>
      </c>
    </row>
    <row r="3644">
      <c r="A3644" s="1">
        <v>2025.0</v>
      </c>
      <c r="B3644" s="1" t="s">
        <v>381</v>
      </c>
      <c r="C3644" s="1">
        <v>820862.0</v>
      </c>
      <c r="D3644" s="1" t="s">
        <v>536</v>
      </c>
      <c r="E3644" s="1" t="s">
        <v>927</v>
      </c>
      <c r="F3644" s="1" t="s">
        <v>927</v>
      </c>
      <c r="G3644" s="1">
        <v>10.0</v>
      </c>
      <c r="H3644" s="1">
        <v>0.532299742</v>
      </c>
      <c r="I3644" s="1">
        <v>4.84</v>
      </c>
      <c r="J3644" s="1">
        <v>0.266997</v>
      </c>
    </row>
    <row r="3645">
      <c r="A3645" s="1">
        <v>2025.0</v>
      </c>
      <c r="B3645" s="1" t="s">
        <v>381</v>
      </c>
      <c r="C3645" s="1">
        <v>820862.0</v>
      </c>
      <c r="D3645" s="1" t="s">
        <v>533</v>
      </c>
      <c r="E3645" s="1" t="s">
        <v>927</v>
      </c>
      <c r="F3645" s="1" t="s">
        <v>927</v>
      </c>
      <c r="G3645" s="1">
        <v>183.0</v>
      </c>
      <c r="H3645" s="1">
        <v>9.741085271</v>
      </c>
      <c r="I3645" s="1">
        <v>5.02</v>
      </c>
      <c r="J3645" s="1">
        <v>3.875588</v>
      </c>
    </row>
    <row r="3646">
      <c r="A3646" s="1">
        <v>2025.0</v>
      </c>
      <c r="B3646" s="1" t="s">
        <v>866</v>
      </c>
      <c r="C3646" s="1">
        <v>645444.0</v>
      </c>
      <c r="D3646" s="1" t="s">
        <v>537</v>
      </c>
      <c r="E3646" s="1" t="s">
        <v>927</v>
      </c>
      <c r="F3646" s="1" t="s">
        <v>927</v>
      </c>
      <c r="G3646" s="1">
        <v>2.0</v>
      </c>
      <c r="H3646" s="1">
        <v>2.0</v>
      </c>
      <c r="I3646" s="1">
        <v>3.72</v>
      </c>
      <c r="J3646" s="1">
        <v>0.096634</v>
      </c>
    </row>
    <row r="3647">
      <c r="A3647" s="1">
        <v>2025.0</v>
      </c>
      <c r="B3647" s="1" t="s">
        <v>476</v>
      </c>
      <c r="C3647" s="1">
        <v>500779.0</v>
      </c>
      <c r="D3647" s="1" t="s">
        <v>532</v>
      </c>
      <c r="E3647" s="1" t="s">
        <v>926</v>
      </c>
      <c r="F3647" s="1" t="s">
        <v>926</v>
      </c>
      <c r="G3647" s="1">
        <v>16.0</v>
      </c>
      <c r="H3647" s="1">
        <v>0.969027906</v>
      </c>
      <c r="I3647" s="1">
        <v>4.46</v>
      </c>
      <c r="J3647" s="1">
        <v>0.506211</v>
      </c>
    </row>
    <row r="3648">
      <c r="A3648" s="1">
        <v>2025.0</v>
      </c>
      <c r="B3648" s="1" t="s">
        <v>476</v>
      </c>
      <c r="C3648" s="1">
        <v>500779.0</v>
      </c>
      <c r="D3648" s="1" t="s">
        <v>541</v>
      </c>
      <c r="E3648" s="1" t="s">
        <v>926</v>
      </c>
      <c r="F3648" s="1" t="s">
        <v>926</v>
      </c>
      <c r="G3648" s="1">
        <v>184.0</v>
      </c>
      <c r="H3648" s="1">
        <v>11.14382091</v>
      </c>
      <c r="I3648" s="1">
        <v>5.35</v>
      </c>
      <c r="J3648" s="1">
        <v>2.644805</v>
      </c>
    </row>
    <row r="3649">
      <c r="A3649" s="1">
        <v>2025.0</v>
      </c>
      <c r="B3649" s="1" t="s">
        <v>476</v>
      </c>
      <c r="C3649" s="1">
        <v>500779.0</v>
      </c>
      <c r="D3649" s="1" t="s">
        <v>537</v>
      </c>
      <c r="E3649" s="1" t="s">
        <v>926</v>
      </c>
      <c r="F3649" s="1" t="s">
        <v>926</v>
      </c>
      <c r="G3649" s="1">
        <v>61.0</v>
      </c>
      <c r="H3649" s="1">
        <v>3.69441889</v>
      </c>
      <c r="I3649" s="1">
        <v>4.91</v>
      </c>
      <c r="J3649" s="1">
        <v>1.421255</v>
      </c>
    </row>
    <row r="3650">
      <c r="A3650" s="1">
        <v>2025.0</v>
      </c>
      <c r="B3650" s="1" t="s">
        <v>476</v>
      </c>
      <c r="C3650" s="1">
        <v>500779.0</v>
      </c>
      <c r="D3650" s="1" t="s">
        <v>536</v>
      </c>
      <c r="E3650" s="1" t="s">
        <v>926</v>
      </c>
      <c r="F3650" s="1" t="s">
        <v>926</v>
      </c>
      <c r="G3650" s="1">
        <v>281.0</v>
      </c>
      <c r="H3650" s="1">
        <v>17.01855259</v>
      </c>
      <c r="I3650" s="1">
        <v>5.22</v>
      </c>
      <c r="J3650" s="1">
        <v>4.939624</v>
      </c>
    </row>
    <row r="3651">
      <c r="A3651" s="1">
        <v>2025.0</v>
      </c>
      <c r="B3651" s="1" t="s">
        <v>476</v>
      </c>
      <c r="C3651" s="1">
        <v>500779.0</v>
      </c>
      <c r="D3651" s="1" t="s">
        <v>533</v>
      </c>
      <c r="E3651" s="1" t="s">
        <v>926</v>
      </c>
      <c r="F3651" s="1" t="s">
        <v>926</v>
      </c>
      <c r="G3651" s="1">
        <v>7.0</v>
      </c>
      <c r="H3651" s="1">
        <v>0.423949709</v>
      </c>
      <c r="I3651" s="1">
        <v>5.75</v>
      </c>
      <c r="J3651" s="1">
        <v>0.040828</v>
      </c>
    </row>
    <row r="3652">
      <c r="A3652" s="1">
        <v>2025.0</v>
      </c>
      <c r="B3652" s="1" t="s">
        <v>476</v>
      </c>
      <c r="C3652" s="1">
        <v>500779.0</v>
      </c>
      <c r="D3652" s="1" t="s">
        <v>532</v>
      </c>
      <c r="E3652" s="1" t="s">
        <v>926</v>
      </c>
      <c r="F3652" s="1" t="s">
        <v>927</v>
      </c>
      <c r="G3652" s="1">
        <v>464.0</v>
      </c>
      <c r="H3652" s="1">
        <v>28.10180926</v>
      </c>
      <c r="I3652" s="1">
        <v>4.9</v>
      </c>
      <c r="J3652" s="1">
        <v>11.025264</v>
      </c>
    </row>
    <row r="3653">
      <c r="A3653" s="1">
        <v>2025.0</v>
      </c>
      <c r="B3653" s="1" t="s">
        <v>476</v>
      </c>
      <c r="C3653" s="1">
        <v>500779.0</v>
      </c>
      <c r="D3653" s="1" t="s">
        <v>541</v>
      </c>
      <c r="E3653" s="1" t="s">
        <v>926</v>
      </c>
      <c r="F3653" s="1" t="s">
        <v>927</v>
      </c>
      <c r="G3653" s="1">
        <v>293.0</v>
      </c>
      <c r="H3653" s="1">
        <v>17.74532352</v>
      </c>
      <c r="I3653" s="1">
        <v>5.01</v>
      </c>
      <c r="J3653" s="1">
        <v>6.315526</v>
      </c>
    </row>
    <row r="3654">
      <c r="A3654" s="1">
        <v>2025.0</v>
      </c>
      <c r="B3654" s="1" t="s">
        <v>476</v>
      </c>
      <c r="C3654" s="1">
        <v>500779.0</v>
      </c>
      <c r="D3654" s="1" t="s">
        <v>537</v>
      </c>
      <c r="E3654" s="1" t="s">
        <v>926</v>
      </c>
      <c r="F3654" s="1" t="s">
        <v>927</v>
      </c>
      <c r="G3654" s="1">
        <v>193.0</v>
      </c>
      <c r="H3654" s="1">
        <v>11.68889911</v>
      </c>
      <c r="I3654" s="1">
        <v>4.87</v>
      </c>
      <c r="J3654" s="1">
        <v>4.825077</v>
      </c>
    </row>
    <row r="3655">
      <c r="A3655" s="1">
        <v>2025.0</v>
      </c>
      <c r="B3655" s="1" t="s">
        <v>476</v>
      </c>
      <c r="C3655" s="1">
        <v>500779.0</v>
      </c>
      <c r="D3655" s="1" t="s">
        <v>536</v>
      </c>
      <c r="E3655" s="1" t="s">
        <v>926</v>
      </c>
      <c r="F3655" s="1" t="s">
        <v>927</v>
      </c>
      <c r="G3655" s="1">
        <v>675.0</v>
      </c>
      <c r="H3655" s="1">
        <v>40.88086477</v>
      </c>
      <c r="I3655" s="1">
        <v>4.53</v>
      </c>
      <c r="J3655" s="1">
        <v>21.838616</v>
      </c>
    </row>
    <row r="3656">
      <c r="A3656" s="1">
        <v>2025.0</v>
      </c>
      <c r="B3656" s="1" t="s">
        <v>905</v>
      </c>
      <c r="C3656" s="1">
        <v>624431.0</v>
      </c>
      <c r="D3656" s="1" t="s">
        <v>537</v>
      </c>
      <c r="E3656" s="1" t="s">
        <v>927</v>
      </c>
      <c r="F3656" s="1" t="s">
        <v>926</v>
      </c>
      <c r="G3656" s="1">
        <v>7.0</v>
      </c>
      <c r="H3656" s="1">
        <v>0.494949495</v>
      </c>
      <c r="I3656" s="1">
        <v>5.91</v>
      </c>
      <c r="J3656" s="1">
        <v>0.031367</v>
      </c>
    </row>
    <row r="3657">
      <c r="A3657" s="1">
        <v>2025.0</v>
      </c>
      <c r="B3657" s="1" t="s">
        <v>905</v>
      </c>
      <c r="C3657" s="1">
        <v>624431.0</v>
      </c>
      <c r="D3657" s="1" t="s">
        <v>928</v>
      </c>
      <c r="E3657" s="1" t="s">
        <v>927</v>
      </c>
      <c r="F3657" s="1" t="s">
        <v>926</v>
      </c>
      <c r="G3657" s="1">
        <v>7.0</v>
      </c>
      <c r="H3657" s="1">
        <v>0.494949495</v>
      </c>
      <c r="I3657" s="1">
        <v>4.74</v>
      </c>
      <c r="J3657" s="1">
        <v>0.184563</v>
      </c>
    </row>
    <row r="3658">
      <c r="A3658" s="1">
        <v>2025.0</v>
      </c>
      <c r="B3658" s="1" t="s">
        <v>905</v>
      </c>
      <c r="C3658" s="1">
        <v>624431.0</v>
      </c>
      <c r="D3658" s="1" t="s">
        <v>537</v>
      </c>
      <c r="E3658" s="1" t="s">
        <v>927</v>
      </c>
      <c r="F3658" s="1" t="s">
        <v>927</v>
      </c>
      <c r="G3658" s="1">
        <v>14.0</v>
      </c>
      <c r="H3658" s="1">
        <v>0.98989899</v>
      </c>
      <c r="I3658" s="1">
        <v>4.33</v>
      </c>
      <c r="J3658" s="1">
        <v>0.507761</v>
      </c>
    </row>
    <row r="3659">
      <c r="A3659" s="1">
        <v>2025.0</v>
      </c>
      <c r="B3659" s="1" t="s">
        <v>905</v>
      </c>
      <c r="C3659" s="1">
        <v>624431.0</v>
      </c>
      <c r="D3659" s="1" t="s">
        <v>928</v>
      </c>
      <c r="E3659" s="1" t="s">
        <v>927</v>
      </c>
      <c r="F3659" s="1" t="s">
        <v>927</v>
      </c>
      <c r="G3659" s="1">
        <v>5.0</v>
      </c>
      <c r="H3659" s="1">
        <v>0.353535354</v>
      </c>
      <c r="I3659" s="1">
        <v>3.99</v>
      </c>
      <c r="J3659" s="1">
        <v>0.209708</v>
      </c>
    </row>
    <row r="3660">
      <c r="A3660" s="1">
        <v>2025.0</v>
      </c>
      <c r="B3660" s="1" t="s">
        <v>59</v>
      </c>
      <c r="C3660" s="1">
        <v>623352.0</v>
      </c>
      <c r="D3660" s="1" t="s">
        <v>532</v>
      </c>
      <c r="E3660" s="1" t="s">
        <v>926</v>
      </c>
      <c r="F3660" s="1" t="s">
        <v>926</v>
      </c>
      <c r="G3660" s="1">
        <v>1.0</v>
      </c>
      <c r="H3660" s="1">
        <v>0.062253743</v>
      </c>
      <c r="I3660" s="1">
        <v>5.71</v>
      </c>
      <c r="J3660" s="1">
        <v>0.0089</v>
      </c>
    </row>
    <row r="3661">
      <c r="A3661" s="1">
        <v>2025.0</v>
      </c>
      <c r="B3661" s="1" t="s">
        <v>59</v>
      </c>
      <c r="C3661" s="1">
        <v>623352.0</v>
      </c>
      <c r="D3661" s="1" t="s">
        <v>536</v>
      </c>
      <c r="E3661" s="1" t="s">
        <v>926</v>
      </c>
      <c r="F3661" s="1" t="s">
        <v>926</v>
      </c>
      <c r="G3661" s="1">
        <v>116.0</v>
      </c>
      <c r="H3661" s="1">
        <v>7.2214342</v>
      </c>
      <c r="I3661" s="1">
        <v>5.45</v>
      </c>
      <c r="J3661" s="1">
        <v>1.493793</v>
      </c>
    </row>
    <row r="3662">
      <c r="A3662" s="1">
        <v>2025.0</v>
      </c>
      <c r="B3662" s="1" t="s">
        <v>59</v>
      </c>
      <c r="C3662" s="1">
        <v>623352.0</v>
      </c>
      <c r="D3662" s="1" t="s">
        <v>533</v>
      </c>
      <c r="E3662" s="1" t="s">
        <v>926</v>
      </c>
      <c r="F3662" s="1" t="s">
        <v>926</v>
      </c>
      <c r="G3662" s="1">
        <v>71.0</v>
      </c>
      <c r="H3662" s="1">
        <v>4.42001576</v>
      </c>
      <c r="I3662" s="1">
        <v>4.77</v>
      </c>
      <c r="J3662" s="1">
        <v>1.873722</v>
      </c>
    </row>
    <row r="3663">
      <c r="A3663" s="1">
        <v>2025.0</v>
      </c>
      <c r="B3663" s="1" t="s">
        <v>59</v>
      </c>
      <c r="C3663" s="1">
        <v>623352.0</v>
      </c>
      <c r="D3663" s="1" t="s">
        <v>532</v>
      </c>
      <c r="E3663" s="1" t="s">
        <v>926</v>
      </c>
      <c r="F3663" s="1" t="s">
        <v>927</v>
      </c>
      <c r="G3663" s="1">
        <v>36.0</v>
      </c>
      <c r="H3663" s="1">
        <v>2.241134752</v>
      </c>
      <c r="I3663" s="1">
        <v>4.13</v>
      </c>
      <c r="J3663" s="1">
        <v>1.412167</v>
      </c>
    </row>
    <row r="3664">
      <c r="A3664" s="1">
        <v>2025.0</v>
      </c>
      <c r="B3664" s="1" t="s">
        <v>59</v>
      </c>
      <c r="C3664" s="1">
        <v>623352.0</v>
      </c>
      <c r="D3664" s="1" t="s">
        <v>536</v>
      </c>
      <c r="E3664" s="1" t="s">
        <v>926</v>
      </c>
      <c r="F3664" s="1" t="s">
        <v>927</v>
      </c>
      <c r="G3664" s="1">
        <v>342.0</v>
      </c>
      <c r="H3664" s="1">
        <v>21.29078014</v>
      </c>
      <c r="I3664" s="1">
        <v>5.59</v>
      </c>
      <c r="J3664" s="1">
        <v>3.298215</v>
      </c>
    </row>
    <row r="3665">
      <c r="A3665" s="1">
        <v>2025.0</v>
      </c>
      <c r="B3665" s="1" t="s">
        <v>59</v>
      </c>
      <c r="C3665" s="1">
        <v>623352.0</v>
      </c>
      <c r="D3665" s="1" t="s">
        <v>533</v>
      </c>
      <c r="E3665" s="1" t="s">
        <v>926</v>
      </c>
      <c r="F3665" s="1" t="s">
        <v>927</v>
      </c>
      <c r="G3665" s="1">
        <v>280.0</v>
      </c>
      <c r="H3665" s="1">
        <v>17.43104807</v>
      </c>
      <c r="I3665" s="1">
        <v>5.05</v>
      </c>
      <c r="J3665" s="1">
        <v>5.773581</v>
      </c>
    </row>
    <row r="3666">
      <c r="A3666" s="1">
        <v>2025.0</v>
      </c>
      <c r="B3666" s="1" t="s">
        <v>446</v>
      </c>
      <c r="C3666" s="1">
        <v>681006.0</v>
      </c>
      <c r="D3666" s="1" t="s">
        <v>532</v>
      </c>
      <c r="E3666" s="1" t="s">
        <v>926</v>
      </c>
      <c r="F3666" s="1" t="s">
        <v>926</v>
      </c>
      <c r="G3666" s="1">
        <v>3.0</v>
      </c>
      <c r="H3666" s="1">
        <v>0.150572831</v>
      </c>
      <c r="I3666" s="1">
        <v>5.14</v>
      </c>
      <c r="J3666" s="1">
        <v>0.05367</v>
      </c>
    </row>
    <row r="3667">
      <c r="A3667" s="1">
        <v>2025.0</v>
      </c>
      <c r="B3667" s="1" t="s">
        <v>446</v>
      </c>
      <c r="C3667" s="1">
        <v>681006.0</v>
      </c>
      <c r="D3667" s="1" t="s">
        <v>541</v>
      </c>
      <c r="E3667" s="1" t="s">
        <v>926</v>
      </c>
      <c r="F3667" s="1" t="s">
        <v>926</v>
      </c>
      <c r="G3667" s="1">
        <v>41.0</v>
      </c>
      <c r="H3667" s="1">
        <v>2.057828696</v>
      </c>
      <c r="I3667" s="1">
        <v>4.73</v>
      </c>
      <c r="J3667" s="1">
        <v>1.0684</v>
      </c>
    </row>
    <row r="3668">
      <c r="A3668" s="1">
        <v>2025.0</v>
      </c>
      <c r="B3668" s="1" t="s">
        <v>446</v>
      </c>
      <c r="C3668" s="1">
        <v>681006.0</v>
      </c>
      <c r="D3668" s="1" t="s">
        <v>537</v>
      </c>
      <c r="E3668" s="1" t="s">
        <v>926</v>
      </c>
      <c r="F3668" s="1" t="s">
        <v>926</v>
      </c>
      <c r="G3668" s="1">
        <v>23.0</v>
      </c>
      <c r="H3668" s="1">
        <v>1.154391708</v>
      </c>
      <c r="I3668" s="1">
        <v>4.45</v>
      </c>
      <c r="J3668" s="1">
        <v>0.741921</v>
      </c>
    </row>
    <row r="3669">
      <c r="A3669" s="1">
        <v>2025.0</v>
      </c>
      <c r="B3669" s="1" t="s">
        <v>446</v>
      </c>
      <c r="C3669" s="1">
        <v>681006.0</v>
      </c>
      <c r="D3669" s="1" t="s">
        <v>536</v>
      </c>
      <c r="E3669" s="1" t="s">
        <v>926</v>
      </c>
      <c r="F3669" s="1" t="s">
        <v>926</v>
      </c>
      <c r="G3669" s="1">
        <v>108.0</v>
      </c>
      <c r="H3669" s="1">
        <v>5.420621931</v>
      </c>
      <c r="I3669" s="1">
        <v>5.23</v>
      </c>
      <c r="J3669" s="1">
        <v>1.873652</v>
      </c>
    </row>
    <row r="3670">
      <c r="A3670" s="1">
        <v>2025.0</v>
      </c>
      <c r="B3670" s="1" t="s">
        <v>446</v>
      </c>
      <c r="C3670" s="1">
        <v>681006.0</v>
      </c>
      <c r="D3670" s="1" t="s">
        <v>533</v>
      </c>
      <c r="E3670" s="1" t="s">
        <v>926</v>
      </c>
      <c r="F3670" s="1" t="s">
        <v>926</v>
      </c>
      <c r="G3670" s="1">
        <v>14.0</v>
      </c>
      <c r="H3670" s="1">
        <v>0.702673213</v>
      </c>
      <c r="I3670" s="1">
        <v>5.05</v>
      </c>
      <c r="J3670" s="1">
        <v>0.25822</v>
      </c>
    </row>
    <row r="3671">
      <c r="A3671" s="1">
        <v>2025.0</v>
      </c>
      <c r="B3671" s="1" t="s">
        <v>446</v>
      </c>
      <c r="C3671" s="1">
        <v>681006.0</v>
      </c>
      <c r="D3671" s="1" t="s">
        <v>539</v>
      </c>
      <c r="E3671" s="1" t="s">
        <v>926</v>
      </c>
      <c r="F3671" s="1" t="s">
        <v>926</v>
      </c>
      <c r="G3671" s="1">
        <v>121.0</v>
      </c>
      <c r="H3671" s="1">
        <v>6.073104201</v>
      </c>
      <c r="I3671" s="1">
        <v>5.09</v>
      </c>
      <c r="J3671" s="1">
        <v>2.294615</v>
      </c>
    </row>
    <row r="3672">
      <c r="A3672" s="1">
        <v>2025.0</v>
      </c>
      <c r="B3672" s="1" t="s">
        <v>446</v>
      </c>
      <c r="C3672" s="1">
        <v>681006.0</v>
      </c>
      <c r="D3672" s="1" t="s">
        <v>532</v>
      </c>
      <c r="E3672" s="1" t="s">
        <v>926</v>
      </c>
      <c r="F3672" s="1" t="s">
        <v>927</v>
      </c>
      <c r="G3672" s="1">
        <v>64.0</v>
      </c>
      <c r="H3672" s="1">
        <v>3.212220404</v>
      </c>
      <c r="I3672" s="1">
        <v>4.82</v>
      </c>
      <c r="J3672" s="1">
        <v>1.593948</v>
      </c>
    </row>
    <row r="3673">
      <c r="A3673" s="1">
        <v>2025.0</v>
      </c>
      <c r="B3673" s="1" t="s">
        <v>446</v>
      </c>
      <c r="C3673" s="1">
        <v>681006.0</v>
      </c>
      <c r="D3673" s="1" t="s">
        <v>541</v>
      </c>
      <c r="E3673" s="1" t="s">
        <v>926</v>
      </c>
      <c r="F3673" s="1" t="s">
        <v>927</v>
      </c>
      <c r="G3673" s="1">
        <v>104.0</v>
      </c>
      <c r="H3673" s="1">
        <v>5.219858156</v>
      </c>
      <c r="I3673" s="1">
        <v>5.07</v>
      </c>
      <c r="J3673" s="1">
        <v>2.051572</v>
      </c>
    </row>
    <row r="3674">
      <c r="A3674" s="1">
        <v>2025.0</v>
      </c>
      <c r="B3674" s="1" t="s">
        <v>446</v>
      </c>
      <c r="C3674" s="1">
        <v>681006.0</v>
      </c>
      <c r="D3674" s="1" t="s">
        <v>537</v>
      </c>
      <c r="E3674" s="1" t="s">
        <v>926</v>
      </c>
      <c r="F3674" s="1" t="s">
        <v>927</v>
      </c>
      <c r="G3674" s="1">
        <v>48.0</v>
      </c>
      <c r="H3674" s="1">
        <v>2.409165303</v>
      </c>
      <c r="I3674" s="1">
        <v>4.15</v>
      </c>
      <c r="J3674" s="1">
        <v>1.859957</v>
      </c>
    </row>
    <row r="3675">
      <c r="A3675" s="1">
        <v>2025.0</v>
      </c>
      <c r="B3675" s="1" t="s">
        <v>446</v>
      </c>
      <c r="C3675" s="1">
        <v>681006.0</v>
      </c>
      <c r="D3675" s="1" t="s">
        <v>536</v>
      </c>
      <c r="E3675" s="1" t="s">
        <v>926</v>
      </c>
      <c r="F3675" s="1" t="s">
        <v>927</v>
      </c>
      <c r="G3675" s="1">
        <v>27.0</v>
      </c>
      <c r="H3675" s="1">
        <v>1.355155483</v>
      </c>
      <c r="I3675" s="1">
        <v>3.84</v>
      </c>
      <c r="J3675" s="1">
        <v>1.201757</v>
      </c>
    </row>
    <row r="3676">
      <c r="A3676" s="1">
        <v>2025.0</v>
      </c>
      <c r="B3676" s="1" t="s">
        <v>446</v>
      </c>
      <c r="C3676" s="1">
        <v>681006.0</v>
      </c>
      <c r="D3676" s="1" t="s">
        <v>533</v>
      </c>
      <c r="E3676" s="1" t="s">
        <v>926</v>
      </c>
      <c r="F3676" s="1" t="s">
        <v>927</v>
      </c>
      <c r="G3676" s="1">
        <v>23.0</v>
      </c>
      <c r="H3676" s="1">
        <v>1.154391708</v>
      </c>
      <c r="I3676" s="1">
        <v>4.39</v>
      </c>
      <c r="J3676" s="1">
        <v>0.768373</v>
      </c>
    </row>
    <row r="3677">
      <c r="A3677" s="1">
        <v>2025.0</v>
      </c>
      <c r="B3677" s="1" t="s">
        <v>446</v>
      </c>
      <c r="C3677" s="1">
        <v>681006.0</v>
      </c>
      <c r="D3677" s="1" t="s">
        <v>539</v>
      </c>
      <c r="E3677" s="1" t="s">
        <v>926</v>
      </c>
      <c r="F3677" s="1" t="s">
        <v>927</v>
      </c>
      <c r="G3677" s="1">
        <v>35.0</v>
      </c>
      <c r="H3677" s="1">
        <v>1.756683033</v>
      </c>
      <c r="I3677" s="1">
        <v>5.13</v>
      </c>
      <c r="J3677" s="1">
        <v>0.647794</v>
      </c>
    </row>
    <row r="3678">
      <c r="A3678" s="1">
        <v>2025.0</v>
      </c>
      <c r="B3678" s="1" t="s">
        <v>709</v>
      </c>
      <c r="C3678" s="1">
        <v>677020.0</v>
      </c>
      <c r="D3678" s="1" t="s">
        <v>541</v>
      </c>
      <c r="E3678" s="1" t="s">
        <v>926</v>
      </c>
      <c r="F3678" s="1" t="s">
        <v>926</v>
      </c>
      <c r="G3678" s="1">
        <v>13.0</v>
      </c>
      <c r="H3678" s="1">
        <v>0.706521739</v>
      </c>
      <c r="I3678" s="1">
        <v>5.52</v>
      </c>
      <c r="J3678" s="1">
        <v>0.137732</v>
      </c>
    </row>
    <row r="3679">
      <c r="A3679" s="1">
        <v>2025.0</v>
      </c>
      <c r="B3679" s="1" t="s">
        <v>709</v>
      </c>
      <c r="C3679" s="1">
        <v>677020.0</v>
      </c>
      <c r="D3679" s="1" t="s">
        <v>537</v>
      </c>
      <c r="E3679" s="1" t="s">
        <v>926</v>
      </c>
      <c r="F3679" s="1" t="s">
        <v>926</v>
      </c>
      <c r="G3679" s="1">
        <v>9.0</v>
      </c>
      <c r="H3679" s="1">
        <v>0.489130435</v>
      </c>
      <c r="I3679" s="1">
        <v>4.9</v>
      </c>
      <c r="J3679" s="1">
        <v>0.235012</v>
      </c>
    </row>
    <row r="3680">
      <c r="A3680" s="1">
        <v>2025.0</v>
      </c>
      <c r="B3680" s="1" t="s">
        <v>709</v>
      </c>
      <c r="C3680" s="1">
        <v>677020.0</v>
      </c>
      <c r="D3680" s="1" t="s">
        <v>536</v>
      </c>
      <c r="E3680" s="1" t="s">
        <v>926</v>
      </c>
      <c r="F3680" s="1" t="s">
        <v>926</v>
      </c>
      <c r="G3680" s="1">
        <v>4.0</v>
      </c>
      <c r="H3680" s="1">
        <v>0.217391304</v>
      </c>
      <c r="I3680" s="1">
        <v>3.65</v>
      </c>
      <c r="J3680" s="1">
        <v>0.194638</v>
      </c>
    </row>
    <row r="3681">
      <c r="A3681" s="1">
        <v>2025.0</v>
      </c>
      <c r="B3681" s="1" t="s">
        <v>709</v>
      </c>
      <c r="C3681" s="1">
        <v>677020.0</v>
      </c>
      <c r="D3681" s="1" t="s">
        <v>541</v>
      </c>
      <c r="E3681" s="1" t="s">
        <v>926</v>
      </c>
      <c r="F3681" s="1" t="s">
        <v>927</v>
      </c>
      <c r="G3681" s="1">
        <v>36.0</v>
      </c>
      <c r="H3681" s="1">
        <v>1.956521739</v>
      </c>
      <c r="I3681" s="1">
        <v>4.62</v>
      </c>
      <c r="J3681" s="1">
        <v>1.048875</v>
      </c>
    </row>
    <row r="3682">
      <c r="A3682" s="1">
        <v>2025.0</v>
      </c>
      <c r="B3682" s="1" t="s">
        <v>709</v>
      </c>
      <c r="C3682" s="1">
        <v>677020.0</v>
      </c>
      <c r="D3682" s="1" t="s">
        <v>537</v>
      </c>
      <c r="E3682" s="1" t="s">
        <v>926</v>
      </c>
      <c r="F3682" s="1" t="s">
        <v>927</v>
      </c>
      <c r="G3682" s="1">
        <v>28.0</v>
      </c>
      <c r="H3682" s="1">
        <v>1.52173913</v>
      </c>
      <c r="I3682" s="1">
        <v>4.95</v>
      </c>
      <c r="J3682" s="1">
        <v>0.660894</v>
      </c>
    </row>
    <row r="3683">
      <c r="A3683" s="1">
        <v>2025.0</v>
      </c>
      <c r="B3683" s="1" t="s">
        <v>709</v>
      </c>
      <c r="C3683" s="1">
        <v>677020.0</v>
      </c>
      <c r="D3683" s="1" t="s">
        <v>536</v>
      </c>
      <c r="E3683" s="1" t="s">
        <v>926</v>
      </c>
      <c r="F3683" s="1" t="s">
        <v>927</v>
      </c>
      <c r="G3683" s="1">
        <v>2.0</v>
      </c>
      <c r="H3683" s="1">
        <v>0.108695652</v>
      </c>
      <c r="I3683" s="1">
        <v>5.66</v>
      </c>
      <c r="J3683" s="1">
        <v>0.022435</v>
      </c>
    </row>
    <row r="3684">
      <c r="A3684" s="1">
        <v>2025.0</v>
      </c>
      <c r="B3684" s="1" t="s">
        <v>600</v>
      </c>
      <c r="C3684" s="1">
        <v>670174.0</v>
      </c>
      <c r="D3684" s="1" t="s">
        <v>532</v>
      </c>
      <c r="E3684" s="1" t="s">
        <v>927</v>
      </c>
      <c r="F3684" s="1" t="s">
        <v>926</v>
      </c>
      <c r="G3684" s="1">
        <v>16.0</v>
      </c>
      <c r="H3684" s="1">
        <v>0.901771337</v>
      </c>
      <c r="I3684" s="1">
        <v>4.92</v>
      </c>
      <c r="J3684" s="1">
        <v>0.358574</v>
      </c>
    </row>
    <row r="3685">
      <c r="A3685" s="1">
        <v>2025.0</v>
      </c>
      <c r="B3685" s="1" t="s">
        <v>600</v>
      </c>
      <c r="C3685" s="1">
        <v>670174.0</v>
      </c>
      <c r="D3685" s="1" t="s">
        <v>540</v>
      </c>
      <c r="E3685" s="1" t="s">
        <v>927</v>
      </c>
      <c r="F3685" s="1" t="s">
        <v>926</v>
      </c>
      <c r="G3685" s="1">
        <v>18.0</v>
      </c>
      <c r="H3685" s="1">
        <v>1.014492754</v>
      </c>
      <c r="I3685" s="1">
        <v>5.87</v>
      </c>
      <c r="J3685" s="1">
        <v>0.079624</v>
      </c>
    </row>
    <row r="3686">
      <c r="A3686" s="1">
        <v>2025.0</v>
      </c>
      <c r="B3686" s="1" t="s">
        <v>600</v>
      </c>
      <c r="C3686" s="1">
        <v>670174.0</v>
      </c>
      <c r="D3686" s="1" t="s">
        <v>537</v>
      </c>
      <c r="E3686" s="1" t="s">
        <v>927</v>
      </c>
      <c r="F3686" s="1" t="s">
        <v>926</v>
      </c>
      <c r="G3686" s="1">
        <v>33.0</v>
      </c>
      <c r="H3686" s="1">
        <v>1.859903382</v>
      </c>
      <c r="I3686" s="1">
        <v>4.61</v>
      </c>
      <c r="J3686" s="1">
        <v>0.993204</v>
      </c>
    </row>
    <row r="3687">
      <c r="A3687" s="1">
        <v>2025.0</v>
      </c>
      <c r="B3687" s="1" t="s">
        <v>600</v>
      </c>
      <c r="C3687" s="1">
        <v>670174.0</v>
      </c>
      <c r="D3687" s="1" t="s">
        <v>536</v>
      </c>
      <c r="E3687" s="1" t="s">
        <v>927</v>
      </c>
      <c r="F3687" s="1" t="s">
        <v>926</v>
      </c>
      <c r="G3687" s="1">
        <v>8.0</v>
      </c>
      <c r="H3687" s="1">
        <v>0.450885668</v>
      </c>
      <c r="I3687" s="1">
        <v>4.05</v>
      </c>
      <c r="J3687" s="1">
        <v>0.324145</v>
      </c>
    </row>
    <row r="3688">
      <c r="A3688" s="1">
        <v>2025.0</v>
      </c>
      <c r="B3688" s="1" t="s">
        <v>600</v>
      </c>
      <c r="C3688" s="1">
        <v>670174.0</v>
      </c>
      <c r="D3688" s="1" t="s">
        <v>533</v>
      </c>
      <c r="E3688" s="1" t="s">
        <v>927</v>
      </c>
      <c r="F3688" s="1" t="s">
        <v>926</v>
      </c>
      <c r="G3688" s="1">
        <v>11.0</v>
      </c>
      <c r="H3688" s="1">
        <v>0.619967794</v>
      </c>
      <c r="I3688" s="1">
        <v>4.72</v>
      </c>
      <c r="J3688" s="1">
        <v>0.276913</v>
      </c>
    </row>
    <row r="3689">
      <c r="A3689" s="1">
        <v>2025.0</v>
      </c>
      <c r="B3689" s="1" t="s">
        <v>600</v>
      </c>
      <c r="C3689" s="1">
        <v>670174.0</v>
      </c>
      <c r="D3689" s="1" t="s">
        <v>532</v>
      </c>
      <c r="E3689" s="1" t="s">
        <v>927</v>
      </c>
      <c r="F3689" s="1" t="s">
        <v>927</v>
      </c>
      <c r="G3689" s="1">
        <v>17.0</v>
      </c>
      <c r="H3689" s="1">
        <v>0.958132045</v>
      </c>
      <c r="I3689" s="1">
        <v>4.74</v>
      </c>
      <c r="J3689" s="1">
        <v>0.430458</v>
      </c>
    </row>
    <row r="3690">
      <c r="A3690" s="1">
        <v>2025.0</v>
      </c>
      <c r="B3690" s="1" t="s">
        <v>600</v>
      </c>
      <c r="C3690" s="1">
        <v>670174.0</v>
      </c>
      <c r="D3690" s="1" t="s">
        <v>540</v>
      </c>
      <c r="E3690" s="1" t="s">
        <v>927</v>
      </c>
      <c r="F3690" s="1" t="s">
        <v>927</v>
      </c>
      <c r="G3690" s="1">
        <v>29.0</v>
      </c>
      <c r="H3690" s="1">
        <v>1.634460548</v>
      </c>
      <c r="I3690" s="1">
        <v>5.11</v>
      </c>
      <c r="J3690" s="1">
        <v>0.557955</v>
      </c>
    </row>
    <row r="3691">
      <c r="A3691" s="1">
        <v>2025.0</v>
      </c>
      <c r="B3691" s="1" t="s">
        <v>600</v>
      </c>
      <c r="C3691" s="1">
        <v>670174.0</v>
      </c>
      <c r="D3691" s="1" t="s">
        <v>537</v>
      </c>
      <c r="E3691" s="1" t="s">
        <v>927</v>
      </c>
      <c r="F3691" s="1" t="s">
        <v>927</v>
      </c>
      <c r="G3691" s="1">
        <v>28.0</v>
      </c>
      <c r="H3691" s="1">
        <v>1.578099839</v>
      </c>
      <c r="I3691" s="1">
        <v>4.47</v>
      </c>
      <c r="J3691" s="1">
        <v>0.92083</v>
      </c>
    </row>
    <row r="3692">
      <c r="A3692" s="1">
        <v>2025.0</v>
      </c>
      <c r="B3692" s="1" t="s">
        <v>600</v>
      </c>
      <c r="C3692" s="1">
        <v>670174.0</v>
      </c>
      <c r="D3692" s="1" t="s">
        <v>536</v>
      </c>
      <c r="E3692" s="1" t="s">
        <v>927</v>
      </c>
      <c r="F3692" s="1" t="s">
        <v>927</v>
      </c>
      <c r="G3692" s="1">
        <v>31.0</v>
      </c>
      <c r="H3692" s="1">
        <v>1.747181965</v>
      </c>
      <c r="I3692" s="1">
        <v>4.97</v>
      </c>
      <c r="J3692" s="1">
        <v>0.716293</v>
      </c>
    </row>
    <row r="3693">
      <c r="A3693" s="1">
        <v>2025.0</v>
      </c>
      <c r="B3693" s="1" t="s">
        <v>600</v>
      </c>
      <c r="C3693" s="1">
        <v>670174.0</v>
      </c>
      <c r="D3693" s="1" t="s">
        <v>533</v>
      </c>
      <c r="E3693" s="1" t="s">
        <v>927</v>
      </c>
      <c r="F3693" s="1" t="s">
        <v>927</v>
      </c>
      <c r="G3693" s="1">
        <v>16.0</v>
      </c>
      <c r="H3693" s="1">
        <v>0.901771337</v>
      </c>
      <c r="I3693" s="1">
        <v>4.72</v>
      </c>
      <c r="J3693" s="1">
        <v>0.421236</v>
      </c>
    </row>
    <row r="3694">
      <c r="A3694" s="1">
        <v>2025.0</v>
      </c>
      <c r="B3694" s="1" t="s">
        <v>542</v>
      </c>
      <c r="C3694" s="1">
        <v>621237.0</v>
      </c>
      <c r="D3694" s="1" t="s">
        <v>541</v>
      </c>
      <c r="E3694" s="1" t="s">
        <v>926</v>
      </c>
      <c r="F3694" s="1" t="s">
        <v>926</v>
      </c>
      <c r="G3694" s="1">
        <v>2.0</v>
      </c>
      <c r="H3694" s="1">
        <v>0.113785558</v>
      </c>
      <c r="I3694" s="1">
        <v>4.84</v>
      </c>
      <c r="J3694" s="1">
        <v>0.047356</v>
      </c>
    </row>
    <row r="3695">
      <c r="A3695" s="1">
        <v>2025.0</v>
      </c>
      <c r="B3695" s="1" t="s">
        <v>542</v>
      </c>
      <c r="C3695" s="1">
        <v>621237.0</v>
      </c>
      <c r="D3695" s="1" t="s">
        <v>540</v>
      </c>
      <c r="E3695" s="1" t="s">
        <v>926</v>
      </c>
      <c r="F3695" s="1" t="s">
        <v>926</v>
      </c>
      <c r="G3695" s="1">
        <v>35.0</v>
      </c>
      <c r="H3695" s="1">
        <v>1.991247265</v>
      </c>
      <c r="I3695" s="1">
        <v>4.88</v>
      </c>
      <c r="J3695" s="1">
        <v>0.830532</v>
      </c>
    </row>
    <row r="3696">
      <c r="A3696" s="1">
        <v>2025.0</v>
      </c>
      <c r="B3696" s="1" t="s">
        <v>542</v>
      </c>
      <c r="C3696" s="1">
        <v>621237.0</v>
      </c>
      <c r="D3696" s="1" t="s">
        <v>536</v>
      </c>
      <c r="E3696" s="1" t="s">
        <v>926</v>
      </c>
      <c r="F3696" s="1" t="s">
        <v>926</v>
      </c>
      <c r="G3696" s="1">
        <v>82.0</v>
      </c>
      <c r="H3696" s="1">
        <v>4.665207877</v>
      </c>
      <c r="I3696" s="1">
        <v>5.61</v>
      </c>
      <c r="J3696" s="1">
        <v>0.759666</v>
      </c>
    </row>
    <row r="3697">
      <c r="A3697" s="1">
        <v>2025.0</v>
      </c>
      <c r="B3697" s="1" t="s">
        <v>542</v>
      </c>
      <c r="C3697" s="1">
        <v>621237.0</v>
      </c>
      <c r="D3697" s="1" t="s">
        <v>541</v>
      </c>
      <c r="E3697" s="1" t="s">
        <v>926</v>
      </c>
      <c r="F3697" s="1" t="s">
        <v>927</v>
      </c>
      <c r="G3697" s="1">
        <v>20.0</v>
      </c>
      <c r="H3697" s="1">
        <v>1.13785558</v>
      </c>
      <c r="I3697" s="1">
        <v>4.62</v>
      </c>
      <c r="J3697" s="1">
        <v>0.580902</v>
      </c>
    </row>
    <row r="3698">
      <c r="A3698" s="1">
        <v>2025.0</v>
      </c>
      <c r="B3698" s="1" t="s">
        <v>542</v>
      </c>
      <c r="C3698" s="1">
        <v>621237.0</v>
      </c>
      <c r="D3698" s="1" t="s">
        <v>540</v>
      </c>
      <c r="E3698" s="1" t="s">
        <v>926</v>
      </c>
      <c r="F3698" s="1" t="s">
        <v>927</v>
      </c>
      <c r="G3698" s="1">
        <v>104.0</v>
      </c>
      <c r="H3698" s="1">
        <v>5.916849015</v>
      </c>
      <c r="I3698" s="1">
        <v>4.35</v>
      </c>
      <c r="J3698" s="1">
        <v>3.552275</v>
      </c>
    </row>
    <row r="3699">
      <c r="A3699" s="1">
        <v>2025.0</v>
      </c>
      <c r="B3699" s="1" t="s">
        <v>542</v>
      </c>
      <c r="C3699" s="1">
        <v>621237.0</v>
      </c>
      <c r="D3699" s="1" t="s">
        <v>537</v>
      </c>
      <c r="E3699" s="1" t="s">
        <v>926</v>
      </c>
      <c r="F3699" s="1" t="s">
        <v>927</v>
      </c>
      <c r="G3699" s="1">
        <v>6.0</v>
      </c>
      <c r="H3699" s="1">
        <v>0.341356674</v>
      </c>
      <c r="I3699" s="1">
        <v>4.56</v>
      </c>
      <c r="J3699" s="1">
        <v>0.182714</v>
      </c>
    </row>
    <row r="3700">
      <c r="A3700" s="1">
        <v>2025.0</v>
      </c>
      <c r="B3700" s="1" t="s">
        <v>542</v>
      </c>
      <c r="C3700" s="1">
        <v>621237.0</v>
      </c>
      <c r="D3700" s="1" t="s">
        <v>536</v>
      </c>
      <c r="E3700" s="1" t="s">
        <v>926</v>
      </c>
      <c r="F3700" s="1" t="s">
        <v>927</v>
      </c>
      <c r="G3700" s="1">
        <v>208.0</v>
      </c>
      <c r="H3700" s="1">
        <v>11.83369803</v>
      </c>
      <c r="I3700" s="1">
        <v>5.23</v>
      </c>
      <c r="J3700" s="1">
        <v>3.661415</v>
      </c>
    </row>
    <row r="3701">
      <c r="A3701" s="1">
        <v>2025.0</v>
      </c>
      <c r="B3701" s="1" t="s">
        <v>425</v>
      </c>
      <c r="C3701" s="1">
        <v>621244.0</v>
      </c>
      <c r="D3701" s="1" t="s">
        <v>532</v>
      </c>
      <c r="E3701" s="1" t="s">
        <v>927</v>
      </c>
      <c r="F3701" s="1" t="s">
        <v>926</v>
      </c>
      <c r="G3701" s="1">
        <v>303.0</v>
      </c>
      <c r="H3701" s="1">
        <v>19.46517028</v>
      </c>
      <c r="I3701" s="1">
        <v>4.79</v>
      </c>
      <c r="J3701" s="1">
        <v>7.68645</v>
      </c>
    </row>
    <row r="3702">
      <c r="A3702" s="1">
        <v>2025.0</v>
      </c>
      <c r="B3702" s="1" t="s">
        <v>425</v>
      </c>
      <c r="C3702" s="1">
        <v>621244.0</v>
      </c>
      <c r="D3702" s="1" t="s">
        <v>541</v>
      </c>
      <c r="E3702" s="1" t="s">
        <v>927</v>
      </c>
      <c r="F3702" s="1" t="s">
        <v>926</v>
      </c>
      <c r="G3702" s="1">
        <v>305.0</v>
      </c>
      <c r="H3702" s="1">
        <v>19.59365325</v>
      </c>
      <c r="I3702" s="1">
        <v>5.44</v>
      </c>
      <c r="J3702" s="1">
        <v>3.906403</v>
      </c>
    </row>
    <row r="3703">
      <c r="A3703" s="1">
        <v>2025.0</v>
      </c>
      <c r="B3703" s="1" t="s">
        <v>425</v>
      </c>
      <c r="C3703" s="1">
        <v>621244.0</v>
      </c>
      <c r="D3703" s="1" t="s">
        <v>540</v>
      </c>
      <c r="E3703" s="1" t="s">
        <v>927</v>
      </c>
      <c r="F3703" s="1" t="s">
        <v>926</v>
      </c>
      <c r="G3703" s="1">
        <v>137.0</v>
      </c>
      <c r="H3703" s="1">
        <v>8.801083591</v>
      </c>
      <c r="I3703" s="1">
        <v>4.98</v>
      </c>
      <c r="J3703" s="1">
        <v>3.1487</v>
      </c>
    </row>
    <row r="3704">
      <c r="A3704" s="1">
        <v>2025.0</v>
      </c>
      <c r="B3704" s="1" t="s">
        <v>425</v>
      </c>
      <c r="C3704" s="1">
        <v>621244.0</v>
      </c>
      <c r="D3704" s="1" t="s">
        <v>537</v>
      </c>
      <c r="E3704" s="1" t="s">
        <v>927</v>
      </c>
      <c r="F3704" s="1" t="s">
        <v>926</v>
      </c>
      <c r="G3704" s="1">
        <v>343.0</v>
      </c>
      <c r="H3704" s="1">
        <v>22.03482972</v>
      </c>
      <c r="I3704" s="1">
        <v>4.65</v>
      </c>
      <c r="J3704" s="1">
        <v>10.049929</v>
      </c>
    </row>
    <row r="3705">
      <c r="A3705" s="1">
        <v>2025.0</v>
      </c>
      <c r="B3705" s="1" t="s">
        <v>425</v>
      </c>
      <c r="C3705" s="1">
        <v>621244.0</v>
      </c>
      <c r="D3705" s="1" t="s">
        <v>536</v>
      </c>
      <c r="E3705" s="1" t="s">
        <v>927</v>
      </c>
      <c r="F3705" s="1" t="s">
        <v>926</v>
      </c>
      <c r="G3705" s="1">
        <v>343.0</v>
      </c>
      <c r="H3705" s="1">
        <v>22.03482972</v>
      </c>
      <c r="I3705" s="1">
        <v>4.68</v>
      </c>
      <c r="J3705" s="1">
        <v>9.599992</v>
      </c>
    </row>
    <row r="3706">
      <c r="A3706" s="1">
        <v>2025.0</v>
      </c>
      <c r="B3706" s="1" t="s">
        <v>425</v>
      </c>
      <c r="C3706" s="1">
        <v>621244.0</v>
      </c>
      <c r="D3706" s="1" t="s">
        <v>532</v>
      </c>
      <c r="E3706" s="1" t="s">
        <v>927</v>
      </c>
      <c r="F3706" s="1" t="s">
        <v>927</v>
      </c>
      <c r="G3706" s="1">
        <v>131.0</v>
      </c>
      <c r="H3706" s="1">
        <v>8.415634675</v>
      </c>
      <c r="I3706" s="1">
        <v>5.57</v>
      </c>
      <c r="J3706" s="1">
        <v>1.410385</v>
      </c>
    </row>
    <row r="3707">
      <c r="A3707" s="1">
        <v>2025.0</v>
      </c>
      <c r="B3707" s="1" t="s">
        <v>425</v>
      </c>
      <c r="C3707" s="1">
        <v>621244.0</v>
      </c>
      <c r="D3707" s="1" t="s">
        <v>541</v>
      </c>
      <c r="E3707" s="1" t="s">
        <v>927</v>
      </c>
      <c r="F3707" s="1" t="s">
        <v>927</v>
      </c>
      <c r="G3707" s="1">
        <v>366.0</v>
      </c>
      <c r="H3707" s="1">
        <v>23.5123839</v>
      </c>
      <c r="I3707" s="1">
        <v>5.41</v>
      </c>
      <c r="J3707" s="1">
        <v>5.100648</v>
      </c>
    </row>
    <row r="3708">
      <c r="A3708" s="1">
        <v>2025.0</v>
      </c>
      <c r="B3708" s="1" t="s">
        <v>425</v>
      </c>
      <c r="C3708" s="1">
        <v>621244.0</v>
      </c>
      <c r="D3708" s="1" t="s">
        <v>540</v>
      </c>
      <c r="E3708" s="1" t="s">
        <v>927</v>
      </c>
      <c r="F3708" s="1" t="s">
        <v>927</v>
      </c>
      <c r="G3708" s="1">
        <v>15.0</v>
      </c>
      <c r="H3708" s="1">
        <v>0.963622291</v>
      </c>
      <c r="I3708" s="1">
        <v>4.54</v>
      </c>
      <c r="J3708" s="1">
        <v>0.461119</v>
      </c>
    </row>
    <row r="3709">
      <c r="A3709" s="1">
        <v>2025.0</v>
      </c>
      <c r="B3709" s="1" t="s">
        <v>425</v>
      </c>
      <c r="C3709" s="1">
        <v>621244.0</v>
      </c>
      <c r="D3709" s="1" t="s">
        <v>537</v>
      </c>
      <c r="E3709" s="1" t="s">
        <v>927</v>
      </c>
      <c r="F3709" s="1" t="s">
        <v>927</v>
      </c>
      <c r="G3709" s="1">
        <v>133.0</v>
      </c>
      <c r="H3709" s="1">
        <v>8.544117647</v>
      </c>
      <c r="I3709" s="1">
        <v>4.97</v>
      </c>
      <c r="J3709" s="1">
        <v>3.185964</v>
      </c>
    </row>
    <row r="3710">
      <c r="A3710" s="1">
        <v>2025.0</v>
      </c>
      <c r="B3710" s="1" t="s">
        <v>425</v>
      </c>
      <c r="C3710" s="1">
        <v>621244.0</v>
      </c>
      <c r="D3710" s="1" t="s">
        <v>536</v>
      </c>
      <c r="E3710" s="1" t="s">
        <v>927</v>
      </c>
      <c r="F3710" s="1" t="s">
        <v>927</v>
      </c>
      <c r="G3710" s="1">
        <v>508.0</v>
      </c>
      <c r="H3710" s="1">
        <v>32.63467492</v>
      </c>
      <c r="I3710" s="1">
        <v>4.86</v>
      </c>
      <c r="J3710" s="1">
        <v>12.736623</v>
      </c>
    </row>
    <row r="3711">
      <c r="A3711" s="1">
        <v>2025.0</v>
      </c>
      <c r="B3711" s="1" t="s">
        <v>458</v>
      </c>
      <c r="C3711" s="1">
        <v>676130.0</v>
      </c>
      <c r="D3711" s="1" t="s">
        <v>532</v>
      </c>
      <c r="E3711" s="1" t="s">
        <v>927</v>
      </c>
      <c r="F3711" s="1" t="s">
        <v>926</v>
      </c>
      <c r="G3711" s="1">
        <v>144.0</v>
      </c>
      <c r="H3711" s="1">
        <v>8.851376147</v>
      </c>
      <c r="I3711" s="1">
        <v>4.52</v>
      </c>
      <c r="J3711" s="1">
        <v>4.402256</v>
      </c>
    </row>
    <row r="3712">
      <c r="A3712" s="1">
        <v>2025.0</v>
      </c>
      <c r="B3712" s="1" t="s">
        <v>458</v>
      </c>
      <c r="C3712" s="1">
        <v>676130.0</v>
      </c>
      <c r="D3712" s="1" t="s">
        <v>537</v>
      </c>
      <c r="E3712" s="1" t="s">
        <v>927</v>
      </c>
      <c r="F3712" s="1" t="s">
        <v>926</v>
      </c>
      <c r="G3712" s="1">
        <v>157.0</v>
      </c>
      <c r="H3712" s="1">
        <v>9.650458716</v>
      </c>
      <c r="I3712" s="1">
        <v>4.89</v>
      </c>
      <c r="J3712" s="1">
        <v>3.799692</v>
      </c>
    </row>
    <row r="3713">
      <c r="A3713" s="1">
        <v>2025.0</v>
      </c>
      <c r="B3713" s="1" t="s">
        <v>458</v>
      </c>
      <c r="C3713" s="1">
        <v>676130.0</v>
      </c>
      <c r="D3713" s="1" t="s">
        <v>536</v>
      </c>
      <c r="E3713" s="1" t="s">
        <v>927</v>
      </c>
      <c r="F3713" s="1" t="s">
        <v>926</v>
      </c>
      <c r="G3713" s="1">
        <v>76.0</v>
      </c>
      <c r="H3713" s="1">
        <v>4.671559633</v>
      </c>
      <c r="I3713" s="1">
        <v>4.31</v>
      </c>
      <c r="J3713" s="1">
        <v>2.796601</v>
      </c>
    </row>
    <row r="3714">
      <c r="A3714" s="1">
        <v>2025.0</v>
      </c>
      <c r="B3714" s="1" t="s">
        <v>458</v>
      </c>
      <c r="C3714" s="1">
        <v>676130.0</v>
      </c>
      <c r="D3714" s="1" t="s">
        <v>533</v>
      </c>
      <c r="E3714" s="1" t="s">
        <v>927</v>
      </c>
      <c r="F3714" s="1" t="s">
        <v>926</v>
      </c>
      <c r="G3714" s="1">
        <v>103.0</v>
      </c>
      <c r="H3714" s="1">
        <v>6.331192661</v>
      </c>
      <c r="I3714" s="1">
        <v>5.24</v>
      </c>
      <c r="J3714" s="1">
        <v>1.660317</v>
      </c>
    </row>
    <row r="3715">
      <c r="A3715" s="1">
        <v>2025.0</v>
      </c>
      <c r="B3715" s="1" t="s">
        <v>458</v>
      </c>
      <c r="C3715" s="1">
        <v>676130.0</v>
      </c>
      <c r="D3715" s="1" t="s">
        <v>539</v>
      </c>
      <c r="E3715" s="1" t="s">
        <v>927</v>
      </c>
      <c r="F3715" s="1" t="s">
        <v>926</v>
      </c>
      <c r="G3715" s="1">
        <v>36.0</v>
      </c>
      <c r="H3715" s="1">
        <v>2.212844037</v>
      </c>
      <c r="I3715" s="1">
        <v>4.93</v>
      </c>
      <c r="J3715" s="1">
        <v>0.857626</v>
      </c>
    </row>
    <row r="3716">
      <c r="A3716" s="1">
        <v>2025.0</v>
      </c>
      <c r="B3716" s="1" t="s">
        <v>458</v>
      </c>
      <c r="C3716" s="1">
        <v>676130.0</v>
      </c>
      <c r="D3716" s="1" t="s">
        <v>532</v>
      </c>
      <c r="E3716" s="1" t="s">
        <v>927</v>
      </c>
      <c r="F3716" s="1" t="s">
        <v>927</v>
      </c>
      <c r="G3716" s="1">
        <v>20.0</v>
      </c>
      <c r="H3716" s="1">
        <v>1.229357798</v>
      </c>
      <c r="I3716" s="1">
        <v>4.72</v>
      </c>
      <c r="J3716" s="1">
        <v>0.523801</v>
      </c>
    </row>
    <row r="3717">
      <c r="A3717" s="1">
        <v>2025.0</v>
      </c>
      <c r="B3717" s="1" t="s">
        <v>458</v>
      </c>
      <c r="C3717" s="1">
        <v>676130.0</v>
      </c>
      <c r="D3717" s="1" t="s">
        <v>537</v>
      </c>
      <c r="E3717" s="1" t="s">
        <v>927</v>
      </c>
      <c r="F3717" s="1" t="s">
        <v>927</v>
      </c>
      <c r="G3717" s="1">
        <v>182.0</v>
      </c>
      <c r="H3717" s="1">
        <v>11.18715596</v>
      </c>
      <c r="I3717" s="1">
        <v>4.94</v>
      </c>
      <c r="J3717" s="1">
        <v>4.28606</v>
      </c>
    </row>
    <row r="3718">
      <c r="A3718" s="1">
        <v>2025.0</v>
      </c>
      <c r="B3718" s="1" t="s">
        <v>458</v>
      </c>
      <c r="C3718" s="1">
        <v>676130.0</v>
      </c>
      <c r="D3718" s="1" t="s">
        <v>536</v>
      </c>
      <c r="E3718" s="1" t="s">
        <v>927</v>
      </c>
      <c r="F3718" s="1" t="s">
        <v>927</v>
      </c>
      <c r="G3718" s="1">
        <v>108.0</v>
      </c>
      <c r="H3718" s="1">
        <v>6.63853211</v>
      </c>
      <c r="I3718" s="1">
        <v>5.27</v>
      </c>
      <c r="J3718" s="1">
        <v>1.867411</v>
      </c>
    </row>
    <row r="3719">
      <c r="A3719" s="1">
        <v>2025.0</v>
      </c>
      <c r="B3719" s="1" t="s">
        <v>458</v>
      </c>
      <c r="C3719" s="1">
        <v>676130.0</v>
      </c>
      <c r="D3719" s="1" t="s">
        <v>533</v>
      </c>
      <c r="E3719" s="1" t="s">
        <v>927</v>
      </c>
      <c r="F3719" s="1" t="s">
        <v>927</v>
      </c>
      <c r="G3719" s="1">
        <v>225.0</v>
      </c>
      <c r="H3719" s="1">
        <v>13.83027523</v>
      </c>
      <c r="I3719" s="1">
        <v>4.74</v>
      </c>
      <c r="J3719" s="1">
        <v>5.933086</v>
      </c>
    </row>
    <row r="3720">
      <c r="A3720" s="1">
        <v>2025.0</v>
      </c>
      <c r="B3720" s="1" t="s">
        <v>458</v>
      </c>
      <c r="C3720" s="1">
        <v>676130.0</v>
      </c>
      <c r="D3720" s="1" t="s">
        <v>539</v>
      </c>
      <c r="E3720" s="1" t="s">
        <v>927</v>
      </c>
      <c r="F3720" s="1" t="s">
        <v>927</v>
      </c>
      <c r="G3720" s="1">
        <v>39.0</v>
      </c>
      <c r="H3720" s="1">
        <v>2.397247706</v>
      </c>
      <c r="I3720" s="1">
        <v>5.01</v>
      </c>
      <c r="J3720" s="1">
        <v>0.803742</v>
      </c>
    </row>
    <row r="3721">
      <c r="A3721" s="1">
        <v>2025.0</v>
      </c>
      <c r="B3721" s="1" t="s">
        <v>974</v>
      </c>
      <c r="C3721" s="1">
        <v>676609.0</v>
      </c>
      <c r="D3721" s="1" t="s">
        <v>532</v>
      </c>
      <c r="E3721" s="1" t="s">
        <v>927</v>
      </c>
      <c r="F3721" s="1" t="s">
        <v>926</v>
      </c>
      <c r="G3721" s="1">
        <v>1.0</v>
      </c>
      <c r="H3721" s="1">
        <v>0.052631579</v>
      </c>
      <c r="I3721" s="1">
        <v>6.97</v>
      </c>
      <c r="J3721" s="1">
        <v>-0.015516</v>
      </c>
    </row>
    <row r="3722">
      <c r="A3722" s="1">
        <v>2025.0</v>
      </c>
      <c r="B3722" s="1" t="s">
        <v>974</v>
      </c>
      <c r="C3722" s="1">
        <v>676609.0</v>
      </c>
      <c r="D3722" s="1" t="s">
        <v>537</v>
      </c>
      <c r="E3722" s="1" t="s">
        <v>927</v>
      </c>
      <c r="F3722" s="1" t="s">
        <v>926</v>
      </c>
      <c r="G3722" s="1">
        <v>10.0</v>
      </c>
      <c r="H3722" s="1">
        <v>0.526315789</v>
      </c>
      <c r="I3722" s="1">
        <v>4.15</v>
      </c>
      <c r="J3722" s="1">
        <v>0.394765</v>
      </c>
    </row>
    <row r="3723">
      <c r="A3723" s="1">
        <v>2025.0</v>
      </c>
      <c r="B3723" s="1" t="s">
        <v>974</v>
      </c>
      <c r="C3723" s="1">
        <v>676609.0</v>
      </c>
      <c r="D3723" s="1" t="s">
        <v>537</v>
      </c>
      <c r="E3723" s="1" t="s">
        <v>927</v>
      </c>
      <c r="F3723" s="1" t="s">
        <v>927</v>
      </c>
      <c r="G3723" s="1">
        <v>8.0</v>
      </c>
      <c r="H3723" s="1">
        <v>0.421052632</v>
      </c>
      <c r="I3723" s="1">
        <v>5.23</v>
      </c>
      <c r="J3723" s="1">
        <v>0.132712</v>
      </c>
    </row>
    <row r="3724">
      <c r="A3724" s="1">
        <v>2025.0</v>
      </c>
      <c r="B3724" s="1" t="s">
        <v>168</v>
      </c>
      <c r="C3724" s="1">
        <v>620454.0</v>
      </c>
      <c r="D3724" s="1" t="s">
        <v>532</v>
      </c>
      <c r="E3724" s="1" t="s">
        <v>926</v>
      </c>
      <c r="F3724" s="1" t="s">
        <v>926</v>
      </c>
      <c r="G3724" s="1">
        <v>1.0</v>
      </c>
      <c r="H3724" s="1">
        <v>0.05904059</v>
      </c>
      <c r="I3724" s="1">
        <v>3.06</v>
      </c>
      <c r="J3724" s="1">
        <v>0.060648</v>
      </c>
    </row>
    <row r="3725">
      <c r="A3725" s="1">
        <v>2025.0</v>
      </c>
      <c r="B3725" s="1" t="s">
        <v>168</v>
      </c>
      <c r="C3725" s="1">
        <v>620454.0</v>
      </c>
      <c r="D3725" s="1" t="s">
        <v>537</v>
      </c>
      <c r="E3725" s="1" t="s">
        <v>926</v>
      </c>
      <c r="F3725" s="1" t="s">
        <v>926</v>
      </c>
      <c r="G3725" s="1">
        <v>31.0</v>
      </c>
      <c r="H3725" s="1">
        <v>1.830258303</v>
      </c>
      <c r="I3725" s="1">
        <v>4.77</v>
      </c>
      <c r="J3725" s="1">
        <v>0.798591</v>
      </c>
    </row>
    <row r="3726">
      <c r="A3726" s="1">
        <v>2025.0</v>
      </c>
      <c r="B3726" s="1" t="s">
        <v>168</v>
      </c>
      <c r="C3726" s="1">
        <v>620454.0</v>
      </c>
      <c r="D3726" s="1" t="s">
        <v>536</v>
      </c>
      <c r="E3726" s="1" t="s">
        <v>926</v>
      </c>
      <c r="F3726" s="1" t="s">
        <v>926</v>
      </c>
      <c r="G3726" s="1">
        <v>100.0</v>
      </c>
      <c r="H3726" s="1">
        <v>5.904059041</v>
      </c>
      <c r="I3726" s="1">
        <v>5.32</v>
      </c>
      <c r="J3726" s="1">
        <v>1.592807</v>
      </c>
    </row>
    <row r="3727">
      <c r="A3727" s="1">
        <v>2025.0</v>
      </c>
      <c r="B3727" s="1" t="s">
        <v>168</v>
      </c>
      <c r="C3727" s="1">
        <v>620454.0</v>
      </c>
      <c r="D3727" s="1" t="s">
        <v>533</v>
      </c>
      <c r="E3727" s="1" t="s">
        <v>926</v>
      </c>
      <c r="F3727" s="1" t="s">
        <v>926</v>
      </c>
      <c r="G3727" s="1">
        <v>126.0</v>
      </c>
      <c r="H3727" s="1">
        <v>7.439114391</v>
      </c>
      <c r="I3727" s="1">
        <v>5.41</v>
      </c>
      <c r="J3727" s="1">
        <v>1.715633</v>
      </c>
    </row>
    <row r="3728">
      <c r="A3728" s="1">
        <v>2025.0</v>
      </c>
      <c r="B3728" s="1" t="s">
        <v>168</v>
      </c>
      <c r="C3728" s="1">
        <v>620454.0</v>
      </c>
      <c r="D3728" s="1" t="s">
        <v>532</v>
      </c>
      <c r="E3728" s="1" t="s">
        <v>926</v>
      </c>
      <c r="F3728" s="1" t="s">
        <v>927</v>
      </c>
      <c r="G3728" s="1">
        <v>13.0</v>
      </c>
      <c r="H3728" s="1">
        <v>0.767527675</v>
      </c>
      <c r="I3728" s="1">
        <v>4.51</v>
      </c>
      <c r="J3728" s="1">
        <v>0.411529</v>
      </c>
    </row>
    <row r="3729">
      <c r="A3729" s="1">
        <v>2025.0</v>
      </c>
      <c r="B3729" s="1" t="s">
        <v>168</v>
      </c>
      <c r="C3729" s="1">
        <v>620454.0</v>
      </c>
      <c r="D3729" s="1" t="s">
        <v>537</v>
      </c>
      <c r="E3729" s="1" t="s">
        <v>926</v>
      </c>
      <c r="F3729" s="1" t="s">
        <v>927</v>
      </c>
      <c r="G3729" s="1">
        <v>50.0</v>
      </c>
      <c r="H3729" s="1">
        <v>2.95202952</v>
      </c>
      <c r="I3729" s="1">
        <v>4.9</v>
      </c>
      <c r="J3729" s="1">
        <v>1.221006</v>
      </c>
    </row>
    <row r="3730">
      <c r="A3730" s="1">
        <v>2025.0</v>
      </c>
      <c r="B3730" s="1" t="s">
        <v>168</v>
      </c>
      <c r="C3730" s="1">
        <v>620454.0</v>
      </c>
      <c r="D3730" s="1" t="s">
        <v>536</v>
      </c>
      <c r="E3730" s="1" t="s">
        <v>926</v>
      </c>
      <c r="F3730" s="1" t="s">
        <v>927</v>
      </c>
      <c r="G3730" s="1">
        <v>110.0</v>
      </c>
      <c r="H3730" s="1">
        <v>6.494464945</v>
      </c>
      <c r="I3730" s="1">
        <v>4.72</v>
      </c>
      <c r="J3730" s="1">
        <v>3.161267</v>
      </c>
    </row>
    <row r="3731">
      <c r="A3731" s="1">
        <v>2025.0</v>
      </c>
      <c r="B3731" s="1" t="s">
        <v>168</v>
      </c>
      <c r="C3731" s="1">
        <v>620454.0</v>
      </c>
      <c r="D3731" s="1" t="s">
        <v>533</v>
      </c>
      <c r="E3731" s="1" t="s">
        <v>926</v>
      </c>
      <c r="F3731" s="1" t="s">
        <v>927</v>
      </c>
      <c r="G3731" s="1">
        <v>111.0</v>
      </c>
      <c r="H3731" s="1">
        <v>6.553505535</v>
      </c>
      <c r="I3731" s="1">
        <v>5.53</v>
      </c>
      <c r="J3731" s="1">
        <v>1.214587</v>
      </c>
    </row>
    <row r="3732">
      <c r="A3732" s="1">
        <v>2025.0</v>
      </c>
      <c r="B3732" s="1" t="s">
        <v>567</v>
      </c>
      <c r="C3732" s="1">
        <v>592254.0</v>
      </c>
      <c r="D3732" s="1" t="s">
        <v>532</v>
      </c>
      <c r="E3732" s="1" t="s">
        <v>927</v>
      </c>
      <c r="F3732" s="1" t="s">
        <v>926</v>
      </c>
      <c r="G3732" s="1">
        <v>9.0</v>
      </c>
      <c r="H3732" s="1">
        <v>0.594059406</v>
      </c>
      <c r="I3732" s="1">
        <v>4.89</v>
      </c>
      <c r="J3732" s="1">
        <v>0.227033</v>
      </c>
    </row>
    <row r="3733">
      <c r="A3733" s="1">
        <v>2025.0</v>
      </c>
      <c r="B3733" s="1" t="s">
        <v>567</v>
      </c>
      <c r="C3733" s="1">
        <v>592254.0</v>
      </c>
      <c r="D3733" s="1" t="s">
        <v>537</v>
      </c>
      <c r="E3733" s="1" t="s">
        <v>927</v>
      </c>
      <c r="F3733" s="1" t="s">
        <v>926</v>
      </c>
      <c r="G3733" s="1">
        <v>34.0</v>
      </c>
      <c r="H3733" s="1">
        <v>2.244224422</v>
      </c>
      <c r="I3733" s="1">
        <v>4.81</v>
      </c>
      <c r="J3733" s="1">
        <v>0.915192</v>
      </c>
    </row>
    <row r="3734">
      <c r="A3734" s="1">
        <v>2025.0</v>
      </c>
      <c r="B3734" s="1" t="s">
        <v>567</v>
      </c>
      <c r="C3734" s="1">
        <v>592254.0</v>
      </c>
      <c r="D3734" s="1" t="s">
        <v>533</v>
      </c>
      <c r="E3734" s="1" t="s">
        <v>927</v>
      </c>
      <c r="F3734" s="1" t="s">
        <v>926</v>
      </c>
      <c r="G3734" s="1">
        <v>17.0</v>
      </c>
      <c r="H3734" s="1">
        <v>1.122112211</v>
      </c>
      <c r="I3734" s="1">
        <v>5.45</v>
      </c>
      <c r="J3734" s="1">
        <v>0.22854</v>
      </c>
    </row>
    <row r="3735">
      <c r="A3735" s="1">
        <v>2025.0</v>
      </c>
      <c r="B3735" s="1" t="s">
        <v>567</v>
      </c>
      <c r="C3735" s="1">
        <v>592254.0</v>
      </c>
      <c r="D3735" s="1" t="s">
        <v>532</v>
      </c>
      <c r="E3735" s="1" t="s">
        <v>927</v>
      </c>
      <c r="F3735" s="1" t="s">
        <v>927</v>
      </c>
      <c r="G3735" s="1">
        <v>4.0</v>
      </c>
      <c r="H3735" s="1">
        <v>0.264026403</v>
      </c>
      <c r="I3735" s="1">
        <v>5.76</v>
      </c>
      <c r="J3735" s="1">
        <v>0.030754</v>
      </c>
    </row>
    <row r="3736">
      <c r="A3736" s="1">
        <v>2025.0</v>
      </c>
      <c r="B3736" s="1" t="s">
        <v>567</v>
      </c>
      <c r="C3736" s="1">
        <v>592254.0</v>
      </c>
      <c r="D3736" s="1" t="s">
        <v>537</v>
      </c>
      <c r="E3736" s="1" t="s">
        <v>927</v>
      </c>
      <c r="F3736" s="1" t="s">
        <v>927</v>
      </c>
      <c r="G3736" s="1">
        <v>14.0</v>
      </c>
      <c r="H3736" s="1">
        <v>0.924092409</v>
      </c>
      <c r="I3736" s="1">
        <v>4.78</v>
      </c>
      <c r="J3736" s="1">
        <v>0.382205</v>
      </c>
    </row>
    <row r="3737">
      <c r="A3737" s="1">
        <v>2025.0</v>
      </c>
      <c r="B3737" s="1" t="s">
        <v>567</v>
      </c>
      <c r="C3737" s="1">
        <v>592254.0</v>
      </c>
      <c r="D3737" s="1" t="s">
        <v>533</v>
      </c>
      <c r="E3737" s="1" t="s">
        <v>927</v>
      </c>
      <c r="F3737" s="1" t="s">
        <v>927</v>
      </c>
      <c r="G3737" s="1">
        <v>23.0</v>
      </c>
      <c r="H3737" s="1">
        <v>1.518151815</v>
      </c>
      <c r="I3737" s="1">
        <v>6.09</v>
      </c>
      <c r="J3737" s="1">
        <v>0.057781</v>
      </c>
    </row>
    <row r="3738">
      <c r="A3738" s="1">
        <v>2025.0</v>
      </c>
      <c r="B3738" s="1" t="s">
        <v>828</v>
      </c>
      <c r="C3738" s="1">
        <v>600917.0</v>
      </c>
      <c r="D3738" s="1" t="s">
        <v>532</v>
      </c>
      <c r="E3738" s="1" t="s">
        <v>927</v>
      </c>
      <c r="F3738" s="1" t="s">
        <v>926</v>
      </c>
      <c r="G3738" s="1">
        <v>32.0</v>
      </c>
      <c r="H3738" s="1">
        <v>1.257641921</v>
      </c>
      <c r="I3738" s="1">
        <v>4.68</v>
      </c>
      <c r="J3738" s="1">
        <v>0.918799</v>
      </c>
    </row>
    <row r="3739">
      <c r="A3739" s="1">
        <v>2025.0</v>
      </c>
      <c r="B3739" s="1" t="s">
        <v>828</v>
      </c>
      <c r="C3739" s="1">
        <v>600917.0</v>
      </c>
      <c r="D3739" s="1" t="s">
        <v>541</v>
      </c>
      <c r="E3739" s="1" t="s">
        <v>927</v>
      </c>
      <c r="F3739" s="1" t="s">
        <v>926</v>
      </c>
      <c r="G3739" s="1">
        <v>2.0</v>
      </c>
      <c r="H3739" s="1">
        <v>0.07860262</v>
      </c>
      <c r="I3739" s="1">
        <v>3.91</v>
      </c>
      <c r="J3739" s="1">
        <v>0.089769</v>
      </c>
    </row>
    <row r="3740">
      <c r="A3740" s="1">
        <v>2025.0</v>
      </c>
      <c r="B3740" s="1" t="s">
        <v>828</v>
      </c>
      <c r="C3740" s="1">
        <v>600917.0</v>
      </c>
      <c r="D3740" s="1" t="s">
        <v>540</v>
      </c>
      <c r="E3740" s="1" t="s">
        <v>927</v>
      </c>
      <c r="F3740" s="1" t="s">
        <v>926</v>
      </c>
      <c r="G3740" s="1">
        <v>11.0</v>
      </c>
      <c r="H3740" s="1">
        <v>0.43231441</v>
      </c>
      <c r="I3740" s="1">
        <v>3.18</v>
      </c>
      <c r="J3740" s="1">
        <v>0.648354</v>
      </c>
    </row>
    <row r="3741">
      <c r="A3741" s="1">
        <v>2025.0</v>
      </c>
      <c r="B3741" s="1" t="s">
        <v>828</v>
      </c>
      <c r="C3741" s="1">
        <v>600917.0</v>
      </c>
      <c r="D3741" s="1" t="s">
        <v>537</v>
      </c>
      <c r="E3741" s="1" t="s">
        <v>927</v>
      </c>
      <c r="F3741" s="1" t="s">
        <v>926</v>
      </c>
      <c r="G3741" s="1">
        <v>30.0</v>
      </c>
      <c r="H3741" s="1">
        <v>1.179039301</v>
      </c>
      <c r="I3741" s="1">
        <v>4.96</v>
      </c>
      <c r="J3741" s="1">
        <v>0.671524</v>
      </c>
    </row>
    <row r="3742">
      <c r="A3742" s="1">
        <v>2025.0</v>
      </c>
      <c r="B3742" s="1" t="s">
        <v>828</v>
      </c>
      <c r="C3742" s="1">
        <v>600917.0</v>
      </c>
      <c r="D3742" s="1" t="s">
        <v>536</v>
      </c>
      <c r="E3742" s="1" t="s">
        <v>927</v>
      </c>
      <c r="F3742" s="1" t="s">
        <v>926</v>
      </c>
      <c r="G3742" s="1">
        <v>2.0</v>
      </c>
      <c r="H3742" s="1">
        <v>0.07860262</v>
      </c>
      <c r="I3742" s="1">
        <v>5.22</v>
      </c>
      <c r="J3742" s="1">
        <v>0.040984</v>
      </c>
    </row>
    <row r="3743">
      <c r="A3743" s="1">
        <v>2025.0</v>
      </c>
      <c r="B3743" s="1" t="s">
        <v>828</v>
      </c>
      <c r="C3743" s="1">
        <v>600917.0</v>
      </c>
      <c r="D3743" s="1" t="s">
        <v>533</v>
      </c>
      <c r="E3743" s="1" t="s">
        <v>927</v>
      </c>
      <c r="F3743" s="1" t="s">
        <v>926</v>
      </c>
      <c r="G3743" s="1">
        <v>20.0</v>
      </c>
      <c r="H3743" s="1">
        <v>0.786026201</v>
      </c>
      <c r="I3743" s="1">
        <v>4.3</v>
      </c>
      <c r="J3743" s="1">
        <v>0.711568</v>
      </c>
    </row>
    <row r="3744">
      <c r="A3744" s="1">
        <v>2025.0</v>
      </c>
      <c r="B3744" s="1" t="s">
        <v>828</v>
      </c>
      <c r="C3744" s="1">
        <v>600917.0</v>
      </c>
      <c r="D3744" s="1" t="s">
        <v>532</v>
      </c>
      <c r="E3744" s="1" t="s">
        <v>927</v>
      </c>
      <c r="F3744" s="1" t="s">
        <v>927</v>
      </c>
      <c r="G3744" s="1">
        <v>11.0</v>
      </c>
      <c r="H3744" s="1">
        <v>0.43231441</v>
      </c>
      <c r="I3744" s="1">
        <v>4.47</v>
      </c>
      <c r="J3744" s="1">
        <v>0.370259</v>
      </c>
    </row>
    <row r="3745">
      <c r="A3745" s="1">
        <v>2025.0</v>
      </c>
      <c r="B3745" s="1" t="s">
        <v>828</v>
      </c>
      <c r="C3745" s="1">
        <v>600917.0</v>
      </c>
      <c r="D3745" s="1" t="s">
        <v>541</v>
      </c>
      <c r="E3745" s="1" t="s">
        <v>927</v>
      </c>
      <c r="F3745" s="1" t="s">
        <v>927</v>
      </c>
      <c r="G3745" s="1">
        <v>4.0</v>
      </c>
      <c r="H3745" s="1">
        <v>0.15720524</v>
      </c>
      <c r="I3745" s="1">
        <v>3.73</v>
      </c>
      <c r="J3745" s="1">
        <v>0.196852</v>
      </c>
    </row>
    <row r="3746">
      <c r="A3746" s="1">
        <v>2025.0</v>
      </c>
      <c r="B3746" s="1" t="s">
        <v>828</v>
      </c>
      <c r="C3746" s="1">
        <v>600917.0</v>
      </c>
      <c r="D3746" s="1" t="s">
        <v>540</v>
      </c>
      <c r="E3746" s="1" t="s">
        <v>927</v>
      </c>
      <c r="F3746" s="1" t="s">
        <v>927</v>
      </c>
      <c r="G3746" s="1">
        <v>22.0</v>
      </c>
      <c r="H3746" s="1">
        <v>0.864628821</v>
      </c>
      <c r="I3746" s="1">
        <v>4.9</v>
      </c>
      <c r="J3746" s="1">
        <v>0.544433</v>
      </c>
    </row>
    <row r="3747">
      <c r="A3747" s="1">
        <v>2025.0</v>
      </c>
      <c r="B3747" s="1" t="s">
        <v>828</v>
      </c>
      <c r="C3747" s="1">
        <v>600917.0</v>
      </c>
      <c r="D3747" s="1" t="s">
        <v>537</v>
      </c>
      <c r="E3747" s="1" t="s">
        <v>927</v>
      </c>
      <c r="F3747" s="1" t="s">
        <v>927</v>
      </c>
      <c r="G3747" s="1">
        <v>48.0</v>
      </c>
      <c r="H3747" s="1">
        <v>1.886462882</v>
      </c>
      <c r="I3747" s="1">
        <v>5.31</v>
      </c>
      <c r="J3747" s="1">
        <v>0.751899</v>
      </c>
    </row>
    <row r="3748">
      <c r="A3748" s="1">
        <v>2025.0</v>
      </c>
      <c r="B3748" s="1" t="s">
        <v>828</v>
      </c>
      <c r="C3748" s="1">
        <v>600917.0</v>
      </c>
      <c r="D3748" s="1" t="s">
        <v>536</v>
      </c>
      <c r="E3748" s="1" t="s">
        <v>927</v>
      </c>
      <c r="F3748" s="1" t="s">
        <v>927</v>
      </c>
      <c r="G3748" s="1">
        <v>17.0</v>
      </c>
      <c r="H3748" s="1">
        <v>0.668122271</v>
      </c>
      <c r="I3748" s="1">
        <v>4.69</v>
      </c>
      <c r="J3748" s="1">
        <v>0.496371</v>
      </c>
    </row>
    <row r="3749">
      <c r="A3749" s="1">
        <v>2025.0</v>
      </c>
      <c r="B3749" s="1" t="s">
        <v>828</v>
      </c>
      <c r="C3749" s="1">
        <v>600917.0</v>
      </c>
      <c r="D3749" s="1" t="s">
        <v>533</v>
      </c>
      <c r="E3749" s="1" t="s">
        <v>927</v>
      </c>
      <c r="F3749" s="1" t="s">
        <v>927</v>
      </c>
      <c r="G3749" s="1">
        <v>30.0</v>
      </c>
      <c r="H3749" s="1">
        <v>1.179039301</v>
      </c>
      <c r="I3749" s="1">
        <v>5.0</v>
      </c>
      <c r="J3749" s="1">
        <v>0.645014</v>
      </c>
    </row>
    <row r="3750">
      <c r="A3750" s="1">
        <v>2025.0</v>
      </c>
      <c r="B3750" s="1" t="s">
        <v>975</v>
      </c>
      <c r="C3750" s="1">
        <v>650671.0</v>
      </c>
      <c r="D3750" s="1" t="s">
        <v>532</v>
      </c>
      <c r="E3750" s="1" t="s">
        <v>926</v>
      </c>
      <c r="F3750" s="1" t="s">
        <v>926</v>
      </c>
      <c r="G3750" s="1">
        <v>1.0</v>
      </c>
      <c r="H3750" s="1">
        <v>0.032520325</v>
      </c>
      <c r="I3750" s="1">
        <v>3.4</v>
      </c>
      <c r="J3750" s="1">
        <v>0.055312</v>
      </c>
    </row>
    <row r="3751">
      <c r="A3751" s="1">
        <v>2025.0</v>
      </c>
      <c r="B3751" s="1" t="s">
        <v>975</v>
      </c>
      <c r="C3751" s="1">
        <v>650671.0</v>
      </c>
      <c r="D3751" s="1" t="s">
        <v>537</v>
      </c>
      <c r="E3751" s="1" t="s">
        <v>926</v>
      </c>
      <c r="F3751" s="1" t="s">
        <v>926</v>
      </c>
      <c r="G3751" s="1">
        <v>16.0</v>
      </c>
      <c r="H3751" s="1">
        <v>0.520325203</v>
      </c>
      <c r="I3751" s="1">
        <v>4.57</v>
      </c>
      <c r="J3751" s="1">
        <v>0.488812</v>
      </c>
    </row>
    <row r="3752">
      <c r="A3752" s="1">
        <v>2025.0</v>
      </c>
      <c r="B3752" s="1" t="s">
        <v>975</v>
      </c>
      <c r="C3752" s="1">
        <v>650671.0</v>
      </c>
      <c r="D3752" s="1" t="s">
        <v>532</v>
      </c>
      <c r="E3752" s="1" t="s">
        <v>926</v>
      </c>
      <c r="F3752" s="1" t="s">
        <v>927</v>
      </c>
      <c r="G3752" s="1">
        <v>3.0</v>
      </c>
      <c r="H3752" s="1">
        <v>0.097560976</v>
      </c>
      <c r="I3752" s="1">
        <v>3.9</v>
      </c>
      <c r="J3752" s="1">
        <v>0.124565</v>
      </c>
    </row>
    <row r="3753">
      <c r="A3753" s="1">
        <v>2025.0</v>
      </c>
      <c r="B3753" s="1" t="s">
        <v>975</v>
      </c>
      <c r="C3753" s="1">
        <v>650671.0</v>
      </c>
      <c r="D3753" s="1" t="s">
        <v>537</v>
      </c>
      <c r="E3753" s="1" t="s">
        <v>926</v>
      </c>
      <c r="F3753" s="1" t="s">
        <v>927</v>
      </c>
      <c r="G3753" s="1">
        <v>21.0</v>
      </c>
      <c r="H3753" s="1">
        <v>0.682926829</v>
      </c>
      <c r="I3753" s="1">
        <v>4.11</v>
      </c>
      <c r="J3753" s="1">
        <v>0.785103</v>
      </c>
    </row>
    <row r="3754">
      <c r="A3754" s="1">
        <v>2025.0</v>
      </c>
      <c r="B3754" s="1" t="s">
        <v>814</v>
      </c>
      <c r="C3754" s="1">
        <v>614179.0</v>
      </c>
      <c r="D3754" s="1" t="s">
        <v>532</v>
      </c>
      <c r="E3754" s="1" t="s">
        <v>927</v>
      </c>
      <c r="F3754" s="1" t="s">
        <v>926</v>
      </c>
      <c r="G3754" s="1">
        <v>25.0</v>
      </c>
      <c r="H3754" s="1">
        <v>1.35209713</v>
      </c>
      <c r="I3754" s="1">
        <v>5.04</v>
      </c>
      <c r="J3754" s="1">
        <v>0.505153</v>
      </c>
    </row>
    <row r="3755">
      <c r="A3755" s="1">
        <v>2025.0</v>
      </c>
      <c r="B3755" s="1" t="s">
        <v>814</v>
      </c>
      <c r="C3755" s="1">
        <v>614179.0</v>
      </c>
      <c r="D3755" s="1" t="s">
        <v>541</v>
      </c>
      <c r="E3755" s="1" t="s">
        <v>927</v>
      </c>
      <c r="F3755" s="1" t="s">
        <v>926</v>
      </c>
      <c r="G3755" s="1">
        <v>27.0</v>
      </c>
      <c r="H3755" s="1">
        <v>1.460264901</v>
      </c>
      <c r="I3755" s="1">
        <v>5.57</v>
      </c>
      <c r="J3755" s="1">
        <v>0.307011</v>
      </c>
    </row>
    <row r="3756">
      <c r="A3756" s="1">
        <v>2025.0</v>
      </c>
      <c r="B3756" s="1" t="s">
        <v>814</v>
      </c>
      <c r="C3756" s="1">
        <v>614179.0</v>
      </c>
      <c r="D3756" s="1" t="s">
        <v>537</v>
      </c>
      <c r="E3756" s="1" t="s">
        <v>927</v>
      </c>
      <c r="F3756" s="1" t="s">
        <v>926</v>
      </c>
      <c r="G3756" s="1">
        <v>42.0</v>
      </c>
      <c r="H3756" s="1">
        <v>2.271523179</v>
      </c>
      <c r="I3756" s="1">
        <v>5.25</v>
      </c>
      <c r="J3756" s="1">
        <v>0.714215</v>
      </c>
    </row>
    <row r="3757">
      <c r="A3757" s="1">
        <v>2025.0</v>
      </c>
      <c r="B3757" s="1" t="s">
        <v>814</v>
      </c>
      <c r="C3757" s="1">
        <v>614179.0</v>
      </c>
      <c r="D3757" s="1" t="s">
        <v>536</v>
      </c>
      <c r="E3757" s="1" t="s">
        <v>927</v>
      </c>
      <c r="F3757" s="1" t="s">
        <v>926</v>
      </c>
      <c r="G3757" s="1">
        <v>3.0</v>
      </c>
      <c r="H3757" s="1">
        <v>0.162251656</v>
      </c>
      <c r="I3757" s="1">
        <v>2.7</v>
      </c>
      <c r="J3757" s="1">
        <v>0.229805</v>
      </c>
    </row>
    <row r="3758">
      <c r="A3758" s="1">
        <v>2025.0</v>
      </c>
      <c r="B3758" s="1" t="s">
        <v>814</v>
      </c>
      <c r="C3758" s="1">
        <v>614179.0</v>
      </c>
      <c r="D3758" s="1" t="s">
        <v>532</v>
      </c>
      <c r="E3758" s="1" t="s">
        <v>927</v>
      </c>
      <c r="F3758" s="1" t="s">
        <v>927</v>
      </c>
      <c r="G3758" s="1">
        <v>21.0</v>
      </c>
      <c r="H3758" s="1">
        <v>1.135761589</v>
      </c>
      <c r="I3758" s="1">
        <v>5.17</v>
      </c>
      <c r="J3758" s="1">
        <v>0.330224</v>
      </c>
    </row>
    <row r="3759">
      <c r="A3759" s="1">
        <v>2025.0</v>
      </c>
      <c r="B3759" s="1" t="s">
        <v>814</v>
      </c>
      <c r="C3759" s="1">
        <v>614179.0</v>
      </c>
      <c r="D3759" s="1" t="s">
        <v>541</v>
      </c>
      <c r="E3759" s="1" t="s">
        <v>927</v>
      </c>
      <c r="F3759" s="1" t="s">
        <v>927</v>
      </c>
      <c r="G3759" s="1">
        <v>62.0</v>
      </c>
      <c r="H3759" s="1">
        <v>3.353200883</v>
      </c>
      <c r="I3759" s="1">
        <v>5.03</v>
      </c>
      <c r="J3759" s="1">
        <v>1.318385</v>
      </c>
    </row>
    <row r="3760">
      <c r="A3760" s="1">
        <v>2025.0</v>
      </c>
      <c r="B3760" s="1" t="s">
        <v>814</v>
      </c>
      <c r="C3760" s="1">
        <v>614179.0</v>
      </c>
      <c r="D3760" s="1" t="s">
        <v>537</v>
      </c>
      <c r="E3760" s="1" t="s">
        <v>927</v>
      </c>
      <c r="F3760" s="1" t="s">
        <v>927</v>
      </c>
      <c r="G3760" s="1">
        <v>73.0</v>
      </c>
      <c r="H3760" s="1">
        <v>3.94812362</v>
      </c>
      <c r="I3760" s="1">
        <v>4.72</v>
      </c>
      <c r="J3760" s="1">
        <v>2.051918</v>
      </c>
    </row>
    <row r="3761">
      <c r="A3761" s="1">
        <v>2025.0</v>
      </c>
      <c r="B3761" s="1" t="s">
        <v>814</v>
      </c>
      <c r="C3761" s="1">
        <v>614179.0</v>
      </c>
      <c r="D3761" s="1" t="s">
        <v>536</v>
      </c>
      <c r="E3761" s="1" t="s">
        <v>927</v>
      </c>
      <c r="F3761" s="1" t="s">
        <v>927</v>
      </c>
      <c r="G3761" s="1">
        <v>44.0</v>
      </c>
      <c r="H3761" s="1">
        <v>2.379690949</v>
      </c>
      <c r="I3761" s="1">
        <v>5.07</v>
      </c>
      <c r="J3761" s="1">
        <v>0.923351</v>
      </c>
    </row>
    <row r="3762">
      <c r="A3762" s="1">
        <v>2025.0</v>
      </c>
      <c r="B3762" s="1" t="s">
        <v>814</v>
      </c>
      <c r="C3762" s="1">
        <v>614179.0</v>
      </c>
      <c r="D3762" s="1" t="s">
        <v>533</v>
      </c>
      <c r="E3762" s="1" t="s">
        <v>927</v>
      </c>
      <c r="F3762" s="1" t="s">
        <v>927</v>
      </c>
      <c r="G3762" s="1">
        <v>2.0</v>
      </c>
      <c r="H3762" s="1">
        <v>0.10816777</v>
      </c>
      <c r="I3762" s="1">
        <v>4.52</v>
      </c>
      <c r="J3762" s="1">
        <v>0.063141</v>
      </c>
    </row>
    <row r="3763">
      <c r="A3763" s="1">
        <v>2025.0</v>
      </c>
      <c r="B3763" s="1" t="s">
        <v>814</v>
      </c>
      <c r="C3763" s="1">
        <v>614179.0</v>
      </c>
      <c r="D3763" s="1" t="s">
        <v>539</v>
      </c>
      <c r="E3763" s="1" t="s">
        <v>927</v>
      </c>
      <c r="F3763" s="1" t="s">
        <v>927</v>
      </c>
      <c r="G3763" s="1">
        <v>3.0</v>
      </c>
      <c r="H3763" s="1">
        <v>0.162251656</v>
      </c>
      <c r="I3763" s="1">
        <v>6.14</v>
      </c>
      <c r="J3763" s="1">
        <v>-0.005276</v>
      </c>
    </row>
    <row r="3764">
      <c r="A3764" s="1">
        <v>2025.0</v>
      </c>
      <c r="B3764" s="1" t="s">
        <v>424</v>
      </c>
      <c r="C3764" s="1">
        <v>667755.0</v>
      </c>
      <c r="D3764" s="1" t="s">
        <v>532</v>
      </c>
      <c r="E3764" s="1" t="s">
        <v>927</v>
      </c>
      <c r="F3764" s="1" t="s">
        <v>926</v>
      </c>
      <c r="G3764" s="1">
        <v>10.0</v>
      </c>
      <c r="H3764" s="1">
        <v>0.607258354</v>
      </c>
      <c r="I3764" s="1">
        <v>3.68</v>
      </c>
      <c r="J3764" s="1">
        <v>0.45739</v>
      </c>
    </row>
    <row r="3765">
      <c r="A3765" s="1">
        <v>2025.0</v>
      </c>
      <c r="B3765" s="1" t="s">
        <v>424</v>
      </c>
      <c r="C3765" s="1">
        <v>667755.0</v>
      </c>
      <c r="D3765" s="1" t="s">
        <v>541</v>
      </c>
      <c r="E3765" s="1" t="s">
        <v>927</v>
      </c>
      <c r="F3765" s="1" t="s">
        <v>926</v>
      </c>
      <c r="G3765" s="1">
        <v>368.0</v>
      </c>
      <c r="H3765" s="1">
        <v>22.34710744</v>
      </c>
      <c r="I3765" s="1">
        <v>4.92</v>
      </c>
      <c r="J3765" s="1">
        <v>8.61738</v>
      </c>
    </row>
    <row r="3766">
      <c r="A3766" s="1">
        <v>2025.0</v>
      </c>
      <c r="B3766" s="1" t="s">
        <v>424</v>
      </c>
      <c r="C3766" s="1">
        <v>667755.0</v>
      </c>
      <c r="D3766" s="1" t="s">
        <v>537</v>
      </c>
      <c r="E3766" s="1" t="s">
        <v>927</v>
      </c>
      <c r="F3766" s="1" t="s">
        <v>926</v>
      </c>
      <c r="G3766" s="1">
        <v>184.0</v>
      </c>
      <c r="H3766" s="1">
        <v>11.17355372</v>
      </c>
      <c r="I3766" s="1">
        <v>4.54</v>
      </c>
      <c r="J3766" s="1">
        <v>5.822998</v>
      </c>
    </row>
    <row r="3767">
      <c r="A3767" s="1">
        <v>2025.0</v>
      </c>
      <c r="B3767" s="1" t="s">
        <v>424</v>
      </c>
      <c r="C3767" s="1">
        <v>667755.0</v>
      </c>
      <c r="D3767" s="1" t="s">
        <v>538</v>
      </c>
      <c r="E3767" s="1" t="s">
        <v>927</v>
      </c>
      <c r="F3767" s="1" t="s">
        <v>926</v>
      </c>
      <c r="G3767" s="1">
        <v>231.0</v>
      </c>
      <c r="H3767" s="1">
        <v>14.02766798</v>
      </c>
      <c r="I3767" s="1">
        <v>4.93</v>
      </c>
      <c r="J3767" s="1">
        <v>5.247022</v>
      </c>
    </row>
    <row r="3768">
      <c r="A3768" s="1">
        <v>2025.0</v>
      </c>
      <c r="B3768" s="1" t="s">
        <v>424</v>
      </c>
      <c r="C3768" s="1">
        <v>667755.0</v>
      </c>
      <c r="D3768" s="1" t="s">
        <v>536</v>
      </c>
      <c r="E3768" s="1" t="s">
        <v>927</v>
      </c>
      <c r="F3768" s="1" t="s">
        <v>926</v>
      </c>
      <c r="G3768" s="1">
        <v>756.0</v>
      </c>
      <c r="H3768" s="1">
        <v>45.90873158</v>
      </c>
      <c r="I3768" s="1">
        <v>4.88</v>
      </c>
      <c r="J3768" s="1">
        <v>18.742405</v>
      </c>
    </row>
    <row r="3769">
      <c r="A3769" s="1">
        <v>2025.0</v>
      </c>
      <c r="B3769" s="1" t="s">
        <v>424</v>
      </c>
      <c r="C3769" s="1">
        <v>667755.0</v>
      </c>
      <c r="D3769" s="1" t="s">
        <v>533</v>
      </c>
      <c r="E3769" s="1" t="s">
        <v>927</v>
      </c>
      <c r="F3769" s="1" t="s">
        <v>926</v>
      </c>
      <c r="G3769" s="1">
        <v>30.0</v>
      </c>
      <c r="H3769" s="1">
        <v>1.821775063</v>
      </c>
      <c r="I3769" s="1">
        <v>5.25</v>
      </c>
      <c r="J3769" s="1">
        <v>0.466035</v>
      </c>
    </row>
    <row r="3770">
      <c r="A3770" s="1">
        <v>2025.0</v>
      </c>
      <c r="B3770" s="1" t="s">
        <v>424</v>
      </c>
      <c r="C3770" s="1">
        <v>667755.0</v>
      </c>
      <c r="D3770" s="1" t="s">
        <v>541</v>
      </c>
      <c r="E3770" s="1" t="s">
        <v>927</v>
      </c>
      <c r="F3770" s="1" t="s">
        <v>927</v>
      </c>
      <c r="G3770" s="1">
        <v>374.0</v>
      </c>
      <c r="H3770" s="1">
        <v>22.71146245</v>
      </c>
      <c r="I3770" s="1">
        <v>5.17</v>
      </c>
      <c r="J3770" s="1">
        <v>7.058392</v>
      </c>
    </row>
    <row r="3771">
      <c r="A3771" s="1">
        <v>2025.0</v>
      </c>
      <c r="B3771" s="1" t="s">
        <v>424</v>
      </c>
      <c r="C3771" s="1">
        <v>667755.0</v>
      </c>
      <c r="D3771" s="1" t="s">
        <v>537</v>
      </c>
      <c r="E3771" s="1" t="s">
        <v>927</v>
      </c>
      <c r="F3771" s="1" t="s">
        <v>927</v>
      </c>
      <c r="G3771" s="1">
        <v>55.0</v>
      </c>
      <c r="H3771" s="1">
        <v>3.339920949</v>
      </c>
      <c r="I3771" s="1">
        <v>4.24</v>
      </c>
      <c r="J3771" s="1">
        <v>2.11821</v>
      </c>
    </row>
    <row r="3772">
      <c r="A3772" s="1">
        <v>2025.0</v>
      </c>
      <c r="B3772" s="1" t="s">
        <v>424</v>
      </c>
      <c r="C3772" s="1">
        <v>667755.0</v>
      </c>
      <c r="D3772" s="1" t="s">
        <v>538</v>
      </c>
      <c r="E3772" s="1" t="s">
        <v>927</v>
      </c>
      <c r="F3772" s="1" t="s">
        <v>927</v>
      </c>
      <c r="G3772" s="1">
        <v>24.0</v>
      </c>
      <c r="H3772" s="1">
        <v>1.45742005</v>
      </c>
      <c r="I3772" s="1">
        <v>5.24</v>
      </c>
      <c r="J3772" s="1">
        <v>0.378052</v>
      </c>
    </row>
    <row r="3773">
      <c r="A3773" s="1">
        <v>2025.0</v>
      </c>
      <c r="B3773" s="1" t="s">
        <v>424</v>
      </c>
      <c r="C3773" s="1">
        <v>667755.0</v>
      </c>
      <c r="D3773" s="1" t="s">
        <v>536</v>
      </c>
      <c r="E3773" s="1" t="s">
        <v>927</v>
      </c>
      <c r="F3773" s="1" t="s">
        <v>927</v>
      </c>
      <c r="G3773" s="1">
        <v>611.0</v>
      </c>
      <c r="H3773" s="1">
        <v>37.10348545</v>
      </c>
      <c r="I3773" s="1">
        <v>5.1</v>
      </c>
      <c r="J3773" s="1">
        <v>12.636406</v>
      </c>
    </row>
    <row r="3774">
      <c r="A3774" s="1">
        <v>2025.0</v>
      </c>
      <c r="B3774" s="1" t="s">
        <v>424</v>
      </c>
      <c r="C3774" s="1">
        <v>667755.0</v>
      </c>
      <c r="D3774" s="1" t="s">
        <v>533</v>
      </c>
      <c r="E3774" s="1" t="s">
        <v>927</v>
      </c>
      <c r="F3774" s="1" t="s">
        <v>927</v>
      </c>
      <c r="G3774" s="1">
        <v>140.0</v>
      </c>
      <c r="H3774" s="1">
        <v>8.50161696</v>
      </c>
      <c r="I3774" s="1">
        <v>4.68</v>
      </c>
      <c r="J3774" s="1">
        <v>3.852916</v>
      </c>
    </row>
    <row r="3775">
      <c r="A3775" s="1">
        <v>2025.0</v>
      </c>
      <c r="B3775" s="1" t="s">
        <v>576</v>
      </c>
      <c r="C3775" s="1">
        <v>660761.0</v>
      </c>
      <c r="D3775" s="1" t="s">
        <v>532</v>
      </c>
      <c r="E3775" s="1" t="s">
        <v>926</v>
      </c>
      <c r="F3775" s="1" t="s">
        <v>926</v>
      </c>
      <c r="G3775" s="1">
        <v>17.0</v>
      </c>
      <c r="H3775" s="1">
        <v>1.114124294</v>
      </c>
      <c r="I3775" s="1">
        <v>5.09</v>
      </c>
      <c r="J3775" s="1">
        <v>0.300803</v>
      </c>
    </row>
    <row r="3776">
      <c r="A3776" s="1">
        <v>2025.0</v>
      </c>
      <c r="B3776" s="1" t="s">
        <v>576</v>
      </c>
      <c r="C3776" s="1">
        <v>660761.0</v>
      </c>
      <c r="D3776" s="1" t="s">
        <v>541</v>
      </c>
      <c r="E3776" s="1" t="s">
        <v>926</v>
      </c>
      <c r="F3776" s="1" t="s">
        <v>926</v>
      </c>
      <c r="G3776" s="1">
        <v>5.0</v>
      </c>
      <c r="H3776" s="1">
        <v>0.327683616</v>
      </c>
      <c r="I3776" s="1">
        <v>5.61</v>
      </c>
      <c r="J3776" s="1">
        <v>0.023237</v>
      </c>
    </row>
    <row r="3777">
      <c r="A3777" s="1">
        <v>2025.0</v>
      </c>
      <c r="B3777" s="1" t="s">
        <v>576</v>
      </c>
      <c r="C3777" s="1">
        <v>660761.0</v>
      </c>
      <c r="D3777" s="1" t="s">
        <v>537</v>
      </c>
      <c r="E3777" s="1" t="s">
        <v>926</v>
      </c>
      <c r="F3777" s="1" t="s">
        <v>926</v>
      </c>
      <c r="G3777" s="1">
        <v>58.0</v>
      </c>
      <c r="H3777" s="1">
        <v>3.801129944</v>
      </c>
      <c r="I3777" s="1">
        <v>4.65</v>
      </c>
      <c r="J3777" s="1">
        <v>1.705751</v>
      </c>
    </row>
    <row r="3778">
      <c r="A3778" s="1">
        <v>2025.0</v>
      </c>
      <c r="B3778" s="1" t="s">
        <v>576</v>
      </c>
      <c r="C3778" s="1">
        <v>660761.0</v>
      </c>
      <c r="D3778" s="1" t="s">
        <v>536</v>
      </c>
      <c r="E3778" s="1" t="s">
        <v>926</v>
      </c>
      <c r="F3778" s="1" t="s">
        <v>926</v>
      </c>
      <c r="G3778" s="1">
        <v>20.0</v>
      </c>
      <c r="H3778" s="1">
        <v>1.310734463</v>
      </c>
      <c r="I3778" s="1">
        <v>5.79</v>
      </c>
      <c r="J3778" s="1">
        <v>0.144858</v>
      </c>
    </row>
    <row r="3779">
      <c r="A3779" s="1">
        <v>2025.0</v>
      </c>
      <c r="B3779" s="1" t="s">
        <v>576</v>
      </c>
      <c r="C3779" s="1">
        <v>660761.0</v>
      </c>
      <c r="D3779" s="1" t="s">
        <v>533</v>
      </c>
      <c r="E3779" s="1" t="s">
        <v>926</v>
      </c>
      <c r="F3779" s="1" t="s">
        <v>926</v>
      </c>
      <c r="G3779" s="1">
        <v>40.0</v>
      </c>
      <c r="H3779" s="1">
        <v>2.621468927</v>
      </c>
      <c r="I3779" s="1">
        <v>4.64</v>
      </c>
      <c r="J3779" s="1">
        <v>1.161792</v>
      </c>
    </row>
    <row r="3780">
      <c r="A3780" s="1">
        <v>2025.0</v>
      </c>
      <c r="B3780" s="1" t="s">
        <v>576</v>
      </c>
      <c r="C3780" s="1">
        <v>660761.0</v>
      </c>
      <c r="D3780" s="1" t="s">
        <v>532</v>
      </c>
      <c r="E3780" s="1" t="s">
        <v>926</v>
      </c>
      <c r="F3780" s="1" t="s">
        <v>927</v>
      </c>
      <c r="G3780" s="1">
        <v>67.0</v>
      </c>
      <c r="H3780" s="1">
        <v>4.390960452</v>
      </c>
      <c r="I3780" s="1">
        <v>4.82</v>
      </c>
      <c r="J3780" s="1">
        <v>1.734839</v>
      </c>
    </row>
    <row r="3781">
      <c r="A3781" s="1">
        <v>2025.0</v>
      </c>
      <c r="B3781" s="1" t="s">
        <v>576</v>
      </c>
      <c r="C3781" s="1">
        <v>660761.0</v>
      </c>
      <c r="D3781" s="1" t="s">
        <v>541</v>
      </c>
      <c r="E3781" s="1" t="s">
        <v>926</v>
      </c>
      <c r="F3781" s="1" t="s">
        <v>927</v>
      </c>
      <c r="G3781" s="1">
        <v>1.0</v>
      </c>
      <c r="H3781" s="1">
        <v>0.065536723</v>
      </c>
      <c r="I3781" s="1">
        <v>5.35</v>
      </c>
      <c r="J3781" s="1">
        <v>0.020865</v>
      </c>
    </row>
    <row r="3782">
      <c r="A3782" s="1">
        <v>2025.0</v>
      </c>
      <c r="B3782" s="1" t="s">
        <v>576</v>
      </c>
      <c r="C3782" s="1">
        <v>660761.0</v>
      </c>
      <c r="D3782" s="1" t="s">
        <v>537</v>
      </c>
      <c r="E3782" s="1" t="s">
        <v>926</v>
      </c>
      <c r="F3782" s="1" t="s">
        <v>927</v>
      </c>
      <c r="G3782" s="1">
        <v>65.0</v>
      </c>
      <c r="H3782" s="1">
        <v>4.259887006</v>
      </c>
      <c r="I3782" s="1">
        <v>4.91</v>
      </c>
      <c r="J3782" s="1">
        <v>1.601005</v>
      </c>
    </row>
    <row r="3783">
      <c r="A3783" s="1">
        <v>2025.0</v>
      </c>
      <c r="B3783" s="1" t="s">
        <v>576</v>
      </c>
      <c r="C3783" s="1">
        <v>660761.0</v>
      </c>
      <c r="D3783" s="1" t="s">
        <v>533</v>
      </c>
      <c r="E3783" s="1" t="s">
        <v>926</v>
      </c>
      <c r="F3783" s="1" t="s">
        <v>927</v>
      </c>
      <c r="G3783" s="1">
        <v>22.0</v>
      </c>
      <c r="H3783" s="1">
        <v>1.44180791</v>
      </c>
      <c r="I3783" s="1">
        <v>5.36</v>
      </c>
      <c r="J3783" s="1">
        <v>0.332828</v>
      </c>
    </row>
    <row r="3784">
      <c r="A3784" s="1">
        <v>2025.0</v>
      </c>
      <c r="B3784" s="1" t="s">
        <v>455</v>
      </c>
      <c r="C3784" s="1">
        <v>570632.0</v>
      </c>
      <c r="D3784" s="1" t="s">
        <v>532</v>
      </c>
      <c r="E3784" s="1" t="s">
        <v>927</v>
      </c>
      <c r="F3784" s="1" t="s">
        <v>926</v>
      </c>
      <c r="G3784" s="1">
        <v>164.0</v>
      </c>
      <c r="H3784" s="1">
        <v>9.65738758</v>
      </c>
      <c r="I3784" s="1">
        <v>4.74</v>
      </c>
      <c r="J3784" s="1">
        <v>4.419355</v>
      </c>
    </row>
    <row r="3785">
      <c r="A3785" s="1">
        <v>2025.0</v>
      </c>
      <c r="B3785" s="1" t="s">
        <v>455</v>
      </c>
      <c r="C3785" s="1">
        <v>570632.0</v>
      </c>
      <c r="D3785" s="1" t="s">
        <v>537</v>
      </c>
      <c r="E3785" s="1" t="s">
        <v>927</v>
      </c>
      <c r="F3785" s="1" t="s">
        <v>926</v>
      </c>
      <c r="G3785" s="1">
        <v>170.0</v>
      </c>
      <c r="H3785" s="1">
        <v>10.01070664</v>
      </c>
      <c r="I3785" s="1">
        <v>4.61</v>
      </c>
      <c r="J3785" s="1">
        <v>5.233649</v>
      </c>
    </row>
    <row r="3786">
      <c r="A3786" s="1">
        <v>2025.0</v>
      </c>
      <c r="B3786" s="1" t="s">
        <v>455</v>
      </c>
      <c r="C3786" s="1">
        <v>570632.0</v>
      </c>
      <c r="D3786" s="1" t="s">
        <v>538</v>
      </c>
      <c r="E3786" s="1" t="s">
        <v>927</v>
      </c>
      <c r="F3786" s="1" t="s">
        <v>926</v>
      </c>
      <c r="G3786" s="1">
        <v>31.0</v>
      </c>
      <c r="H3786" s="1">
        <v>1.825481799</v>
      </c>
      <c r="I3786" s="1">
        <v>4.69</v>
      </c>
      <c r="J3786" s="1">
        <v>0.887682</v>
      </c>
    </row>
    <row r="3787">
      <c r="A3787" s="1">
        <v>2025.0</v>
      </c>
      <c r="B3787" s="1" t="s">
        <v>455</v>
      </c>
      <c r="C3787" s="1">
        <v>570632.0</v>
      </c>
      <c r="D3787" s="1" t="s">
        <v>536</v>
      </c>
      <c r="E3787" s="1" t="s">
        <v>927</v>
      </c>
      <c r="F3787" s="1" t="s">
        <v>926</v>
      </c>
      <c r="G3787" s="1">
        <v>56.0</v>
      </c>
      <c r="H3787" s="1">
        <v>3.29764454</v>
      </c>
      <c r="I3787" s="1">
        <v>4.71</v>
      </c>
      <c r="J3787" s="1">
        <v>1.508239</v>
      </c>
    </row>
    <row r="3788">
      <c r="A3788" s="1">
        <v>2025.0</v>
      </c>
      <c r="B3788" s="1" t="s">
        <v>455</v>
      </c>
      <c r="C3788" s="1">
        <v>570632.0</v>
      </c>
      <c r="D3788" s="1" t="s">
        <v>533</v>
      </c>
      <c r="E3788" s="1" t="s">
        <v>927</v>
      </c>
      <c r="F3788" s="1" t="s">
        <v>926</v>
      </c>
      <c r="G3788" s="1">
        <v>86.0</v>
      </c>
      <c r="H3788" s="1">
        <v>5.064239829</v>
      </c>
      <c r="I3788" s="1">
        <v>4.99</v>
      </c>
      <c r="J3788" s="1">
        <v>1.874045</v>
      </c>
    </row>
    <row r="3789">
      <c r="A3789" s="1">
        <v>2025.0</v>
      </c>
      <c r="B3789" s="1" t="s">
        <v>455</v>
      </c>
      <c r="C3789" s="1">
        <v>570632.0</v>
      </c>
      <c r="D3789" s="1" t="s">
        <v>532</v>
      </c>
      <c r="E3789" s="1" t="s">
        <v>927</v>
      </c>
      <c r="F3789" s="1" t="s">
        <v>927</v>
      </c>
      <c r="G3789" s="1">
        <v>66.0</v>
      </c>
      <c r="H3789" s="1">
        <v>3.886509636</v>
      </c>
      <c r="I3789" s="1">
        <v>4.5</v>
      </c>
      <c r="J3789" s="1">
        <v>2.104087</v>
      </c>
    </row>
    <row r="3790">
      <c r="A3790" s="1">
        <v>2025.0</v>
      </c>
      <c r="B3790" s="1" t="s">
        <v>455</v>
      </c>
      <c r="C3790" s="1">
        <v>570632.0</v>
      </c>
      <c r="D3790" s="1" t="s">
        <v>537</v>
      </c>
      <c r="E3790" s="1" t="s">
        <v>927</v>
      </c>
      <c r="F3790" s="1" t="s">
        <v>927</v>
      </c>
      <c r="G3790" s="1">
        <v>163.0</v>
      </c>
      <c r="H3790" s="1">
        <v>9.598501071</v>
      </c>
      <c r="I3790" s="1">
        <v>5.01</v>
      </c>
      <c r="J3790" s="1">
        <v>3.65106</v>
      </c>
    </row>
    <row r="3791">
      <c r="A3791" s="1">
        <v>2025.0</v>
      </c>
      <c r="B3791" s="1" t="s">
        <v>455</v>
      </c>
      <c r="C3791" s="1">
        <v>570632.0</v>
      </c>
      <c r="D3791" s="1" t="s">
        <v>536</v>
      </c>
      <c r="E3791" s="1" t="s">
        <v>927</v>
      </c>
      <c r="F3791" s="1" t="s">
        <v>927</v>
      </c>
      <c r="G3791" s="1">
        <v>44.0</v>
      </c>
      <c r="H3791" s="1">
        <v>2.591006424</v>
      </c>
      <c r="I3791" s="1">
        <v>5.39</v>
      </c>
      <c r="J3791" s="1">
        <v>0.636893</v>
      </c>
    </row>
    <row r="3792">
      <c r="A3792" s="1">
        <v>2025.0</v>
      </c>
      <c r="B3792" s="1" t="s">
        <v>455</v>
      </c>
      <c r="C3792" s="1">
        <v>570632.0</v>
      </c>
      <c r="D3792" s="1" t="s">
        <v>533</v>
      </c>
      <c r="E3792" s="1" t="s">
        <v>927</v>
      </c>
      <c r="F3792" s="1" t="s">
        <v>927</v>
      </c>
      <c r="G3792" s="1">
        <v>154.0</v>
      </c>
      <c r="H3792" s="1">
        <v>9.068522484</v>
      </c>
      <c r="I3792" s="1">
        <v>5.11</v>
      </c>
      <c r="J3792" s="1">
        <v>3.021095</v>
      </c>
    </row>
    <row r="3793">
      <c r="A3793" s="1">
        <v>2025.0</v>
      </c>
      <c r="B3793" s="1" t="s">
        <v>976</v>
      </c>
      <c r="C3793" s="1">
        <v>664353.0</v>
      </c>
      <c r="D3793" s="1" t="s">
        <v>532</v>
      </c>
      <c r="E3793" s="1" t="s">
        <v>927</v>
      </c>
      <c r="F3793" s="1" t="s">
        <v>926</v>
      </c>
      <c r="G3793" s="1">
        <v>16.0</v>
      </c>
      <c r="H3793" s="1">
        <v>0.666666667</v>
      </c>
      <c r="I3793" s="1">
        <v>5.14</v>
      </c>
      <c r="J3793" s="1">
        <v>0.296222</v>
      </c>
    </row>
    <row r="3794">
      <c r="A3794" s="1">
        <v>2025.0</v>
      </c>
      <c r="B3794" s="1" t="s">
        <v>976</v>
      </c>
      <c r="C3794" s="1">
        <v>664353.0</v>
      </c>
      <c r="D3794" s="1" t="s">
        <v>541</v>
      </c>
      <c r="E3794" s="1" t="s">
        <v>927</v>
      </c>
      <c r="F3794" s="1" t="s">
        <v>926</v>
      </c>
      <c r="G3794" s="1">
        <v>10.0</v>
      </c>
      <c r="H3794" s="1">
        <v>0.416666667</v>
      </c>
      <c r="I3794" s="1">
        <v>5.74</v>
      </c>
      <c r="J3794" s="1">
        <v>0.071088</v>
      </c>
    </row>
    <row r="3795">
      <c r="A3795" s="1">
        <v>2025.0</v>
      </c>
      <c r="B3795" s="1" t="s">
        <v>976</v>
      </c>
      <c r="C3795" s="1">
        <v>664353.0</v>
      </c>
      <c r="D3795" s="1" t="s">
        <v>540</v>
      </c>
      <c r="E3795" s="1" t="s">
        <v>927</v>
      </c>
      <c r="F3795" s="1" t="s">
        <v>926</v>
      </c>
      <c r="G3795" s="1">
        <v>2.0</v>
      </c>
      <c r="H3795" s="1">
        <v>0.083333333</v>
      </c>
      <c r="I3795" s="1">
        <v>3.92</v>
      </c>
      <c r="J3795" s="1">
        <v>0.08729</v>
      </c>
    </row>
    <row r="3796">
      <c r="A3796" s="1">
        <v>2025.0</v>
      </c>
      <c r="B3796" s="1" t="s">
        <v>976</v>
      </c>
      <c r="C3796" s="1">
        <v>664353.0</v>
      </c>
      <c r="D3796" s="1" t="s">
        <v>537</v>
      </c>
      <c r="E3796" s="1" t="s">
        <v>927</v>
      </c>
      <c r="F3796" s="1" t="s">
        <v>926</v>
      </c>
      <c r="G3796" s="1">
        <v>11.0</v>
      </c>
      <c r="H3796" s="1">
        <v>0.458333333</v>
      </c>
      <c r="I3796" s="1">
        <v>4.08</v>
      </c>
      <c r="J3796" s="1">
        <v>0.439635</v>
      </c>
    </row>
    <row r="3797">
      <c r="A3797" s="1">
        <v>2025.0</v>
      </c>
      <c r="B3797" s="1" t="s">
        <v>976</v>
      </c>
      <c r="C3797" s="1">
        <v>664353.0</v>
      </c>
      <c r="D3797" s="1" t="s">
        <v>541</v>
      </c>
      <c r="E3797" s="1" t="s">
        <v>927</v>
      </c>
      <c r="F3797" s="1" t="s">
        <v>927</v>
      </c>
      <c r="G3797" s="1">
        <v>5.0</v>
      </c>
      <c r="H3797" s="1">
        <v>0.208333333</v>
      </c>
      <c r="I3797" s="1">
        <v>4.64</v>
      </c>
      <c r="J3797" s="1">
        <v>0.12934</v>
      </c>
    </row>
    <row r="3798">
      <c r="A3798" s="1">
        <v>2025.0</v>
      </c>
      <c r="B3798" s="1" t="s">
        <v>976</v>
      </c>
      <c r="C3798" s="1">
        <v>664353.0</v>
      </c>
      <c r="D3798" s="1" t="s">
        <v>540</v>
      </c>
      <c r="E3798" s="1" t="s">
        <v>927</v>
      </c>
      <c r="F3798" s="1" t="s">
        <v>927</v>
      </c>
      <c r="G3798" s="1">
        <v>5.0</v>
      </c>
      <c r="H3798" s="1">
        <v>0.208333333</v>
      </c>
      <c r="I3798" s="1">
        <v>3.85</v>
      </c>
      <c r="J3798" s="1">
        <v>0.206129</v>
      </c>
    </row>
    <row r="3799">
      <c r="A3799" s="1">
        <v>2025.0</v>
      </c>
      <c r="B3799" s="1" t="s">
        <v>976</v>
      </c>
      <c r="C3799" s="1">
        <v>664353.0</v>
      </c>
      <c r="D3799" s="1" t="s">
        <v>537</v>
      </c>
      <c r="E3799" s="1" t="s">
        <v>927</v>
      </c>
      <c r="F3799" s="1" t="s">
        <v>927</v>
      </c>
      <c r="G3799" s="1">
        <v>7.0</v>
      </c>
      <c r="H3799" s="1">
        <v>0.291666667</v>
      </c>
      <c r="I3799" s="1">
        <v>4.37</v>
      </c>
      <c r="J3799" s="1">
        <v>0.229385</v>
      </c>
    </row>
    <row r="3800">
      <c r="A3800" s="1">
        <v>2025.0</v>
      </c>
      <c r="B3800" s="1" t="s">
        <v>977</v>
      </c>
      <c r="C3800" s="1">
        <v>663558.0</v>
      </c>
      <c r="D3800" s="1" t="s">
        <v>532</v>
      </c>
      <c r="E3800" s="1" t="s">
        <v>926</v>
      </c>
      <c r="F3800" s="1" t="s">
        <v>926</v>
      </c>
      <c r="G3800" s="1">
        <v>12.0</v>
      </c>
      <c r="H3800" s="1">
        <v>0.6</v>
      </c>
      <c r="I3800" s="1">
        <v>4.87</v>
      </c>
      <c r="J3800" s="1">
        <v>0.293965</v>
      </c>
    </row>
    <row r="3801">
      <c r="A3801" s="1">
        <v>2025.0</v>
      </c>
      <c r="B3801" s="1" t="s">
        <v>977</v>
      </c>
      <c r="C3801" s="1">
        <v>663558.0</v>
      </c>
      <c r="D3801" s="1" t="s">
        <v>540</v>
      </c>
      <c r="E3801" s="1" t="s">
        <v>926</v>
      </c>
      <c r="F3801" s="1" t="s">
        <v>926</v>
      </c>
      <c r="G3801" s="1">
        <v>9.0</v>
      </c>
      <c r="H3801" s="1">
        <v>0.45</v>
      </c>
      <c r="I3801" s="1">
        <v>4.93</v>
      </c>
      <c r="J3801" s="1">
        <v>0.213738</v>
      </c>
    </row>
    <row r="3802">
      <c r="A3802" s="1">
        <v>2025.0</v>
      </c>
      <c r="B3802" s="1" t="s">
        <v>977</v>
      </c>
      <c r="C3802" s="1">
        <v>663558.0</v>
      </c>
      <c r="D3802" s="1" t="s">
        <v>537</v>
      </c>
      <c r="E3802" s="1" t="s">
        <v>926</v>
      </c>
      <c r="F3802" s="1" t="s">
        <v>926</v>
      </c>
      <c r="G3802" s="1">
        <v>13.0</v>
      </c>
      <c r="H3802" s="1">
        <v>0.65</v>
      </c>
      <c r="I3802" s="1">
        <v>3.57</v>
      </c>
      <c r="J3802" s="1">
        <v>0.64752</v>
      </c>
    </row>
    <row r="3803">
      <c r="A3803" s="1">
        <v>2025.0</v>
      </c>
      <c r="B3803" s="1" t="s">
        <v>977</v>
      </c>
      <c r="C3803" s="1">
        <v>663558.0</v>
      </c>
      <c r="D3803" s="1" t="s">
        <v>533</v>
      </c>
      <c r="E3803" s="1" t="s">
        <v>926</v>
      </c>
      <c r="F3803" s="1" t="s">
        <v>926</v>
      </c>
      <c r="G3803" s="1">
        <v>5.0</v>
      </c>
      <c r="H3803" s="1">
        <v>0.25</v>
      </c>
      <c r="I3803" s="1">
        <v>5.03</v>
      </c>
      <c r="J3803" s="1">
        <v>0.109609</v>
      </c>
    </row>
    <row r="3804">
      <c r="A3804" s="1">
        <v>2025.0</v>
      </c>
      <c r="B3804" s="1" t="s">
        <v>977</v>
      </c>
      <c r="C3804" s="1">
        <v>663558.0</v>
      </c>
      <c r="D3804" s="1" t="s">
        <v>532</v>
      </c>
      <c r="E3804" s="1" t="s">
        <v>926</v>
      </c>
      <c r="F3804" s="1" t="s">
        <v>927</v>
      </c>
      <c r="G3804" s="1">
        <v>19.0</v>
      </c>
      <c r="H3804" s="1">
        <v>0.95</v>
      </c>
      <c r="I3804" s="1">
        <v>4.62</v>
      </c>
      <c r="J3804" s="1">
        <v>0.576359</v>
      </c>
    </row>
    <row r="3805">
      <c r="A3805" s="1">
        <v>2025.0</v>
      </c>
      <c r="B3805" s="1" t="s">
        <v>977</v>
      </c>
      <c r="C3805" s="1">
        <v>663558.0</v>
      </c>
      <c r="D3805" s="1" t="s">
        <v>541</v>
      </c>
      <c r="E3805" s="1" t="s">
        <v>926</v>
      </c>
      <c r="F3805" s="1" t="s">
        <v>927</v>
      </c>
      <c r="G3805" s="1">
        <v>1.0</v>
      </c>
      <c r="H3805" s="1">
        <v>0.05</v>
      </c>
      <c r="I3805" s="1">
        <v>3.36</v>
      </c>
      <c r="J3805" s="1">
        <v>0.056229</v>
      </c>
    </row>
    <row r="3806">
      <c r="A3806" s="1">
        <v>2025.0</v>
      </c>
      <c r="B3806" s="1" t="s">
        <v>977</v>
      </c>
      <c r="C3806" s="1">
        <v>663558.0</v>
      </c>
      <c r="D3806" s="1" t="s">
        <v>540</v>
      </c>
      <c r="E3806" s="1" t="s">
        <v>926</v>
      </c>
      <c r="F3806" s="1" t="s">
        <v>927</v>
      </c>
      <c r="G3806" s="1">
        <v>5.0</v>
      </c>
      <c r="H3806" s="1">
        <v>0.25</v>
      </c>
      <c r="I3806" s="1">
        <v>3.81</v>
      </c>
      <c r="J3806" s="1">
        <v>0.22836</v>
      </c>
    </row>
    <row r="3807">
      <c r="A3807" s="1">
        <v>2025.0</v>
      </c>
      <c r="B3807" s="1" t="s">
        <v>977</v>
      </c>
      <c r="C3807" s="1">
        <v>663558.0</v>
      </c>
      <c r="D3807" s="1" t="s">
        <v>537</v>
      </c>
      <c r="E3807" s="1" t="s">
        <v>926</v>
      </c>
      <c r="F3807" s="1" t="s">
        <v>927</v>
      </c>
      <c r="G3807" s="1">
        <v>16.0</v>
      </c>
      <c r="H3807" s="1">
        <v>0.8</v>
      </c>
      <c r="I3807" s="1">
        <v>5.44</v>
      </c>
      <c r="J3807" s="1">
        <v>0.232068</v>
      </c>
    </row>
    <row r="3808">
      <c r="A3808" s="1">
        <v>2025.0</v>
      </c>
      <c r="B3808" s="1" t="s">
        <v>907</v>
      </c>
      <c r="C3808" s="1">
        <v>686228.0</v>
      </c>
      <c r="D3808" s="1" t="s">
        <v>532</v>
      </c>
      <c r="E3808" s="1" t="s">
        <v>927</v>
      </c>
      <c r="F3808" s="1" t="s">
        <v>926</v>
      </c>
      <c r="G3808" s="1">
        <v>5.0</v>
      </c>
      <c r="H3808" s="1">
        <v>0.303030303</v>
      </c>
      <c r="I3808" s="1">
        <v>4.07</v>
      </c>
      <c r="J3808" s="1">
        <v>0.205648</v>
      </c>
    </row>
    <row r="3809">
      <c r="A3809" s="1">
        <v>2025.0</v>
      </c>
      <c r="B3809" s="1" t="s">
        <v>907</v>
      </c>
      <c r="C3809" s="1">
        <v>686228.0</v>
      </c>
      <c r="D3809" s="1" t="s">
        <v>541</v>
      </c>
      <c r="E3809" s="1" t="s">
        <v>927</v>
      </c>
      <c r="F3809" s="1" t="s">
        <v>926</v>
      </c>
      <c r="G3809" s="1">
        <v>1.0</v>
      </c>
      <c r="H3809" s="1">
        <v>0.060606061</v>
      </c>
      <c r="I3809" s="1">
        <v>7.31</v>
      </c>
      <c r="J3809" s="1">
        <v>-0.027717</v>
      </c>
    </row>
    <row r="3810">
      <c r="A3810" s="1">
        <v>2025.0</v>
      </c>
      <c r="B3810" s="1" t="s">
        <v>907</v>
      </c>
      <c r="C3810" s="1">
        <v>686228.0</v>
      </c>
      <c r="D3810" s="1" t="s">
        <v>540</v>
      </c>
      <c r="E3810" s="1" t="s">
        <v>927</v>
      </c>
      <c r="F3810" s="1" t="s">
        <v>926</v>
      </c>
      <c r="G3810" s="1">
        <v>30.0</v>
      </c>
      <c r="H3810" s="1">
        <v>1.818181818</v>
      </c>
      <c r="I3810" s="1">
        <v>4.28</v>
      </c>
      <c r="J3810" s="1">
        <v>1.118925</v>
      </c>
    </row>
    <row r="3811">
      <c r="A3811" s="1">
        <v>2025.0</v>
      </c>
      <c r="B3811" s="1" t="s">
        <v>907</v>
      </c>
      <c r="C3811" s="1">
        <v>686228.0</v>
      </c>
      <c r="D3811" s="1" t="s">
        <v>536</v>
      </c>
      <c r="E3811" s="1" t="s">
        <v>927</v>
      </c>
      <c r="F3811" s="1" t="s">
        <v>926</v>
      </c>
      <c r="G3811" s="1">
        <v>17.0</v>
      </c>
      <c r="H3811" s="1">
        <v>1.03030303</v>
      </c>
      <c r="I3811" s="1">
        <v>4.92</v>
      </c>
      <c r="J3811" s="1">
        <v>0.404949</v>
      </c>
    </row>
    <row r="3812">
      <c r="A3812" s="1">
        <v>2025.0</v>
      </c>
      <c r="B3812" s="1" t="s">
        <v>907</v>
      </c>
      <c r="C3812" s="1">
        <v>686228.0</v>
      </c>
      <c r="D3812" s="1" t="s">
        <v>539</v>
      </c>
      <c r="E3812" s="1" t="s">
        <v>927</v>
      </c>
      <c r="F3812" s="1" t="s">
        <v>926</v>
      </c>
      <c r="G3812" s="1">
        <v>16.0</v>
      </c>
      <c r="H3812" s="1">
        <v>0.96969697</v>
      </c>
      <c r="I3812" s="1">
        <v>4.66</v>
      </c>
      <c r="J3812" s="1">
        <v>0.469902</v>
      </c>
    </row>
    <row r="3813">
      <c r="A3813" s="1">
        <v>2025.0</v>
      </c>
      <c r="B3813" s="1" t="s">
        <v>907</v>
      </c>
      <c r="C3813" s="1">
        <v>686228.0</v>
      </c>
      <c r="D3813" s="1" t="s">
        <v>532</v>
      </c>
      <c r="E3813" s="1" t="s">
        <v>927</v>
      </c>
      <c r="F3813" s="1" t="s">
        <v>927</v>
      </c>
      <c r="G3813" s="1">
        <v>2.0</v>
      </c>
      <c r="H3813" s="1">
        <v>0.121212121</v>
      </c>
      <c r="I3813" s="1">
        <v>4.11</v>
      </c>
      <c r="J3813" s="1">
        <v>0.078916</v>
      </c>
    </row>
    <row r="3814">
      <c r="A3814" s="1">
        <v>2025.0</v>
      </c>
      <c r="B3814" s="1" t="s">
        <v>907</v>
      </c>
      <c r="C3814" s="1">
        <v>686228.0</v>
      </c>
      <c r="D3814" s="1" t="s">
        <v>540</v>
      </c>
      <c r="E3814" s="1" t="s">
        <v>927</v>
      </c>
      <c r="F3814" s="1" t="s">
        <v>927</v>
      </c>
      <c r="G3814" s="1">
        <v>43.0</v>
      </c>
      <c r="H3814" s="1">
        <v>2.606060606</v>
      </c>
      <c r="I3814" s="1">
        <v>4.1</v>
      </c>
      <c r="J3814" s="1">
        <v>1.707883</v>
      </c>
    </row>
    <row r="3815">
      <c r="A3815" s="1">
        <v>2025.0</v>
      </c>
      <c r="B3815" s="1" t="s">
        <v>907</v>
      </c>
      <c r="C3815" s="1">
        <v>686228.0</v>
      </c>
      <c r="D3815" s="1" t="s">
        <v>536</v>
      </c>
      <c r="E3815" s="1" t="s">
        <v>927</v>
      </c>
      <c r="F3815" s="1" t="s">
        <v>927</v>
      </c>
      <c r="G3815" s="1">
        <v>53.0</v>
      </c>
      <c r="H3815" s="1">
        <v>3.212121212</v>
      </c>
      <c r="I3815" s="1">
        <v>4.56</v>
      </c>
      <c r="J3815" s="1">
        <v>1.672905</v>
      </c>
    </row>
    <row r="3816">
      <c r="A3816" s="1">
        <v>2025.0</v>
      </c>
      <c r="B3816" s="1" t="s">
        <v>907</v>
      </c>
      <c r="C3816" s="1">
        <v>686228.0</v>
      </c>
      <c r="D3816" s="1" t="s">
        <v>539</v>
      </c>
      <c r="E3816" s="1" t="s">
        <v>927</v>
      </c>
      <c r="F3816" s="1" t="s">
        <v>927</v>
      </c>
      <c r="G3816" s="1">
        <v>53.0</v>
      </c>
      <c r="H3816" s="1">
        <v>3.212121212</v>
      </c>
      <c r="I3816" s="1">
        <v>5.44</v>
      </c>
      <c r="J3816" s="1">
        <v>0.705258</v>
      </c>
    </row>
    <row r="3817">
      <c r="A3817" s="1">
        <v>2025.0</v>
      </c>
      <c r="B3817" s="1" t="s">
        <v>468</v>
      </c>
      <c r="C3817" s="1">
        <v>675848.0</v>
      </c>
      <c r="D3817" s="1" t="s">
        <v>537</v>
      </c>
      <c r="E3817" s="1" t="s">
        <v>927</v>
      </c>
      <c r="F3817" s="1" t="s">
        <v>926</v>
      </c>
      <c r="G3817" s="1">
        <v>387.0</v>
      </c>
      <c r="H3817" s="1">
        <v>22.28732394</v>
      </c>
      <c r="I3817" s="1">
        <v>4.81</v>
      </c>
      <c r="J3817" s="1">
        <v>10.262372</v>
      </c>
    </row>
    <row r="3818">
      <c r="A3818" s="1">
        <v>2025.0</v>
      </c>
      <c r="B3818" s="1" t="s">
        <v>468</v>
      </c>
      <c r="C3818" s="1">
        <v>675848.0</v>
      </c>
      <c r="D3818" s="1" t="s">
        <v>533</v>
      </c>
      <c r="E3818" s="1" t="s">
        <v>927</v>
      </c>
      <c r="F3818" s="1" t="s">
        <v>926</v>
      </c>
      <c r="G3818" s="1">
        <v>99.0</v>
      </c>
      <c r="H3818" s="1">
        <v>5.701408451</v>
      </c>
      <c r="I3818" s="1">
        <v>4.69</v>
      </c>
      <c r="J3818" s="1">
        <v>2.796299</v>
      </c>
    </row>
    <row r="3819">
      <c r="A3819" s="1">
        <v>2025.0</v>
      </c>
      <c r="B3819" s="1" t="s">
        <v>468</v>
      </c>
      <c r="C3819" s="1">
        <v>675848.0</v>
      </c>
      <c r="D3819" s="1" t="s">
        <v>537</v>
      </c>
      <c r="E3819" s="1" t="s">
        <v>927</v>
      </c>
      <c r="F3819" s="1" t="s">
        <v>927</v>
      </c>
      <c r="G3819" s="1">
        <v>331.0</v>
      </c>
      <c r="H3819" s="1">
        <v>19.06228482</v>
      </c>
      <c r="I3819" s="1">
        <v>4.74</v>
      </c>
      <c r="J3819" s="1">
        <v>9.267913</v>
      </c>
    </row>
    <row r="3820">
      <c r="A3820" s="1">
        <v>2025.0</v>
      </c>
      <c r="B3820" s="1" t="s">
        <v>468</v>
      </c>
      <c r="C3820" s="1">
        <v>675848.0</v>
      </c>
      <c r="D3820" s="1" t="s">
        <v>533</v>
      </c>
      <c r="E3820" s="1" t="s">
        <v>927</v>
      </c>
      <c r="F3820" s="1" t="s">
        <v>927</v>
      </c>
      <c r="G3820" s="1">
        <v>248.0</v>
      </c>
      <c r="H3820" s="1">
        <v>14.28231612</v>
      </c>
      <c r="I3820" s="1">
        <v>5.15</v>
      </c>
      <c r="J3820" s="1">
        <v>4.660082</v>
      </c>
    </row>
    <row r="3821">
      <c r="A3821" s="1">
        <v>2025.0</v>
      </c>
      <c r="B3821" s="1" t="s">
        <v>370</v>
      </c>
      <c r="C3821" s="1">
        <v>666661.0</v>
      </c>
      <c r="D3821" s="1" t="s">
        <v>532</v>
      </c>
      <c r="E3821" s="1" t="s">
        <v>927</v>
      </c>
      <c r="F3821" s="1" t="s">
        <v>926</v>
      </c>
      <c r="G3821" s="1">
        <v>72.0</v>
      </c>
      <c r="H3821" s="1">
        <v>4.006482982</v>
      </c>
      <c r="I3821" s="1">
        <v>4.83</v>
      </c>
      <c r="J3821" s="1">
        <v>1.778361</v>
      </c>
    </row>
    <row r="3822">
      <c r="A3822" s="1">
        <v>2025.0</v>
      </c>
      <c r="B3822" s="1" t="s">
        <v>370</v>
      </c>
      <c r="C3822" s="1">
        <v>666661.0</v>
      </c>
      <c r="D3822" s="1" t="s">
        <v>537</v>
      </c>
      <c r="E3822" s="1" t="s">
        <v>927</v>
      </c>
      <c r="F3822" s="1" t="s">
        <v>926</v>
      </c>
      <c r="G3822" s="1">
        <v>179.0</v>
      </c>
      <c r="H3822" s="1">
        <v>9.960561858</v>
      </c>
      <c r="I3822" s="1">
        <v>4.67</v>
      </c>
      <c r="J3822" s="1">
        <v>5.174153</v>
      </c>
    </row>
    <row r="3823">
      <c r="A3823" s="1">
        <v>2025.0</v>
      </c>
      <c r="B3823" s="1" t="s">
        <v>370</v>
      </c>
      <c r="C3823" s="1">
        <v>666661.0</v>
      </c>
      <c r="D3823" s="1" t="s">
        <v>536</v>
      </c>
      <c r="E3823" s="1" t="s">
        <v>927</v>
      </c>
      <c r="F3823" s="1" t="s">
        <v>926</v>
      </c>
      <c r="G3823" s="1">
        <v>11.0</v>
      </c>
      <c r="H3823" s="1">
        <v>0.612101567</v>
      </c>
      <c r="I3823" s="1">
        <v>5.64</v>
      </c>
      <c r="J3823" s="1">
        <v>0.117278</v>
      </c>
    </row>
    <row r="3824">
      <c r="A3824" s="1">
        <v>2025.0</v>
      </c>
      <c r="B3824" s="1" t="s">
        <v>370</v>
      </c>
      <c r="C3824" s="1">
        <v>666661.0</v>
      </c>
      <c r="D3824" s="1" t="s">
        <v>533</v>
      </c>
      <c r="E3824" s="1" t="s">
        <v>927</v>
      </c>
      <c r="F3824" s="1" t="s">
        <v>926</v>
      </c>
      <c r="G3824" s="1">
        <v>36.0</v>
      </c>
      <c r="H3824" s="1">
        <v>2.003241491</v>
      </c>
      <c r="I3824" s="1">
        <v>4.66</v>
      </c>
      <c r="J3824" s="1">
        <v>1.017064</v>
      </c>
    </row>
    <row r="3825">
      <c r="A3825" s="1">
        <v>2025.0</v>
      </c>
      <c r="B3825" s="1" t="s">
        <v>370</v>
      </c>
      <c r="C3825" s="1">
        <v>666661.0</v>
      </c>
      <c r="D3825" s="1" t="s">
        <v>532</v>
      </c>
      <c r="E3825" s="1" t="s">
        <v>927</v>
      </c>
      <c r="F3825" s="1" t="s">
        <v>927</v>
      </c>
      <c r="G3825" s="1">
        <v>10.0</v>
      </c>
      <c r="H3825" s="1">
        <v>0.55645597</v>
      </c>
      <c r="I3825" s="1">
        <v>5.28</v>
      </c>
      <c r="J3825" s="1">
        <v>0.142367</v>
      </c>
    </row>
    <row r="3826">
      <c r="A3826" s="1">
        <v>2025.0</v>
      </c>
      <c r="B3826" s="1" t="s">
        <v>370</v>
      </c>
      <c r="C3826" s="1">
        <v>666661.0</v>
      </c>
      <c r="D3826" s="1" t="s">
        <v>537</v>
      </c>
      <c r="E3826" s="1" t="s">
        <v>927</v>
      </c>
      <c r="F3826" s="1" t="s">
        <v>927</v>
      </c>
      <c r="G3826" s="1">
        <v>113.0</v>
      </c>
      <c r="H3826" s="1">
        <v>6.287952458</v>
      </c>
      <c r="I3826" s="1">
        <v>5.02</v>
      </c>
      <c r="J3826" s="1">
        <v>2.434223</v>
      </c>
    </row>
    <row r="3827">
      <c r="A3827" s="1">
        <v>2025.0</v>
      </c>
      <c r="B3827" s="1" t="s">
        <v>370</v>
      </c>
      <c r="C3827" s="1">
        <v>666661.0</v>
      </c>
      <c r="D3827" s="1" t="s">
        <v>536</v>
      </c>
      <c r="E3827" s="1" t="s">
        <v>927</v>
      </c>
      <c r="F3827" s="1" t="s">
        <v>927</v>
      </c>
      <c r="G3827" s="1">
        <v>102.0</v>
      </c>
      <c r="H3827" s="1">
        <v>5.675850891</v>
      </c>
      <c r="I3827" s="1">
        <v>5.44</v>
      </c>
      <c r="J3827" s="1">
        <v>1.493846</v>
      </c>
    </row>
    <row r="3828">
      <c r="A3828" s="1">
        <v>2025.0</v>
      </c>
      <c r="B3828" s="1" t="s">
        <v>370</v>
      </c>
      <c r="C3828" s="1">
        <v>666661.0</v>
      </c>
      <c r="D3828" s="1" t="s">
        <v>533</v>
      </c>
      <c r="E3828" s="1" t="s">
        <v>927</v>
      </c>
      <c r="F3828" s="1" t="s">
        <v>927</v>
      </c>
      <c r="G3828" s="1">
        <v>94.0</v>
      </c>
      <c r="H3828" s="1">
        <v>5.230686116</v>
      </c>
      <c r="I3828" s="1">
        <v>5.3</v>
      </c>
      <c r="J3828" s="1">
        <v>1.437364</v>
      </c>
    </row>
    <row r="3829">
      <c r="A3829" s="1">
        <v>2025.0</v>
      </c>
      <c r="B3829" s="1" t="s">
        <v>978</v>
      </c>
      <c r="C3829" s="1">
        <v>642759.0</v>
      </c>
      <c r="D3829" s="1" t="s">
        <v>532</v>
      </c>
      <c r="E3829" s="1" t="s">
        <v>927</v>
      </c>
      <c r="F3829" s="1" t="s">
        <v>926</v>
      </c>
      <c r="G3829" s="1">
        <v>17.0</v>
      </c>
      <c r="H3829" s="1">
        <v>1.118421053</v>
      </c>
      <c r="I3829" s="1">
        <v>4.86</v>
      </c>
      <c r="J3829" s="1">
        <v>0.38571</v>
      </c>
    </row>
    <row r="3830">
      <c r="A3830" s="1">
        <v>2025.0</v>
      </c>
      <c r="B3830" s="1" t="s">
        <v>978</v>
      </c>
      <c r="C3830" s="1">
        <v>642759.0</v>
      </c>
      <c r="D3830" s="1" t="s">
        <v>537</v>
      </c>
      <c r="E3830" s="1" t="s">
        <v>927</v>
      </c>
      <c r="F3830" s="1" t="s">
        <v>926</v>
      </c>
      <c r="G3830" s="1">
        <v>30.0</v>
      </c>
      <c r="H3830" s="1">
        <v>1.973684211</v>
      </c>
      <c r="I3830" s="1">
        <v>5.27</v>
      </c>
      <c r="J3830" s="1">
        <v>0.513621</v>
      </c>
    </row>
    <row r="3831">
      <c r="A3831" s="1">
        <v>2025.0</v>
      </c>
      <c r="B3831" s="1" t="s">
        <v>978</v>
      </c>
      <c r="C3831" s="1">
        <v>642759.0</v>
      </c>
      <c r="D3831" s="1" t="s">
        <v>532</v>
      </c>
      <c r="E3831" s="1" t="s">
        <v>927</v>
      </c>
      <c r="F3831" s="1" t="s">
        <v>927</v>
      </c>
      <c r="G3831" s="1">
        <v>7.0</v>
      </c>
      <c r="H3831" s="1">
        <v>0.460526316</v>
      </c>
      <c r="I3831" s="1">
        <v>4.06</v>
      </c>
      <c r="J3831" s="1">
        <v>0.282982</v>
      </c>
    </row>
    <row r="3832">
      <c r="A3832" s="1">
        <v>2025.0</v>
      </c>
      <c r="B3832" s="1" t="s">
        <v>978</v>
      </c>
      <c r="C3832" s="1">
        <v>642759.0</v>
      </c>
      <c r="D3832" s="1" t="s">
        <v>537</v>
      </c>
      <c r="E3832" s="1" t="s">
        <v>927</v>
      </c>
      <c r="F3832" s="1" t="s">
        <v>927</v>
      </c>
      <c r="G3832" s="1">
        <v>22.0</v>
      </c>
      <c r="H3832" s="1">
        <v>1.447368421</v>
      </c>
      <c r="I3832" s="1">
        <v>5.41</v>
      </c>
      <c r="J3832" s="1">
        <v>0.326092</v>
      </c>
    </row>
    <row r="3833">
      <c r="A3833" s="1">
        <v>2025.0</v>
      </c>
      <c r="B3833" s="1" t="s">
        <v>632</v>
      </c>
      <c r="C3833" s="1">
        <v>657240.0</v>
      </c>
      <c r="D3833" s="1" t="s">
        <v>532</v>
      </c>
      <c r="E3833" s="1" t="s">
        <v>927</v>
      </c>
      <c r="F3833" s="1" t="s">
        <v>926</v>
      </c>
      <c r="G3833" s="1">
        <v>3.0</v>
      </c>
      <c r="H3833" s="1">
        <v>0.158640227</v>
      </c>
      <c r="I3833" s="1">
        <v>4.02</v>
      </c>
      <c r="J3833" s="1">
        <v>0.117192</v>
      </c>
    </row>
    <row r="3834">
      <c r="A3834" s="1">
        <v>2025.0</v>
      </c>
      <c r="B3834" s="1" t="s">
        <v>632</v>
      </c>
      <c r="C3834" s="1">
        <v>657240.0</v>
      </c>
      <c r="D3834" s="1" t="s">
        <v>537</v>
      </c>
      <c r="E3834" s="1" t="s">
        <v>927</v>
      </c>
      <c r="F3834" s="1" t="s">
        <v>926</v>
      </c>
      <c r="G3834" s="1">
        <v>93.0</v>
      </c>
      <c r="H3834" s="1">
        <v>4.917847025</v>
      </c>
      <c r="I3834" s="1">
        <v>5.13</v>
      </c>
      <c r="J3834" s="1">
        <v>1.866929</v>
      </c>
    </row>
    <row r="3835">
      <c r="A3835" s="1">
        <v>2025.0</v>
      </c>
      <c r="B3835" s="1" t="s">
        <v>632</v>
      </c>
      <c r="C3835" s="1">
        <v>657240.0</v>
      </c>
      <c r="D3835" s="1" t="s">
        <v>533</v>
      </c>
      <c r="E3835" s="1" t="s">
        <v>927</v>
      </c>
      <c r="F3835" s="1" t="s">
        <v>926</v>
      </c>
      <c r="G3835" s="1">
        <v>76.0</v>
      </c>
      <c r="H3835" s="1">
        <v>4.018885741</v>
      </c>
      <c r="I3835" s="1">
        <v>5.07</v>
      </c>
      <c r="J3835" s="1">
        <v>1.516646</v>
      </c>
    </row>
    <row r="3836">
      <c r="A3836" s="1">
        <v>2025.0</v>
      </c>
      <c r="B3836" s="1" t="s">
        <v>632</v>
      </c>
      <c r="C3836" s="1">
        <v>657240.0</v>
      </c>
      <c r="D3836" s="1" t="s">
        <v>532</v>
      </c>
      <c r="E3836" s="1" t="s">
        <v>927</v>
      </c>
      <c r="F3836" s="1" t="s">
        <v>927</v>
      </c>
      <c r="G3836" s="1">
        <v>1.0</v>
      </c>
      <c r="H3836" s="1">
        <v>0.052880076</v>
      </c>
      <c r="I3836" s="1">
        <v>4.59</v>
      </c>
      <c r="J3836" s="1">
        <v>0.033268</v>
      </c>
    </row>
    <row r="3837">
      <c r="A3837" s="1">
        <v>2025.0</v>
      </c>
      <c r="B3837" s="1" t="s">
        <v>632</v>
      </c>
      <c r="C3837" s="1">
        <v>657240.0</v>
      </c>
      <c r="D3837" s="1" t="s">
        <v>537</v>
      </c>
      <c r="E3837" s="1" t="s">
        <v>927</v>
      </c>
      <c r="F3837" s="1" t="s">
        <v>927</v>
      </c>
      <c r="G3837" s="1">
        <v>76.0</v>
      </c>
      <c r="H3837" s="1">
        <v>4.018885741</v>
      </c>
      <c r="I3837" s="1">
        <v>4.59</v>
      </c>
      <c r="J3837" s="1">
        <v>2.306396</v>
      </c>
    </row>
    <row r="3838">
      <c r="A3838" s="1">
        <v>2025.0</v>
      </c>
      <c r="B3838" s="1" t="s">
        <v>632</v>
      </c>
      <c r="C3838" s="1">
        <v>657240.0</v>
      </c>
      <c r="D3838" s="1" t="s">
        <v>533</v>
      </c>
      <c r="E3838" s="1" t="s">
        <v>927</v>
      </c>
      <c r="F3838" s="1" t="s">
        <v>927</v>
      </c>
      <c r="G3838" s="1">
        <v>100.0</v>
      </c>
      <c r="H3838" s="1">
        <v>5.288007554</v>
      </c>
      <c r="I3838" s="1">
        <v>5.15</v>
      </c>
      <c r="J3838" s="1">
        <v>1.851583</v>
      </c>
    </row>
    <row r="3839">
      <c r="A3839" s="1">
        <v>2025.0</v>
      </c>
      <c r="B3839" s="1" t="s">
        <v>632</v>
      </c>
      <c r="C3839" s="1">
        <v>657240.0</v>
      </c>
      <c r="D3839" s="1" t="s">
        <v>539</v>
      </c>
      <c r="E3839" s="1" t="s">
        <v>927</v>
      </c>
      <c r="F3839" s="1" t="s">
        <v>927</v>
      </c>
      <c r="G3839" s="1">
        <v>4.0</v>
      </c>
      <c r="H3839" s="1">
        <v>0.211520302</v>
      </c>
      <c r="I3839" s="1">
        <v>4.41</v>
      </c>
      <c r="J3839" s="1">
        <v>0.134157</v>
      </c>
    </row>
    <row r="3840">
      <c r="A3840" s="1">
        <v>2025.0</v>
      </c>
      <c r="B3840" s="1" t="s">
        <v>884</v>
      </c>
      <c r="C3840" s="1">
        <v>677865.0</v>
      </c>
      <c r="D3840" s="1" t="s">
        <v>540</v>
      </c>
      <c r="E3840" s="1" t="s">
        <v>926</v>
      </c>
      <c r="F3840" s="1" t="s">
        <v>926</v>
      </c>
      <c r="G3840" s="1">
        <v>9.0</v>
      </c>
      <c r="H3840" s="1">
        <v>0.561643836</v>
      </c>
      <c r="I3840" s="1">
        <v>3.18</v>
      </c>
      <c r="J3840" s="1">
        <v>0.523588</v>
      </c>
    </row>
    <row r="3841">
      <c r="A3841" s="1">
        <v>2025.0</v>
      </c>
      <c r="B3841" s="1" t="s">
        <v>884</v>
      </c>
      <c r="C3841" s="1">
        <v>677865.0</v>
      </c>
      <c r="D3841" s="1" t="s">
        <v>536</v>
      </c>
      <c r="E3841" s="1" t="s">
        <v>926</v>
      </c>
      <c r="F3841" s="1" t="s">
        <v>926</v>
      </c>
      <c r="G3841" s="1">
        <v>73.0</v>
      </c>
      <c r="H3841" s="1">
        <v>4.555555556</v>
      </c>
      <c r="I3841" s="1">
        <v>4.96</v>
      </c>
      <c r="J3841" s="1">
        <v>1.636259</v>
      </c>
    </row>
    <row r="3842">
      <c r="A3842" s="1">
        <v>2025.0</v>
      </c>
      <c r="B3842" s="1" t="s">
        <v>884</v>
      </c>
      <c r="C3842" s="1">
        <v>677865.0</v>
      </c>
      <c r="D3842" s="1" t="s">
        <v>539</v>
      </c>
      <c r="E3842" s="1" t="s">
        <v>926</v>
      </c>
      <c r="F3842" s="1" t="s">
        <v>926</v>
      </c>
      <c r="G3842" s="1">
        <v>59.0</v>
      </c>
      <c r="H3842" s="1">
        <v>3.681887367</v>
      </c>
      <c r="I3842" s="1">
        <v>5.37</v>
      </c>
      <c r="J3842" s="1">
        <v>0.813064</v>
      </c>
    </row>
    <row r="3843">
      <c r="A3843" s="1">
        <v>2025.0</v>
      </c>
      <c r="B3843" s="1" t="s">
        <v>884</v>
      </c>
      <c r="C3843" s="1">
        <v>677865.0</v>
      </c>
      <c r="D3843" s="1" t="s">
        <v>540</v>
      </c>
      <c r="E3843" s="1" t="s">
        <v>926</v>
      </c>
      <c r="F3843" s="1" t="s">
        <v>927</v>
      </c>
      <c r="G3843" s="1">
        <v>7.0</v>
      </c>
      <c r="H3843" s="1">
        <v>0.436834094</v>
      </c>
      <c r="I3843" s="1">
        <v>4.86</v>
      </c>
      <c r="J3843" s="1">
        <v>0.171064</v>
      </c>
    </row>
    <row r="3844">
      <c r="A3844" s="1">
        <v>2025.0</v>
      </c>
      <c r="B3844" s="1" t="s">
        <v>884</v>
      </c>
      <c r="C3844" s="1">
        <v>677865.0</v>
      </c>
      <c r="D3844" s="1" t="s">
        <v>536</v>
      </c>
      <c r="E3844" s="1" t="s">
        <v>926</v>
      </c>
      <c r="F3844" s="1" t="s">
        <v>927</v>
      </c>
      <c r="G3844" s="1">
        <v>39.0</v>
      </c>
      <c r="H3844" s="1">
        <v>2.433789954</v>
      </c>
      <c r="I3844" s="1">
        <v>4.86</v>
      </c>
      <c r="J3844" s="1">
        <v>0.993019</v>
      </c>
    </row>
    <row r="3845">
      <c r="A3845" s="1">
        <v>2025.0</v>
      </c>
      <c r="B3845" s="1" t="s">
        <v>884</v>
      </c>
      <c r="C3845" s="1">
        <v>677865.0</v>
      </c>
      <c r="D3845" s="1" t="s">
        <v>539</v>
      </c>
      <c r="E3845" s="1" t="s">
        <v>926</v>
      </c>
      <c r="F3845" s="1" t="s">
        <v>927</v>
      </c>
      <c r="G3845" s="1">
        <v>32.0</v>
      </c>
      <c r="H3845" s="1">
        <v>1.99695586</v>
      </c>
      <c r="I3845" s="1">
        <v>5.81</v>
      </c>
      <c r="J3845" s="1">
        <v>0.166496</v>
      </c>
    </row>
    <row r="3846">
      <c r="A3846" s="1">
        <v>2025.0</v>
      </c>
      <c r="B3846" s="1" t="s">
        <v>872</v>
      </c>
      <c r="C3846" s="1">
        <v>621057.0</v>
      </c>
      <c r="D3846" s="1" t="s">
        <v>540</v>
      </c>
      <c r="E3846" s="1" t="s">
        <v>927</v>
      </c>
      <c r="F3846" s="1" t="s">
        <v>926</v>
      </c>
      <c r="G3846" s="1">
        <v>27.0</v>
      </c>
      <c r="H3846" s="1">
        <v>2.093023256</v>
      </c>
      <c r="I3846" s="1">
        <v>5.46</v>
      </c>
      <c r="J3846" s="1">
        <v>0.338711</v>
      </c>
    </row>
    <row r="3847">
      <c r="A3847" s="1">
        <v>2025.0</v>
      </c>
      <c r="B3847" s="1" t="s">
        <v>872</v>
      </c>
      <c r="C3847" s="1">
        <v>621057.0</v>
      </c>
      <c r="D3847" s="1" t="s">
        <v>537</v>
      </c>
      <c r="E3847" s="1" t="s">
        <v>927</v>
      </c>
      <c r="F3847" s="1" t="s">
        <v>926</v>
      </c>
      <c r="G3847" s="1">
        <v>15.0</v>
      </c>
      <c r="H3847" s="1">
        <v>1.162790698</v>
      </c>
      <c r="I3847" s="1">
        <v>4.81</v>
      </c>
      <c r="J3847" s="1">
        <v>0.382664</v>
      </c>
    </row>
    <row r="3848">
      <c r="A3848" s="1">
        <v>2025.0</v>
      </c>
      <c r="B3848" s="1" t="s">
        <v>872</v>
      </c>
      <c r="C3848" s="1">
        <v>621057.0</v>
      </c>
      <c r="D3848" s="1" t="s">
        <v>538</v>
      </c>
      <c r="E3848" s="1" t="s">
        <v>927</v>
      </c>
      <c r="F3848" s="1" t="s">
        <v>926</v>
      </c>
      <c r="G3848" s="1">
        <v>3.0</v>
      </c>
      <c r="H3848" s="1">
        <v>0.23255814</v>
      </c>
      <c r="I3848" s="1">
        <v>3.73</v>
      </c>
      <c r="J3848" s="1">
        <v>0.137762</v>
      </c>
    </row>
    <row r="3849">
      <c r="A3849" s="1">
        <v>2025.0</v>
      </c>
      <c r="B3849" s="1" t="s">
        <v>872</v>
      </c>
      <c r="C3849" s="1">
        <v>621057.0</v>
      </c>
      <c r="D3849" s="1" t="s">
        <v>533</v>
      </c>
      <c r="E3849" s="1" t="s">
        <v>927</v>
      </c>
      <c r="F3849" s="1" t="s">
        <v>926</v>
      </c>
      <c r="G3849" s="1">
        <v>8.0</v>
      </c>
      <c r="H3849" s="1">
        <v>0.620155039</v>
      </c>
      <c r="I3849" s="1">
        <v>4.65</v>
      </c>
      <c r="J3849" s="1">
        <v>0.228449</v>
      </c>
    </row>
    <row r="3850">
      <c r="A3850" s="1">
        <v>2025.0</v>
      </c>
      <c r="B3850" s="1" t="s">
        <v>872</v>
      </c>
      <c r="C3850" s="1">
        <v>621057.0</v>
      </c>
      <c r="D3850" s="1" t="s">
        <v>540</v>
      </c>
      <c r="E3850" s="1" t="s">
        <v>927</v>
      </c>
      <c r="F3850" s="1" t="s">
        <v>927</v>
      </c>
      <c r="G3850" s="1">
        <v>16.0</v>
      </c>
      <c r="H3850" s="1">
        <v>1.240310078</v>
      </c>
      <c r="I3850" s="1">
        <v>5.33</v>
      </c>
      <c r="J3850" s="1">
        <v>0.240349</v>
      </c>
    </row>
    <row r="3851">
      <c r="A3851" s="1">
        <v>2025.0</v>
      </c>
      <c r="B3851" s="1" t="s">
        <v>872</v>
      </c>
      <c r="C3851" s="1">
        <v>621057.0</v>
      </c>
      <c r="D3851" s="1" t="s">
        <v>537</v>
      </c>
      <c r="E3851" s="1" t="s">
        <v>927</v>
      </c>
      <c r="F3851" s="1" t="s">
        <v>927</v>
      </c>
      <c r="G3851" s="1">
        <v>17.0</v>
      </c>
      <c r="H3851" s="1">
        <v>1.317829457</v>
      </c>
      <c r="I3851" s="1">
        <v>4.66</v>
      </c>
      <c r="J3851" s="1">
        <v>0.46605</v>
      </c>
    </row>
    <row r="3852">
      <c r="A3852" s="1">
        <v>2025.0</v>
      </c>
      <c r="B3852" s="1" t="s">
        <v>554</v>
      </c>
      <c r="C3852" s="1">
        <v>663795.0</v>
      </c>
      <c r="D3852" s="1" t="s">
        <v>532</v>
      </c>
      <c r="E3852" s="1" t="s">
        <v>927</v>
      </c>
      <c r="F3852" s="1" t="s">
        <v>926</v>
      </c>
      <c r="G3852" s="1">
        <v>65.0</v>
      </c>
      <c r="H3852" s="1">
        <v>4.027050611</v>
      </c>
      <c r="I3852" s="1">
        <v>5.32</v>
      </c>
      <c r="J3852" s="1">
        <v>0.965598</v>
      </c>
    </row>
    <row r="3853">
      <c r="A3853" s="1">
        <v>2025.0</v>
      </c>
      <c r="B3853" s="1" t="s">
        <v>554</v>
      </c>
      <c r="C3853" s="1">
        <v>663795.0</v>
      </c>
      <c r="D3853" s="1" t="s">
        <v>540</v>
      </c>
      <c r="E3853" s="1" t="s">
        <v>927</v>
      </c>
      <c r="F3853" s="1" t="s">
        <v>926</v>
      </c>
      <c r="G3853" s="1">
        <v>55.0</v>
      </c>
      <c r="H3853" s="1">
        <v>3.407504363</v>
      </c>
      <c r="I3853" s="1">
        <v>5.27</v>
      </c>
      <c r="J3853" s="1">
        <v>0.920719</v>
      </c>
    </row>
    <row r="3854">
      <c r="A3854" s="1">
        <v>2025.0</v>
      </c>
      <c r="B3854" s="1" t="s">
        <v>554</v>
      </c>
      <c r="C3854" s="1">
        <v>663795.0</v>
      </c>
      <c r="D3854" s="1" t="s">
        <v>536</v>
      </c>
      <c r="E3854" s="1" t="s">
        <v>927</v>
      </c>
      <c r="F3854" s="1" t="s">
        <v>926</v>
      </c>
      <c r="G3854" s="1">
        <v>45.0</v>
      </c>
      <c r="H3854" s="1">
        <v>2.787958115</v>
      </c>
      <c r="I3854" s="1">
        <v>5.16</v>
      </c>
      <c r="J3854" s="1">
        <v>0.833673</v>
      </c>
    </row>
    <row r="3855">
      <c r="A3855" s="1">
        <v>2025.0</v>
      </c>
      <c r="B3855" s="1" t="s">
        <v>554</v>
      </c>
      <c r="C3855" s="1">
        <v>663795.0</v>
      </c>
      <c r="D3855" s="1" t="s">
        <v>533</v>
      </c>
      <c r="E3855" s="1" t="s">
        <v>927</v>
      </c>
      <c r="F3855" s="1" t="s">
        <v>926</v>
      </c>
      <c r="G3855" s="1">
        <v>19.0</v>
      </c>
      <c r="H3855" s="1">
        <v>1.177137871</v>
      </c>
      <c r="I3855" s="1">
        <v>4.74</v>
      </c>
      <c r="J3855" s="1">
        <v>0.513238</v>
      </c>
    </row>
    <row r="3856">
      <c r="A3856" s="1">
        <v>2025.0</v>
      </c>
      <c r="B3856" s="1" t="s">
        <v>554</v>
      </c>
      <c r="C3856" s="1">
        <v>663795.0</v>
      </c>
      <c r="D3856" s="1" t="s">
        <v>532</v>
      </c>
      <c r="E3856" s="1" t="s">
        <v>927</v>
      </c>
      <c r="F3856" s="1" t="s">
        <v>927</v>
      </c>
      <c r="G3856" s="1">
        <v>23.0</v>
      </c>
      <c r="H3856" s="1">
        <v>1.42495637</v>
      </c>
      <c r="I3856" s="1">
        <v>4.98</v>
      </c>
      <c r="J3856" s="1">
        <v>0.49341</v>
      </c>
    </row>
    <row r="3857">
      <c r="A3857" s="1">
        <v>2025.0</v>
      </c>
      <c r="B3857" s="1" t="s">
        <v>554</v>
      </c>
      <c r="C3857" s="1">
        <v>663795.0</v>
      </c>
      <c r="D3857" s="1" t="s">
        <v>540</v>
      </c>
      <c r="E3857" s="1" t="s">
        <v>927</v>
      </c>
      <c r="F3857" s="1" t="s">
        <v>927</v>
      </c>
      <c r="G3857" s="1">
        <v>69.0</v>
      </c>
      <c r="H3857" s="1">
        <v>4.27486911</v>
      </c>
      <c r="I3857" s="1">
        <v>5.36</v>
      </c>
      <c r="J3857" s="1">
        <v>1.02253</v>
      </c>
    </row>
    <row r="3858">
      <c r="A3858" s="1">
        <v>2025.0</v>
      </c>
      <c r="B3858" s="1" t="s">
        <v>554</v>
      </c>
      <c r="C3858" s="1">
        <v>663795.0</v>
      </c>
      <c r="D3858" s="1" t="s">
        <v>536</v>
      </c>
      <c r="E3858" s="1" t="s">
        <v>927</v>
      </c>
      <c r="F3858" s="1" t="s">
        <v>927</v>
      </c>
      <c r="G3858" s="1">
        <v>51.0</v>
      </c>
      <c r="H3858" s="1">
        <v>3.159685864</v>
      </c>
      <c r="I3858" s="1">
        <v>4.98</v>
      </c>
      <c r="J3858" s="1">
        <v>1.153451</v>
      </c>
    </row>
    <row r="3859">
      <c r="A3859" s="1">
        <v>2025.0</v>
      </c>
      <c r="B3859" s="1" t="s">
        <v>554</v>
      </c>
      <c r="C3859" s="1">
        <v>663795.0</v>
      </c>
      <c r="D3859" s="1" t="s">
        <v>533</v>
      </c>
      <c r="E3859" s="1" t="s">
        <v>927</v>
      </c>
      <c r="F3859" s="1" t="s">
        <v>927</v>
      </c>
      <c r="G3859" s="1">
        <v>55.0</v>
      </c>
      <c r="H3859" s="1">
        <v>3.407504363</v>
      </c>
      <c r="I3859" s="1">
        <v>5.46</v>
      </c>
      <c r="J3859" s="1">
        <v>0.675454</v>
      </c>
    </row>
    <row r="3860">
      <c r="A3860" s="1">
        <v>2025.0</v>
      </c>
      <c r="B3860" s="1" t="s">
        <v>686</v>
      </c>
      <c r="C3860" s="1">
        <v>664875.0</v>
      </c>
      <c r="D3860" s="1" t="s">
        <v>537</v>
      </c>
      <c r="E3860" s="1" t="s">
        <v>927</v>
      </c>
      <c r="F3860" s="1" t="s">
        <v>926</v>
      </c>
      <c r="G3860" s="1">
        <v>17.0</v>
      </c>
      <c r="H3860" s="1">
        <v>1.112345679</v>
      </c>
      <c r="I3860" s="1">
        <v>3.75</v>
      </c>
      <c r="J3860" s="1">
        <v>0.80368</v>
      </c>
    </row>
    <row r="3861">
      <c r="A3861" s="1">
        <v>2025.0</v>
      </c>
      <c r="B3861" s="1" t="s">
        <v>686</v>
      </c>
      <c r="C3861" s="1">
        <v>664875.0</v>
      </c>
      <c r="D3861" s="1" t="s">
        <v>536</v>
      </c>
      <c r="E3861" s="1" t="s">
        <v>927</v>
      </c>
      <c r="F3861" s="1" t="s">
        <v>926</v>
      </c>
      <c r="G3861" s="1">
        <v>36.0</v>
      </c>
      <c r="H3861" s="1">
        <v>2.355555556</v>
      </c>
      <c r="I3861" s="1">
        <v>3.84</v>
      </c>
      <c r="J3861" s="1">
        <v>1.669103</v>
      </c>
    </row>
    <row r="3862">
      <c r="A3862" s="1">
        <v>2025.0</v>
      </c>
      <c r="B3862" s="1" t="s">
        <v>686</v>
      </c>
      <c r="C3862" s="1">
        <v>664875.0</v>
      </c>
      <c r="D3862" s="1" t="s">
        <v>539</v>
      </c>
      <c r="E3862" s="1" t="s">
        <v>927</v>
      </c>
      <c r="F3862" s="1" t="s">
        <v>926</v>
      </c>
      <c r="G3862" s="1">
        <v>66.0</v>
      </c>
      <c r="H3862" s="1">
        <v>4.318518519</v>
      </c>
      <c r="I3862" s="1">
        <v>4.42</v>
      </c>
      <c r="J3862" s="1">
        <v>2.16069</v>
      </c>
    </row>
    <row r="3863">
      <c r="A3863" s="1">
        <v>2025.0</v>
      </c>
      <c r="B3863" s="1" t="s">
        <v>686</v>
      </c>
      <c r="C3863" s="1">
        <v>664875.0</v>
      </c>
      <c r="D3863" s="1" t="s">
        <v>537</v>
      </c>
      <c r="E3863" s="1" t="s">
        <v>927</v>
      </c>
      <c r="F3863" s="1" t="s">
        <v>927</v>
      </c>
      <c r="G3863" s="1">
        <v>4.0</v>
      </c>
      <c r="H3863" s="1">
        <v>0.261728395</v>
      </c>
      <c r="I3863" s="1">
        <v>6.61</v>
      </c>
      <c r="J3863" s="1">
        <v>-0.040277</v>
      </c>
    </row>
    <row r="3864">
      <c r="A3864" s="1">
        <v>2025.0</v>
      </c>
      <c r="B3864" s="1" t="s">
        <v>686</v>
      </c>
      <c r="C3864" s="1">
        <v>664875.0</v>
      </c>
      <c r="D3864" s="1" t="s">
        <v>536</v>
      </c>
      <c r="E3864" s="1" t="s">
        <v>927</v>
      </c>
      <c r="F3864" s="1" t="s">
        <v>927</v>
      </c>
      <c r="G3864" s="1">
        <v>78.0</v>
      </c>
      <c r="H3864" s="1">
        <v>5.103703704</v>
      </c>
      <c r="I3864" s="1">
        <v>5.37</v>
      </c>
      <c r="J3864" s="1">
        <v>1.161944</v>
      </c>
    </row>
    <row r="3865">
      <c r="A3865" s="1">
        <v>2025.0</v>
      </c>
      <c r="B3865" s="1" t="s">
        <v>686</v>
      </c>
      <c r="C3865" s="1">
        <v>664875.0</v>
      </c>
      <c r="D3865" s="1" t="s">
        <v>539</v>
      </c>
      <c r="E3865" s="1" t="s">
        <v>927</v>
      </c>
      <c r="F3865" s="1" t="s">
        <v>927</v>
      </c>
      <c r="G3865" s="1">
        <v>69.0</v>
      </c>
      <c r="H3865" s="1">
        <v>4.514814815</v>
      </c>
      <c r="I3865" s="1">
        <v>5.69</v>
      </c>
      <c r="J3865" s="1">
        <v>0.457947</v>
      </c>
    </row>
    <row r="3866">
      <c r="A3866" s="1">
        <v>2025.0</v>
      </c>
      <c r="B3866" s="1" t="s">
        <v>714</v>
      </c>
      <c r="C3866" s="1">
        <v>679885.0</v>
      </c>
      <c r="D3866" s="1" t="s">
        <v>537</v>
      </c>
      <c r="E3866" s="1" t="s">
        <v>927</v>
      </c>
      <c r="F3866" s="1" t="s">
        <v>926</v>
      </c>
      <c r="G3866" s="1">
        <v>39.0</v>
      </c>
      <c r="H3866" s="1">
        <v>2.223048327</v>
      </c>
      <c r="I3866" s="1">
        <v>4.51</v>
      </c>
      <c r="J3866" s="1">
        <v>1.213311</v>
      </c>
    </row>
    <row r="3867">
      <c r="A3867" s="1">
        <v>2025.0</v>
      </c>
      <c r="B3867" s="1" t="s">
        <v>714</v>
      </c>
      <c r="C3867" s="1">
        <v>679885.0</v>
      </c>
      <c r="D3867" s="1" t="s">
        <v>538</v>
      </c>
      <c r="E3867" s="1" t="s">
        <v>927</v>
      </c>
      <c r="F3867" s="1" t="s">
        <v>926</v>
      </c>
      <c r="G3867" s="1">
        <v>71.0</v>
      </c>
      <c r="H3867" s="1">
        <v>4.04708798</v>
      </c>
      <c r="I3867" s="1">
        <v>4.14</v>
      </c>
      <c r="J3867" s="1">
        <v>2.805874</v>
      </c>
    </row>
    <row r="3868">
      <c r="A3868" s="1">
        <v>2025.0</v>
      </c>
      <c r="B3868" s="1" t="s">
        <v>714</v>
      </c>
      <c r="C3868" s="1">
        <v>679885.0</v>
      </c>
      <c r="D3868" s="1" t="s">
        <v>536</v>
      </c>
      <c r="E3868" s="1" t="s">
        <v>927</v>
      </c>
      <c r="F3868" s="1" t="s">
        <v>926</v>
      </c>
      <c r="G3868" s="1">
        <v>50.0</v>
      </c>
      <c r="H3868" s="1">
        <v>2.850061958</v>
      </c>
      <c r="I3868" s="1">
        <v>4.51</v>
      </c>
      <c r="J3868" s="1">
        <v>1.596451</v>
      </c>
    </row>
    <row r="3869">
      <c r="A3869" s="1">
        <v>2025.0</v>
      </c>
      <c r="B3869" s="1" t="s">
        <v>714</v>
      </c>
      <c r="C3869" s="1">
        <v>679885.0</v>
      </c>
      <c r="D3869" s="1" t="s">
        <v>533</v>
      </c>
      <c r="E3869" s="1" t="s">
        <v>927</v>
      </c>
      <c r="F3869" s="1" t="s">
        <v>926</v>
      </c>
      <c r="G3869" s="1">
        <v>8.0</v>
      </c>
      <c r="H3869" s="1">
        <v>0.456009913</v>
      </c>
      <c r="I3869" s="1">
        <v>5.18</v>
      </c>
      <c r="J3869" s="1">
        <v>0.155055</v>
      </c>
    </row>
    <row r="3870">
      <c r="A3870" s="1">
        <v>2025.0</v>
      </c>
      <c r="B3870" s="1" t="s">
        <v>714</v>
      </c>
      <c r="C3870" s="1">
        <v>679885.0</v>
      </c>
      <c r="D3870" s="1" t="s">
        <v>537</v>
      </c>
      <c r="E3870" s="1" t="s">
        <v>927</v>
      </c>
      <c r="F3870" s="1" t="s">
        <v>927</v>
      </c>
      <c r="G3870" s="1">
        <v>14.0</v>
      </c>
      <c r="H3870" s="1">
        <v>0.798017348</v>
      </c>
      <c r="I3870" s="1">
        <v>2.56</v>
      </c>
      <c r="J3870" s="1">
        <v>0.98237</v>
      </c>
    </row>
    <row r="3871">
      <c r="A3871" s="1">
        <v>2025.0</v>
      </c>
      <c r="B3871" s="1" t="s">
        <v>714</v>
      </c>
      <c r="C3871" s="1">
        <v>679885.0</v>
      </c>
      <c r="D3871" s="1" t="s">
        <v>538</v>
      </c>
      <c r="E3871" s="1" t="s">
        <v>927</v>
      </c>
      <c r="F3871" s="1" t="s">
        <v>927</v>
      </c>
      <c r="G3871" s="1">
        <v>12.0</v>
      </c>
      <c r="H3871" s="1">
        <v>0.68401487</v>
      </c>
      <c r="I3871" s="1">
        <v>3.9</v>
      </c>
      <c r="J3871" s="1">
        <v>0.513377</v>
      </c>
    </row>
    <row r="3872">
      <c r="A3872" s="1">
        <v>2025.0</v>
      </c>
      <c r="B3872" s="1" t="s">
        <v>714</v>
      </c>
      <c r="C3872" s="1">
        <v>679885.0</v>
      </c>
      <c r="D3872" s="1" t="s">
        <v>536</v>
      </c>
      <c r="E3872" s="1" t="s">
        <v>927</v>
      </c>
      <c r="F3872" s="1" t="s">
        <v>927</v>
      </c>
      <c r="G3872" s="1">
        <v>57.0</v>
      </c>
      <c r="H3872" s="1">
        <v>3.249070632</v>
      </c>
      <c r="I3872" s="1">
        <v>5.21</v>
      </c>
      <c r="J3872" s="1">
        <v>1.044105</v>
      </c>
    </row>
    <row r="3873">
      <c r="A3873" s="1">
        <v>2025.0</v>
      </c>
      <c r="B3873" s="1" t="s">
        <v>714</v>
      </c>
      <c r="C3873" s="1">
        <v>679885.0</v>
      </c>
      <c r="D3873" s="1" t="s">
        <v>533</v>
      </c>
      <c r="E3873" s="1" t="s">
        <v>927</v>
      </c>
      <c r="F3873" s="1" t="s">
        <v>927</v>
      </c>
      <c r="G3873" s="1">
        <v>18.0</v>
      </c>
      <c r="H3873" s="1">
        <v>1.026022305</v>
      </c>
      <c r="I3873" s="1">
        <v>4.86</v>
      </c>
      <c r="J3873" s="1">
        <v>0.449614</v>
      </c>
    </row>
    <row r="3874">
      <c r="A3874" s="1">
        <v>2025.0</v>
      </c>
      <c r="B3874" s="1" t="s">
        <v>645</v>
      </c>
      <c r="C3874" s="1">
        <v>686580.0</v>
      </c>
      <c r="D3874" s="1" t="s">
        <v>541</v>
      </c>
      <c r="E3874" s="1" t="s">
        <v>927</v>
      </c>
      <c r="F3874" s="1" t="s">
        <v>926</v>
      </c>
      <c r="G3874" s="1">
        <v>65.0</v>
      </c>
      <c r="H3874" s="1">
        <v>4.428857715</v>
      </c>
      <c r="I3874" s="1">
        <v>4.83</v>
      </c>
      <c r="J3874" s="1">
        <v>1.551411</v>
      </c>
    </row>
    <row r="3875">
      <c r="A3875" s="1">
        <v>2025.0</v>
      </c>
      <c r="B3875" s="1" t="s">
        <v>645</v>
      </c>
      <c r="C3875" s="1">
        <v>686580.0</v>
      </c>
      <c r="D3875" s="1" t="s">
        <v>540</v>
      </c>
      <c r="E3875" s="1" t="s">
        <v>927</v>
      </c>
      <c r="F3875" s="1" t="s">
        <v>926</v>
      </c>
      <c r="G3875" s="1">
        <v>76.0</v>
      </c>
      <c r="H3875" s="1">
        <v>5.178356713</v>
      </c>
      <c r="I3875" s="1">
        <v>5.23</v>
      </c>
      <c r="J3875" s="1">
        <v>1.376152</v>
      </c>
    </row>
    <row r="3876">
      <c r="A3876" s="1">
        <v>2025.0</v>
      </c>
      <c r="B3876" s="1" t="s">
        <v>645</v>
      </c>
      <c r="C3876" s="1">
        <v>686580.0</v>
      </c>
      <c r="D3876" s="1" t="s">
        <v>537</v>
      </c>
      <c r="E3876" s="1" t="s">
        <v>927</v>
      </c>
      <c r="F3876" s="1" t="s">
        <v>926</v>
      </c>
      <c r="G3876" s="1">
        <v>91.0</v>
      </c>
      <c r="H3876" s="1">
        <v>6.200400802</v>
      </c>
      <c r="I3876" s="1">
        <v>4.97</v>
      </c>
      <c r="J3876" s="1">
        <v>2.007785</v>
      </c>
    </row>
    <row r="3877">
      <c r="A3877" s="1">
        <v>2025.0</v>
      </c>
      <c r="B3877" s="1" t="s">
        <v>645</v>
      </c>
      <c r="C3877" s="1">
        <v>686580.0</v>
      </c>
      <c r="D3877" s="1" t="s">
        <v>539</v>
      </c>
      <c r="E3877" s="1" t="s">
        <v>927</v>
      </c>
      <c r="F3877" s="1" t="s">
        <v>926</v>
      </c>
      <c r="G3877" s="1">
        <v>3.0</v>
      </c>
      <c r="H3877" s="1">
        <v>0.204408818</v>
      </c>
      <c r="I3877" s="1">
        <v>6.15</v>
      </c>
      <c r="J3877" s="1">
        <v>-0.017385</v>
      </c>
    </row>
    <row r="3878">
      <c r="A3878" s="1">
        <v>2025.0</v>
      </c>
      <c r="B3878" s="1" t="s">
        <v>645</v>
      </c>
      <c r="C3878" s="1">
        <v>686580.0</v>
      </c>
      <c r="D3878" s="1" t="s">
        <v>541</v>
      </c>
      <c r="E3878" s="1" t="s">
        <v>927</v>
      </c>
      <c r="F3878" s="1" t="s">
        <v>927</v>
      </c>
      <c r="G3878" s="1">
        <v>25.0</v>
      </c>
      <c r="H3878" s="1">
        <v>1.703406814</v>
      </c>
      <c r="I3878" s="1">
        <v>5.36</v>
      </c>
      <c r="J3878" s="1">
        <v>0.358741</v>
      </c>
    </row>
    <row r="3879">
      <c r="A3879" s="1">
        <v>2025.0</v>
      </c>
      <c r="B3879" s="1" t="s">
        <v>645</v>
      </c>
      <c r="C3879" s="1">
        <v>686580.0</v>
      </c>
      <c r="D3879" s="1" t="s">
        <v>540</v>
      </c>
      <c r="E3879" s="1" t="s">
        <v>927</v>
      </c>
      <c r="F3879" s="1" t="s">
        <v>927</v>
      </c>
      <c r="G3879" s="1">
        <v>96.0</v>
      </c>
      <c r="H3879" s="1">
        <v>6.541082164</v>
      </c>
      <c r="I3879" s="1">
        <v>5.42</v>
      </c>
      <c r="J3879" s="1">
        <v>1.453614</v>
      </c>
    </row>
    <row r="3880">
      <c r="A3880" s="1">
        <v>2025.0</v>
      </c>
      <c r="B3880" s="1" t="s">
        <v>645</v>
      </c>
      <c r="C3880" s="1">
        <v>686580.0</v>
      </c>
      <c r="D3880" s="1" t="s">
        <v>537</v>
      </c>
      <c r="E3880" s="1" t="s">
        <v>927</v>
      </c>
      <c r="F3880" s="1" t="s">
        <v>927</v>
      </c>
      <c r="G3880" s="1">
        <v>89.0</v>
      </c>
      <c r="H3880" s="1">
        <v>6.064128257</v>
      </c>
      <c r="I3880" s="1">
        <v>5.42</v>
      </c>
      <c r="J3880" s="1">
        <v>1.267029</v>
      </c>
    </row>
    <row r="3881">
      <c r="A3881" s="1">
        <v>2025.0</v>
      </c>
      <c r="B3881" s="1" t="s">
        <v>645</v>
      </c>
      <c r="C3881" s="1">
        <v>686580.0</v>
      </c>
      <c r="D3881" s="1" t="s">
        <v>539</v>
      </c>
      <c r="E3881" s="1" t="s">
        <v>927</v>
      </c>
      <c r="F3881" s="1" t="s">
        <v>927</v>
      </c>
      <c r="G3881" s="1">
        <v>54.0</v>
      </c>
      <c r="H3881" s="1">
        <v>3.679358717</v>
      </c>
      <c r="I3881" s="1">
        <v>5.02</v>
      </c>
      <c r="J3881" s="1">
        <v>1.150753</v>
      </c>
    </row>
    <row r="3882">
      <c r="A3882" s="1">
        <v>2025.0</v>
      </c>
      <c r="B3882" s="1" t="s">
        <v>584</v>
      </c>
      <c r="C3882" s="1">
        <v>657006.0</v>
      </c>
      <c r="D3882" s="1" t="s">
        <v>532</v>
      </c>
      <c r="E3882" s="1" t="s">
        <v>926</v>
      </c>
      <c r="F3882" s="1" t="s">
        <v>926</v>
      </c>
      <c r="G3882" s="1">
        <v>2.0</v>
      </c>
      <c r="H3882" s="1">
        <v>0.144834931</v>
      </c>
      <c r="I3882" s="1">
        <v>5.88</v>
      </c>
      <c r="J3882" s="1">
        <v>0.01086</v>
      </c>
    </row>
    <row r="3883">
      <c r="A3883" s="1">
        <v>2025.0</v>
      </c>
      <c r="B3883" s="1" t="s">
        <v>584</v>
      </c>
      <c r="C3883" s="1">
        <v>657006.0</v>
      </c>
      <c r="D3883" s="1" t="s">
        <v>541</v>
      </c>
      <c r="E3883" s="1" t="s">
        <v>926</v>
      </c>
      <c r="F3883" s="1" t="s">
        <v>926</v>
      </c>
      <c r="G3883" s="1">
        <v>5.0</v>
      </c>
      <c r="H3883" s="1">
        <v>0.362087327</v>
      </c>
      <c r="I3883" s="1">
        <v>5.24</v>
      </c>
      <c r="J3883" s="1">
        <v>0.097351</v>
      </c>
    </row>
    <row r="3884">
      <c r="A3884" s="1">
        <v>2025.0</v>
      </c>
      <c r="B3884" s="1" t="s">
        <v>584</v>
      </c>
      <c r="C3884" s="1">
        <v>657006.0</v>
      </c>
      <c r="D3884" s="1" t="s">
        <v>537</v>
      </c>
      <c r="E3884" s="1" t="s">
        <v>926</v>
      </c>
      <c r="F3884" s="1" t="s">
        <v>926</v>
      </c>
      <c r="G3884" s="1">
        <v>30.0</v>
      </c>
      <c r="H3884" s="1">
        <v>2.172523962</v>
      </c>
      <c r="I3884" s="1">
        <v>4.61</v>
      </c>
      <c r="J3884" s="1">
        <v>0.923692</v>
      </c>
    </row>
    <row r="3885">
      <c r="A3885" s="1">
        <v>2025.0</v>
      </c>
      <c r="B3885" s="1" t="s">
        <v>584</v>
      </c>
      <c r="C3885" s="1">
        <v>657006.0</v>
      </c>
      <c r="D3885" s="1" t="s">
        <v>536</v>
      </c>
      <c r="E3885" s="1" t="s">
        <v>926</v>
      </c>
      <c r="F3885" s="1" t="s">
        <v>926</v>
      </c>
      <c r="G3885" s="1">
        <v>17.0</v>
      </c>
      <c r="H3885" s="1">
        <v>1.231096912</v>
      </c>
      <c r="I3885" s="1">
        <v>4.26</v>
      </c>
      <c r="J3885" s="1">
        <v>0.635878</v>
      </c>
    </row>
    <row r="3886">
      <c r="A3886" s="1">
        <v>2025.0</v>
      </c>
      <c r="B3886" s="1" t="s">
        <v>584</v>
      </c>
      <c r="C3886" s="1">
        <v>657006.0</v>
      </c>
      <c r="D3886" s="1" t="s">
        <v>533</v>
      </c>
      <c r="E3886" s="1" t="s">
        <v>926</v>
      </c>
      <c r="F3886" s="1" t="s">
        <v>926</v>
      </c>
      <c r="G3886" s="1">
        <v>39.0</v>
      </c>
      <c r="H3886" s="1">
        <v>2.82428115</v>
      </c>
      <c r="I3886" s="1">
        <v>5.76</v>
      </c>
      <c r="J3886" s="1">
        <v>0.237878</v>
      </c>
    </row>
    <row r="3887">
      <c r="A3887" s="1">
        <v>2025.0</v>
      </c>
      <c r="B3887" s="1" t="s">
        <v>584</v>
      </c>
      <c r="C3887" s="1">
        <v>657006.0</v>
      </c>
      <c r="D3887" s="1" t="s">
        <v>532</v>
      </c>
      <c r="E3887" s="1" t="s">
        <v>926</v>
      </c>
      <c r="F3887" s="1" t="s">
        <v>927</v>
      </c>
      <c r="G3887" s="1">
        <v>8.0</v>
      </c>
      <c r="H3887" s="1">
        <v>0.579339723</v>
      </c>
      <c r="I3887" s="1">
        <v>4.25</v>
      </c>
      <c r="J3887" s="1">
        <v>0.302655</v>
      </c>
    </row>
    <row r="3888">
      <c r="A3888" s="1">
        <v>2025.0</v>
      </c>
      <c r="B3888" s="1" t="s">
        <v>584</v>
      </c>
      <c r="C3888" s="1">
        <v>657006.0</v>
      </c>
      <c r="D3888" s="1" t="s">
        <v>541</v>
      </c>
      <c r="E3888" s="1" t="s">
        <v>926</v>
      </c>
      <c r="F3888" s="1" t="s">
        <v>927</v>
      </c>
      <c r="G3888" s="1">
        <v>14.0</v>
      </c>
      <c r="H3888" s="1">
        <v>1.013844515</v>
      </c>
      <c r="I3888" s="1">
        <v>4.37</v>
      </c>
      <c r="J3888" s="1">
        <v>0.476284</v>
      </c>
    </row>
    <row r="3889">
      <c r="A3889" s="1">
        <v>2025.0</v>
      </c>
      <c r="B3889" s="1" t="s">
        <v>584</v>
      </c>
      <c r="C3889" s="1">
        <v>657006.0</v>
      </c>
      <c r="D3889" s="1" t="s">
        <v>537</v>
      </c>
      <c r="E3889" s="1" t="s">
        <v>926</v>
      </c>
      <c r="F3889" s="1" t="s">
        <v>927</v>
      </c>
      <c r="G3889" s="1">
        <v>144.0</v>
      </c>
      <c r="H3889" s="1">
        <v>10.42811502</v>
      </c>
      <c r="I3889" s="1">
        <v>5.06</v>
      </c>
      <c r="J3889" s="1">
        <v>3.103227</v>
      </c>
    </row>
    <row r="3890">
      <c r="A3890" s="1">
        <v>2025.0</v>
      </c>
      <c r="B3890" s="1" t="s">
        <v>584</v>
      </c>
      <c r="C3890" s="1">
        <v>657006.0</v>
      </c>
      <c r="D3890" s="1" t="s">
        <v>536</v>
      </c>
      <c r="E3890" s="1" t="s">
        <v>926</v>
      </c>
      <c r="F3890" s="1" t="s">
        <v>927</v>
      </c>
      <c r="G3890" s="1">
        <v>3.0</v>
      </c>
      <c r="H3890" s="1">
        <v>0.217252396</v>
      </c>
      <c r="I3890" s="1">
        <v>5.14</v>
      </c>
      <c r="J3890" s="1">
        <v>0.057639</v>
      </c>
    </row>
    <row r="3891">
      <c r="A3891" s="1">
        <v>2025.0</v>
      </c>
      <c r="B3891" s="1" t="s">
        <v>584</v>
      </c>
      <c r="C3891" s="1">
        <v>657006.0</v>
      </c>
      <c r="D3891" s="1" t="s">
        <v>533</v>
      </c>
      <c r="E3891" s="1" t="s">
        <v>926</v>
      </c>
      <c r="F3891" s="1" t="s">
        <v>927</v>
      </c>
      <c r="G3891" s="1">
        <v>51.0</v>
      </c>
      <c r="H3891" s="1">
        <v>3.693290735</v>
      </c>
      <c r="I3891" s="1">
        <v>4.99</v>
      </c>
      <c r="J3891" s="1">
        <v>1.096558</v>
      </c>
    </row>
    <row r="3892">
      <c r="A3892" s="1">
        <v>2025.0</v>
      </c>
      <c r="B3892" s="1" t="s">
        <v>213</v>
      </c>
      <c r="C3892" s="1">
        <v>686993.0</v>
      </c>
      <c r="D3892" s="1" t="s">
        <v>540</v>
      </c>
      <c r="E3892" s="1" t="s">
        <v>927</v>
      </c>
      <c r="F3892" s="1" t="s">
        <v>926</v>
      </c>
      <c r="G3892" s="1">
        <v>142.0</v>
      </c>
      <c r="H3892" s="1">
        <v>8.475665748</v>
      </c>
      <c r="I3892" s="1">
        <v>5.06</v>
      </c>
      <c r="J3892" s="1">
        <v>3.023061</v>
      </c>
    </row>
    <row r="3893">
      <c r="A3893" s="1">
        <v>2025.0</v>
      </c>
      <c r="B3893" s="1" t="s">
        <v>213</v>
      </c>
      <c r="C3893" s="1">
        <v>686993.0</v>
      </c>
      <c r="D3893" s="1" t="s">
        <v>537</v>
      </c>
      <c r="E3893" s="1" t="s">
        <v>927</v>
      </c>
      <c r="F3893" s="1" t="s">
        <v>926</v>
      </c>
      <c r="G3893" s="1">
        <v>261.0</v>
      </c>
      <c r="H3893" s="1">
        <v>15.5785124</v>
      </c>
      <c r="I3893" s="1">
        <v>5.23</v>
      </c>
      <c r="J3893" s="1">
        <v>4.528783</v>
      </c>
    </row>
    <row r="3894">
      <c r="A3894" s="1">
        <v>2025.0</v>
      </c>
      <c r="B3894" s="1" t="s">
        <v>213</v>
      </c>
      <c r="C3894" s="1">
        <v>686993.0</v>
      </c>
      <c r="D3894" s="1" t="s">
        <v>539</v>
      </c>
      <c r="E3894" s="1" t="s">
        <v>927</v>
      </c>
      <c r="F3894" s="1" t="s">
        <v>926</v>
      </c>
      <c r="G3894" s="1">
        <v>64.0</v>
      </c>
      <c r="H3894" s="1">
        <v>3.820018365</v>
      </c>
      <c r="I3894" s="1">
        <v>4.65</v>
      </c>
      <c r="J3894" s="1">
        <v>1.84122</v>
      </c>
    </row>
    <row r="3895">
      <c r="A3895" s="1">
        <v>2025.0</v>
      </c>
      <c r="B3895" s="1" t="s">
        <v>213</v>
      </c>
      <c r="C3895" s="1">
        <v>686993.0</v>
      </c>
      <c r="D3895" s="1" t="s">
        <v>540</v>
      </c>
      <c r="E3895" s="1" t="s">
        <v>927</v>
      </c>
      <c r="F3895" s="1" t="s">
        <v>927</v>
      </c>
      <c r="G3895" s="1">
        <v>211.0</v>
      </c>
      <c r="H3895" s="1">
        <v>12.59412305</v>
      </c>
      <c r="I3895" s="1">
        <v>4.97</v>
      </c>
      <c r="J3895" s="1">
        <v>4.835203</v>
      </c>
    </row>
    <row r="3896">
      <c r="A3896" s="1">
        <v>2025.0</v>
      </c>
      <c r="B3896" s="1" t="s">
        <v>213</v>
      </c>
      <c r="C3896" s="1">
        <v>686993.0</v>
      </c>
      <c r="D3896" s="1" t="s">
        <v>537</v>
      </c>
      <c r="E3896" s="1" t="s">
        <v>927</v>
      </c>
      <c r="F3896" s="1" t="s">
        <v>927</v>
      </c>
      <c r="G3896" s="1">
        <v>307.0</v>
      </c>
      <c r="H3896" s="1">
        <v>18.3241506</v>
      </c>
      <c r="I3896" s="1">
        <v>5.26</v>
      </c>
      <c r="J3896" s="1">
        <v>5.148596</v>
      </c>
    </row>
    <row r="3897">
      <c r="A3897" s="1">
        <v>2025.0</v>
      </c>
      <c r="B3897" s="1" t="s">
        <v>213</v>
      </c>
      <c r="C3897" s="1">
        <v>686993.0</v>
      </c>
      <c r="D3897" s="1" t="s">
        <v>539</v>
      </c>
      <c r="E3897" s="1" t="s">
        <v>927</v>
      </c>
      <c r="F3897" s="1" t="s">
        <v>927</v>
      </c>
      <c r="G3897" s="1">
        <v>104.0</v>
      </c>
      <c r="H3897" s="1">
        <v>6.207529844</v>
      </c>
      <c r="I3897" s="1">
        <v>5.11</v>
      </c>
      <c r="J3897" s="1">
        <v>2.028316</v>
      </c>
    </row>
    <row r="3898">
      <c r="A3898" s="1">
        <v>2025.0</v>
      </c>
      <c r="B3898" s="1" t="s">
        <v>146</v>
      </c>
      <c r="C3898" s="1">
        <v>623437.0</v>
      </c>
      <c r="D3898" s="1" t="s">
        <v>532</v>
      </c>
      <c r="E3898" s="1" t="s">
        <v>927</v>
      </c>
      <c r="F3898" s="1" t="s">
        <v>926</v>
      </c>
      <c r="G3898" s="1">
        <v>112.0</v>
      </c>
      <c r="H3898" s="1">
        <v>6.857142857</v>
      </c>
      <c r="I3898" s="1">
        <v>4.75</v>
      </c>
      <c r="J3898" s="1">
        <v>3.024954</v>
      </c>
    </row>
    <row r="3899">
      <c r="A3899" s="1">
        <v>2025.0</v>
      </c>
      <c r="B3899" s="1" t="s">
        <v>146</v>
      </c>
      <c r="C3899" s="1">
        <v>623437.0</v>
      </c>
      <c r="D3899" s="1" t="s">
        <v>540</v>
      </c>
      <c r="E3899" s="1" t="s">
        <v>927</v>
      </c>
      <c r="F3899" s="1" t="s">
        <v>926</v>
      </c>
      <c r="G3899" s="1">
        <v>157.0</v>
      </c>
      <c r="H3899" s="1">
        <v>9.612244898</v>
      </c>
      <c r="I3899" s="1">
        <v>5.1</v>
      </c>
      <c r="J3899" s="1">
        <v>3.205811</v>
      </c>
    </row>
    <row r="3900">
      <c r="A3900" s="1">
        <v>2025.0</v>
      </c>
      <c r="B3900" s="1" t="s">
        <v>146</v>
      </c>
      <c r="C3900" s="1">
        <v>623437.0</v>
      </c>
      <c r="D3900" s="1" t="s">
        <v>536</v>
      </c>
      <c r="E3900" s="1" t="s">
        <v>927</v>
      </c>
      <c r="F3900" s="1" t="s">
        <v>926</v>
      </c>
      <c r="G3900" s="1">
        <v>85.0</v>
      </c>
      <c r="H3900" s="1">
        <v>5.204081633</v>
      </c>
      <c r="I3900" s="1">
        <v>5.02</v>
      </c>
      <c r="J3900" s="1">
        <v>1.77392</v>
      </c>
    </row>
    <row r="3901">
      <c r="A3901" s="1">
        <v>2025.0</v>
      </c>
      <c r="B3901" s="1" t="s">
        <v>146</v>
      </c>
      <c r="C3901" s="1">
        <v>623437.0</v>
      </c>
      <c r="D3901" s="1" t="s">
        <v>539</v>
      </c>
      <c r="E3901" s="1" t="s">
        <v>927</v>
      </c>
      <c r="F3901" s="1" t="s">
        <v>926</v>
      </c>
      <c r="G3901" s="1">
        <v>99.0</v>
      </c>
      <c r="H3901" s="1">
        <v>6.06122449</v>
      </c>
      <c r="I3901" s="1">
        <v>5.11</v>
      </c>
      <c r="J3901" s="1">
        <v>1.980904</v>
      </c>
    </row>
    <row r="3902">
      <c r="A3902" s="1">
        <v>2025.0</v>
      </c>
      <c r="B3902" s="1" t="s">
        <v>146</v>
      </c>
      <c r="C3902" s="1">
        <v>623437.0</v>
      </c>
      <c r="D3902" s="1" t="s">
        <v>532</v>
      </c>
      <c r="E3902" s="1" t="s">
        <v>927</v>
      </c>
      <c r="F3902" s="1" t="s">
        <v>927</v>
      </c>
      <c r="G3902" s="1">
        <v>35.0</v>
      </c>
      <c r="H3902" s="1">
        <v>2.142857143</v>
      </c>
      <c r="I3902" s="1">
        <v>5.43</v>
      </c>
      <c r="J3902" s="1">
        <v>0.482308</v>
      </c>
    </row>
    <row r="3903">
      <c r="A3903" s="1">
        <v>2025.0</v>
      </c>
      <c r="B3903" s="1" t="s">
        <v>146</v>
      </c>
      <c r="C3903" s="1">
        <v>623437.0</v>
      </c>
      <c r="D3903" s="1" t="s">
        <v>540</v>
      </c>
      <c r="E3903" s="1" t="s">
        <v>927</v>
      </c>
      <c r="F3903" s="1" t="s">
        <v>927</v>
      </c>
      <c r="G3903" s="1">
        <v>39.0</v>
      </c>
      <c r="H3903" s="1">
        <v>2.387755102</v>
      </c>
      <c r="I3903" s="1">
        <v>5.15</v>
      </c>
      <c r="J3903" s="1">
        <v>0.749978</v>
      </c>
    </row>
    <row r="3904">
      <c r="A3904" s="1">
        <v>2025.0</v>
      </c>
      <c r="B3904" s="1" t="s">
        <v>146</v>
      </c>
      <c r="C3904" s="1">
        <v>623437.0</v>
      </c>
      <c r="D3904" s="1" t="s">
        <v>536</v>
      </c>
      <c r="E3904" s="1" t="s">
        <v>927</v>
      </c>
      <c r="F3904" s="1" t="s">
        <v>927</v>
      </c>
      <c r="G3904" s="1">
        <v>265.0</v>
      </c>
      <c r="H3904" s="1">
        <v>16.2244898</v>
      </c>
      <c r="I3904" s="1">
        <v>5.41</v>
      </c>
      <c r="J3904" s="1">
        <v>3.722773</v>
      </c>
    </row>
    <row r="3905">
      <c r="A3905" s="1">
        <v>2025.0</v>
      </c>
      <c r="B3905" s="1" t="s">
        <v>146</v>
      </c>
      <c r="C3905" s="1">
        <v>623437.0</v>
      </c>
      <c r="D3905" s="1" t="s">
        <v>539</v>
      </c>
      <c r="E3905" s="1" t="s">
        <v>927</v>
      </c>
      <c r="F3905" s="1" t="s">
        <v>927</v>
      </c>
      <c r="G3905" s="1">
        <v>188.0</v>
      </c>
      <c r="H3905" s="1">
        <v>11.51020408</v>
      </c>
      <c r="I3905" s="1">
        <v>5.08</v>
      </c>
      <c r="J3905" s="1">
        <v>3.730162</v>
      </c>
    </row>
    <row r="3906">
      <c r="A3906" s="1">
        <v>2025.0</v>
      </c>
      <c r="B3906" s="1" t="s">
        <v>358</v>
      </c>
      <c r="C3906" s="1">
        <v>434378.0</v>
      </c>
      <c r="D3906" s="1" t="s">
        <v>532</v>
      </c>
      <c r="E3906" s="1" t="s">
        <v>927</v>
      </c>
      <c r="F3906" s="1" t="s">
        <v>926</v>
      </c>
      <c r="G3906" s="1">
        <v>185.0</v>
      </c>
      <c r="H3906" s="1">
        <v>10.78220859</v>
      </c>
      <c r="I3906" s="1">
        <v>4.79</v>
      </c>
      <c r="J3906" s="1">
        <v>4.948239</v>
      </c>
    </row>
    <row r="3907">
      <c r="A3907" s="1">
        <v>2025.0</v>
      </c>
      <c r="B3907" s="1" t="s">
        <v>358</v>
      </c>
      <c r="C3907" s="1">
        <v>434378.0</v>
      </c>
      <c r="D3907" s="1" t="s">
        <v>541</v>
      </c>
      <c r="E3907" s="1" t="s">
        <v>927</v>
      </c>
      <c r="F3907" s="1" t="s">
        <v>926</v>
      </c>
      <c r="G3907" s="1">
        <v>200.0</v>
      </c>
      <c r="H3907" s="1">
        <v>11.65644172</v>
      </c>
      <c r="I3907" s="1">
        <v>4.88</v>
      </c>
      <c r="J3907" s="1">
        <v>4.963125</v>
      </c>
    </row>
    <row r="3908">
      <c r="A3908" s="1">
        <v>2025.0</v>
      </c>
      <c r="B3908" s="1" t="s">
        <v>358</v>
      </c>
      <c r="C3908" s="1">
        <v>434378.0</v>
      </c>
      <c r="D3908" s="1" t="s">
        <v>537</v>
      </c>
      <c r="E3908" s="1" t="s">
        <v>927</v>
      </c>
      <c r="F3908" s="1" t="s">
        <v>926</v>
      </c>
      <c r="G3908" s="1">
        <v>557.0</v>
      </c>
      <c r="H3908" s="1">
        <v>32.46319018</v>
      </c>
      <c r="I3908" s="1">
        <v>4.87</v>
      </c>
      <c r="J3908" s="1">
        <v>13.986104</v>
      </c>
    </row>
    <row r="3909">
      <c r="A3909" s="1">
        <v>2025.0</v>
      </c>
      <c r="B3909" s="1" t="s">
        <v>358</v>
      </c>
      <c r="C3909" s="1">
        <v>434378.0</v>
      </c>
      <c r="D3909" s="1" t="s">
        <v>536</v>
      </c>
      <c r="E3909" s="1" t="s">
        <v>927</v>
      </c>
      <c r="F3909" s="1" t="s">
        <v>926</v>
      </c>
      <c r="G3909" s="1">
        <v>2.0</v>
      </c>
      <c r="H3909" s="1">
        <v>0.116564417</v>
      </c>
      <c r="I3909" s="1">
        <v>6.36</v>
      </c>
      <c r="J3909" s="1">
        <v>-0.006432</v>
      </c>
    </row>
    <row r="3910">
      <c r="A3910" s="1">
        <v>2025.0</v>
      </c>
      <c r="B3910" s="1" t="s">
        <v>358</v>
      </c>
      <c r="C3910" s="1">
        <v>434378.0</v>
      </c>
      <c r="D3910" s="1" t="s">
        <v>533</v>
      </c>
      <c r="E3910" s="1" t="s">
        <v>927</v>
      </c>
      <c r="F3910" s="1" t="s">
        <v>926</v>
      </c>
      <c r="G3910" s="1">
        <v>324.0</v>
      </c>
      <c r="H3910" s="1">
        <v>18.88343558</v>
      </c>
      <c r="I3910" s="1">
        <v>5.18</v>
      </c>
      <c r="J3910" s="1">
        <v>5.943006</v>
      </c>
    </row>
    <row r="3911">
      <c r="A3911" s="1">
        <v>2025.0</v>
      </c>
      <c r="B3911" s="1" t="s">
        <v>358</v>
      </c>
      <c r="C3911" s="1">
        <v>434378.0</v>
      </c>
      <c r="D3911" s="1" t="s">
        <v>539</v>
      </c>
      <c r="E3911" s="1" t="s">
        <v>927</v>
      </c>
      <c r="F3911" s="1" t="s">
        <v>926</v>
      </c>
      <c r="G3911" s="1">
        <v>41.0</v>
      </c>
      <c r="H3911" s="1">
        <v>2.389570552</v>
      </c>
      <c r="I3911" s="1">
        <v>5.4</v>
      </c>
      <c r="J3911" s="1">
        <v>0.523021</v>
      </c>
    </row>
    <row r="3912">
      <c r="A3912" s="1">
        <v>2025.0</v>
      </c>
      <c r="B3912" s="1" t="s">
        <v>358</v>
      </c>
      <c r="C3912" s="1">
        <v>434378.0</v>
      </c>
      <c r="D3912" s="1" t="s">
        <v>532</v>
      </c>
      <c r="E3912" s="1" t="s">
        <v>927</v>
      </c>
      <c r="F3912" s="1" t="s">
        <v>927</v>
      </c>
      <c r="G3912" s="1">
        <v>37.0</v>
      </c>
      <c r="H3912" s="1">
        <v>2.156441718</v>
      </c>
      <c r="I3912" s="1">
        <v>4.72</v>
      </c>
      <c r="J3912" s="1">
        <v>0.981409</v>
      </c>
    </row>
    <row r="3913">
      <c r="A3913" s="1">
        <v>2025.0</v>
      </c>
      <c r="B3913" s="1" t="s">
        <v>358</v>
      </c>
      <c r="C3913" s="1">
        <v>434378.0</v>
      </c>
      <c r="D3913" s="1" t="s">
        <v>541</v>
      </c>
      <c r="E3913" s="1" t="s">
        <v>927</v>
      </c>
      <c r="F3913" s="1" t="s">
        <v>927</v>
      </c>
      <c r="G3913" s="1">
        <v>183.0</v>
      </c>
      <c r="H3913" s="1">
        <v>10.66564417</v>
      </c>
      <c r="I3913" s="1">
        <v>4.99</v>
      </c>
      <c r="J3913" s="1">
        <v>4.178752</v>
      </c>
    </row>
    <row r="3914">
      <c r="A3914" s="1">
        <v>2025.0</v>
      </c>
      <c r="B3914" s="1" t="s">
        <v>358</v>
      </c>
      <c r="C3914" s="1">
        <v>434378.0</v>
      </c>
      <c r="D3914" s="1" t="s">
        <v>537</v>
      </c>
      <c r="E3914" s="1" t="s">
        <v>927</v>
      </c>
      <c r="F3914" s="1" t="s">
        <v>927</v>
      </c>
      <c r="G3914" s="1">
        <v>626.0</v>
      </c>
      <c r="H3914" s="1">
        <v>36.48466258</v>
      </c>
      <c r="I3914" s="1">
        <v>4.95</v>
      </c>
      <c r="J3914" s="1">
        <v>14.710185</v>
      </c>
    </row>
    <row r="3915">
      <c r="A3915" s="1">
        <v>2025.0</v>
      </c>
      <c r="B3915" s="1" t="s">
        <v>358</v>
      </c>
      <c r="C3915" s="1">
        <v>434378.0</v>
      </c>
      <c r="D3915" s="1" t="s">
        <v>536</v>
      </c>
      <c r="E3915" s="1" t="s">
        <v>927</v>
      </c>
      <c r="F3915" s="1" t="s">
        <v>927</v>
      </c>
      <c r="G3915" s="1">
        <v>7.0</v>
      </c>
      <c r="H3915" s="1">
        <v>0.40797546</v>
      </c>
      <c r="I3915" s="1">
        <v>3.26</v>
      </c>
      <c r="J3915" s="1">
        <v>0.39305</v>
      </c>
    </row>
    <row r="3916">
      <c r="A3916" s="1">
        <v>2025.0</v>
      </c>
      <c r="B3916" s="1" t="s">
        <v>358</v>
      </c>
      <c r="C3916" s="1">
        <v>434378.0</v>
      </c>
      <c r="D3916" s="1" t="s">
        <v>533</v>
      </c>
      <c r="E3916" s="1" t="s">
        <v>927</v>
      </c>
      <c r="F3916" s="1" t="s">
        <v>927</v>
      </c>
      <c r="G3916" s="1">
        <v>288.0</v>
      </c>
      <c r="H3916" s="1">
        <v>16.78527607</v>
      </c>
      <c r="I3916" s="1">
        <v>5.21</v>
      </c>
      <c r="J3916" s="1">
        <v>5.157647</v>
      </c>
    </row>
    <row r="3917">
      <c r="A3917" s="1">
        <v>2025.0</v>
      </c>
      <c r="B3917" s="1" t="s">
        <v>358</v>
      </c>
      <c r="C3917" s="1">
        <v>434378.0</v>
      </c>
      <c r="D3917" s="1" t="s">
        <v>539</v>
      </c>
      <c r="E3917" s="1" t="s">
        <v>927</v>
      </c>
      <c r="F3917" s="1" t="s">
        <v>927</v>
      </c>
      <c r="G3917" s="1">
        <v>158.0</v>
      </c>
      <c r="H3917" s="1">
        <v>9.208588957</v>
      </c>
      <c r="I3917" s="1">
        <v>5.07</v>
      </c>
      <c r="J3917" s="1">
        <v>3.176454</v>
      </c>
    </row>
    <row r="3918">
      <c r="A3918" s="1">
        <v>2025.0</v>
      </c>
      <c r="B3918" s="1" t="s">
        <v>230</v>
      </c>
      <c r="C3918" s="1">
        <v>458677.0</v>
      </c>
      <c r="D3918" s="1" t="s">
        <v>540</v>
      </c>
      <c r="E3918" s="1" t="s">
        <v>926</v>
      </c>
      <c r="F3918" s="1" t="s">
        <v>926</v>
      </c>
      <c r="G3918" s="1">
        <v>61.0</v>
      </c>
      <c r="H3918" s="1">
        <v>3.613153595</v>
      </c>
      <c r="I3918" s="1">
        <v>4.89</v>
      </c>
      <c r="J3918" s="1">
        <v>1.562241</v>
      </c>
    </row>
    <row r="3919">
      <c r="A3919" s="1">
        <v>2025.0</v>
      </c>
      <c r="B3919" s="1" t="s">
        <v>230</v>
      </c>
      <c r="C3919" s="1">
        <v>458677.0</v>
      </c>
      <c r="D3919" s="1" t="s">
        <v>537</v>
      </c>
      <c r="E3919" s="1" t="s">
        <v>926</v>
      </c>
      <c r="F3919" s="1" t="s">
        <v>926</v>
      </c>
      <c r="G3919" s="1">
        <v>208.0</v>
      </c>
      <c r="H3919" s="1">
        <v>12.32026144</v>
      </c>
      <c r="I3919" s="1">
        <v>5.21</v>
      </c>
      <c r="J3919" s="1">
        <v>3.753659</v>
      </c>
    </row>
    <row r="3920">
      <c r="A3920" s="1">
        <v>2025.0</v>
      </c>
      <c r="B3920" s="1" t="s">
        <v>230</v>
      </c>
      <c r="C3920" s="1">
        <v>458677.0</v>
      </c>
      <c r="D3920" s="1" t="s">
        <v>538</v>
      </c>
      <c r="E3920" s="1" t="s">
        <v>926</v>
      </c>
      <c r="F3920" s="1" t="s">
        <v>926</v>
      </c>
      <c r="G3920" s="1">
        <v>2.0</v>
      </c>
      <c r="H3920" s="1">
        <v>0.118464052</v>
      </c>
      <c r="I3920" s="1">
        <v>7.23</v>
      </c>
      <c r="J3920" s="1">
        <v>-0.05896</v>
      </c>
    </row>
    <row r="3921">
      <c r="A3921" s="1">
        <v>2025.0</v>
      </c>
      <c r="B3921" s="1" t="s">
        <v>230</v>
      </c>
      <c r="C3921" s="1">
        <v>458677.0</v>
      </c>
      <c r="D3921" s="1" t="s">
        <v>533</v>
      </c>
      <c r="E3921" s="1" t="s">
        <v>926</v>
      </c>
      <c r="F3921" s="1" t="s">
        <v>926</v>
      </c>
      <c r="G3921" s="1">
        <v>139.0</v>
      </c>
      <c r="H3921" s="1">
        <v>8.233251634</v>
      </c>
      <c r="I3921" s="1">
        <v>5.26</v>
      </c>
      <c r="J3921" s="1">
        <v>2.217988</v>
      </c>
    </row>
    <row r="3922">
      <c r="A3922" s="1">
        <v>2025.0</v>
      </c>
      <c r="B3922" s="1" t="s">
        <v>230</v>
      </c>
      <c r="C3922" s="1">
        <v>458677.0</v>
      </c>
      <c r="D3922" s="1" t="s">
        <v>540</v>
      </c>
      <c r="E3922" s="1" t="s">
        <v>926</v>
      </c>
      <c r="F3922" s="1" t="s">
        <v>927</v>
      </c>
      <c r="G3922" s="1">
        <v>60.0</v>
      </c>
      <c r="H3922" s="1">
        <v>3.553921569</v>
      </c>
      <c r="I3922" s="1">
        <v>5.21</v>
      </c>
      <c r="J3922" s="1">
        <v>1.147333</v>
      </c>
    </row>
    <row r="3923">
      <c r="A3923" s="1">
        <v>2025.0</v>
      </c>
      <c r="B3923" s="1" t="s">
        <v>230</v>
      </c>
      <c r="C3923" s="1">
        <v>458677.0</v>
      </c>
      <c r="D3923" s="1" t="s">
        <v>537</v>
      </c>
      <c r="E3923" s="1" t="s">
        <v>926</v>
      </c>
      <c r="F3923" s="1" t="s">
        <v>927</v>
      </c>
      <c r="G3923" s="1">
        <v>174.0</v>
      </c>
      <c r="H3923" s="1">
        <v>10.30637255</v>
      </c>
      <c r="I3923" s="1">
        <v>5.04</v>
      </c>
      <c r="J3923" s="1">
        <v>3.722258</v>
      </c>
    </row>
    <row r="3924">
      <c r="A3924" s="1">
        <v>2025.0</v>
      </c>
      <c r="B3924" s="1" t="s">
        <v>230</v>
      </c>
      <c r="C3924" s="1">
        <v>458677.0</v>
      </c>
      <c r="D3924" s="1" t="s">
        <v>538</v>
      </c>
      <c r="E3924" s="1" t="s">
        <v>926</v>
      </c>
      <c r="F3924" s="1" t="s">
        <v>927</v>
      </c>
      <c r="G3924" s="1">
        <v>39.0</v>
      </c>
      <c r="H3924" s="1">
        <v>2.31004902</v>
      </c>
      <c r="I3924" s="1">
        <v>4.59</v>
      </c>
      <c r="J3924" s="1">
        <v>1.136796</v>
      </c>
    </row>
    <row r="3925">
      <c r="A3925" s="1">
        <v>2025.0</v>
      </c>
      <c r="B3925" s="1" t="s">
        <v>230</v>
      </c>
      <c r="C3925" s="1">
        <v>458677.0</v>
      </c>
      <c r="D3925" s="1" t="s">
        <v>533</v>
      </c>
      <c r="E3925" s="1" t="s">
        <v>926</v>
      </c>
      <c r="F3925" s="1" t="s">
        <v>927</v>
      </c>
      <c r="G3925" s="1">
        <v>133.0</v>
      </c>
      <c r="H3925" s="1">
        <v>7.877859477</v>
      </c>
      <c r="I3925" s="1">
        <v>5.06</v>
      </c>
      <c r="J3925" s="1">
        <v>2.780356</v>
      </c>
    </row>
    <row r="3926">
      <c r="A3926" s="1">
        <v>2025.0</v>
      </c>
      <c r="B3926" s="1" t="s">
        <v>198</v>
      </c>
      <c r="C3926" s="1">
        <v>680736.0</v>
      </c>
      <c r="D3926" s="1" t="s">
        <v>532</v>
      </c>
      <c r="E3926" s="1" t="s">
        <v>926</v>
      </c>
      <c r="F3926" s="1" t="s">
        <v>926</v>
      </c>
      <c r="G3926" s="1">
        <v>1.0</v>
      </c>
      <c r="H3926" s="1">
        <v>0.06116208</v>
      </c>
      <c r="I3926" s="1">
        <v>5.05</v>
      </c>
      <c r="J3926" s="1">
        <v>0.021564</v>
      </c>
    </row>
    <row r="3927">
      <c r="A3927" s="1">
        <v>2025.0</v>
      </c>
      <c r="B3927" s="1" t="s">
        <v>198</v>
      </c>
      <c r="C3927" s="1">
        <v>680736.0</v>
      </c>
      <c r="D3927" s="1" t="s">
        <v>541</v>
      </c>
      <c r="E3927" s="1" t="s">
        <v>926</v>
      </c>
      <c r="F3927" s="1" t="s">
        <v>926</v>
      </c>
      <c r="G3927" s="1">
        <v>18.0</v>
      </c>
      <c r="H3927" s="1">
        <v>1.100917431</v>
      </c>
      <c r="I3927" s="1">
        <v>4.56</v>
      </c>
      <c r="J3927" s="1">
        <v>0.545643</v>
      </c>
    </row>
    <row r="3928">
      <c r="A3928" s="1">
        <v>2025.0</v>
      </c>
      <c r="B3928" s="1" t="s">
        <v>198</v>
      </c>
      <c r="C3928" s="1">
        <v>680736.0</v>
      </c>
      <c r="D3928" s="1" t="s">
        <v>540</v>
      </c>
      <c r="E3928" s="1" t="s">
        <v>926</v>
      </c>
      <c r="F3928" s="1" t="s">
        <v>926</v>
      </c>
      <c r="G3928" s="1">
        <v>9.0</v>
      </c>
      <c r="H3928" s="1">
        <v>0.550458716</v>
      </c>
      <c r="I3928" s="1">
        <v>4.53</v>
      </c>
      <c r="J3928" s="1">
        <v>0.300881</v>
      </c>
    </row>
    <row r="3929">
      <c r="A3929" s="1">
        <v>2025.0</v>
      </c>
      <c r="B3929" s="1" t="s">
        <v>198</v>
      </c>
      <c r="C3929" s="1">
        <v>680736.0</v>
      </c>
      <c r="D3929" s="1" t="s">
        <v>537</v>
      </c>
      <c r="E3929" s="1" t="s">
        <v>926</v>
      </c>
      <c r="F3929" s="1" t="s">
        <v>926</v>
      </c>
      <c r="G3929" s="1">
        <v>54.0</v>
      </c>
      <c r="H3929" s="1">
        <v>3.302752294</v>
      </c>
      <c r="I3929" s="1">
        <v>5.03</v>
      </c>
      <c r="J3929" s="1">
        <v>1.161233</v>
      </c>
    </row>
    <row r="3930">
      <c r="A3930" s="1">
        <v>2025.0</v>
      </c>
      <c r="B3930" s="1" t="s">
        <v>198</v>
      </c>
      <c r="C3930" s="1">
        <v>680736.0</v>
      </c>
      <c r="D3930" s="1" t="s">
        <v>536</v>
      </c>
      <c r="E3930" s="1" t="s">
        <v>926</v>
      </c>
      <c r="F3930" s="1" t="s">
        <v>926</v>
      </c>
      <c r="G3930" s="1">
        <v>111.0</v>
      </c>
      <c r="H3930" s="1">
        <v>6.788990826</v>
      </c>
      <c r="I3930" s="1">
        <v>5.18</v>
      </c>
      <c r="J3930" s="1">
        <v>2.082818</v>
      </c>
    </row>
    <row r="3931">
      <c r="A3931" s="1">
        <v>2025.0</v>
      </c>
      <c r="B3931" s="1" t="s">
        <v>198</v>
      </c>
      <c r="C3931" s="1">
        <v>680736.0</v>
      </c>
      <c r="D3931" s="1" t="s">
        <v>533</v>
      </c>
      <c r="E3931" s="1" t="s">
        <v>926</v>
      </c>
      <c r="F3931" s="1" t="s">
        <v>926</v>
      </c>
      <c r="G3931" s="1">
        <v>106.0</v>
      </c>
      <c r="H3931" s="1">
        <v>6.483180428</v>
      </c>
      <c r="I3931" s="1">
        <v>5.15</v>
      </c>
      <c r="J3931" s="1">
        <v>1.913204</v>
      </c>
    </row>
    <row r="3932">
      <c r="A3932" s="1">
        <v>2025.0</v>
      </c>
      <c r="B3932" s="1" t="s">
        <v>198</v>
      </c>
      <c r="C3932" s="1">
        <v>680736.0</v>
      </c>
      <c r="D3932" s="1" t="s">
        <v>532</v>
      </c>
      <c r="E3932" s="1" t="s">
        <v>926</v>
      </c>
      <c r="F3932" s="1" t="s">
        <v>927</v>
      </c>
      <c r="G3932" s="1">
        <v>35.0</v>
      </c>
      <c r="H3932" s="1">
        <v>2.140672783</v>
      </c>
      <c r="I3932" s="1">
        <v>4.03</v>
      </c>
      <c r="J3932" s="1">
        <v>1.426125</v>
      </c>
    </row>
    <row r="3933">
      <c r="A3933" s="1">
        <v>2025.0</v>
      </c>
      <c r="B3933" s="1" t="s">
        <v>198</v>
      </c>
      <c r="C3933" s="1">
        <v>680736.0</v>
      </c>
      <c r="D3933" s="1" t="s">
        <v>541</v>
      </c>
      <c r="E3933" s="1" t="s">
        <v>926</v>
      </c>
      <c r="F3933" s="1" t="s">
        <v>927</v>
      </c>
      <c r="G3933" s="1">
        <v>76.0</v>
      </c>
      <c r="H3933" s="1">
        <v>4.648318043</v>
      </c>
      <c r="I3933" s="1">
        <v>5.15</v>
      </c>
      <c r="J3933" s="1">
        <v>1.433846</v>
      </c>
    </row>
    <row r="3934">
      <c r="A3934" s="1">
        <v>2025.0</v>
      </c>
      <c r="B3934" s="1" t="s">
        <v>198</v>
      </c>
      <c r="C3934" s="1">
        <v>680736.0</v>
      </c>
      <c r="D3934" s="1" t="s">
        <v>540</v>
      </c>
      <c r="E3934" s="1" t="s">
        <v>926</v>
      </c>
      <c r="F3934" s="1" t="s">
        <v>927</v>
      </c>
      <c r="G3934" s="1">
        <v>145.0</v>
      </c>
      <c r="H3934" s="1">
        <v>8.868501529</v>
      </c>
      <c r="I3934" s="1">
        <v>5.17</v>
      </c>
      <c r="J3934" s="1">
        <v>2.830048</v>
      </c>
    </row>
    <row r="3935">
      <c r="A3935" s="1">
        <v>2025.0</v>
      </c>
      <c r="B3935" s="1" t="s">
        <v>198</v>
      </c>
      <c r="C3935" s="1">
        <v>680736.0</v>
      </c>
      <c r="D3935" s="1" t="s">
        <v>537</v>
      </c>
      <c r="E3935" s="1" t="s">
        <v>926</v>
      </c>
      <c r="F3935" s="1" t="s">
        <v>927</v>
      </c>
      <c r="G3935" s="1">
        <v>256.0</v>
      </c>
      <c r="H3935" s="1">
        <v>15.65749235</v>
      </c>
      <c r="I3935" s="1">
        <v>5.14</v>
      </c>
      <c r="J3935" s="1">
        <v>4.832285</v>
      </c>
    </row>
    <row r="3936">
      <c r="A3936" s="1">
        <v>2025.0</v>
      </c>
      <c r="B3936" s="1" t="s">
        <v>198</v>
      </c>
      <c r="C3936" s="1">
        <v>680736.0</v>
      </c>
      <c r="D3936" s="1" t="s">
        <v>536</v>
      </c>
      <c r="E3936" s="1" t="s">
        <v>926</v>
      </c>
      <c r="F3936" s="1" t="s">
        <v>927</v>
      </c>
      <c r="G3936" s="1">
        <v>114.0</v>
      </c>
      <c r="H3936" s="1">
        <v>6.972477064</v>
      </c>
      <c r="I3936" s="1">
        <v>5.25</v>
      </c>
      <c r="J3936" s="1">
        <v>2.212271</v>
      </c>
    </row>
    <row r="3937">
      <c r="A3937" s="1">
        <v>2025.0</v>
      </c>
      <c r="B3937" s="1" t="s">
        <v>198</v>
      </c>
      <c r="C3937" s="1">
        <v>680736.0</v>
      </c>
      <c r="D3937" s="1" t="s">
        <v>533</v>
      </c>
      <c r="E3937" s="1" t="s">
        <v>926</v>
      </c>
      <c r="F3937" s="1" t="s">
        <v>927</v>
      </c>
      <c r="G3937" s="1">
        <v>165.0</v>
      </c>
      <c r="H3937" s="1">
        <v>10.09174312</v>
      </c>
      <c r="I3937" s="1">
        <v>5.19</v>
      </c>
      <c r="J3937" s="1">
        <v>2.884453</v>
      </c>
    </row>
    <row r="3938">
      <c r="A3938" s="1">
        <v>2025.0</v>
      </c>
      <c r="B3938" s="1" t="s">
        <v>758</v>
      </c>
      <c r="C3938" s="1">
        <v>669704.0</v>
      </c>
      <c r="D3938" s="1" t="s">
        <v>541</v>
      </c>
      <c r="E3938" s="1" t="s">
        <v>927</v>
      </c>
      <c r="F3938" s="1" t="s">
        <v>926</v>
      </c>
      <c r="G3938" s="1">
        <v>44.0</v>
      </c>
      <c r="H3938" s="1">
        <v>2.853858785</v>
      </c>
      <c r="I3938" s="1">
        <v>4.84</v>
      </c>
      <c r="J3938" s="1">
        <v>1.090935</v>
      </c>
    </row>
    <row r="3939">
      <c r="A3939" s="1">
        <v>2025.0</v>
      </c>
      <c r="B3939" s="1" t="s">
        <v>758</v>
      </c>
      <c r="C3939" s="1">
        <v>669704.0</v>
      </c>
      <c r="D3939" s="1" t="s">
        <v>540</v>
      </c>
      <c r="E3939" s="1" t="s">
        <v>927</v>
      </c>
      <c r="F3939" s="1" t="s">
        <v>926</v>
      </c>
      <c r="G3939" s="1">
        <v>64.0</v>
      </c>
      <c r="H3939" s="1">
        <v>4.151067323</v>
      </c>
      <c r="I3939" s="1">
        <v>5.2</v>
      </c>
      <c r="J3939" s="1">
        <v>1.166016</v>
      </c>
    </row>
    <row r="3940">
      <c r="A3940" s="1">
        <v>2025.0</v>
      </c>
      <c r="B3940" s="1" t="s">
        <v>758</v>
      </c>
      <c r="C3940" s="1">
        <v>669704.0</v>
      </c>
      <c r="D3940" s="1" t="s">
        <v>537</v>
      </c>
      <c r="E3940" s="1" t="s">
        <v>927</v>
      </c>
      <c r="F3940" s="1" t="s">
        <v>926</v>
      </c>
      <c r="G3940" s="1">
        <v>41.0</v>
      </c>
      <c r="H3940" s="1">
        <v>2.659277504</v>
      </c>
      <c r="I3940" s="1">
        <v>4.65</v>
      </c>
      <c r="J3940" s="1">
        <v>1.18825</v>
      </c>
    </row>
    <row r="3941">
      <c r="A3941" s="1">
        <v>2025.0</v>
      </c>
      <c r="B3941" s="1" t="s">
        <v>758</v>
      </c>
      <c r="C3941" s="1">
        <v>669704.0</v>
      </c>
      <c r="D3941" s="1" t="s">
        <v>536</v>
      </c>
      <c r="E3941" s="1" t="s">
        <v>927</v>
      </c>
      <c r="F3941" s="1" t="s">
        <v>926</v>
      </c>
      <c r="G3941" s="1">
        <v>10.0</v>
      </c>
      <c r="H3941" s="1">
        <v>0.648604269</v>
      </c>
      <c r="I3941" s="1">
        <v>3.59</v>
      </c>
      <c r="J3941" s="1">
        <v>0.498719</v>
      </c>
    </row>
    <row r="3942">
      <c r="A3942" s="1">
        <v>2025.0</v>
      </c>
      <c r="B3942" s="1" t="s">
        <v>758</v>
      </c>
      <c r="C3942" s="1">
        <v>669704.0</v>
      </c>
      <c r="D3942" s="1" t="s">
        <v>539</v>
      </c>
      <c r="E3942" s="1" t="s">
        <v>927</v>
      </c>
      <c r="F3942" s="1" t="s">
        <v>926</v>
      </c>
      <c r="G3942" s="1">
        <v>1.0</v>
      </c>
      <c r="H3942" s="1">
        <v>0.064860427</v>
      </c>
      <c r="I3942" s="1">
        <v>7.63</v>
      </c>
      <c r="J3942" s="1">
        <v>-0.037781</v>
      </c>
    </row>
    <row r="3943">
      <c r="A3943" s="1">
        <v>2025.0</v>
      </c>
      <c r="B3943" s="1" t="s">
        <v>758</v>
      </c>
      <c r="C3943" s="1">
        <v>669704.0</v>
      </c>
      <c r="D3943" s="1" t="s">
        <v>541</v>
      </c>
      <c r="E3943" s="1" t="s">
        <v>927</v>
      </c>
      <c r="F3943" s="1" t="s">
        <v>927</v>
      </c>
      <c r="G3943" s="1">
        <v>8.0</v>
      </c>
      <c r="H3943" s="1">
        <v>0.518883415</v>
      </c>
      <c r="I3943" s="1">
        <v>4.77</v>
      </c>
      <c r="J3943" s="1">
        <v>0.204099</v>
      </c>
    </row>
    <row r="3944">
      <c r="A3944" s="1">
        <v>2025.0</v>
      </c>
      <c r="B3944" s="1" t="s">
        <v>758</v>
      </c>
      <c r="C3944" s="1">
        <v>669704.0</v>
      </c>
      <c r="D3944" s="1" t="s">
        <v>540</v>
      </c>
      <c r="E3944" s="1" t="s">
        <v>927</v>
      </c>
      <c r="F3944" s="1" t="s">
        <v>927</v>
      </c>
      <c r="G3944" s="1">
        <v>103.0</v>
      </c>
      <c r="H3944" s="1">
        <v>6.680623974</v>
      </c>
      <c r="I3944" s="1">
        <v>5.11</v>
      </c>
      <c r="J3944" s="1">
        <v>2.09803</v>
      </c>
    </row>
    <row r="3945">
      <c r="A3945" s="1">
        <v>2025.0</v>
      </c>
      <c r="B3945" s="1" t="s">
        <v>758</v>
      </c>
      <c r="C3945" s="1">
        <v>669704.0</v>
      </c>
      <c r="D3945" s="1" t="s">
        <v>537</v>
      </c>
      <c r="E3945" s="1" t="s">
        <v>927</v>
      </c>
      <c r="F3945" s="1" t="s">
        <v>927</v>
      </c>
      <c r="G3945" s="1">
        <v>34.0</v>
      </c>
      <c r="H3945" s="1">
        <v>2.205254516</v>
      </c>
      <c r="I3945" s="1">
        <v>4.95</v>
      </c>
      <c r="J3945" s="1">
        <v>0.818233</v>
      </c>
    </row>
    <row r="3946">
      <c r="A3946" s="1">
        <v>2025.0</v>
      </c>
      <c r="B3946" s="1" t="s">
        <v>758</v>
      </c>
      <c r="C3946" s="1">
        <v>669704.0</v>
      </c>
      <c r="D3946" s="1" t="s">
        <v>536</v>
      </c>
      <c r="E3946" s="1" t="s">
        <v>927</v>
      </c>
      <c r="F3946" s="1" t="s">
        <v>927</v>
      </c>
      <c r="G3946" s="1">
        <v>51.0</v>
      </c>
      <c r="H3946" s="1">
        <v>3.307881773</v>
      </c>
      <c r="I3946" s="1">
        <v>4.49</v>
      </c>
      <c r="J3946" s="1">
        <v>1.685789</v>
      </c>
    </row>
    <row r="3947">
      <c r="A3947" s="1">
        <v>2025.0</v>
      </c>
      <c r="B3947" s="1" t="s">
        <v>758</v>
      </c>
      <c r="C3947" s="1">
        <v>669704.0</v>
      </c>
      <c r="D3947" s="1" t="s">
        <v>539</v>
      </c>
      <c r="E3947" s="1" t="s">
        <v>927</v>
      </c>
      <c r="F3947" s="1" t="s">
        <v>927</v>
      </c>
      <c r="G3947" s="1">
        <v>50.0</v>
      </c>
      <c r="H3947" s="1">
        <v>3.243021346</v>
      </c>
      <c r="I3947" s="1">
        <v>5.06</v>
      </c>
      <c r="J3947" s="1">
        <v>1.047816</v>
      </c>
    </row>
    <row r="3948">
      <c r="A3948" s="1">
        <v>2025.0</v>
      </c>
      <c r="B3948" s="1" t="s">
        <v>515</v>
      </c>
      <c r="C3948" s="1">
        <v>678906.0</v>
      </c>
      <c r="D3948" s="1" t="s">
        <v>532</v>
      </c>
      <c r="E3948" s="1" t="s">
        <v>927</v>
      </c>
      <c r="F3948" s="1" t="s">
        <v>926</v>
      </c>
      <c r="G3948" s="1">
        <v>50.0</v>
      </c>
      <c r="H3948" s="1">
        <v>2.593240093</v>
      </c>
      <c r="I3948" s="1">
        <v>4.53</v>
      </c>
      <c r="J3948" s="1">
        <v>1.539667</v>
      </c>
    </row>
    <row r="3949">
      <c r="A3949" s="1">
        <v>2025.0</v>
      </c>
      <c r="B3949" s="1" t="s">
        <v>515</v>
      </c>
      <c r="C3949" s="1">
        <v>678906.0</v>
      </c>
      <c r="D3949" s="1" t="s">
        <v>541</v>
      </c>
      <c r="E3949" s="1" t="s">
        <v>927</v>
      </c>
      <c r="F3949" s="1" t="s">
        <v>926</v>
      </c>
      <c r="G3949" s="1">
        <v>60.0</v>
      </c>
      <c r="H3949" s="1">
        <v>3.111888112</v>
      </c>
      <c r="I3949" s="1">
        <v>4.59</v>
      </c>
      <c r="J3949" s="1">
        <v>1.771458</v>
      </c>
    </row>
    <row r="3950">
      <c r="A3950" s="1">
        <v>2025.0</v>
      </c>
      <c r="B3950" s="1" t="s">
        <v>515</v>
      </c>
      <c r="C3950" s="1">
        <v>678906.0</v>
      </c>
      <c r="D3950" s="1" t="s">
        <v>537</v>
      </c>
      <c r="E3950" s="1" t="s">
        <v>927</v>
      </c>
      <c r="F3950" s="1" t="s">
        <v>926</v>
      </c>
      <c r="G3950" s="1">
        <v>65.0</v>
      </c>
      <c r="H3950" s="1">
        <v>3.371212121</v>
      </c>
      <c r="I3950" s="1">
        <v>4.34</v>
      </c>
      <c r="J3950" s="1">
        <v>2.306315</v>
      </c>
    </row>
    <row r="3951">
      <c r="A3951" s="1">
        <v>2025.0</v>
      </c>
      <c r="B3951" s="1" t="s">
        <v>515</v>
      </c>
      <c r="C3951" s="1">
        <v>678906.0</v>
      </c>
      <c r="D3951" s="1" t="s">
        <v>536</v>
      </c>
      <c r="E3951" s="1" t="s">
        <v>927</v>
      </c>
      <c r="F3951" s="1" t="s">
        <v>926</v>
      </c>
      <c r="G3951" s="1">
        <v>24.0</v>
      </c>
      <c r="H3951" s="1">
        <v>1.244755245</v>
      </c>
      <c r="I3951" s="1">
        <v>4.07</v>
      </c>
      <c r="J3951" s="1">
        <v>0.983036</v>
      </c>
    </row>
    <row r="3952">
      <c r="A3952" s="1">
        <v>2025.0</v>
      </c>
      <c r="B3952" s="1" t="s">
        <v>515</v>
      </c>
      <c r="C3952" s="1">
        <v>678906.0</v>
      </c>
      <c r="D3952" s="1" t="s">
        <v>539</v>
      </c>
      <c r="E3952" s="1" t="s">
        <v>927</v>
      </c>
      <c r="F3952" s="1" t="s">
        <v>926</v>
      </c>
      <c r="G3952" s="1">
        <v>91.0</v>
      </c>
      <c r="H3952" s="1">
        <v>4.71969697</v>
      </c>
      <c r="I3952" s="1">
        <v>5.58</v>
      </c>
      <c r="J3952" s="1">
        <v>0.957934</v>
      </c>
    </row>
    <row r="3953">
      <c r="A3953" s="1">
        <v>2025.0</v>
      </c>
      <c r="B3953" s="1" t="s">
        <v>515</v>
      </c>
      <c r="C3953" s="1">
        <v>678906.0</v>
      </c>
      <c r="D3953" s="1" t="s">
        <v>532</v>
      </c>
      <c r="E3953" s="1" t="s">
        <v>927</v>
      </c>
      <c r="F3953" s="1" t="s">
        <v>927</v>
      </c>
      <c r="G3953" s="1">
        <v>9.0</v>
      </c>
      <c r="H3953" s="1">
        <v>0.466783217</v>
      </c>
      <c r="I3953" s="1">
        <v>4.49</v>
      </c>
      <c r="J3953" s="1">
        <v>0.307525</v>
      </c>
    </row>
    <row r="3954">
      <c r="A3954" s="1">
        <v>2025.0</v>
      </c>
      <c r="B3954" s="1" t="s">
        <v>515</v>
      </c>
      <c r="C3954" s="1">
        <v>678906.0</v>
      </c>
      <c r="D3954" s="1" t="s">
        <v>541</v>
      </c>
      <c r="E3954" s="1" t="s">
        <v>927</v>
      </c>
      <c r="F3954" s="1" t="s">
        <v>927</v>
      </c>
      <c r="G3954" s="1">
        <v>18.0</v>
      </c>
      <c r="H3954" s="1">
        <v>0.933566434</v>
      </c>
      <c r="I3954" s="1">
        <v>4.52</v>
      </c>
      <c r="J3954" s="1">
        <v>0.581912</v>
      </c>
    </row>
    <row r="3955">
      <c r="A3955" s="1">
        <v>2025.0</v>
      </c>
      <c r="B3955" s="1" t="s">
        <v>515</v>
      </c>
      <c r="C3955" s="1">
        <v>678906.0</v>
      </c>
      <c r="D3955" s="1" t="s">
        <v>537</v>
      </c>
      <c r="E3955" s="1" t="s">
        <v>927</v>
      </c>
      <c r="F3955" s="1" t="s">
        <v>927</v>
      </c>
      <c r="G3955" s="1">
        <v>77.0</v>
      </c>
      <c r="H3955" s="1">
        <v>3.993589744</v>
      </c>
      <c r="I3955" s="1">
        <v>4.71</v>
      </c>
      <c r="J3955" s="1">
        <v>2.190689</v>
      </c>
    </row>
    <row r="3956">
      <c r="A3956" s="1">
        <v>2025.0</v>
      </c>
      <c r="B3956" s="1" t="s">
        <v>515</v>
      </c>
      <c r="C3956" s="1">
        <v>678906.0</v>
      </c>
      <c r="D3956" s="1" t="s">
        <v>536</v>
      </c>
      <c r="E3956" s="1" t="s">
        <v>927</v>
      </c>
      <c r="F3956" s="1" t="s">
        <v>927</v>
      </c>
      <c r="G3956" s="1">
        <v>47.0</v>
      </c>
      <c r="H3956" s="1">
        <v>2.437645688</v>
      </c>
      <c r="I3956" s="1">
        <v>4.26</v>
      </c>
      <c r="J3956" s="1">
        <v>1.781643</v>
      </c>
    </row>
    <row r="3957">
      <c r="A3957" s="1">
        <v>2025.0</v>
      </c>
      <c r="B3957" s="1" t="s">
        <v>515</v>
      </c>
      <c r="C3957" s="1">
        <v>678906.0</v>
      </c>
      <c r="D3957" s="1" t="s">
        <v>539</v>
      </c>
      <c r="E3957" s="1" t="s">
        <v>927</v>
      </c>
      <c r="F3957" s="1" t="s">
        <v>927</v>
      </c>
      <c r="G3957" s="1">
        <v>131.0</v>
      </c>
      <c r="H3957" s="1">
        <v>6.794289044</v>
      </c>
      <c r="I3957" s="1">
        <v>4.86</v>
      </c>
      <c r="J3957" s="1">
        <v>3.227374</v>
      </c>
    </row>
    <row r="3958">
      <c r="A3958" s="1">
        <v>2025.0</v>
      </c>
      <c r="B3958" s="1" t="s">
        <v>359</v>
      </c>
      <c r="C3958" s="1">
        <v>672391.0</v>
      </c>
      <c r="D3958" s="1" t="s">
        <v>532</v>
      </c>
      <c r="E3958" s="1" t="s">
        <v>927</v>
      </c>
      <c r="F3958" s="1" t="s">
        <v>926</v>
      </c>
      <c r="G3958" s="1">
        <v>58.0</v>
      </c>
      <c r="H3958" s="1">
        <v>3.394402036</v>
      </c>
      <c r="I3958" s="1">
        <v>4.26</v>
      </c>
      <c r="J3958" s="1">
        <v>2.15846</v>
      </c>
    </row>
    <row r="3959">
      <c r="A3959" s="1">
        <v>2025.0</v>
      </c>
      <c r="B3959" s="1" t="s">
        <v>359</v>
      </c>
      <c r="C3959" s="1">
        <v>672391.0</v>
      </c>
      <c r="D3959" s="1" t="s">
        <v>540</v>
      </c>
      <c r="E3959" s="1" t="s">
        <v>927</v>
      </c>
      <c r="F3959" s="1" t="s">
        <v>926</v>
      </c>
      <c r="G3959" s="1">
        <v>48.0</v>
      </c>
      <c r="H3959" s="1">
        <v>2.809160305</v>
      </c>
      <c r="I3959" s="1">
        <v>5.39</v>
      </c>
      <c r="J3959" s="1">
        <v>0.664055</v>
      </c>
    </row>
    <row r="3960">
      <c r="A3960" s="1">
        <v>2025.0</v>
      </c>
      <c r="B3960" s="1" t="s">
        <v>359</v>
      </c>
      <c r="C3960" s="1">
        <v>672391.0</v>
      </c>
      <c r="D3960" s="1" t="s">
        <v>537</v>
      </c>
      <c r="E3960" s="1" t="s">
        <v>927</v>
      </c>
      <c r="F3960" s="1" t="s">
        <v>926</v>
      </c>
      <c r="G3960" s="1">
        <v>145.0</v>
      </c>
      <c r="H3960" s="1">
        <v>8.486005089</v>
      </c>
      <c r="I3960" s="1">
        <v>4.88</v>
      </c>
      <c r="J3960" s="1">
        <v>3.60402</v>
      </c>
    </row>
    <row r="3961">
      <c r="A3961" s="1">
        <v>2025.0</v>
      </c>
      <c r="B3961" s="1" t="s">
        <v>359</v>
      </c>
      <c r="C3961" s="1">
        <v>672391.0</v>
      </c>
      <c r="D3961" s="1" t="s">
        <v>539</v>
      </c>
      <c r="E3961" s="1" t="s">
        <v>927</v>
      </c>
      <c r="F3961" s="1" t="s">
        <v>926</v>
      </c>
      <c r="G3961" s="1">
        <v>37.0</v>
      </c>
      <c r="H3961" s="1">
        <v>2.165394402</v>
      </c>
      <c r="I3961" s="1">
        <v>5.02</v>
      </c>
      <c r="J3961" s="1">
        <v>0.787484</v>
      </c>
    </row>
    <row r="3962">
      <c r="A3962" s="1">
        <v>2025.0</v>
      </c>
      <c r="B3962" s="1" t="s">
        <v>359</v>
      </c>
      <c r="C3962" s="1">
        <v>672391.0</v>
      </c>
      <c r="D3962" s="1" t="s">
        <v>532</v>
      </c>
      <c r="E3962" s="1" t="s">
        <v>927</v>
      </c>
      <c r="F3962" s="1" t="s">
        <v>927</v>
      </c>
      <c r="G3962" s="1">
        <v>7.0</v>
      </c>
      <c r="H3962" s="1">
        <v>0.409669211</v>
      </c>
      <c r="I3962" s="1">
        <v>4.52</v>
      </c>
      <c r="J3962" s="1">
        <v>0.22859</v>
      </c>
    </row>
    <row r="3963">
      <c r="A3963" s="1">
        <v>2025.0</v>
      </c>
      <c r="B3963" s="1" t="s">
        <v>359</v>
      </c>
      <c r="C3963" s="1">
        <v>672391.0</v>
      </c>
      <c r="D3963" s="1" t="s">
        <v>540</v>
      </c>
      <c r="E3963" s="1" t="s">
        <v>927</v>
      </c>
      <c r="F3963" s="1" t="s">
        <v>927</v>
      </c>
      <c r="G3963" s="1">
        <v>64.0</v>
      </c>
      <c r="H3963" s="1">
        <v>3.745547074</v>
      </c>
      <c r="I3963" s="1">
        <v>4.97</v>
      </c>
      <c r="J3963" s="1">
        <v>1.460297</v>
      </c>
    </row>
    <row r="3964">
      <c r="A3964" s="1">
        <v>2025.0</v>
      </c>
      <c r="B3964" s="1" t="s">
        <v>359</v>
      </c>
      <c r="C3964" s="1">
        <v>672391.0</v>
      </c>
      <c r="D3964" s="1" t="s">
        <v>537</v>
      </c>
      <c r="E3964" s="1" t="s">
        <v>927</v>
      </c>
      <c r="F3964" s="1" t="s">
        <v>927</v>
      </c>
      <c r="G3964" s="1">
        <v>282.0</v>
      </c>
      <c r="H3964" s="1">
        <v>16.50381679</v>
      </c>
      <c r="I3964" s="1">
        <v>5.09</v>
      </c>
      <c r="J3964" s="1">
        <v>5.705464</v>
      </c>
    </row>
    <row r="3965">
      <c r="A3965" s="1">
        <v>2025.0</v>
      </c>
      <c r="B3965" s="1" t="s">
        <v>359</v>
      </c>
      <c r="C3965" s="1">
        <v>672391.0</v>
      </c>
      <c r="D3965" s="1" t="s">
        <v>539</v>
      </c>
      <c r="E3965" s="1" t="s">
        <v>927</v>
      </c>
      <c r="F3965" s="1" t="s">
        <v>927</v>
      </c>
      <c r="G3965" s="1">
        <v>145.0</v>
      </c>
      <c r="H3965" s="1">
        <v>8.486005089</v>
      </c>
      <c r="I3965" s="1">
        <v>4.98</v>
      </c>
      <c r="J3965" s="1">
        <v>3.23841</v>
      </c>
    </row>
    <row r="3966">
      <c r="A3966" s="1">
        <v>2025.0</v>
      </c>
      <c r="B3966" s="1" t="s">
        <v>979</v>
      </c>
      <c r="C3966" s="1">
        <v>676775.0</v>
      </c>
      <c r="D3966" s="1" t="s">
        <v>537</v>
      </c>
      <c r="E3966" s="1" t="s">
        <v>927</v>
      </c>
      <c r="F3966" s="1" t="s">
        <v>926</v>
      </c>
      <c r="G3966" s="1">
        <v>29.0</v>
      </c>
      <c r="H3966" s="1">
        <v>1.757575758</v>
      </c>
      <c r="I3966" s="1">
        <v>4.49</v>
      </c>
      <c r="J3966" s="1">
        <v>0.946278</v>
      </c>
    </row>
    <row r="3967">
      <c r="A3967" s="1">
        <v>2025.0</v>
      </c>
      <c r="B3967" s="1" t="s">
        <v>979</v>
      </c>
      <c r="C3967" s="1">
        <v>676775.0</v>
      </c>
      <c r="D3967" s="1" t="s">
        <v>538</v>
      </c>
      <c r="E3967" s="1" t="s">
        <v>927</v>
      </c>
      <c r="F3967" s="1" t="s">
        <v>926</v>
      </c>
      <c r="G3967" s="1">
        <v>32.0</v>
      </c>
      <c r="H3967" s="1">
        <v>1.939393939</v>
      </c>
      <c r="I3967" s="1">
        <v>5.26</v>
      </c>
      <c r="J3967" s="1">
        <v>0.500984</v>
      </c>
    </row>
    <row r="3968">
      <c r="A3968" s="1">
        <v>2025.0</v>
      </c>
      <c r="B3968" s="1" t="s">
        <v>979</v>
      </c>
      <c r="C3968" s="1">
        <v>676775.0</v>
      </c>
      <c r="D3968" s="1" t="s">
        <v>536</v>
      </c>
      <c r="E3968" s="1" t="s">
        <v>927</v>
      </c>
      <c r="F3968" s="1" t="s">
        <v>926</v>
      </c>
      <c r="G3968" s="1">
        <v>7.0</v>
      </c>
      <c r="H3968" s="1">
        <v>0.424242424</v>
      </c>
      <c r="I3968" s="1">
        <v>3.24</v>
      </c>
      <c r="J3968" s="1">
        <v>0.402026</v>
      </c>
    </row>
    <row r="3969">
      <c r="A3969" s="1">
        <v>2025.0</v>
      </c>
      <c r="B3969" s="1" t="s">
        <v>979</v>
      </c>
      <c r="C3969" s="1">
        <v>676775.0</v>
      </c>
      <c r="D3969" s="1" t="s">
        <v>537</v>
      </c>
      <c r="E3969" s="1" t="s">
        <v>927</v>
      </c>
      <c r="F3969" s="1" t="s">
        <v>927</v>
      </c>
      <c r="G3969" s="1">
        <v>15.0</v>
      </c>
      <c r="H3969" s="1">
        <v>0.909090909</v>
      </c>
      <c r="I3969" s="1">
        <v>4.23</v>
      </c>
      <c r="J3969" s="1">
        <v>0.541089</v>
      </c>
    </row>
    <row r="3970">
      <c r="A3970" s="1">
        <v>2025.0</v>
      </c>
      <c r="B3970" s="1" t="s">
        <v>979</v>
      </c>
      <c r="C3970" s="1">
        <v>676775.0</v>
      </c>
      <c r="D3970" s="1" t="s">
        <v>538</v>
      </c>
      <c r="E3970" s="1" t="s">
        <v>927</v>
      </c>
      <c r="F3970" s="1" t="s">
        <v>927</v>
      </c>
      <c r="G3970" s="1">
        <v>40.0</v>
      </c>
      <c r="H3970" s="1">
        <v>2.424242424</v>
      </c>
      <c r="I3970" s="1">
        <v>5.14</v>
      </c>
      <c r="J3970" s="1">
        <v>0.754003</v>
      </c>
    </row>
    <row r="3971">
      <c r="A3971" s="1">
        <v>2025.0</v>
      </c>
      <c r="B3971" s="1" t="s">
        <v>979</v>
      </c>
      <c r="C3971" s="1">
        <v>676775.0</v>
      </c>
      <c r="D3971" s="1" t="s">
        <v>536</v>
      </c>
      <c r="E3971" s="1" t="s">
        <v>927</v>
      </c>
      <c r="F3971" s="1" t="s">
        <v>927</v>
      </c>
      <c r="G3971" s="1">
        <v>34.0</v>
      </c>
      <c r="H3971" s="1">
        <v>2.060606061</v>
      </c>
      <c r="I3971" s="1">
        <v>4.81</v>
      </c>
      <c r="J3971" s="1">
        <v>0.912631</v>
      </c>
    </row>
    <row r="3972">
      <c r="A3972" s="1">
        <v>2025.0</v>
      </c>
      <c r="B3972" s="1" t="s">
        <v>979</v>
      </c>
      <c r="C3972" s="1">
        <v>676775.0</v>
      </c>
      <c r="D3972" s="1" t="s">
        <v>533</v>
      </c>
      <c r="E3972" s="1" t="s">
        <v>927</v>
      </c>
      <c r="F3972" s="1" t="s">
        <v>927</v>
      </c>
      <c r="G3972" s="1">
        <v>8.0</v>
      </c>
      <c r="H3972" s="1">
        <v>0.484848485</v>
      </c>
      <c r="I3972" s="1">
        <v>4.4</v>
      </c>
      <c r="J3972" s="1">
        <v>0.277533</v>
      </c>
    </row>
    <row r="3973">
      <c r="A3973" s="1">
        <v>2025.0</v>
      </c>
      <c r="B3973" s="1" t="s">
        <v>231</v>
      </c>
      <c r="C3973" s="1">
        <v>669211.0</v>
      </c>
      <c r="D3973" s="1" t="s">
        <v>532</v>
      </c>
      <c r="E3973" s="1" t="s">
        <v>926</v>
      </c>
      <c r="F3973" s="1" t="s">
        <v>926</v>
      </c>
      <c r="G3973" s="1">
        <v>29.0</v>
      </c>
      <c r="H3973" s="1">
        <v>1.735979836</v>
      </c>
      <c r="I3973" s="1">
        <v>4.48</v>
      </c>
      <c r="J3973" s="1">
        <v>0.847709</v>
      </c>
    </row>
    <row r="3974">
      <c r="A3974" s="1">
        <v>2025.0</v>
      </c>
      <c r="B3974" s="1" t="s">
        <v>231</v>
      </c>
      <c r="C3974" s="1">
        <v>669211.0</v>
      </c>
      <c r="D3974" s="1" t="s">
        <v>537</v>
      </c>
      <c r="E3974" s="1" t="s">
        <v>926</v>
      </c>
      <c r="F3974" s="1" t="s">
        <v>926</v>
      </c>
      <c r="G3974" s="1">
        <v>225.0</v>
      </c>
      <c r="H3974" s="1">
        <v>13.46880907</v>
      </c>
      <c r="I3974" s="1">
        <v>5.1</v>
      </c>
      <c r="J3974" s="1">
        <v>4.411392</v>
      </c>
    </row>
    <row r="3975">
      <c r="A3975" s="1">
        <v>2025.0</v>
      </c>
      <c r="B3975" s="1" t="s">
        <v>231</v>
      </c>
      <c r="C3975" s="1">
        <v>669211.0</v>
      </c>
      <c r="D3975" s="1" t="s">
        <v>533</v>
      </c>
      <c r="E3975" s="1" t="s">
        <v>926</v>
      </c>
      <c r="F3975" s="1" t="s">
        <v>926</v>
      </c>
      <c r="G3975" s="1">
        <v>189.0</v>
      </c>
      <c r="H3975" s="1">
        <v>11.31379962</v>
      </c>
      <c r="I3975" s="1">
        <v>5.16</v>
      </c>
      <c r="J3975" s="1">
        <v>3.447764</v>
      </c>
    </row>
    <row r="3976">
      <c r="A3976" s="1">
        <v>2025.0</v>
      </c>
      <c r="B3976" s="1" t="s">
        <v>231</v>
      </c>
      <c r="C3976" s="1">
        <v>669211.0</v>
      </c>
      <c r="D3976" s="1" t="s">
        <v>532</v>
      </c>
      <c r="E3976" s="1" t="s">
        <v>926</v>
      </c>
      <c r="F3976" s="1" t="s">
        <v>927</v>
      </c>
      <c r="G3976" s="1">
        <v>182.0</v>
      </c>
      <c r="H3976" s="1">
        <v>10.89477001</v>
      </c>
      <c r="I3976" s="1">
        <v>4.89</v>
      </c>
      <c r="J3976" s="1">
        <v>4.21354</v>
      </c>
    </row>
    <row r="3977">
      <c r="A3977" s="1">
        <v>2025.0</v>
      </c>
      <c r="B3977" s="1" t="s">
        <v>231</v>
      </c>
      <c r="C3977" s="1">
        <v>669211.0</v>
      </c>
      <c r="D3977" s="1" t="s">
        <v>537</v>
      </c>
      <c r="E3977" s="1" t="s">
        <v>926</v>
      </c>
      <c r="F3977" s="1" t="s">
        <v>927</v>
      </c>
      <c r="G3977" s="1">
        <v>318.0</v>
      </c>
      <c r="H3977" s="1">
        <v>19.03591682</v>
      </c>
      <c r="I3977" s="1">
        <v>5.13</v>
      </c>
      <c r="J3977" s="1">
        <v>6.180318</v>
      </c>
    </row>
    <row r="3978">
      <c r="A3978" s="1">
        <v>2025.0</v>
      </c>
      <c r="B3978" s="1" t="s">
        <v>231</v>
      </c>
      <c r="C3978" s="1">
        <v>669211.0</v>
      </c>
      <c r="D3978" s="1" t="s">
        <v>533</v>
      </c>
      <c r="E3978" s="1" t="s">
        <v>926</v>
      </c>
      <c r="F3978" s="1" t="s">
        <v>927</v>
      </c>
      <c r="G3978" s="1">
        <v>115.0</v>
      </c>
      <c r="H3978" s="1">
        <v>6.884057971</v>
      </c>
      <c r="I3978" s="1">
        <v>5.09</v>
      </c>
      <c r="J3978" s="1">
        <v>2.258097</v>
      </c>
    </row>
    <row r="3979">
      <c r="A3979" s="1">
        <v>2025.0</v>
      </c>
      <c r="B3979" s="1" t="s">
        <v>331</v>
      </c>
      <c r="C3979" s="1">
        <v>672456.0</v>
      </c>
      <c r="D3979" s="1" t="s">
        <v>532</v>
      </c>
      <c r="E3979" s="1" t="s">
        <v>927</v>
      </c>
      <c r="F3979" s="1" t="s">
        <v>926</v>
      </c>
      <c r="G3979" s="1">
        <v>155.0</v>
      </c>
      <c r="H3979" s="1">
        <v>9.54062005</v>
      </c>
      <c r="I3979" s="1">
        <v>4.52</v>
      </c>
      <c r="J3979" s="1">
        <v>4.866522</v>
      </c>
    </row>
    <row r="3980">
      <c r="A3980" s="1">
        <v>2025.0</v>
      </c>
      <c r="B3980" s="1" t="s">
        <v>331</v>
      </c>
      <c r="C3980" s="1">
        <v>672456.0</v>
      </c>
      <c r="D3980" s="1" t="s">
        <v>541</v>
      </c>
      <c r="E3980" s="1" t="s">
        <v>927</v>
      </c>
      <c r="F3980" s="1" t="s">
        <v>926</v>
      </c>
      <c r="G3980" s="1">
        <v>137.0</v>
      </c>
      <c r="H3980" s="1">
        <v>8.432677076</v>
      </c>
      <c r="I3980" s="1">
        <v>4.8</v>
      </c>
      <c r="J3980" s="1">
        <v>3.50952</v>
      </c>
    </row>
    <row r="3981">
      <c r="A3981" s="1">
        <v>2025.0</v>
      </c>
      <c r="B3981" s="1" t="s">
        <v>331</v>
      </c>
      <c r="C3981" s="1">
        <v>672456.0</v>
      </c>
      <c r="D3981" s="1" t="s">
        <v>537</v>
      </c>
      <c r="E3981" s="1" t="s">
        <v>927</v>
      </c>
      <c r="F3981" s="1" t="s">
        <v>926</v>
      </c>
      <c r="G3981" s="1">
        <v>315.0</v>
      </c>
      <c r="H3981" s="1">
        <v>19.38900204</v>
      </c>
      <c r="I3981" s="1">
        <v>4.89</v>
      </c>
      <c r="J3981" s="1">
        <v>7.732568</v>
      </c>
    </row>
    <row r="3982">
      <c r="A3982" s="1">
        <v>2025.0</v>
      </c>
      <c r="B3982" s="1" t="s">
        <v>331</v>
      </c>
      <c r="C3982" s="1">
        <v>672456.0</v>
      </c>
      <c r="D3982" s="1" t="s">
        <v>536</v>
      </c>
      <c r="E3982" s="1" t="s">
        <v>927</v>
      </c>
      <c r="F3982" s="1" t="s">
        <v>926</v>
      </c>
      <c r="G3982" s="1">
        <v>6.0</v>
      </c>
      <c r="H3982" s="1">
        <v>0.369314325</v>
      </c>
      <c r="I3982" s="1">
        <v>5.03</v>
      </c>
      <c r="J3982" s="1">
        <v>0.128978</v>
      </c>
    </row>
    <row r="3983">
      <c r="A3983" s="1">
        <v>2025.0</v>
      </c>
      <c r="B3983" s="1" t="s">
        <v>331</v>
      </c>
      <c r="C3983" s="1">
        <v>672456.0</v>
      </c>
      <c r="D3983" s="1" t="s">
        <v>533</v>
      </c>
      <c r="E3983" s="1" t="s">
        <v>927</v>
      </c>
      <c r="F3983" s="1" t="s">
        <v>926</v>
      </c>
      <c r="G3983" s="1">
        <v>106.0</v>
      </c>
      <c r="H3983" s="1">
        <v>6.524553066</v>
      </c>
      <c r="I3983" s="1">
        <v>5.05</v>
      </c>
      <c r="J3983" s="1">
        <v>2.193374</v>
      </c>
    </row>
    <row r="3984">
      <c r="A3984" s="1">
        <v>2025.0</v>
      </c>
      <c r="B3984" s="1" t="s">
        <v>331</v>
      </c>
      <c r="C3984" s="1">
        <v>672456.0</v>
      </c>
      <c r="D3984" s="1" t="s">
        <v>532</v>
      </c>
      <c r="E3984" s="1" t="s">
        <v>927</v>
      </c>
      <c r="F3984" s="1" t="s">
        <v>927</v>
      </c>
      <c r="G3984" s="1">
        <v>34.0</v>
      </c>
      <c r="H3984" s="1">
        <v>2.092781172</v>
      </c>
      <c r="I3984" s="1">
        <v>4.32</v>
      </c>
      <c r="J3984" s="1">
        <v>1.208428</v>
      </c>
    </row>
    <row r="3985">
      <c r="A3985" s="1">
        <v>2025.0</v>
      </c>
      <c r="B3985" s="1" t="s">
        <v>331</v>
      </c>
      <c r="C3985" s="1">
        <v>672456.0</v>
      </c>
      <c r="D3985" s="1" t="s">
        <v>541</v>
      </c>
      <c r="E3985" s="1" t="s">
        <v>927</v>
      </c>
      <c r="F3985" s="1" t="s">
        <v>927</v>
      </c>
      <c r="G3985" s="1">
        <v>77.0</v>
      </c>
      <c r="H3985" s="1">
        <v>4.739533831</v>
      </c>
      <c r="I3985" s="1">
        <v>5.04</v>
      </c>
      <c r="J3985" s="1">
        <v>1.603107</v>
      </c>
    </row>
    <row r="3986">
      <c r="A3986" s="1">
        <v>2025.0</v>
      </c>
      <c r="B3986" s="1" t="s">
        <v>331</v>
      </c>
      <c r="C3986" s="1">
        <v>672456.0</v>
      </c>
      <c r="D3986" s="1" t="s">
        <v>537</v>
      </c>
      <c r="E3986" s="1" t="s">
        <v>927</v>
      </c>
      <c r="F3986" s="1" t="s">
        <v>927</v>
      </c>
      <c r="G3986" s="1">
        <v>138.0</v>
      </c>
      <c r="H3986" s="1">
        <v>8.494229464</v>
      </c>
      <c r="I3986" s="1">
        <v>5.1</v>
      </c>
      <c r="J3986" s="1">
        <v>2.765907</v>
      </c>
    </row>
    <row r="3987">
      <c r="A3987" s="1">
        <v>2025.0</v>
      </c>
      <c r="B3987" s="1" t="s">
        <v>331</v>
      </c>
      <c r="C3987" s="1">
        <v>672456.0</v>
      </c>
      <c r="D3987" s="1" t="s">
        <v>536</v>
      </c>
      <c r="E3987" s="1" t="s">
        <v>927</v>
      </c>
      <c r="F3987" s="1" t="s">
        <v>927</v>
      </c>
      <c r="G3987" s="1">
        <v>287.0</v>
      </c>
      <c r="H3987" s="1">
        <v>17.66553519</v>
      </c>
      <c r="I3987" s="1">
        <v>4.83</v>
      </c>
      <c r="J3987" s="1">
        <v>7.377482</v>
      </c>
    </row>
    <row r="3988">
      <c r="A3988" s="1">
        <v>2025.0</v>
      </c>
      <c r="B3988" s="1" t="s">
        <v>331</v>
      </c>
      <c r="C3988" s="1">
        <v>672456.0</v>
      </c>
      <c r="D3988" s="1" t="s">
        <v>533</v>
      </c>
      <c r="E3988" s="1" t="s">
        <v>927</v>
      </c>
      <c r="F3988" s="1" t="s">
        <v>927</v>
      </c>
      <c r="G3988" s="1">
        <v>217.0</v>
      </c>
      <c r="H3988" s="1">
        <v>13.35686807</v>
      </c>
      <c r="I3988" s="1">
        <v>5.42</v>
      </c>
      <c r="J3988" s="1">
        <v>2.830068</v>
      </c>
    </row>
    <row r="3989">
      <c r="A3989" s="1">
        <v>2025.0</v>
      </c>
      <c r="B3989" s="1" t="s">
        <v>331</v>
      </c>
      <c r="C3989" s="1">
        <v>672456.0</v>
      </c>
      <c r="D3989" s="1" t="s">
        <v>539</v>
      </c>
      <c r="E3989" s="1" t="s">
        <v>927</v>
      </c>
      <c r="F3989" s="1" t="s">
        <v>927</v>
      </c>
      <c r="G3989" s="1">
        <v>1.0</v>
      </c>
      <c r="H3989" s="1">
        <v>0.061552387</v>
      </c>
      <c r="I3989" s="1">
        <v>5.08</v>
      </c>
      <c r="J3989" s="1">
        <v>0.021769</v>
      </c>
    </row>
    <row r="3990">
      <c r="A3990" s="1">
        <v>2025.0</v>
      </c>
      <c r="B3990" s="1" t="s">
        <v>763</v>
      </c>
      <c r="C3990" s="1">
        <v>608665.0</v>
      </c>
      <c r="D3990" s="1" t="s">
        <v>532</v>
      </c>
      <c r="E3990" s="1" t="s">
        <v>927</v>
      </c>
      <c r="F3990" s="1" t="s">
        <v>926</v>
      </c>
      <c r="G3990" s="1">
        <v>64.0</v>
      </c>
      <c r="H3990" s="1">
        <v>3.489711934</v>
      </c>
      <c r="I3990" s="1">
        <v>4.67</v>
      </c>
      <c r="J3990" s="1">
        <v>1.88764</v>
      </c>
    </row>
    <row r="3991">
      <c r="A3991" s="1">
        <v>2025.0</v>
      </c>
      <c r="B3991" s="1" t="s">
        <v>763</v>
      </c>
      <c r="C3991" s="1">
        <v>608665.0</v>
      </c>
      <c r="D3991" s="1" t="s">
        <v>541</v>
      </c>
      <c r="E3991" s="1" t="s">
        <v>927</v>
      </c>
      <c r="F3991" s="1" t="s">
        <v>926</v>
      </c>
      <c r="G3991" s="1">
        <v>7.0</v>
      </c>
      <c r="H3991" s="1">
        <v>0.381687243</v>
      </c>
      <c r="I3991" s="1">
        <v>4.52</v>
      </c>
      <c r="J3991" s="1">
        <v>0.216505</v>
      </c>
    </row>
    <row r="3992">
      <c r="A3992" s="1">
        <v>2025.0</v>
      </c>
      <c r="B3992" s="1" t="s">
        <v>763</v>
      </c>
      <c r="C3992" s="1">
        <v>608665.0</v>
      </c>
      <c r="D3992" s="1" t="s">
        <v>537</v>
      </c>
      <c r="E3992" s="1" t="s">
        <v>927</v>
      </c>
      <c r="F3992" s="1" t="s">
        <v>926</v>
      </c>
      <c r="G3992" s="1">
        <v>21.0</v>
      </c>
      <c r="H3992" s="1">
        <v>1.145061728</v>
      </c>
      <c r="I3992" s="1">
        <v>4.02</v>
      </c>
      <c r="J3992" s="1">
        <v>0.904689</v>
      </c>
    </row>
    <row r="3993">
      <c r="A3993" s="1">
        <v>2025.0</v>
      </c>
      <c r="B3993" s="1" t="s">
        <v>763</v>
      </c>
      <c r="C3993" s="1">
        <v>608665.0</v>
      </c>
      <c r="D3993" s="1" t="s">
        <v>536</v>
      </c>
      <c r="E3993" s="1" t="s">
        <v>927</v>
      </c>
      <c r="F3993" s="1" t="s">
        <v>926</v>
      </c>
      <c r="G3993" s="1">
        <v>25.0</v>
      </c>
      <c r="H3993" s="1">
        <v>1.363168724</v>
      </c>
      <c r="I3993" s="1">
        <v>3.55</v>
      </c>
      <c r="J3993" s="1">
        <v>1.319235</v>
      </c>
    </row>
    <row r="3994">
      <c r="A3994" s="1">
        <v>2025.0</v>
      </c>
      <c r="B3994" s="1" t="s">
        <v>763</v>
      </c>
      <c r="C3994" s="1">
        <v>608665.0</v>
      </c>
      <c r="D3994" s="1" t="s">
        <v>533</v>
      </c>
      <c r="E3994" s="1" t="s">
        <v>927</v>
      </c>
      <c r="F3994" s="1" t="s">
        <v>926</v>
      </c>
      <c r="G3994" s="1">
        <v>6.0</v>
      </c>
      <c r="H3994" s="1">
        <v>0.327160494</v>
      </c>
      <c r="I3994" s="1">
        <v>5.63</v>
      </c>
      <c r="J3994" s="1">
        <v>0.054901</v>
      </c>
    </row>
    <row r="3995">
      <c r="A3995" s="1">
        <v>2025.0</v>
      </c>
      <c r="B3995" s="1" t="s">
        <v>763</v>
      </c>
      <c r="C3995" s="1">
        <v>608665.0</v>
      </c>
      <c r="D3995" s="1" t="s">
        <v>532</v>
      </c>
      <c r="E3995" s="1" t="s">
        <v>927</v>
      </c>
      <c r="F3995" s="1" t="s">
        <v>927</v>
      </c>
      <c r="G3995" s="1">
        <v>2.0</v>
      </c>
      <c r="H3995" s="1">
        <v>0.109053498</v>
      </c>
      <c r="I3995" s="1">
        <v>6.05</v>
      </c>
      <c r="J3995" s="1">
        <v>-0.005139</v>
      </c>
    </row>
    <row r="3996">
      <c r="A3996" s="1">
        <v>2025.0</v>
      </c>
      <c r="B3996" s="1" t="s">
        <v>763</v>
      </c>
      <c r="C3996" s="1">
        <v>608665.0</v>
      </c>
      <c r="D3996" s="1" t="s">
        <v>537</v>
      </c>
      <c r="E3996" s="1" t="s">
        <v>927</v>
      </c>
      <c r="F3996" s="1" t="s">
        <v>927</v>
      </c>
      <c r="G3996" s="1">
        <v>31.0</v>
      </c>
      <c r="H3996" s="1">
        <v>1.690329218</v>
      </c>
      <c r="I3996" s="1">
        <v>4.99</v>
      </c>
      <c r="J3996" s="1">
        <v>0.699905</v>
      </c>
    </row>
    <row r="3997">
      <c r="A3997" s="1">
        <v>2025.0</v>
      </c>
      <c r="B3997" s="1" t="s">
        <v>763</v>
      </c>
      <c r="C3997" s="1">
        <v>608665.0</v>
      </c>
      <c r="D3997" s="1" t="s">
        <v>536</v>
      </c>
      <c r="E3997" s="1" t="s">
        <v>927</v>
      </c>
      <c r="F3997" s="1" t="s">
        <v>927</v>
      </c>
      <c r="G3997" s="1">
        <v>103.0</v>
      </c>
      <c r="H3997" s="1">
        <v>5.616255144</v>
      </c>
      <c r="I3997" s="1">
        <v>4.78</v>
      </c>
      <c r="J3997" s="1">
        <v>2.748828</v>
      </c>
    </row>
    <row r="3998">
      <c r="A3998" s="1">
        <v>2025.0</v>
      </c>
      <c r="B3998" s="1" t="s">
        <v>763</v>
      </c>
      <c r="C3998" s="1">
        <v>608665.0</v>
      </c>
      <c r="D3998" s="1" t="s">
        <v>533</v>
      </c>
      <c r="E3998" s="1" t="s">
        <v>927</v>
      </c>
      <c r="F3998" s="1" t="s">
        <v>927</v>
      </c>
      <c r="G3998" s="1">
        <v>65.0</v>
      </c>
      <c r="H3998" s="1">
        <v>3.544238683</v>
      </c>
      <c r="I3998" s="1">
        <v>4.53</v>
      </c>
      <c r="J3998" s="1">
        <v>2.03605</v>
      </c>
    </row>
    <row r="3999">
      <c r="A3999" s="1">
        <v>2025.0</v>
      </c>
      <c r="B3999" s="1" t="s">
        <v>154</v>
      </c>
      <c r="C3999" s="1">
        <v>445276.0</v>
      </c>
      <c r="D3999" s="1" t="s">
        <v>540</v>
      </c>
      <c r="E3999" s="1" t="s">
        <v>927</v>
      </c>
      <c r="F3999" s="1" t="s">
        <v>926</v>
      </c>
      <c r="G3999" s="1">
        <v>342.0</v>
      </c>
      <c r="H3999" s="1">
        <v>23.24654378</v>
      </c>
      <c r="I3999" s="1">
        <v>4.84</v>
      </c>
      <c r="J3999" s="1">
        <v>8.750807</v>
      </c>
    </row>
    <row r="4000">
      <c r="A4000" s="1">
        <v>2025.0</v>
      </c>
      <c r="B4000" s="1" t="s">
        <v>154</v>
      </c>
      <c r="C4000" s="1">
        <v>445276.0</v>
      </c>
      <c r="D4000" s="1" t="s">
        <v>536</v>
      </c>
      <c r="E4000" s="1" t="s">
        <v>927</v>
      </c>
      <c r="F4000" s="1" t="s">
        <v>926</v>
      </c>
      <c r="G4000" s="1">
        <v>57.0</v>
      </c>
      <c r="H4000" s="1">
        <v>3.874423963</v>
      </c>
      <c r="I4000" s="1">
        <v>4.12</v>
      </c>
      <c r="J4000" s="1">
        <v>2.252187</v>
      </c>
    </row>
    <row r="4001">
      <c r="A4001" s="1">
        <v>2025.0</v>
      </c>
      <c r="B4001" s="1" t="s">
        <v>154</v>
      </c>
      <c r="C4001" s="1">
        <v>445276.0</v>
      </c>
      <c r="D4001" s="1" t="s">
        <v>533</v>
      </c>
      <c r="E4001" s="1" t="s">
        <v>927</v>
      </c>
      <c r="F4001" s="1" t="s">
        <v>926</v>
      </c>
      <c r="G4001" s="1">
        <v>37.0</v>
      </c>
      <c r="H4001" s="1">
        <v>2.514976959</v>
      </c>
      <c r="I4001" s="1">
        <v>5.22</v>
      </c>
      <c r="J4001" s="1">
        <v>0.657625</v>
      </c>
    </row>
    <row r="4002">
      <c r="A4002" s="1">
        <v>2025.0</v>
      </c>
      <c r="B4002" s="1" t="s">
        <v>154</v>
      </c>
      <c r="C4002" s="1">
        <v>445276.0</v>
      </c>
      <c r="D4002" s="1" t="s">
        <v>540</v>
      </c>
      <c r="E4002" s="1" t="s">
        <v>927</v>
      </c>
      <c r="F4002" s="1" t="s">
        <v>927</v>
      </c>
      <c r="G4002" s="1">
        <v>366.0</v>
      </c>
      <c r="H4002" s="1">
        <v>24.87788018</v>
      </c>
      <c r="I4002" s="1">
        <v>5.37</v>
      </c>
      <c r="J4002" s="1">
        <v>5.273599</v>
      </c>
    </row>
    <row r="4003">
      <c r="A4003" s="1">
        <v>2025.0</v>
      </c>
      <c r="B4003" s="1" t="s">
        <v>154</v>
      </c>
      <c r="C4003" s="1">
        <v>445276.0</v>
      </c>
      <c r="D4003" s="1" t="s">
        <v>536</v>
      </c>
      <c r="E4003" s="1" t="s">
        <v>927</v>
      </c>
      <c r="F4003" s="1" t="s">
        <v>927</v>
      </c>
      <c r="G4003" s="1">
        <v>21.0</v>
      </c>
      <c r="H4003" s="1">
        <v>1.427419355</v>
      </c>
      <c r="I4003" s="1">
        <v>4.56</v>
      </c>
      <c r="J4003" s="1">
        <v>0.649954</v>
      </c>
    </row>
    <row r="4004">
      <c r="A4004" s="1">
        <v>2025.0</v>
      </c>
      <c r="B4004" s="1" t="s">
        <v>154</v>
      </c>
      <c r="C4004" s="1">
        <v>445276.0</v>
      </c>
      <c r="D4004" s="1" t="s">
        <v>533</v>
      </c>
      <c r="E4004" s="1" t="s">
        <v>927</v>
      </c>
      <c r="F4004" s="1" t="s">
        <v>927</v>
      </c>
      <c r="G4004" s="1">
        <v>45.0</v>
      </c>
      <c r="H4004" s="1">
        <v>3.05875576</v>
      </c>
      <c r="I4004" s="1">
        <v>5.07</v>
      </c>
      <c r="J4004" s="1">
        <v>0.856407</v>
      </c>
    </row>
    <row r="4005">
      <c r="A4005" s="1">
        <v>2025.0</v>
      </c>
      <c r="B4005" s="1" t="s">
        <v>715</v>
      </c>
      <c r="C4005" s="1">
        <v>628317.0</v>
      </c>
      <c r="D4005" s="1" t="s">
        <v>541</v>
      </c>
      <c r="E4005" s="1" t="s">
        <v>927</v>
      </c>
      <c r="F4005" s="1" t="s">
        <v>926</v>
      </c>
      <c r="G4005" s="1">
        <v>1.0</v>
      </c>
      <c r="H4005" s="1">
        <v>0.047337278</v>
      </c>
      <c r="I4005" s="1">
        <v>3.66</v>
      </c>
      <c r="J4005" s="1">
        <v>0.046422</v>
      </c>
    </row>
    <row r="4006">
      <c r="A4006" s="1">
        <v>2025.0</v>
      </c>
      <c r="B4006" s="1" t="s">
        <v>715</v>
      </c>
      <c r="C4006" s="1">
        <v>628317.0</v>
      </c>
      <c r="D4006" s="1" t="s">
        <v>537</v>
      </c>
      <c r="E4006" s="1" t="s">
        <v>927</v>
      </c>
      <c r="F4006" s="1" t="s">
        <v>926</v>
      </c>
      <c r="G4006" s="1">
        <v>16.0</v>
      </c>
      <c r="H4006" s="1">
        <v>0.75739645</v>
      </c>
      <c r="I4006" s="1">
        <v>3.83</v>
      </c>
      <c r="J4006" s="1">
        <v>0.7059</v>
      </c>
    </row>
    <row r="4007">
      <c r="A4007" s="1">
        <v>2025.0</v>
      </c>
      <c r="B4007" s="1" t="s">
        <v>715</v>
      </c>
      <c r="C4007" s="1">
        <v>628317.0</v>
      </c>
      <c r="D4007" s="1" t="s">
        <v>538</v>
      </c>
      <c r="E4007" s="1" t="s">
        <v>927</v>
      </c>
      <c r="F4007" s="1" t="s">
        <v>926</v>
      </c>
      <c r="G4007" s="1">
        <v>21.0</v>
      </c>
      <c r="H4007" s="1">
        <v>0.99408284</v>
      </c>
      <c r="I4007" s="1">
        <v>4.55</v>
      </c>
      <c r="J4007" s="1">
        <v>0.641186</v>
      </c>
    </row>
    <row r="4008">
      <c r="A4008" s="1">
        <v>2025.0</v>
      </c>
      <c r="B4008" s="1" t="s">
        <v>715</v>
      </c>
      <c r="C4008" s="1">
        <v>628317.0</v>
      </c>
      <c r="D4008" s="1" t="s">
        <v>533</v>
      </c>
      <c r="E4008" s="1" t="s">
        <v>927</v>
      </c>
      <c r="F4008" s="1" t="s">
        <v>926</v>
      </c>
      <c r="G4008" s="1">
        <v>2.0</v>
      </c>
      <c r="H4008" s="1">
        <v>0.094674556</v>
      </c>
      <c r="I4008" s="1">
        <v>5.27</v>
      </c>
      <c r="J4008" s="1">
        <v>0.034478</v>
      </c>
    </row>
    <row r="4009">
      <c r="A4009" s="1">
        <v>2025.0</v>
      </c>
      <c r="B4009" s="1" t="s">
        <v>715</v>
      </c>
      <c r="C4009" s="1">
        <v>628317.0</v>
      </c>
      <c r="D4009" s="1" t="s">
        <v>539</v>
      </c>
      <c r="E4009" s="1" t="s">
        <v>927</v>
      </c>
      <c r="F4009" s="1" t="s">
        <v>926</v>
      </c>
      <c r="G4009" s="1">
        <v>18.0</v>
      </c>
      <c r="H4009" s="1">
        <v>0.852071006</v>
      </c>
      <c r="I4009" s="1">
        <v>6.37</v>
      </c>
      <c r="J4009" s="1">
        <v>-0.105688</v>
      </c>
    </row>
    <row r="4010">
      <c r="A4010" s="1">
        <v>2025.0</v>
      </c>
      <c r="B4010" s="1" t="s">
        <v>715</v>
      </c>
      <c r="C4010" s="1">
        <v>628317.0</v>
      </c>
      <c r="D4010" s="1" t="s">
        <v>541</v>
      </c>
      <c r="E4010" s="1" t="s">
        <v>927</v>
      </c>
      <c r="F4010" s="1" t="s">
        <v>927</v>
      </c>
      <c r="G4010" s="1">
        <v>1.0</v>
      </c>
      <c r="H4010" s="1">
        <v>0.047337278</v>
      </c>
      <c r="I4010" s="1">
        <v>5.77</v>
      </c>
      <c r="J4010" s="1">
        <v>0.001985</v>
      </c>
    </row>
    <row r="4011">
      <c r="A4011" s="1">
        <v>2025.0</v>
      </c>
      <c r="B4011" s="1" t="s">
        <v>715</v>
      </c>
      <c r="C4011" s="1">
        <v>628317.0</v>
      </c>
      <c r="D4011" s="1" t="s">
        <v>540</v>
      </c>
      <c r="E4011" s="1" t="s">
        <v>927</v>
      </c>
      <c r="F4011" s="1" t="s">
        <v>927</v>
      </c>
      <c r="G4011" s="1">
        <v>1.0</v>
      </c>
      <c r="H4011" s="1">
        <v>0.047337278</v>
      </c>
      <c r="I4011" s="1">
        <v>5.86</v>
      </c>
      <c r="J4011" s="1">
        <v>-7.77E-4</v>
      </c>
    </row>
    <row r="4012">
      <c r="A4012" s="1">
        <v>2025.0</v>
      </c>
      <c r="B4012" s="1" t="s">
        <v>715</v>
      </c>
      <c r="C4012" s="1">
        <v>628317.0</v>
      </c>
      <c r="D4012" s="1" t="s">
        <v>537</v>
      </c>
      <c r="E4012" s="1" t="s">
        <v>927</v>
      </c>
      <c r="F4012" s="1" t="s">
        <v>927</v>
      </c>
      <c r="G4012" s="1">
        <v>16.0</v>
      </c>
      <c r="H4012" s="1">
        <v>0.75739645</v>
      </c>
      <c r="I4012" s="1">
        <v>4.23</v>
      </c>
      <c r="J4012" s="1">
        <v>0.584405</v>
      </c>
    </row>
    <row r="4013">
      <c r="A4013" s="1">
        <v>2025.0</v>
      </c>
      <c r="B4013" s="1" t="s">
        <v>715</v>
      </c>
      <c r="C4013" s="1">
        <v>628317.0</v>
      </c>
      <c r="D4013" s="1" t="s">
        <v>538</v>
      </c>
      <c r="E4013" s="1" t="s">
        <v>927</v>
      </c>
      <c r="F4013" s="1" t="s">
        <v>927</v>
      </c>
      <c r="G4013" s="1">
        <v>41.0</v>
      </c>
      <c r="H4013" s="1">
        <v>1.940828402</v>
      </c>
      <c r="I4013" s="1">
        <v>3.81</v>
      </c>
      <c r="J4013" s="1">
        <v>1.854438</v>
      </c>
    </row>
    <row r="4014">
      <c r="A4014" s="1">
        <v>2025.0</v>
      </c>
      <c r="B4014" s="1" t="s">
        <v>715</v>
      </c>
      <c r="C4014" s="1">
        <v>628317.0</v>
      </c>
      <c r="D4014" s="1" t="s">
        <v>536</v>
      </c>
      <c r="E4014" s="1" t="s">
        <v>927</v>
      </c>
      <c r="F4014" s="1" t="s">
        <v>927</v>
      </c>
      <c r="G4014" s="1">
        <v>12.0</v>
      </c>
      <c r="H4014" s="1">
        <v>0.568047337</v>
      </c>
      <c r="I4014" s="1">
        <v>5.45</v>
      </c>
      <c r="J4014" s="1">
        <v>0.165171</v>
      </c>
    </row>
    <row r="4015">
      <c r="A4015" s="1">
        <v>2025.0</v>
      </c>
      <c r="B4015" s="1" t="s">
        <v>715</v>
      </c>
      <c r="C4015" s="1">
        <v>628317.0</v>
      </c>
      <c r="D4015" s="1" t="s">
        <v>533</v>
      </c>
      <c r="E4015" s="1" t="s">
        <v>927</v>
      </c>
      <c r="F4015" s="1" t="s">
        <v>927</v>
      </c>
      <c r="G4015" s="1">
        <v>16.0</v>
      </c>
      <c r="H4015" s="1">
        <v>0.75739645</v>
      </c>
      <c r="I4015" s="1">
        <v>4.42</v>
      </c>
      <c r="J4015" s="1">
        <v>0.533869</v>
      </c>
    </row>
    <row r="4016">
      <c r="A4016" s="1">
        <v>2025.0</v>
      </c>
      <c r="B4016" s="1" t="s">
        <v>715</v>
      </c>
      <c r="C4016" s="1">
        <v>628317.0</v>
      </c>
      <c r="D4016" s="1" t="s">
        <v>539</v>
      </c>
      <c r="E4016" s="1" t="s">
        <v>927</v>
      </c>
      <c r="F4016" s="1" t="s">
        <v>927</v>
      </c>
      <c r="G4016" s="1">
        <v>24.0</v>
      </c>
      <c r="H4016" s="1">
        <v>1.136094675</v>
      </c>
      <c r="I4016" s="1">
        <v>4.76</v>
      </c>
      <c r="J4016" s="1">
        <v>0.596277</v>
      </c>
    </row>
    <row r="4017">
      <c r="A4017" s="1">
        <v>2025.0</v>
      </c>
      <c r="B4017" s="1" t="s">
        <v>155</v>
      </c>
      <c r="C4017" s="1">
        <v>592332.0</v>
      </c>
      <c r="D4017" s="1" t="s">
        <v>537</v>
      </c>
      <c r="E4017" s="1" t="s">
        <v>927</v>
      </c>
      <c r="F4017" s="1" t="s">
        <v>926</v>
      </c>
      <c r="G4017" s="1">
        <v>788.0</v>
      </c>
      <c r="H4017" s="1">
        <v>50.22589168</v>
      </c>
      <c r="I4017" s="1">
        <v>5.23</v>
      </c>
      <c r="J4017" s="1">
        <v>14.017628</v>
      </c>
    </row>
    <row r="4018">
      <c r="A4018" s="1">
        <v>2025.0</v>
      </c>
      <c r="B4018" s="1" t="s">
        <v>155</v>
      </c>
      <c r="C4018" s="1">
        <v>592332.0</v>
      </c>
      <c r="D4018" s="1" t="s">
        <v>538</v>
      </c>
      <c r="E4018" s="1" t="s">
        <v>927</v>
      </c>
      <c r="F4018" s="1" t="s">
        <v>926</v>
      </c>
      <c r="G4018" s="1">
        <v>562.0</v>
      </c>
      <c r="H4018" s="1">
        <v>35.82100396</v>
      </c>
      <c r="I4018" s="1">
        <v>4.94</v>
      </c>
      <c r="J4018" s="1">
        <v>12.791609</v>
      </c>
    </row>
    <row r="4019">
      <c r="A4019" s="1">
        <v>2025.0</v>
      </c>
      <c r="B4019" s="1" t="s">
        <v>155</v>
      </c>
      <c r="C4019" s="1">
        <v>592332.0</v>
      </c>
      <c r="D4019" s="1" t="s">
        <v>536</v>
      </c>
      <c r="E4019" s="1" t="s">
        <v>927</v>
      </c>
      <c r="F4019" s="1" t="s">
        <v>926</v>
      </c>
      <c r="G4019" s="1">
        <v>1.0</v>
      </c>
      <c r="H4019" s="1">
        <v>0.063738441</v>
      </c>
      <c r="I4019" s="1">
        <v>6.54</v>
      </c>
      <c r="J4019" s="1">
        <v>-0.007658</v>
      </c>
    </row>
    <row r="4020">
      <c r="A4020" s="1">
        <v>2025.0</v>
      </c>
      <c r="B4020" s="1" t="s">
        <v>155</v>
      </c>
      <c r="C4020" s="1">
        <v>592332.0</v>
      </c>
      <c r="D4020" s="1" t="s">
        <v>533</v>
      </c>
      <c r="E4020" s="1" t="s">
        <v>927</v>
      </c>
      <c r="F4020" s="1" t="s">
        <v>926</v>
      </c>
      <c r="G4020" s="1">
        <v>45.0</v>
      </c>
      <c r="H4020" s="1">
        <v>2.868229855</v>
      </c>
      <c r="I4020" s="1">
        <v>4.77</v>
      </c>
      <c r="J4020" s="1">
        <v>1.191512</v>
      </c>
    </row>
    <row r="4021">
      <c r="A4021" s="1">
        <v>2025.0</v>
      </c>
      <c r="B4021" s="1" t="s">
        <v>155</v>
      </c>
      <c r="C4021" s="1">
        <v>592332.0</v>
      </c>
      <c r="D4021" s="1" t="s">
        <v>537</v>
      </c>
      <c r="E4021" s="1" t="s">
        <v>927</v>
      </c>
      <c r="F4021" s="1" t="s">
        <v>927</v>
      </c>
      <c r="G4021" s="1">
        <v>838.0</v>
      </c>
      <c r="H4021" s="1">
        <v>53.41281374</v>
      </c>
      <c r="I4021" s="1">
        <v>5.17</v>
      </c>
      <c r="J4021" s="1">
        <v>15.772913</v>
      </c>
    </row>
    <row r="4022">
      <c r="A4022" s="1">
        <v>2025.0</v>
      </c>
      <c r="B4022" s="1" t="s">
        <v>155</v>
      </c>
      <c r="C4022" s="1">
        <v>592332.0</v>
      </c>
      <c r="D4022" s="1" t="s">
        <v>538</v>
      </c>
      <c r="E4022" s="1" t="s">
        <v>927</v>
      </c>
      <c r="F4022" s="1" t="s">
        <v>927</v>
      </c>
      <c r="G4022" s="1">
        <v>576.0</v>
      </c>
      <c r="H4022" s="1">
        <v>36.71334214</v>
      </c>
      <c r="I4022" s="1">
        <v>5.16</v>
      </c>
      <c r="J4022" s="1">
        <v>10.404789</v>
      </c>
    </row>
    <row r="4023">
      <c r="A4023" s="1">
        <v>2025.0</v>
      </c>
      <c r="B4023" s="1" t="s">
        <v>155</v>
      </c>
      <c r="C4023" s="1">
        <v>592332.0</v>
      </c>
      <c r="D4023" s="1" t="s">
        <v>536</v>
      </c>
      <c r="E4023" s="1" t="s">
        <v>927</v>
      </c>
      <c r="F4023" s="1" t="s">
        <v>927</v>
      </c>
      <c r="G4023" s="1">
        <v>1.0</v>
      </c>
      <c r="H4023" s="1">
        <v>0.063738441</v>
      </c>
      <c r="I4023" s="1">
        <v>3.19</v>
      </c>
      <c r="J4023" s="1">
        <v>0.060356</v>
      </c>
    </row>
    <row r="4024">
      <c r="A4024" s="1">
        <v>2025.0</v>
      </c>
      <c r="B4024" s="1" t="s">
        <v>155</v>
      </c>
      <c r="C4024" s="1">
        <v>592332.0</v>
      </c>
      <c r="D4024" s="1" t="s">
        <v>533</v>
      </c>
      <c r="E4024" s="1" t="s">
        <v>927</v>
      </c>
      <c r="F4024" s="1" t="s">
        <v>927</v>
      </c>
      <c r="G4024" s="1">
        <v>217.0</v>
      </c>
      <c r="H4024" s="1">
        <v>13.83124174</v>
      </c>
      <c r="I4024" s="1">
        <v>4.71</v>
      </c>
      <c r="J4024" s="1">
        <v>6.107613</v>
      </c>
    </row>
    <row r="4025">
      <c r="A4025" s="1">
        <v>2025.0</v>
      </c>
      <c r="B4025" s="1" t="s">
        <v>823</v>
      </c>
      <c r="C4025" s="1">
        <v>656464.0</v>
      </c>
      <c r="D4025" s="1" t="s">
        <v>537</v>
      </c>
      <c r="E4025" s="1" t="s">
        <v>927</v>
      </c>
      <c r="F4025" s="1" t="s">
        <v>926</v>
      </c>
      <c r="G4025" s="1">
        <v>124.0</v>
      </c>
      <c r="H4025" s="1">
        <v>6.482009504</v>
      </c>
      <c r="I4025" s="1">
        <v>4.69</v>
      </c>
      <c r="J4025" s="1">
        <v>3.564472</v>
      </c>
    </row>
    <row r="4026">
      <c r="A4026" s="1">
        <v>2025.0</v>
      </c>
      <c r="B4026" s="1" t="s">
        <v>823</v>
      </c>
      <c r="C4026" s="1">
        <v>656464.0</v>
      </c>
      <c r="D4026" s="1" t="s">
        <v>536</v>
      </c>
      <c r="E4026" s="1" t="s">
        <v>927</v>
      </c>
      <c r="F4026" s="1" t="s">
        <v>926</v>
      </c>
      <c r="G4026" s="1">
        <v>9.0</v>
      </c>
      <c r="H4026" s="1">
        <v>0.470468432</v>
      </c>
      <c r="I4026" s="1">
        <v>4.95</v>
      </c>
      <c r="J4026" s="1">
        <v>0.212899</v>
      </c>
    </row>
    <row r="4027">
      <c r="A4027" s="1">
        <v>2025.0</v>
      </c>
      <c r="B4027" s="1" t="s">
        <v>823</v>
      </c>
      <c r="C4027" s="1">
        <v>656464.0</v>
      </c>
      <c r="D4027" s="1" t="s">
        <v>533</v>
      </c>
      <c r="E4027" s="1" t="s">
        <v>927</v>
      </c>
      <c r="F4027" s="1" t="s">
        <v>926</v>
      </c>
      <c r="G4027" s="1">
        <v>81.0</v>
      </c>
      <c r="H4027" s="1">
        <v>4.234215886</v>
      </c>
      <c r="I4027" s="1">
        <v>5.13</v>
      </c>
      <c r="J4027" s="1">
        <v>1.495821</v>
      </c>
    </row>
    <row r="4028">
      <c r="A4028" s="1">
        <v>2025.0</v>
      </c>
      <c r="B4028" s="1" t="s">
        <v>823</v>
      </c>
      <c r="C4028" s="1">
        <v>656464.0</v>
      </c>
      <c r="D4028" s="1" t="s">
        <v>537</v>
      </c>
      <c r="E4028" s="1" t="s">
        <v>927</v>
      </c>
      <c r="F4028" s="1" t="s">
        <v>927</v>
      </c>
      <c r="G4028" s="1">
        <v>118.0</v>
      </c>
      <c r="H4028" s="1">
        <v>6.168363883</v>
      </c>
      <c r="I4028" s="1">
        <v>4.9</v>
      </c>
      <c r="J4028" s="1">
        <v>2.866121</v>
      </c>
    </row>
    <row r="4029">
      <c r="A4029" s="1">
        <v>2025.0</v>
      </c>
      <c r="B4029" s="1" t="s">
        <v>823</v>
      </c>
      <c r="C4029" s="1">
        <v>656464.0</v>
      </c>
      <c r="D4029" s="1" t="s">
        <v>536</v>
      </c>
      <c r="E4029" s="1" t="s">
        <v>927</v>
      </c>
      <c r="F4029" s="1" t="s">
        <v>927</v>
      </c>
      <c r="G4029" s="1">
        <v>31.0</v>
      </c>
      <c r="H4029" s="1">
        <v>1.620502376</v>
      </c>
      <c r="I4029" s="1">
        <v>5.11</v>
      </c>
      <c r="J4029" s="1">
        <v>0.624091</v>
      </c>
    </row>
    <row r="4030">
      <c r="A4030" s="1">
        <v>2025.0</v>
      </c>
      <c r="B4030" s="1" t="s">
        <v>823</v>
      </c>
      <c r="C4030" s="1">
        <v>656464.0</v>
      </c>
      <c r="D4030" s="1" t="s">
        <v>533</v>
      </c>
      <c r="E4030" s="1" t="s">
        <v>927</v>
      </c>
      <c r="F4030" s="1" t="s">
        <v>927</v>
      </c>
      <c r="G4030" s="1">
        <v>128.0</v>
      </c>
      <c r="H4030" s="1">
        <v>6.691106585</v>
      </c>
      <c r="I4030" s="1">
        <v>4.8</v>
      </c>
      <c r="J4030" s="1">
        <v>3.296319</v>
      </c>
    </row>
    <row r="4031">
      <c r="A4031" s="1">
        <v>2025.0</v>
      </c>
      <c r="B4031" s="1" t="s">
        <v>748</v>
      </c>
      <c r="C4031" s="1">
        <v>643361.0</v>
      </c>
      <c r="D4031" s="1" t="s">
        <v>532</v>
      </c>
      <c r="E4031" s="1" t="s">
        <v>927</v>
      </c>
      <c r="F4031" s="1" t="s">
        <v>926</v>
      </c>
      <c r="G4031" s="1">
        <v>40.0</v>
      </c>
      <c r="H4031" s="1">
        <v>2.429906542</v>
      </c>
      <c r="I4031" s="1">
        <v>4.55</v>
      </c>
      <c r="J4031" s="1">
        <v>1.225269</v>
      </c>
    </row>
    <row r="4032">
      <c r="A4032" s="1">
        <v>2025.0</v>
      </c>
      <c r="B4032" s="1" t="s">
        <v>748</v>
      </c>
      <c r="C4032" s="1">
        <v>643361.0</v>
      </c>
      <c r="D4032" s="1" t="s">
        <v>541</v>
      </c>
      <c r="E4032" s="1" t="s">
        <v>927</v>
      </c>
      <c r="F4032" s="1" t="s">
        <v>926</v>
      </c>
      <c r="G4032" s="1">
        <v>2.0</v>
      </c>
      <c r="H4032" s="1">
        <v>0.121495327</v>
      </c>
      <c r="I4032" s="1">
        <v>4.32</v>
      </c>
      <c r="J4032" s="1">
        <v>0.074751</v>
      </c>
    </row>
    <row r="4033">
      <c r="A4033" s="1">
        <v>2025.0</v>
      </c>
      <c r="B4033" s="1" t="s">
        <v>748</v>
      </c>
      <c r="C4033" s="1">
        <v>643361.0</v>
      </c>
      <c r="D4033" s="1" t="s">
        <v>540</v>
      </c>
      <c r="E4033" s="1" t="s">
        <v>927</v>
      </c>
      <c r="F4033" s="1" t="s">
        <v>926</v>
      </c>
      <c r="G4033" s="1">
        <v>22.0</v>
      </c>
      <c r="H4033" s="1">
        <v>1.336448598</v>
      </c>
      <c r="I4033" s="1">
        <v>5.29</v>
      </c>
      <c r="J4033" s="1">
        <v>0.368258</v>
      </c>
    </row>
    <row r="4034">
      <c r="A4034" s="1">
        <v>2025.0</v>
      </c>
      <c r="B4034" s="1" t="s">
        <v>748</v>
      </c>
      <c r="C4034" s="1">
        <v>643361.0</v>
      </c>
      <c r="D4034" s="1" t="s">
        <v>537</v>
      </c>
      <c r="E4034" s="1" t="s">
        <v>927</v>
      </c>
      <c r="F4034" s="1" t="s">
        <v>926</v>
      </c>
      <c r="G4034" s="1">
        <v>32.0</v>
      </c>
      <c r="H4034" s="1">
        <v>1.943925234</v>
      </c>
      <c r="I4034" s="1">
        <v>5.04</v>
      </c>
      <c r="J4034" s="1">
        <v>0.69869</v>
      </c>
    </row>
    <row r="4035">
      <c r="A4035" s="1">
        <v>2025.0</v>
      </c>
      <c r="B4035" s="1" t="s">
        <v>748</v>
      </c>
      <c r="C4035" s="1">
        <v>643361.0</v>
      </c>
      <c r="D4035" s="1" t="s">
        <v>532</v>
      </c>
      <c r="E4035" s="1" t="s">
        <v>927</v>
      </c>
      <c r="F4035" s="1" t="s">
        <v>927</v>
      </c>
      <c r="G4035" s="1">
        <v>38.0</v>
      </c>
      <c r="H4035" s="1">
        <v>2.308411215</v>
      </c>
      <c r="I4035" s="1">
        <v>4.99</v>
      </c>
      <c r="J4035" s="1">
        <v>0.802654</v>
      </c>
    </row>
    <row r="4036">
      <c r="A4036" s="1">
        <v>2025.0</v>
      </c>
      <c r="B4036" s="1" t="s">
        <v>748</v>
      </c>
      <c r="C4036" s="1">
        <v>643361.0</v>
      </c>
      <c r="D4036" s="1" t="s">
        <v>540</v>
      </c>
      <c r="E4036" s="1" t="s">
        <v>927</v>
      </c>
      <c r="F4036" s="1" t="s">
        <v>927</v>
      </c>
      <c r="G4036" s="1">
        <v>17.0</v>
      </c>
      <c r="H4036" s="1">
        <v>1.03271028</v>
      </c>
      <c r="I4036" s="1">
        <v>5.27</v>
      </c>
      <c r="J4036" s="1">
        <v>0.290697</v>
      </c>
    </row>
    <row r="4037">
      <c r="A4037" s="1">
        <v>2025.0</v>
      </c>
      <c r="B4037" s="1" t="s">
        <v>748</v>
      </c>
      <c r="C4037" s="1">
        <v>643361.0</v>
      </c>
      <c r="D4037" s="1" t="s">
        <v>537</v>
      </c>
      <c r="E4037" s="1" t="s">
        <v>927</v>
      </c>
      <c r="F4037" s="1" t="s">
        <v>927</v>
      </c>
      <c r="G4037" s="1">
        <v>63.0</v>
      </c>
      <c r="H4037" s="1">
        <v>3.827102804</v>
      </c>
      <c r="I4037" s="1">
        <v>4.89</v>
      </c>
      <c r="J4037" s="1">
        <v>1.563772</v>
      </c>
    </row>
    <row r="4038">
      <c r="A4038" s="1">
        <v>2025.0</v>
      </c>
      <c r="B4038" s="1" t="s">
        <v>110</v>
      </c>
      <c r="C4038" s="1">
        <v>687330.0</v>
      </c>
      <c r="D4038" s="1" t="s">
        <v>540</v>
      </c>
      <c r="E4038" s="1" t="s">
        <v>927</v>
      </c>
      <c r="F4038" s="1" t="s">
        <v>926</v>
      </c>
      <c r="G4038" s="1">
        <v>59.0</v>
      </c>
      <c r="H4038" s="1">
        <v>3.98015873</v>
      </c>
      <c r="I4038" s="1">
        <v>4.6</v>
      </c>
      <c r="J4038" s="1">
        <v>1.792424</v>
      </c>
    </row>
    <row r="4039">
      <c r="A4039" s="1">
        <v>2025.0</v>
      </c>
      <c r="B4039" s="1" t="s">
        <v>110</v>
      </c>
      <c r="C4039" s="1">
        <v>687330.0</v>
      </c>
      <c r="D4039" s="1" t="s">
        <v>537</v>
      </c>
      <c r="E4039" s="1" t="s">
        <v>927</v>
      </c>
      <c r="F4039" s="1" t="s">
        <v>926</v>
      </c>
      <c r="G4039" s="1">
        <v>41.0</v>
      </c>
      <c r="H4039" s="1">
        <v>2.765873016</v>
      </c>
      <c r="I4039" s="1">
        <v>4.28</v>
      </c>
      <c r="J4039" s="1">
        <v>1.413641</v>
      </c>
    </row>
    <row r="4040">
      <c r="A4040" s="1">
        <v>2025.0</v>
      </c>
      <c r="B4040" s="1" t="s">
        <v>110</v>
      </c>
      <c r="C4040" s="1">
        <v>687330.0</v>
      </c>
      <c r="D4040" s="1" t="s">
        <v>536</v>
      </c>
      <c r="E4040" s="1" t="s">
        <v>927</v>
      </c>
      <c r="F4040" s="1" t="s">
        <v>926</v>
      </c>
      <c r="G4040" s="1">
        <v>135.0</v>
      </c>
      <c r="H4040" s="1">
        <v>9.107142857</v>
      </c>
      <c r="I4040" s="1">
        <v>5.28</v>
      </c>
      <c r="J4040" s="1">
        <v>2.266355</v>
      </c>
    </row>
    <row r="4041">
      <c r="A4041" s="1">
        <v>2025.0</v>
      </c>
      <c r="B4041" s="1" t="s">
        <v>110</v>
      </c>
      <c r="C4041" s="1">
        <v>687330.0</v>
      </c>
      <c r="D4041" s="1" t="s">
        <v>539</v>
      </c>
      <c r="E4041" s="1" t="s">
        <v>927</v>
      </c>
      <c r="F4041" s="1" t="s">
        <v>926</v>
      </c>
      <c r="G4041" s="1">
        <v>28.0</v>
      </c>
      <c r="H4041" s="1">
        <v>1.888888889</v>
      </c>
      <c r="I4041" s="1">
        <v>4.83</v>
      </c>
      <c r="J4041" s="1">
        <v>0.685873</v>
      </c>
    </row>
    <row r="4042">
      <c r="A4042" s="1">
        <v>2025.0</v>
      </c>
      <c r="B4042" s="1" t="s">
        <v>110</v>
      </c>
      <c r="C4042" s="1">
        <v>687330.0</v>
      </c>
      <c r="D4042" s="1" t="s">
        <v>540</v>
      </c>
      <c r="E4042" s="1" t="s">
        <v>927</v>
      </c>
      <c r="F4042" s="1" t="s">
        <v>927</v>
      </c>
      <c r="G4042" s="1">
        <v>20.0</v>
      </c>
      <c r="H4042" s="1">
        <v>1.349206349</v>
      </c>
      <c r="I4042" s="1">
        <v>4.08</v>
      </c>
      <c r="J4042" s="1">
        <v>0.788998</v>
      </c>
    </row>
    <row r="4043">
      <c r="A4043" s="1">
        <v>2025.0</v>
      </c>
      <c r="B4043" s="1" t="s">
        <v>110</v>
      </c>
      <c r="C4043" s="1">
        <v>687330.0</v>
      </c>
      <c r="D4043" s="1" t="s">
        <v>537</v>
      </c>
      <c r="E4043" s="1" t="s">
        <v>927</v>
      </c>
      <c r="F4043" s="1" t="s">
        <v>927</v>
      </c>
      <c r="G4043" s="1">
        <v>6.0</v>
      </c>
      <c r="H4043" s="1">
        <v>0.404761905</v>
      </c>
      <c r="I4043" s="1">
        <v>4.95</v>
      </c>
      <c r="J4043" s="1">
        <v>0.14325</v>
      </c>
    </row>
    <row r="4044">
      <c r="A4044" s="1">
        <v>2025.0</v>
      </c>
      <c r="B4044" s="1" t="s">
        <v>110</v>
      </c>
      <c r="C4044" s="1">
        <v>687330.0</v>
      </c>
      <c r="D4044" s="1" t="s">
        <v>536</v>
      </c>
      <c r="E4044" s="1" t="s">
        <v>927</v>
      </c>
      <c r="F4044" s="1" t="s">
        <v>927</v>
      </c>
      <c r="G4044" s="1">
        <v>211.0</v>
      </c>
      <c r="H4044" s="1">
        <v>14.23412698</v>
      </c>
      <c r="I4044" s="1">
        <v>5.36</v>
      </c>
      <c r="J4044" s="1">
        <v>3.214953</v>
      </c>
    </row>
    <row r="4045">
      <c r="A4045" s="1">
        <v>2025.0</v>
      </c>
      <c r="B4045" s="1" t="s">
        <v>110</v>
      </c>
      <c r="C4045" s="1">
        <v>687330.0</v>
      </c>
      <c r="D4045" s="1" t="s">
        <v>539</v>
      </c>
      <c r="E4045" s="1" t="s">
        <v>927</v>
      </c>
      <c r="F4045" s="1" t="s">
        <v>927</v>
      </c>
      <c r="G4045" s="1">
        <v>88.0</v>
      </c>
      <c r="H4045" s="1">
        <v>5.936507937</v>
      </c>
      <c r="I4045" s="1">
        <v>5.3</v>
      </c>
      <c r="J4045" s="1">
        <v>1.358457</v>
      </c>
    </row>
    <row r="4046">
      <c r="A4046" s="1">
        <v>2025.0</v>
      </c>
      <c r="B4046" s="1" t="s">
        <v>980</v>
      </c>
      <c r="C4046" s="1">
        <v>621028.0</v>
      </c>
      <c r="D4046" s="1" t="s">
        <v>537</v>
      </c>
      <c r="E4046" s="1" t="s">
        <v>927</v>
      </c>
      <c r="F4046" s="1" t="s">
        <v>926</v>
      </c>
      <c r="G4046" s="1">
        <v>2.0</v>
      </c>
      <c r="H4046" s="1">
        <v>1.142857143</v>
      </c>
      <c r="I4046" s="1">
        <v>7.53</v>
      </c>
      <c r="J4046" s="1">
        <v>-0.072063</v>
      </c>
    </row>
    <row r="4047">
      <c r="A4047" s="1">
        <v>2025.0</v>
      </c>
      <c r="B4047" s="1" t="s">
        <v>980</v>
      </c>
      <c r="C4047" s="1">
        <v>621028.0</v>
      </c>
      <c r="D4047" s="1" t="s">
        <v>928</v>
      </c>
      <c r="E4047" s="1" t="s">
        <v>927</v>
      </c>
      <c r="F4047" s="1" t="s">
        <v>926</v>
      </c>
      <c r="G4047" s="1">
        <v>5.0</v>
      </c>
      <c r="H4047" s="1">
        <v>2.857142857</v>
      </c>
      <c r="I4047" s="1">
        <v>4.01</v>
      </c>
      <c r="J4047" s="1">
        <v>0.223914</v>
      </c>
    </row>
    <row r="4048">
      <c r="A4048" s="1">
        <v>2025.0</v>
      </c>
      <c r="B4048" s="1" t="s">
        <v>392</v>
      </c>
      <c r="C4048" s="1">
        <v>489446.0</v>
      </c>
      <c r="D4048" s="1" t="s">
        <v>537</v>
      </c>
      <c r="E4048" s="1" t="s">
        <v>927</v>
      </c>
      <c r="F4048" s="1" t="s">
        <v>926</v>
      </c>
      <c r="G4048" s="1">
        <v>154.0</v>
      </c>
      <c r="H4048" s="1">
        <v>8.353455818</v>
      </c>
      <c r="I4048" s="1">
        <v>4.75</v>
      </c>
      <c r="J4048" s="1">
        <v>4.22757</v>
      </c>
    </row>
    <row r="4049">
      <c r="A4049" s="1">
        <v>2025.0</v>
      </c>
      <c r="B4049" s="1" t="s">
        <v>392</v>
      </c>
      <c r="C4049" s="1">
        <v>489446.0</v>
      </c>
      <c r="D4049" s="1" t="s">
        <v>538</v>
      </c>
      <c r="E4049" s="1" t="s">
        <v>927</v>
      </c>
      <c r="F4049" s="1" t="s">
        <v>926</v>
      </c>
      <c r="G4049" s="1">
        <v>114.0</v>
      </c>
      <c r="H4049" s="1">
        <v>6.183727034</v>
      </c>
      <c r="I4049" s="1">
        <v>4.61</v>
      </c>
      <c r="J4049" s="1">
        <v>3.33117</v>
      </c>
    </row>
    <row r="4050">
      <c r="A4050" s="1">
        <v>2025.0</v>
      </c>
      <c r="B4050" s="1" t="s">
        <v>392</v>
      </c>
      <c r="C4050" s="1">
        <v>489446.0</v>
      </c>
      <c r="D4050" s="1" t="s">
        <v>537</v>
      </c>
      <c r="E4050" s="1" t="s">
        <v>927</v>
      </c>
      <c r="F4050" s="1" t="s">
        <v>927</v>
      </c>
      <c r="G4050" s="1">
        <v>286.0</v>
      </c>
      <c r="H4050" s="1">
        <v>15.5135608</v>
      </c>
      <c r="I4050" s="1">
        <v>5.23</v>
      </c>
      <c r="J4050" s="1">
        <v>4.947705</v>
      </c>
    </row>
    <row r="4051">
      <c r="A4051" s="1">
        <v>2025.0</v>
      </c>
      <c r="B4051" s="1" t="s">
        <v>392</v>
      </c>
      <c r="C4051" s="1">
        <v>489446.0</v>
      </c>
      <c r="D4051" s="1" t="s">
        <v>538</v>
      </c>
      <c r="E4051" s="1" t="s">
        <v>927</v>
      </c>
      <c r="F4051" s="1" t="s">
        <v>927</v>
      </c>
      <c r="G4051" s="1">
        <v>208.0</v>
      </c>
      <c r="H4051" s="1">
        <v>11.28258968</v>
      </c>
      <c r="I4051" s="1">
        <v>4.78</v>
      </c>
      <c r="J4051" s="1">
        <v>5.397868</v>
      </c>
    </row>
    <row r="4052">
      <c r="A4052" s="1">
        <v>2025.0</v>
      </c>
      <c r="B4052" s="1" t="s">
        <v>461</v>
      </c>
      <c r="C4052" s="1">
        <v>673540.0</v>
      </c>
      <c r="D4052" s="1" t="s">
        <v>541</v>
      </c>
      <c r="E4052" s="1" t="s">
        <v>927</v>
      </c>
      <c r="F4052" s="1" t="s">
        <v>926</v>
      </c>
      <c r="G4052" s="1">
        <v>20.0</v>
      </c>
      <c r="H4052" s="1">
        <v>1.19423955</v>
      </c>
      <c r="I4052" s="1">
        <v>3.78</v>
      </c>
      <c r="J4052" s="1">
        <v>0.94872</v>
      </c>
    </row>
    <row r="4053">
      <c r="A4053" s="1">
        <v>2025.0</v>
      </c>
      <c r="B4053" s="1" t="s">
        <v>461</v>
      </c>
      <c r="C4053" s="1">
        <v>673540.0</v>
      </c>
      <c r="D4053" s="1" t="s">
        <v>540</v>
      </c>
      <c r="E4053" s="1" t="s">
        <v>927</v>
      </c>
      <c r="F4053" s="1" t="s">
        <v>926</v>
      </c>
      <c r="G4053" s="1">
        <v>232.0</v>
      </c>
      <c r="H4053" s="1">
        <v>13.85317878</v>
      </c>
      <c r="I4053" s="1">
        <v>5.09</v>
      </c>
      <c r="J4053" s="1">
        <v>4.93767</v>
      </c>
    </row>
    <row r="4054">
      <c r="A4054" s="1">
        <v>2025.0</v>
      </c>
      <c r="B4054" s="1" t="s">
        <v>461</v>
      </c>
      <c r="C4054" s="1">
        <v>673540.0</v>
      </c>
      <c r="D4054" s="1" t="s">
        <v>537</v>
      </c>
      <c r="E4054" s="1" t="s">
        <v>927</v>
      </c>
      <c r="F4054" s="1" t="s">
        <v>926</v>
      </c>
      <c r="G4054" s="1">
        <v>314.0</v>
      </c>
      <c r="H4054" s="1">
        <v>18.74956094</v>
      </c>
      <c r="I4054" s="1">
        <v>4.81</v>
      </c>
      <c r="J4054" s="1">
        <v>8.116218</v>
      </c>
    </row>
    <row r="4055">
      <c r="A4055" s="1">
        <v>2025.0</v>
      </c>
      <c r="B4055" s="1" t="s">
        <v>461</v>
      </c>
      <c r="C4055" s="1">
        <v>673540.0</v>
      </c>
      <c r="D4055" s="1" t="s">
        <v>538</v>
      </c>
      <c r="E4055" s="1" t="s">
        <v>927</v>
      </c>
      <c r="F4055" s="1" t="s">
        <v>926</v>
      </c>
      <c r="G4055" s="1">
        <v>318.0</v>
      </c>
      <c r="H4055" s="1">
        <v>18.98840885</v>
      </c>
      <c r="I4055" s="1">
        <v>5.44</v>
      </c>
      <c r="J4055" s="1">
        <v>4.072654</v>
      </c>
    </row>
    <row r="4056">
      <c r="A4056" s="1">
        <v>2025.0</v>
      </c>
      <c r="B4056" s="1" t="s">
        <v>461</v>
      </c>
      <c r="C4056" s="1">
        <v>673540.0</v>
      </c>
      <c r="D4056" s="1" t="s">
        <v>536</v>
      </c>
      <c r="E4056" s="1" t="s">
        <v>927</v>
      </c>
      <c r="F4056" s="1" t="s">
        <v>926</v>
      </c>
      <c r="G4056" s="1">
        <v>71.0</v>
      </c>
      <c r="H4056" s="1">
        <v>4.239550404</v>
      </c>
      <c r="I4056" s="1">
        <v>3.88</v>
      </c>
      <c r="J4056" s="1">
        <v>3.1062</v>
      </c>
    </row>
    <row r="4057">
      <c r="A4057" s="1">
        <v>2025.0</v>
      </c>
      <c r="B4057" s="1" t="s">
        <v>461</v>
      </c>
      <c r="C4057" s="1">
        <v>673540.0</v>
      </c>
      <c r="D4057" s="1" t="s">
        <v>533</v>
      </c>
      <c r="E4057" s="1" t="s">
        <v>927</v>
      </c>
      <c r="F4057" s="1" t="s">
        <v>926</v>
      </c>
      <c r="G4057" s="1">
        <v>22.0</v>
      </c>
      <c r="H4057" s="1">
        <v>1.313663505</v>
      </c>
      <c r="I4057" s="1">
        <v>4.53</v>
      </c>
      <c r="J4057" s="1">
        <v>0.701821</v>
      </c>
    </row>
    <row r="4058">
      <c r="A4058" s="1">
        <v>2025.0</v>
      </c>
      <c r="B4058" s="1" t="s">
        <v>461</v>
      </c>
      <c r="C4058" s="1">
        <v>673540.0</v>
      </c>
      <c r="D4058" s="1" t="s">
        <v>539</v>
      </c>
      <c r="E4058" s="1" t="s">
        <v>927</v>
      </c>
      <c r="F4058" s="1" t="s">
        <v>926</v>
      </c>
      <c r="G4058" s="1">
        <v>83.0</v>
      </c>
      <c r="H4058" s="1">
        <v>4.956094134</v>
      </c>
      <c r="I4058" s="1">
        <v>4.6</v>
      </c>
      <c r="J4058" s="1">
        <v>2.54988</v>
      </c>
    </row>
    <row r="4059">
      <c r="A4059" s="1">
        <v>2025.0</v>
      </c>
      <c r="B4059" s="1" t="s">
        <v>461</v>
      </c>
      <c r="C4059" s="1">
        <v>673540.0</v>
      </c>
      <c r="D4059" s="1" t="s">
        <v>541</v>
      </c>
      <c r="E4059" s="1" t="s">
        <v>927</v>
      </c>
      <c r="F4059" s="1" t="s">
        <v>927</v>
      </c>
      <c r="G4059" s="1">
        <v>12.0</v>
      </c>
      <c r="H4059" s="1">
        <v>0.71654373</v>
      </c>
      <c r="I4059" s="1">
        <v>4.55</v>
      </c>
      <c r="J4059" s="1">
        <v>0.382314</v>
      </c>
    </row>
    <row r="4060">
      <c r="A4060" s="1">
        <v>2025.0</v>
      </c>
      <c r="B4060" s="1" t="s">
        <v>461</v>
      </c>
      <c r="C4060" s="1">
        <v>673540.0</v>
      </c>
      <c r="D4060" s="1" t="s">
        <v>540</v>
      </c>
      <c r="E4060" s="1" t="s">
        <v>927</v>
      </c>
      <c r="F4060" s="1" t="s">
        <v>927</v>
      </c>
      <c r="G4060" s="1">
        <v>155.0</v>
      </c>
      <c r="H4060" s="1">
        <v>9.255356516</v>
      </c>
      <c r="I4060" s="1">
        <v>5.17</v>
      </c>
      <c r="J4060" s="1">
        <v>2.998695</v>
      </c>
    </row>
    <row r="4061">
      <c r="A4061" s="1">
        <v>2025.0</v>
      </c>
      <c r="B4061" s="1" t="s">
        <v>461</v>
      </c>
      <c r="C4061" s="1">
        <v>673540.0</v>
      </c>
      <c r="D4061" s="1" t="s">
        <v>537</v>
      </c>
      <c r="E4061" s="1" t="s">
        <v>927</v>
      </c>
      <c r="F4061" s="1" t="s">
        <v>927</v>
      </c>
      <c r="G4061" s="1">
        <v>282.0</v>
      </c>
      <c r="H4061" s="1">
        <v>16.83877766</v>
      </c>
      <c r="I4061" s="1">
        <v>4.89</v>
      </c>
      <c r="J4061" s="1">
        <v>6.827904</v>
      </c>
    </row>
    <row r="4062">
      <c r="A4062" s="1">
        <v>2025.0</v>
      </c>
      <c r="B4062" s="1" t="s">
        <v>461</v>
      </c>
      <c r="C4062" s="1">
        <v>673540.0</v>
      </c>
      <c r="D4062" s="1" t="s">
        <v>538</v>
      </c>
      <c r="E4062" s="1" t="s">
        <v>927</v>
      </c>
      <c r="F4062" s="1" t="s">
        <v>927</v>
      </c>
      <c r="G4062" s="1">
        <v>223.0</v>
      </c>
      <c r="H4062" s="1">
        <v>13.31577099</v>
      </c>
      <c r="I4062" s="1">
        <v>5.44</v>
      </c>
      <c r="J4062" s="1">
        <v>2.741629</v>
      </c>
    </row>
    <row r="4063">
      <c r="A4063" s="1">
        <v>2025.0</v>
      </c>
      <c r="B4063" s="1" t="s">
        <v>461</v>
      </c>
      <c r="C4063" s="1">
        <v>673540.0</v>
      </c>
      <c r="D4063" s="1" t="s">
        <v>536</v>
      </c>
      <c r="E4063" s="1" t="s">
        <v>927</v>
      </c>
      <c r="F4063" s="1" t="s">
        <v>927</v>
      </c>
      <c r="G4063" s="1">
        <v>42.0</v>
      </c>
      <c r="H4063" s="1">
        <v>2.507903056</v>
      </c>
      <c r="I4063" s="1">
        <v>4.3</v>
      </c>
      <c r="J4063" s="1">
        <v>1.507334</v>
      </c>
    </row>
    <row r="4064">
      <c r="A4064" s="1">
        <v>2025.0</v>
      </c>
      <c r="B4064" s="1" t="s">
        <v>461</v>
      </c>
      <c r="C4064" s="1">
        <v>673540.0</v>
      </c>
      <c r="D4064" s="1" t="s">
        <v>533</v>
      </c>
      <c r="E4064" s="1" t="s">
        <v>927</v>
      </c>
      <c r="F4064" s="1" t="s">
        <v>927</v>
      </c>
      <c r="G4064" s="1">
        <v>80.0</v>
      </c>
      <c r="H4064" s="1">
        <v>4.776958202</v>
      </c>
      <c r="I4064" s="1">
        <v>4.81</v>
      </c>
      <c r="J4064" s="1">
        <v>2.036682</v>
      </c>
    </row>
    <row r="4065">
      <c r="A4065" s="1">
        <v>2025.0</v>
      </c>
      <c r="B4065" s="1" t="s">
        <v>461</v>
      </c>
      <c r="C4065" s="1">
        <v>673540.0</v>
      </c>
      <c r="D4065" s="1" t="s">
        <v>539</v>
      </c>
      <c r="E4065" s="1" t="s">
        <v>927</v>
      </c>
      <c r="F4065" s="1" t="s">
        <v>927</v>
      </c>
      <c r="G4065" s="1">
        <v>44.0</v>
      </c>
      <c r="H4065" s="1">
        <v>2.627327011</v>
      </c>
      <c r="I4065" s="1">
        <v>5.3</v>
      </c>
      <c r="J4065" s="1">
        <v>0.720151</v>
      </c>
    </row>
    <row r="4066">
      <c r="A4066" s="1">
        <v>2025.0</v>
      </c>
      <c r="B4066" s="1" t="s">
        <v>981</v>
      </c>
      <c r="C4066" s="1">
        <v>665019.0</v>
      </c>
      <c r="D4066" s="1" t="s">
        <v>537</v>
      </c>
      <c r="E4066" s="1" t="s">
        <v>927</v>
      </c>
      <c r="F4066" s="1" t="s">
        <v>926</v>
      </c>
      <c r="G4066" s="1">
        <v>1.0</v>
      </c>
      <c r="H4066" s="1">
        <v>0.5</v>
      </c>
      <c r="I4066" s="1">
        <v>4.35</v>
      </c>
      <c r="J4066" s="1">
        <v>0.032626</v>
      </c>
    </row>
    <row r="4067">
      <c r="A4067" s="1">
        <v>2025.0</v>
      </c>
      <c r="B4067" s="1" t="s">
        <v>981</v>
      </c>
      <c r="C4067" s="1">
        <v>665019.0</v>
      </c>
      <c r="D4067" s="1" t="s">
        <v>537</v>
      </c>
      <c r="E4067" s="1" t="s">
        <v>927</v>
      </c>
      <c r="F4067" s="1" t="s">
        <v>927</v>
      </c>
      <c r="G4067" s="1">
        <v>1.0</v>
      </c>
      <c r="H4067" s="1">
        <v>0.5</v>
      </c>
      <c r="I4067" s="1">
        <v>4.26</v>
      </c>
      <c r="J4067" s="1">
        <v>0.038632</v>
      </c>
    </row>
    <row r="4068">
      <c r="A4068" s="1">
        <v>2025.0</v>
      </c>
      <c r="B4068" s="1" t="s">
        <v>333</v>
      </c>
      <c r="C4068" s="1">
        <v>681892.0</v>
      </c>
      <c r="D4068" s="1" t="s">
        <v>540</v>
      </c>
      <c r="E4068" s="1" t="s">
        <v>926</v>
      </c>
      <c r="F4068" s="1" t="s">
        <v>926</v>
      </c>
      <c r="G4068" s="1">
        <v>43.0</v>
      </c>
      <c r="H4068" s="1">
        <v>2.438450899</v>
      </c>
      <c r="I4068" s="1">
        <v>5.08</v>
      </c>
      <c r="J4068" s="1">
        <v>0.90299</v>
      </c>
    </row>
    <row r="4069">
      <c r="A4069" s="1">
        <v>2025.0</v>
      </c>
      <c r="B4069" s="1" t="s">
        <v>333</v>
      </c>
      <c r="C4069" s="1">
        <v>681892.0</v>
      </c>
      <c r="D4069" s="1" t="s">
        <v>536</v>
      </c>
      <c r="E4069" s="1" t="s">
        <v>926</v>
      </c>
      <c r="F4069" s="1" t="s">
        <v>926</v>
      </c>
      <c r="G4069" s="1">
        <v>145.0</v>
      </c>
      <c r="H4069" s="1">
        <v>8.222683264</v>
      </c>
      <c r="I4069" s="1">
        <v>5.09</v>
      </c>
      <c r="J4069" s="1">
        <v>2.869581</v>
      </c>
    </row>
    <row r="4070">
      <c r="A4070" s="1">
        <v>2025.0</v>
      </c>
      <c r="B4070" s="1" t="s">
        <v>333</v>
      </c>
      <c r="C4070" s="1">
        <v>681892.0</v>
      </c>
      <c r="D4070" s="1" t="s">
        <v>533</v>
      </c>
      <c r="E4070" s="1" t="s">
        <v>926</v>
      </c>
      <c r="F4070" s="1" t="s">
        <v>926</v>
      </c>
      <c r="G4070" s="1">
        <v>67.0</v>
      </c>
      <c r="H4070" s="1">
        <v>3.79944675</v>
      </c>
      <c r="I4070" s="1">
        <v>5.1</v>
      </c>
      <c r="J4070" s="1">
        <v>1.322549</v>
      </c>
    </row>
    <row r="4071">
      <c r="A4071" s="1">
        <v>2025.0</v>
      </c>
      <c r="B4071" s="1" t="s">
        <v>333</v>
      </c>
      <c r="C4071" s="1">
        <v>681892.0</v>
      </c>
      <c r="D4071" s="1" t="s">
        <v>539</v>
      </c>
      <c r="E4071" s="1" t="s">
        <v>926</v>
      </c>
      <c r="F4071" s="1" t="s">
        <v>926</v>
      </c>
      <c r="G4071" s="1">
        <v>80.0</v>
      </c>
      <c r="H4071" s="1">
        <v>4.536652835</v>
      </c>
      <c r="I4071" s="1">
        <v>4.55</v>
      </c>
      <c r="J4071" s="1">
        <v>2.398064</v>
      </c>
    </row>
    <row r="4072">
      <c r="A4072" s="1">
        <v>2025.0</v>
      </c>
      <c r="B4072" s="1" t="s">
        <v>333</v>
      </c>
      <c r="C4072" s="1">
        <v>681892.0</v>
      </c>
      <c r="D4072" s="1" t="s">
        <v>532</v>
      </c>
      <c r="E4072" s="1" t="s">
        <v>926</v>
      </c>
      <c r="F4072" s="1" t="s">
        <v>927</v>
      </c>
      <c r="G4072" s="1">
        <v>87.0</v>
      </c>
      <c r="H4072" s="1">
        <v>4.933609959</v>
      </c>
      <c r="I4072" s="1">
        <v>5.15</v>
      </c>
      <c r="J4072" s="1">
        <v>1.631225</v>
      </c>
    </row>
    <row r="4073">
      <c r="A4073" s="1">
        <v>2025.0</v>
      </c>
      <c r="B4073" s="1" t="s">
        <v>333</v>
      </c>
      <c r="C4073" s="1">
        <v>681892.0</v>
      </c>
      <c r="D4073" s="1" t="s">
        <v>540</v>
      </c>
      <c r="E4073" s="1" t="s">
        <v>926</v>
      </c>
      <c r="F4073" s="1" t="s">
        <v>927</v>
      </c>
      <c r="G4073" s="1">
        <v>138.0</v>
      </c>
      <c r="H4073" s="1">
        <v>7.825726141</v>
      </c>
      <c r="I4073" s="1">
        <v>5.19</v>
      </c>
      <c r="J4073" s="1">
        <v>2.554965</v>
      </c>
    </row>
    <row r="4074">
      <c r="A4074" s="1">
        <v>2025.0</v>
      </c>
      <c r="B4074" s="1" t="s">
        <v>333</v>
      </c>
      <c r="C4074" s="1">
        <v>681892.0</v>
      </c>
      <c r="D4074" s="1" t="s">
        <v>536</v>
      </c>
      <c r="E4074" s="1" t="s">
        <v>926</v>
      </c>
      <c r="F4074" s="1" t="s">
        <v>927</v>
      </c>
      <c r="G4074" s="1">
        <v>90.0</v>
      </c>
      <c r="H4074" s="1">
        <v>5.10373444</v>
      </c>
      <c r="I4074" s="1">
        <v>4.86</v>
      </c>
      <c r="J4074" s="1">
        <v>2.27485</v>
      </c>
    </row>
    <row r="4075">
      <c r="A4075" s="1">
        <v>2025.0</v>
      </c>
      <c r="B4075" s="1" t="s">
        <v>333</v>
      </c>
      <c r="C4075" s="1">
        <v>681892.0</v>
      </c>
      <c r="D4075" s="1" t="s">
        <v>533</v>
      </c>
      <c r="E4075" s="1" t="s">
        <v>926</v>
      </c>
      <c r="F4075" s="1" t="s">
        <v>927</v>
      </c>
      <c r="G4075" s="1">
        <v>30.0</v>
      </c>
      <c r="H4075" s="1">
        <v>1.701244813</v>
      </c>
      <c r="I4075" s="1">
        <v>5.04</v>
      </c>
      <c r="J4075" s="1">
        <v>0.636818</v>
      </c>
    </row>
    <row r="4076">
      <c r="A4076" s="1">
        <v>2025.0</v>
      </c>
      <c r="B4076" s="1" t="s">
        <v>333</v>
      </c>
      <c r="C4076" s="1">
        <v>681892.0</v>
      </c>
      <c r="D4076" s="1" t="s">
        <v>539</v>
      </c>
      <c r="E4076" s="1" t="s">
        <v>926</v>
      </c>
      <c r="F4076" s="1" t="s">
        <v>927</v>
      </c>
      <c r="G4076" s="1">
        <v>43.0</v>
      </c>
      <c r="H4076" s="1">
        <v>2.438450899</v>
      </c>
      <c r="I4076" s="1">
        <v>4.98</v>
      </c>
      <c r="J4076" s="1">
        <v>0.909044</v>
      </c>
    </row>
    <row r="4077">
      <c r="A4077" s="1">
        <v>2025.0</v>
      </c>
      <c r="B4077" s="1" t="s">
        <v>259</v>
      </c>
      <c r="C4077" s="1">
        <v>663465.0</v>
      </c>
      <c r="D4077" s="1" t="s">
        <v>532</v>
      </c>
      <c r="E4077" s="1" t="s">
        <v>926</v>
      </c>
      <c r="F4077" s="1" t="s">
        <v>926</v>
      </c>
      <c r="G4077" s="1">
        <v>29.0</v>
      </c>
      <c r="H4077" s="1">
        <v>1.885</v>
      </c>
      <c r="I4077" s="1">
        <v>4.56</v>
      </c>
      <c r="J4077" s="1">
        <v>0.892307</v>
      </c>
    </row>
    <row r="4078">
      <c r="A4078" s="1">
        <v>2025.0</v>
      </c>
      <c r="B4078" s="1" t="s">
        <v>259</v>
      </c>
      <c r="C4078" s="1">
        <v>663465.0</v>
      </c>
      <c r="D4078" s="1" t="s">
        <v>541</v>
      </c>
      <c r="E4078" s="1" t="s">
        <v>926</v>
      </c>
      <c r="F4078" s="1" t="s">
        <v>926</v>
      </c>
      <c r="G4078" s="1">
        <v>27.0</v>
      </c>
      <c r="H4078" s="1">
        <v>1.755</v>
      </c>
      <c r="I4078" s="1">
        <v>3.94</v>
      </c>
      <c r="J4078" s="1">
        <v>1.197897</v>
      </c>
    </row>
    <row r="4079">
      <c r="A4079" s="1">
        <v>2025.0</v>
      </c>
      <c r="B4079" s="1" t="s">
        <v>259</v>
      </c>
      <c r="C4079" s="1">
        <v>663465.0</v>
      </c>
      <c r="D4079" s="1" t="s">
        <v>540</v>
      </c>
      <c r="E4079" s="1" t="s">
        <v>926</v>
      </c>
      <c r="F4079" s="1" t="s">
        <v>926</v>
      </c>
      <c r="G4079" s="1">
        <v>84.0</v>
      </c>
      <c r="H4079" s="1">
        <v>5.46</v>
      </c>
      <c r="I4079" s="1">
        <v>4.95</v>
      </c>
      <c r="J4079" s="1">
        <v>2.009591</v>
      </c>
    </row>
    <row r="4080">
      <c r="A4080" s="1">
        <v>2025.0</v>
      </c>
      <c r="B4080" s="1" t="s">
        <v>259</v>
      </c>
      <c r="C4080" s="1">
        <v>663465.0</v>
      </c>
      <c r="D4080" s="1" t="s">
        <v>537</v>
      </c>
      <c r="E4080" s="1" t="s">
        <v>926</v>
      </c>
      <c r="F4080" s="1" t="s">
        <v>926</v>
      </c>
      <c r="G4080" s="1">
        <v>106.0</v>
      </c>
      <c r="H4080" s="1">
        <v>6.89</v>
      </c>
      <c r="I4080" s="1">
        <v>5.61</v>
      </c>
      <c r="J4080" s="1">
        <v>1.081109</v>
      </c>
    </row>
    <row r="4081">
      <c r="A4081" s="1">
        <v>2025.0</v>
      </c>
      <c r="B4081" s="1" t="s">
        <v>259</v>
      </c>
      <c r="C4081" s="1">
        <v>663465.0</v>
      </c>
      <c r="D4081" s="1" t="s">
        <v>536</v>
      </c>
      <c r="E4081" s="1" t="s">
        <v>926</v>
      </c>
      <c r="F4081" s="1" t="s">
        <v>926</v>
      </c>
      <c r="G4081" s="1">
        <v>81.0</v>
      </c>
      <c r="H4081" s="1">
        <v>5.265</v>
      </c>
      <c r="I4081" s="1">
        <v>5.3</v>
      </c>
      <c r="J4081" s="1">
        <v>1.358965</v>
      </c>
    </row>
    <row r="4082">
      <c r="A4082" s="1">
        <v>2025.0</v>
      </c>
      <c r="B4082" s="1" t="s">
        <v>259</v>
      </c>
      <c r="C4082" s="1">
        <v>663465.0</v>
      </c>
      <c r="D4082" s="1" t="s">
        <v>532</v>
      </c>
      <c r="E4082" s="1" t="s">
        <v>926</v>
      </c>
      <c r="F4082" s="1" t="s">
        <v>927</v>
      </c>
      <c r="G4082" s="1">
        <v>171.0</v>
      </c>
      <c r="H4082" s="1">
        <v>11.115</v>
      </c>
      <c r="I4082" s="1">
        <v>4.54</v>
      </c>
      <c r="J4082" s="1">
        <v>5.396112</v>
      </c>
    </row>
    <row r="4083">
      <c r="A4083" s="1">
        <v>2025.0</v>
      </c>
      <c r="B4083" s="1" t="s">
        <v>259</v>
      </c>
      <c r="C4083" s="1">
        <v>663465.0</v>
      </c>
      <c r="D4083" s="1" t="s">
        <v>541</v>
      </c>
      <c r="E4083" s="1" t="s">
        <v>926</v>
      </c>
      <c r="F4083" s="1" t="s">
        <v>927</v>
      </c>
      <c r="G4083" s="1">
        <v>105.0</v>
      </c>
      <c r="H4083" s="1">
        <v>6.825</v>
      </c>
      <c r="I4083" s="1">
        <v>4.82</v>
      </c>
      <c r="J4083" s="1">
        <v>2.690355</v>
      </c>
    </row>
    <row r="4084">
      <c r="A4084" s="1">
        <v>2025.0</v>
      </c>
      <c r="B4084" s="1" t="s">
        <v>259</v>
      </c>
      <c r="C4084" s="1">
        <v>663465.0</v>
      </c>
      <c r="D4084" s="1" t="s">
        <v>540</v>
      </c>
      <c r="E4084" s="1" t="s">
        <v>926</v>
      </c>
      <c r="F4084" s="1" t="s">
        <v>927</v>
      </c>
      <c r="G4084" s="1">
        <v>109.0</v>
      </c>
      <c r="H4084" s="1">
        <v>7.085</v>
      </c>
      <c r="I4084" s="1">
        <v>5.6</v>
      </c>
      <c r="J4084" s="1">
        <v>1.183672</v>
      </c>
    </row>
    <row r="4085">
      <c r="A4085" s="1">
        <v>2025.0</v>
      </c>
      <c r="B4085" s="1" t="s">
        <v>259</v>
      </c>
      <c r="C4085" s="1">
        <v>663465.0</v>
      </c>
      <c r="D4085" s="1" t="s">
        <v>537</v>
      </c>
      <c r="E4085" s="1" t="s">
        <v>926</v>
      </c>
      <c r="F4085" s="1" t="s">
        <v>927</v>
      </c>
      <c r="G4085" s="1">
        <v>275.0</v>
      </c>
      <c r="H4085" s="1">
        <v>17.875</v>
      </c>
      <c r="I4085" s="1">
        <v>5.02</v>
      </c>
      <c r="J4085" s="1">
        <v>6.198222</v>
      </c>
    </row>
    <row r="4086">
      <c r="A4086" s="1">
        <v>2025.0</v>
      </c>
      <c r="B4086" s="1" t="s">
        <v>259</v>
      </c>
      <c r="C4086" s="1">
        <v>663465.0</v>
      </c>
      <c r="D4086" s="1" t="s">
        <v>536</v>
      </c>
      <c r="E4086" s="1" t="s">
        <v>926</v>
      </c>
      <c r="F4086" s="1" t="s">
        <v>927</v>
      </c>
      <c r="G4086" s="1">
        <v>13.0</v>
      </c>
      <c r="H4086" s="1">
        <v>0.845</v>
      </c>
      <c r="I4086" s="1">
        <v>3.96</v>
      </c>
      <c r="J4086" s="1">
        <v>0.576047</v>
      </c>
    </row>
    <row r="4087">
      <c r="A4087" s="1">
        <v>2025.0</v>
      </c>
      <c r="B4087" s="1" t="s">
        <v>546</v>
      </c>
      <c r="C4087" s="1">
        <v>663455.0</v>
      </c>
      <c r="D4087" s="1" t="s">
        <v>532</v>
      </c>
      <c r="E4087" s="1" t="s">
        <v>926</v>
      </c>
      <c r="F4087" s="1" t="s">
        <v>926</v>
      </c>
      <c r="G4087" s="1">
        <v>5.0</v>
      </c>
      <c r="H4087" s="1">
        <v>0.283333333</v>
      </c>
      <c r="I4087" s="1">
        <v>4.21</v>
      </c>
      <c r="J4087" s="1">
        <v>0.198466</v>
      </c>
    </row>
    <row r="4088">
      <c r="A4088" s="1">
        <v>2025.0</v>
      </c>
      <c r="B4088" s="1" t="s">
        <v>546</v>
      </c>
      <c r="C4088" s="1">
        <v>663455.0</v>
      </c>
      <c r="D4088" s="1" t="s">
        <v>541</v>
      </c>
      <c r="E4088" s="1" t="s">
        <v>926</v>
      </c>
      <c r="F4088" s="1" t="s">
        <v>926</v>
      </c>
      <c r="G4088" s="1">
        <v>2.0</v>
      </c>
      <c r="H4088" s="1">
        <v>0.113333333</v>
      </c>
      <c r="I4088" s="1">
        <v>4.83</v>
      </c>
      <c r="J4088" s="1">
        <v>0.053029</v>
      </c>
    </row>
    <row r="4089">
      <c r="A4089" s="1">
        <v>2025.0</v>
      </c>
      <c r="B4089" s="1" t="s">
        <v>546</v>
      </c>
      <c r="C4089" s="1">
        <v>663455.0</v>
      </c>
      <c r="D4089" s="1" t="s">
        <v>537</v>
      </c>
      <c r="E4089" s="1" t="s">
        <v>926</v>
      </c>
      <c r="F4089" s="1" t="s">
        <v>926</v>
      </c>
      <c r="G4089" s="1">
        <v>123.0</v>
      </c>
      <c r="H4089" s="1">
        <v>6.97</v>
      </c>
      <c r="I4089" s="1">
        <v>4.99</v>
      </c>
      <c r="J4089" s="1">
        <v>2.78519</v>
      </c>
    </row>
    <row r="4090">
      <c r="A4090" s="1">
        <v>2025.0</v>
      </c>
      <c r="B4090" s="1" t="s">
        <v>546</v>
      </c>
      <c r="C4090" s="1">
        <v>663455.0</v>
      </c>
      <c r="D4090" s="1" t="s">
        <v>533</v>
      </c>
      <c r="E4090" s="1" t="s">
        <v>926</v>
      </c>
      <c r="F4090" s="1" t="s">
        <v>926</v>
      </c>
      <c r="G4090" s="1">
        <v>75.0</v>
      </c>
      <c r="H4090" s="1">
        <v>4.25</v>
      </c>
      <c r="I4090" s="1">
        <v>4.66</v>
      </c>
      <c r="J4090" s="1">
        <v>2.17424</v>
      </c>
    </row>
    <row r="4091">
      <c r="A4091" s="1">
        <v>2025.0</v>
      </c>
      <c r="B4091" s="1" t="s">
        <v>546</v>
      </c>
      <c r="C4091" s="1">
        <v>663455.0</v>
      </c>
      <c r="D4091" s="1" t="s">
        <v>532</v>
      </c>
      <c r="E4091" s="1" t="s">
        <v>926</v>
      </c>
      <c r="F4091" s="1" t="s">
        <v>927</v>
      </c>
      <c r="G4091" s="1">
        <v>103.0</v>
      </c>
      <c r="H4091" s="1">
        <v>5.836666667</v>
      </c>
      <c r="I4091" s="1">
        <v>4.1</v>
      </c>
      <c r="J4091" s="1">
        <v>4.148217</v>
      </c>
    </row>
    <row r="4092">
      <c r="A4092" s="1">
        <v>2025.0</v>
      </c>
      <c r="B4092" s="1" t="s">
        <v>546</v>
      </c>
      <c r="C4092" s="1">
        <v>663455.0</v>
      </c>
      <c r="D4092" s="1" t="s">
        <v>537</v>
      </c>
      <c r="E4092" s="1" t="s">
        <v>926</v>
      </c>
      <c r="F4092" s="1" t="s">
        <v>927</v>
      </c>
      <c r="G4092" s="1">
        <v>172.0</v>
      </c>
      <c r="H4092" s="1">
        <v>9.746666667</v>
      </c>
      <c r="I4092" s="1">
        <v>4.83</v>
      </c>
      <c r="J4092" s="1">
        <v>4.590237</v>
      </c>
    </row>
    <row r="4093">
      <c r="A4093" s="1">
        <v>2025.0</v>
      </c>
      <c r="B4093" s="1" t="s">
        <v>546</v>
      </c>
      <c r="C4093" s="1">
        <v>663455.0</v>
      </c>
      <c r="D4093" s="1" t="s">
        <v>533</v>
      </c>
      <c r="E4093" s="1" t="s">
        <v>926</v>
      </c>
      <c r="F4093" s="1" t="s">
        <v>927</v>
      </c>
      <c r="G4093" s="1">
        <v>20.0</v>
      </c>
      <c r="H4093" s="1">
        <v>1.133333333</v>
      </c>
      <c r="I4093" s="1">
        <v>5.55</v>
      </c>
      <c r="J4093" s="1">
        <v>0.200004</v>
      </c>
    </row>
    <row r="4094">
      <c r="A4094" s="1">
        <v>2025.0</v>
      </c>
      <c r="B4094" s="1" t="s">
        <v>982</v>
      </c>
      <c r="C4094" s="1">
        <v>686676.0</v>
      </c>
      <c r="D4094" s="1" t="s">
        <v>537</v>
      </c>
      <c r="E4094" s="1" t="s">
        <v>927</v>
      </c>
      <c r="F4094" s="1" t="s">
        <v>926</v>
      </c>
      <c r="G4094" s="1">
        <v>21.0</v>
      </c>
      <c r="H4094" s="1">
        <v>1.657894737</v>
      </c>
      <c r="I4094" s="1">
        <v>4.3</v>
      </c>
      <c r="J4094" s="1">
        <v>0.786835</v>
      </c>
    </row>
    <row r="4095">
      <c r="A4095" s="1">
        <v>2025.0</v>
      </c>
      <c r="B4095" s="1" t="s">
        <v>982</v>
      </c>
      <c r="C4095" s="1">
        <v>686676.0</v>
      </c>
      <c r="D4095" s="1" t="s">
        <v>537</v>
      </c>
      <c r="E4095" s="1" t="s">
        <v>927</v>
      </c>
      <c r="F4095" s="1" t="s">
        <v>927</v>
      </c>
      <c r="G4095" s="1">
        <v>17.0</v>
      </c>
      <c r="H4095" s="1">
        <v>1.342105263</v>
      </c>
      <c r="I4095" s="1">
        <v>4.15</v>
      </c>
      <c r="J4095" s="1">
        <v>0.673268</v>
      </c>
    </row>
    <row r="4096">
      <c r="A4096" s="1">
        <v>2025.0</v>
      </c>
      <c r="B4096" s="1" t="s">
        <v>163</v>
      </c>
      <c r="C4096" s="1">
        <v>663460.0</v>
      </c>
      <c r="D4096" s="1" t="s">
        <v>532</v>
      </c>
      <c r="E4096" s="1" t="s">
        <v>926</v>
      </c>
      <c r="F4096" s="1" t="s">
        <v>926</v>
      </c>
      <c r="G4096" s="1">
        <v>12.0</v>
      </c>
      <c r="H4096" s="1">
        <v>0.777715877</v>
      </c>
      <c r="I4096" s="1">
        <v>3.9</v>
      </c>
      <c r="J4096" s="1">
        <v>0.500536</v>
      </c>
    </row>
    <row r="4097">
      <c r="A4097" s="1">
        <v>2025.0</v>
      </c>
      <c r="B4097" s="1" t="s">
        <v>163</v>
      </c>
      <c r="C4097" s="1">
        <v>663460.0</v>
      </c>
      <c r="D4097" s="1" t="s">
        <v>537</v>
      </c>
      <c r="E4097" s="1" t="s">
        <v>926</v>
      </c>
      <c r="F4097" s="1" t="s">
        <v>926</v>
      </c>
      <c r="G4097" s="1">
        <v>103.0</v>
      </c>
      <c r="H4097" s="1">
        <v>6.675394615</v>
      </c>
      <c r="I4097" s="1">
        <v>5.09</v>
      </c>
      <c r="J4097" s="1">
        <v>2.150079</v>
      </c>
    </row>
    <row r="4098">
      <c r="A4098" s="1">
        <v>2025.0</v>
      </c>
      <c r="B4098" s="1" t="s">
        <v>163</v>
      </c>
      <c r="C4098" s="1">
        <v>663460.0</v>
      </c>
      <c r="D4098" s="1" t="s">
        <v>536</v>
      </c>
      <c r="E4098" s="1" t="s">
        <v>926</v>
      </c>
      <c r="F4098" s="1" t="s">
        <v>926</v>
      </c>
      <c r="G4098" s="1">
        <v>79.0</v>
      </c>
      <c r="H4098" s="1">
        <v>5.11996286</v>
      </c>
      <c r="I4098" s="1">
        <v>5.03</v>
      </c>
      <c r="J4098" s="1">
        <v>1.638182</v>
      </c>
    </row>
    <row r="4099">
      <c r="A4099" s="1">
        <v>2025.0</v>
      </c>
      <c r="B4099" s="1" t="s">
        <v>163</v>
      </c>
      <c r="C4099" s="1">
        <v>663460.0</v>
      </c>
      <c r="D4099" s="1" t="s">
        <v>533</v>
      </c>
      <c r="E4099" s="1" t="s">
        <v>926</v>
      </c>
      <c r="F4099" s="1" t="s">
        <v>926</v>
      </c>
      <c r="G4099" s="1">
        <v>102.0</v>
      </c>
      <c r="H4099" s="1">
        <v>6.610584958</v>
      </c>
      <c r="I4099" s="1">
        <v>5.45</v>
      </c>
      <c r="J4099" s="1">
        <v>1.322961</v>
      </c>
    </row>
    <row r="4100">
      <c r="A4100" s="1">
        <v>2025.0</v>
      </c>
      <c r="B4100" s="1" t="s">
        <v>163</v>
      </c>
      <c r="C4100" s="1">
        <v>663460.0</v>
      </c>
      <c r="D4100" s="1" t="s">
        <v>539</v>
      </c>
      <c r="E4100" s="1" t="s">
        <v>926</v>
      </c>
      <c r="F4100" s="1" t="s">
        <v>926</v>
      </c>
      <c r="G4100" s="1">
        <v>119.0</v>
      </c>
      <c r="H4100" s="1">
        <v>7.712349118</v>
      </c>
      <c r="I4100" s="1">
        <v>4.98</v>
      </c>
      <c r="J4100" s="1">
        <v>2.587192</v>
      </c>
    </row>
    <row r="4101">
      <c r="A4101" s="1">
        <v>2025.0</v>
      </c>
      <c r="B4101" s="1" t="s">
        <v>163</v>
      </c>
      <c r="C4101" s="1">
        <v>663460.0</v>
      </c>
      <c r="D4101" s="1" t="s">
        <v>532</v>
      </c>
      <c r="E4101" s="1" t="s">
        <v>926</v>
      </c>
      <c r="F4101" s="1" t="s">
        <v>927</v>
      </c>
      <c r="G4101" s="1">
        <v>366.0</v>
      </c>
      <c r="H4101" s="1">
        <v>23.72033426</v>
      </c>
      <c r="I4101" s="1">
        <v>4.8</v>
      </c>
      <c r="J4101" s="1">
        <v>9.339197</v>
      </c>
    </row>
    <row r="4102">
      <c r="A4102" s="1">
        <v>2025.0</v>
      </c>
      <c r="B4102" s="1" t="s">
        <v>163</v>
      </c>
      <c r="C4102" s="1">
        <v>663460.0</v>
      </c>
      <c r="D4102" s="1" t="s">
        <v>537</v>
      </c>
      <c r="E4102" s="1" t="s">
        <v>926</v>
      </c>
      <c r="F4102" s="1" t="s">
        <v>927</v>
      </c>
      <c r="G4102" s="1">
        <v>581.0</v>
      </c>
      <c r="H4102" s="1">
        <v>37.6544104</v>
      </c>
      <c r="I4102" s="1">
        <v>5.12</v>
      </c>
      <c r="J4102" s="1">
        <v>11.634083</v>
      </c>
    </row>
    <row r="4103">
      <c r="A4103" s="1">
        <v>2025.0</v>
      </c>
      <c r="B4103" s="1" t="s">
        <v>163</v>
      </c>
      <c r="C4103" s="1">
        <v>663460.0</v>
      </c>
      <c r="D4103" s="1" t="s">
        <v>536</v>
      </c>
      <c r="E4103" s="1" t="s">
        <v>926</v>
      </c>
      <c r="F4103" s="1" t="s">
        <v>927</v>
      </c>
      <c r="G4103" s="1">
        <v>38.0</v>
      </c>
      <c r="H4103" s="1">
        <v>2.462766945</v>
      </c>
      <c r="I4103" s="1">
        <v>4.15</v>
      </c>
      <c r="J4103" s="1">
        <v>1.570324</v>
      </c>
    </row>
    <row r="4104">
      <c r="A4104" s="1">
        <v>2025.0</v>
      </c>
      <c r="B4104" s="1" t="s">
        <v>163</v>
      </c>
      <c r="C4104" s="1">
        <v>663460.0</v>
      </c>
      <c r="D4104" s="1" t="s">
        <v>533</v>
      </c>
      <c r="E4104" s="1" t="s">
        <v>926</v>
      </c>
      <c r="F4104" s="1" t="s">
        <v>927</v>
      </c>
      <c r="G4104" s="1">
        <v>124.0</v>
      </c>
      <c r="H4104" s="1">
        <v>8.0363974</v>
      </c>
      <c r="I4104" s="1">
        <v>5.5</v>
      </c>
      <c r="J4104" s="1">
        <v>1.558661</v>
      </c>
    </row>
    <row r="4105">
      <c r="A4105" s="1">
        <v>2025.0</v>
      </c>
      <c r="B4105" s="1" t="s">
        <v>163</v>
      </c>
      <c r="C4105" s="1">
        <v>663460.0</v>
      </c>
      <c r="D4105" s="1" t="s">
        <v>539</v>
      </c>
      <c r="E4105" s="1" t="s">
        <v>926</v>
      </c>
      <c r="F4105" s="1" t="s">
        <v>927</v>
      </c>
      <c r="G4105" s="1">
        <v>271.0</v>
      </c>
      <c r="H4105" s="1">
        <v>17.5634169</v>
      </c>
      <c r="I4105" s="1">
        <v>5.27</v>
      </c>
      <c r="J4105" s="1">
        <v>4.431993</v>
      </c>
    </row>
    <row r="4106">
      <c r="A4106" s="1">
        <v>2025.0</v>
      </c>
      <c r="B4106" s="1" t="s">
        <v>477</v>
      </c>
      <c r="C4106" s="1">
        <v>677958.0</v>
      </c>
      <c r="D4106" s="1" t="s">
        <v>532</v>
      </c>
      <c r="E4106" s="1" t="s">
        <v>927</v>
      </c>
      <c r="F4106" s="1" t="s">
        <v>926</v>
      </c>
      <c r="G4106" s="1">
        <v>67.0</v>
      </c>
      <c r="H4106" s="1">
        <v>3.824608104</v>
      </c>
      <c r="I4106" s="1">
        <v>4.96</v>
      </c>
      <c r="J4106" s="1">
        <v>1.522248</v>
      </c>
    </row>
    <row r="4107">
      <c r="A4107" s="1">
        <v>2025.0</v>
      </c>
      <c r="B4107" s="1" t="s">
        <v>477</v>
      </c>
      <c r="C4107" s="1">
        <v>677958.0</v>
      </c>
      <c r="D4107" s="1" t="s">
        <v>541</v>
      </c>
      <c r="E4107" s="1" t="s">
        <v>927</v>
      </c>
      <c r="F4107" s="1" t="s">
        <v>926</v>
      </c>
      <c r="G4107" s="1">
        <v>51.0</v>
      </c>
      <c r="H4107" s="1">
        <v>2.911268855</v>
      </c>
      <c r="I4107" s="1">
        <v>4.44</v>
      </c>
      <c r="J4107" s="1">
        <v>1.696302</v>
      </c>
    </row>
    <row r="4108">
      <c r="A4108" s="1">
        <v>2025.0</v>
      </c>
      <c r="B4108" s="1" t="s">
        <v>477</v>
      </c>
      <c r="C4108" s="1">
        <v>677958.0</v>
      </c>
      <c r="D4108" s="1" t="s">
        <v>540</v>
      </c>
      <c r="E4108" s="1" t="s">
        <v>927</v>
      </c>
      <c r="F4108" s="1" t="s">
        <v>926</v>
      </c>
      <c r="G4108" s="1">
        <v>156.0</v>
      </c>
      <c r="H4108" s="1">
        <v>8.905057675</v>
      </c>
      <c r="I4108" s="1">
        <v>4.89</v>
      </c>
      <c r="J4108" s="1">
        <v>3.660338</v>
      </c>
    </row>
    <row r="4109">
      <c r="A4109" s="1">
        <v>2025.0</v>
      </c>
      <c r="B4109" s="1" t="s">
        <v>477</v>
      </c>
      <c r="C4109" s="1">
        <v>677958.0</v>
      </c>
      <c r="D4109" s="1" t="s">
        <v>537</v>
      </c>
      <c r="E4109" s="1" t="s">
        <v>927</v>
      </c>
      <c r="F4109" s="1" t="s">
        <v>926</v>
      </c>
      <c r="G4109" s="1">
        <v>142.0</v>
      </c>
      <c r="H4109" s="1">
        <v>8.105885833</v>
      </c>
      <c r="I4109" s="1">
        <v>4.8</v>
      </c>
      <c r="J4109" s="1">
        <v>3.708311</v>
      </c>
    </row>
    <row r="4110">
      <c r="A4110" s="1">
        <v>2025.0</v>
      </c>
      <c r="B4110" s="1" t="s">
        <v>477</v>
      </c>
      <c r="C4110" s="1">
        <v>677958.0</v>
      </c>
      <c r="D4110" s="1" t="s">
        <v>536</v>
      </c>
      <c r="E4110" s="1" t="s">
        <v>927</v>
      </c>
      <c r="F4110" s="1" t="s">
        <v>926</v>
      </c>
      <c r="G4110" s="1">
        <v>157.0</v>
      </c>
      <c r="H4110" s="1">
        <v>8.962141378</v>
      </c>
      <c r="I4110" s="1">
        <v>4.26</v>
      </c>
      <c r="J4110" s="1">
        <v>5.878664</v>
      </c>
    </row>
    <row r="4111">
      <c r="A4111" s="1">
        <v>2025.0</v>
      </c>
      <c r="B4111" s="1" t="s">
        <v>477</v>
      </c>
      <c r="C4111" s="1">
        <v>677958.0</v>
      </c>
      <c r="D4111" s="1" t="s">
        <v>533</v>
      </c>
      <c r="E4111" s="1" t="s">
        <v>927</v>
      </c>
      <c r="F4111" s="1" t="s">
        <v>926</v>
      </c>
      <c r="G4111" s="1">
        <v>77.0</v>
      </c>
      <c r="H4111" s="1">
        <v>4.395445135</v>
      </c>
      <c r="I4111" s="1">
        <v>5.06</v>
      </c>
      <c r="J4111" s="1">
        <v>1.580162</v>
      </c>
    </row>
    <row r="4112">
      <c r="A4112" s="1">
        <v>2025.0</v>
      </c>
      <c r="B4112" s="1" t="s">
        <v>477</v>
      </c>
      <c r="C4112" s="1">
        <v>677958.0</v>
      </c>
      <c r="D4112" s="1" t="s">
        <v>532</v>
      </c>
      <c r="E4112" s="1" t="s">
        <v>927</v>
      </c>
      <c r="F4112" s="1" t="s">
        <v>927</v>
      </c>
      <c r="G4112" s="1">
        <v>2.0</v>
      </c>
      <c r="H4112" s="1">
        <v>0.114167406</v>
      </c>
      <c r="I4112" s="1">
        <v>1.85</v>
      </c>
      <c r="J4112" s="1">
        <v>0.16377</v>
      </c>
    </row>
    <row r="4113">
      <c r="A4113" s="1">
        <v>2025.0</v>
      </c>
      <c r="B4113" s="1" t="s">
        <v>477</v>
      </c>
      <c r="C4113" s="1">
        <v>677958.0</v>
      </c>
      <c r="D4113" s="1" t="s">
        <v>541</v>
      </c>
      <c r="E4113" s="1" t="s">
        <v>927</v>
      </c>
      <c r="F4113" s="1" t="s">
        <v>927</v>
      </c>
      <c r="G4113" s="1">
        <v>21.0</v>
      </c>
      <c r="H4113" s="1">
        <v>1.198757764</v>
      </c>
      <c r="I4113" s="1">
        <v>4.32</v>
      </c>
      <c r="J4113" s="1">
        <v>0.7403</v>
      </c>
    </row>
    <row r="4114">
      <c r="A4114" s="1">
        <v>2025.0</v>
      </c>
      <c r="B4114" s="1" t="s">
        <v>477</v>
      </c>
      <c r="C4114" s="1">
        <v>677958.0</v>
      </c>
      <c r="D4114" s="1" t="s">
        <v>540</v>
      </c>
      <c r="E4114" s="1" t="s">
        <v>927</v>
      </c>
      <c r="F4114" s="1" t="s">
        <v>927</v>
      </c>
      <c r="G4114" s="1">
        <v>130.0</v>
      </c>
      <c r="H4114" s="1">
        <v>7.420881396</v>
      </c>
      <c r="I4114" s="1">
        <v>5.06</v>
      </c>
      <c r="J4114" s="1">
        <v>2.625971</v>
      </c>
    </row>
    <row r="4115">
      <c r="A4115" s="1">
        <v>2025.0</v>
      </c>
      <c r="B4115" s="1" t="s">
        <v>477</v>
      </c>
      <c r="C4115" s="1">
        <v>677958.0</v>
      </c>
      <c r="D4115" s="1" t="s">
        <v>537</v>
      </c>
      <c r="E4115" s="1" t="s">
        <v>927</v>
      </c>
      <c r="F4115" s="1" t="s">
        <v>927</v>
      </c>
      <c r="G4115" s="1">
        <v>84.0</v>
      </c>
      <c r="H4115" s="1">
        <v>4.795031056</v>
      </c>
      <c r="I4115" s="1">
        <v>4.6</v>
      </c>
      <c r="J4115" s="1">
        <v>2.559684</v>
      </c>
    </row>
    <row r="4116">
      <c r="A4116" s="1">
        <v>2025.0</v>
      </c>
      <c r="B4116" s="1" t="s">
        <v>477</v>
      </c>
      <c r="C4116" s="1">
        <v>677958.0</v>
      </c>
      <c r="D4116" s="1" t="s">
        <v>536</v>
      </c>
      <c r="E4116" s="1" t="s">
        <v>927</v>
      </c>
      <c r="F4116" s="1" t="s">
        <v>927</v>
      </c>
      <c r="G4116" s="1">
        <v>138.0</v>
      </c>
      <c r="H4116" s="1">
        <v>7.87755102</v>
      </c>
      <c r="I4116" s="1">
        <v>5.27</v>
      </c>
      <c r="J4116" s="1">
        <v>2.295279</v>
      </c>
    </row>
    <row r="4117">
      <c r="A4117" s="1">
        <v>2025.0</v>
      </c>
      <c r="B4117" s="1" t="s">
        <v>477</v>
      </c>
      <c r="C4117" s="1">
        <v>677958.0</v>
      </c>
      <c r="D4117" s="1" t="s">
        <v>533</v>
      </c>
      <c r="E4117" s="1" t="s">
        <v>927</v>
      </c>
      <c r="F4117" s="1" t="s">
        <v>927</v>
      </c>
      <c r="G4117" s="1">
        <v>102.0</v>
      </c>
      <c r="H4117" s="1">
        <v>5.822537711</v>
      </c>
      <c r="I4117" s="1">
        <v>4.83</v>
      </c>
      <c r="J4117" s="1">
        <v>2.593441</v>
      </c>
    </row>
    <row r="4118">
      <c r="A4118" s="1">
        <v>2025.0</v>
      </c>
      <c r="B4118" s="1" t="s">
        <v>545</v>
      </c>
      <c r="C4118" s="1">
        <v>679775.0</v>
      </c>
      <c r="D4118" s="1" t="s">
        <v>532</v>
      </c>
      <c r="E4118" s="1" t="s">
        <v>926</v>
      </c>
      <c r="F4118" s="1" t="s">
        <v>926</v>
      </c>
      <c r="G4118" s="1">
        <v>2.0</v>
      </c>
      <c r="H4118" s="1">
        <v>0.117829457</v>
      </c>
      <c r="I4118" s="1">
        <v>2.82</v>
      </c>
      <c r="J4118" s="1">
        <v>0.126597</v>
      </c>
    </row>
    <row r="4119">
      <c r="A4119" s="1">
        <v>2025.0</v>
      </c>
      <c r="B4119" s="1" t="s">
        <v>545</v>
      </c>
      <c r="C4119" s="1">
        <v>679775.0</v>
      </c>
      <c r="D4119" s="1" t="s">
        <v>536</v>
      </c>
      <c r="E4119" s="1" t="s">
        <v>926</v>
      </c>
      <c r="F4119" s="1" t="s">
        <v>926</v>
      </c>
      <c r="G4119" s="1">
        <v>104.0</v>
      </c>
      <c r="H4119" s="1">
        <v>6.127131783</v>
      </c>
      <c r="I4119" s="1">
        <v>5.2</v>
      </c>
      <c r="J4119" s="1">
        <v>1.915421</v>
      </c>
    </row>
    <row r="4120">
      <c r="A4120" s="1">
        <v>2025.0</v>
      </c>
      <c r="B4120" s="1" t="s">
        <v>545</v>
      </c>
      <c r="C4120" s="1">
        <v>679775.0</v>
      </c>
      <c r="D4120" s="1" t="s">
        <v>539</v>
      </c>
      <c r="E4120" s="1" t="s">
        <v>926</v>
      </c>
      <c r="F4120" s="1" t="s">
        <v>926</v>
      </c>
      <c r="G4120" s="1">
        <v>56.0</v>
      </c>
      <c r="H4120" s="1">
        <v>3.299224806</v>
      </c>
      <c r="I4120" s="1">
        <v>5.02</v>
      </c>
      <c r="J4120" s="1">
        <v>1.194472</v>
      </c>
    </row>
    <row r="4121">
      <c r="A4121" s="1">
        <v>2025.0</v>
      </c>
      <c r="B4121" s="1" t="s">
        <v>545</v>
      </c>
      <c r="C4121" s="1">
        <v>679775.0</v>
      </c>
      <c r="D4121" s="1" t="s">
        <v>532</v>
      </c>
      <c r="E4121" s="1" t="s">
        <v>926</v>
      </c>
      <c r="F4121" s="1" t="s">
        <v>927</v>
      </c>
      <c r="G4121" s="1">
        <v>39.0</v>
      </c>
      <c r="H4121" s="1">
        <v>2.297674419</v>
      </c>
      <c r="I4121" s="1">
        <v>4.05</v>
      </c>
      <c r="J4121" s="1">
        <v>1.548697</v>
      </c>
    </row>
    <row r="4122">
      <c r="A4122" s="1">
        <v>2025.0</v>
      </c>
      <c r="B4122" s="1" t="s">
        <v>545</v>
      </c>
      <c r="C4122" s="1">
        <v>679775.0</v>
      </c>
      <c r="D4122" s="1" t="s">
        <v>536</v>
      </c>
      <c r="E4122" s="1" t="s">
        <v>926</v>
      </c>
      <c r="F4122" s="1" t="s">
        <v>927</v>
      </c>
      <c r="G4122" s="1">
        <v>169.0</v>
      </c>
      <c r="H4122" s="1">
        <v>9.956589147</v>
      </c>
      <c r="I4122" s="1">
        <v>4.89</v>
      </c>
      <c r="J4122" s="1">
        <v>4.127938</v>
      </c>
    </row>
    <row r="4123">
      <c r="A4123" s="1">
        <v>2025.0</v>
      </c>
      <c r="B4123" s="1" t="s">
        <v>545</v>
      </c>
      <c r="C4123" s="1">
        <v>679775.0</v>
      </c>
      <c r="D4123" s="1" t="s">
        <v>533</v>
      </c>
      <c r="E4123" s="1" t="s">
        <v>926</v>
      </c>
      <c r="F4123" s="1" t="s">
        <v>927</v>
      </c>
      <c r="G4123" s="1">
        <v>2.0</v>
      </c>
      <c r="H4123" s="1">
        <v>0.117829457</v>
      </c>
      <c r="I4123" s="1">
        <v>2.55</v>
      </c>
      <c r="J4123" s="1">
        <v>0.135088</v>
      </c>
    </row>
    <row r="4124">
      <c r="A4124" s="1">
        <v>2025.0</v>
      </c>
      <c r="B4124" s="1" t="s">
        <v>545</v>
      </c>
      <c r="C4124" s="1">
        <v>679775.0</v>
      </c>
      <c r="D4124" s="1" t="s">
        <v>539</v>
      </c>
      <c r="E4124" s="1" t="s">
        <v>926</v>
      </c>
      <c r="F4124" s="1" t="s">
        <v>927</v>
      </c>
      <c r="G4124" s="1">
        <v>58.0</v>
      </c>
      <c r="H4124" s="1">
        <v>3.417054264</v>
      </c>
      <c r="I4124" s="1">
        <v>4.98</v>
      </c>
      <c r="J4124" s="1">
        <v>1.299532</v>
      </c>
    </row>
    <row r="4125">
      <c r="A4125" s="1">
        <v>2025.0</v>
      </c>
      <c r="B4125" s="1" t="s">
        <v>582</v>
      </c>
      <c r="C4125" s="1">
        <v>680694.0</v>
      </c>
      <c r="D4125" s="1" t="s">
        <v>541</v>
      </c>
      <c r="E4125" s="1" t="s">
        <v>927</v>
      </c>
      <c r="F4125" s="1" t="s">
        <v>926</v>
      </c>
      <c r="G4125" s="1">
        <v>52.0</v>
      </c>
      <c r="H4125" s="1">
        <v>3.368421053</v>
      </c>
      <c r="I4125" s="1">
        <v>5.14</v>
      </c>
      <c r="J4125" s="1">
        <v>0.962468</v>
      </c>
    </row>
    <row r="4126">
      <c r="A4126" s="1">
        <v>2025.0</v>
      </c>
      <c r="B4126" s="1" t="s">
        <v>582</v>
      </c>
      <c r="C4126" s="1">
        <v>680694.0</v>
      </c>
      <c r="D4126" s="1" t="s">
        <v>537</v>
      </c>
      <c r="E4126" s="1" t="s">
        <v>927</v>
      </c>
      <c r="F4126" s="1" t="s">
        <v>926</v>
      </c>
      <c r="G4126" s="1">
        <v>88.0</v>
      </c>
      <c r="H4126" s="1">
        <v>5.700404858</v>
      </c>
      <c r="I4126" s="1">
        <v>4.68</v>
      </c>
      <c r="J4126" s="1">
        <v>2.484577</v>
      </c>
    </row>
    <row r="4127">
      <c r="A4127" s="1">
        <v>2025.0</v>
      </c>
      <c r="B4127" s="1" t="s">
        <v>582</v>
      </c>
      <c r="C4127" s="1">
        <v>680694.0</v>
      </c>
      <c r="D4127" s="1" t="s">
        <v>536</v>
      </c>
      <c r="E4127" s="1" t="s">
        <v>927</v>
      </c>
      <c r="F4127" s="1" t="s">
        <v>926</v>
      </c>
      <c r="G4127" s="1">
        <v>94.0</v>
      </c>
      <c r="H4127" s="1">
        <v>6.089068826</v>
      </c>
      <c r="I4127" s="1">
        <v>4.65</v>
      </c>
      <c r="J4127" s="1">
        <v>2.755397</v>
      </c>
    </row>
    <row r="4128">
      <c r="A4128" s="1">
        <v>2025.0</v>
      </c>
      <c r="B4128" s="1" t="s">
        <v>582</v>
      </c>
      <c r="C4128" s="1">
        <v>680694.0</v>
      </c>
      <c r="D4128" s="1" t="s">
        <v>533</v>
      </c>
      <c r="E4128" s="1" t="s">
        <v>927</v>
      </c>
      <c r="F4128" s="1" t="s">
        <v>926</v>
      </c>
      <c r="G4128" s="1">
        <v>70.0</v>
      </c>
      <c r="H4128" s="1">
        <v>4.534412955</v>
      </c>
      <c r="I4128" s="1">
        <v>5.32</v>
      </c>
      <c r="J4128" s="1">
        <v>1.071136</v>
      </c>
    </row>
    <row r="4129">
      <c r="A4129" s="1">
        <v>2025.0</v>
      </c>
      <c r="B4129" s="1" t="s">
        <v>582</v>
      </c>
      <c r="C4129" s="1">
        <v>680694.0</v>
      </c>
      <c r="D4129" s="1" t="s">
        <v>541</v>
      </c>
      <c r="E4129" s="1" t="s">
        <v>927</v>
      </c>
      <c r="F4129" s="1" t="s">
        <v>927</v>
      </c>
      <c r="G4129" s="1">
        <v>12.0</v>
      </c>
      <c r="H4129" s="1">
        <v>0.777327935</v>
      </c>
      <c r="I4129" s="1">
        <v>4.57</v>
      </c>
      <c r="J4129" s="1">
        <v>0.347619</v>
      </c>
    </row>
    <row r="4130">
      <c r="A4130" s="1">
        <v>2025.0</v>
      </c>
      <c r="B4130" s="1" t="s">
        <v>582</v>
      </c>
      <c r="C4130" s="1">
        <v>680694.0</v>
      </c>
      <c r="D4130" s="1" t="s">
        <v>537</v>
      </c>
      <c r="E4130" s="1" t="s">
        <v>927</v>
      </c>
      <c r="F4130" s="1" t="s">
        <v>927</v>
      </c>
      <c r="G4130" s="1">
        <v>22.0</v>
      </c>
      <c r="H4130" s="1">
        <v>1.425101215</v>
      </c>
      <c r="I4130" s="1">
        <v>4.9</v>
      </c>
      <c r="J4130" s="1">
        <v>0.495373</v>
      </c>
    </row>
    <row r="4131">
      <c r="A4131" s="1">
        <v>2025.0</v>
      </c>
      <c r="B4131" s="1" t="s">
        <v>582</v>
      </c>
      <c r="C4131" s="1">
        <v>680694.0</v>
      </c>
      <c r="D4131" s="1" t="s">
        <v>536</v>
      </c>
      <c r="E4131" s="1" t="s">
        <v>927</v>
      </c>
      <c r="F4131" s="1" t="s">
        <v>927</v>
      </c>
      <c r="G4131" s="1">
        <v>69.0</v>
      </c>
      <c r="H4131" s="1">
        <v>4.469635628</v>
      </c>
      <c r="I4131" s="1">
        <v>4.84</v>
      </c>
      <c r="J4131" s="1">
        <v>1.759918</v>
      </c>
    </row>
    <row r="4132">
      <c r="A4132" s="1">
        <v>2025.0</v>
      </c>
      <c r="B4132" s="1" t="s">
        <v>582</v>
      </c>
      <c r="C4132" s="1">
        <v>680694.0</v>
      </c>
      <c r="D4132" s="1" t="s">
        <v>533</v>
      </c>
      <c r="E4132" s="1" t="s">
        <v>927</v>
      </c>
      <c r="F4132" s="1" t="s">
        <v>927</v>
      </c>
      <c r="G4132" s="1">
        <v>87.0</v>
      </c>
      <c r="H4132" s="1">
        <v>5.63562753</v>
      </c>
      <c r="I4132" s="1">
        <v>5.56</v>
      </c>
      <c r="J4132" s="1">
        <v>0.918317</v>
      </c>
    </row>
    <row r="4133">
      <c r="A4133" s="1">
        <v>2025.0</v>
      </c>
      <c r="B4133" s="1" t="s">
        <v>139</v>
      </c>
      <c r="C4133" s="1">
        <v>640448.0</v>
      </c>
      <c r="D4133" s="1" t="s">
        <v>537</v>
      </c>
      <c r="E4133" s="1" t="s">
        <v>927</v>
      </c>
      <c r="F4133" s="1" t="s">
        <v>926</v>
      </c>
      <c r="G4133" s="1">
        <v>249.0</v>
      </c>
      <c r="H4133" s="1">
        <v>16.83629893</v>
      </c>
      <c r="I4133" s="1">
        <v>5.17</v>
      </c>
      <c r="J4133" s="1">
        <v>4.892609</v>
      </c>
    </row>
    <row r="4134">
      <c r="A4134" s="1">
        <v>2025.0</v>
      </c>
      <c r="B4134" s="1" t="s">
        <v>139</v>
      </c>
      <c r="C4134" s="1">
        <v>640448.0</v>
      </c>
      <c r="D4134" s="1" t="s">
        <v>538</v>
      </c>
      <c r="E4134" s="1" t="s">
        <v>927</v>
      </c>
      <c r="F4134" s="1" t="s">
        <v>926</v>
      </c>
      <c r="G4134" s="1">
        <v>199.0</v>
      </c>
      <c r="H4134" s="1">
        <v>13.45551601</v>
      </c>
      <c r="I4134" s="1">
        <v>4.92</v>
      </c>
      <c r="J4134" s="1">
        <v>4.700624</v>
      </c>
    </row>
    <row r="4135">
      <c r="A4135" s="1">
        <v>2025.0</v>
      </c>
      <c r="B4135" s="1" t="s">
        <v>139</v>
      </c>
      <c r="C4135" s="1">
        <v>640448.0</v>
      </c>
      <c r="D4135" s="1" t="s">
        <v>533</v>
      </c>
      <c r="E4135" s="1" t="s">
        <v>927</v>
      </c>
      <c r="F4135" s="1" t="s">
        <v>926</v>
      </c>
      <c r="G4135" s="1">
        <v>2.0</v>
      </c>
      <c r="H4135" s="1">
        <v>0.135231317</v>
      </c>
      <c r="I4135" s="1">
        <v>4.27</v>
      </c>
      <c r="J4135" s="1">
        <v>0.075143</v>
      </c>
    </row>
    <row r="4136">
      <c r="A4136" s="1">
        <v>2025.0</v>
      </c>
      <c r="B4136" s="1" t="s">
        <v>139</v>
      </c>
      <c r="C4136" s="1">
        <v>640448.0</v>
      </c>
      <c r="D4136" s="1" t="s">
        <v>537</v>
      </c>
      <c r="E4136" s="1" t="s">
        <v>927</v>
      </c>
      <c r="F4136" s="1" t="s">
        <v>927</v>
      </c>
      <c r="G4136" s="1">
        <v>242.0</v>
      </c>
      <c r="H4136" s="1">
        <v>16.36298932</v>
      </c>
      <c r="I4136" s="1">
        <v>5.3</v>
      </c>
      <c r="J4136" s="1">
        <v>4.066585</v>
      </c>
    </row>
    <row r="4137">
      <c r="A4137" s="1">
        <v>2025.0</v>
      </c>
      <c r="B4137" s="1" t="s">
        <v>139</v>
      </c>
      <c r="C4137" s="1">
        <v>640448.0</v>
      </c>
      <c r="D4137" s="1" t="s">
        <v>538</v>
      </c>
      <c r="E4137" s="1" t="s">
        <v>927</v>
      </c>
      <c r="F4137" s="1" t="s">
        <v>927</v>
      </c>
      <c r="G4137" s="1">
        <v>114.0</v>
      </c>
      <c r="H4137" s="1">
        <v>7.708185053</v>
      </c>
      <c r="I4137" s="1">
        <v>4.95</v>
      </c>
      <c r="J4137" s="1">
        <v>2.642475</v>
      </c>
    </row>
    <row r="4138">
      <c r="A4138" s="1">
        <v>2025.0</v>
      </c>
      <c r="B4138" s="1" t="s">
        <v>139</v>
      </c>
      <c r="C4138" s="1">
        <v>640448.0</v>
      </c>
      <c r="D4138" s="1" t="s">
        <v>533</v>
      </c>
      <c r="E4138" s="1" t="s">
        <v>927</v>
      </c>
      <c r="F4138" s="1" t="s">
        <v>927</v>
      </c>
      <c r="G4138" s="1">
        <v>37.0</v>
      </c>
      <c r="H4138" s="1">
        <v>2.501779359</v>
      </c>
      <c r="I4138" s="1">
        <v>4.49</v>
      </c>
      <c r="J4138" s="1">
        <v>1.18376</v>
      </c>
    </row>
    <row r="4139">
      <c r="A4139" s="1">
        <v>2025.0</v>
      </c>
      <c r="B4139" s="1" t="s">
        <v>189</v>
      </c>
      <c r="C4139" s="1">
        <v>607536.0</v>
      </c>
      <c r="D4139" s="1" t="s">
        <v>541</v>
      </c>
      <c r="E4139" s="1" t="s">
        <v>926</v>
      </c>
      <c r="F4139" s="1" t="s">
        <v>926</v>
      </c>
      <c r="G4139" s="1">
        <v>102.0</v>
      </c>
      <c r="H4139" s="1">
        <v>6.687625957</v>
      </c>
      <c r="I4139" s="1">
        <v>5.17</v>
      </c>
      <c r="J4139" s="1">
        <v>1.81908</v>
      </c>
    </row>
    <row r="4140">
      <c r="A4140" s="1">
        <v>2025.0</v>
      </c>
      <c r="B4140" s="1" t="s">
        <v>189</v>
      </c>
      <c r="C4140" s="1">
        <v>607536.0</v>
      </c>
      <c r="D4140" s="1" t="s">
        <v>540</v>
      </c>
      <c r="E4140" s="1" t="s">
        <v>926</v>
      </c>
      <c r="F4140" s="1" t="s">
        <v>926</v>
      </c>
      <c r="G4140" s="1">
        <v>70.0</v>
      </c>
      <c r="H4140" s="1">
        <v>4.589547226</v>
      </c>
      <c r="I4140" s="1">
        <v>5.03</v>
      </c>
      <c r="J4140" s="1">
        <v>1.5301</v>
      </c>
    </row>
    <row r="4141">
      <c r="A4141" s="1">
        <v>2025.0</v>
      </c>
      <c r="B4141" s="1" t="s">
        <v>189</v>
      </c>
      <c r="C4141" s="1">
        <v>607536.0</v>
      </c>
      <c r="D4141" s="1" t="s">
        <v>537</v>
      </c>
      <c r="E4141" s="1" t="s">
        <v>926</v>
      </c>
      <c r="F4141" s="1" t="s">
        <v>926</v>
      </c>
      <c r="G4141" s="1">
        <v>149.0</v>
      </c>
      <c r="H4141" s="1">
        <v>9.769179094</v>
      </c>
      <c r="I4141" s="1">
        <v>5.14</v>
      </c>
      <c r="J4141" s="1">
        <v>2.931828</v>
      </c>
    </row>
    <row r="4142">
      <c r="A4142" s="1">
        <v>2025.0</v>
      </c>
      <c r="B4142" s="1" t="s">
        <v>189</v>
      </c>
      <c r="C4142" s="1">
        <v>607536.0</v>
      </c>
      <c r="D4142" s="1" t="s">
        <v>536</v>
      </c>
      <c r="E4142" s="1" t="s">
        <v>926</v>
      </c>
      <c r="F4142" s="1" t="s">
        <v>926</v>
      </c>
      <c r="G4142" s="1">
        <v>30.0</v>
      </c>
      <c r="H4142" s="1">
        <v>1.966948811</v>
      </c>
      <c r="I4142" s="1">
        <v>5.56</v>
      </c>
      <c r="J4142" s="1">
        <v>0.310416</v>
      </c>
    </row>
    <row r="4143">
      <c r="A4143" s="1">
        <v>2025.0</v>
      </c>
      <c r="B4143" s="1" t="s">
        <v>189</v>
      </c>
      <c r="C4143" s="1">
        <v>607536.0</v>
      </c>
      <c r="D4143" s="1" t="s">
        <v>533</v>
      </c>
      <c r="E4143" s="1" t="s">
        <v>926</v>
      </c>
      <c r="F4143" s="1" t="s">
        <v>926</v>
      </c>
      <c r="G4143" s="1">
        <v>5.0</v>
      </c>
      <c r="H4143" s="1">
        <v>0.327824802</v>
      </c>
      <c r="I4143" s="1">
        <v>5.24</v>
      </c>
      <c r="J4143" s="1">
        <v>0.088124</v>
      </c>
    </row>
    <row r="4144">
      <c r="A4144" s="1">
        <v>2025.0</v>
      </c>
      <c r="B4144" s="1" t="s">
        <v>189</v>
      </c>
      <c r="C4144" s="1">
        <v>607536.0</v>
      </c>
      <c r="D4144" s="1" t="s">
        <v>539</v>
      </c>
      <c r="E4144" s="1" t="s">
        <v>926</v>
      </c>
      <c r="F4144" s="1" t="s">
        <v>926</v>
      </c>
      <c r="G4144" s="1">
        <v>150.0</v>
      </c>
      <c r="H4144" s="1">
        <v>9.834744055</v>
      </c>
      <c r="I4144" s="1">
        <v>5.07</v>
      </c>
      <c r="J4144" s="1">
        <v>2.963268</v>
      </c>
    </row>
    <row r="4145">
      <c r="A4145" s="1">
        <v>2025.0</v>
      </c>
      <c r="B4145" s="1" t="s">
        <v>189</v>
      </c>
      <c r="C4145" s="1">
        <v>607536.0</v>
      </c>
      <c r="D4145" s="1" t="s">
        <v>532</v>
      </c>
      <c r="E4145" s="1" t="s">
        <v>926</v>
      </c>
      <c r="F4145" s="1" t="s">
        <v>927</v>
      </c>
      <c r="G4145" s="1">
        <v>147.0</v>
      </c>
      <c r="H4145" s="1">
        <v>9.638049174</v>
      </c>
      <c r="I4145" s="1">
        <v>4.97</v>
      </c>
      <c r="J4145" s="1">
        <v>3.466731</v>
      </c>
    </row>
    <row r="4146">
      <c r="A4146" s="1">
        <v>2025.0</v>
      </c>
      <c r="B4146" s="1" t="s">
        <v>189</v>
      </c>
      <c r="C4146" s="1">
        <v>607536.0</v>
      </c>
      <c r="D4146" s="1" t="s">
        <v>541</v>
      </c>
      <c r="E4146" s="1" t="s">
        <v>926</v>
      </c>
      <c r="F4146" s="1" t="s">
        <v>927</v>
      </c>
      <c r="G4146" s="1">
        <v>546.0</v>
      </c>
      <c r="H4146" s="1">
        <v>35.79846836</v>
      </c>
      <c r="I4146" s="1">
        <v>5.03</v>
      </c>
      <c r="J4146" s="1">
        <v>11.502823</v>
      </c>
    </row>
    <row r="4147">
      <c r="A4147" s="1">
        <v>2025.0</v>
      </c>
      <c r="B4147" s="1" t="s">
        <v>189</v>
      </c>
      <c r="C4147" s="1">
        <v>607536.0</v>
      </c>
      <c r="D4147" s="1" t="s">
        <v>540</v>
      </c>
      <c r="E4147" s="1" t="s">
        <v>926</v>
      </c>
      <c r="F4147" s="1" t="s">
        <v>927</v>
      </c>
      <c r="G4147" s="1">
        <v>319.0</v>
      </c>
      <c r="H4147" s="1">
        <v>20.91522236</v>
      </c>
      <c r="I4147" s="1">
        <v>5.29</v>
      </c>
      <c r="J4147" s="1">
        <v>5.525431</v>
      </c>
    </row>
    <row r="4148">
      <c r="A4148" s="1">
        <v>2025.0</v>
      </c>
      <c r="B4148" s="1" t="s">
        <v>189</v>
      </c>
      <c r="C4148" s="1">
        <v>607536.0</v>
      </c>
      <c r="D4148" s="1" t="s">
        <v>537</v>
      </c>
      <c r="E4148" s="1" t="s">
        <v>926</v>
      </c>
      <c r="F4148" s="1" t="s">
        <v>927</v>
      </c>
      <c r="G4148" s="1">
        <v>681.0</v>
      </c>
      <c r="H4148" s="1">
        <v>44.64973801</v>
      </c>
      <c r="I4148" s="1">
        <v>4.97</v>
      </c>
      <c r="J4148" s="1">
        <v>16.019663</v>
      </c>
    </row>
    <row r="4149">
      <c r="A4149" s="1">
        <v>2025.0</v>
      </c>
      <c r="B4149" s="1" t="s">
        <v>189</v>
      </c>
      <c r="C4149" s="1">
        <v>607536.0</v>
      </c>
      <c r="D4149" s="1" t="s">
        <v>536</v>
      </c>
      <c r="E4149" s="1" t="s">
        <v>926</v>
      </c>
      <c r="F4149" s="1" t="s">
        <v>927</v>
      </c>
      <c r="G4149" s="1">
        <v>120.0</v>
      </c>
      <c r="H4149" s="1">
        <v>7.867795244</v>
      </c>
      <c r="I4149" s="1">
        <v>4.99</v>
      </c>
      <c r="J4149" s="1">
        <v>2.778887</v>
      </c>
    </row>
    <row r="4150">
      <c r="A4150" s="1">
        <v>2025.0</v>
      </c>
      <c r="B4150" s="1" t="s">
        <v>189</v>
      </c>
      <c r="C4150" s="1">
        <v>607536.0</v>
      </c>
      <c r="D4150" s="1" t="s">
        <v>533</v>
      </c>
      <c r="E4150" s="1" t="s">
        <v>926</v>
      </c>
      <c r="F4150" s="1" t="s">
        <v>927</v>
      </c>
      <c r="G4150" s="1">
        <v>3.0</v>
      </c>
      <c r="H4150" s="1">
        <v>0.196694881</v>
      </c>
      <c r="I4150" s="1">
        <v>3.1</v>
      </c>
      <c r="J4150" s="1">
        <v>0.178199</v>
      </c>
    </row>
    <row r="4151">
      <c r="A4151" s="1">
        <v>2025.0</v>
      </c>
      <c r="B4151" s="1" t="s">
        <v>189</v>
      </c>
      <c r="C4151" s="1">
        <v>607536.0</v>
      </c>
      <c r="D4151" s="1" t="s">
        <v>539</v>
      </c>
      <c r="E4151" s="1" t="s">
        <v>926</v>
      </c>
      <c r="F4151" s="1" t="s">
        <v>927</v>
      </c>
      <c r="G4151" s="1">
        <v>159.0</v>
      </c>
      <c r="H4151" s="1">
        <v>10.4248287</v>
      </c>
      <c r="I4151" s="1">
        <v>4.97</v>
      </c>
      <c r="J4151" s="1">
        <v>3.302584</v>
      </c>
    </row>
    <row r="4152">
      <c r="A4152" s="1">
        <v>2025.0</v>
      </c>
      <c r="B4152" s="1" t="s">
        <v>588</v>
      </c>
      <c r="C4152" s="1">
        <v>502043.0</v>
      </c>
      <c r="D4152" s="1" t="s">
        <v>532</v>
      </c>
      <c r="E4152" s="1" t="s">
        <v>927</v>
      </c>
      <c r="F4152" s="1" t="s">
        <v>926</v>
      </c>
      <c r="G4152" s="1">
        <v>30.0</v>
      </c>
      <c r="H4152" s="1">
        <v>1.321428571</v>
      </c>
      <c r="I4152" s="1">
        <v>4.73</v>
      </c>
      <c r="J4152" s="1">
        <v>0.813648</v>
      </c>
    </row>
    <row r="4153">
      <c r="A4153" s="1">
        <v>2025.0</v>
      </c>
      <c r="B4153" s="1" t="s">
        <v>588</v>
      </c>
      <c r="C4153" s="1">
        <v>502043.0</v>
      </c>
      <c r="D4153" s="1" t="s">
        <v>541</v>
      </c>
      <c r="E4153" s="1" t="s">
        <v>927</v>
      </c>
      <c r="F4153" s="1" t="s">
        <v>926</v>
      </c>
      <c r="G4153" s="1">
        <v>27.0</v>
      </c>
      <c r="H4153" s="1">
        <v>1.189285714</v>
      </c>
      <c r="I4153" s="1">
        <v>5.04</v>
      </c>
      <c r="J4153" s="1">
        <v>0.580258</v>
      </c>
    </row>
    <row r="4154">
      <c r="A4154" s="1">
        <v>2025.0</v>
      </c>
      <c r="B4154" s="1" t="s">
        <v>588</v>
      </c>
      <c r="C4154" s="1">
        <v>502043.0</v>
      </c>
      <c r="D4154" s="1" t="s">
        <v>540</v>
      </c>
      <c r="E4154" s="1" t="s">
        <v>927</v>
      </c>
      <c r="F4154" s="1" t="s">
        <v>926</v>
      </c>
      <c r="G4154" s="1">
        <v>8.0</v>
      </c>
      <c r="H4154" s="1">
        <v>0.352380952</v>
      </c>
      <c r="I4154" s="1">
        <v>4.86</v>
      </c>
      <c r="J4154" s="1">
        <v>0.203075</v>
      </c>
    </row>
    <row r="4155">
      <c r="A4155" s="1">
        <v>2025.0</v>
      </c>
      <c r="B4155" s="1" t="s">
        <v>588</v>
      </c>
      <c r="C4155" s="1">
        <v>502043.0</v>
      </c>
      <c r="D4155" s="1" t="s">
        <v>537</v>
      </c>
      <c r="E4155" s="1" t="s">
        <v>927</v>
      </c>
      <c r="F4155" s="1" t="s">
        <v>926</v>
      </c>
      <c r="G4155" s="1">
        <v>19.0</v>
      </c>
      <c r="H4155" s="1">
        <v>0.836904762</v>
      </c>
      <c r="I4155" s="1">
        <v>5.34</v>
      </c>
      <c r="J4155" s="1">
        <v>0.318108</v>
      </c>
    </row>
    <row r="4156">
      <c r="A4156" s="1">
        <v>2025.0</v>
      </c>
      <c r="B4156" s="1" t="s">
        <v>588</v>
      </c>
      <c r="C4156" s="1">
        <v>502043.0</v>
      </c>
      <c r="D4156" s="1" t="s">
        <v>536</v>
      </c>
      <c r="E4156" s="1" t="s">
        <v>927</v>
      </c>
      <c r="F4156" s="1" t="s">
        <v>926</v>
      </c>
      <c r="G4156" s="1">
        <v>33.0</v>
      </c>
      <c r="H4156" s="1">
        <v>1.453571429</v>
      </c>
      <c r="I4156" s="1">
        <v>4.37</v>
      </c>
      <c r="J4156" s="1">
        <v>1.178536</v>
      </c>
    </row>
    <row r="4157">
      <c r="A4157" s="1">
        <v>2025.0</v>
      </c>
      <c r="B4157" s="1" t="s">
        <v>588</v>
      </c>
      <c r="C4157" s="1">
        <v>502043.0</v>
      </c>
      <c r="D4157" s="1" t="s">
        <v>539</v>
      </c>
      <c r="E4157" s="1" t="s">
        <v>927</v>
      </c>
      <c r="F4157" s="1" t="s">
        <v>926</v>
      </c>
      <c r="G4157" s="1">
        <v>13.0</v>
      </c>
      <c r="H4157" s="1">
        <v>0.572619048</v>
      </c>
      <c r="I4157" s="1">
        <v>5.78</v>
      </c>
      <c r="J4157" s="1">
        <v>0.064865</v>
      </c>
    </row>
    <row r="4158">
      <c r="A4158" s="1">
        <v>2025.0</v>
      </c>
      <c r="B4158" s="1" t="s">
        <v>588</v>
      </c>
      <c r="C4158" s="1">
        <v>502043.0</v>
      </c>
      <c r="D4158" s="1" t="s">
        <v>532</v>
      </c>
      <c r="E4158" s="1" t="s">
        <v>927</v>
      </c>
      <c r="F4158" s="1" t="s">
        <v>927</v>
      </c>
      <c r="G4158" s="1">
        <v>6.0</v>
      </c>
      <c r="H4158" s="1">
        <v>0.264285714</v>
      </c>
      <c r="I4158" s="1">
        <v>4.39</v>
      </c>
      <c r="J4158" s="1">
        <v>0.203527</v>
      </c>
    </row>
    <row r="4159">
      <c r="A4159" s="1">
        <v>2025.0</v>
      </c>
      <c r="B4159" s="1" t="s">
        <v>588</v>
      </c>
      <c r="C4159" s="1">
        <v>502043.0</v>
      </c>
      <c r="D4159" s="1" t="s">
        <v>541</v>
      </c>
      <c r="E4159" s="1" t="s">
        <v>927</v>
      </c>
      <c r="F4159" s="1" t="s">
        <v>927</v>
      </c>
      <c r="G4159" s="1">
        <v>4.0</v>
      </c>
      <c r="H4159" s="1">
        <v>0.176190476</v>
      </c>
      <c r="I4159" s="1">
        <v>5.99</v>
      </c>
      <c r="J4159" s="1">
        <v>-0.004416</v>
      </c>
    </row>
    <row r="4160">
      <c r="A4160" s="1">
        <v>2025.0</v>
      </c>
      <c r="B4160" s="1" t="s">
        <v>588</v>
      </c>
      <c r="C4160" s="1">
        <v>502043.0</v>
      </c>
      <c r="D4160" s="1" t="s">
        <v>540</v>
      </c>
      <c r="E4160" s="1" t="s">
        <v>927</v>
      </c>
      <c r="F4160" s="1" t="s">
        <v>927</v>
      </c>
      <c r="G4160" s="1">
        <v>21.0</v>
      </c>
      <c r="H4160" s="1">
        <v>0.925</v>
      </c>
      <c r="I4160" s="1">
        <v>5.5</v>
      </c>
      <c r="J4160" s="1">
        <v>0.25518</v>
      </c>
    </row>
    <row r="4161">
      <c r="A4161" s="1">
        <v>2025.0</v>
      </c>
      <c r="B4161" s="1" t="s">
        <v>588</v>
      </c>
      <c r="C4161" s="1">
        <v>502043.0</v>
      </c>
      <c r="D4161" s="1" t="s">
        <v>537</v>
      </c>
      <c r="E4161" s="1" t="s">
        <v>927</v>
      </c>
      <c r="F4161" s="1" t="s">
        <v>927</v>
      </c>
      <c r="G4161" s="1">
        <v>7.0</v>
      </c>
      <c r="H4161" s="1">
        <v>0.308333333</v>
      </c>
      <c r="I4161" s="1">
        <v>4.42</v>
      </c>
      <c r="J4161" s="1">
        <v>0.25239</v>
      </c>
    </row>
    <row r="4162">
      <c r="A4162" s="1">
        <v>2025.0</v>
      </c>
      <c r="B4162" s="1" t="s">
        <v>588</v>
      </c>
      <c r="C4162" s="1">
        <v>502043.0</v>
      </c>
      <c r="D4162" s="1" t="s">
        <v>536</v>
      </c>
      <c r="E4162" s="1" t="s">
        <v>927</v>
      </c>
      <c r="F4162" s="1" t="s">
        <v>927</v>
      </c>
      <c r="G4162" s="1">
        <v>67.0</v>
      </c>
      <c r="H4162" s="1">
        <v>2.951190476</v>
      </c>
      <c r="I4162" s="1">
        <v>5.33</v>
      </c>
      <c r="J4162" s="1">
        <v>1.061764</v>
      </c>
    </row>
    <row r="4163">
      <c r="A4163" s="1">
        <v>2025.0</v>
      </c>
      <c r="B4163" s="1" t="s">
        <v>588</v>
      </c>
      <c r="C4163" s="1">
        <v>502043.0</v>
      </c>
      <c r="D4163" s="1" t="s">
        <v>539</v>
      </c>
      <c r="E4163" s="1" t="s">
        <v>927</v>
      </c>
      <c r="F4163" s="1" t="s">
        <v>927</v>
      </c>
      <c r="G4163" s="1">
        <v>45.0</v>
      </c>
      <c r="H4163" s="1">
        <v>1.982142857</v>
      </c>
      <c r="I4163" s="1">
        <v>4.19</v>
      </c>
      <c r="J4163" s="1">
        <v>1.751383</v>
      </c>
    </row>
    <row r="4164">
      <c r="A4164" s="1">
        <v>2025.0</v>
      </c>
      <c r="B4164" s="1" t="s">
        <v>96</v>
      </c>
      <c r="C4164" s="1">
        <v>690986.0</v>
      </c>
      <c r="D4164" s="1" t="s">
        <v>541</v>
      </c>
      <c r="E4164" s="1" t="s">
        <v>926</v>
      </c>
      <c r="F4164" s="1" t="s">
        <v>926</v>
      </c>
      <c r="G4164" s="1">
        <v>61.0</v>
      </c>
      <c r="H4164" s="1">
        <v>3.700113379</v>
      </c>
      <c r="I4164" s="1">
        <v>5.37</v>
      </c>
      <c r="J4164" s="1">
        <v>0.838855</v>
      </c>
    </row>
    <row r="4165">
      <c r="A4165" s="1">
        <v>2025.0</v>
      </c>
      <c r="B4165" s="1" t="s">
        <v>96</v>
      </c>
      <c r="C4165" s="1">
        <v>690986.0</v>
      </c>
      <c r="D4165" s="1" t="s">
        <v>537</v>
      </c>
      <c r="E4165" s="1" t="s">
        <v>926</v>
      </c>
      <c r="F4165" s="1" t="s">
        <v>926</v>
      </c>
      <c r="G4165" s="1">
        <v>120.0</v>
      </c>
      <c r="H4165" s="1">
        <v>7.278911565</v>
      </c>
      <c r="I4165" s="1">
        <v>5.67</v>
      </c>
      <c r="J4165" s="1">
        <v>0.972318</v>
      </c>
    </row>
    <row r="4166">
      <c r="A4166" s="1">
        <v>2025.0</v>
      </c>
      <c r="B4166" s="1" t="s">
        <v>96</v>
      </c>
      <c r="C4166" s="1">
        <v>690986.0</v>
      </c>
      <c r="D4166" s="1" t="s">
        <v>536</v>
      </c>
      <c r="E4166" s="1" t="s">
        <v>926</v>
      </c>
      <c r="F4166" s="1" t="s">
        <v>926</v>
      </c>
      <c r="G4166" s="1">
        <v>1.0</v>
      </c>
      <c r="H4166" s="1">
        <v>0.060657596</v>
      </c>
      <c r="I4166" s="1">
        <v>6.46</v>
      </c>
      <c r="J4166" s="1">
        <v>-0.005889</v>
      </c>
    </row>
    <row r="4167">
      <c r="A4167" s="1">
        <v>2025.0</v>
      </c>
      <c r="B4167" s="1" t="s">
        <v>96</v>
      </c>
      <c r="C4167" s="1">
        <v>690986.0</v>
      </c>
      <c r="D4167" s="1" t="s">
        <v>533</v>
      </c>
      <c r="E4167" s="1" t="s">
        <v>926</v>
      </c>
      <c r="F4167" s="1" t="s">
        <v>926</v>
      </c>
      <c r="G4167" s="1">
        <v>2.0</v>
      </c>
      <c r="H4167" s="1">
        <v>0.121315193</v>
      </c>
      <c r="I4167" s="1">
        <v>3.92</v>
      </c>
      <c r="J4167" s="1">
        <v>0.08898</v>
      </c>
    </row>
    <row r="4168">
      <c r="A4168" s="1">
        <v>2025.0</v>
      </c>
      <c r="B4168" s="1" t="s">
        <v>96</v>
      </c>
      <c r="C4168" s="1">
        <v>690986.0</v>
      </c>
      <c r="D4168" s="1" t="s">
        <v>532</v>
      </c>
      <c r="E4168" s="1" t="s">
        <v>926</v>
      </c>
      <c r="F4168" s="1" t="s">
        <v>927</v>
      </c>
      <c r="G4168" s="1">
        <v>48.0</v>
      </c>
      <c r="H4168" s="1">
        <v>2.911564626</v>
      </c>
      <c r="I4168" s="1">
        <v>4.65</v>
      </c>
      <c r="J4168" s="1">
        <v>1.376238</v>
      </c>
    </row>
    <row r="4169">
      <c r="A4169" s="1">
        <v>2025.0</v>
      </c>
      <c r="B4169" s="1" t="s">
        <v>96</v>
      </c>
      <c r="C4169" s="1">
        <v>690986.0</v>
      </c>
      <c r="D4169" s="1" t="s">
        <v>541</v>
      </c>
      <c r="E4169" s="1" t="s">
        <v>926</v>
      </c>
      <c r="F4169" s="1" t="s">
        <v>927</v>
      </c>
      <c r="G4169" s="1">
        <v>97.0</v>
      </c>
      <c r="H4169" s="1">
        <v>5.883786848</v>
      </c>
      <c r="I4169" s="1">
        <v>5.48</v>
      </c>
      <c r="J4169" s="1">
        <v>1.232263</v>
      </c>
    </row>
    <row r="4170">
      <c r="A4170" s="1">
        <v>2025.0</v>
      </c>
      <c r="B4170" s="1" t="s">
        <v>96</v>
      </c>
      <c r="C4170" s="1">
        <v>690986.0</v>
      </c>
      <c r="D4170" s="1" t="s">
        <v>540</v>
      </c>
      <c r="E4170" s="1" t="s">
        <v>926</v>
      </c>
      <c r="F4170" s="1" t="s">
        <v>927</v>
      </c>
      <c r="G4170" s="1">
        <v>22.0</v>
      </c>
      <c r="H4170" s="1">
        <v>1.33446712</v>
      </c>
      <c r="I4170" s="1">
        <v>4.1</v>
      </c>
      <c r="J4170" s="1">
        <v>0.843666</v>
      </c>
    </row>
    <row r="4171">
      <c r="A4171" s="1">
        <v>2025.0</v>
      </c>
      <c r="B4171" s="1" t="s">
        <v>96</v>
      </c>
      <c r="C4171" s="1">
        <v>690986.0</v>
      </c>
      <c r="D4171" s="1" t="s">
        <v>537</v>
      </c>
      <c r="E4171" s="1" t="s">
        <v>926</v>
      </c>
      <c r="F4171" s="1" t="s">
        <v>927</v>
      </c>
      <c r="G4171" s="1">
        <v>236.0</v>
      </c>
      <c r="H4171" s="1">
        <v>14.31519274</v>
      </c>
      <c r="I4171" s="1">
        <v>5.05</v>
      </c>
      <c r="J4171" s="1">
        <v>4.87926</v>
      </c>
    </row>
    <row r="4172">
      <c r="A4172" s="1">
        <v>2025.0</v>
      </c>
      <c r="B4172" s="1" t="s">
        <v>96</v>
      </c>
      <c r="C4172" s="1">
        <v>690986.0</v>
      </c>
      <c r="D4172" s="1" t="s">
        <v>533</v>
      </c>
      <c r="E4172" s="1" t="s">
        <v>926</v>
      </c>
      <c r="F4172" s="1" t="s">
        <v>927</v>
      </c>
      <c r="G4172" s="1">
        <v>1.0</v>
      </c>
      <c r="H4172" s="1">
        <v>0.060657596</v>
      </c>
      <c r="I4172" s="1">
        <v>5.89</v>
      </c>
      <c r="J4172" s="1">
        <v>0.00703</v>
      </c>
    </row>
    <row r="4173">
      <c r="A4173" s="1">
        <v>2025.0</v>
      </c>
      <c r="B4173" s="1" t="s">
        <v>271</v>
      </c>
      <c r="C4173" s="1">
        <v>606996.0</v>
      </c>
      <c r="D4173" s="1" t="s">
        <v>532</v>
      </c>
      <c r="E4173" s="1" t="s">
        <v>926</v>
      </c>
      <c r="F4173" s="1" t="s">
        <v>926</v>
      </c>
      <c r="G4173" s="1">
        <v>2.0</v>
      </c>
      <c r="H4173" s="1">
        <v>0.124637681</v>
      </c>
      <c r="I4173" s="1">
        <v>5.08</v>
      </c>
      <c r="J4173" s="1">
        <v>0.041082</v>
      </c>
    </row>
    <row r="4174">
      <c r="A4174" s="1">
        <v>2025.0</v>
      </c>
      <c r="B4174" s="1" t="s">
        <v>271</v>
      </c>
      <c r="C4174" s="1">
        <v>606996.0</v>
      </c>
      <c r="D4174" s="1" t="s">
        <v>537</v>
      </c>
      <c r="E4174" s="1" t="s">
        <v>926</v>
      </c>
      <c r="F4174" s="1" t="s">
        <v>926</v>
      </c>
      <c r="G4174" s="1">
        <v>36.0</v>
      </c>
      <c r="H4174" s="1">
        <v>2.243478261</v>
      </c>
      <c r="I4174" s="1">
        <v>4.64</v>
      </c>
      <c r="J4174" s="1">
        <v>1.062543</v>
      </c>
    </row>
    <row r="4175">
      <c r="A4175" s="1">
        <v>2025.0</v>
      </c>
      <c r="B4175" s="1" t="s">
        <v>271</v>
      </c>
      <c r="C4175" s="1">
        <v>606996.0</v>
      </c>
      <c r="D4175" s="1" t="s">
        <v>538</v>
      </c>
      <c r="E4175" s="1" t="s">
        <v>926</v>
      </c>
      <c r="F4175" s="1" t="s">
        <v>926</v>
      </c>
      <c r="G4175" s="1">
        <v>4.0</v>
      </c>
      <c r="H4175" s="1">
        <v>0.249275362</v>
      </c>
      <c r="I4175" s="1">
        <v>4.24</v>
      </c>
      <c r="J4175" s="1">
        <v>0.151086</v>
      </c>
    </row>
    <row r="4176">
      <c r="A4176" s="1">
        <v>2025.0</v>
      </c>
      <c r="B4176" s="1" t="s">
        <v>271</v>
      </c>
      <c r="C4176" s="1">
        <v>606996.0</v>
      </c>
      <c r="D4176" s="1" t="s">
        <v>536</v>
      </c>
      <c r="E4176" s="1" t="s">
        <v>926</v>
      </c>
      <c r="F4176" s="1" t="s">
        <v>926</v>
      </c>
      <c r="G4176" s="1">
        <v>52.0</v>
      </c>
      <c r="H4176" s="1">
        <v>3.24057971</v>
      </c>
      <c r="I4176" s="1">
        <v>5.4</v>
      </c>
      <c r="J4176" s="1">
        <v>0.700953</v>
      </c>
    </row>
    <row r="4177">
      <c r="A4177" s="1">
        <v>2025.0</v>
      </c>
      <c r="B4177" s="1" t="s">
        <v>271</v>
      </c>
      <c r="C4177" s="1">
        <v>606996.0</v>
      </c>
      <c r="D4177" s="1" t="s">
        <v>533</v>
      </c>
      <c r="E4177" s="1" t="s">
        <v>926</v>
      </c>
      <c r="F4177" s="1" t="s">
        <v>926</v>
      </c>
      <c r="G4177" s="1">
        <v>48.0</v>
      </c>
      <c r="H4177" s="1">
        <v>2.991304348</v>
      </c>
      <c r="I4177" s="1">
        <v>5.69</v>
      </c>
      <c r="J4177" s="1">
        <v>0.3845</v>
      </c>
    </row>
    <row r="4178">
      <c r="A4178" s="1">
        <v>2025.0</v>
      </c>
      <c r="B4178" s="1" t="s">
        <v>271</v>
      </c>
      <c r="C4178" s="1">
        <v>606996.0</v>
      </c>
      <c r="D4178" s="1" t="s">
        <v>539</v>
      </c>
      <c r="E4178" s="1" t="s">
        <v>926</v>
      </c>
      <c r="F4178" s="1" t="s">
        <v>926</v>
      </c>
      <c r="G4178" s="1">
        <v>81.0</v>
      </c>
      <c r="H4178" s="1">
        <v>5.047826087</v>
      </c>
      <c r="I4178" s="1">
        <v>5.36</v>
      </c>
      <c r="J4178" s="1">
        <v>1.192246</v>
      </c>
    </row>
    <row r="4179">
      <c r="A4179" s="1">
        <v>2025.0</v>
      </c>
      <c r="B4179" s="1" t="s">
        <v>271</v>
      </c>
      <c r="C4179" s="1">
        <v>606996.0</v>
      </c>
      <c r="D4179" s="1" t="s">
        <v>532</v>
      </c>
      <c r="E4179" s="1" t="s">
        <v>926</v>
      </c>
      <c r="F4179" s="1" t="s">
        <v>927</v>
      </c>
      <c r="G4179" s="1">
        <v>95.0</v>
      </c>
      <c r="H4179" s="1">
        <v>5.920289855</v>
      </c>
      <c r="I4179" s="1">
        <v>4.93</v>
      </c>
      <c r="J4179" s="1">
        <v>2.209044</v>
      </c>
    </row>
    <row r="4180">
      <c r="A4180" s="1">
        <v>2025.0</v>
      </c>
      <c r="B4180" s="1" t="s">
        <v>271</v>
      </c>
      <c r="C4180" s="1">
        <v>606996.0</v>
      </c>
      <c r="D4180" s="1" t="s">
        <v>537</v>
      </c>
      <c r="E4180" s="1" t="s">
        <v>926</v>
      </c>
      <c r="F4180" s="1" t="s">
        <v>927</v>
      </c>
      <c r="G4180" s="1">
        <v>72.0</v>
      </c>
      <c r="H4180" s="1">
        <v>4.486956522</v>
      </c>
      <c r="I4180" s="1">
        <v>4.23</v>
      </c>
      <c r="J4180" s="1">
        <v>2.771108</v>
      </c>
    </row>
    <row r="4181">
      <c r="A4181" s="1">
        <v>2025.0</v>
      </c>
      <c r="B4181" s="1" t="s">
        <v>271</v>
      </c>
      <c r="C4181" s="1">
        <v>606996.0</v>
      </c>
      <c r="D4181" s="1" t="s">
        <v>538</v>
      </c>
      <c r="E4181" s="1" t="s">
        <v>926</v>
      </c>
      <c r="F4181" s="1" t="s">
        <v>927</v>
      </c>
      <c r="G4181" s="1">
        <v>27.0</v>
      </c>
      <c r="H4181" s="1">
        <v>1.682608696</v>
      </c>
      <c r="I4181" s="1">
        <v>4.78</v>
      </c>
      <c r="J4181" s="1">
        <v>0.703515</v>
      </c>
    </row>
    <row r="4182">
      <c r="A4182" s="1">
        <v>2025.0</v>
      </c>
      <c r="B4182" s="1" t="s">
        <v>271</v>
      </c>
      <c r="C4182" s="1">
        <v>606996.0</v>
      </c>
      <c r="D4182" s="1" t="s">
        <v>536</v>
      </c>
      <c r="E4182" s="1" t="s">
        <v>926</v>
      </c>
      <c r="F4182" s="1" t="s">
        <v>927</v>
      </c>
      <c r="G4182" s="1">
        <v>101.0</v>
      </c>
      <c r="H4182" s="1">
        <v>6.294202899</v>
      </c>
      <c r="I4182" s="1">
        <v>3.79</v>
      </c>
      <c r="J4182" s="1">
        <v>4.808564</v>
      </c>
    </row>
    <row r="4183">
      <c r="A4183" s="1">
        <v>2025.0</v>
      </c>
      <c r="B4183" s="1" t="s">
        <v>271</v>
      </c>
      <c r="C4183" s="1">
        <v>606996.0</v>
      </c>
      <c r="D4183" s="1" t="s">
        <v>533</v>
      </c>
      <c r="E4183" s="1" t="s">
        <v>926</v>
      </c>
      <c r="F4183" s="1" t="s">
        <v>927</v>
      </c>
      <c r="G4183" s="1">
        <v>47.0</v>
      </c>
      <c r="H4183" s="1">
        <v>2.928985507</v>
      </c>
      <c r="I4183" s="1">
        <v>5.19</v>
      </c>
      <c r="J4183" s="1">
        <v>0.885289</v>
      </c>
    </row>
    <row r="4184">
      <c r="A4184" s="1">
        <v>2025.0</v>
      </c>
      <c r="B4184" s="1" t="s">
        <v>271</v>
      </c>
      <c r="C4184" s="1">
        <v>606996.0</v>
      </c>
      <c r="D4184" s="1" t="s">
        <v>539</v>
      </c>
      <c r="E4184" s="1" t="s">
        <v>926</v>
      </c>
      <c r="F4184" s="1" t="s">
        <v>927</v>
      </c>
      <c r="G4184" s="1">
        <v>125.0</v>
      </c>
      <c r="H4184" s="1">
        <v>7.789855072</v>
      </c>
      <c r="I4184" s="1">
        <v>5.95</v>
      </c>
      <c r="J4184" s="1">
        <v>0.290907</v>
      </c>
    </row>
    <row r="4185">
      <c r="A4185" s="1">
        <v>2025.0</v>
      </c>
      <c r="B4185" s="1" t="s">
        <v>399</v>
      </c>
      <c r="C4185" s="1">
        <v>543294.0</v>
      </c>
      <c r="D4185" s="1" t="s">
        <v>532</v>
      </c>
      <c r="E4185" s="1" t="s">
        <v>927</v>
      </c>
      <c r="F4185" s="1" t="s">
        <v>926</v>
      </c>
      <c r="G4185" s="1">
        <v>521.0</v>
      </c>
      <c r="H4185" s="1">
        <v>33.34292007</v>
      </c>
      <c r="I4185" s="1">
        <v>5.34</v>
      </c>
      <c r="J4185" s="1">
        <v>7.634946</v>
      </c>
    </row>
    <row r="4186">
      <c r="A4186" s="1">
        <v>2025.0</v>
      </c>
      <c r="B4186" s="1" t="s">
        <v>399</v>
      </c>
      <c r="C4186" s="1">
        <v>543294.0</v>
      </c>
      <c r="D4186" s="1" t="s">
        <v>541</v>
      </c>
      <c r="E4186" s="1" t="s">
        <v>927</v>
      </c>
      <c r="F4186" s="1" t="s">
        <v>926</v>
      </c>
      <c r="G4186" s="1">
        <v>97.0</v>
      </c>
      <c r="H4186" s="1">
        <v>6.207798938</v>
      </c>
      <c r="I4186" s="1">
        <v>5.35</v>
      </c>
      <c r="J4186" s="1">
        <v>1.538935</v>
      </c>
    </row>
    <row r="4187">
      <c r="A4187" s="1">
        <v>2025.0</v>
      </c>
      <c r="B4187" s="1" t="s">
        <v>399</v>
      </c>
      <c r="C4187" s="1">
        <v>543294.0</v>
      </c>
      <c r="D4187" s="1" t="s">
        <v>537</v>
      </c>
      <c r="E4187" s="1" t="s">
        <v>927</v>
      </c>
      <c r="F4187" s="1" t="s">
        <v>926</v>
      </c>
      <c r="G4187" s="1">
        <v>179.0</v>
      </c>
      <c r="H4187" s="1">
        <v>11.45562897</v>
      </c>
      <c r="I4187" s="1">
        <v>4.69</v>
      </c>
      <c r="J4187" s="1">
        <v>5.129016</v>
      </c>
    </row>
    <row r="4188">
      <c r="A4188" s="1">
        <v>2025.0</v>
      </c>
      <c r="B4188" s="1" t="s">
        <v>399</v>
      </c>
      <c r="C4188" s="1">
        <v>543294.0</v>
      </c>
      <c r="D4188" s="1" t="s">
        <v>536</v>
      </c>
      <c r="E4188" s="1" t="s">
        <v>927</v>
      </c>
      <c r="F4188" s="1" t="s">
        <v>926</v>
      </c>
      <c r="G4188" s="1">
        <v>447.0</v>
      </c>
      <c r="H4188" s="1">
        <v>28.60707346</v>
      </c>
      <c r="I4188" s="1">
        <v>4.63</v>
      </c>
      <c r="J4188" s="1">
        <v>13.127668</v>
      </c>
    </row>
    <row r="4189">
      <c r="A4189" s="1">
        <v>2025.0</v>
      </c>
      <c r="B4189" s="1" t="s">
        <v>399</v>
      </c>
      <c r="C4189" s="1">
        <v>543294.0</v>
      </c>
      <c r="D4189" s="1" t="s">
        <v>532</v>
      </c>
      <c r="E4189" s="1" t="s">
        <v>927</v>
      </c>
      <c r="F4189" s="1" t="s">
        <v>927</v>
      </c>
      <c r="G4189" s="1">
        <v>466.0</v>
      </c>
      <c r="H4189" s="1">
        <v>29.82303407</v>
      </c>
      <c r="I4189" s="1">
        <v>4.99</v>
      </c>
      <c r="J4189" s="1">
        <v>9.953776</v>
      </c>
    </row>
    <row r="4190">
      <c r="A4190" s="1">
        <v>2025.0</v>
      </c>
      <c r="B4190" s="1" t="s">
        <v>399</v>
      </c>
      <c r="C4190" s="1">
        <v>543294.0</v>
      </c>
      <c r="D4190" s="1" t="s">
        <v>541</v>
      </c>
      <c r="E4190" s="1" t="s">
        <v>927</v>
      </c>
      <c r="F4190" s="1" t="s">
        <v>927</v>
      </c>
      <c r="G4190" s="1">
        <v>115.0</v>
      </c>
      <c r="H4190" s="1">
        <v>7.359761627</v>
      </c>
      <c r="I4190" s="1">
        <v>4.91</v>
      </c>
      <c r="J4190" s="1">
        <v>2.746813</v>
      </c>
    </row>
    <row r="4191">
      <c r="A4191" s="1">
        <v>2025.0</v>
      </c>
      <c r="B4191" s="1" t="s">
        <v>399</v>
      </c>
      <c r="C4191" s="1">
        <v>543294.0</v>
      </c>
      <c r="D4191" s="1" t="s">
        <v>537</v>
      </c>
      <c r="E4191" s="1" t="s">
        <v>927</v>
      </c>
      <c r="F4191" s="1" t="s">
        <v>927</v>
      </c>
      <c r="G4191" s="1">
        <v>217.0</v>
      </c>
      <c r="H4191" s="1">
        <v>13.8875502</v>
      </c>
      <c r="I4191" s="1">
        <v>4.9</v>
      </c>
      <c r="J4191" s="1">
        <v>5.220404</v>
      </c>
    </row>
    <row r="4192">
      <c r="A4192" s="1">
        <v>2025.0</v>
      </c>
      <c r="B4192" s="1" t="s">
        <v>399</v>
      </c>
      <c r="C4192" s="1">
        <v>543294.0</v>
      </c>
      <c r="D4192" s="1" t="s">
        <v>536</v>
      </c>
      <c r="E4192" s="1" t="s">
        <v>927</v>
      </c>
      <c r="F4192" s="1" t="s">
        <v>927</v>
      </c>
      <c r="G4192" s="1">
        <v>531.0</v>
      </c>
      <c r="H4192" s="1">
        <v>33.98289934</v>
      </c>
      <c r="I4192" s="1">
        <v>4.82</v>
      </c>
      <c r="J4192" s="1">
        <v>13.757781</v>
      </c>
    </row>
    <row r="4193">
      <c r="A4193" s="1">
        <v>2025.0</v>
      </c>
      <c r="B4193" s="1" t="s">
        <v>170</v>
      </c>
      <c r="C4193" s="1">
        <v>681517.0</v>
      </c>
      <c r="D4193" s="1" t="s">
        <v>532</v>
      </c>
      <c r="E4193" s="1" t="s">
        <v>927</v>
      </c>
      <c r="F4193" s="1" t="s">
        <v>926</v>
      </c>
      <c r="G4193" s="1">
        <v>118.0</v>
      </c>
      <c r="H4193" s="1">
        <v>7.691851852</v>
      </c>
      <c r="I4193" s="1">
        <v>4.96</v>
      </c>
      <c r="J4193" s="1">
        <v>2.722881</v>
      </c>
    </row>
    <row r="4194">
      <c r="A4194" s="1">
        <v>2025.0</v>
      </c>
      <c r="B4194" s="1" t="s">
        <v>170</v>
      </c>
      <c r="C4194" s="1">
        <v>681517.0</v>
      </c>
      <c r="D4194" s="1" t="s">
        <v>541</v>
      </c>
      <c r="E4194" s="1" t="s">
        <v>927</v>
      </c>
      <c r="F4194" s="1" t="s">
        <v>926</v>
      </c>
      <c r="G4194" s="1">
        <v>160.0</v>
      </c>
      <c r="H4194" s="1">
        <v>10.42962963</v>
      </c>
      <c r="I4194" s="1">
        <v>4.94</v>
      </c>
      <c r="J4194" s="1">
        <v>3.591786</v>
      </c>
    </row>
    <row r="4195">
      <c r="A4195" s="1">
        <v>2025.0</v>
      </c>
      <c r="B4195" s="1" t="s">
        <v>170</v>
      </c>
      <c r="C4195" s="1">
        <v>681517.0</v>
      </c>
      <c r="D4195" s="1" t="s">
        <v>537</v>
      </c>
      <c r="E4195" s="1" t="s">
        <v>927</v>
      </c>
      <c r="F4195" s="1" t="s">
        <v>926</v>
      </c>
      <c r="G4195" s="1">
        <v>231.0</v>
      </c>
      <c r="H4195" s="1">
        <v>15.05777778</v>
      </c>
      <c r="I4195" s="1">
        <v>4.91</v>
      </c>
      <c r="J4195" s="1">
        <v>5.629873</v>
      </c>
    </row>
    <row r="4196">
      <c r="A4196" s="1">
        <v>2025.0</v>
      </c>
      <c r="B4196" s="1" t="s">
        <v>170</v>
      </c>
      <c r="C4196" s="1">
        <v>681517.0</v>
      </c>
      <c r="D4196" s="1" t="s">
        <v>536</v>
      </c>
      <c r="E4196" s="1" t="s">
        <v>927</v>
      </c>
      <c r="F4196" s="1" t="s">
        <v>926</v>
      </c>
      <c r="G4196" s="1">
        <v>6.0</v>
      </c>
      <c r="H4196" s="1">
        <v>0.391111111</v>
      </c>
      <c r="I4196" s="1">
        <v>3.47</v>
      </c>
      <c r="J4196" s="1">
        <v>0.316156</v>
      </c>
    </row>
    <row r="4197">
      <c r="A4197" s="1">
        <v>2025.0</v>
      </c>
      <c r="B4197" s="1" t="s">
        <v>170</v>
      </c>
      <c r="C4197" s="1">
        <v>681517.0</v>
      </c>
      <c r="D4197" s="1" t="s">
        <v>533</v>
      </c>
      <c r="E4197" s="1" t="s">
        <v>927</v>
      </c>
      <c r="F4197" s="1" t="s">
        <v>926</v>
      </c>
      <c r="G4197" s="1">
        <v>74.0</v>
      </c>
      <c r="H4197" s="1">
        <v>4.823703704</v>
      </c>
      <c r="I4197" s="1">
        <v>5.2</v>
      </c>
      <c r="J4197" s="1">
        <v>1.371592</v>
      </c>
    </row>
    <row r="4198">
      <c r="A4198" s="1">
        <v>2025.0</v>
      </c>
      <c r="B4198" s="1" t="s">
        <v>170</v>
      </c>
      <c r="C4198" s="1">
        <v>681517.0</v>
      </c>
      <c r="D4198" s="1" t="s">
        <v>539</v>
      </c>
      <c r="E4198" s="1" t="s">
        <v>927</v>
      </c>
      <c r="F4198" s="1" t="s">
        <v>926</v>
      </c>
      <c r="G4198" s="1">
        <v>19.0</v>
      </c>
      <c r="H4198" s="1">
        <v>1.238518519</v>
      </c>
      <c r="I4198" s="1">
        <v>5.52</v>
      </c>
      <c r="J4198" s="1">
        <v>0.189211</v>
      </c>
    </row>
    <row r="4199">
      <c r="A4199" s="1">
        <v>2025.0</v>
      </c>
      <c r="B4199" s="1" t="s">
        <v>170</v>
      </c>
      <c r="C4199" s="1">
        <v>681517.0</v>
      </c>
      <c r="D4199" s="1" t="s">
        <v>532</v>
      </c>
      <c r="E4199" s="1" t="s">
        <v>927</v>
      </c>
      <c r="F4199" s="1" t="s">
        <v>927</v>
      </c>
      <c r="G4199" s="1">
        <v>11.0</v>
      </c>
      <c r="H4199" s="1">
        <v>0.717037037</v>
      </c>
      <c r="I4199" s="1">
        <v>4.73</v>
      </c>
      <c r="J4199" s="1">
        <v>0.268837</v>
      </c>
    </row>
    <row r="4200">
      <c r="A4200" s="1">
        <v>2025.0</v>
      </c>
      <c r="B4200" s="1" t="s">
        <v>170</v>
      </c>
      <c r="C4200" s="1">
        <v>681517.0</v>
      </c>
      <c r="D4200" s="1" t="s">
        <v>541</v>
      </c>
      <c r="E4200" s="1" t="s">
        <v>927</v>
      </c>
      <c r="F4200" s="1" t="s">
        <v>927</v>
      </c>
      <c r="G4200" s="1">
        <v>83.0</v>
      </c>
      <c r="H4200" s="1">
        <v>5.41037037</v>
      </c>
      <c r="I4200" s="1">
        <v>4.32</v>
      </c>
      <c r="J4200" s="1">
        <v>2.924554</v>
      </c>
    </row>
    <row r="4201">
      <c r="A4201" s="1">
        <v>2025.0</v>
      </c>
      <c r="B4201" s="1" t="s">
        <v>170</v>
      </c>
      <c r="C4201" s="1">
        <v>681517.0</v>
      </c>
      <c r="D4201" s="1" t="s">
        <v>537</v>
      </c>
      <c r="E4201" s="1" t="s">
        <v>927</v>
      </c>
      <c r="F4201" s="1" t="s">
        <v>927</v>
      </c>
      <c r="G4201" s="1">
        <v>180.0</v>
      </c>
      <c r="H4201" s="1">
        <v>11.73333333</v>
      </c>
      <c r="I4201" s="1">
        <v>5.19</v>
      </c>
      <c r="J4201" s="1">
        <v>3.356692</v>
      </c>
    </row>
    <row r="4202">
      <c r="A4202" s="1">
        <v>2025.0</v>
      </c>
      <c r="B4202" s="1" t="s">
        <v>170</v>
      </c>
      <c r="C4202" s="1">
        <v>681517.0</v>
      </c>
      <c r="D4202" s="1" t="s">
        <v>536</v>
      </c>
      <c r="E4202" s="1" t="s">
        <v>927</v>
      </c>
      <c r="F4202" s="1" t="s">
        <v>927</v>
      </c>
      <c r="G4202" s="1">
        <v>92.0</v>
      </c>
      <c r="H4202" s="1">
        <v>5.997037037</v>
      </c>
      <c r="I4202" s="1">
        <v>4.91</v>
      </c>
      <c r="J4202" s="1">
        <v>2.290051</v>
      </c>
    </row>
    <row r="4203">
      <c r="A4203" s="1">
        <v>2025.0</v>
      </c>
      <c r="B4203" s="1" t="s">
        <v>170</v>
      </c>
      <c r="C4203" s="1">
        <v>681517.0</v>
      </c>
      <c r="D4203" s="1" t="s">
        <v>533</v>
      </c>
      <c r="E4203" s="1" t="s">
        <v>927</v>
      </c>
      <c r="F4203" s="1" t="s">
        <v>927</v>
      </c>
      <c r="G4203" s="1">
        <v>214.0</v>
      </c>
      <c r="H4203" s="1">
        <v>13.94962963</v>
      </c>
      <c r="I4203" s="1">
        <v>5.36</v>
      </c>
      <c r="J4203" s="1">
        <v>3.276881</v>
      </c>
    </row>
    <row r="4204">
      <c r="A4204" s="1">
        <v>2025.0</v>
      </c>
      <c r="B4204" s="1" t="s">
        <v>170</v>
      </c>
      <c r="C4204" s="1">
        <v>681517.0</v>
      </c>
      <c r="D4204" s="1" t="s">
        <v>539</v>
      </c>
      <c r="E4204" s="1" t="s">
        <v>927</v>
      </c>
      <c r="F4204" s="1" t="s">
        <v>927</v>
      </c>
      <c r="G4204" s="1">
        <v>162.0</v>
      </c>
      <c r="H4204" s="1">
        <v>10.56</v>
      </c>
      <c r="I4204" s="1">
        <v>5.43</v>
      </c>
      <c r="J4204" s="1">
        <v>2.048035</v>
      </c>
    </row>
    <row r="4205">
      <c r="A4205" s="1">
        <v>2025.0</v>
      </c>
      <c r="B4205" s="1" t="s">
        <v>983</v>
      </c>
      <c r="C4205" s="1">
        <v>669459.0</v>
      </c>
      <c r="D4205" s="1" t="s">
        <v>537</v>
      </c>
      <c r="E4205" s="1" t="s">
        <v>926</v>
      </c>
      <c r="F4205" s="1" t="s">
        <v>926</v>
      </c>
      <c r="G4205" s="1">
        <v>6.0</v>
      </c>
      <c r="H4205" s="1">
        <v>0.272727273</v>
      </c>
      <c r="I4205" s="1">
        <v>3.49</v>
      </c>
      <c r="J4205" s="1">
        <v>0.330521</v>
      </c>
    </row>
    <row r="4206">
      <c r="A4206" s="1">
        <v>2025.0</v>
      </c>
      <c r="B4206" s="1" t="s">
        <v>983</v>
      </c>
      <c r="C4206" s="1">
        <v>669459.0</v>
      </c>
      <c r="D4206" s="1" t="s">
        <v>533</v>
      </c>
      <c r="E4206" s="1" t="s">
        <v>926</v>
      </c>
      <c r="F4206" s="1" t="s">
        <v>926</v>
      </c>
      <c r="G4206" s="1">
        <v>8.0</v>
      </c>
      <c r="H4206" s="1">
        <v>0.363636364</v>
      </c>
      <c r="I4206" s="1">
        <v>5.55</v>
      </c>
      <c r="J4206" s="1">
        <v>0.101534</v>
      </c>
    </row>
    <row r="4207">
      <c r="A4207" s="1">
        <v>2025.0</v>
      </c>
      <c r="B4207" s="1" t="s">
        <v>983</v>
      </c>
      <c r="C4207" s="1">
        <v>669459.0</v>
      </c>
      <c r="D4207" s="1" t="s">
        <v>540</v>
      </c>
      <c r="E4207" s="1" t="s">
        <v>926</v>
      </c>
      <c r="F4207" s="1" t="s">
        <v>927</v>
      </c>
      <c r="G4207" s="1">
        <v>1.0</v>
      </c>
      <c r="H4207" s="1">
        <v>0.045454545</v>
      </c>
      <c r="I4207" s="1">
        <v>0.01</v>
      </c>
      <c r="J4207" s="1">
        <v>0.130563</v>
      </c>
    </row>
    <row r="4208">
      <c r="A4208" s="1">
        <v>2025.0</v>
      </c>
      <c r="B4208" s="1" t="s">
        <v>983</v>
      </c>
      <c r="C4208" s="1">
        <v>669459.0</v>
      </c>
      <c r="D4208" s="1" t="s">
        <v>537</v>
      </c>
      <c r="E4208" s="1" t="s">
        <v>926</v>
      </c>
      <c r="F4208" s="1" t="s">
        <v>927</v>
      </c>
      <c r="G4208" s="1">
        <v>13.0</v>
      </c>
      <c r="H4208" s="1">
        <v>0.590909091</v>
      </c>
      <c r="I4208" s="1">
        <v>5.35</v>
      </c>
      <c r="J4208" s="1">
        <v>0.225144</v>
      </c>
    </row>
    <row r="4209">
      <c r="A4209" s="1">
        <v>2025.0</v>
      </c>
      <c r="B4209" s="1" t="s">
        <v>983</v>
      </c>
      <c r="C4209" s="1">
        <v>669459.0</v>
      </c>
      <c r="D4209" s="1" t="s">
        <v>533</v>
      </c>
      <c r="E4209" s="1" t="s">
        <v>926</v>
      </c>
      <c r="F4209" s="1" t="s">
        <v>927</v>
      </c>
      <c r="G4209" s="1">
        <v>16.0</v>
      </c>
      <c r="H4209" s="1">
        <v>0.727272727</v>
      </c>
      <c r="I4209" s="1">
        <v>4.53</v>
      </c>
      <c r="J4209" s="1">
        <v>0.536379</v>
      </c>
    </row>
    <row r="4210">
      <c r="A4210" s="1">
        <v>2025.0</v>
      </c>
      <c r="B4210" s="1" t="s">
        <v>482</v>
      </c>
      <c r="C4210" s="1">
        <v>693312.0</v>
      </c>
      <c r="D4210" s="1" t="s">
        <v>541</v>
      </c>
      <c r="E4210" s="1" t="s">
        <v>927</v>
      </c>
      <c r="F4210" s="1" t="s">
        <v>926</v>
      </c>
      <c r="G4210" s="1">
        <v>75.0</v>
      </c>
      <c r="H4210" s="1">
        <v>4.377880184</v>
      </c>
      <c r="I4210" s="1">
        <v>4.37</v>
      </c>
      <c r="J4210" s="1">
        <v>2.630677</v>
      </c>
    </row>
    <row r="4211">
      <c r="A4211" s="1">
        <v>2025.0</v>
      </c>
      <c r="B4211" s="1" t="s">
        <v>482</v>
      </c>
      <c r="C4211" s="1">
        <v>693312.0</v>
      </c>
      <c r="D4211" s="1" t="s">
        <v>537</v>
      </c>
      <c r="E4211" s="1" t="s">
        <v>927</v>
      </c>
      <c r="F4211" s="1" t="s">
        <v>926</v>
      </c>
      <c r="G4211" s="1">
        <v>163.0</v>
      </c>
      <c r="H4211" s="1">
        <v>9.514592934</v>
      </c>
      <c r="I4211" s="1">
        <v>4.8</v>
      </c>
      <c r="J4211" s="1">
        <v>4.39293</v>
      </c>
    </row>
    <row r="4212">
      <c r="A4212" s="1">
        <v>2025.0</v>
      </c>
      <c r="B4212" s="1" t="s">
        <v>482</v>
      </c>
      <c r="C4212" s="1">
        <v>693312.0</v>
      </c>
      <c r="D4212" s="1" t="s">
        <v>533</v>
      </c>
      <c r="E4212" s="1" t="s">
        <v>927</v>
      </c>
      <c r="F4212" s="1" t="s">
        <v>926</v>
      </c>
      <c r="G4212" s="1">
        <v>45.0</v>
      </c>
      <c r="H4212" s="1">
        <v>2.626728111</v>
      </c>
      <c r="I4212" s="1">
        <v>5.04</v>
      </c>
      <c r="J4212" s="1">
        <v>0.916168</v>
      </c>
    </row>
    <row r="4213">
      <c r="A4213" s="1">
        <v>2025.0</v>
      </c>
      <c r="B4213" s="1" t="s">
        <v>482</v>
      </c>
      <c r="C4213" s="1">
        <v>693312.0</v>
      </c>
      <c r="D4213" s="1" t="s">
        <v>532</v>
      </c>
      <c r="E4213" s="1" t="s">
        <v>927</v>
      </c>
      <c r="F4213" s="1" t="s">
        <v>927</v>
      </c>
      <c r="G4213" s="1">
        <v>1.0</v>
      </c>
      <c r="H4213" s="1">
        <v>0.058371736</v>
      </c>
      <c r="I4213" s="1">
        <v>-0.83</v>
      </c>
      <c r="J4213" s="1">
        <v>0.141653</v>
      </c>
    </row>
    <row r="4214">
      <c r="A4214" s="1">
        <v>2025.0</v>
      </c>
      <c r="B4214" s="1" t="s">
        <v>482</v>
      </c>
      <c r="C4214" s="1">
        <v>693312.0</v>
      </c>
      <c r="D4214" s="1" t="s">
        <v>541</v>
      </c>
      <c r="E4214" s="1" t="s">
        <v>927</v>
      </c>
      <c r="F4214" s="1" t="s">
        <v>927</v>
      </c>
      <c r="G4214" s="1">
        <v>69.0</v>
      </c>
      <c r="H4214" s="1">
        <v>4.02764977</v>
      </c>
      <c r="I4214" s="1">
        <v>4.92</v>
      </c>
      <c r="J4214" s="1">
        <v>1.578828</v>
      </c>
    </row>
    <row r="4215">
      <c r="A4215" s="1">
        <v>2025.0</v>
      </c>
      <c r="B4215" s="1" t="s">
        <v>482</v>
      </c>
      <c r="C4215" s="1">
        <v>693312.0</v>
      </c>
      <c r="D4215" s="1" t="s">
        <v>537</v>
      </c>
      <c r="E4215" s="1" t="s">
        <v>927</v>
      </c>
      <c r="F4215" s="1" t="s">
        <v>927</v>
      </c>
      <c r="G4215" s="1">
        <v>168.0</v>
      </c>
      <c r="H4215" s="1">
        <v>9.806451613</v>
      </c>
      <c r="I4215" s="1">
        <v>4.96</v>
      </c>
      <c r="J4215" s="1">
        <v>4.072701</v>
      </c>
    </row>
    <row r="4216">
      <c r="A4216" s="1">
        <v>2025.0</v>
      </c>
      <c r="B4216" s="1" t="s">
        <v>482</v>
      </c>
      <c r="C4216" s="1">
        <v>693312.0</v>
      </c>
      <c r="D4216" s="1" t="s">
        <v>536</v>
      </c>
      <c r="E4216" s="1" t="s">
        <v>927</v>
      </c>
      <c r="F4216" s="1" t="s">
        <v>927</v>
      </c>
      <c r="G4216" s="1">
        <v>1.0</v>
      </c>
      <c r="H4216" s="1">
        <v>0.058371736</v>
      </c>
      <c r="I4216" s="1">
        <v>7.81</v>
      </c>
      <c r="J4216" s="1">
        <v>-0.028018</v>
      </c>
    </row>
    <row r="4217">
      <c r="A4217" s="1">
        <v>2025.0</v>
      </c>
      <c r="B4217" s="1" t="s">
        <v>482</v>
      </c>
      <c r="C4217" s="1">
        <v>693312.0</v>
      </c>
      <c r="D4217" s="1" t="s">
        <v>533</v>
      </c>
      <c r="E4217" s="1" t="s">
        <v>927</v>
      </c>
      <c r="F4217" s="1" t="s">
        <v>927</v>
      </c>
      <c r="G4217" s="1">
        <v>129.0</v>
      </c>
      <c r="H4217" s="1">
        <v>7.529953917</v>
      </c>
      <c r="I4217" s="1">
        <v>4.9</v>
      </c>
      <c r="J4217" s="1">
        <v>3.12345</v>
      </c>
    </row>
    <row r="4218">
      <c r="A4218" s="1">
        <v>2025.0</v>
      </c>
      <c r="B4218" s="1" t="s">
        <v>241</v>
      </c>
      <c r="C4218" s="1">
        <v>669199.0</v>
      </c>
      <c r="D4218" s="1" t="s">
        <v>537</v>
      </c>
      <c r="E4218" s="1" t="s">
        <v>927</v>
      </c>
      <c r="F4218" s="1" t="s">
        <v>926</v>
      </c>
      <c r="G4218" s="1">
        <v>206.0</v>
      </c>
      <c r="H4218" s="1">
        <v>12.79615048</v>
      </c>
      <c r="I4218" s="1">
        <v>5.27</v>
      </c>
      <c r="J4218" s="1">
        <v>3.371917</v>
      </c>
    </row>
    <row r="4219">
      <c r="A4219" s="1">
        <v>2025.0</v>
      </c>
      <c r="B4219" s="1" t="s">
        <v>241</v>
      </c>
      <c r="C4219" s="1">
        <v>669199.0</v>
      </c>
      <c r="D4219" s="1" t="s">
        <v>538</v>
      </c>
      <c r="E4219" s="1" t="s">
        <v>927</v>
      </c>
      <c r="F4219" s="1" t="s">
        <v>926</v>
      </c>
      <c r="G4219" s="1">
        <v>98.0</v>
      </c>
      <c r="H4219" s="1">
        <v>6.087489064</v>
      </c>
      <c r="I4219" s="1">
        <v>4.35</v>
      </c>
      <c r="J4219" s="1">
        <v>3.391438</v>
      </c>
    </row>
    <row r="4220">
      <c r="A4220" s="1">
        <v>2025.0</v>
      </c>
      <c r="B4220" s="1" t="s">
        <v>241</v>
      </c>
      <c r="C4220" s="1">
        <v>669199.0</v>
      </c>
      <c r="D4220" s="1" t="s">
        <v>533</v>
      </c>
      <c r="E4220" s="1" t="s">
        <v>927</v>
      </c>
      <c r="F4220" s="1" t="s">
        <v>926</v>
      </c>
      <c r="G4220" s="1">
        <v>139.0</v>
      </c>
      <c r="H4220" s="1">
        <v>8.634295713</v>
      </c>
      <c r="I4220" s="1">
        <v>4.84</v>
      </c>
      <c r="J4220" s="1">
        <v>3.400648</v>
      </c>
    </row>
    <row r="4221">
      <c r="A4221" s="1">
        <v>2025.0</v>
      </c>
      <c r="B4221" s="1" t="s">
        <v>241</v>
      </c>
      <c r="C4221" s="1">
        <v>669199.0</v>
      </c>
      <c r="D4221" s="1" t="s">
        <v>539</v>
      </c>
      <c r="E4221" s="1" t="s">
        <v>927</v>
      </c>
      <c r="F4221" s="1" t="s">
        <v>926</v>
      </c>
      <c r="G4221" s="1">
        <v>118.0</v>
      </c>
      <c r="H4221" s="1">
        <v>7.329833771</v>
      </c>
      <c r="I4221" s="1">
        <v>5.28</v>
      </c>
      <c r="J4221" s="1">
        <v>1.837322</v>
      </c>
    </row>
    <row r="4222">
      <c r="A4222" s="1">
        <v>2025.0</v>
      </c>
      <c r="B4222" s="1" t="s">
        <v>241</v>
      </c>
      <c r="C4222" s="1">
        <v>669199.0</v>
      </c>
      <c r="D4222" s="1" t="s">
        <v>537</v>
      </c>
      <c r="E4222" s="1" t="s">
        <v>927</v>
      </c>
      <c r="F4222" s="1" t="s">
        <v>927</v>
      </c>
      <c r="G4222" s="1">
        <v>219.0</v>
      </c>
      <c r="H4222" s="1">
        <v>13.60367454</v>
      </c>
      <c r="I4222" s="1">
        <v>5.09</v>
      </c>
      <c r="J4222" s="1">
        <v>4.420528</v>
      </c>
    </row>
    <row r="4223">
      <c r="A4223" s="1">
        <v>2025.0</v>
      </c>
      <c r="B4223" s="1" t="s">
        <v>241</v>
      </c>
      <c r="C4223" s="1">
        <v>669199.0</v>
      </c>
      <c r="D4223" s="1" t="s">
        <v>538</v>
      </c>
      <c r="E4223" s="1" t="s">
        <v>927</v>
      </c>
      <c r="F4223" s="1" t="s">
        <v>927</v>
      </c>
      <c r="G4223" s="1">
        <v>41.0</v>
      </c>
      <c r="H4223" s="1">
        <v>2.546806649</v>
      </c>
      <c r="I4223" s="1">
        <v>4.45</v>
      </c>
      <c r="J4223" s="1">
        <v>1.314088</v>
      </c>
    </row>
    <row r="4224">
      <c r="A4224" s="1">
        <v>2025.0</v>
      </c>
      <c r="B4224" s="1" t="s">
        <v>241</v>
      </c>
      <c r="C4224" s="1">
        <v>669199.0</v>
      </c>
      <c r="D4224" s="1" t="s">
        <v>533</v>
      </c>
      <c r="E4224" s="1" t="s">
        <v>927</v>
      </c>
      <c r="F4224" s="1" t="s">
        <v>927</v>
      </c>
      <c r="G4224" s="1">
        <v>132.0</v>
      </c>
      <c r="H4224" s="1">
        <v>8.199475066</v>
      </c>
      <c r="I4224" s="1">
        <v>4.86</v>
      </c>
      <c r="J4224" s="1">
        <v>3.18357</v>
      </c>
    </row>
    <row r="4225">
      <c r="A4225" s="1">
        <v>2025.0</v>
      </c>
      <c r="B4225" s="1" t="s">
        <v>241</v>
      </c>
      <c r="C4225" s="1">
        <v>669199.0</v>
      </c>
      <c r="D4225" s="1" t="s">
        <v>539</v>
      </c>
      <c r="E4225" s="1" t="s">
        <v>927</v>
      </c>
      <c r="F4225" s="1" t="s">
        <v>927</v>
      </c>
      <c r="G4225" s="1">
        <v>190.0</v>
      </c>
      <c r="H4225" s="1">
        <v>11.80227472</v>
      </c>
      <c r="I4225" s="1">
        <v>5.2</v>
      </c>
      <c r="J4225" s="1">
        <v>3.324788</v>
      </c>
    </row>
    <row r="4226">
      <c r="A4226" s="1">
        <v>2025.0</v>
      </c>
      <c r="B4226" s="1" t="s">
        <v>394</v>
      </c>
      <c r="C4226" s="1">
        <v>621121.0</v>
      </c>
      <c r="D4226" s="1" t="s">
        <v>532</v>
      </c>
      <c r="E4226" s="1" t="s">
        <v>927</v>
      </c>
      <c r="F4226" s="1" t="s">
        <v>926</v>
      </c>
      <c r="G4226" s="1">
        <v>144.0</v>
      </c>
      <c r="H4226" s="1">
        <v>6.952879581</v>
      </c>
      <c r="I4226" s="1">
        <v>5.25</v>
      </c>
      <c r="J4226" s="1">
        <v>2.552043</v>
      </c>
    </row>
    <row r="4227">
      <c r="A4227" s="1">
        <v>2025.0</v>
      </c>
      <c r="B4227" s="1" t="s">
        <v>394</v>
      </c>
      <c r="C4227" s="1">
        <v>621121.0</v>
      </c>
      <c r="D4227" s="1" t="s">
        <v>541</v>
      </c>
      <c r="E4227" s="1" t="s">
        <v>927</v>
      </c>
      <c r="F4227" s="1" t="s">
        <v>926</v>
      </c>
      <c r="G4227" s="1">
        <v>159.0</v>
      </c>
      <c r="H4227" s="1">
        <v>7.677137871</v>
      </c>
      <c r="I4227" s="1">
        <v>5.07</v>
      </c>
      <c r="J4227" s="1">
        <v>3.318145</v>
      </c>
    </row>
    <row r="4228">
      <c r="A4228" s="1">
        <v>2025.0</v>
      </c>
      <c r="B4228" s="1" t="s">
        <v>394</v>
      </c>
      <c r="C4228" s="1">
        <v>621121.0</v>
      </c>
      <c r="D4228" s="1" t="s">
        <v>540</v>
      </c>
      <c r="E4228" s="1" t="s">
        <v>927</v>
      </c>
      <c r="F4228" s="1" t="s">
        <v>926</v>
      </c>
      <c r="G4228" s="1">
        <v>41.0</v>
      </c>
      <c r="H4228" s="1">
        <v>1.979639325</v>
      </c>
      <c r="I4228" s="1">
        <v>4.72</v>
      </c>
      <c r="J4228" s="1">
        <v>1.189102</v>
      </c>
    </row>
    <row r="4229">
      <c r="A4229" s="1">
        <v>2025.0</v>
      </c>
      <c r="B4229" s="1" t="s">
        <v>394</v>
      </c>
      <c r="C4229" s="1">
        <v>621121.0</v>
      </c>
      <c r="D4229" s="1" t="s">
        <v>537</v>
      </c>
      <c r="E4229" s="1" t="s">
        <v>927</v>
      </c>
      <c r="F4229" s="1" t="s">
        <v>926</v>
      </c>
      <c r="G4229" s="1">
        <v>29.0</v>
      </c>
      <c r="H4229" s="1">
        <v>1.400232693</v>
      </c>
      <c r="I4229" s="1">
        <v>4.29</v>
      </c>
      <c r="J4229" s="1">
        <v>1.153258</v>
      </c>
    </row>
    <row r="4230">
      <c r="A4230" s="1">
        <v>2025.0</v>
      </c>
      <c r="B4230" s="1" t="s">
        <v>394</v>
      </c>
      <c r="C4230" s="1">
        <v>621121.0</v>
      </c>
      <c r="D4230" s="1" t="s">
        <v>536</v>
      </c>
      <c r="E4230" s="1" t="s">
        <v>927</v>
      </c>
      <c r="F4230" s="1" t="s">
        <v>926</v>
      </c>
      <c r="G4230" s="1">
        <v>34.0</v>
      </c>
      <c r="H4230" s="1">
        <v>1.641652123</v>
      </c>
      <c r="I4230" s="1">
        <v>3.8</v>
      </c>
      <c r="J4230" s="1">
        <v>1.689574</v>
      </c>
    </row>
    <row r="4231">
      <c r="A4231" s="1">
        <v>2025.0</v>
      </c>
      <c r="B4231" s="1" t="s">
        <v>394</v>
      </c>
      <c r="C4231" s="1">
        <v>621121.0</v>
      </c>
      <c r="D4231" s="1" t="s">
        <v>533</v>
      </c>
      <c r="E4231" s="1" t="s">
        <v>927</v>
      </c>
      <c r="F4231" s="1" t="s">
        <v>926</v>
      </c>
      <c r="G4231" s="1">
        <v>138.0</v>
      </c>
      <c r="H4231" s="1">
        <v>6.663176265</v>
      </c>
      <c r="I4231" s="1">
        <v>5.59</v>
      </c>
      <c r="J4231" s="1">
        <v>1.282511</v>
      </c>
    </row>
    <row r="4232">
      <c r="A4232" s="1">
        <v>2025.0</v>
      </c>
      <c r="B4232" s="1" t="s">
        <v>394</v>
      </c>
      <c r="C4232" s="1">
        <v>621121.0</v>
      </c>
      <c r="D4232" s="1" t="s">
        <v>532</v>
      </c>
      <c r="E4232" s="1" t="s">
        <v>927</v>
      </c>
      <c r="F4232" s="1" t="s">
        <v>927</v>
      </c>
      <c r="G4232" s="1">
        <v>50.0</v>
      </c>
      <c r="H4232" s="1">
        <v>2.414194299</v>
      </c>
      <c r="I4232" s="1">
        <v>4.63</v>
      </c>
      <c r="J4232" s="1">
        <v>1.503657</v>
      </c>
    </row>
    <row r="4233">
      <c r="A4233" s="1">
        <v>2025.0</v>
      </c>
      <c r="B4233" s="1" t="s">
        <v>394</v>
      </c>
      <c r="C4233" s="1">
        <v>621121.0</v>
      </c>
      <c r="D4233" s="1" t="s">
        <v>541</v>
      </c>
      <c r="E4233" s="1" t="s">
        <v>927</v>
      </c>
      <c r="F4233" s="1" t="s">
        <v>927</v>
      </c>
      <c r="G4233" s="1">
        <v>28.0</v>
      </c>
      <c r="H4233" s="1">
        <v>1.351948807</v>
      </c>
      <c r="I4233" s="1">
        <v>4.63</v>
      </c>
      <c r="J4233" s="1">
        <v>0.853341</v>
      </c>
    </row>
    <row r="4234">
      <c r="A4234" s="1">
        <v>2025.0</v>
      </c>
      <c r="B4234" s="1" t="s">
        <v>394</v>
      </c>
      <c r="C4234" s="1">
        <v>621121.0</v>
      </c>
      <c r="D4234" s="1" t="s">
        <v>540</v>
      </c>
      <c r="E4234" s="1" t="s">
        <v>927</v>
      </c>
      <c r="F4234" s="1" t="s">
        <v>927</v>
      </c>
      <c r="G4234" s="1">
        <v>10.0</v>
      </c>
      <c r="H4234" s="1">
        <v>0.48283886</v>
      </c>
      <c r="I4234" s="1">
        <v>5.77</v>
      </c>
      <c r="J4234" s="1">
        <v>0.081044</v>
      </c>
    </row>
    <row r="4235">
      <c r="A4235" s="1">
        <v>2025.0</v>
      </c>
      <c r="B4235" s="1" t="s">
        <v>394</v>
      </c>
      <c r="C4235" s="1">
        <v>621121.0</v>
      </c>
      <c r="D4235" s="1" t="s">
        <v>537</v>
      </c>
      <c r="E4235" s="1" t="s">
        <v>927</v>
      </c>
      <c r="F4235" s="1" t="s">
        <v>927</v>
      </c>
      <c r="G4235" s="1">
        <v>36.0</v>
      </c>
      <c r="H4235" s="1">
        <v>1.738219895</v>
      </c>
      <c r="I4235" s="1">
        <v>4.27</v>
      </c>
      <c r="J4235" s="1">
        <v>1.393443</v>
      </c>
    </row>
    <row r="4236">
      <c r="A4236" s="1">
        <v>2025.0</v>
      </c>
      <c r="B4236" s="1" t="s">
        <v>394</v>
      </c>
      <c r="C4236" s="1">
        <v>621121.0</v>
      </c>
      <c r="D4236" s="1" t="s">
        <v>536</v>
      </c>
      <c r="E4236" s="1" t="s">
        <v>927</v>
      </c>
      <c r="F4236" s="1" t="s">
        <v>927</v>
      </c>
      <c r="G4236" s="1">
        <v>248.0</v>
      </c>
      <c r="H4236" s="1">
        <v>11.97440372</v>
      </c>
      <c r="I4236" s="1">
        <v>4.66</v>
      </c>
      <c r="J4236" s="1">
        <v>7.579464</v>
      </c>
    </row>
    <row r="4237">
      <c r="A4237" s="1">
        <v>2025.0</v>
      </c>
      <c r="B4237" s="1" t="s">
        <v>394</v>
      </c>
      <c r="C4237" s="1">
        <v>621121.0</v>
      </c>
      <c r="D4237" s="1" t="s">
        <v>533</v>
      </c>
      <c r="E4237" s="1" t="s">
        <v>927</v>
      </c>
      <c r="F4237" s="1" t="s">
        <v>927</v>
      </c>
      <c r="G4237" s="1">
        <v>229.0</v>
      </c>
      <c r="H4237" s="1">
        <v>11.05700989</v>
      </c>
      <c r="I4237" s="1">
        <v>5.36</v>
      </c>
      <c r="J4237" s="1">
        <v>3.336122</v>
      </c>
    </row>
    <row r="4238">
      <c r="A4238" s="1">
        <v>2025.0</v>
      </c>
      <c r="B4238" s="1" t="s">
        <v>209</v>
      </c>
      <c r="C4238" s="1">
        <v>694738.0</v>
      </c>
      <c r="D4238" s="1" t="s">
        <v>532</v>
      </c>
      <c r="E4238" s="1" t="s">
        <v>927</v>
      </c>
      <c r="F4238" s="1" t="s">
        <v>926</v>
      </c>
      <c r="G4238" s="1">
        <v>227.0</v>
      </c>
      <c r="H4238" s="1">
        <v>13.08121736</v>
      </c>
      <c r="I4238" s="1">
        <v>5.09</v>
      </c>
      <c r="J4238" s="1">
        <v>4.182491</v>
      </c>
    </row>
    <row r="4239">
      <c r="A4239" s="1">
        <v>2025.0</v>
      </c>
      <c r="B4239" s="1" t="s">
        <v>209</v>
      </c>
      <c r="C4239" s="1">
        <v>694738.0</v>
      </c>
      <c r="D4239" s="1" t="s">
        <v>541</v>
      </c>
      <c r="E4239" s="1" t="s">
        <v>927</v>
      </c>
      <c r="F4239" s="1" t="s">
        <v>926</v>
      </c>
      <c r="G4239" s="1">
        <v>307.0</v>
      </c>
      <c r="H4239" s="1">
        <v>17.69133802</v>
      </c>
      <c r="I4239" s="1">
        <v>5.11</v>
      </c>
      <c r="J4239" s="1">
        <v>5.71977</v>
      </c>
    </row>
    <row r="4240">
      <c r="A4240" s="1">
        <v>2025.0</v>
      </c>
      <c r="B4240" s="1" t="s">
        <v>209</v>
      </c>
      <c r="C4240" s="1">
        <v>694738.0</v>
      </c>
      <c r="D4240" s="1" t="s">
        <v>540</v>
      </c>
      <c r="E4240" s="1" t="s">
        <v>927</v>
      </c>
      <c r="F4240" s="1" t="s">
        <v>926</v>
      </c>
      <c r="G4240" s="1">
        <v>89.0</v>
      </c>
      <c r="H4240" s="1">
        <v>5.128759229</v>
      </c>
      <c r="I4240" s="1">
        <v>5.22</v>
      </c>
      <c r="J4240" s="1">
        <v>1.47376</v>
      </c>
    </row>
    <row r="4241">
      <c r="A4241" s="1">
        <v>2025.0</v>
      </c>
      <c r="B4241" s="1" t="s">
        <v>209</v>
      </c>
      <c r="C4241" s="1">
        <v>694738.0</v>
      </c>
      <c r="D4241" s="1" t="s">
        <v>537</v>
      </c>
      <c r="E4241" s="1" t="s">
        <v>927</v>
      </c>
      <c r="F4241" s="1" t="s">
        <v>926</v>
      </c>
      <c r="G4241" s="1">
        <v>9.0</v>
      </c>
      <c r="H4241" s="1">
        <v>0.518638574</v>
      </c>
      <c r="I4241" s="1">
        <v>5.04</v>
      </c>
      <c r="J4241" s="1">
        <v>0.185075</v>
      </c>
    </row>
    <row r="4242">
      <c r="A4242" s="1">
        <v>2025.0</v>
      </c>
      <c r="B4242" s="1" t="s">
        <v>209</v>
      </c>
      <c r="C4242" s="1">
        <v>694738.0</v>
      </c>
      <c r="D4242" s="1" t="s">
        <v>536</v>
      </c>
      <c r="E4242" s="1" t="s">
        <v>927</v>
      </c>
      <c r="F4242" s="1" t="s">
        <v>926</v>
      </c>
      <c r="G4242" s="1">
        <v>380.0</v>
      </c>
      <c r="H4242" s="1">
        <v>21.89807311</v>
      </c>
      <c r="I4242" s="1">
        <v>4.83</v>
      </c>
      <c r="J4242" s="1">
        <v>9.434764</v>
      </c>
    </row>
    <row r="4243">
      <c r="A4243" s="1">
        <v>2025.0</v>
      </c>
      <c r="B4243" s="1" t="s">
        <v>209</v>
      </c>
      <c r="C4243" s="1">
        <v>694738.0</v>
      </c>
      <c r="D4243" s="1" t="s">
        <v>532</v>
      </c>
      <c r="E4243" s="1" t="s">
        <v>927</v>
      </c>
      <c r="F4243" s="1" t="s">
        <v>927</v>
      </c>
      <c r="G4243" s="1">
        <v>89.0</v>
      </c>
      <c r="H4243" s="1">
        <v>5.128759229</v>
      </c>
      <c r="I4243" s="1">
        <v>4.97</v>
      </c>
      <c r="J4243" s="1">
        <v>1.85139</v>
      </c>
    </row>
    <row r="4244">
      <c r="A4244" s="1">
        <v>2025.0</v>
      </c>
      <c r="B4244" s="1" t="s">
        <v>209</v>
      </c>
      <c r="C4244" s="1">
        <v>694738.0</v>
      </c>
      <c r="D4244" s="1" t="s">
        <v>541</v>
      </c>
      <c r="E4244" s="1" t="s">
        <v>927</v>
      </c>
      <c r="F4244" s="1" t="s">
        <v>927</v>
      </c>
      <c r="G4244" s="1">
        <v>353.0</v>
      </c>
      <c r="H4244" s="1">
        <v>20.34215739</v>
      </c>
      <c r="I4244" s="1">
        <v>5.37</v>
      </c>
      <c r="J4244" s="1">
        <v>4.673464</v>
      </c>
    </row>
    <row r="4245">
      <c r="A4245" s="1">
        <v>2025.0</v>
      </c>
      <c r="B4245" s="1" t="s">
        <v>209</v>
      </c>
      <c r="C4245" s="1">
        <v>694738.0</v>
      </c>
      <c r="D4245" s="1" t="s">
        <v>540</v>
      </c>
      <c r="E4245" s="1" t="s">
        <v>927</v>
      </c>
      <c r="F4245" s="1" t="s">
        <v>927</v>
      </c>
      <c r="G4245" s="1">
        <v>35.0</v>
      </c>
      <c r="H4245" s="1">
        <v>2.016927787</v>
      </c>
      <c r="I4245" s="1">
        <v>4.51</v>
      </c>
      <c r="J4245" s="1">
        <v>1.081539</v>
      </c>
    </row>
    <row r="4246">
      <c r="A4246" s="1">
        <v>2025.0</v>
      </c>
      <c r="B4246" s="1" t="s">
        <v>209</v>
      </c>
      <c r="C4246" s="1">
        <v>694738.0</v>
      </c>
      <c r="D4246" s="1" t="s">
        <v>537</v>
      </c>
      <c r="E4246" s="1" t="s">
        <v>927</v>
      </c>
      <c r="F4246" s="1" t="s">
        <v>927</v>
      </c>
      <c r="G4246" s="1">
        <v>4.0</v>
      </c>
      <c r="H4246" s="1">
        <v>0.230506033</v>
      </c>
      <c r="I4246" s="1">
        <v>4.64</v>
      </c>
      <c r="J4246" s="1">
        <v>0.112915</v>
      </c>
    </row>
    <row r="4247">
      <c r="A4247" s="1">
        <v>2025.0</v>
      </c>
      <c r="B4247" s="1" t="s">
        <v>209</v>
      </c>
      <c r="C4247" s="1">
        <v>694738.0</v>
      </c>
      <c r="D4247" s="1" t="s">
        <v>536</v>
      </c>
      <c r="E4247" s="1" t="s">
        <v>927</v>
      </c>
      <c r="F4247" s="1" t="s">
        <v>927</v>
      </c>
      <c r="G4247" s="1">
        <v>358.0</v>
      </c>
      <c r="H4247" s="1">
        <v>20.63028993</v>
      </c>
      <c r="I4247" s="1">
        <v>5.19</v>
      </c>
      <c r="J4247" s="1">
        <v>6.328434</v>
      </c>
    </row>
    <row r="4248">
      <c r="A4248" s="1">
        <v>2025.0</v>
      </c>
      <c r="B4248" s="1" t="s">
        <v>351</v>
      </c>
      <c r="C4248" s="1">
        <v>689017.0</v>
      </c>
      <c r="D4248" s="1" t="s">
        <v>532</v>
      </c>
      <c r="E4248" s="1" t="s">
        <v>927</v>
      </c>
      <c r="F4248" s="1" t="s">
        <v>926</v>
      </c>
      <c r="G4248" s="1">
        <v>143.0</v>
      </c>
      <c r="H4248" s="1">
        <v>7.841537133</v>
      </c>
      <c r="I4248" s="1">
        <v>4.87</v>
      </c>
      <c r="J4248" s="1">
        <v>3.450858</v>
      </c>
    </row>
    <row r="4249">
      <c r="A4249" s="1">
        <v>2025.0</v>
      </c>
      <c r="B4249" s="1" t="s">
        <v>351</v>
      </c>
      <c r="C4249" s="1">
        <v>689017.0</v>
      </c>
      <c r="D4249" s="1" t="s">
        <v>541</v>
      </c>
      <c r="E4249" s="1" t="s">
        <v>927</v>
      </c>
      <c r="F4249" s="1" t="s">
        <v>926</v>
      </c>
      <c r="G4249" s="1">
        <v>72.0</v>
      </c>
      <c r="H4249" s="1">
        <v>3.948186528</v>
      </c>
      <c r="I4249" s="1">
        <v>5.06</v>
      </c>
      <c r="J4249" s="1">
        <v>1.460652</v>
      </c>
    </row>
    <row r="4250">
      <c r="A4250" s="1">
        <v>2025.0</v>
      </c>
      <c r="B4250" s="1" t="s">
        <v>351</v>
      </c>
      <c r="C4250" s="1">
        <v>689017.0</v>
      </c>
      <c r="D4250" s="1" t="s">
        <v>537</v>
      </c>
      <c r="E4250" s="1" t="s">
        <v>927</v>
      </c>
      <c r="F4250" s="1" t="s">
        <v>926</v>
      </c>
      <c r="G4250" s="1">
        <v>211.0</v>
      </c>
      <c r="H4250" s="1">
        <v>11.57037997</v>
      </c>
      <c r="I4250" s="1">
        <v>5.15</v>
      </c>
      <c r="J4250" s="1">
        <v>4.026368</v>
      </c>
    </row>
    <row r="4251">
      <c r="A4251" s="1">
        <v>2025.0</v>
      </c>
      <c r="B4251" s="1" t="s">
        <v>351</v>
      </c>
      <c r="C4251" s="1">
        <v>689017.0</v>
      </c>
      <c r="D4251" s="1" t="s">
        <v>533</v>
      </c>
      <c r="E4251" s="1" t="s">
        <v>927</v>
      </c>
      <c r="F4251" s="1" t="s">
        <v>926</v>
      </c>
      <c r="G4251" s="1">
        <v>17.0</v>
      </c>
      <c r="H4251" s="1">
        <v>0.932210708</v>
      </c>
      <c r="I4251" s="1">
        <v>5.06</v>
      </c>
      <c r="J4251" s="1">
        <v>0.308916</v>
      </c>
    </row>
    <row r="4252">
      <c r="A4252" s="1">
        <v>2025.0</v>
      </c>
      <c r="B4252" s="1" t="s">
        <v>351</v>
      </c>
      <c r="C4252" s="1">
        <v>689017.0</v>
      </c>
      <c r="D4252" s="1" t="s">
        <v>532</v>
      </c>
      <c r="E4252" s="1" t="s">
        <v>927</v>
      </c>
      <c r="F4252" s="1" t="s">
        <v>927</v>
      </c>
      <c r="G4252" s="1">
        <v>59.0</v>
      </c>
      <c r="H4252" s="1">
        <v>3.235319516</v>
      </c>
      <c r="I4252" s="1">
        <v>4.34</v>
      </c>
      <c r="J4252" s="1">
        <v>2.0601</v>
      </c>
    </row>
    <row r="4253">
      <c r="A4253" s="1">
        <v>2025.0</v>
      </c>
      <c r="B4253" s="1" t="s">
        <v>351</v>
      </c>
      <c r="C4253" s="1">
        <v>689017.0</v>
      </c>
      <c r="D4253" s="1" t="s">
        <v>541</v>
      </c>
      <c r="E4253" s="1" t="s">
        <v>927</v>
      </c>
      <c r="F4253" s="1" t="s">
        <v>927</v>
      </c>
      <c r="G4253" s="1">
        <v>32.0</v>
      </c>
      <c r="H4253" s="1">
        <v>1.754749568</v>
      </c>
      <c r="I4253" s="1">
        <v>4.77</v>
      </c>
      <c r="J4253" s="1">
        <v>0.871637</v>
      </c>
    </row>
    <row r="4254">
      <c r="A4254" s="1">
        <v>2025.0</v>
      </c>
      <c r="B4254" s="1" t="s">
        <v>351</v>
      </c>
      <c r="C4254" s="1">
        <v>689017.0</v>
      </c>
      <c r="D4254" s="1" t="s">
        <v>537</v>
      </c>
      <c r="E4254" s="1" t="s">
        <v>927</v>
      </c>
      <c r="F4254" s="1" t="s">
        <v>927</v>
      </c>
      <c r="G4254" s="1">
        <v>163.0</v>
      </c>
      <c r="H4254" s="1">
        <v>8.938255613</v>
      </c>
      <c r="I4254" s="1">
        <v>5.33</v>
      </c>
      <c r="J4254" s="1">
        <v>2.464709</v>
      </c>
    </row>
    <row r="4255">
      <c r="A4255" s="1">
        <v>2025.0</v>
      </c>
      <c r="B4255" s="1" t="s">
        <v>351</v>
      </c>
      <c r="C4255" s="1">
        <v>689017.0</v>
      </c>
      <c r="D4255" s="1" t="s">
        <v>533</v>
      </c>
      <c r="E4255" s="1" t="s">
        <v>927</v>
      </c>
      <c r="F4255" s="1" t="s">
        <v>927</v>
      </c>
      <c r="G4255" s="1">
        <v>75.0</v>
      </c>
      <c r="H4255" s="1">
        <v>4.112694301</v>
      </c>
      <c r="I4255" s="1">
        <v>5.0</v>
      </c>
      <c r="J4255" s="1">
        <v>1.655136</v>
      </c>
    </row>
    <row r="4256">
      <c r="A4256" s="1">
        <v>2025.0</v>
      </c>
      <c r="B4256" s="1" t="s">
        <v>611</v>
      </c>
      <c r="C4256" s="1">
        <v>681751.0</v>
      </c>
      <c r="D4256" s="1" t="s">
        <v>541</v>
      </c>
      <c r="E4256" s="1" t="s">
        <v>927</v>
      </c>
      <c r="F4256" s="1" t="s">
        <v>926</v>
      </c>
      <c r="G4256" s="1">
        <v>4.0</v>
      </c>
      <c r="H4256" s="1">
        <v>0.246498599</v>
      </c>
      <c r="I4256" s="1">
        <v>4.29</v>
      </c>
      <c r="J4256" s="1">
        <v>0.147959</v>
      </c>
    </row>
    <row r="4257">
      <c r="A4257" s="1">
        <v>2025.0</v>
      </c>
      <c r="B4257" s="1" t="s">
        <v>611</v>
      </c>
      <c r="C4257" s="1">
        <v>681751.0</v>
      </c>
      <c r="D4257" s="1" t="s">
        <v>537</v>
      </c>
      <c r="E4257" s="1" t="s">
        <v>927</v>
      </c>
      <c r="F4257" s="1" t="s">
        <v>926</v>
      </c>
      <c r="G4257" s="1">
        <v>22.0</v>
      </c>
      <c r="H4257" s="1">
        <v>1.355742297</v>
      </c>
      <c r="I4257" s="1">
        <v>5.09</v>
      </c>
      <c r="J4257" s="1">
        <v>0.449322</v>
      </c>
    </row>
    <row r="4258">
      <c r="A4258" s="1">
        <v>2025.0</v>
      </c>
      <c r="B4258" s="1" t="s">
        <v>611</v>
      </c>
      <c r="C4258" s="1">
        <v>681751.0</v>
      </c>
      <c r="D4258" s="1" t="s">
        <v>538</v>
      </c>
      <c r="E4258" s="1" t="s">
        <v>927</v>
      </c>
      <c r="F4258" s="1" t="s">
        <v>926</v>
      </c>
      <c r="G4258" s="1">
        <v>6.0</v>
      </c>
      <c r="H4258" s="1">
        <v>0.369747899</v>
      </c>
      <c r="I4258" s="1">
        <v>5.44</v>
      </c>
      <c r="J4258" s="1">
        <v>0.076628</v>
      </c>
    </row>
    <row r="4259">
      <c r="A4259" s="1">
        <v>2025.0</v>
      </c>
      <c r="B4259" s="1" t="s">
        <v>611</v>
      </c>
      <c r="C4259" s="1">
        <v>681751.0</v>
      </c>
      <c r="D4259" s="1" t="s">
        <v>533</v>
      </c>
      <c r="E4259" s="1" t="s">
        <v>927</v>
      </c>
      <c r="F4259" s="1" t="s">
        <v>926</v>
      </c>
      <c r="G4259" s="1">
        <v>3.0</v>
      </c>
      <c r="H4259" s="1">
        <v>0.18487395</v>
      </c>
      <c r="I4259" s="1">
        <v>5.39</v>
      </c>
      <c r="J4259" s="1">
        <v>0.04024</v>
      </c>
    </row>
    <row r="4260">
      <c r="A4260" s="1">
        <v>2025.0</v>
      </c>
      <c r="B4260" s="1" t="s">
        <v>611</v>
      </c>
      <c r="C4260" s="1">
        <v>681751.0</v>
      </c>
      <c r="D4260" s="1" t="s">
        <v>541</v>
      </c>
      <c r="E4260" s="1" t="s">
        <v>927</v>
      </c>
      <c r="F4260" s="1" t="s">
        <v>927</v>
      </c>
      <c r="G4260" s="1">
        <v>9.0</v>
      </c>
      <c r="H4260" s="1">
        <v>0.554621849</v>
      </c>
      <c r="I4260" s="1">
        <v>5.0</v>
      </c>
      <c r="J4260" s="1">
        <v>0.193369</v>
      </c>
    </row>
    <row r="4261">
      <c r="A4261" s="1">
        <v>2025.0</v>
      </c>
      <c r="B4261" s="1" t="s">
        <v>611</v>
      </c>
      <c r="C4261" s="1">
        <v>681751.0</v>
      </c>
      <c r="D4261" s="1" t="s">
        <v>537</v>
      </c>
      <c r="E4261" s="1" t="s">
        <v>927</v>
      </c>
      <c r="F4261" s="1" t="s">
        <v>927</v>
      </c>
      <c r="G4261" s="1">
        <v>36.0</v>
      </c>
      <c r="H4261" s="1">
        <v>2.218487395</v>
      </c>
      <c r="I4261" s="1">
        <v>4.86</v>
      </c>
      <c r="J4261" s="1">
        <v>0.913671</v>
      </c>
    </row>
    <row r="4262">
      <c r="A4262" s="1">
        <v>2025.0</v>
      </c>
      <c r="B4262" s="1" t="s">
        <v>611</v>
      </c>
      <c r="C4262" s="1">
        <v>681751.0</v>
      </c>
      <c r="D4262" s="1" t="s">
        <v>538</v>
      </c>
      <c r="E4262" s="1" t="s">
        <v>927</v>
      </c>
      <c r="F4262" s="1" t="s">
        <v>927</v>
      </c>
      <c r="G4262" s="1">
        <v>1.0</v>
      </c>
      <c r="H4262" s="1">
        <v>0.06162465</v>
      </c>
      <c r="I4262" s="1">
        <v>6.42</v>
      </c>
      <c r="J4262" s="1">
        <v>-0.010752</v>
      </c>
    </row>
    <row r="4263">
      <c r="A4263" s="1">
        <v>2025.0</v>
      </c>
      <c r="B4263" s="1" t="s">
        <v>611</v>
      </c>
      <c r="C4263" s="1">
        <v>681751.0</v>
      </c>
      <c r="D4263" s="1" t="s">
        <v>533</v>
      </c>
      <c r="E4263" s="1" t="s">
        <v>927</v>
      </c>
      <c r="F4263" s="1" t="s">
        <v>927</v>
      </c>
      <c r="G4263" s="1">
        <v>38.0</v>
      </c>
      <c r="H4263" s="1">
        <v>2.341736695</v>
      </c>
      <c r="I4263" s="1">
        <v>5.19</v>
      </c>
      <c r="J4263" s="1">
        <v>0.710487</v>
      </c>
    </row>
    <row r="4264">
      <c r="A4264" s="1">
        <v>2025.0</v>
      </c>
      <c r="B4264" s="1" t="s">
        <v>757</v>
      </c>
      <c r="C4264" s="1">
        <v>521230.0</v>
      </c>
      <c r="D4264" s="1" t="s">
        <v>541</v>
      </c>
      <c r="E4264" s="1" t="s">
        <v>927</v>
      </c>
      <c r="F4264" s="1" t="s">
        <v>926</v>
      </c>
      <c r="G4264" s="1">
        <v>17.0</v>
      </c>
      <c r="H4264" s="1">
        <v>1.001436782</v>
      </c>
      <c r="I4264" s="1">
        <v>4.34</v>
      </c>
      <c r="J4264" s="1">
        <v>0.601381</v>
      </c>
    </row>
    <row r="4265">
      <c r="A4265" s="1">
        <v>2025.0</v>
      </c>
      <c r="B4265" s="1" t="s">
        <v>757</v>
      </c>
      <c r="C4265" s="1">
        <v>521230.0</v>
      </c>
      <c r="D4265" s="1" t="s">
        <v>537</v>
      </c>
      <c r="E4265" s="1" t="s">
        <v>927</v>
      </c>
      <c r="F4265" s="1" t="s">
        <v>926</v>
      </c>
      <c r="G4265" s="1">
        <v>51.0</v>
      </c>
      <c r="H4265" s="1">
        <v>3.004310345</v>
      </c>
      <c r="I4265" s="1">
        <v>5.31</v>
      </c>
      <c r="J4265" s="1">
        <v>0.852959</v>
      </c>
    </row>
    <row r="4266">
      <c r="A4266" s="1">
        <v>2025.0</v>
      </c>
      <c r="B4266" s="1" t="s">
        <v>757</v>
      </c>
      <c r="C4266" s="1">
        <v>521230.0</v>
      </c>
      <c r="D4266" s="1" t="s">
        <v>533</v>
      </c>
      <c r="E4266" s="1" t="s">
        <v>927</v>
      </c>
      <c r="F4266" s="1" t="s">
        <v>926</v>
      </c>
      <c r="G4266" s="1">
        <v>14.0</v>
      </c>
      <c r="H4266" s="1">
        <v>0.824712644</v>
      </c>
      <c r="I4266" s="1">
        <v>5.07</v>
      </c>
      <c r="J4266" s="1">
        <v>0.279395</v>
      </c>
    </row>
    <row r="4267">
      <c r="A4267" s="1">
        <v>2025.0</v>
      </c>
      <c r="B4267" s="1" t="s">
        <v>757</v>
      </c>
      <c r="C4267" s="1">
        <v>521230.0</v>
      </c>
      <c r="D4267" s="1" t="s">
        <v>541</v>
      </c>
      <c r="E4267" s="1" t="s">
        <v>927</v>
      </c>
      <c r="F4267" s="1" t="s">
        <v>927</v>
      </c>
      <c r="G4267" s="1">
        <v>10.0</v>
      </c>
      <c r="H4267" s="1">
        <v>0.58908046</v>
      </c>
      <c r="I4267" s="1">
        <v>4.45</v>
      </c>
      <c r="J4267" s="1">
        <v>0.311464</v>
      </c>
    </row>
    <row r="4268">
      <c r="A4268" s="1">
        <v>2025.0</v>
      </c>
      <c r="B4268" s="1" t="s">
        <v>757</v>
      </c>
      <c r="C4268" s="1">
        <v>521230.0</v>
      </c>
      <c r="D4268" s="1" t="s">
        <v>537</v>
      </c>
      <c r="E4268" s="1" t="s">
        <v>927</v>
      </c>
      <c r="F4268" s="1" t="s">
        <v>927</v>
      </c>
      <c r="G4268" s="1">
        <v>77.0</v>
      </c>
      <c r="H4268" s="1">
        <v>4.53591954</v>
      </c>
      <c r="I4268" s="1">
        <v>4.99</v>
      </c>
      <c r="J4268" s="1">
        <v>1.776399</v>
      </c>
    </row>
    <row r="4269">
      <c r="A4269" s="1">
        <v>2025.0</v>
      </c>
      <c r="B4269" s="1" t="s">
        <v>757</v>
      </c>
      <c r="C4269" s="1">
        <v>521230.0</v>
      </c>
      <c r="D4269" s="1" t="s">
        <v>533</v>
      </c>
      <c r="E4269" s="1" t="s">
        <v>927</v>
      </c>
      <c r="F4269" s="1" t="s">
        <v>927</v>
      </c>
      <c r="G4269" s="1">
        <v>63.0</v>
      </c>
      <c r="H4269" s="1">
        <v>3.711206897</v>
      </c>
      <c r="I4269" s="1">
        <v>4.66</v>
      </c>
      <c r="J4269" s="1">
        <v>1.789034</v>
      </c>
    </row>
    <row r="4270">
      <c r="A4270" s="1">
        <v>2025.0</v>
      </c>
      <c r="B4270" s="1" t="s">
        <v>372</v>
      </c>
      <c r="C4270" s="1">
        <v>671106.0</v>
      </c>
      <c r="D4270" s="1" t="s">
        <v>532</v>
      </c>
      <c r="E4270" s="1" t="s">
        <v>926</v>
      </c>
      <c r="F4270" s="1" t="s">
        <v>926</v>
      </c>
      <c r="G4270" s="1">
        <v>2.0</v>
      </c>
      <c r="H4270" s="1">
        <v>0.115792067</v>
      </c>
      <c r="I4270" s="1">
        <v>5.25</v>
      </c>
      <c r="J4270" s="1">
        <v>0.031964</v>
      </c>
    </row>
    <row r="4271">
      <c r="A4271" s="1">
        <v>2025.0</v>
      </c>
      <c r="B4271" s="1" t="s">
        <v>372</v>
      </c>
      <c r="C4271" s="1">
        <v>671106.0</v>
      </c>
      <c r="D4271" s="1" t="s">
        <v>540</v>
      </c>
      <c r="E4271" s="1" t="s">
        <v>926</v>
      </c>
      <c r="F4271" s="1" t="s">
        <v>926</v>
      </c>
      <c r="G4271" s="1">
        <v>54.0</v>
      </c>
      <c r="H4271" s="1">
        <v>3.126385809</v>
      </c>
      <c r="I4271" s="1">
        <v>4.75</v>
      </c>
      <c r="J4271" s="1">
        <v>1.44465</v>
      </c>
    </row>
    <row r="4272">
      <c r="A4272" s="1">
        <v>2025.0</v>
      </c>
      <c r="B4272" s="1" t="s">
        <v>372</v>
      </c>
      <c r="C4272" s="1">
        <v>671106.0</v>
      </c>
      <c r="D4272" s="1" t="s">
        <v>537</v>
      </c>
      <c r="E4272" s="1" t="s">
        <v>926</v>
      </c>
      <c r="F4272" s="1" t="s">
        <v>926</v>
      </c>
      <c r="G4272" s="1">
        <v>143.0</v>
      </c>
      <c r="H4272" s="1">
        <v>8.279132791</v>
      </c>
      <c r="I4272" s="1">
        <v>5.24</v>
      </c>
      <c r="J4272" s="1">
        <v>2.414541</v>
      </c>
    </row>
    <row r="4273">
      <c r="A4273" s="1">
        <v>2025.0</v>
      </c>
      <c r="B4273" s="1" t="s">
        <v>372</v>
      </c>
      <c r="C4273" s="1">
        <v>671106.0</v>
      </c>
      <c r="D4273" s="1" t="s">
        <v>536</v>
      </c>
      <c r="E4273" s="1" t="s">
        <v>926</v>
      </c>
      <c r="F4273" s="1" t="s">
        <v>926</v>
      </c>
      <c r="G4273" s="1">
        <v>177.0</v>
      </c>
      <c r="H4273" s="1">
        <v>10.24759793</v>
      </c>
      <c r="I4273" s="1">
        <v>5.01</v>
      </c>
      <c r="J4273" s="1">
        <v>3.848935</v>
      </c>
    </row>
    <row r="4274">
      <c r="A4274" s="1">
        <v>2025.0</v>
      </c>
      <c r="B4274" s="1" t="s">
        <v>372</v>
      </c>
      <c r="C4274" s="1">
        <v>671106.0</v>
      </c>
      <c r="D4274" s="1" t="s">
        <v>539</v>
      </c>
      <c r="E4274" s="1" t="s">
        <v>926</v>
      </c>
      <c r="F4274" s="1" t="s">
        <v>926</v>
      </c>
      <c r="G4274" s="1">
        <v>186.0</v>
      </c>
      <c r="H4274" s="1">
        <v>10.76866223</v>
      </c>
      <c r="I4274" s="1">
        <v>5.14</v>
      </c>
      <c r="J4274" s="1">
        <v>3.459599</v>
      </c>
    </row>
    <row r="4275">
      <c r="A4275" s="1">
        <v>2025.0</v>
      </c>
      <c r="B4275" s="1" t="s">
        <v>372</v>
      </c>
      <c r="C4275" s="1">
        <v>671106.0</v>
      </c>
      <c r="D4275" s="1" t="s">
        <v>532</v>
      </c>
      <c r="E4275" s="1" t="s">
        <v>926</v>
      </c>
      <c r="F4275" s="1" t="s">
        <v>927</v>
      </c>
      <c r="G4275" s="1">
        <v>493.0</v>
      </c>
      <c r="H4275" s="1">
        <v>28.54274452</v>
      </c>
      <c r="I4275" s="1">
        <v>4.77</v>
      </c>
      <c r="J4275" s="1">
        <v>13.23788</v>
      </c>
    </row>
    <row r="4276">
      <c r="A4276" s="1">
        <v>2025.0</v>
      </c>
      <c r="B4276" s="1" t="s">
        <v>372</v>
      </c>
      <c r="C4276" s="1">
        <v>671106.0</v>
      </c>
      <c r="D4276" s="1" t="s">
        <v>540</v>
      </c>
      <c r="E4276" s="1" t="s">
        <v>926</v>
      </c>
      <c r="F4276" s="1" t="s">
        <v>927</v>
      </c>
      <c r="G4276" s="1">
        <v>262.0</v>
      </c>
      <c r="H4276" s="1">
        <v>15.16876078</v>
      </c>
      <c r="I4276" s="1">
        <v>5.33</v>
      </c>
      <c r="J4276" s="1">
        <v>4.072447</v>
      </c>
    </row>
    <row r="4277">
      <c r="A4277" s="1">
        <v>2025.0</v>
      </c>
      <c r="B4277" s="1" t="s">
        <v>372</v>
      </c>
      <c r="C4277" s="1">
        <v>671106.0</v>
      </c>
      <c r="D4277" s="1" t="s">
        <v>537</v>
      </c>
      <c r="E4277" s="1" t="s">
        <v>926</v>
      </c>
      <c r="F4277" s="1" t="s">
        <v>927</v>
      </c>
      <c r="G4277" s="1">
        <v>767.0</v>
      </c>
      <c r="H4277" s="1">
        <v>44.4062577</v>
      </c>
      <c r="I4277" s="1">
        <v>4.95</v>
      </c>
      <c r="J4277" s="1">
        <v>18.173206</v>
      </c>
    </row>
    <row r="4278">
      <c r="A4278" s="1">
        <v>2025.0</v>
      </c>
      <c r="B4278" s="1" t="s">
        <v>372</v>
      </c>
      <c r="C4278" s="1">
        <v>671106.0</v>
      </c>
      <c r="D4278" s="1" t="s">
        <v>536</v>
      </c>
      <c r="E4278" s="1" t="s">
        <v>926</v>
      </c>
      <c r="F4278" s="1" t="s">
        <v>927</v>
      </c>
      <c r="G4278" s="1">
        <v>180.0</v>
      </c>
      <c r="H4278" s="1">
        <v>10.42128603</v>
      </c>
      <c r="I4278" s="1">
        <v>4.79</v>
      </c>
      <c r="J4278" s="1">
        <v>4.918707</v>
      </c>
    </row>
    <row r="4279">
      <c r="A4279" s="1">
        <v>2025.0</v>
      </c>
      <c r="B4279" s="1" t="s">
        <v>372</v>
      </c>
      <c r="C4279" s="1">
        <v>671106.0</v>
      </c>
      <c r="D4279" s="1" t="s">
        <v>539</v>
      </c>
      <c r="E4279" s="1" t="s">
        <v>926</v>
      </c>
      <c r="F4279" s="1" t="s">
        <v>927</v>
      </c>
      <c r="G4279" s="1">
        <v>442.0</v>
      </c>
      <c r="H4279" s="1">
        <v>25.59004681</v>
      </c>
      <c r="I4279" s="1">
        <v>4.85</v>
      </c>
      <c r="J4279" s="1">
        <v>10.755721</v>
      </c>
    </row>
    <row r="4280">
      <c r="A4280" s="1">
        <v>2025.0</v>
      </c>
      <c r="B4280" s="1" t="s">
        <v>255</v>
      </c>
      <c r="C4280" s="1">
        <v>688138.0</v>
      </c>
      <c r="D4280" s="1" t="s">
        <v>532</v>
      </c>
      <c r="E4280" s="1" t="s">
        <v>927</v>
      </c>
      <c r="F4280" s="1" t="s">
        <v>926</v>
      </c>
      <c r="G4280" s="1">
        <v>121.0</v>
      </c>
      <c r="H4280" s="1">
        <v>7.355256602</v>
      </c>
      <c r="I4280" s="1">
        <v>4.78</v>
      </c>
      <c r="J4280" s="1">
        <v>3.148131</v>
      </c>
    </row>
    <row r="4281">
      <c r="A4281" s="1">
        <v>2025.0</v>
      </c>
      <c r="B4281" s="1" t="s">
        <v>255</v>
      </c>
      <c r="C4281" s="1">
        <v>688138.0</v>
      </c>
      <c r="D4281" s="1" t="s">
        <v>541</v>
      </c>
      <c r="E4281" s="1" t="s">
        <v>927</v>
      </c>
      <c r="F4281" s="1" t="s">
        <v>926</v>
      </c>
      <c r="G4281" s="1">
        <v>115.0</v>
      </c>
      <c r="H4281" s="1">
        <v>6.990533134</v>
      </c>
      <c r="I4281" s="1">
        <v>4.87</v>
      </c>
      <c r="J4281" s="1">
        <v>2.776207</v>
      </c>
    </row>
    <row r="4282">
      <c r="A4282" s="1">
        <v>2025.0</v>
      </c>
      <c r="B4282" s="1" t="s">
        <v>255</v>
      </c>
      <c r="C4282" s="1">
        <v>688138.0</v>
      </c>
      <c r="D4282" s="1" t="s">
        <v>540</v>
      </c>
      <c r="E4282" s="1" t="s">
        <v>927</v>
      </c>
      <c r="F4282" s="1" t="s">
        <v>926</v>
      </c>
      <c r="G4282" s="1">
        <v>137.0</v>
      </c>
      <c r="H4282" s="1">
        <v>8.327852516</v>
      </c>
      <c r="I4282" s="1">
        <v>5.31</v>
      </c>
      <c r="J4282" s="1">
        <v>2.144946</v>
      </c>
    </row>
    <row r="4283">
      <c r="A4283" s="1">
        <v>2025.0</v>
      </c>
      <c r="B4283" s="1" t="s">
        <v>255</v>
      </c>
      <c r="C4283" s="1">
        <v>688138.0</v>
      </c>
      <c r="D4283" s="1" t="s">
        <v>537</v>
      </c>
      <c r="E4283" s="1" t="s">
        <v>927</v>
      </c>
      <c r="F4283" s="1" t="s">
        <v>926</v>
      </c>
      <c r="G4283" s="1">
        <v>101.0</v>
      </c>
      <c r="H4283" s="1">
        <v>6.139511709</v>
      </c>
      <c r="I4283" s="1">
        <v>4.66</v>
      </c>
      <c r="J4283" s="1">
        <v>2.948941</v>
      </c>
    </row>
    <row r="4284">
      <c r="A4284" s="1">
        <v>2025.0</v>
      </c>
      <c r="B4284" s="1" t="s">
        <v>255</v>
      </c>
      <c r="C4284" s="1">
        <v>688138.0</v>
      </c>
      <c r="D4284" s="1" t="s">
        <v>536</v>
      </c>
      <c r="E4284" s="1" t="s">
        <v>927</v>
      </c>
      <c r="F4284" s="1" t="s">
        <v>926</v>
      </c>
      <c r="G4284" s="1">
        <v>57.0</v>
      </c>
      <c r="H4284" s="1">
        <v>3.464872945</v>
      </c>
      <c r="I4284" s="1">
        <v>5.19</v>
      </c>
      <c r="J4284" s="1">
        <v>1.060144</v>
      </c>
    </row>
    <row r="4285">
      <c r="A4285" s="1">
        <v>2025.0</v>
      </c>
      <c r="B4285" s="1" t="s">
        <v>255</v>
      </c>
      <c r="C4285" s="1">
        <v>688138.0</v>
      </c>
      <c r="D4285" s="1" t="s">
        <v>539</v>
      </c>
      <c r="E4285" s="1" t="s">
        <v>927</v>
      </c>
      <c r="F4285" s="1" t="s">
        <v>926</v>
      </c>
      <c r="G4285" s="1">
        <v>118.0</v>
      </c>
      <c r="H4285" s="1">
        <v>7.172894868</v>
      </c>
      <c r="I4285" s="1">
        <v>5.19</v>
      </c>
      <c r="J4285" s="1">
        <v>2.097825</v>
      </c>
    </row>
    <row r="4286">
      <c r="A4286" s="1">
        <v>2025.0</v>
      </c>
      <c r="B4286" s="1" t="s">
        <v>255</v>
      </c>
      <c r="C4286" s="1">
        <v>688138.0</v>
      </c>
      <c r="D4286" s="1" t="s">
        <v>532</v>
      </c>
      <c r="E4286" s="1" t="s">
        <v>927</v>
      </c>
      <c r="F4286" s="1" t="s">
        <v>927</v>
      </c>
      <c r="G4286" s="1">
        <v>43.0</v>
      </c>
      <c r="H4286" s="1">
        <v>2.61385152</v>
      </c>
      <c r="I4286" s="1">
        <v>5.11</v>
      </c>
      <c r="J4286" s="1">
        <v>0.818105</v>
      </c>
    </row>
    <row r="4287">
      <c r="A4287" s="1">
        <v>2025.0</v>
      </c>
      <c r="B4287" s="1" t="s">
        <v>255</v>
      </c>
      <c r="C4287" s="1">
        <v>688138.0</v>
      </c>
      <c r="D4287" s="1" t="s">
        <v>541</v>
      </c>
      <c r="E4287" s="1" t="s">
        <v>927</v>
      </c>
      <c r="F4287" s="1" t="s">
        <v>927</v>
      </c>
      <c r="G4287" s="1">
        <v>16.0</v>
      </c>
      <c r="H4287" s="1">
        <v>0.972595914</v>
      </c>
      <c r="I4287" s="1">
        <v>4.41</v>
      </c>
      <c r="J4287" s="1">
        <v>0.541796</v>
      </c>
    </row>
    <row r="4288">
      <c r="A4288" s="1">
        <v>2025.0</v>
      </c>
      <c r="B4288" s="1" t="s">
        <v>255</v>
      </c>
      <c r="C4288" s="1">
        <v>688138.0</v>
      </c>
      <c r="D4288" s="1" t="s">
        <v>540</v>
      </c>
      <c r="E4288" s="1" t="s">
        <v>927</v>
      </c>
      <c r="F4288" s="1" t="s">
        <v>927</v>
      </c>
      <c r="G4288" s="1">
        <v>224.0</v>
      </c>
      <c r="H4288" s="1">
        <v>13.6163428</v>
      </c>
      <c r="I4288" s="1">
        <v>5.31</v>
      </c>
      <c r="J4288" s="1">
        <v>3.554664</v>
      </c>
    </row>
    <row r="4289">
      <c r="A4289" s="1">
        <v>2025.0</v>
      </c>
      <c r="B4289" s="1" t="s">
        <v>255</v>
      </c>
      <c r="C4289" s="1">
        <v>688138.0</v>
      </c>
      <c r="D4289" s="1" t="s">
        <v>537</v>
      </c>
      <c r="E4289" s="1" t="s">
        <v>927</v>
      </c>
      <c r="F4289" s="1" t="s">
        <v>927</v>
      </c>
      <c r="G4289" s="1">
        <v>44.0</v>
      </c>
      <c r="H4289" s="1">
        <v>2.674638764</v>
      </c>
      <c r="I4289" s="1">
        <v>4.35</v>
      </c>
      <c r="J4289" s="1">
        <v>1.523256</v>
      </c>
    </row>
    <row r="4290">
      <c r="A4290" s="1">
        <v>2025.0</v>
      </c>
      <c r="B4290" s="1" t="s">
        <v>255</v>
      </c>
      <c r="C4290" s="1">
        <v>688138.0</v>
      </c>
      <c r="D4290" s="1" t="s">
        <v>536</v>
      </c>
      <c r="E4290" s="1" t="s">
        <v>927</v>
      </c>
      <c r="F4290" s="1" t="s">
        <v>927</v>
      </c>
      <c r="G4290" s="1">
        <v>170.0</v>
      </c>
      <c r="H4290" s="1">
        <v>10.33383159</v>
      </c>
      <c r="I4290" s="1">
        <v>4.83</v>
      </c>
      <c r="J4290" s="1">
        <v>4.410336</v>
      </c>
    </row>
    <row r="4291">
      <c r="A4291" s="1">
        <v>2025.0</v>
      </c>
      <c r="B4291" s="1" t="s">
        <v>255</v>
      </c>
      <c r="C4291" s="1">
        <v>688138.0</v>
      </c>
      <c r="D4291" s="1" t="s">
        <v>539</v>
      </c>
      <c r="E4291" s="1" t="s">
        <v>927</v>
      </c>
      <c r="F4291" s="1" t="s">
        <v>927</v>
      </c>
      <c r="G4291" s="1">
        <v>192.0</v>
      </c>
      <c r="H4291" s="1">
        <v>11.67115097</v>
      </c>
      <c r="I4291" s="1">
        <v>5.26</v>
      </c>
      <c r="J4291" s="1">
        <v>3.133479</v>
      </c>
    </row>
    <row r="4292">
      <c r="A4292" s="1">
        <v>2025.0</v>
      </c>
      <c r="B4292" s="1" t="s">
        <v>153</v>
      </c>
      <c r="C4292" s="1">
        <v>669302.0</v>
      </c>
      <c r="D4292" s="1" t="s">
        <v>541</v>
      </c>
      <c r="E4292" s="1" t="s">
        <v>927</v>
      </c>
      <c r="F4292" s="1" t="s">
        <v>926</v>
      </c>
      <c r="G4292" s="1">
        <v>31.0</v>
      </c>
      <c r="H4292" s="1">
        <v>1.885329619</v>
      </c>
      <c r="I4292" s="1">
        <v>4.26</v>
      </c>
      <c r="J4292" s="1">
        <v>1.142577</v>
      </c>
    </row>
    <row r="4293">
      <c r="A4293" s="1">
        <v>2025.0</v>
      </c>
      <c r="B4293" s="1" t="s">
        <v>153</v>
      </c>
      <c r="C4293" s="1">
        <v>669302.0</v>
      </c>
      <c r="D4293" s="1" t="s">
        <v>537</v>
      </c>
      <c r="E4293" s="1" t="s">
        <v>927</v>
      </c>
      <c r="F4293" s="1" t="s">
        <v>926</v>
      </c>
      <c r="G4293" s="1">
        <v>399.0</v>
      </c>
      <c r="H4293" s="1">
        <v>24.26601671</v>
      </c>
      <c r="I4293" s="1">
        <v>5.06</v>
      </c>
      <c r="J4293" s="1">
        <v>8.643208</v>
      </c>
    </row>
    <row r="4294">
      <c r="A4294" s="1">
        <v>2025.0</v>
      </c>
      <c r="B4294" s="1" t="s">
        <v>153</v>
      </c>
      <c r="C4294" s="1">
        <v>669302.0</v>
      </c>
      <c r="D4294" s="1" t="s">
        <v>538</v>
      </c>
      <c r="E4294" s="1" t="s">
        <v>927</v>
      </c>
      <c r="F4294" s="1" t="s">
        <v>926</v>
      </c>
      <c r="G4294" s="1">
        <v>216.0</v>
      </c>
      <c r="H4294" s="1">
        <v>13.13649025</v>
      </c>
      <c r="I4294" s="1">
        <v>5.2</v>
      </c>
      <c r="J4294" s="1">
        <v>3.556615</v>
      </c>
    </row>
    <row r="4295">
      <c r="A4295" s="1">
        <v>2025.0</v>
      </c>
      <c r="B4295" s="1" t="s">
        <v>153</v>
      </c>
      <c r="C4295" s="1">
        <v>669302.0</v>
      </c>
      <c r="D4295" s="1" t="s">
        <v>536</v>
      </c>
      <c r="E4295" s="1" t="s">
        <v>927</v>
      </c>
      <c r="F4295" s="1" t="s">
        <v>926</v>
      </c>
      <c r="G4295" s="1">
        <v>21.0</v>
      </c>
      <c r="H4295" s="1">
        <v>1.277158774</v>
      </c>
      <c r="I4295" s="1">
        <v>4.93</v>
      </c>
      <c r="J4295" s="1">
        <v>0.481444</v>
      </c>
    </row>
    <row r="4296">
      <c r="A4296" s="1">
        <v>2025.0</v>
      </c>
      <c r="B4296" s="1" t="s">
        <v>153</v>
      </c>
      <c r="C4296" s="1">
        <v>669302.0</v>
      </c>
      <c r="D4296" s="1" t="s">
        <v>533</v>
      </c>
      <c r="E4296" s="1" t="s">
        <v>927</v>
      </c>
      <c r="F4296" s="1" t="s">
        <v>926</v>
      </c>
      <c r="G4296" s="1">
        <v>418.0</v>
      </c>
      <c r="H4296" s="1">
        <v>25.42154132</v>
      </c>
      <c r="I4296" s="1">
        <v>5.36</v>
      </c>
      <c r="J4296" s="1">
        <v>6.276364</v>
      </c>
    </row>
    <row r="4297">
      <c r="A4297" s="1">
        <v>2025.0</v>
      </c>
      <c r="B4297" s="1" t="s">
        <v>153</v>
      </c>
      <c r="C4297" s="1">
        <v>669302.0</v>
      </c>
      <c r="D4297" s="1" t="s">
        <v>541</v>
      </c>
      <c r="E4297" s="1" t="s">
        <v>927</v>
      </c>
      <c r="F4297" s="1" t="s">
        <v>927</v>
      </c>
      <c r="G4297" s="1">
        <v>129.0</v>
      </c>
      <c r="H4297" s="1">
        <v>7.8454039</v>
      </c>
      <c r="I4297" s="1">
        <v>4.75</v>
      </c>
      <c r="J4297" s="1">
        <v>3.336071</v>
      </c>
    </row>
    <row r="4298">
      <c r="A4298" s="1">
        <v>2025.0</v>
      </c>
      <c r="B4298" s="1" t="s">
        <v>153</v>
      </c>
      <c r="C4298" s="1">
        <v>669302.0</v>
      </c>
      <c r="D4298" s="1" t="s">
        <v>537</v>
      </c>
      <c r="E4298" s="1" t="s">
        <v>927</v>
      </c>
      <c r="F4298" s="1" t="s">
        <v>927</v>
      </c>
      <c r="G4298" s="1">
        <v>379.0</v>
      </c>
      <c r="H4298" s="1">
        <v>23.04967502</v>
      </c>
      <c r="I4298" s="1">
        <v>4.97</v>
      </c>
      <c r="J4298" s="1">
        <v>8.771605</v>
      </c>
    </row>
    <row r="4299">
      <c r="A4299" s="1">
        <v>2025.0</v>
      </c>
      <c r="B4299" s="1" t="s">
        <v>153</v>
      </c>
      <c r="C4299" s="1">
        <v>669302.0</v>
      </c>
      <c r="D4299" s="1" t="s">
        <v>538</v>
      </c>
      <c r="E4299" s="1" t="s">
        <v>927</v>
      </c>
      <c r="F4299" s="1" t="s">
        <v>927</v>
      </c>
      <c r="G4299" s="1">
        <v>207.0</v>
      </c>
      <c r="H4299" s="1">
        <v>12.58913649</v>
      </c>
      <c r="I4299" s="1">
        <v>5.16</v>
      </c>
      <c r="J4299" s="1">
        <v>3.442462</v>
      </c>
    </row>
    <row r="4300">
      <c r="A4300" s="1">
        <v>2025.0</v>
      </c>
      <c r="B4300" s="1" t="s">
        <v>153</v>
      </c>
      <c r="C4300" s="1">
        <v>669302.0</v>
      </c>
      <c r="D4300" s="1" t="s">
        <v>536</v>
      </c>
      <c r="E4300" s="1" t="s">
        <v>927</v>
      </c>
      <c r="F4300" s="1" t="s">
        <v>927</v>
      </c>
      <c r="G4300" s="1">
        <v>12.0</v>
      </c>
      <c r="H4300" s="1">
        <v>0.729805014</v>
      </c>
      <c r="I4300" s="1">
        <v>4.3</v>
      </c>
      <c r="J4300" s="1">
        <v>0.432806</v>
      </c>
    </row>
    <row r="4301">
      <c r="A4301" s="1">
        <v>2025.0</v>
      </c>
      <c r="B4301" s="1" t="s">
        <v>153</v>
      </c>
      <c r="C4301" s="1">
        <v>669302.0</v>
      </c>
      <c r="D4301" s="1" t="s">
        <v>533</v>
      </c>
      <c r="E4301" s="1" t="s">
        <v>927</v>
      </c>
      <c r="F4301" s="1" t="s">
        <v>927</v>
      </c>
      <c r="G4301" s="1">
        <v>342.0</v>
      </c>
      <c r="H4301" s="1">
        <v>20.7994429</v>
      </c>
      <c r="I4301" s="1">
        <v>5.39</v>
      </c>
      <c r="J4301" s="1">
        <v>4.818706</v>
      </c>
    </row>
    <row r="4302">
      <c r="A4302" s="1">
        <v>2025.0</v>
      </c>
      <c r="B4302" s="1" t="s">
        <v>591</v>
      </c>
      <c r="C4302" s="1">
        <v>670810.0</v>
      </c>
      <c r="D4302" s="1" t="s">
        <v>532</v>
      </c>
      <c r="E4302" s="1" t="s">
        <v>927</v>
      </c>
      <c r="F4302" s="1" t="s">
        <v>926</v>
      </c>
      <c r="G4302" s="1">
        <v>10.0</v>
      </c>
      <c r="H4302" s="1">
        <v>0.625</v>
      </c>
      <c r="I4302" s="1">
        <v>4.13</v>
      </c>
      <c r="J4302" s="1">
        <v>0.399124</v>
      </c>
    </row>
    <row r="4303">
      <c r="A4303" s="1">
        <v>2025.0</v>
      </c>
      <c r="B4303" s="1" t="s">
        <v>591</v>
      </c>
      <c r="C4303" s="1">
        <v>670810.0</v>
      </c>
      <c r="D4303" s="1" t="s">
        <v>541</v>
      </c>
      <c r="E4303" s="1" t="s">
        <v>927</v>
      </c>
      <c r="F4303" s="1" t="s">
        <v>926</v>
      </c>
      <c r="G4303" s="1">
        <v>4.0</v>
      </c>
      <c r="H4303" s="1">
        <v>0.25</v>
      </c>
      <c r="I4303" s="1">
        <v>3.73</v>
      </c>
      <c r="J4303" s="1">
        <v>0.199225</v>
      </c>
    </row>
    <row r="4304">
      <c r="A4304" s="1">
        <v>2025.0</v>
      </c>
      <c r="B4304" s="1" t="s">
        <v>591</v>
      </c>
      <c r="C4304" s="1">
        <v>670810.0</v>
      </c>
      <c r="D4304" s="1" t="s">
        <v>540</v>
      </c>
      <c r="E4304" s="1" t="s">
        <v>927</v>
      </c>
      <c r="F4304" s="1" t="s">
        <v>926</v>
      </c>
      <c r="G4304" s="1">
        <v>1.0</v>
      </c>
      <c r="H4304" s="1">
        <v>0.0625</v>
      </c>
      <c r="I4304" s="1">
        <v>8.09</v>
      </c>
      <c r="J4304" s="1">
        <v>-0.045834</v>
      </c>
    </row>
    <row r="4305">
      <c r="A4305" s="1">
        <v>2025.0</v>
      </c>
      <c r="B4305" s="1" t="s">
        <v>591</v>
      </c>
      <c r="C4305" s="1">
        <v>670810.0</v>
      </c>
      <c r="D4305" s="1" t="s">
        <v>537</v>
      </c>
      <c r="E4305" s="1" t="s">
        <v>927</v>
      </c>
      <c r="F4305" s="1" t="s">
        <v>926</v>
      </c>
      <c r="G4305" s="1">
        <v>24.0</v>
      </c>
      <c r="H4305" s="1">
        <v>1.5</v>
      </c>
      <c r="I4305" s="1">
        <v>4.97</v>
      </c>
      <c r="J4305" s="1">
        <v>0.563737</v>
      </c>
    </row>
    <row r="4306">
      <c r="A4306" s="1">
        <v>2025.0</v>
      </c>
      <c r="B4306" s="1" t="s">
        <v>591</v>
      </c>
      <c r="C4306" s="1">
        <v>670810.0</v>
      </c>
      <c r="D4306" s="1" t="s">
        <v>533</v>
      </c>
      <c r="E4306" s="1" t="s">
        <v>927</v>
      </c>
      <c r="F4306" s="1" t="s">
        <v>926</v>
      </c>
      <c r="G4306" s="1">
        <v>5.0</v>
      </c>
      <c r="H4306" s="1">
        <v>0.3125</v>
      </c>
      <c r="I4306" s="1">
        <v>4.91</v>
      </c>
      <c r="J4306" s="1">
        <v>0.129365</v>
      </c>
    </row>
    <row r="4307">
      <c r="A4307" s="1">
        <v>2025.0</v>
      </c>
      <c r="B4307" s="1" t="s">
        <v>591</v>
      </c>
      <c r="C4307" s="1">
        <v>670810.0</v>
      </c>
      <c r="D4307" s="1" t="s">
        <v>532</v>
      </c>
      <c r="E4307" s="1" t="s">
        <v>927</v>
      </c>
      <c r="F4307" s="1" t="s">
        <v>927</v>
      </c>
      <c r="G4307" s="1">
        <v>6.0</v>
      </c>
      <c r="H4307" s="1">
        <v>0.375</v>
      </c>
      <c r="I4307" s="1">
        <v>3.99</v>
      </c>
      <c r="J4307" s="1">
        <v>0.269321</v>
      </c>
    </row>
    <row r="4308">
      <c r="A4308" s="1">
        <v>2025.0</v>
      </c>
      <c r="B4308" s="1" t="s">
        <v>591</v>
      </c>
      <c r="C4308" s="1">
        <v>670810.0</v>
      </c>
      <c r="D4308" s="1" t="s">
        <v>541</v>
      </c>
      <c r="E4308" s="1" t="s">
        <v>927</v>
      </c>
      <c r="F4308" s="1" t="s">
        <v>927</v>
      </c>
      <c r="G4308" s="1">
        <v>8.0</v>
      </c>
      <c r="H4308" s="1">
        <v>0.5</v>
      </c>
      <c r="I4308" s="1">
        <v>5.02</v>
      </c>
      <c r="J4308" s="1">
        <v>0.177981</v>
      </c>
    </row>
    <row r="4309">
      <c r="A4309" s="1">
        <v>2025.0</v>
      </c>
      <c r="B4309" s="1" t="s">
        <v>591</v>
      </c>
      <c r="C4309" s="1">
        <v>670810.0</v>
      </c>
      <c r="D4309" s="1" t="s">
        <v>540</v>
      </c>
      <c r="E4309" s="1" t="s">
        <v>927</v>
      </c>
      <c r="F4309" s="1" t="s">
        <v>927</v>
      </c>
      <c r="G4309" s="1">
        <v>11.0</v>
      </c>
      <c r="H4309" s="1">
        <v>0.6875</v>
      </c>
      <c r="I4309" s="1">
        <v>5.87</v>
      </c>
      <c r="J4309" s="1">
        <v>0.053926</v>
      </c>
    </row>
    <row r="4310">
      <c r="A4310" s="1">
        <v>2025.0</v>
      </c>
      <c r="B4310" s="1" t="s">
        <v>591</v>
      </c>
      <c r="C4310" s="1">
        <v>670810.0</v>
      </c>
      <c r="D4310" s="1" t="s">
        <v>537</v>
      </c>
      <c r="E4310" s="1" t="s">
        <v>927</v>
      </c>
      <c r="F4310" s="1" t="s">
        <v>927</v>
      </c>
      <c r="G4310" s="1">
        <v>20.0</v>
      </c>
      <c r="H4310" s="1">
        <v>1.25</v>
      </c>
      <c r="I4310" s="1">
        <v>5.32</v>
      </c>
      <c r="J4310" s="1">
        <v>0.330255</v>
      </c>
    </row>
    <row r="4311">
      <c r="A4311" s="1">
        <v>2025.0</v>
      </c>
      <c r="B4311" s="1" t="s">
        <v>591</v>
      </c>
      <c r="C4311" s="1">
        <v>670810.0</v>
      </c>
      <c r="D4311" s="1" t="s">
        <v>536</v>
      </c>
      <c r="E4311" s="1" t="s">
        <v>927</v>
      </c>
      <c r="F4311" s="1" t="s">
        <v>927</v>
      </c>
      <c r="G4311" s="1">
        <v>3.0</v>
      </c>
      <c r="H4311" s="1">
        <v>0.1875</v>
      </c>
      <c r="I4311" s="1">
        <v>4.69</v>
      </c>
      <c r="J4311" s="1">
        <v>0.086843</v>
      </c>
    </row>
    <row r="4312">
      <c r="A4312" s="1">
        <v>2025.0</v>
      </c>
      <c r="B4312" s="1" t="s">
        <v>591</v>
      </c>
      <c r="C4312" s="1">
        <v>670810.0</v>
      </c>
      <c r="D4312" s="1" t="s">
        <v>533</v>
      </c>
      <c r="E4312" s="1" t="s">
        <v>927</v>
      </c>
      <c r="F4312" s="1" t="s">
        <v>927</v>
      </c>
      <c r="G4312" s="1">
        <v>18.0</v>
      </c>
      <c r="H4312" s="1">
        <v>1.125</v>
      </c>
      <c r="I4312" s="1">
        <v>4.29</v>
      </c>
      <c r="J4312" s="1">
        <v>0.668416</v>
      </c>
    </row>
    <row r="4313">
      <c r="A4313" s="1">
        <v>2025.0</v>
      </c>
      <c r="B4313" s="1" t="s">
        <v>591</v>
      </c>
      <c r="C4313" s="1">
        <v>670810.0</v>
      </c>
      <c r="D4313" s="1" t="s">
        <v>539</v>
      </c>
      <c r="E4313" s="1" t="s">
        <v>927</v>
      </c>
      <c r="F4313" s="1" t="s">
        <v>927</v>
      </c>
      <c r="G4313" s="1">
        <v>2.0</v>
      </c>
      <c r="H4313" s="1">
        <v>0.125</v>
      </c>
      <c r="I4313" s="1">
        <v>5.56</v>
      </c>
      <c r="J4313" s="1">
        <v>0.019732</v>
      </c>
    </row>
    <row r="4314">
      <c r="A4314" s="1">
        <v>2025.0</v>
      </c>
      <c r="B4314" s="1" t="s">
        <v>555</v>
      </c>
      <c r="C4314" s="1">
        <v>701656.0</v>
      </c>
      <c r="D4314" s="1" t="s">
        <v>532</v>
      </c>
      <c r="E4314" s="1" t="s">
        <v>927</v>
      </c>
      <c r="F4314" s="1" t="s">
        <v>926</v>
      </c>
      <c r="G4314" s="1">
        <v>107.0</v>
      </c>
      <c r="H4314" s="1">
        <v>6.611382114</v>
      </c>
      <c r="I4314" s="1">
        <v>5.19</v>
      </c>
      <c r="J4314" s="1">
        <v>1.966829</v>
      </c>
    </row>
    <row r="4315">
      <c r="A4315" s="1">
        <v>2025.0</v>
      </c>
      <c r="B4315" s="1" t="s">
        <v>555</v>
      </c>
      <c r="C4315" s="1">
        <v>701656.0</v>
      </c>
      <c r="D4315" s="1" t="s">
        <v>540</v>
      </c>
      <c r="E4315" s="1" t="s">
        <v>927</v>
      </c>
      <c r="F4315" s="1" t="s">
        <v>926</v>
      </c>
      <c r="G4315" s="1">
        <v>32.0</v>
      </c>
      <c r="H4315" s="1">
        <v>1.977235772</v>
      </c>
      <c r="I4315" s="1">
        <v>5.54</v>
      </c>
      <c r="J4315" s="1">
        <v>0.406758</v>
      </c>
    </row>
    <row r="4316">
      <c r="A4316" s="1">
        <v>2025.0</v>
      </c>
      <c r="B4316" s="1" t="s">
        <v>555</v>
      </c>
      <c r="C4316" s="1">
        <v>701656.0</v>
      </c>
      <c r="D4316" s="1" t="s">
        <v>537</v>
      </c>
      <c r="E4316" s="1" t="s">
        <v>927</v>
      </c>
      <c r="F4316" s="1" t="s">
        <v>926</v>
      </c>
      <c r="G4316" s="1">
        <v>123.0</v>
      </c>
      <c r="H4316" s="1">
        <v>7.6</v>
      </c>
      <c r="I4316" s="1">
        <v>5.1</v>
      </c>
      <c r="J4316" s="1">
        <v>2.501523</v>
      </c>
    </row>
    <row r="4317">
      <c r="A4317" s="1">
        <v>2025.0</v>
      </c>
      <c r="B4317" s="1" t="s">
        <v>555</v>
      </c>
      <c r="C4317" s="1">
        <v>701656.0</v>
      </c>
      <c r="D4317" s="1" t="s">
        <v>533</v>
      </c>
      <c r="E4317" s="1" t="s">
        <v>927</v>
      </c>
      <c r="F4317" s="1" t="s">
        <v>926</v>
      </c>
      <c r="G4317" s="1">
        <v>3.0</v>
      </c>
      <c r="H4317" s="1">
        <v>0.185365854</v>
      </c>
      <c r="I4317" s="1">
        <v>6.49</v>
      </c>
      <c r="J4317" s="1">
        <v>-0.021593</v>
      </c>
    </row>
    <row r="4318">
      <c r="A4318" s="1">
        <v>2025.0</v>
      </c>
      <c r="B4318" s="1" t="s">
        <v>555</v>
      </c>
      <c r="C4318" s="1">
        <v>701656.0</v>
      </c>
      <c r="D4318" s="1" t="s">
        <v>532</v>
      </c>
      <c r="E4318" s="1" t="s">
        <v>927</v>
      </c>
      <c r="F4318" s="1" t="s">
        <v>927</v>
      </c>
      <c r="G4318" s="1">
        <v>57.0</v>
      </c>
      <c r="H4318" s="1">
        <v>3.52195122</v>
      </c>
      <c r="I4318" s="1">
        <v>5.35</v>
      </c>
      <c r="J4318" s="1">
        <v>0.845924</v>
      </c>
    </row>
    <row r="4319">
      <c r="A4319" s="1">
        <v>2025.0</v>
      </c>
      <c r="B4319" s="1" t="s">
        <v>555</v>
      </c>
      <c r="C4319" s="1">
        <v>701656.0</v>
      </c>
      <c r="D4319" s="1" t="s">
        <v>537</v>
      </c>
      <c r="E4319" s="1" t="s">
        <v>927</v>
      </c>
      <c r="F4319" s="1" t="s">
        <v>927</v>
      </c>
      <c r="G4319" s="1">
        <v>77.0</v>
      </c>
      <c r="H4319" s="1">
        <v>4.757723577</v>
      </c>
      <c r="I4319" s="1">
        <v>5.3</v>
      </c>
      <c r="J4319" s="1">
        <v>1.244079</v>
      </c>
    </row>
    <row r="4320">
      <c r="A4320" s="1">
        <v>2025.0</v>
      </c>
      <c r="B4320" s="1" t="s">
        <v>555</v>
      </c>
      <c r="C4320" s="1">
        <v>701656.0</v>
      </c>
      <c r="D4320" s="1" t="s">
        <v>533</v>
      </c>
      <c r="E4320" s="1" t="s">
        <v>927</v>
      </c>
      <c r="F4320" s="1" t="s">
        <v>927</v>
      </c>
      <c r="G4320" s="1">
        <v>11.0</v>
      </c>
      <c r="H4320" s="1">
        <v>0.679674797</v>
      </c>
      <c r="I4320" s="1">
        <v>5.29</v>
      </c>
      <c r="J4320" s="1">
        <v>0.189033</v>
      </c>
    </row>
    <row r="4321">
      <c r="A4321" s="1">
        <v>2025.0</v>
      </c>
      <c r="B4321" s="1" t="s">
        <v>878</v>
      </c>
      <c r="C4321" s="1">
        <v>682515.0</v>
      </c>
      <c r="D4321" s="1" t="s">
        <v>533</v>
      </c>
      <c r="E4321" s="1" t="s">
        <v>927</v>
      </c>
      <c r="F4321" s="1" t="s">
        <v>926</v>
      </c>
      <c r="G4321" s="1">
        <v>6.0</v>
      </c>
      <c r="H4321" s="1">
        <v>0.4</v>
      </c>
      <c r="I4321" s="1">
        <v>4.15</v>
      </c>
      <c r="J4321" s="1">
        <v>0.22847</v>
      </c>
    </row>
    <row r="4322">
      <c r="A4322" s="1">
        <v>2025.0</v>
      </c>
      <c r="B4322" s="1" t="s">
        <v>878</v>
      </c>
      <c r="C4322" s="1">
        <v>682515.0</v>
      </c>
      <c r="D4322" s="1" t="s">
        <v>541</v>
      </c>
      <c r="E4322" s="1" t="s">
        <v>927</v>
      </c>
      <c r="F4322" s="1" t="s">
        <v>927</v>
      </c>
      <c r="G4322" s="1">
        <v>1.0</v>
      </c>
      <c r="H4322" s="1">
        <v>0.066666667</v>
      </c>
      <c r="I4322" s="1">
        <v>3.33</v>
      </c>
      <c r="J4322" s="1">
        <v>0.053763</v>
      </c>
    </row>
    <row r="4323">
      <c r="A4323" s="1">
        <v>2025.0</v>
      </c>
      <c r="B4323" s="1" t="s">
        <v>878</v>
      </c>
      <c r="C4323" s="1">
        <v>682515.0</v>
      </c>
      <c r="D4323" s="1" t="s">
        <v>533</v>
      </c>
      <c r="E4323" s="1" t="s">
        <v>927</v>
      </c>
      <c r="F4323" s="1" t="s">
        <v>927</v>
      </c>
      <c r="G4323" s="1">
        <v>8.0</v>
      </c>
      <c r="H4323" s="1">
        <v>0.533333333</v>
      </c>
      <c r="I4323" s="1">
        <v>5.52</v>
      </c>
      <c r="J4323" s="1">
        <v>0.092816</v>
      </c>
    </row>
    <row r="4324">
      <c r="A4324" s="1">
        <v>2025.0</v>
      </c>
      <c r="B4324" s="1" t="s">
        <v>794</v>
      </c>
      <c r="C4324" s="1">
        <v>701121.0</v>
      </c>
      <c r="D4324" s="1" t="s">
        <v>532</v>
      </c>
      <c r="E4324" s="1" t="s">
        <v>927</v>
      </c>
      <c r="F4324" s="1" t="s">
        <v>926</v>
      </c>
      <c r="G4324" s="1">
        <v>21.0</v>
      </c>
      <c r="H4324" s="1">
        <v>1.237569061</v>
      </c>
      <c r="I4324" s="1">
        <v>5.31</v>
      </c>
      <c r="J4324" s="1">
        <v>0.309386</v>
      </c>
    </row>
    <row r="4325">
      <c r="A4325" s="1">
        <v>2025.0</v>
      </c>
      <c r="B4325" s="1" t="s">
        <v>794</v>
      </c>
      <c r="C4325" s="1">
        <v>701121.0</v>
      </c>
      <c r="D4325" s="1" t="s">
        <v>540</v>
      </c>
      <c r="E4325" s="1" t="s">
        <v>927</v>
      </c>
      <c r="F4325" s="1" t="s">
        <v>926</v>
      </c>
      <c r="G4325" s="1">
        <v>2.0</v>
      </c>
      <c r="H4325" s="1">
        <v>0.11786372</v>
      </c>
      <c r="I4325" s="1">
        <v>5.49</v>
      </c>
      <c r="J4325" s="1">
        <v>0.024584</v>
      </c>
    </row>
    <row r="4326">
      <c r="A4326" s="1">
        <v>2025.0</v>
      </c>
      <c r="B4326" s="1" t="s">
        <v>794</v>
      </c>
      <c r="C4326" s="1">
        <v>701121.0</v>
      </c>
      <c r="D4326" s="1" t="s">
        <v>537</v>
      </c>
      <c r="E4326" s="1" t="s">
        <v>927</v>
      </c>
      <c r="F4326" s="1" t="s">
        <v>926</v>
      </c>
      <c r="G4326" s="1">
        <v>50.0</v>
      </c>
      <c r="H4326" s="1">
        <v>2.946593002</v>
      </c>
      <c r="I4326" s="1">
        <v>5.27</v>
      </c>
      <c r="J4326" s="1">
        <v>0.940498</v>
      </c>
    </row>
    <row r="4327">
      <c r="A4327" s="1">
        <v>2025.0</v>
      </c>
      <c r="B4327" s="1" t="s">
        <v>794</v>
      </c>
      <c r="C4327" s="1">
        <v>701121.0</v>
      </c>
      <c r="D4327" s="1" t="s">
        <v>539</v>
      </c>
      <c r="E4327" s="1" t="s">
        <v>927</v>
      </c>
      <c r="F4327" s="1" t="s">
        <v>926</v>
      </c>
      <c r="G4327" s="1">
        <v>3.0</v>
      </c>
      <c r="H4327" s="1">
        <v>0.17679558</v>
      </c>
      <c r="I4327" s="1">
        <v>5.22</v>
      </c>
      <c r="J4327" s="1">
        <v>0.058614</v>
      </c>
    </row>
    <row r="4328">
      <c r="A4328" s="1">
        <v>2025.0</v>
      </c>
      <c r="B4328" s="1" t="s">
        <v>794</v>
      </c>
      <c r="C4328" s="1">
        <v>701121.0</v>
      </c>
      <c r="D4328" s="1" t="s">
        <v>532</v>
      </c>
      <c r="E4328" s="1" t="s">
        <v>927</v>
      </c>
      <c r="F4328" s="1" t="s">
        <v>927</v>
      </c>
      <c r="G4328" s="1">
        <v>1.0</v>
      </c>
      <c r="H4328" s="1">
        <v>0.05893186</v>
      </c>
      <c r="I4328" s="1">
        <v>2.14</v>
      </c>
      <c r="J4328" s="1">
        <v>0.075367</v>
      </c>
    </row>
    <row r="4329">
      <c r="A4329" s="1">
        <v>2025.0</v>
      </c>
      <c r="B4329" s="1" t="s">
        <v>794</v>
      </c>
      <c r="C4329" s="1">
        <v>701121.0</v>
      </c>
      <c r="D4329" s="1" t="s">
        <v>540</v>
      </c>
      <c r="E4329" s="1" t="s">
        <v>927</v>
      </c>
      <c r="F4329" s="1" t="s">
        <v>927</v>
      </c>
      <c r="G4329" s="1">
        <v>4.0</v>
      </c>
      <c r="H4329" s="1">
        <v>0.23572744</v>
      </c>
      <c r="I4329" s="1">
        <v>5.51</v>
      </c>
      <c r="J4329" s="1">
        <v>0.047157</v>
      </c>
    </row>
    <row r="4330">
      <c r="A4330" s="1">
        <v>2025.0</v>
      </c>
      <c r="B4330" s="1" t="s">
        <v>794</v>
      </c>
      <c r="C4330" s="1">
        <v>701121.0</v>
      </c>
      <c r="D4330" s="1" t="s">
        <v>537</v>
      </c>
      <c r="E4330" s="1" t="s">
        <v>927</v>
      </c>
      <c r="F4330" s="1" t="s">
        <v>927</v>
      </c>
      <c r="G4330" s="1">
        <v>45.0</v>
      </c>
      <c r="H4330" s="1">
        <v>2.651933702</v>
      </c>
      <c r="I4330" s="1">
        <v>4.69</v>
      </c>
      <c r="J4330" s="1">
        <v>1.360573</v>
      </c>
    </row>
    <row r="4331">
      <c r="A4331" s="1">
        <v>2025.0</v>
      </c>
      <c r="B4331" s="1" t="s">
        <v>794</v>
      </c>
      <c r="C4331" s="1">
        <v>701121.0</v>
      </c>
      <c r="D4331" s="1" t="s">
        <v>536</v>
      </c>
      <c r="E4331" s="1" t="s">
        <v>927</v>
      </c>
      <c r="F4331" s="1" t="s">
        <v>927</v>
      </c>
      <c r="G4331" s="1">
        <v>15.0</v>
      </c>
      <c r="H4331" s="1">
        <v>0.883977901</v>
      </c>
      <c r="I4331" s="1">
        <v>4.82</v>
      </c>
      <c r="J4331" s="1">
        <v>0.396243</v>
      </c>
    </row>
    <row r="4332">
      <c r="A4332" s="1">
        <v>2025.0</v>
      </c>
      <c r="B4332" s="1" t="s">
        <v>794</v>
      </c>
      <c r="C4332" s="1">
        <v>701121.0</v>
      </c>
      <c r="D4332" s="1" t="s">
        <v>539</v>
      </c>
      <c r="E4332" s="1" t="s">
        <v>927</v>
      </c>
      <c r="F4332" s="1" t="s">
        <v>927</v>
      </c>
      <c r="G4332" s="1">
        <v>40.0</v>
      </c>
      <c r="H4332" s="1">
        <v>2.357274401</v>
      </c>
      <c r="I4332" s="1">
        <v>5.35</v>
      </c>
      <c r="J4332" s="1">
        <v>0.622845</v>
      </c>
    </row>
    <row r="4333">
      <c r="A4333" s="1">
        <v>2025.0</v>
      </c>
      <c r="B4333" s="1" t="s">
        <v>77</v>
      </c>
      <c r="C4333" s="1">
        <v>657277.0</v>
      </c>
      <c r="D4333" s="1" t="s">
        <v>532</v>
      </c>
      <c r="E4333" s="1" t="s">
        <v>927</v>
      </c>
      <c r="F4333" s="1" t="s">
        <v>926</v>
      </c>
      <c r="G4333" s="1">
        <v>487.0</v>
      </c>
      <c r="H4333" s="1">
        <v>30.73445122</v>
      </c>
      <c r="I4333" s="1">
        <v>5.2</v>
      </c>
      <c r="J4333" s="1">
        <v>8.388313</v>
      </c>
    </row>
    <row r="4334">
      <c r="A4334" s="1">
        <v>2025.0</v>
      </c>
      <c r="B4334" s="1" t="s">
        <v>77</v>
      </c>
      <c r="C4334" s="1">
        <v>657277.0</v>
      </c>
      <c r="D4334" s="1" t="s">
        <v>540</v>
      </c>
      <c r="E4334" s="1" t="s">
        <v>927</v>
      </c>
      <c r="F4334" s="1" t="s">
        <v>926</v>
      </c>
      <c r="G4334" s="1">
        <v>186.0</v>
      </c>
      <c r="H4334" s="1">
        <v>11.73841463</v>
      </c>
      <c r="I4334" s="1">
        <v>5.03</v>
      </c>
      <c r="J4334" s="1">
        <v>4.018527</v>
      </c>
    </row>
    <row r="4335">
      <c r="A4335" s="1">
        <v>2025.0</v>
      </c>
      <c r="B4335" s="1" t="s">
        <v>77</v>
      </c>
      <c r="C4335" s="1">
        <v>657277.0</v>
      </c>
      <c r="D4335" s="1" t="s">
        <v>537</v>
      </c>
      <c r="E4335" s="1" t="s">
        <v>927</v>
      </c>
      <c r="F4335" s="1" t="s">
        <v>926</v>
      </c>
      <c r="G4335" s="1">
        <v>145.0</v>
      </c>
      <c r="H4335" s="1">
        <v>9.150914634</v>
      </c>
      <c r="I4335" s="1">
        <v>4.44</v>
      </c>
      <c r="J4335" s="1">
        <v>4.75477</v>
      </c>
    </row>
    <row r="4336">
      <c r="A4336" s="1">
        <v>2025.0</v>
      </c>
      <c r="B4336" s="1" t="s">
        <v>77</v>
      </c>
      <c r="C4336" s="1">
        <v>657277.0</v>
      </c>
      <c r="D4336" s="1" t="s">
        <v>536</v>
      </c>
      <c r="E4336" s="1" t="s">
        <v>927</v>
      </c>
      <c r="F4336" s="1" t="s">
        <v>926</v>
      </c>
      <c r="G4336" s="1">
        <v>392.0</v>
      </c>
      <c r="H4336" s="1">
        <v>24.73902439</v>
      </c>
      <c r="I4336" s="1">
        <v>5.21</v>
      </c>
      <c r="J4336" s="1">
        <v>7.008493</v>
      </c>
    </row>
    <row r="4337">
      <c r="A4337" s="1">
        <v>2025.0</v>
      </c>
      <c r="B4337" s="1" t="s">
        <v>77</v>
      </c>
      <c r="C4337" s="1">
        <v>657277.0</v>
      </c>
      <c r="D4337" s="1" t="s">
        <v>539</v>
      </c>
      <c r="E4337" s="1" t="s">
        <v>927</v>
      </c>
      <c r="F4337" s="1" t="s">
        <v>926</v>
      </c>
      <c r="G4337" s="1">
        <v>401.0</v>
      </c>
      <c r="H4337" s="1">
        <v>25.3070122</v>
      </c>
      <c r="I4337" s="1">
        <v>5.46</v>
      </c>
      <c r="J4337" s="1">
        <v>4.990315</v>
      </c>
    </row>
    <row r="4338">
      <c r="A4338" s="1">
        <v>2025.0</v>
      </c>
      <c r="B4338" s="1" t="s">
        <v>77</v>
      </c>
      <c r="C4338" s="1">
        <v>657277.0</v>
      </c>
      <c r="D4338" s="1" t="s">
        <v>532</v>
      </c>
      <c r="E4338" s="1" t="s">
        <v>927</v>
      </c>
      <c r="F4338" s="1" t="s">
        <v>927</v>
      </c>
      <c r="G4338" s="1">
        <v>305.0</v>
      </c>
      <c r="H4338" s="1">
        <v>19.24847561</v>
      </c>
      <c r="I4338" s="1">
        <v>5.54</v>
      </c>
      <c r="J4338" s="1">
        <v>3.238967</v>
      </c>
    </row>
    <row r="4339">
      <c r="A4339" s="1">
        <v>2025.0</v>
      </c>
      <c r="B4339" s="1" t="s">
        <v>77</v>
      </c>
      <c r="C4339" s="1">
        <v>657277.0</v>
      </c>
      <c r="D4339" s="1" t="s">
        <v>540</v>
      </c>
      <c r="E4339" s="1" t="s">
        <v>927</v>
      </c>
      <c r="F4339" s="1" t="s">
        <v>927</v>
      </c>
      <c r="G4339" s="1">
        <v>73.0</v>
      </c>
      <c r="H4339" s="1">
        <v>4.607012195</v>
      </c>
      <c r="I4339" s="1">
        <v>4.87</v>
      </c>
      <c r="J4339" s="1">
        <v>1.721061</v>
      </c>
    </row>
    <row r="4340">
      <c r="A4340" s="1">
        <v>2025.0</v>
      </c>
      <c r="B4340" s="1" t="s">
        <v>77</v>
      </c>
      <c r="C4340" s="1">
        <v>657277.0</v>
      </c>
      <c r="D4340" s="1" t="s">
        <v>537</v>
      </c>
      <c r="E4340" s="1" t="s">
        <v>927</v>
      </c>
      <c r="F4340" s="1" t="s">
        <v>927</v>
      </c>
      <c r="G4340" s="1">
        <v>111.0</v>
      </c>
      <c r="H4340" s="1">
        <v>7.005182927</v>
      </c>
      <c r="I4340" s="1">
        <v>4.33</v>
      </c>
      <c r="J4340" s="1">
        <v>3.758295</v>
      </c>
    </row>
    <row r="4341">
      <c r="A4341" s="1">
        <v>2025.0</v>
      </c>
      <c r="B4341" s="1" t="s">
        <v>77</v>
      </c>
      <c r="C4341" s="1">
        <v>657277.0</v>
      </c>
      <c r="D4341" s="1" t="s">
        <v>536</v>
      </c>
      <c r="E4341" s="1" t="s">
        <v>927</v>
      </c>
      <c r="F4341" s="1" t="s">
        <v>927</v>
      </c>
      <c r="G4341" s="1">
        <v>710.0</v>
      </c>
      <c r="H4341" s="1">
        <v>44.80792683</v>
      </c>
      <c r="I4341" s="1">
        <v>5.25</v>
      </c>
      <c r="J4341" s="1">
        <v>11.866391</v>
      </c>
    </row>
    <row r="4342">
      <c r="A4342" s="1">
        <v>2025.0</v>
      </c>
      <c r="B4342" s="1" t="s">
        <v>77</v>
      </c>
      <c r="C4342" s="1">
        <v>657277.0</v>
      </c>
      <c r="D4342" s="1" t="s">
        <v>539</v>
      </c>
      <c r="E4342" s="1" t="s">
        <v>927</v>
      </c>
      <c r="F4342" s="1" t="s">
        <v>927</v>
      </c>
      <c r="G4342" s="1">
        <v>470.0</v>
      </c>
      <c r="H4342" s="1">
        <v>29.66158537</v>
      </c>
      <c r="I4342" s="1">
        <v>5.36</v>
      </c>
      <c r="J4342" s="1">
        <v>6.64314</v>
      </c>
    </row>
    <row r="4343">
      <c r="A4343" s="1">
        <v>2025.0</v>
      </c>
      <c r="B4343" s="1" t="s">
        <v>503</v>
      </c>
      <c r="C4343" s="1">
        <v>642152.0</v>
      </c>
      <c r="D4343" s="1" t="s">
        <v>532</v>
      </c>
      <c r="E4343" s="1" t="s">
        <v>927</v>
      </c>
      <c r="F4343" s="1" t="s">
        <v>926</v>
      </c>
      <c r="G4343" s="1">
        <v>104.0</v>
      </c>
      <c r="H4343" s="1">
        <v>5.894569956</v>
      </c>
      <c r="I4343" s="1">
        <v>4.86</v>
      </c>
      <c r="J4343" s="1">
        <v>2.497571</v>
      </c>
    </row>
    <row r="4344">
      <c r="A4344" s="1">
        <v>2025.0</v>
      </c>
      <c r="B4344" s="1" t="s">
        <v>503</v>
      </c>
      <c r="C4344" s="1">
        <v>642152.0</v>
      </c>
      <c r="D4344" s="1" t="s">
        <v>541</v>
      </c>
      <c r="E4344" s="1" t="s">
        <v>927</v>
      </c>
      <c r="F4344" s="1" t="s">
        <v>926</v>
      </c>
      <c r="G4344" s="1">
        <v>6.0</v>
      </c>
      <c r="H4344" s="1">
        <v>0.340071344</v>
      </c>
      <c r="I4344" s="1">
        <v>4.38</v>
      </c>
      <c r="J4344" s="1">
        <v>0.209929</v>
      </c>
    </row>
    <row r="4345">
      <c r="A4345" s="1">
        <v>2025.0</v>
      </c>
      <c r="B4345" s="1" t="s">
        <v>503</v>
      </c>
      <c r="C4345" s="1">
        <v>642152.0</v>
      </c>
      <c r="D4345" s="1" t="s">
        <v>540</v>
      </c>
      <c r="E4345" s="1" t="s">
        <v>927</v>
      </c>
      <c r="F4345" s="1" t="s">
        <v>926</v>
      </c>
      <c r="G4345" s="1">
        <v>102.0</v>
      </c>
      <c r="H4345" s="1">
        <v>5.781212842</v>
      </c>
      <c r="I4345" s="1">
        <v>4.88</v>
      </c>
      <c r="J4345" s="1">
        <v>2.519588</v>
      </c>
    </row>
    <row r="4346">
      <c r="A4346" s="1">
        <v>2025.0</v>
      </c>
      <c r="B4346" s="1" t="s">
        <v>503</v>
      </c>
      <c r="C4346" s="1">
        <v>642152.0</v>
      </c>
      <c r="D4346" s="1" t="s">
        <v>537</v>
      </c>
      <c r="E4346" s="1" t="s">
        <v>927</v>
      </c>
      <c r="F4346" s="1" t="s">
        <v>926</v>
      </c>
      <c r="G4346" s="1">
        <v>76.0</v>
      </c>
      <c r="H4346" s="1">
        <v>4.307570353</v>
      </c>
      <c r="I4346" s="1">
        <v>4.33</v>
      </c>
      <c r="J4346" s="1">
        <v>2.718971</v>
      </c>
    </row>
    <row r="4347">
      <c r="A4347" s="1">
        <v>2025.0</v>
      </c>
      <c r="B4347" s="1" t="s">
        <v>503</v>
      </c>
      <c r="C4347" s="1">
        <v>642152.0</v>
      </c>
      <c r="D4347" s="1" t="s">
        <v>536</v>
      </c>
      <c r="E4347" s="1" t="s">
        <v>927</v>
      </c>
      <c r="F4347" s="1" t="s">
        <v>926</v>
      </c>
      <c r="G4347" s="1">
        <v>48.0</v>
      </c>
      <c r="H4347" s="1">
        <v>2.720570749</v>
      </c>
      <c r="I4347" s="1">
        <v>4.65</v>
      </c>
      <c r="J4347" s="1">
        <v>1.456104</v>
      </c>
    </row>
    <row r="4348">
      <c r="A4348" s="1">
        <v>2025.0</v>
      </c>
      <c r="B4348" s="1" t="s">
        <v>503</v>
      </c>
      <c r="C4348" s="1">
        <v>642152.0</v>
      </c>
      <c r="D4348" s="1" t="s">
        <v>539</v>
      </c>
      <c r="E4348" s="1" t="s">
        <v>927</v>
      </c>
      <c r="F4348" s="1" t="s">
        <v>926</v>
      </c>
      <c r="G4348" s="1">
        <v>32.0</v>
      </c>
      <c r="H4348" s="1">
        <v>1.813713833</v>
      </c>
      <c r="I4348" s="1">
        <v>4.32</v>
      </c>
      <c r="J4348" s="1">
        <v>1.113998</v>
      </c>
    </row>
    <row r="4349">
      <c r="A4349" s="1">
        <v>2025.0</v>
      </c>
      <c r="B4349" s="1" t="s">
        <v>503</v>
      </c>
      <c r="C4349" s="1">
        <v>642152.0</v>
      </c>
      <c r="D4349" s="1" t="s">
        <v>532</v>
      </c>
      <c r="E4349" s="1" t="s">
        <v>927</v>
      </c>
      <c r="F4349" s="1" t="s">
        <v>927</v>
      </c>
      <c r="G4349" s="1">
        <v>36.0</v>
      </c>
      <c r="H4349" s="1">
        <v>2.040428062</v>
      </c>
      <c r="I4349" s="1">
        <v>5.15</v>
      </c>
      <c r="J4349" s="1">
        <v>0.644491</v>
      </c>
    </row>
    <row r="4350">
      <c r="A4350" s="1">
        <v>2025.0</v>
      </c>
      <c r="B4350" s="1" t="s">
        <v>503</v>
      </c>
      <c r="C4350" s="1">
        <v>642152.0</v>
      </c>
      <c r="D4350" s="1" t="s">
        <v>541</v>
      </c>
      <c r="E4350" s="1" t="s">
        <v>927</v>
      </c>
      <c r="F4350" s="1" t="s">
        <v>927</v>
      </c>
      <c r="G4350" s="1">
        <v>4.0</v>
      </c>
      <c r="H4350" s="1">
        <v>0.226714229</v>
      </c>
      <c r="I4350" s="1">
        <v>3.82</v>
      </c>
      <c r="J4350" s="1">
        <v>0.186668</v>
      </c>
    </row>
    <row r="4351">
      <c r="A4351" s="1">
        <v>2025.0</v>
      </c>
      <c r="B4351" s="1" t="s">
        <v>503</v>
      </c>
      <c r="C4351" s="1">
        <v>642152.0</v>
      </c>
      <c r="D4351" s="1" t="s">
        <v>540</v>
      </c>
      <c r="E4351" s="1" t="s">
        <v>927</v>
      </c>
      <c r="F4351" s="1" t="s">
        <v>927</v>
      </c>
      <c r="G4351" s="1">
        <v>101.0</v>
      </c>
      <c r="H4351" s="1">
        <v>5.724534285</v>
      </c>
      <c r="I4351" s="1">
        <v>4.62</v>
      </c>
      <c r="J4351" s="1">
        <v>3.02052</v>
      </c>
    </row>
    <row r="4352">
      <c r="A4352" s="1">
        <v>2025.0</v>
      </c>
      <c r="B4352" s="1" t="s">
        <v>503</v>
      </c>
      <c r="C4352" s="1">
        <v>642152.0</v>
      </c>
      <c r="D4352" s="1" t="s">
        <v>537</v>
      </c>
      <c r="E4352" s="1" t="s">
        <v>927</v>
      </c>
      <c r="F4352" s="1" t="s">
        <v>927</v>
      </c>
      <c r="G4352" s="1">
        <v>56.0</v>
      </c>
      <c r="H4352" s="1">
        <v>3.173999207</v>
      </c>
      <c r="I4352" s="1">
        <v>4.69</v>
      </c>
      <c r="J4352" s="1">
        <v>1.638173</v>
      </c>
    </row>
    <row r="4353">
      <c r="A4353" s="1">
        <v>2025.0</v>
      </c>
      <c r="B4353" s="1" t="s">
        <v>503</v>
      </c>
      <c r="C4353" s="1">
        <v>642152.0</v>
      </c>
      <c r="D4353" s="1" t="s">
        <v>536</v>
      </c>
      <c r="E4353" s="1" t="s">
        <v>927</v>
      </c>
      <c r="F4353" s="1" t="s">
        <v>927</v>
      </c>
      <c r="G4353" s="1">
        <v>138.0</v>
      </c>
      <c r="H4353" s="1">
        <v>7.821640904</v>
      </c>
      <c r="I4353" s="1">
        <v>4.83</v>
      </c>
      <c r="J4353" s="1">
        <v>3.582748</v>
      </c>
    </row>
    <row r="4354">
      <c r="A4354" s="1">
        <v>2025.0</v>
      </c>
      <c r="B4354" s="1" t="s">
        <v>503</v>
      </c>
      <c r="C4354" s="1">
        <v>642152.0</v>
      </c>
      <c r="D4354" s="1" t="s">
        <v>539</v>
      </c>
      <c r="E4354" s="1" t="s">
        <v>927</v>
      </c>
      <c r="F4354" s="1" t="s">
        <v>927</v>
      </c>
      <c r="G4354" s="1">
        <v>138.0</v>
      </c>
      <c r="H4354" s="1">
        <v>7.821640904</v>
      </c>
      <c r="I4354" s="1">
        <v>5.06</v>
      </c>
      <c r="J4354" s="1">
        <v>2.817448</v>
      </c>
    </row>
    <row r="4355">
      <c r="A4355" s="1">
        <v>2025.0</v>
      </c>
      <c r="B4355" s="1" t="s">
        <v>47</v>
      </c>
      <c r="C4355" s="1">
        <v>686973.0</v>
      </c>
      <c r="D4355" s="1" t="s">
        <v>532</v>
      </c>
      <c r="E4355" s="1" t="s">
        <v>927</v>
      </c>
      <c r="F4355" s="1" t="s">
        <v>926</v>
      </c>
      <c r="G4355" s="1">
        <v>50.0</v>
      </c>
      <c r="H4355" s="1">
        <v>3.408380238</v>
      </c>
      <c r="I4355" s="1">
        <v>4.62</v>
      </c>
      <c r="J4355" s="1">
        <v>1.507669</v>
      </c>
    </row>
    <row r="4356">
      <c r="A4356" s="1">
        <v>2025.0</v>
      </c>
      <c r="B4356" s="1" t="s">
        <v>47</v>
      </c>
      <c r="C4356" s="1">
        <v>686973.0</v>
      </c>
      <c r="D4356" s="1" t="s">
        <v>541</v>
      </c>
      <c r="E4356" s="1" t="s">
        <v>927</v>
      </c>
      <c r="F4356" s="1" t="s">
        <v>926</v>
      </c>
      <c r="G4356" s="1">
        <v>155.0</v>
      </c>
      <c r="H4356" s="1">
        <v>10.56597874</v>
      </c>
      <c r="I4356" s="1">
        <v>5.33</v>
      </c>
      <c r="J4356" s="1">
        <v>2.362601</v>
      </c>
    </row>
    <row r="4357">
      <c r="A4357" s="1">
        <v>2025.0</v>
      </c>
      <c r="B4357" s="1" t="s">
        <v>47</v>
      </c>
      <c r="C4357" s="1">
        <v>686973.0</v>
      </c>
      <c r="D4357" s="1" t="s">
        <v>537</v>
      </c>
      <c r="E4357" s="1" t="s">
        <v>927</v>
      </c>
      <c r="F4357" s="1" t="s">
        <v>926</v>
      </c>
      <c r="G4357" s="1">
        <v>213.0</v>
      </c>
      <c r="H4357" s="1">
        <v>14.51969981</v>
      </c>
      <c r="I4357" s="1">
        <v>5.17</v>
      </c>
      <c r="J4357" s="1">
        <v>4.131687</v>
      </c>
    </row>
    <row r="4358">
      <c r="A4358" s="1">
        <v>2025.0</v>
      </c>
      <c r="B4358" s="1" t="s">
        <v>47</v>
      </c>
      <c r="C4358" s="1">
        <v>686973.0</v>
      </c>
      <c r="D4358" s="1" t="s">
        <v>536</v>
      </c>
      <c r="E4358" s="1" t="s">
        <v>927</v>
      </c>
      <c r="F4358" s="1" t="s">
        <v>926</v>
      </c>
      <c r="G4358" s="1">
        <v>8.0</v>
      </c>
      <c r="H4358" s="1">
        <v>0.545340838</v>
      </c>
      <c r="I4358" s="1">
        <v>4.87</v>
      </c>
      <c r="J4358" s="1">
        <v>0.205395</v>
      </c>
    </row>
    <row r="4359">
      <c r="A4359" s="1">
        <v>2025.0</v>
      </c>
      <c r="B4359" s="1" t="s">
        <v>47</v>
      </c>
      <c r="C4359" s="1">
        <v>686973.0</v>
      </c>
      <c r="D4359" s="1" t="s">
        <v>533</v>
      </c>
      <c r="E4359" s="1" t="s">
        <v>927</v>
      </c>
      <c r="F4359" s="1" t="s">
        <v>926</v>
      </c>
      <c r="G4359" s="1">
        <v>6.0</v>
      </c>
      <c r="H4359" s="1">
        <v>0.409005629</v>
      </c>
      <c r="I4359" s="1">
        <v>5.17</v>
      </c>
      <c r="J4359" s="1">
        <v>0.11804</v>
      </c>
    </row>
    <row r="4360">
      <c r="A4360" s="1">
        <v>2025.0</v>
      </c>
      <c r="B4360" s="1" t="s">
        <v>47</v>
      </c>
      <c r="C4360" s="1">
        <v>686973.0</v>
      </c>
      <c r="D4360" s="1" t="s">
        <v>541</v>
      </c>
      <c r="E4360" s="1" t="s">
        <v>927</v>
      </c>
      <c r="F4360" s="1" t="s">
        <v>927</v>
      </c>
      <c r="G4360" s="1">
        <v>244.0</v>
      </c>
      <c r="H4360" s="1">
        <v>16.63289556</v>
      </c>
      <c r="I4360" s="1">
        <v>5.23</v>
      </c>
      <c r="J4360" s="1">
        <v>4.137437</v>
      </c>
    </row>
    <row r="4361">
      <c r="A4361" s="1">
        <v>2025.0</v>
      </c>
      <c r="B4361" s="1" t="s">
        <v>47</v>
      </c>
      <c r="C4361" s="1">
        <v>686973.0</v>
      </c>
      <c r="D4361" s="1" t="s">
        <v>537</v>
      </c>
      <c r="E4361" s="1" t="s">
        <v>927</v>
      </c>
      <c r="F4361" s="1" t="s">
        <v>927</v>
      </c>
      <c r="G4361" s="1">
        <v>260.0</v>
      </c>
      <c r="H4361" s="1">
        <v>17.72357724</v>
      </c>
      <c r="I4361" s="1">
        <v>5.55</v>
      </c>
      <c r="J4361" s="1">
        <v>2.861376</v>
      </c>
    </row>
    <row r="4362">
      <c r="A4362" s="1">
        <v>2025.0</v>
      </c>
      <c r="B4362" s="1" t="s">
        <v>47</v>
      </c>
      <c r="C4362" s="1">
        <v>686973.0</v>
      </c>
      <c r="D4362" s="1" t="s">
        <v>536</v>
      </c>
      <c r="E4362" s="1" t="s">
        <v>927</v>
      </c>
      <c r="F4362" s="1" t="s">
        <v>927</v>
      </c>
      <c r="G4362" s="1">
        <v>60.0</v>
      </c>
      <c r="H4362" s="1">
        <v>4.090056285</v>
      </c>
      <c r="I4362" s="1">
        <v>5.09</v>
      </c>
      <c r="J4362" s="1">
        <v>1.246096</v>
      </c>
    </row>
    <row r="4363">
      <c r="A4363" s="1">
        <v>2025.0</v>
      </c>
      <c r="B4363" s="1" t="s">
        <v>47</v>
      </c>
      <c r="C4363" s="1">
        <v>686973.0</v>
      </c>
      <c r="D4363" s="1" t="s">
        <v>533</v>
      </c>
      <c r="E4363" s="1" t="s">
        <v>927</v>
      </c>
      <c r="F4363" s="1" t="s">
        <v>927</v>
      </c>
      <c r="G4363" s="1">
        <v>70.0</v>
      </c>
      <c r="H4363" s="1">
        <v>4.771732333</v>
      </c>
      <c r="I4363" s="1">
        <v>5.18</v>
      </c>
      <c r="J4363" s="1">
        <v>1.291084</v>
      </c>
    </row>
    <row r="4364">
      <c r="A4364" s="1">
        <v>2025.0</v>
      </c>
      <c r="B4364" s="1" t="s">
        <v>754</v>
      </c>
      <c r="C4364" s="1">
        <v>678215.0</v>
      </c>
      <c r="D4364" s="1" t="s">
        <v>532</v>
      </c>
      <c r="E4364" s="1" t="s">
        <v>927</v>
      </c>
      <c r="F4364" s="1" t="s">
        <v>926</v>
      </c>
      <c r="G4364" s="1">
        <v>3.0</v>
      </c>
      <c r="H4364" s="1">
        <v>0.149758454</v>
      </c>
      <c r="I4364" s="1">
        <v>5.29</v>
      </c>
      <c r="J4364" s="1">
        <v>0.048421</v>
      </c>
    </row>
    <row r="4365">
      <c r="A4365" s="1">
        <v>2025.0</v>
      </c>
      <c r="B4365" s="1" t="s">
        <v>754</v>
      </c>
      <c r="C4365" s="1">
        <v>678215.0</v>
      </c>
      <c r="D4365" s="1" t="s">
        <v>537</v>
      </c>
      <c r="E4365" s="1" t="s">
        <v>927</v>
      </c>
      <c r="F4365" s="1" t="s">
        <v>926</v>
      </c>
      <c r="G4365" s="1">
        <v>37.0</v>
      </c>
      <c r="H4365" s="1">
        <v>1.847020934</v>
      </c>
      <c r="I4365" s="1">
        <v>4.77</v>
      </c>
      <c r="J4365" s="1">
        <v>0.982138</v>
      </c>
    </row>
    <row r="4366">
      <c r="A4366" s="1">
        <v>2025.0</v>
      </c>
      <c r="B4366" s="1" t="s">
        <v>754</v>
      </c>
      <c r="C4366" s="1">
        <v>678215.0</v>
      </c>
      <c r="D4366" s="1" t="s">
        <v>538</v>
      </c>
      <c r="E4366" s="1" t="s">
        <v>927</v>
      </c>
      <c r="F4366" s="1" t="s">
        <v>926</v>
      </c>
      <c r="G4366" s="1">
        <v>24.0</v>
      </c>
      <c r="H4366" s="1">
        <v>1.198067633</v>
      </c>
      <c r="I4366" s="1">
        <v>4.87</v>
      </c>
      <c r="J4366" s="1">
        <v>0.578905</v>
      </c>
    </row>
    <row r="4367">
      <c r="A4367" s="1">
        <v>2025.0</v>
      </c>
      <c r="B4367" s="1" t="s">
        <v>754</v>
      </c>
      <c r="C4367" s="1">
        <v>678215.0</v>
      </c>
      <c r="D4367" s="1" t="s">
        <v>533</v>
      </c>
      <c r="E4367" s="1" t="s">
        <v>927</v>
      </c>
      <c r="F4367" s="1" t="s">
        <v>926</v>
      </c>
      <c r="G4367" s="1">
        <v>36.0</v>
      </c>
      <c r="H4367" s="1">
        <v>1.797101449</v>
      </c>
      <c r="I4367" s="1">
        <v>4.11</v>
      </c>
      <c r="J4367" s="1">
        <v>1.378292</v>
      </c>
    </row>
    <row r="4368">
      <c r="A4368" s="1">
        <v>2025.0</v>
      </c>
      <c r="B4368" s="1" t="s">
        <v>754</v>
      </c>
      <c r="C4368" s="1">
        <v>678215.0</v>
      </c>
      <c r="D4368" s="1" t="s">
        <v>532</v>
      </c>
      <c r="E4368" s="1" t="s">
        <v>927</v>
      </c>
      <c r="F4368" s="1" t="s">
        <v>927</v>
      </c>
      <c r="G4368" s="1">
        <v>1.0</v>
      </c>
      <c r="H4368" s="1">
        <v>0.049919485</v>
      </c>
      <c r="I4368" s="1">
        <v>4.43</v>
      </c>
      <c r="J4368" s="1">
        <v>0.030267</v>
      </c>
    </row>
    <row r="4369">
      <c r="A4369" s="1">
        <v>2025.0</v>
      </c>
      <c r="B4369" s="1" t="s">
        <v>754</v>
      </c>
      <c r="C4369" s="1">
        <v>678215.0</v>
      </c>
      <c r="D4369" s="1" t="s">
        <v>537</v>
      </c>
      <c r="E4369" s="1" t="s">
        <v>927</v>
      </c>
      <c r="F4369" s="1" t="s">
        <v>927</v>
      </c>
      <c r="G4369" s="1">
        <v>41.0</v>
      </c>
      <c r="H4369" s="1">
        <v>2.046698873</v>
      </c>
      <c r="I4369" s="1">
        <v>3.9</v>
      </c>
      <c r="J4369" s="1">
        <v>1.819222</v>
      </c>
    </row>
    <row r="4370">
      <c r="A4370" s="1">
        <v>2025.0</v>
      </c>
      <c r="B4370" s="1" t="s">
        <v>754</v>
      </c>
      <c r="C4370" s="1">
        <v>678215.0</v>
      </c>
      <c r="D4370" s="1" t="s">
        <v>538</v>
      </c>
      <c r="E4370" s="1" t="s">
        <v>927</v>
      </c>
      <c r="F4370" s="1" t="s">
        <v>927</v>
      </c>
      <c r="G4370" s="1">
        <v>4.0</v>
      </c>
      <c r="H4370" s="1">
        <v>0.199677939</v>
      </c>
      <c r="I4370" s="1">
        <v>3.91</v>
      </c>
      <c r="J4370" s="1">
        <v>0.167842</v>
      </c>
    </row>
    <row r="4371">
      <c r="A4371" s="1">
        <v>2025.0</v>
      </c>
      <c r="B4371" s="1" t="s">
        <v>754</v>
      </c>
      <c r="C4371" s="1">
        <v>678215.0</v>
      </c>
      <c r="D4371" s="1" t="s">
        <v>533</v>
      </c>
      <c r="E4371" s="1" t="s">
        <v>927</v>
      </c>
      <c r="F4371" s="1" t="s">
        <v>927</v>
      </c>
      <c r="G4371" s="1">
        <v>61.0</v>
      </c>
      <c r="H4371" s="1">
        <v>3.045088567</v>
      </c>
      <c r="I4371" s="1">
        <v>5.7</v>
      </c>
      <c r="J4371" s="1">
        <v>0.436709</v>
      </c>
    </row>
    <row r="4372">
      <c r="A4372" s="1">
        <v>2025.0</v>
      </c>
      <c r="B4372" s="1" t="s">
        <v>407</v>
      </c>
      <c r="C4372" s="1">
        <v>668674.0</v>
      </c>
      <c r="D4372" s="1" t="s">
        <v>532</v>
      </c>
      <c r="E4372" s="1" t="s">
        <v>927</v>
      </c>
      <c r="F4372" s="1" t="s">
        <v>926</v>
      </c>
      <c r="G4372" s="1">
        <v>133.0</v>
      </c>
      <c r="H4372" s="1">
        <v>8.47955648</v>
      </c>
      <c r="I4372" s="1">
        <v>5.03</v>
      </c>
      <c r="J4372" s="1">
        <v>2.820146</v>
      </c>
    </row>
    <row r="4373">
      <c r="A4373" s="1">
        <v>2025.0</v>
      </c>
      <c r="B4373" s="1" t="s">
        <v>407</v>
      </c>
      <c r="C4373" s="1">
        <v>668674.0</v>
      </c>
      <c r="D4373" s="1" t="s">
        <v>537</v>
      </c>
      <c r="E4373" s="1" t="s">
        <v>927</v>
      </c>
      <c r="F4373" s="1" t="s">
        <v>926</v>
      </c>
      <c r="G4373" s="1">
        <v>200.0</v>
      </c>
      <c r="H4373" s="1">
        <v>12.75121275</v>
      </c>
      <c r="I4373" s="1">
        <v>4.79</v>
      </c>
      <c r="J4373" s="1">
        <v>5.363714</v>
      </c>
    </row>
    <row r="4374">
      <c r="A4374" s="1">
        <v>2025.0</v>
      </c>
      <c r="B4374" s="1" t="s">
        <v>407</v>
      </c>
      <c r="C4374" s="1">
        <v>668674.0</v>
      </c>
      <c r="D4374" s="1" t="s">
        <v>536</v>
      </c>
      <c r="E4374" s="1" t="s">
        <v>927</v>
      </c>
      <c r="F4374" s="1" t="s">
        <v>926</v>
      </c>
      <c r="G4374" s="1">
        <v>41.0</v>
      </c>
      <c r="H4374" s="1">
        <v>2.613998614</v>
      </c>
      <c r="I4374" s="1">
        <v>5.08</v>
      </c>
      <c r="J4374" s="1">
        <v>0.849868</v>
      </c>
    </row>
    <row r="4375">
      <c r="A4375" s="1">
        <v>2025.0</v>
      </c>
      <c r="B4375" s="1" t="s">
        <v>407</v>
      </c>
      <c r="C4375" s="1">
        <v>668674.0</v>
      </c>
      <c r="D4375" s="1" t="s">
        <v>533</v>
      </c>
      <c r="E4375" s="1" t="s">
        <v>927</v>
      </c>
      <c r="F4375" s="1" t="s">
        <v>926</v>
      </c>
      <c r="G4375" s="1">
        <v>120.0</v>
      </c>
      <c r="H4375" s="1">
        <v>7.650727651</v>
      </c>
      <c r="I4375" s="1">
        <v>5.0</v>
      </c>
      <c r="J4375" s="1">
        <v>2.635789</v>
      </c>
    </row>
    <row r="4376">
      <c r="A4376" s="1">
        <v>2025.0</v>
      </c>
      <c r="B4376" s="1" t="s">
        <v>407</v>
      </c>
      <c r="C4376" s="1">
        <v>668674.0</v>
      </c>
      <c r="D4376" s="1" t="s">
        <v>532</v>
      </c>
      <c r="E4376" s="1" t="s">
        <v>927</v>
      </c>
      <c r="F4376" s="1" t="s">
        <v>927</v>
      </c>
      <c r="G4376" s="1">
        <v>28.0</v>
      </c>
      <c r="H4376" s="1">
        <v>1.785169785</v>
      </c>
      <c r="I4376" s="1">
        <v>4.36</v>
      </c>
      <c r="J4376" s="1">
        <v>0.972083</v>
      </c>
    </row>
    <row r="4377">
      <c r="A4377" s="1">
        <v>2025.0</v>
      </c>
      <c r="B4377" s="1" t="s">
        <v>407</v>
      </c>
      <c r="C4377" s="1">
        <v>668674.0</v>
      </c>
      <c r="D4377" s="1" t="s">
        <v>537</v>
      </c>
      <c r="E4377" s="1" t="s">
        <v>927</v>
      </c>
      <c r="F4377" s="1" t="s">
        <v>927</v>
      </c>
      <c r="G4377" s="1">
        <v>116.0</v>
      </c>
      <c r="H4377" s="1">
        <v>7.395703396</v>
      </c>
      <c r="I4377" s="1">
        <v>4.9</v>
      </c>
      <c r="J4377" s="1">
        <v>2.885324</v>
      </c>
    </row>
    <row r="4378">
      <c r="A4378" s="1">
        <v>2025.0</v>
      </c>
      <c r="B4378" s="1" t="s">
        <v>407</v>
      </c>
      <c r="C4378" s="1">
        <v>668674.0</v>
      </c>
      <c r="D4378" s="1" t="s">
        <v>536</v>
      </c>
      <c r="E4378" s="1" t="s">
        <v>927</v>
      </c>
      <c r="F4378" s="1" t="s">
        <v>927</v>
      </c>
      <c r="G4378" s="1">
        <v>161.0</v>
      </c>
      <c r="H4378" s="1">
        <v>10.26472626</v>
      </c>
      <c r="I4378" s="1">
        <v>5.11</v>
      </c>
      <c r="J4378" s="1">
        <v>3.192879</v>
      </c>
    </row>
    <row r="4379">
      <c r="A4379" s="1">
        <v>2025.0</v>
      </c>
      <c r="B4379" s="1" t="s">
        <v>407</v>
      </c>
      <c r="C4379" s="1">
        <v>668674.0</v>
      </c>
      <c r="D4379" s="1" t="s">
        <v>533</v>
      </c>
      <c r="E4379" s="1" t="s">
        <v>927</v>
      </c>
      <c r="F4379" s="1" t="s">
        <v>927</v>
      </c>
      <c r="G4379" s="1">
        <v>163.0</v>
      </c>
      <c r="H4379" s="1">
        <v>10.39223839</v>
      </c>
      <c r="I4379" s="1">
        <v>4.85</v>
      </c>
      <c r="J4379" s="1">
        <v>3.996977</v>
      </c>
    </row>
    <row r="4380">
      <c r="A4380" s="1">
        <v>2025.0</v>
      </c>
      <c r="B4380" s="1" t="s">
        <v>984</v>
      </c>
      <c r="C4380" s="1">
        <v>656458.0</v>
      </c>
      <c r="D4380" s="1" t="s">
        <v>537</v>
      </c>
      <c r="E4380" s="1" t="s">
        <v>926</v>
      </c>
      <c r="F4380" s="1" t="s">
        <v>927</v>
      </c>
      <c r="G4380" s="1">
        <v>7.0</v>
      </c>
      <c r="H4380" s="1">
        <v>0.388888889</v>
      </c>
      <c r="I4380" s="1">
        <v>5.58</v>
      </c>
      <c r="J4380" s="1">
        <v>0.080704</v>
      </c>
    </row>
    <row r="4381">
      <c r="A4381" s="1">
        <v>2025.0</v>
      </c>
      <c r="B4381" s="1" t="s">
        <v>984</v>
      </c>
      <c r="C4381" s="1">
        <v>656458.0</v>
      </c>
      <c r="D4381" s="1" t="s">
        <v>538</v>
      </c>
      <c r="E4381" s="1" t="s">
        <v>926</v>
      </c>
      <c r="F4381" s="1" t="s">
        <v>927</v>
      </c>
      <c r="G4381" s="1">
        <v>3.0</v>
      </c>
      <c r="H4381" s="1">
        <v>0.166666667</v>
      </c>
      <c r="I4381" s="1">
        <v>4.14</v>
      </c>
      <c r="J4381" s="1">
        <v>0.115764</v>
      </c>
    </row>
    <row r="4382">
      <c r="A4382" s="1">
        <v>2025.0</v>
      </c>
      <c r="B4382" s="1" t="s">
        <v>984</v>
      </c>
      <c r="C4382" s="1">
        <v>656458.0</v>
      </c>
      <c r="D4382" s="1" t="s">
        <v>533</v>
      </c>
      <c r="E4382" s="1" t="s">
        <v>926</v>
      </c>
      <c r="F4382" s="1" t="s">
        <v>927</v>
      </c>
      <c r="G4382" s="1">
        <v>8.0</v>
      </c>
      <c r="H4382" s="1">
        <v>0.444444444</v>
      </c>
      <c r="I4382" s="1">
        <v>4.62</v>
      </c>
      <c r="J4382" s="1">
        <v>0.235693</v>
      </c>
    </row>
    <row r="4383">
      <c r="A4383" s="1">
        <v>2025.0</v>
      </c>
      <c r="B4383" s="1" t="s">
        <v>416</v>
      </c>
      <c r="C4383" s="1">
        <v>608337.0</v>
      </c>
      <c r="D4383" s="1" t="s">
        <v>532</v>
      </c>
      <c r="E4383" s="1" t="s">
        <v>927</v>
      </c>
      <c r="F4383" s="1" t="s">
        <v>926</v>
      </c>
      <c r="G4383" s="1">
        <v>314.0</v>
      </c>
      <c r="H4383" s="1">
        <v>19.25158562</v>
      </c>
      <c r="I4383" s="1">
        <v>5.17</v>
      </c>
      <c r="J4383" s="1">
        <v>5.649589</v>
      </c>
    </row>
    <row r="4384">
      <c r="A4384" s="1">
        <v>2025.0</v>
      </c>
      <c r="B4384" s="1" t="s">
        <v>416</v>
      </c>
      <c r="C4384" s="1">
        <v>608337.0</v>
      </c>
      <c r="D4384" s="1" t="s">
        <v>541</v>
      </c>
      <c r="E4384" s="1" t="s">
        <v>927</v>
      </c>
      <c r="F4384" s="1" t="s">
        <v>926</v>
      </c>
      <c r="G4384" s="1">
        <v>68.0</v>
      </c>
      <c r="H4384" s="1">
        <v>4.169133192</v>
      </c>
      <c r="I4384" s="1">
        <v>4.47</v>
      </c>
      <c r="J4384" s="1">
        <v>2.191475</v>
      </c>
    </row>
    <row r="4385">
      <c r="A4385" s="1">
        <v>2025.0</v>
      </c>
      <c r="B4385" s="1" t="s">
        <v>416</v>
      </c>
      <c r="C4385" s="1">
        <v>608337.0</v>
      </c>
      <c r="D4385" s="1" t="s">
        <v>537</v>
      </c>
      <c r="E4385" s="1" t="s">
        <v>927</v>
      </c>
      <c r="F4385" s="1" t="s">
        <v>926</v>
      </c>
      <c r="G4385" s="1">
        <v>610.0</v>
      </c>
      <c r="H4385" s="1">
        <v>37.39957717</v>
      </c>
      <c r="I4385" s="1">
        <v>4.87</v>
      </c>
      <c r="J4385" s="1">
        <v>15.402712</v>
      </c>
    </row>
    <row r="4386">
      <c r="A4386" s="1">
        <v>2025.0</v>
      </c>
      <c r="B4386" s="1" t="s">
        <v>416</v>
      </c>
      <c r="C4386" s="1">
        <v>608337.0</v>
      </c>
      <c r="D4386" s="1" t="s">
        <v>533</v>
      </c>
      <c r="E4386" s="1" t="s">
        <v>927</v>
      </c>
      <c r="F4386" s="1" t="s">
        <v>926</v>
      </c>
      <c r="G4386" s="1">
        <v>177.0</v>
      </c>
      <c r="H4386" s="1">
        <v>10.85200846</v>
      </c>
      <c r="I4386" s="1">
        <v>4.98</v>
      </c>
      <c r="J4386" s="1">
        <v>3.956253</v>
      </c>
    </row>
    <row r="4387">
      <c r="A4387" s="1">
        <v>2025.0</v>
      </c>
      <c r="B4387" s="1" t="s">
        <v>416</v>
      </c>
      <c r="C4387" s="1">
        <v>608337.0</v>
      </c>
      <c r="D4387" s="1" t="s">
        <v>532</v>
      </c>
      <c r="E4387" s="1" t="s">
        <v>927</v>
      </c>
      <c r="F4387" s="1" t="s">
        <v>927</v>
      </c>
      <c r="G4387" s="1">
        <v>219.0</v>
      </c>
      <c r="H4387" s="1">
        <v>13.42706131</v>
      </c>
      <c r="I4387" s="1">
        <v>5.18</v>
      </c>
      <c r="J4387" s="1">
        <v>4.025159</v>
      </c>
    </row>
    <row r="4388">
      <c r="A4388" s="1">
        <v>2025.0</v>
      </c>
      <c r="B4388" s="1" t="s">
        <v>416</v>
      </c>
      <c r="C4388" s="1">
        <v>608337.0</v>
      </c>
      <c r="D4388" s="1" t="s">
        <v>541</v>
      </c>
      <c r="E4388" s="1" t="s">
        <v>927</v>
      </c>
      <c r="F4388" s="1" t="s">
        <v>927</v>
      </c>
      <c r="G4388" s="1">
        <v>14.0</v>
      </c>
      <c r="H4388" s="1">
        <v>0.858350951</v>
      </c>
      <c r="I4388" s="1">
        <v>3.9</v>
      </c>
      <c r="J4388" s="1">
        <v>0.62679</v>
      </c>
    </row>
    <row r="4389">
      <c r="A4389" s="1">
        <v>2025.0</v>
      </c>
      <c r="B4389" s="1" t="s">
        <v>416</v>
      </c>
      <c r="C4389" s="1">
        <v>608337.0</v>
      </c>
      <c r="D4389" s="1" t="s">
        <v>537</v>
      </c>
      <c r="E4389" s="1" t="s">
        <v>927</v>
      </c>
      <c r="F4389" s="1" t="s">
        <v>927</v>
      </c>
      <c r="G4389" s="1">
        <v>535.0</v>
      </c>
      <c r="H4389" s="1">
        <v>32.8012685</v>
      </c>
      <c r="I4389" s="1">
        <v>4.86</v>
      </c>
      <c r="J4389" s="1">
        <v>13.680141</v>
      </c>
    </row>
    <row r="4390">
      <c r="A4390" s="1">
        <v>2025.0</v>
      </c>
      <c r="B4390" s="1" t="s">
        <v>416</v>
      </c>
      <c r="C4390" s="1">
        <v>608337.0</v>
      </c>
      <c r="D4390" s="1" t="s">
        <v>533</v>
      </c>
      <c r="E4390" s="1" t="s">
        <v>927</v>
      </c>
      <c r="F4390" s="1" t="s">
        <v>927</v>
      </c>
      <c r="G4390" s="1">
        <v>428.0</v>
      </c>
      <c r="H4390" s="1">
        <v>26.2410148</v>
      </c>
      <c r="I4390" s="1">
        <v>4.76</v>
      </c>
      <c r="J4390" s="1">
        <v>11.487583</v>
      </c>
    </row>
    <row r="4391">
      <c r="A4391" s="1">
        <v>2025.0</v>
      </c>
      <c r="B4391" s="1" t="s">
        <v>642</v>
      </c>
      <c r="C4391" s="1">
        <v>608371.0</v>
      </c>
      <c r="D4391" s="1" t="s">
        <v>532</v>
      </c>
      <c r="E4391" s="1" t="s">
        <v>927</v>
      </c>
      <c r="F4391" s="1" t="s">
        <v>926</v>
      </c>
      <c r="G4391" s="1">
        <v>1.0</v>
      </c>
      <c r="H4391" s="1">
        <v>0.044205496</v>
      </c>
      <c r="I4391" s="1">
        <v>3.07</v>
      </c>
      <c r="J4391" s="1">
        <v>0.061198</v>
      </c>
    </row>
    <row r="4392">
      <c r="A4392" s="1">
        <v>2025.0</v>
      </c>
      <c r="B4392" s="1" t="s">
        <v>642</v>
      </c>
      <c r="C4392" s="1">
        <v>608371.0</v>
      </c>
      <c r="D4392" s="1" t="s">
        <v>541</v>
      </c>
      <c r="E4392" s="1" t="s">
        <v>927</v>
      </c>
      <c r="F4392" s="1" t="s">
        <v>926</v>
      </c>
      <c r="G4392" s="1">
        <v>11.0</v>
      </c>
      <c r="H4392" s="1">
        <v>0.486260454</v>
      </c>
      <c r="I4392" s="1">
        <v>4.53</v>
      </c>
      <c r="J4392" s="1">
        <v>0.335836</v>
      </c>
    </row>
    <row r="4393">
      <c r="A4393" s="1">
        <v>2025.0</v>
      </c>
      <c r="B4393" s="1" t="s">
        <v>642</v>
      </c>
      <c r="C4393" s="1">
        <v>608371.0</v>
      </c>
      <c r="D4393" s="1" t="s">
        <v>540</v>
      </c>
      <c r="E4393" s="1" t="s">
        <v>927</v>
      </c>
      <c r="F4393" s="1" t="s">
        <v>926</v>
      </c>
      <c r="G4393" s="1">
        <v>5.0</v>
      </c>
      <c r="H4393" s="1">
        <v>0.221027479</v>
      </c>
      <c r="I4393" s="1">
        <v>6.18</v>
      </c>
      <c r="J4393" s="1">
        <v>-0.021497</v>
      </c>
    </row>
    <row r="4394">
      <c r="A4394" s="1">
        <v>2025.0</v>
      </c>
      <c r="B4394" s="1" t="s">
        <v>642</v>
      </c>
      <c r="C4394" s="1">
        <v>608371.0</v>
      </c>
      <c r="D4394" s="1" t="s">
        <v>537</v>
      </c>
      <c r="E4394" s="1" t="s">
        <v>927</v>
      </c>
      <c r="F4394" s="1" t="s">
        <v>926</v>
      </c>
      <c r="G4394" s="1">
        <v>47.0</v>
      </c>
      <c r="H4394" s="1">
        <v>2.077658303</v>
      </c>
      <c r="I4394" s="1">
        <v>4.18</v>
      </c>
      <c r="J4394" s="1">
        <v>1.874572</v>
      </c>
    </row>
    <row r="4395">
      <c r="A4395" s="1">
        <v>2025.0</v>
      </c>
      <c r="B4395" s="1" t="s">
        <v>642</v>
      </c>
      <c r="C4395" s="1">
        <v>608371.0</v>
      </c>
      <c r="D4395" s="1" t="s">
        <v>536</v>
      </c>
      <c r="E4395" s="1" t="s">
        <v>927</v>
      </c>
      <c r="F4395" s="1" t="s">
        <v>926</v>
      </c>
      <c r="G4395" s="1">
        <v>1.0</v>
      </c>
      <c r="H4395" s="1">
        <v>0.044205496</v>
      </c>
      <c r="I4395" s="1">
        <v>5.26</v>
      </c>
      <c r="J4395" s="1">
        <v>0.01846</v>
      </c>
    </row>
    <row r="4396">
      <c r="A4396" s="1">
        <v>2025.0</v>
      </c>
      <c r="B4396" s="1" t="s">
        <v>642</v>
      </c>
      <c r="C4396" s="1">
        <v>608371.0</v>
      </c>
      <c r="D4396" s="1" t="s">
        <v>533</v>
      </c>
      <c r="E4396" s="1" t="s">
        <v>927</v>
      </c>
      <c r="F4396" s="1" t="s">
        <v>926</v>
      </c>
      <c r="G4396" s="1">
        <v>5.0</v>
      </c>
      <c r="H4396" s="1">
        <v>0.221027479</v>
      </c>
      <c r="I4396" s="1">
        <v>4.29</v>
      </c>
      <c r="J4396" s="1">
        <v>0.187806</v>
      </c>
    </row>
    <row r="4397">
      <c r="A4397" s="1">
        <v>2025.0</v>
      </c>
      <c r="B4397" s="1" t="s">
        <v>642</v>
      </c>
      <c r="C4397" s="1">
        <v>608371.0</v>
      </c>
      <c r="D4397" s="1" t="s">
        <v>539</v>
      </c>
      <c r="E4397" s="1" t="s">
        <v>927</v>
      </c>
      <c r="F4397" s="1" t="s">
        <v>926</v>
      </c>
      <c r="G4397" s="1">
        <v>37.0</v>
      </c>
      <c r="H4397" s="1">
        <v>1.635603345</v>
      </c>
      <c r="I4397" s="1">
        <v>4.56</v>
      </c>
      <c r="J4397" s="1">
        <v>1.091795</v>
      </c>
    </row>
    <row r="4398">
      <c r="A4398" s="1">
        <v>2025.0</v>
      </c>
      <c r="B4398" s="1" t="s">
        <v>642</v>
      </c>
      <c r="C4398" s="1">
        <v>608371.0</v>
      </c>
      <c r="D4398" s="1" t="s">
        <v>540</v>
      </c>
      <c r="E4398" s="1" t="s">
        <v>927</v>
      </c>
      <c r="F4398" s="1" t="s">
        <v>927</v>
      </c>
      <c r="G4398" s="1">
        <v>3.0</v>
      </c>
      <c r="H4398" s="1">
        <v>0.132616487</v>
      </c>
      <c r="I4398" s="1">
        <v>3.83</v>
      </c>
      <c r="J4398" s="1">
        <v>0.135364</v>
      </c>
    </row>
    <row r="4399">
      <c r="A4399" s="1">
        <v>2025.0</v>
      </c>
      <c r="B4399" s="1" t="s">
        <v>642</v>
      </c>
      <c r="C4399" s="1">
        <v>608371.0</v>
      </c>
      <c r="D4399" s="1" t="s">
        <v>537</v>
      </c>
      <c r="E4399" s="1" t="s">
        <v>927</v>
      </c>
      <c r="F4399" s="1" t="s">
        <v>927</v>
      </c>
      <c r="G4399" s="1">
        <v>82.0</v>
      </c>
      <c r="H4399" s="1">
        <v>3.624850657</v>
      </c>
      <c r="I4399" s="1">
        <v>4.61</v>
      </c>
      <c r="J4399" s="1">
        <v>2.488597</v>
      </c>
    </row>
    <row r="4400">
      <c r="A4400" s="1">
        <v>2025.0</v>
      </c>
      <c r="B4400" s="1" t="s">
        <v>642</v>
      </c>
      <c r="C4400" s="1">
        <v>608371.0</v>
      </c>
      <c r="D4400" s="1" t="s">
        <v>536</v>
      </c>
      <c r="E4400" s="1" t="s">
        <v>927</v>
      </c>
      <c r="F4400" s="1" t="s">
        <v>927</v>
      </c>
      <c r="G4400" s="1">
        <v>2.0</v>
      </c>
      <c r="H4400" s="1">
        <v>0.088410992</v>
      </c>
      <c r="I4400" s="1">
        <v>3.6</v>
      </c>
      <c r="J4400" s="1">
        <v>0.101078</v>
      </c>
    </row>
    <row r="4401">
      <c r="A4401" s="1">
        <v>2025.0</v>
      </c>
      <c r="B4401" s="1" t="s">
        <v>642</v>
      </c>
      <c r="C4401" s="1">
        <v>608371.0</v>
      </c>
      <c r="D4401" s="1" t="s">
        <v>533</v>
      </c>
      <c r="E4401" s="1" t="s">
        <v>927</v>
      </c>
      <c r="F4401" s="1" t="s">
        <v>927</v>
      </c>
      <c r="G4401" s="1">
        <v>4.0</v>
      </c>
      <c r="H4401" s="1">
        <v>0.176821983</v>
      </c>
      <c r="I4401" s="1">
        <v>3.04</v>
      </c>
      <c r="J4401" s="1">
        <v>0.253968</v>
      </c>
    </row>
    <row r="4402">
      <c r="A4402" s="1">
        <v>2025.0</v>
      </c>
      <c r="B4402" s="1" t="s">
        <v>642</v>
      </c>
      <c r="C4402" s="1">
        <v>608371.0</v>
      </c>
      <c r="D4402" s="1" t="s">
        <v>539</v>
      </c>
      <c r="E4402" s="1" t="s">
        <v>927</v>
      </c>
      <c r="F4402" s="1" t="s">
        <v>927</v>
      </c>
      <c r="G4402" s="1">
        <v>81.0</v>
      </c>
      <c r="H4402" s="1">
        <v>3.580645161</v>
      </c>
      <c r="I4402" s="1">
        <v>5.07</v>
      </c>
      <c r="J4402" s="1">
        <v>1.621896</v>
      </c>
    </row>
    <row r="4403">
      <c r="A4403" s="1">
        <v>2025.0</v>
      </c>
      <c r="B4403" s="1" t="s">
        <v>985</v>
      </c>
      <c r="C4403" s="1">
        <v>679883.0</v>
      </c>
      <c r="D4403" s="1" t="s">
        <v>532</v>
      </c>
      <c r="E4403" s="1" t="s">
        <v>927</v>
      </c>
      <c r="F4403" s="1" t="s">
        <v>926</v>
      </c>
      <c r="G4403" s="1">
        <v>5.0</v>
      </c>
      <c r="H4403" s="1">
        <v>0.330188679</v>
      </c>
      <c r="I4403" s="1">
        <v>3.91</v>
      </c>
      <c r="J4403" s="1">
        <v>0.226517</v>
      </c>
    </row>
    <row r="4404">
      <c r="A4404" s="1">
        <v>2025.0</v>
      </c>
      <c r="B4404" s="1" t="s">
        <v>985</v>
      </c>
      <c r="C4404" s="1">
        <v>679883.0</v>
      </c>
      <c r="D4404" s="1" t="s">
        <v>541</v>
      </c>
      <c r="E4404" s="1" t="s">
        <v>927</v>
      </c>
      <c r="F4404" s="1" t="s">
        <v>926</v>
      </c>
      <c r="G4404" s="1">
        <v>38.0</v>
      </c>
      <c r="H4404" s="1">
        <v>2.509433962</v>
      </c>
      <c r="I4404" s="1">
        <v>5.35</v>
      </c>
      <c r="J4404" s="1">
        <v>0.549716</v>
      </c>
    </row>
    <row r="4405">
      <c r="A4405" s="1">
        <v>2025.0</v>
      </c>
      <c r="B4405" s="1" t="s">
        <v>985</v>
      </c>
      <c r="C4405" s="1">
        <v>679883.0</v>
      </c>
      <c r="D4405" s="1" t="s">
        <v>537</v>
      </c>
      <c r="E4405" s="1" t="s">
        <v>927</v>
      </c>
      <c r="F4405" s="1" t="s">
        <v>926</v>
      </c>
      <c r="G4405" s="1">
        <v>42.0</v>
      </c>
      <c r="H4405" s="1">
        <v>2.773584906</v>
      </c>
      <c r="I4405" s="1">
        <v>5.12</v>
      </c>
      <c r="J4405" s="1">
        <v>0.850287</v>
      </c>
    </row>
    <row r="4406">
      <c r="A4406" s="1">
        <v>2025.0</v>
      </c>
      <c r="B4406" s="1" t="s">
        <v>985</v>
      </c>
      <c r="C4406" s="1">
        <v>679883.0</v>
      </c>
      <c r="D4406" s="1" t="s">
        <v>536</v>
      </c>
      <c r="E4406" s="1" t="s">
        <v>927</v>
      </c>
      <c r="F4406" s="1" t="s">
        <v>926</v>
      </c>
      <c r="G4406" s="1">
        <v>6.0</v>
      </c>
      <c r="H4406" s="1">
        <v>0.396226415</v>
      </c>
      <c r="I4406" s="1">
        <v>5.18</v>
      </c>
      <c r="J4406" s="1">
        <v>0.124273</v>
      </c>
    </row>
    <row r="4407">
      <c r="A4407" s="1">
        <v>2025.0</v>
      </c>
      <c r="B4407" s="1" t="s">
        <v>985</v>
      </c>
      <c r="C4407" s="1">
        <v>679883.0</v>
      </c>
      <c r="D4407" s="1" t="s">
        <v>541</v>
      </c>
      <c r="E4407" s="1" t="s">
        <v>927</v>
      </c>
      <c r="F4407" s="1" t="s">
        <v>927</v>
      </c>
      <c r="G4407" s="1">
        <v>57.0</v>
      </c>
      <c r="H4407" s="1">
        <v>3.764150943</v>
      </c>
      <c r="I4407" s="1">
        <v>4.82</v>
      </c>
      <c r="J4407" s="1">
        <v>1.423617</v>
      </c>
    </row>
    <row r="4408">
      <c r="A4408" s="1">
        <v>2025.0</v>
      </c>
      <c r="B4408" s="1" t="s">
        <v>985</v>
      </c>
      <c r="C4408" s="1">
        <v>679883.0</v>
      </c>
      <c r="D4408" s="1" t="s">
        <v>537</v>
      </c>
      <c r="E4408" s="1" t="s">
        <v>927</v>
      </c>
      <c r="F4408" s="1" t="s">
        <v>927</v>
      </c>
      <c r="G4408" s="1">
        <v>20.0</v>
      </c>
      <c r="H4408" s="1">
        <v>1.320754717</v>
      </c>
      <c r="I4408" s="1">
        <v>5.14</v>
      </c>
      <c r="J4408" s="1">
        <v>0.407592</v>
      </c>
    </row>
    <row r="4409">
      <c r="A4409" s="1">
        <v>2025.0</v>
      </c>
      <c r="B4409" s="1" t="s">
        <v>985</v>
      </c>
      <c r="C4409" s="1">
        <v>679883.0</v>
      </c>
      <c r="D4409" s="1" t="s">
        <v>536</v>
      </c>
      <c r="E4409" s="1" t="s">
        <v>927</v>
      </c>
      <c r="F4409" s="1" t="s">
        <v>927</v>
      </c>
      <c r="G4409" s="1">
        <v>44.0</v>
      </c>
      <c r="H4409" s="1">
        <v>2.905660377</v>
      </c>
      <c r="I4409" s="1">
        <v>4.73</v>
      </c>
      <c r="J4409" s="1">
        <v>1.275962</v>
      </c>
    </row>
    <row r="4410">
      <c r="A4410" s="1">
        <v>2025.0</v>
      </c>
      <c r="B4410" s="1" t="s">
        <v>272</v>
      </c>
      <c r="C4410" s="1">
        <v>622491.0</v>
      </c>
      <c r="D4410" s="1" t="s">
        <v>532</v>
      </c>
      <c r="E4410" s="1" t="s">
        <v>927</v>
      </c>
      <c r="F4410" s="1" t="s">
        <v>926</v>
      </c>
      <c r="G4410" s="1">
        <v>265.0</v>
      </c>
      <c r="H4410" s="1">
        <v>16.48645546</v>
      </c>
      <c r="I4410" s="1">
        <v>4.91</v>
      </c>
      <c r="J4410" s="1">
        <v>6.160723</v>
      </c>
    </row>
    <row r="4411">
      <c r="A4411" s="1">
        <v>2025.0</v>
      </c>
      <c r="B4411" s="1" t="s">
        <v>272</v>
      </c>
      <c r="C4411" s="1">
        <v>622491.0</v>
      </c>
      <c r="D4411" s="1" t="s">
        <v>537</v>
      </c>
      <c r="E4411" s="1" t="s">
        <v>927</v>
      </c>
      <c r="F4411" s="1" t="s">
        <v>926</v>
      </c>
      <c r="G4411" s="1">
        <v>742.0</v>
      </c>
      <c r="H4411" s="1">
        <v>46.1620753</v>
      </c>
      <c r="I4411" s="1">
        <v>4.76</v>
      </c>
      <c r="J4411" s="1">
        <v>20.186602</v>
      </c>
    </row>
    <row r="4412">
      <c r="A4412" s="1">
        <v>2025.0</v>
      </c>
      <c r="B4412" s="1" t="s">
        <v>272</v>
      </c>
      <c r="C4412" s="1">
        <v>622491.0</v>
      </c>
      <c r="D4412" s="1" t="s">
        <v>536</v>
      </c>
      <c r="E4412" s="1" t="s">
        <v>927</v>
      </c>
      <c r="F4412" s="1" t="s">
        <v>926</v>
      </c>
      <c r="G4412" s="1">
        <v>263.0</v>
      </c>
      <c r="H4412" s="1">
        <v>16.36202938</v>
      </c>
      <c r="I4412" s="1">
        <v>4.82</v>
      </c>
      <c r="J4412" s="1">
        <v>6.875976</v>
      </c>
    </row>
    <row r="4413">
      <c r="A4413" s="1">
        <v>2025.0</v>
      </c>
      <c r="B4413" s="1" t="s">
        <v>272</v>
      </c>
      <c r="C4413" s="1">
        <v>622491.0</v>
      </c>
      <c r="D4413" s="1" t="s">
        <v>533</v>
      </c>
      <c r="E4413" s="1" t="s">
        <v>927</v>
      </c>
      <c r="F4413" s="1" t="s">
        <v>926</v>
      </c>
      <c r="G4413" s="1">
        <v>259.0</v>
      </c>
      <c r="H4413" s="1">
        <v>16.11317723</v>
      </c>
      <c r="I4413" s="1">
        <v>5.0</v>
      </c>
      <c r="J4413" s="1">
        <v>5.69936</v>
      </c>
    </row>
    <row r="4414">
      <c r="A4414" s="1">
        <v>2025.0</v>
      </c>
      <c r="B4414" s="1" t="s">
        <v>272</v>
      </c>
      <c r="C4414" s="1">
        <v>622491.0</v>
      </c>
      <c r="D4414" s="1" t="s">
        <v>532</v>
      </c>
      <c r="E4414" s="1" t="s">
        <v>927</v>
      </c>
      <c r="F4414" s="1" t="s">
        <v>927</v>
      </c>
      <c r="G4414" s="1">
        <v>59.0</v>
      </c>
      <c r="H4414" s="1">
        <v>3.67056933</v>
      </c>
      <c r="I4414" s="1">
        <v>5.06</v>
      </c>
      <c r="J4414" s="1">
        <v>1.200585</v>
      </c>
    </row>
    <row r="4415">
      <c r="A4415" s="1">
        <v>2025.0</v>
      </c>
      <c r="B4415" s="1" t="s">
        <v>272</v>
      </c>
      <c r="C4415" s="1">
        <v>622491.0</v>
      </c>
      <c r="D4415" s="1" t="s">
        <v>537</v>
      </c>
      <c r="E4415" s="1" t="s">
        <v>927</v>
      </c>
      <c r="F4415" s="1" t="s">
        <v>927</v>
      </c>
      <c r="G4415" s="1">
        <v>606.0</v>
      </c>
      <c r="H4415" s="1">
        <v>37.70110193</v>
      </c>
      <c r="I4415" s="1">
        <v>5.16</v>
      </c>
      <c r="J4415" s="1">
        <v>11.67561</v>
      </c>
    </row>
    <row r="4416">
      <c r="A4416" s="1">
        <v>2025.0</v>
      </c>
      <c r="B4416" s="1" t="s">
        <v>272</v>
      </c>
      <c r="C4416" s="1">
        <v>622491.0</v>
      </c>
      <c r="D4416" s="1" t="s">
        <v>536</v>
      </c>
      <c r="E4416" s="1" t="s">
        <v>927</v>
      </c>
      <c r="F4416" s="1" t="s">
        <v>927</v>
      </c>
      <c r="G4416" s="1">
        <v>380.0</v>
      </c>
      <c r="H4416" s="1">
        <v>23.640955</v>
      </c>
      <c r="I4416" s="1">
        <v>5.39</v>
      </c>
      <c r="J4416" s="1">
        <v>5.535924</v>
      </c>
    </row>
    <row r="4417">
      <c r="A4417" s="1">
        <v>2025.0</v>
      </c>
      <c r="B4417" s="1" t="s">
        <v>272</v>
      </c>
      <c r="C4417" s="1">
        <v>622491.0</v>
      </c>
      <c r="D4417" s="1" t="s">
        <v>533</v>
      </c>
      <c r="E4417" s="1" t="s">
        <v>927</v>
      </c>
      <c r="F4417" s="1" t="s">
        <v>927</v>
      </c>
      <c r="G4417" s="1">
        <v>330.0</v>
      </c>
      <c r="H4417" s="1">
        <v>20.53030303</v>
      </c>
      <c r="I4417" s="1">
        <v>5.08</v>
      </c>
      <c r="J4417" s="1">
        <v>6.673345</v>
      </c>
    </row>
    <row r="4418">
      <c r="A4418" s="1">
        <v>2025.0</v>
      </c>
      <c r="B4418" s="1" t="s">
        <v>680</v>
      </c>
      <c r="C4418" s="1">
        <v>664351.0</v>
      </c>
      <c r="D4418" s="1" t="s">
        <v>532</v>
      </c>
      <c r="E4418" s="1" t="s">
        <v>927</v>
      </c>
      <c r="F4418" s="1" t="s">
        <v>926</v>
      </c>
      <c r="G4418" s="1">
        <v>33.0</v>
      </c>
      <c r="H4418" s="1">
        <v>1.767857143</v>
      </c>
      <c r="I4418" s="1">
        <v>3.94</v>
      </c>
      <c r="J4418" s="1">
        <v>1.411108</v>
      </c>
    </row>
    <row r="4419">
      <c r="A4419" s="1">
        <v>2025.0</v>
      </c>
      <c r="B4419" s="1" t="s">
        <v>680</v>
      </c>
      <c r="C4419" s="1">
        <v>664351.0</v>
      </c>
      <c r="D4419" s="1" t="s">
        <v>537</v>
      </c>
      <c r="E4419" s="1" t="s">
        <v>927</v>
      </c>
      <c r="F4419" s="1" t="s">
        <v>926</v>
      </c>
      <c r="G4419" s="1">
        <v>62.0</v>
      </c>
      <c r="H4419" s="1">
        <v>3.321428571</v>
      </c>
      <c r="I4419" s="1">
        <v>5.37</v>
      </c>
      <c r="J4419" s="1">
        <v>0.873266</v>
      </c>
    </row>
    <row r="4420">
      <c r="A4420" s="1">
        <v>2025.0</v>
      </c>
      <c r="B4420" s="1" t="s">
        <v>680</v>
      </c>
      <c r="C4420" s="1">
        <v>664351.0</v>
      </c>
      <c r="D4420" s="1" t="s">
        <v>533</v>
      </c>
      <c r="E4420" s="1" t="s">
        <v>927</v>
      </c>
      <c r="F4420" s="1" t="s">
        <v>926</v>
      </c>
      <c r="G4420" s="1">
        <v>10.0</v>
      </c>
      <c r="H4420" s="1">
        <v>0.535714286</v>
      </c>
      <c r="I4420" s="1">
        <v>4.37</v>
      </c>
      <c r="J4420" s="1">
        <v>0.348776</v>
      </c>
    </row>
    <row r="4421">
      <c r="A4421" s="1">
        <v>2025.0</v>
      </c>
      <c r="B4421" s="1" t="s">
        <v>680</v>
      </c>
      <c r="C4421" s="1">
        <v>664351.0</v>
      </c>
      <c r="D4421" s="1" t="s">
        <v>539</v>
      </c>
      <c r="E4421" s="1" t="s">
        <v>927</v>
      </c>
      <c r="F4421" s="1" t="s">
        <v>926</v>
      </c>
      <c r="G4421" s="1">
        <v>2.0</v>
      </c>
      <c r="H4421" s="1">
        <v>0.107142857</v>
      </c>
      <c r="I4421" s="1">
        <v>3.4</v>
      </c>
      <c r="J4421" s="1">
        <v>0.107267</v>
      </c>
    </row>
    <row r="4422">
      <c r="A4422" s="1">
        <v>2025.0</v>
      </c>
      <c r="B4422" s="1" t="s">
        <v>680</v>
      </c>
      <c r="C4422" s="1">
        <v>664351.0</v>
      </c>
      <c r="D4422" s="1" t="s">
        <v>532</v>
      </c>
      <c r="E4422" s="1" t="s">
        <v>927</v>
      </c>
      <c r="F4422" s="1" t="s">
        <v>927</v>
      </c>
      <c r="G4422" s="1">
        <v>4.0</v>
      </c>
      <c r="H4422" s="1">
        <v>0.214285714</v>
      </c>
      <c r="I4422" s="1">
        <v>4.45</v>
      </c>
      <c r="J4422" s="1">
        <v>0.122993</v>
      </c>
    </row>
    <row r="4423">
      <c r="A4423" s="1">
        <v>2025.0</v>
      </c>
      <c r="B4423" s="1" t="s">
        <v>680</v>
      </c>
      <c r="C4423" s="1">
        <v>664351.0</v>
      </c>
      <c r="D4423" s="1" t="s">
        <v>537</v>
      </c>
      <c r="E4423" s="1" t="s">
        <v>927</v>
      </c>
      <c r="F4423" s="1" t="s">
        <v>927</v>
      </c>
      <c r="G4423" s="1">
        <v>51.0</v>
      </c>
      <c r="H4423" s="1">
        <v>2.732142857</v>
      </c>
      <c r="I4423" s="1">
        <v>5.42</v>
      </c>
      <c r="J4423" s="1">
        <v>0.685295</v>
      </c>
    </row>
    <row r="4424">
      <c r="A4424" s="1">
        <v>2025.0</v>
      </c>
      <c r="B4424" s="1" t="s">
        <v>680</v>
      </c>
      <c r="C4424" s="1">
        <v>664351.0</v>
      </c>
      <c r="D4424" s="1" t="s">
        <v>536</v>
      </c>
      <c r="E4424" s="1" t="s">
        <v>927</v>
      </c>
      <c r="F4424" s="1" t="s">
        <v>927</v>
      </c>
      <c r="G4424" s="1">
        <v>3.0</v>
      </c>
      <c r="H4424" s="1">
        <v>0.160714286</v>
      </c>
      <c r="I4424" s="1">
        <v>4.04</v>
      </c>
      <c r="J4424" s="1">
        <v>0.125359</v>
      </c>
    </row>
    <row r="4425">
      <c r="A4425" s="1">
        <v>2025.0</v>
      </c>
      <c r="B4425" s="1" t="s">
        <v>680</v>
      </c>
      <c r="C4425" s="1">
        <v>664351.0</v>
      </c>
      <c r="D4425" s="1" t="s">
        <v>533</v>
      </c>
      <c r="E4425" s="1" t="s">
        <v>927</v>
      </c>
      <c r="F4425" s="1" t="s">
        <v>927</v>
      </c>
      <c r="G4425" s="1">
        <v>35.0</v>
      </c>
      <c r="H4425" s="1">
        <v>1.875</v>
      </c>
      <c r="I4425" s="1">
        <v>4.59</v>
      </c>
      <c r="J4425" s="1">
        <v>1.050718</v>
      </c>
    </row>
    <row r="4426">
      <c r="A4426" s="1">
        <v>2025.0</v>
      </c>
      <c r="B4426" s="1" t="s">
        <v>680</v>
      </c>
      <c r="C4426" s="1">
        <v>664351.0</v>
      </c>
      <c r="D4426" s="1" t="s">
        <v>539</v>
      </c>
      <c r="E4426" s="1" t="s">
        <v>927</v>
      </c>
      <c r="F4426" s="1" t="s">
        <v>927</v>
      </c>
      <c r="G4426" s="1">
        <v>24.0</v>
      </c>
      <c r="H4426" s="1">
        <v>1.285714286</v>
      </c>
      <c r="I4426" s="1">
        <v>3.91</v>
      </c>
      <c r="J4426" s="1">
        <v>1.04302</v>
      </c>
    </row>
    <row r="4427">
      <c r="A4427" s="1">
        <v>2025.0</v>
      </c>
      <c r="B4427" s="1" t="s">
        <v>986</v>
      </c>
      <c r="C4427" s="1">
        <v>681168.0</v>
      </c>
      <c r="D4427" s="1" t="s">
        <v>532</v>
      </c>
      <c r="E4427" s="1" t="s">
        <v>927</v>
      </c>
      <c r="F4427" s="1" t="s">
        <v>926</v>
      </c>
      <c r="G4427" s="1">
        <v>18.0</v>
      </c>
      <c r="H4427" s="1">
        <v>1.052307692</v>
      </c>
      <c r="I4427" s="1">
        <v>4.27</v>
      </c>
      <c r="J4427" s="1">
        <v>0.672014</v>
      </c>
    </row>
    <row r="4428">
      <c r="A4428" s="1">
        <v>2025.0</v>
      </c>
      <c r="B4428" s="1" t="s">
        <v>986</v>
      </c>
      <c r="C4428" s="1">
        <v>681168.0</v>
      </c>
      <c r="D4428" s="1" t="s">
        <v>537</v>
      </c>
      <c r="E4428" s="1" t="s">
        <v>927</v>
      </c>
      <c r="F4428" s="1" t="s">
        <v>926</v>
      </c>
      <c r="G4428" s="1">
        <v>68.0</v>
      </c>
      <c r="H4428" s="1">
        <v>3.975384615</v>
      </c>
      <c r="I4428" s="1">
        <v>4.57</v>
      </c>
      <c r="J4428" s="1">
        <v>2.104431</v>
      </c>
    </row>
    <row r="4429">
      <c r="A4429" s="1">
        <v>2025.0</v>
      </c>
      <c r="B4429" s="1" t="s">
        <v>986</v>
      </c>
      <c r="C4429" s="1">
        <v>681168.0</v>
      </c>
      <c r="D4429" s="1" t="s">
        <v>536</v>
      </c>
      <c r="E4429" s="1" t="s">
        <v>927</v>
      </c>
      <c r="F4429" s="1" t="s">
        <v>926</v>
      </c>
      <c r="G4429" s="1">
        <v>14.0</v>
      </c>
      <c r="H4429" s="1">
        <v>0.818461538</v>
      </c>
      <c r="I4429" s="1">
        <v>4.82</v>
      </c>
      <c r="J4429" s="1">
        <v>0.361166</v>
      </c>
    </row>
    <row r="4430">
      <c r="A4430" s="1">
        <v>2025.0</v>
      </c>
      <c r="B4430" s="1" t="s">
        <v>986</v>
      </c>
      <c r="C4430" s="1">
        <v>681168.0</v>
      </c>
      <c r="D4430" s="1" t="s">
        <v>533</v>
      </c>
      <c r="E4430" s="1" t="s">
        <v>927</v>
      </c>
      <c r="F4430" s="1" t="s">
        <v>926</v>
      </c>
      <c r="G4430" s="1">
        <v>53.0</v>
      </c>
      <c r="H4430" s="1">
        <v>3.098461538</v>
      </c>
      <c r="I4430" s="1">
        <v>5.04</v>
      </c>
      <c r="J4430" s="1">
        <v>1.10008</v>
      </c>
    </row>
    <row r="4431">
      <c r="A4431" s="1">
        <v>2025.0</v>
      </c>
      <c r="B4431" s="1" t="s">
        <v>986</v>
      </c>
      <c r="C4431" s="1">
        <v>681168.0</v>
      </c>
      <c r="D4431" s="1" t="s">
        <v>537</v>
      </c>
      <c r="E4431" s="1" t="s">
        <v>927</v>
      </c>
      <c r="F4431" s="1" t="s">
        <v>927</v>
      </c>
      <c r="G4431" s="1">
        <v>19.0</v>
      </c>
      <c r="H4431" s="1">
        <v>1.110769231</v>
      </c>
      <c r="I4431" s="1">
        <v>5.38</v>
      </c>
      <c r="J4431" s="1">
        <v>0.233345</v>
      </c>
    </row>
    <row r="4432">
      <c r="A4432" s="1">
        <v>2025.0</v>
      </c>
      <c r="B4432" s="1" t="s">
        <v>986</v>
      </c>
      <c r="C4432" s="1">
        <v>681168.0</v>
      </c>
      <c r="D4432" s="1" t="s">
        <v>536</v>
      </c>
      <c r="E4432" s="1" t="s">
        <v>927</v>
      </c>
      <c r="F4432" s="1" t="s">
        <v>927</v>
      </c>
      <c r="G4432" s="1">
        <v>75.0</v>
      </c>
      <c r="H4432" s="1">
        <v>4.384615385</v>
      </c>
      <c r="I4432" s="1">
        <v>5.12</v>
      </c>
      <c r="J4432" s="1">
        <v>1.480324</v>
      </c>
    </row>
    <row r="4433">
      <c r="A4433" s="1">
        <v>2025.0</v>
      </c>
      <c r="B4433" s="1" t="s">
        <v>986</v>
      </c>
      <c r="C4433" s="1">
        <v>681168.0</v>
      </c>
      <c r="D4433" s="1" t="s">
        <v>533</v>
      </c>
      <c r="E4433" s="1" t="s">
        <v>927</v>
      </c>
      <c r="F4433" s="1" t="s">
        <v>927</v>
      </c>
      <c r="G4433" s="1">
        <v>78.0</v>
      </c>
      <c r="H4433" s="1">
        <v>4.56</v>
      </c>
      <c r="I4433" s="1">
        <v>4.66</v>
      </c>
      <c r="J4433" s="1">
        <v>2.263635</v>
      </c>
    </row>
    <row r="4434">
      <c r="A4434" s="1">
        <v>2025.0</v>
      </c>
      <c r="B4434" s="1" t="s">
        <v>615</v>
      </c>
      <c r="C4434" s="1">
        <v>622379.0</v>
      </c>
      <c r="D4434" s="1" t="s">
        <v>532</v>
      </c>
      <c r="E4434" s="1" t="s">
        <v>927</v>
      </c>
      <c r="F4434" s="1" t="s">
        <v>926</v>
      </c>
      <c r="G4434" s="1">
        <v>15.0</v>
      </c>
      <c r="H4434" s="1">
        <v>0.625</v>
      </c>
      <c r="I4434" s="1">
        <v>4.99</v>
      </c>
      <c r="J4434" s="1">
        <v>0.326253</v>
      </c>
    </row>
    <row r="4435">
      <c r="A4435" s="1">
        <v>2025.0</v>
      </c>
      <c r="B4435" s="1" t="s">
        <v>615</v>
      </c>
      <c r="C4435" s="1">
        <v>622379.0</v>
      </c>
      <c r="D4435" s="1" t="s">
        <v>537</v>
      </c>
      <c r="E4435" s="1" t="s">
        <v>927</v>
      </c>
      <c r="F4435" s="1" t="s">
        <v>926</v>
      </c>
      <c r="G4435" s="1">
        <v>24.0</v>
      </c>
      <c r="H4435" s="1">
        <v>1.0</v>
      </c>
      <c r="I4435" s="1">
        <v>4.91</v>
      </c>
      <c r="J4435" s="1">
        <v>0.598503</v>
      </c>
    </row>
    <row r="4436">
      <c r="A4436" s="1">
        <v>2025.0</v>
      </c>
      <c r="B4436" s="1" t="s">
        <v>615</v>
      </c>
      <c r="C4436" s="1">
        <v>622379.0</v>
      </c>
      <c r="D4436" s="1" t="s">
        <v>536</v>
      </c>
      <c r="E4436" s="1" t="s">
        <v>927</v>
      </c>
      <c r="F4436" s="1" t="s">
        <v>926</v>
      </c>
      <c r="G4436" s="1">
        <v>2.0</v>
      </c>
      <c r="H4436" s="1">
        <v>0.083333333</v>
      </c>
      <c r="I4436" s="1">
        <v>6.03</v>
      </c>
      <c r="J4436" s="1">
        <v>0.003309</v>
      </c>
    </row>
    <row r="4437">
      <c r="A4437" s="1">
        <v>2025.0</v>
      </c>
      <c r="B4437" s="1" t="s">
        <v>615</v>
      </c>
      <c r="C4437" s="1">
        <v>622379.0</v>
      </c>
      <c r="D4437" s="1" t="s">
        <v>533</v>
      </c>
      <c r="E4437" s="1" t="s">
        <v>927</v>
      </c>
      <c r="F4437" s="1" t="s">
        <v>926</v>
      </c>
      <c r="G4437" s="1">
        <v>8.0</v>
      </c>
      <c r="H4437" s="1">
        <v>0.333333333</v>
      </c>
      <c r="I4437" s="1">
        <v>5.18</v>
      </c>
      <c r="J4437" s="1">
        <v>0.145469</v>
      </c>
    </row>
    <row r="4438">
      <c r="A4438" s="1">
        <v>2025.0</v>
      </c>
      <c r="B4438" s="1" t="s">
        <v>615</v>
      </c>
      <c r="C4438" s="1">
        <v>622379.0</v>
      </c>
      <c r="D4438" s="1" t="s">
        <v>532</v>
      </c>
      <c r="E4438" s="1" t="s">
        <v>927</v>
      </c>
      <c r="F4438" s="1" t="s">
        <v>927</v>
      </c>
      <c r="G4438" s="1">
        <v>7.0</v>
      </c>
      <c r="H4438" s="1">
        <v>0.291666667</v>
      </c>
      <c r="I4438" s="1">
        <v>4.91</v>
      </c>
      <c r="J4438" s="1">
        <v>0.148407</v>
      </c>
    </row>
    <row r="4439">
      <c r="A4439" s="1">
        <v>2025.0</v>
      </c>
      <c r="B4439" s="1" t="s">
        <v>615</v>
      </c>
      <c r="C4439" s="1">
        <v>622379.0</v>
      </c>
      <c r="D4439" s="1" t="s">
        <v>537</v>
      </c>
      <c r="E4439" s="1" t="s">
        <v>927</v>
      </c>
      <c r="F4439" s="1" t="s">
        <v>927</v>
      </c>
      <c r="G4439" s="1">
        <v>53.0</v>
      </c>
      <c r="H4439" s="1">
        <v>2.208333333</v>
      </c>
      <c r="I4439" s="1">
        <v>4.25</v>
      </c>
      <c r="J4439" s="1">
        <v>1.985964</v>
      </c>
    </row>
    <row r="4440">
      <c r="A4440" s="1">
        <v>2025.0</v>
      </c>
      <c r="B4440" s="1" t="s">
        <v>615</v>
      </c>
      <c r="C4440" s="1">
        <v>622379.0</v>
      </c>
      <c r="D4440" s="1" t="s">
        <v>536</v>
      </c>
      <c r="E4440" s="1" t="s">
        <v>927</v>
      </c>
      <c r="F4440" s="1" t="s">
        <v>927</v>
      </c>
      <c r="G4440" s="1">
        <v>25.0</v>
      </c>
      <c r="H4440" s="1">
        <v>1.041666667</v>
      </c>
      <c r="I4440" s="1">
        <v>4.71</v>
      </c>
      <c r="J4440" s="1">
        <v>0.715593</v>
      </c>
    </row>
    <row r="4441">
      <c r="A4441" s="1">
        <v>2025.0</v>
      </c>
      <c r="B4441" s="1" t="s">
        <v>615</v>
      </c>
      <c r="C4441" s="1">
        <v>622379.0</v>
      </c>
      <c r="D4441" s="1" t="s">
        <v>533</v>
      </c>
      <c r="E4441" s="1" t="s">
        <v>927</v>
      </c>
      <c r="F4441" s="1" t="s">
        <v>927</v>
      </c>
      <c r="G4441" s="1">
        <v>34.0</v>
      </c>
      <c r="H4441" s="1">
        <v>1.416666667</v>
      </c>
      <c r="I4441" s="1">
        <v>4.88</v>
      </c>
      <c r="J4441" s="1">
        <v>0.795357</v>
      </c>
    </row>
    <row r="4442">
      <c r="A4442" s="1">
        <v>2025.0</v>
      </c>
      <c r="B4442" s="1" t="s">
        <v>595</v>
      </c>
      <c r="C4442" s="1">
        <v>677651.0</v>
      </c>
      <c r="D4442" s="1" t="s">
        <v>532</v>
      </c>
      <c r="E4442" s="1" t="s">
        <v>927</v>
      </c>
      <c r="F4442" s="1" t="s">
        <v>926</v>
      </c>
      <c r="G4442" s="1">
        <v>4.0</v>
      </c>
      <c r="H4442" s="1">
        <v>0.289308176</v>
      </c>
      <c r="I4442" s="1">
        <v>6.39</v>
      </c>
      <c r="J4442" s="1">
        <v>-0.020179</v>
      </c>
    </row>
    <row r="4443">
      <c r="A4443" s="1">
        <v>2025.0</v>
      </c>
      <c r="B4443" s="1" t="s">
        <v>595</v>
      </c>
      <c r="C4443" s="1">
        <v>677651.0</v>
      </c>
      <c r="D4443" s="1" t="s">
        <v>541</v>
      </c>
      <c r="E4443" s="1" t="s">
        <v>927</v>
      </c>
      <c r="F4443" s="1" t="s">
        <v>926</v>
      </c>
      <c r="G4443" s="1">
        <v>10.0</v>
      </c>
      <c r="H4443" s="1">
        <v>0.72327044</v>
      </c>
      <c r="I4443" s="1">
        <v>4.18</v>
      </c>
      <c r="J4443" s="1">
        <v>0.399452</v>
      </c>
    </row>
    <row r="4444">
      <c r="A4444" s="1">
        <v>2025.0</v>
      </c>
      <c r="B4444" s="1" t="s">
        <v>595</v>
      </c>
      <c r="C4444" s="1">
        <v>677651.0</v>
      </c>
      <c r="D4444" s="1" t="s">
        <v>540</v>
      </c>
      <c r="E4444" s="1" t="s">
        <v>927</v>
      </c>
      <c r="F4444" s="1" t="s">
        <v>926</v>
      </c>
      <c r="G4444" s="1">
        <v>5.0</v>
      </c>
      <c r="H4444" s="1">
        <v>0.36163522</v>
      </c>
      <c r="I4444" s="1">
        <v>5.41</v>
      </c>
      <c r="J4444" s="1">
        <v>0.077145</v>
      </c>
    </row>
    <row r="4445">
      <c r="A4445" s="1">
        <v>2025.0</v>
      </c>
      <c r="B4445" s="1" t="s">
        <v>595</v>
      </c>
      <c r="C4445" s="1">
        <v>677651.0</v>
      </c>
      <c r="D4445" s="1" t="s">
        <v>537</v>
      </c>
      <c r="E4445" s="1" t="s">
        <v>927</v>
      </c>
      <c r="F4445" s="1" t="s">
        <v>926</v>
      </c>
      <c r="G4445" s="1">
        <v>9.0</v>
      </c>
      <c r="H4445" s="1">
        <v>0.650943396</v>
      </c>
      <c r="I4445" s="1">
        <v>4.72</v>
      </c>
      <c r="J4445" s="1">
        <v>0.247802</v>
      </c>
    </row>
    <row r="4446">
      <c r="A4446" s="1">
        <v>2025.0</v>
      </c>
      <c r="B4446" s="1" t="s">
        <v>595</v>
      </c>
      <c r="C4446" s="1">
        <v>677651.0</v>
      </c>
      <c r="D4446" s="1" t="s">
        <v>539</v>
      </c>
      <c r="E4446" s="1" t="s">
        <v>927</v>
      </c>
      <c r="F4446" s="1" t="s">
        <v>926</v>
      </c>
      <c r="G4446" s="1">
        <v>2.0</v>
      </c>
      <c r="H4446" s="1">
        <v>0.144654088</v>
      </c>
      <c r="I4446" s="1">
        <v>4.78</v>
      </c>
      <c r="J4446" s="1">
        <v>0.053052</v>
      </c>
    </row>
    <row r="4447">
      <c r="A4447" s="1">
        <v>2025.0</v>
      </c>
      <c r="B4447" s="1" t="s">
        <v>595</v>
      </c>
      <c r="C4447" s="1">
        <v>677651.0</v>
      </c>
      <c r="D4447" s="1" t="s">
        <v>532</v>
      </c>
      <c r="E4447" s="1" t="s">
        <v>927</v>
      </c>
      <c r="F4447" s="1" t="s">
        <v>927</v>
      </c>
      <c r="G4447" s="1">
        <v>1.0</v>
      </c>
      <c r="H4447" s="1">
        <v>0.072327044</v>
      </c>
      <c r="I4447" s="1">
        <v>5.27</v>
      </c>
      <c r="J4447" s="1">
        <v>0.011607</v>
      </c>
    </row>
    <row r="4448">
      <c r="A4448" s="1">
        <v>2025.0</v>
      </c>
      <c r="B4448" s="1" t="s">
        <v>595</v>
      </c>
      <c r="C4448" s="1">
        <v>677651.0</v>
      </c>
      <c r="D4448" s="1" t="s">
        <v>541</v>
      </c>
      <c r="E4448" s="1" t="s">
        <v>927</v>
      </c>
      <c r="F4448" s="1" t="s">
        <v>927</v>
      </c>
      <c r="G4448" s="1">
        <v>3.0</v>
      </c>
      <c r="H4448" s="1">
        <v>0.216981132</v>
      </c>
      <c r="I4448" s="1">
        <v>5.42</v>
      </c>
      <c r="J4448" s="1">
        <v>0.044448</v>
      </c>
    </row>
    <row r="4449">
      <c r="A4449" s="1">
        <v>2025.0</v>
      </c>
      <c r="B4449" s="1" t="s">
        <v>595</v>
      </c>
      <c r="C4449" s="1">
        <v>677651.0</v>
      </c>
      <c r="D4449" s="1" t="s">
        <v>540</v>
      </c>
      <c r="E4449" s="1" t="s">
        <v>927</v>
      </c>
      <c r="F4449" s="1" t="s">
        <v>927</v>
      </c>
      <c r="G4449" s="1">
        <v>22.0</v>
      </c>
      <c r="H4449" s="1">
        <v>1.591194969</v>
      </c>
      <c r="I4449" s="1">
        <v>4.48</v>
      </c>
      <c r="J4449" s="1">
        <v>0.714494</v>
      </c>
    </row>
    <row r="4450">
      <c r="A4450" s="1">
        <v>2025.0</v>
      </c>
      <c r="B4450" s="1" t="s">
        <v>595</v>
      </c>
      <c r="C4450" s="1">
        <v>677651.0</v>
      </c>
      <c r="D4450" s="1" t="s">
        <v>537</v>
      </c>
      <c r="E4450" s="1" t="s">
        <v>927</v>
      </c>
      <c r="F4450" s="1" t="s">
        <v>927</v>
      </c>
      <c r="G4450" s="1">
        <v>43.0</v>
      </c>
      <c r="H4450" s="1">
        <v>3.110062893</v>
      </c>
      <c r="I4450" s="1">
        <v>5.26</v>
      </c>
      <c r="J4450" s="1">
        <v>0.776406</v>
      </c>
    </row>
    <row r="4451">
      <c r="A4451" s="1">
        <v>2025.0</v>
      </c>
      <c r="B4451" s="1" t="s">
        <v>595</v>
      </c>
      <c r="C4451" s="1">
        <v>677651.0</v>
      </c>
      <c r="D4451" s="1" t="s">
        <v>539</v>
      </c>
      <c r="E4451" s="1" t="s">
        <v>927</v>
      </c>
      <c r="F4451" s="1" t="s">
        <v>927</v>
      </c>
      <c r="G4451" s="1">
        <v>7.0</v>
      </c>
      <c r="H4451" s="1">
        <v>0.506289308</v>
      </c>
      <c r="I4451" s="1">
        <v>5.52</v>
      </c>
      <c r="J4451" s="1">
        <v>0.08725</v>
      </c>
    </row>
    <row r="4452">
      <c r="A4452" s="1">
        <v>2025.0</v>
      </c>
      <c r="B4452" s="1" t="s">
        <v>248</v>
      </c>
      <c r="C4452" s="1">
        <v>472610.0</v>
      </c>
      <c r="D4452" s="1" t="s">
        <v>540</v>
      </c>
      <c r="E4452" s="1" t="s">
        <v>927</v>
      </c>
      <c r="F4452" s="1" t="s">
        <v>926</v>
      </c>
      <c r="G4452" s="1">
        <v>1.0</v>
      </c>
      <c r="H4452" s="1">
        <v>0.061755952</v>
      </c>
      <c r="I4452" s="1">
        <v>4.85</v>
      </c>
      <c r="J4452" s="1">
        <v>0.026314</v>
      </c>
    </row>
    <row r="4453">
      <c r="A4453" s="1">
        <v>2025.0</v>
      </c>
      <c r="B4453" s="1" t="s">
        <v>248</v>
      </c>
      <c r="C4453" s="1">
        <v>472610.0</v>
      </c>
      <c r="D4453" s="1" t="s">
        <v>537</v>
      </c>
      <c r="E4453" s="1" t="s">
        <v>927</v>
      </c>
      <c r="F4453" s="1" t="s">
        <v>926</v>
      </c>
      <c r="G4453" s="1">
        <v>10.0</v>
      </c>
      <c r="H4453" s="1">
        <v>0.617559524</v>
      </c>
      <c r="I4453" s="1">
        <v>4.17</v>
      </c>
      <c r="J4453" s="1">
        <v>0.392089</v>
      </c>
    </row>
    <row r="4454">
      <c r="A4454" s="1">
        <v>2025.0</v>
      </c>
      <c r="B4454" s="1" t="s">
        <v>248</v>
      </c>
      <c r="C4454" s="1">
        <v>472610.0</v>
      </c>
      <c r="D4454" s="1" t="s">
        <v>538</v>
      </c>
      <c r="E4454" s="1" t="s">
        <v>927</v>
      </c>
      <c r="F4454" s="1" t="s">
        <v>926</v>
      </c>
      <c r="G4454" s="1">
        <v>184.0</v>
      </c>
      <c r="H4454" s="1">
        <v>11.36309524</v>
      </c>
      <c r="I4454" s="1">
        <v>4.98</v>
      </c>
      <c r="J4454" s="1">
        <v>3.99611</v>
      </c>
    </row>
    <row r="4455">
      <c r="A4455" s="1">
        <v>2025.0</v>
      </c>
      <c r="B4455" s="1" t="s">
        <v>248</v>
      </c>
      <c r="C4455" s="1">
        <v>472610.0</v>
      </c>
      <c r="D4455" s="1" t="s">
        <v>536</v>
      </c>
      <c r="E4455" s="1" t="s">
        <v>927</v>
      </c>
      <c r="F4455" s="1" t="s">
        <v>926</v>
      </c>
      <c r="G4455" s="1">
        <v>141.0</v>
      </c>
      <c r="H4455" s="1">
        <v>8.707589286</v>
      </c>
      <c r="I4455" s="1">
        <v>4.64</v>
      </c>
      <c r="J4455" s="1">
        <v>4.205413</v>
      </c>
    </row>
    <row r="4456">
      <c r="A4456" s="1">
        <v>2025.0</v>
      </c>
      <c r="B4456" s="1" t="s">
        <v>248</v>
      </c>
      <c r="C4456" s="1">
        <v>472610.0</v>
      </c>
      <c r="D4456" s="1" t="s">
        <v>533</v>
      </c>
      <c r="E4456" s="1" t="s">
        <v>927</v>
      </c>
      <c r="F4456" s="1" t="s">
        <v>926</v>
      </c>
      <c r="G4456" s="1">
        <v>9.0</v>
      </c>
      <c r="H4456" s="1">
        <v>0.555803571</v>
      </c>
      <c r="I4456" s="1">
        <v>5.23</v>
      </c>
      <c r="J4456" s="1">
        <v>0.160431</v>
      </c>
    </row>
    <row r="4457">
      <c r="A4457" s="1">
        <v>2025.0</v>
      </c>
      <c r="B4457" s="1" t="s">
        <v>248</v>
      </c>
      <c r="C4457" s="1">
        <v>472610.0</v>
      </c>
      <c r="D4457" s="1" t="s">
        <v>539</v>
      </c>
      <c r="E4457" s="1" t="s">
        <v>927</v>
      </c>
      <c r="F4457" s="1" t="s">
        <v>926</v>
      </c>
      <c r="G4457" s="1">
        <v>44.0</v>
      </c>
      <c r="H4457" s="1">
        <v>2.717261905</v>
      </c>
      <c r="I4457" s="1">
        <v>5.29</v>
      </c>
      <c r="J4457" s="1">
        <v>0.665029</v>
      </c>
    </row>
    <row r="4458">
      <c r="A4458" s="1">
        <v>2025.0</v>
      </c>
      <c r="B4458" s="1" t="s">
        <v>248</v>
      </c>
      <c r="C4458" s="1">
        <v>472610.0</v>
      </c>
      <c r="D4458" s="1" t="s">
        <v>537</v>
      </c>
      <c r="E4458" s="1" t="s">
        <v>927</v>
      </c>
      <c r="F4458" s="1" t="s">
        <v>927</v>
      </c>
      <c r="G4458" s="1">
        <v>3.0</v>
      </c>
      <c r="H4458" s="1">
        <v>0.185267857</v>
      </c>
      <c r="I4458" s="1">
        <v>4.45</v>
      </c>
      <c r="J4458" s="1">
        <v>0.107271</v>
      </c>
    </row>
    <row r="4459">
      <c r="A4459" s="1">
        <v>2025.0</v>
      </c>
      <c r="B4459" s="1" t="s">
        <v>248</v>
      </c>
      <c r="C4459" s="1">
        <v>472610.0</v>
      </c>
      <c r="D4459" s="1" t="s">
        <v>538</v>
      </c>
      <c r="E4459" s="1" t="s">
        <v>927</v>
      </c>
      <c r="F4459" s="1" t="s">
        <v>927</v>
      </c>
      <c r="G4459" s="1">
        <v>15.0</v>
      </c>
      <c r="H4459" s="1">
        <v>0.926339286</v>
      </c>
      <c r="I4459" s="1">
        <v>5.0</v>
      </c>
      <c r="J4459" s="1">
        <v>0.286898</v>
      </c>
    </row>
    <row r="4460">
      <c r="A4460" s="1">
        <v>2025.0</v>
      </c>
      <c r="B4460" s="1" t="s">
        <v>248</v>
      </c>
      <c r="C4460" s="1">
        <v>472610.0</v>
      </c>
      <c r="D4460" s="1" t="s">
        <v>536</v>
      </c>
      <c r="E4460" s="1" t="s">
        <v>927</v>
      </c>
      <c r="F4460" s="1" t="s">
        <v>927</v>
      </c>
      <c r="G4460" s="1">
        <v>240.0</v>
      </c>
      <c r="H4460" s="1">
        <v>14.82142857</v>
      </c>
      <c r="I4460" s="1">
        <v>5.49</v>
      </c>
      <c r="J4460" s="1">
        <v>3.043714</v>
      </c>
    </row>
    <row r="4461">
      <c r="A4461" s="1">
        <v>2025.0</v>
      </c>
      <c r="B4461" s="1" t="s">
        <v>248</v>
      </c>
      <c r="C4461" s="1">
        <v>472610.0</v>
      </c>
      <c r="D4461" s="1" t="s">
        <v>533</v>
      </c>
      <c r="E4461" s="1" t="s">
        <v>927</v>
      </c>
      <c r="F4461" s="1" t="s">
        <v>927</v>
      </c>
      <c r="G4461" s="1">
        <v>33.0</v>
      </c>
      <c r="H4461" s="1">
        <v>2.037946429</v>
      </c>
      <c r="I4461" s="1">
        <v>3.98</v>
      </c>
      <c r="J4461" s="1">
        <v>1.388453</v>
      </c>
    </row>
    <row r="4462">
      <c r="A4462" s="1">
        <v>2025.0</v>
      </c>
      <c r="B4462" s="1" t="s">
        <v>248</v>
      </c>
      <c r="C4462" s="1">
        <v>472610.0</v>
      </c>
      <c r="D4462" s="1" t="s">
        <v>539</v>
      </c>
      <c r="E4462" s="1" t="s">
        <v>927</v>
      </c>
      <c r="F4462" s="1" t="s">
        <v>927</v>
      </c>
      <c r="G4462" s="1">
        <v>216.0</v>
      </c>
      <c r="H4462" s="1">
        <v>13.33928571</v>
      </c>
      <c r="I4462" s="1">
        <v>4.99</v>
      </c>
      <c r="J4462" s="1">
        <v>4.74718</v>
      </c>
    </row>
    <row r="4463">
      <c r="A4463" s="1">
        <v>2025.0</v>
      </c>
      <c r="B4463" s="1" t="s">
        <v>380</v>
      </c>
      <c r="C4463" s="1">
        <v>661563.0</v>
      </c>
      <c r="D4463" s="1" t="s">
        <v>532</v>
      </c>
      <c r="E4463" s="1" t="s">
        <v>927</v>
      </c>
      <c r="F4463" s="1" t="s">
        <v>926</v>
      </c>
      <c r="G4463" s="1">
        <v>120.0</v>
      </c>
      <c r="H4463" s="1">
        <v>7.051546392</v>
      </c>
      <c r="I4463" s="1">
        <v>4.62</v>
      </c>
      <c r="J4463" s="1">
        <v>3.745365</v>
      </c>
    </row>
    <row r="4464">
      <c r="A4464" s="1">
        <v>2025.0</v>
      </c>
      <c r="B4464" s="1" t="s">
        <v>380</v>
      </c>
      <c r="C4464" s="1">
        <v>661563.0</v>
      </c>
      <c r="D4464" s="1" t="s">
        <v>537</v>
      </c>
      <c r="E4464" s="1" t="s">
        <v>927</v>
      </c>
      <c r="F4464" s="1" t="s">
        <v>926</v>
      </c>
      <c r="G4464" s="1">
        <v>293.0</v>
      </c>
      <c r="H4464" s="1">
        <v>17.21752577</v>
      </c>
      <c r="I4464" s="1">
        <v>5.06</v>
      </c>
      <c r="J4464" s="1">
        <v>6.453295</v>
      </c>
    </row>
    <row r="4465">
      <c r="A4465" s="1">
        <v>2025.0</v>
      </c>
      <c r="B4465" s="1" t="s">
        <v>380</v>
      </c>
      <c r="C4465" s="1">
        <v>661563.0</v>
      </c>
      <c r="D4465" s="1" t="s">
        <v>533</v>
      </c>
      <c r="E4465" s="1" t="s">
        <v>927</v>
      </c>
      <c r="F4465" s="1" t="s">
        <v>926</v>
      </c>
      <c r="G4465" s="1">
        <v>108.0</v>
      </c>
      <c r="H4465" s="1">
        <v>6.346391753</v>
      </c>
      <c r="I4465" s="1">
        <v>4.63</v>
      </c>
      <c r="J4465" s="1">
        <v>3.303968</v>
      </c>
    </row>
    <row r="4466">
      <c r="A4466" s="1">
        <v>2025.0</v>
      </c>
      <c r="B4466" s="1" t="s">
        <v>380</v>
      </c>
      <c r="C4466" s="1">
        <v>661563.0</v>
      </c>
      <c r="D4466" s="1" t="s">
        <v>532</v>
      </c>
      <c r="E4466" s="1" t="s">
        <v>927</v>
      </c>
      <c r="F4466" s="1" t="s">
        <v>927</v>
      </c>
      <c r="G4466" s="1">
        <v>109.0</v>
      </c>
      <c r="H4466" s="1">
        <v>6.405154639</v>
      </c>
      <c r="I4466" s="1">
        <v>4.69</v>
      </c>
      <c r="J4466" s="1">
        <v>3.308317</v>
      </c>
    </row>
    <row r="4467">
      <c r="A4467" s="1">
        <v>2025.0</v>
      </c>
      <c r="B4467" s="1" t="s">
        <v>380</v>
      </c>
      <c r="C4467" s="1">
        <v>661563.0</v>
      </c>
      <c r="D4467" s="1" t="s">
        <v>537</v>
      </c>
      <c r="E4467" s="1" t="s">
        <v>927</v>
      </c>
      <c r="F4467" s="1" t="s">
        <v>927</v>
      </c>
      <c r="G4467" s="1">
        <v>198.0</v>
      </c>
      <c r="H4467" s="1">
        <v>11.63505155</v>
      </c>
      <c r="I4467" s="1">
        <v>5.25</v>
      </c>
      <c r="J4467" s="1">
        <v>3.708058</v>
      </c>
    </row>
    <row r="4468">
      <c r="A4468" s="1">
        <v>2025.0</v>
      </c>
      <c r="B4468" s="1" t="s">
        <v>380</v>
      </c>
      <c r="C4468" s="1">
        <v>661563.0</v>
      </c>
      <c r="D4468" s="1" t="s">
        <v>533</v>
      </c>
      <c r="E4468" s="1" t="s">
        <v>927</v>
      </c>
      <c r="F4468" s="1" t="s">
        <v>927</v>
      </c>
      <c r="G4468" s="1">
        <v>142.0</v>
      </c>
      <c r="H4468" s="1">
        <v>8.344329897</v>
      </c>
      <c r="I4468" s="1">
        <v>5.22</v>
      </c>
      <c r="J4468" s="1">
        <v>2.583403</v>
      </c>
    </row>
    <row r="4469">
      <c r="A4469" s="1">
        <v>2025.0</v>
      </c>
      <c r="B4469" s="1" t="s">
        <v>720</v>
      </c>
      <c r="C4469" s="1">
        <v>692285.0</v>
      </c>
      <c r="D4469" s="1" t="s">
        <v>532</v>
      </c>
      <c r="E4469" s="1" t="s">
        <v>927</v>
      </c>
      <c r="F4469" s="1" t="s">
        <v>926</v>
      </c>
      <c r="G4469" s="1">
        <v>14.0</v>
      </c>
      <c r="H4469" s="1">
        <v>0.839677047</v>
      </c>
      <c r="I4469" s="1">
        <v>5.01</v>
      </c>
      <c r="J4469" s="1">
        <v>0.276813</v>
      </c>
    </row>
    <row r="4470">
      <c r="A4470" s="1">
        <v>2025.0</v>
      </c>
      <c r="B4470" s="1" t="s">
        <v>720</v>
      </c>
      <c r="C4470" s="1">
        <v>692285.0</v>
      </c>
      <c r="D4470" s="1" t="s">
        <v>537</v>
      </c>
      <c r="E4470" s="1" t="s">
        <v>927</v>
      </c>
      <c r="F4470" s="1" t="s">
        <v>926</v>
      </c>
      <c r="G4470" s="1">
        <v>44.0</v>
      </c>
      <c r="H4470" s="1">
        <v>2.638985006</v>
      </c>
      <c r="I4470" s="1">
        <v>4.59</v>
      </c>
      <c r="J4470" s="1">
        <v>1.345679</v>
      </c>
    </row>
    <row r="4471">
      <c r="A4471" s="1">
        <v>2025.0</v>
      </c>
      <c r="B4471" s="1" t="s">
        <v>720</v>
      </c>
      <c r="C4471" s="1">
        <v>692285.0</v>
      </c>
      <c r="D4471" s="1" t="s">
        <v>533</v>
      </c>
      <c r="E4471" s="1" t="s">
        <v>927</v>
      </c>
      <c r="F4471" s="1" t="s">
        <v>926</v>
      </c>
      <c r="G4471" s="1">
        <v>44.0</v>
      </c>
      <c r="H4471" s="1">
        <v>2.638985006</v>
      </c>
      <c r="I4471" s="1">
        <v>4.7</v>
      </c>
      <c r="J4471" s="1">
        <v>1.299518</v>
      </c>
    </row>
    <row r="4472">
      <c r="A4472" s="1">
        <v>2025.0</v>
      </c>
      <c r="B4472" s="1" t="s">
        <v>720</v>
      </c>
      <c r="C4472" s="1">
        <v>692285.0</v>
      </c>
      <c r="D4472" s="1" t="s">
        <v>539</v>
      </c>
      <c r="E4472" s="1" t="s">
        <v>927</v>
      </c>
      <c r="F4472" s="1" t="s">
        <v>926</v>
      </c>
      <c r="G4472" s="1">
        <v>7.0</v>
      </c>
      <c r="H4472" s="1">
        <v>0.419838524</v>
      </c>
      <c r="I4472" s="1">
        <v>4.43</v>
      </c>
      <c r="J4472" s="1">
        <v>0.244438</v>
      </c>
    </row>
    <row r="4473">
      <c r="A4473" s="1">
        <v>2025.0</v>
      </c>
      <c r="B4473" s="1" t="s">
        <v>720</v>
      </c>
      <c r="C4473" s="1">
        <v>692285.0</v>
      </c>
      <c r="D4473" s="1" t="s">
        <v>537</v>
      </c>
      <c r="E4473" s="1" t="s">
        <v>927</v>
      </c>
      <c r="F4473" s="1" t="s">
        <v>927</v>
      </c>
      <c r="G4473" s="1">
        <v>64.0</v>
      </c>
      <c r="H4473" s="1">
        <v>3.838523645</v>
      </c>
      <c r="I4473" s="1">
        <v>4.52</v>
      </c>
      <c r="J4473" s="1">
        <v>2.066082</v>
      </c>
    </row>
    <row r="4474">
      <c r="A4474" s="1">
        <v>2025.0</v>
      </c>
      <c r="B4474" s="1" t="s">
        <v>720</v>
      </c>
      <c r="C4474" s="1">
        <v>692285.0</v>
      </c>
      <c r="D4474" s="1" t="s">
        <v>533</v>
      </c>
      <c r="E4474" s="1" t="s">
        <v>927</v>
      </c>
      <c r="F4474" s="1" t="s">
        <v>927</v>
      </c>
      <c r="G4474" s="1">
        <v>88.0</v>
      </c>
      <c r="H4474" s="1">
        <v>5.277970012</v>
      </c>
      <c r="I4474" s="1">
        <v>5.06</v>
      </c>
      <c r="J4474" s="1">
        <v>1.855499</v>
      </c>
    </row>
    <row r="4475">
      <c r="A4475" s="1">
        <v>2025.0</v>
      </c>
      <c r="B4475" s="1" t="s">
        <v>720</v>
      </c>
      <c r="C4475" s="1">
        <v>692285.0</v>
      </c>
      <c r="D4475" s="1" t="s">
        <v>539</v>
      </c>
      <c r="E4475" s="1" t="s">
        <v>927</v>
      </c>
      <c r="F4475" s="1" t="s">
        <v>927</v>
      </c>
      <c r="G4475" s="1">
        <v>28.0</v>
      </c>
      <c r="H4475" s="1">
        <v>1.679354095</v>
      </c>
      <c r="I4475" s="1">
        <v>5.62</v>
      </c>
      <c r="J4475" s="1">
        <v>0.231614</v>
      </c>
    </row>
    <row r="4476">
      <c r="A4476" s="1">
        <v>2025.0</v>
      </c>
      <c r="B4476" s="1" t="s">
        <v>484</v>
      </c>
      <c r="C4476" s="1">
        <v>682847.0</v>
      </c>
      <c r="D4476" s="1" t="s">
        <v>532</v>
      </c>
      <c r="E4476" s="1" t="s">
        <v>927</v>
      </c>
      <c r="F4476" s="1" t="s">
        <v>926</v>
      </c>
      <c r="G4476" s="1">
        <v>159.0</v>
      </c>
      <c r="H4476" s="1">
        <v>9.392405063</v>
      </c>
      <c r="I4476" s="1">
        <v>4.6</v>
      </c>
      <c r="J4476" s="1">
        <v>4.807851</v>
      </c>
    </row>
    <row r="4477">
      <c r="A4477" s="1">
        <v>2025.0</v>
      </c>
      <c r="B4477" s="1" t="s">
        <v>484</v>
      </c>
      <c r="C4477" s="1">
        <v>682847.0</v>
      </c>
      <c r="D4477" s="1" t="s">
        <v>540</v>
      </c>
      <c r="E4477" s="1" t="s">
        <v>927</v>
      </c>
      <c r="F4477" s="1" t="s">
        <v>926</v>
      </c>
      <c r="G4477" s="1">
        <v>117.0</v>
      </c>
      <c r="H4477" s="1">
        <v>6.911392405</v>
      </c>
      <c r="I4477" s="1">
        <v>4.79</v>
      </c>
      <c r="J4477" s="1">
        <v>3.245313</v>
      </c>
    </row>
    <row r="4478">
      <c r="A4478" s="1">
        <v>2025.0</v>
      </c>
      <c r="B4478" s="1" t="s">
        <v>484</v>
      </c>
      <c r="C4478" s="1">
        <v>682847.0</v>
      </c>
      <c r="D4478" s="1" t="s">
        <v>537</v>
      </c>
      <c r="E4478" s="1" t="s">
        <v>927</v>
      </c>
      <c r="F4478" s="1" t="s">
        <v>926</v>
      </c>
      <c r="G4478" s="1">
        <v>280.0</v>
      </c>
      <c r="H4478" s="1">
        <v>16.54008439</v>
      </c>
      <c r="I4478" s="1">
        <v>4.65</v>
      </c>
      <c r="J4478" s="1">
        <v>8.352054</v>
      </c>
    </row>
    <row r="4479">
      <c r="A4479" s="1">
        <v>2025.0</v>
      </c>
      <c r="B4479" s="1" t="s">
        <v>484</v>
      </c>
      <c r="C4479" s="1">
        <v>682847.0</v>
      </c>
      <c r="D4479" s="1" t="s">
        <v>536</v>
      </c>
      <c r="E4479" s="1" t="s">
        <v>927</v>
      </c>
      <c r="F4479" s="1" t="s">
        <v>926</v>
      </c>
      <c r="G4479" s="1">
        <v>80.0</v>
      </c>
      <c r="H4479" s="1">
        <v>4.725738397</v>
      </c>
      <c r="I4479" s="1">
        <v>4.77</v>
      </c>
      <c r="J4479" s="1">
        <v>2.244641</v>
      </c>
    </row>
    <row r="4480">
      <c r="A4480" s="1">
        <v>2025.0</v>
      </c>
      <c r="B4480" s="1" t="s">
        <v>484</v>
      </c>
      <c r="C4480" s="1">
        <v>682847.0</v>
      </c>
      <c r="D4480" s="1" t="s">
        <v>533</v>
      </c>
      <c r="E4480" s="1" t="s">
        <v>927</v>
      </c>
      <c r="F4480" s="1" t="s">
        <v>926</v>
      </c>
      <c r="G4480" s="1">
        <v>168.0</v>
      </c>
      <c r="H4480" s="1">
        <v>9.924050633</v>
      </c>
      <c r="I4480" s="1">
        <v>5.06</v>
      </c>
      <c r="J4480" s="1">
        <v>3.382571</v>
      </c>
    </row>
    <row r="4481">
      <c r="A4481" s="1">
        <v>2025.0</v>
      </c>
      <c r="B4481" s="1" t="s">
        <v>484</v>
      </c>
      <c r="C4481" s="1">
        <v>682847.0</v>
      </c>
      <c r="D4481" s="1" t="s">
        <v>532</v>
      </c>
      <c r="E4481" s="1" t="s">
        <v>927</v>
      </c>
      <c r="F4481" s="1" t="s">
        <v>927</v>
      </c>
      <c r="G4481" s="1">
        <v>37.0</v>
      </c>
      <c r="H4481" s="1">
        <v>2.185654008</v>
      </c>
      <c r="I4481" s="1">
        <v>4.13</v>
      </c>
      <c r="J4481" s="1">
        <v>1.479923</v>
      </c>
    </row>
    <row r="4482">
      <c r="A4482" s="1">
        <v>2025.0</v>
      </c>
      <c r="B4482" s="1" t="s">
        <v>484</v>
      </c>
      <c r="C4482" s="1">
        <v>682847.0</v>
      </c>
      <c r="D4482" s="1" t="s">
        <v>540</v>
      </c>
      <c r="E4482" s="1" t="s">
        <v>927</v>
      </c>
      <c r="F4482" s="1" t="s">
        <v>927</v>
      </c>
      <c r="G4482" s="1">
        <v>65.0</v>
      </c>
      <c r="H4482" s="1">
        <v>3.839662447</v>
      </c>
      <c r="I4482" s="1">
        <v>4.95</v>
      </c>
      <c r="J4482" s="1">
        <v>1.585597</v>
      </c>
    </row>
    <row r="4483">
      <c r="A4483" s="1">
        <v>2025.0</v>
      </c>
      <c r="B4483" s="1" t="s">
        <v>484</v>
      </c>
      <c r="C4483" s="1">
        <v>682847.0</v>
      </c>
      <c r="D4483" s="1" t="s">
        <v>537</v>
      </c>
      <c r="E4483" s="1" t="s">
        <v>927</v>
      </c>
      <c r="F4483" s="1" t="s">
        <v>927</v>
      </c>
      <c r="G4483" s="1">
        <v>161.0</v>
      </c>
      <c r="H4483" s="1">
        <v>9.510548523</v>
      </c>
      <c r="I4483" s="1">
        <v>4.82</v>
      </c>
      <c r="J4483" s="1">
        <v>4.25039</v>
      </c>
    </row>
    <row r="4484">
      <c r="A4484" s="1">
        <v>2025.0</v>
      </c>
      <c r="B4484" s="1" t="s">
        <v>484</v>
      </c>
      <c r="C4484" s="1">
        <v>682847.0</v>
      </c>
      <c r="D4484" s="1" t="s">
        <v>536</v>
      </c>
      <c r="E4484" s="1" t="s">
        <v>927</v>
      </c>
      <c r="F4484" s="1" t="s">
        <v>927</v>
      </c>
      <c r="G4484" s="1">
        <v>213.0</v>
      </c>
      <c r="H4484" s="1">
        <v>12.58227848</v>
      </c>
      <c r="I4484" s="1">
        <v>5.34</v>
      </c>
      <c r="J4484" s="1">
        <v>3.341945</v>
      </c>
    </row>
    <row r="4485">
      <c r="A4485" s="1">
        <v>2025.0</v>
      </c>
      <c r="B4485" s="1" t="s">
        <v>484</v>
      </c>
      <c r="C4485" s="1">
        <v>682847.0</v>
      </c>
      <c r="D4485" s="1" t="s">
        <v>533</v>
      </c>
      <c r="E4485" s="1" t="s">
        <v>927</v>
      </c>
      <c r="F4485" s="1" t="s">
        <v>927</v>
      </c>
      <c r="G4485" s="1">
        <v>221.0</v>
      </c>
      <c r="H4485" s="1">
        <v>13.05485232</v>
      </c>
      <c r="I4485" s="1">
        <v>4.85</v>
      </c>
      <c r="J4485" s="1">
        <v>5.631412</v>
      </c>
    </row>
    <row r="4486">
      <c r="A4486" s="1">
        <v>2025.0</v>
      </c>
      <c r="B4486" s="1" t="s">
        <v>550</v>
      </c>
      <c r="C4486" s="1">
        <v>682825.0</v>
      </c>
      <c r="D4486" s="1" t="s">
        <v>537</v>
      </c>
      <c r="E4486" s="1" t="s">
        <v>927</v>
      </c>
      <c r="F4486" s="1" t="s">
        <v>926</v>
      </c>
      <c r="G4486" s="1">
        <v>1.0</v>
      </c>
      <c r="H4486" s="1">
        <v>0.050724638</v>
      </c>
      <c r="I4486" s="1">
        <v>4.84</v>
      </c>
      <c r="J4486" s="1">
        <v>0.027727</v>
      </c>
    </row>
    <row r="4487">
      <c r="A4487" s="1">
        <v>2025.0</v>
      </c>
      <c r="B4487" s="1" t="s">
        <v>550</v>
      </c>
      <c r="C4487" s="1">
        <v>682825.0</v>
      </c>
      <c r="D4487" s="1" t="s">
        <v>536</v>
      </c>
      <c r="E4487" s="1" t="s">
        <v>927</v>
      </c>
      <c r="F4487" s="1" t="s">
        <v>926</v>
      </c>
      <c r="G4487" s="1">
        <v>155.0</v>
      </c>
      <c r="H4487" s="1">
        <v>7.862318841</v>
      </c>
      <c r="I4487" s="1">
        <v>4.36</v>
      </c>
      <c r="J4487" s="1">
        <v>5.465618</v>
      </c>
    </row>
    <row r="4488">
      <c r="A4488" s="1">
        <v>2025.0</v>
      </c>
      <c r="B4488" s="1" t="s">
        <v>550</v>
      </c>
      <c r="C4488" s="1">
        <v>682825.0</v>
      </c>
      <c r="D4488" s="1" t="s">
        <v>533</v>
      </c>
      <c r="E4488" s="1" t="s">
        <v>927</v>
      </c>
      <c r="F4488" s="1" t="s">
        <v>926</v>
      </c>
      <c r="G4488" s="1">
        <v>30.0</v>
      </c>
      <c r="H4488" s="1">
        <v>1.52173913</v>
      </c>
      <c r="I4488" s="1">
        <v>4.7</v>
      </c>
      <c r="J4488" s="1">
        <v>0.814645</v>
      </c>
    </row>
    <row r="4489">
      <c r="A4489" s="1">
        <v>2025.0</v>
      </c>
      <c r="B4489" s="1" t="s">
        <v>550</v>
      </c>
      <c r="C4489" s="1">
        <v>682825.0</v>
      </c>
      <c r="D4489" s="1" t="s">
        <v>537</v>
      </c>
      <c r="E4489" s="1" t="s">
        <v>927</v>
      </c>
      <c r="F4489" s="1" t="s">
        <v>927</v>
      </c>
      <c r="G4489" s="1">
        <v>3.0</v>
      </c>
      <c r="H4489" s="1">
        <v>0.152173913</v>
      </c>
      <c r="I4489" s="1">
        <v>4.41</v>
      </c>
      <c r="J4489" s="1">
        <v>0.103599</v>
      </c>
    </row>
    <row r="4490">
      <c r="A4490" s="1">
        <v>2025.0</v>
      </c>
      <c r="B4490" s="1" t="s">
        <v>550</v>
      </c>
      <c r="C4490" s="1">
        <v>682825.0</v>
      </c>
      <c r="D4490" s="1" t="s">
        <v>536</v>
      </c>
      <c r="E4490" s="1" t="s">
        <v>927</v>
      </c>
      <c r="F4490" s="1" t="s">
        <v>927</v>
      </c>
      <c r="G4490" s="1">
        <v>151.0</v>
      </c>
      <c r="H4490" s="1">
        <v>7.65942029</v>
      </c>
      <c r="I4490" s="1">
        <v>4.87</v>
      </c>
      <c r="J4490" s="1">
        <v>3.821719</v>
      </c>
    </row>
    <row r="4491">
      <c r="A4491" s="1">
        <v>2025.0</v>
      </c>
      <c r="B4491" s="1" t="s">
        <v>550</v>
      </c>
      <c r="C4491" s="1">
        <v>682825.0</v>
      </c>
      <c r="D4491" s="1" t="s">
        <v>533</v>
      </c>
      <c r="E4491" s="1" t="s">
        <v>927</v>
      </c>
      <c r="F4491" s="1" t="s">
        <v>927</v>
      </c>
      <c r="G4491" s="1">
        <v>74.0</v>
      </c>
      <c r="H4491" s="1">
        <v>3.753623188</v>
      </c>
      <c r="I4491" s="1">
        <v>4.45</v>
      </c>
      <c r="J4491" s="1">
        <v>2.474296</v>
      </c>
    </row>
    <row r="4492">
      <c r="A4492" s="1">
        <v>2025.0</v>
      </c>
      <c r="B4492" s="1" t="s">
        <v>239</v>
      </c>
      <c r="C4492" s="1">
        <v>806960.0</v>
      </c>
      <c r="D4492" s="1" t="s">
        <v>532</v>
      </c>
      <c r="E4492" s="1" t="s">
        <v>927</v>
      </c>
      <c r="F4492" s="1" t="s">
        <v>926</v>
      </c>
      <c r="G4492" s="1">
        <v>97.0</v>
      </c>
      <c r="H4492" s="1">
        <v>5.763939764</v>
      </c>
      <c r="I4492" s="1">
        <v>4.54</v>
      </c>
      <c r="J4492" s="1">
        <v>2.966739</v>
      </c>
    </row>
    <row r="4493">
      <c r="A4493" s="1">
        <v>2025.0</v>
      </c>
      <c r="B4493" s="1" t="s">
        <v>239</v>
      </c>
      <c r="C4493" s="1">
        <v>806960.0</v>
      </c>
      <c r="D4493" s="1" t="s">
        <v>537</v>
      </c>
      <c r="E4493" s="1" t="s">
        <v>927</v>
      </c>
      <c r="F4493" s="1" t="s">
        <v>926</v>
      </c>
      <c r="G4493" s="1">
        <v>203.0</v>
      </c>
      <c r="H4493" s="1">
        <v>12.06267806</v>
      </c>
      <c r="I4493" s="1">
        <v>5.01</v>
      </c>
      <c r="J4493" s="1">
        <v>4.436657</v>
      </c>
    </row>
    <row r="4494">
      <c r="A4494" s="1">
        <v>2025.0</v>
      </c>
      <c r="B4494" s="1" t="s">
        <v>239</v>
      </c>
      <c r="C4494" s="1">
        <v>806960.0</v>
      </c>
      <c r="D4494" s="1" t="s">
        <v>533</v>
      </c>
      <c r="E4494" s="1" t="s">
        <v>927</v>
      </c>
      <c r="F4494" s="1" t="s">
        <v>926</v>
      </c>
      <c r="G4494" s="1">
        <v>31.0</v>
      </c>
      <c r="H4494" s="1">
        <v>1.842083842</v>
      </c>
      <c r="I4494" s="1">
        <v>5.2</v>
      </c>
      <c r="J4494" s="1">
        <v>0.538743</v>
      </c>
    </row>
    <row r="4495">
      <c r="A4495" s="1">
        <v>2025.0</v>
      </c>
      <c r="B4495" s="1" t="s">
        <v>239</v>
      </c>
      <c r="C4495" s="1">
        <v>806960.0</v>
      </c>
      <c r="D4495" s="1" t="s">
        <v>539</v>
      </c>
      <c r="E4495" s="1" t="s">
        <v>927</v>
      </c>
      <c r="F4495" s="1" t="s">
        <v>926</v>
      </c>
      <c r="G4495" s="1">
        <v>59.0</v>
      </c>
      <c r="H4495" s="1">
        <v>3.505901506</v>
      </c>
      <c r="I4495" s="1">
        <v>5.22</v>
      </c>
      <c r="J4495" s="1">
        <v>0.917122</v>
      </c>
    </row>
    <row r="4496">
      <c r="A4496" s="1">
        <v>2025.0</v>
      </c>
      <c r="B4496" s="1" t="s">
        <v>239</v>
      </c>
      <c r="C4496" s="1">
        <v>806960.0</v>
      </c>
      <c r="D4496" s="1" t="s">
        <v>532</v>
      </c>
      <c r="E4496" s="1" t="s">
        <v>927</v>
      </c>
      <c r="F4496" s="1" t="s">
        <v>927</v>
      </c>
      <c r="G4496" s="1">
        <v>9.0</v>
      </c>
      <c r="H4496" s="1">
        <v>0.534798535</v>
      </c>
      <c r="I4496" s="1">
        <v>5.82</v>
      </c>
      <c r="J4496" s="1">
        <v>0.060874</v>
      </c>
    </row>
    <row r="4497">
      <c r="A4497" s="1">
        <v>2025.0</v>
      </c>
      <c r="B4497" s="1" t="s">
        <v>239</v>
      </c>
      <c r="C4497" s="1">
        <v>806960.0</v>
      </c>
      <c r="D4497" s="1" t="s">
        <v>537</v>
      </c>
      <c r="E4497" s="1" t="s">
        <v>927</v>
      </c>
      <c r="F4497" s="1" t="s">
        <v>927</v>
      </c>
      <c r="G4497" s="1">
        <v>227.0</v>
      </c>
      <c r="H4497" s="1">
        <v>13.48880749</v>
      </c>
      <c r="I4497" s="1">
        <v>5.17</v>
      </c>
      <c r="J4497" s="1">
        <v>4.23005</v>
      </c>
    </row>
    <row r="4498">
      <c r="A4498" s="1">
        <v>2025.0</v>
      </c>
      <c r="B4498" s="1" t="s">
        <v>239</v>
      </c>
      <c r="C4498" s="1">
        <v>806960.0</v>
      </c>
      <c r="D4498" s="1" t="s">
        <v>533</v>
      </c>
      <c r="E4498" s="1" t="s">
        <v>927</v>
      </c>
      <c r="F4498" s="1" t="s">
        <v>927</v>
      </c>
      <c r="G4498" s="1">
        <v>45.0</v>
      </c>
      <c r="H4498" s="1">
        <v>2.673992674</v>
      </c>
      <c r="I4498" s="1">
        <v>5.41</v>
      </c>
      <c r="J4498" s="1">
        <v>0.55111</v>
      </c>
    </row>
    <row r="4499">
      <c r="A4499" s="1">
        <v>2025.0</v>
      </c>
      <c r="B4499" s="1" t="s">
        <v>239</v>
      </c>
      <c r="C4499" s="1">
        <v>806960.0</v>
      </c>
      <c r="D4499" s="1" t="s">
        <v>539</v>
      </c>
      <c r="E4499" s="1" t="s">
        <v>927</v>
      </c>
      <c r="F4499" s="1" t="s">
        <v>927</v>
      </c>
      <c r="G4499" s="1">
        <v>148.0</v>
      </c>
      <c r="H4499" s="1">
        <v>8.794464794</v>
      </c>
      <c r="I4499" s="1">
        <v>5.07</v>
      </c>
      <c r="J4499" s="1">
        <v>2.880972</v>
      </c>
    </row>
    <row r="4500">
      <c r="A4500" s="1">
        <v>2025.0</v>
      </c>
      <c r="B4500" s="1" t="s">
        <v>548</v>
      </c>
      <c r="C4500" s="1">
        <v>678821.0</v>
      </c>
      <c r="D4500" s="1" t="s">
        <v>541</v>
      </c>
      <c r="E4500" s="1" t="s">
        <v>926</v>
      </c>
      <c r="F4500" s="1" t="s">
        <v>926</v>
      </c>
      <c r="G4500" s="1">
        <v>70.0</v>
      </c>
      <c r="H4500" s="1">
        <v>3.050458716</v>
      </c>
      <c r="I4500" s="1">
        <v>4.68</v>
      </c>
      <c r="J4500" s="1">
        <v>1.968701</v>
      </c>
    </row>
    <row r="4501">
      <c r="A4501" s="1">
        <v>2025.0</v>
      </c>
      <c r="B4501" s="1" t="s">
        <v>548</v>
      </c>
      <c r="C4501" s="1">
        <v>678821.0</v>
      </c>
      <c r="D4501" s="1" t="s">
        <v>537</v>
      </c>
      <c r="E4501" s="1" t="s">
        <v>926</v>
      </c>
      <c r="F4501" s="1" t="s">
        <v>926</v>
      </c>
      <c r="G4501" s="1">
        <v>141.0</v>
      </c>
      <c r="H4501" s="1">
        <v>6.144495413</v>
      </c>
      <c r="I4501" s="1">
        <v>4.88</v>
      </c>
      <c r="J4501" s="1">
        <v>3.465708</v>
      </c>
    </row>
    <row r="4502">
      <c r="A4502" s="1">
        <v>2025.0</v>
      </c>
      <c r="B4502" s="1" t="s">
        <v>548</v>
      </c>
      <c r="C4502" s="1">
        <v>678821.0</v>
      </c>
      <c r="D4502" s="1" t="s">
        <v>532</v>
      </c>
      <c r="E4502" s="1" t="s">
        <v>926</v>
      </c>
      <c r="F4502" s="1" t="s">
        <v>927</v>
      </c>
      <c r="G4502" s="1">
        <v>10.0</v>
      </c>
      <c r="H4502" s="1">
        <v>0.435779817</v>
      </c>
      <c r="I4502" s="1">
        <v>4.3</v>
      </c>
      <c r="J4502" s="1">
        <v>0.367256</v>
      </c>
    </row>
    <row r="4503">
      <c r="A4503" s="1">
        <v>2025.0</v>
      </c>
      <c r="B4503" s="1" t="s">
        <v>548</v>
      </c>
      <c r="C4503" s="1">
        <v>678821.0</v>
      </c>
      <c r="D4503" s="1" t="s">
        <v>541</v>
      </c>
      <c r="E4503" s="1" t="s">
        <v>926</v>
      </c>
      <c r="F4503" s="1" t="s">
        <v>927</v>
      </c>
      <c r="G4503" s="1">
        <v>48.0</v>
      </c>
      <c r="H4503" s="1">
        <v>2.091743119</v>
      </c>
      <c r="I4503" s="1">
        <v>4.72</v>
      </c>
      <c r="J4503" s="1">
        <v>1.353129</v>
      </c>
    </row>
    <row r="4504">
      <c r="A4504" s="1">
        <v>2025.0</v>
      </c>
      <c r="B4504" s="1" t="s">
        <v>548</v>
      </c>
      <c r="C4504" s="1">
        <v>678821.0</v>
      </c>
      <c r="D4504" s="1" t="s">
        <v>537</v>
      </c>
      <c r="E4504" s="1" t="s">
        <v>926</v>
      </c>
      <c r="F4504" s="1" t="s">
        <v>927</v>
      </c>
      <c r="G4504" s="1">
        <v>167.0</v>
      </c>
      <c r="H4504" s="1">
        <v>7.277522936</v>
      </c>
      <c r="I4504" s="1">
        <v>4.81</v>
      </c>
      <c r="J4504" s="1">
        <v>4.483726</v>
      </c>
    </row>
    <row r="4505">
      <c r="A4505" s="1">
        <v>2025.0</v>
      </c>
      <c r="B4505" s="1" t="s">
        <v>281</v>
      </c>
      <c r="C4505" s="1">
        <v>622663.0</v>
      </c>
      <c r="D4505" s="1" t="s">
        <v>532</v>
      </c>
      <c r="E4505" s="1" t="s">
        <v>927</v>
      </c>
      <c r="F4505" s="1" t="s">
        <v>926</v>
      </c>
      <c r="G4505" s="1">
        <v>103.0</v>
      </c>
      <c r="H4505" s="1">
        <v>6.137240537</v>
      </c>
      <c r="I4505" s="1">
        <v>4.65</v>
      </c>
      <c r="J4505" s="1">
        <v>3.016433</v>
      </c>
    </row>
    <row r="4506">
      <c r="A4506" s="1">
        <v>2025.0</v>
      </c>
      <c r="B4506" s="1" t="s">
        <v>281</v>
      </c>
      <c r="C4506" s="1">
        <v>622663.0</v>
      </c>
      <c r="D4506" s="1" t="s">
        <v>540</v>
      </c>
      <c r="E4506" s="1" t="s">
        <v>927</v>
      </c>
      <c r="F4506" s="1" t="s">
        <v>926</v>
      </c>
      <c r="G4506" s="1">
        <v>287.0</v>
      </c>
      <c r="H4506" s="1">
        <v>17.1008547</v>
      </c>
      <c r="I4506" s="1">
        <v>5.04</v>
      </c>
      <c r="J4506" s="1">
        <v>6.32713</v>
      </c>
    </row>
    <row r="4507">
      <c r="A4507" s="1">
        <v>2025.0</v>
      </c>
      <c r="B4507" s="1" t="s">
        <v>281</v>
      </c>
      <c r="C4507" s="1">
        <v>622663.0</v>
      </c>
      <c r="D4507" s="1" t="s">
        <v>537</v>
      </c>
      <c r="E4507" s="1" t="s">
        <v>927</v>
      </c>
      <c r="F4507" s="1" t="s">
        <v>926</v>
      </c>
      <c r="G4507" s="1">
        <v>387.0</v>
      </c>
      <c r="H4507" s="1">
        <v>23.05934066</v>
      </c>
      <c r="I4507" s="1">
        <v>5.04</v>
      </c>
      <c r="J4507" s="1">
        <v>8.438342</v>
      </c>
    </row>
    <row r="4508">
      <c r="A4508" s="1">
        <v>2025.0</v>
      </c>
      <c r="B4508" s="1" t="s">
        <v>281</v>
      </c>
      <c r="C4508" s="1">
        <v>622663.0</v>
      </c>
      <c r="D4508" s="1" t="s">
        <v>536</v>
      </c>
      <c r="E4508" s="1" t="s">
        <v>927</v>
      </c>
      <c r="F4508" s="1" t="s">
        <v>926</v>
      </c>
      <c r="G4508" s="1">
        <v>199.0</v>
      </c>
      <c r="H4508" s="1">
        <v>11.85738706</v>
      </c>
      <c r="I4508" s="1">
        <v>4.46</v>
      </c>
      <c r="J4508" s="1">
        <v>6.521146</v>
      </c>
    </row>
    <row r="4509">
      <c r="A4509" s="1">
        <v>2025.0</v>
      </c>
      <c r="B4509" s="1" t="s">
        <v>281</v>
      </c>
      <c r="C4509" s="1">
        <v>622663.0</v>
      </c>
      <c r="D4509" s="1" t="s">
        <v>533</v>
      </c>
      <c r="E4509" s="1" t="s">
        <v>927</v>
      </c>
      <c r="F4509" s="1" t="s">
        <v>926</v>
      </c>
      <c r="G4509" s="1">
        <v>43.0</v>
      </c>
      <c r="H4509" s="1">
        <v>2.562148962</v>
      </c>
      <c r="I4509" s="1">
        <v>4.67</v>
      </c>
      <c r="J4509" s="1">
        <v>1.18553</v>
      </c>
    </row>
    <row r="4510">
      <c r="A4510" s="1">
        <v>2025.0</v>
      </c>
      <c r="B4510" s="1" t="s">
        <v>281</v>
      </c>
      <c r="C4510" s="1">
        <v>622663.0</v>
      </c>
      <c r="D4510" s="1" t="s">
        <v>539</v>
      </c>
      <c r="E4510" s="1" t="s">
        <v>927</v>
      </c>
      <c r="F4510" s="1" t="s">
        <v>926</v>
      </c>
      <c r="G4510" s="1">
        <v>329.0</v>
      </c>
      <c r="H4510" s="1">
        <v>19.6034188</v>
      </c>
      <c r="I4510" s="1">
        <v>5.24</v>
      </c>
      <c r="J4510" s="1">
        <v>5.273466</v>
      </c>
    </row>
    <row r="4511">
      <c r="A4511" s="1">
        <v>2025.0</v>
      </c>
      <c r="B4511" s="1" t="s">
        <v>281</v>
      </c>
      <c r="C4511" s="1">
        <v>622663.0</v>
      </c>
      <c r="D4511" s="1" t="s">
        <v>532</v>
      </c>
      <c r="E4511" s="1" t="s">
        <v>927</v>
      </c>
      <c r="F4511" s="1" t="s">
        <v>927</v>
      </c>
      <c r="G4511" s="1">
        <v>42.0</v>
      </c>
      <c r="H4511" s="1">
        <v>2.502564103</v>
      </c>
      <c r="I4511" s="1">
        <v>4.61</v>
      </c>
      <c r="J4511" s="1">
        <v>1.184729</v>
      </c>
    </row>
    <row r="4512">
      <c r="A4512" s="1">
        <v>2025.0</v>
      </c>
      <c r="B4512" s="1" t="s">
        <v>281</v>
      </c>
      <c r="C4512" s="1">
        <v>622663.0</v>
      </c>
      <c r="D4512" s="1" t="s">
        <v>540</v>
      </c>
      <c r="E4512" s="1" t="s">
        <v>927</v>
      </c>
      <c r="F4512" s="1" t="s">
        <v>927</v>
      </c>
      <c r="G4512" s="1">
        <v>189.0</v>
      </c>
      <c r="H4512" s="1">
        <v>11.26153846</v>
      </c>
      <c r="I4512" s="1">
        <v>5.11</v>
      </c>
      <c r="J4512" s="1">
        <v>3.746258</v>
      </c>
    </row>
    <row r="4513">
      <c r="A4513" s="1">
        <v>2025.0</v>
      </c>
      <c r="B4513" s="1" t="s">
        <v>281</v>
      </c>
      <c r="C4513" s="1">
        <v>622663.0</v>
      </c>
      <c r="D4513" s="1" t="s">
        <v>537</v>
      </c>
      <c r="E4513" s="1" t="s">
        <v>927</v>
      </c>
      <c r="F4513" s="1" t="s">
        <v>927</v>
      </c>
      <c r="G4513" s="1">
        <v>367.0</v>
      </c>
      <c r="H4513" s="1">
        <v>21.86764347</v>
      </c>
      <c r="I4513" s="1">
        <v>4.93</v>
      </c>
      <c r="J4513" s="1">
        <v>8.462525</v>
      </c>
    </row>
    <row r="4514">
      <c r="A4514" s="1">
        <v>2025.0</v>
      </c>
      <c r="B4514" s="1" t="s">
        <v>281</v>
      </c>
      <c r="C4514" s="1">
        <v>622663.0</v>
      </c>
      <c r="D4514" s="1" t="s">
        <v>536</v>
      </c>
      <c r="E4514" s="1" t="s">
        <v>927</v>
      </c>
      <c r="F4514" s="1" t="s">
        <v>927</v>
      </c>
      <c r="G4514" s="1">
        <v>369.0</v>
      </c>
      <c r="H4514" s="1">
        <v>21.98681319</v>
      </c>
      <c r="I4514" s="1">
        <v>4.98</v>
      </c>
      <c r="J4514" s="1">
        <v>8.426458</v>
      </c>
    </row>
    <row r="4515">
      <c r="A4515" s="1">
        <v>2025.0</v>
      </c>
      <c r="B4515" s="1" t="s">
        <v>281</v>
      </c>
      <c r="C4515" s="1">
        <v>622663.0</v>
      </c>
      <c r="D4515" s="1" t="s">
        <v>533</v>
      </c>
      <c r="E4515" s="1" t="s">
        <v>927</v>
      </c>
      <c r="F4515" s="1" t="s">
        <v>927</v>
      </c>
      <c r="G4515" s="1">
        <v>74.0</v>
      </c>
      <c r="H4515" s="1">
        <v>4.409279609</v>
      </c>
      <c r="I4515" s="1">
        <v>4.91</v>
      </c>
      <c r="J4515" s="1">
        <v>1.664006</v>
      </c>
    </row>
    <row r="4516">
      <c r="A4516" s="1">
        <v>2025.0</v>
      </c>
      <c r="B4516" s="1" t="s">
        <v>281</v>
      </c>
      <c r="C4516" s="1">
        <v>622663.0</v>
      </c>
      <c r="D4516" s="1" t="s">
        <v>539</v>
      </c>
      <c r="E4516" s="1" t="s">
        <v>927</v>
      </c>
      <c r="F4516" s="1" t="s">
        <v>927</v>
      </c>
      <c r="G4516" s="1">
        <v>341.0</v>
      </c>
      <c r="H4516" s="1">
        <v>20.31843712</v>
      </c>
      <c r="I4516" s="1">
        <v>5.42</v>
      </c>
      <c r="J4516" s="1">
        <v>4.205962</v>
      </c>
    </row>
    <row r="4517">
      <c r="A4517" s="1">
        <v>2025.0</v>
      </c>
      <c r="B4517" s="1" t="s">
        <v>987</v>
      </c>
      <c r="C4517" s="1">
        <v>620443.0</v>
      </c>
      <c r="D4517" s="1" t="s">
        <v>532</v>
      </c>
      <c r="E4517" s="1" t="s">
        <v>927</v>
      </c>
      <c r="F4517" s="1" t="s">
        <v>926</v>
      </c>
      <c r="G4517" s="1">
        <v>1.0</v>
      </c>
      <c r="H4517" s="1">
        <v>0.031746032</v>
      </c>
      <c r="I4517" s="1">
        <v>2.9</v>
      </c>
      <c r="J4517" s="1">
        <v>0.064392</v>
      </c>
    </row>
    <row r="4518">
      <c r="A4518" s="1">
        <v>2025.0</v>
      </c>
      <c r="B4518" s="1" t="s">
        <v>987</v>
      </c>
      <c r="C4518" s="1">
        <v>620443.0</v>
      </c>
      <c r="D4518" s="1" t="s">
        <v>537</v>
      </c>
      <c r="E4518" s="1" t="s">
        <v>927</v>
      </c>
      <c r="F4518" s="1" t="s">
        <v>926</v>
      </c>
      <c r="G4518" s="1">
        <v>17.0</v>
      </c>
      <c r="H4518" s="1">
        <v>0.53968254</v>
      </c>
      <c r="I4518" s="1">
        <v>4.17</v>
      </c>
      <c r="J4518" s="1">
        <v>0.681514</v>
      </c>
    </row>
    <row r="4519">
      <c r="A4519" s="1">
        <v>2025.0</v>
      </c>
      <c r="B4519" s="1" t="s">
        <v>987</v>
      </c>
      <c r="C4519" s="1">
        <v>620443.0</v>
      </c>
      <c r="D4519" s="1" t="s">
        <v>537</v>
      </c>
      <c r="E4519" s="1" t="s">
        <v>927</v>
      </c>
      <c r="F4519" s="1" t="s">
        <v>927</v>
      </c>
      <c r="G4519" s="1">
        <v>3.0</v>
      </c>
      <c r="H4519" s="1">
        <v>0.095238095</v>
      </c>
      <c r="I4519" s="1">
        <v>5.06</v>
      </c>
      <c r="J4519" s="1">
        <v>0.072011</v>
      </c>
    </row>
    <row r="4520">
      <c r="A4520" s="1">
        <v>2025.0</v>
      </c>
      <c r="B4520" s="1" t="s">
        <v>162</v>
      </c>
      <c r="C4520" s="1">
        <v>592426.0</v>
      </c>
      <c r="D4520" s="1" t="s">
        <v>532</v>
      </c>
      <c r="E4520" s="1" t="s">
        <v>927</v>
      </c>
      <c r="F4520" s="1" t="s">
        <v>926</v>
      </c>
      <c r="G4520" s="1">
        <v>1.0</v>
      </c>
      <c r="H4520" s="1">
        <v>0.065217391</v>
      </c>
      <c r="I4520" s="1">
        <v>6.22</v>
      </c>
      <c r="J4520" s="1">
        <v>-0.007583</v>
      </c>
    </row>
    <row r="4521">
      <c r="A4521" s="1">
        <v>2025.0</v>
      </c>
      <c r="B4521" s="1" t="s">
        <v>162</v>
      </c>
      <c r="C4521" s="1">
        <v>592426.0</v>
      </c>
      <c r="D4521" s="1" t="s">
        <v>541</v>
      </c>
      <c r="E4521" s="1" t="s">
        <v>927</v>
      </c>
      <c r="F4521" s="1" t="s">
        <v>926</v>
      </c>
      <c r="G4521" s="1">
        <v>79.0</v>
      </c>
      <c r="H4521" s="1">
        <v>5.152173913</v>
      </c>
      <c r="I4521" s="1">
        <v>5.2</v>
      </c>
      <c r="J4521" s="1">
        <v>1.431187</v>
      </c>
    </row>
    <row r="4522">
      <c r="A4522" s="1">
        <v>2025.0</v>
      </c>
      <c r="B4522" s="1" t="s">
        <v>162</v>
      </c>
      <c r="C4522" s="1">
        <v>592426.0</v>
      </c>
      <c r="D4522" s="1" t="s">
        <v>540</v>
      </c>
      <c r="E4522" s="1" t="s">
        <v>927</v>
      </c>
      <c r="F4522" s="1" t="s">
        <v>926</v>
      </c>
      <c r="G4522" s="1">
        <v>1.0</v>
      </c>
      <c r="H4522" s="1">
        <v>0.065217391</v>
      </c>
      <c r="I4522" s="1">
        <v>6.05</v>
      </c>
      <c r="J4522" s="1">
        <v>0.001537</v>
      </c>
    </row>
    <row r="4523">
      <c r="A4523" s="1">
        <v>2025.0</v>
      </c>
      <c r="B4523" s="1" t="s">
        <v>162</v>
      </c>
      <c r="C4523" s="1">
        <v>592426.0</v>
      </c>
      <c r="D4523" s="1" t="s">
        <v>537</v>
      </c>
      <c r="E4523" s="1" t="s">
        <v>927</v>
      </c>
      <c r="F4523" s="1" t="s">
        <v>926</v>
      </c>
      <c r="G4523" s="1">
        <v>99.0</v>
      </c>
      <c r="H4523" s="1">
        <v>6.456521739</v>
      </c>
      <c r="I4523" s="1">
        <v>4.58</v>
      </c>
      <c r="J4523" s="1">
        <v>3.065429</v>
      </c>
    </row>
    <row r="4524">
      <c r="A4524" s="1">
        <v>2025.0</v>
      </c>
      <c r="B4524" s="1" t="s">
        <v>162</v>
      </c>
      <c r="C4524" s="1">
        <v>592426.0</v>
      </c>
      <c r="D4524" s="1" t="s">
        <v>533</v>
      </c>
      <c r="E4524" s="1" t="s">
        <v>927</v>
      </c>
      <c r="F4524" s="1" t="s">
        <v>926</v>
      </c>
      <c r="G4524" s="1">
        <v>139.0</v>
      </c>
      <c r="H4524" s="1">
        <v>9.065217391</v>
      </c>
      <c r="I4524" s="1">
        <v>5.4</v>
      </c>
      <c r="J4524" s="1">
        <v>1.919363</v>
      </c>
    </row>
    <row r="4525">
      <c r="A4525" s="1">
        <v>2025.0</v>
      </c>
      <c r="B4525" s="1" t="s">
        <v>162</v>
      </c>
      <c r="C4525" s="1">
        <v>592426.0</v>
      </c>
      <c r="D4525" s="1" t="s">
        <v>541</v>
      </c>
      <c r="E4525" s="1" t="s">
        <v>927</v>
      </c>
      <c r="F4525" s="1" t="s">
        <v>927</v>
      </c>
      <c r="G4525" s="1">
        <v>43.0</v>
      </c>
      <c r="H4525" s="1">
        <v>2.804347826</v>
      </c>
      <c r="I4525" s="1">
        <v>4.91</v>
      </c>
      <c r="J4525" s="1">
        <v>1.011415</v>
      </c>
    </row>
    <row r="4526">
      <c r="A4526" s="1">
        <v>2025.0</v>
      </c>
      <c r="B4526" s="1" t="s">
        <v>162</v>
      </c>
      <c r="C4526" s="1">
        <v>592426.0</v>
      </c>
      <c r="D4526" s="1" t="s">
        <v>540</v>
      </c>
      <c r="E4526" s="1" t="s">
        <v>927</v>
      </c>
      <c r="F4526" s="1" t="s">
        <v>927</v>
      </c>
      <c r="G4526" s="1">
        <v>5.0</v>
      </c>
      <c r="H4526" s="1">
        <v>0.326086957</v>
      </c>
      <c r="I4526" s="1">
        <v>4.5</v>
      </c>
      <c r="J4526" s="1">
        <v>0.16316</v>
      </c>
    </row>
    <row r="4527">
      <c r="A4527" s="1">
        <v>2025.0</v>
      </c>
      <c r="B4527" s="1" t="s">
        <v>162</v>
      </c>
      <c r="C4527" s="1">
        <v>592426.0</v>
      </c>
      <c r="D4527" s="1" t="s">
        <v>537</v>
      </c>
      <c r="E4527" s="1" t="s">
        <v>927</v>
      </c>
      <c r="F4527" s="1" t="s">
        <v>927</v>
      </c>
      <c r="G4527" s="1">
        <v>168.0</v>
      </c>
      <c r="H4527" s="1">
        <v>10.95652174</v>
      </c>
      <c r="I4527" s="1">
        <v>4.63</v>
      </c>
      <c r="J4527" s="1">
        <v>4.981076</v>
      </c>
    </row>
    <row r="4528">
      <c r="A4528" s="1">
        <v>2025.0</v>
      </c>
      <c r="B4528" s="1" t="s">
        <v>162</v>
      </c>
      <c r="C4528" s="1">
        <v>592426.0</v>
      </c>
      <c r="D4528" s="1" t="s">
        <v>533</v>
      </c>
      <c r="E4528" s="1" t="s">
        <v>927</v>
      </c>
      <c r="F4528" s="1" t="s">
        <v>927</v>
      </c>
      <c r="G4528" s="1">
        <v>247.0</v>
      </c>
      <c r="H4528" s="1">
        <v>16.10869565</v>
      </c>
      <c r="I4528" s="1">
        <v>5.37</v>
      </c>
      <c r="J4528" s="1">
        <v>3.536562</v>
      </c>
    </row>
    <row r="4529">
      <c r="A4529" s="1">
        <v>2025.0</v>
      </c>
      <c r="B4529" s="1" t="s">
        <v>802</v>
      </c>
      <c r="C4529" s="1">
        <v>681432.0</v>
      </c>
      <c r="D4529" s="1" t="s">
        <v>537</v>
      </c>
      <c r="E4529" s="1" t="s">
        <v>926</v>
      </c>
      <c r="F4529" s="1" t="s">
        <v>926</v>
      </c>
      <c r="G4529" s="1">
        <v>14.0</v>
      </c>
      <c r="H4529" s="1">
        <v>0.49122807</v>
      </c>
      <c r="I4529" s="1">
        <v>4.93</v>
      </c>
      <c r="J4529" s="1">
        <v>0.341663</v>
      </c>
    </row>
    <row r="4530">
      <c r="A4530" s="1">
        <v>2025.0</v>
      </c>
      <c r="B4530" s="1" t="s">
        <v>802</v>
      </c>
      <c r="C4530" s="1">
        <v>681432.0</v>
      </c>
      <c r="D4530" s="1" t="s">
        <v>539</v>
      </c>
      <c r="E4530" s="1" t="s">
        <v>926</v>
      </c>
      <c r="F4530" s="1" t="s">
        <v>926</v>
      </c>
      <c r="G4530" s="1">
        <v>18.0</v>
      </c>
      <c r="H4530" s="1">
        <v>0.631578947</v>
      </c>
      <c r="I4530" s="1">
        <v>5.11</v>
      </c>
      <c r="J4530" s="1">
        <v>0.334584</v>
      </c>
    </row>
    <row r="4531">
      <c r="A4531" s="1">
        <v>2025.0</v>
      </c>
      <c r="B4531" s="1" t="s">
        <v>802</v>
      </c>
      <c r="C4531" s="1">
        <v>681432.0</v>
      </c>
      <c r="D4531" s="1" t="s">
        <v>537</v>
      </c>
      <c r="E4531" s="1" t="s">
        <v>926</v>
      </c>
      <c r="F4531" s="1" t="s">
        <v>927</v>
      </c>
      <c r="G4531" s="1">
        <v>27.0</v>
      </c>
      <c r="H4531" s="1">
        <v>0.947368421</v>
      </c>
      <c r="I4531" s="1">
        <v>4.59</v>
      </c>
      <c r="J4531" s="1">
        <v>0.800786</v>
      </c>
    </row>
    <row r="4532">
      <c r="A4532" s="1">
        <v>2025.0</v>
      </c>
      <c r="B4532" s="1" t="s">
        <v>802</v>
      </c>
      <c r="C4532" s="1">
        <v>681432.0</v>
      </c>
      <c r="D4532" s="1" t="s">
        <v>539</v>
      </c>
      <c r="E4532" s="1" t="s">
        <v>926</v>
      </c>
      <c r="F4532" s="1" t="s">
        <v>927</v>
      </c>
      <c r="G4532" s="1">
        <v>17.0</v>
      </c>
      <c r="H4532" s="1">
        <v>0.596491228</v>
      </c>
      <c r="I4532" s="1">
        <v>5.78</v>
      </c>
      <c r="J4532" s="1">
        <v>0.099688</v>
      </c>
    </row>
    <row r="4533">
      <c r="A4533" s="1">
        <v>2025.0</v>
      </c>
      <c r="B4533" s="1" t="s">
        <v>988</v>
      </c>
      <c r="C4533" s="1">
        <v>571912.0</v>
      </c>
      <c r="D4533" s="1" t="s">
        <v>537</v>
      </c>
      <c r="E4533" s="1" t="s">
        <v>927</v>
      </c>
      <c r="F4533" s="1" t="s">
        <v>926</v>
      </c>
      <c r="G4533" s="1">
        <v>11.0</v>
      </c>
      <c r="H4533" s="1">
        <v>0.846153846</v>
      </c>
      <c r="I4533" s="1">
        <v>3.47</v>
      </c>
      <c r="J4533" s="1">
        <v>0.614903</v>
      </c>
    </row>
    <row r="4534">
      <c r="A4534" s="1">
        <v>2025.0</v>
      </c>
      <c r="B4534" s="1" t="s">
        <v>988</v>
      </c>
      <c r="C4534" s="1">
        <v>571912.0</v>
      </c>
      <c r="D4534" s="1" t="s">
        <v>928</v>
      </c>
      <c r="E4534" s="1" t="s">
        <v>927</v>
      </c>
      <c r="F4534" s="1" t="s">
        <v>926</v>
      </c>
      <c r="G4534" s="1">
        <v>2.0</v>
      </c>
      <c r="H4534" s="1">
        <v>0.153846154</v>
      </c>
      <c r="I4534" s="1">
        <v>5.0</v>
      </c>
      <c r="J4534" s="1">
        <v>0.044219</v>
      </c>
    </row>
    <row r="4535">
      <c r="A4535" s="1">
        <v>2025.0</v>
      </c>
      <c r="B4535" s="1" t="s">
        <v>225</v>
      </c>
      <c r="C4535" s="1">
        <v>596133.0</v>
      </c>
      <c r="D4535" s="1" t="s">
        <v>532</v>
      </c>
      <c r="E4535" s="1" t="s">
        <v>927</v>
      </c>
      <c r="F4535" s="1" t="s">
        <v>926</v>
      </c>
      <c r="G4535" s="1">
        <v>207.0</v>
      </c>
      <c r="H4535" s="1">
        <v>12.79732314</v>
      </c>
      <c r="I4535" s="1">
        <v>4.78</v>
      </c>
      <c r="J4535" s="1">
        <v>5.451436</v>
      </c>
    </row>
    <row r="4536">
      <c r="A4536" s="1">
        <v>2025.0</v>
      </c>
      <c r="B4536" s="1" t="s">
        <v>225</v>
      </c>
      <c r="C4536" s="1">
        <v>596133.0</v>
      </c>
      <c r="D4536" s="1" t="s">
        <v>540</v>
      </c>
      <c r="E4536" s="1" t="s">
        <v>927</v>
      </c>
      <c r="F4536" s="1" t="s">
        <v>926</v>
      </c>
      <c r="G4536" s="1">
        <v>20.0</v>
      </c>
      <c r="H4536" s="1">
        <v>1.236456342</v>
      </c>
      <c r="I4536" s="1">
        <v>4.92</v>
      </c>
      <c r="J4536" s="1">
        <v>0.48432</v>
      </c>
    </row>
    <row r="4537">
      <c r="A4537" s="1">
        <v>2025.0</v>
      </c>
      <c r="B4537" s="1" t="s">
        <v>225</v>
      </c>
      <c r="C4537" s="1">
        <v>596133.0</v>
      </c>
      <c r="D4537" s="1" t="s">
        <v>537</v>
      </c>
      <c r="E4537" s="1" t="s">
        <v>927</v>
      </c>
      <c r="F4537" s="1" t="s">
        <v>926</v>
      </c>
      <c r="G4537" s="1">
        <v>308.0</v>
      </c>
      <c r="H4537" s="1">
        <v>19.04142766</v>
      </c>
      <c r="I4537" s="1">
        <v>5.39</v>
      </c>
      <c r="J4537" s="1">
        <v>4.336622</v>
      </c>
    </row>
    <row r="4538">
      <c r="A4538" s="1">
        <v>2025.0</v>
      </c>
      <c r="B4538" s="1" t="s">
        <v>225</v>
      </c>
      <c r="C4538" s="1">
        <v>596133.0</v>
      </c>
      <c r="D4538" s="1" t="s">
        <v>533</v>
      </c>
      <c r="E4538" s="1" t="s">
        <v>927</v>
      </c>
      <c r="F4538" s="1" t="s">
        <v>926</v>
      </c>
      <c r="G4538" s="1">
        <v>2.0</v>
      </c>
      <c r="H4538" s="1">
        <v>0.123645634</v>
      </c>
      <c r="I4538" s="1">
        <v>0.05</v>
      </c>
      <c r="J4538" s="1">
        <v>0.244884</v>
      </c>
    </row>
    <row r="4539">
      <c r="A4539" s="1">
        <v>2025.0</v>
      </c>
      <c r="B4539" s="1" t="s">
        <v>225</v>
      </c>
      <c r="C4539" s="1">
        <v>596133.0</v>
      </c>
      <c r="D4539" s="1" t="s">
        <v>532</v>
      </c>
      <c r="E4539" s="1" t="s">
        <v>927</v>
      </c>
      <c r="F4539" s="1" t="s">
        <v>927</v>
      </c>
      <c r="G4539" s="1">
        <v>106.0</v>
      </c>
      <c r="H4539" s="1">
        <v>6.553218611</v>
      </c>
      <c r="I4539" s="1">
        <v>4.47</v>
      </c>
      <c r="J4539" s="1">
        <v>3.390616</v>
      </c>
    </row>
    <row r="4540">
      <c r="A4540" s="1">
        <v>2025.0</v>
      </c>
      <c r="B4540" s="1" t="s">
        <v>225</v>
      </c>
      <c r="C4540" s="1">
        <v>596133.0</v>
      </c>
      <c r="D4540" s="1" t="s">
        <v>540</v>
      </c>
      <c r="E4540" s="1" t="s">
        <v>927</v>
      </c>
      <c r="F4540" s="1" t="s">
        <v>927</v>
      </c>
      <c r="G4540" s="1">
        <v>81.0</v>
      </c>
      <c r="H4540" s="1">
        <v>5.007648184</v>
      </c>
      <c r="I4540" s="1">
        <v>5.16</v>
      </c>
      <c r="J4540" s="1">
        <v>1.521405</v>
      </c>
    </row>
    <row r="4541">
      <c r="A4541" s="1">
        <v>2025.0</v>
      </c>
      <c r="B4541" s="1" t="s">
        <v>225</v>
      </c>
      <c r="C4541" s="1">
        <v>596133.0</v>
      </c>
      <c r="D4541" s="1" t="s">
        <v>537</v>
      </c>
      <c r="E4541" s="1" t="s">
        <v>927</v>
      </c>
      <c r="F4541" s="1" t="s">
        <v>927</v>
      </c>
      <c r="G4541" s="1">
        <v>310.0</v>
      </c>
      <c r="H4541" s="1">
        <v>19.1650733</v>
      </c>
      <c r="I4541" s="1">
        <v>5.11</v>
      </c>
      <c r="J4541" s="1">
        <v>6.087698</v>
      </c>
    </row>
    <row r="4542">
      <c r="A4542" s="1">
        <v>2025.0</v>
      </c>
      <c r="B4542" s="1" t="s">
        <v>225</v>
      </c>
      <c r="C4542" s="1">
        <v>596133.0</v>
      </c>
      <c r="D4542" s="1" t="s">
        <v>533</v>
      </c>
      <c r="E4542" s="1" t="s">
        <v>927</v>
      </c>
      <c r="F4542" s="1" t="s">
        <v>927</v>
      </c>
      <c r="G4542" s="1">
        <v>12.0</v>
      </c>
      <c r="H4542" s="1">
        <v>0.741873805</v>
      </c>
      <c r="I4542" s="1">
        <v>5.22</v>
      </c>
      <c r="J4542" s="1">
        <v>0.20385</v>
      </c>
    </row>
    <row r="4543">
      <c r="A4543" s="1">
        <v>2025.0</v>
      </c>
      <c r="B4543" s="1" t="s">
        <v>879</v>
      </c>
      <c r="C4543" s="1">
        <v>663897.0</v>
      </c>
      <c r="D4543" s="1" t="s">
        <v>537</v>
      </c>
      <c r="E4543" s="1" t="s">
        <v>927</v>
      </c>
      <c r="F4543" s="1" t="s">
        <v>926</v>
      </c>
      <c r="G4543" s="1">
        <v>9.0</v>
      </c>
      <c r="H4543" s="1">
        <v>2.842105263</v>
      </c>
      <c r="I4543" s="1">
        <v>3.56</v>
      </c>
      <c r="J4543" s="1">
        <v>0.458655</v>
      </c>
    </row>
    <row r="4544">
      <c r="A4544" s="1">
        <v>2025.0</v>
      </c>
      <c r="B4544" s="1" t="s">
        <v>879</v>
      </c>
      <c r="C4544" s="1">
        <v>663897.0</v>
      </c>
      <c r="D4544" s="1" t="s">
        <v>537</v>
      </c>
      <c r="E4544" s="1" t="s">
        <v>927</v>
      </c>
      <c r="F4544" s="1" t="s">
        <v>927</v>
      </c>
      <c r="G4544" s="1">
        <v>10.0</v>
      </c>
      <c r="H4544" s="1">
        <v>3.157894737</v>
      </c>
      <c r="I4544" s="1">
        <v>4.36</v>
      </c>
      <c r="J4544" s="1">
        <v>0.370942</v>
      </c>
    </row>
    <row r="4545">
      <c r="A4545" s="1">
        <v>2025.0</v>
      </c>
      <c r="B4545" s="1" t="s">
        <v>518</v>
      </c>
      <c r="C4545" s="1">
        <v>680689.0</v>
      </c>
      <c r="D4545" s="1" t="s">
        <v>532</v>
      </c>
      <c r="E4545" s="1" t="s">
        <v>927</v>
      </c>
      <c r="F4545" s="1" t="s">
        <v>926</v>
      </c>
      <c r="G4545" s="1">
        <v>141.0</v>
      </c>
      <c r="H4545" s="1">
        <v>7.879821958</v>
      </c>
      <c r="I4545" s="1">
        <v>4.97</v>
      </c>
      <c r="J4545" s="1">
        <v>3.154242</v>
      </c>
    </row>
    <row r="4546">
      <c r="A4546" s="1">
        <v>2025.0</v>
      </c>
      <c r="B4546" s="1" t="s">
        <v>518</v>
      </c>
      <c r="C4546" s="1">
        <v>680689.0</v>
      </c>
      <c r="D4546" s="1" t="s">
        <v>541</v>
      </c>
      <c r="E4546" s="1" t="s">
        <v>927</v>
      </c>
      <c r="F4546" s="1" t="s">
        <v>926</v>
      </c>
      <c r="G4546" s="1">
        <v>13.0</v>
      </c>
      <c r="H4546" s="1">
        <v>0.726508408</v>
      </c>
      <c r="I4546" s="1">
        <v>4.54</v>
      </c>
      <c r="J4546" s="1">
        <v>0.414153</v>
      </c>
    </row>
    <row r="4547">
      <c r="A4547" s="1">
        <v>2025.0</v>
      </c>
      <c r="B4547" s="1" t="s">
        <v>518</v>
      </c>
      <c r="C4547" s="1">
        <v>680689.0</v>
      </c>
      <c r="D4547" s="1" t="s">
        <v>537</v>
      </c>
      <c r="E4547" s="1" t="s">
        <v>927</v>
      </c>
      <c r="F4547" s="1" t="s">
        <v>926</v>
      </c>
      <c r="G4547" s="1">
        <v>83.0</v>
      </c>
      <c r="H4547" s="1">
        <v>4.638476756</v>
      </c>
      <c r="I4547" s="1">
        <v>4.58</v>
      </c>
      <c r="J4547" s="1">
        <v>2.506875</v>
      </c>
    </row>
    <row r="4548">
      <c r="A4548" s="1">
        <v>2025.0</v>
      </c>
      <c r="B4548" s="1" t="s">
        <v>518</v>
      </c>
      <c r="C4548" s="1">
        <v>680689.0</v>
      </c>
      <c r="D4548" s="1" t="s">
        <v>536</v>
      </c>
      <c r="E4548" s="1" t="s">
        <v>927</v>
      </c>
      <c r="F4548" s="1" t="s">
        <v>926</v>
      </c>
      <c r="G4548" s="1">
        <v>26.0</v>
      </c>
      <c r="H4548" s="1">
        <v>1.453016815</v>
      </c>
      <c r="I4548" s="1">
        <v>4.66</v>
      </c>
      <c r="J4548" s="1">
        <v>0.804976</v>
      </c>
    </row>
    <row r="4549">
      <c r="A4549" s="1">
        <v>2025.0</v>
      </c>
      <c r="B4549" s="1" t="s">
        <v>518</v>
      </c>
      <c r="C4549" s="1">
        <v>680689.0</v>
      </c>
      <c r="D4549" s="1" t="s">
        <v>532</v>
      </c>
      <c r="E4549" s="1" t="s">
        <v>927</v>
      </c>
      <c r="F4549" s="1" t="s">
        <v>927</v>
      </c>
      <c r="G4549" s="1">
        <v>132.0</v>
      </c>
      <c r="H4549" s="1">
        <v>7.376854599</v>
      </c>
      <c r="I4549" s="1">
        <v>4.84</v>
      </c>
      <c r="J4549" s="1">
        <v>3.431344</v>
      </c>
    </row>
    <row r="4550">
      <c r="A4550" s="1">
        <v>2025.0</v>
      </c>
      <c r="B4550" s="1" t="s">
        <v>518</v>
      </c>
      <c r="C4550" s="1">
        <v>680689.0</v>
      </c>
      <c r="D4550" s="1" t="s">
        <v>541</v>
      </c>
      <c r="E4550" s="1" t="s">
        <v>927</v>
      </c>
      <c r="F4550" s="1" t="s">
        <v>927</v>
      </c>
      <c r="G4550" s="1">
        <v>52.0</v>
      </c>
      <c r="H4550" s="1">
        <v>2.90603363</v>
      </c>
      <c r="I4550" s="1">
        <v>4.41</v>
      </c>
      <c r="J4550" s="1">
        <v>1.764741</v>
      </c>
    </row>
    <row r="4551">
      <c r="A4551" s="1">
        <v>2025.0</v>
      </c>
      <c r="B4551" s="1" t="s">
        <v>518</v>
      </c>
      <c r="C4551" s="1">
        <v>680689.0</v>
      </c>
      <c r="D4551" s="1" t="s">
        <v>537</v>
      </c>
      <c r="E4551" s="1" t="s">
        <v>927</v>
      </c>
      <c r="F4551" s="1" t="s">
        <v>927</v>
      </c>
      <c r="G4551" s="1">
        <v>55.0</v>
      </c>
      <c r="H4551" s="1">
        <v>3.073689416</v>
      </c>
      <c r="I4551" s="1">
        <v>3.71</v>
      </c>
      <c r="J4551" s="1">
        <v>2.64447</v>
      </c>
    </row>
    <row r="4552">
      <c r="A4552" s="1">
        <v>2025.0</v>
      </c>
      <c r="B4552" s="1" t="s">
        <v>518</v>
      </c>
      <c r="C4552" s="1">
        <v>680689.0</v>
      </c>
      <c r="D4552" s="1" t="s">
        <v>536</v>
      </c>
      <c r="E4552" s="1" t="s">
        <v>927</v>
      </c>
      <c r="F4552" s="1" t="s">
        <v>927</v>
      </c>
      <c r="G4552" s="1">
        <v>170.0</v>
      </c>
      <c r="H4552" s="1">
        <v>9.50049456</v>
      </c>
      <c r="I4552" s="1">
        <v>4.92</v>
      </c>
      <c r="J4552" s="1">
        <v>4.073454</v>
      </c>
    </row>
    <row r="4553">
      <c r="A4553" s="1">
        <v>2025.0</v>
      </c>
      <c r="B4553" s="1" t="s">
        <v>518</v>
      </c>
      <c r="C4553" s="1">
        <v>680689.0</v>
      </c>
      <c r="D4553" s="1" t="s">
        <v>533</v>
      </c>
      <c r="E4553" s="1" t="s">
        <v>927</v>
      </c>
      <c r="F4553" s="1" t="s">
        <v>927</v>
      </c>
      <c r="G4553" s="1">
        <v>2.0</v>
      </c>
      <c r="H4553" s="1">
        <v>0.111770524</v>
      </c>
      <c r="I4553" s="1">
        <v>3.62</v>
      </c>
      <c r="J4553" s="1">
        <v>0.09877</v>
      </c>
    </row>
    <row r="4554">
      <c r="A4554" s="1">
        <v>2025.0</v>
      </c>
      <c r="B4554" s="1" t="s">
        <v>354</v>
      </c>
      <c r="C4554" s="1">
        <v>669022.0</v>
      </c>
      <c r="D4554" s="1" t="s">
        <v>541</v>
      </c>
      <c r="E4554" s="1" t="s">
        <v>926</v>
      </c>
      <c r="F4554" s="1" t="s">
        <v>926</v>
      </c>
      <c r="G4554" s="1">
        <v>90.0</v>
      </c>
      <c r="H4554" s="1">
        <v>5.101171459</v>
      </c>
      <c r="I4554" s="1">
        <v>4.91</v>
      </c>
      <c r="J4554" s="1">
        <v>2.158857</v>
      </c>
    </row>
    <row r="4555">
      <c r="A4555" s="1">
        <v>2025.0</v>
      </c>
      <c r="B4555" s="1" t="s">
        <v>354</v>
      </c>
      <c r="C4555" s="1">
        <v>669022.0</v>
      </c>
      <c r="D4555" s="1" t="s">
        <v>540</v>
      </c>
      <c r="E4555" s="1" t="s">
        <v>926</v>
      </c>
      <c r="F4555" s="1" t="s">
        <v>926</v>
      </c>
      <c r="G4555" s="1">
        <v>7.0</v>
      </c>
      <c r="H4555" s="1">
        <v>0.39675778</v>
      </c>
      <c r="I4555" s="1">
        <v>5.86</v>
      </c>
      <c r="J4555" s="1">
        <v>0.021634</v>
      </c>
    </row>
    <row r="4556">
      <c r="A4556" s="1">
        <v>2025.0</v>
      </c>
      <c r="B4556" s="1" t="s">
        <v>354</v>
      </c>
      <c r="C4556" s="1">
        <v>669022.0</v>
      </c>
      <c r="D4556" s="1" t="s">
        <v>537</v>
      </c>
      <c r="E4556" s="1" t="s">
        <v>926</v>
      </c>
      <c r="F4556" s="1" t="s">
        <v>926</v>
      </c>
      <c r="G4556" s="1">
        <v>306.0</v>
      </c>
      <c r="H4556" s="1">
        <v>17.34398296</v>
      </c>
      <c r="I4556" s="1">
        <v>5.31</v>
      </c>
      <c r="J4556" s="1">
        <v>5.018711</v>
      </c>
    </row>
    <row r="4557">
      <c r="A4557" s="1">
        <v>2025.0</v>
      </c>
      <c r="B4557" s="1" t="s">
        <v>354</v>
      </c>
      <c r="C4557" s="1">
        <v>669022.0</v>
      </c>
      <c r="D4557" s="1" t="s">
        <v>533</v>
      </c>
      <c r="E4557" s="1" t="s">
        <v>926</v>
      </c>
      <c r="F4557" s="1" t="s">
        <v>926</v>
      </c>
      <c r="G4557" s="1">
        <v>321.0</v>
      </c>
      <c r="H4557" s="1">
        <v>18.1941782</v>
      </c>
      <c r="I4557" s="1">
        <v>5.22</v>
      </c>
      <c r="J4557" s="1">
        <v>5.657688</v>
      </c>
    </row>
    <row r="4558">
      <c r="A4558" s="1">
        <v>2025.0</v>
      </c>
      <c r="B4558" s="1" t="s">
        <v>354</v>
      </c>
      <c r="C4558" s="1">
        <v>669022.0</v>
      </c>
      <c r="D4558" s="1" t="s">
        <v>532</v>
      </c>
      <c r="E4558" s="1" t="s">
        <v>926</v>
      </c>
      <c r="F4558" s="1" t="s">
        <v>927</v>
      </c>
      <c r="G4558" s="1">
        <v>289.0</v>
      </c>
      <c r="H4558" s="1">
        <v>16.38042835</v>
      </c>
      <c r="I4558" s="1">
        <v>4.26</v>
      </c>
      <c r="J4558" s="1">
        <v>10.709891</v>
      </c>
    </row>
    <row r="4559">
      <c r="A4559" s="1">
        <v>2025.0</v>
      </c>
      <c r="B4559" s="1" t="s">
        <v>354</v>
      </c>
      <c r="C4559" s="1">
        <v>669022.0</v>
      </c>
      <c r="D4559" s="1" t="s">
        <v>541</v>
      </c>
      <c r="E4559" s="1" t="s">
        <v>926</v>
      </c>
      <c r="F4559" s="1" t="s">
        <v>927</v>
      </c>
      <c r="G4559" s="1">
        <v>584.0</v>
      </c>
      <c r="H4559" s="1">
        <v>33.1009348</v>
      </c>
      <c r="I4559" s="1">
        <v>5.02</v>
      </c>
      <c r="J4559" s="1">
        <v>12.446354</v>
      </c>
    </row>
    <row r="4560">
      <c r="A4560" s="1">
        <v>2025.0</v>
      </c>
      <c r="B4560" s="1" t="s">
        <v>354</v>
      </c>
      <c r="C4560" s="1">
        <v>669022.0</v>
      </c>
      <c r="D4560" s="1" t="s">
        <v>540</v>
      </c>
      <c r="E4560" s="1" t="s">
        <v>926</v>
      </c>
      <c r="F4560" s="1" t="s">
        <v>927</v>
      </c>
      <c r="G4560" s="1">
        <v>126.0</v>
      </c>
      <c r="H4560" s="1">
        <v>7.141640043</v>
      </c>
      <c r="I4560" s="1">
        <v>4.46</v>
      </c>
      <c r="J4560" s="1">
        <v>4.192724</v>
      </c>
    </row>
    <row r="4561">
      <c r="A4561" s="1">
        <v>2025.0</v>
      </c>
      <c r="B4561" s="1" t="s">
        <v>354</v>
      </c>
      <c r="C4561" s="1">
        <v>669022.0</v>
      </c>
      <c r="D4561" s="1" t="s">
        <v>537</v>
      </c>
      <c r="E4561" s="1" t="s">
        <v>926</v>
      </c>
      <c r="F4561" s="1" t="s">
        <v>927</v>
      </c>
      <c r="G4561" s="1">
        <v>1082.0</v>
      </c>
      <c r="H4561" s="1">
        <v>61.32741687</v>
      </c>
      <c r="I4561" s="1">
        <v>5.15</v>
      </c>
      <c r="J4561" s="1">
        <v>21.208959</v>
      </c>
    </row>
    <row r="4562">
      <c r="A4562" s="1">
        <v>2025.0</v>
      </c>
      <c r="B4562" s="1" t="s">
        <v>354</v>
      </c>
      <c r="C4562" s="1">
        <v>669022.0</v>
      </c>
      <c r="D4562" s="1" t="s">
        <v>533</v>
      </c>
      <c r="E4562" s="1" t="s">
        <v>926</v>
      </c>
      <c r="F4562" s="1" t="s">
        <v>927</v>
      </c>
      <c r="G4562" s="1">
        <v>12.0</v>
      </c>
      <c r="H4562" s="1">
        <v>0.680156195</v>
      </c>
      <c r="I4562" s="1">
        <v>4.54</v>
      </c>
      <c r="J4562" s="1">
        <v>0.373019</v>
      </c>
    </row>
    <row r="4563">
      <c r="A4563" s="1">
        <v>2025.0</v>
      </c>
      <c r="B4563" s="1" t="s">
        <v>662</v>
      </c>
      <c r="C4563" s="1">
        <v>655889.0</v>
      </c>
      <c r="D4563" s="1" t="s">
        <v>537</v>
      </c>
      <c r="E4563" s="1" t="s">
        <v>927</v>
      </c>
      <c r="F4563" s="1" t="s">
        <v>926</v>
      </c>
      <c r="G4563" s="1">
        <v>61.0</v>
      </c>
      <c r="H4563" s="1">
        <v>4.293116783</v>
      </c>
      <c r="I4563" s="1">
        <v>4.65</v>
      </c>
      <c r="J4563" s="1">
        <v>1.815842</v>
      </c>
    </row>
    <row r="4564">
      <c r="A4564" s="1">
        <v>2025.0</v>
      </c>
      <c r="B4564" s="1" t="s">
        <v>662</v>
      </c>
      <c r="C4564" s="1">
        <v>655889.0</v>
      </c>
      <c r="D4564" s="1" t="s">
        <v>536</v>
      </c>
      <c r="E4564" s="1" t="s">
        <v>927</v>
      </c>
      <c r="F4564" s="1" t="s">
        <v>926</v>
      </c>
      <c r="G4564" s="1">
        <v>9.0</v>
      </c>
      <c r="H4564" s="1">
        <v>0.633410673</v>
      </c>
      <c r="I4564" s="1">
        <v>4.96</v>
      </c>
      <c r="J4564" s="1">
        <v>0.199451</v>
      </c>
    </row>
    <row r="4565">
      <c r="A4565" s="1">
        <v>2025.0</v>
      </c>
      <c r="B4565" s="1" t="s">
        <v>662</v>
      </c>
      <c r="C4565" s="1">
        <v>655889.0</v>
      </c>
      <c r="D4565" s="1" t="s">
        <v>533</v>
      </c>
      <c r="E4565" s="1" t="s">
        <v>927</v>
      </c>
      <c r="F4565" s="1" t="s">
        <v>926</v>
      </c>
      <c r="G4565" s="1">
        <v>74.0</v>
      </c>
      <c r="H4565" s="1">
        <v>5.20804331</v>
      </c>
      <c r="I4565" s="1">
        <v>5.21</v>
      </c>
      <c r="J4565" s="1">
        <v>1.335157</v>
      </c>
    </row>
    <row r="4566">
      <c r="A4566" s="1">
        <v>2025.0</v>
      </c>
      <c r="B4566" s="1" t="s">
        <v>662</v>
      </c>
      <c r="C4566" s="1">
        <v>655889.0</v>
      </c>
      <c r="D4566" s="1" t="s">
        <v>537</v>
      </c>
      <c r="E4566" s="1" t="s">
        <v>927</v>
      </c>
      <c r="F4566" s="1" t="s">
        <v>927</v>
      </c>
      <c r="G4566" s="1">
        <v>10.0</v>
      </c>
      <c r="H4566" s="1">
        <v>0.703789637</v>
      </c>
      <c r="I4566" s="1">
        <v>3.89</v>
      </c>
      <c r="J4566" s="1">
        <v>0.442911</v>
      </c>
    </row>
    <row r="4567">
      <c r="A4567" s="1">
        <v>2025.0</v>
      </c>
      <c r="B4567" s="1" t="s">
        <v>662</v>
      </c>
      <c r="C4567" s="1">
        <v>655889.0</v>
      </c>
      <c r="D4567" s="1" t="s">
        <v>536</v>
      </c>
      <c r="E4567" s="1" t="s">
        <v>927</v>
      </c>
      <c r="F4567" s="1" t="s">
        <v>927</v>
      </c>
      <c r="G4567" s="1">
        <v>137.0</v>
      </c>
      <c r="H4567" s="1">
        <v>9.64191802</v>
      </c>
      <c r="I4567" s="1">
        <v>5.05</v>
      </c>
      <c r="J4567" s="1">
        <v>2.893264</v>
      </c>
    </row>
    <row r="4568">
      <c r="A4568" s="1">
        <v>2025.0</v>
      </c>
      <c r="B4568" s="1" t="s">
        <v>662</v>
      </c>
      <c r="C4568" s="1">
        <v>655889.0</v>
      </c>
      <c r="D4568" s="1" t="s">
        <v>533</v>
      </c>
      <c r="E4568" s="1" t="s">
        <v>927</v>
      </c>
      <c r="F4568" s="1" t="s">
        <v>927</v>
      </c>
      <c r="G4568" s="1">
        <v>140.0</v>
      </c>
      <c r="H4568" s="1">
        <v>9.853054911</v>
      </c>
      <c r="I4568" s="1">
        <v>5.3</v>
      </c>
      <c r="J4568" s="1">
        <v>2.158223</v>
      </c>
    </row>
    <row r="4569">
      <c r="A4569" s="1">
        <v>2025.0</v>
      </c>
      <c r="B4569" s="1" t="s">
        <v>677</v>
      </c>
      <c r="C4569" s="1">
        <v>687847.0</v>
      </c>
      <c r="D4569" s="1" t="s">
        <v>532</v>
      </c>
      <c r="E4569" s="1" t="s">
        <v>927</v>
      </c>
      <c r="F4569" s="1" t="s">
        <v>926</v>
      </c>
      <c r="G4569" s="1">
        <v>3.0</v>
      </c>
      <c r="H4569" s="1">
        <v>0.141414141</v>
      </c>
      <c r="I4569" s="1">
        <v>4.48</v>
      </c>
      <c r="J4569" s="1">
        <v>0.091384</v>
      </c>
    </row>
    <row r="4570">
      <c r="A4570" s="1">
        <v>2025.0</v>
      </c>
      <c r="B4570" s="1" t="s">
        <v>677</v>
      </c>
      <c r="C4570" s="1">
        <v>687847.0</v>
      </c>
      <c r="D4570" s="1" t="s">
        <v>537</v>
      </c>
      <c r="E4570" s="1" t="s">
        <v>927</v>
      </c>
      <c r="F4570" s="1" t="s">
        <v>926</v>
      </c>
      <c r="G4570" s="1">
        <v>25.0</v>
      </c>
      <c r="H4570" s="1">
        <v>1.178451178</v>
      </c>
      <c r="I4570" s="1">
        <v>4.67</v>
      </c>
      <c r="J4570" s="1">
        <v>0.723144</v>
      </c>
    </row>
    <row r="4571">
      <c r="A4571" s="1">
        <v>2025.0</v>
      </c>
      <c r="B4571" s="1" t="s">
        <v>677</v>
      </c>
      <c r="C4571" s="1">
        <v>687847.0</v>
      </c>
      <c r="D4571" s="1" t="s">
        <v>533</v>
      </c>
      <c r="E4571" s="1" t="s">
        <v>927</v>
      </c>
      <c r="F4571" s="1" t="s">
        <v>926</v>
      </c>
      <c r="G4571" s="1">
        <v>23.0</v>
      </c>
      <c r="H4571" s="1">
        <v>1.084175084</v>
      </c>
      <c r="I4571" s="1">
        <v>5.44</v>
      </c>
      <c r="J4571" s="1">
        <v>0.305436</v>
      </c>
    </row>
    <row r="4572">
      <c r="A4572" s="1">
        <v>2025.0</v>
      </c>
      <c r="B4572" s="1" t="s">
        <v>677</v>
      </c>
      <c r="C4572" s="1">
        <v>687847.0</v>
      </c>
      <c r="D4572" s="1" t="s">
        <v>537</v>
      </c>
      <c r="E4572" s="1" t="s">
        <v>927</v>
      </c>
      <c r="F4572" s="1" t="s">
        <v>927</v>
      </c>
      <c r="G4572" s="1">
        <v>22.0</v>
      </c>
      <c r="H4572" s="1">
        <v>1.037037037</v>
      </c>
      <c r="I4572" s="1">
        <v>3.89</v>
      </c>
      <c r="J4572" s="1">
        <v>0.947494</v>
      </c>
    </row>
    <row r="4573">
      <c r="A4573" s="1">
        <v>2025.0</v>
      </c>
      <c r="B4573" s="1" t="s">
        <v>677</v>
      </c>
      <c r="C4573" s="1">
        <v>687847.0</v>
      </c>
      <c r="D4573" s="1" t="s">
        <v>533</v>
      </c>
      <c r="E4573" s="1" t="s">
        <v>927</v>
      </c>
      <c r="F4573" s="1" t="s">
        <v>927</v>
      </c>
      <c r="G4573" s="1">
        <v>26.0</v>
      </c>
      <c r="H4573" s="1">
        <v>1.225589226</v>
      </c>
      <c r="I4573" s="1">
        <v>4.63</v>
      </c>
      <c r="J4573" s="1">
        <v>0.737177</v>
      </c>
    </row>
    <row r="4574">
      <c r="A4574" s="1">
        <v>2025.0</v>
      </c>
      <c r="B4574" s="1" t="s">
        <v>383</v>
      </c>
      <c r="C4574" s="1">
        <v>573186.0</v>
      </c>
      <c r="D4574" s="1" t="s">
        <v>541</v>
      </c>
      <c r="E4574" s="1" t="s">
        <v>927</v>
      </c>
      <c r="F4574" s="1" t="s">
        <v>926</v>
      </c>
      <c r="G4574" s="1">
        <v>103.0</v>
      </c>
      <c r="H4574" s="1">
        <v>5.705965909</v>
      </c>
      <c r="I4574" s="1">
        <v>5.38</v>
      </c>
      <c r="J4574" s="1">
        <v>1.510525</v>
      </c>
    </row>
    <row r="4575">
      <c r="A4575" s="1">
        <v>2025.0</v>
      </c>
      <c r="B4575" s="1" t="s">
        <v>383</v>
      </c>
      <c r="C4575" s="1">
        <v>573186.0</v>
      </c>
      <c r="D4575" s="1" t="s">
        <v>540</v>
      </c>
      <c r="E4575" s="1" t="s">
        <v>927</v>
      </c>
      <c r="F4575" s="1" t="s">
        <v>926</v>
      </c>
      <c r="G4575" s="1">
        <v>91.0</v>
      </c>
      <c r="H4575" s="1">
        <v>5.041193182</v>
      </c>
      <c r="I4575" s="1">
        <v>4.9</v>
      </c>
      <c r="J4575" s="1">
        <v>2.193365</v>
      </c>
    </row>
    <row r="4576">
      <c r="A4576" s="1">
        <v>2025.0</v>
      </c>
      <c r="B4576" s="1" t="s">
        <v>383</v>
      </c>
      <c r="C4576" s="1">
        <v>573186.0</v>
      </c>
      <c r="D4576" s="1" t="s">
        <v>537</v>
      </c>
      <c r="E4576" s="1" t="s">
        <v>927</v>
      </c>
      <c r="F4576" s="1" t="s">
        <v>926</v>
      </c>
      <c r="G4576" s="1">
        <v>21.0</v>
      </c>
      <c r="H4576" s="1">
        <v>1.163352273</v>
      </c>
      <c r="I4576" s="1">
        <v>4.72</v>
      </c>
      <c r="J4576" s="1">
        <v>0.598981</v>
      </c>
    </row>
    <row r="4577">
      <c r="A4577" s="1">
        <v>2025.0</v>
      </c>
      <c r="B4577" s="1" t="s">
        <v>383</v>
      </c>
      <c r="C4577" s="1">
        <v>573186.0</v>
      </c>
      <c r="D4577" s="1" t="s">
        <v>538</v>
      </c>
      <c r="E4577" s="1" t="s">
        <v>927</v>
      </c>
      <c r="F4577" s="1" t="s">
        <v>926</v>
      </c>
      <c r="G4577" s="1">
        <v>72.0</v>
      </c>
      <c r="H4577" s="1">
        <v>3.988636364</v>
      </c>
      <c r="I4577" s="1">
        <v>4.74</v>
      </c>
      <c r="J4577" s="1">
        <v>1.863022</v>
      </c>
    </row>
    <row r="4578">
      <c r="A4578" s="1">
        <v>2025.0</v>
      </c>
      <c r="B4578" s="1" t="s">
        <v>383</v>
      </c>
      <c r="C4578" s="1">
        <v>573186.0</v>
      </c>
      <c r="D4578" s="1" t="s">
        <v>536</v>
      </c>
      <c r="E4578" s="1" t="s">
        <v>927</v>
      </c>
      <c r="F4578" s="1" t="s">
        <v>926</v>
      </c>
      <c r="G4578" s="1">
        <v>107.0</v>
      </c>
      <c r="H4578" s="1">
        <v>5.927556818</v>
      </c>
      <c r="I4578" s="1">
        <v>4.78</v>
      </c>
      <c r="J4578" s="1">
        <v>2.88237</v>
      </c>
    </row>
    <row r="4579">
      <c r="A4579" s="1">
        <v>2025.0</v>
      </c>
      <c r="B4579" s="1" t="s">
        <v>383</v>
      </c>
      <c r="C4579" s="1">
        <v>573186.0</v>
      </c>
      <c r="D4579" s="1" t="s">
        <v>533</v>
      </c>
      <c r="E4579" s="1" t="s">
        <v>927</v>
      </c>
      <c r="F4579" s="1" t="s">
        <v>926</v>
      </c>
      <c r="G4579" s="1">
        <v>19.0</v>
      </c>
      <c r="H4579" s="1">
        <v>1.052556818</v>
      </c>
      <c r="I4579" s="1">
        <v>5.81</v>
      </c>
      <c r="J4579" s="1">
        <v>0.051578</v>
      </c>
    </row>
    <row r="4580">
      <c r="A4580" s="1">
        <v>2025.0</v>
      </c>
      <c r="B4580" s="1" t="s">
        <v>383</v>
      </c>
      <c r="C4580" s="1">
        <v>573186.0</v>
      </c>
      <c r="D4580" s="1" t="s">
        <v>541</v>
      </c>
      <c r="E4580" s="1" t="s">
        <v>927</v>
      </c>
      <c r="F4580" s="1" t="s">
        <v>927</v>
      </c>
      <c r="G4580" s="1">
        <v>71.0</v>
      </c>
      <c r="H4580" s="1">
        <v>3.933238636</v>
      </c>
      <c r="I4580" s="1">
        <v>5.4</v>
      </c>
      <c r="J4580" s="1">
        <v>0.967264</v>
      </c>
    </row>
    <row r="4581">
      <c r="A4581" s="1">
        <v>2025.0</v>
      </c>
      <c r="B4581" s="1" t="s">
        <v>383</v>
      </c>
      <c r="C4581" s="1">
        <v>573186.0</v>
      </c>
      <c r="D4581" s="1" t="s">
        <v>540</v>
      </c>
      <c r="E4581" s="1" t="s">
        <v>927</v>
      </c>
      <c r="F4581" s="1" t="s">
        <v>927</v>
      </c>
      <c r="G4581" s="1">
        <v>34.0</v>
      </c>
      <c r="H4581" s="1">
        <v>1.883522727</v>
      </c>
      <c r="I4581" s="1">
        <v>5.51</v>
      </c>
      <c r="J4581" s="1">
        <v>0.372499</v>
      </c>
    </row>
    <row r="4582">
      <c r="A4582" s="1">
        <v>2025.0</v>
      </c>
      <c r="B4582" s="1" t="s">
        <v>383</v>
      </c>
      <c r="C4582" s="1">
        <v>573186.0</v>
      </c>
      <c r="D4582" s="1" t="s">
        <v>537</v>
      </c>
      <c r="E4582" s="1" t="s">
        <v>927</v>
      </c>
      <c r="F4582" s="1" t="s">
        <v>927</v>
      </c>
      <c r="G4582" s="1">
        <v>9.0</v>
      </c>
      <c r="H4582" s="1">
        <v>0.498579545</v>
      </c>
      <c r="I4582" s="1">
        <v>3.16</v>
      </c>
      <c r="J4582" s="1">
        <v>0.575711</v>
      </c>
    </row>
    <row r="4583">
      <c r="A4583" s="1">
        <v>2025.0</v>
      </c>
      <c r="B4583" s="1" t="s">
        <v>383</v>
      </c>
      <c r="C4583" s="1">
        <v>573186.0</v>
      </c>
      <c r="D4583" s="1" t="s">
        <v>538</v>
      </c>
      <c r="E4583" s="1" t="s">
        <v>927</v>
      </c>
      <c r="F4583" s="1" t="s">
        <v>927</v>
      </c>
      <c r="G4583" s="1">
        <v>3.0</v>
      </c>
      <c r="H4583" s="1">
        <v>0.166193182</v>
      </c>
      <c r="I4583" s="1">
        <v>3.2</v>
      </c>
      <c r="J4583" s="1">
        <v>0.1799</v>
      </c>
    </row>
    <row r="4584">
      <c r="A4584" s="1">
        <v>2025.0</v>
      </c>
      <c r="B4584" s="1" t="s">
        <v>383</v>
      </c>
      <c r="C4584" s="1">
        <v>573186.0</v>
      </c>
      <c r="D4584" s="1" t="s">
        <v>536</v>
      </c>
      <c r="E4584" s="1" t="s">
        <v>927</v>
      </c>
      <c r="F4584" s="1" t="s">
        <v>927</v>
      </c>
      <c r="G4584" s="1">
        <v>150.0</v>
      </c>
      <c r="H4584" s="1">
        <v>8.309659091</v>
      </c>
      <c r="I4584" s="1">
        <v>4.77</v>
      </c>
      <c r="J4584" s="1">
        <v>4.187449</v>
      </c>
    </row>
    <row r="4585">
      <c r="A4585" s="1">
        <v>2025.0</v>
      </c>
      <c r="B4585" s="1" t="s">
        <v>383</v>
      </c>
      <c r="C4585" s="1">
        <v>573186.0</v>
      </c>
      <c r="D4585" s="1" t="s">
        <v>533</v>
      </c>
      <c r="E4585" s="1" t="s">
        <v>927</v>
      </c>
      <c r="F4585" s="1" t="s">
        <v>927</v>
      </c>
      <c r="G4585" s="1">
        <v>24.0</v>
      </c>
      <c r="H4585" s="1">
        <v>1.329545455</v>
      </c>
      <c r="I4585" s="1">
        <v>5.07</v>
      </c>
      <c r="J4585" s="1">
        <v>0.492592</v>
      </c>
    </row>
    <row r="4586">
      <c r="A4586" s="1">
        <v>2025.0</v>
      </c>
      <c r="B4586" s="1" t="s">
        <v>467</v>
      </c>
      <c r="C4586" s="1">
        <v>643410.0</v>
      </c>
      <c r="D4586" s="1" t="s">
        <v>541</v>
      </c>
      <c r="E4586" s="1" t="s">
        <v>927</v>
      </c>
      <c r="F4586" s="1" t="s">
        <v>926</v>
      </c>
      <c r="G4586" s="1">
        <v>119.0</v>
      </c>
      <c r="H4586" s="1">
        <v>6.921379864</v>
      </c>
      <c r="I4586" s="1">
        <v>4.98</v>
      </c>
      <c r="J4586" s="1">
        <v>2.723398</v>
      </c>
    </row>
    <row r="4587">
      <c r="A4587" s="1">
        <v>2025.0</v>
      </c>
      <c r="B4587" s="1" t="s">
        <v>467</v>
      </c>
      <c r="C4587" s="1">
        <v>643410.0</v>
      </c>
      <c r="D4587" s="1" t="s">
        <v>540</v>
      </c>
      <c r="E4587" s="1" t="s">
        <v>927</v>
      </c>
      <c r="F4587" s="1" t="s">
        <v>926</v>
      </c>
      <c r="G4587" s="1">
        <v>21.0</v>
      </c>
      <c r="H4587" s="1">
        <v>1.221419976</v>
      </c>
      <c r="I4587" s="1">
        <v>6.0</v>
      </c>
      <c r="J4587" s="1">
        <v>0.052667</v>
      </c>
    </row>
    <row r="4588">
      <c r="A4588" s="1">
        <v>2025.0</v>
      </c>
      <c r="B4588" s="1" t="s">
        <v>467</v>
      </c>
      <c r="C4588" s="1">
        <v>643410.0</v>
      </c>
      <c r="D4588" s="1" t="s">
        <v>537</v>
      </c>
      <c r="E4588" s="1" t="s">
        <v>927</v>
      </c>
      <c r="F4588" s="1" t="s">
        <v>926</v>
      </c>
      <c r="G4588" s="1">
        <v>5.0</v>
      </c>
      <c r="H4588" s="1">
        <v>0.29081428</v>
      </c>
      <c r="I4588" s="1">
        <v>2.27</v>
      </c>
      <c r="J4588" s="1">
        <v>0.380322</v>
      </c>
    </row>
    <row r="4589">
      <c r="A4589" s="1">
        <v>2025.0</v>
      </c>
      <c r="B4589" s="1" t="s">
        <v>467</v>
      </c>
      <c r="C4589" s="1">
        <v>643410.0</v>
      </c>
      <c r="D4589" s="1" t="s">
        <v>538</v>
      </c>
      <c r="E4589" s="1" t="s">
        <v>927</v>
      </c>
      <c r="F4589" s="1" t="s">
        <v>926</v>
      </c>
      <c r="G4589" s="1">
        <v>187.0</v>
      </c>
      <c r="H4589" s="1">
        <v>10.87645407</v>
      </c>
      <c r="I4589" s="1">
        <v>4.75</v>
      </c>
      <c r="J4589" s="1">
        <v>4.975949</v>
      </c>
    </row>
    <row r="4590">
      <c r="A4590" s="1">
        <v>2025.0</v>
      </c>
      <c r="B4590" s="1" t="s">
        <v>467</v>
      </c>
      <c r="C4590" s="1">
        <v>643410.0</v>
      </c>
      <c r="D4590" s="1" t="s">
        <v>536</v>
      </c>
      <c r="E4590" s="1" t="s">
        <v>927</v>
      </c>
      <c r="F4590" s="1" t="s">
        <v>926</v>
      </c>
      <c r="G4590" s="1">
        <v>153.0</v>
      </c>
      <c r="H4590" s="1">
        <v>8.898916968</v>
      </c>
      <c r="I4590" s="1">
        <v>4.92</v>
      </c>
      <c r="J4590" s="1">
        <v>3.803622</v>
      </c>
    </row>
    <row r="4591">
      <c r="A4591" s="1">
        <v>2025.0</v>
      </c>
      <c r="B4591" s="1" t="s">
        <v>467</v>
      </c>
      <c r="C4591" s="1">
        <v>643410.0</v>
      </c>
      <c r="D4591" s="1" t="s">
        <v>533</v>
      </c>
      <c r="E4591" s="1" t="s">
        <v>927</v>
      </c>
      <c r="F4591" s="1" t="s">
        <v>926</v>
      </c>
      <c r="G4591" s="1">
        <v>2.0</v>
      </c>
      <c r="H4591" s="1">
        <v>0.116325712</v>
      </c>
      <c r="I4591" s="1">
        <v>5.54</v>
      </c>
      <c r="J4591" s="1">
        <v>0.031163</v>
      </c>
    </row>
    <row r="4592">
      <c r="A4592" s="1">
        <v>2025.0</v>
      </c>
      <c r="B4592" s="1" t="s">
        <v>467</v>
      </c>
      <c r="C4592" s="1">
        <v>643410.0</v>
      </c>
      <c r="D4592" s="1" t="s">
        <v>541</v>
      </c>
      <c r="E4592" s="1" t="s">
        <v>927</v>
      </c>
      <c r="F4592" s="1" t="s">
        <v>927</v>
      </c>
      <c r="G4592" s="1">
        <v>92.0</v>
      </c>
      <c r="H4592" s="1">
        <v>5.350982752</v>
      </c>
      <c r="I4592" s="1">
        <v>4.64</v>
      </c>
      <c r="J4592" s="1">
        <v>2.689661</v>
      </c>
    </row>
    <row r="4593">
      <c r="A4593" s="1">
        <v>2025.0</v>
      </c>
      <c r="B4593" s="1" t="s">
        <v>467</v>
      </c>
      <c r="C4593" s="1">
        <v>643410.0</v>
      </c>
      <c r="D4593" s="1" t="s">
        <v>537</v>
      </c>
      <c r="E4593" s="1" t="s">
        <v>927</v>
      </c>
      <c r="F4593" s="1" t="s">
        <v>927</v>
      </c>
      <c r="G4593" s="1">
        <v>1.0</v>
      </c>
      <c r="H4593" s="1">
        <v>0.058162856</v>
      </c>
      <c r="I4593" s="1">
        <v>3.27</v>
      </c>
      <c r="J4593" s="1">
        <v>0.060848</v>
      </c>
    </row>
    <row r="4594">
      <c r="A4594" s="1">
        <v>2025.0</v>
      </c>
      <c r="B4594" s="1" t="s">
        <v>467</v>
      </c>
      <c r="C4594" s="1">
        <v>643410.0</v>
      </c>
      <c r="D4594" s="1" t="s">
        <v>538</v>
      </c>
      <c r="E4594" s="1" t="s">
        <v>927</v>
      </c>
      <c r="F4594" s="1" t="s">
        <v>927</v>
      </c>
      <c r="G4594" s="1">
        <v>66.0</v>
      </c>
      <c r="H4594" s="1">
        <v>3.838748496</v>
      </c>
      <c r="I4594" s="1">
        <v>4.62</v>
      </c>
      <c r="J4594" s="1">
        <v>1.913181</v>
      </c>
    </row>
    <row r="4595">
      <c r="A4595" s="1">
        <v>2025.0</v>
      </c>
      <c r="B4595" s="1" t="s">
        <v>467</v>
      </c>
      <c r="C4595" s="1">
        <v>643410.0</v>
      </c>
      <c r="D4595" s="1" t="s">
        <v>536</v>
      </c>
      <c r="E4595" s="1" t="s">
        <v>927</v>
      </c>
      <c r="F4595" s="1" t="s">
        <v>927</v>
      </c>
      <c r="G4595" s="1">
        <v>169.0</v>
      </c>
      <c r="H4595" s="1">
        <v>9.829522663</v>
      </c>
      <c r="I4595" s="1">
        <v>4.97</v>
      </c>
      <c r="J4595" s="1">
        <v>4.045846</v>
      </c>
    </row>
    <row r="4596">
      <c r="A4596" s="1">
        <v>2025.0</v>
      </c>
      <c r="B4596" s="1" t="s">
        <v>467</v>
      </c>
      <c r="C4596" s="1">
        <v>643410.0</v>
      </c>
      <c r="D4596" s="1" t="s">
        <v>533</v>
      </c>
      <c r="E4596" s="1" t="s">
        <v>927</v>
      </c>
      <c r="F4596" s="1" t="s">
        <v>927</v>
      </c>
      <c r="G4596" s="1">
        <v>16.0</v>
      </c>
      <c r="H4596" s="1">
        <v>0.930605696</v>
      </c>
      <c r="I4596" s="1">
        <v>4.57</v>
      </c>
      <c r="J4596" s="1">
        <v>0.501107</v>
      </c>
    </row>
    <row r="4597">
      <c r="A4597" s="1">
        <v>2025.0</v>
      </c>
      <c r="B4597" s="1" t="s">
        <v>473</v>
      </c>
      <c r="C4597" s="1">
        <v>527048.0</v>
      </c>
      <c r="D4597" s="1" t="s">
        <v>532</v>
      </c>
      <c r="E4597" s="1" t="s">
        <v>926</v>
      </c>
      <c r="F4597" s="1" t="s">
        <v>926</v>
      </c>
      <c r="G4597" s="1">
        <v>57.0</v>
      </c>
      <c r="H4597" s="1">
        <v>3.546666667</v>
      </c>
      <c r="I4597" s="1">
        <v>5.13</v>
      </c>
      <c r="J4597" s="1">
        <v>1.105154</v>
      </c>
    </row>
    <row r="4598">
      <c r="A4598" s="1">
        <v>2025.0</v>
      </c>
      <c r="B4598" s="1" t="s">
        <v>473</v>
      </c>
      <c r="C4598" s="1">
        <v>527048.0</v>
      </c>
      <c r="D4598" s="1" t="s">
        <v>541</v>
      </c>
      <c r="E4598" s="1" t="s">
        <v>926</v>
      </c>
      <c r="F4598" s="1" t="s">
        <v>926</v>
      </c>
      <c r="G4598" s="1">
        <v>33.0</v>
      </c>
      <c r="H4598" s="1">
        <v>2.053333333</v>
      </c>
      <c r="I4598" s="1">
        <v>4.92</v>
      </c>
      <c r="J4598" s="1">
        <v>0.804031</v>
      </c>
    </row>
    <row r="4599">
      <c r="A4599" s="1">
        <v>2025.0</v>
      </c>
      <c r="B4599" s="1" t="s">
        <v>473</v>
      </c>
      <c r="C4599" s="1">
        <v>527048.0</v>
      </c>
      <c r="D4599" s="1" t="s">
        <v>540</v>
      </c>
      <c r="E4599" s="1" t="s">
        <v>926</v>
      </c>
      <c r="F4599" s="1" t="s">
        <v>926</v>
      </c>
      <c r="G4599" s="1">
        <v>34.0</v>
      </c>
      <c r="H4599" s="1">
        <v>2.115555556</v>
      </c>
      <c r="I4599" s="1">
        <v>4.55</v>
      </c>
      <c r="J4599" s="1">
        <v>1.048973</v>
      </c>
    </row>
    <row r="4600">
      <c r="A4600" s="1">
        <v>2025.0</v>
      </c>
      <c r="B4600" s="1" t="s">
        <v>473</v>
      </c>
      <c r="C4600" s="1">
        <v>527048.0</v>
      </c>
      <c r="D4600" s="1" t="s">
        <v>537</v>
      </c>
      <c r="E4600" s="1" t="s">
        <v>926</v>
      </c>
      <c r="F4600" s="1" t="s">
        <v>926</v>
      </c>
      <c r="G4600" s="1">
        <v>11.0</v>
      </c>
      <c r="H4600" s="1">
        <v>0.684444444</v>
      </c>
      <c r="I4600" s="1">
        <v>5.03</v>
      </c>
      <c r="J4600" s="1">
        <v>0.245427</v>
      </c>
    </row>
    <row r="4601">
      <c r="A4601" s="1">
        <v>2025.0</v>
      </c>
      <c r="B4601" s="1" t="s">
        <v>473</v>
      </c>
      <c r="C4601" s="1">
        <v>527048.0</v>
      </c>
      <c r="D4601" s="1" t="s">
        <v>536</v>
      </c>
      <c r="E4601" s="1" t="s">
        <v>926</v>
      </c>
      <c r="F4601" s="1" t="s">
        <v>926</v>
      </c>
      <c r="G4601" s="1">
        <v>90.0</v>
      </c>
      <c r="H4601" s="1">
        <v>5.6</v>
      </c>
      <c r="I4601" s="1">
        <v>4.96</v>
      </c>
      <c r="J4601" s="1">
        <v>2.112192</v>
      </c>
    </row>
    <row r="4602">
      <c r="A4602" s="1">
        <v>2025.0</v>
      </c>
      <c r="B4602" s="1" t="s">
        <v>473</v>
      </c>
      <c r="C4602" s="1">
        <v>527048.0</v>
      </c>
      <c r="D4602" s="1" t="s">
        <v>532</v>
      </c>
      <c r="E4602" s="1" t="s">
        <v>926</v>
      </c>
      <c r="F4602" s="1" t="s">
        <v>927</v>
      </c>
      <c r="G4602" s="1">
        <v>203.0</v>
      </c>
      <c r="H4602" s="1">
        <v>12.63111111</v>
      </c>
      <c r="I4602" s="1">
        <v>5.02</v>
      </c>
      <c r="J4602" s="1">
        <v>4.383767</v>
      </c>
    </row>
    <row r="4603">
      <c r="A4603" s="1">
        <v>2025.0</v>
      </c>
      <c r="B4603" s="1" t="s">
        <v>473</v>
      </c>
      <c r="C4603" s="1">
        <v>527048.0</v>
      </c>
      <c r="D4603" s="1" t="s">
        <v>541</v>
      </c>
      <c r="E4603" s="1" t="s">
        <v>926</v>
      </c>
      <c r="F4603" s="1" t="s">
        <v>927</v>
      </c>
      <c r="G4603" s="1">
        <v>42.0</v>
      </c>
      <c r="H4603" s="1">
        <v>2.613333333</v>
      </c>
      <c r="I4603" s="1">
        <v>4.7</v>
      </c>
      <c r="J4603" s="1">
        <v>1.190434</v>
      </c>
    </row>
    <row r="4604">
      <c r="A4604" s="1">
        <v>2025.0</v>
      </c>
      <c r="B4604" s="1" t="s">
        <v>473</v>
      </c>
      <c r="C4604" s="1">
        <v>527048.0</v>
      </c>
      <c r="D4604" s="1" t="s">
        <v>540</v>
      </c>
      <c r="E4604" s="1" t="s">
        <v>926</v>
      </c>
      <c r="F4604" s="1" t="s">
        <v>927</v>
      </c>
      <c r="G4604" s="1">
        <v>219.0</v>
      </c>
      <c r="H4604" s="1">
        <v>13.62666667</v>
      </c>
      <c r="I4604" s="1">
        <v>4.9</v>
      </c>
      <c r="J4604" s="1">
        <v>5.362221</v>
      </c>
    </row>
    <row r="4605">
      <c r="A4605" s="1">
        <v>2025.0</v>
      </c>
      <c r="B4605" s="1" t="s">
        <v>473</v>
      </c>
      <c r="C4605" s="1">
        <v>527048.0</v>
      </c>
      <c r="D4605" s="1" t="s">
        <v>537</v>
      </c>
      <c r="E4605" s="1" t="s">
        <v>926</v>
      </c>
      <c r="F4605" s="1" t="s">
        <v>927</v>
      </c>
      <c r="G4605" s="1">
        <v>21.0</v>
      </c>
      <c r="H4605" s="1">
        <v>1.306666667</v>
      </c>
      <c r="I4605" s="1">
        <v>4.48</v>
      </c>
      <c r="J4605" s="1">
        <v>0.664933</v>
      </c>
    </row>
    <row r="4606">
      <c r="A4606" s="1">
        <v>2025.0</v>
      </c>
      <c r="B4606" s="1" t="s">
        <v>473</v>
      </c>
      <c r="C4606" s="1">
        <v>527048.0</v>
      </c>
      <c r="D4606" s="1" t="s">
        <v>536</v>
      </c>
      <c r="E4606" s="1" t="s">
        <v>926</v>
      </c>
      <c r="F4606" s="1" t="s">
        <v>927</v>
      </c>
      <c r="G4606" s="1">
        <v>190.0</v>
      </c>
      <c r="H4606" s="1">
        <v>11.82222222</v>
      </c>
      <c r="I4606" s="1">
        <v>4.63</v>
      </c>
      <c r="J4606" s="1">
        <v>5.690649</v>
      </c>
    </row>
    <row r="4607">
      <c r="A4607" s="1">
        <v>2025.0</v>
      </c>
      <c r="B4607" s="1" t="s">
        <v>573</v>
      </c>
      <c r="C4607" s="1">
        <v>686930.0</v>
      </c>
      <c r="D4607" s="1" t="s">
        <v>532</v>
      </c>
      <c r="E4607" s="1" t="s">
        <v>927</v>
      </c>
      <c r="F4607" s="1" t="s">
        <v>926</v>
      </c>
      <c r="G4607" s="1">
        <v>30.0</v>
      </c>
      <c r="H4607" s="1">
        <v>1.554524362</v>
      </c>
      <c r="I4607" s="1">
        <v>4.91</v>
      </c>
      <c r="J4607" s="1">
        <v>0.737828</v>
      </c>
    </row>
    <row r="4608">
      <c r="A4608" s="1">
        <v>2025.0</v>
      </c>
      <c r="B4608" s="1" t="s">
        <v>573</v>
      </c>
      <c r="C4608" s="1">
        <v>686930.0</v>
      </c>
      <c r="D4608" s="1" t="s">
        <v>541</v>
      </c>
      <c r="E4608" s="1" t="s">
        <v>927</v>
      </c>
      <c r="F4608" s="1" t="s">
        <v>926</v>
      </c>
      <c r="G4608" s="1">
        <v>30.0</v>
      </c>
      <c r="H4608" s="1">
        <v>1.554524362</v>
      </c>
      <c r="I4608" s="1">
        <v>4.36</v>
      </c>
      <c r="J4608" s="1">
        <v>1.036198</v>
      </c>
    </row>
    <row r="4609">
      <c r="A4609" s="1">
        <v>2025.0</v>
      </c>
      <c r="B4609" s="1" t="s">
        <v>573</v>
      </c>
      <c r="C4609" s="1">
        <v>686930.0</v>
      </c>
      <c r="D4609" s="1" t="s">
        <v>537</v>
      </c>
      <c r="E4609" s="1" t="s">
        <v>927</v>
      </c>
      <c r="F4609" s="1" t="s">
        <v>926</v>
      </c>
      <c r="G4609" s="1">
        <v>92.0</v>
      </c>
      <c r="H4609" s="1">
        <v>4.767208043</v>
      </c>
      <c r="I4609" s="1">
        <v>5.07</v>
      </c>
      <c r="J4609" s="1">
        <v>1.988405</v>
      </c>
    </row>
    <row r="4610">
      <c r="A4610" s="1">
        <v>2025.0</v>
      </c>
      <c r="B4610" s="1" t="s">
        <v>573</v>
      </c>
      <c r="C4610" s="1">
        <v>686930.0</v>
      </c>
      <c r="D4610" s="1" t="s">
        <v>539</v>
      </c>
      <c r="E4610" s="1" t="s">
        <v>927</v>
      </c>
      <c r="F4610" s="1" t="s">
        <v>926</v>
      </c>
      <c r="G4610" s="1">
        <v>24.0</v>
      </c>
      <c r="H4610" s="1">
        <v>1.24361949</v>
      </c>
      <c r="I4610" s="1">
        <v>4.43</v>
      </c>
      <c r="J4610" s="1">
        <v>0.818714</v>
      </c>
    </row>
    <row r="4611">
      <c r="A4611" s="1">
        <v>2025.0</v>
      </c>
      <c r="B4611" s="1" t="s">
        <v>573</v>
      </c>
      <c r="C4611" s="1">
        <v>686930.0</v>
      </c>
      <c r="D4611" s="1" t="s">
        <v>532</v>
      </c>
      <c r="E4611" s="1" t="s">
        <v>927</v>
      </c>
      <c r="F4611" s="1" t="s">
        <v>927</v>
      </c>
      <c r="G4611" s="1">
        <v>14.0</v>
      </c>
      <c r="H4611" s="1">
        <v>0.725444702</v>
      </c>
      <c r="I4611" s="1">
        <v>5.66</v>
      </c>
      <c r="J4611" s="1">
        <v>0.14757</v>
      </c>
    </row>
    <row r="4612">
      <c r="A4612" s="1">
        <v>2025.0</v>
      </c>
      <c r="B4612" s="1" t="s">
        <v>573</v>
      </c>
      <c r="C4612" s="1">
        <v>686930.0</v>
      </c>
      <c r="D4612" s="1" t="s">
        <v>541</v>
      </c>
      <c r="E4612" s="1" t="s">
        <v>927</v>
      </c>
      <c r="F4612" s="1" t="s">
        <v>927</v>
      </c>
      <c r="G4612" s="1">
        <v>35.0</v>
      </c>
      <c r="H4612" s="1">
        <v>1.813611756</v>
      </c>
      <c r="I4612" s="1">
        <v>4.88</v>
      </c>
      <c r="J4612" s="1">
        <v>0.909655</v>
      </c>
    </row>
    <row r="4613">
      <c r="A4613" s="1">
        <v>2025.0</v>
      </c>
      <c r="B4613" s="1" t="s">
        <v>573</v>
      </c>
      <c r="C4613" s="1">
        <v>686930.0</v>
      </c>
      <c r="D4613" s="1" t="s">
        <v>537</v>
      </c>
      <c r="E4613" s="1" t="s">
        <v>927</v>
      </c>
      <c r="F4613" s="1" t="s">
        <v>927</v>
      </c>
      <c r="G4613" s="1">
        <v>138.0</v>
      </c>
      <c r="H4613" s="1">
        <v>7.150812065</v>
      </c>
      <c r="I4613" s="1">
        <v>5.19</v>
      </c>
      <c r="J4613" s="1">
        <v>2.771816</v>
      </c>
    </row>
    <row r="4614">
      <c r="A4614" s="1">
        <v>2025.0</v>
      </c>
      <c r="B4614" s="1" t="s">
        <v>573</v>
      </c>
      <c r="C4614" s="1">
        <v>686930.0</v>
      </c>
      <c r="D4614" s="1" t="s">
        <v>539</v>
      </c>
      <c r="E4614" s="1" t="s">
        <v>927</v>
      </c>
      <c r="F4614" s="1" t="s">
        <v>927</v>
      </c>
      <c r="G4614" s="1">
        <v>68.0</v>
      </c>
      <c r="H4614" s="1">
        <v>3.523588554</v>
      </c>
      <c r="I4614" s="1">
        <v>5.3</v>
      </c>
      <c r="J4614" s="1">
        <v>1.140456</v>
      </c>
    </row>
    <row r="4615">
      <c r="A4615" s="1">
        <v>2025.0</v>
      </c>
      <c r="B4615" s="1" t="s">
        <v>583</v>
      </c>
      <c r="C4615" s="1">
        <v>696131.0</v>
      </c>
      <c r="D4615" s="1" t="s">
        <v>532</v>
      </c>
      <c r="E4615" s="1" t="s">
        <v>927</v>
      </c>
      <c r="F4615" s="1" t="s">
        <v>926</v>
      </c>
      <c r="G4615" s="1">
        <v>1.0</v>
      </c>
      <c r="H4615" s="1">
        <v>0.054054054</v>
      </c>
      <c r="I4615" s="1">
        <v>5.01</v>
      </c>
      <c r="J4615" s="1">
        <v>0.023461</v>
      </c>
    </row>
    <row r="4616">
      <c r="A4616" s="1">
        <v>2025.0</v>
      </c>
      <c r="B4616" s="1" t="s">
        <v>583</v>
      </c>
      <c r="C4616" s="1">
        <v>696131.0</v>
      </c>
      <c r="D4616" s="1" t="s">
        <v>540</v>
      </c>
      <c r="E4616" s="1" t="s">
        <v>927</v>
      </c>
      <c r="F4616" s="1" t="s">
        <v>926</v>
      </c>
      <c r="G4616" s="1">
        <v>4.0</v>
      </c>
      <c r="H4616" s="1">
        <v>0.216216216</v>
      </c>
      <c r="I4616" s="1">
        <v>4.9</v>
      </c>
      <c r="J4616" s="1">
        <v>0.090261</v>
      </c>
    </row>
    <row r="4617">
      <c r="A4617" s="1">
        <v>2025.0</v>
      </c>
      <c r="B4617" s="1" t="s">
        <v>583</v>
      </c>
      <c r="C4617" s="1">
        <v>696131.0</v>
      </c>
      <c r="D4617" s="1" t="s">
        <v>537</v>
      </c>
      <c r="E4617" s="1" t="s">
        <v>927</v>
      </c>
      <c r="F4617" s="1" t="s">
        <v>926</v>
      </c>
      <c r="G4617" s="1">
        <v>13.0</v>
      </c>
      <c r="H4617" s="1">
        <v>0.702702703</v>
      </c>
      <c r="I4617" s="1">
        <v>4.83</v>
      </c>
      <c r="J4617" s="1">
        <v>0.319724</v>
      </c>
    </row>
    <row r="4618">
      <c r="A4618" s="1">
        <v>2025.0</v>
      </c>
      <c r="B4618" s="1" t="s">
        <v>583</v>
      </c>
      <c r="C4618" s="1">
        <v>696131.0</v>
      </c>
      <c r="D4618" s="1" t="s">
        <v>536</v>
      </c>
      <c r="E4618" s="1" t="s">
        <v>927</v>
      </c>
      <c r="F4618" s="1" t="s">
        <v>926</v>
      </c>
      <c r="G4618" s="1">
        <v>1.0</v>
      </c>
      <c r="H4618" s="1">
        <v>0.054054054</v>
      </c>
      <c r="I4618" s="1">
        <v>9.47</v>
      </c>
      <c r="J4618" s="1">
        <v>-0.072551</v>
      </c>
    </row>
    <row r="4619">
      <c r="A4619" s="1">
        <v>2025.0</v>
      </c>
      <c r="B4619" s="1" t="s">
        <v>583</v>
      </c>
      <c r="C4619" s="1">
        <v>696131.0</v>
      </c>
      <c r="D4619" s="1" t="s">
        <v>539</v>
      </c>
      <c r="E4619" s="1" t="s">
        <v>927</v>
      </c>
      <c r="F4619" s="1" t="s">
        <v>926</v>
      </c>
      <c r="G4619" s="1">
        <v>8.0</v>
      </c>
      <c r="H4619" s="1">
        <v>0.432432432</v>
      </c>
      <c r="I4619" s="1">
        <v>5.26</v>
      </c>
      <c r="J4619" s="1">
        <v>0.11996</v>
      </c>
    </row>
    <row r="4620">
      <c r="A4620" s="1">
        <v>2025.0</v>
      </c>
      <c r="B4620" s="1" t="s">
        <v>583</v>
      </c>
      <c r="C4620" s="1">
        <v>696131.0</v>
      </c>
      <c r="D4620" s="1" t="s">
        <v>532</v>
      </c>
      <c r="E4620" s="1" t="s">
        <v>927</v>
      </c>
      <c r="F4620" s="1" t="s">
        <v>927</v>
      </c>
      <c r="G4620" s="1">
        <v>1.0</v>
      </c>
      <c r="H4620" s="1">
        <v>0.054054054</v>
      </c>
      <c r="I4620" s="1">
        <v>2.98</v>
      </c>
      <c r="J4620" s="1">
        <v>0.060358</v>
      </c>
    </row>
    <row r="4621">
      <c r="A4621" s="1">
        <v>2025.0</v>
      </c>
      <c r="B4621" s="1" t="s">
        <v>583</v>
      </c>
      <c r="C4621" s="1">
        <v>696131.0</v>
      </c>
      <c r="D4621" s="1" t="s">
        <v>540</v>
      </c>
      <c r="E4621" s="1" t="s">
        <v>927</v>
      </c>
      <c r="F4621" s="1" t="s">
        <v>927</v>
      </c>
      <c r="G4621" s="1">
        <v>1.0</v>
      </c>
      <c r="H4621" s="1">
        <v>0.054054054</v>
      </c>
      <c r="I4621" s="1">
        <v>3.42</v>
      </c>
      <c r="J4621" s="1">
        <v>0.052016</v>
      </c>
    </row>
    <row r="4622">
      <c r="A4622" s="1">
        <v>2025.0</v>
      </c>
      <c r="B4622" s="1" t="s">
        <v>583</v>
      </c>
      <c r="C4622" s="1">
        <v>696131.0</v>
      </c>
      <c r="D4622" s="1" t="s">
        <v>537</v>
      </c>
      <c r="E4622" s="1" t="s">
        <v>927</v>
      </c>
      <c r="F4622" s="1" t="s">
        <v>927</v>
      </c>
      <c r="G4622" s="1">
        <v>19.0</v>
      </c>
      <c r="H4622" s="1">
        <v>1.027027027</v>
      </c>
      <c r="I4622" s="1">
        <v>4.77</v>
      </c>
      <c r="J4622" s="1">
        <v>0.474767</v>
      </c>
    </row>
    <row r="4623">
      <c r="A4623" s="1">
        <v>2025.0</v>
      </c>
      <c r="B4623" s="1" t="s">
        <v>583</v>
      </c>
      <c r="C4623" s="1">
        <v>696131.0</v>
      </c>
      <c r="D4623" s="1" t="s">
        <v>536</v>
      </c>
      <c r="E4623" s="1" t="s">
        <v>927</v>
      </c>
      <c r="F4623" s="1" t="s">
        <v>927</v>
      </c>
      <c r="G4623" s="1">
        <v>11.0</v>
      </c>
      <c r="H4623" s="1">
        <v>0.594594595</v>
      </c>
      <c r="I4623" s="1">
        <v>5.39</v>
      </c>
      <c r="J4623" s="1">
        <v>0.156175</v>
      </c>
    </row>
    <row r="4624">
      <c r="A4624" s="1">
        <v>2025.0</v>
      </c>
      <c r="B4624" s="1" t="s">
        <v>583</v>
      </c>
      <c r="C4624" s="1">
        <v>696131.0</v>
      </c>
      <c r="D4624" s="1" t="s">
        <v>539</v>
      </c>
      <c r="E4624" s="1" t="s">
        <v>927</v>
      </c>
      <c r="F4624" s="1" t="s">
        <v>927</v>
      </c>
      <c r="G4624" s="1">
        <v>15.0</v>
      </c>
      <c r="H4624" s="1">
        <v>0.810810811</v>
      </c>
      <c r="I4624" s="1">
        <v>4.64</v>
      </c>
      <c r="J4624" s="1">
        <v>0.406304</v>
      </c>
    </row>
    <row r="4625">
      <c r="A4625" s="1">
        <v>2025.0</v>
      </c>
      <c r="B4625" s="1" t="s">
        <v>204</v>
      </c>
      <c r="C4625" s="1">
        <v>669438.0</v>
      </c>
      <c r="D4625" s="1" t="s">
        <v>532</v>
      </c>
      <c r="E4625" s="1" t="s">
        <v>927</v>
      </c>
      <c r="F4625" s="1" t="s">
        <v>926</v>
      </c>
      <c r="G4625" s="1">
        <v>147.0</v>
      </c>
      <c r="H4625" s="1">
        <v>9.081604426</v>
      </c>
      <c r="I4625" s="1">
        <v>4.96</v>
      </c>
      <c r="J4625" s="1">
        <v>3.289093</v>
      </c>
    </row>
    <row r="4626">
      <c r="A4626" s="1">
        <v>2025.0</v>
      </c>
      <c r="B4626" s="1" t="s">
        <v>204</v>
      </c>
      <c r="C4626" s="1">
        <v>669438.0</v>
      </c>
      <c r="D4626" s="1" t="s">
        <v>541</v>
      </c>
      <c r="E4626" s="1" t="s">
        <v>927</v>
      </c>
      <c r="F4626" s="1" t="s">
        <v>926</v>
      </c>
      <c r="G4626" s="1">
        <v>57.0</v>
      </c>
      <c r="H4626" s="1">
        <v>3.521438451</v>
      </c>
      <c r="I4626" s="1">
        <v>5.4</v>
      </c>
      <c r="J4626" s="1">
        <v>0.78031</v>
      </c>
    </row>
    <row r="4627">
      <c r="A4627" s="1">
        <v>2025.0</v>
      </c>
      <c r="B4627" s="1" t="s">
        <v>204</v>
      </c>
      <c r="C4627" s="1">
        <v>669438.0</v>
      </c>
      <c r="D4627" s="1" t="s">
        <v>540</v>
      </c>
      <c r="E4627" s="1" t="s">
        <v>927</v>
      </c>
      <c r="F4627" s="1" t="s">
        <v>926</v>
      </c>
      <c r="G4627" s="1">
        <v>62.0</v>
      </c>
      <c r="H4627" s="1">
        <v>3.830336561</v>
      </c>
      <c r="I4627" s="1">
        <v>5.29</v>
      </c>
      <c r="J4627" s="1">
        <v>1.003308</v>
      </c>
    </row>
    <row r="4628">
      <c r="A4628" s="1">
        <v>2025.0</v>
      </c>
      <c r="B4628" s="1" t="s">
        <v>204</v>
      </c>
      <c r="C4628" s="1">
        <v>669438.0</v>
      </c>
      <c r="D4628" s="1" t="s">
        <v>537</v>
      </c>
      <c r="E4628" s="1" t="s">
        <v>927</v>
      </c>
      <c r="F4628" s="1" t="s">
        <v>926</v>
      </c>
      <c r="G4628" s="1">
        <v>96.0</v>
      </c>
      <c r="H4628" s="1">
        <v>5.930843707</v>
      </c>
      <c r="I4628" s="1">
        <v>4.84</v>
      </c>
      <c r="J4628" s="1">
        <v>2.356546</v>
      </c>
    </row>
    <row r="4629">
      <c r="A4629" s="1">
        <v>2025.0</v>
      </c>
      <c r="B4629" s="1" t="s">
        <v>204</v>
      </c>
      <c r="C4629" s="1">
        <v>669438.0</v>
      </c>
      <c r="D4629" s="1" t="s">
        <v>536</v>
      </c>
      <c r="E4629" s="1" t="s">
        <v>927</v>
      </c>
      <c r="F4629" s="1" t="s">
        <v>926</v>
      </c>
      <c r="G4629" s="1">
        <v>29.0</v>
      </c>
      <c r="H4629" s="1">
        <v>1.791609036</v>
      </c>
      <c r="I4629" s="1">
        <v>4.58</v>
      </c>
      <c r="J4629" s="1">
        <v>0.852565</v>
      </c>
    </row>
    <row r="4630">
      <c r="A4630" s="1">
        <v>2025.0</v>
      </c>
      <c r="B4630" s="1" t="s">
        <v>204</v>
      </c>
      <c r="C4630" s="1">
        <v>669438.0</v>
      </c>
      <c r="D4630" s="1" t="s">
        <v>532</v>
      </c>
      <c r="E4630" s="1" t="s">
        <v>927</v>
      </c>
      <c r="F4630" s="1" t="s">
        <v>927</v>
      </c>
      <c r="G4630" s="1">
        <v>101.0</v>
      </c>
      <c r="H4630" s="1">
        <v>6.239741817</v>
      </c>
      <c r="I4630" s="1">
        <v>5.3</v>
      </c>
      <c r="J4630" s="1">
        <v>1.56167</v>
      </c>
    </row>
    <row r="4631">
      <c r="A4631" s="1">
        <v>2025.0</v>
      </c>
      <c r="B4631" s="1" t="s">
        <v>204</v>
      </c>
      <c r="C4631" s="1">
        <v>669438.0</v>
      </c>
      <c r="D4631" s="1" t="s">
        <v>541</v>
      </c>
      <c r="E4631" s="1" t="s">
        <v>927</v>
      </c>
      <c r="F4631" s="1" t="s">
        <v>927</v>
      </c>
      <c r="G4631" s="1">
        <v>10.0</v>
      </c>
      <c r="H4631" s="1">
        <v>0.617796219</v>
      </c>
      <c r="I4631" s="1">
        <v>5.2</v>
      </c>
      <c r="J4631" s="1">
        <v>0.17304</v>
      </c>
    </row>
    <row r="4632">
      <c r="A4632" s="1">
        <v>2025.0</v>
      </c>
      <c r="B4632" s="1" t="s">
        <v>204</v>
      </c>
      <c r="C4632" s="1">
        <v>669438.0</v>
      </c>
      <c r="D4632" s="1" t="s">
        <v>540</v>
      </c>
      <c r="E4632" s="1" t="s">
        <v>927</v>
      </c>
      <c r="F4632" s="1" t="s">
        <v>927</v>
      </c>
      <c r="G4632" s="1">
        <v>78.0</v>
      </c>
      <c r="H4632" s="1">
        <v>4.818810512</v>
      </c>
      <c r="I4632" s="1">
        <v>5.37</v>
      </c>
      <c r="J4632" s="1">
        <v>1.109859</v>
      </c>
    </row>
    <row r="4633">
      <c r="A4633" s="1">
        <v>2025.0</v>
      </c>
      <c r="B4633" s="1" t="s">
        <v>204</v>
      </c>
      <c r="C4633" s="1">
        <v>669438.0</v>
      </c>
      <c r="D4633" s="1" t="s">
        <v>537</v>
      </c>
      <c r="E4633" s="1" t="s">
        <v>927</v>
      </c>
      <c r="F4633" s="1" t="s">
        <v>927</v>
      </c>
      <c r="G4633" s="1">
        <v>51.0</v>
      </c>
      <c r="H4633" s="1">
        <v>3.150760719</v>
      </c>
      <c r="I4633" s="1">
        <v>5.06</v>
      </c>
      <c r="J4633" s="1">
        <v>1.054957</v>
      </c>
    </row>
    <row r="4634">
      <c r="A4634" s="1">
        <v>2025.0</v>
      </c>
      <c r="B4634" s="1" t="s">
        <v>204</v>
      </c>
      <c r="C4634" s="1">
        <v>669438.0</v>
      </c>
      <c r="D4634" s="1" t="s">
        <v>536</v>
      </c>
      <c r="E4634" s="1" t="s">
        <v>927</v>
      </c>
      <c r="F4634" s="1" t="s">
        <v>927</v>
      </c>
      <c r="G4634" s="1">
        <v>90.0</v>
      </c>
      <c r="H4634" s="1">
        <v>5.560165975</v>
      </c>
      <c r="I4634" s="1">
        <v>4.85</v>
      </c>
      <c r="J4634" s="1">
        <v>2.298157</v>
      </c>
    </row>
    <row r="4635">
      <c r="A4635" s="1">
        <v>2025.0</v>
      </c>
      <c r="B4635" s="1" t="s">
        <v>204</v>
      </c>
      <c r="C4635" s="1">
        <v>669438.0</v>
      </c>
      <c r="D4635" s="1" t="s">
        <v>539</v>
      </c>
      <c r="E4635" s="1" t="s">
        <v>927</v>
      </c>
      <c r="F4635" s="1" t="s">
        <v>927</v>
      </c>
      <c r="G4635" s="1">
        <v>2.0</v>
      </c>
      <c r="H4635" s="1">
        <v>0.123559244</v>
      </c>
      <c r="I4635" s="1">
        <v>4.46</v>
      </c>
      <c r="J4635" s="1">
        <v>0.067212</v>
      </c>
    </row>
    <row r="4636">
      <c r="A4636" s="1">
        <v>2025.0</v>
      </c>
      <c r="B4636" s="1" t="s">
        <v>142</v>
      </c>
      <c r="C4636" s="1">
        <v>689254.0</v>
      </c>
      <c r="D4636" s="1" t="s">
        <v>540</v>
      </c>
      <c r="E4636" s="1" t="s">
        <v>926</v>
      </c>
      <c r="F4636" s="1" t="s">
        <v>926</v>
      </c>
      <c r="G4636" s="1">
        <v>210.0</v>
      </c>
      <c r="H4636" s="1">
        <v>12.87543655</v>
      </c>
      <c r="I4636" s="1">
        <v>4.85</v>
      </c>
      <c r="J4636" s="1">
        <v>5.148061</v>
      </c>
    </row>
    <row r="4637">
      <c r="A4637" s="1">
        <v>2025.0</v>
      </c>
      <c r="B4637" s="1" t="s">
        <v>142</v>
      </c>
      <c r="C4637" s="1">
        <v>689254.0</v>
      </c>
      <c r="D4637" s="1" t="s">
        <v>539</v>
      </c>
      <c r="E4637" s="1" t="s">
        <v>926</v>
      </c>
      <c r="F4637" s="1" t="s">
        <v>926</v>
      </c>
      <c r="G4637" s="1">
        <v>218.0</v>
      </c>
      <c r="H4637" s="1">
        <v>13.36592938</v>
      </c>
      <c r="I4637" s="1">
        <v>5.44</v>
      </c>
      <c r="J4637" s="1">
        <v>2.719321</v>
      </c>
    </row>
    <row r="4638">
      <c r="A4638" s="1">
        <v>2025.0</v>
      </c>
      <c r="B4638" s="1" t="s">
        <v>142</v>
      </c>
      <c r="C4638" s="1">
        <v>689254.0</v>
      </c>
      <c r="D4638" s="1" t="s">
        <v>540</v>
      </c>
      <c r="E4638" s="1" t="s">
        <v>926</v>
      </c>
      <c r="F4638" s="1" t="s">
        <v>927</v>
      </c>
      <c r="G4638" s="1">
        <v>290.0</v>
      </c>
      <c r="H4638" s="1">
        <v>17.78036477</v>
      </c>
      <c r="I4638" s="1">
        <v>4.98</v>
      </c>
      <c r="J4638" s="1">
        <v>6.359843</v>
      </c>
    </row>
    <row r="4639">
      <c r="A4639" s="1">
        <v>2025.0</v>
      </c>
      <c r="B4639" s="1" t="s">
        <v>142</v>
      </c>
      <c r="C4639" s="1">
        <v>689254.0</v>
      </c>
      <c r="D4639" s="1" t="s">
        <v>536</v>
      </c>
      <c r="E4639" s="1" t="s">
        <v>926</v>
      </c>
      <c r="F4639" s="1" t="s">
        <v>927</v>
      </c>
      <c r="G4639" s="1">
        <v>1.0</v>
      </c>
      <c r="H4639" s="1">
        <v>0.061311603</v>
      </c>
      <c r="I4639" s="1">
        <v>3.98</v>
      </c>
      <c r="J4639" s="1">
        <v>0.046328</v>
      </c>
    </row>
    <row r="4640">
      <c r="A4640" s="1">
        <v>2025.0</v>
      </c>
      <c r="B4640" s="1" t="s">
        <v>142</v>
      </c>
      <c r="C4640" s="1">
        <v>689254.0</v>
      </c>
      <c r="D4640" s="1" t="s">
        <v>539</v>
      </c>
      <c r="E4640" s="1" t="s">
        <v>926</v>
      </c>
      <c r="F4640" s="1" t="s">
        <v>927</v>
      </c>
      <c r="G4640" s="1">
        <v>140.0</v>
      </c>
      <c r="H4640" s="1">
        <v>8.583624369</v>
      </c>
      <c r="I4640" s="1">
        <v>5.32</v>
      </c>
      <c r="J4640" s="1">
        <v>2.067091</v>
      </c>
    </row>
    <row r="4641">
      <c r="A4641" s="1">
        <v>2025.0</v>
      </c>
      <c r="B4641" s="1" t="s">
        <v>286</v>
      </c>
      <c r="C4641" s="1">
        <v>695243.0</v>
      </c>
      <c r="D4641" s="1" t="s">
        <v>532</v>
      </c>
      <c r="E4641" s="1" t="s">
        <v>927</v>
      </c>
      <c r="F4641" s="1" t="s">
        <v>926</v>
      </c>
      <c r="G4641" s="1">
        <v>21.0</v>
      </c>
      <c r="H4641" s="1">
        <v>1.332304527</v>
      </c>
      <c r="I4641" s="1">
        <v>4.3</v>
      </c>
      <c r="J4641" s="1">
        <v>0.77276</v>
      </c>
    </row>
    <row r="4642">
      <c r="A4642" s="1">
        <v>2025.0</v>
      </c>
      <c r="B4642" s="1" t="s">
        <v>286</v>
      </c>
      <c r="C4642" s="1">
        <v>695243.0</v>
      </c>
      <c r="D4642" s="1" t="s">
        <v>537</v>
      </c>
      <c r="E4642" s="1" t="s">
        <v>927</v>
      </c>
      <c r="F4642" s="1" t="s">
        <v>926</v>
      </c>
      <c r="G4642" s="1">
        <v>224.0</v>
      </c>
      <c r="H4642" s="1">
        <v>14.21124829</v>
      </c>
      <c r="I4642" s="1">
        <v>4.7</v>
      </c>
      <c r="J4642" s="1">
        <v>6.284967</v>
      </c>
    </row>
    <row r="4643">
      <c r="A4643" s="1">
        <v>2025.0</v>
      </c>
      <c r="B4643" s="1" t="s">
        <v>286</v>
      </c>
      <c r="C4643" s="1">
        <v>695243.0</v>
      </c>
      <c r="D4643" s="1" t="s">
        <v>533</v>
      </c>
      <c r="E4643" s="1" t="s">
        <v>927</v>
      </c>
      <c r="F4643" s="1" t="s">
        <v>926</v>
      </c>
      <c r="G4643" s="1">
        <v>177.0</v>
      </c>
      <c r="H4643" s="1">
        <v>11.22942387</v>
      </c>
      <c r="I4643" s="1">
        <v>4.85</v>
      </c>
      <c r="J4643" s="1">
        <v>4.4507</v>
      </c>
    </row>
    <row r="4644">
      <c r="A4644" s="1">
        <v>2025.0</v>
      </c>
      <c r="B4644" s="1" t="s">
        <v>286</v>
      </c>
      <c r="C4644" s="1">
        <v>695243.0</v>
      </c>
      <c r="D4644" s="1" t="s">
        <v>532</v>
      </c>
      <c r="E4644" s="1" t="s">
        <v>927</v>
      </c>
      <c r="F4644" s="1" t="s">
        <v>927</v>
      </c>
      <c r="G4644" s="1">
        <v>1.0</v>
      </c>
      <c r="H4644" s="1">
        <v>0.063443073</v>
      </c>
      <c r="I4644" s="1">
        <v>4.44</v>
      </c>
      <c r="J4644" s="1">
        <v>0.034003</v>
      </c>
    </row>
    <row r="4645">
      <c r="A4645" s="1">
        <v>2025.0</v>
      </c>
      <c r="B4645" s="1" t="s">
        <v>286</v>
      </c>
      <c r="C4645" s="1">
        <v>695243.0</v>
      </c>
      <c r="D4645" s="1" t="s">
        <v>537</v>
      </c>
      <c r="E4645" s="1" t="s">
        <v>927</v>
      </c>
      <c r="F4645" s="1" t="s">
        <v>927</v>
      </c>
      <c r="G4645" s="1">
        <v>283.0</v>
      </c>
      <c r="H4645" s="1">
        <v>17.95438957</v>
      </c>
      <c r="I4645" s="1">
        <v>5.28</v>
      </c>
      <c r="J4645" s="1">
        <v>4.554359</v>
      </c>
    </row>
    <row r="4646">
      <c r="A4646" s="1">
        <v>2025.0</v>
      </c>
      <c r="B4646" s="1" t="s">
        <v>286</v>
      </c>
      <c r="C4646" s="1">
        <v>695243.0</v>
      </c>
      <c r="D4646" s="1" t="s">
        <v>533</v>
      </c>
      <c r="E4646" s="1" t="s">
        <v>927</v>
      </c>
      <c r="F4646" s="1" t="s">
        <v>927</v>
      </c>
      <c r="G4646" s="1">
        <v>266.0</v>
      </c>
      <c r="H4646" s="1">
        <v>16.87585734</v>
      </c>
      <c r="I4646" s="1">
        <v>4.92</v>
      </c>
      <c r="J4646" s="1">
        <v>6.176941</v>
      </c>
    </row>
    <row r="4647">
      <c r="A4647" s="1">
        <v>2025.0</v>
      </c>
      <c r="B4647" s="1" t="s">
        <v>334</v>
      </c>
      <c r="C4647" s="1">
        <v>682254.0</v>
      </c>
      <c r="D4647" s="1" t="s">
        <v>537</v>
      </c>
      <c r="E4647" s="1" t="s">
        <v>926</v>
      </c>
      <c r="F4647" s="1" t="s">
        <v>926</v>
      </c>
      <c r="G4647" s="1">
        <v>205.0</v>
      </c>
      <c r="H4647" s="1">
        <v>10.99067599</v>
      </c>
      <c r="I4647" s="1">
        <v>5.18</v>
      </c>
      <c r="J4647" s="1">
        <v>3.75829</v>
      </c>
    </row>
    <row r="4648">
      <c r="A4648" s="1">
        <v>2025.0</v>
      </c>
      <c r="B4648" s="1" t="s">
        <v>334</v>
      </c>
      <c r="C4648" s="1">
        <v>682254.0</v>
      </c>
      <c r="D4648" s="1" t="s">
        <v>533</v>
      </c>
      <c r="E4648" s="1" t="s">
        <v>926</v>
      </c>
      <c r="F4648" s="1" t="s">
        <v>926</v>
      </c>
      <c r="G4648" s="1">
        <v>138.0</v>
      </c>
      <c r="H4648" s="1">
        <v>7.398601399</v>
      </c>
      <c r="I4648" s="1">
        <v>5.08</v>
      </c>
      <c r="J4648" s="1">
        <v>2.716807</v>
      </c>
    </row>
    <row r="4649">
      <c r="A4649" s="1">
        <v>2025.0</v>
      </c>
      <c r="B4649" s="1" t="s">
        <v>334</v>
      </c>
      <c r="C4649" s="1">
        <v>682254.0</v>
      </c>
      <c r="D4649" s="1" t="s">
        <v>537</v>
      </c>
      <c r="E4649" s="1" t="s">
        <v>926</v>
      </c>
      <c r="F4649" s="1" t="s">
        <v>927</v>
      </c>
      <c r="G4649" s="1">
        <v>363.0</v>
      </c>
      <c r="H4649" s="1">
        <v>19.46153846</v>
      </c>
      <c r="I4649" s="1">
        <v>5.09</v>
      </c>
      <c r="J4649" s="1">
        <v>7.469186</v>
      </c>
    </row>
    <row r="4650">
      <c r="A4650" s="1">
        <v>2025.0</v>
      </c>
      <c r="B4650" s="1" t="s">
        <v>334</v>
      </c>
      <c r="C4650" s="1">
        <v>682254.0</v>
      </c>
      <c r="D4650" s="1" t="s">
        <v>533</v>
      </c>
      <c r="E4650" s="1" t="s">
        <v>926</v>
      </c>
      <c r="F4650" s="1" t="s">
        <v>927</v>
      </c>
      <c r="G4650" s="1">
        <v>152.0</v>
      </c>
      <c r="H4650" s="1">
        <v>8.149184149</v>
      </c>
      <c r="I4650" s="1">
        <v>4.94</v>
      </c>
      <c r="J4650" s="1">
        <v>3.448195</v>
      </c>
    </row>
    <row r="4651">
      <c r="A4651" s="1">
        <v>2025.0</v>
      </c>
      <c r="B4651" s="1" t="s">
        <v>989</v>
      </c>
      <c r="C4651" s="1">
        <v>666168.0</v>
      </c>
      <c r="D4651" s="1" t="s">
        <v>532</v>
      </c>
      <c r="E4651" s="1" t="s">
        <v>927</v>
      </c>
      <c r="F4651" s="1" t="s">
        <v>926</v>
      </c>
      <c r="G4651" s="1">
        <v>7.0</v>
      </c>
      <c r="H4651" s="1">
        <v>0.312412831</v>
      </c>
      <c r="I4651" s="1">
        <v>4.38</v>
      </c>
      <c r="J4651" s="1">
        <v>0.241325</v>
      </c>
    </row>
    <row r="4652">
      <c r="A4652" s="1">
        <v>2025.0</v>
      </c>
      <c r="B4652" s="1" t="s">
        <v>989</v>
      </c>
      <c r="C4652" s="1">
        <v>666168.0</v>
      </c>
      <c r="D4652" s="1" t="s">
        <v>541</v>
      </c>
      <c r="E4652" s="1" t="s">
        <v>927</v>
      </c>
      <c r="F4652" s="1" t="s">
        <v>926</v>
      </c>
      <c r="G4652" s="1">
        <v>8.0</v>
      </c>
      <c r="H4652" s="1">
        <v>0.357043236</v>
      </c>
      <c r="I4652" s="1">
        <v>4.42</v>
      </c>
      <c r="J4652" s="1">
        <v>0.270979</v>
      </c>
    </row>
    <row r="4653">
      <c r="A4653" s="1">
        <v>2025.0</v>
      </c>
      <c r="B4653" s="1" t="s">
        <v>989</v>
      </c>
      <c r="C4653" s="1">
        <v>666168.0</v>
      </c>
      <c r="D4653" s="1" t="s">
        <v>537</v>
      </c>
      <c r="E4653" s="1" t="s">
        <v>927</v>
      </c>
      <c r="F4653" s="1" t="s">
        <v>926</v>
      </c>
      <c r="G4653" s="1">
        <v>26.0</v>
      </c>
      <c r="H4653" s="1">
        <v>1.160390516</v>
      </c>
      <c r="I4653" s="1">
        <v>4.75</v>
      </c>
      <c r="J4653" s="1">
        <v>0.728829</v>
      </c>
    </row>
    <row r="4654">
      <c r="A4654" s="1">
        <v>2025.0</v>
      </c>
      <c r="B4654" s="1" t="s">
        <v>989</v>
      </c>
      <c r="C4654" s="1">
        <v>666168.0</v>
      </c>
      <c r="D4654" s="1" t="s">
        <v>536</v>
      </c>
      <c r="E4654" s="1" t="s">
        <v>927</v>
      </c>
      <c r="F4654" s="1" t="s">
        <v>926</v>
      </c>
      <c r="G4654" s="1">
        <v>40.0</v>
      </c>
      <c r="H4654" s="1">
        <v>1.785216179</v>
      </c>
      <c r="I4654" s="1">
        <v>4.07</v>
      </c>
      <c r="J4654" s="1">
        <v>1.621027</v>
      </c>
    </row>
    <row r="4655">
      <c r="A4655" s="1">
        <v>2025.0</v>
      </c>
      <c r="B4655" s="1" t="s">
        <v>989</v>
      </c>
      <c r="C4655" s="1">
        <v>666168.0</v>
      </c>
      <c r="D4655" s="1" t="s">
        <v>533</v>
      </c>
      <c r="E4655" s="1" t="s">
        <v>927</v>
      </c>
      <c r="F4655" s="1" t="s">
        <v>926</v>
      </c>
      <c r="G4655" s="1">
        <v>34.0</v>
      </c>
      <c r="H4655" s="1">
        <v>1.517433752</v>
      </c>
      <c r="I4655" s="1">
        <v>5.39</v>
      </c>
      <c r="J4655" s="1">
        <v>0.457518</v>
      </c>
    </row>
    <row r="4656">
      <c r="A4656" s="1">
        <v>2025.0</v>
      </c>
      <c r="B4656" s="1" t="s">
        <v>989</v>
      </c>
      <c r="C4656" s="1">
        <v>666168.0</v>
      </c>
      <c r="D4656" s="1" t="s">
        <v>541</v>
      </c>
      <c r="E4656" s="1" t="s">
        <v>927</v>
      </c>
      <c r="F4656" s="1" t="s">
        <v>927</v>
      </c>
      <c r="G4656" s="1">
        <v>4.0</v>
      </c>
      <c r="H4656" s="1">
        <v>0.178521618</v>
      </c>
      <c r="I4656" s="1">
        <v>5.89</v>
      </c>
      <c r="J4656" s="1">
        <v>0.016505</v>
      </c>
    </row>
    <row r="4657">
      <c r="A4657" s="1">
        <v>2025.0</v>
      </c>
      <c r="B4657" s="1" t="s">
        <v>989</v>
      </c>
      <c r="C4657" s="1">
        <v>666168.0</v>
      </c>
      <c r="D4657" s="1" t="s">
        <v>537</v>
      </c>
      <c r="E4657" s="1" t="s">
        <v>927</v>
      </c>
      <c r="F4657" s="1" t="s">
        <v>927</v>
      </c>
      <c r="G4657" s="1">
        <v>16.0</v>
      </c>
      <c r="H4657" s="1">
        <v>0.714086471</v>
      </c>
      <c r="I4657" s="1">
        <v>5.3</v>
      </c>
      <c r="J4657" s="1">
        <v>0.252197</v>
      </c>
    </row>
    <row r="4658">
      <c r="A4658" s="1">
        <v>2025.0</v>
      </c>
      <c r="B4658" s="1" t="s">
        <v>989</v>
      </c>
      <c r="C4658" s="1">
        <v>666168.0</v>
      </c>
      <c r="D4658" s="1" t="s">
        <v>536</v>
      </c>
      <c r="E4658" s="1" t="s">
        <v>927</v>
      </c>
      <c r="F4658" s="1" t="s">
        <v>927</v>
      </c>
      <c r="G4658" s="1">
        <v>58.0</v>
      </c>
      <c r="H4658" s="1">
        <v>2.588563459</v>
      </c>
      <c r="I4658" s="1">
        <v>4.99</v>
      </c>
      <c r="J4658" s="1">
        <v>1.260174</v>
      </c>
    </row>
    <row r="4659">
      <c r="A4659" s="1">
        <v>2025.0</v>
      </c>
      <c r="B4659" s="1" t="s">
        <v>989</v>
      </c>
      <c r="C4659" s="1">
        <v>666168.0</v>
      </c>
      <c r="D4659" s="1" t="s">
        <v>533</v>
      </c>
      <c r="E4659" s="1" t="s">
        <v>927</v>
      </c>
      <c r="F4659" s="1" t="s">
        <v>927</v>
      </c>
      <c r="G4659" s="1">
        <v>46.0</v>
      </c>
      <c r="H4659" s="1">
        <v>2.052998605</v>
      </c>
      <c r="I4659" s="1">
        <v>4.61</v>
      </c>
      <c r="J4659" s="1">
        <v>1.354235</v>
      </c>
    </row>
    <row r="4660">
      <c r="A4660" s="1">
        <v>2025.0</v>
      </c>
      <c r="B4660" s="1" t="s">
        <v>723</v>
      </c>
      <c r="C4660" s="1">
        <v>621199.0</v>
      </c>
      <c r="D4660" s="1" t="s">
        <v>540</v>
      </c>
      <c r="E4660" s="1" t="s">
        <v>927</v>
      </c>
      <c r="F4660" s="1" t="s">
        <v>926</v>
      </c>
      <c r="G4660" s="1">
        <v>66.0</v>
      </c>
      <c r="H4660" s="1">
        <v>3.642058166</v>
      </c>
      <c r="I4660" s="1">
        <v>5.26</v>
      </c>
      <c r="J4660" s="1">
        <v>1.109839</v>
      </c>
    </row>
    <row r="4661">
      <c r="A4661" s="1">
        <v>2025.0</v>
      </c>
      <c r="B4661" s="1" t="s">
        <v>723</v>
      </c>
      <c r="C4661" s="1">
        <v>621199.0</v>
      </c>
      <c r="D4661" s="1" t="s">
        <v>537</v>
      </c>
      <c r="E4661" s="1" t="s">
        <v>927</v>
      </c>
      <c r="F4661" s="1" t="s">
        <v>926</v>
      </c>
      <c r="G4661" s="1">
        <v>6.0</v>
      </c>
      <c r="H4661" s="1">
        <v>0.331096197</v>
      </c>
      <c r="I4661" s="1">
        <v>4.2</v>
      </c>
      <c r="J4661" s="1">
        <v>0.222701</v>
      </c>
    </row>
    <row r="4662">
      <c r="A4662" s="1">
        <v>2025.0</v>
      </c>
      <c r="B4662" s="1" t="s">
        <v>723</v>
      </c>
      <c r="C4662" s="1">
        <v>621199.0</v>
      </c>
      <c r="D4662" s="1" t="s">
        <v>538</v>
      </c>
      <c r="E4662" s="1" t="s">
        <v>927</v>
      </c>
      <c r="F4662" s="1" t="s">
        <v>926</v>
      </c>
      <c r="G4662" s="1">
        <v>35.0</v>
      </c>
      <c r="H4662" s="1">
        <v>1.931394482</v>
      </c>
      <c r="I4662" s="1">
        <v>4.85</v>
      </c>
      <c r="J4662" s="1">
        <v>0.880646</v>
      </c>
    </row>
    <row r="4663">
      <c r="A4663" s="1">
        <v>2025.0</v>
      </c>
      <c r="B4663" s="1" t="s">
        <v>723</v>
      </c>
      <c r="C4663" s="1">
        <v>621199.0</v>
      </c>
      <c r="D4663" s="1" t="s">
        <v>536</v>
      </c>
      <c r="E4663" s="1" t="s">
        <v>927</v>
      </c>
      <c r="F4663" s="1" t="s">
        <v>926</v>
      </c>
      <c r="G4663" s="1">
        <v>66.0</v>
      </c>
      <c r="H4663" s="1">
        <v>3.642058166</v>
      </c>
      <c r="I4663" s="1">
        <v>4.07</v>
      </c>
      <c r="J4663" s="1">
        <v>2.705277</v>
      </c>
    </row>
    <row r="4664">
      <c r="A4664" s="1">
        <v>2025.0</v>
      </c>
      <c r="B4664" s="1" t="s">
        <v>723</v>
      </c>
      <c r="C4664" s="1">
        <v>621199.0</v>
      </c>
      <c r="D4664" s="1" t="s">
        <v>533</v>
      </c>
      <c r="E4664" s="1" t="s">
        <v>927</v>
      </c>
      <c r="F4664" s="1" t="s">
        <v>926</v>
      </c>
      <c r="G4664" s="1">
        <v>3.0</v>
      </c>
      <c r="H4664" s="1">
        <v>0.165548098</v>
      </c>
      <c r="I4664" s="1">
        <v>3.57</v>
      </c>
      <c r="J4664" s="1">
        <v>0.154261</v>
      </c>
    </row>
    <row r="4665">
      <c r="A4665" s="1">
        <v>2025.0</v>
      </c>
      <c r="B4665" s="1" t="s">
        <v>723</v>
      </c>
      <c r="C4665" s="1">
        <v>621199.0</v>
      </c>
      <c r="D4665" s="1" t="s">
        <v>539</v>
      </c>
      <c r="E4665" s="1" t="s">
        <v>927</v>
      </c>
      <c r="F4665" s="1" t="s">
        <v>926</v>
      </c>
      <c r="G4665" s="1">
        <v>23.0</v>
      </c>
      <c r="H4665" s="1">
        <v>1.269202088</v>
      </c>
      <c r="I4665" s="1">
        <v>4.88</v>
      </c>
      <c r="J4665" s="1">
        <v>0.524178</v>
      </c>
    </row>
    <row r="4666">
      <c r="A4666" s="1">
        <v>2025.0</v>
      </c>
      <c r="B4666" s="1" t="s">
        <v>723</v>
      </c>
      <c r="C4666" s="1">
        <v>621199.0</v>
      </c>
      <c r="D4666" s="1" t="s">
        <v>540</v>
      </c>
      <c r="E4666" s="1" t="s">
        <v>927</v>
      </c>
      <c r="F4666" s="1" t="s">
        <v>927</v>
      </c>
      <c r="G4666" s="1">
        <v>48.0</v>
      </c>
      <c r="H4666" s="1">
        <v>2.648769575</v>
      </c>
      <c r="I4666" s="1">
        <v>5.12</v>
      </c>
      <c r="J4666" s="1">
        <v>0.950621</v>
      </c>
    </row>
    <row r="4667">
      <c r="A4667" s="1">
        <v>2025.0</v>
      </c>
      <c r="B4667" s="1" t="s">
        <v>723</v>
      </c>
      <c r="C4667" s="1">
        <v>621199.0</v>
      </c>
      <c r="D4667" s="1" t="s">
        <v>537</v>
      </c>
      <c r="E4667" s="1" t="s">
        <v>927</v>
      </c>
      <c r="F4667" s="1" t="s">
        <v>927</v>
      </c>
      <c r="G4667" s="1">
        <v>7.0</v>
      </c>
      <c r="H4667" s="1">
        <v>0.386278896</v>
      </c>
      <c r="I4667" s="1">
        <v>3.72</v>
      </c>
      <c r="J4667" s="1">
        <v>0.321987</v>
      </c>
    </row>
    <row r="4668">
      <c r="A4668" s="1">
        <v>2025.0</v>
      </c>
      <c r="B4668" s="1" t="s">
        <v>723</v>
      </c>
      <c r="C4668" s="1">
        <v>621199.0</v>
      </c>
      <c r="D4668" s="1" t="s">
        <v>538</v>
      </c>
      <c r="E4668" s="1" t="s">
        <v>927</v>
      </c>
      <c r="F4668" s="1" t="s">
        <v>927</v>
      </c>
      <c r="G4668" s="1">
        <v>3.0</v>
      </c>
      <c r="H4668" s="1">
        <v>0.165548098</v>
      </c>
      <c r="I4668" s="1">
        <v>7.03</v>
      </c>
      <c r="J4668" s="1">
        <v>-0.06705</v>
      </c>
    </row>
    <row r="4669">
      <c r="A4669" s="1">
        <v>2025.0</v>
      </c>
      <c r="B4669" s="1" t="s">
        <v>723</v>
      </c>
      <c r="C4669" s="1">
        <v>621199.0</v>
      </c>
      <c r="D4669" s="1" t="s">
        <v>536</v>
      </c>
      <c r="E4669" s="1" t="s">
        <v>927</v>
      </c>
      <c r="F4669" s="1" t="s">
        <v>927</v>
      </c>
      <c r="G4669" s="1">
        <v>128.0</v>
      </c>
      <c r="H4669" s="1">
        <v>7.063385533</v>
      </c>
      <c r="I4669" s="1">
        <v>5.17</v>
      </c>
      <c r="J4669" s="1">
        <v>2.381918</v>
      </c>
    </row>
    <row r="4670">
      <c r="A4670" s="1">
        <v>2025.0</v>
      </c>
      <c r="B4670" s="1" t="s">
        <v>723</v>
      </c>
      <c r="C4670" s="1">
        <v>621199.0</v>
      </c>
      <c r="D4670" s="1" t="s">
        <v>533</v>
      </c>
      <c r="E4670" s="1" t="s">
        <v>927</v>
      </c>
      <c r="F4670" s="1" t="s">
        <v>927</v>
      </c>
      <c r="G4670" s="1">
        <v>7.0</v>
      </c>
      <c r="H4670" s="1">
        <v>0.386278896</v>
      </c>
      <c r="I4670" s="1">
        <v>5.39</v>
      </c>
      <c r="J4670" s="1">
        <v>0.112783</v>
      </c>
    </row>
    <row r="4671">
      <c r="A4671" s="1">
        <v>2025.0</v>
      </c>
      <c r="B4671" s="1" t="s">
        <v>723</v>
      </c>
      <c r="C4671" s="1">
        <v>621199.0</v>
      </c>
      <c r="D4671" s="1" t="s">
        <v>539</v>
      </c>
      <c r="E4671" s="1" t="s">
        <v>927</v>
      </c>
      <c r="F4671" s="1" t="s">
        <v>927</v>
      </c>
      <c r="G4671" s="1">
        <v>55.0</v>
      </c>
      <c r="H4671" s="1">
        <v>3.035048471</v>
      </c>
      <c r="I4671" s="1">
        <v>5.13</v>
      </c>
      <c r="J4671" s="1">
        <v>0.984827</v>
      </c>
    </row>
    <row r="4672">
      <c r="A4672" s="1">
        <v>2025.0</v>
      </c>
      <c r="B4672" s="1" t="s">
        <v>254</v>
      </c>
      <c r="C4672" s="1">
        <v>666374.0</v>
      </c>
      <c r="D4672" s="1" t="s">
        <v>532</v>
      </c>
      <c r="E4672" s="1" t="s">
        <v>927</v>
      </c>
      <c r="F4672" s="1" t="s">
        <v>926</v>
      </c>
      <c r="G4672" s="1">
        <v>87.0</v>
      </c>
      <c r="H4672" s="1">
        <v>5.00973236</v>
      </c>
      <c r="I4672" s="1">
        <v>4.6</v>
      </c>
      <c r="J4672" s="1">
        <v>2.568889</v>
      </c>
    </row>
    <row r="4673">
      <c r="A4673" s="1">
        <v>2025.0</v>
      </c>
      <c r="B4673" s="1" t="s">
        <v>254</v>
      </c>
      <c r="C4673" s="1">
        <v>666374.0</v>
      </c>
      <c r="D4673" s="1" t="s">
        <v>541</v>
      </c>
      <c r="E4673" s="1" t="s">
        <v>927</v>
      </c>
      <c r="F4673" s="1" t="s">
        <v>926</v>
      </c>
      <c r="G4673" s="1">
        <v>5.0</v>
      </c>
      <c r="H4673" s="1">
        <v>0.287915653</v>
      </c>
      <c r="I4673" s="1">
        <v>3.5</v>
      </c>
      <c r="J4673" s="1">
        <v>0.241236</v>
      </c>
    </row>
    <row r="4674">
      <c r="A4674" s="1">
        <v>2025.0</v>
      </c>
      <c r="B4674" s="1" t="s">
        <v>254</v>
      </c>
      <c r="C4674" s="1">
        <v>666374.0</v>
      </c>
      <c r="D4674" s="1" t="s">
        <v>537</v>
      </c>
      <c r="E4674" s="1" t="s">
        <v>927</v>
      </c>
      <c r="F4674" s="1" t="s">
        <v>926</v>
      </c>
      <c r="G4674" s="1">
        <v>25.0</v>
      </c>
      <c r="H4674" s="1">
        <v>1.439578264</v>
      </c>
      <c r="I4674" s="1">
        <v>4.0</v>
      </c>
      <c r="J4674" s="1">
        <v>1.065658</v>
      </c>
    </row>
    <row r="4675">
      <c r="A4675" s="1">
        <v>2025.0</v>
      </c>
      <c r="B4675" s="1" t="s">
        <v>254</v>
      </c>
      <c r="C4675" s="1">
        <v>666374.0</v>
      </c>
      <c r="D4675" s="1" t="s">
        <v>536</v>
      </c>
      <c r="E4675" s="1" t="s">
        <v>927</v>
      </c>
      <c r="F4675" s="1" t="s">
        <v>926</v>
      </c>
      <c r="G4675" s="1">
        <v>64.0</v>
      </c>
      <c r="H4675" s="1">
        <v>3.685320357</v>
      </c>
      <c r="I4675" s="1">
        <v>5.28</v>
      </c>
      <c r="J4675" s="1">
        <v>1.063154</v>
      </c>
    </row>
    <row r="4676">
      <c r="A4676" s="1">
        <v>2025.0</v>
      </c>
      <c r="B4676" s="1" t="s">
        <v>254</v>
      </c>
      <c r="C4676" s="1">
        <v>666374.0</v>
      </c>
      <c r="D4676" s="1" t="s">
        <v>533</v>
      </c>
      <c r="E4676" s="1" t="s">
        <v>927</v>
      </c>
      <c r="F4676" s="1" t="s">
        <v>926</v>
      </c>
      <c r="G4676" s="1">
        <v>215.0</v>
      </c>
      <c r="H4676" s="1">
        <v>12.38037307</v>
      </c>
      <c r="I4676" s="1">
        <v>5.27</v>
      </c>
      <c r="J4676" s="1">
        <v>3.488499</v>
      </c>
    </row>
    <row r="4677">
      <c r="A4677" s="1">
        <v>2025.0</v>
      </c>
      <c r="B4677" s="1" t="s">
        <v>254</v>
      </c>
      <c r="C4677" s="1">
        <v>666374.0</v>
      </c>
      <c r="D4677" s="1" t="s">
        <v>532</v>
      </c>
      <c r="E4677" s="1" t="s">
        <v>927</v>
      </c>
      <c r="F4677" s="1" t="s">
        <v>927</v>
      </c>
      <c r="G4677" s="1">
        <v>11.0</v>
      </c>
      <c r="H4677" s="1">
        <v>0.633414436</v>
      </c>
      <c r="I4677" s="1">
        <v>4.02</v>
      </c>
      <c r="J4677" s="1">
        <v>0.40757</v>
      </c>
    </row>
    <row r="4678">
      <c r="A4678" s="1">
        <v>2025.0</v>
      </c>
      <c r="B4678" s="1" t="s">
        <v>254</v>
      </c>
      <c r="C4678" s="1">
        <v>666374.0</v>
      </c>
      <c r="D4678" s="1" t="s">
        <v>541</v>
      </c>
      <c r="E4678" s="1" t="s">
        <v>927</v>
      </c>
      <c r="F4678" s="1" t="s">
        <v>927</v>
      </c>
      <c r="G4678" s="1">
        <v>1.0</v>
      </c>
      <c r="H4678" s="1">
        <v>0.057583131</v>
      </c>
      <c r="I4678" s="1">
        <v>7.63</v>
      </c>
      <c r="J4678" s="1">
        <v>-0.037727</v>
      </c>
    </row>
    <row r="4679">
      <c r="A4679" s="1">
        <v>2025.0</v>
      </c>
      <c r="B4679" s="1" t="s">
        <v>254</v>
      </c>
      <c r="C4679" s="1">
        <v>666374.0</v>
      </c>
      <c r="D4679" s="1" t="s">
        <v>537</v>
      </c>
      <c r="E4679" s="1" t="s">
        <v>927</v>
      </c>
      <c r="F4679" s="1" t="s">
        <v>927</v>
      </c>
      <c r="G4679" s="1">
        <v>15.0</v>
      </c>
      <c r="H4679" s="1">
        <v>0.863746959</v>
      </c>
      <c r="I4679" s="1">
        <v>4.56</v>
      </c>
      <c r="J4679" s="1">
        <v>0.459791</v>
      </c>
    </row>
    <row r="4680">
      <c r="A4680" s="1">
        <v>2025.0</v>
      </c>
      <c r="B4680" s="1" t="s">
        <v>254</v>
      </c>
      <c r="C4680" s="1">
        <v>666374.0</v>
      </c>
      <c r="D4680" s="1" t="s">
        <v>536</v>
      </c>
      <c r="E4680" s="1" t="s">
        <v>927</v>
      </c>
      <c r="F4680" s="1" t="s">
        <v>927</v>
      </c>
      <c r="G4680" s="1">
        <v>116.0</v>
      </c>
      <c r="H4680" s="1">
        <v>6.679643147</v>
      </c>
      <c r="I4680" s="1">
        <v>5.25</v>
      </c>
      <c r="J4680" s="1">
        <v>1.968073</v>
      </c>
    </row>
    <row r="4681">
      <c r="A4681" s="1">
        <v>2025.0</v>
      </c>
      <c r="B4681" s="1" t="s">
        <v>254</v>
      </c>
      <c r="C4681" s="1">
        <v>666374.0</v>
      </c>
      <c r="D4681" s="1" t="s">
        <v>533</v>
      </c>
      <c r="E4681" s="1" t="s">
        <v>927</v>
      </c>
      <c r="F4681" s="1" t="s">
        <v>927</v>
      </c>
      <c r="G4681" s="1">
        <v>283.0</v>
      </c>
      <c r="H4681" s="1">
        <v>16.29602595</v>
      </c>
      <c r="I4681" s="1">
        <v>5.16</v>
      </c>
      <c r="J4681" s="1">
        <v>5.147766</v>
      </c>
    </row>
    <row r="4682">
      <c r="A4682" s="1">
        <v>2025.0</v>
      </c>
      <c r="B4682" s="1" t="s">
        <v>141</v>
      </c>
      <c r="C4682" s="1">
        <v>670036.0</v>
      </c>
      <c r="D4682" s="1" t="s">
        <v>540</v>
      </c>
      <c r="E4682" s="1" t="s">
        <v>927</v>
      </c>
      <c r="F4682" s="1" t="s">
        <v>926</v>
      </c>
      <c r="G4682" s="1">
        <v>81.0</v>
      </c>
      <c r="H4682" s="1">
        <v>5.426470588</v>
      </c>
      <c r="I4682" s="1">
        <v>4.62</v>
      </c>
      <c r="J4682" s="1">
        <v>2.493571</v>
      </c>
    </row>
    <row r="4683">
      <c r="A4683" s="1">
        <v>2025.0</v>
      </c>
      <c r="B4683" s="1" t="s">
        <v>141</v>
      </c>
      <c r="C4683" s="1">
        <v>670036.0</v>
      </c>
      <c r="D4683" s="1" t="s">
        <v>537</v>
      </c>
      <c r="E4683" s="1" t="s">
        <v>927</v>
      </c>
      <c r="F4683" s="1" t="s">
        <v>926</v>
      </c>
      <c r="G4683" s="1">
        <v>169.0</v>
      </c>
      <c r="H4683" s="1">
        <v>11.32189542</v>
      </c>
      <c r="I4683" s="1">
        <v>5.19</v>
      </c>
      <c r="J4683" s="1">
        <v>3.118827</v>
      </c>
    </row>
    <row r="4684">
      <c r="A4684" s="1">
        <v>2025.0</v>
      </c>
      <c r="B4684" s="1" t="s">
        <v>141</v>
      </c>
      <c r="C4684" s="1">
        <v>670036.0</v>
      </c>
      <c r="D4684" s="1" t="s">
        <v>536</v>
      </c>
      <c r="E4684" s="1" t="s">
        <v>927</v>
      </c>
      <c r="F4684" s="1" t="s">
        <v>926</v>
      </c>
      <c r="G4684" s="1">
        <v>7.0</v>
      </c>
      <c r="H4684" s="1">
        <v>0.468954248</v>
      </c>
      <c r="I4684" s="1">
        <v>4.97</v>
      </c>
      <c r="J4684" s="1">
        <v>0.180554</v>
      </c>
    </row>
    <row r="4685">
      <c r="A4685" s="1">
        <v>2025.0</v>
      </c>
      <c r="B4685" s="1" t="s">
        <v>141</v>
      </c>
      <c r="C4685" s="1">
        <v>670036.0</v>
      </c>
      <c r="D4685" s="1" t="s">
        <v>539</v>
      </c>
      <c r="E4685" s="1" t="s">
        <v>927</v>
      </c>
      <c r="F4685" s="1" t="s">
        <v>926</v>
      </c>
      <c r="G4685" s="1">
        <v>106.0</v>
      </c>
      <c r="H4685" s="1">
        <v>7.10130719</v>
      </c>
      <c r="I4685" s="1">
        <v>4.94</v>
      </c>
      <c r="J4685" s="1">
        <v>2.479635</v>
      </c>
    </row>
    <row r="4686">
      <c r="A4686" s="1">
        <v>2025.0</v>
      </c>
      <c r="B4686" s="1" t="s">
        <v>141</v>
      </c>
      <c r="C4686" s="1">
        <v>670036.0</v>
      </c>
      <c r="D4686" s="1" t="s">
        <v>540</v>
      </c>
      <c r="E4686" s="1" t="s">
        <v>927</v>
      </c>
      <c r="F4686" s="1" t="s">
        <v>927</v>
      </c>
      <c r="G4686" s="1">
        <v>38.0</v>
      </c>
      <c r="H4686" s="1">
        <v>2.545751634</v>
      </c>
      <c r="I4686" s="1">
        <v>4.9</v>
      </c>
      <c r="J4686" s="1">
        <v>0.928427</v>
      </c>
    </row>
    <row r="4687">
      <c r="A4687" s="1">
        <v>2025.0</v>
      </c>
      <c r="B4687" s="1" t="s">
        <v>141</v>
      </c>
      <c r="C4687" s="1">
        <v>670036.0</v>
      </c>
      <c r="D4687" s="1" t="s">
        <v>537</v>
      </c>
      <c r="E4687" s="1" t="s">
        <v>927</v>
      </c>
      <c r="F4687" s="1" t="s">
        <v>927</v>
      </c>
      <c r="G4687" s="1">
        <v>151.0</v>
      </c>
      <c r="H4687" s="1">
        <v>10.11601307</v>
      </c>
      <c r="I4687" s="1">
        <v>5.2</v>
      </c>
      <c r="J4687" s="1">
        <v>2.832991</v>
      </c>
    </row>
    <row r="4688">
      <c r="A4688" s="1">
        <v>2025.0</v>
      </c>
      <c r="B4688" s="1" t="s">
        <v>141</v>
      </c>
      <c r="C4688" s="1">
        <v>670036.0</v>
      </c>
      <c r="D4688" s="1" t="s">
        <v>536</v>
      </c>
      <c r="E4688" s="1" t="s">
        <v>927</v>
      </c>
      <c r="F4688" s="1" t="s">
        <v>927</v>
      </c>
      <c r="G4688" s="1">
        <v>59.0</v>
      </c>
      <c r="H4688" s="1">
        <v>3.952614379</v>
      </c>
      <c r="I4688" s="1">
        <v>4.56</v>
      </c>
      <c r="J4688" s="1">
        <v>1.805941</v>
      </c>
    </row>
    <row r="4689">
      <c r="A4689" s="1">
        <v>2025.0</v>
      </c>
      <c r="B4689" s="1" t="s">
        <v>141</v>
      </c>
      <c r="C4689" s="1">
        <v>670036.0</v>
      </c>
      <c r="D4689" s="1" t="s">
        <v>539</v>
      </c>
      <c r="E4689" s="1" t="s">
        <v>927</v>
      </c>
      <c r="F4689" s="1" t="s">
        <v>927</v>
      </c>
      <c r="G4689" s="1">
        <v>205.0</v>
      </c>
      <c r="H4689" s="1">
        <v>13.73366013</v>
      </c>
      <c r="I4689" s="1">
        <v>5.33</v>
      </c>
      <c r="J4689" s="1">
        <v>3.098988</v>
      </c>
    </row>
    <row r="4690">
      <c r="A4690" s="1">
        <v>2025.0</v>
      </c>
      <c r="B4690" s="1" t="s">
        <v>448</v>
      </c>
      <c r="C4690" s="1">
        <v>657424.0</v>
      </c>
      <c r="D4690" s="1" t="s">
        <v>532</v>
      </c>
      <c r="E4690" s="1" t="s">
        <v>926</v>
      </c>
      <c r="F4690" s="1" t="s">
        <v>926</v>
      </c>
      <c r="G4690" s="1">
        <v>1.0</v>
      </c>
      <c r="H4690" s="1">
        <v>0.058490566</v>
      </c>
      <c r="I4690" s="1">
        <v>7.09</v>
      </c>
      <c r="J4690" s="1">
        <v>-0.024936</v>
      </c>
    </row>
    <row r="4691">
      <c r="A4691" s="1">
        <v>2025.0</v>
      </c>
      <c r="B4691" s="1" t="s">
        <v>448</v>
      </c>
      <c r="C4691" s="1">
        <v>657424.0</v>
      </c>
      <c r="D4691" s="1" t="s">
        <v>541</v>
      </c>
      <c r="E4691" s="1" t="s">
        <v>926</v>
      </c>
      <c r="F4691" s="1" t="s">
        <v>926</v>
      </c>
      <c r="G4691" s="1">
        <v>7.0</v>
      </c>
      <c r="H4691" s="1">
        <v>0.409433962</v>
      </c>
      <c r="I4691" s="1">
        <v>3.77</v>
      </c>
      <c r="J4691" s="1">
        <v>0.329662</v>
      </c>
    </row>
    <row r="4692">
      <c r="A4692" s="1">
        <v>2025.0</v>
      </c>
      <c r="B4692" s="1" t="s">
        <v>448</v>
      </c>
      <c r="C4692" s="1">
        <v>657424.0</v>
      </c>
      <c r="D4692" s="1" t="s">
        <v>537</v>
      </c>
      <c r="E4692" s="1" t="s">
        <v>926</v>
      </c>
      <c r="F4692" s="1" t="s">
        <v>926</v>
      </c>
      <c r="G4692" s="1">
        <v>55.0</v>
      </c>
      <c r="H4692" s="1">
        <v>3.216981132</v>
      </c>
      <c r="I4692" s="1">
        <v>4.54</v>
      </c>
      <c r="J4692" s="1">
        <v>1.711184</v>
      </c>
    </row>
    <row r="4693">
      <c r="A4693" s="1">
        <v>2025.0</v>
      </c>
      <c r="B4693" s="1" t="s">
        <v>448</v>
      </c>
      <c r="C4693" s="1">
        <v>657424.0</v>
      </c>
      <c r="D4693" s="1" t="s">
        <v>536</v>
      </c>
      <c r="E4693" s="1" t="s">
        <v>926</v>
      </c>
      <c r="F4693" s="1" t="s">
        <v>926</v>
      </c>
      <c r="G4693" s="1">
        <v>40.0</v>
      </c>
      <c r="H4693" s="1">
        <v>2.339622642</v>
      </c>
      <c r="I4693" s="1">
        <v>3.98</v>
      </c>
      <c r="J4693" s="1">
        <v>1.737967</v>
      </c>
    </row>
    <row r="4694">
      <c r="A4694" s="1">
        <v>2025.0</v>
      </c>
      <c r="B4694" s="1" t="s">
        <v>448</v>
      </c>
      <c r="C4694" s="1">
        <v>657424.0</v>
      </c>
      <c r="D4694" s="1" t="s">
        <v>533</v>
      </c>
      <c r="E4694" s="1" t="s">
        <v>926</v>
      </c>
      <c r="F4694" s="1" t="s">
        <v>926</v>
      </c>
      <c r="G4694" s="1">
        <v>147.0</v>
      </c>
      <c r="H4694" s="1">
        <v>8.598113208</v>
      </c>
      <c r="I4694" s="1">
        <v>5.43</v>
      </c>
      <c r="J4694" s="1">
        <v>2.034046</v>
      </c>
    </row>
    <row r="4695">
      <c r="A4695" s="1">
        <v>2025.0</v>
      </c>
      <c r="B4695" s="1" t="s">
        <v>448</v>
      </c>
      <c r="C4695" s="1">
        <v>657424.0</v>
      </c>
      <c r="D4695" s="1" t="s">
        <v>539</v>
      </c>
      <c r="E4695" s="1" t="s">
        <v>926</v>
      </c>
      <c r="F4695" s="1" t="s">
        <v>926</v>
      </c>
      <c r="G4695" s="1">
        <v>15.0</v>
      </c>
      <c r="H4695" s="1">
        <v>0.877358491</v>
      </c>
      <c r="I4695" s="1">
        <v>5.03</v>
      </c>
      <c r="J4695" s="1">
        <v>0.290407</v>
      </c>
    </row>
    <row r="4696">
      <c r="A4696" s="1">
        <v>2025.0</v>
      </c>
      <c r="B4696" s="1" t="s">
        <v>448</v>
      </c>
      <c r="C4696" s="1">
        <v>657424.0</v>
      </c>
      <c r="D4696" s="1" t="s">
        <v>532</v>
      </c>
      <c r="E4696" s="1" t="s">
        <v>926</v>
      </c>
      <c r="F4696" s="1" t="s">
        <v>927</v>
      </c>
      <c r="G4696" s="1">
        <v>46.0</v>
      </c>
      <c r="H4696" s="1">
        <v>2.690566038</v>
      </c>
      <c r="I4696" s="1">
        <v>4.67</v>
      </c>
      <c r="J4696" s="1">
        <v>1.294416</v>
      </c>
    </row>
    <row r="4697">
      <c r="A4697" s="1">
        <v>2025.0</v>
      </c>
      <c r="B4697" s="1" t="s">
        <v>448</v>
      </c>
      <c r="C4697" s="1">
        <v>657424.0</v>
      </c>
      <c r="D4697" s="1" t="s">
        <v>537</v>
      </c>
      <c r="E4697" s="1" t="s">
        <v>926</v>
      </c>
      <c r="F4697" s="1" t="s">
        <v>927</v>
      </c>
      <c r="G4697" s="1">
        <v>91.0</v>
      </c>
      <c r="H4697" s="1">
        <v>5.322641509</v>
      </c>
      <c r="I4697" s="1">
        <v>4.42</v>
      </c>
      <c r="J4697" s="1">
        <v>3.037956</v>
      </c>
    </row>
    <row r="4698">
      <c r="A4698" s="1">
        <v>2025.0</v>
      </c>
      <c r="B4698" s="1" t="s">
        <v>448</v>
      </c>
      <c r="C4698" s="1">
        <v>657424.0</v>
      </c>
      <c r="D4698" s="1" t="s">
        <v>536</v>
      </c>
      <c r="E4698" s="1" t="s">
        <v>926</v>
      </c>
      <c r="F4698" s="1" t="s">
        <v>927</v>
      </c>
      <c r="G4698" s="1">
        <v>9.0</v>
      </c>
      <c r="H4698" s="1">
        <v>0.526415094</v>
      </c>
      <c r="I4698" s="1">
        <v>4.63</v>
      </c>
      <c r="J4698" s="1">
        <v>0.269698</v>
      </c>
    </row>
    <row r="4699">
      <c r="A4699" s="1">
        <v>2025.0</v>
      </c>
      <c r="B4699" s="1" t="s">
        <v>448</v>
      </c>
      <c r="C4699" s="1">
        <v>657424.0</v>
      </c>
      <c r="D4699" s="1" t="s">
        <v>533</v>
      </c>
      <c r="E4699" s="1" t="s">
        <v>926</v>
      </c>
      <c r="F4699" s="1" t="s">
        <v>927</v>
      </c>
      <c r="G4699" s="1">
        <v>115.0</v>
      </c>
      <c r="H4699" s="1">
        <v>6.726415094</v>
      </c>
      <c r="I4699" s="1">
        <v>5.48</v>
      </c>
      <c r="J4699" s="1">
        <v>1.430251</v>
      </c>
    </row>
    <row r="4700">
      <c r="A4700" s="1">
        <v>2025.0</v>
      </c>
      <c r="B4700" s="1" t="s">
        <v>448</v>
      </c>
      <c r="C4700" s="1">
        <v>657424.0</v>
      </c>
      <c r="D4700" s="1" t="s">
        <v>539</v>
      </c>
      <c r="E4700" s="1" t="s">
        <v>926</v>
      </c>
      <c r="F4700" s="1" t="s">
        <v>927</v>
      </c>
      <c r="G4700" s="1">
        <v>4.0</v>
      </c>
      <c r="H4700" s="1">
        <v>0.233962264</v>
      </c>
      <c r="I4700" s="1">
        <v>2.68</v>
      </c>
      <c r="J4700" s="1">
        <v>0.266558</v>
      </c>
    </row>
    <row r="4701">
      <c r="A4701" s="1">
        <v>2025.0</v>
      </c>
      <c r="B4701" s="1" t="s">
        <v>741</v>
      </c>
      <c r="C4701" s="1">
        <v>640454.0</v>
      </c>
      <c r="D4701" s="1" t="s">
        <v>540</v>
      </c>
      <c r="E4701" s="1" t="s">
        <v>926</v>
      </c>
      <c r="F4701" s="1" t="s">
        <v>926</v>
      </c>
      <c r="G4701" s="1">
        <v>1.0</v>
      </c>
      <c r="H4701" s="1">
        <v>0.046948357</v>
      </c>
      <c r="I4701" s="1">
        <v>1.87</v>
      </c>
      <c r="J4701" s="1">
        <v>0.084587</v>
      </c>
    </row>
    <row r="4702">
      <c r="A4702" s="1">
        <v>2025.0</v>
      </c>
      <c r="B4702" s="1" t="s">
        <v>741</v>
      </c>
      <c r="C4702" s="1">
        <v>640454.0</v>
      </c>
      <c r="D4702" s="1" t="s">
        <v>536</v>
      </c>
      <c r="E4702" s="1" t="s">
        <v>926</v>
      </c>
      <c r="F4702" s="1" t="s">
        <v>926</v>
      </c>
      <c r="G4702" s="1">
        <v>12.0</v>
      </c>
      <c r="H4702" s="1">
        <v>0.563380282</v>
      </c>
      <c r="I4702" s="1">
        <v>5.97</v>
      </c>
      <c r="J4702" s="1">
        <v>0.039785</v>
      </c>
    </row>
    <row r="4703">
      <c r="A4703" s="1">
        <v>2025.0</v>
      </c>
      <c r="B4703" s="1" t="s">
        <v>741</v>
      </c>
      <c r="C4703" s="1">
        <v>640454.0</v>
      </c>
      <c r="D4703" s="1" t="s">
        <v>533</v>
      </c>
      <c r="E4703" s="1" t="s">
        <v>926</v>
      </c>
      <c r="F4703" s="1" t="s">
        <v>926</v>
      </c>
      <c r="G4703" s="1">
        <v>4.0</v>
      </c>
      <c r="H4703" s="1">
        <v>0.187793427</v>
      </c>
      <c r="I4703" s="1">
        <v>4.93</v>
      </c>
      <c r="J4703" s="1">
        <v>0.093607</v>
      </c>
    </row>
    <row r="4704">
      <c r="A4704" s="1">
        <v>2025.0</v>
      </c>
      <c r="B4704" s="1" t="s">
        <v>741</v>
      </c>
      <c r="C4704" s="1">
        <v>640454.0</v>
      </c>
      <c r="D4704" s="1" t="s">
        <v>539</v>
      </c>
      <c r="E4704" s="1" t="s">
        <v>926</v>
      </c>
      <c r="F4704" s="1" t="s">
        <v>926</v>
      </c>
      <c r="G4704" s="1">
        <v>4.0</v>
      </c>
      <c r="H4704" s="1">
        <v>0.187793427</v>
      </c>
      <c r="I4704" s="1">
        <v>5.62</v>
      </c>
      <c r="J4704" s="1">
        <v>0.036444</v>
      </c>
    </row>
    <row r="4705">
      <c r="A4705" s="1">
        <v>2025.0</v>
      </c>
      <c r="B4705" s="1" t="s">
        <v>741</v>
      </c>
      <c r="C4705" s="1">
        <v>640454.0</v>
      </c>
      <c r="D4705" s="1" t="s">
        <v>532</v>
      </c>
      <c r="E4705" s="1" t="s">
        <v>926</v>
      </c>
      <c r="F4705" s="1" t="s">
        <v>927</v>
      </c>
      <c r="G4705" s="1">
        <v>11.0</v>
      </c>
      <c r="H4705" s="1">
        <v>0.516431925</v>
      </c>
      <c r="I4705" s="1">
        <v>5.74</v>
      </c>
      <c r="J4705" s="1">
        <v>0.08833</v>
      </c>
    </row>
    <row r="4706">
      <c r="A4706" s="1">
        <v>2025.0</v>
      </c>
      <c r="B4706" s="1" t="s">
        <v>741</v>
      </c>
      <c r="C4706" s="1">
        <v>640454.0</v>
      </c>
      <c r="D4706" s="1" t="s">
        <v>540</v>
      </c>
      <c r="E4706" s="1" t="s">
        <v>926</v>
      </c>
      <c r="F4706" s="1" t="s">
        <v>927</v>
      </c>
      <c r="G4706" s="1">
        <v>16.0</v>
      </c>
      <c r="H4706" s="1">
        <v>0.751173709</v>
      </c>
      <c r="I4706" s="1">
        <v>5.5</v>
      </c>
      <c r="J4706" s="1">
        <v>0.190939</v>
      </c>
    </row>
    <row r="4707">
      <c r="A4707" s="1">
        <v>2025.0</v>
      </c>
      <c r="B4707" s="1" t="s">
        <v>741</v>
      </c>
      <c r="C4707" s="1">
        <v>640454.0</v>
      </c>
      <c r="D4707" s="1" t="s">
        <v>536</v>
      </c>
      <c r="E4707" s="1" t="s">
        <v>926</v>
      </c>
      <c r="F4707" s="1" t="s">
        <v>927</v>
      </c>
      <c r="G4707" s="1">
        <v>12.0</v>
      </c>
      <c r="H4707" s="1">
        <v>0.563380282</v>
      </c>
      <c r="I4707" s="1">
        <v>4.26</v>
      </c>
      <c r="J4707" s="1">
        <v>0.46996</v>
      </c>
    </row>
    <row r="4708">
      <c r="A4708" s="1">
        <v>2025.0</v>
      </c>
      <c r="B4708" s="1" t="s">
        <v>741</v>
      </c>
      <c r="C4708" s="1">
        <v>640454.0</v>
      </c>
      <c r="D4708" s="1" t="s">
        <v>533</v>
      </c>
      <c r="E4708" s="1" t="s">
        <v>926</v>
      </c>
      <c r="F4708" s="1" t="s">
        <v>927</v>
      </c>
      <c r="G4708" s="1">
        <v>2.0</v>
      </c>
      <c r="H4708" s="1">
        <v>0.093896714</v>
      </c>
      <c r="I4708" s="1">
        <v>4.58</v>
      </c>
      <c r="J4708" s="1">
        <v>0.066299</v>
      </c>
    </row>
    <row r="4709">
      <c r="A4709" s="1">
        <v>2025.0</v>
      </c>
      <c r="B4709" s="1" t="s">
        <v>741</v>
      </c>
      <c r="C4709" s="1">
        <v>640454.0</v>
      </c>
      <c r="D4709" s="1" t="s">
        <v>539</v>
      </c>
      <c r="E4709" s="1" t="s">
        <v>926</v>
      </c>
      <c r="F4709" s="1" t="s">
        <v>927</v>
      </c>
      <c r="G4709" s="1">
        <v>9.0</v>
      </c>
      <c r="H4709" s="1">
        <v>0.422535211</v>
      </c>
      <c r="I4709" s="1">
        <v>6.04</v>
      </c>
      <c r="J4709" s="1">
        <v>0.006189</v>
      </c>
    </row>
    <row r="4710">
      <c r="A4710" s="1">
        <v>2025.0</v>
      </c>
      <c r="B4710" s="1" t="s">
        <v>390</v>
      </c>
      <c r="C4710" s="1">
        <v>669422.0</v>
      </c>
      <c r="D4710" s="1" t="s">
        <v>541</v>
      </c>
      <c r="E4710" s="1" t="s">
        <v>927</v>
      </c>
      <c r="F4710" s="1" t="s">
        <v>926</v>
      </c>
      <c r="G4710" s="1">
        <v>3.0</v>
      </c>
      <c r="H4710" s="1">
        <v>0.173828125</v>
      </c>
      <c r="I4710" s="1">
        <v>5.07</v>
      </c>
      <c r="J4710" s="1">
        <v>0.070219</v>
      </c>
    </row>
    <row r="4711">
      <c r="A4711" s="1">
        <v>2025.0</v>
      </c>
      <c r="B4711" s="1" t="s">
        <v>390</v>
      </c>
      <c r="C4711" s="1">
        <v>669422.0</v>
      </c>
      <c r="D4711" s="1" t="s">
        <v>540</v>
      </c>
      <c r="E4711" s="1" t="s">
        <v>927</v>
      </c>
      <c r="F4711" s="1" t="s">
        <v>926</v>
      </c>
      <c r="G4711" s="1">
        <v>76.0</v>
      </c>
      <c r="H4711" s="1">
        <v>4.403645833</v>
      </c>
      <c r="I4711" s="1">
        <v>4.91</v>
      </c>
      <c r="J4711" s="1">
        <v>1.77507</v>
      </c>
    </row>
    <row r="4712">
      <c r="A4712" s="1">
        <v>2025.0</v>
      </c>
      <c r="B4712" s="1" t="s">
        <v>390</v>
      </c>
      <c r="C4712" s="1">
        <v>669422.0</v>
      </c>
      <c r="D4712" s="1" t="s">
        <v>537</v>
      </c>
      <c r="E4712" s="1" t="s">
        <v>927</v>
      </c>
      <c r="F4712" s="1" t="s">
        <v>926</v>
      </c>
      <c r="G4712" s="1">
        <v>72.0</v>
      </c>
      <c r="H4712" s="1">
        <v>4.171875</v>
      </c>
      <c r="I4712" s="1">
        <v>4.73</v>
      </c>
      <c r="J4712" s="1">
        <v>1.961371</v>
      </c>
    </row>
    <row r="4713">
      <c r="A4713" s="1">
        <v>2025.0</v>
      </c>
      <c r="B4713" s="1" t="s">
        <v>390</v>
      </c>
      <c r="C4713" s="1">
        <v>669422.0</v>
      </c>
      <c r="D4713" s="1" t="s">
        <v>538</v>
      </c>
      <c r="E4713" s="1" t="s">
        <v>927</v>
      </c>
      <c r="F4713" s="1" t="s">
        <v>926</v>
      </c>
      <c r="G4713" s="1">
        <v>37.0</v>
      </c>
      <c r="H4713" s="1">
        <v>2.143880208</v>
      </c>
      <c r="I4713" s="1">
        <v>4.56</v>
      </c>
      <c r="J4713" s="1">
        <v>1.111014</v>
      </c>
    </row>
    <row r="4714">
      <c r="A4714" s="1">
        <v>2025.0</v>
      </c>
      <c r="B4714" s="1" t="s">
        <v>390</v>
      </c>
      <c r="C4714" s="1">
        <v>669422.0</v>
      </c>
      <c r="D4714" s="1" t="s">
        <v>536</v>
      </c>
      <c r="E4714" s="1" t="s">
        <v>927</v>
      </c>
      <c r="F4714" s="1" t="s">
        <v>926</v>
      </c>
      <c r="G4714" s="1">
        <v>15.0</v>
      </c>
      <c r="H4714" s="1">
        <v>0.869140625</v>
      </c>
      <c r="I4714" s="1">
        <v>5.14</v>
      </c>
      <c r="J4714" s="1">
        <v>0.30712</v>
      </c>
    </row>
    <row r="4715">
      <c r="A4715" s="1">
        <v>2025.0</v>
      </c>
      <c r="B4715" s="1" t="s">
        <v>390</v>
      </c>
      <c r="C4715" s="1">
        <v>669422.0</v>
      </c>
      <c r="D4715" s="1" t="s">
        <v>533</v>
      </c>
      <c r="E4715" s="1" t="s">
        <v>927</v>
      </c>
      <c r="F4715" s="1" t="s">
        <v>926</v>
      </c>
      <c r="G4715" s="1">
        <v>36.0</v>
      </c>
      <c r="H4715" s="1">
        <v>2.0859375</v>
      </c>
      <c r="I4715" s="1">
        <v>4.36</v>
      </c>
      <c r="J4715" s="1">
        <v>1.19409</v>
      </c>
    </row>
    <row r="4716">
      <c r="A4716" s="1">
        <v>2025.0</v>
      </c>
      <c r="B4716" s="1" t="s">
        <v>390</v>
      </c>
      <c r="C4716" s="1">
        <v>669422.0</v>
      </c>
      <c r="D4716" s="1" t="s">
        <v>541</v>
      </c>
      <c r="E4716" s="1" t="s">
        <v>927</v>
      </c>
      <c r="F4716" s="1" t="s">
        <v>927</v>
      </c>
      <c r="G4716" s="1">
        <v>2.0</v>
      </c>
      <c r="H4716" s="1">
        <v>0.115885417</v>
      </c>
      <c r="I4716" s="1">
        <v>4.82</v>
      </c>
      <c r="J4716" s="1">
        <v>0.052915</v>
      </c>
    </row>
    <row r="4717">
      <c r="A4717" s="1">
        <v>2025.0</v>
      </c>
      <c r="B4717" s="1" t="s">
        <v>390</v>
      </c>
      <c r="C4717" s="1">
        <v>669422.0</v>
      </c>
      <c r="D4717" s="1" t="s">
        <v>540</v>
      </c>
      <c r="E4717" s="1" t="s">
        <v>927</v>
      </c>
      <c r="F4717" s="1" t="s">
        <v>927</v>
      </c>
      <c r="G4717" s="1">
        <v>87.0</v>
      </c>
      <c r="H4717" s="1">
        <v>5.041015625</v>
      </c>
      <c r="I4717" s="1">
        <v>5.34</v>
      </c>
      <c r="J4717" s="1">
        <v>1.346457</v>
      </c>
    </row>
    <row r="4718">
      <c r="A4718" s="1">
        <v>2025.0</v>
      </c>
      <c r="B4718" s="1" t="s">
        <v>390</v>
      </c>
      <c r="C4718" s="1">
        <v>669422.0</v>
      </c>
      <c r="D4718" s="1" t="s">
        <v>537</v>
      </c>
      <c r="E4718" s="1" t="s">
        <v>927</v>
      </c>
      <c r="F4718" s="1" t="s">
        <v>927</v>
      </c>
      <c r="G4718" s="1">
        <v>40.0</v>
      </c>
      <c r="H4718" s="1">
        <v>2.317708333</v>
      </c>
      <c r="I4718" s="1">
        <v>5.07</v>
      </c>
      <c r="J4718" s="1">
        <v>0.830552</v>
      </c>
    </row>
    <row r="4719">
      <c r="A4719" s="1">
        <v>2025.0</v>
      </c>
      <c r="B4719" s="1" t="s">
        <v>390</v>
      </c>
      <c r="C4719" s="1">
        <v>669422.0</v>
      </c>
      <c r="D4719" s="1" t="s">
        <v>538</v>
      </c>
      <c r="E4719" s="1" t="s">
        <v>927</v>
      </c>
      <c r="F4719" s="1" t="s">
        <v>927</v>
      </c>
      <c r="G4719" s="1">
        <v>9.0</v>
      </c>
      <c r="H4719" s="1">
        <v>0.521484375</v>
      </c>
      <c r="I4719" s="1">
        <v>4.57</v>
      </c>
      <c r="J4719" s="1">
        <v>0.278163</v>
      </c>
    </row>
    <row r="4720">
      <c r="A4720" s="1">
        <v>2025.0</v>
      </c>
      <c r="B4720" s="1" t="s">
        <v>390</v>
      </c>
      <c r="C4720" s="1">
        <v>669422.0</v>
      </c>
      <c r="D4720" s="1" t="s">
        <v>536</v>
      </c>
      <c r="E4720" s="1" t="s">
        <v>927</v>
      </c>
      <c r="F4720" s="1" t="s">
        <v>927</v>
      </c>
      <c r="G4720" s="1">
        <v>75.0</v>
      </c>
      <c r="H4720" s="1">
        <v>4.345703125</v>
      </c>
      <c r="I4720" s="1">
        <v>4.87</v>
      </c>
      <c r="J4720" s="1">
        <v>1.875439</v>
      </c>
    </row>
    <row r="4721">
      <c r="A4721" s="1">
        <v>2025.0</v>
      </c>
      <c r="B4721" s="1" t="s">
        <v>390</v>
      </c>
      <c r="C4721" s="1">
        <v>669422.0</v>
      </c>
      <c r="D4721" s="1" t="s">
        <v>533</v>
      </c>
      <c r="E4721" s="1" t="s">
        <v>927</v>
      </c>
      <c r="F4721" s="1" t="s">
        <v>927</v>
      </c>
      <c r="G4721" s="1">
        <v>60.0</v>
      </c>
      <c r="H4721" s="1">
        <v>3.4765625</v>
      </c>
      <c r="I4721" s="1">
        <v>4.81</v>
      </c>
      <c r="J4721" s="1">
        <v>1.550971</v>
      </c>
    </row>
    <row r="4722">
      <c r="A4722" s="1">
        <v>2025.0</v>
      </c>
      <c r="B4722" s="1" t="s">
        <v>182</v>
      </c>
      <c r="C4722" s="1">
        <v>621381.0</v>
      </c>
      <c r="D4722" s="1" t="s">
        <v>540</v>
      </c>
      <c r="E4722" s="1" t="s">
        <v>926</v>
      </c>
      <c r="F4722" s="1" t="s">
        <v>926</v>
      </c>
      <c r="G4722" s="1">
        <v>26.0</v>
      </c>
      <c r="H4722" s="1">
        <v>1.632091306</v>
      </c>
      <c r="I4722" s="1">
        <v>4.76</v>
      </c>
      <c r="J4722" s="1">
        <v>0.710379</v>
      </c>
    </row>
    <row r="4723">
      <c r="A4723" s="1">
        <v>2025.0</v>
      </c>
      <c r="B4723" s="1" t="s">
        <v>182</v>
      </c>
      <c r="C4723" s="1">
        <v>621381.0</v>
      </c>
      <c r="D4723" s="1" t="s">
        <v>537</v>
      </c>
      <c r="E4723" s="1" t="s">
        <v>926</v>
      </c>
      <c r="F4723" s="1" t="s">
        <v>926</v>
      </c>
      <c r="G4723" s="1">
        <v>65.0</v>
      </c>
      <c r="H4723" s="1">
        <v>4.080228265</v>
      </c>
      <c r="I4723" s="1">
        <v>5.22</v>
      </c>
      <c r="J4723" s="1">
        <v>1.152906</v>
      </c>
    </row>
    <row r="4724">
      <c r="A4724" s="1">
        <v>2025.0</v>
      </c>
      <c r="B4724" s="1" t="s">
        <v>182</v>
      </c>
      <c r="C4724" s="1">
        <v>621381.0</v>
      </c>
      <c r="D4724" s="1" t="s">
        <v>536</v>
      </c>
      <c r="E4724" s="1" t="s">
        <v>926</v>
      </c>
      <c r="F4724" s="1" t="s">
        <v>926</v>
      </c>
      <c r="G4724" s="1">
        <v>98.0</v>
      </c>
      <c r="H4724" s="1">
        <v>6.151728768</v>
      </c>
      <c r="I4724" s="1">
        <v>4.94</v>
      </c>
      <c r="J4724" s="1">
        <v>2.30891</v>
      </c>
    </row>
    <row r="4725">
      <c r="A4725" s="1">
        <v>2025.0</v>
      </c>
      <c r="B4725" s="1" t="s">
        <v>182</v>
      </c>
      <c r="C4725" s="1">
        <v>621381.0</v>
      </c>
      <c r="D4725" s="1" t="s">
        <v>533</v>
      </c>
      <c r="E4725" s="1" t="s">
        <v>926</v>
      </c>
      <c r="F4725" s="1" t="s">
        <v>926</v>
      </c>
      <c r="G4725" s="1">
        <v>125.0</v>
      </c>
      <c r="H4725" s="1">
        <v>7.846592816</v>
      </c>
      <c r="I4725" s="1">
        <v>5.14</v>
      </c>
      <c r="J4725" s="1">
        <v>2.32596</v>
      </c>
    </row>
    <row r="4726">
      <c r="A4726" s="1">
        <v>2025.0</v>
      </c>
      <c r="B4726" s="1" t="s">
        <v>182</v>
      </c>
      <c r="C4726" s="1">
        <v>621381.0</v>
      </c>
      <c r="D4726" s="1" t="s">
        <v>532</v>
      </c>
      <c r="E4726" s="1" t="s">
        <v>926</v>
      </c>
      <c r="F4726" s="1" t="s">
        <v>927</v>
      </c>
      <c r="G4726" s="1">
        <v>6.0</v>
      </c>
      <c r="H4726" s="1">
        <v>0.376636455</v>
      </c>
      <c r="I4726" s="1">
        <v>3.76</v>
      </c>
      <c r="J4726" s="1">
        <v>0.281279</v>
      </c>
    </row>
    <row r="4727">
      <c r="A4727" s="1">
        <v>2025.0</v>
      </c>
      <c r="B4727" s="1" t="s">
        <v>182</v>
      </c>
      <c r="C4727" s="1">
        <v>621381.0</v>
      </c>
      <c r="D4727" s="1" t="s">
        <v>540</v>
      </c>
      <c r="E4727" s="1" t="s">
        <v>926</v>
      </c>
      <c r="F4727" s="1" t="s">
        <v>927</v>
      </c>
      <c r="G4727" s="1">
        <v>118.0</v>
      </c>
      <c r="H4727" s="1">
        <v>7.407183619</v>
      </c>
      <c r="I4727" s="1">
        <v>4.75</v>
      </c>
      <c r="J4727" s="1">
        <v>3.205844</v>
      </c>
    </row>
    <row r="4728">
      <c r="A4728" s="1">
        <v>2025.0</v>
      </c>
      <c r="B4728" s="1" t="s">
        <v>182</v>
      </c>
      <c r="C4728" s="1">
        <v>621381.0</v>
      </c>
      <c r="D4728" s="1" t="s">
        <v>537</v>
      </c>
      <c r="E4728" s="1" t="s">
        <v>926</v>
      </c>
      <c r="F4728" s="1" t="s">
        <v>927</v>
      </c>
      <c r="G4728" s="1">
        <v>310.0</v>
      </c>
      <c r="H4728" s="1">
        <v>19.45955018</v>
      </c>
      <c r="I4728" s="1">
        <v>5.17</v>
      </c>
      <c r="J4728" s="1">
        <v>5.518197</v>
      </c>
    </row>
    <row r="4729">
      <c r="A4729" s="1">
        <v>2025.0</v>
      </c>
      <c r="B4729" s="1" t="s">
        <v>182</v>
      </c>
      <c r="C4729" s="1">
        <v>621381.0</v>
      </c>
      <c r="D4729" s="1" t="s">
        <v>536</v>
      </c>
      <c r="E4729" s="1" t="s">
        <v>926</v>
      </c>
      <c r="F4729" s="1" t="s">
        <v>927</v>
      </c>
      <c r="G4729" s="1">
        <v>53.0</v>
      </c>
      <c r="H4729" s="1">
        <v>3.326955354</v>
      </c>
      <c r="I4729" s="1">
        <v>5.45</v>
      </c>
      <c r="J4729" s="1">
        <v>0.752107</v>
      </c>
    </row>
    <row r="4730">
      <c r="A4730" s="1">
        <v>2025.0</v>
      </c>
      <c r="B4730" s="1" t="s">
        <v>182</v>
      </c>
      <c r="C4730" s="1">
        <v>621381.0</v>
      </c>
      <c r="D4730" s="1" t="s">
        <v>533</v>
      </c>
      <c r="E4730" s="1" t="s">
        <v>926</v>
      </c>
      <c r="F4730" s="1" t="s">
        <v>927</v>
      </c>
      <c r="G4730" s="1">
        <v>192.0</v>
      </c>
      <c r="H4730" s="1">
        <v>12.05236657</v>
      </c>
      <c r="I4730" s="1">
        <v>5.09</v>
      </c>
      <c r="J4730" s="1">
        <v>3.75291</v>
      </c>
    </row>
    <row r="4731">
      <c r="A4731" s="1">
        <v>2025.0</v>
      </c>
      <c r="B4731" s="1" t="s">
        <v>223</v>
      </c>
      <c r="C4731" s="1">
        <v>694335.0</v>
      </c>
      <c r="D4731" s="1" t="s">
        <v>540</v>
      </c>
      <c r="E4731" s="1" t="s">
        <v>927</v>
      </c>
      <c r="F4731" s="1" t="s">
        <v>926</v>
      </c>
      <c r="G4731" s="1">
        <v>125.0</v>
      </c>
      <c r="H4731" s="1">
        <v>7.823305671</v>
      </c>
      <c r="I4731" s="1">
        <v>4.85</v>
      </c>
      <c r="J4731" s="1">
        <v>3.225882</v>
      </c>
    </row>
    <row r="4732">
      <c r="A4732" s="1">
        <v>2025.0</v>
      </c>
      <c r="B4732" s="1" t="s">
        <v>223</v>
      </c>
      <c r="C4732" s="1">
        <v>694335.0</v>
      </c>
      <c r="D4732" s="1" t="s">
        <v>537</v>
      </c>
      <c r="E4732" s="1" t="s">
        <v>927</v>
      </c>
      <c r="F4732" s="1" t="s">
        <v>926</v>
      </c>
      <c r="G4732" s="1">
        <v>10.0</v>
      </c>
      <c r="H4732" s="1">
        <v>0.625864454</v>
      </c>
      <c r="I4732" s="1">
        <v>4.49</v>
      </c>
      <c r="J4732" s="1">
        <v>0.328454</v>
      </c>
    </row>
    <row r="4733">
      <c r="A4733" s="1">
        <v>2025.0</v>
      </c>
      <c r="B4733" s="1" t="s">
        <v>223</v>
      </c>
      <c r="C4733" s="1">
        <v>694335.0</v>
      </c>
      <c r="D4733" s="1" t="s">
        <v>536</v>
      </c>
      <c r="E4733" s="1" t="s">
        <v>927</v>
      </c>
      <c r="F4733" s="1" t="s">
        <v>926</v>
      </c>
      <c r="G4733" s="1">
        <v>142.0</v>
      </c>
      <c r="H4733" s="1">
        <v>8.887275242</v>
      </c>
      <c r="I4733" s="1">
        <v>4.64</v>
      </c>
      <c r="J4733" s="1">
        <v>4.259234</v>
      </c>
    </row>
    <row r="4734">
      <c r="A4734" s="1">
        <v>2025.0</v>
      </c>
      <c r="B4734" s="1" t="s">
        <v>223</v>
      </c>
      <c r="C4734" s="1">
        <v>694335.0</v>
      </c>
      <c r="D4734" s="1" t="s">
        <v>539</v>
      </c>
      <c r="E4734" s="1" t="s">
        <v>927</v>
      </c>
      <c r="F4734" s="1" t="s">
        <v>926</v>
      </c>
      <c r="G4734" s="1">
        <v>120.0</v>
      </c>
      <c r="H4734" s="1">
        <v>7.510373444</v>
      </c>
      <c r="I4734" s="1">
        <v>5.33</v>
      </c>
      <c r="J4734" s="1">
        <v>1.870458</v>
      </c>
    </row>
    <row r="4735">
      <c r="A4735" s="1">
        <v>2025.0</v>
      </c>
      <c r="B4735" s="1" t="s">
        <v>223</v>
      </c>
      <c r="C4735" s="1">
        <v>694335.0</v>
      </c>
      <c r="D4735" s="1" t="s">
        <v>540</v>
      </c>
      <c r="E4735" s="1" t="s">
        <v>927</v>
      </c>
      <c r="F4735" s="1" t="s">
        <v>927</v>
      </c>
      <c r="G4735" s="1">
        <v>33.0</v>
      </c>
      <c r="H4735" s="1">
        <v>2.065352697</v>
      </c>
      <c r="I4735" s="1">
        <v>4.4</v>
      </c>
      <c r="J4735" s="1">
        <v>1.120284</v>
      </c>
    </row>
    <row r="4736">
      <c r="A4736" s="1">
        <v>2025.0</v>
      </c>
      <c r="B4736" s="1" t="s">
        <v>223</v>
      </c>
      <c r="C4736" s="1">
        <v>694335.0</v>
      </c>
      <c r="D4736" s="1" t="s">
        <v>537</v>
      </c>
      <c r="E4736" s="1" t="s">
        <v>927</v>
      </c>
      <c r="F4736" s="1" t="s">
        <v>927</v>
      </c>
      <c r="G4736" s="1">
        <v>3.0</v>
      </c>
      <c r="H4736" s="1">
        <v>0.187759336</v>
      </c>
      <c r="I4736" s="1">
        <v>5.76</v>
      </c>
      <c r="J4736" s="1">
        <v>0.024776</v>
      </c>
    </row>
    <row r="4737">
      <c r="A4737" s="1">
        <v>2025.0</v>
      </c>
      <c r="B4737" s="1" t="s">
        <v>223</v>
      </c>
      <c r="C4737" s="1">
        <v>694335.0</v>
      </c>
      <c r="D4737" s="1" t="s">
        <v>536</v>
      </c>
      <c r="E4737" s="1" t="s">
        <v>927</v>
      </c>
      <c r="F4737" s="1" t="s">
        <v>927</v>
      </c>
      <c r="G4737" s="1">
        <v>314.0</v>
      </c>
      <c r="H4737" s="1">
        <v>19.65214385</v>
      </c>
      <c r="I4737" s="1">
        <v>5.12</v>
      </c>
      <c r="J4737" s="1">
        <v>6.302545</v>
      </c>
    </row>
    <row r="4738">
      <c r="A4738" s="1">
        <v>2025.0</v>
      </c>
      <c r="B4738" s="1" t="s">
        <v>223</v>
      </c>
      <c r="C4738" s="1">
        <v>694335.0</v>
      </c>
      <c r="D4738" s="1" t="s">
        <v>539</v>
      </c>
      <c r="E4738" s="1" t="s">
        <v>927</v>
      </c>
      <c r="F4738" s="1" t="s">
        <v>927</v>
      </c>
      <c r="G4738" s="1">
        <v>217.0</v>
      </c>
      <c r="H4738" s="1">
        <v>13.58125864</v>
      </c>
      <c r="I4738" s="1">
        <v>5.4</v>
      </c>
      <c r="J4738" s="1">
        <v>3.089804</v>
      </c>
    </row>
    <row r="4739">
      <c r="A4739" s="1">
        <v>2025.0</v>
      </c>
      <c r="B4739" s="1" t="s">
        <v>614</v>
      </c>
      <c r="C4739" s="1">
        <v>663362.0</v>
      </c>
      <c r="D4739" s="1" t="s">
        <v>537</v>
      </c>
      <c r="E4739" s="1" t="s">
        <v>927</v>
      </c>
      <c r="F4739" s="1" t="s">
        <v>926</v>
      </c>
      <c r="G4739" s="1">
        <v>10.0</v>
      </c>
      <c r="H4739" s="1">
        <v>0.448717949</v>
      </c>
      <c r="I4739" s="1">
        <v>3.14</v>
      </c>
      <c r="J4739" s="1">
        <v>0.596945</v>
      </c>
    </row>
    <row r="4740">
      <c r="A4740" s="1">
        <v>2025.0</v>
      </c>
      <c r="B4740" s="1" t="s">
        <v>614</v>
      </c>
      <c r="C4740" s="1">
        <v>663362.0</v>
      </c>
      <c r="D4740" s="1" t="s">
        <v>928</v>
      </c>
      <c r="E4740" s="1" t="s">
        <v>927</v>
      </c>
      <c r="F4740" s="1" t="s">
        <v>926</v>
      </c>
      <c r="G4740" s="1">
        <v>43.0</v>
      </c>
      <c r="H4740" s="1">
        <v>1.929487179</v>
      </c>
      <c r="I4740" s="1">
        <v>5.02</v>
      </c>
      <c r="J4740" s="1">
        <v>0.919582</v>
      </c>
    </row>
    <row r="4741">
      <c r="A4741" s="1">
        <v>2025.0</v>
      </c>
      <c r="B4741" s="1" t="s">
        <v>614</v>
      </c>
      <c r="C4741" s="1">
        <v>663362.0</v>
      </c>
      <c r="D4741" s="1" t="s">
        <v>536</v>
      </c>
      <c r="E4741" s="1" t="s">
        <v>927</v>
      </c>
      <c r="F4741" s="1" t="s">
        <v>926</v>
      </c>
      <c r="G4741" s="1">
        <v>2.0</v>
      </c>
      <c r="H4741" s="1">
        <v>0.08974359</v>
      </c>
      <c r="I4741" s="1">
        <v>4.64</v>
      </c>
      <c r="J4741" s="1">
        <v>0.057122</v>
      </c>
    </row>
    <row r="4742">
      <c r="A4742" s="1">
        <v>2025.0</v>
      </c>
      <c r="B4742" s="1" t="s">
        <v>614</v>
      </c>
      <c r="C4742" s="1">
        <v>663362.0</v>
      </c>
      <c r="D4742" s="1" t="s">
        <v>539</v>
      </c>
      <c r="E4742" s="1" t="s">
        <v>927</v>
      </c>
      <c r="F4742" s="1" t="s">
        <v>926</v>
      </c>
      <c r="G4742" s="1">
        <v>3.0</v>
      </c>
      <c r="H4742" s="1">
        <v>0.134615385</v>
      </c>
      <c r="I4742" s="1">
        <v>7.48</v>
      </c>
      <c r="J4742" s="1">
        <v>-0.088836</v>
      </c>
    </row>
    <row r="4743">
      <c r="A4743" s="1">
        <v>2025.0</v>
      </c>
      <c r="B4743" s="1" t="s">
        <v>614</v>
      </c>
      <c r="C4743" s="1">
        <v>663362.0</v>
      </c>
      <c r="D4743" s="1" t="s">
        <v>537</v>
      </c>
      <c r="E4743" s="1" t="s">
        <v>927</v>
      </c>
      <c r="F4743" s="1" t="s">
        <v>927</v>
      </c>
      <c r="G4743" s="1">
        <v>6.0</v>
      </c>
      <c r="H4743" s="1">
        <v>0.269230769</v>
      </c>
      <c r="I4743" s="1">
        <v>4.18</v>
      </c>
      <c r="J4743" s="1">
        <v>0.241229</v>
      </c>
    </row>
    <row r="4744">
      <c r="A4744" s="1">
        <v>2025.0</v>
      </c>
      <c r="B4744" s="1" t="s">
        <v>614</v>
      </c>
      <c r="C4744" s="1">
        <v>663362.0</v>
      </c>
      <c r="D4744" s="1" t="s">
        <v>928</v>
      </c>
      <c r="E4744" s="1" t="s">
        <v>927</v>
      </c>
      <c r="F4744" s="1" t="s">
        <v>927</v>
      </c>
      <c r="G4744" s="1">
        <v>34.0</v>
      </c>
      <c r="H4744" s="1">
        <v>1.525641026</v>
      </c>
      <c r="I4744" s="1">
        <v>4.75</v>
      </c>
      <c r="J4744" s="1">
        <v>0.89913</v>
      </c>
    </row>
    <row r="4745">
      <c r="A4745" s="1">
        <v>2025.0</v>
      </c>
      <c r="B4745" s="1" t="s">
        <v>614</v>
      </c>
      <c r="C4745" s="1">
        <v>663362.0</v>
      </c>
      <c r="D4745" s="1" t="s">
        <v>536</v>
      </c>
      <c r="E4745" s="1" t="s">
        <v>927</v>
      </c>
      <c r="F4745" s="1" t="s">
        <v>927</v>
      </c>
      <c r="G4745" s="1">
        <v>6.0</v>
      </c>
      <c r="H4745" s="1">
        <v>0.269230769</v>
      </c>
      <c r="I4745" s="1">
        <v>5.35</v>
      </c>
      <c r="J4745" s="1">
        <v>0.091442</v>
      </c>
    </row>
    <row r="4746">
      <c r="A4746" s="1">
        <v>2025.0</v>
      </c>
      <c r="B4746" s="1" t="s">
        <v>246</v>
      </c>
      <c r="C4746" s="1">
        <v>571510.0</v>
      </c>
      <c r="D4746" s="1" t="s">
        <v>532</v>
      </c>
      <c r="E4746" s="1" t="s">
        <v>926</v>
      </c>
      <c r="F4746" s="1" t="s">
        <v>926</v>
      </c>
      <c r="G4746" s="1">
        <v>52.0</v>
      </c>
      <c r="H4746" s="1">
        <v>3.402282107</v>
      </c>
      <c r="I4746" s="1">
        <v>4.91</v>
      </c>
      <c r="J4746" s="1">
        <v>1.236895</v>
      </c>
    </row>
    <row r="4747">
      <c r="A4747" s="1">
        <v>2025.0</v>
      </c>
      <c r="B4747" s="1" t="s">
        <v>246</v>
      </c>
      <c r="C4747" s="1">
        <v>571510.0</v>
      </c>
      <c r="D4747" s="1" t="s">
        <v>541</v>
      </c>
      <c r="E4747" s="1" t="s">
        <v>926</v>
      </c>
      <c r="F4747" s="1" t="s">
        <v>926</v>
      </c>
      <c r="G4747" s="1">
        <v>60.0</v>
      </c>
      <c r="H4747" s="1">
        <v>3.925710124</v>
      </c>
      <c r="I4747" s="1">
        <v>5.06</v>
      </c>
      <c r="J4747" s="1">
        <v>1.231109</v>
      </c>
    </row>
    <row r="4748">
      <c r="A4748" s="1">
        <v>2025.0</v>
      </c>
      <c r="B4748" s="1" t="s">
        <v>246</v>
      </c>
      <c r="C4748" s="1">
        <v>571510.0</v>
      </c>
      <c r="D4748" s="1" t="s">
        <v>537</v>
      </c>
      <c r="E4748" s="1" t="s">
        <v>926</v>
      </c>
      <c r="F4748" s="1" t="s">
        <v>926</v>
      </c>
      <c r="G4748" s="1">
        <v>253.0</v>
      </c>
      <c r="H4748" s="1">
        <v>16.55341102</v>
      </c>
      <c r="I4748" s="1">
        <v>5.28</v>
      </c>
      <c r="J4748" s="1">
        <v>4.267605</v>
      </c>
    </row>
    <row r="4749">
      <c r="A4749" s="1">
        <v>2025.0</v>
      </c>
      <c r="B4749" s="1" t="s">
        <v>246</v>
      </c>
      <c r="C4749" s="1">
        <v>571510.0</v>
      </c>
      <c r="D4749" s="1" t="s">
        <v>536</v>
      </c>
      <c r="E4749" s="1" t="s">
        <v>926</v>
      </c>
      <c r="F4749" s="1" t="s">
        <v>926</v>
      </c>
      <c r="G4749" s="1">
        <v>77.0</v>
      </c>
      <c r="H4749" s="1">
        <v>5.037994659</v>
      </c>
      <c r="I4749" s="1">
        <v>4.54</v>
      </c>
      <c r="J4749" s="1">
        <v>2.459224</v>
      </c>
    </row>
    <row r="4750">
      <c r="A4750" s="1">
        <v>2025.0</v>
      </c>
      <c r="B4750" s="1" t="s">
        <v>246</v>
      </c>
      <c r="C4750" s="1">
        <v>571510.0</v>
      </c>
      <c r="D4750" s="1" t="s">
        <v>533</v>
      </c>
      <c r="E4750" s="1" t="s">
        <v>926</v>
      </c>
      <c r="F4750" s="1" t="s">
        <v>926</v>
      </c>
      <c r="G4750" s="1">
        <v>218.0</v>
      </c>
      <c r="H4750" s="1">
        <v>14.26341345</v>
      </c>
      <c r="I4750" s="1">
        <v>5.12</v>
      </c>
      <c r="J4750" s="1">
        <v>4.236074</v>
      </c>
    </row>
    <row r="4751">
      <c r="A4751" s="1">
        <v>2025.0</v>
      </c>
      <c r="B4751" s="1" t="s">
        <v>246</v>
      </c>
      <c r="C4751" s="1">
        <v>571510.0</v>
      </c>
      <c r="D4751" s="1" t="s">
        <v>532</v>
      </c>
      <c r="E4751" s="1" t="s">
        <v>926</v>
      </c>
      <c r="F4751" s="1" t="s">
        <v>927</v>
      </c>
      <c r="G4751" s="1">
        <v>598.0</v>
      </c>
      <c r="H4751" s="1">
        <v>39.12624423</v>
      </c>
      <c r="I4751" s="1">
        <v>5.3</v>
      </c>
      <c r="J4751" s="1">
        <v>9.351102</v>
      </c>
    </row>
    <row r="4752">
      <c r="A4752" s="1">
        <v>2025.0</v>
      </c>
      <c r="B4752" s="1" t="s">
        <v>246</v>
      </c>
      <c r="C4752" s="1">
        <v>571510.0</v>
      </c>
      <c r="D4752" s="1" t="s">
        <v>541</v>
      </c>
      <c r="E4752" s="1" t="s">
        <v>926</v>
      </c>
      <c r="F4752" s="1" t="s">
        <v>927</v>
      </c>
      <c r="G4752" s="1">
        <v>251.0</v>
      </c>
      <c r="H4752" s="1">
        <v>16.42255402</v>
      </c>
      <c r="I4752" s="1">
        <v>4.83</v>
      </c>
      <c r="J4752" s="1">
        <v>6.438458</v>
      </c>
    </row>
    <row r="4753">
      <c r="A4753" s="1">
        <v>2025.0</v>
      </c>
      <c r="B4753" s="1" t="s">
        <v>246</v>
      </c>
      <c r="C4753" s="1">
        <v>571510.0</v>
      </c>
      <c r="D4753" s="1" t="s">
        <v>537</v>
      </c>
      <c r="E4753" s="1" t="s">
        <v>926</v>
      </c>
      <c r="F4753" s="1" t="s">
        <v>927</v>
      </c>
      <c r="G4753" s="1">
        <v>1023.0</v>
      </c>
      <c r="H4753" s="1">
        <v>66.93335761</v>
      </c>
      <c r="I4753" s="1">
        <v>4.8</v>
      </c>
      <c r="J4753" s="1">
        <v>27.141874</v>
      </c>
    </row>
    <row r="4754">
      <c r="A4754" s="1">
        <v>2025.0</v>
      </c>
      <c r="B4754" s="1" t="s">
        <v>246</v>
      </c>
      <c r="C4754" s="1">
        <v>571510.0</v>
      </c>
      <c r="D4754" s="1" t="s">
        <v>536</v>
      </c>
      <c r="E4754" s="1" t="s">
        <v>926</v>
      </c>
      <c r="F4754" s="1" t="s">
        <v>927</v>
      </c>
      <c r="G4754" s="1">
        <v>24.0</v>
      </c>
      <c r="H4754" s="1">
        <v>1.57028405</v>
      </c>
      <c r="I4754" s="1">
        <v>4.87</v>
      </c>
      <c r="J4754" s="1">
        <v>0.635332</v>
      </c>
    </row>
    <row r="4755">
      <c r="A4755" s="1">
        <v>2025.0</v>
      </c>
      <c r="B4755" s="1" t="s">
        <v>246</v>
      </c>
      <c r="C4755" s="1">
        <v>571510.0</v>
      </c>
      <c r="D4755" s="1" t="s">
        <v>533</v>
      </c>
      <c r="E4755" s="1" t="s">
        <v>926</v>
      </c>
      <c r="F4755" s="1" t="s">
        <v>927</v>
      </c>
      <c r="G4755" s="1">
        <v>190.0</v>
      </c>
      <c r="H4755" s="1">
        <v>12.43141539</v>
      </c>
      <c r="I4755" s="1">
        <v>4.81</v>
      </c>
      <c r="J4755" s="1">
        <v>4.7126</v>
      </c>
    </row>
    <row r="4756">
      <c r="A4756" s="1">
        <v>2025.0</v>
      </c>
      <c r="B4756" s="1" t="s">
        <v>290</v>
      </c>
      <c r="C4756" s="1">
        <v>669461.0</v>
      </c>
      <c r="D4756" s="1" t="s">
        <v>532</v>
      </c>
      <c r="E4756" s="1" t="s">
        <v>926</v>
      </c>
      <c r="F4756" s="1" t="s">
        <v>926</v>
      </c>
      <c r="G4756" s="1">
        <v>1.0</v>
      </c>
      <c r="H4756" s="1">
        <v>0.063538612</v>
      </c>
      <c r="I4756" s="1">
        <v>2.34</v>
      </c>
      <c r="J4756" s="1">
        <v>0.074582</v>
      </c>
    </row>
    <row r="4757">
      <c r="A4757" s="1">
        <v>2025.0</v>
      </c>
      <c r="B4757" s="1" t="s">
        <v>290</v>
      </c>
      <c r="C4757" s="1">
        <v>669461.0</v>
      </c>
      <c r="D4757" s="1" t="s">
        <v>541</v>
      </c>
      <c r="E4757" s="1" t="s">
        <v>926</v>
      </c>
      <c r="F4757" s="1" t="s">
        <v>926</v>
      </c>
      <c r="G4757" s="1">
        <v>50.0</v>
      </c>
      <c r="H4757" s="1">
        <v>3.176930596</v>
      </c>
      <c r="I4757" s="1">
        <v>4.7</v>
      </c>
      <c r="J4757" s="1">
        <v>1.409674</v>
      </c>
    </row>
    <row r="4758">
      <c r="A4758" s="1">
        <v>2025.0</v>
      </c>
      <c r="B4758" s="1" t="s">
        <v>290</v>
      </c>
      <c r="C4758" s="1">
        <v>669461.0</v>
      </c>
      <c r="D4758" s="1" t="s">
        <v>540</v>
      </c>
      <c r="E4758" s="1" t="s">
        <v>926</v>
      </c>
      <c r="F4758" s="1" t="s">
        <v>926</v>
      </c>
      <c r="G4758" s="1">
        <v>42.0</v>
      </c>
      <c r="H4758" s="1">
        <v>2.668621701</v>
      </c>
      <c r="I4758" s="1">
        <v>5.02</v>
      </c>
      <c r="J4758" s="1">
        <v>0.927222</v>
      </c>
    </row>
    <row r="4759">
      <c r="A4759" s="1">
        <v>2025.0</v>
      </c>
      <c r="B4759" s="1" t="s">
        <v>290</v>
      </c>
      <c r="C4759" s="1">
        <v>669461.0</v>
      </c>
      <c r="D4759" s="1" t="s">
        <v>537</v>
      </c>
      <c r="E4759" s="1" t="s">
        <v>926</v>
      </c>
      <c r="F4759" s="1" t="s">
        <v>926</v>
      </c>
      <c r="G4759" s="1">
        <v>104.0</v>
      </c>
      <c r="H4759" s="1">
        <v>6.60801564</v>
      </c>
      <c r="I4759" s="1">
        <v>4.65</v>
      </c>
      <c r="J4759" s="1">
        <v>3.124638</v>
      </c>
    </row>
    <row r="4760">
      <c r="A4760" s="1">
        <v>2025.0</v>
      </c>
      <c r="B4760" s="1" t="s">
        <v>290</v>
      </c>
      <c r="C4760" s="1">
        <v>669461.0</v>
      </c>
      <c r="D4760" s="1" t="s">
        <v>536</v>
      </c>
      <c r="E4760" s="1" t="s">
        <v>926</v>
      </c>
      <c r="F4760" s="1" t="s">
        <v>926</v>
      </c>
      <c r="G4760" s="1">
        <v>122.0</v>
      </c>
      <c r="H4760" s="1">
        <v>7.751710655</v>
      </c>
      <c r="I4760" s="1">
        <v>5.23</v>
      </c>
      <c r="J4760" s="1">
        <v>2.303339</v>
      </c>
    </row>
    <row r="4761">
      <c r="A4761" s="1">
        <v>2025.0</v>
      </c>
      <c r="B4761" s="1" t="s">
        <v>290</v>
      </c>
      <c r="C4761" s="1">
        <v>669461.0</v>
      </c>
      <c r="D4761" s="1" t="s">
        <v>533</v>
      </c>
      <c r="E4761" s="1" t="s">
        <v>926</v>
      </c>
      <c r="F4761" s="1" t="s">
        <v>926</v>
      </c>
      <c r="G4761" s="1">
        <v>194.0</v>
      </c>
      <c r="H4761" s="1">
        <v>12.32649071</v>
      </c>
      <c r="I4761" s="1">
        <v>4.79</v>
      </c>
      <c r="J4761" s="1">
        <v>5.13211</v>
      </c>
    </row>
    <row r="4762">
      <c r="A4762" s="1">
        <v>2025.0</v>
      </c>
      <c r="B4762" s="1" t="s">
        <v>290</v>
      </c>
      <c r="C4762" s="1">
        <v>669461.0</v>
      </c>
      <c r="D4762" s="1" t="s">
        <v>532</v>
      </c>
      <c r="E4762" s="1" t="s">
        <v>926</v>
      </c>
      <c r="F4762" s="1" t="s">
        <v>927</v>
      </c>
      <c r="G4762" s="1">
        <v>295.0</v>
      </c>
      <c r="H4762" s="1">
        <v>18.74389052</v>
      </c>
      <c r="I4762" s="1">
        <v>5.01</v>
      </c>
      <c r="J4762" s="1">
        <v>6.693811</v>
      </c>
    </row>
    <row r="4763">
      <c r="A4763" s="1">
        <v>2025.0</v>
      </c>
      <c r="B4763" s="1" t="s">
        <v>290</v>
      </c>
      <c r="C4763" s="1">
        <v>669461.0</v>
      </c>
      <c r="D4763" s="1" t="s">
        <v>541</v>
      </c>
      <c r="E4763" s="1" t="s">
        <v>926</v>
      </c>
      <c r="F4763" s="1" t="s">
        <v>927</v>
      </c>
      <c r="G4763" s="1">
        <v>326.0</v>
      </c>
      <c r="H4763" s="1">
        <v>20.71358749</v>
      </c>
      <c r="I4763" s="1">
        <v>4.91</v>
      </c>
      <c r="J4763" s="1">
        <v>7.730924</v>
      </c>
    </row>
    <row r="4764">
      <c r="A4764" s="1">
        <v>2025.0</v>
      </c>
      <c r="B4764" s="1" t="s">
        <v>290</v>
      </c>
      <c r="C4764" s="1">
        <v>669461.0</v>
      </c>
      <c r="D4764" s="1" t="s">
        <v>540</v>
      </c>
      <c r="E4764" s="1" t="s">
        <v>926</v>
      </c>
      <c r="F4764" s="1" t="s">
        <v>927</v>
      </c>
      <c r="G4764" s="1">
        <v>208.0</v>
      </c>
      <c r="H4764" s="1">
        <v>13.21603128</v>
      </c>
      <c r="I4764" s="1">
        <v>4.9</v>
      </c>
      <c r="J4764" s="1">
        <v>5.311436</v>
      </c>
    </row>
    <row r="4765">
      <c r="A4765" s="1">
        <v>2025.0</v>
      </c>
      <c r="B4765" s="1" t="s">
        <v>290</v>
      </c>
      <c r="C4765" s="1">
        <v>669461.0</v>
      </c>
      <c r="D4765" s="1" t="s">
        <v>537</v>
      </c>
      <c r="E4765" s="1" t="s">
        <v>926</v>
      </c>
      <c r="F4765" s="1" t="s">
        <v>927</v>
      </c>
      <c r="G4765" s="1">
        <v>603.0</v>
      </c>
      <c r="H4765" s="1">
        <v>38.31378299</v>
      </c>
      <c r="I4765" s="1">
        <v>4.99</v>
      </c>
      <c r="J4765" s="1">
        <v>14.129237</v>
      </c>
    </row>
    <row r="4766">
      <c r="A4766" s="1">
        <v>2025.0</v>
      </c>
      <c r="B4766" s="1" t="s">
        <v>290</v>
      </c>
      <c r="C4766" s="1">
        <v>669461.0</v>
      </c>
      <c r="D4766" s="1" t="s">
        <v>536</v>
      </c>
      <c r="E4766" s="1" t="s">
        <v>926</v>
      </c>
      <c r="F4766" s="1" t="s">
        <v>927</v>
      </c>
      <c r="G4766" s="1">
        <v>133.0</v>
      </c>
      <c r="H4766" s="1">
        <v>8.450635386</v>
      </c>
      <c r="I4766" s="1">
        <v>4.89</v>
      </c>
      <c r="J4766" s="1">
        <v>3.355429</v>
      </c>
    </row>
    <row r="4767">
      <c r="A4767" s="1">
        <v>2025.0</v>
      </c>
      <c r="B4767" s="1" t="s">
        <v>290</v>
      </c>
      <c r="C4767" s="1">
        <v>669461.0</v>
      </c>
      <c r="D4767" s="1" t="s">
        <v>533</v>
      </c>
      <c r="E4767" s="1" t="s">
        <v>926</v>
      </c>
      <c r="F4767" s="1" t="s">
        <v>927</v>
      </c>
      <c r="G4767" s="1">
        <v>309.0</v>
      </c>
      <c r="H4767" s="1">
        <v>19.63343109</v>
      </c>
      <c r="I4767" s="1">
        <v>5.32</v>
      </c>
      <c r="J4767" s="1">
        <v>4.754454</v>
      </c>
    </row>
    <row r="4768">
      <c r="A4768" s="1">
        <v>2025.0</v>
      </c>
      <c r="B4768" s="1" t="s">
        <v>166</v>
      </c>
      <c r="C4768" s="1">
        <v>608331.0</v>
      </c>
      <c r="D4768" s="1" t="s">
        <v>532</v>
      </c>
      <c r="E4768" s="1" t="s">
        <v>926</v>
      </c>
      <c r="F4768" s="1" t="s">
        <v>926</v>
      </c>
      <c r="G4768" s="1">
        <v>3.0</v>
      </c>
      <c r="H4768" s="1">
        <v>0.188485043</v>
      </c>
      <c r="I4768" s="1">
        <v>5.4</v>
      </c>
      <c r="J4768" s="1">
        <v>0.04519</v>
      </c>
    </row>
    <row r="4769">
      <c r="A4769" s="1">
        <v>2025.0</v>
      </c>
      <c r="B4769" s="1" t="s">
        <v>166</v>
      </c>
      <c r="C4769" s="1">
        <v>608331.0</v>
      </c>
      <c r="D4769" s="1" t="s">
        <v>541</v>
      </c>
      <c r="E4769" s="1" t="s">
        <v>926</v>
      </c>
      <c r="F4769" s="1" t="s">
        <v>926</v>
      </c>
      <c r="G4769" s="1">
        <v>88.0</v>
      </c>
      <c r="H4769" s="1">
        <v>5.528894607</v>
      </c>
      <c r="I4769" s="1">
        <v>4.88</v>
      </c>
      <c r="J4769" s="1">
        <v>2.009659</v>
      </c>
    </row>
    <row r="4770">
      <c r="A4770" s="1">
        <v>2025.0</v>
      </c>
      <c r="B4770" s="1" t="s">
        <v>166</v>
      </c>
      <c r="C4770" s="1">
        <v>608331.0</v>
      </c>
      <c r="D4770" s="1" t="s">
        <v>540</v>
      </c>
      <c r="E4770" s="1" t="s">
        <v>926</v>
      </c>
      <c r="F4770" s="1" t="s">
        <v>926</v>
      </c>
      <c r="G4770" s="1">
        <v>85.0</v>
      </c>
      <c r="H4770" s="1">
        <v>5.340409564</v>
      </c>
      <c r="I4770" s="1">
        <v>5.32</v>
      </c>
      <c r="J4770" s="1">
        <v>1.373051</v>
      </c>
    </row>
    <row r="4771">
      <c r="A4771" s="1">
        <v>2025.0</v>
      </c>
      <c r="B4771" s="1" t="s">
        <v>166</v>
      </c>
      <c r="C4771" s="1">
        <v>608331.0</v>
      </c>
      <c r="D4771" s="1" t="s">
        <v>537</v>
      </c>
      <c r="E4771" s="1" t="s">
        <v>926</v>
      </c>
      <c r="F4771" s="1" t="s">
        <v>926</v>
      </c>
      <c r="G4771" s="1">
        <v>75.0</v>
      </c>
      <c r="H4771" s="1">
        <v>4.712126086</v>
      </c>
      <c r="I4771" s="1">
        <v>5.16</v>
      </c>
      <c r="J4771" s="1">
        <v>1.387787</v>
      </c>
    </row>
    <row r="4772">
      <c r="A4772" s="1">
        <v>2025.0</v>
      </c>
      <c r="B4772" s="1" t="s">
        <v>166</v>
      </c>
      <c r="C4772" s="1">
        <v>608331.0</v>
      </c>
      <c r="D4772" s="1" t="s">
        <v>536</v>
      </c>
      <c r="E4772" s="1" t="s">
        <v>926</v>
      </c>
      <c r="F4772" s="1" t="s">
        <v>926</v>
      </c>
      <c r="G4772" s="1">
        <v>260.0</v>
      </c>
      <c r="H4772" s="1">
        <v>16.33537043</v>
      </c>
      <c r="I4772" s="1">
        <v>5.09</v>
      </c>
      <c r="J4772" s="1">
        <v>5.067089</v>
      </c>
    </row>
    <row r="4773">
      <c r="A4773" s="1">
        <v>2025.0</v>
      </c>
      <c r="B4773" s="1" t="s">
        <v>166</v>
      </c>
      <c r="C4773" s="1">
        <v>608331.0</v>
      </c>
      <c r="D4773" s="1" t="s">
        <v>533</v>
      </c>
      <c r="E4773" s="1" t="s">
        <v>926</v>
      </c>
      <c r="F4773" s="1" t="s">
        <v>926</v>
      </c>
      <c r="G4773" s="1">
        <v>25.0</v>
      </c>
      <c r="H4773" s="1">
        <v>1.570708695</v>
      </c>
      <c r="I4773" s="1">
        <v>5.27</v>
      </c>
      <c r="J4773" s="1">
        <v>0.421324</v>
      </c>
    </row>
    <row r="4774">
      <c r="A4774" s="1">
        <v>2025.0</v>
      </c>
      <c r="B4774" s="1" t="s">
        <v>166</v>
      </c>
      <c r="C4774" s="1">
        <v>608331.0</v>
      </c>
      <c r="D4774" s="1" t="s">
        <v>539</v>
      </c>
      <c r="E4774" s="1" t="s">
        <v>926</v>
      </c>
      <c r="F4774" s="1" t="s">
        <v>926</v>
      </c>
      <c r="G4774" s="1">
        <v>137.0</v>
      </c>
      <c r="H4774" s="1">
        <v>8.60748365</v>
      </c>
      <c r="I4774" s="1">
        <v>5.03</v>
      </c>
      <c r="J4774" s="1">
        <v>2.830584</v>
      </c>
    </row>
    <row r="4775">
      <c r="A4775" s="1">
        <v>2025.0</v>
      </c>
      <c r="B4775" s="1" t="s">
        <v>166</v>
      </c>
      <c r="C4775" s="1">
        <v>608331.0</v>
      </c>
      <c r="D4775" s="1" t="s">
        <v>532</v>
      </c>
      <c r="E4775" s="1" t="s">
        <v>926</v>
      </c>
      <c r="F4775" s="1" t="s">
        <v>927</v>
      </c>
      <c r="G4775" s="1">
        <v>338.0</v>
      </c>
      <c r="H4775" s="1">
        <v>21.23598156</v>
      </c>
      <c r="I4775" s="1">
        <v>5.01</v>
      </c>
      <c r="J4775" s="1">
        <v>7.142115</v>
      </c>
    </row>
    <row r="4776">
      <c r="A4776" s="1">
        <v>2025.0</v>
      </c>
      <c r="B4776" s="1" t="s">
        <v>166</v>
      </c>
      <c r="C4776" s="1">
        <v>608331.0</v>
      </c>
      <c r="D4776" s="1" t="s">
        <v>541</v>
      </c>
      <c r="E4776" s="1" t="s">
        <v>926</v>
      </c>
      <c r="F4776" s="1" t="s">
        <v>927</v>
      </c>
      <c r="G4776" s="1">
        <v>449.0</v>
      </c>
      <c r="H4776" s="1">
        <v>28.20992817</v>
      </c>
      <c r="I4776" s="1">
        <v>4.9</v>
      </c>
      <c r="J4776" s="1">
        <v>10.271593</v>
      </c>
    </row>
    <row r="4777">
      <c r="A4777" s="1">
        <v>2025.0</v>
      </c>
      <c r="B4777" s="1" t="s">
        <v>166</v>
      </c>
      <c r="C4777" s="1">
        <v>608331.0</v>
      </c>
      <c r="D4777" s="1" t="s">
        <v>540</v>
      </c>
      <c r="E4777" s="1" t="s">
        <v>926</v>
      </c>
      <c r="F4777" s="1" t="s">
        <v>927</v>
      </c>
      <c r="G4777" s="1">
        <v>761.0</v>
      </c>
      <c r="H4777" s="1">
        <v>47.81237268</v>
      </c>
      <c r="I4777" s="1">
        <v>5.28</v>
      </c>
      <c r="J4777" s="1">
        <v>12.201604</v>
      </c>
    </row>
    <row r="4778">
      <c r="A4778" s="1">
        <v>2025.0</v>
      </c>
      <c r="B4778" s="1" t="s">
        <v>166</v>
      </c>
      <c r="C4778" s="1">
        <v>608331.0</v>
      </c>
      <c r="D4778" s="1" t="s">
        <v>537</v>
      </c>
      <c r="E4778" s="1" t="s">
        <v>926</v>
      </c>
      <c r="F4778" s="1" t="s">
        <v>927</v>
      </c>
      <c r="G4778" s="1">
        <v>339.0</v>
      </c>
      <c r="H4778" s="1">
        <v>21.29880991</v>
      </c>
      <c r="I4778" s="1">
        <v>4.98</v>
      </c>
      <c r="J4778" s="1">
        <v>7.373361</v>
      </c>
    </row>
    <row r="4779">
      <c r="A4779" s="1">
        <v>2025.0</v>
      </c>
      <c r="B4779" s="1" t="s">
        <v>166</v>
      </c>
      <c r="C4779" s="1">
        <v>608331.0</v>
      </c>
      <c r="D4779" s="1" t="s">
        <v>536</v>
      </c>
      <c r="E4779" s="1" t="s">
        <v>926</v>
      </c>
      <c r="F4779" s="1" t="s">
        <v>927</v>
      </c>
      <c r="G4779" s="1">
        <v>292.0</v>
      </c>
      <c r="H4779" s="1">
        <v>18.34587756</v>
      </c>
      <c r="I4779" s="1">
        <v>5.02</v>
      </c>
      <c r="J4779" s="1">
        <v>6.383267</v>
      </c>
    </row>
    <row r="4780">
      <c r="A4780" s="1">
        <v>2025.0</v>
      </c>
      <c r="B4780" s="1" t="s">
        <v>166</v>
      </c>
      <c r="C4780" s="1">
        <v>608331.0</v>
      </c>
      <c r="D4780" s="1" t="s">
        <v>533</v>
      </c>
      <c r="E4780" s="1" t="s">
        <v>926</v>
      </c>
      <c r="F4780" s="1" t="s">
        <v>927</v>
      </c>
      <c r="G4780" s="1">
        <v>40.0</v>
      </c>
      <c r="H4780" s="1">
        <v>2.513133912</v>
      </c>
      <c r="I4780" s="1">
        <v>5.34</v>
      </c>
      <c r="J4780" s="1">
        <v>0.585455</v>
      </c>
    </row>
    <row r="4781">
      <c r="A4781" s="1">
        <v>2025.0</v>
      </c>
      <c r="B4781" s="1" t="s">
        <v>166</v>
      </c>
      <c r="C4781" s="1">
        <v>608331.0</v>
      </c>
      <c r="D4781" s="1" t="s">
        <v>539</v>
      </c>
      <c r="E4781" s="1" t="s">
        <v>926</v>
      </c>
      <c r="F4781" s="1" t="s">
        <v>927</v>
      </c>
      <c r="G4781" s="1">
        <v>217.0</v>
      </c>
      <c r="H4781" s="1">
        <v>13.63375147</v>
      </c>
      <c r="I4781" s="1">
        <v>4.97</v>
      </c>
      <c r="J4781" s="1">
        <v>4.810691</v>
      </c>
    </row>
    <row r="4782">
      <c r="A4782" s="1">
        <v>2025.0</v>
      </c>
      <c r="B4782" s="1" t="s">
        <v>50</v>
      </c>
      <c r="C4782" s="1">
        <v>668820.0</v>
      </c>
      <c r="D4782" s="1" t="s">
        <v>541</v>
      </c>
      <c r="E4782" s="1" t="s">
        <v>927</v>
      </c>
      <c r="F4782" s="1" t="s">
        <v>926</v>
      </c>
      <c r="G4782" s="1">
        <v>60.0</v>
      </c>
      <c r="H4782" s="1">
        <v>4.204545455</v>
      </c>
      <c r="I4782" s="1">
        <v>4.99</v>
      </c>
      <c r="J4782" s="1">
        <v>1.33021</v>
      </c>
    </row>
    <row r="4783">
      <c r="A4783" s="1">
        <v>2025.0</v>
      </c>
      <c r="B4783" s="1" t="s">
        <v>50</v>
      </c>
      <c r="C4783" s="1">
        <v>668820.0</v>
      </c>
      <c r="D4783" s="1" t="s">
        <v>537</v>
      </c>
      <c r="E4783" s="1" t="s">
        <v>927</v>
      </c>
      <c r="F4783" s="1" t="s">
        <v>926</v>
      </c>
      <c r="G4783" s="1">
        <v>100.0</v>
      </c>
      <c r="H4783" s="1">
        <v>7.007575758</v>
      </c>
      <c r="I4783" s="1">
        <v>4.85</v>
      </c>
      <c r="J4783" s="1">
        <v>2.515386</v>
      </c>
    </row>
    <row r="4784">
      <c r="A4784" s="1">
        <v>2025.0</v>
      </c>
      <c r="B4784" s="1" t="s">
        <v>50</v>
      </c>
      <c r="C4784" s="1">
        <v>668820.0</v>
      </c>
      <c r="D4784" s="1" t="s">
        <v>536</v>
      </c>
      <c r="E4784" s="1" t="s">
        <v>927</v>
      </c>
      <c r="F4784" s="1" t="s">
        <v>926</v>
      </c>
      <c r="G4784" s="1">
        <v>8.0</v>
      </c>
      <c r="H4784" s="1">
        <v>0.560606061</v>
      </c>
      <c r="I4784" s="1">
        <v>5.49</v>
      </c>
      <c r="J4784" s="1">
        <v>0.09809</v>
      </c>
    </row>
    <row r="4785">
      <c r="A4785" s="1">
        <v>2025.0</v>
      </c>
      <c r="B4785" s="1" t="s">
        <v>50</v>
      </c>
      <c r="C4785" s="1">
        <v>668820.0</v>
      </c>
      <c r="D4785" s="1" t="s">
        <v>533</v>
      </c>
      <c r="E4785" s="1" t="s">
        <v>927</v>
      </c>
      <c r="F4785" s="1" t="s">
        <v>926</v>
      </c>
      <c r="G4785" s="1">
        <v>116.0</v>
      </c>
      <c r="H4785" s="1">
        <v>8.128787879</v>
      </c>
      <c r="I4785" s="1">
        <v>5.44</v>
      </c>
      <c r="J4785" s="1">
        <v>1.610646</v>
      </c>
    </row>
    <row r="4786">
      <c r="A4786" s="1">
        <v>2025.0</v>
      </c>
      <c r="B4786" s="1" t="s">
        <v>50</v>
      </c>
      <c r="C4786" s="1">
        <v>668820.0</v>
      </c>
      <c r="D4786" s="1" t="s">
        <v>541</v>
      </c>
      <c r="E4786" s="1" t="s">
        <v>927</v>
      </c>
      <c r="F4786" s="1" t="s">
        <v>927</v>
      </c>
      <c r="G4786" s="1">
        <v>3.0</v>
      </c>
      <c r="H4786" s="1">
        <v>0.210227273</v>
      </c>
      <c r="I4786" s="1">
        <v>4.12</v>
      </c>
      <c r="J4786" s="1">
        <v>0.109358</v>
      </c>
    </row>
    <row r="4787">
      <c r="A4787" s="1">
        <v>2025.0</v>
      </c>
      <c r="B4787" s="1" t="s">
        <v>50</v>
      </c>
      <c r="C4787" s="1">
        <v>668820.0</v>
      </c>
      <c r="D4787" s="1" t="s">
        <v>537</v>
      </c>
      <c r="E4787" s="1" t="s">
        <v>927</v>
      </c>
      <c r="F4787" s="1" t="s">
        <v>927</v>
      </c>
      <c r="G4787" s="1">
        <v>108.0</v>
      </c>
      <c r="H4787" s="1">
        <v>7.568181818</v>
      </c>
      <c r="I4787" s="1">
        <v>5.3</v>
      </c>
      <c r="J4787" s="1">
        <v>1.748611</v>
      </c>
    </row>
    <row r="4788">
      <c r="A4788" s="1">
        <v>2025.0</v>
      </c>
      <c r="B4788" s="1" t="s">
        <v>50</v>
      </c>
      <c r="C4788" s="1">
        <v>668820.0</v>
      </c>
      <c r="D4788" s="1" t="s">
        <v>536</v>
      </c>
      <c r="E4788" s="1" t="s">
        <v>927</v>
      </c>
      <c r="F4788" s="1" t="s">
        <v>927</v>
      </c>
      <c r="G4788" s="1">
        <v>1.0</v>
      </c>
      <c r="H4788" s="1">
        <v>0.070075758</v>
      </c>
      <c r="I4788" s="1">
        <v>3.74</v>
      </c>
      <c r="J4788" s="1">
        <v>0.048438</v>
      </c>
    </row>
    <row r="4789">
      <c r="A4789" s="1">
        <v>2025.0</v>
      </c>
      <c r="B4789" s="1" t="s">
        <v>50</v>
      </c>
      <c r="C4789" s="1">
        <v>668820.0</v>
      </c>
      <c r="D4789" s="1" t="s">
        <v>533</v>
      </c>
      <c r="E4789" s="1" t="s">
        <v>927</v>
      </c>
      <c r="F4789" s="1" t="s">
        <v>927</v>
      </c>
      <c r="G4789" s="1">
        <v>94.0</v>
      </c>
      <c r="H4789" s="1">
        <v>6.587121212</v>
      </c>
      <c r="I4789" s="1">
        <v>5.35</v>
      </c>
      <c r="J4789" s="1">
        <v>1.436897</v>
      </c>
    </row>
    <row r="4790">
      <c r="A4790" s="1">
        <v>2025.0</v>
      </c>
      <c r="B4790" s="1" t="s">
        <v>50</v>
      </c>
      <c r="C4790" s="1">
        <v>668820.0</v>
      </c>
      <c r="D4790" s="1" t="s">
        <v>539</v>
      </c>
      <c r="E4790" s="1" t="s">
        <v>927</v>
      </c>
      <c r="F4790" s="1" t="s">
        <v>927</v>
      </c>
      <c r="G4790" s="1">
        <v>38.0</v>
      </c>
      <c r="H4790" s="1">
        <v>2.662878788</v>
      </c>
      <c r="I4790" s="1">
        <v>5.16</v>
      </c>
      <c r="J4790" s="1">
        <v>0.655</v>
      </c>
    </row>
    <row r="4791">
      <c r="A4791" s="1">
        <v>2025.0</v>
      </c>
      <c r="B4791" s="1" t="s">
        <v>258</v>
      </c>
      <c r="C4791" s="1">
        <v>676661.0</v>
      </c>
      <c r="D4791" s="1" t="s">
        <v>541</v>
      </c>
      <c r="E4791" s="1" t="s">
        <v>927</v>
      </c>
      <c r="F4791" s="1" t="s">
        <v>926</v>
      </c>
      <c r="G4791" s="1">
        <v>105.0</v>
      </c>
      <c r="H4791" s="1">
        <v>6.728682171</v>
      </c>
      <c r="I4791" s="1">
        <v>5.1</v>
      </c>
      <c r="J4791" s="1">
        <v>2.10158</v>
      </c>
    </row>
    <row r="4792">
      <c r="A4792" s="1">
        <v>2025.0</v>
      </c>
      <c r="B4792" s="1" t="s">
        <v>258</v>
      </c>
      <c r="C4792" s="1">
        <v>676661.0</v>
      </c>
      <c r="D4792" s="1" t="s">
        <v>540</v>
      </c>
      <c r="E4792" s="1" t="s">
        <v>927</v>
      </c>
      <c r="F4792" s="1" t="s">
        <v>926</v>
      </c>
      <c r="G4792" s="1">
        <v>7.0</v>
      </c>
      <c r="H4792" s="1">
        <v>0.448578811</v>
      </c>
      <c r="I4792" s="1">
        <v>4.57</v>
      </c>
      <c r="J4792" s="1">
        <v>0.228312</v>
      </c>
    </row>
    <row r="4793">
      <c r="A4793" s="1">
        <v>2025.0</v>
      </c>
      <c r="B4793" s="1" t="s">
        <v>258</v>
      </c>
      <c r="C4793" s="1">
        <v>676661.0</v>
      </c>
      <c r="D4793" s="1" t="s">
        <v>537</v>
      </c>
      <c r="E4793" s="1" t="s">
        <v>927</v>
      </c>
      <c r="F4793" s="1" t="s">
        <v>926</v>
      </c>
      <c r="G4793" s="1">
        <v>170.0</v>
      </c>
      <c r="H4793" s="1">
        <v>10.89405685</v>
      </c>
      <c r="I4793" s="1">
        <v>4.99</v>
      </c>
      <c r="J4793" s="1">
        <v>3.878098</v>
      </c>
    </row>
    <row r="4794">
      <c r="A4794" s="1">
        <v>2025.0</v>
      </c>
      <c r="B4794" s="1" t="s">
        <v>258</v>
      </c>
      <c r="C4794" s="1">
        <v>676661.0</v>
      </c>
      <c r="D4794" s="1" t="s">
        <v>538</v>
      </c>
      <c r="E4794" s="1" t="s">
        <v>927</v>
      </c>
      <c r="F4794" s="1" t="s">
        <v>926</v>
      </c>
      <c r="G4794" s="1">
        <v>15.0</v>
      </c>
      <c r="H4794" s="1">
        <v>0.96124031</v>
      </c>
      <c r="I4794" s="1">
        <v>4.77</v>
      </c>
      <c r="J4794" s="1">
        <v>0.378541</v>
      </c>
    </row>
    <row r="4795">
      <c r="A4795" s="1">
        <v>2025.0</v>
      </c>
      <c r="B4795" s="1" t="s">
        <v>258</v>
      </c>
      <c r="C4795" s="1">
        <v>676661.0</v>
      </c>
      <c r="D4795" s="1" t="s">
        <v>541</v>
      </c>
      <c r="E4795" s="1" t="s">
        <v>927</v>
      </c>
      <c r="F4795" s="1" t="s">
        <v>927</v>
      </c>
      <c r="G4795" s="1">
        <v>64.0</v>
      </c>
      <c r="H4795" s="1">
        <v>4.10129199</v>
      </c>
      <c r="I4795" s="1">
        <v>4.76</v>
      </c>
      <c r="J4795" s="1">
        <v>1.65779</v>
      </c>
    </row>
    <row r="4796">
      <c r="A4796" s="1">
        <v>2025.0</v>
      </c>
      <c r="B4796" s="1" t="s">
        <v>258</v>
      </c>
      <c r="C4796" s="1">
        <v>676661.0</v>
      </c>
      <c r="D4796" s="1" t="s">
        <v>540</v>
      </c>
      <c r="E4796" s="1" t="s">
        <v>927</v>
      </c>
      <c r="F4796" s="1" t="s">
        <v>927</v>
      </c>
      <c r="G4796" s="1">
        <v>92.0</v>
      </c>
      <c r="H4796" s="1">
        <v>5.895607235</v>
      </c>
      <c r="I4796" s="1">
        <v>5.16</v>
      </c>
      <c r="J4796" s="1">
        <v>1.718869</v>
      </c>
    </row>
    <row r="4797">
      <c r="A4797" s="1">
        <v>2025.0</v>
      </c>
      <c r="B4797" s="1" t="s">
        <v>258</v>
      </c>
      <c r="C4797" s="1">
        <v>676661.0</v>
      </c>
      <c r="D4797" s="1" t="s">
        <v>537</v>
      </c>
      <c r="E4797" s="1" t="s">
        <v>927</v>
      </c>
      <c r="F4797" s="1" t="s">
        <v>927</v>
      </c>
      <c r="G4797" s="1">
        <v>186.0</v>
      </c>
      <c r="H4797" s="1">
        <v>11.91937984</v>
      </c>
      <c r="I4797" s="1">
        <v>5.0</v>
      </c>
      <c r="J4797" s="1">
        <v>4.149313</v>
      </c>
    </row>
    <row r="4798">
      <c r="A4798" s="1">
        <v>2025.0</v>
      </c>
      <c r="B4798" s="1" t="s">
        <v>258</v>
      </c>
      <c r="C4798" s="1">
        <v>676661.0</v>
      </c>
      <c r="D4798" s="1" t="s">
        <v>538</v>
      </c>
      <c r="E4798" s="1" t="s">
        <v>927</v>
      </c>
      <c r="F4798" s="1" t="s">
        <v>927</v>
      </c>
      <c r="G4798" s="1">
        <v>6.0</v>
      </c>
      <c r="H4798" s="1">
        <v>0.384496124</v>
      </c>
      <c r="I4798" s="1">
        <v>4.1</v>
      </c>
      <c r="J4798" s="1">
        <v>0.242456</v>
      </c>
    </row>
    <row r="4799">
      <c r="A4799" s="1">
        <v>2025.0</v>
      </c>
      <c r="B4799" s="1" t="s">
        <v>121</v>
      </c>
      <c r="C4799" s="1">
        <v>676974.0</v>
      </c>
      <c r="D4799" s="1" t="s">
        <v>532</v>
      </c>
      <c r="E4799" s="1" t="s">
        <v>927</v>
      </c>
      <c r="F4799" s="1" t="s">
        <v>926</v>
      </c>
      <c r="G4799" s="1">
        <v>152.0</v>
      </c>
      <c r="H4799" s="1">
        <v>9.460378569</v>
      </c>
      <c r="I4799" s="1">
        <v>5.14</v>
      </c>
      <c r="J4799" s="1">
        <v>2.834166</v>
      </c>
    </row>
    <row r="4800">
      <c r="A4800" s="1">
        <v>2025.0</v>
      </c>
      <c r="B4800" s="1" t="s">
        <v>121</v>
      </c>
      <c r="C4800" s="1">
        <v>676974.0</v>
      </c>
      <c r="D4800" s="1" t="s">
        <v>537</v>
      </c>
      <c r="E4800" s="1" t="s">
        <v>927</v>
      </c>
      <c r="F4800" s="1" t="s">
        <v>926</v>
      </c>
      <c r="G4800" s="1">
        <v>138.0</v>
      </c>
      <c r="H4800" s="1">
        <v>8.589027911</v>
      </c>
      <c r="I4800" s="1">
        <v>4.78</v>
      </c>
      <c r="J4800" s="1">
        <v>3.657892</v>
      </c>
    </row>
    <row r="4801">
      <c r="A4801" s="1">
        <v>2025.0</v>
      </c>
      <c r="B4801" s="1" t="s">
        <v>121</v>
      </c>
      <c r="C4801" s="1">
        <v>676974.0</v>
      </c>
      <c r="D4801" s="1" t="s">
        <v>536</v>
      </c>
      <c r="E4801" s="1" t="s">
        <v>927</v>
      </c>
      <c r="F4801" s="1" t="s">
        <v>926</v>
      </c>
      <c r="G4801" s="1">
        <v>15.0</v>
      </c>
      <c r="H4801" s="1">
        <v>0.93358999</v>
      </c>
      <c r="I4801" s="1">
        <v>5.29</v>
      </c>
      <c r="J4801" s="1">
        <v>0.245938</v>
      </c>
    </row>
    <row r="4802">
      <c r="A4802" s="1">
        <v>2025.0</v>
      </c>
      <c r="B4802" s="1" t="s">
        <v>121</v>
      </c>
      <c r="C4802" s="1">
        <v>676974.0</v>
      </c>
      <c r="D4802" s="1" t="s">
        <v>533</v>
      </c>
      <c r="E4802" s="1" t="s">
        <v>927</v>
      </c>
      <c r="F4802" s="1" t="s">
        <v>926</v>
      </c>
      <c r="G4802" s="1">
        <v>192.0</v>
      </c>
      <c r="H4802" s="1">
        <v>11.94995188</v>
      </c>
      <c r="I4802" s="1">
        <v>5.49</v>
      </c>
      <c r="J4802" s="1">
        <v>2.086395</v>
      </c>
    </row>
    <row r="4803">
      <c r="A4803" s="1">
        <v>2025.0</v>
      </c>
      <c r="B4803" s="1" t="s">
        <v>121</v>
      </c>
      <c r="C4803" s="1">
        <v>676974.0</v>
      </c>
      <c r="D4803" s="1" t="s">
        <v>539</v>
      </c>
      <c r="E4803" s="1" t="s">
        <v>927</v>
      </c>
      <c r="F4803" s="1" t="s">
        <v>926</v>
      </c>
      <c r="G4803" s="1">
        <v>34.0</v>
      </c>
      <c r="H4803" s="1">
        <v>2.116137312</v>
      </c>
      <c r="I4803" s="1">
        <v>4.92</v>
      </c>
      <c r="J4803" s="1">
        <v>0.805482</v>
      </c>
    </row>
    <row r="4804">
      <c r="A4804" s="1">
        <v>2025.0</v>
      </c>
      <c r="B4804" s="1" t="s">
        <v>121</v>
      </c>
      <c r="C4804" s="1">
        <v>676974.0</v>
      </c>
      <c r="D4804" s="1" t="s">
        <v>532</v>
      </c>
      <c r="E4804" s="1" t="s">
        <v>927</v>
      </c>
      <c r="F4804" s="1" t="s">
        <v>927</v>
      </c>
      <c r="G4804" s="1">
        <v>28.0</v>
      </c>
      <c r="H4804" s="1">
        <v>1.742701315</v>
      </c>
      <c r="I4804" s="1">
        <v>4.06</v>
      </c>
      <c r="J4804" s="1">
        <v>1.125018</v>
      </c>
    </row>
    <row r="4805">
      <c r="A4805" s="1">
        <v>2025.0</v>
      </c>
      <c r="B4805" s="1" t="s">
        <v>121</v>
      </c>
      <c r="C4805" s="1">
        <v>676974.0</v>
      </c>
      <c r="D4805" s="1" t="s">
        <v>537</v>
      </c>
      <c r="E4805" s="1" t="s">
        <v>927</v>
      </c>
      <c r="F4805" s="1" t="s">
        <v>927</v>
      </c>
      <c r="G4805" s="1">
        <v>93.0</v>
      </c>
      <c r="H4805" s="1">
        <v>5.78825794</v>
      </c>
      <c r="I4805" s="1">
        <v>4.85</v>
      </c>
      <c r="J4805" s="1">
        <v>2.263764</v>
      </c>
    </row>
    <row r="4806">
      <c r="A4806" s="1">
        <v>2025.0</v>
      </c>
      <c r="B4806" s="1" t="s">
        <v>121</v>
      </c>
      <c r="C4806" s="1">
        <v>676974.0</v>
      </c>
      <c r="D4806" s="1" t="s">
        <v>536</v>
      </c>
      <c r="E4806" s="1" t="s">
        <v>927</v>
      </c>
      <c r="F4806" s="1" t="s">
        <v>927</v>
      </c>
      <c r="G4806" s="1">
        <v>127.0</v>
      </c>
      <c r="H4806" s="1">
        <v>7.904395252</v>
      </c>
      <c r="I4806" s="1">
        <v>4.99</v>
      </c>
      <c r="J4806" s="1">
        <v>2.844274</v>
      </c>
    </row>
    <row r="4807">
      <c r="A4807" s="1">
        <v>2025.0</v>
      </c>
      <c r="B4807" s="1" t="s">
        <v>121</v>
      </c>
      <c r="C4807" s="1">
        <v>676974.0</v>
      </c>
      <c r="D4807" s="1" t="s">
        <v>533</v>
      </c>
      <c r="E4807" s="1" t="s">
        <v>927</v>
      </c>
      <c r="F4807" s="1" t="s">
        <v>927</v>
      </c>
      <c r="G4807" s="1">
        <v>167.0</v>
      </c>
      <c r="H4807" s="1">
        <v>10.39396856</v>
      </c>
      <c r="I4807" s="1">
        <v>5.37</v>
      </c>
      <c r="J4807" s="1">
        <v>2.274156</v>
      </c>
    </row>
    <row r="4808">
      <c r="A4808" s="1">
        <v>2025.0</v>
      </c>
      <c r="B4808" s="1" t="s">
        <v>121</v>
      </c>
      <c r="C4808" s="1">
        <v>676974.0</v>
      </c>
      <c r="D4808" s="1" t="s">
        <v>539</v>
      </c>
      <c r="E4808" s="1" t="s">
        <v>927</v>
      </c>
      <c r="F4808" s="1" t="s">
        <v>927</v>
      </c>
      <c r="G4808" s="1">
        <v>93.0</v>
      </c>
      <c r="H4808" s="1">
        <v>5.78825794</v>
      </c>
      <c r="I4808" s="1">
        <v>5.42</v>
      </c>
      <c r="J4808" s="1">
        <v>1.267802</v>
      </c>
    </row>
    <row r="4809">
      <c r="A4809" s="1">
        <v>2025.0</v>
      </c>
      <c r="B4809" s="1" t="s">
        <v>137</v>
      </c>
      <c r="C4809" s="1">
        <v>453286.0</v>
      </c>
      <c r="D4809" s="1" t="s">
        <v>532</v>
      </c>
      <c r="E4809" s="1" t="s">
        <v>927</v>
      </c>
      <c r="F4809" s="1" t="s">
        <v>926</v>
      </c>
      <c r="G4809" s="1">
        <v>136.0</v>
      </c>
      <c r="H4809" s="1">
        <v>8.316546763</v>
      </c>
      <c r="I4809" s="1">
        <v>4.79</v>
      </c>
      <c r="J4809" s="1">
        <v>3.505053</v>
      </c>
    </row>
    <row r="4810">
      <c r="A4810" s="1">
        <v>2025.0</v>
      </c>
      <c r="B4810" s="1" t="s">
        <v>137</v>
      </c>
      <c r="C4810" s="1">
        <v>453286.0</v>
      </c>
      <c r="D4810" s="1" t="s">
        <v>541</v>
      </c>
      <c r="E4810" s="1" t="s">
        <v>927</v>
      </c>
      <c r="F4810" s="1" t="s">
        <v>926</v>
      </c>
      <c r="G4810" s="1">
        <v>112.0</v>
      </c>
      <c r="H4810" s="1">
        <v>6.848920863</v>
      </c>
      <c r="I4810" s="1">
        <v>5.19</v>
      </c>
      <c r="J4810" s="1">
        <v>2.00014</v>
      </c>
    </row>
    <row r="4811">
      <c r="A4811" s="1">
        <v>2025.0</v>
      </c>
      <c r="B4811" s="1" t="s">
        <v>137</v>
      </c>
      <c r="C4811" s="1">
        <v>453286.0</v>
      </c>
      <c r="D4811" s="1" t="s">
        <v>540</v>
      </c>
      <c r="E4811" s="1" t="s">
        <v>927</v>
      </c>
      <c r="F4811" s="1" t="s">
        <v>926</v>
      </c>
      <c r="G4811" s="1">
        <v>30.0</v>
      </c>
      <c r="H4811" s="1">
        <v>1.834532374</v>
      </c>
      <c r="I4811" s="1">
        <v>5.11</v>
      </c>
      <c r="J4811" s="1">
        <v>0.616693</v>
      </c>
    </row>
    <row r="4812">
      <c r="A4812" s="1">
        <v>2025.0</v>
      </c>
      <c r="B4812" s="1" t="s">
        <v>137</v>
      </c>
      <c r="C4812" s="1">
        <v>453286.0</v>
      </c>
      <c r="D4812" s="1" t="s">
        <v>537</v>
      </c>
      <c r="E4812" s="1" t="s">
        <v>927</v>
      </c>
      <c r="F4812" s="1" t="s">
        <v>926</v>
      </c>
      <c r="G4812" s="1">
        <v>372.0</v>
      </c>
      <c r="H4812" s="1">
        <v>22.74820144</v>
      </c>
      <c r="I4812" s="1">
        <v>5.13</v>
      </c>
      <c r="J4812" s="1">
        <v>7.316537</v>
      </c>
    </row>
    <row r="4813">
      <c r="A4813" s="1">
        <v>2025.0</v>
      </c>
      <c r="B4813" s="1" t="s">
        <v>137</v>
      </c>
      <c r="C4813" s="1">
        <v>453286.0</v>
      </c>
      <c r="D4813" s="1" t="s">
        <v>533</v>
      </c>
      <c r="E4813" s="1" t="s">
        <v>927</v>
      </c>
      <c r="F4813" s="1" t="s">
        <v>926</v>
      </c>
      <c r="G4813" s="1">
        <v>105.0</v>
      </c>
      <c r="H4813" s="1">
        <v>6.420863309</v>
      </c>
      <c r="I4813" s="1">
        <v>5.35</v>
      </c>
      <c r="J4813" s="1">
        <v>1.461069</v>
      </c>
    </row>
    <row r="4814">
      <c r="A4814" s="1">
        <v>2025.0</v>
      </c>
      <c r="B4814" s="1" t="s">
        <v>137</v>
      </c>
      <c r="C4814" s="1">
        <v>453286.0</v>
      </c>
      <c r="D4814" s="1" t="s">
        <v>532</v>
      </c>
      <c r="E4814" s="1" t="s">
        <v>927</v>
      </c>
      <c r="F4814" s="1" t="s">
        <v>927</v>
      </c>
      <c r="G4814" s="1">
        <v>59.0</v>
      </c>
      <c r="H4814" s="1">
        <v>3.607913669</v>
      </c>
      <c r="I4814" s="1">
        <v>5.34</v>
      </c>
      <c r="J4814" s="1">
        <v>0.77202</v>
      </c>
    </row>
    <row r="4815">
      <c r="A4815" s="1">
        <v>2025.0</v>
      </c>
      <c r="B4815" s="1" t="s">
        <v>137</v>
      </c>
      <c r="C4815" s="1">
        <v>453286.0</v>
      </c>
      <c r="D4815" s="1" t="s">
        <v>541</v>
      </c>
      <c r="E4815" s="1" t="s">
        <v>927</v>
      </c>
      <c r="F4815" s="1" t="s">
        <v>927</v>
      </c>
      <c r="G4815" s="1">
        <v>53.0</v>
      </c>
      <c r="H4815" s="1">
        <v>3.241007194</v>
      </c>
      <c r="I4815" s="1">
        <v>4.97</v>
      </c>
      <c r="J4815" s="1">
        <v>1.145076</v>
      </c>
    </row>
    <row r="4816">
      <c r="A4816" s="1">
        <v>2025.0</v>
      </c>
      <c r="B4816" s="1" t="s">
        <v>137</v>
      </c>
      <c r="C4816" s="1">
        <v>453286.0</v>
      </c>
      <c r="D4816" s="1" t="s">
        <v>540</v>
      </c>
      <c r="E4816" s="1" t="s">
        <v>927</v>
      </c>
      <c r="F4816" s="1" t="s">
        <v>927</v>
      </c>
      <c r="G4816" s="1">
        <v>3.0</v>
      </c>
      <c r="H4816" s="1">
        <v>0.183453237</v>
      </c>
      <c r="I4816" s="1">
        <v>4.8</v>
      </c>
      <c r="J4816" s="1">
        <v>0.070453</v>
      </c>
    </row>
    <row r="4817">
      <c r="A4817" s="1">
        <v>2025.0</v>
      </c>
      <c r="B4817" s="1" t="s">
        <v>137</v>
      </c>
      <c r="C4817" s="1">
        <v>453286.0</v>
      </c>
      <c r="D4817" s="1" t="s">
        <v>537</v>
      </c>
      <c r="E4817" s="1" t="s">
        <v>927</v>
      </c>
      <c r="F4817" s="1" t="s">
        <v>927</v>
      </c>
      <c r="G4817" s="1">
        <v>302.0</v>
      </c>
      <c r="H4817" s="1">
        <v>18.4676259</v>
      </c>
      <c r="I4817" s="1">
        <v>5.2</v>
      </c>
      <c r="J4817" s="1">
        <v>5.559186</v>
      </c>
    </row>
    <row r="4818">
      <c r="A4818" s="1">
        <v>2025.0</v>
      </c>
      <c r="B4818" s="1" t="s">
        <v>137</v>
      </c>
      <c r="C4818" s="1">
        <v>453286.0</v>
      </c>
      <c r="D4818" s="1" t="s">
        <v>533</v>
      </c>
      <c r="E4818" s="1" t="s">
        <v>927</v>
      </c>
      <c r="F4818" s="1" t="s">
        <v>927</v>
      </c>
      <c r="G4818" s="1">
        <v>218.0</v>
      </c>
      <c r="H4818" s="1">
        <v>13.33093525</v>
      </c>
      <c r="I4818" s="1">
        <v>5.25</v>
      </c>
      <c r="J4818" s="1">
        <v>3.614838</v>
      </c>
    </row>
    <row r="4819">
      <c r="A4819" s="1">
        <v>2025.0</v>
      </c>
      <c r="B4819" s="1" t="s">
        <v>549</v>
      </c>
      <c r="C4819" s="1">
        <v>685326.0</v>
      </c>
      <c r="D4819" s="1" t="s">
        <v>532</v>
      </c>
      <c r="E4819" s="1" t="s">
        <v>927</v>
      </c>
      <c r="F4819" s="1" t="s">
        <v>926</v>
      </c>
      <c r="G4819" s="1">
        <v>28.0</v>
      </c>
      <c r="H4819" s="1">
        <v>1.431606906</v>
      </c>
      <c r="I4819" s="1">
        <v>4.41</v>
      </c>
      <c r="J4819" s="1">
        <v>0.936378</v>
      </c>
    </row>
    <row r="4820">
      <c r="A4820" s="1">
        <v>2025.0</v>
      </c>
      <c r="B4820" s="1" t="s">
        <v>549</v>
      </c>
      <c r="C4820" s="1">
        <v>685326.0</v>
      </c>
      <c r="D4820" s="1" t="s">
        <v>541</v>
      </c>
      <c r="E4820" s="1" t="s">
        <v>927</v>
      </c>
      <c r="F4820" s="1" t="s">
        <v>926</v>
      </c>
      <c r="G4820" s="1">
        <v>56.0</v>
      </c>
      <c r="H4820" s="1">
        <v>2.863213811</v>
      </c>
      <c r="I4820" s="1">
        <v>3.9</v>
      </c>
      <c r="J4820" s="1">
        <v>2.444258</v>
      </c>
    </row>
    <row r="4821">
      <c r="A4821" s="1">
        <v>2025.0</v>
      </c>
      <c r="B4821" s="1" t="s">
        <v>549</v>
      </c>
      <c r="C4821" s="1">
        <v>685326.0</v>
      </c>
      <c r="D4821" s="1" t="s">
        <v>536</v>
      </c>
      <c r="E4821" s="1" t="s">
        <v>927</v>
      </c>
      <c r="F4821" s="1" t="s">
        <v>926</v>
      </c>
      <c r="G4821" s="1">
        <v>162.0</v>
      </c>
      <c r="H4821" s="1">
        <v>8.282868526</v>
      </c>
      <c r="I4821" s="1">
        <v>4.39</v>
      </c>
      <c r="J4821" s="1">
        <v>5.580588</v>
      </c>
    </row>
    <row r="4822">
      <c r="A4822" s="1">
        <v>2025.0</v>
      </c>
      <c r="B4822" s="1" t="s">
        <v>549</v>
      </c>
      <c r="C4822" s="1">
        <v>685326.0</v>
      </c>
      <c r="D4822" s="1" t="s">
        <v>533</v>
      </c>
      <c r="E4822" s="1" t="s">
        <v>927</v>
      </c>
      <c r="F4822" s="1" t="s">
        <v>926</v>
      </c>
      <c r="G4822" s="1">
        <v>17.0</v>
      </c>
      <c r="H4822" s="1">
        <v>0.869189907</v>
      </c>
      <c r="I4822" s="1">
        <v>5.15</v>
      </c>
      <c r="J4822" s="1">
        <v>0.306272</v>
      </c>
    </row>
    <row r="4823">
      <c r="A4823" s="1">
        <v>2025.0</v>
      </c>
      <c r="B4823" s="1" t="s">
        <v>549</v>
      </c>
      <c r="C4823" s="1">
        <v>685326.0</v>
      </c>
      <c r="D4823" s="1" t="s">
        <v>541</v>
      </c>
      <c r="E4823" s="1" t="s">
        <v>927</v>
      </c>
      <c r="F4823" s="1" t="s">
        <v>927</v>
      </c>
      <c r="G4823" s="1">
        <v>34.0</v>
      </c>
      <c r="H4823" s="1">
        <v>1.738379814</v>
      </c>
      <c r="I4823" s="1">
        <v>4.4</v>
      </c>
      <c r="J4823" s="1">
        <v>1.157774</v>
      </c>
    </row>
    <row r="4824">
      <c r="A4824" s="1">
        <v>2025.0</v>
      </c>
      <c r="B4824" s="1" t="s">
        <v>549</v>
      </c>
      <c r="C4824" s="1">
        <v>685326.0</v>
      </c>
      <c r="D4824" s="1" t="s">
        <v>536</v>
      </c>
      <c r="E4824" s="1" t="s">
        <v>927</v>
      </c>
      <c r="F4824" s="1" t="s">
        <v>927</v>
      </c>
      <c r="G4824" s="1">
        <v>125.0</v>
      </c>
      <c r="H4824" s="1">
        <v>6.391102258</v>
      </c>
      <c r="I4824" s="1">
        <v>4.83</v>
      </c>
      <c r="J4824" s="1">
        <v>3.293355</v>
      </c>
    </row>
    <row r="4825">
      <c r="A4825" s="1">
        <v>2025.0</v>
      </c>
      <c r="B4825" s="1" t="s">
        <v>549</v>
      </c>
      <c r="C4825" s="1">
        <v>685326.0</v>
      </c>
      <c r="D4825" s="1" t="s">
        <v>533</v>
      </c>
      <c r="E4825" s="1" t="s">
        <v>927</v>
      </c>
      <c r="F4825" s="1" t="s">
        <v>927</v>
      </c>
      <c r="G4825" s="1">
        <v>80.0</v>
      </c>
      <c r="H4825" s="1">
        <v>4.090305445</v>
      </c>
      <c r="I4825" s="1">
        <v>4.83</v>
      </c>
      <c r="J4825" s="1">
        <v>2.018022</v>
      </c>
    </row>
    <row r="4826">
      <c r="A4826" s="1">
        <v>2025.0</v>
      </c>
      <c r="B4826" s="1" t="s">
        <v>222</v>
      </c>
      <c r="C4826" s="1">
        <v>518876.0</v>
      </c>
      <c r="D4826" s="1" t="s">
        <v>532</v>
      </c>
      <c r="E4826" s="1" t="s">
        <v>927</v>
      </c>
      <c r="F4826" s="1" t="s">
        <v>926</v>
      </c>
      <c r="G4826" s="1">
        <v>482.0</v>
      </c>
      <c r="H4826" s="1">
        <v>31.31638418</v>
      </c>
      <c r="I4826" s="1">
        <v>5.15</v>
      </c>
      <c r="J4826" s="1">
        <v>8.888762</v>
      </c>
    </row>
    <row r="4827">
      <c r="A4827" s="1">
        <v>2025.0</v>
      </c>
      <c r="B4827" s="1" t="s">
        <v>222</v>
      </c>
      <c r="C4827" s="1">
        <v>518876.0</v>
      </c>
      <c r="D4827" s="1" t="s">
        <v>541</v>
      </c>
      <c r="E4827" s="1" t="s">
        <v>927</v>
      </c>
      <c r="F4827" s="1" t="s">
        <v>926</v>
      </c>
      <c r="G4827" s="1">
        <v>206.0</v>
      </c>
      <c r="H4827" s="1">
        <v>13.38418079</v>
      </c>
      <c r="I4827" s="1">
        <v>5.1</v>
      </c>
      <c r="J4827" s="1">
        <v>4.154522</v>
      </c>
    </row>
    <row r="4828">
      <c r="A4828" s="1">
        <v>2025.0</v>
      </c>
      <c r="B4828" s="1" t="s">
        <v>222</v>
      </c>
      <c r="C4828" s="1">
        <v>518876.0</v>
      </c>
      <c r="D4828" s="1" t="s">
        <v>540</v>
      </c>
      <c r="E4828" s="1" t="s">
        <v>927</v>
      </c>
      <c r="F4828" s="1" t="s">
        <v>926</v>
      </c>
      <c r="G4828" s="1">
        <v>300.0</v>
      </c>
      <c r="H4828" s="1">
        <v>19.49152542</v>
      </c>
      <c r="I4828" s="1">
        <v>4.99</v>
      </c>
      <c r="J4828" s="1">
        <v>6.823589</v>
      </c>
    </row>
    <row r="4829">
      <c r="A4829" s="1">
        <v>2025.0</v>
      </c>
      <c r="B4829" s="1" t="s">
        <v>222</v>
      </c>
      <c r="C4829" s="1">
        <v>518876.0</v>
      </c>
      <c r="D4829" s="1" t="s">
        <v>537</v>
      </c>
      <c r="E4829" s="1" t="s">
        <v>927</v>
      </c>
      <c r="F4829" s="1" t="s">
        <v>926</v>
      </c>
      <c r="G4829" s="1">
        <v>377.0</v>
      </c>
      <c r="H4829" s="1">
        <v>24.49435028</v>
      </c>
      <c r="I4829" s="1">
        <v>4.69</v>
      </c>
      <c r="J4829" s="1">
        <v>10.965384</v>
      </c>
    </row>
    <row r="4830">
      <c r="A4830" s="1">
        <v>2025.0</v>
      </c>
      <c r="B4830" s="1" t="s">
        <v>222</v>
      </c>
      <c r="C4830" s="1">
        <v>518876.0</v>
      </c>
      <c r="D4830" s="1" t="s">
        <v>536</v>
      </c>
      <c r="E4830" s="1" t="s">
        <v>927</v>
      </c>
      <c r="F4830" s="1" t="s">
        <v>926</v>
      </c>
      <c r="G4830" s="1">
        <v>131.0</v>
      </c>
      <c r="H4830" s="1">
        <v>8.511299435</v>
      </c>
      <c r="I4830" s="1">
        <v>4.26</v>
      </c>
      <c r="J4830" s="1">
        <v>4.846101</v>
      </c>
    </row>
    <row r="4831">
      <c r="A4831" s="1">
        <v>2025.0</v>
      </c>
      <c r="B4831" s="1" t="s">
        <v>222</v>
      </c>
      <c r="C4831" s="1">
        <v>518876.0</v>
      </c>
      <c r="D4831" s="1" t="s">
        <v>533</v>
      </c>
      <c r="E4831" s="1" t="s">
        <v>927</v>
      </c>
      <c r="F4831" s="1" t="s">
        <v>926</v>
      </c>
      <c r="G4831" s="1">
        <v>1.0</v>
      </c>
      <c r="H4831" s="1">
        <v>0.064971751</v>
      </c>
      <c r="I4831" s="1">
        <v>3.67</v>
      </c>
      <c r="J4831" s="1">
        <v>0.053863</v>
      </c>
    </row>
    <row r="4832">
      <c r="A4832" s="1">
        <v>2025.0</v>
      </c>
      <c r="B4832" s="1" t="s">
        <v>222</v>
      </c>
      <c r="C4832" s="1">
        <v>518876.0</v>
      </c>
      <c r="D4832" s="1" t="s">
        <v>532</v>
      </c>
      <c r="E4832" s="1" t="s">
        <v>927</v>
      </c>
      <c r="F4832" s="1" t="s">
        <v>927</v>
      </c>
      <c r="G4832" s="1">
        <v>268.0</v>
      </c>
      <c r="H4832" s="1">
        <v>17.41242938</v>
      </c>
      <c r="I4832" s="1">
        <v>5.44</v>
      </c>
      <c r="J4832" s="1">
        <v>3.264487</v>
      </c>
    </row>
    <row r="4833">
      <c r="A4833" s="1">
        <v>2025.0</v>
      </c>
      <c r="B4833" s="1" t="s">
        <v>222</v>
      </c>
      <c r="C4833" s="1">
        <v>518876.0</v>
      </c>
      <c r="D4833" s="1" t="s">
        <v>541</v>
      </c>
      <c r="E4833" s="1" t="s">
        <v>927</v>
      </c>
      <c r="F4833" s="1" t="s">
        <v>927</v>
      </c>
      <c r="G4833" s="1">
        <v>68.0</v>
      </c>
      <c r="H4833" s="1">
        <v>4.418079096</v>
      </c>
      <c r="I4833" s="1">
        <v>5.1</v>
      </c>
      <c r="J4833" s="1">
        <v>1.393333</v>
      </c>
    </row>
    <row r="4834">
      <c r="A4834" s="1">
        <v>2025.0</v>
      </c>
      <c r="B4834" s="1" t="s">
        <v>222</v>
      </c>
      <c r="C4834" s="1">
        <v>518876.0</v>
      </c>
      <c r="D4834" s="1" t="s">
        <v>540</v>
      </c>
      <c r="E4834" s="1" t="s">
        <v>927</v>
      </c>
      <c r="F4834" s="1" t="s">
        <v>927</v>
      </c>
      <c r="G4834" s="1">
        <v>282.0</v>
      </c>
      <c r="H4834" s="1">
        <v>18.3220339</v>
      </c>
      <c r="I4834" s="1">
        <v>5.07</v>
      </c>
      <c r="J4834" s="1">
        <v>6.06276</v>
      </c>
    </row>
    <row r="4835">
      <c r="A4835" s="1">
        <v>2025.0</v>
      </c>
      <c r="B4835" s="1" t="s">
        <v>222</v>
      </c>
      <c r="C4835" s="1">
        <v>518876.0</v>
      </c>
      <c r="D4835" s="1" t="s">
        <v>537</v>
      </c>
      <c r="E4835" s="1" t="s">
        <v>927</v>
      </c>
      <c r="F4835" s="1" t="s">
        <v>927</v>
      </c>
      <c r="G4835" s="1">
        <v>266.0</v>
      </c>
      <c r="H4835" s="1">
        <v>17.28248588</v>
      </c>
      <c r="I4835" s="1">
        <v>5.0</v>
      </c>
      <c r="J4835" s="1">
        <v>5.973654</v>
      </c>
    </row>
    <row r="4836">
      <c r="A4836" s="1">
        <v>2025.0</v>
      </c>
      <c r="B4836" s="1" t="s">
        <v>222</v>
      </c>
      <c r="C4836" s="1">
        <v>518876.0</v>
      </c>
      <c r="D4836" s="1" t="s">
        <v>536</v>
      </c>
      <c r="E4836" s="1" t="s">
        <v>927</v>
      </c>
      <c r="F4836" s="1" t="s">
        <v>927</v>
      </c>
      <c r="G4836" s="1">
        <v>255.0</v>
      </c>
      <c r="H4836" s="1">
        <v>16.56779661</v>
      </c>
      <c r="I4836" s="1">
        <v>4.98</v>
      </c>
      <c r="J4836" s="1">
        <v>5.619782</v>
      </c>
    </row>
    <row r="4837">
      <c r="A4837" s="1">
        <v>2025.0</v>
      </c>
      <c r="B4837" s="1" t="s">
        <v>222</v>
      </c>
      <c r="C4837" s="1">
        <v>518876.0</v>
      </c>
      <c r="D4837" s="1" t="s">
        <v>533</v>
      </c>
      <c r="E4837" s="1" t="s">
        <v>927</v>
      </c>
      <c r="F4837" s="1" t="s">
        <v>927</v>
      </c>
      <c r="G4837" s="1">
        <v>196.0</v>
      </c>
      <c r="H4837" s="1">
        <v>12.73446328</v>
      </c>
      <c r="I4837" s="1">
        <v>5.21</v>
      </c>
      <c r="J4837" s="1">
        <v>3.416098</v>
      </c>
    </row>
    <row r="4838">
      <c r="A4838" s="1">
        <v>2025.0</v>
      </c>
      <c r="B4838" s="1" t="s">
        <v>792</v>
      </c>
      <c r="C4838" s="1">
        <v>690382.0</v>
      </c>
      <c r="D4838" s="1" t="s">
        <v>540</v>
      </c>
      <c r="E4838" s="1" t="s">
        <v>927</v>
      </c>
      <c r="F4838" s="1" t="s">
        <v>926</v>
      </c>
      <c r="G4838" s="1">
        <v>15.0</v>
      </c>
      <c r="H4838" s="1">
        <v>0.917721519</v>
      </c>
      <c r="I4838" s="1">
        <v>5.35</v>
      </c>
      <c r="J4838" s="1">
        <v>0.240758</v>
      </c>
    </row>
    <row r="4839">
      <c r="A4839" s="1">
        <v>2025.0</v>
      </c>
      <c r="B4839" s="1" t="s">
        <v>792</v>
      </c>
      <c r="C4839" s="1">
        <v>690382.0</v>
      </c>
      <c r="D4839" s="1" t="s">
        <v>537</v>
      </c>
      <c r="E4839" s="1" t="s">
        <v>927</v>
      </c>
      <c r="F4839" s="1" t="s">
        <v>926</v>
      </c>
      <c r="G4839" s="1">
        <v>5.0</v>
      </c>
      <c r="H4839" s="1">
        <v>0.305907173</v>
      </c>
      <c r="I4839" s="1">
        <v>4.86</v>
      </c>
      <c r="J4839" s="1">
        <v>0.124623</v>
      </c>
    </row>
    <row r="4840">
      <c r="A4840" s="1">
        <v>2025.0</v>
      </c>
      <c r="B4840" s="1" t="s">
        <v>792</v>
      </c>
      <c r="C4840" s="1">
        <v>690382.0</v>
      </c>
      <c r="D4840" s="1" t="s">
        <v>536</v>
      </c>
      <c r="E4840" s="1" t="s">
        <v>927</v>
      </c>
      <c r="F4840" s="1" t="s">
        <v>926</v>
      </c>
      <c r="G4840" s="1">
        <v>28.0</v>
      </c>
      <c r="H4840" s="1">
        <v>1.713080169</v>
      </c>
      <c r="I4840" s="1">
        <v>4.74</v>
      </c>
      <c r="J4840" s="1">
        <v>0.854511</v>
      </c>
    </row>
    <row r="4841">
      <c r="A4841" s="1">
        <v>2025.0</v>
      </c>
      <c r="B4841" s="1" t="s">
        <v>792</v>
      </c>
      <c r="C4841" s="1">
        <v>690382.0</v>
      </c>
      <c r="D4841" s="1" t="s">
        <v>539</v>
      </c>
      <c r="E4841" s="1" t="s">
        <v>927</v>
      </c>
      <c r="F4841" s="1" t="s">
        <v>926</v>
      </c>
      <c r="G4841" s="1">
        <v>9.0</v>
      </c>
      <c r="H4841" s="1">
        <v>0.550632911</v>
      </c>
      <c r="I4841" s="1">
        <v>3.23</v>
      </c>
      <c r="J4841" s="1">
        <v>0.506338</v>
      </c>
    </row>
    <row r="4842">
      <c r="A4842" s="1">
        <v>2025.0</v>
      </c>
      <c r="B4842" s="1" t="s">
        <v>792</v>
      </c>
      <c r="C4842" s="1">
        <v>690382.0</v>
      </c>
      <c r="D4842" s="1" t="s">
        <v>540</v>
      </c>
      <c r="E4842" s="1" t="s">
        <v>927</v>
      </c>
      <c r="F4842" s="1" t="s">
        <v>927</v>
      </c>
      <c r="G4842" s="1">
        <v>38.0</v>
      </c>
      <c r="H4842" s="1">
        <v>2.324894515</v>
      </c>
      <c r="I4842" s="1">
        <v>4.8</v>
      </c>
      <c r="J4842" s="1">
        <v>0.991935</v>
      </c>
    </row>
    <row r="4843">
      <c r="A4843" s="1">
        <v>2025.0</v>
      </c>
      <c r="B4843" s="1" t="s">
        <v>792</v>
      </c>
      <c r="C4843" s="1">
        <v>690382.0</v>
      </c>
      <c r="D4843" s="1" t="s">
        <v>537</v>
      </c>
      <c r="E4843" s="1" t="s">
        <v>927</v>
      </c>
      <c r="F4843" s="1" t="s">
        <v>927</v>
      </c>
      <c r="G4843" s="1">
        <v>2.0</v>
      </c>
      <c r="H4843" s="1">
        <v>0.122362869</v>
      </c>
      <c r="I4843" s="1">
        <v>2.88</v>
      </c>
      <c r="J4843" s="1">
        <v>0.130752</v>
      </c>
    </row>
    <row r="4844">
      <c r="A4844" s="1">
        <v>2025.0</v>
      </c>
      <c r="B4844" s="1" t="s">
        <v>792</v>
      </c>
      <c r="C4844" s="1">
        <v>690382.0</v>
      </c>
      <c r="D4844" s="1" t="s">
        <v>536</v>
      </c>
      <c r="E4844" s="1" t="s">
        <v>927</v>
      </c>
      <c r="F4844" s="1" t="s">
        <v>927</v>
      </c>
      <c r="G4844" s="1">
        <v>40.0</v>
      </c>
      <c r="H4844" s="1">
        <v>2.447257384</v>
      </c>
      <c r="I4844" s="1">
        <v>4.67</v>
      </c>
      <c r="J4844" s="1">
        <v>1.182449</v>
      </c>
    </row>
    <row r="4845">
      <c r="A4845" s="1">
        <v>2025.0</v>
      </c>
      <c r="B4845" s="1" t="s">
        <v>792</v>
      </c>
      <c r="C4845" s="1">
        <v>690382.0</v>
      </c>
      <c r="D4845" s="1" t="s">
        <v>539</v>
      </c>
      <c r="E4845" s="1" t="s">
        <v>927</v>
      </c>
      <c r="F4845" s="1" t="s">
        <v>927</v>
      </c>
      <c r="G4845" s="1">
        <v>21.0</v>
      </c>
      <c r="H4845" s="1">
        <v>1.284810127</v>
      </c>
      <c r="I4845" s="1">
        <v>4.96</v>
      </c>
      <c r="J4845" s="1">
        <v>0.449255</v>
      </c>
    </row>
    <row r="4846">
      <c r="A4846" s="1">
        <v>2025.0</v>
      </c>
      <c r="B4846" s="1" t="s">
        <v>800</v>
      </c>
      <c r="C4846" s="1">
        <v>605242.0</v>
      </c>
      <c r="D4846" s="1" t="s">
        <v>532</v>
      </c>
      <c r="E4846" s="1" t="s">
        <v>927</v>
      </c>
      <c r="F4846" s="1" t="s">
        <v>926</v>
      </c>
      <c r="G4846" s="1">
        <v>8.0</v>
      </c>
      <c r="H4846" s="1">
        <v>0.503703704</v>
      </c>
      <c r="I4846" s="1">
        <v>3.54</v>
      </c>
      <c r="J4846" s="1">
        <v>0.417959</v>
      </c>
    </row>
    <row r="4847">
      <c r="A4847" s="1">
        <v>2025.0</v>
      </c>
      <c r="B4847" s="1" t="s">
        <v>800</v>
      </c>
      <c r="C4847" s="1">
        <v>605242.0</v>
      </c>
      <c r="D4847" s="1" t="s">
        <v>540</v>
      </c>
      <c r="E4847" s="1" t="s">
        <v>927</v>
      </c>
      <c r="F4847" s="1" t="s">
        <v>926</v>
      </c>
      <c r="G4847" s="1">
        <v>22.0</v>
      </c>
      <c r="H4847" s="1">
        <v>1.385185185</v>
      </c>
      <c r="I4847" s="1">
        <v>5.04</v>
      </c>
      <c r="J4847" s="1">
        <v>0.464949</v>
      </c>
    </row>
    <row r="4848">
      <c r="A4848" s="1">
        <v>2025.0</v>
      </c>
      <c r="B4848" s="1" t="s">
        <v>800</v>
      </c>
      <c r="C4848" s="1">
        <v>605242.0</v>
      </c>
      <c r="D4848" s="1" t="s">
        <v>537</v>
      </c>
      <c r="E4848" s="1" t="s">
        <v>927</v>
      </c>
      <c r="F4848" s="1" t="s">
        <v>926</v>
      </c>
      <c r="G4848" s="1">
        <v>13.0</v>
      </c>
      <c r="H4848" s="1">
        <v>0.818518519</v>
      </c>
      <c r="I4848" s="1">
        <v>4.87</v>
      </c>
      <c r="J4848" s="1">
        <v>0.340394</v>
      </c>
    </row>
    <row r="4849">
      <c r="A4849" s="1">
        <v>2025.0</v>
      </c>
      <c r="B4849" s="1" t="s">
        <v>800</v>
      </c>
      <c r="C4849" s="1">
        <v>605242.0</v>
      </c>
      <c r="D4849" s="1" t="s">
        <v>536</v>
      </c>
      <c r="E4849" s="1" t="s">
        <v>927</v>
      </c>
      <c r="F4849" s="1" t="s">
        <v>926</v>
      </c>
      <c r="G4849" s="1">
        <v>4.0</v>
      </c>
      <c r="H4849" s="1">
        <v>0.251851852</v>
      </c>
      <c r="I4849" s="1">
        <v>1.19</v>
      </c>
      <c r="J4849" s="1">
        <v>0.388418</v>
      </c>
    </row>
    <row r="4850">
      <c r="A4850" s="1">
        <v>2025.0</v>
      </c>
      <c r="B4850" s="1" t="s">
        <v>800</v>
      </c>
      <c r="C4850" s="1">
        <v>605242.0</v>
      </c>
      <c r="D4850" s="1" t="s">
        <v>539</v>
      </c>
      <c r="E4850" s="1" t="s">
        <v>927</v>
      </c>
      <c r="F4850" s="1" t="s">
        <v>926</v>
      </c>
      <c r="G4850" s="1">
        <v>2.0</v>
      </c>
      <c r="H4850" s="1">
        <v>0.125925926</v>
      </c>
      <c r="I4850" s="1">
        <v>6.39</v>
      </c>
      <c r="J4850" s="1">
        <v>-0.006781</v>
      </c>
    </row>
    <row r="4851">
      <c r="A4851" s="1">
        <v>2025.0</v>
      </c>
      <c r="B4851" s="1" t="s">
        <v>800</v>
      </c>
      <c r="C4851" s="1">
        <v>605242.0</v>
      </c>
      <c r="D4851" s="1" t="s">
        <v>532</v>
      </c>
      <c r="E4851" s="1" t="s">
        <v>927</v>
      </c>
      <c r="F4851" s="1" t="s">
        <v>927</v>
      </c>
      <c r="G4851" s="1">
        <v>1.0</v>
      </c>
      <c r="H4851" s="1">
        <v>0.062962963</v>
      </c>
      <c r="I4851" s="1">
        <v>3.44</v>
      </c>
      <c r="J4851" s="1">
        <v>0.051259</v>
      </c>
    </row>
    <row r="4852">
      <c r="A4852" s="1">
        <v>2025.0</v>
      </c>
      <c r="B4852" s="1" t="s">
        <v>800</v>
      </c>
      <c r="C4852" s="1">
        <v>605242.0</v>
      </c>
      <c r="D4852" s="1" t="s">
        <v>541</v>
      </c>
      <c r="E4852" s="1" t="s">
        <v>927</v>
      </c>
      <c r="F4852" s="1" t="s">
        <v>927</v>
      </c>
      <c r="G4852" s="1">
        <v>8.0</v>
      </c>
      <c r="H4852" s="1">
        <v>0.503703704</v>
      </c>
      <c r="I4852" s="1">
        <v>5.93</v>
      </c>
      <c r="J4852" s="1">
        <v>0.010873</v>
      </c>
    </row>
    <row r="4853">
      <c r="A4853" s="1">
        <v>2025.0</v>
      </c>
      <c r="B4853" s="1" t="s">
        <v>800</v>
      </c>
      <c r="C4853" s="1">
        <v>605242.0</v>
      </c>
      <c r="D4853" s="1" t="s">
        <v>540</v>
      </c>
      <c r="E4853" s="1" t="s">
        <v>927</v>
      </c>
      <c r="F4853" s="1" t="s">
        <v>927</v>
      </c>
      <c r="G4853" s="1">
        <v>17.0</v>
      </c>
      <c r="H4853" s="1">
        <v>1.07037037</v>
      </c>
      <c r="I4853" s="1">
        <v>5.48</v>
      </c>
      <c r="J4853" s="1">
        <v>0.212057</v>
      </c>
    </row>
    <row r="4854">
      <c r="A4854" s="1">
        <v>2025.0</v>
      </c>
      <c r="B4854" s="1" t="s">
        <v>800</v>
      </c>
      <c r="C4854" s="1">
        <v>605242.0</v>
      </c>
      <c r="D4854" s="1" t="s">
        <v>537</v>
      </c>
      <c r="E4854" s="1" t="s">
        <v>927</v>
      </c>
      <c r="F4854" s="1" t="s">
        <v>927</v>
      </c>
      <c r="G4854" s="1">
        <v>8.0</v>
      </c>
      <c r="H4854" s="1">
        <v>0.503703704</v>
      </c>
      <c r="I4854" s="1">
        <v>4.68</v>
      </c>
      <c r="J4854" s="1">
        <v>0.224243</v>
      </c>
    </row>
    <row r="4855">
      <c r="A4855" s="1">
        <v>2025.0</v>
      </c>
      <c r="B4855" s="1" t="s">
        <v>800</v>
      </c>
      <c r="C4855" s="1">
        <v>605242.0</v>
      </c>
      <c r="D4855" s="1" t="s">
        <v>536</v>
      </c>
      <c r="E4855" s="1" t="s">
        <v>927</v>
      </c>
      <c r="F4855" s="1" t="s">
        <v>927</v>
      </c>
      <c r="G4855" s="1">
        <v>5.0</v>
      </c>
      <c r="H4855" s="1">
        <v>0.314814815</v>
      </c>
      <c r="I4855" s="1">
        <v>4.96</v>
      </c>
      <c r="J4855" s="1">
        <v>0.115168</v>
      </c>
    </row>
    <row r="4856">
      <c r="A4856" s="1">
        <v>2025.0</v>
      </c>
      <c r="B4856" s="1" t="s">
        <v>800</v>
      </c>
      <c r="C4856" s="1">
        <v>605242.0</v>
      </c>
      <c r="D4856" s="1" t="s">
        <v>533</v>
      </c>
      <c r="E4856" s="1" t="s">
        <v>927</v>
      </c>
      <c r="F4856" s="1" t="s">
        <v>927</v>
      </c>
      <c r="G4856" s="1">
        <v>1.0</v>
      </c>
      <c r="H4856" s="1">
        <v>0.062962963</v>
      </c>
      <c r="I4856" s="1">
        <v>3.65</v>
      </c>
      <c r="J4856" s="1">
        <v>0.048978</v>
      </c>
    </row>
    <row r="4857">
      <c r="A4857" s="1">
        <v>2025.0</v>
      </c>
      <c r="B4857" s="1" t="s">
        <v>800</v>
      </c>
      <c r="C4857" s="1">
        <v>605242.0</v>
      </c>
      <c r="D4857" s="1" t="s">
        <v>539</v>
      </c>
      <c r="E4857" s="1" t="s">
        <v>927</v>
      </c>
      <c r="F4857" s="1" t="s">
        <v>927</v>
      </c>
      <c r="G4857" s="1">
        <v>1.0</v>
      </c>
      <c r="H4857" s="1">
        <v>0.062962963</v>
      </c>
      <c r="I4857" s="1">
        <v>6.09</v>
      </c>
      <c r="J4857" s="1">
        <v>-0.004922</v>
      </c>
    </row>
    <row r="4858">
      <c r="A4858" s="1">
        <v>2025.0</v>
      </c>
      <c r="B4858" s="1" t="s">
        <v>436</v>
      </c>
      <c r="C4858" s="1">
        <v>547184.0</v>
      </c>
      <c r="D4858" s="1" t="s">
        <v>532</v>
      </c>
      <c r="E4858" s="1" t="s">
        <v>927</v>
      </c>
      <c r="F4858" s="1" t="s">
        <v>926</v>
      </c>
      <c r="G4858" s="1">
        <v>10.0</v>
      </c>
      <c r="H4858" s="1">
        <v>0.604674797</v>
      </c>
      <c r="I4858" s="1">
        <v>5.54</v>
      </c>
      <c r="J4858" s="1">
        <v>0.11033</v>
      </c>
    </row>
    <row r="4859">
      <c r="A4859" s="1">
        <v>2025.0</v>
      </c>
      <c r="B4859" s="1" t="s">
        <v>436</v>
      </c>
      <c r="C4859" s="1">
        <v>547184.0</v>
      </c>
      <c r="D4859" s="1" t="s">
        <v>540</v>
      </c>
      <c r="E4859" s="1" t="s">
        <v>927</v>
      </c>
      <c r="F4859" s="1" t="s">
        <v>926</v>
      </c>
      <c r="G4859" s="1">
        <v>14.0</v>
      </c>
      <c r="H4859" s="1">
        <v>0.846544715</v>
      </c>
      <c r="I4859" s="1">
        <v>4.21</v>
      </c>
      <c r="J4859" s="1">
        <v>0.525884</v>
      </c>
    </row>
    <row r="4860">
      <c r="A4860" s="1">
        <v>2025.0</v>
      </c>
      <c r="B4860" s="1" t="s">
        <v>436</v>
      </c>
      <c r="C4860" s="1">
        <v>547184.0</v>
      </c>
      <c r="D4860" s="1" t="s">
        <v>537</v>
      </c>
      <c r="E4860" s="1" t="s">
        <v>927</v>
      </c>
      <c r="F4860" s="1" t="s">
        <v>926</v>
      </c>
      <c r="G4860" s="1">
        <v>89.0</v>
      </c>
      <c r="H4860" s="1">
        <v>5.381605691</v>
      </c>
      <c r="I4860" s="1">
        <v>4.17</v>
      </c>
      <c r="J4860" s="1">
        <v>3.500618</v>
      </c>
    </row>
    <row r="4861">
      <c r="A4861" s="1">
        <v>2025.0</v>
      </c>
      <c r="B4861" s="1" t="s">
        <v>436</v>
      </c>
      <c r="C4861" s="1">
        <v>547184.0</v>
      </c>
      <c r="D4861" s="1" t="s">
        <v>536</v>
      </c>
      <c r="E4861" s="1" t="s">
        <v>927</v>
      </c>
      <c r="F4861" s="1" t="s">
        <v>926</v>
      </c>
      <c r="G4861" s="1">
        <v>6.0</v>
      </c>
      <c r="H4861" s="1">
        <v>0.362804878</v>
      </c>
      <c r="I4861" s="1">
        <v>4.1</v>
      </c>
      <c r="J4861" s="1">
        <v>0.238872</v>
      </c>
    </row>
    <row r="4862">
      <c r="A4862" s="1">
        <v>2025.0</v>
      </c>
      <c r="B4862" s="1" t="s">
        <v>436</v>
      </c>
      <c r="C4862" s="1">
        <v>547184.0</v>
      </c>
      <c r="D4862" s="1" t="s">
        <v>533</v>
      </c>
      <c r="E4862" s="1" t="s">
        <v>927</v>
      </c>
      <c r="F4862" s="1" t="s">
        <v>926</v>
      </c>
      <c r="G4862" s="1">
        <v>35.0</v>
      </c>
      <c r="H4862" s="1">
        <v>2.116361789</v>
      </c>
      <c r="I4862" s="1">
        <v>5.55</v>
      </c>
      <c r="J4862" s="1">
        <v>0.406406</v>
      </c>
    </row>
    <row r="4863">
      <c r="A4863" s="1">
        <v>2025.0</v>
      </c>
      <c r="B4863" s="1" t="s">
        <v>436</v>
      </c>
      <c r="C4863" s="1">
        <v>547184.0</v>
      </c>
      <c r="D4863" s="1" t="s">
        <v>539</v>
      </c>
      <c r="E4863" s="1" t="s">
        <v>927</v>
      </c>
      <c r="F4863" s="1" t="s">
        <v>926</v>
      </c>
      <c r="G4863" s="1">
        <v>125.0</v>
      </c>
      <c r="H4863" s="1">
        <v>7.558434959</v>
      </c>
      <c r="I4863" s="1">
        <v>5.28</v>
      </c>
      <c r="J4863" s="1">
        <v>1.998116</v>
      </c>
    </row>
    <row r="4864">
      <c r="A4864" s="1">
        <v>2025.0</v>
      </c>
      <c r="B4864" s="1" t="s">
        <v>436</v>
      </c>
      <c r="C4864" s="1">
        <v>547184.0</v>
      </c>
      <c r="D4864" s="1" t="s">
        <v>540</v>
      </c>
      <c r="E4864" s="1" t="s">
        <v>927</v>
      </c>
      <c r="F4864" s="1" t="s">
        <v>927</v>
      </c>
      <c r="G4864" s="1">
        <v>2.0</v>
      </c>
      <c r="H4864" s="1">
        <v>0.120934959</v>
      </c>
      <c r="I4864" s="1">
        <v>4.97</v>
      </c>
      <c r="J4864" s="1">
        <v>0.051122</v>
      </c>
    </row>
    <row r="4865">
      <c r="A4865" s="1">
        <v>2025.0</v>
      </c>
      <c r="B4865" s="1" t="s">
        <v>436</v>
      </c>
      <c r="C4865" s="1">
        <v>547184.0</v>
      </c>
      <c r="D4865" s="1" t="s">
        <v>537</v>
      </c>
      <c r="E4865" s="1" t="s">
        <v>927</v>
      </c>
      <c r="F4865" s="1" t="s">
        <v>927</v>
      </c>
      <c r="G4865" s="1">
        <v>103.0</v>
      </c>
      <c r="H4865" s="1">
        <v>6.228150407</v>
      </c>
      <c r="I4865" s="1">
        <v>4.56</v>
      </c>
      <c r="J4865" s="1">
        <v>3.221547</v>
      </c>
    </row>
    <row r="4866">
      <c r="A4866" s="1">
        <v>2025.0</v>
      </c>
      <c r="B4866" s="1" t="s">
        <v>436</v>
      </c>
      <c r="C4866" s="1">
        <v>547184.0</v>
      </c>
      <c r="D4866" s="1" t="s">
        <v>536</v>
      </c>
      <c r="E4866" s="1" t="s">
        <v>927</v>
      </c>
      <c r="F4866" s="1" t="s">
        <v>927</v>
      </c>
      <c r="G4866" s="1">
        <v>24.0</v>
      </c>
      <c r="H4866" s="1">
        <v>1.451219512</v>
      </c>
      <c r="I4866" s="1">
        <v>4.16</v>
      </c>
      <c r="J4866" s="1">
        <v>0.964779</v>
      </c>
    </row>
    <row r="4867">
      <c r="A4867" s="1">
        <v>2025.0</v>
      </c>
      <c r="B4867" s="1" t="s">
        <v>436</v>
      </c>
      <c r="C4867" s="1">
        <v>547184.0</v>
      </c>
      <c r="D4867" s="1" t="s">
        <v>533</v>
      </c>
      <c r="E4867" s="1" t="s">
        <v>927</v>
      </c>
      <c r="F4867" s="1" t="s">
        <v>927</v>
      </c>
      <c r="G4867" s="1">
        <v>49.0</v>
      </c>
      <c r="H4867" s="1">
        <v>2.962906504</v>
      </c>
      <c r="I4867" s="1">
        <v>5.02</v>
      </c>
      <c r="J4867" s="1">
        <v>1.113063</v>
      </c>
    </row>
    <row r="4868">
      <c r="A4868" s="1">
        <v>2025.0</v>
      </c>
      <c r="B4868" s="1" t="s">
        <v>436</v>
      </c>
      <c r="C4868" s="1">
        <v>547184.0</v>
      </c>
      <c r="D4868" s="1" t="s">
        <v>539</v>
      </c>
      <c r="E4868" s="1" t="s">
        <v>927</v>
      </c>
      <c r="F4868" s="1" t="s">
        <v>927</v>
      </c>
      <c r="G4868" s="1">
        <v>199.0</v>
      </c>
      <c r="H4868" s="1">
        <v>12.03302846</v>
      </c>
      <c r="I4868" s="1">
        <v>5.16</v>
      </c>
      <c r="J4868" s="1">
        <v>3.60256</v>
      </c>
    </row>
    <row r="4869">
      <c r="A4869" s="1">
        <v>2025.0</v>
      </c>
      <c r="B4869" s="1" t="s">
        <v>207</v>
      </c>
      <c r="C4869" s="1">
        <v>650633.0</v>
      </c>
      <c r="D4869" s="1" t="s">
        <v>532</v>
      </c>
      <c r="E4869" s="1" t="s">
        <v>927</v>
      </c>
      <c r="F4869" s="1" t="s">
        <v>926</v>
      </c>
      <c r="G4869" s="1">
        <v>219.0</v>
      </c>
      <c r="H4869" s="1">
        <v>13.17473339</v>
      </c>
      <c r="I4869" s="1">
        <v>4.87</v>
      </c>
      <c r="J4869" s="1">
        <v>5.354442</v>
      </c>
    </row>
    <row r="4870">
      <c r="A4870" s="1">
        <v>2025.0</v>
      </c>
      <c r="B4870" s="1" t="s">
        <v>207</v>
      </c>
      <c r="C4870" s="1">
        <v>650633.0</v>
      </c>
      <c r="D4870" s="1" t="s">
        <v>537</v>
      </c>
      <c r="E4870" s="1" t="s">
        <v>927</v>
      </c>
      <c r="F4870" s="1" t="s">
        <v>926</v>
      </c>
      <c r="G4870" s="1">
        <v>200.0</v>
      </c>
      <c r="H4870" s="1">
        <v>12.03171999</v>
      </c>
      <c r="I4870" s="1">
        <v>5.11</v>
      </c>
      <c r="J4870" s="1">
        <v>4.102357</v>
      </c>
    </row>
    <row r="4871">
      <c r="A4871" s="1">
        <v>2025.0</v>
      </c>
      <c r="B4871" s="1" t="s">
        <v>207</v>
      </c>
      <c r="C4871" s="1">
        <v>650633.0</v>
      </c>
      <c r="D4871" s="1" t="s">
        <v>536</v>
      </c>
      <c r="E4871" s="1" t="s">
        <v>927</v>
      </c>
      <c r="F4871" s="1" t="s">
        <v>926</v>
      </c>
      <c r="G4871" s="1">
        <v>158.0</v>
      </c>
      <c r="H4871" s="1">
        <v>9.505058791</v>
      </c>
      <c r="I4871" s="1">
        <v>5.04</v>
      </c>
      <c r="J4871" s="1">
        <v>3.347589</v>
      </c>
    </row>
    <row r="4872">
      <c r="A4872" s="1">
        <v>2025.0</v>
      </c>
      <c r="B4872" s="1" t="s">
        <v>207</v>
      </c>
      <c r="C4872" s="1">
        <v>650633.0</v>
      </c>
      <c r="D4872" s="1" t="s">
        <v>533</v>
      </c>
      <c r="E4872" s="1" t="s">
        <v>927</v>
      </c>
      <c r="F4872" s="1" t="s">
        <v>926</v>
      </c>
      <c r="G4872" s="1">
        <v>12.0</v>
      </c>
      <c r="H4872" s="1">
        <v>0.721903199</v>
      </c>
      <c r="I4872" s="1">
        <v>4.44</v>
      </c>
      <c r="J4872" s="1">
        <v>0.386494</v>
      </c>
    </row>
    <row r="4873">
      <c r="A4873" s="1">
        <v>2025.0</v>
      </c>
      <c r="B4873" s="1" t="s">
        <v>207</v>
      </c>
      <c r="C4873" s="1">
        <v>650633.0</v>
      </c>
      <c r="D4873" s="1" t="s">
        <v>539</v>
      </c>
      <c r="E4873" s="1" t="s">
        <v>927</v>
      </c>
      <c r="F4873" s="1" t="s">
        <v>926</v>
      </c>
      <c r="G4873" s="1">
        <v>98.0</v>
      </c>
      <c r="H4873" s="1">
        <v>5.895542795</v>
      </c>
      <c r="I4873" s="1">
        <v>4.87</v>
      </c>
      <c r="J4873" s="1">
        <v>2.355674</v>
      </c>
    </row>
    <row r="4874">
      <c r="A4874" s="1">
        <v>2025.0</v>
      </c>
      <c r="B4874" s="1" t="s">
        <v>207</v>
      </c>
      <c r="C4874" s="1">
        <v>650633.0</v>
      </c>
      <c r="D4874" s="1" t="s">
        <v>532</v>
      </c>
      <c r="E4874" s="1" t="s">
        <v>927</v>
      </c>
      <c r="F4874" s="1" t="s">
        <v>927</v>
      </c>
      <c r="G4874" s="1">
        <v>42.0</v>
      </c>
      <c r="H4874" s="1">
        <v>2.526661198</v>
      </c>
      <c r="I4874" s="1">
        <v>5.72</v>
      </c>
      <c r="J4874" s="1">
        <v>0.28319</v>
      </c>
    </row>
    <row r="4875">
      <c r="A4875" s="1">
        <v>2025.0</v>
      </c>
      <c r="B4875" s="1" t="s">
        <v>207</v>
      </c>
      <c r="C4875" s="1">
        <v>650633.0</v>
      </c>
      <c r="D4875" s="1" t="s">
        <v>537</v>
      </c>
      <c r="E4875" s="1" t="s">
        <v>927</v>
      </c>
      <c r="F4875" s="1" t="s">
        <v>927</v>
      </c>
      <c r="G4875" s="1">
        <v>97.0</v>
      </c>
      <c r="H4875" s="1">
        <v>5.835384195</v>
      </c>
      <c r="I4875" s="1">
        <v>5.22</v>
      </c>
      <c r="J4875" s="1">
        <v>1.75508</v>
      </c>
    </row>
    <row r="4876">
      <c r="A4876" s="1">
        <v>2025.0</v>
      </c>
      <c r="B4876" s="1" t="s">
        <v>207</v>
      </c>
      <c r="C4876" s="1">
        <v>650633.0</v>
      </c>
      <c r="D4876" s="1" t="s">
        <v>536</v>
      </c>
      <c r="E4876" s="1" t="s">
        <v>927</v>
      </c>
      <c r="F4876" s="1" t="s">
        <v>927</v>
      </c>
      <c r="G4876" s="1">
        <v>202.0</v>
      </c>
      <c r="H4876" s="1">
        <v>12.15203719</v>
      </c>
      <c r="I4876" s="1">
        <v>5.43</v>
      </c>
      <c r="J4876" s="1">
        <v>2.768376</v>
      </c>
    </row>
    <row r="4877">
      <c r="A4877" s="1">
        <v>2025.0</v>
      </c>
      <c r="B4877" s="1" t="s">
        <v>207</v>
      </c>
      <c r="C4877" s="1">
        <v>650633.0</v>
      </c>
      <c r="D4877" s="1" t="s">
        <v>533</v>
      </c>
      <c r="E4877" s="1" t="s">
        <v>927</v>
      </c>
      <c r="F4877" s="1" t="s">
        <v>927</v>
      </c>
      <c r="G4877" s="1">
        <v>60.0</v>
      </c>
      <c r="H4877" s="1">
        <v>3.609515997</v>
      </c>
      <c r="I4877" s="1">
        <v>5.02</v>
      </c>
      <c r="J4877" s="1">
        <v>1.351631</v>
      </c>
    </row>
    <row r="4878">
      <c r="A4878" s="1">
        <v>2025.0</v>
      </c>
      <c r="B4878" s="1" t="s">
        <v>207</v>
      </c>
      <c r="C4878" s="1">
        <v>650633.0</v>
      </c>
      <c r="D4878" s="1" t="s">
        <v>539</v>
      </c>
      <c r="E4878" s="1" t="s">
        <v>927</v>
      </c>
      <c r="F4878" s="1" t="s">
        <v>927</v>
      </c>
      <c r="G4878" s="1">
        <v>131.0</v>
      </c>
      <c r="H4878" s="1">
        <v>7.880776593</v>
      </c>
      <c r="I4878" s="1">
        <v>5.21</v>
      </c>
      <c r="J4878" s="1">
        <v>2.274653</v>
      </c>
    </row>
    <row r="4879">
      <c r="A4879" s="1">
        <v>2025.0</v>
      </c>
      <c r="B4879" s="1" t="s">
        <v>870</v>
      </c>
      <c r="C4879" s="1">
        <v>656629.0</v>
      </c>
      <c r="D4879" s="1" t="s">
        <v>532</v>
      </c>
      <c r="E4879" s="1" t="s">
        <v>927</v>
      </c>
      <c r="F4879" s="1" t="s">
        <v>926</v>
      </c>
      <c r="G4879" s="1">
        <v>2.0</v>
      </c>
      <c r="H4879" s="1">
        <v>0.095238095</v>
      </c>
      <c r="I4879" s="1">
        <v>5.04</v>
      </c>
      <c r="J4879" s="1">
        <v>0.045911</v>
      </c>
    </row>
    <row r="4880">
      <c r="A4880" s="1">
        <v>2025.0</v>
      </c>
      <c r="B4880" s="1" t="s">
        <v>870</v>
      </c>
      <c r="C4880" s="1">
        <v>656629.0</v>
      </c>
      <c r="D4880" s="1" t="s">
        <v>540</v>
      </c>
      <c r="E4880" s="1" t="s">
        <v>927</v>
      </c>
      <c r="F4880" s="1" t="s">
        <v>926</v>
      </c>
      <c r="G4880" s="1">
        <v>11.0</v>
      </c>
      <c r="H4880" s="1">
        <v>0.523809524</v>
      </c>
      <c r="I4880" s="1">
        <v>4.64</v>
      </c>
      <c r="J4880" s="1">
        <v>0.320475</v>
      </c>
    </row>
    <row r="4881">
      <c r="A4881" s="1">
        <v>2025.0</v>
      </c>
      <c r="B4881" s="1" t="s">
        <v>870</v>
      </c>
      <c r="C4881" s="1">
        <v>656629.0</v>
      </c>
      <c r="D4881" s="1" t="s">
        <v>537</v>
      </c>
      <c r="E4881" s="1" t="s">
        <v>927</v>
      </c>
      <c r="F4881" s="1" t="s">
        <v>926</v>
      </c>
      <c r="G4881" s="1">
        <v>94.0</v>
      </c>
      <c r="H4881" s="1">
        <v>4.476190476</v>
      </c>
      <c r="I4881" s="1">
        <v>4.61</v>
      </c>
      <c r="J4881" s="1">
        <v>2.85725</v>
      </c>
    </row>
    <row r="4882">
      <c r="A4882" s="1">
        <v>2025.0</v>
      </c>
      <c r="B4882" s="1" t="s">
        <v>870</v>
      </c>
      <c r="C4882" s="1">
        <v>656629.0</v>
      </c>
      <c r="D4882" s="1" t="s">
        <v>540</v>
      </c>
      <c r="E4882" s="1" t="s">
        <v>927</v>
      </c>
      <c r="F4882" s="1" t="s">
        <v>927</v>
      </c>
      <c r="G4882" s="1">
        <v>24.0</v>
      </c>
      <c r="H4882" s="1">
        <v>1.142857143</v>
      </c>
      <c r="I4882" s="1">
        <v>4.92</v>
      </c>
      <c r="J4882" s="1">
        <v>0.559795</v>
      </c>
    </row>
    <row r="4883">
      <c r="A4883" s="1">
        <v>2025.0</v>
      </c>
      <c r="B4883" s="1" t="s">
        <v>870</v>
      </c>
      <c r="C4883" s="1">
        <v>656629.0</v>
      </c>
      <c r="D4883" s="1" t="s">
        <v>537</v>
      </c>
      <c r="E4883" s="1" t="s">
        <v>927</v>
      </c>
      <c r="F4883" s="1" t="s">
        <v>927</v>
      </c>
      <c r="G4883" s="1">
        <v>97.0</v>
      </c>
      <c r="H4883" s="1">
        <v>4.619047619</v>
      </c>
      <c r="I4883" s="1">
        <v>4.74</v>
      </c>
      <c r="J4883" s="1">
        <v>2.597649</v>
      </c>
    </row>
    <row r="4884">
      <c r="A4884" s="1">
        <v>2025.0</v>
      </c>
      <c r="B4884" s="1" t="s">
        <v>870</v>
      </c>
      <c r="C4884" s="1">
        <v>656629.0</v>
      </c>
      <c r="D4884" s="1" t="s">
        <v>533</v>
      </c>
      <c r="E4884" s="1" t="s">
        <v>927</v>
      </c>
      <c r="F4884" s="1" t="s">
        <v>927</v>
      </c>
      <c r="G4884" s="1">
        <v>3.0</v>
      </c>
      <c r="H4884" s="1">
        <v>0.142857143</v>
      </c>
      <c r="I4884" s="1">
        <v>6.41</v>
      </c>
      <c r="J4884" s="1">
        <v>-0.029494</v>
      </c>
    </row>
    <row r="4885">
      <c r="A4885" s="1">
        <v>2025.0</v>
      </c>
      <c r="B4885" s="1" t="s">
        <v>420</v>
      </c>
      <c r="C4885" s="1">
        <v>547179.0</v>
      </c>
      <c r="D4885" s="1" t="s">
        <v>532</v>
      </c>
      <c r="E4885" s="1" t="s">
        <v>927</v>
      </c>
      <c r="F4885" s="1" t="s">
        <v>926</v>
      </c>
      <c r="G4885" s="1">
        <v>288.0</v>
      </c>
      <c r="H4885" s="1">
        <v>17.6013805</v>
      </c>
      <c r="I4885" s="1">
        <v>4.6</v>
      </c>
      <c r="J4885" s="1">
        <v>8.698533</v>
      </c>
    </row>
    <row r="4886">
      <c r="A4886" s="1">
        <v>2025.0</v>
      </c>
      <c r="B4886" s="1" t="s">
        <v>420</v>
      </c>
      <c r="C4886" s="1">
        <v>547179.0</v>
      </c>
      <c r="D4886" s="1" t="s">
        <v>541</v>
      </c>
      <c r="E4886" s="1" t="s">
        <v>927</v>
      </c>
      <c r="F4886" s="1" t="s">
        <v>926</v>
      </c>
      <c r="G4886" s="1">
        <v>192.0</v>
      </c>
      <c r="H4886" s="1">
        <v>11.73425367</v>
      </c>
      <c r="I4886" s="1">
        <v>4.83</v>
      </c>
      <c r="J4886" s="1">
        <v>4.932796</v>
      </c>
    </row>
    <row r="4887">
      <c r="A4887" s="1">
        <v>2025.0</v>
      </c>
      <c r="B4887" s="1" t="s">
        <v>420</v>
      </c>
      <c r="C4887" s="1">
        <v>547179.0</v>
      </c>
      <c r="D4887" s="1" t="s">
        <v>540</v>
      </c>
      <c r="E4887" s="1" t="s">
        <v>927</v>
      </c>
      <c r="F4887" s="1" t="s">
        <v>926</v>
      </c>
      <c r="G4887" s="1">
        <v>137.0</v>
      </c>
      <c r="H4887" s="1">
        <v>8.372878919</v>
      </c>
      <c r="I4887" s="1">
        <v>5.22</v>
      </c>
      <c r="J4887" s="1">
        <v>2.536043</v>
      </c>
    </row>
    <row r="4888">
      <c r="A4888" s="1">
        <v>2025.0</v>
      </c>
      <c r="B4888" s="1" t="s">
        <v>420</v>
      </c>
      <c r="C4888" s="1">
        <v>547179.0</v>
      </c>
      <c r="D4888" s="1" t="s">
        <v>537</v>
      </c>
      <c r="E4888" s="1" t="s">
        <v>927</v>
      </c>
      <c r="F4888" s="1" t="s">
        <v>926</v>
      </c>
      <c r="G4888" s="1">
        <v>313.0</v>
      </c>
      <c r="H4888" s="1">
        <v>19.12927811</v>
      </c>
      <c r="I4888" s="1">
        <v>4.89</v>
      </c>
      <c r="J4888" s="1">
        <v>7.916092</v>
      </c>
    </row>
    <row r="4889">
      <c r="A4889" s="1">
        <v>2025.0</v>
      </c>
      <c r="B4889" s="1" t="s">
        <v>420</v>
      </c>
      <c r="C4889" s="1">
        <v>547179.0</v>
      </c>
      <c r="D4889" s="1" t="s">
        <v>536</v>
      </c>
      <c r="E4889" s="1" t="s">
        <v>927</v>
      </c>
      <c r="F4889" s="1" t="s">
        <v>926</v>
      </c>
      <c r="G4889" s="1">
        <v>137.0</v>
      </c>
      <c r="H4889" s="1">
        <v>8.372878919</v>
      </c>
      <c r="I4889" s="1">
        <v>4.6</v>
      </c>
      <c r="J4889" s="1">
        <v>4.149963</v>
      </c>
    </row>
    <row r="4890">
      <c r="A4890" s="1">
        <v>2025.0</v>
      </c>
      <c r="B4890" s="1" t="s">
        <v>420</v>
      </c>
      <c r="C4890" s="1">
        <v>547179.0</v>
      </c>
      <c r="D4890" s="1" t="s">
        <v>533</v>
      </c>
      <c r="E4890" s="1" t="s">
        <v>927</v>
      </c>
      <c r="F4890" s="1" t="s">
        <v>926</v>
      </c>
      <c r="G4890" s="1">
        <v>82.0</v>
      </c>
      <c r="H4890" s="1">
        <v>5.01150417</v>
      </c>
      <c r="I4890" s="1">
        <v>5.46</v>
      </c>
      <c r="J4890" s="1">
        <v>1.036002</v>
      </c>
    </row>
    <row r="4891">
      <c r="A4891" s="1">
        <v>2025.0</v>
      </c>
      <c r="B4891" s="1" t="s">
        <v>420</v>
      </c>
      <c r="C4891" s="1">
        <v>547179.0</v>
      </c>
      <c r="D4891" s="1" t="s">
        <v>539</v>
      </c>
      <c r="E4891" s="1" t="s">
        <v>927</v>
      </c>
      <c r="F4891" s="1" t="s">
        <v>926</v>
      </c>
      <c r="G4891" s="1">
        <v>37.0</v>
      </c>
      <c r="H4891" s="1">
        <v>2.261288467</v>
      </c>
      <c r="I4891" s="1">
        <v>4.83</v>
      </c>
      <c r="J4891" s="1">
        <v>0.93191</v>
      </c>
    </row>
    <row r="4892">
      <c r="A4892" s="1">
        <v>2025.0</v>
      </c>
      <c r="B4892" s="1" t="s">
        <v>420</v>
      </c>
      <c r="C4892" s="1">
        <v>547179.0</v>
      </c>
      <c r="D4892" s="1" t="s">
        <v>532</v>
      </c>
      <c r="E4892" s="1" t="s">
        <v>927</v>
      </c>
      <c r="F4892" s="1" t="s">
        <v>927</v>
      </c>
      <c r="G4892" s="1">
        <v>113.0</v>
      </c>
      <c r="H4892" s="1">
        <v>6.90609721</v>
      </c>
      <c r="I4892" s="1">
        <v>4.61</v>
      </c>
      <c r="J4892" s="1">
        <v>3.316806</v>
      </c>
    </row>
    <row r="4893">
      <c r="A4893" s="1">
        <v>2025.0</v>
      </c>
      <c r="B4893" s="1" t="s">
        <v>420</v>
      </c>
      <c r="C4893" s="1">
        <v>547179.0</v>
      </c>
      <c r="D4893" s="1" t="s">
        <v>541</v>
      </c>
      <c r="E4893" s="1" t="s">
        <v>927</v>
      </c>
      <c r="F4893" s="1" t="s">
        <v>927</v>
      </c>
      <c r="G4893" s="1">
        <v>69.0</v>
      </c>
      <c r="H4893" s="1">
        <v>4.216997412</v>
      </c>
      <c r="I4893" s="1">
        <v>4.3</v>
      </c>
      <c r="J4893" s="1">
        <v>2.491807</v>
      </c>
    </row>
    <row r="4894">
      <c r="A4894" s="1">
        <v>2025.0</v>
      </c>
      <c r="B4894" s="1" t="s">
        <v>420</v>
      </c>
      <c r="C4894" s="1">
        <v>547179.0</v>
      </c>
      <c r="D4894" s="1" t="s">
        <v>540</v>
      </c>
      <c r="E4894" s="1" t="s">
        <v>927</v>
      </c>
      <c r="F4894" s="1" t="s">
        <v>927</v>
      </c>
      <c r="G4894" s="1">
        <v>114.0</v>
      </c>
      <c r="H4894" s="1">
        <v>6.967213115</v>
      </c>
      <c r="I4894" s="1">
        <v>5.28</v>
      </c>
      <c r="J4894" s="1">
        <v>1.973258</v>
      </c>
    </row>
    <row r="4895">
      <c r="A4895" s="1">
        <v>2025.0</v>
      </c>
      <c r="B4895" s="1" t="s">
        <v>420</v>
      </c>
      <c r="C4895" s="1">
        <v>547179.0</v>
      </c>
      <c r="D4895" s="1" t="s">
        <v>537</v>
      </c>
      <c r="E4895" s="1" t="s">
        <v>927</v>
      </c>
      <c r="F4895" s="1" t="s">
        <v>927</v>
      </c>
      <c r="G4895" s="1">
        <v>192.0</v>
      </c>
      <c r="H4895" s="1">
        <v>11.73425367</v>
      </c>
      <c r="I4895" s="1">
        <v>4.91</v>
      </c>
      <c r="J4895" s="1">
        <v>4.663505</v>
      </c>
    </row>
    <row r="4896">
      <c r="A4896" s="1">
        <v>2025.0</v>
      </c>
      <c r="B4896" s="1" t="s">
        <v>420</v>
      </c>
      <c r="C4896" s="1">
        <v>547179.0</v>
      </c>
      <c r="D4896" s="1" t="s">
        <v>536</v>
      </c>
      <c r="E4896" s="1" t="s">
        <v>927</v>
      </c>
      <c r="F4896" s="1" t="s">
        <v>927</v>
      </c>
      <c r="G4896" s="1">
        <v>289.0</v>
      </c>
      <c r="H4896" s="1">
        <v>17.6624964</v>
      </c>
      <c r="I4896" s="1">
        <v>5.0</v>
      </c>
      <c r="J4896" s="1">
        <v>6.447482</v>
      </c>
    </row>
    <row r="4897">
      <c r="A4897" s="1">
        <v>2025.0</v>
      </c>
      <c r="B4897" s="1" t="s">
        <v>420</v>
      </c>
      <c r="C4897" s="1">
        <v>547179.0</v>
      </c>
      <c r="D4897" s="1" t="s">
        <v>533</v>
      </c>
      <c r="E4897" s="1" t="s">
        <v>927</v>
      </c>
      <c r="F4897" s="1" t="s">
        <v>927</v>
      </c>
      <c r="G4897" s="1">
        <v>171.0</v>
      </c>
      <c r="H4897" s="1">
        <v>10.45081967</v>
      </c>
      <c r="I4897" s="1">
        <v>5.31</v>
      </c>
      <c r="J4897" s="1">
        <v>2.825517</v>
      </c>
    </row>
    <row r="4898">
      <c r="A4898" s="1">
        <v>2025.0</v>
      </c>
      <c r="B4898" s="1" t="s">
        <v>420</v>
      </c>
      <c r="C4898" s="1">
        <v>547179.0</v>
      </c>
      <c r="D4898" s="1" t="s">
        <v>539</v>
      </c>
      <c r="E4898" s="1" t="s">
        <v>927</v>
      </c>
      <c r="F4898" s="1" t="s">
        <v>927</v>
      </c>
      <c r="G4898" s="1">
        <v>184.0</v>
      </c>
      <c r="H4898" s="1">
        <v>11.24532643</v>
      </c>
      <c r="I4898" s="1">
        <v>5.01</v>
      </c>
      <c r="J4898" s="1">
        <v>3.967391</v>
      </c>
    </row>
    <row r="4899">
      <c r="A4899" s="1">
        <v>2025.0</v>
      </c>
      <c r="B4899" s="1" t="s">
        <v>145</v>
      </c>
      <c r="C4899" s="1">
        <v>700241.0</v>
      </c>
      <c r="D4899" s="1" t="s">
        <v>532</v>
      </c>
      <c r="E4899" s="1" t="s">
        <v>927</v>
      </c>
      <c r="F4899" s="1" t="s">
        <v>926</v>
      </c>
      <c r="G4899" s="1">
        <v>142.0</v>
      </c>
      <c r="H4899" s="1">
        <v>9.272810011</v>
      </c>
      <c r="I4899" s="1">
        <v>5.02</v>
      </c>
      <c r="J4899" s="1">
        <v>2.975548</v>
      </c>
    </row>
    <row r="4900">
      <c r="A4900" s="1">
        <v>2025.0</v>
      </c>
      <c r="B4900" s="1" t="s">
        <v>145</v>
      </c>
      <c r="C4900" s="1">
        <v>700241.0</v>
      </c>
      <c r="D4900" s="1" t="s">
        <v>541</v>
      </c>
      <c r="E4900" s="1" t="s">
        <v>927</v>
      </c>
      <c r="F4900" s="1" t="s">
        <v>926</v>
      </c>
      <c r="G4900" s="1">
        <v>113.0</v>
      </c>
      <c r="H4900" s="1">
        <v>7.379067122</v>
      </c>
      <c r="I4900" s="1">
        <v>4.89</v>
      </c>
      <c r="J4900" s="1">
        <v>2.676768</v>
      </c>
    </row>
    <row r="4901">
      <c r="A4901" s="1">
        <v>2025.0</v>
      </c>
      <c r="B4901" s="1" t="s">
        <v>145</v>
      </c>
      <c r="C4901" s="1">
        <v>700241.0</v>
      </c>
      <c r="D4901" s="1" t="s">
        <v>540</v>
      </c>
      <c r="E4901" s="1" t="s">
        <v>927</v>
      </c>
      <c r="F4901" s="1" t="s">
        <v>926</v>
      </c>
      <c r="G4901" s="1">
        <v>127.0</v>
      </c>
      <c r="H4901" s="1">
        <v>8.293287827</v>
      </c>
      <c r="I4901" s="1">
        <v>5.64</v>
      </c>
      <c r="J4901" s="1">
        <v>1.241416</v>
      </c>
    </row>
    <row r="4902">
      <c r="A4902" s="1">
        <v>2025.0</v>
      </c>
      <c r="B4902" s="1" t="s">
        <v>145</v>
      </c>
      <c r="C4902" s="1">
        <v>700241.0</v>
      </c>
      <c r="D4902" s="1" t="s">
        <v>537</v>
      </c>
      <c r="E4902" s="1" t="s">
        <v>927</v>
      </c>
      <c r="F4902" s="1" t="s">
        <v>926</v>
      </c>
      <c r="G4902" s="1">
        <v>276.0</v>
      </c>
      <c r="H4902" s="1">
        <v>18.02320819</v>
      </c>
      <c r="I4902" s="1">
        <v>4.73</v>
      </c>
      <c r="J4902" s="1">
        <v>7.712741</v>
      </c>
    </row>
    <row r="4903">
      <c r="A4903" s="1">
        <v>2025.0</v>
      </c>
      <c r="B4903" s="1" t="s">
        <v>145</v>
      </c>
      <c r="C4903" s="1">
        <v>700241.0</v>
      </c>
      <c r="D4903" s="1" t="s">
        <v>536</v>
      </c>
      <c r="E4903" s="1" t="s">
        <v>927</v>
      </c>
      <c r="F4903" s="1" t="s">
        <v>926</v>
      </c>
      <c r="G4903" s="1">
        <v>20.0</v>
      </c>
      <c r="H4903" s="1">
        <v>1.306029579</v>
      </c>
      <c r="I4903" s="1">
        <v>4.9</v>
      </c>
      <c r="J4903" s="1">
        <v>0.510398</v>
      </c>
    </row>
    <row r="4904">
      <c r="A4904" s="1">
        <v>2025.0</v>
      </c>
      <c r="B4904" s="1" t="s">
        <v>145</v>
      </c>
      <c r="C4904" s="1">
        <v>700241.0</v>
      </c>
      <c r="D4904" s="1" t="s">
        <v>533</v>
      </c>
      <c r="E4904" s="1" t="s">
        <v>927</v>
      </c>
      <c r="F4904" s="1" t="s">
        <v>926</v>
      </c>
      <c r="G4904" s="1">
        <v>14.0</v>
      </c>
      <c r="H4904" s="1">
        <v>0.914220705</v>
      </c>
      <c r="I4904" s="1">
        <v>5.11</v>
      </c>
      <c r="J4904" s="1">
        <v>0.260683</v>
      </c>
    </row>
    <row r="4905">
      <c r="A4905" s="1">
        <v>2025.0</v>
      </c>
      <c r="B4905" s="1" t="s">
        <v>145</v>
      </c>
      <c r="C4905" s="1">
        <v>700241.0</v>
      </c>
      <c r="D4905" s="1" t="s">
        <v>539</v>
      </c>
      <c r="E4905" s="1" t="s">
        <v>927</v>
      </c>
      <c r="F4905" s="1" t="s">
        <v>926</v>
      </c>
      <c r="G4905" s="1">
        <v>39.0</v>
      </c>
      <c r="H4905" s="1">
        <v>2.546757679</v>
      </c>
      <c r="I4905" s="1">
        <v>5.12</v>
      </c>
      <c r="J4905" s="1">
        <v>0.731838</v>
      </c>
    </row>
    <row r="4906">
      <c r="A4906" s="1">
        <v>2025.0</v>
      </c>
      <c r="B4906" s="1" t="s">
        <v>145</v>
      </c>
      <c r="C4906" s="1">
        <v>700241.0</v>
      </c>
      <c r="D4906" s="1" t="s">
        <v>532</v>
      </c>
      <c r="E4906" s="1" t="s">
        <v>927</v>
      </c>
      <c r="F4906" s="1" t="s">
        <v>927</v>
      </c>
      <c r="G4906" s="1">
        <v>9.0</v>
      </c>
      <c r="H4906" s="1">
        <v>0.587713311</v>
      </c>
      <c r="I4906" s="1">
        <v>4.61</v>
      </c>
      <c r="J4906" s="1">
        <v>0.270707</v>
      </c>
    </row>
    <row r="4907">
      <c r="A4907" s="1">
        <v>2025.0</v>
      </c>
      <c r="B4907" s="1" t="s">
        <v>145</v>
      </c>
      <c r="C4907" s="1">
        <v>700241.0</v>
      </c>
      <c r="D4907" s="1" t="s">
        <v>541</v>
      </c>
      <c r="E4907" s="1" t="s">
        <v>927</v>
      </c>
      <c r="F4907" s="1" t="s">
        <v>927</v>
      </c>
      <c r="G4907" s="1">
        <v>64.0</v>
      </c>
      <c r="H4907" s="1">
        <v>4.179294653</v>
      </c>
      <c r="I4907" s="1">
        <v>4.78</v>
      </c>
      <c r="J4907" s="1">
        <v>1.605622</v>
      </c>
    </row>
    <row r="4908">
      <c r="A4908" s="1">
        <v>2025.0</v>
      </c>
      <c r="B4908" s="1" t="s">
        <v>145</v>
      </c>
      <c r="C4908" s="1">
        <v>700241.0</v>
      </c>
      <c r="D4908" s="1" t="s">
        <v>540</v>
      </c>
      <c r="E4908" s="1" t="s">
        <v>927</v>
      </c>
      <c r="F4908" s="1" t="s">
        <v>927</v>
      </c>
      <c r="G4908" s="1">
        <v>17.0</v>
      </c>
      <c r="H4908" s="1">
        <v>1.110125142</v>
      </c>
      <c r="I4908" s="1">
        <v>5.65</v>
      </c>
      <c r="J4908" s="1">
        <v>0.181165</v>
      </c>
    </row>
    <row r="4909">
      <c r="A4909" s="1">
        <v>2025.0</v>
      </c>
      <c r="B4909" s="1" t="s">
        <v>145</v>
      </c>
      <c r="C4909" s="1">
        <v>700241.0</v>
      </c>
      <c r="D4909" s="1" t="s">
        <v>537</v>
      </c>
      <c r="E4909" s="1" t="s">
        <v>927</v>
      </c>
      <c r="F4909" s="1" t="s">
        <v>927</v>
      </c>
      <c r="G4909" s="1">
        <v>101.0</v>
      </c>
      <c r="H4909" s="1">
        <v>6.595449374</v>
      </c>
      <c r="I4909" s="1">
        <v>4.74</v>
      </c>
      <c r="J4909" s="1">
        <v>2.75114</v>
      </c>
    </row>
    <row r="4910">
      <c r="A4910" s="1">
        <v>2025.0</v>
      </c>
      <c r="B4910" s="1" t="s">
        <v>145</v>
      </c>
      <c r="C4910" s="1">
        <v>700241.0</v>
      </c>
      <c r="D4910" s="1" t="s">
        <v>536</v>
      </c>
      <c r="E4910" s="1" t="s">
        <v>927</v>
      </c>
      <c r="F4910" s="1" t="s">
        <v>927</v>
      </c>
      <c r="G4910" s="1">
        <v>297.0</v>
      </c>
      <c r="H4910" s="1">
        <v>19.39453925</v>
      </c>
      <c r="I4910" s="1">
        <v>5.34</v>
      </c>
      <c r="J4910" s="1">
        <v>4.69349</v>
      </c>
    </row>
    <row r="4911">
      <c r="A4911" s="1">
        <v>2025.0</v>
      </c>
      <c r="B4911" s="1" t="s">
        <v>145</v>
      </c>
      <c r="C4911" s="1">
        <v>700241.0</v>
      </c>
      <c r="D4911" s="1" t="s">
        <v>533</v>
      </c>
      <c r="E4911" s="1" t="s">
        <v>927</v>
      </c>
      <c r="F4911" s="1" t="s">
        <v>927</v>
      </c>
      <c r="G4911" s="1">
        <v>21.0</v>
      </c>
      <c r="H4911" s="1">
        <v>1.371331058</v>
      </c>
      <c r="I4911" s="1">
        <v>5.04</v>
      </c>
      <c r="J4911" s="1">
        <v>0.447318</v>
      </c>
    </row>
    <row r="4912">
      <c r="A4912" s="1">
        <v>2025.0</v>
      </c>
      <c r="B4912" s="1" t="s">
        <v>145</v>
      </c>
      <c r="C4912" s="1">
        <v>700241.0</v>
      </c>
      <c r="D4912" s="1" t="s">
        <v>539</v>
      </c>
      <c r="E4912" s="1" t="s">
        <v>927</v>
      </c>
      <c r="F4912" s="1" t="s">
        <v>927</v>
      </c>
      <c r="G4912" s="1">
        <v>225.0</v>
      </c>
      <c r="H4912" s="1">
        <v>14.69283276</v>
      </c>
      <c r="I4912" s="1">
        <v>5.25</v>
      </c>
      <c r="J4912" s="1">
        <v>3.690857</v>
      </c>
    </row>
    <row r="4913">
      <c r="A4913" s="1">
        <v>2025.0</v>
      </c>
      <c r="B4913" s="1" t="s">
        <v>873</v>
      </c>
      <c r="C4913" s="1">
        <v>675650.0</v>
      </c>
      <c r="D4913" s="1" t="s">
        <v>541</v>
      </c>
      <c r="E4913" s="1" t="s">
        <v>927</v>
      </c>
      <c r="F4913" s="1" t="s">
        <v>926</v>
      </c>
      <c r="G4913" s="1">
        <v>7.0</v>
      </c>
      <c r="H4913" s="1">
        <v>0.247058824</v>
      </c>
      <c r="I4913" s="1">
        <v>4.0</v>
      </c>
      <c r="J4913" s="1">
        <v>0.292286</v>
      </c>
    </row>
    <row r="4914">
      <c r="A4914" s="1">
        <v>2025.0</v>
      </c>
      <c r="B4914" s="1" t="s">
        <v>873</v>
      </c>
      <c r="C4914" s="1">
        <v>675650.0</v>
      </c>
      <c r="D4914" s="1" t="s">
        <v>540</v>
      </c>
      <c r="E4914" s="1" t="s">
        <v>927</v>
      </c>
      <c r="F4914" s="1" t="s">
        <v>926</v>
      </c>
      <c r="G4914" s="1">
        <v>6.0</v>
      </c>
      <c r="H4914" s="1">
        <v>0.211764706</v>
      </c>
      <c r="I4914" s="1">
        <v>5.34</v>
      </c>
      <c r="J4914" s="1">
        <v>0.090348</v>
      </c>
    </row>
    <row r="4915">
      <c r="A4915" s="1">
        <v>2025.0</v>
      </c>
      <c r="B4915" s="1" t="s">
        <v>873</v>
      </c>
      <c r="C4915" s="1">
        <v>675650.0</v>
      </c>
      <c r="D4915" s="1" t="s">
        <v>537</v>
      </c>
      <c r="E4915" s="1" t="s">
        <v>927</v>
      </c>
      <c r="F4915" s="1" t="s">
        <v>926</v>
      </c>
      <c r="G4915" s="1">
        <v>22.0</v>
      </c>
      <c r="H4915" s="1">
        <v>0.776470588</v>
      </c>
      <c r="I4915" s="1">
        <v>4.14</v>
      </c>
      <c r="J4915" s="1">
        <v>0.883067</v>
      </c>
    </row>
    <row r="4916">
      <c r="A4916" s="1">
        <v>2025.0</v>
      </c>
      <c r="B4916" s="1" t="s">
        <v>873</v>
      </c>
      <c r="C4916" s="1">
        <v>675650.0</v>
      </c>
      <c r="D4916" s="1" t="s">
        <v>538</v>
      </c>
      <c r="E4916" s="1" t="s">
        <v>927</v>
      </c>
      <c r="F4916" s="1" t="s">
        <v>926</v>
      </c>
      <c r="G4916" s="1">
        <v>4.0</v>
      </c>
      <c r="H4916" s="1">
        <v>0.141176471</v>
      </c>
      <c r="I4916" s="1">
        <v>3.74</v>
      </c>
      <c r="J4916" s="1">
        <v>0.184638</v>
      </c>
    </row>
    <row r="4917">
      <c r="A4917" s="1">
        <v>2025.0</v>
      </c>
      <c r="B4917" s="1" t="s">
        <v>873</v>
      </c>
      <c r="C4917" s="1">
        <v>675650.0</v>
      </c>
      <c r="D4917" s="1" t="s">
        <v>541</v>
      </c>
      <c r="E4917" s="1" t="s">
        <v>927</v>
      </c>
      <c r="F4917" s="1" t="s">
        <v>927</v>
      </c>
      <c r="G4917" s="1">
        <v>6.0</v>
      </c>
      <c r="H4917" s="1">
        <v>0.211764706</v>
      </c>
      <c r="I4917" s="1">
        <v>5.15</v>
      </c>
      <c r="J4917" s="1">
        <v>0.110108</v>
      </c>
    </row>
    <row r="4918">
      <c r="A4918" s="1">
        <v>2025.0</v>
      </c>
      <c r="B4918" s="1" t="s">
        <v>873</v>
      </c>
      <c r="C4918" s="1">
        <v>675650.0</v>
      </c>
      <c r="D4918" s="1" t="s">
        <v>540</v>
      </c>
      <c r="E4918" s="1" t="s">
        <v>927</v>
      </c>
      <c r="F4918" s="1" t="s">
        <v>927</v>
      </c>
      <c r="G4918" s="1">
        <v>15.0</v>
      </c>
      <c r="H4918" s="1">
        <v>0.529411765</v>
      </c>
      <c r="I4918" s="1">
        <v>4.97</v>
      </c>
      <c r="J4918" s="1">
        <v>0.323157</v>
      </c>
    </row>
    <row r="4919">
      <c r="A4919" s="1">
        <v>2025.0</v>
      </c>
      <c r="B4919" s="1" t="s">
        <v>873</v>
      </c>
      <c r="C4919" s="1">
        <v>675650.0</v>
      </c>
      <c r="D4919" s="1" t="s">
        <v>537</v>
      </c>
      <c r="E4919" s="1" t="s">
        <v>927</v>
      </c>
      <c r="F4919" s="1" t="s">
        <v>927</v>
      </c>
      <c r="G4919" s="1">
        <v>25.0</v>
      </c>
      <c r="H4919" s="1">
        <v>0.882352941</v>
      </c>
      <c r="I4919" s="1">
        <v>4.86</v>
      </c>
      <c r="J4919" s="1">
        <v>0.631012</v>
      </c>
    </row>
    <row r="4920">
      <c r="A4920" s="1">
        <v>2025.0</v>
      </c>
      <c r="B4920" s="1" t="s">
        <v>752</v>
      </c>
      <c r="C4920" s="1">
        <v>656848.0</v>
      </c>
      <c r="D4920" s="1" t="s">
        <v>532</v>
      </c>
      <c r="E4920" s="1" t="s">
        <v>927</v>
      </c>
      <c r="F4920" s="1" t="s">
        <v>926</v>
      </c>
      <c r="G4920" s="1">
        <v>1.0</v>
      </c>
      <c r="H4920" s="1">
        <v>0.055045872</v>
      </c>
      <c r="I4920" s="1">
        <v>2.86</v>
      </c>
      <c r="J4920" s="1">
        <v>0.062898</v>
      </c>
    </row>
    <row r="4921">
      <c r="A4921" s="1">
        <v>2025.0</v>
      </c>
      <c r="B4921" s="1" t="s">
        <v>752</v>
      </c>
      <c r="C4921" s="1">
        <v>656848.0</v>
      </c>
      <c r="D4921" s="1" t="s">
        <v>540</v>
      </c>
      <c r="E4921" s="1" t="s">
        <v>927</v>
      </c>
      <c r="F4921" s="1" t="s">
        <v>926</v>
      </c>
      <c r="G4921" s="1">
        <v>57.0</v>
      </c>
      <c r="H4921" s="1">
        <v>3.137614679</v>
      </c>
      <c r="I4921" s="1">
        <v>4.84</v>
      </c>
      <c r="J4921" s="1">
        <v>1.342382</v>
      </c>
    </row>
    <row r="4922">
      <c r="A4922" s="1">
        <v>2025.0</v>
      </c>
      <c r="B4922" s="1" t="s">
        <v>752</v>
      </c>
      <c r="C4922" s="1">
        <v>656848.0</v>
      </c>
      <c r="D4922" s="1" t="s">
        <v>537</v>
      </c>
      <c r="E4922" s="1" t="s">
        <v>927</v>
      </c>
      <c r="F4922" s="1" t="s">
        <v>926</v>
      </c>
      <c r="G4922" s="1">
        <v>100.0</v>
      </c>
      <c r="H4922" s="1">
        <v>5.504587156</v>
      </c>
      <c r="I4922" s="1">
        <v>5.52</v>
      </c>
      <c r="J4922" s="1">
        <v>1.096454</v>
      </c>
    </row>
    <row r="4923">
      <c r="A4923" s="1">
        <v>2025.0</v>
      </c>
      <c r="B4923" s="1" t="s">
        <v>752</v>
      </c>
      <c r="C4923" s="1">
        <v>656848.0</v>
      </c>
      <c r="D4923" s="1" t="s">
        <v>536</v>
      </c>
      <c r="E4923" s="1" t="s">
        <v>927</v>
      </c>
      <c r="F4923" s="1" t="s">
        <v>926</v>
      </c>
      <c r="G4923" s="1">
        <v>7.0</v>
      </c>
      <c r="H4923" s="1">
        <v>0.385321101</v>
      </c>
      <c r="I4923" s="1">
        <v>4.66</v>
      </c>
      <c r="J4923" s="1">
        <v>0.192055</v>
      </c>
    </row>
    <row r="4924">
      <c r="A4924" s="1">
        <v>2025.0</v>
      </c>
      <c r="B4924" s="1" t="s">
        <v>752</v>
      </c>
      <c r="C4924" s="1">
        <v>656848.0</v>
      </c>
      <c r="D4924" s="1" t="s">
        <v>540</v>
      </c>
      <c r="E4924" s="1" t="s">
        <v>927</v>
      </c>
      <c r="F4924" s="1" t="s">
        <v>927</v>
      </c>
      <c r="G4924" s="1">
        <v>78.0</v>
      </c>
      <c r="H4924" s="1">
        <v>4.293577982</v>
      </c>
      <c r="I4924" s="1">
        <v>4.71</v>
      </c>
      <c r="J4924" s="1">
        <v>2.049596</v>
      </c>
    </row>
    <row r="4925">
      <c r="A4925" s="1">
        <v>2025.0</v>
      </c>
      <c r="B4925" s="1" t="s">
        <v>752</v>
      </c>
      <c r="C4925" s="1">
        <v>656848.0</v>
      </c>
      <c r="D4925" s="1" t="s">
        <v>537</v>
      </c>
      <c r="E4925" s="1" t="s">
        <v>927</v>
      </c>
      <c r="F4925" s="1" t="s">
        <v>927</v>
      </c>
      <c r="G4925" s="1">
        <v>83.0</v>
      </c>
      <c r="H4925" s="1">
        <v>4.568807339</v>
      </c>
      <c r="I4925" s="1">
        <v>5.22</v>
      </c>
      <c r="J4925" s="1">
        <v>1.469374</v>
      </c>
    </row>
    <row r="4926">
      <c r="A4926" s="1">
        <v>2025.0</v>
      </c>
      <c r="B4926" s="1" t="s">
        <v>752</v>
      </c>
      <c r="C4926" s="1">
        <v>656848.0</v>
      </c>
      <c r="D4926" s="1" t="s">
        <v>536</v>
      </c>
      <c r="E4926" s="1" t="s">
        <v>927</v>
      </c>
      <c r="F4926" s="1" t="s">
        <v>927</v>
      </c>
      <c r="G4926" s="1">
        <v>1.0</v>
      </c>
      <c r="H4926" s="1">
        <v>0.055045872</v>
      </c>
      <c r="I4926" s="1">
        <v>3.81</v>
      </c>
      <c r="J4926" s="1">
        <v>0.049157</v>
      </c>
    </row>
    <row r="4927">
      <c r="A4927" s="1">
        <v>2025.0</v>
      </c>
      <c r="B4927" s="1" t="s">
        <v>480</v>
      </c>
      <c r="C4927" s="1">
        <v>647336.0</v>
      </c>
      <c r="D4927" s="1" t="s">
        <v>532</v>
      </c>
      <c r="E4927" s="1" t="s">
        <v>927</v>
      </c>
      <c r="F4927" s="1" t="s">
        <v>926</v>
      </c>
      <c r="G4927" s="1">
        <v>144.0</v>
      </c>
      <c r="H4927" s="1">
        <v>8.45026178</v>
      </c>
      <c r="I4927" s="1">
        <v>4.75</v>
      </c>
      <c r="J4927" s="1">
        <v>3.930921</v>
      </c>
    </row>
    <row r="4928">
      <c r="A4928" s="1">
        <v>2025.0</v>
      </c>
      <c r="B4928" s="1" t="s">
        <v>480</v>
      </c>
      <c r="C4928" s="1">
        <v>647336.0</v>
      </c>
      <c r="D4928" s="1" t="s">
        <v>541</v>
      </c>
      <c r="E4928" s="1" t="s">
        <v>927</v>
      </c>
      <c r="F4928" s="1" t="s">
        <v>926</v>
      </c>
      <c r="G4928" s="1">
        <v>218.0</v>
      </c>
      <c r="H4928" s="1">
        <v>12.79275742</v>
      </c>
      <c r="I4928" s="1">
        <v>5.47</v>
      </c>
      <c r="J4928" s="1">
        <v>2.889655</v>
      </c>
    </row>
    <row r="4929">
      <c r="A4929" s="1">
        <v>2025.0</v>
      </c>
      <c r="B4929" s="1" t="s">
        <v>480</v>
      </c>
      <c r="C4929" s="1">
        <v>647336.0</v>
      </c>
      <c r="D4929" s="1" t="s">
        <v>537</v>
      </c>
      <c r="E4929" s="1" t="s">
        <v>927</v>
      </c>
      <c r="F4929" s="1" t="s">
        <v>926</v>
      </c>
      <c r="G4929" s="1">
        <v>398.0</v>
      </c>
      <c r="H4929" s="1">
        <v>23.35558464</v>
      </c>
      <c r="I4929" s="1">
        <v>5.06</v>
      </c>
      <c r="J4929" s="1">
        <v>8.736123</v>
      </c>
    </row>
    <row r="4930">
      <c r="A4930" s="1">
        <v>2025.0</v>
      </c>
      <c r="B4930" s="1" t="s">
        <v>480</v>
      </c>
      <c r="C4930" s="1">
        <v>647336.0</v>
      </c>
      <c r="D4930" s="1" t="s">
        <v>536</v>
      </c>
      <c r="E4930" s="1" t="s">
        <v>927</v>
      </c>
      <c r="F4930" s="1" t="s">
        <v>926</v>
      </c>
      <c r="G4930" s="1">
        <v>15.0</v>
      </c>
      <c r="H4930" s="1">
        <v>0.880235602</v>
      </c>
      <c r="I4930" s="1">
        <v>3.95</v>
      </c>
      <c r="J4930" s="1">
        <v>0.672144</v>
      </c>
    </row>
    <row r="4931">
      <c r="A4931" s="1">
        <v>2025.0</v>
      </c>
      <c r="B4931" s="1" t="s">
        <v>480</v>
      </c>
      <c r="C4931" s="1">
        <v>647336.0</v>
      </c>
      <c r="D4931" s="1" t="s">
        <v>533</v>
      </c>
      <c r="E4931" s="1" t="s">
        <v>927</v>
      </c>
      <c r="F4931" s="1" t="s">
        <v>926</v>
      </c>
      <c r="G4931" s="1">
        <v>63.0</v>
      </c>
      <c r="H4931" s="1">
        <v>3.696989529</v>
      </c>
      <c r="I4931" s="1">
        <v>5.02</v>
      </c>
      <c r="J4931" s="1">
        <v>1.366594</v>
      </c>
    </row>
    <row r="4932">
      <c r="A4932" s="1">
        <v>2025.0</v>
      </c>
      <c r="B4932" s="1" t="s">
        <v>480</v>
      </c>
      <c r="C4932" s="1">
        <v>647336.0</v>
      </c>
      <c r="D4932" s="1" t="s">
        <v>539</v>
      </c>
      <c r="E4932" s="1" t="s">
        <v>927</v>
      </c>
      <c r="F4932" s="1" t="s">
        <v>926</v>
      </c>
      <c r="G4932" s="1">
        <v>1.0</v>
      </c>
      <c r="H4932" s="1">
        <v>0.058682373</v>
      </c>
      <c r="I4932" s="1">
        <v>3.38</v>
      </c>
      <c r="J4932" s="1">
        <v>0.060506</v>
      </c>
    </row>
    <row r="4933">
      <c r="A4933" s="1">
        <v>2025.0</v>
      </c>
      <c r="B4933" s="1" t="s">
        <v>480</v>
      </c>
      <c r="C4933" s="1">
        <v>647336.0</v>
      </c>
      <c r="D4933" s="1" t="s">
        <v>532</v>
      </c>
      <c r="E4933" s="1" t="s">
        <v>927</v>
      </c>
      <c r="F4933" s="1" t="s">
        <v>927</v>
      </c>
      <c r="G4933" s="1">
        <v>11.0</v>
      </c>
      <c r="H4933" s="1">
        <v>0.645506108</v>
      </c>
      <c r="I4933" s="1">
        <v>3.42</v>
      </c>
      <c r="J4933" s="1">
        <v>0.583034</v>
      </c>
    </row>
    <row r="4934">
      <c r="A4934" s="1">
        <v>2025.0</v>
      </c>
      <c r="B4934" s="1" t="s">
        <v>480</v>
      </c>
      <c r="C4934" s="1">
        <v>647336.0</v>
      </c>
      <c r="D4934" s="1" t="s">
        <v>541</v>
      </c>
      <c r="E4934" s="1" t="s">
        <v>927</v>
      </c>
      <c r="F4934" s="1" t="s">
        <v>927</v>
      </c>
      <c r="G4934" s="1">
        <v>217.0</v>
      </c>
      <c r="H4934" s="1">
        <v>12.73407504</v>
      </c>
      <c r="I4934" s="1">
        <v>5.44</v>
      </c>
      <c r="J4934" s="1">
        <v>2.97762</v>
      </c>
    </row>
    <row r="4935">
      <c r="A4935" s="1">
        <v>2025.0</v>
      </c>
      <c r="B4935" s="1" t="s">
        <v>480</v>
      </c>
      <c r="C4935" s="1">
        <v>647336.0</v>
      </c>
      <c r="D4935" s="1" t="s">
        <v>537</v>
      </c>
      <c r="E4935" s="1" t="s">
        <v>927</v>
      </c>
      <c r="F4935" s="1" t="s">
        <v>927</v>
      </c>
      <c r="G4935" s="1">
        <v>292.0</v>
      </c>
      <c r="H4935" s="1">
        <v>17.13525305</v>
      </c>
      <c r="I4935" s="1">
        <v>5.03</v>
      </c>
      <c r="J4935" s="1">
        <v>6.574621</v>
      </c>
    </row>
    <row r="4936">
      <c r="A4936" s="1">
        <v>2025.0</v>
      </c>
      <c r="B4936" s="1" t="s">
        <v>480</v>
      </c>
      <c r="C4936" s="1">
        <v>647336.0</v>
      </c>
      <c r="D4936" s="1" t="s">
        <v>536</v>
      </c>
      <c r="E4936" s="1" t="s">
        <v>927</v>
      </c>
      <c r="F4936" s="1" t="s">
        <v>927</v>
      </c>
      <c r="G4936" s="1">
        <v>137.0</v>
      </c>
      <c r="H4936" s="1">
        <v>8.039485166</v>
      </c>
      <c r="I4936" s="1">
        <v>4.68</v>
      </c>
      <c r="J4936" s="1">
        <v>4.034175</v>
      </c>
    </row>
    <row r="4937">
      <c r="A4937" s="1">
        <v>2025.0</v>
      </c>
      <c r="B4937" s="1" t="s">
        <v>480</v>
      </c>
      <c r="C4937" s="1">
        <v>647336.0</v>
      </c>
      <c r="D4937" s="1" t="s">
        <v>533</v>
      </c>
      <c r="E4937" s="1" t="s">
        <v>927</v>
      </c>
      <c r="F4937" s="1" t="s">
        <v>927</v>
      </c>
      <c r="G4937" s="1">
        <v>32.0</v>
      </c>
      <c r="H4937" s="1">
        <v>1.877835951</v>
      </c>
      <c r="I4937" s="1">
        <v>5.35</v>
      </c>
      <c r="J4937" s="1">
        <v>0.466415</v>
      </c>
    </row>
    <row r="4938">
      <c r="A4938" s="1">
        <v>2025.0</v>
      </c>
      <c r="B4938" s="1" t="s">
        <v>990</v>
      </c>
      <c r="C4938" s="1">
        <v>543859.0</v>
      </c>
      <c r="D4938" s="1" t="s">
        <v>537</v>
      </c>
      <c r="E4938" s="1" t="s">
        <v>927</v>
      </c>
      <c r="F4938" s="1" t="s">
        <v>926</v>
      </c>
      <c r="G4938" s="1">
        <v>123.0</v>
      </c>
      <c r="H4938" s="1">
        <v>7.435768262</v>
      </c>
      <c r="I4938" s="1">
        <v>4.84</v>
      </c>
      <c r="J4938" s="1">
        <v>3.227718</v>
      </c>
    </row>
    <row r="4939">
      <c r="A4939" s="1">
        <v>2025.0</v>
      </c>
      <c r="B4939" s="1" t="s">
        <v>990</v>
      </c>
      <c r="C4939" s="1">
        <v>543859.0</v>
      </c>
      <c r="D4939" s="1" t="s">
        <v>536</v>
      </c>
      <c r="E4939" s="1" t="s">
        <v>927</v>
      </c>
      <c r="F4939" s="1" t="s">
        <v>926</v>
      </c>
      <c r="G4939" s="1">
        <v>20.0</v>
      </c>
      <c r="H4939" s="1">
        <v>1.20906801</v>
      </c>
      <c r="I4939" s="1">
        <v>4.14</v>
      </c>
      <c r="J4939" s="1">
        <v>0.822831</v>
      </c>
    </row>
    <row r="4940">
      <c r="A4940" s="1">
        <v>2025.0</v>
      </c>
      <c r="B4940" s="1" t="s">
        <v>990</v>
      </c>
      <c r="C4940" s="1">
        <v>543859.0</v>
      </c>
      <c r="D4940" s="1" t="s">
        <v>533</v>
      </c>
      <c r="E4940" s="1" t="s">
        <v>927</v>
      </c>
      <c r="F4940" s="1" t="s">
        <v>926</v>
      </c>
      <c r="G4940" s="1">
        <v>58.0</v>
      </c>
      <c r="H4940" s="1">
        <v>3.506297229</v>
      </c>
      <c r="I4940" s="1">
        <v>4.73</v>
      </c>
      <c r="J4940" s="1">
        <v>1.639641</v>
      </c>
    </row>
    <row r="4941">
      <c r="A4941" s="1">
        <v>2025.0</v>
      </c>
      <c r="B4941" s="1" t="s">
        <v>990</v>
      </c>
      <c r="C4941" s="1">
        <v>543859.0</v>
      </c>
      <c r="D4941" s="1" t="s">
        <v>539</v>
      </c>
      <c r="E4941" s="1" t="s">
        <v>927</v>
      </c>
      <c r="F4941" s="1" t="s">
        <v>926</v>
      </c>
      <c r="G4941" s="1">
        <v>9.0</v>
      </c>
      <c r="H4941" s="1">
        <v>0.544080605</v>
      </c>
      <c r="I4941" s="1">
        <v>4.83</v>
      </c>
      <c r="J4941" s="1">
        <v>0.232491</v>
      </c>
    </row>
    <row r="4942">
      <c r="A4942" s="1">
        <v>2025.0</v>
      </c>
      <c r="B4942" s="1" t="s">
        <v>990</v>
      </c>
      <c r="C4942" s="1">
        <v>543859.0</v>
      </c>
      <c r="D4942" s="1" t="s">
        <v>537</v>
      </c>
      <c r="E4942" s="1" t="s">
        <v>927</v>
      </c>
      <c r="F4942" s="1" t="s">
        <v>927</v>
      </c>
      <c r="G4942" s="1">
        <v>90.0</v>
      </c>
      <c r="H4942" s="1">
        <v>5.440806045</v>
      </c>
      <c r="I4942" s="1">
        <v>4.98</v>
      </c>
      <c r="J4942" s="1">
        <v>2.023137</v>
      </c>
    </row>
    <row r="4943">
      <c r="A4943" s="1">
        <v>2025.0</v>
      </c>
      <c r="B4943" s="1" t="s">
        <v>990</v>
      </c>
      <c r="C4943" s="1">
        <v>543859.0</v>
      </c>
      <c r="D4943" s="1" t="s">
        <v>536</v>
      </c>
      <c r="E4943" s="1" t="s">
        <v>927</v>
      </c>
      <c r="F4943" s="1" t="s">
        <v>927</v>
      </c>
      <c r="G4943" s="1">
        <v>25.0</v>
      </c>
      <c r="H4943" s="1">
        <v>1.511335013</v>
      </c>
      <c r="I4943" s="1">
        <v>4.08</v>
      </c>
      <c r="J4943" s="1">
        <v>1.018765</v>
      </c>
    </row>
    <row r="4944">
      <c r="A4944" s="1">
        <v>2025.0</v>
      </c>
      <c r="B4944" s="1" t="s">
        <v>990</v>
      </c>
      <c r="C4944" s="1">
        <v>543859.0</v>
      </c>
      <c r="D4944" s="1" t="s">
        <v>533</v>
      </c>
      <c r="E4944" s="1" t="s">
        <v>927</v>
      </c>
      <c r="F4944" s="1" t="s">
        <v>927</v>
      </c>
      <c r="G4944" s="1">
        <v>49.0</v>
      </c>
      <c r="H4944" s="1">
        <v>2.962216625</v>
      </c>
      <c r="I4944" s="1">
        <v>5.12</v>
      </c>
      <c r="J4944" s="1">
        <v>0.983775</v>
      </c>
    </row>
    <row r="4945">
      <c r="A4945" s="1">
        <v>2025.0</v>
      </c>
      <c r="B4945" s="1" t="s">
        <v>990</v>
      </c>
      <c r="C4945" s="1">
        <v>543859.0</v>
      </c>
      <c r="D4945" s="1" t="s">
        <v>539</v>
      </c>
      <c r="E4945" s="1" t="s">
        <v>927</v>
      </c>
      <c r="F4945" s="1" t="s">
        <v>927</v>
      </c>
      <c r="G4945" s="1">
        <v>23.0</v>
      </c>
      <c r="H4945" s="1">
        <v>1.390428212</v>
      </c>
      <c r="I4945" s="1">
        <v>4.45</v>
      </c>
      <c r="J4945" s="1">
        <v>0.778297</v>
      </c>
    </row>
    <row r="4946">
      <c r="A4946" s="1">
        <v>2025.0</v>
      </c>
      <c r="B4946" s="1" t="s">
        <v>147</v>
      </c>
      <c r="C4946" s="1">
        <v>608379.0</v>
      </c>
      <c r="D4946" s="1" t="s">
        <v>532</v>
      </c>
      <c r="E4946" s="1" t="s">
        <v>927</v>
      </c>
      <c r="F4946" s="1" t="s">
        <v>926</v>
      </c>
      <c r="G4946" s="1">
        <v>456.0</v>
      </c>
      <c r="H4946" s="1">
        <v>29.56665415</v>
      </c>
      <c r="I4946" s="1">
        <v>5.54</v>
      </c>
      <c r="J4946" s="1">
        <v>4.807752</v>
      </c>
    </row>
    <row r="4947">
      <c r="A4947" s="1">
        <v>2025.0</v>
      </c>
      <c r="B4947" s="1" t="s">
        <v>147</v>
      </c>
      <c r="C4947" s="1">
        <v>608379.0</v>
      </c>
      <c r="D4947" s="1" t="s">
        <v>541</v>
      </c>
      <c r="E4947" s="1" t="s">
        <v>927</v>
      </c>
      <c r="F4947" s="1" t="s">
        <v>926</v>
      </c>
      <c r="G4947" s="1">
        <v>135.0</v>
      </c>
      <c r="H4947" s="1">
        <v>8.753285768</v>
      </c>
      <c r="I4947" s="1">
        <v>4.64</v>
      </c>
      <c r="J4947" s="1">
        <v>3.917952</v>
      </c>
    </row>
    <row r="4948">
      <c r="A4948" s="1">
        <v>2025.0</v>
      </c>
      <c r="B4948" s="1" t="s">
        <v>147</v>
      </c>
      <c r="C4948" s="1">
        <v>608379.0</v>
      </c>
      <c r="D4948" s="1" t="s">
        <v>540</v>
      </c>
      <c r="E4948" s="1" t="s">
        <v>927</v>
      </c>
      <c r="F4948" s="1" t="s">
        <v>926</v>
      </c>
      <c r="G4948" s="1">
        <v>211.0</v>
      </c>
      <c r="H4948" s="1">
        <v>13.68106146</v>
      </c>
      <c r="I4948" s="1">
        <v>5.21</v>
      </c>
      <c r="J4948" s="1">
        <v>3.870326</v>
      </c>
    </row>
    <row r="4949">
      <c r="A4949" s="1">
        <v>2025.0</v>
      </c>
      <c r="B4949" s="1" t="s">
        <v>147</v>
      </c>
      <c r="C4949" s="1">
        <v>608379.0</v>
      </c>
      <c r="D4949" s="1" t="s">
        <v>537</v>
      </c>
      <c r="E4949" s="1" t="s">
        <v>927</v>
      </c>
      <c r="F4949" s="1" t="s">
        <v>926</v>
      </c>
      <c r="G4949" s="1">
        <v>462.0</v>
      </c>
      <c r="H4949" s="1">
        <v>29.95568907</v>
      </c>
      <c r="I4949" s="1">
        <v>4.97</v>
      </c>
      <c r="J4949" s="1">
        <v>10.805573</v>
      </c>
    </row>
    <row r="4950">
      <c r="A4950" s="1">
        <v>2025.0</v>
      </c>
      <c r="B4950" s="1" t="s">
        <v>147</v>
      </c>
      <c r="C4950" s="1">
        <v>608379.0</v>
      </c>
      <c r="D4950" s="1" t="s">
        <v>536</v>
      </c>
      <c r="E4950" s="1" t="s">
        <v>927</v>
      </c>
      <c r="F4950" s="1" t="s">
        <v>926</v>
      </c>
      <c r="G4950" s="1">
        <v>59.0</v>
      </c>
      <c r="H4950" s="1">
        <v>3.825510076</v>
      </c>
      <c r="I4950" s="1">
        <v>3.85</v>
      </c>
      <c r="J4950" s="1">
        <v>2.538264</v>
      </c>
    </row>
    <row r="4951">
      <c r="A4951" s="1">
        <v>2025.0</v>
      </c>
      <c r="B4951" s="1" t="s">
        <v>147</v>
      </c>
      <c r="C4951" s="1">
        <v>608379.0</v>
      </c>
      <c r="D4951" s="1" t="s">
        <v>533</v>
      </c>
      <c r="E4951" s="1" t="s">
        <v>927</v>
      </c>
      <c r="F4951" s="1" t="s">
        <v>926</v>
      </c>
      <c r="G4951" s="1">
        <v>63.0</v>
      </c>
      <c r="H4951" s="1">
        <v>4.084866692</v>
      </c>
      <c r="I4951" s="1">
        <v>5.22</v>
      </c>
      <c r="J4951" s="1">
        <v>1.08498</v>
      </c>
    </row>
    <row r="4952">
      <c r="A4952" s="1">
        <v>2025.0</v>
      </c>
      <c r="B4952" s="1" t="s">
        <v>147</v>
      </c>
      <c r="C4952" s="1">
        <v>608379.0</v>
      </c>
      <c r="D4952" s="1" t="s">
        <v>532</v>
      </c>
      <c r="E4952" s="1" t="s">
        <v>927</v>
      </c>
      <c r="F4952" s="1" t="s">
        <v>927</v>
      </c>
      <c r="G4952" s="1">
        <v>221.0</v>
      </c>
      <c r="H4952" s="1">
        <v>14.329453</v>
      </c>
      <c r="I4952" s="1">
        <v>6.0</v>
      </c>
      <c r="J4952" s="1">
        <v>0.124843</v>
      </c>
    </row>
    <row r="4953">
      <c r="A4953" s="1">
        <v>2025.0</v>
      </c>
      <c r="B4953" s="1" t="s">
        <v>147</v>
      </c>
      <c r="C4953" s="1">
        <v>608379.0</v>
      </c>
      <c r="D4953" s="1" t="s">
        <v>541</v>
      </c>
      <c r="E4953" s="1" t="s">
        <v>927</v>
      </c>
      <c r="F4953" s="1" t="s">
        <v>927</v>
      </c>
      <c r="G4953" s="1">
        <v>71.0</v>
      </c>
      <c r="H4953" s="1">
        <v>4.603579922</v>
      </c>
      <c r="I4953" s="1">
        <v>4.2</v>
      </c>
      <c r="J4953" s="1">
        <v>2.658054</v>
      </c>
    </row>
    <row r="4954">
      <c r="A4954" s="1">
        <v>2025.0</v>
      </c>
      <c r="B4954" s="1" t="s">
        <v>147</v>
      </c>
      <c r="C4954" s="1">
        <v>608379.0</v>
      </c>
      <c r="D4954" s="1" t="s">
        <v>540</v>
      </c>
      <c r="E4954" s="1" t="s">
        <v>927</v>
      </c>
      <c r="F4954" s="1" t="s">
        <v>927</v>
      </c>
      <c r="G4954" s="1">
        <v>199.0</v>
      </c>
      <c r="H4954" s="1">
        <v>12.90299161</v>
      </c>
      <c r="I4954" s="1">
        <v>5.25</v>
      </c>
      <c r="J4954" s="1">
        <v>3.549609</v>
      </c>
    </row>
    <row r="4955">
      <c r="A4955" s="1">
        <v>2025.0</v>
      </c>
      <c r="B4955" s="1" t="s">
        <v>147</v>
      </c>
      <c r="C4955" s="1">
        <v>608379.0</v>
      </c>
      <c r="D4955" s="1" t="s">
        <v>537</v>
      </c>
      <c r="E4955" s="1" t="s">
        <v>927</v>
      </c>
      <c r="F4955" s="1" t="s">
        <v>927</v>
      </c>
      <c r="G4955" s="1">
        <v>308.0</v>
      </c>
      <c r="H4955" s="1">
        <v>19.97045938</v>
      </c>
      <c r="I4955" s="1">
        <v>4.47</v>
      </c>
      <c r="J4955" s="1">
        <v>10.159481</v>
      </c>
    </row>
    <row r="4956">
      <c r="A4956" s="1">
        <v>2025.0</v>
      </c>
      <c r="B4956" s="1" t="s">
        <v>147</v>
      </c>
      <c r="C4956" s="1">
        <v>608379.0</v>
      </c>
      <c r="D4956" s="1" t="s">
        <v>536</v>
      </c>
      <c r="E4956" s="1" t="s">
        <v>927</v>
      </c>
      <c r="F4956" s="1" t="s">
        <v>927</v>
      </c>
      <c r="G4956" s="1">
        <v>226.0</v>
      </c>
      <c r="H4956" s="1">
        <v>14.65364877</v>
      </c>
      <c r="I4956" s="1">
        <v>5.0</v>
      </c>
      <c r="J4956" s="1">
        <v>5.110619</v>
      </c>
    </row>
    <row r="4957">
      <c r="A4957" s="1">
        <v>2025.0</v>
      </c>
      <c r="B4957" s="1" t="s">
        <v>147</v>
      </c>
      <c r="C4957" s="1">
        <v>608379.0</v>
      </c>
      <c r="D4957" s="1" t="s">
        <v>533</v>
      </c>
      <c r="E4957" s="1" t="s">
        <v>927</v>
      </c>
      <c r="F4957" s="1" t="s">
        <v>927</v>
      </c>
      <c r="G4957" s="1">
        <v>252.0</v>
      </c>
      <c r="H4957" s="1">
        <v>16.33946677</v>
      </c>
      <c r="I4957" s="1">
        <v>5.09</v>
      </c>
      <c r="J4957" s="1">
        <v>5.122716</v>
      </c>
    </row>
    <row r="4958">
      <c r="A4958" s="1">
        <v>2025.0</v>
      </c>
      <c r="B4958" s="1" t="s">
        <v>821</v>
      </c>
      <c r="C4958" s="1">
        <v>671305.0</v>
      </c>
      <c r="D4958" s="1" t="s">
        <v>537</v>
      </c>
      <c r="E4958" s="1" t="s">
        <v>927</v>
      </c>
      <c r="F4958" s="1" t="s">
        <v>926</v>
      </c>
      <c r="G4958" s="1">
        <v>22.0</v>
      </c>
      <c r="H4958" s="1">
        <v>0.96969697</v>
      </c>
      <c r="I4958" s="1">
        <v>4.6</v>
      </c>
      <c r="J4958" s="1">
        <v>0.711815</v>
      </c>
    </row>
    <row r="4959">
      <c r="A4959" s="1">
        <v>2025.0</v>
      </c>
      <c r="B4959" s="1" t="s">
        <v>821</v>
      </c>
      <c r="C4959" s="1">
        <v>671305.0</v>
      </c>
      <c r="D4959" s="1" t="s">
        <v>536</v>
      </c>
      <c r="E4959" s="1" t="s">
        <v>927</v>
      </c>
      <c r="F4959" s="1" t="s">
        <v>926</v>
      </c>
      <c r="G4959" s="1">
        <v>3.0</v>
      </c>
      <c r="H4959" s="1">
        <v>0.132231405</v>
      </c>
      <c r="I4959" s="1">
        <v>4.84</v>
      </c>
      <c r="J4959" s="1">
        <v>0.081634</v>
      </c>
    </row>
    <row r="4960">
      <c r="A4960" s="1">
        <v>2025.0</v>
      </c>
      <c r="B4960" s="1" t="s">
        <v>821</v>
      </c>
      <c r="C4960" s="1">
        <v>671305.0</v>
      </c>
      <c r="D4960" s="1" t="s">
        <v>533</v>
      </c>
      <c r="E4960" s="1" t="s">
        <v>927</v>
      </c>
      <c r="F4960" s="1" t="s">
        <v>926</v>
      </c>
      <c r="G4960" s="1">
        <v>11.0</v>
      </c>
      <c r="H4960" s="1">
        <v>0.484848485</v>
      </c>
      <c r="I4960" s="1">
        <v>3.27</v>
      </c>
      <c r="J4960" s="1">
        <v>0.673037</v>
      </c>
    </row>
    <row r="4961">
      <c r="A4961" s="1">
        <v>2025.0</v>
      </c>
      <c r="B4961" s="1" t="s">
        <v>821</v>
      </c>
      <c r="C4961" s="1">
        <v>671305.0</v>
      </c>
      <c r="D4961" s="1" t="s">
        <v>537</v>
      </c>
      <c r="E4961" s="1" t="s">
        <v>927</v>
      </c>
      <c r="F4961" s="1" t="s">
        <v>927</v>
      </c>
      <c r="G4961" s="1">
        <v>22.0</v>
      </c>
      <c r="H4961" s="1">
        <v>0.96969697</v>
      </c>
      <c r="I4961" s="1">
        <v>3.87</v>
      </c>
      <c r="J4961" s="1">
        <v>0.981697</v>
      </c>
    </row>
    <row r="4962">
      <c r="A4962" s="1">
        <v>2025.0</v>
      </c>
      <c r="B4962" s="1" t="s">
        <v>821</v>
      </c>
      <c r="C4962" s="1">
        <v>671305.0</v>
      </c>
      <c r="D4962" s="1" t="s">
        <v>536</v>
      </c>
      <c r="E4962" s="1" t="s">
        <v>927</v>
      </c>
      <c r="F4962" s="1" t="s">
        <v>927</v>
      </c>
      <c r="G4962" s="1">
        <v>31.0</v>
      </c>
      <c r="H4962" s="1">
        <v>1.366391185</v>
      </c>
      <c r="I4962" s="1">
        <v>4.75</v>
      </c>
      <c r="J4962" s="1">
        <v>0.872401</v>
      </c>
    </row>
    <row r="4963">
      <c r="A4963" s="1">
        <v>2025.0</v>
      </c>
      <c r="B4963" s="1" t="s">
        <v>821</v>
      </c>
      <c r="C4963" s="1">
        <v>671305.0</v>
      </c>
      <c r="D4963" s="1" t="s">
        <v>533</v>
      </c>
      <c r="E4963" s="1" t="s">
        <v>927</v>
      </c>
      <c r="F4963" s="1" t="s">
        <v>927</v>
      </c>
      <c r="G4963" s="1">
        <v>32.0</v>
      </c>
      <c r="H4963" s="1">
        <v>1.41046832</v>
      </c>
      <c r="I4963" s="1">
        <v>4.74</v>
      </c>
      <c r="J4963" s="1">
        <v>0.861596</v>
      </c>
    </row>
    <row r="4964">
      <c r="A4964" s="1">
        <v>2025.0</v>
      </c>
      <c r="B4964" s="1" t="s">
        <v>393</v>
      </c>
      <c r="C4964" s="1">
        <v>690953.0</v>
      </c>
      <c r="D4964" s="1" t="s">
        <v>532</v>
      </c>
      <c r="E4964" s="1" t="s">
        <v>927</v>
      </c>
      <c r="F4964" s="1" t="s">
        <v>926</v>
      </c>
      <c r="G4964" s="1">
        <v>59.0</v>
      </c>
      <c r="H4964" s="1">
        <v>3.195833333</v>
      </c>
      <c r="I4964" s="1">
        <v>4.26</v>
      </c>
      <c r="J4964" s="1">
        <v>2.165413</v>
      </c>
    </row>
    <row r="4965">
      <c r="A4965" s="1">
        <v>2025.0</v>
      </c>
      <c r="B4965" s="1" t="s">
        <v>393</v>
      </c>
      <c r="C4965" s="1">
        <v>690953.0</v>
      </c>
      <c r="D4965" s="1" t="s">
        <v>541</v>
      </c>
      <c r="E4965" s="1" t="s">
        <v>927</v>
      </c>
      <c r="F4965" s="1" t="s">
        <v>926</v>
      </c>
      <c r="G4965" s="1">
        <v>123.0</v>
      </c>
      <c r="H4965" s="1">
        <v>6.6625</v>
      </c>
      <c r="I4965" s="1">
        <v>4.97</v>
      </c>
      <c r="J4965" s="1">
        <v>2.68964</v>
      </c>
    </row>
    <row r="4966">
      <c r="A4966" s="1">
        <v>2025.0</v>
      </c>
      <c r="B4966" s="1" t="s">
        <v>393</v>
      </c>
      <c r="C4966" s="1">
        <v>690953.0</v>
      </c>
      <c r="D4966" s="1" t="s">
        <v>537</v>
      </c>
      <c r="E4966" s="1" t="s">
        <v>927</v>
      </c>
      <c r="F4966" s="1" t="s">
        <v>926</v>
      </c>
      <c r="G4966" s="1">
        <v>215.0</v>
      </c>
      <c r="H4966" s="1">
        <v>11.64583333</v>
      </c>
      <c r="I4966" s="1">
        <v>4.92</v>
      </c>
      <c r="J4966" s="1">
        <v>5.179824</v>
      </c>
    </row>
    <row r="4967">
      <c r="A4967" s="1">
        <v>2025.0</v>
      </c>
      <c r="B4967" s="1" t="s">
        <v>393</v>
      </c>
      <c r="C4967" s="1">
        <v>690953.0</v>
      </c>
      <c r="D4967" s="1" t="s">
        <v>536</v>
      </c>
      <c r="E4967" s="1" t="s">
        <v>927</v>
      </c>
      <c r="F4967" s="1" t="s">
        <v>926</v>
      </c>
      <c r="G4967" s="1">
        <v>11.0</v>
      </c>
      <c r="H4967" s="1">
        <v>0.595833333</v>
      </c>
      <c r="I4967" s="1">
        <v>4.84</v>
      </c>
      <c r="J4967" s="1">
        <v>0.270567</v>
      </c>
    </row>
    <row r="4968">
      <c r="A4968" s="1">
        <v>2025.0</v>
      </c>
      <c r="B4968" s="1" t="s">
        <v>393</v>
      </c>
      <c r="C4968" s="1">
        <v>690953.0</v>
      </c>
      <c r="D4968" s="1" t="s">
        <v>533</v>
      </c>
      <c r="E4968" s="1" t="s">
        <v>927</v>
      </c>
      <c r="F4968" s="1" t="s">
        <v>926</v>
      </c>
      <c r="G4968" s="1">
        <v>18.0</v>
      </c>
      <c r="H4968" s="1">
        <v>0.975</v>
      </c>
      <c r="I4968" s="1">
        <v>5.61</v>
      </c>
      <c r="J4968" s="1">
        <v>0.153579</v>
      </c>
    </row>
    <row r="4969">
      <c r="A4969" s="1">
        <v>2025.0</v>
      </c>
      <c r="B4969" s="1" t="s">
        <v>393</v>
      </c>
      <c r="C4969" s="1">
        <v>690953.0</v>
      </c>
      <c r="D4969" s="1" t="s">
        <v>532</v>
      </c>
      <c r="E4969" s="1" t="s">
        <v>927</v>
      </c>
      <c r="F4969" s="1" t="s">
        <v>927</v>
      </c>
      <c r="G4969" s="1">
        <v>4.0</v>
      </c>
      <c r="H4969" s="1">
        <v>0.216666667</v>
      </c>
      <c r="I4969" s="1">
        <v>5.22</v>
      </c>
      <c r="J4969" s="1">
        <v>0.072734</v>
      </c>
    </row>
    <row r="4970">
      <c r="A4970" s="1">
        <v>2025.0</v>
      </c>
      <c r="B4970" s="1" t="s">
        <v>393</v>
      </c>
      <c r="C4970" s="1">
        <v>690953.0</v>
      </c>
      <c r="D4970" s="1" t="s">
        <v>541</v>
      </c>
      <c r="E4970" s="1" t="s">
        <v>927</v>
      </c>
      <c r="F4970" s="1" t="s">
        <v>927</v>
      </c>
      <c r="G4970" s="1">
        <v>41.0</v>
      </c>
      <c r="H4970" s="1">
        <v>2.220833333</v>
      </c>
      <c r="I4970" s="1">
        <v>4.64</v>
      </c>
      <c r="J4970" s="1">
        <v>1.155471</v>
      </c>
    </row>
    <row r="4971">
      <c r="A4971" s="1">
        <v>2025.0</v>
      </c>
      <c r="B4971" s="1" t="s">
        <v>393</v>
      </c>
      <c r="C4971" s="1">
        <v>690953.0</v>
      </c>
      <c r="D4971" s="1" t="s">
        <v>537</v>
      </c>
      <c r="E4971" s="1" t="s">
        <v>927</v>
      </c>
      <c r="F4971" s="1" t="s">
        <v>927</v>
      </c>
      <c r="G4971" s="1">
        <v>96.0</v>
      </c>
      <c r="H4971" s="1">
        <v>5.2</v>
      </c>
      <c r="I4971" s="1">
        <v>4.88</v>
      </c>
      <c r="J4971" s="1">
        <v>2.416456</v>
      </c>
    </row>
    <row r="4972">
      <c r="A4972" s="1">
        <v>2025.0</v>
      </c>
      <c r="B4972" s="1" t="s">
        <v>393</v>
      </c>
      <c r="C4972" s="1">
        <v>690953.0</v>
      </c>
      <c r="D4972" s="1" t="s">
        <v>536</v>
      </c>
      <c r="E4972" s="1" t="s">
        <v>927</v>
      </c>
      <c r="F4972" s="1" t="s">
        <v>927</v>
      </c>
      <c r="G4972" s="1">
        <v>76.0</v>
      </c>
      <c r="H4972" s="1">
        <v>4.116666667</v>
      </c>
      <c r="I4972" s="1">
        <v>5.26</v>
      </c>
      <c r="J4972" s="1">
        <v>1.331326</v>
      </c>
    </row>
    <row r="4973">
      <c r="A4973" s="1">
        <v>2025.0</v>
      </c>
      <c r="B4973" s="1" t="s">
        <v>393</v>
      </c>
      <c r="C4973" s="1">
        <v>690953.0</v>
      </c>
      <c r="D4973" s="1" t="s">
        <v>533</v>
      </c>
      <c r="E4973" s="1" t="s">
        <v>927</v>
      </c>
      <c r="F4973" s="1" t="s">
        <v>927</v>
      </c>
      <c r="G4973" s="1">
        <v>65.0</v>
      </c>
      <c r="H4973" s="1">
        <v>3.520833333</v>
      </c>
      <c r="I4973" s="1">
        <v>4.85</v>
      </c>
      <c r="J4973" s="1">
        <v>1.613934</v>
      </c>
    </row>
    <row r="4974">
      <c r="A4974" s="1">
        <v>2025.0</v>
      </c>
      <c r="B4974" s="1" t="s">
        <v>393</v>
      </c>
      <c r="C4974" s="1">
        <v>690953.0</v>
      </c>
      <c r="D4974" s="1" t="s">
        <v>539</v>
      </c>
      <c r="E4974" s="1" t="s">
        <v>927</v>
      </c>
      <c r="F4974" s="1" t="s">
        <v>927</v>
      </c>
      <c r="G4974" s="1">
        <v>12.0</v>
      </c>
      <c r="H4974" s="1">
        <v>0.65</v>
      </c>
      <c r="I4974" s="1">
        <v>4.67</v>
      </c>
      <c r="J4974" s="1">
        <v>0.337967</v>
      </c>
    </row>
    <row r="4975">
      <c r="A4975" s="1">
        <v>2025.0</v>
      </c>
      <c r="B4975" s="1" t="s">
        <v>764</v>
      </c>
      <c r="C4975" s="1">
        <v>612434.0</v>
      </c>
      <c r="D4975" s="1" t="s">
        <v>532</v>
      </c>
      <c r="E4975" s="1" t="s">
        <v>927</v>
      </c>
      <c r="F4975" s="1" t="s">
        <v>926</v>
      </c>
      <c r="G4975" s="1">
        <v>11.0</v>
      </c>
      <c r="H4975" s="1">
        <v>0.628571429</v>
      </c>
      <c r="I4975" s="1">
        <v>4.56</v>
      </c>
      <c r="J4975" s="1">
        <v>0.320043</v>
      </c>
    </row>
    <row r="4976">
      <c r="A4976" s="1">
        <v>2025.0</v>
      </c>
      <c r="B4976" s="1" t="s">
        <v>764</v>
      </c>
      <c r="C4976" s="1">
        <v>612434.0</v>
      </c>
      <c r="D4976" s="1" t="s">
        <v>537</v>
      </c>
      <c r="E4976" s="1" t="s">
        <v>927</v>
      </c>
      <c r="F4976" s="1" t="s">
        <v>926</v>
      </c>
      <c r="G4976" s="1">
        <v>22.0</v>
      </c>
      <c r="H4976" s="1">
        <v>1.257142857</v>
      </c>
      <c r="I4976" s="1">
        <v>4.7</v>
      </c>
      <c r="J4976" s="1">
        <v>0.644126</v>
      </c>
    </row>
    <row r="4977">
      <c r="A4977" s="1">
        <v>2025.0</v>
      </c>
      <c r="B4977" s="1" t="s">
        <v>764</v>
      </c>
      <c r="C4977" s="1">
        <v>612434.0</v>
      </c>
      <c r="D4977" s="1" t="s">
        <v>536</v>
      </c>
      <c r="E4977" s="1" t="s">
        <v>927</v>
      </c>
      <c r="F4977" s="1" t="s">
        <v>926</v>
      </c>
      <c r="G4977" s="1">
        <v>11.0</v>
      </c>
      <c r="H4977" s="1">
        <v>0.628571429</v>
      </c>
      <c r="I4977" s="1">
        <v>2.76</v>
      </c>
      <c r="J4977" s="1">
        <v>0.671569</v>
      </c>
    </row>
    <row r="4978">
      <c r="A4978" s="1">
        <v>2025.0</v>
      </c>
      <c r="B4978" s="1" t="s">
        <v>764</v>
      </c>
      <c r="C4978" s="1">
        <v>612434.0</v>
      </c>
      <c r="D4978" s="1" t="s">
        <v>533</v>
      </c>
      <c r="E4978" s="1" t="s">
        <v>927</v>
      </c>
      <c r="F4978" s="1" t="s">
        <v>926</v>
      </c>
      <c r="G4978" s="1">
        <v>8.0</v>
      </c>
      <c r="H4978" s="1">
        <v>0.457142857</v>
      </c>
      <c r="I4978" s="1">
        <v>5.46</v>
      </c>
      <c r="J4978" s="1">
        <v>0.129865</v>
      </c>
    </row>
    <row r="4979">
      <c r="A4979" s="1">
        <v>2025.0</v>
      </c>
      <c r="B4979" s="1" t="s">
        <v>764</v>
      </c>
      <c r="C4979" s="1">
        <v>612434.0</v>
      </c>
      <c r="D4979" s="1" t="s">
        <v>532</v>
      </c>
      <c r="E4979" s="1" t="s">
        <v>927</v>
      </c>
      <c r="F4979" s="1" t="s">
        <v>927</v>
      </c>
      <c r="G4979" s="1">
        <v>1.0</v>
      </c>
      <c r="H4979" s="1">
        <v>0.057142857</v>
      </c>
      <c r="I4979" s="1">
        <v>-0.09</v>
      </c>
      <c r="J4979" s="1">
        <v>0.103194</v>
      </c>
    </row>
    <row r="4980">
      <c r="A4980" s="1">
        <v>2025.0</v>
      </c>
      <c r="B4980" s="1" t="s">
        <v>764</v>
      </c>
      <c r="C4980" s="1">
        <v>612434.0</v>
      </c>
      <c r="D4980" s="1" t="s">
        <v>537</v>
      </c>
      <c r="E4980" s="1" t="s">
        <v>927</v>
      </c>
      <c r="F4980" s="1" t="s">
        <v>927</v>
      </c>
      <c r="G4980" s="1">
        <v>17.0</v>
      </c>
      <c r="H4980" s="1">
        <v>0.971428571</v>
      </c>
      <c r="I4980" s="1">
        <v>4.96</v>
      </c>
      <c r="J4980" s="1">
        <v>0.404649</v>
      </c>
    </row>
    <row r="4981">
      <c r="A4981" s="1">
        <v>2025.0</v>
      </c>
      <c r="B4981" s="1" t="s">
        <v>764</v>
      </c>
      <c r="C4981" s="1">
        <v>612434.0</v>
      </c>
      <c r="D4981" s="1" t="s">
        <v>536</v>
      </c>
      <c r="E4981" s="1" t="s">
        <v>927</v>
      </c>
      <c r="F4981" s="1" t="s">
        <v>927</v>
      </c>
      <c r="G4981" s="1">
        <v>13.0</v>
      </c>
      <c r="H4981" s="1">
        <v>0.742857143</v>
      </c>
      <c r="I4981" s="1">
        <v>4.56</v>
      </c>
      <c r="J4981" s="1">
        <v>0.39574</v>
      </c>
    </row>
    <row r="4982">
      <c r="A4982" s="1">
        <v>2025.0</v>
      </c>
      <c r="B4982" s="1" t="s">
        <v>764</v>
      </c>
      <c r="C4982" s="1">
        <v>612434.0</v>
      </c>
      <c r="D4982" s="1" t="s">
        <v>533</v>
      </c>
      <c r="E4982" s="1" t="s">
        <v>927</v>
      </c>
      <c r="F4982" s="1" t="s">
        <v>927</v>
      </c>
      <c r="G4982" s="1">
        <v>22.0</v>
      </c>
      <c r="H4982" s="1">
        <v>1.257142857</v>
      </c>
      <c r="I4982" s="1">
        <v>5.61</v>
      </c>
      <c r="J4982" s="1">
        <v>0.224436</v>
      </c>
    </row>
    <row r="4983">
      <c r="A4983" s="1">
        <v>2025.0</v>
      </c>
      <c r="B4983" s="1" t="s">
        <v>798</v>
      </c>
      <c r="C4983" s="1">
        <v>500743.0</v>
      </c>
      <c r="D4983" s="1" t="s">
        <v>537</v>
      </c>
      <c r="E4983" s="1" t="s">
        <v>927</v>
      </c>
      <c r="F4983" s="1" t="s">
        <v>926</v>
      </c>
      <c r="G4983" s="1">
        <v>5.0</v>
      </c>
      <c r="H4983" s="1">
        <v>2.272727273</v>
      </c>
      <c r="I4983" s="1">
        <v>3.34</v>
      </c>
      <c r="J4983" s="1">
        <v>0.277175</v>
      </c>
    </row>
    <row r="4984">
      <c r="A4984" s="1">
        <v>2025.0</v>
      </c>
      <c r="B4984" s="1" t="s">
        <v>798</v>
      </c>
      <c r="C4984" s="1">
        <v>500743.0</v>
      </c>
      <c r="D4984" s="1" t="s">
        <v>537</v>
      </c>
      <c r="E4984" s="1" t="s">
        <v>927</v>
      </c>
      <c r="F4984" s="1" t="s">
        <v>927</v>
      </c>
      <c r="G4984" s="1">
        <v>6.0</v>
      </c>
      <c r="H4984" s="1">
        <v>2.727272727</v>
      </c>
      <c r="I4984" s="1">
        <v>3.68</v>
      </c>
      <c r="J4984" s="1">
        <v>0.297676</v>
      </c>
    </row>
    <row r="4985">
      <c r="A4985" s="1">
        <v>2025.0</v>
      </c>
      <c r="B4985" s="1" t="s">
        <v>320</v>
      </c>
      <c r="C4985" s="1">
        <v>681347.0</v>
      </c>
      <c r="D4985" s="1" t="s">
        <v>532</v>
      </c>
      <c r="E4985" s="1" t="s">
        <v>927</v>
      </c>
      <c r="F4985" s="1" t="s">
        <v>926</v>
      </c>
      <c r="G4985" s="1">
        <v>255.0</v>
      </c>
      <c r="H4985" s="1">
        <v>15.92713077</v>
      </c>
      <c r="I4985" s="1">
        <v>4.97</v>
      </c>
      <c r="J4985" s="1">
        <v>5.813122</v>
      </c>
    </row>
    <row r="4986">
      <c r="A4986" s="1">
        <v>2025.0</v>
      </c>
      <c r="B4986" s="1" t="s">
        <v>320</v>
      </c>
      <c r="C4986" s="1">
        <v>681347.0</v>
      </c>
      <c r="D4986" s="1" t="s">
        <v>541</v>
      </c>
      <c r="E4986" s="1" t="s">
        <v>927</v>
      </c>
      <c r="F4986" s="1" t="s">
        <v>926</v>
      </c>
      <c r="G4986" s="1">
        <v>125.0</v>
      </c>
      <c r="H4986" s="1">
        <v>7.807417046</v>
      </c>
      <c r="I4986" s="1">
        <v>4.84</v>
      </c>
      <c r="J4986" s="1">
        <v>3.244403</v>
      </c>
    </row>
    <row r="4987">
      <c r="A4987" s="1">
        <v>2025.0</v>
      </c>
      <c r="B4987" s="1" t="s">
        <v>320</v>
      </c>
      <c r="C4987" s="1">
        <v>681347.0</v>
      </c>
      <c r="D4987" s="1" t="s">
        <v>537</v>
      </c>
      <c r="E4987" s="1" t="s">
        <v>927</v>
      </c>
      <c r="F4987" s="1" t="s">
        <v>926</v>
      </c>
      <c r="G4987" s="1">
        <v>299.0</v>
      </c>
      <c r="H4987" s="1">
        <v>18.67534157</v>
      </c>
      <c r="I4987" s="1">
        <v>4.81</v>
      </c>
      <c r="J4987" s="1">
        <v>8.010512</v>
      </c>
    </row>
    <row r="4988">
      <c r="A4988" s="1">
        <v>2025.0</v>
      </c>
      <c r="B4988" s="1" t="s">
        <v>320</v>
      </c>
      <c r="C4988" s="1">
        <v>681347.0</v>
      </c>
      <c r="D4988" s="1" t="s">
        <v>536</v>
      </c>
      <c r="E4988" s="1" t="s">
        <v>927</v>
      </c>
      <c r="F4988" s="1" t="s">
        <v>926</v>
      </c>
      <c r="G4988" s="1">
        <v>8.0</v>
      </c>
      <c r="H4988" s="1">
        <v>0.499674691</v>
      </c>
      <c r="I4988" s="1">
        <v>4.19</v>
      </c>
      <c r="J4988" s="1">
        <v>0.303835</v>
      </c>
    </row>
    <row r="4989">
      <c r="A4989" s="1">
        <v>2025.0</v>
      </c>
      <c r="B4989" s="1" t="s">
        <v>320</v>
      </c>
      <c r="C4989" s="1">
        <v>681347.0</v>
      </c>
      <c r="D4989" s="1" t="s">
        <v>533</v>
      </c>
      <c r="E4989" s="1" t="s">
        <v>927</v>
      </c>
      <c r="F4989" s="1" t="s">
        <v>926</v>
      </c>
      <c r="G4989" s="1">
        <v>53.0</v>
      </c>
      <c r="H4989" s="1">
        <v>3.310344828</v>
      </c>
      <c r="I4989" s="1">
        <v>4.48</v>
      </c>
      <c r="J4989" s="1">
        <v>1.737693</v>
      </c>
    </row>
    <row r="4990">
      <c r="A4990" s="1">
        <v>2025.0</v>
      </c>
      <c r="B4990" s="1" t="s">
        <v>320</v>
      </c>
      <c r="C4990" s="1">
        <v>681347.0</v>
      </c>
      <c r="D4990" s="1" t="s">
        <v>532</v>
      </c>
      <c r="E4990" s="1" t="s">
        <v>927</v>
      </c>
      <c r="F4990" s="1" t="s">
        <v>927</v>
      </c>
      <c r="G4990" s="1">
        <v>110.0</v>
      </c>
      <c r="H4990" s="1">
        <v>6.870527001</v>
      </c>
      <c r="I4990" s="1">
        <v>5.13</v>
      </c>
      <c r="J4990" s="1">
        <v>2.128004</v>
      </c>
    </row>
    <row r="4991">
      <c r="A4991" s="1">
        <v>2025.0</v>
      </c>
      <c r="B4991" s="1" t="s">
        <v>320</v>
      </c>
      <c r="C4991" s="1">
        <v>681347.0</v>
      </c>
      <c r="D4991" s="1" t="s">
        <v>541</v>
      </c>
      <c r="E4991" s="1" t="s">
        <v>927</v>
      </c>
      <c r="F4991" s="1" t="s">
        <v>927</v>
      </c>
      <c r="G4991" s="1">
        <v>58.0</v>
      </c>
      <c r="H4991" s="1">
        <v>3.622641509</v>
      </c>
      <c r="I4991" s="1">
        <v>5.03</v>
      </c>
      <c r="J4991" s="1">
        <v>1.289148</v>
      </c>
    </row>
    <row r="4992">
      <c r="A4992" s="1">
        <v>2025.0</v>
      </c>
      <c r="B4992" s="1" t="s">
        <v>320</v>
      </c>
      <c r="C4992" s="1">
        <v>681347.0</v>
      </c>
      <c r="D4992" s="1" t="s">
        <v>537</v>
      </c>
      <c r="E4992" s="1" t="s">
        <v>927</v>
      </c>
      <c r="F4992" s="1" t="s">
        <v>927</v>
      </c>
      <c r="G4992" s="1">
        <v>304.0</v>
      </c>
      <c r="H4992" s="1">
        <v>18.98763826</v>
      </c>
      <c r="I4992" s="1">
        <v>5.07</v>
      </c>
      <c r="J4992" s="1">
        <v>6.664214</v>
      </c>
    </row>
    <row r="4993">
      <c r="A4993" s="1">
        <v>2025.0</v>
      </c>
      <c r="B4993" s="1" t="s">
        <v>320</v>
      </c>
      <c r="C4993" s="1">
        <v>681347.0</v>
      </c>
      <c r="D4993" s="1" t="s">
        <v>536</v>
      </c>
      <c r="E4993" s="1" t="s">
        <v>927</v>
      </c>
      <c r="F4993" s="1" t="s">
        <v>927</v>
      </c>
      <c r="G4993" s="1">
        <v>78.0</v>
      </c>
      <c r="H4993" s="1">
        <v>4.871828237</v>
      </c>
      <c r="I4993" s="1">
        <v>4.84</v>
      </c>
      <c r="J4993" s="1">
        <v>2.084977</v>
      </c>
    </row>
    <row r="4994">
      <c r="A4994" s="1">
        <v>2025.0</v>
      </c>
      <c r="B4994" s="1" t="s">
        <v>320</v>
      </c>
      <c r="C4994" s="1">
        <v>681347.0</v>
      </c>
      <c r="D4994" s="1" t="s">
        <v>533</v>
      </c>
      <c r="E4994" s="1" t="s">
        <v>927</v>
      </c>
      <c r="F4994" s="1" t="s">
        <v>927</v>
      </c>
      <c r="G4994" s="1">
        <v>247.0</v>
      </c>
      <c r="H4994" s="1">
        <v>15.42745608</v>
      </c>
      <c r="I4994" s="1">
        <v>5.16</v>
      </c>
      <c r="J4994" s="1">
        <v>4.760393</v>
      </c>
    </row>
    <row r="4995">
      <c r="A4995" s="1">
        <v>2025.0</v>
      </c>
      <c r="B4995" s="1" t="s">
        <v>656</v>
      </c>
      <c r="C4995" s="1">
        <v>605182.0</v>
      </c>
      <c r="D4995" s="1" t="s">
        <v>532</v>
      </c>
      <c r="E4995" s="1" t="s">
        <v>927</v>
      </c>
      <c r="F4995" s="1" t="s">
        <v>926</v>
      </c>
      <c r="G4995" s="1">
        <v>13.0</v>
      </c>
      <c r="H4995" s="1">
        <v>0.64619883</v>
      </c>
      <c r="I4995" s="1">
        <v>4.18</v>
      </c>
      <c r="J4995" s="1">
        <v>0.511393</v>
      </c>
    </row>
    <row r="4996">
      <c r="A4996" s="1">
        <v>2025.0</v>
      </c>
      <c r="B4996" s="1" t="s">
        <v>656</v>
      </c>
      <c r="C4996" s="1">
        <v>605182.0</v>
      </c>
      <c r="D4996" s="1" t="s">
        <v>540</v>
      </c>
      <c r="E4996" s="1" t="s">
        <v>927</v>
      </c>
      <c r="F4996" s="1" t="s">
        <v>926</v>
      </c>
      <c r="G4996" s="1">
        <v>6.0</v>
      </c>
      <c r="H4996" s="1">
        <v>0.298245614</v>
      </c>
      <c r="I4996" s="1">
        <v>5.03</v>
      </c>
      <c r="J4996" s="1">
        <v>0.136351</v>
      </c>
    </row>
    <row r="4997">
      <c r="A4997" s="1">
        <v>2025.0</v>
      </c>
      <c r="B4997" s="1" t="s">
        <v>656</v>
      </c>
      <c r="C4997" s="1">
        <v>605182.0</v>
      </c>
      <c r="D4997" s="1" t="s">
        <v>537</v>
      </c>
      <c r="E4997" s="1" t="s">
        <v>927</v>
      </c>
      <c r="F4997" s="1" t="s">
        <v>926</v>
      </c>
      <c r="G4997" s="1">
        <v>22.0</v>
      </c>
      <c r="H4997" s="1">
        <v>1.093567251</v>
      </c>
      <c r="I4997" s="1">
        <v>5.48</v>
      </c>
      <c r="J4997" s="1">
        <v>0.302573</v>
      </c>
    </row>
    <row r="4998">
      <c r="A4998" s="1">
        <v>2025.0</v>
      </c>
      <c r="B4998" s="1" t="s">
        <v>656</v>
      </c>
      <c r="C4998" s="1">
        <v>605182.0</v>
      </c>
      <c r="D4998" s="1" t="s">
        <v>536</v>
      </c>
      <c r="E4998" s="1" t="s">
        <v>927</v>
      </c>
      <c r="F4998" s="1" t="s">
        <v>926</v>
      </c>
      <c r="G4998" s="1">
        <v>1.0</v>
      </c>
      <c r="H4998" s="1">
        <v>0.049707602</v>
      </c>
      <c r="I4998" s="1">
        <v>-3.09</v>
      </c>
      <c r="J4998" s="1">
        <v>0.182614</v>
      </c>
    </row>
    <row r="4999">
      <c r="A4999" s="1">
        <v>2025.0</v>
      </c>
      <c r="B4999" s="1" t="s">
        <v>656</v>
      </c>
      <c r="C4999" s="1">
        <v>605182.0</v>
      </c>
      <c r="D4999" s="1" t="s">
        <v>539</v>
      </c>
      <c r="E4999" s="1" t="s">
        <v>927</v>
      </c>
      <c r="F4999" s="1" t="s">
        <v>926</v>
      </c>
      <c r="G4999" s="1">
        <v>5.0</v>
      </c>
      <c r="H4999" s="1">
        <v>0.248538012</v>
      </c>
      <c r="I4999" s="1">
        <v>1.66</v>
      </c>
      <c r="J4999" s="1">
        <v>0.450903</v>
      </c>
    </row>
    <row r="5000">
      <c r="A5000" s="1">
        <v>2025.0</v>
      </c>
      <c r="B5000" s="1" t="s">
        <v>656</v>
      </c>
      <c r="C5000" s="1">
        <v>605182.0</v>
      </c>
      <c r="D5000" s="1" t="s">
        <v>532</v>
      </c>
      <c r="E5000" s="1" t="s">
        <v>927</v>
      </c>
      <c r="F5000" s="1" t="s">
        <v>927</v>
      </c>
      <c r="G5000" s="1">
        <v>4.0</v>
      </c>
      <c r="H5000" s="1">
        <v>0.198830409</v>
      </c>
      <c r="I5000" s="1">
        <v>6.44</v>
      </c>
      <c r="J5000" s="1">
        <v>-0.028956</v>
      </c>
    </row>
    <row r="5001">
      <c r="A5001" s="1">
        <v>2025.0</v>
      </c>
      <c r="B5001" s="1" t="s">
        <v>656</v>
      </c>
      <c r="C5001" s="1">
        <v>605182.0</v>
      </c>
      <c r="D5001" s="1" t="s">
        <v>541</v>
      </c>
      <c r="E5001" s="1" t="s">
        <v>927</v>
      </c>
      <c r="F5001" s="1" t="s">
        <v>927</v>
      </c>
      <c r="G5001" s="1">
        <v>1.0</v>
      </c>
      <c r="H5001" s="1">
        <v>0.049707602</v>
      </c>
      <c r="I5001" s="1">
        <v>4.52</v>
      </c>
      <c r="J5001" s="1">
        <v>0.033105</v>
      </c>
    </row>
    <row r="5002">
      <c r="A5002" s="1">
        <v>2025.0</v>
      </c>
      <c r="B5002" s="1" t="s">
        <v>656</v>
      </c>
      <c r="C5002" s="1">
        <v>605182.0</v>
      </c>
      <c r="D5002" s="1" t="s">
        <v>540</v>
      </c>
      <c r="E5002" s="1" t="s">
        <v>927</v>
      </c>
      <c r="F5002" s="1" t="s">
        <v>927</v>
      </c>
      <c r="G5002" s="1">
        <v>19.0</v>
      </c>
      <c r="H5002" s="1">
        <v>0.944444444</v>
      </c>
      <c r="I5002" s="1">
        <v>4.06</v>
      </c>
      <c r="J5002" s="1">
        <v>0.789056</v>
      </c>
    </row>
    <row r="5003">
      <c r="A5003" s="1">
        <v>2025.0</v>
      </c>
      <c r="B5003" s="1" t="s">
        <v>656</v>
      </c>
      <c r="C5003" s="1">
        <v>605182.0</v>
      </c>
      <c r="D5003" s="1" t="s">
        <v>537</v>
      </c>
      <c r="E5003" s="1" t="s">
        <v>927</v>
      </c>
      <c r="F5003" s="1" t="s">
        <v>927</v>
      </c>
      <c r="G5003" s="1">
        <v>24.0</v>
      </c>
      <c r="H5003" s="1">
        <v>1.192982456</v>
      </c>
      <c r="I5003" s="1">
        <v>4.33</v>
      </c>
      <c r="J5003" s="1">
        <v>0.846678</v>
      </c>
    </row>
    <row r="5004">
      <c r="A5004" s="1">
        <v>2025.0</v>
      </c>
      <c r="B5004" s="1" t="s">
        <v>656</v>
      </c>
      <c r="C5004" s="1">
        <v>605182.0</v>
      </c>
      <c r="D5004" s="1" t="s">
        <v>536</v>
      </c>
      <c r="E5004" s="1" t="s">
        <v>927</v>
      </c>
      <c r="F5004" s="1" t="s">
        <v>927</v>
      </c>
      <c r="G5004" s="1">
        <v>2.0</v>
      </c>
      <c r="H5004" s="1">
        <v>0.099415205</v>
      </c>
      <c r="I5004" s="1">
        <v>7.31</v>
      </c>
      <c r="J5004" s="1">
        <v>-0.049803</v>
      </c>
    </row>
    <row r="5005">
      <c r="A5005" s="1">
        <v>2025.0</v>
      </c>
      <c r="B5005" s="1" t="s">
        <v>656</v>
      </c>
      <c r="C5005" s="1">
        <v>605182.0</v>
      </c>
      <c r="D5005" s="1" t="s">
        <v>533</v>
      </c>
      <c r="E5005" s="1" t="s">
        <v>927</v>
      </c>
      <c r="F5005" s="1" t="s">
        <v>927</v>
      </c>
      <c r="G5005" s="1">
        <v>4.0</v>
      </c>
      <c r="H5005" s="1">
        <v>0.198830409</v>
      </c>
      <c r="I5005" s="1">
        <v>4.39</v>
      </c>
      <c r="J5005" s="1">
        <v>0.132798</v>
      </c>
    </row>
    <row r="5006">
      <c r="A5006" s="1">
        <v>2025.0</v>
      </c>
      <c r="B5006" s="1" t="s">
        <v>656</v>
      </c>
      <c r="C5006" s="1">
        <v>605182.0</v>
      </c>
      <c r="D5006" s="1" t="s">
        <v>539</v>
      </c>
      <c r="E5006" s="1" t="s">
        <v>927</v>
      </c>
      <c r="F5006" s="1" t="s">
        <v>927</v>
      </c>
      <c r="G5006" s="1">
        <v>13.0</v>
      </c>
      <c r="H5006" s="1">
        <v>0.64619883</v>
      </c>
      <c r="I5006" s="1">
        <v>5.66</v>
      </c>
      <c r="J5006" s="1">
        <v>0.10506</v>
      </c>
    </row>
    <row r="5007">
      <c r="A5007" s="1">
        <v>2025.0</v>
      </c>
      <c r="B5007" s="1" t="s">
        <v>497</v>
      </c>
      <c r="C5007" s="1">
        <v>678024.0</v>
      </c>
      <c r="D5007" s="1" t="s">
        <v>532</v>
      </c>
      <c r="E5007" s="1" t="s">
        <v>927</v>
      </c>
      <c r="F5007" s="1" t="s">
        <v>926</v>
      </c>
      <c r="G5007" s="1">
        <v>180.0</v>
      </c>
      <c r="H5007" s="1">
        <v>11.05167173</v>
      </c>
      <c r="I5007" s="1">
        <v>5.21</v>
      </c>
      <c r="J5007" s="1">
        <v>3.280638</v>
      </c>
    </row>
    <row r="5008">
      <c r="A5008" s="1">
        <v>2025.0</v>
      </c>
      <c r="B5008" s="1" t="s">
        <v>497</v>
      </c>
      <c r="C5008" s="1">
        <v>678024.0</v>
      </c>
      <c r="D5008" s="1" t="s">
        <v>541</v>
      </c>
      <c r="E5008" s="1" t="s">
        <v>927</v>
      </c>
      <c r="F5008" s="1" t="s">
        <v>926</v>
      </c>
      <c r="G5008" s="1">
        <v>155.0</v>
      </c>
      <c r="H5008" s="1">
        <v>9.516717325</v>
      </c>
      <c r="I5008" s="1">
        <v>4.69</v>
      </c>
      <c r="J5008" s="1">
        <v>4.524202</v>
      </c>
    </row>
    <row r="5009">
      <c r="A5009" s="1">
        <v>2025.0</v>
      </c>
      <c r="B5009" s="1" t="s">
        <v>497</v>
      </c>
      <c r="C5009" s="1">
        <v>678024.0</v>
      </c>
      <c r="D5009" s="1" t="s">
        <v>540</v>
      </c>
      <c r="E5009" s="1" t="s">
        <v>927</v>
      </c>
      <c r="F5009" s="1" t="s">
        <v>926</v>
      </c>
      <c r="G5009" s="1">
        <v>32.0</v>
      </c>
      <c r="H5009" s="1">
        <v>1.964741641</v>
      </c>
      <c r="I5009" s="1">
        <v>5.17</v>
      </c>
      <c r="J5009" s="1">
        <v>0.576233</v>
      </c>
    </row>
    <row r="5010">
      <c r="A5010" s="1">
        <v>2025.0</v>
      </c>
      <c r="B5010" s="1" t="s">
        <v>497</v>
      </c>
      <c r="C5010" s="1">
        <v>678024.0</v>
      </c>
      <c r="D5010" s="1" t="s">
        <v>537</v>
      </c>
      <c r="E5010" s="1" t="s">
        <v>927</v>
      </c>
      <c r="F5010" s="1" t="s">
        <v>926</v>
      </c>
      <c r="G5010" s="1">
        <v>130.0</v>
      </c>
      <c r="H5010" s="1">
        <v>7.981762918</v>
      </c>
      <c r="I5010" s="1">
        <v>4.54</v>
      </c>
      <c r="J5010" s="1">
        <v>4.204731</v>
      </c>
    </row>
    <row r="5011">
      <c r="A5011" s="1">
        <v>2025.0</v>
      </c>
      <c r="B5011" s="1" t="s">
        <v>497</v>
      </c>
      <c r="C5011" s="1">
        <v>678024.0</v>
      </c>
      <c r="D5011" s="1" t="s">
        <v>536</v>
      </c>
      <c r="E5011" s="1" t="s">
        <v>927</v>
      </c>
      <c r="F5011" s="1" t="s">
        <v>926</v>
      </c>
      <c r="G5011" s="1">
        <v>268.0</v>
      </c>
      <c r="H5011" s="1">
        <v>16.45471125</v>
      </c>
      <c r="I5011" s="1">
        <v>4.79</v>
      </c>
      <c r="J5011" s="1">
        <v>7.375009</v>
      </c>
    </row>
    <row r="5012">
      <c r="A5012" s="1">
        <v>2025.0</v>
      </c>
      <c r="B5012" s="1" t="s">
        <v>497</v>
      </c>
      <c r="C5012" s="1">
        <v>678024.0</v>
      </c>
      <c r="D5012" s="1" t="s">
        <v>539</v>
      </c>
      <c r="E5012" s="1" t="s">
        <v>927</v>
      </c>
      <c r="F5012" s="1" t="s">
        <v>926</v>
      </c>
      <c r="G5012" s="1">
        <v>21.0</v>
      </c>
      <c r="H5012" s="1">
        <v>1.289361702</v>
      </c>
      <c r="I5012" s="1">
        <v>5.25</v>
      </c>
      <c r="J5012" s="1">
        <v>0.323256</v>
      </c>
    </row>
    <row r="5013">
      <c r="A5013" s="1">
        <v>2025.0</v>
      </c>
      <c r="B5013" s="1" t="s">
        <v>497</v>
      </c>
      <c r="C5013" s="1">
        <v>678024.0</v>
      </c>
      <c r="D5013" s="1" t="s">
        <v>532</v>
      </c>
      <c r="E5013" s="1" t="s">
        <v>927</v>
      </c>
      <c r="F5013" s="1" t="s">
        <v>927</v>
      </c>
      <c r="G5013" s="1">
        <v>20.0</v>
      </c>
      <c r="H5013" s="1">
        <v>1.227963526</v>
      </c>
      <c r="I5013" s="1">
        <v>4.65</v>
      </c>
      <c r="J5013" s="1">
        <v>0.578334</v>
      </c>
    </row>
    <row r="5014">
      <c r="A5014" s="1">
        <v>2025.0</v>
      </c>
      <c r="B5014" s="1" t="s">
        <v>497</v>
      </c>
      <c r="C5014" s="1">
        <v>678024.0</v>
      </c>
      <c r="D5014" s="1" t="s">
        <v>541</v>
      </c>
      <c r="E5014" s="1" t="s">
        <v>927</v>
      </c>
      <c r="F5014" s="1" t="s">
        <v>927</v>
      </c>
      <c r="G5014" s="1">
        <v>48.0</v>
      </c>
      <c r="H5014" s="1">
        <v>2.947112462</v>
      </c>
      <c r="I5014" s="1">
        <v>4.98</v>
      </c>
      <c r="J5014" s="1">
        <v>1.096112</v>
      </c>
    </row>
    <row r="5015">
      <c r="A5015" s="1">
        <v>2025.0</v>
      </c>
      <c r="B5015" s="1" t="s">
        <v>497</v>
      </c>
      <c r="C5015" s="1">
        <v>678024.0</v>
      </c>
      <c r="D5015" s="1" t="s">
        <v>540</v>
      </c>
      <c r="E5015" s="1" t="s">
        <v>927</v>
      </c>
      <c r="F5015" s="1" t="s">
        <v>927</v>
      </c>
      <c r="G5015" s="1">
        <v>58.0</v>
      </c>
      <c r="H5015" s="1">
        <v>3.561094225</v>
      </c>
      <c r="I5015" s="1">
        <v>5.04</v>
      </c>
      <c r="J5015" s="1">
        <v>1.299851</v>
      </c>
    </row>
    <row r="5016">
      <c r="A5016" s="1">
        <v>2025.0</v>
      </c>
      <c r="B5016" s="1" t="s">
        <v>497</v>
      </c>
      <c r="C5016" s="1">
        <v>678024.0</v>
      </c>
      <c r="D5016" s="1" t="s">
        <v>537</v>
      </c>
      <c r="E5016" s="1" t="s">
        <v>927</v>
      </c>
      <c r="F5016" s="1" t="s">
        <v>927</v>
      </c>
      <c r="G5016" s="1">
        <v>101.0</v>
      </c>
      <c r="H5016" s="1">
        <v>6.201215805</v>
      </c>
      <c r="I5016" s="1">
        <v>4.25</v>
      </c>
      <c r="J5016" s="1">
        <v>3.854481</v>
      </c>
    </row>
    <row r="5017">
      <c r="A5017" s="1">
        <v>2025.0</v>
      </c>
      <c r="B5017" s="1" t="s">
        <v>497</v>
      </c>
      <c r="C5017" s="1">
        <v>678024.0</v>
      </c>
      <c r="D5017" s="1" t="s">
        <v>536</v>
      </c>
      <c r="E5017" s="1" t="s">
        <v>927</v>
      </c>
      <c r="F5017" s="1" t="s">
        <v>927</v>
      </c>
      <c r="G5017" s="1">
        <v>389.0</v>
      </c>
      <c r="H5017" s="1">
        <v>23.88389058</v>
      </c>
      <c r="I5017" s="1">
        <v>4.99</v>
      </c>
      <c r="J5017" s="1">
        <v>8.918818</v>
      </c>
    </row>
    <row r="5018">
      <c r="A5018" s="1">
        <v>2025.0</v>
      </c>
      <c r="B5018" s="1" t="s">
        <v>497</v>
      </c>
      <c r="C5018" s="1">
        <v>678024.0</v>
      </c>
      <c r="D5018" s="1" t="s">
        <v>539</v>
      </c>
      <c r="E5018" s="1" t="s">
        <v>927</v>
      </c>
      <c r="F5018" s="1" t="s">
        <v>927</v>
      </c>
      <c r="G5018" s="1">
        <v>243.0</v>
      </c>
      <c r="H5018" s="1">
        <v>14.91975684</v>
      </c>
      <c r="I5018" s="1">
        <v>4.76</v>
      </c>
      <c r="J5018" s="1">
        <v>6.396375</v>
      </c>
    </row>
    <row r="5019">
      <c r="A5019" s="1">
        <v>2025.0</v>
      </c>
      <c r="B5019" s="1" t="s">
        <v>991</v>
      </c>
      <c r="C5019" s="1">
        <v>573262.0</v>
      </c>
      <c r="D5019" s="1" t="s">
        <v>541</v>
      </c>
      <c r="E5019" s="1" t="s">
        <v>926</v>
      </c>
      <c r="F5019" s="1" t="s">
        <v>926</v>
      </c>
      <c r="G5019" s="1">
        <v>1.0</v>
      </c>
      <c r="H5019" s="1">
        <v>0.076923077</v>
      </c>
      <c r="I5019" s="1">
        <v>3.62</v>
      </c>
      <c r="J5019" s="1">
        <v>0.050917</v>
      </c>
    </row>
    <row r="5020">
      <c r="A5020" s="1">
        <v>2025.0</v>
      </c>
      <c r="B5020" s="1" t="s">
        <v>991</v>
      </c>
      <c r="C5020" s="1">
        <v>573262.0</v>
      </c>
      <c r="D5020" s="1" t="s">
        <v>537</v>
      </c>
      <c r="E5020" s="1" t="s">
        <v>926</v>
      </c>
      <c r="F5020" s="1" t="s">
        <v>926</v>
      </c>
      <c r="G5020" s="1">
        <v>3.0</v>
      </c>
      <c r="H5020" s="1">
        <v>0.230769231</v>
      </c>
      <c r="I5020" s="1">
        <v>2.06</v>
      </c>
      <c r="J5020" s="1">
        <v>0.239213</v>
      </c>
    </row>
    <row r="5021">
      <c r="A5021" s="1">
        <v>2025.0</v>
      </c>
      <c r="B5021" s="1" t="s">
        <v>991</v>
      </c>
      <c r="C5021" s="1">
        <v>573262.0</v>
      </c>
      <c r="D5021" s="1" t="s">
        <v>928</v>
      </c>
      <c r="E5021" s="1" t="s">
        <v>926</v>
      </c>
      <c r="F5021" s="1" t="s">
        <v>926</v>
      </c>
      <c r="G5021" s="1">
        <v>6.0</v>
      </c>
      <c r="H5021" s="1">
        <v>0.461538462</v>
      </c>
      <c r="I5021" s="1">
        <v>3.75</v>
      </c>
      <c r="J5021" s="1">
        <v>0.296183</v>
      </c>
    </row>
    <row r="5022">
      <c r="A5022" s="1">
        <v>2025.0</v>
      </c>
      <c r="B5022" s="1" t="s">
        <v>991</v>
      </c>
      <c r="C5022" s="1">
        <v>573262.0</v>
      </c>
      <c r="D5022" s="1" t="s">
        <v>537</v>
      </c>
      <c r="E5022" s="1" t="s">
        <v>926</v>
      </c>
      <c r="F5022" s="1" t="s">
        <v>927</v>
      </c>
      <c r="G5022" s="1">
        <v>1.0</v>
      </c>
      <c r="H5022" s="1">
        <v>0.076923077</v>
      </c>
      <c r="I5022" s="1">
        <v>2.76</v>
      </c>
      <c r="J5022" s="1">
        <v>0.069806</v>
      </c>
    </row>
    <row r="5023">
      <c r="A5023" s="1">
        <v>2025.0</v>
      </c>
      <c r="B5023" s="1" t="s">
        <v>991</v>
      </c>
      <c r="C5023" s="1">
        <v>573262.0</v>
      </c>
      <c r="D5023" s="1" t="s">
        <v>928</v>
      </c>
      <c r="E5023" s="1" t="s">
        <v>926</v>
      </c>
      <c r="F5023" s="1" t="s">
        <v>927</v>
      </c>
      <c r="G5023" s="1">
        <v>2.0</v>
      </c>
      <c r="H5023" s="1">
        <v>0.153846154</v>
      </c>
      <c r="I5023" s="1">
        <v>5.72</v>
      </c>
      <c r="J5023" s="1">
        <v>0.018792</v>
      </c>
    </row>
    <row r="5024">
      <c r="A5024" s="1">
        <v>2025.0</v>
      </c>
      <c r="B5024" s="1" t="s">
        <v>898</v>
      </c>
      <c r="C5024" s="1">
        <v>670156.0</v>
      </c>
      <c r="D5024" s="1" t="s">
        <v>537</v>
      </c>
      <c r="E5024" s="1" t="s">
        <v>927</v>
      </c>
      <c r="F5024" s="1" t="s">
        <v>926</v>
      </c>
      <c r="G5024" s="1">
        <v>1.0</v>
      </c>
      <c r="H5024" s="1">
        <v>1.0</v>
      </c>
      <c r="I5024" s="1">
        <v>3.63</v>
      </c>
      <c r="J5024" s="1">
        <v>0.05161</v>
      </c>
    </row>
    <row r="5025">
      <c r="A5025" s="1">
        <v>2025.0</v>
      </c>
      <c r="B5025" s="1" t="s">
        <v>287</v>
      </c>
      <c r="C5025" s="1">
        <v>571945.0</v>
      </c>
      <c r="D5025" s="1" t="s">
        <v>532</v>
      </c>
      <c r="E5025" s="1" t="s">
        <v>927</v>
      </c>
      <c r="F5025" s="1" t="s">
        <v>926</v>
      </c>
      <c r="G5025" s="1">
        <v>248.0</v>
      </c>
      <c r="H5025" s="1">
        <v>15.61444489</v>
      </c>
      <c r="I5025" s="1">
        <v>5.26</v>
      </c>
      <c r="J5025" s="1">
        <v>4.337367</v>
      </c>
    </row>
    <row r="5026">
      <c r="A5026" s="1">
        <v>2025.0</v>
      </c>
      <c r="B5026" s="1" t="s">
        <v>287</v>
      </c>
      <c r="C5026" s="1">
        <v>571945.0</v>
      </c>
      <c r="D5026" s="1" t="s">
        <v>541</v>
      </c>
      <c r="E5026" s="1" t="s">
        <v>927</v>
      </c>
      <c r="F5026" s="1" t="s">
        <v>926</v>
      </c>
      <c r="G5026" s="1">
        <v>261.0</v>
      </c>
      <c r="H5026" s="1">
        <v>16.43294402</v>
      </c>
      <c r="I5026" s="1">
        <v>4.99</v>
      </c>
      <c r="J5026" s="1">
        <v>5.801795</v>
      </c>
    </row>
    <row r="5027">
      <c r="A5027" s="1">
        <v>2025.0</v>
      </c>
      <c r="B5027" s="1" t="s">
        <v>287</v>
      </c>
      <c r="C5027" s="1">
        <v>571945.0</v>
      </c>
      <c r="D5027" s="1" t="s">
        <v>537</v>
      </c>
      <c r="E5027" s="1" t="s">
        <v>927</v>
      </c>
      <c r="F5027" s="1" t="s">
        <v>926</v>
      </c>
      <c r="G5027" s="1">
        <v>424.0</v>
      </c>
      <c r="H5027" s="1">
        <v>26.69566385</v>
      </c>
      <c r="I5027" s="1">
        <v>4.77</v>
      </c>
      <c r="J5027" s="1">
        <v>11.93051</v>
      </c>
    </row>
    <row r="5028">
      <c r="A5028" s="1">
        <v>2025.0</v>
      </c>
      <c r="B5028" s="1" t="s">
        <v>287</v>
      </c>
      <c r="C5028" s="1">
        <v>571945.0</v>
      </c>
      <c r="D5028" s="1" t="s">
        <v>536</v>
      </c>
      <c r="E5028" s="1" t="s">
        <v>927</v>
      </c>
      <c r="F5028" s="1" t="s">
        <v>926</v>
      </c>
      <c r="G5028" s="1">
        <v>121.0</v>
      </c>
      <c r="H5028" s="1">
        <v>7.618338032</v>
      </c>
      <c r="I5028" s="1">
        <v>4.67</v>
      </c>
      <c r="J5028" s="1">
        <v>3.347411</v>
      </c>
    </row>
    <row r="5029">
      <c r="A5029" s="1">
        <v>2025.0</v>
      </c>
      <c r="B5029" s="1" t="s">
        <v>287</v>
      </c>
      <c r="C5029" s="1">
        <v>571945.0</v>
      </c>
      <c r="D5029" s="1" t="s">
        <v>533</v>
      </c>
      <c r="E5029" s="1" t="s">
        <v>927</v>
      </c>
      <c r="F5029" s="1" t="s">
        <v>926</v>
      </c>
      <c r="G5029" s="1">
        <v>291.0</v>
      </c>
      <c r="H5029" s="1">
        <v>18.32178816</v>
      </c>
      <c r="I5029" s="1">
        <v>5.06</v>
      </c>
      <c r="J5029" s="1">
        <v>6.208026</v>
      </c>
    </row>
    <row r="5030">
      <c r="A5030" s="1">
        <v>2025.0</v>
      </c>
      <c r="B5030" s="1" t="s">
        <v>287</v>
      </c>
      <c r="C5030" s="1">
        <v>571945.0</v>
      </c>
      <c r="D5030" s="1" t="s">
        <v>539</v>
      </c>
      <c r="E5030" s="1" t="s">
        <v>927</v>
      </c>
      <c r="F5030" s="1" t="s">
        <v>926</v>
      </c>
      <c r="G5030" s="1">
        <v>10.0</v>
      </c>
      <c r="H5030" s="1">
        <v>0.629614713</v>
      </c>
      <c r="I5030" s="1">
        <v>5.17</v>
      </c>
      <c r="J5030" s="1">
        <v>0.17778</v>
      </c>
    </row>
    <row r="5031">
      <c r="A5031" s="1">
        <v>2025.0</v>
      </c>
      <c r="B5031" s="1" t="s">
        <v>287</v>
      </c>
      <c r="C5031" s="1">
        <v>571945.0</v>
      </c>
      <c r="D5031" s="1" t="s">
        <v>532</v>
      </c>
      <c r="E5031" s="1" t="s">
        <v>927</v>
      </c>
      <c r="F5031" s="1" t="s">
        <v>927</v>
      </c>
      <c r="G5031" s="1">
        <v>38.0</v>
      </c>
      <c r="H5031" s="1">
        <v>2.392535911</v>
      </c>
      <c r="I5031" s="1">
        <v>5.28</v>
      </c>
      <c r="J5031" s="1">
        <v>0.587889</v>
      </c>
    </row>
    <row r="5032">
      <c r="A5032" s="1">
        <v>2025.0</v>
      </c>
      <c r="B5032" s="1" t="s">
        <v>287</v>
      </c>
      <c r="C5032" s="1">
        <v>571945.0</v>
      </c>
      <c r="D5032" s="1" t="s">
        <v>541</v>
      </c>
      <c r="E5032" s="1" t="s">
        <v>927</v>
      </c>
      <c r="F5032" s="1" t="s">
        <v>927</v>
      </c>
      <c r="G5032" s="1">
        <v>175.0</v>
      </c>
      <c r="H5032" s="1">
        <v>11.01825748</v>
      </c>
      <c r="I5032" s="1">
        <v>4.58</v>
      </c>
      <c r="J5032" s="1">
        <v>5.264757</v>
      </c>
    </row>
    <row r="5033">
      <c r="A5033" s="1">
        <v>2025.0</v>
      </c>
      <c r="B5033" s="1" t="s">
        <v>287</v>
      </c>
      <c r="C5033" s="1">
        <v>571945.0</v>
      </c>
      <c r="D5033" s="1" t="s">
        <v>537</v>
      </c>
      <c r="E5033" s="1" t="s">
        <v>927</v>
      </c>
      <c r="F5033" s="1" t="s">
        <v>927</v>
      </c>
      <c r="G5033" s="1">
        <v>272.0</v>
      </c>
      <c r="H5033" s="1">
        <v>17.1255202</v>
      </c>
      <c r="I5033" s="1">
        <v>4.66</v>
      </c>
      <c r="J5033" s="1">
        <v>8.058238</v>
      </c>
    </row>
    <row r="5034">
      <c r="A5034" s="1">
        <v>2025.0</v>
      </c>
      <c r="B5034" s="1" t="s">
        <v>287</v>
      </c>
      <c r="C5034" s="1">
        <v>571945.0</v>
      </c>
      <c r="D5034" s="1" t="s">
        <v>536</v>
      </c>
      <c r="E5034" s="1" t="s">
        <v>927</v>
      </c>
      <c r="F5034" s="1" t="s">
        <v>927</v>
      </c>
      <c r="G5034" s="1">
        <v>293.0</v>
      </c>
      <c r="H5034" s="1">
        <v>18.4477111</v>
      </c>
      <c r="I5034" s="1">
        <v>5.25</v>
      </c>
      <c r="J5034" s="1">
        <v>5.064824</v>
      </c>
    </row>
    <row r="5035">
      <c r="A5035" s="1">
        <v>2025.0</v>
      </c>
      <c r="B5035" s="1" t="s">
        <v>287</v>
      </c>
      <c r="C5035" s="1">
        <v>571945.0</v>
      </c>
      <c r="D5035" s="1" t="s">
        <v>533</v>
      </c>
      <c r="E5035" s="1" t="s">
        <v>927</v>
      </c>
      <c r="F5035" s="1" t="s">
        <v>927</v>
      </c>
      <c r="G5035" s="1">
        <v>288.0</v>
      </c>
      <c r="H5035" s="1">
        <v>18.13290375</v>
      </c>
      <c r="I5035" s="1">
        <v>5.34</v>
      </c>
      <c r="J5035" s="1">
        <v>4.485953</v>
      </c>
    </row>
    <row r="5036">
      <c r="A5036" s="1">
        <v>2025.0</v>
      </c>
      <c r="B5036" s="1" t="s">
        <v>287</v>
      </c>
      <c r="C5036" s="1">
        <v>571945.0</v>
      </c>
      <c r="D5036" s="1" t="s">
        <v>539</v>
      </c>
      <c r="E5036" s="1" t="s">
        <v>927</v>
      </c>
      <c r="F5036" s="1" t="s">
        <v>927</v>
      </c>
      <c r="G5036" s="1">
        <v>62.0</v>
      </c>
      <c r="H5036" s="1">
        <v>3.903611223</v>
      </c>
      <c r="I5036" s="1">
        <v>5.05</v>
      </c>
      <c r="J5036" s="1">
        <v>1.208317</v>
      </c>
    </row>
    <row r="5037">
      <c r="A5037" s="1">
        <v>2025.0</v>
      </c>
      <c r="B5037" s="1" t="s">
        <v>607</v>
      </c>
      <c r="C5037" s="1">
        <v>815083.0</v>
      </c>
      <c r="D5037" s="1" t="s">
        <v>532</v>
      </c>
      <c r="E5037" s="1" t="s">
        <v>926</v>
      </c>
      <c r="F5037" s="1" t="s">
        <v>926</v>
      </c>
      <c r="G5037" s="1">
        <v>22.0</v>
      </c>
      <c r="H5037" s="1">
        <v>1.3218107</v>
      </c>
      <c r="I5037" s="1">
        <v>5.61</v>
      </c>
      <c r="J5037" s="1">
        <v>0.208202</v>
      </c>
    </row>
    <row r="5038">
      <c r="A5038" s="1">
        <v>2025.0</v>
      </c>
      <c r="B5038" s="1" t="s">
        <v>607</v>
      </c>
      <c r="C5038" s="1">
        <v>815083.0</v>
      </c>
      <c r="D5038" s="1" t="s">
        <v>537</v>
      </c>
      <c r="E5038" s="1" t="s">
        <v>926</v>
      </c>
      <c r="F5038" s="1" t="s">
        <v>926</v>
      </c>
      <c r="G5038" s="1">
        <v>65.0</v>
      </c>
      <c r="H5038" s="1">
        <v>3.905349794</v>
      </c>
      <c r="I5038" s="1">
        <v>4.79</v>
      </c>
      <c r="J5038" s="1">
        <v>1.71064</v>
      </c>
    </row>
    <row r="5039">
      <c r="A5039" s="1">
        <v>2025.0</v>
      </c>
      <c r="B5039" s="1" t="s">
        <v>607</v>
      </c>
      <c r="C5039" s="1">
        <v>815083.0</v>
      </c>
      <c r="D5039" s="1" t="s">
        <v>533</v>
      </c>
      <c r="E5039" s="1" t="s">
        <v>926</v>
      </c>
      <c r="F5039" s="1" t="s">
        <v>926</v>
      </c>
      <c r="G5039" s="1">
        <v>34.0</v>
      </c>
      <c r="H5039" s="1">
        <v>2.042798354</v>
      </c>
      <c r="I5039" s="1">
        <v>5.19</v>
      </c>
      <c r="J5039" s="1">
        <v>0.619358</v>
      </c>
    </row>
    <row r="5040">
      <c r="A5040" s="1">
        <v>2025.0</v>
      </c>
      <c r="B5040" s="1" t="s">
        <v>607</v>
      </c>
      <c r="C5040" s="1">
        <v>815083.0</v>
      </c>
      <c r="D5040" s="1" t="s">
        <v>532</v>
      </c>
      <c r="E5040" s="1" t="s">
        <v>926</v>
      </c>
      <c r="F5040" s="1" t="s">
        <v>927</v>
      </c>
      <c r="G5040" s="1">
        <v>86.0</v>
      </c>
      <c r="H5040" s="1">
        <v>5.167078189</v>
      </c>
      <c r="I5040" s="1">
        <v>4.31</v>
      </c>
      <c r="J5040" s="1">
        <v>2.917871</v>
      </c>
    </row>
    <row r="5041">
      <c r="A5041" s="1">
        <v>2025.0</v>
      </c>
      <c r="B5041" s="1" t="s">
        <v>607</v>
      </c>
      <c r="C5041" s="1">
        <v>815083.0</v>
      </c>
      <c r="D5041" s="1" t="s">
        <v>537</v>
      </c>
      <c r="E5041" s="1" t="s">
        <v>926</v>
      </c>
      <c r="F5041" s="1" t="s">
        <v>927</v>
      </c>
      <c r="G5041" s="1">
        <v>137.0</v>
      </c>
      <c r="H5041" s="1">
        <v>8.23127572</v>
      </c>
      <c r="I5041" s="1">
        <v>4.2</v>
      </c>
      <c r="J5041" s="1">
        <v>5.274101</v>
      </c>
    </row>
    <row r="5042">
      <c r="A5042" s="1">
        <v>2025.0</v>
      </c>
      <c r="B5042" s="1" t="s">
        <v>607</v>
      </c>
      <c r="C5042" s="1">
        <v>815083.0</v>
      </c>
      <c r="D5042" s="1" t="s">
        <v>533</v>
      </c>
      <c r="E5042" s="1" t="s">
        <v>926</v>
      </c>
      <c r="F5042" s="1" t="s">
        <v>927</v>
      </c>
      <c r="G5042" s="1">
        <v>61.0</v>
      </c>
      <c r="H5042" s="1">
        <v>3.665020576</v>
      </c>
      <c r="I5042" s="1">
        <v>5.44</v>
      </c>
      <c r="J5042" s="1">
        <v>0.852583</v>
      </c>
    </row>
    <row r="5043">
      <c r="A5043" s="1">
        <v>2025.0</v>
      </c>
      <c r="B5043" s="1" t="s">
        <v>423</v>
      </c>
      <c r="C5043" s="1">
        <v>656605.0</v>
      </c>
      <c r="D5043" s="1" t="s">
        <v>532</v>
      </c>
      <c r="E5043" s="1" t="s">
        <v>927</v>
      </c>
      <c r="F5043" s="1" t="s">
        <v>926</v>
      </c>
      <c r="G5043" s="1">
        <v>193.0</v>
      </c>
      <c r="H5043" s="1">
        <v>11.86622501</v>
      </c>
      <c r="I5043" s="1">
        <v>4.85</v>
      </c>
      <c r="J5043" s="1">
        <v>4.796813</v>
      </c>
    </row>
    <row r="5044">
      <c r="A5044" s="1">
        <v>2025.0</v>
      </c>
      <c r="B5044" s="1" t="s">
        <v>423</v>
      </c>
      <c r="C5044" s="1">
        <v>656605.0</v>
      </c>
      <c r="D5044" s="1" t="s">
        <v>541</v>
      </c>
      <c r="E5044" s="1" t="s">
        <v>927</v>
      </c>
      <c r="F5044" s="1" t="s">
        <v>926</v>
      </c>
      <c r="G5044" s="1">
        <v>186.0</v>
      </c>
      <c r="H5044" s="1">
        <v>11.43584379</v>
      </c>
      <c r="I5044" s="1">
        <v>4.43</v>
      </c>
      <c r="J5044" s="1">
        <v>6.185911</v>
      </c>
    </row>
    <row r="5045">
      <c r="A5045" s="1">
        <v>2025.0</v>
      </c>
      <c r="B5045" s="1" t="s">
        <v>423</v>
      </c>
      <c r="C5045" s="1">
        <v>656605.0</v>
      </c>
      <c r="D5045" s="1" t="s">
        <v>540</v>
      </c>
      <c r="E5045" s="1" t="s">
        <v>927</v>
      </c>
      <c r="F5045" s="1" t="s">
        <v>926</v>
      </c>
      <c r="G5045" s="1">
        <v>3.0</v>
      </c>
      <c r="H5045" s="1">
        <v>0.184449093</v>
      </c>
      <c r="I5045" s="1">
        <v>6.12</v>
      </c>
      <c r="J5045" s="1">
        <v>0.007053</v>
      </c>
    </row>
    <row r="5046">
      <c r="A5046" s="1">
        <v>2025.0</v>
      </c>
      <c r="B5046" s="1" t="s">
        <v>423</v>
      </c>
      <c r="C5046" s="1">
        <v>656605.0</v>
      </c>
      <c r="D5046" s="1" t="s">
        <v>537</v>
      </c>
      <c r="E5046" s="1" t="s">
        <v>927</v>
      </c>
      <c r="F5046" s="1" t="s">
        <v>926</v>
      </c>
      <c r="G5046" s="1">
        <v>638.0</v>
      </c>
      <c r="H5046" s="1">
        <v>39.22617387</v>
      </c>
      <c r="I5046" s="1">
        <v>4.76</v>
      </c>
      <c r="J5046" s="1">
        <v>17.470118</v>
      </c>
    </row>
    <row r="5047">
      <c r="A5047" s="1">
        <v>2025.0</v>
      </c>
      <c r="B5047" s="1" t="s">
        <v>423</v>
      </c>
      <c r="C5047" s="1">
        <v>656605.0</v>
      </c>
      <c r="D5047" s="1" t="s">
        <v>536</v>
      </c>
      <c r="E5047" s="1" t="s">
        <v>927</v>
      </c>
      <c r="F5047" s="1" t="s">
        <v>926</v>
      </c>
      <c r="G5047" s="1">
        <v>98.0</v>
      </c>
      <c r="H5047" s="1">
        <v>6.025337053</v>
      </c>
      <c r="I5047" s="1">
        <v>4.16</v>
      </c>
      <c r="J5047" s="1">
        <v>3.822034</v>
      </c>
    </row>
    <row r="5048">
      <c r="A5048" s="1">
        <v>2025.0</v>
      </c>
      <c r="B5048" s="1" t="s">
        <v>423</v>
      </c>
      <c r="C5048" s="1">
        <v>656605.0</v>
      </c>
      <c r="D5048" s="1" t="s">
        <v>533</v>
      </c>
      <c r="E5048" s="1" t="s">
        <v>927</v>
      </c>
      <c r="F5048" s="1" t="s">
        <v>926</v>
      </c>
      <c r="G5048" s="1">
        <v>172.0</v>
      </c>
      <c r="H5048" s="1">
        <v>10.57508136</v>
      </c>
      <c r="I5048" s="1">
        <v>5.3</v>
      </c>
      <c r="J5048" s="1">
        <v>2.664647</v>
      </c>
    </row>
    <row r="5049">
      <c r="A5049" s="1">
        <v>2025.0</v>
      </c>
      <c r="B5049" s="1" t="s">
        <v>423</v>
      </c>
      <c r="C5049" s="1">
        <v>656605.0</v>
      </c>
      <c r="D5049" s="1" t="s">
        <v>539</v>
      </c>
      <c r="E5049" s="1" t="s">
        <v>927</v>
      </c>
      <c r="F5049" s="1" t="s">
        <v>926</v>
      </c>
      <c r="G5049" s="1">
        <v>200.0</v>
      </c>
      <c r="H5049" s="1">
        <v>12.29660623</v>
      </c>
      <c r="I5049" s="1">
        <v>5.41</v>
      </c>
      <c r="J5049" s="1">
        <v>2.673067</v>
      </c>
    </row>
    <row r="5050">
      <c r="A5050" s="1">
        <v>2025.0</v>
      </c>
      <c r="B5050" s="1" t="s">
        <v>423</v>
      </c>
      <c r="C5050" s="1">
        <v>656605.0</v>
      </c>
      <c r="D5050" s="1" t="s">
        <v>532</v>
      </c>
      <c r="E5050" s="1" t="s">
        <v>927</v>
      </c>
      <c r="F5050" s="1" t="s">
        <v>927</v>
      </c>
      <c r="G5050" s="1">
        <v>5.0</v>
      </c>
      <c r="H5050" s="1">
        <v>0.307415156</v>
      </c>
      <c r="I5050" s="1">
        <v>5.16</v>
      </c>
      <c r="J5050" s="1">
        <v>0.105821</v>
      </c>
    </row>
    <row r="5051">
      <c r="A5051" s="1">
        <v>2025.0</v>
      </c>
      <c r="B5051" s="1" t="s">
        <v>423</v>
      </c>
      <c r="C5051" s="1">
        <v>656605.0</v>
      </c>
      <c r="D5051" s="1" t="s">
        <v>541</v>
      </c>
      <c r="E5051" s="1" t="s">
        <v>927</v>
      </c>
      <c r="F5051" s="1" t="s">
        <v>927</v>
      </c>
      <c r="G5051" s="1">
        <v>24.0</v>
      </c>
      <c r="H5051" s="1">
        <v>1.475592748</v>
      </c>
      <c r="I5051" s="1">
        <v>4.71</v>
      </c>
      <c r="J5051" s="1">
        <v>0.668987</v>
      </c>
    </row>
    <row r="5052">
      <c r="A5052" s="1">
        <v>2025.0</v>
      </c>
      <c r="B5052" s="1" t="s">
        <v>423</v>
      </c>
      <c r="C5052" s="1">
        <v>656605.0</v>
      </c>
      <c r="D5052" s="1" t="s">
        <v>537</v>
      </c>
      <c r="E5052" s="1" t="s">
        <v>927</v>
      </c>
      <c r="F5052" s="1" t="s">
        <v>927</v>
      </c>
      <c r="G5052" s="1">
        <v>421.0</v>
      </c>
      <c r="H5052" s="1">
        <v>25.88435611</v>
      </c>
      <c r="I5052" s="1">
        <v>4.68</v>
      </c>
      <c r="J5052" s="1">
        <v>12.25851</v>
      </c>
    </row>
    <row r="5053">
      <c r="A5053" s="1">
        <v>2025.0</v>
      </c>
      <c r="B5053" s="1" t="s">
        <v>423</v>
      </c>
      <c r="C5053" s="1">
        <v>656605.0</v>
      </c>
      <c r="D5053" s="1" t="s">
        <v>536</v>
      </c>
      <c r="E5053" s="1" t="s">
        <v>927</v>
      </c>
      <c r="F5053" s="1" t="s">
        <v>927</v>
      </c>
      <c r="G5053" s="1">
        <v>352.0</v>
      </c>
      <c r="H5053" s="1">
        <v>21.64202696</v>
      </c>
      <c r="I5053" s="1">
        <v>4.71</v>
      </c>
      <c r="J5053" s="1">
        <v>9.92956</v>
      </c>
    </row>
    <row r="5054">
      <c r="A5054" s="1">
        <v>2025.0</v>
      </c>
      <c r="B5054" s="1" t="s">
        <v>423</v>
      </c>
      <c r="C5054" s="1">
        <v>656605.0</v>
      </c>
      <c r="D5054" s="1" t="s">
        <v>533</v>
      </c>
      <c r="E5054" s="1" t="s">
        <v>927</v>
      </c>
      <c r="F5054" s="1" t="s">
        <v>927</v>
      </c>
      <c r="G5054" s="1">
        <v>240.0</v>
      </c>
      <c r="H5054" s="1">
        <v>14.75592748</v>
      </c>
      <c r="I5054" s="1">
        <v>5.17</v>
      </c>
      <c r="J5054" s="1">
        <v>4.368488</v>
      </c>
    </row>
    <row r="5055">
      <c r="A5055" s="1">
        <v>2025.0</v>
      </c>
      <c r="B5055" s="1" t="s">
        <v>423</v>
      </c>
      <c r="C5055" s="1">
        <v>656605.0</v>
      </c>
      <c r="D5055" s="1" t="s">
        <v>539</v>
      </c>
      <c r="E5055" s="1" t="s">
        <v>927</v>
      </c>
      <c r="F5055" s="1" t="s">
        <v>927</v>
      </c>
      <c r="G5055" s="1">
        <v>336.0</v>
      </c>
      <c r="H5055" s="1">
        <v>20.65829847</v>
      </c>
      <c r="I5055" s="1">
        <v>5.35</v>
      </c>
      <c r="J5055" s="1">
        <v>4.766498</v>
      </c>
    </row>
    <row r="5056">
      <c r="A5056" s="1">
        <v>2025.0</v>
      </c>
      <c r="B5056" s="1" t="s">
        <v>127</v>
      </c>
      <c r="C5056" s="1">
        <v>687765.0</v>
      </c>
      <c r="D5056" s="1" t="s">
        <v>532</v>
      </c>
      <c r="E5056" s="1" t="s">
        <v>927</v>
      </c>
      <c r="F5056" s="1" t="s">
        <v>926</v>
      </c>
      <c r="G5056" s="1">
        <v>10.0</v>
      </c>
      <c r="H5056" s="1">
        <v>0.626232742</v>
      </c>
      <c r="I5056" s="1">
        <v>3.61</v>
      </c>
      <c r="J5056" s="1">
        <v>0.510178</v>
      </c>
    </row>
    <row r="5057">
      <c r="A5057" s="1">
        <v>2025.0</v>
      </c>
      <c r="B5057" s="1" t="s">
        <v>127</v>
      </c>
      <c r="C5057" s="1">
        <v>687765.0</v>
      </c>
      <c r="D5057" s="1" t="s">
        <v>541</v>
      </c>
      <c r="E5057" s="1" t="s">
        <v>927</v>
      </c>
      <c r="F5057" s="1" t="s">
        <v>926</v>
      </c>
      <c r="G5057" s="1">
        <v>155.0</v>
      </c>
      <c r="H5057" s="1">
        <v>9.706607495</v>
      </c>
      <c r="I5057" s="1">
        <v>4.86</v>
      </c>
      <c r="J5057" s="1">
        <v>3.726532</v>
      </c>
    </row>
    <row r="5058">
      <c r="A5058" s="1">
        <v>2025.0</v>
      </c>
      <c r="B5058" s="1" t="s">
        <v>127</v>
      </c>
      <c r="C5058" s="1">
        <v>687765.0</v>
      </c>
      <c r="D5058" s="1" t="s">
        <v>540</v>
      </c>
      <c r="E5058" s="1" t="s">
        <v>927</v>
      </c>
      <c r="F5058" s="1" t="s">
        <v>926</v>
      </c>
      <c r="G5058" s="1">
        <v>297.0</v>
      </c>
      <c r="H5058" s="1">
        <v>18.59911243</v>
      </c>
      <c r="I5058" s="1">
        <v>5.15</v>
      </c>
      <c r="J5058" s="1">
        <v>5.772585</v>
      </c>
    </row>
    <row r="5059">
      <c r="A5059" s="1">
        <v>2025.0</v>
      </c>
      <c r="B5059" s="1" t="s">
        <v>127</v>
      </c>
      <c r="C5059" s="1">
        <v>687765.0</v>
      </c>
      <c r="D5059" s="1" t="s">
        <v>536</v>
      </c>
      <c r="E5059" s="1" t="s">
        <v>927</v>
      </c>
      <c r="F5059" s="1" t="s">
        <v>926</v>
      </c>
      <c r="G5059" s="1">
        <v>36.0</v>
      </c>
      <c r="H5059" s="1">
        <v>2.25443787</v>
      </c>
      <c r="I5059" s="1">
        <v>4.43</v>
      </c>
      <c r="J5059" s="1">
        <v>1.244459</v>
      </c>
    </row>
    <row r="5060">
      <c r="A5060" s="1">
        <v>2025.0</v>
      </c>
      <c r="B5060" s="1" t="s">
        <v>127</v>
      </c>
      <c r="C5060" s="1">
        <v>687765.0</v>
      </c>
      <c r="D5060" s="1" t="s">
        <v>533</v>
      </c>
      <c r="E5060" s="1" t="s">
        <v>927</v>
      </c>
      <c r="F5060" s="1" t="s">
        <v>926</v>
      </c>
      <c r="G5060" s="1">
        <v>104.0</v>
      </c>
      <c r="H5060" s="1">
        <v>6.512820513</v>
      </c>
      <c r="I5060" s="1">
        <v>5.52</v>
      </c>
      <c r="J5060" s="1">
        <v>1.210078</v>
      </c>
    </row>
    <row r="5061">
      <c r="A5061" s="1">
        <v>2025.0</v>
      </c>
      <c r="B5061" s="1" t="s">
        <v>127</v>
      </c>
      <c r="C5061" s="1">
        <v>687765.0</v>
      </c>
      <c r="D5061" s="1" t="s">
        <v>532</v>
      </c>
      <c r="E5061" s="1" t="s">
        <v>927</v>
      </c>
      <c r="F5061" s="1" t="s">
        <v>927</v>
      </c>
      <c r="G5061" s="1">
        <v>4.0</v>
      </c>
      <c r="H5061" s="1">
        <v>0.250493097</v>
      </c>
      <c r="I5061" s="1">
        <v>4.6</v>
      </c>
      <c r="J5061" s="1">
        <v>0.114473</v>
      </c>
    </row>
    <row r="5062">
      <c r="A5062" s="1">
        <v>2025.0</v>
      </c>
      <c r="B5062" s="1" t="s">
        <v>127</v>
      </c>
      <c r="C5062" s="1">
        <v>687765.0</v>
      </c>
      <c r="D5062" s="1" t="s">
        <v>541</v>
      </c>
      <c r="E5062" s="1" t="s">
        <v>927</v>
      </c>
      <c r="F5062" s="1" t="s">
        <v>927</v>
      </c>
      <c r="G5062" s="1">
        <v>82.0</v>
      </c>
      <c r="H5062" s="1">
        <v>5.135108481</v>
      </c>
      <c r="I5062" s="1">
        <v>5.08</v>
      </c>
      <c r="J5062" s="1">
        <v>1.536036</v>
      </c>
    </row>
    <row r="5063">
      <c r="A5063" s="1">
        <v>2025.0</v>
      </c>
      <c r="B5063" s="1" t="s">
        <v>127</v>
      </c>
      <c r="C5063" s="1">
        <v>687765.0</v>
      </c>
      <c r="D5063" s="1" t="s">
        <v>540</v>
      </c>
      <c r="E5063" s="1" t="s">
        <v>927</v>
      </c>
      <c r="F5063" s="1" t="s">
        <v>927</v>
      </c>
      <c r="G5063" s="1">
        <v>315.0</v>
      </c>
      <c r="H5063" s="1">
        <v>19.72633136</v>
      </c>
      <c r="I5063" s="1">
        <v>5.32</v>
      </c>
      <c r="J5063" s="1">
        <v>4.926835</v>
      </c>
    </row>
    <row r="5064">
      <c r="A5064" s="1">
        <v>2025.0</v>
      </c>
      <c r="B5064" s="1" t="s">
        <v>127</v>
      </c>
      <c r="C5064" s="1">
        <v>687765.0</v>
      </c>
      <c r="D5064" s="1" t="s">
        <v>536</v>
      </c>
      <c r="E5064" s="1" t="s">
        <v>927</v>
      </c>
      <c r="F5064" s="1" t="s">
        <v>927</v>
      </c>
      <c r="G5064" s="1">
        <v>90.0</v>
      </c>
      <c r="H5064" s="1">
        <v>5.636094675</v>
      </c>
      <c r="I5064" s="1">
        <v>4.33</v>
      </c>
      <c r="J5064" s="1">
        <v>3.210752</v>
      </c>
    </row>
    <row r="5065">
      <c r="A5065" s="1">
        <v>2025.0</v>
      </c>
      <c r="B5065" s="1" t="s">
        <v>127</v>
      </c>
      <c r="C5065" s="1">
        <v>687765.0</v>
      </c>
      <c r="D5065" s="1" t="s">
        <v>533</v>
      </c>
      <c r="E5065" s="1" t="s">
        <v>927</v>
      </c>
      <c r="F5065" s="1" t="s">
        <v>927</v>
      </c>
      <c r="G5065" s="1">
        <v>259.0</v>
      </c>
      <c r="H5065" s="1">
        <v>16.21942801</v>
      </c>
      <c r="I5065" s="1">
        <v>5.43</v>
      </c>
      <c r="J5065" s="1">
        <v>3.349702</v>
      </c>
    </row>
    <row r="5066">
      <c r="A5066" s="1">
        <v>2025.0</v>
      </c>
      <c r="B5066" s="1" t="s">
        <v>330</v>
      </c>
      <c r="C5066" s="1">
        <v>680730.0</v>
      </c>
      <c r="D5066" s="1" t="s">
        <v>541</v>
      </c>
      <c r="E5066" s="1" t="s">
        <v>926</v>
      </c>
      <c r="F5066" s="1" t="s">
        <v>926</v>
      </c>
      <c r="G5066" s="1">
        <v>90.0</v>
      </c>
      <c r="H5066" s="1">
        <v>5.480769231</v>
      </c>
      <c r="I5066" s="1">
        <v>5.21</v>
      </c>
      <c r="J5066" s="1">
        <v>1.594007</v>
      </c>
    </row>
    <row r="5067">
      <c r="A5067" s="1">
        <v>2025.0</v>
      </c>
      <c r="B5067" s="1" t="s">
        <v>330</v>
      </c>
      <c r="C5067" s="1">
        <v>680730.0</v>
      </c>
      <c r="D5067" s="1" t="s">
        <v>537</v>
      </c>
      <c r="E5067" s="1" t="s">
        <v>926</v>
      </c>
      <c r="F5067" s="1" t="s">
        <v>926</v>
      </c>
      <c r="G5067" s="1">
        <v>390.0</v>
      </c>
      <c r="H5067" s="1">
        <v>23.75</v>
      </c>
      <c r="I5067" s="1">
        <v>5.08</v>
      </c>
      <c r="J5067" s="1">
        <v>8.137333</v>
      </c>
    </row>
    <row r="5068">
      <c r="A5068" s="1">
        <v>2025.0</v>
      </c>
      <c r="B5068" s="1" t="s">
        <v>330</v>
      </c>
      <c r="C5068" s="1">
        <v>680730.0</v>
      </c>
      <c r="D5068" s="1" t="s">
        <v>538</v>
      </c>
      <c r="E5068" s="1" t="s">
        <v>926</v>
      </c>
      <c r="F5068" s="1" t="s">
        <v>926</v>
      </c>
      <c r="G5068" s="1">
        <v>9.0</v>
      </c>
      <c r="H5068" s="1">
        <v>0.548076923</v>
      </c>
      <c r="I5068" s="1">
        <v>4.31</v>
      </c>
      <c r="J5068" s="1">
        <v>0.318497</v>
      </c>
    </row>
    <row r="5069">
      <c r="A5069" s="1">
        <v>2025.0</v>
      </c>
      <c r="B5069" s="1" t="s">
        <v>330</v>
      </c>
      <c r="C5069" s="1">
        <v>680730.0</v>
      </c>
      <c r="D5069" s="1" t="s">
        <v>533</v>
      </c>
      <c r="E5069" s="1" t="s">
        <v>926</v>
      </c>
      <c r="F5069" s="1" t="s">
        <v>926</v>
      </c>
      <c r="G5069" s="1">
        <v>224.0</v>
      </c>
      <c r="H5069" s="1">
        <v>13.64102564</v>
      </c>
      <c r="I5069" s="1">
        <v>4.93</v>
      </c>
      <c r="J5069" s="1">
        <v>5.270463</v>
      </c>
    </row>
    <row r="5070">
      <c r="A5070" s="1">
        <v>2025.0</v>
      </c>
      <c r="B5070" s="1" t="s">
        <v>330</v>
      </c>
      <c r="C5070" s="1">
        <v>680730.0</v>
      </c>
      <c r="D5070" s="1" t="s">
        <v>541</v>
      </c>
      <c r="E5070" s="1" t="s">
        <v>926</v>
      </c>
      <c r="F5070" s="1" t="s">
        <v>927</v>
      </c>
      <c r="G5070" s="1">
        <v>504.0</v>
      </c>
      <c r="H5070" s="1">
        <v>30.69230769</v>
      </c>
      <c r="I5070" s="1">
        <v>5.07</v>
      </c>
      <c r="J5070" s="1">
        <v>10.506794</v>
      </c>
    </row>
    <row r="5071">
      <c r="A5071" s="1">
        <v>2025.0</v>
      </c>
      <c r="B5071" s="1" t="s">
        <v>330</v>
      </c>
      <c r="C5071" s="1">
        <v>680730.0</v>
      </c>
      <c r="D5071" s="1" t="s">
        <v>537</v>
      </c>
      <c r="E5071" s="1" t="s">
        <v>926</v>
      </c>
      <c r="F5071" s="1" t="s">
        <v>927</v>
      </c>
      <c r="G5071" s="1">
        <v>1110.0</v>
      </c>
      <c r="H5071" s="1">
        <v>67.59615385</v>
      </c>
      <c r="I5071" s="1">
        <v>4.91</v>
      </c>
      <c r="J5071" s="1">
        <v>27.009076</v>
      </c>
    </row>
    <row r="5072">
      <c r="A5072" s="1">
        <v>2025.0</v>
      </c>
      <c r="B5072" s="1" t="s">
        <v>330</v>
      </c>
      <c r="C5072" s="1">
        <v>680730.0</v>
      </c>
      <c r="D5072" s="1" t="s">
        <v>538</v>
      </c>
      <c r="E5072" s="1" t="s">
        <v>926</v>
      </c>
      <c r="F5072" s="1" t="s">
        <v>927</v>
      </c>
      <c r="G5072" s="1">
        <v>279.0</v>
      </c>
      <c r="H5072" s="1">
        <v>16.99038462</v>
      </c>
      <c r="I5072" s="1">
        <v>4.75</v>
      </c>
      <c r="J5072" s="1">
        <v>7.460541</v>
      </c>
    </row>
    <row r="5073">
      <c r="A5073" s="1">
        <v>2025.0</v>
      </c>
      <c r="B5073" s="1" t="s">
        <v>330</v>
      </c>
      <c r="C5073" s="1">
        <v>680730.0</v>
      </c>
      <c r="D5073" s="1" t="s">
        <v>533</v>
      </c>
      <c r="E5073" s="1" t="s">
        <v>926</v>
      </c>
      <c r="F5073" s="1" t="s">
        <v>927</v>
      </c>
      <c r="G5073" s="1">
        <v>98.0</v>
      </c>
      <c r="H5073" s="1">
        <v>5.967948718</v>
      </c>
      <c r="I5073" s="1">
        <v>5.14</v>
      </c>
      <c r="J5073" s="1">
        <v>1.869662</v>
      </c>
    </row>
    <row r="5074">
      <c r="A5074" s="1">
        <v>2025.0</v>
      </c>
      <c r="B5074" s="1" t="s">
        <v>175</v>
      </c>
      <c r="C5074" s="1">
        <v>622503.0</v>
      </c>
      <c r="D5074" s="1" t="s">
        <v>532</v>
      </c>
      <c r="E5074" s="1" t="s">
        <v>927</v>
      </c>
      <c r="F5074" s="1" t="s">
        <v>926</v>
      </c>
      <c r="G5074" s="1">
        <v>86.0</v>
      </c>
      <c r="H5074" s="1">
        <v>5.475655431</v>
      </c>
      <c r="I5074" s="1">
        <v>5.33</v>
      </c>
      <c r="J5074" s="1">
        <v>1.320188</v>
      </c>
    </row>
    <row r="5075">
      <c r="A5075" s="1">
        <v>2025.0</v>
      </c>
      <c r="B5075" s="1" t="s">
        <v>175</v>
      </c>
      <c r="C5075" s="1">
        <v>622503.0</v>
      </c>
      <c r="D5075" s="1" t="s">
        <v>541</v>
      </c>
      <c r="E5075" s="1" t="s">
        <v>927</v>
      </c>
      <c r="F5075" s="1" t="s">
        <v>926</v>
      </c>
      <c r="G5075" s="1">
        <v>40.0</v>
      </c>
      <c r="H5075" s="1">
        <v>2.546816479</v>
      </c>
      <c r="I5075" s="1">
        <v>4.61</v>
      </c>
      <c r="J5075" s="1">
        <v>1.197268</v>
      </c>
    </row>
    <row r="5076">
      <c r="A5076" s="1">
        <v>2025.0</v>
      </c>
      <c r="B5076" s="1" t="s">
        <v>175</v>
      </c>
      <c r="C5076" s="1">
        <v>622503.0</v>
      </c>
      <c r="D5076" s="1" t="s">
        <v>537</v>
      </c>
      <c r="E5076" s="1" t="s">
        <v>927</v>
      </c>
      <c r="F5076" s="1" t="s">
        <v>926</v>
      </c>
      <c r="G5076" s="1">
        <v>47.0</v>
      </c>
      <c r="H5076" s="1">
        <v>2.992509363</v>
      </c>
      <c r="I5076" s="1">
        <v>4.61</v>
      </c>
      <c r="J5076" s="1">
        <v>1.462042</v>
      </c>
    </row>
    <row r="5077">
      <c r="A5077" s="1">
        <v>2025.0</v>
      </c>
      <c r="B5077" s="1" t="s">
        <v>175</v>
      </c>
      <c r="C5077" s="1">
        <v>622503.0</v>
      </c>
      <c r="D5077" s="1" t="s">
        <v>536</v>
      </c>
      <c r="E5077" s="1" t="s">
        <v>927</v>
      </c>
      <c r="F5077" s="1" t="s">
        <v>926</v>
      </c>
      <c r="G5077" s="1">
        <v>35.0</v>
      </c>
      <c r="H5077" s="1">
        <v>2.228464419</v>
      </c>
      <c r="I5077" s="1">
        <v>4.81</v>
      </c>
      <c r="J5077" s="1">
        <v>0.936383</v>
      </c>
    </row>
    <row r="5078">
      <c r="A5078" s="1">
        <v>2025.0</v>
      </c>
      <c r="B5078" s="1" t="s">
        <v>175</v>
      </c>
      <c r="C5078" s="1">
        <v>622503.0</v>
      </c>
      <c r="D5078" s="1" t="s">
        <v>533</v>
      </c>
      <c r="E5078" s="1" t="s">
        <v>927</v>
      </c>
      <c r="F5078" s="1" t="s">
        <v>926</v>
      </c>
      <c r="G5078" s="1">
        <v>7.0</v>
      </c>
      <c r="H5078" s="1">
        <v>0.445692884</v>
      </c>
      <c r="I5078" s="1">
        <v>4.94</v>
      </c>
      <c r="J5078" s="1">
        <v>0.153629</v>
      </c>
    </row>
    <row r="5079">
      <c r="A5079" s="1">
        <v>2025.0</v>
      </c>
      <c r="B5079" s="1" t="s">
        <v>175</v>
      </c>
      <c r="C5079" s="1">
        <v>622503.0</v>
      </c>
      <c r="D5079" s="1" t="s">
        <v>532</v>
      </c>
      <c r="E5079" s="1" t="s">
        <v>927</v>
      </c>
      <c r="F5079" s="1" t="s">
        <v>927</v>
      </c>
      <c r="G5079" s="1">
        <v>117.0</v>
      </c>
      <c r="H5079" s="1">
        <v>7.449438202</v>
      </c>
      <c r="I5079" s="1">
        <v>5.51</v>
      </c>
      <c r="J5079" s="1">
        <v>1.307602</v>
      </c>
    </row>
    <row r="5080">
      <c r="A5080" s="1">
        <v>2025.0</v>
      </c>
      <c r="B5080" s="1" t="s">
        <v>175</v>
      </c>
      <c r="C5080" s="1">
        <v>622503.0</v>
      </c>
      <c r="D5080" s="1" t="s">
        <v>541</v>
      </c>
      <c r="E5080" s="1" t="s">
        <v>927</v>
      </c>
      <c r="F5080" s="1" t="s">
        <v>927</v>
      </c>
      <c r="G5080" s="1">
        <v>43.0</v>
      </c>
      <c r="H5080" s="1">
        <v>2.737827715</v>
      </c>
      <c r="I5080" s="1">
        <v>5.27</v>
      </c>
      <c r="J5080" s="1">
        <v>0.751764</v>
      </c>
    </row>
    <row r="5081">
      <c r="A5081" s="1">
        <v>2025.0</v>
      </c>
      <c r="B5081" s="1" t="s">
        <v>175</v>
      </c>
      <c r="C5081" s="1">
        <v>622503.0</v>
      </c>
      <c r="D5081" s="1" t="s">
        <v>540</v>
      </c>
      <c r="E5081" s="1" t="s">
        <v>927</v>
      </c>
      <c r="F5081" s="1" t="s">
        <v>927</v>
      </c>
      <c r="G5081" s="1">
        <v>5.0</v>
      </c>
      <c r="H5081" s="1">
        <v>0.31835206</v>
      </c>
      <c r="I5081" s="1">
        <v>4.78</v>
      </c>
      <c r="J5081" s="1">
        <v>0.148564</v>
      </c>
    </row>
    <row r="5082">
      <c r="A5082" s="1">
        <v>2025.0</v>
      </c>
      <c r="B5082" s="1" t="s">
        <v>175</v>
      </c>
      <c r="C5082" s="1">
        <v>622503.0</v>
      </c>
      <c r="D5082" s="1" t="s">
        <v>537</v>
      </c>
      <c r="E5082" s="1" t="s">
        <v>927</v>
      </c>
      <c r="F5082" s="1" t="s">
        <v>927</v>
      </c>
      <c r="G5082" s="1">
        <v>38.0</v>
      </c>
      <c r="H5082" s="1">
        <v>2.419475655</v>
      </c>
      <c r="I5082" s="1">
        <v>4.55</v>
      </c>
      <c r="J5082" s="1">
        <v>1.193797</v>
      </c>
    </row>
    <row r="5083">
      <c r="A5083" s="1">
        <v>2025.0</v>
      </c>
      <c r="B5083" s="1" t="s">
        <v>175</v>
      </c>
      <c r="C5083" s="1">
        <v>622503.0</v>
      </c>
      <c r="D5083" s="1" t="s">
        <v>536</v>
      </c>
      <c r="E5083" s="1" t="s">
        <v>927</v>
      </c>
      <c r="F5083" s="1" t="s">
        <v>927</v>
      </c>
      <c r="G5083" s="1">
        <v>93.0</v>
      </c>
      <c r="H5083" s="1">
        <v>5.921348315</v>
      </c>
      <c r="I5083" s="1">
        <v>5.11</v>
      </c>
      <c r="J5083" s="1">
        <v>1.936021</v>
      </c>
    </row>
    <row r="5084">
      <c r="A5084" s="1">
        <v>2025.0</v>
      </c>
      <c r="B5084" s="1" t="s">
        <v>175</v>
      </c>
      <c r="C5084" s="1">
        <v>622503.0</v>
      </c>
      <c r="D5084" s="1" t="s">
        <v>533</v>
      </c>
      <c r="E5084" s="1" t="s">
        <v>927</v>
      </c>
      <c r="F5084" s="1" t="s">
        <v>927</v>
      </c>
      <c r="G5084" s="1">
        <v>23.0</v>
      </c>
      <c r="H5084" s="1">
        <v>1.464419476</v>
      </c>
      <c r="I5084" s="1">
        <v>5.21</v>
      </c>
      <c r="J5084" s="1">
        <v>0.440423</v>
      </c>
    </row>
    <row r="5085">
      <c r="A5085" s="1">
        <v>2025.0</v>
      </c>
      <c r="B5085" s="1" t="s">
        <v>900</v>
      </c>
      <c r="C5085" s="1">
        <v>681987.0</v>
      </c>
      <c r="D5085" s="1" t="s">
        <v>537</v>
      </c>
      <c r="E5085" s="1" t="s">
        <v>927</v>
      </c>
      <c r="F5085" s="1" t="s">
        <v>926</v>
      </c>
      <c r="G5085" s="1">
        <v>2.0</v>
      </c>
      <c r="H5085" s="1">
        <v>0.25</v>
      </c>
      <c r="I5085" s="1">
        <v>3.33</v>
      </c>
      <c r="J5085" s="1">
        <v>0.118409</v>
      </c>
    </row>
    <row r="5086">
      <c r="A5086" s="1">
        <v>2025.0</v>
      </c>
      <c r="B5086" s="1" t="s">
        <v>900</v>
      </c>
      <c r="C5086" s="1">
        <v>681987.0</v>
      </c>
      <c r="D5086" s="1" t="s">
        <v>537</v>
      </c>
      <c r="E5086" s="1" t="s">
        <v>927</v>
      </c>
      <c r="F5086" s="1" t="s">
        <v>927</v>
      </c>
      <c r="G5086" s="1">
        <v>6.0</v>
      </c>
      <c r="H5086" s="1">
        <v>0.75</v>
      </c>
      <c r="I5086" s="1">
        <v>4.46</v>
      </c>
      <c r="J5086" s="1">
        <v>0.200677</v>
      </c>
    </row>
    <row r="5087">
      <c r="A5087" s="1">
        <v>2025.0</v>
      </c>
      <c r="B5087" s="1" t="s">
        <v>633</v>
      </c>
      <c r="C5087" s="1">
        <v>663878.0</v>
      </c>
      <c r="D5087" s="1" t="s">
        <v>541</v>
      </c>
      <c r="E5087" s="1" t="s">
        <v>927</v>
      </c>
      <c r="F5087" s="1" t="s">
        <v>926</v>
      </c>
      <c r="G5087" s="1">
        <v>7.0</v>
      </c>
      <c r="H5087" s="1">
        <v>0.366666667</v>
      </c>
      <c r="I5087" s="1">
        <v>4.47</v>
      </c>
      <c r="J5087" s="1">
        <v>0.229823</v>
      </c>
    </row>
    <row r="5088">
      <c r="A5088" s="1">
        <v>2025.0</v>
      </c>
      <c r="B5088" s="1" t="s">
        <v>633</v>
      </c>
      <c r="C5088" s="1">
        <v>663878.0</v>
      </c>
      <c r="D5088" s="1" t="s">
        <v>537</v>
      </c>
      <c r="E5088" s="1" t="s">
        <v>927</v>
      </c>
      <c r="F5088" s="1" t="s">
        <v>926</v>
      </c>
      <c r="G5088" s="1">
        <v>65.0</v>
      </c>
      <c r="H5088" s="1">
        <v>3.404761905</v>
      </c>
      <c r="I5088" s="1">
        <v>4.75</v>
      </c>
      <c r="J5088" s="1">
        <v>1.797309</v>
      </c>
    </row>
    <row r="5089">
      <c r="A5089" s="1">
        <v>2025.0</v>
      </c>
      <c r="B5089" s="1" t="s">
        <v>633</v>
      </c>
      <c r="C5089" s="1">
        <v>663878.0</v>
      </c>
      <c r="D5089" s="1" t="s">
        <v>533</v>
      </c>
      <c r="E5089" s="1" t="s">
        <v>927</v>
      </c>
      <c r="F5089" s="1" t="s">
        <v>926</v>
      </c>
      <c r="G5089" s="1">
        <v>55.0</v>
      </c>
      <c r="H5089" s="1">
        <v>2.880952381</v>
      </c>
      <c r="I5089" s="1">
        <v>4.76</v>
      </c>
      <c r="J5089" s="1">
        <v>1.471117</v>
      </c>
    </row>
    <row r="5090">
      <c r="A5090" s="1">
        <v>2025.0</v>
      </c>
      <c r="B5090" s="1" t="s">
        <v>633</v>
      </c>
      <c r="C5090" s="1">
        <v>663878.0</v>
      </c>
      <c r="D5090" s="1" t="s">
        <v>541</v>
      </c>
      <c r="E5090" s="1" t="s">
        <v>927</v>
      </c>
      <c r="F5090" s="1" t="s">
        <v>927</v>
      </c>
      <c r="G5090" s="1">
        <v>4.0</v>
      </c>
      <c r="H5090" s="1">
        <v>0.20952381</v>
      </c>
      <c r="I5090" s="1">
        <v>1.23</v>
      </c>
      <c r="J5090" s="1">
        <v>0.390232</v>
      </c>
    </row>
    <row r="5091">
      <c r="A5091" s="1">
        <v>2025.0</v>
      </c>
      <c r="B5091" s="1" t="s">
        <v>633</v>
      </c>
      <c r="C5091" s="1">
        <v>663878.0</v>
      </c>
      <c r="D5091" s="1" t="s">
        <v>537</v>
      </c>
      <c r="E5091" s="1" t="s">
        <v>927</v>
      </c>
      <c r="F5091" s="1" t="s">
        <v>927</v>
      </c>
      <c r="G5091" s="1">
        <v>82.0</v>
      </c>
      <c r="H5091" s="1">
        <v>4.295238095</v>
      </c>
      <c r="I5091" s="1">
        <v>5.2</v>
      </c>
      <c r="J5091" s="1">
        <v>1.503894</v>
      </c>
    </row>
    <row r="5092">
      <c r="A5092" s="1">
        <v>2025.0</v>
      </c>
      <c r="B5092" s="1" t="s">
        <v>633</v>
      </c>
      <c r="C5092" s="1">
        <v>663878.0</v>
      </c>
      <c r="D5092" s="1" t="s">
        <v>536</v>
      </c>
      <c r="E5092" s="1" t="s">
        <v>927</v>
      </c>
      <c r="F5092" s="1" t="s">
        <v>927</v>
      </c>
      <c r="G5092" s="1">
        <v>6.0</v>
      </c>
      <c r="H5092" s="1">
        <v>0.314285714</v>
      </c>
      <c r="I5092" s="1">
        <v>4.7</v>
      </c>
      <c r="J5092" s="1">
        <v>0.166446</v>
      </c>
    </row>
    <row r="5093">
      <c r="A5093" s="1">
        <v>2025.0</v>
      </c>
      <c r="B5093" s="1" t="s">
        <v>633</v>
      </c>
      <c r="C5093" s="1">
        <v>663878.0</v>
      </c>
      <c r="D5093" s="1" t="s">
        <v>533</v>
      </c>
      <c r="E5093" s="1" t="s">
        <v>927</v>
      </c>
      <c r="F5093" s="1" t="s">
        <v>927</v>
      </c>
      <c r="G5093" s="1">
        <v>61.0</v>
      </c>
      <c r="H5093" s="1">
        <v>3.195238095</v>
      </c>
      <c r="I5093" s="1">
        <v>5.07</v>
      </c>
      <c r="J5093" s="1">
        <v>1.234469</v>
      </c>
    </row>
    <row r="5094">
      <c r="A5094" s="1">
        <v>2025.0</v>
      </c>
      <c r="B5094" s="1" t="s">
        <v>115</v>
      </c>
      <c r="C5094" s="1">
        <v>543135.0</v>
      </c>
      <c r="D5094" s="1" t="s">
        <v>541</v>
      </c>
      <c r="E5094" s="1" t="s">
        <v>927</v>
      </c>
      <c r="F5094" s="1" t="s">
        <v>926</v>
      </c>
      <c r="G5094" s="1">
        <v>231.0</v>
      </c>
      <c r="H5094" s="1">
        <v>15.68965517</v>
      </c>
      <c r="I5094" s="1">
        <v>4.81</v>
      </c>
      <c r="J5094" s="1">
        <v>5.956161</v>
      </c>
    </row>
    <row r="5095">
      <c r="A5095" s="1">
        <v>2025.0</v>
      </c>
      <c r="B5095" s="1" t="s">
        <v>115</v>
      </c>
      <c r="C5095" s="1">
        <v>543135.0</v>
      </c>
      <c r="D5095" s="1" t="s">
        <v>540</v>
      </c>
      <c r="E5095" s="1" t="s">
        <v>927</v>
      </c>
      <c r="F5095" s="1" t="s">
        <v>926</v>
      </c>
      <c r="G5095" s="1">
        <v>219.0</v>
      </c>
      <c r="H5095" s="1">
        <v>14.87460815</v>
      </c>
      <c r="I5095" s="1">
        <v>5.44</v>
      </c>
      <c r="J5095" s="1">
        <v>3.010041</v>
      </c>
    </row>
    <row r="5096">
      <c r="A5096" s="1">
        <v>2025.0</v>
      </c>
      <c r="B5096" s="1" t="s">
        <v>115</v>
      </c>
      <c r="C5096" s="1">
        <v>543135.0</v>
      </c>
      <c r="D5096" s="1" t="s">
        <v>537</v>
      </c>
      <c r="E5096" s="1" t="s">
        <v>927</v>
      </c>
      <c r="F5096" s="1" t="s">
        <v>926</v>
      </c>
      <c r="G5096" s="1">
        <v>216.0</v>
      </c>
      <c r="H5096" s="1">
        <v>14.67084639</v>
      </c>
      <c r="I5096" s="1">
        <v>4.9</v>
      </c>
      <c r="J5096" s="1">
        <v>5.357008</v>
      </c>
    </row>
    <row r="5097">
      <c r="A5097" s="1">
        <v>2025.0</v>
      </c>
      <c r="B5097" s="1" t="s">
        <v>115</v>
      </c>
      <c r="C5097" s="1">
        <v>543135.0</v>
      </c>
      <c r="D5097" s="1" t="s">
        <v>538</v>
      </c>
      <c r="E5097" s="1" t="s">
        <v>927</v>
      </c>
      <c r="F5097" s="1" t="s">
        <v>926</v>
      </c>
      <c r="G5097" s="1">
        <v>348.0</v>
      </c>
      <c r="H5097" s="1">
        <v>23.63636364</v>
      </c>
      <c r="I5097" s="1">
        <v>4.99</v>
      </c>
      <c r="J5097" s="1">
        <v>7.710571</v>
      </c>
    </row>
    <row r="5098">
      <c r="A5098" s="1">
        <v>2025.0</v>
      </c>
      <c r="B5098" s="1" t="s">
        <v>115</v>
      </c>
      <c r="C5098" s="1">
        <v>543135.0</v>
      </c>
      <c r="D5098" s="1" t="s">
        <v>536</v>
      </c>
      <c r="E5098" s="1" t="s">
        <v>927</v>
      </c>
      <c r="F5098" s="1" t="s">
        <v>926</v>
      </c>
      <c r="G5098" s="1">
        <v>1.0</v>
      </c>
      <c r="H5098" s="1">
        <v>0.067920585</v>
      </c>
      <c r="I5098" s="1">
        <v>5.95</v>
      </c>
      <c r="J5098" s="1">
        <v>-7.42E-4</v>
      </c>
    </row>
    <row r="5099">
      <c r="A5099" s="1">
        <v>2025.0</v>
      </c>
      <c r="B5099" s="1" t="s">
        <v>115</v>
      </c>
      <c r="C5099" s="1">
        <v>543135.0</v>
      </c>
      <c r="D5099" s="1" t="s">
        <v>533</v>
      </c>
      <c r="E5099" s="1" t="s">
        <v>927</v>
      </c>
      <c r="F5099" s="1" t="s">
        <v>926</v>
      </c>
      <c r="G5099" s="1">
        <v>1.0</v>
      </c>
      <c r="H5099" s="1">
        <v>0.067920585</v>
      </c>
      <c r="I5099" s="1">
        <v>8.09</v>
      </c>
      <c r="J5099" s="1">
        <v>-0.034946</v>
      </c>
    </row>
    <row r="5100">
      <c r="A5100" s="1">
        <v>2025.0</v>
      </c>
      <c r="B5100" s="1" t="s">
        <v>115</v>
      </c>
      <c r="C5100" s="1">
        <v>543135.0</v>
      </c>
      <c r="D5100" s="1" t="s">
        <v>541</v>
      </c>
      <c r="E5100" s="1" t="s">
        <v>927</v>
      </c>
      <c r="F5100" s="1" t="s">
        <v>927</v>
      </c>
      <c r="G5100" s="1">
        <v>147.0</v>
      </c>
      <c r="H5100" s="1">
        <v>9.984326019</v>
      </c>
      <c r="I5100" s="1">
        <v>4.91</v>
      </c>
      <c r="J5100" s="1">
        <v>3.566294</v>
      </c>
    </row>
    <row r="5101">
      <c r="A5101" s="1">
        <v>2025.0</v>
      </c>
      <c r="B5101" s="1" t="s">
        <v>115</v>
      </c>
      <c r="C5101" s="1">
        <v>543135.0</v>
      </c>
      <c r="D5101" s="1" t="s">
        <v>540</v>
      </c>
      <c r="E5101" s="1" t="s">
        <v>927</v>
      </c>
      <c r="F5101" s="1" t="s">
        <v>927</v>
      </c>
      <c r="G5101" s="1">
        <v>165.0</v>
      </c>
      <c r="H5101" s="1">
        <v>11.20689655</v>
      </c>
      <c r="I5101" s="1">
        <v>5.36</v>
      </c>
      <c r="J5101" s="1">
        <v>2.603907</v>
      </c>
    </row>
    <row r="5102">
      <c r="A5102" s="1">
        <v>2025.0</v>
      </c>
      <c r="B5102" s="1" t="s">
        <v>115</v>
      </c>
      <c r="C5102" s="1">
        <v>543135.0</v>
      </c>
      <c r="D5102" s="1" t="s">
        <v>537</v>
      </c>
      <c r="E5102" s="1" t="s">
        <v>927</v>
      </c>
      <c r="F5102" s="1" t="s">
        <v>927</v>
      </c>
      <c r="G5102" s="1">
        <v>223.0</v>
      </c>
      <c r="H5102" s="1">
        <v>15.14629049</v>
      </c>
      <c r="I5102" s="1">
        <v>5.27</v>
      </c>
      <c r="J5102" s="1">
        <v>3.874695</v>
      </c>
    </row>
    <row r="5103">
      <c r="A5103" s="1">
        <v>2025.0</v>
      </c>
      <c r="B5103" s="1" t="s">
        <v>115</v>
      </c>
      <c r="C5103" s="1">
        <v>543135.0</v>
      </c>
      <c r="D5103" s="1" t="s">
        <v>538</v>
      </c>
      <c r="E5103" s="1" t="s">
        <v>927</v>
      </c>
      <c r="F5103" s="1" t="s">
        <v>927</v>
      </c>
      <c r="G5103" s="1">
        <v>253.0</v>
      </c>
      <c r="H5103" s="1">
        <v>17.18390805</v>
      </c>
      <c r="I5103" s="1">
        <v>5.21</v>
      </c>
      <c r="J5103" s="1">
        <v>4.511207</v>
      </c>
    </row>
    <row r="5104">
      <c r="A5104" s="1">
        <v>2025.0</v>
      </c>
      <c r="B5104" s="1" t="s">
        <v>115</v>
      </c>
      <c r="C5104" s="1">
        <v>543135.0</v>
      </c>
      <c r="D5104" s="1" t="s">
        <v>536</v>
      </c>
      <c r="E5104" s="1" t="s">
        <v>927</v>
      </c>
      <c r="F5104" s="1" t="s">
        <v>927</v>
      </c>
      <c r="G5104" s="1">
        <v>88.0</v>
      </c>
      <c r="H5104" s="1">
        <v>5.977011494</v>
      </c>
      <c r="I5104" s="1">
        <v>5.38</v>
      </c>
      <c r="J5104" s="1">
        <v>1.392332</v>
      </c>
    </row>
    <row r="5105">
      <c r="A5105" s="1">
        <v>2025.0</v>
      </c>
      <c r="B5105" s="1" t="s">
        <v>115</v>
      </c>
      <c r="C5105" s="1">
        <v>543135.0</v>
      </c>
      <c r="D5105" s="1" t="s">
        <v>533</v>
      </c>
      <c r="E5105" s="1" t="s">
        <v>927</v>
      </c>
      <c r="F5105" s="1" t="s">
        <v>927</v>
      </c>
      <c r="G5105" s="1">
        <v>22.0</v>
      </c>
      <c r="H5105" s="1">
        <v>1.494252874</v>
      </c>
      <c r="I5105" s="1">
        <v>4.98</v>
      </c>
      <c r="J5105" s="1">
        <v>0.538036</v>
      </c>
    </row>
    <row r="5106">
      <c r="A5106" s="1">
        <v>2025.0</v>
      </c>
      <c r="B5106" s="1" t="s">
        <v>756</v>
      </c>
      <c r="C5106" s="1">
        <v>686249.0</v>
      </c>
      <c r="D5106" s="1" t="s">
        <v>532</v>
      </c>
      <c r="E5106" s="1" t="s">
        <v>927</v>
      </c>
      <c r="F5106" s="1" t="s">
        <v>926</v>
      </c>
      <c r="G5106" s="1">
        <v>7.0</v>
      </c>
      <c r="H5106" s="1">
        <v>0.291666667</v>
      </c>
      <c r="I5106" s="1">
        <v>4.74</v>
      </c>
      <c r="J5106" s="1">
        <v>0.178764</v>
      </c>
    </row>
    <row r="5107">
      <c r="A5107" s="1">
        <v>2025.0</v>
      </c>
      <c r="B5107" s="1" t="s">
        <v>756</v>
      </c>
      <c r="C5107" s="1">
        <v>686249.0</v>
      </c>
      <c r="D5107" s="1" t="s">
        <v>540</v>
      </c>
      <c r="E5107" s="1" t="s">
        <v>927</v>
      </c>
      <c r="F5107" s="1" t="s">
        <v>926</v>
      </c>
      <c r="G5107" s="1">
        <v>3.0</v>
      </c>
      <c r="H5107" s="1">
        <v>0.125</v>
      </c>
      <c r="I5107" s="1">
        <v>4.7</v>
      </c>
      <c r="J5107" s="1">
        <v>0.082716</v>
      </c>
    </row>
    <row r="5108">
      <c r="A5108" s="1">
        <v>2025.0</v>
      </c>
      <c r="B5108" s="1" t="s">
        <v>756</v>
      </c>
      <c r="C5108" s="1">
        <v>686249.0</v>
      </c>
      <c r="D5108" s="1" t="s">
        <v>537</v>
      </c>
      <c r="E5108" s="1" t="s">
        <v>927</v>
      </c>
      <c r="F5108" s="1" t="s">
        <v>926</v>
      </c>
      <c r="G5108" s="1">
        <v>5.0</v>
      </c>
      <c r="H5108" s="1">
        <v>0.208333333</v>
      </c>
      <c r="I5108" s="1">
        <v>5.7</v>
      </c>
      <c r="J5108" s="1">
        <v>0.044187</v>
      </c>
    </row>
    <row r="5109">
      <c r="A5109" s="1">
        <v>2025.0</v>
      </c>
      <c r="B5109" s="1" t="s">
        <v>756</v>
      </c>
      <c r="C5109" s="1">
        <v>686249.0</v>
      </c>
      <c r="D5109" s="1" t="s">
        <v>532</v>
      </c>
      <c r="E5109" s="1" t="s">
        <v>927</v>
      </c>
      <c r="F5109" s="1" t="s">
        <v>927</v>
      </c>
      <c r="G5109" s="1">
        <v>2.0</v>
      </c>
      <c r="H5109" s="1">
        <v>0.083333333</v>
      </c>
      <c r="I5109" s="1">
        <v>5.92</v>
      </c>
      <c r="J5109" s="1">
        <v>0.011356</v>
      </c>
    </row>
    <row r="5110">
      <c r="A5110" s="1">
        <v>2025.0</v>
      </c>
      <c r="B5110" s="1" t="s">
        <v>756</v>
      </c>
      <c r="C5110" s="1">
        <v>686249.0</v>
      </c>
      <c r="D5110" s="1" t="s">
        <v>540</v>
      </c>
      <c r="E5110" s="1" t="s">
        <v>927</v>
      </c>
      <c r="F5110" s="1" t="s">
        <v>927</v>
      </c>
      <c r="G5110" s="1">
        <v>3.0</v>
      </c>
      <c r="H5110" s="1">
        <v>0.125</v>
      </c>
      <c r="I5110" s="1">
        <v>5.35</v>
      </c>
      <c r="J5110" s="1">
        <v>0.044206</v>
      </c>
    </row>
    <row r="5111">
      <c r="A5111" s="1">
        <v>2025.0</v>
      </c>
      <c r="B5111" s="1" t="s">
        <v>756</v>
      </c>
      <c r="C5111" s="1">
        <v>686249.0</v>
      </c>
      <c r="D5111" s="1" t="s">
        <v>537</v>
      </c>
      <c r="E5111" s="1" t="s">
        <v>927</v>
      </c>
      <c r="F5111" s="1" t="s">
        <v>927</v>
      </c>
      <c r="G5111" s="1">
        <v>4.0</v>
      </c>
      <c r="H5111" s="1">
        <v>0.166666667</v>
      </c>
      <c r="I5111" s="1">
        <v>5.04</v>
      </c>
      <c r="J5111" s="1">
        <v>0.085206</v>
      </c>
    </row>
    <row r="5112">
      <c r="A5112" s="1">
        <v>2025.0</v>
      </c>
      <c r="B5112" s="1" t="s">
        <v>412</v>
      </c>
      <c r="C5112" s="1">
        <v>641482.0</v>
      </c>
      <c r="D5112" s="1" t="s">
        <v>540</v>
      </c>
      <c r="E5112" s="1" t="s">
        <v>926</v>
      </c>
      <c r="F5112" s="1" t="s">
        <v>926</v>
      </c>
      <c r="G5112" s="1">
        <v>47.0</v>
      </c>
      <c r="H5112" s="1">
        <v>2.698439242</v>
      </c>
      <c r="I5112" s="1">
        <v>4.75</v>
      </c>
      <c r="J5112" s="1">
        <v>1.281683</v>
      </c>
    </row>
    <row r="5113">
      <c r="A5113" s="1">
        <v>2025.0</v>
      </c>
      <c r="B5113" s="1" t="s">
        <v>412</v>
      </c>
      <c r="C5113" s="1">
        <v>641482.0</v>
      </c>
      <c r="D5113" s="1" t="s">
        <v>537</v>
      </c>
      <c r="E5113" s="1" t="s">
        <v>926</v>
      </c>
      <c r="F5113" s="1" t="s">
        <v>926</v>
      </c>
      <c r="G5113" s="1">
        <v>55.0</v>
      </c>
      <c r="H5113" s="1">
        <v>3.157748049</v>
      </c>
      <c r="I5113" s="1">
        <v>5.53</v>
      </c>
      <c r="J5113" s="1">
        <v>0.599083</v>
      </c>
    </row>
    <row r="5114">
      <c r="A5114" s="1">
        <v>2025.0</v>
      </c>
      <c r="B5114" s="1" t="s">
        <v>412</v>
      </c>
      <c r="C5114" s="1">
        <v>641482.0</v>
      </c>
      <c r="D5114" s="1" t="s">
        <v>539</v>
      </c>
      <c r="E5114" s="1" t="s">
        <v>926</v>
      </c>
      <c r="F5114" s="1" t="s">
        <v>926</v>
      </c>
      <c r="G5114" s="1">
        <v>33.0</v>
      </c>
      <c r="H5114" s="1">
        <v>1.894648829</v>
      </c>
      <c r="I5114" s="1">
        <v>5.5</v>
      </c>
      <c r="J5114" s="1">
        <v>0.383115</v>
      </c>
    </row>
    <row r="5115">
      <c r="A5115" s="1">
        <v>2025.0</v>
      </c>
      <c r="B5115" s="1" t="s">
        <v>412</v>
      </c>
      <c r="C5115" s="1">
        <v>641482.0</v>
      </c>
      <c r="D5115" s="1" t="s">
        <v>532</v>
      </c>
      <c r="E5115" s="1" t="s">
        <v>926</v>
      </c>
      <c r="F5115" s="1" t="s">
        <v>927</v>
      </c>
      <c r="G5115" s="1">
        <v>83.0</v>
      </c>
      <c r="H5115" s="1">
        <v>4.765328874</v>
      </c>
      <c r="I5115" s="1">
        <v>4.26</v>
      </c>
      <c r="J5115" s="1">
        <v>2.958989</v>
      </c>
    </row>
    <row r="5116">
      <c r="A5116" s="1">
        <v>2025.0</v>
      </c>
      <c r="B5116" s="1" t="s">
        <v>412</v>
      </c>
      <c r="C5116" s="1">
        <v>641482.0</v>
      </c>
      <c r="D5116" s="1" t="s">
        <v>540</v>
      </c>
      <c r="E5116" s="1" t="s">
        <v>926</v>
      </c>
      <c r="F5116" s="1" t="s">
        <v>927</v>
      </c>
      <c r="G5116" s="1">
        <v>159.0</v>
      </c>
      <c r="H5116" s="1">
        <v>9.128762542</v>
      </c>
      <c r="I5116" s="1">
        <v>4.74</v>
      </c>
      <c r="J5116" s="1">
        <v>4.244615</v>
      </c>
    </row>
    <row r="5117">
      <c r="A5117" s="1">
        <v>2025.0</v>
      </c>
      <c r="B5117" s="1" t="s">
        <v>412</v>
      </c>
      <c r="C5117" s="1">
        <v>641482.0</v>
      </c>
      <c r="D5117" s="1" t="s">
        <v>537</v>
      </c>
      <c r="E5117" s="1" t="s">
        <v>926</v>
      </c>
      <c r="F5117" s="1" t="s">
        <v>927</v>
      </c>
      <c r="G5117" s="1">
        <v>172.0</v>
      </c>
      <c r="H5117" s="1">
        <v>9.875139353</v>
      </c>
      <c r="I5117" s="1">
        <v>5.07</v>
      </c>
      <c r="J5117" s="1">
        <v>3.596902</v>
      </c>
    </row>
    <row r="5118">
      <c r="A5118" s="1">
        <v>2025.0</v>
      </c>
      <c r="B5118" s="1" t="s">
        <v>412</v>
      </c>
      <c r="C5118" s="1">
        <v>641482.0</v>
      </c>
      <c r="D5118" s="1" t="s">
        <v>536</v>
      </c>
      <c r="E5118" s="1" t="s">
        <v>926</v>
      </c>
      <c r="F5118" s="1" t="s">
        <v>927</v>
      </c>
      <c r="G5118" s="1">
        <v>2.0</v>
      </c>
      <c r="H5118" s="1">
        <v>0.114827202</v>
      </c>
      <c r="I5118" s="1">
        <v>3.16</v>
      </c>
      <c r="J5118" s="1">
        <v>0.114501</v>
      </c>
    </row>
    <row r="5119">
      <c r="A5119" s="1">
        <v>2025.0</v>
      </c>
      <c r="B5119" s="1" t="s">
        <v>412</v>
      </c>
      <c r="C5119" s="1">
        <v>641482.0</v>
      </c>
      <c r="D5119" s="1" t="s">
        <v>539</v>
      </c>
      <c r="E5119" s="1" t="s">
        <v>926</v>
      </c>
      <c r="F5119" s="1" t="s">
        <v>927</v>
      </c>
      <c r="G5119" s="1">
        <v>47.0</v>
      </c>
      <c r="H5119" s="1">
        <v>2.698439242</v>
      </c>
      <c r="I5119" s="1">
        <v>4.93</v>
      </c>
      <c r="J5119" s="1">
        <v>1.090879</v>
      </c>
    </row>
    <row r="5120">
      <c r="A5120" s="1">
        <v>2025.0</v>
      </c>
      <c r="B5120" s="1" t="s">
        <v>375</v>
      </c>
      <c r="C5120" s="1">
        <v>663671.0</v>
      </c>
      <c r="D5120" s="1" t="s">
        <v>532</v>
      </c>
      <c r="E5120" s="1" t="s">
        <v>927</v>
      </c>
      <c r="F5120" s="1" t="s">
        <v>926</v>
      </c>
      <c r="G5120" s="1">
        <v>1.0</v>
      </c>
      <c r="H5120" s="1">
        <v>0.058270677</v>
      </c>
      <c r="I5120" s="1">
        <v>4.39</v>
      </c>
      <c r="J5120" s="1">
        <v>0.028965</v>
      </c>
    </row>
    <row r="5121">
      <c r="A5121" s="1">
        <v>2025.0</v>
      </c>
      <c r="B5121" s="1" t="s">
        <v>375</v>
      </c>
      <c r="C5121" s="1">
        <v>663671.0</v>
      </c>
      <c r="D5121" s="1" t="s">
        <v>541</v>
      </c>
      <c r="E5121" s="1" t="s">
        <v>927</v>
      </c>
      <c r="F5121" s="1" t="s">
        <v>926</v>
      </c>
      <c r="G5121" s="1">
        <v>28.0</v>
      </c>
      <c r="H5121" s="1">
        <v>1.631578947</v>
      </c>
      <c r="I5121" s="1">
        <v>4.45</v>
      </c>
      <c r="J5121" s="1">
        <v>0.919219</v>
      </c>
    </row>
    <row r="5122">
      <c r="A5122" s="1">
        <v>2025.0</v>
      </c>
      <c r="B5122" s="1" t="s">
        <v>375</v>
      </c>
      <c r="C5122" s="1">
        <v>663671.0</v>
      </c>
      <c r="D5122" s="1" t="s">
        <v>537</v>
      </c>
      <c r="E5122" s="1" t="s">
        <v>927</v>
      </c>
      <c r="F5122" s="1" t="s">
        <v>926</v>
      </c>
      <c r="G5122" s="1">
        <v>151.0</v>
      </c>
      <c r="H5122" s="1">
        <v>8.79887218</v>
      </c>
      <c r="I5122" s="1">
        <v>5.21</v>
      </c>
      <c r="J5122" s="1">
        <v>2.718883</v>
      </c>
    </row>
    <row r="5123">
      <c r="A5123" s="1">
        <v>2025.0</v>
      </c>
      <c r="B5123" s="1" t="s">
        <v>375</v>
      </c>
      <c r="C5123" s="1">
        <v>663671.0</v>
      </c>
      <c r="D5123" s="1" t="s">
        <v>533</v>
      </c>
      <c r="E5123" s="1" t="s">
        <v>927</v>
      </c>
      <c r="F5123" s="1" t="s">
        <v>926</v>
      </c>
      <c r="G5123" s="1">
        <v>34.0</v>
      </c>
      <c r="H5123" s="1">
        <v>1.981203008</v>
      </c>
      <c r="I5123" s="1">
        <v>5.09</v>
      </c>
      <c r="J5123" s="1">
        <v>0.686559</v>
      </c>
    </row>
    <row r="5124">
      <c r="A5124" s="1">
        <v>2025.0</v>
      </c>
      <c r="B5124" s="1" t="s">
        <v>375</v>
      </c>
      <c r="C5124" s="1">
        <v>663671.0</v>
      </c>
      <c r="D5124" s="1" t="s">
        <v>541</v>
      </c>
      <c r="E5124" s="1" t="s">
        <v>927</v>
      </c>
      <c r="F5124" s="1" t="s">
        <v>927</v>
      </c>
      <c r="G5124" s="1">
        <v>12.0</v>
      </c>
      <c r="H5124" s="1">
        <v>0.69924812</v>
      </c>
      <c r="I5124" s="1">
        <v>4.81</v>
      </c>
      <c r="J5124" s="1">
        <v>0.29562</v>
      </c>
    </row>
    <row r="5125">
      <c r="A5125" s="1">
        <v>2025.0</v>
      </c>
      <c r="B5125" s="1" t="s">
        <v>375</v>
      </c>
      <c r="C5125" s="1">
        <v>663671.0</v>
      </c>
      <c r="D5125" s="1" t="s">
        <v>537</v>
      </c>
      <c r="E5125" s="1" t="s">
        <v>927</v>
      </c>
      <c r="F5125" s="1" t="s">
        <v>927</v>
      </c>
      <c r="G5125" s="1">
        <v>202.0</v>
      </c>
      <c r="H5125" s="1">
        <v>11.77067669</v>
      </c>
      <c r="I5125" s="1">
        <v>4.82</v>
      </c>
      <c r="J5125" s="1">
        <v>5.264299</v>
      </c>
    </row>
    <row r="5126">
      <c r="A5126" s="1">
        <v>2025.0</v>
      </c>
      <c r="B5126" s="1" t="s">
        <v>375</v>
      </c>
      <c r="C5126" s="1">
        <v>663671.0</v>
      </c>
      <c r="D5126" s="1" t="s">
        <v>533</v>
      </c>
      <c r="E5126" s="1" t="s">
        <v>927</v>
      </c>
      <c r="F5126" s="1" t="s">
        <v>927</v>
      </c>
      <c r="G5126" s="1">
        <v>104.0</v>
      </c>
      <c r="H5126" s="1">
        <v>6.060150376</v>
      </c>
      <c r="I5126" s="1">
        <v>4.91</v>
      </c>
      <c r="J5126" s="1">
        <v>2.449294</v>
      </c>
    </row>
    <row r="5127">
      <c r="A5127" s="1">
        <v>2025.0</v>
      </c>
      <c r="B5127" s="1" t="s">
        <v>992</v>
      </c>
      <c r="C5127" s="1">
        <v>623433.0</v>
      </c>
      <c r="D5127" s="1" t="s">
        <v>532</v>
      </c>
      <c r="E5127" s="1" t="s">
        <v>927</v>
      </c>
      <c r="F5127" s="1" t="s">
        <v>926</v>
      </c>
      <c r="G5127" s="1">
        <v>39.0</v>
      </c>
      <c r="H5127" s="1">
        <v>2.383333333</v>
      </c>
      <c r="I5127" s="1">
        <v>4.52</v>
      </c>
      <c r="J5127" s="1">
        <v>1.225281</v>
      </c>
    </row>
    <row r="5128">
      <c r="A5128" s="1">
        <v>2025.0</v>
      </c>
      <c r="B5128" s="1" t="s">
        <v>992</v>
      </c>
      <c r="C5128" s="1">
        <v>623433.0</v>
      </c>
      <c r="D5128" s="1" t="s">
        <v>541</v>
      </c>
      <c r="E5128" s="1" t="s">
        <v>927</v>
      </c>
      <c r="F5128" s="1" t="s">
        <v>926</v>
      </c>
      <c r="G5128" s="1">
        <v>13.0</v>
      </c>
      <c r="H5128" s="1">
        <v>0.794444444</v>
      </c>
      <c r="I5128" s="1">
        <v>5.37</v>
      </c>
      <c r="J5128" s="1">
        <v>0.212284</v>
      </c>
    </row>
    <row r="5129">
      <c r="A5129" s="1">
        <v>2025.0</v>
      </c>
      <c r="B5129" s="1" t="s">
        <v>992</v>
      </c>
      <c r="C5129" s="1">
        <v>623433.0</v>
      </c>
      <c r="D5129" s="1" t="s">
        <v>537</v>
      </c>
      <c r="E5129" s="1" t="s">
        <v>927</v>
      </c>
      <c r="F5129" s="1" t="s">
        <v>926</v>
      </c>
      <c r="G5129" s="1">
        <v>48.0</v>
      </c>
      <c r="H5129" s="1">
        <v>2.933333333</v>
      </c>
      <c r="I5129" s="1">
        <v>5.21</v>
      </c>
      <c r="J5129" s="1">
        <v>0.936164</v>
      </c>
    </row>
    <row r="5130">
      <c r="A5130" s="1">
        <v>2025.0</v>
      </c>
      <c r="B5130" s="1" t="s">
        <v>992</v>
      </c>
      <c r="C5130" s="1">
        <v>623433.0</v>
      </c>
      <c r="D5130" s="1" t="s">
        <v>536</v>
      </c>
      <c r="E5130" s="1" t="s">
        <v>927</v>
      </c>
      <c r="F5130" s="1" t="s">
        <v>926</v>
      </c>
      <c r="G5130" s="1">
        <v>3.0</v>
      </c>
      <c r="H5130" s="1">
        <v>0.183333333</v>
      </c>
      <c r="I5130" s="1">
        <v>2.59</v>
      </c>
      <c r="J5130" s="1">
        <v>0.194999</v>
      </c>
    </row>
    <row r="5131">
      <c r="A5131" s="1">
        <v>2025.0</v>
      </c>
      <c r="B5131" s="1" t="s">
        <v>992</v>
      </c>
      <c r="C5131" s="1">
        <v>623433.0</v>
      </c>
      <c r="D5131" s="1" t="s">
        <v>532</v>
      </c>
      <c r="E5131" s="1" t="s">
        <v>927</v>
      </c>
      <c r="F5131" s="1" t="s">
        <v>927</v>
      </c>
      <c r="G5131" s="1">
        <v>11.0</v>
      </c>
      <c r="H5131" s="1">
        <v>0.672222222</v>
      </c>
      <c r="I5131" s="1">
        <v>5.41</v>
      </c>
      <c r="J5131" s="1">
        <v>0.152564</v>
      </c>
    </row>
    <row r="5132">
      <c r="A5132" s="1">
        <v>2025.0</v>
      </c>
      <c r="B5132" s="1" t="s">
        <v>992</v>
      </c>
      <c r="C5132" s="1">
        <v>623433.0</v>
      </c>
      <c r="D5132" s="1" t="s">
        <v>541</v>
      </c>
      <c r="E5132" s="1" t="s">
        <v>927</v>
      </c>
      <c r="F5132" s="1" t="s">
        <v>927</v>
      </c>
      <c r="G5132" s="1">
        <v>58.0</v>
      </c>
      <c r="H5132" s="1">
        <v>3.544444444</v>
      </c>
      <c r="I5132" s="1">
        <v>5.31</v>
      </c>
      <c r="J5132" s="1">
        <v>1.021656</v>
      </c>
    </row>
    <row r="5133">
      <c r="A5133" s="1">
        <v>2025.0</v>
      </c>
      <c r="B5133" s="1" t="s">
        <v>992</v>
      </c>
      <c r="C5133" s="1">
        <v>623433.0</v>
      </c>
      <c r="D5133" s="1" t="s">
        <v>537</v>
      </c>
      <c r="E5133" s="1" t="s">
        <v>927</v>
      </c>
      <c r="F5133" s="1" t="s">
        <v>927</v>
      </c>
      <c r="G5133" s="1">
        <v>68.0</v>
      </c>
      <c r="H5133" s="1">
        <v>4.155555556</v>
      </c>
      <c r="I5133" s="1">
        <v>4.9</v>
      </c>
      <c r="J5133" s="1">
        <v>1.748086</v>
      </c>
    </row>
    <row r="5134">
      <c r="A5134" s="1">
        <v>2025.0</v>
      </c>
      <c r="B5134" s="1" t="s">
        <v>762</v>
      </c>
      <c r="C5134" s="1">
        <v>595897.0</v>
      </c>
      <c r="D5134" s="1" t="s">
        <v>532</v>
      </c>
      <c r="E5134" s="1" t="s">
        <v>927</v>
      </c>
      <c r="F5134" s="1" t="s">
        <v>926</v>
      </c>
      <c r="G5134" s="1">
        <v>2.0</v>
      </c>
      <c r="H5134" s="1">
        <v>0.128514056</v>
      </c>
      <c r="I5134" s="1">
        <v>5.23</v>
      </c>
      <c r="J5134" s="1">
        <v>0.036622</v>
      </c>
    </row>
    <row r="5135">
      <c r="A5135" s="1">
        <v>2025.0</v>
      </c>
      <c r="B5135" s="1" t="s">
        <v>762</v>
      </c>
      <c r="C5135" s="1">
        <v>595897.0</v>
      </c>
      <c r="D5135" s="1" t="s">
        <v>537</v>
      </c>
      <c r="E5135" s="1" t="s">
        <v>927</v>
      </c>
      <c r="F5135" s="1" t="s">
        <v>926</v>
      </c>
      <c r="G5135" s="1">
        <v>7.0</v>
      </c>
      <c r="H5135" s="1">
        <v>0.449799197</v>
      </c>
      <c r="I5135" s="1">
        <v>2.95</v>
      </c>
      <c r="J5135" s="1">
        <v>0.445527</v>
      </c>
    </row>
    <row r="5136">
      <c r="A5136" s="1">
        <v>2025.0</v>
      </c>
      <c r="B5136" s="1" t="s">
        <v>762</v>
      </c>
      <c r="C5136" s="1">
        <v>595897.0</v>
      </c>
      <c r="D5136" s="1" t="s">
        <v>536</v>
      </c>
      <c r="E5136" s="1" t="s">
        <v>927</v>
      </c>
      <c r="F5136" s="1" t="s">
        <v>926</v>
      </c>
      <c r="G5136" s="1">
        <v>12.0</v>
      </c>
      <c r="H5136" s="1">
        <v>0.771084337</v>
      </c>
      <c r="I5136" s="1">
        <v>5.03</v>
      </c>
      <c r="J5136" s="1">
        <v>0.25994</v>
      </c>
    </row>
    <row r="5137">
      <c r="A5137" s="1">
        <v>2025.0</v>
      </c>
      <c r="B5137" s="1" t="s">
        <v>762</v>
      </c>
      <c r="C5137" s="1">
        <v>595897.0</v>
      </c>
      <c r="D5137" s="1" t="s">
        <v>533</v>
      </c>
      <c r="E5137" s="1" t="s">
        <v>927</v>
      </c>
      <c r="F5137" s="1" t="s">
        <v>926</v>
      </c>
      <c r="G5137" s="1">
        <v>9.0</v>
      </c>
      <c r="H5137" s="1">
        <v>0.578313253</v>
      </c>
      <c r="I5137" s="1">
        <v>5.62</v>
      </c>
      <c r="J5137" s="1">
        <v>0.086884</v>
      </c>
    </row>
    <row r="5138">
      <c r="A5138" s="1">
        <v>2025.0</v>
      </c>
      <c r="B5138" s="1" t="s">
        <v>762</v>
      </c>
      <c r="C5138" s="1">
        <v>595897.0</v>
      </c>
      <c r="D5138" s="1" t="s">
        <v>537</v>
      </c>
      <c r="E5138" s="1" t="s">
        <v>927</v>
      </c>
      <c r="F5138" s="1" t="s">
        <v>927</v>
      </c>
      <c r="G5138" s="1">
        <v>12.0</v>
      </c>
      <c r="H5138" s="1">
        <v>0.771084337</v>
      </c>
      <c r="I5138" s="1">
        <v>3.83</v>
      </c>
      <c r="J5138" s="1">
        <v>0.54822</v>
      </c>
    </row>
    <row r="5139">
      <c r="A5139" s="1">
        <v>2025.0</v>
      </c>
      <c r="B5139" s="1" t="s">
        <v>762</v>
      </c>
      <c r="C5139" s="1">
        <v>595897.0</v>
      </c>
      <c r="D5139" s="1" t="s">
        <v>536</v>
      </c>
      <c r="E5139" s="1" t="s">
        <v>927</v>
      </c>
      <c r="F5139" s="1" t="s">
        <v>927</v>
      </c>
      <c r="G5139" s="1">
        <v>24.0</v>
      </c>
      <c r="H5139" s="1">
        <v>1.542168675</v>
      </c>
      <c r="I5139" s="1">
        <v>4.22</v>
      </c>
      <c r="J5139" s="1">
        <v>0.880573</v>
      </c>
    </row>
    <row r="5140">
      <c r="A5140" s="1">
        <v>2025.0</v>
      </c>
      <c r="B5140" s="1" t="s">
        <v>762</v>
      </c>
      <c r="C5140" s="1">
        <v>595897.0</v>
      </c>
      <c r="D5140" s="1" t="s">
        <v>533</v>
      </c>
      <c r="E5140" s="1" t="s">
        <v>927</v>
      </c>
      <c r="F5140" s="1" t="s">
        <v>927</v>
      </c>
      <c r="G5140" s="1">
        <v>17.0</v>
      </c>
      <c r="H5140" s="1">
        <v>1.092369478</v>
      </c>
      <c r="I5140" s="1">
        <v>5.17</v>
      </c>
      <c r="J5140" s="1">
        <v>0.296771</v>
      </c>
    </row>
    <row r="5141">
      <c r="A5141" s="1">
        <v>2025.0</v>
      </c>
      <c r="B5141" s="1" t="s">
        <v>885</v>
      </c>
      <c r="C5141" s="1">
        <v>663321.0</v>
      </c>
      <c r="D5141" s="1" t="s">
        <v>537</v>
      </c>
      <c r="E5141" s="1" t="s">
        <v>927</v>
      </c>
      <c r="F5141" s="1" t="s">
        <v>926</v>
      </c>
      <c r="G5141" s="1">
        <v>26.0</v>
      </c>
      <c r="H5141" s="1">
        <v>1.254901961</v>
      </c>
      <c r="I5141" s="1">
        <v>5.17</v>
      </c>
      <c r="J5141" s="1">
        <v>0.513093</v>
      </c>
    </row>
    <row r="5142">
      <c r="A5142" s="1">
        <v>2025.0</v>
      </c>
      <c r="B5142" s="1" t="s">
        <v>885</v>
      </c>
      <c r="C5142" s="1">
        <v>663321.0</v>
      </c>
      <c r="D5142" s="1" t="s">
        <v>538</v>
      </c>
      <c r="E5142" s="1" t="s">
        <v>927</v>
      </c>
      <c r="F5142" s="1" t="s">
        <v>926</v>
      </c>
      <c r="G5142" s="1">
        <v>19.0</v>
      </c>
      <c r="H5142" s="1">
        <v>0.917043741</v>
      </c>
      <c r="I5142" s="1">
        <v>3.59</v>
      </c>
      <c r="J5142" s="1">
        <v>0.949889</v>
      </c>
    </row>
    <row r="5143">
      <c r="A5143" s="1">
        <v>2025.0</v>
      </c>
      <c r="B5143" s="1" t="s">
        <v>885</v>
      </c>
      <c r="C5143" s="1">
        <v>663321.0</v>
      </c>
      <c r="D5143" s="1" t="s">
        <v>533</v>
      </c>
      <c r="E5143" s="1" t="s">
        <v>927</v>
      </c>
      <c r="F5143" s="1" t="s">
        <v>926</v>
      </c>
      <c r="G5143" s="1">
        <v>30.0</v>
      </c>
      <c r="H5143" s="1">
        <v>1.447963801</v>
      </c>
      <c r="I5143" s="1">
        <v>4.87</v>
      </c>
      <c r="J5143" s="1">
        <v>0.719233</v>
      </c>
    </row>
    <row r="5144">
      <c r="A5144" s="1">
        <v>2025.0</v>
      </c>
      <c r="B5144" s="1" t="s">
        <v>885</v>
      </c>
      <c r="C5144" s="1">
        <v>663321.0</v>
      </c>
      <c r="D5144" s="1" t="s">
        <v>537</v>
      </c>
      <c r="E5144" s="1" t="s">
        <v>927</v>
      </c>
      <c r="F5144" s="1" t="s">
        <v>927</v>
      </c>
      <c r="G5144" s="1">
        <v>69.0</v>
      </c>
      <c r="H5144" s="1">
        <v>3.330316742</v>
      </c>
      <c r="I5144" s="1">
        <v>4.45</v>
      </c>
      <c r="J5144" s="1">
        <v>2.294609</v>
      </c>
    </row>
    <row r="5145">
      <c r="A5145" s="1">
        <v>2025.0</v>
      </c>
      <c r="B5145" s="1" t="s">
        <v>885</v>
      </c>
      <c r="C5145" s="1">
        <v>663321.0</v>
      </c>
      <c r="D5145" s="1" t="s">
        <v>538</v>
      </c>
      <c r="E5145" s="1" t="s">
        <v>927</v>
      </c>
      <c r="F5145" s="1" t="s">
        <v>927</v>
      </c>
      <c r="G5145" s="1">
        <v>6.0</v>
      </c>
      <c r="H5145" s="1">
        <v>0.28959276</v>
      </c>
      <c r="I5145" s="1">
        <v>5.67</v>
      </c>
      <c r="J5145" s="1">
        <v>0.041632</v>
      </c>
    </row>
    <row r="5146">
      <c r="A5146" s="1">
        <v>2025.0</v>
      </c>
      <c r="B5146" s="1" t="s">
        <v>885</v>
      </c>
      <c r="C5146" s="1">
        <v>663321.0</v>
      </c>
      <c r="D5146" s="1" t="s">
        <v>533</v>
      </c>
      <c r="E5146" s="1" t="s">
        <v>927</v>
      </c>
      <c r="F5146" s="1" t="s">
        <v>927</v>
      </c>
      <c r="G5146" s="1">
        <v>71.0</v>
      </c>
      <c r="H5146" s="1">
        <v>3.426847662</v>
      </c>
      <c r="I5146" s="1">
        <v>4.53</v>
      </c>
      <c r="J5146" s="1">
        <v>2.179861</v>
      </c>
    </row>
    <row r="5147">
      <c r="A5147" s="1">
        <v>2025.0</v>
      </c>
      <c r="B5147" s="1" t="s">
        <v>194</v>
      </c>
      <c r="C5147" s="1">
        <v>666157.0</v>
      </c>
      <c r="D5147" s="1" t="s">
        <v>532</v>
      </c>
      <c r="E5147" s="1" t="s">
        <v>926</v>
      </c>
      <c r="F5147" s="1" t="s">
        <v>926</v>
      </c>
      <c r="G5147" s="1">
        <v>4.0</v>
      </c>
      <c r="H5147" s="1">
        <v>0.252994213</v>
      </c>
      <c r="I5147" s="1">
        <v>5.76</v>
      </c>
      <c r="J5147" s="1">
        <v>0.040313</v>
      </c>
    </row>
    <row r="5148">
      <c r="A5148" s="1">
        <v>2025.0</v>
      </c>
      <c r="B5148" s="1" t="s">
        <v>194</v>
      </c>
      <c r="C5148" s="1">
        <v>666157.0</v>
      </c>
      <c r="D5148" s="1" t="s">
        <v>541</v>
      </c>
      <c r="E5148" s="1" t="s">
        <v>926</v>
      </c>
      <c r="F5148" s="1" t="s">
        <v>926</v>
      </c>
      <c r="G5148" s="1">
        <v>232.0</v>
      </c>
      <c r="H5148" s="1">
        <v>14.67366438</v>
      </c>
      <c r="I5148" s="1">
        <v>4.94</v>
      </c>
      <c r="J5148" s="1">
        <v>5.400369</v>
      </c>
    </row>
    <row r="5149">
      <c r="A5149" s="1">
        <v>2025.0</v>
      </c>
      <c r="B5149" s="1" t="s">
        <v>194</v>
      </c>
      <c r="C5149" s="1">
        <v>666157.0</v>
      </c>
      <c r="D5149" s="1" t="s">
        <v>537</v>
      </c>
      <c r="E5149" s="1" t="s">
        <v>926</v>
      </c>
      <c r="F5149" s="1" t="s">
        <v>926</v>
      </c>
      <c r="G5149" s="1">
        <v>129.0</v>
      </c>
      <c r="H5149" s="1">
        <v>8.159063383</v>
      </c>
      <c r="I5149" s="1">
        <v>5.0</v>
      </c>
      <c r="J5149" s="1">
        <v>2.871487</v>
      </c>
    </row>
    <row r="5150">
      <c r="A5150" s="1">
        <v>2025.0</v>
      </c>
      <c r="B5150" s="1" t="s">
        <v>194</v>
      </c>
      <c r="C5150" s="1">
        <v>666157.0</v>
      </c>
      <c r="D5150" s="1" t="s">
        <v>536</v>
      </c>
      <c r="E5150" s="1" t="s">
        <v>926</v>
      </c>
      <c r="F5150" s="1" t="s">
        <v>926</v>
      </c>
      <c r="G5150" s="1">
        <v>166.0</v>
      </c>
      <c r="H5150" s="1">
        <v>10.49925986</v>
      </c>
      <c r="I5150" s="1">
        <v>5.52</v>
      </c>
      <c r="J5150" s="1">
        <v>1.900656</v>
      </c>
    </row>
    <row r="5151">
      <c r="A5151" s="1">
        <v>2025.0</v>
      </c>
      <c r="B5151" s="1" t="s">
        <v>194</v>
      </c>
      <c r="C5151" s="1">
        <v>666157.0</v>
      </c>
      <c r="D5151" s="1" t="s">
        <v>532</v>
      </c>
      <c r="E5151" s="1" t="s">
        <v>926</v>
      </c>
      <c r="F5151" s="1" t="s">
        <v>927</v>
      </c>
      <c r="G5151" s="1">
        <v>535.0</v>
      </c>
      <c r="H5151" s="1">
        <v>33.83797605</v>
      </c>
      <c r="I5151" s="1">
        <v>5.26</v>
      </c>
      <c r="J5151" s="1">
        <v>9.036432</v>
      </c>
    </row>
    <row r="5152">
      <c r="A5152" s="1">
        <v>2025.0</v>
      </c>
      <c r="B5152" s="1" t="s">
        <v>194</v>
      </c>
      <c r="C5152" s="1">
        <v>666157.0</v>
      </c>
      <c r="D5152" s="1" t="s">
        <v>541</v>
      </c>
      <c r="E5152" s="1" t="s">
        <v>926</v>
      </c>
      <c r="F5152" s="1" t="s">
        <v>927</v>
      </c>
      <c r="G5152" s="1">
        <v>478.0</v>
      </c>
      <c r="H5152" s="1">
        <v>30.2328085</v>
      </c>
      <c r="I5152" s="1">
        <v>5.04</v>
      </c>
      <c r="J5152" s="1">
        <v>9.877378</v>
      </c>
    </row>
    <row r="5153">
      <c r="A5153" s="1">
        <v>2025.0</v>
      </c>
      <c r="B5153" s="1" t="s">
        <v>194</v>
      </c>
      <c r="C5153" s="1">
        <v>666157.0</v>
      </c>
      <c r="D5153" s="1" t="s">
        <v>537</v>
      </c>
      <c r="E5153" s="1" t="s">
        <v>926</v>
      </c>
      <c r="F5153" s="1" t="s">
        <v>927</v>
      </c>
      <c r="G5153" s="1">
        <v>593.0</v>
      </c>
      <c r="H5153" s="1">
        <v>37.50639214</v>
      </c>
      <c r="I5153" s="1">
        <v>4.85</v>
      </c>
      <c r="J5153" s="1">
        <v>14.826259</v>
      </c>
    </row>
    <row r="5154">
      <c r="A5154" s="1">
        <v>2025.0</v>
      </c>
      <c r="B5154" s="1" t="s">
        <v>194</v>
      </c>
      <c r="C5154" s="1">
        <v>666157.0</v>
      </c>
      <c r="D5154" s="1" t="s">
        <v>536</v>
      </c>
      <c r="E5154" s="1" t="s">
        <v>926</v>
      </c>
      <c r="F5154" s="1" t="s">
        <v>927</v>
      </c>
      <c r="G5154" s="1">
        <v>340.0</v>
      </c>
      <c r="H5154" s="1">
        <v>21.50450814</v>
      </c>
      <c r="I5154" s="1">
        <v>5.14</v>
      </c>
      <c r="J5154" s="1">
        <v>6.659115</v>
      </c>
    </row>
    <row r="5155">
      <c r="A5155" s="1">
        <v>2025.0</v>
      </c>
      <c r="B5155" s="1" t="s">
        <v>226</v>
      </c>
      <c r="C5155" s="1">
        <v>607259.0</v>
      </c>
      <c r="D5155" s="1" t="s">
        <v>532</v>
      </c>
      <c r="E5155" s="1" t="s">
        <v>927</v>
      </c>
      <c r="F5155" s="1" t="s">
        <v>926</v>
      </c>
      <c r="G5155" s="1">
        <v>319.0</v>
      </c>
      <c r="H5155" s="1">
        <v>20.4994828</v>
      </c>
      <c r="I5155" s="1">
        <v>4.99</v>
      </c>
      <c r="J5155" s="1">
        <v>6.947436</v>
      </c>
    </row>
    <row r="5156">
      <c r="A5156" s="1">
        <v>2025.0</v>
      </c>
      <c r="B5156" s="1" t="s">
        <v>226</v>
      </c>
      <c r="C5156" s="1">
        <v>607259.0</v>
      </c>
      <c r="D5156" s="1" t="s">
        <v>541</v>
      </c>
      <c r="E5156" s="1" t="s">
        <v>927</v>
      </c>
      <c r="F5156" s="1" t="s">
        <v>926</v>
      </c>
      <c r="G5156" s="1">
        <v>154.0</v>
      </c>
      <c r="H5156" s="1">
        <v>9.896302043</v>
      </c>
      <c r="I5156" s="1">
        <v>4.83</v>
      </c>
      <c r="J5156" s="1">
        <v>3.916048</v>
      </c>
    </row>
    <row r="5157">
      <c r="A5157" s="1">
        <v>2025.0</v>
      </c>
      <c r="B5157" s="1" t="s">
        <v>226</v>
      </c>
      <c r="C5157" s="1">
        <v>607259.0</v>
      </c>
      <c r="D5157" s="1" t="s">
        <v>540</v>
      </c>
      <c r="E5157" s="1" t="s">
        <v>927</v>
      </c>
      <c r="F5157" s="1" t="s">
        <v>926</v>
      </c>
      <c r="G5157" s="1">
        <v>301.0</v>
      </c>
      <c r="H5157" s="1">
        <v>19.34277217</v>
      </c>
      <c r="I5157" s="1">
        <v>5.27</v>
      </c>
      <c r="J5157" s="1">
        <v>5.047617</v>
      </c>
    </row>
    <row r="5158">
      <c r="A5158" s="1">
        <v>2025.0</v>
      </c>
      <c r="B5158" s="1" t="s">
        <v>226</v>
      </c>
      <c r="C5158" s="1">
        <v>607259.0</v>
      </c>
      <c r="D5158" s="1" t="s">
        <v>537</v>
      </c>
      <c r="E5158" s="1" t="s">
        <v>927</v>
      </c>
      <c r="F5158" s="1" t="s">
        <v>926</v>
      </c>
      <c r="G5158" s="1">
        <v>347.0</v>
      </c>
      <c r="H5158" s="1">
        <v>22.29881045</v>
      </c>
      <c r="I5158" s="1">
        <v>4.99</v>
      </c>
      <c r="J5158" s="1">
        <v>7.807531</v>
      </c>
    </row>
    <row r="5159">
      <c r="A5159" s="1">
        <v>2025.0</v>
      </c>
      <c r="B5159" s="1" t="s">
        <v>226</v>
      </c>
      <c r="C5159" s="1">
        <v>607259.0</v>
      </c>
      <c r="D5159" s="1" t="s">
        <v>536</v>
      </c>
      <c r="E5159" s="1" t="s">
        <v>927</v>
      </c>
      <c r="F5159" s="1" t="s">
        <v>926</v>
      </c>
      <c r="G5159" s="1">
        <v>72.0</v>
      </c>
      <c r="H5159" s="1">
        <v>4.626842514</v>
      </c>
      <c r="I5159" s="1">
        <v>4.37</v>
      </c>
      <c r="J5159" s="1">
        <v>2.486155</v>
      </c>
    </row>
    <row r="5160">
      <c r="A5160" s="1">
        <v>2025.0</v>
      </c>
      <c r="B5160" s="1" t="s">
        <v>226</v>
      </c>
      <c r="C5160" s="1">
        <v>607259.0</v>
      </c>
      <c r="D5160" s="1" t="s">
        <v>533</v>
      </c>
      <c r="E5160" s="1" t="s">
        <v>927</v>
      </c>
      <c r="F5160" s="1" t="s">
        <v>926</v>
      </c>
      <c r="G5160" s="1">
        <v>53.0</v>
      </c>
      <c r="H5160" s="1">
        <v>3.405870184</v>
      </c>
      <c r="I5160" s="1">
        <v>5.27</v>
      </c>
      <c r="J5160" s="1">
        <v>0.821054</v>
      </c>
    </row>
    <row r="5161">
      <c r="A5161" s="1">
        <v>2025.0</v>
      </c>
      <c r="B5161" s="1" t="s">
        <v>226</v>
      </c>
      <c r="C5161" s="1">
        <v>607259.0</v>
      </c>
      <c r="D5161" s="1" t="s">
        <v>532</v>
      </c>
      <c r="E5161" s="1" t="s">
        <v>927</v>
      </c>
      <c r="F5161" s="1" t="s">
        <v>927</v>
      </c>
      <c r="G5161" s="1">
        <v>191.0</v>
      </c>
      <c r="H5161" s="1">
        <v>12.273985</v>
      </c>
      <c r="I5161" s="1">
        <v>4.86</v>
      </c>
      <c r="J5161" s="1">
        <v>4.651918</v>
      </c>
    </row>
    <row r="5162">
      <c r="A5162" s="1">
        <v>2025.0</v>
      </c>
      <c r="B5162" s="1" t="s">
        <v>226</v>
      </c>
      <c r="C5162" s="1">
        <v>607259.0</v>
      </c>
      <c r="D5162" s="1" t="s">
        <v>541</v>
      </c>
      <c r="E5162" s="1" t="s">
        <v>927</v>
      </c>
      <c r="F5162" s="1" t="s">
        <v>927</v>
      </c>
      <c r="G5162" s="1">
        <v>129.0</v>
      </c>
      <c r="H5162" s="1">
        <v>8.289759503</v>
      </c>
      <c r="I5162" s="1">
        <v>4.94</v>
      </c>
      <c r="J5162" s="1">
        <v>2.979033</v>
      </c>
    </row>
    <row r="5163">
      <c r="A5163" s="1">
        <v>2025.0</v>
      </c>
      <c r="B5163" s="1" t="s">
        <v>226</v>
      </c>
      <c r="C5163" s="1">
        <v>607259.0</v>
      </c>
      <c r="D5163" s="1" t="s">
        <v>540</v>
      </c>
      <c r="E5163" s="1" t="s">
        <v>927</v>
      </c>
      <c r="F5163" s="1" t="s">
        <v>927</v>
      </c>
      <c r="G5163" s="1">
        <v>245.0</v>
      </c>
      <c r="H5163" s="1">
        <v>15.74411689</v>
      </c>
      <c r="I5163" s="1">
        <v>5.26</v>
      </c>
      <c r="J5163" s="1">
        <v>4.314593</v>
      </c>
    </row>
    <row r="5164">
      <c r="A5164" s="1">
        <v>2025.0</v>
      </c>
      <c r="B5164" s="1" t="s">
        <v>226</v>
      </c>
      <c r="C5164" s="1">
        <v>607259.0</v>
      </c>
      <c r="D5164" s="1" t="s">
        <v>537</v>
      </c>
      <c r="E5164" s="1" t="s">
        <v>927</v>
      </c>
      <c r="F5164" s="1" t="s">
        <v>927</v>
      </c>
      <c r="G5164" s="1">
        <v>188.0</v>
      </c>
      <c r="H5164" s="1">
        <v>12.0811999</v>
      </c>
      <c r="I5164" s="1">
        <v>5.14</v>
      </c>
      <c r="J5164" s="1">
        <v>3.685817</v>
      </c>
    </row>
    <row r="5165">
      <c r="A5165" s="1">
        <v>2025.0</v>
      </c>
      <c r="B5165" s="1" t="s">
        <v>226</v>
      </c>
      <c r="C5165" s="1">
        <v>607259.0</v>
      </c>
      <c r="D5165" s="1" t="s">
        <v>536</v>
      </c>
      <c r="E5165" s="1" t="s">
        <v>927</v>
      </c>
      <c r="F5165" s="1" t="s">
        <v>927</v>
      </c>
      <c r="G5165" s="1">
        <v>369.0</v>
      </c>
      <c r="H5165" s="1">
        <v>23.71256788</v>
      </c>
      <c r="I5165" s="1">
        <v>4.83</v>
      </c>
      <c r="J5165" s="1">
        <v>9.652445</v>
      </c>
    </row>
    <row r="5166">
      <c r="A5166" s="1">
        <v>2025.0</v>
      </c>
      <c r="B5166" s="1" t="s">
        <v>226</v>
      </c>
      <c r="C5166" s="1">
        <v>607259.0</v>
      </c>
      <c r="D5166" s="1" t="s">
        <v>533</v>
      </c>
      <c r="E5166" s="1" t="s">
        <v>927</v>
      </c>
      <c r="F5166" s="1" t="s">
        <v>927</v>
      </c>
      <c r="G5166" s="1">
        <v>210.0</v>
      </c>
      <c r="H5166" s="1">
        <v>13.49495733</v>
      </c>
      <c r="I5166" s="1">
        <v>5.3</v>
      </c>
      <c r="J5166" s="1">
        <v>3.368446</v>
      </c>
    </row>
    <row r="5167">
      <c r="A5167" s="1">
        <v>2025.0</v>
      </c>
      <c r="B5167" s="1" t="s">
        <v>112</v>
      </c>
      <c r="C5167" s="1">
        <v>683232.0</v>
      </c>
      <c r="D5167" s="1" t="s">
        <v>541</v>
      </c>
      <c r="E5167" s="1" t="s">
        <v>927</v>
      </c>
      <c r="F5167" s="1" t="s">
        <v>926</v>
      </c>
      <c r="G5167" s="1">
        <v>24.0</v>
      </c>
      <c r="H5167" s="1">
        <v>1.609467456</v>
      </c>
      <c r="I5167" s="1">
        <v>4.75</v>
      </c>
      <c r="J5167" s="1">
        <v>0.650217</v>
      </c>
    </row>
    <row r="5168">
      <c r="A5168" s="1">
        <v>2025.0</v>
      </c>
      <c r="B5168" s="1" t="s">
        <v>112</v>
      </c>
      <c r="C5168" s="1">
        <v>683232.0</v>
      </c>
      <c r="D5168" s="1" t="s">
        <v>537</v>
      </c>
      <c r="E5168" s="1" t="s">
        <v>927</v>
      </c>
      <c r="F5168" s="1" t="s">
        <v>926</v>
      </c>
      <c r="G5168" s="1">
        <v>208.0</v>
      </c>
      <c r="H5168" s="1">
        <v>13.94871795</v>
      </c>
      <c r="I5168" s="1">
        <v>5.19</v>
      </c>
      <c r="J5168" s="1">
        <v>3.848735</v>
      </c>
    </row>
    <row r="5169">
      <c r="A5169" s="1">
        <v>2025.0</v>
      </c>
      <c r="B5169" s="1" t="s">
        <v>112</v>
      </c>
      <c r="C5169" s="1">
        <v>683232.0</v>
      </c>
      <c r="D5169" s="1" t="s">
        <v>533</v>
      </c>
      <c r="E5169" s="1" t="s">
        <v>927</v>
      </c>
      <c r="F5169" s="1" t="s">
        <v>926</v>
      </c>
      <c r="G5169" s="1">
        <v>117.0</v>
      </c>
      <c r="H5169" s="1">
        <v>7.846153846</v>
      </c>
      <c r="I5169" s="1">
        <v>5.34</v>
      </c>
      <c r="J5169" s="1">
        <v>1.740621</v>
      </c>
    </row>
    <row r="5170">
      <c r="A5170" s="1">
        <v>2025.0</v>
      </c>
      <c r="B5170" s="1" t="s">
        <v>112</v>
      </c>
      <c r="C5170" s="1">
        <v>683232.0</v>
      </c>
      <c r="D5170" s="1" t="s">
        <v>541</v>
      </c>
      <c r="E5170" s="1" t="s">
        <v>927</v>
      </c>
      <c r="F5170" s="1" t="s">
        <v>927</v>
      </c>
      <c r="G5170" s="1">
        <v>11.0</v>
      </c>
      <c r="H5170" s="1">
        <v>0.737672584</v>
      </c>
      <c r="I5170" s="1">
        <v>4.64</v>
      </c>
      <c r="J5170" s="1">
        <v>0.3351</v>
      </c>
    </row>
    <row r="5171">
      <c r="A5171" s="1">
        <v>2025.0</v>
      </c>
      <c r="B5171" s="1" t="s">
        <v>112</v>
      </c>
      <c r="C5171" s="1">
        <v>683232.0</v>
      </c>
      <c r="D5171" s="1" t="s">
        <v>537</v>
      </c>
      <c r="E5171" s="1" t="s">
        <v>927</v>
      </c>
      <c r="F5171" s="1" t="s">
        <v>927</v>
      </c>
      <c r="G5171" s="1">
        <v>244.0</v>
      </c>
      <c r="H5171" s="1">
        <v>16.36291913</v>
      </c>
      <c r="I5171" s="1">
        <v>5.0</v>
      </c>
      <c r="J5171" s="1">
        <v>5.481502</v>
      </c>
    </row>
    <row r="5172">
      <c r="A5172" s="1">
        <v>2025.0</v>
      </c>
      <c r="B5172" s="1" t="s">
        <v>112</v>
      </c>
      <c r="C5172" s="1">
        <v>683232.0</v>
      </c>
      <c r="D5172" s="1" t="s">
        <v>533</v>
      </c>
      <c r="E5172" s="1" t="s">
        <v>927</v>
      </c>
      <c r="F5172" s="1" t="s">
        <v>927</v>
      </c>
      <c r="G5172" s="1">
        <v>241.0</v>
      </c>
      <c r="H5172" s="1">
        <v>16.1617357</v>
      </c>
      <c r="I5172" s="1">
        <v>5.12</v>
      </c>
      <c r="J5172" s="1">
        <v>4.682173</v>
      </c>
    </row>
    <row r="5173">
      <c r="A5173" s="1">
        <v>2025.0</v>
      </c>
      <c r="B5173" s="1" t="s">
        <v>109</v>
      </c>
      <c r="C5173" s="1">
        <v>601713.0</v>
      </c>
      <c r="D5173" s="1" t="s">
        <v>541</v>
      </c>
      <c r="E5173" s="1" t="s">
        <v>927</v>
      </c>
      <c r="F5173" s="1" t="s">
        <v>926</v>
      </c>
      <c r="G5173" s="1">
        <v>535.0</v>
      </c>
      <c r="H5173" s="1">
        <v>34.11430911</v>
      </c>
      <c r="I5173" s="1">
        <v>5.2</v>
      </c>
      <c r="J5173" s="1">
        <v>9.579461</v>
      </c>
    </row>
    <row r="5174">
      <c r="A5174" s="1">
        <v>2025.0</v>
      </c>
      <c r="B5174" s="1" t="s">
        <v>109</v>
      </c>
      <c r="C5174" s="1">
        <v>601713.0</v>
      </c>
      <c r="D5174" s="1" t="s">
        <v>540</v>
      </c>
      <c r="E5174" s="1" t="s">
        <v>927</v>
      </c>
      <c r="F5174" s="1" t="s">
        <v>926</v>
      </c>
      <c r="G5174" s="1">
        <v>57.0</v>
      </c>
      <c r="H5174" s="1">
        <v>3.634608635</v>
      </c>
      <c r="I5174" s="1">
        <v>5.12</v>
      </c>
      <c r="J5174" s="1">
        <v>1.16642</v>
      </c>
    </row>
    <row r="5175">
      <c r="A5175" s="1">
        <v>2025.0</v>
      </c>
      <c r="B5175" s="1" t="s">
        <v>109</v>
      </c>
      <c r="C5175" s="1">
        <v>601713.0</v>
      </c>
      <c r="D5175" s="1" t="s">
        <v>537</v>
      </c>
      <c r="E5175" s="1" t="s">
        <v>927</v>
      </c>
      <c r="F5175" s="1" t="s">
        <v>926</v>
      </c>
      <c r="G5175" s="1">
        <v>742.0</v>
      </c>
      <c r="H5175" s="1">
        <v>47.31367731</v>
      </c>
      <c r="I5175" s="1">
        <v>5.14</v>
      </c>
      <c r="J5175" s="1">
        <v>14.420652</v>
      </c>
    </row>
    <row r="5176">
      <c r="A5176" s="1">
        <v>2025.0</v>
      </c>
      <c r="B5176" s="1" t="s">
        <v>109</v>
      </c>
      <c r="C5176" s="1">
        <v>601713.0</v>
      </c>
      <c r="D5176" s="1" t="s">
        <v>538</v>
      </c>
      <c r="E5176" s="1" t="s">
        <v>927</v>
      </c>
      <c r="F5176" s="1" t="s">
        <v>926</v>
      </c>
      <c r="G5176" s="1">
        <v>5.0</v>
      </c>
      <c r="H5176" s="1">
        <v>0.318825319</v>
      </c>
      <c r="I5176" s="1">
        <v>4.6</v>
      </c>
      <c r="J5176" s="1">
        <v>0.165425</v>
      </c>
    </row>
    <row r="5177">
      <c r="A5177" s="1">
        <v>2025.0</v>
      </c>
      <c r="B5177" s="1" t="s">
        <v>109</v>
      </c>
      <c r="C5177" s="1">
        <v>601713.0</v>
      </c>
      <c r="D5177" s="1" t="s">
        <v>536</v>
      </c>
      <c r="E5177" s="1" t="s">
        <v>927</v>
      </c>
      <c r="F5177" s="1" t="s">
        <v>926</v>
      </c>
      <c r="G5177" s="1">
        <v>29.0</v>
      </c>
      <c r="H5177" s="1">
        <v>1.849186849</v>
      </c>
      <c r="I5177" s="1">
        <v>4.97</v>
      </c>
      <c r="J5177" s="1">
        <v>0.653399</v>
      </c>
    </row>
    <row r="5178">
      <c r="A5178" s="1">
        <v>2025.0</v>
      </c>
      <c r="B5178" s="1" t="s">
        <v>109</v>
      </c>
      <c r="C5178" s="1">
        <v>601713.0</v>
      </c>
      <c r="D5178" s="1" t="s">
        <v>533</v>
      </c>
      <c r="E5178" s="1" t="s">
        <v>927</v>
      </c>
      <c r="F5178" s="1" t="s">
        <v>926</v>
      </c>
      <c r="G5178" s="1">
        <v>2.0</v>
      </c>
      <c r="H5178" s="1">
        <v>0.127530128</v>
      </c>
      <c r="I5178" s="1">
        <v>-0.02</v>
      </c>
      <c r="J5178" s="1">
        <v>0.251432</v>
      </c>
    </row>
    <row r="5179">
      <c r="A5179" s="1">
        <v>2025.0</v>
      </c>
      <c r="B5179" s="1" t="s">
        <v>109</v>
      </c>
      <c r="C5179" s="1">
        <v>601713.0</v>
      </c>
      <c r="D5179" s="1" t="s">
        <v>539</v>
      </c>
      <c r="E5179" s="1" t="s">
        <v>927</v>
      </c>
      <c r="F5179" s="1" t="s">
        <v>926</v>
      </c>
      <c r="G5179" s="1">
        <v>56.0</v>
      </c>
      <c r="H5179" s="1">
        <v>3.570843571</v>
      </c>
      <c r="I5179" s="1">
        <v>4.67</v>
      </c>
      <c r="J5179" s="1">
        <v>1.588164</v>
      </c>
    </row>
    <row r="5180">
      <c r="A5180" s="1">
        <v>2025.0</v>
      </c>
      <c r="B5180" s="1" t="s">
        <v>109</v>
      </c>
      <c r="C5180" s="1">
        <v>601713.0</v>
      </c>
      <c r="D5180" s="1" t="s">
        <v>541</v>
      </c>
      <c r="E5180" s="1" t="s">
        <v>927</v>
      </c>
      <c r="F5180" s="1" t="s">
        <v>927</v>
      </c>
      <c r="G5180" s="1">
        <v>103.0</v>
      </c>
      <c r="H5180" s="1">
        <v>6.567801568</v>
      </c>
      <c r="I5180" s="1">
        <v>5.08</v>
      </c>
      <c r="J5180" s="1">
        <v>2.020314</v>
      </c>
    </row>
    <row r="5181">
      <c r="A5181" s="1">
        <v>2025.0</v>
      </c>
      <c r="B5181" s="1" t="s">
        <v>109</v>
      </c>
      <c r="C5181" s="1">
        <v>601713.0</v>
      </c>
      <c r="D5181" s="1" t="s">
        <v>540</v>
      </c>
      <c r="E5181" s="1" t="s">
        <v>927</v>
      </c>
      <c r="F5181" s="1" t="s">
        <v>927</v>
      </c>
      <c r="G5181" s="1">
        <v>195.0</v>
      </c>
      <c r="H5181" s="1">
        <v>12.43418743</v>
      </c>
      <c r="I5181" s="1">
        <v>5.26</v>
      </c>
      <c r="J5181" s="1">
        <v>3.355175</v>
      </c>
    </row>
    <row r="5182">
      <c r="A5182" s="1">
        <v>2025.0</v>
      </c>
      <c r="B5182" s="1" t="s">
        <v>109</v>
      </c>
      <c r="C5182" s="1">
        <v>601713.0</v>
      </c>
      <c r="D5182" s="1" t="s">
        <v>537</v>
      </c>
      <c r="E5182" s="1" t="s">
        <v>927</v>
      </c>
      <c r="F5182" s="1" t="s">
        <v>927</v>
      </c>
      <c r="G5182" s="1">
        <v>570.0</v>
      </c>
      <c r="H5182" s="1">
        <v>36.34608635</v>
      </c>
      <c r="I5182" s="1">
        <v>5.26</v>
      </c>
      <c r="J5182" s="1">
        <v>9.680418</v>
      </c>
    </row>
    <row r="5183">
      <c r="A5183" s="1">
        <v>2025.0</v>
      </c>
      <c r="B5183" s="1" t="s">
        <v>109</v>
      </c>
      <c r="C5183" s="1">
        <v>601713.0</v>
      </c>
      <c r="D5183" s="1" t="s">
        <v>536</v>
      </c>
      <c r="E5183" s="1" t="s">
        <v>927</v>
      </c>
      <c r="F5183" s="1" t="s">
        <v>927</v>
      </c>
      <c r="G5183" s="1">
        <v>84.0</v>
      </c>
      <c r="H5183" s="1">
        <v>5.356265356</v>
      </c>
      <c r="I5183" s="1">
        <v>4.51</v>
      </c>
      <c r="J5183" s="1">
        <v>2.731301</v>
      </c>
    </row>
    <row r="5184">
      <c r="A5184" s="1">
        <v>2025.0</v>
      </c>
      <c r="B5184" s="1" t="s">
        <v>109</v>
      </c>
      <c r="C5184" s="1">
        <v>601713.0</v>
      </c>
      <c r="D5184" s="1" t="s">
        <v>533</v>
      </c>
      <c r="E5184" s="1" t="s">
        <v>927</v>
      </c>
      <c r="F5184" s="1" t="s">
        <v>927</v>
      </c>
      <c r="G5184" s="1">
        <v>39.0</v>
      </c>
      <c r="H5184" s="1">
        <v>2.486837487</v>
      </c>
      <c r="I5184" s="1">
        <v>4.91</v>
      </c>
      <c r="J5184" s="1">
        <v>0.889521</v>
      </c>
    </row>
    <row r="5185">
      <c r="A5185" s="1">
        <v>2025.0</v>
      </c>
      <c r="B5185" s="1" t="s">
        <v>109</v>
      </c>
      <c r="C5185" s="1">
        <v>601713.0</v>
      </c>
      <c r="D5185" s="1" t="s">
        <v>539</v>
      </c>
      <c r="E5185" s="1" t="s">
        <v>927</v>
      </c>
      <c r="F5185" s="1" t="s">
        <v>927</v>
      </c>
      <c r="G5185" s="1">
        <v>432.0</v>
      </c>
      <c r="H5185" s="1">
        <v>27.54650755</v>
      </c>
      <c r="I5185" s="1">
        <v>5.28</v>
      </c>
      <c r="J5185" s="1">
        <v>6.851483</v>
      </c>
    </row>
    <row r="5186">
      <c r="A5186" s="1">
        <v>2025.0</v>
      </c>
      <c r="B5186" s="1" t="s">
        <v>993</v>
      </c>
      <c r="C5186" s="1">
        <v>675919.0</v>
      </c>
      <c r="D5186" s="1" t="s">
        <v>537</v>
      </c>
      <c r="E5186" s="1" t="s">
        <v>926</v>
      </c>
      <c r="F5186" s="1" t="s">
        <v>926</v>
      </c>
      <c r="G5186" s="1">
        <v>1.0</v>
      </c>
      <c r="H5186" s="1">
        <v>0.074074074</v>
      </c>
      <c r="I5186" s="1">
        <v>5.9</v>
      </c>
      <c r="J5186" s="1">
        <v>0.008523</v>
      </c>
    </row>
    <row r="5187">
      <c r="A5187" s="1">
        <v>2025.0</v>
      </c>
      <c r="B5187" s="1" t="s">
        <v>993</v>
      </c>
      <c r="C5187" s="1">
        <v>675919.0</v>
      </c>
      <c r="D5187" s="1" t="s">
        <v>536</v>
      </c>
      <c r="E5187" s="1" t="s">
        <v>926</v>
      </c>
      <c r="F5187" s="1" t="s">
        <v>926</v>
      </c>
      <c r="G5187" s="1">
        <v>6.0</v>
      </c>
      <c r="H5187" s="1">
        <v>0.444444444</v>
      </c>
      <c r="I5187" s="1">
        <v>5.96</v>
      </c>
      <c r="J5187" s="1">
        <v>0.023953</v>
      </c>
    </row>
    <row r="5188">
      <c r="A5188" s="1">
        <v>2025.0</v>
      </c>
      <c r="B5188" s="1" t="s">
        <v>993</v>
      </c>
      <c r="C5188" s="1">
        <v>675919.0</v>
      </c>
      <c r="D5188" s="1" t="s">
        <v>533</v>
      </c>
      <c r="E5188" s="1" t="s">
        <v>926</v>
      </c>
      <c r="F5188" s="1" t="s">
        <v>926</v>
      </c>
      <c r="G5188" s="1">
        <v>2.0</v>
      </c>
      <c r="H5188" s="1">
        <v>0.148148148</v>
      </c>
      <c r="I5188" s="1">
        <v>4.25</v>
      </c>
      <c r="J5188" s="1">
        <v>0.07177</v>
      </c>
    </row>
    <row r="5189">
      <c r="A5189" s="1">
        <v>2025.0</v>
      </c>
      <c r="B5189" s="1" t="s">
        <v>993</v>
      </c>
      <c r="C5189" s="1">
        <v>675919.0</v>
      </c>
      <c r="D5189" s="1" t="s">
        <v>539</v>
      </c>
      <c r="E5189" s="1" t="s">
        <v>926</v>
      </c>
      <c r="F5189" s="1" t="s">
        <v>926</v>
      </c>
      <c r="G5189" s="1">
        <v>8.0</v>
      </c>
      <c r="H5189" s="1">
        <v>0.592592593</v>
      </c>
      <c r="I5189" s="1">
        <v>5.63</v>
      </c>
      <c r="J5189" s="1">
        <v>0.083088</v>
      </c>
    </row>
    <row r="5190">
      <c r="A5190" s="1">
        <v>2025.0</v>
      </c>
      <c r="B5190" s="1" t="s">
        <v>993</v>
      </c>
      <c r="C5190" s="1">
        <v>675919.0</v>
      </c>
      <c r="D5190" s="1" t="s">
        <v>532</v>
      </c>
      <c r="E5190" s="1" t="s">
        <v>926</v>
      </c>
      <c r="F5190" s="1" t="s">
        <v>927</v>
      </c>
      <c r="G5190" s="1">
        <v>3.0</v>
      </c>
      <c r="H5190" s="1">
        <v>0.222222222</v>
      </c>
      <c r="I5190" s="1">
        <v>3.66</v>
      </c>
      <c r="J5190" s="1">
        <v>0.151658</v>
      </c>
    </row>
    <row r="5191">
      <c r="A5191" s="1">
        <v>2025.0</v>
      </c>
      <c r="B5191" s="1" t="s">
        <v>993</v>
      </c>
      <c r="C5191" s="1">
        <v>675919.0</v>
      </c>
      <c r="D5191" s="1" t="s">
        <v>537</v>
      </c>
      <c r="E5191" s="1" t="s">
        <v>926</v>
      </c>
      <c r="F5191" s="1" t="s">
        <v>927</v>
      </c>
      <c r="G5191" s="1">
        <v>2.0</v>
      </c>
      <c r="H5191" s="1">
        <v>0.148148148</v>
      </c>
      <c r="I5191" s="1">
        <v>4.84</v>
      </c>
      <c r="J5191" s="1">
        <v>0.058338</v>
      </c>
    </row>
    <row r="5192">
      <c r="A5192" s="1">
        <v>2025.0</v>
      </c>
      <c r="B5192" s="1" t="s">
        <v>993</v>
      </c>
      <c r="C5192" s="1">
        <v>675919.0</v>
      </c>
      <c r="D5192" s="1" t="s">
        <v>536</v>
      </c>
      <c r="E5192" s="1" t="s">
        <v>926</v>
      </c>
      <c r="F5192" s="1" t="s">
        <v>927</v>
      </c>
      <c r="G5192" s="1">
        <v>2.0</v>
      </c>
      <c r="H5192" s="1">
        <v>0.148148148</v>
      </c>
      <c r="I5192" s="1">
        <v>5.71</v>
      </c>
      <c r="J5192" s="1">
        <v>0.021286</v>
      </c>
    </row>
    <row r="5193">
      <c r="A5193" s="1">
        <v>2025.0</v>
      </c>
      <c r="B5193" s="1" t="s">
        <v>993</v>
      </c>
      <c r="C5193" s="1">
        <v>675919.0</v>
      </c>
      <c r="D5193" s="1" t="s">
        <v>533</v>
      </c>
      <c r="E5193" s="1" t="s">
        <v>926</v>
      </c>
      <c r="F5193" s="1" t="s">
        <v>927</v>
      </c>
      <c r="G5193" s="1">
        <v>2.0</v>
      </c>
      <c r="H5193" s="1">
        <v>0.148148148</v>
      </c>
      <c r="I5193" s="1">
        <v>5.79</v>
      </c>
      <c r="J5193" s="1">
        <v>0.010339</v>
      </c>
    </row>
    <row r="5194">
      <c r="A5194" s="1">
        <v>2025.0</v>
      </c>
      <c r="B5194" s="1" t="s">
        <v>993</v>
      </c>
      <c r="C5194" s="1">
        <v>675919.0</v>
      </c>
      <c r="D5194" s="1" t="s">
        <v>539</v>
      </c>
      <c r="E5194" s="1" t="s">
        <v>926</v>
      </c>
      <c r="F5194" s="1" t="s">
        <v>927</v>
      </c>
      <c r="G5194" s="1">
        <v>1.0</v>
      </c>
      <c r="H5194" s="1">
        <v>0.074074074</v>
      </c>
      <c r="I5194" s="1">
        <v>3.15</v>
      </c>
      <c r="J5194" s="1">
        <v>0.05883</v>
      </c>
    </row>
    <row r="5195">
      <c r="A5195" s="1">
        <v>2025.0</v>
      </c>
      <c r="B5195" s="1" t="s">
        <v>641</v>
      </c>
      <c r="C5195" s="1">
        <v>680704.0</v>
      </c>
      <c r="D5195" s="1" t="s">
        <v>537</v>
      </c>
      <c r="E5195" s="1" t="s">
        <v>927</v>
      </c>
      <c r="F5195" s="1" t="s">
        <v>926</v>
      </c>
      <c r="G5195" s="1">
        <v>32.0</v>
      </c>
      <c r="H5195" s="1">
        <v>1.802298851</v>
      </c>
      <c r="I5195" s="1">
        <v>4.24</v>
      </c>
      <c r="J5195" s="1">
        <v>1.181398</v>
      </c>
    </row>
    <row r="5196">
      <c r="A5196" s="1">
        <v>2025.0</v>
      </c>
      <c r="B5196" s="1" t="s">
        <v>641</v>
      </c>
      <c r="C5196" s="1">
        <v>680704.0</v>
      </c>
      <c r="D5196" s="1" t="s">
        <v>538</v>
      </c>
      <c r="E5196" s="1" t="s">
        <v>927</v>
      </c>
      <c r="F5196" s="1" t="s">
        <v>926</v>
      </c>
      <c r="G5196" s="1">
        <v>46.0</v>
      </c>
      <c r="H5196" s="1">
        <v>2.590804598</v>
      </c>
      <c r="I5196" s="1">
        <v>4.56</v>
      </c>
      <c r="J5196" s="1">
        <v>1.393295</v>
      </c>
    </row>
    <row r="5197">
      <c r="A5197" s="1">
        <v>2025.0</v>
      </c>
      <c r="B5197" s="1" t="s">
        <v>641</v>
      </c>
      <c r="C5197" s="1">
        <v>680704.0</v>
      </c>
      <c r="D5197" s="1" t="s">
        <v>536</v>
      </c>
      <c r="E5197" s="1" t="s">
        <v>927</v>
      </c>
      <c r="F5197" s="1" t="s">
        <v>926</v>
      </c>
      <c r="G5197" s="1">
        <v>9.0</v>
      </c>
      <c r="H5197" s="1">
        <v>0.506896552</v>
      </c>
      <c r="I5197" s="1">
        <v>4.18</v>
      </c>
      <c r="J5197" s="1">
        <v>0.335625</v>
      </c>
    </row>
    <row r="5198">
      <c r="A5198" s="1">
        <v>2025.0</v>
      </c>
      <c r="B5198" s="1" t="s">
        <v>641</v>
      </c>
      <c r="C5198" s="1">
        <v>680704.0</v>
      </c>
      <c r="D5198" s="1" t="s">
        <v>533</v>
      </c>
      <c r="E5198" s="1" t="s">
        <v>927</v>
      </c>
      <c r="F5198" s="1" t="s">
        <v>926</v>
      </c>
      <c r="G5198" s="1">
        <v>49.0</v>
      </c>
      <c r="H5198" s="1">
        <v>2.759770115</v>
      </c>
      <c r="I5198" s="1">
        <v>5.17</v>
      </c>
      <c r="J5198" s="1">
        <v>0.874292</v>
      </c>
    </row>
    <row r="5199">
      <c r="A5199" s="1">
        <v>2025.0</v>
      </c>
      <c r="B5199" s="1" t="s">
        <v>641</v>
      </c>
      <c r="C5199" s="1">
        <v>680704.0</v>
      </c>
      <c r="D5199" s="1" t="s">
        <v>537</v>
      </c>
      <c r="E5199" s="1" t="s">
        <v>927</v>
      </c>
      <c r="F5199" s="1" t="s">
        <v>927</v>
      </c>
      <c r="G5199" s="1">
        <v>29.0</v>
      </c>
      <c r="H5199" s="1">
        <v>1.633333333</v>
      </c>
      <c r="I5199" s="1">
        <v>4.87</v>
      </c>
      <c r="J5199" s="1">
        <v>0.698381</v>
      </c>
    </row>
    <row r="5200">
      <c r="A5200" s="1">
        <v>2025.0</v>
      </c>
      <c r="B5200" s="1" t="s">
        <v>641</v>
      </c>
      <c r="C5200" s="1">
        <v>680704.0</v>
      </c>
      <c r="D5200" s="1" t="s">
        <v>538</v>
      </c>
      <c r="E5200" s="1" t="s">
        <v>927</v>
      </c>
      <c r="F5200" s="1" t="s">
        <v>927</v>
      </c>
      <c r="G5200" s="1">
        <v>11.0</v>
      </c>
      <c r="H5200" s="1">
        <v>0.61954023</v>
      </c>
      <c r="I5200" s="1">
        <v>5.37</v>
      </c>
      <c r="J5200" s="1">
        <v>0.128134</v>
      </c>
    </row>
    <row r="5201">
      <c r="A5201" s="1">
        <v>2025.0</v>
      </c>
      <c r="B5201" s="1" t="s">
        <v>641</v>
      </c>
      <c r="C5201" s="1">
        <v>680704.0</v>
      </c>
      <c r="D5201" s="1" t="s">
        <v>536</v>
      </c>
      <c r="E5201" s="1" t="s">
        <v>927</v>
      </c>
      <c r="F5201" s="1" t="s">
        <v>927</v>
      </c>
      <c r="G5201" s="1">
        <v>22.0</v>
      </c>
      <c r="H5201" s="1">
        <v>1.23908046</v>
      </c>
      <c r="I5201" s="1">
        <v>5.23</v>
      </c>
      <c r="J5201" s="1">
        <v>0.401642</v>
      </c>
    </row>
    <row r="5202">
      <c r="A5202" s="1">
        <v>2025.0</v>
      </c>
      <c r="B5202" s="1" t="s">
        <v>641</v>
      </c>
      <c r="C5202" s="1">
        <v>680704.0</v>
      </c>
      <c r="D5202" s="1" t="s">
        <v>533</v>
      </c>
      <c r="E5202" s="1" t="s">
        <v>927</v>
      </c>
      <c r="F5202" s="1" t="s">
        <v>927</v>
      </c>
      <c r="G5202" s="1">
        <v>92.0</v>
      </c>
      <c r="H5202" s="1">
        <v>5.181609195</v>
      </c>
      <c r="I5202" s="1">
        <v>5.24</v>
      </c>
      <c r="J5202" s="1">
        <v>1.494021</v>
      </c>
    </row>
    <row r="5203">
      <c r="A5203" s="1">
        <v>2025.0</v>
      </c>
      <c r="B5203" s="1" t="s">
        <v>657</v>
      </c>
      <c r="C5203" s="1">
        <v>670032.0</v>
      </c>
      <c r="D5203" s="1" t="s">
        <v>537</v>
      </c>
      <c r="E5203" s="1" t="s">
        <v>927</v>
      </c>
      <c r="F5203" s="1" t="s">
        <v>927</v>
      </c>
      <c r="G5203" s="1">
        <v>8.0</v>
      </c>
      <c r="H5203" s="1">
        <v>0.333333333</v>
      </c>
      <c r="I5203" s="1">
        <v>3.22</v>
      </c>
      <c r="J5203" s="1">
        <v>0.468379</v>
      </c>
    </row>
    <row r="5204">
      <c r="A5204" s="1">
        <v>2025.0</v>
      </c>
      <c r="B5204" s="1" t="s">
        <v>994</v>
      </c>
      <c r="C5204" s="1">
        <v>694359.0</v>
      </c>
      <c r="D5204" s="1" t="s">
        <v>537</v>
      </c>
      <c r="E5204" s="1" t="s">
        <v>927</v>
      </c>
      <c r="F5204" s="1" t="s">
        <v>926</v>
      </c>
      <c r="G5204" s="1">
        <v>9.0</v>
      </c>
      <c r="H5204" s="1">
        <v>0.714285714</v>
      </c>
      <c r="I5204" s="1">
        <v>3.19</v>
      </c>
      <c r="J5204" s="1">
        <v>0.524025</v>
      </c>
    </row>
    <row r="5205">
      <c r="A5205" s="1">
        <v>2025.0</v>
      </c>
      <c r="B5205" s="1" t="s">
        <v>994</v>
      </c>
      <c r="C5205" s="1">
        <v>694359.0</v>
      </c>
      <c r="D5205" s="1" t="s">
        <v>537</v>
      </c>
      <c r="E5205" s="1" t="s">
        <v>927</v>
      </c>
      <c r="F5205" s="1" t="s">
        <v>927</v>
      </c>
      <c r="G5205" s="1">
        <v>12.0</v>
      </c>
      <c r="H5205" s="1">
        <v>0.952380952</v>
      </c>
      <c r="I5205" s="1">
        <v>4.4</v>
      </c>
      <c r="J5205" s="1">
        <v>0.415222</v>
      </c>
    </row>
    <row r="5206">
      <c r="A5206" s="1">
        <v>2025.0</v>
      </c>
      <c r="B5206" s="1" t="s">
        <v>161</v>
      </c>
      <c r="C5206" s="1">
        <v>702070.0</v>
      </c>
      <c r="D5206" s="1" t="s">
        <v>532</v>
      </c>
      <c r="E5206" s="1" t="s">
        <v>926</v>
      </c>
      <c r="F5206" s="1" t="s">
        <v>926</v>
      </c>
      <c r="G5206" s="1">
        <v>23.0</v>
      </c>
      <c r="H5206" s="1">
        <v>1.47095084</v>
      </c>
      <c r="I5206" s="1">
        <v>4.7</v>
      </c>
      <c r="J5206" s="1">
        <v>0.632171</v>
      </c>
    </row>
    <row r="5207">
      <c r="A5207" s="1">
        <v>2025.0</v>
      </c>
      <c r="B5207" s="1" t="s">
        <v>161</v>
      </c>
      <c r="C5207" s="1">
        <v>702070.0</v>
      </c>
      <c r="D5207" s="1" t="s">
        <v>541</v>
      </c>
      <c r="E5207" s="1" t="s">
        <v>926</v>
      </c>
      <c r="F5207" s="1" t="s">
        <v>926</v>
      </c>
      <c r="G5207" s="1">
        <v>84.0</v>
      </c>
      <c r="H5207" s="1">
        <v>5.372168285</v>
      </c>
      <c r="I5207" s="1">
        <v>4.96</v>
      </c>
      <c r="J5207" s="1">
        <v>1.824597</v>
      </c>
    </row>
    <row r="5208">
      <c r="A5208" s="1">
        <v>2025.0</v>
      </c>
      <c r="B5208" s="1" t="s">
        <v>161</v>
      </c>
      <c r="C5208" s="1">
        <v>702070.0</v>
      </c>
      <c r="D5208" s="1" t="s">
        <v>540</v>
      </c>
      <c r="E5208" s="1" t="s">
        <v>926</v>
      </c>
      <c r="F5208" s="1" t="s">
        <v>926</v>
      </c>
      <c r="G5208" s="1">
        <v>87.0</v>
      </c>
      <c r="H5208" s="1">
        <v>5.564031438</v>
      </c>
      <c r="I5208" s="1">
        <v>5.36</v>
      </c>
      <c r="J5208" s="1">
        <v>1.285045</v>
      </c>
    </row>
    <row r="5209">
      <c r="A5209" s="1">
        <v>2025.0</v>
      </c>
      <c r="B5209" s="1" t="s">
        <v>161</v>
      </c>
      <c r="C5209" s="1">
        <v>702070.0</v>
      </c>
      <c r="D5209" s="1" t="s">
        <v>537</v>
      </c>
      <c r="E5209" s="1" t="s">
        <v>926</v>
      </c>
      <c r="F5209" s="1" t="s">
        <v>926</v>
      </c>
      <c r="G5209" s="1">
        <v>174.0</v>
      </c>
      <c r="H5209" s="1">
        <v>11.12806288</v>
      </c>
      <c r="I5209" s="1">
        <v>5.02</v>
      </c>
      <c r="J5209" s="1">
        <v>3.699009</v>
      </c>
    </row>
    <row r="5210">
      <c r="A5210" s="1">
        <v>2025.0</v>
      </c>
      <c r="B5210" s="1" t="s">
        <v>161</v>
      </c>
      <c r="C5210" s="1">
        <v>702070.0</v>
      </c>
      <c r="D5210" s="1" t="s">
        <v>533</v>
      </c>
      <c r="E5210" s="1" t="s">
        <v>926</v>
      </c>
      <c r="F5210" s="1" t="s">
        <v>926</v>
      </c>
      <c r="G5210" s="1">
        <v>148.0</v>
      </c>
      <c r="H5210" s="1">
        <v>9.465248883</v>
      </c>
      <c r="I5210" s="1">
        <v>5.28</v>
      </c>
      <c r="J5210" s="1">
        <v>2.382417</v>
      </c>
    </row>
    <row r="5211">
      <c r="A5211" s="1">
        <v>2025.0</v>
      </c>
      <c r="B5211" s="1" t="s">
        <v>161</v>
      </c>
      <c r="C5211" s="1">
        <v>702070.0</v>
      </c>
      <c r="D5211" s="1" t="s">
        <v>532</v>
      </c>
      <c r="E5211" s="1" t="s">
        <v>926</v>
      </c>
      <c r="F5211" s="1" t="s">
        <v>927</v>
      </c>
      <c r="G5211" s="1">
        <v>377.0</v>
      </c>
      <c r="H5211" s="1">
        <v>24.1108029</v>
      </c>
      <c r="I5211" s="1">
        <v>4.92</v>
      </c>
      <c r="J5211" s="1">
        <v>8.721734</v>
      </c>
    </row>
    <row r="5212">
      <c r="A5212" s="1">
        <v>2025.0</v>
      </c>
      <c r="B5212" s="1" t="s">
        <v>161</v>
      </c>
      <c r="C5212" s="1">
        <v>702070.0</v>
      </c>
      <c r="D5212" s="1" t="s">
        <v>541</v>
      </c>
      <c r="E5212" s="1" t="s">
        <v>926</v>
      </c>
      <c r="F5212" s="1" t="s">
        <v>927</v>
      </c>
      <c r="G5212" s="1">
        <v>334.0</v>
      </c>
      <c r="H5212" s="1">
        <v>21.36076437</v>
      </c>
      <c r="I5212" s="1">
        <v>5.17</v>
      </c>
      <c r="J5212" s="1">
        <v>6.021478</v>
      </c>
    </row>
    <row r="5213">
      <c r="A5213" s="1">
        <v>2025.0</v>
      </c>
      <c r="B5213" s="1" t="s">
        <v>161</v>
      </c>
      <c r="C5213" s="1">
        <v>702070.0</v>
      </c>
      <c r="D5213" s="1" t="s">
        <v>540</v>
      </c>
      <c r="E5213" s="1" t="s">
        <v>926</v>
      </c>
      <c r="F5213" s="1" t="s">
        <v>927</v>
      </c>
      <c r="G5213" s="1">
        <v>378.0</v>
      </c>
      <c r="H5213" s="1">
        <v>24.17475728</v>
      </c>
      <c r="I5213" s="1">
        <v>5.4</v>
      </c>
      <c r="J5213" s="1">
        <v>5.570318</v>
      </c>
    </row>
    <row r="5214">
      <c r="A5214" s="1">
        <v>2025.0</v>
      </c>
      <c r="B5214" s="1" t="s">
        <v>161</v>
      </c>
      <c r="C5214" s="1">
        <v>702070.0</v>
      </c>
      <c r="D5214" s="1" t="s">
        <v>537</v>
      </c>
      <c r="E5214" s="1" t="s">
        <v>926</v>
      </c>
      <c r="F5214" s="1" t="s">
        <v>927</v>
      </c>
      <c r="G5214" s="1">
        <v>397.0</v>
      </c>
      <c r="H5214" s="1">
        <v>25.38989058</v>
      </c>
      <c r="I5214" s="1">
        <v>4.73</v>
      </c>
      <c r="J5214" s="1">
        <v>10.945802</v>
      </c>
    </row>
    <row r="5215">
      <c r="A5215" s="1">
        <v>2025.0</v>
      </c>
      <c r="B5215" s="1" t="s">
        <v>161</v>
      </c>
      <c r="C5215" s="1">
        <v>702070.0</v>
      </c>
      <c r="D5215" s="1" t="s">
        <v>533</v>
      </c>
      <c r="E5215" s="1" t="s">
        <v>926</v>
      </c>
      <c r="F5215" s="1" t="s">
        <v>927</v>
      </c>
      <c r="G5215" s="1">
        <v>161.0</v>
      </c>
      <c r="H5215" s="1">
        <v>10.29665588</v>
      </c>
      <c r="I5215" s="1">
        <v>5.33</v>
      </c>
      <c r="J5215" s="1">
        <v>2.430492</v>
      </c>
    </row>
    <row r="5216">
      <c r="A5216" s="1">
        <v>2025.0</v>
      </c>
      <c r="B5216" s="1" t="s">
        <v>816</v>
      </c>
      <c r="C5216" s="1">
        <v>663562.0</v>
      </c>
      <c r="D5216" s="1" t="s">
        <v>541</v>
      </c>
      <c r="E5216" s="1" t="s">
        <v>927</v>
      </c>
      <c r="F5216" s="1" t="s">
        <v>926</v>
      </c>
      <c r="G5216" s="1">
        <v>1.0</v>
      </c>
      <c r="H5216" s="1">
        <v>0.043824701</v>
      </c>
      <c r="I5216" s="1">
        <v>3.28</v>
      </c>
      <c r="J5216" s="1">
        <v>0.059124</v>
      </c>
    </row>
    <row r="5217">
      <c r="A5217" s="1">
        <v>2025.0</v>
      </c>
      <c r="B5217" s="1" t="s">
        <v>816</v>
      </c>
      <c r="C5217" s="1">
        <v>663562.0</v>
      </c>
      <c r="D5217" s="1" t="s">
        <v>540</v>
      </c>
      <c r="E5217" s="1" t="s">
        <v>927</v>
      </c>
      <c r="F5217" s="1" t="s">
        <v>926</v>
      </c>
      <c r="G5217" s="1">
        <v>31.0</v>
      </c>
      <c r="H5217" s="1">
        <v>1.358565737</v>
      </c>
      <c r="I5217" s="1">
        <v>4.89</v>
      </c>
      <c r="J5217" s="1">
        <v>0.746378</v>
      </c>
    </row>
    <row r="5218">
      <c r="A5218" s="1">
        <v>2025.0</v>
      </c>
      <c r="B5218" s="1" t="s">
        <v>816</v>
      </c>
      <c r="C5218" s="1">
        <v>663562.0</v>
      </c>
      <c r="D5218" s="1" t="s">
        <v>537</v>
      </c>
      <c r="E5218" s="1" t="s">
        <v>927</v>
      </c>
      <c r="F5218" s="1" t="s">
        <v>926</v>
      </c>
      <c r="G5218" s="1">
        <v>15.0</v>
      </c>
      <c r="H5218" s="1">
        <v>0.657370518</v>
      </c>
      <c r="I5218" s="1">
        <v>3.55</v>
      </c>
      <c r="J5218" s="1">
        <v>0.77213</v>
      </c>
    </row>
    <row r="5219">
      <c r="A5219" s="1">
        <v>2025.0</v>
      </c>
      <c r="B5219" s="1" t="s">
        <v>816</v>
      </c>
      <c r="C5219" s="1">
        <v>663562.0</v>
      </c>
      <c r="D5219" s="1" t="s">
        <v>995</v>
      </c>
      <c r="E5219" s="1" t="s">
        <v>927</v>
      </c>
      <c r="F5219" s="1" t="s">
        <v>926</v>
      </c>
      <c r="G5219" s="1">
        <v>4.0</v>
      </c>
      <c r="H5219" s="1">
        <v>0.175298805</v>
      </c>
      <c r="I5219" s="1">
        <v>3.57</v>
      </c>
      <c r="J5219" s="1">
        <v>0.205987</v>
      </c>
    </row>
    <row r="5220">
      <c r="A5220" s="1">
        <v>2025.0</v>
      </c>
      <c r="B5220" s="1" t="s">
        <v>816</v>
      </c>
      <c r="C5220" s="1">
        <v>663562.0</v>
      </c>
      <c r="D5220" s="1" t="s">
        <v>536</v>
      </c>
      <c r="E5220" s="1" t="s">
        <v>927</v>
      </c>
      <c r="F5220" s="1" t="s">
        <v>926</v>
      </c>
      <c r="G5220" s="1">
        <v>29.0</v>
      </c>
      <c r="H5220" s="1">
        <v>1.270916335</v>
      </c>
      <c r="I5220" s="1">
        <v>4.22</v>
      </c>
      <c r="J5220" s="1">
        <v>1.073272</v>
      </c>
    </row>
    <row r="5221">
      <c r="A5221" s="1">
        <v>2025.0</v>
      </c>
      <c r="B5221" s="1" t="s">
        <v>816</v>
      </c>
      <c r="C5221" s="1">
        <v>663562.0</v>
      </c>
      <c r="D5221" s="1" t="s">
        <v>539</v>
      </c>
      <c r="E5221" s="1" t="s">
        <v>927</v>
      </c>
      <c r="F5221" s="1" t="s">
        <v>926</v>
      </c>
      <c r="G5221" s="1">
        <v>28.0</v>
      </c>
      <c r="H5221" s="1">
        <v>1.227091633</v>
      </c>
      <c r="I5221" s="1">
        <v>2.54</v>
      </c>
      <c r="J5221" s="1">
        <v>2.018582</v>
      </c>
    </row>
    <row r="5222">
      <c r="A5222" s="1">
        <v>2025.0</v>
      </c>
      <c r="B5222" s="1" t="s">
        <v>816</v>
      </c>
      <c r="C5222" s="1">
        <v>663562.0</v>
      </c>
      <c r="D5222" s="1" t="s">
        <v>540</v>
      </c>
      <c r="E5222" s="1" t="s">
        <v>927</v>
      </c>
      <c r="F5222" s="1" t="s">
        <v>927</v>
      </c>
      <c r="G5222" s="1">
        <v>17.0</v>
      </c>
      <c r="H5222" s="1">
        <v>0.74501992</v>
      </c>
      <c r="I5222" s="1">
        <v>5.15</v>
      </c>
      <c r="J5222" s="1">
        <v>0.33262</v>
      </c>
    </row>
    <row r="5223">
      <c r="A5223" s="1">
        <v>2025.0</v>
      </c>
      <c r="B5223" s="1" t="s">
        <v>816</v>
      </c>
      <c r="C5223" s="1">
        <v>663562.0</v>
      </c>
      <c r="D5223" s="1" t="s">
        <v>537</v>
      </c>
      <c r="E5223" s="1" t="s">
        <v>927</v>
      </c>
      <c r="F5223" s="1" t="s">
        <v>927</v>
      </c>
      <c r="G5223" s="1">
        <v>3.0</v>
      </c>
      <c r="H5223" s="1">
        <v>0.131474104</v>
      </c>
      <c r="I5223" s="1">
        <v>3.12</v>
      </c>
      <c r="J5223" s="1">
        <v>0.179375</v>
      </c>
    </row>
    <row r="5224">
      <c r="A5224" s="1">
        <v>2025.0</v>
      </c>
      <c r="B5224" s="1" t="s">
        <v>816</v>
      </c>
      <c r="C5224" s="1">
        <v>663562.0</v>
      </c>
      <c r="D5224" s="1" t="s">
        <v>995</v>
      </c>
      <c r="E5224" s="1" t="s">
        <v>927</v>
      </c>
      <c r="F5224" s="1" t="s">
        <v>927</v>
      </c>
      <c r="G5224" s="1">
        <v>3.0</v>
      </c>
      <c r="H5224" s="1">
        <v>0.131474104</v>
      </c>
      <c r="I5224" s="1">
        <v>4.94</v>
      </c>
      <c r="J5224" s="1">
        <v>0.066838</v>
      </c>
    </row>
    <row r="5225">
      <c r="A5225" s="1">
        <v>2025.0</v>
      </c>
      <c r="B5225" s="1" t="s">
        <v>816</v>
      </c>
      <c r="C5225" s="1">
        <v>663562.0</v>
      </c>
      <c r="D5225" s="1" t="s">
        <v>536</v>
      </c>
      <c r="E5225" s="1" t="s">
        <v>927</v>
      </c>
      <c r="F5225" s="1" t="s">
        <v>927</v>
      </c>
      <c r="G5225" s="1">
        <v>65.0</v>
      </c>
      <c r="H5225" s="1">
        <v>2.848605578</v>
      </c>
      <c r="I5225" s="1">
        <v>5.03</v>
      </c>
      <c r="J5225" s="1">
        <v>1.41979</v>
      </c>
    </row>
    <row r="5226">
      <c r="A5226" s="1">
        <v>2025.0</v>
      </c>
      <c r="B5226" s="1" t="s">
        <v>816</v>
      </c>
      <c r="C5226" s="1">
        <v>663562.0</v>
      </c>
      <c r="D5226" s="1" t="s">
        <v>539</v>
      </c>
      <c r="E5226" s="1" t="s">
        <v>927</v>
      </c>
      <c r="F5226" s="1" t="s">
        <v>927</v>
      </c>
      <c r="G5226" s="1">
        <v>55.0</v>
      </c>
      <c r="H5226" s="1">
        <v>2.410358566</v>
      </c>
      <c r="I5226" s="1">
        <v>4.79</v>
      </c>
      <c r="J5226" s="1">
        <v>1.424455</v>
      </c>
    </row>
    <row r="5227">
      <c r="A5227" s="1">
        <v>2025.0</v>
      </c>
      <c r="B5227" s="1" t="s">
        <v>717</v>
      </c>
      <c r="C5227" s="1">
        <v>668716.0</v>
      </c>
      <c r="D5227" s="1" t="s">
        <v>532</v>
      </c>
      <c r="E5227" s="1" t="s">
        <v>927</v>
      </c>
      <c r="F5227" s="1" t="s">
        <v>926</v>
      </c>
      <c r="G5227" s="1">
        <v>8.0</v>
      </c>
      <c r="H5227" s="1">
        <v>0.346938776</v>
      </c>
      <c r="I5227" s="1">
        <v>3.99</v>
      </c>
      <c r="J5227" s="1">
        <v>0.334361</v>
      </c>
    </row>
    <row r="5228">
      <c r="A5228" s="1">
        <v>2025.0</v>
      </c>
      <c r="B5228" s="1" t="s">
        <v>717</v>
      </c>
      <c r="C5228" s="1">
        <v>668716.0</v>
      </c>
      <c r="D5228" s="1" t="s">
        <v>540</v>
      </c>
      <c r="E5228" s="1" t="s">
        <v>927</v>
      </c>
      <c r="F5228" s="1" t="s">
        <v>926</v>
      </c>
      <c r="G5228" s="1">
        <v>30.0</v>
      </c>
      <c r="H5228" s="1">
        <v>1.301020408</v>
      </c>
      <c r="I5228" s="1">
        <v>4.75</v>
      </c>
      <c r="J5228" s="1">
        <v>0.838198</v>
      </c>
    </row>
    <row r="5229">
      <c r="A5229" s="1">
        <v>2025.0</v>
      </c>
      <c r="B5229" s="1" t="s">
        <v>717</v>
      </c>
      <c r="C5229" s="1">
        <v>668716.0</v>
      </c>
      <c r="D5229" s="1" t="s">
        <v>536</v>
      </c>
      <c r="E5229" s="1" t="s">
        <v>927</v>
      </c>
      <c r="F5229" s="1" t="s">
        <v>926</v>
      </c>
      <c r="G5229" s="1">
        <v>61.0</v>
      </c>
      <c r="H5229" s="1">
        <v>2.645408163</v>
      </c>
      <c r="I5229" s="1">
        <v>4.48</v>
      </c>
      <c r="J5229" s="1">
        <v>1.941816</v>
      </c>
    </row>
    <row r="5230">
      <c r="A5230" s="1">
        <v>2025.0</v>
      </c>
      <c r="B5230" s="1" t="s">
        <v>717</v>
      </c>
      <c r="C5230" s="1">
        <v>668716.0</v>
      </c>
      <c r="D5230" s="1" t="s">
        <v>539</v>
      </c>
      <c r="E5230" s="1" t="s">
        <v>927</v>
      </c>
      <c r="F5230" s="1" t="s">
        <v>926</v>
      </c>
      <c r="G5230" s="1">
        <v>13.0</v>
      </c>
      <c r="H5230" s="1">
        <v>0.56377551</v>
      </c>
      <c r="I5230" s="1">
        <v>4.66</v>
      </c>
      <c r="J5230" s="1">
        <v>0.360585</v>
      </c>
    </row>
    <row r="5231">
      <c r="A5231" s="1">
        <v>2025.0</v>
      </c>
      <c r="B5231" s="1" t="s">
        <v>717</v>
      </c>
      <c r="C5231" s="1">
        <v>668716.0</v>
      </c>
      <c r="D5231" s="1" t="s">
        <v>532</v>
      </c>
      <c r="E5231" s="1" t="s">
        <v>927</v>
      </c>
      <c r="F5231" s="1" t="s">
        <v>927</v>
      </c>
      <c r="G5231" s="1">
        <v>7.0</v>
      </c>
      <c r="H5231" s="1">
        <v>0.303571429</v>
      </c>
      <c r="I5231" s="1">
        <v>4.52</v>
      </c>
      <c r="J5231" s="1">
        <v>0.218513</v>
      </c>
    </row>
    <row r="5232">
      <c r="A5232" s="1">
        <v>2025.0</v>
      </c>
      <c r="B5232" s="1" t="s">
        <v>717</v>
      </c>
      <c r="C5232" s="1">
        <v>668716.0</v>
      </c>
      <c r="D5232" s="1" t="s">
        <v>540</v>
      </c>
      <c r="E5232" s="1" t="s">
        <v>927</v>
      </c>
      <c r="F5232" s="1" t="s">
        <v>927</v>
      </c>
      <c r="G5232" s="1">
        <v>60.0</v>
      </c>
      <c r="H5232" s="1">
        <v>2.602040816</v>
      </c>
      <c r="I5232" s="1">
        <v>4.85</v>
      </c>
      <c r="J5232" s="1">
        <v>1.520571</v>
      </c>
    </row>
    <row r="5233">
      <c r="A5233" s="1">
        <v>2025.0</v>
      </c>
      <c r="B5233" s="1" t="s">
        <v>717</v>
      </c>
      <c r="C5233" s="1">
        <v>668716.0</v>
      </c>
      <c r="D5233" s="1" t="s">
        <v>537</v>
      </c>
      <c r="E5233" s="1" t="s">
        <v>927</v>
      </c>
      <c r="F5233" s="1" t="s">
        <v>927</v>
      </c>
      <c r="G5233" s="1">
        <v>1.0</v>
      </c>
      <c r="H5233" s="1">
        <v>0.043367347</v>
      </c>
      <c r="I5233" s="1">
        <v>2.93</v>
      </c>
      <c r="J5233" s="1">
        <v>0.061655</v>
      </c>
    </row>
    <row r="5234">
      <c r="A5234" s="1">
        <v>2025.0</v>
      </c>
      <c r="B5234" s="1" t="s">
        <v>717</v>
      </c>
      <c r="C5234" s="1">
        <v>668716.0</v>
      </c>
      <c r="D5234" s="1" t="s">
        <v>536</v>
      </c>
      <c r="E5234" s="1" t="s">
        <v>927</v>
      </c>
      <c r="F5234" s="1" t="s">
        <v>927</v>
      </c>
      <c r="G5234" s="1">
        <v>148.0</v>
      </c>
      <c r="H5234" s="1">
        <v>6.418367347</v>
      </c>
      <c r="I5234" s="1">
        <v>4.88</v>
      </c>
      <c r="J5234" s="1">
        <v>3.596206</v>
      </c>
    </row>
    <row r="5235">
      <c r="A5235" s="1">
        <v>2025.0</v>
      </c>
      <c r="B5235" s="1" t="s">
        <v>717</v>
      </c>
      <c r="C5235" s="1">
        <v>668716.0</v>
      </c>
      <c r="D5235" s="1" t="s">
        <v>539</v>
      </c>
      <c r="E5235" s="1" t="s">
        <v>927</v>
      </c>
      <c r="F5235" s="1" t="s">
        <v>927</v>
      </c>
      <c r="G5235" s="1">
        <v>64.0</v>
      </c>
      <c r="H5235" s="1">
        <v>2.775510204</v>
      </c>
      <c r="I5235" s="1">
        <v>4.9</v>
      </c>
      <c r="J5235" s="1">
        <v>1.455156</v>
      </c>
    </row>
    <row r="5236">
      <c r="A5236" s="1">
        <v>2025.0</v>
      </c>
      <c r="B5236" s="1" t="s">
        <v>996</v>
      </c>
      <c r="C5236" s="1">
        <v>676510.0</v>
      </c>
      <c r="D5236" s="1" t="s">
        <v>532</v>
      </c>
      <c r="E5236" s="1" t="s">
        <v>927</v>
      </c>
      <c r="F5236" s="1" t="s">
        <v>926</v>
      </c>
      <c r="G5236" s="1">
        <v>3.0</v>
      </c>
      <c r="H5236" s="1">
        <v>0.115384615</v>
      </c>
      <c r="I5236" s="1">
        <v>5.9</v>
      </c>
      <c r="J5236" s="1">
        <v>0.01027</v>
      </c>
    </row>
    <row r="5237">
      <c r="A5237" s="1">
        <v>2025.0</v>
      </c>
      <c r="B5237" s="1" t="s">
        <v>996</v>
      </c>
      <c r="C5237" s="1">
        <v>676510.0</v>
      </c>
      <c r="D5237" s="1" t="s">
        <v>541</v>
      </c>
      <c r="E5237" s="1" t="s">
        <v>927</v>
      </c>
      <c r="F5237" s="1" t="s">
        <v>926</v>
      </c>
      <c r="G5237" s="1">
        <v>5.0</v>
      </c>
      <c r="H5237" s="1">
        <v>0.192307692</v>
      </c>
      <c r="I5237" s="1">
        <v>4.66</v>
      </c>
      <c r="J5237" s="1">
        <v>0.129808</v>
      </c>
    </row>
    <row r="5238">
      <c r="A5238" s="1">
        <v>2025.0</v>
      </c>
      <c r="B5238" s="1" t="s">
        <v>996</v>
      </c>
      <c r="C5238" s="1">
        <v>676510.0</v>
      </c>
      <c r="D5238" s="1" t="s">
        <v>540</v>
      </c>
      <c r="E5238" s="1" t="s">
        <v>927</v>
      </c>
      <c r="F5238" s="1" t="s">
        <v>926</v>
      </c>
      <c r="G5238" s="1">
        <v>2.0</v>
      </c>
      <c r="H5238" s="1">
        <v>0.076923077</v>
      </c>
      <c r="I5238" s="1">
        <v>5.13</v>
      </c>
      <c r="J5238" s="1">
        <v>0.035581</v>
      </c>
    </row>
    <row r="5239">
      <c r="A5239" s="1">
        <v>2025.0</v>
      </c>
      <c r="B5239" s="1" t="s">
        <v>996</v>
      </c>
      <c r="C5239" s="1">
        <v>676510.0</v>
      </c>
      <c r="D5239" s="1" t="s">
        <v>536</v>
      </c>
      <c r="E5239" s="1" t="s">
        <v>927</v>
      </c>
      <c r="F5239" s="1" t="s">
        <v>926</v>
      </c>
      <c r="G5239" s="1">
        <v>8.0</v>
      </c>
      <c r="H5239" s="1">
        <v>0.307692308</v>
      </c>
      <c r="I5239" s="1">
        <v>4.79</v>
      </c>
      <c r="J5239" s="1">
        <v>0.206303</v>
      </c>
    </row>
    <row r="5240">
      <c r="A5240" s="1">
        <v>2025.0</v>
      </c>
      <c r="B5240" s="1" t="s">
        <v>996</v>
      </c>
      <c r="C5240" s="1">
        <v>676510.0</v>
      </c>
      <c r="D5240" s="1" t="s">
        <v>541</v>
      </c>
      <c r="E5240" s="1" t="s">
        <v>927</v>
      </c>
      <c r="F5240" s="1" t="s">
        <v>927</v>
      </c>
      <c r="G5240" s="1">
        <v>2.0</v>
      </c>
      <c r="H5240" s="1">
        <v>0.076923077</v>
      </c>
      <c r="I5240" s="1">
        <v>3.32</v>
      </c>
      <c r="J5240" s="1">
        <v>0.110137</v>
      </c>
    </row>
    <row r="5241">
      <c r="A5241" s="1">
        <v>2025.0</v>
      </c>
      <c r="B5241" s="1" t="s">
        <v>996</v>
      </c>
      <c r="C5241" s="1">
        <v>676510.0</v>
      </c>
      <c r="D5241" s="1" t="s">
        <v>536</v>
      </c>
      <c r="E5241" s="1" t="s">
        <v>927</v>
      </c>
      <c r="F5241" s="1" t="s">
        <v>927</v>
      </c>
      <c r="G5241" s="1">
        <v>6.0</v>
      </c>
      <c r="H5241" s="1">
        <v>0.230769231</v>
      </c>
      <c r="I5241" s="1">
        <v>5.36</v>
      </c>
      <c r="J5241" s="1">
        <v>0.080585</v>
      </c>
    </row>
    <row r="5242">
      <c r="A5242" s="1">
        <v>2025.0</v>
      </c>
      <c r="B5242" s="1" t="s">
        <v>234</v>
      </c>
      <c r="C5242" s="1">
        <v>690997.0</v>
      </c>
      <c r="D5242" s="1" t="s">
        <v>532</v>
      </c>
      <c r="E5242" s="1" t="s">
        <v>927</v>
      </c>
      <c r="F5242" s="1" t="s">
        <v>926</v>
      </c>
      <c r="G5242" s="1">
        <v>56.0</v>
      </c>
      <c r="H5242" s="1">
        <v>3.642276423</v>
      </c>
      <c r="I5242" s="1">
        <v>4.47</v>
      </c>
      <c r="J5242" s="1">
        <v>1.786063</v>
      </c>
    </row>
    <row r="5243">
      <c r="A5243" s="1">
        <v>2025.0</v>
      </c>
      <c r="B5243" s="1" t="s">
        <v>234</v>
      </c>
      <c r="C5243" s="1">
        <v>690997.0</v>
      </c>
      <c r="D5243" s="1" t="s">
        <v>541</v>
      </c>
      <c r="E5243" s="1" t="s">
        <v>927</v>
      </c>
      <c r="F5243" s="1" t="s">
        <v>926</v>
      </c>
      <c r="G5243" s="1">
        <v>80.0</v>
      </c>
      <c r="H5243" s="1">
        <v>5.203252033</v>
      </c>
      <c r="I5243" s="1">
        <v>4.51</v>
      </c>
      <c r="J5243" s="1">
        <v>2.442772</v>
      </c>
    </row>
    <row r="5244">
      <c r="A5244" s="1">
        <v>2025.0</v>
      </c>
      <c r="B5244" s="1" t="s">
        <v>234</v>
      </c>
      <c r="C5244" s="1">
        <v>690997.0</v>
      </c>
      <c r="D5244" s="1" t="s">
        <v>540</v>
      </c>
      <c r="E5244" s="1" t="s">
        <v>927</v>
      </c>
      <c r="F5244" s="1" t="s">
        <v>926</v>
      </c>
      <c r="G5244" s="1">
        <v>56.0</v>
      </c>
      <c r="H5244" s="1">
        <v>3.642276423</v>
      </c>
      <c r="I5244" s="1">
        <v>5.1</v>
      </c>
      <c r="J5244" s="1">
        <v>1.104897</v>
      </c>
    </row>
    <row r="5245">
      <c r="A5245" s="1">
        <v>2025.0</v>
      </c>
      <c r="B5245" s="1" t="s">
        <v>234</v>
      </c>
      <c r="C5245" s="1">
        <v>690997.0</v>
      </c>
      <c r="D5245" s="1" t="s">
        <v>537</v>
      </c>
      <c r="E5245" s="1" t="s">
        <v>927</v>
      </c>
      <c r="F5245" s="1" t="s">
        <v>926</v>
      </c>
      <c r="G5245" s="1">
        <v>49.0</v>
      </c>
      <c r="H5245" s="1">
        <v>3.18699187</v>
      </c>
      <c r="I5245" s="1">
        <v>4.41</v>
      </c>
      <c r="J5245" s="1">
        <v>1.644811</v>
      </c>
    </row>
    <row r="5246">
      <c r="A5246" s="1">
        <v>2025.0</v>
      </c>
      <c r="B5246" s="1" t="s">
        <v>234</v>
      </c>
      <c r="C5246" s="1">
        <v>690997.0</v>
      </c>
      <c r="D5246" s="1" t="s">
        <v>536</v>
      </c>
      <c r="E5246" s="1" t="s">
        <v>927</v>
      </c>
      <c r="F5246" s="1" t="s">
        <v>926</v>
      </c>
      <c r="G5246" s="1">
        <v>90.0</v>
      </c>
      <c r="H5246" s="1">
        <v>5.853658537</v>
      </c>
      <c r="I5246" s="1">
        <v>4.88</v>
      </c>
      <c r="J5246" s="1">
        <v>2.211375</v>
      </c>
    </row>
    <row r="5247">
      <c r="A5247" s="1">
        <v>2025.0</v>
      </c>
      <c r="B5247" s="1" t="s">
        <v>234</v>
      </c>
      <c r="C5247" s="1">
        <v>690997.0</v>
      </c>
      <c r="D5247" s="1" t="s">
        <v>539</v>
      </c>
      <c r="E5247" s="1" t="s">
        <v>927</v>
      </c>
      <c r="F5247" s="1" t="s">
        <v>926</v>
      </c>
      <c r="G5247" s="1">
        <v>86.0</v>
      </c>
      <c r="H5247" s="1">
        <v>5.593495935</v>
      </c>
      <c r="I5247" s="1">
        <v>5.11</v>
      </c>
      <c r="J5247" s="1">
        <v>1.663154</v>
      </c>
    </row>
    <row r="5248">
      <c r="A5248" s="1">
        <v>2025.0</v>
      </c>
      <c r="B5248" s="1" t="s">
        <v>234</v>
      </c>
      <c r="C5248" s="1">
        <v>690997.0</v>
      </c>
      <c r="D5248" s="1" t="s">
        <v>532</v>
      </c>
      <c r="E5248" s="1" t="s">
        <v>927</v>
      </c>
      <c r="F5248" s="1" t="s">
        <v>927</v>
      </c>
      <c r="G5248" s="1">
        <v>8.0</v>
      </c>
      <c r="H5248" s="1">
        <v>0.520325203</v>
      </c>
      <c r="I5248" s="1">
        <v>5.08</v>
      </c>
      <c r="J5248" s="1">
        <v>0.141406</v>
      </c>
    </row>
    <row r="5249">
      <c r="A5249" s="1">
        <v>2025.0</v>
      </c>
      <c r="B5249" s="1" t="s">
        <v>234</v>
      </c>
      <c r="C5249" s="1">
        <v>690997.0</v>
      </c>
      <c r="D5249" s="1" t="s">
        <v>541</v>
      </c>
      <c r="E5249" s="1" t="s">
        <v>927</v>
      </c>
      <c r="F5249" s="1" t="s">
        <v>927</v>
      </c>
      <c r="G5249" s="1">
        <v>37.0</v>
      </c>
      <c r="H5249" s="1">
        <v>2.406504065</v>
      </c>
      <c r="I5249" s="1">
        <v>5.04</v>
      </c>
      <c r="J5249" s="1">
        <v>0.692716</v>
      </c>
    </row>
    <row r="5250">
      <c r="A5250" s="1">
        <v>2025.0</v>
      </c>
      <c r="B5250" s="1" t="s">
        <v>234</v>
      </c>
      <c r="C5250" s="1">
        <v>690997.0</v>
      </c>
      <c r="D5250" s="1" t="s">
        <v>540</v>
      </c>
      <c r="E5250" s="1" t="s">
        <v>927</v>
      </c>
      <c r="F5250" s="1" t="s">
        <v>927</v>
      </c>
      <c r="G5250" s="1">
        <v>7.0</v>
      </c>
      <c r="H5250" s="1">
        <v>0.455284553</v>
      </c>
      <c r="I5250" s="1">
        <v>5.56</v>
      </c>
      <c r="J5250" s="1">
        <v>0.070233</v>
      </c>
    </row>
    <row r="5251">
      <c r="A5251" s="1">
        <v>2025.0</v>
      </c>
      <c r="B5251" s="1" t="s">
        <v>234</v>
      </c>
      <c r="C5251" s="1">
        <v>690997.0</v>
      </c>
      <c r="D5251" s="1" t="s">
        <v>537</v>
      </c>
      <c r="E5251" s="1" t="s">
        <v>927</v>
      </c>
      <c r="F5251" s="1" t="s">
        <v>927</v>
      </c>
      <c r="G5251" s="1">
        <v>50.0</v>
      </c>
      <c r="H5251" s="1">
        <v>3.25203252</v>
      </c>
      <c r="I5251" s="1">
        <v>4.4</v>
      </c>
      <c r="J5251" s="1">
        <v>1.676579</v>
      </c>
    </row>
    <row r="5252">
      <c r="A5252" s="1">
        <v>2025.0</v>
      </c>
      <c r="B5252" s="1" t="s">
        <v>234</v>
      </c>
      <c r="C5252" s="1">
        <v>690997.0</v>
      </c>
      <c r="D5252" s="1" t="s">
        <v>536</v>
      </c>
      <c r="E5252" s="1" t="s">
        <v>927</v>
      </c>
      <c r="F5252" s="1" t="s">
        <v>927</v>
      </c>
      <c r="G5252" s="1">
        <v>116.0</v>
      </c>
      <c r="H5252" s="1">
        <v>7.544715447</v>
      </c>
      <c r="I5252" s="1">
        <v>5.18</v>
      </c>
      <c r="J5252" s="1">
        <v>2.012857</v>
      </c>
    </row>
    <row r="5253">
      <c r="A5253" s="1">
        <v>2025.0</v>
      </c>
      <c r="B5253" s="1" t="s">
        <v>234</v>
      </c>
      <c r="C5253" s="1">
        <v>690997.0</v>
      </c>
      <c r="D5253" s="1" t="s">
        <v>539</v>
      </c>
      <c r="E5253" s="1" t="s">
        <v>927</v>
      </c>
      <c r="F5253" s="1" t="s">
        <v>927</v>
      </c>
      <c r="G5253" s="1">
        <v>103.0</v>
      </c>
      <c r="H5253" s="1">
        <v>6.699186992</v>
      </c>
      <c r="I5253" s="1">
        <v>5.63</v>
      </c>
      <c r="J5253" s="1">
        <v>0.787884</v>
      </c>
    </row>
    <row r="5254">
      <c r="A5254" s="1">
        <v>2025.0</v>
      </c>
      <c r="B5254" s="1" t="s">
        <v>622</v>
      </c>
      <c r="C5254" s="1">
        <v>678316.0</v>
      </c>
      <c r="D5254" s="1" t="s">
        <v>532</v>
      </c>
      <c r="E5254" s="1" t="s">
        <v>926</v>
      </c>
      <c r="F5254" s="1" t="s">
        <v>926</v>
      </c>
      <c r="G5254" s="1">
        <v>2.0</v>
      </c>
      <c r="H5254" s="1">
        <v>0.090534979</v>
      </c>
      <c r="I5254" s="1">
        <v>4.89</v>
      </c>
      <c r="J5254" s="1">
        <v>0.049573</v>
      </c>
    </row>
    <row r="5255">
      <c r="A5255" s="1">
        <v>2025.0</v>
      </c>
      <c r="B5255" s="1" t="s">
        <v>622</v>
      </c>
      <c r="C5255" s="1">
        <v>678316.0</v>
      </c>
      <c r="D5255" s="1" t="s">
        <v>541</v>
      </c>
      <c r="E5255" s="1" t="s">
        <v>926</v>
      </c>
      <c r="F5255" s="1" t="s">
        <v>926</v>
      </c>
      <c r="G5255" s="1">
        <v>6.0</v>
      </c>
      <c r="H5255" s="1">
        <v>0.271604938</v>
      </c>
      <c r="I5255" s="1">
        <v>4.96</v>
      </c>
      <c r="J5255" s="1">
        <v>0.137621</v>
      </c>
    </row>
    <row r="5256">
      <c r="A5256" s="1">
        <v>2025.0</v>
      </c>
      <c r="B5256" s="1" t="s">
        <v>622</v>
      </c>
      <c r="C5256" s="1">
        <v>678316.0</v>
      </c>
      <c r="D5256" s="1" t="s">
        <v>537</v>
      </c>
      <c r="E5256" s="1" t="s">
        <v>926</v>
      </c>
      <c r="F5256" s="1" t="s">
        <v>926</v>
      </c>
      <c r="G5256" s="1">
        <v>28.0</v>
      </c>
      <c r="H5256" s="1">
        <v>1.267489712</v>
      </c>
      <c r="I5256" s="1">
        <v>5.08</v>
      </c>
      <c r="J5256" s="1">
        <v>0.579176</v>
      </c>
    </row>
    <row r="5257">
      <c r="A5257" s="1">
        <v>2025.0</v>
      </c>
      <c r="B5257" s="1" t="s">
        <v>622</v>
      </c>
      <c r="C5257" s="1">
        <v>678316.0</v>
      </c>
      <c r="D5257" s="1" t="s">
        <v>533</v>
      </c>
      <c r="E5257" s="1" t="s">
        <v>926</v>
      </c>
      <c r="F5257" s="1" t="s">
        <v>926</v>
      </c>
      <c r="G5257" s="1">
        <v>1.0</v>
      </c>
      <c r="H5257" s="1">
        <v>0.04526749</v>
      </c>
      <c r="I5257" s="1">
        <v>3.08</v>
      </c>
      <c r="J5257" s="1">
        <v>0.06365</v>
      </c>
    </row>
    <row r="5258">
      <c r="A5258" s="1">
        <v>2025.0</v>
      </c>
      <c r="B5258" s="1" t="s">
        <v>622</v>
      </c>
      <c r="C5258" s="1">
        <v>678316.0</v>
      </c>
      <c r="D5258" s="1" t="s">
        <v>532</v>
      </c>
      <c r="E5258" s="1" t="s">
        <v>926</v>
      </c>
      <c r="F5258" s="1" t="s">
        <v>927</v>
      </c>
      <c r="G5258" s="1">
        <v>19.0</v>
      </c>
      <c r="H5258" s="1">
        <v>0.860082305</v>
      </c>
      <c r="I5258" s="1">
        <v>3.94</v>
      </c>
      <c r="J5258" s="1">
        <v>0.861408</v>
      </c>
    </row>
    <row r="5259">
      <c r="A5259" s="1">
        <v>2025.0</v>
      </c>
      <c r="B5259" s="1" t="s">
        <v>622</v>
      </c>
      <c r="C5259" s="1">
        <v>678316.0</v>
      </c>
      <c r="D5259" s="1" t="s">
        <v>541</v>
      </c>
      <c r="E5259" s="1" t="s">
        <v>926</v>
      </c>
      <c r="F5259" s="1" t="s">
        <v>927</v>
      </c>
      <c r="G5259" s="1">
        <v>3.0</v>
      </c>
      <c r="H5259" s="1">
        <v>0.135802469</v>
      </c>
      <c r="I5259" s="1">
        <v>4.46</v>
      </c>
      <c r="J5259" s="1">
        <v>0.102448</v>
      </c>
    </row>
    <row r="5260">
      <c r="A5260" s="1">
        <v>2025.0</v>
      </c>
      <c r="B5260" s="1" t="s">
        <v>622</v>
      </c>
      <c r="C5260" s="1">
        <v>678316.0</v>
      </c>
      <c r="D5260" s="1" t="s">
        <v>537</v>
      </c>
      <c r="E5260" s="1" t="s">
        <v>926</v>
      </c>
      <c r="F5260" s="1" t="s">
        <v>927</v>
      </c>
      <c r="G5260" s="1">
        <v>22.0</v>
      </c>
      <c r="H5260" s="1">
        <v>0.995884774</v>
      </c>
      <c r="I5260" s="1">
        <v>4.81</v>
      </c>
      <c r="J5260" s="1">
        <v>0.605083</v>
      </c>
    </row>
    <row r="5261">
      <c r="A5261" s="1">
        <v>2025.0</v>
      </c>
      <c r="B5261" s="1" t="s">
        <v>165</v>
      </c>
      <c r="C5261" s="1">
        <v>689147.0</v>
      </c>
      <c r="D5261" s="1" t="s">
        <v>537</v>
      </c>
      <c r="E5261" s="1" t="s">
        <v>927</v>
      </c>
      <c r="F5261" s="1" t="s">
        <v>926</v>
      </c>
      <c r="G5261" s="1">
        <v>202.0</v>
      </c>
      <c r="H5261" s="1">
        <v>11.29543336</v>
      </c>
      <c r="I5261" s="1">
        <v>4.78</v>
      </c>
      <c r="J5261" s="1">
        <v>5.29992</v>
      </c>
    </row>
    <row r="5262">
      <c r="A5262" s="1">
        <v>2025.0</v>
      </c>
      <c r="B5262" s="1" t="s">
        <v>165</v>
      </c>
      <c r="C5262" s="1">
        <v>689147.0</v>
      </c>
      <c r="D5262" s="1" t="s">
        <v>536</v>
      </c>
      <c r="E5262" s="1" t="s">
        <v>927</v>
      </c>
      <c r="F5262" s="1" t="s">
        <v>926</v>
      </c>
      <c r="G5262" s="1">
        <v>15.0</v>
      </c>
      <c r="H5262" s="1">
        <v>0.838769804</v>
      </c>
      <c r="I5262" s="1">
        <v>3.53</v>
      </c>
      <c r="J5262" s="1">
        <v>0.732799</v>
      </c>
    </row>
    <row r="5263">
      <c r="A5263" s="1">
        <v>2025.0</v>
      </c>
      <c r="B5263" s="1" t="s">
        <v>165</v>
      </c>
      <c r="C5263" s="1">
        <v>689147.0</v>
      </c>
      <c r="D5263" s="1" t="s">
        <v>539</v>
      </c>
      <c r="E5263" s="1" t="s">
        <v>927</v>
      </c>
      <c r="F5263" s="1" t="s">
        <v>926</v>
      </c>
      <c r="G5263" s="1">
        <v>228.0</v>
      </c>
      <c r="H5263" s="1">
        <v>12.74930103</v>
      </c>
      <c r="I5263" s="1">
        <v>5.44</v>
      </c>
      <c r="J5263" s="1">
        <v>2.800835</v>
      </c>
    </row>
    <row r="5264">
      <c r="A5264" s="1">
        <v>2025.0</v>
      </c>
      <c r="B5264" s="1" t="s">
        <v>165</v>
      </c>
      <c r="C5264" s="1">
        <v>689147.0</v>
      </c>
      <c r="D5264" s="1" t="s">
        <v>537</v>
      </c>
      <c r="E5264" s="1" t="s">
        <v>927</v>
      </c>
      <c r="F5264" s="1" t="s">
        <v>927</v>
      </c>
      <c r="G5264" s="1">
        <v>163.0</v>
      </c>
      <c r="H5264" s="1">
        <v>9.114631873</v>
      </c>
      <c r="I5264" s="1">
        <v>5.04</v>
      </c>
      <c r="J5264" s="1">
        <v>3.264058</v>
      </c>
    </row>
    <row r="5265">
      <c r="A5265" s="1">
        <v>2025.0</v>
      </c>
      <c r="B5265" s="1" t="s">
        <v>165</v>
      </c>
      <c r="C5265" s="1">
        <v>689147.0</v>
      </c>
      <c r="D5265" s="1" t="s">
        <v>536</v>
      </c>
      <c r="E5265" s="1" t="s">
        <v>927</v>
      </c>
      <c r="F5265" s="1" t="s">
        <v>927</v>
      </c>
      <c r="G5265" s="1">
        <v>178.0</v>
      </c>
      <c r="H5265" s="1">
        <v>9.953401678</v>
      </c>
      <c r="I5265" s="1">
        <v>4.97</v>
      </c>
      <c r="J5265" s="1">
        <v>3.939162</v>
      </c>
    </row>
    <row r="5266">
      <c r="A5266" s="1">
        <v>2025.0</v>
      </c>
      <c r="B5266" s="1" t="s">
        <v>165</v>
      </c>
      <c r="C5266" s="1">
        <v>689147.0</v>
      </c>
      <c r="D5266" s="1" t="s">
        <v>539</v>
      </c>
      <c r="E5266" s="1" t="s">
        <v>927</v>
      </c>
      <c r="F5266" s="1" t="s">
        <v>927</v>
      </c>
      <c r="G5266" s="1">
        <v>287.0</v>
      </c>
      <c r="H5266" s="1">
        <v>16.04846226</v>
      </c>
      <c r="I5266" s="1">
        <v>5.53</v>
      </c>
      <c r="J5266" s="1">
        <v>2.965873</v>
      </c>
    </row>
    <row r="5267">
      <c r="A5267" s="1">
        <v>2025.0</v>
      </c>
      <c r="B5267" s="1" t="s">
        <v>702</v>
      </c>
      <c r="C5267" s="1">
        <v>687377.0</v>
      </c>
      <c r="D5267" s="1" t="s">
        <v>532</v>
      </c>
      <c r="E5267" s="1" t="s">
        <v>927</v>
      </c>
      <c r="F5267" s="1" t="s">
        <v>926</v>
      </c>
      <c r="G5267" s="1">
        <v>58.0</v>
      </c>
      <c r="H5267" s="1">
        <v>2.822666667</v>
      </c>
      <c r="I5267" s="1">
        <v>4.35</v>
      </c>
      <c r="J5267" s="1">
        <v>2.047621</v>
      </c>
    </row>
    <row r="5268">
      <c r="A5268" s="1">
        <v>2025.0</v>
      </c>
      <c r="B5268" s="1" t="s">
        <v>702</v>
      </c>
      <c r="C5268" s="1">
        <v>687377.0</v>
      </c>
      <c r="D5268" s="1" t="s">
        <v>537</v>
      </c>
      <c r="E5268" s="1" t="s">
        <v>927</v>
      </c>
      <c r="F5268" s="1" t="s">
        <v>926</v>
      </c>
      <c r="G5268" s="1">
        <v>106.0</v>
      </c>
      <c r="H5268" s="1">
        <v>5.158666667</v>
      </c>
      <c r="I5268" s="1">
        <v>4.85</v>
      </c>
      <c r="J5268" s="1">
        <v>2.645793</v>
      </c>
    </row>
    <row r="5269">
      <c r="A5269" s="1">
        <v>2025.0</v>
      </c>
      <c r="B5269" s="1" t="s">
        <v>702</v>
      </c>
      <c r="C5269" s="1">
        <v>687377.0</v>
      </c>
      <c r="D5269" s="1" t="s">
        <v>536</v>
      </c>
      <c r="E5269" s="1" t="s">
        <v>927</v>
      </c>
      <c r="F5269" s="1" t="s">
        <v>926</v>
      </c>
      <c r="G5269" s="1">
        <v>16.0</v>
      </c>
      <c r="H5269" s="1">
        <v>0.778666667</v>
      </c>
      <c r="I5269" s="1">
        <v>4.78</v>
      </c>
      <c r="J5269" s="1">
        <v>0.430041</v>
      </c>
    </row>
    <row r="5270">
      <c r="A5270" s="1">
        <v>2025.0</v>
      </c>
      <c r="B5270" s="1" t="s">
        <v>702</v>
      </c>
      <c r="C5270" s="1">
        <v>687377.0</v>
      </c>
      <c r="D5270" s="1" t="s">
        <v>533</v>
      </c>
      <c r="E5270" s="1" t="s">
        <v>927</v>
      </c>
      <c r="F5270" s="1" t="s">
        <v>926</v>
      </c>
      <c r="G5270" s="1">
        <v>41.0</v>
      </c>
      <c r="H5270" s="1">
        <v>1.995333333</v>
      </c>
      <c r="I5270" s="1">
        <v>5.69</v>
      </c>
      <c r="J5270" s="1">
        <v>0.360732</v>
      </c>
    </row>
    <row r="5271">
      <c r="A5271" s="1">
        <v>2025.0</v>
      </c>
      <c r="B5271" s="1" t="s">
        <v>702</v>
      </c>
      <c r="C5271" s="1">
        <v>687377.0</v>
      </c>
      <c r="D5271" s="1" t="s">
        <v>532</v>
      </c>
      <c r="E5271" s="1" t="s">
        <v>927</v>
      </c>
      <c r="F5271" s="1" t="s">
        <v>927</v>
      </c>
      <c r="G5271" s="1">
        <v>47.0</v>
      </c>
      <c r="H5271" s="1">
        <v>2.287333333</v>
      </c>
      <c r="I5271" s="1">
        <v>4.39</v>
      </c>
      <c r="J5271" s="1">
        <v>1.644604</v>
      </c>
    </row>
    <row r="5272">
      <c r="A5272" s="1">
        <v>2025.0</v>
      </c>
      <c r="B5272" s="1" t="s">
        <v>702</v>
      </c>
      <c r="C5272" s="1">
        <v>687377.0</v>
      </c>
      <c r="D5272" s="1" t="s">
        <v>537</v>
      </c>
      <c r="E5272" s="1" t="s">
        <v>927</v>
      </c>
      <c r="F5272" s="1" t="s">
        <v>927</v>
      </c>
      <c r="G5272" s="1">
        <v>79.0</v>
      </c>
      <c r="H5272" s="1">
        <v>3.844666667</v>
      </c>
      <c r="I5272" s="1">
        <v>5.53</v>
      </c>
      <c r="J5272" s="1">
        <v>0.938385</v>
      </c>
    </row>
    <row r="5273">
      <c r="A5273" s="1">
        <v>2025.0</v>
      </c>
      <c r="B5273" s="1" t="s">
        <v>702</v>
      </c>
      <c r="C5273" s="1">
        <v>687377.0</v>
      </c>
      <c r="D5273" s="1" t="s">
        <v>536</v>
      </c>
      <c r="E5273" s="1" t="s">
        <v>927</v>
      </c>
      <c r="F5273" s="1" t="s">
        <v>927</v>
      </c>
      <c r="G5273" s="1">
        <v>77.0</v>
      </c>
      <c r="H5273" s="1">
        <v>3.747333333</v>
      </c>
      <c r="I5273" s="1">
        <v>4.68</v>
      </c>
      <c r="J5273" s="1">
        <v>2.22992</v>
      </c>
    </row>
    <row r="5274">
      <c r="A5274" s="1">
        <v>2025.0</v>
      </c>
      <c r="B5274" s="1" t="s">
        <v>702</v>
      </c>
      <c r="C5274" s="1">
        <v>687377.0</v>
      </c>
      <c r="D5274" s="1" t="s">
        <v>533</v>
      </c>
      <c r="E5274" s="1" t="s">
        <v>927</v>
      </c>
      <c r="F5274" s="1" t="s">
        <v>927</v>
      </c>
      <c r="G5274" s="1">
        <v>76.0</v>
      </c>
      <c r="H5274" s="1">
        <v>3.698666667</v>
      </c>
      <c r="I5274" s="1">
        <v>4.88</v>
      </c>
      <c r="J5274" s="1">
        <v>1.928253</v>
      </c>
    </row>
    <row r="5275">
      <c r="A5275" s="1">
        <v>2025.0</v>
      </c>
      <c r="B5275" s="1" t="s">
        <v>454</v>
      </c>
      <c r="C5275" s="1">
        <v>674370.0</v>
      </c>
      <c r="D5275" s="1" t="s">
        <v>532</v>
      </c>
      <c r="E5275" s="1" t="s">
        <v>927</v>
      </c>
      <c r="F5275" s="1" t="s">
        <v>926</v>
      </c>
      <c r="G5275" s="1">
        <v>120.0</v>
      </c>
      <c r="H5275" s="1">
        <v>6.927536232</v>
      </c>
      <c r="I5275" s="1">
        <v>4.66</v>
      </c>
      <c r="J5275" s="1">
        <v>3.4699</v>
      </c>
    </row>
    <row r="5276">
      <c r="A5276" s="1">
        <v>2025.0</v>
      </c>
      <c r="B5276" s="1" t="s">
        <v>454</v>
      </c>
      <c r="C5276" s="1">
        <v>674370.0</v>
      </c>
      <c r="D5276" s="1" t="s">
        <v>540</v>
      </c>
      <c r="E5276" s="1" t="s">
        <v>927</v>
      </c>
      <c r="F5276" s="1" t="s">
        <v>926</v>
      </c>
      <c r="G5276" s="1">
        <v>35.0</v>
      </c>
      <c r="H5276" s="1">
        <v>2.020531401</v>
      </c>
      <c r="I5276" s="1">
        <v>5.29</v>
      </c>
      <c r="J5276" s="1">
        <v>0.561209</v>
      </c>
    </row>
    <row r="5277">
      <c r="A5277" s="1">
        <v>2025.0</v>
      </c>
      <c r="B5277" s="1" t="s">
        <v>454</v>
      </c>
      <c r="C5277" s="1">
        <v>674370.0</v>
      </c>
      <c r="D5277" s="1" t="s">
        <v>537</v>
      </c>
      <c r="E5277" s="1" t="s">
        <v>927</v>
      </c>
      <c r="F5277" s="1" t="s">
        <v>926</v>
      </c>
      <c r="G5277" s="1">
        <v>263.0</v>
      </c>
      <c r="H5277" s="1">
        <v>15.18285024</v>
      </c>
      <c r="I5277" s="1">
        <v>4.83</v>
      </c>
      <c r="J5277" s="1">
        <v>6.868011</v>
      </c>
    </row>
    <row r="5278">
      <c r="A5278" s="1">
        <v>2025.0</v>
      </c>
      <c r="B5278" s="1" t="s">
        <v>454</v>
      </c>
      <c r="C5278" s="1">
        <v>674370.0</v>
      </c>
      <c r="D5278" s="1" t="s">
        <v>536</v>
      </c>
      <c r="E5278" s="1" t="s">
        <v>927</v>
      </c>
      <c r="F5278" s="1" t="s">
        <v>926</v>
      </c>
      <c r="G5278" s="1">
        <v>51.0</v>
      </c>
      <c r="H5278" s="1">
        <v>2.944202899</v>
      </c>
      <c r="I5278" s="1">
        <v>4.77</v>
      </c>
      <c r="J5278" s="1">
        <v>1.390174</v>
      </c>
    </row>
    <row r="5279">
      <c r="A5279" s="1">
        <v>2025.0</v>
      </c>
      <c r="B5279" s="1" t="s">
        <v>454</v>
      </c>
      <c r="C5279" s="1">
        <v>674370.0</v>
      </c>
      <c r="D5279" s="1" t="s">
        <v>533</v>
      </c>
      <c r="E5279" s="1" t="s">
        <v>927</v>
      </c>
      <c r="F5279" s="1" t="s">
        <v>926</v>
      </c>
      <c r="G5279" s="1">
        <v>147.0</v>
      </c>
      <c r="H5279" s="1">
        <v>8.486231884</v>
      </c>
      <c r="I5279" s="1">
        <v>5.26</v>
      </c>
      <c r="J5279" s="1">
        <v>2.409095</v>
      </c>
    </row>
    <row r="5280">
      <c r="A5280" s="1">
        <v>2025.0</v>
      </c>
      <c r="B5280" s="1" t="s">
        <v>454</v>
      </c>
      <c r="C5280" s="1">
        <v>674370.0</v>
      </c>
      <c r="D5280" s="1" t="s">
        <v>532</v>
      </c>
      <c r="E5280" s="1" t="s">
        <v>927</v>
      </c>
      <c r="F5280" s="1" t="s">
        <v>927</v>
      </c>
      <c r="G5280" s="1">
        <v>27.0</v>
      </c>
      <c r="H5280" s="1">
        <v>1.558695652</v>
      </c>
      <c r="I5280" s="1">
        <v>4.08</v>
      </c>
      <c r="J5280" s="1">
        <v>1.048007</v>
      </c>
    </row>
    <row r="5281">
      <c r="A5281" s="1">
        <v>2025.0</v>
      </c>
      <c r="B5281" s="1" t="s">
        <v>454</v>
      </c>
      <c r="C5281" s="1">
        <v>674370.0</v>
      </c>
      <c r="D5281" s="1" t="s">
        <v>540</v>
      </c>
      <c r="E5281" s="1" t="s">
        <v>927</v>
      </c>
      <c r="F5281" s="1" t="s">
        <v>927</v>
      </c>
      <c r="G5281" s="1">
        <v>59.0</v>
      </c>
      <c r="H5281" s="1">
        <v>3.406038647</v>
      </c>
      <c r="I5281" s="1">
        <v>5.0</v>
      </c>
      <c r="J5281" s="1">
        <v>1.321536</v>
      </c>
    </row>
    <row r="5282">
      <c r="A5282" s="1">
        <v>2025.0</v>
      </c>
      <c r="B5282" s="1" t="s">
        <v>454</v>
      </c>
      <c r="C5282" s="1">
        <v>674370.0</v>
      </c>
      <c r="D5282" s="1" t="s">
        <v>537</v>
      </c>
      <c r="E5282" s="1" t="s">
        <v>927</v>
      </c>
      <c r="F5282" s="1" t="s">
        <v>927</v>
      </c>
      <c r="G5282" s="1">
        <v>254.0</v>
      </c>
      <c r="H5282" s="1">
        <v>14.66328502</v>
      </c>
      <c r="I5282" s="1">
        <v>4.54</v>
      </c>
      <c r="J5282" s="1">
        <v>8.072289</v>
      </c>
    </row>
    <row r="5283">
      <c r="A5283" s="1">
        <v>2025.0</v>
      </c>
      <c r="B5283" s="1" t="s">
        <v>454</v>
      </c>
      <c r="C5283" s="1">
        <v>674370.0</v>
      </c>
      <c r="D5283" s="1" t="s">
        <v>536</v>
      </c>
      <c r="E5283" s="1" t="s">
        <v>927</v>
      </c>
      <c r="F5283" s="1" t="s">
        <v>927</v>
      </c>
      <c r="G5283" s="1">
        <v>160.0</v>
      </c>
      <c r="H5283" s="1">
        <v>9.236714976</v>
      </c>
      <c r="I5283" s="1">
        <v>4.69</v>
      </c>
      <c r="J5283" s="1">
        <v>4.471347</v>
      </c>
    </row>
    <row r="5284">
      <c r="A5284" s="1">
        <v>2025.0</v>
      </c>
      <c r="B5284" s="1" t="s">
        <v>454</v>
      </c>
      <c r="C5284" s="1">
        <v>674370.0</v>
      </c>
      <c r="D5284" s="1" t="s">
        <v>533</v>
      </c>
      <c r="E5284" s="1" t="s">
        <v>927</v>
      </c>
      <c r="F5284" s="1" t="s">
        <v>927</v>
      </c>
      <c r="G5284" s="1">
        <v>264.0</v>
      </c>
      <c r="H5284" s="1">
        <v>15.24057971</v>
      </c>
      <c r="I5284" s="1">
        <v>5.26</v>
      </c>
      <c r="J5284" s="1">
        <v>4.422009</v>
      </c>
    </row>
    <row r="5285">
      <c r="A5285" s="1">
        <v>2025.0</v>
      </c>
      <c r="B5285" s="1" t="s">
        <v>997</v>
      </c>
      <c r="C5285" s="1">
        <v>672724.0</v>
      </c>
      <c r="D5285" s="1" t="s">
        <v>541</v>
      </c>
      <c r="E5285" s="1" t="s">
        <v>927</v>
      </c>
      <c r="F5285" s="1" t="s">
        <v>926</v>
      </c>
      <c r="G5285" s="1">
        <v>16.0</v>
      </c>
      <c r="H5285" s="1">
        <v>0.933333333</v>
      </c>
      <c r="I5285" s="1">
        <v>4.56</v>
      </c>
      <c r="J5285" s="1">
        <v>0.482499</v>
      </c>
    </row>
    <row r="5286">
      <c r="A5286" s="1">
        <v>2025.0</v>
      </c>
      <c r="B5286" s="1" t="s">
        <v>997</v>
      </c>
      <c r="C5286" s="1">
        <v>672724.0</v>
      </c>
      <c r="D5286" s="1" t="s">
        <v>533</v>
      </c>
      <c r="E5286" s="1" t="s">
        <v>927</v>
      </c>
      <c r="F5286" s="1" t="s">
        <v>926</v>
      </c>
      <c r="G5286" s="1">
        <v>2.0</v>
      </c>
      <c r="H5286" s="1">
        <v>0.116666667</v>
      </c>
      <c r="I5286" s="1">
        <v>4.74</v>
      </c>
      <c r="J5286" s="1">
        <v>0.056295</v>
      </c>
    </row>
    <row r="5287">
      <c r="A5287" s="1">
        <v>2025.0</v>
      </c>
      <c r="B5287" s="1" t="s">
        <v>997</v>
      </c>
      <c r="C5287" s="1">
        <v>672724.0</v>
      </c>
      <c r="D5287" s="1" t="s">
        <v>541</v>
      </c>
      <c r="E5287" s="1" t="s">
        <v>927</v>
      </c>
      <c r="F5287" s="1" t="s">
        <v>927</v>
      </c>
      <c r="G5287" s="1">
        <v>16.0</v>
      </c>
      <c r="H5287" s="1">
        <v>0.933333333</v>
      </c>
      <c r="I5287" s="1">
        <v>4.8</v>
      </c>
      <c r="J5287" s="1">
        <v>0.427596</v>
      </c>
    </row>
    <row r="5288">
      <c r="A5288" s="1">
        <v>2025.0</v>
      </c>
      <c r="B5288" s="1" t="s">
        <v>997</v>
      </c>
      <c r="C5288" s="1">
        <v>672724.0</v>
      </c>
      <c r="D5288" s="1" t="s">
        <v>533</v>
      </c>
      <c r="E5288" s="1" t="s">
        <v>927</v>
      </c>
      <c r="F5288" s="1" t="s">
        <v>927</v>
      </c>
      <c r="G5288" s="1">
        <v>6.0</v>
      </c>
      <c r="H5288" s="1">
        <v>0.35</v>
      </c>
      <c r="I5288" s="1">
        <v>3.56</v>
      </c>
      <c r="J5288" s="1">
        <v>0.302541</v>
      </c>
    </row>
    <row r="5289">
      <c r="A5289" s="1">
        <v>2025.0</v>
      </c>
      <c r="B5289" s="1" t="s">
        <v>593</v>
      </c>
      <c r="C5289" s="1">
        <v>669391.0</v>
      </c>
      <c r="D5289" s="1" t="s">
        <v>532</v>
      </c>
      <c r="E5289" s="1" t="s">
        <v>927</v>
      </c>
      <c r="F5289" s="1" t="s">
        <v>926</v>
      </c>
      <c r="G5289" s="1">
        <v>9.0</v>
      </c>
      <c r="H5289" s="1">
        <v>0.529411765</v>
      </c>
      <c r="I5289" s="1">
        <v>3.6</v>
      </c>
      <c r="J5289" s="1">
        <v>0.449822</v>
      </c>
    </row>
    <row r="5290">
      <c r="A5290" s="1">
        <v>2025.0</v>
      </c>
      <c r="B5290" s="1" t="s">
        <v>593</v>
      </c>
      <c r="C5290" s="1">
        <v>669391.0</v>
      </c>
      <c r="D5290" s="1" t="s">
        <v>541</v>
      </c>
      <c r="E5290" s="1" t="s">
        <v>927</v>
      </c>
      <c r="F5290" s="1" t="s">
        <v>926</v>
      </c>
      <c r="G5290" s="1">
        <v>5.0</v>
      </c>
      <c r="H5290" s="1">
        <v>0.294117647</v>
      </c>
      <c r="I5290" s="1">
        <v>5.23</v>
      </c>
      <c r="J5290" s="1">
        <v>0.087616</v>
      </c>
    </row>
    <row r="5291">
      <c r="A5291" s="1">
        <v>2025.0</v>
      </c>
      <c r="B5291" s="1" t="s">
        <v>593</v>
      </c>
      <c r="C5291" s="1">
        <v>669391.0</v>
      </c>
      <c r="D5291" s="1" t="s">
        <v>540</v>
      </c>
      <c r="E5291" s="1" t="s">
        <v>927</v>
      </c>
      <c r="F5291" s="1" t="s">
        <v>926</v>
      </c>
      <c r="G5291" s="1">
        <v>16.0</v>
      </c>
      <c r="H5291" s="1">
        <v>0.941176471</v>
      </c>
      <c r="I5291" s="1">
        <v>5.05</v>
      </c>
      <c r="J5291" s="1">
        <v>0.332933</v>
      </c>
    </row>
    <row r="5292">
      <c r="A5292" s="1">
        <v>2025.0</v>
      </c>
      <c r="B5292" s="1" t="s">
        <v>593</v>
      </c>
      <c r="C5292" s="1">
        <v>669391.0</v>
      </c>
      <c r="D5292" s="1" t="s">
        <v>537</v>
      </c>
      <c r="E5292" s="1" t="s">
        <v>927</v>
      </c>
      <c r="F5292" s="1" t="s">
        <v>926</v>
      </c>
      <c r="G5292" s="1">
        <v>16.0</v>
      </c>
      <c r="H5292" s="1">
        <v>0.941176471</v>
      </c>
      <c r="I5292" s="1">
        <v>4.43</v>
      </c>
      <c r="J5292" s="1">
        <v>0.540269</v>
      </c>
    </row>
    <row r="5293">
      <c r="A5293" s="1">
        <v>2025.0</v>
      </c>
      <c r="B5293" s="1" t="s">
        <v>593</v>
      </c>
      <c r="C5293" s="1">
        <v>669391.0</v>
      </c>
      <c r="D5293" s="1" t="s">
        <v>536</v>
      </c>
      <c r="E5293" s="1" t="s">
        <v>927</v>
      </c>
      <c r="F5293" s="1" t="s">
        <v>926</v>
      </c>
      <c r="G5293" s="1">
        <v>1.0</v>
      </c>
      <c r="H5293" s="1">
        <v>0.058823529</v>
      </c>
      <c r="I5293" s="1">
        <v>6.68</v>
      </c>
      <c r="J5293" s="1">
        <v>-0.011656</v>
      </c>
    </row>
    <row r="5294">
      <c r="A5294" s="1">
        <v>2025.0</v>
      </c>
      <c r="B5294" s="1" t="s">
        <v>593</v>
      </c>
      <c r="C5294" s="1">
        <v>669391.0</v>
      </c>
      <c r="D5294" s="1" t="s">
        <v>539</v>
      </c>
      <c r="E5294" s="1" t="s">
        <v>927</v>
      </c>
      <c r="F5294" s="1" t="s">
        <v>926</v>
      </c>
      <c r="G5294" s="1">
        <v>2.0</v>
      </c>
      <c r="H5294" s="1">
        <v>0.117647059</v>
      </c>
      <c r="I5294" s="1">
        <v>6.05</v>
      </c>
      <c r="J5294" s="1">
        <v>-0.010724</v>
      </c>
    </row>
    <row r="5295">
      <c r="A5295" s="1">
        <v>2025.0</v>
      </c>
      <c r="B5295" s="1" t="s">
        <v>593</v>
      </c>
      <c r="C5295" s="1">
        <v>669391.0</v>
      </c>
      <c r="D5295" s="1" t="s">
        <v>532</v>
      </c>
      <c r="E5295" s="1" t="s">
        <v>927</v>
      </c>
      <c r="F5295" s="1" t="s">
        <v>927</v>
      </c>
      <c r="G5295" s="1">
        <v>1.0</v>
      </c>
      <c r="H5295" s="1">
        <v>0.058823529</v>
      </c>
      <c r="I5295" s="1">
        <v>3.65</v>
      </c>
      <c r="J5295" s="1">
        <v>0.05214</v>
      </c>
    </row>
    <row r="5296">
      <c r="A5296" s="1">
        <v>2025.0</v>
      </c>
      <c r="B5296" s="1" t="s">
        <v>593</v>
      </c>
      <c r="C5296" s="1">
        <v>669391.0</v>
      </c>
      <c r="D5296" s="1" t="s">
        <v>540</v>
      </c>
      <c r="E5296" s="1" t="s">
        <v>927</v>
      </c>
      <c r="F5296" s="1" t="s">
        <v>927</v>
      </c>
      <c r="G5296" s="1">
        <v>10.0</v>
      </c>
      <c r="H5296" s="1">
        <v>0.588235294</v>
      </c>
      <c r="I5296" s="1">
        <v>5.13</v>
      </c>
      <c r="J5296" s="1">
        <v>0.201607</v>
      </c>
    </row>
    <row r="5297">
      <c r="A5297" s="1">
        <v>2025.0</v>
      </c>
      <c r="B5297" s="1" t="s">
        <v>593</v>
      </c>
      <c r="C5297" s="1">
        <v>669391.0</v>
      </c>
      <c r="D5297" s="1" t="s">
        <v>537</v>
      </c>
      <c r="E5297" s="1" t="s">
        <v>927</v>
      </c>
      <c r="F5297" s="1" t="s">
        <v>927</v>
      </c>
      <c r="G5297" s="1">
        <v>22.0</v>
      </c>
      <c r="H5297" s="1">
        <v>1.294117647</v>
      </c>
      <c r="I5297" s="1">
        <v>5.73</v>
      </c>
      <c r="J5297" s="1">
        <v>0.177782</v>
      </c>
    </row>
    <row r="5298">
      <c r="A5298" s="1">
        <v>2025.0</v>
      </c>
      <c r="B5298" s="1" t="s">
        <v>593</v>
      </c>
      <c r="C5298" s="1">
        <v>669391.0</v>
      </c>
      <c r="D5298" s="1" t="s">
        <v>536</v>
      </c>
      <c r="E5298" s="1" t="s">
        <v>927</v>
      </c>
      <c r="F5298" s="1" t="s">
        <v>927</v>
      </c>
      <c r="G5298" s="1">
        <v>6.0</v>
      </c>
      <c r="H5298" s="1">
        <v>0.352941176</v>
      </c>
      <c r="I5298" s="1">
        <v>3.16</v>
      </c>
      <c r="J5298" s="1">
        <v>0.356343</v>
      </c>
    </row>
    <row r="5299">
      <c r="A5299" s="1">
        <v>2025.0</v>
      </c>
      <c r="B5299" s="1" t="s">
        <v>593</v>
      </c>
      <c r="C5299" s="1">
        <v>669391.0</v>
      </c>
      <c r="D5299" s="1" t="s">
        <v>533</v>
      </c>
      <c r="E5299" s="1" t="s">
        <v>927</v>
      </c>
      <c r="F5299" s="1" t="s">
        <v>927</v>
      </c>
      <c r="G5299" s="1">
        <v>1.0</v>
      </c>
      <c r="H5299" s="1">
        <v>0.058823529</v>
      </c>
      <c r="I5299" s="1">
        <v>5.67</v>
      </c>
      <c r="J5299" s="1">
        <v>0.00857</v>
      </c>
    </row>
    <row r="5300">
      <c r="A5300" s="1">
        <v>2025.0</v>
      </c>
      <c r="B5300" s="1" t="s">
        <v>593</v>
      </c>
      <c r="C5300" s="1">
        <v>669391.0</v>
      </c>
      <c r="D5300" s="1" t="s">
        <v>539</v>
      </c>
      <c r="E5300" s="1" t="s">
        <v>927</v>
      </c>
      <c r="F5300" s="1" t="s">
        <v>927</v>
      </c>
      <c r="G5300" s="1">
        <v>30.0</v>
      </c>
      <c r="H5300" s="1">
        <v>1.764705882</v>
      </c>
      <c r="I5300" s="1">
        <v>5.03</v>
      </c>
      <c r="J5300" s="1">
        <v>0.59799</v>
      </c>
    </row>
    <row r="5301">
      <c r="A5301" s="1">
        <v>2025.0</v>
      </c>
      <c r="B5301" s="1" t="s">
        <v>998</v>
      </c>
      <c r="C5301" s="1">
        <v>676571.0</v>
      </c>
      <c r="D5301" s="1" t="s">
        <v>532</v>
      </c>
      <c r="E5301" s="1" t="s">
        <v>926</v>
      </c>
      <c r="F5301" s="1" t="s">
        <v>926</v>
      </c>
      <c r="G5301" s="1">
        <v>3.0</v>
      </c>
      <c r="H5301" s="1">
        <v>0.176610979</v>
      </c>
      <c r="I5301" s="1">
        <v>4.62</v>
      </c>
      <c r="J5301" s="1">
        <v>0.083015</v>
      </c>
    </row>
    <row r="5302">
      <c r="A5302" s="1">
        <v>2025.0</v>
      </c>
      <c r="B5302" s="1" t="s">
        <v>998</v>
      </c>
      <c r="C5302" s="1">
        <v>676571.0</v>
      </c>
      <c r="D5302" s="1" t="s">
        <v>537</v>
      </c>
      <c r="E5302" s="1" t="s">
        <v>926</v>
      </c>
      <c r="F5302" s="1" t="s">
        <v>926</v>
      </c>
      <c r="G5302" s="1">
        <v>74.0</v>
      </c>
      <c r="H5302" s="1">
        <v>4.356404137</v>
      </c>
      <c r="I5302" s="1">
        <v>4.73</v>
      </c>
      <c r="J5302" s="1">
        <v>2.07391</v>
      </c>
    </row>
    <row r="5303">
      <c r="A5303" s="1">
        <v>2025.0</v>
      </c>
      <c r="B5303" s="1" t="s">
        <v>998</v>
      </c>
      <c r="C5303" s="1">
        <v>676571.0</v>
      </c>
      <c r="D5303" s="1" t="s">
        <v>536</v>
      </c>
      <c r="E5303" s="1" t="s">
        <v>926</v>
      </c>
      <c r="F5303" s="1" t="s">
        <v>926</v>
      </c>
      <c r="G5303" s="1">
        <v>37.0</v>
      </c>
      <c r="H5303" s="1">
        <v>2.178202068</v>
      </c>
      <c r="I5303" s="1">
        <v>5.73</v>
      </c>
      <c r="J5303" s="1">
        <v>0.313082</v>
      </c>
    </row>
    <row r="5304">
      <c r="A5304" s="1">
        <v>2025.0</v>
      </c>
      <c r="B5304" s="1" t="s">
        <v>998</v>
      </c>
      <c r="C5304" s="1">
        <v>676571.0</v>
      </c>
      <c r="D5304" s="1" t="s">
        <v>539</v>
      </c>
      <c r="E5304" s="1" t="s">
        <v>926</v>
      </c>
      <c r="F5304" s="1" t="s">
        <v>926</v>
      </c>
      <c r="G5304" s="1">
        <v>77.0</v>
      </c>
      <c r="H5304" s="1">
        <v>4.533015115</v>
      </c>
      <c r="I5304" s="1">
        <v>5.17</v>
      </c>
      <c r="J5304" s="1">
        <v>1.448989</v>
      </c>
    </row>
    <row r="5305">
      <c r="A5305" s="1">
        <v>2025.0</v>
      </c>
      <c r="B5305" s="1" t="s">
        <v>998</v>
      </c>
      <c r="C5305" s="1">
        <v>676571.0</v>
      </c>
      <c r="D5305" s="1" t="s">
        <v>532</v>
      </c>
      <c r="E5305" s="1" t="s">
        <v>926</v>
      </c>
      <c r="F5305" s="1" t="s">
        <v>927</v>
      </c>
      <c r="G5305" s="1">
        <v>91.0</v>
      </c>
      <c r="H5305" s="1">
        <v>5.357199682</v>
      </c>
      <c r="I5305" s="1">
        <v>4.6</v>
      </c>
      <c r="J5305" s="1">
        <v>2.821223</v>
      </c>
    </row>
    <row r="5306">
      <c r="A5306" s="1">
        <v>2025.0</v>
      </c>
      <c r="B5306" s="1" t="s">
        <v>998</v>
      </c>
      <c r="C5306" s="1">
        <v>676571.0</v>
      </c>
      <c r="D5306" s="1" t="s">
        <v>537</v>
      </c>
      <c r="E5306" s="1" t="s">
        <v>926</v>
      </c>
      <c r="F5306" s="1" t="s">
        <v>927</v>
      </c>
      <c r="G5306" s="1">
        <v>111.0</v>
      </c>
      <c r="H5306" s="1">
        <v>6.534606205</v>
      </c>
      <c r="I5306" s="1">
        <v>4.49</v>
      </c>
      <c r="J5306" s="1">
        <v>3.755512</v>
      </c>
    </row>
    <row r="5307">
      <c r="A5307" s="1">
        <v>2025.0</v>
      </c>
      <c r="B5307" s="1" t="s">
        <v>998</v>
      </c>
      <c r="C5307" s="1">
        <v>676571.0</v>
      </c>
      <c r="D5307" s="1" t="s">
        <v>536</v>
      </c>
      <c r="E5307" s="1" t="s">
        <v>926</v>
      </c>
      <c r="F5307" s="1" t="s">
        <v>927</v>
      </c>
      <c r="G5307" s="1">
        <v>2.0</v>
      </c>
      <c r="H5307" s="1">
        <v>0.117740652</v>
      </c>
      <c r="I5307" s="1">
        <v>5.51</v>
      </c>
      <c r="J5307" s="1">
        <v>0.020721</v>
      </c>
    </row>
    <row r="5308">
      <c r="A5308" s="1">
        <v>2025.0</v>
      </c>
      <c r="B5308" s="1" t="s">
        <v>998</v>
      </c>
      <c r="C5308" s="1">
        <v>676571.0</v>
      </c>
      <c r="D5308" s="1" t="s">
        <v>539</v>
      </c>
      <c r="E5308" s="1" t="s">
        <v>926</v>
      </c>
      <c r="F5308" s="1" t="s">
        <v>927</v>
      </c>
      <c r="G5308" s="1">
        <v>24.0</v>
      </c>
      <c r="H5308" s="1">
        <v>1.412887828</v>
      </c>
      <c r="I5308" s="1">
        <v>4.22</v>
      </c>
      <c r="J5308" s="1">
        <v>0.872223</v>
      </c>
    </row>
    <row r="5309">
      <c r="A5309" s="1">
        <v>2025.0</v>
      </c>
      <c r="B5309" s="1" t="s">
        <v>181</v>
      </c>
      <c r="C5309" s="1">
        <v>641154.0</v>
      </c>
      <c r="D5309" s="1" t="s">
        <v>532</v>
      </c>
      <c r="E5309" s="1" t="s">
        <v>927</v>
      </c>
      <c r="F5309" s="1" t="s">
        <v>926</v>
      </c>
      <c r="G5309" s="1">
        <v>201.0</v>
      </c>
      <c r="H5309" s="1">
        <v>12.0802224</v>
      </c>
      <c r="I5309" s="1">
        <v>5.07</v>
      </c>
      <c r="J5309" s="1">
        <v>4.015509</v>
      </c>
    </row>
    <row r="5310">
      <c r="A5310" s="1">
        <v>2025.0</v>
      </c>
      <c r="B5310" s="1" t="s">
        <v>181</v>
      </c>
      <c r="C5310" s="1">
        <v>641154.0</v>
      </c>
      <c r="D5310" s="1" t="s">
        <v>541</v>
      </c>
      <c r="E5310" s="1" t="s">
        <v>927</v>
      </c>
      <c r="F5310" s="1" t="s">
        <v>926</v>
      </c>
      <c r="G5310" s="1">
        <v>80.0</v>
      </c>
      <c r="H5310" s="1">
        <v>4.808048716</v>
      </c>
      <c r="I5310" s="1">
        <v>5.29</v>
      </c>
      <c r="J5310" s="1">
        <v>1.17884</v>
      </c>
    </row>
    <row r="5311">
      <c r="A5311" s="1">
        <v>2025.0</v>
      </c>
      <c r="B5311" s="1" t="s">
        <v>181</v>
      </c>
      <c r="C5311" s="1">
        <v>641154.0</v>
      </c>
      <c r="D5311" s="1" t="s">
        <v>537</v>
      </c>
      <c r="E5311" s="1" t="s">
        <v>927</v>
      </c>
      <c r="F5311" s="1" t="s">
        <v>926</v>
      </c>
      <c r="G5311" s="1">
        <v>333.0</v>
      </c>
      <c r="H5311" s="1">
        <v>20.01350278</v>
      </c>
      <c r="I5311" s="1">
        <v>5.08</v>
      </c>
      <c r="J5311" s="1">
        <v>6.832802</v>
      </c>
    </row>
    <row r="5312">
      <c r="A5312" s="1">
        <v>2025.0</v>
      </c>
      <c r="B5312" s="1" t="s">
        <v>181</v>
      </c>
      <c r="C5312" s="1">
        <v>641154.0</v>
      </c>
      <c r="D5312" s="1" t="s">
        <v>539</v>
      </c>
      <c r="E5312" s="1" t="s">
        <v>927</v>
      </c>
      <c r="F5312" s="1" t="s">
        <v>926</v>
      </c>
      <c r="G5312" s="1">
        <v>92.0</v>
      </c>
      <c r="H5312" s="1">
        <v>5.529256023</v>
      </c>
      <c r="I5312" s="1">
        <v>5.3</v>
      </c>
      <c r="J5312" s="1">
        <v>1.433273</v>
      </c>
    </row>
    <row r="5313">
      <c r="A5313" s="1">
        <v>2025.0</v>
      </c>
      <c r="B5313" s="1" t="s">
        <v>181</v>
      </c>
      <c r="C5313" s="1">
        <v>641154.0</v>
      </c>
      <c r="D5313" s="1" t="s">
        <v>532</v>
      </c>
      <c r="E5313" s="1" t="s">
        <v>927</v>
      </c>
      <c r="F5313" s="1" t="s">
        <v>927</v>
      </c>
      <c r="G5313" s="1">
        <v>65.0</v>
      </c>
      <c r="H5313" s="1">
        <v>3.906539582</v>
      </c>
      <c r="I5313" s="1">
        <v>5.22</v>
      </c>
      <c r="J5313" s="1">
        <v>1.08043</v>
      </c>
    </row>
    <row r="5314">
      <c r="A5314" s="1">
        <v>2025.0</v>
      </c>
      <c r="B5314" s="1" t="s">
        <v>181</v>
      </c>
      <c r="C5314" s="1">
        <v>641154.0</v>
      </c>
      <c r="D5314" s="1" t="s">
        <v>541</v>
      </c>
      <c r="E5314" s="1" t="s">
        <v>927</v>
      </c>
      <c r="F5314" s="1" t="s">
        <v>927</v>
      </c>
      <c r="G5314" s="1">
        <v>46.0</v>
      </c>
      <c r="H5314" s="1">
        <v>2.764628012</v>
      </c>
      <c r="I5314" s="1">
        <v>4.77</v>
      </c>
      <c r="J5314" s="1">
        <v>1.210467</v>
      </c>
    </row>
    <row r="5315">
      <c r="A5315" s="1">
        <v>2025.0</v>
      </c>
      <c r="B5315" s="1" t="s">
        <v>181</v>
      </c>
      <c r="C5315" s="1">
        <v>641154.0</v>
      </c>
      <c r="D5315" s="1" t="s">
        <v>537</v>
      </c>
      <c r="E5315" s="1" t="s">
        <v>927</v>
      </c>
      <c r="F5315" s="1" t="s">
        <v>927</v>
      </c>
      <c r="G5315" s="1">
        <v>186.0</v>
      </c>
      <c r="H5315" s="1">
        <v>11.17871326</v>
      </c>
      <c r="I5315" s="1">
        <v>5.15</v>
      </c>
      <c r="J5315" s="1">
        <v>3.559781</v>
      </c>
    </row>
    <row r="5316">
      <c r="A5316" s="1">
        <v>2025.0</v>
      </c>
      <c r="B5316" s="1" t="s">
        <v>181</v>
      </c>
      <c r="C5316" s="1">
        <v>641154.0</v>
      </c>
      <c r="D5316" s="1" t="s">
        <v>536</v>
      </c>
      <c r="E5316" s="1" t="s">
        <v>927</v>
      </c>
      <c r="F5316" s="1" t="s">
        <v>927</v>
      </c>
      <c r="G5316" s="1">
        <v>82.0</v>
      </c>
      <c r="H5316" s="1">
        <v>4.928249934</v>
      </c>
      <c r="I5316" s="1">
        <v>4.78</v>
      </c>
      <c r="J5316" s="1">
        <v>2.177197</v>
      </c>
    </row>
    <row r="5317">
      <c r="A5317" s="1">
        <v>2025.0</v>
      </c>
      <c r="B5317" s="1" t="s">
        <v>181</v>
      </c>
      <c r="C5317" s="1">
        <v>641154.0</v>
      </c>
      <c r="D5317" s="1" t="s">
        <v>539</v>
      </c>
      <c r="E5317" s="1" t="s">
        <v>927</v>
      </c>
      <c r="F5317" s="1" t="s">
        <v>927</v>
      </c>
      <c r="G5317" s="1">
        <v>174.0</v>
      </c>
      <c r="H5317" s="1">
        <v>10.45750596</v>
      </c>
      <c r="I5317" s="1">
        <v>5.25</v>
      </c>
      <c r="J5317" s="1">
        <v>2.770911</v>
      </c>
    </row>
    <row r="5318">
      <c r="A5318" s="1">
        <v>2025.0</v>
      </c>
      <c r="B5318" s="1" t="s">
        <v>856</v>
      </c>
      <c r="C5318" s="1">
        <v>622569.0</v>
      </c>
      <c r="D5318" s="1" t="s">
        <v>537</v>
      </c>
      <c r="E5318" s="1" t="s">
        <v>927</v>
      </c>
      <c r="F5318" s="1" t="s">
        <v>926</v>
      </c>
      <c r="G5318" s="1">
        <v>5.0</v>
      </c>
      <c r="H5318" s="1">
        <v>0.384615385</v>
      </c>
      <c r="I5318" s="1">
        <v>4.38</v>
      </c>
      <c r="J5318" s="1">
        <v>0.183907</v>
      </c>
    </row>
    <row r="5319">
      <c r="A5319" s="1">
        <v>2025.0</v>
      </c>
      <c r="B5319" s="1" t="s">
        <v>856</v>
      </c>
      <c r="C5319" s="1">
        <v>622569.0</v>
      </c>
      <c r="D5319" s="1" t="s">
        <v>537</v>
      </c>
      <c r="E5319" s="1" t="s">
        <v>927</v>
      </c>
      <c r="F5319" s="1" t="s">
        <v>927</v>
      </c>
      <c r="G5319" s="1">
        <v>8.0</v>
      </c>
      <c r="H5319" s="1">
        <v>0.615384615</v>
      </c>
      <c r="I5319" s="1">
        <v>5.13</v>
      </c>
      <c r="J5319" s="1">
        <v>0.179692</v>
      </c>
    </row>
    <row r="5320">
      <c r="A5320" s="1">
        <v>2025.0</v>
      </c>
      <c r="B5320" s="1" t="s">
        <v>120</v>
      </c>
      <c r="C5320" s="1">
        <v>800048.0</v>
      </c>
      <c r="D5320" s="1" t="s">
        <v>532</v>
      </c>
      <c r="E5320" s="1" t="s">
        <v>926</v>
      </c>
      <c r="F5320" s="1" t="s">
        <v>926</v>
      </c>
      <c r="G5320" s="1">
        <v>9.0</v>
      </c>
      <c r="H5320" s="1">
        <v>0.572115385</v>
      </c>
      <c r="I5320" s="1">
        <v>4.38</v>
      </c>
      <c r="J5320" s="1">
        <v>0.295743</v>
      </c>
    </row>
    <row r="5321">
      <c r="A5321" s="1">
        <v>2025.0</v>
      </c>
      <c r="B5321" s="1" t="s">
        <v>120</v>
      </c>
      <c r="C5321" s="1">
        <v>800048.0</v>
      </c>
      <c r="D5321" s="1" t="s">
        <v>541</v>
      </c>
      <c r="E5321" s="1" t="s">
        <v>926</v>
      </c>
      <c r="F5321" s="1" t="s">
        <v>926</v>
      </c>
      <c r="G5321" s="1">
        <v>11.0</v>
      </c>
      <c r="H5321" s="1">
        <v>0.699252137</v>
      </c>
      <c r="I5321" s="1">
        <v>4.27</v>
      </c>
      <c r="J5321" s="1">
        <v>0.38762</v>
      </c>
    </row>
    <row r="5322">
      <c r="A5322" s="1">
        <v>2025.0</v>
      </c>
      <c r="B5322" s="1" t="s">
        <v>120</v>
      </c>
      <c r="C5322" s="1">
        <v>800048.0</v>
      </c>
      <c r="D5322" s="1" t="s">
        <v>537</v>
      </c>
      <c r="E5322" s="1" t="s">
        <v>926</v>
      </c>
      <c r="F5322" s="1" t="s">
        <v>926</v>
      </c>
      <c r="G5322" s="1">
        <v>47.0</v>
      </c>
      <c r="H5322" s="1">
        <v>2.987713675</v>
      </c>
      <c r="I5322" s="1">
        <v>5.44</v>
      </c>
      <c r="J5322" s="1">
        <v>0.67504</v>
      </c>
    </row>
    <row r="5323">
      <c r="A5323" s="1">
        <v>2025.0</v>
      </c>
      <c r="B5323" s="1" t="s">
        <v>120</v>
      </c>
      <c r="C5323" s="1">
        <v>800048.0</v>
      </c>
      <c r="D5323" s="1" t="s">
        <v>536</v>
      </c>
      <c r="E5323" s="1" t="s">
        <v>926</v>
      </c>
      <c r="F5323" s="1" t="s">
        <v>926</v>
      </c>
      <c r="G5323" s="1">
        <v>41.0</v>
      </c>
      <c r="H5323" s="1">
        <v>2.606303419</v>
      </c>
      <c r="I5323" s="1">
        <v>5.52</v>
      </c>
      <c r="J5323" s="1">
        <v>0.542894</v>
      </c>
    </row>
    <row r="5324">
      <c r="A5324" s="1">
        <v>2025.0</v>
      </c>
      <c r="B5324" s="1" t="s">
        <v>120</v>
      </c>
      <c r="C5324" s="1">
        <v>800048.0</v>
      </c>
      <c r="D5324" s="1" t="s">
        <v>533</v>
      </c>
      <c r="E5324" s="1" t="s">
        <v>926</v>
      </c>
      <c r="F5324" s="1" t="s">
        <v>926</v>
      </c>
      <c r="G5324" s="1">
        <v>46.0</v>
      </c>
      <c r="H5324" s="1">
        <v>2.924145299</v>
      </c>
      <c r="I5324" s="1">
        <v>5.6</v>
      </c>
      <c r="J5324" s="1">
        <v>0.471959</v>
      </c>
    </row>
    <row r="5325">
      <c r="A5325" s="1">
        <v>2025.0</v>
      </c>
      <c r="B5325" s="1" t="s">
        <v>120</v>
      </c>
      <c r="C5325" s="1">
        <v>800048.0</v>
      </c>
      <c r="D5325" s="1" t="s">
        <v>532</v>
      </c>
      <c r="E5325" s="1" t="s">
        <v>926</v>
      </c>
      <c r="F5325" s="1" t="s">
        <v>927</v>
      </c>
      <c r="G5325" s="1">
        <v>137.0</v>
      </c>
      <c r="H5325" s="1">
        <v>8.708867521</v>
      </c>
      <c r="I5325" s="1">
        <v>5.2</v>
      </c>
      <c r="J5325" s="1">
        <v>2.453288</v>
      </c>
    </row>
    <row r="5326">
      <c r="A5326" s="1">
        <v>2025.0</v>
      </c>
      <c r="B5326" s="1" t="s">
        <v>120</v>
      </c>
      <c r="C5326" s="1">
        <v>800048.0</v>
      </c>
      <c r="D5326" s="1" t="s">
        <v>541</v>
      </c>
      <c r="E5326" s="1" t="s">
        <v>926</v>
      </c>
      <c r="F5326" s="1" t="s">
        <v>927</v>
      </c>
      <c r="G5326" s="1">
        <v>68.0</v>
      </c>
      <c r="H5326" s="1">
        <v>4.322649573</v>
      </c>
      <c r="I5326" s="1">
        <v>5.06</v>
      </c>
      <c r="J5326" s="1">
        <v>1.462414</v>
      </c>
    </row>
    <row r="5327">
      <c r="A5327" s="1">
        <v>2025.0</v>
      </c>
      <c r="B5327" s="1" t="s">
        <v>120</v>
      </c>
      <c r="C5327" s="1">
        <v>800048.0</v>
      </c>
      <c r="D5327" s="1" t="s">
        <v>537</v>
      </c>
      <c r="E5327" s="1" t="s">
        <v>926</v>
      </c>
      <c r="F5327" s="1" t="s">
        <v>927</v>
      </c>
      <c r="G5327" s="1">
        <v>178.0</v>
      </c>
      <c r="H5327" s="1">
        <v>11.31517094</v>
      </c>
      <c r="I5327" s="1">
        <v>5.26</v>
      </c>
      <c r="J5327" s="1">
        <v>3.202644</v>
      </c>
    </row>
    <row r="5328">
      <c r="A5328" s="1">
        <v>2025.0</v>
      </c>
      <c r="B5328" s="1" t="s">
        <v>120</v>
      </c>
      <c r="C5328" s="1">
        <v>800048.0</v>
      </c>
      <c r="D5328" s="1" t="s">
        <v>536</v>
      </c>
      <c r="E5328" s="1" t="s">
        <v>926</v>
      </c>
      <c r="F5328" s="1" t="s">
        <v>927</v>
      </c>
      <c r="G5328" s="1">
        <v>43.0</v>
      </c>
      <c r="H5328" s="1">
        <v>2.733440171</v>
      </c>
      <c r="I5328" s="1">
        <v>4.82</v>
      </c>
      <c r="J5328" s="1">
        <v>1.152164</v>
      </c>
    </row>
    <row r="5329">
      <c r="A5329" s="1">
        <v>2025.0</v>
      </c>
      <c r="B5329" s="1" t="s">
        <v>120</v>
      </c>
      <c r="C5329" s="1">
        <v>800048.0</v>
      </c>
      <c r="D5329" s="1" t="s">
        <v>533</v>
      </c>
      <c r="E5329" s="1" t="s">
        <v>926</v>
      </c>
      <c r="F5329" s="1" t="s">
        <v>927</v>
      </c>
      <c r="G5329" s="1">
        <v>44.0</v>
      </c>
      <c r="H5329" s="1">
        <v>2.797008547</v>
      </c>
      <c r="I5329" s="1">
        <v>4.77</v>
      </c>
      <c r="J5329" s="1">
        <v>1.239012</v>
      </c>
    </row>
    <row r="5330">
      <c r="A5330" s="1">
        <v>2025.0</v>
      </c>
      <c r="B5330" s="1" t="s">
        <v>245</v>
      </c>
      <c r="C5330" s="1">
        <v>571578.0</v>
      </c>
      <c r="D5330" s="1" t="s">
        <v>532</v>
      </c>
      <c r="E5330" s="1" t="s">
        <v>926</v>
      </c>
      <c r="F5330" s="1" t="s">
        <v>926</v>
      </c>
      <c r="G5330" s="1">
        <v>8.0</v>
      </c>
      <c r="H5330" s="1">
        <v>0.480164863</v>
      </c>
      <c r="I5330" s="1">
        <v>4.63</v>
      </c>
      <c r="J5330" s="1">
        <v>0.228997</v>
      </c>
    </row>
    <row r="5331">
      <c r="A5331" s="1">
        <v>2025.0</v>
      </c>
      <c r="B5331" s="1" t="s">
        <v>245</v>
      </c>
      <c r="C5331" s="1">
        <v>571578.0</v>
      </c>
      <c r="D5331" s="1" t="s">
        <v>540</v>
      </c>
      <c r="E5331" s="1" t="s">
        <v>926</v>
      </c>
      <c r="F5331" s="1" t="s">
        <v>926</v>
      </c>
      <c r="G5331" s="1">
        <v>111.0</v>
      </c>
      <c r="H5331" s="1">
        <v>6.662287481</v>
      </c>
      <c r="I5331" s="1">
        <v>5.08</v>
      </c>
      <c r="J5331" s="1">
        <v>2.282316</v>
      </c>
    </row>
    <row r="5332">
      <c r="A5332" s="1">
        <v>2025.0</v>
      </c>
      <c r="B5332" s="1" t="s">
        <v>245</v>
      </c>
      <c r="C5332" s="1">
        <v>571578.0</v>
      </c>
      <c r="D5332" s="1" t="s">
        <v>537</v>
      </c>
      <c r="E5332" s="1" t="s">
        <v>926</v>
      </c>
      <c r="F5332" s="1" t="s">
        <v>926</v>
      </c>
      <c r="G5332" s="1">
        <v>20.0</v>
      </c>
      <c r="H5332" s="1">
        <v>1.200412159</v>
      </c>
      <c r="I5332" s="1">
        <v>4.78</v>
      </c>
      <c r="J5332" s="1">
        <v>0.529942</v>
      </c>
    </row>
    <row r="5333">
      <c r="A5333" s="1">
        <v>2025.0</v>
      </c>
      <c r="B5333" s="1" t="s">
        <v>245</v>
      </c>
      <c r="C5333" s="1">
        <v>571578.0</v>
      </c>
      <c r="D5333" s="1" t="s">
        <v>536</v>
      </c>
      <c r="E5333" s="1" t="s">
        <v>926</v>
      </c>
      <c r="F5333" s="1" t="s">
        <v>926</v>
      </c>
      <c r="G5333" s="1">
        <v>269.0</v>
      </c>
      <c r="H5333" s="1">
        <v>16.14554353</v>
      </c>
      <c r="I5333" s="1">
        <v>5.18</v>
      </c>
      <c r="J5333" s="1">
        <v>4.848927</v>
      </c>
    </row>
    <row r="5334">
      <c r="A5334" s="1">
        <v>2025.0</v>
      </c>
      <c r="B5334" s="1" t="s">
        <v>245</v>
      </c>
      <c r="C5334" s="1">
        <v>571578.0</v>
      </c>
      <c r="D5334" s="1" t="s">
        <v>533</v>
      </c>
      <c r="E5334" s="1" t="s">
        <v>926</v>
      </c>
      <c r="F5334" s="1" t="s">
        <v>926</v>
      </c>
      <c r="G5334" s="1">
        <v>266.0</v>
      </c>
      <c r="H5334" s="1">
        <v>15.96548171</v>
      </c>
      <c r="I5334" s="1">
        <v>5.06</v>
      </c>
      <c r="J5334" s="1">
        <v>5.418372</v>
      </c>
    </row>
    <row r="5335">
      <c r="A5335" s="1">
        <v>2025.0</v>
      </c>
      <c r="B5335" s="1" t="s">
        <v>245</v>
      </c>
      <c r="C5335" s="1">
        <v>571578.0</v>
      </c>
      <c r="D5335" s="1" t="s">
        <v>532</v>
      </c>
      <c r="E5335" s="1" t="s">
        <v>926</v>
      </c>
      <c r="F5335" s="1" t="s">
        <v>927</v>
      </c>
      <c r="G5335" s="1">
        <v>231.0</v>
      </c>
      <c r="H5335" s="1">
        <v>13.86476043</v>
      </c>
      <c r="I5335" s="1">
        <v>4.79</v>
      </c>
      <c r="J5335" s="1">
        <v>6.010893</v>
      </c>
    </row>
    <row r="5336">
      <c r="A5336" s="1">
        <v>2025.0</v>
      </c>
      <c r="B5336" s="1" t="s">
        <v>245</v>
      </c>
      <c r="C5336" s="1">
        <v>571578.0</v>
      </c>
      <c r="D5336" s="1" t="s">
        <v>541</v>
      </c>
      <c r="E5336" s="1" t="s">
        <v>926</v>
      </c>
      <c r="F5336" s="1" t="s">
        <v>927</v>
      </c>
      <c r="G5336" s="1">
        <v>15.0</v>
      </c>
      <c r="H5336" s="1">
        <v>0.900309119</v>
      </c>
      <c r="I5336" s="1">
        <v>4.4</v>
      </c>
      <c r="J5336" s="1">
        <v>0.5158</v>
      </c>
    </row>
    <row r="5337">
      <c r="A5337" s="1">
        <v>2025.0</v>
      </c>
      <c r="B5337" s="1" t="s">
        <v>245</v>
      </c>
      <c r="C5337" s="1">
        <v>571578.0</v>
      </c>
      <c r="D5337" s="1" t="s">
        <v>540</v>
      </c>
      <c r="E5337" s="1" t="s">
        <v>926</v>
      </c>
      <c r="F5337" s="1" t="s">
        <v>927</v>
      </c>
      <c r="G5337" s="1">
        <v>541.0</v>
      </c>
      <c r="H5337" s="1">
        <v>32.47114889</v>
      </c>
      <c r="I5337" s="1">
        <v>5.51</v>
      </c>
      <c r="J5337" s="1">
        <v>6.405412</v>
      </c>
    </row>
    <row r="5338">
      <c r="A5338" s="1">
        <v>2025.0</v>
      </c>
      <c r="B5338" s="1" t="s">
        <v>245</v>
      </c>
      <c r="C5338" s="1">
        <v>571578.0</v>
      </c>
      <c r="D5338" s="1" t="s">
        <v>537</v>
      </c>
      <c r="E5338" s="1" t="s">
        <v>926</v>
      </c>
      <c r="F5338" s="1" t="s">
        <v>927</v>
      </c>
      <c r="G5338" s="1">
        <v>65.0</v>
      </c>
      <c r="H5338" s="1">
        <v>3.901339516</v>
      </c>
      <c r="I5338" s="1">
        <v>4.5</v>
      </c>
      <c r="J5338" s="1">
        <v>2.090731</v>
      </c>
    </row>
    <row r="5339">
      <c r="A5339" s="1">
        <v>2025.0</v>
      </c>
      <c r="B5339" s="1" t="s">
        <v>245</v>
      </c>
      <c r="C5339" s="1">
        <v>571578.0</v>
      </c>
      <c r="D5339" s="1" t="s">
        <v>536</v>
      </c>
      <c r="E5339" s="1" t="s">
        <v>926</v>
      </c>
      <c r="F5339" s="1" t="s">
        <v>927</v>
      </c>
      <c r="G5339" s="1">
        <v>462.0</v>
      </c>
      <c r="H5339" s="1">
        <v>27.72952087</v>
      </c>
      <c r="I5339" s="1">
        <v>4.67</v>
      </c>
      <c r="J5339" s="1">
        <v>13.529619</v>
      </c>
    </row>
    <row r="5340">
      <c r="A5340" s="1">
        <v>2025.0</v>
      </c>
      <c r="B5340" s="1" t="s">
        <v>245</v>
      </c>
      <c r="C5340" s="1">
        <v>571578.0</v>
      </c>
      <c r="D5340" s="1" t="s">
        <v>533</v>
      </c>
      <c r="E5340" s="1" t="s">
        <v>926</v>
      </c>
      <c r="F5340" s="1" t="s">
        <v>927</v>
      </c>
      <c r="G5340" s="1">
        <v>600.0</v>
      </c>
      <c r="H5340" s="1">
        <v>36.01236476</v>
      </c>
      <c r="I5340" s="1">
        <v>5.14</v>
      </c>
      <c r="J5340" s="1">
        <v>11.385773</v>
      </c>
    </row>
    <row r="5341">
      <c r="A5341" s="1">
        <v>2025.0</v>
      </c>
      <c r="B5341" s="1" t="s">
        <v>612</v>
      </c>
      <c r="C5341" s="1">
        <v>687287.0</v>
      </c>
      <c r="D5341" s="1" t="s">
        <v>541</v>
      </c>
      <c r="E5341" s="1" t="s">
        <v>926</v>
      </c>
      <c r="F5341" s="1" t="s">
        <v>926</v>
      </c>
      <c r="G5341" s="1">
        <v>3.0</v>
      </c>
      <c r="H5341" s="1">
        <v>0.126436782</v>
      </c>
      <c r="I5341" s="1">
        <v>5.37</v>
      </c>
      <c r="J5341" s="1">
        <v>0.034074</v>
      </c>
    </row>
    <row r="5342">
      <c r="A5342" s="1">
        <v>2025.0</v>
      </c>
      <c r="B5342" s="1" t="s">
        <v>612</v>
      </c>
      <c r="C5342" s="1">
        <v>687287.0</v>
      </c>
      <c r="D5342" s="1" t="s">
        <v>540</v>
      </c>
      <c r="E5342" s="1" t="s">
        <v>926</v>
      </c>
      <c r="F5342" s="1" t="s">
        <v>926</v>
      </c>
      <c r="G5342" s="1">
        <v>21.0</v>
      </c>
      <c r="H5342" s="1">
        <v>0.885057471</v>
      </c>
      <c r="I5342" s="1">
        <v>5.33</v>
      </c>
      <c r="J5342" s="1">
        <v>0.355921</v>
      </c>
    </row>
    <row r="5343">
      <c r="A5343" s="1">
        <v>2025.0</v>
      </c>
      <c r="B5343" s="1" t="s">
        <v>612</v>
      </c>
      <c r="C5343" s="1">
        <v>687287.0</v>
      </c>
      <c r="D5343" s="1" t="s">
        <v>537</v>
      </c>
      <c r="E5343" s="1" t="s">
        <v>926</v>
      </c>
      <c r="F5343" s="1" t="s">
        <v>926</v>
      </c>
      <c r="G5343" s="1">
        <v>7.0</v>
      </c>
      <c r="H5343" s="1">
        <v>0.295019157</v>
      </c>
      <c r="I5343" s="1">
        <v>4.88</v>
      </c>
      <c r="J5343" s="1">
        <v>0.198254</v>
      </c>
    </row>
    <row r="5344">
      <c r="A5344" s="1">
        <v>2025.0</v>
      </c>
      <c r="B5344" s="1" t="s">
        <v>612</v>
      </c>
      <c r="C5344" s="1">
        <v>687287.0</v>
      </c>
      <c r="D5344" s="1" t="s">
        <v>536</v>
      </c>
      <c r="E5344" s="1" t="s">
        <v>926</v>
      </c>
      <c r="F5344" s="1" t="s">
        <v>926</v>
      </c>
      <c r="G5344" s="1">
        <v>5.0</v>
      </c>
      <c r="H5344" s="1">
        <v>0.210727969</v>
      </c>
      <c r="I5344" s="1">
        <v>5.11</v>
      </c>
      <c r="J5344" s="1">
        <v>0.112263</v>
      </c>
    </row>
    <row r="5345">
      <c r="A5345" s="1">
        <v>2025.0</v>
      </c>
      <c r="B5345" s="1" t="s">
        <v>612</v>
      </c>
      <c r="C5345" s="1">
        <v>687287.0</v>
      </c>
      <c r="D5345" s="1" t="s">
        <v>533</v>
      </c>
      <c r="E5345" s="1" t="s">
        <v>926</v>
      </c>
      <c r="F5345" s="1" t="s">
        <v>926</v>
      </c>
      <c r="G5345" s="1">
        <v>3.0</v>
      </c>
      <c r="H5345" s="1">
        <v>0.126436782</v>
      </c>
      <c r="I5345" s="1">
        <v>4.95</v>
      </c>
      <c r="J5345" s="1">
        <v>0.077965</v>
      </c>
    </row>
    <row r="5346">
      <c r="A5346" s="1">
        <v>2025.0</v>
      </c>
      <c r="B5346" s="1" t="s">
        <v>612</v>
      </c>
      <c r="C5346" s="1">
        <v>687287.0</v>
      </c>
      <c r="D5346" s="1" t="s">
        <v>532</v>
      </c>
      <c r="E5346" s="1" t="s">
        <v>926</v>
      </c>
      <c r="F5346" s="1" t="s">
        <v>927</v>
      </c>
      <c r="G5346" s="1">
        <v>9.0</v>
      </c>
      <c r="H5346" s="1">
        <v>0.379310345</v>
      </c>
      <c r="I5346" s="1">
        <v>4.12</v>
      </c>
      <c r="J5346" s="1">
        <v>0.376987</v>
      </c>
    </row>
    <row r="5347">
      <c r="A5347" s="1">
        <v>2025.0</v>
      </c>
      <c r="B5347" s="1" t="s">
        <v>612</v>
      </c>
      <c r="C5347" s="1">
        <v>687287.0</v>
      </c>
      <c r="D5347" s="1" t="s">
        <v>541</v>
      </c>
      <c r="E5347" s="1" t="s">
        <v>926</v>
      </c>
      <c r="F5347" s="1" t="s">
        <v>927</v>
      </c>
      <c r="G5347" s="1">
        <v>9.0</v>
      </c>
      <c r="H5347" s="1">
        <v>0.379310345</v>
      </c>
      <c r="I5347" s="1">
        <v>5.19</v>
      </c>
      <c r="J5347" s="1">
        <v>0.169662</v>
      </c>
    </row>
    <row r="5348">
      <c r="A5348" s="1">
        <v>2025.0</v>
      </c>
      <c r="B5348" s="1" t="s">
        <v>612</v>
      </c>
      <c r="C5348" s="1">
        <v>687287.0</v>
      </c>
      <c r="D5348" s="1" t="s">
        <v>540</v>
      </c>
      <c r="E5348" s="1" t="s">
        <v>926</v>
      </c>
      <c r="F5348" s="1" t="s">
        <v>927</v>
      </c>
      <c r="G5348" s="1">
        <v>18.0</v>
      </c>
      <c r="H5348" s="1">
        <v>0.75862069</v>
      </c>
      <c r="I5348" s="1">
        <v>4.99</v>
      </c>
      <c r="J5348" s="1">
        <v>0.428098</v>
      </c>
    </row>
    <row r="5349">
      <c r="A5349" s="1">
        <v>2025.0</v>
      </c>
      <c r="B5349" s="1" t="s">
        <v>612</v>
      </c>
      <c r="C5349" s="1">
        <v>687287.0</v>
      </c>
      <c r="D5349" s="1" t="s">
        <v>537</v>
      </c>
      <c r="E5349" s="1" t="s">
        <v>926</v>
      </c>
      <c r="F5349" s="1" t="s">
        <v>927</v>
      </c>
      <c r="G5349" s="1">
        <v>6.0</v>
      </c>
      <c r="H5349" s="1">
        <v>0.252873563</v>
      </c>
      <c r="I5349" s="1">
        <v>4.39</v>
      </c>
      <c r="J5349" s="1">
        <v>0.2319</v>
      </c>
    </row>
    <row r="5350">
      <c r="A5350" s="1">
        <v>2025.0</v>
      </c>
      <c r="B5350" s="1" t="s">
        <v>612</v>
      </c>
      <c r="C5350" s="1">
        <v>687287.0</v>
      </c>
      <c r="D5350" s="1" t="s">
        <v>536</v>
      </c>
      <c r="E5350" s="1" t="s">
        <v>926</v>
      </c>
      <c r="F5350" s="1" t="s">
        <v>927</v>
      </c>
      <c r="G5350" s="1">
        <v>6.0</v>
      </c>
      <c r="H5350" s="1">
        <v>0.252873563</v>
      </c>
      <c r="I5350" s="1">
        <v>4.34</v>
      </c>
      <c r="J5350" s="1">
        <v>0.234781</v>
      </c>
    </row>
    <row r="5351">
      <c r="A5351" s="1">
        <v>2025.0</v>
      </c>
      <c r="B5351" s="1" t="s">
        <v>299</v>
      </c>
      <c r="C5351" s="1">
        <v>621112.0</v>
      </c>
      <c r="D5351" s="1" t="s">
        <v>532</v>
      </c>
      <c r="E5351" s="1" t="s">
        <v>927</v>
      </c>
      <c r="F5351" s="1" t="s">
        <v>926</v>
      </c>
      <c r="G5351" s="1">
        <v>50.0</v>
      </c>
      <c r="H5351" s="1">
        <v>2.927927928</v>
      </c>
      <c r="I5351" s="1">
        <v>5.18</v>
      </c>
      <c r="J5351" s="1">
        <v>0.941523</v>
      </c>
    </row>
    <row r="5352">
      <c r="A5352" s="1">
        <v>2025.0</v>
      </c>
      <c r="B5352" s="1" t="s">
        <v>299</v>
      </c>
      <c r="C5352" s="1">
        <v>621112.0</v>
      </c>
      <c r="D5352" s="1" t="s">
        <v>541</v>
      </c>
      <c r="E5352" s="1" t="s">
        <v>927</v>
      </c>
      <c r="F5352" s="1" t="s">
        <v>926</v>
      </c>
      <c r="G5352" s="1">
        <v>69.0</v>
      </c>
      <c r="H5352" s="1">
        <v>4.040540541</v>
      </c>
      <c r="I5352" s="1">
        <v>4.66</v>
      </c>
      <c r="J5352" s="1">
        <v>1.940138</v>
      </c>
    </row>
    <row r="5353">
      <c r="A5353" s="1">
        <v>2025.0</v>
      </c>
      <c r="B5353" s="1" t="s">
        <v>299</v>
      </c>
      <c r="C5353" s="1">
        <v>621112.0</v>
      </c>
      <c r="D5353" s="1" t="s">
        <v>540</v>
      </c>
      <c r="E5353" s="1" t="s">
        <v>927</v>
      </c>
      <c r="F5353" s="1" t="s">
        <v>926</v>
      </c>
      <c r="G5353" s="1">
        <v>108.0</v>
      </c>
      <c r="H5353" s="1">
        <v>6.324324324</v>
      </c>
      <c r="I5353" s="1">
        <v>5.2</v>
      </c>
      <c r="J5353" s="1">
        <v>1.995898</v>
      </c>
    </row>
    <row r="5354">
      <c r="A5354" s="1">
        <v>2025.0</v>
      </c>
      <c r="B5354" s="1" t="s">
        <v>299</v>
      </c>
      <c r="C5354" s="1">
        <v>621112.0</v>
      </c>
      <c r="D5354" s="1" t="s">
        <v>537</v>
      </c>
      <c r="E5354" s="1" t="s">
        <v>927</v>
      </c>
      <c r="F5354" s="1" t="s">
        <v>926</v>
      </c>
      <c r="G5354" s="1">
        <v>11.0</v>
      </c>
      <c r="H5354" s="1">
        <v>0.644144144</v>
      </c>
      <c r="I5354" s="1">
        <v>5.01</v>
      </c>
      <c r="J5354" s="1">
        <v>0.258596</v>
      </c>
    </row>
    <row r="5355">
      <c r="A5355" s="1">
        <v>2025.0</v>
      </c>
      <c r="B5355" s="1" t="s">
        <v>299</v>
      </c>
      <c r="C5355" s="1">
        <v>621112.0</v>
      </c>
      <c r="D5355" s="1" t="s">
        <v>536</v>
      </c>
      <c r="E5355" s="1" t="s">
        <v>927</v>
      </c>
      <c r="F5355" s="1" t="s">
        <v>926</v>
      </c>
      <c r="G5355" s="1">
        <v>50.0</v>
      </c>
      <c r="H5355" s="1">
        <v>2.927927928</v>
      </c>
      <c r="I5355" s="1">
        <v>4.6</v>
      </c>
      <c r="J5355" s="1">
        <v>1.497585</v>
      </c>
    </row>
    <row r="5356">
      <c r="A5356" s="1">
        <v>2025.0</v>
      </c>
      <c r="B5356" s="1" t="s">
        <v>299</v>
      </c>
      <c r="C5356" s="1">
        <v>621112.0</v>
      </c>
      <c r="D5356" s="1" t="s">
        <v>533</v>
      </c>
      <c r="E5356" s="1" t="s">
        <v>927</v>
      </c>
      <c r="F5356" s="1" t="s">
        <v>926</v>
      </c>
      <c r="G5356" s="1">
        <v>11.0</v>
      </c>
      <c r="H5356" s="1">
        <v>0.644144144</v>
      </c>
      <c r="I5356" s="1">
        <v>5.52</v>
      </c>
      <c r="J5356" s="1">
        <v>0.119758</v>
      </c>
    </row>
    <row r="5357">
      <c r="A5357" s="1">
        <v>2025.0</v>
      </c>
      <c r="B5357" s="1" t="s">
        <v>299</v>
      </c>
      <c r="C5357" s="1">
        <v>621112.0</v>
      </c>
      <c r="D5357" s="1" t="s">
        <v>539</v>
      </c>
      <c r="E5357" s="1" t="s">
        <v>927</v>
      </c>
      <c r="F5357" s="1" t="s">
        <v>926</v>
      </c>
      <c r="G5357" s="1">
        <v>5.0</v>
      </c>
      <c r="H5357" s="1">
        <v>0.292792793</v>
      </c>
      <c r="I5357" s="1">
        <v>3.69</v>
      </c>
      <c r="J5357" s="1">
        <v>0.2479</v>
      </c>
    </row>
    <row r="5358">
      <c r="A5358" s="1">
        <v>2025.0</v>
      </c>
      <c r="B5358" s="1" t="s">
        <v>299</v>
      </c>
      <c r="C5358" s="1">
        <v>621112.0</v>
      </c>
      <c r="D5358" s="1" t="s">
        <v>532</v>
      </c>
      <c r="E5358" s="1" t="s">
        <v>927</v>
      </c>
      <c r="F5358" s="1" t="s">
        <v>927</v>
      </c>
      <c r="G5358" s="1">
        <v>15.0</v>
      </c>
      <c r="H5358" s="1">
        <v>0.878378378</v>
      </c>
      <c r="I5358" s="1">
        <v>5.52</v>
      </c>
      <c r="J5358" s="1">
        <v>0.154407</v>
      </c>
    </row>
    <row r="5359">
      <c r="A5359" s="1">
        <v>2025.0</v>
      </c>
      <c r="B5359" s="1" t="s">
        <v>299</v>
      </c>
      <c r="C5359" s="1">
        <v>621112.0</v>
      </c>
      <c r="D5359" s="1" t="s">
        <v>541</v>
      </c>
      <c r="E5359" s="1" t="s">
        <v>927</v>
      </c>
      <c r="F5359" s="1" t="s">
        <v>927</v>
      </c>
      <c r="G5359" s="1">
        <v>15.0</v>
      </c>
      <c r="H5359" s="1">
        <v>0.878378378</v>
      </c>
      <c r="I5359" s="1">
        <v>4.56</v>
      </c>
      <c r="J5359" s="1">
        <v>0.472605</v>
      </c>
    </row>
    <row r="5360">
      <c r="A5360" s="1">
        <v>2025.0</v>
      </c>
      <c r="B5360" s="1" t="s">
        <v>299</v>
      </c>
      <c r="C5360" s="1">
        <v>621112.0</v>
      </c>
      <c r="D5360" s="1" t="s">
        <v>540</v>
      </c>
      <c r="E5360" s="1" t="s">
        <v>927</v>
      </c>
      <c r="F5360" s="1" t="s">
        <v>927</v>
      </c>
      <c r="G5360" s="1">
        <v>70.0</v>
      </c>
      <c r="H5360" s="1">
        <v>4.099099099</v>
      </c>
      <c r="I5360" s="1">
        <v>5.32</v>
      </c>
      <c r="J5360" s="1">
        <v>1.110369</v>
      </c>
    </row>
    <row r="5361">
      <c r="A5361" s="1">
        <v>2025.0</v>
      </c>
      <c r="B5361" s="1" t="s">
        <v>299</v>
      </c>
      <c r="C5361" s="1">
        <v>621112.0</v>
      </c>
      <c r="D5361" s="1" t="s">
        <v>537</v>
      </c>
      <c r="E5361" s="1" t="s">
        <v>927</v>
      </c>
      <c r="F5361" s="1" t="s">
        <v>927</v>
      </c>
      <c r="G5361" s="1">
        <v>18.0</v>
      </c>
      <c r="H5361" s="1">
        <v>1.054054054</v>
      </c>
      <c r="I5361" s="1">
        <v>4.76</v>
      </c>
      <c r="J5361" s="1">
        <v>0.50042</v>
      </c>
    </row>
    <row r="5362">
      <c r="A5362" s="1">
        <v>2025.0</v>
      </c>
      <c r="B5362" s="1" t="s">
        <v>299</v>
      </c>
      <c r="C5362" s="1">
        <v>621112.0</v>
      </c>
      <c r="D5362" s="1" t="s">
        <v>536</v>
      </c>
      <c r="E5362" s="1" t="s">
        <v>927</v>
      </c>
      <c r="F5362" s="1" t="s">
        <v>927</v>
      </c>
      <c r="G5362" s="1">
        <v>153.0</v>
      </c>
      <c r="H5362" s="1">
        <v>8.959459459</v>
      </c>
      <c r="I5362" s="1">
        <v>4.89</v>
      </c>
      <c r="J5362" s="1">
        <v>3.730683</v>
      </c>
    </row>
    <row r="5363">
      <c r="A5363" s="1">
        <v>2025.0</v>
      </c>
      <c r="B5363" s="1" t="s">
        <v>299</v>
      </c>
      <c r="C5363" s="1">
        <v>621112.0</v>
      </c>
      <c r="D5363" s="1" t="s">
        <v>533</v>
      </c>
      <c r="E5363" s="1" t="s">
        <v>927</v>
      </c>
      <c r="F5363" s="1" t="s">
        <v>927</v>
      </c>
      <c r="G5363" s="1">
        <v>42.0</v>
      </c>
      <c r="H5363" s="1">
        <v>2.459459459</v>
      </c>
      <c r="I5363" s="1">
        <v>5.5</v>
      </c>
      <c r="J5363" s="1">
        <v>0.46964</v>
      </c>
    </row>
    <row r="5364">
      <c r="A5364" s="1">
        <v>2025.0</v>
      </c>
      <c r="B5364" s="1" t="s">
        <v>299</v>
      </c>
      <c r="C5364" s="1">
        <v>621112.0</v>
      </c>
      <c r="D5364" s="1" t="s">
        <v>539</v>
      </c>
      <c r="E5364" s="1" t="s">
        <v>927</v>
      </c>
      <c r="F5364" s="1" t="s">
        <v>927</v>
      </c>
      <c r="G5364" s="1">
        <v>49.0</v>
      </c>
      <c r="H5364" s="1">
        <v>2.869369369</v>
      </c>
      <c r="I5364" s="1">
        <v>5.24</v>
      </c>
      <c r="J5364" s="1">
        <v>0.8292</v>
      </c>
    </row>
    <row r="5365">
      <c r="A5365" s="1">
        <v>2025.0</v>
      </c>
      <c r="B5365" s="1" t="s">
        <v>890</v>
      </c>
      <c r="C5365" s="1">
        <v>801434.0</v>
      </c>
      <c r="D5365" s="1" t="s">
        <v>540</v>
      </c>
      <c r="E5365" s="1" t="s">
        <v>927</v>
      </c>
      <c r="F5365" s="1" t="s">
        <v>926</v>
      </c>
      <c r="G5365" s="1">
        <v>14.0</v>
      </c>
      <c r="H5365" s="1">
        <v>0.857843137</v>
      </c>
      <c r="I5365" s="1">
        <v>4.13</v>
      </c>
      <c r="J5365" s="1">
        <v>0.538971</v>
      </c>
    </row>
    <row r="5366">
      <c r="A5366" s="1">
        <v>2025.0</v>
      </c>
      <c r="B5366" s="1" t="s">
        <v>890</v>
      </c>
      <c r="C5366" s="1">
        <v>801434.0</v>
      </c>
      <c r="D5366" s="1" t="s">
        <v>537</v>
      </c>
      <c r="E5366" s="1" t="s">
        <v>927</v>
      </c>
      <c r="F5366" s="1" t="s">
        <v>926</v>
      </c>
      <c r="G5366" s="1">
        <v>45.0</v>
      </c>
      <c r="H5366" s="1">
        <v>2.757352941</v>
      </c>
      <c r="I5366" s="1">
        <v>4.69</v>
      </c>
      <c r="J5366" s="1">
        <v>1.232904</v>
      </c>
    </row>
    <row r="5367">
      <c r="A5367" s="1">
        <v>2025.0</v>
      </c>
      <c r="B5367" s="1" t="s">
        <v>890</v>
      </c>
      <c r="C5367" s="1">
        <v>801434.0</v>
      </c>
      <c r="D5367" s="1" t="s">
        <v>533</v>
      </c>
      <c r="E5367" s="1" t="s">
        <v>927</v>
      </c>
      <c r="F5367" s="1" t="s">
        <v>926</v>
      </c>
      <c r="G5367" s="1">
        <v>8.0</v>
      </c>
      <c r="H5367" s="1">
        <v>0.490196078</v>
      </c>
      <c r="I5367" s="1">
        <v>5.13</v>
      </c>
      <c r="J5367" s="1">
        <v>0.153928</v>
      </c>
    </row>
    <row r="5368">
      <c r="A5368" s="1">
        <v>2025.0</v>
      </c>
      <c r="B5368" s="1" t="s">
        <v>890</v>
      </c>
      <c r="C5368" s="1">
        <v>801434.0</v>
      </c>
      <c r="D5368" s="1" t="s">
        <v>540</v>
      </c>
      <c r="E5368" s="1" t="s">
        <v>927</v>
      </c>
      <c r="F5368" s="1" t="s">
        <v>927</v>
      </c>
      <c r="G5368" s="1">
        <v>2.0</v>
      </c>
      <c r="H5368" s="1">
        <v>0.12254902</v>
      </c>
      <c r="I5368" s="1">
        <v>3.37</v>
      </c>
      <c r="J5368" s="1">
        <v>0.110548</v>
      </c>
    </row>
    <row r="5369">
      <c r="A5369" s="1">
        <v>2025.0</v>
      </c>
      <c r="B5369" s="1" t="s">
        <v>890</v>
      </c>
      <c r="C5369" s="1">
        <v>801434.0</v>
      </c>
      <c r="D5369" s="1" t="s">
        <v>537</v>
      </c>
      <c r="E5369" s="1" t="s">
        <v>927</v>
      </c>
      <c r="F5369" s="1" t="s">
        <v>927</v>
      </c>
      <c r="G5369" s="1">
        <v>35.0</v>
      </c>
      <c r="H5369" s="1">
        <v>2.144607843</v>
      </c>
      <c r="I5369" s="1">
        <v>4.46</v>
      </c>
      <c r="J5369" s="1">
        <v>1.146485</v>
      </c>
    </row>
    <row r="5370">
      <c r="A5370" s="1">
        <v>2025.0</v>
      </c>
      <c r="B5370" s="1" t="s">
        <v>890</v>
      </c>
      <c r="C5370" s="1">
        <v>801434.0</v>
      </c>
      <c r="D5370" s="1" t="s">
        <v>533</v>
      </c>
      <c r="E5370" s="1" t="s">
        <v>927</v>
      </c>
      <c r="F5370" s="1" t="s">
        <v>927</v>
      </c>
      <c r="G5370" s="1">
        <v>32.0</v>
      </c>
      <c r="H5370" s="1">
        <v>1.960784314</v>
      </c>
      <c r="I5370" s="1">
        <v>4.81</v>
      </c>
      <c r="J5370" s="1">
        <v>0.817239</v>
      </c>
    </row>
    <row r="5371">
      <c r="A5371" s="1">
        <v>2025.0</v>
      </c>
      <c r="B5371" s="1" t="s">
        <v>648</v>
      </c>
      <c r="C5371" s="1">
        <v>623149.0</v>
      </c>
      <c r="D5371" s="1" t="s">
        <v>537</v>
      </c>
      <c r="E5371" s="1" t="s">
        <v>927</v>
      </c>
      <c r="F5371" s="1" t="s">
        <v>926</v>
      </c>
      <c r="G5371" s="1">
        <v>108.0</v>
      </c>
      <c r="H5371" s="1">
        <v>6.700315457</v>
      </c>
      <c r="I5371" s="1">
        <v>5.03</v>
      </c>
      <c r="J5371" s="1">
        <v>2.359851</v>
      </c>
    </row>
    <row r="5372">
      <c r="A5372" s="1">
        <v>2025.0</v>
      </c>
      <c r="B5372" s="1" t="s">
        <v>648</v>
      </c>
      <c r="C5372" s="1">
        <v>623149.0</v>
      </c>
      <c r="D5372" s="1" t="s">
        <v>539</v>
      </c>
      <c r="E5372" s="1" t="s">
        <v>927</v>
      </c>
      <c r="F5372" s="1" t="s">
        <v>926</v>
      </c>
      <c r="G5372" s="1">
        <v>64.0</v>
      </c>
      <c r="H5372" s="1">
        <v>3.970557308</v>
      </c>
      <c r="I5372" s="1">
        <v>5.01</v>
      </c>
      <c r="J5372" s="1">
        <v>1.400366</v>
      </c>
    </row>
    <row r="5373">
      <c r="A5373" s="1">
        <v>2025.0</v>
      </c>
      <c r="B5373" s="1" t="s">
        <v>648</v>
      </c>
      <c r="C5373" s="1">
        <v>623149.0</v>
      </c>
      <c r="D5373" s="1" t="s">
        <v>537</v>
      </c>
      <c r="E5373" s="1" t="s">
        <v>927</v>
      </c>
      <c r="F5373" s="1" t="s">
        <v>927</v>
      </c>
      <c r="G5373" s="1">
        <v>78.0</v>
      </c>
      <c r="H5373" s="1">
        <v>4.839116719</v>
      </c>
      <c r="I5373" s="1">
        <v>5.54</v>
      </c>
      <c r="J5373" s="1">
        <v>0.911632</v>
      </c>
    </row>
    <row r="5374">
      <c r="A5374" s="1">
        <v>2025.0</v>
      </c>
      <c r="B5374" s="1" t="s">
        <v>648</v>
      </c>
      <c r="C5374" s="1">
        <v>623149.0</v>
      </c>
      <c r="D5374" s="1" t="s">
        <v>539</v>
      </c>
      <c r="E5374" s="1" t="s">
        <v>927</v>
      </c>
      <c r="F5374" s="1" t="s">
        <v>927</v>
      </c>
      <c r="G5374" s="1">
        <v>67.0</v>
      </c>
      <c r="H5374" s="1">
        <v>4.156677182</v>
      </c>
      <c r="I5374" s="1">
        <v>5.64</v>
      </c>
      <c r="J5374" s="1">
        <v>0.605914</v>
      </c>
    </row>
    <row r="5375">
      <c r="A5375" s="1">
        <v>2025.0</v>
      </c>
      <c r="B5375" s="1" t="s">
        <v>88</v>
      </c>
      <c r="C5375" s="1">
        <v>694973.0</v>
      </c>
      <c r="D5375" s="1" t="s">
        <v>532</v>
      </c>
      <c r="E5375" s="1" t="s">
        <v>927</v>
      </c>
      <c r="F5375" s="1" t="s">
        <v>926</v>
      </c>
      <c r="G5375" s="1">
        <v>246.0</v>
      </c>
      <c r="H5375" s="1">
        <v>15.40407074</v>
      </c>
      <c r="I5375" s="1">
        <v>4.88</v>
      </c>
      <c r="J5375" s="1">
        <v>5.579331</v>
      </c>
    </row>
    <row r="5376">
      <c r="A5376" s="1">
        <v>2025.0</v>
      </c>
      <c r="B5376" s="1" t="s">
        <v>88</v>
      </c>
      <c r="C5376" s="1">
        <v>694973.0</v>
      </c>
      <c r="D5376" s="1" t="s">
        <v>541</v>
      </c>
      <c r="E5376" s="1" t="s">
        <v>927</v>
      </c>
      <c r="F5376" s="1" t="s">
        <v>926</v>
      </c>
      <c r="G5376" s="1">
        <v>122.0</v>
      </c>
      <c r="H5376" s="1">
        <v>7.639417195</v>
      </c>
      <c r="I5376" s="1">
        <v>5.15</v>
      </c>
      <c r="J5376" s="1">
        <v>2.244549</v>
      </c>
    </row>
    <row r="5377">
      <c r="A5377" s="1">
        <v>2025.0</v>
      </c>
      <c r="B5377" s="1" t="s">
        <v>88</v>
      </c>
      <c r="C5377" s="1">
        <v>694973.0</v>
      </c>
      <c r="D5377" s="1" t="s">
        <v>537</v>
      </c>
      <c r="E5377" s="1" t="s">
        <v>927</v>
      </c>
      <c r="F5377" s="1" t="s">
        <v>926</v>
      </c>
      <c r="G5377" s="1">
        <v>735.0</v>
      </c>
      <c r="H5377" s="1">
        <v>46.02435769</v>
      </c>
      <c r="I5377" s="1">
        <v>5.04</v>
      </c>
      <c r="J5377" s="1">
        <v>15.439189</v>
      </c>
    </row>
    <row r="5378">
      <c r="A5378" s="1">
        <v>2025.0</v>
      </c>
      <c r="B5378" s="1" t="s">
        <v>88</v>
      </c>
      <c r="C5378" s="1">
        <v>694973.0</v>
      </c>
      <c r="D5378" s="1" t="s">
        <v>538</v>
      </c>
      <c r="E5378" s="1" t="s">
        <v>927</v>
      </c>
      <c r="F5378" s="1" t="s">
        <v>926</v>
      </c>
      <c r="G5378" s="1">
        <v>254.0</v>
      </c>
      <c r="H5378" s="1">
        <v>15.90501613</v>
      </c>
      <c r="I5378" s="1">
        <v>5.44</v>
      </c>
      <c r="J5378" s="1">
        <v>3.252065</v>
      </c>
    </row>
    <row r="5379">
      <c r="A5379" s="1">
        <v>2025.0</v>
      </c>
      <c r="B5379" s="1" t="s">
        <v>88</v>
      </c>
      <c r="C5379" s="1">
        <v>694973.0</v>
      </c>
      <c r="D5379" s="1" t="s">
        <v>536</v>
      </c>
      <c r="E5379" s="1" t="s">
        <v>927</v>
      </c>
      <c r="F5379" s="1" t="s">
        <v>926</v>
      </c>
      <c r="G5379" s="1">
        <v>53.0</v>
      </c>
      <c r="H5379" s="1">
        <v>3.318763208</v>
      </c>
      <c r="I5379" s="1">
        <v>4.39</v>
      </c>
      <c r="J5379" s="1">
        <v>1.756741</v>
      </c>
    </row>
    <row r="5380">
      <c r="A5380" s="1">
        <v>2025.0</v>
      </c>
      <c r="B5380" s="1" t="s">
        <v>88</v>
      </c>
      <c r="C5380" s="1">
        <v>694973.0</v>
      </c>
      <c r="D5380" s="1" t="s">
        <v>533</v>
      </c>
      <c r="E5380" s="1" t="s">
        <v>927</v>
      </c>
      <c r="F5380" s="1" t="s">
        <v>926</v>
      </c>
      <c r="G5380" s="1">
        <v>70.0</v>
      </c>
      <c r="H5380" s="1">
        <v>4.383272161</v>
      </c>
      <c r="I5380" s="1">
        <v>4.91</v>
      </c>
      <c r="J5380" s="1">
        <v>1.662856</v>
      </c>
    </row>
    <row r="5381">
      <c r="A5381" s="1">
        <v>2025.0</v>
      </c>
      <c r="B5381" s="1" t="s">
        <v>88</v>
      </c>
      <c r="C5381" s="1">
        <v>694973.0</v>
      </c>
      <c r="D5381" s="1" t="s">
        <v>539</v>
      </c>
      <c r="E5381" s="1" t="s">
        <v>927</v>
      </c>
      <c r="F5381" s="1" t="s">
        <v>926</v>
      </c>
      <c r="G5381" s="1">
        <v>136.0</v>
      </c>
      <c r="H5381" s="1">
        <v>8.516071627</v>
      </c>
      <c r="I5381" s="1">
        <v>4.99</v>
      </c>
      <c r="J5381" s="1">
        <v>2.947831</v>
      </c>
    </row>
    <row r="5382">
      <c r="A5382" s="1">
        <v>2025.0</v>
      </c>
      <c r="B5382" s="1" t="s">
        <v>88</v>
      </c>
      <c r="C5382" s="1">
        <v>694973.0</v>
      </c>
      <c r="D5382" s="1" t="s">
        <v>532</v>
      </c>
      <c r="E5382" s="1" t="s">
        <v>927</v>
      </c>
      <c r="F5382" s="1" t="s">
        <v>927</v>
      </c>
      <c r="G5382" s="1">
        <v>80.0</v>
      </c>
      <c r="H5382" s="1">
        <v>5.009453898</v>
      </c>
      <c r="I5382" s="1">
        <v>5.23</v>
      </c>
      <c r="J5382" s="1">
        <v>1.196214</v>
      </c>
    </row>
    <row r="5383">
      <c r="A5383" s="1">
        <v>2025.0</v>
      </c>
      <c r="B5383" s="1" t="s">
        <v>88</v>
      </c>
      <c r="C5383" s="1">
        <v>694973.0</v>
      </c>
      <c r="D5383" s="1" t="s">
        <v>541</v>
      </c>
      <c r="E5383" s="1" t="s">
        <v>927</v>
      </c>
      <c r="F5383" s="1" t="s">
        <v>927</v>
      </c>
      <c r="G5383" s="1">
        <v>18.0</v>
      </c>
      <c r="H5383" s="1">
        <v>1.127127127</v>
      </c>
      <c r="I5383" s="1">
        <v>4.69</v>
      </c>
      <c r="J5383" s="1">
        <v>0.503709</v>
      </c>
    </row>
    <row r="5384">
      <c r="A5384" s="1">
        <v>2025.0</v>
      </c>
      <c r="B5384" s="1" t="s">
        <v>88</v>
      </c>
      <c r="C5384" s="1">
        <v>694973.0</v>
      </c>
      <c r="D5384" s="1" t="s">
        <v>537</v>
      </c>
      <c r="E5384" s="1" t="s">
        <v>927</v>
      </c>
      <c r="F5384" s="1" t="s">
        <v>927</v>
      </c>
      <c r="G5384" s="1">
        <v>453.0</v>
      </c>
      <c r="H5384" s="1">
        <v>28.3660327</v>
      </c>
      <c r="I5384" s="1">
        <v>5.26</v>
      </c>
      <c r="J5384" s="1">
        <v>7.154284</v>
      </c>
    </row>
    <row r="5385">
      <c r="A5385" s="1">
        <v>2025.0</v>
      </c>
      <c r="B5385" s="1" t="s">
        <v>88</v>
      </c>
      <c r="C5385" s="1">
        <v>694973.0</v>
      </c>
      <c r="D5385" s="1" t="s">
        <v>538</v>
      </c>
      <c r="E5385" s="1" t="s">
        <v>927</v>
      </c>
      <c r="F5385" s="1" t="s">
        <v>927</v>
      </c>
      <c r="G5385" s="1">
        <v>115.0</v>
      </c>
      <c r="H5385" s="1">
        <v>7.201089979</v>
      </c>
      <c r="I5385" s="1">
        <v>5.85</v>
      </c>
      <c r="J5385" s="1">
        <v>0.560473</v>
      </c>
    </row>
    <row r="5386">
      <c r="A5386" s="1">
        <v>2025.0</v>
      </c>
      <c r="B5386" s="1" t="s">
        <v>88</v>
      </c>
      <c r="C5386" s="1">
        <v>694973.0</v>
      </c>
      <c r="D5386" s="1" t="s">
        <v>536</v>
      </c>
      <c r="E5386" s="1" t="s">
        <v>927</v>
      </c>
      <c r="F5386" s="1" t="s">
        <v>927</v>
      </c>
      <c r="G5386" s="1">
        <v>274.0</v>
      </c>
      <c r="H5386" s="1">
        <v>17.1573796</v>
      </c>
      <c r="I5386" s="1">
        <v>5.29</v>
      </c>
      <c r="J5386" s="1">
        <v>4.303103</v>
      </c>
    </row>
    <row r="5387">
      <c r="A5387" s="1">
        <v>2025.0</v>
      </c>
      <c r="B5387" s="1" t="s">
        <v>88</v>
      </c>
      <c r="C5387" s="1">
        <v>694973.0</v>
      </c>
      <c r="D5387" s="1" t="s">
        <v>533</v>
      </c>
      <c r="E5387" s="1" t="s">
        <v>927</v>
      </c>
      <c r="F5387" s="1" t="s">
        <v>927</v>
      </c>
      <c r="G5387" s="1">
        <v>102.0</v>
      </c>
      <c r="H5387" s="1">
        <v>6.38705372</v>
      </c>
      <c r="I5387" s="1">
        <v>4.94</v>
      </c>
      <c r="J5387" s="1">
        <v>2.364165</v>
      </c>
    </row>
    <row r="5388">
      <c r="A5388" s="1">
        <v>2025.0</v>
      </c>
      <c r="B5388" s="1" t="s">
        <v>88</v>
      </c>
      <c r="C5388" s="1">
        <v>694973.0</v>
      </c>
      <c r="D5388" s="1" t="s">
        <v>539</v>
      </c>
      <c r="E5388" s="1" t="s">
        <v>927</v>
      </c>
      <c r="F5388" s="1" t="s">
        <v>927</v>
      </c>
      <c r="G5388" s="1">
        <v>339.0</v>
      </c>
      <c r="H5388" s="1">
        <v>21.22756089</v>
      </c>
      <c r="I5388" s="1">
        <v>5.52</v>
      </c>
      <c r="J5388" s="1">
        <v>3.730714</v>
      </c>
    </row>
    <row r="5389">
      <c r="A5389" s="1">
        <v>2025.0</v>
      </c>
      <c r="B5389" s="1" t="s">
        <v>568</v>
      </c>
      <c r="C5389" s="1">
        <v>687606.0</v>
      </c>
      <c r="D5389" s="1" t="s">
        <v>532</v>
      </c>
      <c r="E5389" s="1" t="s">
        <v>927</v>
      </c>
      <c r="F5389" s="1" t="s">
        <v>926</v>
      </c>
      <c r="G5389" s="1">
        <v>64.0</v>
      </c>
      <c r="H5389" s="1">
        <v>3.523809524</v>
      </c>
      <c r="I5389" s="1">
        <v>4.72</v>
      </c>
      <c r="J5389" s="1">
        <v>1.755232</v>
      </c>
    </row>
    <row r="5390">
      <c r="A5390" s="1">
        <v>2025.0</v>
      </c>
      <c r="B5390" s="1" t="s">
        <v>568</v>
      </c>
      <c r="C5390" s="1">
        <v>687606.0</v>
      </c>
      <c r="D5390" s="1" t="s">
        <v>540</v>
      </c>
      <c r="E5390" s="1" t="s">
        <v>927</v>
      </c>
      <c r="F5390" s="1" t="s">
        <v>926</v>
      </c>
      <c r="G5390" s="1">
        <v>77.0</v>
      </c>
      <c r="H5390" s="1">
        <v>4.239583333</v>
      </c>
      <c r="I5390" s="1">
        <v>4.55</v>
      </c>
      <c r="J5390" s="1">
        <v>2.395119</v>
      </c>
    </row>
    <row r="5391">
      <c r="A5391" s="1">
        <v>2025.0</v>
      </c>
      <c r="B5391" s="1" t="s">
        <v>568</v>
      </c>
      <c r="C5391" s="1">
        <v>687606.0</v>
      </c>
      <c r="D5391" s="1" t="s">
        <v>537</v>
      </c>
      <c r="E5391" s="1" t="s">
        <v>927</v>
      </c>
      <c r="F5391" s="1" t="s">
        <v>926</v>
      </c>
      <c r="G5391" s="1">
        <v>95.0</v>
      </c>
      <c r="H5391" s="1">
        <v>5.230654762</v>
      </c>
      <c r="I5391" s="1">
        <v>4.91</v>
      </c>
      <c r="J5391" s="1">
        <v>2.302652</v>
      </c>
    </row>
    <row r="5392">
      <c r="A5392" s="1">
        <v>2025.0</v>
      </c>
      <c r="B5392" s="1" t="s">
        <v>568</v>
      </c>
      <c r="C5392" s="1">
        <v>687606.0</v>
      </c>
      <c r="D5392" s="1" t="s">
        <v>536</v>
      </c>
      <c r="E5392" s="1" t="s">
        <v>927</v>
      </c>
      <c r="F5392" s="1" t="s">
        <v>926</v>
      </c>
      <c r="G5392" s="1">
        <v>2.0</v>
      </c>
      <c r="H5392" s="1">
        <v>0.110119048</v>
      </c>
      <c r="I5392" s="1">
        <v>5.75</v>
      </c>
      <c r="J5392" s="1">
        <v>0.016657</v>
      </c>
    </row>
    <row r="5393">
      <c r="A5393" s="1">
        <v>2025.0</v>
      </c>
      <c r="B5393" s="1" t="s">
        <v>568</v>
      </c>
      <c r="C5393" s="1">
        <v>687606.0</v>
      </c>
      <c r="D5393" s="1" t="s">
        <v>533</v>
      </c>
      <c r="E5393" s="1" t="s">
        <v>927</v>
      </c>
      <c r="F5393" s="1" t="s">
        <v>926</v>
      </c>
      <c r="G5393" s="1">
        <v>18.0</v>
      </c>
      <c r="H5393" s="1">
        <v>0.991071429</v>
      </c>
      <c r="I5393" s="1">
        <v>4.1</v>
      </c>
      <c r="J5393" s="1">
        <v>0.722433</v>
      </c>
    </row>
    <row r="5394">
      <c r="A5394" s="1">
        <v>2025.0</v>
      </c>
      <c r="B5394" s="1" t="s">
        <v>568</v>
      </c>
      <c r="C5394" s="1">
        <v>687606.0</v>
      </c>
      <c r="D5394" s="1" t="s">
        <v>532</v>
      </c>
      <c r="E5394" s="1" t="s">
        <v>927</v>
      </c>
      <c r="F5394" s="1" t="s">
        <v>927</v>
      </c>
      <c r="G5394" s="1">
        <v>23.0</v>
      </c>
      <c r="H5394" s="1">
        <v>1.266369048</v>
      </c>
      <c r="I5394" s="1">
        <v>4.93</v>
      </c>
      <c r="J5394" s="1">
        <v>0.506279</v>
      </c>
    </row>
    <row r="5395">
      <c r="A5395" s="1">
        <v>2025.0</v>
      </c>
      <c r="B5395" s="1" t="s">
        <v>568</v>
      </c>
      <c r="C5395" s="1">
        <v>687606.0</v>
      </c>
      <c r="D5395" s="1" t="s">
        <v>540</v>
      </c>
      <c r="E5395" s="1" t="s">
        <v>927</v>
      </c>
      <c r="F5395" s="1" t="s">
        <v>927</v>
      </c>
      <c r="G5395" s="1">
        <v>52.0</v>
      </c>
      <c r="H5395" s="1">
        <v>2.863095238</v>
      </c>
      <c r="I5395" s="1">
        <v>4.92</v>
      </c>
      <c r="J5395" s="1">
        <v>1.253336</v>
      </c>
    </row>
    <row r="5396">
      <c r="A5396" s="1">
        <v>2025.0</v>
      </c>
      <c r="B5396" s="1" t="s">
        <v>568</v>
      </c>
      <c r="C5396" s="1">
        <v>687606.0</v>
      </c>
      <c r="D5396" s="1" t="s">
        <v>537</v>
      </c>
      <c r="E5396" s="1" t="s">
        <v>927</v>
      </c>
      <c r="F5396" s="1" t="s">
        <v>927</v>
      </c>
      <c r="G5396" s="1">
        <v>69.0</v>
      </c>
      <c r="H5396" s="1">
        <v>3.799107143</v>
      </c>
      <c r="I5396" s="1">
        <v>5.01</v>
      </c>
      <c r="J5396" s="1">
        <v>1.48926</v>
      </c>
    </row>
    <row r="5397">
      <c r="A5397" s="1">
        <v>2025.0</v>
      </c>
      <c r="B5397" s="1" t="s">
        <v>568</v>
      </c>
      <c r="C5397" s="1">
        <v>687606.0</v>
      </c>
      <c r="D5397" s="1" t="s">
        <v>533</v>
      </c>
      <c r="E5397" s="1" t="s">
        <v>927</v>
      </c>
      <c r="F5397" s="1" t="s">
        <v>927</v>
      </c>
      <c r="G5397" s="1">
        <v>48.0</v>
      </c>
      <c r="H5397" s="1">
        <v>2.642857143</v>
      </c>
      <c r="I5397" s="1">
        <v>5.38</v>
      </c>
      <c r="J5397" s="1">
        <v>0.704998</v>
      </c>
    </row>
    <row r="5398">
      <c r="A5398" s="1">
        <v>2025.0</v>
      </c>
      <c r="B5398" s="1" t="s">
        <v>609</v>
      </c>
      <c r="C5398" s="1">
        <v>801139.0</v>
      </c>
      <c r="D5398" s="1" t="s">
        <v>541</v>
      </c>
      <c r="E5398" s="1" t="s">
        <v>926</v>
      </c>
      <c r="F5398" s="1" t="s">
        <v>926</v>
      </c>
      <c r="G5398" s="1">
        <v>2.0</v>
      </c>
      <c r="H5398" s="1">
        <v>0.10745614</v>
      </c>
      <c r="I5398" s="1">
        <v>3.87</v>
      </c>
      <c r="J5398" s="1">
        <v>0.088129</v>
      </c>
    </row>
    <row r="5399">
      <c r="A5399" s="1">
        <v>2025.0</v>
      </c>
      <c r="B5399" s="1" t="s">
        <v>609</v>
      </c>
      <c r="C5399" s="1">
        <v>801139.0</v>
      </c>
      <c r="D5399" s="1" t="s">
        <v>540</v>
      </c>
      <c r="E5399" s="1" t="s">
        <v>926</v>
      </c>
      <c r="F5399" s="1" t="s">
        <v>926</v>
      </c>
      <c r="G5399" s="1">
        <v>15.0</v>
      </c>
      <c r="H5399" s="1">
        <v>0.805921053</v>
      </c>
      <c r="I5399" s="1">
        <v>4.82</v>
      </c>
      <c r="J5399" s="1">
        <v>0.38137</v>
      </c>
    </row>
    <row r="5400">
      <c r="A5400" s="1">
        <v>2025.0</v>
      </c>
      <c r="B5400" s="1" t="s">
        <v>609</v>
      </c>
      <c r="C5400" s="1">
        <v>801139.0</v>
      </c>
      <c r="D5400" s="1" t="s">
        <v>537</v>
      </c>
      <c r="E5400" s="1" t="s">
        <v>926</v>
      </c>
      <c r="F5400" s="1" t="s">
        <v>926</v>
      </c>
      <c r="G5400" s="1">
        <v>38.0</v>
      </c>
      <c r="H5400" s="1">
        <v>2.041666667</v>
      </c>
      <c r="I5400" s="1">
        <v>5.0</v>
      </c>
      <c r="J5400" s="1">
        <v>0.815937</v>
      </c>
    </row>
    <row r="5401">
      <c r="A5401" s="1">
        <v>2025.0</v>
      </c>
      <c r="B5401" s="1" t="s">
        <v>609</v>
      </c>
      <c r="C5401" s="1">
        <v>801139.0</v>
      </c>
      <c r="D5401" s="1" t="s">
        <v>533</v>
      </c>
      <c r="E5401" s="1" t="s">
        <v>926</v>
      </c>
      <c r="F5401" s="1" t="s">
        <v>926</v>
      </c>
      <c r="G5401" s="1">
        <v>5.0</v>
      </c>
      <c r="H5401" s="1">
        <v>0.268640351</v>
      </c>
      <c r="I5401" s="1">
        <v>4.58</v>
      </c>
      <c r="J5401" s="1">
        <v>0.15481</v>
      </c>
    </row>
    <row r="5402">
      <c r="A5402" s="1">
        <v>2025.0</v>
      </c>
      <c r="B5402" s="1" t="s">
        <v>609</v>
      </c>
      <c r="C5402" s="1">
        <v>801139.0</v>
      </c>
      <c r="D5402" s="1" t="s">
        <v>532</v>
      </c>
      <c r="E5402" s="1" t="s">
        <v>926</v>
      </c>
      <c r="F5402" s="1" t="s">
        <v>927</v>
      </c>
      <c r="G5402" s="1">
        <v>20.0</v>
      </c>
      <c r="H5402" s="1">
        <v>1.074561404</v>
      </c>
      <c r="I5402" s="1">
        <v>4.18</v>
      </c>
      <c r="J5402" s="1">
        <v>0.802872</v>
      </c>
    </row>
    <row r="5403">
      <c r="A5403" s="1">
        <v>2025.0</v>
      </c>
      <c r="B5403" s="1" t="s">
        <v>609</v>
      </c>
      <c r="C5403" s="1">
        <v>801139.0</v>
      </c>
      <c r="D5403" s="1" t="s">
        <v>541</v>
      </c>
      <c r="E5403" s="1" t="s">
        <v>926</v>
      </c>
      <c r="F5403" s="1" t="s">
        <v>927</v>
      </c>
      <c r="G5403" s="1">
        <v>16.0</v>
      </c>
      <c r="H5403" s="1">
        <v>0.859649123</v>
      </c>
      <c r="I5403" s="1">
        <v>4.26</v>
      </c>
      <c r="J5403" s="1">
        <v>0.66346</v>
      </c>
    </row>
    <row r="5404">
      <c r="A5404" s="1">
        <v>2025.0</v>
      </c>
      <c r="B5404" s="1" t="s">
        <v>609</v>
      </c>
      <c r="C5404" s="1">
        <v>801139.0</v>
      </c>
      <c r="D5404" s="1" t="s">
        <v>540</v>
      </c>
      <c r="E5404" s="1" t="s">
        <v>926</v>
      </c>
      <c r="F5404" s="1" t="s">
        <v>927</v>
      </c>
      <c r="G5404" s="1">
        <v>45.0</v>
      </c>
      <c r="H5404" s="1">
        <v>2.417763158</v>
      </c>
      <c r="I5404" s="1">
        <v>4.9</v>
      </c>
      <c r="J5404" s="1">
        <v>1.230884</v>
      </c>
    </row>
    <row r="5405">
      <c r="A5405" s="1">
        <v>2025.0</v>
      </c>
      <c r="B5405" s="1" t="s">
        <v>609</v>
      </c>
      <c r="C5405" s="1">
        <v>801139.0</v>
      </c>
      <c r="D5405" s="1" t="s">
        <v>537</v>
      </c>
      <c r="E5405" s="1" t="s">
        <v>926</v>
      </c>
      <c r="F5405" s="1" t="s">
        <v>927</v>
      </c>
      <c r="G5405" s="1">
        <v>157.0</v>
      </c>
      <c r="H5405" s="1">
        <v>8.435307018</v>
      </c>
      <c r="I5405" s="1">
        <v>5.37</v>
      </c>
      <c r="J5405" s="1">
        <v>2.465908</v>
      </c>
    </row>
    <row r="5406">
      <c r="A5406" s="1">
        <v>2025.0</v>
      </c>
      <c r="B5406" s="1" t="s">
        <v>609</v>
      </c>
      <c r="C5406" s="1">
        <v>801139.0</v>
      </c>
      <c r="D5406" s="1" t="s">
        <v>536</v>
      </c>
      <c r="E5406" s="1" t="s">
        <v>926</v>
      </c>
      <c r="F5406" s="1" t="s">
        <v>927</v>
      </c>
      <c r="G5406" s="1">
        <v>1.0</v>
      </c>
      <c r="H5406" s="1">
        <v>0.05372807</v>
      </c>
      <c r="I5406" s="1">
        <v>5.63</v>
      </c>
      <c r="J5406" s="1">
        <v>0.013594</v>
      </c>
    </row>
    <row r="5407">
      <c r="A5407" s="1">
        <v>2025.0</v>
      </c>
      <c r="B5407" s="1" t="s">
        <v>609</v>
      </c>
      <c r="C5407" s="1">
        <v>801139.0</v>
      </c>
      <c r="D5407" s="1" t="s">
        <v>533</v>
      </c>
      <c r="E5407" s="1" t="s">
        <v>926</v>
      </c>
      <c r="F5407" s="1" t="s">
        <v>927</v>
      </c>
      <c r="G5407" s="1">
        <v>5.0</v>
      </c>
      <c r="H5407" s="1">
        <v>0.268640351</v>
      </c>
      <c r="I5407" s="1">
        <v>5.51</v>
      </c>
      <c r="J5407" s="1">
        <v>0.061232</v>
      </c>
    </row>
    <row r="5408">
      <c r="A5408" s="1">
        <v>2025.0</v>
      </c>
      <c r="B5408" s="1" t="s">
        <v>658</v>
      </c>
      <c r="C5408" s="1">
        <v>682171.0</v>
      </c>
      <c r="D5408" s="1" t="s">
        <v>532</v>
      </c>
      <c r="E5408" s="1" t="s">
        <v>927</v>
      </c>
      <c r="F5408" s="1" t="s">
        <v>926</v>
      </c>
      <c r="G5408" s="1">
        <v>2.0</v>
      </c>
      <c r="H5408" s="1">
        <v>0.109195402</v>
      </c>
      <c r="I5408" s="1">
        <v>3.43</v>
      </c>
      <c r="J5408" s="1">
        <v>0.107725</v>
      </c>
    </row>
    <row r="5409">
      <c r="A5409" s="1">
        <v>2025.0</v>
      </c>
      <c r="B5409" s="1" t="s">
        <v>658</v>
      </c>
      <c r="C5409" s="1">
        <v>682171.0</v>
      </c>
      <c r="D5409" s="1" t="s">
        <v>537</v>
      </c>
      <c r="E5409" s="1" t="s">
        <v>927</v>
      </c>
      <c r="F5409" s="1" t="s">
        <v>926</v>
      </c>
      <c r="G5409" s="1">
        <v>36.0</v>
      </c>
      <c r="H5409" s="1">
        <v>1.965517241</v>
      </c>
      <c r="I5409" s="1">
        <v>5.11</v>
      </c>
      <c r="J5409" s="1">
        <v>0.733384</v>
      </c>
    </row>
    <row r="5410">
      <c r="A5410" s="1">
        <v>2025.0</v>
      </c>
      <c r="B5410" s="1" t="s">
        <v>658</v>
      </c>
      <c r="C5410" s="1">
        <v>682171.0</v>
      </c>
      <c r="D5410" s="1" t="s">
        <v>536</v>
      </c>
      <c r="E5410" s="1" t="s">
        <v>927</v>
      </c>
      <c r="F5410" s="1" t="s">
        <v>926</v>
      </c>
      <c r="G5410" s="1">
        <v>1.0</v>
      </c>
      <c r="H5410" s="1">
        <v>0.054597701</v>
      </c>
      <c r="I5410" s="1">
        <v>-2.68</v>
      </c>
      <c r="J5410" s="1">
        <v>0.174274</v>
      </c>
    </row>
    <row r="5411">
      <c r="A5411" s="1">
        <v>2025.0</v>
      </c>
      <c r="B5411" s="1" t="s">
        <v>658</v>
      </c>
      <c r="C5411" s="1">
        <v>682171.0</v>
      </c>
      <c r="D5411" s="1" t="s">
        <v>539</v>
      </c>
      <c r="E5411" s="1" t="s">
        <v>927</v>
      </c>
      <c r="F5411" s="1" t="s">
        <v>926</v>
      </c>
      <c r="G5411" s="1">
        <v>30.0</v>
      </c>
      <c r="H5411" s="1">
        <v>1.637931034</v>
      </c>
      <c r="I5411" s="1">
        <v>5.03</v>
      </c>
      <c r="J5411" s="1">
        <v>0.591569</v>
      </c>
    </row>
    <row r="5412">
      <c r="A5412" s="1">
        <v>2025.0</v>
      </c>
      <c r="B5412" s="1" t="s">
        <v>658</v>
      </c>
      <c r="C5412" s="1">
        <v>682171.0</v>
      </c>
      <c r="D5412" s="1" t="s">
        <v>537</v>
      </c>
      <c r="E5412" s="1" t="s">
        <v>927</v>
      </c>
      <c r="F5412" s="1" t="s">
        <v>927</v>
      </c>
      <c r="G5412" s="1">
        <v>50.0</v>
      </c>
      <c r="H5412" s="1">
        <v>2.729885057</v>
      </c>
      <c r="I5412" s="1">
        <v>4.96</v>
      </c>
      <c r="J5412" s="1">
        <v>1.153908</v>
      </c>
    </row>
    <row r="5413">
      <c r="A5413" s="1">
        <v>2025.0</v>
      </c>
      <c r="B5413" s="1" t="s">
        <v>658</v>
      </c>
      <c r="C5413" s="1">
        <v>682171.0</v>
      </c>
      <c r="D5413" s="1" t="s">
        <v>536</v>
      </c>
      <c r="E5413" s="1" t="s">
        <v>927</v>
      </c>
      <c r="F5413" s="1" t="s">
        <v>927</v>
      </c>
      <c r="G5413" s="1">
        <v>29.0</v>
      </c>
      <c r="H5413" s="1">
        <v>1.583333333</v>
      </c>
      <c r="I5413" s="1">
        <v>4.47</v>
      </c>
      <c r="J5413" s="1">
        <v>0.956857</v>
      </c>
    </row>
    <row r="5414">
      <c r="A5414" s="1">
        <v>2025.0</v>
      </c>
      <c r="B5414" s="1" t="s">
        <v>658</v>
      </c>
      <c r="C5414" s="1">
        <v>682171.0</v>
      </c>
      <c r="D5414" s="1" t="s">
        <v>539</v>
      </c>
      <c r="E5414" s="1" t="s">
        <v>927</v>
      </c>
      <c r="F5414" s="1" t="s">
        <v>927</v>
      </c>
      <c r="G5414" s="1">
        <v>84.0</v>
      </c>
      <c r="H5414" s="1">
        <v>4.586206897</v>
      </c>
      <c r="I5414" s="1">
        <v>5.15</v>
      </c>
      <c r="J5414" s="1">
        <v>1.532961</v>
      </c>
    </row>
    <row r="5415">
      <c r="A5415" s="1">
        <v>2025.0</v>
      </c>
      <c r="B5415" s="1" t="s">
        <v>261</v>
      </c>
      <c r="C5415" s="1">
        <v>664126.0</v>
      </c>
      <c r="D5415" s="1" t="s">
        <v>532</v>
      </c>
      <c r="E5415" s="1" t="s">
        <v>927</v>
      </c>
      <c r="F5415" s="1" t="s">
        <v>926</v>
      </c>
      <c r="G5415" s="1">
        <v>40.0</v>
      </c>
      <c r="H5415" s="1">
        <v>2.445119892</v>
      </c>
      <c r="I5415" s="1">
        <v>5.06</v>
      </c>
      <c r="J5415" s="1">
        <v>0.778048</v>
      </c>
    </row>
    <row r="5416">
      <c r="A5416" s="1">
        <v>2025.0</v>
      </c>
      <c r="B5416" s="1" t="s">
        <v>261</v>
      </c>
      <c r="C5416" s="1">
        <v>664126.0</v>
      </c>
      <c r="D5416" s="1" t="s">
        <v>540</v>
      </c>
      <c r="E5416" s="1" t="s">
        <v>927</v>
      </c>
      <c r="F5416" s="1" t="s">
        <v>926</v>
      </c>
      <c r="G5416" s="1">
        <v>15.0</v>
      </c>
      <c r="H5416" s="1">
        <v>0.916919959</v>
      </c>
      <c r="I5416" s="1">
        <v>5.48</v>
      </c>
      <c r="J5416" s="1">
        <v>0.183681</v>
      </c>
    </row>
    <row r="5417">
      <c r="A5417" s="1">
        <v>2025.0</v>
      </c>
      <c r="B5417" s="1" t="s">
        <v>261</v>
      </c>
      <c r="C5417" s="1">
        <v>664126.0</v>
      </c>
      <c r="D5417" s="1" t="s">
        <v>537</v>
      </c>
      <c r="E5417" s="1" t="s">
        <v>927</v>
      </c>
      <c r="F5417" s="1" t="s">
        <v>926</v>
      </c>
      <c r="G5417" s="1">
        <v>241.0</v>
      </c>
      <c r="H5417" s="1">
        <v>14.73184735</v>
      </c>
      <c r="I5417" s="1">
        <v>4.81</v>
      </c>
      <c r="J5417" s="1">
        <v>6.387312</v>
      </c>
    </row>
    <row r="5418">
      <c r="A5418" s="1">
        <v>2025.0</v>
      </c>
      <c r="B5418" s="1" t="s">
        <v>261</v>
      </c>
      <c r="C5418" s="1">
        <v>664126.0</v>
      </c>
      <c r="D5418" s="1" t="s">
        <v>533</v>
      </c>
      <c r="E5418" s="1" t="s">
        <v>927</v>
      </c>
      <c r="F5418" s="1" t="s">
        <v>926</v>
      </c>
      <c r="G5418" s="1">
        <v>169.0</v>
      </c>
      <c r="H5418" s="1">
        <v>10.33063154</v>
      </c>
      <c r="I5418" s="1">
        <v>5.5</v>
      </c>
      <c r="J5418" s="1">
        <v>1.968933</v>
      </c>
    </row>
    <row r="5419">
      <c r="A5419" s="1">
        <v>2025.0</v>
      </c>
      <c r="B5419" s="1" t="s">
        <v>261</v>
      </c>
      <c r="C5419" s="1">
        <v>664126.0</v>
      </c>
      <c r="D5419" s="1" t="s">
        <v>532</v>
      </c>
      <c r="E5419" s="1" t="s">
        <v>927</v>
      </c>
      <c r="F5419" s="1" t="s">
        <v>927</v>
      </c>
      <c r="G5419" s="1">
        <v>8.0</v>
      </c>
      <c r="H5419" s="1">
        <v>0.489023978</v>
      </c>
      <c r="I5419" s="1">
        <v>5.2</v>
      </c>
      <c r="J5419" s="1">
        <v>0.118078</v>
      </c>
    </row>
    <row r="5420">
      <c r="A5420" s="1">
        <v>2025.0</v>
      </c>
      <c r="B5420" s="1" t="s">
        <v>261</v>
      </c>
      <c r="C5420" s="1">
        <v>664126.0</v>
      </c>
      <c r="D5420" s="1" t="s">
        <v>540</v>
      </c>
      <c r="E5420" s="1" t="s">
        <v>927</v>
      </c>
      <c r="F5420" s="1" t="s">
        <v>927</v>
      </c>
      <c r="G5420" s="1">
        <v>27.0</v>
      </c>
      <c r="H5420" s="1">
        <v>1.650455927</v>
      </c>
      <c r="I5420" s="1">
        <v>5.36</v>
      </c>
      <c r="J5420" s="1">
        <v>0.400663</v>
      </c>
    </row>
    <row r="5421">
      <c r="A5421" s="1">
        <v>2025.0</v>
      </c>
      <c r="B5421" s="1" t="s">
        <v>261</v>
      </c>
      <c r="C5421" s="1">
        <v>664126.0</v>
      </c>
      <c r="D5421" s="1" t="s">
        <v>537</v>
      </c>
      <c r="E5421" s="1" t="s">
        <v>927</v>
      </c>
      <c r="F5421" s="1" t="s">
        <v>927</v>
      </c>
      <c r="G5421" s="1">
        <v>263.0</v>
      </c>
      <c r="H5421" s="1">
        <v>16.07666329</v>
      </c>
      <c r="I5421" s="1">
        <v>4.91</v>
      </c>
      <c r="J5421" s="1">
        <v>6.354405</v>
      </c>
    </row>
    <row r="5422">
      <c r="A5422" s="1">
        <v>2025.0</v>
      </c>
      <c r="B5422" s="1" t="s">
        <v>261</v>
      </c>
      <c r="C5422" s="1">
        <v>664126.0</v>
      </c>
      <c r="D5422" s="1" t="s">
        <v>533</v>
      </c>
      <c r="E5422" s="1" t="s">
        <v>927</v>
      </c>
      <c r="F5422" s="1" t="s">
        <v>927</v>
      </c>
      <c r="G5422" s="1">
        <v>224.0</v>
      </c>
      <c r="H5422" s="1">
        <v>13.69267139</v>
      </c>
      <c r="I5422" s="1">
        <v>5.0</v>
      </c>
      <c r="J5422" s="1">
        <v>4.845389</v>
      </c>
    </row>
    <row r="5423">
      <c r="A5423" s="1">
        <v>2025.0</v>
      </c>
      <c r="B5423" s="1" t="s">
        <v>190</v>
      </c>
      <c r="C5423" s="1">
        <v>664208.0</v>
      </c>
      <c r="D5423" s="1" t="s">
        <v>541</v>
      </c>
      <c r="E5423" s="1" t="s">
        <v>927</v>
      </c>
      <c r="F5423" s="1" t="s">
        <v>926</v>
      </c>
      <c r="G5423" s="1">
        <v>158.0</v>
      </c>
      <c r="H5423" s="1">
        <v>9.613756614</v>
      </c>
      <c r="I5423" s="1">
        <v>5.18</v>
      </c>
      <c r="J5423" s="1">
        <v>2.758519</v>
      </c>
    </row>
    <row r="5424">
      <c r="A5424" s="1">
        <v>2025.0</v>
      </c>
      <c r="B5424" s="1" t="s">
        <v>190</v>
      </c>
      <c r="C5424" s="1">
        <v>664208.0</v>
      </c>
      <c r="D5424" s="1" t="s">
        <v>540</v>
      </c>
      <c r="E5424" s="1" t="s">
        <v>927</v>
      </c>
      <c r="F5424" s="1" t="s">
        <v>926</v>
      </c>
      <c r="G5424" s="1">
        <v>167.0</v>
      </c>
      <c r="H5424" s="1">
        <v>10.16137566</v>
      </c>
      <c r="I5424" s="1">
        <v>5.12</v>
      </c>
      <c r="J5424" s="1">
        <v>3.271695</v>
      </c>
    </row>
    <row r="5425">
      <c r="A5425" s="1">
        <v>2025.0</v>
      </c>
      <c r="B5425" s="1" t="s">
        <v>190</v>
      </c>
      <c r="C5425" s="1">
        <v>664208.0</v>
      </c>
      <c r="D5425" s="1" t="s">
        <v>536</v>
      </c>
      <c r="E5425" s="1" t="s">
        <v>927</v>
      </c>
      <c r="F5425" s="1" t="s">
        <v>926</v>
      </c>
      <c r="G5425" s="1">
        <v>51.0</v>
      </c>
      <c r="H5425" s="1">
        <v>3.103174603</v>
      </c>
      <c r="I5425" s="1">
        <v>4.61</v>
      </c>
      <c r="J5425" s="1">
        <v>1.536087</v>
      </c>
    </row>
    <row r="5426">
      <c r="A5426" s="1">
        <v>2025.0</v>
      </c>
      <c r="B5426" s="1" t="s">
        <v>190</v>
      </c>
      <c r="C5426" s="1">
        <v>664208.0</v>
      </c>
      <c r="D5426" s="1" t="s">
        <v>539</v>
      </c>
      <c r="E5426" s="1" t="s">
        <v>927</v>
      </c>
      <c r="F5426" s="1" t="s">
        <v>926</v>
      </c>
      <c r="G5426" s="1">
        <v>58.0</v>
      </c>
      <c r="H5426" s="1">
        <v>3.529100529</v>
      </c>
      <c r="I5426" s="1">
        <v>5.58</v>
      </c>
      <c r="J5426" s="1">
        <v>0.613218</v>
      </c>
    </row>
    <row r="5427">
      <c r="A5427" s="1">
        <v>2025.0</v>
      </c>
      <c r="B5427" s="1" t="s">
        <v>190</v>
      </c>
      <c r="C5427" s="1">
        <v>664208.0</v>
      </c>
      <c r="D5427" s="1" t="s">
        <v>541</v>
      </c>
      <c r="E5427" s="1" t="s">
        <v>927</v>
      </c>
      <c r="F5427" s="1" t="s">
        <v>927</v>
      </c>
      <c r="G5427" s="1">
        <v>227.0</v>
      </c>
      <c r="H5427" s="1">
        <v>13.81216931</v>
      </c>
      <c r="I5427" s="1">
        <v>5.17</v>
      </c>
      <c r="J5427" s="1">
        <v>4.054075</v>
      </c>
    </row>
    <row r="5428">
      <c r="A5428" s="1">
        <v>2025.0</v>
      </c>
      <c r="B5428" s="1" t="s">
        <v>190</v>
      </c>
      <c r="C5428" s="1">
        <v>664208.0</v>
      </c>
      <c r="D5428" s="1" t="s">
        <v>540</v>
      </c>
      <c r="E5428" s="1" t="s">
        <v>927</v>
      </c>
      <c r="F5428" s="1" t="s">
        <v>927</v>
      </c>
      <c r="G5428" s="1">
        <v>196.0</v>
      </c>
      <c r="H5428" s="1">
        <v>11.92592593</v>
      </c>
      <c r="I5428" s="1">
        <v>5.11</v>
      </c>
      <c r="J5428" s="1">
        <v>3.959876</v>
      </c>
    </row>
    <row r="5429">
      <c r="A5429" s="1">
        <v>2025.0</v>
      </c>
      <c r="B5429" s="1" t="s">
        <v>190</v>
      </c>
      <c r="C5429" s="1">
        <v>664208.0</v>
      </c>
      <c r="D5429" s="1" t="s">
        <v>536</v>
      </c>
      <c r="E5429" s="1" t="s">
        <v>927</v>
      </c>
      <c r="F5429" s="1" t="s">
        <v>927</v>
      </c>
      <c r="G5429" s="1">
        <v>71.0</v>
      </c>
      <c r="H5429" s="1">
        <v>4.32010582</v>
      </c>
      <c r="I5429" s="1">
        <v>4.23</v>
      </c>
      <c r="J5429" s="1">
        <v>2.704526</v>
      </c>
    </row>
    <row r="5430">
      <c r="A5430" s="1">
        <v>2025.0</v>
      </c>
      <c r="B5430" s="1" t="s">
        <v>190</v>
      </c>
      <c r="C5430" s="1">
        <v>664208.0</v>
      </c>
      <c r="D5430" s="1" t="s">
        <v>533</v>
      </c>
      <c r="E5430" s="1" t="s">
        <v>927</v>
      </c>
      <c r="F5430" s="1" t="s">
        <v>927</v>
      </c>
      <c r="G5430" s="1">
        <v>4.0</v>
      </c>
      <c r="H5430" s="1">
        <v>0.243386243</v>
      </c>
      <c r="I5430" s="1">
        <v>6.59</v>
      </c>
      <c r="J5430" s="1">
        <v>-0.044197</v>
      </c>
    </row>
    <row r="5431">
      <c r="A5431" s="1">
        <v>2025.0</v>
      </c>
      <c r="B5431" s="1" t="s">
        <v>190</v>
      </c>
      <c r="C5431" s="1">
        <v>664208.0</v>
      </c>
      <c r="D5431" s="1" t="s">
        <v>539</v>
      </c>
      <c r="E5431" s="1" t="s">
        <v>927</v>
      </c>
      <c r="F5431" s="1" t="s">
        <v>927</v>
      </c>
      <c r="G5431" s="1">
        <v>76.0</v>
      </c>
      <c r="H5431" s="1">
        <v>4.624338624</v>
      </c>
      <c r="I5431" s="1">
        <v>5.51</v>
      </c>
      <c r="J5431" s="1">
        <v>0.926169</v>
      </c>
    </row>
    <row r="5432">
      <c r="A5432" s="1">
        <v>2025.0</v>
      </c>
      <c r="B5432" s="1" t="s">
        <v>999</v>
      </c>
      <c r="C5432" s="1">
        <v>691769.0</v>
      </c>
      <c r="D5432" s="1" t="s">
        <v>537</v>
      </c>
      <c r="E5432" s="1" t="s">
        <v>926</v>
      </c>
      <c r="F5432" s="1" t="s">
        <v>926</v>
      </c>
      <c r="G5432" s="1">
        <v>34.0</v>
      </c>
      <c r="H5432" s="1">
        <v>1.755868545</v>
      </c>
      <c r="I5432" s="1">
        <v>4.92</v>
      </c>
      <c r="J5432" s="1">
        <v>0.784274</v>
      </c>
    </row>
    <row r="5433">
      <c r="A5433" s="1">
        <v>2025.0</v>
      </c>
      <c r="B5433" s="1" t="s">
        <v>999</v>
      </c>
      <c r="C5433" s="1">
        <v>691769.0</v>
      </c>
      <c r="D5433" s="1" t="s">
        <v>533</v>
      </c>
      <c r="E5433" s="1" t="s">
        <v>926</v>
      </c>
      <c r="F5433" s="1" t="s">
        <v>926</v>
      </c>
      <c r="G5433" s="1">
        <v>16.0</v>
      </c>
      <c r="H5433" s="1">
        <v>0.82629108</v>
      </c>
      <c r="I5433" s="1">
        <v>5.05</v>
      </c>
      <c r="J5433" s="1">
        <v>0.335181</v>
      </c>
    </row>
    <row r="5434">
      <c r="A5434" s="1">
        <v>2025.0</v>
      </c>
      <c r="B5434" s="1" t="s">
        <v>999</v>
      </c>
      <c r="C5434" s="1">
        <v>691769.0</v>
      </c>
      <c r="D5434" s="1" t="s">
        <v>537</v>
      </c>
      <c r="E5434" s="1" t="s">
        <v>926</v>
      </c>
      <c r="F5434" s="1" t="s">
        <v>927</v>
      </c>
      <c r="G5434" s="1">
        <v>18.0</v>
      </c>
      <c r="H5434" s="1">
        <v>0.929577465</v>
      </c>
      <c r="I5434" s="1">
        <v>4.55</v>
      </c>
      <c r="J5434" s="1">
        <v>0.568258</v>
      </c>
    </row>
    <row r="5435">
      <c r="A5435" s="1">
        <v>2025.0</v>
      </c>
      <c r="B5435" s="1" t="s">
        <v>999</v>
      </c>
      <c r="C5435" s="1">
        <v>691769.0</v>
      </c>
      <c r="D5435" s="1" t="s">
        <v>533</v>
      </c>
      <c r="E5435" s="1" t="s">
        <v>926</v>
      </c>
      <c r="F5435" s="1" t="s">
        <v>927</v>
      </c>
      <c r="G5435" s="1">
        <v>3.0</v>
      </c>
      <c r="H5435" s="1">
        <v>0.154929577</v>
      </c>
      <c r="I5435" s="1">
        <v>4.09</v>
      </c>
      <c r="J5435" s="1">
        <v>0.117126</v>
      </c>
    </row>
    <row r="5436">
      <c r="A5436" s="1">
        <v>2025.0</v>
      </c>
      <c r="B5436" s="1" t="s">
        <v>178</v>
      </c>
      <c r="C5436" s="1">
        <v>572955.0</v>
      </c>
      <c r="D5436" s="1" t="s">
        <v>541</v>
      </c>
      <c r="E5436" s="1" t="s">
        <v>927</v>
      </c>
      <c r="F5436" s="1" t="s">
        <v>926</v>
      </c>
      <c r="G5436" s="1">
        <v>313.0</v>
      </c>
      <c r="H5436" s="1">
        <v>19.07747934</v>
      </c>
      <c r="I5436" s="1">
        <v>5.1</v>
      </c>
      <c r="J5436" s="1">
        <v>6.168577</v>
      </c>
    </row>
    <row r="5437">
      <c r="A5437" s="1">
        <v>2025.0</v>
      </c>
      <c r="B5437" s="1" t="s">
        <v>178</v>
      </c>
      <c r="C5437" s="1">
        <v>572955.0</v>
      </c>
      <c r="D5437" s="1" t="s">
        <v>540</v>
      </c>
      <c r="E5437" s="1" t="s">
        <v>927</v>
      </c>
      <c r="F5437" s="1" t="s">
        <v>926</v>
      </c>
      <c r="G5437" s="1">
        <v>17.0</v>
      </c>
      <c r="H5437" s="1">
        <v>1.036157025</v>
      </c>
      <c r="I5437" s="1">
        <v>4.72</v>
      </c>
      <c r="J5437" s="1">
        <v>0.496084</v>
      </c>
    </row>
    <row r="5438">
      <c r="A5438" s="1">
        <v>2025.0</v>
      </c>
      <c r="B5438" s="1" t="s">
        <v>178</v>
      </c>
      <c r="C5438" s="1">
        <v>572955.0</v>
      </c>
      <c r="D5438" s="1" t="s">
        <v>537</v>
      </c>
      <c r="E5438" s="1" t="s">
        <v>927</v>
      </c>
      <c r="F5438" s="1" t="s">
        <v>926</v>
      </c>
      <c r="G5438" s="1">
        <v>103.0</v>
      </c>
      <c r="H5438" s="1">
        <v>6.277892562</v>
      </c>
      <c r="I5438" s="1">
        <v>4.48</v>
      </c>
      <c r="J5438" s="1">
        <v>3.394512</v>
      </c>
    </row>
    <row r="5439">
      <c r="A5439" s="1">
        <v>2025.0</v>
      </c>
      <c r="B5439" s="1" t="s">
        <v>178</v>
      </c>
      <c r="C5439" s="1">
        <v>572955.0</v>
      </c>
      <c r="D5439" s="1" t="s">
        <v>541</v>
      </c>
      <c r="E5439" s="1" t="s">
        <v>927</v>
      </c>
      <c r="F5439" s="1" t="s">
        <v>927</v>
      </c>
      <c r="G5439" s="1">
        <v>385.0</v>
      </c>
      <c r="H5439" s="1">
        <v>23.46590909</v>
      </c>
      <c r="I5439" s="1">
        <v>5.37</v>
      </c>
      <c r="J5439" s="1">
        <v>5.500821</v>
      </c>
    </row>
    <row r="5440">
      <c r="A5440" s="1">
        <v>2025.0</v>
      </c>
      <c r="B5440" s="1" t="s">
        <v>178</v>
      </c>
      <c r="C5440" s="1">
        <v>572955.0</v>
      </c>
      <c r="D5440" s="1" t="s">
        <v>540</v>
      </c>
      <c r="E5440" s="1" t="s">
        <v>927</v>
      </c>
      <c r="F5440" s="1" t="s">
        <v>927</v>
      </c>
      <c r="G5440" s="1">
        <v>34.0</v>
      </c>
      <c r="H5440" s="1">
        <v>2.07231405</v>
      </c>
      <c r="I5440" s="1">
        <v>4.65</v>
      </c>
      <c r="J5440" s="1">
        <v>1.019263</v>
      </c>
    </row>
    <row r="5441">
      <c r="A5441" s="1">
        <v>2025.0</v>
      </c>
      <c r="B5441" s="1" t="s">
        <v>178</v>
      </c>
      <c r="C5441" s="1">
        <v>572955.0</v>
      </c>
      <c r="D5441" s="1" t="s">
        <v>537</v>
      </c>
      <c r="E5441" s="1" t="s">
        <v>927</v>
      </c>
      <c r="F5441" s="1" t="s">
        <v>927</v>
      </c>
      <c r="G5441" s="1">
        <v>116.0</v>
      </c>
      <c r="H5441" s="1">
        <v>7.070247934</v>
      </c>
      <c r="I5441" s="1">
        <v>5.1</v>
      </c>
      <c r="J5441" s="1">
        <v>2.278078</v>
      </c>
    </row>
    <row r="5442">
      <c r="A5442" s="1">
        <v>2025.0</v>
      </c>
      <c r="B5442" s="1" t="s">
        <v>126</v>
      </c>
      <c r="C5442" s="1">
        <v>701487.0</v>
      </c>
      <c r="D5442" s="1" t="s">
        <v>532</v>
      </c>
      <c r="E5442" s="1" t="s">
        <v>927</v>
      </c>
      <c r="F5442" s="1" t="s">
        <v>926</v>
      </c>
      <c r="G5442" s="1">
        <v>123.0</v>
      </c>
      <c r="H5442" s="1">
        <v>6.783088235</v>
      </c>
      <c r="I5442" s="1">
        <v>5.55</v>
      </c>
      <c r="J5442" s="1">
        <v>1.269588</v>
      </c>
    </row>
    <row r="5443">
      <c r="A5443" s="1">
        <v>2025.0</v>
      </c>
      <c r="B5443" s="1" t="s">
        <v>126</v>
      </c>
      <c r="C5443" s="1">
        <v>701487.0</v>
      </c>
      <c r="D5443" s="1" t="s">
        <v>541</v>
      </c>
      <c r="E5443" s="1" t="s">
        <v>927</v>
      </c>
      <c r="F5443" s="1" t="s">
        <v>926</v>
      </c>
      <c r="G5443" s="1">
        <v>24.0</v>
      </c>
      <c r="H5443" s="1">
        <v>1.323529412</v>
      </c>
      <c r="I5443" s="1">
        <v>4.67</v>
      </c>
      <c r="J5443" s="1">
        <v>0.651268</v>
      </c>
    </row>
    <row r="5444">
      <c r="A5444" s="1">
        <v>2025.0</v>
      </c>
      <c r="B5444" s="1" t="s">
        <v>126</v>
      </c>
      <c r="C5444" s="1">
        <v>701487.0</v>
      </c>
      <c r="D5444" s="1" t="s">
        <v>540</v>
      </c>
      <c r="E5444" s="1" t="s">
        <v>927</v>
      </c>
      <c r="F5444" s="1" t="s">
        <v>926</v>
      </c>
      <c r="G5444" s="1">
        <v>16.0</v>
      </c>
      <c r="H5444" s="1">
        <v>0.882352941</v>
      </c>
      <c r="I5444" s="1">
        <v>4.72</v>
      </c>
      <c r="J5444" s="1">
        <v>0.448002</v>
      </c>
    </row>
    <row r="5445">
      <c r="A5445" s="1">
        <v>2025.0</v>
      </c>
      <c r="B5445" s="1" t="s">
        <v>126</v>
      </c>
      <c r="C5445" s="1">
        <v>701487.0</v>
      </c>
      <c r="D5445" s="1" t="s">
        <v>537</v>
      </c>
      <c r="E5445" s="1" t="s">
        <v>927</v>
      </c>
      <c r="F5445" s="1" t="s">
        <v>926</v>
      </c>
      <c r="G5445" s="1">
        <v>117.0</v>
      </c>
      <c r="H5445" s="1">
        <v>6.452205882</v>
      </c>
      <c r="I5445" s="1">
        <v>4.92</v>
      </c>
      <c r="J5445" s="1">
        <v>2.775722</v>
      </c>
    </row>
    <row r="5446">
      <c r="A5446" s="1">
        <v>2025.0</v>
      </c>
      <c r="B5446" s="1" t="s">
        <v>126</v>
      </c>
      <c r="C5446" s="1">
        <v>701487.0</v>
      </c>
      <c r="D5446" s="1" t="s">
        <v>536</v>
      </c>
      <c r="E5446" s="1" t="s">
        <v>927</v>
      </c>
      <c r="F5446" s="1" t="s">
        <v>926</v>
      </c>
      <c r="G5446" s="1">
        <v>5.0</v>
      </c>
      <c r="H5446" s="1">
        <v>0.275735294</v>
      </c>
      <c r="I5446" s="1">
        <v>7.46</v>
      </c>
      <c r="J5446" s="1">
        <v>-0.144963</v>
      </c>
    </row>
    <row r="5447">
      <c r="A5447" s="1">
        <v>2025.0</v>
      </c>
      <c r="B5447" s="1" t="s">
        <v>126</v>
      </c>
      <c r="C5447" s="1">
        <v>701487.0</v>
      </c>
      <c r="D5447" s="1" t="s">
        <v>532</v>
      </c>
      <c r="E5447" s="1" t="s">
        <v>927</v>
      </c>
      <c r="F5447" s="1" t="s">
        <v>927</v>
      </c>
      <c r="G5447" s="1">
        <v>82.0</v>
      </c>
      <c r="H5447" s="1">
        <v>4.522058824</v>
      </c>
      <c r="I5447" s="1">
        <v>6.05</v>
      </c>
      <c r="J5447" s="1">
        <v>0.020903</v>
      </c>
    </row>
    <row r="5448">
      <c r="A5448" s="1">
        <v>2025.0</v>
      </c>
      <c r="B5448" s="1" t="s">
        <v>126</v>
      </c>
      <c r="C5448" s="1">
        <v>701487.0</v>
      </c>
      <c r="D5448" s="1" t="s">
        <v>541</v>
      </c>
      <c r="E5448" s="1" t="s">
        <v>927</v>
      </c>
      <c r="F5448" s="1" t="s">
        <v>927</v>
      </c>
      <c r="G5448" s="1">
        <v>8.0</v>
      </c>
      <c r="H5448" s="1">
        <v>0.441176471</v>
      </c>
      <c r="I5448" s="1">
        <v>4.65</v>
      </c>
      <c r="J5448" s="1">
        <v>0.218755</v>
      </c>
    </row>
    <row r="5449">
      <c r="A5449" s="1">
        <v>2025.0</v>
      </c>
      <c r="B5449" s="1" t="s">
        <v>126</v>
      </c>
      <c r="C5449" s="1">
        <v>701487.0</v>
      </c>
      <c r="D5449" s="1" t="s">
        <v>540</v>
      </c>
      <c r="E5449" s="1" t="s">
        <v>927</v>
      </c>
      <c r="F5449" s="1" t="s">
        <v>927</v>
      </c>
      <c r="G5449" s="1">
        <v>48.0</v>
      </c>
      <c r="H5449" s="1">
        <v>2.647058824</v>
      </c>
      <c r="I5449" s="1">
        <v>4.74</v>
      </c>
      <c r="J5449" s="1">
        <v>1.280882</v>
      </c>
    </row>
    <row r="5450">
      <c r="A5450" s="1">
        <v>2025.0</v>
      </c>
      <c r="B5450" s="1" t="s">
        <v>126</v>
      </c>
      <c r="C5450" s="1">
        <v>701487.0</v>
      </c>
      <c r="D5450" s="1" t="s">
        <v>537</v>
      </c>
      <c r="E5450" s="1" t="s">
        <v>927</v>
      </c>
      <c r="F5450" s="1" t="s">
        <v>927</v>
      </c>
      <c r="G5450" s="1">
        <v>109.0</v>
      </c>
      <c r="H5450" s="1">
        <v>6.011029412</v>
      </c>
      <c r="I5450" s="1">
        <v>5.02</v>
      </c>
      <c r="J5450" s="1">
        <v>2.299568</v>
      </c>
    </row>
    <row r="5451">
      <c r="A5451" s="1">
        <v>2025.0</v>
      </c>
      <c r="B5451" s="1" t="s">
        <v>126</v>
      </c>
      <c r="C5451" s="1">
        <v>701487.0</v>
      </c>
      <c r="D5451" s="1" t="s">
        <v>928</v>
      </c>
      <c r="E5451" s="1" t="s">
        <v>927</v>
      </c>
      <c r="F5451" s="1" t="s">
        <v>927</v>
      </c>
      <c r="G5451" s="1">
        <v>5.0</v>
      </c>
      <c r="H5451" s="1">
        <v>0.275735294</v>
      </c>
      <c r="I5451" s="1">
        <v>3.52</v>
      </c>
      <c r="J5451" s="1">
        <v>0.254886</v>
      </c>
    </row>
    <row r="5452">
      <c r="A5452" s="1">
        <v>2025.0</v>
      </c>
      <c r="B5452" s="1" t="s">
        <v>126</v>
      </c>
      <c r="C5452" s="1">
        <v>701487.0</v>
      </c>
      <c r="D5452" s="1" t="s">
        <v>536</v>
      </c>
      <c r="E5452" s="1" t="s">
        <v>927</v>
      </c>
      <c r="F5452" s="1" t="s">
        <v>927</v>
      </c>
      <c r="G5452" s="1">
        <v>7.0</v>
      </c>
      <c r="H5452" s="1">
        <v>0.386029412</v>
      </c>
      <c r="I5452" s="1">
        <v>6.26</v>
      </c>
      <c r="J5452" s="1">
        <v>-0.011929</v>
      </c>
    </row>
    <row r="5453">
      <c r="A5453" s="1">
        <v>2025.0</v>
      </c>
      <c r="B5453" s="1" t="s">
        <v>388</v>
      </c>
      <c r="C5453" s="1">
        <v>687863.0</v>
      </c>
      <c r="D5453" s="1" t="s">
        <v>537</v>
      </c>
      <c r="E5453" s="1" t="s">
        <v>927</v>
      </c>
      <c r="F5453" s="1" t="s">
        <v>926</v>
      </c>
      <c r="G5453" s="1">
        <v>121.0</v>
      </c>
      <c r="H5453" s="1">
        <v>6.399038462</v>
      </c>
      <c r="I5453" s="1">
        <v>4.49</v>
      </c>
      <c r="J5453" s="1">
        <v>3.913037</v>
      </c>
    </row>
    <row r="5454">
      <c r="A5454" s="1">
        <v>2025.0</v>
      </c>
      <c r="B5454" s="1" t="s">
        <v>388</v>
      </c>
      <c r="C5454" s="1">
        <v>687863.0</v>
      </c>
      <c r="D5454" s="1" t="s">
        <v>538</v>
      </c>
      <c r="E5454" s="1" t="s">
        <v>927</v>
      </c>
      <c r="F5454" s="1" t="s">
        <v>926</v>
      </c>
      <c r="G5454" s="1">
        <v>3.0</v>
      </c>
      <c r="H5454" s="1">
        <v>0.158653846</v>
      </c>
      <c r="I5454" s="1">
        <v>4.04</v>
      </c>
      <c r="J5454" s="1">
        <v>0.1199</v>
      </c>
    </row>
    <row r="5455">
      <c r="A5455" s="1">
        <v>2025.0</v>
      </c>
      <c r="B5455" s="1" t="s">
        <v>388</v>
      </c>
      <c r="C5455" s="1">
        <v>687863.0</v>
      </c>
      <c r="D5455" s="1" t="s">
        <v>539</v>
      </c>
      <c r="E5455" s="1" t="s">
        <v>927</v>
      </c>
      <c r="F5455" s="1" t="s">
        <v>926</v>
      </c>
      <c r="G5455" s="1">
        <v>120.0</v>
      </c>
      <c r="H5455" s="1">
        <v>6.346153846</v>
      </c>
      <c r="I5455" s="1">
        <v>5.57</v>
      </c>
      <c r="J5455" s="1">
        <v>1.258157</v>
      </c>
    </row>
    <row r="5456">
      <c r="A5456" s="1">
        <v>2025.0</v>
      </c>
      <c r="B5456" s="1" t="s">
        <v>388</v>
      </c>
      <c r="C5456" s="1">
        <v>687863.0</v>
      </c>
      <c r="D5456" s="1" t="s">
        <v>537</v>
      </c>
      <c r="E5456" s="1" t="s">
        <v>927</v>
      </c>
      <c r="F5456" s="1" t="s">
        <v>927</v>
      </c>
      <c r="G5456" s="1">
        <v>193.0</v>
      </c>
      <c r="H5456" s="1">
        <v>10.20673077</v>
      </c>
      <c r="I5456" s="1">
        <v>4.82</v>
      </c>
      <c r="J5456" s="1">
        <v>4.955388</v>
      </c>
    </row>
    <row r="5457">
      <c r="A5457" s="1">
        <v>2025.0</v>
      </c>
      <c r="B5457" s="1" t="s">
        <v>388</v>
      </c>
      <c r="C5457" s="1">
        <v>687863.0</v>
      </c>
      <c r="D5457" s="1" t="s">
        <v>533</v>
      </c>
      <c r="E5457" s="1" t="s">
        <v>927</v>
      </c>
      <c r="F5457" s="1" t="s">
        <v>927</v>
      </c>
      <c r="G5457" s="1">
        <v>20.0</v>
      </c>
      <c r="H5457" s="1">
        <v>1.057692308</v>
      </c>
      <c r="I5457" s="1">
        <v>5.73</v>
      </c>
      <c r="J5457" s="1">
        <v>0.139166</v>
      </c>
    </row>
    <row r="5458">
      <c r="A5458" s="1">
        <v>2025.0</v>
      </c>
      <c r="B5458" s="1" t="s">
        <v>388</v>
      </c>
      <c r="C5458" s="1">
        <v>687863.0</v>
      </c>
      <c r="D5458" s="1" t="s">
        <v>539</v>
      </c>
      <c r="E5458" s="1" t="s">
        <v>927</v>
      </c>
      <c r="F5458" s="1" t="s">
        <v>927</v>
      </c>
      <c r="G5458" s="1">
        <v>167.0</v>
      </c>
      <c r="H5458" s="1">
        <v>8.831730769</v>
      </c>
      <c r="I5458" s="1">
        <v>5.12</v>
      </c>
      <c r="J5458" s="1">
        <v>3.170097</v>
      </c>
    </row>
    <row r="5459">
      <c r="A5459" s="1">
        <v>2025.0</v>
      </c>
      <c r="B5459" s="1" t="s">
        <v>450</v>
      </c>
      <c r="C5459" s="1">
        <v>682990.0</v>
      </c>
      <c r="D5459" s="1" t="s">
        <v>532</v>
      </c>
      <c r="E5459" s="1" t="s">
        <v>927</v>
      </c>
      <c r="F5459" s="1" t="s">
        <v>926</v>
      </c>
      <c r="G5459" s="1">
        <v>37.0</v>
      </c>
      <c r="H5459" s="1">
        <v>2.358725014</v>
      </c>
      <c r="I5459" s="1">
        <v>4.31</v>
      </c>
      <c r="J5459" s="1">
        <v>1.295969</v>
      </c>
    </row>
    <row r="5460">
      <c r="A5460" s="1">
        <v>2025.0</v>
      </c>
      <c r="B5460" s="1" t="s">
        <v>450</v>
      </c>
      <c r="C5460" s="1">
        <v>682990.0</v>
      </c>
      <c r="D5460" s="1" t="s">
        <v>541</v>
      </c>
      <c r="E5460" s="1" t="s">
        <v>927</v>
      </c>
      <c r="F5460" s="1" t="s">
        <v>926</v>
      </c>
      <c r="G5460" s="1">
        <v>166.0</v>
      </c>
      <c r="H5460" s="1">
        <v>10.5823879</v>
      </c>
      <c r="I5460" s="1">
        <v>4.97</v>
      </c>
      <c r="J5460" s="1">
        <v>3.641202</v>
      </c>
    </row>
    <row r="5461">
      <c r="A5461" s="1">
        <v>2025.0</v>
      </c>
      <c r="B5461" s="1" t="s">
        <v>450</v>
      </c>
      <c r="C5461" s="1">
        <v>682990.0</v>
      </c>
      <c r="D5461" s="1" t="s">
        <v>540</v>
      </c>
      <c r="E5461" s="1" t="s">
        <v>927</v>
      </c>
      <c r="F5461" s="1" t="s">
        <v>926</v>
      </c>
      <c r="G5461" s="1">
        <v>270.0</v>
      </c>
      <c r="H5461" s="1">
        <v>17.21231767</v>
      </c>
      <c r="I5461" s="1">
        <v>4.87</v>
      </c>
      <c r="J5461" s="1">
        <v>6.632787</v>
      </c>
    </row>
    <row r="5462">
      <c r="A5462" s="1">
        <v>2025.0</v>
      </c>
      <c r="B5462" s="1" t="s">
        <v>450</v>
      </c>
      <c r="C5462" s="1">
        <v>682990.0</v>
      </c>
      <c r="D5462" s="1" t="s">
        <v>536</v>
      </c>
      <c r="E5462" s="1" t="s">
        <v>927</v>
      </c>
      <c r="F5462" s="1" t="s">
        <v>926</v>
      </c>
      <c r="G5462" s="1">
        <v>460.0</v>
      </c>
      <c r="H5462" s="1">
        <v>29.32468936</v>
      </c>
      <c r="I5462" s="1">
        <v>4.56</v>
      </c>
      <c r="J5462" s="1">
        <v>14.432857</v>
      </c>
    </row>
    <row r="5463">
      <c r="A5463" s="1">
        <v>2025.0</v>
      </c>
      <c r="B5463" s="1" t="s">
        <v>450</v>
      </c>
      <c r="C5463" s="1">
        <v>682990.0</v>
      </c>
      <c r="D5463" s="1" t="s">
        <v>533</v>
      </c>
      <c r="E5463" s="1" t="s">
        <v>927</v>
      </c>
      <c r="F5463" s="1" t="s">
        <v>926</v>
      </c>
      <c r="G5463" s="1">
        <v>190.0</v>
      </c>
      <c r="H5463" s="1">
        <v>12.11237169</v>
      </c>
      <c r="I5463" s="1">
        <v>4.93</v>
      </c>
      <c r="J5463" s="1">
        <v>4.398987</v>
      </c>
    </row>
    <row r="5464">
      <c r="A5464" s="1">
        <v>2025.0</v>
      </c>
      <c r="B5464" s="1" t="s">
        <v>450</v>
      </c>
      <c r="C5464" s="1">
        <v>682990.0</v>
      </c>
      <c r="D5464" s="1" t="s">
        <v>541</v>
      </c>
      <c r="E5464" s="1" t="s">
        <v>927</v>
      </c>
      <c r="F5464" s="1" t="s">
        <v>927</v>
      </c>
      <c r="G5464" s="1">
        <v>61.0</v>
      </c>
      <c r="H5464" s="1">
        <v>3.888708806</v>
      </c>
      <c r="I5464" s="1">
        <v>4.64</v>
      </c>
      <c r="J5464" s="1">
        <v>1.77101</v>
      </c>
    </row>
    <row r="5465">
      <c r="A5465" s="1">
        <v>2025.0</v>
      </c>
      <c r="B5465" s="1" t="s">
        <v>450</v>
      </c>
      <c r="C5465" s="1">
        <v>682990.0</v>
      </c>
      <c r="D5465" s="1" t="s">
        <v>540</v>
      </c>
      <c r="E5465" s="1" t="s">
        <v>927</v>
      </c>
      <c r="F5465" s="1" t="s">
        <v>927</v>
      </c>
      <c r="G5465" s="1">
        <v>234.0</v>
      </c>
      <c r="H5465" s="1">
        <v>14.91734198</v>
      </c>
      <c r="I5465" s="1">
        <v>4.92</v>
      </c>
      <c r="J5465" s="1">
        <v>5.455228</v>
      </c>
    </row>
    <row r="5466">
      <c r="A5466" s="1">
        <v>2025.0</v>
      </c>
      <c r="B5466" s="1" t="s">
        <v>450</v>
      </c>
      <c r="C5466" s="1">
        <v>682990.0</v>
      </c>
      <c r="D5466" s="1" t="s">
        <v>536</v>
      </c>
      <c r="E5466" s="1" t="s">
        <v>927</v>
      </c>
      <c r="F5466" s="1" t="s">
        <v>927</v>
      </c>
      <c r="G5466" s="1">
        <v>569.0</v>
      </c>
      <c r="H5466" s="1">
        <v>36.27336575</v>
      </c>
      <c r="I5466" s="1">
        <v>4.81</v>
      </c>
      <c r="J5466" s="1">
        <v>14.603545</v>
      </c>
    </row>
    <row r="5467">
      <c r="A5467" s="1">
        <v>2025.0</v>
      </c>
      <c r="B5467" s="1" t="s">
        <v>450</v>
      </c>
      <c r="C5467" s="1">
        <v>682990.0</v>
      </c>
      <c r="D5467" s="1" t="s">
        <v>533</v>
      </c>
      <c r="E5467" s="1" t="s">
        <v>927</v>
      </c>
      <c r="F5467" s="1" t="s">
        <v>927</v>
      </c>
      <c r="G5467" s="1">
        <v>481.0</v>
      </c>
      <c r="H5467" s="1">
        <v>30.66342518</v>
      </c>
      <c r="I5467" s="1">
        <v>5.19</v>
      </c>
      <c r="J5467" s="1">
        <v>8.3951</v>
      </c>
    </row>
    <row r="5468">
      <c r="A5468" s="1">
        <v>2025.0</v>
      </c>
      <c r="B5468" s="1" t="s">
        <v>326</v>
      </c>
      <c r="C5468" s="1">
        <v>606160.0</v>
      </c>
      <c r="D5468" s="1" t="s">
        <v>537</v>
      </c>
      <c r="E5468" s="1" t="s">
        <v>927</v>
      </c>
      <c r="F5468" s="1" t="s">
        <v>926</v>
      </c>
      <c r="G5468" s="1">
        <v>164.0</v>
      </c>
      <c r="H5468" s="1">
        <v>9.102729224</v>
      </c>
      <c r="I5468" s="1">
        <v>4.78</v>
      </c>
      <c r="J5468" s="1">
        <v>4.466981</v>
      </c>
    </row>
    <row r="5469">
      <c r="A5469" s="1">
        <v>2025.0</v>
      </c>
      <c r="B5469" s="1" t="s">
        <v>326</v>
      </c>
      <c r="C5469" s="1">
        <v>606160.0</v>
      </c>
      <c r="D5469" s="1" t="s">
        <v>538</v>
      </c>
      <c r="E5469" s="1" t="s">
        <v>927</v>
      </c>
      <c r="F5469" s="1" t="s">
        <v>926</v>
      </c>
      <c r="G5469" s="1">
        <v>286.0</v>
      </c>
      <c r="H5469" s="1">
        <v>15.8742717</v>
      </c>
      <c r="I5469" s="1">
        <v>4.89</v>
      </c>
      <c r="J5469" s="1">
        <v>6.932255</v>
      </c>
    </row>
    <row r="5470">
      <c r="A5470" s="1">
        <v>2025.0</v>
      </c>
      <c r="B5470" s="1" t="s">
        <v>326</v>
      </c>
      <c r="C5470" s="1">
        <v>606160.0</v>
      </c>
      <c r="D5470" s="1" t="s">
        <v>533</v>
      </c>
      <c r="E5470" s="1" t="s">
        <v>927</v>
      </c>
      <c r="F5470" s="1" t="s">
        <v>926</v>
      </c>
      <c r="G5470" s="1">
        <v>2.0</v>
      </c>
      <c r="H5470" s="1">
        <v>0.111008893</v>
      </c>
      <c r="I5470" s="1">
        <v>6.64</v>
      </c>
      <c r="J5470" s="1">
        <v>-0.02035</v>
      </c>
    </row>
    <row r="5471">
      <c r="A5471" s="1">
        <v>2025.0</v>
      </c>
      <c r="B5471" s="1" t="s">
        <v>326</v>
      </c>
      <c r="C5471" s="1">
        <v>606160.0</v>
      </c>
      <c r="D5471" s="1" t="s">
        <v>537</v>
      </c>
      <c r="E5471" s="1" t="s">
        <v>927</v>
      </c>
      <c r="F5471" s="1" t="s">
        <v>927</v>
      </c>
      <c r="G5471" s="1">
        <v>274.0</v>
      </c>
      <c r="H5471" s="1">
        <v>15.20821834</v>
      </c>
      <c r="I5471" s="1">
        <v>5.31</v>
      </c>
      <c r="J5471" s="1">
        <v>4.446797</v>
      </c>
    </row>
    <row r="5472">
      <c r="A5472" s="1">
        <v>2025.0</v>
      </c>
      <c r="B5472" s="1" t="s">
        <v>326</v>
      </c>
      <c r="C5472" s="1">
        <v>606160.0</v>
      </c>
      <c r="D5472" s="1" t="s">
        <v>538</v>
      </c>
      <c r="E5472" s="1" t="s">
        <v>927</v>
      </c>
      <c r="F5472" s="1" t="s">
        <v>927</v>
      </c>
      <c r="G5472" s="1">
        <v>224.0</v>
      </c>
      <c r="H5472" s="1">
        <v>12.43299601</v>
      </c>
      <c r="I5472" s="1">
        <v>5.09</v>
      </c>
      <c r="J5472" s="1">
        <v>4.493579</v>
      </c>
    </row>
    <row r="5473">
      <c r="A5473" s="1">
        <v>2025.0</v>
      </c>
      <c r="B5473" s="1" t="s">
        <v>326</v>
      </c>
      <c r="C5473" s="1">
        <v>606160.0</v>
      </c>
      <c r="D5473" s="1" t="s">
        <v>536</v>
      </c>
      <c r="E5473" s="1" t="s">
        <v>927</v>
      </c>
      <c r="F5473" s="1" t="s">
        <v>927</v>
      </c>
      <c r="G5473" s="1">
        <v>56.0</v>
      </c>
      <c r="H5473" s="1">
        <v>3.108249003</v>
      </c>
      <c r="I5473" s="1">
        <v>5.23</v>
      </c>
      <c r="J5473" s="1">
        <v>1.016202</v>
      </c>
    </row>
    <row r="5474">
      <c r="A5474" s="1">
        <v>2025.0</v>
      </c>
      <c r="B5474" s="1" t="s">
        <v>326</v>
      </c>
      <c r="C5474" s="1">
        <v>606160.0</v>
      </c>
      <c r="D5474" s="1" t="s">
        <v>533</v>
      </c>
      <c r="E5474" s="1" t="s">
        <v>927</v>
      </c>
      <c r="F5474" s="1" t="s">
        <v>927</v>
      </c>
      <c r="G5474" s="1">
        <v>81.0</v>
      </c>
      <c r="H5474" s="1">
        <v>4.495860166</v>
      </c>
      <c r="I5474" s="1">
        <v>5.21</v>
      </c>
      <c r="J5474" s="1">
        <v>1.400042</v>
      </c>
    </row>
    <row r="5475">
      <c r="A5475" s="1">
        <v>2025.0</v>
      </c>
      <c r="B5475" s="1" t="s">
        <v>184</v>
      </c>
      <c r="C5475" s="1">
        <v>628452.0</v>
      </c>
      <c r="D5475" s="1" t="s">
        <v>532</v>
      </c>
      <c r="E5475" s="1" t="s">
        <v>927</v>
      </c>
      <c r="F5475" s="1" t="s">
        <v>926</v>
      </c>
      <c r="G5475" s="1">
        <v>181.0</v>
      </c>
      <c r="H5475" s="1">
        <v>12.64246196</v>
      </c>
      <c r="I5475" s="1">
        <v>4.97</v>
      </c>
      <c r="J5475" s="1">
        <v>4.085845</v>
      </c>
    </row>
    <row r="5476">
      <c r="A5476" s="1">
        <v>2025.0</v>
      </c>
      <c r="B5476" s="1" t="s">
        <v>184</v>
      </c>
      <c r="C5476" s="1">
        <v>628452.0</v>
      </c>
      <c r="D5476" s="1" t="s">
        <v>537</v>
      </c>
      <c r="E5476" s="1" t="s">
        <v>927</v>
      </c>
      <c r="F5476" s="1" t="s">
        <v>926</v>
      </c>
      <c r="G5476" s="1">
        <v>249.0</v>
      </c>
      <c r="H5476" s="1">
        <v>17.39211618</v>
      </c>
      <c r="I5476" s="1">
        <v>4.77</v>
      </c>
      <c r="J5476" s="1">
        <v>6.722869</v>
      </c>
    </row>
    <row r="5477">
      <c r="A5477" s="1">
        <v>2025.0</v>
      </c>
      <c r="B5477" s="1" t="s">
        <v>184</v>
      </c>
      <c r="C5477" s="1">
        <v>628452.0</v>
      </c>
      <c r="D5477" s="1" t="s">
        <v>536</v>
      </c>
      <c r="E5477" s="1" t="s">
        <v>927</v>
      </c>
      <c r="F5477" s="1" t="s">
        <v>926</v>
      </c>
      <c r="G5477" s="1">
        <v>64.0</v>
      </c>
      <c r="H5477" s="1">
        <v>4.470262794</v>
      </c>
      <c r="I5477" s="1">
        <v>4.53</v>
      </c>
      <c r="J5477" s="1">
        <v>2.015601</v>
      </c>
    </row>
    <row r="5478">
      <c r="A5478" s="1">
        <v>2025.0</v>
      </c>
      <c r="B5478" s="1" t="s">
        <v>184</v>
      </c>
      <c r="C5478" s="1">
        <v>628452.0</v>
      </c>
      <c r="D5478" s="1" t="s">
        <v>533</v>
      </c>
      <c r="E5478" s="1" t="s">
        <v>927</v>
      </c>
      <c r="F5478" s="1" t="s">
        <v>926</v>
      </c>
      <c r="G5478" s="1">
        <v>28.0</v>
      </c>
      <c r="H5478" s="1">
        <v>1.955739972</v>
      </c>
      <c r="I5478" s="1">
        <v>4.94</v>
      </c>
      <c r="J5478" s="1">
        <v>0.691695</v>
      </c>
    </row>
    <row r="5479">
      <c r="A5479" s="1">
        <v>2025.0</v>
      </c>
      <c r="B5479" s="1" t="s">
        <v>184</v>
      </c>
      <c r="C5479" s="1">
        <v>628452.0</v>
      </c>
      <c r="D5479" s="1" t="s">
        <v>532</v>
      </c>
      <c r="E5479" s="1" t="s">
        <v>927</v>
      </c>
      <c r="F5479" s="1" t="s">
        <v>927</v>
      </c>
      <c r="G5479" s="1">
        <v>90.0</v>
      </c>
      <c r="H5479" s="1">
        <v>6.286307054</v>
      </c>
      <c r="I5479" s="1">
        <v>5.3</v>
      </c>
      <c r="J5479" s="1">
        <v>1.428462</v>
      </c>
    </row>
    <row r="5480">
      <c r="A5480" s="1">
        <v>2025.0</v>
      </c>
      <c r="B5480" s="1" t="s">
        <v>184</v>
      </c>
      <c r="C5480" s="1">
        <v>628452.0</v>
      </c>
      <c r="D5480" s="1" t="s">
        <v>537</v>
      </c>
      <c r="E5480" s="1" t="s">
        <v>927</v>
      </c>
      <c r="F5480" s="1" t="s">
        <v>927</v>
      </c>
      <c r="G5480" s="1">
        <v>132.0</v>
      </c>
      <c r="H5480" s="1">
        <v>9.219917012</v>
      </c>
      <c r="I5480" s="1">
        <v>5.27</v>
      </c>
      <c r="J5480" s="1">
        <v>2.263029</v>
      </c>
    </row>
    <row r="5481">
      <c r="A5481" s="1">
        <v>2025.0</v>
      </c>
      <c r="B5481" s="1" t="s">
        <v>184</v>
      </c>
      <c r="C5481" s="1">
        <v>628452.0</v>
      </c>
      <c r="D5481" s="1" t="s">
        <v>536</v>
      </c>
      <c r="E5481" s="1" t="s">
        <v>927</v>
      </c>
      <c r="F5481" s="1" t="s">
        <v>927</v>
      </c>
      <c r="G5481" s="1">
        <v>153.0</v>
      </c>
      <c r="H5481" s="1">
        <v>10.68672199</v>
      </c>
      <c r="I5481" s="1">
        <v>5.12</v>
      </c>
      <c r="J5481" s="1">
        <v>3.120855</v>
      </c>
    </row>
    <row r="5482">
      <c r="A5482" s="1">
        <v>2025.0</v>
      </c>
      <c r="B5482" s="1" t="s">
        <v>184</v>
      </c>
      <c r="C5482" s="1">
        <v>628452.0</v>
      </c>
      <c r="D5482" s="1" t="s">
        <v>533</v>
      </c>
      <c r="E5482" s="1" t="s">
        <v>927</v>
      </c>
      <c r="F5482" s="1" t="s">
        <v>927</v>
      </c>
      <c r="G5482" s="1">
        <v>67.0</v>
      </c>
      <c r="H5482" s="1">
        <v>4.679806362</v>
      </c>
      <c r="I5482" s="1">
        <v>5.08</v>
      </c>
      <c r="J5482" s="1">
        <v>1.32477</v>
      </c>
    </row>
    <row r="5483">
      <c r="A5483" s="1">
        <v>2025.0</v>
      </c>
      <c r="B5483" s="1" t="s">
        <v>616</v>
      </c>
      <c r="C5483" s="1">
        <v>677976.0</v>
      </c>
      <c r="D5483" s="1" t="s">
        <v>532</v>
      </c>
      <c r="E5483" s="1" t="s">
        <v>927</v>
      </c>
      <c r="F5483" s="1" t="s">
        <v>926</v>
      </c>
      <c r="G5483" s="1">
        <v>10.0</v>
      </c>
      <c r="H5483" s="1">
        <v>0.675105485</v>
      </c>
      <c r="I5483" s="1">
        <v>4.68</v>
      </c>
      <c r="J5483" s="1">
        <v>0.286967</v>
      </c>
    </row>
    <row r="5484">
      <c r="A5484" s="1">
        <v>2025.0</v>
      </c>
      <c r="B5484" s="1" t="s">
        <v>616</v>
      </c>
      <c r="C5484" s="1">
        <v>677976.0</v>
      </c>
      <c r="D5484" s="1" t="s">
        <v>537</v>
      </c>
      <c r="E5484" s="1" t="s">
        <v>927</v>
      </c>
      <c r="F5484" s="1" t="s">
        <v>926</v>
      </c>
      <c r="G5484" s="1">
        <v>13.0</v>
      </c>
      <c r="H5484" s="1">
        <v>0.877637131</v>
      </c>
      <c r="I5484" s="1">
        <v>4.73</v>
      </c>
      <c r="J5484" s="1">
        <v>0.367187</v>
      </c>
    </row>
    <row r="5485">
      <c r="A5485" s="1">
        <v>2025.0</v>
      </c>
      <c r="B5485" s="1" t="s">
        <v>616</v>
      </c>
      <c r="C5485" s="1">
        <v>677976.0</v>
      </c>
      <c r="D5485" s="1" t="s">
        <v>536</v>
      </c>
      <c r="E5485" s="1" t="s">
        <v>927</v>
      </c>
      <c r="F5485" s="1" t="s">
        <v>926</v>
      </c>
      <c r="G5485" s="1">
        <v>6.0</v>
      </c>
      <c r="H5485" s="1">
        <v>0.405063291</v>
      </c>
      <c r="I5485" s="1">
        <v>7.15</v>
      </c>
      <c r="J5485" s="1">
        <v>-0.134679</v>
      </c>
    </row>
    <row r="5486">
      <c r="A5486" s="1">
        <v>2025.0</v>
      </c>
      <c r="B5486" s="1" t="s">
        <v>616</v>
      </c>
      <c r="C5486" s="1">
        <v>677976.0</v>
      </c>
      <c r="D5486" s="1" t="s">
        <v>533</v>
      </c>
      <c r="E5486" s="1" t="s">
        <v>927</v>
      </c>
      <c r="F5486" s="1" t="s">
        <v>926</v>
      </c>
      <c r="G5486" s="1">
        <v>7.0</v>
      </c>
      <c r="H5486" s="1">
        <v>0.47257384</v>
      </c>
      <c r="I5486" s="1">
        <v>3.63</v>
      </c>
      <c r="J5486" s="1">
        <v>0.3438</v>
      </c>
    </row>
    <row r="5487">
      <c r="A5487" s="1">
        <v>2025.0</v>
      </c>
      <c r="B5487" s="1" t="s">
        <v>616</v>
      </c>
      <c r="C5487" s="1">
        <v>677976.0</v>
      </c>
      <c r="D5487" s="1" t="s">
        <v>532</v>
      </c>
      <c r="E5487" s="1" t="s">
        <v>927</v>
      </c>
      <c r="F5487" s="1" t="s">
        <v>927</v>
      </c>
      <c r="G5487" s="1">
        <v>9.0</v>
      </c>
      <c r="H5487" s="1">
        <v>0.607594937</v>
      </c>
      <c r="I5487" s="1">
        <v>5.61</v>
      </c>
      <c r="J5487" s="1">
        <v>0.088045</v>
      </c>
    </row>
    <row r="5488">
      <c r="A5488" s="1">
        <v>2025.0</v>
      </c>
      <c r="B5488" s="1" t="s">
        <v>616</v>
      </c>
      <c r="C5488" s="1">
        <v>677976.0</v>
      </c>
      <c r="D5488" s="1" t="s">
        <v>537</v>
      </c>
      <c r="E5488" s="1" t="s">
        <v>927</v>
      </c>
      <c r="F5488" s="1" t="s">
        <v>927</v>
      </c>
      <c r="G5488" s="1">
        <v>7.0</v>
      </c>
      <c r="H5488" s="1">
        <v>0.47257384</v>
      </c>
      <c r="I5488" s="1">
        <v>3.22</v>
      </c>
      <c r="J5488" s="1">
        <v>0.395724</v>
      </c>
    </row>
    <row r="5489">
      <c r="A5489" s="1">
        <v>2025.0</v>
      </c>
      <c r="B5489" s="1" t="s">
        <v>616</v>
      </c>
      <c r="C5489" s="1">
        <v>677976.0</v>
      </c>
      <c r="D5489" s="1" t="s">
        <v>536</v>
      </c>
      <c r="E5489" s="1" t="s">
        <v>927</v>
      </c>
      <c r="F5489" s="1" t="s">
        <v>927</v>
      </c>
      <c r="G5489" s="1">
        <v>12.0</v>
      </c>
      <c r="H5489" s="1">
        <v>0.810126582</v>
      </c>
      <c r="I5489" s="1">
        <v>4.77</v>
      </c>
      <c r="J5489" s="1">
        <v>0.324407</v>
      </c>
    </row>
    <row r="5490">
      <c r="A5490" s="1">
        <v>2025.0</v>
      </c>
      <c r="B5490" s="1" t="s">
        <v>616</v>
      </c>
      <c r="C5490" s="1">
        <v>677976.0</v>
      </c>
      <c r="D5490" s="1" t="s">
        <v>533</v>
      </c>
      <c r="E5490" s="1" t="s">
        <v>927</v>
      </c>
      <c r="F5490" s="1" t="s">
        <v>927</v>
      </c>
      <c r="G5490" s="1">
        <v>15.0</v>
      </c>
      <c r="H5490" s="1">
        <v>1.012658228</v>
      </c>
      <c r="I5490" s="1">
        <v>4.29</v>
      </c>
      <c r="J5490" s="1">
        <v>0.530995</v>
      </c>
    </row>
    <row r="5491">
      <c r="A5491" s="1">
        <v>2025.0</v>
      </c>
      <c r="B5491" s="1" t="s">
        <v>30</v>
      </c>
      <c r="C5491" s="1">
        <v>678495.0</v>
      </c>
      <c r="D5491" s="1" t="s">
        <v>537</v>
      </c>
      <c r="E5491" s="1" t="s">
        <v>927</v>
      </c>
      <c r="F5491" s="1" t="s">
        <v>926</v>
      </c>
      <c r="G5491" s="1">
        <v>228.0</v>
      </c>
      <c r="H5491" s="1">
        <v>14.40399002</v>
      </c>
      <c r="I5491" s="1">
        <v>5.15</v>
      </c>
      <c r="J5491" s="1">
        <v>4.301513</v>
      </c>
    </row>
    <row r="5492">
      <c r="A5492" s="1">
        <v>2025.0</v>
      </c>
      <c r="B5492" s="1" t="s">
        <v>30</v>
      </c>
      <c r="C5492" s="1">
        <v>678495.0</v>
      </c>
      <c r="D5492" s="1" t="s">
        <v>533</v>
      </c>
      <c r="E5492" s="1" t="s">
        <v>927</v>
      </c>
      <c r="F5492" s="1" t="s">
        <v>926</v>
      </c>
      <c r="G5492" s="1">
        <v>188.0</v>
      </c>
      <c r="H5492" s="1">
        <v>11.87697423</v>
      </c>
      <c r="I5492" s="1">
        <v>5.41</v>
      </c>
      <c r="J5492" s="1">
        <v>2.508491</v>
      </c>
    </row>
    <row r="5493">
      <c r="A5493" s="1">
        <v>2025.0</v>
      </c>
      <c r="B5493" s="1" t="s">
        <v>30</v>
      </c>
      <c r="C5493" s="1">
        <v>678495.0</v>
      </c>
      <c r="D5493" s="1" t="s">
        <v>537</v>
      </c>
      <c r="E5493" s="1" t="s">
        <v>927</v>
      </c>
      <c r="F5493" s="1" t="s">
        <v>927</v>
      </c>
      <c r="G5493" s="1">
        <v>216.0</v>
      </c>
      <c r="H5493" s="1">
        <v>13.64588529</v>
      </c>
      <c r="I5493" s="1">
        <v>5.53</v>
      </c>
      <c r="J5493" s="1">
        <v>2.41288</v>
      </c>
    </row>
    <row r="5494">
      <c r="A5494" s="1">
        <v>2025.0</v>
      </c>
      <c r="B5494" s="1" t="s">
        <v>30</v>
      </c>
      <c r="C5494" s="1">
        <v>678495.0</v>
      </c>
      <c r="D5494" s="1" t="s">
        <v>533</v>
      </c>
      <c r="E5494" s="1" t="s">
        <v>927</v>
      </c>
      <c r="F5494" s="1" t="s">
        <v>927</v>
      </c>
      <c r="G5494" s="1">
        <v>170.0</v>
      </c>
      <c r="H5494" s="1">
        <v>10.73981712</v>
      </c>
      <c r="I5494" s="1">
        <v>5.41</v>
      </c>
      <c r="J5494" s="1">
        <v>2.241155</v>
      </c>
    </row>
    <row r="5495">
      <c r="A5495" s="1">
        <v>2025.0</v>
      </c>
      <c r="B5495" s="1" t="s">
        <v>302</v>
      </c>
      <c r="C5495" s="1">
        <v>681190.0</v>
      </c>
      <c r="D5495" s="1" t="s">
        <v>532</v>
      </c>
      <c r="E5495" s="1" t="s">
        <v>927</v>
      </c>
      <c r="F5495" s="1" t="s">
        <v>926</v>
      </c>
      <c r="G5495" s="1">
        <v>136.0</v>
      </c>
      <c r="H5495" s="1">
        <v>8.463066418</v>
      </c>
      <c r="I5495" s="1">
        <v>4.84</v>
      </c>
      <c r="J5495" s="1">
        <v>3.282651</v>
      </c>
    </row>
    <row r="5496">
      <c r="A5496" s="1">
        <v>2025.0</v>
      </c>
      <c r="B5496" s="1" t="s">
        <v>302</v>
      </c>
      <c r="C5496" s="1">
        <v>681190.0</v>
      </c>
      <c r="D5496" s="1" t="s">
        <v>541</v>
      </c>
      <c r="E5496" s="1" t="s">
        <v>927</v>
      </c>
      <c r="F5496" s="1" t="s">
        <v>926</v>
      </c>
      <c r="G5496" s="1">
        <v>225.0</v>
      </c>
      <c r="H5496" s="1">
        <v>14.00139665</v>
      </c>
      <c r="I5496" s="1">
        <v>4.96</v>
      </c>
      <c r="J5496" s="1">
        <v>4.985589</v>
      </c>
    </row>
    <row r="5497">
      <c r="A5497" s="1">
        <v>2025.0</v>
      </c>
      <c r="B5497" s="1" t="s">
        <v>302</v>
      </c>
      <c r="C5497" s="1">
        <v>681190.0</v>
      </c>
      <c r="D5497" s="1" t="s">
        <v>540</v>
      </c>
      <c r="E5497" s="1" t="s">
        <v>927</v>
      </c>
      <c r="F5497" s="1" t="s">
        <v>926</v>
      </c>
      <c r="G5497" s="1">
        <v>275.0</v>
      </c>
      <c r="H5497" s="1">
        <v>17.11281813</v>
      </c>
      <c r="I5497" s="1">
        <v>4.83</v>
      </c>
      <c r="J5497" s="1">
        <v>6.860263</v>
      </c>
    </row>
    <row r="5498">
      <c r="A5498" s="1">
        <v>2025.0</v>
      </c>
      <c r="B5498" s="1" t="s">
        <v>302</v>
      </c>
      <c r="C5498" s="1">
        <v>681190.0</v>
      </c>
      <c r="D5498" s="1" t="s">
        <v>537</v>
      </c>
      <c r="E5498" s="1" t="s">
        <v>927</v>
      </c>
      <c r="F5498" s="1" t="s">
        <v>926</v>
      </c>
      <c r="G5498" s="1">
        <v>297.0</v>
      </c>
      <c r="H5498" s="1">
        <v>18.48184358</v>
      </c>
      <c r="I5498" s="1">
        <v>4.65</v>
      </c>
      <c r="J5498" s="1">
        <v>8.701339</v>
      </c>
    </row>
    <row r="5499">
      <c r="A5499" s="1">
        <v>2025.0</v>
      </c>
      <c r="B5499" s="1" t="s">
        <v>302</v>
      </c>
      <c r="C5499" s="1">
        <v>681190.0</v>
      </c>
      <c r="D5499" s="1" t="s">
        <v>536</v>
      </c>
      <c r="E5499" s="1" t="s">
        <v>927</v>
      </c>
      <c r="F5499" s="1" t="s">
        <v>926</v>
      </c>
      <c r="G5499" s="1">
        <v>62.0</v>
      </c>
      <c r="H5499" s="1">
        <v>3.858162632</v>
      </c>
      <c r="I5499" s="1">
        <v>4.52</v>
      </c>
      <c r="J5499" s="1">
        <v>1.952853</v>
      </c>
    </row>
    <row r="5500">
      <c r="A5500" s="1">
        <v>2025.0</v>
      </c>
      <c r="B5500" s="1" t="s">
        <v>302</v>
      </c>
      <c r="C5500" s="1">
        <v>681190.0</v>
      </c>
      <c r="D5500" s="1" t="s">
        <v>533</v>
      </c>
      <c r="E5500" s="1" t="s">
        <v>927</v>
      </c>
      <c r="F5500" s="1" t="s">
        <v>926</v>
      </c>
      <c r="G5500" s="1">
        <v>9.0</v>
      </c>
      <c r="H5500" s="1">
        <v>0.560055866</v>
      </c>
      <c r="I5500" s="1">
        <v>5.58</v>
      </c>
      <c r="J5500" s="1">
        <v>0.080251</v>
      </c>
    </row>
    <row r="5501">
      <c r="A5501" s="1">
        <v>2025.0</v>
      </c>
      <c r="B5501" s="1" t="s">
        <v>302</v>
      </c>
      <c r="C5501" s="1">
        <v>681190.0</v>
      </c>
      <c r="D5501" s="1" t="s">
        <v>539</v>
      </c>
      <c r="E5501" s="1" t="s">
        <v>927</v>
      </c>
      <c r="F5501" s="1" t="s">
        <v>926</v>
      </c>
      <c r="G5501" s="1">
        <v>89.0</v>
      </c>
      <c r="H5501" s="1">
        <v>5.53833023</v>
      </c>
      <c r="I5501" s="1">
        <v>5.36</v>
      </c>
      <c r="J5501" s="1">
        <v>1.234472</v>
      </c>
    </row>
    <row r="5502">
      <c r="A5502" s="1">
        <v>2025.0</v>
      </c>
      <c r="B5502" s="1" t="s">
        <v>302</v>
      </c>
      <c r="C5502" s="1">
        <v>681190.0</v>
      </c>
      <c r="D5502" s="1" t="s">
        <v>532</v>
      </c>
      <c r="E5502" s="1" t="s">
        <v>927</v>
      </c>
      <c r="F5502" s="1" t="s">
        <v>927</v>
      </c>
      <c r="G5502" s="1">
        <v>12.0</v>
      </c>
      <c r="H5502" s="1">
        <v>0.746741155</v>
      </c>
      <c r="I5502" s="1">
        <v>5.1</v>
      </c>
      <c r="J5502" s="1">
        <v>0.232135</v>
      </c>
    </row>
    <row r="5503">
      <c r="A5503" s="1">
        <v>2025.0</v>
      </c>
      <c r="B5503" s="1" t="s">
        <v>302</v>
      </c>
      <c r="C5503" s="1">
        <v>681190.0</v>
      </c>
      <c r="D5503" s="1" t="s">
        <v>541</v>
      </c>
      <c r="E5503" s="1" t="s">
        <v>927</v>
      </c>
      <c r="F5503" s="1" t="s">
        <v>927</v>
      </c>
      <c r="G5503" s="1">
        <v>52.0</v>
      </c>
      <c r="H5503" s="1">
        <v>3.235878336</v>
      </c>
      <c r="I5503" s="1">
        <v>4.93</v>
      </c>
      <c r="J5503" s="1">
        <v>1.173614</v>
      </c>
    </row>
    <row r="5504">
      <c r="A5504" s="1">
        <v>2025.0</v>
      </c>
      <c r="B5504" s="1" t="s">
        <v>302</v>
      </c>
      <c r="C5504" s="1">
        <v>681190.0</v>
      </c>
      <c r="D5504" s="1" t="s">
        <v>540</v>
      </c>
      <c r="E5504" s="1" t="s">
        <v>927</v>
      </c>
      <c r="F5504" s="1" t="s">
        <v>927</v>
      </c>
      <c r="G5504" s="1">
        <v>258.0</v>
      </c>
      <c r="H5504" s="1">
        <v>16.05493482</v>
      </c>
      <c r="I5504" s="1">
        <v>4.95</v>
      </c>
      <c r="J5504" s="1">
        <v>5.889442</v>
      </c>
    </row>
    <row r="5505">
      <c r="A5505" s="1">
        <v>2025.0</v>
      </c>
      <c r="B5505" s="1" t="s">
        <v>302</v>
      </c>
      <c r="C5505" s="1">
        <v>681190.0</v>
      </c>
      <c r="D5505" s="1" t="s">
        <v>537</v>
      </c>
      <c r="E5505" s="1" t="s">
        <v>927</v>
      </c>
      <c r="F5505" s="1" t="s">
        <v>927</v>
      </c>
      <c r="G5505" s="1">
        <v>152.0</v>
      </c>
      <c r="H5505" s="1">
        <v>9.458721291</v>
      </c>
      <c r="I5505" s="1">
        <v>4.96</v>
      </c>
      <c r="J5505" s="1">
        <v>3.486644</v>
      </c>
    </row>
    <row r="5506">
      <c r="A5506" s="1">
        <v>2025.0</v>
      </c>
      <c r="B5506" s="1" t="s">
        <v>302</v>
      </c>
      <c r="C5506" s="1">
        <v>681190.0</v>
      </c>
      <c r="D5506" s="1" t="s">
        <v>536</v>
      </c>
      <c r="E5506" s="1" t="s">
        <v>927</v>
      </c>
      <c r="F5506" s="1" t="s">
        <v>927</v>
      </c>
      <c r="G5506" s="1">
        <v>350.0</v>
      </c>
      <c r="H5506" s="1">
        <v>21.77995034</v>
      </c>
      <c r="I5506" s="1">
        <v>5.13</v>
      </c>
      <c r="J5506" s="1">
        <v>6.876403</v>
      </c>
    </row>
    <row r="5507">
      <c r="A5507" s="1">
        <v>2025.0</v>
      </c>
      <c r="B5507" s="1" t="s">
        <v>302</v>
      </c>
      <c r="C5507" s="1">
        <v>681190.0</v>
      </c>
      <c r="D5507" s="1" t="s">
        <v>533</v>
      </c>
      <c r="E5507" s="1" t="s">
        <v>927</v>
      </c>
      <c r="F5507" s="1" t="s">
        <v>927</v>
      </c>
      <c r="G5507" s="1">
        <v>29.0</v>
      </c>
      <c r="H5507" s="1">
        <v>1.804624457</v>
      </c>
      <c r="I5507" s="1">
        <v>4.88</v>
      </c>
      <c r="J5507" s="1">
        <v>0.705463</v>
      </c>
    </row>
    <row r="5508">
      <c r="A5508" s="1">
        <v>2025.0</v>
      </c>
      <c r="B5508" s="1" t="s">
        <v>302</v>
      </c>
      <c r="C5508" s="1">
        <v>681190.0</v>
      </c>
      <c r="D5508" s="1" t="s">
        <v>539</v>
      </c>
      <c r="E5508" s="1" t="s">
        <v>927</v>
      </c>
      <c r="F5508" s="1" t="s">
        <v>927</v>
      </c>
      <c r="G5508" s="1">
        <v>202.0</v>
      </c>
      <c r="H5508" s="1">
        <v>12.57014277</v>
      </c>
      <c r="I5508" s="1">
        <v>5.13</v>
      </c>
      <c r="J5508" s="1">
        <v>3.646414</v>
      </c>
    </row>
    <row r="5509">
      <c r="A5509" s="1">
        <v>2025.0</v>
      </c>
      <c r="B5509" s="1" t="s">
        <v>786</v>
      </c>
      <c r="C5509" s="1">
        <v>691094.0</v>
      </c>
      <c r="D5509" s="1" t="s">
        <v>532</v>
      </c>
      <c r="E5509" s="1" t="s">
        <v>927</v>
      </c>
      <c r="F5509" s="1" t="s">
        <v>926</v>
      </c>
      <c r="G5509" s="1">
        <v>5.0</v>
      </c>
      <c r="H5509" s="1">
        <v>0.319148936</v>
      </c>
      <c r="I5509" s="1">
        <v>5.09</v>
      </c>
      <c r="J5509" s="1">
        <v>0.0832</v>
      </c>
    </row>
    <row r="5510">
      <c r="A5510" s="1">
        <v>2025.0</v>
      </c>
      <c r="B5510" s="1" t="s">
        <v>786</v>
      </c>
      <c r="C5510" s="1">
        <v>691094.0</v>
      </c>
      <c r="D5510" s="1" t="s">
        <v>541</v>
      </c>
      <c r="E5510" s="1" t="s">
        <v>927</v>
      </c>
      <c r="F5510" s="1" t="s">
        <v>926</v>
      </c>
      <c r="G5510" s="1">
        <v>5.0</v>
      </c>
      <c r="H5510" s="1">
        <v>0.319148936</v>
      </c>
      <c r="I5510" s="1">
        <v>4.87</v>
      </c>
      <c r="J5510" s="1">
        <v>0.118225</v>
      </c>
    </row>
    <row r="5511">
      <c r="A5511" s="1">
        <v>2025.0</v>
      </c>
      <c r="B5511" s="1" t="s">
        <v>786</v>
      </c>
      <c r="C5511" s="1">
        <v>691094.0</v>
      </c>
      <c r="D5511" s="1" t="s">
        <v>540</v>
      </c>
      <c r="E5511" s="1" t="s">
        <v>927</v>
      </c>
      <c r="F5511" s="1" t="s">
        <v>926</v>
      </c>
      <c r="G5511" s="1">
        <v>7.0</v>
      </c>
      <c r="H5511" s="1">
        <v>0.446808511</v>
      </c>
      <c r="I5511" s="1">
        <v>5.63</v>
      </c>
      <c r="J5511" s="1">
        <v>0.04986</v>
      </c>
    </row>
    <row r="5512">
      <c r="A5512" s="1">
        <v>2025.0</v>
      </c>
      <c r="B5512" s="1" t="s">
        <v>786</v>
      </c>
      <c r="C5512" s="1">
        <v>691094.0</v>
      </c>
      <c r="D5512" s="1" t="s">
        <v>536</v>
      </c>
      <c r="E5512" s="1" t="s">
        <v>927</v>
      </c>
      <c r="F5512" s="1" t="s">
        <v>926</v>
      </c>
      <c r="G5512" s="1">
        <v>16.0</v>
      </c>
      <c r="H5512" s="1">
        <v>1.021276596</v>
      </c>
      <c r="I5512" s="1">
        <v>5.14</v>
      </c>
      <c r="J5512" s="1">
        <v>0.295857</v>
      </c>
    </row>
    <row r="5513">
      <c r="A5513" s="1">
        <v>2025.0</v>
      </c>
      <c r="B5513" s="1" t="s">
        <v>786</v>
      </c>
      <c r="C5513" s="1">
        <v>691094.0</v>
      </c>
      <c r="D5513" s="1" t="s">
        <v>533</v>
      </c>
      <c r="E5513" s="1" t="s">
        <v>927</v>
      </c>
      <c r="F5513" s="1" t="s">
        <v>926</v>
      </c>
      <c r="G5513" s="1">
        <v>2.0</v>
      </c>
      <c r="H5513" s="1">
        <v>0.127659574</v>
      </c>
      <c r="I5513" s="1">
        <v>4.96</v>
      </c>
      <c r="J5513" s="1">
        <v>0.044042</v>
      </c>
    </row>
    <row r="5514">
      <c r="A5514" s="1">
        <v>2025.0</v>
      </c>
      <c r="B5514" s="1" t="s">
        <v>786</v>
      </c>
      <c r="C5514" s="1">
        <v>691094.0</v>
      </c>
      <c r="D5514" s="1" t="s">
        <v>532</v>
      </c>
      <c r="E5514" s="1" t="s">
        <v>927</v>
      </c>
      <c r="F5514" s="1" t="s">
        <v>927</v>
      </c>
      <c r="G5514" s="1">
        <v>1.0</v>
      </c>
      <c r="H5514" s="1">
        <v>0.063829787</v>
      </c>
      <c r="I5514" s="1">
        <v>5.05</v>
      </c>
      <c r="J5514" s="1">
        <v>0.017833</v>
      </c>
    </row>
    <row r="5515">
      <c r="A5515" s="1">
        <v>2025.0</v>
      </c>
      <c r="B5515" s="1" t="s">
        <v>786</v>
      </c>
      <c r="C5515" s="1">
        <v>691094.0</v>
      </c>
      <c r="D5515" s="1" t="s">
        <v>540</v>
      </c>
      <c r="E5515" s="1" t="s">
        <v>927</v>
      </c>
      <c r="F5515" s="1" t="s">
        <v>927</v>
      </c>
      <c r="G5515" s="1">
        <v>2.0</v>
      </c>
      <c r="H5515" s="1">
        <v>0.127659574</v>
      </c>
      <c r="I5515" s="1">
        <v>4.95</v>
      </c>
      <c r="J5515" s="1">
        <v>0.045152</v>
      </c>
    </row>
    <row r="5516">
      <c r="A5516" s="1">
        <v>2025.0</v>
      </c>
      <c r="B5516" s="1" t="s">
        <v>786</v>
      </c>
      <c r="C5516" s="1">
        <v>691094.0</v>
      </c>
      <c r="D5516" s="1" t="s">
        <v>536</v>
      </c>
      <c r="E5516" s="1" t="s">
        <v>927</v>
      </c>
      <c r="F5516" s="1" t="s">
        <v>927</v>
      </c>
      <c r="G5516" s="1">
        <v>8.0</v>
      </c>
      <c r="H5516" s="1">
        <v>0.510638298</v>
      </c>
      <c r="I5516" s="1">
        <v>5.68</v>
      </c>
      <c r="J5516" s="1">
        <v>0.069315</v>
      </c>
    </row>
    <row r="5517">
      <c r="A5517" s="1">
        <v>2025.0</v>
      </c>
      <c r="B5517" s="1" t="s">
        <v>786</v>
      </c>
      <c r="C5517" s="1">
        <v>691094.0</v>
      </c>
      <c r="D5517" s="1" t="s">
        <v>533</v>
      </c>
      <c r="E5517" s="1" t="s">
        <v>927</v>
      </c>
      <c r="F5517" s="1" t="s">
        <v>927</v>
      </c>
      <c r="G5517" s="1">
        <v>1.0</v>
      </c>
      <c r="H5517" s="1">
        <v>0.063829787</v>
      </c>
      <c r="I5517" s="1">
        <v>5.25</v>
      </c>
      <c r="J5517" s="1">
        <v>0.016151</v>
      </c>
    </row>
    <row r="5518">
      <c r="A5518" s="1">
        <v>2025.0</v>
      </c>
      <c r="B5518" s="1" t="s">
        <v>105</v>
      </c>
      <c r="C5518" s="1">
        <v>624133.0</v>
      </c>
      <c r="D5518" s="1" t="s">
        <v>532</v>
      </c>
      <c r="E5518" s="1" t="s">
        <v>926</v>
      </c>
      <c r="F5518" s="1" t="s">
        <v>926</v>
      </c>
      <c r="G5518" s="1">
        <v>40.0</v>
      </c>
      <c r="H5518" s="1">
        <v>2.589849108</v>
      </c>
      <c r="I5518" s="1">
        <v>4.82</v>
      </c>
      <c r="J5518" s="1">
        <v>0.995192</v>
      </c>
    </row>
    <row r="5519">
      <c r="A5519" s="1">
        <v>2025.0</v>
      </c>
      <c r="B5519" s="1" t="s">
        <v>105</v>
      </c>
      <c r="C5519" s="1">
        <v>624133.0</v>
      </c>
      <c r="D5519" s="1" t="s">
        <v>541</v>
      </c>
      <c r="E5519" s="1" t="s">
        <v>926</v>
      </c>
      <c r="F5519" s="1" t="s">
        <v>926</v>
      </c>
      <c r="G5519" s="1">
        <v>53.0</v>
      </c>
      <c r="H5519" s="1">
        <v>3.431550069</v>
      </c>
      <c r="I5519" s="1">
        <v>5.15</v>
      </c>
      <c r="J5519" s="1">
        <v>0.913021</v>
      </c>
    </row>
    <row r="5520">
      <c r="A5520" s="1">
        <v>2025.0</v>
      </c>
      <c r="B5520" s="1" t="s">
        <v>105</v>
      </c>
      <c r="C5520" s="1">
        <v>624133.0</v>
      </c>
      <c r="D5520" s="1" t="s">
        <v>540</v>
      </c>
      <c r="E5520" s="1" t="s">
        <v>926</v>
      </c>
      <c r="F5520" s="1" t="s">
        <v>926</v>
      </c>
      <c r="G5520" s="1">
        <v>21.0</v>
      </c>
      <c r="H5520" s="1">
        <v>1.359670782</v>
      </c>
      <c r="I5520" s="1">
        <v>5.23</v>
      </c>
      <c r="J5520" s="1">
        <v>0.380675</v>
      </c>
    </row>
    <row r="5521">
      <c r="A5521" s="1">
        <v>2025.0</v>
      </c>
      <c r="B5521" s="1" t="s">
        <v>105</v>
      </c>
      <c r="C5521" s="1">
        <v>624133.0</v>
      </c>
      <c r="D5521" s="1" t="s">
        <v>537</v>
      </c>
      <c r="E5521" s="1" t="s">
        <v>926</v>
      </c>
      <c r="F5521" s="1" t="s">
        <v>926</v>
      </c>
      <c r="G5521" s="1">
        <v>58.0</v>
      </c>
      <c r="H5521" s="1">
        <v>3.755281207</v>
      </c>
      <c r="I5521" s="1">
        <v>5.16</v>
      </c>
      <c r="J5521" s="1">
        <v>1.060067</v>
      </c>
    </row>
    <row r="5522">
      <c r="A5522" s="1">
        <v>2025.0</v>
      </c>
      <c r="B5522" s="1" t="s">
        <v>105</v>
      </c>
      <c r="C5522" s="1">
        <v>624133.0</v>
      </c>
      <c r="D5522" s="1" t="s">
        <v>536</v>
      </c>
      <c r="E5522" s="1" t="s">
        <v>926</v>
      </c>
      <c r="F5522" s="1" t="s">
        <v>926</v>
      </c>
      <c r="G5522" s="1">
        <v>224.0</v>
      </c>
      <c r="H5522" s="1">
        <v>14.50315501</v>
      </c>
      <c r="I5522" s="1">
        <v>5.35</v>
      </c>
      <c r="J5522" s="1">
        <v>3.312504</v>
      </c>
    </row>
    <row r="5523">
      <c r="A5523" s="1">
        <v>2025.0</v>
      </c>
      <c r="B5523" s="1" t="s">
        <v>105</v>
      </c>
      <c r="C5523" s="1">
        <v>624133.0</v>
      </c>
      <c r="D5523" s="1" t="s">
        <v>533</v>
      </c>
      <c r="E5523" s="1" t="s">
        <v>926</v>
      </c>
      <c r="F5523" s="1" t="s">
        <v>926</v>
      </c>
      <c r="G5523" s="1">
        <v>94.0</v>
      </c>
      <c r="H5523" s="1">
        <v>6.086145405</v>
      </c>
      <c r="I5523" s="1">
        <v>5.51</v>
      </c>
      <c r="J5523" s="1">
        <v>0.953565</v>
      </c>
    </row>
    <row r="5524">
      <c r="A5524" s="1">
        <v>2025.0</v>
      </c>
      <c r="B5524" s="1" t="s">
        <v>105</v>
      </c>
      <c r="C5524" s="1">
        <v>624133.0</v>
      </c>
      <c r="D5524" s="1" t="s">
        <v>532</v>
      </c>
      <c r="E5524" s="1" t="s">
        <v>926</v>
      </c>
      <c r="F5524" s="1" t="s">
        <v>927</v>
      </c>
      <c r="G5524" s="1">
        <v>424.0</v>
      </c>
      <c r="H5524" s="1">
        <v>27.45240055</v>
      </c>
      <c r="I5524" s="1">
        <v>4.9</v>
      </c>
      <c r="J5524" s="1">
        <v>9.794875</v>
      </c>
    </row>
    <row r="5525">
      <c r="A5525" s="1">
        <v>2025.0</v>
      </c>
      <c r="B5525" s="1" t="s">
        <v>105</v>
      </c>
      <c r="C5525" s="1">
        <v>624133.0</v>
      </c>
      <c r="D5525" s="1" t="s">
        <v>541</v>
      </c>
      <c r="E5525" s="1" t="s">
        <v>926</v>
      </c>
      <c r="F5525" s="1" t="s">
        <v>927</v>
      </c>
      <c r="G5525" s="1">
        <v>340.0</v>
      </c>
      <c r="H5525" s="1">
        <v>22.01371742</v>
      </c>
      <c r="I5525" s="1">
        <v>5.21</v>
      </c>
      <c r="J5525" s="1">
        <v>5.757975</v>
      </c>
    </row>
    <row r="5526">
      <c r="A5526" s="1">
        <v>2025.0</v>
      </c>
      <c r="B5526" s="1" t="s">
        <v>105</v>
      </c>
      <c r="C5526" s="1">
        <v>624133.0</v>
      </c>
      <c r="D5526" s="1" t="s">
        <v>540</v>
      </c>
      <c r="E5526" s="1" t="s">
        <v>926</v>
      </c>
      <c r="F5526" s="1" t="s">
        <v>927</v>
      </c>
      <c r="G5526" s="1">
        <v>401.0</v>
      </c>
      <c r="H5526" s="1">
        <v>25.96323731</v>
      </c>
      <c r="I5526" s="1">
        <v>5.54</v>
      </c>
      <c r="J5526" s="1">
        <v>4.598368</v>
      </c>
    </row>
    <row r="5527">
      <c r="A5527" s="1">
        <v>2025.0</v>
      </c>
      <c r="B5527" s="1" t="s">
        <v>105</v>
      </c>
      <c r="C5527" s="1">
        <v>624133.0</v>
      </c>
      <c r="D5527" s="1" t="s">
        <v>537</v>
      </c>
      <c r="E5527" s="1" t="s">
        <v>926</v>
      </c>
      <c r="F5527" s="1" t="s">
        <v>927</v>
      </c>
      <c r="G5527" s="1">
        <v>296.0</v>
      </c>
      <c r="H5527" s="1">
        <v>19.1648834</v>
      </c>
      <c r="I5527" s="1">
        <v>4.76</v>
      </c>
      <c r="J5527" s="1">
        <v>8.055745</v>
      </c>
    </row>
    <row r="5528">
      <c r="A5528" s="1">
        <v>2025.0</v>
      </c>
      <c r="B5528" s="1" t="s">
        <v>105</v>
      </c>
      <c r="C5528" s="1">
        <v>624133.0</v>
      </c>
      <c r="D5528" s="1" t="s">
        <v>536</v>
      </c>
      <c r="E5528" s="1" t="s">
        <v>926</v>
      </c>
      <c r="F5528" s="1" t="s">
        <v>927</v>
      </c>
      <c r="G5528" s="1">
        <v>471.0</v>
      </c>
      <c r="H5528" s="1">
        <v>30.49547325</v>
      </c>
      <c r="I5528" s="1">
        <v>5.01</v>
      </c>
      <c r="J5528" s="1">
        <v>10.316425</v>
      </c>
    </row>
    <row r="5529">
      <c r="A5529" s="1">
        <v>2025.0</v>
      </c>
      <c r="B5529" s="1" t="s">
        <v>105</v>
      </c>
      <c r="C5529" s="1">
        <v>624133.0</v>
      </c>
      <c r="D5529" s="1" t="s">
        <v>533</v>
      </c>
      <c r="E5529" s="1" t="s">
        <v>926</v>
      </c>
      <c r="F5529" s="1" t="s">
        <v>927</v>
      </c>
      <c r="G5529" s="1">
        <v>8.0</v>
      </c>
      <c r="H5529" s="1">
        <v>0.517969822</v>
      </c>
      <c r="I5529" s="1">
        <v>6.5</v>
      </c>
      <c r="J5529" s="1">
        <v>-0.079839</v>
      </c>
    </row>
    <row r="5530">
      <c r="A5530" s="1">
        <v>2025.0</v>
      </c>
      <c r="B5530" s="1" t="s">
        <v>295</v>
      </c>
      <c r="C5530" s="1">
        <v>657585.0</v>
      </c>
      <c r="D5530" s="1" t="s">
        <v>540</v>
      </c>
      <c r="E5530" s="1" t="s">
        <v>927</v>
      </c>
      <c r="F5530" s="1" t="s">
        <v>926</v>
      </c>
      <c r="G5530" s="1">
        <v>150.0</v>
      </c>
      <c r="H5530" s="1">
        <v>8.486707566</v>
      </c>
      <c r="I5530" s="1">
        <v>5.05</v>
      </c>
      <c r="J5530" s="1">
        <v>3.186435</v>
      </c>
    </row>
    <row r="5531">
      <c r="A5531" s="1">
        <v>2025.0</v>
      </c>
      <c r="B5531" s="1" t="s">
        <v>295</v>
      </c>
      <c r="C5531" s="1">
        <v>657585.0</v>
      </c>
      <c r="D5531" s="1" t="s">
        <v>537</v>
      </c>
      <c r="E5531" s="1" t="s">
        <v>927</v>
      </c>
      <c r="F5531" s="1" t="s">
        <v>926</v>
      </c>
      <c r="G5531" s="1">
        <v>25.0</v>
      </c>
      <c r="H5531" s="1">
        <v>1.414451261</v>
      </c>
      <c r="I5531" s="1">
        <v>4.13</v>
      </c>
      <c r="J5531" s="1">
        <v>0.91836</v>
      </c>
    </row>
    <row r="5532">
      <c r="A5532" s="1">
        <v>2025.0</v>
      </c>
      <c r="B5532" s="1" t="s">
        <v>295</v>
      </c>
      <c r="C5532" s="1">
        <v>657585.0</v>
      </c>
      <c r="D5532" s="1" t="s">
        <v>538</v>
      </c>
      <c r="E5532" s="1" t="s">
        <v>927</v>
      </c>
      <c r="F5532" s="1" t="s">
        <v>926</v>
      </c>
      <c r="G5532" s="1">
        <v>139.0</v>
      </c>
      <c r="H5532" s="1">
        <v>7.864349012</v>
      </c>
      <c r="I5532" s="1">
        <v>4.42</v>
      </c>
      <c r="J5532" s="1">
        <v>4.484697</v>
      </c>
    </row>
    <row r="5533">
      <c r="A5533" s="1">
        <v>2025.0</v>
      </c>
      <c r="B5533" s="1" t="s">
        <v>295</v>
      </c>
      <c r="C5533" s="1">
        <v>657585.0</v>
      </c>
      <c r="D5533" s="1" t="s">
        <v>536</v>
      </c>
      <c r="E5533" s="1" t="s">
        <v>927</v>
      </c>
      <c r="F5533" s="1" t="s">
        <v>926</v>
      </c>
      <c r="G5533" s="1">
        <v>69.0</v>
      </c>
      <c r="H5533" s="1">
        <v>3.903885481</v>
      </c>
      <c r="I5533" s="1">
        <v>4.28</v>
      </c>
      <c r="J5533" s="1">
        <v>2.538672</v>
      </c>
    </row>
    <row r="5534">
      <c r="A5534" s="1">
        <v>2025.0</v>
      </c>
      <c r="B5534" s="1" t="s">
        <v>295</v>
      </c>
      <c r="C5534" s="1">
        <v>657585.0</v>
      </c>
      <c r="D5534" s="1" t="s">
        <v>539</v>
      </c>
      <c r="E5534" s="1" t="s">
        <v>927</v>
      </c>
      <c r="F5534" s="1" t="s">
        <v>926</v>
      </c>
      <c r="G5534" s="1">
        <v>74.0</v>
      </c>
      <c r="H5534" s="1">
        <v>4.186775733</v>
      </c>
      <c r="I5534" s="1">
        <v>5.18</v>
      </c>
      <c r="J5534" s="1">
        <v>1.26685</v>
      </c>
    </row>
    <row r="5535">
      <c r="A5535" s="1">
        <v>2025.0</v>
      </c>
      <c r="B5535" s="1" t="s">
        <v>295</v>
      </c>
      <c r="C5535" s="1">
        <v>657585.0</v>
      </c>
      <c r="D5535" s="1" t="s">
        <v>540</v>
      </c>
      <c r="E5535" s="1" t="s">
        <v>927</v>
      </c>
      <c r="F5535" s="1" t="s">
        <v>927</v>
      </c>
      <c r="G5535" s="1">
        <v>126.0</v>
      </c>
      <c r="H5535" s="1">
        <v>7.128834356</v>
      </c>
      <c r="I5535" s="1">
        <v>5.31</v>
      </c>
      <c r="J5535" s="1">
        <v>2.047032</v>
      </c>
    </row>
    <row r="5536">
      <c r="A5536" s="1">
        <v>2025.0</v>
      </c>
      <c r="B5536" s="1" t="s">
        <v>295</v>
      </c>
      <c r="C5536" s="1">
        <v>657585.0</v>
      </c>
      <c r="D5536" s="1" t="s">
        <v>537</v>
      </c>
      <c r="E5536" s="1" t="s">
        <v>927</v>
      </c>
      <c r="F5536" s="1" t="s">
        <v>927</v>
      </c>
      <c r="G5536" s="1">
        <v>17.0</v>
      </c>
      <c r="H5536" s="1">
        <v>0.961826858</v>
      </c>
      <c r="I5536" s="1">
        <v>4.18</v>
      </c>
      <c r="J5536" s="1">
        <v>0.648406</v>
      </c>
    </row>
    <row r="5537">
      <c r="A5537" s="1">
        <v>2025.0</v>
      </c>
      <c r="B5537" s="1" t="s">
        <v>295</v>
      </c>
      <c r="C5537" s="1">
        <v>657585.0</v>
      </c>
      <c r="D5537" s="1" t="s">
        <v>538</v>
      </c>
      <c r="E5537" s="1" t="s">
        <v>927</v>
      </c>
      <c r="F5537" s="1" t="s">
        <v>927</v>
      </c>
      <c r="G5537" s="1">
        <v>79.0</v>
      </c>
      <c r="H5537" s="1">
        <v>4.469665985</v>
      </c>
      <c r="I5537" s="1">
        <v>5.42</v>
      </c>
      <c r="J5537" s="1">
        <v>0.909331</v>
      </c>
    </row>
    <row r="5538">
      <c r="A5538" s="1">
        <v>2025.0</v>
      </c>
      <c r="B5538" s="1" t="s">
        <v>295</v>
      </c>
      <c r="C5538" s="1">
        <v>657585.0</v>
      </c>
      <c r="D5538" s="1" t="s">
        <v>536</v>
      </c>
      <c r="E5538" s="1" t="s">
        <v>927</v>
      </c>
      <c r="F5538" s="1" t="s">
        <v>927</v>
      </c>
      <c r="G5538" s="1">
        <v>167.0</v>
      </c>
      <c r="H5538" s="1">
        <v>9.448534424</v>
      </c>
      <c r="I5538" s="1">
        <v>5.33</v>
      </c>
      <c r="J5538" s="1">
        <v>2.538585</v>
      </c>
    </row>
    <row r="5539">
      <c r="A5539" s="1">
        <v>2025.0</v>
      </c>
      <c r="B5539" s="1" t="s">
        <v>295</v>
      </c>
      <c r="C5539" s="1">
        <v>657585.0</v>
      </c>
      <c r="D5539" s="1" t="s">
        <v>539</v>
      </c>
      <c r="E5539" s="1" t="s">
        <v>927</v>
      </c>
      <c r="F5539" s="1" t="s">
        <v>927</v>
      </c>
      <c r="G5539" s="1">
        <v>132.0</v>
      </c>
      <c r="H5539" s="1">
        <v>7.468302658</v>
      </c>
      <c r="I5539" s="1">
        <v>5.45</v>
      </c>
      <c r="J5539" s="1">
        <v>1.63948</v>
      </c>
    </row>
    <row r="5540">
      <c r="A5540" s="1">
        <v>2025.0</v>
      </c>
      <c r="B5540" s="1" t="s">
        <v>1000</v>
      </c>
      <c r="C5540" s="1">
        <v>624512.0</v>
      </c>
      <c r="D5540" s="1" t="s">
        <v>541</v>
      </c>
      <c r="E5540" s="1" t="s">
        <v>927</v>
      </c>
      <c r="F5540" s="1" t="s">
        <v>926</v>
      </c>
      <c r="G5540" s="1">
        <v>1.0</v>
      </c>
      <c r="H5540" s="1">
        <v>0.058823529</v>
      </c>
      <c r="I5540" s="1">
        <v>7.77</v>
      </c>
      <c r="J5540" s="1">
        <v>-0.028002</v>
      </c>
    </row>
    <row r="5541">
      <c r="A5541" s="1">
        <v>2025.0</v>
      </c>
      <c r="B5541" s="1" t="s">
        <v>1000</v>
      </c>
      <c r="C5541" s="1">
        <v>624512.0</v>
      </c>
      <c r="D5541" s="1" t="s">
        <v>533</v>
      </c>
      <c r="E5541" s="1" t="s">
        <v>927</v>
      </c>
      <c r="F5541" s="1" t="s">
        <v>926</v>
      </c>
      <c r="G5541" s="1">
        <v>6.0</v>
      </c>
      <c r="H5541" s="1">
        <v>0.352941176</v>
      </c>
      <c r="I5541" s="1">
        <v>4.28</v>
      </c>
      <c r="J5541" s="1">
        <v>0.228827</v>
      </c>
    </row>
    <row r="5542">
      <c r="A5542" s="1">
        <v>2025.0</v>
      </c>
      <c r="B5542" s="1" t="s">
        <v>1000</v>
      </c>
      <c r="C5542" s="1">
        <v>624512.0</v>
      </c>
      <c r="D5542" s="1" t="s">
        <v>541</v>
      </c>
      <c r="E5542" s="1" t="s">
        <v>927</v>
      </c>
      <c r="F5542" s="1" t="s">
        <v>927</v>
      </c>
      <c r="G5542" s="1">
        <v>4.0</v>
      </c>
      <c r="H5542" s="1">
        <v>0.235294118</v>
      </c>
      <c r="I5542" s="1">
        <v>3.64</v>
      </c>
      <c r="J5542" s="1">
        <v>0.195923</v>
      </c>
    </row>
    <row r="5543">
      <c r="A5543" s="1">
        <v>2025.0</v>
      </c>
      <c r="B5543" s="1" t="s">
        <v>1000</v>
      </c>
      <c r="C5543" s="1">
        <v>624512.0</v>
      </c>
      <c r="D5543" s="1" t="s">
        <v>533</v>
      </c>
      <c r="E5543" s="1" t="s">
        <v>927</v>
      </c>
      <c r="F5543" s="1" t="s">
        <v>927</v>
      </c>
      <c r="G5543" s="1">
        <v>6.0</v>
      </c>
      <c r="H5543" s="1">
        <v>0.352941176</v>
      </c>
      <c r="I5543" s="1">
        <v>3.28</v>
      </c>
      <c r="J5543" s="1">
        <v>0.330996</v>
      </c>
    </row>
    <row r="5544">
      <c r="A5544" s="1">
        <v>2025.0</v>
      </c>
      <c r="B5544" s="1" t="s">
        <v>419</v>
      </c>
      <c r="C5544" s="1">
        <v>681857.0</v>
      </c>
      <c r="D5544" s="1" t="s">
        <v>532</v>
      </c>
      <c r="E5544" s="1" t="s">
        <v>927</v>
      </c>
      <c r="F5544" s="1" t="s">
        <v>926</v>
      </c>
      <c r="G5544" s="1">
        <v>160.0</v>
      </c>
      <c r="H5544" s="1">
        <v>9.479436296</v>
      </c>
      <c r="I5544" s="1">
        <v>5.01</v>
      </c>
      <c r="J5544" s="1">
        <v>3.260644</v>
      </c>
    </row>
    <row r="5545">
      <c r="A5545" s="1">
        <v>2025.0</v>
      </c>
      <c r="B5545" s="1" t="s">
        <v>419</v>
      </c>
      <c r="C5545" s="1">
        <v>681857.0</v>
      </c>
      <c r="D5545" s="1" t="s">
        <v>541</v>
      </c>
      <c r="E5545" s="1" t="s">
        <v>927</v>
      </c>
      <c r="F5545" s="1" t="s">
        <v>926</v>
      </c>
      <c r="G5545" s="1">
        <v>44.0</v>
      </c>
      <c r="H5545" s="1">
        <v>2.606844981</v>
      </c>
      <c r="I5545" s="1">
        <v>3.92</v>
      </c>
      <c r="J5545" s="1">
        <v>1.924891</v>
      </c>
    </row>
    <row r="5546">
      <c r="A5546" s="1">
        <v>2025.0</v>
      </c>
      <c r="B5546" s="1" t="s">
        <v>419</v>
      </c>
      <c r="C5546" s="1">
        <v>681857.0</v>
      </c>
      <c r="D5546" s="1" t="s">
        <v>537</v>
      </c>
      <c r="E5546" s="1" t="s">
        <v>927</v>
      </c>
      <c r="F5546" s="1" t="s">
        <v>926</v>
      </c>
      <c r="G5546" s="1">
        <v>169.0</v>
      </c>
      <c r="H5546" s="1">
        <v>10.01265459</v>
      </c>
      <c r="I5546" s="1">
        <v>5.1</v>
      </c>
      <c r="J5546" s="1">
        <v>3.466437</v>
      </c>
    </row>
    <row r="5547">
      <c r="A5547" s="1">
        <v>2025.0</v>
      </c>
      <c r="B5547" s="1" t="s">
        <v>419</v>
      </c>
      <c r="C5547" s="1">
        <v>681857.0</v>
      </c>
      <c r="D5547" s="1" t="s">
        <v>536</v>
      </c>
      <c r="E5547" s="1" t="s">
        <v>927</v>
      </c>
      <c r="F5547" s="1" t="s">
        <v>926</v>
      </c>
      <c r="G5547" s="1">
        <v>51.0</v>
      </c>
      <c r="H5547" s="1">
        <v>3.021570319</v>
      </c>
      <c r="I5547" s="1">
        <v>5.34</v>
      </c>
      <c r="J5547" s="1">
        <v>0.738997</v>
      </c>
    </row>
    <row r="5548">
      <c r="A5548" s="1">
        <v>2025.0</v>
      </c>
      <c r="B5548" s="1" t="s">
        <v>419</v>
      </c>
      <c r="C5548" s="1">
        <v>681857.0</v>
      </c>
      <c r="D5548" s="1" t="s">
        <v>533</v>
      </c>
      <c r="E5548" s="1" t="s">
        <v>927</v>
      </c>
      <c r="F5548" s="1" t="s">
        <v>926</v>
      </c>
      <c r="G5548" s="1">
        <v>114.0</v>
      </c>
      <c r="H5548" s="1">
        <v>6.754098361</v>
      </c>
      <c r="I5548" s="1">
        <v>4.76</v>
      </c>
      <c r="J5548" s="1">
        <v>3.010675</v>
      </c>
    </row>
    <row r="5549">
      <c r="A5549" s="1">
        <v>2025.0</v>
      </c>
      <c r="B5549" s="1" t="s">
        <v>419</v>
      </c>
      <c r="C5549" s="1">
        <v>681857.0</v>
      </c>
      <c r="D5549" s="1" t="s">
        <v>539</v>
      </c>
      <c r="E5549" s="1" t="s">
        <v>927</v>
      </c>
      <c r="F5549" s="1" t="s">
        <v>926</v>
      </c>
      <c r="G5549" s="1">
        <v>2.0</v>
      </c>
      <c r="H5549" s="1">
        <v>0.118492954</v>
      </c>
      <c r="I5549" s="1">
        <v>4.97</v>
      </c>
      <c r="J5549" s="1">
        <v>0.045033</v>
      </c>
    </row>
    <row r="5550">
      <c r="A5550" s="1">
        <v>2025.0</v>
      </c>
      <c r="B5550" s="1" t="s">
        <v>419</v>
      </c>
      <c r="C5550" s="1">
        <v>681857.0</v>
      </c>
      <c r="D5550" s="1" t="s">
        <v>532</v>
      </c>
      <c r="E5550" s="1" t="s">
        <v>927</v>
      </c>
      <c r="F5550" s="1" t="s">
        <v>927</v>
      </c>
      <c r="G5550" s="1">
        <v>140.0</v>
      </c>
      <c r="H5550" s="1">
        <v>8.294506759</v>
      </c>
      <c r="I5550" s="1">
        <v>4.96</v>
      </c>
      <c r="J5550" s="1">
        <v>3.208214</v>
      </c>
    </row>
    <row r="5551">
      <c r="A5551" s="1">
        <v>2025.0</v>
      </c>
      <c r="B5551" s="1" t="s">
        <v>419</v>
      </c>
      <c r="C5551" s="1">
        <v>681857.0</v>
      </c>
      <c r="D5551" s="1" t="s">
        <v>541</v>
      </c>
      <c r="E5551" s="1" t="s">
        <v>927</v>
      </c>
      <c r="F5551" s="1" t="s">
        <v>927</v>
      </c>
      <c r="G5551" s="1">
        <v>19.0</v>
      </c>
      <c r="H5551" s="1">
        <v>1.12568306</v>
      </c>
      <c r="I5551" s="1">
        <v>3.71</v>
      </c>
      <c r="J5551" s="1">
        <v>0.920408</v>
      </c>
    </row>
    <row r="5552">
      <c r="A5552" s="1">
        <v>2025.0</v>
      </c>
      <c r="B5552" s="1" t="s">
        <v>419</v>
      </c>
      <c r="C5552" s="1">
        <v>681857.0</v>
      </c>
      <c r="D5552" s="1" t="s">
        <v>537</v>
      </c>
      <c r="E5552" s="1" t="s">
        <v>927</v>
      </c>
      <c r="F5552" s="1" t="s">
        <v>927</v>
      </c>
      <c r="G5552" s="1">
        <v>45.0</v>
      </c>
      <c r="H5552" s="1">
        <v>2.666091458</v>
      </c>
      <c r="I5552" s="1">
        <v>5.05</v>
      </c>
      <c r="J5552" s="1">
        <v>1.005836</v>
      </c>
    </row>
    <row r="5553">
      <c r="A5553" s="1">
        <v>2025.0</v>
      </c>
      <c r="B5553" s="1" t="s">
        <v>419</v>
      </c>
      <c r="C5553" s="1">
        <v>681857.0</v>
      </c>
      <c r="D5553" s="1" t="s">
        <v>536</v>
      </c>
      <c r="E5553" s="1" t="s">
        <v>927</v>
      </c>
      <c r="F5553" s="1" t="s">
        <v>927</v>
      </c>
      <c r="G5553" s="1">
        <v>275.0</v>
      </c>
      <c r="H5553" s="1">
        <v>16.29278113</v>
      </c>
      <c r="I5553" s="1">
        <v>4.84</v>
      </c>
      <c r="J5553" s="1">
        <v>7.05052</v>
      </c>
    </row>
    <row r="5554">
      <c r="A5554" s="1">
        <v>2025.0</v>
      </c>
      <c r="B5554" s="1" t="s">
        <v>419</v>
      </c>
      <c r="C5554" s="1">
        <v>681857.0</v>
      </c>
      <c r="D5554" s="1" t="s">
        <v>533</v>
      </c>
      <c r="E5554" s="1" t="s">
        <v>927</v>
      </c>
      <c r="F5554" s="1" t="s">
        <v>927</v>
      </c>
      <c r="G5554" s="1">
        <v>140.0</v>
      </c>
      <c r="H5554" s="1">
        <v>8.294506759</v>
      </c>
      <c r="I5554" s="1">
        <v>4.99</v>
      </c>
      <c r="J5554" s="1">
        <v>3.068807</v>
      </c>
    </row>
    <row r="5555">
      <c r="A5555" s="1">
        <v>2025.0</v>
      </c>
      <c r="B5555" s="1" t="s">
        <v>24</v>
      </c>
      <c r="C5555" s="1">
        <v>672282.0</v>
      </c>
      <c r="D5555" s="1" t="s">
        <v>541</v>
      </c>
      <c r="E5555" s="1" t="s">
        <v>926</v>
      </c>
      <c r="F5555" s="1" t="s">
        <v>926</v>
      </c>
      <c r="G5555" s="1">
        <v>36.0</v>
      </c>
      <c r="H5555" s="1">
        <v>2.11634349</v>
      </c>
      <c r="I5555" s="1">
        <v>4.75</v>
      </c>
      <c r="J5555" s="1">
        <v>0.951153</v>
      </c>
    </row>
    <row r="5556">
      <c r="A5556" s="1">
        <v>2025.0</v>
      </c>
      <c r="B5556" s="1" t="s">
        <v>24</v>
      </c>
      <c r="C5556" s="1">
        <v>672282.0</v>
      </c>
      <c r="D5556" s="1" t="s">
        <v>537</v>
      </c>
      <c r="E5556" s="1" t="s">
        <v>926</v>
      </c>
      <c r="F5556" s="1" t="s">
        <v>926</v>
      </c>
      <c r="G5556" s="1">
        <v>100.0</v>
      </c>
      <c r="H5556" s="1">
        <v>5.878731918</v>
      </c>
      <c r="I5556" s="1">
        <v>5.09</v>
      </c>
      <c r="J5556" s="1">
        <v>2.0076</v>
      </c>
    </row>
    <row r="5557">
      <c r="A5557" s="1">
        <v>2025.0</v>
      </c>
      <c r="B5557" s="1" t="s">
        <v>24</v>
      </c>
      <c r="C5557" s="1">
        <v>672282.0</v>
      </c>
      <c r="D5557" s="1" t="s">
        <v>536</v>
      </c>
      <c r="E5557" s="1" t="s">
        <v>926</v>
      </c>
      <c r="F5557" s="1" t="s">
        <v>926</v>
      </c>
      <c r="G5557" s="1">
        <v>20.0</v>
      </c>
      <c r="H5557" s="1">
        <v>1.175746384</v>
      </c>
      <c r="I5557" s="1">
        <v>5.76</v>
      </c>
      <c r="J5557" s="1">
        <v>0.118219</v>
      </c>
    </row>
    <row r="5558">
      <c r="A5558" s="1">
        <v>2025.0</v>
      </c>
      <c r="B5558" s="1" t="s">
        <v>24</v>
      </c>
      <c r="C5558" s="1">
        <v>672282.0</v>
      </c>
      <c r="D5558" s="1" t="s">
        <v>533</v>
      </c>
      <c r="E5558" s="1" t="s">
        <v>926</v>
      </c>
      <c r="F5558" s="1" t="s">
        <v>926</v>
      </c>
      <c r="G5558" s="1">
        <v>160.0</v>
      </c>
      <c r="H5558" s="1">
        <v>9.405971068</v>
      </c>
      <c r="I5558" s="1">
        <v>5.58</v>
      </c>
      <c r="J5558" s="1">
        <v>1.60803</v>
      </c>
    </row>
    <row r="5559">
      <c r="A5559" s="1">
        <v>2025.0</v>
      </c>
      <c r="B5559" s="1" t="s">
        <v>24</v>
      </c>
      <c r="C5559" s="1">
        <v>672282.0</v>
      </c>
      <c r="D5559" s="1" t="s">
        <v>532</v>
      </c>
      <c r="E5559" s="1" t="s">
        <v>926</v>
      </c>
      <c r="F5559" s="1" t="s">
        <v>927</v>
      </c>
      <c r="G5559" s="1">
        <v>2.0</v>
      </c>
      <c r="H5559" s="1">
        <v>0.117574638</v>
      </c>
      <c r="I5559" s="1">
        <v>4.63</v>
      </c>
      <c r="J5559" s="1">
        <v>0.063238</v>
      </c>
    </row>
    <row r="5560">
      <c r="A5560" s="1">
        <v>2025.0</v>
      </c>
      <c r="B5560" s="1" t="s">
        <v>24</v>
      </c>
      <c r="C5560" s="1">
        <v>672282.0</v>
      </c>
      <c r="D5560" s="1" t="s">
        <v>541</v>
      </c>
      <c r="E5560" s="1" t="s">
        <v>926</v>
      </c>
      <c r="F5560" s="1" t="s">
        <v>927</v>
      </c>
      <c r="G5560" s="1">
        <v>193.0</v>
      </c>
      <c r="H5560" s="1">
        <v>11.3459526</v>
      </c>
      <c r="I5560" s="1">
        <v>5.24</v>
      </c>
      <c r="J5560" s="1">
        <v>3.188819</v>
      </c>
    </row>
    <row r="5561">
      <c r="A5561" s="1">
        <v>2025.0</v>
      </c>
      <c r="B5561" s="1" t="s">
        <v>24</v>
      </c>
      <c r="C5561" s="1">
        <v>672282.0</v>
      </c>
      <c r="D5561" s="1" t="s">
        <v>537</v>
      </c>
      <c r="E5561" s="1" t="s">
        <v>926</v>
      </c>
      <c r="F5561" s="1" t="s">
        <v>927</v>
      </c>
      <c r="G5561" s="1">
        <v>378.0</v>
      </c>
      <c r="H5561" s="1">
        <v>22.22160665</v>
      </c>
      <c r="I5561" s="1">
        <v>5.62</v>
      </c>
      <c r="J5561" s="1">
        <v>3.440277</v>
      </c>
    </row>
    <row r="5562">
      <c r="A5562" s="1">
        <v>2025.0</v>
      </c>
      <c r="B5562" s="1" t="s">
        <v>24</v>
      </c>
      <c r="C5562" s="1">
        <v>672282.0</v>
      </c>
      <c r="D5562" s="1" t="s">
        <v>536</v>
      </c>
      <c r="E5562" s="1" t="s">
        <v>926</v>
      </c>
      <c r="F5562" s="1" t="s">
        <v>927</v>
      </c>
      <c r="G5562" s="1">
        <v>16.0</v>
      </c>
      <c r="H5562" s="1">
        <v>0.940597107</v>
      </c>
      <c r="I5562" s="1">
        <v>5.59</v>
      </c>
      <c r="J5562" s="1">
        <v>0.171139</v>
      </c>
    </row>
    <row r="5563">
      <c r="A5563" s="1">
        <v>2025.0</v>
      </c>
      <c r="B5563" s="1" t="s">
        <v>24</v>
      </c>
      <c r="C5563" s="1">
        <v>672282.0</v>
      </c>
      <c r="D5563" s="1" t="s">
        <v>533</v>
      </c>
      <c r="E5563" s="1" t="s">
        <v>926</v>
      </c>
      <c r="F5563" s="1" t="s">
        <v>927</v>
      </c>
      <c r="G5563" s="1">
        <v>178.0</v>
      </c>
      <c r="H5563" s="1">
        <v>10.46414281</v>
      </c>
      <c r="I5563" s="1">
        <v>5.52</v>
      </c>
      <c r="J5563" s="1">
        <v>1.951607</v>
      </c>
    </row>
    <row r="5564">
      <c r="A5564" s="1">
        <v>2025.0</v>
      </c>
      <c r="B5564" s="1" t="s">
        <v>1001</v>
      </c>
      <c r="C5564" s="1">
        <v>665665.0</v>
      </c>
      <c r="D5564" s="1" t="s">
        <v>533</v>
      </c>
      <c r="E5564" s="1" t="s">
        <v>926</v>
      </c>
      <c r="F5564" s="1" t="s">
        <v>926</v>
      </c>
      <c r="G5564" s="1">
        <v>1.0</v>
      </c>
      <c r="H5564" s="1">
        <v>0.066666667</v>
      </c>
      <c r="I5564" s="1">
        <v>6.07</v>
      </c>
      <c r="J5564" s="1">
        <v>0.002701</v>
      </c>
    </row>
    <row r="5565">
      <c r="A5565" s="1">
        <v>2025.0</v>
      </c>
      <c r="B5565" s="1" t="s">
        <v>1001</v>
      </c>
      <c r="C5565" s="1">
        <v>665665.0</v>
      </c>
      <c r="D5565" s="1" t="s">
        <v>532</v>
      </c>
      <c r="E5565" s="1" t="s">
        <v>926</v>
      </c>
      <c r="F5565" s="1" t="s">
        <v>927</v>
      </c>
      <c r="G5565" s="1">
        <v>12.0</v>
      </c>
      <c r="H5565" s="1">
        <v>0.8</v>
      </c>
      <c r="I5565" s="1">
        <v>4.47</v>
      </c>
      <c r="J5565" s="1">
        <v>0.41038</v>
      </c>
    </row>
    <row r="5566">
      <c r="A5566" s="1">
        <v>2025.0</v>
      </c>
      <c r="B5566" s="1" t="s">
        <v>1001</v>
      </c>
      <c r="C5566" s="1">
        <v>665665.0</v>
      </c>
      <c r="D5566" s="1" t="s">
        <v>537</v>
      </c>
      <c r="E5566" s="1" t="s">
        <v>926</v>
      </c>
      <c r="F5566" s="1" t="s">
        <v>927</v>
      </c>
      <c r="G5566" s="1">
        <v>3.0</v>
      </c>
      <c r="H5566" s="1">
        <v>0.2</v>
      </c>
      <c r="I5566" s="1">
        <v>6.0</v>
      </c>
      <c r="J5566" s="1">
        <v>0.009709</v>
      </c>
    </row>
    <row r="5567">
      <c r="A5567" s="1">
        <v>2025.0</v>
      </c>
      <c r="B5567" s="1" t="s">
        <v>1001</v>
      </c>
      <c r="C5567" s="1">
        <v>665665.0</v>
      </c>
      <c r="D5567" s="1" t="s">
        <v>536</v>
      </c>
      <c r="E5567" s="1" t="s">
        <v>926</v>
      </c>
      <c r="F5567" s="1" t="s">
        <v>927</v>
      </c>
      <c r="G5567" s="1">
        <v>7.0</v>
      </c>
      <c r="H5567" s="1">
        <v>0.466666667</v>
      </c>
      <c r="I5567" s="1">
        <v>5.17</v>
      </c>
      <c r="J5567" s="1">
        <v>0.148579</v>
      </c>
    </row>
    <row r="5568">
      <c r="A5568" s="1">
        <v>2025.0</v>
      </c>
      <c r="B5568" s="1" t="s">
        <v>1001</v>
      </c>
      <c r="C5568" s="1">
        <v>665665.0</v>
      </c>
      <c r="D5568" s="1" t="s">
        <v>533</v>
      </c>
      <c r="E5568" s="1" t="s">
        <v>926</v>
      </c>
      <c r="F5568" s="1" t="s">
        <v>927</v>
      </c>
      <c r="G5568" s="1">
        <v>2.0</v>
      </c>
      <c r="H5568" s="1">
        <v>0.133333333</v>
      </c>
      <c r="I5568" s="1">
        <v>7.06</v>
      </c>
      <c r="J5568" s="1">
        <v>-0.044699</v>
      </c>
    </row>
    <row r="5569">
      <c r="A5569" s="1">
        <v>2025.0</v>
      </c>
      <c r="B5569" s="1" t="s">
        <v>585</v>
      </c>
      <c r="C5569" s="1">
        <v>625643.0</v>
      </c>
      <c r="D5569" s="1" t="s">
        <v>532</v>
      </c>
      <c r="E5569" s="1" t="s">
        <v>927</v>
      </c>
      <c r="F5569" s="1" t="s">
        <v>926</v>
      </c>
      <c r="G5569" s="1">
        <v>2.0</v>
      </c>
      <c r="H5569" s="1">
        <v>0.106382979</v>
      </c>
      <c r="I5569" s="1">
        <v>4.91</v>
      </c>
      <c r="J5569" s="1">
        <v>0.044302</v>
      </c>
    </row>
    <row r="5570">
      <c r="A5570" s="1">
        <v>2025.0</v>
      </c>
      <c r="B5570" s="1" t="s">
        <v>585</v>
      </c>
      <c r="C5570" s="1">
        <v>625643.0</v>
      </c>
      <c r="D5570" s="1" t="s">
        <v>541</v>
      </c>
      <c r="E5570" s="1" t="s">
        <v>927</v>
      </c>
      <c r="F5570" s="1" t="s">
        <v>926</v>
      </c>
      <c r="G5570" s="1">
        <v>12.0</v>
      </c>
      <c r="H5570" s="1">
        <v>0.638297872</v>
      </c>
      <c r="I5570" s="1">
        <v>4.22</v>
      </c>
      <c r="J5570" s="1">
        <v>0.417565</v>
      </c>
    </row>
    <row r="5571">
      <c r="A5571" s="1">
        <v>2025.0</v>
      </c>
      <c r="B5571" s="1" t="s">
        <v>585</v>
      </c>
      <c r="C5571" s="1">
        <v>625643.0</v>
      </c>
      <c r="D5571" s="1" t="s">
        <v>537</v>
      </c>
      <c r="E5571" s="1" t="s">
        <v>927</v>
      </c>
      <c r="F5571" s="1" t="s">
        <v>926</v>
      </c>
      <c r="G5571" s="1">
        <v>28.0</v>
      </c>
      <c r="H5571" s="1">
        <v>1.489361702</v>
      </c>
      <c r="I5571" s="1">
        <v>4.98</v>
      </c>
      <c r="J5571" s="1">
        <v>0.592804</v>
      </c>
    </row>
    <row r="5572">
      <c r="A5572" s="1">
        <v>2025.0</v>
      </c>
      <c r="B5572" s="1" t="s">
        <v>585</v>
      </c>
      <c r="C5572" s="1">
        <v>625643.0</v>
      </c>
      <c r="D5572" s="1" t="s">
        <v>533</v>
      </c>
      <c r="E5572" s="1" t="s">
        <v>927</v>
      </c>
      <c r="F5572" s="1" t="s">
        <v>926</v>
      </c>
      <c r="G5572" s="1">
        <v>13.0</v>
      </c>
      <c r="H5572" s="1">
        <v>0.691489362</v>
      </c>
      <c r="I5572" s="1">
        <v>3.12</v>
      </c>
      <c r="J5572" s="1">
        <v>0.743143</v>
      </c>
    </row>
    <row r="5573">
      <c r="A5573" s="1">
        <v>2025.0</v>
      </c>
      <c r="B5573" s="1" t="s">
        <v>585</v>
      </c>
      <c r="C5573" s="1">
        <v>625643.0</v>
      </c>
      <c r="D5573" s="1" t="s">
        <v>541</v>
      </c>
      <c r="E5573" s="1" t="s">
        <v>927</v>
      </c>
      <c r="F5573" s="1" t="s">
        <v>927</v>
      </c>
      <c r="G5573" s="1">
        <v>1.0</v>
      </c>
      <c r="H5573" s="1">
        <v>0.053191489</v>
      </c>
      <c r="I5573" s="1">
        <v>6.2</v>
      </c>
      <c r="J5573" s="1">
        <v>-0.002569</v>
      </c>
    </row>
    <row r="5574">
      <c r="A5574" s="1">
        <v>2025.0</v>
      </c>
      <c r="B5574" s="1" t="s">
        <v>585</v>
      </c>
      <c r="C5574" s="1">
        <v>625643.0</v>
      </c>
      <c r="D5574" s="1" t="s">
        <v>537</v>
      </c>
      <c r="E5574" s="1" t="s">
        <v>927</v>
      </c>
      <c r="F5574" s="1" t="s">
        <v>927</v>
      </c>
      <c r="G5574" s="1">
        <v>21.0</v>
      </c>
      <c r="H5574" s="1">
        <v>1.117021277</v>
      </c>
      <c r="I5574" s="1">
        <v>5.94</v>
      </c>
      <c r="J5574" s="1">
        <v>0.048114</v>
      </c>
    </row>
    <row r="5575">
      <c r="A5575" s="1">
        <v>2025.0</v>
      </c>
      <c r="B5575" s="1" t="s">
        <v>585</v>
      </c>
      <c r="C5575" s="1">
        <v>625643.0</v>
      </c>
      <c r="D5575" s="1" t="s">
        <v>533</v>
      </c>
      <c r="E5575" s="1" t="s">
        <v>927</v>
      </c>
      <c r="F5575" s="1" t="s">
        <v>927</v>
      </c>
      <c r="G5575" s="1">
        <v>17.0</v>
      </c>
      <c r="H5575" s="1">
        <v>0.904255319</v>
      </c>
      <c r="I5575" s="1">
        <v>4.69</v>
      </c>
      <c r="J5575" s="1">
        <v>0.434093</v>
      </c>
    </row>
    <row r="5576">
      <c r="A5576" s="1">
        <v>2025.0</v>
      </c>
      <c r="B5576" s="1" t="s">
        <v>606</v>
      </c>
      <c r="C5576" s="1">
        <v>448179.0</v>
      </c>
      <c r="D5576" s="1" t="s">
        <v>541</v>
      </c>
      <c r="E5576" s="1" t="s">
        <v>926</v>
      </c>
      <c r="F5576" s="1" t="s">
        <v>926</v>
      </c>
      <c r="G5576" s="1">
        <v>6.0</v>
      </c>
      <c r="H5576" s="1">
        <v>0.315789474</v>
      </c>
      <c r="I5576" s="1">
        <v>5.95</v>
      </c>
      <c r="J5576" s="1">
        <v>0.021827</v>
      </c>
    </row>
    <row r="5577">
      <c r="A5577" s="1">
        <v>2025.0</v>
      </c>
      <c r="B5577" s="1" t="s">
        <v>606</v>
      </c>
      <c r="C5577" s="1">
        <v>448179.0</v>
      </c>
      <c r="D5577" s="1" t="s">
        <v>540</v>
      </c>
      <c r="E5577" s="1" t="s">
        <v>926</v>
      </c>
      <c r="F5577" s="1" t="s">
        <v>926</v>
      </c>
      <c r="G5577" s="1">
        <v>4.0</v>
      </c>
      <c r="H5577" s="1">
        <v>0.210526316</v>
      </c>
      <c r="I5577" s="1">
        <v>5.07</v>
      </c>
      <c r="J5577" s="1">
        <v>0.088069</v>
      </c>
    </row>
    <row r="5578">
      <c r="A5578" s="1">
        <v>2025.0</v>
      </c>
      <c r="B5578" s="1" t="s">
        <v>606</v>
      </c>
      <c r="C5578" s="1">
        <v>448179.0</v>
      </c>
      <c r="D5578" s="1" t="s">
        <v>537</v>
      </c>
      <c r="E5578" s="1" t="s">
        <v>926</v>
      </c>
      <c r="F5578" s="1" t="s">
        <v>926</v>
      </c>
      <c r="G5578" s="1">
        <v>16.0</v>
      </c>
      <c r="H5578" s="1">
        <v>0.842105263</v>
      </c>
      <c r="I5578" s="1">
        <v>4.18</v>
      </c>
      <c r="J5578" s="1">
        <v>0.636817</v>
      </c>
    </row>
    <row r="5579">
      <c r="A5579" s="1">
        <v>2025.0</v>
      </c>
      <c r="B5579" s="1" t="s">
        <v>606</v>
      </c>
      <c r="C5579" s="1">
        <v>448179.0</v>
      </c>
      <c r="D5579" s="1" t="s">
        <v>536</v>
      </c>
      <c r="E5579" s="1" t="s">
        <v>926</v>
      </c>
      <c r="F5579" s="1" t="s">
        <v>926</v>
      </c>
      <c r="G5579" s="1">
        <v>6.0</v>
      </c>
      <c r="H5579" s="1">
        <v>0.315789474</v>
      </c>
      <c r="I5579" s="1">
        <v>5.34</v>
      </c>
      <c r="J5579" s="1">
        <v>0.091565</v>
      </c>
    </row>
    <row r="5580">
      <c r="A5580" s="1">
        <v>2025.0</v>
      </c>
      <c r="B5580" s="1" t="s">
        <v>606</v>
      </c>
      <c r="C5580" s="1">
        <v>448179.0</v>
      </c>
      <c r="D5580" s="1" t="s">
        <v>533</v>
      </c>
      <c r="E5580" s="1" t="s">
        <v>926</v>
      </c>
      <c r="F5580" s="1" t="s">
        <v>926</v>
      </c>
      <c r="G5580" s="1">
        <v>4.0</v>
      </c>
      <c r="H5580" s="1">
        <v>0.210526316</v>
      </c>
      <c r="I5580" s="1">
        <v>3.65</v>
      </c>
      <c r="J5580" s="1">
        <v>0.185833</v>
      </c>
    </row>
    <row r="5581">
      <c r="A5581" s="1">
        <v>2025.0</v>
      </c>
      <c r="B5581" s="1" t="s">
        <v>606</v>
      </c>
      <c r="C5581" s="1">
        <v>448179.0</v>
      </c>
      <c r="D5581" s="1" t="s">
        <v>539</v>
      </c>
      <c r="E5581" s="1" t="s">
        <v>926</v>
      </c>
      <c r="F5581" s="1" t="s">
        <v>926</v>
      </c>
      <c r="G5581" s="1">
        <v>4.0</v>
      </c>
      <c r="H5581" s="1">
        <v>0.210526316</v>
      </c>
      <c r="I5581" s="1">
        <v>5.1</v>
      </c>
      <c r="J5581" s="1">
        <v>0.085426</v>
      </c>
    </row>
    <row r="5582">
      <c r="A5582" s="1">
        <v>2025.0</v>
      </c>
      <c r="B5582" s="1" t="s">
        <v>606</v>
      </c>
      <c r="C5582" s="1">
        <v>448179.0</v>
      </c>
      <c r="D5582" s="1" t="s">
        <v>532</v>
      </c>
      <c r="E5582" s="1" t="s">
        <v>926</v>
      </c>
      <c r="F5582" s="1" t="s">
        <v>927</v>
      </c>
      <c r="G5582" s="1">
        <v>1.0</v>
      </c>
      <c r="H5582" s="1">
        <v>0.052631579</v>
      </c>
      <c r="I5582" s="1">
        <v>5.66</v>
      </c>
      <c r="J5582" s="1">
        <v>0.005057</v>
      </c>
    </row>
    <row r="5583">
      <c r="A5583" s="1">
        <v>2025.0</v>
      </c>
      <c r="B5583" s="1" t="s">
        <v>606</v>
      </c>
      <c r="C5583" s="1">
        <v>448179.0</v>
      </c>
      <c r="D5583" s="1" t="s">
        <v>541</v>
      </c>
      <c r="E5583" s="1" t="s">
        <v>926</v>
      </c>
      <c r="F5583" s="1" t="s">
        <v>927</v>
      </c>
      <c r="G5583" s="1">
        <v>53.0</v>
      </c>
      <c r="H5583" s="1">
        <v>2.789473684</v>
      </c>
      <c r="I5583" s="1">
        <v>4.73</v>
      </c>
      <c r="J5583" s="1">
        <v>1.50359</v>
      </c>
    </row>
    <row r="5584">
      <c r="A5584" s="1">
        <v>2025.0</v>
      </c>
      <c r="B5584" s="1" t="s">
        <v>606</v>
      </c>
      <c r="C5584" s="1">
        <v>448179.0</v>
      </c>
      <c r="D5584" s="1" t="s">
        <v>540</v>
      </c>
      <c r="E5584" s="1" t="s">
        <v>926</v>
      </c>
      <c r="F5584" s="1" t="s">
        <v>927</v>
      </c>
      <c r="G5584" s="1">
        <v>23.0</v>
      </c>
      <c r="H5584" s="1">
        <v>1.210526316</v>
      </c>
      <c r="I5584" s="1">
        <v>5.36</v>
      </c>
      <c r="J5584" s="1">
        <v>0.355296</v>
      </c>
    </row>
    <row r="5585">
      <c r="A5585" s="1">
        <v>2025.0</v>
      </c>
      <c r="B5585" s="1" t="s">
        <v>606</v>
      </c>
      <c r="C5585" s="1">
        <v>448179.0</v>
      </c>
      <c r="D5585" s="1" t="s">
        <v>537</v>
      </c>
      <c r="E5585" s="1" t="s">
        <v>926</v>
      </c>
      <c r="F5585" s="1" t="s">
        <v>927</v>
      </c>
      <c r="G5585" s="1">
        <v>47.0</v>
      </c>
      <c r="H5585" s="1">
        <v>2.473684211</v>
      </c>
      <c r="I5585" s="1">
        <v>4.33</v>
      </c>
      <c r="J5585" s="1">
        <v>1.730942</v>
      </c>
    </row>
    <row r="5586">
      <c r="A5586" s="1">
        <v>2025.0</v>
      </c>
      <c r="B5586" s="1" t="s">
        <v>606</v>
      </c>
      <c r="C5586" s="1">
        <v>448179.0</v>
      </c>
      <c r="D5586" s="1" t="s">
        <v>536</v>
      </c>
      <c r="E5586" s="1" t="s">
        <v>926</v>
      </c>
      <c r="F5586" s="1" t="s">
        <v>927</v>
      </c>
      <c r="G5586" s="1">
        <v>5.0</v>
      </c>
      <c r="H5586" s="1">
        <v>0.263157895</v>
      </c>
      <c r="I5586" s="1">
        <v>4.33</v>
      </c>
      <c r="J5586" s="1">
        <v>0.177896</v>
      </c>
    </row>
    <row r="5587">
      <c r="A5587" s="1">
        <v>2025.0</v>
      </c>
      <c r="B5587" s="1" t="s">
        <v>606</v>
      </c>
      <c r="C5587" s="1">
        <v>448179.0</v>
      </c>
      <c r="D5587" s="1" t="s">
        <v>533</v>
      </c>
      <c r="E5587" s="1" t="s">
        <v>926</v>
      </c>
      <c r="F5587" s="1" t="s">
        <v>927</v>
      </c>
      <c r="G5587" s="1">
        <v>2.0</v>
      </c>
      <c r="H5587" s="1">
        <v>0.105263158</v>
      </c>
      <c r="I5587" s="1">
        <v>5.88</v>
      </c>
      <c r="J5587" s="1">
        <v>0.00453</v>
      </c>
    </row>
    <row r="5588">
      <c r="A5588" s="1">
        <v>2025.0</v>
      </c>
      <c r="B5588" s="1" t="s">
        <v>152</v>
      </c>
      <c r="C5588" s="1">
        <v>690916.0</v>
      </c>
      <c r="D5588" s="1" t="s">
        <v>532</v>
      </c>
      <c r="E5588" s="1" t="s">
        <v>927</v>
      </c>
      <c r="F5588" s="1" t="s">
        <v>926</v>
      </c>
      <c r="G5588" s="1">
        <v>19.0</v>
      </c>
      <c r="H5588" s="1">
        <v>1.164850136</v>
      </c>
      <c r="I5588" s="1">
        <v>3.22</v>
      </c>
      <c r="J5588" s="1">
        <v>1.092655</v>
      </c>
    </row>
    <row r="5589">
      <c r="A5589" s="1">
        <v>2025.0</v>
      </c>
      <c r="B5589" s="1" t="s">
        <v>152</v>
      </c>
      <c r="C5589" s="1">
        <v>690916.0</v>
      </c>
      <c r="D5589" s="1" t="s">
        <v>541</v>
      </c>
      <c r="E5589" s="1" t="s">
        <v>927</v>
      </c>
      <c r="F5589" s="1" t="s">
        <v>926</v>
      </c>
      <c r="G5589" s="1">
        <v>75.0</v>
      </c>
      <c r="H5589" s="1">
        <v>4.598092643</v>
      </c>
      <c r="I5589" s="1">
        <v>5.1</v>
      </c>
      <c r="J5589" s="1">
        <v>1.552636</v>
      </c>
    </row>
    <row r="5590">
      <c r="A5590" s="1">
        <v>2025.0</v>
      </c>
      <c r="B5590" s="1" t="s">
        <v>152</v>
      </c>
      <c r="C5590" s="1">
        <v>690916.0</v>
      </c>
      <c r="D5590" s="1" t="s">
        <v>537</v>
      </c>
      <c r="E5590" s="1" t="s">
        <v>927</v>
      </c>
      <c r="F5590" s="1" t="s">
        <v>926</v>
      </c>
      <c r="G5590" s="1">
        <v>165.0</v>
      </c>
      <c r="H5590" s="1">
        <v>10.11580381</v>
      </c>
      <c r="I5590" s="1">
        <v>5.07</v>
      </c>
      <c r="J5590" s="1">
        <v>3.550597</v>
      </c>
    </row>
    <row r="5591">
      <c r="A5591" s="1">
        <v>2025.0</v>
      </c>
      <c r="B5591" s="1" t="s">
        <v>152</v>
      </c>
      <c r="C5591" s="1">
        <v>690916.0</v>
      </c>
      <c r="D5591" s="1" t="s">
        <v>536</v>
      </c>
      <c r="E5591" s="1" t="s">
        <v>927</v>
      </c>
      <c r="F5591" s="1" t="s">
        <v>926</v>
      </c>
      <c r="G5591" s="1">
        <v>2.0</v>
      </c>
      <c r="H5591" s="1">
        <v>0.122615804</v>
      </c>
      <c r="I5591" s="1">
        <v>0.87</v>
      </c>
      <c r="J5591" s="1">
        <v>0.19602</v>
      </c>
    </row>
    <row r="5592">
      <c r="A5592" s="1">
        <v>2025.0</v>
      </c>
      <c r="B5592" s="1" t="s">
        <v>152</v>
      </c>
      <c r="C5592" s="1">
        <v>690916.0</v>
      </c>
      <c r="D5592" s="1" t="s">
        <v>533</v>
      </c>
      <c r="E5592" s="1" t="s">
        <v>927</v>
      </c>
      <c r="F5592" s="1" t="s">
        <v>926</v>
      </c>
      <c r="G5592" s="1">
        <v>74.0</v>
      </c>
      <c r="H5592" s="1">
        <v>4.536784741</v>
      </c>
      <c r="I5592" s="1">
        <v>5.68</v>
      </c>
      <c r="J5592" s="1">
        <v>0.607444</v>
      </c>
    </row>
    <row r="5593">
      <c r="A5593" s="1">
        <v>2025.0</v>
      </c>
      <c r="B5593" s="1" t="s">
        <v>152</v>
      </c>
      <c r="C5593" s="1">
        <v>690916.0</v>
      </c>
      <c r="D5593" s="1" t="s">
        <v>539</v>
      </c>
      <c r="E5593" s="1" t="s">
        <v>927</v>
      </c>
      <c r="F5593" s="1" t="s">
        <v>926</v>
      </c>
      <c r="G5593" s="1">
        <v>3.0</v>
      </c>
      <c r="H5593" s="1">
        <v>0.183923706</v>
      </c>
      <c r="I5593" s="1">
        <v>4.06</v>
      </c>
      <c r="J5593" s="1">
        <v>0.138256</v>
      </c>
    </row>
    <row r="5594">
      <c r="A5594" s="1">
        <v>2025.0</v>
      </c>
      <c r="B5594" s="1" t="s">
        <v>152</v>
      </c>
      <c r="C5594" s="1">
        <v>690916.0</v>
      </c>
      <c r="D5594" s="1" t="s">
        <v>541</v>
      </c>
      <c r="E5594" s="1" t="s">
        <v>927</v>
      </c>
      <c r="F5594" s="1" t="s">
        <v>927</v>
      </c>
      <c r="G5594" s="1">
        <v>3.0</v>
      </c>
      <c r="H5594" s="1">
        <v>0.183923706</v>
      </c>
      <c r="I5594" s="1">
        <v>5.55</v>
      </c>
      <c r="J5594" s="1">
        <v>0.039867</v>
      </c>
    </row>
    <row r="5595">
      <c r="A5595" s="1">
        <v>2025.0</v>
      </c>
      <c r="B5595" s="1" t="s">
        <v>152</v>
      </c>
      <c r="C5595" s="1">
        <v>690916.0</v>
      </c>
      <c r="D5595" s="1" t="s">
        <v>537</v>
      </c>
      <c r="E5595" s="1" t="s">
        <v>927</v>
      </c>
      <c r="F5595" s="1" t="s">
        <v>927</v>
      </c>
      <c r="G5595" s="1">
        <v>120.0</v>
      </c>
      <c r="H5595" s="1">
        <v>7.356948229</v>
      </c>
      <c r="I5595" s="1">
        <v>5.5</v>
      </c>
      <c r="J5595" s="1">
        <v>1.542772</v>
      </c>
    </row>
    <row r="5596">
      <c r="A5596" s="1">
        <v>2025.0</v>
      </c>
      <c r="B5596" s="1" t="s">
        <v>152</v>
      </c>
      <c r="C5596" s="1">
        <v>690916.0</v>
      </c>
      <c r="D5596" s="1" t="s">
        <v>536</v>
      </c>
      <c r="E5596" s="1" t="s">
        <v>927</v>
      </c>
      <c r="F5596" s="1" t="s">
        <v>927</v>
      </c>
      <c r="G5596" s="1">
        <v>64.0</v>
      </c>
      <c r="H5596" s="1">
        <v>3.923705722</v>
      </c>
      <c r="I5596" s="1">
        <v>4.67</v>
      </c>
      <c r="J5596" s="1">
        <v>1.900336</v>
      </c>
    </row>
    <row r="5597">
      <c r="A5597" s="1">
        <v>2025.0</v>
      </c>
      <c r="B5597" s="1" t="s">
        <v>152</v>
      </c>
      <c r="C5597" s="1">
        <v>690916.0</v>
      </c>
      <c r="D5597" s="1" t="s">
        <v>533</v>
      </c>
      <c r="E5597" s="1" t="s">
        <v>927</v>
      </c>
      <c r="F5597" s="1" t="s">
        <v>927</v>
      </c>
      <c r="G5597" s="1">
        <v>131.0</v>
      </c>
      <c r="H5597" s="1">
        <v>8.03133515</v>
      </c>
      <c r="I5597" s="1">
        <v>5.39</v>
      </c>
      <c r="J5597" s="1">
        <v>1.865279</v>
      </c>
    </row>
    <row r="5598">
      <c r="A5598" s="1">
        <v>2025.0</v>
      </c>
      <c r="B5598" s="1" t="s">
        <v>152</v>
      </c>
      <c r="C5598" s="1">
        <v>690916.0</v>
      </c>
      <c r="D5598" s="1" t="s">
        <v>539</v>
      </c>
      <c r="E5598" s="1" t="s">
        <v>927</v>
      </c>
      <c r="F5598" s="1" t="s">
        <v>927</v>
      </c>
      <c r="G5598" s="1">
        <v>78.0</v>
      </c>
      <c r="H5598" s="1">
        <v>4.782016349</v>
      </c>
      <c r="I5598" s="1">
        <v>5.07</v>
      </c>
      <c r="J5598" s="1">
        <v>1.56372</v>
      </c>
    </row>
    <row r="5599">
      <c r="A5599" s="1">
        <v>2025.0</v>
      </c>
      <c r="B5599" s="1" t="s">
        <v>640</v>
      </c>
      <c r="C5599" s="1">
        <v>663992.0</v>
      </c>
      <c r="D5599" s="1" t="s">
        <v>537</v>
      </c>
      <c r="E5599" s="1" t="s">
        <v>926</v>
      </c>
      <c r="F5599" s="1" t="s">
        <v>926</v>
      </c>
      <c r="G5599" s="1">
        <v>6.0</v>
      </c>
      <c r="H5599" s="1">
        <v>0.316742081</v>
      </c>
      <c r="I5599" s="1">
        <v>4.42</v>
      </c>
      <c r="J5599" s="1">
        <v>0.191018</v>
      </c>
    </row>
    <row r="5600">
      <c r="A5600" s="1">
        <v>2025.0</v>
      </c>
      <c r="B5600" s="1" t="s">
        <v>640</v>
      </c>
      <c r="C5600" s="1">
        <v>663992.0</v>
      </c>
      <c r="D5600" s="1" t="s">
        <v>536</v>
      </c>
      <c r="E5600" s="1" t="s">
        <v>926</v>
      </c>
      <c r="F5600" s="1" t="s">
        <v>926</v>
      </c>
      <c r="G5600" s="1">
        <v>49.0</v>
      </c>
      <c r="H5600" s="1">
        <v>2.586726998</v>
      </c>
      <c r="I5600" s="1">
        <v>4.56</v>
      </c>
      <c r="J5600" s="1">
        <v>1.564714</v>
      </c>
    </row>
    <row r="5601">
      <c r="A5601" s="1">
        <v>2025.0</v>
      </c>
      <c r="B5601" s="1" t="s">
        <v>640</v>
      </c>
      <c r="C5601" s="1">
        <v>663992.0</v>
      </c>
      <c r="D5601" s="1" t="s">
        <v>533</v>
      </c>
      <c r="E5601" s="1" t="s">
        <v>926</v>
      </c>
      <c r="F5601" s="1" t="s">
        <v>926</v>
      </c>
      <c r="G5601" s="1">
        <v>15.0</v>
      </c>
      <c r="H5601" s="1">
        <v>0.791855204</v>
      </c>
      <c r="I5601" s="1">
        <v>4.91</v>
      </c>
      <c r="J5601" s="1">
        <v>0.350138</v>
      </c>
    </row>
    <row r="5602">
      <c r="A5602" s="1">
        <v>2025.0</v>
      </c>
      <c r="B5602" s="1" t="s">
        <v>640</v>
      </c>
      <c r="C5602" s="1">
        <v>663992.0</v>
      </c>
      <c r="D5602" s="1" t="s">
        <v>539</v>
      </c>
      <c r="E5602" s="1" t="s">
        <v>926</v>
      </c>
      <c r="F5602" s="1" t="s">
        <v>926</v>
      </c>
      <c r="G5602" s="1">
        <v>37.0</v>
      </c>
      <c r="H5602" s="1">
        <v>1.953242836</v>
      </c>
      <c r="I5602" s="1">
        <v>5.19</v>
      </c>
      <c r="J5602" s="1">
        <v>0.695209</v>
      </c>
    </row>
    <row r="5603">
      <c r="A5603" s="1">
        <v>2025.0</v>
      </c>
      <c r="B5603" s="1" t="s">
        <v>640</v>
      </c>
      <c r="C5603" s="1">
        <v>663992.0</v>
      </c>
      <c r="D5603" s="1" t="s">
        <v>537</v>
      </c>
      <c r="E5603" s="1" t="s">
        <v>926</v>
      </c>
      <c r="F5603" s="1" t="s">
        <v>927</v>
      </c>
      <c r="G5603" s="1">
        <v>22.0</v>
      </c>
      <c r="H5603" s="1">
        <v>1.161387632</v>
      </c>
      <c r="I5603" s="1">
        <v>4.83</v>
      </c>
      <c r="J5603" s="1">
        <v>0.566362</v>
      </c>
    </row>
    <row r="5604">
      <c r="A5604" s="1">
        <v>2025.0</v>
      </c>
      <c r="B5604" s="1" t="s">
        <v>640</v>
      </c>
      <c r="C5604" s="1">
        <v>663992.0</v>
      </c>
      <c r="D5604" s="1" t="s">
        <v>536</v>
      </c>
      <c r="E5604" s="1" t="s">
        <v>926</v>
      </c>
      <c r="F5604" s="1" t="s">
        <v>927</v>
      </c>
      <c r="G5604" s="1">
        <v>27.0</v>
      </c>
      <c r="H5604" s="1">
        <v>1.425339367</v>
      </c>
      <c r="I5604" s="1">
        <v>4.16</v>
      </c>
      <c r="J5604" s="1">
        <v>1.141599</v>
      </c>
    </row>
    <row r="5605">
      <c r="A5605" s="1">
        <v>2025.0</v>
      </c>
      <c r="B5605" s="1" t="s">
        <v>640</v>
      </c>
      <c r="C5605" s="1">
        <v>663992.0</v>
      </c>
      <c r="D5605" s="1" t="s">
        <v>533</v>
      </c>
      <c r="E5605" s="1" t="s">
        <v>926</v>
      </c>
      <c r="F5605" s="1" t="s">
        <v>927</v>
      </c>
      <c r="G5605" s="1">
        <v>27.0</v>
      </c>
      <c r="H5605" s="1">
        <v>1.425339367</v>
      </c>
      <c r="I5605" s="1">
        <v>4.76</v>
      </c>
      <c r="J5605" s="1">
        <v>0.742899</v>
      </c>
    </row>
    <row r="5606">
      <c r="A5606" s="1">
        <v>2025.0</v>
      </c>
      <c r="B5606" s="1" t="s">
        <v>640</v>
      </c>
      <c r="C5606" s="1">
        <v>663992.0</v>
      </c>
      <c r="D5606" s="1" t="s">
        <v>539</v>
      </c>
      <c r="E5606" s="1" t="s">
        <v>926</v>
      </c>
      <c r="F5606" s="1" t="s">
        <v>927</v>
      </c>
      <c r="G5606" s="1">
        <v>38.0</v>
      </c>
      <c r="H5606" s="1">
        <v>2.006033183</v>
      </c>
      <c r="I5606" s="1">
        <v>5.82</v>
      </c>
      <c r="J5606" s="1">
        <v>0.247329</v>
      </c>
    </row>
    <row r="5607">
      <c r="A5607" s="1">
        <v>2025.0</v>
      </c>
      <c r="B5607" s="1" t="s">
        <v>196</v>
      </c>
      <c r="C5607" s="1">
        <v>670329.0</v>
      </c>
      <c r="D5607" s="1" t="s">
        <v>532</v>
      </c>
      <c r="E5607" s="1" t="s">
        <v>927</v>
      </c>
      <c r="F5607" s="1" t="s">
        <v>926</v>
      </c>
      <c r="G5607" s="1">
        <v>128.0</v>
      </c>
      <c r="H5607" s="1">
        <v>7.499431172</v>
      </c>
      <c r="I5607" s="1">
        <v>4.73</v>
      </c>
      <c r="J5607" s="1">
        <v>3.510967</v>
      </c>
    </row>
    <row r="5608">
      <c r="A5608" s="1">
        <v>2025.0</v>
      </c>
      <c r="B5608" s="1" t="s">
        <v>196</v>
      </c>
      <c r="C5608" s="1">
        <v>670329.0</v>
      </c>
      <c r="D5608" s="1" t="s">
        <v>541</v>
      </c>
      <c r="E5608" s="1" t="s">
        <v>927</v>
      </c>
      <c r="F5608" s="1" t="s">
        <v>926</v>
      </c>
      <c r="G5608" s="1">
        <v>53.0</v>
      </c>
      <c r="H5608" s="1">
        <v>3.10523322</v>
      </c>
      <c r="I5608" s="1">
        <v>5.12</v>
      </c>
      <c r="J5608" s="1">
        <v>1.028147</v>
      </c>
    </row>
    <row r="5609">
      <c r="A5609" s="1">
        <v>2025.0</v>
      </c>
      <c r="B5609" s="1" t="s">
        <v>196</v>
      </c>
      <c r="C5609" s="1">
        <v>670329.0</v>
      </c>
      <c r="D5609" s="1" t="s">
        <v>537</v>
      </c>
      <c r="E5609" s="1" t="s">
        <v>927</v>
      </c>
      <c r="F5609" s="1" t="s">
        <v>926</v>
      </c>
      <c r="G5609" s="1">
        <v>127.0</v>
      </c>
      <c r="H5609" s="1">
        <v>7.440841866</v>
      </c>
      <c r="I5609" s="1">
        <v>5.42</v>
      </c>
      <c r="J5609" s="1">
        <v>1.674484</v>
      </c>
    </row>
    <row r="5610">
      <c r="A5610" s="1">
        <v>2025.0</v>
      </c>
      <c r="B5610" s="1" t="s">
        <v>196</v>
      </c>
      <c r="C5610" s="1">
        <v>670329.0</v>
      </c>
      <c r="D5610" s="1" t="s">
        <v>533</v>
      </c>
      <c r="E5610" s="1" t="s">
        <v>927</v>
      </c>
      <c r="F5610" s="1" t="s">
        <v>926</v>
      </c>
      <c r="G5610" s="1">
        <v>4.0</v>
      </c>
      <c r="H5610" s="1">
        <v>0.234357224</v>
      </c>
      <c r="I5610" s="1">
        <v>4.82</v>
      </c>
      <c r="J5610" s="1">
        <v>0.097298</v>
      </c>
    </row>
    <row r="5611">
      <c r="A5611" s="1">
        <v>2025.0</v>
      </c>
      <c r="B5611" s="1" t="s">
        <v>196</v>
      </c>
      <c r="C5611" s="1">
        <v>670329.0</v>
      </c>
      <c r="D5611" s="1" t="s">
        <v>532</v>
      </c>
      <c r="E5611" s="1" t="s">
        <v>927</v>
      </c>
      <c r="F5611" s="1" t="s">
        <v>927</v>
      </c>
      <c r="G5611" s="1">
        <v>1.0</v>
      </c>
      <c r="H5611" s="1">
        <v>0.058589306</v>
      </c>
      <c r="I5611" s="1">
        <v>3.94</v>
      </c>
      <c r="J5611" s="1">
        <v>0.044838</v>
      </c>
    </row>
    <row r="5612">
      <c r="A5612" s="1">
        <v>2025.0</v>
      </c>
      <c r="B5612" s="1" t="s">
        <v>196</v>
      </c>
      <c r="C5612" s="1">
        <v>670329.0</v>
      </c>
      <c r="D5612" s="1" t="s">
        <v>541</v>
      </c>
      <c r="E5612" s="1" t="s">
        <v>927</v>
      </c>
      <c r="F5612" s="1" t="s">
        <v>927</v>
      </c>
      <c r="G5612" s="1">
        <v>61.0</v>
      </c>
      <c r="H5612" s="1">
        <v>3.573947668</v>
      </c>
      <c r="I5612" s="1">
        <v>5.0</v>
      </c>
      <c r="J5612" s="1">
        <v>1.242191</v>
      </c>
    </row>
    <row r="5613">
      <c r="A5613" s="1">
        <v>2025.0</v>
      </c>
      <c r="B5613" s="1" t="s">
        <v>196</v>
      </c>
      <c r="C5613" s="1">
        <v>670329.0</v>
      </c>
      <c r="D5613" s="1" t="s">
        <v>537</v>
      </c>
      <c r="E5613" s="1" t="s">
        <v>927</v>
      </c>
      <c r="F5613" s="1" t="s">
        <v>927</v>
      </c>
      <c r="G5613" s="1">
        <v>104.0</v>
      </c>
      <c r="H5613" s="1">
        <v>6.093287827</v>
      </c>
      <c r="I5613" s="1">
        <v>5.39</v>
      </c>
      <c r="J5613" s="1">
        <v>1.470324</v>
      </c>
    </row>
    <row r="5614">
      <c r="A5614" s="1">
        <v>2025.0</v>
      </c>
      <c r="B5614" s="1" t="s">
        <v>196</v>
      </c>
      <c r="C5614" s="1">
        <v>670329.0</v>
      </c>
      <c r="D5614" s="1" t="s">
        <v>533</v>
      </c>
      <c r="E5614" s="1" t="s">
        <v>927</v>
      </c>
      <c r="F5614" s="1" t="s">
        <v>927</v>
      </c>
      <c r="G5614" s="1">
        <v>108.0</v>
      </c>
      <c r="H5614" s="1">
        <v>6.327645051</v>
      </c>
      <c r="I5614" s="1">
        <v>5.15</v>
      </c>
      <c r="J5614" s="1">
        <v>2.072843</v>
      </c>
    </row>
    <row r="5615">
      <c r="A5615" s="1">
        <v>2025.0</v>
      </c>
      <c r="B5615" s="1" t="s">
        <v>409</v>
      </c>
      <c r="C5615" s="1">
        <v>676617.0</v>
      </c>
      <c r="D5615" s="1" t="s">
        <v>541</v>
      </c>
      <c r="E5615" s="1" t="s">
        <v>927</v>
      </c>
      <c r="F5615" s="1" t="s">
        <v>926</v>
      </c>
      <c r="G5615" s="1">
        <v>60.0</v>
      </c>
      <c r="H5615" s="1">
        <v>3.799472296</v>
      </c>
      <c r="I5615" s="1">
        <v>4.76</v>
      </c>
      <c r="J5615" s="1">
        <v>1.628321</v>
      </c>
    </row>
    <row r="5616">
      <c r="A5616" s="1">
        <v>2025.0</v>
      </c>
      <c r="B5616" s="1" t="s">
        <v>409</v>
      </c>
      <c r="C5616" s="1">
        <v>676617.0</v>
      </c>
      <c r="D5616" s="1" t="s">
        <v>536</v>
      </c>
      <c r="E5616" s="1" t="s">
        <v>927</v>
      </c>
      <c r="F5616" s="1" t="s">
        <v>926</v>
      </c>
      <c r="G5616" s="1">
        <v>129.0</v>
      </c>
      <c r="H5616" s="1">
        <v>8.168865435</v>
      </c>
      <c r="I5616" s="1">
        <v>4.79</v>
      </c>
      <c r="J5616" s="1">
        <v>3.379466</v>
      </c>
    </row>
    <row r="5617">
      <c r="A5617" s="1">
        <v>2025.0</v>
      </c>
      <c r="B5617" s="1" t="s">
        <v>409</v>
      </c>
      <c r="C5617" s="1">
        <v>676617.0</v>
      </c>
      <c r="D5617" s="1" t="s">
        <v>533</v>
      </c>
      <c r="E5617" s="1" t="s">
        <v>927</v>
      </c>
      <c r="F5617" s="1" t="s">
        <v>926</v>
      </c>
      <c r="G5617" s="1">
        <v>133.0</v>
      </c>
      <c r="H5617" s="1">
        <v>8.422163588</v>
      </c>
      <c r="I5617" s="1">
        <v>5.35</v>
      </c>
      <c r="J5617" s="1">
        <v>2.040772</v>
      </c>
    </row>
    <row r="5618">
      <c r="A5618" s="1">
        <v>2025.0</v>
      </c>
      <c r="B5618" s="1" t="s">
        <v>409</v>
      </c>
      <c r="C5618" s="1">
        <v>676617.0</v>
      </c>
      <c r="D5618" s="1" t="s">
        <v>532</v>
      </c>
      <c r="E5618" s="1" t="s">
        <v>927</v>
      </c>
      <c r="F5618" s="1" t="s">
        <v>927</v>
      </c>
      <c r="G5618" s="1">
        <v>1.0</v>
      </c>
      <c r="H5618" s="1">
        <v>0.063324538</v>
      </c>
      <c r="I5618" s="1">
        <v>4.8</v>
      </c>
      <c r="J5618" s="1">
        <v>0.026914</v>
      </c>
    </row>
    <row r="5619">
      <c r="A5619" s="1">
        <v>2025.0</v>
      </c>
      <c r="B5619" s="1" t="s">
        <v>409</v>
      </c>
      <c r="C5619" s="1">
        <v>676617.0</v>
      </c>
      <c r="D5619" s="1" t="s">
        <v>541</v>
      </c>
      <c r="E5619" s="1" t="s">
        <v>927</v>
      </c>
      <c r="F5619" s="1" t="s">
        <v>927</v>
      </c>
      <c r="G5619" s="1">
        <v>100.0</v>
      </c>
      <c r="H5619" s="1">
        <v>6.332453826</v>
      </c>
      <c r="I5619" s="1">
        <v>4.79</v>
      </c>
      <c r="J5619" s="1">
        <v>2.590137</v>
      </c>
    </row>
    <row r="5620">
      <c r="A5620" s="1">
        <v>2025.0</v>
      </c>
      <c r="B5620" s="1" t="s">
        <v>409</v>
      </c>
      <c r="C5620" s="1">
        <v>676617.0</v>
      </c>
      <c r="D5620" s="1" t="s">
        <v>536</v>
      </c>
      <c r="E5620" s="1" t="s">
        <v>927</v>
      </c>
      <c r="F5620" s="1" t="s">
        <v>927</v>
      </c>
      <c r="G5620" s="1">
        <v>237.0</v>
      </c>
      <c r="H5620" s="1">
        <v>15.00791557</v>
      </c>
      <c r="I5620" s="1">
        <v>5.0</v>
      </c>
      <c r="J5620" s="1">
        <v>5.25556</v>
      </c>
    </row>
    <row r="5621">
      <c r="A5621" s="1">
        <v>2025.0</v>
      </c>
      <c r="B5621" s="1" t="s">
        <v>409</v>
      </c>
      <c r="C5621" s="1">
        <v>676617.0</v>
      </c>
      <c r="D5621" s="1" t="s">
        <v>533</v>
      </c>
      <c r="E5621" s="1" t="s">
        <v>927</v>
      </c>
      <c r="F5621" s="1" t="s">
        <v>927</v>
      </c>
      <c r="G5621" s="1">
        <v>98.0</v>
      </c>
      <c r="H5621" s="1">
        <v>6.205804749</v>
      </c>
      <c r="I5621" s="1">
        <v>4.9</v>
      </c>
      <c r="J5621" s="1">
        <v>2.337724</v>
      </c>
    </row>
    <row r="5622">
      <c r="A5622" s="1">
        <v>2025.0</v>
      </c>
      <c r="B5622" s="1" t="s">
        <v>624</v>
      </c>
      <c r="C5622" s="1">
        <v>672710.0</v>
      </c>
      <c r="D5622" s="1" t="s">
        <v>532</v>
      </c>
      <c r="E5622" s="1" t="s">
        <v>927</v>
      </c>
      <c r="F5622" s="1" t="s">
        <v>926</v>
      </c>
      <c r="G5622" s="1">
        <v>21.0</v>
      </c>
      <c r="H5622" s="1">
        <v>1.350253807</v>
      </c>
      <c r="I5622" s="1">
        <v>4.21</v>
      </c>
      <c r="J5622" s="1">
        <v>0.758825</v>
      </c>
    </row>
    <row r="5623">
      <c r="A5623" s="1">
        <v>2025.0</v>
      </c>
      <c r="B5623" s="1" t="s">
        <v>624</v>
      </c>
      <c r="C5623" s="1">
        <v>672710.0</v>
      </c>
      <c r="D5623" s="1" t="s">
        <v>541</v>
      </c>
      <c r="E5623" s="1" t="s">
        <v>927</v>
      </c>
      <c r="F5623" s="1" t="s">
        <v>926</v>
      </c>
      <c r="G5623" s="1">
        <v>21.0</v>
      </c>
      <c r="H5623" s="1">
        <v>1.350253807</v>
      </c>
      <c r="I5623" s="1">
        <v>4.53</v>
      </c>
      <c r="J5623" s="1">
        <v>0.634362</v>
      </c>
    </row>
    <row r="5624">
      <c r="A5624" s="1">
        <v>2025.0</v>
      </c>
      <c r="B5624" s="1" t="s">
        <v>624</v>
      </c>
      <c r="C5624" s="1">
        <v>672710.0</v>
      </c>
      <c r="D5624" s="1" t="s">
        <v>537</v>
      </c>
      <c r="E5624" s="1" t="s">
        <v>927</v>
      </c>
      <c r="F5624" s="1" t="s">
        <v>926</v>
      </c>
      <c r="G5624" s="1">
        <v>44.0</v>
      </c>
      <c r="H5624" s="1">
        <v>2.829103215</v>
      </c>
      <c r="I5624" s="1">
        <v>4.85</v>
      </c>
      <c r="J5624" s="1">
        <v>1.115075</v>
      </c>
    </row>
    <row r="5625">
      <c r="A5625" s="1">
        <v>2025.0</v>
      </c>
      <c r="B5625" s="1" t="s">
        <v>624</v>
      </c>
      <c r="C5625" s="1">
        <v>672710.0</v>
      </c>
      <c r="D5625" s="1" t="s">
        <v>536</v>
      </c>
      <c r="E5625" s="1" t="s">
        <v>927</v>
      </c>
      <c r="F5625" s="1" t="s">
        <v>926</v>
      </c>
      <c r="G5625" s="1">
        <v>4.0</v>
      </c>
      <c r="H5625" s="1">
        <v>0.257191201</v>
      </c>
      <c r="I5625" s="1">
        <v>5.49</v>
      </c>
      <c r="J5625" s="1">
        <v>0.040273</v>
      </c>
    </row>
    <row r="5626">
      <c r="A5626" s="1">
        <v>2025.0</v>
      </c>
      <c r="B5626" s="1" t="s">
        <v>624</v>
      </c>
      <c r="C5626" s="1">
        <v>672710.0</v>
      </c>
      <c r="D5626" s="1" t="s">
        <v>533</v>
      </c>
      <c r="E5626" s="1" t="s">
        <v>927</v>
      </c>
      <c r="F5626" s="1" t="s">
        <v>926</v>
      </c>
      <c r="G5626" s="1">
        <v>3.0</v>
      </c>
      <c r="H5626" s="1">
        <v>0.192893401</v>
      </c>
      <c r="I5626" s="1">
        <v>5.89</v>
      </c>
      <c r="J5626" s="1">
        <v>0.01528</v>
      </c>
    </row>
    <row r="5627">
      <c r="A5627" s="1">
        <v>2025.0</v>
      </c>
      <c r="B5627" s="1" t="s">
        <v>624</v>
      </c>
      <c r="C5627" s="1">
        <v>672710.0</v>
      </c>
      <c r="D5627" s="1" t="s">
        <v>532</v>
      </c>
      <c r="E5627" s="1" t="s">
        <v>927</v>
      </c>
      <c r="F5627" s="1" t="s">
        <v>927</v>
      </c>
      <c r="G5627" s="1">
        <v>1.0</v>
      </c>
      <c r="H5627" s="1">
        <v>0.0642978</v>
      </c>
      <c r="I5627" s="1">
        <v>6.92</v>
      </c>
      <c r="J5627" s="1">
        <v>-0.011737</v>
      </c>
    </row>
    <row r="5628">
      <c r="A5628" s="1">
        <v>2025.0</v>
      </c>
      <c r="B5628" s="1" t="s">
        <v>624</v>
      </c>
      <c r="C5628" s="1">
        <v>672710.0</v>
      </c>
      <c r="D5628" s="1" t="s">
        <v>541</v>
      </c>
      <c r="E5628" s="1" t="s">
        <v>927</v>
      </c>
      <c r="F5628" s="1" t="s">
        <v>927</v>
      </c>
      <c r="G5628" s="1">
        <v>13.0</v>
      </c>
      <c r="H5628" s="1">
        <v>0.835871404</v>
      </c>
      <c r="I5628" s="1">
        <v>3.84</v>
      </c>
      <c r="J5628" s="1">
        <v>0.562698</v>
      </c>
    </row>
    <row r="5629">
      <c r="A5629" s="1">
        <v>2025.0</v>
      </c>
      <c r="B5629" s="1" t="s">
        <v>624</v>
      </c>
      <c r="C5629" s="1">
        <v>672710.0</v>
      </c>
      <c r="D5629" s="1" t="s">
        <v>537</v>
      </c>
      <c r="E5629" s="1" t="s">
        <v>927</v>
      </c>
      <c r="F5629" s="1" t="s">
        <v>927</v>
      </c>
      <c r="G5629" s="1">
        <v>39.0</v>
      </c>
      <c r="H5629" s="1">
        <v>2.507614213</v>
      </c>
      <c r="I5629" s="1">
        <v>5.26</v>
      </c>
      <c r="J5629" s="1">
        <v>0.64371</v>
      </c>
    </row>
    <row r="5630">
      <c r="A5630" s="1">
        <v>2025.0</v>
      </c>
      <c r="B5630" s="1" t="s">
        <v>624</v>
      </c>
      <c r="C5630" s="1">
        <v>672710.0</v>
      </c>
      <c r="D5630" s="1" t="s">
        <v>536</v>
      </c>
      <c r="E5630" s="1" t="s">
        <v>927</v>
      </c>
      <c r="F5630" s="1" t="s">
        <v>927</v>
      </c>
      <c r="G5630" s="1">
        <v>18.0</v>
      </c>
      <c r="H5630" s="1">
        <v>1.157360406</v>
      </c>
      <c r="I5630" s="1">
        <v>3.53</v>
      </c>
      <c r="J5630" s="1">
        <v>0.883175</v>
      </c>
    </row>
    <row r="5631">
      <c r="A5631" s="1">
        <v>2025.0</v>
      </c>
      <c r="B5631" s="1" t="s">
        <v>624</v>
      </c>
      <c r="C5631" s="1">
        <v>672710.0</v>
      </c>
      <c r="D5631" s="1" t="s">
        <v>533</v>
      </c>
      <c r="E5631" s="1" t="s">
        <v>927</v>
      </c>
      <c r="F5631" s="1" t="s">
        <v>927</v>
      </c>
      <c r="G5631" s="1">
        <v>33.0</v>
      </c>
      <c r="H5631" s="1">
        <v>2.121827411</v>
      </c>
      <c r="I5631" s="1">
        <v>5.16</v>
      </c>
      <c r="J5631" s="1">
        <v>0.615925</v>
      </c>
    </row>
    <row r="5632">
      <c r="A5632" s="1">
        <v>2025.0</v>
      </c>
      <c r="B5632" s="1" t="s">
        <v>724</v>
      </c>
      <c r="C5632" s="1">
        <v>642239.0</v>
      </c>
      <c r="D5632" s="1" t="s">
        <v>540</v>
      </c>
      <c r="E5632" s="1" t="s">
        <v>926</v>
      </c>
      <c r="F5632" s="1" t="s">
        <v>926</v>
      </c>
      <c r="G5632" s="1">
        <v>65.0</v>
      </c>
      <c r="H5632" s="1">
        <v>4.121037464</v>
      </c>
      <c r="I5632" s="1">
        <v>5.16</v>
      </c>
      <c r="J5632" s="1">
        <v>1.273314</v>
      </c>
    </row>
    <row r="5633">
      <c r="A5633" s="1">
        <v>2025.0</v>
      </c>
      <c r="B5633" s="1" t="s">
        <v>724</v>
      </c>
      <c r="C5633" s="1">
        <v>642239.0</v>
      </c>
      <c r="D5633" s="1" t="s">
        <v>537</v>
      </c>
      <c r="E5633" s="1" t="s">
        <v>926</v>
      </c>
      <c r="F5633" s="1" t="s">
        <v>926</v>
      </c>
      <c r="G5633" s="1">
        <v>89.0</v>
      </c>
      <c r="H5633" s="1">
        <v>5.642651297</v>
      </c>
      <c r="I5633" s="1">
        <v>5.11</v>
      </c>
      <c r="J5633" s="1">
        <v>1.771102</v>
      </c>
    </row>
    <row r="5634">
      <c r="A5634" s="1">
        <v>2025.0</v>
      </c>
      <c r="B5634" s="1" t="s">
        <v>724</v>
      </c>
      <c r="C5634" s="1">
        <v>642239.0</v>
      </c>
      <c r="D5634" s="1" t="s">
        <v>539</v>
      </c>
      <c r="E5634" s="1" t="s">
        <v>926</v>
      </c>
      <c r="F5634" s="1" t="s">
        <v>926</v>
      </c>
      <c r="G5634" s="1">
        <v>50.0</v>
      </c>
      <c r="H5634" s="1">
        <v>3.170028818</v>
      </c>
      <c r="I5634" s="1">
        <v>5.69</v>
      </c>
      <c r="J5634" s="1">
        <v>0.315164</v>
      </c>
    </row>
    <row r="5635">
      <c r="A5635" s="1">
        <v>2025.0</v>
      </c>
      <c r="B5635" s="1" t="s">
        <v>724</v>
      </c>
      <c r="C5635" s="1">
        <v>642239.0</v>
      </c>
      <c r="D5635" s="1" t="s">
        <v>532</v>
      </c>
      <c r="E5635" s="1" t="s">
        <v>926</v>
      </c>
      <c r="F5635" s="1" t="s">
        <v>927</v>
      </c>
      <c r="G5635" s="1">
        <v>10.0</v>
      </c>
      <c r="H5635" s="1">
        <v>0.634005764</v>
      </c>
      <c r="I5635" s="1">
        <v>4.22</v>
      </c>
      <c r="J5635" s="1">
        <v>0.393163</v>
      </c>
    </row>
    <row r="5636">
      <c r="A5636" s="1">
        <v>2025.0</v>
      </c>
      <c r="B5636" s="1" t="s">
        <v>724</v>
      </c>
      <c r="C5636" s="1">
        <v>642239.0</v>
      </c>
      <c r="D5636" s="1" t="s">
        <v>540</v>
      </c>
      <c r="E5636" s="1" t="s">
        <v>926</v>
      </c>
      <c r="F5636" s="1" t="s">
        <v>927</v>
      </c>
      <c r="G5636" s="1">
        <v>50.0</v>
      </c>
      <c r="H5636" s="1">
        <v>3.170028818</v>
      </c>
      <c r="I5636" s="1">
        <v>5.45</v>
      </c>
      <c r="J5636" s="1">
        <v>0.621498</v>
      </c>
    </row>
    <row r="5637">
      <c r="A5637" s="1">
        <v>2025.0</v>
      </c>
      <c r="B5637" s="1" t="s">
        <v>724</v>
      </c>
      <c r="C5637" s="1">
        <v>642239.0</v>
      </c>
      <c r="D5637" s="1" t="s">
        <v>537</v>
      </c>
      <c r="E5637" s="1" t="s">
        <v>926</v>
      </c>
      <c r="F5637" s="1" t="s">
        <v>927</v>
      </c>
      <c r="G5637" s="1">
        <v>65.0</v>
      </c>
      <c r="H5637" s="1">
        <v>4.121037464</v>
      </c>
      <c r="I5637" s="1">
        <v>5.03</v>
      </c>
      <c r="J5637" s="1">
        <v>1.396033</v>
      </c>
    </row>
    <row r="5638">
      <c r="A5638" s="1">
        <v>2025.0</v>
      </c>
      <c r="B5638" s="1" t="s">
        <v>724</v>
      </c>
      <c r="C5638" s="1">
        <v>642239.0</v>
      </c>
      <c r="D5638" s="1" t="s">
        <v>538</v>
      </c>
      <c r="E5638" s="1" t="s">
        <v>926</v>
      </c>
      <c r="F5638" s="1" t="s">
        <v>927</v>
      </c>
      <c r="G5638" s="1">
        <v>18.0</v>
      </c>
      <c r="H5638" s="1">
        <v>1.141210375</v>
      </c>
      <c r="I5638" s="1">
        <v>3.91</v>
      </c>
      <c r="J5638" s="1">
        <v>0.791372</v>
      </c>
    </row>
    <row r="5639">
      <c r="A5639" s="1">
        <v>2025.0</v>
      </c>
      <c r="B5639" s="1" t="s">
        <v>303</v>
      </c>
      <c r="C5639" s="1">
        <v>592662.0</v>
      </c>
      <c r="D5639" s="1" t="s">
        <v>541</v>
      </c>
      <c r="E5639" s="1" t="s">
        <v>926</v>
      </c>
      <c r="F5639" s="1" t="s">
        <v>926</v>
      </c>
      <c r="G5639" s="1">
        <v>43.0</v>
      </c>
      <c r="H5639" s="1">
        <v>2.555519339</v>
      </c>
      <c r="I5639" s="1">
        <v>4.99</v>
      </c>
      <c r="J5639" s="1">
        <v>0.968775</v>
      </c>
    </row>
    <row r="5640">
      <c r="A5640" s="1">
        <v>2025.0</v>
      </c>
      <c r="B5640" s="1" t="s">
        <v>303</v>
      </c>
      <c r="C5640" s="1">
        <v>592662.0</v>
      </c>
      <c r="D5640" s="1" t="s">
        <v>537</v>
      </c>
      <c r="E5640" s="1" t="s">
        <v>926</v>
      </c>
      <c r="F5640" s="1" t="s">
        <v>926</v>
      </c>
      <c r="G5640" s="1">
        <v>403.0</v>
      </c>
      <c r="H5640" s="1">
        <v>23.95056497</v>
      </c>
      <c r="I5640" s="1">
        <v>5.3</v>
      </c>
      <c r="J5640" s="1">
        <v>6.532852</v>
      </c>
    </row>
    <row r="5641">
      <c r="A5641" s="1">
        <v>2025.0</v>
      </c>
      <c r="B5641" s="1" t="s">
        <v>303</v>
      </c>
      <c r="C5641" s="1">
        <v>592662.0</v>
      </c>
      <c r="D5641" s="1" t="s">
        <v>533</v>
      </c>
      <c r="E5641" s="1" t="s">
        <v>926</v>
      </c>
      <c r="F5641" s="1" t="s">
        <v>926</v>
      </c>
      <c r="G5641" s="1">
        <v>219.0</v>
      </c>
      <c r="H5641" s="1">
        <v>13.01531943</v>
      </c>
      <c r="I5641" s="1">
        <v>4.74</v>
      </c>
      <c r="J5641" s="1">
        <v>6.089282</v>
      </c>
    </row>
    <row r="5642">
      <c r="A5642" s="1">
        <v>2025.0</v>
      </c>
      <c r="B5642" s="1" t="s">
        <v>303</v>
      </c>
      <c r="C5642" s="1">
        <v>592662.0</v>
      </c>
      <c r="D5642" s="1" t="s">
        <v>539</v>
      </c>
      <c r="E5642" s="1" t="s">
        <v>926</v>
      </c>
      <c r="F5642" s="1" t="s">
        <v>926</v>
      </c>
      <c r="G5642" s="1">
        <v>8.0</v>
      </c>
      <c r="H5642" s="1">
        <v>0.475445458</v>
      </c>
      <c r="I5642" s="1">
        <v>5.44</v>
      </c>
      <c r="J5642" s="1">
        <v>0.110271</v>
      </c>
    </row>
    <row r="5643">
      <c r="A5643" s="1">
        <v>2025.0</v>
      </c>
      <c r="B5643" s="1" t="s">
        <v>303</v>
      </c>
      <c r="C5643" s="1">
        <v>592662.0</v>
      </c>
      <c r="D5643" s="1" t="s">
        <v>532</v>
      </c>
      <c r="E5643" s="1" t="s">
        <v>926</v>
      </c>
      <c r="F5643" s="1" t="s">
        <v>927</v>
      </c>
      <c r="G5643" s="1">
        <v>399.0</v>
      </c>
      <c r="H5643" s="1">
        <v>23.71284224</v>
      </c>
      <c r="I5643" s="1">
        <v>4.61</v>
      </c>
      <c r="J5643" s="1">
        <v>12.011569</v>
      </c>
    </row>
    <row r="5644">
      <c r="A5644" s="1">
        <v>2025.0</v>
      </c>
      <c r="B5644" s="1" t="s">
        <v>303</v>
      </c>
      <c r="C5644" s="1">
        <v>592662.0</v>
      </c>
      <c r="D5644" s="1" t="s">
        <v>541</v>
      </c>
      <c r="E5644" s="1" t="s">
        <v>926</v>
      </c>
      <c r="F5644" s="1" t="s">
        <v>927</v>
      </c>
      <c r="G5644" s="1">
        <v>328.0</v>
      </c>
      <c r="H5644" s="1">
        <v>19.4932638</v>
      </c>
      <c r="I5644" s="1">
        <v>4.84</v>
      </c>
      <c r="J5644" s="1">
        <v>8.297587</v>
      </c>
    </row>
    <row r="5645">
      <c r="A5645" s="1">
        <v>2025.0</v>
      </c>
      <c r="B5645" s="1" t="s">
        <v>303</v>
      </c>
      <c r="C5645" s="1">
        <v>592662.0</v>
      </c>
      <c r="D5645" s="1" t="s">
        <v>537</v>
      </c>
      <c r="E5645" s="1" t="s">
        <v>926</v>
      </c>
      <c r="F5645" s="1" t="s">
        <v>927</v>
      </c>
      <c r="G5645" s="1">
        <v>1190.0</v>
      </c>
      <c r="H5645" s="1">
        <v>70.72251195</v>
      </c>
      <c r="I5645" s="1">
        <v>5.26</v>
      </c>
      <c r="J5645" s="1">
        <v>20.579315</v>
      </c>
    </row>
    <row r="5646">
      <c r="A5646" s="1">
        <v>2025.0</v>
      </c>
      <c r="B5646" s="1" t="s">
        <v>303</v>
      </c>
      <c r="C5646" s="1">
        <v>592662.0</v>
      </c>
      <c r="D5646" s="1" t="s">
        <v>533</v>
      </c>
      <c r="E5646" s="1" t="s">
        <v>926</v>
      </c>
      <c r="F5646" s="1" t="s">
        <v>927</v>
      </c>
      <c r="G5646" s="1">
        <v>474.0</v>
      </c>
      <c r="H5646" s="1">
        <v>28.17014342</v>
      </c>
      <c r="I5646" s="1">
        <v>4.8</v>
      </c>
      <c r="J5646" s="1">
        <v>12.426433</v>
      </c>
    </row>
    <row r="5647">
      <c r="A5647" s="1">
        <v>2025.0</v>
      </c>
      <c r="B5647" s="1" t="s">
        <v>303</v>
      </c>
      <c r="C5647" s="1">
        <v>592662.0</v>
      </c>
      <c r="D5647" s="1" t="s">
        <v>539</v>
      </c>
      <c r="E5647" s="1" t="s">
        <v>926</v>
      </c>
      <c r="F5647" s="1" t="s">
        <v>927</v>
      </c>
      <c r="G5647" s="1">
        <v>4.0</v>
      </c>
      <c r="H5647" s="1">
        <v>0.237722729</v>
      </c>
      <c r="I5647" s="1">
        <v>4.24</v>
      </c>
      <c r="J5647" s="1">
        <v>0.150402</v>
      </c>
    </row>
    <row r="5648">
      <c r="A5648" s="1">
        <v>2025.0</v>
      </c>
      <c r="B5648" s="1" t="s">
        <v>268</v>
      </c>
      <c r="C5648" s="1">
        <v>676395.0</v>
      </c>
      <c r="D5648" s="1" t="s">
        <v>532</v>
      </c>
      <c r="E5648" s="1" t="s">
        <v>926</v>
      </c>
      <c r="F5648" s="1" t="s">
        <v>926</v>
      </c>
      <c r="G5648" s="1">
        <v>33.0</v>
      </c>
      <c r="H5648" s="1">
        <v>2.17507724</v>
      </c>
      <c r="I5648" s="1">
        <v>4.75</v>
      </c>
      <c r="J5648" s="1">
        <v>0.880381</v>
      </c>
    </row>
    <row r="5649">
      <c r="A5649" s="1">
        <v>2025.0</v>
      </c>
      <c r="B5649" s="1" t="s">
        <v>268</v>
      </c>
      <c r="C5649" s="1">
        <v>676395.0</v>
      </c>
      <c r="D5649" s="1" t="s">
        <v>537</v>
      </c>
      <c r="E5649" s="1" t="s">
        <v>926</v>
      </c>
      <c r="F5649" s="1" t="s">
        <v>926</v>
      </c>
      <c r="G5649" s="1">
        <v>190.0</v>
      </c>
      <c r="H5649" s="1">
        <v>12.52317199</v>
      </c>
      <c r="I5649" s="1">
        <v>4.76</v>
      </c>
      <c r="J5649" s="1">
        <v>5.154079</v>
      </c>
    </row>
    <row r="5650">
      <c r="A5650" s="1">
        <v>2025.0</v>
      </c>
      <c r="B5650" s="1" t="s">
        <v>268</v>
      </c>
      <c r="C5650" s="1">
        <v>676395.0</v>
      </c>
      <c r="D5650" s="1" t="s">
        <v>533</v>
      </c>
      <c r="E5650" s="1" t="s">
        <v>926</v>
      </c>
      <c r="F5650" s="1" t="s">
        <v>926</v>
      </c>
      <c r="G5650" s="1">
        <v>129.0</v>
      </c>
      <c r="H5650" s="1">
        <v>8.502574665</v>
      </c>
      <c r="I5650" s="1">
        <v>5.24</v>
      </c>
      <c r="J5650" s="1">
        <v>2.1768</v>
      </c>
    </row>
    <row r="5651">
      <c r="A5651" s="1">
        <v>2025.0</v>
      </c>
      <c r="B5651" s="1" t="s">
        <v>268</v>
      </c>
      <c r="C5651" s="1">
        <v>676395.0</v>
      </c>
      <c r="D5651" s="1" t="s">
        <v>532</v>
      </c>
      <c r="E5651" s="1" t="s">
        <v>926</v>
      </c>
      <c r="F5651" s="1" t="s">
        <v>927</v>
      </c>
      <c r="G5651" s="1">
        <v>242.0</v>
      </c>
      <c r="H5651" s="1">
        <v>15.95056643</v>
      </c>
      <c r="I5651" s="1">
        <v>4.99</v>
      </c>
      <c r="J5651" s="1">
        <v>5.301462</v>
      </c>
    </row>
    <row r="5652">
      <c r="A5652" s="1">
        <v>2025.0</v>
      </c>
      <c r="B5652" s="1" t="s">
        <v>268</v>
      </c>
      <c r="C5652" s="1">
        <v>676395.0</v>
      </c>
      <c r="D5652" s="1" t="s">
        <v>537</v>
      </c>
      <c r="E5652" s="1" t="s">
        <v>926</v>
      </c>
      <c r="F5652" s="1" t="s">
        <v>927</v>
      </c>
      <c r="G5652" s="1">
        <v>245.0</v>
      </c>
      <c r="H5652" s="1">
        <v>16.14830072</v>
      </c>
      <c r="I5652" s="1">
        <v>4.68</v>
      </c>
      <c r="J5652" s="1">
        <v>7.114103</v>
      </c>
    </row>
    <row r="5653">
      <c r="A5653" s="1">
        <v>2025.0</v>
      </c>
      <c r="B5653" s="1" t="s">
        <v>268</v>
      </c>
      <c r="C5653" s="1">
        <v>676395.0</v>
      </c>
      <c r="D5653" s="1" t="s">
        <v>533</v>
      </c>
      <c r="E5653" s="1" t="s">
        <v>926</v>
      </c>
      <c r="F5653" s="1" t="s">
        <v>927</v>
      </c>
      <c r="G5653" s="1">
        <v>132.0</v>
      </c>
      <c r="H5653" s="1">
        <v>8.70030896</v>
      </c>
      <c r="I5653" s="1">
        <v>5.38</v>
      </c>
      <c r="J5653" s="1">
        <v>1.886466</v>
      </c>
    </row>
    <row r="5654">
      <c r="A5654" s="1">
        <v>2025.0</v>
      </c>
      <c r="B5654" s="1" t="s">
        <v>1002</v>
      </c>
      <c r="C5654" s="1">
        <v>688107.0</v>
      </c>
      <c r="D5654" s="1" t="s">
        <v>537</v>
      </c>
      <c r="E5654" s="1" t="s">
        <v>926</v>
      </c>
      <c r="F5654" s="1" t="s">
        <v>926</v>
      </c>
      <c r="G5654" s="1">
        <v>12.0</v>
      </c>
      <c r="H5654" s="1">
        <v>0.666666667</v>
      </c>
      <c r="I5654" s="1">
        <v>4.55</v>
      </c>
      <c r="J5654" s="1">
        <v>0.378402</v>
      </c>
    </row>
    <row r="5655">
      <c r="A5655" s="1">
        <v>2025.0</v>
      </c>
      <c r="B5655" s="1" t="s">
        <v>1002</v>
      </c>
      <c r="C5655" s="1">
        <v>688107.0</v>
      </c>
      <c r="D5655" s="1" t="s">
        <v>536</v>
      </c>
      <c r="E5655" s="1" t="s">
        <v>926</v>
      </c>
      <c r="F5655" s="1" t="s">
        <v>926</v>
      </c>
      <c r="G5655" s="1">
        <v>12.0</v>
      </c>
      <c r="H5655" s="1">
        <v>0.666666667</v>
      </c>
      <c r="I5655" s="1">
        <v>4.2</v>
      </c>
      <c r="J5655" s="1">
        <v>0.467665</v>
      </c>
    </row>
    <row r="5656">
      <c r="A5656" s="1">
        <v>2025.0</v>
      </c>
      <c r="B5656" s="1" t="s">
        <v>1002</v>
      </c>
      <c r="C5656" s="1">
        <v>688107.0</v>
      </c>
      <c r="D5656" s="1" t="s">
        <v>539</v>
      </c>
      <c r="E5656" s="1" t="s">
        <v>926</v>
      </c>
      <c r="F5656" s="1" t="s">
        <v>926</v>
      </c>
      <c r="G5656" s="1">
        <v>17.0</v>
      </c>
      <c r="H5656" s="1">
        <v>0.944444444</v>
      </c>
      <c r="I5656" s="1">
        <v>5.02</v>
      </c>
      <c r="J5656" s="1">
        <v>0.372983</v>
      </c>
    </row>
    <row r="5657">
      <c r="A5657" s="1">
        <v>2025.0</v>
      </c>
      <c r="B5657" s="1" t="s">
        <v>1002</v>
      </c>
      <c r="C5657" s="1">
        <v>688107.0</v>
      </c>
      <c r="D5657" s="1" t="s">
        <v>532</v>
      </c>
      <c r="E5657" s="1" t="s">
        <v>926</v>
      </c>
      <c r="F5657" s="1" t="s">
        <v>927</v>
      </c>
      <c r="G5657" s="1">
        <v>11.0</v>
      </c>
      <c r="H5657" s="1">
        <v>0.611111111</v>
      </c>
      <c r="I5657" s="1">
        <v>4.71</v>
      </c>
      <c r="J5657" s="1">
        <v>0.330933</v>
      </c>
    </row>
    <row r="5658">
      <c r="A5658" s="1">
        <v>2025.0</v>
      </c>
      <c r="B5658" s="1" t="s">
        <v>1002</v>
      </c>
      <c r="C5658" s="1">
        <v>688107.0</v>
      </c>
      <c r="D5658" s="1" t="s">
        <v>540</v>
      </c>
      <c r="E5658" s="1" t="s">
        <v>926</v>
      </c>
      <c r="F5658" s="1" t="s">
        <v>927</v>
      </c>
      <c r="G5658" s="1">
        <v>3.0</v>
      </c>
      <c r="H5658" s="1">
        <v>0.166666667</v>
      </c>
      <c r="I5658" s="1">
        <v>4.84</v>
      </c>
      <c r="J5658" s="1">
        <v>0.084251</v>
      </c>
    </row>
    <row r="5659">
      <c r="A5659" s="1">
        <v>2025.0</v>
      </c>
      <c r="B5659" s="1" t="s">
        <v>1002</v>
      </c>
      <c r="C5659" s="1">
        <v>688107.0</v>
      </c>
      <c r="D5659" s="1" t="s">
        <v>537</v>
      </c>
      <c r="E5659" s="1" t="s">
        <v>926</v>
      </c>
      <c r="F5659" s="1" t="s">
        <v>927</v>
      </c>
      <c r="G5659" s="1">
        <v>23.0</v>
      </c>
      <c r="H5659" s="1">
        <v>1.277777778</v>
      </c>
      <c r="I5659" s="1">
        <v>4.47</v>
      </c>
      <c r="J5659" s="1">
        <v>0.787314</v>
      </c>
    </row>
    <row r="5660">
      <c r="A5660" s="1">
        <v>2025.0</v>
      </c>
      <c r="B5660" s="1" t="s">
        <v>1002</v>
      </c>
      <c r="C5660" s="1">
        <v>688107.0</v>
      </c>
      <c r="D5660" s="1" t="s">
        <v>536</v>
      </c>
      <c r="E5660" s="1" t="s">
        <v>926</v>
      </c>
      <c r="F5660" s="1" t="s">
        <v>927</v>
      </c>
      <c r="G5660" s="1">
        <v>7.0</v>
      </c>
      <c r="H5660" s="1">
        <v>0.388888889</v>
      </c>
      <c r="I5660" s="1">
        <v>2.66</v>
      </c>
      <c r="J5660" s="1">
        <v>0.490987</v>
      </c>
    </row>
    <row r="5661">
      <c r="A5661" s="1">
        <v>2025.0</v>
      </c>
      <c r="B5661" s="1" t="s">
        <v>1002</v>
      </c>
      <c r="C5661" s="1">
        <v>688107.0</v>
      </c>
      <c r="D5661" s="1" t="s">
        <v>539</v>
      </c>
      <c r="E5661" s="1" t="s">
        <v>926</v>
      </c>
      <c r="F5661" s="1" t="s">
        <v>927</v>
      </c>
      <c r="G5661" s="1">
        <v>17.0</v>
      </c>
      <c r="H5661" s="1">
        <v>0.944444444</v>
      </c>
      <c r="I5661" s="1">
        <v>5.7</v>
      </c>
      <c r="J5661" s="1">
        <v>0.155674</v>
      </c>
    </row>
    <row r="5662">
      <c r="A5662" s="1">
        <v>2025.0</v>
      </c>
      <c r="B5662" s="1" t="s">
        <v>845</v>
      </c>
      <c r="C5662" s="1">
        <v>596112.0</v>
      </c>
      <c r="D5662" s="1" t="s">
        <v>540</v>
      </c>
      <c r="E5662" s="1" t="s">
        <v>927</v>
      </c>
      <c r="F5662" s="1" t="s">
        <v>926</v>
      </c>
      <c r="G5662" s="1">
        <v>33.0</v>
      </c>
      <c r="H5662" s="1">
        <v>2.260273973</v>
      </c>
      <c r="I5662" s="1">
        <v>4.87</v>
      </c>
      <c r="J5662" s="1">
        <v>0.814435</v>
      </c>
    </row>
    <row r="5663">
      <c r="A5663" s="1">
        <v>2025.0</v>
      </c>
      <c r="B5663" s="1" t="s">
        <v>845</v>
      </c>
      <c r="C5663" s="1">
        <v>596112.0</v>
      </c>
      <c r="D5663" s="1" t="s">
        <v>537</v>
      </c>
      <c r="E5663" s="1" t="s">
        <v>927</v>
      </c>
      <c r="F5663" s="1" t="s">
        <v>926</v>
      </c>
      <c r="G5663" s="1">
        <v>5.0</v>
      </c>
      <c r="H5663" s="1">
        <v>0.342465753</v>
      </c>
      <c r="I5663" s="1">
        <v>5.15</v>
      </c>
      <c r="J5663" s="1">
        <v>0.090467</v>
      </c>
    </row>
    <row r="5664">
      <c r="A5664" s="1">
        <v>2025.0</v>
      </c>
      <c r="B5664" s="1" t="s">
        <v>845</v>
      </c>
      <c r="C5664" s="1">
        <v>596112.0</v>
      </c>
      <c r="D5664" s="1" t="s">
        <v>538</v>
      </c>
      <c r="E5664" s="1" t="s">
        <v>927</v>
      </c>
      <c r="F5664" s="1" t="s">
        <v>926</v>
      </c>
      <c r="G5664" s="1">
        <v>11.0</v>
      </c>
      <c r="H5664" s="1">
        <v>0.753424658</v>
      </c>
      <c r="I5664" s="1">
        <v>4.55</v>
      </c>
      <c r="J5664" s="1">
        <v>0.354144</v>
      </c>
    </row>
    <row r="5665">
      <c r="A5665" s="1">
        <v>2025.0</v>
      </c>
      <c r="B5665" s="1" t="s">
        <v>845</v>
      </c>
      <c r="C5665" s="1">
        <v>596112.0</v>
      </c>
      <c r="D5665" s="1" t="s">
        <v>533</v>
      </c>
      <c r="E5665" s="1" t="s">
        <v>927</v>
      </c>
      <c r="F5665" s="1" t="s">
        <v>926</v>
      </c>
      <c r="G5665" s="1">
        <v>7.0</v>
      </c>
      <c r="H5665" s="1">
        <v>0.479452055</v>
      </c>
      <c r="I5665" s="1">
        <v>5.34</v>
      </c>
      <c r="J5665" s="1">
        <v>0.115748</v>
      </c>
    </row>
    <row r="5666">
      <c r="A5666" s="1">
        <v>2025.0</v>
      </c>
      <c r="B5666" s="1" t="s">
        <v>845</v>
      </c>
      <c r="C5666" s="1">
        <v>596112.0</v>
      </c>
      <c r="D5666" s="1" t="s">
        <v>540</v>
      </c>
      <c r="E5666" s="1" t="s">
        <v>927</v>
      </c>
      <c r="F5666" s="1" t="s">
        <v>927</v>
      </c>
      <c r="G5666" s="1">
        <v>67.0</v>
      </c>
      <c r="H5666" s="1">
        <v>4.589041096</v>
      </c>
      <c r="I5666" s="1">
        <v>5.03</v>
      </c>
      <c r="J5666" s="1">
        <v>1.472922</v>
      </c>
    </row>
    <row r="5667">
      <c r="A5667" s="1">
        <v>2025.0</v>
      </c>
      <c r="B5667" s="1" t="s">
        <v>845</v>
      </c>
      <c r="C5667" s="1">
        <v>596112.0</v>
      </c>
      <c r="D5667" s="1" t="s">
        <v>537</v>
      </c>
      <c r="E5667" s="1" t="s">
        <v>927</v>
      </c>
      <c r="F5667" s="1" t="s">
        <v>927</v>
      </c>
      <c r="G5667" s="1">
        <v>18.0</v>
      </c>
      <c r="H5667" s="1">
        <v>1.232876712</v>
      </c>
      <c r="I5667" s="1">
        <v>5.22</v>
      </c>
      <c r="J5667" s="1">
        <v>0.333439</v>
      </c>
    </row>
    <row r="5668">
      <c r="A5668" s="1">
        <v>2025.0</v>
      </c>
      <c r="B5668" s="1" t="s">
        <v>845</v>
      </c>
      <c r="C5668" s="1">
        <v>596112.0</v>
      </c>
      <c r="D5668" s="1" t="s">
        <v>538</v>
      </c>
      <c r="E5668" s="1" t="s">
        <v>927</v>
      </c>
      <c r="F5668" s="1" t="s">
        <v>927</v>
      </c>
      <c r="G5668" s="1">
        <v>1.0</v>
      </c>
      <c r="H5668" s="1">
        <v>0.068493151</v>
      </c>
      <c r="I5668" s="1">
        <v>3.82</v>
      </c>
      <c r="J5668" s="1">
        <v>0.04974</v>
      </c>
    </row>
    <row r="5669">
      <c r="A5669" s="1">
        <v>2025.0</v>
      </c>
      <c r="B5669" s="1" t="s">
        <v>845</v>
      </c>
      <c r="C5669" s="1">
        <v>596112.0</v>
      </c>
      <c r="D5669" s="1" t="s">
        <v>533</v>
      </c>
      <c r="E5669" s="1" t="s">
        <v>927</v>
      </c>
      <c r="F5669" s="1" t="s">
        <v>927</v>
      </c>
      <c r="G5669" s="1">
        <v>4.0</v>
      </c>
      <c r="H5669" s="1">
        <v>0.273972603</v>
      </c>
      <c r="I5669" s="1">
        <v>6.24</v>
      </c>
      <c r="J5669" s="1">
        <v>-0.019246</v>
      </c>
    </row>
    <row r="5670">
      <c r="A5670" s="1">
        <v>2025.0</v>
      </c>
      <c r="B5670" s="1" t="s">
        <v>769</v>
      </c>
      <c r="C5670" s="1">
        <v>476594.0</v>
      </c>
      <c r="D5670" s="1" t="s">
        <v>532</v>
      </c>
      <c r="E5670" s="1" t="s">
        <v>927</v>
      </c>
      <c r="F5670" s="1" t="s">
        <v>926</v>
      </c>
      <c r="G5670" s="1">
        <v>3.0</v>
      </c>
      <c r="H5670" s="1">
        <v>0.13559322</v>
      </c>
      <c r="I5670" s="1">
        <v>4.79</v>
      </c>
      <c r="J5670" s="1">
        <v>0.076499</v>
      </c>
    </row>
    <row r="5671">
      <c r="A5671" s="1">
        <v>2025.0</v>
      </c>
      <c r="B5671" s="1" t="s">
        <v>769</v>
      </c>
      <c r="C5671" s="1">
        <v>476594.0</v>
      </c>
      <c r="D5671" s="1" t="s">
        <v>540</v>
      </c>
      <c r="E5671" s="1" t="s">
        <v>927</v>
      </c>
      <c r="F5671" s="1" t="s">
        <v>926</v>
      </c>
      <c r="G5671" s="1">
        <v>21.0</v>
      </c>
      <c r="H5671" s="1">
        <v>0.949152542</v>
      </c>
      <c r="I5671" s="1">
        <v>4.28</v>
      </c>
      <c r="J5671" s="1">
        <v>0.804194</v>
      </c>
    </row>
    <row r="5672">
      <c r="A5672" s="1">
        <v>2025.0</v>
      </c>
      <c r="B5672" s="1" t="s">
        <v>769</v>
      </c>
      <c r="C5672" s="1">
        <v>476594.0</v>
      </c>
      <c r="D5672" s="1" t="s">
        <v>537</v>
      </c>
      <c r="E5672" s="1" t="s">
        <v>927</v>
      </c>
      <c r="F5672" s="1" t="s">
        <v>926</v>
      </c>
      <c r="G5672" s="1">
        <v>4.0</v>
      </c>
      <c r="H5672" s="1">
        <v>0.18079096</v>
      </c>
      <c r="I5672" s="1">
        <v>1.57</v>
      </c>
      <c r="J5672" s="1">
        <v>0.362799</v>
      </c>
    </row>
    <row r="5673">
      <c r="A5673" s="1">
        <v>2025.0</v>
      </c>
      <c r="B5673" s="1" t="s">
        <v>769</v>
      </c>
      <c r="C5673" s="1">
        <v>476594.0</v>
      </c>
      <c r="D5673" s="1" t="s">
        <v>536</v>
      </c>
      <c r="E5673" s="1" t="s">
        <v>927</v>
      </c>
      <c r="F5673" s="1" t="s">
        <v>926</v>
      </c>
      <c r="G5673" s="1">
        <v>10.0</v>
      </c>
      <c r="H5673" s="1">
        <v>0.451977401</v>
      </c>
      <c r="I5673" s="1">
        <v>4.58</v>
      </c>
      <c r="J5673" s="1">
        <v>0.311086</v>
      </c>
    </row>
    <row r="5674">
      <c r="A5674" s="1">
        <v>2025.0</v>
      </c>
      <c r="B5674" s="1" t="s">
        <v>769</v>
      </c>
      <c r="C5674" s="1">
        <v>476594.0</v>
      </c>
      <c r="D5674" s="1" t="s">
        <v>533</v>
      </c>
      <c r="E5674" s="1" t="s">
        <v>927</v>
      </c>
      <c r="F5674" s="1" t="s">
        <v>926</v>
      </c>
      <c r="G5674" s="1">
        <v>1.0</v>
      </c>
      <c r="H5674" s="1">
        <v>0.04519774</v>
      </c>
      <c r="I5674" s="1">
        <v>6.64</v>
      </c>
      <c r="J5674" s="1">
        <v>-0.015923</v>
      </c>
    </row>
    <row r="5675">
      <c r="A5675" s="1">
        <v>2025.0</v>
      </c>
      <c r="B5675" s="1" t="s">
        <v>769</v>
      </c>
      <c r="C5675" s="1">
        <v>476594.0</v>
      </c>
      <c r="D5675" s="1" t="s">
        <v>539</v>
      </c>
      <c r="E5675" s="1" t="s">
        <v>927</v>
      </c>
      <c r="F5675" s="1" t="s">
        <v>926</v>
      </c>
      <c r="G5675" s="1">
        <v>2.0</v>
      </c>
      <c r="H5675" s="1">
        <v>0.09039548</v>
      </c>
      <c r="I5675" s="1">
        <v>5.16</v>
      </c>
      <c r="J5675" s="1">
        <v>0.037063</v>
      </c>
    </row>
    <row r="5676">
      <c r="A5676" s="1">
        <v>2025.0</v>
      </c>
      <c r="B5676" s="1" t="s">
        <v>769</v>
      </c>
      <c r="C5676" s="1">
        <v>476594.0</v>
      </c>
      <c r="D5676" s="1" t="s">
        <v>540</v>
      </c>
      <c r="E5676" s="1" t="s">
        <v>927</v>
      </c>
      <c r="F5676" s="1" t="s">
        <v>927</v>
      </c>
      <c r="G5676" s="1">
        <v>5.0</v>
      </c>
      <c r="H5676" s="1">
        <v>0.225988701</v>
      </c>
      <c r="I5676" s="1">
        <v>5.45</v>
      </c>
      <c r="J5676" s="1">
        <v>0.070311</v>
      </c>
    </row>
    <row r="5677">
      <c r="A5677" s="1">
        <v>2025.0</v>
      </c>
      <c r="B5677" s="1" t="s">
        <v>769</v>
      </c>
      <c r="C5677" s="1">
        <v>476594.0</v>
      </c>
      <c r="D5677" s="1" t="s">
        <v>537</v>
      </c>
      <c r="E5677" s="1" t="s">
        <v>927</v>
      </c>
      <c r="F5677" s="1" t="s">
        <v>927</v>
      </c>
      <c r="G5677" s="1">
        <v>2.0</v>
      </c>
      <c r="H5677" s="1">
        <v>0.09039548</v>
      </c>
      <c r="I5677" s="1">
        <v>3.7</v>
      </c>
      <c r="J5677" s="1">
        <v>0.100484</v>
      </c>
    </row>
    <row r="5678">
      <c r="A5678" s="1">
        <v>2025.0</v>
      </c>
      <c r="B5678" s="1" t="s">
        <v>769</v>
      </c>
      <c r="C5678" s="1">
        <v>476594.0</v>
      </c>
      <c r="D5678" s="1" t="s">
        <v>536</v>
      </c>
      <c r="E5678" s="1" t="s">
        <v>927</v>
      </c>
      <c r="F5678" s="1" t="s">
        <v>927</v>
      </c>
      <c r="G5678" s="1">
        <v>9.0</v>
      </c>
      <c r="H5678" s="1">
        <v>0.406779661</v>
      </c>
      <c r="I5678" s="1">
        <v>5.06</v>
      </c>
      <c r="J5678" s="1">
        <v>0.190427</v>
      </c>
    </row>
    <row r="5679">
      <c r="A5679" s="1">
        <v>2025.0</v>
      </c>
      <c r="B5679" s="1" t="s">
        <v>769</v>
      </c>
      <c r="C5679" s="1">
        <v>476594.0</v>
      </c>
      <c r="D5679" s="1" t="s">
        <v>539</v>
      </c>
      <c r="E5679" s="1" t="s">
        <v>927</v>
      </c>
      <c r="F5679" s="1" t="s">
        <v>927</v>
      </c>
      <c r="G5679" s="1">
        <v>2.0</v>
      </c>
      <c r="H5679" s="1">
        <v>0.09039548</v>
      </c>
      <c r="I5679" s="1">
        <v>5.06</v>
      </c>
      <c r="J5679" s="1">
        <v>0.044231</v>
      </c>
    </row>
    <row r="5680">
      <c r="A5680" s="1">
        <v>2025.0</v>
      </c>
      <c r="B5680" s="1" t="s">
        <v>81</v>
      </c>
      <c r="C5680" s="1">
        <v>663158.0</v>
      </c>
      <c r="D5680" s="1" t="s">
        <v>532</v>
      </c>
      <c r="E5680" s="1" t="s">
        <v>927</v>
      </c>
      <c r="F5680" s="1" t="s">
        <v>926</v>
      </c>
      <c r="G5680" s="1">
        <v>183.0</v>
      </c>
      <c r="H5680" s="1">
        <v>11.84851301</v>
      </c>
      <c r="I5680" s="1">
        <v>5.25</v>
      </c>
      <c r="J5680" s="1">
        <v>3.013123</v>
      </c>
    </row>
    <row r="5681">
      <c r="A5681" s="1">
        <v>2025.0</v>
      </c>
      <c r="B5681" s="1" t="s">
        <v>81</v>
      </c>
      <c r="C5681" s="1">
        <v>663158.0</v>
      </c>
      <c r="D5681" s="1" t="s">
        <v>540</v>
      </c>
      <c r="E5681" s="1" t="s">
        <v>927</v>
      </c>
      <c r="F5681" s="1" t="s">
        <v>926</v>
      </c>
      <c r="G5681" s="1">
        <v>1.0</v>
      </c>
      <c r="H5681" s="1">
        <v>0.064745973</v>
      </c>
      <c r="I5681" s="1">
        <v>6.94</v>
      </c>
      <c r="J5681" s="1">
        <v>-0.013472</v>
      </c>
    </row>
    <row r="5682">
      <c r="A5682" s="1">
        <v>2025.0</v>
      </c>
      <c r="B5682" s="1" t="s">
        <v>81</v>
      </c>
      <c r="C5682" s="1">
        <v>663158.0</v>
      </c>
      <c r="D5682" s="1" t="s">
        <v>537</v>
      </c>
      <c r="E5682" s="1" t="s">
        <v>927</v>
      </c>
      <c r="F5682" s="1" t="s">
        <v>926</v>
      </c>
      <c r="G5682" s="1">
        <v>344.0</v>
      </c>
      <c r="H5682" s="1">
        <v>22.27261462</v>
      </c>
      <c r="I5682" s="1">
        <v>5.05</v>
      </c>
      <c r="J5682" s="1">
        <v>7.258147</v>
      </c>
    </row>
    <row r="5683">
      <c r="A5683" s="1">
        <v>2025.0</v>
      </c>
      <c r="B5683" s="1" t="s">
        <v>81</v>
      </c>
      <c r="C5683" s="1">
        <v>663158.0</v>
      </c>
      <c r="D5683" s="1" t="s">
        <v>536</v>
      </c>
      <c r="E5683" s="1" t="s">
        <v>927</v>
      </c>
      <c r="F5683" s="1" t="s">
        <v>926</v>
      </c>
      <c r="G5683" s="1">
        <v>40.0</v>
      </c>
      <c r="H5683" s="1">
        <v>2.58983891</v>
      </c>
      <c r="I5683" s="1">
        <v>5.47</v>
      </c>
      <c r="J5683" s="1">
        <v>0.483683</v>
      </c>
    </row>
    <row r="5684">
      <c r="A5684" s="1">
        <v>2025.0</v>
      </c>
      <c r="B5684" s="1" t="s">
        <v>81</v>
      </c>
      <c r="C5684" s="1">
        <v>663158.0</v>
      </c>
      <c r="D5684" s="1" t="s">
        <v>532</v>
      </c>
      <c r="E5684" s="1" t="s">
        <v>927</v>
      </c>
      <c r="F5684" s="1" t="s">
        <v>927</v>
      </c>
      <c r="G5684" s="1">
        <v>74.0</v>
      </c>
      <c r="H5684" s="1">
        <v>4.791201983</v>
      </c>
      <c r="I5684" s="1">
        <v>4.85</v>
      </c>
      <c r="J5684" s="1">
        <v>1.800917</v>
      </c>
    </row>
    <row r="5685">
      <c r="A5685" s="1">
        <v>2025.0</v>
      </c>
      <c r="B5685" s="1" t="s">
        <v>81</v>
      </c>
      <c r="C5685" s="1">
        <v>663158.0</v>
      </c>
      <c r="D5685" s="1" t="s">
        <v>540</v>
      </c>
      <c r="E5685" s="1" t="s">
        <v>927</v>
      </c>
      <c r="F5685" s="1" t="s">
        <v>927</v>
      </c>
      <c r="G5685" s="1">
        <v>1.0</v>
      </c>
      <c r="H5685" s="1">
        <v>0.064745973</v>
      </c>
      <c r="I5685" s="1">
        <v>5.83</v>
      </c>
      <c r="J5685" s="1">
        <v>0.009456</v>
      </c>
    </row>
    <row r="5686">
      <c r="A5686" s="1">
        <v>2025.0</v>
      </c>
      <c r="B5686" s="1" t="s">
        <v>81</v>
      </c>
      <c r="C5686" s="1">
        <v>663158.0</v>
      </c>
      <c r="D5686" s="1" t="s">
        <v>537</v>
      </c>
      <c r="E5686" s="1" t="s">
        <v>927</v>
      </c>
      <c r="F5686" s="1" t="s">
        <v>927</v>
      </c>
      <c r="G5686" s="1">
        <v>306.0</v>
      </c>
      <c r="H5686" s="1">
        <v>19.81226766</v>
      </c>
      <c r="I5686" s="1">
        <v>5.44</v>
      </c>
      <c r="J5686" s="1">
        <v>4.031585</v>
      </c>
    </row>
    <row r="5687">
      <c r="A5687" s="1">
        <v>2025.0</v>
      </c>
      <c r="B5687" s="1" t="s">
        <v>81</v>
      </c>
      <c r="C5687" s="1">
        <v>663158.0</v>
      </c>
      <c r="D5687" s="1" t="s">
        <v>536</v>
      </c>
      <c r="E5687" s="1" t="s">
        <v>927</v>
      </c>
      <c r="F5687" s="1" t="s">
        <v>927</v>
      </c>
      <c r="G5687" s="1">
        <v>127.0</v>
      </c>
      <c r="H5687" s="1">
        <v>8.222738538</v>
      </c>
      <c r="I5687" s="1">
        <v>5.1</v>
      </c>
      <c r="J5687" s="1">
        <v>2.577199</v>
      </c>
    </row>
    <row r="5688">
      <c r="A5688" s="1">
        <v>2025.0</v>
      </c>
      <c r="B5688" s="1" t="s">
        <v>1003</v>
      </c>
      <c r="C5688" s="1">
        <v>673820.0</v>
      </c>
      <c r="D5688" s="1" t="s">
        <v>537</v>
      </c>
      <c r="E5688" s="1" t="s">
        <v>927</v>
      </c>
      <c r="F5688" s="1" t="s">
        <v>926</v>
      </c>
      <c r="G5688" s="1">
        <v>9.0</v>
      </c>
      <c r="H5688" s="1">
        <v>0.344262295</v>
      </c>
      <c r="I5688" s="1">
        <v>4.16</v>
      </c>
      <c r="J5688" s="1">
        <v>0.363008</v>
      </c>
    </row>
    <row r="5689">
      <c r="A5689" s="1">
        <v>2025.0</v>
      </c>
      <c r="B5689" s="1" t="s">
        <v>1003</v>
      </c>
      <c r="C5689" s="1">
        <v>673820.0</v>
      </c>
      <c r="D5689" s="1" t="s">
        <v>538</v>
      </c>
      <c r="E5689" s="1" t="s">
        <v>927</v>
      </c>
      <c r="F5689" s="1" t="s">
        <v>926</v>
      </c>
      <c r="G5689" s="1">
        <v>13.0</v>
      </c>
      <c r="H5689" s="1">
        <v>0.49726776</v>
      </c>
      <c r="I5689" s="1">
        <v>4.18</v>
      </c>
      <c r="J5689" s="1">
        <v>0.485962</v>
      </c>
    </row>
    <row r="5690">
      <c r="A5690" s="1">
        <v>2025.0</v>
      </c>
      <c r="B5690" s="1" t="s">
        <v>1003</v>
      </c>
      <c r="C5690" s="1">
        <v>673820.0</v>
      </c>
      <c r="D5690" s="1" t="s">
        <v>536</v>
      </c>
      <c r="E5690" s="1" t="s">
        <v>927</v>
      </c>
      <c r="F5690" s="1" t="s">
        <v>926</v>
      </c>
      <c r="G5690" s="1">
        <v>12.0</v>
      </c>
      <c r="H5690" s="1">
        <v>0.459016393</v>
      </c>
      <c r="I5690" s="1">
        <v>5.29</v>
      </c>
      <c r="J5690" s="1">
        <v>0.195046</v>
      </c>
    </row>
    <row r="5691">
      <c r="A5691" s="1">
        <v>2025.0</v>
      </c>
      <c r="B5691" s="1" t="s">
        <v>1003</v>
      </c>
      <c r="C5691" s="1">
        <v>673820.0</v>
      </c>
      <c r="D5691" s="1" t="s">
        <v>533</v>
      </c>
      <c r="E5691" s="1" t="s">
        <v>927</v>
      </c>
      <c r="F5691" s="1" t="s">
        <v>926</v>
      </c>
      <c r="G5691" s="1">
        <v>3.0</v>
      </c>
      <c r="H5691" s="1">
        <v>0.114754098</v>
      </c>
      <c r="I5691" s="1">
        <v>6.32</v>
      </c>
      <c r="J5691" s="1">
        <v>-0.022324</v>
      </c>
    </row>
    <row r="5692">
      <c r="A5692" s="1">
        <v>2025.0</v>
      </c>
      <c r="B5692" s="1" t="s">
        <v>1003</v>
      </c>
      <c r="C5692" s="1">
        <v>673820.0</v>
      </c>
      <c r="D5692" s="1" t="s">
        <v>537</v>
      </c>
      <c r="E5692" s="1" t="s">
        <v>927</v>
      </c>
      <c r="F5692" s="1" t="s">
        <v>927</v>
      </c>
      <c r="G5692" s="1">
        <v>2.0</v>
      </c>
      <c r="H5692" s="1">
        <v>0.076502732</v>
      </c>
      <c r="I5692" s="1">
        <v>6.63</v>
      </c>
      <c r="J5692" s="1">
        <v>-0.024655</v>
      </c>
    </row>
    <row r="5693">
      <c r="A5693" s="1">
        <v>2025.0</v>
      </c>
      <c r="B5693" s="1" t="s">
        <v>1003</v>
      </c>
      <c r="C5693" s="1">
        <v>673820.0</v>
      </c>
      <c r="D5693" s="1" t="s">
        <v>538</v>
      </c>
      <c r="E5693" s="1" t="s">
        <v>927</v>
      </c>
      <c r="F5693" s="1" t="s">
        <v>927</v>
      </c>
      <c r="G5693" s="1">
        <v>1.0</v>
      </c>
      <c r="H5693" s="1">
        <v>0.038251366</v>
      </c>
      <c r="I5693" s="1">
        <v>4.6</v>
      </c>
      <c r="J5693" s="1">
        <v>0.032021</v>
      </c>
    </row>
    <row r="5694">
      <c r="A5694" s="1">
        <v>2025.0</v>
      </c>
      <c r="B5694" s="1" t="s">
        <v>1003</v>
      </c>
      <c r="C5694" s="1">
        <v>673820.0</v>
      </c>
      <c r="D5694" s="1" t="s">
        <v>536</v>
      </c>
      <c r="E5694" s="1" t="s">
        <v>927</v>
      </c>
      <c r="F5694" s="1" t="s">
        <v>927</v>
      </c>
      <c r="G5694" s="1">
        <v>14.0</v>
      </c>
      <c r="H5694" s="1">
        <v>0.535519126</v>
      </c>
      <c r="I5694" s="1">
        <v>6.27</v>
      </c>
      <c r="J5694" s="1">
        <v>-0.058767</v>
      </c>
    </row>
    <row r="5695">
      <c r="A5695" s="1">
        <v>2025.0</v>
      </c>
      <c r="B5695" s="1" t="s">
        <v>1003</v>
      </c>
      <c r="C5695" s="1">
        <v>673820.0</v>
      </c>
      <c r="D5695" s="1" t="s">
        <v>533</v>
      </c>
      <c r="E5695" s="1" t="s">
        <v>927</v>
      </c>
      <c r="F5695" s="1" t="s">
        <v>927</v>
      </c>
      <c r="G5695" s="1">
        <v>7.0</v>
      </c>
      <c r="H5695" s="1">
        <v>0.267759563</v>
      </c>
      <c r="I5695" s="1">
        <v>3.51</v>
      </c>
      <c r="J5695" s="1">
        <v>0.360877</v>
      </c>
    </row>
    <row r="5696">
      <c r="A5696" s="1">
        <v>2025.0</v>
      </c>
      <c r="B5696" s="1" t="s">
        <v>785</v>
      </c>
      <c r="C5696" s="1">
        <v>682610.0</v>
      </c>
      <c r="D5696" s="1" t="s">
        <v>532</v>
      </c>
      <c r="E5696" s="1" t="s">
        <v>927</v>
      </c>
      <c r="F5696" s="1" t="s">
        <v>926</v>
      </c>
      <c r="G5696" s="1">
        <v>6.0</v>
      </c>
      <c r="H5696" s="1">
        <v>0.288209607</v>
      </c>
      <c r="I5696" s="1">
        <v>4.36</v>
      </c>
      <c r="J5696" s="1">
        <v>0.196978</v>
      </c>
    </row>
    <row r="5697">
      <c r="A5697" s="1">
        <v>2025.0</v>
      </c>
      <c r="B5697" s="1" t="s">
        <v>785</v>
      </c>
      <c r="C5697" s="1">
        <v>682610.0</v>
      </c>
      <c r="D5697" s="1" t="s">
        <v>540</v>
      </c>
      <c r="E5697" s="1" t="s">
        <v>927</v>
      </c>
      <c r="F5697" s="1" t="s">
        <v>926</v>
      </c>
      <c r="G5697" s="1">
        <v>41.0</v>
      </c>
      <c r="H5697" s="1">
        <v>1.969432314</v>
      </c>
      <c r="I5697" s="1">
        <v>4.81</v>
      </c>
      <c r="J5697" s="1">
        <v>1.066677</v>
      </c>
    </row>
    <row r="5698">
      <c r="A5698" s="1">
        <v>2025.0</v>
      </c>
      <c r="B5698" s="1" t="s">
        <v>785</v>
      </c>
      <c r="C5698" s="1">
        <v>682610.0</v>
      </c>
      <c r="D5698" s="1" t="s">
        <v>537</v>
      </c>
      <c r="E5698" s="1" t="s">
        <v>927</v>
      </c>
      <c r="F5698" s="1" t="s">
        <v>926</v>
      </c>
      <c r="G5698" s="1">
        <v>21.0</v>
      </c>
      <c r="H5698" s="1">
        <v>1.008733624</v>
      </c>
      <c r="I5698" s="1">
        <v>4.57</v>
      </c>
      <c r="J5698" s="1">
        <v>0.637442</v>
      </c>
    </row>
    <row r="5699">
      <c r="A5699" s="1">
        <v>2025.0</v>
      </c>
      <c r="B5699" s="1" t="s">
        <v>785</v>
      </c>
      <c r="C5699" s="1">
        <v>682610.0</v>
      </c>
      <c r="D5699" s="1" t="s">
        <v>536</v>
      </c>
      <c r="E5699" s="1" t="s">
        <v>927</v>
      </c>
      <c r="F5699" s="1" t="s">
        <v>926</v>
      </c>
      <c r="G5699" s="1">
        <v>4.0</v>
      </c>
      <c r="H5699" s="1">
        <v>0.192139738</v>
      </c>
      <c r="I5699" s="1">
        <v>7.37</v>
      </c>
      <c r="J5699" s="1">
        <v>-0.09637</v>
      </c>
    </row>
    <row r="5700">
      <c r="A5700" s="1">
        <v>2025.0</v>
      </c>
      <c r="B5700" s="1" t="s">
        <v>785</v>
      </c>
      <c r="C5700" s="1">
        <v>682610.0</v>
      </c>
      <c r="D5700" s="1" t="s">
        <v>533</v>
      </c>
      <c r="E5700" s="1" t="s">
        <v>927</v>
      </c>
      <c r="F5700" s="1" t="s">
        <v>926</v>
      </c>
      <c r="G5700" s="1">
        <v>25.0</v>
      </c>
      <c r="H5700" s="1">
        <v>1.200873362</v>
      </c>
      <c r="I5700" s="1">
        <v>4.93</v>
      </c>
      <c r="J5700" s="1">
        <v>0.551511</v>
      </c>
    </row>
    <row r="5701">
      <c r="A5701" s="1">
        <v>2025.0</v>
      </c>
      <c r="B5701" s="1" t="s">
        <v>785</v>
      </c>
      <c r="C5701" s="1">
        <v>682610.0</v>
      </c>
      <c r="D5701" s="1" t="s">
        <v>540</v>
      </c>
      <c r="E5701" s="1" t="s">
        <v>927</v>
      </c>
      <c r="F5701" s="1" t="s">
        <v>927</v>
      </c>
      <c r="G5701" s="1">
        <v>26.0</v>
      </c>
      <c r="H5701" s="1">
        <v>1.248908297</v>
      </c>
      <c r="I5701" s="1">
        <v>4.17</v>
      </c>
      <c r="J5701" s="1">
        <v>0.978537</v>
      </c>
    </row>
    <row r="5702">
      <c r="A5702" s="1">
        <v>2025.0</v>
      </c>
      <c r="B5702" s="1" t="s">
        <v>785</v>
      </c>
      <c r="C5702" s="1">
        <v>682610.0</v>
      </c>
      <c r="D5702" s="1" t="s">
        <v>537</v>
      </c>
      <c r="E5702" s="1" t="s">
        <v>927</v>
      </c>
      <c r="F5702" s="1" t="s">
        <v>927</v>
      </c>
      <c r="G5702" s="1">
        <v>16.0</v>
      </c>
      <c r="H5702" s="1">
        <v>0.768558952</v>
      </c>
      <c r="I5702" s="1">
        <v>4.79</v>
      </c>
      <c r="J5702" s="1">
        <v>0.408294</v>
      </c>
    </row>
    <row r="5703">
      <c r="A5703" s="1">
        <v>2025.0</v>
      </c>
      <c r="B5703" s="1" t="s">
        <v>785</v>
      </c>
      <c r="C5703" s="1">
        <v>682610.0</v>
      </c>
      <c r="D5703" s="1" t="s">
        <v>536</v>
      </c>
      <c r="E5703" s="1" t="s">
        <v>927</v>
      </c>
      <c r="F5703" s="1" t="s">
        <v>927</v>
      </c>
      <c r="G5703" s="1">
        <v>45.0</v>
      </c>
      <c r="H5703" s="1">
        <v>2.161572052</v>
      </c>
      <c r="I5703" s="1">
        <v>5.0</v>
      </c>
      <c r="J5703" s="1">
        <v>1.018101</v>
      </c>
    </row>
    <row r="5704">
      <c r="A5704" s="1">
        <v>2025.0</v>
      </c>
      <c r="B5704" s="1" t="s">
        <v>785</v>
      </c>
      <c r="C5704" s="1">
        <v>682610.0</v>
      </c>
      <c r="D5704" s="1" t="s">
        <v>533</v>
      </c>
      <c r="E5704" s="1" t="s">
        <v>927</v>
      </c>
      <c r="F5704" s="1" t="s">
        <v>927</v>
      </c>
      <c r="G5704" s="1">
        <v>45.0</v>
      </c>
      <c r="H5704" s="1">
        <v>2.161572052</v>
      </c>
      <c r="I5704" s="1">
        <v>5.22</v>
      </c>
      <c r="J5704" s="1">
        <v>0.739054</v>
      </c>
    </row>
    <row r="5705">
      <c r="A5705" s="1">
        <v>2025.0</v>
      </c>
      <c r="B5705" s="1" t="s">
        <v>522</v>
      </c>
      <c r="C5705" s="1">
        <v>808963.0</v>
      </c>
      <c r="D5705" s="1" t="s">
        <v>537</v>
      </c>
      <c r="E5705" s="1" t="s">
        <v>927</v>
      </c>
      <c r="F5705" s="1" t="s">
        <v>926</v>
      </c>
      <c r="G5705" s="1">
        <v>174.0</v>
      </c>
      <c r="H5705" s="1">
        <v>10.18035427</v>
      </c>
      <c r="I5705" s="1">
        <v>4.51</v>
      </c>
      <c r="J5705" s="1">
        <v>5.704646</v>
      </c>
    </row>
    <row r="5706">
      <c r="A5706" s="1">
        <v>2025.0</v>
      </c>
      <c r="B5706" s="1" t="s">
        <v>522</v>
      </c>
      <c r="C5706" s="1">
        <v>808963.0</v>
      </c>
      <c r="D5706" s="1" t="s">
        <v>538</v>
      </c>
      <c r="E5706" s="1" t="s">
        <v>927</v>
      </c>
      <c r="F5706" s="1" t="s">
        <v>926</v>
      </c>
      <c r="G5706" s="1">
        <v>137.0</v>
      </c>
      <c r="H5706" s="1">
        <v>8.015566291</v>
      </c>
      <c r="I5706" s="1">
        <v>4.49</v>
      </c>
      <c r="J5706" s="1">
        <v>4.275607</v>
      </c>
    </row>
    <row r="5707">
      <c r="A5707" s="1">
        <v>2025.0</v>
      </c>
      <c r="B5707" s="1" t="s">
        <v>522</v>
      </c>
      <c r="C5707" s="1">
        <v>808963.0</v>
      </c>
      <c r="D5707" s="1" t="s">
        <v>533</v>
      </c>
      <c r="E5707" s="1" t="s">
        <v>927</v>
      </c>
      <c r="F5707" s="1" t="s">
        <v>926</v>
      </c>
      <c r="G5707" s="1">
        <v>40.0</v>
      </c>
      <c r="H5707" s="1">
        <v>2.340311326</v>
      </c>
      <c r="I5707" s="1">
        <v>4.35</v>
      </c>
      <c r="J5707" s="1">
        <v>1.409665</v>
      </c>
    </row>
    <row r="5708">
      <c r="A5708" s="1">
        <v>2025.0</v>
      </c>
      <c r="B5708" s="1" t="s">
        <v>522</v>
      </c>
      <c r="C5708" s="1">
        <v>808963.0</v>
      </c>
      <c r="D5708" s="1" t="s">
        <v>537</v>
      </c>
      <c r="E5708" s="1" t="s">
        <v>927</v>
      </c>
      <c r="F5708" s="1" t="s">
        <v>927</v>
      </c>
      <c r="G5708" s="1">
        <v>136.0</v>
      </c>
      <c r="H5708" s="1">
        <v>7.957058508</v>
      </c>
      <c r="I5708" s="1">
        <v>4.94</v>
      </c>
      <c r="J5708" s="1">
        <v>3.221687</v>
      </c>
    </row>
    <row r="5709">
      <c r="A5709" s="1">
        <v>2025.0</v>
      </c>
      <c r="B5709" s="1" t="s">
        <v>522</v>
      </c>
      <c r="C5709" s="1">
        <v>808963.0</v>
      </c>
      <c r="D5709" s="1" t="s">
        <v>538</v>
      </c>
      <c r="E5709" s="1" t="s">
        <v>927</v>
      </c>
      <c r="F5709" s="1" t="s">
        <v>927</v>
      </c>
      <c r="G5709" s="1">
        <v>71.0</v>
      </c>
      <c r="H5709" s="1">
        <v>4.154052603</v>
      </c>
      <c r="I5709" s="1">
        <v>4.74</v>
      </c>
      <c r="J5709" s="1">
        <v>1.876048</v>
      </c>
    </row>
    <row r="5710">
      <c r="A5710" s="1">
        <v>2025.0</v>
      </c>
      <c r="B5710" s="1" t="s">
        <v>522</v>
      </c>
      <c r="C5710" s="1">
        <v>808963.0</v>
      </c>
      <c r="D5710" s="1" t="s">
        <v>536</v>
      </c>
      <c r="E5710" s="1" t="s">
        <v>927</v>
      </c>
      <c r="F5710" s="1" t="s">
        <v>927</v>
      </c>
      <c r="G5710" s="1">
        <v>2.0</v>
      </c>
      <c r="H5710" s="1">
        <v>0.117015566</v>
      </c>
      <c r="I5710" s="1">
        <v>5.94</v>
      </c>
      <c r="J5710" s="1">
        <v>-0.001299</v>
      </c>
    </row>
    <row r="5711">
      <c r="A5711" s="1">
        <v>2025.0</v>
      </c>
      <c r="B5711" s="1" t="s">
        <v>522</v>
      </c>
      <c r="C5711" s="1">
        <v>808963.0</v>
      </c>
      <c r="D5711" s="1" t="s">
        <v>533</v>
      </c>
      <c r="E5711" s="1" t="s">
        <v>927</v>
      </c>
      <c r="F5711" s="1" t="s">
        <v>927</v>
      </c>
      <c r="G5711" s="1">
        <v>61.0</v>
      </c>
      <c r="H5711" s="1">
        <v>3.568974772</v>
      </c>
      <c r="I5711" s="1">
        <v>4.63</v>
      </c>
      <c r="J5711" s="1">
        <v>1.788746</v>
      </c>
    </row>
    <row r="5712">
      <c r="A5712" s="1">
        <v>2025.0</v>
      </c>
      <c r="B5712" s="1" t="s">
        <v>1004</v>
      </c>
      <c r="C5712" s="1">
        <v>691548.0</v>
      </c>
      <c r="D5712" s="1" t="s">
        <v>532</v>
      </c>
      <c r="E5712" s="1" t="s">
        <v>927</v>
      </c>
      <c r="F5712" s="1" t="s">
        <v>926</v>
      </c>
      <c r="G5712" s="1">
        <v>1.0</v>
      </c>
      <c r="H5712" s="1">
        <v>0.047008547</v>
      </c>
      <c r="I5712" s="1">
        <v>5.37</v>
      </c>
      <c r="J5712" s="1">
        <v>0.018141</v>
      </c>
    </row>
    <row r="5713">
      <c r="A5713" s="1">
        <v>2025.0</v>
      </c>
      <c r="B5713" s="1" t="s">
        <v>1004</v>
      </c>
      <c r="C5713" s="1">
        <v>691548.0</v>
      </c>
      <c r="D5713" s="1" t="s">
        <v>537</v>
      </c>
      <c r="E5713" s="1" t="s">
        <v>927</v>
      </c>
      <c r="F5713" s="1" t="s">
        <v>926</v>
      </c>
      <c r="G5713" s="1">
        <v>1.0</v>
      </c>
      <c r="H5713" s="1">
        <v>0.047008547</v>
      </c>
      <c r="I5713" s="1">
        <v>4.46</v>
      </c>
      <c r="J5713" s="1">
        <v>0.031003</v>
      </c>
    </row>
    <row r="5714">
      <c r="A5714" s="1">
        <v>2025.0</v>
      </c>
      <c r="B5714" s="1" t="s">
        <v>1004</v>
      </c>
      <c r="C5714" s="1">
        <v>691548.0</v>
      </c>
      <c r="D5714" s="1" t="s">
        <v>536</v>
      </c>
      <c r="E5714" s="1" t="s">
        <v>927</v>
      </c>
      <c r="F5714" s="1" t="s">
        <v>926</v>
      </c>
      <c r="G5714" s="1">
        <v>17.0</v>
      </c>
      <c r="H5714" s="1">
        <v>0.799145299</v>
      </c>
      <c r="I5714" s="1">
        <v>4.55</v>
      </c>
      <c r="J5714" s="1">
        <v>0.572687</v>
      </c>
    </row>
    <row r="5715">
      <c r="A5715" s="1">
        <v>2025.0</v>
      </c>
      <c r="B5715" s="1" t="s">
        <v>1004</v>
      </c>
      <c r="C5715" s="1">
        <v>691548.0</v>
      </c>
      <c r="D5715" s="1" t="s">
        <v>533</v>
      </c>
      <c r="E5715" s="1" t="s">
        <v>927</v>
      </c>
      <c r="F5715" s="1" t="s">
        <v>926</v>
      </c>
      <c r="G5715" s="1">
        <v>19.0</v>
      </c>
      <c r="H5715" s="1">
        <v>0.893162393</v>
      </c>
      <c r="I5715" s="1">
        <v>5.16</v>
      </c>
      <c r="J5715" s="1">
        <v>0.393311</v>
      </c>
    </row>
    <row r="5716">
      <c r="A5716" s="1">
        <v>2025.0</v>
      </c>
      <c r="B5716" s="1" t="s">
        <v>1004</v>
      </c>
      <c r="C5716" s="1">
        <v>691548.0</v>
      </c>
      <c r="D5716" s="1" t="s">
        <v>536</v>
      </c>
      <c r="E5716" s="1" t="s">
        <v>927</v>
      </c>
      <c r="F5716" s="1" t="s">
        <v>927</v>
      </c>
      <c r="G5716" s="1">
        <v>24.0</v>
      </c>
      <c r="H5716" s="1">
        <v>1.128205128</v>
      </c>
      <c r="I5716" s="1">
        <v>3.52</v>
      </c>
      <c r="J5716" s="1">
        <v>1.223827</v>
      </c>
    </row>
    <row r="5717">
      <c r="A5717" s="1">
        <v>2025.0</v>
      </c>
      <c r="B5717" s="1" t="s">
        <v>1004</v>
      </c>
      <c r="C5717" s="1">
        <v>691548.0</v>
      </c>
      <c r="D5717" s="1" t="s">
        <v>533</v>
      </c>
      <c r="E5717" s="1" t="s">
        <v>927</v>
      </c>
      <c r="F5717" s="1" t="s">
        <v>927</v>
      </c>
      <c r="G5717" s="1">
        <v>16.0</v>
      </c>
      <c r="H5717" s="1">
        <v>0.752136752</v>
      </c>
      <c r="I5717" s="1">
        <v>3.93</v>
      </c>
      <c r="J5717" s="1">
        <v>0.713075</v>
      </c>
    </row>
    <row r="5718">
      <c r="A5718" s="1">
        <v>2025.0</v>
      </c>
      <c r="B5718" s="1" t="s">
        <v>1005</v>
      </c>
      <c r="C5718" s="1">
        <v>676760.0</v>
      </c>
      <c r="D5718" s="1" t="s">
        <v>532</v>
      </c>
      <c r="E5718" s="1" t="s">
        <v>927</v>
      </c>
      <c r="F5718" s="1" t="s">
        <v>926</v>
      </c>
      <c r="G5718" s="1">
        <v>15.0</v>
      </c>
      <c r="H5718" s="1">
        <v>0.975609756</v>
      </c>
      <c r="I5718" s="1">
        <v>5.16</v>
      </c>
      <c r="J5718" s="1">
        <v>0.268444</v>
      </c>
    </row>
    <row r="5719">
      <c r="A5719" s="1">
        <v>2025.0</v>
      </c>
      <c r="B5719" s="1" t="s">
        <v>1005</v>
      </c>
      <c r="C5719" s="1">
        <v>676760.0</v>
      </c>
      <c r="D5719" s="1" t="s">
        <v>540</v>
      </c>
      <c r="E5719" s="1" t="s">
        <v>927</v>
      </c>
      <c r="F5719" s="1" t="s">
        <v>926</v>
      </c>
      <c r="G5719" s="1">
        <v>11.0</v>
      </c>
      <c r="H5719" s="1">
        <v>0.715447154</v>
      </c>
      <c r="I5719" s="1">
        <v>5.06</v>
      </c>
      <c r="J5719" s="1">
        <v>0.218686</v>
      </c>
    </row>
    <row r="5720">
      <c r="A5720" s="1">
        <v>2025.0</v>
      </c>
      <c r="B5720" s="1" t="s">
        <v>1005</v>
      </c>
      <c r="C5720" s="1">
        <v>676760.0</v>
      </c>
      <c r="D5720" s="1" t="s">
        <v>537</v>
      </c>
      <c r="E5720" s="1" t="s">
        <v>927</v>
      </c>
      <c r="F5720" s="1" t="s">
        <v>926</v>
      </c>
      <c r="G5720" s="1">
        <v>24.0</v>
      </c>
      <c r="H5720" s="1">
        <v>1.56097561</v>
      </c>
      <c r="I5720" s="1">
        <v>5.58</v>
      </c>
      <c r="J5720" s="1">
        <v>0.260188</v>
      </c>
    </row>
    <row r="5721">
      <c r="A5721" s="1">
        <v>2025.0</v>
      </c>
      <c r="B5721" s="1" t="s">
        <v>1005</v>
      </c>
      <c r="C5721" s="1">
        <v>676760.0</v>
      </c>
      <c r="D5721" s="1" t="s">
        <v>539</v>
      </c>
      <c r="E5721" s="1" t="s">
        <v>927</v>
      </c>
      <c r="F5721" s="1" t="s">
        <v>926</v>
      </c>
      <c r="G5721" s="1">
        <v>2.0</v>
      </c>
      <c r="H5721" s="1">
        <v>0.130081301</v>
      </c>
      <c r="I5721" s="1">
        <v>0.68</v>
      </c>
      <c r="J5721" s="1">
        <v>0.221494</v>
      </c>
    </row>
    <row r="5722">
      <c r="A5722" s="1">
        <v>2025.0</v>
      </c>
      <c r="B5722" s="1" t="s">
        <v>1005</v>
      </c>
      <c r="C5722" s="1">
        <v>676760.0</v>
      </c>
      <c r="D5722" s="1" t="s">
        <v>532</v>
      </c>
      <c r="E5722" s="1" t="s">
        <v>927</v>
      </c>
      <c r="F5722" s="1" t="s">
        <v>927</v>
      </c>
      <c r="G5722" s="1">
        <v>20.0</v>
      </c>
      <c r="H5722" s="1">
        <v>1.300813008</v>
      </c>
      <c r="I5722" s="1">
        <v>4.96</v>
      </c>
      <c r="J5722" s="1">
        <v>0.433067</v>
      </c>
    </row>
    <row r="5723">
      <c r="A5723" s="1">
        <v>2025.0</v>
      </c>
      <c r="B5723" s="1" t="s">
        <v>1005</v>
      </c>
      <c r="C5723" s="1">
        <v>676760.0</v>
      </c>
      <c r="D5723" s="1" t="s">
        <v>540</v>
      </c>
      <c r="E5723" s="1" t="s">
        <v>927</v>
      </c>
      <c r="F5723" s="1" t="s">
        <v>927</v>
      </c>
      <c r="G5723" s="1">
        <v>21.0</v>
      </c>
      <c r="H5723" s="1">
        <v>1.365853659</v>
      </c>
      <c r="I5723" s="1">
        <v>5.51</v>
      </c>
      <c r="J5723" s="1">
        <v>0.25959</v>
      </c>
    </row>
    <row r="5724">
      <c r="A5724" s="1">
        <v>2025.0</v>
      </c>
      <c r="B5724" s="1" t="s">
        <v>1005</v>
      </c>
      <c r="C5724" s="1">
        <v>676760.0</v>
      </c>
      <c r="D5724" s="1" t="s">
        <v>537</v>
      </c>
      <c r="E5724" s="1" t="s">
        <v>927</v>
      </c>
      <c r="F5724" s="1" t="s">
        <v>927</v>
      </c>
      <c r="G5724" s="1">
        <v>55.0</v>
      </c>
      <c r="H5724" s="1">
        <v>3.577235772</v>
      </c>
      <c r="I5724" s="1">
        <v>4.81</v>
      </c>
      <c r="J5724" s="1">
        <v>1.401867</v>
      </c>
    </row>
    <row r="5725">
      <c r="A5725" s="1">
        <v>2025.0</v>
      </c>
      <c r="B5725" s="1" t="s">
        <v>1005</v>
      </c>
      <c r="C5725" s="1">
        <v>676760.0</v>
      </c>
      <c r="D5725" s="1" t="s">
        <v>539</v>
      </c>
      <c r="E5725" s="1" t="s">
        <v>927</v>
      </c>
      <c r="F5725" s="1" t="s">
        <v>927</v>
      </c>
      <c r="G5725" s="1">
        <v>16.0</v>
      </c>
      <c r="H5725" s="1">
        <v>1.040650407</v>
      </c>
      <c r="I5725" s="1">
        <v>5.86</v>
      </c>
      <c r="J5725" s="1">
        <v>0.059954</v>
      </c>
    </row>
    <row r="5726">
      <c r="A5726" s="1">
        <v>2025.0</v>
      </c>
      <c r="B5726" s="1" t="s">
        <v>314</v>
      </c>
      <c r="C5726" s="1">
        <v>669854.0</v>
      </c>
      <c r="D5726" s="1" t="s">
        <v>532</v>
      </c>
      <c r="E5726" s="1" t="s">
        <v>927</v>
      </c>
      <c r="F5726" s="1" t="s">
        <v>926</v>
      </c>
      <c r="G5726" s="1">
        <v>78.0</v>
      </c>
      <c r="H5726" s="1">
        <v>4.754098361</v>
      </c>
      <c r="I5726" s="1">
        <v>4.64</v>
      </c>
      <c r="J5726" s="1">
        <v>2.244028</v>
      </c>
    </row>
    <row r="5727">
      <c r="A5727" s="1">
        <v>2025.0</v>
      </c>
      <c r="B5727" s="1" t="s">
        <v>314</v>
      </c>
      <c r="C5727" s="1">
        <v>669854.0</v>
      </c>
      <c r="D5727" s="1" t="s">
        <v>541</v>
      </c>
      <c r="E5727" s="1" t="s">
        <v>927</v>
      </c>
      <c r="F5727" s="1" t="s">
        <v>926</v>
      </c>
      <c r="G5727" s="1">
        <v>72.0</v>
      </c>
      <c r="H5727" s="1">
        <v>4.388398487</v>
      </c>
      <c r="I5727" s="1">
        <v>5.05</v>
      </c>
      <c r="J5727" s="1">
        <v>1.499557</v>
      </c>
    </row>
    <row r="5728">
      <c r="A5728" s="1">
        <v>2025.0</v>
      </c>
      <c r="B5728" s="1" t="s">
        <v>314</v>
      </c>
      <c r="C5728" s="1">
        <v>669854.0</v>
      </c>
      <c r="D5728" s="1" t="s">
        <v>537</v>
      </c>
      <c r="E5728" s="1" t="s">
        <v>927</v>
      </c>
      <c r="F5728" s="1" t="s">
        <v>926</v>
      </c>
      <c r="G5728" s="1">
        <v>123.0</v>
      </c>
      <c r="H5728" s="1">
        <v>7.496847415</v>
      </c>
      <c r="I5728" s="1">
        <v>4.77</v>
      </c>
      <c r="J5728" s="1">
        <v>3.296558</v>
      </c>
    </row>
    <row r="5729">
      <c r="A5729" s="1">
        <v>2025.0</v>
      </c>
      <c r="B5729" s="1" t="s">
        <v>314</v>
      </c>
      <c r="C5729" s="1">
        <v>669854.0</v>
      </c>
      <c r="D5729" s="1" t="s">
        <v>533</v>
      </c>
      <c r="E5729" s="1" t="s">
        <v>927</v>
      </c>
      <c r="F5729" s="1" t="s">
        <v>926</v>
      </c>
      <c r="G5729" s="1">
        <v>53.0</v>
      </c>
      <c r="H5729" s="1">
        <v>3.230348886</v>
      </c>
      <c r="I5729" s="1">
        <v>4.8</v>
      </c>
      <c r="J5729" s="1">
        <v>1.416555</v>
      </c>
    </row>
    <row r="5730">
      <c r="A5730" s="1">
        <v>2025.0</v>
      </c>
      <c r="B5730" s="1" t="s">
        <v>314</v>
      </c>
      <c r="C5730" s="1">
        <v>669854.0</v>
      </c>
      <c r="D5730" s="1" t="s">
        <v>532</v>
      </c>
      <c r="E5730" s="1" t="s">
        <v>927</v>
      </c>
      <c r="F5730" s="1" t="s">
        <v>927</v>
      </c>
      <c r="G5730" s="1">
        <v>21.0</v>
      </c>
      <c r="H5730" s="1">
        <v>1.279949559</v>
      </c>
      <c r="I5730" s="1">
        <v>4.87</v>
      </c>
      <c r="J5730" s="1">
        <v>0.510623</v>
      </c>
    </row>
    <row r="5731">
      <c r="A5731" s="1">
        <v>2025.0</v>
      </c>
      <c r="B5731" s="1" t="s">
        <v>314</v>
      </c>
      <c r="C5731" s="1">
        <v>669854.0</v>
      </c>
      <c r="D5731" s="1" t="s">
        <v>541</v>
      </c>
      <c r="E5731" s="1" t="s">
        <v>927</v>
      </c>
      <c r="F5731" s="1" t="s">
        <v>927</v>
      </c>
      <c r="G5731" s="1">
        <v>90.0</v>
      </c>
      <c r="H5731" s="1">
        <v>5.485498108</v>
      </c>
      <c r="I5731" s="1">
        <v>5.07</v>
      </c>
      <c r="J5731" s="1">
        <v>1.802215</v>
      </c>
    </row>
    <row r="5732">
      <c r="A5732" s="1">
        <v>2025.0</v>
      </c>
      <c r="B5732" s="1" t="s">
        <v>314</v>
      </c>
      <c r="C5732" s="1">
        <v>669854.0</v>
      </c>
      <c r="D5732" s="1" t="s">
        <v>537</v>
      </c>
      <c r="E5732" s="1" t="s">
        <v>927</v>
      </c>
      <c r="F5732" s="1" t="s">
        <v>927</v>
      </c>
      <c r="G5732" s="1">
        <v>160.0</v>
      </c>
      <c r="H5732" s="1">
        <v>9.751996637</v>
      </c>
      <c r="I5732" s="1">
        <v>5.06</v>
      </c>
      <c r="J5732" s="1">
        <v>3.320868</v>
      </c>
    </row>
    <row r="5733">
      <c r="A5733" s="1">
        <v>2025.0</v>
      </c>
      <c r="B5733" s="1" t="s">
        <v>314</v>
      </c>
      <c r="C5733" s="1">
        <v>669854.0</v>
      </c>
      <c r="D5733" s="1" t="s">
        <v>533</v>
      </c>
      <c r="E5733" s="1" t="s">
        <v>927</v>
      </c>
      <c r="F5733" s="1" t="s">
        <v>927</v>
      </c>
      <c r="G5733" s="1">
        <v>196.0</v>
      </c>
      <c r="H5733" s="1">
        <v>11.94619588</v>
      </c>
      <c r="I5733" s="1">
        <v>5.06</v>
      </c>
      <c r="J5733" s="1">
        <v>3.954389</v>
      </c>
    </row>
    <row r="5734">
      <c r="A5734" s="1">
        <v>2025.0</v>
      </c>
      <c r="B5734" s="1" t="s">
        <v>123</v>
      </c>
      <c r="C5734" s="1">
        <v>678692.0</v>
      </c>
      <c r="D5734" s="1" t="s">
        <v>532</v>
      </c>
      <c r="E5734" s="1" t="s">
        <v>927</v>
      </c>
      <c r="F5734" s="1" t="s">
        <v>926</v>
      </c>
      <c r="G5734" s="1">
        <v>166.0</v>
      </c>
      <c r="H5734" s="1">
        <v>10.47363872</v>
      </c>
      <c r="I5734" s="1">
        <v>4.65</v>
      </c>
      <c r="J5734" s="1">
        <v>4.843553</v>
      </c>
    </row>
    <row r="5735">
      <c r="A5735" s="1">
        <v>2025.0</v>
      </c>
      <c r="B5735" s="1" t="s">
        <v>123</v>
      </c>
      <c r="C5735" s="1">
        <v>678692.0</v>
      </c>
      <c r="D5735" s="1" t="s">
        <v>537</v>
      </c>
      <c r="E5735" s="1" t="s">
        <v>927</v>
      </c>
      <c r="F5735" s="1" t="s">
        <v>926</v>
      </c>
      <c r="G5735" s="1">
        <v>146.0</v>
      </c>
      <c r="H5735" s="1">
        <v>9.211754538</v>
      </c>
      <c r="I5735" s="1">
        <v>5.26</v>
      </c>
      <c r="J5735" s="1">
        <v>2.47882</v>
      </c>
    </row>
    <row r="5736">
      <c r="A5736" s="1">
        <v>2025.0</v>
      </c>
      <c r="B5736" s="1" t="s">
        <v>123</v>
      </c>
      <c r="C5736" s="1">
        <v>678692.0</v>
      </c>
      <c r="D5736" s="1" t="s">
        <v>533</v>
      </c>
      <c r="E5736" s="1" t="s">
        <v>927</v>
      </c>
      <c r="F5736" s="1" t="s">
        <v>926</v>
      </c>
      <c r="G5736" s="1">
        <v>140.0</v>
      </c>
      <c r="H5736" s="1">
        <v>8.833189283</v>
      </c>
      <c r="I5736" s="1">
        <v>5.19</v>
      </c>
      <c r="J5736" s="1">
        <v>2.54309</v>
      </c>
    </row>
    <row r="5737">
      <c r="A5737" s="1">
        <v>2025.0</v>
      </c>
      <c r="B5737" s="1" t="s">
        <v>123</v>
      </c>
      <c r="C5737" s="1">
        <v>678692.0</v>
      </c>
      <c r="D5737" s="1" t="s">
        <v>539</v>
      </c>
      <c r="E5737" s="1" t="s">
        <v>927</v>
      </c>
      <c r="F5737" s="1" t="s">
        <v>926</v>
      </c>
      <c r="G5737" s="1">
        <v>103.0</v>
      </c>
      <c r="H5737" s="1">
        <v>6.498703544</v>
      </c>
      <c r="I5737" s="1">
        <v>4.97</v>
      </c>
      <c r="J5737" s="1">
        <v>2.255934</v>
      </c>
    </row>
    <row r="5738">
      <c r="A5738" s="1">
        <v>2025.0</v>
      </c>
      <c r="B5738" s="1" t="s">
        <v>123</v>
      </c>
      <c r="C5738" s="1">
        <v>678692.0</v>
      </c>
      <c r="D5738" s="1" t="s">
        <v>532</v>
      </c>
      <c r="E5738" s="1" t="s">
        <v>927</v>
      </c>
      <c r="F5738" s="1" t="s">
        <v>927</v>
      </c>
      <c r="G5738" s="1">
        <v>26.0</v>
      </c>
      <c r="H5738" s="1">
        <v>1.640449438</v>
      </c>
      <c r="I5738" s="1">
        <v>4.55</v>
      </c>
      <c r="J5738" s="1">
        <v>0.773842</v>
      </c>
    </row>
    <row r="5739">
      <c r="A5739" s="1">
        <v>2025.0</v>
      </c>
      <c r="B5739" s="1" t="s">
        <v>123</v>
      </c>
      <c r="C5739" s="1">
        <v>678692.0</v>
      </c>
      <c r="D5739" s="1" t="s">
        <v>537</v>
      </c>
      <c r="E5739" s="1" t="s">
        <v>927</v>
      </c>
      <c r="F5739" s="1" t="s">
        <v>927</v>
      </c>
      <c r="G5739" s="1">
        <v>198.0</v>
      </c>
      <c r="H5739" s="1">
        <v>12.49265341</v>
      </c>
      <c r="I5739" s="1">
        <v>5.62</v>
      </c>
      <c r="J5739" s="1">
        <v>1.777684</v>
      </c>
    </row>
    <row r="5740">
      <c r="A5740" s="1">
        <v>2025.0</v>
      </c>
      <c r="B5740" s="1" t="s">
        <v>123</v>
      </c>
      <c r="C5740" s="1">
        <v>678692.0</v>
      </c>
      <c r="D5740" s="1" t="s">
        <v>536</v>
      </c>
      <c r="E5740" s="1" t="s">
        <v>927</v>
      </c>
      <c r="F5740" s="1" t="s">
        <v>927</v>
      </c>
      <c r="G5740" s="1">
        <v>24.0</v>
      </c>
      <c r="H5740" s="1">
        <v>1.51426102</v>
      </c>
      <c r="I5740" s="1">
        <v>4.54</v>
      </c>
      <c r="J5740" s="1">
        <v>0.788565</v>
      </c>
    </row>
    <row r="5741">
      <c r="A5741" s="1">
        <v>2025.0</v>
      </c>
      <c r="B5741" s="1" t="s">
        <v>123</v>
      </c>
      <c r="C5741" s="1">
        <v>678692.0</v>
      </c>
      <c r="D5741" s="1" t="s">
        <v>533</v>
      </c>
      <c r="E5741" s="1" t="s">
        <v>927</v>
      </c>
      <c r="F5741" s="1" t="s">
        <v>927</v>
      </c>
      <c r="G5741" s="1">
        <v>126.0</v>
      </c>
      <c r="H5741" s="1">
        <v>7.949870354</v>
      </c>
      <c r="I5741" s="1">
        <v>4.98</v>
      </c>
      <c r="J5741" s="1">
        <v>2.797309</v>
      </c>
    </row>
    <row r="5742">
      <c r="A5742" s="1">
        <v>2025.0</v>
      </c>
      <c r="B5742" s="1" t="s">
        <v>123</v>
      </c>
      <c r="C5742" s="1">
        <v>678692.0</v>
      </c>
      <c r="D5742" s="1" t="s">
        <v>539</v>
      </c>
      <c r="E5742" s="1" t="s">
        <v>927</v>
      </c>
      <c r="F5742" s="1" t="s">
        <v>927</v>
      </c>
      <c r="G5742" s="1">
        <v>228.0</v>
      </c>
      <c r="H5742" s="1">
        <v>14.38547969</v>
      </c>
      <c r="I5742" s="1">
        <v>5.25</v>
      </c>
      <c r="J5742" s="1">
        <v>3.769852</v>
      </c>
    </row>
    <row r="5743">
      <c r="A5743" s="1">
        <v>2025.0</v>
      </c>
      <c r="B5743" s="1" t="s">
        <v>1006</v>
      </c>
      <c r="C5743" s="1">
        <v>642133.0</v>
      </c>
      <c r="D5743" s="1" t="s">
        <v>537</v>
      </c>
      <c r="E5743" s="1" t="s">
        <v>926</v>
      </c>
      <c r="F5743" s="1" t="s">
        <v>927</v>
      </c>
      <c r="G5743" s="1">
        <v>1.0</v>
      </c>
      <c r="H5743" s="1">
        <v>1.0</v>
      </c>
      <c r="I5743" s="1">
        <v>6.89</v>
      </c>
      <c r="J5743" s="1">
        <v>-0.017333</v>
      </c>
    </row>
    <row r="5744">
      <c r="A5744" s="1">
        <v>2025.0</v>
      </c>
      <c r="B5744" s="1" t="s">
        <v>1006</v>
      </c>
      <c r="C5744" s="1">
        <v>642133.0</v>
      </c>
      <c r="D5744" s="1" t="s">
        <v>533</v>
      </c>
      <c r="E5744" s="1" t="s">
        <v>926</v>
      </c>
      <c r="F5744" s="1" t="s">
        <v>927</v>
      </c>
      <c r="G5744" s="1">
        <v>1.0</v>
      </c>
      <c r="H5744" s="1">
        <v>1.0</v>
      </c>
      <c r="I5744" s="1">
        <v>6.56</v>
      </c>
      <c r="J5744" s="1">
        <v>-0.005836</v>
      </c>
    </row>
    <row r="5745">
      <c r="A5745" s="1">
        <v>2025.0</v>
      </c>
      <c r="B5745" s="1" t="s">
        <v>224</v>
      </c>
      <c r="C5745" s="1">
        <v>686701.0</v>
      </c>
      <c r="D5745" s="1" t="s">
        <v>532</v>
      </c>
      <c r="E5745" s="1" t="s">
        <v>927</v>
      </c>
      <c r="F5745" s="1" t="s">
        <v>926</v>
      </c>
      <c r="G5745" s="1">
        <v>88.0</v>
      </c>
      <c r="H5745" s="1">
        <v>5.119918699</v>
      </c>
      <c r="I5745" s="1">
        <v>4.42</v>
      </c>
      <c r="J5745" s="1">
        <v>2.941225</v>
      </c>
    </row>
    <row r="5746">
      <c r="A5746" s="1">
        <v>2025.0</v>
      </c>
      <c r="B5746" s="1" t="s">
        <v>224</v>
      </c>
      <c r="C5746" s="1">
        <v>686701.0</v>
      </c>
      <c r="D5746" s="1" t="s">
        <v>541</v>
      </c>
      <c r="E5746" s="1" t="s">
        <v>927</v>
      </c>
      <c r="F5746" s="1" t="s">
        <v>926</v>
      </c>
      <c r="G5746" s="1">
        <v>7.0</v>
      </c>
      <c r="H5746" s="1">
        <v>0.40726626</v>
      </c>
      <c r="I5746" s="1">
        <v>4.23</v>
      </c>
      <c r="J5746" s="1">
        <v>0.259677</v>
      </c>
    </row>
    <row r="5747">
      <c r="A5747" s="1">
        <v>2025.0</v>
      </c>
      <c r="B5747" s="1" t="s">
        <v>224</v>
      </c>
      <c r="C5747" s="1">
        <v>686701.0</v>
      </c>
      <c r="D5747" s="1" t="s">
        <v>537</v>
      </c>
      <c r="E5747" s="1" t="s">
        <v>927</v>
      </c>
      <c r="F5747" s="1" t="s">
        <v>926</v>
      </c>
      <c r="G5747" s="1">
        <v>356.0</v>
      </c>
      <c r="H5747" s="1">
        <v>20.71239837</v>
      </c>
      <c r="I5747" s="1">
        <v>5.15</v>
      </c>
      <c r="J5747" s="1">
        <v>6.891285</v>
      </c>
    </row>
    <row r="5748">
      <c r="A5748" s="1">
        <v>2025.0</v>
      </c>
      <c r="B5748" s="1" t="s">
        <v>224</v>
      </c>
      <c r="C5748" s="1">
        <v>686701.0</v>
      </c>
      <c r="D5748" s="1" t="s">
        <v>536</v>
      </c>
      <c r="E5748" s="1" t="s">
        <v>927</v>
      </c>
      <c r="F5748" s="1" t="s">
        <v>926</v>
      </c>
      <c r="G5748" s="1">
        <v>6.0</v>
      </c>
      <c r="H5748" s="1">
        <v>0.349085366</v>
      </c>
      <c r="I5748" s="1">
        <v>5.07</v>
      </c>
      <c r="J5748" s="1">
        <v>0.130028</v>
      </c>
    </row>
    <row r="5749">
      <c r="A5749" s="1">
        <v>2025.0</v>
      </c>
      <c r="B5749" s="1" t="s">
        <v>224</v>
      </c>
      <c r="C5749" s="1">
        <v>686701.0</v>
      </c>
      <c r="D5749" s="1" t="s">
        <v>533</v>
      </c>
      <c r="E5749" s="1" t="s">
        <v>927</v>
      </c>
      <c r="F5749" s="1" t="s">
        <v>926</v>
      </c>
      <c r="G5749" s="1">
        <v>145.0</v>
      </c>
      <c r="H5749" s="1">
        <v>8.436229675</v>
      </c>
      <c r="I5749" s="1">
        <v>5.19</v>
      </c>
      <c r="J5749" s="1">
        <v>2.600346</v>
      </c>
    </row>
    <row r="5750">
      <c r="A5750" s="1">
        <v>2025.0</v>
      </c>
      <c r="B5750" s="1" t="s">
        <v>224</v>
      </c>
      <c r="C5750" s="1">
        <v>686701.0</v>
      </c>
      <c r="D5750" s="1" t="s">
        <v>539</v>
      </c>
      <c r="E5750" s="1" t="s">
        <v>927</v>
      </c>
      <c r="F5750" s="1" t="s">
        <v>926</v>
      </c>
      <c r="G5750" s="1">
        <v>132.0</v>
      </c>
      <c r="H5750" s="1">
        <v>7.679878049</v>
      </c>
      <c r="I5750" s="1">
        <v>5.46</v>
      </c>
      <c r="J5750" s="1">
        <v>1.709058</v>
      </c>
    </row>
    <row r="5751">
      <c r="A5751" s="1">
        <v>2025.0</v>
      </c>
      <c r="B5751" s="1" t="s">
        <v>224</v>
      </c>
      <c r="C5751" s="1">
        <v>686701.0</v>
      </c>
      <c r="D5751" s="1" t="s">
        <v>532</v>
      </c>
      <c r="E5751" s="1" t="s">
        <v>927</v>
      </c>
      <c r="F5751" s="1" t="s">
        <v>927</v>
      </c>
      <c r="G5751" s="1">
        <v>11.0</v>
      </c>
      <c r="H5751" s="1">
        <v>0.639989837</v>
      </c>
      <c r="I5751" s="1">
        <v>4.04</v>
      </c>
      <c r="J5751" s="1">
        <v>0.459652</v>
      </c>
    </row>
    <row r="5752">
      <c r="A5752" s="1">
        <v>2025.0</v>
      </c>
      <c r="B5752" s="1" t="s">
        <v>224</v>
      </c>
      <c r="C5752" s="1">
        <v>686701.0</v>
      </c>
      <c r="D5752" s="1" t="s">
        <v>541</v>
      </c>
      <c r="E5752" s="1" t="s">
        <v>927</v>
      </c>
      <c r="F5752" s="1" t="s">
        <v>927</v>
      </c>
      <c r="G5752" s="1">
        <v>1.0</v>
      </c>
      <c r="H5752" s="1">
        <v>0.058180894</v>
      </c>
      <c r="I5752" s="1">
        <v>5.77</v>
      </c>
      <c r="J5752" s="1">
        <v>0.007378</v>
      </c>
    </row>
    <row r="5753">
      <c r="A5753" s="1">
        <v>2025.0</v>
      </c>
      <c r="B5753" s="1" t="s">
        <v>224</v>
      </c>
      <c r="C5753" s="1">
        <v>686701.0</v>
      </c>
      <c r="D5753" s="1" t="s">
        <v>537</v>
      </c>
      <c r="E5753" s="1" t="s">
        <v>927</v>
      </c>
      <c r="F5753" s="1" t="s">
        <v>927</v>
      </c>
      <c r="G5753" s="1">
        <v>202.0</v>
      </c>
      <c r="H5753" s="1">
        <v>11.75254065</v>
      </c>
      <c r="I5753" s="1">
        <v>5.31</v>
      </c>
      <c r="J5753" s="1">
        <v>3.212132</v>
      </c>
    </row>
    <row r="5754">
      <c r="A5754" s="1">
        <v>2025.0</v>
      </c>
      <c r="B5754" s="1" t="s">
        <v>224</v>
      </c>
      <c r="C5754" s="1">
        <v>686701.0</v>
      </c>
      <c r="D5754" s="1" t="s">
        <v>536</v>
      </c>
      <c r="E5754" s="1" t="s">
        <v>927</v>
      </c>
      <c r="F5754" s="1" t="s">
        <v>927</v>
      </c>
      <c r="G5754" s="1">
        <v>81.0</v>
      </c>
      <c r="H5754" s="1">
        <v>4.712652439</v>
      </c>
      <c r="I5754" s="1">
        <v>4.65</v>
      </c>
      <c r="J5754" s="1">
        <v>2.428467</v>
      </c>
    </row>
    <row r="5755">
      <c r="A5755" s="1">
        <v>2025.0</v>
      </c>
      <c r="B5755" s="1" t="s">
        <v>224</v>
      </c>
      <c r="C5755" s="1">
        <v>686701.0</v>
      </c>
      <c r="D5755" s="1" t="s">
        <v>533</v>
      </c>
      <c r="E5755" s="1" t="s">
        <v>927</v>
      </c>
      <c r="F5755" s="1" t="s">
        <v>927</v>
      </c>
      <c r="G5755" s="1">
        <v>194.0</v>
      </c>
      <c r="H5755" s="1">
        <v>11.2870935</v>
      </c>
      <c r="I5755" s="1">
        <v>5.2</v>
      </c>
      <c r="J5755" s="1">
        <v>3.432706</v>
      </c>
    </row>
    <row r="5756">
      <c r="A5756" s="1">
        <v>2025.0</v>
      </c>
      <c r="B5756" s="1" t="s">
        <v>224</v>
      </c>
      <c r="C5756" s="1">
        <v>686701.0</v>
      </c>
      <c r="D5756" s="1" t="s">
        <v>539</v>
      </c>
      <c r="E5756" s="1" t="s">
        <v>927</v>
      </c>
      <c r="F5756" s="1" t="s">
        <v>927</v>
      </c>
      <c r="G5756" s="1">
        <v>89.0</v>
      </c>
      <c r="H5756" s="1">
        <v>5.178099593</v>
      </c>
      <c r="I5756" s="1">
        <v>5.18</v>
      </c>
      <c r="J5756" s="1">
        <v>1.541303</v>
      </c>
    </row>
    <row r="5757">
      <c r="A5757" s="1">
        <v>2025.0</v>
      </c>
      <c r="B5757" s="1" t="s">
        <v>443</v>
      </c>
      <c r="C5757" s="1">
        <v>621366.0</v>
      </c>
      <c r="D5757" s="1" t="s">
        <v>538</v>
      </c>
      <c r="E5757" s="1" t="s">
        <v>926</v>
      </c>
      <c r="F5757" s="1" t="s">
        <v>926</v>
      </c>
      <c r="G5757" s="1">
        <v>3.0</v>
      </c>
      <c r="H5757" s="1">
        <v>0.176767677</v>
      </c>
      <c r="I5757" s="1">
        <v>4.42</v>
      </c>
      <c r="J5757" s="1">
        <v>0.09907</v>
      </c>
    </row>
    <row r="5758">
      <c r="A5758" s="1">
        <v>2025.0</v>
      </c>
      <c r="B5758" s="1" t="s">
        <v>443</v>
      </c>
      <c r="C5758" s="1">
        <v>621366.0</v>
      </c>
      <c r="D5758" s="1" t="s">
        <v>536</v>
      </c>
      <c r="E5758" s="1" t="s">
        <v>926</v>
      </c>
      <c r="F5758" s="1" t="s">
        <v>926</v>
      </c>
      <c r="G5758" s="1">
        <v>99.0</v>
      </c>
      <c r="H5758" s="1">
        <v>5.833333333</v>
      </c>
      <c r="I5758" s="1">
        <v>5.17</v>
      </c>
      <c r="J5758" s="1">
        <v>1.82346</v>
      </c>
    </row>
    <row r="5759">
      <c r="A5759" s="1">
        <v>2025.0</v>
      </c>
      <c r="B5759" s="1" t="s">
        <v>443</v>
      </c>
      <c r="C5759" s="1">
        <v>621366.0</v>
      </c>
      <c r="D5759" s="1" t="s">
        <v>533</v>
      </c>
      <c r="E5759" s="1" t="s">
        <v>926</v>
      </c>
      <c r="F5759" s="1" t="s">
        <v>926</v>
      </c>
      <c r="G5759" s="1">
        <v>127.0</v>
      </c>
      <c r="H5759" s="1">
        <v>7.483164983</v>
      </c>
      <c r="I5759" s="1">
        <v>4.86</v>
      </c>
      <c r="J5759" s="1">
        <v>3.093237</v>
      </c>
    </row>
    <row r="5760">
      <c r="A5760" s="1">
        <v>2025.0</v>
      </c>
      <c r="B5760" s="1" t="s">
        <v>443</v>
      </c>
      <c r="C5760" s="1">
        <v>621366.0</v>
      </c>
      <c r="D5760" s="1" t="s">
        <v>539</v>
      </c>
      <c r="E5760" s="1" t="s">
        <v>926</v>
      </c>
      <c r="F5760" s="1" t="s">
        <v>926</v>
      </c>
      <c r="G5760" s="1">
        <v>67.0</v>
      </c>
      <c r="H5760" s="1">
        <v>3.947811448</v>
      </c>
      <c r="I5760" s="1">
        <v>4.71</v>
      </c>
      <c r="J5760" s="1">
        <v>1.789217</v>
      </c>
    </row>
    <row r="5761">
      <c r="A5761" s="1">
        <v>2025.0</v>
      </c>
      <c r="B5761" s="1" t="s">
        <v>443</v>
      </c>
      <c r="C5761" s="1">
        <v>621366.0</v>
      </c>
      <c r="D5761" s="1" t="s">
        <v>532</v>
      </c>
      <c r="E5761" s="1" t="s">
        <v>926</v>
      </c>
      <c r="F5761" s="1" t="s">
        <v>927</v>
      </c>
      <c r="G5761" s="1">
        <v>6.0</v>
      </c>
      <c r="H5761" s="1">
        <v>0.353535354</v>
      </c>
      <c r="I5761" s="1">
        <v>5.88</v>
      </c>
      <c r="J5761" s="1">
        <v>0.024857</v>
      </c>
    </row>
    <row r="5762">
      <c r="A5762" s="1">
        <v>2025.0</v>
      </c>
      <c r="B5762" s="1" t="s">
        <v>443</v>
      </c>
      <c r="C5762" s="1">
        <v>621366.0</v>
      </c>
      <c r="D5762" s="1" t="s">
        <v>538</v>
      </c>
      <c r="E5762" s="1" t="s">
        <v>926</v>
      </c>
      <c r="F5762" s="1" t="s">
        <v>927</v>
      </c>
      <c r="G5762" s="1">
        <v>94.0</v>
      </c>
      <c r="H5762" s="1">
        <v>5.538720539</v>
      </c>
      <c r="I5762" s="1">
        <v>5.02</v>
      </c>
      <c r="J5762" s="1">
        <v>1.942488</v>
      </c>
    </row>
    <row r="5763">
      <c r="A5763" s="1">
        <v>2025.0</v>
      </c>
      <c r="B5763" s="1" t="s">
        <v>443</v>
      </c>
      <c r="C5763" s="1">
        <v>621366.0</v>
      </c>
      <c r="D5763" s="1" t="s">
        <v>536</v>
      </c>
      <c r="E5763" s="1" t="s">
        <v>926</v>
      </c>
      <c r="F5763" s="1" t="s">
        <v>927</v>
      </c>
      <c r="G5763" s="1">
        <v>57.0</v>
      </c>
      <c r="H5763" s="1">
        <v>3.358585859</v>
      </c>
      <c r="I5763" s="1">
        <v>4.71</v>
      </c>
      <c r="J5763" s="1">
        <v>1.637922</v>
      </c>
    </row>
    <row r="5764">
      <c r="A5764" s="1">
        <v>2025.0</v>
      </c>
      <c r="B5764" s="1" t="s">
        <v>443</v>
      </c>
      <c r="C5764" s="1">
        <v>621366.0</v>
      </c>
      <c r="D5764" s="1" t="s">
        <v>533</v>
      </c>
      <c r="E5764" s="1" t="s">
        <v>926</v>
      </c>
      <c r="F5764" s="1" t="s">
        <v>927</v>
      </c>
      <c r="G5764" s="1">
        <v>93.0</v>
      </c>
      <c r="H5764" s="1">
        <v>5.47979798</v>
      </c>
      <c r="I5764" s="1">
        <v>4.55</v>
      </c>
      <c r="J5764" s="1">
        <v>2.838143</v>
      </c>
    </row>
    <row r="5765">
      <c r="A5765" s="1">
        <v>2025.0</v>
      </c>
      <c r="B5765" s="1" t="s">
        <v>443</v>
      </c>
      <c r="C5765" s="1">
        <v>621366.0</v>
      </c>
      <c r="D5765" s="1" t="s">
        <v>539</v>
      </c>
      <c r="E5765" s="1" t="s">
        <v>926</v>
      </c>
      <c r="F5765" s="1" t="s">
        <v>927</v>
      </c>
      <c r="G5765" s="1">
        <v>48.0</v>
      </c>
      <c r="H5765" s="1">
        <v>2.828282828</v>
      </c>
      <c r="I5765" s="1">
        <v>4.79</v>
      </c>
      <c r="J5765" s="1">
        <v>1.240864</v>
      </c>
    </row>
    <row r="5766">
      <c r="A5766" s="1">
        <v>2025.0</v>
      </c>
      <c r="B5766" s="1" t="s">
        <v>629</v>
      </c>
      <c r="C5766" s="1">
        <v>518489.0</v>
      </c>
      <c r="D5766" s="1" t="s">
        <v>540</v>
      </c>
      <c r="E5766" s="1" t="s">
        <v>927</v>
      </c>
      <c r="F5766" s="1" t="s">
        <v>926</v>
      </c>
      <c r="G5766" s="1">
        <v>49.0</v>
      </c>
      <c r="H5766" s="1">
        <v>3.153465347</v>
      </c>
      <c r="I5766" s="1">
        <v>5.22</v>
      </c>
      <c r="J5766" s="1">
        <v>0.85695</v>
      </c>
    </row>
    <row r="5767">
      <c r="A5767" s="1">
        <v>2025.0</v>
      </c>
      <c r="B5767" s="1" t="s">
        <v>629</v>
      </c>
      <c r="C5767" s="1">
        <v>518489.0</v>
      </c>
      <c r="D5767" s="1" t="s">
        <v>537</v>
      </c>
      <c r="E5767" s="1" t="s">
        <v>927</v>
      </c>
      <c r="F5767" s="1" t="s">
        <v>926</v>
      </c>
      <c r="G5767" s="1">
        <v>59.0</v>
      </c>
      <c r="H5767" s="1">
        <v>3.797029703</v>
      </c>
      <c r="I5767" s="1">
        <v>4.7</v>
      </c>
      <c r="J5767" s="1">
        <v>1.677982</v>
      </c>
    </row>
    <row r="5768">
      <c r="A5768" s="1">
        <v>2025.0</v>
      </c>
      <c r="B5768" s="1" t="s">
        <v>629</v>
      </c>
      <c r="C5768" s="1">
        <v>518489.0</v>
      </c>
      <c r="D5768" s="1" t="s">
        <v>533</v>
      </c>
      <c r="E5768" s="1" t="s">
        <v>927</v>
      </c>
      <c r="F5768" s="1" t="s">
        <v>926</v>
      </c>
      <c r="G5768" s="1">
        <v>44.0</v>
      </c>
      <c r="H5768" s="1">
        <v>2.831683168</v>
      </c>
      <c r="I5768" s="1">
        <v>5.11</v>
      </c>
      <c r="J5768" s="1">
        <v>0.819194</v>
      </c>
    </row>
    <row r="5769">
      <c r="A5769" s="1">
        <v>2025.0</v>
      </c>
      <c r="B5769" s="1" t="s">
        <v>629</v>
      </c>
      <c r="C5769" s="1">
        <v>518489.0</v>
      </c>
      <c r="D5769" s="1" t="s">
        <v>540</v>
      </c>
      <c r="E5769" s="1" t="s">
        <v>927</v>
      </c>
      <c r="F5769" s="1" t="s">
        <v>927</v>
      </c>
      <c r="G5769" s="1">
        <v>3.0</v>
      </c>
      <c r="H5769" s="1">
        <v>0.193069307</v>
      </c>
      <c r="I5769" s="1">
        <v>5.1</v>
      </c>
      <c r="J5769" s="1">
        <v>0.051887</v>
      </c>
    </row>
    <row r="5770">
      <c r="A5770" s="1">
        <v>2025.0</v>
      </c>
      <c r="B5770" s="1" t="s">
        <v>629</v>
      </c>
      <c r="C5770" s="1">
        <v>518489.0</v>
      </c>
      <c r="D5770" s="1" t="s">
        <v>537</v>
      </c>
      <c r="E5770" s="1" t="s">
        <v>927</v>
      </c>
      <c r="F5770" s="1" t="s">
        <v>927</v>
      </c>
      <c r="G5770" s="1">
        <v>84.0</v>
      </c>
      <c r="H5770" s="1">
        <v>5.405940594</v>
      </c>
      <c r="I5770" s="1">
        <v>4.68</v>
      </c>
      <c r="J5770" s="1">
        <v>2.370475</v>
      </c>
    </row>
    <row r="5771">
      <c r="A5771" s="1">
        <v>2025.0</v>
      </c>
      <c r="B5771" s="1" t="s">
        <v>629</v>
      </c>
      <c r="C5771" s="1">
        <v>518489.0</v>
      </c>
      <c r="D5771" s="1" t="s">
        <v>536</v>
      </c>
      <c r="E5771" s="1" t="s">
        <v>927</v>
      </c>
      <c r="F5771" s="1" t="s">
        <v>927</v>
      </c>
      <c r="G5771" s="1">
        <v>67.0</v>
      </c>
      <c r="H5771" s="1">
        <v>4.311881188</v>
      </c>
      <c r="I5771" s="1">
        <v>5.28</v>
      </c>
      <c r="J5771" s="1">
        <v>1.161235</v>
      </c>
    </row>
    <row r="5772">
      <c r="A5772" s="1">
        <v>2025.0</v>
      </c>
      <c r="B5772" s="1" t="s">
        <v>629</v>
      </c>
      <c r="C5772" s="1">
        <v>518489.0</v>
      </c>
      <c r="D5772" s="1" t="s">
        <v>533</v>
      </c>
      <c r="E5772" s="1" t="s">
        <v>927</v>
      </c>
      <c r="F5772" s="1" t="s">
        <v>927</v>
      </c>
      <c r="G5772" s="1">
        <v>98.0</v>
      </c>
      <c r="H5772" s="1">
        <v>6.306930693</v>
      </c>
      <c r="I5772" s="1">
        <v>4.94</v>
      </c>
      <c r="J5772" s="1">
        <v>2.251585</v>
      </c>
    </row>
    <row r="5773">
      <c r="A5773" s="1">
        <v>2025.0</v>
      </c>
      <c r="B5773" s="1" t="s">
        <v>1007</v>
      </c>
      <c r="C5773" s="1">
        <v>621114.0</v>
      </c>
      <c r="D5773" s="1" t="s">
        <v>537</v>
      </c>
      <c r="E5773" s="1" t="s">
        <v>927</v>
      </c>
      <c r="F5773" s="1" t="s">
        <v>926</v>
      </c>
      <c r="G5773" s="1">
        <v>3.0</v>
      </c>
      <c r="H5773" s="1">
        <v>0.153846154</v>
      </c>
      <c r="I5773" s="1">
        <v>5.61</v>
      </c>
      <c r="J5773" s="1">
        <v>0.032274</v>
      </c>
    </row>
    <row r="5774">
      <c r="A5774" s="1">
        <v>2025.0</v>
      </c>
      <c r="B5774" s="1" t="s">
        <v>1007</v>
      </c>
      <c r="C5774" s="1">
        <v>621114.0</v>
      </c>
      <c r="D5774" s="1" t="s">
        <v>533</v>
      </c>
      <c r="E5774" s="1" t="s">
        <v>927</v>
      </c>
      <c r="F5774" s="1" t="s">
        <v>926</v>
      </c>
      <c r="G5774" s="1">
        <v>4.0</v>
      </c>
      <c r="H5774" s="1">
        <v>0.205128205</v>
      </c>
      <c r="I5774" s="1">
        <v>5.08</v>
      </c>
      <c r="J5774" s="1">
        <v>0.075264</v>
      </c>
    </row>
    <row r="5775">
      <c r="A5775" s="1">
        <v>2025.0</v>
      </c>
      <c r="B5775" s="1" t="s">
        <v>1007</v>
      </c>
      <c r="C5775" s="1">
        <v>621114.0</v>
      </c>
      <c r="D5775" s="1" t="s">
        <v>537</v>
      </c>
      <c r="E5775" s="1" t="s">
        <v>927</v>
      </c>
      <c r="F5775" s="1" t="s">
        <v>927</v>
      </c>
      <c r="G5775" s="1">
        <v>6.0</v>
      </c>
      <c r="H5775" s="1">
        <v>0.307692308</v>
      </c>
      <c r="I5775" s="1">
        <v>5.27</v>
      </c>
      <c r="J5775" s="1">
        <v>0.0934</v>
      </c>
    </row>
    <row r="5776">
      <c r="A5776" s="1">
        <v>2025.0</v>
      </c>
      <c r="B5776" s="1" t="s">
        <v>1007</v>
      </c>
      <c r="C5776" s="1">
        <v>621114.0</v>
      </c>
      <c r="D5776" s="1" t="s">
        <v>533</v>
      </c>
      <c r="E5776" s="1" t="s">
        <v>927</v>
      </c>
      <c r="F5776" s="1" t="s">
        <v>927</v>
      </c>
      <c r="G5776" s="1">
        <v>26.0</v>
      </c>
      <c r="H5776" s="1">
        <v>1.333333333</v>
      </c>
      <c r="I5776" s="1">
        <v>5.15</v>
      </c>
      <c r="J5776" s="1">
        <v>0.467843</v>
      </c>
    </row>
    <row r="5777">
      <c r="A5777" s="1">
        <v>2025.0</v>
      </c>
      <c r="B5777" s="1" t="s">
        <v>504</v>
      </c>
      <c r="C5777" s="1">
        <v>663372.0</v>
      </c>
      <c r="D5777" s="1" t="s">
        <v>532</v>
      </c>
      <c r="E5777" s="1" t="s">
        <v>927</v>
      </c>
      <c r="F5777" s="1" t="s">
        <v>926</v>
      </c>
      <c r="G5777" s="1">
        <v>87.0</v>
      </c>
      <c r="H5777" s="1">
        <v>5.055555556</v>
      </c>
      <c r="I5777" s="1">
        <v>4.49</v>
      </c>
      <c r="J5777" s="1">
        <v>2.749703</v>
      </c>
    </row>
    <row r="5778">
      <c r="A5778" s="1">
        <v>2025.0</v>
      </c>
      <c r="B5778" s="1" t="s">
        <v>504</v>
      </c>
      <c r="C5778" s="1">
        <v>663372.0</v>
      </c>
      <c r="D5778" s="1" t="s">
        <v>541</v>
      </c>
      <c r="E5778" s="1" t="s">
        <v>927</v>
      </c>
      <c r="F5778" s="1" t="s">
        <v>926</v>
      </c>
      <c r="G5778" s="1">
        <v>29.0</v>
      </c>
      <c r="H5778" s="1">
        <v>1.685185185</v>
      </c>
      <c r="I5778" s="1">
        <v>4.82</v>
      </c>
      <c r="J5778" s="1">
        <v>0.741071</v>
      </c>
    </row>
    <row r="5779">
      <c r="A5779" s="1">
        <v>2025.0</v>
      </c>
      <c r="B5779" s="1" t="s">
        <v>504</v>
      </c>
      <c r="C5779" s="1">
        <v>663372.0</v>
      </c>
      <c r="D5779" s="1" t="s">
        <v>537</v>
      </c>
      <c r="E5779" s="1" t="s">
        <v>927</v>
      </c>
      <c r="F5779" s="1" t="s">
        <v>926</v>
      </c>
      <c r="G5779" s="1">
        <v>120.0</v>
      </c>
      <c r="H5779" s="1">
        <v>6.973180077</v>
      </c>
      <c r="I5779" s="1">
        <v>4.28</v>
      </c>
      <c r="J5779" s="1">
        <v>4.412176</v>
      </c>
    </row>
    <row r="5780">
      <c r="A5780" s="1">
        <v>2025.0</v>
      </c>
      <c r="B5780" s="1" t="s">
        <v>504</v>
      </c>
      <c r="C5780" s="1">
        <v>663372.0</v>
      </c>
      <c r="D5780" s="1" t="s">
        <v>536</v>
      </c>
      <c r="E5780" s="1" t="s">
        <v>927</v>
      </c>
      <c r="F5780" s="1" t="s">
        <v>926</v>
      </c>
      <c r="G5780" s="1">
        <v>6.0</v>
      </c>
      <c r="H5780" s="1">
        <v>0.348659004</v>
      </c>
      <c r="I5780" s="1">
        <v>4.34</v>
      </c>
      <c r="J5780" s="1">
        <v>0.219538</v>
      </c>
    </row>
    <row r="5781">
      <c r="A5781" s="1">
        <v>2025.0</v>
      </c>
      <c r="B5781" s="1" t="s">
        <v>504</v>
      </c>
      <c r="C5781" s="1">
        <v>663372.0</v>
      </c>
      <c r="D5781" s="1" t="s">
        <v>533</v>
      </c>
      <c r="E5781" s="1" t="s">
        <v>927</v>
      </c>
      <c r="F5781" s="1" t="s">
        <v>926</v>
      </c>
      <c r="G5781" s="1">
        <v>48.0</v>
      </c>
      <c r="H5781" s="1">
        <v>2.789272031</v>
      </c>
      <c r="I5781" s="1">
        <v>5.19</v>
      </c>
      <c r="J5781" s="1">
        <v>0.864504</v>
      </c>
    </row>
    <row r="5782">
      <c r="A5782" s="1">
        <v>2025.0</v>
      </c>
      <c r="B5782" s="1" t="s">
        <v>504</v>
      </c>
      <c r="C5782" s="1">
        <v>663372.0</v>
      </c>
      <c r="D5782" s="1" t="s">
        <v>539</v>
      </c>
      <c r="E5782" s="1" t="s">
        <v>927</v>
      </c>
      <c r="F5782" s="1" t="s">
        <v>926</v>
      </c>
      <c r="G5782" s="1">
        <v>1.0</v>
      </c>
      <c r="H5782" s="1">
        <v>0.058109834</v>
      </c>
      <c r="I5782" s="1">
        <v>5.31</v>
      </c>
      <c r="J5782" s="1">
        <v>0.011652</v>
      </c>
    </row>
    <row r="5783">
      <c r="A5783" s="1">
        <v>2025.0</v>
      </c>
      <c r="B5783" s="1" t="s">
        <v>504</v>
      </c>
      <c r="C5783" s="1">
        <v>663372.0</v>
      </c>
      <c r="D5783" s="1" t="s">
        <v>532</v>
      </c>
      <c r="E5783" s="1" t="s">
        <v>927</v>
      </c>
      <c r="F5783" s="1" t="s">
        <v>927</v>
      </c>
      <c r="G5783" s="1">
        <v>9.0</v>
      </c>
      <c r="H5783" s="1">
        <v>0.522988506</v>
      </c>
      <c r="I5783" s="1">
        <v>4.4</v>
      </c>
      <c r="J5783" s="1">
        <v>0.299119</v>
      </c>
    </row>
    <row r="5784">
      <c r="A5784" s="1">
        <v>2025.0</v>
      </c>
      <c r="B5784" s="1" t="s">
        <v>504</v>
      </c>
      <c r="C5784" s="1">
        <v>663372.0</v>
      </c>
      <c r="D5784" s="1" t="s">
        <v>541</v>
      </c>
      <c r="E5784" s="1" t="s">
        <v>927</v>
      </c>
      <c r="F5784" s="1" t="s">
        <v>927</v>
      </c>
      <c r="G5784" s="1">
        <v>4.0</v>
      </c>
      <c r="H5784" s="1">
        <v>0.232439336</v>
      </c>
      <c r="I5784" s="1">
        <v>3.9</v>
      </c>
      <c r="J5784" s="1">
        <v>0.170028</v>
      </c>
    </row>
    <row r="5785">
      <c r="A5785" s="1">
        <v>2025.0</v>
      </c>
      <c r="B5785" s="1" t="s">
        <v>504</v>
      </c>
      <c r="C5785" s="1">
        <v>663372.0</v>
      </c>
      <c r="D5785" s="1" t="s">
        <v>537</v>
      </c>
      <c r="E5785" s="1" t="s">
        <v>927</v>
      </c>
      <c r="F5785" s="1" t="s">
        <v>927</v>
      </c>
      <c r="G5785" s="1">
        <v>63.0</v>
      </c>
      <c r="H5785" s="1">
        <v>3.66091954</v>
      </c>
      <c r="I5785" s="1">
        <v>4.86</v>
      </c>
      <c r="J5785" s="1">
        <v>1.641422</v>
      </c>
    </row>
    <row r="5786">
      <c r="A5786" s="1">
        <v>2025.0</v>
      </c>
      <c r="B5786" s="1" t="s">
        <v>504</v>
      </c>
      <c r="C5786" s="1">
        <v>663372.0</v>
      </c>
      <c r="D5786" s="1" t="s">
        <v>536</v>
      </c>
      <c r="E5786" s="1" t="s">
        <v>927</v>
      </c>
      <c r="F5786" s="1" t="s">
        <v>927</v>
      </c>
      <c r="G5786" s="1">
        <v>50.0</v>
      </c>
      <c r="H5786" s="1">
        <v>2.905491699</v>
      </c>
      <c r="I5786" s="1">
        <v>4.83</v>
      </c>
      <c r="J5786" s="1">
        <v>1.298189</v>
      </c>
    </row>
    <row r="5787">
      <c r="A5787" s="1">
        <v>2025.0</v>
      </c>
      <c r="B5787" s="1" t="s">
        <v>504</v>
      </c>
      <c r="C5787" s="1">
        <v>663372.0</v>
      </c>
      <c r="D5787" s="1" t="s">
        <v>533</v>
      </c>
      <c r="E5787" s="1" t="s">
        <v>927</v>
      </c>
      <c r="F5787" s="1" t="s">
        <v>927</v>
      </c>
      <c r="G5787" s="1">
        <v>42.0</v>
      </c>
      <c r="H5787" s="1">
        <v>2.440613027</v>
      </c>
      <c r="I5787" s="1">
        <v>5.65</v>
      </c>
      <c r="J5787" s="1">
        <v>0.426014</v>
      </c>
    </row>
    <row r="5788">
      <c r="A5788" s="1">
        <v>2025.0</v>
      </c>
      <c r="B5788" s="1" t="s">
        <v>504</v>
      </c>
      <c r="C5788" s="1">
        <v>663372.0</v>
      </c>
      <c r="D5788" s="1" t="s">
        <v>539</v>
      </c>
      <c r="E5788" s="1" t="s">
        <v>927</v>
      </c>
      <c r="F5788" s="1" t="s">
        <v>927</v>
      </c>
      <c r="G5788" s="1">
        <v>63.0</v>
      </c>
      <c r="H5788" s="1">
        <v>3.66091954</v>
      </c>
      <c r="I5788" s="1">
        <v>5.28</v>
      </c>
      <c r="J5788" s="1">
        <v>1.001182</v>
      </c>
    </row>
    <row r="5789">
      <c r="A5789" s="1">
        <v>2025.0</v>
      </c>
      <c r="B5789" s="1" t="s">
        <v>378</v>
      </c>
      <c r="C5789" s="1">
        <v>681676.0</v>
      </c>
      <c r="D5789" s="1" t="s">
        <v>532</v>
      </c>
      <c r="E5789" s="1" t="s">
        <v>927</v>
      </c>
      <c r="F5789" s="1" t="s">
        <v>926</v>
      </c>
      <c r="G5789" s="1">
        <v>41.0</v>
      </c>
      <c r="H5789" s="1">
        <v>2.373409669</v>
      </c>
      <c r="I5789" s="1">
        <v>4.83</v>
      </c>
      <c r="J5789" s="1">
        <v>1.07476</v>
      </c>
    </row>
    <row r="5790">
      <c r="A5790" s="1">
        <v>2025.0</v>
      </c>
      <c r="B5790" s="1" t="s">
        <v>378</v>
      </c>
      <c r="C5790" s="1">
        <v>681676.0</v>
      </c>
      <c r="D5790" s="1" t="s">
        <v>540</v>
      </c>
      <c r="E5790" s="1" t="s">
        <v>927</v>
      </c>
      <c r="F5790" s="1" t="s">
        <v>926</v>
      </c>
      <c r="G5790" s="1">
        <v>30.0</v>
      </c>
      <c r="H5790" s="1">
        <v>1.736641221</v>
      </c>
      <c r="I5790" s="1">
        <v>4.02</v>
      </c>
      <c r="J5790" s="1">
        <v>1.23388</v>
      </c>
    </row>
    <row r="5791">
      <c r="A5791" s="1">
        <v>2025.0</v>
      </c>
      <c r="B5791" s="1" t="s">
        <v>378</v>
      </c>
      <c r="C5791" s="1">
        <v>681676.0</v>
      </c>
      <c r="D5791" s="1" t="s">
        <v>537</v>
      </c>
      <c r="E5791" s="1" t="s">
        <v>927</v>
      </c>
      <c r="F5791" s="1" t="s">
        <v>926</v>
      </c>
      <c r="G5791" s="1">
        <v>82.0</v>
      </c>
      <c r="H5791" s="1">
        <v>4.746819338</v>
      </c>
      <c r="I5791" s="1">
        <v>4.86</v>
      </c>
      <c r="J5791" s="1">
        <v>2.131914</v>
      </c>
    </row>
    <row r="5792">
      <c r="A5792" s="1">
        <v>2025.0</v>
      </c>
      <c r="B5792" s="1" t="s">
        <v>378</v>
      </c>
      <c r="C5792" s="1">
        <v>681676.0</v>
      </c>
      <c r="D5792" s="1" t="s">
        <v>533</v>
      </c>
      <c r="E5792" s="1" t="s">
        <v>927</v>
      </c>
      <c r="F5792" s="1" t="s">
        <v>926</v>
      </c>
      <c r="G5792" s="1">
        <v>80.0</v>
      </c>
      <c r="H5792" s="1">
        <v>4.631043257</v>
      </c>
      <c r="I5792" s="1">
        <v>5.11</v>
      </c>
      <c r="J5792" s="1">
        <v>1.590591</v>
      </c>
    </row>
    <row r="5793">
      <c r="A5793" s="1">
        <v>2025.0</v>
      </c>
      <c r="B5793" s="1" t="s">
        <v>378</v>
      </c>
      <c r="C5793" s="1">
        <v>681676.0</v>
      </c>
      <c r="D5793" s="1" t="s">
        <v>532</v>
      </c>
      <c r="E5793" s="1" t="s">
        <v>927</v>
      </c>
      <c r="F5793" s="1" t="s">
        <v>927</v>
      </c>
      <c r="G5793" s="1">
        <v>1.0</v>
      </c>
      <c r="H5793" s="1">
        <v>0.057888041</v>
      </c>
      <c r="I5793" s="1">
        <v>6.26</v>
      </c>
      <c r="J5793" s="1">
        <v>-0.003224</v>
      </c>
    </row>
    <row r="5794">
      <c r="A5794" s="1">
        <v>2025.0</v>
      </c>
      <c r="B5794" s="1" t="s">
        <v>378</v>
      </c>
      <c r="C5794" s="1">
        <v>681676.0</v>
      </c>
      <c r="D5794" s="1" t="s">
        <v>540</v>
      </c>
      <c r="E5794" s="1" t="s">
        <v>927</v>
      </c>
      <c r="F5794" s="1" t="s">
        <v>927</v>
      </c>
      <c r="G5794" s="1">
        <v>7.0</v>
      </c>
      <c r="H5794" s="1">
        <v>0.405216285</v>
      </c>
      <c r="I5794" s="1">
        <v>5.3</v>
      </c>
      <c r="J5794" s="1">
        <v>0.113398</v>
      </c>
    </row>
    <row r="5795">
      <c r="A5795" s="1">
        <v>2025.0</v>
      </c>
      <c r="B5795" s="1" t="s">
        <v>378</v>
      </c>
      <c r="C5795" s="1">
        <v>681676.0</v>
      </c>
      <c r="D5795" s="1" t="s">
        <v>537</v>
      </c>
      <c r="E5795" s="1" t="s">
        <v>927</v>
      </c>
      <c r="F5795" s="1" t="s">
        <v>927</v>
      </c>
      <c r="G5795" s="1">
        <v>116.0</v>
      </c>
      <c r="H5795" s="1">
        <v>6.715012723</v>
      </c>
      <c r="I5795" s="1">
        <v>4.88</v>
      </c>
      <c r="J5795" s="1">
        <v>2.934318</v>
      </c>
    </row>
    <row r="5796">
      <c r="A5796" s="1">
        <v>2025.0</v>
      </c>
      <c r="B5796" s="1" t="s">
        <v>378</v>
      </c>
      <c r="C5796" s="1">
        <v>681676.0</v>
      </c>
      <c r="D5796" s="1" t="s">
        <v>533</v>
      </c>
      <c r="E5796" s="1" t="s">
        <v>927</v>
      </c>
      <c r="F5796" s="1" t="s">
        <v>927</v>
      </c>
      <c r="G5796" s="1">
        <v>167.0</v>
      </c>
      <c r="H5796" s="1">
        <v>9.667302799</v>
      </c>
      <c r="I5796" s="1">
        <v>5.19</v>
      </c>
      <c r="J5796" s="1">
        <v>3.137933</v>
      </c>
    </row>
    <row r="5797">
      <c r="A5797" s="1">
        <v>2025.0</v>
      </c>
      <c r="B5797" s="1" t="s">
        <v>1008</v>
      </c>
      <c r="C5797" s="1">
        <v>680837.0</v>
      </c>
      <c r="D5797" s="1" t="s">
        <v>541</v>
      </c>
      <c r="E5797" s="1" t="s">
        <v>927</v>
      </c>
      <c r="F5797" s="1" t="s">
        <v>926</v>
      </c>
      <c r="G5797" s="1">
        <v>2.0</v>
      </c>
      <c r="H5797" s="1">
        <v>0.285714286</v>
      </c>
      <c r="I5797" s="1">
        <v>2.38</v>
      </c>
      <c r="J5797" s="1">
        <v>0.147203</v>
      </c>
    </row>
    <row r="5798">
      <c r="A5798" s="1">
        <v>2025.0</v>
      </c>
      <c r="B5798" s="1" t="s">
        <v>1008</v>
      </c>
      <c r="C5798" s="1">
        <v>680837.0</v>
      </c>
      <c r="D5798" s="1" t="s">
        <v>533</v>
      </c>
      <c r="E5798" s="1" t="s">
        <v>927</v>
      </c>
      <c r="F5798" s="1" t="s">
        <v>926</v>
      </c>
      <c r="G5798" s="1">
        <v>5.0</v>
      </c>
      <c r="H5798" s="1">
        <v>0.714285714</v>
      </c>
      <c r="I5798" s="1">
        <v>5.63</v>
      </c>
      <c r="J5798" s="1">
        <v>0.04521</v>
      </c>
    </row>
    <row r="5799">
      <c r="A5799" s="1">
        <v>2025.0</v>
      </c>
      <c r="B5799" s="1" t="s">
        <v>1008</v>
      </c>
      <c r="C5799" s="1">
        <v>680837.0</v>
      </c>
      <c r="D5799" s="1" t="s">
        <v>533</v>
      </c>
      <c r="E5799" s="1" t="s">
        <v>927</v>
      </c>
      <c r="F5799" s="1" t="s">
        <v>927</v>
      </c>
      <c r="G5799" s="1">
        <v>7.0</v>
      </c>
      <c r="H5799" s="1">
        <v>1.0</v>
      </c>
      <c r="I5799" s="1">
        <v>4.31</v>
      </c>
      <c r="J5799" s="1">
        <v>0.243509</v>
      </c>
    </row>
    <row r="5800">
      <c r="A5800" s="1">
        <v>2025.0</v>
      </c>
      <c r="B5800" s="1" t="s">
        <v>228</v>
      </c>
      <c r="C5800" s="1">
        <v>687473.0</v>
      </c>
      <c r="D5800" s="1" t="s">
        <v>532</v>
      </c>
      <c r="E5800" s="1" t="s">
        <v>927</v>
      </c>
      <c r="F5800" s="1" t="s">
        <v>926</v>
      </c>
      <c r="G5800" s="1">
        <v>152.0</v>
      </c>
      <c r="H5800" s="1">
        <v>8.78030303</v>
      </c>
      <c r="I5800" s="1">
        <v>4.61</v>
      </c>
      <c r="J5800" s="1">
        <v>4.460077</v>
      </c>
    </row>
    <row r="5801">
      <c r="A5801" s="1">
        <v>2025.0</v>
      </c>
      <c r="B5801" s="1" t="s">
        <v>228</v>
      </c>
      <c r="C5801" s="1">
        <v>687473.0</v>
      </c>
      <c r="D5801" s="1" t="s">
        <v>541</v>
      </c>
      <c r="E5801" s="1" t="s">
        <v>927</v>
      </c>
      <c r="F5801" s="1" t="s">
        <v>926</v>
      </c>
      <c r="G5801" s="1">
        <v>225.0</v>
      </c>
      <c r="H5801" s="1">
        <v>12.99715909</v>
      </c>
      <c r="I5801" s="1">
        <v>4.92</v>
      </c>
      <c r="J5801" s="1">
        <v>5.265777</v>
      </c>
    </row>
    <row r="5802">
      <c r="A5802" s="1">
        <v>2025.0</v>
      </c>
      <c r="B5802" s="1" t="s">
        <v>228</v>
      </c>
      <c r="C5802" s="1">
        <v>687473.0</v>
      </c>
      <c r="D5802" s="1" t="s">
        <v>540</v>
      </c>
      <c r="E5802" s="1" t="s">
        <v>927</v>
      </c>
      <c r="F5802" s="1" t="s">
        <v>926</v>
      </c>
      <c r="G5802" s="1">
        <v>116.0</v>
      </c>
      <c r="H5802" s="1">
        <v>6.700757576</v>
      </c>
      <c r="I5802" s="1">
        <v>5.64</v>
      </c>
      <c r="J5802" s="1">
        <v>1.034858</v>
      </c>
    </row>
    <row r="5803">
      <c r="A5803" s="1">
        <v>2025.0</v>
      </c>
      <c r="B5803" s="1" t="s">
        <v>228</v>
      </c>
      <c r="C5803" s="1">
        <v>687473.0</v>
      </c>
      <c r="D5803" s="1" t="s">
        <v>537</v>
      </c>
      <c r="E5803" s="1" t="s">
        <v>927</v>
      </c>
      <c r="F5803" s="1" t="s">
        <v>926</v>
      </c>
      <c r="G5803" s="1">
        <v>429.0</v>
      </c>
      <c r="H5803" s="1">
        <v>24.78125</v>
      </c>
      <c r="I5803" s="1">
        <v>4.98</v>
      </c>
      <c r="J5803" s="1">
        <v>9.653187</v>
      </c>
    </row>
    <row r="5804">
      <c r="A5804" s="1">
        <v>2025.0</v>
      </c>
      <c r="B5804" s="1" t="s">
        <v>228</v>
      </c>
      <c r="C5804" s="1">
        <v>687473.0</v>
      </c>
      <c r="D5804" s="1" t="s">
        <v>536</v>
      </c>
      <c r="E5804" s="1" t="s">
        <v>927</v>
      </c>
      <c r="F5804" s="1" t="s">
        <v>926</v>
      </c>
      <c r="G5804" s="1">
        <v>37.0</v>
      </c>
      <c r="H5804" s="1">
        <v>2.137310606</v>
      </c>
      <c r="I5804" s="1">
        <v>4.82</v>
      </c>
      <c r="J5804" s="1">
        <v>0.999568</v>
      </c>
    </row>
    <row r="5805">
      <c r="A5805" s="1">
        <v>2025.0</v>
      </c>
      <c r="B5805" s="1" t="s">
        <v>228</v>
      </c>
      <c r="C5805" s="1">
        <v>687473.0</v>
      </c>
      <c r="D5805" s="1" t="s">
        <v>533</v>
      </c>
      <c r="E5805" s="1" t="s">
        <v>927</v>
      </c>
      <c r="F5805" s="1" t="s">
        <v>926</v>
      </c>
      <c r="G5805" s="1">
        <v>1.0</v>
      </c>
      <c r="H5805" s="1">
        <v>0.057765152</v>
      </c>
      <c r="I5805" s="1">
        <v>2.22</v>
      </c>
      <c r="J5805" s="1">
        <v>0.080678</v>
      </c>
    </row>
    <row r="5806">
      <c r="A5806" s="1">
        <v>2025.0</v>
      </c>
      <c r="B5806" s="1" t="s">
        <v>228</v>
      </c>
      <c r="C5806" s="1">
        <v>687473.0</v>
      </c>
      <c r="D5806" s="1" t="s">
        <v>539</v>
      </c>
      <c r="E5806" s="1" t="s">
        <v>927</v>
      </c>
      <c r="F5806" s="1" t="s">
        <v>926</v>
      </c>
      <c r="G5806" s="1">
        <v>16.0</v>
      </c>
      <c r="H5806" s="1">
        <v>0.924242424</v>
      </c>
      <c r="I5806" s="1">
        <v>5.77</v>
      </c>
      <c r="J5806" s="1">
        <v>0.101026</v>
      </c>
    </row>
    <row r="5807">
      <c r="A5807" s="1">
        <v>2025.0</v>
      </c>
      <c r="B5807" s="1" t="s">
        <v>228</v>
      </c>
      <c r="C5807" s="1">
        <v>687473.0</v>
      </c>
      <c r="D5807" s="1" t="s">
        <v>532</v>
      </c>
      <c r="E5807" s="1" t="s">
        <v>927</v>
      </c>
      <c r="F5807" s="1" t="s">
        <v>927</v>
      </c>
      <c r="G5807" s="1">
        <v>18.0</v>
      </c>
      <c r="H5807" s="1">
        <v>1.039772727</v>
      </c>
      <c r="I5807" s="1">
        <v>5.47</v>
      </c>
      <c r="J5807" s="1">
        <v>0.209372</v>
      </c>
    </row>
    <row r="5808">
      <c r="A5808" s="1">
        <v>2025.0</v>
      </c>
      <c r="B5808" s="1" t="s">
        <v>228</v>
      </c>
      <c r="C5808" s="1">
        <v>687473.0</v>
      </c>
      <c r="D5808" s="1" t="s">
        <v>541</v>
      </c>
      <c r="E5808" s="1" t="s">
        <v>927</v>
      </c>
      <c r="F5808" s="1" t="s">
        <v>927</v>
      </c>
      <c r="G5808" s="1">
        <v>38.0</v>
      </c>
      <c r="H5808" s="1">
        <v>2.195075758</v>
      </c>
      <c r="I5808" s="1">
        <v>4.77</v>
      </c>
      <c r="J5808" s="1">
        <v>1.004044</v>
      </c>
    </row>
    <row r="5809">
      <c r="A5809" s="1">
        <v>2025.0</v>
      </c>
      <c r="B5809" s="1" t="s">
        <v>228</v>
      </c>
      <c r="C5809" s="1">
        <v>687473.0</v>
      </c>
      <c r="D5809" s="1" t="s">
        <v>540</v>
      </c>
      <c r="E5809" s="1" t="s">
        <v>927</v>
      </c>
      <c r="F5809" s="1" t="s">
        <v>927</v>
      </c>
      <c r="G5809" s="1">
        <v>75.0</v>
      </c>
      <c r="H5809" s="1">
        <v>4.332386364</v>
      </c>
      <c r="I5809" s="1">
        <v>5.6</v>
      </c>
      <c r="J5809" s="1">
        <v>0.748999</v>
      </c>
    </row>
    <row r="5810">
      <c r="A5810" s="1">
        <v>2025.0</v>
      </c>
      <c r="B5810" s="1" t="s">
        <v>228</v>
      </c>
      <c r="C5810" s="1">
        <v>687473.0</v>
      </c>
      <c r="D5810" s="1" t="s">
        <v>537</v>
      </c>
      <c r="E5810" s="1" t="s">
        <v>927</v>
      </c>
      <c r="F5810" s="1" t="s">
        <v>927</v>
      </c>
      <c r="G5810" s="1">
        <v>340.0</v>
      </c>
      <c r="H5810" s="1">
        <v>19.64015152</v>
      </c>
      <c r="I5810" s="1">
        <v>5.37</v>
      </c>
      <c r="J5810" s="1">
        <v>5.038648</v>
      </c>
    </row>
    <row r="5811">
      <c r="A5811" s="1">
        <v>2025.0</v>
      </c>
      <c r="B5811" s="1" t="s">
        <v>228</v>
      </c>
      <c r="C5811" s="1">
        <v>687473.0</v>
      </c>
      <c r="D5811" s="1" t="s">
        <v>536</v>
      </c>
      <c r="E5811" s="1" t="s">
        <v>927</v>
      </c>
      <c r="F5811" s="1" t="s">
        <v>927</v>
      </c>
      <c r="G5811" s="1">
        <v>147.0</v>
      </c>
      <c r="H5811" s="1">
        <v>8.491477273</v>
      </c>
      <c r="I5811" s="1">
        <v>4.95</v>
      </c>
      <c r="J5811" s="1">
        <v>3.41023</v>
      </c>
    </row>
    <row r="5812">
      <c r="A5812" s="1">
        <v>2025.0</v>
      </c>
      <c r="B5812" s="1" t="s">
        <v>228</v>
      </c>
      <c r="C5812" s="1">
        <v>687473.0</v>
      </c>
      <c r="D5812" s="1" t="s">
        <v>533</v>
      </c>
      <c r="E5812" s="1" t="s">
        <v>927</v>
      </c>
      <c r="F5812" s="1" t="s">
        <v>927</v>
      </c>
      <c r="G5812" s="1">
        <v>14.0</v>
      </c>
      <c r="H5812" s="1">
        <v>0.808712121</v>
      </c>
      <c r="I5812" s="1">
        <v>5.89</v>
      </c>
      <c r="J5812" s="1">
        <v>0.042346</v>
      </c>
    </row>
    <row r="5813">
      <c r="A5813" s="1">
        <v>2025.0</v>
      </c>
      <c r="B5813" s="1" t="s">
        <v>228</v>
      </c>
      <c r="C5813" s="1">
        <v>687473.0</v>
      </c>
      <c r="D5813" s="1" t="s">
        <v>539</v>
      </c>
      <c r="E5813" s="1" t="s">
        <v>927</v>
      </c>
      <c r="F5813" s="1" t="s">
        <v>927</v>
      </c>
      <c r="G5813" s="1">
        <v>152.0</v>
      </c>
      <c r="H5813" s="1">
        <v>8.78030303</v>
      </c>
      <c r="I5813" s="1">
        <v>5.37</v>
      </c>
      <c r="J5813" s="1">
        <v>2.138397</v>
      </c>
    </row>
    <row r="5814">
      <c r="A5814" s="1">
        <v>2025.0</v>
      </c>
      <c r="B5814" s="1" t="s">
        <v>270</v>
      </c>
      <c r="C5814" s="1">
        <v>664854.0</v>
      </c>
      <c r="D5814" s="1" t="s">
        <v>541</v>
      </c>
      <c r="E5814" s="1" t="s">
        <v>927</v>
      </c>
      <c r="F5814" s="1" t="s">
        <v>926</v>
      </c>
      <c r="G5814" s="1">
        <v>37.0</v>
      </c>
      <c r="H5814" s="1">
        <v>2.116445352</v>
      </c>
      <c r="I5814" s="1">
        <v>4.81</v>
      </c>
      <c r="J5814" s="1">
        <v>0.925392</v>
      </c>
    </row>
    <row r="5815">
      <c r="A5815" s="1">
        <v>2025.0</v>
      </c>
      <c r="B5815" s="1" t="s">
        <v>270</v>
      </c>
      <c r="C5815" s="1">
        <v>664854.0</v>
      </c>
      <c r="D5815" s="1" t="s">
        <v>540</v>
      </c>
      <c r="E5815" s="1" t="s">
        <v>927</v>
      </c>
      <c r="F5815" s="1" t="s">
        <v>926</v>
      </c>
      <c r="G5815" s="1">
        <v>8.0</v>
      </c>
      <c r="H5815" s="1">
        <v>0.457609806</v>
      </c>
      <c r="I5815" s="1">
        <v>5.27</v>
      </c>
      <c r="J5815" s="1">
        <v>0.153213</v>
      </c>
    </row>
    <row r="5816">
      <c r="A5816" s="1">
        <v>2025.0</v>
      </c>
      <c r="B5816" s="1" t="s">
        <v>270</v>
      </c>
      <c r="C5816" s="1">
        <v>664854.0</v>
      </c>
      <c r="D5816" s="1" t="s">
        <v>537</v>
      </c>
      <c r="E5816" s="1" t="s">
        <v>927</v>
      </c>
      <c r="F5816" s="1" t="s">
        <v>926</v>
      </c>
      <c r="G5816" s="1">
        <v>228.0</v>
      </c>
      <c r="H5816" s="1">
        <v>13.04187947</v>
      </c>
      <c r="I5816" s="1">
        <v>5.1</v>
      </c>
      <c r="J5816" s="1">
        <v>4.545984</v>
      </c>
    </row>
    <row r="5817">
      <c r="A5817" s="1">
        <v>2025.0</v>
      </c>
      <c r="B5817" s="1" t="s">
        <v>270</v>
      </c>
      <c r="C5817" s="1">
        <v>664854.0</v>
      </c>
      <c r="D5817" s="1" t="s">
        <v>533</v>
      </c>
      <c r="E5817" s="1" t="s">
        <v>927</v>
      </c>
      <c r="F5817" s="1" t="s">
        <v>926</v>
      </c>
      <c r="G5817" s="1">
        <v>201.0</v>
      </c>
      <c r="H5817" s="1">
        <v>11.49744637</v>
      </c>
      <c r="I5817" s="1">
        <v>5.17</v>
      </c>
      <c r="J5817" s="1">
        <v>3.618417</v>
      </c>
    </row>
    <row r="5818">
      <c r="A5818" s="1">
        <v>2025.0</v>
      </c>
      <c r="B5818" s="1" t="s">
        <v>270</v>
      </c>
      <c r="C5818" s="1">
        <v>664854.0</v>
      </c>
      <c r="D5818" s="1" t="s">
        <v>541</v>
      </c>
      <c r="E5818" s="1" t="s">
        <v>927</v>
      </c>
      <c r="F5818" s="1" t="s">
        <v>927</v>
      </c>
      <c r="G5818" s="1">
        <v>20.0</v>
      </c>
      <c r="H5818" s="1">
        <v>1.144024515</v>
      </c>
      <c r="I5818" s="1">
        <v>4.26</v>
      </c>
      <c r="J5818" s="1">
        <v>0.735754</v>
      </c>
    </row>
    <row r="5819">
      <c r="A5819" s="1">
        <v>2025.0</v>
      </c>
      <c r="B5819" s="1" t="s">
        <v>270</v>
      </c>
      <c r="C5819" s="1">
        <v>664854.0</v>
      </c>
      <c r="D5819" s="1" t="s">
        <v>540</v>
      </c>
      <c r="E5819" s="1" t="s">
        <v>927</v>
      </c>
      <c r="F5819" s="1" t="s">
        <v>927</v>
      </c>
      <c r="G5819" s="1">
        <v>1.0</v>
      </c>
      <c r="H5819" s="1">
        <v>0.057201226</v>
      </c>
      <c r="I5819" s="1">
        <v>9.43</v>
      </c>
      <c r="J5819" s="1">
        <v>-0.0708</v>
      </c>
    </row>
    <row r="5820">
      <c r="A5820" s="1">
        <v>2025.0</v>
      </c>
      <c r="B5820" s="1" t="s">
        <v>270</v>
      </c>
      <c r="C5820" s="1">
        <v>664854.0</v>
      </c>
      <c r="D5820" s="1" t="s">
        <v>537</v>
      </c>
      <c r="E5820" s="1" t="s">
        <v>927</v>
      </c>
      <c r="F5820" s="1" t="s">
        <v>927</v>
      </c>
      <c r="G5820" s="1">
        <v>219.0</v>
      </c>
      <c r="H5820" s="1">
        <v>12.52706844</v>
      </c>
      <c r="I5820" s="1">
        <v>5.15</v>
      </c>
      <c r="J5820" s="1">
        <v>4.210244</v>
      </c>
    </row>
    <row r="5821">
      <c r="A5821" s="1">
        <v>2025.0</v>
      </c>
      <c r="B5821" s="1" t="s">
        <v>270</v>
      </c>
      <c r="C5821" s="1">
        <v>664854.0</v>
      </c>
      <c r="D5821" s="1" t="s">
        <v>533</v>
      </c>
      <c r="E5821" s="1" t="s">
        <v>927</v>
      </c>
      <c r="F5821" s="1" t="s">
        <v>927</v>
      </c>
      <c r="G5821" s="1">
        <v>265.0</v>
      </c>
      <c r="H5821" s="1">
        <v>15.15832482</v>
      </c>
      <c r="I5821" s="1">
        <v>5.03</v>
      </c>
      <c r="J5821" s="1">
        <v>5.6333</v>
      </c>
    </row>
    <row r="5822">
      <c r="A5822" s="1">
        <v>2025.0</v>
      </c>
      <c r="B5822" s="1" t="s">
        <v>659</v>
      </c>
      <c r="C5822" s="1">
        <v>696270.0</v>
      </c>
      <c r="D5822" s="1" t="s">
        <v>532</v>
      </c>
      <c r="E5822" s="1" t="s">
        <v>927</v>
      </c>
      <c r="F5822" s="1" t="s">
        <v>926</v>
      </c>
      <c r="G5822" s="1">
        <v>7.0</v>
      </c>
      <c r="H5822" s="1">
        <v>0.374695864</v>
      </c>
      <c r="I5822" s="1">
        <v>3.9</v>
      </c>
      <c r="J5822" s="1">
        <v>0.290197</v>
      </c>
    </row>
    <row r="5823">
      <c r="A5823" s="1">
        <v>2025.0</v>
      </c>
      <c r="B5823" s="1" t="s">
        <v>659</v>
      </c>
      <c r="C5823" s="1">
        <v>696270.0</v>
      </c>
      <c r="D5823" s="1" t="s">
        <v>540</v>
      </c>
      <c r="E5823" s="1" t="s">
        <v>927</v>
      </c>
      <c r="F5823" s="1" t="s">
        <v>926</v>
      </c>
      <c r="G5823" s="1">
        <v>33.0</v>
      </c>
      <c r="H5823" s="1">
        <v>1.766423358</v>
      </c>
      <c r="I5823" s="1">
        <v>5.33</v>
      </c>
      <c r="J5823" s="1">
        <v>0.493076</v>
      </c>
    </row>
    <row r="5824">
      <c r="A5824" s="1">
        <v>2025.0</v>
      </c>
      <c r="B5824" s="1" t="s">
        <v>659</v>
      </c>
      <c r="C5824" s="1">
        <v>696270.0</v>
      </c>
      <c r="D5824" s="1" t="s">
        <v>537</v>
      </c>
      <c r="E5824" s="1" t="s">
        <v>927</v>
      </c>
      <c r="F5824" s="1" t="s">
        <v>926</v>
      </c>
      <c r="G5824" s="1">
        <v>3.0</v>
      </c>
      <c r="H5824" s="1">
        <v>0.160583942</v>
      </c>
      <c r="I5824" s="1">
        <v>3.76</v>
      </c>
      <c r="J5824" s="1">
        <v>0.146164</v>
      </c>
    </row>
    <row r="5825">
      <c r="A5825" s="1">
        <v>2025.0</v>
      </c>
      <c r="B5825" s="1" t="s">
        <v>659</v>
      </c>
      <c r="C5825" s="1">
        <v>696270.0</v>
      </c>
      <c r="D5825" s="1" t="s">
        <v>538</v>
      </c>
      <c r="E5825" s="1" t="s">
        <v>927</v>
      </c>
      <c r="F5825" s="1" t="s">
        <v>926</v>
      </c>
      <c r="G5825" s="1">
        <v>8.0</v>
      </c>
      <c r="H5825" s="1">
        <v>0.428223844</v>
      </c>
      <c r="I5825" s="1">
        <v>4.74</v>
      </c>
      <c r="J5825" s="1">
        <v>0.193799</v>
      </c>
    </row>
    <row r="5826">
      <c r="A5826" s="1">
        <v>2025.0</v>
      </c>
      <c r="B5826" s="1" t="s">
        <v>659</v>
      </c>
      <c r="C5826" s="1">
        <v>696270.0</v>
      </c>
      <c r="D5826" s="1" t="s">
        <v>536</v>
      </c>
      <c r="E5826" s="1" t="s">
        <v>927</v>
      </c>
      <c r="F5826" s="1" t="s">
        <v>926</v>
      </c>
      <c r="G5826" s="1">
        <v>28.0</v>
      </c>
      <c r="H5826" s="1">
        <v>1.498783455</v>
      </c>
      <c r="I5826" s="1">
        <v>4.54</v>
      </c>
      <c r="J5826" s="1">
        <v>0.875839</v>
      </c>
    </row>
    <row r="5827">
      <c r="A5827" s="1">
        <v>2025.0</v>
      </c>
      <c r="B5827" s="1" t="s">
        <v>659</v>
      </c>
      <c r="C5827" s="1">
        <v>696270.0</v>
      </c>
      <c r="D5827" s="1" t="s">
        <v>533</v>
      </c>
      <c r="E5827" s="1" t="s">
        <v>927</v>
      </c>
      <c r="F5827" s="1" t="s">
        <v>926</v>
      </c>
      <c r="G5827" s="1">
        <v>1.0</v>
      </c>
      <c r="H5827" s="1">
        <v>0.053527981</v>
      </c>
      <c r="I5827" s="1">
        <v>5.45</v>
      </c>
      <c r="J5827" s="1">
        <v>0.015017</v>
      </c>
    </row>
    <row r="5828">
      <c r="A5828" s="1">
        <v>2025.0</v>
      </c>
      <c r="B5828" s="1" t="s">
        <v>659</v>
      </c>
      <c r="C5828" s="1">
        <v>696270.0</v>
      </c>
      <c r="D5828" s="1" t="s">
        <v>539</v>
      </c>
      <c r="E5828" s="1" t="s">
        <v>927</v>
      </c>
      <c r="F5828" s="1" t="s">
        <v>926</v>
      </c>
      <c r="G5828" s="1">
        <v>16.0</v>
      </c>
      <c r="H5828" s="1">
        <v>0.856447689</v>
      </c>
      <c r="I5828" s="1">
        <v>5.03</v>
      </c>
      <c r="J5828" s="1">
        <v>0.329191</v>
      </c>
    </row>
    <row r="5829">
      <c r="A5829" s="1">
        <v>2025.0</v>
      </c>
      <c r="B5829" s="1" t="s">
        <v>659</v>
      </c>
      <c r="C5829" s="1">
        <v>696270.0</v>
      </c>
      <c r="D5829" s="1" t="s">
        <v>540</v>
      </c>
      <c r="E5829" s="1" t="s">
        <v>927</v>
      </c>
      <c r="F5829" s="1" t="s">
        <v>927</v>
      </c>
      <c r="G5829" s="1">
        <v>89.0</v>
      </c>
      <c r="H5829" s="1">
        <v>4.763990268</v>
      </c>
      <c r="I5829" s="1">
        <v>5.16</v>
      </c>
      <c r="J5829" s="1">
        <v>1.706388</v>
      </c>
    </row>
    <row r="5830">
      <c r="A5830" s="1">
        <v>2025.0</v>
      </c>
      <c r="B5830" s="1" t="s">
        <v>659</v>
      </c>
      <c r="C5830" s="1">
        <v>696270.0</v>
      </c>
      <c r="D5830" s="1" t="s">
        <v>537</v>
      </c>
      <c r="E5830" s="1" t="s">
        <v>927</v>
      </c>
      <c r="F5830" s="1" t="s">
        <v>927</v>
      </c>
      <c r="G5830" s="1">
        <v>2.0</v>
      </c>
      <c r="H5830" s="1">
        <v>0.107055961</v>
      </c>
      <c r="I5830" s="1">
        <v>4.56</v>
      </c>
      <c r="J5830" s="1">
        <v>0.065145</v>
      </c>
    </row>
    <row r="5831">
      <c r="A5831" s="1">
        <v>2025.0</v>
      </c>
      <c r="B5831" s="1" t="s">
        <v>659</v>
      </c>
      <c r="C5831" s="1">
        <v>696270.0</v>
      </c>
      <c r="D5831" s="1" t="s">
        <v>538</v>
      </c>
      <c r="E5831" s="1" t="s">
        <v>927</v>
      </c>
      <c r="F5831" s="1" t="s">
        <v>927</v>
      </c>
      <c r="G5831" s="1">
        <v>1.0</v>
      </c>
      <c r="H5831" s="1">
        <v>0.053527981</v>
      </c>
      <c r="I5831" s="1">
        <v>7.23</v>
      </c>
      <c r="J5831" s="1">
        <v>-0.028468</v>
      </c>
    </row>
    <row r="5832">
      <c r="A5832" s="1">
        <v>2025.0</v>
      </c>
      <c r="B5832" s="1" t="s">
        <v>659</v>
      </c>
      <c r="C5832" s="1">
        <v>696270.0</v>
      </c>
      <c r="D5832" s="1" t="s">
        <v>536</v>
      </c>
      <c r="E5832" s="1" t="s">
        <v>927</v>
      </c>
      <c r="F5832" s="1" t="s">
        <v>927</v>
      </c>
      <c r="G5832" s="1">
        <v>29.0</v>
      </c>
      <c r="H5832" s="1">
        <v>1.552311436</v>
      </c>
      <c r="I5832" s="1">
        <v>4.75</v>
      </c>
      <c r="J5832" s="1">
        <v>0.734368</v>
      </c>
    </row>
    <row r="5833">
      <c r="A5833" s="1">
        <v>2025.0</v>
      </c>
      <c r="B5833" s="1" t="s">
        <v>659</v>
      </c>
      <c r="C5833" s="1">
        <v>696270.0</v>
      </c>
      <c r="D5833" s="1" t="s">
        <v>539</v>
      </c>
      <c r="E5833" s="1" t="s">
        <v>927</v>
      </c>
      <c r="F5833" s="1" t="s">
        <v>927</v>
      </c>
      <c r="G5833" s="1">
        <v>57.0</v>
      </c>
      <c r="H5833" s="1">
        <v>3.051094891</v>
      </c>
      <c r="I5833" s="1">
        <v>5.6</v>
      </c>
      <c r="J5833" s="1">
        <v>0.518344</v>
      </c>
    </row>
    <row r="5834">
      <c r="A5834" s="1">
        <v>2025.0</v>
      </c>
      <c r="B5834" s="1" t="s">
        <v>771</v>
      </c>
      <c r="C5834" s="1">
        <v>702795.0</v>
      </c>
      <c r="D5834" s="1" t="s">
        <v>532</v>
      </c>
      <c r="E5834" s="1" t="s">
        <v>927</v>
      </c>
      <c r="F5834" s="1" t="s">
        <v>926</v>
      </c>
      <c r="G5834" s="1">
        <v>31.0</v>
      </c>
      <c r="H5834" s="1">
        <v>1.617391304</v>
      </c>
      <c r="I5834" s="1">
        <v>4.54</v>
      </c>
      <c r="J5834" s="1">
        <v>0.99659</v>
      </c>
    </row>
    <row r="5835">
      <c r="A5835" s="1">
        <v>2025.0</v>
      </c>
      <c r="B5835" s="1" t="s">
        <v>771</v>
      </c>
      <c r="C5835" s="1">
        <v>702795.0</v>
      </c>
      <c r="D5835" s="1" t="s">
        <v>537</v>
      </c>
      <c r="E5835" s="1" t="s">
        <v>927</v>
      </c>
      <c r="F5835" s="1" t="s">
        <v>926</v>
      </c>
      <c r="G5835" s="1">
        <v>43.0</v>
      </c>
      <c r="H5835" s="1">
        <v>2.243478261</v>
      </c>
      <c r="I5835" s="1">
        <v>4.49</v>
      </c>
      <c r="J5835" s="1">
        <v>1.430222</v>
      </c>
    </row>
    <row r="5836">
      <c r="A5836" s="1">
        <v>2025.0</v>
      </c>
      <c r="B5836" s="1" t="s">
        <v>771</v>
      </c>
      <c r="C5836" s="1">
        <v>702795.0</v>
      </c>
      <c r="D5836" s="1" t="s">
        <v>536</v>
      </c>
      <c r="E5836" s="1" t="s">
        <v>927</v>
      </c>
      <c r="F5836" s="1" t="s">
        <v>926</v>
      </c>
      <c r="G5836" s="1">
        <v>3.0</v>
      </c>
      <c r="H5836" s="1">
        <v>0.156521739</v>
      </c>
      <c r="I5836" s="1">
        <v>4.21</v>
      </c>
      <c r="J5836" s="1">
        <v>0.108532</v>
      </c>
    </row>
    <row r="5837">
      <c r="A5837" s="1">
        <v>2025.0</v>
      </c>
      <c r="B5837" s="1" t="s">
        <v>771</v>
      </c>
      <c r="C5837" s="1">
        <v>702795.0</v>
      </c>
      <c r="D5837" s="1" t="s">
        <v>533</v>
      </c>
      <c r="E5837" s="1" t="s">
        <v>927</v>
      </c>
      <c r="F5837" s="1" t="s">
        <v>926</v>
      </c>
      <c r="G5837" s="1">
        <v>18.0</v>
      </c>
      <c r="H5837" s="1">
        <v>0.939130435</v>
      </c>
      <c r="I5837" s="1">
        <v>6.0</v>
      </c>
      <c r="J5837" s="1">
        <v>0.040675</v>
      </c>
    </row>
    <row r="5838">
      <c r="A5838" s="1">
        <v>2025.0</v>
      </c>
      <c r="B5838" s="1" t="s">
        <v>771</v>
      </c>
      <c r="C5838" s="1">
        <v>702795.0</v>
      </c>
      <c r="D5838" s="1" t="s">
        <v>539</v>
      </c>
      <c r="E5838" s="1" t="s">
        <v>927</v>
      </c>
      <c r="F5838" s="1" t="s">
        <v>926</v>
      </c>
      <c r="G5838" s="1">
        <v>2.0</v>
      </c>
      <c r="H5838" s="1">
        <v>0.104347826</v>
      </c>
      <c r="I5838" s="1">
        <v>3.84</v>
      </c>
      <c r="J5838" s="1">
        <v>0.089328</v>
      </c>
    </row>
    <row r="5839">
      <c r="A5839" s="1">
        <v>2025.0</v>
      </c>
      <c r="B5839" s="1" t="s">
        <v>771</v>
      </c>
      <c r="C5839" s="1">
        <v>702795.0</v>
      </c>
      <c r="D5839" s="1" t="s">
        <v>532</v>
      </c>
      <c r="E5839" s="1" t="s">
        <v>927</v>
      </c>
      <c r="F5839" s="1" t="s">
        <v>927</v>
      </c>
      <c r="G5839" s="1">
        <v>7.0</v>
      </c>
      <c r="H5839" s="1">
        <v>0.365217391</v>
      </c>
      <c r="I5839" s="1">
        <v>5.81</v>
      </c>
      <c r="J5839" s="1">
        <v>0.03651</v>
      </c>
    </row>
    <row r="5840">
      <c r="A5840" s="1">
        <v>2025.0</v>
      </c>
      <c r="B5840" s="1" t="s">
        <v>771</v>
      </c>
      <c r="C5840" s="1">
        <v>702795.0</v>
      </c>
      <c r="D5840" s="1" t="s">
        <v>537</v>
      </c>
      <c r="E5840" s="1" t="s">
        <v>927</v>
      </c>
      <c r="F5840" s="1" t="s">
        <v>927</v>
      </c>
      <c r="G5840" s="1">
        <v>64.0</v>
      </c>
      <c r="H5840" s="1">
        <v>3.339130435</v>
      </c>
      <c r="I5840" s="1">
        <v>4.85</v>
      </c>
      <c r="J5840" s="1">
        <v>1.693453</v>
      </c>
    </row>
    <row r="5841">
      <c r="A5841" s="1">
        <v>2025.0</v>
      </c>
      <c r="B5841" s="1" t="s">
        <v>771</v>
      </c>
      <c r="C5841" s="1">
        <v>702795.0</v>
      </c>
      <c r="D5841" s="1" t="s">
        <v>536</v>
      </c>
      <c r="E5841" s="1" t="s">
        <v>927</v>
      </c>
      <c r="F5841" s="1" t="s">
        <v>927</v>
      </c>
      <c r="G5841" s="1">
        <v>9.0</v>
      </c>
      <c r="H5841" s="1">
        <v>0.469565217</v>
      </c>
      <c r="I5841" s="1">
        <v>4.95</v>
      </c>
      <c r="J5841" s="1">
        <v>0.206995</v>
      </c>
    </row>
    <row r="5842">
      <c r="A5842" s="1">
        <v>2025.0</v>
      </c>
      <c r="B5842" s="1" t="s">
        <v>771</v>
      </c>
      <c r="C5842" s="1">
        <v>702795.0</v>
      </c>
      <c r="D5842" s="1" t="s">
        <v>533</v>
      </c>
      <c r="E5842" s="1" t="s">
        <v>927</v>
      </c>
      <c r="F5842" s="1" t="s">
        <v>927</v>
      </c>
      <c r="G5842" s="1">
        <v>36.0</v>
      </c>
      <c r="H5842" s="1">
        <v>1.87826087</v>
      </c>
      <c r="I5842" s="1">
        <v>5.26</v>
      </c>
      <c r="J5842" s="1">
        <v>0.645531</v>
      </c>
    </row>
    <row r="5843">
      <c r="A5843" s="1">
        <v>2025.0</v>
      </c>
      <c r="B5843" s="1" t="s">
        <v>771</v>
      </c>
      <c r="C5843" s="1">
        <v>702795.0</v>
      </c>
      <c r="D5843" s="1" t="s">
        <v>539</v>
      </c>
      <c r="E5843" s="1" t="s">
        <v>927</v>
      </c>
      <c r="F5843" s="1" t="s">
        <v>927</v>
      </c>
      <c r="G5843" s="1">
        <v>17.0</v>
      </c>
      <c r="H5843" s="1">
        <v>0.886956522</v>
      </c>
      <c r="I5843" s="1">
        <v>5.24</v>
      </c>
      <c r="J5843" s="1">
        <v>0.312735</v>
      </c>
    </row>
    <row r="5844">
      <c r="A5844" s="1">
        <v>2025.0</v>
      </c>
      <c r="B5844" s="1" t="s">
        <v>129</v>
      </c>
      <c r="C5844" s="1">
        <v>686752.0</v>
      </c>
      <c r="D5844" s="1" t="s">
        <v>532</v>
      </c>
      <c r="E5844" s="1" t="s">
        <v>927</v>
      </c>
      <c r="F5844" s="1" t="s">
        <v>926</v>
      </c>
      <c r="G5844" s="1">
        <v>376.0</v>
      </c>
      <c r="H5844" s="1">
        <v>23.35778683</v>
      </c>
      <c r="I5844" s="1">
        <v>5.24</v>
      </c>
      <c r="J5844" s="1">
        <v>6.113649</v>
      </c>
    </row>
    <row r="5845">
      <c r="A5845" s="1">
        <v>2025.0</v>
      </c>
      <c r="B5845" s="1" t="s">
        <v>129</v>
      </c>
      <c r="C5845" s="1">
        <v>686752.0</v>
      </c>
      <c r="D5845" s="1" t="s">
        <v>541</v>
      </c>
      <c r="E5845" s="1" t="s">
        <v>927</v>
      </c>
      <c r="F5845" s="1" t="s">
        <v>926</v>
      </c>
      <c r="G5845" s="1">
        <v>39.0</v>
      </c>
      <c r="H5845" s="1">
        <v>2.422749166</v>
      </c>
      <c r="I5845" s="1">
        <v>4.2</v>
      </c>
      <c r="J5845" s="1">
        <v>1.529561</v>
      </c>
    </row>
    <row r="5846">
      <c r="A5846" s="1">
        <v>2025.0</v>
      </c>
      <c r="B5846" s="1" t="s">
        <v>129</v>
      </c>
      <c r="C5846" s="1">
        <v>686752.0</v>
      </c>
      <c r="D5846" s="1" t="s">
        <v>540</v>
      </c>
      <c r="E5846" s="1" t="s">
        <v>927</v>
      </c>
      <c r="F5846" s="1" t="s">
        <v>926</v>
      </c>
      <c r="G5846" s="1">
        <v>123.0</v>
      </c>
      <c r="H5846" s="1">
        <v>7.64097814</v>
      </c>
      <c r="I5846" s="1">
        <v>5.01</v>
      </c>
      <c r="J5846" s="1">
        <v>2.656622</v>
      </c>
    </row>
    <row r="5847">
      <c r="A5847" s="1">
        <v>2025.0</v>
      </c>
      <c r="B5847" s="1" t="s">
        <v>129</v>
      </c>
      <c r="C5847" s="1">
        <v>686752.0</v>
      </c>
      <c r="D5847" s="1" t="s">
        <v>537</v>
      </c>
      <c r="E5847" s="1" t="s">
        <v>927</v>
      </c>
      <c r="F5847" s="1" t="s">
        <v>926</v>
      </c>
      <c r="G5847" s="1">
        <v>600.0</v>
      </c>
      <c r="H5847" s="1">
        <v>37.2730641</v>
      </c>
      <c r="I5847" s="1">
        <v>5.22</v>
      </c>
      <c r="J5847" s="1">
        <v>10.69753</v>
      </c>
    </row>
    <row r="5848">
      <c r="A5848" s="1">
        <v>2025.0</v>
      </c>
      <c r="B5848" s="1" t="s">
        <v>129</v>
      </c>
      <c r="C5848" s="1">
        <v>686752.0</v>
      </c>
      <c r="D5848" s="1" t="s">
        <v>536</v>
      </c>
      <c r="E5848" s="1" t="s">
        <v>927</v>
      </c>
      <c r="F5848" s="1" t="s">
        <v>926</v>
      </c>
      <c r="G5848" s="1">
        <v>12.0</v>
      </c>
      <c r="H5848" s="1">
        <v>0.745461282</v>
      </c>
      <c r="I5848" s="1">
        <v>4.63</v>
      </c>
      <c r="J5848" s="1">
        <v>0.38107</v>
      </c>
    </row>
    <row r="5849">
      <c r="A5849" s="1">
        <v>2025.0</v>
      </c>
      <c r="B5849" s="1" t="s">
        <v>129</v>
      </c>
      <c r="C5849" s="1">
        <v>686752.0</v>
      </c>
      <c r="D5849" s="1" t="s">
        <v>533</v>
      </c>
      <c r="E5849" s="1" t="s">
        <v>927</v>
      </c>
      <c r="F5849" s="1" t="s">
        <v>926</v>
      </c>
      <c r="G5849" s="1">
        <v>137.0</v>
      </c>
      <c r="H5849" s="1">
        <v>8.510682969</v>
      </c>
      <c r="I5849" s="1">
        <v>5.17</v>
      </c>
      <c r="J5849" s="1">
        <v>2.585074</v>
      </c>
    </row>
    <row r="5850">
      <c r="A5850" s="1">
        <v>2025.0</v>
      </c>
      <c r="B5850" s="1" t="s">
        <v>129</v>
      </c>
      <c r="C5850" s="1">
        <v>686752.0</v>
      </c>
      <c r="D5850" s="1" t="s">
        <v>532</v>
      </c>
      <c r="E5850" s="1" t="s">
        <v>927</v>
      </c>
      <c r="F5850" s="1" t="s">
        <v>927</v>
      </c>
      <c r="G5850" s="1">
        <v>300.0</v>
      </c>
      <c r="H5850" s="1">
        <v>18.63653205</v>
      </c>
      <c r="I5850" s="1">
        <v>5.43</v>
      </c>
      <c r="J5850" s="1">
        <v>3.806658</v>
      </c>
    </row>
    <row r="5851">
      <c r="A5851" s="1">
        <v>2025.0</v>
      </c>
      <c r="B5851" s="1" t="s">
        <v>129</v>
      </c>
      <c r="C5851" s="1">
        <v>686752.0</v>
      </c>
      <c r="D5851" s="1" t="s">
        <v>541</v>
      </c>
      <c r="E5851" s="1" t="s">
        <v>927</v>
      </c>
      <c r="F5851" s="1" t="s">
        <v>927</v>
      </c>
      <c r="G5851" s="1">
        <v>50.0</v>
      </c>
      <c r="H5851" s="1">
        <v>3.106088675</v>
      </c>
      <c r="I5851" s="1">
        <v>4.15</v>
      </c>
      <c r="J5851" s="1">
        <v>1.93527</v>
      </c>
    </row>
    <row r="5852">
      <c r="A5852" s="1">
        <v>2025.0</v>
      </c>
      <c r="B5852" s="1" t="s">
        <v>129</v>
      </c>
      <c r="C5852" s="1">
        <v>686752.0</v>
      </c>
      <c r="D5852" s="1" t="s">
        <v>540</v>
      </c>
      <c r="E5852" s="1" t="s">
        <v>927</v>
      </c>
      <c r="F5852" s="1" t="s">
        <v>927</v>
      </c>
      <c r="G5852" s="1">
        <v>57.0</v>
      </c>
      <c r="H5852" s="1">
        <v>3.540941089</v>
      </c>
      <c r="I5852" s="1">
        <v>4.67</v>
      </c>
      <c r="J5852" s="1">
        <v>1.643945</v>
      </c>
    </row>
    <row r="5853">
      <c r="A5853" s="1">
        <v>2025.0</v>
      </c>
      <c r="B5853" s="1" t="s">
        <v>129</v>
      </c>
      <c r="C5853" s="1">
        <v>686752.0</v>
      </c>
      <c r="D5853" s="1" t="s">
        <v>537</v>
      </c>
      <c r="E5853" s="1" t="s">
        <v>927</v>
      </c>
      <c r="F5853" s="1" t="s">
        <v>927</v>
      </c>
      <c r="G5853" s="1">
        <v>619.0</v>
      </c>
      <c r="H5853" s="1">
        <v>38.45337779</v>
      </c>
      <c r="I5853" s="1">
        <v>5.16</v>
      </c>
      <c r="J5853" s="1">
        <v>11.599183</v>
      </c>
    </row>
    <row r="5854">
      <c r="A5854" s="1">
        <v>2025.0</v>
      </c>
      <c r="B5854" s="1" t="s">
        <v>129</v>
      </c>
      <c r="C5854" s="1">
        <v>686752.0</v>
      </c>
      <c r="D5854" s="1" t="s">
        <v>536</v>
      </c>
      <c r="E5854" s="1" t="s">
        <v>927</v>
      </c>
      <c r="F5854" s="1" t="s">
        <v>927</v>
      </c>
      <c r="G5854" s="1">
        <v>52.0</v>
      </c>
      <c r="H5854" s="1">
        <v>3.230332222</v>
      </c>
      <c r="I5854" s="1">
        <v>4.73</v>
      </c>
      <c r="J5854" s="1">
        <v>1.468972</v>
      </c>
    </row>
    <row r="5855">
      <c r="A5855" s="1">
        <v>2025.0</v>
      </c>
      <c r="B5855" s="1" t="s">
        <v>129</v>
      </c>
      <c r="C5855" s="1">
        <v>686752.0</v>
      </c>
      <c r="D5855" s="1" t="s">
        <v>533</v>
      </c>
      <c r="E5855" s="1" t="s">
        <v>927</v>
      </c>
      <c r="F5855" s="1" t="s">
        <v>927</v>
      </c>
      <c r="G5855" s="1">
        <v>334.0</v>
      </c>
      <c r="H5855" s="1">
        <v>20.74867235</v>
      </c>
      <c r="I5855" s="1">
        <v>5.15</v>
      </c>
      <c r="J5855" s="1">
        <v>6.364334</v>
      </c>
    </row>
    <row r="5856">
      <c r="A5856" s="1">
        <v>2025.0</v>
      </c>
      <c r="B5856" s="1" t="s">
        <v>460</v>
      </c>
      <c r="C5856" s="1">
        <v>519151.0</v>
      </c>
      <c r="D5856" s="1" t="s">
        <v>532</v>
      </c>
      <c r="E5856" s="1" t="s">
        <v>927</v>
      </c>
      <c r="F5856" s="1" t="s">
        <v>926</v>
      </c>
      <c r="G5856" s="1">
        <v>38.0</v>
      </c>
      <c r="H5856" s="1">
        <v>2.37979798</v>
      </c>
      <c r="I5856" s="1">
        <v>4.13</v>
      </c>
      <c r="J5856" s="1">
        <v>1.545539</v>
      </c>
    </row>
    <row r="5857">
      <c r="A5857" s="1">
        <v>2025.0</v>
      </c>
      <c r="B5857" s="1" t="s">
        <v>460</v>
      </c>
      <c r="C5857" s="1">
        <v>519151.0</v>
      </c>
      <c r="D5857" s="1" t="s">
        <v>541</v>
      </c>
      <c r="E5857" s="1" t="s">
        <v>927</v>
      </c>
      <c r="F5857" s="1" t="s">
        <v>926</v>
      </c>
      <c r="G5857" s="1">
        <v>87.0</v>
      </c>
      <c r="H5857" s="1">
        <v>5.448484848</v>
      </c>
      <c r="I5857" s="1">
        <v>5.25</v>
      </c>
      <c r="J5857" s="1">
        <v>1.44462</v>
      </c>
    </row>
    <row r="5858">
      <c r="A5858" s="1">
        <v>2025.0</v>
      </c>
      <c r="B5858" s="1" t="s">
        <v>460</v>
      </c>
      <c r="C5858" s="1">
        <v>519151.0</v>
      </c>
      <c r="D5858" s="1" t="s">
        <v>537</v>
      </c>
      <c r="E5858" s="1" t="s">
        <v>927</v>
      </c>
      <c r="F5858" s="1" t="s">
        <v>926</v>
      </c>
      <c r="G5858" s="1">
        <v>125.0</v>
      </c>
      <c r="H5858" s="1">
        <v>7.828282828</v>
      </c>
      <c r="I5858" s="1">
        <v>4.88</v>
      </c>
      <c r="J5858" s="1">
        <v>3.08537</v>
      </c>
    </row>
    <row r="5859">
      <c r="A5859" s="1">
        <v>2025.0</v>
      </c>
      <c r="B5859" s="1" t="s">
        <v>460</v>
      </c>
      <c r="C5859" s="1">
        <v>519151.0</v>
      </c>
      <c r="D5859" s="1" t="s">
        <v>536</v>
      </c>
      <c r="E5859" s="1" t="s">
        <v>927</v>
      </c>
      <c r="F5859" s="1" t="s">
        <v>926</v>
      </c>
      <c r="G5859" s="1">
        <v>25.0</v>
      </c>
      <c r="H5859" s="1">
        <v>1.565656566</v>
      </c>
      <c r="I5859" s="1">
        <v>4.32</v>
      </c>
      <c r="J5859" s="1">
        <v>0.933491</v>
      </c>
    </row>
    <row r="5860">
      <c r="A5860" s="1">
        <v>2025.0</v>
      </c>
      <c r="B5860" s="1" t="s">
        <v>460</v>
      </c>
      <c r="C5860" s="1">
        <v>519151.0</v>
      </c>
      <c r="D5860" s="1" t="s">
        <v>533</v>
      </c>
      <c r="E5860" s="1" t="s">
        <v>927</v>
      </c>
      <c r="F5860" s="1" t="s">
        <v>926</v>
      </c>
      <c r="G5860" s="1">
        <v>58.0</v>
      </c>
      <c r="H5860" s="1">
        <v>3.632323232</v>
      </c>
      <c r="I5860" s="1">
        <v>5.04</v>
      </c>
      <c r="J5860" s="1">
        <v>1.270025</v>
      </c>
    </row>
    <row r="5861">
      <c r="A5861" s="1">
        <v>2025.0</v>
      </c>
      <c r="B5861" s="1" t="s">
        <v>460</v>
      </c>
      <c r="C5861" s="1">
        <v>519151.0</v>
      </c>
      <c r="D5861" s="1" t="s">
        <v>541</v>
      </c>
      <c r="E5861" s="1" t="s">
        <v>927</v>
      </c>
      <c r="F5861" s="1" t="s">
        <v>927</v>
      </c>
      <c r="G5861" s="1">
        <v>76.0</v>
      </c>
      <c r="H5861" s="1">
        <v>4.75959596</v>
      </c>
      <c r="I5861" s="1">
        <v>5.01</v>
      </c>
      <c r="J5861" s="1">
        <v>1.610538</v>
      </c>
    </row>
    <row r="5862">
      <c r="A5862" s="1">
        <v>2025.0</v>
      </c>
      <c r="B5862" s="1" t="s">
        <v>460</v>
      </c>
      <c r="C5862" s="1">
        <v>519151.0</v>
      </c>
      <c r="D5862" s="1" t="s">
        <v>537</v>
      </c>
      <c r="E5862" s="1" t="s">
        <v>927</v>
      </c>
      <c r="F5862" s="1" t="s">
        <v>927</v>
      </c>
      <c r="G5862" s="1">
        <v>117.0</v>
      </c>
      <c r="H5862" s="1">
        <v>7.327272727</v>
      </c>
      <c r="I5862" s="1">
        <v>5.02</v>
      </c>
      <c r="J5862" s="1">
        <v>2.669127</v>
      </c>
    </row>
    <row r="5863">
      <c r="A5863" s="1">
        <v>2025.0</v>
      </c>
      <c r="B5863" s="1" t="s">
        <v>460</v>
      </c>
      <c r="C5863" s="1">
        <v>519151.0</v>
      </c>
      <c r="D5863" s="1" t="s">
        <v>536</v>
      </c>
      <c r="E5863" s="1" t="s">
        <v>927</v>
      </c>
      <c r="F5863" s="1" t="s">
        <v>927</v>
      </c>
      <c r="G5863" s="1">
        <v>52.0</v>
      </c>
      <c r="H5863" s="1">
        <v>3.256565657</v>
      </c>
      <c r="I5863" s="1">
        <v>3.75</v>
      </c>
      <c r="J5863" s="1">
        <v>2.525969</v>
      </c>
    </row>
    <row r="5864">
      <c r="A5864" s="1">
        <v>2025.0</v>
      </c>
      <c r="B5864" s="1" t="s">
        <v>460</v>
      </c>
      <c r="C5864" s="1">
        <v>519151.0</v>
      </c>
      <c r="D5864" s="1" t="s">
        <v>533</v>
      </c>
      <c r="E5864" s="1" t="s">
        <v>927</v>
      </c>
      <c r="F5864" s="1" t="s">
        <v>927</v>
      </c>
      <c r="G5864" s="1">
        <v>82.0</v>
      </c>
      <c r="H5864" s="1">
        <v>5.135353535</v>
      </c>
      <c r="I5864" s="1">
        <v>5.18</v>
      </c>
      <c r="J5864" s="1">
        <v>1.551188</v>
      </c>
    </row>
    <row r="5865">
      <c r="A5865" s="1">
        <v>2025.0</v>
      </c>
      <c r="B5865" s="1" t="s">
        <v>305</v>
      </c>
      <c r="C5865" s="1">
        <v>669020.0</v>
      </c>
      <c r="D5865" s="1" t="s">
        <v>541</v>
      </c>
      <c r="E5865" s="1" t="s">
        <v>926</v>
      </c>
      <c r="F5865" s="1" t="s">
        <v>926</v>
      </c>
      <c r="G5865" s="1">
        <v>77.0</v>
      </c>
      <c r="H5865" s="1">
        <v>4.82199211</v>
      </c>
      <c r="I5865" s="1">
        <v>5.32</v>
      </c>
      <c r="J5865" s="1">
        <v>1.185781</v>
      </c>
    </row>
    <row r="5866">
      <c r="A5866" s="1">
        <v>2025.0</v>
      </c>
      <c r="B5866" s="1" t="s">
        <v>305</v>
      </c>
      <c r="C5866" s="1">
        <v>669020.0</v>
      </c>
      <c r="D5866" s="1" t="s">
        <v>537</v>
      </c>
      <c r="E5866" s="1" t="s">
        <v>926</v>
      </c>
      <c r="F5866" s="1" t="s">
        <v>926</v>
      </c>
      <c r="G5866" s="1">
        <v>131.0</v>
      </c>
      <c r="H5866" s="1">
        <v>8.203648915</v>
      </c>
      <c r="I5866" s="1">
        <v>4.92</v>
      </c>
      <c r="J5866" s="1">
        <v>3.126103</v>
      </c>
    </row>
    <row r="5867">
      <c r="A5867" s="1">
        <v>2025.0</v>
      </c>
      <c r="B5867" s="1" t="s">
        <v>305</v>
      </c>
      <c r="C5867" s="1">
        <v>669020.0</v>
      </c>
      <c r="D5867" s="1" t="s">
        <v>533</v>
      </c>
      <c r="E5867" s="1" t="s">
        <v>926</v>
      </c>
      <c r="F5867" s="1" t="s">
        <v>926</v>
      </c>
      <c r="G5867" s="1">
        <v>98.0</v>
      </c>
      <c r="H5867" s="1">
        <v>6.137080868</v>
      </c>
      <c r="I5867" s="1">
        <v>5.39</v>
      </c>
      <c r="J5867" s="1">
        <v>1.47504</v>
      </c>
    </row>
    <row r="5868">
      <c r="A5868" s="1">
        <v>2025.0</v>
      </c>
      <c r="B5868" s="1" t="s">
        <v>305</v>
      </c>
      <c r="C5868" s="1">
        <v>669020.0</v>
      </c>
      <c r="D5868" s="1" t="s">
        <v>532</v>
      </c>
      <c r="E5868" s="1" t="s">
        <v>926</v>
      </c>
      <c r="F5868" s="1" t="s">
        <v>927</v>
      </c>
      <c r="G5868" s="1">
        <v>23.0</v>
      </c>
      <c r="H5868" s="1">
        <v>1.440335306</v>
      </c>
      <c r="I5868" s="1">
        <v>4.71</v>
      </c>
      <c r="J5868" s="1">
        <v>0.648212</v>
      </c>
    </row>
    <row r="5869">
      <c r="A5869" s="1">
        <v>2025.0</v>
      </c>
      <c r="B5869" s="1" t="s">
        <v>305</v>
      </c>
      <c r="C5869" s="1">
        <v>669020.0</v>
      </c>
      <c r="D5869" s="1" t="s">
        <v>541</v>
      </c>
      <c r="E5869" s="1" t="s">
        <v>926</v>
      </c>
      <c r="F5869" s="1" t="s">
        <v>927</v>
      </c>
      <c r="G5869" s="1">
        <v>149.0</v>
      </c>
      <c r="H5869" s="1">
        <v>9.33086785</v>
      </c>
      <c r="I5869" s="1">
        <v>4.84</v>
      </c>
      <c r="J5869" s="1">
        <v>3.789016</v>
      </c>
    </row>
    <row r="5870">
      <c r="A5870" s="1">
        <v>2025.0</v>
      </c>
      <c r="B5870" s="1" t="s">
        <v>305</v>
      </c>
      <c r="C5870" s="1">
        <v>669020.0</v>
      </c>
      <c r="D5870" s="1" t="s">
        <v>537</v>
      </c>
      <c r="E5870" s="1" t="s">
        <v>926</v>
      </c>
      <c r="F5870" s="1" t="s">
        <v>927</v>
      </c>
      <c r="G5870" s="1">
        <v>184.0</v>
      </c>
      <c r="H5870" s="1">
        <v>11.52268245</v>
      </c>
      <c r="I5870" s="1">
        <v>4.75</v>
      </c>
      <c r="J5870" s="1">
        <v>5.101269</v>
      </c>
    </row>
    <row r="5871">
      <c r="A5871" s="1">
        <v>2025.0</v>
      </c>
      <c r="B5871" s="1" t="s">
        <v>305</v>
      </c>
      <c r="C5871" s="1">
        <v>669020.0</v>
      </c>
      <c r="D5871" s="1" t="s">
        <v>533</v>
      </c>
      <c r="E5871" s="1" t="s">
        <v>926</v>
      </c>
      <c r="F5871" s="1" t="s">
        <v>927</v>
      </c>
      <c r="G5871" s="1">
        <v>14.0</v>
      </c>
      <c r="H5871" s="1">
        <v>0.876725838</v>
      </c>
      <c r="I5871" s="1">
        <v>4.96</v>
      </c>
      <c r="J5871" s="1">
        <v>0.318209</v>
      </c>
    </row>
    <row r="5872">
      <c r="A5872" s="1">
        <v>2025.0</v>
      </c>
      <c r="B5872" s="1" t="s">
        <v>219</v>
      </c>
      <c r="C5872" s="1">
        <v>657044.0</v>
      </c>
      <c r="D5872" s="1" t="s">
        <v>537</v>
      </c>
      <c r="E5872" s="1" t="s">
        <v>927</v>
      </c>
      <c r="F5872" s="1" t="s">
        <v>926</v>
      </c>
      <c r="G5872" s="1">
        <v>35.0</v>
      </c>
      <c r="H5872" s="1">
        <v>2.225641026</v>
      </c>
      <c r="I5872" s="1">
        <v>4.55</v>
      </c>
      <c r="J5872" s="1">
        <v>1.113836</v>
      </c>
    </row>
    <row r="5873">
      <c r="A5873" s="1">
        <v>2025.0</v>
      </c>
      <c r="B5873" s="1" t="s">
        <v>219</v>
      </c>
      <c r="C5873" s="1">
        <v>657044.0</v>
      </c>
      <c r="D5873" s="1" t="s">
        <v>538</v>
      </c>
      <c r="E5873" s="1" t="s">
        <v>927</v>
      </c>
      <c r="F5873" s="1" t="s">
        <v>926</v>
      </c>
      <c r="G5873" s="1">
        <v>2.0</v>
      </c>
      <c r="H5873" s="1">
        <v>0.127179487</v>
      </c>
      <c r="I5873" s="1">
        <v>4.43</v>
      </c>
      <c r="J5873" s="1">
        <v>0.067191</v>
      </c>
    </row>
    <row r="5874">
      <c r="A5874" s="1">
        <v>2025.0</v>
      </c>
      <c r="B5874" s="1" t="s">
        <v>219</v>
      </c>
      <c r="C5874" s="1">
        <v>657044.0</v>
      </c>
      <c r="D5874" s="1" t="s">
        <v>536</v>
      </c>
      <c r="E5874" s="1" t="s">
        <v>927</v>
      </c>
      <c r="F5874" s="1" t="s">
        <v>926</v>
      </c>
      <c r="G5874" s="1">
        <v>155.0</v>
      </c>
      <c r="H5874" s="1">
        <v>9.856410256</v>
      </c>
      <c r="I5874" s="1">
        <v>4.88</v>
      </c>
      <c r="J5874" s="1">
        <v>3.820335</v>
      </c>
    </row>
    <row r="5875">
      <c r="A5875" s="1">
        <v>2025.0</v>
      </c>
      <c r="B5875" s="1" t="s">
        <v>219</v>
      </c>
      <c r="C5875" s="1">
        <v>657044.0</v>
      </c>
      <c r="D5875" s="1" t="s">
        <v>533</v>
      </c>
      <c r="E5875" s="1" t="s">
        <v>927</v>
      </c>
      <c r="F5875" s="1" t="s">
        <v>926</v>
      </c>
      <c r="G5875" s="1">
        <v>90.0</v>
      </c>
      <c r="H5875" s="1">
        <v>5.723076923</v>
      </c>
      <c r="I5875" s="1">
        <v>4.85</v>
      </c>
      <c r="J5875" s="1">
        <v>2.243579</v>
      </c>
    </row>
    <row r="5876">
      <c r="A5876" s="1">
        <v>2025.0</v>
      </c>
      <c r="B5876" s="1" t="s">
        <v>219</v>
      </c>
      <c r="C5876" s="1">
        <v>657044.0</v>
      </c>
      <c r="D5876" s="1" t="s">
        <v>537</v>
      </c>
      <c r="E5876" s="1" t="s">
        <v>927</v>
      </c>
      <c r="F5876" s="1" t="s">
        <v>927</v>
      </c>
      <c r="G5876" s="1">
        <v>15.0</v>
      </c>
      <c r="H5876" s="1">
        <v>0.953846154</v>
      </c>
      <c r="I5876" s="1">
        <v>3.74</v>
      </c>
      <c r="J5876" s="1">
        <v>0.687596</v>
      </c>
    </row>
    <row r="5877">
      <c r="A5877" s="1">
        <v>2025.0</v>
      </c>
      <c r="B5877" s="1" t="s">
        <v>219</v>
      </c>
      <c r="C5877" s="1">
        <v>657044.0</v>
      </c>
      <c r="D5877" s="1" t="s">
        <v>536</v>
      </c>
      <c r="E5877" s="1" t="s">
        <v>927</v>
      </c>
      <c r="F5877" s="1" t="s">
        <v>927</v>
      </c>
      <c r="G5877" s="1">
        <v>179.0</v>
      </c>
      <c r="H5877" s="1">
        <v>11.3825641</v>
      </c>
      <c r="I5877" s="1">
        <v>5.3</v>
      </c>
      <c r="J5877" s="1">
        <v>2.864427</v>
      </c>
    </row>
    <row r="5878">
      <c r="A5878" s="1">
        <v>2025.0</v>
      </c>
      <c r="B5878" s="1" t="s">
        <v>219</v>
      </c>
      <c r="C5878" s="1">
        <v>657044.0</v>
      </c>
      <c r="D5878" s="1" t="s">
        <v>533</v>
      </c>
      <c r="E5878" s="1" t="s">
        <v>927</v>
      </c>
      <c r="F5878" s="1" t="s">
        <v>927</v>
      </c>
      <c r="G5878" s="1">
        <v>174.0</v>
      </c>
      <c r="H5878" s="1">
        <v>11.06461538</v>
      </c>
      <c r="I5878" s="1">
        <v>5.21</v>
      </c>
      <c r="J5878" s="1">
        <v>2.937721</v>
      </c>
    </row>
    <row r="5879">
      <c r="A5879" s="1">
        <v>2025.0</v>
      </c>
      <c r="B5879" s="1" t="s">
        <v>403</v>
      </c>
      <c r="C5879" s="1">
        <v>676254.0</v>
      </c>
      <c r="D5879" s="1" t="s">
        <v>536</v>
      </c>
      <c r="E5879" s="1" t="s">
        <v>927</v>
      </c>
      <c r="F5879" s="1" t="s">
        <v>926</v>
      </c>
      <c r="G5879" s="1">
        <v>301.0</v>
      </c>
      <c r="H5879" s="1">
        <v>18.15273681</v>
      </c>
      <c r="I5879" s="1">
        <v>4.78</v>
      </c>
      <c r="J5879" s="1">
        <v>7.987147</v>
      </c>
    </row>
    <row r="5880">
      <c r="A5880" s="1">
        <v>2025.0</v>
      </c>
      <c r="B5880" s="1" t="s">
        <v>403</v>
      </c>
      <c r="C5880" s="1">
        <v>676254.0</v>
      </c>
      <c r="D5880" s="1" t="s">
        <v>533</v>
      </c>
      <c r="E5880" s="1" t="s">
        <v>927</v>
      </c>
      <c r="F5880" s="1" t="s">
        <v>926</v>
      </c>
      <c r="G5880" s="1">
        <v>173.0</v>
      </c>
      <c r="H5880" s="1">
        <v>10.43330056</v>
      </c>
      <c r="I5880" s="1">
        <v>4.72</v>
      </c>
      <c r="J5880" s="1">
        <v>4.71054</v>
      </c>
    </row>
    <row r="5881">
      <c r="A5881" s="1">
        <v>2025.0</v>
      </c>
      <c r="B5881" s="1" t="s">
        <v>403</v>
      </c>
      <c r="C5881" s="1">
        <v>676254.0</v>
      </c>
      <c r="D5881" s="1" t="s">
        <v>536</v>
      </c>
      <c r="E5881" s="1" t="s">
        <v>927</v>
      </c>
      <c r="F5881" s="1" t="s">
        <v>927</v>
      </c>
      <c r="G5881" s="1">
        <v>334.0</v>
      </c>
      <c r="H5881" s="1">
        <v>20.14290397</v>
      </c>
      <c r="I5881" s="1">
        <v>5.05</v>
      </c>
      <c r="J5881" s="1">
        <v>7.017654</v>
      </c>
    </row>
    <row r="5882">
      <c r="A5882" s="1">
        <v>2025.0</v>
      </c>
      <c r="B5882" s="1" t="s">
        <v>403</v>
      </c>
      <c r="C5882" s="1">
        <v>676254.0</v>
      </c>
      <c r="D5882" s="1" t="s">
        <v>533</v>
      </c>
      <c r="E5882" s="1" t="s">
        <v>927</v>
      </c>
      <c r="F5882" s="1" t="s">
        <v>927</v>
      </c>
      <c r="G5882" s="1">
        <v>209.0</v>
      </c>
      <c r="H5882" s="1">
        <v>12.604392</v>
      </c>
      <c r="I5882" s="1">
        <v>5.11</v>
      </c>
      <c r="J5882" s="1">
        <v>4.01044</v>
      </c>
    </row>
    <row r="5883">
      <c r="A5883" s="1">
        <v>2025.0</v>
      </c>
      <c r="B5883" s="1" t="s">
        <v>202</v>
      </c>
      <c r="C5883" s="1">
        <v>677960.0</v>
      </c>
      <c r="D5883" s="1" t="s">
        <v>532</v>
      </c>
      <c r="E5883" s="1" t="s">
        <v>926</v>
      </c>
      <c r="F5883" s="1" t="s">
        <v>926</v>
      </c>
      <c r="G5883" s="1">
        <v>23.0</v>
      </c>
      <c r="H5883" s="1">
        <v>1.373312565</v>
      </c>
      <c r="I5883" s="1">
        <v>5.24</v>
      </c>
      <c r="J5883" s="1">
        <v>0.39044</v>
      </c>
    </row>
    <row r="5884">
      <c r="A5884" s="1">
        <v>2025.0</v>
      </c>
      <c r="B5884" s="1" t="s">
        <v>202</v>
      </c>
      <c r="C5884" s="1">
        <v>677960.0</v>
      </c>
      <c r="D5884" s="1" t="s">
        <v>537</v>
      </c>
      <c r="E5884" s="1" t="s">
        <v>926</v>
      </c>
      <c r="F5884" s="1" t="s">
        <v>926</v>
      </c>
      <c r="G5884" s="1">
        <v>56.0</v>
      </c>
      <c r="H5884" s="1">
        <v>3.343717549</v>
      </c>
      <c r="I5884" s="1">
        <v>5.03</v>
      </c>
      <c r="J5884" s="1">
        <v>1.197151</v>
      </c>
    </row>
    <row r="5885">
      <c r="A5885" s="1">
        <v>2025.0</v>
      </c>
      <c r="B5885" s="1" t="s">
        <v>202</v>
      </c>
      <c r="C5885" s="1">
        <v>677960.0</v>
      </c>
      <c r="D5885" s="1" t="s">
        <v>536</v>
      </c>
      <c r="E5885" s="1" t="s">
        <v>926</v>
      </c>
      <c r="F5885" s="1" t="s">
        <v>926</v>
      </c>
      <c r="G5885" s="1">
        <v>9.0</v>
      </c>
      <c r="H5885" s="1">
        <v>0.537383178</v>
      </c>
      <c r="I5885" s="1">
        <v>5.5</v>
      </c>
      <c r="J5885" s="1">
        <v>0.108414</v>
      </c>
    </row>
    <row r="5886">
      <c r="A5886" s="1">
        <v>2025.0</v>
      </c>
      <c r="B5886" s="1" t="s">
        <v>202</v>
      </c>
      <c r="C5886" s="1">
        <v>677960.0</v>
      </c>
      <c r="D5886" s="1" t="s">
        <v>533</v>
      </c>
      <c r="E5886" s="1" t="s">
        <v>926</v>
      </c>
      <c r="F5886" s="1" t="s">
        <v>926</v>
      </c>
      <c r="G5886" s="1">
        <v>4.0</v>
      </c>
      <c r="H5886" s="1">
        <v>0.238836968</v>
      </c>
      <c r="I5886" s="1">
        <v>6.2</v>
      </c>
      <c r="J5886" s="1">
        <v>-0.021908</v>
      </c>
    </row>
    <row r="5887">
      <c r="A5887" s="1">
        <v>2025.0</v>
      </c>
      <c r="B5887" s="1" t="s">
        <v>202</v>
      </c>
      <c r="C5887" s="1">
        <v>677960.0</v>
      </c>
      <c r="D5887" s="1" t="s">
        <v>539</v>
      </c>
      <c r="E5887" s="1" t="s">
        <v>926</v>
      </c>
      <c r="F5887" s="1" t="s">
        <v>926</v>
      </c>
      <c r="G5887" s="1">
        <v>34.0</v>
      </c>
      <c r="H5887" s="1">
        <v>2.030114226</v>
      </c>
      <c r="I5887" s="1">
        <v>5.18</v>
      </c>
      <c r="J5887" s="1">
        <v>0.590182</v>
      </c>
    </row>
    <row r="5888">
      <c r="A5888" s="1">
        <v>2025.0</v>
      </c>
      <c r="B5888" s="1" t="s">
        <v>202</v>
      </c>
      <c r="C5888" s="1">
        <v>677960.0</v>
      </c>
      <c r="D5888" s="1" t="s">
        <v>532</v>
      </c>
      <c r="E5888" s="1" t="s">
        <v>926</v>
      </c>
      <c r="F5888" s="1" t="s">
        <v>927</v>
      </c>
      <c r="G5888" s="1">
        <v>165.0</v>
      </c>
      <c r="H5888" s="1">
        <v>9.852024922</v>
      </c>
      <c r="I5888" s="1">
        <v>4.81</v>
      </c>
      <c r="J5888" s="1">
        <v>4.227587</v>
      </c>
    </row>
    <row r="5889">
      <c r="A5889" s="1">
        <v>2025.0</v>
      </c>
      <c r="B5889" s="1" t="s">
        <v>202</v>
      </c>
      <c r="C5889" s="1">
        <v>677960.0</v>
      </c>
      <c r="D5889" s="1" t="s">
        <v>537</v>
      </c>
      <c r="E5889" s="1" t="s">
        <v>926</v>
      </c>
      <c r="F5889" s="1" t="s">
        <v>927</v>
      </c>
      <c r="G5889" s="1">
        <v>230.0</v>
      </c>
      <c r="H5889" s="1">
        <v>13.73312565</v>
      </c>
      <c r="I5889" s="1">
        <v>5.39</v>
      </c>
      <c r="J5889" s="1">
        <v>3.314492</v>
      </c>
    </row>
    <row r="5890">
      <c r="A5890" s="1">
        <v>2025.0</v>
      </c>
      <c r="B5890" s="1" t="s">
        <v>202</v>
      </c>
      <c r="C5890" s="1">
        <v>677960.0</v>
      </c>
      <c r="D5890" s="1" t="s">
        <v>536</v>
      </c>
      <c r="E5890" s="1" t="s">
        <v>926</v>
      </c>
      <c r="F5890" s="1" t="s">
        <v>927</v>
      </c>
      <c r="G5890" s="1">
        <v>16.0</v>
      </c>
      <c r="H5890" s="1">
        <v>0.955347871</v>
      </c>
      <c r="I5890" s="1">
        <v>4.62</v>
      </c>
      <c r="J5890" s="1">
        <v>0.496938</v>
      </c>
    </row>
    <row r="5891">
      <c r="A5891" s="1">
        <v>2025.0</v>
      </c>
      <c r="B5891" s="1" t="s">
        <v>202</v>
      </c>
      <c r="C5891" s="1">
        <v>677960.0</v>
      </c>
      <c r="D5891" s="1" t="s">
        <v>533</v>
      </c>
      <c r="E5891" s="1" t="s">
        <v>926</v>
      </c>
      <c r="F5891" s="1" t="s">
        <v>927</v>
      </c>
      <c r="G5891" s="1">
        <v>20.0</v>
      </c>
      <c r="H5891" s="1">
        <v>1.194184839</v>
      </c>
      <c r="I5891" s="1">
        <v>5.26</v>
      </c>
      <c r="J5891" s="1">
        <v>0.32589</v>
      </c>
    </row>
    <row r="5892">
      <c r="A5892" s="1">
        <v>2025.0</v>
      </c>
      <c r="B5892" s="1" t="s">
        <v>202</v>
      </c>
      <c r="C5892" s="1">
        <v>677960.0</v>
      </c>
      <c r="D5892" s="1" t="s">
        <v>539</v>
      </c>
      <c r="E5892" s="1" t="s">
        <v>926</v>
      </c>
      <c r="F5892" s="1" t="s">
        <v>927</v>
      </c>
      <c r="G5892" s="1">
        <v>85.0</v>
      </c>
      <c r="H5892" s="1">
        <v>5.075285566</v>
      </c>
      <c r="I5892" s="1">
        <v>4.99</v>
      </c>
      <c r="J5892" s="1">
        <v>1.846537</v>
      </c>
    </row>
    <row r="5893">
      <c r="A5893" s="1">
        <v>2025.0</v>
      </c>
      <c r="B5893" s="1" t="s">
        <v>192</v>
      </c>
      <c r="C5893" s="1">
        <v>642232.0</v>
      </c>
      <c r="D5893" s="1" t="s">
        <v>532</v>
      </c>
      <c r="E5893" s="1" t="s">
        <v>926</v>
      </c>
      <c r="F5893" s="1" t="s">
        <v>926</v>
      </c>
      <c r="G5893" s="1">
        <v>2.0</v>
      </c>
      <c r="H5893" s="1">
        <v>0.125860374</v>
      </c>
      <c r="I5893" s="1">
        <v>6.25</v>
      </c>
      <c r="J5893" s="1">
        <v>-0.015065</v>
      </c>
    </row>
    <row r="5894">
      <c r="A5894" s="1">
        <v>2025.0</v>
      </c>
      <c r="B5894" s="1" t="s">
        <v>192</v>
      </c>
      <c r="C5894" s="1">
        <v>642232.0</v>
      </c>
      <c r="D5894" s="1" t="s">
        <v>540</v>
      </c>
      <c r="E5894" s="1" t="s">
        <v>926</v>
      </c>
      <c r="F5894" s="1" t="s">
        <v>926</v>
      </c>
      <c r="G5894" s="1">
        <v>29.0</v>
      </c>
      <c r="H5894" s="1">
        <v>1.824975418</v>
      </c>
      <c r="I5894" s="1">
        <v>5.41</v>
      </c>
      <c r="J5894" s="1">
        <v>0.44264</v>
      </c>
    </row>
    <row r="5895">
      <c r="A5895" s="1">
        <v>2025.0</v>
      </c>
      <c r="B5895" s="1" t="s">
        <v>192</v>
      </c>
      <c r="C5895" s="1">
        <v>642232.0</v>
      </c>
      <c r="D5895" s="1" t="s">
        <v>537</v>
      </c>
      <c r="E5895" s="1" t="s">
        <v>926</v>
      </c>
      <c r="F5895" s="1" t="s">
        <v>926</v>
      </c>
      <c r="G5895" s="1">
        <v>36.0</v>
      </c>
      <c r="H5895" s="1">
        <v>2.265486726</v>
      </c>
      <c r="I5895" s="1">
        <v>5.29</v>
      </c>
      <c r="J5895" s="1">
        <v>0.589291</v>
      </c>
    </row>
    <row r="5896">
      <c r="A5896" s="1">
        <v>2025.0</v>
      </c>
      <c r="B5896" s="1" t="s">
        <v>192</v>
      </c>
      <c r="C5896" s="1">
        <v>642232.0</v>
      </c>
      <c r="D5896" s="1" t="s">
        <v>536</v>
      </c>
      <c r="E5896" s="1" t="s">
        <v>926</v>
      </c>
      <c r="F5896" s="1" t="s">
        <v>926</v>
      </c>
      <c r="G5896" s="1">
        <v>120.0</v>
      </c>
      <c r="H5896" s="1">
        <v>7.551622419</v>
      </c>
      <c r="I5896" s="1">
        <v>5.06</v>
      </c>
      <c r="J5896" s="1">
        <v>2.4628</v>
      </c>
    </row>
    <row r="5897">
      <c r="A5897" s="1">
        <v>2025.0</v>
      </c>
      <c r="B5897" s="1" t="s">
        <v>192</v>
      </c>
      <c r="C5897" s="1">
        <v>642232.0</v>
      </c>
      <c r="D5897" s="1" t="s">
        <v>533</v>
      </c>
      <c r="E5897" s="1" t="s">
        <v>926</v>
      </c>
      <c r="F5897" s="1" t="s">
        <v>926</v>
      </c>
      <c r="G5897" s="1">
        <v>1.0</v>
      </c>
      <c r="H5897" s="1">
        <v>0.062930187</v>
      </c>
      <c r="I5897" s="1">
        <v>6.66</v>
      </c>
      <c r="J5897" s="1">
        <v>-0.008735</v>
      </c>
    </row>
    <row r="5898">
      <c r="A5898" s="1">
        <v>2025.0</v>
      </c>
      <c r="B5898" s="1" t="s">
        <v>192</v>
      </c>
      <c r="C5898" s="1">
        <v>642232.0</v>
      </c>
      <c r="D5898" s="1" t="s">
        <v>539</v>
      </c>
      <c r="E5898" s="1" t="s">
        <v>926</v>
      </c>
      <c r="F5898" s="1" t="s">
        <v>926</v>
      </c>
      <c r="G5898" s="1">
        <v>115.0</v>
      </c>
      <c r="H5898" s="1">
        <v>7.236971485</v>
      </c>
      <c r="I5898" s="1">
        <v>5.65</v>
      </c>
      <c r="J5898" s="1">
        <v>1.000539</v>
      </c>
    </row>
    <row r="5899">
      <c r="A5899" s="1">
        <v>2025.0</v>
      </c>
      <c r="B5899" s="1" t="s">
        <v>192</v>
      </c>
      <c r="C5899" s="1">
        <v>642232.0</v>
      </c>
      <c r="D5899" s="1" t="s">
        <v>532</v>
      </c>
      <c r="E5899" s="1" t="s">
        <v>926</v>
      </c>
      <c r="F5899" s="1" t="s">
        <v>927</v>
      </c>
      <c r="G5899" s="1">
        <v>207.0</v>
      </c>
      <c r="H5899" s="1">
        <v>13.02654867</v>
      </c>
      <c r="I5899" s="1">
        <v>5.04</v>
      </c>
      <c r="J5899" s="1">
        <v>4.297648</v>
      </c>
    </row>
    <row r="5900">
      <c r="A5900" s="1">
        <v>2025.0</v>
      </c>
      <c r="B5900" s="1" t="s">
        <v>192</v>
      </c>
      <c r="C5900" s="1">
        <v>642232.0</v>
      </c>
      <c r="D5900" s="1" t="s">
        <v>540</v>
      </c>
      <c r="E5900" s="1" t="s">
        <v>926</v>
      </c>
      <c r="F5900" s="1" t="s">
        <v>927</v>
      </c>
      <c r="G5900" s="1">
        <v>234.0</v>
      </c>
      <c r="H5900" s="1">
        <v>14.72566372</v>
      </c>
      <c r="I5900" s="1">
        <v>5.04</v>
      </c>
      <c r="J5900" s="1">
        <v>5.073245</v>
      </c>
    </row>
    <row r="5901">
      <c r="A5901" s="1">
        <v>2025.0</v>
      </c>
      <c r="B5901" s="1" t="s">
        <v>192</v>
      </c>
      <c r="C5901" s="1">
        <v>642232.0</v>
      </c>
      <c r="D5901" s="1" t="s">
        <v>537</v>
      </c>
      <c r="E5901" s="1" t="s">
        <v>926</v>
      </c>
      <c r="F5901" s="1" t="s">
        <v>927</v>
      </c>
      <c r="G5901" s="1">
        <v>104.0</v>
      </c>
      <c r="H5901" s="1">
        <v>6.54473943</v>
      </c>
      <c r="I5901" s="1">
        <v>4.6</v>
      </c>
      <c r="J5901" s="1">
        <v>3.09952</v>
      </c>
    </row>
    <row r="5902">
      <c r="A5902" s="1">
        <v>2025.0</v>
      </c>
      <c r="B5902" s="1" t="s">
        <v>192</v>
      </c>
      <c r="C5902" s="1">
        <v>642232.0</v>
      </c>
      <c r="D5902" s="1" t="s">
        <v>536</v>
      </c>
      <c r="E5902" s="1" t="s">
        <v>926</v>
      </c>
      <c r="F5902" s="1" t="s">
        <v>927</v>
      </c>
      <c r="G5902" s="1">
        <v>88.0</v>
      </c>
      <c r="H5902" s="1">
        <v>5.537856441</v>
      </c>
      <c r="I5902" s="1">
        <v>4.94</v>
      </c>
      <c r="J5902" s="1">
        <v>2.065504</v>
      </c>
    </row>
    <row r="5903">
      <c r="A5903" s="1">
        <v>2025.0</v>
      </c>
      <c r="B5903" s="1" t="s">
        <v>192</v>
      </c>
      <c r="C5903" s="1">
        <v>642232.0</v>
      </c>
      <c r="D5903" s="1" t="s">
        <v>539</v>
      </c>
      <c r="E5903" s="1" t="s">
        <v>926</v>
      </c>
      <c r="F5903" s="1" t="s">
        <v>927</v>
      </c>
      <c r="G5903" s="1">
        <v>81.0</v>
      </c>
      <c r="H5903" s="1">
        <v>5.097345133</v>
      </c>
      <c r="I5903" s="1">
        <v>5.1</v>
      </c>
      <c r="J5903" s="1">
        <v>1.646433</v>
      </c>
    </row>
    <row r="5904">
      <c r="A5904" s="1">
        <v>2025.0</v>
      </c>
      <c r="B5904" s="1" t="s">
        <v>385</v>
      </c>
      <c r="C5904" s="1">
        <v>666171.0</v>
      </c>
      <c r="D5904" s="1" t="s">
        <v>540</v>
      </c>
      <c r="E5904" s="1" t="s">
        <v>927</v>
      </c>
      <c r="F5904" s="1" t="s">
        <v>926</v>
      </c>
      <c r="G5904" s="1">
        <v>108.0</v>
      </c>
      <c r="H5904" s="1">
        <v>5.982507289</v>
      </c>
      <c r="I5904" s="1">
        <v>4.96</v>
      </c>
      <c r="J5904" s="1">
        <v>2.620577</v>
      </c>
    </row>
    <row r="5905">
      <c r="A5905" s="1">
        <v>2025.0</v>
      </c>
      <c r="B5905" s="1" t="s">
        <v>385</v>
      </c>
      <c r="C5905" s="1">
        <v>666171.0</v>
      </c>
      <c r="D5905" s="1" t="s">
        <v>537</v>
      </c>
      <c r="E5905" s="1" t="s">
        <v>927</v>
      </c>
      <c r="F5905" s="1" t="s">
        <v>926</v>
      </c>
      <c r="G5905" s="1">
        <v>151.0</v>
      </c>
      <c r="H5905" s="1">
        <v>8.364431487</v>
      </c>
      <c r="I5905" s="1">
        <v>4.66</v>
      </c>
      <c r="J5905" s="1">
        <v>4.351553</v>
      </c>
    </row>
    <row r="5906">
      <c r="A5906" s="1">
        <v>2025.0</v>
      </c>
      <c r="B5906" s="1" t="s">
        <v>385</v>
      </c>
      <c r="C5906" s="1">
        <v>666171.0</v>
      </c>
      <c r="D5906" s="1" t="s">
        <v>536</v>
      </c>
      <c r="E5906" s="1" t="s">
        <v>927</v>
      </c>
      <c r="F5906" s="1" t="s">
        <v>926</v>
      </c>
      <c r="G5906" s="1">
        <v>1.0</v>
      </c>
      <c r="H5906" s="1">
        <v>0.055393586</v>
      </c>
      <c r="I5906" s="1">
        <v>4.29</v>
      </c>
      <c r="J5906" s="1">
        <v>0.029656</v>
      </c>
    </row>
    <row r="5907">
      <c r="A5907" s="1">
        <v>2025.0</v>
      </c>
      <c r="B5907" s="1" t="s">
        <v>385</v>
      </c>
      <c r="C5907" s="1">
        <v>666171.0</v>
      </c>
      <c r="D5907" s="1" t="s">
        <v>533</v>
      </c>
      <c r="E5907" s="1" t="s">
        <v>927</v>
      </c>
      <c r="F5907" s="1" t="s">
        <v>926</v>
      </c>
      <c r="G5907" s="1">
        <v>65.0</v>
      </c>
      <c r="H5907" s="1">
        <v>3.60058309</v>
      </c>
      <c r="I5907" s="1">
        <v>4.99</v>
      </c>
      <c r="J5907" s="1">
        <v>1.448744</v>
      </c>
    </row>
    <row r="5908">
      <c r="A5908" s="1">
        <v>2025.0</v>
      </c>
      <c r="B5908" s="1" t="s">
        <v>385</v>
      </c>
      <c r="C5908" s="1">
        <v>666171.0</v>
      </c>
      <c r="D5908" s="1" t="s">
        <v>539</v>
      </c>
      <c r="E5908" s="1" t="s">
        <v>927</v>
      </c>
      <c r="F5908" s="1" t="s">
        <v>926</v>
      </c>
      <c r="G5908" s="1">
        <v>107.0</v>
      </c>
      <c r="H5908" s="1">
        <v>5.927113703</v>
      </c>
      <c r="I5908" s="1">
        <v>5.15</v>
      </c>
      <c r="J5908" s="1">
        <v>1.970831</v>
      </c>
    </row>
    <row r="5909">
      <c r="A5909" s="1">
        <v>2025.0</v>
      </c>
      <c r="B5909" s="1" t="s">
        <v>385</v>
      </c>
      <c r="C5909" s="1">
        <v>666171.0</v>
      </c>
      <c r="D5909" s="1" t="s">
        <v>540</v>
      </c>
      <c r="E5909" s="1" t="s">
        <v>927</v>
      </c>
      <c r="F5909" s="1" t="s">
        <v>927</v>
      </c>
      <c r="G5909" s="1">
        <v>126.0</v>
      </c>
      <c r="H5909" s="1">
        <v>6.979591837</v>
      </c>
      <c r="I5909" s="1">
        <v>5.09</v>
      </c>
      <c r="J5909" s="1">
        <v>2.616427</v>
      </c>
    </row>
    <row r="5910">
      <c r="A5910" s="1">
        <v>2025.0</v>
      </c>
      <c r="B5910" s="1" t="s">
        <v>385</v>
      </c>
      <c r="C5910" s="1">
        <v>666171.0</v>
      </c>
      <c r="D5910" s="1" t="s">
        <v>537</v>
      </c>
      <c r="E5910" s="1" t="s">
        <v>927</v>
      </c>
      <c r="F5910" s="1" t="s">
        <v>927</v>
      </c>
      <c r="G5910" s="1">
        <v>173.0</v>
      </c>
      <c r="H5910" s="1">
        <v>9.583090379</v>
      </c>
      <c r="I5910" s="1">
        <v>4.58</v>
      </c>
      <c r="J5910" s="1">
        <v>5.308683</v>
      </c>
    </row>
    <row r="5911">
      <c r="A5911" s="1">
        <v>2025.0</v>
      </c>
      <c r="B5911" s="1" t="s">
        <v>385</v>
      </c>
      <c r="C5911" s="1">
        <v>666171.0</v>
      </c>
      <c r="D5911" s="1" t="s">
        <v>536</v>
      </c>
      <c r="E5911" s="1" t="s">
        <v>927</v>
      </c>
      <c r="F5911" s="1" t="s">
        <v>927</v>
      </c>
      <c r="G5911" s="1">
        <v>5.0</v>
      </c>
      <c r="H5911" s="1">
        <v>0.27696793</v>
      </c>
      <c r="I5911" s="1">
        <v>4.66</v>
      </c>
      <c r="J5911" s="1">
        <v>0.148821</v>
      </c>
    </row>
    <row r="5912">
      <c r="A5912" s="1">
        <v>2025.0</v>
      </c>
      <c r="B5912" s="1" t="s">
        <v>385</v>
      </c>
      <c r="C5912" s="1">
        <v>666171.0</v>
      </c>
      <c r="D5912" s="1" t="s">
        <v>533</v>
      </c>
      <c r="E5912" s="1" t="s">
        <v>927</v>
      </c>
      <c r="F5912" s="1" t="s">
        <v>927</v>
      </c>
      <c r="G5912" s="1">
        <v>113.0</v>
      </c>
      <c r="H5912" s="1">
        <v>6.259475219</v>
      </c>
      <c r="I5912" s="1">
        <v>5.33</v>
      </c>
      <c r="J5912" s="1">
        <v>1.756983</v>
      </c>
    </row>
    <row r="5913">
      <c r="A5913" s="1">
        <v>2025.0</v>
      </c>
      <c r="B5913" s="1" t="s">
        <v>385</v>
      </c>
      <c r="C5913" s="1">
        <v>666171.0</v>
      </c>
      <c r="D5913" s="1" t="s">
        <v>539</v>
      </c>
      <c r="E5913" s="1" t="s">
        <v>927</v>
      </c>
      <c r="F5913" s="1" t="s">
        <v>927</v>
      </c>
      <c r="G5913" s="1">
        <v>180.0</v>
      </c>
      <c r="H5913" s="1">
        <v>9.970845481</v>
      </c>
      <c r="I5913" s="1">
        <v>5.22</v>
      </c>
      <c r="J5913" s="1">
        <v>3.008328</v>
      </c>
    </row>
    <row r="5914">
      <c r="A5914" s="1">
        <v>2025.0</v>
      </c>
      <c r="B5914" s="1" t="s">
        <v>93</v>
      </c>
      <c r="C5914" s="1">
        <v>669194.0</v>
      </c>
      <c r="D5914" s="1" t="s">
        <v>532</v>
      </c>
      <c r="E5914" s="1" t="s">
        <v>927</v>
      </c>
      <c r="F5914" s="1" t="s">
        <v>926</v>
      </c>
      <c r="G5914" s="1">
        <v>69.0</v>
      </c>
      <c r="H5914" s="1">
        <v>4.3125</v>
      </c>
      <c r="I5914" s="1">
        <v>4.44</v>
      </c>
      <c r="J5914" s="1">
        <v>2.230346</v>
      </c>
    </row>
    <row r="5915">
      <c r="A5915" s="1">
        <v>2025.0</v>
      </c>
      <c r="B5915" s="1" t="s">
        <v>93</v>
      </c>
      <c r="C5915" s="1">
        <v>669194.0</v>
      </c>
      <c r="D5915" s="1" t="s">
        <v>541</v>
      </c>
      <c r="E5915" s="1" t="s">
        <v>927</v>
      </c>
      <c r="F5915" s="1" t="s">
        <v>926</v>
      </c>
      <c r="G5915" s="1">
        <v>167.0</v>
      </c>
      <c r="H5915" s="1">
        <v>10.4375</v>
      </c>
      <c r="I5915" s="1">
        <v>4.66</v>
      </c>
      <c r="J5915" s="1">
        <v>4.834619</v>
      </c>
    </row>
    <row r="5916">
      <c r="A5916" s="1">
        <v>2025.0</v>
      </c>
      <c r="B5916" s="1" t="s">
        <v>93</v>
      </c>
      <c r="C5916" s="1">
        <v>669194.0</v>
      </c>
      <c r="D5916" s="1" t="s">
        <v>540</v>
      </c>
      <c r="E5916" s="1" t="s">
        <v>927</v>
      </c>
      <c r="F5916" s="1" t="s">
        <v>926</v>
      </c>
      <c r="G5916" s="1">
        <v>147.0</v>
      </c>
      <c r="H5916" s="1">
        <v>9.1875</v>
      </c>
      <c r="I5916" s="1">
        <v>4.94</v>
      </c>
      <c r="J5916" s="1">
        <v>3.502128</v>
      </c>
    </row>
    <row r="5917">
      <c r="A5917" s="1">
        <v>2025.0</v>
      </c>
      <c r="B5917" s="1" t="s">
        <v>93</v>
      </c>
      <c r="C5917" s="1">
        <v>669194.0</v>
      </c>
      <c r="D5917" s="1" t="s">
        <v>537</v>
      </c>
      <c r="E5917" s="1" t="s">
        <v>927</v>
      </c>
      <c r="F5917" s="1" t="s">
        <v>926</v>
      </c>
      <c r="G5917" s="1">
        <v>702.0</v>
      </c>
      <c r="H5917" s="1">
        <v>43.875</v>
      </c>
      <c r="I5917" s="1">
        <v>5.38</v>
      </c>
      <c r="J5917" s="1">
        <v>10.232451</v>
      </c>
    </row>
    <row r="5918">
      <c r="A5918" s="1">
        <v>2025.0</v>
      </c>
      <c r="B5918" s="1" t="s">
        <v>93</v>
      </c>
      <c r="C5918" s="1">
        <v>669194.0</v>
      </c>
      <c r="D5918" s="1" t="s">
        <v>533</v>
      </c>
      <c r="E5918" s="1" t="s">
        <v>927</v>
      </c>
      <c r="F5918" s="1" t="s">
        <v>926</v>
      </c>
      <c r="G5918" s="1">
        <v>25.0</v>
      </c>
      <c r="H5918" s="1">
        <v>1.5625</v>
      </c>
      <c r="I5918" s="1">
        <v>4.94</v>
      </c>
      <c r="J5918" s="1">
        <v>0.556172</v>
      </c>
    </row>
    <row r="5919">
      <c r="A5919" s="1">
        <v>2025.0</v>
      </c>
      <c r="B5919" s="1" t="s">
        <v>93</v>
      </c>
      <c r="C5919" s="1">
        <v>669194.0</v>
      </c>
      <c r="D5919" s="1" t="s">
        <v>532</v>
      </c>
      <c r="E5919" s="1" t="s">
        <v>927</v>
      </c>
      <c r="F5919" s="1" t="s">
        <v>927</v>
      </c>
      <c r="G5919" s="1">
        <v>1.0</v>
      </c>
      <c r="H5919" s="1">
        <v>0.0625</v>
      </c>
      <c r="I5919" s="1">
        <v>2.84</v>
      </c>
      <c r="J5919" s="1">
        <v>0.064659</v>
      </c>
    </row>
    <row r="5920">
      <c r="A5920" s="1">
        <v>2025.0</v>
      </c>
      <c r="B5920" s="1" t="s">
        <v>93</v>
      </c>
      <c r="C5920" s="1">
        <v>669194.0</v>
      </c>
      <c r="D5920" s="1" t="s">
        <v>541</v>
      </c>
      <c r="E5920" s="1" t="s">
        <v>927</v>
      </c>
      <c r="F5920" s="1" t="s">
        <v>927</v>
      </c>
      <c r="G5920" s="1">
        <v>102.0</v>
      </c>
      <c r="H5920" s="1">
        <v>6.375</v>
      </c>
      <c r="I5920" s="1">
        <v>4.78</v>
      </c>
      <c r="J5920" s="1">
        <v>2.614596</v>
      </c>
    </row>
    <row r="5921">
      <c r="A5921" s="1">
        <v>2025.0</v>
      </c>
      <c r="B5921" s="1" t="s">
        <v>93</v>
      </c>
      <c r="C5921" s="1">
        <v>669194.0</v>
      </c>
      <c r="D5921" s="1" t="s">
        <v>540</v>
      </c>
      <c r="E5921" s="1" t="s">
        <v>927</v>
      </c>
      <c r="F5921" s="1" t="s">
        <v>927</v>
      </c>
      <c r="G5921" s="1">
        <v>155.0</v>
      </c>
      <c r="H5921" s="1">
        <v>9.6875</v>
      </c>
      <c r="I5921" s="1">
        <v>5.15</v>
      </c>
      <c r="J5921" s="1">
        <v>3.069574</v>
      </c>
    </row>
    <row r="5922">
      <c r="A5922" s="1">
        <v>2025.0</v>
      </c>
      <c r="B5922" s="1" t="s">
        <v>93</v>
      </c>
      <c r="C5922" s="1">
        <v>669194.0</v>
      </c>
      <c r="D5922" s="1" t="s">
        <v>537</v>
      </c>
      <c r="E5922" s="1" t="s">
        <v>927</v>
      </c>
      <c r="F5922" s="1" t="s">
        <v>927</v>
      </c>
      <c r="G5922" s="1">
        <v>823.0</v>
      </c>
      <c r="H5922" s="1">
        <v>51.4375</v>
      </c>
      <c r="I5922" s="1">
        <v>5.41</v>
      </c>
      <c r="J5922" s="1">
        <v>11.477008</v>
      </c>
    </row>
    <row r="5923">
      <c r="A5923" s="1">
        <v>2025.0</v>
      </c>
      <c r="B5923" s="1" t="s">
        <v>93</v>
      </c>
      <c r="C5923" s="1">
        <v>669194.0</v>
      </c>
      <c r="D5923" s="1" t="s">
        <v>533</v>
      </c>
      <c r="E5923" s="1" t="s">
        <v>927</v>
      </c>
      <c r="F5923" s="1" t="s">
        <v>927</v>
      </c>
      <c r="G5923" s="1">
        <v>273.0</v>
      </c>
      <c r="H5923" s="1">
        <v>17.0625</v>
      </c>
      <c r="I5923" s="1">
        <v>5.11</v>
      </c>
      <c r="J5923" s="1">
        <v>5.410729</v>
      </c>
    </row>
    <row r="5924">
      <c r="A5924" s="1">
        <v>2025.0</v>
      </c>
      <c r="B5924" s="1" t="s">
        <v>292</v>
      </c>
      <c r="C5924" s="1">
        <v>592773.0</v>
      </c>
      <c r="D5924" s="1" t="s">
        <v>537</v>
      </c>
      <c r="E5924" s="1" t="s">
        <v>927</v>
      </c>
      <c r="F5924" s="1" t="s">
        <v>926</v>
      </c>
      <c r="G5924" s="1">
        <v>285.0</v>
      </c>
      <c r="H5924" s="1">
        <v>15.01411101</v>
      </c>
      <c r="I5924" s="1">
        <v>5.21</v>
      </c>
      <c r="J5924" s="1">
        <v>5.141985</v>
      </c>
    </row>
    <row r="5925">
      <c r="A5925" s="1">
        <v>2025.0</v>
      </c>
      <c r="B5925" s="1" t="s">
        <v>292</v>
      </c>
      <c r="C5925" s="1">
        <v>592773.0</v>
      </c>
      <c r="D5925" s="1" t="s">
        <v>538</v>
      </c>
      <c r="E5925" s="1" t="s">
        <v>927</v>
      </c>
      <c r="F5925" s="1" t="s">
        <v>926</v>
      </c>
      <c r="G5925" s="1">
        <v>87.0</v>
      </c>
      <c r="H5925" s="1">
        <v>4.583254939</v>
      </c>
      <c r="I5925" s="1">
        <v>4.62</v>
      </c>
      <c r="J5925" s="1">
        <v>2.555601</v>
      </c>
    </row>
    <row r="5926">
      <c r="A5926" s="1">
        <v>2025.0</v>
      </c>
      <c r="B5926" s="1" t="s">
        <v>292</v>
      </c>
      <c r="C5926" s="1">
        <v>592773.0</v>
      </c>
      <c r="D5926" s="1" t="s">
        <v>533</v>
      </c>
      <c r="E5926" s="1" t="s">
        <v>927</v>
      </c>
      <c r="F5926" s="1" t="s">
        <v>926</v>
      </c>
      <c r="G5926" s="1">
        <v>72.0</v>
      </c>
      <c r="H5926" s="1">
        <v>3.79303857</v>
      </c>
      <c r="I5926" s="1">
        <v>4.93</v>
      </c>
      <c r="J5926" s="1">
        <v>1.66116</v>
      </c>
    </row>
    <row r="5927">
      <c r="A5927" s="1">
        <v>2025.0</v>
      </c>
      <c r="B5927" s="1" t="s">
        <v>292</v>
      </c>
      <c r="C5927" s="1">
        <v>592773.0</v>
      </c>
      <c r="D5927" s="1" t="s">
        <v>539</v>
      </c>
      <c r="E5927" s="1" t="s">
        <v>927</v>
      </c>
      <c r="F5927" s="1" t="s">
        <v>926</v>
      </c>
      <c r="G5927" s="1">
        <v>24.0</v>
      </c>
      <c r="H5927" s="1">
        <v>1.26434619</v>
      </c>
      <c r="I5927" s="1">
        <v>5.03</v>
      </c>
      <c r="J5927" s="1">
        <v>0.50032</v>
      </c>
    </row>
    <row r="5928">
      <c r="A5928" s="1">
        <v>2025.0</v>
      </c>
      <c r="B5928" s="1" t="s">
        <v>292</v>
      </c>
      <c r="C5928" s="1">
        <v>592773.0</v>
      </c>
      <c r="D5928" s="1" t="s">
        <v>537</v>
      </c>
      <c r="E5928" s="1" t="s">
        <v>927</v>
      </c>
      <c r="F5928" s="1" t="s">
        <v>927</v>
      </c>
      <c r="G5928" s="1">
        <v>322.0</v>
      </c>
      <c r="H5928" s="1">
        <v>16.96331138</v>
      </c>
      <c r="I5928" s="1">
        <v>5.36</v>
      </c>
      <c r="J5928" s="1">
        <v>4.826587</v>
      </c>
    </row>
    <row r="5929">
      <c r="A5929" s="1">
        <v>2025.0</v>
      </c>
      <c r="B5929" s="1" t="s">
        <v>292</v>
      </c>
      <c r="C5929" s="1">
        <v>592773.0</v>
      </c>
      <c r="D5929" s="1" t="s">
        <v>538</v>
      </c>
      <c r="E5929" s="1" t="s">
        <v>927</v>
      </c>
      <c r="F5929" s="1" t="s">
        <v>927</v>
      </c>
      <c r="G5929" s="1">
        <v>39.0</v>
      </c>
      <c r="H5929" s="1">
        <v>2.054562559</v>
      </c>
      <c r="I5929" s="1">
        <v>4.41</v>
      </c>
      <c r="J5929" s="1">
        <v>1.20856</v>
      </c>
    </row>
    <row r="5930">
      <c r="A5930" s="1">
        <v>2025.0</v>
      </c>
      <c r="B5930" s="1" t="s">
        <v>292</v>
      </c>
      <c r="C5930" s="1">
        <v>592773.0</v>
      </c>
      <c r="D5930" s="1" t="s">
        <v>536</v>
      </c>
      <c r="E5930" s="1" t="s">
        <v>927</v>
      </c>
      <c r="F5930" s="1" t="s">
        <v>927</v>
      </c>
      <c r="G5930" s="1">
        <v>1.0</v>
      </c>
      <c r="H5930" s="1">
        <v>0.052681091</v>
      </c>
      <c r="I5930" s="1">
        <v>5.31</v>
      </c>
      <c r="J5930" s="1">
        <v>0.012077</v>
      </c>
    </row>
    <row r="5931">
      <c r="A5931" s="1">
        <v>2025.0</v>
      </c>
      <c r="B5931" s="1" t="s">
        <v>292</v>
      </c>
      <c r="C5931" s="1">
        <v>592773.0</v>
      </c>
      <c r="D5931" s="1" t="s">
        <v>533</v>
      </c>
      <c r="E5931" s="1" t="s">
        <v>927</v>
      </c>
      <c r="F5931" s="1" t="s">
        <v>927</v>
      </c>
      <c r="G5931" s="1">
        <v>164.0</v>
      </c>
      <c r="H5931" s="1">
        <v>8.639698965</v>
      </c>
      <c r="I5931" s="1">
        <v>5.13</v>
      </c>
      <c r="J5931" s="1">
        <v>3.037098</v>
      </c>
    </row>
    <row r="5932">
      <c r="A5932" s="1">
        <v>2025.0</v>
      </c>
      <c r="B5932" s="1" t="s">
        <v>292</v>
      </c>
      <c r="C5932" s="1">
        <v>592773.0</v>
      </c>
      <c r="D5932" s="1" t="s">
        <v>539</v>
      </c>
      <c r="E5932" s="1" t="s">
        <v>927</v>
      </c>
      <c r="F5932" s="1" t="s">
        <v>927</v>
      </c>
      <c r="G5932" s="1">
        <v>69.0</v>
      </c>
      <c r="H5932" s="1">
        <v>3.634995296</v>
      </c>
      <c r="I5932" s="1">
        <v>5.06</v>
      </c>
      <c r="J5932" s="1">
        <v>1.409636</v>
      </c>
    </row>
    <row r="5933">
      <c r="A5933" s="1">
        <v>2025.0</v>
      </c>
      <c r="B5933" s="1" t="s">
        <v>617</v>
      </c>
      <c r="C5933" s="1">
        <v>691951.0</v>
      </c>
      <c r="D5933" s="1" t="s">
        <v>532</v>
      </c>
      <c r="E5933" s="1" t="s">
        <v>926</v>
      </c>
      <c r="F5933" s="1" t="s">
        <v>926</v>
      </c>
      <c r="G5933" s="1">
        <v>6.0</v>
      </c>
      <c r="H5933" s="1">
        <v>0.270627063</v>
      </c>
      <c r="I5933" s="1">
        <v>4.03</v>
      </c>
      <c r="J5933" s="1">
        <v>0.233316</v>
      </c>
    </row>
    <row r="5934">
      <c r="A5934" s="1">
        <v>2025.0</v>
      </c>
      <c r="B5934" s="1" t="s">
        <v>617</v>
      </c>
      <c r="C5934" s="1">
        <v>691951.0</v>
      </c>
      <c r="D5934" s="1" t="s">
        <v>541</v>
      </c>
      <c r="E5934" s="1" t="s">
        <v>926</v>
      </c>
      <c r="F5934" s="1" t="s">
        <v>926</v>
      </c>
      <c r="G5934" s="1">
        <v>10.0</v>
      </c>
      <c r="H5934" s="1">
        <v>0.451045105</v>
      </c>
      <c r="I5934" s="1">
        <v>5.41</v>
      </c>
      <c r="J5934" s="1">
        <v>0.123395</v>
      </c>
    </row>
    <row r="5935">
      <c r="A5935" s="1">
        <v>2025.0</v>
      </c>
      <c r="B5935" s="1" t="s">
        <v>617</v>
      </c>
      <c r="C5935" s="1">
        <v>691951.0</v>
      </c>
      <c r="D5935" s="1" t="s">
        <v>537</v>
      </c>
      <c r="E5935" s="1" t="s">
        <v>926</v>
      </c>
      <c r="F5935" s="1" t="s">
        <v>926</v>
      </c>
      <c r="G5935" s="1">
        <v>63.0</v>
      </c>
      <c r="H5935" s="1">
        <v>2.841584158</v>
      </c>
      <c r="I5935" s="1">
        <v>4.38</v>
      </c>
      <c r="J5935" s="1">
        <v>2.146153</v>
      </c>
    </row>
    <row r="5936">
      <c r="A5936" s="1">
        <v>2025.0</v>
      </c>
      <c r="B5936" s="1" t="s">
        <v>617</v>
      </c>
      <c r="C5936" s="1">
        <v>691951.0</v>
      </c>
      <c r="D5936" s="1" t="s">
        <v>533</v>
      </c>
      <c r="E5936" s="1" t="s">
        <v>926</v>
      </c>
      <c r="F5936" s="1" t="s">
        <v>926</v>
      </c>
      <c r="G5936" s="1">
        <v>33.0</v>
      </c>
      <c r="H5936" s="1">
        <v>1.488448845</v>
      </c>
      <c r="I5936" s="1">
        <v>4.92</v>
      </c>
      <c r="J5936" s="1">
        <v>0.744623</v>
      </c>
    </row>
    <row r="5937">
      <c r="A5937" s="1">
        <v>2025.0</v>
      </c>
      <c r="B5937" s="1" t="s">
        <v>617</v>
      </c>
      <c r="C5937" s="1">
        <v>691951.0</v>
      </c>
      <c r="D5937" s="1" t="s">
        <v>532</v>
      </c>
      <c r="E5937" s="1" t="s">
        <v>926</v>
      </c>
      <c r="F5937" s="1" t="s">
        <v>927</v>
      </c>
      <c r="G5937" s="1">
        <v>66.0</v>
      </c>
      <c r="H5937" s="1">
        <v>2.97689769</v>
      </c>
      <c r="I5937" s="1">
        <v>4.87</v>
      </c>
      <c r="J5937" s="1">
        <v>1.639262</v>
      </c>
    </row>
    <row r="5938">
      <c r="A5938" s="1">
        <v>2025.0</v>
      </c>
      <c r="B5938" s="1" t="s">
        <v>617</v>
      </c>
      <c r="C5938" s="1">
        <v>691951.0</v>
      </c>
      <c r="D5938" s="1" t="s">
        <v>541</v>
      </c>
      <c r="E5938" s="1" t="s">
        <v>926</v>
      </c>
      <c r="F5938" s="1" t="s">
        <v>927</v>
      </c>
      <c r="G5938" s="1">
        <v>25.0</v>
      </c>
      <c r="H5938" s="1">
        <v>1.127612761</v>
      </c>
      <c r="I5938" s="1">
        <v>4.25</v>
      </c>
      <c r="J5938" s="1">
        <v>0.932775</v>
      </c>
    </row>
    <row r="5939">
      <c r="A5939" s="1">
        <v>2025.0</v>
      </c>
      <c r="B5939" s="1" t="s">
        <v>617</v>
      </c>
      <c r="C5939" s="1">
        <v>691951.0</v>
      </c>
      <c r="D5939" s="1" t="s">
        <v>537</v>
      </c>
      <c r="E5939" s="1" t="s">
        <v>926</v>
      </c>
      <c r="F5939" s="1" t="s">
        <v>927</v>
      </c>
      <c r="G5939" s="1">
        <v>80.0</v>
      </c>
      <c r="H5939" s="1">
        <v>3.608360836</v>
      </c>
      <c r="I5939" s="1">
        <v>4.66</v>
      </c>
      <c r="J5939" s="1">
        <v>2.294868</v>
      </c>
    </row>
    <row r="5940">
      <c r="A5940" s="1">
        <v>2025.0</v>
      </c>
      <c r="B5940" s="1" t="s">
        <v>617</v>
      </c>
      <c r="C5940" s="1">
        <v>691951.0</v>
      </c>
      <c r="D5940" s="1" t="s">
        <v>533</v>
      </c>
      <c r="E5940" s="1" t="s">
        <v>926</v>
      </c>
      <c r="F5940" s="1" t="s">
        <v>927</v>
      </c>
      <c r="G5940" s="1">
        <v>20.0</v>
      </c>
      <c r="H5940" s="1">
        <v>0.902090209</v>
      </c>
      <c r="I5940" s="1">
        <v>3.83</v>
      </c>
      <c r="J5940" s="1">
        <v>0.892601</v>
      </c>
    </row>
    <row r="5941">
      <c r="A5941" s="1">
        <v>2025.0</v>
      </c>
      <c r="B5941" s="1" t="s">
        <v>877</v>
      </c>
      <c r="C5941" s="1">
        <v>696147.0</v>
      </c>
      <c r="D5941" s="1" t="s">
        <v>532</v>
      </c>
      <c r="E5941" s="1" t="s">
        <v>927</v>
      </c>
      <c r="F5941" s="1" t="s">
        <v>926</v>
      </c>
      <c r="G5941" s="1">
        <v>29.0</v>
      </c>
      <c r="H5941" s="1">
        <v>1.760199005</v>
      </c>
      <c r="I5941" s="1">
        <v>4.94</v>
      </c>
      <c r="J5941" s="1">
        <v>0.688518</v>
      </c>
    </row>
    <row r="5942">
      <c r="A5942" s="1">
        <v>2025.0</v>
      </c>
      <c r="B5942" s="1" t="s">
        <v>877</v>
      </c>
      <c r="C5942" s="1">
        <v>696147.0</v>
      </c>
      <c r="D5942" s="1" t="s">
        <v>537</v>
      </c>
      <c r="E5942" s="1" t="s">
        <v>927</v>
      </c>
      <c r="F5942" s="1" t="s">
        <v>926</v>
      </c>
      <c r="G5942" s="1">
        <v>4.0</v>
      </c>
      <c r="H5942" s="1">
        <v>0.24278607</v>
      </c>
      <c r="I5942" s="1">
        <v>1.89</v>
      </c>
      <c r="J5942" s="1">
        <v>0.348452</v>
      </c>
    </row>
    <row r="5943">
      <c r="A5943" s="1">
        <v>2025.0</v>
      </c>
      <c r="B5943" s="1" t="s">
        <v>877</v>
      </c>
      <c r="C5943" s="1">
        <v>696147.0</v>
      </c>
      <c r="D5943" s="1" t="s">
        <v>536</v>
      </c>
      <c r="E5943" s="1" t="s">
        <v>927</v>
      </c>
      <c r="F5943" s="1" t="s">
        <v>926</v>
      </c>
      <c r="G5943" s="1">
        <v>67.0</v>
      </c>
      <c r="H5943" s="1">
        <v>4.066666667</v>
      </c>
      <c r="I5943" s="1">
        <v>4.21</v>
      </c>
      <c r="J5943" s="1">
        <v>2.574205</v>
      </c>
    </row>
    <row r="5944">
      <c r="A5944" s="1">
        <v>2025.0</v>
      </c>
      <c r="B5944" s="1" t="s">
        <v>877</v>
      </c>
      <c r="C5944" s="1">
        <v>696147.0</v>
      </c>
      <c r="D5944" s="1" t="s">
        <v>533</v>
      </c>
      <c r="E5944" s="1" t="s">
        <v>927</v>
      </c>
      <c r="F5944" s="1" t="s">
        <v>926</v>
      </c>
      <c r="G5944" s="1">
        <v>66.0</v>
      </c>
      <c r="H5944" s="1">
        <v>4.005970149</v>
      </c>
      <c r="I5944" s="1">
        <v>5.39</v>
      </c>
      <c r="J5944" s="1">
        <v>0.949949</v>
      </c>
    </row>
    <row r="5945">
      <c r="A5945" s="1">
        <v>2025.0</v>
      </c>
      <c r="B5945" s="1" t="s">
        <v>877</v>
      </c>
      <c r="C5945" s="1">
        <v>696147.0</v>
      </c>
      <c r="D5945" s="1" t="s">
        <v>532</v>
      </c>
      <c r="E5945" s="1" t="s">
        <v>927</v>
      </c>
      <c r="F5945" s="1" t="s">
        <v>927</v>
      </c>
      <c r="G5945" s="1">
        <v>1.0</v>
      </c>
      <c r="H5945" s="1">
        <v>0.060696517</v>
      </c>
      <c r="I5945" s="1">
        <v>3.29</v>
      </c>
      <c r="J5945" s="1">
        <v>0.061162</v>
      </c>
    </row>
    <row r="5946">
      <c r="A5946" s="1">
        <v>2025.0</v>
      </c>
      <c r="B5946" s="1" t="s">
        <v>877</v>
      </c>
      <c r="C5946" s="1">
        <v>696147.0</v>
      </c>
      <c r="D5946" s="1" t="s">
        <v>536</v>
      </c>
      <c r="E5946" s="1" t="s">
        <v>927</v>
      </c>
      <c r="F5946" s="1" t="s">
        <v>927</v>
      </c>
      <c r="G5946" s="1">
        <v>49.0</v>
      </c>
      <c r="H5946" s="1">
        <v>2.974129353</v>
      </c>
      <c r="I5946" s="1">
        <v>5.41</v>
      </c>
      <c r="J5946" s="1">
        <v>0.721465</v>
      </c>
    </row>
    <row r="5947">
      <c r="A5947" s="1">
        <v>2025.0</v>
      </c>
      <c r="B5947" s="1" t="s">
        <v>877</v>
      </c>
      <c r="C5947" s="1">
        <v>696147.0</v>
      </c>
      <c r="D5947" s="1" t="s">
        <v>533</v>
      </c>
      <c r="E5947" s="1" t="s">
        <v>927</v>
      </c>
      <c r="F5947" s="1" t="s">
        <v>927</v>
      </c>
      <c r="G5947" s="1">
        <v>119.0</v>
      </c>
      <c r="H5947" s="1">
        <v>7.222885572</v>
      </c>
      <c r="I5947" s="1">
        <v>5.17</v>
      </c>
      <c r="J5947" s="1">
        <v>2.227034</v>
      </c>
    </row>
    <row r="5948">
      <c r="A5948" s="1">
        <v>2025.0</v>
      </c>
      <c r="B5948" s="1" t="s">
        <v>442</v>
      </c>
      <c r="C5948" s="1">
        <v>669674.0</v>
      </c>
      <c r="D5948" s="1" t="s">
        <v>541</v>
      </c>
      <c r="E5948" s="1" t="s">
        <v>926</v>
      </c>
      <c r="F5948" s="1" t="s">
        <v>926</v>
      </c>
      <c r="G5948" s="1">
        <v>38.0</v>
      </c>
      <c r="H5948" s="1">
        <v>1.949957591</v>
      </c>
      <c r="I5948" s="1">
        <v>4.41</v>
      </c>
      <c r="J5948" s="1">
        <v>1.260901</v>
      </c>
    </row>
    <row r="5949">
      <c r="A5949" s="1">
        <v>2025.0</v>
      </c>
      <c r="B5949" s="1" t="s">
        <v>442</v>
      </c>
      <c r="C5949" s="1">
        <v>669674.0</v>
      </c>
      <c r="D5949" s="1" t="s">
        <v>537</v>
      </c>
      <c r="E5949" s="1" t="s">
        <v>926</v>
      </c>
      <c r="F5949" s="1" t="s">
        <v>926</v>
      </c>
      <c r="G5949" s="1">
        <v>100.0</v>
      </c>
      <c r="H5949" s="1">
        <v>5.131467345</v>
      </c>
      <c r="I5949" s="1">
        <v>5.01</v>
      </c>
      <c r="J5949" s="1">
        <v>2.270247</v>
      </c>
    </row>
    <row r="5950">
      <c r="A5950" s="1">
        <v>2025.0</v>
      </c>
      <c r="B5950" s="1" t="s">
        <v>442</v>
      </c>
      <c r="C5950" s="1">
        <v>669674.0</v>
      </c>
      <c r="D5950" s="1" t="s">
        <v>538</v>
      </c>
      <c r="E5950" s="1" t="s">
        <v>926</v>
      </c>
      <c r="F5950" s="1" t="s">
        <v>926</v>
      </c>
      <c r="G5950" s="1">
        <v>1.0</v>
      </c>
      <c r="H5950" s="1">
        <v>0.051314673</v>
      </c>
      <c r="I5950" s="1">
        <v>3.59</v>
      </c>
      <c r="J5950" s="1">
        <v>0.050995</v>
      </c>
    </row>
    <row r="5951">
      <c r="A5951" s="1">
        <v>2025.0</v>
      </c>
      <c r="B5951" s="1" t="s">
        <v>442</v>
      </c>
      <c r="C5951" s="1">
        <v>669674.0</v>
      </c>
      <c r="D5951" s="1" t="s">
        <v>536</v>
      </c>
      <c r="E5951" s="1" t="s">
        <v>926</v>
      </c>
      <c r="F5951" s="1" t="s">
        <v>926</v>
      </c>
      <c r="G5951" s="1">
        <v>53.0</v>
      </c>
      <c r="H5951" s="1">
        <v>2.719677693</v>
      </c>
      <c r="I5951" s="1">
        <v>5.56</v>
      </c>
      <c r="J5951" s="1">
        <v>0.53276</v>
      </c>
    </row>
    <row r="5952">
      <c r="A5952" s="1">
        <v>2025.0</v>
      </c>
      <c r="B5952" s="1" t="s">
        <v>442</v>
      </c>
      <c r="C5952" s="1">
        <v>669674.0</v>
      </c>
      <c r="D5952" s="1" t="s">
        <v>533</v>
      </c>
      <c r="E5952" s="1" t="s">
        <v>926</v>
      </c>
      <c r="F5952" s="1" t="s">
        <v>926</v>
      </c>
      <c r="G5952" s="1">
        <v>115.0</v>
      </c>
      <c r="H5952" s="1">
        <v>5.901187447</v>
      </c>
      <c r="I5952" s="1">
        <v>5.01</v>
      </c>
      <c r="J5952" s="1">
        <v>2.550177</v>
      </c>
    </row>
    <row r="5953">
      <c r="A5953" s="1">
        <v>2025.0</v>
      </c>
      <c r="B5953" s="1" t="s">
        <v>442</v>
      </c>
      <c r="C5953" s="1">
        <v>669674.0</v>
      </c>
      <c r="D5953" s="1" t="s">
        <v>541</v>
      </c>
      <c r="E5953" s="1" t="s">
        <v>926</v>
      </c>
      <c r="F5953" s="1" t="s">
        <v>927</v>
      </c>
      <c r="G5953" s="1">
        <v>108.0</v>
      </c>
      <c r="H5953" s="1">
        <v>5.541984733</v>
      </c>
      <c r="I5953" s="1">
        <v>4.62</v>
      </c>
      <c r="J5953" s="1">
        <v>3.140527</v>
      </c>
    </row>
    <row r="5954">
      <c r="A5954" s="1">
        <v>2025.0</v>
      </c>
      <c r="B5954" s="1" t="s">
        <v>442</v>
      </c>
      <c r="C5954" s="1">
        <v>669674.0</v>
      </c>
      <c r="D5954" s="1" t="s">
        <v>537</v>
      </c>
      <c r="E5954" s="1" t="s">
        <v>926</v>
      </c>
      <c r="F5954" s="1" t="s">
        <v>927</v>
      </c>
      <c r="G5954" s="1">
        <v>179.0</v>
      </c>
      <c r="H5954" s="1">
        <v>9.185326548</v>
      </c>
      <c r="I5954" s="1">
        <v>4.73</v>
      </c>
      <c r="J5954" s="1">
        <v>4.969123</v>
      </c>
    </row>
    <row r="5955">
      <c r="A5955" s="1">
        <v>2025.0</v>
      </c>
      <c r="B5955" s="1" t="s">
        <v>442</v>
      </c>
      <c r="C5955" s="1">
        <v>669674.0</v>
      </c>
      <c r="D5955" s="1" t="s">
        <v>538</v>
      </c>
      <c r="E5955" s="1" t="s">
        <v>926</v>
      </c>
      <c r="F5955" s="1" t="s">
        <v>927</v>
      </c>
      <c r="G5955" s="1">
        <v>72.0</v>
      </c>
      <c r="H5955" s="1">
        <v>3.694656489</v>
      </c>
      <c r="I5955" s="1">
        <v>4.55</v>
      </c>
      <c r="J5955" s="1">
        <v>2.182495</v>
      </c>
    </row>
    <row r="5956">
      <c r="A5956" s="1">
        <v>2025.0</v>
      </c>
      <c r="B5956" s="1" t="s">
        <v>442</v>
      </c>
      <c r="C5956" s="1">
        <v>669674.0</v>
      </c>
      <c r="D5956" s="1" t="s">
        <v>536</v>
      </c>
      <c r="E5956" s="1" t="s">
        <v>926</v>
      </c>
      <c r="F5956" s="1" t="s">
        <v>927</v>
      </c>
      <c r="G5956" s="1">
        <v>30.0</v>
      </c>
      <c r="H5956" s="1">
        <v>1.539440204</v>
      </c>
      <c r="I5956" s="1">
        <v>4.73</v>
      </c>
      <c r="J5956" s="1">
        <v>0.842204</v>
      </c>
    </row>
    <row r="5957">
      <c r="A5957" s="1">
        <v>2025.0</v>
      </c>
      <c r="B5957" s="1" t="s">
        <v>442</v>
      </c>
      <c r="C5957" s="1">
        <v>669674.0</v>
      </c>
      <c r="D5957" s="1" t="s">
        <v>533</v>
      </c>
      <c r="E5957" s="1" t="s">
        <v>926</v>
      </c>
      <c r="F5957" s="1" t="s">
        <v>927</v>
      </c>
      <c r="G5957" s="1">
        <v>90.0</v>
      </c>
      <c r="H5957" s="1">
        <v>4.618320611</v>
      </c>
      <c r="I5957" s="1">
        <v>5.24</v>
      </c>
      <c r="J5957" s="1">
        <v>1.501917</v>
      </c>
    </row>
    <row r="5958">
      <c r="A5958" s="1">
        <v>2025.0</v>
      </c>
      <c r="B5958" s="1" t="s">
        <v>652</v>
      </c>
      <c r="C5958" s="1">
        <v>594580.0</v>
      </c>
      <c r="D5958" s="1" t="s">
        <v>537</v>
      </c>
      <c r="E5958" s="1" t="s">
        <v>926</v>
      </c>
      <c r="F5958" s="1" t="s">
        <v>926</v>
      </c>
      <c r="G5958" s="1">
        <v>31.0</v>
      </c>
      <c r="H5958" s="1">
        <v>1.71184739</v>
      </c>
      <c r="I5958" s="1">
        <v>4.72</v>
      </c>
      <c r="J5958" s="1">
        <v>0.843699</v>
      </c>
    </row>
    <row r="5959">
      <c r="A5959" s="1">
        <v>2025.0</v>
      </c>
      <c r="B5959" s="1" t="s">
        <v>652</v>
      </c>
      <c r="C5959" s="1">
        <v>594580.0</v>
      </c>
      <c r="D5959" s="1" t="s">
        <v>536</v>
      </c>
      <c r="E5959" s="1" t="s">
        <v>926</v>
      </c>
      <c r="F5959" s="1" t="s">
        <v>926</v>
      </c>
      <c r="G5959" s="1">
        <v>40.0</v>
      </c>
      <c r="H5959" s="1">
        <v>2.208835341</v>
      </c>
      <c r="I5959" s="1">
        <v>5.06</v>
      </c>
      <c r="J5959" s="1">
        <v>0.855959</v>
      </c>
    </row>
    <row r="5960">
      <c r="A5960" s="1">
        <v>2025.0</v>
      </c>
      <c r="B5960" s="1" t="s">
        <v>652</v>
      </c>
      <c r="C5960" s="1">
        <v>594580.0</v>
      </c>
      <c r="D5960" s="1" t="s">
        <v>539</v>
      </c>
      <c r="E5960" s="1" t="s">
        <v>926</v>
      </c>
      <c r="F5960" s="1" t="s">
        <v>926</v>
      </c>
      <c r="G5960" s="1">
        <v>116.0</v>
      </c>
      <c r="H5960" s="1">
        <v>6.40562249</v>
      </c>
      <c r="I5960" s="1">
        <v>5.11</v>
      </c>
      <c r="J5960" s="1">
        <v>2.309698</v>
      </c>
    </row>
    <row r="5961">
      <c r="A5961" s="1">
        <v>2025.0</v>
      </c>
      <c r="B5961" s="1" t="s">
        <v>652</v>
      </c>
      <c r="C5961" s="1">
        <v>594580.0</v>
      </c>
      <c r="D5961" s="1" t="s">
        <v>532</v>
      </c>
      <c r="E5961" s="1" t="s">
        <v>926</v>
      </c>
      <c r="F5961" s="1" t="s">
        <v>927</v>
      </c>
      <c r="G5961" s="1">
        <v>36.0</v>
      </c>
      <c r="H5961" s="1">
        <v>1.987951807</v>
      </c>
      <c r="I5961" s="1">
        <v>4.41</v>
      </c>
      <c r="J5961" s="1">
        <v>1.205349</v>
      </c>
    </row>
    <row r="5962">
      <c r="A5962" s="1">
        <v>2025.0</v>
      </c>
      <c r="B5962" s="1" t="s">
        <v>652</v>
      </c>
      <c r="C5962" s="1">
        <v>594580.0</v>
      </c>
      <c r="D5962" s="1" t="s">
        <v>537</v>
      </c>
      <c r="E5962" s="1" t="s">
        <v>926</v>
      </c>
      <c r="F5962" s="1" t="s">
        <v>927</v>
      </c>
      <c r="G5962" s="1">
        <v>38.0</v>
      </c>
      <c r="H5962" s="1">
        <v>2.098393574</v>
      </c>
      <c r="I5962" s="1">
        <v>4.53</v>
      </c>
      <c r="J5962" s="1">
        <v>1.182812</v>
      </c>
    </row>
    <row r="5963">
      <c r="A5963" s="1">
        <v>2025.0</v>
      </c>
      <c r="B5963" s="1" t="s">
        <v>652</v>
      </c>
      <c r="C5963" s="1">
        <v>594580.0</v>
      </c>
      <c r="D5963" s="1" t="s">
        <v>536</v>
      </c>
      <c r="E5963" s="1" t="s">
        <v>926</v>
      </c>
      <c r="F5963" s="1" t="s">
        <v>927</v>
      </c>
      <c r="G5963" s="1">
        <v>39.0</v>
      </c>
      <c r="H5963" s="1">
        <v>2.153614458</v>
      </c>
      <c r="I5963" s="1">
        <v>4.57</v>
      </c>
      <c r="J5963" s="1">
        <v>1.244494</v>
      </c>
    </row>
    <row r="5964">
      <c r="A5964" s="1">
        <v>2025.0</v>
      </c>
      <c r="B5964" s="1" t="s">
        <v>652</v>
      </c>
      <c r="C5964" s="1">
        <v>594580.0</v>
      </c>
      <c r="D5964" s="1" t="s">
        <v>539</v>
      </c>
      <c r="E5964" s="1" t="s">
        <v>926</v>
      </c>
      <c r="F5964" s="1" t="s">
        <v>927</v>
      </c>
      <c r="G5964" s="1">
        <v>32.0</v>
      </c>
      <c r="H5964" s="1">
        <v>1.767068273</v>
      </c>
      <c r="I5964" s="1">
        <v>4.95</v>
      </c>
      <c r="J5964" s="1">
        <v>0.713428</v>
      </c>
    </row>
    <row r="5965">
      <c r="A5965" s="1">
        <v>2025.0</v>
      </c>
      <c r="B5965" s="1" t="s">
        <v>1009</v>
      </c>
      <c r="C5965" s="1">
        <v>671111.0</v>
      </c>
      <c r="D5965" s="1" t="s">
        <v>536</v>
      </c>
      <c r="E5965" s="1" t="s">
        <v>926</v>
      </c>
      <c r="F5965" s="1" t="s">
        <v>926</v>
      </c>
      <c r="G5965" s="1">
        <v>24.0</v>
      </c>
      <c r="H5965" s="1">
        <v>1.673202614</v>
      </c>
      <c r="I5965" s="1">
        <v>5.01</v>
      </c>
      <c r="J5965" s="1">
        <v>0.482233</v>
      </c>
    </row>
    <row r="5966">
      <c r="A5966" s="1">
        <v>2025.0</v>
      </c>
      <c r="B5966" s="1" t="s">
        <v>1009</v>
      </c>
      <c r="C5966" s="1">
        <v>671111.0</v>
      </c>
      <c r="D5966" s="1" t="s">
        <v>533</v>
      </c>
      <c r="E5966" s="1" t="s">
        <v>926</v>
      </c>
      <c r="F5966" s="1" t="s">
        <v>926</v>
      </c>
      <c r="G5966" s="1">
        <v>36.0</v>
      </c>
      <c r="H5966" s="1">
        <v>2.509803922</v>
      </c>
      <c r="I5966" s="1">
        <v>5.06</v>
      </c>
      <c r="J5966" s="1">
        <v>0.728131</v>
      </c>
    </row>
    <row r="5967">
      <c r="A5967" s="1">
        <v>2025.0</v>
      </c>
      <c r="B5967" s="1" t="s">
        <v>1009</v>
      </c>
      <c r="C5967" s="1">
        <v>671111.0</v>
      </c>
      <c r="D5967" s="1" t="s">
        <v>539</v>
      </c>
      <c r="E5967" s="1" t="s">
        <v>926</v>
      </c>
      <c r="F5967" s="1" t="s">
        <v>926</v>
      </c>
      <c r="G5967" s="1">
        <v>1.0</v>
      </c>
      <c r="H5967" s="1">
        <v>0.069716776</v>
      </c>
      <c r="I5967" s="1">
        <v>6.55</v>
      </c>
      <c r="J5967" s="1">
        <v>-0.009704</v>
      </c>
    </row>
    <row r="5968">
      <c r="A5968" s="1">
        <v>2025.0</v>
      </c>
      <c r="B5968" s="1" t="s">
        <v>1009</v>
      </c>
      <c r="C5968" s="1">
        <v>671111.0</v>
      </c>
      <c r="D5968" s="1" t="s">
        <v>532</v>
      </c>
      <c r="E5968" s="1" t="s">
        <v>926</v>
      </c>
      <c r="F5968" s="1" t="s">
        <v>927</v>
      </c>
      <c r="G5968" s="1">
        <v>16.0</v>
      </c>
      <c r="H5968" s="1">
        <v>1.11546841</v>
      </c>
      <c r="I5968" s="1">
        <v>4.95</v>
      </c>
      <c r="J5968" s="1">
        <v>0.352066</v>
      </c>
    </row>
    <row r="5969">
      <c r="A5969" s="1">
        <v>2025.0</v>
      </c>
      <c r="B5969" s="1" t="s">
        <v>1009</v>
      </c>
      <c r="C5969" s="1">
        <v>671111.0</v>
      </c>
      <c r="D5969" s="1" t="s">
        <v>537</v>
      </c>
      <c r="E5969" s="1" t="s">
        <v>926</v>
      </c>
      <c r="F5969" s="1" t="s">
        <v>927</v>
      </c>
      <c r="G5969" s="1">
        <v>11.0</v>
      </c>
      <c r="H5969" s="1">
        <v>0.766884532</v>
      </c>
      <c r="I5969" s="1">
        <v>4.74</v>
      </c>
      <c r="J5969" s="1">
        <v>0.290628</v>
      </c>
    </row>
    <row r="5970">
      <c r="A5970" s="1">
        <v>2025.0</v>
      </c>
      <c r="B5970" s="1" t="s">
        <v>1009</v>
      </c>
      <c r="C5970" s="1">
        <v>671111.0</v>
      </c>
      <c r="D5970" s="1" t="s">
        <v>536</v>
      </c>
      <c r="E5970" s="1" t="s">
        <v>926</v>
      </c>
      <c r="F5970" s="1" t="s">
        <v>927</v>
      </c>
      <c r="G5970" s="1">
        <v>27.0</v>
      </c>
      <c r="H5970" s="1">
        <v>1.882352941</v>
      </c>
      <c r="I5970" s="1">
        <v>4.99</v>
      </c>
      <c r="J5970" s="1">
        <v>0.625232</v>
      </c>
    </row>
    <row r="5971">
      <c r="A5971" s="1">
        <v>2025.0</v>
      </c>
      <c r="B5971" s="1" t="s">
        <v>1009</v>
      </c>
      <c r="C5971" s="1">
        <v>671111.0</v>
      </c>
      <c r="D5971" s="1" t="s">
        <v>533</v>
      </c>
      <c r="E5971" s="1" t="s">
        <v>926</v>
      </c>
      <c r="F5971" s="1" t="s">
        <v>927</v>
      </c>
      <c r="G5971" s="1">
        <v>37.0</v>
      </c>
      <c r="H5971" s="1">
        <v>2.579520697</v>
      </c>
      <c r="I5971" s="1">
        <v>5.32</v>
      </c>
      <c r="J5971" s="1">
        <v>0.560664</v>
      </c>
    </row>
    <row r="5972">
      <c r="A5972" s="1">
        <v>2025.0</v>
      </c>
      <c r="B5972" s="1" t="s">
        <v>1009</v>
      </c>
      <c r="C5972" s="1">
        <v>671111.0</v>
      </c>
      <c r="D5972" s="1" t="s">
        <v>539</v>
      </c>
      <c r="E5972" s="1" t="s">
        <v>926</v>
      </c>
      <c r="F5972" s="1" t="s">
        <v>927</v>
      </c>
      <c r="G5972" s="1">
        <v>1.0</v>
      </c>
      <c r="H5972" s="1">
        <v>0.069716776</v>
      </c>
      <c r="I5972" s="1">
        <v>6.43</v>
      </c>
      <c r="J5972" s="1">
        <v>-0.00792</v>
      </c>
    </row>
    <row r="5973">
      <c r="A5973" s="1">
        <v>2025.0</v>
      </c>
      <c r="B5973" s="1" t="s">
        <v>229</v>
      </c>
      <c r="C5973" s="1">
        <v>645261.0</v>
      </c>
      <c r="D5973" s="1" t="s">
        <v>532</v>
      </c>
      <c r="E5973" s="1" t="s">
        <v>927</v>
      </c>
      <c r="F5973" s="1" t="s">
        <v>926</v>
      </c>
      <c r="G5973" s="1">
        <v>364.0</v>
      </c>
      <c r="H5973" s="1">
        <v>22.00715357</v>
      </c>
      <c r="I5973" s="1">
        <v>4.91</v>
      </c>
      <c r="J5973" s="1">
        <v>8.393297</v>
      </c>
    </row>
    <row r="5974">
      <c r="A5974" s="1">
        <v>2025.0</v>
      </c>
      <c r="B5974" s="1" t="s">
        <v>229</v>
      </c>
      <c r="C5974" s="1">
        <v>645261.0</v>
      </c>
      <c r="D5974" s="1" t="s">
        <v>541</v>
      </c>
      <c r="E5974" s="1" t="s">
        <v>927</v>
      </c>
      <c r="F5974" s="1" t="s">
        <v>926</v>
      </c>
      <c r="G5974" s="1">
        <v>220.0</v>
      </c>
      <c r="H5974" s="1">
        <v>13.30102688</v>
      </c>
      <c r="I5974" s="1">
        <v>4.75</v>
      </c>
      <c r="J5974" s="1">
        <v>5.854682</v>
      </c>
    </row>
    <row r="5975">
      <c r="A5975" s="1">
        <v>2025.0</v>
      </c>
      <c r="B5975" s="1" t="s">
        <v>229</v>
      </c>
      <c r="C5975" s="1">
        <v>645261.0</v>
      </c>
      <c r="D5975" s="1" t="s">
        <v>537</v>
      </c>
      <c r="E5975" s="1" t="s">
        <v>927</v>
      </c>
      <c r="F5975" s="1" t="s">
        <v>926</v>
      </c>
      <c r="G5975" s="1">
        <v>298.0</v>
      </c>
      <c r="H5975" s="1">
        <v>18.01684551</v>
      </c>
      <c r="I5975" s="1">
        <v>4.85</v>
      </c>
      <c r="J5975" s="1">
        <v>7.322092</v>
      </c>
    </row>
    <row r="5976">
      <c r="A5976" s="1">
        <v>2025.0</v>
      </c>
      <c r="B5976" s="1" t="s">
        <v>229</v>
      </c>
      <c r="C5976" s="1">
        <v>645261.0</v>
      </c>
      <c r="D5976" s="1" t="s">
        <v>536</v>
      </c>
      <c r="E5976" s="1" t="s">
        <v>927</v>
      </c>
      <c r="F5976" s="1" t="s">
        <v>926</v>
      </c>
      <c r="G5976" s="1">
        <v>300.0</v>
      </c>
      <c r="H5976" s="1">
        <v>18.13776393</v>
      </c>
      <c r="I5976" s="1">
        <v>5.11</v>
      </c>
      <c r="J5976" s="1">
        <v>5.930559</v>
      </c>
    </row>
    <row r="5977">
      <c r="A5977" s="1">
        <v>2025.0</v>
      </c>
      <c r="B5977" s="1" t="s">
        <v>229</v>
      </c>
      <c r="C5977" s="1">
        <v>645261.0</v>
      </c>
      <c r="D5977" s="1" t="s">
        <v>533</v>
      </c>
      <c r="E5977" s="1" t="s">
        <v>927</v>
      </c>
      <c r="F5977" s="1" t="s">
        <v>926</v>
      </c>
      <c r="G5977" s="1">
        <v>283.0</v>
      </c>
      <c r="H5977" s="1">
        <v>17.10995731</v>
      </c>
      <c r="I5977" s="1">
        <v>5.04</v>
      </c>
      <c r="J5977" s="1">
        <v>6.020809</v>
      </c>
    </row>
    <row r="5978">
      <c r="A5978" s="1">
        <v>2025.0</v>
      </c>
      <c r="B5978" s="1" t="s">
        <v>229</v>
      </c>
      <c r="C5978" s="1">
        <v>645261.0</v>
      </c>
      <c r="D5978" s="1" t="s">
        <v>532</v>
      </c>
      <c r="E5978" s="1" t="s">
        <v>927</v>
      </c>
      <c r="F5978" s="1" t="s">
        <v>927</v>
      </c>
      <c r="G5978" s="1">
        <v>306.0</v>
      </c>
      <c r="H5978" s="1">
        <v>18.50051921</v>
      </c>
      <c r="I5978" s="1">
        <v>5.23</v>
      </c>
      <c r="J5978" s="1">
        <v>5.241036</v>
      </c>
    </row>
    <row r="5979">
      <c r="A5979" s="1">
        <v>2025.0</v>
      </c>
      <c r="B5979" s="1" t="s">
        <v>229</v>
      </c>
      <c r="C5979" s="1">
        <v>645261.0</v>
      </c>
      <c r="D5979" s="1" t="s">
        <v>541</v>
      </c>
      <c r="E5979" s="1" t="s">
        <v>927</v>
      </c>
      <c r="F5979" s="1" t="s">
        <v>927</v>
      </c>
      <c r="G5979" s="1">
        <v>300.0</v>
      </c>
      <c r="H5979" s="1">
        <v>18.13776393</v>
      </c>
      <c r="I5979" s="1">
        <v>5.04</v>
      </c>
      <c r="J5979" s="1">
        <v>6.119227</v>
      </c>
    </row>
    <row r="5980">
      <c r="A5980" s="1">
        <v>2025.0</v>
      </c>
      <c r="B5980" s="1" t="s">
        <v>229</v>
      </c>
      <c r="C5980" s="1">
        <v>645261.0</v>
      </c>
      <c r="D5980" s="1" t="s">
        <v>537</v>
      </c>
      <c r="E5980" s="1" t="s">
        <v>927</v>
      </c>
      <c r="F5980" s="1" t="s">
        <v>927</v>
      </c>
      <c r="G5980" s="1">
        <v>224.0</v>
      </c>
      <c r="H5980" s="1">
        <v>13.54286374</v>
      </c>
      <c r="I5980" s="1">
        <v>4.67</v>
      </c>
      <c r="J5980" s="1">
        <v>6.233139</v>
      </c>
    </row>
    <row r="5981">
      <c r="A5981" s="1">
        <v>2025.0</v>
      </c>
      <c r="B5981" s="1" t="s">
        <v>229</v>
      </c>
      <c r="C5981" s="1">
        <v>645261.0</v>
      </c>
      <c r="D5981" s="1" t="s">
        <v>536</v>
      </c>
      <c r="E5981" s="1" t="s">
        <v>927</v>
      </c>
      <c r="F5981" s="1" t="s">
        <v>927</v>
      </c>
      <c r="G5981" s="1">
        <v>421.0</v>
      </c>
      <c r="H5981" s="1">
        <v>25.45332872</v>
      </c>
      <c r="I5981" s="1">
        <v>5.6</v>
      </c>
      <c r="J5981" s="1">
        <v>4.161769</v>
      </c>
    </row>
    <row r="5982">
      <c r="A5982" s="1">
        <v>2025.0</v>
      </c>
      <c r="B5982" s="1" t="s">
        <v>229</v>
      </c>
      <c r="C5982" s="1">
        <v>645261.0</v>
      </c>
      <c r="D5982" s="1" t="s">
        <v>533</v>
      </c>
      <c r="E5982" s="1" t="s">
        <v>927</v>
      </c>
      <c r="F5982" s="1" t="s">
        <v>927</v>
      </c>
      <c r="G5982" s="1">
        <v>173.0</v>
      </c>
      <c r="H5982" s="1">
        <v>10.45944387</v>
      </c>
      <c r="I5982" s="1">
        <v>5.08</v>
      </c>
      <c r="J5982" s="1">
        <v>3.479754</v>
      </c>
    </row>
    <row r="5983">
      <c r="A5983" s="1">
        <v>2025.0</v>
      </c>
      <c r="B5983" s="1" t="s">
        <v>732</v>
      </c>
      <c r="C5983" s="1">
        <v>666659.0</v>
      </c>
      <c r="D5983" s="1" t="s">
        <v>532</v>
      </c>
      <c r="E5983" s="1" t="s">
        <v>927</v>
      </c>
      <c r="F5983" s="1" t="s">
        <v>926</v>
      </c>
      <c r="G5983" s="1">
        <v>11.0</v>
      </c>
      <c r="H5983" s="1">
        <v>0.654054054</v>
      </c>
      <c r="I5983" s="1">
        <v>4.48</v>
      </c>
      <c r="J5983" s="1">
        <v>0.388026</v>
      </c>
    </row>
    <row r="5984">
      <c r="A5984" s="1">
        <v>2025.0</v>
      </c>
      <c r="B5984" s="1" t="s">
        <v>732</v>
      </c>
      <c r="C5984" s="1">
        <v>666659.0</v>
      </c>
      <c r="D5984" s="1" t="s">
        <v>537</v>
      </c>
      <c r="E5984" s="1" t="s">
        <v>927</v>
      </c>
      <c r="F5984" s="1" t="s">
        <v>926</v>
      </c>
      <c r="G5984" s="1">
        <v>31.0</v>
      </c>
      <c r="H5984" s="1">
        <v>1.843243243</v>
      </c>
      <c r="I5984" s="1">
        <v>4.68</v>
      </c>
      <c r="J5984" s="1">
        <v>0.906358</v>
      </c>
    </row>
    <row r="5985">
      <c r="A5985" s="1">
        <v>2025.0</v>
      </c>
      <c r="B5985" s="1" t="s">
        <v>732</v>
      </c>
      <c r="C5985" s="1">
        <v>666659.0</v>
      </c>
      <c r="D5985" s="1" t="s">
        <v>536</v>
      </c>
      <c r="E5985" s="1" t="s">
        <v>927</v>
      </c>
      <c r="F5985" s="1" t="s">
        <v>926</v>
      </c>
      <c r="G5985" s="1">
        <v>12.0</v>
      </c>
      <c r="H5985" s="1">
        <v>0.713513514</v>
      </c>
      <c r="I5985" s="1">
        <v>4.31</v>
      </c>
      <c r="J5985" s="1">
        <v>0.476509</v>
      </c>
    </row>
    <row r="5986">
      <c r="A5986" s="1">
        <v>2025.0</v>
      </c>
      <c r="B5986" s="1" t="s">
        <v>732</v>
      </c>
      <c r="C5986" s="1">
        <v>666659.0</v>
      </c>
      <c r="D5986" s="1" t="s">
        <v>533</v>
      </c>
      <c r="E5986" s="1" t="s">
        <v>927</v>
      </c>
      <c r="F5986" s="1" t="s">
        <v>926</v>
      </c>
      <c r="G5986" s="1">
        <v>26.0</v>
      </c>
      <c r="H5986" s="1">
        <v>1.545945946</v>
      </c>
      <c r="I5986" s="1">
        <v>4.91</v>
      </c>
      <c r="J5986" s="1">
        <v>0.619973</v>
      </c>
    </row>
    <row r="5987">
      <c r="A5987" s="1">
        <v>2025.0</v>
      </c>
      <c r="B5987" s="1" t="s">
        <v>732</v>
      </c>
      <c r="C5987" s="1">
        <v>666659.0</v>
      </c>
      <c r="D5987" s="1" t="s">
        <v>532</v>
      </c>
      <c r="E5987" s="1" t="s">
        <v>927</v>
      </c>
      <c r="F5987" s="1" t="s">
        <v>927</v>
      </c>
      <c r="G5987" s="1">
        <v>3.0</v>
      </c>
      <c r="H5987" s="1">
        <v>0.178378378</v>
      </c>
      <c r="I5987" s="1">
        <v>0.84</v>
      </c>
      <c r="J5987" s="1">
        <v>0.362451</v>
      </c>
    </row>
    <row r="5988">
      <c r="A5988" s="1">
        <v>2025.0</v>
      </c>
      <c r="B5988" s="1" t="s">
        <v>732</v>
      </c>
      <c r="C5988" s="1">
        <v>666659.0</v>
      </c>
      <c r="D5988" s="1" t="s">
        <v>537</v>
      </c>
      <c r="E5988" s="1" t="s">
        <v>927</v>
      </c>
      <c r="F5988" s="1" t="s">
        <v>927</v>
      </c>
      <c r="G5988" s="1">
        <v>24.0</v>
      </c>
      <c r="H5988" s="1">
        <v>1.427027027</v>
      </c>
      <c r="I5988" s="1">
        <v>4.27</v>
      </c>
      <c r="J5988" s="1">
        <v>0.882433</v>
      </c>
    </row>
    <row r="5989">
      <c r="A5989" s="1">
        <v>2025.0</v>
      </c>
      <c r="B5989" s="1" t="s">
        <v>732</v>
      </c>
      <c r="C5989" s="1">
        <v>666659.0</v>
      </c>
      <c r="D5989" s="1" t="s">
        <v>536</v>
      </c>
      <c r="E5989" s="1" t="s">
        <v>927</v>
      </c>
      <c r="F5989" s="1" t="s">
        <v>927</v>
      </c>
      <c r="G5989" s="1">
        <v>15.0</v>
      </c>
      <c r="H5989" s="1">
        <v>0.891891892</v>
      </c>
      <c r="I5989" s="1">
        <v>5.25</v>
      </c>
      <c r="J5989" s="1">
        <v>0.271093</v>
      </c>
    </row>
    <row r="5990">
      <c r="A5990" s="1">
        <v>2025.0</v>
      </c>
      <c r="B5990" s="1" t="s">
        <v>732</v>
      </c>
      <c r="C5990" s="1">
        <v>666659.0</v>
      </c>
      <c r="D5990" s="1" t="s">
        <v>533</v>
      </c>
      <c r="E5990" s="1" t="s">
        <v>927</v>
      </c>
      <c r="F5990" s="1" t="s">
        <v>927</v>
      </c>
      <c r="G5990" s="1">
        <v>63.0</v>
      </c>
      <c r="H5990" s="1">
        <v>3.745945946</v>
      </c>
      <c r="I5990" s="1">
        <v>4.8</v>
      </c>
      <c r="J5990" s="1">
        <v>1.687081</v>
      </c>
    </row>
    <row r="5991">
      <c r="A5991" s="1">
        <v>2025.0</v>
      </c>
      <c r="B5991" s="1" t="s">
        <v>566</v>
      </c>
      <c r="C5991" s="1">
        <v>687830.0</v>
      </c>
      <c r="D5991" s="1" t="s">
        <v>532</v>
      </c>
      <c r="E5991" s="1" t="s">
        <v>927</v>
      </c>
      <c r="F5991" s="1" t="s">
        <v>926</v>
      </c>
      <c r="G5991" s="1">
        <v>70.0</v>
      </c>
      <c r="H5991" s="1">
        <v>4.737221022</v>
      </c>
      <c r="I5991" s="1">
        <v>4.37</v>
      </c>
      <c r="J5991" s="1">
        <v>2.466492</v>
      </c>
    </row>
    <row r="5992">
      <c r="A5992" s="1">
        <v>2025.0</v>
      </c>
      <c r="B5992" s="1" t="s">
        <v>566</v>
      </c>
      <c r="C5992" s="1">
        <v>687830.0</v>
      </c>
      <c r="D5992" s="1" t="s">
        <v>540</v>
      </c>
      <c r="E5992" s="1" t="s">
        <v>927</v>
      </c>
      <c r="F5992" s="1" t="s">
        <v>926</v>
      </c>
      <c r="G5992" s="1">
        <v>47.0</v>
      </c>
      <c r="H5992" s="1">
        <v>3.180705544</v>
      </c>
      <c r="I5992" s="1">
        <v>5.95</v>
      </c>
      <c r="J5992" s="1">
        <v>0.179978</v>
      </c>
    </row>
    <row r="5993">
      <c r="A5993" s="1">
        <v>2025.0</v>
      </c>
      <c r="B5993" s="1" t="s">
        <v>566</v>
      </c>
      <c r="C5993" s="1">
        <v>687830.0</v>
      </c>
      <c r="D5993" s="1" t="s">
        <v>537</v>
      </c>
      <c r="E5993" s="1" t="s">
        <v>927</v>
      </c>
      <c r="F5993" s="1" t="s">
        <v>926</v>
      </c>
      <c r="G5993" s="1">
        <v>86.0</v>
      </c>
      <c r="H5993" s="1">
        <v>5.820014399</v>
      </c>
      <c r="I5993" s="1">
        <v>4.86</v>
      </c>
      <c r="J5993" s="1">
        <v>2.250776</v>
      </c>
    </row>
    <row r="5994">
      <c r="A5994" s="1">
        <v>2025.0</v>
      </c>
      <c r="B5994" s="1" t="s">
        <v>566</v>
      </c>
      <c r="C5994" s="1">
        <v>687830.0</v>
      </c>
      <c r="D5994" s="1" t="s">
        <v>536</v>
      </c>
      <c r="E5994" s="1" t="s">
        <v>927</v>
      </c>
      <c r="F5994" s="1" t="s">
        <v>926</v>
      </c>
      <c r="G5994" s="1">
        <v>5.0</v>
      </c>
      <c r="H5994" s="1">
        <v>0.33837293</v>
      </c>
      <c r="I5994" s="1">
        <v>3.78</v>
      </c>
      <c r="J5994" s="1">
        <v>0.24184</v>
      </c>
    </row>
    <row r="5995">
      <c r="A5995" s="1">
        <v>2025.0</v>
      </c>
      <c r="B5995" s="1" t="s">
        <v>566</v>
      </c>
      <c r="C5995" s="1">
        <v>687830.0</v>
      </c>
      <c r="D5995" s="1" t="s">
        <v>533</v>
      </c>
      <c r="E5995" s="1" t="s">
        <v>927</v>
      </c>
      <c r="F5995" s="1" t="s">
        <v>926</v>
      </c>
      <c r="G5995" s="1">
        <v>34.0</v>
      </c>
      <c r="H5995" s="1">
        <v>2.300935925</v>
      </c>
      <c r="I5995" s="1">
        <v>5.62</v>
      </c>
      <c r="J5995" s="1">
        <v>0.338492</v>
      </c>
    </row>
    <row r="5996">
      <c r="A5996" s="1">
        <v>2025.0</v>
      </c>
      <c r="B5996" s="1" t="s">
        <v>566</v>
      </c>
      <c r="C5996" s="1">
        <v>687830.0</v>
      </c>
      <c r="D5996" s="1" t="s">
        <v>532</v>
      </c>
      <c r="E5996" s="1" t="s">
        <v>927</v>
      </c>
      <c r="F5996" s="1" t="s">
        <v>927</v>
      </c>
      <c r="G5996" s="1">
        <v>28.0</v>
      </c>
      <c r="H5996" s="1">
        <v>1.894888409</v>
      </c>
      <c r="I5996" s="1">
        <v>4.32</v>
      </c>
      <c r="J5996" s="1">
        <v>1.017152</v>
      </c>
    </row>
    <row r="5997">
      <c r="A5997" s="1">
        <v>2025.0</v>
      </c>
      <c r="B5997" s="1" t="s">
        <v>566</v>
      </c>
      <c r="C5997" s="1">
        <v>687830.0</v>
      </c>
      <c r="D5997" s="1" t="s">
        <v>540</v>
      </c>
      <c r="E5997" s="1" t="s">
        <v>927</v>
      </c>
      <c r="F5997" s="1" t="s">
        <v>927</v>
      </c>
      <c r="G5997" s="1">
        <v>3.0</v>
      </c>
      <c r="H5997" s="1">
        <v>0.203023758</v>
      </c>
      <c r="I5997" s="1">
        <v>4.06</v>
      </c>
      <c r="J5997" s="1">
        <v>0.12782</v>
      </c>
    </row>
    <row r="5998">
      <c r="A5998" s="1">
        <v>2025.0</v>
      </c>
      <c r="B5998" s="1" t="s">
        <v>566</v>
      </c>
      <c r="C5998" s="1">
        <v>687830.0</v>
      </c>
      <c r="D5998" s="1" t="s">
        <v>537</v>
      </c>
      <c r="E5998" s="1" t="s">
        <v>927</v>
      </c>
      <c r="F5998" s="1" t="s">
        <v>927</v>
      </c>
      <c r="G5998" s="1">
        <v>45.0</v>
      </c>
      <c r="H5998" s="1">
        <v>3.045356371</v>
      </c>
      <c r="I5998" s="1">
        <v>4.93</v>
      </c>
      <c r="J5998" s="1">
        <v>1.091897</v>
      </c>
    </row>
    <row r="5999">
      <c r="A5999" s="1">
        <v>2025.0</v>
      </c>
      <c r="B5999" s="1" t="s">
        <v>566</v>
      </c>
      <c r="C5999" s="1">
        <v>687830.0</v>
      </c>
      <c r="D5999" s="1" t="s">
        <v>536</v>
      </c>
      <c r="E5999" s="1" t="s">
        <v>927</v>
      </c>
      <c r="F5999" s="1" t="s">
        <v>927</v>
      </c>
      <c r="G5999" s="1">
        <v>80.0</v>
      </c>
      <c r="H5999" s="1">
        <v>5.413966883</v>
      </c>
      <c r="I5999" s="1">
        <v>5.06</v>
      </c>
      <c r="J5999" s="1">
        <v>1.735803</v>
      </c>
    </row>
    <row r="6000">
      <c r="A6000" s="1">
        <v>2025.0</v>
      </c>
      <c r="B6000" s="1" t="s">
        <v>566</v>
      </c>
      <c r="C6000" s="1">
        <v>687830.0</v>
      </c>
      <c r="D6000" s="1" t="s">
        <v>533</v>
      </c>
      <c r="E6000" s="1" t="s">
        <v>927</v>
      </c>
      <c r="F6000" s="1" t="s">
        <v>927</v>
      </c>
      <c r="G6000" s="1">
        <v>65.0</v>
      </c>
      <c r="H6000" s="1">
        <v>4.398848092</v>
      </c>
      <c r="I6000" s="1">
        <v>5.3</v>
      </c>
      <c r="J6000" s="1">
        <v>1.08658</v>
      </c>
    </row>
    <row r="6001">
      <c r="A6001" s="1">
        <v>2025.0</v>
      </c>
      <c r="B6001" s="1" t="s">
        <v>704</v>
      </c>
      <c r="C6001" s="1">
        <v>518397.0</v>
      </c>
      <c r="D6001" s="1" t="s">
        <v>536</v>
      </c>
      <c r="E6001" s="1" t="s">
        <v>926</v>
      </c>
      <c r="F6001" s="1" t="s">
        <v>926</v>
      </c>
      <c r="G6001" s="1">
        <v>98.0</v>
      </c>
      <c r="H6001" s="1">
        <v>5.5314164</v>
      </c>
      <c r="I6001" s="1">
        <v>5.65</v>
      </c>
      <c r="J6001" s="1">
        <v>0.946902</v>
      </c>
    </row>
    <row r="6002">
      <c r="A6002" s="1">
        <v>2025.0</v>
      </c>
      <c r="B6002" s="1" t="s">
        <v>704</v>
      </c>
      <c r="C6002" s="1">
        <v>518397.0</v>
      </c>
      <c r="D6002" s="1" t="s">
        <v>533</v>
      </c>
      <c r="E6002" s="1" t="s">
        <v>926</v>
      </c>
      <c r="F6002" s="1" t="s">
        <v>926</v>
      </c>
      <c r="G6002" s="1">
        <v>63.0</v>
      </c>
      <c r="H6002" s="1">
        <v>3.555910543</v>
      </c>
      <c r="I6002" s="1">
        <v>4.85</v>
      </c>
      <c r="J6002" s="1">
        <v>1.558407</v>
      </c>
    </row>
    <row r="6003">
      <c r="A6003" s="1">
        <v>2025.0</v>
      </c>
      <c r="B6003" s="1" t="s">
        <v>704</v>
      </c>
      <c r="C6003" s="1">
        <v>518397.0</v>
      </c>
      <c r="D6003" s="1" t="s">
        <v>532</v>
      </c>
      <c r="E6003" s="1" t="s">
        <v>926</v>
      </c>
      <c r="F6003" s="1" t="s">
        <v>927</v>
      </c>
      <c r="G6003" s="1">
        <v>44.0</v>
      </c>
      <c r="H6003" s="1">
        <v>2.483493078</v>
      </c>
      <c r="I6003" s="1">
        <v>4.69</v>
      </c>
      <c r="J6003" s="1">
        <v>1.244574</v>
      </c>
    </row>
    <row r="6004">
      <c r="A6004" s="1">
        <v>2025.0</v>
      </c>
      <c r="B6004" s="1" t="s">
        <v>704</v>
      </c>
      <c r="C6004" s="1">
        <v>518397.0</v>
      </c>
      <c r="D6004" s="1" t="s">
        <v>536</v>
      </c>
      <c r="E6004" s="1" t="s">
        <v>926</v>
      </c>
      <c r="F6004" s="1" t="s">
        <v>927</v>
      </c>
      <c r="G6004" s="1">
        <v>106.0</v>
      </c>
      <c r="H6004" s="1">
        <v>5.982960596</v>
      </c>
      <c r="I6004" s="1">
        <v>4.59</v>
      </c>
      <c r="J6004" s="1">
        <v>3.296969</v>
      </c>
    </row>
    <row r="6005">
      <c r="A6005" s="1">
        <v>2025.0</v>
      </c>
      <c r="B6005" s="1" t="s">
        <v>704</v>
      </c>
      <c r="C6005" s="1">
        <v>518397.0</v>
      </c>
      <c r="D6005" s="1" t="s">
        <v>533</v>
      </c>
      <c r="E6005" s="1" t="s">
        <v>926</v>
      </c>
      <c r="F6005" s="1" t="s">
        <v>927</v>
      </c>
      <c r="G6005" s="1">
        <v>2.0</v>
      </c>
      <c r="H6005" s="1">
        <v>0.112886049</v>
      </c>
      <c r="I6005" s="1">
        <v>4.43</v>
      </c>
      <c r="J6005" s="1">
        <v>0.063318</v>
      </c>
    </row>
    <row r="6006">
      <c r="A6006" s="1">
        <v>2025.0</v>
      </c>
      <c r="B6006" s="1" t="s">
        <v>475</v>
      </c>
      <c r="C6006" s="1">
        <v>605130.0</v>
      </c>
      <c r="D6006" s="1" t="s">
        <v>541</v>
      </c>
      <c r="E6006" s="1" t="s">
        <v>927</v>
      </c>
      <c r="F6006" s="1" t="s">
        <v>926</v>
      </c>
      <c r="G6006" s="1">
        <v>134.0</v>
      </c>
      <c r="H6006" s="1">
        <v>7.187336473</v>
      </c>
      <c r="I6006" s="1">
        <v>4.59</v>
      </c>
      <c r="J6006" s="1">
        <v>3.939306</v>
      </c>
    </row>
    <row r="6007">
      <c r="A6007" s="1">
        <v>2025.0</v>
      </c>
      <c r="B6007" s="1" t="s">
        <v>475</v>
      </c>
      <c r="C6007" s="1">
        <v>605130.0</v>
      </c>
      <c r="D6007" s="1" t="s">
        <v>537</v>
      </c>
      <c r="E6007" s="1" t="s">
        <v>927</v>
      </c>
      <c r="F6007" s="1" t="s">
        <v>926</v>
      </c>
      <c r="G6007" s="1">
        <v>141.0</v>
      </c>
      <c r="H6007" s="1">
        <v>7.562794349</v>
      </c>
      <c r="I6007" s="1">
        <v>4.88</v>
      </c>
      <c r="J6007" s="1">
        <v>3.456616</v>
      </c>
    </row>
    <row r="6008">
      <c r="A6008" s="1">
        <v>2025.0</v>
      </c>
      <c r="B6008" s="1" t="s">
        <v>475</v>
      </c>
      <c r="C6008" s="1">
        <v>605130.0</v>
      </c>
      <c r="D6008" s="1" t="s">
        <v>536</v>
      </c>
      <c r="E6008" s="1" t="s">
        <v>927</v>
      </c>
      <c r="F6008" s="1" t="s">
        <v>926</v>
      </c>
      <c r="G6008" s="1">
        <v>57.0</v>
      </c>
      <c r="H6008" s="1">
        <v>3.057299843</v>
      </c>
      <c r="I6008" s="1">
        <v>4.85</v>
      </c>
      <c r="J6008" s="1">
        <v>1.497989</v>
      </c>
    </row>
    <row r="6009">
      <c r="A6009" s="1">
        <v>2025.0</v>
      </c>
      <c r="B6009" s="1" t="s">
        <v>475</v>
      </c>
      <c r="C6009" s="1">
        <v>605130.0</v>
      </c>
      <c r="D6009" s="1" t="s">
        <v>533</v>
      </c>
      <c r="E6009" s="1" t="s">
        <v>927</v>
      </c>
      <c r="F6009" s="1" t="s">
        <v>926</v>
      </c>
      <c r="G6009" s="1">
        <v>78.0</v>
      </c>
      <c r="H6009" s="1">
        <v>4.183673469</v>
      </c>
      <c r="I6009" s="1">
        <v>4.79</v>
      </c>
      <c r="J6009" s="1">
        <v>2.021402</v>
      </c>
    </row>
    <row r="6010">
      <c r="A6010" s="1">
        <v>2025.0</v>
      </c>
      <c r="B6010" s="1" t="s">
        <v>475</v>
      </c>
      <c r="C6010" s="1">
        <v>605130.0</v>
      </c>
      <c r="D6010" s="1" t="s">
        <v>539</v>
      </c>
      <c r="E6010" s="1" t="s">
        <v>927</v>
      </c>
      <c r="F6010" s="1" t="s">
        <v>926</v>
      </c>
      <c r="G6010" s="1">
        <v>87.0</v>
      </c>
      <c r="H6010" s="1">
        <v>4.666405024</v>
      </c>
      <c r="I6010" s="1">
        <v>4.56</v>
      </c>
      <c r="J6010" s="1">
        <v>2.627552</v>
      </c>
    </row>
    <row r="6011">
      <c r="A6011" s="1">
        <v>2025.0</v>
      </c>
      <c r="B6011" s="1" t="s">
        <v>475</v>
      </c>
      <c r="C6011" s="1">
        <v>605130.0</v>
      </c>
      <c r="D6011" s="1" t="s">
        <v>541</v>
      </c>
      <c r="E6011" s="1" t="s">
        <v>927</v>
      </c>
      <c r="F6011" s="1" t="s">
        <v>927</v>
      </c>
      <c r="G6011" s="1">
        <v>75.0</v>
      </c>
      <c r="H6011" s="1">
        <v>4.022762951</v>
      </c>
      <c r="I6011" s="1">
        <v>4.71</v>
      </c>
      <c r="J6011" s="1">
        <v>2.044294</v>
      </c>
    </row>
    <row r="6012">
      <c r="A6012" s="1">
        <v>2025.0</v>
      </c>
      <c r="B6012" s="1" t="s">
        <v>475</v>
      </c>
      <c r="C6012" s="1">
        <v>605130.0</v>
      </c>
      <c r="D6012" s="1" t="s">
        <v>537</v>
      </c>
      <c r="E6012" s="1" t="s">
        <v>927</v>
      </c>
      <c r="F6012" s="1" t="s">
        <v>927</v>
      </c>
      <c r="G6012" s="1">
        <v>124.0</v>
      </c>
      <c r="H6012" s="1">
        <v>6.65096808</v>
      </c>
      <c r="I6012" s="1">
        <v>4.74</v>
      </c>
      <c r="J6012" s="1">
        <v>3.480464</v>
      </c>
    </row>
    <row r="6013">
      <c r="A6013" s="1">
        <v>2025.0</v>
      </c>
      <c r="B6013" s="1" t="s">
        <v>475</v>
      </c>
      <c r="C6013" s="1">
        <v>605130.0</v>
      </c>
      <c r="D6013" s="1" t="s">
        <v>536</v>
      </c>
      <c r="E6013" s="1" t="s">
        <v>927</v>
      </c>
      <c r="F6013" s="1" t="s">
        <v>927</v>
      </c>
      <c r="G6013" s="1">
        <v>138.0</v>
      </c>
      <c r="H6013" s="1">
        <v>7.40188383</v>
      </c>
      <c r="I6013" s="1">
        <v>4.54</v>
      </c>
      <c r="J6013" s="1">
        <v>4.427086</v>
      </c>
    </row>
    <row r="6014">
      <c r="A6014" s="1">
        <v>2025.0</v>
      </c>
      <c r="B6014" s="1" t="s">
        <v>475</v>
      </c>
      <c r="C6014" s="1">
        <v>605130.0</v>
      </c>
      <c r="D6014" s="1" t="s">
        <v>533</v>
      </c>
      <c r="E6014" s="1" t="s">
        <v>927</v>
      </c>
      <c r="F6014" s="1" t="s">
        <v>927</v>
      </c>
      <c r="G6014" s="1">
        <v>168.0</v>
      </c>
      <c r="H6014" s="1">
        <v>9.010989011</v>
      </c>
      <c r="I6014" s="1">
        <v>4.99</v>
      </c>
      <c r="J6014" s="1">
        <v>3.79692</v>
      </c>
    </row>
    <row r="6015">
      <c r="A6015" s="1">
        <v>2025.0</v>
      </c>
      <c r="B6015" s="1" t="s">
        <v>475</v>
      </c>
      <c r="C6015" s="1">
        <v>605130.0</v>
      </c>
      <c r="D6015" s="1" t="s">
        <v>539</v>
      </c>
      <c r="E6015" s="1" t="s">
        <v>927</v>
      </c>
      <c r="F6015" s="1" t="s">
        <v>927</v>
      </c>
      <c r="G6015" s="1">
        <v>272.0</v>
      </c>
      <c r="H6015" s="1">
        <v>14.5892203</v>
      </c>
      <c r="I6015" s="1">
        <v>5.11</v>
      </c>
      <c r="J6015" s="1">
        <v>5.16331</v>
      </c>
    </row>
    <row r="6016">
      <c r="A6016" s="1">
        <v>2025.0</v>
      </c>
      <c r="B6016" s="1" t="s">
        <v>233</v>
      </c>
      <c r="C6016" s="1">
        <v>656240.0</v>
      </c>
      <c r="D6016" s="1" t="s">
        <v>537</v>
      </c>
      <c r="E6016" s="1" t="s">
        <v>927</v>
      </c>
      <c r="F6016" s="1" t="s">
        <v>926</v>
      </c>
      <c r="G6016" s="1">
        <v>137.0</v>
      </c>
      <c r="H6016" s="1">
        <v>8.542428504</v>
      </c>
      <c r="I6016" s="1">
        <v>4.65</v>
      </c>
      <c r="J6016" s="1">
        <v>4.055899</v>
      </c>
    </row>
    <row r="6017">
      <c r="A6017" s="1">
        <v>2025.0</v>
      </c>
      <c r="B6017" s="1" t="s">
        <v>233</v>
      </c>
      <c r="C6017" s="1">
        <v>656240.0</v>
      </c>
      <c r="D6017" s="1" t="s">
        <v>538</v>
      </c>
      <c r="E6017" s="1" t="s">
        <v>927</v>
      </c>
      <c r="F6017" s="1" t="s">
        <v>926</v>
      </c>
      <c r="G6017" s="1">
        <v>100.0</v>
      </c>
      <c r="H6017" s="1">
        <v>6.235349273</v>
      </c>
      <c r="I6017" s="1">
        <v>5.07</v>
      </c>
      <c r="J6017" s="1">
        <v>2.021342</v>
      </c>
    </row>
    <row r="6018">
      <c r="A6018" s="1">
        <v>2025.0</v>
      </c>
      <c r="B6018" s="1" t="s">
        <v>233</v>
      </c>
      <c r="C6018" s="1">
        <v>656240.0</v>
      </c>
      <c r="D6018" s="1" t="s">
        <v>533</v>
      </c>
      <c r="E6018" s="1" t="s">
        <v>927</v>
      </c>
      <c r="F6018" s="1" t="s">
        <v>926</v>
      </c>
      <c r="G6018" s="1">
        <v>117.0</v>
      </c>
      <c r="H6018" s="1">
        <v>7.29535865</v>
      </c>
      <c r="I6018" s="1">
        <v>5.25</v>
      </c>
      <c r="J6018" s="1">
        <v>1.93649</v>
      </c>
    </row>
    <row r="6019">
      <c r="A6019" s="1">
        <v>2025.0</v>
      </c>
      <c r="B6019" s="1" t="s">
        <v>233</v>
      </c>
      <c r="C6019" s="1">
        <v>656240.0</v>
      </c>
      <c r="D6019" s="1" t="s">
        <v>537</v>
      </c>
      <c r="E6019" s="1" t="s">
        <v>927</v>
      </c>
      <c r="F6019" s="1" t="s">
        <v>927</v>
      </c>
      <c r="G6019" s="1">
        <v>119.0</v>
      </c>
      <c r="H6019" s="1">
        <v>7.420065635</v>
      </c>
      <c r="I6019" s="1">
        <v>4.66</v>
      </c>
      <c r="J6019" s="1">
        <v>3.518075</v>
      </c>
    </row>
    <row r="6020">
      <c r="A6020" s="1">
        <v>2025.0</v>
      </c>
      <c r="B6020" s="1" t="s">
        <v>233</v>
      </c>
      <c r="C6020" s="1">
        <v>656240.0</v>
      </c>
      <c r="D6020" s="1" t="s">
        <v>538</v>
      </c>
      <c r="E6020" s="1" t="s">
        <v>927</v>
      </c>
      <c r="F6020" s="1" t="s">
        <v>927</v>
      </c>
      <c r="G6020" s="1">
        <v>35.0</v>
      </c>
      <c r="H6020" s="1">
        <v>2.182372246</v>
      </c>
      <c r="I6020" s="1">
        <v>5.41</v>
      </c>
      <c r="J6020" s="1">
        <v>0.489672</v>
      </c>
    </row>
    <row r="6021">
      <c r="A6021" s="1">
        <v>2025.0</v>
      </c>
      <c r="B6021" s="1" t="s">
        <v>233</v>
      </c>
      <c r="C6021" s="1">
        <v>656240.0</v>
      </c>
      <c r="D6021" s="1" t="s">
        <v>536</v>
      </c>
      <c r="E6021" s="1" t="s">
        <v>927</v>
      </c>
      <c r="F6021" s="1" t="s">
        <v>927</v>
      </c>
      <c r="G6021" s="1">
        <v>6.0</v>
      </c>
      <c r="H6021" s="1">
        <v>0.374120956</v>
      </c>
      <c r="I6021" s="1">
        <v>4.75</v>
      </c>
      <c r="J6021" s="1">
        <v>0.170465</v>
      </c>
    </row>
    <row r="6022">
      <c r="A6022" s="1">
        <v>2025.0</v>
      </c>
      <c r="B6022" s="1" t="s">
        <v>233</v>
      </c>
      <c r="C6022" s="1">
        <v>656240.0</v>
      </c>
      <c r="D6022" s="1" t="s">
        <v>533</v>
      </c>
      <c r="E6022" s="1" t="s">
        <v>927</v>
      </c>
      <c r="F6022" s="1" t="s">
        <v>927</v>
      </c>
      <c r="G6022" s="1">
        <v>197.0</v>
      </c>
      <c r="H6022" s="1">
        <v>12.28363807</v>
      </c>
      <c r="I6022" s="1">
        <v>5.39</v>
      </c>
      <c r="J6022" s="1">
        <v>2.779257</v>
      </c>
    </row>
    <row r="6023">
      <c r="A6023" s="1">
        <v>2025.0</v>
      </c>
      <c r="B6023" s="1" t="s">
        <v>883</v>
      </c>
      <c r="C6023" s="1">
        <v>664123.0</v>
      </c>
      <c r="D6023" s="1" t="s">
        <v>532</v>
      </c>
      <c r="E6023" s="1" t="s">
        <v>927</v>
      </c>
      <c r="F6023" s="1" t="s">
        <v>926</v>
      </c>
      <c r="G6023" s="1">
        <v>18.0</v>
      </c>
      <c r="H6023" s="1">
        <v>1.230769231</v>
      </c>
      <c r="I6023" s="1">
        <v>4.5</v>
      </c>
      <c r="J6023" s="1">
        <v>0.577807</v>
      </c>
    </row>
    <row r="6024">
      <c r="A6024" s="1">
        <v>2025.0</v>
      </c>
      <c r="B6024" s="1" t="s">
        <v>883</v>
      </c>
      <c r="C6024" s="1">
        <v>664123.0</v>
      </c>
      <c r="D6024" s="1" t="s">
        <v>537</v>
      </c>
      <c r="E6024" s="1" t="s">
        <v>927</v>
      </c>
      <c r="F6024" s="1" t="s">
        <v>926</v>
      </c>
      <c r="G6024" s="1">
        <v>3.0</v>
      </c>
      <c r="H6024" s="1">
        <v>0.205128205</v>
      </c>
      <c r="I6024" s="1">
        <v>4.45</v>
      </c>
      <c r="J6024" s="1">
        <v>0.105614</v>
      </c>
    </row>
    <row r="6025">
      <c r="A6025" s="1">
        <v>2025.0</v>
      </c>
      <c r="B6025" s="1" t="s">
        <v>883</v>
      </c>
      <c r="C6025" s="1">
        <v>664123.0</v>
      </c>
      <c r="D6025" s="1" t="s">
        <v>536</v>
      </c>
      <c r="E6025" s="1" t="s">
        <v>927</v>
      </c>
      <c r="F6025" s="1" t="s">
        <v>926</v>
      </c>
      <c r="G6025" s="1">
        <v>19.0</v>
      </c>
      <c r="H6025" s="1">
        <v>1.299145299</v>
      </c>
      <c r="I6025" s="1">
        <v>4.7</v>
      </c>
      <c r="J6025" s="1">
        <v>0.554598</v>
      </c>
    </row>
    <row r="6026">
      <c r="A6026" s="1">
        <v>2025.0</v>
      </c>
      <c r="B6026" s="1" t="s">
        <v>883</v>
      </c>
      <c r="C6026" s="1">
        <v>664123.0</v>
      </c>
      <c r="D6026" s="1" t="s">
        <v>539</v>
      </c>
      <c r="E6026" s="1" t="s">
        <v>927</v>
      </c>
      <c r="F6026" s="1" t="s">
        <v>926</v>
      </c>
      <c r="G6026" s="1">
        <v>20.0</v>
      </c>
      <c r="H6026" s="1">
        <v>1.367521368</v>
      </c>
      <c r="I6026" s="1">
        <v>4.12</v>
      </c>
      <c r="J6026" s="1">
        <v>0.811216</v>
      </c>
    </row>
    <row r="6027">
      <c r="A6027" s="1">
        <v>2025.0</v>
      </c>
      <c r="B6027" s="1" t="s">
        <v>883</v>
      </c>
      <c r="C6027" s="1">
        <v>664123.0</v>
      </c>
      <c r="D6027" s="1" t="s">
        <v>532</v>
      </c>
      <c r="E6027" s="1" t="s">
        <v>927</v>
      </c>
      <c r="F6027" s="1" t="s">
        <v>927</v>
      </c>
      <c r="G6027" s="1">
        <v>1.0</v>
      </c>
      <c r="H6027" s="1">
        <v>0.068376068</v>
      </c>
      <c r="I6027" s="1">
        <v>5.91</v>
      </c>
      <c r="J6027" s="1">
        <v>-8.2E-5</v>
      </c>
    </row>
    <row r="6028">
      <c r="A6028" s="1">
        <v>2025.0</v>
      </c>
      <c r="B6028" s="1" t="s">
        <v>883</v>
      </c>
      <c r="C6028" s="1">
        <v>664123.0</v>
      </c>
      <c r="D6028" s="1" t="s">
        <v>537</v>
      </c>
      <c r="E6028" s="1" t="s">
        <v>927</v>
      </c>
      <c r="F6028" s="1" t="s">
        <v>927</v>
      </c>
      <c r="G6028" s="1">
        <v>4.0</v>
      </c>
      <c r="H6028" s="1">
        <v>0.273504274</v>
      </c>
      <c r="I6028" s="1">
        <v>4.49</v>
      </c>
      <c r="J6028" s="1">
        <v>0.123536</v>
      </c>
    </row>
    <row r="6029">
      <c r="A6029" s="1">
        <v>2025.0</v>
      </c>
      <c r="B6029" s="1" t="s">
        <v>883</v>
      </c>
      <c r="C6029" s="1">
        <v>664123.0</v>
      </c>
      <c r="D6029" s="1" t="s">
        <v>536</v>
      </c>
      <c r="E6029" s="1" t="s">
        <v>927</v>
      </c>
      <c r="F6029" s="1" t="s">
        <v>927</v>
      </c>
      <c r="G6029" s="1">
        <v>59.0</v>
      </c>
      <c r="H6029" s="1">
        <v>4.034188034</v>
      </c>
      <c r="I6029" s="1">
        <v>5.35</v>
      </c>
      <c r="J6029" s="1">
        <v>0.920911</v>
      </c>
    </row>
    <row r="6030">
      <c r="A6030" s="1">
        <v>2025.0</v>
      </c>
      <c r="B6030" s="1" t="s">
        <v>883</v>
      </c>
      <c r="C6030" s="1">
        <v>664123.0</v>
      </c>
      <c r="D6030" s="1" t="s">
        <v>539</v>
      </c>
      <c r="E6030" s="1" t="s">
        <v>927</v>
      </c>
      <c r="F6030" s="1" t="s">
        <v>927</v>
      </c>
      <c r="G6030" s="1">
        <v>32.0</v>
      </c>
      <c r="H6030" s="1">
        <v>2.188034188</v>
      </c>
      <c r="I6030" s="1">
        <v>5.12</v>
      </c>
      <c r="J6030" s="1">
        <v>0.616696</v>
      </c>
    </row>
    <row r="6031">
      <c r="A6031" s="1">
        <v>2025.0</v>
      </c>
      <c r="B6031" s="1" t="s">
        <v>745</v>
      </c>
      <c r="C6031" s="1">
        <v>543518.0</v>
      </c>
      <c r="D6031" s="1" t="s">
        <v>537</v>
      </c>
      <c r="E6031" s="1" t="s">
        <v>927</v>
      </c>
      <c r="F6031" s="1" t="s">
        <v>926</v>
      </c>
      <c r="G6031" s="1">
        <v>69.0</v>
      </c>
      <c r="H6031" s="1">
        <v>3.717171717</v>
      </c>
      <c r="I6031" s="1">
        <v>4.82</v>
      </c>
      <c r="J6031" s="1">
        <v>1.710704</v>
      </c>
    </row>
    <row r="6032">
      <c r="A6032" s="1">
        <v>2025.0</v>
      </c>
      <c r="B6032" s="1" t="s">
        <v>745</v>
      </c>
      <c r="C6032" s="1">
        <v>543518.0</v>
      </c>
      <c r="D6032" s="1" t="s">
        <v>538</v>
      </c>
      <c r="E6032" s="1" t="s">
        <v>927</v>
      </c>
      <c r="F6032" s="1" t="s">
        <v>926</v>
      </c>
      <c r="G6032" s="1">
        <v>60.0</v>
      </c>
      <c r="H6032" s="1">
        <v>3.232323232</v>
      </c>
      <c r="I6032" s="1">
        <v>4.49</v>
      </c>
      <c r="J6032" s="1">
        <v>1.820625</v>
      </c>
    </row>
    <row r="6033">
      <c r="A6033" s="1">
        <v>2025.0</v>
      </c>
      <c r="B6033" s="1" t="s">
        <v>745</v>
      </c>
      <c r="C6033" s="1">
        <v>543518.0</v>
      </c>
      <c r="D6033" s="1" t="s">
        <v>536</v>
      </c>
      <c r="E6033" s="1" t="s">
        <v>927</v>
      </c>
      <c r="F6033" s="1" t="s">
        <v>926</v>
      </c>
      <c r="G6033" s="1">
        <v>2.0</v>
      </c>
      <c r="H6033" s="1">
        <v>0.107744108</v>
      </c>
      <c r="I6033" s="1">
        <v>4.53</v>
      </c>
      <c r="J6033" s="1">
        <v>0.062421</v>
      </c>
    </row>
    <row r="6034">
      <c r="A6034" s="1">
        <v>2025.0</v>
      </c>
      <c r="B6034" s="1" t="s">
        <v>745</v>
      </c>
      <c r="C6034" s="1">
        <v>543518.0</v>
      </c>
      <c r="D6034" s="1" t="s">
        <v>533</v>
      </c>
      <c r="E6034" s="1" t="s">
        <v>927</v>
      </c>
      <c r="F6034" s="1" t="s">
        <v>926</v>
      </c>
      <c r="G6034" s="1">
        <v>26.0</v>
      </c>
      <c r="H6034" s="1">
        <v>1.400673401</v>
      </c>
      <c r="I6034" s="1">
        <v>4.81</v>
      </c>
      <c r="J6034" s="1">
        <v>0.637209</v>
      </c>
    </row>
    <row r="6035">
      <c r="A6035" s="1">
        <v>2025.0</v>
      </c>
      <c r="B6035" s="1" t="s">
        <v>745</v>
      </c>
      <c r="C6035" s="1">
        <v>543518.0</v>
      </c>
      <c r="D6035" s="1" t="s">
        <v>537</v>
      </c>
      <c r="E6035" s="1" t="s">
        <v>927</v>
      </c>
      <c r="F6035" s="1" t="s">
        <v>927</v>
      </c>
      <c r="G6035" s="1">
        <v>47.0</v>
      </c>
      <c r="H6035" s="1">
        <v>2.531986532</v>
      </c>
      <c r="I6035" s="1">
        <v>5.3</v>
      </c>
      <c r="J6035" s="1">
        <v>0.761578</v>
      </c>
    </row>
    <row r="6036">
      <c r="A6036" s="1">
        <v>2025.0</v>
      </c>
      <c r="B6036" s="1" t="s">
        <v>745</v>
      </c>
      <c r="C6036" s="1">
        <v>543518.0</v>
      </c>
      <c r="D6036" s="1" t="s">
        <v>538</v>
      </c>
      <c r="E6036" s="1" t="s">
        <v>927</v>
      </c>
      <c r="F6036" s="1" t="s">
        <v>927</v>
      </c>
      <c r="G6036" s="1">
        <v>39.0</v>
      </c>
      <c r="H6036" s="1">
        <v>2.101010101</v>
      </c>
      <c r="I6036" s="1">
        <v>4.78</v>
      </c>
      <c r="J6036" s="1">
        <v>0.971748</v>
      </c>
    </row>
    <row r="6037">
      <c r="A6037" s="1">
        <v>2025.0</v>
      </c>
      <c r="B6037" s="1" t="s">
        <v>745</v>
      </c>
      <c r="C6037" s="1">
        <v>543518.0</v>
      </c>
      <c r="D6037" s="1" t="s">
        <v>536</v>
      </c>
      <c r="E6037" s="1" t="s">
        <v>927</v>
      </c>
      <c r="F6037" s="1" t="s">
        <v>927</v>
      </c>
      <c r="G6037" s="1">
        <v>10.0</v>
      </c>
      <c r="H6037" s="1">
        <v>0.538720539</v>
      </c>
      <c r="I6037" s="1">
        <v>4.67</v>
      </c>
      <c r="J6037" s="1">
        <v>0.268646</v>
      </c>
    </row>
    <row r="6038">
      <c r="A6038" s="1">
        <v>2025.0</v>
      </c>
      <c r="B6038" s="1" t="s">
        <v>745</v>
      </c>
      <c r="C6038" s="1">
        <v>543518.0</v>
      </c>
      <c r="D6038" s="1" t="s">
        <v>533</v>
      </c>
      <c r="E6038" s="1" t="s">
        <v>927</v>
      </c>
      <c r="F6038" s="1" t="s">
        <v>927</v>
      </c>
      <c r="G6038" s="1">
        <v>44.0</v>
      </c>
      <c r="H6038" s="1">
        <v>2.37037037</v>
      </c>
      <c r="I6038" s="1">
        <v>5.47</v>
      </c>
      <c r="J6038" s="1">
        <v>0.510996</v>
      </c>
    </row>
    <row r="6039">
      <c r="A6039" s="1">
        <v>2025.0</v>
      </c>
      <c r="B6039" s="1" t="s">
        <v>356</v>
      </c>
      <c r="C6039" s="1">
        <v>680732.0</v>
      </c>
      <c r="D6039" s="1" t="s">
        <v>532</v>
      </c>
      <c r="E6039" s="1" t="s">
        <v>927</v>
      </c>
      <c r="F6039" s="1" t="s">
        <v>926</v>
      </c>
      <c r="G6039" s="1">
        <v>148.0</v>
      </c>
      <c r="H6039" s="1">
        <v>8.371087719</v>
      </c>
      <c r="I6039" s="1">
        <v>4.35</v>
      </c>
      <c r="J6039" s="1">
        <v>5.224509</v>
      </c>
    </row>
    <row r="6040">
      <c r="A6040" s="1">
        <v>2025.0</v>
      </c>
      <c r="B6040" s="1" t="s">
        <v>356</v>
      </c>
      <c r="C6040" s="1">
        <v>680732.0</v>
      </c>
      <c r="D6040" s="1" t="s">
        <v>541</v>
      </c>
      <c r="E6040" s="1" t="s">
        <v>927</v>
      </c>
      <c r="F6040" s="1" t="s">
        <v>926</v>
      </c>
      <c r="G6040" s="1">
        <v>366.0</v>
      </c>
      <c r="H6040" s="1">
        <v>20.70147368</v>
      </c>
      <c r="I6040" s="1">
        <v>5.13</v>
      </c>
      <c r="J6040" s="1">
        <v>7.01394</v>
      </c>
    </row>
    <row r="6041">
      <c r="A6041" s="1">
        <v>2025.0</v>
      </c>
      <c r="B6041" s="1" t="s">
        <v>356</v>
      </c>
      <c r="C6041" s="1">
        <v>680732.0</v>
      </c>
      <c r="D6041" s="1" t="s">
        <v>537</v>
      </c>
      <c r="E6041" s="1" t="s">
        <v>927</v>
      </c>
      <c r="F6041" s="1" t="s">
        <v>926</v>
      </c>
      <c r="G6041" s="1">
        <v>617.0</v>
      </c>
      <c r="H6041" s="1">
        <v>34.89838596</v>
      </c>
      <c r="I6041" s="1">
        <v>5.06</v>
      </c>
      <c r="J6041" s="1">
        <v>12.99185</v>
      </c>
    </row>
    <row r="6042">
      <c r="A6042" s="1">
        <v>2025.0</v>
      </c>
      <c r="B6042" s="1" t="s">
        <v>356</v>
      </c>
      <c r="C6042" s="1">
        <v>680732.0</v>
      </c>
      <c r="D6042" s="1" t="s">
        <v>536</v>
      </c>
      <c r="E6042" s="1" t="s">
        <v>927</v>
      </c>
      <c r="F6042" s="1" t="s">
        <v>926</v>
      </c>
      <c r="G6042" s="1">
        <v>16.0</v>
      </c>
      <c r="H6042" s="1">
        <v>0.904982456</v>
      </c>
      <c r="I6042" s="1">
        <v>5.25</v>
      </c>
      <c r="J6042" s="1">
        <v>0.280498</v>
      </c>
    </row>
    <row r="6043">
      <c r="A6043" s="1">
        <v>2025.0</v>
      </c>
      <c r="B6043" s="1" t="s">
        <v>356</v>
      </c>
      <c r="C6043" s="1">
        <v>680732.0</v>
      </c>
      <c r="D6043" s="1" t="s">
        <v>533</v>
      </c>
      <c r="E6043" s="1" t="s">
        <v>927</v>
      </c>
      <c r="F6043" s="1" t="s">
        <v>926</v>
      </c>
      <c r="G6043" s="1">
        <v>135.0</v>
      </c>
      <c r="H6043" s="1">
        <v>7.635789474</v>
      </c>
      <c r="I6043" s="1">
        <v>5.24</v>
      </c>
      <c r="J6043" s="1">
        <v>2.215731</v>
      </c>
    </row>
    <row r="6044">
      <c r="A6044" s="1">
        <v>2025.0</v>
      </c>
      <c r="B6044" s="1" t="s">
        <v>356</v>
      </c>
      <c r="C6044" s="1">
        <v>680732.0</v>
      </c>
      <c r="D6044" s="1" t="s">
        <v>532</v>
      </c>
      <c r="E6044" s="1" t="s">
        <v>927</v>
      </c>
      <c r="F6044" s="1" t="s">
        <v>927</v>
      </c>
      <c r="G6044" s="1">
        <v>7.0</v>
      </c>
      <c r="H6044" s="1">
        <v>0.395929825</v>
      </c>
      <c r="I6044" s="1">
        <v>5.02</v>
      </c>
      <c r="J6044" s="1">
        <v>0.131882</v>
      </c>
    </row>
    <row r="6045">
      <c r="A6045" s="1">
        <v>2025.0</v>
      </c>
      <c r="B6045" s="1" t="s">
        <v>356</v>
      </c>
      <c r="C6045" s="1">
        <v>680732.0</v>
      </c>
      <c r="D6045" s="1" t="s">
        <v>541</v>
      </c>
      <c r="E6045" s="1" t="s">
        <v>927</v>
      </c>
      <c r="F6045" s="1" t="s">
        <v>927</v>
      </c>
      <c r="G6045" s="1">
        <v>197.0</v>
      </c>
      <c r="H6045" s="1">
        <v>11.14259649</v>
      </c>
      <c r="I6045" s="1">
        <v>4.99</v>
      </c>
      <c r="J6045" s="1">
        <v>4.433857</v>
      </c>
    </row>
    <row r="6046">
      <c r="A6046" s="1">
        <v>2025.0</v>
      </c>
      <c r="B6046" s="1" t="s">
        <v>356</v>
      </c>
      <c r="C6046" s="1">
        <v>680732.0</v>
      </c>
      <c r="D6046" s="1" t="s">
        <v>537</v>
      </c>
      <c r="E6046" s="1" t="s">
        <v>927</v>
      </c>
      <c r="F6046" s="1" t="s">
        <v>927</v>
      </c>
      <c r="G6046" s="1">
        <v>401.0</v>
      </c>
      <c r="H6046" s="1">
        <v>22.68112281</v>
      </c>
      <c r="I6046" s="1">
        <v>5.06</v>
      </c>
      <c r="J6046" s="1">
        <v>8.388399</v>
      </c>
    </row>
    <row r="6047">
      <c r="A6047" s="1">
        <v>2025.0</v>
      </c>
      <c r="B6047" s="1" t="s">
        <v>356</v>
      </c>
      <c r="C6047" s="1">
        <v>680732.0</v>
      </c>
      <c r="D6047" s="1" t="s">
        <v>536</v>
      </c>
      <c r="E6047" s="1" t="s">
        <v>927</v>
      </c>
      <c r="F6047" s="1" t="s">
        <v>927</v>
      </c>
      <c r="G6047" s="1">
        <v>103.0</v>
      </c>
      <c r="H6047" s="1">
        <v>5.825824561</v>
      </c>
      <c r="I6047" s="1">
        <v>4.53</v>
      </c>
      <c r="J6047" s="1">
        <v>3.283231</v>
      </c>
    </row>
    <row r="6048">
      <c r="A6048" s="1">
        <v>2025.0</v>
      </c>
      <c r="B6048" s="1" t="s">
        <v>356</v>
      </c>
      <c r="C6048" s="1">
        <v>680732.0</v>
      </c>
      <c r="D6048" s="1" t="s">
        <v>533</v>
      </c>
      <c r="E6048" s="1" t="s">
        <v>927</v>
      </c>
      <c r="F6048" s="1" t="s">
        <v>927</v>
      </c>
      <c r="G6048" s="1">
        <v>385.0</v>
      </c>
      <c r="H6048" s="1">
        <v>21.77614035</v>
      </c>
      <c r="I6048" s="1">
        <v>5.04</v>
      </c>
      <c r="J6048" s="1">
        <v>8.096826</v>
      </c>
    </row>
    <row r="6049">
      <c r="A6049" s="1">
        <v>2025.0</v>
      </c>
      <c r="B6049" s="1" t="s">
        <v>721</v>
      </c>
      <c r="C6049" s="1">
        <v>674944.0</v>
      </c>
      <c r="D6049" s="1" t="s">
        <v>537</v>
      </c>
      <c r="E6049" s="1" t="s">
        <v>926</v>
      </c>
      <c r="F6049" s="1" t="s">
        <v>926</v>
      </c>
      <c r="G6049" s="1">
        <v>2.0</v>
      </c>
      <c r="H6049" s="1">
        <v>0.134199134</v>
      </c>
      <c r="I6049" s="1">
        <v>4.66</v>
      </c>
      <c r="J6049" s="1">
        <v>0.056567</v>
      </c>
    </row>
    <row r="6050">
      <c r="A6050" s="1">
        <v>2025.0</v>
      </c>
      <c r="B6050" s="1" t="s">
        <v>721</v>
      </c>
      <c r="C6050" s="1">
        <v>674944.0</v>
      </c>
      <c r="D6050" s="1" t="s">
        <v>538</v>
      </c>
      <c r="E6050" s="1" t="s">
        <v>926</v>
      </c>
      <c r="F6050" s="1" t="s">
        <v>926</v>
      </c>
      <c r="G6050" s="1">
        <v>6.0</v>
      </c>
      <c r="H6050" s="1">
        <v>0.402597403</v>
      </c>
      <c r="I6050" s="1">
        <v>4.43</v>
      </c>
      <c r="J6050" s="1">
        <v>0.192496</v>
      </c>
    </row>
    <row r="6051">
      <c r="A6051" s="1">
        <v>2025.0</v>
      </c>
      <c r="B6051" s="1" t="s">
        <v>721</v>
      </c>
      <c r="C6051" s="1">
        <v>674944.0</v>
      </c>
      <c r="D6051" s="1" t="s">
        <v>536</v>
      </c>
      <c r="E6051" s="1" t="s">
        <v>926</v>
      </c>
      <c r="F6051" s="1" t="s">
        <v>926</v>
      </c>
      <c r="G6051" s="1">
        <v>37.0</v>
      </c>
      <c r="H6051" s="1">
        <v>2.482683983</v>
      </c>
      <c r="I6051" s="1">
        <v>5.08</v>
      </c>
      <c r="J6051" s="1">
        <v>0.755499</v>
      </c>
    </row>
    <row r="6052">
      <c r="A6052" s="1">
        <v>2025.0</v>
      </c>
      <c r="B6052" s="1" t="s">
        <v>721</v>
      </c>
      <c r="C6052" s="1">
        <v>674944.0</v>
      </c>
      <c r="D6052" s="1" t="s">
        <v>533</v>
      </c>
      <c r="E6052" s="1" t="s">
        <v>926</v>
      </c>
      <c r="F6052" s="1" t="s">
        <v>926</v>
      </c>
      <c r="G6052" s="1">
        <v>25.0</v>
      </c>
      <c r="H6052" s="1">
        <v>1.677489177</v>
      </c>
      <c r="I6052" s="1">
        <v>5.62</v>
      </c>
      <c r="J6052" s="1">
        <v>0.229688</v>
      </c>
    </row>
    <row r="6053">
      <c r="A6053" s="1">
        <v>2025.0</v>
      </c>
      <c r="B6053" s="1" t="s">
        <v>721</v>
      </c>
      <c r="C6053" s="1">
        <v>674944.0</v>
      </c>
      <c r="D6053" s="1" t="s">
        <v>537</v>
      </c>
      <c r="E6053" s="1" t="s">
        <v>926</v>
      </c>
      <c r="F6053" s="1" t="s">
        <v>927</v>
      </c>
      <c r="G6053" s="1">
        <v>2.0</v>
      </c>
      <c r="H6053" s="1">
        <v>0.134199134</v>
      </c>
      <c r="I6053" s="1">
        <v>3.51</v>
      </c>
      <c r="J6053" s="1">
        <v>0.101293</v>
      </c>
    </row>
    <row r="6054">
      <c r="A6054" s="1">
        <v>2025.0</v>
      </c>
      <c r="B6054" s="1" t="s">
        <v>721</v>
      </c>
      <c r="C6054" s="1">
        <v>674944.0</v>
      </c>
      <c r="D6054" s="1" t="s">
        <v>538</v>
      </c>
      <c r="E6054" s="1" t="s">
        <v>926</v>
      </c>
      <c r="F6054" s="1" t="s">
        <v>927</v>
      </c>
      <c r="G6054" s="1">
        <v>28.0</v>
      </c>
      <c r="H6054" s="1">
        <v>1.878787879</v>
      </c>
      <c r="I6054" s="1">
        <v>4.4</v>
      </c>
      <c r="J6054" s="1">
        <v>0.948502</v>
      </c>
    </row>
    <row r="6055">
      <c r="A6055" s="1">
        <v>2025.0</v>
      </c>
      <c r="B6055" s="1" t="s">
        <v>721</v>
      </c>
      <c r="C6055" s="1">
        <v>674944.0</v>
      </c>
      <c r="D6055" s="1" t="s">
        <v>536</v>
      </c>
      <c r="E6055" s="1" t="s">
        <v>926</v>
      </c>
      <c r="F6055" s="1" t="s">
        <v>927</v>
      </c>
      <c r="G6055" s="1">
        <v>26.0</v>
      </c>
      <c r="H6055" s="1">
        <v>1.744588745</v>
      </c>
      <c r="I6055" s="1">
        <v>5.07</v>
      </c>
      <c r="J6055" s="1">
        <v>0.556307</v>
      </c>
    </row>
    <row r="6056">
      <c r="A6056" s="1">
        <v>2025.0</v>
      </c>
      <c r="B6056" s="1" t="s">
        <v>721</v>
      </c>
      <c r="C6056" s="1">
        <v>674944.0</v>
      </c>
      <c r="D6056" s="1" t="s">
        <v>533</v>
      </c>
      <c r="E6056" s="1" t="s">
        <v>926</v>
      </c>
      <c r="F6056" s="1" t="s">
        <v>927</v>
      </c>
      <c r="G6056" s="1">
        <v>28.0</v>
      </c>
      <c r="H6056" s="1">
        <v>1.878787879</v>
      </c>
      <c r="I6056" s="1">
        <v>4.81</v>
      </c>
      <c r="J6056" s="1">
        <v>0.682513</v>
      </c>
    </row>
    <row r="6057">
      <c r="A6057" s="1">
        <v>2025.0</v>
      </c>
      <c r="B6057" s="1" t="s">
        <v>862</v>
      </c>
      <c r="C6057" s="1">
        <v>663546.0</v>
      </c>
      <c r="D6057" s="1" t="s">
        <v>541</v>
      </c>
      <c r="E6057" s="1" t="s">
        <v>927</v>
      </c>
      <c r="F6057" s="1" t="s">
        <v>926</v>
      </c>
      <c r="G6057" s="1">
        <v>29.0</v>
      </c>
      <c r="H6057" s="1">
        <v>1.712598425</v>
      </c>
      <c r="I6057" s="1">
        <v>4.02</v>
      </c>
      <c r="J6057" s="1">
        <v>1.222066</v>
      </c>
    </row>
    <row r="6058">
      <c r="A6058" s="1">
        <v>2025.0</v>
      </c>
      <c r="B6058" s="1" t="s">
        <v>862</v>
      </c>
      <c r="C6058" s="1">
        <v>663546.0</v>
      </c>
      <c r="D6058" s="1" t="s">
        <v>540</v>
      </c>
      <c r="E6058" s="1" t="s">
        <v>927</v>
      </c>
      <c r="F6058" s="1" t="s">
        <v>926</v>
      </c>
      <c r="G6058" s="1">
        <v>25.0</v>
      </c>
      <c r="H6058" s="1">
        <v>1.476377953</v>
      </c>
      <c r="I6058" s="1">
        <v>5.11</v>
      </c>
      <c r="J6058" s="1">
        <v>0.525314</v>
      </c>
    </row>
    <row r="6059">
      <c r="A6059" s="1">
        <v>2025.0</v>
      </c>
      <c r="B6059" s="1" t="s">
        <v>862</v>
      </c>
      <c r="C6059" s="1">
        <v>663546.0</v>
      </c>
      <c r="D6059" s="1" t="s">
        <v>536</v>
      </c>
      <c r="E6059" s="1" t="s">
        <v>927</v>
      </c>
      <c r="F6059" s="1" t="s">
        <v>926</v>
      </c>
      <c r="G6059" s="1">
        <v>59.0</v>
      </c>
      <c r="H6059" s="1">
        <v>3.484251969</v>
      </c>
      <c r="I6059" s="1">
        <v>4.61</v>
      </c>
      <c r="J6059" s="1">
        <v>1.85342</v>
      </c>
    </row>
    <row r="6060">
      <c r="A6060" s="1">
        <v>2025.0</v>
      </c>
      <c r="B6060" s="1" t="s">
        <v>862</v>
      </c>
      <c r="C6060" s="1">
        <v>663546.0</v>
      </c>
      <c r="D6060" s="1" t="s">
        <v>541</v>
      </c>
      <c r="E6060" s="1" t="s">
        <v>927</v>
      </c>
      <c r="F6060" s="1" t="s">
        <v>927</v>
      </c>
      <c r="G6060" s="1">
        <v>62.0</v>
      </c>
      <c r="H6060" s="1">
        <v>3.661417323</v>
      </c>
      <c r="I6060" s="1">
        <v>5.03</v>
      </c>
      <c r="J6060" s="1">
        <v>1.383843</v>
      </c>
    </row>
    <row r="6061">
      <c r="A6061" s="1">
        <v>2025.0</v>
      </c>
      <c r="B6061" s="1" t="s">
        <v>862</v>
      </c>
      <c r="C6061" s="1">
        <v>663546.0</v>
      </c>
      <c r="D6061" s="1" t="s">
        <v>540</v>
      </c>
      <c r="E6061" s="1" t="s">
        <v>927</v>
      </c>
      <c r="F6061" s="1" t="s">
        <v>927</v>
      </c>
      <c r="G6061" s="1">
        <v>11.0</v>
      </c>
      <c r="H6061" s="1">
        <v>0.649606299</v>
      </c>
      <c r="I6061" s="1">
        <v>4.78</v>
      </c>
      <c r="J6061" s="1">
        <v>0.304803</v>
      </c>
    </row>
    <row r="6062">
      <c r="A6062" s="1">
        <v>2025.0</v>
      </c>
      <c r="B6062" s="1" t="s">
        <v>862</v>
      </c>
      <c r="C6062" s="1">
        <v>663546.0</v>
      </c>
      <c r="D6062" s="1" t="s">
        <v>536</v>
      </c>
      <c r="E6062" s="1" t="s">
        <v>927</v>
      </c>
      <c r="F6062" s="1" t="s">
        <v>927</v>
      </c>
      <c r="G6062" s="1">
        <v>68.0</v>
      </c>
      <c r="H6062" s="1">
        <v>4.015748031</v>
      </c>
      <c r="I6062" s="1">
        <v>4.83</v>
      </c>
      <c r="J6062" s="1">
        <v>1.800401</v>
      </c>
    </row>
    <row r="6063">
      <c r="A6063" s="1">
        <v>2025.0</v>
      </c>
      <c r="B6063" s="1" t="s">
        <v>373</v>
      </c>
      <c r="C6063" s="1">
        <v>640455.0</v>
      </c>
      <c r="D6063" s="1" t="s">
        <v>532</v>
      </c>
      <c r="E6063" s="1" t="s">
        <v>926</v>
      </c>
      <c r="F6063" s="1" t="s">
        <v>926</v>
      </c>
      <c r="G6063" s="1">
        <v>4.0</v>
      </c>
      <c r="H6063" s="1">
        <v>0.221815966</v>
      </c>
      <c r="I6063" s="1">
        <v>5.97</v>
      </c>
      <c r="J6063" s="1">
        <v>0.003163</v>
      </c>
    </row>
    <row r="6064">
      <c r="A6064" s="1">
        <v>2025.0</v>
      </c>
      <c r="B6064" s="1" t="s">
        <v>373</v>
      </c>
      <c r="C6064" s="1">
        <v>640455.0</v>
      </c>
      <c r="D6064" s="1" t="s">
        <v>537</v>
      </c>
      <c r="E6064" s="1" t="s">
        <v>926</v>
      </c>
      <c r="F6064" s="1" t="s">
        <v>926</v>
      </c>
      <c r="G6064" s="1">
        <v>170.0</v>
      </c>
      <c r="H6064" s="1">
        <v>9.42717855</v>
      </c>
      <c r="I6064" s="1">
        <v>5.18</v>
      </c>
      <c r="J6064" s="1">
        <v>3.060755</v>
      </c>
    </row>
    <row r="6065">
      <c r="A6065" s="1">
        <v>2025.0</v>
      </c>
      <c r="B6065" s="1" t="s">
        <v>373</v>
      </c>
      <c r="C6065" s="1">
        <v>640455.0</v>
      </c>
      <c r="D6065" s="1" t="s">
        <v>536</v>
      </c>
      <c r="E6065" s="1" t="s">
        <v>926</v>
      </c>
      <c r="F6065" s="1" t="s">
        <v>926</v>
      </c>
      <c r="G6065" s="1">
        <v>1.0</v>
      </c>
      <c r="H6065" s="1">
        <v>0.055453991</v>
      </c>
      <c r="I6065" s="1">
        <v>4.65</v>
      </c>
      <c r="J6065" s="1">
        <v>0.02953</v>
      </c>
    </row>
    <row r="6066">
      <c r="A6066" s="1">
        <v>2025.0</v>
      </c>
      <c r="B6066" s="1" t="s">
        <v>373</v>
      </c>
      <c r="C6066" s="1">
        <v>640455.0</v>
      </c>
      <c r="D6066" s="1" t="s">
        <v>533</v>
      </c>
      <c r="E6066" s="1" t="s">
        <v>926</v>
      </c>
      <c r="F6066" s="1" t="s">
        <v>926</v>
      </c>
      <c r="G6066" s="1">
        <v>3.0</v>
      </c>
      <c r="H6066" s="1">
        <v>0.166361974</v>
      </c>
      <c r="I6066" s="1">
        <v>4.8</v>
      </c>
      <c r="J6066" s="1">
        <v>0.077602</v>
      </c>
    </row>
    <row r="6067">
      <c r="A6067" s="1">
        <v>2025.0</v>
      </c>
      <c r="B6067" s="1" t="s">
        <v>373</v>
      </c>
      <c r="C6067" s="1">
        <v>640455.0</v>
      </c>
      <c r="D6067" s="1" t="s">
        <v>539</v>
      </c>
      <c r="E6067" s="1" t="s">
        <v>926</v>
      </c>
      <c r="F6067" s="1" t="s">
        <v>926</v>
      </c>
      <c r="G6067" s="1">
        <v>115.0</v>
      </c>
      <c r="H6067" s="1">
        <v>6.377209019</v>
      </c>
      <c r="I6067" s="1">
        <v>5.15</v>
      </c>
      <c r="J6067" s="1">
        <v>2.000938</v>
      </c>
    </row>
    <row r="6068">
      <c r="A6068" s="1">
        <v>2025.0</v>
      </c>
      <c r="B6068" s="1" t="s">
        <v>373</v>
      </c>
      <c r="C6068" s="1">
        <v>640455.0</v>
      </c>
      <c r="D6068" s="1" t="s">
        <v>532</v>
      </c>
      <c r="E6068" s="1" t="s">
        <v>926</v>
      </c>
      <c r="F6068" s="1" t="s">
        <v>927</v>
      </c>
      <c r="G6068" s="1">
        <v>57.0</v>
      </c>
      <c r="H6068" s="1">
        <v>3.160877514</v>
      </c>
      <c r="I6068" s="1">
        <v>4.74</v>
      </c>
      <c r="J6068" s="1">
        <v>1.508904</v>
      </c>
    </row>
    <row r="6069">
      <c r="A6069" s="1">
        <v>2025.0</v>
      </c>
      <c r="B6069" s="1" t="s">
        <v>373</v>
      </c>
      <c r="C6069" s="1">
        <v>640455.0</v>
      </c>
      <c r="D6069" s="1" t="s">
        <v>537</v>
      </c>
      <c r="E6069" s="1" t="s">
        <v>926</v>
      </c>
      <c r="F6069" s="1" t="s">
        <v>927</v>
      </c>
      <c r="G6069" s="1">
        <v>487.0</v>
      </c>
      <c r="H6069" s="1">
        <v>27.00609385</v>
      </c>
      <c r="I6069" s="1">
        <v>4.85</v>
      </c>
      <c r="J6069" s="1">
        <v>12.315592</v>
      </c>
    </row>
    <row r="6070">
      <c r="A6070" s="1">
        <v>2025.0</v>
      </c>
      <c r="B6070" s="1" t="s">
        <v>373</v>
      </c>
      <c r="C6070" s="1">
        <v>640455.0</v>
      </c>
      <c r="D6070" s="1" t="s">
        <v>536</v>
      </c>
      <c r="E6070" s="1" t="s">
        <v>926</v>
      </c>
      <c r="F6070" s="1" t="s">
        <v>927</v>
      </c>
      <c r="G6070" s="1">
        <v>4.0</v>
      </c>
      <c r="H6070" s="1">
        <v>0.221815966</v>
      </c>
      <c r="I6070" s="1">
        <v>2.06</v>
      </c>
      <c r="J6070" s="1">
        <v>0.316456</v>
      </c>
    </row>
    <row r="6071">
      <c r="A6071" s="1">
        <v>2025.0</v>
      </c>
      <c r="B6071" s="1" t="s">
        <v>373</v>
      </c>
      <c r="C6071" s="1">
        <v>640455.0</v>
      </c>
      <c r="D6071" s="1" t="s">
        <v>533</v>
      </c>
      <c r="E6071" s="1" t="s">
        <v>926</v>
      </c>
      <c r="F6071" s="1" t="s">
        <v>927</v>
      </c>
      <c r="G6071" s="1">
        <v>2.0</v>
      </c>
      <c r="H6071" s="1">
        <v>0.110907983</v>
      </c>
      <c r="I6071" s="1">
        <v>4.5</v>
      </c>
      <c r="J6071" s="1">
        <v>0.061576</v>
      </c>
    </row>
    <row r="6072">
      <c r="A6072" s="1">
        <v>2025.0</v>
      </c>
      <c r="B6072" s="1" t="s">
        <v>373</v>
      </c>
      <c r="C6072" s="1">
        <v>640455.0</v>
      </c>
      <c r="D6072" s="1" t="s">
        <v>539</v>
      </c>
      <c r="E6072" s="1" t="s">
        <v>926</v>
      </c>
      <c r="F6072" s="1" t="s">
        <v>927</v>
      </c>
      <c r="G6072" s="1">
        <v>251.0</v>
      </c>
      <c r="H6072" s="1">
        <v>13.91895186</v>
      </c>
      <c r="I6072" s="1">
        <v>5.11</v>
      </c>
      <c r="J6072" s="1">
        <v>4.788634</v>
      </c>
    </row>
    <row r="6073">
      <c r="A6073" s="1">
        <v>2025.0</v>
      </c>
      <c r="B6073" s="1" t="s">
        <v>415</v>
      </c>
      <c r="C6073" s="1">
        <v>656794.0</v>
      </c>
      <c r="D6073" s="1" t="s">
        <v>532</v>
      </c>
      <c r="E6073" s="1" t="s">
        <v>926</v>
      </c>
      <c r="F6073" s="1" t="s">
        <v>926</v>
      </c>
      <c r="G6073" s="1">
        <v>1.0</v>
      </c>
      <c r="H6073" s="1">
        <v>0.059762675</v>
      </c>
      <c r="I6073" s="1">
        <v>4.8</v>
      </c>
      <c r="J6073" s="1">
        <v>0.027455</v>
      </c>
    </row>
    <row r="6074">
      <c r="A6074" s="1">
        <v>2025.0</v>
      </c>
      <c r="B6074" s="1" t="s">
        <v>415</v>
      </c>
      <c r="C6074" s="1">
        <v>656794.0</v>
      </c>
      <c r="D6074" s="1" t="s">
        <v>541</v>
      </c>
      <c r="E6074" s="1" t="s">
        <v>926</v>
      </c>
      <c r="F6074" s="1" t="s">
        <v>926</v>
      </c>
      <c r="G6074" s="1">
        <v>124.0</v>
      </c>
      <c r="H6074" s="1">
        <v>7.410571737</v>
      </c>
      <c r="I6074" s="1">
        <v>5.29</v>
      </c>
      <c r="J6074" s="1">
        <v>1.973974</v>
      </c>
    </row>
    <row r="6075">
      <c r="A6075" s="1">
        <v>2025.0</v>
      </c>
      <c r="B6075" s="1" t="s">
        <v>415</v>
      </c>
      <c r="C6075" s="1">
        <v>656794.0</v>
      </c>
      <c r="D6075" s="1" t="s">
        <v>540</v>
      </c>
      <c r="E6075" s="1" t="s">
        <v>926</v>
      </c>
      <c r="F6075" s="1" t="s">
        <v>926</v>
      </c>
      <c r="G6075" s="1">
        <v>48.0</v>
      </c>
      <c r="H6075" s="1">
        <v>2.868608414</v>
      </c>
      <c r="I6075" s="1">
        <v>4.37</v>
      </c>
      <c r="J6075" s="1">
        <v>1.702124</v>
      </c>
    </row>
    <row r="6076">
      <c r="A6076" s="1">
        <v>2025.0</v>
      </c>
      <c r="B6076" s="1" t="s">
        <v>415</v>
      </c>
      <c r="C6076" s="1">
        <v>656794.0</v>
      </c>
      <c r="D6076" s="1" t="s">
        <v>537</v>
      </c>
      <c r="E6076" s="1" t="s">
        <v>926</v>
      </c>
      <c r="F6076" s="1" t="s">
        <v>926</v>
      </c>
      <c r="G6076" s="1">
        <v>126.0</v>
      </c>
      <c r="H6076" s="1">
        <v>7.530097087</v>
      </c>
      <c r="I6076" s="1">
        <v>5.02</v>
      </c>
      <c r="J6076" s="1">
        <v>2.725522</v>
      </c>
    </row>
    <row r="6077">
      <c r="A6077" s="1">
        <v>2025.0</v>
      </c>
      <c r="B6077" s="1" t="s">
        <v>415</v>
      </c>
      <c r="C6077" s="1">
        <v>656794.0</v>
      </c>
      <c r="D6077" s="1" t="s">
        <v>536</v>
      </c>
      <c r="E6077" s="1" t="s">
        <v>926</v>
      </c>
      <c r="F6077" s="1" t="s">
        <v>926</v>
      </c>
      <c r="G6077" s="1">
        <v>194.0</v>
      </c>
      <c r="H6077" s="1">
        <v>11.59395901</v>
      </c>
      <c r="I6077" s="1">
        <v>5.61</v>
      </c>
      <c r="J6077" s="1">
        <v>1.862433</v>
      </c>
    </row>
    <row r="6078">
      <c r="A6078" s="1">
        <v>2025.0</v>
      </c>
      <c r="B6078" s="1" t="s">
        <v>415</v>
      </c>
      <c r="C6078" s="1">
        <v>656794.0</v>
      </c>
      <c r="D6078" s="1" t="s">
        <v>532</v>
      </c>
      <c r="E6078" s="1" t="s">
        <v>926</v>
      </c>
      <c r="F6078" s="1" t="s">
        <v>927</v>
      </c>
      <c r="G6078" s="1">
        <v>106.0</v>
      </c>
      <c r="H6078" s="1">
        <v>6.334843581</v>
      </c>
      <c r="I6078" s="1">
        <v>4.76</v>
      </c>
      <c r="J6078" s="1">
        <v>2.768023</v>
      </c>
    </row>
    <row r="6079">
      <c r="A6079" s="1">
        <v>2025.0</v>
      </c>
      <c r="B6079" s="1" t="s">
        <v>415</v>
      </c>
      <c r="C6079" s="1">
        <v>656794.0</v>
      </c>
      <c r="D6079" s="1" t="s">
        <v>541</v>
      </c>
      <c r="E6079" s="1" t="s">
        <v>926</v>
      </c>
      <c r="F6079" s="1" t="s">
        <v>927</v>
      </c>
      <c r="G6079" s="1">
        <v>304.0</v>
      </c>
      <c r="H6079" s="1">
        <v>18.16785329</v>
      </c>
      <c r="I6079" s="1">
        <v>5.16</v>
      </c>
      <c r="J6079" s="1">
        <v>5.490426</v>
      </c>
    </row>
    <row r="6080">
      <c r="A6080" s="1">
        <v>2025.0</v>
      </c>
      <c r="B6080" s="1" t="s">
        <v>415</v>
      </c>
      <c r="C6080" s="1">
        <v>656794.0</v>
      </c>
      <c r="D6080" s="1" t="s">
        <v>540</v>
      </c>
      <c r="E6080" s="1" t="s">
        <v>926</v>
      </c>
      <c r="F6080" s="1" t="s">
        <v>927</v>
      </c>
      <c r="G6080" s="1">
        <v>163.0</v>
      </c>
      <c r="H6080" s="1">
        <v>9.741316073</v>
      </c>
      <c r="I6080" s="1">
        <v>4.79</v>
      </c>
      <c r="J6080" s="1">
        <v>4.297696</v>
      </c>
    </row>
    <row r="6081">
      <c r="A6081" s="1">
        <v>2025.0</v>
      </c>
      <c r="B6081" s="1" t="s">
        <v>415</v>
      </c>
      <c r="C6081" s="1">
        <v>656794.0</v>
      </c>
      <c r="D6081" s="1" t="s">
        <v>537</v>
      </c>
      <c r="E6081" s="1" t="s">
        <v>926</v>
      </c>
      <c r="F6081" s="1" t="s">
        <v>927</v>
      </c>
      <c r="G6081" s="1">
        <v>337.0</v>
      </c>
      <c r="H6081" s="1">
        <v>20.14002157</v>
      </c>
      <c r="I6081" s="1">
        <v>4.74</v>
      </c>
      <c r="J6081" s="1">
        <v>9.205743</v>
      </c>
    </row>
    <row r="6082">
      <c r="A6082" s="1">
        <v>2025.0</v>
      </c>
      <c r="B6082" s="1" t="s">
        <v>415</v>
      </c>
      <c r="C6082" s="1">
        <v>656794.0</v>
      </c>
      <c r="D6082" s="1" t="s">
        <v>536</v>
      </c>
      <c r="E6082" s="1" t="s">
        <v>926</v>
      </c>
      <c r="F6082" s="1" t="s">
        <v>927</v>
      </c>
      <c r="G6082" s="1">
        <v>142.0</v>
      </c>
      <c r="H6082" s="1">
        <v>8.486299892</v>
      </c>
      <c r="I6082" s="1">
        <v>4.83</v>
      </c>
      <c r="J6082" s="1">
        <v>3.620167</v>
      </c>
    </row>
    <row r="6083">
      <c r="A6083" s="1">
        <v>2025.0</v>
      </c>
      <c r="B6083" s="1" t="s">
        <v>797</v>
      </c>
      <c r="C6083" s="1">
        <v>669308.0</v>
      </c>
      <c r="D6083" s="1" t="s">
        <v>532</v>
      </c>
      <c r="E6083" s="1" t="s">
        <v>927</v>
      </c>
      <c r="F6083" s="1" t="s">
        <v>926</v>
      </c>
      <c r="G6083" s="1">
        <v>28.0</v>
      </c>
      <c r="H6083" s="1">
        <v>1.53346856</v>
      </c>
      <c r="I6083" s="1">
        <v>5.05</v>
      </c>
      <c r="J6083" s="1">
        <v>0.566386</v>
      </c>
    </row>
    <row r="6084">
      <c r="A6084" s="1">
        <v>2025.0</v>
      </c>
      <c r="B6084" s="1" t="s">
        <v>797</v>
      </c>
      <c r="C6084" s="1">
        <v>669308.0</v>
      </c>
      <c r="D6084" s="1" t="s">
        <v>537</v>
      </c>
      <c r="E6084" s="1" t="s">
        <v>927</v>
      </c>
      <c r="F6084" s="1" t="s">
        <v>926</v>
      </c>
      <c r="G6084" s="1">
        <v>117.0</v>
      </c>
      <c r="H6084" s="1">
        <v>6.407707911</v>
      </c>
      <c r="I6084" s="1">
        <v>4.55</v>
      </c>
      <c r="J6084" s="1">
        <v>3.684902</v>
      </c>
    </row>
    <row r="6085">
      <c r="A6085" s="1">
        <v>2025.0</v>
      </c>
      <c r="B6085" s="1" t="s">
        <v>797</v>
      </c>
      <c r="C6085" s="1">
        <v>669308.0</v>
      </c>
      <c r="D6085" s="1" t="s">
        <v>533</v>
      </c>
      <c r="E6085" s="1" t="s">
        <v>927</v>
      </c>
      <c r="F6085" s="1" t="s">
        <v>926</v>
      </c>
      <c r="G6085" s="1">
        <v>59.0</v>
      </c>
      <c r="H6085" s="1">
        <v>3.231237323</v>
      </c>
      <c r="I6085" s="1">
        <v>5.14</v>
      </c>
      <c r="J6085" s="1">
        <v>1.135716</v>
      </c>
    </row>
    <row r="6086">
      <c r="A6086" s="1">
        <v>2025.0</v>
      </c>
      <c r="B6086" s="1" t="s">
        <v>797</v>
      </c>
      <c r="C6086" s="1">
        <v>669308.0</v>
      </c>
      <c r="D6086" s="1" t="s">
        <v>539</v>
      </c>
      <c r="E6086" s="1" t="s">
        <v>927</v>
      </c>
      <c r="F6086" s="1" t="s">
        <v>926</v>
      </c>
      <c r="G6086" s="1">
        <v>11.0</v>
      </c>
      <c r="H6086" s="1">
        <v>0.602434077</v>
      </c>
      <c r="I6086" s="1">
        <v>4.38</v>
      </c>
      <c r="J6086" s="1">
        <v>0.353118</v>
      </c>
    </row>
    <row r="6087">
      <c r="A6087" s="1">
        <v>2025.0</v>
      </c>
      <c r="B6087" s="1" t="s">
        <v>797</v>
      </c>
      <c r="C6087" s="1">
        <v>669308.0</v>
      </c>
      <c r="D6087" s="1" t="s">
        <v>537</v>
      </c>
      <c r="E6087" s="1" t="s">
        <v>927</v>
      </c>
      <c r="F6087" s="1" t="s">
        <v>927</v>
      </c>
      <c r="G6087" s="1">
        <v>138.0</v>
      </c>
      <c r="H6087" s="1">
        <v>7.557809331</v>
      </c>
      <c r="I6087" s="1">
        <v>4.68</v>
      </c>
      <c r="J6087" s="1">
        <v>3.95481</v>
      </c>
    </row>
    <row r="6088">
      <c r="A6088" s="1">
        <v>2025.0</v>
      </c>
      <c r="B6088" s="1" t="s">
        <v>797</v>
      </c>
      <c r="C6088" s="1">
        <v>669308.0</v>
      </c>
      <c r="D6088" s="1" t="s">
        <v>533</v>
      </c>
      <c r="E6088" s="1" t="s">
        <v>927</v>
      </c>
      <c r="F6088" s="1" t="s">
        <v>927</v>
      </c>
      <c r="G6088" s="1">
        <v>100.0</v>
      </c>
      <c r="H6088" s="1">
        <v>5.476673428</v>
      </c>
      <c r="I6088" s="1">
        <v>5.0</v>
      </c>
      <c r="J6088" s="1">
        <v>2.16809</v>
      </c>
    </row>
    <row r="6089">
      <c r="A6089" s="1">
        <v>2025.0</v>
      </c>
      <c r="B6089" s="1" t="s">
        <v>797</v>
      </c>
      <c r="C6089" s="1">
        <v>669308.0</v>
      </c>
      <c r="D6089" s="1" t="s">
        <v>539</v>
      </c>
      <c r="E6089" s="1" t="s">
        <v>927</v>
      </c>
      <c r="F6089" s="1" t="s">
        <v>927</v>
      </c>
      <c r="G6089" s="1">
        <v>40.0</v>
      </c>
      <c r="H6089" s="1">
        <v>2.190669371</v>
      </c>
      <c r="I6089" s="1">
        <v>4.95</v>
      </c>
      <c r="J6089" s="1">
        <v>0.852891</v>
      </c>
    </row>
    <row r="6090">
      <c r="A6090" s="1">
        <v>2025.0</v>
      </c>
      <c r="B6090" s="1" t="s">
        <v>499</v>
      </c>
      <c r="C6090" s="1">
        <v>622554.0</v>
      </c>
      <c r="D6090" s="1" t="s">
        <v>541</v>
      </c>
      <c r="E6090" s="1" t="s">
        <v>927</v>
      </c>
      <c r="F6090" s="1" t="s">
        <v>926</v>
      </c>
      <c r="G6090" s="1">
        <v>50.0</v>
      </c>
      <c r="H6090" s="1">
        <v>2.845897669</v>
      </c>
      <c r="I6090" s="1">
        <v>4.62</v>
      </c>
      <c r="J6090" s="1">
        <v>1.473565</v>
      </c>
    </row>
    <row r="6091">
      <c r="A6091" s="1">
        <v>2025.0</v>
      </c>
      <c r="B6091" s="1" t="s">
        <v>499</v>
      </c>
      <c r="C6091" s="1">
        <v>622554.0</v>
      </c>
      <c r="D6091" s="1" t="s">
        <v>537</v>
      </c>
      <c r="E6091" s="1" t="s">
        <v>927</v>
      </c>
      <c r="F6091" s="1" t="s">
        <v>926</v>
      </c>
      <c r="G6091" s="1">
        <v>233.0</v>
      </c>
      <c r="H6091" s="1">
        <v>13.26188314</v>
      </c>
      <c r="I6091" s="1">
        <v>4.96</v>
      </c>
      <c r="J6091" s="1">
        <v>5.369189</v>
      </c>
    </row>
    <row r="6092">
      <c r="A6092" s="1">
        <v>2025.0</v>
      </c>
      <c r="B6092" s="1" t="s">
        <v>499</v>
      </c>
      <c r="C6092" s="1">
        <v>622554.0</v>
      </c>
      <c r="D6092" s="1" t="s">
        <v>538</v>
      </c>
      <c r="E6092" s="1" t="s">
        <v>927</v>
      </c>
      <c r="F6092" s="1" t="s">
        <v>926</v>
      </c>
      <c r="G6092" s="1">
        <v>140.0</v>
      </c>
      <c r="H6092" s="1">
        <v>7.968513473</v>
      </c>
      <c r="I6092" s="1">
        <v>4.39</v>
      </c>
      <c r="J6092" s="1">
        <v>4.731444</v>
      </c>
    </row>
    <row r="6093">
      <c r="A6093" s="1">
        <v>2025.0</v>
      </c>
      <c r="B6093" s="1" t="s">
        <v>499</v>
      </c>
      <c r="C6093" s="1">
        <v>622554.0</v>
      </c>
      <c r="D6093" s="1" t="s">
        <v>536</v>
      </c>
      <c r="E6093" s="1" t="s">
        <v>927</v>
      </c>
      <c r="F6093" s="1" t="s">
        <v>926</v>
      </c>
      <c r="G6093" s="1">
        <v>25.0</v>
      </c>
      <c r="H6093" s="1">
        <v>1.422948834</v>
      </c>
      <c r="I6093" s="1">
        <v>4.73</v>
      </c>
      <c r="J6093" s="1">
        <v>0.719829</v>
      </c>
    </row>
    <row r="6094">
      <c r="A6094" s="1">
        <v>2025.0</v>
      </c>
      <c r="B6094" s="1" t="s">
        <v>499</v>
      </c>
      <c r="C6094" s="1">
        <v>622554.0</v>
      </c>
      <c r="D6094" s="1" t="s">
        <v>539</v>
      </c>
      <c r="E6094" s="1" t="s">
        <v>927</v>
      </c>
      <c r="F6094" s="1" t="s">
        <v>926</v>
      </c>
      <c r="G6094" s="1">
        <v>10.0</v>
      </c>
      <c r="H6094" s="1">
        <v>0.569179534</v>
      </c>
      <c r="I6094" s="1">
        <v>4.71</v>
      </c>
      <c r="J6094" s="1">
        <v>0.260582</v>
      </c>
    </row>
    <row r="6095">
      <c r="A6095" s="1">
        <v>2025.0</v>
      </c>
      <c r="B6095" s="1" t="s">
        <v>499</v>
      </c>
      <c r="C6095" s="1">
        <v>622554.0</v>
      </c>
      <c r="D6095" s="1" t="s">
        <v>541</v>
      </c>
      <c r="E6095" s="1" t="s">
        <v>927</v>
      </c>
      <c r="F6095" s="1" t="s">
        <v>927</v>
      </c>
      <c r="G6095" s="1">
        <v>4.0</v>
      </c>
      <c r="H6095" s="1">
        <v>0.227671814</v>
      </c>
      <c r="I6095" s="1">
        <v>3.81</v>
      </c>
      <c r="J6095" s="1">
        <v>0.17804</v>
      </c>
    </row>
    <row r="6096">
      <c r="A6096" s="1">
        <v>2025.0</v>
      </c>
      <c r="B6096" s="1" t="s">
        <v>499</v>
      </c>
      <c r="C6096" s="1">
        <v>622554.0</v>
      </c>
      <c r="D6096" s="1" t="s">
        <v>537</v>
      </c>
      <c r="E6096" s="1" t="s">
        <v>927</v>
      </c>
      <c r="F6096" s="1" t="s">
        <v>927</v>
      </c>
      <c r="G6096" s="1">
        <v>246.0</v>
      </c>
      <c r="H6096" s="1">
        <v>14.00181653</v>
      </c>
      <c r="I6096" s="1">
        <v>4.97</v>
      </c>
      <c r="J6096" s="1">
        <v>5.598845</v>
      </c>
    </row>
    <row r="6097">
      <c r="A6097" s="1">
        <v>2025.0</v>
      </c>
      <c r="B6097" s="1" t="s">
        <v>499</v>
      </c>
      <c r="C6097" s="1">
        <v>622554.0</v>
      </c>
      <c r="D6097" s="1" t="s">
        <v>538</v>
      </c>
      <c r="E6097" s="1" t="s">
        <v>927</v>
      </c>
      <c r="F6097" s="1" t="s">
        <v>927</v>
      </c>
      <c r="G6097" s="1">
        <v>42.0</v>
      </c>
      <c r="H6097" s="1">
        <v>2.390554042</v>
      </c>
      <c r="I6097" s="1">
        <v>4.64</v>
      </c>
      <c r="J6097" s="1">
        <v>1.174685</v>
      </c>
    </row>
    <row r="6098">
      <c r="A6098" s="1">
        <v>2025.0</v>
      </c>
      <c r="B6098" s="1" t="s">
        <v>499</v>
      </c>
      <c r="C6098" s="1">
        <v>622554.0</v>
      </c>
      <c r="D6098" s="1" t="s">
        <v>536</v>
      </c>
      <c r="E6098" s="1" t="s">
        <v>927</v>
      </c>
      <c r="F6098" s="1" t="s">
        <v>927</v>
      </c>
      <c r="G6098" s="1">
        <v>121.0</v>
      </c>
      <c r="H6098" s="1">
        <v>6.887072358</v>
      </c>
      <c r="I6098" s="1">
        <v>4.91</v>
      </c>
      <c r="J6098" s="1">
        <v>3.006843</v>
      </c>
    </row>
    <row r="6099">
      <c r="A6099" s="1">
        <v>2025.0</v>
      </c>
      <c r="B6099" s="1" t="s">
        <v>499</v>
      </c>
      <c r="C6099" s="1">
        <v>622554.0</v>
      </c>
      <c r="D6099" s="1" t="s">
        <v>533</v>
      </c>
      <c r="E6099" s="1" t="s">
        <v>927</v>
      </c>
      <c r="F6099" s="1" t="s">
        <v>927</v>
      </c>
      <c r="G6099" s="1">
        <v>4.0</v>
      </c>
      <c r="H6099" s="1">
        <v>0.227671814</v>
      </c>
      <c r="I6099" s="1">
        <v>4.18</v>
      </c>
      <c r="J6099" s="1">
        <v>0.147326</v>
      </c>
    </row>
    <row r="6100">
      <c r="A6100" s="1">
        <v>2025.0</v>
      </c>
      <c r="B6100" s="1" t="s">
        <v>499</v>
      </c>
      <c r="C6100" s="1">
        <v>622554.0</v>
      </c>
      <c r="D6100" s="1" t="s">
        <v>539</v>
      </c>
      <c r="E6100" s="1" t="s">
        <v>927</v>
      </c>
      <c r="F6100" s="1" t="s">
        <v>927</v>
      </c>
      <c r="G6100" s="1">
        <v>226.0</v>
      </c>
      <c r="H6100" s="1">
        <v>12.86345746</v>
      </c>
      <c r="I6100" s="1">
        <v>4.7</v>
      </c>
      <c r="J6100" s="1">
        <v>6.302517</v>
      </c>
    </row>
    <row r="6101">
      <c r="A6101" s="1">
        <v>2025.0</v>
      </c>
      <c r="B6101" s="1" t="s">
        <v>488</v>
      </c>
      <c r="C6101" s="1">
        <v>678020.0</v>
      </c>
      <c r="D6101" s="1" t="s">
        <v>537</v>
      </c>
      <c r="E6101" s="1" t="s">
        <v>927</v>
      </c>
      <c r="F6101" s="1" t="s">
        <v>926</v>
      </c>
      <c r="G6101" s="1">
        <v>183.0</v>
      </c>
      <c r="H6101" s="1">
        <v>11.43149606</v>
      </c>
      <c r="I6101" s="1">
        <v>4.63</v>
      </c>
      <c r="J6101" s="1">
        <v>5.552521</v>
      </c>
    </row>
    <row r="6102">
      <c r="A6102" s="1">
        <v>2025.0</v>
      </c>
      <c r="B6102" s="1" t="s">
        <v>488</v>
      </c>
      <c r="C6102" s="1">
        <v>678020.0</v>
      </c>
      <c r="D6102" s="1" t="s">
        <v>538</v>
      </c>
      <c r="E6102" s="1" t="s">
        <v>927</v>
      </c>
      <c r="F6102" s="1" t="s">
        <v>926</v>
      </c>
      <c r="G6102" s="1">
        <v>112.0</v>
      </c>
      <c r="H6102" s="1">
        <v>6.996325459</v>
      </c>
      <c r="I6102" s="1">
        <v>5.01</v>
      </c>
      <c r="J6102" s="1">
        <v>2.522048</v>
      </c>
    </row>
    <row r="6103">
      <c r="A6103" s="1">
        <v>2025.0</v>
      </c>
      <c r="B6103" s="1" t="s">
        <v>488</v>
      </c>
      <c r="C6103" s="1">
        <v>678020.0</v>
      </c>
      <c r="D6103" s="1" t="s">
        <v>533</v>
      </c>
      <c r="E6103" s="1" t="s">
        <v>927</v>
      </c>
      <c r="F6103" s="1" t="s">
        <v>926</v>
      </c>
      <c r="G6103" s="1">
        <v>15.0</v>
      </c>
      <c r="H6103" s="1">
        <v>0.937007874</v>
      </c>
      <c r="I6103" s="1">
        <v>5.34</v>
      </c>
      <c r="J6103" s="1">
        <v>0.212198</v>
      </c>
    </row>
    <row r="6104">
      <c r="A6104" s="1">
        <v>2025.0</v>
      </c>
      <c r="B6104" s="1" t="s">
        <v>488</v>
      </c>
      <c r="C6104" s="1">
        <v>678020.0</v>
      </c>
      <c r="D6104" s="1" t="s">
        <v>537</v>
      </c>
      <c r="E6104" s="1" t="s">
        <v>927</v>
      </c>
      <c r="F6104" s="1" t="s">
        <v>927</v>
      </c>
      <c r="G6104" s="1">
        <v>159.0</v>
      </c>
      <c r="H6104" s="1">
        <v>9.932283465</v>
      </c>
      <c r="I6104" s="1">
        <v>4.71</v>
      </c>
      <c r="J6104" s="1">
        <v>4.425665</v>
      </c>
    </row>
    <row r="6105">
      <c r="A6105" s="1">
        <v>2025.0</v>
      </c>
      <c r="B6105" s="1" t="s">
        <v>488</v>
      </c>
      <c r="C6105" s="1">
        <v>678020.0</v>
      </c>
      <c r="D6105" s="1" t="s">
        <v>538</v>
      </c>
      <c r="E6105" s="1" t="s">
        <v>927</v>
      </c>
      <c r="F6105" s="1" t="s">
        <v>927</v>
      </c>
      <c r="G6105" s="1">
        <v>52.0</v>
      </c>
      <c r="H6105" s="1">
        <v>3.248293963</v>
      </c>
      <c r="I6105" s="1">
        <v>5.16</v>
      </c>
      <c r="J6105" s="1">
        <v>0.942091</v>
      </c>
    </row>
    <row r="6106">
      <c r="A6106" s="1">
        <v>2025.0</v>
      </c>
      <c r="B6106" s="1" t="s">
        <v>488</v>
      </c>
      <c r="C6106" s="1">
        <v>678020.0</v>
      </c>
      <c r="D6106" s="1" t="s">
        <v>536</v>
      </c>
      <c r="E6106" s="1" t="s">
        <v>927</v>
      </c>
      <c r="F6106" s="1" t="s">
        <v>927</v>
      </c>
      <c r="G6106" s="1">
        <v>4.0</v>
      </c>
      <c r="H6106" s="1">
        <v>0.249868766</v>
      </c>
      <c r="I6106" s="1">
        <v>4.44</v>
      </c>
      <c r="J6106" s="1">
        <v>0.129673</v>
      </c>
    </row>
    <row r="6107">
      <c r="A6107" s="1">
        <v>2025.0</v>
      </c>
      <c r="B6107" s="1" t="s">
        <v>488</v>
      </c>
      <c r="C6107" s="1">
        <v>678020.0</v>
      </c>
      <c r="D6107" s="1" t="s">
        <v>533</v>
      </c>
      <c r="E6107" s="1" t="s">
        <v>927</v>
      </c>
      <c r="F6107" s="1" t="s">
        <v>927</v>
      </c>
      <c r="G6107" s="1">
        <v>110.0</v>
      </c>
      <c r="H6107" s="1">
        <v>6.871391076</v>
      </c>
      <c r="I6107" s="1">
        <v>4.98</v>
      </c>
      <c r="J6107" s="1">
        <v>2.478178</v>
      </c>
    </row>
    <row r="6108">
      <c r="A6108" s="1">
        <v>2025.0</v>
      </c>
      <c r="B6108" s="1" t="s">
        <v>863</v>
      </c>
      <c r="C6108" s="1">
        <v>686751.0</v>
      </c>
      <c r="D6108" s="1" t="s">
        <v>541</v>
      </c>
      <c r="E6108" s="1" t="s">
        <v>927</v>
      </c>
      <c r="F6108" s="1" t="s">
        <v>926</v>
      </c>
      <c r="G6108" s="1">
        <v>9.0</v>
      </c>
      <c r="H6108" s="1">
        <v>0.53271028</v>
      </c>
      <c r="I6108" s="1">
        <v>4.66</v>
      </c>
      <c r="J6108" s="1">
        <v>0.243828</v>
      </c>
    </row>
    <row r="6109">
      <c r="A6109" s="1">
        <v>2025.0</v>
      </c>
      <c r="B6109" s="1" t="s">
        <v>863</v>
      </c>
      <c r="C6109" s="1">
        <v>686751.0</v>
      </c>
      <c r="D6109" s="1" t="s">
        <v>537</v>
      </c>
      <c r="E6109" s="1" t="s">
        <v>927</v>
      </c>
      <c r="F6109" s="1" t="s">
        <v>926</v>
      </c>
      <c r="G6109" s="1">
        <v>62.0</v>
      </c>
      <c r="H6109" s="1">
        <v>3.669781931</v>
      </c>
      <c r="I6109" s="1">
        <v>4.6</v>
      </c>
      <c r="J6109" s="1">
        <v>1.886937</v>
      </c>
    </row>
    <row r="6110">
      <c r="A6110" s="1">
        <v>2025.0</v>
      </c>
      <c r="B6110" s="1" t="s">
        <v>863</v>
      </c>
      <c r="C6110" s="1">
        <v>686751.0</v>
      </c>
      <c r="D6110" s="1" t="s">
        <v>538</v>
      </c>
      <c r="E6110" s="1" t="s">
        <v>927</v>
      </c>
      <c r="F6110" s="1" t="s">
        <v>926</v>
      </c>
      <c r="G6110" s="1">
        <v>15.0</v>
      </c>
      <c r="H6110" s="1">
        <v>0.887850467</v>
      </c>
      <c r="I6110" s="1">
        <v>4.92</v>
      </c>
      <c r="J6110" s="1">
        <v>0.351775</v>
      </c>
    </row>
    <row r="6111">
      <c r="A6111" s="1">
        <v>2025.0</v>
      </c>
      <c r="B6111" s="1" t="s">
        <v>863</v>
      </c>
      <c r="C6111" s="1">
        <v>686751.0</v>
      </c>
      <c r="D6111" s="1" t="s">
        <v>533</v>
      </c>
      <c r="E6111" s="1" t="s">
        <v>927</v>
      </c>
      <c r="F6111" s="1" t="s">
        <v>926</v>
      </c>
      <c r="G6111" s="1">
        <v>35.0</v>
      </c>
      <c r="H6111" s="1">
        <v>2.07165109</v>
      </c>
      <c r="I6111" s="1">
        <v>5.22</v>
      </c>
      <c r="J6111" s="1">
        <v>0.629298</v>
      </c>
    </row>
    <row r="6112">
      <c r="A6112" s="1">
        <v>2025.0</v>
      </c>
      <c r="B6112" s="1" t="s">
        <v>863</v>
      </c>
      <c r="C6112" s="1">
        <v>686751.0</v>
      </c>
      <c r="D6112" s="1" t="s">
        <v>541</v>
      </c>
      <c r="E6112" s="1" t="s">
        <v>927</v>
      </c>
      <c r="F6112" s="1" t="s">
        <v>927</v>
      </c>
      <c r="G6112" s="1">
        <v>6.0</v>
      </c>
      <c r="H6112" s="1">
        <v>0.355140187</v>
      </c>
      <c r="I6112" s="1">
        <v>4.89</v>
      </c>
      <c r="J6112" s="1">
        <v>0.136405</v>
      </c>
    </row>
    <row r="6113">
      <c r="A6113" s="1">
        <v>2025.0</v>
      </c>
      <c r="B6113" s="1" t="s">
        <v>863</v>
      </c>
      <c r="C6113" s="1">
        <v>686751.0</v>
      </c>
      <c r="D6113" s="1" t="s">
        <v>537</v>
      </c>
      <c r="E6113" s="1" t="s">
        <v>927</v>
      </c>
      <c r="F6113" s="1" t="s">
        <v>927</v>
      </c>
      <c r="G6113" s="1">
        <v>48.0</v>
      </c>
      <c r="H6113" s="1">
        <v>2.841121495</v>
      </c>
      <c r="I6113" s="1">
        <v>5.25</v>
      </c>
      <c r="J6113" s="1">
        <v>0.82996</v>
      </c>
    </row>
    <row r="6114">
      <c r="A6114" s="1">
        <v>2025.0</v>
      </c>
      <c r="B6114" s="1" t="s">
        <v>863</v>
      </c>
      <c r="C6114" s="1">
        <v>686751.0</v>
      </c>
      <c r="D6114" s="1" t="s">
        <v>538</v>
      </c>
      <c r="E6114" s="1" t="s">
        <v>927</v>
      </c>
      <c r="F6114" s="1" t="s">
        <v>927</v>
      </c>
      <c r="G6114" s="1">
        <v>1.0</v>
      </c>
      <c r="H6114" s="1">
        <v>0.059190031</v>
      </c>
      <c r="I6114" s="1">
        <v>5.59</v>
      </c>
      <c r="J6114" s="1">
        <v>0.013454</v>
      </c>
    </row>
    <row r="6115">
      <c r="A6115" s="1">
        <v>2025.0</v>
      </c>
      <c r="B6115" s="1" t="s">
        <v>863</v>
      </c>
      <c r="C6115" s="1">
        <v>686751.0</v>
      </c>
      <c r="D6115" s="1" t="s">
        <v>533</v>
      </c>
      <c r="E6115" s="1" t="s">
        <v>927</v>
      </c>
      <c r="F6115" s="1" t="s">
        <v>927</v>
      </c>
      <c r="G6115" s="1">
        <v>38.0</v>
      </c>
      <c r="H6115" s="1">
        <v>2.249221184</v>
      </c>
      <c r="I6115" s="1">
        <v>5.28</v>
      </c>
      <c r="J6115" s="1">
        <v>0.651599</v>
      </c>
    </row>
    <row r="6116">
      <c r="A6116" s="1">
        <v>2025.0</v>
      </c>
      <c r="B6116" s="1" t="s">
        <v>452</v>
      </c>
      <c r="C6116" s="1">
        <v>607625.0</v>
      </c>
      <c r="D6116" s="1" t="s">
        <v>532</v>
      </c>
      <c r="E6116" s="1" t="s">
        <v>927</v>
      </c>
      <c r="F6116" s="1" t="s">
        <v>926</v>
      </c>
      <c r="G6116" s="1">
        <v>180.0</v>
      </c>
      <c r="H6116" s="1">
        <v>11.00084104</v>
      </c>
      <c r="I6116" s="1">
        <v>5.14</v>
      </c>
      <c r="J6116" s="1">
        <v>3.544303</v>
      </c>
    </row>
    <row r="6117">
      <c r="A6117" s="1">
        <v>2025.0</v>
      </c>
      <c r="B6117" s="1" t="s">
        <v>452</v>
      </c>
      <c r="C6117" s="1">
        <v>607625.0</v>
      </c>
      <c r="D6117" s="1" t="s">
        <v>541</v>
      </c>
      <c r="E6117" s="1" t="s">
        <v>927</v>
      </c>
      <c r="F6117" s="1" t="s">
        <v>926</v>
      </c>
      <c r="G6117" s="1">
        <v>493.0</v>
      </c>
      <c r="H6117" s="1">
        <v>30.1300813</v>
      </c>
      <c r="I6117" s="1">
        <v>5.16</v>
      </c>
      <c r="J6117" s="1">
        <v>9.300411</v>
      </c>
    </row>
    <row r="6118">
      <c r="A6118" s="1">
        <v>2025.0</v>
      </c>
      <c r="B6118" s="1" t="s">
        <v>452</v>
      </c>
      <c r="C6118" s="1">
        <v>607625.0</v>
      </c>
      <c r="D6118" s="1" t="s">
        <v>540</v>
      </c>
      <c r="E6118" s="1" t="s">
        <v>927</v>
      </c>
      <c r="F6118" s="1" t="s">
        <v>926</v>
      </c>
      <c r="G6118" s="1">
        <v>205.0</v>
      </c>
      <c r="H6118" s="1">
        <v>12.52873563</v>
      </c>
      <c r="I6118" s="1">
        <v>4.74</v>
      </c>
      <c r="J6118" s="1">
        <v>5.613471</v>
      </c>
    </row>
    <row r="6119">
      <c r="A6119" s="1">
        <v>2025.0</v>
      </c>
      <c r="B6119" s="1" t="s">
        <v>452</v>
      </c>
      <c r="C6119" s="1">
        <v>607625.0</v>
      </c>
      <c r="D6119" s="1" t="s">
        <v>537</v>
      </c>
      <c r="E6119" s="1" t="s">
        <v>927</v>
      </c>
      <c r="F6119" s="1" t="s">
        <v>926</v>
      </c>
      <c r="G6119" s="1">
        <v>328.0</v>
      </c>
      <c r="H6119" s="1">
        <v>20.04597701</v>
      </c>
      <c r="I6119" s="1">
        <v>4.62</v>
      </c>
      <c r="J6119" s="1">
        <v>10.213646</v>
      </c>
    </row>
    <row r="6120">
      <c r="A6120" s="1">
        <v>2025.0</v>
      </c>
      <c r="B6120" s="1" t="s">
        <v>452</v>
      </c>
      <c r="C6120" s="1">
        <v>607625.0</v>
      </c>
      <c r="D6120" s="1" t="s">
        <v>538</v>
      </c>
      <c r="E6120" s="1" t="s">
        <v>927</v>
      </c>
      <c r="F6120" s="1" t="s">
        <v>926</v>
      </c>
      <c r="G6120" s="1">
        <v>10.0</v>
      </c>
      <c r="H6120" s="1">
        <v>0.611157836</v>
      </c>
      <c r="I6120" s="1">
        <v>3.95</v>
      </c>
      <c r="J6120" s="1">
        <v>0.419086</v>
      </c>
    </row>
    <row r="6121">
      <c r="A6121" s="1">
        <v>2025.0</v>
      </c>
      <c r="B6121" s="1" t="s">
        <v>452</v>
      </c>
      <c r="C6121" s="1">
        <v>607625.0</v>
      </c>
      <c r="D6121" s="1" t="s">
        <v>536</v>
      </c>
      <c r="E6121" s="1" t="s">
        <v>927</v>
      </c>
      <c r="F6121" s="1" t="s">
        <v>926</v>
      </c>
      <c r="G6121" s="1">
        <v>140.0</v>
      </c>
      <c r="H6121" s="1">
        <v>8.5562097</v>
      </c>
      <c r="I6121" s="1">
        <v>4.77</v>
      </c>
      <c r="J6121" s="1">
        <v>3.755252</v>
      </c>
    </row>
    <row r="6122">
      <c r="A6122" s="1">
        <v>2025.0</v>
      </c>
      <c r="B6122" s="1" t="s">
        <v>452</v>
      </c>
      <c r="C6122" s="1">
        <v>607625.0</v>
      </c>
      <c r="D6122" s="1" t="s">
        <v>533</v>
      </c>
      <c r="E6122" s="1" t="s">
        <v>927</v>
      </c>
      <c r="F6122" s="1" t="s">
        <v>926</v>
      </c>
      <c r="G6122" s="1">
        <v>26.0</v>
      </c>
      <c r="H6122" s="1">
        <v>1.589010373</v>
      </c>
      <c r="I6122" s="1">
        <v>3.98</v>
      </c>
      <c r="J6122" s="1">
        <v>1.108775</v>
      </c>
    </row>
    <row r="6123">
      <c r="A6123" s="1">
        <v>2025.0</v>
      </c>
      <c r="B6123" s="1" t="s">
        <v>452</v>
      </c>
      <c r="C6123" s="1">
        <v>607625.0</v>
      </c>
      <c r="D6123" s="1" t="s">
        <v>539</v>
      </c>
      <c r="E6123" s="1" t="s">
        <v>927</v>
      </c>
      <c r="F6123" s="1" t="s">
        <v>926</v>
      </c>
      <c r="G6123" s="1">
        <v>17.0</v>
      </c>
      <c r="H6123" s="1">
        <v>1.038968321</v>
      </c>
      <c r="I6123" s="1">
        <v>5.38</v>
      </c>
      <c r="J6123" s="1">
        <v>0.252143</v>
      </c>
    </row>
    <row r="6124">
      <c r="A6124" s="1">
        <v>2025.0</v>
      </c>
      <c r="B6124" s="1" t="s">
        <v>452</v>
      </c>
      <c r="C6124" s="1">
        <v>607625.0</v>
      </c>
      <c r="D6124" s="1" t="s">
        <v>532</v>
      </c>
      <c r="E6124" s="1" t="s">
        <v>927</v>
      </c>
      <c r="F6124" s="1" t="s">
        <v>927</v>
      </c>
      <c r="G6124" s="1">
        <v>42.0</v>
      </c>
      <c r="H6124" s="1">
        <v>2.56686291</v>
      </c>
      <c r="I6124" s="1">
        <v>4.2</v>
      </c>
      <c r="J6124" s="1">
        <v>1.621325</v>
      </c>
    </row>
    <row r="6125">
      <c r="A6125" s="1">
        <v>2025.0</v>
      </c>
      <c r="B6125" s="1" t="s">
        <v>452</v>
      </c>
      <c r="C6125" s="1">
        <v>607625.0</v>
      </c>
      <c r="D6125" s="1" t="s">
        <v>541</v>
      </c>
      <c r="E6125" s="1" t="s">
        <v>927</v>
      </c>
      <c r="F6125" s="1" t="s">
        <v>927</v>
      </c>
      <c r="G6125" s="1">
        <v>277.0</v>
      </c>
      <c r="H6125" s="1">
        <v>16.92907205</v>
      </c>
      <c r="I6125" s="1">
        <v>5.29</v>
      </c>
      <c r="J6125" s="1">
        <v>4.465742</v>
      </c>
    </row>
    <row r="6126">
      <c r="A6126" s="1">
        <v>2025.0</v>
      </c>
      <c r="B6126" s="1" t="s">
        <v>452</v>
      </c>
      <c r="C6126" s="1">
        <v>607625.0</v>
      </c>
      <c r="D6126" s="1" t="s">
        <v>540</v>
      </c>
      <c r="E6126" s="1" t="s">
        <v>927</v>
      </c>
      <c r="F6126" s="1" t="s">
        <v>927</v>
      </c>
      <c r="G6126" s="1">
        <v>129.0</v>
      </c>
      <c r="H6126" s="1">
        <v>7.883936081</v>
      </c>
      <c r="I6126" s="1">
        <v>5.17</v>
      </c>
      <c r="J6126" s="1">
        <v>2.467683</v>
      </c>
    </row>
    <row r="6127">
      <c r="A6127" s="1">
        <v>2025.0</v>
      </c>
      <c r="B6127" s="1" t="s">
        <v>452</v>
      </c>
      <c r="C6127" s="1">
        <v>607625.0</v>
      </c>
      <c r="D6127" s="1" t="s">
        <v>537</v>
      </c>
      <c r="E6127" s="1" t="s">
        <v>927</v>
      </c>
      <c r="F6127" s="1" t="s">
        <v>927</v>
      </c>
      <c r="G6127" s="1">
        <v>176.0</v>
      </c>
      <c r="H6127" s="1">
        <v>10.75637791</v>
      </c>
      <c r="I6127" s="1">
        <v>4.76</v>
      </c>
      <c r="J6127" s="1">
        <v>4.872833</v>
      </c>
    </row>
    <row r="6128">
      <c r="A6128" s="1">
        <v>2025.0</v>
      </c>
      <c r="B6128" s="1" t="s">
        <v>452</v>
      </c>
      <c r="C6128" s="1">
        <v>607625.0</v>
      </c>
      <c r="D6128" s="1" t="s">
        <v>538</v>
      </c>
      <c r="E6128" s="1" t="s">
        <v>927</v>
      </c>
      <c r="F6128" s="1" t="s">
        <v>927</v>
      </c>
      <c r="G6128" s="1">
        <v>10.0</v>
      </c>
      <c r="H6128" s="1">
        <v>0.611157836</v>
      </c>
      <c r="I6128" s="1">
        <v>4.39</v>
      </c>
      <c r="J6128" s="1">
        <v>0.344183</v>
      </c>
    </row>
    <row r="6129">
      <c r="A6129" s="1">
        <v>2025.0</v>
      </c>
      <c r="B6129" s="1" t="s">
        <v>452</v>
      </c>
      <c r="C6129" s="1">
        <v>607625.0</v>
      </c>
      <c r="D6129" s="1" t="s">
        <v>536</v>
      </c>
      <c r="E6129" s="1" t="s">
        <v>927</v>
      </c>
      <c r="F6129" s="1" t="s">
        <v>927</v>
      </c>
      <c r="G6129" s="1">
        <v>206.0</v>
      </c>
      <c r="H6129" s="1">
        <v>12.58985142</v>
      </c>
      <c r="I6129" s="1">
        <v>4.77</v>
      </c>
      <c r="J6129" s="1">
        <v>5.530456</v>
      </c>
    </row>
    <row r="6130">
      <c r="A6130" s="1">
        <v>2025.0</v>
      </c>
      <c r="B6130" s="1" t="s">
        <v>452</v>
      </c>
      <c r="C6130" s="1">
        <v>607625.0</v>
      </c>
      <c r="D6130" s="1" t="s">
        <v>533</v>
      </c>
      <c r="E6130" s="1" t="s">
        <v>927</v>
      </c>
      <c r="F6130" s="1" t="s">
        <v>927</v>
      </c>
      <c r="G6130" s="1">
        <v>103.0</v>
      </c>
      <c r="H6130" s="1">
        <v>6.294925708</v>
      </c>
      <c r="I6130" s="1">
        <v>5.36</v>
      </c>
      <c r="J6130" s="1">
        <v>1.580701</v>
      </c>
    </row>
    <row r="6131">
      <c r="A6131" s="1">
        <v>2025.0</v>
      </c>
      <c r="B6131" s="1" t="s">
        <v>452</v>
      </c>
      <c r="C6131" s="1">
        <v>607625.0</v>
      </c>
      <c r="D6131" s="1" t="s">
        <v>539</v>
      </c>
      <c r="E6131" s="1" t="s">
        <v>927</v>
      </c>
      <c r="F6131" s="1" t="s">
        <v>927</v>
      </c>
      <c r="G6131" s="1">
        <v>36.0</v>
      </c>
      <c r="H6131" s="1">
        <v>2.200168209</v>
      </c>
      <c r="I6131" s="1">
        <v>4.74</v>
      </c>
      <c r="J6131" s="1">
        <v>0.997906</v>
      </c>
    </row>
    <row r="6132">
      <c r="A6132" s="1">
        <v>2025.0</v>
      </c>
      <c r="B6132" s="1" t="s">
        <v>1010</v>
      </c>
      <c r="C6132" s="1">
        <v>661527.0</v>
      </c>
      <c r="D6132" s="1" t="s">
        <v>532</v>
      </c>
      <c r="E6132" s="1" t="s">
        <v>927</v>
      </c>
      <c r="F6132" s="1" t="s">
        <v>926</v>
      </c>
      <c r="G6132" s="1">
        <v>13.0</v>
      </c>
      <c r="H6132" s="1">
        <v>0.722222222</v>
      </c>
      <c r="I6132" s="1">
        <v>3.76</v>
      </c>
      <c r="J6132" s="1">
        <v>0.604663</v>
      </c>
    </row>
    <row r="6133">
      <c r="A6133" s="1">
        <v>2025.0</v>
      </c>
      <c r="B6133" s="1" t="s">
        <v>1010</v>
      </c>
      <c r="C6133" s="1">
        <v>661527.0</v>
      </c>
      <c r="D6133" s="1" t="s">
        <v>540</v>
      </c>
      <c r="E6133" s="1" t="s">
        <v>927</v>
      </c>
      <c r="F6133" s="1" t="s">
        <v>926</v>
      </c>
      <c r="G6133" s="1">
        <v>20.0</v>
      </c>
      <c r="H6133" s="1">
        <v>1.111111111</v>
      </c>
      <c r="I6133" s="1">
        <v>5.0</v>
      </c>
      <c r="J6133" s="1">
        <v>0.420924</v>
      </c>
    </row>
    <row r="6134">
      <c r="A6134" s="1">
        <v>2025.0</v>
      </c>
      <c r="B6134" s="1" t="s">
        <v>1010</v>
      </c>
      <c r="C6134" s="1">
        <v>661527.0</v>
      </c>
      <c r="D6134" s="1" t="s">
        <v>537</v>
      </c>
      <c r="E6134" s="1" t="s">
        <v>927</v>
      </c>
      <c r="F6134" s="1" t="s">
        <v>926</v>
      </c>
      <c r="G6134" s="1">
        <v>25.0</v>
      </c>
      <c r="H6134" s="1">
        <v>1.388888889</v>
      </c>
      <c r="I6134" s="1">
        <v>4.53</v>
      </c>
      <c r="J6134" s="1">
        <v>0.764075</v>
      </c>
    </row>
    <row r="6135">
      <c r="A6135" s="1">
        <v>2025.0</v>
      </c>
      <c r="B6135" s="1" t="s">
        <v>1010</v>
      </c>
      <c r="C6135" s="1">
        <v>661527.0</v>
      </c>
      <c r="D6135" s="1" t="s">
        <v>539</v>
      </c>
      <c r="E6135" s="1" t="s">
        <v>927</v>
      </c>
      <c r="F6135" s="1" t="s">
        <v>926</v>
      </c>
      <c r="G6135" s="1">
        <v>31.0</v>
      </c>
      <c r="H6135" s="1">
        <v>1.722222222</v>
      </c>
      <c r="I6135" s="1">
        <v>5.42</v>
      </c>
      <c r="J6135" s="1">
        <v>0.376394</v>
      </c>
    </row>
    <row r="6136">
      <c r="A6136" s="1">
        <v>2025.0</v>
      </c>
      <c r="B6136" s="1" t="s">
        <v>1010</v>
      </c>
      <c r="C6136" s="1">
        <v>661527.0</v>
      </c>
      <c r="D6136" s="1" t="s">
        <v>537</v>
      </c>
      <c r="E6136" s="1" t="s">
        <v>927</v>
      </c>
      <c r="F6136" s="1" t="s">
        <v>927</v>
      </c>
      <c r="G6136" s="1">
        <v>7.0</v>
      </c>
      <c r="H6136" s="1">
        <v>0.388888889</v>
      </c>
      <c r="I6136" s="1">
        <v>4.14</v>
      </c>
      <c r="J6136" s="1">
        <v>0.273677</v>
      </c>
    </row>
    <row r="6137">
      <c r="A6137" s="1">
        <v>2025.0</v>
      </c>
      <c r="B6137" s="1" t="s">
        <v>1010</v>
      </c>
      <c r="C6137" s="1">
        <v>661527.0</v>
      </c>
      <c r="D6137" s="1" t="s">
        <v>536</v>
      </c>
      <c r="E6137" s="1" t="s">
        <v>927</v>
      </c>
      <c r="F6137" s="1" t="s">
        <v>927</v>
      </c>
      <c r="G6137" s="1">
        <v>11.0</v>
      </c>
      <c r="H6137" s="1">
        <v>0.611111111</v>
      </c>
      <c r="I6137" s="1">
        <v>5.3</v>
      </c>
      <c r="J6137" s="1">
        <v>0.180668</v>
      </c>
    </row>
    <row r="6138">
      <c r="A6138" s="1">
        <v>2025.0</v>
      </c>
      <c r="B6138" s="1" t="s">
        <v>1010</v>
      </c>
      <c r="C6138" s="1">
        <v>661527.0</v>
      </c>
      <c r="D6138" s="1" t="s">
        <v>539</v>
      </c>
      <c r="E6138" s="1" t="s">
        <v>927</v>
      </c>
      <c r="F6138" s="1" t="s">
        <v>927</v>
      </c>
      <c r="G6138" s="1">
        <v>13.0</v>
      </c>
      <c r="H6138" s="1">
        <v>0.722222222</v>
      </c>
      <c r="I6138" s="1">
        <v>5.47</v>
      </c>
      <c r="J6138" s="1">
        <v>0.148941</v>
      </c>
    </row>
    <row r="6139">
      <c r="A6139" s="1">
        <v>2025.0</v>
      </c>
      <c r="B6139" s="1" t="s">
        <v>242</v>
      </c>
      <c r="C6139" s="1">
        <v>669358.0</v>
      </c>
      <c r="D6139" s="1" t="s">
        <v>532</v>
      </c>
      <c r="E6139" s="1" t="s">
        <v>927</v>
      </c>
      <c r="F6139" s="1" t="s">
        <v>926</v>
      </c>
      <c r="G6139" s="1">
        <v>289.0</v>
      </c>
      <c r="H6139" s="1">
        <v>17.68592102</v>
      </c>
      <c r="I6139" s="1">
        <v>4.74</v>
      </c>
      <c r="J6139" s="1">
        <v>7.959968</v>
      </c>
    </row>
    <row r="6140">
      <c r="A6140" s="1">
        <v>2025.0</v>
      </c>
      <c r="B6140" s="1" t="s">
        <v>242</v>
      </c>
      <c r="C6140" s="1">
        <v>669358.0</v>
      </c>
      <c r="D6140" s="1" t="s">
        <v>541</v>
      </c>
      <c r="E6140" s="1" t="s">
        <v>927</v>
      </c>
      <c r="F6140" s="1" t="s">
        <v>926</v>
      </c>
      <c r="G6140" s="1">
        <v>271.0</v>
      </c>
      <c r="H6140" s="1">
        <v>16.58437577</v>
      </c>
      <c r="I6140" s="1">
        <v>5.27</v>
      </c>
      <c r="J6140" s="1">
        <v>4.287318</v>
      </c>
    </row>
    <row r="6141">
      <c r="A6141" s="1">
        <v>2025.0</v>
      </c>
      <c r="B6141" s="1" t="s">
        <v>242</v>
      </c>
      <c r="C6141" s="1">
        <v>669358.0</v>
      </c>
      <c r="D6141" s="1" t="s">
        <v>540</v>
      </c>
      <c r="E6141" s="1" t="s">
        <v>927</v>
      </c>
      <c r="F6141" s="1" t="s">
        <v>926</v>
      </c>
      <c r="G6141" s="1">
        <v>196.0</v>
      </c>
      <c r="H6141" s="1">
        <v>11.99460388</v>
      </c>
      <c r="I6141" s="1">
        <v>5.01</v>
      </c>
      <c r="J6141" s="1">
        <v>4.414094</v>
      </c>
    </row>
    <row r="6142">
      <c r="A6142" s="1">
        <v>2025.0</v>
      </c>
      <c r="B6142" s="1" t="s">
        <v>242</v>
      </c>
      <c r="C6142" s="1">
        <v>669358.0</v>
      </c>
      <c r="D6142" s="1" t="s">
        <v>537</v>
      </c>
      <c r="E6142" s="1" t="s">
        <v>927</v>
      </c>
      <c r="F6142" s="1" t="s">
        <v>926</v>
      </c>
      <c r="G6142" s="1">
        <v>534.0</v>
      </c>
      <c r="H6142" s="1">
        <v>32.67917586</v>
      </c>
      <c r="I6142" s="1">
        <v>5.14</v>
      </c>
      <c r="J6142" s="1">
        <v>10.63755</v>
      </c>
    </row>
    <row r="6143">
      <c r="A6143" s="1">
        <v>2025.0</v>
      </c>
      <c r="B6143" s="1" t="s">
        <v>242</v>
      </c>
      <c r="C6143" s="1">
        <v>669358.0</v>
      </c>
      <c r="D6143" s="1" t="s">
        <v>533</v>
      </c>
      <c r="E6143" s="1" t="s">
        <v>927</v>
      </c>
      <c r="F6143" s="1" t="s">
        <v>926</v>
      </c>
      <c r="G6143" s="1">
        <v>3.0</v>
      </c>
      <c r="H6143" s="1">
        <v>0.183590876</v>
      </c>
      <c r="I6143" s="1">
        <v>3.15</v>
      </c>
      <c r="J6143" s="1">
        <v>0.173288</v>
      </c>
    </row>
    <row r="6144">
      <c r="A6144" s="1">
        <v>2025.0</v>
      </c>
      <c r="B6144" s="1" t="s">
        <v>242</v>
      </c>
      <c r="C6144" s="1">
        <v>669358.0</v>
      </c>
      <c r="D6144" s="1" t="s">
        <v>532</v>
      </c>
      <c r="E6144" s="1" t="s">
        <v>927</v>
      </c>
      <c r="F6144" s="1" t="s">
        <v>927</v>
      </c>
      <c r="G6144" s="1">
        <v>22.0</v>
      </c>
      <c r="H6144" s="1">
        <v>1.346333088</v>
      </c>
      <c r="I6144" s="1">
        <v>4.35</v>
      </c>
      <c r="J6144" s="1">
        <v>0.751602</v>
      </c>
    </row>
    <row r="6145">
      <c r="A6145" s="1">
        <v>2025.0</v>
      </c>
      <c r="B6145" s="1" t="s">
        <v>242</v>
      </c>
      <c r="C6145" s="1">
        <v>669358.0</v>
      </c>
      <c r="D6145" s="1" t="s">
        <v>541</v>
      </c>
      <c r="E6145" s="1" t="s">
        <v>927</v>
      </c>
      <c r="F6145" s="1" t="s">
        <v>927</v>
      </c>
      <c r="G6145" s="1">
        <v>460.0</v>
      </c>
      <c r="H6145" s="1">
        <v>28.15060093</v>
      </c>
      <c r="I6145" s="1">
        <v>5.08</v>
      </c>
      <c r="J6145" s="1">
        <v>9.20116</v>
      </c>
    </row>
    <row r="6146">
      <c r="A6146" s="1">
        <v>2025.0</v>
      </c>
      <c r="B6146" s="1" t="s">
        <v>242</v>
      </c>
      <c r="C6146" s="1">
        <v>669358.0</v>
      </c>
      <c r="D6146" s="1" t="s">
        <v>540</v>
      </c>
      <c r="E6146" s="1" t="s">
        <v>927</v>
      </c>
      <c r="F6146" s="1" t="s">
        <v>927</v>
      </c>
      <c r="G6146" s="1">
        <v>204.0</v>
      </c>
      <c r="H6146" s="1">
        <v>12.48417954</v>
      </c>
      <c r="I6146" s="1">
        <v>5.19</v>
      </c>
      <c r="J6146" s="1">
        <v>3.908716</v>
      </c>
    </row>
    <row r="6147">
      <c r="A6147" s="1">
        <v>2025.0</v>
      </c>
      <c r="B6147" s="1" t="s">
        <v>242</v>
      </c>
      <c r="C6147" s="1">
        <v>669358.0</v>
      </c>
      <c r="D6147" s="1" t="s">
        <v>537</v>
      </c>
      <c r="E6147" s="1" t="s">
        <v>927</v>
      </c>
      <c r="F6147" s="1" t="s">
        <v>927</v>
      </c>
      <c r="G6147" s="1">
        <v>660.0</v>
      </c>
      <c r="H6147" s="1">
        <v>40.38999264</v>
      </c>
      <c r="I6147" s="1">
        <v>5.11</v>
      </c>
      <c r="J6147" s="1">
        <v>13.268511</v>
      </c>
    </row>
    <row r="6148">
      <c r="A6148" s="1">
        <v>2025.0</v>
      </c>
      <c r="B6148" s="1" t="s">
        <v>242</v>
      </c>
      <c r="C6148" s="1">
        <v>669358.0</v>
      </c>
      <c r="D6148" s="1" t="s">
        <v>533</v>
      </c>
      <c r="E6148" s="1" t="s">
        <v>927</v>
      </c>
      <c r="F6148" s="1" t="s">
        <v>927</v>
      </c>
      <c r="G6148" s="1">
        <v>79.0</v>
      </c>
      <c r="H6148" s="1">
        <v>4.834559725</v>
      </c>
      <c r="I6148" s="1">
        <v>4.69</v>
      </c>
      <c r="J6148" s="1">
        <v>2.222479</v>
      </c>
    </row>
    <row r="6149">
      <c r="A6149" s="1">
        <v>2025.0</v>
      </c>
      <c r="B6149" s="1" t="s">
        <v>119</v>
      </c>
      <c r="C6149" s="1">
        <v>669456.0</v>
      </c>
      <c r="D6149" s="1" t="s">
        <v>532</v>
      </c>
      <c r="E6149" s="1" t="s">
        <v>927</v>
      </c>
      <c r="F6149" s="1" t="s">
        <v>926</v>
      </c>
      <c r="G6149" s="1">
        <v>57.0</v>
      </c>
      <c r="H6149" s="1">
        <v>3.564341085</v>
      </c>
      <c r="I6149" s="1">
        <v>4.55</v>
      </c>
      <c r="J6149" s="1">
        <v>1.718042</v>
      </c>
    </row>
    <row r="6150">
      <c r="A6150" s="1">
        <v>2025.0</v>
      </c>
      <c r="B6150" s="1" t="s">
        <v>119</v>
      </c>
      <c r="C6150" s="1">
        <v>669456.0</v>
      </c>
      <c r="D6150" s="1" t="s">
        <v>541</v>
      </c>
      <c r="E6150" s="1" t="s">
        <v>927</v>
      </c>
      <c r="F6150" s="1" t="s">
        <v>926</v>
      </c>
      <c r="G6150" s="1">
        <v>84.0</v>
      </c>
      <c r="H6150" s="1">
        <v>5.252713178</v>
      </c>
      <c r="I6150" s="1">
        <v>5.08</v>
      </c>
      <c r="J6150" s="1">
        <v>1.717959</v>
      </c>
    </row>
    <row r="6151">
      <c r="A6151" s="1">
        <v>2025.0</v>
      </c>
      <c r="B6151" s="1" t="s">
        <v>119</v>
      </c>
      <c r="C6151" s="1">
        <v>669456.0</v>
      </c>
      <c r="D6151" s="1" t="s">
        <v>540</v>
      </c>
      <c r="E6151" s="1" t="s">
        <v>927</v>
      </c>
      <c r="F6151" s="1" t="s">
        <v>926</v>
      </c>
      <c r="G6151" s="1">
        <v>48.0</v>
      </c>
      <c r="H6151" s="1">
        <v>3.001550388</v>
      </c>
      <c r="I6151" s="1">
        <v>4.73</v>
      </c>
      <c r="J6151" s="1">
        <v>1.313491</v>
      </c>
    </row>
    <row r="6152">
      <c r="A6152" s="1">
        <v>2025.0</v>
      </c>
      <c r="B6152" s="1" t="s">
        <v>119</v>
      </c>
      <c r="C6152" s="1">
        <v>669456.0</v>
      </c>
      <c r="D6152" s="1" t="s">
        <v>537</v>
      </c>
      <c r="E6152" s="1" t="s">
        <v>927</v>
      </c>
      <c r="F6152" s="1" t="s">
        <v>926</v>
      </c>
      <c r="G6152" s="1">
        <v>123.0</v>
      </c>
      <c r="H6152" s="1">
        <v>7.691472868</v>
      </c>
      <c r="I6152" s="1">
        <v>5.51</v>
      </c>
      <c r="J6152" s="1">
        <v>1.527947</v>
      </c>
    </row>
    <row r="6153">
      <c r="A6153" s="1">
        <v>2025.0</v>
      </c>
      <c r="B6153" s="1" t="s">
        <v>119</v>
      </c>
      <c r="C6153" s="1">
        <v>669456.0</v>
      </c>
      <c r="D6153" s="1" t="s">
        <v>533</v>
      </c>
      <c r="E6153" s="1" t="s">
        <v>927</v>
      </c>
      <c r="F6153" s="1" t="s">
        <v>926</v>
      </c>
      <c r="G6153" s="1">
        <v>17.0</v>
      </c>
      <c r="H6153" s="1">
        <v>1.063049096</v>
      </c>
      <c r="I6153" s="1">
        <v>5.88</v>
      </c>
      <c r="J6153" s="1">
        <v>0.049548</v>
      </c>
    </row>
    <row r="6154">
      <c r="A6154" s="1">
        <v>2025.0</v>
      </c>
      <c r="B6154" s="1" t="s">
        <v>119</v>
      </c>
      <c r="C6154" s="1">
        <v>669456.0</v>
      </c>
      <c r="D6154" s="1" t="s">
        <v>532</v>
      </c>
      <c r="E6154" s="1" t="s">
        <v>927</v>
      </c>
      <c r="F6154" s="1" t="s">
        <v>927</v>
      </c>
      <c r="G6154" s="1">
        <v>26.0</v>
      </c>
      <c r="H6154" s="1">
        <v>1.625839793</v>
      </c>
      <c r="I6154" s="1">
        <v>4.73</v>
      </c>
      <c r="J6154" s="1">
        <v>0.692325</v>
      </c>
    </row>
    <row r="6155">
      <c r="A6155" s="1">
        <v>2025.0</v>
      </c>
      <c r="B6155" s="1" t="s">
        <v>119</v>
      </c>
      <c r="C6155" s="1">
        <v>669456.0</v>
      </c>
      <c r="D6155" s="1" t="s">
        <v>541</v>
      </c>
      <c r="E6155" s="1" t="s">
        <v>927</v>
      </c>
      <c r="F6155" s="1" t="s">
        <v>927</v>
      </c>
      <c r="G6155" s="1">
        <v>36.0</v>
      </c>
      <c r="H6155" s="1">
        <v>2.251162791</v>
      </c>
      <c r="I6155" s="1">
        <v>5.71</v>
      </c>
      <c r="J6155" s="1">
        <v>0.321684</v>
      </c>
    </row>
    <row r="6156">
      <c r="A6156" s="1">
        <v>2025.0</v>
      </c>
      <c r="B6156" s="1" t="s">
        <v>119</v>
      </c>
      <c r="C6156" s="1">
        <v>669456.0</v>
      </c>
      <c r="D6156" s="1" t="s">
        <v>540</v>
      </c>
      <c r="E6156" s="1" t="s">
        <v>927</v>
      </c>
      <c r="F6156" s="1" t="s">
        <v>927</v>
      </c>
      <c r="G6156" s="1">
        <v>33.0</v>
      </c>
      <c r="H6156" s="1">
        <v>2.063565891</v>
      </c>
      <c r="I6156" s="1">
        <v>5.03</v>
      </c>
      <c r="J6156" s="1">
        <v>0.733906</v>
      </c>
    </row>
    <row r="6157">
      <c r="A6157" s="1">
        <v>2025.0</v>
      </c>
      <c r="B6157" s="1" t="s">
        <v>119</v>
      </c>
      <c r="C6157" s="1">
        <v>669456.0</v>
      </c>
      <c r="D6157" s="1" t="s">
        <v>537</v>
      </c>
      <c r="E6157" s="1" t="s">
        <v>927</v>
      </c>
      <c r="F6157" s="1" t="s">
        <v>927</v>
      </c>
      <c r="G6157" s="1">
        <v>107.0</v>
      </c>
      <c r="H6157" s="1">
        <v>6.690956072</v>
      </c>
      <c r="I6157" s="1">
        <v>5.19</v>
      </c>
      <c r="J6157" s="1">
        <v>2.031664</v>
      </c>
    </row>
    <row r="6158">
      <c r="A6158" s="1">
        <v>2025.0</v>
      </c>
      <c r="B6158" s="1" t="s">
        <v>119</v>
      </c>
      <c r="C6158" s="1">
        <v>669456.0</v>
      </c>
      <c r="D6158" s="1" t="s">
        <v>533</v>
      </c>
      <c r="E6158" s="1" t="s">
        <v>927</v>
      </c>
      <c r="F6158" s="1" t="s">
        <v>927</v>
      </c>
      <c r="G6158" s="1">
        <v>114.0</v>
      </c>
      <c r="H6158" s="1">
        <v>7.128682171</v>
      </c>
      <c r="I6158" s="1">
        <v>5.22</v>
      </c>
      <c r="J6158" s="1">
        <v>1.938244</v>
      </c>
    </row>
    <row r="6159">
      <c r="A6159" s="1">
        <v>2025.0</v>
      </c>
      <c r="B6159" s="1" t="s">
        <v>470</v>
      </c>
      <c r="C6159" s="1">
        <v>681343.0</v>
      </c>
      <c r="D6159" s="1" t="s">
        <v>532</v>
      </c>
      <c r="E6159" s="1" t="s">
        <v>927</v>
      </c>
      <c r="F6159" s="1" t="s">
        <v>926</v>
      </c>
      <c r="G6159" s="1">
        <v>300.0</v>
      </c>
      <c r="H6159" s="1">
        <v>18.15550041</v>
      </c>
      <c r="I6159" s="1">
        <v>4.74</v>
      </c>
      <c r="J6159" s="1">
        <v>8.18518</v>
      </c>
    </row>
    <row r="6160">
      <c r="A6160" s="1">
        <v>2025.0</v>
      </c>
      <c r="B6160" s="1" t="s">
        <v>470</v>
      </c>
      <c r="C6160" s="1">
        <v>681343.0</v>
      </c>
      <c r="D6160" s="1" t="s">
        <v>541</v>
      </c>
      <c r="E6160" s="1" t="s">
        <v>927</v>
      </c>
      <c r="F6160" s="1" t="s">
        <v>926</v>
      </c>
      <c r="G6160" s="1">
        <v>239.0</v>
      </c>
      <c r="H6160" s="1">
        <v>14.463882</v>
      </c>
      <c r="I6160" s="1">
        <v>4.46</v>
      </c>
      <c r="J6160" s="1">
        <v>7.911773</v>
      </c>
    </row>
    <row r="6161">
      <c r="A6161" s="1">
        <v>2025.0</v>
      </c>
      <c r="B6161" s="1" t="s">
        <v>470</v>
      </c>
      <c r="C6161" s="1">
        <v>681343.0</v>
      </c>
      <c r="D6161" s="1" t="s">
        <v>537</v>
      </c>
      <c r="E6161" s="1" t="s">
        <v>927</v>
      </c>
      <c r="F6161" s="1" t="s">
        <v>926</v>
      </c>
      <c r="G6161" s="1">
        <v>659.0</v>
      </c>
      <c r="H6161" s="1">
        <v>39.88158258</v>
      </c>
      <c r="I6161" s="1">
        <v>4.87</v>
      </c>
      <c r="J6161" s="1">
        <v>16.947478</v>
      </c>
    </row>
    <row r="6162">
      <c r="A6162" s="1">
        <v>2025.0</v>
      </c>
      <c r="B6162" s="1" t="s">
        <v>470</v>
      </c>
      <c r="C6162" s="1">
        <v>681343.0</v>
      </c>
      <c r="D6162" s="1" t="s">
        <v>536</v>
      </c>
      <c r="E6162" s="1" t="s">
        <v>927</v>
      </c>
      <c r="F6162" s="1" t="s">
        <v>926</v>
      </c>
      <c r="G6162" s="1">
        <v>97.0</v>
      </c>
      <c r="H6162" s="1">
        <v>5.870278467</v>
      </c>
      <c r="I6162" s="1">
        <v>4.66</v>
      </c>
      <c r="J6162" s="1">
        <v>2.958358</v>
      </c>
    </row>
    <row r="6163">
      <c r="A6163" s="1">
        <v>2025.0</v>
      </c>
      <c r="B6163" s="1" t="s">
        <v>470</v>
      </c>
      <c r="C6163" s="1">
        <v>681343.0</v>
      </c>
      <c r="D6163" s="1" t="s">
        <v>533</v>
      </c>
      <c r="E6163" s="1" t="s">
        <v>927</v>
      </c>
      <c r="F6163" s="1" t="s">
        <v>926</v>
      </c>
      <c r="G6163" s="1">
        <v>55.0</v>
      </c>
      <c r="H6163" s="1">
        <v>3.328508409</v>
      </c>
      <c r="I6163" s="1">
        <v>5.43</v>
      </c>
      <c r="J6163" s="1">
        <v>0.752947</v>
      </c>
    </row>
    <row r="6164">
      <c r="A6164" s="1">
        <v>2025.0</v>
      </c>
      <c r="B6164" s="1" t="s">
        <v>470</v>
      </c>
      <c r="C6164" s="1">
        <v>681343.0</v>
      </c>
      <c r="D6164" s="1" t="s">
        <v>532</v>
      </c>
      <c r="E6164" s="1" t="s">
        <v>927</v>
      </c>
      <c r="F6164" s="1" t="s">
        <v>927</v>
      </c>
      <c r="G6164" s="1">
        <v>106.0</v>
      </c>
      <c r="H6164" s="1">
        <v>6.414943479</v>
      </c>
      <c r="I6164" s="1">
        <v>4.94</v>
      </c>
      <c r="J6164" s="1">
        <v>2.409855</v>
      </c>
    </row>
    <row r="6165">
      <c r="A6165" s="1">
        <v>2025.0</v>
      </c>
      <c r="B6165" s="1" t="s">
        <v>470</v>
      </c>
      <c r="C6165" s="1">
        <v>681343.0</v>
      </c>
      <c r="D6165" s="1" t="s">
        <v>541</v>
      </c>
      <c r="E6165" s="1" t="s">
        <v>927</v>
      </c>
      <c r="F6165" s="1" t="s">
        <v>927</v>
      </c>
      <c r="G6165" s="1">
        <v>114.0</v>
      </c>
      <c r="H6165" s="1">
        <v>6.899090157</v>
      </c>
      <c r="I6165" s="1">
        <v>4.23</v>
      </c>
      <c r="J6165" s="1">
        <v>4.249838</v>
      </c>
    </row>
    <row r="6166">
      <c r="A6166" s="1">
        <v>2025.0</v>
      </c>
      <c r="B6166" s="1" t="s">
        <v>470</v>
      </c>
      <c r="C6166" s="1">
        <v>681343.0</v>
      </c>
      <c r="D6166" s="1" t="s">
        <v>537</v>
      </c>
      <c r="E6166" s="1" t="s">
        <v>927</v>
      </c>
      <c r="F6166" s="1" t="s">
        <v>927</v>
      </c>
      <c r="G6166" s="1">
        <v>449.0</v>
      </c>
      <c r="H6166" s="1">
        <v>27.17273229</v>
      </c>
      <c r="I6166" s="1">
        <v>5.15</v>
      </c>
      <c r="J6166" s="1">
        <v>8.820677</v>
      </c>
    </row>
    <row r="6167">
      <c r="A6167" s="1">
        <v>2025.0</v>
      </c>
      <c r="B6167" s="1" t="s">
        <v>470</v>
      </c>
      <c r="C6167" s="1">
        <v>681343.0</v>
      </c>
      <c r="D6167" s="1" t="s">
        <v>536</v>
      </c>
      <c r="E6167" s="1" t="s">
        <v>927</v>
      </c>
      <c r="F6167" s="1" t="s">
        <v>927</v>
      </c>
      <c r="G6167" s="1">
        <v>184.0</v>
      </c>
      <c r="H6167" s="1">
        <v>11.13537359</v>
      </c>
      <c r="I6167" s="1">
        <v>4.95</v>
      </c>
      <c r="J6167" s="1">
        <v>4.415225</v>
      </c>
    </row>
    <row r="6168">
      <c r="A6168" s="1">
        <v>2025.0</v>
      </c>
      <c r="B6168" s="1" t="s">
        <v>470</v>
      </c>
      <c r="C6168" s="1">
        <v>681343.0</v>
      </c>
      <c r="D6168" s="1" t="s">
        <v>533</v>
      </c>
      <c r="E6168" s="1" t="s">
        <v>927</v>
      </c>
      <c r="F6168" s="1" t="s">
        <v>927</v>
      </c>
      <c r="G6168" s="1">
        <v>215.0</v>
      </c>
      <c r="H6168" s="1">
        <v>13.01144196</v>
      </c>
      <c r="I6168" s="1">
        <v>4.88</v>
      </c>
      <c r="J6168" s="1">
        <v>5.312448</v>
      </c>
    </row>
    <row r="6169">
      <c r="A6169" s="1">
        <v>2025.0</v>
      </c>
      <c r="B6169" s="1" t="s">
        <v>722</v>
      </c>
      <c r="C6169" s="1">
        <v>641312.0</v>
      </c>
      <c r="D6169" s="1" t="s">
        <v>532</v>
      </c>
      <c r="E6169" s="1" t="s">
        <v>927</v>
      </c>
      <c r="F6169" s="1" t="s">
        <v>926</v>
      </c>
      <c r="G6169" s="1">
        <v>42.0</v>
      </c>
      <c r="H6169" s="1">
        <v>2.203703704</v>
      </c>
      <c r="I6169" s="1">
        <v>4.67</v>
      </c>
      <c r="J6169" s="1">
        <v>1.202335</v>
      </c>
    </row>
    <row r="6170">
      <c r="A6170" s="1">
        <v>2025.0</v>
      </c>
      <c r="B6170" s="1" t="s">
        <v>722</v>
      </c>
      <c r="C6170" s="1">
        <v>641312.0</v>
      </c>
      <c r="D6170" s="1" t="s">
        <v>537</v>
      </c>
      <c r="E6170" s="1" t="s">
        <v>927</v>
      </c>
      <c r="F6170" s="1" t="s">
        <v>926</v>
      </c>
      <c r="G6170" s="1">
        <v>26.0</v>
      </c>
      <c r="H6170" s="1">
        <v>1.364197531</v>
      </c>
      <c r="I6170" s="1">
        <v>4.78</v>
      </c>
      <c r="J6170" s="1">
        <v>0.713961</v>
      </c>
    </row>
    <row r="6171">
      <c r="A6171" s="1">
        <v>2025.0</v>
      </c>
      <c r="B6171" s="1" t="s">
        <v>722</v>
      </c>
      <c r="C6171" s="1">
        <v>641312.0</v>
      </c>
      <c r="D6171" s="1" t="s">
        <v>536</v>
      </c>
      <c r="E6171" s="1" t="s">
        <v>927</v>
      </c>
      <c r="F6171" s="1" t="s">
        <v>926</v>
      </c>
      <c r="G6171" s="1">
        <v>1.0</v>
      </c>
      <c r="H6171" s="1">
        <v>0.052469136</v>
      </c>
      <c r="I6171" s="1">
        <v>5.7</v>
      </c>
      <c r="J6171" s="1">
        <v>0.008099</v>
      </c>
    </row>
    <row r="6172">
      <c r="A6172" s="1">
        <v>2025.0</v>
      </c>
      <c r="B6172" s="1" t="s">
        <v>722</v>
      </c>
      <c r="C6172" s="1">
        <v>641312.0</v>
      </c>
      <c r="D6172" s="1" t="s">
        <v>533</v>
      </c>
      <c r="E6172" s="1" t="s">
        <v>927</v>
      </c>
      <c r="F6172" s="1" t="s">
        <v>926</v>
      </c>
      <c r="G6172" s="1">
        <v>33.0</v>
      </c>
      <c r="H6172" s="1">
        <v>1.731481481</v>
      </c>
      <c r="I6172" s="1">
        <v>5.88</v>
      </c>
      <c r="J6172" s="1">
        <v>0.174424</v>
      </c>
    </row>
    <row r="6173">
      <c r="A6173" s="1">
        <v>2025.0</v>
      </c>
      <c r="B6173" s="1" t="s">
        <v>722</v>
      </c>
      <c r="C6173" s="1">
        <v>641312.0</v>
      </c>
      <c r="D6173" s="1" t="s">
        <v>532</v>
      </c>
      <c r="E6173" s="1" t="s">
        <v>927</v>
      </c>
      <c r="F6173" s="1" t="s">
        <v>927</v>
      </c>
      <c r="G6173" s="1">
        <v>6.0</v>
      </c>
      <c r="H6173" s="1">
        <v>0.314814815</v>
      </c>
      <c r="I6173" s="1">
        <v>4.56</v>
      </c>
      <c r="J6173" s="1">
        <v>0.187745</v>
      </c>
    </row>
    <row r="6174">
      <c r="A6174" s="1">
        <v>2025.0</v>
      </c>
      <c r="B6174" s="1" t="s">
        <v>722</v>
      </c>
      <c r="C6174" s="1">
        <v>641312.0</v>
      </c>
      <c r="D6174" s="1" t="s">
        <v>537</v>
      </c>
      <c r="E6174" s="1" t="s">
        <v>927</v>
      </c>
      <c r="F6174" s="1" t="s">
        <v>927</v>
      </c>
      <c r="G6174" s="1">
        <v>35.0</v>
      </c>
      <c r="H6174" s="1">
        <v>1.836419753</v>
      </c>
      <c r="I6174" s="1">
        <v>4.97</v>
      </c>
      <c r="J6174" s="1">
        <v>0.854312</v>
      </c>
    </row>
    <row r="6175">
      <c r="A6175" s="1">
        <v>2025.0</v>
      </c>
      <c r="B6175" s="1" t="s">
        <v>722</v>
      </c>
      <c r="C6175" s="1">
        <v>641312.0</v>
      </c>
      <c r="D6175" s="1" t="s">
        <v>536</v>
      </c>
      <c r="E6175" s="1" t="s">
        <v>927</v>
      </c>
      <c r="F6175" s="1" t="s">
        <v>927</v>
      </c>
      <c r="G6175" s="1">
        <v>5.0</v>
      </c>
      <c r="H6175" s="1">
        <v>0.262345679</v>
      </c>
      <c r="I6175" s="1">
        <v>5.24</v>
      </c>
      <c r="J6175" s="1">
        <v>0.096064</v>
      </c>
    </row>
    <row r="6176">
      <c r="A6176" s="1">
        <v>2025.0</v>
      </c>
      <c r="B6176" s="1" t="s">
        <v>722</v>
      </c>
      <c r="C6176" s="1">
        <v>641312.0</v>
      </c>
      <c r="D6176" s="1" t="s">
        <v>533</v>
      </c>
      <c r="E6176" s="1" t="s">
        <v>927</v>
      </c>
      <c r="F6176" s="1" t="s">
        <v>927</v>
      </c>
      <c r="G6176" s="1">
        <v>50.0</v>
      </c>
      <c r="H6176" s="1">
        <v>2.62345679</v>
      </c>
      <c r="I6176" s="1">
        <v>5.53</v>
      </c>
      <c r="J6176" s="1">
        <v>0.592998</v>
      </c>
    </row>
    <row r="6177">
      <c r="A6177" s="1">
        <v>2025.0</v>
      </c>
      <c r="B6177" s="1" t="s">
        <v>722</v>
      </c>
      <c r="C6177" s="1">
        <v>641312.0</v>
      </c>
      <c r="D6177" s="1" t="s">
        <v>539</v>
      </c>
      <c r="E6177" s="1" t="s">
        <v>927</v>
      </c>
      <c r="F6177" s="1" t="s">
        <v>927</v>
      </c>
      <c r="G6177" s="1">
        <v>18.0</v>
      </c>
      <c r="H6177" s="1">
        <v>0.944444444</v>
      </c>
      <c r="I6177" s="1">
        <v>5.14</v>
      </c>
      <c r="J6177" s="1">
        <v>0.348223</v>
      </c>
    </row>
    <row r="6178">
      <c r="A6178" s="1">
        <v>2025.0</v>
      </c>
      <c r="B6178" s="1" t="s">
        <v>440</v>
      </c>
      <c r="C6178" s="1">
        <v>542888.0</v>
      </c>
      <c r="D6178" s="1" t="s">
        <v>540</v>
      </c>
      <c r="E6178" s="1" t="s">
        <v>927</v>
      </c>
      <c r="F6178" s="1" t="s">
        <v>926</v>
      </c>
      <c r="G6178" s="1">
        <v>127.0</v>
      </c>
      <c r="H6178" s="1">
        <v>8.413607878</v>
      </c>
      <c r="I6178" s="1">
        <v>5.18</v>
      </c>
      <c r="J6178" s="1">
        <v>2.251812</v>
      </c>
    </row>
    <row r="6179">
      <c r="A6179" s="1">
        <v>2025.0</v>
      </c>
      <c r="B6179" s="1" t="s">
        <v>440</v>
      </c>
      <c r="C6179" s="1">
        <v>542888.0</v>
      </c>
      <c r="D6179" s="1" t="s">
        <v>537</v>
      </c>
      <c r="E6179" s="1" t="s">
        <v>927</v>
      </c>
      <c r="F6179" s="1" t="s">
        <v>926</v>
      </c>
      <c r="G6179" s="1">
        <v>152.0</v>
      </c>
      <c r="H6179" s="1">
        <v>10.0698299</v>
      </c>
      <c r="I6179" s="1">
        <v>4.49</v>
      </c>
      <c r="J6179" s="1">
        <v>4.853669</v>
      </c>
    </row>
    <row r="6180">
      <c r="A6180" s="1">
        <v>2025.0</v>
      </c>
      <c r="B6180" s="1" t="s">
        <v>440</v>
      </c>
      <c r="C6180" s="1">
        <v>542888.0</v>
      </c>
      <c r="D6180" s="1" t="s">
        <v>536</v>
      </c>
      <c r="E6180" s="1" t="s">
        <v>927</v>
      </c>
      <c r="F6180" s="1" t="s">
        <v>926</v>
      </c>
      <c r="G6180" s="1">
        <v>53.0</v>
      </c>
      <c r="H6180" s="1">
        <v>3.511190689</v>
      </c>
      <c r="I6180" s="1">
        <v>3.53</v>
      </c>
      <c r="J6180" s="1">
        <v>2.722187</v>
      </c>
    </row>
    <row r="6181">
      <c r="A6181" s="1">
        <v>2025.0</v>
      </c>
      <c r="B6181" s="1" t="s">
        <v>440</v>
      </c>
      <c r="C6181" s="1">
        <v>542888.0</v>
      </c>
      <c r="D6181" s="1" t="s">
        <v>539</v>
      </c>
      <c r="E6181" s="1" t="s">
        <v>927</v>
      </c>
      <c r="F6181" s="1" t="s">
        <v>926</v>
      </c>
      <c r="G6181" s="1">
        <v>86.0</v>
      </c>
      <c r="H6181" s="1">
        <v>5.69740376</v>
      </c>
      <c r="I6181" s="1">
        <v>4.91</v>
      </c>
      <c r="J6181" s="1">
        <v>1.993614</v>
      </c>
    </row>
    <row r="6182">
      <c r="A6182" s="1">
        <v>2025.0</v>
      </c>
      <c r="B6182" s="1" t="s">
        <v>440</v>
      </c>
      <c r="C6182" s="1">
        <v>542888.0</v>
      </c>
      <c r="D6182" s="1" t="s">
        <v>541</v>
      </c>
      <c r="E6182" s="1" t="s">
        <v>927</v>
      </c>
      <c r="F6182" s="1" t="s">
        <v>927</v>
      </c>
      <c r="G6182" s="1">
        <v>1.0</v>
      </c>
      <c r="H6182" s="1">
        <v>0.066248881</v>
      </c>
      <c r="I6182" s="1">
        <v>5.43</v>
      </c>
      <c r="J6182" s="1">
        <v>0.010818</v>
      </c>
    </row>
    <row r="6183">
      <c r="A6183" s="1">
        <v>2025.0</v>
      </c>
      <c r="B6183" s="1" t="s">
        <v>440</v>
      </c>
      <c r="C6183" s="1">
        <v>542888.0</v>
      </c>
      <c r="D6183" s="1" t="s">
        <v>540</v>
      </c>
      <c r="E6183" s="1" t="s">
        <v>927</v>
      </c>
      <c r="F6183" s="1" t="s">
        <v>927</v>
      </c>
      <c r="G6183" s="1">
        <v>142.0</v>
      </c>
      <c r="H6183" s="1">
        <v>9.407341092</v>
      </c>
      <c r="I6183" s="1">
        <v>4.95</v>
      </c>
      <c r="J6183" s="1">
        <v>3.325018</v>
      </c>
    </row>
    <row r="6184">
      <c r="A6184" s="1">
        <v>2025.0</v>
      </c>
      <c r="B6184" s="1" t="s">
        <v>440</v>
      </c>
      <c r="C6184" s="1">
        <v>542888.0</v>
      </c>
      <c r="D6184" s="1" t="s">
        <v>537</v>
      </c>
      <c r="E6184" s="1" t="s">
        <v>927</v>
      </c>
      <c r="F6184" s="1" t="s">
        <v>927</v>
      </c>
      <c r="G6184" s="1">
        <v>172.0</v>
      </c>
      <c r="H6184" s="1">
        <v>11.39480752</v>
      </c>
      <c r="I6184" s="1">
        <v>4.7</v>
      </c>
      <c r="J6184" s="1">
        <v>4.833892</v>
      </c>
    </row>
    <row r="6185">
      <c r="A6185" s="1">
        <v>2025.0</v>
      </c>
      <c r="B6185" s="1" t="s">
        <v>440</v>
      </c>
      <c r="C6185" s="1">
        <v>542888.0</v>
      </c>
      <c r="D6185" s="1" t="s">
        <v>536</v>
      </c>
      <c r="E6185" s="1" t="s">
        <v>927</v>
      </c>
      <c r="F6185" s="1" t="s">
        <v>927</v>
      </c>
      <c r="G6185" s="1">
        <v>210.0</v>
      </c>
      <c r="H6185" s="1">
        <v>13.912265</v>
      </c>
      <c r="I6185" s="1">
        <v>4.82</v>
      </c>
      <c r="J6185" s="1">
        <v>5.247655</v>
      </c>
    </row>
    <row r="6186">
      <c r="A6186" s="1">
        <v>2025.0</v>
      </c>
      <c r="B6186" s="1" t="s">
        <v>440</v>
      </c>
      <c r="C6186" s="1">
        <v>542888.0</v>
      </c>
      <c r="D6186" s="1" t="s">
        <v>539</v>
      </c>
      <c r="E6186" s="1" t="s">
        <v>927</v>
      </c>
      <c r="F6186" s="1" t="s">
        <v>927</v>
      </c>
      <c r="G6186" s="1">
        <v>174.0</v>
      </c>
      <c r="H6186" s="1">
        <v>11.52730528</v>
      </c>
      <c r="I6186" s="1">
        <v>5.51</v>
      </c>
      <c r="J6186" s="1">
        <v>1.884617</v>
      </c>
    </row>
    <row r="6187">
      <c r="A6187" s="1">
        <v>2025.0</v>
      </c>
      <c r="B6187" s="1" t="s">
        <v>444</v>
      </c>
      <c r="C6187" s="1">
        <v>681869.0</v>
      </c>
      <c r="D6187" s="1" t="s">
        <v>532</v>
      </c>
      <c r="E6187" s="1" t="s">
        <v>927</v>
      </c>
      <c r="F6187" s="1" t="s">
        <v>926</v>
      </c>
      <c r="G6187" s="1">
        <v>73.0</v>
      </c>
      <c r="H6187" s="1">
        <v>4.460375076</v>
      </c>
      <c r="I6187" s="1">
        <v>5.03</v>
      </c>
      <c r="J6187" s="1">
        <v>1.504976</v>
      </c>
    </row>
    <row r="6188">
      <c r="A6188" s="1">
        <v>2025.0</v>
      </c>
      <c r="B6188" s="1" t="s">
        <v>444</v>
      </c>
      <c r="C6188" s="1">
        <v>681869.0</v>
      </c>
      <c r="D6188" s="1" t="s">
        <v>541</v>
      </c>
      <c r="E6188" s="1" t="s">
        <v>927</v>
      </c>
      <c r="F6188" s="1" t="s">
        <v>926</v>
      </c>
      <c r="G6188" s="1">
        <v>52.0</v>
      </c>
      <c r="H6188" s="1">
        <v>3.177253479</v>
      </c>
      <c r="I6188" s="1">
        <v>4.96</v>
      </c>
      <c r="J6188" s="1">
        <v>1.186176</v>
      </c>
    </row>
    <row r="6189">
      <c r="A6189" s="1">
        <v>2025.0</v>
      </c>
      <c r="B6189" s="1" t="s">
        <v>444</v>
      </c>
      <c r="C6189" s="1">
        <v>681869.0</v>
      </c>
      <c r="D6189" s="1" t="s">
        <v>540</v>
      </c>
      <c r="E6189" s="1" t="s">
        <v>927</v>
      </c>
      <c r="F6189" s="1" t="s">
        <v>926</v>
      </c>
      <c r="G6189" s="1">
        <v>4.0</v>
      </c>
      <c r="H6189" s="1">
        <v>0.244404114</v>
      </c>
      <c r="I6189" s="1">
        <v>4.21</v>
      </c>
      <c r="J6189" s="1">
        <v>0.150796</v>
      </c>
    </row>
    <row r="6190">
      <c r="A6190" s="1">
        <v>2025.0</v>
      </c>
      <c r="B6190" s="1" t="s">
        <v>444</v>
      </c>
      <c r="C6190" s="1">
        <v>681869.0</v>
      </c>
      <c r="D6190" s="1" t="s">
        <v>537</v>
      </c>
      <c r="E6190" s="1" t="s">
        <v>927</v>
      </c>
      <c r="F6190" s="1" t="s">
        <v>926</v>
      </c>
      <c r="G6190" s="1">
        <v>80.0</v>
      </c>
      <c r="H6190" s="1">
        <v>4.888082275</v>
      </c>
      <c r="I6190" s="1">
        <v>4.57</v>
      </c>
      <c r="J6190" s="1">
        <v>2.470008</v>
      </c>
    </row>
    <row r="6191">
      <c r="A6191" s="1">
        <v>2025.0</v>
      </c>
      <c r="B6191" s="1" t="s">
        <v>444</v>
      </c>
      <c r="C6191" s="1">
        <v>681869.0</v>
      </c>
      <c r="D6191" s="1" t="s">
        <v>536</v>
      </c>
      <c r="E6191" s="1" t="s">
        <v>927</v>
      </c>
      <c r="F6191" s="1" t="s">
        <v>926</v>
      </c>
      <c r="G6191" s="1">
        <v>13.0</v>
      </c>
      <c r="H6191" s="1">
        <v>0.79431337</v>
      </c>
      <c r="I6191" s="1">
        <v>3.91</v>
      </c>
      <c r="J6191" s="1">
        <v>0.561429</v>
      </c>
    </row>
    <row r="6192">
      <c r="A6192" s="1">
        <v>2025.0</v>
      </c>
      <c r="B6192" s="1" t="s">
        <v>444</v>
      </c>
      <c r="C6192" s="1">
        <v>681869.0</v>
      </c>
      <c r="D6192" s="1" t="s">
        <v>532</v>
      </c>
      <c r="E6192" s="1" t="s">
        <v>927</v>
      </c>
      <c r="F6192" s="1" t="s">
        <v>927</v>
      </c>
      <c r="G6192" s="1">
        <v>7.0</v>
      </c>
      <c r="H6192" s="1">
        <v>0.427707199</v>
      </c>
      <c r="I6192" s="1">
        <v>5.66</v>
      </c>
      <c r="J6192" s="1">
        <v>0.060979</v>
      </c>
    </row>
    <row r="6193">
      <c r="A6193" s="1">
        <v>2025.0</v>
      </c>
      <c r="B6193" s="1" t="s">
        <v>444</v>
      </c>
      <c r="C6193" s="1">
        <v>681869.0</v>
      </c>
      <c r="D6193" s="1" t="s">
        <v>541</v>
      </c>
      <c r="E6193" s="1" t="s">
        <v>927</v>
      </c>
      <c r="F6193" s="1" t="s">
        <v>927</v>
      </c>
      <c r="G6193" s="1">
        <v>28.0</v>
      </c>
      <c r="H6193" s="1">
        <v>1.710828796</v>
      </c>
      <c r="I6193" s="1">
        <v>5.34</v>
      </c>
      <c r="J6193" s="1">
        <v>0.424786</v>
      </c>
    </row>
    <row r="6194">
      <c r="A6194" s="1">
        <v>2025.0</v>
      </c>
      <c r="B6194" s="1" t="s">
        <v>444</v>
      </c>
      <c r="C6194" s="1">
        <v>681869.0</v>
      </c>
      <c r="D6194" s="1" t="s">
        <v>540</v>
      </c>
      <c r="E6194" s="1" t="s">
        <v>927</v>
      </c>
      <c r="F6194" s="1" t="s">
        <v>927</v>
      </c>
      <c r="G6194" s="1">
        <v>15.0</v>
      </c>
      <c r="H6194" s="1">
        <v>0.916515426</v>
      </c>
      <c r="I6194" s="1">
        <v>4.88</v>
      </c>
      <c r="J6194" s="1">
        <v>0.381732</v>
      </c>
    </row>
    <row r="6195">
      <c r="A6195" s="1">
        <v>2025.0</v>
      </c>
      <c r="B6195" s="1" t="s">
        <v>444</v>
      </c>
      <c r="C6195" s="1">
        <v>681869.0</v>
      </c>
      <c r="D6195" s="1" t="s">
        <v>537</v>
      </c>
      <c r="E6195" s="1" t="s">
        <v>927</v>
      </c>
      <c r="F6195" s="1" t="s">
        <v>927</v>
      </c>
      <c r="G6195" s="1">
        <v>107.0</v>
      </c>
      <c r="H6195" s="1">
        <v>6.537810042</v>
      </c>
      <c r="I6195" s="1">
        <v>4.82</v>
      </c>
      <c r="J6195" s="1">
        <v>2.797492</v>
      </c>
    </row>
    <row r="6196">
      <c r="A6196" s="1">
        <v>2025.0</v>
      </c>
      <c r="B6196" s="1" t="s">
        <v>444</v>
      </c>
      <c r="C6196" s="1">
        <v>681869.0</v>
      </c>
      <c r="D6196" s="1" t="s">
        <v>536</v>
      </c>
      <c r="E6196" s="1" t="s">
        <v>927</v>
      </c>
      <c r="F6196" s="1" t="s">
        <v>927</v>
      </c>
      <c r="G6196" s="1">
        <v>76.0</v>
      </c>
      <c r="H6196" s="1">
        <v>4.643678161</v>
      </c>
      <c r="I6196" s="1">
        <v>4.74</v>
      </c>
      <c r="J6196" s="1">
        <v>2.072416</v>
      </c>
    </row>
    <row r="6197">
      <c r="A6197" s="1">
        <v>2025.0</v>
      </c>
      <c r="B6197" s="1" t="s">
        <v>444</v>
      </c>
      <c r="C6197" s="1">
        <v>681869.0</v>
      </c>
      <c r="D6197" s="1" t="s">
        <v>533</v>
      </c>
      <c r="E6197" s="1" t="s">
        <v>927</v>
      </c>
      <c r="F6197" s="1" t="s">
        <v>927</v>
      </c>
      <c r="G6197" s="1">
        <v>4.0</v>
      </c>
      <c r="H6197" s="1">
        <v>0.244404114</v>
      </c>
      <c r="I6197" s="1">
        <v>3.76</v>
      </c>
      <c r="J6197" s="1">
        <v>0.17853</v>
      </c>
    </row>
    <row r="6198">
      <c r="A6198" s="1">
        <v>2025.0</v>
      </c>
      <c r="B6198" s="1" t="s">
        <v>444</v>
      </c>
      <c r="C6198" s="1">
        <v>681869.0</v>
      </c>
      <c r="D6198" s="1" t="s">
        <v>539</v>
      </c>
      <c r="E6198" s="1" t="s">
        <v>927</v>
      </c>
      <c r="F6198" s="1" t="s">
        <v>927</v>
      </c>
      <c r="G6198" s="1">
        <v>92.0</v>
      </c>
      <c r="H6198" s="1">
        <v>5.621294616</v>
      </c>
      <c r="I6198" s="1">
        <v>5.27</v>
      </c>
      <c r="J6198" s="1">
        <v>1.50518</v>
      </c>
    </row>
    <row r="6199">
      <c r="A6199" s="1">
        <v>2025.0</v>
      </c>
      <c r="B6199" s="1" t="s">
        <v>103</v>
      </c>
      <c r="C6199" s="1">
        <v>571946.0</v>
      </c>
      <c r="D6199" s="1" t="s">
        <v>537</v>
      </c>
      <c r="E6199" s="1" t="s">
        <v>927</v>
      </c>
      <c r="F6199" s="1" t="s">
        <v>926</v>
      </c>
      <c r="G6199" s="1">
        <v>238.0</v>
      </c>
      <c r="H6199" s="1">
        <v>15.52907801</v>
      </c>
      <c r="I6199" s="1">
        <v>5.18</v>
      </c>
      <c r="J6199" s="1">
        <v>4.359781</v>
      </c>
    </row>
    <row r="6200">
      <c r="A6200" s="1">
        <v>2025.0</v>
      </c>
      <c r="B6200" s="1" t="s">
        <v>103</v>
      </c>
      <c r="C6200" s="1">
        <v>571946.0</v>
      </c>
      <c r="D6200" s="1" t="s">
        <v>538</v>
      </c>
      <c r="E6200" s="1" t="s">
        <v>927</v>
      </c>
      <c r="F6200" s="1" t="s">
        <v>926</v>
      </c>
      <c r="G6200" s="1">
        <v>128.0</v>
      </c>
      <c r="H6200" s="1">
        <v>8.35177305</v>
      </c>
      <c r="I6200" s="1">
        <v>4.6</v>
      </c>
      <c r="J6200" s="1">
        <v>3.742949</v>
      </c>
    </row>
    <row r="6201">
      <c r="A6201" s="1">
        <v>2025.0</v>
      </c>
      <c r="B6201" s="1" t="s">
        <v>103</v>
      </c>
      <c r="C6201" s="1">
        <v>571946.0</v>
      </c>
      <c r="D6201" s="1" t="s">
        <v>533</v>
      </c>
      <c r="E6201" s="1" t="s">
        <v>927</v>
      </c>
      <c r="F6201" s="1" t="s">
        <v>926</v>
      </c>
      <c r="G6201" s="1">
        <v>5.0</v>
      </c>
      <c r="H6201" s="1">
        <v>0.326241135</v>
      </c>
      <c r="I6201" s="1">
        <v>6.51</v>
      </c>
      <c r="J6201" s="1">
        <v>-0.037798</v>
      </c>
    </row>
    <row r="6202">
      <c r="A6202" s="1">
        <v>2025.0</v>
      </c>
      <c r="B6202" s="1" t="s">
        <v>103</v>
      </c>
      <c r="C6202" s="1">
        <v>571946.0</v>
      </c>
      <c r="D6202" s="1" t="s">
        <v>539</v>
      </c>
      <c r="E6202" s="1" t="s">
        <v>927</v>
      </c>
      <c r="F6202" s="1" t="s">
        <v>926</v>
      </c>
      <c r="G6202" s="1">
        <v>1.0</v>
      </c>
      <c r="H6202" s="1">
        <v>0.065248227</v>
      </c>
      <c r="I6202" s="1">
        <v>6.65</v>
      </c>
      <c r="J6202" s="1">
        <v>-0.009384</v>
      </c>
    </row>
    <row r="6203">
      <c r="A6203" s="1">
        <v>2025.0</v>
      </c>
      <c r="B6203" s="1" t="s">
        <v>103</v>
      </c>
      <c r="C6203" s="1">
        <v>571946.0</v>
      </c>
      <c r="D6203" s="1" t="s">
        <v>537</v>
      </c>
      <c r="E6203" s="1" t="s">
        <v>927</v>
      </c>
      <c r="F6203" s="1" t="s">
        <v>927</v>
      </c>
      <c r="G6203" s="1">
        <v>200.0</v>
      </c>
      <c r="H6203" s="1">
        <v>13.04964539</v>
      </c>
      <c r="I6203" s="1">
        <v>5.52</v>
      </c>
      <c r="J6203" s="1">
        <v>2.346776</v>
      </c>
    </row>
    <row r="6204">
      <c r="A6204" s="1">
        <v>2025.0</v>
      </c>
      <c r="B6204" s="1" t="s">
        <v>103</v>
      </c>
      <c r="C6204" s="1">
        <v>571946.0</v>
      </c>
      <c r="D6204" s="1" t="s">
        <v>538</v>
      </c>
      <c r="E6204" s="1" t="s">
        <v>927</v>
      </c>
      <c r="F6204" s="1" t="s">
        <v>927</v>
      </c>
      <c r="G6204" s="1">
        <v>75.0</v>
      </c>
      <c r="H6204" s="1">
        <v>4.893617021</v>
      </c>
      <c r="I6204" s="1">
        <v>4.77</v>
      </c>
      <c r="J6204" s="1">
        <v>1.926002</v>
      </c>
    </row>
    <row r="6205">
      <c r="A6205" s="1">
        <v>2025.0</v>
      </c>
      <c r="B6205" s="1" t="s">
        <v>103</v>
      </c>
      <c r="C6205" s="1">
        <v>571946.0</v>
      </c>
      <c r="D6205" s="1" t="s">
        <v>533</v>
      </c>
      <c r="E6205" s="1" t="s">
        <v>927</v>
      </c>
      <c r="F6205" s="1" t="s">
        <v>927</v>
      </c>
      <c r="G6205" s="1">
        <v>8.0</v>
      </c>
      <c r="H6205" s="1">
        <v>0.521985816</v>
      </c>
      <c r="I6205" s="1">
        <v>5.36</v>
      </c>
      <c r="J6205" s="1">
        <v>0.113169</v>
      </c>
    </row>
    <row r="6206">
      <c r="A6206" s="1">
        <v>2025.0</v>
      </c>
      <c r="B6206" s="1" t="s">
        <v>103</v>
      </c>
      <c r="C6206" s="1">
        <v>571946.0</v>
      </c>
      <c r="D6206" s="1" t="s">
        <v>539</v>
      </c>
      <c r="E6206" s="1" t="s">
        <v>927</v>
      </c>
      <c r="F6206" s="1" t="s">
        <v>927</v>
      </c>
      <c r="G6206" s="1">
        <v>50.0</v>
      </c>
      <c r="H6206" s="1">
        <v>3.262411348</v>
      </c>
      <c r="I6206" s="1">
        <v>5.06</v>
      </c>
      <c r="J6206" s="1">
        <v>1.017326</v>
      </c>
    </row>
    <row r="6207">
      <c r="A6207" s="1">
        <v>2025.0</v>
      </c>
      <c r="B6207" s="1" t="s">
        <v>357</v>
      </c>
      <c r="C6207" s="1">
        <v>829272.0</v>
      </c>
      <c r="D6207" s="1" t="s">
        <v>532</v>
      </c>
      <c r="E6207" s="1" t="s">
        <v>926</v>
      </c>
      <c r="F6207" s="1" t="s">
        <v>926</v>
      </c>
      <c r="G6207" s="1">
        <v>16.0</v>
      </c>
      <c r="H6207" s="1">
        <v>0.917903066</v>
      </c>
      <c r="I6207" s="1">
        <v>5.27</v>
      </c>
      <c r="J6207" s="1">
        <v>0.250094</v>
      </c>
    </row>
    <row r="6208">
      <c r="A6208" s="1">
        <v>2025.0</v>
      </c>
      <c r="B6208" s="1" t="s">
        <v>357</v>
      </c>
      <c r="C6208" s="1">
        <v>829272.0</v>
      </c>
      <c r="D6208" s="1" t="s">
        <v>541</v>
      </c>
      <c r="E6208" s="1" t="s">
        <v>926</v>
      </c>
      <c r="F6208" s="1" t="s">
        <v>926</v>
      </c>
      <c r="G6208" s="1">
        <v>46.0</v>
      </c>
      <c r="H6208" s="1">
        <v>2.638971316</v>
      </c>
      <c r="I6208" s="1">
        <v>4.86</v>
      </c>
      <c r="J6208" s="1">
        <v>1.134476</v>
      </c>
    </row>
    <row r="6209">
      <c r="A6209" s="1">
        <v>2025.0</v>
      </c>
      <c r="B6209" s="1" t="s">
        <v>357</v>
      </c>
      <c r="C6209" s="1">
        <v>829272.0</v>
      </c>
      <c r="D6209" s="1" t="s">
        <v>537</v>
      </c>
      <c r="E6209" s="1" t="s">
        <v>926</v>
      </c>
      <c r="F6209" s="1" t="s">
        <v>926</v>
      </c>
      <c r="G6209" s="1">
        <v>129.0</v>
      </c>
      <c r="H6209" s="1">
        <v>7.400593472</v>
      </c>
      <c r="I6209" s="1">
        <v>5.07</v>
      </c>
      <c r="J6209" s="1">
        <v>2.6917</v>
      </c>
    </row>
    <row r="6210">
      <c r="A6210" s="1">
        <v>2025.0</v>
      </c>
      <c r="B6210" s="1" t="s">
        <v>357</v>
      </c>
      <c r="C6210" s="1">
        <v>829272.0</v>
      </c>
      <c r="D6210" s="1" t="s">
        <v>536</v>
      </c>
      <c r="E6210" s="1" t="s">
        <v>926</v>
      </c>
      <c r="F6210" s="1" t="s">
        <v>926</v>
      </c>
      <c r="G6210" s="1">
        <v>7.0</v>
      </c>
      <c r="H6210" s="1">
        <v>0.401582591</v>
      </c>
      <c r="I6210" s="1">
        <v>4.74</v>
      </c>
      <c r="J6210" s="1">
        <v>0.198488</v>
      </c>
    </row>
    <row r="6211">
      <c r="A6211" s="1">
        <v>2025.0</v>
      </c>
      <c r="B6211" s="1" t="s">
        <v>357</v>
      </c>
      <c r="C6211" s="1">
        <v>829272.0</v>
      </c>
      <c r="D6211" s="1" t="s">
        <v>533</v>
      </c>
      <c r="E6211" s="1" t="s">
        <v>926</v>
      </c>
      <c r="F6211" s="1" t="s">
        <v>926</v>
      </c>
      <c r="G6211" s="1">
        <v>110.0</v>
      </c>
      <c r="H6211" s="1">
        <v>6.310583581</v>
      </c>
      <c r="I6211" s="1">
        <v>4.96</v>
      </c>
      <c r="J6211" s="1">
        <v>2.488111</v>
      </c>
    </row>
    <row r="6212">
      <c r="A6212" s="1">
        <v>2025.0</v>
      </c>
      <c r="B6212" s="1" t="s">
        <v>357</v>
      </c>
      <c r="C6212" s="1">
        <v>829272.0</v>
      </c>
      <c r="D6212" s="1" t="s">
        <v>539</v>
      </c>
      <c r="E6212" s="1" t="s">
        <v>926</v>
      </c>
      <c r="F6212" s="1" t="s">
        <v>926</v>
      </c>
      <c r="G6212" s="1">
        <v>3.0</v>
      </c>
      <c r="H6212" s="1">
        <v>0.172106825</v>
      </c>
      <c r="I6212" s="1">
        <v>2.37</v>
      </c>
      <c r="J6212" s="1">
        <v>0.211333</v>
      </c>
    </row>
    <row r="6213">
      <c r="A6213" s="1">
        <v>2025.0</v>
      </c>
      <c r="B6213" s="1" t="s">
        <v>357</v>
      </c>
      <c r="C6213" s="1">
        <v>829272.0</v>
      </c>
      <c r="D6213" s="1" t="s">
        <v>532</v>
      </c>
      <c r="E6213" s="1" t="s">
        <v>926</v>
      </c>
      <c r="F6213" s="1" t="s">
        <v>927</v>
      </c>
      <c r="G6213" s="1">
        <v>134.0</v>
      </c>
      <c r="H6213" s="1">
        <v>7.68743818</v>
      </c>
      <c r="I6213" s="1">
        <v>5.26</v>
      </c>
      <c r="J6213" s="1">
        <v>2.297821</v>
      </c>
    </row>
    <row r="6214">
      <c r="A6214" s="1">
        <v>2025.0</v>
      </c>
      <c r="B6214" s="1" t="s">
        <v>357</v>
      </c>
      <c r="C6214" s="1">
        <v>829272.0</v>
      </c>
      <c r="D6214" s="1" t="s">
        <v>541</v>
      </c>
      <c r="E6214" s="1" t="s">
        <v>926</v>
      </c>
      <c r="F6214" s="1" t="s">
        <v>927</v>
      </c>
      <c r="G6214" s="1">
        <v>83.0</v>
      </c>
      <c r="H6214" s="1">
        <v>4.761622156</v>
      </c>
      <c r="I6214" s="1">
        <v>4.89</v>
      </c>
      <c r="J6214" s="1">
        <v>2.01757</v>
      </c>
    </row>
    <row r="6215">
      <c r="A6215" s="1">
        <v>2025.0</v>
      </c>
      <c r="B6215" s="1" t="s">
        <v>357</v>
      </c>
      <c r="C6215" s="1">
        <v>829272.0</v>
      </c>
      <c r="D6215" s="1" t="s">
        <v>537</v>
      </c>
      <c r="E6215" s="1" t="s">
        <v>926</v>
      </c>
      <c r="F6215" s="1" t="s">
        <v>927</v>
      </c>
      <c r="G6215" s="1">
        <v>128.0</v>
      </c>
      <c r="H6215" s="1">
        <v>7.34322453</v>
      </c>
      <c r="I6215" s="1">
        <v>4.95</v>
      </c>
      <c r="J6215" s="1">
        <v>3.068885</v>
      </c>
    </row>
    <row r="6216">
      <c r="A6216" s="1">
        <v>2025.0</v>
      </c>
      <c r="B6216" s="1" t="s">
        <v>357</v>
      </c>
      <c r="C6216" s="1">
        <v>829272.0</v>
      </c>
      <c r="D6216" s="1" t="s">
        <v>536</v>
      </c>
      <c r="E6216" s="1" t="s">
        <v>926</v>
      </c>
      <c r="F6216" s="1" t="s">
        <v>927</v>
      </c>
      <c r="G6216" s="1">
        <v>3.0</v>
      </c>
      <c r="H6216" s="1">
        <v>0.172106825</v>
      </c>
      <c r="I6216" s="1">
        <v>4.27</v>
      </c>
      <c r="J6216" s="1">
        <v>0.132065</v>
      </c>
    </row>
    <row r="6217">
      <c r="A6217" s="1">
        <v>2025.0</v>
      </c>
      <c r="B6217" s="1" t="s">
        <v>357</v>
      </c>
      <c r="C6217" s="1">
        <v>829272.0</v>
      </c>
      <c r="D6217" s="1" t="s">
        <v>533</v>
      </c>
      <c r="E6217" s="1" t="s">
        <v>926</v>
      </c>
      <c r="F6217" s="1" t="s">
        <v>927</v>
      </c>
      <c r="G6217" s="1">
        <v>15.0</v>
      </c>
      <c r="H6217" s="1">
        <v>0.860534125</v>
      </c>
      <c r="I6217" s="1">
        <v>4.51</v>
      </c>
      <c r="J6217" s="1">
        <v>0.497564</v>
      </c>
    </row>
    <row r="6218">
      <c r="A6218" s="1">
        <v>2025.0</v>
      </c>
      <c r="B6218" s="1" t="s">
        <v>136</v>
      </c>
      <c r="C6218" s="1">
        <v>660271.0</v>
      </c>
      <c r="D6218" s="1" t="s">
        <v>541</v>
      </c>
      <c r="E6218" s="1" t="s">
        <v>927</v>
      </c>
      <c r="F6218" s="1" t="s">
        <v>926</v>
      </c>
      <c r="G6218" s="1">
        <v>43.0</v>
      </c>
      <c r="H6218" s="1">
        <v>2.683930943</v>
      </c>
      <c r="I6218" s="1">
        <v>5.2</v>
      </c>
      <c r="J6218" s="1">
        <v>0.780907</v>
      </c>
    </row>
    <row r="6219">
      <c r="A6219" s="1">
        <v>2025.0</v>
      </c>
      <c r="B6219" s="1" t="s">
        <v>136</v>
      </c>
      <c r="C6219" s="1">
        <v>660271.0</v>
      </c>
      <c r="D6219" s="1" t="s">
        <v>540</v>
      </c>
      <c r="E6219" s="1" t="s">
        <v>927</v>
      </c>
      <c r="F6219" s="1" t="s">
        <v>926</v>
      </c>
      <c r="G6219" s="1">
        <v>40.0</v>
      </c>
      <c r="H6219" s="1">
        <v>2.496679947</v>
      </c>
      <c r="I6219" s="1">
        <v>4.84</v>
      </c>
      <c r="J6219" s="1">
        <v>1.060126</v>
      </c>
    </row>
    <row r="6220">
      <c r="A6220" s="1">
        <v>2025.0</v>
      </c>
      <c r="B6220" s="1" t="s">
        <v>136</v>
      </c>
      <c r="C6220" s="1">
        <v>660271.0</v>
      </c>
      <c r="D6220" s="1" t="s">
        <v>537</v>
      </c>
      <c r="E6220" s="1" t="s">
        <v>927</v>
      </c>
      <c r="F6220" s="1" t="s">
        <v>926</v>
      </c>
      <c r="G6220" s="1">
        <v>159.0</v>
      </c>
      <c r="H6220" s="1">
        <v>9.924302789</v>
      </c>
      <c r="I6220" s="1">
        <v>4.8</v>
      </c>
      <c r="J6220" s="1">
        <v>4.054045</v>
      </c>
    </row>
    <row r="6221">
      <c r="A6221" s="1">
        <v>2025.0</v>
      </c>
      <c r="B6221" s="1" t="s">
        <v>136</v>
      </c>
      <c r="C6221" s="1">
        <v>660271.0</v>
      </c>
      <c r="D6221" s="1" t="s">
        <v>538</v>
      </c>
      <c r="E6221" s="1" t="s">
        <v>927</v>
      </c>
      <c r="F6221" s="1" t="s">
        <v>926</v>
      </c>
      <c r="G6221" s="1">
        <v>29.0</v>
      </c>
      <c r="H6221" s="1">
        <v>1.810092961</v>
      </c>
      <c r="I6221" s="1">
        <v>4.46</v>
      </c>
      <c r="J6221" s="1">
        <v>0.964091</v>
      </c>
    </row>
    <row r="6222">
      <c r="A6222" s="1">
        <v>2025.0</v>
      </c>
      <c r="B6222" s="1" t="s">
        <v>136</v>
      </c>
      <c r="C6222" s="1">
        <v>660271.0</v>
      </c>
      <c r="D6222" s="1" t="s">
        <v>536</v>
      </c>
      <c r="E6222" s="1" t="s">
        <v>927</v>
      </c>
      <c r="F6222" s="1" t="s">
        <v>926</v>
      </c>
      <c r="G6222" s="1">
        <v>9.0</v>
      </c>
      <c r="H6222" s="1">
        <v>0.561752988</v>
      </c>
      <c r="I6222" s="1">
        <v>5.04</v>
      </c>
      <c r="J6222" s="1">
        <v>0.190699</v>
      </c>
    </row>
    <row r="6223">
      <c r="A6223" s="1">
        <v>2025.0</v>
      </c>
      <c r="B6223" s="1" t="s">
        <v>136</v>
      </c>
      <c r="C6223" s="1">
        <v>660271.0</v>
      </c>
      <c r="D6223" s="1" t="s">
        <v>533</v>
      </c>
      <c r="E6223" s="1" t="s">
        <v>927</v>
      </c>
      <c r="F6223" s="1" t="s">
        <v>926</v>
      </c>
      <c r="G6223" s="1">
        <v>43.0</v>
      </c>
      <c r="H6223" s="1">
        <v>2.683930943</v>
      </c>
      <c r="I6223" s="1">
        <v>5.44</v>
      </c>
      <c r="J6223" s="1">
        <v>0.454114</v>
      </c>
    </row>
    <row r="6224">
      <c r="A6224" s="1">
        <v>2025.0</v>
      </c>
      <c r="B6224" s="1" t="s">
        <v>136</v>
      </c>
      <c r="C6224" s="1">
        <v>660271.0</v>
      </c>
      <c r="D6224" s="1" t="s">
        <v>539</v>
      </c>
      <c r="E6224" s="1" t="s">
        <v>927</v>
      </c>
      <c r="F6224" s="1" t="s">
        <v>926</v>
      </c>
      <c r="G6224" s="1">
        <v>34.0</v>
      </c>
      <c r="H6224" s="1">
        <v>2.122177955</v>
      </c>
      <c r="I6224" s="1">
        <v>5.45</v>
      </c>
      <c r="J6224" s="1">
        <v>0.416661</v>
      </c>
    </row>
    <row r="6225">
      <c r="A6225" s="1">
        <v>2025.0</v>
      </c>
      <c r="B6225" s="1" t="s">
        <v>136</v>
      </c>
      <c r="C6225" s="1">
        <v>660271.0</v>
      </c>
      <c r="D6225" s="1" t="s">
        <v>541</v>
      </c>
      <c r="E6225" s="1" t="s">
        <v>927</v>
      </c>
      <c r="F6225" s="1" t="s">
        <v>927</v>
      </c>
      <c r="G6225" s="1">
        <v>23.0</v>
      </c>
      <c r="H6225" s="1">
        <v>1.435590969</v>
      </c>
      <c r="I6225" s="1">
        <v>4.63</v>
      </c>
      <c r="J6225" s="1">
        <v>0.687162</v>
      </c>
    </row>
    <row r="6226">
      <c r="A6226" s="1">
        <v>2025.0</v>
      </c>
      <c r="B6226" s="1" t="s">
        <v>136</v>
      </c>
      <c r="C6226" s="1">
        <v>660271.0</v>
      </c>
      <c r="D6226" s="1" t="s">
        <v>540</v>
      </c>
      <c r="E6226" s="1" t="s">
        <v>927</v>
      </c>
      <c r="F6226" s="1" t="s">
        <v>927</v>
      </c>
      <c r="G6226" s="1">
        <v>10.0</v>
      </c>
      <c r="H6226" s="1">
        <v>0.624169987</v>
      </c>
      <c r="I6226" s="1">
        <v>5.08</v>
      </c>
      <c r="J6226" s="1">
        <v>0.217731</v>
      </c>
    </row>
    <row r="6227">
      <c r="A6227" s="1">
        <v>2025.0</v>
      </c>
      <c r="B6227" s="1" t="s">
        <v>136</v>
      </c>
      <c r="C6227" s="1">
        <v>660271.0</v>
      </c>
      <c r="D6227" s="1" t="s">
        <v>537</v>
      </c>
      <c r="E6227" s="1" t="s">
        <v>927</v>
      </c>
      <c r="F6227" s="1" t="s">
        <v>927</v>
      </c>
      <c r="G6227" s="1">
        <v>133.0</v>
      </c>
      <c r="H6227" s="1">
        <v>8.301460823</v>
      </c>
      <c r="I6227" s="1">
        <v>5.4</v>
      </c>
      <c r="J6227" s="1">
        <v>1.841656</v>
      </c>
    </row>
    <row r="6228">
      <c r="A6228" s="1">
        <v>2025.0</v>
      </c>
      <c r="B6228" s="1" t="s">
        <v>136</v>
      </c>
      <c r="C6228" s="1">
        <v>660271.0</v>
      </c>
      <c r="D6228" s="1" t="s">
        <v>538</v>
      </c>
      <c r="E6228" s="1" t="s">
        <v>927</v>
      </c>
      <c r="F6228" s="1" t="s">
        <v>927</v>
      </c>
      <c r="G6228" s="1">
        <v>6.0</v>
      </c>
      <c r="H6228" s="1">
        <v>0.374501992</v>
      </c>
      <c r="I6228" s="1">
        <v>4.89</v>
      </c>
      <c r="J6228" s="1">
        <v>0.162252</v>
      </c>
    </row>
    <row r="6229">
      <c r="A6229" s="1">
        <v>2025.0</v>
      </c>
      <c r="B6229" s="1" t="s">
        <v>136</v>
      </c>
      <c r="C6229" s="1">
        <v>660271.0</v>
      </c>
      <c r="D6229" s="1" t="s">
        <v>536</v>
      </c>
      <c r="E6229" s="1" t="s">
        <v>927</v>
      </c>
      <c r="F6229" s="1" t="s">
        <v>927</v>
      </c>
      <c r="G6229" s="1">
        <v>44.0</v>
      </c>
      <c r="H6229" s="1">
        <v>2.746347942</v>
      </c>
      <c r="I6229" s="1">
        <v>4.36</v>
      </c>
      <c r="J6229" s="1">
        <v>1.547425</v>
      </c>
    </row>
    <row r="6230">
      <c r="A6230" s="1">
        <v>2025.0</v>
      </c>
      <c r="B6230" s="1" t="s">
        <v>136</v>
      </c>
      <c r="C6230" s="1">
        <v>660271.0</v>
      </c>
      <c r="D6230" s="1" t="s">
        <v>533</v>
      </c>
      <c r="E6230" s="1" t="s">
        <v>927</v>
      </c>
      <c r="F6230" s="1" t="s">
        <v>927</v>
      </c>
      <c r="G6230" s="1">
        <v>46.0</v>
      </c>
      <c r="H6230" s="1">
        <v>2.871181939</v>
      </c>
      <c r="I6230" s="1">
        <v>5.26</v>
      </c>
      <c r="J6230" s="1">
        <v>0.75531</v>
      </c>
    </row>
    <row r="6231">
      <c r="A6231" s="1">
        <v>2025.0</v>
      </c>
      <c r="B6231" s="1" t="s">
        <v>136</v>
      </c>
      <c r="C6231" s="1">
        <v>660271.0</v>
      </c>
      <c r="D6231" s="1" t="s">
        <v>539</v>
      </c>
      <c r="E6231" s="1" t="s">
        <v>927</v>
      </c>
      <c r="F6231" s="1" t="s">
        <v>927</v>
      </c>
      <c r="G6231" s="1">
        <v>134.0</v>
      </c>
      <c r="H6231" s="1">
        <v>8.363877822</v>
      </c>
      <c r="I6231" s="1">
        <v>5.64</v>
      </c>
      <c r="J6231" s="1">
        <v>1.230999</v>
      </c>
    </row>
    <row r="6232">
      <c r="A6232" s="1">
        <v>2025.0</v>
      </c>
      <c r="B6232" s="1" t="s">
        <v>67</v>
      </c>
      <c r="C6232" s="1">
        <v>684007.0</v>
      </c>
      <c r="D6232" s="1" t="s">
        <v>541</v>
      </c>
      <c r="E6232" s="1" t="s">
        <v>926</v>
      </c>
      <c r="F6232" s="1" t="s">
        <v>926</v>
      </c>
      <c r="G6232" s="1">
        <v>2.0</v>
      </c>
      <c r="H6232" s="1">
        <v>0.13308801</v>
      </c>
      <c r="I6232" s="1">
        <v>3.98</v>
      </c>
      <c r="J6232" s="1">
        <v>0.086157</v>
      </c>
    </row>
    <row r="6233">
      <c r="A6233" s="1">
        <v>2025.0</v>
      </c>
      <c r="B6233" s="1" t="s">
        <v>67</v>
      </c>
      <c r="C6233" s="1">
        <v>684007.0</v>
      </c>
      <c r="D6233" s="1" t="s">
        <v>537</v>
      </c>
      <c r="E6233" s="1" t="s">
        <v>926</v>
      </c>
      <c r="F6233" s="1" t="s">
        <v>926</v>
      </c>
      <c r="G6233" s="1">
        <v>268.0</v>
      </c>
      <c r="H6233" s="1">
        <v>17.83379331</v>
      </c>
      <c r="I6233" s="1">
        <v>5.28</v>
      </c>
      <c r="J6233" s="1">
        <v>4.300181</v>
      </c>
    </row>
    <row r="6234">
      <c r="A6234" s="1">
        <v>2025.0</v>
      </c>
      <c r="B6234" s="1" t="s">
        <v>67</v>
      </c>
      <c r="C6234" s="1">
        <v>684007.0</v>
      </c>
      <c r="D6234" s="1" t="s">
        <v>538</v>
      </c>
      <c r="E6234" s="1" t="s">
        <v>926</v>
      </c>
      <c r="F6234" s="1" t="s">
        <v>926</v>
      </c>
      <c r="G6234" s="1">
        <v>55.0</v>
      </c>
      <c r="H6234" s="1">
        <v>3.65992027</v>
      </c>
      <c r="I6234" s="1">
        <v>4.91</v>
      </c>
      <c r="J6234" s="1">
        <v>1.269323</v>
      </c>
    </row>
    <row r="6235">
      <c r="A6235" s="1">
        <v>2025.0</v>
      </c>
      <c r="B6235" s="1" t="s">
        <v>67</v>
      </c>
      <c r="C6235" s="1">
        <v>684007.0</v>
      </c>
      <c r="D6235" s="1" t="s">
        <v>536</v>
      </c>
      <c r="E6235" s="1" t="s">
        <v>926</v>
      </c>
      <c r="F6235" s="1" t="s">
        <v>926</v>
      </c>
      <c r="G6235" s="1">
        <v>25.0</v>
      </c>
      <c r="H6235" s="1">
        <v>1.663600123</v>
      </c>
      <c r="I6235" s="1">
        <v>5.47</v>
      </c>
      <c r="J6235" s="1">
        <v>0.335084</v>
      </c>
    </row>
    <row r="6236">
      <c r="A6236" s="1">
        <v>2025.0</v>
      </c>
      <c r="B6236" s="1" t="s">
        <v>67</v>
      </c>
      <c r="C6236" s="1">
        <v>684007.0</v>
      </c>
      <c r="D6236" s="1" t="s">
        <v>533</v>
      </c>
      <c r="E6236" s="1" t="s">
        <v>926</v>
      </c>
      <c r="F6236" s="1" t="s">
        <v>926</v>
      </c>
      <c r="G6236" s="1">
        <v>2.0</v>
      </c>
      <c r="H6236" s="1">
        <v>0.13308801</v>
      </c>
      <c r="I6236" s="1">
        <v>3.62</v>
      </c>
      <c r="J6236" s="1">
        <v>0.102761</v>
      </c>
    </row>
    <row r="6237">
      <c r="A6237" s="1">
        <v>2025.0</v>
      </c>
      <c r="B6237" s="1" t="s">
        <v>67</v>
      </c>
      <c r="C6237" s="1">
        <v>684007.0</v>
      </c>
      <c r="D6237" s="1" t="s">
        <v>539</v>
      </c>
      <c r="E6237" s="1" t="s">
        <v>926</v>
      </c>
      <c r="F6237" s="1" t="s">
        <v>926</v>
      </c>
      <c r="G6237" s="1">
        <v>185.0</v>
      </c>
      <c r="H6237" s="1">
        <v>12.31064091</v>
      </c>
      <c r="I6237" s="1">
        <v>5.35</v>
      </c>
      <c r="J6237" s="1">
        <v>2.608915</v>
      </c>
    </row>
    <row r="6238">
      <c r="A6238" s="1">
        <v>2025.0</v>
      </c>
      <c r="B6238" s="1" t="s">
        <v>67</v>
      </c>
      <c r="C6238" s="1">
        <v>684007.0</v>
      </c>
      <c r="D6238" s="1" t="s">
        <v>532</v>
      </c>
      <c r="E6238" s="1" t="s">
        <v>926</v>
      </c>
      <c r="F6238" s="1" t="s">
        <v>927</v>
      </c>
      <c r="G6238" s="1">
        <v>4.0</v>
      </c>
      <c r="H6238" s="1">
        <v>0.26617602</v>
      </c>
      <c r="I6238" s="1">
        <v>5.21</v>
      </c>
      <c r="J6238" s="1">
        <v>0.070548</v>
      </c>
    </row>
    <row r="6239">
      <c r="A6239" s="1">
        <v>2025.0</v>
      </c>
      <c r="B6239" s="1" t="s">
        <v>67</v>
      </c>
      <c r="C6239" s="1">
        <v>684007.0</v>
      </c>
      <c r="D6239" s="1" t="s">
        <v>541</v>
      </c>
      <c r="E6239" s="1" t="s">
        <v>926</v>
      </c>
      <c r="F6239" s="1" t="s">
        <v>927</v>
      </c>
      <c r="G6239" s="1">
        <v>33.0</v>
      </c>
      <c r="H6239" s="1">
        <v>2.195952162</v>
      </c>
      <c r="I6239" s="1">
        <v>5.16</v>
      </c>
      <c r="J6239" s="1">
        <v>0.637769</v>
      </c>
    </row>
    <row r="6240">
      <c r="A6240" s="1">
        <v>2025.0</v>
      </c>
      <c r="B6240" s="1" t="s">
        <v>67</v>
      </c>
      <c r="C6240" s="1">
        <v>684007.0</v>
      </c>
      <c r="D6240" s="1" t="s">
        <v>537</v>
      </c>
      <c r="E6240" s="1" t="s">
        <v>926</v>
      </c>
      <c r="F6240" s="1" t="s">
        <v>927</v>
      </c>
      <c r="G6240" s="1">
        <v>789.0</v>
      </c>
      <c r="H6240" s="1">
        <v>52.50321987</v>
      </c>
      <c r="I6240" s="1">
        <v>5.42</v>
      </c>
      <c r="J6240" s="1">
        <v>10.678613</v>
      </c>
    </row>
    <row r="6241">
      <c r="A6241" s="1">
        <v>2025.0</v>
      </c>
      <c r="B6241" s="1" t="s">
        <v>67</v>
      </c>
      <c r="C6241" s="1">
        <v>684007.0</v>
      </c>
      <c r="D6241" s="1" t="s">
        <v>538</v>
      </c>
      <c r="E6241" s="1" t="s">
        <v>926</v>
      </c>
      <c r="F6241" s="1" t="s">
        <v>927</v>
      </c>
      <c r="G6241" s="1">
        <v>624.0</v>
      </c>
      <c r="H6241" s="1">
        <v>41.52345906</v>
      </c>
      <c r="I6241" s="1">
        <v>4.84</v>
      </c>
      <c r="J6241" s="1">
        <v>15.523989</v>
      </c>
    </row>
    <row r="6242">
      <c r="A6242" s="1">
        <v>2025.0</v>
      </c>
      <c r="B6242" s="1" t="s">
        <v>67</v>
      </c>
      <c r="C6242" s="1">
        <v>684007.0</v>
      </c>
      <c r="D6242" s="1" t="s">
        <v>536</v>
      </c>
      <c r="E6242" s="1" t="s">
        <v>926</v>
      </c>
      <c r="F6242" s="1" t="s">
        <v>927</v>
      </c>
      <c r="G6242" s="1">
        <v>3.0</v>
      </c>
      <c r="H6242" s="1">
        <v>0.199632015</v>
      </c>
      <c r="I6242" s="1">
        <v>4.64</v>
      </c>
      <c r="J6242" s="1">
        <v>0.093198</v>
      </c>
    </row>
    <row r="6243">
      <c r="A6243" s="1">
        <v>2025.0</v>
      </c>
      <c r="B6243" s="1" t="s">
        <v>67</v>
      </c>
      <c r="C6243" s="1">
        <v>684007.0</v>
      </c>
      <c r="D6243" s="1" t="s">
        <v>533</v>
      </c>
      <c r="E6243" s="1" t="s">
        <v>926</v>
      </c>
      <c r="F6243" s="1" t="s">
        <v>927</v>
      </c>
      <c r="G6243" s="1">
        <v>3.0</v>
      </c>
      <c r="H6243" s="1">
        <v>0.199632015</v>
      </c>
      <c r="I6243" s="1">
        <v>4.46</v>
      </c>
      <c r="J6243" s="1">
        <v>0.097446</v>
      </c>
    </row>
    <row r="6244">
      <c r="A6244" s="1">
        <v>2025.0</v>
      </c>
      <c r="B6244" s="1" t="s">
        <v>67</v>
      </c>
      <c r="C6244" s="1">
        <v>684007.0</v>
      </c>
      <c r="D6244" s="1" t="s">
        <v>539</v>
      </c>
      <c r="E6244" s="1" t="s">
        <v>926</v>
      </c>
      <c r="F6244" s="1" t="s">
        <v>927</v>
      </c>
      <c r="G6244" s="1">
        <v>181.0</v>
      </c>
      <c r="H6244" s="1">
        <v>12.04446489</v>
      </c>
      <c r="I6244" s="1">
        <v>5.29</v>
      </c>
      <c r="J6244" s="1">
        <v>2.842565</v>
      </c>
    </row>
    <row r="6245">
      <c r="A6245" s="1">
        <v>2025.0</v>
      </c>
      <c r="B6245" s="1" t="s">
        <v>490</v>
      </c>
      <c r="C6245" s="1">
        <v>680573.0</v>
      </c>
      <c r="D6245" s="1" t="s">
        <v>532</v>
      </c>
      <c r="E6245" s="1" t="s">
        <v>927</v>
      </c>
      <c r="F6245" s="1" t="s">
        <v>926</v>
      </c>
      <c r="G6245" s="1">
        <v>57.0</v>
      </c>
      <c r="H6245" s="1">
        <v>3.380927011</v>
      </c>
      <c r="I6245" s="1">
        <v>4.81</v>
      </c>
      <c r="J6245" s="1">
        <v>1.434026</v>
      </c>
    </row>
    <row r="6246">
      <c r="A6246" s="1">
        <v>2025.0</v>
      </c>
      <c r="B6246" s="1" t="s">
        <v>490</v>
      </c>
      <c r="C6246" s="1">
        <v>680573.0</v>
      </c>
      <c r="D6246" s="1" t="s">
        <v>541</v>
      </c>
      <c r="E6246" s="1" t="s">
        <v>927</v>
      </c>
      <c r="F6246" s="1" t="s">
        <v>926</v>
      </c>
      <c r="G6246" s="1">
        <v>115.0</v>
      </c>
      <c r="H6246" s="1">
        <v>6.821168531</v>
      </c>
      <c r="I6246" s="1">
        <v>4.94</v>
      </c>
      <c r="J6246" s="1">
        <v>2.798274</v>
      </c>
    </row>
    <row r="6247">
      <c r="A6247" s="1">
        <v>2025.0</v>
      </c>
      <c r="B6247" s="1" t="s">
        <v>490</v>
      </c>
      <c r="C6247" s="1">
        <v>680573.0</v>
      </c>
      <c r="D6247" s="1" t="s">
        <v>537</v>
      </c>
      <c r="E6247" s="1" t="s">
        <v>927</v>
      </c>
      <c r="F6247" s="1" t="s">
        <v>926</v>
      </c>
      <c r="G6247" s="1">
        <v>437.0</v>
      </c>
      <c r="H6247" s="1">
        <v>25.92044042</v>
      </c>
      <c r="I6247" s="1">
        <v>4.81</v>
      </c>
      <c r="J6247" s="1">
        <v>11.663055</v>
      </c>
    </row>
    <row r="6248">
      <c r="A6248" s="1">
        <v>2025.0</v>
      </c>
      <c r="B6248" s="1" t="s">
        <v>490</v>
      </c>
      <c r="C6248" s="1">
        <v>680573.0</v>
      </c>
      <c r="D6248" s="1" t="s">
        <v>538</v>
      </c>
      <c r="E6248" s="1" t="s">
        <v>927</v>
      </c>
      <c r="F6248" s="1" t="s">
        <v>926</v>
      </c>
      <c r="G6248" s="1">
        <v>124.0</v>
      </c>
      <c r="H6248" s="1">
        <v>7.354999112</v>
      </c>
      <c r="I6248" s="1">
        <v>4.74</v>
      </c>
      <c r="J6248" s="1">
        <v>3.386787</v>
      </c>
    </row>
    <row r="6249">
      <c r="A6249" s="1">
        <v>2025.0</v>
      </c>
      <c r="B6249" s="1" t="s">
        <v>490</v>
      </c>
      <c r="C6249" s="1">
        <v>680573.0</v>
      </c>
      <c r="D6249" s="1" t="s">
        <v>533</v>
      </c>
      <c r="E6249" s="1" t="s">
        <v>927</v>
      </c>
      <c r="F6249" s="1" t="s">
        <v>926</v>
      </c>
      <c r="G6249" s="1">
        <v>168.0</v>
      </c>
      <c r="H6249" s="1">
        <v>9.964837507</v>
      </c>
      <c r="I6249" s="1">
        <v>5.06</v>
      </c>
      <c r="J6249" s="1">
        <v>3.60404</v>
      </c>
    </row>
    <row r="6250">
      <c r="A6250" s="1">
        <v>2025.0</v>
      </c>
      <c r="B6250" s="1" t="s">
        <v>490</v>
      </c>
      <c r="C6250" s="1">
        <v>680573.0</v>
      </c>
      <c r="D6250" s="1" t="s">
        <v>532</v>
      </c>
      <c r="E6250" s="1" t="s">
        <v>927</v>
      </c>
      <c r="F6250" s="1" t="s">
        <v>927</v>
      </c>
      <c r="G6250" s="1">
        <v>23.0</v>
      </c>
      <c r="H6250" s="1">
        <v>1.364233706</v>
      </c>
      <c r="I6250" s="1">
        <v>4.32</v>
      </c>
      <c r="J6250" s="1">
        <v>0.789007</v>
      </c>
    </row>
    <row r="6251">
      <c r="A6251" s="1">
        <v>2025.0</v>
      </c>
      <c r="B6251" s="1" t="s">
        <v>490</v>
      </c>
      <c r="C6251" s="1">
        <v>680573.0</v>
      </c>
      <c r="D6251" s="1" t="s">
        <v>541</v>
      </c>
      <c r="E6251" s="1" t="s">
        <v>927</v>
      </c>
      <c r="F6251" s="1" t="s">
        <v>927</v>
      </c>
      <c r="G6251" s="1">
        <v>130.0</v>
      </c>
      <c r="H6251" s="1">
        <v>7.710886166</v>
      </c>
      <c r="I6251" s="1">
        <v>4.92</v>
      </c>
      <c r="J6251" s="1">
        <v>3.21156</v>
      </c>
    </row>
    <row r="6252">
      <c r="A6252" s="1">
        <v>2025.0</v>
      </c>
      <c r="B6252" s="1" t="s">
        <v>490</v>
      </c>
      <c r="C6252" s="1">
        <v>680573.0</v>
      </c>
      <c r="D6252" s="1" t="s">
        <v>537</v>
      </c>
      <c r="E6252" s="1" t="s">
        <v>927</v>
      </c>
      <c r="F6252" s="1" t="s">
        <v>927</v>
      </c>
      <c r="G6252" s="1">
        <v>418.0</v>
      </c>
      <c r="H6252" s="1">
        <v>24.79346475</v>
      </c>
      <c r="I6252" s="1">
        <v>4.8</v>
      </c>
      <c r="J6252" s="1">
        <v>11.504643</v>
      </c>
    </row>
    <row r="6253">
      <c r="A6253" s="1">
        <v>2025.0</v>
      </c>
      <c r="B6253" s="1" t="s">
        <v>490</v>
      </c>
      <c r="C6253" s="1">
        <v>680573.0</v>
      </c>
      <c r="D6253" s="1" t="s">
        <v>538</v>
      </c>
      <c r="E6253" s="1" t="s">
        <v>927</v>
      </c>
      <c r="F6253" s="1" t="s">
        <v>927</v>
      </c>
      <c r="G6253" s="1">
        <v>63.0</v>
      </c>
      <c r="H6253" s="1">
        <v>3.736814065</v>
      </c>
      <c r="I6253" s="1">
        <v>4.86</v>
      </c>
      <c r="J6253" s="1">
        <v>1.533758</v>
      </c>
    </row>
    <row r="6254">
      <c r="A6254" s="1">
        <v>2025.0</v>
      </c>
      <c r="B6254" s="1" t="s">
        <v>490</v>
      </c>
      <c r="C6254" s="1">
        <v>680573.0</v>
      </c>
      <c r="D6254" s="1" t="s">
        <v>533</v>
      </c>
      <c r="E6254" s="1" t="s">
        <v>927</v>
      </c>
      <c r="F6254" s="1" t="s">
        <v>927</v>
      </c>
      <c r="G6254" s="1">
        <v>342.0</v>
      </c>
      <c r="H6254" s="1">
        <v>20.28556207</v>
      </c>
      <c r="I6254" s="1">
        <v>4.9</v>
      </c>
      <c r="J6254" s="1">
        <v>8.30062</v>
      </c>
    </row>
    <row r="6255">
      <c r="A6255" s="1">
        <v>2025.0</v>
      </c>
      <c r="B6255" s="1" t="s">
        <v>306</v>
      </c>
      <c r="C6255" s="1">
        <v>677944.0</v>
      </c>
      <c r="D6255" s="1" t="s">
        <v>532</v>
      </c>
      <c r="E6255" s="1" t="s">
        <v>927</v>
      </c>
      <c r="F6255" s="1" t="s">
        <v>926</v>
      </c>
      <c r="G6255" s="1">
        <v>142.0</v>
      </c>
      <c r="H6255" s="1">
        <v>9.085797382</v>
      </c>
      <c r="I6255" s="1">
        <v>4.58</v>
      </c>
      <c r="J6255" s="1">
        <v>4.281077</v>
      </c>
    </row>
    <row r="6256">
      <c r="A6256" s="1">
        <v>2025.0</v>
      </c>
      <c r="B6256" s="1" t="s">
        <v>306</v>
      </c>
      <c r="C6256" s="1">
        <v>677944.0</v>
      </c>
      <c r="D6256" s="1" t="s">
        <v>541</v>
      </c>
      <c r="E6256" s="1" t="s">
        <v>927</v>
      </c>
      <c r="F6256" s="1" t="s">
        <v>926</v>
      </c>
      <c r="G6256" s="1">
        <v>247.0</v>
      </c>
      <c r="H6256" s="1">
        <v>15.80416869</v>
      </c>
      <c r="I6256" s="1">
        <v>4.78</v>
      </c>
      <c r="J6256" s="1">
        <v>6.440138</v>
      </c>
    </row>
    <row r="6257">
      <c r="A6257" s="1">
        <v>2025.0</v>
      </c>
      <c r="B6257" s="1" t="s">
        <v>306</v>
      </c>
      <c r="C6257" s="1">
        <v>677944.0</v>
      </c>
      <c r="D6257" s="1" t="s">
        <v>540</v>
      </c>
      <c r="E6257" s="1" t="s">
        <v>927</v>
      </c>
      <c r="F6257" s="1" t="s">
        <v>926</v>
      </c>
      <c r="G6257" s="1">
        <v>35.0</v>
      </c>
      <c r="H6257" s="1">
        <v>2.239457101</v>
      </c>
      <c r="I6257" s="1">
        <v>4.66</v>
      </c>
      <c r="J6257" s="1">
        <v>1.06858</v>
      </c>
    </row>
    <row r="6258">
      <c r="A6258" s="1">
        <v>2025.0</v>
      </c>
      <c r="B6258" s="1" t="s">
        <v>306</v>
      </c>
      <c r="C6258" s="1">
        <v>677944.0</v>
      </c>
      <c r="D6258" s="1" t="s">
        <v>537</v>
      </c>
      <c r="E6258" s="1" t="s">
        <v>927</v>
      </c>
      <c r="F6258" s="1" t="s">
        <v>926</v>
      </c>
      <c r="G6258" s="1">
        <v>525.0</v>
      </c>
      <c r="H6258" s="1">
        <v>33.59185652</v>
      </c>
      <c r="I6258" s="1">
        <v>5.13</v>
      </c>
      <c r="J6258" s="1">
        <v>10.595981</v>
      </c>
    </row>
    <row r="6259">
      <c r="A6259" s="1">
        <v>2025.0</v>
      </c>
      <c r="B6259" s="1" t="s">
        <v>306</v>
      </c>
      <c r="C6259" s="1">
        <v>677944.0</v>
      </c>
      <c r="D6259" s="1" t="s">
        <v>536</v>
      </c>
      <c r="E6259" s="1" t="s">
        <v>927</v>
      </c>
      <c r="F6259" s="1" t="s">
        <v>926</v>
      </c>
      <c r="G6259" s="1">
        <v>59.0</v>
      </c>
      <c r="H6259" s="1">
        <v>3.775084828</v>
      </c>
      <c r="I6259" s="1">
        <v>4.31</v>
      </c>
      <c r="J6259" s="1">
        <v>2.191631</v>
      </c>
    </row>
    <row r="6260">
      <c r="A6260" s="1">
        <v>2025.0</v>
      </c>
      <c r="B6260" s="1" t="s">
        <v>306</v>
      </c>
      <c r="C6260" s="1">
        <v>677944.0</v>
      </c>
      <c r="D6260" s="1" t="s">
        <v>533</v>
      </c>
      <c r="E6260" s="1" t="s">
        <v>927</v>
      </c>
      <c r="F6260" s="1" t="s">
        <v>926</v>
      </c>
      <c r="G6260" s="1">
        <v>88.0</v>
      </c>
      <c r="H6260" s="1">
        <v>5.630634998</v>
      </c>
      <c r="I6260" s="1">
        <v>4.89</v>
      </c>
      <c r="J6260" s="1">
        <v>2.107439</v>
      </c>
    </row>
    <row r="6261">
      <c r="A6261" s="1">
        <v>2025.0</v>
      </c>
      <c r="B6261" s="1" t="s">
        <v>306</v>
      </c>
      <c r="C6261" s="1">
        <v>677944.0</v>
      </c>
      <c r="D6261" s="1" t="s">
        <v>539</v>
      </c>
      <c r="E6261" s="1" t="s">
        <v>927</v>
      </c>
      <c r="F6261" s="1" t="s">
        <v>926</v>
      </c>
      <c r="G6261" s="1">
        <v>8.0</v>
      </c>
      <c r="H6261" s="1">
        <v>0.511875909</v>
      </c>
      <c r="I6261" s="1">
        <v>5.78</v>
      </c>
      <c r="J6261" s="1">
        <v>0.049873</v>
      </c>
    </row>
    <row r="6262">
      <c r="A6262" s="1">
        <v>2025.0</v>
      </c>
      <c r="B6262" s="1" t="s">
        <v>306</v>
      </c>
      <c r="C6262" s="1">
        <v>677944.0</v>
      </c>
      <c r="D6262" s="1" t="s">
        <v>532</v>
      </c>
      <c r="E6262" s="1" t="s">
        <v>927</v>
      </c>
      <c r="F6262" s="1" t="s">
        <v>927</v>
      </c>
      <c r="G6262" s="1">
        <v>13.0</v>
      </c>
      <c r="H6262" s="1">
        <v>0.831798352</v>
      </c>
      <c r="I6262" s="1">
        <v>4.56</v>
      </c>
      <c r="J6262" s="1">
        <v>0.386307</v>
      </c>
    </row>
    <row r="6263">
      <c r="A6263" s="1">
        <v>2025.0</v>
      </c>
      <c r="B6263" s="1" t="s">
        <v>306</v>
      </c>
      <c r="C6263" s="1">
        <v>677944.0</v>
      </c>
      <c r="D6263" s="1" t="s">
        <v>541</v>
      </c>
      <c r="E6263" s="1" t="s">
        <v>927</v>
      </c>
      <c r="F6263" s="1" t="s">
        <v>927</v>
      </c>
      <c r="G6263" s="1">
        <v>93.0</v>
      </c>
      <c r="H6263" s="1">
        <v>5.950557441</v>
      </c>
      <c r="I6263" s="1">
        <v>4.6</v>
      </c>
      <c r="J6263" s="1">
        <v>2.789064</v>
      </c>
    </row>
    <row r="6264">
      <c r="A6264" s="1">
        <v>2025.0</v>
      </c>
      <c r="B6264" s="1" t="s">
        <v>306</v>
      </c>
      <c r="C6264" s="1">
        <v>677944.0</v>
      </c>
      <c r="D6264" s="1" t="s">
        <v>540</v>
      </c>
      <c r="E6264" s="1" t="s">
        <v>927</v>
      </c>
      <c r="F6264" s="1" t="s">
        <v>927</v>
      </c>
      <c r="G6264" s="1">
        <v>21.0</v>
      </c>
      <c r="H6264" s="1">
        <v>1.343674261</v>
      </c>
      <c r="I6264" s="1">
        <v>5.18</v>
      </c>
      <c r="J6264" s="1">
        <v>0.426882</v>
      </c>
    </row>
    <row r="6265">
      <c r="A6265" s="1">
        <v>2025.0</v>
      </c>
      <c r="B6265" s="1" t="s">
        <v>306</v>
      </c>
      <c r="C6265" s="1">
        <v>677944.0</v>
      </c>
      <c r="D6265" s="1" t="s">
        <v>537</v>
      </c>
      <c r="E6265" s="1" t="s">
        <v>927</v>
      </c>
      <c r="F6265" s="1" t="s">
        <v>927</v>
      </c>
      <c r="G6265" s="1">
        <v>374.0</v>
      </c>
      <c r="H6265" s="1">
        <v>23.93019874</v>
      </c>
      <c r="I6265" s="1">
        <v>5.02</v>
      </c>
      <c r="J6265" s="1">
        <v>8.428402</v>
      </c>
    </row>
    <row r="6266">
      <c r="A6266" s="1">
        <v>2025.0</v>
      </c>
      <c r="B6266" s="1" t="s">
        <v>306</v>
      </c>
      <c r="C6266" s="1">
        <v>677944.0</v>
      </c>
      <c r="D6266" s="1" t="s">
        <v>536</v>
      </c>
      <c r="E6266" s="1" t="s">
        <v>927</v>
      </c>
      <c r="F6266" s="1" t="s">
        <v>927</v>
      </c>
      <c r="G6266" s="1">
        <v>168.0</v>
      </c>
      <c r="H6266" s="1">
        <v>10.74939409</v>
      </c>
      <c r="I6266" s="1">
        <v>5.02</v>
      </c>
      <c r="J6266" s="1">
        <v>3.696145</v>
      </c>
    </row>
    <row r="6267">
      <c r="A6267" s="1">
        <v>2025.0</v>
      </c>
      <c r="B6267" s="1" t="s">
        <v>306</v>
      </c>
      <c r="C6267" s="1">
        <v>677944.0</v>
      </c>
      <c r="D6267" s="1" t="s">
        <v>533</v>
      </c>
      <c r="E6267" s="1" t="s">
        <v>927</v>
      </c>
      <c r="F6267" s="1" t="s">
        <v>927</v>
      </c>
      <c r="G6267" s="1">
        <v>280.0</v>
      </c>
      <c r="H6267" s="1">
        <v>17.91565681</v>
      </c>
      <c r="I6267" s="1">
        <v>5.01</v>
      </c>
      <c r="J6267" s="1">
        <v>6.108438</v>
      </c>
    </row>
    <row r="6268">
      <c r="A6268" s="1">
        <v>2025.0</v>
      </c>
      <c r="B6268" s="1" t="s">
        <v>306</v>
      </c>
      <c r="C6268" s="1">
        <v>677944.0</v>
      </c>
      <c r="D6268" s="1" t="s">
        <v>539</v>
      </c>
      <c r="E6268" s="1" t="s">
        <v>927</v>
      </c>
      <c r="F6268" s="1" t="s">
        <v>927</v>
      </c>
      <c r="G6268" s="1">
        <v>10.0</v>
      </c>
      <c r="H6268" s="1">
        <v>0.639844886</v>
      </c>
      <c r="I6268" s="1">
        <v>4.38</v>
      </c>
      <c r="J6268" s="1">
        <v>0.336702</v>
      </c>
    </row>
    <row r="6269">
      <c r="A6269" s="1">
        <v>2025.0</v>
      </c>
      <c r="B6269" s="1" t="s">
        <v>95</v>
      </c>
      <c r="C6269" s="1">
        <v>543243.0</v>
      </c>
      <c r="D6269" s="1" t="s">
        <v>532</v>
      </c>
      <c r="E6269" s="1" t="s">
        <v>927</v>
      </c>
      <c r="F6269" s="1" t="s">
        <v>926</v>
      </c>
      <c r="G6269" s="1">
        <v>224.0</v>
      </c>
      <c r="H6269" s="1">
        <v>14.90034364</v>
      </c>
      <c r="I6269" s="1">
        <v>4.62</v>
      </c>
      <c r="J6269" s="1">
        <v>6.765404</v>
      </c>
    </row>
    <row r="6270">
      <c r="A6270" s="1">
        <v>2025.0</v>
      </c>
      <c r="B6270" s="1" t="s">
        <v>95</v>
      </c>
      <c r="C6270" s="1">
        <v>543243.0</v>
      </c>
      <c r="D6270" s="1" t="s">
        <v>541</v>
      </c>
      <c r="E6270" s="1" t="s">
        <v>927</v>
      </c>
      <c r="F6270" s="1" t="s">
        <v>926</v>
      </c>
      <c r="G6270" s="1">
        <v>369.0</v>
      </c>
      <c r="H6270" s="1">
        <v>24.54565538</v>
      </c>
      <c r="I6270" s="1">
        <v>5.3</v>
      </c>
      <c r="J6270" s="1">
        <v>5.934326</v>
      </c>
    </row>
    <row r="6271">
      <c r="A6271" s="1">
        <v>2025.0</v>
      </c>
      <c r="B6271" s="1" t="s">
        <v>95</v>
      </c>
      <c r="C6271" s="1">
        <v>543243.0</v>
      </c>
      <c r="D6271" s="1" t="s">
        <v>540</v>
      </c>
      <c r="E6271" s="1" t="s">
        <v>927</v>
      </c>
      <c r="F6271" s="1" t="s">
        <v>926</v>
      </c>
      <c r="G6271" s="1">
        <v>81.0</v>
      </c>
      <c r="H6271" s="1">
        <v>5.388070692</v>
      </c>
      <c r="I6271" s="1">
        <v>5.15</v>
      </c>
      <c r="J6271" s="1">
        <v>1.632325</v>
      </c>
    </row>
    <row r="6272">
      <c r="A6272" s="1">
        <v>2025.0</v>
      </c>
      <c r="B6272" s="1" t="s">
        <v>95</v>
      </c>
      <c r="C6272" s="1">
        <v>543243.0</v>
      </c>
      <c r="D6272" s="1" t="s">
        <v>537</v>
      </c>
      <c r="E6272" s="1" t="s">
        <v>927</v>
      </c>
      <c r="F6272" s="1" t="s">
        <v>926</v>
      </c>
      <c r="G6272" s="1">
        <v>421.0</v>
      </c>
      <c r="H6272" s="1">
        <v>28.00466372</v>
      </c>
      <c r="I6272" s="1">
        <v>5.12</v>
      </c>
      <c r="J6272" s="1">
        <v>8.65492</v>
      </c>
    </row>
    <row r="6273">
      <c r="A6273" s="1">
        <v>2025.0</v>
      </c>
      <c r="B6273" s="1" t="s">
        <v>95</v>
      </c>
      <c r="C6273" s="1">
        <v>543243.0</v>
      </c>
      <c r="D6273" s="1" t="s">
        <v>536</v>
      </c>
      <c r="E6273" s="1" t="s">
        <v>927</v>
      </c>
      <c r="F6273" s="1" t="s">
        <v>926</v>
      </c>
      <c r="G6273" s="1">
        <v>121.0</v>
      </c>
      <c r="H6273" s="1">
        <v>8.048846343</v>
      </c>
      <c r="I6273" s="1">
        <v>4.52</v>
      </c>
      <c r="J6273" s="1">
        <v>3.807076</v>
      </c>
    </row>
    <row r="6274">
      <c r="A6274" s="1">
        <v>2025.0</v>
      </c>
      <c r="B6274" s="1" t="s">
        <v>95</v>
      </c>
      <c r="C6274" s="1">
        <v>543243.0</v>
      </c>
      <c r="D6274" s="1" t="s">
        <v>533</v>
      </c>
      <c r="E6274" s="1" t="s">
        <v>927</v>
      </c>
      <c r="F6274" s="1" t="s">
        <v>926</v>
      </c>
      <c r="G6274" s="1">
        <v>1.0</v>
      </c>
      <c r="H6274" s="1">
        <v>0.066519391</v>
      </c>
      <c r="I6274" s="1">
        <v>3.61</v>
      </c>
      <c r="J6274" s="1">
        <v>0.049096</v>
      </c>
    </row>
    <row r="6275">
      <c r="A6275" s="1">
        <v>2025.0</v>
      </c>
      <c r="B6275" s="1" t="s">
        <v>95</v>
      </c>
      <c r="C6275" s="1">
        <v>543243.0</v>
      </c>
      <c r="D6275" s="1" t="s">
        <v>539</v>
      </c>
      <c r="E6275" s="1" t="s">
        <v>927</v>
      </c>
      <c r="F6275" s="1" t="s">
        <v>926</v>
      </c>
      <c r="G6275" s="1">
        <v>232.0</v>
      </c>
      <c r="H6275" s="1">
        <v>15.43249877</v>
      </c>
      <c r="I6275" s="1">
        <v>5.64</v>
      </c>
      <c r="J6275" s="1">
        <v>1.617684</v>
      </c>
    </row>
    <row r="6276">
      <c r="A6276" s="1">
        <v>2025.0</v>
      </c>
      <c r="B6276" s="1" t="s">
        <v>95</v>
      </c>
      <c r="C6276" s="1">
        <v>543243.0</v>
      </c>
      <c r="D6276" s="1" t="s">
        <v>532</v>
      </c>
      <c r="E6276" s="1" t="s">
        <v>927</v>
      </c>
      <c r="F6276" s="1" t="s">
        <v>927</v>
      </c>
      <c r="G6276" s="1">
        <v>5.0</v>
      </c>
      <c r="H6276" s="1">
        <v>0.332596956</v>
      </c>
      <c r="I6276" s="1">
        <v>5.85</v>
      </c>
      <c r="J6276" s="1">
        <v>0.026335</v>
      </c>
    </row>
    <row r="6277">
      <c r="A6277" s="1">
        <v>2025.0</v>
      </c>
      <c r="B6277" s="1" t="s">
        <v>95</v>
      </c>
      <c r="C6277" s="1">
        <v>543243.0</v>
      </c>
      <c r="D6277" s="1" t="s">
        <v>541</v>
      </c>
      <c r="E6277" s="1" t="s">
        <v>927</v>
      </c>
      <c r="F6277" s="1" t="s">
        <v>927</v>
      </c>
      <c r="G6277" s="1">
        <v>130.0</v>
      </c>
      <c r="H6277" s="1">
        <v>8.647520864</v>
      </c>
      <c r="I6277" s="1">
        <v>4.96</v>
      </c>
      <c r="J6277" s="1">
        <v>3.044958</v>
      </c>
    </row>
    <row r="6278">
      <c r="A6278" s="1">
        <v>2025.0</v>
      </c>
      <c r="B6278" s="1" t="s">
        <v>95</v>
      </c>
      <c r="C6278" s="1">
        <v>543243.0</v>
      </c>
      <c r="D6278" s="1" t="s">
        <v>540</v>
      </c>
      <c r="E6278" s="1" t="s">
        <v>927</v>
      </c>
      <c r="F6278" s="1" t="s">
        <v>927</v>
      </c>
      <c r="G6278" s="1">
        <v>262.0</v>
      </c>
      <c r="H6278" s="1">
        <v>17.42808051</v>
      </c>
      <c r="I6278" s="1">
        <v>5.33</v>
      </c>
      <c r="J6278" s="1">
        <v>4.231123</v>
      </c>
    </row>
    <row r="6279">
      <c r="A6279" s="1">
        <v>2025.0</v>
      </c>
      <c r="B6279" s="1" t="s">
        <v>95</v>
      </c>
      <c r="C6279" s="1">
        <v>543243.0</v>
      </c>
      <c r="D6279" s="1" t="s">
        <v>537</v>
      </c>
      <c r="E6279" s="1" t="s">
        <v>927</v>
      </c>
      <c r="F6279" s="1" t="s">
        <v>927</v>
      </c>
      <c r="G6279" s="1">
        <v>184.0</v>
      </c>
      <c r="H6279" s="1">
        <v>12.23956799</v>
      </c>
      <c r="I6279" s="1">
        <v>5.45</v>
      </c>
      <c r="J6279" s="1">
        <v>2.683277</v>
      </c>
    </row>
    <row r="6280">
      <c r="A6280" s="1">
        <v>2025.0</v>
      </c>
      <c r="B6280" s="1" t="s">
        <v>95</v>
      </c>
      <c r="C6280" s="1">
        <v>543243.0</v>
      </c>
      <c r="D6280" s="1" t="s">
        <v>536</v>
      </c>
      <c r="E6280" s="1" t="s">
        <v>927</v>
      </c>
      <c r="F6280" s="1" t="s">
        <v>927</v>
      </c>
      <c r="G6280" s="1">
        <v>351.0</v>
      </c>
      <c r="H6280" s="1">
        <v>23.34830633</v>
      </c>
      <c r="I6280" s="1">
        <v>4.86</v>
      </c>
      <c r="J6280" s="1">
        <v>8.845566</v>
      </c>
    </row>
    <row r="6281">
      <c r="A6281" s="1">
        <v>2025.0</v>
      </c>
      <c r="B6281" s="1" t="s">
        <v>95</v>
      </c>
      <c r="C6281" s="1">
        <v>543243.0</v>
      </c>
      <c r="D6281" s="1" t="s">
        <v>533</v>
      </c>
      <c r="E6281" s="1" t="s">
        <v>927</v>
      </c>
      <c r="F6281" s="1" t="s">
        <v>927</v>
      </c>
      <c r="G6281" s="1">
        <v>40.0</v>
      </c>
      <c r="H6281" s="1">
        <v>2.66077565</v>
      </c>
      <c r="I6281" s="1">
        <v>5.13</v>
      </c>
      <c r="J6281" s="1">
        <v>0.789759</v>
      </c>
    </row>
    <row r="6282">
      <c r="A6282" s="1">
        <v>2025.0</v>
      </c>
      <c r="B6282" s="1" t="s">
        <v>95</v>
      </c>
      <c r="C6282" s="1">
        <v>543243.0</v>
      </c>
      <c r="D6282" s="1" t="s">
        <v>539</v>
      </c>
      <c r="E6282" s="1" t="s">
        <v>927</v>
      </c>
      <c r="F6282" s="1" t="s">
        <v>927</v>
      </c>
      <c r="G6282" s="1">
        <v>295.0</v>
      </c>
      <c r="H6282" s="1">
        <v>19.62322042</v>
      </c>
      <c r="I6282" s="1">
        <v>5.41</v>
      </c>
      <c r="J6282" s="1">
        <v>3.588056</v>
      </c>
    </row>
    <row r="6283">
      <c r="A6283" s="1">
        <v>2025.0</v>
      </c>
      <c r="B6283" s="1" t="s">
        <v>371</v>
      </c>
      <c r="C6283" s="1">
        <v>681293.0</v>
      </c>
      <c r="D6283" s="1" t="s">
        <v>532</v>
      </c>
      <c r="E6283" s="1" t="s">
        <v>927</v>
      </c>
      <c r="F6283" s="1" t="s">
        <v>926</v>
      </c>
      <c r="G6283" s="1">
        <v>55.0</v>
      </c>
      <c r="H6283" s="1">
        <v>3.144552319</v>
      </c>
      <c r="I6283" s="1">
        <v>4.85</v>
      </c>
      <c r="J6283" s="1">
        <v>1.365494</v>
      </c>
    </row>
    <row r="6284">
      <c r="A6284" s="1">
        <v>2025.0</v>
      </c>
      <c r="B6284" s="1" t="s">
        <v>371</v>
      </c>
      <c r="C6284" s="1">
        <v>681293.0</v>
      </c>
      <c r="D6284" s="1" t="s">
        <v>541</v>
      </c>
      <c r="E6284" s="1" t="s">
        <v>927</v>
      </c>
      <c r="F6284" s="1" t="s">
        <v>926</v>
      </c>
      <c r="G6284" s="1">
        <v>99.0</v>
      </c>
      <c r="H6284" s="1">
        <v>5.660194175</v>
      </c>
      <c r="I6284" s="1">
        <v>4.93</v>
      </c>
      <c r="J6284" s="1">
        <v>2.253579</v>
      </c>
    </row>
    <row r="6285">
      <c r="A6285" s="1">
        <v>2025.0</v>
      </c>
      <c r="B6285" s="1" t="s">
        <v>371</v>
      </c>
      <c r="C6285" s="1">
        <v>681293.0</v>
      </c>
      <c r="D6285" s="1" t="s">
        <v>540</v>
      </c>
      <c r="E6285" s="1" t="s">
        <v>927</v>
      </c>
      <c r="F6285" s="1" t="s">
        <v>926</v>
      </c>
      <c r="G6285" s="1">
        <v>54.0</v>
      </c>
      <c r="H6285" s="1">
        <v>3.087378641</v>
      </c>
      <c r="I6285" s="1">
        <v>5.13</v>
      </c>
      <c r="J6285" s="1">
        <v>1.042775</v>
      </c>
    </row>
    <row r="6286">
      <c r="A6286" s="1">
        <v>2025.0</v>
      </c>
      <c r="B6286" s="1" t="s">
        <v>371</v>
      </c>
      <c r="C6286" s="1">
        <v>681293.0</v>
      </c>
      <c r="D6286" s="1" t="s">
        <v>537</v>
      </c>
      <c r="E6286" s="1" t="s">
        <v>927</v>
      </c>
      <c r="F6286" s="1" t="s">
        <v>926</v>
      </c>
      <c r="G6286" s="1">
        <v>117.0</v>
      </c>
      <c r="H6286" s="1">
        <v>6.689320388</v>
      </c>
      <c r="I6286" s="1">
        <v>4.94</v>
      </c>
      <c r="J6286" s="1">
        <v>2.770707</v>
      </c>
    </row>
    <row r="6287">
      <c r="A6287" s="1">
        <v>2025.0</v>
      </c>
      <c r="B6287" s="1" t="s">
        <v>371</v>
      </c>
      <c r="C6287" s="1">
        <v>681293.0</v>
      </c>
      <c r="D6287" s="1" t="s">
        <v>536</v>
      </c>
      <c r="E6287" s="1" t="s">
        <v>927</v>
      </c>
      <c r="F6287" s="1" t="s">
        <v>926</v>
      </c>
      <c r="G6287" s="1">
        <v>3.0</v>
      </c>
      <c r="H6287" s="1">
        <v>0.171521036</v>
      </c>
      <c r="I6287" s="1">
        <v>4.33</v>
      </c>
      <c r="J6287" s="1">
        <v>0.096246</v>
      </c>
    </row>
    <row r="6288">
      <c r="A6288" s="1">
        <v>2025.0</v>
      </c>
      <c r="B6288" s="1" t="s">
        <v>371</v>
      </c>
      <c r="C6288" s="1">
        <v>681293.0</v>
      </c>
      <c r="D6288" s="1" t="s">
        <v>539</v>
      </c>
      <c r="E6288" s="1" t="s">
        <v>927</v>
      </c>
      <c r="F6288" s="1" t="s">
        <v>926</v>
      </c>
      <c r="G6288" s="1">
        <v>7.0</v>
      </c>
      <c r="H6288" s="1">
        <v>0.40021575</v>
      </c>
      <c r="I6288" s="1">
        <v>2.33</v>
      </c>
      <c r="J6288" s="1">
        <v>0.516156</v>
      </c>
    </row>
    <row r="6289">
      <c r="A6289" s="1">
        <v>2025.0</v>
      </c>
      <c r="B6289" s="1" t="s">
        <v>371</v>
      </c>
      <c r="C6289" s="1">
        <v>681293.0</v>
      </c>
      <c r="D6289" s="1" t="s">
        <v>532</v>
      </c>
      <c r="E6289" s="1" t="s">
        <v>927</v>
      </c>
      <c r="F6289" s="1" t="s">
        <v>927</v>
      </c>
      <c r="G6289" s="1">
        <v>3.0</v>
      </c>
      <c r="H6289" s="1">
        <v>0.171521036</v>
      </c>
      <c r="I6289" s="1">
        <v>3.74</v>
      </c>
      <c r="J6289" s="1">
        <v>0.135548</v>
      </c>
    </row>
    <row r="6290">
      <c r="A6290" s="1">
        <v>2025.0</v>
      </c>
      <c r="B6290" s="1" t="s">
        <v>371</v>
      </c>
      <c r="C6290" s="1">
        <v>681293.0</v>
      </c>
      <c r="D6290" s="1" t="s">
        <v>541</v>
      </c>
      <c r="E6290" s="1" t="s">
        <v>927</v>
      </c>
      <c r="F6290" s="1" t="s">
        <v>927</v>
      </c>
      <c r="G6290" s="1">
        <v>40.0</v>
      </c>
      <c r="H6290" s="1">
        <v>2.286947141</v>
      </c>
      <c r="I6290" s="1">
        <v>5.07</v>
      </c>
      <c r="J6290" s="1">
        <v>0.787383</v>
      </c>
    </row>
    <row r="6291">
      <c r="A6291" s="1">
        <v>2025.0</v>
      </c>
      <c r="B6291" s="1" t="s">
        <v>371</v>
      </c>
      <c r="C6291" s="1">
        <v>681293.0</v>
      </c>
      <c r="D6291" s="1" t="s">
        <v>540</v>
      </c>
      <c r="E6291" s="1" t="s">
        <v>927</v>
      </c>
      <c r="F6291" s="1" t="s">
        <v>927</v>
      </c>
      <c r="G6291" s="1">
        <v>32.0</v>
      </c>
      <c r="H6291" s="1">
        <v>1.829557713</v>
      </c>
      <c r="I6291" s="1">
        <v>5.47</v>
      </c>
      <c r="J6291" s="1">
        <v>0.426404</v>
      </c>
    </row>
    <row r="6292">
      <c r="A6292" s="1">
        <v>2025.0</v>
      </c>
      <c r="B6292" s="1" t="s">
        <v>371</v>
      </c>
      <c r="C6292" s="1">
        <v>681293.0</v>
      </c>
      <c r="D6292" s="1" t="s">
        <v>537</v>
      </c>
      <c r="E6292" s="1" t="s">
        <v>927</v>
      </c>
      <c r="F6292" s="1" t="s">
        <v>927</v>
      </c>
      <c r="G6292" s="1">
        <v>81.0</v>
      </c>
      <c r="H6292" s="1">
        <v>4.631067961</v>
      </c>
      <c r="I6292" s="1">
        <v>5.19</v>
      </c>
      <c r="J6292" s="1">
        <v>1.538075</v>
      </c>
    </row>
    <row r="6293">
      <c r="A6293" s="1">
        <v>2025.0</v>
      </c>
      <c r="B6293" s="1" t="s">
        <v>371</v>
      </c>
      <c r="C6293" s="1">
        <v>681293.0</v>
      </c>
      <c r="D6293" s="1" t="s">
        <v>536</v>
      </c>
      <c r="E6293" s="1" t="s">
        <v>927</v>
      </c>
      <c r="F6293" s="1" t="s">
        <v>927</v>
      </c>
      <c r="G6293" s="1">
        <v>50.0</v>
      </c>
      <c r="H6293" s="1">
        <v>2.858683927</v>
      </c>
      <c r="I6293" s="1">
        <v>5.27</v>
      </c>
      <c r="J6293" s="1">
        <v>0.885713</v>
      </c>
    </row>
    <row r="6294">
      <c r="A6294" s="1">
        <v>2025.0</v>
      </c>
      <c r="B6294" s="1" t="s">
        <v>371</v>
      </c>
      <c r="C6294" s="1">
        <v>681293.0</v>
      </c>
      <c r="D6294" s="1" t="s">
        <v>539</v>
      </c>
      <c r="E6294" s="1" t="s">
        <v>927</v>
      </c>
      <c r="F6294" s="1" t="s">
        <v>927</v>
      </c>
      <c r="G6294" s="1">
        <v>77.0</v>
      </c>
      <c r="H6294" s="1">
        <v>4.402373247</v>
      </c>
      <c r="I6294" s="1">
        <v>4.66</v>
      </c>
      <c r="J6294" s="1">
        <v>2.222375</v>
      </c>
    </row>
    <row r="6295">
      <c r="A6295" s="1">
        <v>2025.0</v>
      </c>
      <c r="B6295" s="1" t="s">
        <v>276</v>
      </c>
      <c r="C6295" s="1">
        <v>702352.0</v>
      </c>
      <c r="D6295" s="1" t="s">
        <v>532</v>
      </c>
      <c r="E6295" s="1" t="s">
        <v>927</v>
      </c>
      <c r="F6295" s="1" t="s">
        <v>926</v>
      </c>
      <c r="G6295" s="1">
        <v>160.0</v>
      </c>
      <c r="H6295" s="1">
        <v>10.01545595</v>
      </c>
      <c r="I6295" s="1">
        <v>4.7</v>
      </c>
      <c r="J6295" s="1">
        <v>4.489706</v>
      </c>
    </row>
    <row r="6296">
      <c r="A6296" s="1">
        <v>2025.0</v>
      </c>
      <c r="B6296" s="1" t="s">
        <v>276</v>
      </c>
      <c r="C6296" s="1">
        <v>702352.0</v>
      </c>
      <c r="D6296" s="1" t="s">
        <v>541</v>
      </c>
      <c r="E6296" s="1" t="s">
        <v>927</v>
      </c>
      <c r="F6296" s="1" t="s">
        <v>926</v>
      </c>
      <c r="G6296" s="1">
        <v>28.0</v>
      </c>
      <c r="H6296" s="1">
        <v>1.752704791</v>
      </c>
      <c r="I6296" s="1">
        <v>5.42</v>
      </c>
      <c r="J6296" s="1">
        <v>0.382088</v>
      </c>
    </row>
    <row r="6297">
      <c r="A6297" s="1">
        <v>2025.0</v>
      </c>
      <c r="B6297" s="1" t="s">
        <v>276</v>
      </c>
      <c r="C6297" s="1">
        <v>702352.0</v>
      </c>
      <c r="D6297" s="1" t="s">
        <v>540</v>
      </c>
      <c r="E6297" s="1" t="s">
        <v>927</v>
      </c>
      <c r="F6297" s="1" t="s">
        <v>926</v>
      </c>
      <c r="G6297" s="1">
        <v>176.0</v>
      </c>
      <c r="H6297" s="1">
        <v>11.01700155</v>
      </c>
      <c r="I6297" s="1">
        <v>4.78</v>
      </c>
      <c r="J6297" s="1">
        <v>4.729795</v>
      </c>
    </row>
    <row r="6298">
      <c r="A6298" s="1">
        <v>2025.0</v>
      </c>
      <c r="B6298" s="1" t="s">
        <v>276</v>
      </c>
      <c r="C6298" s="1">
        <v>702352.0</v>
      </c>
      <c r="D6298" s="1" t="s">
        <v>537</v>
      </c>
      <c r="E6298" s="1" t="s">
        <v>927</v>
      </c>
      <c r="F6298" s="1" t="s">
        <v>926</v>
      </c>
      <c r="G6298" s="1">
        <v>34.0</v>
      </c>
      <c r="H6298" s="1">
        <v>2.128284389</v>
      </c>
      <c r="I6298" s="1">
        <v>4.18</v>
      </c>
      <c r="J6298" s="1">
        <v>1.289448</v>
      </c>
    </row>
    <row r="6299">
      <c r="A6299" s="1">
        <v>2025.0</v>
      </c>
      <c r="B6299" s="1" t="s">
        <v>276</v>
      </c>
      <c r="C6299" s="1">
        <v>702352.0</v>
      </c>
      <c r="D6299" s="1" t="s">
        <v>536</v>
      </c>
      <c r="E6299" s="1" t="s">
        <v>927</v>
      </c>
      <c r="F6299" s="1" t="s">
        <v>926</v>
      </c>
      <c r="G6299" s="1">
        <v>196.0</v>
      </c>
      <c r="H6299" s="1">
        <v>12.26893354</v>
      </c>
      <c r="I6299" s="1">
        <v>4.96</v>
      </c>
      <c r="J6299" s="1">
        <v>4.627947</v>
      </c>
    </row>
    <row r="6300">
      <c r="A6300" s="1">
        <v>2025.0</v>
      </c>
      <c r="B6300" s="1" t="s">
        <v>276</v>
      </c>
      <c r="C6300" s="1">
        <v>702352.0</v>
      </c>
      <c r="D6300" s="1" t="s">
        <v>533</v>
      </c>
      <c r="E6300" s="1" t="s">
        <v>927</v>
      </c>
      <c r="F6300" s="1" t="s">
        <v>926</v>
      </c>
      <c r="G6300" s="1">
        <v>2.0</v>
      </c>
      <c r="H6300" s="1">
        <v>0.125193199</v>
      </c>
      <c r="I6300" s="1">
        <v>7.26</v>
      </c>
      <c r="J6300" s="1">
        <v>-0.040586</v>
      </c>
    </row>
    <row r="6301">
      <c r="A6301" s="1">
        <v>2025.0</v>
      </c>
      <c r="B6301" s="1" t="s">
        <v>276</v>
      </c>
      <c r="C6301" s="1">
        <v>702352.0</v>
      </c>
      <c r="D6301" s="1" t="s">
        <v>539</v>
      </c>
      <c r="E6301" s="1" t="s">
        <v>927</v>
      </c>
      <c r="F6301" s="1" t="s">
        <v>926</v>
      </c>
      <c r="G6301" s="1">
        <v>16.0</v>
      </c>
      <c r="H6301" s="1">
        <v>1.001545595</v>
      </c>
      <c r="I6301" s="1">
        <v>5.5</v>
      </c>
      <c r="J6301" s="1">
        <v>0.176986</v>
      </c>
    </row>
    <row r="6302">
      <c r="A6302" s="1">
        <v>2025.0</v>
      </c>
      <c r="B6302" s="1" t="s">
        <v>276</v>
      </c>
      <c r="C6302" s="1">
        <v>702352.0</v>
      </c>
      <c r="D6302" s="1" t="s">
        <v>532</v>
      </c>
      <c r="E6302" s="1" t="s">
        <v>927</v>
      </c>
      <c r="F6302" s="1" t="s">
        <v>927</v>
      </c>
      <c r="G6302" s="1">
        <v>38.0</v>
      </c>
      <c r="H6302" s="1">
        <v>2.378670788</v>
      </c>
      <c r="I6302" s="1">
        <v>5.25</v>
      </c>
      <c r="J6302" s="1">
        <v>0.604054</v>
      </c>
    </row>
    <row r="6303">
      <c r="A6303" s="1">
        <v>2025.0</v>
      </c>
      <c r="B6303" s="1" t="s">
        <v>276</v>
      </c>
      <c r="C6303" s="1">
        <v>702352.0</v>
      </c>
      <c r="D6303" s="1" t="s">
        <v>541</v>
      </c>
      <c r="E6303" s="1" t="s">
        <v>927</v>
      </c>
      <c r="F6303" s="1" t="s">
        <v>927</v>
      </c>
      <c r="G6303" s="1">
        <v>33.0</v>
      </c>
      <c r="H6303" s="1">
        <v>2.06568779</v>
      </c>
      <c r="I6303" s="1">
        <v>5.36</v>
      </c>
      <c r="J6303" s="1">
        <v>0.502682</v>
      </c>
    </row>
    <row r="6304">
      <c r="A6304" s="1">
        <v>2025.0</v>
      </c>
      <c r="B6304" s="1" t="s">
        <v>276</v>
      </c>
      <c r="C6304" s="1">
        <v>702352.0</v>
      </c>
      <c r="D6304" s="1" t="s">
        <v>540</v>
      </c>
      <c r="E6304" s="1" t="s">
        <v>927</v>
      </c>
      <c r="F6304" s="1" t="s">
        <v>927</v>
      </c>
      <c r="G6304" s="1">
        <v>172.0</v>
      </c>
      <c r="H6304" s="1">
        <v>10.76661515</v>
      </c>
      <c r="I6304" s="1">
        <v>4.98</v>
      </c>
      <c r="J6304" s="1">
        <v>3.888097</v>
      </c>
    </row>
    <row r="6305">
      <c r="A6305" s="1">
        <v>2025.0</v>
      </c>
      <c r="B6305" s="1" t="s">
        <v>276</v>
      </c>
      <c r="C6305" s="1">
        <v>702352.0</v>
      </c>
      <c r="D6305" s="1" t="s">
        <v>537</v>
      </c>
      <c r="E6305" s="1" t="s">
        <v>927</v>
      </c>
      <c r="F6305" s="1" t="s">
        <v>927</v>
      </c>
      <c r="G6305" s="1">
        <v>48.0</v>
      </c>
      <c r="H6305" s="1">
        <v>3.004636785</v>
      </c>
      <c r="I6305" s="1">
        <v>4.21</v>
      </c>
      <c r="J6305" s="1">
        <v>1.839162</v>
      </c>
    </row>
    <row r="6306">
      <c r="A6306" s="1">
        <v>2025.0</v>
      </c>
      <c r="B6306" s="1" t="s">
        <v>276</v>
      </c>
      <c r="C6306" s="1">
        <v>702352.0</v>
      </c>
      <c r="D6306" s="1" t="s">
        <v>536</v>
      </c>
      <c r="E6306" s="1" t="s">
        <v>927</v>
      </c>
      <c r="F6306" s="1" t="s">
        <v>927</v>
      </c>
      <c r="G6306" s="1">
        <v>291.0</v>
      </c>
      <c r="H6306" s="1">
        <v>18.21561051</v>
      </c>
      <c r="I6306" s="1">
        <v>5.36</v>
      </c>
      <c r="J6306" s="1">
        <v>4.349008</v>
      </c>
    </row>
    <row r="6307">
      <c r="A6307" s="1">
        <v>2025.0</v>
      </c>
      <c r="B6307" s="1" t="s">
        <v>276</v>
      </c>
      <c r="C6307" s="1">
        <v>702352.0</v>
      </c>
      <c r="D6307" s="1" t="s">
        <v>533</v>
      </c>
      <c r="E6307" s="1" t="s">
        <v>927</v>
      </c>
      <c r="F6307" s="1" t="s">
        <v>927</v>
      </c>
      <c r="G6307" s="1">
        <v>3.0</v>
      </c>
      <c r="H6307" s="1">
        <v>0.187789799</v>
      </c>
      <c r="I6307" s="1">
        <v>5.21</v>
      </c>
      <c r="J6307" s="1">
        <v>0.056966</v>
      </c>
    </row>
    <row r="6308">
      <c r="A6308" s="1">
        <v>2025.0</v>
      </c>
      <c r="B6308" s="1" t="s">
        <v>276</v>
      </c>
      <c r="C6308" s="1">
        <v>702352.0</v>
      </c>
      <c r="D6308" s="1" t="s">
        <v>539</v>
      </c>
      <c r="E6308" s="1" t="s">
        <v>927</v>
      </c>
      <c r="F6308" s="1" t="s">
        <v>927</v>
      </c>
      <c r="G6308" s="1">
        <v>97.0</v>
      </c>
      <c r="H6308" s="1">
        <v>6.07187017</v>
      </c>
      <c r="I6308" s="1">
        <v>5.01</v>
      </c>
      <c r="J6308" s="1">
        <v>2.070503</v>
      </c>
    </row>
    <row r="6309">
      <c r="A6309" s="1">
        <v>2025.0</v>
      </c>
      <c r="B6309" s="1" t="s">
        <v>65</v>
      </c>
      <c r="C6309" s="1">
        <v>680885.0</v>
      </c>
      <c r="D6309" s="1" t="s">
        <v>541</v>
      </c>
      <c r="E6309" s="1" t="s">
        <v>927</v>
      </c>
      <c r="F6309" s="1" t="s">
        <v>926</v>
      </c>
      <c r="G6309" s="1">
        <v>146.0</v>
      </c>
      <c r="H6309" s="1">
        <v>10.27166773</v>
      </c>
      <c r="I6309" s="1">
        <v>4.98</v>
      </c>
      <c r="J6309" s="1">
        <v>3.297893</v>
      </c>
    </row>
    <row r="6310">
      <c r="A6310" s="1">
        <v>2025.0</v>
      </c>
      <c r="B6310" s="1" t="s">
        <v>65</v>
      </c>
      <c r="C6310" s="1">
        <v>680885.0</v>
      </c>
      <c r="D6310" s="1" t="s">
        <v>540</v>
      </c>
      <c r="E6310" s="1" t="s">
        <v>927</v>
      </c>
      <c r="F6310" s="1" t="s">
        <v>926</v>
      </c>
      <c r="G6310" s="1">
        <v>112.0</v>
      </c>
      <c r="H6310" s="1">
        <v>7.879635516</v>
      </c>
      <c r="I6310" s="1">
        <v>4.94</v>
      </c>
      <c r="J6310" s="1">
        <v>2.681216</v>
      </c>
    </row>
    <row r="6311">
      <c r="A6311" s="1">
        <v>2025.0</v>
      </c>
      <c r="B6311" s="1" t="s">
        <v>65</v>
      </c>
      <c r="C6311" s="1">
        <v>680885.0</v>
      </c>
      <c r="D6311" s="1" t="s">
        <v>537</v>
      </c>
      <c r="E6311" s="1" t="s">
        <v>927</v>
      </c>
      <c r="F6311" s="1" t="s">
        <v>926</v>
      </c>
      <c r="G6311" s="1">
        <v>342.0</v>
      </c>
      <c r="H6311" s="1">
        <v>24.06102988</v>
      </c>
      <c r="I6311" s="1">
        <v>5.09</v>
      </c>
      <c r="J6311" s="1">
        <v>7.022038</v>
      </c>
    </row>
    <row r="6312">
      <c r="A6312" s="1">
        <v>2025.0</v>
      </c>
      <c r="B6312" s="1" t="s">
        <v>65</v>
      </c>
      <c r="C6312" s="1">
        <v>680885.0</v>
      </c>
      <c r="D6312" s="1" t="s">
        <v>538</v>
      </c>
      <c r="E6312" s="1" t="s">
        <v>927</v>
      </c>
      <c r="F6312" s="1" t="s">
        <v>926</v>
      </c>
      <c r="G6312" s="1">
        <v>170.0</v>
      </c>
      <c r="H6312" s="1">
        <v>11.96016105</v>
      </c>
      <c r="I6312" s="1">
        <v>4.87</v>
      </c>
      <c r="J6312" s="1">
        <v>3.95448</v>
      </c>
    </row>
    <row r="6313">
      <c r="A6313" s="1">
        <v>2025.0</v>
      </c>
      <c r="B6313" s="1" t="s">
        <v>65</v>
      </c>
      <c r="C6313" s="1">
        <v>680885.0</v>
      </c>
      <c r="D6313" s="1" t="s">
        <v>536</v>
      </c>
      <c r="E6313" s="1" t="s">
        <v>927</v>
      </c>
      <c r="F6313" s="1" t="s">
        <v>926</v>
      </c>
      <c r="G6313" s="1">
        <v>20.0</v>
      </c>
      <c r="H6313" s="1">
        <v>1.407077771</v>
      </c>
      <c r="I6313" s="1">
        <v>4.58</v>
      </c>
      <c r="J6313" s="1">
        <v>0.638516</v>
      </c>
    </row>
    <row r="6314">
      <c r="A6314" s="1">
        <v>2025.0</v>
      </c>
      <c r="B6314" s="1" t="s">
        <v>65</v>
      </c>
      <c r="C6314" s="1">
        <v>680885.0</v>
      </c>
      <c r="D6314" s="1" t="s">
        <v>533</v>
      </c>
      <c r="E6314" s="1" t="s">
        <v>927</v>
      </c>
      <c r="F6314" s="1" t="s">
        <v>926</v>
      </c>
      <c r="G6314" s="1">
        <v>96.0</v>
      </c>
      <c r="H6314" s="1">
        <v>6.753973299</v>
      </c>
      <c r="I6314" s="1">
        <v>5.45</v>
      </c>
      <c r="J6314" s="1">
        <v>1.172316</v>
      </c>
    </row>
    <row r="6315">
      <c r="A6315" s="1">
        <v>2025.0</v>
      </c>
      <c r="B6315" s="1" t="s">
        <v>65</v>
      </c>
      <c r="C6315" s="1">
        <v>680885.0</v>
      </c>
      <c r="D6315" s="1" t="s">
        <v>541</v>
      </c>
      <c r="E6315" s="1" t="s">
        <v>927</v>
      </c>
      <c r="F6315" s="1" t="s">
        <v>927</v>
      </c>
      <c r="G6315" s="1">
        <v>34.0</v>
      </c>
      <c r="H6315" s="1">
        <v>2.39203221</v>
      </c>
      <c r="I6315" s="1">
        <v>5.08</v>
      </c>
      <c r="J6315" s="1">
        <v>0.671258</v>
      </c>
    </row>
    <row r="6316">
      <c r="A6316" s="1">
        <v>2025.0</v>
      </c>
      <c r="B6316" s="1" t="s">
        <v>65</v>
      </c>
      <c r="C6316" s="1">
        <v>680885.0</v>
      </c>
      <c r="D6316" s="1" t="s">
        <v>540</v>
      </c>
      <c r="E6316" s="1" t="s">
        <v>927</v>
      </c>
      <c r="F6316" s="1" t="s">
        <v>927</v>
      </c>
      <c r="G6316" s="1">
        <v>65.0</v>
      </c>
      <c r="H6316" s="1">
        <v>4.573002755</v>
      </c>
      <c r="I6316" s="1">
        <v>5.35</v>
      </c>
      <c r="J6316" s="1">
        <v>1.017313</v>
      </c>
    </row>
    <row r="6317">
      <c r="A6317" s="1">
        <v>2025.0</v>
      </c>
      <c r="B6317" s="1" t="s">
        <v>65</v>
      </c>
      <c r="C6317" s="1">
        <v>680885.0</v>
      </c>
      <c r="D6317" s="1" t="s">
        <v>537</v>
      </c>
      <c r="E6317" s="1" t="s">
        <v>927</v>
      </c>
      <c r="F6317" s="1" t="s">
        <v>927</v>
      </c>
      <c r="G6317" s="1">
        <v>214.0</v>
      </c>
      <c r="H6317" s="1">
        <v>15.05573215</v>
      </c>
      <c r="I6317" s="1">
        <v>5.4</v>
      </c>
      <c r="J6317" s="1">
        <v>3.103292</v>
      </c>
    </row>
    <row r="6318">
      <c r="A6318" s="1">
        <v>2025.0</v>
      </c>
      <c r="B6318" s="1" t="s">
        <v>65</v>
      </c>
      <c r="C6318" s="1">
        <v>680885.0</v>
      </c>
      <c r="D6318" s="1" t="s">
        <v>538</v>
      </c>
      <c r="E6318" s="1" t="s">
        <v>927</v>
      </c>
      <c r="F6318" s="1" t="s">
        <v>927</v>
      </c>
      <c r="G6318" s="1">
        <v>48.0</v>
      </c>
      <c r="H6318" s="1">
        <v>3.37698665</v>
      </c>
      <c r="I6318" s="1">
        <v>5.07</v>
      </c>
      <c r="J6318" s="1">
        <v>0.875956</v>
      </c>
    </row>
    <row r="6319">
      <c r="A6319" s="1">
        <v>2025.0</v>
      </c>
      <c r="B6319" s="1" t="s">
        <v>65</v>
      </c>
      <c r="C6319" s="1">
        <v>680885.0</v>
      </c>
      <c r="D6319" s="1" t="s">
        <v>536</v>
      </c>
      <c r="E6319" s="1" t="s">
        <v>927</v>
      </c>
      <c r="F6319" s="1" t="s">
        <v>927</v>
      </c>
      <c r="G6319" s="1">
        <v>137.0</v>
      </c>
      <c r="H6319" s="1">
        <v>9.638482729</v>
      </c>
      <c r="I6319" s="1">
        <v>5.22</v>
      </c>
      <c r="J6319" s="1">
        <v>2.450623</v>
      </c>
    </row>
    <row r="6320">
      <c r="A6320" s="1">
        <v>2025.0</v>
      </c>
      <c r="B6320" s="1" t="s">
        <v>65</v>
      </c>
      <c r="C6320" s="1">
        <v>680885.0</v>
      </c>
      <c r="D6320" s="1" t="s">
        <v>533</v>
      </c>
      <c r="E6320" s="1" t="s">
        <v>927</v>
      </c>
      <c r="F6320" s="1" t="s">
        <v>927</v>
      </c>
      <c r="G6320" s="1">
        <v>189.0</v>
      </c>
      <c r="H6320" s="1">
        <v>13.29688493</v>
      </c>
      <c r="I6320" s="1">
        <v>5.35</v>
      </c>
      <c r="J6320" s="1">
        <v>2.668738</v>
      </c>
    </row>
    <row r="6321">
      <c r="A6321" s="1">
        <v>2025.0</v>
      </c>
      <c r="B6321" s="1" t="s">
        <v>472</v>
      </c>
      <c r="C6321" s="1">
        <v>675911.0</v>
      </c>
      <c r="D6321" s="1" t="s">
        <v>532</v>
      </c>
      <c r="E6321" s="1" t="s">
        <v>927</v>
      </c>
      <c r="F6321" s="1" t="s">
        <v>926</v>
      </c>
      <c r="G6321" s="1">
        <v>95.0</v>
      </c>
      <c r="H6321" s="1">
        <v>5.642969984</v>
      </c>
      <c r="I6321" s="1">
        <v>4.04</v>
      </c>
      <c r="J6321" s="1">
        <v>3.959878</v>
      </c>
    </row>
    <row r="6322">
      <c r="A6322" s="1">
        <v>2025.0</v>
      </c>
      <c r="B6322" s="1" t="s">
        <v>472</v>
      </c>
      <c r="C6322" s="1">
        <v>675911.0</v>
      </c>
      <c r="D6322" s="1" t="s">
        <v>541</v>
      </c>
      <c r="E6322" s="1" t="s">
        <v>927</v>
      </c>
      <c r="F6322" s="1" t="s">
        <v>926</v>
      </c>
      <c r="G6322" s="1">
        <v>136.0</v>
      </c>
      <c r="H6322" s="1">
        <v>8.07835703</v>
      </c>
      <c r="I6322" s="1">
        <v>4.46</v>
      </c>
      <c r="J6322" s="1">
        <v>4.511416</v>
      </c>
    </row>
    <row r="6323">
      <c r="A6323" s="1">
        <v>2025.0</v>
      </c>
      <c r="B6323" s="1" t="s">
        <v>472</v>
      </c>
      <c r="C6323" s="1">
        <v>675911.0</v>
      </c>
      <c r="D6323" s="1" t="s">
        <v>537</v>
      </c>
      <c r="E6323" s="1" t="s">
        <v>927</v>
      </c>
      <c r="F6323" s="1" t="s">
        <v>926</v>
      </c>
      <c r="G6323" s="1">
        <v>580.0</v>
      </c>
      <c r="H6323" s="1">
        <v>34.45181675</v>
      </c>
      <c r="I6323" s="1">
        <v>5.01</v>
      </c>
      <c r="J6323" s="1">
        <v>13.409717</v>
      </c>
    </row>
    <row r="6324">
      <c r="A6324" s="1">
        <v>2025.0</v>
      </c>
      <c r="B6324" s="1" t="s">
        <v>472</v>
      </c>
      <c r="C6324" s="1">
        <v>675911.0</v>
      </c>
      <c r="D6324" s="1" t="s">
        <v>533</v>
      </c>
      <c r="E6324" s="1" t="s">
        <v>927</v>
      </c>
      <c r="F6324" s="1" t="s">
        <v>926</v>
      </c>
      <c r="G6324" s="1">
        <v>333.0</v>
      </c>
      <c r="H6324" s="1">
        <v>19.78009479</v>
      </c>
      <c r="I6324" s="1">
        <v>4.85</v>
      </c>
      <c r="J6324" s="1">
        <v>8.371733</v>
      </c>
    </row>
    <row r="6325">
      <c r="A6325" s="1">
        <v>2025.0</v>
      </c>
      <c r="B6325" s="1" t="s">
        <v>472</v>
      </c>
      <c r="C6325" s="1">
        <v>675911.0</v>
      </c>
      <c r="D6325" s="1" t="s">
        <v>532</v>
      </c>
      <c r="E6325" s="1" t="s">
        <v>927</v>
      </c>
      <c r="F6325" s="1" t="s">
        <v>927</v>
      </c>
      <c r="G6325" s="1">
        <v>2.0</v>
      </c>
      <c r="H6325" s="1">
        <v>0.118799368</v>
      </c>
      <c r="I6325" s="1">
        <v>4.96</v>
      </c>
      <c r="J6325" s="1">
        <v>0.049136</v>
      </c>
    </row>
    <row r="6326">
      <c r="A6326" s="1">
        <v>2025.0</v>
      </c>
      <c r="B6326" s="1" t="s">
        <v>472</v>
      </c>
      <c r="C6326" s="1">
        <v>675911.0</v>
      </c>
      <c r="D6326" s="1" t="s">
        <v>541</v>
      </c>
      <c r="E6326" s="1" t="s">
        <v>927</v>
      </c>
      <c r="F6326" s="1" t="s">
        <v>927</v>
      </c>
      <c r="G6326" s="1">
        <v>52.0</v>
      </c>
      <c r="H6326" s="1">
        <v>3.08878357</v>
      </c>
      <c r="I6326" s="1">
        <v>4.58</v>
      </c>
      <c r="J6326" s="1">
        <v>1.598673</v>
      </c>
    </row>
    <row r="6327">
      <c r="A6327" s="1">
        <v>2025.0</v>
      </c>
      <c r="B6327" s="1" t="s">
        <v>472</v>
      </c>
      <c r="C6327" s="1">
        <v>675911.0</v>
      </c>
      <c r="D6327" s="1" t="s">
        <v>537</v>
      </c>
      <c r="E6327" s="1" t="s">
        <v>927</v>
      </c>
      <c r="F6327" s="1" t="s">
        <v>927</v>
      </c>
      <c r="G6327" s="1">
        <v>501.0</v>
      </c>
      <c r="H6327" s="1">
        <v>29.75924171</v>
      </c>
      <c r="I6327" s="1">
        <v>5.08</v>
      </c>
      <c r="J6327" s="1">
        <v>10.931741</v>
      </c>
    </row>
    <row r="6328">
      <c r="A6328" s="1">
        <v>2025.0</v>
      </c>
      <c r="B6328" s="1" t="s">
        <v>472</v>
      </c>
      <c r="C6328" s="1">
        <v>675911.0</v>
      </c>
      <c r="D6328" s="1" t="s">
        <v>533</v>
      </c>
      <c r="E6328" s="1" t="s">
        <v>927</v>
      </c>
      <c r="F6328" s="1" t="s">
        <v>927</v>
      </c>
      <c r="G6328" s="1">
        <v>411.0</v>
      </c>
      <c r="H6328" s="1">
        <v>24.41327014</v>
      </c>
      <c r="I6328" s="1">
        <v>4.74</v>
      </c>
      <c r="J6328" s="1">
        <v>11.295416</v>
      </c>
    </row>
    <row r="6329">
      <c r="A6329" s="1">
        <v>2025.0</v>
      </c>
      <c r="B6329" s="1" t="s">
        <v>874</v>
      </c>
      <c r="C6329" s="1">
        <v>605513.0</v>
      </c>
      <c r="D6329" s="1" t="s">
        <v>532</v>
      </c>
      <c r="E6329" s="1" t="s">
        <v>927</v>
      </c>
      <c r="F6329" s="1" t="s">
        <v>926</v>
      </c>
      <c r="G6329" s="1">
        <v>11.0</v>
      </c>
      <c r="H6329" s="1">
        <v>0.557333333</v>
      </c>
      <c r="I6329" s="1">
        <v>6.03</v>
      </c>
      <c r="J6329" s="1">
        <v>0.00423</v>
      </c>
    </row>
    <row r="6330">
      <c r="A6330" s="1">
        <v>2025.0</v>
      </c>
      <c r="B6330" s="1" t="s">
        <v>874</v>
      </c>
      <c r="C6330" s="1">
        <v>605513.0</v>
      </c>
      <c r="D6330" s="1" t="s">
        <v>541</v>
      </c>
      <c r="E6330" s="1" t="s">
        <v>927</v>
      </c>
      <c r="F6330" s="1" t="s">
        <v>926</v>
      </c>
      <c r="G6330" s="1">
        <v>11.0</v>
      </c>
      <c r="H6330" s="1">
        <v>0.557333333</v>
      </c>
      <c r="I6330" s="1">
        <v>5.37</v>
      </c>
      <c r="J6330" s="1">
        <v>0.150127</v>
      </c>
    </row>
    <row r="6331">
      <c r="A6331" s="1">
        <v>2025.0</v>
      </c>
      <c r="B6331" s="1" t="s">
        <v>874</v>
      </c>
      <c r="C6331" s="1">
        <v>605513.0</v>
      </c>
      <c r="D6331" s="1" t="s">
        <v>537</v>
      </c>
      <c r="E6331" s="1" t="s">
        <v>927</v>
      </c>
      <c r="F6331" s="1" t="s">
        <v>926</v>
      </c>
      <c r="G6331" s="1">
        <v>18.0</v>
      </c>
      <c r="H6331" s="1">
        <v>0.912</v>
      </c>
      <c r="I6331" s="1">
        <v>5.11</v>
      </c>
      <c r="J6331" s="1">
        <v>0.357686</v>
      </c>
    </row>
    <row r="6332">
      <c r="A6332" s="1">
        <v>2025.0</v>
      </c>
      <c r="B6332" s="1" t="s">
        <v>874</v>
      </c>
      <c r="C6332" s="1">
        <v>605513.0</v>
      </c>
      <c r="D6332" s="1" t="s">
        <v>533</v>
      </c>
      <c r="E6332" s="1" t="s">
        <v>927</v>
      </c>
      <c r="F6332" s="1" t="s">
        <v>926</v>
      </c>
      <c r="G6332" s="1">
        <v>1.0</v>
      </c>
      <c r="H6332" s="1">
        <v>0.050666667</v>
      </c>
      <c r="I6332" s="1">
        <v>6.65</v>
      </c>
      <c r="J6332" s="1">
        <v>-0.010506</v>
      </c>
    </row>
    <row r="6333">
      <c r="A6333" s="1">
        <v>2025.0</v>
      </c>
      <c r="B6333" s="1" t="s">
        <v>874</v>
      </c>
      <c r="C6333" s="1">
        <v>605513.0</v>
      </c>
      <c r="D6333" s="1" t="s">
        <v>539</v>
      </c>
      <c r="E6333" s="1" t="s">
        <v>927</v>
      </c>
      <c r="F6333" s="1" t="s">
        <v>926</v>
      </c>
      <c r="G6333" s="1">
        <v>3.0</v>
      </c>
      <c r="H6333" s="1">
        <v>0.152</v>
      </c>
      <c r="I6333" s="1">
        <v>5.8</v>
      </c>
      <c r="J6333" s="1">
        <v>0.020736</v>
      </c>
    </row>
    <row r="6334">
      <c r="A6334" s="1">
        <v>2025.0</v>
      </c>
      <c r="B6334" s="1" t="s">
        <v>874</v>
      </c>
      <c r="C6334" s="1">
        <v>605513.0</v>
      </c>
      <c r="D6334" s="1" t="s">
        <v>532</v>
      </c>
      <c r="E6334" s="1" t="s">
        <v>927</v>
      </c>
      <c r="F6334" s="1" t="s">
        <v>927</v>
      </c>
      <c r="G6334" s="1">
        <v>3.0</v>
      </c>
      <c r="H6334" s="1">
        <v>0.152</v>
      </c>
      <c r="I6334" s="1">
        <v>8.63</v>
      </c>
      <c r="J6334" s="1">
        <v>-0.159946</v>
      </c>
    </row>
    <row r="6335">
      <c r="A6335" s="1">
        <v>2025.0</v>
      </c>
      <c r="B6335" s="1" t="s">
        <v>874</v>
      </c>
      <c r="C6335" s="1">
        <v>605513.0</v>
      </c>
      <c r="D6335" s="1" t="s">
        <v>541</v>
      </c>
      <c r="E6335" s="1" t="s">
        <v>927</v>
      </c>
      <c r="F6335" s="1" t="s">
        <v>927</v>
      </c>
      <c r="G6335" s="1">
        <v>8.0</v>
      </c>
      <c r="H6335" s="1">
        <v>0.405333333</v>
      </c>
      <c r="I6335" s="1">
        <v>5.17</v>
      </c>
      <c r="J6335" s="1">
        <v>0.139584</v>
      </c>
    </row>
    <row r="6336">
      <c r="A6336" s="1">
        <v>2025.0</v>
      </c>
      <c r="B6336" s="1" t="s">
        <v>874</v>
      </c>
      <c r="C6336" s="1">
        <v>605513.0</v>
      </c>
      <c r="D6336" s="1" t="s">
        <v>537</v>
      </c>
      <c r="E6336" s="1" t="s">
        <v>927</v>
      </c>
      <c r="F6336" s="1" t="s">
        <v>927</v>
      </c>
      <c r="G6336" s="1">
        <v>29.0</v>
      </c>
      <c r="H6336" s="1">
        <v>1.469333333</v>
      </c>
      <c r="I6336" s="1">
        <v>4.97</v>
      </c>
      <c r="J6336" s="1">
        <v>0.656413</v>
      </c>
    </row>
    <row r="6337">
      <c r="A6337" s="1">
        <v>2025.0</v>
      </c>
      <c r="B6337" s="1" t="s">
        <v>874</v>
      </c>
      <c r="C6337" s="1">
        <v>605513.0</v>
      </c>
      <c r="D6337" s="1" t="s">
        <v>536</v>
      </c>
      <c r="E6337" s="1" t="s">
        <v>927</v>
      </c>
      <c r="F6337" s="1" t="s">
        <v>927</v>
      </c>
      <c r="G6337" s="1">
        <v>8.0</v>
      </c>
      <c r="H6337" s="1">
        <v>0.405333333</v>
      </c>
      <c r="I6337" s="1">
        <v>5.63</v>
      </c>
      <c r="J6337" s="1">
        <v>0.083114</v>
      </c>
    </row>
    <row r="6338">
      <c r="A6338" s="1">
        <v>2025.0</v>
      </c>
      <c r="B6338" s="1" t="s">
        <v>874</v>
      </c>
      <c r="C6338" s="1">
        <v>605513.0</v>
      </c>
      <c r="D6338" s="1" t="s">
        <v>533</v>
      </c>
      <c r="E6338" s="1" t="s">
        <v>927</v>
      </c>
      <c r="F6338" s="1" t="s">
        <v>927</v>
      </c>
      <c r="G6338" s="1">
        <v>8.0</v>
      </c>
      <c r="H6338" s="1">
        <v>0.405333333</v>
      </c>
      <c r="I6338" s="1">
        <v>5.43</v>
      </c>
      <c r="J6338" s="1">
        <v>0.102507</v>
      </c>
    </row>
    <row r="6339">
      <c r="A6339" s="1">
        <v>2025.0</v>
      </c>
      <c r="B6339" s="1" t="s">
        <v>874</v>
      </c>
      <c r="C6339" s="1">
        <v>605513.0</v>
      </c>
      <c r="D6339" s="1" t="s">
        <v>539</v>
      </c>
      <c r="E6339" s="1" t="s">
        <v>927</v>
      </c>
      <c r="F6339" s="1" t="s">
        <v>927</v>
      </c>
      <c r="G6339" s="1">
        <v>25.0</v>
      </c>
      <c r="H6339" s="1">
        <v>1.266666667</v>
      </c>
      <c r="I6339" s="1">
        <v>5.15</v>
      </c>
      <c r="J6339" s="1">
        <v>0.436522</v>
      </c>
    </row>
    <row r="6340">
      <c r="A6340" s="1">
        <v>2025.0</v>
      </c>
      <c r="B6340" s="1" t="s">
        <v>179</v>
      </c>
      <c r="C6340" s="1">
        <v>663568.0</v>
      </c>
      <c r="D6340" s="1" t="s">
        <v>532</v>
      </c>
      <c r="E6340" s="1" t="s">
        <v>927</v>
      </c>
      <c r="F6340" s="1" t="s">
        <v>926</v>
      </c>
      <c r="G6340" s="1">
        <v>158.0</v>
      </c>
      <c r="H6340" s="1">
        <v>11.19580713</v>
      </c>
      <c r="I6340" s="1">
        <v>4.94</v>
      </c>
      <c r="J6340" s="1">
        <v>3.716858</v>
      </c>
    </row>
    <row r="6341">
      <c r="A6341" s="1">
        <v>2025.0</v>
      </c>
      <c r="B6341" s="1" t="s">
        <v>179</v>
      </c>
      <c r="C6341" s="1">
        <v>663568.0</v>
      </c>
      <c r="D6341" s="1" t="s">
        <v>541</v>
      </c>
      <c r="E6341" s="1" t="s">
        <v>927</v>
      </c>
      <c r="F6341" s="1" t="s">
        <v>926</v>
      </c>
      <c r="G6341" s="1">
        <v>2.0</v>
      </c>
      <c r="H6341" s="1">
        <v>0.141719078</v>
      </c>
      <c r="I6341" s="1">
        <v>3.04</v>
      </c>
      <c r="J6341" s="1">
        <v>0.120262</v>
      </c>
    </row>
    <row r="6342">
      <c r="A6342" s="1">
        <v>2025.0</v>
      </c>
      <c r="B6342" s="1" t="s">
        <v>179</v>
      </c>
      <c r="C6342" s="1">
        <v>663568.0</v>
      </c>
      <c r="D6342" s="1" t="s">
        <v>540</v>
      </c>
      <c r="E6342" s="1" t="s">
        <v>927</v>
      </c>
      <c r="F6342" s="1" t="s">
        <v>926</v>
      </c>
      <c r="G6342" s="1">
        <v>159.0</v>
      </c>
      <c r="H6342" s="1">
        <v>11.26666667</v>
      </c>
      <c r="I6342" s="1">
        <v>5.51</v>
      </c>
      <c r="J6342" s="1">
        <v>1.935243</v>
      </c>
    </row>
    <row r="6343">
      <c r="A6343" s="1">
        <v>2025.0</v>
      </c>
      <c r="B6343" s="1" t="s">
        <v>179</v>
      </c>
      <c r="C6343" s="1">
        <v>663568.0</v>
      </c>
      <c r="D6343" s="1" t="s">
        <v>537</v>
      </c>
      <c r="E6343" s="1" t="s">
        <v>927</v>
      </c>
      <c r="F6343" s="1" t="s">
        <v>926</v>
      </c>
      <c r="G6343" s="1">
        <v>297.0</v>
      </c>
      <c r="H6343" s="1">
        <v>21.04528302</v>
      </c>
      <c r="I6343" s="1">
        <v>4.81</v>
      </c>
      <c r="J6343" s="1">
        <v>7.884235</v>
      </c>
    </row>
    <row r="6344">
      <c r="A6344" s="1">
        <v>2025.0</v>
      </c>
      <c r="B6344" s="1" t="s">
        <v>179</v>
      </c>
      <c r="C6344" s="1">
        <v>663568.0</v>
      </c>
      <c r="D6344" s="1" t="s">
        <v>536</v>
      </c>
      <c r="E6344" s="1" t="s">
        <v>927</v>
      </c>
      <c r="F6344" s="1" t="s">
        <v>926</v>
      </c>
      <c r="G6344" s="1">
        <v>102.0</v>
      </c>
      <c r="H6344" s="1">
        <v>7.227672956</v>
      </c>
      <c r="I6344" s="1">
        <v>4.44</v>
      </c>
      <c r="J6344" s="1">
        <v>3.469738</v>
      </c>
    </row>
    <row r="6345">
      <c r="A6345" s="1">
        <v>2025.0</v>
      </c>
      <c r="B6345" s="1" t="s">
        <v>179</v>
      </c>
      <c r="C6345" s="1">
        <v>663568.0</v>
      </c>
      <c r="D6345" s="1" t="s">
        <v>533</v>
      </c>
      <c r="E6345" s="1" t="s">
        <v>927</v>
      </c>
      <c r="F6345" s="1" t="s">
        <v>926</v>
      </c>
      <c r="G6345" s="1">
        <v>143.0</v>
      </c>
      <c r="H6345" s="1">
        <v>10.13291405</v>
      </c>
      <c r="I6345" s="1">
        <v>5.09</v>
      </c>
      <c r="J6345" s="1">
        <v>2.9144</v>
      </c>
    </row>
    <row r="6346">
      <c r="A6346" s="1">
        <v>2025.0</v>
      </c>
      <c r="B6346" s="1" t="s">
        <v>179</v>
      </c>
      <c r="C6346" s="1">
        <v>663568.0</v>
      </c>
      <c r="D6346" s="1" t="s">
        <v>539</v>
      </c>
      <c r="E6346" s="1" t="s">
        <v>927</v>
      </c>
      <c r="F6346" s="1" t="s">
        <v>926</v>
      </c>
      <c r="G6346" s="1">
        <v>43.0</v>
      </c>
      <c r="H6346" s="1">
        <v>3.046960168</v>
      </c>
      <c r="I6346" s="1">
        <v>5.36</v>
      </c>
      <c r="J6346" s="1">
        <v>0.648647</v>
      </c>
    </row>
    <row r="6347">
      <c r="A6347" s="1">
        <v>2025.0</v>
      </c>
      <c r="B6347" s="1" t="s">
        <v>179</v>
      </c>
      <c r="C6347" s="1">
        <v>663568.0</v>
      </c>
      <c r="D6347" s="1" t="s">
        <v>532</v>
      </c>
      <c r="E6347" s="1" t="s">
        <v>927</v>
      </c>
      <c r="F6347" s="1" t="s">
        <v>927</v>
      </c>
      <c r="G6347" s="1">
        <v>12.0</v>
      </c>
      <c r="H6347" s="1">
        <v>0.850314465</v>
      </c>
      <c r="I6347" s="1">
        <v>4.86</v>
      </c>
      <c r="J6347" s="1">
        <v>0.29073</v>
      </c>
    </row>
    <row r="6348">
      <c r="A6348" s="1">
        <v>2025.0</v>
      </c>
      <c r="B6348" s="1" t="s">
        <v>179</v>
      </c>
      <c r="C6348" s="1">
        <v>663568.0</v>
      </c>
      <c r="D6348" s="1" t="s">
        <v>540</v>
      </c>
      <c r="E6348" s="1" t="s">
        <v>927</v>
      </c>
      <c r="F6348" s="1" t="s">
        <v>927</v>
      </c>
      <c r="G6348" s="1">
        <v>84.0</v>
      </c>
      <c r="H6348" s="1">
        <v>5.952201258</v>
      </c>
      <c r="I6348" s="1">
        <v>5.14</v>
      </c>
      <c r="J6348" s="1">
        <v>1.692012</v>
      </c>
    </row>
    <row r="6349">
      <c r="A6349" s="1">
        <v>2025.0</v>
      </c>
      <c r="B6349" s="1" t="s">
        <v>179</v>
      </c>
      <c r="C6349" s="1">
        <v>663568.0</v>
      </c>
      <c r="D6349" s="1" t="s">
        <v>537</v>
      </c>
      <c r="E6349" s="1" t="s">
        <v>927</v>
      </c>
      <c r="F6349" s="1" t="s">
        <v>927</v>
      </c>
      <c r="G6349" s="1">
        <v>114.0</v>
      </c>
      <c r="H6349" s="1">
        <v>8.077987421</v>
      </c>
      <c r="I6349" s="1">
        <v>4.71</v>
      </c>
      <c r="J6349" s="1">
        <v>3.254814</v>
      </c>
    </row>
    <row r="6350">
      <c r="A6350" s="1">
        <v>2025.0</v>
      </c>
      <c r="B6350" s="1" t="s">
        <v>179</v>
      </c>
      <c r="C6350" s="1">
        <v>663568.0</v>
      </c>
      <c r="D6350" s="1" t="s">
        <v>536</v>
      </c>
      <c r="E6350" s="1" t="s">
        <v>927</v>
      </c>
      <c r="F6350" s="1" t="s">
        <v>927</v>
      </c>
      <c r="G6350" s="1">
        <v>284.0</v>
      </c>
      <c r="H6350" s="1">
        <v>20.12410901</v>
      </c>
      <c r="I6350" s="1">
        <v>4.98</v>
      </c>
      <c r="J6350" s="1">
        <v>6.528486</v>
      </c>
    </row>
    <row r="6351">
      <c r="A6351" s="1">
        <v>2025.0</v>
      </c>
      <c r="B6351" s="1" t="s">
        <v>179</v>
      </c>
      <c r="C6351" s="1">
        <v>663568.0</v>
      </c>
      <c r="D6351" s="1" t="s">
        <v>533</v>
      </c>
      <c r="E6351" s="1" t="s">
        <v>927</v>
      </c>
      <c r="F6351" s="1" t="s">
        <v>927</v>
      </c>
      <c r="G6351" s="1">
        <v>127.0</v>
      </c>
      <c r="H6351" s="1">
        <v>8.999161426</v>
      </c>
      <c r="I6351" s="1">
        <v>5.14</v>
      </c>
      <c r="J6351" s="1">
        <v>2.45406</v>
      </c>
    </row>
    <row r="6352">
      <c r="A6352" s="1">
        <v>2025.0</v>
      </c>
      <c r="B6352" s="1" t="s">
        <v>179</v>
      </c>
      <c r="C6352" s="1">
        <v>663568.0</v>
      </c>
      <c r="D6352" s="1" t="s">
        <v>539</v>
      </c>
      <c r="E6352" s="1" t="s">
        <v>927</v>
      </c>
      <c r="F6352" s="1" t="s">
        <v>927</v>
      </c>
      <c r="G6352" s="1">
        <v>65.0</v>
      </c>
      <c r="H6352" s="1">
        <v>4.605870021</v>
      </c>
      <c r="I6352" s="1">
        <v>5.22</v>
      </c>
      <c r="J6352" s="1">
        <v>1.147087</v>
      </c>
    </row>
    <row r="6353">
      <c r="A6353" s="1">
        <v>2025.0</v>
      </c>
      <c r="B6353" s="1" t="s">
        <v>214</v>
      </c>
      <c r="C6353" s="1">
        <v>674444.0</v>
      </c>
      <c r="D6353" s="1" t="s">
        <v>540</v>
      </c>
      <c r="E6353" s="1" t="s">
        <v>927</v>
      </c>
      <c r="F6353" s="1" t="s">
        <v>926</v>
      </c>
      <c r="G6353" s="1">
        <v>101.0</v>
      </c>
      <c r="H6353" s="1">
        <v>7.184319834</v>
      </c>
      <c r="I6353" s="1">
        <v>4.72</v>
      </c>
      <c r="J6353" s="1">
        <v>2.913695</v>
      </c>
    </row>
    <row r="6354">
      <c r="A6354" s="1">
        <v>2025.0</v>
      </c>
      <c r="B6354" s="1" t="s">
        <v>214</v>
      </c>
      <c r="C6354" s="1">
        <v>674444.0</v>
      </c>
      <c r="D6354" s="1" t="s">
        <v>537</v>
      </c>
      <c r="E6354" s="1" t="s">
        <v>927</v>
      </c>
      <c r="F6354" s="1" t="s">
        <v>926</v>
      </c>
      <c r="G6354" s="1">
        <v>151.0</v>
      </c>
      <c r="H6354" s="1">
        <v>10.74091381</v>
      </c>
      <c r="I6354" s="1">
        <v>4.96</v>
      </c>
      <c r="J6354" s="1">
        <v>3.486508</v>
      </c>
    </row>
    <row r="6355">
      <c r="A6355" s="1">
        <v>2025.0</v>
      </c>
      <c r="B6355" s="1" t="s">
        <v>214</v>
      </c>
      <c r="C6355" s="1">
        <v>674444.0</v>
      </c>
      <c r="D6355" s="1" t="s">
        <v>533</v>
      </c>
      <c r="E6355" s="1" t="s">
        <v>927</v>
      </c>
      <c r="F6355" s="1" t="s">
        <v>926</v>
      </c>
      <c r="G6355" s="1">
        <v>59.0</v>
      </c>
      <c r="H6355" s="1">
        <v>4.196780893</v>
      </c>
      <c r="I6355" s="1">
        <v>5.21</v>
      </c>
      <c r="J6355" s="1">
        <v>0.992254</v>
      </c>
    </row>
    <row r="6356">
      <c r="A6356" s="1">
        <v>2025.0</v>
      </c>
      <c r="B6356" s="1" t="s">
        <v>214</v>
      </c>
      <c r="C6356" s="1">
        <v>674444.0</v>
      </c>
      <c r="D6356" s="1" t="s">
        <v>540</v>
      </c>
      <c r="E6356" s="1" t="s">
        <v>927</v>
      </c>
      <c r="F6356" s="1" t="s">
        <v>927</v>
      </c>
      <c r="G6356" s="1">
        <v>63.0</v>
      </c>
      <c r="H6356" s="1">
        <v>4.481308411</v>
      </c>
      <c r="I6356" s="1">
        <v>4.96</v>
      </c>
      <c r="J6356" s="1">
        <v>1.477557</v>
      </c>
    </row>
    <row r="6357">
      <c r="A6357" s="1">
        <v>2025.0</v>
      </c>
      <c r="B6357" s="1" t="s">
        <v>214</v>
      </c>
      <c r="C6357" s="1">
        <v>674444.0</v>
      </c>
      <c r="D6357" s="1" t="s">
        <v>537</v>
      </c>
      <c r="E6357" s="1" t="s">
        <v>927</v>
      </c>
      <c r="F6357" s="1" t="s">
        <v>927</v>
      </c>
      <c r="G6357" s="1">
        <v>171.0</v>
      </c>
      <c r="H6357" s="1">
        <v>12.1635514</v>
      </c>
      <c r="I6357" s="1">
        <v>5.08</v>
      </c>
      <c r="J6357" s="1">
        <v>3.58153</v>
      </c>
    </row>
    <row r="6358">
      <c r="A6358" s="1">
        <v>2025.0</v>
      </c>
      <c r="B6358" s="1" t="s">
        <v>214</v>
      </c>
      <c r="C6358" s="1">
        <v>674444.0</v>
      </c>
      <c r="D6358" s="1" t="s">
        <v>533</v>
      </c>
      <c r="E6358" s="1" t="s">
        <v>927</v>
      </c>
      <c r="F6358" s="1" t="s">
        <v>927</v>
      </c>
      <c r="G6358" s="1">
        <v>97.0</v>
      </c>
      <c r="H6358" s="1">
        <v>6.899792316</v>
      </c>
      <c r="I6358" s="1">
        <v>4.76</v>
      </c>
      <c r="J6358" s="1">
        <v>2.591167</v>
      </c>
    </row>
    <row r="6359">
      <c r="A6359" s="1">
        <v>2025.0</v>
      </c>
      <c r="B6359" s="1" t="s">
        <v>83</v>
      </c>
      <c r="C6359" s="1">
        <v>571927.0</v>
      </c>
      <c r="D6359" s="1" t="s">
        <v>532</v>
      </c>
      <c r="E6359" s="1" t="s">
        <v>926</v>
      </c>
      <c r="F6359" s="1" t="s">
        <v>926</v>
      </c>
      <c r="G6359" s="1">
        <v>30.0</v>
      </c>
      <c r="H6359" s="1">
        <v>1.98446937</v>
      </c>
      <c r="I6359" s="1">
        <v>5.21</v>
      </c>
      <c r="J6359" s="1">
        <v>0.543545</v>
      </c>
    </row>
    <row r="6360">
      <c r="A6360" s="1">
        <v>2025.0</v>
      </c>
      <c r="B6360" s="1" t="s">
        <v>83</v>
      </c>
      <c r="C6360" s="1">
        <v>571927.0</v>
      </c>
      <c r="D6360" s="1" t="s">
        <v>541</v>
      </c>
      <c r="E6360" s="1" t="s">
        <v>926</v>
      </c>
      <c r="F6360" s="1" t="s">
        <v>926</v>
      </c>
      <c r="G6360" s="1">
        <v>129.0</v>
      </c>
      <c r="H6360" s="1">
        <v>8.533218292</v>
      </c>
      <c r="I6360" s="1">
        <v>4.87</v>
      </c>
      <c r="J6360" s="1">
        <v>3.192161</v>
      </c>
    </row>
    <row r="6361">
      <c r="A6361" s="1">
        <v>2025.0</v>
      </c>
      <c r="B6361" s="1" t="s">
        <v>83</v>
      </c>
      <c r="C6361" s="1">
        <v>571927.0</v>
      </c>
      <c r="D6361" s="1" t="s">
        <v>536</v>
      </c>
      <c r="E6361" s="1" t="s">
        <v>926</v>
      </c>
      <c r="F6361" s="1" t="s">
        <v>926</v>
      </c>
      <c r="G6361" s="1">
        <v>315.0</v>
      </c>
      <c r="H6361" s="1">
        <v>20.83692839</v>
      </c>
      <c r="I6361" s="1">
        <v>5.5</v>
      </c>
      <c r="J6361" s="1">
        <v>3.871255</v>
      </c>
    </row>
    <row r="6362">
      <c r="A6362" s="1">
        <v>2025.0</v>
      </c>
      <c r="B6362" s="1" t="s">
        <v>83</v>
      </c>
      <c r="C6362" s="1">
        <v>571927.0</v>
      </c>
      <c r="D6362" s="1" t="s">
        <v>533</v>
      </c>
      <c r="E6362" s="1" t="s">
        <v>926</v>
      </c>
      <c r="F6362" s="1" t="s">
        <v>926</v>
      </c>
      <c r="G6362" s="1">
        <v>9.0</v>
      </c>
      <c r="H6362" s="1">
        <v>0.595340811</v>
      </c>
      <c r="I6362" s="1">
        <v>4.39</v>
      </c>
      <c r="J6362" s="1">
        <v>0.29524</v>
      </c>
    </row>
    <row r="6363">
      <c r="A6363" s="1">
        <v>2025.0</v>
      </c>
      <c r="B6363" s="1" t="s">
        <v>83</v>
      </c>
      <c r="C6363" s="1">
        <v>571927.0</v>
      </c>
      <c r="D6363" s="1" t="s">
        <v>532</v>
      </c>
      <c r="E6363" s="1" t="s">
        <v>926</v>
      </c>
      <c r="F6363" s="1" t="s">
        <v>927</v>
      </c>
      <c r="G6363" s="1">
        <v>180.0</v>
      </c>
      <c r="H6363" s="1">
        <v>11.90681622</v>
      </c>
      <c r="I6363" s="1">
        <v>5.3</v>
      </c>
      <c r="J6363" s="1">
        <v>2.849882</v>
      </c>
    </row>
    <row r="6364">
      <c r="A6364" s="1">
        <v>2025.0</v>
      </c>
      <c r="B6364" s="1" t="s">
        <v>83</v>
      </c>
      <c r="C6364" s="1">
        <v>571927.0</v>
      </c>
      <c r="D6364" s="1" t="s">
        <v>541</v>
      </c>
      <c r="E6364" s="1" t="s">
        <v>926</v>
      </c>
      <c r="F6364" s="1" t="s">
        <v>927</v>
      </c>
      <c r="G6364" s="1">
        <v>124.0</v>
      </c>
      <c r="H6364" s="1">
        <v>8.202473397</v>
      </c>
      <c r="I6364" s="1">
        <v>5.1</v>
      </c>
      <c r="J6364" s="1">
        <v>2.464385</v>
      </c>
    </row>
    <row r="6365">
      <c r="A6365" s="1">
        <v>2025.0</v>
      </c>
      <c r="B6365" s="1" t="s">
        <v>83</v>
      </c>
      <c r="C6365" s="1">
        <v>571927.0</v>
      </c>
      <c r="D6365" s="1" t="s">
        <v>536</v>
      </c>
      <c r="E6365" s="1" t="s">
        <v>926</v>
      </c>
      <c r="F6365" s="1" t="s">
        <v>927</v>
      </c>
      <c r="G6365" s="1">
        <v>363.0</v>
      </c>
      <c r="H6365" s="1">
        <v>24.01207938</v>
      </c>
      <c r="I6365" s="1">
        <v>5.08</v>
      </c>
      <c r="J6365" s="1">
        <v>7.520941</v>
      </c>
    </row>
    <row r="6366">
      <c r="A6366" s="1">
        <v>2025.0</v>
      </c>
      <c r="B6366" s="1" t="s">
        <v>83</v>
      </c>
      <c r="C6366" s="1">
        <v>571927.0</v>
      </c>
      <c r="D6366" s="1" t="s">
        <v>533</v>
      </c>
      <c r="E6366" s="1" t="s">
        <v>926</v>
      </c>
      <c r="F6366" s="1" t="s">
        <v>927</v>
      </c>
      <c r="G6366" s="1">
        <v>9.0</v>
      </c>
      <c r="H6366" s="1">
        <v>0.595340811</v>
      </c>
      <c r="I6366" s="1">
        <v>3.88</v>
      </c>
      <c r="J6366" s="1">
        <v>0.389879</v>
      </c>
    </row>
    <row r="6367">
      <c r="A6367" s="1">
        <v>2025.0</v>
      </c>
      <c r="B6367" s="1" t="s">
        <v>38</v>
      </c>
      <c r="C6367" s="1">
        <v>595345.0</v>
      </c>
      <c r="D6367" s="1" t="s">
        <v>532</v>
      </c>
      <c r="E6367" s="1" t="s">
        <v>926</v>
      </c>
      <c r="F6367" s="1" t="s">
        <v>926</v>
      </c>
      <c r="G6367" s="1">
        <v>1.0</v>
      </c>
      <c r="H6367" s="1">
        <v>0.068124208</v>
      </c>
      <c r="I6367" s="1">
        <v>3.2</v>
      </c>
      <c r="J6367" s="1">
        <v>0.057068</v>
      </c>
    </row>
    <row r="6368">
      <c r="A6368" s="1">
        <v>2025.0</v>
      </c>
      <c r="B6368" s="1" t="s">
        <v>38</v>
      </c>
      <c r="C6368" s="1">
        <v>595345.0</v>
      </c>
      <c r="D6368" s="1" t="s">
        <v>537</v>
      </c>
      <c r="E6368" s="1" t="s">
        <v>926</v>
      </c>
      <c r="F6368" s="1" t="s">
        <v>926</v>
      </c>
      <c r="G6368" s="1">
        <v>144.0</v>
      </c>
      <c r="H6368" s="1">
        <v>9.809885932</v>
      </c>
      <c r="I6368" s="1">
        <v>5.14</v>
      </c>
      <c r="J6368" s="1">
        <v>2.792461</v>
      </c>
    </row>
    <row r="6369">
      <c r="A6369" s="1">
        <v>2025.0</v>
      </c>
      <c r="B6369" s="1" t="s">
        <v>38</v>
      </c>
      <c r="C6369" s="1">
        <v>595345.0</v>
      </c>
      <c r="D6369" s="1" t="s">
        <v>533</v>
      </c>
      <c r="E6369" s="1" t="s">
        <v>926</v>
      </c>
      <c r="F6369" s="1" t="s">
        <v>926</v>
      </c>
      <c r="G6369" s="1">
        <v>281.0</v>
      </c>
      <c r="H6369" s="1">
        <v>19.14290241</v>
      </c>
      <c r="I6369" s="1">
        <v>5.54</v>
      </c>
      <c r="J6369" s="1">
        <v>2.938229</v>
      </c>
    </row>
    <row r="6370">
      <c r="A6370" s="1">
        <v>2025.0</v>
      </c>
      <c r="B6370" s="1" t="s">
        <v>38</v>
      </c>
      <c r="C6370" s="1">
        <v>595345.0</v>
      </c>
      <c r="D6370" s="1" t="s">
        <v>540</v>
      </c>
      <c r="E6370" s="1" t="s">
        <v>926</v>
      </c>
      <c r="F6370" s="1" t="s">
        <v>927</v>
      </c>
      <c r="G6370" s="1">
        <v>5.0</v>
      </c>
      <c r="H6370" s="1">
        <v>0.340621039</v>
      </c>
      <c r="I6370" s="1">
        <v>2.46</v>
      </c>
      <c r="J6370" s="1">
        <v>0.375092</v>
      </c>
    </row>
    <row r="6371">
      <c r="A6371" s="1">
        <v>2025.0</v>
      </c>
      <c r="B6371" s="1" t="s">
        <v>38</v>
      </c>
      <c r="C6371" s="1">
        <v>595345.0</v>
      </c>
      <c r="D6371" s="1" t="s">
        <v>537</v>
      </c>
      <c r="E6371" s="1" t="s">
        <v>926</v>
      </c>
      <c r="F6371" s="1" t="s">
        <v>927</v>
      </c>
      <c r="G6371" s="1">
        <v>294.0</v>
      </c>
      <c r="H6371" s="1">
        <v>20.02851711</v>
      </c>
      <c r="I6371" s="1">
        <v>5.0</v>
      </c>
      <c r="J6371" s="1">
        <v>6.609718</v>
      </c>
    </row>
    <row r="6372">
      <c r="A6372" s="1">
        <v>2025.0</v>
      </c>
      <c r="B6372" s="1" t="s">
        <v>38</v>
      </c>
      <c r="C6372" s="1">
        <v>595345.0</v>
      </c>
      <c r="D6372" s="1" t="s">
        <v>533</v>
      </c>
      <c r="E6372" s="1" t="s">
        <v>926</v>
      </c>
      <c r="F6372" s="1" t="s">
        <v>927</v>
      </c>
      <c r="G6372" s="1">
        <v>327.0</v>
      </c>
      <c r="H6372" s="1">
        <v>22.27661597</v>
      </c>
      <c r="I6372" s="1">
        <v>5.35</v>
      </c>
      <c r="J6372" s="1">
        <v>4.683395</v>
      </c>
    </row>
    <row r="6373">
      <c r="A6373" s="1">
        <v>2025.0</v>
      </c>
      <c r="B6373" s="1" t="s">
        <v>116</v>
      </c>
      <c r="C6373" s="1">
        <v>621051.0</v>
      </c>
      <c r="D6373" s="1" t="s">
        <v>532</v>
      </c>
      <c r="E6373" s="1" t="s">
        <v>927</v>
      </c>
      <c r="F6373" s="1" t="s">
        <v>926</v>
      </c>
      <c r="G6373" s="1">
        <v>69.0</v>
      </c>
      <c r="H6373" s="1">
        <v>3.919917864</v>
      </c>
      <c r="I6373" s="1">
        <v>4.27</v>
      </c>
      <c r="J6373" s="1">
        <v>2.542918</v>
      </c>
    </row>
    <row r="6374">
      <c r="A6374" s="1">
        <v>2025.0</v>
      </c>
      <c r="B6374" s="1" t="s">
        <v>116</v>
      </c>
      <c r="C6374" s="1">
        <v>621051.0</v>
      </c>
      <c r="D6374" s="1" t="s">
        <v>540</v>
      </c>
      <c r="E6374" s="1" t="s">
        <v>927</v>
      </c>
      <c r="F6374" s="1" t="s">
        <v>926</v>
      </c>
      <c r="G6374" s="1">
        <v>4.0</v>
      </c>
      <c r="H6374" s="1">
        <v>0.227241615</v>
      </c>
      <c r="I6374" s="1">
        <v>5.53</v>
      </c>
      <c r="J6374" s="1">
        <v>0.046327</v>
      </c>
    </row>
    <row r="6375">
      <c r="A6375" s="1">
        <v>2025.0</v>
      </c>
      <c r="B6375" s="1" t="s">
        <v>116</v>
      </c>
      <c r="C6375" s="1">
        <v>621051.0</v>
      </c>
      <c r="D6375" s="1" t="s">
        <v>537</v>
      </c>
      <c r="E6375" s="1" t="s">
        <v>927</v>
      </c>
      <c r="F6375" s="1" t="s">
        <v>926</v>
      </c>
      <c r="G6375" s="1">
        <v>161.0</v>
      </c>
      <c r="H6375" s="1">
        <v>9.146475017</v>
      </c>
      <c r="I6375" s="1">
        <v>4.86</v>
      </c>
      <c r="J6375" s="1">
        <v>4.074826</v>
      </c>
    </row>
    <row r="6376">
      <c r="A6376" s="1">
        <v>2025.0</v>
      </c>
      <c r="B6376" s="1" t="s">
        <v>116</v>
      </c>
      <c r="C6376" s="1">
        <v>621051.0</v>
      </c>
      <c r="D6376" s="1" t="s">
        <v>539</v>
      </c>
      <c r="E6376" s="1" t="s">
        <v>927</v>
      </c>
      <c r="F6376" s="1" t="s">
        <v>926</v>
      </c>
      <c r="G6376" s="1">
        <v>132.0</v>
      </c>
      <c r="H6376" s="1">
        <v>7.498973306</v>
      </c>
      <c r="I6376" s="1">
        <v>5.14</v>
      </c>
      <c r="J6376" s="1">
        <v>2.483603</v>
      </c>
    </row>
    <row r="6377">
      <c r="A6377" s="1">
        <v>2025.0</v>
      </c>
      <c r="B6377" s="1" t="s">
        <v>116</v>
      </c>
      <c r="C6377" s="1">
        <v>621051.0</v>
      </c>
      <c r="D6377" s="1" t="s">
        <v>532</v>
      </c>
      <c r="E6377" s="1" t="s">
        <v>927</v>
      </c>
      <c r="F6377" s="1" t="s">
        <v>927</v>
      </c>
      <c r="G6377" s="1">
        <v>1.0</v>
      </c>
      <c r="H6377" s="1">
        <v>0.056810404</v>
      </c>
      <c r="I6377" s="1">
        <v>3.14</v>
      </c>
      <c r="J6377" s="1">
        <v>0.059582</v>
      </c>
    </row>
    <row r="6378">
      <c r="A6378" s="1">
        <v>2025.0</v>
      </c>
      <c r="B6378" s="1" t="s">
        <v>116</v>
      </c>
      <c r="C6378" s="1">
        <v>621051.0</v>
      </c>
      <c r="D6378" s="1" t="s">
        <v>540</v>
      </c>
      <c r="E6378" s="1" t="s">
        <v>927</v>
      </c>
      <c r="F6378" s="1" t="s">
        <v>927</v>
      </c>
      <c r="G6378" s="1">
        <v>6.0</v>
      </c>
      <c r="H6378" s="1">
        <v>0.340862423</v>
      </c>
      <c r="I6378" s="1">
        <v>4.0</v>
      </c>
      <c r="J6378" s="1">
        <v>0.235911</v>
      </c>
    </row>
    <row r="6379">
      <c r="A6379" s="1">
        <v>2025.0</v>
      </c>
      <c r="B6379" s="1" t="s">
        <v>116</v>
      </c>
      <c r="C6379" s="1">
        <v>621051.0</v>
      </c>
      <c r="D6379" s="1" t="s">
        <v>537</v>
      </c>
      <c r="E6379" s="1" t="s">
        <v>927</v>
      </c>
      <c r="F6379" s="1" t="s">
        <v>927</v>
      </c>
      <c r="G6379" s="1">
        <v>165.0</v>
      </c>
      <c r="H6379" s="1">
        <v>9.373716632</v>
      </c>
      <c r="I6379" s="1">
        <v>5.41</v>
      </c>
      <c r="J6379" s="1">
        <v>2.248304</v>
      </c>
    </row>
    <row r="6380">
      <c r="A6380" s="1">
        <v>2025.0</v>
      </c>
      <c r="B6380" s="1" t="s">
        <v>116</v>
      </c>
      <c r="C6380" s="1">
        <v>621051.0</v>
      </c>
      <c r="D6380" s="1" t="s">
        <v>539</v>
      </c>
      <c r="E6380" s="1" t="s">
        <v>927</v>
      </c>
      <c r="F6380" s="1" t="s">
        <v>927</v>
      </c>
      <c r="G6380" s="1">
        <v>436.0</v>
      </c>
      <c r="H6380" s="1">
        <v>24.76933607</v>
      </c>
      <c r="I6380" s="1">
        <v>5.55</v>
      </c>
      <c r="J6380" s="1">
        <v>4.702267</v>
      </c>
    </row>
    <row r="6381">
      <c r="A6381" s="1">
        <v>2025.0</v>
      </c>
      <c r="B6381" s="1" t="s">
        <v>668</v>
      </c>
      <c r="C6381" s="1">
        <v>519008.0</v>
      </c>
      <c r="D6381" s="1" t="s">
        <v>532</v>
      </c>
      <c r="E6381" s="1" t="s">
        <v>926</v>
      </c>
      <c r="F6381" s="1" t="s">
        <v>926</v>
      </c>
      <c r="G6381" s="1">
        <v>2.0</v>
      </c>
      <c r="H6381" s="1">
        <v>0.115196078</v>
      </c>
      <c r="I6381" s="1">
        <v>6.25</v>
      </c>
      <c r="J6381" s="1">
        <v>-0.008734</v>
      </c>
    </row>
    <row r="6382">
      <c r="A6382" s="1">
        <v>2025.0</v>
      </c>
      <c r="B6382" s="1" t="s">
        <v>668</v>
      </c>
      <c r="C6382" s="1">
        <v>519008.0</v>
      </c>
      <c r="D6382" s="1" t="s">
        <v>536</v>
      </c>
      <c r="E6382" s="1" t="s">
        <v>926</v>
      </c>
      <c r="F6382" s="1" t="s">
        <v>926</v>
      </c>
      <c r="G6382" s="1">
        <v>68.0</v>
      </c>
      <c r="H6382" s="1">
        <v>3.916666667</v>
      </c>
      <c r="I6382" s="1">
        <v>5.18</v>
      </c>
      <c r="J6382" s="1">
        <v>1.253643</v>
      </c>
    </row>
    <row r="6383">
      <c r="A6383" s="1">
        <v>2025.0</v>
      </c>
      <c r="B6383" s="1" t="s">
        <v>668</v>
      </c>
      <c r="C6383" s="1">
        <v>519008.0</v>
      </c>
      <c r="D6383" s="1" t="s">
        <v>539</v>
      </c>
      <c r="E6383" s="1" t="s">
        <v>926</v>
      </c>
      <c r="F6383" s="1" t="s">
        <v>926</v>
      </c>
      <c r="G6383" s="1">
        <v>48.0</v>
      </c>
      <c r="H6383" s="1">
        <v>2.764705882</v>
      </c>
      <c r="I6383" s="1">
        <v>5.38</v>
      </c>
      <c r="J6383" s="1">
        <v>0.709746</v>
      </c>
    </row>
    <row r="6384">
      <c r="A6384" s="1">
        <v>2025.0</v>
      </c>
      <c r="B6384" s="1" t="s">
        <v>668</v>
      </c>
      <c r="C6384" s="1">
        <v>519008.0</v>
      </c>
      <c r="D6384" s="1" t="s">
        <v>532</v>
      </c>
      <c r="E6384" s="1" t="s">
        <v>926</v>
      </c>
      <c r="F6384" s="1" t="s">
        <v>927</v>
      </c>
      <c r="G6384" s="1">
        <v>27.0</v>
      </c>
      <c r="H6384" s="1">
        <v>1.555147059</v>
      </c>
      <c r="I6384" s="1">
        <v>5.57</v>
      </c>
      <c r="J6384" s="1">
        <v>0.283881</v>
      </c>
    </row>
    <row r="6385">
      <c r="A6385" s="1">
        <v>2025.0</v>
      </c>
      <c r="B6385" s="1" t="s">
        <v>668</v>
      </c>
      <c r="C6385" s="1">
        <v>519008.0</v>
      </c>
      <c r="D6385" s="1" t="s">
        <v>537</v>
      </c>
      <c r="E6385" s="1" t="s">
        <v>926</v>
      </c>
      <c r="F6385" s="1" t="s">
        <v>927</v>
      </c>
      <c r="G6385" s="1">
        <v>3.0</v>
      </c>
      <c r="H6385" s="1">
        <v>0.172794118</v>
      </c>
      <c r="I6385" s="1">
        <v>4.3</v>
      </c>
      <c r="J6385" s="1">
        <v>0.105308</v>
      </c>
    </row>
    <row r="6386">
      <c r="A6386" s="1">
        <v>2025.0</v>
      </c>
      <c r="B6386" s="1" t="s">
        <v>668</v>
      </c>
      <c r="C6386" s="1">
        <v>519008.0</v>
      </c>
      <c r="D6386" s="1" t="s">
        <v>536</v>
      </c>
      <c r="E6386" s="1" t="s">
        <v>926</v>
      </c>
      <c r="F6386" s="1" t="s">
        <v>927</v>
      </c>
      <c r="G6386" s="1">
        <v>71.0</v>
      </c>
      <c r="H6386" s="1">
        <v>4.089460784</v>
      </c>
      <c r="I6386" s="1">
        <v>4.68</v>
      </c>
      <c r="J6386" s="1">
        <v>2.022574</v>
      </c>
    </row>
    <row r="6387">
      <c r="A6387" s="1">
        <v>2025.0</v>
      </c>
      <c r="B6387" s="1" t="s">
        <v>668</v>
      </c>
      <c r="C6387" s="1">
        <v>519008.0</v>
      </c>
      <c r="D6387" s="1" t="s">
        <v>539</v>
      </c>
      <c r="E6387" s="1" t="s">
        <v>926</v>
      </c>
      <c r="F6387" s="1" t="s">
        <v>927</v>
      </c>
      <c r="G6387" s="1">
        <v>53.0</v>
      </c>
      <c r="H6387" s="1">
        <v>3.052696078</v>
      </c>
      <c r="I6387" s="1">
        <v>5.37</v>
      </c>
      <c r="J6387" s="1">
        <v>0.756533</v>
      </c>
    </row>
    <row r="6388">
      <c r="A6388" s="1">
        <v>2025.0</v>
      </c>
      <c r="B6388" s="1" t="s">
        <v>453</v>
      </c>
      <c r="C6388" s="1">
        <v>592836.0</v>
      </c>
      <c r="D6388" s="1" t="s">
        <v>541</v>
      </c>
      <c r="E6388" s="1" t="s">
        <v>927</v>
      </c>
      <c r="F6388" s="1" t="s">
        <v>926</v>
      </c>
      <c r="G6388" s="1">
        <v>121.0</v>
      </c>
      <c r="H6388" s="1">
        <v>7.263915858</v>
      </c>
      <c r="I6388" s="1">
        <v>4.94</v>
      </c>
      <c r="J6388" s="1">
        <v>2.812827</v>
      </c>
    </row>
    <row r="6389">
      <c r="A6389" s="1">
        <v>2025.0</v>
      </c>
      <c r="B6389" s="1" t="s">
        <v>453</v>
      </c>
      <c r="C6389" s="1">
        <v>592836.0</v>
      </c>
      <c r="D6389" s="1" t="s">
        <v>540</v>
      </c>
      <c r="E6389" s="1" t="s">
        <v>927</v>
      </c>
      <c r="F6389" s="1" t="s">
        <v>926</v>
      </c>
      <c r="G6389" s="1">
        <v>355.0</v>
      </c>
      <c r="H6389" s="1">
        <v>21.31148867</v>
      </c>
      <c r="I6389" s="1">
        <v>4.87</v>
      </c>
      <c r="J6389" s="1">
        <v>8.885919</v>
      </c>
    </row>
    <row r="6390">
      <c r="A6390" s="1">
        <v>2025.0</v>
      </c>
      <c r="B6390" s="1" t="s">
        <v>453</v>
      </c>
      <c r="C6390" s="1">
        <v>592836.0</v>
      </c>
      <c r="D6390" s="1" t="s">
        <v>537</v>
      </c>
      <c r="E6390" s="1" t="s">
        <v>927</v>
      </c>
      <c r="F6390" s="1" t="s">
        <v>926</v>
      </c>
      <c r="G6390" s="1">
        <v>146.0</v>
      </c>
      <c r="H6390" s="1">
        <v>8.764724919</v>
      </c>
      <c r="I6390" s="1">
        <v>4.96</v>
      </c>
      <c r="J6390" s="1">
        <v>3.460855</v>
      </c>
    </row>
    <row r="6391">
      <c r="A6391" s="1">
        <v>2025.0</v>
      </c>
      <c r="B6391" s="1" t="s">
        <v>453</v>
      </c>
      <c r="C6391" s="1">
        <v>592836.0</v>
      </c>
      <c r="D6391" s="1" t="s">
        <v>538</v>
      </c>
      <c r="E6391" s="1" t="s">
        <v>927</v>
      </c>
      <c r="F6391" s="1" t="s">
        <v>926</v>
      </c>
      <c r="G6391" s="1">
        <v>337.0</v>
      </c>
      <c r="H6391" s="1">
        <v>20.23090615</v>
      </c>
      <c r="I6391" s="1">
        <v>4.84</v>
      </c>
      <c r="J6391" s="1">
        <v>8.4451</v>
      </c>
    </row>
    <row r="6392">
      <c r="A6392" s="1">
        <v>2025.0</v>
      </c>
      <c r="B6392" s="1" t="s">
        <v>453</v>
      </c>
      <c r="C6392" s="1">
        <v>592836.0</v>
      </c>
      <c r="D6392" s="1" t="s">
        <v>536</v>
      </c>
      <c r="E6392" s="1" t="s">
        <v>927</v>
      </c>
      <c r="F6392" s="1" t="s">
        <v>926</v>
      </c>
      <c r="G6392" s="1">
        <v>118.0</v>
      </c>
      <c r="H6392" s="1">
        <v>7.08381877</v>
      </c>
      <c r="I6392" s="1">
        <v>4.07</v>
      </c>
      <c r="J6392" s="1">
        <v>4.758632</v>
      </c>
    </row>
    <row r="6393">
      <c r="A6393" s="1">
        <v>2025.0</v>
      </c>
      <c r="B6393" s="1" t="s">
        <v>453</v>
      </c>
      <c r="C6393" s="1">
        <v>592836.0</v>
      </c>
      <c r="D6393" s="1" t="s">
        <v>533</v>
      </c>
      <c r="E6393" s="1" t="s">
        <v>927</v>
      </c>
      <c r="F6393" s="1" t="s">
        <v>926</v>
      </c>
      <c r="G6393" s="1">
        <v>58.0</v>
      </c>
      <c r="H6393" s="1">
        <v>3.481877023</v>
      </c>
      <c r="I6393" s="1">
        <v>4.8</v>
      </c>
      <c r="J6393" s="1">
        <v>1.476355</v>
      </c>
    </row>
    <row r="6394">
      <c r="A6394" s="1">
        <v>2025.0</v>
      </c>
      <c r="B6394" s="1" t="s">
        <v>453</v>
      </c>
      <c r="C6394" s="1">
        <v>592836.0</v>
      </c>
      <c r="D6394" s="1" t="s">
        <v>541</v>
      </c>
      <c r="E6394" s="1" t="s">
        <v>927</v>
      </c>
      <c r="F6394" s="1" t="s">
        <v>927</v>
      </c>
      <c r="G6394" s="1">
        <v>12.0</v>
      </c>
      <c r="H6394" s="1">
        <v>0.72038835</v>
      </c>
      <c r="I6394" s="1">
        <v>4.43</v>
      </c>
      <c r="J6394" s="1">
        <v>0.393961</v>
      </c>
    </row>
    <row r="6395">
      <c r="A6395" s="1">
        <v>2025.0</v>
      </c>
      <c r="B6395" s="1" t="s">
        <v>453</v>
      </c>
      <c r="C6395" s="1">
        <v>592836.0</v>
      </c>
      <c r="D6395" s="1" t="s">
        <v>540</v>
      </c>
      <c r="E6395" s="1" t="s">
        <v>927</v>
      </c>
      <c r="F6395" s="1" t="s">
        <v>927</v>
      </c>
      <c r="G6395" s="1">
        <v>265.0</v>
      </c>
      <c r="H6395" s="1">
        <v>15.90857605</v>
      </c>
      <c r="I6395" s="1">
        <v>5.09</v>
      </c>
      <c r="J6395" s="1">
        <v>5.542133</v>
      </c>
    </row>
    <row r="6396">
      <c r="A6396" s="1">
        <v>2025.0</v>
      </c>
      <c r="B6396" s="1" t="s">
        <v>453</v>
      </c>
      <c r="C6396" s="1">
        <v>592836.0</v>
      </c>
      <c r="D6396" s="1" t="s">
        <v>537</v>
      </c>
      <c r="E6396" s="1" t="s">
        <v>927</v>
      </c>
      <c r="F6396" s="1" t="s">
        <v>927</v>
      </c>
      <c r="G6396" s="1">
        <v>49.0</v>
      </c>
      <c r="H6396" s="1">
        <v>2.941585761</v>
      </c>
      <c r="I6396" s="1">
        <v>4.87</v>
      </c>
      <c r="J6396" s="1">
        <v>1.215106</v>
      </c>
    </row>
    <row r="6397">
      <c r="A6397" s="1">
        <v>2025.0</v>
      </c>
      <c r="B6397" s="1" t="s">
        <v>453</v>
      </c>
      <c r="C6397" s="1">
        <v>592836.0</v>
      </c>
      <c r="D6397" s="1" t="s">
        <v>538</v>
      </c>
      <c r="E6397" s="1" t="s">
        <v>927</v>
      </c>
      <c r="F6397" s="1" t="s">
        <v>927</v>
      </c>
      <c r="G6397" s="1">
        <v>125.0</v>
      </c>
      <c r="H6397" s="1">
        <v>7.504045307</v>
      </c>
      <c r="I6397" s="1">
        <v>5.14</v>
      </c>
      <c r="J6397" s="1">
        <v>2.297553</v>
      </c>
    </row>
    <row r="6398">
      <c r="A6398" s="1">
        <v>2025.0</v>
      </c>
      <c r="B6398" s="1" t="s">
        <v>453</v>
      </c>
      <c r="C6398" s="1">
        <v>592836.0</v>
      </c>
      <c r="D6398" s="1" t="s">
        <v>536</v>
      </c>
      <c r="E6398" s="1" t="s">
        <v>927</v>
      </c>
      <c r="F6398" s="1" t="s">
        <v>927</v>
      </c>
      <c r="G6398" s="1">
        <v>299.0</v>
      </c>
      <c r="H6398" s="1">
        <v>17.94967638</v>
      </c>
      <c r="I6398" s="1">
        <v>4.85</v>
      </c>
      <c r="J6398" s="1">
        <v>7.601814</v>
      </c>
    </row>
    <row r="6399">
      <c r="A6399" s="1">
        <v>2025.0</v>
      </c>
      <c r="B6399" s="1" t="s">
        <v>453</v>
      </c>
      <c r="C6399" s="1">
        <v>592836.0</v>
      </c>
      <c r="D6399" s="1" t="s">
        <v>533</v>
      </c>
      <c r="E6399" s="1" t="s">
        <v>927</v>
      </c>
      <c r="F6399" s="1" t="s">
        <v>927</v>
      </c>
      <c r="G6399" s="1">
        <v>175.0</v>
      </c>
      <c r="H6399" s="1">
        <v>10.50566343</v>
      </c>
      <c r="I6399" s="1">
        <v>4.98</v>
      </c>
      <c r="J6399" s="1">
        <v>3.856915</v>
      </c>
    </row>
    <row r="6400">
      <c r="A6400" s="1">
        <v>2025.0</v>
      </c>
      <c r="B6400" s="1" t="s">
        <v>413</v>
      </c>
      <c r="C6400" s="1">
        <v>671737.0</v>
      </c>
      <c r="D6400" s="1" t="s">
        <v>541</v>
      </c>
      <c r="E6400" s="1" t="s">
        <v>927</v>
      </c>
      <c r="F6400" s="1" t="s">
        <v>926</v>
      </c>
      <c r="G6400" s="1">
        <v>188.0</v>
      </c>
      <c r="H6400" s="1">
        <v>11.81036254</v>
      </c>
      <c r="I6400" s="1">
        <v>4.46</v>
      </c>
      <c r="J6400" s="1">
        <v>6.084963</v>
      </c>
    </row>
    <row r="6401">
      <c r="A6401" s="1">
        <v>2025.0</v>
      </c>
      <c r="B6401" s="1" t="s">
        <v>413</v>
      </c>
      <c r="C6401" s="1">
        <v>671737.0</v>
      </c>
      <c r="D6401" s="1" t="s">
        <v>540</v>
      </c>
      <c r="E6401" s="1" t="s">
        <v>927</v>
      </c>
      <c r="F6401" s="1" t="s">
        <v>926</v>
      </c>
      <c r="G6401" s="1">
        <v>169.0</v>
      </c>
      <c r="H6401" s="1">
        <v>10.61676207</v>
      </c>
      <c r="I6401" s="1">
        <v>4.69</v>
      </c>
      <c r="J6401" s="1">
        <v>4.684367</v>
      </c>
    </row>
    <row r="6402">
      <c r="A6402" s="1">
        <v>2025.0</v>
      </c>
      <c r="B6402" s="1" t="s">
        <v>413</v>
      </c>
      <c r="C6402" s="1">
        <v>671737.0</v>
      </c>
      <c r="D6402" s="1" t="s">
        <v>537</v>
      </c>
      <c r="E6402" s="1" t="s">
        <v>927</v>
      </c>
      <c r="F6402" s="1" t="s">
        <v>926</v>
      </c>
      <c r="G6402" s="1">
        <v>555.0</v>
      </c>
      <c r="H6402" s="1">
        <v>34.86569793</v>
      </c>
      <c r="I6402" s="1">
        <v>5.18</v>
      </c>
      <c r="J6402" s="1">
        <v>10.374712</v>
      </c>
    </row>
    <row r="6403">
      <c r="A6403" s="1">
        <v>2025.0</v>
      </c>
      <c r="B6403" s="1" t="s">
        <v>413</v>
      </c>
      <c r="C6403" s="1">
        <v>671737.0</v>
      </c>
      <c r="D6403" s="1" t="s">
        <v>538</v>
      </c>
      <c r="E6403" s="1" t="s">
        <v>927</v>
      </c>
      <c r="F6403" s="1" t="s">
        <v>926</v>
      </c>
      <c r="G6403" s="1">
        <v>253.0</v>
      </c>
      <c r="H6403" s="1">
        <v>15.89373257</v>
      </c>
      <c r="I6403" s="1">
        <v>4.7</v>
      </c>
      <c r="J6403" s="1">
        <v>7.020473</v>
      </c>
    </row>
    <row r="6404">
      <c r="A6404" s="1">
        <v>2025.0</v>
      </c>
      <c r="B6404" s="1" t="s">
        <v>413</v>
      </c>
      <c r="C6404" s="1">
        <v>671737.0</v>
      </c>
      <c r="D6404" s="1" t="s">
        <v>536</v>
      </c>
      <c r="E6404" s="1" t="s">
        <v>927</v>
      </c>
      <c r="F6404" s="1" t="s">
        <v>926</v>
      </c>
      <c r="G6404" s="1">
        <v>1.0</v>
      </c>
      <c r="H6404" s="1">
        <v>0.062821077</v>
      </c>
      <c r="I6404" s="1">
        <v>3.52</v>
      </c>
      <c r="J6404" s="1">
        <v>0.052875</v>
      </c>
    </row>
    <row r="6405">
      <c r="A6405" s="1">
        <v>2025.0</v>
      </c>
      <c r="B6405" s="1" t="s">
        <v>413</v>
      </c>
      <c r="C6405" s="1">
        <v>671737.0</v>
      </c>
      <c r="D6405" s="1" t="s">
        <v>541</v>
      </c>
      <c r="E6405" s="1" t="s">
        <v>927</v>
      </c>
      <c r="F6405" s="1" t="s">
        <v>927</v>
      </c>
      <c r="G6405" s="1">
        <v>146.0</v>
      </c>
      <c r="H6405" s="1">
        <v>9.171877293</v>
      </c>
      <c r="I6405" s="1">
        <v>4.57</v>
      </c>
      <c r="J6405" s="1">
        <v>4.362043</v>
      </c>
    </row>
    <row r="6406">
      <c r="A6406" s="1">
        <v>2025.0</v>
      </c>
      <c r="B6406" s="1" t="s">
        <v>413</v>
      </c>
      <c r="C6406" s="1">
        <v>671737.0</v>
      </c>
      <c r="D6406" s="1" t="s">
        <v>540</v>
      </c>
      <c r="E6406" s="1" t="s">
        <v>927</v>
      </c>
      <c r="F6406" s="1" t="s">
        <v>927</v>
      </c>
      <c r="G6406" s="1">
        <v>349.0</v>
      </c>
      <c r="H6406" s="1">
        <v>21.924556</v>
      </c>
      <c r="I6406" s="1">
        <v>5.0</v>
      </c>
      <c r="J6406" s="1">
        <v>7.603248</v>
      </c>
    </row>
    <row r="6407">
      <c r="A6407" s="1">
        <v>2025.0</v>
      </c>
      <c r="B6407" s="1" t="s">
        <v>413</v>
      </c>
      <c r="C6407" s="1">
        <v>671737.0</v>
      </c>
      <c r="D6407" s="1" t="s">
        <v>537</v>
      </c>
      <c r="E6407" s="1" t="s">
        <v>927</v>
      </c>
      <c r="F6407" s="1" t="s">
        <v>927</v>
      </c>
      <c r="G6407" s="1">
        <v>501.0</v>
      </c>
      <c r="H6407" s="1">
        <v>31.47335975</v>
      </c>
      <c r="I6407" s="1">
        <v>4.95</v>
      </c>
      <c r="J6407" s="1">
        <v>11.778336</v>
      </c>
    </row>
    <row r="6408">
      <c r="A6408" s="1">
        <v>2025.0</v>
      </c>
      <c r="B6408" s="1" t="s">
        <v>413</v>
      </c>
      <c r="C6408" s="1">
        <v>671737.0</v>
      </c>
      <c r="D6408" s="1" t="s">
        <v>538</v>
      </c>
      <c r="E6408" s="1" t="s">
        <v>927</v>
      </c>
      <c r="F6408" s="1" t="s">
        <v>927</v>
      </c>
      <c r="G6408" s="1">
        <v>99.0</v>
      </c>
      <c r="H6408" s="1">
        <v>6.219286658</v>
      </c>
      <c r="I6408" s="1">
        <v>4.9</v>
      </c>
      <c r="J6408" s="1">
        <v>2.339786</v>
      </c>
    </row>
    <row r="6409">
      <c r="A6409" s="1">
        <v>2025.0</v>
      </c>
      <c r="B6409" s="1" t="s">
        <v>413</v>
      </c>
      <c r="C6409" s="1">
        <v>671737.0</v>
      </c>
      <c r="D6409" s="1" t="s">
        <v>536</v>
      </c>
      <c r="E6409" s="1" t="s">
        <v>927</v>
      </c>
      <c r="F6409" s="1" t="s">
        <v>927</v>
      </c>
      <c r="G6409" s="1">
        <v>10.0</v>
      </c>
      <c r="H6409" s="1">
        <v>0.628210774</v>
      </c>
      <c r="I6409" s="1">
        <v>4.17</v>
      </c>
      <c r="J6409" s="1">
        <v>0.385939</v>
      </c>
    </row>
    <row r="6410">
      <c r="A6410" s="1">
        <v>2025.0</v>
      </c>
      <c r="B6410" s="1" t="s">
        <v>138</v>
      </c>
      <c r="C6410" s="1">
        <v>621383.0</v>
      </c>
      <c r="D6410" s="1" t="s">
        <v>532</v>
      </c>
      <c r="E6410" s="1" t="s">
        <v>926</v>
      </c>
      <c r="F6410" s="1" t="s">
        <v>926</v>
      </c>
      <c r="G6410" s="1">
        <v>2.0</v>
      </c>
      <c r="H6410" s="1">
        <v>0.124231242</v>
      </c>
      <c r="I6410" s="1">
        <v>4.53</v>
      </c>
      <c r="J6410" s="1">
        <v>0.054695</v>
      </c>
    </row>
    <row r="6411">
      <c r="A6411" s="1">
        <v>2025.0</v>
      </c>
      <c r="B6411" s="1" t="s">
        <v>138</v>
      </c>
      <c r="C6411" s="1">
        <v>621383.0</v>
      </c>
      <c r="D6411" s="1" t="s">
        <v>541</v>
      </c>
      <c r="E6411" s="1" t="s">
        <v>926</v>
      </c>
      <c r="F6411" s="1" t="s">
        <v>926</v>
      </c>
      <c r="G6411" s="1">
        <v>7.0</v>
      </c>
      <c r="H6411" s="1">
        <v>0.434809348</v>
      </c>
      <c r="I6411" s="1">
        <v>6.41</v>
      </c>
      <c r="J6411" s="1">
        <v>-0.064364</v>
      </c>
    </row>
    <row r="6412">
      <c r="A6412" s="1">
        <v>2025.0</v>
      </c>
      <c r="B6412" s="1" t="s">
        <v>138</v>
      </c>
      <c r="C6412" s="1">
        <v>621383.0</v>
      </c>
      <c r="D6412" s="1" t="s">
        <v>537</v>
      </c>
      <c r="E6412" s="1" t="s">
        <v>926</v>
      </c>
      <c r="F6412" s="1" t="s">
        <v>926</v>
      </c>
      <c r="G6412" s="1">
        <v>73.0</v>
      </c>
      <c r="H6412" s="1">
        <v>4.534440344</v>
      </c>
      <c r="I6412" s="1">
        <v>4.9</v>
      </c>
      <c r="J6412" s="1">
        <v>1.742127</v>
      </c>
    </row>
    <row r="6413">
      <c r="A6413" s="1">
        <v>2025.0</v>
      </c>
      <c r="B6413" s="1" t="s">
        <v>138</v>
      </c>
      <c r="C6413" s="1">
        <v>621383.0</v>
      </c>
      <c r="D6413" s="1" t="s">
        <v>536</v>
      </c>
      <c r="E6413" s="1" t="s">
        <v>926</v>
      </c>
      <c r="F6413" s="1" t="s">
        <v>926</v>
      </c>
      <c r="G6413" s="1">
        <v>114.0</v>
      </c>
      <c r="H6413" s="1">
        <v>7.081180812</v>
      </c>
      <c r="I6413" s="1">
        <v>4.87</v>
      </c>
      <c r="J6413" s="1">
        <v>2.854138</v>
      </c>
    </row>
    <row r="6414">
      <c r="A6414" s="1">
        <v>2025.0</v>
      </c>
      <c r="B6414" s="1" t="s">
        <v>138</v>
      </c>
      <c r="C6414" s="1">
        <v>621383.0</v>
      </c>
      <c r="D6414" s="1" t="s">
        <v>533</v>
      </c>
      <c r="E6414" s="1" t="s">
        <v>926</v>
      </c>
      <c r="F6414" s="1" t="s">
        <v>926</v>
      </c>
      <c r="G6414" s="1">
        <v>120.0</v>
      </c>
      <c r="H6414" s="1">
        <v>7.453874539</v>
      </c>
      <c r="I6414" s="1">
        <v>5.44</v>
      </c>
      <c r="J6414" s="1">
        <v>1.635502</v>
      </c>
    </row>
    <row r="6415">
      <c r="A6415" s="1">
        <v>2025.0</v>
      </c>
      <c r="B6415" s="1" t="s">
        <v>138</v>
      </c>
      <c r="C6415" s="1">
        <v>621383.0</v>
      </c>
      <c r="D6415" s="1" t="s">
        <v>539</v>
      </c>
      <c r="E6415" s="1" t="s">
        <v>926</v>
      </c>
      <c r="F6415" s="1" t="s">
        <v>926</v>
      </c>
      <c r="G6415" s="1">
        <v>134.0</v>
      </c>
      <c r="H6415" s="1">
        <v>8.323493235</v>
      </c>
      <c r="I6415" s="1">
        <v>5.37</v>
      </c>
      <c r="J6415" s="1">
        <v>1.762552</v>
      </c>
    </row>
    <row r="6416">
      <c r="A6416" s="1">
        <v>2025.0</v>
      </c>
      <c r="B6416" s="1" t="s">
        <v>138</v>
      </c>
      <c r="C6416" s="1">
        <v>621383.0</v>
      </c>
      <c r="D6416" s="1" t="s">
        <v>532</v>
      </c>
      <c r="E6416" s="1" t="s">
        <v>926</v>
      </c>
      <c r="F6416" s="1" t="s">
        <v>927</v>
      </c>
      <c r="G6416" s="1">
        <v>69.0</v>
      </c>
      <c r="H6416" s="1">
        <v>4.28597786</v>
      </c>
      <c r="I6416" s="1">
        <v>4.51</v>
      </c>
      <c r="J6416" s="1">
        <v>2.126843</v>
      </c>
    </row>
    <row r="6417">
      <c r="A6417" s="1">
        <v>2025.0</v>
      </c>
      <c r="B6417" s="1" t="s">
        <v>138</v>
      </c>
      <c r="C6417" s="1">
        <v>621383.0</v>
      </c>
      <c r="D6417" s="1" t="s">
        <v>541</v>
      </c>
      <c r="E6417" s="1" t="s">
        <v>926</v>
      </c>
      <c r="F6417" s="1" t="s">
        <v>927</v>
      </c>
      <c r="G6417" s="1">
        <v>2.0</v>
      </c>
      <c r="H6417" s="1">
        <v>0.124231242</v>
      </c>
      <c r="I6417" s="1">
        <v>6.21</v>
      </c>
      <c r="J6417" s="1">
        <v>-0.002394</v>
      </c>
    </row>
    <row r="6418">
      <c r="A6418" s="1">
        <v>2025.0</v>
      </c>
      <c r="B6418" s="1" t="s">
        <v>138</v>
      </c>
      <c r="C6418" s="1">
        <v>621383.0</v>
      </c>
      <c r="D6418" s="1" t="s">
        <v>537</v>
      </c>
      <c r="E6418" s="1" t="s">
        <v>926</v>
      </c>
      <c r="F6418" s="1" t="s">
        <v>927</v>
      </c>
      <c r="G6418" s="1">
        <v>157.0</v>
      </c>
      <c r="H6418" s="1">
        <v>9.752152522</v>
      </c>
      <c r="I6418" s="1">
        <v>4.9</v>
      </c>
      <c r="J6418" s="1">
        <v>3.696752</v>
      </c>
    </row>
    <row r="6419">
      <c r="A6419" s="1">
        <v>2025.0</v>
      </c>
      <c r="B6419" s="1" t="s">
        <v>138</v>
      </c>
      <c r="C6419" s="1">
        <v>621383.0</v>
      </c>
      <c r="D6419" s="1" t="s">
        <v>536</v>
      </c>
      <c r="E6419" s="1" t="s">
        <v>926</v>
      </c>
      <c r="F6419" s="1" t="s">
        <v>927</v>
      </c>
      <c r="G6419" s="1">
        <v>20.0</v>
      </c>
      <c r="H6419" s="1">
        <v>1.242312423</v>
      </c>
      <c r="I6419" s="1">
        <v>4.99</v>
      </c>
      <c r="J6419" s="1">
        <v>0.45281</v>
      </c>
    </row>
    <row r="6420">
      <c r="A6420" s="1">
        <v>2025.0</v>
      </c>
      <c r="B6420" s="1" t="s">
        <v>138</v>
      </c>
      <c r="C6420" s="1">
        <v>621383.0</v>
      </c>
      <c r="D6420" s="1" t="s">
        <v>533</v>
      </c>
      <c r="E6420" s="1" t="s">
        <v>926</v>
      </c>
      <c r="F6420" s="1" t="s">
        <v>927</v>
      </c>
      <c r="G6420" s="1">
        <v>275.0</v>
      </c>
      <c r="H6420" s="1">
        <v>17.08179582</v>
      </c>
      <c r="I6420" s="1">
        <v>5.18</v>
      </c>
      <c r="J6420" s="1">
        <v>4.855879</v>
      </c>
    </row>
    <row r="6421">
      <c r="A6421" s="1">
        <v>2025.0</v>
      </c>
      <c r="B6421" s="1" t="s">
        <v>138</v>
      </c>
      <c r="C6421" s="1">
        <v>621383.0</v>
      </c>
      <c r="D6421" s="1" t="s">
        <v>539</v>
      </c>
      <c r="E6421" s="1" t="s">
        <v>926</v>
      </c>
      <c r="F6421" s="1" t="s">
        <v>927</v>
      </c>
      <c r="G6421" s="1">
        <v>111.0</v>
      </c>
      <c r="H6421" s="1">
        <v>6.894833948</v>
      </c>
      <c r="I6421" s="1">
        <v>5.38</v>
      </c>
      <c r="J6421" s="1">
        <v>1.605497</v>
      </c>
    </row>
    <row r="6422">
      <c r="A6422" s="1">
        <v>2025.0</v>
      </c>
      <c r="B6422" s="1" t="s">
        <v>308</v>
      </c>
      <c r="C6422" s="1">
        <v>676440.0</v>
      </c>
      <c r="D6422" s="1" t="s">
        <v>532</v>
      </c>
      <c r="E6422" s="1" t="s">
        <v>927</v>
      </c>
      <c r="F6422" s="1" t="s">
        <v>926</v>
      </c>
      <c r="G6422" s="1">
        <v>395.0</v>
      </c>
      <c r="H6422" s="1">
        <v>24.25788706</v>
      </c>
      <c r="I6422" s="1">
        <v>4.89</v>
      </c>
      <c r="J6422" s="1">
        <v>9.312492</v>
      </c>
    </row>
    <row r="6423">
      <c r="A6423" s="1">
        <v>2025.0</v>
      </c>
      <c r="B6423" s="1" t="s">
        <v>308</v>
      </c>
      <c r="C6423" s="1">
        <v>676440.0</v>
      </c>
      <c r="D6423" s="1" t="s">
        <v>541</v>
      </c>
      <c r="E6423" s="1" t="s">
        <v>927</v>
      </c>
      <c r="F6423" s="1" t="s">
        <v>926</v>
      </c>
      <c r="G6423" s="1">
        <v>116.0</v>
      </c>
      <c r="H6423" s="1">
        <v>7.123835186</v>
      </c>
      <c r="I6423" s="1">
        <v>5.05</v>
      </c>
      <c r="J6423" s="1">
        <v>2.364936</v>
      </c>
    </row>
    <row r="6424">
      <c r="A6424" s="1">
        <v>2025.0</v>
      </c>
      <c r="B6424" s="1" t="s">
        <v>308</v>
      </c>
      <c r="C6424" s="1">
        <v>676440.0</v>
      </c>
      <c r="D6424" s="1" t="s">
        <v>540</v>
      </c>
      <c r="E6424" s="1" t="s">
        <v>927</v>
      </c>
      <c r="F6424" s="1" t="s">
        <v>926</v>
      </c>
      <c r="G6424" s="1">
        <v>247.0</v>
      </c>
      <c r="H6424" s="1">
        <v>15.16885596</v>
      </c>
      <c r="I6424" s="1">
        <v>5.38</v>
      </c>
      <c r="J6424" s="1">
        <v>3.622041</v>
      </c>
    </row>
    <row r="6425">
      <c r="A6425" s="1">
        <v>2025.0</v>
      </c>
      <c r="B6425" s="1" t="s">
        <v>308</v>
      </c>
      <c r="C6425" s="1">
        <v>676440.0</v>
      </c>
      <c r="D6425" s="1" t="s">
        <v>537</v>
      </c>
      <c r="E6425" s="1" t="s">
        <v>927</v>
      </c>
      <c r="F6425" s="1" t="s">
        <v>926</v>
      </c>
      <c r="G6425" s="1">
        <v>533.0</v>
      </c>
      <c r="H6425" s="1">
        <v>32.73279443</v>
      </c>
      <c r="I6425" s="1">
        <v>4.61</v>
      </c>
      <c r="J6425" s="1">
        <v>16.136181</v>
      </c>
    </row>
    <row r="6426">
      <c r="A6426" s="1">
        <v>2025.0</v>
      </c>
      <c r="B6426" s="1" t="s">
        <v>308</v>
      </c>
      <c r="C6426" s="1">
        <v>676440.0</v>
      </c>
      <c r="D6426" s="1" t="s">
        <v>536</v>
      </c>
      <c r="E6426" s="1" t="s">
        <v>927</v>
      </c>
      <c r="F6426" s="1" t="s">
        <v>926</v>
      </c>
      <c r="G6426" s="1">
        <v>114.0</v>
      </c>
      <c r="H6426" s="1">
        <v>7.001010441</v>
      </c>
      <c r="I6426" s="1">
        <v>4.69</v>
      </c>
      <c r="J6426" s="1">
        <v>3.317849</v>
      </c>
    </row>
    <row r="6427">
      <c r="A6427" s="1">
        <v>2025.0</v>
      </c>
      <c r="B6427" s="1" t="s">
        <v>308</v>
      </c>
      <c r="C6427" s="1">
        <v>676440.0</v>
      </c>
      <c r="D6427" s="1" t="s">
        <v>533</v>
      </c>
      <c r="E6427" s="1" t="s">
        <v>927</v>
      </c>
      <c r="F6427" s="1" t="s">
        <v>926</v>
      </c>
      <c r="G6427" s="1">
        <v>1.0</v>
      </c>
      <c r="H6427" s="1">
        <v>0.061412372</v>
      </c>
      <c r="I6427" s="1">
        <v>6.25</v>
      </c>
      <c r="J6427" s="1">
        <v>-0.005304</v>
      </c>
    </row>
    <row r="6428">
      <c r="A6428" s="1">
        <v>2025.0</v>
      </c>
      <c r="B6428" s="1" t="s">
        <v>308</v>
      </c>
      <c r="C6428" s="1">
        <v>676440.0</v>
      </c>
      <c r="D6428" s="1" t="s">
        <v>539</v>
      </c>
      <c r="E6428" s="1" t="s">
        <v>927</v>
      </c>
      <c r="F6428" s="1" t="s">
        <v>926</v>
      </c>
      <c r="G6428" s="1">
        <v>202.0</v>
      </c>
      <c r="H6428" s="1">
        <v>12.4052992</v>
      </c>
      <c r="I6428" s="1">
        <v>5.06</v>
      </c>
      <c r="J6428" s="1">
        <v>4.074688</v>
      </c>
    </row>
    <row r="6429">
      <c r="A6429" s="1">
        <v>2025.0</v>
      </c>
      <c r="B6429" s="1" t="s">
        <v>308</v>
      </c>
      <c r="C6429" s="1">
        <v>676440.0</v>
      </c>
      <c r="D6429" s="1" t="s">
        <v>532</v>
      </c>
      <c r="E6429" s="1" t="s">
        <v>927</v>
      </c>
      <c r="F6429" s="1" t="s">
        <v>927</v>
      </c>
      <c r="G6429" s="1">
        <v>55.0</v>
      </c>
      <c r="H6429" s="1">
        <v>3.377680476</v>
      </c>
      <c r="I6429" s="1">
        <v>4.74</v>
      </c>
      <c r="J6429" s="1">
        <v>1.430775</v>
      </c>
    </row>
    <row r="6430">
      <c r="A6430" s="1">
        <v>2025.0</v>
      </c>
      <c r="B6430" s="1" t="s">
        <v>308</v>
      </c>
      <c r="C6430" s="1">
        <v>676440.0</v>
      </c>
      <c r="D6430" s="1" t="s">
        <v>541</v>
      </c>
      <c r="E6430" s="1" t="s">
        <v>927</v>
      </c>
      <c r="F6430" s="1" t="s">
        <v>927</v>
      </c>
      <c r="G6430" s="1">
        <v>45.0</v>
      </c>
      <c r="H6430" s="1">
        <v>2.763556753</v>
      </c>
      <c r="I6430" s="1">
        <v>4.91</v>
      </c>
      <c r="J6430" s="1">
        <v>1.02653</v>
      </c>
    </row>
    <row r="6431">
      <c r="A6431" s="1">
        <v>2025.0</v>
      </c>
      <c r="B6431" s="1" t="s">
        <v>308</v>
      </c>
      <c r="C6431" s="1">
        <v>676440.0</v>
      </c>
      <c r="D6431" s="1" t="s">
        <v>540</v>
      </c>
      <c r="E6431" s="1" t="s">
        <v>927</v>
      </c>
      <c r="F6431" s="1" t="s">
        <v>927</v>
      </c>
      <c r="G6431" s="1">
        <v>373.0</v>
      </c>
      <c r="H6431" s="1">
        <v>22.90681486</v>
      </c>
      <c r="I6431" s="1">
        <v>5.19</v>
      </c>
      <c r="J6431" s="1">
        <v>6.844222</v>
      </c>
    </row>
    <row r="6432">
      <c r="A6432" s="1">
        <v>2025.0</v>
      </c>
      <c r="B6432" s="1" t="s">
        <v>308</v>
      </c>
      <c r="C6432" s="1">
        <v>676440.0</v>
      </c>
      <c r="D6432" s="1" t="s">
        <v>537</v>
      </c>
      <c r="E6432" s="1" t="s">
        <v>927</v>
      </c>
      <c r="F6432" s="1" t="s">
        <v>927</v>
      </c>
      <c r="G6432" s="1">
        <v>278.0</v>
      </c>
      <c r="H6432" s="1">
        <v>17.0726395</v>
      </c>
      <c r="I6432" s="1">
        <v>4.75</v>
      </c>
      <c r="J6432" s="1">
        <v>7.727976</v>
      </c>
    </row>
    <row r="6433">
      <c r="A6433" s="1">
        <v>2025.0</v>
      </c>
      <c r="B6433" s="1" t="s">
        <v>308</v>
      </c>
      <c r="C6433" s="1">
        <v>676440.0</v>
      </c>
      <c r="D6433" s="1" t="s">
        <v>536</v>
      </c>
      <c r="E6433" s="1" t="s">
        <v>927</v>
      </c>
      <c r="F6433" s="1" t="s">
        <v>927</v>
      </c>
      <c r="G6433" s="1">
        <v>352.0</v>
      </c>
      <c r="H6433" s="1">
        <v>21.61715505</v>
      </c>
      <c r="I6433" s="1">
        <v>4.89</v>
      </c>
      <c r="J6433" s="1">
        <v>8.617853</v>
      </c>
    </row>
    <row r="6434">
      <c r="A6434" s="1">
        <v>2025.0</v>
      </c>
      <c r="B6434" s="1" t="s">
        <v>308</v>
      </c>
      <c r="C6434" s="1">
        <v>676440.0</v>
      </c>
      <c r="D6434" s="1" t="s">
        <v>533</v>
      </c>
      <c r="E6434" s="1" t="s">
        <v>927</v>
      </c>
      <c r="F6434" s="1" t="s">
        <v>927</v>
      </c>
      <c r="G6434" s="1">
        <v>28.0</v>
      </c>
      <c r="H6434" s="1">
        <v>1.719546424</v>
      </c>
      <c r="I6434" s="1">
        <v>4.88</v>
      </c>
      <c r="J6434" s="1">
        <v>0.708313</v>
      </c>
    </row>
    <row r="6435">
      <c r="A6435" s="1">
        <v>2025.0</v>
      </c>
      <c r="B6435" s="1" t="s">
        <v>308</v>
      </c>
      <c r="C6435" s="1">
        <v>676440.0</v>
      </c>
      <c r="D6435" s="1" t="s">
        <v>539</v>
      </c>
      <c r="E6435" s="1" t="s">
        <v>927</v>
      </c>
      <c r="F6435" s="1" t="s">
        <v>927</v>
      </c>
      <c r="G6435" s="1">
        <v>230.0</v>
      </c>
      <c r="H6435" s="1">
        <v>14.12484563</v>
      </c>
      <c r="I6435" s="1">
        <v>5.48</v>
      </c>
      <c r="J6435" s="1">
        <v>2.634214</v>
      </c>
    </row>
    <row r="6436">
      <c r="A6436" s="1">
        <v>2025.0</v>
      </c>
      <c r="B6436" s="1" t="s">
        <v>352</v>
      </c>
      <c r="C6436" s="1">
        <v>685299.0</v>
      </c>
      <c r="D6436" s="1" t="s">
        <v>532</v>
      </c>
      <c r="E6436" s="1" t="s">
        <v>927</v>
      </c>
      <c r="F6436" s="1" t="s">
        <v>926</v>
      </c>
      <c r="G6436" s="1">
        <v>215.0</v>
      </c>
      <c r="H6436" s="1">
        <v>13.01982851</v>
      </c>
      <c r="I6436" s="1">
        <v>5.31</v>
      </c>
      <c r="J6436" s="1">
        <v>3.487959</v>
      </c>
    </row>
    <row r="6437">
      <c r="A6437" s="1">
        <v>2025.0</v>
      </c>
      <c r="B6437" s="1" t="s">
        <v>352</v>
      </c>
      <c r="C6437" s="1">
        <v>685299.0</v>
      </c>
      <c r="D6437" s="1" t="s">
        <v>541</v>
      </c>
      <c r="E6437" s="1" t="s">
        <v>927</v>
      </c>
      <c r="F6437" s="1" t="s">
        <v>926</v>
      </c>
      <c r="G6437" s="1">
        <v>5.0</v>
      </c>
      <c r="H6437" s="1">
        <v>0.30278671</v>
      </c>
      <c r="I6437" s="1">
        <v>5.3</v>
      </c>
      <c r="J6437" s="1">
        <v>0.086165</v>
      </c>
    </row>
    <row r="6438">
      <c r="A6438" s="1">
        <v>2025.0</v>
      </c>
      <c r="B6438" s="1" t="s">
        <v>352</v>
      </c>
      <c r="C6438" s="1">
        <v>685299.0</v>
      </c>
      <c r="D6438" s="1" t="s">
        <v>537</v>
      </c>
      <c r="E6438" s="1" t="s">
        <v>927</v>
      </c>
      <c r="F6438" s="1" t="s">
        <v>926</v>
      </c>
      <c r="G6438" s="1">
        <v>357.0</v>
      </c>
      <c r="H6438" s="1">
        <v>21.61897106</v>
      </c>
      <c r="I6438" s="1">
        <v>4.65</v>
      </c>
      <c r="J6438" s="1">
        <v>10.500841</v>
      </c>
    </row>
    <row r="6439">
      <c r="A6439" s="1">
        <v>2025.0</v>
      </c>
      <c r="B6439" s="1" t="s">
        <v>352</v>
      </c>
      <c r="C6439" s="1">
        <v>685299.0</v>
      </c>
      <c r="D6439" s="1" t="s">
        <v>533</v>
      </c>
      <c r="E6439" s="1" t="s">
        <v>927</v>
      </c>
      <c r="F6439" s="1" t="s">
        <v>926</v>
      </c>
      <c r="G6439" s="1">
        <v>70.0</v>
      </c>
      <c r="H6439" s="1">
        <v>4.239013934</v>
      </c>
      <c r="I6439" s="1">
        <v>5.03</v>
      </c>
      <c r="J6439" s="1">
        <v>1.449716</v>
      </c>
    </row>
    <row r="6440">
      <c r="A6440" s="1">
        <v>2025.0</v>
      </c>
      <c r="B6440" s="1" t="s">
        <v>352</v>
      </c>
      <c r="C6440" s="1">
        <v>685299.0</v>
      </c>
      <c r="D6440" s="1" t="s">
        <v>532</v>
      </c>
      <c r="E6440" s="1" t="s">
        <v>927</v>
      </c>
      <c r="F6440" s="1" t="s">
        <v>927</v>
      </c>
      <c r="G6440" s="1">
        <v>48.0</v>
      </c>
      <c r="H6440" s="1">
        <v>2.906752412</v>
      </c>
      <c r="I6440" s="1">
        <v>5.57</v>
      </c>
      <c r="J6440" s="1">
        <v>0.480155</v>
      </c>
    </row>
    <row r="6441">
      <c r="A6441" s="1">
        <v>2025.0</v>
      </c>
      <c r="B6441" s="1" t="s">
        <v>352</v>
      </c>
      <c r="C6441" s="1">
        <v>685299.0</v>
      </c>
      <c r="D6441" s="1" t="s">
        <v>541</v>
      </c>
      <c r="E6441" s="1" t="s">
        <v>927</v>
      </c>
      <c r="F6441" s="1" t="s">
        <v>927</v>
      </c>
      <c r="G6441" s="1">
        <v>8.0</v>
      </c>
      <c r="H6441" s="1">
        <v>0.484458735</v>
      </c>
      <c r="I6441" s="1">
        <v>5.0</v>
      </c>
      <c r="J6441" s="1">
        <v>0.190273</v>
      </c>
    </row>
    <row r="6442">
      <c r="A6442" s="1">
        <v>2025.0</v>
      </c>
      <c r="B6442" s="1" t="s">
        <v>352</v>
      </c>
      <c r="C6442" s="1">
        <v>685299.0</v>
      </c>
      <c r="D6442" s="1" t="s">
        <v>537</v>
      </c>
      <c r="E6442" s="1" t="s">
        <v>927</v>
      </c>
      <c r="F6442" s="1" t="s">
        <v>927</v>
      </c>
      <c r="G6442" s="1">
        <v>300.0</v>
      </c>
      <c r="H6442" s="1">
        <v>18.16720257</v>
      </c>
      <c r="I6442" s="1">
        <v>4.74</v>
      </c>
      <c r="J6442" s="1">
        <v>8.303922</v>
      </c>
    </row>
    <row r="6443">
      <c r="A6443" s="1">
        <v>2025.0</v>
      </c>
      <c r="B6443" s="1" t="s">
        <v>352</v>
      </c>
      <c r="C6443" s="1">
        <v>685299.0</v>
      </c>
      <c r="D6443" s="1" t="s">
        <v>533</v>
      </c>
      <c r="E6443" s="1" t="s">
        <v>927</v>
      </c>
      <c r="F6443" s="1" t="s">
        <v>927</v>
      </c>
      <c r="G6443" s="1">
        <v>241.0</v>
      </c>
      <c r="H6443" s="1">
        <v>14.5943194</v>
      </c>
      <c r="I6443" s="1">
        <v>5.15</v>
      </c>
      <c r="J6443" s="1">
        <v>4.57809</v>
      </c>
    </row>
    <row r="6444">
      <c r="A6444" s="1">
        <v>2025.0</v>
      </c>
      <c r="B6444" s="1" t="s">
        <v>301</v>
      </c>
      <c r="C6444" s="1">
        <v>656557.0</v>
      </c>
      <c r="D6444" s="1" t="s">
        <v>537</v>
      </c>
      <c r="E6444" s="1" t="s">
        <v>927</v>
      </c>
      <c r="F6444" s="1" t="s">
        <v>926</v>
      </c>
      <c r="G6444" s="1">
        <v>33.0</v>
      </c>
      <c r="H6444" s="1">
        <v>1.923898531</v>
      </c>
      <c r="I6444" s="1">
        <v>3.83</v>
      </c>
      <c r="J6444" s="1">
        <v>1.480822</v>
      </c>
    </row>
    <row r="6445">
      <c r="A6445" s="1">
        <v>2025.0</v>
      </c>
      <c r="B6445" s="1" t="s">
        <v>301</v>
      </c>
      <c r="C6445" s="1">
        <v>656557.0</v>
      </c>
      <c r="D6445" s="1" t="s">
        <v>538</v>
      </c>
      <c r="E6445" s="1" t="s">
        <v>927</v>
      </c>
      <c r="F6445" s="1" t="s">
        <v>926</v>
      </c>
      <c r="G6445" s="1">
        <v>120.0</v>
      </c>
      <c r="H6445" s="1">
        <v>6.99599466</v>
      </c>
      <c r="I6445" s="1">
        <v>4.9</v>
      </c>
      <c r="J6445" s="1">
        <v>2.791782</v>
      </c>
    </row>
    <row r="6446">
      <c r="A6446" s="1">
        <v>2025.0</v>
      </c>
      <c r="B6446" s="1" t="s">
        <v>301</v>
      </c>
      <c r="C6446" s="1">
        <v>656557.0</v>
      </c>
      <c r="D6446" s="1" t="s">
        <v>536</v>
      </c>
      <c r="E6446" s="1" t="s">
        <v>927</v>
      </c>
      <c r="F6446" s="1" t="s">
        <v>926</v>
      </c>
      <c r="G6446" s="1">
        <v>127.0</v>
      </c>
      <c r="H6446" s="1">
        <v>7.404094348</v>
      </c>
      <c r="I6446" s="1">
        <v>5.2</v>
      </c>
      <c r="J6446" s="1">
        <v>2.305306</v>
      </c>
    </row>
    <row r="6447">
      <c r="A6447" s="1">
        <v>2025.0</v>
      </c>
      <c r="B6447" s="1" t="s">
        <v>301</v>
      </c>
      <c r="C6447" s="1">
        <v>656557.0</v>
      </c>
      <c r="D6447" s="1" t="s">
        <v>539</v>
      </c>
      <c r="E6447" s="1" t="s">
        <v>927</v>
      </c>
      <c r="F6447" s="1" t="s">
        <v>926</v>
      </c>
      <c r="G6447" s="1">
        <v>151.0</v>
      </c>
      <c r="H6447" s="1">
        <v>8.80329328</v>
      </c>
      <c r="I6447" s="1">
        <v>4.79</v>
      </c>
      <c r="J6447" s="1">
        <v>3.864147</v>
      </c>
    </row>
    <row r="6448">
      <c r="A6448" s="1">
        <v>2025.0</v>
      </c>
      <c r="B6448" s="1" t="s">
        <v>301</v>
      </c>
      <c r="C6448" s="1">
        <v>656557.0</v>
      </c>
      <c r="D6448" s="1" t="s">
        <v>537</v>
      </c>
      <c r="E6448" s="1" t="s">
        <v>927</v>
      </c>
      <c r="F6448" s="1" t="s">
        <v>927</v>
      </c>
      <c r="G6448" s="1">
        <v>11.0</v>
      </c>
      <c r="H6448" s="1">
        <v>0.64129951</v>
      </c>
      <c r="I6448" s="1">
        <v>4.15</v>
      </c>
      <c r="J6448" s="1">
        <v>0.391291</v>
      </c>
    </row>
    <row r="6449">
      <c r="A6449" s="1">
        <v>2025.0</v>
      </c>
      <c r="B6449" s="1" t="s">
        <v>301</v>
      </c>
      <c r="C6449" s="1">
        <v>656557.0</v>
      </c>
      <c r="D6449" s="1" t="s">
        <v>538</v>
      </c>
      <c r="E6449" s="1" t="s">
        <v>927</v>
      </c>
      <c r="F6449" s="1" t="s">
        <v>927</v>
      </c>
      <c r="G6449" s="1">
        <v>22.0</v>
      </c>
      <c r="H6449" s="1">
        <v>1.282599021</v>
      </c>
      <c r="I6449" s="1">
        <v>5.05</v>
      </c>
      <c r="J6449" s="1">
        <v>0.406427</v>
      </c>
    </row>
    <row r="6450">
      <c r="A6450" s="1">
        <v>2025.0</v>
      </c>
      <c r="B6450" s="1" t="s">
        <v>301</v>
      </c>
      <c r="C6450" s="1">
        <v>656557.0</v>
      </c>
      <c r="D6450" s="1" t="s">
        <v>536</v>
      </c>
      <c r="E6450" s="1" t="s">
        <v>927</v>
      </c>
      <c r="F6450" s="1" t="s">
        <v>927</v>
      </c>
      <c r="G6450" s="1">
        <v>171.0</v>
      </c>
      <c r="H6450" s="1">
        <v>9.96929239</v>
      </c>
      <c r="I6450" s="1">
        <v>5.18</v>
      </c>
      <c r="J6450" s="1">
        <v>3.064815</v>
      </c>
    </row>
    <row r="6451">
      <c r="A6451" s="1">
        <v>2025.0</v>
      </c>
      <c r="B6451" s="1" t="s">
        <v>301</v>
      </c>
      <c r="C6451" s="1">
        <v>656557.0</v>
      </c>
      <c r="D6451" s="1" t="s">
        <v>539</v>
      </c>
      <c r="E6451" s="1" t="s">
        <v>927</v>
      </c>
      <c r="F6451" s="1" t="s">
        <v>927</v>
      </c>
      <c r="G6451" s="1">
        <v>114.0</v>
      </c>
      <c r="H6451" s="1">
        <v>6.646194927</v>
      </c>
      <c r="I6451" s="1">
        <v>5.27</v>
      </c>
      <c r="J6451" s="1">
        <v>1.734353</v>
      </c>
    </row>
    <row r="6452">
      <c r="A6452" s="1">
        <v>2025.0</v>
      </c>
      <c r="B6452" s="1" t="s">
        <v>716</v>
      </c>
      <c r="C6452" s="1">
        <v>663432.0</v>
      </c>
      <c r="D6452" s="1" t="s">
        <v>537</v>
      </c>
      <c r="E6452" s="1" t="s">
        <v>927</v>
      </c>
      <c r="F6452" s="1" t="s">
        <v>926</v>
      </c>
      <c r="G6452" s="1">
        <v>55.0</v>
      </c>
      <c r="H6452" s="1">
        <v>2.671691792</v>
      </c>
      <c r="I6452" s="1">
        <v>5.11</v>
      </c>
      <c r="J6452" s="1">
        <v>1.124431</v>
      </c>
    </row>
    <row r="6453">
      <c r="A6453" s="1">
        <v>2025.0</v>
      </c>
      <c r="B6453" s="1" t="s">
        <v>716</v>
      </c>
      <c r="C6453" s="1">
        <v>663432.0</v>
      </c>
      <c r="D6453" s="1" t="s">
        <v>533</v>
      </c>
      <c r="E6453" s="1" t="s">
        <v>927</v>
      </c>
      <c r="F6453" s="1" t="s">
        <v>926</v>
      </c>
      <c r="G6453" s="1">
        <v>44.0</v>
      </c>
      <c r="H6453" s="1">
        <v>2.137353434</v>
      </c>
      <c r="I6453" s="1">
        <v>5.22</v>
      </c>
      <c r="J6453" s="1">
        <v>0.767789</v>
      </c>
    </row>
    <row r="6454">
      <c r="A6454" s="1">
        <v>2025.0</v>
      </c>
      <c r="B6454" s="1" t="s">
        <v>716</v>
      </c>
      <c r="C6454" s="1">
        <v>663432.0</v>
      </c>
      <c r="D6454" s="1" t="s">
        <v>539</v>
      </c>
      <c r="E6454" s="1" t="s">
        <v>927</v>
      </c>
      <c r="F6454" s="1" t="s">
        <v>926</v>
      </c>
      <c r="G6454" s="1">
        <v>1.0</v>
      </c>
      <c r="H6454" s="1">
        <v>0.048576214</v>
      </c>
      <c r="I6454" s="1">
        <v>5.36</v>
      </c>
      <c r="J6454" s="1">
        <v>0.016137</v>
      </c>
    </row>
    <row r="6455">
      <c r="A6455" s="1">
        <v>2025.0</v>
      </c>
      <c r="B6455" s="1" t="s">
        <v>716</v>
      </c>
      <c r="C6455" s="1">
        <v>663432.0</v>
      </c>
      <c r="D6455" s="1" t="s">
        <v>537</v>
      </c>
      <c r="E6455" s="1" t="s">
        <v>927</v>
      </c>
      <c r="F6455" s="1" t="s">
        <v>927</v>
      </c>
      <c r="G6455" s="1">
        <v>49.0</v>
      </c>
      <c r="H6455" s="1">
        <v>2.380234506</v>
      </c>
      <c r="I6455" s="1">
        <v>4.34</v>
      </c>
      <c r="J6455" s="1">
        <v>1.681629</v>
      </c>
    </row>
    <row r="6456">
      <c r="A6456" s="1">
        <v>2025.0</v>
      </c>
      <c r="B6456" s="1" t="s">
        <v>716</v>
      </c>
      <c r="C6456" s="1">
        <v>663432.0</v>
      </c>
      <c r="D6456" s="1" t="s">
        <v>533</v>
      </c>
      <c r="E6456" s="1" t="s">
        <v>927</v>
      </c>
      <c r="F6456" s="1" t="s">
        <v>927</v>
      </c>
      <c r="G6456" s="1">
        <v>50.0</v>
      </c>
      <c r="H6456" s="1">
        <v>2.42881072</v>
      </c>
      <c r="I6456" s="1">
        <v>4.33</v>
      </c>
      <c r="J6456" s="1">
        <v>1.743689</v>
      </c>
    </row>
    <row r="6457">
      <c r="A6457" s="1">
        <v>2025.0</v>
      </c>
      <c r="B6457" s="1" t="s">
        <v>32</v>
      </c>
      <c r="C6457" s="1">
        <v>656945.0</v>
      </c>
      <c r="D6457" s="1" t="s">
        <v>537</v>
      </c>
      <c r="E6457" s="1" t="s">
        <v>926</v>
      </c>
      <c r="F6457" s="1" t="s">
        <v>926</v>
      </c>
      <c r="G6457" s="1">
        <v>122.0</v>
      </c>
      <c r="H6457" s="1">
        <v>7.633369923</v>
      </c>
      <c r="I6457" s="1">
        <v>5.43</v>
      </c>
      <c r="J6457" s="1">
        <v>1.564126</v>
      </c>
    </row>
    <row r="6458">
      <c r="A6458" s="1">
        <v>2025.0</v>
      </c>
      <c r="B6458" s="1" t="s">
        <v>32</v>
      </c>
      <c r="C6458" s="1">
        <v>656945.0</v>
      </c>
      <c r="D6458" s="1" t="s">
        <v>533</v>
      </c>
      <c r="E6458" s="1" t="s">
        <v>926</v>
      </c>
      <c r="F6458" s="1" t="s">
        <v>926</v>
      </c>
      <c r="G6458" s="1">
        <v>126.0</v>
      </c>
      <c r="H6458" s="1">
        <v>7.883644347</v>
      </c>
      <c r="I6458" s="1">
        <v>5.26</v>
      </c>
      <c r="J6458" s="1">
        <v>2.014599</v>
      </c>
    </row>
    <row r="6459">
      <c r="A6459" s="1">
        <v>2025.0</v>
      </c>
      <c r="B6459" s="1" t="s">
        <v>32</v>
      </c>
      <c r="C6459" s="1">
        <v>656945.0</v>
      </c>
      <c r="D6459" s="1" t="s">
        <v>532</v>
      </c>
      <c r="E6459" s="1" t="s">
        <v>926</v>
      </c>
      <c r="F6459" s="1" t="s">
        <v>927</v>
      </c>
      <c r="G6459" s="1">
        <v>1.0</v>
      </c>
      <c r="H6459" s="1">
        <v>0.062568606</v>
      </c>
      <c r="I6459" s="1">
        <v>5.39</v>
      </c>
      <c r="J6459" s="1">
        <v>0.017486</v>
      </c>
    </row>
    <row r="6460">
      <c r="A6460" s="1">
        <v>2025.0</v>
      </c>
      <c r="B6460" s="1" t="s">
        <v>32</v>
      </c>
      <c r="C6460" s="1">
        <v>656945.0</v>
      </c>
      <c r="D6460" s="1" t="s">
        <v>537</v>
      </c>
      <c r="E6460" s="1" t="s">
        <v>926</v>
      </c>
      <c r="F6460" s="1" t="s">
        <v>927</v>
      </c>
      <c r="G6460" s="1">
        <v>358.0</v>
      </c>
      <c r="H6460" s="1">
        <v>22.39956092</v>
      </c>
      <c r="I6460" s="1">
        <v>5.49</v>
      </c>
      <c r="J6460" s="1">
        <v>4.255362</v>
      </c>
    </row>
    <row r="6461">
      <c r="A6461" s="1">
        <v>2025.0</v>
      </c>
      <c r="B6461" s="1" t="s">
        <v>32</v>
      </c>
      <c r="C6461" s="1">
        <v>656945.0</v>
      </c>
      <c r="D6461" s="1" t="s">
        <v>533</v>
      </c>
      <c r="E6461" s="1" t="s">
        <v>926</v>
      </c>
      <c r="F6461" s="1" t="s">
        <v>927</v>
      </c>
      <c r="G6461" s="1">
        <v>304.0</v>
      </c>
      <c r="H6461" s="1">
        <v>19.0208562</v>
      </c>
      <c r="I6461" s="1">
        <v>5.15</v>
      </c>
      <c r="J6461" s="1">
        <v>5.633918</v>
      </c>
    </row>
    <row r="6462">
      <c r="A6462" s="1">
        <v>2025.0</v>
      </c>
      <c r="B6462" s="1" t="s">
        <v>84</v>
      </c>
      <c r="C6462" s="1">
        <v>669373.0</v>
      </c>
      <c r="D6462" s="1" t="s">
        <v>532</v>
      </c>
      <c r="E6462" s="1" t="s">
        <v>926</v>
      </c>
      <c r="F6462" s="1" t="s">
        <v>926</v>
      </c>
      <c r="G6462" s="1">
        <v>102.0</v>
      </c>
      <c r="H6462" s="1">
        <v>6.993330993</v>
      </c>
      <c r="I6462" s="1">
        <v>5.11</v>
      </c>
      <c r="J6462" s="1">
        <v>1.935601</v>
      </c>
    </row>
    <row r="6463">
      <c r="A6463" s="1">
        <v>2025.0</v>
      </c>
      <c r="B6463" s="1" t="s">
        <v>84</v>
      </c>
      <c r="C6463" s="1">
        <v>669373.0</v>
      </c>
      <c r="D6463" s="1" t="s">
        <v>541</v>
      </c>
      <c r="E6463" s="1" t="s">
        <v>926</v>
      </c>
      <c r="F6463" s="1" t="s">
        <v>926</v>
      </c>
      <c r="G6463" s="1">
        <v>1.0</v>
      </c>
      <c r="H6463" s="1">
        <v>0.068562069</v>
      </c>
      <c r="I6463" s="1">
        <v>6.43</v>
      </c>
      <c r="J6463" s="1">
        <v>-0.011596</v>
      </c>
    </row>
    <row r="6464">
      <c r="A6464" s="1">
        <v>2025.0</v>
      </c>
      <c r="B6464" s="1" t="s">
        <v>84</v>
      </c>
      <c r="C6464" s="1">
        <v>669373.0</v>
      </c>
      <c r="D6464" s="1" t="s">
        <v>537</v>
      </c>
      <c r="E6464" s="1" t="s">
        <v>926</v>
      </c>
      <c r="F6464" s="1" t="s">
        <v>926</v>
      </c>
      <c r="G6464" s="1">
        <v>110.0</v>
      </c>
      <c r="H6464" s="1">
        <v>7.541827542</v>
      </c>
      <c r="I6464" s="1">
        <v>5.32</v>
      </c>
      <c r="J6464" s="1">
        <v>1.628461</v>
      </c>
    </row>
    <row r="6465">
      <c r="A6465" s="1">
        <v>2025.0</v>
      </c>
      <c r="B6465" s="1" t="s">
        <v>84</v>
      </c>
      <c r="C6465" s="1">
        <v>669373.0</v>
      </c>
      <c r="D6465" s="1" t="s">
        <v>538</v>
      </c>
      <c r="E6465" s="1" t="s">
        <v>926</v>
      </c>
      <c r="F6465" s="1" t="s">
        <v>926</v>
      </c>
      <c r="G6465" s="1">
        <v>2.0</v>
      </c>
      <c r="H6465" s="1">
        <v>0.137124137</v>
      </c>
      <c r="I6465" s="1">
        <v>6.76</v>
      </c>
      <c r="J6465" s="1">
        <v>-0.034178</v>
      </c>
    </row>
    <row r="6466">
      <c r="A6466" s="1">
        <v>2025.0</v>
      </c>
      <c r="B6466" s="1" t="s">
        <v>84</v>
      </c>
      <c r="C6466" s="1">
        <v>669373.0</v>
      </c>
      <c r="D6466" s="1" t="s">
        <v>536</v>
      </c>
      <c r="E6466" s="1" t="s">
        <v>926</v>
      </c>
      <c r="F6466" s="1" t="s">
        <v>926</v>
      </c>
      <c r="G6466" s="1">
        <v>219.0</v>
      </c>
      <c r="H6466" s="1">
        <v>15.01509302</v>
      </c>
      <c r="I6466" s="1">
        <v>5.46</v>
      </c>
      <c r="J6466" s="1">
        <v>2.822604</v>
      </c>
    </row>
    <row r="6467">
      <c r="A6467" s="1">
        <v>2025.0</v>
      </c>
      <c r="B6467" s="1" t="s">
        <v>84</v>
      </c>
      <c r="C6467" s="1">
        <v>669373.0</v>
      </c>
      <c r="D6467" s="1" t="s">
        <v>533</v>
      </c>
      <c r="E6467" s="1" t="s">
        <v>926</v>
      </c>
      <c r="F6467" s="1" t="s">
        <v>926</v>
      </c>
      <c r="G6467" s="1">
        <v>90.0</v>
      </c>
      <c r="H6467" s="1">
        <v>6.170586171</v>
      </c>
      <c r="I6467" s="1">
        <v>5.48</v>
      </c>
      <c r="J6467" s="1">
        <v>1.093122</v>
      </c>
    </row>
    <row r="6468">
      <c r="A6468" s="1">
        <v>2025.0</v>
      </c>
      <c r="B6468" s="1" t="s">
        <v>84</v>
      </c>
      <c r="C6468" s="1">
        <v>669373.0</v>
      </c>
      <c r="D6468" s="1" t="s">
        <v>532</v>
      </c>
      <c r="E6468" s="1" t="s">
        <v>926</v>
      </c>
      <c r="F6468" s="1" t="s">
        <v>927</v>
      </c>
      <c r="G6468" s="1">
        <v>793.0</v>
      </c>
      <c r="H6468" s="1">
        <v>54.36972037</v>
      </c>
      <c r="I6468" s="1">
        <v>5.07</v>
      </c>
      <c r="J6468" s="1">
        <v>16.078984</v>
      </c>
    </row>
    <row r="6469">
      <c r="A6469" s="1">
        <v>2025.0</v>
      </c>
      <c r="B6469" s="1" t="s">
        <v>84</v>
      </c>
      <c r="C6469" s="1">
        <v>669373.0</v>
      </c>
      <c r="D6469" s="1" t="s">
        <v>541</v>
      </c>
      <c r="E6469" s="1" t="s">
        <v>926</v>
      </c>
      <c r="F6469" s="1" t="s">
        <v>927</v>
      </c>
      <c r="G6469" s="1">
        <v>78.0</v>
      </c>
      <c r="H6469" s="1">
        <v>5.347841348</v>
      </c>
      <c r="I6469" s="1">
        <v>4.74</v>
      </c>
      <c r="J6469" s="1">
        <v>2.088155</v>
      </c>
    </row>
    <row r="6470">
      <c r="A6470" s="1">
        <v>2025.0</v>
      </c>
      <c r="B6470" s="1" t="s">
        <v>84</v>
      </c>
      <c r="C6470" s="1">
        <v>669373.0</v>
      </c>
      <c r="D6470" s="1" t="s">
        <v>537</v>
      </c>
      <c r="E6470" s="1" t="s">
        <v>926</v>
      </c>
      <c r="F6470" s="1" t="s">
        <v>927</v>
      </c>
      <c r="G6470" s="1">
        <v>732.0</v>
      </c>
      <c r="H6470" s="1">
        <v>50.18743419</v>
      </c>
      <c r="I6470" s="1">
        <v>5.18</v>
      </c>
      <c r="J6470" s="1">
        <v>13.409846</v>
      </c>
    </row>
    <row r="6471">
      <c r="A6471" s="1">
        <v>2025.0</v>
      </c>
      <c r="B6471" s="1" t="s">
        <v>84</v>
      </c>
      <c r="C6471" s="1">
        <v>669373.0</v>
      </c>
      <c r="D6471" s="1" t="s">
        <v>538</v>
      </c>
      <c r="E6471" s="1" t="s">
        <v>926</v>
      </c>
      <c r="F6471" s="1" t="s">
        <v>927</v>
      </c>
      <c r="G6471" s="1">
        <v>1.0</v>
      </c>
      <c r="H6471" s="1">
        <v>0.068562069</v>
      </c>
      <c r="I6471" s="1">
        <v>6.76</v>
      </c>
      <c r="J6471" s="1">
        <v>-0.015119</v>
      </c>
    </row>
    <row r="6472">
      <c r="A6472" s="1">
        <v>2025.0</v>
      </c>
      <c r="B6472" s="1" t="s">
        <v>84</v>
      </c>
      <c r="C6472" s="1">
        <v>669373.0</v>
      </c>
      <c r="D6472" s="1" t="s">
        <v>536</v>
      </c>
      <c r="E6472" s="1" t="s">
        <v>926</v>
      </c>
      <c r="F6472" s="1" t="s">
        <v>927</v>
      </c>
      <c r="G6472" s="1">
        <v>455.0</v>
      </c>
      <c r="H6472" s="1">
        <v>31.1957412</v>
      </c>
      <c r="I6472" s="1">
        <v>5.11</v>
      </c>
      <c r="J6472" s="1">
        <v>9.257238</v>
      </c>
    </row>
    <row r="6473">
      <c r="A6473" s="1">
        <v>2025.0</v>
      </c>
      <c r="B6473" s="1" t="s">
        <v>84</v>
      </c>
      <c r="C6473" s="1">
        <v>669373.0</v>
      </c>
      <c r="D6473" s="1" t="s">
        <v>533</v>
      </c>
      <c r="E6473" s="1" t="s">
        <v>926</v>
      </c>
      <c r="F6473" s="1" t="s">
        <v>927</v>
      </c>
      <c r="G6473" s="1">
        <v>266.0</v>
      </c>
      <c r="H6473" s="1">
        <v>18.23751024</v>
      </c>
      <c r="I6473" s="1">
        <v>5.04</v>
      </c>
      <c r="J6473" s="1">
        <v>5.6543</v>
      </c>
    </row>
    <row r="6474">
      <c r="A6474" s="1">
        <v>2025.0</v>
      </c>
      <c r="B6474" s="1" t="s">
        <v>682</v>
      </c>
      <c r="C6474" s="1">
        <v>642048.0</v>
      </c>
      <c r="D6474" s="1" t="s">
        <v>537</v>
      </c>
      <c r="E6474" s="1" t="s">
        <v>926</v>
      </c>
      <c r="F6474" s="1" t="s">
        <v>926</v>
      </c>
      <c r="G6474" s="1">
        <v>3.0</v>
      </c>
      <c r="H6474" s="1">
        <v>0.172413793</v>
      </c>
      <c r="I6474" s="1">
        <v>1.27</v>
      </c>
      <c r="J6474" s="1">
        <v>0.284008</v>
      </c>
    </row>
    <row r="6475">
      <c r="A6475" s="1">
        <v>2025.0</v>
      </c>
      <c r="B6475" s="1" t="s">
        <v>682</v>
      </c>
      <c r="C6475" s="1">
        <v>642048.0</v>
      </c>
      <c r="D6475" s="1" t="s">
        <v>536</v>
      </c>
      <c r="E6475" s="1" t="s">
        <v>926</v>
      </c>
      <c r="F6475" s="1" t="s">
        <v>926</v>
      </c>
      <c r="G6475" s="1">
        <v>73.0</v>
      </c>
      <c r="H6475" s="1">
        <v>4.195402299</v>
      </c>
      <c r="I6475" s="1">
        <v>5.24</v>
      </c>
      <c r="J6475" s="1">
        <v>1.287445</v>
      </c>
    </row>
    <row r="6476">
      <c r="A6476" s="1">
        <v>2025.0</v>
      </c>
      <c r="B6476" s="1" t="s">
        <v>682</v>
      </c>
      <c r="C6476" s="1">
        <v>642048.0</v>
      </c>
      <c r="D6476" s="1" t="s">
        <v>533</v>
      </c>
      <c r="E6476" s="1" t="s">
        <v>926</v>
      </c>
      <c r="F6476" s="1" t="s">
        <v>926</v>
      </c>
      <c r="G6476" s="1">
        <v>17.0</v>
      </c>
      <c r="H6476" s="1">
        <v>0.977011494</v>
      </c>
      <c r="I6476" s="1">
        <v>3.98</v>
      </c>
      <c r="J6476" s="1">
        <v>0.718693</v>
      </c>
    </row>
    <row r="6477">
      <c r="A6477" s="1">
        <v>2025.0</v>
      </c>
      <c r="B6477" s="1" t="s">
        <v>682</v>
      </c>
      <c r="C6477" s="1">
        <v>642048.0</v>
      </c>
      <c r="D6477" s="1" t="s">
        <v>539</v>
      </c>
      <c r="E6477" s="1" t="s">
        <v>926</v>
      </c>
      <c r="F6477" s="1" t="s">
        <v>926</v>
      </c>
      <c r="G6477" s="1">
        <v>34.0</v>
      </c>
      <c r="H6477" s="1">
        <v>1.954022989</v>
      </c>
      <c r="I6477" s="1">
        <v>5.09</v>
      </c>
      <c r="J6477" s="1">
        <v>0.647101</v>
      </c>
    </row>
    <row r="6478">
      <c r="A6478" s="1">
        <v>2025.0</v>
      </c>
      <c r="B6478" s="1" t="s">
        <v>682</v>
      </c>
      <c r="C6478" s="1">
        <v>642048.0</v>
      </c>
      <c r="D6478" s="1" t="s">
        <v>532</v>
      </c>
      <c r="E6478" s="1" t="s">
        <v>926</v>
      </c>
      <c r="F6478" s="1" t="s">
        <v>927</v>
      </c>
      <c r="G6478" s="1">
        <v>44.0</v>
      </c>
      <c r="H6478" s="1">
        <v>2.528735632</v>
      </c>
      <c r="I6478" s="1">
        <v>4.98</v>
      </c>
      <c r="J6478" s="1">
        <v>0.971012</v>
      </c>
    </row>
    <row r="6479">
      <c r="A6479" s="1">
        <v>2025.0</v>
      </c>
      <c r="B6479" s="1" t="s">
        <v>682</v>
      </c>
      <c r="C6479" s="1">
        <v>642048.0</v>
      </c>
      <c r="D6479" s="1" t="s">
        <v>537</v>
      </c>
      <c r="E6479" s="1" t="s">
        <v>926</v>
      </c>
      <c r="F6479" s="1" t="s">
        <v>927</v>
      </c>
      <c r="G6479" s="1">
        <v>9.0</v>
      </c>
      <c r="H6479" s="1">
        <v>0.517241379</v>
      </c>
      <c r="I6479" s="1">
        <v>2.86</v>
      </c>
      <c r="J6479" s="1">
        <v>0.589017</v>
      </c>
    </row>
    <row r="6480">
      <c r="A6480" s="1">
        <v>2025.0</v>
      </c>
      <c r="B6480" s="1" t="s">
        <v>682</v>
      </c>
      <c r="C6480" s="1">
        <v>642048.0</v>
      </c>
      <c r="D6480" s="1" t="s">
        <v>536</v>
      </c>
      <c r="E6480" s="1" t="s">
        <v>926</v>
      </c>
      <c r="F6480" s="1" t="s">
        <v>927</v>
      </c>
      <c r="G6480" s="1">
        <v>41.0</v>
      </c>
      <c r="H6480" s="1">
        <v>2.356321839</v>
      </c>
      <c r="I6480" s="1">
        <v>4.55</v>
      </c>
      <c r="J6480" s="1">
        <v>1.341773</v>
      </c>
    </row>
    <row r="6481">
      <c r="A6481" s="1">
        <v>2025.0</v>
      </c>
      <c r="B6481" s="1" t="s">
        <v>682</v>
      </c>
      <c r="C6481" s="1">
        <v>642048.0</v>
      </c>
      <c r="D6481" s="1" t="s">
        <v>533</v>
      </c>
      <c r="E6481" s="1" t="s">
        <v>926</v>
      </c>
      <c r="F6481" s="1" t="s">
        <v>927</v>
      </c>
      <c r="G6481" s="1">
        <v>8.0</v>
      </c>
      <c r="H6481" s="1">
        <v>0.459770115</v>
      </c>
      <c r="I6481" s="1">
        <v>5.3</v>
      </c>
      <c r="J6481" s="1">
        <v>0.131766</v>
      </c>
    </row>
    <row r="6482">
      <c r="A6482" s="1">
        <v>2025.0</v>
      </c>
      <c r="B6482" s="1" t="s">
        <v>682</v>
      </c>
      <c r="C6482" s="1">
        <v>642048.0</v>
      </c>
      <c r="D6482" s="1" t="s">
        <v>539</v>
      </c>
      <c r="E6482" s="1" t="s">
        <v>926</v>
      </c>
      <c r="F6482" s="1" t="s">
        <v>927</v>
      </c>
      <c r="G6482" s="1">
        <v>3.0</v>
      </c>
      <c r="H6482" s="1">
        <v>0.172413793</v>
      </c>
      <c r="I6482" s="1">
        <v>6.35</v>
      </c>
      <c r="J6482" s="1">
        <v>-0.01398</v>
      </c>
    </row>
    <row r="6483">
      <c r="A6483" s="1">
        <v>2025.0</v>
      </c>
      <c r="B6483" s="1" t="s">
        <v>447</v>
      </c>
      <c r="C6483" s="1">
        <v>605463.0</v>
      </c>
      <c r="D6483" s="1" t="s">
        <v>537</v>
      </c>
      <c r="E6483" s="1" t="s">
        <v>927</v>
      </c>
      <c r="F6483" s="1" t="s">
        <v>926</v>
      </c>
      <c r="G6483" s="1">
        <v>85.0</v>
      </c>
      <c r="H6483" s="1">
        <v>4.334577114</v>
      </c>
      <c r="I6483" s="1">
        <v>4.31</v>
      </c>
      <c r="J6483" s="1">
        <v>3.134501</v>
      </c>
    </row>
    <row r="6484">
      <c r="A6484" s="1">
        <v>2025.0</v>
      </c>
      <c r="B6484" s="1" t="s">
        <v>447</v>
      </c>
      <c r="C6484" s="1">
        <v>605463.0</v>
      </c>
      <c r="D6484" s="1" t="s">
        <v>538</v>
      </c>
      <c r="E6484" s="1" t="s">
        <v>927</v>
      </c>
      <c r="F6484" s="1" t="s">
        <v>926</v>
      </c>
      <c r="G6484" s="1">
        <v>81.0</v>
      </c>
      <c r="H6484" s="1">
        <v>4.130597015</v>
      </c>
      <c r="I6484" s="1">
        <v>5.05</v>
      </c>
      <c r="J6484" s="1">
        <v>1.717222</v>
      </c>
    </row>
    <row r="6485">
      <c r="A6485" s="1">
        <v>2025.0</v>
      </c>
      <c r="B6485" s="1" t="s">
        <v>447</v>
      </c>
      <c r="C6485" s="1">
        <v>605463.0</v>
      </c>
      <c r="D6485" s="1" t="s">
        <v>536</v>
      </c>
      <c r="E6485" s="1" t="s">
        <v>927</v>
      </c>
      <c r="F6485" s="1" t="s">
        <v>926</v>
      </c>
      <c r="G6485" s="1">
        <v>3.0</v>
      </c>
      <c r="H6485" s="1">
        <v>0.152985075</v>
      </c>
      <c r="I6485" s="1">
        <v>2.44</v>
      </c>
      <c r="J6485" s="1">
        <v>0.222608</v>
      </c>
    </row>
    <row r="6486">
      <c r="A6486" s="1">
        <v>2025.0</v>
      </c>
      <c r="B6486" s="1" t="s">
        <v>447</v>
      </c>
      <c r="C6486" s="1">
        <v>605463.0</v>
      </c>
      <c r="D6486" s="1" t="s">
        <v>533</v>
      </c>
      <c r="E6486" s="1" t="s">
        <v>927</v>
      </c>
      <c r="F6486" s="1" t="s">
        <v>926</v>
      </c>
      <c r="G6486" s="1">
        <v>32.0</v>
      </c>
      <c r="H6486" s="1">
        <v>1.631840796</v>
      </c>
      <c r="I6486" s="1">
        <v>4.73</v>
      </c>
      <c r="J6486" s="1">
        <v>0.900992</v>
      </c>
    </row>
    <row r="6487">
      <c r="A6487" s="1">
        <v>2025.0</v>
      </c>
      <c r="B6487" s="1" t="s">
        <v>447</v>
      </c>
      <c r="C6487" s="1">
        <v>605463.0</v>
      </c>
      <c r="D6487" s="1" t="s">
        <v>537</v>
      </c>
      <c r="E6487" s="1" t="s">
        <v>927</v>
      </c>
      <c r="F6487" s="1" t="s">
        <v>927</v>
      </c>
      <c r="G6487" s="1">
        <v>171.0</v>
      </c>
      <c r="H6487" s="1">
        <v>8.720149254</v>
      </c>
      <c r="I6487" s="1">
        <v>4.99</v>
      </c>
      <c r="J6487" s="1">
        <v>3.802372</v>
      </c>
    </row>
    <row r="6488">
      <c r="A6488" s="1">
        <v>2025.0</v>
      </c>
      <c r="B6488" s="1" t="s">
        <v>447</v>
      </c>
      <c r="C6488" s="1">
        <v>605463.0</v>
      </c>
      <c r="D6488" s="1" t="s">
        <v>538</v>
      </c>
      <c r="E6488" s="1" t="s">
        <v>927</v>
      </c>
      <c r="F6488" s="1" t="s">
        <v>927</v>
      </c>
      <c r="G6488" s="1">
        <v>74.0</v>
      </c>
      <c r="H6488" s="1">
        <v>3.773631841</v>
      </c>
      <c r="I6488" s="1">
        <v>5.49</v>
      </c>
      <c r="J6488" s="1">
        <v>0.801026</v>
      </c>
    </row>
    <row r="6489">
      <c r="A6489" s="1">
        <v>2025.0</v>
      </c>
      <c r="B6489" s="1" t="s">
        <v>447</v>
      </c>
      <c r="C6489" s="1">
        <v>605463.0</v>
      </c>
      <c r="D6489" s="1" t="s">
        <v>536</v>
      </c>
      <c r="E6489" s="1" t="s">
        <v>927</v>
      </c>
      <c r="F6489" s="1" t="s">
        <v>927</v>
      </c>
      <c r="G6489" s="1">
        <v>12.0</v>
      </c>
      <c r="H6489" s="1">
        <v>0.611940299</v>
      </c>
      <c r="I6489" s="1">
        <v>4.87</v>
      </c>
      <c r="J6489" s="1">
        <v>0.331261</v>
      </c>
    </row>
    <row r="6490">
      <c r="A6490" s="1">
        <v>2025.0</v>
      </c>
      <c r="B6490" s="1" t="s">
        <v>447</v>
      </c>
      <c r="C6490" s="1">
        <v>605463.0</v>
      </c>
      <c r="D6490" s="1" t="s">
        <v>533</v>
      </c>
      <c r="E6490" s="1" t="s">
        <v>927</v>
      </c>
      <c r="F6490" s="1" t="s">
        <v>927</v>
      </c>
      <c r="G6490" s="1">
        <v>78.0</v>
      </c>
      <c r="H6490" s="1">
        <v>3.97761194</v>
      </c>
      <c r="I6490" s="1">
        <v>4.67</v>
      </c>
      <c r="J6490" s="1">
        <v>2.232072</v>
      </c>
    </row>
    <row r="6491">
      <c r="A6491" s="1">
        <v>2025.0</v>
      </c>
      <c r="B6491" s="1" t="s">
        <v>199</v>
      </c>
      <c r="C6491" s="1">
        <v>664199.0</v>
      </c>
      <c r="D6491" s="1" t="s">
        <v>532</v>
      </c>
      <c r="E6491" s="1" t="s">
        <v>927</v>
      </c>
      <c r="F6491" s="1" t="s">
        <v>926</v>
      </c>
      <c r="G6491" s="1">
        <v>135.0</v>
      </c>
      <c r="H6491" s="1">
        <v>8.777908343</v>
      </c>
      <c r="I6491" s="1">
        <v>4.65</v>
      </c>
      <c r="J6491" s="1">
        <v>3.875471</v>
      </c>
    </row>
    <row r="6492">
      <c r="A6492" s="1">
        <v>2025.0</v>
      </c>
      <c r="B6492" s="1" t="s">
        <v>199</v>
      </c>
      <c r="C6492" s="1">
        <v>664199.0</v>
      </c>
      <c r="D6492" s="1" t="s">
        <v>537</v>
      </c>
      <c r="E6492" s="1" t="s">
        <v>927</v>
      </c>
      <c r="F6492" s="1" t="s">
        <v>926</v>
      </c>
      <c r="G6492" s="1">
        <v>134.0</v>
      </c>
      <c r="H6492" s="1">
        <v>8.7128868</v>
      </c>
      <c r="I6492" s="1">
        <v>4.55</v>
      </c>
      <c r="J6492" s="1">
        <v>4.125855</v>
      </c>
    </row>
    <row r="6493">
      <c r="A6493" s="1">
        <v>2025.0</v>
      </c>
      <c r="B6493" s="1" t="s">
        <v>199</v>
      </c>
      <c r="C6493" s="1">
        <v>664199.0</v>
      </c>
      <c r="D6493" s="1" t="s">
        <v>536</v>
      </c>
      <c r="E6493" s="1" t="s">
        <v>927</v>
      </c>
      <c r="F6493" s="1" t="s">
        <v>926</v>
      </c>
      <c r="G6493" s="1">
        <v>35.0</v>
      </c>
      <c r="H6493" s="1">
        <v>2.275754015</v>
      </c>
      <c r="I6493" s="1">
        <v>4.99</v>
      </c>
      <c r="J6493" s="1">
        <v>0.778562</v>
      </c>
    </row>
    <row r="6494">
      <c r="A6494" s="1">
        <v>2025.0</v>
      </c>
      <c r="B6494" s="1" t="s">
        <v>199</v>
      </c>
      <c r="C6494" s="1">
        <v>664199.0</v>
      </c>
      <c r="D6494" s="1" t="s">
        <v>533</v>
      </c>
      <c r="E6494" s="1" t="s">
        <v>927</v>
      </c>
      <c r="F6494" s="1" t="s">
        <v>926</v>
      </c>
      <c r="G6494" s="1">
        <v>126.0</v>
      </c>
      <c r="H6494" s="1">
        <v>8.192714454</v>
      </c>
      <c r="I6494" s="1">
        <v>5.21</v>
      </c>
      <c r="J6494" s="1">
        <v>2.229425</v>
      </c>
    </row>
    <row r="6495">
      <c r="A6495" s="1">
        <v>2025.0</v>
      </c>
      <c r="B6495" s="1" t="s">
        <v>199</v>
      </c>
      <c r="C6495" s="1">
        <v>664199.0</v>
      </c>
      <c r="D6495" s="1" t="s">
        <v>539</v>
      </c>
      <c r="E6495" s="1" t="s">
        <v>927</v>
      </c>
      <c r="F6495" s="1" t="s">
        <v>926</v>
      </c>
      <c r="G6495" s="1">
        <v>1.0</v>
      </c>
      <c r="H6495" s="1">
        <v>0.065021543</v>
      </c>
      <c r="I6495" s="1">
        <v>5.53</v>
      </c>
      <c r="J6495" s="1">
        <v>0.005291</v>
      </c>
    </row>
    <row r="6496">
      <c r="A6496" s="1">
        <v>2025.0</v>
      </c>
      <c r="B6496" s="1" t="s">
        <v>199</v>
      </c>
      <c r="C6496" s="1">
        <v>664199.0</v>
      </c>
      <c r="D6496" s="1" t="s">
        <v>532</v>
      </c>
      <c r="E6496" s="1" t="s">
        <v>927</v>
      </c>
      <c r="F6496" s="1" t="s">
        <v>927</v>
      </c>
      <c r="G6496" s="1">
        <v>37.0</v>
      </c>
      <c r="H6496" s="1">
        <v>2.405797101</v>
      </c>
      <c r="I6496" s="1">
        <v>5.84</v>
      </c>
      <c r="J6496" s="1">
        <v>0.149164</v>
      </c>
    </row>
    <row r="6497">
      <c r="A6497" s="1">
        <v>2025.0</v>
      </c>
      <c r="B6497" s="1" t="s">
        <v>199</v>
      </c>
      <c r="C6497" s="1">
        <v>664199.0</v>
      </c>
      <c r="D6497" s="1" t="s">
        <v>537</v>
      </c>
      <c r="E6497" s="1" t="s">
        <v>927</v>
      </c>
      <c r="F6497" s="1" t="s">
        <v>927</v>
      </c>
      <c r="G6497" s="1">
        <v>56.0</v>
      </c>
      <c r="H6497" s="1">
        <v>3.641206424</v>
      </c>
      <c r="I6497" s="1">
        <v>4.87</v>
      </c>
      <c r="J6497" s="1">
        <v>1.439131</v>
      </c>
    </row>
    <row r="6498">
      <c r="A6498" s="1">
        <v>2025.0</v>
      </c>
      <c r="B6498" s="1" t="s">
        <v>199</v>
      </c>
      <c r="C6498" s="1">
        <v>664199.0</v>
      </c>
      <c r="D6498" s="1" t="s">
        <v>536</v>
      </c>
      <c r="E6498" s="1" t="s">
        <v>927</v>
      </c>
      <c r="F6498" s="1" t="s">
        <v>927</v>
      </c>
      <c r="G6498" s="1">
        <v>117.0</v>
      </c>
      <c r="H6498" s="1">
        <v>7.607520564</v>
      </c>
      <c r="I6498" s="1">
        <v>4.95</v>
      </c>
      <c r="J6498" s="1">
        <v>2.769733</v>
      </c>
    </row>
    <row r="6499">
      <c r="A6499" s="1">
        <v>2025.0</v>
      </c>
      <c r="B6499" s="1" t="s">
        <v>199</v>
      </c>
      <c r="C6499" s="1">
        <v>664199.0</v>
      </c>
      <c r="D6499" s="1" t="s">
        <v>533</v>
      </c>
      <c r="E6499" s="1" t="s">
        <v>927</v>
      </c>
      <c r="F6499" s="1" t="s">
        <v>927</v>
      </c>
      <c r="G6499" s="1">
        <v>210.0</v>
      </c>
      <c r="H6499" s="1">
        <v>13.65452409</v>
      </c>
      <c r="I6499" s="1">
        <v>5.48</v>
      </c>
      <c r="J6499" s="1">
        <v>2.594956</v>
      </c>
    </row>
    <row r="6500">
      <c r="A6500" s="1">
        <v>2025.0</v>
      </c>
      <c r="B6500" s="1" t="s">
        <v>613</v>
      </c>
      <c r="C6500" s="1">
        <v>688497.0</v>
      </c>
      <c r="D6500" s="1" t="s">
        <v>541</v>
      </c>
      <c r="E6500" s="1" t="s">
        <v>927</v>
      </c>
      <c r="F6500" s="1" t="s">
        <v>926</v>
      </c>
      <c r="G6500" s="1">
        <v>19.0</v>
      </c>
      <c r="H6500" s="1">
        <v>0.972831766</v>
      </c>
      <c r="I6500" s="1">
        <v>5.1</v>
      </c>
      <c r="J6500" s="1">
        <v>0.404398</v>
      </c>
    </row>
    <row r="6501">
      <c r="A6501" s="1">
        <v>2025.0</v>
      </c>
      <c r="B6501" s="1" t="s">
        <v>613</v>
      </c>
      <c r="C6501" s="1">
        <v>688497.0</v>
      </c>
      <c r="D6501" s="1" t="s">
        <v>537</v>
      </c>
      <c r="E6501" s="1" t="s">
        <v>927</v>
      </c>
      <c r="F6501" s="1" t="s">
        <v>926</v>
      </c>
      <c r="G6501" s="1">
        <v>84.0</v>
      </c>
      <c r="H6501" s="1">
        <v>4.300940439</v>
      </c>
      <c r="I6501" s="1">
        <v>4.9</v>
      </c>
      <c r="J6501" s="1">
        <v>2.087738</v>
      </c>
    </row>
    <row r="6502">
      <c r="A6502" s="1">
        <v>2025.0</v>
      </c>
      <c r="B6502" s="1" t="s">
        <v>613</v>
      </c>
      <c r="C6502" s="1">
        <v>688497.0</v>
      </c>
      <c r="D6502" s="1" t="s">
        <v>538</v>
      </c>
      <c r="E6502" s="1" t="s">
        <v>927</v>
      </c>
      <c r="F6502" s="1" t="s">
        <v>926</v>
      </c>
      <c r="G6502" s="1">
        <v>39.0</v>
      </c>
      <c r="H6502" s="1">
        <v>1.996865204</v>
      </c>
      <c r="I6502" s="1">
        <v>4.53</v>
      </c>
      <c r="J6502" s="1">
        <v>1.240669</v>
      </c>
    </row>
    <row r="6503">
      <c r="A6503" s="1">
        <v>2025.0</v>
      </c>
      <c r="B6503" s="1" t="s">
        <v>613</v>
      </c>
      <c r="C6503" s="1">
        <v>688497.0</v>
      </c>
      <c r="D6503" s="1" t="s">
        <v>533</v>
      </c>
      <c r="E6503" s="1" t="s">
        <v>927</v>
      </c>
      <c r="F6503" s="1" t="s">
        <v>926</v>
      </c>
      <c r="G6503" s="1">
        <v>1.0</v>
      </c>
      <c r="H6503" s="1">
        <v>0.051201672</v>
      </c>
      <c r="I6503" s="1">
        <v>5.92</v>
      </c>
      <c r="J6503" s="1">
        <v>0.005732</v>
      </c>
    </row>
    <row r="6504">
      <c r="A6504" s="1">
        <v>2025.0</v>
      </c>
      <c r="B6504" s="1" t="s">
        <v>613</v>
      </c>
      <c r="C6504" s="1">
        <v>688497.0</v>
      </c>
      <c r="D6504" s="1" t="s">
        <v>541</v>
      </c>
      <c r="E6504" s="1" t="s">
        <v>927</v>
      </c>
      <c r="F6504" s="1" t="s">
        <v>927</v>
      </c>
      <c r="G6504" s="1">
        <v>9.0</v>
      </c>
      <c r="H6504" s="1">
        <v>0.460815047</v>
      </c>
      <c r="I6504" s="1">
        <v>5.76</v>
      </c>
      <c r="J6504" s="1">
        <v>0.073761</v>
      </c>
    </row>
    <row r="6505">
      <c r="A6505" s="1">
        <v>2025.0</v>
      </c>
      <c r="B6505" s="1" t="s">
        <v>613</v>
      </c>
      <c r="C6505" s="1">
        <v>688497.0</v>
      </c>
      <c r="D6505" s="1" t="s">
        <v>537</v>
      </c>
      <c r="E6505" s="1" t="s">
        <v>927</v>
      </c>
      <c r="F6505" s="1" t="s">
        <v>927</v>
      </c>
      <c r="G6505" s="1">
        <v>94.0</v>
      </c>
      <c r="H6505" s="1">
        <v>4.812957158</v>
      </c>
      <c r="I6505" s="1">
        <v>4.71</v>
      </c>
      <c r="J6505" s="1">
        <v>2.740481</v>
      </c>
    </row>
    <row r="6506">
      <c r="A6506" s="1">
        <v>2025.0</v>
      </c>
      <c r="B6506" s="1" t="s">
        <v>613</v>
      </c>
      <c r="C6506" s="1">
        <v>688497.0</v>
      </c>
      <c r="D6506" s="1" t="s">
        <v>538</v>
      </c>
      <c r="E6506" s="1" t="s">
        <v>927</v>
      </c>
      <c r="F6506" s="1" t="s">
        <v>927</v>
      </c>
      <c r="G6506" s="1">
        <v>39.0</v>
      </c>
      <c r="H6506" s="1">
        <v>1.996865204</v>
      </c>
      <c r="I6506" s="1">
        <v>4.63</v>
      </c>
      <c r="J6506" s="1">
        <v>1.113493</v>
      </c>
    </row>
    <row r="6507">
      <c r="A6507" s="1">
        <v>2025.0</v>
      </c>
      <c r="B6507" s="1" t="s">
        <v>613</v>
      </c>
      <c r="C6507" s="1">
        <v>688497.0</v>
      </c>
      <c r="D6507" s="1" t="s">
        <v>533</v>
      </c>
      <c r="E6507" s="1" t="s">
        <v>927</v>
      </c>
      <c r="F6507" s="1" t="s">
        <v>927</v>
      </c>
      <c r="G6507" s="1">
        <v>34.0</v>
      </c>
      <c r="H6507" s="1">
        <v>1.740856844</v>
      </c>
      <c r="I6507" s="1">
        <v>5.09</v>
      </c>
      <c r="J6507" s="1">
        <v>0.7411</v>
      </c>
    </row>
    <row r="6508">
      <c r="A6508" s="1">
        <v>2025.0</v>
      </c>
      <c r="B6508" s="1" t="s">
        <v>362</v>
      </c>
      <c r="C6508" s="1">
        <v>573124.0</v>
      </c>
      <c r="D6508" s="1" t="s">
        <v>536</v>
      </c>
      <c r="E6508" s="1" t="s">
        <v>926</v>
      </c>
      <c r="F6508" s="1" t="s">
        <v>926</v>
      </c>
      <c r="G6508" s="1">
        <v>182.0</v>
      </c>
      <c r="H6508" s="1">
        <v>10.32624113</v>
      </c>
      <c r="I6508" s="1">
        <v>5.06</v>
      </c>
      <c r="J6508" s="1">
        <v>3.712882</v>
      </c>
    </row>
    <row r="6509">
      <c r="A6509" s="1">
        <v>2025.0</v>
      </c>
      <c r="B6509" s="1" t="s">
        <v>362</v>
      </c>
      <c r="C6509" s="1">
        <v>573124.0</v>
      </c>
      <c r="D6509" s="1" t="s">
        <v>539</v>
      </c>
      <c r="E6509" s="1" t="s">
        <v>926</v>
      </c>
      <c r="F6509" s="1" t="s">
        <v>926</v>
      </c>
      <c r="G6509" s="1">
        <v>226.0</v>
      </c>
      <c r="H6509" s="1">
        <v>12.82269504</v>
      </c>
      <c r="I6509" s="1">
        <v>5.23</v>
      </c>
      <c r="J6509" s="1">
        <v>3.7745</v>
      </c>
    </row>
    <row r="6510">
      <c r="A6510" s="1">
        <v>2025.0</v>
      </c>
      <c r="B6510" s="1" t="s">
        <v>362</v>
      </c>
      <c r="C6510" s="1">
        <v>573124.0</v>
      </c>
      <c r="D6510" s="1" t="s">
        <v>537</v>
      </c>
      <c r="E6510" s="1" t="s">
        <v>926</v>
      </c>
      <c r="F6510" s="1" t="s">
        <v>927</v>
      </c>
      <c r="G6510" s="1">
        <v>1.0</v>
      </c>
      <c r="H6510" s="1">
        <v>0.056737589</v>
      </c>
      <c r="I6510" s="1">
        <v>4.12</v>
      </c>
      <c r="J6510" s="1">
        <v>0.040694</v>
      </c>
    </row>
    <row r="6511">
      <c r="A6511" s="1">
        <v>2025.0</v>
      </c>
      <c r="B6511" s="1" t="s">
        <v>362</v>
      </c>
      <c r="C6511" s="1">
        <v>573124.0</v>
      </c>
      <c r="D6511" s="1" t="s">
        <v>536</v>
      </c>
      <c r="E6511" s="1" t="s">
        <v>926</v>
      </c>
      <c r="F6511" s="1" t="s">
        <v>927</v>
      </c>
      <c r="G6511" s="1">
        <v>255.0</v>
      </c>
      <c r="H6511" s="1">
        <v>14.46808511</v>
      </c>
      <c r="I6511" s="1">
        <v>4.44</v>
      </c>
      <c r="J6511" s="1">
        <v>8.429125</v>
      </c>
    </row>
    <row r="6512">
      <c r="A6512" s="1">
        <v>2025.0</v>
      </c>
      <c r="B6512" s="1" t="s">
        <v>362</v>
      </c>
      <c r="C6512" s="1">
        <v>573124.0</v>
      </c>
      <c r="D6512" s="1" t="s">
        <v>539</v>
      </c>
      <c r="E6512" s="1" t="s">
        <v>926</v>
      </c>
      <c r="F6512" s="1" t="s">
        <v>927</v>
      </c>
      <c r="G6512" s="1">
        <v>229.0</v>
      </c>
      <c r="H6512" s="1">
        <v>12.9929078</v>
      </c>
      <c r="I6512" s="1">
        <v>5.22</v>
      </c>
      <c r="J6512" s="1">
        <v>3.832007</v>
      </c>
    </row>
    <row r="6513">
      <c r="A6513" s="1">
        <v>2025.0</v>
      </c>
      <c r="B6513" s="1" t="s">
        <v>618</v>
      </c>
      <c r="C6513" s="1">
        <v>802419.0</v>
      </c>
      <c r="D6513" s="1" t="s">
        <v>540</v>
      </c>
      <c r="E6513" s="1" t="s">
        <v>927</v>
      </c>
      <c r="F6513" s="1" t="s">
        <v>926</v>
      </c>
      <c r="G6513" s="1">
        <v>5.0</v>
      </c>
      <c r="H6513" s="1">
        <v>0.217755444</v>
      </c>
      <c r="I6513" s="1">
        <v>5.38</v>
      </c>
      <c r="J6513" s="1">
        <v>0.07782</v>
      </c>
    </row>
    <row r="6514">
      <c r="A6514" s="1">
        <v>2025.0</v>
      </c>
      <c r="B6514" s="1" t="s">
        <v>618</v>
      </c>
      <c r="C6514" s="1">
        <v>802419.0</v>
      </c>
      <c r="D6514" s="1" t="s">
        <v>537</v>
      </c>
      <c r="E6514" s="1" t="s">
        <v>927</v>
      </c>
      <c r="F6514" s="1" t="s">
        <v>926</v>
      </c>
      <c r="G6514" s="1">
        <v>35.0</v>
      </c>
      <c r="H6514" s="1">
        <v>1.524288107</v>
      </c>
      <c r="I6514" s="1">
        <v>4.71</v>
      </c>
      <c r="J6514" s="1">
        <v>0.972463</v>
      </c>
    </row>
    <row r="6515">
      <c r="A6515" s="1">
        <v>2025.0</v>
      </c>
      <c r="B6515" s="1" t="s">
        <v>618</v>
      </c>
      <c r="C6515" s="1">
        <v>802419.0</v>
      </c>
      <c r="D6515" s="1" t="s">
        <v>538</v>
      </c>
      <c r="E6515" s="1" t="s">
        <v>927</v>
      </c>
      <c r="F6515" s="1" t="s">
        <v>926</v>
      </c>
      <c r="G6515" s="1">
        <v>22.0</v>
      </c>
      <c r="H6515" s="1">
        <v>0.958123953</v>
      </c>
      <c r="I6515" s="1">
        <v>4.83</v>
      </c>
      <c r="J6515" s="1">
        <v>0.579073</v>
      </c>
    </row>
    <row r="6516">
      <c r="A6516" s="1">
        <v>2025.0</v>
      </c>
      <c r="B6516" s="1" t="s">
        <v>618</v>
      </c>
      <c r="C6516" s="1">
        <v>802419.0</v>
      </c>
      <c r="D6516" s="1" t="s">
        <v>533</v>
      </c>
      <c r="E6516" s="1" t="s">
        <v>927</v>
      </c>
      <c r="F6516" s="1" t="s">
        <v>926</v>
      </c>
      <c r="G6516" s="1">
        <v>2.0</v>
      </c>
      <c r="H6516" s="1">
        <v>0.087102178</v>
      </c>
      <c r="I6516" s="1">
        <v>4.35</v>
      </c>
      <c r="J6516" s="1">
        <v>0.068309</v>
      </c>
    </row>
    <row r="6517">
      <c r="A6517" s="1">
        <v>2025.0</v>
      </c>
      <c r="B6517" s="1" t="s">
        <v>618</v>
      </c>
      <c r="C6517" s="1">
        <v>802419.0</v>
      </c>
      <c r="D6517" s="1" t="s">
        <v>539</v>
      </c>
      <c r="E6517" s="1" t="s">
        <v>927</v>
      </c>
      <c r="F6517" s="1" t="s">
        <v>926</v>
      </c>
      <c r="G6517" s="1">
        <v>7.0</v>
      </c>
      <c r="H6517" s="1">
        <v>0.304857621</v>
      </c>
      <c r="I6517" s="1">
        <v>5.15</v>
      </c>
      <c r="J6517" s="1">
        <v>0.122721</v>
      </c>
    </row>
    <row r="6518">
      <c r="A6518" s="1">
        <v>2025.0</v>
      </c>
      <c r="B6518" s="1" t="s">
        <v>618</v>
      </c>
      <c r="C6518" s="1">
        <v>802419.0</v>
      </c>
      <c r="D6518" s="1" t="s">
        <v>540</v>
      </c>
      <c r="E6518" s="1" t="s">
        <v>927</v>
      </c>
      <c r="F6518" s="1" t="s">
        <v>927</v>
      </c>
      <c r="G6518" s="1">
        <v>15.0</v>
      </c>
      <c r="H6518" s="1">
        <v>0.653266332</v>
      </c>
      <c r="I6518" s="1">
        <v>5.3</v>
      </c>
      <c r="J6518" s="1">
        <v>0.28261</v>
      </c>
    </row>
    <row r="6519">
      <c r="A6519" s="1">
        <v>2025.0</v>
      </c>
      <c r="B6519" s="1" t="s">
        <v>618</v>
      </c>
      <c r="C6519" s="1">
        <v>802419.0</v>
      </c>
      <c r="D6519" s="1" t="s">
        <v>537</v>
      </c>
      <c r="E6519" s="1" t="s">
        <v>927</v>
      </c>
      <c r="F6519" s="1" t="s">
        <v>927</v>
      </c>
      <c r="G6519" s="1">
        <v>58.0</v>
      </c>
      <c r="H6519" s="1">
        <v>2.525963149</v>
      </c>
      <c r="I6519" s="1">
        <v>5.04</v>
      </c>
      <c r="J6519" s="1">
        <v>1.417761</v>
      </c>
    </row>
    <row r="6520">
      <c r="A6520" s="1">
        <v>2025.0</v>
      </c>
      <c r="B6520" s="1" t="s">
        <v>618</v>
      </c>
      <c r="C6520" s="1">
        <v>802419.0</v>
      </c>
      <c r="D6520" s="1" t="s">
        <v>538</v>
      </c>
      <c r="E6520" s="1" t="s">
        <v>927</v>
      </c>
      <c r="F6520" s="1" t="s">
        <v>927</v>
      </c>
      <c r="G6520" s="1">
        <v>25.0</v>
      </c>
      <c r="H6520" s="1">
        <v>1.088777219</v>
      </c>
      <c r="I6520" s="1">
        <v>4.75</v>
      </c>
      <c r="J6520" s="1">
        <v>0.684117</v>
      </c>
    </row>
    <row r="6521">
      <c r="A6521" s="1">
        <v>2025.0</v>
      </c>
      <c r="B6521" s="1" t="s">
        <v>618</v>
      </c>
      <c r="C6521" s="1">
        <v>802419.0</v>
      </c>
      <c r="D6521" s="1" t="s">
        <v>533</v>
      </c>
      <c r="E6521" s="1" t="s">
        <v>927</v>
      </c>
      <c r="F6521" s="1" t="s">
        <v>927</v>
      </c>
      <c r="G6521" s="1">
        <v>14.0</v>
      </c>
      <c r="H6521" s="1">
        <v>0.609715243</v>
      </c>
      <c r="I6521" s="1">
        <v>5.21</v>
      </c>
      <c r="J6521" s="1">
        <v>0.229533</v>
      </c>
    </row>
    <row r="6522">
      <c r="A6522" s="1">
        <v>2025.0</v>
      </c>
      <c r="B6522" s="1" t="s">
        <v>618</v>
      </c>
      <c r="C6522" s="1">
        <v>802419.0</v>
      </c>
      <c r="D6522" s="1" t="s">
        <v>539</v>
      </c>
      <c r="E6522" s="1" t="s">
        <v>927</v>
      </c>
      <c r="F6522" s="1" t="s">
        <v>927</v>
      </c>
      <c r="G6522" s="1">
        <v>16.0</v>
      </c>
      <c r="H6522" s="1">
        <v>0.69681742</v>
      </c>
      <c r="I6522" s="1">
        <v>4.94</v>
      </c>
      <c r="J6522" s="1">
        <v>0.380785</v>
      </c>
    </row>
    <row r="6523">
      <c r="A6523" s="1">
        <v>2025.0</v>
      </c>
      <c r="B6523" s="1" t="s">
        <v>465</v>
      </c>
      <c r="C6523" s="1">
        <v>641672.0</v>
      </c>
      <c r="D6523" s="1" t="s">
        <v>532</v>
      </c>
      <c r="E6523" s="1" t="s">
        <v>927</v>
      </c>
      <c r="F6523" s="1" t="s">
        <v>926</v>
      </c>
      <c r="G6523" s="1">
        <v>85.0</v>
      </c>
      <c r="H6523" s="1">
        <v>4.94017094</v>
      </c>
      <c r="I6523" s="1">
        <v>4.82</v>
      </c>
      <c r="J6523" s="1">
        <v>2.287094</v>
      </c>
    </row>
    <row r="6524">
      <c r="A6524" s="1">
        <v>2025.0</v>
      </c>
      <c r="B6524" s="1" t="s">
        <v>465</v>
      </c>
      <c r="C6524" s="1">
        <v>641672.0</v>
      </c>
      <c r="D6524" s="1" t="s">
        <v>540</v>
      </c>
      <c r="E6524" s="1" t="s">
        <v>927</v>
      </c>
      <c r="F6524" s="1" t="s">
        <v>926</v>
      </c>
      <c r="G6524" s="1">
        <v>105.0</v>
      </c>
      <c r="H6524" s="1">
        <v>6.102564103</v>
      </c>
      <c r="I6524" s="1">
        <v>5.09</v>
      </c>
      <c r="J6524" s="1">
        <v>2.303034</v>
      </c>
    </row>
    <row r="6525">
      <c r="A6525" s="1">
        <v>2025.0</v>
      </c>
      <c r="B6525" s="1" t="s">
        <v>465</v>
      </c>
      <c r="C6525" s="1">
        <v>641672.0</v>
      </c>
      <c r="D6525" s="1" t="s">
        <v>537</v>
      </c>
      <c r="E6525" s="1" t="s">
        <v>927</v>
      </c>
      <c r="F6525" s="1" t="s">
        <v>926</v>
      </c>
      <c r="G6525" s="1">
        <v>56.0</v>
      </c>
      <c r="H6525" s="1">
        <v>3.254700855</v>
      </c>
      <c r="I6525" s="1">
        <v>4.71</v>
      </c>
      <c r="J6525" s="1">
        <v>1.609432</v>
      </c>
    </row>
    <row r="6526">
      <c r="A6526" s="1">
        <v>2025.0</v>
      </c>
      <c r="B6526" s="1" t="s">
        <v>465</v>
      </c>
      <c r="C6526" s="1">
        <v>641672.0</v>
      </c>
      <c r="D6526" s="1" t="s">
        <v>536</v>
      </c>
      <c r="E6526" s="1" t="s">
        <v>927</v>
      </c>
      <c r="F6526" s="1" t="s">
        <v>926</v>
      </c>
      <c r="G6526" s="1">
        <v>29.0</v>
      </c>
      <c r="H6526" s="1">
        <v>1.685470085</v>
      </c>
      <c r="I6526" s="1">
        <v>4.63</v>
      </c>
      <c r="J6526" s="1">
        <v>0.881736</v>
      </c>
    </row>
    <row r="6527">
      <c r="A6527" s="1">
        <v>2025.0</v>
      </c>
      <c r="B6527" s="1" t="s">
        <v>465</v>
      </c>
      <c r="C6527" s="1">
        <v>641672.0</v>
      </c>
      <c r="D6527" s="1" t="s">
        <v>533</v>
      </c>
      <c r="E6527" s="1" t="s">
        <v>927</v>
      </c>
      <c r="F6527" s="1" t="s">
        <v>926</v>
      </c>
      <c r="G6527" s="1">
        <v>54.0</v>
      </c>
      <c r="H6527" s="1">
        <v>3.138461538</v>
      </c>
      <c r="I6527" s="1">
        <v>5.05</v>
      </c>
      <c r="J6527" s="1">
        <v>1.166815</v>
      </c>
    </row>
    <row r="6528">
      <c r="A6528" s="1">
        <v>2025.0</v>
      </c>
      <c r="B6528" s="1" t="s">
        <v>465</v>
      </c>
      <c r="C6528" s="1">
        <v>641672.0</v>
      </c>
      <c r="D6528" s="1" t="s">
        <v>539</v>
      </c>
      <c r="E6528" s="1" t="s">
        <v>927</v>
      </c>
      <c r="F6528" s="1" t="s">
        <v>926</v>
      </c>
      <c r="G6528" s="1">
        <v>13.0</v>
      </c>
      <c r="H6528" s="1">
        <v>0.755555556</v>
      </c>
      <c r="I6528" s="1">
        <v>4.93</v>
      </c>
      <c r="J6528" s="1">
        <v>0.317354</v>
      </c>
    </row>
    <row r="6529">
      <c r="A6529" s="1">
        <v>2025.0</v>
      </c>
      <c r="B6529" s="1" t="s">
        <v>465</v>
      </c>
      <c r="C6529" s="1">
        <v>641672.0</v>
      </c>
      <c r="D6529" s="1" t="s">
        <v>532</v>
      </c>
      <c r="E6529" s="1" t="s">
        <v>927</v>
      </c>
      <c r="F6529" s="1" t="s">
        <v>927</v>
      </c>
      <c r="G6529" s="1">
        <v>18.0</v>
      </c>
      <c r="H6529" s="1">
        <v>1.046153846</v>
      </c>
      <c r="I6529" s="1">
        <v>4.51</v>
      </c>
      <c r="J6529" s="1">
        <v>0.576311</v>
      </c>
    </row>
    <row r="6530">
      <c r="A6530" s="1">
        <v>2025.0</v>
      </c>
      <c r="B6530" s="1" t="s">
        <v>465</v>
      </c>
      <c r="C6530" s="1">
        <v>641672.0</v>
      </c>
      <c r="D6530" s="1" t="s">
        <v>540</v>
      </c>
      <c r="E6530" s="1" t="s">
        <v>927</v>
      </c>
      <c r="F6530" s="1" t="s">
        <v>927</v>
      </c>
      <c r="G6530" s="1">
        <v>56.0</v>
      </c>
      <c r="H6530" s="1">
        <v>3.254700855</v>
      </c>
      <c r="I6530" s="1">
        <v>5.47</v>
      </c>
      <c r="J6530" s="1">
        <v>0.7775</v>
      </c>
    </row>
    <row r="6531">
      <c r="A6531" s="1">
        <v>2025.0</v>
      </c>
      <c r="B6531" s="1" t="s">
        <v>465</v>
      </c>
      <c r="C6531" s="1">
        <v>641672.0</v>
      </c>
      <c r="D6531" s="1" t="s">
        <v>537</v>
      </c>
      <c r="E6531" s="1" t="s">
        <v>927</v>
      </c>
      <c r="F6531" s="1" t="s">
        <v>927</v>
      </c>
      <c r="G6531" s="1">
        <v>13.0</v>
      </c>
      <c r="H6531" s="1">
        <v>0.755555556</v>
      </c>
      <c r="I6531" s="1">
        <v>4.68</v>
      </c>
      <c r="J6531" s="1">
        <v>0.380301</v>
      </c>
    </row>
    <row r="6532">
      <c r="A6532" s="1">
        <v>2025.0</v>
      </c>
      <c r="B6532" s="1" t="s">
        <v>465</v>
      </c>
      <c r="C6532" s="1">
        <v>641672.0</v>
      </c>
      <c r="D6532" s="1" t="s">
        <v>536</v>
      </c>
      <c r="E6532" s="1" t="s">
        <v>927</v>
      </c>
      <c r="F6532" s="1" t="s">
        <v>927</v>
      </c>
      <c r="G6532" s="1">
        <v>73.0</v>
      </c>
      <c r="H6532" s="1">
        <v>4.242735043</v>
      </c>
      <c r="I6532" s="1">
        <v>5.14</v>
      </c>
      <c r="J6532" s="1">
        <v>1.465869</v>
      </c>
    </row>
    <row r="6533">
      <c r="A6533" s="1">
        <v>2025.0</v>
      </c>
      <c r="B6533" s="1" t="s">
        <v>465</v>
      </c>
      <c r="C6533" s="1">
        <v>641672.0</v>
      </c>
      <c r="D6533" s="1" t="s">
        <v>533</v>
      </c>
      <c r="E6533" s="1" t="s">
        <v>927</v>
      </c>
      <c r="F6533" s="1" t="s">
        <v>927</v>
      </c>
      <c r="G6533" s="1">
        <v>54.0</v>
      </c>
      <c r="H6533" s="1">
        <v>3.138461538</v>
      </c>
      <c r="I6533" s="1">
        <v>4.73</v>
      </c>
      <c r="J6533" s="1">
        <v>1.545609</v>
      </c>
    </row>
    <row r="6534">
      <c r="A6534" s="1">
        <v>2025.0</v>
      </c>
      <c r="B6534" s="1" t="s">
        <v>465</v>
      </c>
      <c r="C6534" s="1">
        <v>641672.0</v>
      </c>
      <c r="D6534" s="1" t="s">
        <v>539</v>
      </c>
      <c r="E6534" s="1" t="s">
        <v>927</v>
      </c>
      <c r="F6534" s="1" t="s">
        <v>927</v>
      </c>
      <c r="G6534" s="1">
        <v>29.0</v>
      </c>
      <c r="H6534" s="1">
        <v>1.685470085</v>
      </c>
      <c r="I6534" s="1">
        <v>4.14</v>
      </c>
      <c r="J6534" s="1">
        <v>1.147458</v>
      </c>
    </row>
    <row r="6535">
      <c r="A6535" s="1">
        <v>2025.0</v>
      </c>
      <c r="B6535" s="1" t="s">
        <v>519</v>
      </c>
      <c r="C6535" s="1">
        <v>682120.0</v>
      </c>
      <c r="D6535" s="1" t="s">
        <v>541</v>
      </c>
      <c r="E6535" s="1" t="s">
        <v>926</v>
      </c>
      <c r="F6535" s="1" t="s">
        <v>926</v>
      </c>
      <c r="G6535" s="1">
        <v>108.0</v>
      </c>
      <c r="H6535" s="1">
        <v>6.144</v>
      </c>
      <c r="I6535" s="1">
        <v>4.63</v>
      </c>
      <c r="J6535" s="1">
        <v>3.094684</v>
      </c>
    </row>
    <row r="6536">
      <c r="A6536" s="1">
        <v>2025.0</v>
      </c>
      <c r="B6536" s="1" t="s">
        <v>519</v>
      </c>
      <c r="C6536" s="1">
        <v>682120.0</v>
      </c>
      <c r="D6536" s="1" t="s">
        <v>537</v>
      </c>
      <c r="E6536" s="1" t="s">
        <v>926</v>
      </c>
      <c r="F6536" s="1" t="s">
        <v>926</v>
      </c>
      <c r="G6536" s="1">
        <v>57.0</v>
      </c>
      <c r="H6536" s="1">
        <v>3.242666667</v>
      </c>
      <c r="I6536" s="1">
        <v>4.32</v>
      </c>
      <c r="J6536" s="1">
        <v>2.057962</v>
      </c>
    </row>
    <row r="6537">
      <c r="A6537" s="1">
        <v>2025.0</v>
      </c>
      <c r="B6537" s="1" t="s">
        <v>519</v>
      </c>
      <c r="C6537" s="1">
        <v>682120.0</v>
      </c>
      <c r="D6537" s="1" t="s">
        <v>536</v>
      </c>
      <c r="E6537" s="1" t="s">
        <v>926</v>
      </c>
      <c r="F6537" s="1" t="s">
        <v>926</v>
      </c>
      <c r="G6537" s="1">
        <v>102.0</v>
      </c>
      <c r="H6537" s="1">
        <v>5.802666667</v>
      </c>
      <c r="I6537" s="1">
        <v>4.64</v>
      </c>
      <c r="J6537" s="1">
        <v>3.058028</v>
      </c>
    </row>
    <row r="6538">
      <c r="A6538" s="1">
        <v>2025.0</v>
      </c>
      <c r="B6538" s="1" t="s">
        <v>519</v>
      </c>
      <c r="C6538" s="1">
        <v>682120.0</v>
      </c>
      <c r="D6538" s="1" t="s">
        <v>533</v>
      </c>
      <c r="E6538" s="1" t="s">
        <v>926</v>
      </c>
      <c r="F6538" s="1" t="s">
        <v>926</v>
      </c>
      <c r="G6538" s="1">
        <v>84.0</v>
      </c>
      <c r="H6538" s="1">
        <v>4.778666667</v>
      </c>
      <c r="I6538" s="1">
        <v>4.92</v>
      </c>
      <c r="J6538" s="1">
        <v>1.972545</v>
      </c>
    </row>
    <row r="6539">
      <c r="A6539" s="1">
        <v>2025.0</v>
      </c>
      <c r="B6539" s="1" t="s">
        <v>519</v>
      </c>
      <c r="C6539" s="1">
        <v>682120.0</v>
      </c>
      <c r="D6539" s="1" t="s">
        <v>541</v>
      </c>
      <c r="E6539" s="1" t="s">
        <v>926</v>
      </c>
      <c r="F6539" s="1" t="s">
        <v>927</v>
      </c>
      <c r="G6539" s="1">
        <v>187.0</v>
      </c>
      <c r="H6539" s="1">
        <v>10.63822222</v>
      </c>
      <c r="I6539" s="1">
        <v>4.62</v>
      </c>
      <c r="J6539" s="1">
        <v>5.479231</v>
      </c>
    </row>
    <row r="6540">
      <c r="A6540" s="1">
        <v>2025.0</v>
      </c>
      <c r="B6540" s="1" t="s">
        <v>519</v>
      </c>
      <c r="C6540" s="1">
        <v>682120.0</v>
      </c>
      <c r="D6540" s="1" t="s">
        <v>537</v>
      </c>
      <c r="E6540" s="1" t="s">
        <v>926</v>
      </c>
      <c r="F6540" s="1" t="s">
        <v>927</v>
      </c>
      <c r="G6540" s="1">
        <v>138.0</v>
      </c>
      <c r="H6540" s="1">
        <v>7.850666667</v>
      </c>
      <c r="I6540" s="1">
        <v>4.79</v>
      </c>
      <c r="J6540" s="1">
        <v>3.733951</v>
      </c>
    </row>
    <row r="6541">
      <c r="A6541" s="1">
        <v>2025.0</v>
      </c>
      <c r="B6541" s="1" t="s">
        <v>519</v>
      </c>
      <c r="C6541" s="1">
        <v>682120.0</v>
      </c>
      <c r="D6541" s="1" t="s">
        <v>536</v>
      </c>
      <c r="E6541" s="1" t="s">
        <v>926</v>
      </c>
      <c r="F6541" s="1" t="s">
        <v>927</v>
      </c>
      <c r="G6541" s="1">
        <v>24.0</v>
      </c>
      <c r="H6541" s="1">
        <v>1.365333333</v>
      </c>
      <c r="I6541" s="1">
        <v>4.7</v>
      </c>
      <c r="J6541" s="1">
        <v>0.674364</v>
      </c>
    </row>
    <row r="6542">
      <c r="A6542" s="1">
        <v>2025.0</v>
      </c>
      <c r="B6542" s="1" t="s">
        <v>519</v>
      </c>
      <c r="C6542" s="1">
        <v>682120.0</v>
      </c>
      <c r="D6542" s="1" t="s">
        <v>533</v>
      </c>
      <c r="E6542" s="1" t="s">
        <v>926</v>
      </c>
      <c r="F6542" s="1" t="s">
        <v>927</v>
      </c>
      <c r="G6542" s="1">
        <v>50.0</v>
      </c>
      <c r="H6542" s="1">
        <v>2.844444444</v>
      </c>
      <c r="I6542" s="1">
        <v>5.01</v>
      </c>
      <c r="J6542" s="1">
        <v>1.106626</v>
      </c>
    </row>
    <row r="6543">
      <c r="A6543" s="1">
        <v>2025.0</v>
      </c>
      <c r="B6543" s="1" t="s">
        <v>69</v>
      </c>
      <c r="C6543" s="1">
        <v>657612.0</v>
      </c>
      <c r="D6543" s="1" t="s">
        <v>537</v>
      </c>
      <c r="E6543" s="1" t="s">
        <v>926</v>
      </c>
      <c r="F6543" s="1" t="s">
        <v>926</v>
      </c>
      <c r="G6543" s="1">
        <v>36.0</v>
      </c>
      <c r="H6543" s="1">
        <v>2.704035874</v>
      </c>
      <c r="I6543" s="1">
        <v>4.86</v>
      </c>
      <c r="J6543" s="1">
        <v>0.884889</v>
      </c>
    </row>
    <row r="6544">
      <c r="A6544" s="1">
        <v>2025.0</v>
      </c>
      <c r="B6544" s="1" t="s">
        <v>69</v>
      </c>
      <c r="C6544" s="1">
        <v>657612.0</v>
      </c>
      <c r="D6544" s="1" t="s">
        <v>536</v>
      </c>
      <c r="E6544" s="1" t="s">
        <v>926</v>
      </c>
      <c r="F6544" s="1" t="s">
        <v>926</v>
      </c>
      <c r="G6544" s="1">
        <v>395.0</v>
      </c>
      <c r="H6544" s="1">
        <v>29.66928251</v>
      </c>
      <c r="I6544" s="1">
        <v>5.5</v>
      </c>
      <c r="J6544" s="1">
        <v>4.80453</v>
      </c>
    </row>
    <row r="6545">
      <c r="A6545" s="1">
        <v>2025.0</v>
      </c>
      <c r="B6545" s="1" t="s">
        <v>69</v>
      </c>
      <c r="C6545" s="1">
        <v>657612.0</v>
      </c>
      <c r="D6545" s="1" t="s">
        <v>533</v>
      </c>
      <c r="E6545" s="1" t="s">
        <v>926</v>
      </c>
      <c r="F6545" s="1" t="s">
        <v>926</v>
      </c>
      <c r="G6545" s="1">
        <v>33.0</v>
      </c>
      <c r="H6545" s="1">
        <v>2.478699552</v>
      </c>
      <c r="I6545" s="1">
        <v>4.45</v>
      </c>
      <c r="J6545" s="1">
        <v>1.103881</v>
      </c>
    </row>
    <row r="6546">
      <c r="A6546" s="1">
        <v>2025.0</v>
      </c>
      <c r="B6546" s="1" t="s">
        <v>69</v>
      </c>
      <c r="C6546" s="1">
        <v>657612.0</v>
      </c>
      <c r="D6546" s="1" t="s">
        <v>537</v>
      </c>
      <c r="E6546" s="1" t="s">
        <v>926</v>
      </c>
      <c r="F6546" s="1" t="s">
        <v>927</v>
      </c>
      <c r="G6546" s="1">
        <v>86.0</v>
      </c>
      <c r="H6546" s="1">
        <v>6.459641256</v>
      </c>
      <c r="I6546" s="1">
        <v>4.17</v>
      </c>
      <c r="J6546" s="1">
        <v>3.349089</v>
      </c>
    </row>
    <row r="6547">
      <c r="A6547" s="1">
        <v>2025.0</v>
      </c>
      <c r="B6547" s="1" t="s">
        <v>69</v>
      </c>
      <c r="C6547" s="1">
        <v>657612.0</v>
      </c>
      <c r="D6547" s="1" t="s">
        <v>536</v>
      </c>
      <c r="E6547" s="1" t="s">
        <v>926</v>
      </c>
      <c r="F6547" s="1" t="s">
        <v>927</v>
      </c>
      <c r="G6547" s="1">
        <v>336.0</v>
      </c>
      <c r="H6547" s="1">
        <v>25.23766816</v>
      </c>
      <c r="I6547" s="1">
        <v>5.0</v>
      </c>
      <c r="J6547" s="1">
        <v>7.587862</v>
      </c>
    </row>
    <row r="6548">
      <c r="A6548" s="1">
        <v>2025.0</v>
      </c>
      <c r="B6548" s="1" t="s">
        <v>69</v>
      </c>
      <c r="C6548" s="1">
        <v>657612.0</v>
      </c>
      <c r="D6548" s="1" t="s">
        <v>533</v>
      </c>
      <c r="E6548" s="1" t="s">
        <v>926</v>
      </c>
      <c r="F6548" s="1" t="s">
        <v>927</v>
      </c>
      <c r="G6548" s="1">
        <v>6.0</v>
      </c>
      <c r="H6548" s="1">
        <v>0.450672646</v>
      </c>
      <c r="I6548" s="1">
        <v>4.27</v>
      </c>
      <c r="J6548" s="1">
        <v>0.207786</v>
      </c>
    </row>
    <row r="6549">
      <c r="A6549" s="1">
        <v>2025.0</v>
      </c>
      <c r="B6549" s="1" t="s">
        <v>707</v>
      </c>
      <c r="C6549" s="1">
        <v>641835.0</v>
      </c>
      <c r="D6549" s="1" t="s">
        <v>537</v>
      </c>
      <c r="E6549" s="1" t="s">
        <v>926</v>
      </c>
      <c r="F6549" s="1" t="s">
        <v>926</v>
      </c>
      <c r="G6549" s="1">
        <v>1.0</v>
      </c>
      <c r="H6549" s="1">
        <v>0.055370986</v>
      </c>
      <c r="I6549" s="1">
        <v>1.59</v>
      </c>
      <c r="J6549" s="1">
        <v>0.089813</v>
      </c>
    </row>
    <row r="6550">
      <c r="A6550" s="1">
        <v>2025.0</v>
      </c>
      <c r="B6550" s="1" t="s">
        <v>707</v>
      </c>
      <c r="C6550" s="1">
        <v>641835.0</v>
      </c>
      <c r="D6550" s="1" t="s">
        <v>536</v>
      </c>
      <c r="E6550" s="1" t="s">
        <v>926</v>
      </c>
      <c r="F6550" s="1" t="s">
        <v>926</v>
      </c>
      <c r="G6550" s="1">
        <v>88.0</v>
      </c>
      <c r="H6550" s="1">
        <v>4.872646733</v>
      </c>
      <c r="I6550" s="1">
        <v>5.25</v>
      </c>
      <c r="J6550" s="1">
        <v>1.413855</v>
      </c>
    </row>
    <row r="6551">
      <c r="A6551" s="1">
        <v>2025.0</v>
      </c>
      <c r="B6551" s="1" t="s">
        <v>707</v>
      </c>
      <c r="C6551" s="1">
        <v>641835.0</v>
      </c>
      <c r="D6551" s="1" t="s">
        <v>533</v>
      </c>
      <c r="E6551" s="1" t="s">
        <v>926</v>
      </c>
      <c r="F6551" s="1" t="s">
        <v>926</v>
      </c>
      <c r="G6551" s="1">
        <v>34.0</v>
      </c>
      <c r="H6551" s="1">
        <v>1.882613511</v>
      </c>
      <c r="I6551" s="1">
        <v>5.62</v>
      </c>
      <c r="J6551" s="1">
        <v>0.28714</v>
      </c>
    </row>
    <row r="6552">
      <c r="A6552" s="1">
        <v>2025.0</v>
      </c>
      <c r="B6552" s="1" t="s">
        <v>707</v>
      </c>
      <c r="C6552" s="1">
        <v>641835.0</v>
      </c>
      <c r="D6552" s="1" t="s">
        <v>537</v>
      </c>
      <c r="E6552" s="1" t="s">
        <v>926</v>
      </c>
      <c r="F6552" s="1" t="s">
        <v>927</v>
      </c>
      <c r="G6552" s="1">
        <v>4.0</v>
      </c>
      <c r="H6552" s="1">
        <v>0.221483942</v>
      </c>
      <c r="I6552" s="1">
        <v>3.34</v>
      </c>
      <c r="J6552" s="1">
        <v>0.222916</v>
      </c>
    </row>
    <row r="6553">
      <c r="A6553" s="1">
        <v>2025.0</v>
      </c>
      <c r="B6553" s="1" t="s">
        <v>707</v>
      </c>
      <c r="C6553" s="1">
        <v>641835.0</v>
      </c>
      <c r="D6553" s="1" t="s">
        <v>536</v>
      </c>
      <c r="E6553" s="1" t="s">
        <v>926</v>
      </c>
      <c r="F6553" s="1" t="s">
        <v>927</v>
      </c>
      <c r="G6553" s="1">
        <v>118.0</v>
      </c>
      <c r="H6553" s="1">
        <v>6.533776301</v>
      </c>
      <c r="I6553" s="1">
        <v>4.46</v>
      </c>
      <c r="J6553" s="1">
        <v>3.82661</v>
      </c>
    </row>
    <row r="6554">
      <c r="A6554" s="1">
        <v>2025.0</v>
      </c>
      <c r="B6554" s="1" t="s">
        <v>707</v>
      </c>
      <c r="C6554" s="1">
        <v>641835.0</v>
      </c>
      <c r="D6554" s="1" t="s">
        <v>533</v>
      </c>
      <c r="E6554" s="1" t="s">
        <v>926</v>
      </c>
      <c r="F6554" s="1" t="s">
        <v>927</v>
      </c>
      <c r="G6554" s="1">
        <v>56.0</v>
      </c>
      <c r="H6554" s="1">
        <v>3.100775194</v>
      </c>
      <c r="I6554" s="1">
        <v>4.91</v>
      </c>
      <c r="J6554" s="1">
        <v>1.295242</v>
      </c>
    </row>
    <row r="6555">
      <c r="A6555" s="1">
        <v>2025.0</v>
      </c>
      <c r="B6555" s="1" t="s">
        <v>221</v>
      </c>
      <c r="C6555" s="1">
        <v>668964.0</v>
      </c>
      <c r="D6555" s="1" t="s">
        <v>532</v>
      </c>
      <c r="E6555" s="1" t="s">
        <v>927</v>
      </c>
      <c r="F6555" s="1" t="s">
        <v>926</v>
      </c>
      <c r="G6555" s="1">
        <v>6.0</v>
      </c>
      <c r="H6555" s="1">
        <v>0.368038741</v>
      </c>
      <c r="I6555" s="1">
        <v>5.54</v>
      </c>
      <c r="J6555" s="1">
        <v>0.041267</v>
      </c>
    </row>
    <row r="6556">
      <c r="A6556" s="1">
        <v>2025.0</v>
      </c>
      <c r="B6556" s="1" t="s">
        <v>221</v>
      </c>
      <c r="C6556" s="1">
        <v>668964.0</v>
      </c>
      <c r="D6556" s="1" t="s">
        <v>541</v>
      </c>
      <c r="E6556" s="1" t="s">
        <v>927</v>
      </c>
      <c r="F6556" s="1" t="s">
        <v>926</v>
      </c>
      <c r="G6556" s="1">
        <v>9.0</v>
      </c>
      <c r="H6556" s="1">
        <v>0.552058111</v>
      </c>
      <c r="I6556" s="1">
        <v>5.03</v>
      </c>
      <c r="J6556" s="1">
        <v>0.170991</v>
      </c>
    </row>
    <row r="6557">
      <c r="A6557" s="1">
        <v>2025.0</v>
      </c>
      <c r="B6557" s="1" t="s">
        <v>221</v>
      </c>
      <c r="C6557" s="1">
        <v>668964.0</v>
      </c>
      <c r="D6557" s="1" t="s">
        <v>540</v>
      </c>
      <c r="E6557" s="1" t="s">
        <v>927</v>
      </c>
      <c r="F6557" s="1" t="s">
        <v>926</v>
      </c>
      <c r="G6557" s="1">
        <v>69.0</v>
      </c>
      <c r="H6557" s="1">
        <v>4.232445521</v>
      </c>
      <c r="I6557" s="1">
        <v>5.08</v>
      </c>
      <c r="J6557" s="1">
        <v>1.415327</v>
      </c>
    </row>
    <row r="6558">
      <c r="A6558" s="1">
        <v>2025.0</v>
      </c>
      <c r="B6558" s="1" t="s">
        <v>221</v>
      </c>
      <c r="C6558" s="1">
        <v>668964.0</v>
      </c>
      <c r="D6558" s="1" t="s">
        <v>537</v>
      </c>
      <c r="E6558" s="1" t="s">
        <v>927</v>
      </c>
      <c r="F6558" s="1" t="s">
        <v>926</v>
      </c>
      <c r="G6558" s="1">
        <v>160.0</v>
      </c>
      <c r="H6558" s="1">
        <v>9.814366425</v>
      </c>
      <c r="I6558" s="1">
        <v>5.04</v>
      </c>
      <c r="J6558" s="1">
        <v>3.300074</v>
      </c>
    </row>
    <row r="6559">
      <c r="A6559" s="1">
        <v>2025.0</v>
      </c>
      <c r="B6559" s="1" t="s">
        <v>221</v>
      </c>
      <c r="C6559" s="1">
        <v>668964.0</v>
      </c>
      <c r="D6559" s="1" t="s">
        <v>538</v>
      </c>
      <c r="E6559" s="1" t="s">
        <v>927</v>
      </c>
      <c r="F6559" s="1" t="s">
        <v>926</v>
      </c>
      <c r="G6559" s="1">
        <v>87.0</v>
      </c>
      <c r="H6559" s="1">
        <v>5.336561743</v>
      </c>
      <c r="I6559" s="1">
        <v>5.15</v>
      </c>
      <c r="J6559" s="1">
        <v>1.631104</v>
      </c>
    </row>
    <row r="6560">
      <c r="A6560" s="1">
        <v>2025.0</v>
      </c>
      <c r="B6560" s="1" t="s">
        <v>221</v>
      </c>
      <c r="C6560" s="1">
        <v>668964.0</v>
      </c>
      <c r="D6560" s="1" t="s">
        <v>533</v>
      </c>
      <c r="E6560" s="1" t="s">
        <v>927</v>
      </c>
      <c r="F6560" s="1" t="s">
        <v>926</v>
      </c>
      <c r="G6560" s="1">
        <v>28.0</v>
      </c>
      <c r="H6560" s="1">
        <v>1.717514124</v>
      </c>
      <c r="I6560" s="1">
        <v>4.54</v>
      </c>
      <c r="J6560" s="1">
        <v>0.855842</v>
      </c>
    </row>
    <row r="6561">
      <c r="A6561" s="1">
        <v>2025.0</v>
      </c>
      <c r="B6561" s="1" t="s">
        <v>221</v>
      </c>
      <c r="C6561" s="1">
        <v>668964.0</v>
      </c>
      <c r="D6561" s="1" t="s">
        <v>532</v>
      </c>
      <c r="E6561" s="1" t="s">
        <v>927</v>
      </c>
      <c r="F6561" s="1" t="s">
        <v>927</v>
      </c>
      <c r="G6561" s="1">
        <v>6.0</v>
      </c>
      <c r="H6561" s="1">
        <v>0.368038741</v>
      </c>
      <c r="I6561" s="1">
        <v>5.1</v>
      </c>
      <c r="J6561" s="1">
        <v>0.102502</v>
      </c>
    </row>
    <row r="6562">
      <c r="A6562" s="1">
        <v>2025.0</v>
      </c>
      <c r="B6562" s="1" t="s">
        <v>221</v>
      </c>
      <c r="C6562" s="1">
        <v>668964.0</v>
      </c>
      <c r="D6562" s="1" t="s">
        <v>541</v>
      </c>
      <c r="E6562" s="1" t="s">
        <v>927</v>
      </c>
      <c r="F6562" s="1" t="s">
        <v>927</v>
      </c>
      <c r="G6562" s="1">
        <v>3.0</v>
      </c>
      <c r="H6562" s="1">
        <v>0.18401937</v>
      </c>
      <c r="I6562" s="1">
        <v>5.14</v>
      </c>
      <c r="J6562" s="1">
        <v>0.057344</v>
      </c>
    </row>
    <row r="6563">
      <c r="A6563" s="1">
        <v>2025.0</v>
      </c>
      <c r="B6563" s="1" t="s">
        <v>221</v>
      </c>
      <c r="C6563" s="1">
        <v>668964.0</v>
      </c>
      <c r="D6563" s="1" t="s">
        <v>540</v>
      </c>
      <c r="E6563" s="1" t="s">
        <v>927</v>
      </c>
      <c r="F6563" s="1" t="s">
        <v>927</v>
      </c>
      <c r="G6563" s="1">
        <v>92.0</v>
      </c>
      <c r="H6563" s="1">
        <v>5.643260694</v>
      </c>
      <c r="I6563" s="1">
        <v>5.03</v>
      </c>
      <c r="J6563" s="1">
        <v>1.934708</v>
      </c>
    </row>
    <row r="6564">
      <c r="A6564" s="1">
        <v>2025.0</v>
      </c>
      <c r="B6564" s="1" t="s">
        <v>221</v>
      </c>
      <c r="C6564" s="1">
        <v>668964.0</v>
      </c>
      <c r="D6564" s="1" t="s">
        <v>537</v>
      </c>
      <c r="E6564" s="1" t="s">
        <v>927</v>
      </c>
      <c r="F6564" s="1" t="s">
        <v>927</v>
      </c>
      <c r="G6564" s="1">
        <v>213.0</v>
      </c>
      <c r="H6564" s="1">
        <v>13.0653753</v>
      </c>
      <c r="I6564" s="1">
        <v>5.3</v>
      </c>
      <c r="J6564" s="1">
        <v>3.408556</v>
      </c>
    </row>
    <row r="6565">
      <c r="A6565" s="1">
        <v>2025.0</v>
      </c>
      <c r="B6565" s="1" t="s">
        <v>221</v>
      </c>
      <c r="C6565" s="1">
        <v>668964.0</v>
      </c>
      <c r="D6565" s="1" t="s">
        <v>538</v>
      </c>
      <c r="E6565" s="1" t="s">
        <v>927</v>
      </c>
      <c r="F6565" s="1" t="s">
        <v>927</v>
      </c>
      <c r="G6565" s="1">
        <v>42.0</v>
      </c>
      <c r="H6565" s="1">
        <v>2.576271186</v>
      </c>
      <c r="I6565" s="1">
        <v>4.57</v>
      </c>
      <c r="J6565" s="1">
        <v>1.266391</v>
      </c>
    </row>
    <row r="6566">
      <c r="A6566" s="1">
        <v>2025.0</v>
      </c>
      <c r="B6566" s="1" t="s">
        <v>221</v>
      </c>
      <c r="C6566" s="1">
        <v>668964.0</v>
      </c>
      <c r="D6566" s="1" t="s">
        <v>533</v>
      </c>
      <c r="E6566" s="1" t="s">
        <v>927</v>
      </c>
      <c r="F6566" s="1" t="s">
        <v>927</v>
      </c>
      <c r="G6566" s="1">
        <v>111.0</v>
      </c>
      <c r="H6566" s="1">
        <v>6.808716707</v>
      </c>
      <c r="I6566" s="1">
        <v>4.82</v>
      </c>
      <c r="J6566" s="1">
        <v>2.739419</v>
      </c>
    </row>
    <row r="6567">
      <c r="A6567" s="1">
        <v>2025.0</v>
      </c>
      <c r="B6567" s="1" t="s">
        <v>729</v>
      </c>
      <c r="C6567" s="1">
        <v>676680.0</v>
      </c>
      <c r="D6567" s="1" t="s">
        <v>537</v>
      </c>
      <c r="E6567" s="1" t="s">
        <v>926</v>
      </c>
      <c r="F6567" s="1" t="s">
        <v>926</v>
      </c>
      <c r="G6567" s="1">
        <v>4.0</v>
      </c>
      <c r="H6567" s="1">
        <v>0.25</v>
      </c>
      <c r="I6567" s="1">
        <v>5.66</v>
      </c>
      <c r="J6567" s="1">
        <v>0.027481</v>
      </c>
    </row>
    <row r="6568">
      <c r="A6568" s="1">
        <v>2025.0</v>
      </c>
      <c r="B6568" s="1" t="s">
        <v>729</v>
      </c>
      <c r="C6568" s="1">
        <v>676680.0</v>
      </c>
      <c r="D6568" s="1" t="s">
        <v>533</v>
      </c>
      <c r="E6568" s="1" t="s">
        <v>926</v>
      </c>
      <c r="F6568" s="1" t="s">
        <v>926</v>
      </c>
      <c r="G6568" s="1">
        <v>2.0</v>
      </c>
      <c r="H6568" s="1">
        <v>0.125</v>
      </c>
      <c r="I6568" s="1">
        <v>7.05</v>
      </c>
      <c r="J6568" s="1">
        <v>-0.044548</v>
      </c>
    </row>
    <row r="6569">
      <c r="A6569" s="1">
        <v>2025.0</v>
      </c>
      <c r="B6569" s="1" t="s">
        <v>729</v>
      </c>
      <c r="C6569" s="1">
        <v>676680.0</v>
      </c>
      <c r="D6569" s="1" t="s">
        <v>537</v>
      </c>
      <c r="E6569" s="1" t="s">
        <v>926</v>
      </c>
      <c r="F6569" s="1" t="s">
        <v>927</v>
      </c>
      <c r="G6569" s="1">
        <v>12.0</v>
      </c>
      <c r="H6569" s="1">
        <v>0.75</v>
      </c>
      <c r="I6569" s="1">
        <v>4.07</v>
      </c>
      <c r="J6569" s="1">
        <v>0.47619</v>
      </c>
    </row>
    <row r="6570">
      <c r="A6570" s="1">
        <v>2025.0</v>
      </c>
      <c r="B6570" s="1" t="s">
        <v>729</v>
      </c>
      <c r="C6570" s="1">
        <v>676680.0</v>
      </c>
      <c r="D6570" s="1" t="s">
        <v>536</v>
      </c>
      <c r="E6570" s="1" t="s">
        <v>926</v>
      </c>
      <c r="F6570" s="1" t="s">
        <v>927</v>
      </c>
      <c r="G6570" s="1">
        <v>21.0</v>
      </c>
      <c r="H6570" s="1">
        <v>1.3125</v>
      </c>
      <c r="I6570" s="1">
        <v>4.28</v>
      </c>
      <c r="J6570" s="1">
        <v>0.769991</v>
      </c>
    </row>
    <row r="6571">
      <c r="A6571" s="1">
        <v>2025.0</v>
      </c>
      <c r="B6571" s="1" t="s">
        <v>729</v>
      </c>
      <c r="C6571" s="1">
        <v>676680.0</v>
      </c>
      <c r="D6571" s="1" t="s">
        <v>533</v>
      </c>
      <c r="E6571" s="1" t="s">
        <v>926</v>
      </c>
      <c r="F6571" s="1" t="s">
        <v>927</v>
      </c>
      <c r="G6571" s="1">
        <v>11.0</v>
      </c>
      <c r="H6571" s="1">
        <v>0.6875</v>
      </c>
      <c r="I6571" s="1">
        <v>5.49</v>
      </c>
      <c r="J6571" s="1">
        <v>0.123957</v>
      </c>
    </row>
    <row r="6572">
      <c r="A6572" s="1">
        <v>2025.0</v>
      </c>
      <c r="B6572" s="1" t="s">
        <v>729</v>
      </c>
      <c r="C6572" s="1">
        <v>676680.0</v>
      </c>
      <c r="D6572" s="1" t="s">
        <v>539</v>
      </c>
      <c r="E6572" s="1" t="s">
        <v>926</v>
      </c>
      <c r="F6572" s="1" t="s">
        <v>927</v>
      </c>
      <c r="G6572" s="1">
        <v>14.0</v>
      </c>
      <c r="H6572" s="1">
        <v>0.875</v>
      </c>
      <c r="I6572" s="1">
        <v>4.87</v>
      </c>
      <c r="J6572" s="1">
        <v>0.329621</v>
      </c>
    </row>
    <row r="6573">
      <c r="A6573" s="1">
        <v>2025.0</v>
      </c>
      <c r="B6573" s="1" t="s">
        <v>596</v>
      </c>
      <c r="C6573" s="1">
        <v>674072.0</v>
      </c>
      <c r="D6573" s="1" t="s">
        <v>541</v>
      </c>
      <c r="E6573" s="1" t="s">
        <v>926</v>
      </c>
      <c r="F6573" s="1" t="s">
        <v>926</v>
      </c>
      <c r="G6573" s="1">
        <v>9.0</v>
      </c>
      <c r="H6573" s="1">
        <v>0.560747664</v>
      </c>
      <c r="I6573" s="1">
        <v>5.91</v>
      </c>
      <c r="J6573" s="1">
        <v>0.027906</v>
      </c>
    </row>
    <row r="6574">
      <c r="A6574" s="1">
        <v>2025.0</v>
      </c>
      <c r="B6574" s="1" t="s">
        <v>596</v>
      </c>
      <c r="C6574" s="1">
        <v>674072.0</v>
      </c>
      <c r="D6574" s="1" t="s">
        <v>537</v>
      </c>
      <c r="E6574" s="1" t="s">
        <v>926</v>
      </c>
      <c r="F6574" s="1" t="s">
        <v>926</v>
      </c>
      <c r="G6574" s="1">
        <v>6.0</v>
      </c>
      <c r="H6574" s="1">
        <v>0.373831776</v>
      </c>
      <c r="I6574" s="1">
        <v>3.92</v>
      </c>
      <c r="J6574" s="1">
        <v>0.274895</v>
      </c>
    </row>
    <row r="6575">
      <c r="A6575" s="1">
        <v>2025.0</v>
      </c>
      <c r="B6575" s="1" t="s">
        <v>596</v>
      </c>
      <c r="C6575" s="1">
        <v>674072.0</v>
      </c>
      <c r="D6575" s="1" t="s">
        <v>533</v>
      </c>
      <c r="E6575" s="1" t="s">
        <v>926</v>
      </c>
      <c r="F6575" s="1" t="s">
        <v>926</v>
      </c>
      <c r="G6575" s="1">
        <v>16.0</v>
      </c>
      <c r="H6575" s="1">
        <v>0.996884735</v>
      </c>
      <c r="I6575" s="1">
        <v>5.42</v>
      </c>
      <c r="J6575" s="1">
        <v>0.231691</v>
      </c>
    </row>
    <row r="6576">
      <c r="A6576" s="1">
        <v>2025.0</v>
      </c>
      <c r="B6576" s="1" t="s">
        <v>596</v>
      </c>
      <c r="C6576" s="1">
        <v>674072.0</v>
      </c>
      <c r="D6576" s="1" t="s">
        <v>532</v>
      </c>
      <c r="E6576" s="1" t="s">
        <v>926</v>
      </c>
      <c r="F6576" s="1" t="s">
        <v>927</v>
      </c>
      <c r="G6576" s="1">
        <v>25.0</v>
      </c>
      <c r="H6576" s="1">
        <v>1.557632399</v>
      </c>
      <c r="I6576" s="1">
        <v>4.27</v>
      </c>
      <c r="J6576" s="1">
        <v>0.938423</v>
      </c>
    </row>
    <row r="6577">
      <c r="A6577" s="1">
        <v>2025.0</v>
      </c>
      <c r="B6577" s="1" t="s">
        <v>596</v>
      </c>
      <c r="C6577" s="1">
        <v>674072.0</v>
      </c>
      <c r="D6577" s="1" t="s">
        <v>541</v>
      </c>
      <c r="E6577" s="1" t="s">
        <v>926</v>
      </c>
      <c r="F6577" s="1" t="s">
        <v>927</v>
      </c>
      <c r="G6577" s="1">
        <v>21.0</v>
      </c>
      <c r="H6577" s="1">
        <v>1.308411215</v>
      </c>
      <c r="I6577" s="1">
        <v>5.43</v>
      </c>
      <c r="J6577" s="1">
        <v>0.293122</v>
      </c>
    </row>
    <row r="6578">
      <c r="A6578" s="1">
        <v>2025.0</v>
      </c>
      <c r="B6578" s="1" t="s">
        <v>596</v>
      </c>
      <c r="C6578" s="1">
        <v>674072.0</v>
      </c>
      <c r="D6578" s="1" t="s">
        <v>537</v>
      </c>
      <c r="E6578" s="1" t="s">
        <v>926</v>
      </c>
      <c r="F6578" s="1" t="s">
        <v>927</v>
      </c>
      <c r="G6578" s="1">
        <v>21.0</v>
      </c>
      <c r="H6578" s="1">
        <v>1.308411215</v>
      </c>
      <c r="I6578" s="1">
        <v>5.03</v>
      </c>
      <c r="J6578" s="1">
        <v>0.468453</v>
      </c>
    </row>
    <row r="6579">
      <c r="A6579" s="1">
        <v>2025.0</v>
      </c>
      <c r="B6579" s="1" t="s">
        <v>596</v>
      </c>
      <c r="C6579" s="1">
        <v>674072.0</v>
      </c>
      <c r="D6579" s="1" t="s">
        <v>536</v>
      </c>
      <c r="E6579" s="1" t="s">
        <v>926</v>
      </c>
      <c r="F6579" s="1" t="s">
        <v>927</v>
      </c>
      <c r="G6579" s="1">
        <v>2.0</v>
      </c>
      <c r="H6579" s="1">
        <v>0.124610592</v>
      </c>
      <c r="I6579" s="1">
        <v>4.56</v>
      </c>
      <c r="J6579" s="1">
        <v>0.073143</v>
      </c>
    </row>
    <row r="6580">
      <c r="A6580" s="1">
        <v>2025.0</v>
      </c>
      <c r="B6580" s="1" t="s">
        <v>596</v>
      </c>
      <c r="C6580" s="1">
        <v>674072.0</v>
      </c>
      <c r="D6580" s="1" t="s">
        <v>533</v>
      </c>
      <c r="E6580" s="1" t="s">
        <v>926</v>
      </c>
      <c r="F6580" s="1" t="s">
        <v>927</v>
      </c>
      <c r="G6580" s="1">
        <v>7.0</v>
      </c>
      <c r="H6580" s="1">
        <v>0.436137072</v>
      </c>
      <c r="I6580" s="1">
        <v>4.34</v>
      </c>
      <c r="J6580" s="1">
        <v>0.229445</v>
      </c>
    </row>
    <row r="6581">
      <c r="A6581" s="1">
        <v>2025.0</v>
      </c>
      <c r="B6581" s="1" t="s">
        <v>439</v>
      </c>
      <c r="C6581" s="1">
        <v>592454.0</v>
      </c>
      <c r="D6581" s="1" t="s">
        <v>532</v>
      </c>
      <c r="E6581" s="1" t="s">
        <v>927</v>
      </c>
      <c r="F6581" s="1" t="s">
        <v>926</v>
      </c>
      <c r="G6581" s="1">
        <v>487.0</v>
      </c>
      <c r="H6581" s="1">
        <v>29.64347826</v>
      </c>
      <c r="I6581" s="1">
        <v>4.98</v>
      </c>
      <c r="J6581" s="1">
        <v>10.969863</v>
      </c>
    </row>
    <row r="6582">
      <c r="A6582" s="1">
        <v>2025.0</v>
      </c>
      <c r="B6582" s="1" t="s">
        <v>439</v>
      </c>
      <c r="C6582" s="1">
        <v>592454.0</v>
      </c>
      <c r="D6582" s="1" t="s">
        <v>537</v>
      </c>
      <c r="E6582" s="1" t="s">
        <v>927</v>
      </c>
      <c r="F6582" s="1" t="s">
        <v>926</v>
      </c>
      <c r="G6582" s="1">
        <v>71.0</v>
      </c>
      <c r="H6582" s="1">
        <v>4.32173913</v>
      </c>
      <c r="I6582" s="1">
        <v>4.34</v>
      </c>
      <c r="J6582" s="1">
        <v>2.45709</v>
      </c>
    </row>
    <row r="6583">
      <c r="A6583" s="1">
        <v>2025.0</v>
      </c>
      <c r="B6583" s="1" t="s">
        <v>439</v>
      </c>
      <c r="C6583" s="1">
        <v>592454.0</v>
      </c>
      <c r="D6583" s="1" t="s">
        <v>533</v>
      </c>
      <c r="E6583" s="1" t="s">
        <v>927</v>
      </c>
      <c r="F6583" s="1" t="s">
        <v>926</v>
      </c>
      <c r="G6583" s="1">
        <v>1.0</v>
      </c>
      <c r="H6583" s="1">
        <v>0.060869565</v>
      </c>
      <c r="I6583" s="1">
        <v>2.38</v>
      </c>
      <c r="J6583" s="1">
        <v>0.071817</v>
      </c>
    </row>
    <row r="6584">
      <c r="A6584" s="1">
        <v>2025.0</v>
      </c>
      <c r="B6584" s="1" t="s">
        <v>439</v>
      </c>
      <c r="C6584" s="1">
        <v>592454.0</v>
      </c>
      <c r="D6584" s="1" t="s">
        <v>532</v>
      </c>
      <c r="E6584" s="1" t="s">
        <v>927</v>
      </c>
      <c r="F6584" s="1" t="s">
        <v>927</v>
      </c>
      <c r="G6584" s="1">
        <v>399.0</v>
      </c>
      <c r="H6584" s="1">
        <v>24.28695652</v>
      </c>
      <c r="I6584" s="1">
        <v>5.1</v>
      </c>
      <c r="J6584" s="1">
        <v>8.096968</v>
      </c>
    </row>
    <row r="6585">
      <c r="A6585" s="1">
        <v>2025.0</v>
      </c>
      <c r="B6585" s="1" t="s">
        <v>439</v>
      </c>
      <c r="C6585" s="1">
        <v>592454.0</v>
      </c>
      <c r="D6585" s="1" t="s">
        <v>537</v>
      </c>
      <c r="E6585" s="1" t="s">
        <v>927</v>
      </c>
      <c r="F6585" s="1" t="s">
        <v>927</v>
      </c>
      <c r="G6585" s="1">
        <v>73.0</v>
      </c>
      <c r="H6585" s="1">
        <v>4.443478261</v>
      </c>
      <c r="I6585" s="1">
        <v>4.19</v>
      </c>
      <c r="J6585" s="1">
        <v>2.869649</v>
      </c>
    </row>
    <row r="6586">
      <c r="A6586" s="1">
        <v>2025.0</v>
      </c>
      <c r="B6586" s="1" t="s">
        <v>439</v>
      </c>
      <c r="C6586" s="1">
        <v>592454.0</v>
      </c>
      <c r="D6586" s="1" t="s">
        <v>536</v>
      </c>
      <c r="E6586" s="1" t="s">
        <v>927</v>
      </c>
      <c r="F6586" s="1" t="s">
        <v>927</v>
      </c>
      <c r="G6586" s="1">
        <v>1.0</v>
      </c>
      <c r="H6586" s="1">
        <v>0.060869565</v>
      </c>
      <c r="I6586" s="1">
        <v>-4.69</v>
      </c>
      <c r="J6586" s="1">
        <v>0.22751</v>
      </c>
    </row>
    <row r="6587">
      <c r="A6587" s="1">
        <v>2025.0</v>
      </c>
      <c r="B6587" s="1" t="s">
        <v>439</v>
      </c>
      <c r="C6587" s="1">
        <v>592454.0</v>
      </c>
      <c r="D6587" s="1" t="s">
        <v>533</v>
      </c>
      <c r="E6587" s="1" t="s">
        <v>927</v>
      </c>
      <c r="F6587" s="1" t="s">
        <v>927</v>
      </c>
      <c r="G6587" s="1">
        <v>3.0</v>
      </c>
      <c r="H6587" s="1">
        <v>0.182608696</v>
      </c>
      <c r="I6587" s="1">
        <v>3.58</v>
      </c>
      <c r="J6587" s="1">
        <v>0.148468</v>
      </c>
    </row>
    <row r="6588">
      <c r="A6588" s="1">
        <v>2025.0</v>
      </c>
      <c r="B6588" s="1" t="s">
        <v>1011</v>
      </c>
      <c r="C6588" s="1">
        <v>667297.0</v>
      </c>
      <c r="D6588" s="1" t="s">
        <v>541</v>
      </c>
      <c r="E6588" s="1" t="s">
        <v>927</v>
      </c>
      <c r="F6588" s="1" t="s">
        <v>926</v>
      </c>
      <c r="G6588" s="1">
        <v>84.0</v>
      </c>
      <c r="H6588" s="1">
        <v>5.770065076</v>
      </c>
      <c r="I6588" s="1">
        <v>5.07</v>
      </c>
      <c r="J6588" s="1">
        <v>1.684398</v>
      </c>
    </row>
    <row r="6589">
      <c r="A6589" s="1">
        <v>2025.0</v>
      </c>
      <c r="B6589" s="1" t="s">
        <v>1011</v>
      </c>
      <c r="C6589" s="1">
        <v>667297.0</v>
      </c>
      <c r="D6589" s="1" t="s">
        <v>536</v>
      </c>
      <c r="E6589" s="1" t="s">
        <v>927</v>
      </c>
      <c r="F6589" s="1" t="s">
        <v>926</v>
      </c>
      <c r="G6589" s="1">
        <v>52.0</v>
      </c>
      <c r="H6589" s="1">
        <v>3.571945047</v>
      </c>
      <c r="I6589" s="1">
        <v>4.85</v>
      </c>
      <c r="J6589" s="1">
        <v>1.360206</v>
      </c>
    </row>
    <row r="6590">
      <c r="A6590" s="1">
        <v>2025.0</v>
      </c>
      <c r="B6590" s="1" t="s">
        <v>1011</v>
      </c>
      <c r="C6590" s="1">
        <v>667297.0</v>
      </c>
      <c r="D6590" s="1" t="s">
        <v>533</v>
      </c>
      <c r="E6590" s="1" t="s">
        <v>927</v>
      </c>
      <c r="F6590" s="1" t="s">
        <v>926</v>
      </c>
      <c r="G6590" s="1">
        <v>35.0</v>
      </c>
      <c r="H6590" s="1">
        <v>2.404193782</v>
      </c>
      <c r="I6590" s="1">
        <v>5.83</v>
      </c>
      <c r="J6590" s="1">
        <v>0.256629</v>
      </c>
    </row>
    <row r="6591">
      <c r="A6591" s="1">
        <v>2025.0</v>
      </c>
      <c r="B6591" s="1" t="s">
        <v>1011</v>
      </c>
      <c r="C6591" s="1">
        <v>667297.0</v>
      </c>
      <c r="D6591" s="1" t="s">
        <v>541</v>
      </c>
      <c r="E6591" s="1" t="s">
        <v>927</v>
      </c>
      <c r="F6591" s="1" t="s">
        <v>927</v>
      </c>
      <c r="G6591" s="1">
        <v>51.0</v>
      </c>
      <c r="H6591" s="1">
        <v>3.503253796</v>
      </c>
      <c r="I6591" s="1">
        <v>5.08</v>
      </c>
      <c r="J6591" s="1">
        <v>0.943296</v>
      </c>
    </row>
    <row r="6592">
      <c r="A6592" s="1">
        <v>2025.0</v>
      </c>
      <c r="B6592" s="1" t="s">
        <v>1011</v>
      </c>
      <c r="C6592" s="1">
        <v>667297.0</v>
      </c>
      <c r="D6592" s="1" t="s">
        <v>536</v>
      </c>
      <c r="E6592" s="1" t="s">
        <v>927</v>
      </c>
      <c r="F6592" s="1" t="s">
        <v>927</v>
      </c>
      <c r="G6592" s="1">
        <v>76.0</v>
      </c>
      <c r="H6592" s="1">
        <v>5.220535069</v>
      </c>
      <c r="I6592" s="1">
        <v>5.23</v>
      </c>
      <c r="J6592" s="1">
        <v>1.383676</v>
      </c>
    </row>
    <row r="6593">
      <c r="A6593" s="1">
        <v>2025.0</v>
      </c>
      <c r="B6593" s="1" t="s">
        <v>1011</v>
      </c>
      <c r="C6593" s="1">
        <v>667297.0</v>
      </c>
      <c r="D6593" s="1" t="s">
        <v>533</v>
      </c>
      <c r="E6593" s="1" t="s">
        <v>927</v>
      </c>
      <c r="F6593" s="1" t="s">
        <v>927</v>
      </c>
      <c r="G6593" s="1">
        <v>163.0</v>
      </c>
      <c r="H6593" s="1">
        <v>11.1966739</v>
      </c>
      <c r="I6593" s="1">
        <v>5.23</v>
      </c>
      <c r="J6593" s="1">
        <v>2.920171</v>
      </c>
    </row>
    <row r="6594">
      <c r="A6594" s="1">
        <v>2025.0</v>
      </c>
      <c r="B6594" s="1" t="s">
        <v>158</v>
      </c>
      <c r="C6594" s="1">
        <v>608372.0</v>
      </c>
      <c r="D6594" s="1" t="s">
        <v>541</v>
      </c>
      <c r="E6594" s="1" t="s">
        <v>927</v>
      </c>
      <c r="F6594" s="1" t="s">
        <v>926</v>
      </c>
      <c r="G6594" s="1">
        <v>214.0</v>
      </c>
      <c r="H6594" s="1">
        <v>13.09863548</v>
      </c>
      <c r="I6594" s="1">
        <v>5.17</v>
      </c>
      <c r="J6594" s="1">
        <v>3.979117</v>
      </c>
    </row>
    <row r="6595">
      <c r="A6595" s="1">
        <v>2025.0</v>
      </c>
      <c r="B6595" s="1" t="s">
        <v>158</v>
      </c>
      <c r="C6595" s="1">
        <v>608372.0</v>
      </c>
      <c r="D6595" s="1" t="s">
        <v>540</v>
      </c>
      <c r="E6595" s="1" t="s">
        <v>927</v>
      </c>
      <c r="F6595" s="1" t="s">
        <v>926</v>
      </c>
      <c r="G6595" s="1">
        <v>172.0</v>
      </c>
      <c r="H6595" s="1">
        <v>10.52787524</v>
      </c>
      <c r="I6595" s="1">
        <v>5.26</v>
      </c>
      <c r="J6595" s="1">
        <v>2.928387</v>
      </c>
    </row>
    <row r="6596">
      <c r="A6596" s="1">
        <v>2025.0</v>
      </c>
      <c r="B6596" s="1" t="s">
        <v>158</v>
      </c>
      <c r="C6596" s="1">
        <v>608372.0</v>
      </c>
      <c r="D6596" s="1" t="s">
        <v>537</v>
      </c>
      <c r="E6596" s="1" t="s">
        <v>927</v>
      </c>
      <c r="F6596" s="1" t="s">
        <v>926</v>
      </c>
      <c r="G6596" s="1">
        <v>312.0</v>
      </c>
      <c r="H6596" s="1">
        <v>19.09707602</v>
      </c>
      <c r="I6596" s="1">
        <v>5.04</v>
      </c>
      <c r="J6596" s="1">
        <v>6.58712</v>
      </c>
    </row>
    <row r="6597">
      <c r="A6597" s="1">
        <v>2025.0</v>
      </c>
      <c r="B6597" s="1" t="s">
        <v>158</v>
      </c>
      <c r="C6597" s="1">
        <v>608372.0</v>
      </c>
      <c r="D6597" s="1" t="s">
        <v>538</v>
      </c>
      <c r="E6597" s="1" t="s">
        <v>927</v>
      </c>
      <c r="F6597" s="1" t="s">
        <v>926</v>
      </c>
      <c r="G6597" s="1">
        <v>466.0</v>
      </c>
      <c r="H6597" s="1">
        <v>28.52319688</v>
      </c>
      <c r="I6597" s="1">
        <v>5.03</v>
      </c>
      <c r="J6597" s="1">
        <v>9.725846</v>
      </c>
    </row>
    <row r="6598">
      <c r="A6598" s="1">
        <v>2025.0</v>
      </c>
      <c r="B6598" s="1" t="s">
        <v>158</v>
      </c>
      <c r="C6598" s="1">
        <v>608372.0</v>
      </c>
      <c r="D6598" s="1" t="s">
        <v>536</v>
      </c>
      <c r="E6598" s="1" t="s">
        <v>927</v>
      </c>
      <c r="F6598" s="1" t="s">
        <v>926</v>
      </c>
      <c r="G6598" s="1">
        <v>134.0</v>
      </c>
      <c r="H6598" s="1">
        <v>8.201949318</v>
      </c>
      <c r="I6598" s="1">
        <v>4.91</v>
      </c>
      <c r="J6598" s="1">
        <v>3.213924</v>
      </c>
    </row>
    <row r="6599">
      <c r="A6599" s="1">
        <v>2025.0</v>
      </c>
      <c r="B6599" s="1" t="s">
        <v>158</v>
      </c>
      <c r="C6599" s="1">
        <v>608372.0</v>
      </c>
      <c r="D6599" s="1" t="s">
        <v>539</v>
      </c>
      <c r="E6599" s="1" t="s">
        <v>927</v>
      </c>
      <c r="F6599" s="1" t="s">
        <v>926</v>
      </c>
      <c r="G6599" s="1">
        <v>102.0</v>
      </c>
      <c r="H6599" s="1">
        <v>6.243274854</v>
      </c>
      <c r="I6599" s="1">
        <v>5.12</v>
      </c>
      <c r="J6599" s="1">
        <v>1.932924</v>
      </c>
    </row>
    <row r="6600">
      <c r="A6600" s="1">
        <v>2025.0</v>
      </c>
      <c r="B6600" s="1" t="s">
        <v>158</v>
      </c>
      <c r="C6600" s="1">
        <v>608372.0</v>
      </c>
      <c r="D6600" s="1" t="s">
        <v>541</v>
      </c>
      <c r="E6600" s="1" t="s">
        <v>927</v>
      </c>
      <c r="F6600" s="1" t="s">
        <v>927</v>
      </c>
      <c r="G6600" s="1">
        <v>35.0</v>
      </c>
      <c r="H6600" s="1">
        <v>2.142300195</v>
      </c>
      <c r="I6600" s="1">
        <v>5.09</v>
      </c>
      <c r="J6600" s="1">
        <v>0.666959</v>
      </c>
    </row>
    <row r="6601">
      <c r="A6601" s="1">
        <v>2025.0</v>
      </c>
      <c r="B6601" s="1" t="s">
        <v>158</v>
      </c>
      <c r="C6601" s="1">
        <v>608372.0</v>
      </c>
      <c r="D6601" s="1" t="s">
        <v>540</v>
      </c>
      <c r="E6601" s="1" t="s">
        <v>927</v>
      </c>
      <c r="F6601" s="1" t="s">
        <v>927</v>
      </c>
      <c r="G6601" s="1">
        <v>136.0</v>
      </c>
      <c r="H6601" s="1">
        <v>8.324366472</v>
      </c>
      <c r="I6601" s="1">
        <v>5.32</v>
      </c>
      <c r="J6601" s="1">
        <v>2.239688</v>
      </c>
    </row>
    <row r="6602">
      <c r="A6602" s="1">
        <v>2025.0</v>
      </c>
      <c r="B6602" s="1" t="s">
        <v>158</v>
      </c>
      <c r="C6602" s="1">
        <v>608372.0</v>
      </c>
      <c r="D6602" s="1" t="s">
        <v>537</v>
      </c>
      <c r="E6602" s="1" t="s">
        <v>927</v>
      </c>
      <c r="F6602" s="1" t="s">
        <v>927</v>
      </c>
      <c r="G6602" s="1">
        <v>177.0</v>
      </c>
      <c r="H6602" s="1">
        <v>10.83391813</v>
      </c>
      <c r="I6602" s="1">
        <v>5.03</v>
      </c>
      <c r="J6602" s="1">
        <v>3.833545</v>
      </c>
    </row>
    <row r="6603">
      <c r="A6603" s="1">
        <v>2025.0</v>
      </c>
      <c r="B6603" s="1" t="s">
        <v>158</v>
      </c>
      <c r="C6603" s="1">
        <v>608372.0</v>
      </c>
      <c r="D6603" s="1" t="s">
        <v>538</v>
      </c>
      <c r="E6603" s="1" t="s">
        <v>927</v>
      </c>
      <c r="F6603" s="1" t="s">
        <v>927</v>
      </c>
      <c r="G6603" s="1">
        <v>136.0</v>
      </c>
      <c r="H6603" s="1">
        <v>8.324366472</v>
      </c>
      <c r="I6603" s="1">
        <v>4.61</v>
      </c>
      <c r="J6603" s="1">
        <v>3.939568</v>
      </c>
    </row>
    <row r="6604">
      <c r="A6604" s="1">
        <v>2025.0</v>
      </c>
      <c r="B6604" s="1" t="s">
        <v>158</v>
      </c>
      <c r="C6604" s="1">
        <v>608372.0</v>
      </c>
      <c r="D6604" s="1" t="s">
        <v>536</v>
      </c>
      <c r="E6604" s="1" t="s">
        <v>927</v>
      </c>
      <c r="F6604" s="1" t="s">
        <v>927</v>
      </c>
      <c r="G6604" s="1">
        <v>274.0</v>
      </c>
      <c r="H6604" s="1">
        <v>16.7711501</v>
      </c>
      <c r="I6604" s="1">
        <v>4.87</v>
      </c>
      <c r="J6604" s="1">
        <v>6.905478</v>
      </c>
    </row>
    <row r="6605">
      <c r="A6605" s="1">
        <v>2025.0</v>
      </c>
      <c r="B6605" s="1" t="s">
        <v>158</v>
      </c>
      <c r="C6605" s="1">
        <v>608372.0</v>
      </c>
      <c r="D6605" s="1" t="s">
        <v>539</v>
      </c>
      <c r="E6605" s="1" t="s">
        <v>927</v>
      </c>
      <c r="F6605" s="1" t="s">
        <v>927</v>
      </c>
      <c r="G6605" s="1">
        <v>407.0</v>
      </c>
      <c r="H6605" s="1">
        <v>24.91189084</v>
      </c>
      <c r="I6605" s="1">
        <v>5.69</v>
      </c>
      <c r="J6605" s="1">
        <v>3.274486</v>
      </c>
    </row>
    <row r="6606">
      <c r="A6606" s="1">
        <v>2025.0</v>
      </c>
      <c r="B6606" s="1" t="s">
        <v>1012</v>
      </c>
      <c r="C6606" s="1">
        <v>621512.0</v>
      </c>
      <c r="D6606" s="1" t="s">
        <v>541</v>
      </c>
      <c r="E6606" s="1" t="s">
        <v>927</v>
      </c>
      <c r="F6606" s="1" t="s">
        <v>926</v>
      </c>
      <c r="G6606" s="1">
        <v>1.0</v>
      </c>
      <c r="H6606" s="1">
        <v>0.185185185</v>
      </c>
      <c r="I6606" s="1">
        <v>5.26</v>
      </c>
      <c r="J6606" s="1">
        <v>0.016705</v>
      </c>
    </row>
    <row r="6607">
      <c r="A6607" s="1">
        <v>2025.0</v>
      </c>
      <c r="B6607" s="1" t="s">
        <v>1012</v>
      </c>
      <c r="C6607" s="1">
        <v>621512.0</v>
      </c>
      <c r="D6607" s="1" t="s">
        <v>533</v>
      </c>
      <c r="E6607" s="1" t="s">
        <v>927</v>
      </c>
      <c r="F6607" s="1" t="s">
        <v>926</v>
      </c>
      <c r="G6607" s="1">
        <v>4.0</v>
      </c>
      <c r="H6607" s="1">
        <v>0.740740741</v>
      </c>
      <c r="I6607" s="1">
        <v>5.27</v>
      </c>
      <c r="J6607" s="1">
        <v>0.067693</v>
      </c>
    </row>
    <row r="6608">
      <c r="A6608" s="1">
        <v>2025.0</v>
      </c>
      <c r="B6608" s="1" t="s">
        <v>1012</v>
      </c>
      <c r="C6608" s="1">
        <v>621512.0</v>
      </c>
      <c r="D6608" s="1" t="s">
        <v>541</v>
      </c>
      <c r="E6608" s="1" t="s">
        <v>927</v>
      </c>
      <c r="F6608" s="1" t="s">
        <v>927</v>
      </c>
      <c r="G6608" s="1">
        <v>1.0</v>
      </c>
      <c r="H6608" s="1">
        <v>0.185185185</v>
      </c>
      <c r="I6608" s="1">
        <v>5.6</v>
      </c>
      <c r="J6608" s="1">
        <v>0.009692</v>
      </c>
    </row>
    <row r="6609">
      <c r="A6609" s="1">
        <v>2025.0</v>
      </c>
      <c r="B6609" s="1" t="s">
        <v>1012</v>
      </c>
      <c r="C6609" s="1">
        <v>621512.0</v>
      </c>
      <c r="D6609" s="1" t="s">
        <v>533</v>
      </c>
      <c r="E6609" s="1" t="s">
        <v>927</v>
      </c>
      <c r="F6609" s="1" t="s">
        <v>927</v>
      </c>
      <c r="G6609" s="1">
        <v>3.0</v>
      </c>
      <c r="H6609" s="1">
        <v>0.555555556</v>
      </c>
      <c r="I6609" s="1">
        <v>3.92</v>
      </c>
      <c r="J6609" s="1">
        <v>0.136928</v>
      </c>
    </row>
    <row r="6610">
      <c r="A6610" s="1">
        <v>2025.0</v>
      </c>
      <c r="B6610" s="1" t="s">
        <v>459</v>
      </c>
      <c r="C6610" s="1">
        <v>664062.0</v>
      </c>
      <c r="D6610" s="1" t="s">
        <v>541</v>
      </c>
      <c r="E6610" s="1" t="s">
        <v>927</v>
      </c>
      <c r="F6610" s="1" t="s">
        <v>926</v>
      </c>
      <c r="G6610" s="1">
        <v>73.0</v>
      </c>
      <c r="H6610" s="1">
        <v>4.315270936</v>
      </c>
      <c r="I6610" s="1">
        <v>4.9</v>
      </c>
      <c r="J6610" s="1">
        <v>1.750628</v>
      </c>
    </row>
    <row r="6611">
      <c r="A6611" s="1">
        <v>2025.0</v>
      </c>
      <c r="B6611" s="1" t="s">
        <v>459</v>
      </c>
      <c r="C6611" s="1">
        <v>664062.0</v>
      </c>
      <c r="D6611" s="1" t="s">
        <v>537</v>
      </c>
      <c r="E6611" s="1" t="s">
        <v>927</v>
      </c>
      <c r="F6611" s="1" t="s">
        <v>926</v>
      </c>
      <c r="G6611" s="1">
        <v>155.0</v>
      </c>
      <c r="H6611" s="1">
        <v>9.162561576</v>
      </c>
      <c r="I6611" s="1">
        <v>4.87</v>
      </c>
      <c r="J6611" s="1">
        <v>3.85079</v>
      </c>
    </row>
    <row r="6612">
      <c r="A6612" s="1">
        <v>2025.0</v>
      </c>
      <c r="B6612" s="1" t="s">
        <v>459</v>
      </c>
      <c r="C6612" s="1">
        <v>664062.0</v>
      </c>
      <c r="D6612" s="1" t="s">
        <v>538</v>
      </c>
      <c r="E6612" s="1" t="s">
        <v>927</v>
      </c>
      <c r="F6612" s="1" t="s">
        <v>926</v>
      </c>
      <c r="G6612" s="1">
        <v>97.0</v>
      </c>
      <c r="H6612" s="1">
        <v>5.733990148</v>
      </c>
      <c r="I6612" s="1">
        <v>4.78</v>
      </c>
      <c r="J6612" s="1">
        <v>2.518349</v>
      </c>
    </row>
    <row r="6613">
      <c r="A6613" s="1">
        <v>2025.0</v>
      </c>
      <c r="B6613" s="1" t="s">
        <v>459</v>
      </c>
      <c r="C6613" s="1">
        <v>664062.0</v>
      </c>
      <c r="D6613" s="1" t="s">
        <v>533</v>
      </c>
      <c r="E6613" s="1" t="s">
        <v>927</v>
      </c>
      <c r="F6613" s="1" t="s">
        <v>926</v>
      </c>
      <c r="G6613" s="1">
        <v>30.0</v>
      </c>
      <c r="H6613" s="1">
        <v>1.773399015</v>
      </c>
      <c r="I6613" s="1">
        <v>4.28</v>
      </c>
      <c r="J6613" s="1">
        <v>1.066289</v>
      </c>
    </row>
    <row r="6614">
      <c r="A6614" s="1">
        <v>2025.0</v>
      </c>
      <c r="B6614" s="1" t="s">
        <v>459</v>
      </c>
      <c r="C6614" s="1">
        <v>664062.0</v>
      </c>
      <c r="D6614" s="1" t="s">
        <v>541</v>
      </c>
      <c r="E6614" s="1" t="s">
        <v>927</v>
      </c>
      <c r="F6614" s="1" t="s">
        <v>927</v>
      </c>
      <c r="G6614" s="1">
        <v>30.0</v>
      </c>
      <c r="H6614" s="1">
        <v>1.773399015</v>
      </c>
      <c r="I6614" s="1">
        <v>4.67</v>
      </c>
      <c r="J6614" s="1">
        <v>0.876925</v>
      </c>
    </row>
    <row r="6615">
      <c r="A6615" s="1">
        <v>2025.0</v>
      </c>
      <c r="B6615" s="1" t="s">
        <v>459</v>
      </c>
      <c r="C6615" s="1">
        <v>664062.0</v>
      </c>
      <c r="D6615" s="1" t="s">
        <v>537</v>
      </c>
      <c r="E6615" s="1" t="s">
        <v>927</v>
      </c>
      <c r="F6615" s="1" t="s">
        <v>927</v>
      </c>
      <c r="G6615" s="1">
        <v>90.0</v>
      </c>
      <c r="H6615" s="1">
        <v>5.320197044</v>
      </c>
      <c r="I6615" s="1">
        <v>4.91</v>
      </c>
      <c r="J6615" s="1">
        <v>2.147044</v>
      </c>
    </row>
    <row r="6616">
      <c r="A6616" s="1">
        <v>2025.0</v>
      </c>
      <c r="B6616" s="1" t="s">
        <v>459</v>
      </c>
      <c r="C6616" s="1">
        <v>664062.0</v>
      </c>
      <c r="D6616" s="1" t="s">
        <v>538</v>
      </c>
      <c r="E6616" s="1" t="s">
        <v>927</v>
      </c>
      <c r="F6616" s="1" t="s">
        <v>927</v>
      </c>
      <c r="G6616" s="1">
        <v>66.0</v>
      </c>
      <c r="H6616" s="1">
        <v>3.901477833</v>
      </c>
      <c r="I6616" s="1">
        <v>5.2</v>
      </c>
      <c r="J6616" s="1">
        <v>1.128435</v>
      </c>
    </row>
    <row r="6617">
      <c r="A6617" s="1">
        <v>2025.0</v>
      </c>
      <c r="B6617" s="1" t="s">
        <v>459</v>
      </c>
      <c r="C6617" s="1">
        <v>664062.0</v>
      </c>
      <c r="D6617" s="1" t="s">
        <v>533</v>
      </c>
      <c r="E6617" s="1" t="s">
        <v>927</v>
      </c>
      <c r="F6617" s="1" t="s">
        <v>927</v>
      </c>
      <c r="G6617" s="1">
        <v>68.0</v>
      </c>
      <c r="H6617" s="1">
        <v>4.019704433</v>
      </c>
      <c r="I6617" s="1">
        <v>4.67</v>
      </c>
      <c r="J6617" s="1">
        <v>1.913298</v>
      </c>
    </row>
    <row r="6618">
      <c r="A6618" s="1">
        <v>2025.0</v>
      </c>
      <c r="B6618" s="1" t="s">
        <v>345</v>
      </c>
      <c r="C6618" s="1">
        <v>663574.0</v>
      </c>
      <c r="D6618" s="1" t="s">
        <v>541</v>
      </c>
      <c r="E6618" s="1" t="s">
        <v>927</v>
      </c>
      <c r="F6618" s="1" t="s">
        <v>926</v>
      </c>
      <c r="G6618" s="1">
        <v>65.0</v>
      </c>
      <c r="H6618" s="1">
        <v>3.896121508</v>
      </c>
      <c r="I6618" s="1">
        <v>5.46</v>
      </c>
      <c r="J6618" s="1">
        <v>0.842362</v>
      </c>
    </row>
    <row r="6619">
      <c r="A6619" s="1">
        <v>2025.0</v>
      </c>
      <c r="B6619" s="1" t="s">
        <v>345</v>
      </c>
      <c r="C6619" s="1">
        <v>663574.0</v>
      </c>
      <c r="D6619" s="1" t="s">
        <v>537</v>
      </c>
      <c r="E6619" s="1" t="s">
        <v>927</v>
      </c>
      <c r="F6619" s="1" t="s">
        <v>926</v>
      </c>
      <c r="G6619" s="1">
        <v>442.0</v>
      </c>
      <c r="H6619" s="1">
        <v>26.49362625</v>
      </c>
      <c r="I6619" s="1">
        <v>4.7</v>
      </c>
      <c r="J6619" s="1">
        <v>12.64448</v>
      </c>
    </row>
    <row r="6620">
      <c r="A6620" s="1">
        <v>2025.0</v>
      </c>
      <c r="B6620" s="1" t="s">
        <v>345</v>
      </c>
      <c r="C6620" s="1">
        <v>663574.0</v>
      </c>
      <c r="D6620" s="1" t="s">
        <v>533</v>
      </c>
      <c r="E6620" s="1" t="s">
        <v>927</v>
      </c>
      <c r="F6620" s="1" t="s">
        <v>926</v>
      </c>
      <c r="G6620" s="1">
        <v>144.0</v>
      </c>
      <c r="H6620" s="1">
        <v>8.631407648</v>
      </c>
      <c r="I6620" s="1">
        <v>5.19</v>
      </c>
      <c r="J6620" s="1">
        <v>2.465545</v>
      </c>
    </row>
    <row r="6621">
      <c r="A6621" s="1">
        <v>2025.0</v>
      </c>
      <c r="B6621" s="1" t="s">
        <v>345</v>
      </c>
      <c r="C6621" s="1">
        <v>663574.0</v>
      </c>
      <c r="D6621" s="1" t="s">
        <v>532</v>
      </c>
      <c r="E6621" s="1" t="s">
        <v>927</v>
      </c>
      <c r="F6621" s="1" t="s">
        <v>927</v>
      </c>
      <c r="G6621" s="1">
        <v>1.0</v>
      </c>
      <c r="H6621" s="1">
        <v>0.059940331</v>
      </c>
      <c r="I6621" s="1">
        <v>3.03</v>
      </c>
      <c r="J6621" s="1">
        <v>0.067367</v>
      </c>
    </row>
    <row r="6622">
      <c r="A6622" s="1">
        <v>2025.0</v>
      </c>
      <c r="B6622" s="1" t="s">
        <v>345</v>
      </c>
      <c r="C6622" s="1">
        <v>663574.0</v>
      </c>
      <c r="D6622" s="1" t="s">
        <v>541</v>
      </c>
      <c r="E6622" s="1" t="s">
        <v>927</v>
      </c>
      <c r="F6622" s="1" t="s">
        <v>927</v>
      </c>
      <c r="G6622" s="1">
        <v>61.0</v>
      </c>
      <c r="H6622" s="1">
        <v>3.656360184</v>
      </c>
      <c r="I6622" s="1">
        <v>5.4</v>
      </c>
      <c r="J6622" s="1">
        <v>0.856323</v>
      </c>
    </row>
    <row r="6623">
      <c r="A6623" s="1">
        <v>2025.0</v>
      </c>
      <c r="B6623" s="1" t="s">
        <v>345</v>
      </c>
      <c r="C6623" s="1">
        <v>663574.0</v>
      </c>
      <c r="D6623" s="1" t="s">
        <v>537</v>
      </c>
      <c r="E6623" s="1" t="s">
        <v>927</v>
      </c>
      <c r="F6623" s="1" t="s">
        <v>927</v>
      </c>
      <c r="G6623" s="1">
        <v>357.0</v>
      </c>
      <c r="H6623" s="1">
        <v>21.39869813</v>
      </c>
      <c r="I6623" s="1">
        <v>5.11</v>
      </c>
      <c r="J6623" s="1">
        <v>7.264041</v>
      </c>
    </row>
    <row r="6624">
      <c r="A6624" s="1">
        <v>2025.0</v>
      </c>
      <c r="B6624" s="1" t="s">
        <v>345</v>
      </c>
      <c r="C6624" s="1">
        <v>663574.0</v>
      </c>
      <c r="D6624" s="1" t="s">
        <v>533</v>
      </c>
      <c r="E6624" s="1" t="s">
        <v>927</v>
      </c>
      <c r="F6624" s="1" t="s">
        <v>927</v>
      </c>
      <c r="G6624" s="1">
        <v>159.0</v>
      </c>
      <c r="H6624" s="1">
        <v>9.530512612</v>
      </c>
      <c r="I6624" s="1">
        <v>4.82</v>
      </c>
      <c r="J6624" s="1">
        <v>4.054123</v>
      </c>
    </row>
    <row r="6625">
      <c r="A6625" s="1">
        <v>2025.0</v>
      </c>
      <c r="B6625" s="1" t="s">
        <v>743</v>
      </c>
      <c r="C6625" s="1">
        <v>657053.0</v>
      </c>
      <c r="D6625" s="1" t="s">
        <v>541</v>
      </c>
      <c r="E6625" s="1" t="s">
        <v>927</v>
      </c>
      <c r="F6625" s="1" t="s">
        <v>926</v>
      </c>
      <c r="G6625" s="1">
        <v>2.0</v>
      </c>
      <c r="H6625" s="1">
        <v>0.108108108</v>
      </c>
      <c r="I6625" s="1">
        <v>3.79</v>
      </c>
      <c r="J6625" s="1">
        <v>0.105924</v>
      </c>
    </row>
    <row r="6626">
      <c r="A6626" s="1">
        <v>2025.0</v>
      </c>
      <c r="B6626" s="1" t="s">
        <v>743</v>
      </c>
      <c r="C6626" s="1">
        <v>657053.0</v>
      </c>
      <c r="D6626" s="1" t="s">
        <v>538</v>
      </c>
      <c r="E6626" s="1" t="s">
        <v>927</v>
      </c>
      <c r="F6626" s="1" t="s">
        <v>926</v>
      </c>
      <c r="G6626" s="1">
        <v>4.0</v>
      </c>
      <c r="H6626" s="1">
        <v>0.216216216</v>
      </c>
      <c r="I6626" s="1">
        <v>5.83</v>
      </c>
      <c r="J6626" s="1">
        <v>0.037667</v>
      </c>
    </row>
    <row r="6627">
      <c r="A6627" s="1">
        <v>2025.0</v>
      </c>
      <c r="B6627" s="1" t="s">
        <v>743</v>
      </c>
      <c r="C6627" s="1">
        <v>657053.0</v>
      </c>
      <c r="D6627" s="1" t="s">
        <v>536</v>
      </c>
      <c r="E6627" s="1" t="s">
        <v>927</v>
      </c>
      <c r="F6627" s="1" t="s">
        <v>926</v>
      </c>
      <c r="G6627" s="1">
        <v>5.0</v>
      </c>
      <c r="H6627" s="1">
        <v>0.27027027</v>
      </c>
      <c r="I6627" s="1">
        <v>5.44</v>
      </c>
      <c r="J6627" s="1">
        <v>0.090881</v>
      </c>
    </row>
    <row r="6628">
      <c r="A6628" s="1">
        <v>2025.0</v>
      </c>
      <c r="B6628" s="1" t="s">
        <v>743</v>
      </c>
      <c r="C6628" s="1">
        <v>657053.0</v>
      </c>
      <c r="D6628" s="1" t="s">
        <v>541</v>
      </c>
      <c r="E6628" s="1" t="s">
        <v>927</v>
      </c>
      <c r="F6628" s="1" t="s">
        <v>927</v>
      </c>
      <c r="G6628" s="1">
        <v>5.0</v>
      </c>
      <c r="H6628" s="1">
        <v>0.27027027</v>
      </c>
      <c r="I6628" s="1">
        <v>5.12</v>
      </c>
      <c r="J6628" s="1">
        <v>0.124215</v>
      </c>
    </row>
    <row r="6629">
      <c r="A6629" s="1">
        <v>2025.0</v>
      </c>
      <c r="B6629" s="1" t="s">
        <v>743</v>
      </c>
      <c r="C6629" s="1">
        <v>657053.0</v>
      </c>
      <c r="D6629" s="1" t="s">
        <v>538</v>
      </c>
      <c r="E6629" s="1" t="s">
        <v>927</v>
      </c>
      <c r="F6629" s="1" t="s">
        <v>927</v>
      </c>
      <c r="G6629" s="1">
        <v>5.0</v>
      </c>
      <c r="H6629" s="1">
        <v>0.27027027</v>
      </c>
      <c r="I6629" s="1">
        <v>4.04</v>
      </c>
      <c r="J6629" s="1">
        <v>0.219168</v>
      </c>
    </row>
    <row r="6630">
      <c r="A6630" s="1">
        <v>2025.0</v>
      </c>
      <c r="B6630" s="1" t="s">
        <v>743</v>
      </c>
      <c r="C6630" s="1">
        <v>657053.0</v>
      </c>
      <c r="D6630" s="1" t="s">
        <v>536</v>
      </c>
      <c r="E6630" s="1" t="s">
        <v>927</v>
      </c>
      <c r="F6630" s="1" t="s">
        <v>927</v>
      </c>
      <c r="G6630" s="1">
        <v>16.0</v>
      </c>
      <c r="H6630" s="1">
        <v>0.864864865</v>
      </c>
      <c r="I6630" s="1">
        <v>4.74</v>
      </c>
      <c r="J6630" s="1">
        <v>0.515799</v>
      </c>
    </row>
    <row r="6631">
      <c r="A6631" s="1">
        <v>2025.0</v>
      </c>
      <c r="B6631" s="1" t="s">
        <v>485</v>
      </c>
      <c r="C6631" s="1">
        <v>701519.0</v>
      </c>
      <c r="D6631" s="1" t="s">
        <v>532</v>
      </c>
      <c r="E6631" s="1" t="s">
        <v>927</v>
      </c>
      <c r="F6631" s="1" t="s">
        <v>926</v>
      </c>
      <c r="G6631" s="1">
        <v>94.0</v>
      </c>
      <c r="H6631" s="1">
        <v>4.780463243</v>
      </c>
      <c r="I6631" s="1">
        <v>4.8</v>
      </c>
      <c r="J6631" s="1">
        <v>2.532225</v>
      </c>
    </row>
    <row r="6632">
      <c r="A6632" s="1">
        <v>2025.0</v>
      </c>
      <c r="B6632" s="1" t="s">
        <v>485</v>
      </c>
      <c r="C6632" s="1">
        <v>701519.0</v>
      </c>
      <c r="D6632" s="1" t="s">
        <v>541</v>
      </c>
      <c r="E6632" s="1" t="s">
        <v>927</v>
      </c>
      <c r="F6632" s="1" t="s">
        <v>926</v>
      </c>
      <c r="G6632" s="1">
        <v>21.0</v>
      </c>
      <c r="H6632" s="1">
        <v>1.067975831</v>
      </c>
      <c r="I6632" s="1">
        <v>4.72</v>
      </c>
      <c r="J6632" s="1">
        <v>0.592994</v>
      </c>
    </row>
    <row r="6633">
      <c r="A6633" s="1">
        <v>2025.0</v>
      </c>
      <c r="B6633" s="1" t="s">
        <v>485</v>
      </c>
      <c r="C6633" s="1">
        <v>701519.0</v>
      </c>
      <c r="D6633" s="1" t="s">
        <v>540</v>
      </c>
      <c r="E6633" s="1" t="s">
        <v>927</v>
      </c>
      <c r="F6633" s="1" t="s">
        <v>926</v>
      </c>
      <c r="G6633" s="1">
        <v>58.0</v>
      </c>
      <c r="H6633" s="1">
        <v>2.949647533</v>
      </c>
      <c r="I6633" s="1">
        <v>5.17</v>
      </c>
      <c r="J6633" s="1">
        <v>1.150028</v>
      </c>
    </row>
    <row r="6634">
      <c r="A6634" s="1">
        <v>2025.0</v>
      </c>
      <c r="B6634" s="1" t="s">
        <v>485</v>
      </c>
      <c r="C6634" s="1">
        <v>701519.0</v>
      </c>
      <c r="D6634" s="1" t="s">
        <v>537</v>
      </c>
      <c r="E6634" s="1" t="s">
        <v>927</v>
      </c>
      <c r="F6634" s="1" t="s">
        <v>926</v>
      </c>
      <c r="G6634" s="1">
        <v>137.0</v>
      </c>
      <c r="H6634" s="1">
        <v>6.967270896</v>
      </c>
      <c r="I6634" s="1">
        <v>4.82</v>
      </c>
      <c r="J6634" s="1">
        <v>3.585713</v>
      </c>
    </row>
    <row r="6635">
      <c r="A6635" s="1">
        <v>2025.0</v>
      </c>
      <c r="B6635" s="1" t="s">
        <v>485</v>
      </c>
      <c r="C6635" s="1">
        <v>701519.0</v>
      </c>
      <c r="D6635" s="1" t="s">
        <v>536</v>
      </c>
      <c r="E6635" s="1" t="s">
        <v>927</v>
      </c>
      <c r="F6635" s="1" t="s">
        <v>926</v>
      </c>
      <c r="G6635" s="1">
        <v>10.0</v>
      </c>
      <c r="H6635" s="1">
        <v>0.508559919</v>
      </c>
      <c r="I6635" s="1">
        <v>4.6</v>
      </c>
      <c r="J6635" s="1">
        <v>0.327278</v>
      </c>
    </row>
    <row r="6636">
      <c r="A6636" s="1">
        <v>2025.0</v>
      </c>
      <c r="B6636" s="1" t="s">
        <v>485</v>
      </c>
      <c r="C6636" s="1">
        <v>701519.0</v>
      </c>
      <c r="D6636" s="1" t="s">
        <v>533</v>
      </c>
      <c r="E6636" s="1" t="s">
        <v>927</v>
      </c>
      <c r="F6636" s="1" t="s">
        <v>926</v>
      </c>
      <c r="G6636" s="1">
        <v>60.0</v>
      </c>
      <c r="H6636" s="1">
        <v>3.051359517</v>
      </c>
      <c r="I6636" s="1">
        <v>4.43</v>
      </c>
      <c r="J6636" s="1">
        <v>1.950613</v>
      </c>
    </row>
    <row r="6637">
      <c r="A6637" s="1">
        <v>2025.0</v>
      </c>
      <c r="B6637" s="1" t="s">
        <v>485</v>
      </c>
      <c r="C6637" s="1">
        <v>701519.0</v>
      </c>
      <c r="D6637" s="1" t="s">
        <v>532</v>
      </c>
      <c r="E6637" s="1" t="s">
        <v>927</v>
      </c>
      <c r="F6637" s="1" t="s">
        <v>927</v>
      </c>
      <c r="G6637" s="1">
        <v>17.0</v>
      </c>
      <c r="H6637" s="1">
        <v>0.864551863</v>
      </c>
      <c r="I6637" s="1">
        <v>4.49</v>
      </c>
      <c r="J6637" s="1">
        <v>0.567005</v>
      </c>
    </row>
    <row r="6638">
      <c r="A6638" s="1">
        <v>2025.0</v>
      </c>
      <c r="B6638" s="1" t="s">
        <v>485</v>
      </c>
      <c r="C6638" s="1">
        <v>701519.0</v>
      </c>
      <c r="D6638" s="1" t="s">
        <v>541</v>
      </c>
      <c r="E6638" s="1" t="s">
        <v>927</v>
      </c>
      <c r="F6638" s="1" t="s">
        <v>927</v>
      </c>
      <c r="G6638" s="1">
        <v>6.0</v>
      </c>
      <c r="H6638" s="1">
        <v>0.305135952</v>
      </c>
      <c r="I6638" s="1">
        <v>4.86</v>
      </c>
      <c r="J6638" s="1">
        <v>0.170728</v>
      </c>
    </row>
    <row r="6639">
      <c r="A6639" s="1">
        <v>2025.0</v>
      </c>
      <c r="B6639" s="1" t="s">
        <v>485</v>
      </c>
      <c r="C6639" s="1">
        <v>701519.0</v>
      </c>
      <c r="D6639" s="1" t="s">
        <v>540</v>
      </c>
      <c r="E6639" s="1" t="s">
        <v>927</v>
      </c>
      <c r="F6639" s="1" t="s">
        <v>927</v>
      </c>
      <c r="G6639" s="1">
        <v>64.0</v>
      </c>
      <c r="H6639" s="1">
        <v>3.254783484</v>
      </c>
      <c r="I6639" s="1">
        <v>4.87</v>
      </c>
      <c r="J6639" s="1">
        <v>1.634516</v>
      </c>
    </row>
    <row r="6640">
      <c r="A6640" s="1">
        <v>2025.0</v>
      </c>
      <c r="B6640" s="1" t="s">
        <v>485</v>
      </c>
      <c r="C6640" s="1">
        <v>701519.0</v>
      </c>
      <c r="D6640" s="1" t="s">
        <v>537</v>
      </c>
      <c r="E6640" s="1" t="s">
        <v>927</v>
      </c>
      <c r="F6640" s="1" t="s">
        <v>927</v>
      </c>
      <c r="G6640" s="1">
        <v>58.0</v>
      </c>
      <c r="H6640" s="1">
        <v>2.949647533</v>
      </c>
      <c r="I6640" s="1">
        <v>4.59</v>
      </c>
      <c r="J6640" s="1">
        <v>1.830339</v>
      </c>
    </row>
    <row r="6641">
      <c r="A6641" s="1">
        <v>2025.0</v>
      </c>
      <c r="B6641" s="1" t="s">
        <v>485</v>
      </c>
      <c r="C6641" s="1">
        <v>701519.0</v>
      </c>
      <c r="D6641" s="1" t="s">
        <v>536</v>
      </c>
      <c r="E6641" s="1" t="s">
        <v>927</v>
      </c>
      <c r="F6641" s="1" t="s">
        <v>927</v>
      </c>
      <c r="G6641" s="1">
        <v>64.0</v>
      </c>
      <c r="H6641" s="1">
        <v>3.254783484</v>
      </c>
      <c r="I6641" s="1">
        <v>5.13</v>
      </c>
      <c r="J6641" s="1">
        <v>1.302089</v>
      </c>
    </row>
    <row r="6642">
      <c r="A6642" s="1">
        <v>2025.0</v>
      </c>
      <c r="B6642" s="1" t="s">
        <v>485</v>
      </c>
      <c r="C6642" s="1">
        <v>701519.0</v>
      </c>
      <c r="D6642" s="1" t="s">
        <v>533</v>
      </c>
      <c r="E6642" s="1" t="s">
        <v>927</v>
      </c>
      <c r="F6642" s="1" t="s">
        <v>927</v>
      </c>
      <c r="G6642" s="1">
        <v>73.0</v>
      </c>
      <c r="H6642" s="1">
        <v>3.712487412</v>
      </c>
      <c r="I6642" s="1">
        <v>4.88</v>
      </c>
      <c r="J6642" s="1">
        <v>1.786989</v>
      </c>
    </row>
    <row r="6643">
      <c r="A6643" s="1">
        <v>2025.0</v>
      </c>
      <c r="B6643" s="1" t="s">
        <v>904</v>
      </c>
      <c r="C6643" s="1">
        <v>608671.0</v>
      </c>
      <c r="D6643" s="1" t="s">
        <v>541</v>
      </c>
      <c r="E6643" s="1" t="s">
        <v>927</v>
      </c>
      <c r="F6643" s="1" t="s">
        <v>926</v>
      </c>
      <c r="G6643" s="1">
        <v>1.0</v>
      </c>
      <c r="H6643" s="1">
        <v>0.25</v>
      </c>
      <c r="I6643" s="1">
        <v>-0.5</v>
      </c>
      <c r="J6643" s="1">
        <v>0.12388</v>
      </c>
    </row>
    <row r="6644">
      <c r="A6644" s="1">
        <v>2025.0</v>
      </c>
      <c r="B6644" s="1" t="s">
        <v>904</v>
      </c>
      <c r="C6644" s="1">
        <v>608671.0</v>
      </c>
      <c r="D6644" s="1" t="s">
        <v>541</v>
      </c>
      <c r="E6644" s="1" t="s">
        <v>927</v>
      </c>
      <c r="F6644" s="1" t="s">
        <v>927</v>
      </c>
      <c r="G6644" s="1">
        <v>3.0</v>
      </c>
      <c r="H6644" s="1">
        <v>0.75</v>
      </c>
      <c r="I6644" s="1">
        <v>4.16</v>
      </c>
      <c r="J6644" s="1">
        <v>0.104747</v>
      </c>
    </row>
    <row r="6645">
      <c r="A6645" s="1">
        <v>2025.0</v>
      </c>
      <c r="B6645" s="1" t="s">
        <v>108</v>
      </c>
      <c r="C6645" s="1">
        <v>663423.0</v>
      </c>
      <c r="D6645" s="1" t="s">
        <v>532</v>
      </c>
      <c r="E6645" s="1" t="s">
        <v>927</v>
      </c>
      <c r="F6645" s="1" t="s">
        <v>926</v>
      </c>
      <c r="G6645" s="1">
        <v>8.0</v>
      </c>
      <c r="H6645" s="1">
        <v>0.51783894</v>
      </c>
      <c r="I6645" s="1">
        <v>4.26</v>
      </c>
      <c r="J6645" s="1">
        <v>0.305329</v>
      </c>
    </row>
    <row r="6646">
      <c r="A6646" s="1">
        <v>2025.0</v>
      </c>
      <c r="B6646" s="1" t="s">
        <v>108</v>
      </c>
      <c r="C6646" s="1">
        <v>663423.0</v>
      </c>
      <c r="D6646" s="1" t="s">
        <v>541</v>
      </c>
      <c r="E6646" s="1" t="s">
        <v>927</v>
      </c>
      <c r="F6646" s="1" t="s">
        <v>926</v>
      </c>
      <c r="G6646" s="1">
        <v>108.0</v>
      </c>
      <c r="H6646" s="1">
        <v>6.990825688</v>
      </c>
      <c r="I6646" s="1">
        <v>4.97</v>
      </c>
      <c r="J6646" s="1">
        <v>2.447674</v>
      </c>
    </row>
    <row r="6647">
      <c r="A6647" s="1">
        <v>2025.0</v>
      </c>
      <c r="B6647" s="1" t="s">
        <v>108</v>
      </c>
      <c r="C6647" s="1">
        <v>663423.0</v>
      </c>
      <c r="D6647" s="1" t="s">
        <v>540</v>
      </c>
      <c r="E6647" s="1" t="s">
        <v>927</v>
      </c>
      <c r="F6647" s="1" t="s">
        <v>926</v>
      </c>
      <c r="G6647" s="1">
        <v>62.0</v>
      </c>
      <c r="H6647" s="1">
        <v>4.013251784</v>
      </c>
      <c r="I6647" s="1">
        <v>5.34</v>
      </c>
      <c r="J6647" s="1">
        <v>0.950034</v>
      </c>
    </row>
    <row r="6648">
      <c r="A6648" s="1">
        <v>2025.0</v>
      </c>
      <c r="B6648" s="1" t="s">
        <v>108</v>
      </c>
      <c r="C6648" s="1">
        <v>663423.0</v>
      </c>
      <c r="D6648" s="1" t="s">
        <v>537</v>
      </c>
      <c r="E6648" s="1" t="s">
        <v>927</v>
      </c>
      <c r="F6648" s="1" t="s">
        <v>926</v>
      </c>
      <c r="G6648" s="1">
        <v>114.0</v>
      </c>
      <c r="H6648" s="1">
        <v>7.379204893</v>
      </c>
      <c r="I6648" s="1">
        <v>4.92</v>
      </c>
      <c r="J6648" s="1">
        <v>2.784884</v>
      </c>
    </row>
    <row r="6649">
      <c r="A6649" s="1">
        <v>2025.0</v>
      </c>
      <c r="B6649" s="1" t="s">
        <v>108</v>
      </c>
      <c r="C6649" s="1">
        <v>663423.0</v>
      </c>
      <c r="D6649" s="1" t="s">
        <v>538</v>
      </c>
      <c r="E6649" s="1" t="s">
        <v>927</v>
      </c>
      <c r="F6649" s="1" t="s">
        <v>926</v>
      </c>
      <c r="G6649" s="1">
        <v>12.0</v>
      </c>
      <c r="H6649" s="1">
        <v>0.77675841</v>
      </c>
      <c r="I6649" s="1">
        <v>3.92</v>
      </c>
      <c r="J6649" s="1">
        <v>0.52937</v>
      </c>
    </row>
    <row r="6650">
      <c r="A6650" s="1">
        <v>2025.0</v>
      </c>
      <c r="B6650" s="1" t="s">
        <v>108</v>
      </c>
      <c r="C6650" s="1">
        <v>663423.0</v>
      </c>
      <c r="D6650" s="1" t="s">
        <v>533</v>
      </c>
      <c r="E6650" s="1" t="s">
        <v>927</v>
      </c>
      <c r="F6650" s="1" t="s">
        <v>926</v>
      </c>
      <c r="G6650" s="1">
        <v>4.0</v>
      </c>
      <c r="H6650" s="1">
        <v>0.25891947</v>
      </c>
      <c r="I6650" s="1">
        <v>5.28</v>
      </c>
      <c r="J6650" s="1">
        <v>0.060453</v>
      </c>
    </row>
    <row r="6651">
      <c r="A6651" s="1">
        <v>2025.0</v>
      </c>
      <c r="B6651" s="1" t="s">
        <v>108</v>
      </c>
      <c r="C6651" s="1">
        <v>663423.0</v>
      </c>
      <c r="D6651" s="1" t="s">
        <v>539</v>
      </c>
      <c r="E6651" s="1" t="s">
        <v>927</v>
      </c>
      <c r="F6651" s="1" t="s">
        <v>926</v>
      </c>
      <c r="G6651" s="1">
        <v>32.0</v>
      </c>
      <c r="H6651" s="1">
        <v>2.071355759</v>
      </c>
      <c r="I6651" s="1">
        <v>5.61</v>
      </c>
      <c r="J6651" s="1">
        <v>0.336533</v>
      </c>
    </row>
    <row r="6652">
      <c r="A6652" s="1">
        <v>2025.0</v>
      </c>
      <c r="B6652" s="1" t="s">
        <v>108</v>
      </c>
      <c r="C6652" s="1">
        <v>663423.0</v>
      </c>
      <c r="D6652" s="1" t="s">
        <v>532</v>
      </c>
      <c r="E6652" s="1" t="s">
        <v>927</v>
      </c>
      <c r="F6652" s="1" t="s">
        <v>927</v>
      </c>
      <c r="G6652" s="1">
        <v>1.0</v>
      </c>
      <c r="H6652" s="1">
        <v>0.064729867</v>
      </c>
      <c r="I6652" s="1">
        <v>4.34</v>
      </c>
      <c r="J6652" s="1">
        <v>0.033171</v>
      </c>
    </row>
    <row r="6653">
      <c r="A6653" s="1">
        <v>2025.0</v>
      </c>
      <c r="B6653" s="1" t="s">
        <v>108</v>
      </c>
      <c r="C6653" s="1">
        <v>663423.0</v>
      </c>
      <c r="D6653" s="1" t="s">
        <v>541</v>
      </c>
      <c r="E6653" s="1" t="s">
        <v>927</v>
      </c>
      <c r="F6653" s="1" t="s">
        <v>927</v>
      </c>
      <c r="G6653" s="1">
        <v>12.0</v>
      </c>
      <c r="H6653" s="1">
        <v>0.77675841</v>
      </c>
      <c r="I6653" s="1">
        <v>4.87</v>
      </c>
      <c r="J6653" s="1">
        <v>0.293373</v>
      </c>
    </row>
    <row r="6654">
      <c r="A6654" s="1">
        <v>2025.0</v>
      </c>
      <c r="B6654" s="1" t="s">
        <v>108</v>
      </c>
      <c r="C6654" s="1">
        <v>663423.0</v>
      </c>
      <c r="D6654" s="1" t="s">
        <v>540</v>
      </c>
      <c r="E6654" s="1" t="s">
        <v>927</v>
      </c>
      <c r="F6654" s="1" t="s">
        <v>927</v>
      </c>
      <c r="G6654" s="1">
        <v>81.0</v>
      </c>
      <c r="H6654" s="1">
        <v>5.243119266</v>
      </c>
      <c r="I6654" s="1">
        <v>5.42</v>
      </c>
      <c r="J6654" s="1">
        <v>1.095858</v>
      </c>
    </row>
    <row r="6655">
      <c r="A6655" s="1">
        <v>2025.0</v>
      </c>
      <c r="B6655" s="1" t="s">
        <v>108</v>
      </c>
      <c r="C6655" s="1">
        <v>663423.0</v>
      </c>
      <c r="D6655" s="1" t="s">
        <v>537</v>
      </c>
      <c r="E6655" s="1" t="s">
        <v>927</v>
      </c>
      <c r="F6655" s="1" t="s">
        <v>927</v>
      </c>
      <c r="G6655" s="1">
        <v>104.0</v>
      </c>
      <c r="H6655" s="1">
        <v>6.731906218</v>
      </c>
      <c r="I6655" s="1">
        <v>5.46</v>
      </c>
      <c r="J6655" s="1">
        <v>1.310936</v>
      </c>
    </row>
    <row r="6656">
      <c r="A6656" s="1">
        <v>2025.0</v>
      </c>
      <c r="B6656" s="1" t="s">
        <v>108</v>
      </c>
      <c r="C6656" s="1">
        <v>663423.0</v>
      </c>
      <c r="D6656" s="1" t="s">
        <v>538</v>
      </c>
      <c r="E6656" s="1" t="s">
        <v>927</v>
      </c>
      <c r="F6656" s="1" t="s">
        <v>927</v>
      </c>
      <c r="G6656" s="1">
        <v>3.0</v>
      </c>
      <c r="H6656" s="1">
        <v>0.194189602</v>
      </c>
      <c r="I6656" s="1">
        <v>5.65</v>
      </c>
      <c r="J6656" s="1">
        <v>0.019069</v>
      </c>
    </row>
    <row r="6657">
      <c r="A6657" s="1">
        <v>2025.0</v>
      </c>
      <c r="B6657" s="1" t="s">
        <v>108</v>
      </c>
      <c r="C6657" s="1">
        <v>663423.0</v>
      </c>
      <c r="D6657" s="1" t="s">
        <v>536</v>
      </c>
      <c r="E6657" s="1" t="s">
        <v>927</v>
      </c>
      <c r="F6657" s="1" t="s">
        <v>927</v>
      </c>
      <c r="G6657" s="1">
        <v>15.0</v>
      </c>
      <c r="H6657" s="1">
        <v>0.970948012</v>
      </c>
      <c r="I6657" s="1">
        <v>4.45</v>
      </c>
      <c r="J6657" s="1">
        <v>0.507291</v>
      </c>
    </row>
    <row r="6658">
      <c r="A6658" s="1">
        <v>2025.0</v>
      </c>
      <c r="B6658" s="1" t="s">
        <v>108</v>
      </c>
      <c r="C6658" s="1">
        <v>663423.0</v>
      </c>
      <c r="D6658" s="1" t="s">
        <v>533</v>
      </c>
      <c r="E6658" s="1" t="s">
        <v>927</v>
      </c>
      <c r="F6658" s="1" t="s">
        <v>927</v>
      </c>
      <c r="G6658" s="1">
        <v>8.0</v>
      </c>
      <c r="H6658" s="1">
        <v>0.51783894</v>
      </c>
      <c r="I6658" s="1">
        <v>5.99</v>
      </c>
      <c r="J6658" s="1">
        <v>0.006602</v>
      </c>
    </row>
    <row r="6659">
      <c r="A6659" s="1">
        <v>2025.0</v>
      </c>
      <c r="B6659" s="1" t="s">
        <v>108</v>
      </c>
      <c r="C6659" s="1">
        <v>663423.0</v>
      </c>
      <c r="D6659" s="1" t="s">
        <v>539</v>
      </c>
      <c r="E6659" s="1" t="s">
        <v>927</v>
      </c>
      <c r="F6659" s="1" t="s">
        <v>927</v>
      </c>
      <c r="G6659" s="1">
        <v>90.0</v>
      </c>
      <c r="H6659" s="1">
        <v>5.825688073</v>
      </c>
      <c r="I6659" s="1">
        <v>5.11</v>
      </c>
      <c r="J6659" s="1">
        <v>1.736204</v>
      </c>
    </row>
    <row r="6660">
      <c r="A6660" s="1">
        <v>2025.0</v>
      </c>
      <c r="B6660" s="1" t="s">
        <v>559</v>
      </c>
      <c r="C6660" s="1">
        <v>686790.0</v>
      </c>
      <c r="D6660" s="1" t="s">
        <v>532</v>
      </c>
      <c r="E6660" s="1" t="s">
        <v>927</v>
      </c>
      <c r="F6660" s="1" t="s">
        <v>926</v>
      </c>
      <c r="G6660" s="1">
        <v>12.0</v>
      </c>
      <c r="H6660" s="1">
        <v>0.849056604</v>
      </c>
      <c r="I6660" s="1">
        <v>4.3</v>
      </c>
      <c r="J6660" s="1">
        <v>0.413334</v>
      </c>
    </row>
    <row r="6661">
      <c r="A6661" s="1">
        <v>2025.0</v>
      </c>
      <c r="B6661" s="1" t="s">
        <v>559</v>
      </c>
      <c r="C6661" s="1">
        <v>686790.0</v>
      </c>
      <c r="D6661" s="1" t="s">
        <v>541</v>
      </c>
      <c r="E6661" s="1" t="s">
        <v>927</v>
      </c>
      <c r="F6661" s="1" t="s">
        <v>926</v>
      </c>
      <c r="G6661" s="1">
        <v>38.0</v>
      </c>
      <c r="H6661" s="1">
        <v>2.688679245</v>
      </c>
      <c r="I6661" s="1">
        <v>5.3</v>
      </c>
      <c r="J6661" s="1">
        <v>0.604536</v>
      </c>
    </row>
    <row r="6662">
      <c r="A6662" s="1">
        <v>2025.0</v>
      </c>
      <c r="B6662" s="1" t="s">
        <v>559</v>
      </c>
      <c r="C6662" s="1">
        <v>686790.0</v>
      </c>
      <c r="D6662" s="1" t="s">
        <v>536</v>
      </c>
      <c r="E6662" s="1" t="s">
        <v>927</v>
      </c>
      <c r="F6662" s="1" t="s">
        <v>926</v>
      </c>
      <c r="G6662" s="1">
        <v>33.0</v>
      </c>
      <c r="H6662" s="1">
        <v>2.33490566</v>
      </c>
      <c r="I6662" s="1">
        <v>4.9</v>
      </c>
      <c r="J6662" s="1">
        <v>0.789079</v>
      </c>
    </row>
    <row r="6663">
      <c r="A6663" s="1">
        <v>2025.0</v>
      </c>
      <c r="B6663" s="1" t="s">
        <v>559</v>
      </c>
      <c r="C6663" s="1">
        <v>686790.0</v>
      </c>
      <c r="D6663" s="1" t="s">
        <v>533</v>
      </c>
      <c r="E6663" s="1" t="s">
        <v>927</v>
      </c>
      <c r="F6663" s="1" t="s">
        <v>926</v>
      </c>
      <c r="G6663" s="1">
        <v>2.0</v>
      </c>
      <c r="H6663" s="1">
        <v>0.141509434</v>
      </c>
      <c r="I6663" s="1">
        <v>2.89</v>
      </c>
      <c r="J6663" s="1">
        <v>0.122872</v>
      </c>
    </row>
    <row r="6664">
      <c r="A6664" s="1">
        <v>2025.0</v>
      </c>
      <c r="B6664" s="1" t="s">
        <v>559</v>
      </c>
      <c r="C6664" s="1">
        <v>686790.0</v>
      </c>
      <c r="D6664" s="1" t="s">
        <v>541</v>
      </c>
      <c r="E6664" s="1" t="s">
        <v>927</v>
      </c>
      <c r="F6664" s="1" t="s">
        <v>927</v>
      </c>
      <c r="G6664" s="1">
        <v>71.0</v>
      </c>
      <c r="H6664" s="1">
        <v>5.023584906</v>
      </c>
      <c r="I6664" s="1">
        <v>5.33</v>
      </c>
      <c r="J6664" s="1">
        <v>1.073248</v>
      </c>
    </row>
    <row r="6665">
      <c r="A6665" s="1">
        <v>2025.0</v>
      </c>
      <c r="B6665" s="1" t="s">
        <v>559</v>
      </c>
      <c r="C6665" s="1">
        <v>686790.0</v>
      </c>
      <c r="D6665" s="1" t="s">
        <v>536</v>
      </c>
      <c r="E6665" s="1" t="s">
        <v>927</v>
      </c>
      <c r="F6665" s="1" t="s">
        <v>927</v>
      </c>
      <c r="G6665" s="1">
        <v>49.0</v>
      </c>
      <c r="H6665" s="1">
        <v>3.466981132</v>
      </c>
      <c r="I6665" s="1">
        <v>5.44</v>
      </c>
      <c r="J6665" s="1">
        <v>0.699694</v>
      </c>
    </row>
    <row r="6666">
      <c r="A6666" s="1">
        <v>2025.0</v>
      </c>
      <c r="B6666" s="1" t="s">
        <v>559</v>
      </c>
      <c r="C6666" s="1">
        <v>686790.0</v>
      </c>
      <c r="D6666" s="1" t="s">
        <v>533</v>
      </c>
      <c r="E6666" s="1" t="s">
        <v>927</v>
      </c>
      <c r="F6666" s="1" t="s">
        <v>927</v>
      </c>
      <c r="G6666" s="1">
        <v>7.0</v>
      </c>
      <c r="H6666" s="1">
        <v>0.495283019</v>
      </c>
      <c r="I6666" s="1">
        <v>5.44</v>
      </c>
      <c r="J6666" s="1">
        <v>0.101395</v>
      </c>
    </row>
    <row r="6667">
      <c r="A6667" s="1">
        <v>2025.0</v>
      </c>
      <c r="B6667" s="1" t="s">
        <v>13</v>
      </c>
      <c r="C6667" s="1">
        <v>656730.0</v>
      </c>
      <c r="D6667" s="1" t="s">
        <v>541</v>
      </c>
      <c r="E6667" s="1" t="s">
        <v>927</v>
      </c>
      <c r="F6667" s="1" t="s">
        <v>926</v>
      </c>
      <c r="G6667" s="1">
        <v>148.0</v>
      </c>
      <c r="H6667" s="1">
        <v>9.25</v>
      </c>
      <c r="I6667" s="1">
        <v>5.66</v>
      </c>
      <c r="J6667" s="1">
        <v>1.121839</v>
      </c>
    </row>
    <row r="6668">
      <c r="A6668" s="1">
        <v>2025.0</v>
      </c>
      <c r="B6668" s="1" t="s">
        <v>13</v>
      </c>
      <c r="C6668" s="1">
        <v>656730.0</v>
      </c>
      <c r="D6668" s="1" t="s">
        <v>537</v>
      </c>
      <c r="E6668" s="1" t="s">
        <v>927</v>
      </c>
      <c r="F6668" s="1" t="s">
        <v>926</v>
      </c>
      <c r="G6668" s="1">
        <v>253.0</v>
      </c>
      <c r="H6668" s="1">
        <v>15.8125</v>
      </c>
      <c r="I6668" s="1">
        <v>5.37</v>
      </c>
      <c r="J6668" s="1">
        <v>3.568114</v>
      </c>
    </row>
    <row r="6669">
      <c r="A6669" s="1">
        <v>2025.0</v>
      </c>
      <c r="B6669" s="1" t="s">
        <v>13</v>
      </c>
      <c r="C6669" s="1">
        <v>656730.0</v>
      </c>
      <c r="D6669" s="1" t="s">
        <v>541</v>
      </c>
      <c r="E6669" s="1" t="s">
        <v>927</v>
      </c>
      <c r="F6669" s="1" t="s">
        <v>927</v>
      </c>
      <c r="G6669" s="1">
        <v>148.0</v>
      </c>
      <c r="H6669" s="1">
        <v>9.25</v>
      </c>
      <c r="I6669" s="1">
        <v>5.36</v>
      </c>
      <c r="J6669" s="1">
        <v>2.133626</v>
      </c>
    </row>
    <row r="6670">
      <c r="A6670" s="1">
        <v>2025.0</v>
      </c>
      <c r="B6670" s="1" t="s">
        <v>13</v>
      </c>
      <c r="C6670" s="1">
        <v>656730.0</v>
      </c>
      <c r="D6670" s="1" t="s">
        <v>537</v>
      </c>
      <c r="E6670" s="1" t="s">
        <v>927</v>
      </c>
      <c r="F6670" s="1" t="s">
        <v>927</v>
      </c>
      <c r="G6670" s="1">
        <v>203.0</v>
      </c>
      <c r="H6670" s="1">
        <v>12.6875</v>
      </c>
      <c r="I6670" s="1">
        <v>5.56</v>
      </c>
      <c r="J6670" s="1">
        <v>2.136716</v>
      </c>
    </row>
    <row r="6671">
      <c r="A6671" s="1">
        <v>2025.0</v>
      </c>
      <c r="B6671" s="1" t="s">
        <v>869</v>
      </c>
      <c r="C6671" s="1">
        <v>670950.0</v>
      </c>
      <c r="D6671" s="1" t="s">
        <v>532</v>
      </c>
      <c r="E6671" s="1" t="s">
        <v>927</v>
      </c>
      <c r="F6671" s="1" t="s">
        <v>926</v>
      </c>
      <c r="G6671" s="1">
        <v>18.0</v>
      </c>
      <c r="H6671" s="1">
        <v>0.879310345</v>
      </c>
      <c r="I6671" s="1">
        <v>5.17</v>
      </c>
      <c r="J6671" s="1">
        <v>0.338632</v>
      </c>
    </row>
    <row r="6672">
      <c r="A6672" s="1">
        <v>2025.0</v>
      </c>
      <c r="B6672" s="1" t="s">
        <v>869</v>
      </c>
      <c r="C6672" s="1">
        <v>670950.0</v>
      </c>
      <c r="D6672" s="1" t="s">
        <v>537</v>
      </c>
      <c r="E6672" s="1" t="s">
        <v>927</v>
      </c>
      <c r="F6672" s="1" t="s">
        <v>926</v>
      </c>
      <c r="G6672" s="1">
        <v>17.0</v>
      </c>
      <c r="H6672" s="1">
        <v>0.83045977</v>
      </c>
      <c r="I6672" s="1">
        <v>5.54</v>
      </c>
      <c r="J6672" s="1">
        <v>0.193501</v>
      </c>
    </row>
    <row r="6673">
      <c r="A6673" s="1">
        <v>2025.0</v>
      </c>
      <c r="B6673" s="1" t="s">
        <v>869</v>
      </c>
      <c r="C6673" s="1">
        <v>670950.0</v>
      </c>
      <c r="D6673" s="1" t="s">
        <v>533</v>
      </c>
      <c r="E6673" s="1" t="s">
        <v>927</v>
      </c>
      <c r="F6673" s="1" t="s">
        <v>926</v>
      </c>
      <c r="G6673" s="1">
        <v>1.0</v>
      </c>
      <c r="H6673" s="1">
        <v>0.048850575</v>
      </c>
      <c r="I6673" s="1">
        <v>6.25</v>
      </c>
      <c r="J6673" s="1">
        <v>-0.001597</v>
      </c>
    </row>
    <row r="6674">
      <c r="A6674" s="1">
        <v>2025.0</v>
      </c>
      <c r="B6674" s="1" t="s">
        <v>869</v>
      </c>
      <c r="C6674" s="1">
        <v>670950.0</v>
      </c>
      <c r="D6674" s="1" t="s">
        <v>532</v>
      </c>
      <c r="E6674" s="1" t="s">
        <v>927</v>
      </c>
      <c r="F6674" s="1" t="s">
        <v>927</v>
      </c>
      <c r="G6674" s="1">
        <v>18.0</v>
      </c>
      <c r="H6674" s="1">
        <v>0.879310345</v>
      </c>
      <c r="I6674" s="1">
        <v>5.14</v>
      </c>
      <c r="J6674" s="1">
        <v>0.332012</v>
      </c>
    </row>
    <row r="6675">
      <c r="A6675" s="1">
        <v>2025.0</v>
      </c>
      <c r="B6675" s="1" t="s">
        <v>869</v>
      </c>
      <c r="C6675" s="1">
        <v>670950.0</v>
      </c>
      <c r="D6675" s="1" t="s">
        <v>537</v>
      </c>
      <c r="E6675" s="1" t="s">
        <v>927</v>
      </c>
      <c r="F6675" s="1" t="s">
        <v>927</v>
      </c>
      <c r="G6675" s="1">
        <v>51.0</v>
      </c>
      <c r="H6675" s="1">
        <v>2.49137931</v>
      </c>
      <c r="I6675" s="1">
        <v>5.26</v>
      </c>
      <c r="J6675" s="1">
        <v>0.914158</v>
      </c>
    </row>
    <row r="6676">
      <c r="A6676" s="1">
        <v>2025.0</v>
      </c>
      <c r="B6676" s="1" t="s">
        <v>869</v>
      </c>
      <c r="C6676" s="1">
        <v>670950.0</v>
      </c>
      <c r="D6676" s="1" t="s">
        <v>533</v>
      </c>
      <c r="E6676" s="1" t="s">
        <v>927</v>
      </c>
      <c r="F6676" s="1" t="s">
        <v>927</v>
      </c>
      <c r="G6676" s="1">
        <v>11.0</v>
      </c>
      <c r="H6676" s="1">
        <v>0.537356322</v>
      </c>
      <c r="I6676" s="1">
        <v>5.1</v>
      </c>
      <c r="J6676" s="1">
        <v>0.209427</v>
      </c>
    </row>
    <row r="6677">
      <c r="A6677" s="1">
        <v>2025.0</v>
      </c>
      <c r="B6677" s="1" t="s">
        <v>218</v>
      </c>
      <c r="C6677" s="1">
        <v>669432.0</v>
      </c>
      <c r="D6677" s="1" t="s">
        <v>532</v>
      </c>
      <c r="E6677" s="1" t="s">
        <v>926</v>
      </c>
      <c r="F6677" s="1" t="s">
        <v>926</v>
      </c>
      <c r="G6677" s="1">
        <v>38.0</v>
      </c>
      <c r="H6677" s="1">
        <v>2.561360377</v>
      </c>
      <c r="I6677" s="1">
        <v>5.49</v>
      </c>
      <c r="J6677" s="1">
        <v>0.462548</v>
      </c>
    </row>
    <row r="6678">
      <c r="A6678" s="1">
        <v>2025.0</v>
      </c>
      <c r="B6678" s="1" t="s">
        <v>218</v>
      </c>
      <c r="C6678" s="1">
        <v>669432.0</v>
      </c>
      <c r="D6678" s="1" t="s">
        <v>537</v>
      </c>
      <c r="E6678" s="1" t="s">
        <v>926</v>
      </c>
      <c r="F6678" s="1" t="s">
        <v>926</v>
      </c>
      <c r="G6678" s="1">
        <v>83.0</v>
      </c>
      <c r="H6678" s="1">
        <v>5.594550297</v>
      </c>
      <c r="I6678" s="1">
        <v>4.87</v>
      </c>
      <c r="J6678" s="1">
        <v>2.079611</v>
      </c>
    </row>
    <row r="6679">
      <c r="A6679" s="1">
        <v>2025.0</v>
      </c>
      <c r="B6679" s="1" t="s">
        <v>218</v>
      </c>
      <c r="C6679" s="1">
        <v>669432.0</v>
      </c>
      <c r="D6679" s="1" t="s">
        <v>536</v>
      </c>
      <c r="E6679" s="1" t="s">
        <v>926</v>
      </c>
      <c r="F6679" s="1" t="s">
        <v>926</v>
      </c>
      <c r="G6679" s="1">
        <v>80.0</v>
      </c>
      <c r="H6679" s="1">
        <v>5.392337636</v>
      </c>
      <c r="I6679" s="1">
        <v>5.69</v>
      </c>
      <c r="J6679" s="1">
        <v>0.662228</v>
      </c>
    </row>
    <row r="6680">
      <c r="A6680" s="1">
        <v>2025.0</v>
      </c>
      <c r="B6680" s="1" t="s">
        <v>218</v>
      </c>
      <c r="C6680" s="1">
        <v>669432.0</v>
      </c>
      <c r="D6680" s="1" t="s">
        <v>533</v>
      </c>
      <c r="E6680" s="1" t="s">
        <v>926</v>
      </c>
      <c r="F6680" s="1" t="s">
        <v>926</v>
      </c>
      <c r="G6680" s="1">
        <v>71.0</v>
      </c>
      <c r="H6680" s="1">
        <v>4.785699652</v>
      </c>
      <c r="I6680" s="1">
        <v>5.29</v>
      </c>
      <c r="J6680" s="1">
        <v>1.172116</v>
      </c>
    </row>
    <row r="6681">
      <c r="A6681" s="1">
        <v>2025.0</v>
      </c>
      <c r="B6681" s="1" t="s">
        <v>218</v>
      </c>
      <c r="C6681" s="1">
        <v>669432.0</v>
      </c>
      <c r="D6681" s="1" t="s">
        <v>539</v>
      </c>
      <c r="E6681" s="1" t="s">
        <v>926</v>
      </c>
      <c r="F6681" s="1" t="s">
        <v>926</v>
      </c>
      <c r="G6681" s="1">
        <v>27.0</v>
      </c>
      <c r="H6681" s="1">
        <v>1.819913952</v>
      </c>
      <c r="I6681" s="1">
        <v>5.23</v>
      </c>
      <c r="J6681" s="1">
        <v>0.43952</v>
      </c>
    </row>
    <row r="6682">
      <c r="A6682" s="1">
        <v>2025.0</v>
      </c>
      <c r="B6682" s="1" t="s">
        <v>218</v>
      </c>
      <c r="C6682" s="1">
        <v>669432.0</v>
      </c>
      <c r="D6682" s="1" t="s">
        <v>532</v>
      </c>
      <c r="E6682" s="1" t="s">
        <v>926</v>
      </c>
      <c r="F6682" s="1" t="s">
        <v>927</v>
      </c>
      <c r="G6682" s="1">
        <v>368.0</v>
      </c>
      <c r="H6682" s="1">
        <v>24.80475312</v>
      </c>
      <c r="I6682" s="1">
        <v>5.23</v>
      </c>
      <c r="J6682" s="1">
        <v>6.342252</v>
      </c>
    </row>
    <row r="6683">
      <c r="A6683" s="1">
        <v>2025.0</v>
      </c>
      <c r="B6683" s="1" t="s">
        <v>218</v>
      </c>
      <c r="C6683" s="1">
        <v>669432.0</v>
      </c>
      <c r="D6683" s="1" t="s">
        <v>537</v>
      </c>
      <c r="E6683" s="1" t="s">
        <v>926</v>
      </c>
      <c r="F6683" s="1" t="s">
        <v>927</v>
      </c>
      <c r="G6683" s="1">
        <v>579.0</v>
      </c>
      <c r="H6683" s="1">
        <v>39.02704364</v>
      </c>
      <c r="I6683" s="1">
        <v>4.84</v>
      </c>
      <c r="J6683" s="1">
        <v>14.993948</v>
      </c>
    </row>
    <row r="6684">
      <c r="A6684" s="1">
        <v>2025.0</v>
      </c>
      <c r="B6684" s="1" t="s">
        <v>218</v>
      </c>
      <c r="C6684" s="1">
        <v>669432.0</v>
      </c>
      <c r="D6684" s="1" t="s">
        <v>536</v>
      </c>
      <c r="E6684" s="1" t="s">
        <v>926</v>
      </c>
      <c r="F6684" s="1" t="s">
        <v>927</v>
      </c>
      <c r="G6684" s="1">
        <v>166.0</v>
      </c>
      <c r="H6684" s="1">
        <v>11.18910059</v>
      </c>
      <c r="I6684" s="1">
        <v>4.6</v>
      </c>
      <c r="J6684" s="1">
        <v>4.973929</v>
      </c>
    </row>
    <row r="6685">
      <c r="A6685" s="1">
        <v>2025.0</v>
      </c>
      <c r="B6685" s="1" t="s">
        <v>218</v>
      </c>
      <c r="C6685" s="1">
        <v>669432.0</v>
      </c>
      <c r="D6685" s="1" t="s">
        <v>533</v>
      </c>
      <c r="E6685" s="1" t="s">
        <v>926</v>
      </c>
      <c r="F6685" s="1" t="s">
        <v>927</v>
      </c>
      <c r="G6685" s="1">
        <v>145.0</v>
      </c>
      <c r="H6685" s="1">
        <v>9.773611965</v>
      </c>
      <c r="I6685" s="1">
        <v>4.92</v>
      </c>
      <c r="J6685" s="1">
        <v>3.421416</v>
      </c>
    </row>
    <row r="6686">
      <c r="A6686" s="1">
        <v>2025.0</v>
      </c>
      <c r="B6686" s="1" t="s">
        <v>218</v>
      </c>
      <c r="C6686" s="1">
        <v>669432.0</v>
      </c>
      <c r="D6686" s="1" t="s">
        <v>539</v>
      </c>
      <c r="E6686" s="1" t="s">
        <v>926</v>
      </c>
      <c r="F6686" s="1" t="s">
        <v>927</v>
      </c>
      <c r="G6686" s="1">
        <v>70.0</v>
      </c>
      <c r="H6686" s="1">
        <v>4.718295431</v>
      </c>
      <c r="I6686" s="1">
        <v>4.82</v>
      </c>
      <c r="J6686" s="1">
        <v>1.732682</v>
      </c>
    </row>
    <row r="6687">
      <c r="A6687" s="1">
        <v>2025.0</v>
      </c>
      <c r="B6687" s="1" t="s">
        <v>148</v>
      </c>
      <c r="C6687" s="1">
        <v>592866.0</v>
      </c>
      <c r="D6687" s="1" t="s">
        <v>532</v>
      </c>
      <c r="E6687" s="1" t="s">
        <v>927</v>
      </c>
      <c r="F6687" s="1" t="s">
        <v>926</v>
      </c>
      <c r="G6687" s="1">
        <v>158.0</v>
      </c>
      <c r="H6687" s="1">
        <v>9.026491592</v>
      </c>
      <c r="I6687" s="1">
        <v>4.73</v>
      </c>
      <c r="J6687" s="1">
        <v>4.232663</v>
      </c>
    </row>
    <row r="6688">
      <c r="A6688" s="1">
        <v>2025.0</v>
      </c>
      <c r="B6688" s="1" t="s">
        <v>148</v>
      </c>
      <c r="C6688" s="1">
        <v>592866.0</v>
      </c>
      <c r="D6688" s="1" t="s">
        <v>537</v>
      </c>
      <c r="E6688" s="1" t="s">
        <v>927</v>
      </c>
      <c r="F6688" s="1" t="s">
        <v>926</v>
      </c>
      <c r="G6688" s="1">
        <v>350.0</v>
      </c>
      <c r="H6688" s="1">
        <v>19.99539277</v>
      </c>
      <c r="I6688" s="1">
        <v>5.38</v>
      </c>
      <c r="J6688" s="1">
        <v>4.987829</v>
      </c>
    </row>
    <row r="6689">
      <c r="A6689" s="1">
        <v>2025.0</v>
      </c>
      <c r="B6689" s="1" t="s">
        <v>148</v>
      </c>
      <c r="C6689" s="1">
        <v>592866.0</v>
      </c>
      <c r="D6689" s="1" t="s">
        <v>536</v>
      </c>
      <c r="E6689" s="1" t="s">
        <v>927</v>
      </c>
      <c r="F6689" s="1" t="s">
        <v>926</v>
      </c>
      <c r="G6689" s="1">
        <v>35.0</v>
      </c>
      <c r="H6689" s="1">
        <v>1.999539277</v>
      </c>
      <c r="I6689" s="1">
        <v>4.78</v>
      </c>
      <c r="J6689" s="1">
        <v>0.939231</v>
      </c>
    </row>
    <row r="6690">
      <c r="A6690" s="1">
        <v>2025.0</v>
      </c>
      <c r="B6690" s="1" t="s">
        <v>148</v>
      </c>
      <c r="C6690" s="1">
        <v>592866.0</v>
      </c>
      <c r="D6690" s="1" t="s">
        <v>533</v>
      </c>
      <c r="E6690" s="1" t="s">
        <v>927</v>
      </c>
      <c r="F6690" s="1" t="s">
        <v>926</v>
      </c>
      <c r="G6690" s="1">
        <v>56.0</v>
      </c>
      <c r="H6690" s="1">
        <v>3.199262843</v>
      </c>
      <c r="I6690" s="1">
        <v>5.29</v>
      </c>
      <c r="J6690" s="1">
        <v>0.920225</v>
      </c>
    </row>
    <row r="6691">
      <c r="A6691" s="1">
        <v>2025.0</v>
      </c>
      <c r="B6691" s="1" t="s">
        <v>148</v>
      </c>
      <c r="C6691" s="1">
        <v>592866.0</v>
      </c>
      <c r="D6691" s="1" t="s">
        <v>539</v>
      </c>
      <c r="E6691" s="1" t="s">
        <v>927</v>
      </c>
      <c r="F6691" s="1" t="s">
        <v>926</v>
      </c>
      <c r="G6691" s="1">
        <v>210.0</v>
      </c>
      <c r="H6691" s="1">
        <v>11.99723566</v>
      </c>
      <c r="I6691" s="1">
        <v>5.29</v>
      </c>
      <c r="J6691" s="1">
        <v>3.275425</v>
      </c>
    </row>
    <row r="6692">
      <c r="A6692" s="1">
        <v>2025.0</v>
      </c>
      <c r="B6692" s="1" t="s">
        <v>148</v>
      </c>
      <c r="C6692" s="1">
        <v>592866.0</v>
      </c>
      <c r="D6692" s="1" t="s">
        <v>532</v>
      </c>
      <c r="E6692" s="1" t="s">
        <v>927</v>
      </c>
      <c r="F6692" s="1" t="s">
        <v>927</v>
      </c>
      <c r="G6692" s="1">
        <v>29.0</v>
      </c>
      <c r="H6692" s="1">
        <v>1.656761115</v>
      </c>
      <c r="I6692" s="1">
        <v>4.98</v>
      </c>
      <c r="J6692" s="1">
        <v>0.599021</v>
      </c>
    </row>
    <row r="6693">
      <c r="A6693" s="1">
        <v>2025.0</v>
      </c>
      <c r="B6693" s="1" t="s">
        <v>148</v>
      </c>
      <c r="C6693" s="1">
        <v>592866.0</v>
      </c>
      <c r="D6693" s="1" t="s">
        <v>537</v>
      </c>
      <c r="E6693" s="1" t="s">
        <v>927</v>
      </c>
      <c r="F6693" s="1" t="s">
        <v>927</v>
      </c>
      <c r="G6693" s="1">
        <v>267.0</v>
      </c>
      <c r="H6693" s="1">
        <v>15.2536282</v>
      </c>
      <c r="I6693" s="1">
        <v>5.5</v>
      </c>
      <c r="J6693" s="1">
        <v>3.243204</v>
      </c>
    </row>
    <row r="6694">
      <c r="A6694" s="1">
        <v>2025.0</v>
      </c>
      <c r="B6694" s="1" t="s">
        <v>148</v>
      </c>
      <c r="C6694" s="1">
        <v>592866.0</v>
      </c>
      <c r="D6694" s="1" t="s">
        <v>536</v>
      </c>
      <c r="E6694" s="1" t="s">
        <v>927</v>
      </c>
      <c r="F6694" s="1" t="s">
        <v>927</v>
      </c>
      <c r="G6694" s="1">
        <v>83.0</v>
      </c>
      <c r="H6694" s="1">
        <v>4.74176457</v>
      </c>
      <c r="I6694" s="1">
        <v>4.63</v>
      </c>
      <c r="J6694" s="1">
        <v>2.491485</v>
      </c>
    </row>
    <row r="6695">
      <c r="A6695" s="1">
        <v>2025.0</v>
      </c>
      <c r="B6695" s="1" t="s">
        <v>148</v>
      </c>
      <c r="C6695" s="1">
        <v>592866.0</v>
      </c>
      <c r="D6695" s="1" t="s">
        <v>533</v>
      </c>
      <c r="E6695" s="1" t="s">
        <v>927</v>
      </c>
      <c r="F6695" s="1" t="s">
        <v>927</v>
      </c>
      <c r="G6695" s="1">
        <v>64.0</v>
      </c>
      <c r="H6695" s="1">
        <v>3.656300392</v>
      </c>
      <c r="I6695" s="1">
        <v>5.11</v>
      </c>
      <c r="J6695" s="1">
        <v>1.255499</v>
      </c>
    </row>
    <row r="6696">
      <c r="A6696" s="1">
        <v>2025.0</v>
      </c>
      <c r="B6696" s="1" t="s">
        <v>148</v>
      </c>
      <c r="C6696" s="1">
        <v>592866.0</v>
      </c>
      <c r="D6696" s="1" t="s">
        <v>539</v>
      </c>
      <c r="E6696" s="1" t="s">
        <v>927</v>
      </c>
      <c r="F6696" s="1" t="s">
        <v>927</v>
      </c>
      <c r="G6696" s="1">
        <v>195.0</v>
      </c>
      <c r="H6696" s="1">
        <v>11.14029026</v>
      </c>
      <c r="I6696" s="1">
        <v>5.1</v>
      </c>
      <c r="J6696" s="1">
        <v>3.80357</v>
      </c>
    </row>
    <row r="6697">
      <c r="A6697" s="1">
        <v>2025.0</v>
      </c>
      <c r="B6697" s="1" t="s">
        <v>589</v>
      </c>
      <c r="C6697" s="1">
        <v>702056.0</v>
      </c>
      <c r="D6697" s="1" t="s">
        <v>537</v>
      </c>
      <c r="E6697" s="1" t="s">
        <v>927</v>
      </c>
      <c r="F6697" s="1" t="s">
        <v>926</v>
      </c>
      <c r="G6697" s="1">
        <v>68.0</v>
      </c>
      <c r="H6697" s="1">
        <v>3.983263598</v>
      </c>
      <c r="I6697" s="1">
        <v>4.63</v>
      </c>
      <c r="J6697" s="1">
        <v>1.96005</v>
      </c>
    </row>
    <row r="6698">
      <c r="A6698" s="1">
        <v>2025.0</v>
      </c>
      <c r="B6698" s="1" t="s">
        <v>589</v>
      </c>
      <c r="C6698" s="1">
        <v>702056.0</v>
      </c>
      <c r="D6698" s="1" t="s">
        <v>538</v>
      </c>
      <c r="E6698" s="1" t="s">
        <v>927</v>
      </c>
      <c r="F6698" s="1" t="s">
        <v>926</v>
      </c>
      <c r="G6698" s="1">
        <v>47.0</v>
      </c>
      <c r="H6698" s="1">
        <v>2.753138075</v>
      </c>
      <c r="I6698" s="1">
        <v>4.94</v>
      </c>
      <c r="J6698" s="1">
        <v>1.052403</v>
      </c>
    </row>
    <row r="6699">
      <c r="A6699" s="1">
        <v>2025.0</v>
      </c>
      <c r="B6699" s="1" t="s">
        <v>589</v>
      </c>
      <c r="C6699" s="1">
        <v>702056.0</v>
      </c>
      <c r="D6699" s="1" t="s">
        <v>533</v>
      </c>
      <c r="E6699" s="1" t="s">
        <v>927</v>
      </c>
      <c r="F6699" s="1" t="s">
        <v>926</v>
      </c>
      <c r="G6699" s="1">
        <v>22.0</v>
      </c>
      <c r="H6699" s="1">
        <v>1.288702929</v>
      </c>
      <c r="I6699" s="1">
        <v>4.85</v>
      </c>
      <c r="J6699" s="1">
        <v>0.547193</v>
      </c>
    </row>
    <row r="6700">
      <c r="A6700" s="1">
        <v>2025.0</v>
      </c>
      <c r="B6700" s="1" t="s">
        <v>589</v>
      </c>
      <c r="C6700" s="1">
        <v>702056.0</v>
      </c>
      <c r="D6700" s="1" t="s">
        <v>537</v>
      </c>
      <c r="E6700" s="1" t="s">
        <v>927</v>
      </c>
      <c r="F6700" s="1" t="s">
        <v>927</v>
      </c>
      <c r="G6700" s="1">
        <v>40.0</v>
      </c>
      <c r="H6700" s="1">
        <v>2.343096234</v>
      </c>
      <c r="I6700" s="1">
        <v>5.21</v>
      </c>
      <c r="J6700" s="1">
        <v>0.721563</v>
      </c>
    </row>
    <row r="6701">
      <c r="A6701" s="1">
        <v>2025.0</v>
      </c>
      <c r="B6701" s="1" t="s">
        <v>589</v>
      </c>
      <c r="C6701" s="1">
        <v>702056.0</v>
      </c>
      <c r="D6701" s="1" t="s">
        <v>538</v>
      </c>
      <c r="E6701" s="1" t="s">
        <v>927</v>
      </c>
      <c r="F6701" s="1" t="s">
        <v>927</v>
      </c>
      <c r="G6701" s="1">
        <v>16.0</v>
      </c>
      <c r="H6701" s="1">
        <v>0.937238494</v>
      </c>
      <c r="I6701" s="1">
        <v>4.25</v>
      </c>
      <c r="J6701" s="1">
        <v>0.560218</v>
      </c>
    </row>
    <row r="6702">
      <c r="A6702" s="1">
        <v>2025.0</v>
      </c>
      <c r="B6702" s="1" t="s">
        <v>589</v>
      </c>
      <c r="C6702" s="1">
        <v>702056.0</v>
      </c>
      <c r="D6702" s="1" t="s">
        <v>533</v>
      </c>
      <c r="E6702" s="1" t="s">
        <v>927</v>
      </c>
      <c r="F6702" s="1" t="s">
        <v>927</v>
      </c>
      <c r="G6702" s="1">
        <v>46.0</v>
      </c>
      <c r="H6702" s="1">
        <v>2.694560669</v>
      </c>
      <c r="I6702" s="1">
        <v>4.95</v>
      </c>
      <c r="J6702" s="1">
        <v>1.043455</v>
      </c>
    </row>
    <row r="6703">
      <c r="A6703" s="1">
        <v>2025.0</v>
      </c>
      <c r="B6703" s="1" t="s">
        <v>124</v>
      </c>
      <c r="C6703" s="1">
        <v>663941.0</v>
      </c>
      <c r="D6703" s="1" t="s">
        <v>541</v>
      </c>
      <c r="E6703" s="1" t="s">
        <v>927</v>
      </c>
      <c r="F6703" s="1" t="s">
        <v>926</v>
      </c>
      <c r="G6703" s="1">
        <v>99.0</v>
      </c>
      <c r="H6703" s="1">
        <v>6.883435583</v>
      </c>
      <c r="I6703" s="1">
        <v>4.68</v>
      </c>
      <c r="J6703" s="1">
        <v>2.744498</v>
      </c>
    </row>
    <row r="6704">
      <c r="A6704" s="1">
        <v>2025.0</v>
      </c>
      <c r="B6704" s="1" t="s">
        <v>124</v>
      </c>
      <c r="C6704" s="1">
        <v>663941.0</v>
      </c>
      <c r="D6704" s="1" t="s">
        <v>537</v>
      </c>
      <c r="E6704" s="1" t="s">
        <v>927</v>
      </c>
      <c r="F6704" s="1" t="s">
        <v>926</v>
      </c>
      <c r="G6704" s="1">
        <v>127.0</v>
      </c>
      <c r="H6704" s="1">
        <v>8.830265849</v>
      </c>
      <c r="I6704" s="1">
        <v>4.49</v>
      </c>
      <c r="J6704" s="1">
        <v>4.047164</v>
      </c>
    </row>
    <row r="6705">
      <c r="A6705" s="1">
        <v>2025.0</v>
      </c>
      <c r="B6705" s="1" t="s">
        <v>124</v>
      </c>
      <c r="C6705" s="1">
        <v>663941.0</v>
      </c>
      <c r="D6705" s="1" t="s">
        <v>533</v>
      </c>
      <c r="E6705" s="1" t="s">
        <v>927</v>
      </c>
      <c r="F6705" s="1" t="s">
        <v>926</v>
      </c>
      <c r="G6705" s="1">
        <v>80.0</v>
      </c>
      <c r="H6705" s="1">
        <v>5.562372188</v>
      </c>
      <c r="I6705" s="1">
        <v>5.01</v>
      </c>
      <c r="J6705" s="1">
        <v>1.744625</v>
      </c>
    </row>
    <row r="6706">
      <c r="A6706" s="1">
        <v>2025.0</v>
      </c>
      <c r="B6706" s="1" t="s">
        <v>124</v>
      </c>
      <c r="C6706" s="1">
        <v>663941.0</v>
      </c>
      <c r="D6706" s="1" t="s">
        <v>539</v>
      </c>
      <c r="E6706" s="1" t="s">
        <v>927</v>
      </c>
      <c r="F6706" s="1" t="s">
        <v>926</v>
      </c>
      <c r="G6706" s="1">
        <v>94.0</v>
      </c>
      <c r="H6706" s="1">
        <v>6.535787321</v>
      </c>
      <c r="I6706" s="1">
        <v>5.26</v>
      </c>
      <c r="J6706" s="1">
        <v>1.502396</v>
      </c>
    </row>
    <row r="6707">
      <c r="A6707" s="1">
        <v>2025.0</v>
      </c>
      <c r="B6707" s="1" t="s">
        <v>124</v>
      </c>
      <c r="C6707" s="1">
        <v>663941.0</v>
      </c>
      <c r="D6707" s="1" t="s">
        <v>541</v>
      </c>
      <c r="E6707" s="1" t="s">
        <v>927</v>
      </c>
      <c r="F6707" s="1" t="s">
        <v>927</v>
      </c>
      <c r="G6707" s="1">
        <v>41.0</v>
      </c>
      <c r="H6707" s="1">
        <v>2.850715746</v>
      </c>
      <c r="I6707" s="1">
        <v>5.35</v>
      </c>
      <c r="J6707" s="1">
        <v>0.627523</v>
      </c>
    </row>
    <row r="6708">
      <c r="A6708" s="1">
        <v>2025.0</v>
      </c>
      <c r="B6708" s="1" t="s">
        <v>124</v>
      </c>
      <c r="C6708" s="1">
        <v>663941.0</v>
      </c>
      <c r="D6708" s="1" t="s">
        <v>537</v>
      </c>
      <c r="E6708" s="1" t="s">
        <v>927</v>
      </c>
      <c r="F6708" s="1" t="s">
        <v>927</v>
      </c>
      <c r="G6708" s="1">
        <v>142.0</v>
      </c>
      <c r="H6708" s="1">
        <v>9.873210634</v>
      </c>
      <c r="I6708" s="1">
        <v>4.95</v>
      </c>
      <c r="J6708" s="1">
        <v>3.330765</v>
      </c>
    </row>
    <row r="6709">
      <c r="A6709" s="1">
        <v>2025.0</v>
      </c>
      <c r="B6709" s="1" t="s">
        <v>124</v>
      </c>
      <c r="C6709" s="1">
        <v>663941.0</v>
      </c>
      <c r="D6709" s="1" t="s">
        <v>533</v>
      </c>
      <c r="E6709" s="1" t="s">
        <v>927</v>
      </c>
      <c r="F6709" s="1" t="s">
        <v>927</v>
      </c>
      <c r="G6709" s="1">
        <v>98.0</v>
      </c>
      <c r="H6709" s="1">
        <v>6.81390593</v>
      </c>
      <c r="I6709" s="1">
        <v>5.33</v>
      </c>
      <c r="J6709" s="1">
        <v>1.571476</v>
      </c>
    </row>
    <row r="6710">
      <c r="A6710" s="1">
        <v>2025.0</v>
      </c>
      <c r="B6710" s="1" t="s">
        <v>124</v>
      </c>
      <c r="C6710" s="1">
        <v>663941.0</v>
      </c>
      <c r="D6710" s="1" t="s">
        <v>539</v>
      </c>
      <c r="E6710" s="1" t="s">
        <v>927</v>
      </c>
      <c r="F6710" s="1" t="s">
        <v>927</v>
      </c>
      <c r="G6710" s="1">
        <v>134.0</v>
      </c>
      <c r="H6710" s="1">
        <v>9.316973415</v>
      </c>
      <c r="I6710" s="1">
        <v>5.49</v>
      </c>
      <c r="J6710" s="1">
        <v>1.534923</v>
      </c>
    </row>
    <row r="6711">
      <c r="A6711" s="1">
        <v>2025.0</v>
      </c>
      <c r="B6711" s="1" t="s">
        <v>765</v>
      </c>
      <c r="C6711" s="1">
        <v>663474.0</v>
      </c>
      <c r="D6711" s="1" t="s">
        <v>541</v>
      </c>
      <c r="E6711" s="1" t="s">
        <v>927</v>
      </c>
      <c r="F6711" s="1" t="s">
        <v>926</v>
      </c>
      <c r="G6711" s="1">
        <v>11.0</v>
      </c>
      <c r="H6711" s="1">
        <v>0.506775068</v>
      </c>
      <c r="I6711" s="1">
        <v>3.13</v>
      </c>
      <c r="J6711" s="1">
        <v>0.677245</v>
      </c>
    </row>
    <row r="6712">
      <c r="A6712" s="1">
        <v>2025.0</v>
      </c>
      <c r="B6712" s="1" t="s">
        <v>765</v>
      </c>
      <c r="C6712" s="1">
        <v>663474.0</v>
      </c>
      <c r="D6712" s="1" t="s">
        <v>537</v>
      </c>
      <c r="E6712" s="1" t="s">
        <v>927</v>
      </c>
      <c r="F6712" s="1" t="s">
        <v>926</v>
      </c>
      <c r="G6712" s="1">
        <v>44.0</v>
      </c>
      <c r="H6712" s="1">
        <v>2.027100271</v>
      </c>
      <c r="I6712" s="1">
        <v>4.65</v>
      </c>
      <c r="J6712" s="1">
        <v>1.374822</v>
      </c>
    </row>
    <row r="6713">
      <c r="A6713" s="1">
        <v>2025.0</v>
      </c>
      <c r="B6713" s="1" t="s">
        <v>765</v>
      </c>
      <c r="C6713" s="1">
        <v>663474.0</v>
      </c>
      <c r="D6713" s="1" t="s">
        <v>541</v>
      </c>
      <c r="E6713" s="1" t="s">
        <v>927</v>
      </c>
      <c r="F6713" s="1" t="s">
        <v>927</v>
      </c>
      <c r="G6713" s="1">
        <v>5.0</v>
      </c>
      <c r="H6713" s="1">
        <v>0.230352304</v>
      </c>
      <c r="I6713" s="1">
        <v>4.29</v>
      </c>
      <c r="J6713" s="1">
        <v>0.192749</v>
      </c>
    </row>
    <row r="6714">
      <c r="A6714" s="1">
        <v>2025.0</v>
      </c>
      <c r="B6714" s="1" t="s">
        <v>765</v>
      </c>
      <c r="C6714" s="1">
        <v>663474.0</v>
      </c>
      <c r="D6714" s="1" t="s">
        <v>537</v>
      </c>
      <c r="E6714" s="1" t="s">
        <v>927</v>
      </c>
      <c r="F6714" s="1" t="s">
        <v>927</v>
      </c>
      <c r="G6714" s="1">
        <v>55.0</v>
      </c>
      <c r="H6714" s="1">
        <v>2.533875339</v>
      </c>
      <c r="I6714" s="1">
        <v>4.41</v>
      </c>
      <c r="J6714" s="1">
        <v>2.036359</v>
      </c>
    </row>
    <row r="6715">
      <c r="A6715" s="1">
        <v>2025.0</v>
      </c>
      <c r="B6715" s="1" t="s">
        <v>765</v>
      </c>
      <c r="C6715" s="1">
        <v>663474.0</v>
      </c>
      <c r="D6715" s="1" t="s">
        <v>533</v>
      </c>
      <c r="E6715" s="1" t="s">
        <v>927</v>
      </c>
      <c r="F6715" s="1" t="s">
        <v>927</v>
      </c>
      <c r="G6715" s="1">
        <v>8.0</v>
      </c>
      <c r="H6715" s="1">
        <v>0.368563686</v>
      </c>
      <c r="I6715" s="1">
        <v>4.15</v>
      </c>
      <c r="J6715" s="1">
        <v>0.335709</v>
      </c>
    </row>
    <row r="6716">
      <c r="A6716" s="1">
        <v>2025.0</v>
      </c>
      <c r="B6716" s="1" t="s">
        <v>201</v>
      </c>
      <c r="C6716" s="1">
        <v>675512.0</v>
      </c>
      <c r="D6716" s="1" t="s">
        <v>541</v>
      </c>
      <c r="E6716" s="1" t="s">
        <v>927</v>
      </c>
      <c r="F6716" s="1" t="s">
        <v>926</v>
      </c>
      <c r="G6716" s="1">
        <v>27.0</v>
      </c>
      <c r="H6716" s="1">
        <v>1.882442748</v>
      </c>
      <c r="I6716" s="1">
        <v>4.91</v>
      </c>
      <c r="J6716" s="1">
        <v>0.668625</v>
      </c>
    </row>
    <row r="6717">
      <c r="A6717" s="1">
        <v>2025.0</v>
      </c>
      <c r="B6717" s="1" t="s">
        <v>201</v>
      </c>
      <c r="C6717" s="1">
        <v>675512.0</v>
      </c>
      <c r="D6717" s="1" t="s">
        <v>540</v>
      </c>
      <c r="E6717" s="1" t="s">
        <v>927</v>
      </c>
      <c r="F6717" s="1" t="s">
        <v>926</v>
      </c>
      <c r="G6717" s="1">
        <v>61.0</v>
      </c>
      <c r="H6717" s="1">
        <v>4.252926209</v>
      </c>
      <c r="I6717" s="1">
        <v>5.44</v>
      </c>
      <c r="J6717" s="1">
        <v>0.841072</v>
      </c>
    </row>
    <row r="6718">
      <c r="A6718" s="1">
        <v>2025.0</v>
      </c>
      <c r="B6718" s="1" t="s">
        <v>201</v>
      </c>
      <c r="C6718" s="1">
        <v>675512.0</v>
      </c>
      <c r="D6718" s="1" t="s">
        <v>537</v>
      </c>
      <c r="E6718" s="1" t="s">
        <v>927</v>
      </c>
      <c r="F6718" s="1" t="s">
        <v>926</v>
      </c>
      <c r="G6718" s="1">
        <v>154.0</v>
      </c>
      <c r="H6718" s="1">
        <v>10.73689567</v>
      </c>
      <c r="I6718" s="1">
        <v>4.67</v>
      </c>
      <c r="J6718" s="1">
        <v>4.43575</v>
      </c>
    </row>
    <row r="6719">
      <c r="A6719" s="1">
        <v>2025.0</v>
      </c>
      <c r="B6719" s="1" t="s">
        <v>201</v>
      </c>
      <c r="C6719" s="1">
        <v>675512.0</v>
      </c>
      <c r="D6719" s="1" t="s">
        <v>538</v>
      </c>
      <c r="E6719" s="1" t="s">
        <v>927</v>
      </c>
      <c r="F6719" s="1" t="s">
        <v>926</v>
      </c>
      <c r="G6719" s="1">
        <v>46.0</v>
      </c>
      <c r="H6719" s="1">
        <v>3.207124682</v>
      </c>
      <c r="I6719" s="1">
        <v>4.56</v>
      </c>
      <c r="J6719" s="1">
        <v>1.363793</v>
      </c>
    </row>
    <row r="6720">
      <c r="A6720" s="1">
        <v>2025.0</v>
      </c>
      <c r="B6720" s="1" t="s">
        <v>201</v>
      </c>
      <c r="C6720" s="1">
        <v>675512.0</v>
      </c>
      <c r="D6720" s="1" t="s">
        <v>536</v>
      </c>
      <c r="E6720" s="1" t="s">
        <v>927</v>
      </c>
      <c r="F6720" s="1" t="s">
        <v>926</v>
      </c>
      <c r="G6720" s="1">
        <v>8.0</v>
      </c>
      <c r="H6720" s="1">
        <v>0.557760814</v>
      </c>
      <c r="I6720" s="1">
        <v>5.81</v>
      </c>
      <c r="J6720" s="1">
        <v>0.057049</v>
      </c>
    </row>
    <row r="6721">
      <c r="A6721" s="1">
        <v>2025.0</v>
      </c>
      <c r="B6721" s="1" t="s">
        <v>201</v>
      </c>
      <c r="C6721" s="1">
        <v>675512.0</v>
      </c>
      <c r="D6721" s="1" t="s">
        <v>533</v>
      </c>
      <c r="E6721" s="1" t="s">
        <v>927</v>
      </c>
      <c r="F6721" s="1" t="s">
        <v>926</v>
      </c>
      <c r="G6721" s="1">
        <v>48.0</v>
      </c>
      <c r="H6721" s="1">
        <v>3.346564885</v>
      </c>
      <c r="I6721" s="1">
        <v>5.69</v>
      </c>
      <c r="J6721" s="1">
        <v>0.386933</v>
      </c>
    </row>
    <row r="6722">
      <c r="A6722" s="1">
        <v>2025.0</v>
      </c>
      <c r="B6722" s="1" t="s">
        <v>201</v>
      </c>
      <c r="C6722" s="1">
        <v>675512.0</v>
      </c>
      <c r="D6722" s="1" t="s">
        <v>541</v>
      </c>
      <c r="E6722" s="1" t="s">
        <v>927</v>
      </c>
      <c r="F6722" s="1" t="s">
        <v>927</v>
      </c>
      <c r="G6722" s="1">
        <v>8.0</v>
      </c>
      <c r="H6722" s="1">
        <v>0.557760814</v>
      </c>
      <c r="I6722" s="1">
        <v>3.9</v>
      </c>
      <c r="J6722" s="1">
        <v>0.359173</v>
      </c>
    </row>
    <row r="6723">
      <c r="A6723" s="1">
        <v>2025.0</v>
      </c>
      <c r="B6723" s="1" t="s">
        <v>201</v>
      </c>
      <c r="C6723" s="1">
        <v>675512.0</v>
      </c>
      <c r="D6723" s="1" t="s">
        <v>540</v>
      </c>
      <c r="E6723" s="1" t="s">
        <v>927</v>
      </c>
      <c r="F6723" s="1" t="s">
        <v>927</v>
      </c>
      <c r="G6723" s="1">
        <v>10.0</v>
      </c>
      <c r="H6723" s="1">
        <v>0.697201018</v>
      </c>
      <c r="I6723" s="1">
        <v>4.64</v>
      </c>
      <c r="J6723" s="1">
        <v>0.310618</v>
      </c>
    </row>
    <row r="6724">
      <c r="A6724" s="1">
        <v>2025.0</v>
      </c>
      <c r="B6724" s="1" t="s">
        <v>201</v>
      </c>
      <c r="C6724" s="1">
        <v>675512.0</v>
      </c>
      <c r="D6724" s="1" t="s">
        <v>537</v>
      </c>
      <c r="E6724" s="1" t="s">
        <v>927</v>
      </c>
      <c r="F6724" s="1" t="s">
        <v>927</v>
      </c>
      <c r="G6724" s="1">
        <v>110.0</v>
      </c>
      <c r="H6724" s="1">
        <v>7.669211196</v>
      </c>
      <c r="I6724" s="1">
        <v>4.95</v>
      </c>
      <c r="J6724" s="1">
        <v>2.586929</v>
      </c>
    </row>
    <row r="6725">
      <c r="A6725" s="1">
        <v>2025.0</v>
      </c>
      <c r="B6725" s="1" t="s">
        <v>201</v>
      </c>
      <c r="C6725" s="1">
        <v>675512.0</v>
      </c>
      <c r="D6725" s="1" t="s">
        <v>538</v>
      </c>
      <c r="E6725" s="1" t="s">
        <v>927</v>
      </c>
      <c r="F6725" s="1" t="s">
        <v>927</v>
      </c>
      <c r="G6725" s="1">
        <v>7.0</v>
      </c>
      <c r="H6725" s="1">
        <v>0.488040712</v>
      </c>
      <c r="I6725" s="1">
        <v>4.9</v>
      </c>
      <c r="J6725" s="1">
        <v>0.170017</v>
      </c>
    </row>
    <row r="6726">
      <c r="A6726" s="1">
        <v>2025.0</v>
      </c>
      <c r="B6726" s="1" t="s">
        <v>201</v>
      </c>
      <c r="C6726" s="1">
        <v>675512.0</v>
      </c>
      <c r="D6726" s="1" t="s">
        <v>536</v>
      </c>
      <c r="E6726" s="1" t="s">
        <v>927</v>
      </c>
      <c r="F6726" s="1" t="s">
        <v>927</v>
      </c>
      <c r="G6726" s="1">
        <v>71.0</v>
      </c>
      <c r="H6726" s="1">
        <v>4.950127226</v>
      </c>
      <c r="I6726" s="1">
        <v>4.99</v>
      </c>
      <c r="J6726" s="1">
        <v>1.669857</v>
      </c>
    </row>
    <row r="6727">
      <c r="A6727" s="1">
        <v>2025.0</v>
      </c>
      <c r="B6727" s="1" t="s">
        <v>201</v>
      </c>
      <c r="C6727" s="1">
        <v>675512.0</v>
      </c>
      <c r="D6727" s="1" t="s">
        <v>533</v>
      </c>
      <c r="E6727" s="1" t="s">
        <v>927</v>
      </c>
      <c r="F6727" s="1" t="s">
        <v>927</v>
      </c>
      <c r="G6727" s="1">
        <v>105.0</v>
      </c>
      <c r="H6727" s="1">
        <v>7.320610687</v>
      </c>
      <c r="I6727" s="1">
        <v>5.13</v>
      </c>
      <c r="J6727" s="1">
        <v>2.010909</v>
      </c>
    </row>
    <row r="6728">
      <c r="A6728" s="1">
        <v>2025.0</v>
      </c>
      <c r="B6728" s="1" t="s">
        <v>804</v>
      </c>
      <c r="C6728" s="1">
        <v>700187.0</v>
      </c>
      <c r="D6728" s="1" t="s">
        <v>532</v>
      </c>
      <c r="E6728" s="1" t="s">
        <v>927</v>
      </c>
      <c r="F6728" s="1" t="s">
        <v>926</v>
      </c>
      <c r="G6728" s="1">
        <v>2.0</v>
      </c>
      <c r="H6728" s="1">
        <v>0.098039216</v>
      </c>
      <c r="I6728" s="1">
        <v>3.82</v>
      </c>
      <c r="J6728" s="1">
        <v>0.093151</v>
      </c>
    </row>
    <row r="6729">
      <c r="A6729" s="1">
        <v>2025.0</v>
      </c>
      <c r="B6729" s="1" t="s">
        <v>804</v>
      </c>
      <c r="C6729" s="1">
        <v>700187.0</v>
      </c>
      <c r="D6729" s="1" t="s">
        <v>537</v>
      </c>
      <c r="E6729" s="1" t="s">
        <v>927</v>
      </c>
      <c r="F6729" s="1" t="s">
        <v>926</v>
      </c>
      <c r="G6729" s="1">
        <v>32.0</v>
      </c>
      <c r="H6729" s="1">
        <v>1.568627451</v>
      </c>
      <c r="I6729" s="1">
        <v>4.95</v>
      </c>
      <c r="J6729" s="1">
        <v>0.78149</v>
      </c>
    </row>
    <row r="6730">
      <c r="A6730" s="1">
        <v>2025.0</v>
      </c>
      <c r="B6730" s="1" t="s">
        <v>804</v>
      </c>
      <c r="C6730" s="1">
        <v>700187.0</v>
      </c>
      <c r="D6730" s="1" t="s">
        <v>536</v>
      </c>
      <c r="E6730" s="1" t="s">
        <v>927</v>
      </c>
      <c r="F6730" s="1" t="s">
        <v>926</v>
      </c>
      <c r="G6730" s="1">
        <v>8.0</v>
      </c>
      <c r="H6730" s="1">
        <v>0.392156863</v>
      </c>
      <c r="I6730" s="1">
        <v>5.92</v>
      </c>
      <c r="J6730" s="1">
        <v>0.050738</v>
      </c>
    </row>
    <row r="6731">
      <c r="A6731" s="1">
        <v>2025.0</v>
      </c>
      <c r="B6731" s="1" t="s">
        <v>804</v>
      </c>
      <c r="C6731" s="1">
        <v>700187.0</v>
      </c>
      <c r="D6731" s="1" t="s">
        <v>533</v>
      </c>
      <c r="E6731" s="1" t="s">
        <v>927</v>
      </c>
      <c r="F6731" s="1" t="s">
        <v>926</v>
      </c>
      <c r="G6731" s="1">
        <v>5.0</v>
      </c>
      <c r="H6731" s="1">
        <v>0.245098039</v>
      </c>
      <c r="I6731" s="1">
        <v>6.49</v>
      </c>
      <c r="J6731" s="1">
        <v>-0.035215</v>
      </c>
    </row>
    <row r="6732">
      <c r="A6732" s="1">
        <v>2025.0</v>
      </c>
      <c r="B6732" s="1" t="s">
        <v>804</v>
      </c>
      <c r="C6732" s="1">
        <v>700187.0</v>
      </c>
      <c r="D6732" s="1" t="s">
        <v>539</v>
      </c>
      <c r="E6732" s="1" t="s">
        <v>927</v>
      </c>
      <c r="F6732" s="1" t="s">
        <v>926</v>
      </c>
      <c r="G6732" s="1">
        <v>17.0</v>
      </c>
      <c r="H6732" s="1">
        <v>0.833333333</v>
      </c>
      <c r="I6732" s="1">
        <v>5.05</v>
      </c>
      <c r="J6732" s="1">
        <v>0.359764</v>
      </c>
    </row>
    <row r="6733">
      <c r="A6733" s="1">
        <v>2025.0</v>
      </c>
      <c r="B6733" s="1" t="s">
        <v>804</v>
      </c>
      <c r="C6733" s="1">
        <v>700187.0</v>
      </c>
      <c r="D6733" s="1" t="s">
        <v>537</v>
      </c>
      <c r="E6733" s="1" t="s">
        <v>927</v>
      </c>
      <c r="F6733" s="1" t="s">
        <v>927</v>
      </c>
      <c r="G6733" s="1">
        <v>32.0</v>
      </c>
      <c r="H6733" s="1">
        <v>1.568627451</v>
      </c>
      <c r="I6733" s="1">
        <v>4.53</v>
      </c>
      <c r="J6733" s="1">
        <v>1.070545</v>
      </c>
    </row>
    <row r="6734">
      <c r="A6734" s="1">
        <v>2025.0</v>
      </c>
      <c r="B6734" s="1" t="s">
        <v>804</v>
      </c>
      <c r="C6734" s="1">
        <v>700187.0</v>
      </c>
      <c r="D6734" s="1" t="s">
        <v>536</v>
      </c>
      <c r="E6734" s="1" t="s">
        <v>927</v>
      </c>
      <c r="F6734" s="1" t="s">
        <v>927</v>
      </c>
      <c r="G6734" s="1">
        <v>11.0</v>
      </c>
      <c r="H6734" s="1">
        <v>0.539215686</v>
      </c>
      <c r="I6734" s="1">
        <v>5.25</v>
      </c>
      <c r="J6734" s="1">
        <v>0.219128</v>
      </c>
    </row>
    <row r="6735">
      <c r="A6735" s="1">
        <v>2025.0</v>
      </c>
      <c r="B6735" s="1" t="s">
        <v>804</v>
      </c>
      <c r="C6735" s="1">
        <v>700187.0</v>
      </c>
      <c r="D6735" s="1" t="s">
        <v>533</v>
      </c>
      <c r="E6735" s="1" t="s">
        <v>927</v>
      </c>
      <c r="F6735" s="1" t="s">
        <v>927</v>
      </c>
      <c r="G6735" s="1">
        <v>4.0</v>
      </c>
      <c r="H6735" s="1">
        <v>0.196078431</v>
      </c>
      <c r="I6735" s="1">
        <v>5.22</v>
      </c>
      <c r="J6735" s="1">
        <v>0.087393</v>
      </c>
    </row>
    <row r="6736">
      <c r="A6736" s="1">
        <v>2025.0</v>
      </c>
      <c r="B6736" s="1" t="s">
        <v>804</v>
      </c>
      <c r="C6736" s="1">
        <v>700187.0</v>
      </c>
      <c r="D6736" s="1" t="s">
        <v>539</v>
      </c>
      <c r="E6736" s="1" t="s">
        <v>927</v>
      </c>
      <c r="F6736" s="1" t="s">
        <v>927</v>
      </c>
      <c r="G6736" s="1">
        <v>25.0</v>
      </c>
      <c r="H6736" s="1">
        <v>1.225490196</v>
      </c>
      <c r="I6736" s="1">
        <v>5.72</v>
      </c>
      <c r="J6736" s="1">
        <v>0.183429</v>
      </c>
    </row>
    <row r="6737">
      <c r="A6737" s="1">
        <v>2025.0</v>
      </c>
      <c r="B6737" s="1" t="s">
        <v>776</v>
      </c>
      <c r="C6737" s="1">
        <v>571466.0</v>
      </c>
      <c r="D6737" s="1" t="s">
        <v>537</v>
      </c>
      <c r="E6737" s="1" t="s">
        <v>927</v>
      </c>
      <c r="F6737" s="1" t="s">
        <v>926</v>
      </c>
      <c r="G6737" s="1">
        <v>1.0</v>
      </c>
      <c r="H6737" s="1">
        <v>2.0</v>
      </c>
      <c r="I6737" s="1">
        <v>-3.59</v>
      </c>
      <c r="J6737" s="1">
        <v>0.192902</v>
      </c>
    </row>
    <row r="6738">
      <c r="A6738" s="1">
        <v>2025.0</v>
      </c>
      <c r="B6738" s="1" t="s">
        <v>780</v>
      </c>
      <c r="C6738" s="1">
        <v>686654.0</v>
      </c>
      <c r="D6738" s="1" t="s">
        <v>540</v>
      </c>
      <c r="E6738" s="1" t="s">
        <v>927</v>
      </c>
      <c r="F6738" s="1" t="s">
        <v>926</v>
      </c>
      <c r="G6738" s="1">
        <v>9.0</v>
      </c>
      <c r="H6738" s="1">
        <v>0.350649351</v>
      </c>
      <c r="I6738" s="1">
        <v>5.07</v>
      </c>
      <c r="J6738" s="1">
        <v>0.163583</v>
      </c>
    </row>
    <row r="6739">
      <c r="A6739" s="1">
        <v>2025.0</v>
      </c>
      <c r="B6739" s="1" t="s">
        <v>780</v>
      </c>
      <c r="C6739" s="1">
        <v>686654.0</v>
      </c>
      <c r="D6739" s="1" t="s">
        <v>537</v>
      </c>
      <c r="E6739" s="1" t="s">
        <v>927</v>
      </c>
      <c r="F6739" s="1" t="s">
        <v>926</v>
      </c>
      <c r="G6739" s="1">
        <v>22.0</v>
      </c>
      <c r="H6739" s="1">
        <v>0.857142857</v>
      </c>
      <c r="I6739" s="1">
        <v>5.02</v>
      </c>
      <c r="J6739" s="1">
        <v>0.471945</v>
      </c>
    </row>
    <row r="6740">
      <c r="A6740" s="1">
        <v>2025.0</v>
      </c>
      <c r="B6740" s="1" t="s">
        <v>780</v>
      </c>
      <c r="C6740" s="1">
        <v>686654.0</v>
      </c>
      <c r="D6740" s="1" t="s">
        <v>538</v>
      </c>
      <c r="E6740" s="1" t="s">
        <v>927</v>
      </c>
      <c r="F6740" s="1" t="s">
        <v>926</v>
      </c>
      <c r="G6740" s="1">
        <v>4.0</v>
      </c>
      <c r="H6740" s="1">
        <v>0.155844156</v>
      </c>
      <c r="I6740" s="1">
        <v>3.81</v>
      </c>
      <c r="J6740" s="1">
        <v>0.181169</v>
      </c>
    </row>
    <row r="6741">
      <c r="A6741" s="1">
        <v>2025.0</v>
      </c>
      <c r="B6741" s="1" t="s">
        <v>780</v>
      </c>
      <c r="C6741" s="1">
        <v>686654.0</v>
      </c>
      <c r="D6741" s="1" t="s">
        <v>533</v>
      </c>
      <c r="E6741" s="1" t="s">
        <v>927</v>
      </c>
      <c r="F6741" s="1" t="s">
        <v>926</v>
      </c>
      <c r="G6741" s="1">
        <v>12.0</v>
      </c>
      <c r="H6741" s="1">
        <v>0.467532468</v>
      </c>
      <c r="I6741" s="1">
        <v>4.69</v>
      </c>
      <c r="J6741" s="1">
        <v>0.324657</v>
      </c>
    </row>
    <row r="6742">
      <c r="A6742" s="1">
        <v>2025.0</v>
      </c>
      <c r="B6742" s="1" t="s">
        <v>780</v>
      </c>
      <c r="C6742" s="1">
        <v>686654.0</v>
      </c>
      <c r="D6742" s="1" t="s">
        <v>540</v>
      </c>
      <c r="E6742" s="1" t="s">
        <v>927</v>
      </c>
      <c r="F6742" s="1" t="s">
        <v>927</v>
      </c>
      <c r="G6742" s="1">
        <v>5.0</v>
      </c>
      <c r="H6742" s="1">
        <v>0.194805195</v>
      </c>
      <c r="I6742" s="1">
        <v>6.23</v>
      </c>
      <c r="J6742" s="1">
        <v>-0.014437</v>
      </c>
    </row>
    <row r="6743">
      <c r="A6743" s="1">
        <v>2025.0</v>
      </c>
      <c r="B6743" s="1" t="s">
        <v>780</v>
      </c>
      <c r="C6743" s="1">
        <v>686654.0</v>
      </c>
      <c r="D6743" s="1" t="s">
        <v>537</v>
      </c>
      <c r="E6743" s="1" t="s">
        <v>927</v>
      </c>
      <c r="F6743" s="1" t="s">
        <v>927</v>
      </c>
      <c r="G6743" s="1">
        <v>11.0</v>
      </c>
      <c r="H6743" s="1">
        <v>0.428571429</v>
      </c>
      <c r="I6743" s="1">
        <v>4.91</v>
      </c>
      <c r="J6743" s="1">
        <v>0.255912</v>
      </c>
    </row>
    <row r="6744">
      <c r="A6744" s="1">
        <v>2025.0</v>
      </c>
      <c r="B6744" s="1" t="s">
        <v>780</v>
      </c>
      <c r="C6744" s="1">
        <v>686654.0</v>
      </c>
      <c r="D6744" s="1" t="s">
        <v>538</v>
      </c>
      <c r="E6744" s="1" t="s">
        <v>927</v>
      </c>
      <c r="F6744" s="1" t="s">
        <v>927</v>
      </c>
      <c r="G6744" s="1">
        <v>1.0</v>
      </c>
      <c r="H6744" s="1">
        <v>0.038961039</v>
      </c>
      <c r="I6744" s="1">
        <v>6.83</v>
      </c>
      <c r="J6744" s="1">
        <v>-0.019752</v>
      </c>
    </row>
    <row r="6745">
      <c r="A6745" s="1">
        <v>2025.0</v>
      </c>
      <c r="B6745" s="1" t="s">
        <v>780</v>
      </c>
      <c r="C6745" s="1">
        <v>686654.0</v>
      </c>
      <c r="D6745" s="1" t="s">
        <v>533</v>
      </c>
      <c r="E6745" s="1" t="s">
        <v>927</v>
      </c>
      <c r="F6745" s="1" t="s">
        <v>927</v>
      </c>
      <c r="G6745" s="1">
        <v>13.0</v>
      </c>
      <c r="H6745" s="1">
        <v>0.506493506</v>
      </c>
      <c r="I6745" s="1">
        <v>5.51</v>
      </c>
      <c r="J6745" s="1">
        <v>0.127676</v>
      </c>
    </row>
    <row r="6746">
      <c r="A6746" s="1">
        <v>2025.0</v>
      </c>
      <c r="B6746" s="1" t="s">
        <v>187</v>
      </c>
      <c r="C6746" s="1">
        <v>641302.0</v>
      </c>
      <c r="D6746" s="1" t="s">
        <v>532</v>
      </c>
      <c r="E6746" s="1" t="s">
        <v>926</v>
      </c>
      <c r="F6746" s="1" t="s">
        <v>926</v>
      </c>
      <c r="G6746" s="1">
        <v>22.0</v>
      </c>
      <c r="H6746" s="1">
        <v>1.358196376</v>
      </c>
      <c r="I6746" s="1">
        <v>5.21</v>
      </c>
      <c r="J6746" s="1">
        <v>0.372734</v>
      </c>
    </row>
    <row r="6747">
      <c r="A6747" s="1">
        <v>2025.0</v>
      </c>
      <c r="B6747" s="1" t="s">
        <v>187</v>
      </c>
      <c r="C6747" s="1">
        <v>641302.0</v>
      </c>
      <c r="D6747" s="1" t="s">
        <v>540</v>
      </c>
      <c r="E6747" s="1" t="s">
        <v>926</v>
      </c>
      <c r="F6747" s="1" t="s">
        <v>926</v>
      </c>
      <c r="G6747" s="1">
        <v>53.0</v>
      </c>
      <c r="H6747" s="1">
        <v>3.272018542</v>
      </c>
      <c r="I6747" s="1">
        <v>5.11</v>
      </c>
      <c r="J6747" s="1">
        <v>1.054564</v>
      </c>
    </row>
    <row r="6748">
      <c r="A6748" s="1">
        <v>2025.0</v>
      </c>
      <c r="B6748" s="1" t="s">
        <v>187</v>
      </c>
      <c r="C6748" s="1">
        <v>641302.0</v>
      </c>
      <c r="D6748" s="1" t="s">
        <v>537</v>
      </c>
      <c r="E6748" s="1" t="s">
        <v>926</v>
      </c>
      <c r="F6748" s="1" t="s">
        <v>926</v>
      </c>
      <c r="G6748" s="1">
        <v>153.0</v>
      </c>
      <c r="H6748" s="1">
        <v>9.445638432</v>
      </c>
      <c r="I6748" s="1">
        <v>4.86</v>
      </c>
      <c r="J6748" s="1">
        <v>3.807023</v>
      </c>
    </row>
    <row r="6749">
      <c r="A6749" s="1">
        <v>2025.0</v>
      </c>
      <c r="B6749" s="1" t="s">
        <v>187</v>
      </c>
      <c r="C6749" s="1">
        <v>641302.0</v>
      </c>
      <c r="D6749" s="1" t="s">
        <v>536</v>
      </c>
      <c r="E6749" s="1" t="s">
        <v>926</v>
      </c>
      <c r="F6749" s="1" t="s">
        <v>926</v>
      </c>
      <c r="G6749" s="1">
        <v>170.0</v>
      </c>
      <c r="H6749" s="1">
        <v>10.49515381</v>
      </c>
      <c r="I6749" s="1">
        <v>5.46</v>
      </c>
      <c r="J6749" s="1">
        <v>2.13267</v>
      </c>
    </row>
    <row r="6750">
      <c r="A6750" s="1">
        <v>2025.0</v>
      </c>
      <c r="B6750" s="1" t="s">
        <v>187</v>
      </c>
      <c r="C6750" s="1">
        <v>641302.0</v>
      </c>
      <c r="D6750" s="1" t="s">
        <v>539</v>
      </c>
      <c r="E6750" s="1" t="s">
        <v>926</v>
      </c>
      <c r="F6750" s="1" t="s">
        <v>926</v>
      </c>
      <c r="G6750" s="1">
        <v>248.0</v>
      </c>
      <c r="H6750" s="1">
        <v>15.31057733</v>
      </c>
      <c r="I6750" s="1">
        <v>5.51</v>
      </c>
      <c r="J6750" s="1">
        <v>2.93988</v>
      </c>
    </row>
    <row r="6751">
      <c r="A6751" s="1">
        <v>2025.0</v>
      </c>
      <c r="B6751" s="1" t="s">
        <v>187</v>
      </c>
      <c r="C6751" s="1">
        <v>641302.0</v>
      </c>
      <c r="D6751" s="1" t="s">
        <v>532</v>
      </c>
      <c r="E6751" s="1" t="s">
        <v>926</v>
      </c>
      <c r="F6751" s="1" t="s">
        <v>927</v>
      </c>
      <c r="G6751" s="1">
        <v>232.0</v>
      </c>
      <c r="H6751" s="1">
        <v>14.32279815</v>
      </c>
      <c r="I6751" s="1">
        <v>5.05</v>
      </c>
      <c r="J6751" s="1">
        <v>4.82349</v>
      </c>
    </row>
    <row r="6752">
      <c r="A6752" s="1">
        <v>2025.0</v>
      </c>
      <c r="B6752" s="1" t="s">
        <v>187</v>
      </c>
      <c r="C6752" s="1">
        <v>641302.0</v>
      </c>
      <c r="D6752" s="1" t="s">
        <v>540</v>
      </c>
      <c r="E6752" s="1" t="s">
        <v>926</v>
      </c>
      <c r="F6752" s="1" t="s">
        <v>927</v>
      </c>
      <c r="G6752" s="1">
        <v>219.0</v>
      </c>
      <c r="H6752" s="1">
        <v>13.52022756</v>
      </c>
      <c r="I6752" s="1">
        <v>4.88</v>
      </c>
      <c r="J6752" s="1">
        <v>5.269727</v>
      </c>
    </row>
    <row r="6753">
      <c r="A6753" s="1">
        <v>2025.0</v>
      </c>
      <c r="B6753" s="1" t="s">
        <v>187</v>
      </c>
      <c r="C6753" s="1">
        <v>641302.0</v>
      </c>
      <c r="D6753" s="1" t="s">
        <v>537</v>
      </c>
      <c r="E6753" s="1" t="s">
        <v>926</v>
      </c>
      <c r="F6753" s="1" t="s">
        <v>927</v>
      </c>
      <c r="G6753" s="1">
        <v>259.0</v>
      </c>
      <c r="H6753" s="1">
        <v>15.98967552</v>
      </c>
      <c r="I6753" s="1">
        <v>4.93</v>
      </c>
      <c r="J6753" s="1">
        <v>6.144405</v>
      </c>
    </row>
    <row r="6754">
      <c r="A6754" s="1">
        <v>2025.0</v>
      </c>
      <c r="B6754" s="1" t="s">
        <v>187</v>
      </c>
      <c r="C6754" s="1">
        <v>641302.0</v>
      </c>
      <c r="D6754" s="1" t="s">
        <v>536</v>
      </c>
      <c r="E6754" s="1" t="s">
        <v>926</v>
      </c>
      <c r="F6754" s="1" t="s">
        <v>927</v>
      </c>
      <c r="G6754" s="1">
        <v>119.0</v>
      </c>
      <c r="H6754" s="1">
        <v>7.34660767</v>
      </c>
      <c r="I6754" s="1">
        <v>4.75</v>
      </c>
      <c r="J6754" s="1">
        <v>3.269146</v>
      </c>
    </row>
    <row r="6755">
      <c r="A6755" s="1">
        <v>2025.0</v>
      </c>
      <c r="B6755" s="1" t="s">
        <v>187</v>
      </c>
      <c r="C6755" s="1">
        <v>641302.0</v>
      </c>
      <c r="D6755" s="1" t="s">
        <v>539</v>
      </c>
      <c r="E6755" s="1" t="s">
        <v>926</v>
      </c>
      <c r="F6755" s="1" t="s">
        <v>927</v>
      </c>
      <c r="G6755" s="1">
        <v>107.0</v>
      </c>
      <c r="H6755" s="1">
        <v>6.605773283</v>
      </c>
      <c r="I6755" s="1">
        <v>5.28</v>
      </c>
      <c r="J6755" s="1">
        <v>1.627544</v>
      </c>
    </row>
    <row r="6756">
      <c r="A6756" s="1">
        <v>2025.0</v>
      </c>
      <c r="B6756" s="1" t="s">
        <v>278</v>
      </c>
      <c r="C6756" s="1">
        <v>542881.0</v>
      </c>
      <c r="D6756" s="1" t="s">
        <v>532</v>
      </c>
      <c r="E6756" s="1" t="s">
        <v>926</v>
      </c>
      <c r="F6756" s="1" t="s">
        <v>926</v>
      </c>
      <c r="G6756" s="1">
        <v>62.0</v>
      </c>
      <c r="H6756" s="1">
        <v>3.616887748</v>
      </c>
      <c r="I6756" s="1">
        <v>4.26</v>
      </c>
      <c r="J6756" s="1">
        <v>2.181388</v>
      </c>
    </row>
    <row r="6757">
      <c r="A6757" s="1">
        <v>2025.0</v>
      </c>
      <c r="B6757" s="1" t="s">
        <v>278</v>
      </c>
      <c r="C6757" s="1">
        <v>542881.0</v>
      </c>
      <c r="D6757" s="1" t="s">
        <v>541</v>
      </c>
      <c r="E6757" s="1" t="s">
        <v>926</v>
      </c>
      <c r="F6757" s="1" t="s">
        <v>926</v>
      </c>
      <c r="G6757" s="1">
        <v>5.0</v>
      </c>
      <c r="H6757" s="1">
        <v>0.291684496</v>
      </c>
      <c r="I6757" s="1">
        <v>1.9</v>
      </c>
      <c r="J6757" s="1">
        <v>0.420091</v>
      </c>
    </row>
    <row r="6758">
      <c r="A6758" s="1">
        <v>2025.0</v>
      </c>
      <c r="B6758" s="1" t="s">
        <v>278</v>
      </c>
      <c r="C6758" s="1">
        <v>542881.0</v>
      </c>
      <c r="D6758" s="1" t="s">
        <v>540</v>
      </c>
      <c r="E6758" s="1" t="s">
        <v>926</v>
      </c>
      <c r="F6758" s="1" t="s">
        <v>926</v>
      </c>
      <c r="G6758" s="1">
        <v>219.0</v>
      </c>
      <c r="H6758" s="1">
        <v>12.77578092</v>
      </c>
      <c r="I6758" s="1">
        <v>4.85</v>
      </c>
      <c r="J6758" s="1">
        <v>5.478693</v>
      </c>
    </row>
    <row r="6759">
      <c r="A6759" s="1">
        <v>2025.0</v>
      </c>
      <c r="B6759" s="1" t="s">
        <v>278</v>
      </c>
      <c r="C6759" s="1">
        <v>542881.0</v>
      </c>
      <c r="D6759" s="1" t="s">
        <v>537</v>
      </c>
      <c r="E6759" s="1" t="s">
        <v>926</v>
      </c>
      <c r="F6759" s="1" t="s">
        <v>926</v>
      </c>
      <c r="G6759" s="1">
        <v>230.0</v>
      </c>
      <c r="H6759" s="1">
        <v>13.41748681</v>
      </c>
      <c r="I6759" s="1">
        <v>5.3</v>
      </c>
      <c r="J6759" s="1">
        <v>3.697042</v>
      </c>
    </row>
    <row r="6760">
      <c r="A6760" s="1">
        <v>2025.0</v>
      </c>
      <c r="B6760" s="1" t="s">
        <v>278</v>
      </c>
      <c r="C6760" s="1">
        <v>542881.0</v>
      </c>
      <c r="D6760" s="1" t="s">
        <v>536</v>
      </c>
      <c r="E6760" s="1" t="s">
        <v>926</v>
      </c>
      <c r="F6760" s="1" t="s">
        <v>926</v>
      </c>
      <c r="G6760" s="1">
        <v>84.0</v>
      </c>
      <c r="H6760" s="1">
        <v>4.900299529</v>
      </c>
      <c r="I6760" s="1">
        <v>5.11</v>
      </c>
      <c r="J6760" s="1">
        <v>1.649698</v>
      </c>
    </row>
    <row r="6761">
      <c r="A6761" s="1">
        <v>2025.0</v>
      </c>
      <c r="B6761" s="1" t="s">
        <v>278</v>
      </c>
      <c r="C6761" s="1">
        <v>542881.0</v>
      </c>
      <c r="D6761" s="1" t="s">
        <v>533</v>
      </c>
      <c r="E6761" s="1" t="s">
        <v>926</v>
      </c>
      <c r="F6761" s="1" t="s">
        <v>926</v>
      </c>
      <c r="G6761" s="1">
        <v>77.0</v>
      </c>
      <c r="H6761" s="1">
        <v>4.491941235</v>
      </c>
      <c r="I6761" s="1">
        <v>5.09</v>
      </c>
      <c r="J6761" s="1">
        <v>1.510769</v>
      </c>
    </row>
    <row r="6762">
      <c r="A6762" s="1">
        <v>2025.0</v>
      </c>
      <c r="B6762" s="1" t="s">
        <v>278</v>
      </c>
      <c r="C6762" s="1">
        <v>542881.0</v>
      </c>
      <c r="D6762" s="1" t="s">
        <v>532</v>
      </c>
      <c r="E6762" s="1" t="s">
        <v>926</v>
      </c>
      <c r="F6762" s="1" t="s">
        <v>927</v>
      </c>
      <c r="G6762" s="1">
        <v>733.0</v>
      </c>
      <c r="H6762" s="1">
        <v>42.76094708</v>
      </c>
      <c r="I6762" s="1">
        <v>5.19</v>
      </c>
      <c r="J6762" s="1">
        <v>12.771259</v>
      </c>
    </row>
    <row r="6763">
      <c r="A6763" s="1">
        <v>2025.0</v>
      </c>
      <c r="B6763" s="1" t="s">
        <v>278</v>
      </c>
      <c r="C6763" s="1">
        <v>542881.0</v>
      </c>
      <c r="D6763" s="1" t="s">
        <v>541</v>
      </c>
      <c r="E6763" s="1" t="s">
        <v>926</v>
      </c>
      <c r="F6763" s="1" t="s">
        <v>927</v>
      </c>
      <c r="G6763" s="1">
        <v>1.0</v>
      </c>
      <c r="H6763" s="1">
        <v>0.058336899</v>
      </c>
      <c r="I6763" s="1">
        <v>3.26</v>
      </c>
      <c r="J6763" s="1">
        <v>0.056695</v>
      </c>
    </row>
    <row r="6764">
      <c r="A6764" s="1">
        <v>2025.0</v>
      </c>
      <c r="B6764" s="1" t="s">
        <v>278</v>
      </c>
      <c r="C6764" s="1">
        <v>542881.0</v>
      </c>
      <c r="D6764" s="1" t="s">
        <v>540</v>
      </c>
      <c r="E6764" s="1" t="s">
        <v>926</v>
      </c>
      <c r="F6764" s="1" t="s">
        <v>927</v>
      </c>
      <c r="G6764" s="1">
        <v>250.0</v>
      </c>
      <c r="H6764" s="1">
        <v>14.58422479</v>
      </c>
      <c r="I6764" s="1">
        <v>4.84</v>
      </c>
      <c r="J6764" s="1">
        <v>6.197576</v>
      </c>
    </row>
    <row r="6765">
      <c r="A6765" s="1">
        <v>2025.0</v>
      </c>
      <c r="B6765" s="1" t="s">
        <v>278</v>
      </c>
      <c r="C6765" s="1">
        <v>542881.0</v>
      </c>
      <c r="D6765" s="1" t="s">
        <v>537</v>
      </c>
      <c r="E6765" s="1" t="s">
        <v>926</v>
      </c>
      <c r="F6765" s="1" t="s">
        <v>927</v>
      </c>
      <c r="G6765" s="1">
        <v>669.0</v>
      </c>
      <c r="H6765" s="1">
        <v>39.02738554</v>
      </c>
      <c r="I6765" s="1">
        <v>4.99</v>
      </c>
      <c r="J6765" s="1">
        <v>14.799176</v>
      </c>
    </row>
    <row r="6766">
      <c r="A6766" s="1">
        <v>2025.0</v>
      </c>
      <c r="B6766" s="1" t="s">
        <v>278</v>
      </c>
      <c r="C6766" s="1">
        <v>542881.0</v>
      </c>
      <c r="D6766" s="1" t="s">
        <v>536</v>
      </c>
      <c r="E6766" s="1" t="s">
        <v>926</v>
      </c>
      <c r="F6766" s="1" t="s">
        <v>927</v>
      </c>
      <c r="G6766" s="1">
        <v>1.0</v>
      </c>
      <c r="H6766" s="1">
        <v>0.058336899</v>
      </c>
      <c r="I6766" s="1">
        <v>4.51</v>
      </c>
      <c r="J6766" s="1">
        <v>0.03567</v>
      </c>
    </row>
    <row r="6767">
      <c r="A6767" s="1">
        <v>2025.0</v>
      </c>
      <c r="B6767" s="1" t="s">
        <v>278</v>
      </c>
      <c r="C6767" s="1">
        <v>542881.0</v>
      </c>
      <c r="D6767" s="1" t="s">
        <v>533</v>
      </c>
      <c r="E6767" s="1" t="s">
        <v>926</v>
      </c>
      <c r="F6767" s="1" t="s">
        <v>927</v>
      </c>
      <c r="G6767" s="1">
        <v>6.0</v>
      </c>
      <c r="H6767" s="1">
        <v>0.350021395</v>
      </c>
      <c r="I6767" s="1">
        <v>5.57</v>
      </c>
      <c r="J6767" s="1">
        <v>0.064998</v>
      </c>
    </row>
    <row r="6768">
      <c r="A6768" s="1">
        <v>2025.0</v>
      </c>
      <c r="B6768" s="1" t="s">
        <v>505</v>
      </c>
      <c r="C6768" s="1">
        <v>621053.0</v>
      </c>
      <c r="D6768" s="1" t="s">
        <v>532</v>
      </c>
      <c r="E6768" s="1" t="s">
        <v>927</v>
      </c>
      <c r="F6768" s="1" t="s">
        <v>926</v>
      </c>
      <c r="G6768" s="1">
        <v>35.0</v>
      </c>
      <c r="H6768" s="1">
        <v>2.050505051</v>
      </c>
      <c r="I6768" s="1">
        <v>4.07</v>
      </c>
      <c r="J6768" s="1">
        <v>1.410418</v>
      </c>
    </row>
    <row r="6769">
      <c r="A6769" s="1">
        <v>2025.0</v>
      </c>
      <c r="B6769" s="1" t="s">
        <v>505</v>
      </c>
      <c r="C6769" s="1">
        <v>621053.0</v>
      </c>
      <c r="D6769" s="1" t="s">
        <v>540</v>
      </c>
      <c r="E6769" s="1" t="s">
        <v>927</v>
      </c>
      <c r="F6769" s="1" t="s">
        <v>926</v>
      </c>
      <c r="G6769" s="1">
        <v>76.0</v>
      </c>
      <c r="H6769" s="1">
        <v>4.452525253</v>
      </c>
      <c r="I6769" s="1">
        <v>5.22</v>
      </c>
      <c r="J6769" s="1">
        <v>1.383674</v>
      </c>
    </row>
    <row r="6770">
      <c r="A6770" s="1">
        <v>2025.0</v>
      </c>
      <c r="B6770" s="1" t="s">
        <v>505</v>
      </c>
      <c r="C6770" s="1">
        <v>621053.0</v>
      </c>
      <c r="D6770" s="1" t="s">
        <v>537</v>
      </c>
      <c r="E6770" s="1" t="s">
        <v>927</v>
      </c>
      <c r="F6770" s="1" t="s">
        <v>926</v>
      </c>
      <c r="G6770" s="1">
        <v>116.0</v>
      </c>
      <c r="H6770" s="1">
        <v>6.795959596</v>
      </c>
      <c r="I6770" s="1">
        <v>4.12</v>
      </c>
      <c r="J6770" s="1">
        <v>4.588317</v>
      </c>
    </row>
    <row r="6771">
      <c r="A6771" s="1">
        <v>2025.0</v>
      </c>
      <c r="B6771" s="1" t="s">
        <v>505</v>
      </c>
      <c r="C6771" s="1">
        <v>621053.0</v>
      </c>
      <c r="D6771" s="1" t="s">
        <v>536</v>
      </c>
      <c r="E6771" s="1" t="s">
        <v>927</v>
      </c>
      <c r="F6771" s="1" t="s">
        <v>926</v>
      </c>
      <c r="G6771" s="1">
        <v>30.0</v>
      </c>
      <c r="H6771" s="1">
        <v>1.757575758</v>
      </c>
      <c r="I6771" s="1">
        <v>4.31</v>
      </c>
      <c r="J6771" s="1">
        <v>1.084925</v>
      </c>
    </row>
    <row r="6772">
      <c r="A6772" s="1">
        <v>2025.0</v>
      </c>
      <c r="B6772" s="1" t="s">
        <v>505</v>
      </c>
      <c r="C6772" s="1">
        <v>621053.0</v>
      </c>
      <c r="D6772" s="1" t="s">
        <v>539</v>
      </c>
      <c r="E6772" s="1" t="s">
        <v>927</v>
      </c>
      <c r="F6772" s="1" t="s">
        <v>926</v>
      </c>
      <c r="G6772" s="1">
        <v>63.0</v>
      </c>
      <c r="H6772" s="1">
        <v>3.690909091</v>
      </c>
      <c r="I6772" s="1">
        <v>4.51</v>
      </c>
      <c r="J6772" s="1">
        <v>1.971171</v>
      </c>
    </row>
    <row r="6773">
      <c r="A6773" s="1">
        <v>2025.0</v>
      </c>
      <c r="B6773" s="1" t="s">
        <v>505</v>
      </c>
      <c r="C6773" s="1">
        <v>621053.0</v>
      </c>
      <c r="D6773" s="1" t="s">
        <v>532</v>
      </c>
      <c r="E6773" s="1" t="s">
        <v>927</v>
      </c>
      <c r="F6773" s="1" t="s">
        <v>927</v>
      </c>
      <c r="G6773" s="1">
        <v>6.0</v>
      </c>
      <c r="H6773" s="1">
        <v>0.351515152</v>
      </c>
      <c r="I6773" s="1">
        <v>5.18</v>
      </c>
      <c r="J6773" s="1">
        <v>0.095581</v>
      </c>
    </row>
    <row r="6774">
      <c r="A6774" s="1">
        <v>2025.0</v>
      </c>
      <c r="B6774" s="1" t="s">
        <v>505</v>
      </c>
      <c r="C6774" s="1">
        <v>621053.0</v>
      </c>
      <c r="D6774" s="1" t="s">
        <v>540</v>
      </c>
      <c r="E6774" s="1" t="s">
        <v>927</v>
      </c>
      <c r="F6774" s="1" t="s">
        <v>927</v>
      </c>
      <c r="G6774" s="1">
        <v>31.0</v>
      </c>
      <c r="H6774" s="1">
        <v>1.816161616</v>
      </c>
      <c r="I6774" s="1">
        <v>5.03</v>
      </c>
      <c r="J6774" s="1">
        <v>0.66917</v>
      </c>
    </row>
    <row r="6775">
      <c r="A6775" s="1">
        <v>2025.0</v>
      </c>
      <c r="B6775" s="1" t="s">
        <v>505</v>
      </c>
      <c r="C6775" s="1">
        <v>621053.0</v>
      </c>
      <c r="D6775" s="1" t="s">
        <v>537</v>
      </c>
      <c r="E6775" s="1" t="s">
        <v>927</v>
      </c>
      <c r="F6775" s="1" t="s">
        <v>927</v>
      </c>
      <c r="G6775" s="1">
        <v>264.0</v>
      </c>
      <c r="H6775" s="1">
        <v>15.46666667</v>
      </c>
      <c r="I6775" s="1">
        <v>4.97</v>
      </c>
      <c r="J6775" s="1">
        <v>6.125961</v>
      </c>
    </row>
    <row r="6776">
      <c r="A6776" s="1">
        <v>2025.0</v>
      </c>
      <c r="B6776" s="1" t="s">
        <v>505</v>
      </c>
      <c r="C6776" s="1">
        <v>621053.0</v>
      </c>
      <c r="D6776" s="1" t="s">
        <v>536</v>
      </c>
      <c r="E6776" s="1" t="s">
        <v>927</v>
      </c>
      <c r="F6776" s="1" t="s">
        <v>927</v>
      </c>
      <c r="G6776" s="1">
        <v>115.0</v>
      </c>
      <c r="H6776" s="1">
        <v>6.737373737</v>
      </c>
      <c r="I6776" s="1">
        <v>4.55</v>
      </c>
      <c r="J6776" s="1">
        <v>3.594888</v>
      </c>
    </row>
    <row r="6777">
      <c r="A6777" s="1">
        <v>2025.0</v>
      </c>
      <c r="B6777" s="1" t="s">
        <v>505</v>
      </c>
      <c r="C6777" s="1">
        <v>621053.0</v>
      </c>
      <c r="D6777" s="1" t="s">
        <v>539</v>
      </c>
      <c r="E6777" s="1" t="s">
        <v>927</v>
      </c>
      <c r="F6777" s="1" t="s">
        <v>927</v>
      </c>
      <c r="G6777" s="1">
        <v>254.0</v>
      </c>
      <c r="H6777" s="1">
        <v>14.88080808</v>
      </c>
      <c r="I6777" s="1">
        <v>4.88</v>
      </c>
      <c r="J6777" s="1">
        <v>6.055867</v>
      </c>
    </row>
    <row r="6778">
      <c r="A6778" s="1">
        <v>2025.0</v>
      </c>
      <c r="B6778" s="1" t="s">
        <v>478</v>
      </c>
      <c r="C6778" s="1">
        <v>656457.0</v>
      </c>
      <c r="D6778" s="1" t="s">
        <v>540</v>
      </c>
      <c r="E6778" s="1" t="s">
        <v>926</v>
      </c>
      <c r="F6778" s="1" t="s">
        <v>926</v>
      </c>
      <c r="G6778" s="1">
        <v>20.0</v>
      </c>
      <c r="H6778" s="1">
        <v>1.215733015</v>
      </c>
      <c r="I6778" s="1">
        <v>4.74</v>
      </c>
      <c r="J6778" s="1">
        <v>0.533537</v>
      </c>
    </row>
    <row r="6779">
      <c r="A6779" s="1">
        <v>2025.0</v>
      </c>
      <c r="B6779" s="1" t="s">
        <v>478</v>
      </c>
      <c r="C6779" s="1">
        <v>656457.0</v>
      </c>
      <c r="D6779" s="1" t="s">
        <v>537</v>
      </c>
      <c r="E6779" s="1" t="s">
        <v>926</v>
      </c>
      <c r="F6779" s="1" t="s">
        <v>926</v>
      </c>
      <c r="G6779" s="1">
        <v>52.0</v>
      </c>
      <c r="H6779" s="1">
        <v>3.16090584</v>
      </c>
      <c r="I6779" s="1">
        <v>4.93</v>
      </c>
      <c r="J6779" s="1">
        <v>1.212371</v>
      </c>
    </row>
    <row r="6780">
      <c r="A6780" s="1">
        <v>2025.0</v>
      </c>
      <c r="B6780" s="1" t="s">
        <v>478</v>
      </c>
      <c r="C6780" s="1">
        <v>656457.0</v>
      </c>
      <c r="D6780" s="1" t="s">
        <v>536</v>
      </c>
      <c r="E6780" s="1" t="s">
        <v>926</v>
      </c>
      <c r="F6780" s="1" t="s">
        <v>926</v>
      </c>
      <c r="G6780" s="1">
        <v>110.0</v>
      </c>
      <c r="H6780" s="1">
        <v>6.686531585</v>
      </c>
      <c r="I6780" s="1">
        <v>5.13</v>
      </c>
      <c r="J6780" s="1">
        <v>2.26652</v>
      </c>
    </row>
    <row r="6781">
      <c r="A6781" s="1">
        <v>2025.0</v>
      </c>
      <c r="B6781" s="1" t="s">
        <v>478</v>
      </c>
      <c r="C6781" s="1">
        <v>656457.0</v>
      </c>
      <c r="D6781" s="1" t="s">
        <v>533</v>
      </c>
      <c r="E6781" s="1" t="s">
        <v>926</v>
      </c>
      <c r="F6781" s="1" t="s">
        <v>926</v>
      </c>
      <c r="G6781" s="1">
        <v>1.0</v>
      </c>
      <c r="H6781" s="1">
        <v>0.060786651</v>
      </c>
      <c r="I6781" s="1">
        <v>1.37</v>
      </c>
      <c r="J6781" s="1">
        <v>0.094096</v>
      </c>
    </row>
    <row r="6782">
      <c r="A6782" s="1">
        <v>2025.0</v>
      </c>
      <c r="B6782" s="1" t="s">
        <v>478</v>
      </c>
      <c r="C6782" s="1">
        <v>656457.0</v>
      </c>
      <c r="D6782" s="1" t="s">
        <v>539</v>
      </c>
      <c r="E6782" s="1" t="s">
        <v>926</v>
      </c>
      <c r="F6782" s="1" t="s">
        <v>926</v>
      </c>
      <c r="G6782" s="1">
        <v>215.0</v>
      </c>
      <c r="H6782" s="1">
        <v>13.06912992</v>
      </c>
      <c r="I6782" s="1">
        <v>4.91</v>
      </c>
      <c r="J6782" s="1">
        <v>5.112622</v>
      </c>
    </row>
    <row r="6783">
      <c r="A6783" s="1">
        <v>2025.0</v>
      </c>
      <c r="B6783" s="1" t="s">
        <v>478</v>
      </c>
      <c r="C6783" s="1">
        <v>656457.0</v>
      </c>
      <c r="D6783" s="1" t="s">
        <v>540</v>
      </c>
      <c r="E6783" s="1" t="s">
        <v>926</v>
      </c>
      <c r="F6783" s="1" t="s">
        <v>927</v>
      </c>
      <c r="G6783" s="1">
        <v>136.0</v>
      </c>
      <c r="H6783" s="1">
        <v>8.266984505</v>
      </c>
      <c r="I6783" s="1">
        <v>4.87</v>
      </c>
      <c r="J6783" s="1">
        <v>3.419853</v>
      </c>
    </row>
    <row r="6784">
      <c r="A6784" s="1">
        <v>2025.0</v>
      </c>
      <c r="B6784" s="1" t="s">
        <v>478</v>
      </c>
      <c r="C6784" s="1">
        <v>656457.0</v>
      </c>
      <c r="D6784" s="1" t="s">
        <v>537</v>
      </c>
      <c r="E6784" s="1" t="s">
        <v>926</v>
      </c>
      <c r="F6784" s="1" t="s">
        <v>927</v>
      </c>
      <c r="G6784" s="1">
        <v>46.0</v>
      </c>
      <c r="H6784" s="1">
        <v>2.796185936</v>
      </c>
      <c r="I6784" s="1">
        <v>4.47</v>
      </c>
      <c r="J6784" s="1">
        <v>1.47466</v>
      </c>
    </row>
    <row r="6785">
      <c r="A6785" s="1">
        <v>2025.0</v>
      </c>
      <c r="B6785" s="1" t="s">
        <v>478</v>
      </c>
      <c r="C6785" s="1">
        <v>656457.0</v>
      </c>
      <c r="D6785" s="1" t="s">
        <v>538</v>
      </c>
      <c r="E6785" s="1" t="s">
        <v>926</v>
      </c>
      <c r="F6785" s="1" t="s">
        <v>927</v>
      </c>
      <c r="G6785" s="1">
        <v>66.0</v>
      </c>
      <c r="H6785" s="1">
        <v>4.011918951</v>
      </c>
      <c r="I6785" s="1">
        <v>4.51</v>
      </c>
      <c r="J6785" s="1">
        <v>2.146913</v>
      </c>
    </row>
    <row r="6786">
      <c r="A6786" s="1">
        <v>2025.0</v>
      </c>
      <c r="B6786" s="1" t="s">
        <v>478</v>
      </c>
      <c r="C6786" s="1">
        <v>656457.0</v>
      </c>
      <c r="D6786" s="1" t="s">
        <v>536</v>
      </c>
      <c r="E6786" s="1" t="s">
        <v>926</v>
      </c>
      <c r="F6786" s="1" t="s">
        <v>927</v>
      </c>
      <c r="G6786" s="1">
        <v>155.0</v>
      </c>
      <c r="H6786" s="1">
        <v>9.42193087</v>
      </c>
      <c r="I6786" s="1">
        <v>4.71</v>
      </c>
      <c r="J6786" s="1">
        <v>4.4563</v>
      </c>
    </row>
    <row r="6787">
      <c r="A6787" s="1">
        <v>2025.0</v>
      </c>
      <c r="B6787" s="1" t="s">
        <v>478</v>
      </c>
      <c r="C6787" s="1">
        <v>656457.0</v>
      </c>
      <c r="D6787" s="1" t="s">
        <v>539</v>
      </c>
      <c r="E6787" s="1" t="s">
        <v>926</v>
      </c>
      <c r="F6787" s="1" t="s">
        <v>927</v>
      </c>
      <c r="G6787" s="1">
        <v>38.0</v>
      </c>
      <c r="H6787" s="1">
        <v>2.309892729</v>
      </c>
      <c r="I6787" s="1">
        <v>4.39</v>
      </c>
      <c r="J6787" s="1">
        <v>1.270573</v>
      </c>
    </row>
    <row r="6788">
      <c r="A6788" s="1">
        <v>2025.0</v>
      </c>
      <c r="B6788" s="1" t="s">
        <v>421</v>
      </c>
      <c r="C6788" s="1">
        <v>607192.0</v>
      </c>
      <c r="D6788" s="1" t="s">
        <v>541</v>
      </c>
      <c r="E6788" s="1" t="s">
        <v>927</v>
      </c>
      <c r="F6788" s="1" t="s">
        <v>926</v>
      </c>
      <c r="G6788" s="1">
        <v>181.0</v>
      </c>
      <c r="H6788" s="1">
        <v>11.04752252</v>
      </c>
      <c r="I6788" s="1">
        <v>4.59</v>
      </c>
      <c r="J6788" s="1">
        <v>5.625871</v>
      </c>
    </row>
    <row r="6789">
      <c r="A6789" s="1">
        <v>2025.0</v>
      </c>
      <c r="B6789" s="1" t="s">
        <v>421</v>
      </c>
      <c r="C6789" s="1">
        <v>607192.0</v>
      </c>
      <c r="D6789" s="1" t="s">
        <v>537</v>
      </c>
      <c r="E6789" s="1" t="s">
        <v>927</v>
      </c>
      <c r="F6789" s="1" t="s">
        <v>926</v>
      </c>
      <c r="G6789" s="1">
        <v>259.0</v>
      </c>
      <c r="H6789" s="1">
        <v>15.80833333</v>
      </c>
      <c r="I6789" s="1">
        <v>5.12</v>
      </c>
      <c r="J6789" s="1">
        <v>5.396322</v>
      </c>
    </row>
    <row r="6790">
      <c r="A6790" s="1">
        <v>2025.0</v>
      </c>
      <c r="B6790" s="1" t="s">
        <v>421</v>
      </c>
      <c r="C6790" s="1">
        <v>607192.0</v>
      </c>
      <c r="D6790" s="1" t="s">
        <v>536</v>
      </c>
      <c r="E6790" s="1" t="s">
        <v>927</v>
      </c>
      <c r="F6790" s="1" t="s">
        <v>926</v>
      </c>
      <c r="G6790" s="1">
        <v>108.0</v>
      </c>
      <c r="H6790" s="1">
        <v>6.591891892</v>
      </c>
      <c r="I6790" s="1">
        <v>4.65</v>
      </c>
      <c r="J6790" s="1">
        <v>3.198438</v>
      </c>
    </row>
    <row r="6791">
      <c r="A6791" s="1">
        <v>2025.0</v>
      </c>
      <c r="B6791" s="1" t="s">
        <v>421</v>
      </c>
      <c r="C6791" s="1">
        <v>607192.0</v>
      </c>
      <c r="D6791" s="1" t="s">
        <v>533</v>
      </c>
      <c r="E6791" s="1" t="s">
        <v>927</v>
      </c>
      <c r="F6791" s="1" t="s">
        <v>926</v>
      </c>
      <c r="G6791" s="1">
        <v>109.0</v>
      </c>
      <c r="H6791" s="1">
        <v>6.652927928</v>
      </c>
      <c r="I6791" s="1">
        <v>5.2</v>
      </c>
      <c r="J6791" s="1">
        <v>1.982124</v>
      </c>
    </row>
    <row r="6792">
      <c r="A6792" s="1">
        <v>2025.0</v>
      </c>
      <c r="B6792" s="1" t="s">
        <v>421</v>
      </c>
      <c r="C6792" s="1">
        <v>607192.0</v>
      </c>
      <c r="D6792" s="1" t="s">
        <v>541</v>
      </c>
      <c r="E6792" s="1" t="s">
        <v>927</v>
      </c>
      <c r="F6792" s="1" t="s">
        <v>927</v>
      </c>
      <c r="G6792" s="1">
        <v>143.0</v>
      </c>
      <c r="H6792" s="1">
        <v>8.728153153</v>
      </c>
      <c r="I6792" s="1">
        <v>4.76</v>
      </c>
      <c r="J6792" s="1">
        <v>3.819267</v>
      </c>
    </row>
    <row r="6793">
      <c r="A6793" s="1">
        <v>2025.0</v>
      </c>
      <c r="B6793" s="1" t="s">
        <v>421</v>
      </c>
      <c r="C6793" s="1">
        <v>607192.0</v>
      </c>
      <c r="D6793" s="1" t="s">
        <v>537</v>
      </c>
      <c r="E6793" s="1" t="s">
        <v>927</v>
      </c>
      <c r="F6793" s="1" t="s">
        <v>927</v>
      </c>
      <c r="G6793" s="1">
        <v>265.0</v>
      </c>
      <c r="H6793" s="1">
        <v>16.17454955</v>
      </c>
      <c r="I6793" s="1">
        <v>5.06</v>
      </c>
      <c r="J6793" s="1">
        <v>5.828755</v>
      </c>
    </row>
    <row r="6794">
      <c r="A6794" s="1">
        <v>2025.0</v>
      </c>
      <c r="B6794" s="1" t="s">
        <v>421</v>
      </c>
      <c r="C6794" s="1">
        <v>607192.0</v>
      </c>
      <c r="D6794" s="1" t="s">
        <v>536</v>
      </c>
      <c r="E6794" s="1" t="s">
        <v>927</v>
      </c>
      <c r="F6794" s="1" t="s">
        <v>927</v>
      </c>
      <c r="G6794" s="1">
        <v>197.0</v>
      </c>
      <c r="H6794" s="1">
        <v>12.0240991</v>
      </c>
      <c r="I6794" s="1">
        <v>4.83</v>
      </c>
      <c r="J6794" s="1">
        <v>5.24831</v>
      </c>
    </row>
    <row r="6795">
      <c r="A6795" s="1">
        <v>2025.0</v>
      </c>
      <c r="B6795" s="1" t="s">
        <v>421</v>
      </c>
      <c r="C6795" s="1">
        <v>607192.0</v>
      </c>
      <c r="D6795" s="1" t="s">
        <v>533</v>
      </c>
      <c r="E6795" s="1" t="s">
        <v>927</v>
      </c>
      <c r="F6795" s="1" t="s">
        <v>927</v>
      </c>
      <c r="G6795" s="1">
        <v>218.0</v>
      </c>
      <c r="H6795" s="1">
        <v>13.30585586</v>
      </c>
      <c r="I6795" s="1">
        <v>4.94</v>
      </c>
      <c r="J6795" s="1">
        <v>5.168114</v>
      </c>
    </row>
    <row r="6796">
      <c r="A6796" s="1">
        <v>2025.0</v>
      </c>
      <c r="B6796" s="1" t="s">
        <v>902</v>
      </c>
      <c r="C6796" s="1">
        <v>623168.0</v>
      </c>
      <c r="D6796" s="1" t="s">
        <v>537</v>
      </c>
      <c r="E6796" s="1" t="s">
        <v>927</v>
      </c>
      <c r="F6796" s="1" t="s">
        <v>926</v>
      </c>
      <c r="G6796" s="1">
        <v>1.0</v>
      </c>
      <c r="H6796" s="1">
        <v>0.666666667</v>
      </c>
      <c r="I6796" s="1">
        <v>6.63</v>
      </c>
      <c r="J6796" s="1">
        <v>-0.00913</v>
      </c>
    </row>
    <row r="6797">
      <c r="A6797" s="1">
        <v>2025.0</v>
      </c>
      <c r="B6797" s="1" t="s">
        <v>902</v>
      </c>
      <c r="C6797" s="1">
        <v>623168.0</v>
      </c>
      <c r="D6797" s="1" t="s">
        <v>537</v>
      </c>
      <c r="E6797" s="1" t="s">
        <v>927</v>
      </c>
      <c r="F6797" s="1" t="s">
        <v>927</v>
      </c>
      <c r="G6797" s="1">
        <v>4.0</v>
      </c>
      <c r="H6797" s="1">
        <v>2.666666667</v>
      </c>
      <c r="I6797" s="1">
        <v>4.74</v>
      </c>
      <c r="J6797" s="1">
        <v>0.115329</v>
      </c>
    </row>
    <row r="6798">
      <c r="A6798" s="1">
        <v>2025.0</v>
      </c>
      <c r="B6798" s="1" t="s">
        <v>82</v>
      </c>
      <c r="C6798" s="1">
        <v>663947.0</v>
      </c>
      <c r="D6798" s="1" t="s">
        <v>532</v>
      </c>
      <c r="E6798" s="1" t="s">
        <v>926</v>
      </c>
      <c r="F6798" s="1" t="s">
        <v>926</v>
      </c>
      <c r="G6798" s="1">
        <v>10.0</v>
      </c>
      <c r="H6798" s="1">
        <v>0.679332182</v>
      </c>
      <c r="I6798" s="1">
        <v>5.67</v>
      </c>
      <c r="J6798" s="1">
        <v>0.063121</v>
      </c>
    </row>
    <row r="6799">
      <c r="A6799" s="1">
        <v>2025.0</v>
      </c>
      <c r="B6799" s="1" t="s">
        <v>82</v>
      </c>
      <c r="C6799" s="1">
        <v>663947.0</v>
      </c>
      <c r="D6799" s="1" t="s">
        <v>540</v>
      </c>
      <c r="E6799" s="1" t="s">
        <v>926</v>
      </c>
      <c r="F6799" s="1" t="s">
        <v>926</v>
      </c>
      <c r="G6799" s="1">
        <v>15.0</v>
      </c>
      <c r="H6799" s="1">
        <v>1.018998273</v>
      </c>
      <c r="I6799" s="1">
        <v>5.5</v>
      </c>
      <c r="J6799" s="1">
        <v>0.157502</v>
      </c>
    </row>
    <row r="6800">
      <c r="A6800" s="1">
        <v>2025.0</v>
      </c>
      <c r="B6800" s="1" t="s">
        <v>82</v>
      </c>
      <c r="C6800" s="1">
        <v>663947.0</v>
      </c>
      <c r="D6800" s="1" t="s">
        <v>537</v>
      </c>
      <c r="E6800" s="1" t="s">
        <v>926</v>
      </c>
      <c r="F6800" s="1" t="s">
        <v>926</v>
      </c>
      <c r="G6800" s="1">
        <v>21.0</v>
      </c>
      <c r="H6800" s="1">
        <v>1.426597582</v>
      </c>
      <c r="I6800" s="1">
        <v>5.55</v>
      </c>
      <c r="J6800" s="1">
        <v>0.251101</v>
      </c>
    </row>
    <row r="6801">
      <c r="A6801" s="1">
        <v>2025.0</v>
      </c>
      <c r="B6801" s="1" t="s">
        <v>82</v>
      </c>
      <c r="C6801" s="1">
        <v>663947.0</v>
      </c>
      <c r="D6801" s="1" t="s">
        <v>536</v>
      </c>
      <c r="E6801" s="1" t="s">
        <v>926</v>
      </c>
      <c r="F6801" s="1" t="s">
        <v>926</v>
      </c>
      <c r="G6801" s="1">
        <v>250.0</v>
      </c>
      <c r="H6801" s="1">
        <v>16.98330455</v>
      </c>
      <c r="I6801" s="1">
        <v>5.63</v>
      </c>
      <c r="J6801" s="1">
        <v>2.277672</v>
      </c>
    </row>
    <row r="6802">
      <c r="A6802" s="1">
        <v>2025.0</v>
      </c>
      <c r="B6802" s="1" t="s">
        <v>82</v>
      </c>
      <c r="C6802" s="1">
        <v>663947.0</v>
      </c>
      <c r="D6802" s="1" t="s">
        <v>539</v>
      </c>
      <c r="E6802" s="1" t="s">
        <v>926</v>
      </c>
      <c r="F6802" s="1" t="s">
        <v>926</v>
      </c>
      <c r="G6802" s="1">
        <v>214.0</v>
      </c>
      <c r="H6802" s="1">
        <v>14.53770869</v>
      </c>
      <c r="I6802" s="1">
        <v>4.98</v>
      </c>
      <c r="J6802" s="1">
        <v>4.668659</v>
      </c>
    </row>
    <row r="6803">
      <c r="A6803" s="1">
        <v>2025.0</v>
      </c>
      <c r="B6803" s="1" t="s">
        <v>82</v>
      </c>
      <c r="C6803" s="1">
        <v>663947.0</v>
      </c>
      <c r="D6803" s="1" t="s">
        <v>532</v>
      </c>
      <c r="E6803" s="1" t="s">
        <v>926</v>
      </c>
      <c r="F6803" s="1" t="s">
        <v>927</v>
      </c>
      <c r="G6803" s="1">
        <v>159.0</v>
      </c>
      <c r="H6803" s="1">
        <v>10.80138169</v>
      </c>
      <c r="I6803" s="1">
        <v>4.95</v>
      </c>
      <c r="J6803" s="1">
        <v>3.665615</v>
      </c>
    </row>
    <row r="6804">
      <c r="A6804" s="1">
        <v>2025.0</v>
      </c>
      <c r="B6804" s="1" t="s">
        <v>82</v>
      </c>
      <c r="C6804" s="1">
        <v>663947.0</v>
      </c>
      <c r="D6804" s="1" t="s">
        <v>541</v>
      </c>
      <c r="E6804" s="1" t="s">
        <v>926</v>
      </c>
      <c r="F6804" s="1" t="s">
        <v>927</v>
      </c>
      <c r="G6804" s="1">
        <v>41.0</v>
      </c>
      <c r="H6804" s="1">
        <v>2.785261946</v>
      </c>
      <c r="I6804" s="1">
        <v>4.55</v>
      </c>
      <c r="J6804" s="1">
        <v>1.214356</v>
      </c>
    </row>
    <row r="6805">
      <c r="A6805" s="1">
        <v>2025.0</v>
      </c>
      <c r="B6805" s="1" t="s">
        <v>82</v>
      </c>
      <c r="C6805" s="1">
        <v>663947.0</v>
      </c>
      <c r="D6805" s="1" t="s">
        <v>540</v>
      </c>
      <c r="E6805" s="1" t="s">
        <v>926</v>
      </c>
      <c r="F6805" s="1" t="s">
        <v>927</v>
      </c>
      <c r="G6805" s="1">
        <v>335.0</v>
      </c>
      <c r="H6805" s="1">
        <v>22.75762809</v>
      </c>
      <c r="I6805" s="1">
        <v>5.2</v>
      </c>
      <c r="J6805" s="1">
        <v>6.187828</v>
      </c>
    </row>
    <row r="6806">
      <c r="A6806" s="1">
        <v>2025.0</v>
      </c>
      <c r="B6806" s="1" t="s">
        <v>82</v>
      </c>
      <c r="C6806" s="1">
        <v>663947.0</v>
      </c>
      <c r="D6806" s="1" t="s">
        <v>537</v>
      </c>
      <c r="E6806" s="1" t="s">
        <v>926</v>
      </c>
      <c r="F6806" s="1" t="s">
        <v>927</v>
      </c>
      <c r="G6806" s="1">
        <v>109.0</v>
      </c>
      <c r="H6806" s="1">
        <v>7.404720783</v>
      </c>
      <c r="I6806" s="1">
        <v>4.68</v>
      </c>
      <c r="J6806" s="1">
        <v>3.098434</v>
      </c>
    </row>
    <row r="6807">
      <c r="A6807" s="1">
        <v>2025.0</v>
      </c>
      <c r="B6807" s="1" t="s">
        <v>82</v>
      </c>
      <c r="C6807" s="1">
        <v>663947.0</v>
      </c>
      <c r="D6807" s="1" t="s">
        <v>536</v>
      </c>
      <c r="E6807" s="1" t="s">
        <v>926</v>
      </c>
      <c r="F6807" s="1" t="s">
        <v>927</v>
      </c>
      <c r="G6807" s="1">
        <v>3.0</v>
      </c>
      <c r="H6807" s="1">
        <v>0.203799655</v>
      </c>
      <c r="I6807" s="1">
        <v>4.81</v>
      </c>
      <c r="J6807" s="1">
        <v>0.071661</v>
      </c>
    </row>
    <row r="6808">
      <c r="A6808" s="1">
        <v>2025.0</v>
      </c>
      <c r="B6808" s="1" t="s">
        <v>82</v>
      </c>
      <c r="C6808" s="1">
        <v>663947.0</v>
      </c>
      <c r="D6808" s="1" t="s">
        <v>539</v>
      </c>
      <c r="E6808" s="1" t="s">
        <v>926</v>
      </c>
      <c r="F6808" s="1" t="s">
        <v>927</v>
      </c>
      <c r="G6808" s="1">
        <v>1.0</v>
      </c>
      <c r="H6808" s="1">
        <v>0.067933218</v>
      </c>
      <c r="I6808" s="1">
        <v>6.9</v>
      </c>
      <c r="J6808" s="1">
        <v>-0.017359</v>
      </c>
    </row>
    <row r="6809">
      <c r="A6809" s="1">
        <v>2025.0</v>
      </c>
      <c r="B6809" s="1" t="s">
        <v>288</v>
      </c>
      <c r="C6809" s="1">
        <v>641755.0</v>
      </c>
      <c r="D6809" s="1" t="s">
        <v>532</v>
      </c>
      <c r="E6809" s="1" t="s">
        <v>927</v>
      </c>
      <c r="F6809" s="1" t="s">
        <v>926</v>
      </c>
      <c r="G6809" s="1">
        <v>11.0</v>
      </c>
      <c r="H6809" s="1">
        <v>0.652517007</v>
      </c>
      <c r="I6809" s="1">
        <v>4.6</v>
      </c>
      <c r="J6809" s="1">
        <v>0.329789</v>
      </c>
    </row>
    <row r="6810">
      <c r="A6810" s="1">
        <v>2025.0</v>
      </c>
      <c r="B6810" s="1" t="s">
        <v>288</v>
      </c>
      <c r="C6810" s="1">
        <v>641755.0</v>
      </c>
      <c r="D6810" s="1" t="s">
        <v>541</v>
      </c>
      <c r="E6810" s="1" t="s">
        <v>927</v>
      </c>
      <c r="F6810" s="1" t="s">
        <v>926</v>
      </c>
      <c r="G6810" s="1">
        <v>97.0</v>
      </c>
      <c r="H6810" s="1">
        <v>5.754013605</v>
      </c>
      <c r="I6810" s="1">
        <v>4.9</v>
      </c>
      <c r="J6810" s="1">
        <v>2.311155</v>
      </c>
    </row>
    <row r="6811">
      <c r="A6811" s="1">
        <v>2025.0</v>
      </c>
      <c r="B6811" s="1" t="s">
        <v>288</v>
      </c>
      <c r="C6811" s="1">
        <v>641755.0</v>
      </c>
      <c r="D6811" s="1" t="s">
        <v>537</v>
      </c>
      <c r="E6811" s="1" t="s">
        <v>927</v>
      </c>
      <c r="F6811" s="1" t="s">
        <v>926</v>
      </c>
      <c r="G6811" s="1">
        <v>138.0</v>
      </c>
      <c r="H6811" s="1">
        <v>8.186122449</v>
      </c>
      <c r="I6811" s="1">
        <v>4.45</v>
      </c>
      <c r="J6811" s="1">
        <v>4.635515</v>
      </c>
    </row>
    <row r="6812">
      <c r="A6812" s="1">
        <v>2025.0</v>
      </c>
      <c r="B6812" s="1" t="s">
        <v>288</v>
      </c>
      <c r="C6812" s="1">
        <v>641755.0</v>
      </c>
      <c r="D6812" s="1" t="s">
        <v>533</v>
      </c>
      <c r="E6812" s="1" t="s">
        <v>927</v>
      </c>
      <c r="F6812" s="1" t="s">
        <v>926</v>
      </c>
      <c r="G6812" s="1">
        <v>332.0</v>
      </c>
      <c r="H6812" s="1">
        <v>19.69414966</v>
      </c>
      <c r="I6812" s="1">
        <v>5.37</v>
      </c>
      <c r="J6812" s="1">
        <v>4.905634</v>
      </c>
    </row>
    <row r="6813">
      <c r="A6813" s="1">
        <v>2025.0</v>
      </c>
      <c r="B6813" s="1" t="s">
        <v>288</v>
      </c>
      <c r="C6813" s="1">
        <v>641755.0</v>
      </c>
      <c r="D6813" s="1" t="s">
        <v>541</v>
      </c>
      <c r="E6813" s="1" t="s">
        <v>927</v>
      </c>
      <c r="F6813" s="1" t="s">
        <v>927</v>
      </c>
      <c r="G6813" s="1">
        <v>50.0</v>
      </c>
      <c r="H6813" s="1">
        <v>2.965986395</v>
      </c>
      <c r="I6813" s="1">
        <v>4.91</v>
      </c>
      <c r="J6813" s="1">
        <v>1.095155</v>
      </c>
    </row>
    <row r="6814">
      <c r="A6814" s="1">
        <v>2025.0</v>
      </c>
      <c r="B6814" s="1" t="s">
        <v>288</v>
      </c>
      <c r="C6814" s="1">
        <v>641755.0</v>
      </c>
      <c r="D6814" s="1" t="s">
        <v>537</v>
      </c>
      <c r="E6814" s="1" t="s">
        <v>927</v>
      </c>
      <c r="F6814" s="1" t="s">
        <v>927</v>
      </c>
      <c r="G6814" s="1">
        <v>142.0</v>
      </c>
      <c r="H6814" s="1">
        <v>8.423401361</v>
      </c>
      <c r="I6814" s="1">
        <v>4.32</v>
      </c>
      <c r="J6814" s="1">
        <v>5.112811</v>
      </c>
    </row>
    <row r="6815">
      <c r="A6815" s="1">
        <v>2025.0</v>
      </c>
      <c r="B6815" s="1" t="s">
        <v>288</v>
      </c>
      <c r="C6815" s="1">
        <v>641755.0</v>
      </c>
      <c r="D6815" s="1" t="s">
        <v>533</v>
      </c>
      <c r="E6815" s="1" t="s">
        <v>927</v>
      </c>
      <c r="F6815" s="1" t="s">
        <v>927</v>
      </c>
      <c r="G6815" s="1">
        <v>455.0</v>
      </c>
      <c r="H6815" s="1">
        <v>26.99047619</v>
      </c>
      <c r="I6815" s="1">
        <v>5.23</v>
      </c>
      <c r="J6815" s="1">
        <v>7.878085</v>
      </c>
    </row>
    <row r="6816">
      <c r="A6816" s="1">
        <v>2025.0</v>
      </c>
      <c r="B6816" s="1" t="s">
        <v>55</v>
      </c>
      <c r="C6816" s="1">
        <v>641816.0</v>
      </c>
      <c r="D6816" s="1" t="s">
        <v>540</v>
      </c>
      <c r="E6816" s="1" t="s">
        <v>927</v>
      </c>
      <c r="F6816" s="1" t="s">
        <v>926</v>
      </c>
      <c r="G6816" s="1">
        <v>53.0</v>
      </c>
      <c r="H6816" s="1">
        <v>3.326092204</v>
      </c>
      <c r="I6816" s="1">
        <v>5.7</v>
      </c>
      <c r="J6816" s="1">
        <v>0.424746</v>
      </c>
    </row>
    <row r="6817">
      <c r="A6817" s="1">
        <v>2025.0</v>
      </c>
      <c r="B6817" s="1" t="s">
        <v>55</v>
      </c>
      <c r="C6817" s="1">
        <v>641816.0</v>
      </c>
      <c r="D6817" s="1" t="s">
        <v>537</v>
      </c>
      <c r="E6817" s="1" t="s">
        <v>927</v>
      </c>
      <c r="F6817" s="1" t="s">
        <v>926</v>
      </c>
      <c r="G6817" s="1">
        <v>286.0</v>
      </c>
      <c r="H6817" s="1">
        <v>17.94834661</v>
      </c>
      <c r="I6817" s="1">
        <v>5.19</v>
      </c>
      <c r="J6817" s="1">
        <v>5.101656</v>
      </c>
    </row>
    <row r="6818">
      <c r="A6818" s="1">
        <v>2025.0</v>
      </c>
      <c r="B6818" s="1" t="s">
        <v>55</v>
      </c>
      <c r="C6818" s="1">
        <v>641816.0</v>
      </c>
      <c r="D6818" s="1" t="s">
        <v>538</v>
      </c>
      <c r="E6818" s="1" t="s">
        <v>927</v>
      </c>
      <c r="F6818" s="1" t="s">
        <v>926</v>
      </c>
      <c r="G6818" s="1">
        <v>235.0</v>
      </c>
      <c r="H6818" s="1">
        <v>14.74776732</v>
      </c>
      <c r="I6818" s="1">
        <v>5.27</v>
      </c>
      <c r="J6818" s="1">
        <v>3.787028</v>
      </c>
    </row>
    <row r="6819">
      <c r="A6819" s="1">
        <v>2025.0</v>
      </c>
      <c r="B6819" s="1" t="s">
        <v>55</v>
      </c>
      <c r="C6819" s="1">
        <v>641816.0</v>
      </c>
      <c r="D6819" s="1" t="s">
        <v>533</v>
      </c>
      <c r="E6819" s="1" t="s">
        <v>927</v>
      </c>
      <c r="F6819" s="1" t="s">
        <v>926</v>
      </c>
      <c r="G6819" s="1">
        <v>21.0</v>
      </c>
      <c r="H6819" s="1">
        <v>1.31788559</v>
      </c>
      <c r="I6819" s="1">
        <v>5.63</v>
      </c>
      <c r="J6819" s="1">
        <v>0.17799</v>
      </c>
    </row>
    <row r="6820">
      <c r="A6820" s="1">
        <v>2025.0</v>
      </c>
      <c r="B6820" s="1" t="s">
        <v>55</v>
      </c>
      <c r="C6820" s="1">
        <v>641816.0</v>
      </c>
      <c r="D6820" s="1" t="s">
        <v>540</v>
      </c>
      <c r="E6820" s="1" t="s">
        <v>927</v>
      </c>
      <c r="F6820" s="1" t="s">
        <v>927</v>
      </c>
      <c r="G6820" s="1">
        <v>124.0</v>
      </c>
      <c r="H6820" s="1">
        <v>7.781800628</v>
      </c>
      <c r="I6820" s="1">
        <v>5.54</v>
      </c>
      <c r="J6820" s="1">
        <v>1.388379</v>
      </c>
    </row>
    <row r="6821">
      <c r="A6821" s="1">
        <v>2025.0</v>
      </c>
      <c r="B6821" s="1" t="s">
        <v>55</v>
      </c>
      <c r="C6821" s="1">
        <v>641816.0</v>
      </c>
      <c r="D6821" s="1" t="s">
        <v>537</v>
      </c>
      <c r="E6821" s="1" t="s">
        <v>927</v>
      </c>
      <c r="F6821" s="1" t="s">
        <v>927</v>
      </c>
      <c r="G6821" s="1">
        <v>398.0</v>
      </c>
      <c r="H6821" s="1">
        <v>24.97706976</v>
      </c>
      <c r="I6821" s="1">
        <v>5.15</v>
      </c>
      <c r="J6821" s="1">
        <v>7.370271</v>
      </c>
    </row>
    <row r="6822">
      <c r="A6822" s="1">
        <v>2025.0</v>
      </c>
      <c r="B6822" s="1" t="s">
        <v>55</v>
      </c>
      <c r="C6822" s="1">
        <v>641816.0</v>
      </c>
      <c r="D6822" s="1" t="s">
        <v>538</v>
      </c>
      <c r="E6822" s="1" t="s">
        <v>927</v>
      </c>
      <c r="F6822" s="1" t="s">
        <v>927</v>
      </c>
      <c r="G6822" s="1">
        <v>148.0</v>
      </c>
      <c r="H6822" s="1">
        <v>9.287955588</v>
      </c>
      <c r="I6822" s="1">
        <v>5.26</v>
      </c>
      <c r="J6822" s="1">
        <v>2.39318</v>
      </c>
    </row>
    <row r="6823">
      <c r="A6823" s="1">
        <v>2025.0</v>
      </c>
      <c r="B6823" s="1" t="s">
        <v>55</v>
      </c>
      <c r="C6823" s="1">
        <v>641816.0</v>
      </c>
      <c r="D6823" s="1" t="s">
        <v>533</v>
      </c>
      <c r="E6823" s="1" t="s">
        <v>927</v>
      </c>
      <c r="F6823" s="1" t="s">
        <v>927</v>
      </c>
      <c r="G6823" s="1">
        <v>116.0</v>
      </c>
      <c r="H6823" s="1">
        <v>7.279748974</v>
      </c>
      <c r="I6823" s="1">
        <v>5.26</v>
      </c>
      <c r="J6823" s="1">
        <v>1.920306</v>
      </c>
    </row>
    <row r="6824">
      <c r="A6824" s="1">
        <v>2025.0</v>
      </c>
      <c r="B6824" s="1" t="s">
        <v>730</v>
      </c>
      <c r="C6824" s="1">
        <v>554431.0</v>
      </c>
      <c r="D6824" s="1" t="s">
        <v>537</v>
      </c>
      <c r="E6824" s="1" t="s">
        <v>926</v>
      </c>
      <c r="F6824" s="1" t="s">
        <v>926</v>
      </c>
      <c r="G6824" s="1">
        <v>28.0</v>
      </c>
      <c r="H6824" s="1">
        <v>1.407407407</v>
      </c>
      <c r="I6824" s="1">
        <v>4.97</v>
      </c>
      <c r="J6824" s="1">
        <v>0.681802</v>
      </c>
    </row>
    <row r="6825">
      <c r="A6825" s="1">
        <v>2025.0</v>
      </c>
      <c r="B6825" s="1" t="s">
        <v>730</v>
      </c>
      <c r="C6825" s="1">
        <v>554431.0</v>
      </c>
      <c r="D6825" s="1" t="s">
        <v>536</v>
      </c>
      <c r="E6825" s="1" t="s">
        <v>926</v>
      </c>
      <c r="F6825" s="1" t="s">
        <v>926</v>
      </c>
      <c r="G6825" s="1">
        <v>6.0</v>
      </c>
      <c r="H6825" s="1">
        <v>0.301587302</v>
      </c>
      <c r="I6825" s="1">
        <v>4.02</v>
      </c>
      <c r="J6825" s="1">
        <v>0.253311</v>
      </c>
    </row>
    <row r="6826">
      <c r="A6826" s="1">
        <v>2025.0</v>
      </c>
      <c r="B6826" s="1" t="s">
        <v>730</v>
      </c>
      <c r="C6826" s="1">
        <v>554431.0</v>
      </c>
      <c r="D6826" s="1" t="s">
        <v>533</v>
      </c>
      <c r="E6826" s="1" t="s">
        <v>926</v>
      </c>
      <c r="F6826" s="1" t="s">
        <v>926</v>
      </c>
      <c r="G6826" s="1">
        <v>17.0</v>
      </c>
      <c r="H6826" s="1">
        <v>0.854497354</v>
      </c>
      <c r="I6826" s="1">
        <v>4.59</v>
      </c>
      <c r="J6826" s="1">
        <v>0.503909</v>
      </c>
    </row>
    <row r="6827">
      <c r="A6827" s="1">
        <v>2025.0</v>
      </c>
      <c r="B6827" s="1" t="s">
        <v>730</v>
      </c>
      <c r="C6827" s="1">
        <v>554431.0</v>
      </c>
      <c r="D6827" s="1" t="s">
        <v>537</v>
      </c>
      <c r="E6827" s="1" t="s">
        <v>926</v>
      </c>
      <c r="F6827" s="1" t="s">
        <v>927</v>
      </c>
      <c r="G6827" s="1">
        <v>48.0</v>
      </c>
      <c r="H6827" s="1">
        <v>2.412698413</v>
      </c>
      <c r="I6827" s="1">
        <v>5.17</v>
      </c>
      <c r="J6827" s="1">
        <v>0.895092</v>
      </c>
    </row>
    <row r="6828">
      <c r="A6828" s="1">
        <v>2025.0</v>
      </c>
      <c r="B6828" s="1" t="s">
        <v>730</v>
      </c>
      <c r="C6828" s="1">
        <v>554431.0</v>
      </c>
      <c r="D6828" s="1" t="s">
        <v>536</v>
      </c>
      <c r="E6828" s="1" t="s">
        <v>926</v>
      </c>
      <c r="F6828" s="1" t="s">
        <v>927</v>
      </c>
      <c r="G6828" s="1">
        <v>2.0</v>
      </c>
      <c r="H6828" s="1">
        <v>0.100529101</v>
      </c>
      <c r="I6828" s="1">
        <v>4.91</v>
      </c>
      <c r="J6828" s="1">
        <v>0.046335</v>
      </c>
    </row>
    <row r="6829">
      <c r="A6829" s="1">
        <v>2025.0</v>
      </c>
      <c r="B6829" s="1" t="s">
        <v>730</v>
      </c>
      <c r="C6829" s="1">
        <v>554431.0</v>
      </c>
      <c r="D6829" s="1" t="s">
        <v>533</v>
      </c>
      <c r="E6829" s="1" t="s">
        <v>926</v>
      </c>
      <c r="F6829" s="1" t="s">
        <v>927</v>
      </c>
      <c r="G6829" s="1">
        <v>25.0</v>
      </c>
      <c r="H6829" s="1">
        <v>1.256613757</v>
      </c>
      <c r="I6829" s="1">
        <v>5.02</v>
      </c>
      <c r="J6829" s="1">
        <v>0.502416</v>
      </c>
    </row>
    <row r="6830">
      <c r="A6830" s="1">
        <v>2025.0</v>
      </c>
      <c r="B6830" s="1" t="s">
        <v>753</v>
      </c>
      <c r="C6830" s="1">
        <v>687074.0</v>
      </c>
      <c r="D6830" s="1" t="s">
        <v>540</v>
      </c>
      <c r="E6830" s="1" t="s">
        <v>927</v>
      </c>
      <c r="F6830" s="1" t="s">
        <v>926</v>
      </c>
      <c r="G6830" s="1">
        <v>13.0</v>
      </c>
      <c r="H6830" s="1">
        <v>0.629032258</v>
      </c>
      <c r="I6830" s="1">
        <v>4.87</v>
      </c>
      <c r="J6830" s="1">
        <v>0.331331</v>
      </c>
    </row>
    <row r="6831">
      <c r="A6831" s="1">
        <v>2025.0</v>
      </c>
      <c r="B6831" s="1" t="s">
        <v>753</v>
      </c>
      <c r="C6831" s="1">
        <v>687074.0</v>
      </c>
      <c r="D6831" s="1" t="s">
        <v>537</v>
      </c>
      <c r="E6831" s="1" t="s">
        <v>927</v>
      </c>
      <c r="F6831" s="1" t="s">
        <v>926</v>
      </c>
      <c r="G6831" s="1">
        <v>7.0</v>
      </c>
      <c r="H6831" s="1">
        <v>0.338709677</v>
      </c>
      <c r="I6831" s="1">
        <v>5.0</v>
      </c>
      <c r="J6831" s="1">
        <v>0.151471</v>
      </c>
    </row>
    <row r="6832">
      <c r="A6832" s="1">
        <v>2025.0</v>
      </c>
      <c r="B6832" s="1" t="s">
        <v>753</v>
      </c>
      <c r="C6832" s="1">
        <v>687074.0</v>
      </c>
      <c r="D6832" s="1" t="s">
        <v>538</v>
      </c>
      <c r="E6832" s="1" t="s">
        <v>927</v>
      </c>
      <c r="F6832" s="1" t="s">
        <v>926</v>
      </c>
      <c r="G6832" s="1">
        <v>2.0</v>
      </c>
      <c r="H6832" s="1">
        <v>0.096774194</v>
      </c>
      <c r="I6832" s="1">
        <v>4.22</v>
      </c>
      <c r="J6832" s="1">
        <v>0.074493</v>
      </c>
    </row>
    <row r="6833">
      <c r="A6833" s="1">
        <v>2025.0</v>
      </c>
      <c r="B6833" s="1" t="s">
        <v>753</v>
      </c>
      <c r="C6833" s="1">
        <v>687074.0</v>
      </c>
      <c r="D6833" s="1" t="s">
        <v>533</v>
      </c>
      <c r="E6833" s="1" t="s">
        <v>927</v>
      </c>
      <c r="F6833" s="1" t="s">
        <v>926</v>
      </c>
      <c r="G6833" s="1">
        <v>1.0</v>
      </c>
      <c r="H6833" s="1">
        <v>0.048387097</v>
      </c>
      <c r="I6833" s="1">
        <v>2.85</v>
      </c>
      <c r="J6833" s="1">
        <v>0.06129</v>
      </c>
    </row>
    <row r="6834">
      <c r="A6834" s="1">
        <v>2025.0</v>
      </c>
      <c r="B6834" s="1" t="s">
        <v>753</v>
      </c>
      <c r="C6834" s="1">
        <v>687074.0</v>
      </c>
      <c r="D6834" s="1" t="s">
        <v>540</v>
      </c>
      <c r="E6834" s="1" t="s">
        <v>927</v>
      </c>
      <c r="F6834" s="1" t="s">
        <v>927</v>
      </c>
      <c r="G6834" s="1">
        <v>5.0</v>
      </c>
      <c r="H6834" s="1">
        <v>0.241935484</v>
      </c>
      <c r="I6834" s="1">
        <v>4.74</v>
      </c>
      <c r="J6834" s="1">
        <v>0.14333</v>
      </c>
    </row>
    <row r="6835">
      <c r="A6835" s="1">
        <v>2025.0</v>
      </c>
      <c r="B6835" s="1" t="s">
        <v>753</v>
      </c>
      <c r="C6835" s="1">
        <v>687074.0</v>
      </c>
      <c r="D6835" s="1" t="s">
        <v>537</v>
      </c>
      <c r="E6835" s="1" t="s">
        <v>927</v>
      </c>
      <c r="F6835" s="1" t="s">
        <v>927</v>
      </c>
      <c r="G6835" s="1">
        <v>18.0</v>
      </c>
      <c r="H6835" s="1">
        <v>0.870967742</v>
      </c>
      <c r="I6835" s="1">
        <v>5.68</v>
      </c>
      <c r="J6835" s="1">
        <v>0.136765</v>
      </c>
    </row>
    <row r="6836">
      <c r="A6836" s="1">
        <v>2025.0</v>
      </c>
      <c r="B6836" s="1" t="s">
        <v>753</v>
      </c>
      <c r="C6836" s="1">
        <v>687074.0</v>
      </c>
      <c r="D6836" s="1" t="s">
        <v>538</v>
      </c>
      <c r="E6836" s="1" t="s">
        <v>927</v>
      </c>
      <c r="F6836" s="1" t="s">
        <v>927</v>
      </c>
      <c r="G6836" s="1">
        <v>3.0</v>
      </c>
      <c r="H6836" s="1">
        <v>0.14516129</v>
      </c>
      <c r="I6836" s="1">
        <v>4.24</v>
      </c>
      <c r="J6836" s="1">
        <v>0.103071</v>
      </c>
    </row>
    <row r="6837">
      <c r="A6837" s="1">
        <v>2025.0</v>
      </c>
      <c r="B6837" s="1" t="s">
        <v>753</v>
      </c>
      <c r="C6837" s="1">
        <v>687074.0</v>
      </c>
      <c r="D6837" s="1" t="s">
        <v>533</v>
      </c>
      <c r="E6837" s="1" t="s">
        <v>927</v>
      </c>
      <c r="F6837" s="1" t="s">
        <v>927</v>
      </c>
      <c r="G6837" s="1">
        <v>13.0</v>
      </c>
      <c r="H6837" s="1">
        <v>0.629032258</v>
      </c>
      <c r="I6837" s="1">
        <v>4.91</v>
      </c>
      <c r="J6837" s="1">
        <v>0.309297</v>
      </c>
    </row>
    <row r="6838">
      <c r="A6838" s="1">
        <v>2025.0</v>
      </c>
      <c r="B6838" s="1" t="s">
        <v>61</v>
      </c>
      <c r="C6838" s="1">
        <v>663969.0</v>
      </c>
      <c r="D6838" s="1" t="s">
        <v>532</v>
      </c>
      <c r="E6838" s="1" t="s">
        <v>927</v>
      </c>
      <c r="F6838" s="1" t="s">
        <v>926</v>
      </c>
      <c r="G6838" s="1">
        <v>2.0</v>
      </c>
      <c r="H6838" s="1">
        <v>0.139562743</v>
      </c>
      <c r="I6838" s="1">
        <v>5.74</v>
      </c>
      <c r="J6838" s="1">
        <v>0.016406</v>
      </c>
    </row>
    <row r="6839">
      <c r="A6839" s="1">
        <v>2025.0</v>
      </c>
      <c r="B6839" s="1" t="s">
        <v>61</v>
      </c>
      <c r="C6839" s="1">
        <v>663969.0</v>
      </c>
      <c r="D6839" s="1" t="s">
        <v>541</v>
      </c>
      <c r="E6839" s="1" t="s">
        <v>927</v>
      </c>
      <c r="F6839" s="1" t="s">
        <v>926</v>
      </c>
      <c r="G6839" s="1">
        <v>220.0</v>
      </c>
      <c r="H6839" s="1">
        <v>15.35190177</v>
      </c>
      <c r="I6839" s="1">
        <v>5.14</v>
      </c>
      <c r="J6839" s="1">
        <v>4.019171</v>
      </c>
    </row>
    <row r="6840">
      <c r="A6840" s="1">
        <v>2025.0</v>
      </c>
      <c r="B6840" s="1" t="s">
        <v>61</v>
      </c>
      <c r="C6840" s="1">
        <v>663969.0</v>
      </c>
      <c r="D6840" s="1" t="s">
        <v>537</v>
      </c>
      <c r="E6840" s="1" t="s">
        <v>927</v>
      </c>
      <c r="F6840" s="1" t="s">
        <v>926</v>
      </c>
      <c r="G6840" s="1">
        <v>91.0</v>
      </c>
      <c r="H6840" s="1">
        <v>6.350104822</v>
      </c>
      <c r="I6840" s="1">
        <v>4.79</v>
      </c>
      <c r="J6840" s="1">
        <v>2.445342</v>
      </c>
    </row>
    <row r="6841">
      <c r="A6841" s="1">
        <v>2025.0</v>
      </c>
      <c r="B6841" s="1" t="s">
        <v>61</v>
      </c>
      <c r="C6841" s="1">
        <v>663969.0</v>
      </c>
      <c r="D6841" s="1" t="s">
        <v>538</v>
      </c>
      <c r="E6841" s="1" t="s">
        <v>927</v>
      </c>
      <c r="F6841" s="1" t="s">
        <v>926</v>
      </c>
      <c r="G6841" s="1">
        <v>114.0</v>
      </c>
      <c r="H6841" s="1">
        <v>7.95507637</v>
      </c>
      <c r="I6841" s="1">
        <v>5.05</v>
      </c>
      <c r="J6841" s="1">
        <v>2.324639</v>
      </c>
    </row>
    <row r="6842">
      <c r="A6842" s="1">
        <v>2025.0</v>
      </c>
      <c r="B6842" s="1" t="s">
        <v>61</v>
      </c>
      <c r="C6842" s="1">
        <v>663969.0</v>
      </c>
      <c r="D6842" s="1" t="s">
        <v>536</v>
      </c>
      <c r="E6842" s="1" t="s">
        <v>927</v>
      </c>
      <c r="F6842" s="1" t="s">
        <v>926</v>
      </c>
      <c r="G6842" s="1">
        <v>112.0</v>
      </c>
      <c r="H6842" s="1">
        <v>7.815513627</v>
      </c>
      <c r="I6842" s="1">
        <v>4.9</v>
      </c>
      <c r="J6842" s="1">
        <v>2.670107</v>
      </c>
    </row>
    <row r="6843">
      <c r="A6843" s="1">
        <v>2025.0</v>
      </c>
      <c r="B6843" s="1" t="s">
        <v>61</v>
      </c>
      <c r="C6843" s="1">
        <v>663969.0</v>
      </c>
      <c r="D6843" s="1" t="s">
        <v>539</v>
      </c>
      <c r="E6843" s="1" t="s">
        <v>927</v>
      </c>
      <c r="F6843" s="1" t="s">
        <v>926</v>
      </c>
      <c r="G6843" s="1">
        <v>39.0</v>
      </c>
      <c r="H6843" s="1">
        <v>2.721473495</v>
      </c>
      <c r="I6843" s="1">
        <v>5.28</v>
      </c>
      <c r="J6843" s="1">
        <v>0.595039</v>
      </c>
    </row>
    <row r="6844">
      <c r="A6844" s="1">
        <v>2025.0</v>
      </c>
      <c r="B6844" s="1" t="s">
        <v>61</v>
      </c>
      <c r="C6844" s="1">
        <v>663969.0</v>
      </c>
      <c r="D6844" s="1" t="s">
        <v>532</v>
      </c>
      <c r="E6844" s="1" t="s">
        <v>927</v>
      </c>
      <c r="F6844" s="1" t="s">
        <v>927</v>
      </c>
      <c r="G6844" s="1">
        <v>1.0</v>
      </c>
      <c r="H6844" s="1">
        <v>0.069781372</v>
      </c>
      <c r="I6844" s="1">
        <v>6.83</v>
      </c>
      <c r="J6844" s="1">
        <v>-0.015978</v>
      </c>
    </row>
    <row r="6845">
      <c r="A6845" s="1">
        <v>2025.0</v>
      </c>
      <c r="B6845" s="1" t="s">
        <v>61</v>
      </c>
      <c r="C6845" s="1">
        <v>663969.0</v>
      </c>
      <c r="D6845" s="1" t="s">
        <v>541</v>
      </c>
      <c r="E6845" s="1" t="s">
        <v>927</v>
      </c>
      <c r="F6845" s="1" t="s">
        <v>927</v>
      </c>
      <c r="G6845" s="1">
        <v>41.0</v>
      </c>
      <c r="H6845" s="1">
        <v>2.861036238</v>
      </c>
      <c r="I6845" s="1">
        <v>5.29</v>
      </c>
      <c r="J6845" s="1">
        <v>0.581617</v>
      </c>
    </row>
    <row r="6846">
      <c r="A6846" s="1">
        <v>2025.0</v>
      </c>
      <c r="B6846" s="1" t="s">
        <v>61</v>
      </c>
      <c r="C6846" s="1">
        <v>663969.0</v>
      </c>
      <c r="D6846" s="1" t="s">
        <v>537</v>
      </c>
      <c r="E6846" s="1" t="s">
        <v>927</v>
      </c>
      <c r="F6846" s="1" t="s">
        <v>927</v>
      </c>
      <c r="G6846" s="1">
        <v>8.0</v>
      </c>
      <c r="H6846" s="1">
        <v>0.558250973</v>
      </c>
      <c r="I6846" s="1">
        <v>3.83</v>
      </c>
      <c r="J6846" s="1">
        <v>0.335686</v>
      </c>
    </row>
    <row r="6847">
      <c r="A6847" s="1">
        <v>2025.0</v>
      </c>
      <c r="B6847" s="1" t="s">
        <v>61</v>
      </c>
      <c r="C6847" s="1">
        <v>663969.0</v>
      </c>
      <c r="D6847" s="1" t="s">
        <v>538</v>
      </c>
      <c r="E6847" s="1" t="s">
        <v>927</v>
      </c>
      <c r="F6847" s="1" t="s">
        <v>927</v>
      </c>
      <c r="G6847" s="1">
        <v>34.0</v>
      </c>
      <c r="H6847" s="1">
        <v>2.372566637</v>
      </c>
      <c r="I6847" s="1">
        <v>5.36</v>
      </c>
      <c r="J6847" s="1">
        <v>0.490016</v>
      </c>
    </row>
    <row r="6848">
      <c r="A6848" s="1">
        <v>2025.0</v>
      </c>
      <c r="B6848" s="1" t="s">
        <v>61</v>
      </c>
      <c r="C6848" s="1">
        <v>663969.0</v>
      </c>
      <c r="D6848" s="1" t="s">
        <v>536</v>
      </c>
      <c r="E6848" s="1" t="s">
        <v>927</v>
      </c>
      <c r="F6848" s="1" t="s">
        <v>927</v>
      </c>
      <c r="G6848" s="1">
        <v>240.0</v>
      </c>
      <c r="H6848" s="1">
        <v>16.7475292</v>
      </c>
      <c r="I6848" s="1">
        <v>5.41</v>
      </c>
      <c r="J6848" s="1">
        <v>3.309862</v>
      </c>
    </row>
    <row r="6849">
      <c r="A6849" s="1">
        <v>2025.0</v>
      </c>
      <c r="B6849" s="1" t="s">
        <v>61</v>
      </c>
      <c r="C6849" s="1">
        <v>663969.0</v>
      </c>
      <c r="D6849" s="1" t="s">
        <v>539</v>
      </c>
      <c r="E6849" s="1" t="s">
        <v>927</v>
      </c>
      <c r="F6849" s="1" t="s">
        <v>927</v>
      </c>
      <c r="G6849" s="1">
        <v>211.0</v>
      </c>
      <c r="H6849" s="1">
        <v>14.72386942</v>
      </c>
      <c r="I6849" s="1">
        <v>5.19</v>
      </c>
      <c r="J6849" s="1">
        <v>3.73046</v>
      </c>
    </row>
    <row r="6850">
      <c r="A6850" s="1">
        <v>2025.0</v>
      </c>
      <c r="B6850" s="1" t="s">
        <v>20</v>
      </c>
      <c r="C6850" s="1">
        <v>643511.0</v>
      </c>
      <c r="D6850" s="1" t="s">
        <v>536</v>
      </c>
      <c r="E6850" s="1" t="s">
        <v>927</v>
      </c>
      <c r="F6850" s="1" t="s">
        <v>926</v>
      </c>
      <c r="G6850" s="1">
        <v>395.0</v>
      </c>
      <c r="H6850" s="1">
        <v>31.29781421</v>
      </c>
      <c r="I6850" s="1">
        <v>5.2</v>
      </c>
      <c r="J6850" s="1">
        <v>6.969739</v>
      </c>
    </row>
    <row r="6851">
      <c r="A6851" s="1">
        <v>2025.0</v>
      </c>
      <c r="B6851" s="1" t="s">
        <v>20</v>
      </c>
      <c r="C6851" s="1">
        <v>643511.0</v>
      </c>
      <c r="D6851" s="1" t="s">
        <v>533</v>
      </c>
      <c r="E6851" s="1" t="s">
        <v>927</v>
      </c>
      <c r="F6851" s="1" t="s">
        <v>926</v>
      </c>
      <c r="G6851" s="1">
        <v>68.0</v>
      </c>
      <c r="H6851" s="1">
        <v>5.387978142</v>
      </c>
      <c r="I6851" s="1">
        <v>5.12</v>
      </c>
      <c r="J6851" s="1">
        <v>1.21435</v>
      </c>
    </row>
    <row r="6852">
      <c r="A6852" s="1">
        <v>2025.0</v>
      </c>
      <c r="B6852" s="1" t="s">
        <v>20</v>
      </c>
      <c r="C6852" s="1">
        <v>643511.0</v>
      </c>
      <c r="D6852" s="1" t="s">
        <v>536</v>
      </c>
      <c r="E6852" s="1" t="s">
        <v>927</v>
      </c>
      <c r="F6852" s="1" t="s">
        <v>927</v>
      </c>
      <c r="G6852" s="1">
        <v>332.0</v>
      </c>
      <c r="H6852" s="1">
        <v>26.30601093</v>
      </c>
      <c r="I6852" s="1">
        <v>5.3</v>
      </c>
      <c r="J6852" s="1">
        <v>5.372509</v>
      </c>
    </row>
    <row r="6853">
      <c r="A6853" s="1">
        <v>2025.0</v>
      </c>
      <c r="B6853" s="1" t="s">
        <v>20</v>
      </c>
      <c r="C6853" s="1">
        <v>643511.0</v>
      </c>
      <c r="D6853" s="1" t="s">
        <v>533</v>
      </c>
      <c r="E6853" s="1" t="s">
        <v>927</v>
      </c>
      <c r="F6853" s="1" t="s">
        <v>927</v>
      </c>
      <c r="G6853" s="1">
        <v>181.0</v>
      </c>
      <c r="H6853" s="1">
        <v>14.34153005</v>
      </c>
      <c r="I6853" s="1">
        <v>5.35</v>
      </c>
      <c r="J6853" s="1">
        <v>2.523577</v>
      </c>
    </row>
    <row r="6854">
      <c r="A6854" s="1">
        <v>2025.0</v>
      </c>
      <c r="B6854" s="1" t="s">
        <v>836</v>
      </c>
      <c r="C6854" s="1">
        <v>642180.0</v>
      </c>
      <c r="D6854" s="1" t="s">
        <v>537</v>
      </c>
      <c r="E6854" s="1" t="s">
        <v>927</v>
      </c>
      <c r="F6854" s="1" t="s">
        <v>926</v>
      </c>
      <c r="G6854" s="1">
        <v>1.0</v>
      </c>
      <c r="H6854" s="1">
        <v>1.0</v>
      </c>
      <c r="I6854" s="1">
        <v>3.64</v>
      </c>
      <c r="J6854" s="1">
        <v>0.049804</v>
      </c>
    </row>
    <row r="6855">
      <c r="A6855" s="1">
        <v>2025.0</v>
      </c>
      <c r="B6855" s="1" t="s">
        <v>572</v>
      </c>
      <c r="C6855" s="1">
        <v>669330.0</v>
      </c>
      <c r="D6855" s="1" t="s">
        <v>532</v>
      </c>
      <c r="E6855" s="1" t="s">
        <v>927</v>
      </c>
      <c r="F6855" s="1" t="s">
        <v>926</v>
      </c>
      <c r="G6855" s="1">
        <v>64.0</v>
      </c>
      <c r="H6855" s="1">
        <v>4.054580897</v>
      </c>
      <c r="I6855" s="1">
        <v>5.91</v>
      </c>
      <c r="J6855" s="1">
        <v>0.227681</v>
      </c>
    </row>
    <row r="6856">
      <c r="A6856" s="1">
        <v>2025.0</v>
      </c>
      <c r="B6856" s="1" t="s">
        <v>572</v>
      </c>
      <c r="C6856" s="1">
        <v>669330.0</v>
      </c>
      <c r="D6856" s="1" t="s">
        <v>541</v>
      </c>
      <c r="E6856" s="1" t="s">
        <v>927</v>
      </c>
      <c r="F6856" s="1" t="s">
        <v>926</v>
      </c>
      <c r="G6856" s="1">
        <v>23.0</v>
      </c>
      <c r="H6856" s="1">
        <v>1.45711501</v>
      </c>
      <c r="I6856" s="1">
        <v>4.91</v>
      </c>
      <c r="J6856" s="1">
        <v>0.555464</v>
      </c>
    </row>
    <row r="6857">
      <c r="A6857" s="1">
        <v>2025.0</v>
      </c>
      <c r="B6857" s="1" t="s">
        <v>572</v>
      </c>
      <c r="C6857" s="1">
        <v>669330.0</v>
      </c>
      <c r="D6857" s="1" t="s">
        <v>540</v>
      </c>
      <c r="E6857" s="1" t="s">
        <v>927</v>
      </c>
      <c r="F6857" s="1" t="s">
        <v>926</v>
      </c>
      <c r="G6857" s="1">
        <v>42.0</v>
      </c>
      <c r="H6857" s="1">
        <v>2.660818713</v>
      </c>
      <c r="I6857" s="1">
        <v>5.3</v>
      </c>
      <c r="J6857" s="1">
        <v>0.682888</v>
      </c>
    </row>
    <row r="6858">
      <c r="A6858" s="1">
        <v>2025.0</v>
      </c>
      <c r="B6858" s="1" t="s">
        <v>572</v>
      </c>
      <c r="C6858" s="1">
        <v>669330.0</v>
      </c>
      <c r="D6858" s="1" t="s">
        <v>537</v>
      </c>
      <c r="E6858" s="1" t="s">
        <v>927</v>
      </c>
      <c r="F6858" s="1" t="s">
        <v>926</v>
      </c>
      <c r="G6858" s="1">
        <v>74.0</v>
      </c>
      <c r="H6858" s="1">
        <v>4.688109162</v>
      </c>
      <c r="I6858" s="1">
        <v>4.57</v>
      </c>
      <c r="J6858" s="1">
        <v>2.436644</v>
      </c>
    </row>
    <row r="6859">
      <c r="A6859" s="1">
        <v>2025.0</v>
      </c>
      <c r="B6859" s="1" t="s">
        <v>572</v>
      </c>
      <c r="C6859" s="1">
        <v>669330.0</v>
      </c>
      <c r="D6859" s="1" t="s">
        <v>533</v>
      </c>
      <c r="E6859" s="1" t="s">
        <v>927</v>
      </c>
      <c r="F6859" s="1" t="s">
        <v>926</v>
      </c>
      <c r="G6859" s="1">
        <v>8.0</v>
      </c>
      <c r="H6859" s="1">
        <v>0.506822612</v>
      </c>
      <c r="I6859" s="1">
        <v>5.4</v>
      </c>
      <c r="J6859" s="1">
        <v>0.114569</v>
      </c>
    </row>
    <row r="6860">
      <c r="A6860" s="1">
        <v>2025.0</v>
      </c>
      <c r="B6860" s="1" t="s">
        <v>572</v>
      </c>
      <c r="C6860" s="1">
        <v>669330.0</v>
      </c>
      <c r="D6860" s="1" t="s">
        <v>532</v>
      </c>
      <c r="E6860" s="1" t="s">
        <v>927</v>
      </c>
      <c r="F6860" s="1" t="s">
        <v>927</v>
      </c>
      <c r="G6860" s="1">
        <v>15.0</v>
      </c>
      <c r="H6860" s="1">
        <v>0.950292398</v>
      </c>
      <c r="I6860" s="1">
        <v>5.63</v>
      </c>
      <c r="J6860" s="1">
        <v>0.116024</v>
      </c>
    </row>
    <row r="6861">
      <c r="A6861" s="1">
        <v>2025.0</v>
      </c>
      <c r="B6861" s="1" t="s">
        <v>572</v>
      </c>
      <c r="C6861" s="1">
        <v>669330.0</v>
      </c>
      <c r="D6861" s="1" t="s">
        <v>541</v>
      </c>
      <c r="E6861" s="1" t="s">
        <v>927</v>
      </c>
      <c r="F6861" s="1" t="s">
        <v>927</v>
      </c>
      <c r="G6861" s="1">
        <v>7.0</v>
      </c>
      <c r="H6861" s="1">
        <v>0.443469786</v>
      </c>
      <c r="I6861" s="1">
        <v>5.45</v>
      </c>
      <c r="J6861" s="1">
        <v>0.087948</v>
      </c>
    </row>
    <row r="6862">
      <c r="A6862" s="1">
        <v>2025.0</v>
      </c>
      <c r="B6862" s="1" t="s">
        <v>572</v>
      </c>
      <c r="C6862" s="1">
        <v>669330.0</v>
      </c>
      <c r="D6862" s="1" t="s">
        <v>540</v>
      </c>
      <c r="E6862" s="1" t="s">
        <v>927</v>
      </c>
      <c r="F6862" s="1" t="s">
        <v>927</v>
      </c>
      <c r="G6862" s="1">
        <v>4.0</v>
      </c>
      <c r="H6862" s="1">
        <v>0.253411306</v>
      </c>
      <c r="I6862" s="1">
        <v>4.54</v>
      </c>
      <c r="J6862" s="1">
        <v>0.118335</v>
      </c>
    </row>
    <row r="6863">
      <c r="A6863" s="1">
        <v>2025.0</v>
      </c>
      <c r="B6863" s="1" t="s">
        <v>572</v>
      </c>
      <c r="C6863" s="1">
        <v>669330.0</v>
      </c>
      <c r="D6863" s="1" t="s">
        <v>537</v>
      </c>
      <c r="E6863" s="1" t="s">
        <v>927</v>
      </c>
      <c r="F6863" s="1" t="s">
        <v>927</v>
      </c>
      <c r="G6863" s="1">
        <v>51.0</v>
      </c>
      <c r="H6863" s="1">
        <v>3.230994152</v>
      </c>
      <c r="I6863" s="1">
        <v>4.91</v>
      </c>
      <c r="J6863" s="1">
        <v>1.263493</v>
      </c>
    </row>
    <row r="6864">
      <c r="A6864" s="1">
        <v>2025.0</v>
      </c>
      <c r="B6864" s="1" t="s">
        <v>572</v>
      </c>
      <c r="C6864" s="1">
        <v>669330.0</v>
      </c>
      <c r="D6864" s="1" t="s">
        <v>533</v>
      </c>
      <c r="E6864" s="1" t="s">
        <v>927</v>
      </c>
      <c r="F6864" s="1" t="s">
        <v>927</v>
      </c>
      <c r="G6864" s="1">
        <v>54.0</v>
      </c>
      <c r="H6864" s="1">
        <v>3.421052632</v>
      </c>
      <c r="I6864" s="1">
        <v>5.24</v>
      </c>
      <c r="J6864" s="1">
        <v>0.955542</v>
      </c>
    </row>
    <row r="6865">
      <c r="A6865" s="1">
        <v>2025.0</v>
      </c>
      <c r="B6865" s="1" t="s">
        <v>894</v>
      </c>
      <c r="C6865" s="1">
        <v>676604.0</v>
      </c>
      <c r="D6865" s="1" t="s">
        <v>532</v>
      </c>
      <c r="E6865" s="1" t="s">
        <v>927</v>
      </c>
      <c r="F6865" s="1" t="s">
        <v>926</v>
      </c>
      <c r="G6865" s="1">
        <v>14.0</v>
      </c>
      <c r="H6865" s="1">
        <v>0.685714286</v>
      </c>
      <c r="I6865" s="1">
        <v>4.99</v>
      </c>
      <c r="J6865" s="1">
        <v>0.302773</v>
      </c>
    </row>
    <row r="6866">
      <c r="A6866" s="1">
        <v>2025.0</v>
      </c>
      <c r="B6866" s="1" t="s">
        <v>894</v>
      </c>
      <c r="C6866" s="1">
        <v>676604.0</v>
      </c>
      <c r="D6866" s="1" t="s">
        <v>537</v>
      </c>
      <c r="E6866" s="1" t="s">
        <v>927</v>
      </c>
      <c r="F6866" s="1" t="s">
        <v>926</v>
      </c>
      <c r="G6866" s="1">
        <v>24.0</v>
      </c>
      <c r="H6866" s="1">
        <v>1.175510204</v>
      </c>
      <c r="I6866" s="1">
        <v>4.82</v>
      </c>
      <c r="J6866" s="1">
        <v>0.623653</v>
      </c>
    </row>
    <row r="6867">
      <c r="A6867" s="1">
        <v>2025.0</v>
      </c>
      <c r="B6867" s="1" t="s">
        <v>894</v>
      </c>
      <c r="C6867" s="1">
        <v>676604.0</v>
      </c>
      <c r="D6867" s="1" t="s">
        <v>536</v>
      </c>
      <c r="E6867" s="1" t="s">
        <v>927</v>
      </c>
      <c r="F6867" s="1" t="s">
        <v>926</v>
      </c>
      <c r="G6867" s="1">
        <v>7.0</v>
      </c>
      <c r="H6867" s="1">
        <v>0.342857143</v>
      </c>
      <c r="I6867" s="1">
        <v>4.23</v>
      </c>
      <c r="J6867" s="1">
        <v>0.253256</v>
      </c>
    </row>
    <row r="6868">
      <c r="A6868" s="1">
        <v>2025.0</v>
      </c>
      <c r="B6868" s="1" t="s">
        <v>894</v>
      </c>
      <c r="C6868" s="1">
        <v>676604.0</v>
      </c>
      <c r="D6868" s="1" t="s">
        <v>533</v>
      </c>
      <c r="E6868" s="1" t="s">
        <v>927</v>
      </c>
      <c r="F6868" s="1" t="s">
        <v>926</v>
      </c>
      <c r="G6868" s="1">
        <v>20.0</v>
      </c>
      <c r="H6868" s="1">
        <v>0.979591837</v>
      </c>
      <c r="I6868" s="1">
        <v>4.89</v>
      </c>
      <c r="J6868" s="1">
        <v>0.476762</v>
      </c>
    </row>
    <row r="6869">
      <c r="A6869" s="1">
        <v>2025.0</v>
      </c>
      <c r="B6869" s="1" t="s">
        <v>894</v>
      </c>
      <c r="C6869" s="1">
        <v>676604.0</v>
      </c>
      <c r="D6869" s="1" t="s">
        <v>539</v>
      </c>
      <c r="E6869" s="1" t="s">
        <v>927</v>
      </c>
      <c r="F6869" s="1" t="s">
        <v>926</v>
      </c>
      <c r="G6869" s="1">
        <v>18.0</v>
      </c>
      <c r="H6869" s="1">
        <v>0.881632653</v>
      </c>
      <c r="I6869" s="1">
        <v>4.33</v>
      </c>
      <c r="J6869" s="1">
        <v>0.614771</v>
      </c>
    </row>
    <row r="6870">
      <c r="A6870" s="1">
        <v>2025.0</v>
      </c>
      <c r="B6870" s="1" t="s">
        <v>894</v>
      </c>
      <c r="C6870" s="1">
        <v>676604.0</v>
      </c>
      <c r="D6870" s="1" t="s">
        <v>532</v>
      </c>
      <c r="E6870" s="1" t="s">
        <v>927</v>
      </c>
      <c r="F6870" s="1" t="s">
        <v>927</v>
      </c>
      <c r="G6870" s="1">
        <v>3.0</v>
      </c>
      <c r="H6870" s="1">
        <v>0.146938776</v>
      </c>
      <c r="I6870" s="1">
        <v>4.73</v>
      </c>
      <c r="J6870" s="1">
        <v>0.082378</v>
      </c>
    </row>
    <row r="6871">
      <c r="A6871" s="1">
        <v>2025.0</v>
      </c>
      <c r="B6871" s="1" t="s">
        <v>894</v>
      </c>
      <c r="C6871" s="1">
        <v>676604.0</v>
      </c>
      <c r="D6871" s="1" t="s">
        <v>540</v>
      </c>
      <c r="E6871" s="1" t="s">
        <v>927</v>
      </c>
      <c r="F6871" s="1" t="s">
        <v>927</v>
      </c>
      <c r="G6871" s="1">
        <v>4.0</v>
      </c>
      <c r="H6871" s="1">
        <v>0.195918367</v>
      </c>
      <c r="I6871" s="1">
        <v>5.38</v>
      </c>
      <c r="J6871" s="1">
        <v>0.0762</v>
      </c>
    </row>
    <row r="6872">
      <c r="A6872" s="1">
        <v>2025.0</v>
      </c>
      <c r="B6872" s="1" t="s">
        <v>894</v>
      </c>
      <c r="C6872" s="1">
        <v>676604.0</v>
      </c>
      <c r="D6872" s="1" t="s">
        <v>537</v>
      </c>
      <c r="E6872" s="1" t="s">
        <v>927</v>
      </c>
      <c r="F6872" s="1" t="s">
        <v>927</v>
      </c>
      <c r="G6872" s="1">
        <v>44.0</v>
      </c>
      <c r="H6872" s="1">
        <v>2.155102041</v>
      </c>
      <c r="I6872" s="1">
        <v>5.03</v>
      </c>
      <c r="J6872" s="1">
        <v>0.99613</v>
      </c>
    </row>
    <row r="6873">
      <c r="A6873" s="1">
        <v>2025.0</v>
      </c>
      <c r="B6873" s="1" t="s">
        <v>894</v>
      </c>
      <c r="C6873" s="1">
        <v>676604.0</v>
      </c>
      <c r="D6873" s="1" t="s">
        <v>536</v>
      </c>
      <c r="E6873" s="1" t="s">
        <v>927</v>
      </c>
      <c r="F6873" s="1" t="s">
        <v>927</v>
      </c>
      <c r="G6873" s="1">
        <v>23.0</v>
      </c>
      <c r="H6873" s="1">
        <v>1.126530612</v>
      </c>
      <c r="I6873" s="1">
        <v>5.3</v>
      </c>
      <c r="J6873" s="1">
        <v>0.351155</v>
      </c>
    </row>
    <row r="6874">
      <c r="A6874" s="1">
        <v>2025.0</v>
      </c>
      <c r="B6874" s="1" t="s">
        <v>894</v>
      </c>
      <c r="C6874" s="1">
        <v>676604.0</v>
      </c>
      <c r="D6874" s="1" t="s">
        <v>533</v>
      </c>
      <c r="E6874" s="1" t="s">
        <v>927</v>
      </c>
      <c r="F6874" s="1" t="s">
        <v>927</v>
      </c>
      <c r="G6874" s="1">
        <v>24.0</v>
      </c>
      <c r="H6874" s="1">
        <v>1.175510204</v>
      </c>
      <c r="I6874" s="1">
        <v>5.61</v>
      </c>
      <c r="J6874" s="1">
        <v>0.214479</v>
      </c>
    </row>
    <row r="6875">
      <c r="A6875" s="1">
        <v>2025.0</v>
      </c>
      <c r="B6875" s="1" t="s">
        <v>894</v>
      </c>
      <c r="C6875" s="1">
        <v>676604.0</v>
      </c>
      <c r="D6875" s="1" t="s">
        <v>539</v>
      </c>
      <c r="E6875" s="1" t="s">
        <v>927</v>
      </c>
      <c r="F6875" s="1" t="s">
        <v>927</v>
      </c>
      <c r="G6875" s="1">
        <v>64.0</v>
      </c>
      <c r="H6875" s="1">
        <v>3.134693878</v>
      </c>
      <c r="I6875" s="1">
        <v>5.95</v>
      </c>
      <c r="J6875" s="1">
        <v>0.106469</v>
      </c>
    </row>
    <row r="6876">
      <c r="A6876" s="1">
        <v>2025.0</v>
      </c>
      <c r="B6876" s="1" t="s">
        <v>386</v>
      </c>
      <c r="C6876" s="1">
        <v>656731.0</v>
      </c>
      <c r="D6876" s="1" t="s">
        <v>532</v>
      </c>
      <c r="E6876" s="1" t="s">
        <v>927</v>
      </c>
      <c r="F6876" s="1" t="s">
        <v>926</v>
      </c>
      <c r="G6876" s="1">
        <v>77.0</v>
      </c>
      <c r="H6876" s="1">
        <v>4.263911399</v>
      </c>
      <c r="I6876" s="1">
        <v>4.7</v>
      </c>
      <c r="J6876" s="1">
        <v>2.088395</v>
      </c>
    </row>
    <row r="6877">
      <c r="A6877" s="1">
        <v>2025.0</v>
      </c>
      <c r="B6877" s="1" t="s">
        <v>386</v>
      </c>
      <c r="C6877" s="1">
        <v>656731.0</v>
      </c>
      <c r="D6877" s="1" t="s">
        <v>541</v>
      </c>
      <c r="E6877" s="1" t="s">
        <v>927</v>
      </c>
      <c r="F6877" s="1" t="s">
        <v>926</v>
      </c>
      <c r="G6877" s="1">
        <v>55.0</v>
      </c>
      <c r="H6877" s="1">
        <v>3.045650999</v>
      </c>
      <c r="I6877" s="1">
        <v>4.75</v>
      </c>
      <c r="J6877" s="1">
        <v>1.429408</v>
      </c>
    </row>
    <row r="6878">
      <c r="A6878" s="1">
        <v>2025.0</v>
      </c>
      <c r="B6878" s="1" t="s">
        <v>386</v>
      </c>
      <c r="C6878" s="1">
        <v>656731.0</v>
      </c>
      <c r="D6878" s="1" t="s">
        <v>537</v>
      </c>
      <c r="E6878" s="1" t="s">
        <v>927</v>
      </c>
      <c r="F6878" s="1" t="s">
        <v>926</v>
      </c>
      <c r="G6878" s="1">
        <v>278.0</v>
      </c>
      <c r="H6878" s="1">
        <v>15.39438142</v>
      </c>
      <c r="I6878" s="1">
        <v>4.89</v>
      </c>
      <c r="J6878" s="1">
        <v>6.621282</v>
      </c>
    </row>
    <row r="6879">
      <c r="A6879" s="1">
        <v>2025.0</v>
      </c>
      <c r="B6879" s="1" t="s">
        <v>386</v>
      </c>
      <c r="C6879" s="1">
        <v>656731.0</v>
      </c>
      <c r="D6879" s="1" t="s">
        <v>536</v>
      </c>
      <c r="E6879" s="1" t="s">
        <v>927</v>
      </c>
      <c r="F6879" s="1" t="s">
        <v>926</v>
      </c>
      <c r="G6879" s="1">
        <v>56.0</v>
      </c>
      <c r="H6879" s="1">
        <v>3.101026472</v>
      </c>
      <c r="I6879" s="1">
        <v>4.35</v>
      </c>
      <c r="J6879" s="1">
        <v>2.034082</v>
      </c>
    </row>
    <row r="6880">
      <c r="A6880" s="1">
        <v>2025.0</v>
      </c>
      <c r="B6880" s="1" t="s">
        <v>386</v>
      </c>
      <c r="C6880" s="1">
        <v>656731.0</v>
      </c>
      <c r="D6880" s="1" t="s">
        <v>533</v>
      </c>
      <c r="E6880" s="1" t="s">
        <v>927</v>
      </c>
      <c r="F6880" s="1" t="s">
        <v>926</v>
      </c>
      <c r="G6880" s="1">
        <v>123.0</v>
      </c>
      <c r="H6880" s="1">
        <v>6.811183144</v>
      </c>
      <c r="I6880" s="1">
        <v>4.81</v>
      </c>
      <c r="J6880" s="1">
        <v>3.09131</v>
      </c>
    </row>
    <row r="6881">
      <c r="A6881" s="1">
        <v>2025.0</v>
      </c>
      <c r="B6881" s="1" t="s">
        <v>386</v>
      </c>
      <c r="C6881" s="1">
        <v>656731.0</v>
      </c>
      <c r="D6881" s="1" t="s">
        <v>532</v>
      </c>
      <c r="E6881" s="1" t="s">
        <v>927</v>
      </c>
      <c r="F6881" s="1" t="s">
        <v>927</v>
      </c>
      <c r="G6881" s="1">
        <v>12.0</v>
      </c>
      <c r="H6881" s="1">
        <v>0.664505673</v>
      </c>
      <c r="I6881" s="1">
        <v>3.35</v>
      </c>
      <c r="J6881" s="1">
        <v>0.660391</v>
      </c>
    </row>
    <row r="6882">
      <c r="A6882" s="1">
        <v>2025.0</v>
      </c>
      <c r="B6882" s="1" t="s">
        <v>386</v>
      </c>
      <c r="C6882" s="1">
        <v>656731.0</v>
      </c>
      <c r="D6882" s="1" t="s">
        <v>541</v>
      </c>
      <c r="E6882" s="1" t="s">
        <v>927</v>
      </c>
      <c r="F6882" s="1" t="s">
        <v>927</v>
      </c>
      <c r="G6882" s="1">
        <v>30.0</v>
      </c>
      <c r="H6882" s="1">
        <v>1.661264182</v>
      </c>
      <c r="I6882" s="1">
        <v>4.74</v>
      </c>
      <c r="J6882" s="1">
        <v>0.797935</v>
      </c>
    </row>
    <row r="6883">
      <c r="A6883" s="1">
        <v>2025.0</v>
      </c>
      <c r="B6883" s="1" t="s">
        <v>386</v>
      </c>
      <c r="C6883" s="1">
        <v>656731.0</v>
      </c>
      <c r="D6883" s="1" t="s">
        <v>537</v>
      </c>
      <c r="E6883" s="1" t="s">
        <v>927</v>
      </c>
      <c r="F6883" s="1" t="s">
        <v>927</v>
      </c>
      <c r="G6883" s="1">
        <v>243.0</v>
      </c>
      <c r="H6883" s="1">
        <v>13.45623987</v>
      </c>
      <c r="I6883" s="1">
        <v>5.39</v>
      </c>
      <c r="J6883" s="1">
        <v>3.44306</v>
      </c>
    </row>
    <row r="6884">
      <c r="A6884" s="1">
        <v>2025.0</v>
      </c>
      <c r="B6884" s="1" t="s">
        <v>386</v>
      </c>
      <c r="C6884" s="1">
        <v>656731.0</v>
      </c>
      <c r="D6884" s="1" t="s">
        <v>536</v>
      </c>
      <c r="E6884" s="1" t="s">
        <v>927</v>
      </c>
      <c r="F6884" s="1" t="s">
        <v>927</v>
      </c>
      <c r="G6884" s="1">
        <v>186.0</v>
      </c>
      <c r="H6884" s="1">
        <v>10.29983793</v>
      </c>
      <c r="I6884" s="1">
        <v>5.02</v>
      </c>
      <c r="J6884" s="1">
        <v>3.942127</v>
      </c>
    </row>
    <row r="6885">
      <c r="A6885" s="1">
        <v>2025.0</v>
      </c>
      <c r="B6885" s="1" t="s">
        <v>386</v>
      </c>
      <c r="C6885" s="1">
        <v>656731.0</v>
      </c>
      <c r="D6885" s="1" t="s">
        <v>533</v>
      </c>
      <c r="E6885" s="1" t="s">
        <v>927</v>
      </c>
      <c r="F6885" s="1" t="s">
        <v>927</v>
      </c>
      <c r="G6885" s="1">
        <v>174.0</v>
      </c>
      <c r="H6885" s="1">
        <v>9.635332253</v>
      </c>
      <c r="I6885" s="1">
        <v>4.94</v>
      </c>
      <c r="J6885" s="1">
        <v>3.868126</v>
      </c>
    </row>
    <row r="6886">
      <c r="A6886" s="1">
        <v>2025.0</v>
      </c>
      <c r="B6886" s="1" t="s">
        <v>322</v>
      </c>
      <c r="C6886" s="1">
        <v>678368.0</v>
      </c>
      <c r="D6886" s="1" t="s">
        <v>532</v>
      </c>
      <c r="E6886" s="1" t="s">
        <v>927</v>
      </c>
      <c r="F6886" s="1" t="s">
        <v>926</v>
      </c>
      <c r="G6886" s="1">
        <v>191.0</v>
      </c>
      <c r="H6886" s="1">
        <v>11.75977795</v>
      </c>
      <c r="I6886" s="1">
        <v>4.71</v>
      </c>
      <c r="J6886" s="1">
        <v>5.031612</v>
      </c>
    </row>
    <row r="6887">
      <c r="A6887" s="1">
        <v>2025.0</v>
      </c>
      <c r="B6887" s="1" t="s">
        <v>322</v>
      </c>
      <c r="C6887" s="1">
        <v>678368.0</v>
      </c>
      <c r="D6887" s="1" t="s">
        <v>541</v>
      </c>
      <c r="E6887" s="1" t="s">
        <v>927</v>
      </c>
      <c r="F6887" s="1" t="s">
        <v>926</v>
      </c>
      <c r="G6887" s="1">
        <v>54.0</v>
      </c>
      <c r="H6887" s="1">
        <v>3.324753974</v>
      </c>
      <c r="I6887" s="1">
        <v>4.79</v>
      </c>
      <c r="J6887" s="1">
        <v>1.409069</v>
      </c>
    </row>
    <row r="6888">
      <c r="A6888" s="1">
        <v>2025.0</v>
      </c>
      <c r="B6888" s="1" t="s">
        <v>322</v>
      </c>
      <c r="C6888" s="1">
        <v>678368.0</v>
      </c>
      <c r="D6888" s="1" t="s">
        <v>540</v>
      </c>
      <c r="E6888" s="1" t="s">
        <v>927</v>
      </c>
      <c r="F6888" s="1" t="s">
        <v>926</v>
      </c>
      <c r="G6888" s="1">
        <v>227.0</v>
      </c>
      <c r="H6888" s="1">
        <v>13.9762806</v>
      </c>
      <c r="I6888" s="1">
        <v>5.27</v>
      </c>
      <c r="J6888" s="1">
        <v>3.695912</v>
      </c>
    </row>
    <row r="6889">
      <c r="A6889" s="1">
        <v>2025.0</v>
      </c>
      <c r="B6889" s="1" t="s">
        <v>322</v>
      </c>
      <c r="C6889" s="1">
        <v>678368.0</v>
      </c>
      <c r="D6889" s="1" t="s">
        <v>537</v>
      </c>
      <c r="E6889" s="1" t="s">
        <v>927</v>
      </c>
      <c r="F6889" s="1" t="s">
        <v>926</v>
      </c>
      <c r="G6889" s="1">
        <v>170.0</v>
      </c>
      <c r="H6889" s="1">
        <v>10.46681807</v>
      </c>
      <c r="I6889" s="1">
        <v>4.41</v>
      </c>
      <c r="J6889" s="1">
        <v>5.702411</v>
      </c>
    </row>
    <row r="6890">
      <c r="A6890" s="1">
        <v>2025.0</v>
      </c>
      <c r="B6890" s="1" t="s">
        <v>322</v>
      </c>
      <c r="C6890" s="1">
        <v>678368.0</v>
      </c>
      <c r="D6890" s="1" t="s">
        <v>538</v>
      </c>
      <c r="E6890" s="1" t="s">
        <v>927</v>
      </c>
      <c r="F6890" s="1" t="s">
        <v>926</v>
      </c>
      <c r="G6890" s="1">
        <v>24.0</v>
      </c>
      <c r="H6890" s="1">
        <v>1.477668433</v>
      </c>
      <c r="I6890" s="1">
        <v>4.13</v>
      </c>
      <c r="J6890" s="1">
        <v>0.920005</v>
      </c>
    </row>
    <row r="6891">
      <c r="A6891" s="1">
        <v>2025.0</v>
      </c>
      <c r="B6891" s="1" t="s">
        <v>322</v>
      </c>
      <c r="C6891" s="1">
        <v>678368.0</v>
      </c>
      <c r="D6891" s="1" t="s">
        <v>539</v>
      </c>
      <c r="E6891" s="1" t="s">
        <v>927</v>
      </c>
      <c r="F6891" s="1" t="s">
        <v>926</v>
      </c>
      <c r="G6891" s="1">
        <v>5.0</v>
      </c>
      <c r="H6891" s="1">
        <v>0.30784759</v>
      </c>
      <c r="I6891" s="1">
        <v>3.05</v>
      </c>
      <c r="J6891" s="1">
        <v>0.300002</v>
      </c>
    </row>
    <row r="6892">
      <c r="A6892" s="1">
        <v>2025.0</v>
      </c>
      <c r="B6892" s="1" t="s">
        <v>322</v>
      </c>
      <c r="C6892" s="1">
        <v>678368.0</v>
      </c>
      <c r="D6892" s="1" t="s">
        <v>541</v>
      </c>
      <c r="E6892" s="1" t="s">
        <v>927</v>
      </c>
      <c r="F6892" s="1" t="s">
        <v>927</v>
      </c>
      <c r="G6892" s="1">
        <v>8.0</v>
      </c>
      <c r="H6892" s="1">
        <v>0.492556144</v>
      </c>
      <c r="I6892" s="1">
        <v>5.43</v>
      </c>
      <c r="J6892" s="1">
        <v>0.105154</v>
      </c>
    </row>
    <row r="6893">
      <c r="A6893" s="1">
        <v>2025.0</v>
      </c>
      <c r="B6893" s="1" t="s">
        <v>322</v>
      </c>
      <c r="C6893" s="1">
        <v>678368.0</v>
      </c>
      <c r="D6893" s="1" t="s">
        <v>540</v>
      </c>
      <c r="E6893" s="1" t="s">
        <v>927</v>
      </c>
      <c r="F6893" s="1" t="s">
        <v>927</v>
      </c>
      <c r="G6893" s="1">
        <v>236.0</v>
      </c>
      <c r="H6893" s="1">
        <v>14.53040626</v>
      </c>
      <c r="I6893" s="1">
        <v>5.29</v>
      </c>
      <c r="J6893" s="1">
        <v>3.887047</v>
      </c>
    </row>
    <row r="6894">
      <c r="A6894" s="1">
        <v>2025.0</v>
      </c>
      <c r="B6894" s="1" t="s">
        <v>322</v>
      </c>
      <c r="C6894" s="1">
        <v>678368.0</v>
      </c>
      <c r="D6894" s="1" t="s">
        <v>537</v>
      </c>
      <c r="E6894" s="1" t="s">
        <v>927</v>
      </c>
      <c r="F6894" s="1" t="s">
        <v>927</v>
      </c>
      <c r="G6894" s="1">
        <v>210.0</v>
      </c>
      <c r="H6894" s="1">
        <v>12.92959879</v>
      </c>
      <c r="I6894" s="1">
        <v>4.64</v>
      </c>
      <c r="J6894" s="1">
        <v>6.08282</v>
      </c>
    </row>
    <row r="6895">
      <c r="A6895" s="1">
        <v>2025.0</v>
      </c>
      <c r="B6895" s="1" t="s">
        <v>322</v>
      </c>
      <c r="C6895" s="1">
        <v>678368.0</v>
      </c>
      <c r="D6895" s="1" t="s">
        <v>539</v>
      </c>
      <c r="E6895" s="1" t="s">
        <v>927</v>
      </c>
      <c r="F6895" s="1" t="s">
        <v>927</v>
      </c>
      <c r="G6895" s="1">
        <v>196.0</v>
      </c>
      <c r="H6895" s="1">
        <v>12.06762554</v>
      </c>
      <c r="I6895" s="1">
        <v>5.16</v>
      </c>
      <c r="J6895" s="1">
        <v>3.408487</v>
      </c>
    </row>
    <row r="6896">
      <c r="A6896" s="1">
        <v>2025.0</v>
      </c>
      <c r="B6896" s="1" t="s">
        <v>592</v>
      </c>
      <c r="C6896" s="1">
        <v>682989.0</v>
      </c>
      <c r="D6896" s="1" t="s">
        <v>532</v>
      </c>
      <c r="E6896" s="1" t="s">
        <v>927</v>
      </c>
      <c r="F6896" s="1" t="s">
        <v>926</v>
      </c>
      <c r="G6896" s="1">
        <v>17.0</v>
      </c>
      <c r="H6896" s="1">
        <v>0.920382166</v>
      </c>
      <c r="I6896" s="1">
        <v>4.05</v>
      </c>
      <c r="J6896" s="1">
        <v>0.735515</v>
      </c>
    </row>
    <row r="6897">
      <c r="A6897" s="1">
        <v>2025.0</v>
      </c>
      <c r="B6897" s="1" t="s">
        <v>592</v>
      </c>
      <c r="C6897" s="1">
        <v>682989.0</v>
      </c>
      <c r="D6897" s="1" t="s">
        <v>536</v>
      </c>
      <c r="E6897" s="1" t="s">
        <v>927</v>
      </c>
      <c r="F6897" s="1" t="s">
        <v>926</v>
      </c>
      <c r="G6897" s="1">
        <v>96.0</v>
      </c>
      <c r="H6897" s="1">
        <v>5.197452229</v>
      </c>
      <c r="I6897" s="1">
        <v>4.6</v>
      </c>
      <c r="J6897" s="1">
        <v>3.067982</v>
      </c>
    </row>
    <row r="6898">
      <c r="A6898" s="1">
        <v>2025.0</v>
      </c>
      <c r="B6898" s="1" t="s">
        <v>592</v>
      </c>
      <c r="C6898" s="1">
        <v>682989.0</v>
      </c>
      <c r="D6898" s="1" t="s">
        <v>533</v>
      </c>
      <c r="E6898" s="1" t="s">
        <v>927</v>
      </c>
      <c r="F6898" s="1" t="s">
        <v>926</v>
      </c>
      <c r="G6898" s="1">
        <v>47.0</v>
      </c>
      <c r="H6898" s="1">
        <v>2.544585987</v>
      </c>
      <c r="I6898" s="1">
        <v>4.73</v>
      </c>
      <c r="J6898" s="1">
        <v>1.278897</v>
      </c>
    </row>
    <row r="6899">
      <c r="A6899" s="1">
        <v>2025.0</v>
      </c>
      <c r="B6899" s="1" t="s">
        <v>592</v>
      </c>
      <c r="C6899" s="1">
        <v>682989.0</v>
      </c>
      <c r="D6899" s="1" t="s">
        <v>539</v>
      </c>
      <c r="E6899" s="1" t="s">
        <v>927</v>
      </c>
      <c r="F6899" s="1" t="s">
        <v>926</v>
      </c>
      <c r="G6899" s="1">
        <v>20.0</v>
      </c>
      <c r="H6899" s="1">
        <v>1.082802548</v>
      </c>
      <c r="I6899" s="1">
        <v>3.95</v>
      </c>
      <c r="J6899" s="1">
        <v>0.880022</v>
      </c>
    </row>
    <row r="6900">
      <c r="A6900" s="1">
        <v>2025.0</v>
      </c>
      <c r="B6900" s="1" t="s">
        <v>592</v>
      </c>
      <c r="C6900" s="1">
        <v>682989.0</v>
      </c>
      <c r="D6900" s="1" t="s">
        <v>536</v>
      </c>
      <c r="E6900" s="1" t="s">
        <v>927</v>
      </c>
      <c r="F6900" s="1" t="s">
        <v>927</v>
      </c>
      <c r="G6900" s="1">
        <v>57.0</v>
      </c>
      <c r="H6900" s="1">
        <v>3.085987261</v>
      </c>
      <c r="I6900" s="1">
        <v>5.29</v>
      </c>
      <c r="J6900" s="1">
        <v>0.978837</v>
      </c>
    </row>
    <row r="6901">
      <c r="A6901" s="1">
        <v>2025.0</v>
      </c>
      <c r="B6901" s="1" t="s">
        <v>592</v>
      </c>
      <c r="C6901" s="1">
        <v>682989.0</v>
      </c>
      <c r="D6901" s="1" t="s">
        <v>533</v>
      </c>
      <c r="E6901" s="1" t="s">
        <v>927</v>
      </c>
      <c r="F6901" s="1" t="s">
        <v>927</v>
      </c>
      <c r="G6901" s="1">
        <v>40.0</v>
      </c>
      <c r="H6901" s="1">
        <v>2.165605096</v>
      </c>
      <c r="I6901" s="1">
        <v>4.35</v>
      </c>
      <c r="J6901" s="1">
        <v>1.4746</v>
      </c>
    </row>
    <row r="6902">
      <c r="A6902" s="1">
        <v>2025.0</v>
      </c>
      <c r="B6902" s="1" t="s">
        <v>592</v>
      </c>
      <c r="C6902" s="1">
        <v>682989.0</v>
      </c>
      <c r="D6902" s="1" t="s">
        <v>539</v>
      </c>
      <c r="E6902" s="1" t="s">
        <v>927</v>
      </c>
      <c r="F6902" s="1" t="s">
        <v>927</v>
      </c>
      <c r="G6902" s="1">
        <v>37.0</v>
      </c>
      <c r="H6902" s="1">
        <v>2.003184713</v>
      </c>
      <c r="I6902" s="1">
        <v>5.21</v>
      </c>
      <c r="J6902" s="1">
        <v>0.703374</v>
      </c>
    </row>
    <row r="6903">
      <c r="A6903" s="1">
        <v>2025.0</v>
      </c>
      <c r="B6903" s="1" t="s">
        <v>365</v>
      </c>
      <c r="C6903" s="1">
        <v>680767.0</v>
      </c>
      <c r="D6903" s="1" t="s">
        <v>532</v>
      </c>
      <c r="E6903" s="1" t="s">
        <v>927</v>
      </c>
      <c r="F6903" s="1" t="s">
        <v>926</v>
      </c>
      <c r="G6903" s="1">
        <v>191.0</v>
      </c>
      <c r="H6903" s="1">
        <v>10.56477438</v>
      </c>
      <c r="I6903" s="1">
        <v>4.82</v>
      </c>
      <c r="J6903" s="1">
        <v>4.85645</v>
      </c>
    </row>
    <row r="6904">
      <c r="A6904" s="1">
        <v>2025.0</v>
      </c>
      <c r="B6904" s="1" t="s">
        <v>365</v>
      </c>
      <c r="C6904" s="1">
        <v>680767.0</v>
      </c>
      <c r="D6904" s="1" t="s">
        <v>540</v>
      </c>
      <c r="E6904" s="1" t="s">
        <v>927</v>
      </c>
      <c r="F6904" s="1" t="s">
        <v>926</v>
      </c>
      <c r="G6904" s="1">
        <v>5.0</v>
      </c>
      <c r="H6904" s="1">
        <v>0.276564774</v>
      </c>
      <c r="I6904" s="1">
        <v>4.47</v>
      </c>
      <c r="J6904" s="1">
        <v>0.170544</v>
      </c>
    </row>
    <row r="6905">
      <c r="A6905" s="1">
        <v>2025.0</v>
      </c>
      <c r="B6905" s="1" t="s">
        <v>365</v>
      </c>
      <c r="C6905" s="1">
        <v>680767.0</v>
      </c>
      <c r="D6905" s="1" t="s">
        <v>537</v>
      </c>
      <c r="E6905" s="1" t="s">
        <v>927</v>
      </c>
      <c r="F6905" s="1" t="s">
        <v>926</v>
      </c>
      <c r="G6905" s="1">
        <v>270.0</v>
      </c>
      <c r="H6905" s="1">
        <v>14.93449782</v>
      </c>
      <c r="I6905" s="1">
        <v>4.74</v>
      </c>
      <c r="J6905" s="1">
        <v>7.417974</v>
      </c>
    </row>
    <row r="6906">
      <c r="A6906" s="1">
        <v>2025.0</v>
      </c>
      <c r="B6906" s="1" t="s">
        <v>365</v>
      </c>
      <c r="C6906" s="1">
        <v>680767.0</v>
      </c>
      <c r="D6906" s="1" t="s">
        <v>533</v>
      </c>
      <c r="E6906" s="1" t="s">
        <v>927</v>
      </c>
      <c r="F6906" s="1" t="s">
        <v>926</v>
      </c>
      <c r="G6906" s="1">
        <v>4.0</v>
      </c>
      <c r="H6906" s="1">
        <v>0.22125182</v>
      </c>
      <c r="I6906" s="1">
        <v>6.36</v>
      </c>
      <c r="J6906" s="1">
        <v>-0.028532</v>
      </c>
    </row>
    <row r="6907">
      <c r="A6907" s="1">
        <v>2025.0</v>
      </c>
      <c r="B6907" s="1" t="s">
        <v>365</v>
      </c>
      <c r="C6907" s="1">
        <v>680767.0</v>
      </c>
      <c r="D6907" s="1" t="s">
        <v>532</v>
      </c>
      <c r="E6907" s="1" t="s">
        <v>927</v>
      </c>
      <c r="F6907" s="1" t="s">
        <v>927</v>
      </c>
      <c r="G6907" s="1">
        <v>49.0</v>
      </c>
      <c r="H6907" s="1">
        <v>2.710334789</v>
      </c>
      <c r="I6907" s="1">
        <v>5.12</v>
      </c>
      <c r="J6907" s="1">
        <v>0.956883</v>
      </c>
    </row>
    <row r="6908">
      <c r="A6908" s="1">
        <v>2025.0</v>
      </c>
      <c r="B6908" s="1" t="s">
        <v>365</v>
      </c>
      <c r="C6908" s="1">
        <v>680767.0</v>
      </c>
      <c r="D6908" s="1" t="s">
        <v>540</v>
      </c>
      <c r="E6908" s="1" t="s">
        <v>927</v>
      </c>
      <c r="F6908" s="1" t="s">
        <v>927</v>
      </c>
      <c r="G6908" s="1">
        <v>40.0</v>
      </c>
      <c r="H6908" s="1">
        <v>2.212518195</v>
      </c>
      <c r="I6908" s="1">
        <v>5.38</v>
      </c>
      <c r="J6908" s="1">
        <v>0.61089</v>
      </c>
    </row>
    <row r="6909">
      <c r="A6909" s="1">
        <v>2025.0</v>
      </c>
      <c r="B6909" s="1" t="s">
        <v>365</v>
      </c>
      <c r="C6909" s="1">
        <v>680767.0</v>
      </c>
      <c r="D6909" s="1" t="s">
        <v>537</v>
      </c>
      <c r="E6909" s="1" t="s">
        <v>927</v>
      </c>
      <c r="F6909" s="1" t="s">
        <v>927</v>
      </c>
      <c r="G6909" s="1">
        <v>243.0</v>
      </c>
      <c r="H6909" s="1">
        <v>13.44104803</v>
      </c>
      <c r="I6909" s="1">
        <v>5.25</v>
      </c>
      <c r="J6909" s="1">
        <v>4.33303</v>
      </c>
    </row>
    <row r="6910">
      <c r="A6910" s="1">
        <v>2025.0</v>
      </c>
      <c r="B6910" s="1" t="s">
        <v>365</v>
      </c>
      <c r="C6910" s="1">
        <v>680767.0</v>
      </c>
      <c r="D6910" s="1" t="s">
        <v>533</v>
      </c>
      <c r="E6910" s="1" t="s">
        <v>927</v>
      </c>
      <c r="F6910" s="1" t="s">
        <v>927</v>
      </c>
      <c r="G6910" s="1">
        <v>114.0</v>
      </c>
      <c r="H6910" s="1">
        <v>6.305676856</v>
      </c>
      <c r="I6910" s="1">
        <v>5.41</v>
      </c>
      <c r="J6910" s="1">
        <v>1.560411</v>
      </c>
    </row>
    <row r="6911">
      <c r="A6911" s="1">
        <v>2025.0</v>
      </c>
      <c r="B6911" s="1" t="s">
        <v>1013</v>
      </c>
      <c r="C6911" s="1">
        <v>660644.0</v>
      </c>
      <c r="D6911" s="1" t="s">
        <v>541</v>
      </c>
      <c r="E6911" s="1" t="s">
        <v>927</v>
      </c>
      <c r="F6911" s="1" t="s">
        <v>926</v>
      </c>
      <c r="G6911" s="1">
        <v>1.0</v>
      </c>
      <c r="H6911" s="1">
        <v>1.0</v>
      </c>
      <c r="I6911" s="1">
        <v>5.12</v>
      </c>
      <c r="J6911" s="1">
        <v>0.018935</v>
      </c>
    </row>
    <row r="6912">
      <c r="A6912" s="1">
        <v>2025.0</v>
      </c>
      <c r="B6912" s="1" t="s">
        <v>1013</v>
      </c>
      <c r="C6912" s="1">
        <v>660644.0</v>
      </c>
      <c r="D6912" s="1" t="s">
        <v>537</v>
      </c>
      <c r="E6912" s="1" t="s">
        <v>927</v>
      </c>
      <c r="F6912" s="1" t="s">
        <v>926</v>
      </c>
      <c r="G6912" s="1">
        <v>1.0</v>
      </c>
      <c r="H6912" s="1">
        <v>1.0</v>
      </c>
      <c r="I6912" s="1">
        <v>0.39</v>
      </c>
      <c r="J6912" s="1">
        <v>0.115589</v>
      </c>
    </row>
    <row r="6913">
      <c r="A6913" s="1">
        <v>2025.0</v>
      </c>
      <c r="B6913" s="1" t="s">
        <v>859</v>
      </c>
      <c r="C6913" s="1">
        <v>681962.0</v>
      </c>
      <c r="D6913" s="1" t="s">
        <v>928</v>
      </c>
      <c r="E6913" s="1" t="s">
        <v>927</v>
      </c>
      <c r="F6913" s="1" t="s">
        <v>927</v>
      </c>
      <c r="G6913" s="1">
        <v>1.0</v>
      </c>
      <c r="H6913" s="1">
        <v>3.0</v>
      </c>
      <c r="I6913" s="1">
        <v>1.58</v>
      </c>
      <c r="J6913" s="1">
        <v>0.087719</v>
      </c>
    </row>
    <row r="6914">
      <c r="A6914" s="1">
        <v>2025.0</v>
      </c>
      <c r="B6914" s="1" t="s">
        <v>605</v>
      </c>
      <c r="C6914" s="1">
        <v>489119.0</v>
      </c>
      <c r="D6914" s="1" t="s">
        <v>532</v>
      </c>
      <c r="E6914" s="1" t="s">
        <v>926</v>
      </c>
      <c r="F6914" s="1" t="s">
        <v>926</v>
      </c>
      <c r="G6914" s="1">
        <v>1.0</v>
      </c>
      <c r="H6914" s="1">
        <v>0.058823529</v>
      </c>
      <c r="I6914" s="1">
        <v>5.07</v>
      </c>
      <c r="J6914" s="1">
        <v>0.016941</v>
      </c>
    </row>
    <row r="6915">
      <c r="A6915" s="1">
        <v>2025.0</v>
      </c>
      <c r="B6915" s="1" t="s">
        <v>605</v>
      </c>
      <c r="C6915" s="1">
        <v>489119.0</v>
      </c>
      <c r="D6915" s="1" t="s">
        <v>540</v>
      </c>
      <c r="E6915" s="1" t="s">
        <v>926</v>
      </c>
      <c r="F6915" s="1" t="s">
        <v>926</v>
      </c>
      <c r="G6915" s="1">
        <v>15.0</v>
      </c>
      <c r="H6915" s="1">
        <v>0.882352941</v>
      </c>
      <c r="I6915" s="1">
        <v>5.69</v>
      </c>
      <c r="J6915" s="1">
        <v>0.127439</v>
      </c>
    </row>
    <row r="6916">
      <c r="A6916" s="1">
        <v>2025.0</v>
      </c>
      <c r="B6916" s="1" t="s">
        <v>605</v>
      </c>
      <c r="C6916" s="1">
        <v>489119.0</v>
      </c>
      <c r="D6916" s="1" t="s">
        <v>537</v>
      </c>
      <c r="E6916" s="1" t="s">
        <v>926</v>
      </c>
      <c r="F6916" s="1" t="s">
        <v>926</v>
      </c>
      <c r="G6916" s="1">
        <v>7.0</v>
      </c>
      <c r="H6916" s="1">
        <v>0.411764706</v>
      </c>
      <c r="I6916" s="1">
        <v>5.99</v>
      </c>
      <c r="J6916" s="1">
        <v>0.014278</v>
      </c>
    </row>
    <row r="6917">
      <c r="A6917" s="1">
        <v>2025.0</v>
      </c>
      <c r="B6917" s="1" t="s">
        <v>605</v>
      </c>
      <c r="C6917" s="1">
        <v>489119.0</v>
      </c>
      <c r="D6917" s="1" t="s">
        <v>536</v>
      </c>
      <c r="E6917" s="1" t="s">
        <v>926</v>
      </c>
      <c r="F6917" s="1" t="s">
        <v>926</v>
      </c>
      <c r="G6917" s="1">
        <v>26.0</v>
      </c>
      <c r="H6917" s="1">
        <v>1.529411765</v>
      </c>
      <c r="I6917" s="1">
        <v>4.46</v>
      </c>
      <c r="J6917" s="1">
        <v>0.856571</v>
      </c>
    </row>
    <row r="6918">
      <c r="A6918" s="1">
        <v>2025.0</v>
      </c>
      <c r="B6918" s="1" t="s">
        <v>605</v>
      </c>
      <c r="C6918" s="1">
        <v>489119.0</v>
      </c>
      <c r="D6918" s="1" t="s">
        <v>533</v>
      </c>
      <c r="E6918" s="1" t="s">
        <v>926</v>
      </c>
      <c r="F6918" s="1" t="s">
        <v>926</v>
      </c>
      <c r="G6918" s="1">
        <v>1.0</v>
      </c>
      <c r="H6918" s="1">
        <v>0.058823529</v>
      </c>
      <c r="I6918" s="1">
        <v>3.63</v>
      </c>
      <c r="J6918" s="1">
        <v>0.049472</v>
      </c>
    </row>
    <row r="6919">
      <c r="A6919" s="1">
        <v>2025.0</v>
      </c>
      <c r="B6919" s="1" t="s">
        <v>605</v>
      </c>
      <c r="C6919" s="1">
        <v>489119.0</v>
      </c>
      <c r="D6919" s="1" t="s">
        <v>539</v>
      </c>
      <c r="E6919" s="1" t="s">
        <v>926</v>
      </c>
      <c r="F6919" s="1" t="s">
        <v>926</v>
      </c>
      <c r="G6919" s="1">
        <v>6.0</v>
      </c>
      <c r="H6919" s="1">
        <v>0.352941176</v>
      </c>
      <c r="I6919" s="1">
        <v>5.84</v>
      </c>
      <c r="J6919" s="1">
        <v>0.025921</v>
      </c>
    </row>
    <row r="6920">
      <c r="A6920" s="1">
        <v>2025.0</v>
      </c>
      <c r="B6920" s="1" t="s">
        <v>605</v>
      </c>
      <c r="C6920" s="1">
        <v>489119.0</v>
      </c>
      <c r="D6920" s="1" t="s">
        <v>532</v>
      </c>
      <c r="E6920" s="1" t="s">
        <v>926</v>
      </c>
      <c r="F6920" s="1" t="s">
        <v>927</v>
      </c>
      <c r="G6920" s="1">
        <v>48.0</v>
      </c>
      <c r="H6920" s="1">
        <v>2.823529412</v>
      </c>
      <c r="I6920" s="1">
        <v>4.65</v>
      </c>
      <c r="J6920" s="1">
        <v>1.356696</v>
      </c>
    </row>
    <row r="6921">
      <c r="A6921" s="1">
        <v>2025.0</v>
      </c>
      <c r="B6921" s="1" t="s">
        <v>605</v>
      </c>
      <c r="C6921" s="1">
        <v>489119.0</v>
      </c>
      <c r="D6921" s="1" t="s">
        <v>540</v>
      </c>
      <c r="E6921" s="1" t="s">
        <v>926</v>
      </c>
      <c r="F6921" s="1" t="s">
        <v>927</v>
      </c>
      <c r="G6921" s="1">
        <v>54.0</v>
      </c>
      <c r="H6921" s="1">
        <v>3.176470588</v>
      </c>
      <c r="I6921" s="1">
        <v>4.99</v>
      </c>
      <c r="J6921" s="1">
        <v>1.267225</v>
      </c>
    </row>
    <row r="6922">
      <c r="A6922" s="1">
        <v>2025.0</v>
      </c>
      <c r="B6922" s="1" t="s">
        <v>605</v>
      </c>
      <c r="C6922" s="1">
        <v>489119.0</v>
      </c>
      <c r="D6922" s="1" t="s">
        <v>537</v>
      </c>
      <c r="E6922" s="1" t="s">
        <v>926</v>
      </c>
      <c r="F6922" s="1" t="s">
        <v>927</v>
      </c>
      <c r="G6922" s="1">
        <v>40.0</v>
      </c>
      <c r="H6922" s="1">
        <v>2.352941176</v>
      </c>
      <c r="I6922" s="1">
        <v>4.72</v>
      </c>
      <c r="J6922" s="1">
        <v>1.106406</v>
      </c>
    </row>
    <row r="6923">
      <c r="A6923" s="1">
        <v>2025.0</v>
      </c>
      <c r="B6923" s="1" t="s">
        <v>605</v>
      </c>
      <c r="C6923" s="1">
        <v>489119.0</v>
      </c>
      <c r="D6923" s="1" t="s">
        <v>536</v>
      </c>
      <c r="E6923" s="1" t="s">
        <v>926</v>
      </c>
      <c r="F6923" s="1" t="s">
        <v>927</v>
      </c>
      <c r="G6923" s="1">
        <v>5.0</v>
      </c>
      <c r="H6923" s="1">
        <v>0.294117647</v>
      </c>
      <c r="I6923" s="1">
        <v>1.09</v>
      </c>
      <c r="J6923" s="1">
        <v>0.50492</v>
      </c>
    </row>
    <row r="6924">
      <c r="A6924" s="1">
        <v>2025.0</v>
      </c>
      <c r="B6924" s="1" t="s">
        <v>605</v>
      </c>
      <c r="C6924" s="1">
        <v>489119.0</v>
      </c>
      <c r="D6924" s="1" t="s">
        <v>539</v>
      </c>
      <c r="E6924" s="1" t="s">
        <v>926</v>
      </c>
      <c r="F6924" s="1" t="s">
        <v>927</v>
      </c>
      <c r="G6924" s="1">
        <v>1.0</v>
      </c>
      <c r="H6924" s="1">
        <v>0.058823529</v>
      </c>
      <c r="I6924" s="1">
        <v>6.16</v>
      </c>
      <c r="J6924" s="1">
        <v>-0.00485</v>
      </c>
    </row>
    <row r="6925">
      <c r="A6925" s="1">
        <v>2025.0</v>
      </c>
      <c r="B6925" s="1" t="s">
        <v>405</v>
      </c>
      <c r="C6925" s="1">
        <v>621111.0</v>
      </c>
      <c r="D6925" s="1" t="s">
        <v>532</v>
      </c>
      <c r="E6925" s="1" t="s">
        <v>927</v>
      </c>
      <c r="F6925" s="1" t="s">
        <v>926</v>
      </c>
      <c r="G6925" s="1">
        <v>145.0</v>
      </c>
      <c r="H6925" s="1">
        <v>8.350091408</v>
      </c>
      <c r="I6925" s="1">
        <v>4.63</v>
      </c>
      <c r="J6925" s="1">
        <v>4.100265</v>
      </c>
    </row>
    <row r="6926">
      <c r="A6926" s="1">
        <v>2025.0</v>
      </c>
      <c r="B6926" s="1" t="s">
        <v>405</v>
      </c>
      <c r="C6926" s="1">
        <v>621111.0</v>
      </c>
      <c r="D6926" s="1" t="s">
        <v>541</v>
      </c>
      <c r="E6926" s="1" t="s">
        <v>927</v>
      </c>
      <c r="F6926" s="1" t="s">
        <v>926</v>
      </c>
      <c r="G6926" s="1">
        <v>248.0</v>
      </c>
      <c r="H6926" s="1">
        <v>14.28153565</v>
      </c>
      <c r="I6926" s="1">
        <v>4.74</v>
      </c>
      <c r="J6926" s="1">
        <v>6.688537</v>
      </c>
    </row>
    <row r="6927">
      <c r="A6927" s="1">
        <v>2025.0</v>
      </c>
      <c r="B6927" s="1" t="s">
        <v>405</v>
      </c>
      <c r="C6927" s="1">
        <v>621111.0</v>
      </c>
      <c r="D6927" s="1" t="s">
        <v>540</v>
      </c>
      <c r="E6927" s="1" t="s">
        <v>927</v>
      </c>
      <c r="F6927" s="1" t="s">
        <v>926</v>
      </c>
      <c r="G6927" s="1">
        <v>241.0</v>
      </c>
      <c r="H6927" s="1">
        <v>13.87842779</v>
      </c>
      <c r="I6927" s="1">
        <v>5.33</v>
      </c>
      <c r="J6927" s="1">
        <v>3.868165</v>
      </c>
    </row>
    <row r="6928">
      <c r="A6928" s="1">
        <v>2025.0</v>
      </c>
      <c r="B6928" s="1" t="s">
        <v>405</v>
      </c>
      <c r="C6928" s="1">
        <v>621111.0</v>
      </c>
      <c r="D6928" s="1" t="s">
        <v>537</v>
      </c>
      <c r="E6928" s="1" t="s">
        <v>927</v>
      </c>
      <c r="F6928" s="1" t="s">
        <v>926</v>
      </c>
      <c r="G6928" s="1">
        <v>333.0</v>
      </c>
      <c r="H6928" s="1">
        <v>19.17641682</v>
      </c>
      <c r="I6928" s="1">
        <v>4.75</v>
      </c>
      <c r="J6928" s="1">
        <v>9.217585</v>
      </c>
    </row>
    <row r="6929">
      <c r="A6929" s="1">
        <v>2025.0</v>
      </c>
      <c r="B6929" s="1" t="s">
        <v>405</v>
      </c>
      <c r="C6929" s="1">
        <v>621111.0</v>
      </c>
      <c r="D6929" s="1" t="s">
        <v>536</v>
      </c>
      <c r="E6929" s="1" t="s">
        <v>927</v>
      </c>
      <c r="F6929" s="1" t="s">
        <v>926</v>
      </c>
      <c r="G6929" s="1">
        <v>144.0</v>
      </c>
      <c r="H6929" s="1">
        <v>8.29250457</v>
      </c>
      <c r="I6929" s="1">
        <v>4.2</v>
      </c>
      <c r="J6929" s="1">
        <v>5.558545</v>
      </c>
    </row>
    <row r="6930">
      <c r="A6930" s="1">
        <v>2025.0</v>
      </c>
      <c r="B6930" s="1" t="s">
        <v>405</v>
      </c>
      <c r="C6930" s="1">
        <v>621111.0</v>
      </c>
      <c r="D6930" s="1" t="s">
        <v>533</v>
      </c>
      <c r="E6930" s="1" t="s">
        <v>927</v>
      </c>
      <c r="F6930" s="1" t="s">
        <v>926</v>
      </c>
      <c r="G6930" s="1">
        <v>131.0</v>
      </c>
      <c r="H6930" s="1">
        <v>7.543875686</v>
      </c>
      <c r="I6930" s="1">
        <v>5.38</v>
      </c>
      <c r="J6930" s="1">
        <v>1.79093</v>
      </c>
    </row>
    <row r="6931">
      <c r="A6931" s="1">
        <v>2025.0</v>
      </c>
      <c r="B6931" s="1" t="s">
        <v>405</v>
      </c>
      <c r="C6931" s="1">
        <v>621111.0</v>
      </c>
      <c r="D6931" s="1" t="s">
        <v>539</v>
      </c>
      <c r="E6931" s="1" t="s">
        <v>927</v>
      </c>
      <c r="F6931" s="1" t="s">
        <v>926</v>
      </c>
      <c r="G6931" s="1">
        <v>7.0</v>
      </c>
      <c r="H6931" s="1">
        <v>0.403107861</v>
      </c>
      <c r="I6931" s="1">
        <v>5.51</v>
      </c>
      <c r="J6931" s="1">
        <v>0.064217</v>
      </c>
    </row>
    <row r="6932">
      <c r="A6932" s="1">
        <v>2025.0</v>
      </c>
      <c r="B6932" s="1" t="s">
        <v>405</v>
      </c>
      <c r="C6932" s="1">
        <v>621111.0</v>
      </c>
      <c r="D6932" s="1" t="s">
        <v>532</v>
      </c>
      <c r="E6932" s="1" t="s">
        <v>927</v>
      </c>
      <c r="F6932" s="1" t="s">
        <v>927</v>
      </c>
      <c r="G6932" s="1">
        <v>6.0</v>
      </c>
      <c r="H6932" s="1">
        <v>0.345521024</v>
      </c>
      <c r="I6932" s="1">
        <v>0.43</v>
      </c>
      <c r="J6932" s="1">
        <v>0.681314</v>
      </c>
    </row>
    <row r="6933">
      <c r="A6933" s="1">
        <v>2025.0</v>
      </c>
      <c r="B6933" s="1" t="s">
        <v>405</v>
      </c>
      <c r="C6933" s="1">
        <v>621111.0</v>
      </c>
      <c r="D6933" s="1" t="s">
        <v>541</v>
      </c>
      <c r="E6933" s="1" t="s">
        <v>927</v>
      </c>
      <c r="F6933" s="1" t="s">
        <v>927</v>
      </c>
      <c r="G6933" s="1">
        <v>34.0</v>
      </c>
      <c r="H6933" s="1">
        <v>1.957952468</v>
      </c>
      <c r="I6933" s="1">
        <v>5.41</v>
      </c>
      <c r="J6933" s="1">
        <v>0.46779</v>
      </c>
    </row>
    <row r="6934">
      <c r="A6934" s="1">
        <v>2025.0</v>
      </c>
      <c r="B6934" s="1" t="s">
        <v>405</v>
      </c>
      <c r="C6934" s="1">
        <v>621111.0</v>
      </c>
      <c r="D6934" s="1" t="s">
        <v>540</v>
      </c>
      <c r="E6934" s="1" t="s">
        <v>927</v>
      </c>
      <c r="F6934" s="1" t="s">
        <v>927</v>
      </c>
      <c r="G6934" s="1">
        <v>128.0</v>
      </c>
      <c r="H6934" s="1">
        <v>7.371115174</v>
      </c>
      <c r="I6934" s="1">
        <v>5.05</v>
      </c>
      <c r="J6934" s="1">
        <v>2.755126</v>
      </c>
    </row>
    <row r="6935">
      <c r="A6935" s="1">
        <v>2025.0</v>
      </c>
      <c r="B6935" s="1" t="s">
        <v>405</v>
      </c>
      <c r="C6935" s="1">
        <v>621111.0</v>
      </c>
      <c r="D6935" s="1" t="s">
        <v>537</v>
      </c>
      <c r="E6935" s="1" t="s">
        <v>927</v>
      </c>
      <c r="F6935" s="1" t="s">
        <v>927</v>
      </c>
      <c r="G6935" s="1">
        <v>221.0</v>
      </c>
      <c r="H6935" s="1">
        <v>12.72669104</v>
      </c>
      <c r="I6935" s="1">
        <v>4.84</v>
      </c>
      <c r="J6935" s="1">
        <v>5.823981</v>
      </c>
    </row>
    <row r="6936">
      <c r="A6936" s="1">
        <v>2025.0</v>
      </c>
      <c r="B6936" s="1" t="s">
        <v>405</v>
      </c>
      <c r="C6936" s="1">
        <v>621111.0</v>
      </c>
      <c r="D6936" s="1" t="s">
        <v>536</v>
      </c>
      <c r="E6936" s="1" t="s">
        <v>927</v>
      </c>
      <c r="F6936" s="1" t="s">
        <v>927</v>
      </c>
      <c r="G6936" s="1">
        <v>214.0</v>
      </c>
      <c r="H6936" s="1">
        <v>12.32358318</v>
      </c>
      <c r="I6936" s="1">
        <v>4.81</v>
      </c>
      <c r="J6936" s="1">
        <v>5.466937</v>
      </c>
    </row>
    <row r="6937">
      <c r="A6937" s="1">
        <v>2025.0</v>
      </c>
      <c r="B6937" s="1" t="s">
        <v>405</v>
      </c>
      <c r="C6937" s="1">
        <v>621111.0</v>
      </c>
      <c r="D6937" s="1" t="s">
        <v>533</v>
      </c>
      <c r="E6937" s="1" t="s">
        <v>927</v>
      </c>
      <c r="F6937" s="1" t="s">
        <v>927</v>
      </c>
      <c r="G6937" s="1">
        <v>183.0</v>
      </c>
      <c r="H6937" s="1">
        <v>10.53839122</v>
      </c>
      <c r="I6937" s="1">
        <v>5.22</v>
      </c>
      <c r="J6937" s="1">
        <v>3.258138</v>
      </c>
    </row>
    <row r="6938">
      <c r="A6938" s="1">
        <v>2025.0</v>
      </c>
      <c r="B6938" s="1" t="s">
        <v>405</v>
      </c>
      <c r="C6938" s="1">
        <v>621111.0</v>
      </c>
      <c r="D6938" s="1" t="s">
        <v>539</v>
      </c>
      <c r="E6938" s="1" t="s">
        <v>927</v>
      </c>
      <c r="F6938" s="1" t="s">
        <v>927</v>
      </c>
      <c r="G6938" s="1">
        <v>153.0</v>
      </c>
      <c r="H6938" s="1">
        <v>8.810786106</v>
      </c>
      <c r="I6938" s="1">
        <v>5.26</v>
      </c>
      <c r="J6938" s="1">
        <v>2.397354</v>
      </c>
    </row>
    <row r="6939">
      <c r="A6939" s="1">
        <v>2025.0</v>
      </c>
      <c r="B6939" s="1" t="s">
        <v>1014</v>
      </c>
      <c r="C6939" s="1">
        <v>593833.0</v>
      </c>
      <c r="D6939" s="1" t="s">
        <v>532</v>
      </c>
      <c r="E6939" s="1" t="s">
        <v>927</v>
      </c>
      <c r="F6939" s="1" t="s">
        <v>926</v>
      </c>
      <c r="G6939" s="1">
        <v>23.0</v>
      </c>
      <c r="H6939" s="1">
        <v>1.025821596</v>
      </c>
      <c r="I6939" s="1">
        <v>4.82</v>
      </c>
      <c r="J6939" s="1">
        <v>0.562073</v>
      </c>
    </row>
    <row r="6940">
      <c r="A6940" s="1">
        <v>2025.0</v>
      </c>
      <c r="B6940" s="1" t="s">
        <v>1014</v>
      </c>
      <c r="C6940" s="1">
        <v>593833.0</v>
      </c>
      <c r="D6940" s="1" t="s">
        <v>540</v>
      </c>
      <c r="E6940" s="1" t="s">
        <v>927</v>
      </c>
      <c r="F6940" s="1" t="s">
        <v>926</v>
      </c>
      <c r="G6940" s="1">
        <v>31.0</v>
      </c>
      <c r="H6940" s="1">
        <v>1.382629108</v>
      </c>
      <c r="I6940" s="1">
        <v>5.34</v>
      </c>
      <c r="J6940" s="1">
        <v>0.474509</v>
      </c>
    </row>
    <row r="6941">
      <c r="A6941" s="1">
        <v>2025.0</v>
      </c>
      <c r="B6941" s="1" t="s">
        <v>1014</v>
      </c>
      <c r="C6941" s="1">
        <v>593833.0</v>
      </c>
      <c r="D6941" s="1" t="s">
        <v>532</v>
      </c>
      <c r="E6941" s="1" t="s">
        <v>927</v>
      </c>
      <c r="F6941" s="1" t="s">
        <v>927</v>
      </c>
      <c r="G6941" s="1">
        <v>9.0</v>
      </c>
      <c r="H6941" s="1">
        <v>0.401408451</v>
      </c>
      <c r="I6941" s="1">
        <v>5.07</v>
      </c>
      <c r="J6941" s="1">
        <v>0.190331</v>
      </c>
    </row>
    <row r="6942">
      <c r="A6942" s="1">
        <v>2025.0</v>
      </c>
      <c r="B6942" s="1" t="s">
        <v>1014</v>
      </c>
      <c r="C6942" s="1">
        <v>593833.0</v>
      </c>
      <c r="D6942" s="1" t="s">
        <v>541</v>
      </c>
      <c r="E6942" s="1" t="s">
        <v>927</v>
      </c>
      <c r="F6942" s="1" t="s">
        <v>927</v>
      </c>
      <c r="G6942" s="1">
        <v>2.0</v>
      </c>
      <c r="H6942" s="1">
        <v>0.089201878</v>
      </c>
      <c r="I6942" s="1">
        <v>3.05</v>
      </c>
      <c r="J6942" s="1">
        <v>0.117554</v>
      </c>
    </row>
    <row r="6943">
      <c r="A6943" s="1">
        <v>2025.0</v>
      </c>
      <c r="B6943" s="1" t="s">
        <v>1014</v>
      </c>
      <c r="C6943" s="1">
        <v>593833.0</v>
      </c>
      <c r="D6943" s="1" t="s">
        <v>540</v>
      </c>
      <c r="E6943" s="1" t="s">
        <v>927</v>
      </c>
      <c r="F6943" s="1" t="s">
        <v>927</v>
      </c>
      <c r="G6943" s="1">
        <v>77.0</v>
      </c>
      <c r="H6943" s="1">
        <v>3.4342723</v>
      </c>
      <c r="I6943" s="1">
        <v>4.87</v>
      </c>
      <c r="J6943" s="1">
        <v>1.882951</v>
      </c>
    </row>
    <row r="6944">
      <c r="A6944" s="1">
        <v>2025.0</v>
      </c>
      <c r="B6944" s="1" t="s">
        <v>404</v>
      </c>
      <c r="C6944" s="1">
        <v>593974.0</v>
      </c>
      <c r="D6944" s="1" t="s">
        <v>532</v>
      </c>
      <c r="E6944" s="1" t="s">
        <v>926</v>
      </c>
      <c r="F6944" s="1" t="s">
        <v>926</v>
      </c>
      <c r="G6944" s="1">
        <v>74.0</v>
      </c>
      <c r="H6944" s="1">
        <v>4.660222613</v>
      </c>
      <c r="I6944" s="1">
        <v>4.74</v>
      </c>
      <c r="J6944" s="1">
        <v>1.921472</v>
      </c>
    </row>
    <row r="6945">
      <c r="A6945" s="1">
        <v>2025.0</v>
      </c>
      <c r="B6945" s="1" t="s">
        <v>404</v>
      </c>
      <c r="C6945" s="1">
        <v>593974.0</v>
      </c>
      <c r="D6945" s="1" t="s">
        <v>537</v>
      </c>
      <c r="E6945" s="1" t="s">
        <v>926</v>
      </c>
      <c r="F6945" s="1" t="s">
        <v>926</v>
      </c>
      <c r="G6945" s="1">
        <v>28.0</v>
      </c>
      <c r="H6945" s="1">
        <v>1.763327475</v>
      </c>
      <c r="I6945" s="1">
        <v>4.86</v>
      </c>
      <c r="J6945" s="1">
        <v>0.73499</v>
      </c>
    </row>
    <row r="6946">
      <c r="A6946" s="1">
        <v>2025.0</v>
      </c>
      <c r="B6946" s="1" t="s">
        <v>404</v>
      </c>
      <c r="C6946" s="1">
        <v>593974.0</v>
      </c>
      <c r="D6946" s="1" t="s">
        <v>536</v>
      </c>
      <c r="E6946" s="1" t="s">
        <v>926</v>
      </c>
      <c r="F6946" s="1" t="s">
        <v>926</v>
      </c>
      <c r="G6946" s="1">
        <v>253.0</v>
      </c>
      <c r="H6946" s="1">
        <v>15.93292326</v>
      </c>
      <c r="I6946" s="1">
        <v>4.92</v>
      </c>
      <c r="J6946" s="1">
        <v>6.051145</v>
      </c>
    </row>
    <row r="6947">
      <c r="A6947" s="1">
        <v>2025.0</v>
      </c>
      <c r="B6947" s="1" t="s">
        <v>404</v>
      </c>
      <c r="C6947" s="1">
        <v>593974.0</v>
      </c>
      <c r="D6947" s="1" t="s">
        <v>533</v>
      </c>
      <c r="E6947" s="1" t="s">
        <v>926</v>
      </c>
      <c r="F6947" s="1" t="s">
        <v>926</v>
      </c>
      <c r="G6947" s="1">
        <v>158.0</v>
      </c>
      <c r="H6947" s="1">
        <v>9.950205038</v>
      </c>
      <c r="I6947" s="1">
        <v>5.0</v>
      </c>
      <c r="J6947" s="1">
        <v>3.591575</v>
      </c>
    </row>
    <row r="6948">
      <c r="A6948" s="1">
        <v>2025.0</v>
      </c>
      <c r="B6948" s="1" t="s">
        <v>404</v>
      </c>
      <c r="C6948" s="1">
        <v>593974.0</v>
      </c>
      <c r="D6948" s="1" t="s">
        <v>532</v>
      </c>
      <c r="E6948" s="1" t="s">
        <v>926</v>
      </c>
      <c r="F6948" s="1" t="s">
        <v>927</v>
      </c>
      <c r="G6948" s="1">
        <v>319.0</v>
      </c>
      <c r="H6948" s="1">
        <v>20.08933802</v>
      </c>
      <c r="I6948" s="1">
        <v>5.21</v>
      </c>
      <c r="J6948" s="1">
        <v>5.525329</v>
      </c>
    </row>
    <row r="6949">
      <c r="A6949" s="1">
        <v>2025.0</v>
      </c>
      <c r="B6949" s="1" t="s">
        <v>404</v>
      </c>
      <c r="C6949" s="1">
        <v>593974.0</v>
      </c>
      <c r="D6949" s="1" t="s">
        <v>537</v>
      </c>
      <c r="E6949" s="1" t="s">
        <v>926</v>
      </c>
      <c r="F6949" s="1" t="s">
        <v>927</v>
      </c>
      <c r="G6949" s="1">
        <v>32.0</v>
      </c>
      <c r="H6949" s="1">
        <v>2.0152314</v>
      </c>
      <c r="I6949" s="1">
        <v>4.67</v>
      </c>
      <c r="J6949" s="1">
        <v>0.963269</v>
      </c>
    </row>
    <row r="6950">
      <c r="A6950" s="1">
        <v>2025.0</v>
      </c>
      <c r="B6950" s="1" t="s">
        <v>404</v>
      </c>
      <c r="C6950" s="1">
        <v>593974.0</v>
      </c>
      <c r="D6950" s="1" t="s">
        <v>536</v>
      </c>
      <c r="E6950" s="1" t="s">
        <v>926</v>
      </c>
      <c r="F6950" s="1" t="s">
        <v>927</v>
      </c>
      <c r="G6950" s="1">
        <v>243.0</v>
      </c>
      <c r="H6950" s="1">
        <v>15.30316344</v>
      </c>
      <c r="I6950" s="1">
        <v>4.65</v>
      </c>
      <c r="J6950" s="1">
        <v>7.199722</v>
      </c>
    </row>
    <row r="6951">
      <c r="A6951" s="1">
        <v>2025.0</v>
      </c>
      <c r="B6951" s="1" t="s">
        <v>404</v>
      </c>
      <c r="C6951" s="1">
        <v>593974.0</v>
      </c>
      <c r="D6951" s="1" t="s">
        <v>533</v>
      </c>
      <c r="E6951" s="1" t="s">
        <v>926</v>
      </c>
      <c r="F6951" s="1" t="s">
        <v>927</v>
      </c>
      <c r="G6951" s="1">
        <v>31.0</v>
      </c>
      <c r="H6951" s="1">
        <v>1.952255419</v>
      </c>
      <c r="I6951" s="1">
        <v>5.05</v>
      </c>
      <c r="J6951" s="1">
        <v>0.659011</v>
      </c>
    </row>
    <row r="6952">
      <c r="A6952" s="1">
        <v>2025.0</v>
      </c>
      <c r="B6952" s="1" t="s">
        <v>855</v>
      </c>
      <c r="C6952" s="1">
        <v>642215.0</v>
      </c>
      <c r="D6952" s="1" t="s">
        <v>537</v>
      </c>
      <c r="E6952" s="1" t="s">
        <v>927</v>
      </c>
      <c r="F6952" s="1" t="s">
        <v>926</v>
      </c>
      <c r="G6952" s="1">
        <v>4.0</v>
      </c>
      <c r="H6952" s="1">
        <v>1.090909091</v>
      </c>
      <c r="I6952" s="1">
        <v>3.68</v>
      </c>
      <c r="J6952" s="1">
        <v>0.187302</v>
      </c>
    </row>
    <row r="6953">
      <c r="A6953" s="1">
        <v>2025.0</v>
      </c>
      <c r="B6953" s="1" t="s">
        <v>855</v>
      </c>
      <c r="C6953" s="1">
        <v>642215.0</v>
      </c>
      <c r="D6953" s="1" t="s">
        <v>537</v>
      </c>
      <c r="E6953" s="1" t="s">
        <v>927</v>
      </c>
      <c r="F6953" s="1" t="s">
        <v>927</v>
      </c>
      <c r="G6953" s="1">
        <v>7.0</v>
      </c>
      <c r="H6953" s="1">
        <v>1.909090909</v>
      </c>
      <c r="I6953" s="1">
        <v>5.32</v>
      </c>
      <c r="J6953" s="1">
        <v>0.120674</v>
      </c>
    </row>
    <row r="6954">
      <c r="A6954" s="1">
        <v>2025.0</v>
      </c>
      <c r="B6954" s="1" t="s">
        <v>1015</v>
      </c>
      <c r="C6954" s="1">
        <v>682790.0</v>
      </c>
      <c r="D6954" s="1" t="s">
        <v>532</v>
      </c>
      <c r="E6954" s="1" t="s">
        <v>927</v>
      </c>
      <c r="F6954" s="1" t="s">
        <v>926</v>
      </c>
      <c r="G6954" s="1">
        <v>50.0</v>
      </c>
      <c r="H6954" s="1">
        <v>2.762681159</v>
      </c>
      <c r="I6954" s="1">
        <v>4.08</v>
      </c>
      <c r="J6954" s="1">
        <v>2.047819</v>
      </c>
    </row>
    <row r="6955">
      <c r="A6955" s="1">
        <v>2025.0</v>
      </c>
      <c r="B6955" s="1" t="s">
        <v>1015</v>
      </c>
      <c r="C6955" s="1">
        <v>682790.0</v>
      </c>
      <c r="D6955" s="1" t="s">
        <v>541</v>
      </c>
      <c r="E6955" s="1" t="s">
        <v>927</v>
      </c>
      <c r="F6955" s="1" t="s">
        <v>926</v>
      </c>
      <c r="G6955" s="1">
        <v>40.0</v>
      </c>
      <c r="H6955" s="1">
        <v>2.210144928</v>
      </c>
      <c r="I6955" s="1">
        <v>5.43</v>
      </c>
      <c r="J6955" s="1">
        <v>0.559541</v>
      </c>
    </row>
    <row r="6956">
      <c r="A6956" s="1">
        <v>2025.0</v>
      </c>
      <c r="B6956" s="1" t="s">
        <v>1015</v>
      </c>
      <c r="C6956" s="1">
        <v>682790.0</v>
      </c>
      <c r="D6956" s="1" t="s">
        <v>537</v>
      </c>
      <c r="E6956" s="1" t="s">
        <v>927</v>
      </c>
      <c r="F6956" s="1" t="s">
        <v>926</v>
      </c>
      <c r="G6956" s="1">
        <v>116.0</v>
      </c>
      <c r="H6956" s="1">
        <v>6.40942029</v>
      </c>
      <c r="I6956" s="1">
        <v>5.01</v>
      </c>
      <c r="J6956" s="1">
        <v>2.736951</v>
      </c>
    </row>
    <row r="6957">
      <c r="A6957" s="1">
        <v>2025.0</v>
      </c>
      <c r="B6957" s="1" t="s">
        <v>1015</v>
      </c>
      <c r="C6957" s="1">
        <v>682790.0</v>
      </c>
      <c r="D6957" s="1" t="s">
        <v>533</v>
      </c>
      <c r="E6957" s="1" t="s">
        <v>927</v>
      </c>
      <c r="F6957" s="1" t="s">
        <v>926</v>
      </c>
      <c r="G6957" s="1">
        <v>1.0</v>
      </c>
      <c r="H6957" s="1">
        <v>0.055253623</v>
      </c>
      <c r="I6957" s="1">
        <v>5.75</v>
      </c>
      <c r="J6957" s="1">
        <v>0.011025</v>
      </c>
    </row>
    <row r="6958">
      <c r="A6958" s="1">
        <v>2025.0</v>
      </c>
      <c r="B6958" s="1" t="s">
        <v>1015</v>
      </c>
      <c r="C6958" s="1">
        <v>682790.0</v>
      </c>
      <c r="D6958" s="1" t="s">
        <v>532</v>
      </c>
      <c r="E6958" s="1" t="s">
        <v>927</v>
      </c>
      <c r="F6958" s="1" t="s">
        <v>927</v>
      </c>
      <c r="G6958" s="1">
        <v>7.0</v>
      </c>
      <c r="H6958" s="1">
        <v>0.386775362</v>
      </c>
      <c r="I6958" s="1">
        <v>3.71</v>
      </c>
      <c r="J6958" s="1">
        <v>0.336181</v>
      </c>
    </row>
    <row r="6959">
      <c r="A6959" s="1">
        <v>2025.0</v>
      </c>
      <c r="B6959" s="1" t="s">
        <v>1015</v>
      </c>
      <c r="C6959" s="1">
        <v>682790.0</v>
      </c>
      <c r="D6959" s="1" t="s">
        <v>541</v>
      </c>
      <c r="E6959" s="1" t="s">
        <v>927</v>
      </c>
      <c r="F6959" s="1" t="s">
        <v>927</v>
      </c>
      <c r="G6959" s="1">
        <v>46.0</v>
      </c>
      <c r="H6959" s="1">
        <v>2.541666667</v>
      </c>
      <c r="I6959" s="1">
        <v>5.4</v>
      </c>
      <c r="J6959" s="1">
        <v>0.66237</v>
      </c>
    </row>
    <row r="6960">
      <c r="A6960" s="1">
        <v>2025.0</v>
      </c>
      <c r="B6960" s="1" t="s">
        <v>1015</v>
      </c>
      <c r="C6960" s="1">
        <v>682790.0</v>
      </c>
      <c r="D6960" s="1" t="s">
        <v>537</v>
      </c>
      <c r="E6960" s="1" t="s">
        <v>927</v>
      </c>
      <c r="F6960" s="1" t="s">
        <v>927</v>
      </c>
      <c r="G6960" s="1">
        <v>90.0</v>
      </c>
      <c r="H6960" s="1">
        <v>4.972826087</v>
      </c>
      <c r="I6960" s="1">
        <v>4.99</v>
      </c>
      <c r="J6960" s="1">
        <v>2.074557</v>
      </c>
    </row>
    <row r="6961">
      <c r="A6961" s="1">
        <v>2025.0</v>
      </c>
      <c r="B6961" s="1" t="s">
        <v>1015</v>
      </c>
      <c r="C6961" s="1">
        <v>682790.0</v>
      </c>
      <c r="D6961" s="1" t="s">
        <v>533</v>
      </c>
      <c r="E6961" s="1" t="s">
        <v>927</v>
      </c>
      <c r="F6961" s="1" t="s">
        <v>927</v>
      </c>
      <c r="G6961" s="1">
        <v>18.0</v>
      </c>
      <c r="H6961" s="1">
        <v>0.994565217</v>
      </c>
      <c r="I6961" s="1">
        <v>4.63</v>
      </c>
      <c r="J6961" s="1">
        <v>0.539291</v>
      </c>
    </row>
    <row r="6962">
      <c r="A6962" s="1">
        <v>2025.0</v>
      </c>
      <c r="B6962" s="1" t="s">
        <v>893</v>
      </c>
      <c r="C6962" s="1">
        <v>694361.0</v>
      </c>
      <c r="D6962" s="1" t="s">
        <v>541</v>
      </c>
      <c r="E6962" s="1" t="s">
        <v>927</v>
      </c>
      <c r="F6962" s="1" t="s">
        <v>926</v>
      </c>
      <c r="G6962" s="1">
        <v>37.0</v>
      </c>
      <c r="H6962" s="1">
        <v>1.86010929</v>
      </c>
      <c r="I6962" s="1">
        <v>5.13</v>
      </c>
      <c r="J6962" s="1">
        <v>0.692092</v>
      </c>
    </row>
    <row r="6963">
      <c r="A6963" s="1">
        <v>2025.0</v>
      </c>
      <c r="B6963" s="1" t="s">
        <v>893</v>
      </c>
      <c r="C6963" s="1">
        <v>694361.0</v>
      </c>
      <c r="D6963" s="1" t="s">
        <v>540</v>
      </c>
      <c r="E6963" s="1" t="s">
        <v>927</v>
      </c>
      <c r="F6963" s="1" t="s">
        <v>926</v>
      </c>
      <c r="G6963" s="1">
        <v>37.0</v>
      </c>
      <c r="H6963" s="1">
        <v>1.86010929</v>
      </c>
      <c r="I6963" s="1">
        <v>4.86</v>
      </c>
      <c r="J6963" s="1">
        <v>0.947419</v>
      </c>
    </row>
    <row r="6964">
      <c r="A6964" s="1">
        <v>2025.0</v>
      </c>
      <c r="B6964" s="1" t="s">
        <v>893</v>
      </c>
      <c r="C6964" s="1">
        <v>694361.0</v>
      </c>
      <c r="D6964" s="1" t="s">
        <v>537</v>
      </c>
      <c r="E6964" s="1" t="s">
        <v>927</v>
      </c>
      <c r="F6964" s="1" t="s">
        <v>926</v>
      </c>
      <c r="G6964" s="1">
        <v>86.0</v>
      </c>
      <c r="H6964" s="1">
        <v>4.323497268</v>
      </c>
      <c r="I6964" s="1">
        <v>5.01</v>
      </c>
      <c r="J6964" s="1">
        <v>1.870308</v>
      </c>
    </row>
    <row r="6965">
      <c r="A6965" s="1">
        <v>2025.0</v>
      </c>
      <c r="B6965" s="1" t="s">
        <v>893</v>
      </c>
      <c r="C6965" s="1">
        <v>694361.0</v>
      </c>
      <c r="D6965" s="1" t="s">
        <v>539</v>
      </c>
      <c r="E6965" s="1" t="s">
        <v>927</v>
      </c>
      <c r="F6965" s="1" t="s">
        <v>926</v>
      </c>
      <c r="G6965" s="1">
        <v>2.0</v>
      </c>
      <c r="H6965" s="1">
        <v>0.100546448</v>
      </c>
      <c r="I6965" s="1">
        <v>4.16</v>
      </c>
      <c r="J6965" s="1">
        <v>0.074641</v>
      </c>
    </row>
    <row r="6966">
      <c r="A6966" s="1">
        <v>2025.0</v>
      </c>
      <c r="B6966" s="1" t="s">
        <v>893</v>
      </c>
      <c r="C6966" s="1">
        <v>694361.0</v>
      </c>
      <c r="D6966" s="1" t="s">
        <v>541</v>
      </c>
      <c r="E6966" s="1" t="s">
        <v>927</v>
      </c>
      <c r="F6966" s="1" t="s">
        <v>927</v>
      </c>
      <c r="G6966" s="1">
        <v>30.0</v>
      </c>
      <c r="H6966" s="1">
        <v>1.508196721</v>
      </c>
      <c r="I6966" s="1">
        <v>5.21</v>
      </c>
      <c r="J6966" s="1">
        <v>0.516194</v>
      </c>
    </row>
    <row r="6967">
      <c r="A6967" s="1">
        <v>2025.0</v>
      </c>
      <c r="B6967" s="1" t="s">
        <v>893</v>
      </c>
      <c r="C6967" s="1">
        <v>694361.0</v>
      </c>
      <c r="D6967" s="1" t="s">
        <v>540</v>
      </c>
      <c r="E6967" s="1" t="s">
        <v>927</v>
      </c>
      <c r="F6967" s="1" t="s">
        <v>927</v>
      </c>
      <c r="G6967" s="1">
        <v>12.0</v>
      </c>
      <c r="H6967" s="1">
        <v>0.603278689</v>
      </c>
      <c r="I6967" s="1">
        <v>5.15</v>
      </c>
      <c r="J6967" s="1">
        <v>0.228514</v>
      </c>
    </row>
    <row r="6968">
      <c r="A6968" s="1">
        <v>2025.0</v>
      </c>
      <c r="B6968" s="1" t="s">
        <v>893</v>
      </c>
      <c r="C6968" s="1">
        <v>694361.0</v>
      </c>
      <c r="D6968" s="1" t="s">
        <v>537</v>
      </c>
      <c r="E6968" s="1" t="s">
        <v>927</v>
      </c>
      <c r="F6968" s="1" t="s">
        <v>927</v>
      </c>
      <c r="G6968" s="1">
        <v>89.0</v>
      </c>
      <c r="H6968" s="1">
        <v>4.47431694</v>
      </c>
      <c r="I6968" s="1">
        <v>5.06</v>
      </c>
      <c r="J6968" s="1">
        <v>1.891878</v>
      </c>
    </row>
    <row r="6969">
      <c r="A6969" s="1">
        <v>2025.0</v>
      </c>
      <c r="B6969" s="1" t="s">
        <v>893</v>
      </c>
      <c r="C6969" s="1">
        <v>694361.0</v>
      </c>
      <c r="D6969" s="1" t="s">
        <v>533</v>
      </c>
      <c r="E6969" s="1" t="s">
        <v>927</v>
      </c>
      <c r="F6969" s="1" t="s">
        <v>927</v>
      </c>
      <c r="G6969" s="1">
        <v>1.0</v>
      </c>
      <c r="H6969" s="1">
        <v>0.050273224</v>
      </c>
      <c r="I6969" s="1">
        <v>3.77</v>
      </c>
      <c r="J6969" s="1">
        <v>0.047357</v>
      </c>
    </row>
    <row r="6970">
      <c r="A6970" s="1">
        <v>2025.0</v>
      </c>
      <c r="B6970" s="1" t="s">
        <v>893</v>
      </c>
      <c r="C6970" s="1">
        <v>694361.0</v>
      </c>
      <c r="D6970" s="1" t="s">
        <v>539</v>
      </c>
      <c r="E6970" s="1" t="s">
        <v>927</v>
      </c>
      <c r="F6970" s="1" t="s">
        <v>927</v>
      </c>
      <c r="G6970" s="1">
        <v>11.0</v>
      </c>
      <c r="H6970" s="1">
        <v>0.553005464</v>
      </c>
      <c r="I6970" s="1">
        <v>4.26</v>
      </c>
      <c r="J6970" s="1">
        <v>0.408158</v>
      </c>
    </row>
    <row r="6971">
      <c r="A6971" s="1">
        <v>2025.0</v>
      </c>
      <c r="B6971" s="1" t="s">
        <v>131</v>
      </c>
      <c r="C6971" s="1">
        <v>676684.0</v>
      </c>
      <c r="D6971" s="1" t="s">
        <v>532</v>
      </c>
      <c r="E6971" s="1" t="s">
        <v>927</v>
      </c>
      <c r="F6971" s="1" t="s">
        <v>926</v>
      </c>
      <c r="G6971" s="1">
        <v>79.0</v>
      </c>
      <c r="H6971" s="1">
        <v>4.771034887</v>
      </c>
      <c r="I6971" s="1">
        <v>4.6</v>
      </c>
      <c r="J6971" s="1">
        <v>2.359744</v>
      </c>
    </row>
    <row r="6972">
      <c r="A6972" s="1">
        <v>2025.0</v>
      </c>
      <c r="B6972" s="1" t="s">
        <v>131</v>
      </c>
      <c r="C6972" s="1">
        <v>676684.0</v>
      </c>
      <c r="D6972" s="1" t="s">
        <v>537</v>
      </c>
      <c r="E6972" s="1" t="s">
        <v>927</v>
      </c>
      <c r="F6972" s="1" t="s">
        <v>926</v>
      </c>
      <c r="G6972" s="1">
        <v>332.0</v>
      </c>
      <c r="H6972" s="1">
        <v>20.0504251</v>
      </c>
      <c r="I6972" s="1">
        <v>5.17</v>
      </c>
      <c r="J6972" s="1">
        <v>6.296832</v>
      </c>
    </row>
    <row r="6973">
      <c r="A6973" s="1">
        <v>2025.0</v>
      </c>
      <c r="B6973" s="1" t="s">
        <v>131</v>
      </c>
      <c r="C6973" s="1">
        <v>676684.0</v>
      </c>
      <c r="D6973" s="1" t="s">
        <v>536</v>
      </c>
      <c r="E6973" s="1" t="s">
        <v>927</v>
      </c>
      <c r="F6973" s="1" t="s">
        <v>926</v>
      </c>
      <c r="G6973" s="1">
        <v>1.0</v>
      </c>
      <c r="H6973" s="1">
        <v>0.060392847</v>
      </c>
      <c r="I6973" s="1">
        <v>3.7</v>
      </c>
      <c r="J6973" s="1">
        <v>0.052413</v>
      </c>
    </row>
    <row r="6974">
      <c r="A6974" s="1">
        <v>2025.0</v>
      </c>
      <c r="B6974" s="1" t="s">
        <v>131</v>
      </c>
      <c r="C6974" s="1">
        <v>676684.0</v>
      </c>
      <c r="D6974" s="1" t="s">
        <v>533</v>
      </c>
      <c r="E6974" s="1" t="s">
        <v>927</v>
      </c>
      <c r="F6974" s="1" t="s">
        <v>926</v>
      </c>
      <c r="G6974" s="1">
        <v>123.0</v>
      </c>
      <c r="H6974" s="1">
        <v>7.428320141</v>
      </c>
      <c r="I6974" s="1">
        <v>5.31</v>
      </c>
      <c r="J6974" s="1">
        <v>1.882499</v>
      </c>
    </row>
    <row r="6975">
      <c r="A6975" s="1">
        <v>2025.0</v>
      </c>
      <c r="B6975" s="1" t="s">
        <v>131</v>
      </c>
      <c r="C6975" s="1">
        <v>676684.0</v>
      </c>
      <c r="D6975" s="1" t="s">
        <v>532</v>
      </c>
      <c r="E6975" s="1" t="s">
        <v>927</v>
      </c>
      <c r="F6975" s="1" t="s">
        <v>927</v>
      </c>
      <c r="G6975" s="1">
        <v>1.0</v>
      </c>
      <c r="H6975" s="1">
        <v>0.060392847</v>
      </c>
      <c r="I6975" s="1">
        <v>3.67</v>
      </c>
      <c r="J6975" s="1">
        <v>0.042858</v>
      </c>
    </row>
    <row r="6976">
      <c r="A6976" s="1">
        <v>2025.0</v>
      </c>
      <c r="B6976" s="1" t="s">
        <v>131</v>
      </c>
      <c r="C6976" s="1">
        <v>676684.0</v>
      </c>
      <c r="D6976" s="1" t="s">
        <v>537</v>
      </c>
      <c r="E6976" s="1" t="s">
        <v>927</v>
      </c>
      <c r="F6976" s="1" t="s">
        <v>927</v>
      </c>
      <c r="G6976" s="1">
        <v>265.0</v>
      </c>
      <c r="H6976" s="1">
        <v>16.00410437</v>
      </c>
      <c r="I6976" s="1">
        <v>5.31</v>
      </c>
      <c r="J6976" s="1">
        <v>4.208904</v>
      </c>
    </row>
    <row r="6977">
      <c r="A6977" s="1">
        <v>2025.0</v>
      </c>
      <c r="B6977" s="1" t="s">
        <v>131</v>
      </c>
      <c r="C6977" s="1">
        <v>676684.0</v>
      </c>
      <c r="D6977" s="1" t="s">
        <v>536</v>
      </c>
      <c r="E6977" s="1" t="s">
        <v>927</v>
      </c>
      <c r="F6977" s="1" t="s">
        <v>927</v>
      </c>
      <c r="G6977" s="1">
        <v>188.0</v>
      </c>
      <c r="H6977" s="1">
        <v>11.35385517</v>
      </c>
      <c r="I6977" s="1">
        <v>5.08</v>
      </c>
      <c r="J6977" s="1">
        <v>4.008246</v>
      </c>
    </row>
    <row r="6978">
      <c r="A6978" s="1">
        <v>2025.0</v>
      </c>
      <c r="B6978" s="1" t="s">
        <v>131</v>
      </c>
      <c r="C6978" s="1">
        <v>676684.0</v>
      </c>
      <c r="D6978" s="1" t="s">
        <v>533</v>
      </c>
      <c r="E6978" s="1" t="s">
        <v>927</v>
      </c>
      <c r="F6978" s="1" t="s">
        <v>927</v>
      </c>
      <c r="G6978" s="1">
        <v>148.0</v>
      </c>
      <c r="H6978" s="1">
        <v>8.938141308</v>
      </c>
      <c r="I6978" s="1">
        <v>5.41</v>
      </c>
      <c r="J6978" s="1">
        <v>2.018035</v>
      </c>
    </row>
    <row r="6979">
      <c r="A6979" s="1">
        <v>2025.0</v>
      </c>
      <c r="B6979" s="1" t="s">
        <v>344</v>
      </c>
      <c r="C6979" s="1">
        <v>701542.0</v>
      </c>
      <c r="D6979" s="1" t="s">
        <v>532</v>
      </c>
      <c r="E6979" s="1" t="s">
        <v>927</v>
      </c>
      <c r="F6979" s="1" t="s">
        <v>926</v>
      </c>
      <c r="G6979" s="1">
        <v>265.0</v>
      </c>
      <c r="H6979" s="1">
        <v>15.3582054</v>
      </c>
      <c r="I6979" s="1">
        <v>4.79</v>
      </c>
      <c r="J6979" s="1">
        <v>6.718724</v>
      </c>
    </row>
    <row r="6980">
      <c r="A6980" s="1">
        <v>2025.0</v>
      </c>
      <c r="B6980" s="1" t="s">
        <v>344</v>
      </c>
      <c r="C6980" s="1">
        <v>701542.0</v>
      </c>
      <c r="D6980" s="1" t="s">
        <v>541</v>
      </c>
      <c r="E6980" s="1" t="s">
        <v>927</v>
      </c>
      <c r="F6980" s="1" t="s">
        <v>926</v>
      </c>
      <c r="G6980" s="1">
        <v>185.0</v>
      </c>
      <c r="H6980" s="1">
        <v>10.72176604</v>
      </c>
      <c r="I6980" s="1">
        <v>4.67</v>
      </c>
      <c r="J6980" s="1">
        <v>5.119301</v>
      </c>
    </row>
    <row r="6981">
      <c r="A6981" s="1">
        <v>2025.0</v>
      </c>
      <c r="B6981" s="1" t="s">
        <v>344</v>
      </c>
      <c r="C6981" s="1">
        <v>701542.0</v>
      </c>
      <c r="D6981" s="1" t="s">
        <v>537</v>
      </c>
      <c r="E6981" s="1" t="s">
        <v>927</v>
      </c>
      <c r="F6981" s="1" t="s">
        <v>926</v>
      </c>
      <c r="G6981" s="1">
        <v>751.0</v>
      </c>
      <c r="H6981" s="1">
        <v>43.52457456</v>
      </c>
      <c r="I6981" s="1">
        <v>4.92</v>
      </c>
      <c r="J6981" s="1">
        <v>18.095381</v>
      </c>
    </row>
    <row r="6982">
      <c r="A6982" s="1">
        <v>2025.0</v>
      </c>
      <c r="B6982" s="1" t="s">
        <v>344</v>
      </c>
      <c r="C6982" s="1">
        <v>701542.0</v>
      </c>
      <c r="D6982" s="1" t="s">
        <v>536</v>
      </c>
      <c r="E6982" s="1" t="s">
        <v>927</v>
      </c>
      <c r="F6982" s="1" t="s">
        <v>926</v>
      </c>
      <c r="G6982" s="1">
        <v>111.0</v>
      </c>
      <c r="H6982" s="1">
        <v>6.433059622</v>
      </c>
      <c r="I6982" s="1">
        <v>4.72</v>
      </c>
      <c r="J6982" s="1">
        <v>3.056216</v>
      </c>
    </row>
    <row r="6983">
      <c r="A6983" s="1">
        <v>2025.0</v>
      </c>
      <c r="B6983" s="1" t="s">
        <v>344</v>
      </c>
      <c r="C6983" s="1">
        <v>701542.0</v>
      </c>
      <c r="D6983" s="1" t="s">
        <v>539</v>
      </c>
      <c r="E6983" s="1" t="s">
        <v>927</v>
      </c>
      <c r="F6983" s="1" t="s">
        <v>926</v>
      </c>
      <c r="G6983" s="1">
        <v>260.0</v>
      </c>
      <c r="H6983" s="1">
        <v>15.06842794</v>
      </c>
      <c r="I6983" s="1">
        <v>5.26</v>
      </c>
      <c r="J6983" s="1">
        <v>4.30302</v>
      </c>
    </row>
    <row r="6984">
      <c r="A6984" s="1">
        <v>2025.0</v>
      </c>
      <c r="B6984" s="1" t="s">
        <v>344</v>
      </c>
      <c r="C6984" s="1">
        <v>701542.0</v>
      </c>
      <c r="D6984" s="1" t="s">
        <v>532</v>
      </c>
      <c r="E6984" s="1" t="s">
        <v>927</v>
      </c>
      <c r="F6984" s="1" t="s">
        <v>927</v>
      </c>
      <c r="G6984" s="1">
        <v>10.0</v>
      </c>
      <c r="H6984" s="1">
        <v>0.579554921</v>
      </c>
      <c r="I6984" s="1">
        <v>4.74</v>
      </c>
      <c r="J6984" s="1">
        <v>0.240729</v>
      </c>
    </row>
    <row r="6985">
      <c r="A6985" s="1">
        <v>2025.0</v>
      </c>
      <c r="B6985" s="1" t="s">
        <v>344</v>
      </c>
      <c r="C6985" s="1">
        <v>701542.0</v>
      </c>
      <c r="D6985" s="1" t="s">
        <v>541</v>
      </c>
      <c r="E6985" s="1" t="s">
        <v>927</v>
      </c>
      <c r="F6985" s="1" t="s">
        <v>927</v>
      </c>
      <c r="G6985" s="1">
        <v>11.0</v>
      </c>
      <c r="H6985" s="1">
        <v>0.637510413</v>
      </c>
      <c r="I6985" s="1">
        <v>4.54</v>
      </c>
      <c r="J6985" s="1">
        <v>0.350457</v>
      </c>
    </row>
    <row r="6986">
      <c r="A6986" s="1">
        <v>2025.0</v>
      </c>
      <c r="B6986" s="1" t="s">
        <v>344</v>
      </c>
      <c r="C6986" s="1">
        <v>701542.0</v>
      </c>
      <c r="D6986" s="1" t="s">
        <v>537</v>
      </c>
      <c r="E6986" s="1" t="s">
        <v>927</v>
      </c>
      <c r="F6986" s="1" t="s">
        <v>927</v>
      </c>
      <c r="G6986" s="1">
        <v>413.0</v>
      </c>
      <c r="H6986" s="1">
        <v>23.93561823</v>
      </c>
      <c r="I6986" s="1">
        <v>4.92</v>
      </c>
      <c r="J6986" s="1">
        <v>9.797221</v>
      </c>
    </row>
    <row r="6987">
      <c r="A6987" s="1">
        <v>2025.0</v>
      </c>
      <c r="B6987" s="1" t="s">
        <v>344</v>
      </c>
      <c r="C6987" s="1">
        <v>701542.0</v>
      </c>
      <c r="D6987" s="1" t="s">
        <v>536</v>
      </c>
      <c r="E6987" s="1" t="s">
        <v>927</v>
      </c>
      <c r="F6987" s="1" t="s">
        <v>927</v>
      </c>
      <c r="G6987" s="1">
        <v>477.0</v>
      </c>
      <c r="H6987" s="1">
        <v>27.64476973</v>
      </c>
      <c r="I6987" s="1">
        <v>5.06</v>
      </c>
      <c r="J6987" s="1">
        <v>9.857857</v>
      </c>
    </row>
    <row r="6988">
      <c r="A6988" s="1">
        <v>2025.0</v>
      </c>
      <c r="B6988" s="1" t="s">
        <v>344</v>
      </c>
      <c r="C6988" s="1">
        <v>701542.0</v>
      </c>
      <c r="D6988" s="1" t="s">
        <v>539</v>
      </c>
      <c r="E6988" s="1" t="s">
        <v>927</v>
      </c>
      <c r="F6988" s="1" t="s">
        <v>927</v>
      </c>
      <c r="G6988" s="1">
        <v>318.0</v>
      </c>
      <c r="H6988" s="1">
        <v>18.42984648</v>
      </c>
      <c r="I6988" s="1">
        <v>5.35</v>
      </c>
      <c r="J6988" s="1">
        <v>4.519288</v>
      </c>
    </row>
    <row r="6989">
      <c r="A6989" s="1">
        <v>2025.0</v>
      </c>
      <c r="B6989" s="1" t="s">
        <v>799</v>
      </c>
      <c r="C6989" s="1">
        <v>669717.0</v>
      </c>
      <c r="D6989" s="1" t="s">
        <v>532</v>
      </c>
      <c r="E6989" s="1" t="s">
        <v>927</v>
      </c>
      <c r="F6989" s="1" t="s">
        <v>926</v>
      </c>
      <c r="G6989" s="1">
        <v>7.0</v>
      </c>
      <c r="H6989" s="1">
        <v>0.538461538</v>
      </c>
      <c r="I6989" s="1">
        <v>5.04</v>
      </c>
      <c r="J6989" s="1">
        <v>0.153976</v>
      </c>
    </row>
    <row r="6990">
      <c r="A6990" s="1">
        <v>2025.0</v>
      </c>
      <c r="B6990" s="1" t="s">
        <v>799</v>
      </c>
      <c r="C6990" s="1">
        <v>669717.0</v>
      </c>
      <c r="D6990" s="1" t="s">
        <v>541</v>
      </c>
      <c r="E6990" s="1" t="s">
        <v>927</v>
      </c>
      <c r="F6990" s="1" t="s">
        <v>926</v>
      </c>
      <c r="G6990" s="1">
        <v>1.0</v>
      </c>
      <c r="H6990" s="1">
        <v>0.076923077</v>
      </c>
      <c r="I6990" s="1">
        <v>3.59</v>
      </c>
      <c r="J6990" s="1">
        <v>0.050911</v>
      </c>
    </row>
    <row r="6991">
      <c r="A6991" s="1">
        <v>2025.0</v>
      </c>
      <c r="B6991" s="1" t="s">
        <v>799</v>
      </c>
      <c r="C6991" s="1">
        <v>669717.0</v>
      </c>
      <c r="D6991" s="1" t="s">
        <v>533</v>
      </c>
      <c r="E6991" s="1" t="s">
        <v>927</v>
      </c>
      <c r="F6991" s="1" t="s">
        <v>926</v>
      </c>
      <c r="G6991" s="1">
        <v>5.0</v>
      </c>
      <c r="H6991" s="1">
        <v>0.384615385</v>
      </c>
      <c r="I6991" s="1">
        <v>4.7</v>
      </c>
      <c r="J6991" s="1">
        <v>0.14389</v>
      </c>
    </row>
    <row r="6992">
      <c r="A6992" s="1">
        <v>2025.0</v>
      </c>
      <c r="B6992" s="1" t="s">
        <v>799</v>
      </c>
      <c r="C6992" s="1">
        <v>669717.0</v>
      </c>
      <c r="D6992" s="1" t="s">
        <v>532</v>
      </c>
      <c r="E6992" s="1" t="s">
        <v>927</v>
      </c>
      <c r="F6992" s="1" t="s">
        <v>927</v>
      </c>
      <c r="G6992" s="1">
        <v>2.0</v>
      </c>
      <c r="H6992" s="1">
        <v>0.153846154</v>
      </c>
      <c r="I6992" s="1">
        <v>2.06</v>
      </c>
      <c r="J6992" s="1">
        <v>0.155348</v>
      </c>
    </row>
    <row r="6993">
      <c r="A6993" s="1">
        <v>2025.0</v>
      </c>
      <c r="B6993" s="1" t="s">
        <v>799</v>
      </c>
      <c r="C6993" s="1">
        <v>669717.0</v>
      </c>
      <c r="D6993" s="1" t="s">
        <v>541</v>
      </c>
      <c r="E6993" s="1" t="s">
        <v>927</v>
      </c>
      <c r="F6993" s="1" t="s">
        <v>927</v>
      </c>
      <c r="G6993" s="1">
        <v>1.0</v>
      </c>
      <c r="H6993" s="1">
        <v>0.076923077</v>
      </c>
      <c r="I6993" s="1">
        <v>3.55</v>
      </c>
      <c r="J6993" s="1">
        <v>0.053768</v>
      </c>
    </row>
    <row r="6994">
      <c r="A6994" s="1">
        <v>2025.0</v>
      </c>
      <c r="B6994" s="1" t="s">
        <v>799</v>
      </c>
      <c r="C6994" s="1">
        <v>669717.0</v>
      </c>
      <c r="D6994" s="1" t="s">
        <v>533</v>
      </c>
      <c r="E6994" s="1" t="s">
        <v>927</v>
      </c>
      <c r="F6994" s="1" t="s">
        <v>927</v>
      </c>
      <c r="G6994" s="1">
        <v>10.0</v>
      </c>
      <c r="H6994" s="1">
        <v>0.769230769</v>
      </c>
      <c r="I6994" s="1">
        <v>3.79</v>
      </c>
      <c r="J6994" s="1">
        <v>0.468341</v>
      </c>
    </row>
    <row r="6995">
      <c r="A6995" s="1">
        <v>2025.0</v>
      </c>
      <c r="B6995" s="1" t="s">
        <v>740</v>
      </c>
      <c r="C6995" s="1">
        <v>650489.0</v>
      </c>
      <c r="D6995" s="1" t="s">
        <v>537</v>
      </c>
      <c r="E6995" s="1" t="s">
        <v>927</v>
      </c>
      <c r="F6995" s="1" t="s">
        <v>926</v>
      </c>
      <c r="G6995" s="1">
        <v>1.0</v>
      </c>
      <c r="H6995" s="1">
        <v>0.5</v>
      </c>
      <c r="I6995" s="1">
        <v>3.3</v>
      </c>
      <c r="J6995" s="1">
        <v>0.05653</v>
      </c>
    </row>
    <row r="6996">
      <c r="A6996" s="1">
        <v>2025.0</v>
      </c>
      <c r="B6996" s="1" t="s">
        <v>740</v>
      </c>
      <c r="C6996" s="1">
        <v>650489.0</v>
      </c>
      <c r="D6996" s="1" t="s">
        <v>537</v>
      </c>
      <c r="E6996" s="1" t="s">
        <v>927</v>
      </c>
      <c r="F6996" s="1" t="s">
        <v>927</v>
      </c>
      <c r="G6996" s="1">
        <v>1.0</v>
      </c>
      <c r="H6996" s="1">
        <v>0.5</v>
      </c>
      <c r="I6996" s="1">
        <v>7.62</v>
      </c>
      <c r="J6996" s="1">
        <v>-0.029767</v>
      </c>
    </row>
    <row r="6997">
      <c r="A6997" s="1">
        <v>2025.0</v>
      </c>
      <c r="B6997" s="1" t="s">
        <v>725</v>
      </c>
      <c r="C6997" s="1">
        <v>675540.0</v>
      </c>
      <c r="D6997" s="1" t="s">
        <v>541</v>
      </c>
      <c r="E6997" s="1" t="s">
        <v>927</v>
      </c>
      <c r="F6997" s="1" t="s">
        <v>926</v>
      </c>
      <c r="G6997" s="1">
        <v>4.0</v>
      </c>
      <c r="H6997" s="1">
        <v>0.214285714</v>
      </c>
      <c r="I6997" s="1">
        <v>3.97</v>
      </c>
      <c r="J6997" s="1">
        <v>0.162978</v>
      </c>
    </row>
    <row r="6998">
      <c r="A6998" s="1">
        <v>2025.0</v>
      </c>
      <c r="B6998" s="1" t="s">
        <v>725</v>
      </c>
      <c r="C6998" s="1">
        <v>675540.0</v>
      </c>
      <c r="D6998" s="1" t="s">
        <v>537</v>
      </c>
      <c r="E6998" s="1" t="s">
        <v>927</v>
      </c>
      <c r="F6998" s="1" t="s">
        <v>926</v>
      </c>
      <c r="G6998" s="1">
        <v>7.0</v>
      </c>
      <c r="H6998" s="1">
        <v>0.375</v>
      </c>
      <c r="I6998" s="1">
        <v>2.62</v>
      </c>
      <c r="J6998" s="1">
        <v>0.463638</v>
      </c>
    </row>
    <row r="6999">
      <c r="A6999" s="1">
        <v>2025.0</v>
      </c>
      <c r="B6999" s="1" t="s">
        <v>725</v>
      </c>
      <c r="C6999" s="1">
        <v>675540.0</v>
      </c>
      <c r="D6999" s="1" t="s">
        <v>538</v>
      </c>
      <c r="E6999" s="1" t="s">
        <v>927</v>
      </c>
      <c r="F6999" s="1" t="s">
        <v>926</v>
      </c>
      <c r="G6999" s="1">
        <v>3.0</v>
      </c>
      <c r="H6999" s="1">
        <v>0.160714286</v>
      </c>
      <c r="I6999" s="1">
        <v>3.37</v>
      </c>
      <c r="J6999" s="1">
        <v>0.161544</v>
      </c>
    </row>
    <row r="7000">
      <c r="A7000" s="1">
        <v>2025.0</v>
      </c>
      <c r="B7000" s="1" t="s">
        <v>725</v>
      </c>
      <c r="C7000" s="1">
        <v>675540.0</v>
      </c>
      <c r="D7000" s="1" t="s">
        <v>533</v>
      </c>
      <c r="E7000" s="1" t="s">
        <v>927</v>
      </c>
      <c r="F7000" s="1" t="s">
        <v>926</v>
      </c>
      <c r="G7000" s="1">
        <v>10.0</v>
      </c>
      <c r="H7000" s="1">
        <v>0.535714286</v>
      </c>
      <c r="I7000" s="1">
        <v>5.22</v>
      </c>
      <c r="J7000" s="1">
        <v>0.169646</v>
      </c>
    </row>
    <row r="7001">
      <c r="A7001" s="1">
        <v>2025.0</v>
      </c>
      <c r="B7001" s="1" t="s">
        <v>725</v>
      </c>
      <c r="C7001" s="1">
        <v>675540.0</v>
      </c>
      <c r="D7001" s="1" t="s">
        <v>539</v>
      </c>
      <c r="E7001" s="1" t="s">
        <v>927</v>
      </c>
      <c r="F7001" s="1" t="s">
        <v>926</v>
      </c>
      <c r="G7001" s="1">
        <v>2.0</v>
      </c>
      <c r="H7001" s="1">
        <v>0.107142857</v>
      </c>
      <c r="I7001" s="1">
        <v>4.5</v>
      </c>
      <c r="J7001" s="1">
        <v>0.067482</v>
      </c>
    </row>
    <row r="7002">
      <c r="A7002" s="1">
        <v>2025.0</v>
      </c>
      <c r="B7002" s="1" t="s">
        <v>725</v>
      </c>
      <c r="C7002" s="1">
        <v>675540.0</v>
      </c>
      <c r="D7002" s="1" t="s">
        <v>541</v>
      </c>
      <c r="E7002" s="1" t="s">
        <v>927</v>
      </c>
      <c r="F7002" s="1" t="s">
        <v>927</v>
      </c>
      <c r="G7002" s="1">
        <v>6.0</v>
      </c>
      <c r="H7002" s="1">
        <v>0.321428571</v>
      </c>
      <c r="I7002" s="1">
        <v>4.62</v>
      </c>
      <c r="J7002" s="1">
        <v>0.168177</v>
      </c>
    </row>
    <row r="7003">
      <c r="A7003" s="1">
        <v>2025.0</v>
      </c>
      <c r="B7003" s="1" t="s">
        <v>725</v>
      </c>
      <c r="C7003" s="1">
        <v>675540.0</v>
      </c>
      <c r="D7003" s="1" t="s">
        <v>537</v>
      </c>
      <c r="E7003" s="1" t="s">
        <v>927</v>
      </c>
      <c r="F7003" s="1" t="s">
        <v>927</v>
      </c>
      <c r="G7003" s="1">
        <v>14.0</v>
      </c>
      <c r="H7003" s="1">
        <v>0.75</v>
      </c>
      <c r="I7003" s="1">
        <v>4.67</v>
      </c>
      <c r="J7003" s="1">
        <v>0.375035</v>
      </c>
    </row>
    <row r="7004">
      <c r="A7004" s="1">
        <v>2025.0</v>
      </c>
      <c r="B7004" s="1" t="s">
        <v>725</v>
      </c>
      <c r="C7004" s="1">
        <v>675540.0</v>
      </c>
      <c r="D7004" s="1" t="s">
        <v>533</v>
      </c>
      <c r="E7004" s="1" t="s">
        <v>927</v>
      </c>
      <c r="F7004" s="1" t="s">
        <v>927</v>
      </c>
      <c r="G7004" s="1">
        <v>9.0</v>
      </c>
      <c r="H7004" s="1">
        <v>0.482142857</v>
      </c>
      <c r="I7004" s="1">
        <v>5.18</v>
      </c>
      <c r="J7004" s="1">
        <v>0.145911</v>
      </c>
    </row>
    <row r="7005">
      <c r="A7005" s="1">
        <v>2025.0</v>
      </c>
      <c r="B7005" s="1" t="s">
        <v>725</v>
      </c>
      <c r="C7005" s="1">
        <v>675540.0</v>
      </c>
      <c r="D7005" s="1" t="s">
        <v>539</v>
      </c>
      <c r="E7005" s="1" t="s">
        <v>927</v>
      </c>
      <c r="F7005" s="1" t="s">
        <v>927</v>
      </c>
      <c r="G7005" s="1">
        <v>1.0</v>
      </c>
      <c r="H7005" s="1">
        <v>0.053571429</v>
      </c>
      <c r="I7005" s="1">
        <v>5.9</v>
      </c>
      <c r="J7005" s="1">
        <v>0.006793</v>
      </c>
    </row>
    <row r="7006">
      <c r="A7006" s="1">
        <v>2025.0</v>
      </c>
      <c r="B7006" s="1" t="s">
        <v>843</v>
      </c>
      <c r="C7006" s="1">
        <v>682274.0</v>
      </c>
      <c r="D7006" s="1" t="s">
        <v>532</v>
      </c>
      <c r="E7006" s="1" t="s">
        <v>927</v>
      </c>
      <c r="F7006" s="1" t="s">
        <v>926</v>
      </c>
      <c r="G7006" s="1">
        <v>84.0</v>
      </c>
      <c r="H7006" s="1">
        <v>5.277955272</v>
      </c>
      <c r="I7006" s="1">
        <v>4.71</v>
      </c>
      <c r="J7006" s="1">
        <v>2.281035</v>
      </c>
    </row>
    <row r="7007">
      <c r="A7007" s="1">
        <v>2025.0</v>
      </c>
      <c r="B7007" s="1" t="s">
        <v>843</v>
      </c>
      <c r="C7007" s="1">
        <v>682274.0</v>
      </c>
      <c r="D7007" s="1" t="s">
        <v>537</v>
      </c>
      <c r="E7007" s="1" t="s">
        <v>927</v>
      </c>
      <c r="F7007" s="1" t="s">
        <v>926</v>
      </c>
      <c r="G7007" s="1">
        <v>54.0</v>
      </c>
      <c r="H7007" s="1">
        <v>3.392971246</v>
      </c>
      <c r="I7007" s="1">
        <v>4.65</v>
      </c>
      <c r="J7007" s="1">
        <v>1.622766</v>
      </c>
    </row>
    <row r="7008">
      <c r="A7008" s="1">
        <v>2025.0</v>
      </c>
      <c r="B7008" s="1" t="s">
        <v>843</v>
      </c>
      <c r="C7008" s="1">
        <v>682274.0</v>
      </c>
      <c r="D7008" s="1" t="s">
        <v>533</v>
      </c>
      <c r="E7008" s="1" t="s">
        <v>927</v>
      </c>
      <c r="F7008" s="1" t="s">
        <v>926</v>
      </c>
      <c r="G7008" s="1">
        <v>11.0</v>
      </c>
      <c r="H7008" s="1">
        <v>0.691160809</v>
      </c>
      <c r="I7008" s="1">
        <v>5.48</v>
      </c>
      <c r="J7008" s="1">
        <v>0.135563</v>
      </c>
    </row>
    <row r="7009">
      <c r="A7009" s="1">
        <v>2025.0</v>
      </c>
      <c r="B7009" s="1" t="s">
        <v>843</v>
      </c>
      <c r="C7009" s="1">
        <v>682274.0</v>
      </c>
      <c r="D7009" s="1" t="s">
        <v>532</v>
      </c>
      <c r="E7009" s="1" t="s">
        <v>927</v>
      </c>
      <c r="F7009" s="1" t="s">
        <v>927</v>
      </c>
      <c r="G7009" s="1">
        <v>26.0</v>
      </c>
      <c r="H7009" s="1">
        <v>1.633652822</v>
      </c>
      <c r="I7009" s="1">
        <v>4.43</v>
      </c>
      <c r="J7009" s="1">
        <v>0.847699</v>
      </c>
    </row>
    <row r="7010">
      <c r="A7010" s="1">
        <v>2025.0</v>
      </c>
      <c r="B7010" s="1" t="s">
        <v>843</v>
      </c>
      <c r="C7010" s="1">
        <v>682274.0</v>
      </c>
      <c r="D7010" s="1" t="s">
        <v>537</v>
      </c>
      <c r="E7010" s="1" t="s">
        <v>927</v>
      </c>
      <c r="F7010" s="1" t="s">
        <v>927</v>
      </c>
      <c r="G7010" s="1">
        <v>67.0</v>
      </c>
      <c r="H7010" s="1">
        <v>4.209797657</v>
      </c>
      <c r="I7010" s="1">
        <v>5.3</v>
      </c>
      <c r="J7010" s="1">
        <v>1.157143</v>
      </c>
    </row>
    <row r="7011">
      <c r="A7011" s="1">
        <v>2025.0</v>
      </c>
      <c r="B7011" s="1" t="s">
        <v>843</v>
      </c>
      <c r="C7011" s="1">
        <v>682274.0</v>
      </c>
      <c r="D7011" s="1" t="s">
        <v>533</v>
      </c>
      <c r="E7011" s="1" t="s">
        <v>927</v>
      </c>
      <c r="F7011" s="1" t="s">
        <v>927</v>
      </c>
      <c r="G7011" s="1">
        <v>71.0</v>
      </c>
      <c r="H7011" s="1">
        <v>4.46112886</v>
      </c>
      <c r="I7011" s="1">
        <v>4.94</v>
      </c>
      <c r="J7011" s="1">
        <v>1.674031</v>
      </c>
    </row>
    <row r="7012">
      <c r="A7012" s="1">
        <v>2025.0</v>
      </c>
      <c r="B7012" s="1" t="s">
        <v>427</v>
      </c>
      <c r="C7012" s="1">
        <v>684320.0</v>
      </c>
      <c r="D7012" s="1" t="s">
        <v>537</v>
      </c>
      <c r="E7012" s="1" t="s">
        <v>927</v>
      </c>
      <c r="F7012" s="1" t="s">
        <v>926</v>
      </c>
      <c r="G7012" s="1">
        <v>212.0</v>
      </c>
      <c r="H7012" s="1">
        <v>13.37597234</v>
      </c>
      <c r="I7012" s="1">
        <v>4.52</v>
      </c>
      <c r="J7012" s="1">
        <v>6.838076</v>
      </c>
    </row>
    <row r="7013">
      <c r="A7013" s="1">
        <v>2025.0</v>
      </c>
      <c r="B7013" s="1" t="s">
        <v>427</v>
      </c>
      <c r="C7013" s="1">
        <v>684320.0</v>
      </c>
      <c r="D7013" s="1" t="s">
        <v>538</v>
      </c>
      <c r="E7013" s="1" t="s">
        <v>927</v>
      </c>
      <c r="F7013" s="1" t="s">
        <v>926</v>
      </c>
      <c r="G7013" s="1">
        <v>118.0</v>
      </c>
      <c r="H7013" s="1">
        <v>7.445116681</v>
      </c>
      <c r="I7013" s="1">
        <v>4.51</v>
      </c>
      <c r="J7013" s="1">
        <v>3.614017</v>
      </c>
    </row>
    <row r="7014">
      <c r="A7014" s="1">
        <v>2025.0</v>
      </c>
      <c r="B7014" s="1" t="s">
        <v>427</v>
      </c>
      <c r="C7014" s="1">
        <v>684320.0</v>
      </c>
      <c r="D7014" s="1" t="s">
        <v>536</v>
      </c>
      <c r="E7014" s="1" t="s">
        <v>927</v>
      </c>
      <c r="F7014" s="1" t="s">
        <v>926</v>
      </c>
      <c r="G7014" s="1">
        <v>13.0</v>
      </c>
      <c r="H7014" s="1">
        <v>0.820224719</v>
      </c>
      <c r="I7014" s="1">
        <v>5.15</v>
      </c>
      <c r="J7014" s="1">
        <v>0.248992</v>
      </c>
    </row>
    <row r="7015">
      <c r="A7015" s="1">
        <v>2025.0</v>
      </c>
      <c r="B7015" s="1" t="s">
        <v>427</v>
      </c>
      <c r="C7015" s="1">
        <v>684320.0</v>
      </c>
      <c r="D7015" s="1" t="s">
        <v>533</v>
      </c>
      <c r="E7015" s="1" t="s">
        <v>927</v>
      </c>
      <c r="F7015" s="1" t="s">
        <v>926</v>
      </c>
      <c r="G7015" s="1">
        <v>123.0</v>
      </c>
      <c r="H7015" s="1">
        <v>7.760587727</v>
      </c>
      <c r="I7015" s="1">
        <v>4.91</v>
      </c>
      <c r="J7015" s="1">
        <v>2.899477</v>
      </c>
    </row>
    <row r="7016">
      <c r="A7016" s="1">
        <v>2025.0</v>
      </c>
      <c r="B7016" s="1" t="s">
        <v>427</v>
      </c>
      <c r="C7016" s="1">
        <v>684320.0</v>
      </c>
      <c r="D7016" s="1" t="s">
        <v>537</v>
      </c>
      <c r="E7016" s="1" t="s">
        <v>927</v>
      </c>
      <c r="F7016" s="1" t="s">
        <v>927</v>
      </c>
      <c r="G7016" s="1">
        <v>261.0</v>
      </c>
      <c r="H7016" s="1">
        <v>16.46758859</v>
      </c>
      <c r="I7016" s="1">
        <v>4.79</v>
      </c>
      <c r="J7016" s="1">
        <v>7.095392</v>
      </c>
    </row>
    <row r="7017">
      <c r="A7017" s="1">
        <v>2025.0</v>
      </c>
      <c r="B7017" s="1" t="s">
        <v>427</v>
      </c>
      <c r="C7017" s="1">
        <v>684320.0</v>
      </c>
      <c r="D7017" s="1" t="s">
        <v>538</v>
      </c>
      <c r="E7017" s="1" t="s">
        <v>927</v>
      </c>
      <c r="F7017" s="1" t="s">
        <v>927</v>
      </c>
      <c r="G7017" s="1">
        <v>21.0</v>
      </c>
      <c r="H7017" s="1">
        <v>1.324978392</v>
      </c>
      <c r="I7017" s="1">
        <v>5.31</v>
      </c>
      <c r="J7017" s="1">
        <v>0.314452</v>
      </c>
    </row>
    <row r="7018">
      <c r="A7018" s="1">
        <v>2025.0</v>
      </c>
      <c r="B7018" s="1" t="s">
        <v>427</v>
      </c>
      <c r="C7018" s="1">
        <v>684320.0</v>
      </c>
      <c r="D7018" s="1" t="s">
        <v>536</v>
      </c>
      <c r="E7018" s="1" t="s">
        <v>927</v>
      </c>
      <c r="F7018" s="1" t="s">
        <v>927</v>
      </c>
      <c r="G7018" s="1">
        <v>56.0</v>
      </c>
      <c r="H7018" s="1">
        <v>3.533275713</v>
      </c>
      <c r="I7018" s="1">
        <v>4.76</v>
      </c>
      <c r="J7018" s="1">
        <v>1.49271</v>
      </c>
    </row>
    <row r="7019">
      <c r="A7019" s="1">
        <v>2025.0</v>
      </c>
      <c r="B7019" s="1" t="s">
        <v>427</v>
      </c>
      <c r="C7019" s="1">
        <v>684320.0</v>
      </c>
      <c r="D7019" s="1" t="s">
        <v>533</v>
      </c>
      <c r="E7019" s="1" t="s">
        <v>927</v>
      </c>
      <c r="F7019" s="1" t="s">
        <v>927</v>
      </c>
      <c r="G7019" s="1">
        <v>353.0</v>
      </c>
      <c r="H7019" s="1">
        <v>22.27225583</v>
      </c>
      <c r="I7019" s="1">
        <v>5.36</v>
      </c>
      <c r="J7019" s="1">
        <v>5.199211</v>
      </c>
    </row>
    <row r="7020">
      <c r="A7020" s="1">
        <v>2025.0</v>
      </c>
      <c r="B7020" s="1" t="s">
        <v>235</v>
      </c>
      <c r="C7020" s="1">
        <v>666974.0</v>
      </c>
      <c r="D7020" s="1" t="s">
        <v>532</v>
      </c>
      <c r="E7020" s="1" t="s">
        <v>927</v>
      </c>
      <c r="F7020" s="1" t="s">
        <v>926</v>
      </c>
      <c r="G7020" s="1">
        <v>78.0</v>
      </c>
      <c r="H7020" s="1">
        <v>4.597560976</v>
      </c>
      <c r="I7020" s="1">
        <v>5.27</v>
      </c>
      <c r="J7020" s="1">
        <v>1.195</v>
      </c>
    </row>
    <row r="7021">
      <c r="A7021" s="1">
        <v>2025.0</v>
      </c>
      <c r="B7021" s="1" t="s">
        <v>235</v>
      </c>
      <c r="C7021" s="1">
        <v>666974.0</v>
      </c>
      <c r="D7021" s="1" t="s">
        <v>540</v>
      </c>
      <c r="E7021" s="1" t="s">
        <v>927</v>
      </c>
      <c r="F7021" s="1" t="s">
        <v>926</v>
      </c>
      <c r="G7021" s="1">
        <v>28.0</v>
      </c>
      <c r="H7021" s="1">
        <v>1.650406504</v>
      </c>
      <c r="I7021" s="1">
        <v>5.17</v>
      </c>
      <c r="J7021" s="1">
        <v>0.541208</v>
      </c>
    </row>
    <row r="7022">
      <c r="A7022" s="1">
        <v>2025.0</v>
      </c>
      <c r="B7022" s="1" t="s">
        <v>235</v>
      </c>
      <c r="C7022" s="1">
        <v>666974.0</v>
      </c>
      <c r="D7022" s="1" t="s">
        <v>537</v>
      </c>
      <c r="E7022" s="1" t="s">
        <v>927</v>
      </c>
      <c r="F7022" s="1" t="s">
        <v>926</v>
      </c>
      <c r="G7022" s="1">
        <v>94.0</v>
      </c>
      <c r="H7022" s="1">
        <v>5.540650407</v>
      </c>
      <c r="I7022" s="1">
        <v>4.49</v>
      </c>
      <c r="J7022" s="1">
        <v>3.048037</v>
      </c>
    </row>
    <row r="7023">
      <c r="A7023" s="1">
        <v>2025.0</v>
      </c>
      <c r="B7023" s="1" t="s">
        <v>235</v>
      </c>
      <c r="C7023" s="1">
        <v>666974.0</v>
      </c>
      <c r="D7023" s="1" t="s">
        <v>538</v>
      </c>
      <c r="E7023" s="1" t="s">
        <v>927</v>
      </c>
      <c r="F7023" s="1" t="s">
        <v>926</v>
      </c>
      <c r="G7023" s="1">
        <v>56.0</v>
      </c>
      <c r="H7023" s="1">
        <v>3.300813008</v>
      </c>
      <c r="I7023" s="1">
        <v>4.84</v>
      </c>
      <c r="J7023" s="1">
        <v>1.408442</v>
      </c>
    </row>
    <row r="7024">
      <c r="A7024" s="1">
        <v>2025.0</v>
      </c>
      <c r="B7024" s="1" t="s">
        <v>235</v>
      </c>
      <c r="C7024" s="1">
        <v>666974.0</v>
      </c>
      <c r="D7024" s="1" t="s">
        <v>536</v>
      </c>
      <c r="E7024" s="1" t="s">
        <v>927</v>
      </c>
      <c r="F7024" s="1" t="s">
        <v>926</v>
      </c>
      <c r="G7024" s="1">
        <v>122.0</v>
      </c>
      <c r="H7024" s="1">
        <v>7.191056911</v>
      </c>
      <c r="I7024" s="1">
        <v>5.0</v>
      </c>
      <c r="J7024" s="1">
        <v>2.764664</v>
      </c>
    </row>
    <row r="7025">
      <c r="A7025" s="1">
        <v>2025.0</v>
      </c>
      <c r="B7025" s="1" t="s">
        <v>235</v>
      </c>
      <c r="C7025" s="1">
        <v>666974.0</v>
      </c>
      <c r="D7025" s="1" t="s">
        <v>533</v>
      </c>
      <c r="E7025" s="1" t="s">
        <v>927</v>
      </c>
      <c r="F7025" s="1" t="s">
        <v>926</v>
      </c>
      <c r="G7025" s="1">
        <v>28.0</v>
      </c>
      <c r="H7025" s="1">
        <v>1.650406504</v>
      </c>
      <c r="I7025" s="1">
        <v>4.93</v>
      </c>
      <c r="J7025" s="1">
        <v>0.604309</v>
      </c>
    </row>
    <row r="7026">
      <c r="A7026" s="1">
        <v>2025.0</v>
      </c>
      <c r="B7026" s="1" t="s">
        <v>235</v>
      </c>
      <c r="C7026" s="1">
        <v>666974.0</v>
      </c>
      <c r="D7026" s="1" t="s">
        <v>532</v>
      </c>
      <c r="E7026" s="1" t="s">
        <v>927</v>
      </c>
      <c r="F7026" s="1" t="s">
        <v>927</v>
      </c>
      <c r="G7026" s="1">
        <v>45.0</v>
      </c>
      <c r="H7026" s="1">
        <v>2.652439024</v>
      </c>
      <c r="I7026" s="1">
        <v>5.09</v>
      </c>
      <c r="J7026" s="1">
        <v>0.827235</v>
      </c>
    </row>
    <row r="7027">
      <c r="A7027" s="1">
        <v>2025.0</v>
      </c>
      <c r="B7027" s="1" t="s">
        <v>235</v>
      </c>
      <c r="C7027" s="1">
        <v>666974.0</v>
      </c>
      <c r="D7027" s="1" t="s">
        <v>537</v>
      </c>
      <c r="E7027" s="1" t="s">
        <v>927</v>
      </c>
      <c r="F7027" s="1" t="s">
        <v>927</v>
      </c>
      <c r="G7027" s="1">
        <v>17.0</v>
      </c>
      <c r="H7027" s="1">
        <v>1.00203252</v>
      </c>
      <c r="I7027" s="1">
        <v>4.47</v>
      </c>
      <c r="J7027" s="1">
        <v>0.544382</v>
      </c>
    </row>
    <row r="7028">
      <c r="A7028" s="1">
        <v>2025.0</v>
      </c>
      <c r="B7028" s="1" t="s">
        <v>235</v>
      </c>
      <c r="C7028" s="1">
        <v>666974.0</v>
      </c>
      <c r="D7028" s="1" t="s">
        <v>538</v>
      </c>
      <c r="E7028" s="1" t="s">
        <v>927</v>
      </c>
      <c r="F7028" s="1" t="s">
        <v>927</v>
      </c>
      <c r="G7028" s="1">
        <v>15.0</v>
      </c>
      <c r="H7028" s="1">
        <v>0.884146341</v>
      </c>
      <c r="I7028" s="1">
        <v>5.22</v>
      </c>
      <c r="J7028" s="1">
        <v>0.241839</v>
      </c>
    </row>
    <row r="7029">
      <c r="A7029" s="1">
        <v>2025.0</v>
      </c>
      <c r="B7029" s="1" t="s">
        <v>235</v>
      </c>
      <c r="C7029" s="1">
        <v>666974.0</v>
      </c>
      <c r="D7029" s="1" t="s">
        <v>536</v>
      </c>
      <c r="E7029" s="1" t="s">
        <v>927</v>
      </c>
      <c r="F7029" s="1" t="s">
        <v>927</v>
      </c>
      <c r="G7029" s="1">
        <v>330.0</v>
      </c>
      <c r="H7029" s="1">
        <v>19.45121951</v>
      </c>
      <c r="I7029" s="1">
        <v>5.31</v>
      </c>
      <c r="J7029" s="1">
        <v>5.219161</v>
      </c>
    </row>
    <row r="7030">
      <c r="A7030" s="1">
        <v>2025.0</v>
      </c>
      <c r="B7030" s="1" t="s">
        <v>235</v>
      </c>
      <c r="C7030" s="1">
        <v>666974.0</v>
      </c>
      <c r="D7030" s="1" t="s">
        <v>533</v>
      </c>
      <c r="E7030" s="1" t="s">
        <v>927</v>
      </c>
      <c r="F7030" s="1" t="s">
        <v>927</v>
      </c>
      <c r="G7030" s="1">
        <v>171.0</v>
      </c>
      <c r="H7030" s="1">
        <v>10.07926829</v>
      </c>
      <c r="I7030" s="1">
        <v>5.14</v>
      </c>
      <c r="J7030" s="1">
        <v>3.22882</v>
      </c>
    </row>
    <row r="7031">
      <c r="A7031" s="1">
        <v>2025.0</v>
      </c>
      <c r="B7031" s="1" t="s">
        <v>309</v>
      </c>
      <c r="C7031" s="1">
        <v>660787.0</v>
      </c>
      <c r="D7031" s="1" t="s">
        <v>532</v>
      </c>
      <c r="E7031" s="1" t="s">
        <v>927</v>
      </c>
      <c r="F7031" s="1" t="s">
        <v>926</v>
      </c>
      <c r="G7031" s="1">
        <v>101.0</v>
      </c>
      <c r="H7031" s="1">
        <v>6.105649718</v>
      </c>
      <c r="I7031" s="1">
        <v>4.96</v>
      </c>
      <c r="J7031" s="1">
        <v>2.262884</v>
      </c>
    </row>
    <row r="7032">
      <c r="A7032" s="1">
        <v>2025.0</v>
      </c>
      <c r="B7032" s="1" t="s">
        <v>309</v>
      </c>
      <c r="C7032" s="1">
        <v>660787.0</v>
      </c>
      <c r="D7032" s="1" t="s">
        <v>537</v>
      </c>
      <c r="E7032" s="1" t="s">
        <v>927</v>
      </c>
      <c r="F7032" s="1" t="s">
        <v>926</v>
      </c>
      <c r="G7032" s="1">
        <v>46.0</v>
      </c>
      <c r="H7032" s="1">
        <v>2.78079096</v>
      </c>
      <c r="I7032" s="1">
        <v>4.78</v>
      </c>
      <c r="J7032" s="1">
        <v>1.243594</v>
      </c>
    </row>
    <row r="7033">
      <c r="A7033" s="1">
        <v>2025.0</v>
      </c>
      <c r="B7033" s="1" t="s">
        <v>309</v>
      </c>
      <c r="C7033" s="1">
        <v>660787.0</v>
      </c>
      <c r="D7033" s="1" t="s">
        <v>536</v>
      </c>
      <c r="E7033" s="1" t="s">
        <v>927</v>
      </c>
      <c r="F7033" s="1" t="s">
        <v>926</v>
      </c>
      <c r="G7033" s="1">
        <v>82.0</v>
      </c>
      <c r="H7033" s="1">
        <v>4.957062147</v>
      </c>
      <c r="I7033" s="1">
        <v>5.09</v>
      </c>
      <c r="J7033" s="1">
        <v>1.717801</v>
      </c>
    </row>
    <row r="7034">
      <c r="A7034" s="1">
        <v>2025.0</v>
      </c>
      <c r="B7034" s="1" t="s">
        <v>309</v>
      </c>
      <c r="C7034" s="1">
        <v>660787.0</v>
      </c>
      <c r="D7034" s="1" t="s">
        <v>533</v>
      </c>
      <c r="E7034" s="1" t="s">
        <v>927</v>
      </c>
      <c r="F7034" s="1" t="s">
        <v>926</v>
      </c>
      <c r="G7034" s="1">
        <v>15.0</v>
      </c>
      <c r="H7034" s="1">
        <v>0.906779661</v>
      </c>
      <c r="I7034" s="1">
        <v>5.08</v>
      </c>
      <c r="J7034" s="1">
        <v>0.29227</v>
      </c>
    </row>
    <row r="7035">
      <c r="A7035" s="1">
        <v>2025.0</v>
      </c>
      <c r="B7035" s="1" t="s">
        <v>309</v>
      </c>
      <c r="C7035" s="1">
        <v>660787.0</v>
      </c>
      <c r="D7035" s="1" t="s">
        <v>532</v>
      </c>
      <c r="E7035" s="1" t="s">
        <v>927</v>
      </c>
      <c r="F7035" s="1" t="s">
        <v>927</v>
      </c>
      <c r="G7035" s="1">
        <v>62.0</v>
      </c>
      <c r="H7035" s="1">
        <v>3.748022599</v>
      </c>
      <c r="I7035" s="1">
        <v>5.3</v>
      </c>
      <c r="J7035" s="1">
        <v>0.920394</v>
      </c>
    </row>
    <row r="7036">
      <c r="A7036" s="1">
        <v>2025.0</v>
      </c>
      <c r="B7036" s="1" t="s">
        <v>309</v>
      </c>
      <c r="C7036" s="1">
        <v>660787.0</v>
      </c>
      <c r="D7036" s="1" t="s">
        <v>537</v>
      </c>
      <c r="E7036" s="1" t="s">
        <v>927</v>
      </c>
      <c r="F7036" s="1" t="s">
        <v>927</v>
      </c>
      <c r="G7036" s="1">
        <v>3.0</v>
      </c>
      <c r="H7036" s="1">
        <v>0.181355932</v>
      </c>
      <c r="I7036" s="1">
        <v>4.84</v>
      </c>
      <c r="J7036" s="1">
        <v>0.070025</v>
      </c>
    </row>
    <row r="7037">
      <c r="A7037" s="1">
        <v>2025.0</v>
      </c>
      <c r="B7037" s="1" t="s">
        <v>309</v>
      </c>
      <c r="C7037" s="1">
        <v>660787.0</v>
      </c>
      <c r="D7037" s="1" t="s">
        <v>536</v>
      </c>
      <c r="E7037" s="1" t="s">
        <v>927</v>
      </c>
      <c r="F7037" s="1" t="s">
        <v>927</v>
      </c>
      <c r="G7037" s="1">
        <v>240.0</v>
      </c>
      <c r="H7037" s="1">
        <v>14.50847458</v>
      </c>
      <c r="I7037" s="1">
        <v>4.98</v>
      </c>
      <c r="J7037" s="1">
        <v>5.429416</v>
      </c>
    </row>
    <row r="7038">
      <c r="A7038" s="1">
        <v>2025.0</v>
      </c>
      <c r="B7038" s="1" t="s">
        <v>309</v>
      </c>
      <c r="C7038" s="1">
        <v>660787.0</v>
      </c>
      <c r="D7038" s="1" t="s">
        <v>533</v>
      </c>
      <c r="E7038" s="1" t="s">
        <v>927</v>
      </c>
      <c r="F7038" s="1" t="s">
        <v>927</v>
      </c>
      <c r="G7038" s="1">
        <v>41.0</v>
      </c>
      <c r="H7038" s="1">
        <v>2.478531073</v>
      </c>
      <c r="I7038" s="1">
        <v>4.45</v>
      </c>
      <c r="J7038" s="1">
        <v>1.346763</v>
      </c>
    </row>
    <row r="7039">
      <c r="A7039" s="1">
        <v>2025.0</v>
      </c>
      <c r="B7039" s="1" t="s">
        <v>790</v>
      </c>
      <c r="C7039" s="1">
        <v>700270.0</v>
      </c>
      <c r="D7039" s="1" t="s">
        <v>541</v>
      </c>
      <c r="E7039" s="1" t="s">
        <v>927</v>
      </c>
      <c r="F7039" s="1" t="s">
        <v>926</v>
      </c>
      <c r="G7039" s="1">
        <v>2.0</v>
      </c>
      <c r="H7039" s="1">
        <v>0.1</v>
      </c>
      <c r="I7039" s="1">
        <v>4.86</v>
      </c>
      <c r="J7039" s="1">
        <v>0.051749</v>
      </c>
    </row>
    <row r="7040">
      <c r="A7040" s="1">
        <v>2025.0</v>
      </c>
      <c r="B7040" s="1" t="s">
        <v>790</v>
      </c>
      <c r="C7040" s="1">
        <v>700270.0</v>
      </c>
      <c r="D7040" s="1" t="s">
        <v>537</v>
      </c>
      <c r="E7040" s="1" t="s">
        <v>927</v>
      </c>
      <c r="F7040" s="1" t="s">
        <v>926</v>
      </c>
      <c r="G7040" s="1">
        <v>14.0</v>
      </c>
      <c r="H7040" s="1">
        <v>0.7</v>
      </c>
      <c r="I7040" s="1">
        <v>4.65</v>
      </c>
      <c r="J7040" s="1">
        <v>0.411489</v>
      </c>
    </row>
    <row r="7041">
      <c r="A7041" s="1">
        <v>2025.0</v>
      </c>
      <c r="B7041" s="1" t="s">
        <v>790</v>
      </c>
      <c r="C7041" s="1">
        <v>700270.0</v>
      </c>
      <c r="D7041" s="1" t="s">
        <v>533</v>
      </c>
      <c r="E7041" s="1" t="s">
        <v>927</v>
      </c>
      <c r="F7041" s="1" t="s">
        <v>926</v>
      </c>
      <c r="G7041" s="1">
        <v>8.0</v>
      </c>
      <c r="H7041" s="1">
        <v>0.4</v>
      </c>
      <c r="I7041" s="1">
        <v>4.6</v>
      </c>
      <c r="J7041" s="1">
        <v>0.237301</v>
      </c>
    </row>
    <row r="7042">
      <c r="A7042" s="1">
        <v>2025.0</v>
      </c>
      <c r="B7042" s="1" t="s">
        <v>790</v>
      </c>
      <c r="C7042" s="1">
        <v>700270.0</v>
      </c>
      <c r="D7042" s="1" t="s">
        <v>541</v>
      </c>
      <c r="E7042" s="1" t="s">
        <v>927</v>
      </c>
      <c r="F7042" s="1" t="s">
        <v>927</v>
      </c>
      <c r="G7042" s="1">
        <v>3.0</v>
      </c>
      <c r="H7042" s="1">
        <v>0.15</v>
      </c>
      <c r="I7042" s="1">
        <v>2.84</v>
      </c>
      <c r="J7042" s="1">
        <v>0.19633</v>
      </c>
    </row>
    <row r="7043">
      <c r="A7043" s="1">
        <v>2025.0</v>
      </c>
      <c r="B7043" s="1" t="s">
        <v>790</v>
      </c>
      <c r="C7043" s="1">
        <v>700270.0</v>
      </c>
      <c r="D7043" s="1" t="s">
        <v>537</v>
      </c>
      <c r="E7043" s="1" t="s">
        <v>927</v>
      </c>
      <c r="F7043" s="1" t="s">
        <v>927</v>
      </c>
      <c r="G7043" s="1">
        <v>20.0</v>
      </c>
      <c r="H7043" s="1">
        <v>1.0</v>
      </c>
      <c r="I7043" s="1">
        <v>3.51</v>
      </c>
      <c r="J7043" s="1">
        <v>1.047135</v>
      </c>
    </row>
    <row r="7044">
      <c r="A7044" s="1">
        <v>2025.0</v>
      </c>
      <c r="B7044" s="1" t="s">
        <v>790</v>
      </c>
      <c r="C7044" s="1">
        <v>700270.0</v>
      </c>
      <c r="D7044" s="1" t="s">
        <v>533</v>
      </c>
      <c r="E7044" s="1" t="s">
        <v>927</v>
      </c>
      <c r="F7044" s="1" t="s">
        <v>927</v>
      </c>
      <c r="G7044" s="1">
        <v>13.0</v>
      </c>
      <c r="H7044" s="1">
        <v>0.65</v>
      </c>
      <c r="I7044" s="1">
        <v>3.53</v>
      </c>
      <c r="J7044" s="1">
        <v>0.678916</v>
      </c>
    </row>
    <row r="7045">
      <c r="A7045" s="1">
        <v>2025.0</v>
      </c>
      <c r="B7045" s="1" t="s">
        <v>678</v>
      </c>
      <c r="C7045" s="1">
        <v>554340.0</v>
      </c>
      <c r="D7045" s="1" t="s">
        <v>532</v>
      </c>
      <c r="E7045" s="1" t="s">
        <v>927</v>
      </c>
      <c r="F7045" s="1" t="s">
        <v>926</v>
      </c>
      <c r="G7045" s="1">
        <v>20.0</v>
      </c>
      <c r="H7045" s="1">
        <v>1.169916435</v>
      </c>
      <c r="I7045" s="1">
        <v>3.55</v>
      </c>
      <c r="J7045" s="1">
        <v>1.024316</v>
      </c>
    </row>
    <row r="7046">
      <c r="A7046" s="1">
        <v>2025.0</v>
      </c>
      <c r="B7046" s="1" t="s">
        <v>678</v>
      </c>
      <c r="C7046" s="1">
        <v>554340.0</v>
      </c>
      <c r="D7046" s="1" t="s">
        <v>541</v>
      </c>
      <c r="E7046" s="1" t="s">
        <v>927</v>
      </c>
      <c r="F7046" s="1" t="s">
        <v>926</v>
      </c>
      <c r="G7046" s="1">
        <v>48.0</v>
      </c>
      <c r="H7046" s="1">
        <v>2.807799443</v>
      </c>
      <c r="I7046" s="1">
        <v>5.31</v>
      </c>
      <c r="J7046" s="1">
        <v>0.734924</v>
      </c>
    </row>
    <row r="7047">
      <c r="A7047" s="1">
        <v>2025.0</v>
      </c>
      <c r="B7047" s="1" t="s">
        <v>678</v>
      </c>
      <c r="C7047" s="1">
        <v>554340.0</v>
      </c>
      <c r="D7047" s="1" t="s">
        <v>537</v>
      </c>
      <c r="E7047" s="1" t="s">
        <v>927</v>
      </c>
      <c r="F7047" s="1" t="s">
        <v>926</v>
      </c>
      <c r="G7047" s="1">
        <v>87.0</v>
      </c>
      <c r="H7047" s="1">
        <v>5.08913649</v>
      </c>
      <c r="I7047" s="1">
        <v>5.2</v>
      </c>
      <c r="J7047" s="1">
        <v>1.557759</v>
      </c>
    </row>
    <row r="7048">
      <c r="A7048" s="1">
        <v>2025.0</v>
      </c>
      <c r="B7048" s="1" t="s">
        <v>678</v>
      </c>
      <c r="C7048" s="1">
        <v>554340.0</v>
      </c>
      <c r="D7048" s="1" t="s">
        <v>536</v>
      </c>
      <c r="E7048" s="1" t="s">
        <v>927</v>
      </c>
      <c r="F7048" s="1" t="s">
        <v>926</v>
      </c>
      <c r="G7048" s="1">
        <v>21.0</v>
      </c>
      <c r="H7048" s="1">
        <v>1.228412256</v>
      </c>
      <c r="I7048" s="1">
        <v>4.22</v>
      </c>
      <c r="J7048" s="1">
        <v>0.789898</v>
      </c>
    </row>
    <row r="7049">
      <c r="A7049" s="1">
        <v>2025.0</v>
      </c>
      <c r="B7049" s="1" t="s">
        <v>678</v>
      </c>
      <c r="C7049" s="1">
        <v>554340.0</v>
      </c>
      <c r="D7049" s="1" t="s">
        <v>533</v>
      </c>
      <c r="E7049" s="1" t="s">
        <v>927</v>
      </c>
      <c r="F7049" s="1" t="s">
        <v>926</v>
      </c>
      <c r="G7049" s="1">
        <v>2.0</v>
      </c>
      <c r="H7049" s="1">
        <v>0.116991643</v>
      </c>
      <c r="I7049" s="1">
        <v>0.58</v>
      </c>
      <c r="J7049" s="1">
        <v>0.220702</v>
      </c>
    </row>
    <row r="7050">
      <c r="A7050" s="1">
        <v>2025.0</v>
      </c>
      <c r="B7050" s="1" t="s">
        <v>678</v>
      </c>
      <c r="C7050" s="1">
        <v>554340.0</v>
      </c>
      <c r="D7050" s="1" t="s">
        <v>539</v>
      </c>
      <c r="E7050" s="1" t="s">
        <v>927</v>
      </c>
      <c r="F7050" s="1" t="s">
        <v>926</v>
      </c>
      <c r="G7050" s="1">
        <v>8.0</v>
      </c>
      <c r="H7050" s="1">
        <v>0.467966574</v>
      </c>
      <c r="I7050" s="1">
        <v>5.3</v>
      </c>
      <c r="J7050" s="1">
        <v>0.141025</v>
      </c>
    </row>
    <row r="7051">
      <c r="A7051" s="1">
        <v>2025.0</v>
      </c>
      <c r="B7051" s="1" t="s">
        <v>678</v>
      </c>
      <c r="C7051" s="1">
        <v>554340.0</v>
      </c>
      <c r="D7051" s="1" t="s">
        <v>541</v>
      </c>
      <c r="E7051" s="1" t="s">
        <v>927</v>
      </c>
      <c r="F7051" s="1" t="s">
        <v>927</v>
      </c>
      <c r="G7051" s="1">
        <v>14.0</v>
      </c>
      <c r="H7051" s="1">
        <v>0.818941504</v>
      </c>
      <c r="I7051" s="1">
        <v>5.07</v>
      </c>
      <c r="J7051" s="1">
        <v>0.290538</v>
      </c>
    </row>
    <row r="7052">
      <c r="A7052" s="1">
        <v>2025.0</v>
      </c>
      <c r="B7052" s="1" t="s">
        <v>678</v>
      </c>
      <c r="C7052" s="1">
        <v>554340.0</v>
      </c>
      <c r="D7052" s="1" t="s">
        <v>537</v>
      </c>
      <c r="E7052" s="1" t="s">
        <v>927</v>
      </c>
      <c r="F7052" s="1" t="s">
        <v>927</v>
      </c>
      <c r="G7052" s="1">
        <v>72.0</v>
      </c>
      <c r="H7052" s="1">
        <v>4.211699164</v>
      </c>
      <c r="I7052" s="1">
        <v>5.59</v>
      </c>
      <c r="J7052" s="1">
        <v>0.694183</v>
      </c>
    </row>
    <row r="7053">
      <c r="A7053" s="1">
        <v>2025.0</v>
      </c>
      <c r="B7053" s="1" t="s">
        <v>678</v>
      </c>
      <c r="C7053" s="1">
        <v>554340.0</v>
      </c>
      <c r="D7053" s="1" t="s">
        <v>536</v>
      </c>
      <c r="E7053" s="1" t="s">
        <v>927</v>
      </c>
      <c r="F7053" s="1" t="s">
        <v>927</v>
      </c>
      <c r="G7053" s="1">
        <v>33.0</v>
      </c>
      <c r="H7053" s="1">
        <v>1.930362117</v>
      </c>
      <c r="I7053" s="1">
        <v>5.22</v>
      </c>
      <c r="J7053" s="1">
        <v>0.604757</v>
      </c>
    </row>
    <row r="7054">
      <c r="A7054" s="1">
        <v>2025.0</v>
      </c>
      <c r="B7054" s="1" t="s">
        <v>678</v>
      </c>
      <c r="C7054" s="1">
        <v>554340.0</v>
      </c>
      <c r="D7054" s="1" t="s">
        <v>533</v>
      </c>
      <c r="E7054" s="1" t="s">
        <v>927</v>
      </c>
      <c r="F7054" s="1" t="s">
        <v>927</v>
      </c>
      <c r="G7054" s="1">
        <v>5.0</v>
      </c>
      <c r="H7054" s="1">
        <v>0.292479109</v>
      </c>
      <c r="I7054" s="1">
        <v>5.35</v>
      </c>
      <c r="J7054" s="1">
        <v>0.078877</v>
      </c>
    </row>
    <row r="7055">
      <c r="A7055" s="1">
        <v>2025.0</v>
      </c>
      <c r="B7055" s="1" t="s">
        <v>678</v>
      </c>
      <c r="C7055" s="1">
        <v>554340.0</v>
      </c>
      <c r="D7055" s="1" t="s">
        <v>539</v>
      </c>
      <c r="E7055" s="1" t="s">
        <v>927</v>
      </c>
      <c r="F7055" s="1" t="s">
        <v>927</v>
      </c>
      <c r="G7055" s="1">
        <v>49.0</v>
      </c>
      <c r="H7055" s="1">
        <v>2.866295265</v>
      </c>
      <c r="I7055" s="1">
        <v>5.36</v>
      </c>
      <c r="J7055" s="1">
        <v>0.670225</v>
      </c>
    </row>
    <row r="7056">
      <c r="A7056" s="1">
        <v>2025.0</v>
      </c>
      <c r="B7056" s="1" t="s">
        <v>494</v>
      </c>
      <c r="C7056" s="1">
        <v>672782.0</v>
      </c>
      <c r="D7056" s="1" t="s">
        <v>532</v>
      </c>
      <c r="E7056" s="1" t="s">
        <v>927</v>
      </c>
      <c r="F7056" s="1" t="s">
        <v>926</v>
      </c>
      <c r="G7056" s="1">
        <v>79.0</v>
      </c>
      <c r="H7056" s="1">
        <v>4.508803886</v>
      </c>
      <c r="I7056" s="1">
        <v>4.89</v>
      </c>
      <c r="J7056" s="1">
        <v>1.991337</v>
      </c>
    </row>
    <row r="7057">
      <c r="A7057" s="1">
        <v>2025.0</v>
      </c>
      <c r="B7057" s="1" t="s">
        <v>494</v>
      </c>
      <c r="C7057" s="1">
        <v>672782.0</v>
      </c>
      <c r="D7057" s="1" t="s">
        <v>541</v>
      </c>
      <c r="E7057" s="1" t="s">
        <v>927</v>
      </c>
      <c r="F7057" s="1" t="s">
        <v>926</v>
      </c>
      <c r="G7057" s="1">
        <v>146.0</v>
      </c>
      <c r="H7057" s="1">
        <v>8.332726169</v>
      </c>
      <c r="I7057" s="1">
        <v>4.59</v>
      </c>
      <c r="J7057" s="1">
        <v>4.494612</v>
      </c>
    </row>
    <row r="7058">
      <c r="A7058" s="1">
        <v>2025.0</v>
      </c>
      <c r="B7058" s="1" t="s">
        <v>494</v>
      </c>
      <c r="C7058" s="1">
        <v>672782.0</v>
      </c>
      <c r="D7058" s="1" t="s">
        <v>540</v>
      </c>
      <c r="E7058" s="1" t="s">
        <v>927</v>
      </c>
      <c r="F7058" s="1" t="s">
        <v>926</v>
      </c>
      <c r="G7058" s="1">
        <v>56.0</v>
      </c>
      <c r="H7058" s="1">
        <v>3.196114147</v>
      </c>
      <c r="I7058" s="1">
        <v>4.66</v>
      </c>
      <c r="J7058" s="1">
        <v>1.676995</v>
      </c>
    </row>
    <row r="7059">
      <c r="A7059" s="1">
        <v>2025.0</v>
      </c>
      <c r="B7059" s="1" t="s">
        <v>494</v>
      </c>
      <c r="C7059" s="1">
        <v>672782.0</v>
      </c>
      <c r="D7059" s="1" t="s">
        <v>537</v>
      </c>
      <c r="E7059" s="1" t="s">
        <v>927</v>
      </c>
      <c r="F7059" s="1" t="s">
        <v>926</v>
      </c>
      <c r="G7059" s="1">
        <v>226.0</v>
      </c>
      <c r="H7059" s="1">
        <v>12.89860352</v>
      </c>
      <c r="I7059" s="1">
        <v>5.07</v>
      </c>
      <c r="J7059" s="1">
        <v>4.885119</v>
      </c>
    </row>
    <row r="7060">
      <c r="A7060" s="1">
        <v>2025.0</v>
      </c>
      <c r="B7060" s="1" t="s">
        <v>494</v>
      </c>
      <c r="C7060" s="1">
        <v>672782.0</v>
      </c>
      <c r="D7060" s="1" t="s">
        <v>536</v>
      </c>
      <c r="E7060" s="1" t="s">
        <v>927</v>
      </c>
      <c r="F7060" s="1" t="s">
        <v>926</v>
      </c>
      <c r="G7060" s="1">
        <v>110.0</v>
      </c>
      <c r="H7060" s="1">
        <v>6.27808136</v>
      </c>
      <c r="I7060" s="1">
        <v>4.38</v>
      </c>
      <c r="J7060" s="1">
        <v>3.897531</v>
      </c>
    </row>
    <row r="7061">
      <c r="A7061" s="1">
        <v>2025.0</v>
      </c>
      <c r="B7061" s="1" t="s">
        <v>494</v>
      </c>
      <c r="C7061" s="1">
        <v>672782.0</v>
      </c>
      <c r="D7061" s="1" t="s">
        <v>533</v>
      </c>
      <c r="E7061" s="1" t="s">
        <v>927</v>
      </c>
      <c r="F7061" s="1" t="s">
        <v>926</v>
      </c>
      <c r="G7061" s="1">
        <v>2.0</v>
      </c>
      <c r="H7061" s="1">
        <v>0.114146934</v>
      </c>
      <c r="I7061" s="1">
        <v>2.85</v>
      </c>
      <c r="J7061" s="1">
        <v>0.131311</v>
      </c>
    </row>
    <row r="7062">
      <c r="A7062" s="1">
        <v>2025.0</v>
      </c>
      <c r="B7062" s="1" t="s">
        <v>494</v>
      </c>
      <c r="C7062" s="1">
        <v>672782.0</v>
      </c>
      <c r="D7062" s="1" t="s">
        <v>539</v>
      </c>
      <c r="E7062" s="1" t="s">
        <v>927</v>
      </c>
      <c r="F7062" s="1" t="s">
        <v>926</v>
      </c>
      <c r="G7062" s="1">
        <v>25.0</v>
      </c>
      <c r="H7062" s="1">
        <v>1.426836673</v>
      </c>
      <c r="I7062" s="1">
        <v>3.74</v>
      </c>
      <c r="J7062" s="1">
        <v>1.134044</v>
      </c>
    </row>
    <row r="7063">
      <c r="A7063" s="1">
        <v>2025.0</v>
      </c>
      <c r="B7063" s="1" t="s">
        <v>494</v>
      </c>
      <c r="C7063" s="1">
        <v>672782.0</v>
      </c>
      <c r="D7063" s="1" t="s">
        <v>532</v>
      </c>
      <c r="E7063" s="1" t="s">
        <v>927</v>
      </c>
      <c r="F7063" s="1" t="s">
        <v>927</v>
      </c>
      <c r="G7063" s="1">
        <v>5.0</v>
      </c>
      <c r="H7063" s="1">
        <v>0.285367335</v>
      </c>
      <c r="I7063" s="1">
        <v>3.06</v>
      </c>
      <c r="J7063" s="1">
        <v>0.326903</v>
      </c>
    </row>
    <row r="7064">
      <c r="A7064" s="1">
        <v>2025.0</v>
      </c>
      <c r="B7064" s="1" t="s">
        <v>494</v>
      </c>
      <c r="C7064" s="1">
        <v>672782.0</v>
      </c>
      <c r="D7064" s="1" t="s">
        <v>541</v>
      </c>
      <c r="E7064" s="1" t="s">
        <v>927</v>
      </c>
      <c r="F7064" s="1" t="s">
        <v>927</v>
      </c>
      <c r="G7064" s="1">
        <v>9.0</v>
      </c>
      <c r="H7064" s="1">
        <v>0.513661202</v>
      </c>
      <c r="I7064" s="1">
        <v>4.47</v>
      </c>
      <c r="J7064" s="1">
        <v>0.28154</v>
      </c>
    </row>
    <row r="7065">
      <c r="A7065" s="1">
        <v>2025.0</v>
      </c>
      <c r="B7065" s="1" t="s">
        <v>494</v>
      </c>
      <c r="C7065" s="1">
        <v>672782.0</v>
      </c>
      <c r="D7065" s="1" t="s">
        <v>540</v>
      </c>
      <c r="E7065" s="1" t="s">
        <v>927</v>
      </c>
      <c r="F7065" s="1" t="s">
        <v>927</v>
      </c>
      <c r="G7065" s="1">
        <v>19.0</v>
      </c>
      <c r="H7065" s="1">
        <v>1.084395871</v>
      </c>
      <c r="I7065" s="1">
        <v>5.01</v>
      </c>
      <c r="J7065" s="1">
        <v>0.469092</v>
      </c>
    </row>
    <row r="7066">
      <c r="A7066" s="1">
        <v>2025.0</v>
      </c>
      <c r="B7066" s="1" t="s">
        <v>494</v>
      </c>
      <c r="C7066" s="1">
        <v>672782.0</v>
      </c>
      <c r="D7066" s="1" t="s">
        <v>537</v>
      </c>
      <c r="E7066" s="1" t="s">
        <v>927</v>
      </c>
      <c r="F7066" s="1" t="s">
        <v>927</v>
      </c>
      <c r="G7066" s="1">
        <v>141.0</v>
      </c>
      <c r="H7066" s="1">
        <v>8.047358834</v>
      </c>
      <c r="I7066" s="1">
        <v>4.54</v>
      </c>
      <c r="J7066" s="1">
        <v>4.468696</v>
      </c>
    </row>
    <row r="7067">
      <c r="A7067" s="1">
        <v>2025.0</v>
      </c>
      <c r="B7067" s="1" t="s">
        <v>494</v>
      </c>
      <c r="C7067" s="1">
        <v>672782.0</v>
      </c>
      <c r="D7067" s="1" t="s">
        <v>536</v>
      </c>
      <c r="E7067" s="1" t="s">
        <v>927</v>
      </c>
      <c r="F7067" s="1" t="s">
        <v>927</v>
      </c>
      <c r="G7067" s="1">
        <v>102.0</v>
      </c>
      <c r="H7067" s="1">
        <v>5.821493625</v>
      </c>
      <c r="I7067" s="1">
        <v>5.11</v>
      </c>
      <c r="J7067" s="1">
        <v>2.172894</v>
      </c>
    </row>
    <row r="7068">
      <c r="A7068" s="1">
        <v>2025.0</v>
      </c>
      <c r="B7068" s="1" t="s">
        <v>494</v>
      </c>
      <c r="C7068" s="1">
        <v>672782.0</v>
      </c>
      <c r="D7068" s="1" t="s">
        <v>533</v>
      </c>
      <c r="E7068" s="1" t="s">
        <v>927</v>
      </c>
      <c r="F7068" s="1" t="s">
        <v>927</v>
      </c>
      <c r="G7068" s="1">
        <v>21.0</v>
      </c>
      <c r="H7068" s="1">
        <v>1.198542805</v>
      </c>
      <c r="I7068" s="1">
        <v>5.38</v>
      </c>
      <c r="J7068" s="1">
        <v>0.372168</v>
      </c>
    </row>
    <row r="7069">
      <c r="A7069" s="1">
        <v>2025.0</v>
      </c>
      <c r="B7069" s="1" t="s">
        <v>494</v>
      </c>
      <c r="C7069" s="1">
        <v>672782.0</v>
      </c>
      <c r="D7069" s="1" t="s">
        <v>539</v>
      </c>
      <c r="E7069" s="1" t="s">
        <v>927</v>
      </c>
      <c r="F7069" s="1" t="s">
        <v>927</v>
      </c>
      <c r="G7069" s="1">
        <v>157.0</v>
      </c>
      <c r="H7069" s="1">
        <v>8.960534305</v>
      </c>
      <c r="I7069" s="1">
        <v>5.19</v>
      </c>
      <c r="J7069" s="1">
        <v>2.820453</v>
      </c>
    </row>
    <row r="7070">
      <c r="A7070" s="1">
        <v>2025.0</v>
      </c>
      <c r="B7070" s="1" t="s">
        <v>430</v>
      </c>
      <c r="C7070" s="1">
        <v>670990.0</v>
      </c>
      <c r="D7070" s="1" t="s">
        <v>541</v>
      </c>
      <c r="E7070" s="1" t="s">
        <v>927</v>
      </c>
      <c r="F7070" s="1" t="s">
        <v>926</v>
      </c>
      <c r="G7070" s="1">
        <v>91.0</v>
      </c>
      <c r="H7070" s="1">
        <v>5.022075055</v>
      </c>
      <c r="I7070" s="1">
        <v>4.65</v>
      </c>
      <c r="J7070" s="1">
        <v>2.612389</v>
      </c>
    </row>
    <row r="7071">
      <c r="A7071" s="1">
        <v>2025.0</v>
      </c>
      <c r="B7071" s="1" t="s">
        <v>430</v>
      </c>
      <c r="C7071" s="1">
        <v>670990.0</v>
      </c>
      <c r="D7071" s="1" t="s">
        <v>540</v>
      </c>
      <c r="E7071" s="1" t="s">
        <v>927</v>
      </c>
      <c r="F7071" s="1" t="s">
        <v>926</v>
      </c>
      <c r="G7071" s="1">
        <v>11.0</v>
      </c>
      <c r="H7071" s="1">
        <v>0.607064018</v>
      </c>
      <c r="I7071" s="1">
        <v>5.89</v>
      </c>
      <c r="J7071" s="1">
        <v>0.071144</v>
      </c>
    </row>
    <row r="7072">
      <c r="A7072" s="1">
        <v>2025.0</v>
      </c>
      <c r="B7072" s="1" t="s">
        <v>430</v>
      </c>
      <c r="C7072" s="1">
        <v>670990.0</v>
      </c>
      <c r="D7072" s="1" t="s">
        <v>537</v>
      </c>
      <c r="E7072" s="1" t="s">
        <v>927</v>
      </c>
      <c r="F7072" s="1" t="s">
        <v>926</v>
      </c>
      <c r="G7072" s="1">
        <v>108.0</v>
      </c>
      <c r="H7072" s="1">
        <v>5.960264901</v>
      </c>
      <c r="I7072" s="1">
        <v>4.7</v>
      </c>
      <c r="J7072" s="1">
        <v>3.25083</v>
      </c>
    </row>
    <row r="7073">
      <c r="A7073" s="1">
        <v>2025.0</v>
      </c>
      <c r="B7073" s="1" t="s">
        <v>430</v>
      </c>
      <c r="C7073" s="1">
        <v>670990.0</v>
      </c>
      <c r="D7073" s="1" t="s">
        <v>536</v>
      </c>
      <c r="E7073" s="1" t="s">
        <v>927</v>
      </c>
      <c r="F7073" s="1" t="s">
        <v>926</v>
      </c>
      <c r="G7073" s="1">
        <v>7.0</v>
      </c>
      <c r="H7073" s="1">
        <v>0.386313466</v>
      </c>
      <c r="I7073" s="1">
        <v>3.85</v>
      </c>
      <c r="J7073" s="1">
        <v>0.33289</v>
      </c>
    </row>
    <row r="7074">
      <c r="A7074" s="1">
        <v>2025.0</v>
      </c>
      <c r="B7074" s="1" t="s">
        <v>430</v>
      </c>
      <c r="C7074" s="1">
        <v>670990.0</v>
      </c>
      <c r="D7074" s="1" t="s">
        <v>533</v>
      </c>
      <c r="E7074" s="1" t="s">
        <v>927</v>
      </c>
      <c r="F7074" s="1" t="s">
        <v>926</v>
      </c>
      <c r="G7074" s="1">
        <v>1.0</v>
      </c>
      <c r="H7074" s="1">
        <v>0.055187638</v>
      </c>
      <c r="I7074" s="1">
        <v>3.38</v>
      </c>
      <c r="J7074" s="1">
        <v>0.059846</v>
      </c>
    </row>
    <row r="7075">
      <c r="A7075" s="1">
        <v>2025.0</v>
      </c>
      <c r="B7075" s="1" t="s">
        <v>430</v>
      </c>
      <c r="C7075" s="1">
        <v>670990.0</v>
      </c>
      <c r="D7075" s="1" t="s">
        <v>539</v>
      </c>
      <c r="E7075" s="1" t="s">
        <v>927</v>
      </c>
      <c r="F7075" s="1" t="s">
        <v>926</v>
      </c>
      <c r="G7075" s="1">
        <v>19.0</v>
      </c>
      <c r="H7075" s="1">
        <v>1.048565121</v>
      </c>
      <c r="I7075" s="1">
        <v>4.05</v>
      </c>
      <c r="J7075" s="1">
        <v>0.838175</v>
      </c>
    </row>
    <row r="7076">
      <c r="A7076" s="1">
        <v>2025.0</v>
      </c>
      <c r="B7076" s="1" t="s">
        <v>430</v>
      </c>
      <c r="C7076" s="1">
        <v>670990.0</v>
      </c>
      <c r="D7076" s="1" t="s">
        <v>541</v>
      </c>
      <c r="E7076" s="1" t="s">
        <v>927</v>
      </c>
      <c r="F7076" s="1" t="s">
        <v>927</v>
      </c>
      <c r="G7076" s="1">
        <v>26.0</v>
      </c>
      <c r="H7076" s="1">
        <v>1.434878587</v>
      </c>
      <c r="I7076" s="1">
        <v>4.3</v>
      </c>
      <c r="J7076" s="1">
        <v>0.980137</v>
      </c>
    </row>
    <row r="7077">
      <c r="A7077" s="1">
        <v>2025.0</v>
      </c>
      <c r="B7077" s="1" t="s">
        <v>430</v>
      </c>
      <c r="C7077" s="1">
        <v>670990.0</v>
      </c>
      <c r="D7077" s="1" t="s">
        <v>540</v>
      </c>
      <c r="E7077" s="1" t="s">
        <v>927</v>
      </c>
      <c r="F7077" s="1" t="s">
        <v>927</v>
      </c>
      <c r="G7077" s="1">
        <v>5.0</v>
      </c>
      <c r="H7077" s="1">
        <v>0.27593819</v>
      </c>
      <c r="I7077" s="1">
        <v>3.73</v>
      </c>
      <c r="J7077" s="1">
        <v>0.242184</v>
      </c>
    </row>
    <row r="7078">
      <c r="A7078" s="1">
        <v>2025.0</v>
      </c>
      <c r="B7078" s="1" t="s">
        <v>430</v>
      </c>
      <c r="C7078" s="1">
        <v>670990.0</v>
      </c>
      <c r="D7078" s="1" t="s">
        <v>537</v>
      </c>
      <c r="E7078" s="1" t="s">
        <v>927</v>
      </c>
      <c r="F7078" s="1" t="s">
        <v>927</v>
      </c>
      <c r="G7078" s="1">
        <v>163.0</v>
      </c>
      <c r="H7078" s="1">
        <v>8.995584989</v>
      </c>
      <c r="I7078" s="1">
        <v>5.19</v>
      </c>
      <c r="J7078" s="1">
        <v>3.170315</v>
      </c>
    </row>
    <row r="7079">
      <c r="A7079" s="1">
        <v>2025.0</v>
      </c>
      <c r="B7079" s="1" t="s">
        <v>430</v>
      </c>
      <c r="C7079" s="1">
        <v>670990.0</v>
      </c>
      <c r="D7079" s="1" t="s">
        <v>536</v>
      </c>
      <c r="E7079" s="1" t="s">
        <v>927</v>
      </c>
      <c r="F7079" s="1" t="s">
        <v>927</v>
      </c>
      <c r="G7079" s="1">
        <v>32.0</v>
      </c>
      <c r="H7079" s="1">
        <v>1.766004415</v>
      </c>
      <c r="I7079" s="1">
        <v>4.96</v>
      </c>
      <c r="J7079" s="1">
        <v>0.798932</v>
      </c>
    </row>
    <row r="7080">
      <c r="A7080" s="1">
        <v>2025.0</v>
      </c>
      <c r="B7080" s="1" t="s">
        <v>430</v>
      </c>
      <c r="C7080" s="1">
        <v>670990.0</v>
      </c>
      <c r="D7080" s="1" t="s">
        <v>533</v>
      </c>
      <c r="E7080" s="1" t="s">
        <v>927</v>
      </c>
      <c r="F7080" s="1" t="s">
        <v>927</v>
      </c>
      <c r="G7080" s="1">
        <v>12.0</v>
      </c>
      <c r="H7080" s="1">
        <v>0.662251656</v>
      </c>
      <c r="I7080" s="1">
        <v>4.66</v>
      </c>
      <c r="J7080" s="1">
        <v>0.404107</v>
      </c>
    </row>
    <row r="7081">
      <c r="A7081" s="1">
        <v>2025.0</v>
      </c>
      <c r="B7081" s="1" t="s">
        <v>430</v>
      </c>
      <c r="C7081" s="1">
        <v>670990.0</v>
      </c>
      <c r="D7081" s="1" t="s">
        <v>539</v>
      </c>
      <c r="E7081" s="1" t="s">
        <v>927</v>
      </c>
      <c r="F7081" s="1" t="s">
        <v>927</v>
      </c>
      <c r="G7081" s="1">
        <v>129.0</v>
      </c>
      <c r="H7081" s="1">
        <v>7.119205298</v>
      </c>
      <c r="I7081" s="1">
        <v>5.12</v>
      </c>
      <c r="J7081" s="1">
        <v>2.546061</v>
      </c>
    </row>
    <row r="7082">
      <c r="A7082" s="1">
        <v>2025.0</v>
      </c>
      <c r="B7082" s="1" t="s">
        <v>85</v>
      </c>
      <c r="C7082" s="1">
        <v>808967.0</v>
      </c>
      <c r="D7082" s="1" t="s">
        <v>541</v>
      </c>
      <c r="E7082" s="1" t="s">
        <v>927</v>
      </c>
      <c r="F7082" s="1" t="s">
        <v>926</v>
      </c>
      <c r="G7082" s="1">
        <v>258.0</v>
      </c>
      <c r="H7082" s="1">
        <v>16.07101865</v>
      </c>
      <c r="I7082" s="1">
        <v>5.23</v>
      </c>
      <c r="J7082" s="1">
        <v>4.343663</v>
      </c>
    </row>
    <row r="7083">
      <c r="A7083" s="1">
        <v>2025.0</v>
      </c>
      <c r="B7083" s="1" t="s">
        <v>85</v>
      </c>
      <c r="C7083" s="1">
        <v>808967.0</v>
      </c>
      <c r="D7083" s="1" t="s">
        <v>540</v>
      </c>
      <c r="E7083" s="1" t="s">
        <v>927</v>
      </c>
      <c r="F7083" s="1" t="s">
        <v>926</v>
      </c>
      <c r="G7083" s="1">
        <v>148.0</v>
      </c>
      <c r="H7083" s="1">
        <v>9.219033955</v>
      </c>
      <c r="I7083" s="1">
        <v>5.75</v>
      </c>
      <c r="J7083" s="1">
        <v>1.025802</v>
      </c>
    </row>
    <row r="7084">
      <c r="A7084" s="1">
        <v>2025.0</v>
      </c>
      <c r="B7084" s="1" t="s">
        <v>85</v>
      </c>
      <c r="C7084" s="1">
        <v>808967.0</v>
      </c>
      <c r="D7084" s="1" t="s">
        <v>537</v>
      </c>
      <c r="E7084" s="1" t="s">
        <v>927</v>
      </c>
      <c r="F7084" s="1" t="s">
        <v>926</v>
      </c>
      <c r="G7084" s="1">
        <v>520.0</v>
      </c>
      <c r="H7084" s="1">
        <v>32.39120038</v>
      </c>
      <c r="I7084" s="1">
        <v>5.23</v>
      </c>
      <c r="J7084" s="1">
        <v>9.239216</v>
      </c>
    </row>
    <row r="7085">
      <c r="A7085" s="1">
        <v>2025.0</v>
      </c>
      <c r="B7085" s="1" t="s">
        <v>85</v>
      </c>
      <c r="C7085" s="1">
        <v>808967.0</v>
      </c>
      <c r="D7085" s="1" t="s">
        <v>538</v>
      </c>
      <c r="E7085" s="1" t="s">
        <v>927</v>
      </c>
      <c r="F7085" s="1" t="s">
        <v>926</v>
      </c>
      <c r="G7085" s="1">
        <v>409.0</v>
      </c>
      <c r="H7085" s="1">
        <v>25.47692492</v>
      </c>
      <c r="I7085" s="1">
        <v>5.1</v>
      </c>
      <c r="J7085" s="1">
        <v>7.812209</v>
      </c>
    </row>
    <row r="7086">
      <c r="A7086" s="1">
        <v>2025.0</v>
      </c>
      <c r="B7086" s="1" t="s">
        <v>85</v>
      </c>
      <c r="C7086" s="1">
        <v>808967.0</v>
      </c>
      <c r="D7086" s="1" t="s">
        <v>536</v>
      </c>
      <c r="E7086" s="1" t="s">
        <v>927</v>
      </c>
      <c r="F7086" s="1" t="s">
        <v>926</v>
      </c>
      <c r="G7086" s="1">
        <v>11.0</v>
      </c>
      <c r="H7086" s="1">
        <v>0.68519847</v>
      </c>
      <c r="I7086" s="1">
        <v>4.53</v>
      </c>
      <c r="J7086" s="1">
        <v>0.340405</v>
      </c>
    </row>
    <row r="7087">
      <c r="A7087" s="1">
        <v>2025.0</v>
      </c>
      <c r="B7087" s="1" t="s">
        <v>85</v>
      </c>
      <c r="C7087" s="1">
        <v>808967.0</v>
      </c>
      <c r="D7087" s="1" t="s">
        <v>533</v>
      </c>
      <c r="E7087" s="1" t="s">
        <v>927</v>
      </c>
      <c r="F7087" s="1" t="s">
        <v>926</v>
      </c>
      <c r="G7087" s="1">
        <v>4.0</v>
      </c>
      <c r="H7087" s="1">
        <v>0.24916308</v>
      </c>
      <c r="I7087" s="1">
        <v>5.54</v>
      </c>
      <c r="J7087" s="1">
        <v>0.035327</v>
      </c>
    </row>
    <row r="7088">
      <c r="A7088" s="1">
        <v>2025.0</v>
      </c>
      <c r="B7088" s="1" t="s">
        <v>85</v>
      </c>
      <c r="C7088" s="1">
        <v>808967.0</v>
      </c>
      <c r="D7088" s="1" t="s">
        <v>541</v>
      </c>
      <c r="E7088" s="1" t="s">
        <v>927</v>
      </c>
      <c r="F7088" s="1" t="s">
        <v>927</v>
      </c>
      <c r="G7088" s="1">
        <v>233.0</v>
      </c>
      <c r="H7088" s="1">
        <v>14.5137494</v>
      </c>
      <c r="I7088" s="1">
        <v>5.2</v>
      </c>
      <c r="J7088" s="1">
        <v>4.074274</v>
      </c>
    </row>
    <row r="7089">
      <c r="A7089" s="1">
        <v>2025.0</v>
      </c>
      <c r="B7089" s="1" t="s">
        <v>85</v>
      </c>
      <c r="C7089" s="1">
        <v>808967.0</v>
      </c>
      <c r="D7089" s="1" t="s">
        <v>540</v>
      </c>
      <c r="E7089" s="1" t="s">
        <v>927</v>
      </c>
      <c r="F7089" s="1" t="s">
        <v>927</v>
      </c>
      <c r="G7089" s="1">
        <v>159.0</v>
      </c>
      <c r="H7089" s="1">
        <v>9.904232425</v>
      </c>
      <c r="I7089" s="1">
        <v>5.33</v>
      </c>
      <c r="J7089" s="1">
        <v>2.524648</v>
      </c>
    </row>
    <row r="7090">
      <c r="A7090" s="1">
        <v>2025.0</v>
      </c>
      <c r="B7090" s="1" t="s">
        <v>85</v>
      </c>
      <c r="C7090" s="1">
        <v>808967.0</v>
      </c>
      <c r="D7090" s="1" t="s">
        <v>537</v>
      </c>
      <c r="E7090" s="1" t="s">
        <v>927</v>
      </c>
      <c r="F7090" s="1" t="s">
        <v>927</v>
      </c>
      <c r="G7090" s="1">
        <v>475.0</v>
      </c>
      <c r="H7090" s="1">
        <v>29.58811573</v>
      </c>
      <c r="I7090" s="1">
        <v>5.37</v>
      </c>
      <c r="J7090" s="1">
        <v>7.00629</v>
      </c>
    </row>
    <row r="7091">
      <c r="A7091" s="1">
        <v>2025.0</v>
      </c>
      <c r="B7091" s="1" t="s">
        <v>85</v>
      </c>
      <c r="C7091" s="1">
        <v>808967.0</v>
      </c>
      <c r="D7091" s="1" t="s">
        <v>538</v>
      </c>
      <c r="E7091" s="1" t="s">
        <v>927</v>
      </c>
      <c r="F7091" s="1" t="s">
        <v>927</v>
      </c>
      <c r="G7091" s="1">
        <v>298.0</v>
      </c>
      <c r="H7091" s="1">
        <v>18.56264945</v>
      </c>
      <c r="I7091" s="1">
        <v>5.19</v>
      </c>
      <c r="J7091" s="1">
        <v>5.112452</v>
      </c>
    </row>
    <row r="7092">
      <c r="A7092" s="1">
        <v>2025.0</v>
      </c>
      <c r="B7092" s="1" t="s">
        <v>85</v>
      </c>
      <c r="C7092" s="1">
        <v>808967.0</v>
      </c>
      <c r="D7092" s="1" t="s">
        <v>536</v>
      </c>
      <c r="E7092" s="1" t="s">
        <v>927</v>
      </c>
      <c r="F7092" s="1" t="s">
        <v>927</v>
      </c>
      <c r="G7092" s="1">
        <v>197.0</v>
      </c>
      <c r="H7092" s="1">
        <v>12.27128168</v>
      </c>
      <c r="I7092" s="1">
        <v>4.77</v>
      </c>
      <c r="J7092" s="1">
        <v>5.357221</v>
      </c>
    </row>
    <row r="7093">
      <c r="A7093" s="1">
        <v>2025.0</v>
      </c>
      <c r="B7093" s="1" t="s">
        <v>85</v>
      </c>
      <c r="C7093" s="1">
        <v>808967.0</v>
      </c>
      <c r="D7093" s="1" t="s">
        <v>533</v>
      </c>
      <c r="E7093" s="1" t="s">
        <v>927</v>
      </c>
      <c r="F7093" s="1" t="s">
        <v>927</v>
      </c>
      <c r="G7093" s="1">
        <v>76.0</v>
      </c>
      <c r="H7093" s="1">
        <v>4.734098517</v>
      </c>
      <c r="I7093" s="1">
        <v>5.19</v>
      </c>
      <c r="J7093" s="1">
        <v>1.286155</v>
      </c>
    </row>
    <row r="7094">
      <c r="A7094" s="1">
        <v>2025.0</v>
      </c>
      <c r="B7094" s="1" t="s">
        <v>761</v>
      </c>
      <c r="C7094" s="1">
        <v>691172.0</v>
      </c>
      <c r="D7094" s="1" t="s">
        <v>532</v>
      </c>
      <c r="E7094" s="1" t="s">
        <v>927</v>
      </c>
      <c r="F7094" s="1" t="s">
        <v>926</v>
      </c>
      <c r="G7094" s="1">
        <v>11.0</v>
      </c>
      <c r="H7094" s="1">
        <v>0.576190476</v>
      </c>
      <c r="I7094" s="1">
        <v>5.36</v>
      </c>
      <c r="J7094" s="1">
        <v>0.173996</v>
      </c>
    </row>
    <row r="7095">
      <c r="A7095" s="1">
        <v>2025.0</v>
      </c>
      <c r="B7095" s="1" t="s">
        <v>761</v>
      </c>
      <c r="C7095" s="1">
        <v>691172.0</v>
      </c>
      <c r="D7095" s="1" t="s">
        <v>537</v>
      </c>
      <c r="E7095" s="1" t="s">
        <v>927</v>
      </c>
      <c r="F7095" s="1" t="s">
        <v>926</v>
      </c>
      <c r="G7095" s="1">
        <v>8.0</v>
      </c>
      <c r="H7095" s="1">
        <v>0.419047619</v>
      </c>
      <c r="I7095" s="1">
        <v>5.31</v>
      </c>
      <c r="J7095" s="1">
        <v>0.127237</v>
      </c>
    </row>
    <row r="7096">
      <c r="A7096" s="1">
        <v>2025.0</v>
      </c>
      <c r="B7096" s="1" t="s">
        <v>761</v>
      </c>
      <c r="C7096" s="1">
        <v>691172.0</v>
      </c>
      <c r="D7096" s="1" t="s">
        <v>536</v>
      </c>
      <c r="E7096" s="1" t="s">
        <v>927</v>
      </c>
      <c r="F7096" s="1" t="s">
        <v>926</v>
      </c>
      <c r="G7096" s="1">
        <v>17.0</v>
      </c>
      <c r="H7096" s="1">
        <v>0.89047619</v>
      </c>
      <c r="I7096" s="1">
        <v>4.85</v>
      </c>
      <c r="J7096" s="1">
        <v>0.436849</v>
      </c>
    </row>
    <row r="7097">
      <c r="A7097" s="1">
        <v>2025.0</v>
      </c>
      <c r="B7097" s="1" t="s">
        <v>761</v>
      </c>
      <c r="C7097" s="1">
        <v>691172.0</v>
      </c>
      <c r="D7097" s="1" t="s">
        <v>533</v>
      </c>
      <c r="E7097" s="1" t="s">
        <v>927</v>
      </c>
      <c r="F7097" s="1" t="s">
        <v>926</v>
      </c>
      <c r="G7097" s="1">
        <v>16.0</v>
      </c>
      <c r="H7097" s="1">
        <v>0.838095238</v>
      </c>
      <c r="I7097" s="1">
        <v>5.11</v>
      </c>
      <c r="J7097" s="1">
        <v>0.303964</v>
      </c>
    </row>
    <row r="7098">
      <c r="A7098" s="1">
        <v>2025.0</v>
      </c>
      <c r="B7098" s="1" t="s">
        <v>761</v>
      </c>
      <c r="C7098" s="1">
        <v>691172.0</v>
      </c>
      <c r="D7098" s="1" t="s">
        <v>537</v>
      </c>
      <c r="E7098" s="1" t="s">
        <v>927</v>
      </c>
      <c r="F7098" s="1" t="s">
        <v>927</v>
      </c>
      <c r="G7098" s="1">
        <v>17.0</v>
      </c>
      <c r="H7098" s="1">
        <v>0.89047619</v>
      </c>
      <c r="I7098" s="1">
        <v>4.71</v>
      </c>
      <c r="J7098" s="1">
        <v>0.431898</v>
      </c>
    </row>
    <row r="7099">
      <c r="A7099" s="1">
        <v>2025.0</v>
      </c>
      <c r="B7099" s="1" t="s">
        <v>761</v>
      </c>
      <c r="C7099" s="1">
        <v>691172.0</v>
      </c>
      <c r="D7099" s="1" t="s">
        <v>536</v>
      </c>
      <c r="E7099" s="1" t="s">
        <v>927</v>
      </c>
      <c r="F7099" s="1" t="s">
        <v>927</v>
      </c>
      <c r="G7099" s="1">
        <v>39.0</v>
      </c>
      <c r="H7099" s="1">
        <v>2.042857143</v>
      </c>
      <c r="I7099" s="1">
        <v>4.82</v>
      </c>
      <c r="J7099" s="1">
        <v>1.002909</v>
      </c>
    </row>
    <row r="7100">
      <c r="A7100" s="1">
        <v>2025.0</v>
      </c>
      <c r="B7100" s="1" t="s">
        <v>761</v>
      </c>
      <c r="C7100" s="1">
        <v>691172.0</v>
      </c>
      <c r="D7100" s="1" t="s">
        <v>533</v>
      </c>
      <c r="E7100" s="1" t="s">
        <v>927</v>
      </c>
      <c r="F7100" s="1" t="s">
        <v>927</v>
      </c>
      <c r="G7100" s="1">
        <v>32.0</v>
      </c>
      <c r="H7100" s="1">
        <v>1.676190476</v>
      </c>
      <c r="I7100" s="1">
        <v>4.84</v>
      </c>
      <c r="J7100" s="1">
        <v>0.75097</v>
      </c>
    </row>
    <row r="7101">
      <c r="A7101" s="1">
        <v>2025.0</v>
      </c>
      <c r="B7101" s="1" t="s">
        <v>300</v>
      </c>
      <c r="C7101" s="1">
        <v>506433.0</v>
      </c>
      <c r="D7101" s="1" t="s">
        <v>532</v>
      </c>
      <c r="E7101" s="1" t="s">
        <v>927</v>
      </c>
      <c r="F7101" s="1" t="s">
        <v>926</v>
      </c>
      <c r="G7101" s="1">
        <v>4.0</v>
      </c>
      <c r="H7101" s="1">
        <v>0.248704663</v>
      </c>
      <c r="I7101" s="1">
        <v>2.68</v>
      </c>
      <c r="J7101" s="1">
        <v>0.28801</v>
      </c>
    </row>
    <row r="7102">
      <c r="A7102" s="1">
        <v>2025.0</v>
      </c>
      <c r="B7102" s="1" t="s">
        <v>300</v>
      </c>
      <c r="C7102" s="1">
        <v>506433.0</v>
      </c>
      <c r="D7102" s="1" t="s">
        <v>541</v>
      </c>
      <c r="E7102" s="1" t="s">
        <v>927</v>
      </c>
      <c r="F7102" s="1" t="s">
        <v>926</v>
      </c>
      <c r="G7102" s="1">
        <v>119.0</v>
      </c>
      <c r="H7102" s="1">
        <v>7.398963731</v>
      </c>
      <c r="I7102" s="1">
        <v>4.68</v>
      </c>
      <c r="J7102" s="1">
        <v>3.435879</v>
      </c>
    </row>
    <row r="7103">
      <c r="A7103" s="1">
        <v>2025.0</v>
      </c>
      <c r="B7103" s="1" t="s">
        <v>300</v>
      </c>
      <c r="C7103" s="1">
        <v>506433.0</v>
      </c>
      <c r="D7103" s="1" t="s">
        <v>540</v>
      </c>
      <c r="E7103" s="1" t="s">
        <v>927</v>
      </c>
      <c r="F7103" s="1" t="s">
        <v>926</v>
      </c>
      <c r="G7103" s="1">
        <v>75.0</v>
      </c>
      <c r="H7103" s="1">
        <v>4.663212435</v>
      </c>
      <c r="I7103" s="1">
        <v>5.57</v>
      </c>
      <c r="J7103" s="1">
        <v>0.8586</v>
      </c>
    </row>
    <row r="7104">
      <c r="A7104" s="1">
        <v>2025.0</v>
      </c>
      <c r="B7104" s="1" t="s">
        <v>300</v>
      </c>
      <c r="C7104" s="1">
        <v>506433.0</v>
      </c>
      <c r="D7104" s="1" t="s">
        <v>537</v>
      </c>
      <c r="E7104" s="1" t="s">
        <v>927</v>
      </c>
      <c r="F7104" s="1" t="s">
        <v>926</v>
      </c>
      <c r="G7104" s="1">
        <v>81.0</v>
      </c>
      <c r="H7104" s="1">
        <v>5.03626943</v>
      </c>
      <c r="I7104" s="1">
        <v>4.99</v>
      </c>
      <c r="J7104" s="1">
        <v>1.859937</v>
      </c>
    </row>
    <row r="7105">
      <c r="A7105" s="1">
        <v>2025.0</v>
      </c>
      <c r="B7105" s="1" t="s">
        <v>300</v>
      </c>
      <c r="C7105" s="1">
        <v>506433.0</v>
      </c>
      <c r="D7105" s="1" t="s">
        <v>538</v>
      </c>
      <c r="E7105" s="1" t="s">
        <v>927</v>
      </c>
      <c r="F7105" s="1" t="s">
        <v>926</v>
      </c>
      <c r="G7105" s="1">
        <v>90.0</v>
      </c>
      <c r="H7105" s="1">
        <v>5.595854922</v>
      </c>
      <c r="I7105" s="1">
        <v>4.28</v>
      </c>
      <c r="J7105" s="1">
        <v>3.288675</v>
      </c>
    </row>
    <row r="7106">
      <c r="A7106" s="1">
        <v>2025.0</v>
      </c>
      <c r="B7106" s="1" t="s">
        <v>300</v>
      </c>
      <c r="C7106" s="1">
        <v>506433.0</v>
      </c>
      <c r="D7106" s="1" t="s">
        <v>536</v>
      </c>
      <c r="E7106" s="1" t="s">
        <v>927</v>
      </c>
      <c r="F7106" s="1" t="s">
        <v>926</v>
      </c>
      <c r="G7106" s="1">
        <v>125.0</v>
      </c>
      <c r="H7106" s="1">
        <v>7.772020725</v>
      </c>
      <c r="I7106" s="1">
        <v>4.51</v>
      </c>
      <c r="J7106" s="1">
        <v>4.229458</v>
      </c>
    </row>
    <row r="7107">
      <c r="A7107" s="1">
        <v>2025.0</v>
      </c>
      <c r="B7107" s="1" t="s">
        <v>300</v>
      </c>
      <c r="C7107" s="1">
        <v>506433.0</v>
      </c>
      <c r="D7107" s="1" t="s">
        <v>533</v>
      </c>
      <c r="E7107" s="1" t="s">
        <v>927</v>
      </c>
      <c r="F7107" s="1" t="s">
        <v>926</v>
      </c>
      <c r="G7107" s="1">
        <v>79.0</v>
      </c>
      <c r="H7107" s="1">
        <v>4.911917098</v>
      </c>
      <c r="I7107" s="1">
        <v>5.68</v>
      </c>
      <c r="J7107" s="1">
        <v>0.740565</v>
      </c>
    </row>
    <row r="7108">
      <c r="A7108" s="1">
        <v>2025.0</v>
      </c>
      <c r="B7108" s="1" t="s">
        <v>300</v>
      </c>
      <c r="C7108" s="1">
        <v>506433.0</v>
      </c>
      <c r="D7108" s="1" t="s">
        <v>539</v>
      </c>
      <c r="E7108" s="1" t="s">
        <v>927</v>
      </c>
      <c r="F7108" s="1" t="s">
        <v>926</v>
      </c>
      <c r="G7108" s="1">
        <v>42.0</v>
      </c>
      <c r="H7108" s="1">
        <v>2.611398964</v>
      </c>
      <c r="I7108" s="1">
        <v>5.35</v>
      </c>
      <c r="J7108" s="1">
        <v>0.653612</v>
      </c>
    </row>
    <row r="7109">
      <c r="A7109" s="1">
        <v>2025.0</v>
      </c>
      <c r="B7109" s="1" t="s">
        <v>300</v>
      </c>
      <c r="C7109" s="1">
        <v>506433.0</v>
      </c>
      <c r="D7109" s="1" t="s">
        <v>532</v>
      </c>
      <c r="E7109" s="1" t="s">
        <v>927</v>
      </c>
      <c r="F7109" s="1" t="s">
        <v>927</v>
      </c>
      <c r="G7109" s="1">
        <v>2.0</v>
      </c>
      <c r="H7109" s="1">
        <v>0.124352332</v>
      </c>
      <c r="I7109" s="1">
        <v>4.64</v>
      </c>
      <c r="J7109" s="1">
        <v>0.056439</v>
      </c>
    </row>
    <row r="7110">
      <c r="A7110" s="1">
        <v>2025.0</v>
      </c>
      <c r="B7110" s="1" t="s">
        <v>300</v>
      </c>
      <c r="C7110" s="1">
        <v>506433.0</v>
      </c>
      <c r="D7110" s="1" t="s">
        <v>541</v>
      </c>
      <c r="E7110" s="1" t="s">
        <v>927</v>
      </c>
      <c r="F7110" s="1" t="s">
        <v>927</v>
      </c>
      <c r="G7110" s="1">
        <v>74.0</v>
      </c>
      <c r="H7110" s="1">
        <v>4.601036269</v>
      </c>
      <c r="I7110" s="1">
        <v>4.74</v>
      </c>
      <c r="J7110" s="1">
        <v>2.026544</v>
      </c>
    </row>
    <row r="7111">
      <c r="A7111" s="1">
        <v>2025.0</v>
      </c>
      <c r="B7111" s="1" t="s">
        <v>300</v>
      </c>
      <c r="C7111" s="1">
        <v>506433.0</v>
      </c>
      <c r="D7111" s="1" t="s">
        <v>540</v>
      </c>
      <c r="E7111" s="1" t="s">
        <v>927</v>
      </c>
      <c r="F7111" s="1" t="s">
        <v>927</v>
      </c>
      <c r="G7111" s="1">
        <v>66.0</v>
      </c>
      <c r="H7111" s="1">
        <v>4.103626943</v>
      </c>
      <c r="I7111" s="1">
        <v>5.54</v>
      </c>
      <c r="J7111" s="1">
        <v>0.797391</v>
      </c>
    </row>
    <row r="7112">
      <c r="A7112" s="1">
        <v>2025.0</v>
      </c>
      <c r="B7112" s="1" t="s">
        <v>300</v>
      </c>
      <c r="C7112" s="1">
        <v>506433.0</v>
      </c>
      <c r="D7112" s="1" t="s">
        <v>537</v>
      </c>
      <c r="E7112" s="1" t="s">
        <v>927</v>
      </c>
      <c r="F7112" s="1" t="s">
        <v>927</v>
      </c>
      <c r="G7112" s="1">
        <v>91.0</v>
      </c>
      <c r="H7112" s="1">
        <v>5.658031088</v>
      </c>
      <c r="I7112" s="1">
        <v>5.17</v>
      </c>
      <c r="J7112" s="1">
        <v>1.679819</v>
      </c>
    </row>
    <row r="7113">
      <c r="A7113" s="1">
        <v>2025.0</v>
      </c>
      <c r="B7113" s="1" t="s">
        <v>300</v>
      </c>
      <c r="C7113" s="1">
        <v>506433.0</v>
      </c>
      <c r="D7113" s="1" t="s">
        <v>538</v>
      </c>
      <c r="E7113" s="1" t="s">
        <v>927</v>
      </c>
      <c r="F7113" s="1" t="s">
        <v>927</v>
      </c>
      <c r="G7113" s="1">
        <v>33.0</v>
      </c>
      <c r="H7113" s="1">
        <v>2.051813472</v>
      </c>
      <c r="I7113" s="1">
        <v>4.75</v>
      </c>
      <c r="J7113" s="1">
        <v>0.856463</v>
      </c>
    </row>
    <row r="7114">
      <c r="A7114" s="1">
        <v>2025.0</v>
      </c>
      <c r="B7114" s="1" t="s">
        <v>300</v>
      </c>
      <c r="C7114" s="1">
        <v>506433.0</v>
      </c>
      <c r="D7114" s="1" t="s">
        <v>536</v>
      </c>
      <c r="E7114" s="1" t="s">
        <v>927</v>
      </c>
      <c r="F7114" s="1" t="s">
        <v>927</v>
      </c>
      <c r="G7114" s="1">
        <v>121.0</v>
      </c>
      <c r="H7114" s="1">
        <v>7.523316062</v>
      </c>
      <c r="I7114" s="1">
        <v>4.7</v>
      </c>
      <c r="J7114" s="1">
        <v>3.523619</v>
      </c>
    </row>
    <row r="7115">
      <c r="A7115" s="1">
        <v>2025.0</v>
      </c>
      <c r="B7115" s="1" t="s">
        <v>300</v>
      </c>
      <c r="C7115" s="1">
        <v>506433.0</v>
      </c>
      <c r="D7115" s="1" t="s">
        <v>533</v>
      </c>
      <c r="E7115" s="1" t="s">
        <v>927</v>
      </c>
      <c r="F7115" s="1" t="s">
        <v>927</v>
      </c>
      <c r="G7115" s="1">
        <v>93.0</v>
      </c>
      <c r="H7115" s="1">
        <v>5.78238342</v>
      </c>
      <c r="I7115" s="1">
        <v>5.51</v>
      </c>
      <c r="J7115" s="1">
        <v>1.192311</v>
      </c>
    </row>
    <row r="7116">
      <c r="A7116" s="1">
        <v>2025.0</v>
      </c>
      <c r="B7116" s="1" t="s">
        <v>300</v>
      </c>
      <c r="C7116" s="1">
        <v>506433.0</v>
      </c>
      <c r="D7116" s="1" t="s">
        <v>539</v>
      </c>
      <c r="E7116" s="1" t="s">
        <v>927</v>
      </c>
      <c r="F7116" s="1" t="s">
        <v>927</v>
      </c>
      <c r="G7116" s="1">
        <v>63.0</v>
      </c>
      <c r="H7116" s="1">
        <v>3.917098446</v>
      </c>
      <c r="I7116" s="1">
        <v>5.39</v>
      </c>
      <c r="J7116" s="1">
        <v>0.859263</v>
      </c>
    </row>
    <row r="7117">
      <c r="A7117" s="1">
        <v>2025.0</v>
      </c>
      <c r="B7117" s="1" t="s">
        <v>284</v>
      </c>
      <c r="C7117" s="1">
        <v>673513.0</v>
      </c>
      <c r="D7117" s="1" t="s">
        <v>537</v>
      </c>
      <c r="E7117" s="1" t="s">
        <v>926</v>
      </c>
      <c r="F7117" s="1" t="s">
        <v>926</v>
      </c>
      <c r="G7117" s="1">
        <v>197.0</v>
      </c>
      <c r="H7117" s="1">
        <v>11.7482737</v>
      </c>
      <c r="I7117" s="1">
        <v>5.33</v>
      </c>
      <c r="J7117" s="1">
        <v>3.053276</v>
      </c>
    </row>
    <row r="7118">
      <c r="A7118" s="1">
        <v>2025.0</v>
      </c>
      <c r="B7118" s="1" t="s">
        <v>284</v>
      </c>
      <c r="C7118" s="1">
        <v>673513.0</v>
      </c>
      <c r="D7118" s="1" t="s">
        <v>538</v>
      </c>
      <c r="E7118" s="1" t="s">
        <v>926</v>
      </c>
      <c r="F7118" s="1" t="s">
        <v>926</v>
      </c>
      <c r="G7118" s="1">
        <v>70.0</v>
      </c>
      <c r="H7118" s="1">
        <v>4.174513497</v>
      </c>
      <c r="I7118" s="1">
        <v>4.56</v>
      </c>
      <c r="J7118" s="1">
        <v>2.106467</v>
      </c>
    </row>
    <row r="7119">
      <c r="A7119" s="1">
        <v>2025.0</v>
      </c>
      <c r="B7119" s="1" t="s">
        <v>284</v>
      </c>
      <c r="C7119" s="1">
        <v>673513.0</v>
      </c>
      <c r="D7119" s="1" t="s">
        <v>536</v>
      </c>
      <c r="E7119" s="1" t="s">
        <v>926</v>
      </c>
      <c r="F7119" s="1" t="s">
        <v>926</v>
      </c>
      <c r="G7119" s="1">
        <v>13.0</v>
      </c>
      <c r="H7119" s="1">
        <v>0.775266792</v>
      </c>
      <c r="I7119" s="1">
        <v>3.93</v>
      </c>
      <c r="J7119" s="1">
        <v>0.573718</v>
      </c>
    </row>
    <row r="7120">
      <c r="A7120" s="1">
        <v>2025.0</v>
      </c>
      <c r="B7120" s="1" t="s">
        <v>284</v>
      </c>
      <c r="C7120" s="1">
        <v>673513.0</v>
      </c>
      <c r="D7120" s="1" t="s">
        <v>533</v>
      </c>
      <c r="E7120" s="1" t="s">
        <v>926</v>
      </c>
      <c r="F7120" s="1" t="s">
        <v>926</v>
      </c>
      <c r="G7120" s="1">
        <v>105.0</v>
      </c>
      <c r="H7120" s="1">
        <v>6.261770245</v>
      </c>
      <c r="I7120" s="1">
        <v>5.13</v>
      </c>
      <c r="J7120" s="1">
        <v>2.084036</v>
      </c>
    </row>
    <row r="7121">
      <c r="A7121" s="1">
        <v>2025.0</v>
      </c>
      <c r="B7121" s="1" t="s">
        <v>284</v>
      </c>
      <c r="C7121" s="1">
        <v>673513.0</v>
      </c>
      <c r="D7121" s="1" t="s">
        <v>539</v>
      </c>
      <c r="E7121" s="1" t="s">
        <v>926</v>
      </c>
      <c r="F7121" s="1" t="s">
        <v>926</v>
      </c>
      <c r="G7121" s="1">
        <v>66.0</v>
      </c>
      <c r="H7121" s="1">
        <v>3.935969868</v>
      </c>
      <c r="I7121" s="1">
        <v>5.21</v>
      </c>
      <c r="J7121" s="1">
        <v>1.102161</v>
      </c>
    </row>
    <row r="7122">
      <c r="A7122" s="1">
        <v>2025.0</v>
      </c>
      <c r="B7122" s="1" t="s">
        <v>284</v>
      </c>
      <c r="C7122" s="1">
        <v>673513.0</v>
      </c>
      <c r="D7122" s="1" t="s">
        <v>541</v>
      </c>
      <c r="E7122" s="1" t="s">
        <v>926</v>
      </c>
      <c r="F7122" s="1" t="s">
        <v>927</v>
      </c>
      <c r="G7122" s="1">
        <v>2.0</v>
      </c>
      <c r="H7122" s="1">
        <v>0.119271814</v>
      </c>
      <c r="I7122" s="1">
        <v>5.45</v>
      </c>
      <c r="J7122" s="1">
        <v>0.024764</v>
      </c>
    </row>
    <row r="7123">
      <c r="A7123" s="1">
        <v>2025.0</v>
      </c>
      <c r="B7123" s="1" t="s">
        <v>284</v>
      </c>
      <c r="C7123" s="1">
        <v>673513.0</v>
      </c>
      <c r="D7123" s="1" t="s">
        <v>537</v>
      </c>
      <c r="E7123" s="1" t="s">
        <v>926</v>
      </c>
      <c r="F7123" s="1" t="s">
        <v>927</v>
      </c>
      <c r="G7123" s="1">
        <v>223.0</v>
      </c>
      <c r="H7123" s="1">
        <v>13.29880728</v>
      </c>
      <c r="I7123" s="1">
        <v>5.09</v>
      </c>
      <c r="J7123" s="1">
        <v>4.589203</v>
      </c>
    </row>
    <row r="7124">
      <c r="A7124" s="1">
        <v>2025.0</v>
      </c>
      <c r="B7124" s="1" t="s">
        <v>284</v>
      </c>
      <c r="C7124" s="1">
        <v>673513.0</v>
      </c>
      <c r="D7124" s="1" t="s">
        <v>538</v>
      </c>
      <c r="E7124" s="1" t="s">
        <v>926</v>
      </c>
      <c r="F7124" s="1" t="s">
        <v>927</v>
      </c>
      <c r="G7124" s="1">
        <v>271.0</v>
      </c>
      <c r="H7124" s="1">
        <v>16.16133082</v>
      </c>
      <c r="I7124" s="1">
        <v>4.78</v>
      </c>
      <c r="J7124" s="1">
        <v>6.977028</v>
      </c>
    </row>
    <row r="7125">
      <c r="A7125" s="1">
        <v>2025.0</v>
      </c>
      <c r="B7125" s="1" t="s">
        <v>284</v>
      </c>
      <c r="C7125" s="1">
        <v>673513.0</v>
      </c>
      <c r="D7125" s="1" t="s">
        <v>536</v>
      </c>
      <c r="E7125" s="1" t="s">
        <v>926</v>
      </c>
      <c r="F7125" s="1" t="s">
        <v>927</v>
      </c>
      <c r="G7125" s="1">
        <v>3.0</v>
      </c>
      <c r="H7125" s="1">
        <v>0.178907721</v>
      </c>
      <c r="I7125" s="1">
        <v>4.23</v>
      </c>
      <c r="J7125" s="1">
        <v>0.113064</v>
      </c>
    </row>
    <row r="7126">
      <c r="A7126" s="1">
        <v>2025.0</v>
      </c>
      <c r="B7126" s="1" t="s">
        <v>284</v>
      </c>
      <c r="C7126" s="1">
        <v>673513.0</v>
      </c>
      <c r="D7126" s="1" t="s">
        <v>533</v>
      </c>
      <c r="E7126" s="1" t="s">
        <v>926</v>
      </c>
      <c r="F7126" s="1" t="s">
        <v>927</v>
      </c>
      <c r="G7126" s="1">
        <v>62.0</v>
      </c>
      <c r="H7126" s="1">
        <v>3.69742624</v>
      </c>
      <c r="I7126" s="1">
        <v>5.26</v>
      </c>
      <c r="J7126" s="1">
        <v>1.083656</v>
      </c>
    </row>
    <row r="7127">
      <c r="A7127" s="1">
        <v>2025.0</v>
      </c>
      <c r="B7127" s="1" t="s">
        <v>284</v>
      </c>
      <c r="C7127" s="1">
        <v>673513.0</v>
      </c>
      <c r="D7127" s="1" t="s">
        <v>539</v>
      </c>
      <c r="E7127" s="1" t="s">
        <v>926</v>
      </c>
      <c r="F7127" s="1" t="s">
        <v>927</v>
      </c>
      <c r="G7127" s="1">
        <v>50.0</v>
      </c>
      <c r="H7127" s="1">
        <v>2.981795355</v>
      </c>
      <c r="I7127" s="1">
        <v>4.99</v>
      </c>
      <c r="J7127" s="1">
        <v>1.134433</v>
      </c>
    </row>
    <row r="7128">
      <c r="A7128" s="1">
        <v>2025.0</v>
      </c>
      <c r="B7128" s="1" t="s">
        <v>232</v>
      </c>
      <c r="C7128" s="1">
        <v>579328.0</v>
      </c>
      <c r="D7128" s="1" t="s">
        <v>532</v>
      </c>
      <c r="E7128" s="1" t="s">
        <v>926</v>
      </c>
      <c r="F7128" s="1" t="s">
        <v>926</v>
      </c>
      <c r="G7128" s="1">
        <v>8.0</v>
      </c>
      <c r="H7128" s="1">
        <v>0.461256601</v>
      </c>
      <c r="I7128" s="1">
        <v>4.47</v>
      </c>
      <c r="J7128" s="1">
        <v>0.259043</v>
      </c>
    </row>
    <row r="7129">
      <c r="A7129" s="1">
        <v>2025.0</v>
      </c>
      <c r="B7129" s="1" t="s">
        <v>232</v>
      </c>
      <c r="C7129" s="1">
        <v>579328.0</v>
      </c>
      <c r="D7129" s="1" t="s">
        <v>541</v>
      </c>
      <c r="E7129" s="1" t="s">
        <v>926</v>
      </c>
      <c r="F7129" s="1" t="s">
        <v>926</v>
      </c>
      <c r="G7129" s="1">
        <v>61.0</v>
      </c>
      <c r="H7129" s="1">
        <v>3.517081582</v>
      </c>
      <c r="I7129" s="1">
        <v>5.05</v>
      </c>
      <c r="J7129" s="1">
        <v>1.219081</v>
      </c>
    </row>
    <row r="7130">
      <c r="A7130" s="1">
        <v>2025.0</v>
      </c>
      <c r="B7130" s="1" t="s">
        <v>232</v>
      </c>
      <c r="C7130" s="1">
        <v>579328.0</v>
      </c>
      <c r="D7130" s="1" t="s">
        <v>537</v>
      </c>
      <c r="E7130" s="1" t="s">
        <v>926</v>
      </c>
      <c r="F7130" s="1" t="s">
        <v>926</v>
      </c>
      <c r="G7130" s="1">
        <v>194.0</v>
      </c>
      <c r="H7130" s="1">
        <v>11.18547257</v>
      </c>
      <c r="I7130" s="1">
        <v>5.13</v>
      </c>
      <c r="J7130" s="1">
        <v>3.740332</v>
      </c>
    </row>
    <row r="7131">
      <c r="A7131" s="1">
        <v>2025.0</v>
      </c>
      <c r="B7131" s="1" t="s">
        <v>232</v>
      </c>
      <c r="C7131" s="1">
        <v>579328.0</v>
      </c>
      <c r="D7131" s="1" t="s">
        <v>536</v>
      </c>
      <c r="E7131" s="1" t="s">
        <v>926</v>
      </c>
      <c r="F7131" s="1" t="s">
        <v>926</v>
      </c>
      <c r="G7131" s="1">
        <v>26.0</v>
      </c>
      <c r="H7131" s="1">
        <v>1.499083953</v>
      </c>
      <c r="I7131" s="1">
        <v>4.27</v>
      </c>
      <c r="J7131" s="1">
        <v>0.958515</v>
      </c>
    </row>
    <row r="7132">
      <c r="A7132" s="1">
        <v>2025.0</v>
      </c>
      <c r="B7132" s="1" t="s">
        <v>232</v>
      </c>
      <c r="C7132" s="1">
        <v>579328.0</v>
      </c>
      <c r="D7132" s="1" t="s">
        <v>533</v>
      </c>
      <c r="E7132" s="1" t="s">
        <v>926</v>
      </c>
      <c r="F7132" s="1" t="s">
        <v>926</v>
      </c>
      <c r="G7132" s="1">
        <v>309.0</v>
      </c>
      <c r="H7132" s="1">
        <v>17.81603621</v>
      </c>
      <c r="I7132" s="1">
        <v>5.56</v>
      </c>
      <c r="J7132" s="1">
        <v>3.252888</v>
      </c>
    </row>
    <row r="7133">
      <c r="A7133" s="1">
        <v>2025.0</v>
      </c>
      <c r="B7133" s="1" t="s">
        <v>232</v>
      </c>
      <c r="C7133" s="1">
        <v>579328.0</v>
      </c>
      <c r="D7133" s="1" t="s">
        <v>539</v>
      </c>
      <c r="E7133" s="1" t="s">
        <v>926</v>
      </c>
      <c r="F7133" s="1" t="s">
        <v>926</v>
      </c>
      <c r="G7133" s="1">
        <v>9.0</v>
      </c>
      <c r="H7133" s="1">
        <v>0.518913676</v>
      </c>
      <c r="I7133" s="1">
        <v>5.64</v>
      </c>
      <c r="J7133" s="1">
        <v>0.069559</v>
      </c>
    </row>
    <row r="7134">
      <c r="A7134" s="1">
        <v>2025.0</v>
      </c>
      <c r="B7134" s="1" t="s">
        <v>232</v>
      </c>
      <c r="C7134" s="1">
        <v>579328.0</v>
      </c>
      <c r="D7134" s="1" t="s">
        <v>532</v>
      </c>
      <c r="E7134" s="1" t="s">
        <v>926</v>
      </c>
      <c r="F7134" s="1" t="s">
        <v>927</v>
      </c>
      <c r="G7134" s="1">
        <v>366.0</v>
      </c>
      <c r="H7134" s="1">
        <v>21.10248949</v>
      </c>
      <c r="I7134" s="1">
        <v>4.44</v>
      </c>
      <c r="J7134" s="1">
        <v>12.055027</v>
      </c>
    </row>
    <row r="7135">
      <c r="A7135" s="1">
        <v>2025.0</v>
      </c>
      <c r="B7135" s="1" t="s">
        <v>232</v>
      </c>
      <c r="C7135" s="1">
        <v>579328.0</v>
      </c>
      <c r="D7135" s="1" t="s">
        <v>541</v>
      </c>
      <c r="E7135" s="1" t="s">
        <v>926</v>
      </c>
      <c r="F7135" s="1" t="s">
        <v>927</v>
      </c>
      <c r="G7135" s="1">
        <v>414.0</v>
      </c>
      <c r="H7135" s="1">
        <v>23.8700291</v>
      </c>
      <c r="I7135" s="1">
        <v>5.29</v>
      </c>
      <c r="J7135" s="1">
        <v>6.516623</v>
      </c>
    </row>
    <row r="7136">
      <c r="A7136" s="1">
        <v>2025.0</v>
      </c>
      <c r="B7136" s="1" t="s">
        <v>232</v>
      </c>
      <c r="C7136" s="1">
        <v>579328.0</v>
      </c>
      <c r="D7136" s="1" t="s">
        <v>537</v>
      </c>
      <c r="E7136" s="1" t="s">
        <v>926</v>
      </c>
      <c r="F7136" s="1" t="s">
        <v>927</v>
      </c>
      <c r="G7136" s="1">
        <v>887.0</v>
      </c>
      <c r="H7136" s="1">
        <v>51.14182563</v>
      </c>
      <c r="I7136" s="1">
        <v>4.9</v>
      </c>
      <c r="J7136" s="1">
        <v>21.325917</v>
      </c>
    </row>
    <row r="7137">
      <c r="A7137" s="1">
        <v>2025.0</v>
      </c>
      <c r="B7137" s="1" t="s">
        <v>232</v>
      </c>
      <c r="C7137" s="1">
        <v>579328.0</v>
      </c>
      <c r="D7137" s="1" t="s">
        <v>536</v>
      </c>
      <c r="E7137" s="1" t="s">
        <v>926</v>
      </c>
      <c r="F7137" s="1" t="s">
        <v>927</v>
      </c>
      <c r="G7137" s="1">
        <v>10.0</v>
      </c>
      <c r="H7137" s="1">
        <v>0.576570751</v>
      </c>
      <c r="I7137" s="1">
        <v>3.73</v>
      </c>
      <c r="J7137" s="1">
        <v>0.49095</v>
      </c>
    </row>
    <row r="7138">
      <c r="A7138" s="1">
        <v>2025.0</v>
      </c>
      <c r="B7138" s="1" t="s">
        <v>232</v>
      </c>
      <c r="C7138" s="1">
        <v>579328.0</v>
      </c>
      <c r="D7138" s="1" t="s">
        <v>533</v>
      </c>
      <c r="E7138" s="1" t="s">
        <v>926</v>
      </c>
      <c r="F7138" s="1" t="s">
        <v>927</v>
      </c>
      <c r="G7138" s="1">
        <v>806.0</v>
      </c>
      <c r="H7138" s="1">
        <v>46.47160254</v>
      </c>
      <c r="I7138" s="1">
        <v>5.47</v>
      </c>
      <c r="J7138" s="1">
        <v>10.248299</v>
      </c>
    </row>
    <row r="7139">
      <c r="A7139" s="1">
        <v>2025.0</v>
      </c>
      <c r="B7139" s="1" t="s">
        <v>232</v>
      </c>
      <c r="C7139" s="1">
        <v>579328.0</v>
      </c>
      <c r="D7139" s="1" t="s">
        <v>539</v>
      </c>
      <c r="E7139" s="1" t="s">
        <v>926</v>
      </c>
      <c r="F7139" s="1" t="s">
        <v>927</v>
      </c>
      <c r="G7139" s="1">
        <v>3.0</v>
      </c>
      <c r="H7139" s="1">
        <v>0.172971225</v>
      </c>
      <c r="I7139" s="1">
        <v>5.79</v>
      </c>
      <c r="J7139" s="1">
        <v>0.020393</v>
      </c>
    </row>
    <row r="7140">
      <c r="A7140" s="1">
        <v>2025.0</v>
      </c>
      <c r="B7140" s="1" t="s">
        <v>195</v>
      </c>
      <c r="C7140" s="1">
        <v>668678.0</v>
      </c>
      <c r="D7140" s="1" t="s">
        <v>532</v>
      </c>
      <c r="E7140" s="1" t="s">
        <v>927</v>
      </c>
      <c r="F7140" s="1" t="s">
        <v>926</v>
      </c>
      <c r="G7140" s="1">
        <v>381.0</v>
      </c>
      <c r="H7140" s="1">
        <v>23.3488669</v>
      </c>
      <c r="I7140" s="1">
        <v>4.98</v>
      </c>
      <c r="J7140" s="1">
        <v>8.417253</v>
      </c>
    </row>
    <row r="7141">
      <c r="A7141" s="1">
        <v>2025.0</v>
      </c>
      <c r="B7141" s="1" t="s">
        <v>195</v>
      </c>
      <c r="C7141" s="1">
        <v>668678.0</v>
      </c>
      <c r="D7141" s="1" t="s">
        <v>541</v>
      </c>
      <c r="E7141" s="1" t="s">
        <v>927</v>
      </c>
      <c r="F7141" s="1" t="s">
        <v>926</v>
      </c>
      <c r="G7141" s="1">
        <v>345.0</v>
      </c>
      <c r="H7141" s="1">
        <v>21.14267475</v>
      </c>
      <c r="I7141" s="1">
        <v>5.27</v>
      </c>
      <c r="J7141" s="1">
        <v>5.494004</v>
      </c>
    </row>
    <row r="7142">
      <c r="A7142" s="1">
        <v>2025.0</v>
      </c>
      <c r="B7142" s="1" t="s">
        <v>195</v>
      </c>
      <c r="C7142" s="1">
        <v>668678.0</v>
      </c>
      <c r="D7142" s="1" t="s">
        <v>540</v>
      </c>
      <c r="E7142" s="1" t="s">
        <v>927</v>
      </c>
      <c r="F7142" s="1" t="s">
        <v>926</v>
      </c>
      <c r="G7142" s="1">
        <v>112.0</v>
      </c>
      <c r="H7142" s="1">
        <v>6.863708905</v>
      </c>
      <c r="I7142" s="1">
        <v>5.05</v>
      </c>
      <c r="J7142" s="1">
        <v>2.435653</v>
      </c>
    </row>
    <row r="7143">
      <c r="A7143" s="1">
        <v>2025.0</v>
      </c>
      <c r="B7143" s="1" t="s">
        <v>195</v>
      </c>
      <c r="C7143" s="1">
        <v>668678.0</v>
      </c>
      <c r="D7143" s="1" t="s">
        <v>537</v>
      </c>
      <c r="E7143" s="1" t="s">
        <v>927</v>
      </c>
      <c r="F7143" s="1" t="s">
        <v>926</v>
      </c>
      <c r="G7143" s="1">
        <v>665.0</v>
      </c>
      <c r="H7143" s="1">
        <v>40.75327162</v>
      </c>
      <c r="I7143" s="1">
        <v>5.09</v>
      </c>
      <c r="J7143" s="1">
        <v>13.272821</v>
      </c>
    </row>
    <row r="7144">
      <c r="A7144" s="1">
        <v>2025.0</v>
      </c>
      <c r="B7144" s="1" t="s">
        <v>195</v>
      </c>
      <c r="C7144" s="1">
        <v>668678.0</v>
      </c>
      <c r="D7144" s="1" t="s">
        <v>536</v>
      </c>
      <c r="E7144" s="1" t="s">
        <v>927</v>
      </c>
      <c r="F7144" s="1" t="s">
        <v>926</v>
      </c>
      <c r="G7144" s="1">
        <v>7.0</v>
      </c>
      <c r="H7144" s="1">
        <v>0.428981807</v>
      </c>
      <c r="I7144" s="1">
        <v>3.46</v>
      </c>
      <c r="J7144" s="1">
        <v>0.371896</v>
      </c>
    </row>
    <row r="7145">
      <c r="A7145" s="1">
        <v>2025.0</v>
      </c>
      <c r="B7145" s="1" t="s">
        <v>195</v>
      </c>
      <c r="C7145" s="1">
        <v>668678.0</v>
      </c>
      <c r="D7145" s="1" t="s">
        <v>533</v>
      </c>
      <c r="E7145" s="1" t="s">
        <v>927</v>
      </c>
      <c r="F7145" s="1" t="s">
        <v>926</v>
      </c>
      <c r="G7145" s="1">
        <v>15.0</v>
      </c>
      <c r="H7145" s="1">
        <v>0.919246728</v>
      </c>
      <c r="I7145" s="1">
        <v>3.02</v>
      </c>
      <c r="J7145" s="1">
        <v>0.914014</v>
      </c>
    </row>
    <row r="7146">
      <c r="A7146" s="1">
        <v>2025.0</v>
      </c>
      <c r="B7146" s="1" t="s">
        <v>195</v>
      </c>
      <c r="C7146" s="1">
        <v>668678.0</v>
      </c>
      <c r="D7146" s="1" t="s">
        <v>532</v>
      </c>
      <c r="E7146" s="1" t="s">
        <v>927</v>
      </c>
      <c r="F7146" s="1" t="s">
        <v>927</v>
      </c>
      <c r="G7146" s="1">
        <v>120.0</v>
      </c>
      <c r="H7146" s="1">
        <v>7.353973827</v>
      </c>
      <c r="I7146" s="1">
        <v>5.15</v>
      </c>
      <c r="J7146" s="1">
        <v>2.155653</v>
      </c>
    </row>
    <row r="7147">
      <c r="A7147" s="1">
        <v>2025.0</v>
      </c>
      <c r="B7147" s="1" t="s">
        <v>195</v>
      </c>
      <c r="C7147" s="1">
        <v>668678.0</v>
      </c>
      <c r="D7147" s="1" t="s">
        <v>541</v>
      </c>
      <c r="E7147" s="1" t="s">
        <v>927</v>
      </c>
      <c r="F7147" s="1" t="s">
        <v>927</v>
      </c>
      <c r="G7147" s="1">
        <v>390.0</v>
      </c>
      <c r="H7147" s="1">
        <v>23.90041494</v>
      </c>
      <c r="I7147" s="1">
        <v>5.14</v>
      </c>
      <c r="J7147" s="1">
        <v>7.240337</v>
      </c>
    </row>
    <row r="7148">
      <c r="A7148" s="1">
        <v>2025.0</v>
      </c>
      <c r="B7148" s="1" t="s">
        <v>195</v>
      </c>
      <c r="C7148" s="1">
        <v>668678.0</v>
      </c>
      <c r="D7148" s="1" t="s">
        <v>540</v>
      </c>
      <c r="E7148" s="1" t="s">
        <v>927</v>
      </c>
      <c r="F7148" s="1" t="s">
        <v>927</v>
      </c>
      <c r="G7148" s="1">
        <v>70.0</v>
      </c>
      <c r="H7148" s="1">
        <v>4.289818066</v>
      </c>
      <c r="I7148" s="1">
        <v>5.33</v>
      </c>
      <c r="J7148" s="1">
        <v>1.12138</v>
      </c>
    </row>
    <row r="7149">
      <c r="A7149" s="1">
        <v>2025.0</v>
      </c>
      <c r="B7149" s="1" t="s">
        <v>195</v>
      </c>
      <c r="C7149" s="1">
        <v>668678.0</v>
      </c>
      <c r="D7149" s="1" t="s">
        <v>537</v>
      </c>
      <c r="E7149" s="1" t="s">
        <v>927</v>
      </c>
      <c r="F7149" s="1" t="s">
        <v>927</v>
      </c>
      <c r="G7149" s="1">
        <v>747.0</v>
      </c>
      <c r="H7149" s="1">
        <v>45.77848707</v>
      </c>
      <c r="I7149" s="1">
        <v>5.08</v>
      </c>
      <c r="J7149" s="1">
        <v>15.293267</v>
      </c>
    </row>
    <row r="7150">
      <c r="A7150" s="1">
        <v>2025.0</v>
      </c>
      <c r="B7150" s="1" t="s">
        <v>195</v>
      </c>
      <c r="C7150" s="1">
        <v>668678.0</v>
      </c>
      <c r="D7150" s="1" t="s">
        <v>536</v>
      </c>
      <c r="E7150" s="1" t="s">
        <v>927</v>
      </c>
      <c r="F7150" s="1" t="s">
        <v>927</v>
      </c>
      <c r="G7150" s="1">
        <v>70.0</v>
      </c>
      <c r="H7150" s="1">
        <v>4.289818066</v>
      </c>
      <c r="I7150" s="1">
        <v>5.08</v>
      </c>
      <c r="J7150" s="1">
        <v>1.460884</v>
      </c>
    </row>
    <row r="7151">
      <c r="A7151" s="1">
        <v>2025.0</v>
      </c>
      <c r="B7151" s="1" t="s">
        <v>195</v>
      </c>
      <c r="C7151" s="1">
        <v>668678.0</v>
      </c>
      <c r="D7151" s="1" t="s">
        <v>533</v>
      </c>
      <c r="E7151" s="1" t="s">
        <v>927</v>
      </c>
      <c r="F7151" s="1" t="s">
        <v>927</v>
      </c>
      <c r="G7151" s="1">
        <v>211.0</v>
      </c>
      <c r="H7151" s="1">
        <v>12.93073731</v>
      </c>
      <c r="I7151" s="1">
        <v>5.14</v>
      </c>
      <c r="J7151" s="1">
        <v>4.017388</v>
      </c>
    </row>
    <row r="7152">
      <c r="A7152" s="1">
        <v>2025.0</v>
      </c>
      <c r="B7152" s="1" t="s">
        <v>512</v>
      </c>
      <c r="C7152" s="1">
        <v>688642.0</v>
      </c>
      <c r="D7152" s="1" t="s">
        <v>540</v>
      </c>
      <c r="E7152" s="1" t="s">
        <v>927</v>
      </c>
      <c r="F7152" s="1" t="s">
        <v>926</v>
      </c>
      <c r="G7152" s="1">
        <v>77.0</v>
      </c>
      <c r="H7152" s="1">
        <v>4.578115117</v>
      </c>
      <c r="I7152" s="1">
        <v>4.9</v>
      </c>
      <c r="J7152" s="1">
        <v>1.844463</v>
      </c>
    </row>
    <row r="7153">
      <c r="A7153" s="1">
        <v>2025.0</v>
      </c>
      <c r="B7153" s="1" t="s">
        <v>512</v>
      </c>
      <c r="C7153" s="1">
        <v>688642.0</v>
      </c>
      <c r="D7153" s="1" t="s">
        <v>537</v>
      </c>
      <c r="E7153" s="1" t="s">
        <v>927</v>
      </c>
      <c r="F7153" s="1" t="s">
        <v>926</v>
      </c>
      <c r="G7153" s="1">
        <v>83.0</v>
      </c>
      <c r="H7153" s="1">
        <v>4.93485136</v>
      </c>
      <c r="I7153" s="1">
        <v>4.84</v>
      </c>
      <c r="J7153" s="1">
        <v>2.181878</v>
      </c>
    </row>
    <row r="7154">
      <c r="A7154" s="1">
        <v>2025.0</v>
      </c>
      <c r="B7154" s="1" t="s">
        <v>512</v>
      </c>
      <c r="C7154" s="1">
        <v>688642.0</v>
      </c>
      <c r="D7154" s="1" t="s">
        <v>538</v>
      </c>
      <c r="E7154" s="1" t="s">
        <v>927</v>
      </c>
      <c r="F7154" s="1" t="s">
        <v>926</v>
      </c>
      <c r="G7154" s="1">
        <v>91.0</v>
      </c>
      <c r="H7154" s="1">
        <v>5.410499684</v>
      </c>
      <c r="I7154" s="1">
        <v>4.63</v>
      </c>
      <c r="J7154" s="1">
        <v>2.639779</v>
      </c>
    </row>
    <row r="7155">
      <c r="A7155" s="1">
        <v>2025.0</v>
      </c>
      <c r="B7155" s="1" t="s">
        <v>512</v>
      </c>
      <c r="C7155" s="1">
        <v>688642.0</v>
      </c>
      <c r="D7155" s="1" t="s">
        <v>539</v>
      </c>
      <c r="E7155" s="1" t="s">
        <v>927</v>
      </c>
      <c r="F7155" s="1" t="s">
        <v>926</v>
      </c>
      <c r="G7155" s="1">
        <v>11.0</v>
      </c>
      <c r="H7155" s="1">
        <v>0.654016445</v>
      </c>
      <c r="I7155" s="1">
        <v>4.53</v>
      </c>
      <c r="J7155" s="1">
        <v>0.325896</v>
      </c>
    </row>
    <row r="7156">
      <c r="A7156" s="1">
        <v>2025.0</v>
      </c>
      <c r="B7156" s="1" t="s">
        <v>512</v>
      </c>
      <c r="C7156" s="1">
        <v>688642.0</v>
      </c>
      <c r="D7156" s="1" t="s">
        <v>540</v>
      </c>
      <c r="E7156" s="1" t="s">
        <v>927</v>
      </c>
      <c r="F7156" s="1" t="s">
        <v>927</v>
      </c>
      <c r="G7156" s="1">
        <v>99.0</v>
      </c>
      <c r="H7156" s="1">
        <v>5.886148008</v>
      </c>
      <c r="I7156" s="1">
        <v>5.04</v>
      </c>
      <c r="J7156" s="1">
        <v>2.17731</v>
      </c>
    </row>
    <row r="7157">
      <c r="A7157" s="1">
        <v>2025.0</v>
      </c>
      <c r="B7157" s="1" t="s">
        <v>512</v>
      </c>
      <c r="C7157" s="1">
        <v>688642.0</v>
      </c>
      <c r="D7157" s="1" t="s">
        <v>537</v>
      </c>
      <c r="E7157" s="1" t="s">
        <v>927</v>
      </c>
      <c r="F7157" s="1" t="s">
        <v>927</v>
      </c>
      <c r="G7157" s="1">
        <v>72.0</v>
      </c>
      <c r="H7157" s="1">
        <v>4.280834915</v>
      </c>
      <c r="I7157" s="1">
        <v>4.45</v>
      </c>
      <c r="J7157" s="1">
        <v>2.40392</v>
      </c>
    </row>
    <row r="7158">
      <c r="A7158" s="1">
        <v>2025.0</v>
      </c>
      <c r="B7158" s="1" t="s">
        <v>512</v>
      </c>
      <c r="C7158" s="1">
        <v>688642.0</v>
      </c>
      <c r="D7158" s="1" t="s">
        <v>538</v>
      </c>
      <c r="E7158" s="1" t="s">
        <v>927</v>
      </c>
      <c r="F7158" s="1" t="s">
        <v>927</v>
      </c>
      <c r="G7158" s="1">
        <v>17.0</v>
      </c>
      <c r="H7158" s="1">
        <v>1.010752688</v>
      </c>
      <c r="I7158" s="1">
        <v>4.95</v>
      </c>
      <c r="J7158" s="1">
        <v>0.377671</v>
      </c>
    </row>
    <row r="7159">
      <c r="A7159" s="1">
        <v>2025.0</v>
      </c>
      <c r="B7159" s="1" t="s">
        <v>512</v>
      </c>
      <c r="C7159" s="1">
        <v>688642.0</v>
      </c>
      <c r="D7159" s="1" t="s">
        <v>533</v>
      </c>
      <c r="E7159" s="1" t="s">
        <v>927</v>
      </c>
      <c r="F7159" s="1" t="s">
        <v>927</v>
      </c>
      <c r="G7159" s="1">
        <v>4.0</v>
      </c>
      <c r="H7159" s="1">
        <v>0.237824162</v>
      </c>
      <c r="I7159" s="1">
        <v>4.59</v>
      </c>
      <c r="J7159" s="1">
        <v>0.110557</v>
      </c>
    </row>
    <row r="7160">
      <c r="A7160" s="1">
        <v>2025.0</v>
      </c>
      <c r="B7160" s="1" t="s">
        <v>512</v>
      </c>
      <c r="C7160" s="1">
        <v>688642.0</v>
      </c>
      <c r="D7160" s="1" t="s">
        <v>539</v>
      </c>
      <c r="E7160" s="1" t="s">
        <v>927</v>
      </c>
      <c r="F7160" s="1" t="s">
        <v>927</v>
      </c>
      <c r="G7160" s="1">
        <v>73.0</v>
      </c>
      <c r="H7160" s="1">
        <v>4.340290955</v>
      </c>
      <c r="I7160" s="1">
        <v>4.56</v>
      </c>
      <c r="J7160" s="1">
        <v>2.203584</v>
      </c>
    </row>
    <row r="7161">
      <c r="A7161" s="1">
        <v>2025.0</v>
      </c>
      <c r="B7161" s="1" t="s">
        <v>818</v>
      </c>
      <c r="C7161" s="1">
        <v>694350.0</v>
      </c>
      <c r="D7161" s="1" t="s">
        <v>532</v>
      </c>
      <c r="E7161" s="1" t="s">
        <v>927</v>
      </c>
      <c r="F7161" s="1" t="s">
        <v>926</v>
      </c>
      <c r="G7161" s="1">
        <v>82.0</v>
      </c>
      <c r="H7161" s="1">
        <v>4.108932462</v>
      </c>
      <c r="I7161" s="1">
        <v>4.7</v>
      </c>
      <c r="J7161" s="1">
        <v>2.295284</v>
      </c>
    </row>
    <row r="7162">
      <c r="A7162" s="1">
        <v>2025.0</v>
      </c>
      <c r="B7162" s="1" t="s">
        <v>818</v>
      </c>
      <c r="C7162" s="1">
        <v>694350.0</v>
      </c>
      <c r="D7162" s="1" t="s">
        <v>541</v>
      </c>
      <c r="E7162" s="1" t="s">
        <v>927</v>
      </c>
      <c r="F7162" s="1" t="s">
        <v>926</v>
      </c>
      <c r="G7162" s="1">
        <v>39.0</v>
      </c>
      <c r="H7162" s="1">
        <v>1.954248366</v>
      </c>
      <c r="I7162" s="1">
        <v>5.29</v>
      </c>
      <c r="J7162" s="1">
        <v>0.618436</v>
      </c>
    </row>
    <row r="7163">
      <c r="A7163" s="1">
        <v>2025.0</v>
      </c>
      <c r="B7163" s="1" t="s">
        <v>818</v>
      </c>
      <c r="C7163" s="1">
        <v>694350.0</v>
      </c>
      <c r="D7163" s="1" t="s">
        <v>537</v>
      </c>
      <c r="E7163" s="1" t="s">
        <v>927</v>
      </c>
      <c r="F7163" s="1" t="s">
        <v>926</v>
      </c>
      <c r="G7163" s="1">
        <v>119.0</v>
      </c>
      <c r="H7163" s="1">
        <v>5.962962963</v>
      </c>
      <c r="I7163" s="1">
        <v>4.75</v>
      </c>
      <c r="J7163" s="1">
        <v>3.306614</v>
      </c>
    </row>
    <row r="7164">
      <c r="A7164" s="1">
        <v>2025.0</v>
      </c>
      <c r="B7164" s="1" t="s">
        <v>818</v>
      </c>
      <c r="C7164" s="1">
        <v>694350.0</v>
      </c>
      <c r="D7164" s="1" t="s">
        <v>532</v>
      </c>
      <c r="E7164" s="1" t="s">
        <v>927</v>
      </c>
      <c r="F7164" s="1" t="s">
        <v>927</v>
      </c>
      <c r="G7164" s="1">
        <v>20.0</v>
      </c>
      <c r="H7164" s="1">
        <v>1.002178649</v>
      </c>
      <c r="I7164" s="1">
        <v>5.04</v>
      </c>
      <c r="J7164" s="1">
        <v>0.429331</v>
      </c>
    </row>
    <row r="7165">
      <c r="A7165" s="1">
        <v>2025.0</v>
      </c>
      <c r="B7165" s="1" t="s">
        <v>818</v>
      </c>
      <c r="C7165" s="1">
        <v>694350.0</v>
      </c>
      <c r="D7165" s="1" t="s">
        <v>541</v>
      </c>
      <c r="E7165" s="1" t="s">
        <v>927</v>
      </c>
      <c r="F7165" s="1" t="s">
        <v>927</v>
      </c>
      <c r="G7165" s="1">
        <v>73.0</v>
      </c>
      <c r="H7165" s="1">
        <v>3.65795207</v>
      </c>
      <c r="I7165" s="1">
        <v>4.68</v>
      </c>
      <c r="J7165" s="1">
        <v>2.095122</v>
      </c>
    </row>
    <row r="7166">
      <c r="A7166" s="1">
        <v>2025.0</v>
      </c>
      <c r="B7166" s="1" t="s">
        <v>818</v>
      </c>
      <c r="C7166" s="1">
        <v>694350.0</v>
      </c>
      <c r="D7166" s="1" t="s">
        <v>537</v>
      </c>
      <c r="E7166" s="1" t="s">
        <v>927</v>
      </c>
      <c r="F7166" s="1" t="s">
        <v>927</v>
      </c>
      <c r="G7166" s="1">
        <v>126.0</v>
      </c>
      <c r="H7166" s="1">
        <v>6.31372549</v>
      </c>
      <c r="I7166" s="1">
        <v>5.0</v>
      </c>
      <c r="J7166" s="1">
        <v>2.886698</v>
      </c>
    </row>
    <row r="7167">
      <c r="A7167" s="1">
        <v>2025.0</v>
      </c>
      <c r="B7167" s="1" t="s">
        <v>216</v>
      </c>
      <c r="C7167" s="1">
        <v>621107.0</v>
      </c>
      <c r="D7167" s="1" t="s">
        <v>532</v>
      </c>
      <c r="E7167" s="1" t="s">
        <v>927</v>
      </c>
      <c r="F7167" s="1" t="s">
        <v>926</v>
      </c>
      <c r="G7167" s="1">
        <v>147.0</v>
      </c>
      <c r="H7167" s="1">
        <v>9.304347826</v>
      </c>
      <c r="I7167" s="1">
        <v>5.25</v>
      </c>
      <c r="J7167" s="1">
        <v>2.478691</v>
      </c>
    </row>
    <row r="7168">
      <c r="A7168" s="1">
        <v>2025.0</v>
      </c>
      <c r="B7168" s="1" t="s">
        <v>216</v>
      </c>
      <c r="C7168" s="1">
        <v>621107.0</v>
      </c>
      <c r="D7168" s="1" t="s">
        <v>541</v>
      </c>
      <c r="E7168" s="1" t="s">
        <v>927</v>
      </c>
      <c r="F7168" s="1" t="s">
        <v>926</v>
      </c>
      <c r="G7168" s="1">
        <v>129.0</v>
      </c>
      <c r="H7168" s="1">
        <v>8.165039929</v>
      </c>
      <c r="I7168" s="1">
        <v>5.19</v>
      </c>
      <c r="J7168" s="1">
        <v>2.269915</v>
      </c>
    </row>
    <row r="7169">
      <c r="A7169" s="1">
        <v>2025.0</v>
      </c>
      <c r="B7169" s="1" t="s">
        <v>216</v>
      </c>
      <c r="C7169" s="1">
        <v>621107.0</v>
      </c>
      <c r="D7169" s="1" t="s">
        <v>540</v>
      </c>
      <c r="E7169" s="1" t="s">
        <v>927</v>
      </c>
      <c r="F7169" s="1" t="s">
        <v>926</v>
      </c>
      <c r="G7169" s="1">
        <v>180.0</v>
      </c>
      <c r="H7169" s="1">
        <v>11.39307897</v>
      </c>
      <c r="I7169" s="1">
        <v>5.16</v>
      </c>
      <c r="J7169" s="1">
        <v>3.480342</v>
      </c>
    </row>
    <row r="7170">
      <c r="A7170" s="1">
        <v>2025.0</v>
      </c>
      <c r="B7170" s="1" t="s">
        <v>216</v>
      </c>
      <c r="C7170" s="1">
        <v>621107.0</v>
      </c>
      <c r="D7170" s="1" t="s">
        <v>537</v>
      </c>
      <c r="E7170" s="1" t="s">
        <v>927</v>
      </c>
      <c r="F7170" s="1" t="s">
        <v>926</v>
      </c>
      <c r="G7170" s="1">
        <v>103.0</v>
      </c>
      <c r="H7170" s="1">
        <v>6.519372967</v>
      </c>
      <c r="I7170" s="1">
        <v>4.23</v>
      </c>
      <c r="J7170" s="1">
        <v>3.929094</v>
      </c>
    </row>
    <row r="7171">
      <c r="A7171" s="1">
        <v>2025.0</v>
      </c>
      <c r="B7171" s="1" t="s">
        <v>216</v>
      </c>
      <c r="C7171" s="1">
        <v>621107.0</v>
      </c>
      <c r="D7171" s="1" t="s">
        <v>536</v>
      </c>
      <c r="E7171" s="1" t="s">
        <v>927</v>
      </c>
      <c r="F7171" s="1" t="s">
        <v>926</v>
      </c>
      <c r="G7171" s="1">
        <v>99.0</v>
      </c>
      <c r="H7171" s="1">
        <v>6.266193434</v>
      </c>
      <c r="I7171" s="1">
        <v>4.84</v>
      </c>
      <c r="J7171" s="1">
        <v>2.488999</v>
      </c>
    </row>
    <row r="7172">
      <c r="A7172" s="1">
        <v>2025.0</v>
      </c>
      <c r="B7172" s="1" t="s">
        <v>216</v>
      </c>
      <c r="C7172" s="1">
        <v>621107.0</v>
      </c>
      <c r="D7172" s="1" t="s">
        <v>539</v>
      </c>
      <c r="E7172" s="1" t="s">
        <v>927</v>
      </c>
      <c r="F7172" s="1" t="s">
        <v>926</v>
      </c>
      <c r="G7172" s="1">
        <v>22.0</v>
      </c>
      <c r="H7172" s="1">
        <v>1.39248743</v>
      </c>
      <c r="I7172" s="1">
        <v>4.16</v>
      </c>
      <c r="J7172" s="1">
        <v>0.848665</v>
      </c>
    </row>
    <row r="7173">
      <c r="A7173" s="1">
        <v>2025.0</v>
      </c>
      <c r="B7173" s="1" t="s">
        <v>216</v>
      </c>
      <c r="C7173" s="1">
        <v>621107.0</v>
      </c>
      <c r="D7173" s="1" t="s">
        <v>532</v>
      </c>
      <c r="E7173" s="1" t="s">
        <v>927</v>
      </c>
      <c r="F7173" s="1" t="s">
        <v>927</v>
      </c>
      <c r="G7173" s="1">
        <v>38.0</v>
      </c>
      <c r="H7173" s="1">
        <v>2.40520556</v>
      </c>
      <c r="I7173" s="1">
        <v>5.59</v>
      </c>
      <c r="J7173" s="1">
        <v>0.383503</v>
      </c>
    </row>
    <row r="7174">
      <c r="A7174" s="1">
        <v>2025.0</v>
      </c>
      <c r="B7174" s="1" t="s">
        <v>216</v>
      </c>
      <c r="C7174" s="1">
        <v>621107.0</v>
      </c>
      <c r="D7174" s="1" t="s">
        <v>541</v>
      </c>
      <c r="E7174" s="1" t="s">
        <v>927</v>
      </c>
      <c r="F7174" s="1" t="s">
        <v>927</v>
      </c>
      <c r="G7174" s="1">
        <v>55.0</v>
      </c>
      <c r="H7174" s="1">
        <v>3.481218574</v>
      </c>
      <c r="I7174" s="1">
        <v>5.14</v>
      </c>
      <c r="J7174" s="1">
        <v>1.079625</v>
      </c>
    </row>
    <row r="7175">
      <c r="A7175" s="1">
        <v>2025.0</v>
      </c>
      <c r="B7175" s="1" t="s">
        <v>216</v>
      </c>
      <c r="C7175" s="1">
        <v>621107.0</v>
      </c>
      <c r="D7175" s="1" t="s">
        <v>540</v>
      </c>
      <c r="E7175" s="1" t="s">
        <v>927</v>
      </c>
      <c r="F7175" s="1" t="s">
        <v>927</v>
      </c>
      <c r="G7175" s="1">
        <v>65.0</v>
      </c>
      <c r="H7175" s="1">
        <v>4.114167406</v>
      </c>
      <c r="I7175" s="1">
        <v>5.58</v>
      </c>
      <c r="J7175" s="1">
        <v>0.728539</v>
      </c>
    </row>
    <row r="7176">
      <c r="A7176" s="1">
        <v>2025.0</v>
      </c>
      <c r="B7176" s="1" t="s">
        <v>216</v>
      </c>
      <c r="C7176" s="1">
        <v>621107.0</v>
      </c>
      <c r="D7176" s="1" t="s">
        <v>537</v>
      </c>
      <c r="E7176" s="1" t="s">
        <v>927</v>
      </c>
      <c r="F7176" s="1" t="s">
        <v>927</v>
      </c>
      <c r="G7176" s="1">
        <v>41.0</v>
      </c>
      <c r="H7176" s="1">
        <v>2.59509021</v>
      </c>
      <c r="I7176" s="1">
        <v>4.37</v>
      </c>
      <c r="J7176" s="1">
        <v>1.468104</v>
      </c>
    </row>
    <row r="7177">
      <c r="A7177" s="1">
        <v>2025.0</v>
      </c>
      <c r="B7177" s="1" t="s">
        <v>216</v>
      </c>
      <c r="C7177" s="1">
        <v>621107.0</v>
      </c>
      <c r="D7177" s="1" t="s">
        <v>536</v>
      </c>
      <c r="E7177" s="1" t="s">
        <v>927</v>
      </c>
      <c r="F7177" s="1" t="s">
        <v>927</v>
      </c>
      <c r="G7177" s="1">
        <v>113.0</v>
      </c>
      <c r="H7177" s="1">
        <v>7.152321798</v>
      </c>
      <c r="I7177" s="1">
        <v>5.23</v>
      </c>
      <c r="J7177" s="1">
        <v>2.063659</v>
      </c>
    </row>
    <row r="7178">
      <c r="A7178" s="1">
        <v>2025.0</v>
      </c>
      <c r="B7178" s="1" t="s">
        <v>216</v>
      </c>
      <c r="C7178" s="1">
        <v>621107.0</v>
      </c>
      <c r="D7178" s="1" t="s">
        <v>533</v>
      </c>
      <c r="E7178" s="1" t="s">
        <v>927</v>
      </c>
      <c r="F7178" s="1" t="s">
        <v>927</v>
      </c>
      <c r="G7178" s="1">
        <v>6.0</v>
      </c>
      <c r="H7178" s="1">
        <v>0.379769299</v>
      </c>
      <c r="I7178" s="1">
        <v>5.38</v>
      </c>
      <c r="J7178" s="1">
        <v>0.099251</v>
      </c>
    </row>
    <row r="7179">
      <c r="A7179" s="1">
        <v>2025.0</v>
      </c>
      <c r="B7179" s="1" t="s">
        <v>216</v>
      </c>
      <c r="C7179" s="1">
        <v>621107.0</v>
      </c>
      <c r="D7179" s="1" t="s">
        <v>539</v>
      </c>
      <c r="E7179" s="1" t="s">
        <v>927</v>
      </c>
      <c r="F7179" s="1" t="s">
        <v>927</v>
      </c>
      <c r="G7179" s="1">
        <v>129.0</v>
      </c>
      <c r="H7179" s="1">
        <v>8.165039929</v>
      </c>
      <c r="I7179" s="1">
        <v>5.24</v>
      </c>
      <c r="J7179" s="1">
        <v>2.198089</v>
      </c>
    </row>
    <row r="7180">
      <c r="A7180" s="1">
        <v>2025.0</v>
      </c>
      <c r="B7180" s="1" t="s">
        <v>1016</v>
      </c>
      <c r="C7180" s="1">
        <v>687209.0</v>
      </c>
      <c r="D7180" s="1" t="s">
        <v>540</v>
      </c>
      <c r="E7180" s="1" t="s">
        <v>927</v>
      </c>
      <c r="F7180" s="1" t="s">
        <v>926</v>
      </c>
      <c r="G7180" s="1">
        <v>15.0</v>
      </c>
      <c r="H7180" s="1">
        <v>0.909090909</v>
      </c>
      <c r="I7180" s="1">
        <v>5.28</v>
      </c>
      <c r="J7180" s="1">
        <v>0.26783</v>
      </c>
    </row>
    <row r="7181">
      <c r="A7181" s="1">
        <v>2025.0</v>
      </c>
      <c r="B7181" s="1" t="s">
        <v>1016</v>
      </c>
      <c r="C7181" s="1">
        <v>687209.0</v>
      </c>
      <c r="D7181" s="1" t="s">
        <v>537</v>
      </c>
      <c r="E7181" s="1" t="s">
        <v>927</v>
      </c>
      <c r="F7181" s="1" t="s">
        <v>926</v>
      </c>
      <c r="G7181" s="1">
        <v>30.0</v>
      </c>
      <c r="H7181" s="1">
        <v>1.818181818</v>
      </c>
      <c r="I7181" s="1">
        <v>5.43</v>
      </c>
      <c r="J7181" s="1">
        <v>0.402308</v>
      </c>
    </row>
    <row r="7182">
      <c r="A7182" s="1">
        <v>2025.0</v>
      </c>
      <c r="B7182" s="1" t="s">
        <v>1016</v>
      </c>
      <c r="C7182" s="1">
        <v>687209.0</v>
      </c>
      <c r="D7182" s="1" t="s">
        <v>533</v>
      </c>
      <c r="E7182" s="1" t="s">
        <v>927</v>
      </c>
      <c r="F7182" s="1" t="s">
        <v>926</v>
      </c>
      <c r="G7182" s="1">
        <v>6.0</v>
      </c>
      <c r="H7182" s="1">
        <v>0.363636364</v>
      </c>
      <c r="I7182" s="1">
        <v>5.49</v>
      </c>
      <c r="J7182" s="1">
        <v>0.062377</v>
      </c>
    </row>
    <row r="7183">
      <c r="A7183" s="1">
        <v>2025.0</v>
      </c>
      <c r="B7183" s="1" t="s">
        <v>1016</v>
      </c>
      <c r="C7183" s="1">
        <v>687209.0</v>
      </c>
      <c r="D7183" s="1" t="s">
        <v>540</v>
      </c>
      <c r="E7183" s="1" t="s">
        <v>927</v>
      </c>
      <c r="F7183" s="1" t="s">
        <v>927</v>
      </c>
      <c r="G7183" s="1">
        <v>24.0</v>
      </c>
      <c r="H7183" s="1">
        <v>1.454545455</v>
      </c>
      <c r="I7183" s="1">
        <v>5.62</v>
      </c>
      <c r="J7183" s="1">
        <v>0.271285</v>
      </c>
    </row>
    <row r="7184">
      <c r="A7184" s="1">
        <v>2025.0</v>
      </c>
      <c r="B7184" s="1" t="s">
        <v>1016</v>
      </c>
      <c r="C7184" s="1">
        <v>687209.0</v>
      </c>
      <c r="D7184" s="1" t="s">
        <v>537</v>
      </c>
      <c r="E7184" s="1" t="s">
        <v>927</v>
      </c>
      <c r="F7184" s="1" t="s">
        <v>927</v>
      </c>
      <c r="G7184" s="1">
        <v>65.0</v>
      </c>
      <c r="H7184" s="1">
        <v>3.939393939</v>
      </c>
      <c r="I7184" s="1">
        <v>4.74</v>
      </c>
      <c r="J7184" s="1">
        <v>1.757309</v>
      </c>
    </row>
    <row r="7185">
      <c r="A7185" s="1">
        <v>2025.0</v>
      </c>
      <c r="B7185" s="1" t="s">
        <v>1016</v>
      </c>
      <c r="C7185" s="1">
        <v>687209.0</v>
      </c>
      <c r="D7185" s="1" t="s">
        <v>533</v>
      </c>
      <c r="E7185" s="1" t="s">
        <v>927</v>
      </c>
      <c r="F7185" s="1" t="s">
        <v>927</v>
      </c>
      <c r="G7185" s="1">
        <v>25.0</v>
      </c>
      <c r="H7185" s="1">
        <v>1.515151515</v>
      </c>
      <c r="I7185" s="1">
        <v>4.57</v>
      </c>
      <c r="J7185" s="1">
        <v>0.726633</v>
      </c>
    </row>
    <row r="7186">
      <c r="A7186" s="1">
        <v>2025.0</v>
      </c>
      <c r="B7186" s="1" t="s">
        <v>882</v>
      </c>
      <c r="C7186" s="1">
        <v>647315.0</v>
      </c>
      <c r="D7186" s="1" t="s">
        <v>540</v>
      </c>
      <c r="E7186" s="1" t="s">
        <v>927</v>
      </c>
      <c r="F7186" s="1" t="s">
        <v>926</v>
      </c>
      <c r="G7186" s="1">
        <v>15.0</v>
      </c>
      <c r="H7186" s="1">
        <v>0.787401575</v>
      </c>
      <c r="I7186" s="1">
        <v>4.82</v>
      </c>
      <c r="J7186" s="1">
        <v>0.401695</v>
      </c>
    </row>
    <row r="7187">
      <c r="A7187" s="1">
        <v>2025.0</v>
      </c>
      <c r="B7187" s="1" t="s">
        <v>882</v>
      </c>
      <c r="C7187" s="1">
        <v>647315.0</v>
      </c>
      <c r="D7187" s="1" t="s">
        <v>536</v>
      </c>
      <c r="E7187" s="1" t="s">
        <v>927</v>
      </c>
      <c r="F7187" s="1" t="s">
        <v>926</v>
      </c>
      <c r="G7187" s="1">
        <v>24.0</v>
      </c>
      <c r="H7187" s="1">
        <v>1.25984252</v>
      </c>
      <c r="I7187" s="1">
        <v>4.85</v>
      </c>
      <c r="J7187" s="1">
        <v>0.643903</v>
      </c>
    </row>
    <row r="7188">
      <c r="A7188" s="1">
        <v>2025.0</v>
      </c>
      <c r="B7188" s="1" t="s">
        <v>882</v>
      </c>
      <c r="C7188" s="1">
        <v>647315.0</v>
      </c>
      <c r="D7188" s="1" t="s">
        <v>533</v>
      </c>
      <c r="E7188" s="1" t="s">
        <v>927</v>
      </c>
      <c r="F7188" s="1" t="s">
        <v>926</v>
      </c>
      <c r="G7188" s="1">
        <v>11.0</v>
      </c>
      <c r="H7188" s="1">
        <v>0.577427822</v>
      </c>
      <c r="I7188" s="1">
        <v>5.82</v>
      </c>
      <c r="J7188" s="1">
        <v>0.052954</v>
      </c>
    </row>
    <row r="7189">
      <c r="A7189" s="1">
        <v>2025.0</v>
      </c>
      <c r="B7189" s="1" t="s">
        <v>882</v>
      </c>
      <c r="C7189" s="1">
        <v>647315.0</v>
      </c>
      <c r="D7189" s="1" t="s">
        <v>540</v>
      </c>
      <c r="E7189" s="1" t="s">
        <v>927</v>
      </c>
      <c r="F7189" s="1" t="s">
        <v>927</v>
      </c>
      <c r="G7189" s="1">
        <v>11.0</v>
      </c>
      <c r="H7189" s="1">
        <v>0.577427822</v>
      </c>
      <c r="I7189" s="1">
        <v>5.97</v>
      </c>
      <c r="J7189" s="1">
        <v>0.041876</v>
      </c>
    </row>
    <row r="7190">
      <c r="A7190" s="1">
        <v>2025.0</v>
      </c>
      <c r="B7190" s="1" t="s">
        <v>882</v>
      </c>
      <c r="C7190" s="1">
        <v>647315.0</v>
      </c>
      <c r="D7190" s="1" t="s">
        <v>536</v>
      </c>
      <c r="E7190" s="1" t="s">
        <v>927</v>
      </c>
      <c r="F7190" s="1" t="s">
        <v>927</v>
      </c>
      <c r="G7190" s="1">
        <v>46.0</v>
      </c>
      <c r="H7190" s="1">
        <v>2.414698163</v>
      </c>
      <c r="I7190" s="1">
        <v>5.29</v>
      </c>
      <c r="J7190" s="1">
        <v>0.776499</v>
      </c>
    </row>
    <row r="7191">
      <c r="A7191" s="1">
        <v>2025.0</v>
      </c>
      <c r="B7191" s="1" t="s">
        <v>882</v>
      </c>
      <c r="C7191" s="1">
        <v>647315.0</v>
      </c>
      <c r="D7191" s="1" t="s">
        <v>533</v>
      </c>
      <c r="E7191" s="1" t="s">
        <v>927</v>
      </c>
      <c r="F7191" s="1" t="s">
        <v>927</v>
      </c>
      <c r="G7191" s="1">
        <v>20.0</v>
      </c>
      <c r="H7191" s="1">
        <v>1.049868766</v>
      </c>
      <c r="I7191" s="1">
        <v>5.09</v>
      </c>
      <c r="J7191" s="1">
        <v>0.434572</v>
      </c>
    </row>
    <row r="7192">
      <c r="A7192" s="1">
        <v>2025.0</v>
      </c>
      <c r="B7192" s="1" t="s">
        <v>731</v>
      </c>
      <c r="C7192" s="1">
        <v>605507.0</v>
      </c>
      <c r="D7192" s="1" t="s">
        <v>532</v>
      </c>
      <c r="E7192" s="1" t="s">
        <v>927</v>
      </c>
      <c r="F7192" s="1" t="s">
        <v>926</v>
      </c>
      <c r="G7192" s="1">
        <v>7.0</v>
      </c>
      <c r="H7192" s="1">
        <v>0.427777778</v>
      </c>
      <c r="I7192" s="1">
        <v>4.41</v>
      </c>
      <c r="J7192" s="1">
        <v>0.227165</v>
      </c>
    </row>
    <row r="7193">
      <c r="A7193" s="1">
        <v>2025.0</v>
      </c>
      <c r="B7193" s="1" t="s">
        <v>731</v>
      </c>
      <c r="C7193" s="1">
        <v>605507.0</v>
      </c>
      <c r="D7193" s="1" t="s">
        <v>541</v>
      </c>
      <c r="E7193" s="1" t="s">
        <v>927</v>
      </c>
      <c r="F7193" s="1" t="s">
        <v>926</v>
      </c>
      <c r="G7193" s="1">
        <v>5.0</v>
      </c>
      <c r="H7193" s="1">
        <v>0.305555556</v>
      </c>
      <c r="I7193" s="1">
        <v>2.64</v>
      </c>
      <c r="J7193" s="1">
        <v>0.344149</v>
      </c>
    </row>
    <row r="7194">
      <c r="A7194" s="1">
        <v>2025.0</v>
      </c>
      <c r="B7194" s="1" t="s">
        <v>731</v>
      </c>
      <c r="C7194" s="1">
        <v>605507.0</v>
      </c>
      <c r="D7194" s="1" t="s">
        <v>540</v>
      </c>
      <c r="E7194" s="1" t="s">
        <v>927</v>
      </c>
      <c r="F7194" s="1" t="s">
        <v>926</v>
      </c>
      <c r="G7194" s="1">
        <v>9.0</v>
      </c>
      <c r="H7194" s="1">
        <v>0.55</v>
      </c>
      <c r="I7194" s="1">
        <v>4.21</v>
      </c>
      <c r="J7194" s="1">
        <v>0.325333</v>
      </c>
    </row>
    <row r="7195">
      <c r="A7195" s="1">
        <v>2025.0</v>
      </c>
      <c r="B7195" s="1" t="s">
        <v>731</v>
      </c>
      <c r="C7195" s="1">
        <v>605507.0</v>
      </c>
      <c r="D7195" s="1" t="s">
        <v>537</v>
      </c>
      <c r="E7195" s="1" t="s">
        <v>927</v>
      </c>
      <c r="F7195" s="1" t="s">
        <v>926</v>
      </c>
      <c r="G7195" s="1">
        <v>18.0</v>
      </c>
      <c r="H7195" s="1">
        <v>1.1</v>
      </c>
      <c r="I7195" s="1">
        <v>5.05</v>
      </c>
      <c r="J7195" s="1">
        <v>0.389654</v>
      </c>
    </row>
    <row r="7196">
      <c r="A7196" s="1">
        <v>2025.0</v>
      </c>
      <c r="B7196" s="1" t="s">
        <v>731</v>
      </c>
      <c r="C7196" s="1">
        <v>605507.0</v>
      </c>
      <c r="D7196" s="1" t="s">
        <v>532</v>
      </c>
      <c r="E7196" s="1" t="s">
        <v>927</v>
      </c>
      <c r="F7196" s="1" t="s">
        <v>927</v>
      </c>
      <c r="G7196" s="1">
        <v>1.0</v>
      </c>
      <c r="H7196" s="1">
        <v>0.061111111</v>
      </c>
      <c r="I7196" s="1">
        <v>3.8</v>
      </c>
      <c r="J7196" s="1">
        <v>0.049391</v>
      </c>
    </row>
    <row r="7197">
      <c r="A7197" s="1">
        <v>2025.0</v>
      </c>
      <c r="B7197" s="1" t="s">
        <v>731</v>
      </c>
      <c r="C7197" s="1">
        <v>605507.0</v>
      </c>
      <c r="D7197" s="1" t="s">
        <v>541</v>
      </c>
      <c r="E7197" s="1" t="s">
        <v>927</v>
      </c>
      <c r="F7197" s="1" t="s">
        <v>927</v>
      </c>
      <c r="G7197" s="1">
        <v>4.0</v>
      </c>
      <c r="H7197" s="1">
        <v>0.244444444</v>
      </c>
      <c r="I7197" s="1">
        <v>3.91</v>
      </c>
      <c r="J7197" s="1">
        <v>0.17106</v>
      </c>
    </row>
    <row r="7198">
      <c r="A7198" s="1">
        <v>2025.0</v>
      </c>
      <c r="B7198" s="1" t="s">
        <v>731</v>
      </c>
      <c r="C7198" s="1">
        <v>605507.0</v>
      </c>
      <c r="D7198" s="1" t="s">
        <v>540</v>
      </c>
      <c r="E7198" s="1" t="s">
        <v>927</v>
      </c>
      <c r="F7198" s="1" t="s">
        <v>927</v>
      </c>
      <c r="G7198" s="1">
        <v>7.0</v>
      </c>
      <c r="H7198" s="1">
        <v>0.427777778</v>
      </c>
      <c r="I7198" s="1">
        <v>5.27</v>
      </c>
      <c r="J7198" s="1">
        <v>0.117659</v>
      </c>
    </row>
    <row r="7199">
      <c r="A7199" s="1">
        <v>2025.0</v>
      </c>
      <c r="B7199" s="1" t="s">
        <v>731</v>
      </c>
      <c r="C7199" s="1">
        <v>605507.0</v>
      </c>
      <c r="D7199" s="1" t="s">
        <v>537</v>
      </c>
      <c r="E7199" s="1" t="s">
        <v>927</v>
      </c>
      <c r="F7199" s="1" t="s">
        <v>927</v>
      </c>
      <c r="G7199" s="1">
        <v>6.0</v>
      </c>
      <c r="H7199" s="1">
        <v>0.366666667</v>
      </c>
      <c r="I7199" s="1">
        <v>5.69</v>
      </c>
      <c r="J7199" s="1">
        <v>0.050809</v>
      </c>
    </row>
    <row r="7200">
      <c r="A7200" s="1">
        <v>2025.0</v>
      </c>
      <c r="B7200" s="1" t="s">
        <v>731</v>
      </c>
      <c r="C7200" s="1">
        <v>605507.0</v>
      </c>
      <c r="D7200" s="1" t="s">
        <v>536</v>
      </c>
      <c r="E7200" s="1" t="s">
        <v>927</v>
      </c>
      <c r="F7200" s="1" t="s">
        <v>927</v>
      </c>
      <c r="G7200" s="1">
        <v>3.0</v>
      </c>
      <c r="H7200" s="1">
        <v>0.183333333</v>
      </c>
      <c r="I7200" s="1">
        <v>5.42</v>
      </c>
      <c r="J7200" s="1">
        <v>0.043092</v>
      </c>
    </row>
    <row r="7201">
      <c r="A7201" s="1">
        <v>2025.0</v>
      </c>
      <c r="B7201" s="1" t="s">
        <v>134</v>
      </c>
      <c r="C7201" s="1">
        <v>677161.0</v>
      </c>
      <c r="D7201" s="1" t="s">
        <v>532</v>
      </c>
      <c r="E7201" s="1" t="s">
        <v>927</v>
      </c>
      <c r="F7201" s="1" t="s">
        <v>926</v>
      </c>
      <c r="G7201" s="1">
        <v>59.0</v>
      </c>
      <c r="H7201" s="1">
        <v>3.581901489</v>
      </c>
      <c r="I7201" s="1">
        <v>4.67</v>
      </c>
      <c r="J7201" s="1">
        <v>1.681092</v>
      </c>
    </row>
    <row r="7202">
      <c r="A7202" s="1">
        <v>2025.0</v>
      </c>
      <c r="B7202" s="1" t="s">
        <v>134</v>
      </c>
      <c r="C7202" s="1">
        <v>677161.0</v>
      </c>
      <c r="D7202" s="1" t="s">
        <v>541</v>
      </c>
      <c r="E7202" s="1" t="s">
        <v>927</v>
      </c>
      <c r="F7202" s="1" t="s">
        <v>926</v>
      </c>
      <c r="G7202" s="1">
        <v>6.0</v>
      </c>
      <c r="H7202" s="1">
        <v>0.364261168</v>
      </c>
      <c r="I7202" s="1">
        <v>6.3</v>
      </c>
      <c r="J7202" s="1">
        <v>-0.023329</v>
      </c>
    </row>
    <row r="7203">
      <c r="A7203" s="1">
        <v>2025.0</v>
      </c>
      <c r="B7203" s="1" t="s">
        <v>134</v>
      </c>
      <c r="C7203" s="1">
        <v>677161.0</v>
      </c>
      <c r="D7203" s="1" t="s">
        <v>540</v>
      </c>
      <c r="E7203" s="1" t="s">
        <v>927</v>
      </c>
      <c r="F7203" s="1" t="s">
        <v>926</v>
      </c>
      <c r="G7203" s="1">
        <v>79.0</v>
      </c>
      <c r="H7203" s="1">
        <v>4.796105384</v>
      </c>
      <c r="I7203" s="1">
        <v>5.36</v>
      </c>
      <c r="J7203" s="1">
        <v>1.274852</v>
      </c>
    </row>
    <row r="7204">
      <c r="A7204" s="1">
        <v>2025.0</v>
      </c>
      <c r="B7204" s="1" t="s">
        <v>134</v>
      </c>
      <c r="C7204" s="1">
        <v>677161.0</v>
      </c>
      <c r="D7204" s="1" t="s">
        <v>537</v>
      </c>
      <c r="E7204" s="1" t="s">
        <v>927</v>
      </c>
      <c r="F7204" s="1" t="s">
        <v>926</v>
      </c>
      <c r="G7204" s="1">
        <v>75.0</v>
      </c>
      <c r="H7204" s="1">
        <v>4.553264605</v>
      </c>
      <c r="I7204" s="1">
        <v>4.71</v>
      </c>
      <c r="J7204" s="1">
        <v>2.148782</v>
      </c>
    </row>
    <row r="7205">
      <c r="A7205" s="1">
        <v>2025.0</v>
      </c>
      <c r="B7205" s="1" t="s">
        <v>134</v>
      </c>
      <c r="C7205" s="1">
        <v>677161.0</v>
      </c>
      <c r="D7205" s="1" t="s">
        <v>536</v>
      </c>
      <c r="E7205" s="1" t="s">
        <v>927</v>
      </c>
      <c r="F7205" s="1" t="s">
        <v>926</v>
      </c>
      <c r="G7205" s="1">
        <v>3.0</v>
      </c>
      <c r="H7205" s="1">
        <v>0.182130584</v>
      </c>
      <c r="I7205" s="1">
        <v>4.43</v>
      </c>
      <c r="J7205" s="1">
        <v>0.102955</v>
      </c>
    </row>
    <row r="7206">
      <c r="A7206" s="1">
        <v>2025.0</v>
      </c>
      <c r="B7206" s="1" t="s">
        <v>134</v>
      </c>
      <c r="C7206" s="1">
        <v>677161.0</v>
      </c>
      <c r="D7206" s="1" t="s">
        <v>533</v>
      </c>
      <c r="E7206" s="1" t="s">
        <v>927</v>
      </c>
      <c r="F7206" s="1" t="s">
        <v>926</v>
      </c>
      <c r="G7206" s="1">
        <v>1.0</v>
      </c>
      <c r="H7206" s="1">
        <v>0.060710195</v>
      </c>
      <c r="I7206" s="1">
        <v>3.88</v>
      </c>
      <c r="J7206" s="1">
        <v>0.045397</v>
      </c>
    </row>
    <row r="7207">
      <c r="A7207" s="1">
        <v>2025.0</v>
      </c>
      <c r="B7207" s="1" t="s">
        <v>134</v>
      </c>
      <c r="C7207" s="1">
        <v>677161.0</v>
      </c>
      <c r="D7207" s="1" t="s">
        <v>539</v>
      </c>
      <c r="E7207" s="1" t="s">
        <v>927</v>
      </c>
      <c r="F7207" s="1" t="s">
        <v>926</v>
      </c>
      <c r="G7207" s="1">
        <v>38.0</v>
      </c>
      <c r="H7207" s="1">
        <v>2.3069874</v>
      </c>
      <c r="I7207" s="1">
        <v>5.41</v>
      </c>
      <c r="J7207" s="1">
        <v>0.510015</v>
      </c>
    </row>
    <row r="7208">
      <c r="A7208" s="1">
        <v>2025.0</v>
      </c>
      <c r="B7208" s="1" t="s">
        <v>134</v>
      </c>
      <c r="C7208" s="1">
        <v>677161.0</v>
      </c>
      <c r="D7208" s="1" t="s">
        <v>532</v>
      </c>
      <c r="E7208" s="1" t="s">
        <v>927</v>
      </c>
      <c r="F7208" s="1" t="s">
        <v>927</v>
      </c>
      <c r="G7208" s="1">
        <v>10.0</v>
      </c>
      <c r="H7208" s="1">
        <v>0.607101947</v>
      </c>
      <c r="I7208" s="1">
        <v>4.45</v>
      </c>
      <c r="J7208" s="1">
        <v>0.329366</v>
      </c>
    </row>
    <row r="7209">
      <c r="A7209" s="1">
        <v>2025.0</v>
      </c>
      <c r="B7209" s="1" t="s">
        <v>134</v>
      </c>
      <c r="C7209" s="1">
        <v>677161.0</v>
      </c>
      <c r="D7209" s="1" t="s">
        <v>540</v>
      </c>
      <c r="E7209" s="1" t="s">
        <v>927</v>
      </c>
      <c r="F7209" s="1" t="s">
        <v>927</v>
      </c>
      <c r="G7209" s="1">
        <v>103.0</v>
      </c>
      <c r="H7209" s="1">
        <v>6.253150057</v>
      </c>
      <c r="I7209" s="1">
        <v>5.52</v>
      </c>
      <c r="J7209" s="1">
        <v>1.315508</v>
      </c>
    </row>
    <row r="7210">
      <c r="A7210" s="1">
        <v>2025.0</v>
      </c>
      <c r="B7210" s="1" t="s">
        <v>134</v>
      </c>
      <c r="C7210" s="1">
        <v>677161.0</v>
      </c>
      <c r="D7210" s="1" t="s">
        <v>537</v>
      </c>
      <c r="E7210" s="1" t="s">
        <v>927</v>
      </c>
      <c r="F7210" s="1" t="s">
        <v>927</v>
      </c>
      <c r="G7210" s="1">
        <v>42.0</v>
      </c>
      <c r="H7210" s="1">
        <v>2.549828179</v>
      </c>
      <c r="I7210" s="1">
        <v>4.53</v>
      </c>
      <c r="J7210" s="1">
        <v>1.346932</v>
      </c>
    </row>
    <row r="7211">
      <c r="A7211" s="1">
        <v>2025.0</v>
      </c>
      <c r="B7211" s="1" t="s">
        <v>134</v>
      </c>
      <c r="C7211" s="1">
        <v>677161.0</v>
      </c>
      <c r="D7211" s="1" t="s">
        <v>536</v>
      </c>
      <c r="E7211" s="1" t="s">
        <v>927</v>
      </c>
      <c r="F7211" s="1" t="s">
        <v>927</v>
      </c>
      <c r="G7211" s="1">
        <v>85.0</v>
      </c>
      <c r="H7211" s="1">
        <v>5.160366552</v>
      </c>
      <c r="I7211" s="1">
        <v>5.26</v>
      </c>
      <c r="J7211" s="1">
        <v>1.466083</v>
      </c>
    </row>
    <row r="7212">
      <c r="A7212" s="1">
        <v>2025.0</v>
      </c>
      <c r="B7212" s="1" t="s">
        <v>134</v>
      </c>
      <c r="C7212" s="1">
        <v>677161.0</v>
      </c>
      <c r="D7212" s="1" t="s">
        <v>533</v>
      </c>
      <c r="E7212" s="1" t="s">
        <v>927</v>
      </c>
      <c r="F7212" s="1" t="s">
        <v>927</v>
      </c>
      <c r="G7212" s="1">
        <v>2.0</v>
      </c>
      <c r="H7212" s="1">
        <v>0.121420389</v>
      </c>
      <c r="I7212" s="1">
        <v>5.01</v>
      </c>
      <c r="J7212" s="1">
        <v>0.041534</v>
      </c>
    </row>
    <row r="7213">
      <c r="A7213" s="1">
        <v>2025.0</v>
      </c>
      <c r="B7213" s="1" t="s">
        <v>134</v>
      </c>
      <c r="C7213" s="1">
        <v>677161.0</v>
      </c>
      <c r="D7213" s="1" t="s">
        <v>539</v>
      </c>
      <c r="E7213" s="1" t="s">
        <v>927</v>
      </c>
      <c r="F7213" s="1" t="s">
        <v>927</v>
      </c>
      <c r="G7213" s="1">
        <v>79.0</v>
      </c>
      <c r="H7213" s="1">
        <v>4.796105384</v>
      </c>
      <c r="I7213" s="1">
        <v>5.66</v>
      </c>
      <c r="J7213" s="1">
        <v>0.549906</v>
      </c>
    </row>
    <row r="7214">
      <c r="A7214" s="1">
        <v>2025.0</v>
      </c>
      <c r="B7214" s="1" t="s">
        <v>177</v>
      </c>
      <c r="C7214" s="1">
        <v>641793.0</v>
      </c>
      <c r="D7214" s="1" t="s">
        <v>537</v>
      </c>
      <c r="E7214" s="1" t="s">
        <v>927</v>
      </c>
      <c r="F7214" s="1" t="s">
        <v>926</v>
      </c>
      <c r="G7214" s="1">
        <v>359.0</v>
      </c>
      <c r="H7214" s="1">
        <v>24.06223818</v>
      </c>
      <c r="I7214" s="1">
        <v>4.8</v>
      </c>
      <c r="J7214" s="1">
        <v>9.522761</v>
      </c>
    </row>
    <row r="7215">
      <c r="A7215" s="1">
        <v>2025.0</v>
      </c>
      <c r="B7215" s="1" t="s">
        <v>177</v>
      </c>
      <c r="C7215" s="1">
        <v>641793.0</v>
      </c>
      <c r="D7215" s="1" t="s">
        <v>538</v>
      </c>
      <c r="E7215" s="1" t="s">
        <v>927</v>
      </c>
      <c r="F7215" s="1" t="s">
        <v>926</v>
      </c>
      <c r="G7215" s="1">
        <v>450.0</v>
      </c>
      <c r="H7215" s="1">
        <v>30.16157989</v>
      </c>
      <c r="I7215" s="1">
        <v>5.18</v>
      </c>
      <c r="J7215" s="1">
        <v>8.116009</v>
      </c>
    </row>
    <row r="7216">
      <c r="A7216" s="1">
        <v>2025.0</v>
      </c>
      <c r="B7216" s="1" t="s">
        <v>177</v>
      </c>
      <c r="C7216" s="1">
        <v>641793.0</v>
      </c>
      <c r="D7216" s="1" t="s">
        <v>536</v>
      </c>
      <c r="E7216" s="1" t="s">
        <v>927</v>
      </c>
      <c r="F7216" s="1" t="s">
        <v>926</v>
      </c>
      <c r="G7216" s="1">
        <v>136.0</v>
      </c>
      <c r="H7216" s="1">
        <v>9.115499701</v>
      </c>
      <c r="I7216" s="1">
        <v>4.66</v>
      </c>
      <c r="J7216" s="1">
        <v>3.930831</v>
      </c>
    </row>
    <row r="7217">
      <c r="A7217" s="1">
        <v>2025.0</v>
      </c>
      <c r="B7217" s="1" t="s">
        <v>177</v>
      </c>
      <c r="C7217" s="1">
        <v>641793.0</v>
      </c>
      <c r="D7217" s="1" t="s">
        <v>533</v>
      </c>
      <c r="E7217" s="1" t="s">
        <v>927</v>
      </c>
      <c r="F7217" s="1" t="s">
        <v>926</v>
      </c>
      <c r="G7217" s="1">
        <v>350.0</v>
      </c>
      <c r="H7217" s="1">
        <v>23.45900658</v>
      </c>
      <c r="I7217" s="1">
        <v>5.22</v>
      </c>
      <c r="J7217" s="1">
        <v>6.226268</v>
      </c>
    </row>
    <row r="7218">
      <c r="A7218" s="1">
        <v>2025.0</v>
      </c>
      <c r="B7218" s="1" t="s">
        <v>177</v>
      </c>
      <c r="C7218" s="1">
        <v>641793.0</v>
      </c>
      <c r="D7218" s="1" t="s">
        <v>539</v>
      </c>
      <c r="E7218" s="1" t="s">
        <v>927</v>
      </c>
      <c r="F7218" s="1" t="s">
        <v>926</v>
      </c>
      <c r="G7218" s="1">
        <v>31.0</v>
      </c>
      <c r="H7218" s="1">
        <v>2.077797726</v>
      </c>
      <c r="I7218" s="1">
        <v>4.57</v>
      </c>
      <c r="J7218" s="1">
        <v>0.945992</v>
      </c>
    </row>
    <row r="7219">
      <c r="A7219" s="1">
        <v>2025.0</v>
      </c>
      <c r="B7219" s="1" t="s">
        <v>177</v>
      </c>
      <c r="C7219" s="1">
        <v>641793.0</v>
      </c>
      <c r="D7219" s="1" t="s">
        <v>537</v>
      </c>
      <c r="E7219" s="1" t="s">
        <v>927</v>
      </c>
      <c r="F7219" s="1" t="s">
        <v>927</v>
      </c>
      <c r="G7219" s="1">
        <v>304.0</v>
      </c>
      <c r="H7219" s="1">
        <v>20.37582286</v>
      </c>
      <c r="I7219" s="1">
        <v>4.93</v>
      </c>
      <c r="J7219" s="1">
        <v>7.370867</v>
      </c>
    </row>
    <row r="7220">
      <c r="A7220" s="1">
        <v>2025.0</v>
      </c>
      <c r="B7220" s="1" t="s">
        <v>177</v>
      </c>
      <c r="C7220" s="1">
        <v>641793.0</v>
      </c>
      <c r="D7220" s="1" t="s">
        <v>538</v>
      </c>
      <c r="E7220" s="1" t="s">
        <v>927</v>
      </c>
      <c r="F7220" s="1" t="s">
        <v>927</v>
      </c>
      <c r="G7220" s="1">
        <v>311.0</v>
      </c>
      <c r="H7220" s="1">
        <v>20.84500299</v>
      </c>
      <c r="I7220" s="1">
        <v>5.13</v>
      </c>
      <c r="J7220" s="1">
        <v>5.772298</v>
      </c>
    </row>
    <row r="7221">
      <c r="A7221" s="1">
        <v>2025.0</v>
      </c>
      <c r="B7221" s="1" t="s">
        <v>177</v>
      </c>
      <c r="C7221" s="1">
        <v>641793.0</v>
      </c>
      <c r="D7221" s="1" t="s">
        <v>536</v>
      </c>
      <c r="E7221" s="1" t="s">
        <v>927</v>
      </c>
      <c r="F7221" s="1" t="s">
        <v>927</v>
      </c>
      <c r="G7221" s="1">
        <v>309.0</v>
      </c>
      <c r="H7221" s="1">
        <v>20.71095153</v>
      </c>
      <c r="I7221" s="1">
        <v>4.79</v>
      </c>
      <c r="J7221" s="1">
        <v>8.364594</v>
      </c>
    </row>
    <row r="7222">
      <c r="A7222" s="1">
        <v>2025.0</v>
      </c>
      <c r="B7222" s="1" t="s">
        <v>177</v>
      </c>
      <c r="C7222" s="1">
        <v>641793.0</v>
      </c>
      <c r="D7222" s="1" t="s">
        <v>533</v>
      </c>
      <c r="E7222" s="1" t="s">
        <v>927</v>
      </c>
      <c r="F7222" s="1" t="s">
        <v>927</v>
      </c>
      <c r="G7222" s="1">
        <v>415.0</v>
      </c>
      <c r="H7222" s="1">
        <v>27.81567923</v>
      </c>
      <c r="I7222" s="1">
        <v>5.4</v>
      </c>
      <c r="J7222" s="1">
        <v>5.986014</v>
      </c>
    </row>
    <row r="7223">
      <c r="A7223" s="1">
        <v>2025.0</v>
      </c>
      <c r="B7223" s="1" t="s">
        <v>177</v>
      </c>
      <c r="C7223" s="1">
        <v>641793.0</v>
      </c>
      <c r="D7223" s="1" t="s">
        <v>539</v>
      </c>
      <c r="E7223" s="1" t="s">
        <v>927</v>
      </c>
      <c r="F7223" s="1" t="s">
        <v>927</v>
      </c>
      <c r="G7223" s="1">
        <v>120.0</v>
      </c>
      <c r="H7223" s="1">
        <v>8.043087971</v>
      </c>
      <c r="I7223" s="1">
        <v>4.71</v>
      </c>
      <c r="J7223" s="1">
        <v>3.359242</v>
      </c>
    </row>
    <row r="7224">
      <c r="A7224" s="1">
        <v>2025.0</v>
      </c>
      <c r="B7224" s="1" t="s">
        <v>79</v>
      </c>
      <c r="C7224" s="1">
        <v>554430.0</v>
      </c>
      <c r="D7224" s="1" t="s">
        <v>541</v>
      </c>
      <c r="E7224" s="1" t="s">
        <v>927</v>
      </c>
      <c r="F7224" s="1" t="s">
        <v>926</v>
      </c>
      <c r="G7224" s="1">
        <v>222.0</v>
      </c>
      <c r="H7224" s="1">
        <v>13.87886383</v>
      </c>
      <c r="I7224" s="1">
        <v>4.82</v>
      </c>
      <c r="J7224" s="1">
        <v>5.453886</v>
      </c>
    </row>
    <row r="7225">
      <c r="A7225" s="1">
        <v>2025.0</v>
      </c>
      <c r="B7225" s="1" t="s">
        <v>79</v>
      </c>
      <c r="C7225" s="1">
        <v>554430.0</v>
      </c>
      <c r="D7225" s="1" t="s">
        <v>540</v>
      </c>
      <c r="E7225" s="1" t="s">
        <v>927</v>
      </c>
      <c r="F7225" s="1" t="s">
        <v>926</v>
      </c>
      <c r="G7225" s="1">
        <v>205.0</v>
      </c>
      <c r="H7225" s="1">
        <v>12.81606795</v>
      </c>
      <c r="I7225" s="1">
        <v>5.12</v>
      </c>
      <c r="J7225" s="1">
        <v>4.033152</v>
      </c>
    </row>
    <row r="7226">
      <c r="A7226" s="1">
        <v>2025.0</v>
      </c>
      <c r="B7226" s="1" t="s">
        <v>79</v>
      </c>
      <c r="C7226" s="1">
        <v>554430.0</v>
      </c>
      <c r="D7226" s="1" t="s">
        <v>537</v>
      </c>
      <c r="E7226" s="1" t="s">
        <v>927</v>
      </c>
      <c r="F7226" s="1" t="s">
        <v>926</v>
      </c>
      <c r="G7226" s="1">
        <v>652.0</v>
      </c>
      <c r="H7226" s="1">
        <v>40.76134781</v>
      </c>
      <c r="I7226" s="1">
        <v>5.31</v>
      </c>
      <c r="J7226" s="1">
        <v>10.387179</v>
      </c>
    </row>
    <row r="7227">
      <c r="A7227" s="1">
        <v>2025.0</v>
      </c>
      <c r="B7227" s="1" t="s">
        <v>79</v>
      </c>
      <c r="C7227" s="1">
        <v>554430.0</v>
      </c>
      <c r="D7227" s="1" t="s">
        <v>538</v>
      </c>
      <c r="E7227" s="1" t="s">
        <v>927</v>
      </c>
      <c r="F7227" s="1" t="s">
        <v>926</v>
      </c>
      <c r="G7227" s="1">
        <v>157.0</v>
      </c>
      <c r="H7227" s="1">
        <v>9.815232526</v>
      </c>
      <c r="I7227" s="1">
        <v>4.86</v>
      </c>
      <c r="J7227" s="1">
        <v>3.832312</v>
      </c>
    </row>
    <row r="7228">
      <c r="A7228" s="1">
        <v>2025.0</v>
      </c>
      <c r="B7228" s="1" t="s">
        <v>79</v>
      </c>
      <c r="C7228" s="1">
        <v>554430.0</v>
      </c>
      <c r="D7228" s="1" t="s">
        <v>536</v>
      </c>
      <c r="E7228" s="1" t="s">
        <v>927</v>
      </c>
      <c r="F7228" s="1" t="s">
        <v>926</v>
      </c>
      <c r="G7228" s="1">
        <v>49.0</v>
      </c>
      <c r="H7228" s="1">
        <v>3.063352827</v>
      </c>
      <c r="I7228" s="1">
        <v>4.55</v>
      </c>
      <c r="J7228" s="1">
        <v>1.42292</v>
      </c>
    </row>
    <row r="7229">
      <c r="A7229" s="1">
        <v>2025.0</v>
      </c>
      <c r="B7229" s="1" t="s">
        <v>79</v>
      </c>
      <c r="C7229" s="1">
        <v>554430.0</v>
      </c>
      <c r="D7229" s="1" t="s">
        <v>539</v>
      </c>
      <c r="E7229" s="1" t="s">
        <v>927</v>
      </c>
      <c r="F7229" s="1" t="s">
        <v>926</v>
      </c>
      <c r="G7229" s="1">
        <v>87.0</v>
      </c>
      <c r="H7229" s="1">
        <v>5.439014202</v>
      </c>
      <c r="I7229" s="1">
        <v>5.41</v>
      </c>
      <c r="J7229" s="1">
        <v>1.140193</v>
      </c>
    </row>
    <row r="7230">
      <c r="A7230" s="1">
        <v>2025.0</v>
      </c>
      <c r="B7230" s="1" t="s">
        <v>79</v>
      </c>
      <c r="C7230" s="1">
        <v>554430.0</v>
      </c>
      <c r="D7230" s="1" t="s">
        <v>541</v>
      </c>
      <c r="E7230" s="1" t="s">
        <v>927</v>
      </c>
      <c r="F7230" s="1" t="s">
        <v>927</v>
      </c>
      <c r="G7230" s="1">
        <v>12.0</v>
      </c>
      <c r="H7230" s="1">
        <v>0.750208855</v>
      </c>
      <c r="I7230" s="1">
        <v>5.3</v>
      </c>
      <c r="J7230" s="1">
        <v>0.155246</v>
      </c>
    </row>
    <row r="7231">
      <c r="A7231" s="1">
        <v>2025.0</v>
      </c>
      <c r="B7231" s="1" t="s">
        <v>79</v>
      </c>
      <c r="C7231" s="1">
        <v>554430.0</v>
      </c>
      <c r="D7231" s="1" t="s">
        <v>537</v>
      </c>
      <c r="E7231" s="1" t="s">
        <v>927</v>
      </c>
      <c r="F7231" s="1" t="s">
        <v>927</v>
      </c>
      <c r="G7231" s="1">
        <v>330.0</v>
      </c>
      <c r="H7231" s="1">
        <v>20.63074353</v>
      </c>
      <c r="I7231" s="1">
        <v>5.47</v>
      </c>
      <c r="J7231" s="1">
        <v>4.103914</v>
      </c>
    </row>
    <row r="7232">
      <c r="A7232" s="1">
        <v>2025.0</v>
      </c>
      <c r="B7232" s="1" t="s">
        <v>79</v>
      </c>
      <c r="C7232" s="1">
        <v>554430.0</v>
      </c>
      <c r="D7232" s="1" t="s">
        <v>538</v>
      </c>
      <c r="E7232" s="1" t="s">
        <v>927</v>
      </c>
      <c r="F7232" s="1" t="s">
        <v>927</v>
      </c>
      <c r="G7232" s="1">
        <v>55.0</v>
      </c>
      <c r="H7232" s="1">
        <v>3.438457254</v>
      </c>
      <c r="I7232" s="1">
        <v>5.48</v>
      </c>
      <c r="J7232" s="1">
        <v>0.53697</v>
      </c>
    </row>
    <row r="7233">
      <c r="A7233" s="1">
        <v>2025.0</v>
      </c>
      <c r="B7233" s="1" t="s">
        <v>79</v>
      </c>
      <c r="C7233" s="1">
        <v>554430.0</v>
      </c>
      <c r="D7233" s="1" t="s">
        <v>536</v>
      </c>
      <c r="E7233" s="1" t="s">
        <v>927</v>
      </c>
      <c r="F7233" s="1" t="s">
        <v>927</v>
      </c>
      <c r="G7233" s="1">
        <v>358.0</v>
      </c>
      <c r="H7233" s="1">
        <v>22.38123085</v>
      </c>
      <c r="I7233" s="1">
        <v>5.26</v>
      </c>
      <c r="J7233" s="1">
        <v>5.822592</v>
      </c>
    </row>
    <row r="7234">
      <c r="A7234" s="1">
        <v>2025.0</v>
      </c>
      <c r="B7234" s="1" t="s">
        <v>79</v>
      </c>
      <c r="C7234" s="1">
        <v>554430.0</v>
      </c>
      <c r="D7234" s="1" t="s">
        <v>539</v>
      </c>
      <c r="E7234" s="1" t="s">
        <v>927</v>
      </c>
      <c r="F7234" s="1" t="s">
        <v>927</v>
      </c>
      <c r="G7234" s="1">
        <v>267.0</v>
      </c>
      <c r="H7234" s="1">
        <v>16.69214703</v>
      </c>
      <c r="I7234" s="1">
        <v>5.32</v>
      </c>
      <c r="J7234" s="1">
        <v>3.95778</v>
      </c>
    </row>
    <row r="7235">
      <c r="A7235" s="1">
        <v>2025.0</v>
      </c>
      <c r="B7235" s="1" t="s">
        <v>727</v>
      </c>
      <c r="C7235" s="1">
        <v>687849.0</v>
      </c>
      <c r="D7235" s="1" t="s">
        <v>541</v>
      </c>
      <c r="E7235" s="1" t="s">
        <v>927</v>
      </c>
      <c r="F7235" s="1" t="s">
        <v>926</v>
      </c>
      <c r="G7235" s="1">
        <v>64.0</v>
      </c>
      <c r="H7235" s="1">
        <v>3.670995671</v>
      </c>
      <c r="I7235" s="1">
        <v>4.46</v>
      </c>
      <c r="J7235" s="1">
        <v>2.171588</v>
      </c>
    </row>
    <row r="7236">
      <c r="A7236" s="1">
        <v>2025.0</v>
      </c>
      <c r="B7236" s="1" t="s">
        <v>727</v>
      </c>
      <c r="C7236" s="1">
        <v>687849.0</v>
      </c>
      <c r="D7236" s="1" t="s">
        <v>537</v>
      </c>
      <c r="E7236" s="1" t="s">
        <v>927</v>
      </c>
      <c r="F7236" s="1" t="s">
        <v>926</v>
      </c>
      <c r="G7236" s="1">
        <v>65.0</v>
      </c>
      <c r="H7236" s="1">
        <v>3.728354978</v>
      </c>
      <c r="I7236" s="1">
        <v>4.49</v>
      </c>
      <c r="J7236" s="1">
        <v>2.183229</v>
      </c>
    </row>
    <row r="7237">
      <c r="A7237" s="1">
        <v>2025.0</v>
      </c>
      <c r="B7237" s="1" t="s">
        <v>727</v>
      </c>
      <c r="C7237" s="1">
        <v>687849.0</v>
      </c>
      <c r="D7237" s="1" t="s">
        <v>536</v>
      </c>
      <c r="E7237" s="1" t="s">
        <v>927</v>
      </c>
      <c r="F7237" s="1" t="s">
        <v>926</v>
      </c>
      <c r="G7237" s="1">
        <v>6.0</v>
      </c>
      <c r="H7237" s="1">
        <v>0.344155844</v>
      </c>
      <c r="I7237" s="1">
        <v>4.15</v>
      </c>
      <c r="J7237" s="1">
        <v>0.246102</v>
      </c>
    </row>
    <row r="7238">
      <c r="A7238" s="1">
        <v>2025.0</v>
      </c>
      <c r="B7238" s="1" t="s">
        <v>727</v>
      </c>
      <c r="C7238" s="1">
        <v>687849.0</v>
      </c>
      <c r="D7238" s="1" t="s">
        <v>533</v>
      </c>
      <c r="E7238" s="1" t="s">
        <v>927</v>
      </c>
      <c r="F7238" s="1" t="s">
        <v>926</v>
      </c>
      <c r="G7238" s="1">
        <v>56.0</v>
      </c>
      <c r="H7238" s="1">
        <v>3.212121212</v>
      </c>
      <c r="I7238" s="1">
        <v>4.92</v>
      </c>
      <c r="J7238" s="1">
        <v>1.351481</v>
      </c>
    </row>
    <row r="7239">
      <c r="A7239" s="1">
        <v>2025.0</v>
      </c>
      <c r="B7239" s="1" t="s">
        <v>727</v>
      </c>
      <c r="C7239" s="1">
        <v>687849.0</v>
      </c>
      <c r="D7239" s="1" t="s">
        <v>541</v>
      </c>
      <c r="E7239" s="1" t="s">
        <v>927</v>
      </c>
      <c r="F7239" s="1" t="s">
        <v>927</v>
      </c>
      <c r="G7239" s="1">
        <v>13.0</v>
      </c>
      <c r="H7239" s="1">
        <v>0.745670996</v>
      </c>
      <c r="I7239" s="1">
        <v>4.81</v>
      </c>
      <c r="J7239" s="1">
        <v>0.343277</v>
      </c>
    </row>
    <row r="7240">
      <c r="A7240" s="1">
        <v>2025.0</v>
      </c>
      <c r="B7240" s="1" t="s">
        <v>727</v>
      </c>
      <c r="C7240" s="1">
        <v>687849.0</v>
      </c>
      <c r="D7240" s="1" t="s">
        <v>537</v>
      </c>
      <c r="E7240" s="1" t="s">
        <v>927</v>
      </c>
      <c r="F7240" s="1" t="s">
        <v>927</v>
      </c>
      <c r="G7240" s="1">
        <v>25.0</v>
      </c>
      <c r="H7240" s="1">
        <v>1.433982684</v>
      </c>
      <c r="I7240" s="1">
        <v>5.4</v>
      </c>
      <c r="J7240" s="1">
        <v>0.434822</v>
      </c>
    </row>
    <row r="7241">
      <c r="A7241" s="1">
        <v>2025.0</v>
      </c>
      <c r="B7241" s="1" t="s">
        <v>727</v>
      </c>
      <c r="C7241" s="1">
        <v>687849.0</v>
      </c>
      <c r="D7241" s="1" t="s">
        <v>536</v>
      </c>
      <c r="E7241" s="1" t="s">
        <v>927</v>
      </c>
      <c r="F7241" s="1" t="s">
        <v>927</v>
      </c>
      <c r="G7241" s="1">
        <v>14.0</v>
      </c>
      <c r="H7241" s="1">
        <v>0.803030303</v>
      </c>
      <c r="I7241" s="1">
        <v>4.64</v>
      </c>
      <c r="J7241" s="1">
        <v>0.445681</v>
      </c>
    </row>
    <row r="7242">
      <c r="A7242" s="1">
        <v>2025.0</v>
      </c>
      <c r="B7242" s="1" t="s">
        <v>727</v>
      </c>
      <c r="C7242" s="1">
        <v>687849.0</v>
      </c>
      <c r="D7242" s="1" t="s">
        <v>533</v>
      </c>
      <c r="E7242" s="1" t="s">
        <v>927</v>
      </c>
      <c r="F7242" s="1" t="s">
        <v>927</v>
      </c>
      <c r="G7242" s="1">
        <v>65.0</v>
      </c>
      <c r="H7242" s="1">
        <v>3.728354978</v>
      </c>
      <c r="I7242" s="1">
        <v>4.8</v>
      </c>
      <c r="J7242" s="1">
        <v>1.798648</v>
      </c>
    </row>
    <row r="7243">
      <c r="A7243" s="1">
        <v>2025.0</v>
      </c>
      <c r="B7243" s="1" t="s">
        <v>212</v>
      </c>
      <c r="C7243" s="1">
        <v>805673.0</v>
      </c>
      <c r="D7243" s="1" t="s">
        <v>532</v>
      </c>
      <c r="E7243" s="1" t="s">
        <v>927</v>
      </c>
      <c r="F7243" s="1" t="s">
        <v>926</v>
      </c>
      <c r="G7243" s="1">
        <v>104.0</v>
      </c>
      <c r="H7243" s="1">
        <v>6.098053708</v>
      </c>
      <c r="I7243" s="1">
        <v>4.71</v>
      </c>
      <c r="J7243" s="1">
        <v>2.93712</v>
      </c>
    </row>
    <row r="7244">
      <c r="A7244" s="1">
        <v>2025.0</v>
      </c>
      <c r="B7244" s="1" t="s">
        <v>212</v>
      </c>
      <c r="C7244" s="1">
        <v>805673.0</v>
      </c>
      <c r="D7244" s="1" t="s">
        <v>541</v>
      </c>
      <c r="E7244" s="1" t="s">
        <v>927</v>
      </c>
      <c r="F7244" s="1" t="s">
        <v>926</v>
      </c>
      <c r="G7244" s="1">
        <v>41.0</v>
      </c>
      <c r="H7244" s="1">
        <v>2.404040404</v>
      </c>
      <c r="I7244" s="1">
        <v>4.76</v>
      </c>
      <c r="J7244" s="1">
        <v>1.117832</v>
      </c>
    </row>
    <row r="7245">
      <c r="A7245" s="1">
        <v>2025.0</v>
      </c>
      <c r="B7245" s="1" t="s">
        <v>212</v>
      </c>
      <c r="C7245" s="1">
        <v>805673.0</v>
      </c>
      <c r="D7245" s="1" t="s">
        <v>540</v>
      </c>
      <c r="E7245" s="1" t="s">
        <v>927</v>
      </c>
      <c r="F7245" s="1" t="s">
        <v>926</v>
      </c>
      <c r="G7245" s="1">
        <v>105.0</v>
      </c>
      <c r="H7245" s="1">
        <v>6.15668884</v>
      </c>
      <c r="I7245" s="1">
        <v>4.93</v>
      </c>
      <c r="J7245" s="1">
        <v>2.525357</v>
      </c>
    </row>
    <row r="7246">
      <c r="A7246" s="1">
        <v>2025.0</v>
      </c>
      <c r="B7246" s="1" t="s">
        <v>212</v>
      </c>
      <c r="C7246" s="1">
        <v>805673.0</v>
      </c>
      <c r="D7246" s="1" t="s">
        <v>537</v>
      </c>
      <c r="E7246" s="1" t="s">
        <v>927</v>
      </c>
      <c r="F7246" s="1" t="s">
        <v>926</v>
      </c>
      <c r="G7246" s="1">
        <v>272.0</v>
      </c>
      <c r="H7246" s="1">
        <v>15.94875585</v>
      </c>
      <c r="I7246" s="1">
        <v>5.3</v>
      </c>
      <c r="J7246" s="1">
        <v>4.494532</v>
      </c>
    </row>
    <row r="7247">
      <c r="A7247" s="1">
        <v>2025.0</v>
      </c>
      <c r="B7247" s="1" t="s">
        <v>212</v>
      </c>
      <c r="C7247" s="1">
        <v>805673.0</v>
      </c>
      <c r="D7247" s="1" t="s">
        <v>536</v>
      </c>
      <c r="E7247" s="1" t="s">
        <v>927</v>
      </c>
      <c r="F7247" s="1" t="s">
        <v>926</v>
      </c>
      <c r="G7247" s="1">
        <v>21.0</v>
      </c>
      <c r="H7247" s="1">
        <v>1.231337768</v>
      </c>
      <c r="I7247" s="1">
        <v>4.51</v>
      </c>
      <c r="J7247" s="1">
        <v>0.639765</v>
      </c>
    </row>
    <row r="7248">
      <c r="A7248" s="1">
        <v>2025.0</v>
      </c>
      <c r="B7248" s="1" t="s">
        <v>212</v>
      </c>
      <c r="C7248" s="1">
        <v>805673.0</v>
      </c>
      <c r="D7248" s="1" t="s">
        <v>533</v>
      </c>
      <c r="E7248" s="1" t="s">
        <v>927</v>
      </c>
      <c r="F7248" s="1" t="s">
        <v>926</v>
      </c>
      <c r="G7248" s="1">
        <v>140.0</v>
      </c>
      <c r="H7248" s="1">
        <v>8.208918453</v>
      </c>
      <c r="I7248" s="1">
        <v>5.38</v>
      </c>
      <c r="J7248" s="1">
        <v>1.76259</v>
      </c>
    </row>
    <row r="7249">
      <c r="A7249" s="1">
        <v>2025.0</v>
      </c>
      <c r="B7249" s="1" t="s">
        <v>212</v>
      </c>
      <c r="C7249" s="1">
        <v>805673.0</v>
      </c>
      <c r="D7249" s="1" t="s">
        <v>532</v>
      </c>
      <c r="E7249" s="1" t="s">
        <v>927</v>
      </c>
      <c r="F7249" s="1" t="s">
        <v>927</v>
      </c>
      <c r="G7249" s="1">
        <v>39.0</v>
      </c>
      <c r="H7249" s="1">
        <v>2.28677014</v>
      </c>
      <c r="I7249" s="1">
        <v>4.66</v>
      </c>
      <c r="J7249" s="1">
        <v>1.097343</v>
      </c>
    </row>
    <row r="7250">
      <c r="A7250" s="1">
        <v>2025.0</v>
      </c>
      <c r="B7250" s="1" t="s">
        <v>212</v>
      </c>
      <c r="C7250" s="1">
        <v>805673.0</v>
      </c>
      <c r="D7250" s="1" t="s">
        <v>541</v>
      </c>
      <c r="E7250" s="1" t="s">
        <v>927</v>
      </c>
      <c r="F7250" s="1" t="s">
        <v>927</v>
      </c>
      <c r="G7250" s="1">
        <v>38.0</v>
      </c>
      <c r="H7250" s="1">
        <v>2.228135009</v>
      </c>
      <c r="I7250" s="1">
        <v>4.92</v>
      </c>
      <c r="J7250" s="1">
        <v>0.903183</v>
      </c>
    </row>
    <row r="7251">
      <c r="A7251" s="1">
        <v>2025.0</v>
      </c>
      <c r="B7251" s="1" t="s">
        <v>212</v>
      </c>
      <c r="C7251" s="1">
        <v>805673.0</v>
      </c>
      <c r="D7251" s="1" t="s">
        <v>540</v>
      </c>
      <c r="E7251" s="1" t="s">
        <v>927</v>
      </c>
      <c r="F7251" s="1" t="s">
        <v>927</v>
      </c>
      <c r="G7251" s="1">
        <v>74.0</v>
      </c>
      <c r="H7251" s="1">
        <v>4.338999754</v>
      </c>
      <c r="I7251" s="1">
        <v>5.23</v>
      </c>
      <c r="J7251" s="1">
        <v>1.370294</v>
      </c>
    </row>
    <row r="7252">
      <c r="A7252" s="1">
        <v>2025.0</v>
      </c>
      <c r="B7252" s="1" t="s">
        <v>212</v>
      </c>
      <c r="C7252" s="1">
        <v>805673.0</v>
      </c>
      <c r="D7252" s="1" t="s">
        <v>537</v>
      </c>
      <c r="E7252" s="1" t="s">
        <v>927</v>
      </c>
      <c r="F7252" s="1" t="s">
        <v>927</v>
      </c>
      <c r="G7252" s="1">
        <v>260.0</v>
      </c>
      <c r="H7252" s="1">
        <v>15.24513427</v>
      </c>
      <c r="I7252" s="1">
        <v>5.31</v>
      </c>
      <c r="J7252" s="1">
        <v>4.275894</v>
      </c>
    </row>
    <row r="7253">
      <c r="A7253" s="1">
        <v>2025.0</v>
      </c>
      <c r="B7253" s="1" t="s">
        <v>212</v>
      </c>
      <c r="C7253" s="1">
        <v>805673.0</v>
      </c>
      <c r="D7253" s="1" t="s">
        <v>536</v>
      </c>
      <c r="E7253" s="1" t="s">
        <v>927</v>
      </c>
      <c r="F7253" s="1" t="s">
        <v>927</v>
      </c>
      <c r="G7253" s="1">
        <v>61.0</v>
      </c>
      <c r="H7253" s="1">
        <v>3.57674304</v>
      </c>
      <c r="I7253" s="1">
        <v>5.45</v>
      </c>
      <c r="J7253" s="1">
        <v>0.882676</v>
      </c>
    </row>
    <row r="7254">
      <c r="A7254" s="1">
        <v>2025.0</v>
      </c>
      <c r="B7254" s="1" t="s">
        <v>212</v>
      </c>
      <c r="C7254" s="1">
        <v>805673.0</v>
      </c>
      <c r="D7254" s="1" t="s">
        <v>533</v>
      </c>
      <c r="E7254" s="1" t="s">
        <v>927</v>
      </c>
      <c r="F7254" s="1" t="s">
        <v>927</v>
      </c>
      <c r="G7254" s="1">
        <v>198.0</v>
      </c>
      <c r="H7254" s="1">
        <v>11.6097561</v>
      </c>
      <c r="I7254" s="1">
        <v>5.01</v>
      </c>
      <c r="J7254" s="1">
        <v>4.108777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8.63"/>
  </cols>
  <sheetData>
    <row r="1">
      <c r="A1" s="32" t="s">
        <v>0</v>
      </c>
      <c r="B1" s="33" t="s">
        <v>5</v>
      </c>
      <c r="C1" s="33" t="s">
        <v>523</v>
      </c>
      <c r="D1" s="34" t="s">
        <v>2</v>
      </c>
      <c r="E1" s="35" t="s">
        <v>524</v>
      </c>
      <c r="F1" s="35" t="s">
        <v>8</v>
      </c>
      <c r="G1" s="36" t="s">
        <v>525</v>
      </c>
      <c r="H1" s="36" t="s">
        <v>526</v>
      </c>
      <c r="I1" s="36" t="s">
        <v>527</v>
      </c>
      <c r="J1" s="36" t="s">
        <v>528</v>
      </c>
      <c r="K1" s="71" t="s">
        <v>529</v>
      </c>
    </row>
    <row r="2">
      <c r="A2" s="1" t="s">
        <v>132</v>
      </c>
      <c r="B2" s="38">
        <v>661403.0</v>
      </c>
      <c r="C2" s="38">
        <v>841.0</v>
      </c>
      <c r="D2" s="39">
        <f>sumif('PLA Sheet'!C:C,B2,'PLA Sheet'!H:H)</f>
        <v>47.33333333</v>
      </c>
      <c r="E2" s="78">
        <v>5.671566949</v>
      </c>
      <c r="F2" s="78">
        <f>sumif('PLA Sheet'!C:C,B2,'PLA Sheet'!J:J)/D2*9</f>
        <v>2.743944212</v>
      </c>
      <c r="G2" s="79">
        <v>0.601664685</v>
      </c>
      <c r="H2" s="79">
        <v>0.161712247</v>
      </c>
      <c r="I2" s="79">
        <v>0.236623068</v>
      </c>
      <c r="J2" s="79">
        <f t="shared" ref="J2:J438" si="1">G2-I2</f>
        <v>0.365041617</v>
      </c>
      <c r="K2" s="80">
        <v>16.54150187</v>
      </c>
    </row>
    <row r="3">
      <c r="A3" s="1" t="s">
        <v>235</v>
      </c>
      <c r="B3" s="38">
        <v>666974.0</v>
      </c>
      <c r="C3" s="38">
        <v>876.0</v>
      </c>
      <c r="D3" s="39">
        <f>sumif('PLA Sheet'!C:C,B3,'PLA Sheet'!H:H)</f>
        <v>58</v>
      </c>
      <c r="E3" s="78">
        <v>5.603284857</v>
      </c>
      <c r="F3" s="78">
        <f>sumif('PLA Sheet'!C:C,B3,'PLA Sheet'!J:J)/D3*9</f>
        <v>3.044963328</v>
      </c>
      <c r="G3" s="79">
        <v>0.547945205</v>
      </c>
      <c r="H3" s="79">
        <v>0.170091324</v>
      </c>
      <c r="I3" s="79">
        <v>0.28196347</v>
      </c>
      <c r="J3" s="79">
        <f t="shared" si="1"/>
        <v>0.265981735</v>
      </c>
      <c r="K3" s="80">
        <v>4.938547</v>
      </c>
    </row>
    <row r="4">
      <c r="A4" s="1" t="s">
        <v>28</v>
      </c>
      <c r="B4" s="38">
        <v>643377.0</v>
      </c>
      <c r="C4" s="38">
        <v>936.0</v>
      </c>
      <c r="D4" s="39">
        <f>sumif('PLA Sheet'!C:C,B4,'PLA Sheet'!H:H)</f>
        <v>66</v>
      </c>
      <c r="E4" s="78">
        <v>5.585967895</v>
      </c>
      <c r="F4" s="78">
        <f>sumif('PLA Sheet'!C:C,B4,'PLA Sheet'!J:J)/D4*9</f>
        <v>1.9745295</v>
      </c>
      <c r="G4" s="79">
        <v>0.615384615</v>
      </c>
      <c r="H4" s="79">
        <v>0.228632479</v>
      </c>
      <c r="I4" s="79">
        <v>0.155982906</v>
      </c>
      <c r="J4" s="79">
        <f t="shared" si="1"/>
        <v>0.459401709</v>
      </c>
      <c r="K4" s="80">
        <v>11.3310524</v>
      </c>
    </row>
    <row r="5">
      <c r="A5" s="1" t="s">
        <v>647</v>
      </c>
      <c r="B5" s="38">
        <v>664849.0</v>
      </c>
      <c r="C5" s="38">
        <v>552.0</v>
      </c>
      <c r="D5" s="39">
        <f>sumif('PLA Sheet'!C:C,B5,'PLA Sheet'!H:H)</f>
        <v>8.333333333</v>
      </c>
      <c r="E5" s="78">
        <v>5.511673446</v>
      </c>
      <c r="F5" s="78">
        <f>sumif('PLA Sheet'!C:C,B5,'PLA Sheet'!J:J)/D5*9</f>
        <v>5.05279296</v>
      </c>
      <c r="G5" s="79">
        <v>0.56884058</v>
      </c>
      <c r="H5" s="79">
        <v>0.282608696</v>
      </c>
      <c r="I5" s="79">
        <v>0.148550725</v>
      </c>
      <c r="J5" s="79">
        <f t="shared" si="1"/>
        <v>0.420289855</v>
      </c>
      <c r="K5" s="80">
        <v>6.351138809</v>
      </c>
    </row>
    <row r="6">
      <c r="A6" s="1" t="s">
        <v>20</v>
      </c>
      <c r="B6" s="38">
        <v>643511.0</v>
      </c>
      <c r="C6" s="38">
        <v>865.0</v>
      </c>
      <c r="D6" s="39">
        <f>sumif('PLA Sheet'!C:C,B6,'PLA Sheet'!H:H)</f>
        <v>77.33333333</v>
      </c>
      <c r="E6" s="78">
        <v>5.502975126</v>
      </c>
      <c r="F6" s="78">
        <f>sumif('PLA Sheet'!C:C,B6,'PLA Sheet'!J:J)/D6*9</f>
        <v>1.871399677</v>
      </c>
      <c r="G6" s="79">
        <v>0.560693642</v>
      </c>
      <c r="H6" s="79">
        <v>0.175722543</v>
      </c>
      <c r="I6" s="79">
        <v>0.263583815</v>
      </c>
      <c r="J6" s="79">
        <f t="shared" si="1"/>
        <v>0.297109827</v>
      </c>
      <c r="K6" s="80">
        <v>-5.038901851</v>
      </c>
    </row>
    <row r="7">
      <c r="A7" s="1" t="s">
        <v>59</v>
      </c>
      <c r="B7" s="38">
        <v>623352.0</v>
      </c>
      <c r="C7" s="38">
        <v>980.0</v>
      </c>
      <c r="D7" s="39">
        <f>sumif('PLA Sheet'!C:C,B7,'PLA Sheet'!H:H)</f>
        <v>52.66666667</v>
      </c>
      <c r="E7" s="78">
        <v>5.48552937</v>
      </c>
      <c r="F7" s="78">
        <f>sumif('PLA Sheet'!C:C,B7,'PLA Sheet'!J:J)/D7*9</f>
        <v>2.368545608</v>
      </c>
      <c r="G7" s="79">
        <v>0.567346939</v>
      </c>
      <c r="H7" s="79">
        <v>0.109183673</v>
      </c>
      <c r="I7" s="79">
        <v>0.323469388</v>
      </c>
      <c r="J7" s="79">
        <f t="shared" si="1"/>
        <v>0.243877551</v>
      </c>
      <c r="K7" s="80">
        <v>-0.916713839</v>
      </c>
    </row>
    <row r="8">
      <c r="A8" s="1" t="s">
        <v>870</v>
      </c>
      <c r="B8" s="38">
        <v>656629.0</v>
      </c>
      <c r="C8" s="38">
        <v>983.0</v>
      </c>
      <c r="D8" s="39">
        <f>sumif('PLA Sheet'!C:C,B8,'PLA Sheet'!H:H)</f>
        <v>11</v>
      </c>
      <c r="E8" s="78">
        <v>5.454808019</v>
      </c>
      <c r="F8" s="78">
        <f>sumif('PLA Sheet'!C:C,B8,'PLA Sheet'!J:J)/D8*9</f>
        <v>5.196752182</v>
      </c>
      <c r="G8" s="79">
        <v>0.570701933</v>
      </c>
      <c r="H8" s="79">
        <v>0.134282808</v>
      </c>
      <c r="I8" s="79">
        <v>0.295015259</v>
      </c>
      <c r="J8" s="79">
        <f t="shared" si="1"/>
        <v>0.275686674</v>
      </c>
      <c r="K8" s="80">
        <v>-1.914431076</v>
      </c>
    </row>
    <row r="9">
      <c r="A9" s="1" t="s">
        <v>92</v>
      </c>
      <c r="B9" s="38">
        <v>681911.0</v>
      </c>
      <c r="C9" s="38">
        <v>931.0</v>
      </c>
      <c r="D9" s="39">
        <f>sumif('PLA Sheet'!C:C,B9,'PLA Sheet'!H:H)</f>
        <v>59.66666667</v>
      </c>
      <c r="E9" s="78">
        <v>5.443406651</v>
      </c>
      <c r="F9" s="78">
        <f>sumif('PLA Sheet'!C:C,B9,'PLA Sheet'!J:J)/D9*9</f>
        <v>2.550087402</v>
      </c>
      <c r="G9" s="79">
        <v>0.551020408</v>
      </c>
      <c r="H9" s="79">
        <v>0.145005371</v>
      </c>
      <c r="I9" s="79">
        <v>0.303974221</v>
      </c>
      <c r="J9" s="79">
        <f t="shared" si="1"/>
        <v>0.247046187</v>
      </c>
      <c r="K9" s="80">
        <v>10.62733168</v>
      </c>
    </row>
    <row r="10">
      <c r="A10" s="1" t="s">
        <v>694</v>
      </c>
      <c r="B10" s="38">
        <v>623465.0</v>
      </c>
      <c r="C10" s="38">
        <v>738.0</v>
      </c>
      <c r="D10" s="39">
        <f>sumif('PLA Sheet'!C:C,B10,'PLA Sheet'!H:H)</f>
        <v>5.666666666</v>
      </c>
      <c r="E10" s="78">
        <v>5.438438164</v>
      </c>
      <c r="F10" s="78">
        <f>sumif('PLA Sheet'!C:C,B10,'PLA Sheet'!J:J)/D10*9</f>
        <v>2.26598453</v>
      </c>
      <c r="G10" s="79">
        <v>0.556910569</v>
      </c>
      <c r="H10" s="79">
        <v>0.256097561</v>
      </c>
      <c r="I10" s="79">
        <v>0.18699187</v>
      </c>
      <c r="J10" s="79">
        <f t="shared" si="1"/>
        <v>0.369918699</v>
      </c>
      <c r="K10" s="80">
        <v>0.979033157</v>
      </c>
    </row>
    <row r="11">
      <c r="A11" s="1" t="s">
        <v>94</v>
      </c>
      <c r="B11" s="38">
        <v>669093.0</v>
      </c>
      <c r="C11" s="38">
        <v>882.0</v>
      </c>
      <c r="D11" s="39">
        <f>sumif('PLA Sheet'!C:C,B11,'PLA Sheet'!H:H)</f>
        <v>73</v>
      </c>
      <c r="E11" s="78">
        <v>5.436760266</v>
      </c>
      <c r="F11" s="78">
        <f>sumif('PLA Sheet'!C:C,B11,'PLA Sheet'!J:J)/D11*9</f>
        <v>2.57372248</v>
      </c>
      <c r="G11" s="79">
        <v>0.548752834</v>
      </c>
      <c r="H11" s="79">
        <v>0.136054422</v>
      </c>
      <c r="I11" s="79">
        <v>0.315192744</v>
      </c>
      <c r="J11" s="79">
        <f t="shared" si="1"/>
        <v>0.23356009</v>
      </c>
      <c r="K11" s="80">
        <v>-1.398063237</v>
      </c>
    </row>
    <row r="12">
      <c r="A12" s="1" t="s">
        <v>49</v>
      </c>
      <c r="B12" s="38">
        <v>670970.0</v>
      </c>
      <c r="C12" s="38">
        <v>915.0</v>
      </c>
      <c r="D12" s="39">
        <f>sumif('PLA Sheet'!C:C,B12,'PLA Sheet'!H:H)</f>
        <v>73.66666666</v>
      </c>
      <c r="E12" s="78">
        <v>5.430262751</v>
      </c>
      <c r="F12" s="78">
        <f>sumif('PLA Sheet'!C:C,B12,'PLA Sheet'!J:J)/D12*9</f>
        <v>2.28510786</v>
      </c>
      <c r="G12" s="79">
        <v>0.535519126</v>
      </c>
      <c r="H12" s="79">
        <v>0.197814208</v>
      </c>
      <c r="I12" s="79">
        <v>0.266666667</v>
      </c>
      <c r="J12" s="79">
        <f t="shared" si="1"/>
        <v>0.268852459</v>
      </c>
      <c r="K12" s="80">
        <v>0.540704289</v>
      </c>
    </row>
    <row r="13">
      <c r="A13" s="1" t="s">
        <v>645</v>
      </c>
      <c r="B13" s="38">
        <v>686580.0</v>
      </c>
      <c r="C13" s="38">
        <v>671.0</v>
      </c>
      <c r="D13" s="39">
        <f>sumif('PLA Sheet'!C:C,B13,'PLA Sheet'!H:H)</f>
        <v>34</v>
      </c>
      <c r="E13" s="78">
        <v>5.427052578</v>
      </c>
      <c r="F13" s="78">
        <f>sumif('PLA Sheet'!C:C,B13,'PLA Sheet'!J:J)/D13*9</f>
        <v>2.421555882</v>
      </c>
      <c r="G13" s="79">
        <v>0.596125186</v>
      </c>
      <c r="H13" s="79">
        <v>0.165424739</v>
      </c>
      <c r="I13" s="79">
        <v>0.238450075</v>
      </c>
      <c r="J13" s="79">
        <f t="shared" si="1"/>
        <v>0.357675111</v>
      </c>
      <c r="K13" s="80">
        <v>-3.649276287</v>
      </c>
    </row>
    <row r="14">
      <c r="A14" s="1" t="s">
        <v>32</v>
      </c>
      <c r="B14" s="38">
        <v>656945.0</v>
      </c>
      <c r="C14" s="38">
        <v>978.0</v>
      </c>
      <c r="D14" s="39">
        <f>sumif('PLA Sheet'!C:C,B14,'PLA Sheet'!H:H)</f>
        <v>57</v>
      </c>
      <c r="E14" s="78">
        <v>5.426442144</v>
      </c>
      <c r="F14" s="78">
        <f>sumif('PLA Sheet'!C:C,B14,'PLA Sheet'!J:J)/D14*9</f>
        <v>2.129288053</v>
      </c>
      <c r="G14" s="79">
        <v>0.552147239</v>
      </c>
      <c r="H14" s="79">
        <v>0.187116564</v>
      </c>
      <c r="I14" s="79">
        <v>0.260736196</v>
      </c>
      <c r="J14" s="79">
        <f t="shared" si="1"/>
        <v>0.291411043</v>
      </c>
      <c r="K14" s="80">
        <v>8.278353738</v>
      </c>
    </row>
    <row r="15">
      <c r="A15" s="1" t="s">
        <v>563</v>
      </c>
      <c r="B15" s="38">
        <v>681867.0</v>
      </c>
      <c r="C15" s="38">
        <v>1542.0</v>
      </c>
      <c r="D15" s="39">
        <f>sumif('PLA Sheet'!C:C,B15,'PLA Sheet'!H:H)</f>
        <v>17.66666667</v>
      </c>
      <c r="E15" s="78">
        <v>5.423868278</v>
      </c>
      <c r="F15" s="78">
        <f>sumif('PLA Sheet'!C:C,B15,'PLA Sheet'!J:J)/D15*9</f>
        <v>2.111581358</v>
      </c>
      <c r="G15" s="79">
        <v>0.560311284</v>
      </c>
      <c r="H15" s="79">
        <v>0.222438392</v>
      </c>
      <c r="I15" s="79">
        <v>0.217250324</v>
      </c>
      <c r="J15" s="79">
        <f t="shared" si="1"/>
        <v>0.34306096</v>
      </c>
      <c r="K15" s="80">
        <v>3.188060503</v>
      </c>
    </row>
    <row r="16">
      <c r="A16" s="1" t="s">
        <v>319</v>
      </c>
      <c r="B16" s="38">
        <v>607481.0</v>
      </c>
      <c r="C16" s="38">
        <v>844.0</v>
      </c>
      <c r="D16" s="39">
        <f>sumif('PLA Sheet'!C:C,B16,'PLA Sheet'!H:H)</f>
        <v>54.33333333</v>
      </c>
      <c r="E16" s="78">
        <v>5.405952776</v>
      </c>
      <c r="F16" s="78">
        <f>sumif('PLA Sheet'!C:C,B16,'PLA Sheet'!J:J)/D16*9</f>
        <v>3.37838643</v>
      </c>
      <c r="G16" s="79">
        <v>0.546208531</v>
      </c>
      <c r="H16" s="79">
        <v>0.253554502</v>
      </c>
      <c r="I16" s="79">
        <v>0.200236967</v>
      </c>
      <c r="J16" s="79">
        <f t="shared" si="1"/>
        <v>0.345971564</v>
      </c>
      <c r="K16" s="80">
        <v>-3.6541508</v>
      </c>
    </row>
    <row r="17">
      <c r="A17" s="1" t="s">
        <v>182</v>
      </c>
      <c r="B17" s="38">
        <v>621381.0</v>
      </c>
      <c r="C17" s="38">
        <v>812.0</v>
      </c>
      <c r="D17" s="39">
        <f>sumif('PLA Sheet'!C:C,B17,'PLA Sheet'!H:H)</f>
        <v>62.33333333</v>
      </c>
      <c r="E17" s="78">
        <v>5.39643825</v>
      </c>
      <c r="F17" s="78">
        <f>sumif('PLA Sheet'!C:C,B17,'PLA Sheet'!J:J)/D17*9</f>
        <v>2.888926652</v>
      </c>
      <c r="G17" s="79">
        <v>0.551724138</v>
      </c>
      <c r="H17" s="79">
        <v>0.161330049</v>
      </c>
      <c r="I17" s="79">
        <v>0.286945813</v>
      </c>
      <c r="J17" s="79">
        <f t="shared" si="1"/>
        <v>0.264778325</v>
      </c>
      <c r="K17" s="80">
        <v>7.530297804</v>
      </c>
    </row>
    <row r="18">
      <c r="A18" s="1" t="s">
        <v>668</v>
      </c>
      <c r="B18" s="38">
        <v>519008.0</v>
      </c>
      <c r="C18" s="38">
        <v>713.0</v>
      </c>
      <c r="D18" s="39">
        <f>sumif('PLA Sheet'!C:C,B18,'PLA Sheet'!H:H)</f>
        <v>15.66666667</v>
      </c>
      <c r="E18" s="78">
        <v>5.395080905</v>
      </c>
      <c r="F18" s="78">
        <f>sumif('PLA Sheet'!C:C,B18,'PLA Sheet'!J:J)/D18*9</f>
        <v>2.942971851</v>
      </c>
      <c r="G18" s="79">
        <v>0.5371669</v>
      </c>
      <c r="H18" s="79">
        <v>0.265077139</v>
      </c>
      <c r="I18" s="79">
        <v>0.197755961</v>
      </c>
      <c r="J18" s="79">
        <f t="shared" si="1"/>
        <v>0.339410939</v>
      </c>
      <c r="K18" s="80">
        <v>-1.401374831</v>
      </c>
    </row>
    <row r="19">
      <c r="A19" s="1" t="s">
        <v>1017</v>
      </c>
      <c r="B19" s="38">
        <v>677053.0</v>
      </c>
      <c r="C19" s="38">
        <v>898.0</v>
      </c>
      <c r="D19" s="39">
        <f>sumif('PLA Sheet'!C:C,B19,'PLA Sheet'!H:H)</f>
        <v>0</v>
      </c>
      <c r="E19" s="78">
        <v>5.390051959</v>
      </c>
      <c r="F19" s="78" t="str">
        <f>sumif('PLA Sheet'!C:C,B19,'PLA Sheet'!J:J)/D19*9</f>
        <v>#DIV/0!</v>
      </c>
      <c r="G19" s="79">
        <v>0.542316258</v>
      </c>
      <c r="H19" s="79">
        <v>0.154788419</v>
      </c>
      <c r="I19" s="79">
        <v>0.302895323</v>
      </c>
      <c r="J19" s="79">
        <f t="shared" si="1"/>
        <v>0.239420935</v>
      </c>
      <c r="K19" s="80">
        <v>-7.245918667</v>
      </c>
    </row>
    <row r="20">
      <c r="A20" s="1" t="s">
        <v>301</v>
      </c>
      <c r="B20" s="38">
        <v>656557.0</v>
      </c>
      <c r="C20" s="38">
        <v>2599.0</v>
      </c>
      <c r="D20" s="39">
        <f>sumif('PLA Sheet'!C:C,B20,'PLA Sheet'!H:H)</f>
        <v>43.66666667</v>
      </c>
      <c r="E20" s="78">
        <v>5.385575489</v>
      </c>
      <c r="F20" s="78">
        <f>sumif('PLA Sheet'!C:C,B20,'PLA Sheet'!J:J)/D20*9</f>
        <v>3.305736343</v>
      </c>
      <c r="G20" s="79">
        <v>0.515198153</v>
      </c>
      <c r="H20" s="79">
        <v>0.230088496</v>
      </c>
      <c r="I20" s="79">
        <v>0.254713351</v>
      </c>
      <c r="J20" s="79">
        <f t="shared" si="1"/>
        <v>0.260484802</v>
      </c>
      <c r="K20" s="80">
        <v>8.509029546</v>
      </c>
    </row>
    <row r="21">
      <c r="A21" s="1" t="s">
        <v>89</v>
      </c>
      <c r="B21" s="38">
        <v>669622.0</v>
      </c>
      <c r="C21" s="38">
        <v>795.0</v>
      </c>
      <c r="D21" s="39">
        <f>sumif('PLA Sheet'!C:C,B21,'PLA Sheet'!H:H)</f>
        <v>50</v>
      </c>
      <c r="E21" s="78">
        <v>5.384933063</v>
      </c>
      <c r="F21" s="78">
        <f>sumif('PLA Sheet'!C:C,B21,'PLA Sheet'!J:J)/D21*9</f>
        <v>2.52874296</v>
      </c>
      <c r="G21" s="79">
        <v>0.527044025</v>
      </c>
      <c r="H21" s="79">
        <v>0.286792453</v>
      </c>
      <c r="I21" s="79">
        <v>0.186163522</v>
      </c>
      <c r="J21" s="79">
        <f t="shared" si="1"/>
        <v>0.340880503</v>
      </c>
      <c r="K21" s="80">
        <v>1.648257349</v>
      </c>
    </row>
    <row r="22">
      <c r="A22" s="1" t="s">
        <v>179</v>
      </c>
      <c r="B22" s="38">
        <v>663568.0</v>
      </c>
      <c r="C22" s="38">
        <v>791.0</v>
      </c>
      <c r="D22" s="39">
        <f>sumif('PLA Sheet'!C:C,B22,'PLA Sheet'!H:H)</f>
        <v>112.6666667</v>
      </c>
      <c r="E22" s="78">
        <v>5.384848489</v>
      </c>
      <c r="F22" s="78">
        <f>sumif('PLA Sheet'!C:C,B22,'PLA Sheet'!J:J)/D22*9</f>
        <v>2.88025871</v>
      </c>
      <c r="G22" s="79">
        <v>0.539823009</v>
      </c>
      <c r="H22" s="79">
        <v>0.194690265</v>
      </c>
      <c r="I22" s="79">
        <v>0.265486726</v>
      </c>
      <c r="J22" s="79">
        <f t="shared" si="1"/>
        <v>0.274336283</v>
      </c>
      <c r="K22" s="80">
        <v>-10.19017139</v>
      </c>
    </row>
    <row r="23">
      <c r="A23" s="1" t="s">
        <v>150</v>
      </c>
      <c r="B23" s="38">
        <v>657746.0</v>
      </c>
      <c r="C23" s="38">
        <v>2087.0</v>
      </c>
      <c r="D23" s="39">
        <f>sumif('PLA Sheet'!C:C,B23,'PLA Sheet'!H:H)</f>
        <v>171</v>
      </c>
      <c r="E23" s="78">
        <v>5.38267889</v>
      </c>
      <c r="F23" s="78">
        <f>sumif('PLA Sheet'!C:C,B23,'PLA Sheet'!J:J)/D23*9</f>
        <v>2.807167053</v>
      </c>
      <c r="G23" s="79">
        <v>0.549592717</v>
      </c>
      <c r="H23" s="79">
        <v>0.201724964</v>
      </c>
      <c r="I23" s="79">
        <v>0.248682319</v>
      </c>
      <c r="J23" s="79">
        <f t="shared" si="1"/>
        <v>0.300910398</v>
      </c>
      <c r="K23" s="80">
        <v>2.506971648</v>
      </c>
    </row>
    <row r="24">
      <c r="A24" s="1" t="s">
        <v>77</v>
      </c>
      <c r="B24" s="38">
        <v>657277.0</v>
      </c>
      <c r="C24" s="38">
        <v>2805.0</v>
      </c>
      <c r="D24" s="39">
        <f>sumif('PLA Sheet'!C:C,B24,'PLA Sheet'!H:H)</f>
        <v>207</v>
      </c>
      <c r="E24" s="78">
        <v>5.382385565</v>
      </c>
      <c r="F24" s="78">
        <f>sumif('PLA Sheet'!C:C,B24,'PLA Sheet'!J:J)/D24*9</f>
        <v>2.451664</v>
      </c>
      <c r="G24" s="79">
        <v>0.535115865</v>
      </c>
      <c r="H24" s="79">
        <v>0.222459893</v>
      </c>
      <c r="I24" s="79">
        <v>0.242424242</v>
      </c>
      <c r="J24" s="79">
        <f t="shared" si="1"/>
        <v>0.292691623</v>
      </c>
      <c r="K24" s="80">
        <v>-14.03194736</v>
      </c>
    </row>
    <row r="25">
      <c r="A25" s="1" t="s">
        <v>1018</v>
      </c>
      <c r="B25" s="38">
        <v>668338.0</v>
      </c>
      <c r="C25" s="38">
        <v>800.0</v>
      </c>
      <c r="D25" s="39">
        <f>sumif('PLA Sheet'!C:C,B25,'PLA Sheet'!H:H)</f>
        <v>0</v>
      </c>
      <c r="E25" s="78">
        <v>5.381754485</v>
      </c>
      <c r="F25" s="78" t="str">
        <f>sumif('PLA Sheet'!C:C,B25,'PLA Sheet'!J:J)/D25*9</f>
        <v>#DIV/0!</v>
      </c>
      <c r="G25" s="79">
        <v>0.57125</v>
      </c>
      <c r="H25" s="79">
        <v>0.22625</v>
      </c>
      <c r="I25" s="79">
        <v>0.2025</v>
      </c>
      <c r="J25" s="79">
        <f t="shared" si="1"/>
        <v>0.36875</v>
      </c>
      <c r="K25" s="80">
        <v>2.258271142</v>
      </c>
    </row>
    <row r="26">
      <c r="A26" s="1" t="s">
        <v>181</v>
      </c>
      <c r="B26" s="38">
        <v>641154.0</v>
      </c>
      <c r="C26" s="38">
        <v>2479.0</v>
      </c>
      <c r="D26" s="39">
        <f>sumif('PLA Sheet'!C:C,B26,'PLA Sheet'!H:H)</f>
        <v>75.66666667</v>
      </c>
      <c r="E26" s="78">
        <v>5.37370547</v>
      </c>
      <c r="F26" s="78">
        <f>sumif('PLA Sheet'!C:C,B26,'PLA Sheet'!J:J)/D26*9</f>
        <v>2.885456696</v>
      </c>
      <c r="G26" s="79">
        <v>0.536103267</v>
      </c>
      <c r="H26" s="79">
        <v>0.240419524</v>
      </c>
      <c r="I26" s="79">
        <v>0.223477209</v>
      </c>
      <c r="J26" s="79">
        <f t="shared" si="1"/>
        <v>0.312626058</v>
      </c>
      <c r="K26" s="80">
        <v>9.798222048</v>
      </c>
    </row>
    <row r="27">
      <c r="A27" s="1" t="s">
        <v>165</v>
      </c>
      <c r="B27" s="38">
        <v>689147.0</v>
      </c>
      <c r="C27" s="38">
        <v>896.0</v>
      </c>
      <c r="D27" s="39">
        <f>sumif('PLA Sheet'!C:C,B27,'PLA Sheet'!H:H)</f>
        <v>60.00000001</v>
      </c>
      <c r="E27" s="78">
        <v>5.373704676</v>
      </c>
      <c r="F27" s="78">
        <f>sumif('PLA Sheet'!C:C,B27,'PLA Sheet'!J:J)/D27*9</f>
        <v>2.85039705</v>
      </c>
      <c r="G27" s="79">
        <v>0.552455357</v>
      </c>
      <c r="H27" s="79">
        <v>0.287946429</v>
      </c>
      <c r="I27" s="79">
        <v>0.159598214</v>
      </c>
      <c r="J27" s="79">
        <f t="shared" si="1"/>
        <v>0.392857143</v>
      </c>
      <c r="K27" s="80">
        <v>2.030908411</v>
      </c>
    </row>
    <row r="28">
      <c r="A28" s="1" t="s">
        <v>44</v>
      </c>
      <c r="B28" s="38">
        <v>650911.0</v>
      </c>
      <c r="C28" s="38">
        <v>2408.0</v>
      </c>
      <c r="D28" s="39">
        <f>sumif('PLA Sheet'!C:C,B28,'PLA Sheet'!H:H)</f>
        <v>202</v>
      </c>
      <c r="E28" s="78">
        <v>5.367389809</v>
      </c>
      <c r="F28" s="78">
        <f>sumif('PLA Sheet'!C:C,B28,'PLA Sheet'!J:J)/D28*9</f>
        <v>2.205897371</v>
      </c>
      <c r="G28" s="79">
        <v>0.515365449</v>
      </c>
      <c r="H28" s="79">
        <v>0.193936877</v>
      </c>
      <c r="I28" s="79">
        <v>0.290697674</v>
      </c>
      <c r="J28" s="79">
        <f t="shared" si="1"/>
        <v>0.224667775</v>
      </c>
      <c r="K28" s="80">
        <v>-5.505076792</v>
      </c>
    </row>
    <row r="29">
      <c r="A29" s="1" t="s">
        <v>151</v>
      </c>
      <c r="B29" s="38">
        <v>571948.0</v>
      </c>
      <c r="C29" s="38">
        <v>861.0</v>
      </c>
      <c r="D29" s="39">
        <f>sumif('PLA Sheet'!C:C,B29,'PLA Sheet'!H:H)</f>
        <v>70.33333333</v>
      </c>
      <c r="E29" s="78">
        <v>5.366414784</v>
      </c>
      <c r="F29" s="78">
        <f>sumif('PLA Sheet'!C:C,B29,'PLA Sheet'!J:J)/D29*9</f>
        <v>2.809149355</v>
      </c>
      <c r="G29" s="79">
        <v>0.537746806</v>
      </c>
      <c r="H29" s="79">
        <v>0.245063879</v>
      </c>
      <c r="I29" s="79">
        <v>0.217189315</v>
      </c>
      <c r="J29" s="79">
        <f t="shared" si="1"/>
        <v>0.320557491</v>
      </c>
      <c r="K29" s="80">
        <v>-9.213449409</v>
      </c>
    </row>
    <row r="30">
      <c r="A30" s="1" t="s">
        <v>173</v>
      </c>
      <c r="B30" s="38">
        <v>641927.0</v>
      </c>
      <c r="C30" s="38">
        <v>2235.0</v>
      </c>
      <c r="D30" s="39">
        <f>sumif('PLA Sheet'!C:C,B30,'PLA Sheet'!H:H)</f>
        <v>146.3333333</v>
      </c>
      <c r="E30" s="78">
        <v>5.365608292</v>
      </c>
      <c r="F30" s="78">
        <f>sumif('PLA Sheet'!C:C,B30,'PLA Sheet'!J:J)/D30*9</f>
        <v>2.86796374</v>
      </c>
      <c r="G30" s="79">
        <v>0.523042506</v>
      </c>
      <c r="H30" s="79">
        <v>0.189709172</v>
      </c>
      <c r="I30" s="79">
        <v>0.287248322</v>
      </c>
      <c r="J30" s="79">
        <f t="shared" si="1"/>
        <v>0.235794184</v>
      </c>
      <c r="K30" s="80">
        <v>16.62137691</v>
      </c>
    </row>
    <row r="31">
      <c r="A31" s="1" t="s">
        <v>71</v>
      </c>
      <c r="B31" s="38">
        <v>573204.0</v>
      </c>
      <c r="C31" s="38">
        <v>740.0</v>
      </c>
      <c r="D31" s="39">
        <f>sumif('PLA Sheet'!C:C,B31,'PLA Sheet'!H:H)</f>
        <v>58</v>
      </c>
      <c r="E31" s="78">
        <v>5.365407057</v>
      </c>
      <c r="F31" s="78">
        <f>sumif('PLA Sheet'!C:C,B31,'PLA Sheet'!J:J)/D31*9</f>
        <v>2.423796828</v>
      </c>
      <c r="G31" s="79">
        <v>0.564864865</v>
      </c>
      <c r="H31" s="79">
        <v>0.227027027</v>
      </c>
      <c r="I31" s="79">
        <v>0.208108108</v>
      </c>
      <c r="J31" s="79">
        <f t="shared" si="1"/>
        <v>0.356756757</v>
      </c>
      <c r="K31" s="80">
        <v>-4.560208783</v>
      </c>
    </row>
    <row r="32">
      <c r="A32" s="1" t="s">
        <v>232</v>
      </c>
      <c r="B32" s="38">
        <v>579328.0</v>
      </c>
      <c r="C32" s="38">
        <v>2523.0</v>
      </c>
      <c r="D32" s="39">
        <f>sumif('PLA Sheet'!C:C,B32,'PLA Sheet'!H:H)</f>
        <v>178.3333333</v>
      </c>
      <c r="E32" s="78">
        <v>5.36379588</v>
      </c>
      <c r="F32" s="78">
        <f>sumif('PLA Sheet'!C:C,B32,'PLA Sheet'!J:J)/D32*9</f>
        <v>3.035941923</v>
      </c>
      <c r="G32" s="79">
        <v>0.538644471</v>
      </c>
      <c r="H32" s="79">
        <v>0.159334126</v>
      </c>
      <c r="I32" s="79">
        <v>0.302021403</v>
      </c>
      <c r="J32" s="79">
        <f t="shared" si="1"/>
        <v>0.236623068</v>
      </c>
      <c r="K32" s="80">
        <v>-23.50985286</v>
      </c>
    </row>
    <row r="33">
      <c r="A33" s="1" t="s">
        <v>153</v>
      </c>
      <c r="B33" s="38">
        <v>669302.0</v>
      </c>
      <c r="C33" s="38">
        <v>2557.0</v>
      </c>
      <c r="D33" s="39">
        <f>sumif('PLA Sheet'!C:C,B33,'PLA Sheet'!H:H)</f>
        <v>131</v>
      </c>
      <c r="E33" s="78">
        <v>5.362722977</v>
      </c>
      <c r="F33" s="78">
        <f>sumif('PLA Sheet'!C:C,B33,'PLA Sheet'!J:J)/D33*9</f>
        <v>2.810051313</v>
      </c>
      <c r="G33" s="79">
        <v>0.498240125</v>
      </c>
      <c r="H33" s="79">
        <v>0.195932734</v>
      </c>
      <c r="I33" s="79">
        <v>0.305827141</v>
      </c>
      <c r="J33" s="79">
        <f t="shared" si="1"/>
        <v>0.192412984</v>
      </c>
      <c r="K33" s="80">
        <v>14.17826851</v>
      </c>
    </row>
    <row r="34">
      <c r="A34" s="1" t="s">
        <v>231</v>
      </c>
      <c r="B34" s="38">
        <v>669211.0</v>
      </c>
      <c r="C34" s="38">
        <v>1087.0</v>
      </c>
      <c r="D34" s="39">
        <f>sumif('PLA Sheet'!C:C,B34,'PLA Sheet'!H:H)</f>
        <v>63.33333333</v>
      </c>
      <c r="E34" s="78">
        <v>5.361397144</v>
      </c>
      <c r="F34" s="78">
        <f>sumif('PLA Sheet'!C:C,B34,'PLA Sheet'!J:J)/D34*9</f>
        <v>3.035200737</v>
      </c>
      <c r="G34" s="79">
        <v>0.540018399</v>
      </c>
      <c r="H34" s="79">
        <v>0.161913523</v>
      </c>
      <c r="I34" s="79">
        <v>0.298068077</v>
      </c>
      <c r="J34" s="79">
        <f t="shared" si="1"/>
        <v>0.241950322</v>
      </c>
      <c r="K34" s="80">
        <v>2.355098368</v>
      </c>
    </row>
    <row r="35">
      <c r="A35" s="1" t="s">
        <v>109</v>
      </c>
      <c r="B35" s="38">
        <v>601713.0</v>
      </c>
      <c r="C35" s="38">
        <v>1893.0</v>
      </c>
      <c r="D35" s="39">
        <f>sumif('PLA Sheet'!C:C,B35,'PLA Sheet'!H:H)</f>
        <v>181.6666667</v>
      </c>
      <c r="E35" s="78">
        <v>5.360519698</v>
      </c>
      <c r="F35" s="78">
        <f>sumif('PLA Sheet'!C:C,B35,'PLA Sheet'!J:J)/D35*9</f>
        <v>2.643184321</v>
      </c>
      <c r="G35" s="79">
        <v>0.536185948</v>
      </c>
      <c r="H35" s="79">
        <v>0.216587427</v>
      </c>
      <c r="I35" s="79">
        <v>0.247226624</v>
      </c>
      <c r="J35" s="79">
        <f t="shared" si="1"/>
        <v>0.288959324</v>
      </c>
      <c r="K35" s="80">
        <v>-5.749037418</v>
      </c>
    </row>
    <row r="36">
      <c r="A36" s="1" t="s">
        <v>282</v>
      </c>
      <c r="B36" s="38">
        <v>656302.0</v>
      </c>
      <c r="C36" s="38">
        <v>2761.0</v>
      </c>
      <c r="D36" s="39">
        <f>sumif('PLA Sheet'!C:C,B36,'PLA Sheet'!H:H)</f>
        <v>168</v>
      </c>
      <c r="E36" s="78">
        <v>5.359014746</v>
      </c>
      <c r="F36" s="78">
        <f>sumif('PLA Sheet'!C:C,B36,'PLA Sheet'!J:J)/D36*9</f>
        <v>3.237648375</v>
      </c>
      <c r="G36" s="79">
        <v>0.504165158</v>
      </c>
      <c r="H36" s="79">
        <v>0.198116624</v>
      </c>
      <c r="I36" s="79">
        <v>0.297718218</v>
      </c>
      <c r="J36" s="79">
        <f t="shared" si="1"/>
        <v>0.20644694</v>
      </c>
      <c r="K36" s="80">
        <v>7.837564981</v>
      </c>
    </row>
    <row r="37">
      <c r="A37" s="1" t="s">
        <v>1019</v>
      </c>
      <c r="B37" s="38">
        <v>680570.0</v>
      </c>
      <c r="C37" s="38">
        <v>1863.0</v>
      </c>
      <c r="D37" s="39">
        <f>sumif('PLA Sheet'!C:C,B37,'PLA Sheet'!H:H)</f>
        <v>0</v>
      </c>
      <c r="E37" s="78">
        <v>5.355888138</v>
      </c>
      <c r="F37" s="78" t="str">
        <f>sumif('PLA Sheet'!C:C,B37,'PLA Sheet'!J:J)/D37*9</f>
        <v>#DIV/0!</v>
      </c>
      <c r="G37" s="79">
        <v>0.538378959</v>
      </c>
      <c r="H37" s="79">
        <v>0.176060118</v>
      </c>
      <c r="I37" s="79">
        <v>0.285560923</v>
      </c>
      <c r="J37" s="79">
        <f t="shared" si="1"/>
        <v>0.252818036</v>
      </c>
      <c r="K37" s="80">
        <v>-9.2396371</v>
      </c>
    </row>
    <row r="38">
      <c r="A38" s="1" t="s">
        <v>162</v>
      </c>
      <c r="B38" s="38">
        <v>592426.0</v>
      </c>
      <c r="C38" s="38">
        <v>761.0</v>
      </c>
      <c r="D38" s="39">
        <f>sumif('PLA Sheet'!C:C,B38,'PLA Sheet'!H:H)</f>
        <v>51</v>
      </c>
      <c r="E38" s="78">
        <v>5.355002339</v>
      </c>
      <c r="F38" s="78">
        <f>sumif('PLA Sheet'!C:C,B38,'PLA Sheet'!J:J)/D38*9</f>
        <v>2.841555177</v>
      </c>
      <c r="G38" s="79">
        <v>0.526938239</v>
      </c>
      <c r="H38" s="79">
        <v>0.187910644</v>
      </c>
      <c r="I38" s="79">
        <v>0.285151117</v>
      </c>
      <c r="J38" s="79">
        <f t="shared" si="1"/>
        <v>0.241787122</v>
      </c>
      <c r="K38" s="80">
        <v>-10.89361252</v>
      </c>
    </row>
    <row r="39">
      <c r="A39" s="1" t="s">
        <v>110</v>
      </c>
      <c r="B39" s="38">
        <v>687330.0</v>
      </c>
      <c r="C39" s="38">
        <v>900.0</v>
      </c>
      <c r="D39" s="39">
        <f>sumif('PLA Sheet'!C:C,B39,'PLA Sheet'!H:H)</f>
        <v>39.66666666</v>
      </c>
      <c r="E39" s="78">
        <v>5.354972904</v>
      </c>
      <c r="F39" s="78">
        <f>sumif('PLA Sheet'!C:C,B39,'PLA Sheet'!J:J)/D39*9</f>
        <v>2.646442664</v>
      </c>
      <c r="G39" s="79">
        <v>0.512222222</v>
      </c>
      <c r="H39" s="79">
        <v>0.278888889</v>
      </c>
      <c r="I39" s="79">
        <v>0.208888889</v>
      </c>
      <c r="J39" s="79">
        <f t="shared" si="1"/>
        <v>0.303333333</v>
      </c>
      <c r="K39" s="80">
        <v>-3.653839695</v>
      </c>
    </row>
    <row r="40">
      <c r="A40" s="1" t="s">
        <v>665</v>
      </c>
      <c r="B40" s="38">
        <v>688297.0</v>
      </c>
      <c r="C40" s="38">
        <v>508.0</v>
      </c>
      <c r="D40" s="39">
        <f>sumif('PLA Sheet'!C:C,B40,'PLA Sheet'!H:H)</f>
        <v>20.66666667</v>
      </c>
      <c r="E40" s="78">
        <v>5.354800232</v>
      </c>
      <c r="F40" s="78">
        <f>sumif('PLA Sheet'!C:C,B40,'PLA Sheet'!J:J)/D40*9</f>
        <v>4.508088532</v>
      </c>
      <c r="G40" s="79">
        <v>0.535433071</v>
      </c>
      <c r="H40" s="79">
        <v>0.167322835</v>
      </c>
      <c r="I40" s="79">
        <v>0.297244094</v>
      </c>
      <c r="J40" s="79">
        <f t="shared" si="1"/>
        <v>0.238188977</v>
      </c>
      <c r="K40" s="80">
        <v>1.934013534</v>
      </c>
    </row>
    <row r="41">
      <c r="A41" s="1" t="s">
        <v>133</v>
      </c>
      <c r="B41" s="38">
        <v>663978.0</v>
      </c>
      <c r="C41" s="38">
        <v>1448.0</v>
      </c>
      <c r="D41" s="39">
        <f>sumif('PLA Sheet'!C:C,B41,'PLA Sheet'!H:H)</f>
        <v>158</v>
      </c>
      <c r="E41" s="78">
        <v>5.351426278</v>
      </c>
      <c r="F41" s="78">
        <f>sumif('PLA Sheet'!C:C,B41,'PLA Sheet'!J:J)/D41*9</f>
        <v>2.744567487</v>
      </c>
      <c r="G41" s="79">
        <v>0.520027624</v>
      </c>
      <c r="H41" s="79">
        <v>0.171270718</v>
      </c>
      <c r="I41" s="79">
        <v>0.308701657</v>
      </c>
      <c r="J41" s="79">
        <f t="shared" si="1"/>
        <v>0.211325967</v>
      </c>
      <c r="K41" s="80">
        <v>-17.28336292</v>
      </c>
    </row>
    <row r="42">
      <c r="A42" s="1" t="s">
        <v>13</v>
      </c>
      <c r="B42" s="38">
        <v>656730.0</v>
      </c>
      <c r="C42" s="38">
        <v>551.0</v>
      </c>
      <c r="D42" s="39">
        <f>sumif('PLA Sheet'!C:C,B42,'PLA Sheet'!H:H)</f>
        <v>47</v>
      </c>
      <c r="E42" s="78">
        <v>5.349434998</v>
      </c>
      <c r="F42" s="78">
        <f>sumif('PLA Sheet'!C:C,B42,'PLA Sheet'!J:J)/D42*9</f>
        <v>1.71580117</v>
      </c>
      <c r="G42" s="79">
        <v>0.526315789</v>
      </c>
      <c r="H42" s="79">
        <v>0.177858439</v>
      </c>
      <c r="I42" s="79">
        <v>0.295825771</v>
      </c>
      <c r="J42" s="79">
        <f t="shared" si="1"/>
        <v>0.230490018</v>
      </c>
      <c r="K42" s="80">
        <v>-4.742925737</v>
      </c>
    </row>
    <row r="43">
      <c r="A43" s="1" t="s">
        <v>127</v>
      </c>
      <c r="B43" s="38">
        <v>687765.0</v>
      </c>
      <c r="C43" s="38">
        <v>2055.0</v>
      </c>
      <c r="D43" s="39">
        <f>sumif('PLA Sheet'!C:C,B43,'PLA Sheet'!H:H)</f>
        <v>84.66666667</v>
      </c>
      <c r="E43" s="78">
        <v>5.34404215</v>
      </c>
      <c r="F43" s="78">
        <f>sumif('PLA Sheet'!C:C,B43,'PLA Sheet'!J:J)/D43*9</f>
        <v>2.72143311</v>
      </c>
      <c r="G43" s="79">
        <v>0.508515815</v>
      </c>
      <c r="H43" s="79">
        <v>0.177615572</v>
      </c>
      <c r="I43" s="79">
        <v>0.313868613</v>
      </c>
      <c r="J43" s="79">
        <f t="shared" si="1"/>
        <v>0.194647202</v>
      </c>
      <c r="K43" s="80">
        <v>-11.1460872</v>
      </c>
    </row>
    <row r="44">
      <c r="A44" s="1" t="s">
        <v>270</v>
      </c>
      <c r="B44" s="38">
        <v>664854.0</v>
      </c>
      <c r="C44" s="38">
        <v>848.0</v>
      </c>
      <c r="D44" s="39">
        <f>sumif('PLA Sheet'!C:C,B44,'PLA Sheet'!H:H)</f>
        <v>56</v>
      </c>
      <c r="E44" s="78">
        <v>5.343916847</v>
      </c>
      <c r="F44" s="78">
        <f>sumif('PLA Sheet'!C:C,B44,'PLA Sheet'!J:J)/D44*9</f>
        <v>3.174348857</v>
      </c>
      <c r="G44" s="79">
        <v>0.534198113</v>
      </c>
      <c r="H44" s="79">
        <v>0.159198113</v>
      </c>
      <c r="I44" s="79">
        <v>0.306603774</v>
      </c>
      <c r="J44" s="79">
        <f t="shared" si="1"/>
        <v>0.227594339</v>
      </c>
      <c r="K44" s="80">
        <v>-3.605777877</v>
      </c>
    </row>
    <row r="45">
      <c r="A45" s="1" t="s">
        <v>134</v>
      </c>
      <c r="B45" s="38">
        <v>677161.0</v>
      </c>
      <c r="C45" s="38">
        <v>872.0</v>
      </c>
      <c r="D45" s="39">
        <f>sumif('PLA Sheet'!C:C,B45,'PLA Sheet'!H:H)</f>
        <v>35.33333333</v>
      </c>
      <c r="E45" s="78">
        <v>5.341576166</v>
      </c>
      <c r="F45" s="78">
        <f>sumif('PLA Sheet'!C:C,B45,'PLA Sheet'!J:J)/D45*9</f>
        <v>2.748165198</v>
      </c>
      <c r="G45" s="79">
        <v>0.560779817</v>
      </c>
      <c r="H45" s="79">
        <v>0.221330275</v>
      </c>
      <c r="I45" s="79">
        <v>0.217889908</v>
      </c>
      <c r="J45" s="79">
        <f t="shared" si="1"/>
        <v>0.342889909</v>
      </c>
      <c r="K45" s="80">
        <v>9.410743819</v>
      </c>
    </row>
    <row r="46">
      <c r="A46" s="1" t="s">
        <v>400</v>
      </c>
      <c r="B46" s="38">
        <v>670955.0</v>
      </c>
      <c r="C46" s="38">
        <v>526.0</v>
      </c>
      <c r="D46" s="39">
        <f>sumif('PLA Sheet'!C:C,B46,'PLA Sheet'!H:H)</f>
        <v>76</v>
      </c>
      <c r="E46" s="78">
        <v>5.341283171</v>
      </c>
      <c r="F46" s="78">
        <f>sumif('PLA Sheet'!C:C,B46,'PLA Sheet'!J:J)/D46*9</f>
        <v>3.469824474</v>
      </c>
      <c r="G46" s="79">
        <v>0.532319392</v>
      </c>
      <c r="H46" s="79">
        <v>0.178707224</v>
      </c>
      <c r="I46" s="79">
        <v>0.288973384</v>
      </c>
      <c r="J46" s="79">
        <f t="shared" si="1"/>
        <v>0.243346008</v>
      </c>
      <c r="K46" s="80">
        <v>9.110035345</v>
      </c>
    </row>
    <row r="47">
      <c r="A47" s="1" t="s">
        <v>1020</v>
      </c>
      <c r="B47" s="38">
        <v>676710.0</v>
      </c>
      <c r="C47" s="38">
        <v>2436.0</v>
      </c>
      <c r="D47" s="39">
        <f>sumif('PLA Sheet'!C:C,B47,'PLA Sheet'!H:H)</f>
        <v>0</v>
      </c>
      <c r="E47" s="78">
        <v>5.340653512</v>
      </c>
      <c r="F47" s="78" t="str">
        <f>sumif('PLA Sheet'!C:C,B47,'PLA Sheet'!J:J)/D47*9</f>
        <v>#DIV/0!</v>
      </c>
      <c r="G47" s="79">
        <v>0.537356322</v>
      </c>
      <c r="H47" s="79">
        <v>0.211001642</v>
      </c>
      <c r="I47" s="79">
        <v>0.251642036</v>
      </c>
      <c r="J47" s="79">
        <f t="shared" si="1"/>
        <v>0.285714286</v>
      </c>
      <c r="K47" s="80">
        <v>3.493216355</v>
      </c>
    </row>
    <row r="48">
      <c r="A48" s="1" t="s">
        <v>714</v>
      </c>
      <c r="B48" s="38">
        <v>679885.0</v>
      </c>
      <c r="C48" s="38">
        <v>1009.0</v>
      </c>
      <c r="D48" s="39">
        <f>sumif('PLA Sheet'!C:C,B48,'PLA Sheet'!H:H)</f>
        <v>15.33333333</v>
      </c>
      <c r="E48" s="78">
        <v>5.33875836</v>
      </c>
      <c r="F48" s="78">
        <f>sumif('PLA Sheet'!C:C,B48,'PLA Sheet'!J:J)/D48*9</f>
        <v>5.141831283</v>
      </c>
      <c r="G48" s="79">
        <v>0.529236868</v>
      </c>
      <c r="H48" s="79">
        <v>0.163528246</v>
      </c>
      <c r="I48" s="79">
        <v>0.307234886</v>
      </c>
      <c r="J48" s="79">
        <f t="shared" si="1"/>
        <v>0.222001982</v>
      </c>
      <c r="K48" s="80">
        <v>11.29470402</v>
      </c>
    </row>
    <row r="49">
      <c r="A49" s="1" t="s">
        <v>81</v>
      </c>
      <c r="B49" s="38">
        <v>663158.0</v>
      </c>
      <c r="C49" s="38">
        <v>814.0</v>
      </c>
      <c r="D49" s="39">
        <f>sumif('PLA Sheet'!C:C,B49,'PLA Sheet'!H:H)</f>
        <v>69.66666667</v>
      </c>
      <c r="E49" s="78">
        <v>5.337899132</v>
      </c>
      <c r="F49" s="78">
        <f>sumif('PLA Sheet'!C:C,B49,'PLA Sheet'!J:J)/D49*9</f>
        <v>2.475297732</v>
      </c>
      <c r="G49" s="79">
        <v>0.518427518</v>
      </c>
      <c r="H49" s="79">
        <v>0.175675676</v>
      </c>
      <c r="I49" s="79">
        <v>0.305896806</v>
      </c>
      <c r="J49" s="79">
        <f t="shared" si="1"/>
        <v>0.212530712</v>
      </c>
      <c r="K49" s="80">
        <v>-2.147978441</v>
      </c>
    </row>
    <row r="50">
      <c r="A50" s="1" t="s">
        <v>1021</v>
      </c>
      <c r="B50" s="38">
        <v>663704.0</v>
      </c>
      <c r="C50" s="38">
        <v>835.0</v>
      </c>
      <c r="D50" s="39">
        <f>sumif('PLA Sheet'!C:C,B50,'PLA Sheet'!H:H)</f>
        <v>0</v>
      </c>
      <c r="E50" s="78">
        <v>5.336425165</v>
      </c>
      <c r="F50" s="78" t="str">
        <f>sumif('PLA Sheet'!C:C,B50,'PLA Sheet'!J:J)/D50*9</f>
        <v>#DIV/0!</v>
      </c>
      <c r="G50" s="79">
        <v>0.524550898</v>
      </c>
      <c r="H50" s="79">
        <v>0.171257485</v>
      </c>
      <c r="I50" s="79">
        <v>0.304191617</v>
      </c>
      <c r="J50" s="79">
        <f t="shared" si="1"/>
        <v>0.220359281</v>
      </c>
      <c r="K50" s="80">
        <v>-13.77105826</v>
      </c>
    </row>
    <row r="51">
      <c r="A51" s="1" t="s">
        <v>90</v>
      </c>
      <c r="B51" s="38">
        <v>693433.0</v>
      </c>
      <c r="C51" s="38">
        <v>1273.0</v>
      </c>
      <c r="D51" s="39">
        <f>sumif('PLA Sheet'!C:C,B51,'PLA Sheet'!H:H)</f>
        <v>186.6666667</v>
      </c>
      <c r="E51" s="78">
        <v>5.336288957</v>
      </c>
      <c r="F51" s="78">
        <f>sumif('PLA Sheet'!C:C,B51,'PLA Sheet'!J:J)/D51*9</f>
        <v>2.540681968</v>
      </c>
      <c r="G51" s="79">
        <v>0.531029065</v>
      </c>
      <c r="H51" s="79">
        <v>0.197957581</v>
      </c>
      <c r="I51" s="79">
        <v>0.271013354</v>
      </c>
      <c r="J51" s="79">
        <f t="shared" si="1"/>
        <v>0.260015711</v>
      </c>
      <c r="K51" s="80">
        <v>8.161557023</v>
      </c>
    </row>
    <row r="52">
      <c r="A52" s="1" t="s">
        <v>95</v>
      </c>
      <c r="B52" s="38">
        <v>543243.0</v>
      </c>
      <c r="C52" s="38">
        <v>2281.0</v>
      </c>
      <c r="D52" s="39">
        <f>sumif('PLA Sheet'!C:C,B52,'PLA Sheet'!H:H)</f>
        <v>180.6666667</v>
      </c>
      <c r="E52" s="78">
        <v>5.334839156</v>
      </c>
      <c r="F52" s="78">
        <f>sumif('PLA Sheet'!C:C,B52,'PLA Sheet'!J:J)/D52*9</f>
        <v>2.573962057</v>
      </c>
      <c r="G52" s="79">
        <v>0.530469093</v>
      </c>
      <c r="H52" s="79">
        <v>0.209995616</v>
      </c>
      <c r="I52" s="79">
        <v>0.259535292</v>
      </c>
      <c r="J52" s="79">
        <f t="shared" si="1"/>
        <v>0.270933801</v>
      </c>
      <c r="K52" s="80">
        <v>5.775023887</v>
      </c>
    </row>
    <row r="53">
      <c r="A53" s="1" t="s">
        <v>170</v>
      </c>
      <c r="B53" s="38">
        <v>681517.0</v>
      </c>
      <c r="C53" s="38">
        <v>629.0</v>
      </c>
      <c r="D53" s="39">
        <f>sumif('PLA Sheet'!C:C,B53,'PLA Sheet'!H:H)</f>
        <v>88</v>
      </c>
      <c r="E53" s="78">
        <v>5.332561045</v>
      </c>
      <c r="F53" s="78">
        <f>sumif('PLA Sheet'!C:C,B53,'PLA Sheet'!J:J)/D53*9</f>
        <v>2.862260693</v>
      </c>
      <c r="G53" s="79">
        <v>0.542130366</v>
      </c>
      <c r="H53" s="79">
        <v>0.190779014</v>
      </c>
      <c r="I53" s="79">
        <v>0.26709062</v>
      </c>
      <c r="J53" s="79">
        <f t="shared" si="1"/>
        <v>0.275039746</v>
      </c>
      <c r="K53" s="80">
        <v>-0.394106409</v>
      </c>
    </row>
    <row r="54">
      <c r="A54" s="1" t="s">
        <v>164</v>
      </c>
      <c r="B54" s="38">
        <v>669923.0</v>
      </c>
      <c r="C54" s="38">
        <v>2586.0</v>
      </c>
      <c r="D54" s="39">
        <f>sumif('PLA Sheet'!C:C,B54,'PLA Sheet'!H:H)</f>
        <v>126</v>
      </c>
      <c r="E54" s="78">
        <v>5.330740416</v>
      </c>
      <c r="F54" s="78">
        <f>sumif('PLA Sheet'!C:C,B54,'PLA Sheet'!J:J)/D54*9</f>
        <v>2.842042428</v>
      </c>
      <c r="G54" s="79">
        <v>0.521268368</v>
      </c>
      <c r="H54" s="79">
        <v>0.172853828</v>
      </c>
      <c r="I54" s="79">
        <v>0.305877804</v>
      </c>
      <c r="J54" s="79">
        <f t="shared" si="1"/>
        <v>0.215390564</v>
      </c>
      <c r="K54" s="80">
        <v>-18.18172429</v>
      </c>
    </row>
    <row r="55">
      <c r="A55" s="1" t="s">
        <v>421</v>
      </c>
      <c r="B55" s="38">
        <v>607192.0</v>
      </c>
      <c r="C55" s="38">
        <v>1998.0</v>
      </c>
      <c r="D55" s="39">
        <f>sumif('PLA Sheet'!C:C,B55,'PLA Sheet'!H:H)</f>
        <v>90.33333333</v>
      </c>
      <c r="E55" s="78">
        <v>5.328739233</v>
      </c>
      <c r="F55" s="78">
        <f>sumif('PLA Sheet'!C:C,B55,'PLA Sheet'!J:J)/D55*9</f>
        <v>3.613337369</v>
      </c>
      <c r="G55" s="79">
        <v>0.491491491</v>
      </c>
      <c r="H55" s="79">
        <v>0.211211211</v>
      </c>
      <c r="I55" s="79">
        <v>0.297297297</v>
      </c>
      <c r="J55" s="79">
        <f t="shared" si="1"/>
        <v>0.194194194</v>
      </c>
      <c r="K55" s="80">
        <v>18.75868472</v>
      </c>
    </row>
    <row r="56">
      <c r="A56" s="1" t="s">
        <v>735</v>
      </c>
      <c r="B56" s="38">
        <v>640462.0</v>
      </c>
      <c r="C56" s="38">
        <v>985.0</v>
      </c>
      <c r="D56" s="39">
        <f>sumif('PLA Sheet'!C:C,B56,'PLA Sheet'!H:H)</f>
        <v>7.999999999</v>
      </c>
      <c r="E56" s="78">
        <v>5.326938686</v>
      </c>
      <c r="F56" s="78">
        <f>sumif('PLA Sheet'!C:C,B56,'PLA Sheet'!J:J)/D56*9</f>
        <v>2.799149625</v>
      </c>
      <c r="G56" s="79">
        <v>0.549238579</v>
      </c>
      <c r="H56" s="79">
        <v>0.21319797</v>
      </c>
      <c r="I56" s="79">
        <v>0.237563452</v>
      </c>
      <c r="J56" s="79">
        <f t="shared" si="1"/>
        <v>0.311675127</v>
      </c>
      <c r="K56" s="80">
        <v>5.672054458</v>
      </c>
    </row>
    <row r="57">
      <c r="A57" s="1" t="s">
        <v>678</v>
      </c>
      <c r="B57" s="38">
        <v>554340.0</v>
      </c>
      <c r="C57" s="38">
        <v>616.0</v>
      </c>
      <c r="D57" s="39">
        <f>sumif('PLA Sheet'!C:C,B57,'PLA Sheet'!H:H)</f>
        <v>21</v>
      </c>
      <c r="E57" s="78">
        <v>5.326253317</v>
      </c>
      <c r="F57" s="78">
        <f>sumif('PLA Sheet'!C:C,B57,'PLA Sheet'!J:J)/D57*9</f>
        <v>2.917373143</v>
      </c>
      <c r="G57" s="79">
        <v>0.543831169</v>
      </c>
      <c r="H57" s="79">
        <v>0.183441558</v>
      </c>
      <c r="I57" s="79">
        <v>0.272727273</v>
      </c>
      <c r="J57" s="79">
        <f t="shared" si="1"/>
        <v>0.271103896</v>
      </c>
      <c r="K57" s="80">
        <v>6.562116661</v>
      </c>
    </row>
    <row r="58">
      <c r="A58" s="1" t="s">
        <v>187</v>
      </c>
      <c r="B58" s="38">
        <v>641302.0</v>
      </c>
      <c r="C58" s="38">
        <v>1407.0</v>
      </c>
      <c r="D58" s="39">
        <f>sumif('PLA Sheet'!C:C,B58,'PLA Sheet'!H:H)</f>
        <v>97.66666667</v>
      </c>
      <c r="E58" s="78">
        <v>5.324532805</v>
      </c>
      <c r="F58" s="78">
        <f>sumif('PLA Sheet'!C:C,B58,'PLA Sheet'!J:J)/D58*9</f>
        <v>2.897310379</v>
      </c>
      <c r="G58" s="79">
        <v>0.525230988</v>
      </c>
      <c r="H58" s="79">
        <v>0.221037669</v>
      </c>
      <c r="I58" s="79">
        <v>0.253731343</v>
      </c>
      <c r="J58" s="79">
        <f t="shared" si="1"/>
        <v>0.271499645</v>
      </c>
      <c r="K58" s="80">
        <v>-13.02415475</v>
      </c>
    </row>
    <row r="59">
      <c r="A59" s="1" t="s">
        <v>1022</v>
      </c>
      <c r="B59" s="38">
        <v>608723.0</v>
      </c>
      <c r="C59" s="38">
        <v>834.0</v>
      </c>
      <c r="D59" s="39">
        <f>sumif('PLA Sheet'!C:C,B59,'PLA Sheet'!H:H)</f>
        <v>0</v>
      </c>
      <c r="E59" s="78">
        <v>5.323402773</v>
      </c>
      <c r="F59" s="78" t="str">
        <f>sumif('PLA Sheet'!C:C,B59,'PLA Sheet'!J:J)/D59*9</f>
        <v>#DIV/0!</v>
      </c>
      <c r="G59" s="79">
        <v>0.520383693</v>
      </c>
      <c r="H59" s="79">
        <v>0.247002398</v>
      </c>
      <c r="I59" s="79">
        <v>0.232613909</v>
      </c>
      <c r="J59" s="79">
        <f t="shared" si="1"/>
        <v>0.287769784</v>
      </c>
      <c r="K59" s="80">
        <v>4.327976077</v>
      </c>
    </row>
    <row r="60">
      <c r="A60" s="1" t="s">
        <v>85</v>
      </c>
      <c r="B60" s="38">
        <v>808967.0</v>
      </c>
      <c r="C60" s="38">
        <v>1179.0</v>
      </c>
      <c r="D60" s="39">
        <f>sumif('PLA Sheet'!C:C,B60,'PLA Sheet'!H:H)</f>
        <v>173.6666667</v>
      </c>
      <c r="E60" s="78">
        <v>5.321277755</v>
      </c>
      <c r="F60" s="78">
        <f>sumif('PLA Sheet'!C:C,B60,'PLA Sheet'!J:J)/D60*9</f>
        <v>2.495694576</v>
      </c>
      <c r="G60" s="79">
        <v>0.520780322</v>
      </c>
      <c r="H60" s="79">
        <v>0.187446989</v>
      </c>
      <c r="I60" s="79">
        <v>0.291772689</v>
      </c>
      <c r="J60" s="79">
        <f t="shared" si="1"/>
        <v>0.229007633</v>
      </c>
      <c r="K60" s="80">
        <v>9.313969732</v>
      </c>
    </row>
    <row r="61">
      <c r="A61" s="1" t="s">
        <v>79</v>
      </c>
      <c r="B61" s="38">
        <v>554430.0</v>
      </c>
      <c r="C61" s="38">
        <v>2639.0</v>
      </c>
      <c r="D61" s="39">
        <f>sumif('PLA Sheet'!C:C,B61,'PLA Sheet'!H:H)</f>
        <v>149.6666667</v>
      </c>
      <c r="E61" s="78">
        <v>5.320869465</v>
      </c>
      <c r="F61" s="78">
        <f>sumif('PLA Sheet'!C:C,B61,'PLA Sheet'!J:J)/D61*9</f>
        <v>2.456226922</v>
      </c>
      <c r="G61" s="79">
        <v>0.525956802</v>
      </c>
      <c r="H61" s="79">
        <v>0.209549072</v>
      </c>
      <c r="I61" s="79">
        <v>0.264494127</v>
      </c>
      <c r="J61" s="79">
        <f t="shared" si="1"/>
        <v>0.261462675</v>
      </c>
      <c r="K61" s="80">
        <v>27.53322748</v>
      </c>
    </row>
    <row r="62">
      <c r="A62" s="1" t="s">
        <v>690</v>
      </c>
      <c r="B62" s="38">
        <v>665625.0</v>
      </c>
      <c r="C62" s="38">
        <v>777.0</v>
      </c>
      <c r="D62" s="39">
        <f>sumif('PLA Sheet'!C:C,B62,'PLA Sheet'!H:H)</f>
        <v>9.333333333</v>
      </c>
      <c r="E62" s="78">
        <v>5.320671435</v>
      </c>
      <c r="F62" s="78">
        <f>sumif('PLA Sheet'!C:C,B62,'PLA Sheet'!J:J)/D62*9</f>
        <v>4.263577714</v>
      </c>
      <c r="G62" s="79">
        <v>0.51994852</v>
      </c>
      <c r="H62" s="79">
        <v>0.16988417</v>
      </c>
      <c r="I62" s="79">
        <v>0.31016731</v>
      </c>
      <c r="J62" s="79">
        <f t="shared" si="1"/>
        <v>0.20978121</v>
      </c>
      <c r="K62" s="80">
        <v>-3.85865721</v>
      </c>
    </row>
    <row r="63">
      <c r="A63" s="1" t="s">
        <v>273</v>
      </c>
      <c r="B63" s="38">
        <v>667463.0</v>
      </c>
      <c r="C63" s="38">
        <v>756.0</v>
      </c>
      <c r="D63" s="39">
        <f>sumif('PLA Sheet'!C:C,B63,'PLA Sheet'!H:H)</f>
        <v>48.33333333</v>
      </c>
      <c r="E63" s="78">
        <v>5.320530792</v>
      </c>
      <c r="F63" s="78">
        <f>sumif('PLA Sheet'!C:C,B63,'PLA Sheet'!J:J)/D63*9</f>
        <v>3.193576759</v>
      </c>
      <c r="G63" s="79">
        <v>0.507936508</v>
      </c>
      <c r="H63" s="79">
        <v>0.220899471</v>
      </c>
      <c r="I63" s="79">
        <v>0.271164021</v>
      </c>
      <c r="J63" s="79">
        <f t="shared" si="1"/>
        <v>0.236772487</v>
      </c>
      <c r="K63" s="80">
        <v>2.483375672</v>
      </c>
    </row>
    <row r="64">
      <c r="A64" s="1" t="s">
        <v>148</v>
      </c>
      <c r="B64" s="38">
        <v>592866.0</v>
      </c>
      <c r="C64" s="38">
        <v>917.0</v>
      </c>
      <c r="D64" s="39">
        <f>sumif('PLA Sheet'!C:C,B64,'PLA Sheet'!H:H)</f>
        <v>82.66666668</v>
      </c>
      <c r="E64" s="78">
        <v>5.319503518</v>
      </c>
      <c r="F64" s="78">
        <f>sumif('PLA Sheet'!C:C,B64,'PLA Sheet'!J:J)/D64*9</f>
        <v>2.803226225</v>
      </c>
      <c r="G64" s="79">
        <v>0.516902944</v>
      </c>
      <c r="H64" s="79">
        <v>0.244274809</v>
      </c>
      <c r="I64" s="79">
        <v>0.238822246</v>
      </c>
      <c r="J64" s="79">
        <f t="shared" si="1"/>
        <v>0.278080698</v>
      </c>
      <c r="K64" s="80">
        <v>8.295263184</v>
      </c>
    </row>
    <row r="65">
      <c r="A65" s="1" t="s">
        <v>48</v>
      </c>
      <c r="B65" s="38">
        <v>552640.0</v>
      </c>
      <c r="C65" s="38">
        <v>874.0</v>
      </c>
      <c r="D65" s="39">
        <f>sumif('PLA Sheet'!C:C,B65,'PLA Sheet'!H:H)</f>
        <v>53</v>
      </c>
      <c r="E65" s="78">
        <v>5.318381243</v>
      </c>
      <c r="F65" s="78">
        <f>sumif('PLA Sheet'!C:C,B65,'PLA Sheet'!J:J)/D65*9</f>
        <v>2.26751383</v>
      </c>
      <c r="G65" s="79">
        <v>0.498855835</v>
      </c>
      <c r="H65" s="79">
        <v>0.225400458</v>
      </c>
      <c r="I65" s="79">
        <v>0.275743707</v>
      </c>
      <c r="J65" s="79">
        <f t="shared" si="1"/>
        <v>0.223112128</v>
      </c>
      <c r="K65" s="80">
        <v>6.231574091</v>
      </c>
    </row>
    <row r="66">
      <c r="A66" s="1" t="s">
        <v>174</v>
      </c>
      <c r="B66" s="38">
        <v>643338.0</v>
      </c>
      <c r="C66" s="38">
        <v>712.0</v>
      </c>
      <c r="D66" s="39">
        <f>sumif('PLA Sheet'!C:C,B66,'PLA Sheet'!H:H)</f>
        <v>43.66666666</v>
      </c>
      <c r="E66" s="78">
        <v>5.317850511</v>
      </c>
      <c r="F66" s="78">
        <f>sumif('PLA Sheet'!C:C,B66,'PLA Sheet'!J:J)/D66*9</f>
        <v>2.869260115</v>
      </c>
      <c r="G66" s="79">
        <v>0.519662921</v>
      </c>
      <c r="H66" s="79">
        <v>0.165730337</v>
      </c>
      <c r="I66" s="79">
        <v>0.314606742</v>
      </c>
      <c r="J66" s="79">
        <f t="shared" si="1"/>
        <v>0.205056179</v>
      </c>
      <c r="K66" s="80">
        <v>1.50863758</v>
      </c>
    </row>
    <row r="67">
      <c r="A67" s="1" t="s">
        <v>306</v>
      </c>
      <c r="B67" s="38">
        <v>677944.0</v>
      </c>
      <c r="C67" s="38">
        <v>1231.0</v>
      </c>
      <c r="D67" s="39">
        <f>sumif('PLA Sheet'!C:C,B67,'PLA Sheet'!H:H)</f>
        <v>132</v>
      </c>
      <c r="E67" s="78">
        <v>5.316008957</v>
      </c>
      <c r="F67" s="78">
        <f>sumif('PLA Sheet'!C:C,B67,'PLA Sheet'!J:J)/D67*9</f>
        <v>3.334544932</v>
      </c>
      <c r="G67" s="79">
        <v>0.517465475</v>
      </c>
      <c r="H67" s="79">
        <v>0.172217709</v>
      </c>
      <c r="I67" s="79">
        <v>0.310316816</v>
      </c>
      <c r="J67" s="79">
        <f t="shared" si="1"/>
        <v>0.207148659</v>
      </c>
      <c r="K67" s="80">
        <v>-16.01503755</v>
      </c>
    </row>
    <row r="68">
      <c r="A68" s="1" t="s">
        <v>311</v>
      </c>
      <c r="B68" s="38">
        <v>656546.0</v>
      </c>
      <c r="C68" s="38">
        <v>874.0</v>
      </c>
      <c r="D68" s="39">
        <f>sumif('PLA Sheet'!C:C,B68,'PLA Sheet'!H:H)</f>
        <v>67.99999999</v>
      </c>
      <c r="E68" s="78">
        <v>5.314130745</v>
      </c>
      <c r="F68" s="78">
        <f>sumif('PLA Sheet'!C:C,B68,'PLA Sheet'!J:J)/D68*9</f>
        <v>3.35432753</v>
      </c>
      <c r="G68" s="79">
        <v>0.494279176</v>
      </c>
      <c r="H68" s="79">
        <v>0.200228833</v>
      </c>
      <c r="I68" s="79">
        <v>0.305491991</v>
      </c>
      <c r="J68" s="79">
        <f t="shared" si="1"/>
        <v>0.188787185</v>
      </c>
      <c r="K68" s="80">
        <v>4.622144421</v>
      </c>
    </row>
    <row r="69">
      <c r="A69" s="1" t="s">
        <v>98</v>
      </c>
      <c r="B69" s="38">
        <v>605400.0</v>
      </c>
      <c r="C69" s="38">
        <v>2682.0</v>
      </c>
      <c r="D69" s="39">
        <f>sumif('PLA Sheet'!C:C,B69,'PLA Sheet'!H:H)</f>
        <v>94.33333333</v>
      </c>
      <c r="E69" s="78">
        <v>5.308555431</v>
      </c>
      <c r="F69" s="78">
        <f>sumif('PLA Sheet'!C:C,B69,'PLA Sheet'!J:J)/D69*9</f>
        <v>2.594749039</v>
      </c>
      <c r="G69" s="79">
        <v>0.484340045</v>
      </c>
      <c r="H69" s="79">
        <v>0.218866518</v>
      </c>
      <c r="I69" s="79">
        <v>0.296793438</v>
      </c>
      <c r="J69" s="79">
        <f t="shared" si="1"/>
        <v>0.187546607</v>
      </c>
      <c r="K69" s="80">
        <v>-9.462384921</v>
      </c>
    </row>
    <row r="70">
      <c r="A70" s="1" t="s">
        <v>407</v>
      </c>
      <c r="B70" s="38">
        <v>668674.0</v>
      </c>
      <c r="C70" s="38">
        <v>803.0</v>
      </c>
      <c r="D70" s="39">
        <f>sumif('PLA Sheet'!C:C,B70,'PLA Sheet'!H:H)</f>
        <v>61.33333333</v>
      </c>
      <c r="E70" s="78">
        <v>5.308072721</v>
      </c>
      <c r="F70" s="78">
        <f>sumif('PLA Sheet'!C:C,B70,'PLA Sheet'!J:J)/D70*9</f>
        <v>3.333440544</v>
      </c>
      <c r="G70" s="79">
        <v>0.509339975</v>
      </c>
      <c r="H70" s="79">
        <v>0.183063512</v>
      </c>
      <c r="I70" s="79">
        <v>0.307596513</v>
      </c>
      <c r="J70" s="79">
        <f t="shared" si="1"/>
        <v>0.201743462</v>
      </c>
      <c r="K70" s="80">
        <v>5.135531645</v>
      </c>
    </row>
    <row r="71">
      <c r="A71" s="1" t="s">
        <v>1023</v>
      </c>
      <c r="B71" s="38">
        <v>683003.0</v>
      </c>
      <c r="C71" s="38">
        <v>1535.0</v>
      </c>
      <c r="D71" s="39">
        <f>sumif('PLA Sheet'!C:C,B71,'PLA Sheet'!H:H)</f>
        <v>0</v>
      </c>
      <c r="E71" s="78">
        <v>5.305064074</v>
      </c>
      <c r="F71" s="78" t="str">
        <f>sumif('PLA Sheet'!C:C,B71,'PLA Sheet'!J:J)/D71*9</f>
        <v>#DIV/0!</v>
      </c>
      <c r="G71" s="79">
        <v>0.526384365</v>
      </c>
      <c r="H71" s="79">
        <v>0.160912052</v>
      </c>
      <c r="I71" s="79">
        <v>0.312703583</v>
      </c>
      <c r="J71" s="79">
        <f t="shared" si="1"/>
        <v>0.213680782</v>
      </c>
      <c r="K71" s="80">
        <v>-10.32367862</v>
      </c>
    </row>
    <row r="72">
      <c r="A72" s="1" t="s">
        <v>460</v>
      </c>
      <c r="B72" s="38">
        <v>519151.0</v>
      </c>
      <c r="C72" s="38">
        <v>849.0</v>
      </c>
      <c r="D72" s="39">
        <f>sumif('PLA Sheet'!C:C,B72,'PLA Sheet'!H:H)</f>
        <v>41.33333333</v>
      </c>
      <c r="E72" s="78">
        <v>5.304064136</v>
      </c>
      <c r="F72" s="78">
        <f>sumif('PLA Sheet'!C:C,B72,'PLA Sheet'!J:J)/D72*9</f>
        <v>3.622325879</v>
      </c>
      <c r="G72" s="79">
        <v>0.50647821</v>
      </c>
      <c r="H72" s="79">
        <v>0.179034158</v>
      </c>
      <c r="I72" s="79">
        <v>0.314487633</v>
      </c>
      <c r="J72" s="79">
        <f t="shared" si="1"/>
        <v>0.191990577</v>
      </c>
      <c r="K72" s="80">
        <v>-4.104330883</v>
      </c>
    </row>
    <row r="73">
      <c r="A73" s="1" t="s">
        <v>252</v>
      </c>
      <c r="B73" s="38">
        <v>592155.0</v>
      </c>
      <c r="C73" s="38">
        <v>659.0</v>
      </c>
      <c r="D73" s="39">
        <f>sumif('PLA Sheet'!C:C,B73,'PLA Sheet'!H:H)</f>
        <v>31</v>
      </c>
      <c r="E73" s="78">
        <v>5.30296891</v>
      </c>
      <c r="F73" s="78">
        <f>sumif('PLA Sheet'!C:C,B73,'PLA Sheet'!J:J)/D73*9</f>
        <v>3.109153355</v>
      </c>
      <c r="G73" s="79">
        <v>0.517450683</v>
      </c>
      <c r="H73" s="79">
        <v>0.256449165</v>
      </c>
      <c r="I73" s="79">
        <v>0.226100152</v>
      </c>
      <c r="J73" s="79">
        <f t="shared" si="1"/>
        <v>0.291350531</v>
      </c>
      <c r="K73" s="80">
        <v>-5.914914855</v>
      </c>
    </row>
    <row r="74">
      <c r="A74" s="1" t="s">
        <v>321</v>
      </c>
      <c r="B74" s="38">
        <v>607200.0</v>
      </c>
      <c r="C74" s="38">
        <v>2516.0</v>
      </c>
      <c r="D74" s="39">
        <f>sumif('PLA Sheet'!C:C,B74,'PLA Sheet'!H:H)</f>
        <v>141</v>
      </c>
      <c r="E74" s="78">
        <v>5.301367408</v>
      </c>
      <c r="F74" s="78">
        <f>sumif('PLA Sheet'!C:C,B74,'PLA Sheet'!J:J)/D74*9</f>
        <v>3.378800489</v>
      </c>
      <c r="G74" s="79">
        <v>0.5063593</v>
      </c>
      <c r="H74" s="79">
        <v>0.232511924</v>
      </c>
      <c r="I74" s="79">
        <v>0.261128776</v>
      </c>
      <c r="J74" s="79">
        <f t="shared" si="1"/>
        <v>0.245230524</v>
      </c>
      <c r="K74" s="80">
        <v>13.80184597</v>
      </c>
    </row>
    <row r="75">
      <c r="A75" s="1" t="s">
        <v>108</v>
      </c>
      <c r="B75" s="38">
        <v>663423.0</v>
      </c>
      <c r="C75" s="38">
        <v>997.0</v>
      </c>
      <c r="D75" s="39">
        <f>sumif('PLA Sheet'!C:C,B75,'PLA Sheet'!H:H)</f>
        <v>42.33333333</v>
      </c>
      <c r="E75" s="78">
        <v>5.300054149</v>
      </c>
      <c r="F75" s="78">
        <f>sumif('PLA Sheet'!C:C,B75,'PLA Sheet'!J:J)/D75*9</f>
        <v>2.639788087</v>
      </c>
      <c r="G75" s="79">
        <v>0.523570712</v>
      </c>
      <c r="H75" s="79">
        <v>0.260782347</v>
      </c>
      <c r="I75" s="79">
        <v>0.215646941</v>
      </c>
      <c r="J75" s="79">
        <f t="shared" si="1"/>
        <v>0.307923771</v>
      </c>
      <c r="K75" s="80">
        <v>-6.616076735</v>
      </c>
    </row>
    <row r="76">
      <c r="A76" s="1" t="s">
        <v>129</v>
      </c>
      <c r="B76" s="38">
        <v>686752.0</v>
      </c>
      <c r="C76" s="38">
        <v>1769.0</v>
      </c>
      <c r="D76" s="39">
        <f>sumif('PLA Sheet'!C:C,B76,'PLA Sheet'!H:H)</f>
        <v>167.6666667</v>
      </c>
      <c r="E76" s="78">
        <v>5.294157962</v>
      </c>
      <c r="F76" s="78">
        <f>sumif('PLA Sheet'!C:C,B76,'PLA Sheet'!J:J)/D76*9</f>
        <v>2.725865678</v>
      </c>
      <c r="G76" s="79">
        <v>0.521763708</v>
      </c>
      <c r="H76" s="79">
        <v>0.155455059</v>
      </c>
      <c r="I76" s="79">
        <v>0.322781232</v>
      </c>
      <c r="J76" s="79">
        <f t="shared" si="1"/>
        <v>0.198982476</v>
      </c>
      <c r="K76" s="80">
        <v>0.810783713</v>
      </c>
    </row>
    <row r="77">
      <c r="A77" s="1" t="s">
        <v>238</v>
      </c>
      <c r="B77" s="38">
        <v>683769.0</v>
      </c>
      <c r="C77" s="38">
        <v>923.0</v>
      </c>
      <c r="D77" s="39">
        <f>sumif('PLA Sheet'!C:C,B77,'PLA Sheet'!H:H)</f>
        <v>66.66666667</v>
      </c>
      <c r="E77" s="78">
        <v>5.293881885</v>
      </c>
      <c r="F77" s="78">
        <f>sumif('PLA Sheet'!C:C,B77,'PLA Sheet'!J:J)/D77*9</f>
        <v>3.062150325</v>
      </c>
      <c r="G77" s="79">
        <v>0.521126761</v>
      </c>
      <c r="H77" s="79">
        <v>0.193932828</v>
      </c>
      <c r="I77" s="79">
        <v>0.284940412</v>
      </c>
      <c r="J77" s="79">
        <f t="shared" si="1"/>
        <v>0.236186349</v>
      </c>
      <c r="K77" s="80">
        <v>17.43333693</v>
      </c>
    </row>
    <row r="78">
      <c r="A78" s="1" t="s">
        <v>67</v>
      </c>
      <c r="B78" s="38">
        <v>684007.0</v>
      </c>
      <c r="C78" s="38">
        <v>2291.0</v>
      </c>
      <c r="D78" s="39">
        <f>sumif('PLA Sheet'!C:C,B78,'PLA Sheet'!H:H)</f>
        <v>144.6666667</v>
      </c>
      <c r="E78" s="78">
        <v>5.29157427</v>
      </c>
      <c r="F78" s="78">
        <f>sumif('PLA Sheet'!C:C,B78,'PLA Sheet'!J:J)/D78*9</f>
        <v>2.404278394</v>
      </c>
      <c r="G78" s="79">
        <v>0.511130511</v>
      </c>
      <c r="H78" s="79">
        <v>0.194674814</v>
      </c>
      <c r="I78" s="79">
        <v>0.294194675</v>
      </c>
      <c r="J78" s="79">
        <f t="shared" si="1"/>
        <v>0.216935836</v>
      </c>
      <c r="K78" s="80">
        <v>-5.920491443</v>
      </c>
    </row>
    <row r="79">
      <c r="A79" s="1" t="s">
        <v>280</v>
      </c>
      <c r="B79" s="38">
        <v>608032.0</v>
      </c>
      <c r="C79" s="38">
        <v>706.0</v>
      </c>
      <c r="D79" s="39">
        <f>sumif('PLA Sheet'!C:C,B79,'PLA Sheet'!H:H)</f>
        <v>66</v>
      </c>
      <c r="E79" s="78">
        <v>5.29151212</v>
      </c>
      <c r="F79" s="78">
        <f>sumif('PLA Sheet'!C:C,B79,'PLA Sheet'!J:J)/D79*9</f>
        <v>3.233742545</v>
      </c>
      <c r="G79" s="79">
        <v>0.498583569</v>
      </c>
      <c r="H79" s="79">
        <v>0.186968839</v>
      </c>
      <c r="I79" s="79">
        <v>0.314447592</v>
      </c>
      <c r="J79" s="79">
        <f t="shared" si="1"/>
        <v>0.184135977</v>
      </c>
      <c r="K79" s="80">
        <v>9.529708982</v>
      </c>
    </row>
    <row r="80">
      <c r="A80" s="1" t="s">
        <v>663</v>
      </c>
      <c r="B80" s="38">
        <v>670059.0</v>
      </c>
      <c r="C80" s="38">
        <v>732.0</v>
      </c>
      <c r="D80" s="39">
        <f>sumif('PLA Sheet'!C:C,B80,'PLA Sheet'!H:H)</f>
        <v>25.66666667</v>
      </c>
      <c r="E80" s="78">
        <v>5.290887611</v>
      </c>
      <c r="F80" s="78">
        <f>sumif('PLA Sheet'!C:C,B80,'PLA Sheet'!J:J)/D80*9</f>
        <v>4.339820805</v>
      </c>
      <c r="G80" s="79">
        <v>0.584699454</v>
      </c>
      <c r="H80" s="79">
        <v>0.228142077</v>
      </c>
      <c r="I80" s="79">
        <v>0.18715847</v>
      </c>
      <c r="J80" s="79">
        <f t="shared" si="1"/>
        <v>0.397540984</v>
      </c>
      <c r="K80" s="80">
        <v>1.331720744</v>
      </c>
    </row>
    <row r="81">
      <c r="A81" s="1" t="s">
        <v>286</v>
      </c>
      <c r="B81" s="38">
        <v>695243.0</v>
      </c>
      <c r="C81" s="38">
        <v>853.0</v>
      </c>
      <c r="D81" s="39">
        <f>sumif('PLA Sheet'!C:C,B81,'PLA Sheet'!H:H)</f>
        <v>61.66666667</v>
      </c>
      <c r="E81" s="78">
        <v>5.290143043</v>
      </c>
      <c r="F81" s="78">
        <f>sumif('PLA Sheet'!C:C,B81,'PLA Sheet'!J:J)/D81*9</f>
        <v>3.250760594</v>
      </c>
      <c r="G81" s="79">
        <v>0.538100821</v>
      </c>
      <c r="H81" s="79">
        <v>0.161781946</v>
      </c>
      <c r="I81" s="79">
        <v>0.300117233</v>
      </c>
      <c r="J81" s="79">
        <f t="shared" si="1"/>
        <v>0.237983588</v>
      </c>
      <c r="K81" s="80">
        <v>8.827419214</v>
      </c>
    </row>
    <row r="82">
      <c r="A82" s="1" t="s">
        <v>636</v>
      </c>
      <c r="B82" s="38">
        <v>663542.0</v>
      </c>
      <c r="C82" s="38">
        <v>918.0</v>
      </c>
      <c r="D82" s="39">
        <f>sumif('PLA Sheet'!C:C,B82,'PLA Sheet'!H:H)</f>
        <v>15</v>
      </c>
      <c r="E82" s="78">
        <v>5.288747389</v>
      </c>
      <c r="F82" s="78">
        <f>sumif('PLA Sheet'!C:C,B82,'PLA Sheet'!J:J)/D82*9</f>
        <v>5.3141286</v>
      </c>
      <c r="G82" s="79">
        <v>0.495642702</v>
      </c>
      <c r="H82" s="79">
        <v>0.27124183</v>
      </c>
      <c r="I82" s="79">
        <v>0.233115468</v>
      </c>
      <c r="J82" s="79">
        <f t="shared" si="1"/>
        <v>0.262527234</v>
      </c>
      <c r="K82" s="80">
        <v>27.10863254</v>
      </c>
    </row>
    <row r="83">
      <c r="A83" s="1" t="s">
        <v>253</v>
      </c>
      <c r="B83" s="38">
        <v>701581.0</v>
      </c>
      <c r="C83" s="38">
        <v>783.0</v>
      </c>
      <c r="D83" s="39">
        <f>sumif('PLA Sheet'!C:C,B83,'PLA Sheet'!H:H)</f>
        <v>53.33333333</v>
      </c>
      <c r="E83" s="78">
        <v>5.285616331</v>
      </c>
      <c r="F83" s="78">
        <f>sumif('PLA Sheet'!C:C,B83,'PLA Sheet'!J:J)/D83*9</f>
        <v>3.1101705</v>
      </c>
      <c r="G83" s="79">
        <v>0.503192848</v>
      </c>
      <c r="H83" s="79">
        <v>0.166028097</v>
      </c>
      <c r="I83" s="79">
        <v>0.330779055</v>
      </c>
      <c r="J83" s="79">
        <f t="shared" si="1"/>
        <v>0.172413793</v>
      </c>
      <c r="K83" s="80">
        <v>-3.56978389</v>
      </c>
    </row>
    <row r="84">
      <c r="A84" s="1" t="s">
        <v>343</v>
      </c>
      <c r="B84" s="38">
        <v>682243.0</v>
      </c>
      <c r="C84" s="38">
        <v>2348.0</v>
      </c>
      <c r="D84" s="39">
        <f>sumif('PLA Sheet'!C:C,B84,'PLA Sheet'!H:H)</f>
        <v>90.33333333</v>
      </c>
      <c r="E84" s="78">
        <v>5.285113534</v>
      </c>
      <c r="F84" s="78">
        <f>sumif('PLA Sheet'!C:C,B84,'PLA Sheet'!J:J)/D84*9</f>
        <v>3.43769679</v>
      </c>
      <c r="G84" s="79">
        <v>0.508091993</v>
      </c>
      <c r="H84" s="79">
        <v>0.199318569</v>
      </c>
      <c r="I84" s="79">
        <v>0.292589438</v>
      </c>
      <c r="J84" s="79">
        <f t="shared" si="1"/>
        <v>0.215502555</v>
      </c>
      <c r="K84" s="80">
        <v>8.623419397</v>
      </c>
    </row>
    <row r="85">
      <c r="A85" s="1" t="s">
        <v>74</v>
      </c>
      <c r="B85" s="38">
        <v>455119.0</v>
      </c>
      <c r="C85" s="38">
        <v>558.0</v>
      </c>
      <c r="D85" s="39">
        <f>sumif('PLA Sheet'!C:C,B85,'PLA Sheet'!H:H)</f>
        <v>42.33333333</v>
      </c>
      <c r="E85" s="78">
        <v>5.279823368</v>
      </c>
      <c r="F85" s="78">
        <f>sumif('PLA Sheet'!C:C,B85,'PLA Sheet'!J:J)/D85*9</f>
        <v>2.43940578</v>
      </c>
      <c r="G85" s="79">
        <v>0.471326165</v>
      </c>
      <c r="H85" s="79">
        <v>0.250896057</v>
      </c>
      <c r="I85" s="79">
        <v>0.277777778</v>
      </c>
      <c r="J85" s="79">
        <f t="shared" si="1"/>
        <v>0.193548387</v>
      </c>
      <c r="K85" s="80">
        <v>-0.023086148</v>
      </c>
    </row>
    <row r="86">
      <c r="A86" s="1" t="s">
        <v>65</v>
      </c>
      <c r="B86" s="38">
        <v>680885.0</v>
      </c>
      <c r="C86" s="38">
        <v>1437.0</v>
      </c>
      <c r="D86" s="39">
        <f>sumif('PLA Sheet'!C:C,B86,'PLA Sheet'!H:H)</f>
        <v>110.6666667</v>
      </c>
      <c r="E86" s="78">
        <v>5.277207322</v>
      </c>
      <c r="F86" s="78">
        <f>sumif('PLA Sheet'!C:C,B86,'PLA Sheet'!J:J)/D86*9</f>
        <v>2.403458593</v>
      </c>
      <c r="G86" s="79">
        <v>0.485038274</v>
      </c>
      <c r="H86" s="79">
        <v>0.219206681</v>
      </c>
      <c r="I86" s="79">
        <v>0.295755045</v>
      </c>
      <c r="J86" s="79">
        <f t="shared" si="1"/>
        <v>0.189283229</v>
      </c>
      <c r="K86" s="80">
        <v>11.77613336</v>
      </c>
    </row>
    <row r="87">
      <c r="A87" s="1" t="s">
        <v>412</v>
      </c>
      <c r="B87" s="38">
        <v>641482.0</v>
      </c>
      <c r="C87" s="38">
        <v>2588.0</v>
      </c>
      <c r="D87" s="39">
        <f>sumif('PLA Sheet'!C:C,B87,'PLA Sheet'!H:H)</f>
        <v>34.33333333</v>
      </c>
      <c r="E87" s="78">
        <v>5.275210094</v>
      </c>
      <c r="F87" s="78">
        <f>sumif('PLA Sheet'!C:C,B87,'PLA Sheet'!J:J)/D87*9</f>
        <v>3.740618534</v>
      </c>
      <c r="G87" s="79">
        <v>0.520479134</v>
      </c>
      <c r="H87" s="79">
        <v>0.188176198</v>
      </c>
      <c r="I87" s="79">
        <v>0.291344668</v>
      </c>
      <c r="J87" s="79">
        <f t="shared" si="1"/>
        <v>0.229134466</v>
      </c>
      <c r="K87" s="80">
        <v>-22.66744149</v>
      </c>
    </row>
    <row r="88">
      <c r="A88" s="1" t="s">
        <v>1024</v>
      </c>
      <c r="B88" s="38">
        <v>502624.0</v>
      </c>
      <c r="C88" s="38">
        <v>955.0</v>
      </c>
      <c r="D88" s="39">
        <f>sumif('PLA Sheet'!C:C,B88,'PLA Sheet'!H:H)</f>
        <v>0</v>
      </c>
      <c r="E88" s="78">
        <v>5.274019505</v>
      </c>
      <c r="F88" s="78" t="str">
        <f>sumif('PLA Sheet'!C:C,B88,'PLA Sheet'!J:J)/D88*9</f>
        <v>#DIV/0!</v>
      </c>
      <c r="G88" s="79">
        <v>0.534031414</v>
      </c>
      <c r="H88" s="79">
        <v>0.182198953</v>
      </c>
      <c r="I88" s="79">
        <v>0.283769634</v>
      </c>
      <c r="J88" s="79">
        <f t="shared" si="1"/>
        <v>0.25026178</v>
      </c>
      <c r="K88" s="80">
        <v>4.062871204</v>
      </c>
    </row>
    <row r="89">
      <c r="A89" s="1" t="s">
        <v>159</v>
      </c>
      <c r="B89" s="38">
        <v>605483.0</v>
      </c>
      <c r="C89" s="38">
        <v>1434.0</v>
      </c>
      <c r="D89" s="39">
        <f>sumif('PLA Sheet'!C:C,B89,'PLA Sheet'!H:H)</f>
        <v>61.33333334</v>
      </c>
      <c r="E89" s="78">
        <v>5.270293703</v>
      </c>
      <c r="F89" s="78">
        <f>sumif('PLA Sheet'!C:C,B89,'PLA Sheet'!J:J)/D89*9</f>
        <v>2.821968831</v>
      </c>
      <c r="G89" s="79">
        <v>0.509065551</v>
      </c>
      <c r="H89" s="79">
        <v>0.166666667</v>
      </c>
      <c r="I89" s="79">
        <v>0.324267782</v>
      </c>
      <c r="J89" s="79">
        <f t="shared" si="1"/>
        <v>0.184797769</v>
      </c>
      <c r="K89" s="80">
        <v>6.305072021</v>
      </c>
    </row>
    <row r="90">
      <c r="A90" s="1" t="s">
        <v>408</v>
      </c>
      <c r="B90" s="38">
        <v>657376.0</v>
      </c>
      <c r="C90" s="38">
        <v>1012.0</v>
      </c>
      <c r="D90" s="39">
        <f>sumif('PLA Sheet'!C:C,B90,'PLA Sheet'!H:H)</f>
        <v>78.66666667</v>
      </c>
      <c r="E90" s="78">
        <v>5.269704861</v>
      </c>
      <c r="F90" s="78">
        <f>sumif('PLA Sheet'!C:C,B90,'PLA Sheet'!J:J)/D90*9</f>
        <v>3.264320708</v>
      </c>
      <c r="G90" s="79">
        <v>0.507905138</v>
      </c>
      <c r="H90" s="79">
        <v>0.226284585</v>
      </c>
      <c r="I90" s="79">
        <v>0.265810277</v>
      </c>
      <c r="J90" s="79">
        <f t="shared" si="1"/>
        <v>0.242094861</v>
      </c>
      <c r="K90" s="80">
        <v>6.130770916</v>
      </c>
    </row>
    <row r="91">
      <c r="A91" s="1" t="s">
        <v>147</v>
      </c>
      <c r="B91" s="38">
        <v>608379.0</v>
      </c>
      <c r="C91" s="38">
        <v>2217.0</v>
      </c>
      <c r="D91" s="39">
        <f>sumif('PLA Sheet'!C:C,B91,'PLA Sheet'!H:H)</f>
        <v>172.6666667</v>
      </c>
      <c r="E91" s="78">
        <v>5.269462753</v>
      </c>
      <c r="F91" s="78">
        <f>sumif('PLA Sheet'!C:C,B91,'PLA Sheet'!J:J)/D91*9</f>
        <v>2.801649735</v>
      </c>
      <c r="G91" s="79">
        <v>0.50248083</v>
      </c>
      <c r="H91" s="79">
        <v>0.155615697</v>
      </c>
      <c r="I91" s="79">
        <v>0.341903473</v>
      </c>
      <c r="J91" s="79">
        <f t="shared" si="1"/>
        <v>0.160577357</v>
      </c>
      <c r="K91" s="80">
        <v>-7.012816349</v>
      </c>
    </row>
    <row r="92">
      <c r="A92" s="1" t="s">
        <v>823</v>
      </c>
      <c r="B92" s="38">
        <v>656464.0</v>
      </c>
      <c r="C92" s="38">
        <v>1037.0</v>
      </c>
      <c r="D92" s="39">
        <f>sumif('PLA Sheet'!C:C,B92,'PLA Sheet'!H:H)</f>
        <v>25.66666667</v>
      </c>
      <c r="E92" s="78">
        <v>5.268816022</v>
      </c>
      <c r="F92" s="78">
        <f>sumif('PLA Sheet'!C:C,B92,'PLA Sheet'!J:J)/D92*9</f>
        <v>4.228734039</v>
      </c>
      <c r="G92" s="79">
        <v>0.50144648</v>
      </c>
      <c r="H92" s="79">
        <v>0.163934426</v>
      </c>
      <c r="I92" s="79">
        <v>0.334619094</v>
      </c>
      <c r="J92" s="79">
        <f t="shared" si="1"/>
        <v>0.166827386</v>
      </c>
      <c r="K92" s="80">
        <v>2.102251045</v>
      </c>
    </row>
    <row r="93">
      <c r="A93" s="1" t="s">
        <v>395</v>
      </c>
      <c r="B93" s="38">
        <v>663893.0</v>
      </c>
      <c r="C93" s="38">
        <v>576.0</v>
      </c>
      <c r="D93" s="39">
        <f>sumif('PLA Sheet'!C:C,B93,'PLA Sheet'!H:H)</f>
        <v>68.33333332</v>
      </c>
      <c r="E93" s="78">
        <v>5.26752534</v>
      </c>
      <c r="F93" s="78">
        <f>sumif('PLA Sheet'!C:C,B93,'PLA Sheet'!J:J)/D93*9</f>
        <v>3.789186849</v>
      </c>
      <c r="G93" s="79">
        <v>0.53125</v>
      </c>
      <c r="H93" s="79">
        <v>0.131944444</v>
      </c>
      <c r="I93" s="79">
        <v>0.336805556</v>
      </c>
      <c r="J93" s="79">
        <f t="shared" si="1"/>
        <v>0.194444444</v>
      </c>
      <c r="K93" s="80">
        <v>-2.059804679</v>
      </c>
    </row>
    <row r="94">
      <c r="A94" s="1" t="s">
        <v>342</v>
      </c>
      <c r="B94" s="38">
        <v>592094.0</v>
      </c>
      <c r="C94" s="38">
        <v>910.0</v>
      </c>
      <c r="D94" s="39">
        <f>sumif('PLA Sheet'!C:C,B94,'PLA Sheet'!H:H)</f>
        <v>65.33333334</v>
      </c>
      <c r="E94" s="78">
        <v>5.265000607</v>
      </c>
      <c r="F94" s="78">
        <f>sumif('PLA Sheet'!C:C,B94,'PLA Sheet'!J:J)/D94*9</f>
        <v>3.435925913</v>
      </c>
      <c r="G94" s="79">
        <v>0.508791209</v>
      </c>
      <c r="H94" s="79">
        <v>0.213186813</v>
      </c>
      <c r="I94" s="79">
        <v>0.278021978</v>
      </c>
      <c r="J94" s="79">
        <f t="shared" si="1"/>
        <v>0.230769231</v>
      </c>
      <c r="K94" s="80">
        <v>13.57168772</v>
      </c>
    </row>
    <row r="95">
      <c r="A95" s="1" t="s">
        <v>112</v>
      </c>
      <c r="B95" s="38">
        <v>683232.0</v>
      </c>
      <c r="C95" s="38">
        <v>986.0</v>
      </c>
      <c r="D95" s="39">
        <f>sumif('PLA Sheet'!C:C,B95,'PLA Sheet'!H:H)</f>
        <v>56.66666667</v>
      </c>
      <c r="E95" s="78">
        <v>5.263582024</v>
      </c>
      <c r="F95" s="78">
        <f>sumif('PLA Sheet'!C:C,B95,'PLA Sheet'!J:J)/D95*9</f>
        <v>2.658443506</v>
      </c>
      <c r="G95" s="79">
        <v>0.526369168</v>
      </c>
      <c r="H95" s="79">
        <v>0.153144016</v>
      </c>
      <c r="I95" s="79">
        <v>0.320486815</v>
      </c>
      <c r="J95" s="79">
        <f t="shared" si="1"/>
        <v>0.205882353</v>
      </c>
      <c r="K95" s="80">
        <v>-9.357440038</v>
      </c>
    </row>
    <row r="96">
      <c r="A96" s="1" t="s">
        <v>310</v>
      </c>
      <c r="B96" s="38">
        <v>607455.0</v>
      </c>
      <c r="C96" s="38">
        <v>704.0</v>
      </c>
      <c r="D96" s="39">
        <f>sumif('PLA Sheet'!C:C,B96,'PLA Sheet'!H:H)</f>
        <v>65.00000001</v>
      </c>
      <c r="E96" s="78">
        <v>5.26121326</v>
      </c>
      <c r="F96" s="78">
        <f>sumif('PLA Sheet'!C:C,B96,'PLA Sheet'!J:J)/D96*9</f>
        <v>3.354034984</v>
      </c>
      <c r="G96" s="79">
        <v>0.53125</v>
      </c>
      <c r="H96" s="79">
        <v>0.159090909</v>
      </c>
      <c r="I96" s="79">
        <v>0.309659091</v>
      </c>
      <c r="J96" s="79">
        <f t="shared" si="1"/>
        <v>0.221590909</v>
      </c>
      <c r="K96" s="80">
        <v>-2.715077726</v>
      </c>
    </row>
    <row r="97">
      <c r="A97" s="1" t="s">
        <v>117</v>
      </c>
      <c r="B97" s="38">
        <v>596001.0</v>
      </c>
      <c r="C97" s="38">
        <v>656.0</v>
      </c>
      <c r="D97" s="39">
        <f>sumif('PLA Sheet'!C:C,B97,'PLA Sheet'!H:H)</f>
        <v>66.66666666</v>
      </c>
      <c r="E97" s="78">
        <v>5.259969567</v>
      </c>
      <c r="F97" s="78">
        <f>sumif('PLA Sheet'!C:C,B97,'PLA Sheet'!J:J)/D97*9</f>
        <v>2.679552495</v>
      </c>
      <c r="G97" s="79">
        <v>0.509146341</v>
      </c>
      <c r="H97" s="79">
        <v>0.195121951</v>
      </c>
      <c r="I97" s="79">
        <v>0.295731707</v>
      </c>
      <c r="J97" s="79">
        <f t="shared" si="1"/>
        <v>0.213414634</v>
      </c>
      <c r="K97" s="80">
        <v>5.89608292</v>
      </c>
    </row>
    <row r="98">
      <c r="A98" s="1" t="s">
        <v>1025</v>
      </c>
      <c r="B98" s="38">
        <v>675627.0</v>
      </c>
      <c r="C98" s="38">
        <v>730.0</v>
      </c>
      <c r="D98" s="39">
        <f>sumif('PLA Sheet'!C:C,B98,'PLA Sheet'!H:H)</f>
        <v>0</v>
      </c>
      <c r="E98" s="78">
        <v>5.2580524</v>
      </c>
      <c r="F98" s="78" t="str">
        <f>sumif('PLA Sheet'!C:C,B98,'PLA Sheet'!J:J)/D98*9</f>
        <v>#DIV/0!</v>
      </c>
      <c r="G98" s="79">
        <v>0.487671233</v>
      </c>
      <c r="H98" s="79">
        <v>0.205479452</v>
      </c>
      <c r="I98" s="79">
        <v>0.306849315</v>
      </c>
      <c r="J98" s="79">
        <f t="shared" si="1"/>
        <v>0.180821918</v>
      </c>
      <c r="K98" s="80">
        <v>0.230343339</v>
      </c>
    </row>
    <row r="99">
      <c r="A99" s="1" t="s">
        <v>156</v>
      </c>
      <c r="B99" s="38">
        <v>519242.0</v>
      </c>
      <c r="C99" s="38">
        <v>2489.0</v>
      </c>
      <c r="D99" s="39">
        <f>sumif('PLA Sheet'!C:C,B99,'PLA Sheet'!H:H)</f>
        <v>125.6666667</v>
      </c>
      <c r="E99" s="78">
        <v>5.257127667</v>
      </c>
      <c r="F99" s="78">
        <f>sumif('PLA Sheet'!C:C,B99,'PLA Sheet'!J:J)/D99*9</f>
        <v>2.817857292</v>
      </c>
      <c r="G99" s="79">
        <v>0.507030936</v>
      </c>
      <c r="H99" s="79">
        <v>0.19164323</v>
      </c>
      <c r="I99" s="79">
        <v>0.301325834</v>
      </c>
      <c r="J99" s="79">
        <f t="shared" si="1"/>
        <v>0.205705102</v>
      </c>
      <c r="K99" s="80">
        <v>15.99744798</v>
      </c>
    </row>
    <row r="100">
      <c r="A100" s="1" t="s">
        <v>1026</v>
      </c>
      <c r="B100" s="38">
        <v>518617.0</v>
      </c>
      <c r="C100" s="38">
        <v>585.0</v>
      </c>
      <c r="D100" s="39">
        <f>sumif('PLA Sheet'!C:C,B100,'PLA Sheet'!H:H)</f>
        <v>0</v>
      </c>
      <c r="E100" s="78">
        <v>5.256873053</v>
      </c>
      <c r="F100" s="78" t="str">
        <f>sumif('PLA Sheet'!C:C,B100,'PLA Sheet'!J:J)/D100*9</f>
        <v>#DIV/0!</v>
      </c>
      <c r="G100" s="79">
        <v>0.54017094</v>
      </c>
      <c r="H100" s="79">
        <v>0.230769231</v>
      </c>
      <c r="I100" s="79">
        <v>0.229059829</v>
      </c>
      <c r="J100" s="79">
        <f t="shared" si="1"/>
        <v>0.311111111</v>
      </c>
      <c r="K100" s="80">
        <v>6.144152651</v>
      </c>
    </row>
    <row r="101">
      <c r="A101" s="1" t="s">
        <v>562</v>
      </c>
      <c r="B101" s="38">
        <v>669713.0</v>
      </c>
      <c r="C101" s="38">
        <v>988.0</v>
      </c>
      <c r="D101" s="39">
        <f>sumif('PLA Sheet'!C:C,B101,'PLA Sheet'!H:H)</f>
        <v>32</v>
      </c>
      <c r="E101" s="78">
        <v>5.256469427</v>
      </c>
      <c r="F101" s="78">
        <f>sumif('PLA Sheet'!C:C,B101,'PLA Sheet'!J:J)/D101*9</f>
        <v>2.754355219</v>
      </c>
      <c r="G101" s="79">
        <v>0.476720648</v>
      </c>
      <c r="H101" s="79">
        <v>0.327935223</v>
      </c>
      <c r="I101" s="79">
        <v>0.19534413</v>
      </c>
      <c r="J101" s="79">
        <f t="shared" si="1"/>
        <v>0.281376518</v>
      </c>
      <c r="K101" s="80">
        <v>4.258521514</v>
      </c>
    </row>
    <row r="102">
      <c r="A102" s="1" t="s">
        <v>263</v>
      </c>
      <c r="B102" s="38">
        <v>694297.0</v>
      </c>
      <c r="C102" s="38">
        <v>2392.0</v>
      </c>
      <c r="D102" s="39">
        <f>sumif('PLA Sheet'!C:C,B102,'PLA Sheet'!H:H)</f>
        <v>176.6666667</v>
      </c>
      <c r="E102" s="78">
        <v>5.255737176</v>
      </c>
      <c r="F102" s="78">
        <f>sumif('PLA Sheet'!C:C,B102,'PLA Sheet'!J:J)/D102*9</f>
        <v>3.151871338</v>
      </c>
      <c r="G102" s="79">
        <v>0.519230769</v>
      </c>
      <c r="H102" s="79">
        <v>0.251672241</v>
      </c>
      <c r="I102" s="79">
        <v>0.22909699</v>
      </c>
      <c r="J102" s="79">
        <f t="shared" si="1"/>
        <v>0.290133779</v>
      </c>
      <c r="K102" s="80">
        <v>-9.865834506</v>
      </c>
    </row>
    <row r="103">
      <c r="A103" s="1" t="s">
        <v>499</v>
      </c>
      <c r="B103" s="38">
        <v>622554.0</v>
      </c>
      <c r="C103" s="38">
        <v>866.0</v>
      </c>
      <c r="D103" s="39">
        <f>sumif('PLA Sheet'!C:C,B103,'PLA Sheet'!H:H)</f>
        <v>62.66666667</v>
      </c>
      <c r="E103" s="78">
        <v>5.255425516</v>
      </c>
      <c r="F103" s="78">
        <f>sumif('PLA Sheet'!C:C,B103,'PLA Sheet'!J:J)/D103*9</f>
        <v>4.159560399</v>
      </c>
      <c r="G103" s="79">
        <v>0.506928406</v>
      </c>
      <c r="H103" s="79">
        <v>0.144341801</v>
      </c>
      <c r="I103" s="79">
        <v>0.348729792</v>
      </c>
      <c r="J103" s="79">
        <f t="shared" si="1"/>
        <v>0.158198614</v>
      </c>
      <c r="K103" s="80">
        <v>4.514934179</v>
      </c>
    </row>
    <row r="104">
      <c r="A104" s="1" t="s">
        <v>874</v>
      </c>
      <c r="B104" s="38">
        <v>605513.0</v>
      </c>
      <c r="C104" s="38">
        <v>913.0</v>
      </c>
      <c r="D104" s="39">
        <f>sumif('PLA Sheet'!C:C,B104,'PLA Sheet'!H:H)</f>
        <v>6.333333332</v>
      </c>
      <c r="E104" s="78">
        <v>5.254351791</v>
      </c>
      <c r="F104" s="78">
        <f>sumif('PLA Sheet'!C:C,B104,'PLA Sheet'!J:J)/D104*9</f>
        <v>2.530137316</v>
      </c>
      <c r="G104" s="79">
        <v>0.557502738</v>
      </c>
      <c r="H104" s="79">
        <v>0.212486309</v>
      </c>
      <c r="I104" s="79">
        <v>0.230010953</v>
      </c>
      <c r="J104" s="79">
        <f t="shared" si="1"/>
        <v>0.327491785</v>
      </c>
      <c r="K104" s="80">
        <v>13.22356563</v>
      </c>
    </row>
    <row r="105">
      <c r="A105" s="1" t="s">
        <v>184</v>
      </c>
      <c r="B105" s="38">
        <v>628452.0</v>
      </c>
      <c r="C105" s="38">
        <v>756.0</v>
      </c>
      <c r="D105" s="39">
        <f>sumif('PLA Sheet'!C:C,B105,'PLA Sheet'!H:H)</f>
        <v>67.33333332</v>
      </c>
      <c r="E105" s="78">
        <v>5.254091847</v>
      </c>
      <c r="F105" s="78">
        <f>sumif('PLA Sheet'!C:C,B105,'PLA Sheet'!J:J)/D105*9</f>
        <v>2.894229713</v>
      </c>
      <c r="G105" s="79">
        <v>0.497354497</v>
      </c>
      <c r="H105" s="79">
        <v>0.178571429</v>
      </c>
      <c r="I105" s="79">
        <v>0.324074074</v>
      </c>
      <c r="J105" s="79">
        <f t="shared" si="1"/>
        <v>0.173280423</v>
      </c>
      <c r="K105" s="80">
        <v>21.635623</v>
      </c>
    </row>
    <row r="106">
      <c r="A106" s="1" t="s">
        <v>895</v>
      </c>
      <c r="B106" s="38">
        <v>663773.0</v>
      </c>
      <c r="C106" s="38">
        <v>682.0</v>
      </c>
      <c r="D106" s="39">
        <f>sumif('PLA Sheet'!C:C,B106,'PLA Sheet'!H:H)</f>
        <v>8</v>
      </c>
      <c r="E106" s="78">
        <v>5.253178771</v>
      </c>
      <c r="F106" s="78">
        <f>sumif('PLA Sheet'!C:C,B106,'PLA Sheet'!J:J)/D106*9</f>
        <v>4.06641825</v>
      </c>
      <c r="G106" s="79">
        <v>0.523460411</v>
      </c>
      <c r="H106" s="79">
        <v>0.162756598</v>
      </c>
      <c r="I106" s="79">
        <v>0.313782991</v>
      </c>
      <c r="J106" s="79">
        <f t="shared" si="1"/>
        <v>0.20967742</v>
      </c>
      <c r="K106" s="80">
        <v>7.066423814</v>
      </c>
    </row>
    <row r="107">
      <c r="A107" s="1" t="s">
        <v>216</v>
      </c>
      <c r="B107" s="38">
        <v>621107.0</v>
      </c>
      <c r="C107" s="38">
        <v>2051.0</v>
      </c>
      <c r="D107" s="39">
        <f>sumif('PLA Sheet'!C:C,B107,'PLA Sheet'!H:H)</f>
        <v>71.33333333</v>
      </c>
      <c r="E107" s="78">
        <v>5.252944178</v>
      </c>
      <c r="F107" s="78">
        <f>sumif('PLA Sheet'!C:C,B107,'PLA Sheet'!J:J)/D107*9</f>
        <v>2.967032019</v>
      </c>
      <c r="G107" s="79">
        <v>0.488542175</v>
      </c>
      <c r="H107" s="79">
        <v>0.224280839</v>
      </c>
      <c r="I107" s="79">
        <v>0.287176987</v>
      </c>
      <c r="J107" s="79">
        <f t="shared" si="1"/>
        <v>0.201365188</v>
      </c>
      <c r="K107" s="80">
        <v>-11.27723558</v>
      </c>
    </row>
    <row r="108">
      <c r="A108" s="1" t="s">
        <v>371</v>
      </c>
      <c r="B108" s="38">
        <v>681293.0</v>
      </c>
      <c r="C108" s="38">
        <v>2154.0</v>
      </c>
      <c r="D108" s="39">
        <f>sumif('PLA Sheet'!C:C,B108,'PLA Sheet'!H:H)</f>
        <v>35.33333333</v>
      </c>
      <c r="E108" s="78">
        <v>5.248096299</v>
      </c>
      <c r="F108" s="78">
        <f>sumif('PLA Sheet'!C:C,B108,'PLA Sheet'!J:J)/D108*9</f>
        <v>3.576342311</v>
      </c>
      <c r="G108" s="79">
        <v>0.514856082</v>
      </c>
      <c r="H108" s="79">
        <v>0.193129062</v>
      </c>
      <c r="I108" s="79">
        <v>0.292014856</v>
      </c>
      <c r="J108" s="79">
        <f t="shared" si="1"/>
        <v>0.222841226</v>
      </c>
      <c r="K108" s="80">
        <v>-11.41448677</v>
      </c>
    </row>
    <row r="109">
      <c r="A109" s="1" t="s">
        <v>862</v>
      </c>
      <c r="B109" s="38">
        <v>663546.0</v>
      </c>
      <c r="C109" s="38">
        <v>1006.0</v>
      </c>
      <c r="D109" s="39">
        <f>sumif('PLA Sheet'!C:C,B109,'PLA Sheet'!H:H)</f>
        <v>15</v>
      </c>
      <c r="E109" s="78">
        <v>5.247732931</v>
      </c>
      <c r="F109" s="78">
        <f>sumif('PLA Sheet'!C:C,B109,'PLA Sheet'!J:J)/D109*9</f>
        <v>4.2539082</v>
      </c>
      <c r="G109" s="79">
        <v>0.514910537</v>
      </c>
      <c r="H109" s="79">
        <v>0.161033797</v>
      </c>
      <c r="I109" s="79">
        <v>0.324055666</v>
      </c>
      <c r="J109" s="79">
        <f t="shared" si="1"/>
        <v>0.190854871</v>
      </c>
      <c r="K109" s="80">
        <v>-9.103271031</v>
      </c>
    </row>
    <row r="110">
      <c r="A110" s="1" t="s">
        <v>100</v>
      </c>
      <c r="B110" s="38">
        <v>676979.0</v>
      </c>
      <c r="C110" s="38">
        <v>2155.0</v>
      </c>
      <c r="D110" s="39">
        <f>sumif('PLA Sheet'!C:C,B110,'PLA Sheet'!H:H)</f>
        <v>205.3333333</v>
      </c>
      <c r="E110" s="78">
        <v>5.24473545</v>
      </c>
      <c r="F110" s="78">
        <f>sumif('PLA Sheet'!C:C,B110,'PLA Sheet'!J:J)/D110*9</f>
        <v>2.615913059</v>
      </c>
      <c r="G110" s="79">
        <v>0.49187935</v>
      </c>
      <c r="H110" s="79">
        <v>0.201392111</v>
      </c>
      <c r="I110" s="79">
        <v>0.306728538</v>
      </c>
      <c r="J110" s="79">
        <f t="shared" si="1"/>
        <v>0.185150812</v>
      </c>
      <c r="K110" s="80">
        <v>8.158941535</v>
      </c>
    </row>
    <row r="111">
      <c r="A111" s="1" t="s">
        <v>93</v>
      </c>
      <c r="B111" s="38">
        <v>669194.0</v>
      </c>
      <c r="C111" s="38">
        <v>2271.0</v>
      </c>
      <c r="D111" s="39">
        <f>sumif('PLA Sheet'!C:C,B111,'PLA Sheet'!H:H)</f>
        <v>154</v>
      </c>
      <c r="E111" s="78">
        <v>5.244284779</v>
      </c>
      <c r="F111" s="78">
        <f>sumif('PLA Sheet'!C:C,B111,'PLA Sheet'!J:J)/D111*9</f>
        <v>2.570977519</v>
      </c>
      <c r="G111" s="79">
        <v>0.510788199</v>
      </c>
      <c r="H111" s="79">
        <v>0.179216204</v>
      </c>
      <c r="I111" s="79">
        <v>0.309995597</v>
      </c>
      <c r="J111" s="79">
        <f t="shared" si="1"/>
        <v>0.200792602</v>
      </c>
      <c r="K111" s="80">
        <v>-20.70280867</v>
      </c>
    </row>
    <row r="112">
      <c r="A112" s="1" t="s">
        <v>91</v>
      </c>
      <c r="B112" s="38">
        <v>669276.0</v>
      </c>
      <c r="C112" s="38">
        <v>756.0</v>
      </c>
      <c r="D112" s="39">
        <f>sumif('PLA Sheet'!C:C,B112,'PLA Sheet'!H:H)</f>
        <v>68.33333334</v>
      </c>
      <c r="E112" s="78">
        <v>5.242604893</v>
      </c>
      <c r="F112" s="78">
        <f>sumif('PLA Sheet'!C:C,B112,'PLA Sheet'!J:J)/D112*9</f>
        <v>2.548583473</v>
      </c>
      <c r="G112" s="79">
        <v>0.484126984</v>
      </c>
      <c r="H112" s="79">
        <v>0.201058201</v>
      </c>
      <c r="I112" s="79">
        <v>0.314814815</v>
      </c>
      <c r="J112" s="79">
        <f t="shared" si="1"/>
        <v>0.169312169</v>
      </c>
      <c r="K112" s="80">
        <v>2.486559755</v>
      </c>
    </row>
    <row r="113">
      <c r="A113" s="1" t="s">
        <v>600</v>
      </c>
      <c r="B113" s="38">
        <v>670174.0</v>
      </c>
      <c r="C113" s="38">
        <v>989.0</v>
      </c>
      <c r="D113" s="39">
        <f>sumif('PLA Sheet'!C:C,B113,'PLA Sheet'!H:H)</f>
        <v>11.66666667</v>
      </c>
      <c r="E113" s="78">
        <v>5.242517092</v>
      </c>
      <c r="F113" s="78">
        <f>sumif('PLA Sheet'!C:C,B113,'PLA Sheet'!J:J)/D113*9</f>
        <v>3.918264685</v>
      </c>
      <c r="G113" s="79">
        <v>0.497472194</v>
      </c>
      <c r="H113" s="79">
        <v>0.175935288</v>
      </c>
      <c r="I113" s="79">
        <v>0.326592518</v>
      </c>
      <c r="J113" s="79">
        <f t="shared" si="1"/>
        <v>0.170879676</v>
      </c>
      <c r="K113" s="80">
        <v>-0.75914262</v>
      </c>
    </row>
    <row r="114">
      <c r="A114" s="1" t="s">
        <v>406</v>
      </c>
      <c r="B114" s="38">
        <v>669711.0</v>
      </c>
      <c r="C114" s="38">
        <v>885.0</v>
      </c>
      <c r="D114" s="39">
        <f>sumif('PLA Sheet'!C:C,B114,'PLA Sheet'!H:H)</f>
        <v>67</v>
      </c>
      <c r="E114" s="78">
        <v>5.240773112</v>
      </c>
      <c r="F114" s="78">
        <f>sumif('PLA Sheet'!C:C,B114,'PLA Sheet'!J:J)/D114*9</f>
        <v>3.40883006</v>
      </c>
      <c r="G114" s="79">
        <v>0.499435028</v>
      </c>
      <c r="H114" s="79">
        <v>0.258757062</v>
      </c>
      <c r="I114" s="79">
        <v>0.24180791</v>
      </c>
      <c r="J114" s="79">
        <f t="shared" si="1"/>
        <v>0.257627118</v>
      </c>
      <c r="K114" s="80">
        <v>-5.873411208</v>
      </c>
    </row>
    <row r="115">
      <c r="A115" s="1" t="s">
        <v>586</v>
      </c>
      <c r="B115" s="38">
        <v>669721.0</v>
      </c>
      <c r="C115" s="38">
        <v>504.0</v>
      </c>
      <c r="D115" s="39">
        <f>sumif('PLA Sheet'!C:C,B115,'PLA Sheet'!H:H)</f>
        <v>9.999999999</v>
      </c>
      <c r="E115" s="78">
        <v>5.237414065</v>
      </c>
      <c r="F115" s="78">
        <f>sumif('PLA Sheet'!C:C,B115,'PLA Sheet'!J:J)/D115*9</f>
        <v>3.7183617</v>
      </c>
      <c r="G115" s="79">
        <v>0.5</v>
      </c>
      <c r="H115" s="79">
        <v>0.176587302</v>
      </c>
      <c r="I115" s="79">
        <v>0.323412698</v>
      </c>
      <c r="J115" s="79">
        <f t="shared" si="1"/>
        <v>0.176587302</v>
      </c>
      <c r="K115" s="80">
        <v>-9.664320499</v>
      </c>
    </row>
    <row r="116">
      <c r="A116" s="1" t="s">
        <v>122</v>
      </c>
      <c r="B116" s="38">
        <v>661395.0</v>
      </c>
      <c r="C116" s="38">
        <v>722.0</v>
      </c>
      <c r="D116" s="39">
        <f>sumif('PLA Sheet'!C:C,B116,'PLA Sheet'!H:H)</f>
        <v>70</v>
      </c>
      <c r="E116" s="78">
        <v>5.237042463</v>
      </c>
      <c r="F116" s="78">
        <f>sumif('PLA Sheet'!C:C,B116,'PLA Sheet'!J:J)/D116*9</f>
        <v>2.707236129</v>
      </c>
      <c r="G116" s="79">
        <v>0.523545706</v>
      </c>
      <c r="H116" s="79">
        <v>0.149584488</v>
      </c>
      <c r="I116" s="79">
        <v>0.326869806</v>
      </c>
      <c r="J116" s="79">
        <f t="shared" si="1"/>
        <v>0.1966759</v>
      </c>
      <c r="K116" s="80">
        <v>3.226002308</v>
      </c>
    </row>
    <row r="117">
      <c r="A117" s="1" t="s">
        <v>674</v>
      </c>
      <c r="B117" s="38">
        <v>621345.0</v>
      </c>
      <c r="C117" s="38">
        <v>515.0</v>
      </c>
      <c r="D117" s="39">
        <f>sumif('PLA Sheet'!C:C,B117,'PLA Sheet'!H:H)</f>
        <v>11</v>
      </c>
      <c r="E117" s="78">
        <v>5.235950532</v>
      </c>
      <c r="F117" s="78">
        <f>sumif('PLA Sheet'!C:C,B117,'PLA Sheet'!J:J)/D117*9</f>
        <v>2.861298</v>
      </c>
      <c r="G117" s="79">
        <v>0.512621359</v>
      </c>
      <c r="H117" s="79">
        <v>0.188349515</v>
      </c>
      <c r="I117" s="79">
        <v>0.299029126</v>
      </c>
      <c r="J117" s="79">
        <f t="shared" si="1"/>
        <v>0.213592233</v>
      </c>
      <c r="K117" s="80">
        <v>4.014303887</v>
      </c>
    </row>
    <row r="118">
      <c r="A118" s="1" t="s">
        <v>219</v>
      </c>
      <c r="B118" s="38">
        <v>657044.0</v>
      </c>
      <c r="C118" s="38">
        <v>846.0</v>
      </c>
      <c r="D118" s="39">
        <f>sumif('PLA Sheet'!C:C,B118,'PLA Sheet'!H:H)</f>
        <v>41.33333333</v>
      </c>
      <c r="E118" s="78">
        <v>5.23594074</v>
      </c>
      <c r="F118" s="78">
        <f>sumif('PLA Sheet'!C:C,B118,'PLA Sheet'!J:J)/D118*9</f>
        <v>2.990616896</v>
      </c>
      <c r="G118" s="79">
        <v>0.48108747</v>
      </c>
      <c r="H118" s="79">
        <v>0.185579196</v>
      </c>
      <c r="I118" s="79">
        <v>0.333333333</v>
      </c>
      <c r="J118" s="79">
        <f t="shared" si="1"/>
        <v>0.147754137</v>
      </c>
      <c r="K118" s="80">
        <v>1.397951803</v>
      </c>
    </row>
    <row r="119">
      <c r="A119" s="1" t="s">
        <v>269</v>
      </c>
      <c r="B119" s="38">
        <v>605280.0</v>
      </c>
      <c r="C119" s="38">
        <v>963.0</v>
      </c>
      <c r="D119" s="39">
        <f>sumif('PLA Sheet'!C:C,B119,'PLA Sheet'!H:H)</f>
        <v>165.6666667</v>
      </c>
      <c r="E119" s="78">
        <v>5.235937902</v>
      </c>
      <c r="F119" s="78">
        <f>sumif('PLA Sheet'!C:C,B119,'PLA Sheet'!J:J)/D119*9</f>
        <v>3.166754976</v>
      </c>
      <c r="G119" s="79">
        <v>0.514018692</v>
      </c>
      <c r="H119" s="79">
        <v>0.206645898</v>
      </c>
      <c r="I119" s="79">
        <v>0.27933541</v>
      </c>
      <c r="J119" s="79">
        <f t="shared" si="1"/>
        <v>0.234683282</v>
      </c>
      <c r="K119" s="80">
        <v>7.108685898</v>
      </c>
    </row>
    <row r="120">
      <c r="A120" s="1" t="s">
        <v>125</v>
      </c>
      <c r="B120" s="38">
        <v>663554.0</v>
      </c>
      <c r="C120" s="38">
        <v>1466.0</v>
      </c>
      <c r="D120" s="39">
        <f>sumif('PLA Sheet'!C:C,B120,'PLA Sheet'!H:H)</f>
        <v>149</v>
      </c>
      <c r="E120" s="78">
        <v>5.235583859</v>
      </c>
      <c r="F120" s="78">
        <f>sumif('PLA Sheet'!C:C,B120,'PLA Sheet'!J:J)/D120*9</f>
        <v>2.716640819</v>
      </c>
      <c r="G120" s="79">
        <v>0.499317872</v>
      </c>
      <c r="H120" s="79">
        <v>0.184174625</v>
      </c>
      <c r="I120" s="79">
        <v>0.316507503</v>
      </c>
      <c r="J120" s="79">
        <f t="shared" si="1"/>
        <v>0.182810369</v>
      </c>
      <c r="K120" s="80">
        <v>-16.00634093</v>
      </c>
    </row>
    <row r="121">
      <c r="A121" s="1" t="s">
        <v>256</v>
      </c>
      <c r="B121" s="38">
        <v>571760.0</v>
      </c>
      <c r="C121" s="38">
        <v>2347.0</v>
      </c>
      <c r="D121" s="39">
        <f>sumif('PLA Sheet'!C:C,B121,'PLA Sheet'!H:H)</f>
        <v>122.3333333</v>
      </c>
      <c r="E121" s="78">
        <v>5.234107738</v>
      </c>
      <c r="F121" s="78">
        <f>sumif('PLA Sheet'!C:C,B121,'PLA Sheet'!J:J)/D121*9</f>
        <v>3.1241057</v>
      </c>
      <c r="G121" s="79">
        <v>0.502769493</v>
      </c>
      <c r="H121" s="79">
        <v>0.173838943</v>
      </c>
      <c r="I121" s="79">
        <v>0.323391564</v>
      </c>
      <c r="J121" s="79">
        <f t="shared" si="1"/>
        <v>0.179377929</v>
      </c>
      <c r="K121" s="80">
        <v>-9.248869248</v>
      </c>
    </row>
    <row r="122">
      <c r="A122" s="1" t="s">
        <v>424</v>
      </c>
      <c r="B122" s="38">
        <v>667755.0</v>
      </c>
      <c r="C122" s="38">
        <v>1727.0</v>
      </c>
      <c r="D122" s="39">
        <f>sumif('PLA Sheet'!C:C,B122,'PLA Sheet'!H:H)</f>
        <v>169</v>
      </c>
      <c r="E122" s="78">
        <v>5.232261031</v>
      </c>
      <c r="F122" s="78">
        <f>sumif('PLA Sheet'!C:C,B122,'PLA Sheet'!J:J)/D122*9</f>
        <v>3.482691444</v>
      </c>
      <c r="G122" s="79">
        <v>0.499710481</v>
      </c>
      <c r="H122" s="79">
        <v>0.162709902</v>
      </c>
      <c r="I122" s="79">
        <v>0.337579618</v>
      </c>
      <c r="J122" s="79">
        <f t="shared" si="1"/>
        <v>0.162130863</v>
      </c>
      <c r="K122" s="80">
        <v>17.44127633</v>
      </c>
    </row>
    <row r="123">
      <c r="A123" s="1" t="s">
        <v>99</v>
      </c>
      <c r="B123" s="38">
        <v>592791.0</v>
      </c>
      <c r="C123" s="38">
        <v>2104.0</v>
      </c>
      <c r="D123" s="39">
        <f>sumif('PLA Sheet'!C:C,B123,'PLA Sheet'!H:H)</f>
        <v>129.6666667</v>
      </c>
      <c r="E123" s="78">
        <v>5.229127745</v>
      </c>
      <c r="F123" s="78">
        <f>sumif('PLA Sheet'!C:C,B123,'PLA Sheet'!J:J)/D123*9</f>
        <v>2.60831737</v>
      </c>
      <c r="G123" s="79">
        <v>0.489543726</v>
      </c>
      <c r="H123" s="79">
        <v>0.239543726</v>
      </c>
      <c r="I123" s="79">
        <v>0.270912548</v>
      </c>
      <c r="J123" s="79">
        <f t="shared" si="1"/>
        <v>0.218631178</v>
      </c>
      <c r="K123" s="80">
        <v>0.623397622</v>
      </c>
    </row>
    <row r="124">
      <c r="A124" s="1" t="s">
        <v>637</v>
      </c>
      <c r="B124" s="38">
        <v>606930.0</v>
      </c>
      <c r="C124" s="38">
        <v>1009.0</v>
      </c>
      <c r="D124" s="39">
        <f>sumif('PLA Sheet'!C:C,B124,'PLA Sheet'!H:H)</f>
        <v>7.999999999</v>
      </c>
      <c r="E124" s="78">
        <v>5.227903266</v>
      </c>
      <c r="F124" s="78">
        <f>sumif('PLA Sheet'!C:C,B124,'PLA Sheet'!J:J)/D124*9</f>
        <v>4.001314501</v>
      </c>
      <c r="G124" s="79">
        <v>0.50049554</v>
      </c>
      <c r="H124" s="79">
        <v>0.163528246</v>
      </c>
      <c r="I124" s="79">
        <v>0.335976214</v>
      </c>
      <c r="J124" s="79">
        <f t="shared" si="1"/>
        <v>0.164519326</v>
      </c>
      <c r="K124" s="80">
        <v>-6.674037516</v>
      </c>
    </row>
    <row r="125">
      <c r="A125" s="1" t="s">
        <v>633</v>
      </c>
      <c r="B125" s="38">
        <v>663878.0</v>
      </c>
      <c r="C125" s="38">
        <v>902.0</v>
      </c>
      <c r="D125" s="39">
        <f>sumif('PLA Sheet'!C:C,B125,'PLA Sheet'!H:H)</f>
        <v>14.66666667</v>
      </c>
      <c r="E125" s="78">
        <v>5.224571641</v>
      </c>
      <c r="F125" s="78">
        <f>sumif('PLA Sheet'!C:C,B125,'PLA Sheet'!J:J)/D125*9</f>
        <v>4.168609773</v>
      </c>
      <c r="G125" s="79">
        <v>0.511086475</v>
      </c>
      <c r="H125" s="79">
        <v>0.182926829</v>
      </c>
      <c r="I125" s="79">
        <v>0.305986696</v>
      </c>
      <c r="J125" s="79">
        <f t="shared" si="1"/>
        <v>0.205099779</v>
      </c>
      <c r="K125" s="80">
        <v>-8.355750066</v>
      </c>
    </row>
    <row r="126">
      <c r="A126" s="1" t="s">
        <v>327</v>
      </c>
      <c r="B126" s="38">
        <v>621242.0</v>
      </c>
      <c r="C126" s="38">
        <v>708.0</v>
      </c>
      <c r="D126" s="39">
        <f>sumif('PLA Sheet'!C:C,B126,'PLA Sheet'!H:H)</f>
        <v>66.33333334</v>
      </c>
      <c r="E126" s="78">
        <v>5.221994357</v>
      </c>
      <c r="F126" s="78">
        <f>sumif('PLA Sheet'!C:C,B126,'PLA Sheet'!J:J)/D126*9</f>
        <v>3.39326516</v>
      </c>
      <c r="G126" s="79">
        <v>0.519774011</v>
      </c>
      <c r="H126" s="79">
        <v>0.138418079</v>
      </c>
      <c r="I126" s="79">
        <v>0.34180791</v>
      </c>
      <c r="J126" s="79">
        <f t="shared" si="1"/>
        <v>0.177966101</v>
      </c>
      <c r="K126" s="80">
        <v>5.610510023</v>
      </c>
    </row>
    <row r="127">
      <c r="A127" s="1" t="s">
        <v>666</v>
      </c>
      <c r="B127" s="38">
        <v>605154.0</v>
      </c>
      <c r="C127" s="38">
        <v>872.0</v>
      </c>
      <c r="D127" s="39">
        <f>sumif('PLA Sheet'!C:C,B127,'PLA Sheet'!H:H)</f>
        <v>23.33333333</v>
      </c>
      <c r="E127" s="78">
        <v>5.220060501</v>
      </c>
      <c r="F127" s="78">
        <f>sumif('PLA Sheet'!C:C,B127,'PLA Sheet'!J:J)/D127*9</f>
        <v>4.056663214</v>
      </c>
      <c r="G127" s="79">
        <v>0.502293578</v>
      </c>
      <c r="H127" s="79">
        <v>0.18233945</v>
      </c>
      <c r="I127" s="79">
        <v>0.315366972</v>
      </c>
      <c r="J127" s="79">
        <f t="shared" si="1"/>
        <v>0.186926606</v>
      </c>
      <c r="K127" s="80">
        <v>-9.231026318</v>
      </c>
    </row>
    <row r="128">
      <c r="A128" s="1" t="s">
        <v>205</v>
      </c>
      <c r="B128" s="38">
        <v>666142.0</v>
      </c>
      <c r="C128" s="38">
        <v>2712.0</v>
      </c>
      <c r="D128" s="39">
        <f>sumif('PLA Sheet'!C:C,B128,'PLA Sheet'!H:H)</f>
        <v>61.66666667</v>
      </c>
      <c r="E128" s="78">
        <v>5.21824558</v>
      </c>
      <c r="F128" s="78">
        <f>sumif('PLA Sheet'!C:C,B128,'PLA Sheet'!J:J)/D128*9</f>
        <v>2.935169562</v>
      </c>
      <c r="G128" s="79">
        <v>0.494469027</v>
      </c>
      <c r="H128" s="79">
        <v>0.15560472</v>
      </c>
      <c r="I128" s="79">
        <v>0.349926254</v>
      </c>
      <c r="J128" s="79">
        <f t="shared" si="1"/>
        <v>0.144542773</v>
      </c>
      <c r="K128" s="80">
        <v>4.589108196</v>
      </c>
    </row>
    <row r="129">
      <c r="A129" s="1" t="s">
        <v>685</v>
      </c>
      <c r="B129" s="38">
        <v>573009.0</v>
      </c>
      <c r="C129" s="38">
        <v>739.0</v>
      </c>
      <c r="D129" s="39">
        <f>sumif('PLA Sheet'!C:C,B129,'PLA Sheet'!H:H)</f>
        <v>9.666666667</v>
      </c>
      <c r="E129" s="78">
        <v>5.215060698</v>
      </c>
      <c r="F129" s="78">
        <f>sumif('PLA Sheet'!C:C,B129,'PLA Sheet'!J:J)/D129*9</f>
        <v>3.886405138</v>
      </c>
      <c r="G129" s="79">
        <v>0.51014885</v>
      </c>
      <c r="H129" s="79">
        <v>0.155615697</v>
      </c>
      <c r="I129" s="79">
        <v>0.334235453</v>
      </c>
      <c r="J129" s="79">
        <f t="shared" si="1"/>
        <v>0.175913397</v>
      </c>
      <c r="K129" s="80">
        <v>2.761936987</v>
      </c>
    </row>
    <row r="130">
      <c r="A130" s="1" t="s">
        <v>107</v>
      </c>
      <c r="B130" s="38">
        <v>657571.0</v>
      </c>
      <c r="C130" s="38">
        <v>800.0</v>
      </c>
      <c r="D130" s="39">
        <f>sumif('PLA Sheet'!C:C,B130,'PLA Sheet'!H:H)</f>
        <v>65.33333333</v>
      </c>
      <c r="E130" s="78">
        <v>5.214799019</v>
      </c>
      <c r="F130" s="78">
        <f>sumif('PLA Sheet'!C:C,B130,'PLA Sheet'!J:J)/D130*9</f>
        <v>2.638697878</v>
      </c>
      <c r="G130" s="79">
        <v>0.5125</v>
      </c>
      <c r="H130" s="79">
        <v>0.21</v>
      </c>
      <c r="I130" s="79">
        <v>0.2775</v>
      </c>
      <c r="J130" s="79">
        <f t="shared" si="1"/>
        <v>0.235</v>
      </c>
      <c r="K130" s="80">
        <v>-5.586496305</v>
      </c>
    </row>
    <row r="131">
      <c r="A131" s="1" t="s">
        <v>772</v>
      </c>
      <c r="B131" s="38">
        <v>493603.0</v>
      </c>
      <c r="C131" s="38">
        <v>876.0</v>
      </c>
      <c r="D131" s="39">
        <f>sumif('PLA Sheet'!C:C,B131,'PLA Sheet'!H:H)</f>
        <v>1.666666666</v>
      </c>
      <c r="E131" s="78">
        <v>5.213746326</v>
      </c>
      <c r="F131" s="78">
        <f>sumif('PLA Sheet'!C:C,B131,'PLA Sheet'!J:J)/D131*9</f>
        <v>8.760020404</v>
      </c>
      <c r="G131" s="79">
        <v>0.539954338</v>
      </c>
      <c r="H131" s="79">
        <v>0.212328767</v>
      </c>
      <c r="I131" s="79">
        <v>0.247716895</v>
      </c>
      <c r="J131" s="79">
        <f t="shared" si="1"/>
        <v>0.292237443</v>
      </c>
      <c r="K131" s="80">
        <v>4.884676732</v>
      </c>
    </row>
    <row r="132">
      <c r="A132" s="1" t="s">
        <v>1027</v>
      </c>
      <c r="B132" s="38">
        <v>543037.0</v>
      </c>
      <c r="C132" s="38">
        <v>1154.0</v>
      </c>
      <c r="D132" s="39">
        <f>sumif('PLA Sheet'!C:C,B132,'PLA Sheet'!H:H)</f>
        <v>0</v>
      </c>
      <c r="E132" s="78">
        <v>5.213115926</v>
      </c>
      <c r="F132" s="78" t="str">
        <f>sumif('PLA Sheet'!C:C,B132,'PLA Sheet'!J:J)/D132*9</f>
        <v>#DIV/0!</v>
      </c>
      <c r="G132" s="79">
        <v>0.504332756</v>
      </c>
      <c r="H132" s="79">
        <v>0.166377816</v>
      </c>
      <c r="I132" s="79">
        <v>0.329289428</v>
      </c>
      <c r="J132" s="79">
        <f t="shared" si="1"/>
        <v>0.175043328</v>
      </c>
      <c r="K132" s="80">
        <v>-9.521311929</v>
      </c>
    </row>
    <row r="133">
      <c r="A133" s="1" t="s">
        <v>1028</v>
      </c>
      <c r="B133" s="38">
        <v>663776.0</v>
      </c>
      <c r="C133" s="38">
        <v>1435.0</v>
      </c>
      <c r="D133" s="39">
        <f>sumif('PLA Sheet'!C:C,B133,'PLA Sheet'!H:H)</f>
        <v>0</v>
      </c>
      <c r="E133" s="78">
        <v>5.211248268</v>
      </c>
      <c r="F133" s="78" t="str">
        <f>sumif('PLA Sheet'!C:C,B133,'PLA Sheet'!J:J)/D133*9</f>
        <v>#DIV/0!</v>
      </c>
      <c r="G133" s="79">
        <v>0.482229965</v>
      </c>
      <c r="H133" s="79">
        <v>0.18815331</v>
      </c>
      <c r="I133" s="79">
        <v>0.329616725</v>
      </c>
      <c r="J133" s="79">
        <f t="shared" si="1"/>
        <v>0.15261324</v>
      </c>
      <c r="K133" s="80">
        <v>-0.508555977</v>
      </c>
    </row>
    <row r="134">
      <c r="A134" s="1" t="s">
        <v>425</v>
      </c>
      <c r="B134" s="38">
        <v>621244.0</v>
      </c>
      <c r="C134" s="38">
        <v>2536.0</v>
      </c>
      <c r="D134" s="39">
        <f>sumif('PLA Sheet'!C:C,B134,'PLA Sheet'!H:H)</f>
        <v>166</v>
      </c>
      <c r="E134" s="78">
        <v>5.210777964</v>
      </c>
      <c r="F134" s="78">
        <f>sumif('PLA Sheet'!C:C,B134,'PLA Sheet'!J:J)/D134*9</f>
        <v>3.105879018</v>
      </c>
      <c r="G134" s="79">
        <v>0.500788644</v>
      </c>
      <c r="H134" s="79">
        <v>0.260252366</v>
      </c>
      <c r="I134" s="79">
        <v>0.238958991</v>
      </c>
      <c r="J134" s="79">
        <f t="shared" si="1"/>
        <v>0.261829653</v>
      </c>
      <c r="K134" s="80">
        <v>2.488481385</v>
      </c>
    </row>
    <row r="135">
      <c r="A135" s="1" t="s">
        <v>811</v>
      </c>
      <c r="B135" s="38">
        <v>622253.0</v>
      </c>
      <c r="C135" s="38">
        <v>523.0</v>
      </c>
      <c r="D135" s="39">
        <f>sumif('PLA Sheet'!C:C,B135,'PLA Sheet'!H:H)</f>
        <v>6.333333334</v>
      </c>
      <c r="E135" s="78">
        <v>5.209555119</v>
      </c>
      <c r="F135" s="78">
        <f>sumif('PLA Sheet'!C:C,B135,'PLA Sheet'!J:J)/D135*9</f>
        <v>4.635340105</v>
      </c>
      <c r="G135" s="79">
        <v>0.500956023</v>
      </c>
      <c r="H135" s="79">
        <v>0.26959847</v>
      </c>
      <c r="I135" s="79">
        <v>0.229445507</v>
      </c>
      <c r="J135" s="79">
        <f t="shared" si="1"/>
        <v>0.271510516</v>
      </c>
      <c r="K135" s="80">
        <v>-2.914825608</v>
      </c>
    </row>
    <row r="136">
      <c r="A136" s="1" t="s">
        <v>431</v>
      </c>
      <c r="B136" s="38">
        <v>669203.0</v>
      </c>
      <c r="C136" s="38">
        <v>2622.0</v>
      </c>
      <c r="D136" s="39">
        <f>sumif('PLA Sheet'!C:C,B136,'PLA Sheet'!H:H)</f>
        <v>64.33333333</v>
      </c>
      <c r="E136" s="78">
        <v>5.20853024</v>
      </c>
      <c r="F136" s="78">
        <f>sumif('PLA Sheet'!C:C,B136,'PLA Sheet'!J:J)/D136*9</f>
        <v>3.433359451</v>
      </c>
      <c r="G136" s="79">
        <v>0.483218917</v>
      </c>
      <c r="H136" s="79">
        <v>0.179252479</v>
      </c>
      <c r="I136" s="79">
        <v>0.337528604</v>
      </c>
      <c r="J136" s="79">
        <f t="shared" si="1"/>
        <v>0.145690313</v>
      </c>
      <c r="K136" s="80">
        <v>3.324532002</v>
      </c>
    </row>
    <row r="137">
      <c r="A137" s="1" t="s">
        <v>226</v>
      </c>
      <c r="B137" s="38">
        <v>607259.0</v>
      </c>
      <c r="C137" s="38">
        <v>1758.0</v>
      </c>
      <c r="D137" s="39">
        <f>sumif('PLA Sheet'!C:C,B137,'PLA Sheet'!H:H)</f>
        <v>165.6666667</v>
      </c>
      <c r="E137" s="78">
        <v>5.206621429</v>
      </c>
      <c r="F137" s="78">
        <f>sumif('PLA Sheet'!C:C,B137,'PLA Sheet'!J:J)/D137*9</f>
        <v>3.024765616</v>
      </c>
      <c r="G137" s="79">
        <v>0.455062571</v>
      </c>
      <c r="H137" s="79">
        <v>0.232081911</v>
      </c>
      <c r="I137" s="79">
        <v>0.312855518</v>
      </c>
      <c r="J137" s="79">
        <f t="shared" si="1"/>
        <v>0.142207053</v>
      </c>
      <c r="K137" s="80">
        <v>0.527923873</v>
      </c>
    </row>
    <row r="138">
      <c r="A138" s="1" t="s">
        <v>648</v>
      </c>
      <c r="B138" s="38">
        <v>623149.0</v>
      </c>
      <c r="C138" s="38">
        <v>605.0</v>
      </c>
      <c r="D138" s="39">
        <f>sumif('PLA Sheet'!C:C,B138,'PLA Sheet'!H:H)</f>
        <v>19.66666667</v>
      </c>
      <c r="E138" s="78">
        <v>5.204999081</v>
      </c>
      <c r="F138" s="78">
        <f>sumif('PLA Sheet'!C:C,B138,'PLA Sheet'!J:J)/D138*9</f>
        <v>2.415247475</v>
      </c>
      <c r="G138" s="79">
        <v>0.514049587</v>
      </c>
      <c r="H138" s="79">
        <v>0.272727273</v>
      </c>
      <c r="I138" s="79">
        <v>0.21322314</v>
      </c>
      <c r="J138" s="79">
        <f t="shared" si="1"/>
        <v>0.300826447</v>
      </c>
      <c r="K138" s="80">
        <v>-7.426054878</v>
      </c>
    </row>
    <row r="139">
      <c r="A139" s="1" t="s">
        <v>410</v>
      </c>
      <c r="B139" s="38">
        <v>678394.0</v>
      </c>
      <c r="C139" s="38">
        <v>2314.0</v>
      </c>
      <c r="D139" s="39">
        <f>sumif('PLA Sheet'!C:C,B139,'PLA Sheet'!H:H)</f>
        <v>166.6666667</v>
      </c>
      <c r="E139" s="78">
        <v>5.20325474</v>
      </c>
      <c r="F139" s="78">
        <f>sumif('PLA Sheet'!C:C,B139,'PLA Sheet'!J:J)/D139*9</f>
        <v>3.4399485</v>
      </c>
      <c r="G139" s="79">
        <v>0.483146067</v>
      </c>
      <c r="H139" s="79">
        <v>0.187121867</v>
      </c>
      <c r="I139" s="79">
        <v>0.329732066</v>
      </c>
      <c r="J139" s="79">
        <f t="shared" si="1"/>
        <v>0.153414001</v>
      </c>
      <c r="K139" s="80">
        <v>-5.103804768</v>
      </c>
    </row>
    <row r="140">
      <c r="A140" s="1" t="s">
        <v>285</v>
      </c>
      <c r="B140" s="38">
        <v>607074.0</v>
      </c>
      <c r="C140" s="38">
        <v>2705.0</v>
      </c>
      <c r="D140" s="39">
        <f>sumif('PLA Sheet'!C:C,B140,'PLA Sheet'!H:H)</f>
        <v>195.3333333</v>
      </c>
      <c r="E140" s="78">
        <v>5.202706791</v>
      </c>
      <c r="F140" s="78">
        <f>sumif('PLA Sheet'!C:C,B140,'PLA Sheet'!J:J)/D140*9</f>
        <v>3.245967369</v>
      </c>
      <c r="G140" s="79">
        <v>0.507208872</v>
      </c>
      <c r="H140" s="79">
        <v>0.149722736</v>
      </c>
      <c r="I140" s="79">
        <v>0.343068392</v>
      </c>
      <c r="J140" s="79">
        <f t="shared" si="1"/>
        <v>0.16414048</v>
      </c>
      <c r="K140" s="80">
        <v>-7.944300568</v>
      </c>
    </row>
    <row r="141">
      <c r="A141" s="1" t="s">
        <v>354</v>
      </c>
      <c r="B141" s="38">
        <v>669022.0</v>
      </c>
      <c r="C141" s="38">
        <v>2612.0</v>
      </c>
      <c r="D141" s="39">
        <f>sumif('PLA Sheet'!C:C,B141,'PLA Sheet'!H:H)</f>
        <v>159.6666667</v>
      </c>
      <c r="E141" s="78">
        <v>5.202622855</v>
      </c>
      <c r="F141" s="78">
        <f>sumif('PLA Sheet'!C:C,B141,'PLA Sheet'!J:J)/D141*9</f>
        <v>3.48282171</v>
      </c>
      <c r="G141" s="79">
        <v>0.501914242</v>
      </c>
      <c r="H141" s="79">
        <v>0.159647779</v>
      </c>
      <c r="I141" s="79">
        <v>0.338437979</v>
      </c>
      <c r="J141" s="79">
        <f t="shared" si="1"/>
        <v>0.163476263</v>
      </c>
      <c r="K141" s="80">
        <v>-33.47047162</v>
      </c>
    </row>
    <row r="142">
      <c r="A142" s="1" t="s">
        <v>299</v>
      </c>
      <c r="B142" s="38">
        <v>621112.0</v>
      </c>
      <c r="C142" s="38">
        <v>1202.0</v>
      </c>
      <c r="D142" s="39">
        <f>sumif('PLA Sheet'!C:C,B142,'PLA Sheet'!H:H)</f>
        <v>39</v>
      </c>
      <c r="E142" s="78">
        <v>5.201632239</v>
      </c>
      <c r="F142" s="78">
        <f>sumif('PLA Sheet'!C:C,B142,'PLA Sheet'!J:J)/D142*9</f>
        <v>3.292782</v>
      </c>
      <c r="G142" s="79">
        <v>0.451747088</v>
      </c>
      <c r="H142" s="79">
        <v>0.198003328</v>
      </c>
      <c r="I142" s="79">
        <v>0.350249584</v>
      </c>
      <c r="J142" s="79">
        <f t="shared" si="1"/>
        <v>0.101497504</v>
      </c>
      <c r="K142" s="80">
        <v>-3.649949272</v>
      </c>
    </row>
    <row r="143">
      <c r="A143" s="1" t="s">
        <v>138</v>
      </c>
      <c r="B143" s="38">
        <v>621383.0</v>
      </c>
      <c r="C143" s="38">
        <v>976.0</v>
      </c>
      <c r="D143" s="39">
        <f>sumif('PLA Sheet'!C:C,B143,'PLA Sheet'!H:H)</f>
        <v>67.33333334</v>
      </c>
      <c r="E143" s="78">
        <v>5.201349135</v>
      </c>
      <c r="F143" s="78">
        <f>sumif('PLA Sheet'!C:C,B143,'PLA Sheet'!J:J)/D143*9</f>
        <v>2.769509896</v>
      </c>
      <c r="G143" s="79">
        <v>0.479508197</v>
      </c>
      <c r="H143" s="79">
        <v>0.18852459</v>
      </c>
      <c r="I143" s="79">
        <v>0.331967213</v>
      </c>
      <c r="J143" s="79">
        <f t="shared" si="1"/>
        <v>0.147540984</v>
      </c>
      <c r="K143" s="80">
        <v>-1.33748807</v>
      </c>
    </row>
    <row r="144">
      <c r="A144" s="1" t="s">
        <v>202</v>
      </c>
      <c r="B144" s="38">
        <v>677960.0</v>
      </c>
      <c r="C144" s="38">
        <v>1152.0</v>
      </c>
      <c r="D144" s="39">
        <f>sumif('PLA Sheet'!C:C,B144,'PLA Sheet'!H:H)</f>
        <v>38.33333333</v>
      </c>
      <c r="E144" s="78">
        <v>5.20051376</v>
      </c>
      <c r="F144" s="78">
        <f>sumif('PLA Sheet'!C:C,B144,'PLA Sheet'!J:J)/D144*9</f>
        <v>2.929082791</v>
      </c>
      <c r="G144" s="79">
        <v>0.491319444</v>
      </c>
      <c r="H144" s="79">
        <v>0.234375</v>
      </c>
      <c r="I144" s="79">
        <v>0.274305556</v>
      </c>
      <c r="J144" s="79">
        <f t="shared" si="1"/>
        <v>0.217013888</v>
      </c>
      <c r="K144" s="80">
        <v>-0.945562022</v>
      </c>
    </row>
    <row r="145">
      <c r="A145" s="1" t="s">
        <v>361</v>
      </c>
      <c r="B145" s="38">
        <v>686563.0</v>
      </c>
      <c r="C145" s="38">
        <v>1662.0</v>
      </c>
      <c r="D145" s="39">
        <f>sumif('PLA Sheet'!C:C,B145,'PLA Sheet'!H:H)</f>
        <v>103.6666667</v>
      </c>
      <c r="E145" s="78">
        <v>5.19981106</v>
      </c>
      <c r="F145" s="78">
        <f>sumif('PLA Sheet'!C:C,B145,'PLA Sheet'!J:J)/D145*9</f>
        <v>3.512411421</v>
      </c>
      <c r="G145" s="79">
        <v>0.48977136</v>
      </c>
      <c r="H145" s="79">
        <v>0.226233454</v>
      </c>
      <c r="I145" s="79">
        <v>0.283995187</v>
      </c>
      <c r="J145" s="79">
        <f t="shared" si="1"/>
        <v>0.205776173</v>
      </c>
      <c r="K145" s="80">
        <v>-8.073611871</v>
      </c>
    </row>
    <row r="146">
      <c r="A146" s="1" t="s">
        <v>155</v>
      </c>
      <c r="B146" s="38">
        <v>592332.0</v>
      </c>
      <c r="C146" s="38">
        <v>2485.0</v>
      </c>
      <c r="D146" s="39">
        <f>sumif('PLA Sheet'!C:C,B146,'PLA Sheet'!H:H)</f>
        <v>193</v>
      </c>
      <c r="E146" s="78">
        <v>5.199054016</v>
      </c>
      <c r="F146" s="78">
        <f>sumif('PLA Sheet'!C:C,B146,'PLA Sheet'!J:J)/D146*9</f>
        <v>2.813724653</v>
      </c>
      <c r="G146" s="79">
        <v>0.489336016</v>
      </c>
      <c r="H146" s="79">
        <v>0.2</v>
      </c>
      <c r="I146" s="79">
        <v>0.310663984</v>
      </c>
      <c r="J146" s="79">
        <f t="shared" si="1"/>
        <v>0.178672032</v>
      </c>
      <c r="K146" s="80">
        <v>-6.207312157</v>
      </c>
    </row>
    <row r="147">
      <c r="A147" s="1" t="s">
        <v>683</v>
      </c>
      <c r="B147" s="38">
        <v>676092.0</v>
      </c>
      <c r="C147" s="38">
        <v>502.0</v>
      </c>
      <c r="D147" s="39">
        <f>sumif('PLA Sheet'!C:C,B147,'PLA Sheet'!H:H)</f>
        <v>26.33333333</v>
      </c>
      <c r="E147" s="78">
        <v>5.19855943</v>
      </c>
      <c r="F147" s="78">
        <f>sumif('PLA Sheet'!C:C,B147,'PLA Sheet'!J:J)/D147*9</f>
        <v>2.782383494</v>
      </c>
      <c r="G147" s="79">
        <v>0.490039841</v>
      </c>
      <c r="H147" s="79">
        <v>0.282868526</v>
      </c>
      <c r="I147" s="79">
        <v>0.227091633</v>
      </c>
      <c r="J147" s="79">
        <f t="shared" si="1"/>
        <v>0.262948208</v>
      </c>
      <c r="K147" s="80">
        <v>0.01512235</v>
      </c>
    </row>
    <row r="148">
      <c r="A148" s="1" t="s">
        <v>177</v>
      </c>
      <c r="B148" s="38">
        <v>641793.0</v>
      </c>
      <c r="C148" s="38">
        <v>2135.0</v>
      </c>
      <c r="D148" s="39">
        <f>sumif('PLA Sheet'!C:C,B148,'PLA Sheet'!H:H)</f>
        <v>186.6666667</v>
      </c>
      <c r="E148" s="78">
        <v>5.19501775</v>
      </c>
      <c r="F148" s="78">
        <f>sumif('PLA Sheet'!C:C,B148,'PLA Sheet'!J:J)/D148*9</f>
        <v>2.873324379</v>
      </c>
      <c r="G148" s="79">
        <v>0.487587822</v>
      </c>
      <c r="H148" s="79">
        <v>0.200468384</v>
      </c>
      <c r="I148" s="79">
        <v>0.311943794</v>
      </c>
      <c r="J148" s="79">
        <f t="shared" si="1"/>
        <v>0.175644028</v>
      </c>
      <c r="K148" s="80">
        <v>-15.43210837</v>
      </c>
    </row>
    <row r="149">
      <c r="A149" s="1" t="s">
        <v>308</v>
      </c>
      <c r="B149" s="38">
        <v>676440.0</v>
      </c>
      <c r="C149" s="38">
        <v>2461.0</v>
      </c>
      <c r="D149" s="39">
        <f>sumif('PLA Sheet'!C:C,B149,'PLA Sheet'!H:H)</f>
        <v>182.3333333</v>
      </c>
      <c r="E149" s="78">
        <v>5.194660488</v>
      </c>
      <c r="F149" s="78">
        <f>sumif('PLA Sheet'!C:C,B149,'PLA Sheet'!J:J)/D149*9</f>
        <v>3.347248047</v>
      </c>
      <c r="G149" s="79">
        <v>0.483543275</v>
      </c>
      <c r="H149" s="79">
        <v>0.197480699</v>
      </c>
      <c r="I149" s="79">
        <v>0.318976026</v>
      </c>
      <c r="J149" s="79">
        <f t="shared" si="1"/>
        <v>0.164567249</v>
      </c>
      <c r="K149" s="80">
        <v>13.62947986</v>
      </c>
    </row>
    <row r="150">
      <c r="A150" s="1" t="s">
        <v>376</v>
      </c>
      <c r="B150" s="38">
        <v>668909.0</v>
      </c>
      <c r="C150" s="38">
        <v>1050.0</v>
      </c>
      <c r="D150" s="39">
        <f>sumif('PLA Sheet'!C:C,B150,'PLA Sheet'!H:H)</f>
        <v>167.6666667</v>
      </c>
      <c r="E150" s="78">
        <v>5.19420459</v>
      </c>
      <c r="F150" s="78">
        <f>sumif('PLA Sheet'!C:C,B150,'PLA Sheet'!J:J)/D150*9</f>
        <v>3.596653789</v>
      </c>
      <c r="G150" s="79">
        <v>0.508571429</v>
      </c>
      <c r="H150" s="79">
        <v>0.156190476</v>
      </c>
      <c r="I150" s="79">
        <v>0.335238095</v>
      </c>
      <c r="J150" s="79">
        <f t="shared" si="1"/>
        <v>0.173333334</v>
      </c>
      <c r="K150" s="80">
        <v>-0.214863201</v>
      </c>
    </row>
    <row r="151">
      <c r="A151" s="1" t="s">
        <v>1029</v>
      </c>
      <c r="B151" s="38">
        <v>674003.0</v>
      </c>
      <c r="C151" s="38">
        <v>837.0</v>
      </c>
      <c r="D151" s="39">
        <f>sumif('PLA Sheet'!C:C,B151,'PLA Sheet'!H:H)</f>
        <v>0</v>
      </c>
      <c r="E151" s="78">
        <v>5.194202082</v>
      </c>
      <c r="F151" s="78" t="str">
        <f>sumif('PLA Sheet'!C:C,B151,'PLA Sheet'!J:J)/D151*9</f>
        <v>#DIV/0!</v>
      </c>
      <c r="G151" s="79">
        <v>0.482676225</v>
      </c>
      <c r="H151" s="79">
        <v>0.199522103</v>
      </c>
      <c r="I151" s="79">
        <v>0.317801673</v>
      </c>
      <c r="J151" s="79">
        <f t="shared" si="1"/>
        <v>0.164874552</v>
      </c>
      <c r="K151" s="80">
        <v>6.334524237</v>
      </c>
    </row>
    <row r="152">
      <c r="A152" s="1" t="s">
        <v>178</v>
      </c>
      <c r="B152" s="38">
        <v>572955.0</v>
      </c>
      <c r="C152" s="38">
        <v>796.0</v>
      </c>
      <c r="D152" s="39">
        <f>sumif('PLA Sheet'!C:C,B152,'PLA Sheet'!H:H)</f>
        <v>59</v>
      </c>
      <c r="E152" s="78">
        <v>5.193449123</v>
      </c>
      <c r="F152" s="78">
        <f>sumif('PLA Sheet'!C:C,B152,'PLA Sheet'!J:J)/D152*9</f>
        <v>2.876542627</v>
      </c>
      <c r="G152" s="79">
        <v>0.49120603</v>
      </c>
      <c r="H152" s="79">
        <v>0.193467337</v>
      </c>
      <c r="I152" s="79">
        <v>0.315326633</v>
      </c>
      <c r="J152" s="79">
        <f t="shared" si="1"/>
        <v>0.175879397</v>
      </c>
      <c r="K152" s="80">
        <v>0.215799829</v>
      </c>
    </row>
    <row r="153">
      <c r="A153" s="1" t="s">
        <v>413</v>
      </c>
      <c r="B153" s="38">
        <v>671737.0</v>
      </c>
      <c r="C153" s="38">
        <v>1815.0</v>
      </c>
      <c r="D153" s="39">
        <f>sumif('PLA Sheet'!C:C,B153,'PLA Sheet'!H:H)</f>
        <v>142.6666667</v>
      </c>
      <c r="E153" s="78">
        <v>5.192700331</v>
      </c>
      <c r="F153" s="78">
        <f>sumif('PLA Sheet'!C:C,B153,'PLA Sheet'!J:J)/D153*9</f>
        <v>3.449864566</v>
      </c>
      <c r="G153" s="79">
        <v>0.473278237</v>
      </c>
      <c r="H153" s="79">
        <v>0.200550964</v>
      </c>
      <c r="I153" s="79">
        <v>0.326170799</v>
      </c>
      <c r="J153" s="79">
        <f t="shared" si="1"/>
        <v>0.147107438</v>
      </c>
      <c r="K153" s="80">
        <v>-2.323877357</v>
      </c>
    </row>
    <row r="154">
      <c r="A154" s="1" t="s">
        <v>276</v>
      </c>
      <c r="B154" s="38">
        <v>702352.0</v>
      </c>
      <c r="C154" s="38">
        <v>529.0</v>
      </c>
      <c r="D154" s="39">
        <f>sumif('PLA Sheet'!C:C,B154,'PLA Sheet'!H:H)</f>
        <v>81.00000001</v>
      </c>
      <c r="E154" s="78">
        <v>5.191830108</v>
      </c>
      <c r="F154" s="78">
        <f>sumif('PLA Sheet'!C:C,B154,'PLA Sheet'!J:J)/D154*9</f>
        <v>3.218428444</v>
      </c>
      <c r="G154" s="79">
        <v>0.497164461</v>
      </c>
      <c r="H154" s="79">
        <v>0.221172023</v>
      </c>
      <c r="I154" s="79">
        <v>0.281663516</v>
      </c>
      <c r="J154" s="79">
        <f t="shared" si="1"/>
        <v>0.215500945</v>
      </c>
      <c r="K154" s="80">
        <v>4.249844502</v>
      </c>
    </row>
    <row r="155">
      <c r="A155" s="1" t="s">
        <v>230</v>
      </c>
      <c r="B155" s="38">
        <v>458677.0</v>
      </c>
      <c r="C155" s="38">
        <v>671.0</v>
      </c>
      <c r="D155" s="39">
        <f>sumif('PLA Sheet'!C:C,B155,'PLA Sheet'!H:H)</f>
        <v>48.33333334</v>
      </c>
      <c r="E155" s="78">
        <v>5.19060993</v>
      </c>
      <c r="F155" s="78">
        <f>sumif('PLA Sheet'!C:C,B155,'PLA Sheet'!J:J)/D155*9</f>
        <v>3.028035289</v>
      </c>
      <c r="G155" s="79">
        <v>0.478390462</v>
      </c>
      <c r="H155" s="79">
        <v>0.208643815</v>
      </c>
      <c r="I155" s="79">
        <v>0.312965723</v>
      </c>
      <c r="J155" s="79">
        <f t="shared" si="1"/>
        <v>0.165424739</v>
      </c>
      <c r="K155" s="80">
        <v>-4.281695372</v>
      </c>
    </row>
    <row r="156">
      <c r="A156" s="1" t="s">
        <v>1030</v>
      </c>
      <c r="B156" s="38">
        <v>641729.0</v>
      </c>
      <c r="C156" s="38">
        <v>913.0</v>
      </c>
      <c r="D156" s="39">
        <f>sumif('PLA Sheet'!C:C,B156,'PLA Sheet'!H:H)</f>
        <v>0</v>
      </c>
      <c r="E156" s="78">
        <v>5.189534204</v>
      </c>
      <c r="F156" s="78" t="str">
        <f>sumif('PLA Sheet'!C:C,B156,'PLA Sheet'!J:J)/D156*9</f>
        <v>#DIV/0!</v>
      </c>
      <c r="G156" s="79">
        <v>0.501642935</v>
      </c>
      <c r="H156" s="79">
        <v>0.176341731</v>
      </c>
      <c r="I156" s="79">
        <v>0.322015334</v>
      </c>
      <c r="J156" s="79">
        <f t="shared" si="1"/>
        <v>0.179627601</v>
      </c>
      <c r="K156" s="80">
        <v>9.938353445</v>
      </c>
    </row>
    <row r="157">
      <c r="A157" s="1" t="s">
        <v>403</v>
      </c>
      <c r="B157" s="38">
        <v>676254.0</v>
      </c>
      <c r="C157" s="38">
        <v>1050.0</v>
      </c>
      <c r="D157" s="39">
        <f>sumif('PLA Sheet'!C:C,B157,'PLA Sheet'!H:H)</f>
        <v>61.33333334</v>
      </c>
      <c r="E157" s="78">
        <v>5.187289584</v>
      </c>
      <c r="F157" s="78">
        <f>sumif('PLA Sheet'!C:C,B157,'PLA Sheet'!J:J)/D157*9</f>
        <v>3.481500472</v>
      </c>
      <c r="G157" s="79">
        <v>0.484761905</v>
      </c>
      <c r="H157" s="79">
        <v>0.179047619</v>
      </c>
      <c r="I157" s="79">
        <v>0.336190476</v>
      </c>
      <c r="J157" s="79">
        <f t="shared" si="1"/>
        <v>0.148571429</v>
      </c>
      <c r="K157" s="80">
        <v>12.36502051</v>
      </c>
    </row>
    <row r="158">
      <c r="A158" s="1" t="s">
        <v>82</v>
      </c>
      <c r="B158" s="38">
        <v>663947.0</v>
      </c>
      <c r="C158" s="38">
        <v>1104.0</v>
      </c>
      <c r="D158" s="39">
        <f>sumif('PLA Sheet'!C:C,B158,'PLA Sheet'!H:H)</f>
        <v>78.66666666</v>
      </c>
      <c r="E158" s="78">
        <v>5.187073208</v>
      </c>
      <c r="F158" s="78">
        <f>sumif('PLA Sheet'!C:C,B158,'PLA Sheet'!J:J)/D158*9</f>
        <v>2.475601399</v>
      </c>
      <c r="G158" s="79">
        <v>0.480072464</v>
      </c>
      <c r="H158" s="79">
        <v>0.19384058</v>
      </c>
      <c r="I158" s="79">
        <v>0.326086957</v>
      </c>
      <c r="J158" s="79">
        <f t="shared" si="1"/>
        <v>0.153985507</v>
      </c>
      <c r="K158" s="80">
        <v>16.22718271</v>
      </c>
    </row>
    <row r="159">
      <c r="A159" s="1" t="s">
        <v>430</v>
      </c>
      <c r="B159" s="38">
        <v>670990.0</v>
      </c>
      <c r="C159" s="38">
        <v>762.0</v>
      </c>
      <c r="D159" s="39">
        <f>sumif('PLA Sheet'!C:C,B159,'PLA Sheet'!H:H)</f>
        <v>33.33333333</v>
      </c>
      <c r="E159" s="78">
        <v>5.18659842</v>
      </c>
      <c r="F159" s="78">
        <f>sumif('PLA Sheet'!C:C,B159,'PLA Sheet'!J:J)/D159*9</f>
        <v>4.1328927</v>
      </c>
      <c r="G159" s="79">
        <v>0.527559055</v>
      </c>
      <c r="H159" s="79">
        <v>0.223097113</v>
      </c>
      <c r="I159" s="79">
        <v>0.249343832</v>
      </c>
      <c r="J159" s="79">
        <f t="shared" si="1"/>
        <v>0.278215223</v>
      </c>
      <c r="K159" s="80">
        <v>-8.489957239</v>
      </c>
    </row>
    <row r="160">
      <c r="A160" s="1" t="s">
        <v>588</v>
      </c>
      <c r="B160" s="38">
        <v>502043.0</v>
      </c>
      <c r="C160" s="38">
        <v>2376.0</v>
      </c>
      <c r="D160" s="39">
        <f>sumif('PLA Sheet'!C:C,B160,'PLA Sheet'!H:H)</f>
        <v>12.33333333</v>
      </c>
      <c r="E160" s="78">
        <v>5.185963519</v>
      </c>
      <c r="F160" s="78">
        <f>sumif('PLA Sheet'!C:C,B160,'PLA Sheet'!J:J)/D160*9</f>
        <v>4.87336719</v>
      </c>
      <c r="G160" s="79">
        <v>0.514309764</v>
      </c>
      <c r="H160" s="79">
        <v>0.194444444</v>
      </c>
      <c r="I160" s="79">
        <v>0.291245791</v>
      </c>
      <c r="J160" s="79">
        <f t="shared" si="1"/>
        <v>0.223063973</v>
      </c>
      <c r="K160" s="80">
        <v>-10.88406131</v>
      </c>
    </row>
    <row r="161">
      <c r="A161" s="1" t="s">
        <v>584</v>
      </c>
      <c r="B161" s="38">
        <v>657006.0</v>
      </c>
      <c r="C161" s="38">
        <v>1913.0</v>
      </c>
      <c r="D161" s="39">
        <f>sumif('PLA Sheet'!C:C,B161,'PLA Sheet'!H:H)</f>
        <v>22.66666667</v>
      </c>
      <c r="E161" s="78">
        <v>5.185838077</v>
      </c>
      <c r="F161" s="78">
        <f>sumif('PLA Sheet'!C:C,B161,'PLA Sheet'!J:J)/D161*9</f>
        <v>2.756391088</v>
      </c>
      <c r="G161" s="79">
        <v>0.476215369</v>
      </c>
      <c r="H161" s="79">
        <v>0.21589127</v>
      </c>
      <c r="I161" s="79">
        <v>0.307893361</v>
      </c>
      <c r="J161" s="79">
        <f t="shared" si="1"/>
        <v>0.168322008</v>
      </c>
      <c r="K161" s="80">
        <v>29.1719646</v>
      </c>
    </row>
    <row r="162">
      <c r="A162" s="1" t="s">
        <v>139</v>
      </c>
      <c r="B162" s="38">
        <v>640448.0</v>
      </c>
      <c r="C162" s="38">
        <v>888.0</v>
      </c>
      <c r="D162" s="39">
        <f>sumif('PLA Sheet'!C:C,B162,'PLA Sheet'!H:H)</f>
        <v>56.99999999</v>
      </c>
      <c r="E162" s="78">
        <v>5.185140266</v>
      </c>
      <c r="F162" s="78">
        <f>sumif('PLA Sheet'!C:C,B162,'PLA Sheet'!J:J)/D162*9</f>
        <v>2.772820422</v>
      </c>
      <c r="G162" s="79">
        <v>0.503378378</v>
      </c>
      <c r="H162" s="79">
        <v>0.18018018</v>
      </c>
      <c r="I162" s="79">
        <v>0.316441441</v>
      </c>
      <c r="J162" s="79">
        <f t="shared" si="1"/>
        <v>0.186936937</v>
      </c>
      <c r="K162" s="80">
        <v>3.79665165</v>
      </c>
    </row>
    <row r="163">
      <c r="A163" s="1" t="s">
        <v>630</v>
      </c>
      <c r="B163" s="38">
        <v>595014.0</v>
      </c>
      <c r="C163" s="38">
        <v>578.0</v>
      </c>
      <c r="D163" s="39">
        <f>sumif('PLA Sheet'!C:C,B163,'PLA Sheet'!H:H)</f>
        <v>26.66666667</v>
      </c>
      <c r="E163" s="78">
        <v>5.185009334</v>
      </c>
      <c r="F163" s="78">
        <f>sumif('PLA Sheet'!C:C,B163,'PLA Sheet'!J:J)/D163*9</f>
        <v>3.8908701</v>
      </c>
      <c r="G163" s="79">
        <v>0.493079585</v>
      </c>
      <c r="H163" s="79">
        <v>0.204152249</v>
      </c>
      <c r="I163" s="79">
        <v>0.302768166</v>
      </c>
      <c r="J163" s="79">
        <f t="shared" si="1"/>
        <v>0.190311419</v>
      </c>
      <c r="K163" s="80">
        <v>5.356453546</v>
      </c>
    </row>
    <row r="164">
      <c r="A164" s="1" t="s">
        <v>814</v>
      </c>
      <c r="B164" s="38">
        <v>614179.0</v>
      </c>
      <c r="C164" s="38">
        <v>656.0</v>
      </c>
      <c r="D164" s="39">
        <f>sumif('PLA Sheet'!C:C,B164,'PLA Sheet'!H:H)</f>
        <v>16.33333333</v>
      </c>
      <c r="E164" s="78">
        <v>5.184794678</v>
      </c>
      <c r="F164" s="78">
        <f>sumif('PLA Sheet'!C:C,B164,'PLA Sheet'!J:J)/D164*9</f>
        <v>3.547429163</v>
      </c>
      <c r="G164" s="79">
        <v>0.492378049</v>
      </c>
      <c r="H164" s="79">
        <v>0.18445122</v>
      </c>
      <c r="I164" s="79">
        <v>0.323170732</v>
      </c>
      <c r="J164" s="79">
        <f t="shared" si="1"/>
        <v>0.169207317</v>
      </c>
      <c r="K164" s="80">
        <v>-0.121318939</v>
      </c>
    </row>
    <row r="165">
      <c r="A165" s="1" t="s">
        <v>267</v>
      </c>
      <c r="B165" s="38">
        <v>669387.0</v>
      </c>
      <c r="C165" s="38">
        <v>641.0</v>
      </c>
      <c r="D165" s="39">
        <f>sumif('PLA Sheet'!C:C,B165,'PLA Sheet'!H:H)</f>
        <v>99</v>
      </c>
      <c r="E165" s="78">
        <v>5.182632732</v>
      </c>
      <c r="F165" s="78">
        <f>sumif('PLA Sheet'!C:C,B165,'PLA Sheet'!J:J)/D165*9</f>
        <v>3.165060364</v>
      </c>
      <c r="G165" s="79">
        <v>0.497659906</v>
      </c>
      <c r="H165" s="79">
        <v>0.1950078</v>
      </c>
      <c r="I165" s="79">
        <v>0.307332293</v>
      </c>
      <c r="J165" s="79">
        <f t="shared" si="1"/>
        <v>0.190327613</v>
      </c>
      <c r="K165" s="80">
        <v>-1.331479765</v>
      </c>
    </row>
    <row r="166">
      <c r="A166" s="1" t="s">
        <v>135</v>
      </c>
      <c r="B166" s="38">
        <v>671922.0</v>
      </c>
      <c r="C166" s="38">
        <v>1036.0</v>
      </c>
      <c r="D166" s="39">
        <f>sumif('PLA Sheet'!C:C,B166,'PLA Sheet'!H:H)</f>
        <v>73.66666666</v>
      </c>
      <c r="E166" s="78">
        <v>5.181979692</v>
      </c>
      <c r="F166" s="78">
        <f>sumif('PLA Sheet'!C:C,B166,'PLA Sheet'!J:J)/D166*9</f>
        <v>2.749224299</v>
      </c>
      <c r="G166" s="79">
        <v>0.485521236</v>
      </c>
      <c r="H166" s="79">
        <v>0.19980695</v>
      </c>
      <c r="I166" s="79">
        <v>0.314671815</v>
      </c>
      <c r="J166" s="79">
        <f t="shared" si="1"/>
        <v>0.170849421</v>
      </c>
      <c r="K166" s="80">
        <v>13.20272621</v>
      </c>
    </row>
    <row r="167">
      <c r="A167" s="1" t="s">
        <v>1031</v>
      </c>
      <c r="B167" s="38">
        <v>571882.0</v>
      </c>
      <c r="C167" s="38">
        <v>1151.0</v>
      </c>
      <c r="D167" s="39">
        <f>sumif('PLA Sheet'!C:C,B167,'PLA Sheet'!H:H)</f>
        <v>0</v>
      </c>
      <c r="E167" s="78">
        <v>5.18195462</v>
      </c>
      <c r="F167" s="78" t="str">
        <f>sumif('PLA Sheet'!C:C,B167,'PLA Sheet'!J:J)/D167*9</f>
        <v>#DIV/0!</v>
      </c>
      <c r="G167" s="79">
        <v>0.508253692</v>
      </c>
      <c r="H167" s="79">
        <v>0.16246742</v>
      </c>
      <c r="I167" s="79">
        <v>0.329278888</v>
      </c>
      <c r="J167" s="79">
        <f t="shared" si="1"/>
        <v>0.178974804</v>
      </c>
      <c r="K167" s="80">
        <v>-3.100078355</v>
      </c>
    </row>
    <row r="168">
      <c r="A168" s="1" t="s">
        <v>185</v>
      </c>
      <c r="B168" s="38">
        <v>664076.0</v>
      </c>
      <c r="C168" s="38">
        <v>924.0</v>
      </c>
      <c r="D168" s="39">
        <f>sumif('PLA Sheet'!C:C,B168,'PLA Sheet'!H:H)</f>
        <v>61.33333333</v>
      </c>
      <c r="E168" s="78">
        <v>5.181136962</v>
      </c>
      <c r="F168" s="78">
        <f>sumif('PLA Sheet'!C:C,B168,'PLA Sheet'!J:J)/D168*9</f>
        <v>2.896871968</v>
      </c>
      <c r="G168" s="79">
        <v>0.518398268</v>
      </c>
      <c r="H168" s="79">
        <v>0.192640693</v>
      </c>
      <c r="I168" s="79">
        <v>0.288961039</v>
      </c>
      <c r="J168" s="79">
        <f t="shared" si="1"/>
        <v>0.229437229</v>
      </c>
      <c r="K168" s="80">
        <v>6.351904537</v>
      </c>
    </row>
    <row r="169">
      <c r="A169" s="1" t="s">
        <v>115</v>
      </c>
      <c r="B169" s="38">
        <v>543135.0</v>
      </c>
      <c r="C169" s="38">
        <v>2235.0</v>
      </c>
      <c r="D169" s="39">
        <f>sumif('PLA Sheet'!C:C,B169,'PLA Sheet'!H:H)</f>
        <v>130</v>
      </c>
      <c r="E169" s="78">
        <v>5.180605662</v>
      </c>
      <c r="F169" s="78">
        <f>sumif('PLA Sheet'!C:C,B169,'PLA Sheet'!J:J)/D169*9</f>
        <v>2.664315969</v>
      </c>
      <c r="G169" s="79">
        <v>0.476510067</v>
      </c>
      <c r="H169" s="79">
        <v>0.1950783</v>
      </c>
      <c r="I169" s="79">
        <v>0.328411633</v>
      </c>
      <c r="J169" s="79">
        <f t="shared" si="1"/>
        <v>0.148098434</v>
      </c>
      <c r="K169" s="80">
        <v>19.84291203</v>
      </c>
    </row>
    <row r="170">
      <c r="A170" s="1" t="s">
        <v>697</v>
      </c>
      <c r="B170" s="38">
        <v>605347.0</v>
      </c>
      <c r="C170" s="38">
        <v>770.0</v>
      </c>
      <c r="D170" s="39">
        <f>sumif('PLA Sheet'!C:C,B170,'PLA Sheet'!H:H)</f>
        <v>24.66666667</v>
      </c>
      <c r="E170" s="78">
        <v>5.179939381</v>
      </c>
      <c r="F170" s="78">
        <f>sumif('PLA Sheet'!C:C,B170,'PLA Sheet'!J:J)/D170*9</f>
        <v>3.822450203</v>
      </c>
      <c r="G170" s="79">
        <v>0.480519481</v>
      </c>
      <c r="H170" s="79">
        <v>0.212987013</v>
      </c>
      <c r="I170" s="79">
        <v>0.306493506</v>
      </c>
      <c r="J170" s="79">
        <f t="shared" si="1"/>
        <v>0.174025975</v>
      </c>
      <c r="K170" s="80">
        <v>0.53038615</v>
      </c>
    </row>
    <row r="171">
      <c r="A171" s="1" t="s">
        <v>69</v>
      </c>
      <c r="B171" s="38">
        <v>657612.0</v>
      </c>
      <c r="C171" s="38">
        <v>880.0</v>
      </c>
      <c r="D171" s="39">
        <f>sumif('PLA Sheet'!C:C,B171,'PLA Sheet'!H:H)</f>
        <v>67</v>
      </c>
      <c r="E171" s="78">
        <v>5.177731295</v>
      </c>
      <c r="F171" s="78">
        <f>sumif('PLA Sheet'!C:C,B171,'PLA Sheet'!J:J)/D171*9</f>
        <v>2.40958706</v>
      </c>
      <c r="G171" s="79">
        <v>0.480681818</v>
      </c>
      <c r="H171" s="79">
        <v>0.197727273</v>
      </c>
      <c r="I171" s="79">
        <v>0.321590909</v>
      </c>
      <c r="J171" s="79">
        <f t="shared" si="1"/>
        <v>0.159090909</v>
      </c>
      <c r="K171" s="80">
        <v>-14.15100661</v>
      </c>
    </row>
    <row r="172">
      <c r="A172" s="1" t="s">
        <v>88</v>
      </c>
      <c r="B172" s="38">
        <v>694973.0</v>
      </c>
      <c r="C172" s="38">
        <v>1817.0</v>
      </c>
      <c r="D172" s="39">
        <f>sumif('PLA Sheet'!C:C,B172,'PLA Sheet'!H:H)</f>
        <v>187.6666667</v>
      </c>
      <c r="E172" s="78">
        <v>5.177586537</v>
      </c>
      <c r="F172" s="78">
        <f>sumif('PLA Sheet'!C:C,B172,'PLA Sheet'!J:J)/D172*9</f>
        <v>2.527124419</v>
      </c>
      <c r="G172" s="79">
        <v>0.494771602</v>
      </c>
      <c r="H172" s="79">
        <v>0.161805173</v>
      </c>
      <c r="I172" s="79">
        <v>0.343423225</v>
      </c>
      <c r="J172" s="79">
        <f t="shared" si="1"/>
        <v>0.151348377</v>
      </c>
      <c r="K172" s="80">
        <v>31.58468194</v>
      </c>
    </row>
    <row r="173">
      <c r="A173" s="1" t="s">
        <v>650</v>
      </c>
      <c r="B173" s="38">
        <v>640451.0</v>
      </c>
      <c r="C173" s="38">
        <v>901.0</v>
      </c>
      <c r="D173" s="39">
        <f>sumif('PLA Sheet'!C:C,B173,'PLA Sheet'!H:H)</f>
        <v>10.66666667</v>
      </c>
      <c r="E173" s="78">
        <v>5.176374256</v>
      </c>
      <c r="F173" s="78">
        <f>sumif('PLA Sheet'!C:C,B173,'PLA Sheet'!J:J)/D173*9</f>
        <v>3.001071094</v>
      </c>
      <c r="G173" s="79">
        <v>0.486126526</v>
      </c>
      <c r="H173" s="79">
        <v>0.193118757</v>
      </c>
      <c r="I173" s="79">
        <v>0.320754717</v>
      </c>
      <c r="J173" s="79">
        <f t="shared" si="1"/>
        <v>0.165371809</v>
      </c>
      <c r="K173" s="80">
        <v>-3.569964403</v>
      </c>
    </row>
    <row r="174">
      <c r="A174" s="1" t="s">
        <v>369</v>
      </c>
      <c r="B174" s="38">
        <v>596295.0</v>
      </c>
      <c r="C174" s="38">
        <v>2278.0</v>
      </c>
      <c r="D174" s="39">
        <f>sumif('PLA Sheet'!C:C,B174,'PLA Sheet'!H:H)</f>
        <v>57.66666666</v>
      </c>
      <c r="E174" s="78">
        <v>5.174309169</v>
      </c>
      <c r="F174" s="78">
        <f>sumif('PLA Sheet'!C:C,B174,'PLA Sheet'!J:J)/D174*9</f>
        <v>3.56267107</v>
      </c>
      <c r="G174" s="79">
        <v>0.479806848</v>
      </c>
      <c r="H174" s="79">
        <v>0.179543459</v>
      </c>
      <c r="I174" s="79">
        <v>0.340649693</v>
      </c>
      <c r="J174" s="79">
        <f t="shared" si="1"/>
        <v>0.139157155</v>
      </c>
      <c r="K174" s="80">
        <v>-12.4764683</v>
      </c>
    </row>
    <row r="175">
      <c r="A175" s="1" t="s">
        <v>251</v>
      </c>
      <c r="B175" s="38">
        <v>676664.0</v>
      </c>
      <c r="C175" s="38">
        <v>2470.0</v>
      </c>
      <c r="D175" s="39">
        <f>sumif('PLA Sheet'!C:C,B175,'PLA Sheet'!H:H)</f>
        <v>135.6666667</v>
      </c>
      <c r="E175" s="78">
        <v>5.172895439</v>
      </c>
      <c r="F175" s="78">
        <f>sumif('PLA Sheet'!C:C,B175,'PLA Sheet'!J:J)/D175*9</f>
        <v>3.103735975</v>
      </c>
      <c r="G175" s="79">
        <v>0.487044534</v>
      </c>
      <c r="H175" s="79">
        <v>0.248987854</v>
      </c>
      <c r="I175" s="79">
        <v>0.263967611</v>
      </c>
      <c r="J175" s="79">
        <f t="shared" si="1"/>
        <v>0.223076923</v>
      </c>
      <c r="K175" s="80">
        <v>-9.839315703</v>
      </c>
    </row>
    <row r="176">
      <c r="A176" s="1" t="s">
        <v>1032</v>
      </c>
      <c r="B176" s="38">
        <v>671345.0</v>
      </c>
      <c r="C176" s="38">
        <v>755.0</v>
      </c>
      <c r="D176" s="39">
        <f>sumif('PLA Sheet'!C:C,B176,'PLA Sheet'!H:H)</f>
        <v>0</v>
      </c>
      <c r="E176" s="78">
        <v>5.1720514</v>
      </c>
      <c r="F176" s="78" t="str">
        <f>sumif('PLA Sheet'!C:C,B176,'PLA Sheet'!J:J)/D176*9</f>
        <v>#DIV/0!</v>
      </c>
      <c r="G176" s="79">
        <v>0.515231788</v>
      </c>
      <c r="H176" s="79">
        <v>0.156291391</v>
      </c>
      <c r="I176" s="79">
        <v>0.328476821</v>
      </c>
      <c r="J176" s="79">
        <f t="shared" si="1"/>
        <v>0.186754967</v>
      </c>
      <c r="K176" s="80">
        <v>1.433184716</v>
      </c>
    </row>
    <row r="177">
      <c r="A177" s="1" t="s">
        <v>405</v>
      </c>
      <c r="B177" s="38">
        <v>621111.0</v>
      </c>
      <c r="C177" s="38">
        <v>983.0</v>
      </c>
      <c r="D177" s="39">
        <f>sumif('PLA Sheet'!C:C,B177,'PLA Sheet'!H:H)</f>
        <v>126</v>
      </c>
      <c r="E177" s="78">
        <v>5.171964053</v>
      </c>
      <c r="F177" s="78">
        <f>sumif('PLA Sheet'!C:C,B177,'PLA Sheet'!J:J)/D177*9</f>
        <v>3.724206</v>
      </c>
      <c r="G177" s="79">
        <v>0.480162767</v>
      </c>
      <c r="H177" s="79">
        <v>0.184130214</v>
      </c>
      <c r="I177" s="79">
        <v>0.335707019</v>
      </c>
      <c r="J177" s="79">
        <f t="shared" si="1"/>
        <v>0.144455748</v>
      </c>
      <c r="K177" s="80">
        <v>-7.736026813</v>
      </c>
    </row>
    <row r="178">
      <c r="A178" s="1" t="s">
        <v>84</v>
      </c>
      <c r="B178" s="38">
        <v>669373.0</v>
      </c>
      <c r="C178" s="38">
        <v>2442.0</v>
      </c>
      <c r="D178" s="39">
        <f>sumif('PLA Sheet'!C:C,B178,'PLA Sheet'!H:H)</f>
        <v>195.3333333</v>
      </c>
      <c r="E178" s="78">
        <v>5.170559259</v>
      </c>
      <c r="F178" s="78">
        <f>sumif('PLA Sheet'!C:C,B178,'PLA Sheet'!J:J)/D178*9</f>
        <v>2.483788884</v>
      </c>
      <c r="G178" s="79">
        <v>0.498771499</v>
      </c>
      <c r="H178" s="79">
        <v>0.181408681</v>
      </c>
      <c r="I178" s="79">
        <v>0.31981982</v>
      </c>
      <c r="J178" s="79">
        <f t="shared" si="1"/>
        <v>0.178951679</v>
      </c>
      <c r="K178" s="80">
        <v>26.49522687</v>
      </c>
    </row>
    <row r="179">
      <c r="A179" s="1" t="s">
        <v>397</v>
      </c>
      <c r="B179" s="38">
        <v>660896.0</v>
      </c>
      <c r="C179" s="38">
        <v>806.0</v>
      </c>
      <c r="D179" s="39">
        <f>sumif('PLA Sheet'!C:C,B179,'PLA Sheet'!H:H)</f>
        <v>55</v>
      </c>
      <c r="E179" s="78">
        <v>5.170515118</v>
      </c>
      <c r="F179" s="78">
        <f>sumif('PLA Sheet'!C:C,B179,'PLA Sheet'!J:J)/D179*9</f>
        <v>4.143222818</v>
      </c>
      <c r="G179" s="79">
        <v>0.490074442</v>
      </c>
      <c r="H179" s="79">
        <v>0.158808933</v>
      </c>
      <c r="I179" s="79">
        <v>0.351116625</v>
      </c>
      <c r="J179" s="79">
        <f t="shared" si="1"/>
        <v>0.138957817</v>
      </c>
      <c r="K179" s="80">
        <v>5.283837606</v>
      </c>
    </row>
    <row r="180">
      <c r="A180" s="1" t="s">
        <v>1033</v>
      </c>
      <c r="B180" s="38">
        <v>572143.0</v>
      </c>
      <c r="C180" s="38">
        <v>833.0</v>
      </c>
      <c r="D180" s="39">
        <f>sumif('PLA Sheet'!C:C,B180,'PLA Sheet'!H:H)</f>
        <v>0</v>
      </c>
      <c r="E180" s="78">
        <v>5.170334026</v>
      </c>
      <c r="F180" s="78" t="str">
        <f>sumif('PLA Sheet'!C:C,B180,'PLA Sheet'!J:J)/D180*9</f>
        <v>#DIV/0!</v>
      </c>
      <c r="G180" s="79">
        <v>0.515006002</v>
      </c>
      <c r="H180" s="79">
        <v>0.165666267</v>
      </c>
      <c r="I180" s="79">
        <v>0.319327731</v>
      </c>
      <c r="J180" s="79">
        <f t="shared" si="1"/>
        <v>0.195678271</v>
      </c>
      <c r="K180" s="80">
        <v>-15.66778123</v>
      </c>
    </row>
    <row r="181">
      <c r="A181" s="1" t="s">
        <v>166</v>
      </c>
      <c r="B181" s="38">
        <v>608331.0</v>
      </c>
      <c r="C181" s="38">
        <v>2251.0</v>
      </c>
      <c r="D181" s="39">
        <f>sumif('PLA Sheet'!C:C,B181,'PLA Sheet'!H:H)</f>
        <v>195.3333333</v>
      </c>
      <c r="E181" s="78">
        <v>5.169516385</v>
      </c>
      <c r="F181" s="78">
        <f>sumif('PLA Sheet'!C:C,B181,'PLA Sheet'!J:J)/D181*9</f>
        <v>2.85217541</v>
      </c>
      <c r="G181" s="79">
        <v>0.483784984</v>
      </c>
      <c r="H181" s="79">
        <v>0.18969347</v>
      </c>
      <c r="I181" s="79">
        <v>0.326521546</v>
      </c>
      <c r="J181" s="79">
        <f t="shared" si="1"/>
        <v>0.157263438</v>
      </c>
      <c r="K181" s="80">
        <v>16.75318484</v>
      </c>
    </row>
    <row r="182">
      <c r="A182" s="1" t="s">
        <v>378</v>
      </c>
      <c r="B182" s="38">
        <v>681676.0</v>
      </c>
      <c r="C182" s="38">
        <v>1030.0</v>
      </c>
      <c r="D182" s="39">
        <f>sumif('PLA Sheet'!C:C,B182,'PLA Sheet'!H:H)</f>
        <v>30.33333333</v>
      </c>
      <c r="E182" s="78">
        <v>5.16862713</v>
      </c>
      <c r="F182" s="78">
        <f>sumif('PLA Sheet'!C:C,B182,'PLA Sheet'!J:J)/D182*9</f>
        <v>3.623806484</v>
      </c>
      <c r="G182" s="79">
        <v>0.486407767</v>
      </c>
      <c r="H182" s="79">
        <v>0.168932039</v>
      </c>
      <c r="I182" s="79">
        <v>0.344660194</v>
      </c>
      <c r="J182" s="79">
        <f t="shared" si="1"/>
        <v>0.141747573</v>
      </c>
      <c r="K182" s="80">
        <v>1.360284701</v>
      </c>
    </row>
    <row r="183">
      <c r="A183" s="1" t="s">
        <v>445</v>
      </c>
      <c r="B183" s="38">
        <v>663855.0</v>
      </c>
      <c r="C183" s="38">
        <v>1908.0</v>
      </c>
      <c r="D183" s="39">
        <f>sumif('PLA Sheet'!C:C,B183,'PLA Sheet'!H:H)</f>
        <v>67.33333334</v>
      </c>
      <c r="E183" s="78">
        <v>5.168401333</v>
      </c>
      <c r="F183" s="78">
        <f>sumif('PLA Sheet'!C:C,B183,'PLA Sheet'!J:J)/D183*9</f>
        <v>3.770866916</v>
      </c>
      <c r="G183" s="79">
        <v>0.503144654</v>
      </c>
      <c r="H183" s="79">
        <v>0.213312369</v>
      </c>
      <c r="I183" s="79">
        <v>0.283542977</v>
      </c>
      <c r="J183" s="79">
        <f t="shared" si="1"/>
        <v>0.219601677</v>
      </c>
      <c r="K183" s="80">
        <v>3.736350209</v>
      </c>
    </row>
    <row r="184">
      <c r="A184" s="1" t="s">
        <v>1034</v>
      </c>
      <c r="B184" s="38">
        <v>657508.0</v>
      </c>
      <c r="C184" s="38">
        <v>882.0</v>
      </c>
      <c r="D184" s="39">
        <f>sumif('PLA Sheet'!C:C,B184,'PLA Sheet'!H:H)</f>
        <v>0</v>
      </c>
      <c r="E184" s="78">
        <v>5.166852837</v>
      </c>
      <c r="F184" s="78" t="str">
        <f>sumif('PLA Sheet'!C:C,B184,'PLA Sheet'!J:J)/D184*9</f>
        <v>#DIV/0!</v>
      </c>
      <c r="G184" s="79">
        <v>0.492063492</v>
      </c>
      <c r="H184" s="79">
        <v>0.158730159</v>
      </c>
      <c r="I184" s="79">
        <v>0.349206349</v>
      </c>
      <c r="J184" s="79">
        <f t="shared" si="1"/>
        <v>0.142857143</v>
      </c>
      <c r="K184" s="80">
        <v>-5.807754343</v>
      </c>
    </row>
    <row r="185">
      <c r="A185" s="1" t="s">
        <v>190</v>
      </c>
      <c r="B185" s="38">
        <v>664208.0</v>
      </c>
      <c r="C185" s="38">
        <v>941.0</v>
      </c>
      <c r="D185" s="39">
        <f>sumif('PLA Sheet'!C:C,B185,'PLA Sheet'!H:H)</f>
        <v>61.33333333</v>
      </c>
      <c r="E185" s="78">
        <v>5.16632823</v>
      </c>
      <c r="F185" s="78">
        <f>sumif('PLA Sheet'!C:C,B185,'PLA Sheet'!J:J)/D185*9</f>
        <v>2.902495304</v>
      </c>
      <c r="G185" s="79">
        <v>0.518597237</v>
      </c>
      <c r="H185" s="79">
        <v>0.21360255</v>
      </c>
      <c r="I185" s="79">
        <v>0.267800213</v>
      </c>
      <c r="J185" s="79">
        <f t="shared" si="1"/>
        <v>0.250797024</v>
      </c>
      <c r="K185" s="80">
        <v>6.701369221</v>
      </c>
    </row>
    <row r="186">
      <c r="A186" s="1" t="s">
        <v>105</v>
      </c>
      <c r="B186" s="38">
        <v>624133.0</v>
      </c>
      <c r="C186" s="38">
        <v>1828.0</v>
      </c>
      <c r="D186" s="39">
        <f>sumif('PLA Sheet'!C:C,B186,'PLA Sheet'!H:H)</f>
        <v>157.3333333</v>
      </c>
      <c r="E186" s="78">
        <v>5.165489811</v>
      </c>
      <c r="F186" s="78">
        <f>sumif('PLA Sheet'!C:C,B186,'PLA Sheet'!J:J)/D186*9</f>
        <v>2.634706506</v>
      </c>
      <c r="G186" s="79">
        <v>0.472100656</v>
      </c>
      <c r="H186" s="79">
        <v>0.181619256</v>
      </c>
      <c r="I186" s="79">
        <v>0.346280088</v>
      </c>
      <c r="J186" s="79">
        <f t="shared" si="1"/>
        <v>0.125820568</v>
      </c>
      <c r="K186" s="80">
        <v>21.481335</v>
      </c>
    </row>
    <row r="187">
      <c r="A187" s="1" t="s">
        <v>61</v>
      </c>
      <c r="B187" s="38">
        <v>663969.0</v>
      </c>
      <c r="C187" s="38">
        <v>573.0</v>
      </c>
      <c r="D187" s="39">
        <f>sumif('PLA Sheet'!C:C,B187,'PLA Sheet'!H:H)</f>
        <v>77.66666667</v>
      </c>
      <c r="E187" s="78">
        <v>5.164731239</v>
      </c>
      <c r="F187" s="78">
        <f>sumif('PLA Sheet'!C:C,B187,'PLA Sheet'!J:J)/D187*9</f>
        <v>2.375810768</v>
      </c>
      <c r="G187" s="79">
        <v>0.469458988</v>
      </c>
      <c r="H187" s="79">
        <v>0.27574171</v>
      </c>
      <c r="I187" s="79">
        <v>0.254799302</v>
      </c>
      <c r="J187" s="79">
        <f t="shared" si="1"/>
        <v>0.214659686</v>
      </c>
      <c r="K187" s="80">
        <v>-8.131891203</v>
      </c>
    </row>
    <row r="188">
      <c r="A188" s="1" t="s">
        <v>183</v>
      </c>
      <c r="B188" s="38">
        <v>670280.0</v>
      </c>
      <c r="C188" s="38">
        <v>851.0</v>
      </c>
      <c r="D188" s="39">
        <f>sumif('PLA Sheet'!C:C,B188,'PLA Sheet'!H:H)</f>
        <v>62.66666667</v>
      </c>
      <c r="E188" s="78">
        <v>5.16437352</v>
      </c>
      <c r="F188" s="78">
        <f>sumif('PLA Sheet'!C:C,B188,'PLA Sheet'!J:J)/D188*9</f>
        <v>2.892622739</v>
      </c>
      <c r="G188" s="79">
        <v>0.512338425</v>
      </c>
      <c r="H188" s="79">
        <v>0.153936545</v>
      </c>
      <c r="I188" s="79">
        <v>0.333725029</v>
      </c>
      <c r="J188" s="79">
        <f t="shared" si="1"/>
        <v>0.178613396</v>
      </c>
      <c r="K188" s="80">
        <v>-9.860820339</v>
      </c>
    </row>
    <row r="189">
      <c r="A189" s="1" t="s">
        <v>1035</v>
      </c>
      <c r="B189" s="38">
        <v>666745.0</v>
      </c>
      <c r="C189" s="38">
        <v>619.0</v>
      </c>
      <c r="D189" s="39">
        <f>sumif('PLA Sheet'!C:C,B189,'PLA Sheet'!H:H)</f>
        <v>0</v>
      </c>
      <c r="E189" s="78">
        <v>5.163686288</v>
      </c>
      <c r="F189" s="78" t="str">
        <f>sumif('PLA Sheet'!C:C,B189,'PLA Sheet'!J:J)/D189*9</f>
        <v>#DIV/0!</v>
      </c>
      <c r="G189" s="79">
        <v>0.491114701</v>
      </c>
      <c r="H189" s="79">
        <v>0.166397415</v>
      </c>
      <c r="I189" s="79">
        <v>0.342487884</v>
      </c>
      <c r="J189" s="79">
        <f t="shared" si="1"/>
        <v>0.148626817</v>
      </c>
      <c r="K189" s="80">
        <v>-10.68947207</v>
      </c>
    </row>
    <row r="190">
      <c r="A190" s="1" t="s">
        <v>834</v>
      </c>
      <c r="B190" s="38">
        <v>519326.0</v>
      </c>
      <c r="C190" s="38">
        <v>987.0</v>
      </c>
      <c r="D190" s="39">
        <f>sumif('PLA Sheet'!C:C,B190,'PLA Sheet'!H:H)</f>
        <v>22</v>
      </c>
      <c r="E190" s="78">
        <v>5.163257381</v>
      </c>
      <c r="F190" s="78">
        <f>sumif('PLA Sheet'!C:C,B190,'PLA Sheet'!J:J)/D190*9</f>
        <v>3.040189364</v>
      </c>
      <c r="G190" s="79">
        <v>0.481256332</v>
      </c>
      <c r="H190" s="79">
        <v>0.176291793</v>
      </c>
      <c r="I190" s="79">
        <v>0.342451874</v>
      </c>
      <c r="J190" s="79">
        <f t="shared" si="1"/>
        <v>0.138804458</v>
      </c>
      <c r="K190" s="80">
        <v>6.296279821</v>
      </c>
    </row>
    <row r="191">
      <c r="A191" s="1" t="s">
        <v>1036</v>
      </c>
      <c r="B191" s="38">
        <v>548389.0</v>
      </c>
      <c r="C191" s="38">
        <v>1291.0</v>
      </c>
      <c r="D191" s="39">
        <f>sumif('PLA Sheet'!C:C,B191,'PLA Sheet'!H:H)</f>
        <v>0</v>
      </c>
      <c r="E191" s="78">
        <v>5.160362964</v>
      </c>
      <c r="F191" s="78" t="str">
        <f>sumif('PLA Sheet'!C:C,B191,'PLA Sheet'!J:J)/D191*9</f>
        <v>#DIV/0!</v>
      </c>
      <c r="G191" s="79">
        <v>0.45468629</v>
      </c>
      <c r="H191" s="79">
        <v>0.208365608</v>
      </c>
      <c r="I191" s="79">
        <v>0.336948102</v>
      </c>
      <c r="J191" s="79">
        <f t="shared" si="1"/>
        <v>0.117738188</v>
      </c>
      <c r="K191" s="80">
        <v>-18.54279144</v>
      </c>
    </row>
    <row r="192">
      <c r="A192" s="1" t="s">
        <v>579</v>
      </c>
      <c r="B192" s="38">
        <v>686730.0</v>
      </c>
      <c r="C192" s="38">
        <v>1300.0</v>
      </c>
      <c r="D192" s="39">
        <f>sumif('PLA Sheet'!C:C,B192,'PLA Sheet'!H:H)</f>
        <v>13.33333333</v>
      </c>
      <c r="E192" s="78">
        <v>5.159911535</v>
      </c>
      <c r="F192" s="78">
        <f>sumif('PLA Sheet'!C:C,B192,'PLA Sheet'!J:J)/D192*9</f>
        <v>4.269125925</v>
      </c>
      <c r="G192" s="79">
        <v>0.503076923</v>
      </c>
      <c r="H192" s="79">
        <v>0.212307692</v>
      </c>
      <c r="I192" s="79">
        <v>0.284615385</v>
      </c>
      <c r="J192" s="79">
        <f t="shared" si="1"/>
        <v>0.218461538</v>
      </c>
      <c r="K192" s="80">
        <v>-7.899898021</v>
      </c>
    </row>
    <row r="193">
      <c r="A193" s="1" t="s">
        <v>261</v>
      </c>
      <c r="B193" s="38">
        <v>664126.0</v>
      </c>
      <c r="C193" s="38">
        <v>690.0</v>
      </c>
      <c r="D193" s="39">
        <f>sumif('PLA Sheet'!C:C,B193,'PLA Sheet'!H:H)</f>
        <v>60.33333333</v>
      </c>
      <c r="E193" s="78">
        <v>5.156419296</v>
      </c>
      <c r="F193" s="78">
        <f>sumif('PLA Sheet'!C:C,B193,'PLA Sheet'!J:J)/D193*9</f>
        <v>3.138042779</v>
      </c>
      <c r="G193" s="79">
        <v>0.489855072</v>
      </c>
      <c r="H193" s="79">
        <v>0.182608696</v>
      </c>
      <c r="I193" s="79">
        <v>0.327536232</v>
      </c>
      <c r="J193" s="79">
        <f t="shared" si="1"/>
        <v>0.16231884</v>
      </c>
      <c r="K193" s="80">
        <v>-0.35324769</v>
      </c>
    </row>
    <row r="194">
      <c r="A194" s="1" t="s">
        <v>83</v>
      </c>
      <c r="B194" s="38">
        <v>571927.0</v>
      </c>
      <c r="C194" s="38">
        <v>550.0</v>
      </c>
      <c r="D194" s="39">
        <f>sumif('PLA Sheet'!C:C,B194,'PLA Sheet'!H:H)</f>
        <v>76.66666667</v>
      </c>
      <c r="E194" s="78">
        <v>5.155733113</v>
      </c>
      <c r="F194" s="78">
        <f>sumif('PLA Sheet'!C:C,B194,'PLA Sheet'!J:J)/D194*9</f>
        <v>2.480159896</v>
      </c>
      <c r="G194" s="79">
        <v>0.487272727</v>
      </c>
      <c r="H194" s="79">
        <v>0.196363636</v>
      </c>
      <c r="I194" s="79">
        <v>0.316363636</v>
      </c>
      <c r="J194" s="79">
        <f t="shared" si="1"/>
        <v>0.170909091</v>
      </c>
      <c r="K194" s="80">
        <v>-6.215508446</v>
      </c>
    </row>
    <row r="195">
      <c r="A195" s="1" t="s">
        <v>38</v>
      </c>
      <c r="B195" s="38">
        <v>595345.0</v>
      </c>
      <c r="C195" s="38">
        <v>610.0</v>
      </c>
      <c r="D195" s="39">
        <f>sumif('PLA Sheet'!C:C,B195,'PLA Sheet'!H:H)</f>
        <v>71.66666667</v>
      </c>
      <c r="E195" s="78">
        <v>5.155623467</v>
      </c>
      <c r="F195" s="78">
        <f>sumif('PLA Sheet'!C:C,B195,'PLA Sheet'!J:J)/D195*9</f>
        <v>2.192144191</v>
      </c>
      <c r="G195" s="79">
        <v>0.491803279</v>
      </c>
      <c r="H195" s="79">
        <v>0.163934426</v>
      </c>
      <c r="I195" s="79">
        <v>0.344262295</v>
      </c>
      <c r="J195" s="79">
        <f t="shared" si="1"/>
        <v>0.147540984</v>
      </c>
      <c r="K195" s="80">
        <v>-5.425817174</v>
      </c>
    </row>
    <row r="196">
      <c r="A196" s="1" t="s">
        <v>362</v>
      </c>
      <c r="B196" s="38">
        <v>573124.0</v>
      </c>
      <c r="C196" s="38">
        <v>926.0</v>
      </c>
      <c r="D196" s="39">
        <f>sumif('PLA Sheet'!C:C,B196,'PLA Sheet'!H:H)</f>
        <v>50.66666667</v>
      </c>
      <c r="E196" s="78">
        <v>5.154329506</v>
      </c>
      <c r="F196" s="78">
        <f>sumif('PLA Sheet'!C:C,B196,'PLA Sheet'!J:J)/D196*9</f>
        <v>3.515188263</v>
      </c>
      <c r="G196" s="79">
        <v>0.516198704</v>
      </c>
      <c r="H196" s="79">
        <v>0.255939525</v>
      </c>
      <c r="I196" s="79">
        <v>0.227861771</v>
      </c>
      <c r="J196" s="79">
        <f t="shared" si="1"/>
        <v>0.288336933</v>
      </c>
      <c r="K196" s="80">
        <v>-0.391851491</v>
      </c>
    </row>
    <row r="197">
      <c r="A197" s="1" t="s">
        <v>1037</v>
      </c>
      <c r="B197" s="38">
        <v>664776.0</v>
      </c>
      <c r="C197" s="38">
        <v>541.0</v>
      </c>
      <c r="D197" s="39">
        <f>sumif('PLA Sheet'!C:C,B197,'PLA Sheet'!H:H)</f>
        <v>0</v>
      </c>
      <c r="E197" s="78">
        <v>5.153876146</v>
      </c>
      <c r="F197" s="78" t="str">
        <f>sumif('PLA Sheet'!C:C,B197,'PLA Sheet'!J:J)/D197*9</f>
        <v>#DIV/0!</v>
      </c>
      <c r="G197" s="79">
        <v>0.524953789</v>
      </c>
      <c r="H197" s="79">
        <v>0.153419593</v>
      </c>
      <c r="I197" s="79">
        <v>0.321626617</v>
      </c>
      <c r="J197" s="79">
        <f t="shared" si="1"/>
        <v>0.203327172</v>
      </c>
      <c r="K197" s="80">
        <v>4.987414383</v>
      </c>
    </row>
    <row r="198">
      <c r="A198" s="1" t="s">
        <v>248</v>
      </c>
      <c r="B198" s="38">
        <v>472610.0</v>
      </c>
      <c r="C198" s="38">
        <v>840.0</v>
      </c>
      <c r="D198" s="39">
        <f>sumif('PLA Sheet'!C:C,B198,'PLA Sheet'!H:H)</f>
        <v>55.33333333</v>
      </c>
      <c r="E198" s="78">
        <v>5.151019436</v>
      </c>
      <c r="F198" s="78">
        <f>sumif('PLA Sheet'!C:C,B198,'PLA Sheet'!J:J)/D198*9</f>
        <v>3.093435868</v>
      </c>
      <c r="G198" s="79">
        <v>0.480952381</v>
      </c>
      <c r="H198" s="79">
        <v>0.210714286</v>
      </c>
      <c r="I198" s="79">
        <v>0.308333333</v>
      </c>
      <c r="J198" s="79">
        <f t="shared" si="1"/>
        <v>0.172619048</v>
      </c>
      <c r="K198" s="80">
        <v>0.249811483</v>
      </c>
    </row>
    <row r="199">
      <c r="A199" s="1" t="s">
        <v>41</v>
      </c>
      <c r="B199" s="38">
        <v>547973.0</v>
      </c>
      <c r="C199" s="38">
        <v>984.0</v>
      </c>
      <c r="D199" s="39">
        <f>sumif('PLA Sheet'!C:C,B199,'PLA Sheet'!H:H)</f>
        <v>61.33333333</v>
      </c>
      <c r="E199" s="78">
        <v>5.149203665</v>
      </c>
      <c r="F199" s="78">
        <f>sumif('PLA Sheet'!C:C,B199,'PLA Sheet'!J:J)/D199*9</f>
        <v>2.202631973</v>
      </c>
      <c r="G199" s="79">
        <v>0.5</v>
      </c>
      <c r="H199" s="79">
        <v>0.149390244</v>
      </c>
      <c r="I199" s="79">
        <v>0.350609756</v>
      </c>
      <c r="J199" s="79">
        <f t="shared" si="1"/>
        <v>0.149390244</v>
      </c>
      <c r="K199" s="80">
        <v>17.20928965</v>
      </c>
    </row>
    <row r="200">
      <c r="A200" s="1" t="s">
        <v>865</v>
      </c>
      <c r="B200" s="38">
        <v>518886.0</v>
      </c>
      <c r="C200" s="38">
        <v>880.0</v>
      </c>
      <c r="D200" s="39">
        <f>sumif('PLA Sheet'!C:C,B200,'PLA Sheet'!H:H)</f>
        <v>12</v>
      </c>
      <c r="E200" s="78">
        <v>5.149009057</v>
      </c>
      <c r="F200" s="78">
        <f>sumif('PLA Sheet'!C:C,B200,'PLA Sheet'!J:J)/D200*9</f>
        <v>3.772896</v>
      </c>
      <c r="G200" s="79">
        <v>0.493181818</v>
      </c>
      <c r="H200" s="79">
        <v>0.175</v>
      </c>
      <c r="I200" s="79">
        <v>0.331818182</v>
      </c>
      <c r="J200" s="79">
        <f t="shared" si="1"/>
        <v>0.161363636</v>
      </c>
      <c r="K200" s="80">
        <v>-0.304409195</v>
      </c>
    </row>
    <row r="201">
      <c r="A201" s="1" t="s">
        <v>417</v>
      </c>
      <c r="B201" s="38">
        <v>608718.0</v>
      </c>
      <c r="C201" s="38">
        <v>880.0</v>
      </c>
      <c r="D201" s="39">
        <f>sumif('PLA Sheet'!C:C,B201,'PLA Sheet'!H:H)</f>
        <v>67.66666666</v>
      </c>
      <c r="E201" s="78">
        <v>5.148332542</v>
      </c>
      <c r="F201" s="78">
        <f>sumif('PLA Sheet'!C:C,B201,'PLA Sheet'!J:J)/D201*9</f>
        <v>3.492874419</v>
      </c>
      <c r="G201" s="79">
        <v>0.467045455</v>
      </c>
      <c r="H201" s="79">
        <v>0.192045455</v>
      </c>
      <c r="I201" s="79">
        <v>0.340909091</v>
      </c>
      <c r="J201" s="79">
        <f t="shared" si="1"/>
        <v>0.126136364</v>
      </c>
      <c r="K201" s="80">
        <v>2.469724915</v>
      </c>
    </row>
    <row r="202">
      <c r="A202" s="1" t="s">
        <v>328</v>
      </c>
      <c r="B202" s="38">
        <v>663765.0</v>
      </c>
      <c r="C202" s="38">
        <v>532.0</v>
      </c>
      <c r="D202" s="39">
        <f>sumif('PLA Sheet'!C:C,B202,'PLA Sheet'!H:H)</f>
        <v>36.33333334</v>
      </c>
      <c r="E202" s="78">
        <v>5.148196526</v>
      </c>
      <c r="F202" s="78">
        <f>sumif('PLA Sheet'!C:C,B202,'PLA Sheet'!J:J)/D202*9</f>
        <v>3.396327027</v>
      </c>
      <c r="G202" s="79">
        <v>0.507518797</v>
      </c>
      <c r="H202" s="79">
        <v>0.223684211</v>
      </c>
      <c r="I202" s="79">
        <v>0.268796992</v>
      </c>
      <c r="J202" s="79">
        <f t="shared" si="1"/>
        <v>0.238721805</v>
      </c>
      <c r="K202" s="80">
        <v>-9.021272212</v>
      </c>
    </row>
    <row r="203">
      <c r="A203" s="1" t="s">
        <v>614</v>
      </c>
      <c r="B203" s="38">
        <v>663362.0</v>
      </c>
      <c r="C203" s="38">
        <v>2328.0</v>
      </c>
      <c r="D203" s="39">
        <f>sumif('PLA Sheet'!C:C,B203,'PLA Sheet'!H:H)</f>
        <v>4.666666667</v>
      </c>
      <c r="E203" s="78">
        <v>5.147709086</v>
      </c>
      <c r="F203" s="78">
        <f>sumif('PLA Sheet'!C:C,B203,'PLA Sheet'!J:J)/D203*9</f>
        <v>5.239184142</v>
      </c>
      <c r="G203" s="79">
        <v>0.499570447</v>
      </c>
      <c r="H203" s="79">
        <v>0.207474227</v>
      </c>
      <c r="I203" s="79">
        <v>0.292955326</v>
      </c>
      <c r="J203" s="79">
        <f t="shared" si="1"/>
        <v>0.206615121</v>
      </c>
      <c r="K203" s="80">
        <v>2.172313737</v>
      </c>
    </row>
    <row r="204">
      <c r="A204" s="1" t="s">
        <v>490</v>
      </c>
      <c r="B204" s="38">
        <v>680573.0</v>
      </c>
      <c r="C204" s="38">
        <v>2035.0</v>
      </c>
      <c r="D204" s="39">
        <f>sumif('PLA Sheet'!C:C,B204,'PLA Sheet'!H:H)</f>
        <v>111.3333333</v>
      </c>
      <c r="E204" s="78">
        <v>5.147248888</v>
      </c>
      <c r="F204" s="78">
        <f>sumif('PLA Sheet'!C:C,B204,'PLA Sheet'!J:J)/D204*9</f>
        <v>3.898490389</v>
      </c>
      <c r="G204" s="79">
        <v>0.475184275</v>
      </c>
      <c r="H204" s="79">
        <v>0.174447174</v>
      </c>
      <c r="I204" s="79">
        <v>0.35036855</v>
      </c>
      <c r="J204" s="79">
        <f t="shared" si="1"/>
        <v>0.124815725</v>
      </c>
      <c r="K204" s="80">
        <v>13.38103318</v>
      </c>
    </row>
    <row r="205">
      <c r="A205" s="1" t="s">
        <v>268</v>
      </c>
      <c r="B205" s="38">
        <v>676395.0</v>
      </c>
      <c r="C205" s="38">
        <v>828.0</v>
      </c>
      <c r="D205" s="39">
        <f>sumif('PLA Sheet'!C:C,B205,'PLA Sheet'!H:H)</f>
        <v>64.00000001</v>
      </c>
      <c r="E205" s="78">
        <v>5.146194472</v>
      </c>
      <c r="F205" s="78">
        <f>sumif('PLA Sheet'!C:C,B205,'PLA Sheet'!J:J)/D205*9</f>
        <v>3.165931547</v>
      </c>
      <c r="G205" s="79">
        <v>0.491545894</v>
      </c>
      <c r="H205" s="79">
        <v>0.185990338</v>
      </c>
      <c r="I205" s="79">
        <v>0.322463768</v>
      </c>
      <c r="J205" s="79">
        <f t="shared" si="1"/>
        <v>0.169082126</v>
      </c>
      <c r="K205" s="80">
        <v>2.696981745</v>
      </c>
    </row>
    <row r="206">
      <c r="A206" s="1" t="s">
        <v>131</v>
      </c>
      <c r="B206" s="38">
        <v>676684.0</v>
      </c>
      <c r="C206" s="38">
        <v>1020.0</v>
      </c>
      <c r="D206" s="39">
        <f>sumif('PLA Sheet'!C:C,B206,'PLA Sheet'!H:H)</f>
        <v>68.66666667</v>
      </c>
      <c r="E206" s="78">
        <v>5.145937337</v>
      </c>
      <c r="F206" s="78">
        <f>sumif('PLA Sheet'!C:C,B206,'PLA Sheet'!J:J)/D206*9</f>
        <v>2.735326879</v>
      </c>
      <c r="G206" s="79">
        <v>0.467647059</v>
      </c>
      <c r="H206" s="79">
        <v>0.197058824</v>
      </c>
      <c r="I206" s="79">
        <v>0.335294118</v>
      </c>
      <c r="J206" s="79">
        <f t="shared" si="1"/>
        <v>0.132352941</v>
      </c>
      <c r="K206" s="80">
        <v>2.577477387</v>
      </c>
    </row>
    <row r="207">
      <c r="A207" s="1" t="s">
        <v>144</v>
      </c>
      <c r="B207" s="38">
        <v>670167.0</v>
      </c>
      <c r="C207" s="38">
        <v>727.0</v>
      </c>
      <c r="D207" s="39">
        <f>sumif('PLA Sheet'!C:C,B207,'PLA Sheet'!H:H)</f>
        <v>64</v>
      </c>
      <c r="E207" s="78">
        <v>5.145384869</v>
      </c>
      <c r="F207" s="78">
        <f>sumif('PLA Sheet'!C:C,B207,'PLA Sheet'!J:J)/D207*9</f>
        <v>2.798141063</v>
      </c>
      <c r="G207" s="79">
        <v>0.508940853</v>
      </c>
      <c r="H207" s="79">
        <v>0.217331499</v>
      </c>
      <c r="I207" s="79">
        <v>0.273727648</v>
      </c>
      <c r="J207" s="79">
        <f t="shared" si="1"/>
        <v>0.235213205</v>
      </c>
      <c r="K207" s="80">
        <v>-2.969494222</v>
      </c>
    </row>
    <row r="208">
      <c r="A208" s="1" t="s">
        <v>351</v>
      </c>
      <c r="B208" s="38">
        <v>689017.0</v>
      </c>
      <c r="C208" s="38">
        <v>766.0</v>
      </c>
      <c r="D208" s="39">
        <f>sumif('PLA Sheet'!C:C,B208,'PLA Sheet'!H:H)</f>
        <v>42.33333334</v>
      </c>
      <c r="E208" s="78">
        <v>5.144526236</v>
      </c>
      <c r="F208" s="78">
        <f>sumif('PLA Sheet'!C:C,B208,'PLA Sheet'!J:J)/D208*9</f>
        <v>3.465009071</v>
      </c>
      <c r="G208" s="79">
        <v>0.473890339</v>
      </c>
      <c r="H208" s="79">
        <v>0.154046997</v>
      </c>
      <c r="I208" s="79">
        <v>0.372062663</v>
      </c>
      <c r="J208" s="79">
        <f t="shared" si="1"/>
        <v>0.101827676</v>
      </c>
      <c r="K208" s="80">
        <v>2.582136597</v>
      </c>
    </row>
    <row r="209">
      <c r="A209" s="1" t="s">
        <v>634</v>
      </c>
      <c r="B209" s="38">
        <v>606303.0</v>
      </c>
      <c r="C209" s="38">
        <v>803.0</v>
      </c>
      <c r="D209" s="39">
        <f>sumif('PLA Sheet'!C:C,B209,'PLA Sheet'!H:H)</f>
        <v>26.33333333</v>
      </c>
      <c r="E209" s="78">
        <v>5.144511799</v>
      </c>
      <c r="F209" s="78">
        <f>sumif('PLA Sheet'!C:C,B209,'PLA Sheet'!J:J)/D209*9</f>
        <v>3.09240638</v>
      </c>
      <c r="G209" s="79">
        <v>0.468244085</v>
      </c>
      <c r="H209" s="79">
        <v>0.211706102</v>
      </c>
      <c r="I209" s="79">
        <v>0.320049813</v>
      </c>
      <c r="J209" s="79">
        <f t="shared" si="1"/>
        <v>0.148194272</v>
      </c>
      <c r="K209" s="80">
        <v>10.54771436</v>
      </c>
    </row>
    <row r="210">
      <c r="A210" s="1" t="s">
        <v>642</v>
      </c>
      <c r="B210" s="38">
        <v>608371.0</v>
      </c>
      <c r="C210" s="38">
        <v>805.0</v>
      </c>
      <c r="D210" s="39">
        <f>sumif('PLA Sheet'!C:C,B210,'PLA Sheet'!H:H)</f>
        <v>12.33333333</v>
      </c>
      <c r="E210" s="78">
        <v>5.142522961</v>
      </c>
      <c r="F210" s="78">
        <f>sumif('PLA Sheet'!C:C,B210,'PLA Sheet'!J:J)/D210*9</f>
        <v>5.946620838</v>
      </c>
      <c r="G210" s="79">
        <v>0.491925466</v>
      </c>
      <c r="H210" s="79">
        <v>0.170186335</v>
      </c>
      <c r="I210" s="79">
        <v>0.337888199</v>
      </c>
      <c r="J210" s="79">
        <f t="shared" si="1"/>
        <v>0.154037267</v>
      </c>
      <c r="K210" s="80">
        <v>-2.942787648</v>
      </c>
    </row>
    <row r="211">
      <c r="A211" s="1" t="s">
        <v>316</v>
      </c>
      <c r="B211" s="38">
        <v>656427.0</v>
      </c>
      <c r="C211" s="38">
        <v>2182.0</v>
      </c>
      <c r="D211" s="39">
        <f>sumif('PLA Sheet'!C:C,B211,'PLA Sheet'!H:H)</f>
        <v>161</v>
      </c>
      <c r="E211" s="78">
        <v>5.139916399</v>
      </c>
      <c r="F211" s="78">
        <f>sumif('PLA Sheet'!C:C,B211,'PLA Sheet'!J:J)/D211*9</f>
        <v>3.37113995</v>
      </c>
      <c r="G211" s="79">
        <v>0.465627864</v>
      </c>
      <c r="H211" s="79">
        <v>0.190192484</v>
      </c>
      <c r="I211" s="79">
        <v>0.344179652</v>
      </c>
      <c r="J211" s="79">
        <f t="shared" si="1"/>
        <v>0.121448212</v>
      </c>
      <c r="K211" s="80">
        <v>-3.220568152</v>
      </c>
    </row>
    <row r="212">
      <c r="A212" s="1" t="s">
        <v>210</v>
      </c>
      <c r="B212" s="38">
        <v>650556.0</v>
      </c>
      <c r="C212" s="38">
        <v>1163.0</v>
      </c>
      <c r="D212" s="39">
        <f>sumif('PLA Sheet'!C:C,B212,'PLA Sheet'!H:H)</f>
        <v>71</v>
      </c>
      <c r="E212" s="78">
        <v>5.139706087</v>
      </c>
      <c r="F212" s="78">
        <f>sumif('PLA Sheet'!C:C,B212,'PLA Sheet'!J:J)/D212*9</f>
        <v>2.959824549</v>
      </c>
      <c r="G212" s="79">
        <v>0.503869304</v>
      </c>
      <c r="H212" s="79">
        <v>0.143594153</v>
      </c>
      <c r="I212" s="79">
        <v>0.352536543</v>
      </c>
      <c r="J212" s="79">
        <f t="shared" si="1"/>
        <v>0.151332761</v>
      </c>
      <c r="K212" s="80">
        <v>-1.289175575</v>
      </c>
    </row>
    <row r="213">
      <c r="A213" s="1" t="s">
        <v>116</v>
      </c>
      <c r="B213" s="38">
        <v>621051.0</v>
      </c>
      <c r="C213" s="38">
        <v>621.0</v>
      </c>
      <c r="D213" s="39">
        <f>sumif('PLA Sheet'!C:C,B213,'PLA Sheet'!H:H)</f>
        <v>55.33333333</v>
      </c>
      <c r="E213" s="78">
        <v>5.137659973</v>
      </c>
      <c r="F213" s="78">
        <f>sumif('PLA Sheet'!C:C,B213,'PLA Sheet'!J:J)/D213*9</f>
        <v>2.666451362</v>
      </c>
      <c r="G213" s="79">
        <v>0.565217391</v>
      </c>
      <c r="H213" s="79">
        <v>0.225442834</v>
      </c>
      <c r="I213" s="79">
        <v>0.209339775</v>
      </c>
      <c r="J213" s="79">
        <f t="shared" si="1"/>
        <v>0.355877616</v>
      </c>
      <c r="K213" s="80">
        <v>0.447678787</v>
      </c>
    </row>
    <row r="214">
      <c r="A214" s="1" t="s">
        <v>113</v>
      </c>
      <c r="B214" s="38">
        <v>664285.0</v>
      </c>
      <c r="C214" s="38">
        <v>2201.0</v>
      </c>
      <c r="D214" s="39">
        <f>sumif('PLA Sheet'!C:C,B214,'PLA Sheet'!H:H)</f>
        <v>192</v>
      </c>
      <c r="E214" s="78">
        <v>5.13729749</v>
      </c>
      <c r="F214" s="78">
        <f>sumif('PLA Sheet'!C:C,B214,'PLA Sheet'!J:J)/D214*9</f>
        <v>2.660072812</v>
      </c>
      <c r="G214" s="79">
        <v>0.484779646</v>
      </c>
      <c r="H214" s="79">
        <v>0.169014085</v>
      </c>
      <c r="I214" s="79">
        <v>0.34620627</v>
      </c>
      <c r="J214" s="79">
        <f t="shared" si="1"/>
        <v>0.138573376</v>
      </c>
      <c r="K214" s="80">
        <v>10.80188968</v>
      </c>
    </row>
    <row r="215">
      <c r="A215" s="1" t="s">
        <v>237</v>
      </c>
      <c r="B215" s="38">
        <v>663485.0</v>
      </c>
      <c r="C215" s="38">
        <v>951.0</v>
      </c>
      <c r="D215" s="39">
        <f>sumif('PLA Sheet'!C:C,B215,'PLA Sheet'!H:H)</f>
        <v>72</v>
      </c>
      <c r="E215" s="78">
        <v>5.13612869</v>
      </c>
      <c r="F215" s="78">
        <f>sumif('PLA Sheet'!C:C,B215,'PLA Sheet'!J:J)/D215*9</f>
        <v>3.055883125</v>
      </c>
      <c r="G215" s="79">
        <v>0.460567823</v>
      </c>
      <c r="H215" s="79">
        <v>0.185068349</v>
      </c>
      <c r="I215" s="79">
        <v>0.354363828</v>
      </c>
      <c r="J215" s="79">
        <f t="shared" si="1"/>
        <v>0.106203995</v>
      </c>
      <c r="K215" s="80">
        <v>10.67659689</v>
      </c>
    </row>
    <row r="216">
      <c r="A216" s="1" t="s">
        <v>339</v>
      </c>
      <c r="B216" s="38">
        <v>686613.0</v>
      </c>
      <c r="C216" s="38">
        <v>2484.0</v>
      </c>
      <c r="D216" s="39">
        <f>sumif('PLA Sheet'!C:C,B216,'PLA Sheet'!H:H)</f>
        <v>185.3333333</v>
      </c>
      <c r="E216" s="78">
        <v>5.135909569</v>
      </c>
      <c r="F216" s="78">
        <f>sumif('PLA Sheet'!C:C,B216,'PLA Sheet'!J:J)/D216*9</f>
        <v>3.425189067</v>
      </c>
      <c r="G216" s="79">
        <v>0.479871176</v>
      </c>
      <c r="H216" s="79">
        <v>0.165458937</v>
      </c>
      <c r="I216" s="79">
        <v>0.354669887</v>
      </c>
      <c r="J216" s="79">
        <f t="shared" si="1"/>
        <v>0.125201289</v>
      </c>
      <c r="K216" s="80">
        <v>12.32139948</v>
      </c>
    </row>
    <row r="217">
      <c r="A217" s="1" t="s">
        <v>832</v>
      </c>
      <c r="B217" s="38">
        <v>664747.0</v>
      </c>
      <c r="C217" s="38">
        <v>841.0</v>
      </c>
      <c r="D217" s="39">
        <f>sumif('PLA Sheet'!C:C,B217,'PLA Sheet'!H:H)</f>
        <v>17.66666667</v>
      </c>
      <c r="E217" s="78">
        <v>5.135636015</v>
      </c>
      <c r="F217" s="78">
        <f>sumif('PLA Sheet'!C:C,B217,'PLA Sheet'!J:J)/D217*9</f>
        <v>4.86238517</v>
      </c>
      <c r="G217" s="79">
        <v>0.494649227</v>
      </c>
      <c r="H217" s="79">
        <v>0.162901308</v>
      </c>
      <c r="I217" s="79">
        <v>0.342449465</v>
      </c>
      <c r="J217" s="79">
        <f t="shared" si="1"/>
        <v>0.152199762</v>
      </c>
      <c r="K217" s="80">
        <v>-0.857743286</v>
      </c>
    </row>
    <row r="218">
      <c r="A218" s="1" t="s">
        <v>245</v>
      </c>
      <c r="B218" s="38">
        <v>571578.0</v>
      </c>
      <c r="C218" s="38">
        <v>2518.0</v>
      </c>
      <c r="D218" s="39">
        <f>sumif('PLA Sheet'!C:C,B218,'PLA Sheet'!H:H)</f>
        <v>155.3333333</v>
      </c>
      <c r="E218" s="78">
        <v>5.135244299</v>
      </c>
      <c r="F218" s="78">
        <f>sumif('PLA Sheet'!C:C,B218,'PLA Sheet'!J:J)/D218*9</f>
        <v>3.085113979</v>
      </c>
      <c r="G218" s="79">
        <v>0.457505957</v>
      </c>
      <c r="H218" s="79">
        <v>0.197378872</v>
      </c>
      <c r="I218" s="79">
        <v>0.345115171</v>
      </c>
      <c r="J218" s="79">
        <f t="shared" si="1"/>
        <v>0.112390786</v>
      </c>
      <c r="K218" s="80">
        <v>-31.34091128</v>
      </c>
    </row>
    <row r="219">
      <c r="A219" s="1" t="s">
        <v>140</v>
      </c>
      <c r="B219" s="38">
        <v>672582.0</v>
      </c>
      <c r="C219" s="38">
        <v>835.0</v>
      </c>
      <c r="D219" s="39">
        <f>sumif('PLA Sheet'!C:C,B219,'PLA Sheet'!H:H)</f>
        <v>64.66666668</v>
      </c>
      <c r="E219" s="78">
        <v>5.135243517</v>
      </c>
      <c r="F219" s="78">
        <f>sumif('PLA Sheet'!C:C,B219,'PLA Sheet'!J:J)/D219*9</f>
        <v>2.775596242</v>
      </c>
      <c r="G219" s="79">
        <v>0.492215569</v>
      </c>
      <c r="H219" s="79">
        <v>0.182035928</v>
      </c>
      <c r="I219" s="79">
        <v>0.325748503</v>
      </c>
      <c r="J219" s="79">
        <f t="shared" si="1"/>
        <v>0.166467066</v>
      </c>
      <c r="K219" s="80">
        <v>-0.184383709</v>
      </c>
    </row>
    <row r="220">
      <c r="A220" s="1" t="s">
        <v>192</v>
      </c>
      <c r="B220" s="38">
        <v>642232.0</v>
      </c>
      <c r="C220" s="38">
        <v>1290.0</v>
      </c>
      <c r="D220" s="39">
        <f>sumif('PLA Sheet'!C:C,B220,'PLA Sheet'!H:H)</f>
        <v>64</v>
      </c>
      <c r="E220" s="78">
        <v>5.133493098</v>
      </c>
      <c r="F220" s="78">
        <f>sumif('PLA Sheet'!C:C,B220,'PLA Sheet'!J:J)/D220*9</f>
        <v>2.904443437</v>
      </c>
      <c r="G220" s="79">
        <v>0.484496124</v>
      </c>
      <c r="H220" s="79">
        <v>0.173643411</v>
      </c>
      <c r="I220" s="79">
        <v>0.341860465</v>
      </c>
      <c r="J220" s="79">
        <f t="shared" si="1"/>
        <v>0.142635659</v>
      </c>
      <c r="K220" s="80">
        <v>21.78375397</v>
      </c>
    </row>
    <row r="221">
      <c r="A221" s="1" t="s">
        <v>882</v>
      </c>
      <c r="B221" s="38">
        <v>647315.0</v>
      </c>
      <c r="C221" s="38">
        <v>651.0</v>
      </c>
      <c r="D221" s="39">
        <f>sumif('PLA Sheet'!C:C,B221,'PLA Sheet'!H:H)</f>
        <v>6.666666668</v>
      </c>
      <c r="E221" s="78">
        <v>5.133352579</v>
      </c>
      <c r="F221" s="78">
        <f>sumif('PLA Sheet'!C:C,B221,'PLA Sheet'!J:J)/D221*9</f>
        <v>3.174523649</v>
      </c>
      <c r="G221" s="79">
        <v>0.47311828</v>
      </c>
      <c r="H221" s="79">
        <v>0.205837174</v>
      </c>
      <c r="I221" s="79">
        <v>0.321044547</v>
      </c>
      <c r="J221" s="79">
        <f t="shared" si="1"/>
        <v>0.152073733</v>
      </c>
      <c r="K221" s="80">
        <v>-0.531152243</v>
      </c>
    </row>
    <row r="222">
      <c r="A222" s="1" t="s">
        <v>428</v>
      </c>
      <c r="B222" s="38">
        <v>670102.0</v>
      </c>
      <c r="C222" s="38">
        <v>1257.0</v>
      </c>
      <c r="D222" s="39">
        <f>sumif('PLA Sheet'!C:C,B222,'PLA Sheet'!H:H)</f>
        <v>64</v>
      </c>
      <c r="E222" s="78">
        <v>5.132048814</v>
      </c>
      <c r="F222" s="78">
        <f>sumif('PLA Sheet'!C:C,B222,'PLA Sheet'!J:J)/D222*9</f>
        <v>3.809880844</v>
      </c>
      <c r="G222" s="79">
        <v>0.480509149</v>
      </c>
      <c r="H222" s="79">
        <v>0.178997613</v>
      </c>
      <c r="I222" s="79">
        <v>0.340493238</v>
      </c>
      <c r="J222" s="79">
        <f t="shared" si="1"/>
        <v>0.140015911</v>
      </c>
      <c r="K222" s="80">
        <v>7.743678515</v>
      </c>
    </row>
    <row r="223">
      <c r="A223" s="1" t="s">
        <v>1038</v>
      </c>
      <c r="B223" s="38">
        <v>694813.0</v>
      </c>
      <c r="C223" s="38">
        <v>2139.0</v>
      </c>
      <c r="D223" s="39">
        <f>sumif('PLA Sheet'!C:C,B223,'PLA Sheet'!H:H)</f>
        <v>0</v>
      </c>
      <c r="E223" s="78">
        <v>5.13192949</v>
      </c>
      <c r="F223" s="78" t="str">
        <f>sumif('PLA Sheet'!C:C,B223,'PLA Sheet'!J:J)/D223*9</f>
        <v>#DIV/0!</v>
      </c>
      <c r="G223" s="79">
        <v>0.460963067</v>
      </c>
      <c r="H223" s="79">
        <v>0.204301075</v>
      </c>
      <c r="I223" s="79">
        <v>0.334735858</v>
      </c>
      <c r="J223" s="79">
        <f t="shared" si="1"/>
        <v>0.126227209</v>
      </c>
      <c r="K223" s="80">
        <v>-0.592713164</v>
      </c>
    </row>
    <row r="224">
      <c r="A224" s="1" t="s">
        <v>300</v>
      </c>
      <c r="B224" s="38">
        <v>506433.0</v>
      </c>
      <c r="C224" s="38">
        <v>944.0</v>
      </c>
      <c r="D224" s="39">
        <f>sumif('PLA Sheet'!C:C,B224,'PLA Sheet'!H:H)</f>
        <v>72</v>
      </c>
      <c r="E224" s="78">
        <v>5.131282397</v>
      </c>
      <c r="F224" s="78">
        <f>sumif('PLA Sheet'!C:C,B224,'PLA Sheet'!J:J)/D224*9</f>
        <v>3.293323125</v>
      </c>
      <c r="G224" s="79">
        <v>0.477754237</v>
      </c>
      <c r="H224" s="79">
        <v>0.211864407</v>
      </c>
      <c r="I224" s="79">
        <v>0.310381356</v>
      </c>
      <c r="J224" s="79">
        <f t="shared" si="1"/>
        <v>0.167372881</v>
      </c>
      <c r="K224" s="80">
        <v>11.58493734</v>
      </c>
    </row>
    <row r="225">
      <c r="A225" s="1" t="s">
        <v>1039</v>
      </c>
      <c r="B225" s="38">
        <v>681035.0</v>
      </c>
      <c r="C225" s="38">
        <v>782.0</v>
      </c>
      <c r="D225" s="39">
        <f>sumif('PLA Sheet'!C:C,B225,'PLA Sheet'!H:H)</f>
        <v>0</v>
      </c>
      <c r="E225" s="78">
        <v>5.129773553</v>
      </c>
      <c r="F225" s="78" t="str">
        <f>sumif('PLA Sheet'!C:C,B225,'PLA Sheet'!J:J)/D225*9</f>
        <v>#DIV/0!</v>
      </c>
      <c r="G225" s="79">
        <v>0.498721228</v>
      </c>
      <c r="H225" s="79">
        <v>0.191815857</v>
      </c>
      <c r="I225" s="79">
        <v>0.309462916</v>
      </c>
      <c r="J225" s="79">
        <f t="shared" si="1"/>
        <v>0.189258312</v>
      </c>
      <c r="K225" s="80">
        <v>-7.114397066</v>
      </c>
    </row>
    <row r="226">
      <c r="A226" s="1" t="s">
        <v>218</v>
      </c>
      <c r="B226" s="38">
        <v>669432.0</v>
      </c>
      <c r="C226" s="38">
        <v>2207.0</v>
      </c>
      <c r="D226" s="39">
        <f>sumif('PLA Sheet'!C:C,B226,'PLA Sheet'!H:H)</f>
        <v>109.6666667</v>
      </c>
      <c r="E226" s="78">
        <v>5.129573198</v>
      </c>
      <c r="F226" s="78">
        <f>sumif('PLA Sheet'!C:C,B226,'PLA Sheet'!J:J)/D226*9</f>
        <v>2.977406535</v>
      </c>
      <c r="G226" s="79">
        <v>0.479836883</v>
      </c>
      <c r="H226" s="79">
        <v>0.178522882</v>
      </c>
      <c r="I226" s="79">
        <v>0.341640236</v>
      </c>
      <c r="J226" s="79">
        <f t="shared" si="1"/>
        <v>0.138196647</v>
      </c>
      <c r="K226" s="80">
        <v>-5.48500525</v>
      </c>
    </row>
    <row r="227">
      <c r="A227" s="1" t="s">
        <v>335</v>
      </c>
      <c r="B227" s="38">
        <v>663436.0</v>
      </c>
      <c r="C227" s="38">
        <v>559.0</v>
      </c>
      <c r="D227" s="39">
        <f>sumif('PLA Sheet'!C:C,B227,'PLA Sheet'!H:H)</f>
        <v>142.6666667</v>
      </c>
      <c r="E227" s="78">
        <v>5.129348664</v>
      </c>
      <c r="F227" s="78">
        <f>sumif('PLA Sheet'!C:C,B227,'PLA Sheet'!J:J)/D227*9</f>
        <v>3.410641451</v>
      </c>
      <c r="G227" s="79">
        <v>0.465116279</v>
      </c>
      <c r="H227" s="79">
        <v>0.182468694</v>
      </c>
      <c r="I227" s="79">
        <v>0.352415027</v>
      </c>
      <c r="J227" s="79">
        <f t="shared" si="1"/>
        <v>0.112701252</v>
      </c>
      <c r="K227" s="80">
        <v>1.149105665</v>
      </c>
    </row>
    <row r="228">
      <c r="A228" s="1" t="s">
        <v>137</v>
      </c>
      <c r="B228" s="38">
        <v>453286.0</v>
      </c>
      <c r="C228" s="38">
        <v>594.0</v>
      </c>
      <c r="D228" s="39">
        <f>sumif('PLA Sheet'!C:C,B228,'PLA Sheet'!H:H)</f>
        <v>85</v>
      </c>
      <c r="E228" s="78">
        <v>5.129280121</v>
      </c>
      <c r="F228" s="78">
        <f>sumif('PLA Sheet'!C:C,B228,'PLA Sheet'!J:J)/D228*9</f>
        <v>2.759406882</v>
      </c>
      <c r="G228" s="79">
        <v>0.488215488</v>
      </c>
      <c r="H228" s="79">
        <v>0.198653199</v>
      </c>
      <c r="I228" s="79">
        <v>0.313131313</v>
      </c>
      <c r="J228" s="79">
        <f t="shared" si="1"/>
        <v>0.175084175</v>
      </c>
      <c r="K228" s="80">
        <v>-3.606194702</v>
      </c>
    </row>
    <row r="229">
      <c r="A229" s="1" t="s">
        <v>189</v>
      </c>
      <c r="B229" s="38">
        <v>607536.0</v>
      </c>
      <c r="C229" s="38">
        <v>1405.0</v>
      </c>
      <c r="D229" s="39">
        <f>sumif('PLA Sheet'!C:C,B229,'PLA Sheet'!H:H)</f>
        <v>162.6666667</v>
      </c>
      <c r="E229" s="78">
        <v>5.129220967</v>
      </c>
      <c r="F229" s="78">
        <f>sumif('PLA Sheet'!C:C,B229,'PLA Sheet'!J:J)/D229*9</f>
        <v>2.900128315</v>
      </c>
      <c r="G229" s="79">
        <v>0.461209964</v>
      </c>
      <c r="H229" s="79">
        <v>0.216370107</v>
      </c>
      <c r="I229" s="79">
        <v>0.322419929</v>
      </c>
      <c r="J229" s="79">
        <f t="shared" si="1"/>
        <v>0.138790035</v>
      </c>
      <c r="K229" s="80">
        <v>-16.73957933</v>
      </c>
    </row>
    <row r="230">
      <c r="A230" s="1" t="s">
        <v>1040</v>
      </c>
      <c r="B230" s="38">
        <v>666129.0</v>
      </c>
      <c r="C230" s="38">
        <v>580.0</v>
      </c>
      <c r="D230" s="39">
        <f>sumif('PLA Sheet'!C:C,B230,'PLA Sheet'!H:H)</f>
        <v>0</v>
      </c>
      <c r="E230" s="78">
        <v>5.129197036</v>
      </c>
      <c r="F230" s="78" t="str">
        <f>sumif('PLA Sheet'!C:C,B230,'PLA Sheet'!J:J)/D230*9</f>
        <v>#DIV/0!</v>
      </c>
      <c r="G230" s="79">
        <v>0.453448276</v>
      </c>
      <c r="H230" s="79">
        <v>0.203448276</v>
      </c>
      <c r="I230" s="79">
        <v>0.343103448</v>
      </c>
      <c r="J230" s="79">
        <f t="shared" si="1"/>
        <v>0.110344828</v>
      </c>
      <c r="K230" s="80">
        <v>-3.358088667</v>
      </c>
    </row>
    <row r="231">
      <c r="A231" s="1" t="s">
        <v>111</v>
      </c>
      <c r="B231" s="38">
        <v>656641.0</v>
      </c>
      <c r="C231" s="38">
        <v>803.0</v>
      </c>
      <c r="D231" s="39">
        <f>sumif('PLA Sheet'!C:C,B231,'PLA Sheet'!H:H)</f>
        <v>85.66666667</v>
      </c>
      <c r="E231" s="78">
        <v>5.128439915</v>
      </c>
      <c r="F231" s="78">
        <f>sumif('PLA Sheet'!C:C,B231,'PLA Sheet'!J:J)/D231*9</f>
        <v>2.64995051</v>
      </c>
      <c r="G231" s="79">
        <v>0.505603985</v>
      </c>
      <c r="H231" s="79">
        <v>0.130759651</v>
      </c>
      <c r="I231" s="79">
        <v>0.363636364</v>
      </c>
      <c r="J231" s="79">
        <f t="shared" si="1"/>
        <v>0.141967621</v>
      </c>
      <c r="K231" s="80">
        <v>-2.5061982</v>
      </c>
    </row>
    <row r="232">
      <c r="A232" s="1" t="s">
        <v>220</v>
      </c>
      <c r="B232" s="38">
        <v>663559.0</v>
      </c>
      <c r="C232" s="38">
        <v>1699.0</v>
      </c>
      <c r="D232" s="39">
        <f>sumif('PLA Sheet'!C:C,B232,'PLA Sheet'!H:H)</f>
        <v>125.3333333</v>
      </c>
      <c r="E232" s="78">
        <v>5.128407622</v>
      </c>
      <c r="F232" s="78">
        <f>sumif('PLA Sheet'!C:C,B232,'PLA Sheet'!J:J)/D232*9</f>
        <v>3.005010957</v>
      </c>
      <c r="G232" s="79">
        <v>0.482636845</v>
      </c>
      <c r="H232" s="79">
        <v>0.191877575</v>
      </c>
      <c r="I232" s="79">
        <v>0.32548558</v>
      </c>
      <c r="J232" s="79">
        <f t="shared" si="1"/>
        <v>0.157151265</v>
      </c>
      <c r="K232" s="80">
        <v>-18.0291216</v>
      </c>
    </row>
    <row r="233">
      <c r="A233" s="1" t="s">
        <v>715</v>
      </c>
      <c r="B233" s="38">
        <v>628317.0</v>
      </c>
      <c r="C233" s="38">
        <v>1748.0</v>
      </c>
      <c r="D233" s="39">
        <f>sumif('PLA Sheet'!C:C,B233,'PLA Sheet'!H:H)</f>
        <v>8</v>
      </c>
      <c r="E233" s="78">
        <v>5.128222789</v>
      </c>
      <c r="F233" s="78">
        <f>sumif('PLA Sheet'!C:C,B233,'PLA Sheet'!J:J)/D233*9</f>
        <v>5.68987425</v>
      </c>
      <c r="G233" s="79">
        <v>0.465102975</v>
      </c>
      <c r="H233" s="79">
        <v>0.197940503</v>
      </c>
      <c r="I233" s="79">
        <v>0.336956522</v>
      </c>
      <c r="J233" s="79">
        <f t="shared" si="1"/>
        <v>0.128146453</v>
      </c>
      <c r="K233" s="80">
        <v>-13.03356282</v>
      </c>
    </row>
    <row r="234">
      <c r="A234" s="1" t="s">
        <v>287</v>
      </c>
      <c r="B234" s="38">
        <v>571945.0</v>
      </c>
      <c r="C234" s="38">
        <v>2383.0</v>
      </c>
      <c r="D234" s="39">
        <f>sumif('PLA Sheet'!C:C,B234,'PLA Sheet'!H:H)</f>
        <v>156.3333333</v>
      </c>
      <c r="E234" s="78">
        <v>5.128111077</v>
      </c>
      <c r="F234" s="78">
        <f>sumif('PLA Sheet'!C:C,B234,'PLA Sheet'!J:J)/D234*9</f>
        <v>3.251103218</v>
      </c>
      <c r="G234" s="79">
        <v>0.456147713</v>
      </c>
      <c r="H234" s="79">
        <v>0.222408728</v>
      </c>
      <c r="I234" s="79">
        <v>0.321443559</v>
      </c>
      <c r="J234" s="79">
        <f t="shared" si="1"/>
        <v>0.134704154</v>
      </c>
      <c r="K234" s="80">
        <v>-0.525933538</v>
      </c>
    </row>
    <row r="235">
      <c r="A235" s="1" t="s">
        <v>365</v>
      </c>
      <c r="B235" s="38">
        <v>680767.0</v>
      </c>
      <c r="C235" s="38">
        <v>1171.0</v>
      </c>
      <c r="D235" s="39">
        <f>sumif('PLA Sheet'!C:C,B235,'PLA Sheet'!H:H)</f>
        <v>50.66666666</v>
      </c>
      <c r="E235" s="78">
        <v>5.127900391</v>
      </c>
      <c r="F235" s="78">
        <f>sumif('PLA Sheet'!C:C,B235,'PLA Sheet'!J:J)/D235*9</f>
        <v>3.530898355</v>
      </c>
      <c r="G235" s="79">
        <v>0.498719044</v>
      </c>
      <c r="H235" s="79">
        <v>0.155422716</v>
      </c>
      <c r="I235" s="79">
        <v>0.345858241</v>
      </c>
      <c r="J235" s="79">
        <f t="shared" si="1"/>
        <v>0.152860803</v>
      </c>
      <c r="K235" s="80">
        <v>-6.649698499</v>
      </c>
    </row>
    <row r="236">
      <c r="A236" s="1" t="s">
        <v>272</v>
      </c>
      <c r="B236" s="38">
        <v>622491.0</v>
      </c>
      <c r="C236" s="38">
        <v>2784.0</v>
      </c>
      <c r="D236" s="39">
        <f>sumif('PLA Sheet'!C:C,B236,'PLA Sheet'!H:H)</f>
        <v>180.6666667</v>
      </c>
      <c r="E236" s="78">
        <v>5.127505434</v>
      </c>
      <c r="F236" s="78">
        <f>sumif('PLA Sheet'!C:C,B236,'PLA Sheet'!J:J)/D236*9</f>
        <v>3.188596633</v>
      </c>
      <c r="G236" s="79">
        <v>0.479525862</v>
      </c>
      <c r="H236" s="79">
        <v>0.182471264</v>
      </c>
      <c r="I236" s="79">
        <v>0.338002874</v>
      </c>
      <c r="J236" s="79">
        <f t="shared" si="1"/>
        <v>0.141522988</v>
      </c>
      <c r="K236" s="80">
        <v>5.211851665</v>
      </c>
    </row>
    <row r="237">
      <c r="A237" s="1" t="s">
        <v>1041</v>
      </c>
      <c r="B237" s="38">
        <v>605397.0</v>
      </c>
      <c r="C237" s="38">
        <v>1227.0</v>
      </c>
      <c r="D237" s="39">
        <f>sumif('PLA Sheet'!C:C,B237,'PLA Sheet'!H:H)</f>
        <v>0</v>
      </c>
      <c r="E237" s="78">
        <v>5.12701328</v>
      </c>
      <c r="F237" s="78" t="str">
        <f>sumif('PLA Sheet'!C:C,B237,'PLA Sheet'!J:J)/D237*9</f>
        <v>#DIV/0!</v>
      </c>
      <c r="G237" s="79">
        <v>0.477587612</v>
      </c>
      <c r="H237" s="79">
        <v>0.189894051</v>
      </c>
      <c r="I237" s="79">
        <v>0.332518337</v>
      </c>
      <c r="J237" s="79">
        <f t="shared" si="1"/>
        <v>0.145069275</v>
      </c>
      <c r="K237" s="80">
        <v>4.570090954</v>
      </c>
    </row>
    <row r="238">
      <c r="A238" s="1" t="s">
        <v>30</v>
      </c>
      <c r="B238" s="38">
        <v>678495.0</v>
      </c>
      <c r="C238" s="38">
        <v>831.0</v>
      </c>
      <c r="D238" s="39">
        <f>sumif('PLA Sheet'!C:C,B238,'PLA Sheet'!H:H)</f>
        <v>50.66666666</v>
      </c>
      <c r="E238" s="78">
        <v>5.125694083</v>
      </c>
      <c r="F238" s="78">
        <f>sumif('PLA Sheet'!C:C,B238,'PLA Sheet'!J:J)/D238*9</f>
        <v>2.036375349</v>
      </c>
      <c r="G238" s="79">
        <v>0.48977136</v>
      </c>
      <c r="H238" s="79">
        <v>0.167268351</v>
      </c>
      <c r="I238" s="79">
        <v>0.342960289</v>
      </c>
      <c r="J238" s="79">
        <f t="shared" si="1"/>
        <v>0.146811071</v>
      </c>
      <c r="K238" s="80">
        <v>-4.055961224</v>
      </c>
    </row>
    <row r="239">
      <c r="A239" s="1" t="s">
        <v>423</v>
      </c>
      <c r="B239" s="38">
        <v>656605.0</v>
      </c>
      <c r="C239" s="38">
        <v>2473.0</v>
      </c>
      <c r="D239" s="39">
        <f>sumif('PLA Sheet'!C:C,B239,'PLA Sheet'!H:H)</f>
        <v>176.3333333</v>
      </c>
      <c r="E239" s="78">
        <v>5.125479205</v>
      </c>
      <c r="F239" s="78">
        <f>sumif('PLA Sheet'!C:C,B239,'PLA Sheet'!J:J)/D239*9</f>
        <v>3.558360471</v>
      </c>
      <c r="G239" s="79">
        <v>0.487262434</v>
      </c>
      <c r="H239" s="79">
        <v>0.217145168</v>
      </c>
      <c r="I239" s="79">
        <v>0.295592398</v>
      </c>
      <c r="J239" s="79">
        <f t="shared" si="1"/>
        <v>0.191670036</v>
      </c>
      <c r="K239" s="80">
        <v>-8.866627789</v>
      </c>
    </row>
    <row r="240">
      <c r="A240" s="1" t="s">
        <v>262</v>
      </c>
      <c r="B240" s="38">
        <v>676534.0</v>
      </c>
      <c r="C240" s="38">
        <v>973.0</v>
      </c>
      <c r="D240" s="39">
        <f>sumif('PLA Sheet'!C:C,B240,'PLA Sheet'!H:H)</f>
        <v>60.33333333</v>
      </c>
      <c r="E240" s="78">
        <v>5.124217073</v>
      </c>
      <c r="F240" s="78">
        <f>sumif('PLA Sheet'!C:C,B240,'PLA Sheet'!J:J)/D240*9</f>
        <v>3.138800718</v>
      </c>
      <c r="G240" s="79">
        <v>0.476875642</v>
      </c>
      <c r="H240" s="79">
        <v>0.181911614</v>
      </c>
      <c r="I240" s="79">
        <v>0.341212744</v>
      </c>
      <c r="J240" s="79">
        <f t="shared" si="1"/>
        <v>0.135662898</v>
      </c>
      <c r="K240" s="80">
        <v>1.377881788</v>
      </c>
    </row>
    <row r="241">
      <c r="A241" s="1" t="s">
        <v>686</v>
      </c>
      <c r="B241" s="38">
        <v>664875.0</v>
      </c>
      <c r="C241" s="38">
        <v>959.0</v>
      </c>
      <c r="D241" s="39">
        <f>sumif('PLA Sheet'!C:C,B241,'PLA Sheet'!H:H)</f>
        <v>17.66666667</v>
      </c>
      <c r="E241" s="78">
        <v>5.124114875</v>
      </c>
      <c r="F241" s="78">
        <f>sumif('PLA Sheet'!C:C,B241,'PLA Sheet'!J:J)/D241*9</f>
        <v>3.165157528</v>
      </c>
      <c r="G241" s="79">
        <v>0.527632951</v>
      </c>
      <c r="H241" s="79">
        <v>0.252346194</v>
      </c>
      <c r="I241" s="79">
        <v>0.220020855</v>
      </c>
      <c r="J241" s="79">
        <f t="shared" si="1"/>
        <v>0.307612096</v>
      </c>
      <c r="K241" s="80">
        <v>-9.895844836</v>
      </c>
    </row>
    <row r="242">
      <c r="A242" s="1" t="s">
        <v>194</v>
      </c>
      <c r="B242" s="38">
        <v>666157.0</v>
      </c>
      <c r="C242" s="38">
        <v>1851.0</v>
      </c>
      <c r="D242" s="39">
        <f>sumif('PLA Sheet'!C:C,B242,'PLA Sheet'!H:H)</f>
        <v>156.6666667</v>
      </c>
      <c r="E242" s="78">
        <v>5.119553036</v>
      </c>
      <c r="F242" s="78">
        <f>sumif('PLA Sheet'!C:C,B242,'PLA Sheet'!J:J)/D242*9</f>
        <v>2.907498389</v>
      </c>
      <c r="G242" s="79">
        <v>0.497028633</v>
      </c>
      <c r="H242" s="79">
        <v>0.170178282</v>
      </c>
      <c r="I242" s="79">
        <v>0.332793085</v>
      </c>
      <c r="J242" s="79">
        <f t="shared" si="1"/>
        <v>0.164235548</v>
      </c>
      <c r="K242" s="80">
        <v>-1.041294622</v>
      </c>
    </row>
    <row r="243">
      <c r="A243" s="1" t="s">
        <v>193</v>
      </c>
      <c r="B243" s="38">
        <v>668941.0</v>
      </c>
      <c r="C243" s="38">
        <v>850.0</v>
      </c>
      <c r="D243" s="39">
        <f>sumif('PLA Sheet'!C:C,B243,'PLA Sheet'!H:H)</f>
        <v>61</v>
      </c>
      <c r="E243" s="78">
        <v>5.119195706</v>
      </c>
      <c r="F243" s="78">
        <f>sumif('PLA Sheet'!C:C,B243,'PLA Sheet'!J:J)/D243*9</f>
        <v>2.905468967</v>
      </c>
      <c r="G243" s="79">
        <v>0.476470588</v>
      </c>
      <c r="H243" s="79">
        <v>0.187058824</v>
      </c>
      <c r="I243" s="79">
        <v>0.336470588</v>
      </c>
      <c r="J243" s="79">
        <f t="shared" si="1"/>
        <v>0.14</v>
      </c>
      <c r="K243" s="80">
        <v>5.076747424</v>
      </c>
    </row>
    <row r="244">
      <c r="A244" s="1" t="s">
        <v>24</v>
      </c>
      <c r="B244" s="38">
        <v>672282.0</v>
      </c>
      <c r="C244" s="38">
        <v>1188.0</v>
      </c>
      <c r="D244" s="39">
        <f>sumif('PLA Sheet'!C:C,B244,'PLA Sheet'!H:H)</f>
        <v>63.66666667</v>
      </c>
      <c r="E244" s="78">
        <v>5.118230096</v>
      </c>
      <c r="F244" s="78">
        <f>sumif('PLA Sheet'!C:C,B244,'PLA Sheet'!J:J)/D244*9</f>
        <v>1.908388555</v>
      </c>
      <c r="G244" s="79">
        <v>0.499158249</v>
      </c>
      <c r="H244" s="79">
        <v>0.145622896</v>
      </c>
      <c r="I244" s="79">
        <v>0.355218855</v>
      </c>
      <c r="J244" s="79">
        <f t="shared" si="1"/>
        <v>0.143939394</v>
      </c>
      <c r="K244" s="80">
        <v>-7.10105867</v>
      </c>
    </row>
    <row r="245">
      <c r="A245" s="1" t="s">
        <v>556</v>
      </c>
      <c r="B245" s="38">
        <v>696136.0</v>
      </c>
      <c r="C245" s="38">
        <v>583.0</v>
      </c>
      <c r="D245" s="39">
        <f>sumif('PLA Sheet'!C:C,B245,'PLA Sheet'!H:H)</f>
        <v>14.33333333</v>
      </c>
      <c r="E245" s="78">
        <v>5.116089741</v>
      </c>
      <c r="F245" s="78">
        <f>sumif('PLA Sheet'!C:C,B245,'PLA Sheet'!J:J)/D245*9</f>
        <v>2.56285193</v>
      </c>
      <c r="G245" s="79">
        <v>0.469982847</v>
      </c>
      <c r="H245" s="79">
        <v>0.185248714</v>
      </c>
      <c r="I245" s="79">
        <v>0.344768439</v>
      </c>
      <c r="J245" s="79">
        <f t="shared" si="1"/>
        <v>0.125214408</v>
      </c>
      <c r="K245" s="80">
        <v>-1.510407981</v>
      </c>
    </row>
    <row r="246">
      <c r="A246" s="1" t="s">
        <v>953</v>
      </c>
      <c r="B246" s="38">
        <v>502085.0</v>
      </c>
      <c r="C246" s="38">
        <v>1015.0</v>
      </c>
      <c r="D246" s="39">
        <f>sumif('PLA Sheet'!C:C,B246,'PLA Sheet'!H:H)</f>
        <v>17.66666667</v>
      </c>
      <c r="E246" s="78">
        <v>5.113937465</v>
      </c>
      <c r="F246" s="78">
        <f>sumif('PLA Sheet'!C:C,B246,'PLA Sheet'!J:J)/D246*9</f>
        <v>3.382188113</v>
      </c>
      <c r="G246" s="79">
        <v>0.475862069</v>
      </c>
      <c r="H246" s="79">
        <v>0.181280788</v>
      </c>
      <c r="I246" s="79">
        <v>0.342857143</v>
      </c>
      <c r="J246" s="79">
        <f t="shared" si="1"/>
        <v>0.133004926</v>
      </c>
      <c r="K246" s="80">
        <v>3.705174739</v>
      </c>
    </row>
    <row r="247">
      <c r="A247" s="1" t="s">
        <v>396</v>
      </c>
      <c r="B247" s="38">
        <v>663623.0</v>
      </c>
      <c r="C247" s="38">
        <v>2620.0</v>
      </c>
      <c r="D247" s="39">
        <f>sumif('PLA Sheet'!C:C,B247,'PLA Sheet'!H:H)</f>
        <v>180</v>
      </c>
      <c r="E247" s="78">
        <v>5.113787254</v>
      </c>
      <c r="F247" s="78">
        <f>sumif('PLA Sheet'!C:C,B247,'PLA Sheet'!J:J)/D247*9</f>
        <v>3.440728</v>
      </c>
      <c r="G247" s="79">
        <v>0.464122137</v>
      </c>
      <c r="H247" s="79">
        <v>0.185114504</v>
      </c>
      <c r="I247" s="79">
        <v>0.350763359</v>
      </c>
      <c r="J247" s="79">
        <f t="shared" si="1"/>
        <v>0.113358778</v>
      </c>
      <c r="K247" s="80">
        <v>11.41948915</v>
      </c>
    </row>
    <row r="248">
      <c r="A248" s="1" t="s">
        <v>207</v>
      </c>
      <c r="B248" s="38">
        <v>650633.0</v>
      </c>
      <c r="C248" s="38">
        <v>2502.0</v>
      </c>
      <c r="D248" s="39">
        <f>sumif('PLA Sheet'!C:C,B248,'PLA Sheet'!H:H)</f>
        <v>73.33333334</v>
      </c>
      <c r="E248" s="78">
        <v>5.105063078</v>
      </c>
      <c r="F248" s="78">
        <f>sumif('PLA Sheet'!C:C,B248,'PLA Sheet'!J:J)/D248*9</f>
        <v>2.942936918</v>
      </c>
      <c r="G248" s="79">
        <v>0.478816946</v>
      </c>
      <c r="H248" s="79">
        <v>0.220223821</v>
      </c>
      <c r="I248" s="79">
        <v>0.300959233</v>
      </c>
      <c r="J248" s="79">
        <f t="shared" si="1"/>
        <v>0.177857713</v>
      </c>
      <c r="K248" s="80">
        <v>11.76663017</v>
      </c>
    </row>
    <row r="249">
      <c r="A249" s="1" t="s">
        <v>422</v>
      </c>
      <c r="B249" s="38">
        <v>518585.0</v>
      </c>
      <c r="C249" s="38">
        <v>974.0</v>
      </c>
      <c r="D249" s="39">
        <f>sumif('PLA Sheet'!C:C,B249,'PLA Sheet'!H:H)</f>
        <v>48</v>
      </c>
      <c r="E249" s="78">
        <v>5.104556082</v>
      </c>
      <c r="F249" s="78">
        <f>sumif('PLA Sheet'!C:C,B249,'PLA Sheet'!J:J)/D249*9</f>
        <v>3.595277813</v>
      </c>
      <c r="G249" s="79">
        <v>0.5</v>
      </c>
      <c r="H249" s="79">
        <v>0.143737166</v>
      </c>
      <c r="I249" s="79">
        <v>0.356262834</v>
      </c>
      <c r="J249" s="79">
        <f t="shared" si="1"/>
        <v>0.143737166</v>
      </c>
      <c r="K249" s="80">
        <v>0.143677601</v>
      </c>
    </row>
    <row r="250">
      <c r="A250" s="1" t="s">
        <v>180</v>
      </c>
      <c r="B250" s="38">
        <v>642547.0</v>
      </c>
      <c r="C250" s="38">
        <v>2665.0</v>
      </c>
      <c r="D250" s="39">
        <f>sumif('PLA Sheet'!C:C,B250,'PLA Sheet'!H:H)</f>
        <v>176.6666667</v>
      </c>
      <c r="E250" s="78">
        <v>5.10345347</v>
      </c>
      <c r="F250" s="78">
        <f>sumif('PLA Sheet'!C:C,B250,'PLA Sheet'!J:J)/D250*9</f>
        <v>2.880293876</v>
      </c>
      <c r="G250" s="79">
        <v>0.479549719</v>
      </c>
      <c r="H250" s="79">
        <v>0.16435272</v>
      </c>
      <c r="I250" s="79">
        <v>0.356097561</v>
      </c>
      <c r="J250" s="79">
        <f t="shared" si="1"/>
        <v>0.123452158</v>
      </c>
      <c r="K250" s="80">
        <v>-7.787480539</v>
      </c>
    </row>
    <row r="251">
      <c r="A251" s="1" t="s">
        <v>582</v>
      </c>
      <c r="B251" s="38">
        <v>680694.0</v>
      </c>
      <c r="C251" s="38">
        <v>669.0</v>
      </c>
      <c r="D251" s="39">
        <f>sumif('PLA Sheet'!C:C,B251,'PLA Sheet'!H:H)</f>
        <v>32</v>
      </c>
      <c r="E251" s="78">
        <v>5.102988957</v>
      </c>
      <c r="F251" s="78">
        <f>sumif('PLA Sheet'!C:C,B251,'PLA Sheet'!J:J)/D251*9</f>
        <v>3.036038906</v>
      </c>
      <c r="G251" s="79">
        <v>0.472346786</v>
      </c>
      <c r="H251" s="79">
        <v>0.173393124</v>
      </c>
      <c r="I251" s="79">
        <v>0.35426009</v>
      </c>
      <c r="J251" s="79">
        <f t="shared" si="1"/>
        <v>0.118086696</v>
      </c>
      <c r="K251" s="80">
        <v>12.53241037</v>
      </c>
    </row>
    <row r="252">
      <c r="A252" s="1" t="s">
        <v>221</v>
      </c>
      <c r="B252" s="38">
        <v>668964.0</v>
      </c>
      <c r="C252" s="38">
        <v>1741.0</v>
      </c>
      <c r="D252" s="39">
        <f>sumif('PLA Sheet'!C:C,B252,'PLA Sheet'!H:H)</f>
        <v>50.66666666</v>
      </c>
      <c r="E252" s="78">
        <v>5.102971405</v>
      </c>
      <c r="F252" s="78">
        <f>sumif('PLA Sheet'!C:C,B252,'PLA Sheet'!J:J)/D252*9</f>
        <v>3.006152467</v>
      </c>
      <c r="G252" s="79">
        <v>0.474439977</v>
      </c>
      <c r="H252" s="79">
        <v>0.179207352</v>
      </c>
      <c r="I252" s="79">
        <v>0.346352671</v>
      </c>
      <c r="J252" s="79">
        <f t="shared" si="1"/>
        <v>0.128087306</v>
      </c>
      <c r="K252" s="80">
        <v>-9.080548623</v>
      </c>
    </row>
    <row r="253">
      <c r="A253" s="1" t="s">
        <v>314</v>
      </c>
      <c r="B253" s="38">
        <v>669854.0</v>
      </c>
      <c r="C253" s="38">
        <v>2405.0</v>
      </c>
      <c r="D253" s="39">
        <f>sumif('PLA Sheet'!C:C,B253,'PLA Sheet'!H:H)</f>
        <v>48.33333333</v>
      </c>
      <c r="E253" s="78">
        <v>5.100056312</v>
      </c>
      <c r="F253" s="78">
        <f>sumif('PLA Sheet'!C:C,B253,'PLA Sheet'!J:J)/D253*9</f>
        <v>3.360064903</v>
      </c>
      <c r="G253" s="79">
        <v>0.471517672</v>
      </c>
      <c r="H253" s="79">
        <v>0.17047817</v>
      </c>
      <c r="I253" s="79">
        <v>0.358004158</v>
      </c>
      <c r="J253" s="79">
        <f t="shared" si="1"/>
        <v>0.113513514</v>
      </c>
      <c r="K253" s="80">
        <v>25.71569493</v>
      </c>
    </row>
    <row r="254">
      <c r="A254" s="1" t="s">
        <v>73</v>
      </c>
      <c r="B254" s="38">
        <v>668881.0</v>
      </c>
      <c r="C254" s="38">
        <v>2440.0</v>
      </c>
      <c r="D254" s="39">
        <f>sumif('PLA Sheet'!C:C,B254,'PLA Sheet'!H:H)</f>
        <v>107.6666667</v>
      </c>
      <c r="E254" s="78">
        <v>5.099886905</v>
      </c>
      <c r="F254" s="78">
        <f>sumif('PLA Sheet'!C:C,B254,'PLA Sheet'!J:J)/D254*9</f>
        <v>2.431789022</v>
      </c>
      <c r="G254" s="79">
        <v>0.480737705</v>
      </c>
      <c r="H254" s="79">
        <v>0.185245902</v>
      </c>
      <c r="I254" s="79">
        <v>0.334016393</v>
      </c>
      <c r="J254" s="79">
        <f t="shared" si="1"/>
        <v>0.146721312</v>
      </c>
      <c r="K254" s="80">
        <v>27.07091978</v>
      </c>
    </row>
    <row r="255">
      <c r="A255" s="1" t="s">
        <v>347</v>
      </c>
      <c r="B255" s="38">
        <v>700249.0</v>
      </c>
      <c r="C255" s="38">
        <v>1048.0</v>
      </c>
      <c r="D255" s="39">
        <f>sumif('PLA Sheet'!C:C,B255,'PLA Sheet'!H:H)</f>
        <v>112.3333333</v>
      </c>
      <c r="E255" s="78">
        <v>5.099092682</v>
      </c>
      <c r="F255" s="78">
        <f>sumif('PLA Sheet'!C:C,B255,'PLA Sheet'!J:J)/D255*9</f>
        <v>3.448972389</v>
      </c>
      <c r="G255" s="79">
        <v>0.506679389</v>
      </c>
      <c r="H255" s="79">
        <v>0.171755725</v>
      </c>
      <c r="I255" s="79">
        <v>0.321564885</v>
      </c>
      <c r="J255" s="79">
        <f t="shared" si="1"/>
        <v>0.185114504</v>
      </c>
      <c r="K255" s="80">
        <v>-11.22470399</v>
      </c>
    </row>
    <row r="256">
      <c r="A256" s="1" t="s">
        <v>87</v>
      </c>
      <c r="B256" s="38">
        <v>657097.0</v>
      </c>
      <c r="C256" s="38">
        <v>814.0</v>
      </c>
      <c r="D256" s="39">
        <f>sumif('PLA Sheet'!C:C,B256,'PLA Sheet'!H:H)</f>
        <v>65.99999999</v>
      </c>
      <c r="E256" s="78">
        <v>5.096188719</v>
      </c>
      <c r="F256" s="78">
        <f>sumif('PLA Sheet'!C:C,B256,'PLA Sheet'!J:J)/D256*9</f>
        <v>2.521603228</v>
      </c>
      <c r="G256" s="79">
        <v>0.472972973</v>
      </c>
      <c r="H256" s="79">
        <v>0.26044226</v>
      </c>
      <c r="I256" s="79">
        <v>0.266584767</v>
      </c>
      <c r="J256" s="79">
        <f t="shared" si="1"/>
        <v>0.206388206</v>
      </c>
      <c r="K256" s="80">
        <v>3.978604937</v>
      </c>
    </row>
    <row r="257">
      <c r="A257" s="1" t="s">
        <v>404</v>
      </c>
      <c r="B257" s="38">
        <v>593974.0</v>
      </c>
      <c r="C257" s="38">
        <v>565.0</v>
      </c>
      <c r="D257" s="39">
        <f>sumif('PLA Sheet'!C:C,B257,'PLA Sheet'!H:H)</f>
        <v>71.66666667</v>
      </c>
      <c r="E257" s="78">
        <v>5.096073284</v>
      </c>
      <c r="F257" s="78">
        <f>sumif('PLA Sheet'!C:C,B257,'PLA Sheet'!J:J)/D257*9</f>
        <v>3.346306284</v>
      </c>
      <c r="G257" s="79">
        <v>0.453097345</v>
      </c>
      <c r="H257" s="79">
        <v>0.210619469</v>
      </c>
      <c r="I257" s="79">
        <v>0.336283186</v>
      </c>
      <c r="J257" s="79">
        <f t="shared" si="1"/>
        <v>0.116814159</v>
      </c>
      <c r="K257" s="80">
        <v>1.30600904</v>
      </c>
    </row>
    <row r="258">
      <c r="A258" s="1" t="s">
        <v>652</v>
      </c>
      <c r="B258" s="38">
        <v>594580.0</v>
      </c>
      <c r="C258" s="38">
        <v>608.0</v>
      </c>
      <c r="D258" s="39">
        <f>sumif('PLA Sheet'!C:C,B258,'PLA Sheet'!H:H)</f>
        <v>18.33333333</v>
      </c>
      <c r="E258" s="78">
        <v>5.094233415</v>
      </c>
      <c r="F258" s="78">
        <f>sumif('PLA Sheet'!C:C,B258,'PLA Sheet'!J:J)/D258*9</f>
        <v>4.101760964</v>
      </c>
      <c r="G258" s="79">
        <v>0.483552632</v>
      </c>
      <c r="H258" s="79">
        <v>0.230263158</v>
      </c>
      <c r="I258" s="79">
        <v>0.286184211</v>
      </c>
      <c r="J258" s="79">
        <f t="shared" si="1"/>
        <v>0.197368421</v>
      </c>
      <c r="K258" s="80">
        <v>11.68591595</v>
      </c>
    </row>
    <row r="259">
      <c r="A259" s="1" t="s">
        <v>452</v>
      </c>
      <c r="B259" s="38">
        <v>607625.0</v>
      </c>
      <c r="C259" s="38">
        <v>2764.0</v>
      </c>
      <c r="D259" s="39">
        <f>sumif('PLA Sheet'!C:C,B259,'PLA Sheet'!H:H)</f>
        <v>145.3333333</v>
      </c>
      <c r="E259" s="78">
        <v>5.093987033</v>
      </c>
      <c r="F259" s="78">
        <f>sumif('PLA Sheet'!C:C,B259,'PLA Sheet'!J:J)/D259*9</f>
        <v>3.473334248</v>
      </c>
      <c r="G259" s="79">
        <v>0.455499276</v>
      </c>
      <c r="H259" s="79">
        <v>0.223227207</v>
      </c>
      <c r="I259" s="79">
        <v>0.321273517</v>
      </c>
      <c r="J259" s="79">
        <f t="shared" si="1"/>
        <v>0.134225759</v>
      </c>
      <c r="K259" s="80">
        <v>4.534369312</v>
      </c>
    </row>
    <row r="260">
      <c r="A260" s="1" t="s">
        <v>812</v>
      </c>
      <c r="B260" s="38">
        <v>676702.0</v>
      </c>
      <c r="C260" s="38">
        <v>581.0</v>
      </c>
      <c r="D260" s="39">
        <f>sumif('PLA Sheet'!C:C,B260,'PLA Sheet'!H:H)</f>
        <v>19</v>
      </c>
      <c r="E260" s="78">
        <v>5.091447532</v>
      </c>
      <c r="F260" s="78">
        <f>sumif('PLA Sheet'!C:C,B260,'PLA Sheet'!J:J)/D260*9</f>
        <v>3.782025</v>
      </c>
      <c r="G260" s="79">
        <v>0.43545611</v>
      </c>
      <c r="H260" s="79">
        <v>0.204819277</v>
      </c>
      <c r="I260" s="79">
        <v>0.359724613</v>
      </c>
      <c r="J260" s="79">
        <f t="shared" si="1"/>
        <v>0.075731497</v>
      </c>
      <c r="K260" s="80">
        <v>-3.025489024</v>
      </c>
    </row>
    <row r="261">
      <c r="A261" s="1" t="s">
        <v>519</v>
      </c>
      <c r="B261" s="38">
        <v>682120.0</v>
      </c>
      <c r="C261" s="38">
        <v>873.0</v>
      </c>
      <c r="D261" s="39">
        <f>sumif('PLA Sheet'!C:C,B261,'PLA Sheet'!H:H)</f>
        <v>42.66666667</v>
      </c>
      <c r="E261" s="78">
        <v>5.091400048</v>
      </c>
      <c r="F261" s="78">
        <f>sumif('PLA Sheet'!C:C,B261,'PLA Sheet'!J:J)/D261*9</f>
        <v>4.467105914</v>
      </c>
      <c r="G261" s="79">
        <v>0.482245132</v>
      </c>
      <c r="H261" s="79">
        <v>0.175257732</v>
      </c>
      <c r="I261" s="79">
        <v>0.342497136</v>
      </c>
      <c r="J261" s="79">
        <f t="shared" si="1"/>
        <v>0.139747996</v>
      </c>
      <c r="K261" s="80">
        <v>15.59691658</v>
      </c>
    </row>
    <row r="262">
      <c r="A262" s="1" t="s">
        <v>242</v>
      </c>
      <c r="B262" s="38">
        <v>669358.0</v>
      </c>
      <c r="C262" s="38">
        <v>753.0</v>
      </c>
      <c r="D262" s="39">
        <f>sumif('PLA Sheet'!C:C,B262,'PLA Sheet'!H:H)</f>
        <v>166.3333333</v>
      </c>
      <c r="E262" s="78">
        <v>5.090669499</v>
      </c>
      <c r="F262" s="78">
        <f>sumif('PLA Sheet'!C:C,B262,'PLA Sheet'!J:J)/D262*9</f>
        <v>3.074682409</v>
      </c>
      <c r="G262" s="79">
        <v>0.486055777</v>
      </c>
      <c r="H262" s="79">
        <v>0.166002656</v>
      </c>
      <c r="I262" s="79">
        <v>0.347941567</v>
      </c>
      <c r="J262" s="79">
        <f t="shared" si="1"/>
        <v>0.13811421</v>
      </c>
      <c r="K262" s="80">
        <v>-4.591255441</v>
      </c>
    </row>
    <row r="263">
      <c r="A263" s="1" t="s">
        <v>479</v>
      </c>
      <c r="B263" s="38">
        <v>664299.0</v>
      </c>
      <c r="C263" s="38">
        <v>567.0</v>
      </c>
      <c r="D263" s="39">
        <f>sumif('PLA Sheet'!C:C,B263,'PLA Sheet'!H:H)</f>
        <v>37</v>
      </c>
      <c r="E263" s="78">
        <v>5.090077155</v>
      </c>
      <c r="F263" s="78">
        <f>sumif('PLA Sheet'!C:C,B263,'PLA Sheet'!J:J)/D263*9</f>
        <v>3.816480649</v>
      </c>
      <c r="G263" s="79">
        <v>0.495590829</v>
      </c>
      <c r="H263" s="79">
        <v>0.11287478</v>
      </c>
      <c r="I263" s="79">
        <v>0.391534392</v>
      </c>
      <c r="J263" s="79">
        <f t="shared" si="1"/>
        <v>0.104056437</v>
      </c>
      <c r="K263" s="80">
        <v>-3.137308642</v>
      </c>
    </row>
    <row r="264">
      <c r="A264" s="1" t="s">
        <v>433</v>
      </c>
      <c r="B264" s="38">
        <v>642397.0</v>
      </c>
      <c r="C264" s="38">
        <v>843.0</v>
      </c>
      <c r="D264" s="39">
        <f>sumif('PLA Sheet'!C:C,B264,'PLA Sheet'!H:H)</f>
        <v>60.33333333</v>
      </c>
      <c r="E264" s="78">
        <v>5.089860396</v>
      </c>
      <c r="F264" s="78">
        <f>sumif('PLA Sheet'!C:C,B264,'PLA Sheet'!J:J)/D264*9</f>
        <v>3.717051216</v>
      </c>
      <c r="G264" s="79">
        <v>0.489916963</v>
      </c>
      <c r="H264" s="79">
        <v>0.198102017</v>
      </c>
      <c r="I264" s="79">
        <v>0.31198102</v>
      </c>
      <c r="J264" s="79">
        <f t="shared" si="1"/>
        <v>0.177935943</v>
      </c>
      <c r="K264" s="80">
        <v>-2.105064814</v>
      </c>
    </row>
    <row r="265">
      <c r="A265" s="1" t="s">
        <v>742</v>
      </c>
      <c r="B265" s="38">
        <v>606965.0</v>
      </c>
      <c r="C265" s="38">
        <v>529.0</v>
      </c>
      <c r="D265" s="39">
        <f>sumif('PLA Sheet'!C:C,B265,'PLA Sheet'!H:H)</f>
        <v>16.66666667</v>
      </c>
      <c r="E265" s="78">
        <v>5.089445968</v>
      </c>
      <c r="F265" s="78">
        <f>sumif('PLA Sheet'!C:C,B265,'PLA Sheet'!J:J)/D265*9</f>
        <v>2.4235578</v>
      </c>
      <c r="G265" s="79">
        <v>0.468809074</v>
      </c>
      <c r="H265" s="79">
        <v>0.192816635</v>
      </c>
      <c r="I265" s="79">
        <v>0.338374291</v>
      </c>
      <c r="J265" s="79">
        <f t="shared" si="1"/>
        <v>0.130434783</v>
      </c>
      <c r="K265" s="80">
        <v>0.477097599</v>
      </c>
    </row>
    <row r="266">
      <c r="A266" s="1" t="s">
        <v>432</v>
      </c>
      <c r="B266" s="38">
        <v>669467.0</v>
      </c>
      <c r="C266" s="38">
        <v>1572.0</v>
      </c>
      <c r="D266" s="39">
        <f>sumif('PLA Sheet'!C:C,B266,'PLA Sheet'!H:H)</f>
        <v>162.6666667</v>
      </c>
      <c r="E266" s="78">
        <v>5.088840085</v>
      </c>
      <c r="F266" s="78">
        <f>sumif('PLA Sheet'!C:C,B266,'PLA Sheet'!J:J)/D266*9</f>
        <v>3.646701774</v>
      </c>
      <c r="G266" s="79">
        <v>0.465648855</v>
      </c>
      <c r="H266" s="79">
        <v>0.183842239</v>
      </c>
      <c r="I266" s="79">
        <v>0.350508906</v>
      </c>
      <c r="J266" s="79">
        <f t="shared" si="1"/>
        <v>0.115139949</v>
      </c>
      <c r="K266" s="80">
        <v>14.07365128</v>
      </c>
    </row>
    <row r="267">
      <c r="A267" s="1" t="s">
        <v>1042</v>
      </c>
      <c r="B267" s="38">
        <v>676596.0</v>
      </c>
      <c r="C267" s="38">
        <v>530.0</v>
      </c>
      <c r="D267" s="39">
        <f>sumif('PLA Sheet'!C:C,B267,'PLA Sheet'!H:H)</f>
        <v>0</v>
      </c>
      <c r="E267" s="78">
        <v>5.088277062</v>
      </c>
      <c r="F267" s="78" t="str">
        <f>sumif('PLA Sheet'!C:C,B267,'PLA Sheet'!J:J)/D267*9</f>
        <v>#DIV/0!</v>
      </c>
      <c r="G267" s="79">
        <v>0.460377358</v>
      </c>
      <c r="H267" s="79">
        <v>0.190566038</v>
      </c>
      <c r="I267" s="79">
        <v>0.349056604</v>
      </c>
      <c r="J267" s="79">
        <f t="shared" si="1"/>
        <v>0.111320754</v>
      </c>
      <c r="K267" s="80">
        <v>-1.039445641</v>
      </c>
    </row>
    <row r="268">
      <c r="A268" s="1" t="s">
        <v>324</v>
      </c>
      <c r="B268" s="38">
        <v>471911.0</v>
      </c>
      <c r="C268" s="38">
        <v>1687.0</v>
      </c>
      <c r="D268" s="39">
        <f>sumif('PLA Sheet'!C:C,B268,'PLA Sheet'!H:H)</f>
        <v>45.66666667</v>
      </c>
      <c r="E268" s="78">
        <v>5.088021169</v>
      </c>
      <c r="F268" s="78">
        <f>sumif('PLA Sheet'!C:C,B268,'PLA Sheet'!J:J)/D268*9</f>
        <v>3.385806701</v>
      </c>
      <c r="G268" s="79">
        <v>0.441019561</v>
      </c>
      <c r="H268" s="79">
        <v>0.229994072</v>
      </c>
      <c r="I268" s="79">
        <v>0.328986366</v>
      </c>
      <c r="J268" s="79">
        <f t="shared" si="1"/>
        <v>0.112033195</v>
      </c>
      <c r="K268" s="80">
        <v>-9.55801419</v>
      </c>
    </row>
    <row r="269">
      <c r="A269" s="1" t="s">
        <v>96</v>
      </c>
      <c r="B269" s="38">
        <v>690986.0</v>
      </c>
      <c r="C269" s="38">
        <v>2063.0</v>
      </c>
      <c r="D269" s="39">
        <f>sumif('PLA Sheet'!C:C,B269,'PLA Sheet'!H:H)</f>
        <v>35.66666666</v>
      </c>
      <c r="E269" s="78">
        <v>5.087176445</v>
      </c>
      <c r="F269" s="78">
        <f>sumif('PLA Sheet'!C:C,B269,'PLA Sheet'!J:J)/D269*9</f>
        <v>2.582088477</v>
      </c>
      <c r="G269" s="79">
        <v>0.493456132</v>
      </c>
      <c r="H269" s="79">
        <v>0.20891905</v>
      </c>
      <c r="I269" s="79">
        <v>0.297624818</v>
      </c>
      <c r="J269" s="79">
        <f t="shared" si="1"/>
        <v>0.195831314</v>
      </c>
      <c r="K269" s="80">
        <v>-9.129441194</v>
      </c>
    </row>
    <row r="270">
      <c r="A270" s="1" t="s">
        <v>817</v>
      </c>
      <c r="B270" s="38">
        <v>672335.0</v>
      </c>
      <c r="C270" s="38">
        <v>733.0</v>
      </c>
      <c r="D270" s="39">
        <f>sumif('PLA Sheet'!C:C,B270,'PLA Sheet'!H:H)</f>
        <v>21.66666667</v>
      </c>
      <c r="E270" s="78">
        <v>5.086806164</v>
      </c>
      <c r="F270" s="78">
        <f>sumif('PLA Sheet'!C:C,B270,'PLA Sheet'!J:J)/D270*9</f>
        <v>4.732793031</v>
      </c>
      <c r="G270" s="79">
        <v>0.48431105</v>
      </c>
      <c r="H270" s="79">
        <v>0.169167804</v>
      </c>
      <c r="I270" s="79">
        <v>0.346521146</v>
      </c>
      <c r="J270" s="79">
        <f t="shared" si="1"/>
        <v>0.137789904</v>
      </c>
      <c r="K270" s="80">
        <v>1.236959653</v>
      </c>
    </row>
    <row r="271">
      <c r="A271" s="1" t="s">
        <v>1010</v>
      </c>
      <c r="B271" s="38">
        <v>661527.0</v>
      </c>
      <c r="C271" s="38">
        <v>796.0</v>
      </c>
      <c r="D271" s="39">
        <f>sumif('PLA Sheet'!C:C,B271,'PLA Sheet'!H:H)</f>
        <v>6.666666666</v>
      </c>
      <c r="E271" s="78">
        <v>5.086324784</v>
      </c>
      <c r="F271" s="78">
        <f>sumif('PLA Sheet'!C:C,B271,'PLA Sheet'!J:J)/D271*9</f>
        <v>3.7386117</v>
      </c>
      <c r="G271" s="79">
        <v>0.453517588</v>
      </c>
      <c r="H271" s="79">
        <v>0.285175879</v>
      </c>
      <c r="I271" s="79">
        <v>0.261306533</v>
      </c>
      <c r="J271" s="79">
        <f t="shared" si="1"/>
        <v>0.192211055</v>
      </c>
      <c r="K271" s="80">
        <v>-0.113343475</v>
      </c>
    </row>
    <row r="272">
      <c r="A272" s="1" t="s">
        <v>298</v>
      </c>
      <c r="B272" s="38">
        <v>594902.0</v>
      </c>
      <c r="C272" s="38">
        <v>2137.0</v>
      </c>
      <c r="D272" s="39">
        <f>sumif('PLA Sheet'!C:C,B272,'PLA Sheet'!H:H)</f>
        <v>44.66666667</v>
      </c>
      <c r="E272" s="78">
        <v>5.085289199</v>
      </c>
      <c r="F272" s="78">
        <f>sumif('PLA Sheet'!C:C,B272,'PLA Sheet'!J:J)/D272*9</f>
        <v>3.29177391</v>
      </c>
      <c r="G272" s="79">
        <v>0.47870847</v>
      </c>
      <c r="H272" s="79">
        <v>0.21197941</v>
      </c>
      <c r="I272" s="79">
        <v>0.30931212</v>
      </c>
      <c r="J272" s="79">
        <f t="shared" si="1"/>
        <v>0.16939635</v>
      </c>
      <c r="K272" s="80">
        <v>2.243838466</v>
      </c>
    </row>
    <row r="273">
      <c r="A273" s="1" t="s">
        <v>171</v>
      </c>
      <c r="B273" s="38">
        <v>665795.0</v>
      </c>
      <c r="C273" s="38">
        <v>1366.0</v>
      </c>
      <c r="D273" s="39">
        <f>sumif('PLA Sheet'!C:C,B273,'PLA Sheet'!H:H)</f>
        <v>137.6666667</v>
      </c>
      <c r="E273" s="78">
        <v>5.08200823</v>
      </c>
      <c r="F273" s="78">
        <f>sumif('PLA Sheet'!C:C,B273,'PLA Sheet'!J:J)/D273*9</f>
        <v>2.865139126</v>
      </c>
      <c r="G273" s="79">
        <v>0.450951684</v>
      </c>
      <c r="H273" s="79">
        <v>0.187408492</v>
      </c>
      <c r="I273" s="79">
        <v>0.361639824</v>
      </c>
      <c r="J273" s="79">
        <f t="shared" si="1"/>
        <v>0.08931186</v>
      </c>
      <c r="K273" s="80">
        <v>10.75229726</v>
      </c>
    </row>
    <row r="274">
      <c r="A274" s="1" t="s">
        <v>1043</v>
      </c>
      <c r="B274" s="38">
        <v>686973.0</v>
      </c>
      <c r="C274" s="38">
        <v>706.0</v>
      </c>
      <c r="D274" s="39">
        <f>sumif('PLA Sheet'!C:C,B274,'PLA Sheet'!H:H)</f>
        <v>72.66666667</v>
      </c>
      <c r="E274" s="78">
        <v>5.08183939</v>
      </c>
      <c r="F274" s="78">
        <f>sumif('PLA Sheet'!C:C,B274,'PLA Sheet'!J:J)/D274*9</f>
        <v>2.212189885</v>
      </c>
      <c r="G274" s="79">
        <v>0.464589235</v>
      </c>
      <c r="H274" s="79">
        <v>0.179886686</v>
      </c>
      <c r="I274" s="79">
        <v>0.355524079</v>
      </c>
      <c r="J274" s="79">
        <f t="shared" si="1"/>
        <v>0.109065156</v>
      </c>
      <c r="K274" s="80">
        <v>-10.8420424</v>
      </c>
    </row>
    <row r="275">
      <c r="A275" s="1" t="s">
        <v>578</v>
      </c>
      <c r="B275" s="38">
        <v>592351.0</v>
      </c>
      <c r="C275" s="38">
        <v>1606.0</v>
      </c>
      <c r="D275" s="39">
        <f>sumif('PLA Sheet'!C:C,B275,'PLA Sheet'!H:H)</f>
        <v>14</v>
      </c>
      <c r="E275" s="78">
        <v>5.081229551</v>
      </c>
      <c r="F275" s="78">
        <f>sumif('PLA Sheet'!C:C,B275,'PLA Sheet'!J:J)/D275*9</f>
        <v>3.871623215</v>
      </c>
      <c r="G275" s="79">
        <v>0.417185554</v>
      </c>
      <c r="H275" s="79">
        <v>0.252179328</v>
      </c>
      <c r="I275" s="79">
        <v>0.330635118</v>
      </c>
      <c r="J275" s="79">
        <f t="shared" si="1"/>
        <v>0.086550436</v>
      </c>
      <c r="K275" s="80">
        <v>-8.665335427</v>
      </c>
    </row>
    <row r="276">
      <c r="A276" s="1" t="s">
        <v>372</v>
      </c>
      <c r="B276" s="38">
        <v>671106.0</v>
      </c>
      <c r="C276" s="38">
        <v>1651.0</v>
      </c>
      <c r="D276" s="39">
        <f>sumif('PLA Sheet'!C:C,B276,'PLA Sheet'!H:H)</f>
        <v>156.6666667</v>
      </c>
      <c r="E276" s="78">
        <v>5.080493588</v>
      </c>
      <c r="F276" s="78">
        <f>sumif('PLA Sheet'!C:C,B276,'PLA Sheet'!J:J)/D276*9</f>
        <v>3.582247979</v>
      </c>
      <c r="G276" s="79">
        <v>0.484554815</v>
      </c>
      <c r="H276" s="79">
        <v>0.211387038</v>
      </c>
      <c r="I276" s="79">
        <v>0.304058147</v>
      </c>
      <c r="J276" s="79">
        <f t="shared" si="1"/>
        <v>0.180496668</v>
      </c>
      <c r="K276" s="80">
        <v>-22.83969946</v>
      </c>
    </row>
    <row r="277">
      <c r="A277" s="1" t="s">
        <v>292</v>
      </c>
      <c r="B277" s="38">
        <v>592773.0</v>
      </c>
      <c r="C277" s="38">
        <v>869.0</v>
      </c>
      <c r="D277" s="39">
        <f>sumif('PLA Sheet'!C:C,B277,'PLA Sheet'!H:H)</f>
        <v>56</v>
      </c>
      <c r="E277" s="78">
        <v>5.080008632</v>
      </c>
      <c r="F277" s="78">
        <f>sumif('PLA Sheet'!C:C,B277,'PLA Sheet'!J:J)/D277*9</f>
        <v>3.271021714</v>
      </c>
      <c r="G277" s="79">
        <v>0.49712313</v>
      </c>
      <c r="H277" s="79">
        <v>0.153049482</v>
      </c>
      <c r="I277" s="79">
        <v>0.349827388</v>
      </c>
      <c r="J277" s="79">
        <f t="shared" si="1"/>
        <v>0.147295742</v>
      </c>
      <c r="K277" s="80">
        <v>2.410050453</v>
      </c>
    </row>
    <row r="278">
      <c r="A278" s="1" t="s">
        <v>360</v>
      </c>
      <c r="B278" s="38">
        <v>605452.0</v>
      </c>
      <c r="C278" s="38">
        <v>977.0</v>
      </c>
      <c r="D278" s="39">
        <f>sumif('PLA Sheet'!C:C,B278,'PLA Sheet'!H:H)</f>
        <v>51</v>
      </c>
      <c r="E278" s="78">
        <v>5.079471612</v>
      </c>
      <c r="F278" s="78">
        <f>sumif('PLA Sheet'!C:C,B278,'PLA Sheet'!J:J)/D278*9</f>
        <v>3.495934588</v>
      </c>
      <c r="G278" s="79">
        <v>0.432958035</v>
      </c>
      <c r="H278" s="79">
        <v>0.23234391</v>
      </c>
      <c r="I278" s="79">
        <v>0.334698055</v>
      </c>
      <c r="J278" s="79">
        <f t="shared" si="1"/>
        <v>0.09825998</v>
      </c>
      <c r="K278" s="80">
        <v>3.62476665</v>
      </c>
    </row>
    <row r="279">
      <c r="A279" s="1" t="s">
        <v>313</v>
      </c>
      <c r="B279" s="38">
        <v>607067.0</v>
      </c>
      <c r="C279" s="38">
        <v>2328.0</v>
      </c>
      <c r="D279" s="39">
        <f>sumif('PLA Sheet'!C:C,B279,'PLA Sheet'!H:H)</f>
        <v>159.3333333</v>
      </c>
      <c r="E279" s="78">
        <v>5.078586769</v>
      </c>
      <c r="F279" s="78">
        <f>sumif('PLA Sheet'!C:C,B279,'PLA Sheet'!J:J)/D279*9</f>
        <v>3.357331381</v>
      </c>
      <c r="G279" s="79">
        <v>0.47895189</v>
      </c>
      <c r="H279" s="79">
        <v>0.213917526</v>
      </c>
      <c r="I279" s="79">
        <v>0.307130584</v>
      </c>
      <c r="J279" s="79">
        <f t="shared" si="1"/>
        <v>0.171821306</v>
      </c>
      <c r="K279" s="80">
        <v>10.87733228</v>
      </c>
    </row>
    <row r="280">
      <c r="A280" s="1" t="s">
        <v>585</v>
      </c>
      <c r="B280" s="38">
        <v>625643.0</v>
      </c>
      <c r="C280" s="38">
        <v>1890.0</v>
      </c>
      <c r="D280" s="39">
        <f>sumif('PLA Sheet'!C:C,B280,'PLA Sheet'!H:H)</f>
        <v>5</v>
      </c>
      <c r="E280" s="78">
        <v>5.078204443</v>
      </c>
      <c r="F280" s="78">
        <f>sumif('PLA Sheet'!C:C,B280,'PLA Sheet'!J:J)/D280*9</f>
        <v>4.0994136</v>
      </c>
      <c r="G280" s="79">
        <v>0.458201058</v>
      </c>
      <c r="H280" s="79">
        <v>0.203703704</v>
      </c>
      <c r="I280" s="79">
        <v>0.338095238</v>
      </c>
      <c r="J280" s="79">
        <f t="shared" si="1"/>
        <v>0.12010582</v>
      </c>
      <c r="K280" s="80">
        <v>-2.541810124</v>
      </c>
    </row>
    <row r="281">
      <c r="A281" s="1" t="s">
        <v>290</v>
      </c>
      <c r="B281" s="38">
        <v>669461.0</v>
      </c>
      <c r="C281" s="38">
        <v>1185.0</v>
      </c>
      <c r="D281" s="39">
        <f>sumif('PLA Sheet'!C:C,B281,'PLA Sheet'!H:H)</f>
        <v>151.6666667</v>
      </c>
      <c r="E281" s="78">
        <v>5.077323645</v>
      </c>
      <c r="F281" s="78">
        <f>sumif('PLA Sheet'!C:C,B281,'PLA Sheet'!J:J)/D281*9</f>
        <v>3.260582664</v>
      </c>
      <c r="G281" s="79">
        <v>0.46835443</v>
      </c>
      <c r="H281" s="79">
        <v>0.172995781</v>
      </c>
      <c r="I281" s="79">
        <v>0.358649789</v>
      </c>
      <c r="J281" s="79">
        <f t="shared" si="1"/>
        <v>0.109704641</v>
      </c>
      <c r="K281" s="80">
        <v>4.793332727</v>
      </c>
    </row>
    <row r="282">
      <c r="A282" s="1" t="s">
        <v>418</v>
      </c>
      <c r="B282" s="38">
        <v>657649.0</v>
      </c>
      <c r="C282" s="38">
        <v>849.0</v>
      </c>
      <c r="D282" s="39">
        <f>sumif('PLA Sheet'!C:C,B282,'PLA Sheet'!H:H)</f>
        <v>65.99999999</v>
      </c>
      <c r="E282" s="78">
        <v>5.077100723</v>
      </c>
      <c r="F282" s="78">
        <f>sumif('PLA Sheet'!C:C,B282,'PLA Sheet'!J:J)/D282*9</f>
        <v>3.325451591</v>
      </c>
      <c r="G282" s="79">
        <v>0.468786808</v>
      </c>
      <c r="H282" s="79">
        <v>0.189634865</v>
      </c>
      <c r="I282" s="79">
        <v>0.341578327</v>
      </c>
      <c r="J282" s="79">
        <f t="shared" si="1"/>
        <v>0.127208481</v>
      </c>
      <c r="K282" s="80">
        <v>9.016418532</v>
      </c>
    </row>
    <row r="283">
      <c r="A283" s="1" t="s">
        <v>707</v>
      </c>
      <c r="B283" s="38">
        <v>641835.0</v>
      </c>
      <c r="C283" s="38">
        <v>587.0</v>
      </c>
      <c r="D283" s="39">
        <f>sumif('PLA Sheet'!C:C,B283,'PLA Sheet'!H:H)</f>
        <v>16.66666667</v>
      </c>
      <c r="E283" s="78">
        <v>5.074529608</v>
      </c>
      <c r="F283" s="78">
        <f>sumif('PLA Sheet'!C:C,B283,'PLA Sheet'!J:J)/D283*9</f>
        <v>3.85321104</v>
      </c>
      <c r="G283" s="79">
        <v>0.461669506</v>
      </c>
      <c r="H283" s="79">
        <v>0.163543441</v>
      </c>
      <c r="I283" s="79">
        <v>0.374787053</v>
      </c>
      <c r="J283" s="79">
        <f t="shared" si="1"/>
        <v>0.086882453</v>
      </c>
      <c r="K283" s="80">
        <v>-7.981938826</v>
      </c>
    </row>
    <row r="284">
      <c r="A284" s="1" t="s">
        <v>467</v>
      </c>
      <c r="B284" s="38">
        <v>643410.0</v>
      </c>
      <c r="C284" s="38">
        <v>862.0</v>
      </c>
      <c r="D284" s="39">
        <f>sumif('PLA Sheet'!C:C,B284,'PLA Sheet'!H:H)</f>
        <v>48.33333333</v>
      </c>
      <c r="E284" s="78">
        <v>5.070505386</v>
      </c>
      <c r="F284" s="78">
        <f>sumif('PLA Sheet'!C:C,B284,'PLA Sheet'!J:J)/D284*9</f>
        <v>3.94344571</v>
      </c>
      <c r="G284" s="79">
        <v>0.448955916</v>
      </c>
      <c r="H284" s="79">
        <v>0.208816705</v>
      </c>
      <c r="I284" s="79">
        <v>0.342227378</v>
      </c>
      <c r="J284" s="79">
        <f t="shared" si="1"/>
        <v>0.106728538</v>
      </c>
      <c r="K284" s="80">
        <v>1.094272906</v>
      </c>
    </row>
    <row r="285">
      <c r="A285" s="1" t="s">
        <v>491</v>
      </c>
      <c r="B285" s="38">
        <v>650644.0</v>
      </c>
      <c r="C285" s="38">
        <v>2340.0</v>
      </c>
      <c r="D285" s="39">
        <f>sumif('PLA Sheet'!C:C,B285,'PLA Sheet'!H:H)</f>
        <v>102</v>
      </c>
      <c r="E285" s="78">
        <v>5.070367346</v>
      </c>
      <c r="F285" s="78">
        <f>sumif('PLA Sheet'!C:C,B285,'PLA Sheet'!J:J)/D285*9</f>
        <v>3.944812323</v>
      </c>
      <c r="G285" s="79">
        <v>0.467948718</v>
      </c>
      <c r="H285" s="79">
        <v>0.198290598</v>
      </c>
      <c r="I285" s="79">
        <v>0.333760684</v>
      </c>
      <c r="J285" s="79">
        <f t="shared" si="1"/>
        <v>0.134188034</v>
      </c>
      <c r="K285" s="80">
        <v>-7.410176363</v>
      </c>
    </row>
    <row r="286">
      <c r="A286" s="1" t="s">
        <v>103</v>
      </c>
      <c r="B286" s="38">
        <v>571946.0</v>
      </c>
      <c r="C286" s="38">
        <v>797.0</v>
      </c>
      <c r="D286" s="39">
        <f>sumif('PLA Sheet'!C:C,B286,'PLA Sheet'!H:H)</f>
        <v>46</v>
      </c>
      <c r="E286" s="78">
        <v>5.069885013</v>
      </c>
      <c r="F286" s="78">
        <f>sumif('PLA Sheet'!C:C,B286,'PLA Sheet'!J:J)/D286*9</f>
        <v>2.633247587</v>
      </c>
      <c r="G286" s="79">
        <v>0.481806775</v>
      </c>
      <c r="H286" s="79">
        <v>0.174404015</v>
      </c>
      <c r="I286" s="79">
        <v>0.34378921</v>
      </c>
      <c r="J286" s="79">
        <f t="shared" si="1"/>
        <v>0.138017565</v>
      </c>
      <c r="K286" s="80">
        <v>2.909760329</v>
      </c>
    </row>
    <row r="287">
      <c r="A287" s="1" t="s">
        <v>302</v>
      </c>
      <c r="B287" s="38">
        <v>681190.0</v>
      </c>
      <c r="C287" s="38">
        <v>1578.0</v>
      </c>
      <c r="D287" s="39">
        <f>sumif('PLA Sheet'!C:C,B287,'PLA Sheet'!H:H)</f>
        <v>133.6666667</v>
      </c>
      <c r="E287" s="78">
        <v>5.069383944</v>
      </c>
      <c r="F287" s="78">
        <f>sumif('PLA Sheet'!C:C,B287,'PLA Sheet'!J:J)/D287*9</f>
        <v>3.306492247</v>
      </c>
      <c r="G287" s="79">
        <v>0.447401774</v>
      </c>
      <c r="H287" s="79">
        <v>0.233206591</v>
      </c>
      <c r="I287" s="79">
        <v>0.319391635</v>
      </c>
      <c r="J287" s="79">
        <f t="shared" si="1"/>
        <v>0.128010139</v>
      </c>
      <c r="K287" s="80">
        <v>-20.00789555</v>
      </c>
    </row>
    <row r="288">
      <c r="A288" s="1" t="s">
        <v>373</v>
      </c>
      <c r="B288" s="38">
        <v>640455.0</v>
      </c>
      <c r="C288" s="38">
        <v>2421.0</v>
      </c>
      <c r="D288" s="39">
        <f>sumif('PLA Sheet'!C:C,B288,'PLA Sheet'!H:H)</f>
        <v>60.66666667</v>
      </c>
      <c r="E288" s="78">
        <v>5.069099504</v>
      </c>
      <c r="F288" s="78">
        <f>sumif('PLA Sheet'!C:C,B288,'PLA Sheet'!J:J)/D288*9</f>
        <v>3.584643131</v>
      </c>
      <c r="G288" s="79">
        <v>0.473358116</v>
      </c>
      <c r="H288" s="79">
        <v>0.216026435</v>
      </c>
      <c r="I288" s="79">
        <v>0.310615448</v>
      </c>
      <c r="J288" s="79">
        <f t="shared" si="1"/>
        <v>0.162742668</v>
      </c>
      <c r="K288" s="80">
        <v>31.59203644</v>
      </c>
    </row>
    <row r="289">
      <c r="A289" s="1" t="s">
        <v>227</v>
      </c>
      <c r="B289" s="38">
        <v>663687.0</v>
      </c>
      <c r="C289" s="38">
        <v>998.0</v>
      </c>
      <c r="D289" s="39">
        <f>sumif('PLA Sheet'!C:C,B289,'PLA Sheet'!H:H)</f>
        <v>64.66666666</v>
      </c>
      <c r="E289" s="78">
        <v>5.068905599</v>
      </c>
      <c r="F289" s="78">
        <f>sumif('PLA Sheet'!C:C,B289,'PLA Sheet'!J:J)/D289*9</f>
        <v>3.025921871</v>
      </c>
      <c r="G289" s="79">
        <v>0.498997996</v>
      </c>
      <c r="H289" s="79">
        <v>0.150300601</v>
      </c>
      <c r="I289" s="79">
        <v>0.350701403</v>
      </c>
      <c r="J289" s="79">
        <f t="shared" si="1"/>
        <v>0.148296593</v>
      </c>
      <c r="K289" s="80">
        <v>-0.015702852</v>
      </c>
    </row>
    <row r="290">
      <c r="A290" s="1" t="s">
        <v>619</v>
      </c>
      <c r="B290" s="38">
        <v>683155.0</v>
      </c>
      <c r="C290" s="38">
        <v>1616.0</v>
      </c>
      <c r="D290" s="39">
        <f>sumif('PLA Sheet'!C:C,B290,'PLA Sheet'!H:H)</f>
        <v>11</v>
      </c>
      <c r="E290" s="78">
        <v>5.067635325</v>
      </c>
      <c r="F290" s="78">
        <f>sumif('PLA Sheet'!C:C,B290,'PLA Sheet'!J:J)/D290*9</f>
        <v>3.820711909</v>
      </c>
      <c r="G290" s="79">
        <v>0.44740099</v>
      </c>
      <c r="H290" s="79">
        <v>0.267326733</v>
      </c>
      <c r="I290" s="79">
        <v>0.285272277</v>
      </c>
      <c r="J290" s="79">
        <f t="shared" si="1"/>
        <v>0.162128713</v>
      </c>
      <c r="K290" s="80">
        <v>4.092014527</v>
      </c>
    </row>
    <row r="291">
      <c r="A291" s="1" t="s">
        <v>388</v>
      </c>
      <c r="B291" s="38">
        <v>687863.0</v>
      </c>
      <c r="C291" s="38">
        <v>533.0</v>
      </c>
      <c r="D291" s="39">
        <f>sumif('PLA Sheet'!C:C,B291,'PLA Sheet'!H:H)</f>
        <v>33</v>
      </c>
      <c r="E291" s="78">
        <v>5.067252902</v>
      </c>
      <c r="F291" s="78">
        <f>sumif('PLA Sheet'!C:C,B291,'PLA Sheet'!J:J)/D291*9</f>
        <v>3.697021364</v>
      </c>
      <c r="G291" s="79">
        <v>0.538461538</v>
      </c>
      <c r="H291" s="79">
        <v>0.200750469</v>
      </c>
      <c r="I291" s="79">
        <v>0.260787992</v>
      </c>
      <c r="J291" s="79">
        <f t="shared" si="1"/>
        <v>0.277673546</v>
      </c>
      <c r="K291" s="80">
        <v>7.714080031</v>
      </c>
    </row>
    <row r="292">
      <c r="A292" s="1" t="s">
        <v>304</v>
      </c>
      <c r="B292" s="38">
        <v>666808.0</v>
      </c>
      <c r="C292" s="38">
        <v>902.0</v>
      </c>
      <c r="D292" s="39">
        <f>sumif('PLA Sheet'!C:C,B292,'PLA Sheet'!H:H)</f>
        <v>65.33333333</v>
      </c>
      <c r="E292" s="78">
        <v>5.065196048</v>
      </c>
      <c r="F292" s="78">
        <f>sumif('PLA Sheet'!C:C,B292,'PLA Sheet'!J:J)/D292*9</f>
        <v>3.324994485</v>
      </c>
      <c r="G292" s="79">
        <v>0.462305987</v>
      </c>
      <c r="H292" s="79">
        <v>0.182926829</v>
      </c>
      <c r="I292" s="79">
        <v>0.354767184</v>
      </c>
      <c r="J292" s="79">
        <f t="shared" si="1"/>
        <v>0.107538803</v>
      </c>
      <c r="K292" s="80">
        <v>2.741539608</v>
      </c>
    </row>
    <row r="293">
      <c r="A293" s="1" t="s">
        <v>297</v>
      </c>
      <c r="B293" s="38">
        <v>641745.0</v>
      </c>
      <c r="C293" s="38">
        <v>734.0</v>
      </c>
      <c r="D293" s="39">
        <f>sumif('PLA Sheet'!C:C,B293,'PLA Sheet'!H:H)</f>
        <v>69.66666667</v>
      </c>
      <c r="E293" s="78">
        <v>5.065076138</v>
      </c>
      <c r="F293" s="78">
        <f>sumif('PLA Sheet'!C:C,B293,'PLA Sheet'!J:J)/D293*9</f>
        <v>3.28409901</v>
      </c>
      <c r="G293" s="79">
        <v>0.442779292</v>
      </c>
      <c r="H293" s="79">
        <v>0.201634877</v>
      </c>
      <c r="I293" s="79">
        <v>0.355585831</v>
      </c>
      <c r="J293" s="79">
        <f t="shared" si="1"/>
        <v>0.087193461</v>
      </c>
      <c r="K293" s="80">
        <v>-4.916080916</v>
      </c>
    </row>
    <row r="294">
      <c r="A294" s="1" t="s">
        <v>281</v>
      </c>
      <c r="B294" s="38">
        <v>622663.0</v>
      </c>
      <c r="C294" s="38">
        <v>2507.0</v>
      </c>
      <c r="D294" s="39">
        <f>sumif('PLA Sheet'!C:C,B294,'PLA Sheet'!H:H)</f>
        <v>162.6666667</v>
      </c>
      <c r="E294" s="78">
        <v>5.06327982</v>
      </c>
      <c r="F294" s="78">
        <f>sumif('PLA Sheet'!C:C,B294,'PLA Sheet'!J:J)/D294*9</f>
        <v>3.23402376</v>
      </c>
      <c r="G294" s="79">
        <v>0.457120064</v>
      </c>
      <c r="H294" s="79">
        <v>0.239728759</v>
      </c>
      <c r="I294" s="79">
        <v>0.303151177</v>
      </c>
      <c r="J294" s="79">
        <f t="shared" si="1"/>
        <v>0.153968887</v>
      </c>
      <c r="K294" s="80">
        <v>7.490445034</v>
      </c>
    </row>
    <row r="295">
      <c r="A295" s="1" t="s">
        <v>225</v>
      </c>
      <c r="B295" s="38">
        <v>596133.0</v>
      </c>
      <c r="C295" s="38">
        <v>1182.0</v>
      </c>
      <c r="D295" s="39">
        <f>sumif('PLA Sheet'!C:C,B295,'PLA Sheet'!H:H)</f>
        <v>64.66666668</v>
      </c>
      <c r="E295" s="78">
        <v>5.062720651</v>
      </c>
      <c r="F295" s="78">
        <f>sumif('PLA Sheet'!C:C,B295,'PLA Sheet'!J:J)/D295*9</f>
        <v>3.023002252</v>
      </c>
      <c r="G295" s="79">
        <v>0.470389171</v>
      </c>
      <c r="H295" s="79">
        <v>0.160744501</v>
      </c>
      <c r="I295" s="79">
        <v>0.368866328</v>
      </c>
      <c r="J295" s="79">
        <f t="shared" si="1"/>
        <v>0.101522843</v>
      </c>
      <c r="K295" s="80">
        <v>7.90524959</v>
      </c>
    </row>
    <row r="296">
      <c r="A296" s="1" t="s">
        <v>1044</v>
      </c>
      <c r="B296" s="38">
        <v>543339.0</v>
      </c>
      <c r="C296" s="38">
        <v>835.0</v>
      </c>
      <c r="D296" s="39">
        <f>sumif('PLA Sheet'!C:C,B296,'PLA Sheet'!H:H)</f>
        <v>0</v>
      </c>
      <c r="E296" s="78">
        <v>5.062152959</v>
      </c>
      <c r="F296" s="78" t="str">
        <f>sumif('PLA Sheet'!C:C,B296,'PLA Sheet'!J:J)/D296*9</f>
        <v>#DIV/0!</v>
      </c>
      <c r="G296" s="79">
        <v>0.452694611</v>
      </c>
      <c r="H296" s="79">
        <v>0.190419162</v>
      </c>
      <c r="I296" s="79">
        <v>0.356886228</v>
      </c>
      <c r="J296" s="79">
        <f t="shared" si="1"/>
        <v>0.095808383</v>
      </c>
      <c r="K296" s="80">
        <v>2.417464734</v>
      </c>
    </row>
    <row r="297">
      <c r="A297" s="1" t="s">
        <v>655</v>
      </c>
      <c r="B297" s="38">
        <v>669062.0</v>
      </c>
      <c r="C297" s="38">
        <v>1095.0</v>
      </c>
      <c r="D297" s="39">
        <f>sumif('PLA Sheet'!C:C,B297,'PLA Sheet'!H:H)</f>
        <v>30</v>
      </c>
      <c r="E297" s="78">
        <v>5.061144268</v>
      </c>
      <c r="F297" s="78">
        <f>sumif('PLA Sheet'!C:C,B297,'PLA Sheet'!J:J)/D297*9</f>
        <v>3.7135779</v>
      </c>
      <c r="G297" s="79">
        <v>0.468493151</v>
      </c>
      <c r="H297" s="79">
        <v>0.141552511</v>
      </c>
      <c r="I297" s="79">
        <v>0.389954338</v>
      </c>
      <c r="J297" s="79">
        <f t="shared" si="1"/>
        <v>0.078538813</v>
      </c>
      <c r="K297" s="80">
        <v>14.76161102</v>
      </c>
    </row>
    <row r="298">
      <c r="A298" s="1" t="s">
        <v>195</v>
      </c>
      <c r="B298" s="38">
        <v>668678.0</v>
      </c>
      <c r="C298" s="38">
        <v>2106.0</v>
      </c>
      <c r="D298" s="39">
        <f>sumif('PLA Sheet'!C:C,B298,'PLA Sheet'!H:H)</f>
        <v>192</v>
      </c>
      <c r="E298" s="78">
        <v>5.06015384</v>
      </c>
      <c r="F298" s="78">
        <f>sumif('PLA Sheet'!C:C,B298,'PLA Sheet'!J:J)/D298*9</f>
        <v>2.915369531</v>
      </c>
      <c r="G298" s="79">
        <v>0.455365622</v>
      </c>
      <c r="H298" s="79">
        <v>0.192307692</v>
      </c>
      <c r="I298" s="79">
        <v>0.352326686</v>
      </c>
      <c r="J298" s="79">
        <f t="shared" si="1"/>
        <v>0.103038936</v>
      </c>
      <c r="K298" s="80">
        <v>-7.262931636</v>
      </c>
    </row>
    <row r="299">
      <c r="A299" s="1" t="s">
        <v>278</v>
      </c>
      <c r="B299" s="38">
        <v>542881.0</v>
      </c>
      <c r="C299" s="38">
        <v>2542.0</v>
      </c>
      <c r="D299" s="39">
        <f>sumif('PLA Sheet'!C:C,B299,'PLA Sheet'!H:H)</f>
        <v>136.3333333</v>
      </c>
      <c r="E299" s="78">
        <v>5.054478654</v>
      </c>
      <c r="F299" s="78">
        <f>sumif('PLA Sheet'!C:C,B299,'PLA Sheet'!J:J)/D299*9</f>
        <v>3.225678447</v>
      </c>
      <c r="G299" s="79">
        <v>0.438237608</v>
      </c>
      <c r="H299" s="79">
        <v>0.184107002</v>
      </c>
      <c r="I299" s="79">
        <v>0.377655389</v>
      </c>
      <c r="J299" s="79">
        <f t="shared" si="1"/>
        <v>0.060582219</v>
      </c>
      <c r="K299" s="80">
        <v>-4.377751613</v>
      </c>
    </row>
    <row r="300">
      <c r="A300" s="1" t="s">
        <v>380</v>
      </c>
      <c r="B300" s="38">
        <v>661563.0</v>
      </c>
      <c r="C300" s="38">
        <v>2197.0</v>
      </c>
      <c r="D300" s="39">
        <f>sumif('PLA Sheet'!C:C,B300,'PLA Sheet'!H:H)</f>
        <v>57</v>
      </c>
      <c r="E300" s="78">
        <v>5.053776769</v>
      </c>
      <c r="F300" s="78">
        <f>sumif('PLA Sheet'!C:C,B300,'PLA Sheet'!J:J)/D300*9</f>
        <v>3.647748316</v>
      </c>
      <c r="G300" s="79">
        <v>0.481110605</v>
      </c>
      <c r="H300" s="79">
        <v>0.153846154</v>
      </c>
      <c r="I300" s="79">
        <v>0.365043241</v>
      </c>
      <c r="J300" s="79">
        <f t="shared" si="1"/>
        <v>0.116067364</v>
      </c>
      <c r="K300" s="80">
        <v>15.52889237</v>
      </c>
    </row>
    <row r="301">
      <c r="A301" s="1" t="s">
        <v>1045</v>
      </c>
      <c r="B301" s="38">
        <v>571670.0</v>
      </c>
      <c r="C301" s="38">
        <v>917.0</v>
      </c>
      <c r="D301" s="39">
        <f>sumif('PLA Sheet'!C:C,B301,'PLA Sheet'!H:H)</f>
        <v>0</v>
      </c>
      <c r="E301" s="78">
        <v>5.053712821</v>
      </c>
      <c r="F301" s="78" t="str">
        <f>sumif('PLA Sheet'!C:C,B301,'PLA Sheet'!J:J)/D301*9</f>
        <v>#DIV/0!</v>
      </c>
      <c r="G301" s="79">
        <v>0.436205016</v>
      </c>
      <c r="H301" s="79">
        <v>0.195201745</v>
      </c>
      <c r="I301" s="79">
        <v>0.368593239</v>
      </c>
      <c r="J301" s="79">
        <f t="shared" si="1"/>
        <v>0.067611777</v>
      </c>
      <c r="K301" s="80">
        <v>4.216202209</v>
      </c>
    </row>
    <row r="302">
      <c r="A302" s="1" t="s">
        <v>211</v>
      </c>
      <c r="B302" s="38">
        <v>668933.0</v>
      </c>
      <c r="C302" s="38">
        <v>1324.0</v>
      </c>
      <c r="D302" s="39">
        <f>sumif('PLA Sheet'!C:C,B302,'PLA Sheet'!H:H)</f>
        <v>65.33333334</v>
      </c>
      <c r="E302" s="78">
        <v>5.052591582</v>
      </c>
      <c r="F302" s="78">
        <f>sumif('PLA Sheet'!C:C,B302,'PLA Sheet'!J:J)/D302*9</f>
        <v>2.959878306</v>
      </c>
      <c r="G302" s="79">
        <v>0.459214502</v>
      </c>
      <c r="H302" s="79">
        <v>0.177492447</v>
      </c>
      <c r="I302" s="79">
        <v>0.363293051</v>
      </c>
      <c r="J302" s="79">
        <f t="shared" si="1"/>
        <v>0.095921451</v>
      </c>
      <c r="K302" s="80">
        <v>-2.283004423</v>
      </c>
    </row>
    <row r="303">
      <c r="A303" s="1" t="s">
        <v>382</v>
      </c>
      <c r="B303" s="38">
        <v>656288.0</v>
      </c>
      <c r="C303" s="38">
        <v>2481.0</v>
      </c>
      <c r="D303" s="39">
        <f>sumif('PLA Sheet'!C:C,B303,'PLA Sheet'!H:H)</f>
        <v>76.33333334</v>
      </c>
      <c r="E303" s="78">
        <v>5.052565876</v>
      </c>
      <c r="F303" s="78">
        <f>sumif('PLA Sheet'!C:C,B303,'PLA Sheet'!J:J)/D303*9</f>
        <v>3.652114794</v>
      </c>
      <c r="G303" s="79">
        <v>0.454252318</v>
      </c>
      <c r="H303" s="79">
        <v>0.17694478</v>
      </c>
      <c r="I303" s="79">
        <v>0.368802902</v>
      </c>
      <c r="J303" s="79">
        <f t="shared" si="1"/>
        <v>0.085449416</v>
      </c>
      <c r="K303" s="80">
        <v>-9.657447119</v>
      </c>
    </row>
    <row r="304">
      <c r="A304" s="1" t="s">
        <v>265</v>
      </c>
      <c r="B304" s="38">
        <v>669084.0</v>
      </c>
      <c r="C304" s="38">
        <v>567.0</v>
      </c>
      <c r="D304" s="39">
        <f>sumif('PLA Sheet'!C:C,B304,'PLA Sheet'!H:H)</f>
        <v>38.66666667</v>
      </c>
      <c r="E304" s="78">
        <v>5.050067206</v>
      </c>
      <c r="F304" s="78">
        <f>sumif('PLA Sheet'!C:C,B304,'PLA Sheet'!J:J)/D304*9</f>
        <v>3.16242644</v>
      </c>
      <c r="G304" s="79">
        <v>0.48324515</v>
      </c>
      <c r="H304" s="79">
        <v>0.162257496</v>
      </c>
      <c r="I304" s="79">
        <v>0.354497354</v>
      </c>
      <c r="J304" s="79">
        <f t="shared" si="1"/>
        <v>0.128747796</v>
      </c>
      <c r="K304" s="80">
        <v>-4.754172602</v>
      </c>
    </row>
    <row r="305">
      <c r="A305" s="1" t="s">
        <v>475</v>
      </c>
      <c r="B305" s="38">
        <v>605130.0</v>
      </c>
      <c r="C305" s="38">
        <v>982.0</v>
      </c>
      <c r="D305" s="39">
        <f>sumif('PLA Sheet'!C:C,B305,'PLA Sheet'!H:H)</f>
        <v>68.33333333</v>
      </c>
      <c r="E305" s="78">
        <v>5.04926497</v>
      </c>
      <c r="F305" s="78">
        <f>sumif('PLA Sheet'!C:C,B305,'PLA Sheet'!J:J)/D305*9</f>
        <v>4.274552942</v>
      </c>
      <c r="G305" s="79">
        <v>0.458248473</v>
      </c>
      <c r="H305" s="79">
        <v>0.156822811</v>
      </c>
      <c r="I305" s="79">
        <v>0.384928717</v>
      </c>
      <c r="J305" s="79">
        <f t="shared" si="1"/>
        <v>0.073319756</v>
      </c>
      <c r="K305" s="80">
        <v>0.460234889</v>
      </c>
    </row>
    <row r="306">
      <c r="A306" s="1" t="s">
        <v>442</v>
      </c>
      <c r="B306" s="38">
        <v>669674.0</v>
      </c>
      <c r="C306" s="38">
        <v>551.0</v>
      </c>
      <c r="D306" s="39">
        <f>sumif('PLA Sheet'!C:C,B306,'PLA Sheet'!H:H)</f>
        <v>40.33333333</v>
      </c>
      <c r="E306" s="78">
        <v>5.048688465</v>
      </c>
      <c r="F306" s="78">
        <f>sumif('PLA Sheet'!C:C,B306,'PLA Sheet'!J:J)/D306*9</f>
        <v>4.306911917</v>
      </c>
      <c r="G306" s="79">
        <v>0.453720508</v>
      </c>
      <c r="H306" s="79">
        <v>0.186932849</v>
      </c>
      <c r="I306" s="79">
        <v>0.359346642</v>
      </c>
      <c r="J306" s="79">
        <f t="shared" si="1"/>
        <v>0.094373866</v>
      </c>
      <c r="K306" s="80">
        <v>1.692718293</v>
      </c>
    </row>
    <row r="307">
      <c r="A307" s="1" t="s">
        <v>1046</v>
      </c>
      <c r="B307" s="38">
        <v>519293.0</v>
      </c>
      <c r="C307" s="38">
        <v>669.0</v>
      </c>
      <c r="D307" s="39">
        <f>sumif('PLA Sheet'!C:C,B307,'PLA Sheet'!H:H)</f>
        <v>0</v>
      </c>
      <c r="E307" s="78">
        <v>5.045326526</v>
      </c>
      <c r="F307" s="78" t="str">
        <f>sumif('PLA Sheet'!C:C,B307,'PLA Sheet'!J:J)/D307*9</f>
        <v>#DIV/0!</v>
      </c>
      <c r="G307" s="79">
        <v>0.434977578</v>
      </c>
      <c r="H307" s="79">
        <v>0.23019432</v>
      </c>
      <c r="I307" s="79">
        <v>0.334828102</v>
      </c>
      <c r="J307" s="79">
        <f t="shared" si="1"/>
        <v>0.100149476</v>
      </c>
      <c r="K307" s="80">
        <v>-5.611127065</v>
      </c>
    </row>
    <row r="308">
      <c r="A308" s="1" t="s">
        <v>284</v>
      </c>
      <c r="B308" s="38">
        <v>673513.0</v>
      </c>
      <c r="C308" s="38">
        <v>981.0</v>
      </c>
      <c r="D308" s="39">
        <f>sumif('PLA Sheet'!C:C,B308,'PLA Sheet'!H:H)</f>
        <v>63.33333333</v>
      </c>
      <c r="E308" s="78">
        <v>5.044988758</v>
      </c>
      <c r="F308" s="78">
        <f>sumif('PLA Sheet'!C:C,B308,'PLA Sheet'!J:J)/D308*9</f>
        <v>3.245940853</v>
      </c>
      <c r="G308" s="79">
        <v>0.460754332</v>
      </c>
      <c r="H308" s="79">
        <v>0.170234455</v>
      </c>
      <c r="I308" s="79">
        <v>0.369011213</v>
      </c>
      <c r="J308" s="79">
        <f t="shared" si="1"/>
        <v>0.091743119</v>
      </c>
      <c r="K308" s="80">
        <v>3.673370972</v>
      </c>
    </row>
    <row r="309">
      <c r="A309" s="1" t="s">
        <v>1047</v>
      </c>
      <c r="B309" s="38">
        <v>666205.0</v>
      </c>
      <c r="C309" s="38">
        <v>633.0</v>
      </c>
      <c r="D309" s="39">
        <f>sumif('PLA Sheet'!C:C,B309,'PLA Sheet'!H:H)</f>
        <v>0</v>
      </c>
      <c r="E309" s="78">
        <v>5.044853946</v>
      </c>
      <c r="F309" s="78" t="str">
        <f>sumif('PLA Sheet'!C:C,B309,'PLA Sheet'!J:J)/D309*9</f>
        <v>#DIV/0!</v>
      </c>
      <c r="G309" s="79">
        <v>0.477093207</v>
      </c>
      <c r="H309" s="79">
        <v>0.153238547</v>
      </c>
      <c r="I309" s="79">
        <v>0.369668246</v>
      </c>
      <c r="J309" s="79">
        <f t="shared" si="1"/>
        <v>0.107424961</v>
      </c>
      <c r="K309" s="80">
        <v>-3.689685769</v>
      </c>
    </row>
    <row r="310">
      <c r="A310" s="1" t="s">
        <v>322</v>
      </c>
      <c r="B310" s="38">
        <v>678368.0</v>
      </c>
      <c r="C310" s="38">
        <v>743.0</v>
      </c>
      <c r="D310" s="39">
        <f>sumif('PLA Sheet'!C:C,B310,'PLA Sheet'!H:H)</f>
        <v>81.33333335</v>
      </c>
      <c r="E310" s="78">
        <v>5.044853385</v>
      </c>
      <c r="F310" s="78">
        <f>sumif('PLA Sheet'!C:C,B310,'PLA Sheet'!J:J)/D310*9</f>
        <v>3.379704971</v>
      </c>
      <c r="G310" s="79">
        <v>0.438761777</v>
      </c>
      <c r="H310" s="79">
        <v>0.200538358</v>
      </c>
      <c r="I310" s="79">
        <v>0.360699865</v>
      </c>
      <c r="J310" s="79">
        <f t="shared" si="1"/>
        <v>0.078061912</v>
      </c>
      <c r="K310" s="80">
        <v>-0.635466489</v>
      </c>
    </row>
    <row r="311">
      <c r="A311" s="1" t="s">
        <v>484</v>
      </c>
      <c r="B311" s="38">
        <v>682847.0</v>
      </c>
      <c r="C311" s="38">
        <v>1755.0</v>
      </c>
      <c r="D311" s="39">
        <f>sumif('PLA Sheet'!C:C,B311,'PLA Sheet'!H:H)</f>
        <v>88.66666667</v>
      </c>
      <c r="E311" s="78">
        <v>5.043306231</v>
      </c>
      <c r="F311" s="78">
        <f>sumif('PLA Sheet'!C:C,B311,'PLA Sheet'!J:J)/D311*9</f>
        <v>3.889796312</v>
      </c>
      <c r="G311" s="79">
        <v>0.451282051</v>
      </c>
      <c r="H311" s="79">
        <v>0.188034188</v>
      </c>
      <c r="I311" s="79">
        <v>0.360683761</v>
      </c>
      <c r="J311" s="79">
        <f t="shared" si="1"/>
        <v>0.09059829</v>
      </c>
      <c r="K311" s="80">
        <v>13.53790379</v>
      </c>
    </row>
    <row r="312">
      <c r="A312" s="1" t="s">
        <v>455</v>
      </c>
      <c r="B312" s="38">
        <v>570632.0</v>
      </c>
      <c r="C312" s="38">
        <v>1635.0</v>
      </c>
      <c r="D312" s="39">
        <f>sumif('PLA Sheet'!C:C,B312,'PLA Sheet'!H:H)</f>
        <v>55</v>
      </c>
      <c r="E312" s="78">
        <v>5.041225677</v>
      </c>
      <c r="F312" s="78">
        <f>sumif('PLA Sheet'!C:C,B312,'PLA Sheet'!J:J)/D312*9</f>
        <v>3.818635363</v>
      </c>
      <c r="G312" s="79">
        <v>0.443425076</v>
      </c>
      <c r="H312" s="79">
        <v>0.162079511</v>
      </c>
      <c r="I312" s="79">
        <v>0.394495413</v>
      </c>
      <c r="J312" s="79">
        <f t="shared" si="1"/>
        <v>0.048929663</v>
      </c>
      <c r="K312" s="80">
        <v>-4.504030778</v>
      </c>
    </row>
    <row r="313">
      <c r="A313" s="1" t="s">
        <v>392</v>
      </c>
      <c r="B313" s="38">
        <v>489446.0</v>
      </c>
      <c r="C313" s="38">
        <v>855.0</v>
      </c>
      <c r="D313" s="39">
        <f>sumif('PLA Sheet'!C:C,B313,'PLA Sheet'!H:H)</f>
        <v>41.33333333</v>
      </c>
      <c r="E313" s="78">
        <v>5.039098379</v>
      </c>
      <c r="F313" s="78">
        <f>sumif('PLA Sheet'!C:C,B313,'PLA Sheet'!J:J)/D313*9</f>
        <v>3.898519766</v>
      </c>
      <c r="G313" s="79">
        <v>0.452631579</v>
      </c>
      <c r="H313" s="79">
        <v>0.197660819</v>
      </c>
      <c r="I313" s="79">
        <v>0.349707602</v>
      </c>
      <c r="J313" s="79">
        <f t="shared" si="1"/>
        <v>0.102923977</v>
      </c>
      <c r="K313" s="80">
        <v>22.30764306</v>
      </c>
    </row>
    <row r="314">
      <c r="A314" s="1" t="s">
        <v>979</v>
      </c>
      <c r="B314" s="38">
        <v>676775.0</v>
      </c>
      <c r="C314" s="38">
        <v>841.0</v>
      </c>
      <c r="D314" s="39">
        <f>sumif('PLA Sheet'!C:C,B314,'PLA Sheet'!H:H)</f>
        <v>10</v>
      </c>
      <c r="E314" s="78">
        <v>5.037051365</v>
      </c>
      <c r="F314" s="78">
        <f>sumif('PLA Sheet'!C:C,B314,'PLA Sheet'!J:J)/D314*9</f>
        <v>3.9010896</v>
      </c>
      <c r="G314" s="79">
        <v>0.46254459</v>
      </c>
      <c r="H314" s="79">
        <v>0.180737218</v>
      </c>
      <c r="I314" s="79">
        <v>0.356718193</v>
      </c>
      <c r="J314" s="79">
        <f t="shared" si="1"/>
        <v>0.105826397</v>
      </c>
      <c r="K314" s="80">
        <v>1.208284163</v>
      </c>
    </row>
    <row r="315">
      <c r="A315" s="1" t="s">
        <v>504</v>
      </c>
      <c r="B315" s="38">
        <v>663372.0</v>
      </c>
      <c r="C315" s="38">
        <v>2118.0</v>
      </c>
      <c r="D315" s="39">
        <f>sumif('PLA Sheet'!C:C,B315,'PLA Sheet'!H:H)</f>
        <v>30.33333334</v>
      </c>
      <c r="E315" s="78">
        <v>5.03604972</v>
      </c>
      <c r="F315" s="78">
        <f>sumif('PLA Sheet'!C:C,B315,'PLA Sheet'!J:J)/D315*9</f>
        <v>4.104770835</v>
      </c>
      <c r="G315" s="79">
        <v>0.459395656</v>
      </c>
      <c r="H315" s="79">
        <v>0.182247403</v>
      </c>
      <c r="I315" s="79">
        <v>0.358356941</v>
      </c>
      <c r="J315" s="79">
        <f t="shared" si="1"/>
        <v>0.101038715</v>
      </c>
      <c r="K315" s="80">
        <v>-21.19450233</v>
      </c>
    </row>
    <row r="316">
      <c r="A316" s="1" t="s">
        <v>295</v>
      </c>
      <c r="B316" s="38">
        <v>657585.0</v>
      </c>
      <c r="C316" s="38">
        <v>821.0</v>
      </c>
      <c r="D316" s="39">
        <f>sumif('PLA Sheet'!C:C,B316,'PLA Sheet'!H:H)</f>
        <v>55.33333333</v>
      </c>
      <c r="E316" s="78">
        <v>5.034936168</v>
      </c>
      <c r="F316" s="78">
        <f>sumif('PLA Sheet'!C:C,B316,'PLA Sheet'!J:J)/D316*9</f>
        <v>3.281939132</v>
      </c>
      <c r="G316" s="79">
        <v>0.477466504</v>
      </c>
      <c r="H316" s="79">
        <v>0.204628502</v>
      </c>
      <c r="I316" s="79">
        <v>0.317904994</v>
      </c>
      <c r="J316" s="79">
        <f t="shared" si="1"/>
        <v>0.15956151</v>
      </c>
      <c r="K316" s="80">
        <v>-3.611936944</v>
      </c>
    </row>
    <row r="317">
      <c r="A317" s="1" t="s">
        <v>429</v>
      </c>
      <c r="B317" s="38">
        <v>662253.0</v>
      </c>
      <c r="C317" s="38">
        <v>827.0</v>
      </c>
      <c r="D317" s="39">
        <f>sumif('PLA Sheet'!C:C,B317,'PLA Sheet'!H:H)</f>
        <v>62.33333334</v>
      </c>
      <c r="E317" s="78">
        <v>5.034296457</v>
      </c>
      <c r="F317" s="78">
        <f>sumif('PLA Sheet'!C:C,B317,'PLA Sheet'!J:J)/D317*9</f>
        <v>3.535705588</v>
      </c>
      <c r="G317" s="79">
        <v>0.45949214</v>
      </c>
      <c r="H317" s="79">
        <v>0.188633615</v>
      </c>
      <c r="I317" s="79">
        <v>0.351874244</v>
      </c>
      <c r="J317" s="79">
        <f t="shared" si="1"/>
        <v>0.107617896</v>
      </c>
      <c r="K317" s="80">
        <v>8.695694552</v>
      </c>
    </row>
    <row r="318">
      <c r="A318" s="1" t="s">
        <v>121</v>
      </c>
      <c r="B318" s="38">
        <v>676974.0</v>
      </c>
      <c r="C318" s="38">
        <v>956.0</v>
      </c>
      <c r="D318" s="39">
        <f>sumif('PLA Sheet'!C:C,B318,'PLA Sheet'!H:H)</f>
        <v>64.66666667</v>
      </c>
      <c r="E318" s="78">
        <v>5.032875949</v>
      </c>
      <c r="F318" s="78">
        <f>sumif('PLA Sheet'!C:C,B318,'PLA Sheet'!J:J)/D318*9</f>
        <v>2.700680149</v>
      </c>
      <c r="G318" s="79">
        <v>0.432008368</v>
      </c>
      <c r="H318" s="79">
        <v>0.209205021</v>
      </c>
      <c r="I318" s="79">
        <v>0.358786611</v>
      </c>
      <c r="J318" s="79">
        <f t="shared" si="1"/>
        <v>0.073221757</v>
      </c>
      <c r="K318" s="80">
        <v>-7.51206655</v>
      </c>
    </row>
    <row r="319">
      <c r="A319" s="1" t="s">
        <v>222</v>
      </c>
      <c r="B319" s="38">
        <v>518876.0</v>
      </c>
      <c r="C319" s="38">
        <v>723.0</v>
      </c>
      <c r="D319" s="39">
        <f>sumif('PLA Sheet'!C:C,B319,'PLA Sheet'!H:H)</f>
        <v>184</v>
      </c>
      <c r="E319" s="78">
        <v>5.030373298</v>
      </c>
      <c r="F319" s="78">
        <f>sumif('PLA Sheet'!C:C,B319,'PLA Sheet'!J:J)/D319*9</f>
        <v>3.006309864</v>
      </c>
      <c r="G319" s="79">
        <v>0.457814661</v>
      </c>
      <c r="H319" s="79">
        <v>0.175656985</v>
      </c>
      <c r="I319" s="79">
        <v>0.366528354</v>
      </c>
      <c r="J319" s="79">
        <f t="shared" si="1"/>
        <v>0.091286307</v>
      </c>
      <c r="K319" s="80">
        <v>-1.606003237</v>
      </c>
    </row>
    <row r="320">
      <c r="A320" s="1" t="s">
        <v>456</v>
      </c>
      <c r="B320" s="38">
        <v>605135.0</v>
      </c>
      <c r="C320" s="38">
        <v>2672.0</v>
      </c>
      <c r="D320" s="39">
        <f>sumif('PLA Sheet'!C:C,B320,'PLA Sheet'!H:H)</f>
        <v>170.3333333</v>
      </c>
      <c r="E320" s="78">
        <v>5.029573684</v>
      </c>
      <c r="F320" s="78">
        <f>sumif('PLA Sheet'!C:C,B320,'PLA Sheet'!J:J)/D320*9</f>
        <v>3.622228169</v>
      </c>
      <c r="G320" s="79">
        <v>0.45995509</v>
      </c>
      <c r="H320" s="79">
        <v>0.190868263</v>
      </c>
      <c r="I320" s="79">
        <v>0.349176647</v>
      </c>
      <c r="J320" s="79">
        <f t="shared" si="1"/>
        <v>0.110778443</v>
      </c>
      <c r="K320" s="80">
        <v>4.05750519</v>
      </c>
    </row>
    <row r="321">
      <c r="A321" s="1" t="s">
        <v>990</v>
      </c>
      <c r="B321" s="38">
        <v>543859.0</v>
      </c>
      <c r="C321" s="38">
        <v>1242.0</v>
      </c>
      <c r="D321" s="39">
        <f>sumif('PLA Sheet'!C:C,B321,'PLA Sheet'!H:H)</f>
        <v>24</v>
      </c>
      <c r="E321" s="78">
        <v>5.027354356</v>
      </c>
      <c r="F321" s="78">
        <f>sumif('PLA Sheet'!C:C,B321,'PLA Sheet'!J:J)/D321*9</f>
        <v>4.022495625</v>
      </c>
      <c r="G321" s="79">
        <v>0.443639291</v>
      </c>
      <c r="H321" s="79">
        <v>0.239935588</v>
      </c>
      <c r="I321" s="79">
        <v>0.316425121</v>
      </c>
      <c r="J321" s="79">
        <f t="shared" si="1"/>
        <v>0.12721417</v>
      </c>
      <c r="K321" s="80">
        <v>9.534161802</v>
      </c>
    </row>
    <row r="322">
      <c r="A322" s="1" t="s">
        <v>828</v>
      </c>
      <c r="B322" s="38">
        <v>600917.0</v>
      </c>
      <c r="C322" s="38">
        <v>1022.0</v>
      </c>
      <c r="D322" s="39">
        <f>sumif('PLA Sheet'!C:C,B322,'PLA Sheet'!H:H)</f>
        <v>8.999999998</v>
      </c>
      <c r="E322" s="78">
        <v>5.025901427</v>
      </c>
      <c r="F322" s="78">
        <f>sumif('PLA Sheet'!C:C,B322,'PLA Sheet'!J:J)/D322*9</f>
        <v>6.085826001</v>
      </c>
      <c r="G322" s="79">
        <v>0.453033268</v>
      </c>
      <c r="H322" s="79">
        <v>0.166340509</v>
      </c>
      <c r="I322" s="79">
        <v>0.380626223</v>
      </c>
      <c r="J322" s="79">
        <f t="shared" si="1"/>
        <v>0.072407045</v>
      </c>
      <c r="K322" s="80">
        <v>1.843716578</v>
      </c>
    </row>
    <row r="323">
      <c r="A323" s="1" t="s">
        <v>505</v>
      </c>
      <c r="B323" s="38">
        <v>621053.0</v>
      </c>
      <c r="C323" s="38">
        <v>655.0</v>
      </c>
      <c r="D323" s="39">
        <f>sumif('PLA Sheet'!C:C,B323,'PLA Sheet'!H:H)</f>
        <v>58</v>
      </c>
      <c r="E323" s="78">
        <v>5.024150075</v>
      </c>
      <c r="F323" s="78">
        <f>sumif('PLA Sheet'!C:C,B323,'PLA Sheet'!J:J)/D323*9</f>
        <v>4.186547379</v>
      </c>
      <c r="G323" s="79">
        <v>0.436641221</v>
      </c>
      <c r="H323" s="79">
        <v>0.27480916</v>
      </c>
      <c r="I323" s="79">
        <v>0.288549618</v>
      </c>
      <c r="J323" s="79">
        <f t="shared" si="1"/>
        <v>0.148091603</v>
      </c>
      <c r="K323" s="80">
        <v>16.30962156</v>
      </c>
    </row>
    <row r="324">
      <c r="A324" s="1" t="s">
        <v>869</v>
      </c>
      <c r="B324" s="38">
        <v>670950.0</v>
      </c>
      <c r="C324" s="38">
        <v>1173.0</v>
      </c>
      <c r="D324" s="39">
        <f>sumif('PLA Sheet'!C:C,B324,'PLA Sheet'!H:H)</f>
        <v>5.666666667</v>
      </c>
      <c r="E324" s="78">
        <v>5.023702235</v>
      </c>
      <c r="F324" s="78">
        <f>sumif('PLA Sheet'!C:C,B324,'PLA Sheet'!J:J)/D324*9</f>
        <v>3.154446529</v>
      </c>
      <c r="G324" s="79">
        <v>0.477408355</v>
      </c>
      <c r="H324" s="79">
        <v>0.152600171</v>
      </c>
      <c r="I324" s="79">
        <v>0.369991475</v>
      </c>
      <c r="J324" s="79">
        <f t="shared" si="1"/>
        <v>0.10741688</v>
      </c>
      <c r="K324" s="80">
        <v>14.16274324</v>
      </c>
    </row>
    <row r="325">
      <c r="A325" s="1" t="s">
        <v>1048</v>
      </c>
      <c r="B325" s="38">
        <v>571656.0</v>
      </c>
      <c r="C325" s="38">
        <v>1009.0</v>
      </c>
      <c r="D325" s="39">
        <f>sumif('PLA Sheet'!C:C,B325,'PLA Sheet'!H:H)</f>
        <v>0</v>
      </c>
      <c r="E325" s="78">
        <v>5.023303034</v>
      </c>
      <c r="F325" s="78" t="str">
        <f>sumif('PLA Sheet'!C:C,B325,'PLA Sheet'!J:J)/D325*9</f>
        <v>#DIV/0!</v>
      </c>
      <c r="G325" s="79">
        <v>0.458870168</v>
      </c>
      <c r="H325" s="79">
        <v>0.188305253</v>
      </c>
      <c r="I325" s="79">
        <v>0.352824579</v>
      </c>
      <c r="J325" s="79">
        <f t="shared" si="1"/>
        <v>0.106045589</v>
      </c>
      <c r="K325" s="80">
        <v>13.35052484</v>
      </c>
    </row>
    <row r="326">
      <c r="A326" s="1" t="s">
        <v>353</v>
      </c>
      <c r="B326" s="38">
        <v>663903.0</v>
      </c>
      <c r="C326" s="38">
        <v>2583.0</v>
      </c>
      <c r="D326" s="39">
        <f>sumif('PLA Sheet'!C:C,B326,'PLA Sheet'!H:H)</f>
        <v>169.6666667</v>
      </c>
      <c r="E326" s="78">
        <v>5.023233051</v>
      </c>
      <c r="F326" s="78">
        <f>sumif('PLA Sheet'!C:C,B326,'PLA Sheet'!J:J)/D326*9</f>
        <v>3.47927087</v>
      </c>
      <c r="G326" s="79">
        <v>0.426635695</v>
      </c>
      <c r="H326" s="79">
        <v>0.220286489</v>
      </c>
      <c r="I326" s="79">
        <v>0.353077816</v>
      </c>
      <c r="J326" s="79">
        <f t="shared" si="1"/>
        <v>0.073557879</v>
      </c>
      <c r="K326" s="80">
        <v>2.168670034</v>
      </c>
    </row>
    <row r="327">
      <c r="A327" s="1" t="s">
        <v>383</v>
      </c>
      <c r="B327" s="38">
        <v>573186.0</v>
      </c>
      <c r="C327" s="38">
        <v>2419.0</v>
      </c>
      <c r="D327" s="39">
        <f>sumif('PLA Sheet'!C:C,B327,'PLA Sheet'!H:H)</f>
        <v>39</v>
      </c>
      <c r="E327" s="78">
        <v>5.02254115</v>
      </c>
      <c r="F327" s="78">
        <f>sumif('PLA Sheet'!C:C,B327,'PLA Sheet'!J:J)/D327*9</f>
        <v>3.663520615</v>
      </c>
      <c r="G327" s="79">
        <v>0.451426209</v>
      </c>
      <c r="H327" s="79">
        <v>0.212071104</v>
      </c>
      <c r="I327" s="79">
        <v>0.336502687</v>
      </c>
      <c r="J327" s="79">
        <f t="shared" si="1"/>
        <v>0.114923522</v>
      </c>
      <c r="K327" s="80">
        <v>-8.098248735</v>
      </c>
    </row>
    <row r="328">
      <c r="A328" s="1" t="s">
        <v>520</v>
      </c>
      <c r="B328" s="38">
        <v>641656.0</v>
      </c>
      <c r="C328" s="38">
        <v>517.0</v>
      </c>
      <c r="D328" s="39">
        <f>sumif('PLA Sheet'!C:C,B328,'PLA Sheet'!H:H)</f>
        <v>40</v>
      </c>
      <c r="E328" s="78">
        <v>5.021965865</v>
      </c>
      <c r="F328" s="78">
        <f>sumif('PLA Sheet'!C:C,B328,'PLA Sheet'!J:J)/D328*9</f>
        <v>4.115625525</v>
      </c>
      <c r="G328" s="79">
        <v>0.46615087</v>
      </c>
      <c r="H328" s="79">
        <v>0.191489362</v>
      </c>
      <c r="I328" s="79">
        <v>0.342359768</v>
      </c>
      <c r="J328" s="79">
        <f t="shared" si="1"/>
        <v>0.123791102</v>
      </c>
      <c r="K328" s="80">
        <v>-5.519365369</v>
      </c>
    </row>
    <row r="329">
      <c r="A329" s="1" t="s">
        <v>307</v>
      </c>
      <c r="B329" s="38">
        <v>656849.0</v>
      </c>
      <c r="C329" s="38">
        <v>1525.0</v>
      </c>
      <c r="D329" s="39">
        <f>sumif('PLA Sheet'!C:C,B329,'PLA Sheet'!H:H)</f>
        <v>168.6666667</v>
      </c>
      <c r="E329" s="78">
        <v>5.021678268</v>
      </c>
      <c r="F329" s="78">
        <f>sumif('PLA Sheet'!C:C,B329,'PLA Sheet'!J:J)/D329*9</f>
        <v>3.343789334</v>
      </c>
      <c r="G329" s="79">
        <v>0.46295082</v>
      </c>
      <c r="H329" s="79">
        <v>0.166557377</v>
      </c>
      <c r="I329" s="79">
        <v>0.370491803</v>
      </c>
      <c r="J329" s="79">
        <f t="shared" si="1"/>
        <v>0.092459017</v>
      </c>
      <c r="K329" s="80">
        <v>8.304182581</v>
      </c>
    </row>
    <row r="330">
      <c r="A330" s="1" t="s">
        <v>387</v>
      </c>
      <c r="B330" s="38">
        <v>669060.0</v>
      </c>
      <c r="C330" s="38">
        <v>1630.0</v>
      </c>
      <c r="D330" s="39">
        <f>sumif('PLA Sheet'!C:C,B330,'PLA Sheet'!H:H)</f>
        <v>47.33333333</v>
      </c>
      <c r="E330" s="78">
        <v>5.020547539</v>
      </c>
      <c r="F330" s="78">
        <f>sumif('PLA Sheet'!C:C,B330,'PLA Sheet'!J:J)/D330*9</f>
        <v>3.687782451</v>
      </c>
      <c r="G330" s="79">
        <v>0.450306748</v>
      </c>
      <c r="H330" s="79">
        <v>0.184662577</v>
      </c>
      <c r="I330" s="79">
        <v>0.365030675</v>
      </c>
      <c r="J330" s="79">
        <f t="shared" si="1"/>
        <v>0.085276073</v>
      </c>
      <c r="K330" s="80">
        <v>3.479459444</v>
      </c>
    </row>
    <row r="331">
      <c r="A331" s="1" t="s">
        <v>169</v>
      </c>
      <c r="B331" s="38">
        <v>671096.0</v>
      </c>
      <c r="C331" s="38">
        <v>2309.0</v>
      </c>
      <c r="D331" s="39">
        <f>sumif('PLA Sheet'!C:C,B331,'PLA Sheet'!H:H)</f>
        <v>166.3333333</v>
      </c>
      <c r="E331" s="78">
        <v>5.020411072</v>
      </c>
      <c r="F331" s="78">
        <f>sumif('PLA Sheet'!C:C,B331,'PLA Sheet'!J:J)/D331*9</f>
        <v>2.862212754</v>
      </c>
      <c r="G331" s="79">
        <v>0.447379818</v>
      </c>
      <c r="H331" s="79">
        <v>0.236899091</v>
      </c>
      <c r="I331" s="79">
        <v>0.315721091</v>
      </c>
      <c r="J331" s="79">
        <f t="shared" si="1"/>
        <v>0.131658727</v>
      </c>
      <c r="K331" s="80">
        <v>-7.103311114</v>
      </c>
    </row>
    <row r="332">
      <c r="A332" s="1" t="s">
        <v>1049</v>
      </c>
      <c r="B332" s="38">
        <v>689672.0</v>
      </c>
      <c r="C332" s="38">
        <v>716.0</v>
      </c>
      <c r="D332" s="39">
        <f>sumif('PLA Sheet'!C:C,B332,'PLA Sheet'!H:H)</f>
        <v>0</v>
      </c>
      <c r="E332" s="78">
        <v>5.019725864</v>
      </c>
      <c r="F332" s="78" t="str">
        <f>sumif('PLA Sheet'!C:C,B332,'PLA Sheet'!J:J)/D332*9</f>
        <v>#DIV/0!</v>
      </c>
      <c r="G332" s="79">
        <v>0.427374302</v>
      </c>
      <c r="H332" s="79">
        <v>0.182960894</v>
      </c>
      <c r="I332" s="79">
        <v>0.389664804</v>
      </c>
      <c r="J332" s="79">
        <f t="shared" si="1"/>
        <v>0.037709498</v>
      </c>
      <c r="K332" s="80">
        <v>1.560034419</v>
      </c>
    </row>
    <row r="333">
      <c r="A333" s="1" t="s">
        <v>711</v>
      </c>
      <c r="B333" s="38">
        <v>544150.0</v>
      </c>
      <c r="C333" s="38">
        <v>1882.0</v>
      </c>
      <c r="D333" s="39">
        <f>sumif('PLA Sheet'!C:C,B333,'PLA Sheet'!H:H)</f>
        <v>11.66666667</v>
      </c>
      <c r="E333" s="78">
        <v>5.018491376</v>
      </c>
      <c r="F333" s="78">
        <f>sumif('PLA Sheet'!C:C,B333,'PLA Sheet'!J:J)/D333*9</f>
        <v>3.467003657</v>
      </c>
      <c r="G333" s="79">
        <v>0.44314559</v>
      </c>
      <c r="H333" s="79">
        <v>0.166312434</v>
      </c>
      <c r="I333" s="79">
        <v>0.390541977</v>
      </c>
      <c r="J333" s="79">
        <f t="shared" si="1"/>
        <v>0.052603613</v>
      </c>
      <c r="K333" s="80">
        <v>-8.315722031</v>
      </c>
    </row>
    <row r="334">
      <c r="A334" s="1" t="s">
        <v>820</v>
      </c>
      <c r="B334" s="38">
        <v>684320.0</v>
      </c>
      <c r="C334" s="38">
        <v>1196.0</v>
      </c>
      <c r="D334" s="39">
        <f>sumif('PLA Sheet'!C:C,B334,'PLA Sheet'!H:H)</f>
        <v>72.99999999</v>
      </c>
      <c r="E334" s="78">
        <v>5.014975554</v>
      </c>
      <c r="F334" s="78">
        <f>sumif('PLA Sheet'!C:C,B334,'PLA Sheet'!J:J)/D334*9</f>
        <v>3.415355384</v>
      </c>
      <c r="G334" s="79">
        <v>0.462374582</v>
      </c>
      <c r="H334" s="79">
        <v>0.16722408</v>
      </c>
      <c r="I334" s="79">
        <v>0.370401338</v>
      </c>
      <c r="J334" s="79">
        <f t="shared" si="1"/>
        <v>0.091973244</v>
      </c>
      <c r="K334" s="80">
        <v>4.323814427</v>
      </c>
    </row>
    <row r="335">
      <c r="A335" s="1" t="s">
        <v>326</v>
      </c>
      <c r="B335" s="38">
        <v>606160.0</v>
      </c>
      <c r="C335" s="38">
        <v>679.0</v>
      </c>
      <c r="D335" s="39">
        <f>sumif('PLA Sheet'!C:C,B335,'PLA Sheet'!H:H)</f>
        <v>60.33333334</v>
      </c>
      <c r="E335" s="78">
        <v>5.013983605</v>
      </c>
      <c r="F335" s="78">
        <f>sumif('PLA Sheet'!C:C,B335,'PLA Sheet'!J:J)/D335*9</f>
        <v>3.39148432</v>
      </c>
      <c r="G335" s="79">
        <v>0.453608247</v>
      </c>
      <c r="H335" s="79">
        <v>0.164948454</v>
      </c>
      <c r="I335" s="79">
        <v>0.381443299</v>
      </c>
      <c r="J335" s="79">
        <f t="shared" si="1"/>
        <v>0.072164948</v>
      </c>
      <c r="K335" s="80">
        <v>-1.968627877</v>
      </c>
    </row>
    <row r="336">
      <c r="A336" s="1" t="s">
        <v>399</v>
      </c>
      <c r="B336" s="38">
        <v>543294.0</v>
      </c>
      <c r="C336" s="38">
        <v>1773.0</v>
      </c>
      <c r="D336" s="39">
        <f>sumif('PLA Sheet'!C:C,B336,'PLA Sheet'!H:H)</f>
        <v>164.6666667</v>
      </c>
      <c r="E336" s="78">
        <v>5.01302449</v>
      </c>
      <c r="F336" s="78">
        <f>sumif('PLA Sheet'!C:C,B336,'PLA Sheet'!J:J)/D336*9</f>
        <v>3.230672374</v>
      </c>
      <c r="G336" s="79">
        <v>0.443316413</v>
      </c>
      <c r="H336" s="79">
        <v>0.196277496</v>
      </c>
      <c r="I336" s="79">
        <v>0.360406091</v>
      </c>
      <c r="J336" s="79">
        <f t="shared" si="1"/>
        <v>0.082910322</v>
      </c>
      <c r="K336" s="80">
        <v>-5.694918028</v>
      </c>
    </row>
    <row r="337">
      <c r="A337" s="1" t="s">
        <v>509</v>
      </c>
      <c r="B337" s="38">
        <v>676106.0</v>
      </c>
      <c r="C337" s="38">
        <v>748.0</v>
      </c>
      <c r="D337" s="39">
        <f>sumif('PLA Sheet'!C:C,B337,'PLA Sheet'!H:H)</f>
        <v>90.00000001</v>
      </c>
      <c r="E337" s="78">
        <v>5.012862083</v>
      </c>
      <c r="F337" s="78">
        <f>sumif('PLA Sheet'!C:C,B337,'PLA Sheet'!J:J)/D337*9</f>
        <v>3.9016161</v>
      </c>
      <c r="G337" s="79">
        <v>0.459893048</v>
      </c>
      <c r="H337" s="79">
        <v>0.196524064</v>
      </c>
      <c r="I337" s="79">
        <v>0.343582888</v>
      </c>
      <c r="J337" s="79">
        <f t="shared" si="1"/>
        <v>0.11631016</v>
      </c>
      <c r="K337" s="80">
        <v>1.703629022</v>
      </c>
    </row>
    <row r="338">
      <c r="A338" s="1" t="s">
        <v>352</v>
      </c>
      <c r="B338" s="38">
        <v>685299.0</v>
      </c>
      <c r="C338" s="38">
        <v>535.0</v>
      </c>
      <c r="D338" s="39">
        <f>sumif('PLA Sheet'!C:C,B338,'PLA Sheet'!H:H)</f>
        <v>75.33333333</v>
      </c>
      <c r="E338" s="78">
        <v>5.012500425</v>
      </c>
      <c r="F338" s="78">
        <f>sumif('PLA Sheet'!C:C,B338,'PLA Sheet'!J:J)/D338*9</f>
        <v>3.473815341</v>
      </c>
      <c r="G338" s="79">
        <v>0.43364486</v>
      </c>
      <c r="H338" s="79">
        <v>0.207476636</v>
      </c>
      <c r="I338" s="79">
        <v>0.358878505</v>
      </c>
      <c r="J338" s="79">
        <f t="shared" si="1"/>
        <v>0.074766355</v>
      </c>
      <c r="K338" s="80">
        <v>-7.41327523</v>
      </c>
    </row>
    <row r="339">
      <c r="A339" s="1" t="s">
        <v>198</v>
      </c>
      <c r="B339" s="38">
        <v>680736.0</v>
      </c>
      <c r="C339" s="38">
        <v>500.0</v>
      </c>
      <c r="D339" s="39">
        <f>sumif('PLA Sheet'!C:C,B339,'PLA Sheet'!H:H)</f>
        <v>66.66666666</v>
      </c>
      <c r="E339" s="78">
        <v>5.012190806</v>
      </c>
      <c r="F339" s="78">
        <f>sumif('PLA Sheet'!C:C,B339,'PLA Sheet'!J:J)/D339*9</f>
        <v>2.921990085</v>
      </c>
      <c r="G339" s="79">
        <v>0.436</v>
      </c>
      <c r="H339" s="79">
        <v>0.196</v>
      </c>
      <c r="I339" s="79">
        <v>0.368</v>
      </c>
      <c r="J339" s="79">
        <f t="shared" si="1"/>
        <v>0.068</v>
      </c>
      <c r="K339" s="80">
        <v>-6.234647287</v>
      </c>
    </row>
    <row r="340">
      <c r="A340" s="1" t="s">
        <v>154</v>
      </c>
      <c r="B340" s="38">
        <v>445276.0</v>
      </c>
      <c r="C340" s="38">
        <v>722.0</v>
      </c>
      <c r="D340" s="39">
        <f>sumif('PLA Sheet'!C:C,B340,'PLA Sheet'!H:H)</f>
        <v>59</v>
      </c>
      <c r="E340" s="78">
        <v>5.010324781</v>
      </c>
      <c r="F340" s="78">
        <f>sumif('PLA Sheet'!C:C,B340,'PLA Sheet'!J:J)/D340*9</f>
        <v>2.812969678</v>
      </c>
      <c r="G340" s="79">
        <v>0.443213296</v>
      </c>
      <c r="H340" s="79">
        <v>0.20498615</v>
      </c>
      <c r="I340" s="79">
        <v>0.351800554</v>
      </c>
      <c r="J340" s="79">
        <f t="shared" si="1"/>
        <v>0.091412742</v>
      </c>
      <c r="K340" s="80">
        <v>3.902949485</v>
      </c>
    </row>
    <row r="341">
      <c r="A341" s="1" t="s">
        <v>330</v>
      </c>
      <c r="B341" s="38">
        <v>680730.0</v>
      </c>
      <c r="C341" s="38">
        <v>2061.0</v>
      </c>
      <c r="D341" s="39">
        <f>sumif('PLA Sheet'!C:C,B341,'PLA Sheet'!H:H)</f>
        <v>164.6666667</v>
      </c>
      <c r="E341" s="78">
        <v>5.009239479</v>
      </c>
      <c r="F341" s="78">
        <f>sumif('PLA Sheet'!C:C,B341,'PLA Sheet'!J:J)/D341*9</f>
        <v>3.397757229</v>
      </c>
      <c r="G341" s="79">
        <v>0.444929646</v>
      </c>
      <c r="H341" s="79">
        <v>0.195536148</v>
      </c>
      <c r="I341" s="79">
        <v>0.359534207</v>
      </c>
      <c r="J341" s="79">
        <f t="shared" si="1"/>
        <v>0.085395439</v>
      </c>
      <c r="K341" s="80">
        <v>-10.69775938</v>
      </c>
    </row>
    <row r="342">
      <c r="A342" s="1" t="s">
        <v>341</v>
      </c>
      <c r="B342" s="38">
        <v>676962.0</v>
      </c>
      <c r="C342" s="38">
        <v>837.0</v>
      </c>
      <c r="D342" s="39">
        <f>sumif('PLA Sheet'!C:C,B342,'PLA Sheet'!H:H)</f>
        <v>106.3333333</v>
      </c>
      <c r="E342" s="78">
        <v>5.00851498</v>
      </c>
      <c r="F342" s="78">
        <f>sumif('PLA Sheet'!C:C,B342,'PLA Sheet'!J:J)/D342*9</f>
        <v>3.428544893</v>
      </c>
      <c r="G342" s="79">
        <v>0.443249701</v>
      </c>
      <c r="H342" s="79">
        <v>0.207885305</v>
      </c>
      <c r="I342" s="79">
        <v>0.348864994</v>
      </c>
      <c r="J342" s="79">
        <f t="shared" si="1"/>
        <v>0.094384707</v>
      </c>
      <c r="K342" s="80">
        <v>6.295599937</v>
      </c>
    </row>
    <row r="343">
      <c r="A343" s="1" t="s">
        <v>1050</v>
      </c>
      <c r="B343" s="38">
        <v>642546.0</v>
      </c>
      <c r="C343" s="38">
        <v>754.0</v>
      </c>
      <c r="D343" s="39">
        <f>sumif('PLA Sheet'!C:C,B343,'PLA Sheet'!H:H)</f>
        <v>0</v>
      </c>
      <c r="E343" s="78">
        <v>5.007625077</v>
      </c>
      <c r="F343" s="78" t="str">
        <f>sumif('PLA Sheet'!C:C,B343,'PLA Sheet'!J:J)/D343*9</f>
        <v>#DIV/0!</v>
      </c>
      <c r="G343" s="79">
        <v>0.456233422</v>
      </c>
      <c r="H343" s="79">
        <v>0.165782493</v>
      </c>
      <c r="I343" s="79">
        <v>0.377984085</v>
      </c>
      <c r="J343" s="79">
        <f t="shared" si="1"/>
        <v>0.078249337</v>
      </c>
      <c r="K343" s="80">
        <v>1.558795543</v>
      </c>
    </row>
    <row r="344">
      <c r="A344" s="1" t="s">
        <v>1051</v>
      </c>
      <c r="B344" s="38">
        <v>630023.0</v>
      </c>
      <c r="C344" s="38">
        <v>510.0</v>
      </c>
      <c r="D344" s="39">
        <f>sumif('PLA Sheet'!C:C,B344,'PLA Sheet'!H:H)</f>
        <v>0</v>
      </c>
      <c r="E344" s="78">
        <v>5.003594641</v>
      </c>
      <c r="F344" s="78" t="str">
        <f>sumif('PLA Sheet'!C:C,B344,'PLA Sheet'!J:J)/D344*9</f>
        <v>#DIV/0!</v>
      </c>
      <c r="G344" s="79">
        <v>0.476470588</v>
      </c>
      <c r="H344" s="79">
        <v>0.17254902</v>
      </c>
      <c r="I344" s="79">
        <v>0.350980392</v>
      </c>
      <c r="J344" s="79">
        <f t="shared" si="1"/>
        <v>0.125490196</v>
      </c>
      <c r="K344" s="80">
        <v>-12.66263881</v>
      </c>
    </row>
    <row r="345">
      <c r="A345" s="1" t="s">
        <v>796</v>
      </c>
      <c r="B345" s="38">
        <v>641540.0</v>
      </c>
      <c r="C345" s="38">
        <v>1581.0</v>
      </c>
      <c r="D345" s="39">
        <f>sumif('PLA Sheet'!C:C,B345,'PLA Sheet'!H:H)</f>
        <v>20.66666667</v>
      </c>
      <c r="E345" s="78">
        <v>5.003253779</v>
      </c>
      <c r="F345" s="78">
        <f>sumif('PLA Sheet'!C:C,B345,'PLA Sheet'!J:J)/D345*9</f>
        <v>3.819754016</v>
      </c>
      <c r="G345" s="79">
        <v>0.44971537</v>
      </c>
      <c r="H345" s="79">
        <v>0.168880455</v>
      </c>
      <c r="I345" s="79">
        <v>0.381404175</v>
      </c>
      <c r="J345" s="79">
        <f t="shared" si="1"/>
        <v>0.068311195</v>
      </c>
      <c r="K345" s="80">
        <v>6.906325706</v>
      </c>
    </row>
    <row r="346">
      <c r="A346" s="1" t="s">
        <v>444</v>
      </c>
      <c r="B346" s="38">
        <v>681869.0</v>
      </c>
      <c r="C346" s="38">
        <v>787.0</v>
      </c>
      <c r="D346" s="39">
        <f>sumif('PLA Sheet'!C:C,B346,'PLA Sheet'!H:H)</f>
        <v>33.66666667</v>
      </c>
      <c r="E346" s="78">
        <v>5.003032366</v>
      </c>
      <c r="F346" s="78">
        <f>sumif('PLA Sheet'!C:C,B346,'PLA Sheet'!J:J)/D346*9</f>
        <v>3.553975247</v>
      </c>
      <c r="G346" s="79">
        <v>0.491740788</v>
      </c>
      <c r="H346" s="79">
        <v>0.149936468</v>
      </c>
      <c r="I346" s="79">
        <v>0.358322745</v>
      </c>
      <c r="J346" s="79">
        <f t="shared" si="1"/>
        <v>0.133418043</v>
      </c>
      <c r="K346" s="80">
        <v>0.045292874</v>
      </c>
    </row>
    <row r="347">
      <c r="A347" s="1" t="s">
        <v>333</v>
      </c>
      <c r="B347" s="38">
        <v>681892.0</v>
      </c>
      <c r="C347" s="38">
        <v>604.0</v>
      </c>
      <c r="D347" s="39">
        <f>sumif('PLA Sheet'!C:C,B347,'PLA Sheet'!H:H)</f>
        <v>41</v>
      </c>
      <c r="E347" s="78">
        <v>5.0021653</v>
      </c>
      <c r="F347" s="78">
        <f>sumif('PLA Sheet'!C:C,B347,'PLA Sheet'!J:J)/D347*9</f>
        <v>3.402457902</v>
      </c>
      <c r="G347" s="79">
        <v>0.485099338</v>
      </c>
      <c r="H347" s="79">
        <v>0.149006623</v>
      </c>
      <c r="I347" s="79">
        <v>0.36589404</v>
      </c>
      <c r="J347" s="79">
        <f t="shared" si="1"/>
        <v>0.119205298</v>
      </c>
      <c r="K347" s="80">
        <v>-2.740346224</v>
      </c>
    </row>
    <row r="348">
      <c r="A348" s="1" t="s">
        <v>384</v>
      </c>
      <c r="B348" s="38">
        <v>666214.0</v>
      </c>
      <c r="C348" s="38">
        <v>999.0</v>
      </c>
      <c r="D348" s="39">
        <f>sumif('PLA Sheet'!C:C,B348,'PLA Sheet'!H:H)</f>
        <v>98</v>
      </c>
      <c r="E348" s="78">
        <v>5.00124386</v>
      </c>
      <c r="F348" s="78">
        <f>sumif('PLA Sheet'!C:C,B348,'PLA Sheet'!J:J)/D348*9</f>
        <v>3.668836867</v>
      </c>
      <c r="G348" s="79">
        <v>0.457457457</v>
      </c>
      <c r="H348" s="79">
        <v>0.177177177</v>
      </c>
      <c r="I348" s="79">
        <v>0.365365365</v>
      </c>
      <c r="J348" s="79">
        <f t="shared" si="1"/>
        <v>0.092092092</v>
      </c>
      <c r="K348" s="80">
        <v>-6.258914212</v>
      </c>
    </row>
    <row r="349">
      <c r="A349" s="1" t="s">
        <v>1052</v>
      </c>
      <c r="B349" s="38">
        <v>605121.0</v>
      </c>
      <c r="C349" s="38">
        <v>777.0</v>
      </c>
      <c r="D349" s="39">
        <f>sumif('PLA Sheet'!C:C,B349,'PLA Sheet'!H:H)</f>
        <v>0</v>
      </c>
      <c r="E349" s="78">
        <v>5.000069721</v>
      </c>
      <c r="F349" s="78" t="str">
        <f>sumif('PLA Sheet'!C:C,B349,'PLA Sheet'!J:J)/D349*9</f>
        <v>#DIV/0!</v>
      </c>
      <c r="G349" s="79">
        <v>0.468468468</v>
      </c>
      <c r="H349" s="79">
        <v>0.154440154</v>
      </c>
      <c r="I349" s="79">
        <v>0.377091377</v>
      </c>
      <c r="J349" s="79">
        <f t="shared" si="1"/>
        <v>0.091377091</v>
      </c>
      <c r="K349" s="80">
        <v>-1.319832266</v>
      </c>
    </row>
    <row r="350">
      <c r="A350" s="1" t="s">
        <v>358</v>
      </c>
      <c r="B350" s="38">
        <v>434378.0</v>
      </c>
      <c r="C350" s="38">
        <v>1227.0</v>
      </c>
      <c r="D350" s="39">
        <f>sumif('PLA Sheet'!C:C,B350,'PLA Sheet'!H:H)</f>
        <v>152</v>
      </c>
      <c r="E350" s="78">
        <v>4.999803867</v>
      </c>
      <c r="F350" s="78">
        <f>sumif('PLA Sheet'!C:C,B350,'PLA Sheet'!J:J)/D350*9</f>
        <v>3.490730526</v>
      </c>
      <c r="G350" s="79">
        <v>0.460472698</v>
      </c>
      <c r="H350" s="79">
        <v>0.168704156</v>
      </c>
      <c r="I350" s="79">
        <v>0.370823146</v>
      </c>
      <c r="J350" s="79">
        <f t="shared" si="1"/>
        <v>0.089649552</v>
      </c>
      <c r="K350" s="80">
        <v>-1.353807946</v>
      </c>
    </row>
    <row r="351">
      <c r="A351" s="1" t="s">
        <v>1053</v>
      </c>
      <c r="B351" s="38">
        <v>608344.0</v>
      </c>
      <c r="C351" s="38">
        <v>1654.0</v>
      </c>
      <c r="D351" s="39">
        <f>sumif('PLA Sheet'!C:C,B351,'PLA Sheet'!H:H)</f>
        <v>0</v>
      </c>
      <c r="E351" s="78">
        <v>4.999212182</v>
      </c>
      <c r="F351" s="78" t="str">
        <f>sumif('PLA Sheet'!C:C,B351,'PLA Sheet'!J:J)/D351*9</f>
        <v>#DIV/0!</v>
      </c>
      <c r="G351" s="79">
        <v>0.447400242</v>
      </c>
      <c r="H351" s="79">
        <v>0.178960097</v>
      </c>
      <c r="I351" s="79">
        <v>0.373639661</v>
      </c>
      <c r="J351" s="79">
        <f t="shared" si="1"/>
        <v>0.073760581</v>
      </c>
      <c r="K351" s="80">
        <v>-13.70209304</v>
      </c>
    </row>
    <row r="352">
      <c r="A352" s="1" t="s">
        <v>1054</v>
      </c>
      <c r="B352" s="38">
        <v>641771.0</v>
      </c>
      <c r="C352" s="38">
        <v>829.0</v>
      </c>
      <c r="D352" s="39">
        <f>sumif('PLA Sheet'!C:C,B352,'PLA Sheet'!H:H)</f>
        <v>0</v>
      </c>
      <c r="E352" s="78">
        <v>4.99812032</v>
      </c>
      <c r="F352" s="78" t="str">
        <f>sumif('PLA Sheet'!C:C,B352,'PLA Sheet'!J:J)/D352*9</f>
        <v>#DIV/0!</v>
      </c>
      <c r="G352" s="79">
        <v>0.477683957</v>
      </c>
      <c r="H352" s="79">
        <v>0.173703257</v>
      </c>
      <c r="I352" s="79">
        <v>0.348612786</v>
      </c>
      <c r="J352" s="79">
        <f t="shared" si="1"/>
        <v>0.129071171</v>
      </c>
      <c r="K352" s="80">
        <v>-2.069089413</v>
      </c>
    </row>
    <row r="353">
      <c r="A353" s="1" t="s">
        <v>386</v>
      </c>
      <c r="B353" s="38">
        <v>656731.0</v>
      </c>
      <c r="C353" s="38">
        <v>996.0</v>
      </c>
      <c r="D353" s="39">
        <f>sumif('PLA Sheet'!C:C,B353,'PLA Sheet'!H:H)</f>
        <v>68.33333334</v>
      </c>
      <c r="E353" s="78">
        <v>4.996801201</v>
      </c>
      <c r="F353" s="78">
        <f>sumif('PLA Sheet'!C:C,B353,'PLA Sheet'!J:J)/D353*9</f>
        <v>3.68465918</v>
      </c>
      <c r="G353" s="79">
        <v>0.464859438</v>
      </c>
      <c r="H353" s="79">
        <v>0.159638554</v>
      </c>
      <c r="I353" s="79">
        <v>0.375502008</v>
      </c>
      <c r="J353" s="79">
        <f t="shared" si="1"/>
        <v>0.08935743</v>
      </c>
      <c r="K353" s="80">
        <v>1.615176773</v>
      </c>
    </row>
    <row r="354">
      <c r="A354" s="1" t="s">
        <v>1055</v>
      </c>
      <c r="B354" s="38">
        <v>622072.0</v>
      </c>
      <c r="C354" s="38">
        <v>749.0</v>
      </c>
      <c r="D354" s="39">
        <f>sumif('PLA Sheet'!C:C,B354,'PLA Sheet'!H:H)</f>
        <v>0</v>
      </c>
      <c r="E354" s="78">
        <v>4.995341634</v>
      </c>
      <c r="F354" s="78" t="str">
        <f>sumif('PLA Sheet'!C:C,B354,'PLA Sheet'!J:J)/D354*9</f>
        <v>#DIV/0!</v>
      </c>
      <c r="G354" s="79">
        <v>0.433911883</v>
      </c>
      <c r="H354" s="79">
        <v>0.209612817</v>
      </c>
      <c r="I354" s="79">
        <v>0.3564753</v>
      </c>
      <c r="J354" s="79">
        <f t="shared" si="1"/>
        <v>0.077436583</v>
      </c>
      <c r="K354" s="80">
        <v>-6.099074693</v>
      </c>
    </row>
    <row r="355">
      <c r="A355" s="1" t="s">
        <v>1056</v>
      </c>
      <c r="B355" s="38">
        <v>592767.0</v>
      </c>
      <c r="C355" s="38">
        <v>886.0</v>
      </c>
      <c r="D355" s="39">
        <f>sumif('PLA Sheet'!C:C,B355,'PLA Sheet'!H:H)</f>
        <v>0</v>
      </c>
      <c r="E355" s="78">
        <v>4.994759271</v>
      </c>
      <c r="F355" s="78" t="str">
        <f>sumif('PLA Sheet'!C:C,B355,'PLA Sheet'!J:J)/D355*9</f>
        <v>#DIV/0!</v>
      </c>
      <c r="G355" s="79">
        <v>0.436794582</v>
      </c>
      <c r="H355" s="79">
        <v>0.216704289</v>
      </c>
      <c r="I355" s="79">
        <v>0.346501129</v>
      </c>
      <c r="J355" s="79">
        <f t="shared" si="1"/>
        <v>0.090293453</v>
      </c>
      <c r="K355" s="80">
        <v>6.042997471</v>
      </c>
    </row>
    <row r="356">
      <c r="A356" s="1" t="s">
        <v>1057</v>
      </c>
      <c r="B356" s="38">
        <v>594835.0</v>
      </c>
      <c r="C356" s="38">
        <v>543.0</v>
      </c>
      <c r="D356" s="39">
        <f>sumif('PLA Sheet'!C:C,B356,'PLA Sheet'!H:H)</f>
        <v>0</v>
      </c>
      <c r="E356" s="78">
        <v>4.993860029</v>
      </c>
      <c r="F356" s="78" t="str">
        <f>sumif('PLA Sheet'!C:C,B356,'PLA Sheet'!J:J)/D356*9</f>
        <v>#DIV/0!</v>
      </c>
      <c r="G356" s="79">
        <v>0.427255985</v>
      </c>
      <c r="H356" s="79">
        <v>0.230202578</v>
      </c>
      <c r="I356" s="79">
        <v>0.342541436</v>
      </c>
      <c r="J356" s="79">
        <f t="shared" si="1"/>
        <v>0.084714549</v>
      </c>
      <c r="K356" s="80">
        <v>-6.771472045</v>
      </c>
    </row>
    <row r="357">
      <c r="A357" s="1" t="s">
        <v>1058</v>
      </c>
      <c r="B357" s="38">
        <v>664350.0</v>
      </c>
      <c r="C357" s="38">
        <v>616.0</v>
      </c>
      <c r="D357" s="39">
        <f>sumif('PLA Sheet'!C:C,B357,'PLA Sheet'!H:H)</f>
        <v>0</v>
      </c>
      <c r="E357" s="78">
        <v>4.992701907</v>
      </c>
      <c r="F357" s="78" t="str">
        <f>sumif('PLA Sheet'!C:C,B357,'PLA Sheet'!J:J)/D357*9</f>
        <v>#DIV/0!</v>
      </c>
      <c r="G357" s="79">
        <v>0.431818182</v>
      </c>
      <c r="H357" s="79">
        <v>0.194805195</v>
      </c>
      <c r="I357" s="79">
        <v>0.373376623</v>
      </c>
      <c r="J357" s="79">
        <f t="shared" si="1"/>
        <v>0.058441559</v>
      </c>
      <c r="K357" s="80">
        <v>1.041508986</v>
      </c>
    </row>
    <row r="358">
      <c r="A358" s="1" t="s">
        <v>696</v>
      </c>
      <c r="B358" s="38">
        <v>690829.0</v>
      </c>
      <c r="C358" s="38">
        <v>536.0</v>
      </c>
      <c r="D358" s="39">
        <f>sumif('PLA Sheet'!C:C,B358,'PLA Sheet'!H:H)</f>
        <v>4.333333334</v>
      </c>
      <c r="E358" s="78">
        <v>4.990614215</v>
      </c>
      <c r="F358" s="78">
        <f>sumif('PLA Sheet'!C:C,B358,'PLA Sheet'!J:J)/D358*9</f>
        <v>3.601561153</v>
      </c>
      <c r="G358" s="79">
        <v>0.483208955</v>
      </c>
      <c r="H358" s="79">
        <v>0.156716418</v>
      </c>
      <c r="I358" s="79">
        <v>0.360074627</v>
      </c>
      <c r="J358" s="79">
        <f t="shared" si="1"/>
        <v>0.123134328</v>
      </c>
      <c r="K358" s="80">
        <v>4.099256111</v>
      </c>
    </row>
    <row r="359">
      <c r="A359" s="1" t="s">
        <v>1059</v>
      </c>
      <c r="B359" s="38">
        <v>600986.0</v>
      </c>
      <c r="C359" s="38">
        <v>732.0</v>
      </c>
      <c r="D359" s="39">
        <f>sumif('PLA Sheet'!C:C,B359,'PLA Sheet'!H:H)</f>
        <v>0</v>
      </c>
      <c r="E359" s="78">
        <v>4.987684512</v>
      </c>
      <c r="F359" s="78" t="str">
        <f>sumif('PLA Sheet'!C:C,B359,'PLA Sheet'!J:J)/D359*9</f>
        <v>#DIV/0!</v>
      </c>
      <c r="G359" s="79">
        <v>0.467213115</v>
      </c>
      <c r="H359" s="79">
        <v>0.157103825</v>
      </c>
      <c r="I359" s="79">
        <v>0.37568306</v>
      </c>
      <c r="J359" s="79">
        <f t="shared" si="1"/>
        <v>0.091530055</v>
      </c>
      <c r="K359" s="80">
        <v>3.350538654</v>
      </c>
    </row>
    <row r="360">
      <c r="A360" s="1" t="s">
        <v>439</v>
      </c>
      <c r="B360" s="38">
        <v>592454.0</v>
      </c>
      <c r="C360" s="38">
        <v>625.0</v>
      </c>
      <c r="D360" s="39">
        <f>sumif('PLA Sheet'!C:C,B360,'PLA Sheet'!H:H)</f>
        <v>63</v>
      </c>
      <c r="E360" s="78">
        <v>4.987446176</v>
      </c>
      <c r="F360" s="78">
        <f>sumif('PLA Sheet'!C:C,B360,'PLA Sheet'!J:J)/D360*9</f>
        <v>3.548766429</v>
      </c>
      <c r="G360" s="79">
        <v>0.432</v>
      </c>
      <c r="H360" s="79">
        <v>0.1744</v>
      </c>
      <c r="I360" s="79">
        <v>0.3936</v>
      </c>
      <c r="J360" s="79">
        <f t="shared" si="1"/>
        <v>0.0384</v>
      </c>
      <c r="K360" s="80">
        <v>11.97539608</v>
      </c>
    </row>
    <row r="361">
      <c r="A361" s="1" t="s">
        <v>576</v>
      </c>
      <c r="B361" s="38">
        <v>660761.0</v>
      </c>
      <c r="C361" s="38">
        <v>705.0</v>
      </c>
      <c r="D361" s="39">
        <f>sumif('PLA Sheet'!C:C,B361,'PLA Sheet'!H:H)</f>
        <v>19.33333334</v>
      </c>
      <c r="E361" s="78">
        <v>4.986178923</v>
      </c>
      <c r="F361" s="78">
        <f>sumif('PLA Sheet'!C:C,B361,'PLA Sheet'!J:J)/D361*9</f>
        <v>3.270713896</v>
      </c>
      <c r="G361" s="79">
        <v>0.506382979</v>
      </c>
      <c r="H361" s="79">
        <v>0.153191489</v>
      </c>
      <c r="I361" s="79">
        <v>0.340425532</v>
      </c>
      <c r="J361" s="79">
        <f t="shared" si="1"/>
        <v>0.165957447</v>
      </c>
      <c r="K361" s="80">
        <v>-6.065305009</v>
      </c>
    </row>
    <row r="362">
      <c r="A362" s="1" t="s">
        <v>331</v>
      </c>
      <c r="B362" s="38">
        <v>672456.0</v>
      </c>
      <c r="C362" s="38">
        <v>1179.0</v>
      </c>
      <c r="D362" s="39">
        <f>sumif('PLA Sheet'!C:C,B362,'PLA Sheet'!H:H)</f>
        <v>90.66666667</v>
      </c>
      <c r="E362" s="78">
        <v>4.984761472</v>
      </c>
      <c r="F362" s="78">
        <f>sumif('PLA Sheet'!C:C,B362,'PLA Sheet'!J:J)/D362*9</f>
        <v>3.398597504</v>
      </c>
      <c r="G362" s="79">
        <v>0.448685327</v>
      </c>
      <c r="H362" s="79">
        <v>0.195080577</v>
      </c>
      <c r="I362" s="79">
        <v>0.356234097</v>
      </c>
      <c r="J362" s="79">
        <f t="shared" si="1"/>
        <v>0.09245123</v>
      </c>
      <c r="K362" s="80">
        <v>-7.632560932</v>
      </c>
    </row>
    <row r="363">
      <c r="A363" s="1" t="s">
        <v>474</v>
      </c>
      <c r="B363" s="38">
        <v>450203.0</v>
      </c>
      <c r="C363" s="38">
        <v>2399.0</v>
      </c>
      <c r="D363" s="39">
        <f>sumif('PLA Sheet'!C:C,B363,'PLA Sheet'!H:H)</f>
        <v>142</v>
      </c>
      <c r="E363" s="78">
        <v>4.983841519</v>
      </c>
      <c r="F363" s="78">
        <f>sumif('PLA Sheet'!C:C,B363,'PLA Sheet'!J:J)/D363*9</f>
        <v>4.059892775</v>
      </c>
      <c r="G363" s="79">
        <v>0.451021259</v>
      </c>
      <c r="H363" s="79">
        <v>0.175072947</v>
      </c>
      <c r="I363" s="79">
        <v>0.373905794</v>
      </c>
      <c r="J363" s="79">
        <f t="shared" si="1"/>
        <v>0.077115465</v>
      </c>
      <c r="K363" s="80">
        <v>5.990138909</v>
      </c>
    </row>
    <row r="364">
      <c r="A364" s="1" t="s">
        <v>726</v>
      </c>
      <c r="B364" s="38">
        <v>608717.0</v>
      </c>
      <c r="C364" s="38">
        <v>931.0</v>
      </c>
      <c r="D364" s="39">
        <f>sumif('PLA Sheet'!C:C,B364,'PLA Sheet'!H:H)</f>
        <v>21</v>
      </c>
      <c r="E364" s="78">
        <v>4.983264777</v>
      </c>
      <c r="F364" s="78">
        <f>sumif('PLA Sheet'!C:C,B364,'PLA Sheet'!J:J)/D364*9</f>
        <v>4.508544857</v>
      </c>
      <c r="G364" s="79">
        <v>0.454350161</v>
      </c>
      <c r="H364" s="79">
        <v>0.165413534</v>
      </c>
      <c r="I364" s="79">
        <v>0.380236305</v>
      </c>
      <c r="J364" s="79">
        <f t="shared" si="1"/>
        <v>0.074113856</v>
      </c>
      <c r="K364" s="80">
        <v>4.96070755</v>
      </c>
    </row>
    <row r="365">
      <c r="A365" s="1" t="s">
        <v>706</v>
      </c>
      <c r="B365" s="38">
        <v>694363.0</v>
      </c>
      <c r="C365" s="38">
        <v>1115.0</v>
      </c>
      <c r="D365" s="39">
        <f>sumif('PLA Sheet'!C:C,B365,'PLA Sheet'!H:H)</f>
        <v>15.66666667</v>
      </c>
      <c r="E365" s="78">
        <v>4.980387517</v>
      </c>
      <c r="F365" s="78">
        <f>sumif('PLA Sheet'!C:C,B365,'PLA Sheet'!J:J)/D365*9</f>
        <v>3.555769596</v>
      </c>
      <c r="G365" s="79">
        <v>0.421524664</v>
      </c>
      <c r="H365" s="79">
        <v>0.204484305</v>
      </c>
      <c r="I365" s="79">
        <v>0.373991031</v>
      </c>
      <c r="J365" s="79">
        <f t="shared" si="1"/>
        <v>0.047533633</v>
      </c>
      <c r="K365" s="80">
        <v>-2.409441168</v>
      </c>
    </row>
    <row r="366">
      <c r="A366" s="1" t="s">
        <v>1060</v>
      </c>
      <c r="B366" s="38">
        <v>613534.0</v>
      </c>
      <c r="C366" s="38">
        <v>794.0</v>
      </c>
      <c r="D366" s="39">
        <f>sumif('PLA Sheet'!C:C,B366,'PLA Sheet'!H:H)</f>
        <v>0</v>
      </c>
      <c r="E366" s="78">
        <v>4.980168513</v>
      </c>
      <c r="F366" s="78" t="str">
        <f>sumif('PLA Sheet'!C:C,B366,'PLA Sheet'!J:J)/D366*9</f>
        <v>#DIV/0!</v>
      </c>
      <c r="G366" s="79">
        <v>0.4697733</v>
      </c>
      <c r="H366" s="79">
        <v>0.146095718</v>
      </c>
      <c r="I366" s="79">
        <v>0.384130982</v>
      </c>
      <c r="J366" s="79">
        <f t="shared" si="1"/>
        <v>0.085642318</v>
      </c>
      <c r="K366" s="80">
        <v>-1.173913196</v>
      </c>
    </row>
    <row r="367">
      <c r="A367" s="1" t="s">
        <v>667</v>
      </c>
      <c r="B367" s="38">
        <v>689225.0</v>
      </c>
      <c r="C367" s="38">
        <v>926.0</v>
      </c>
      <c r="D367" s="39">
        <f>sumif('PLA Sheet'!C:C,B367,'PLA Sheet'!H:H)</f>
        <v>22</v>
      </c>
      <c r="E367" s="78">
        <v>4.978154463</v>
      </c>
      <c r="F367" s="78">
        <f>sumif('PLA Sheet'!C:C,B367,'PLA Sheet'!J:J)/D367*9</f>
        <v>3.881812091</v>
      </c>
      <c r="G367" s="79">
        <v>0.441684665</v>
      </c>
      <c r="H367" s="79">
        <v>0.174946004</v>
      </c>
      <c r="I367" s="79">
        <v>0.38336933</v>
      </c>
      <c r="J367" s="79">
        <f t="shared" si="1"/>
        <v>0.058315335</v>
      </c>
      <c r="K367" s="80">
        <v>1.942380824</v>
      </c>
    </row>
    <row r="368">
      <c r="A368" s="1" t="s">
        <v>411</v>
      </c>
      <c r="B368" s="38">
        <v>605288.0</v>
      </c>
      <c r="C368" s="38">
        <v>1091.0</v>
      </c>
      <c r="D368" s="39">
        <f>sumif('PLA Sheet'!C:C,B368,'PLA Sheet'!H:H)</f>
        <v>125</v>
      </c>
      <c r="E368" s="78">
        <v>4.973246338</v>
      </c>
      <c r="F368" s="78">
        <f>sumif('PLA Sheet'!C:C,B368,'PLA Sheet'!J:J)/D368*9</f>
        <v>3.271945896</v>
      </c>
      <c r="G368" s="79">
        <v>0.449129239</v>
      </c>
      <c r="H368" s="79">
        <v>0.180568286</v>
      </c>
      <c r="I368" s="79">
        <v>0.370302475</v>
      </c>
      <c r="J368" s="79">
        <f t="shared" si="1"/>
        <v>0.078826764</v>
      </c>
      <c r="K368" s="80">
        <v>-4.158803946</v>
      </c>
    </row>
    <row r="369">
      <c r="A369" s="1" t="s">
        <v>542</v>
      </c>
      <c r="B369" s="38">
        <v>621237.0</v>
      </c>
      <c r="C369" s="38">
        <v>889.0</v>
      </c>
      <c r="D369" s="39">
        <f>sumif('PLA Sheet'!C:C,B369,'PLA Sheet'!H:H)</f>
        <v>26</v>
      </c>
      <c r="E369" s="78">
        <v>4.972545952</v>
      </c>
      <c r="F369" s="78">
        <f>sumif('PLA Sheet'!C:C,B369,'PLA Sheet'!J:J)/D369*9</f>
        <v>3.328220769</v>
      </c>
      <c r="G369" s="79">
        <v>0.456692913</v>
      </c>
      <c r="H369" s="79">
        <v>0.1856018</v>
      </c>
      <c r="I369" s="79">
        <v>0.357705287</v>
      </c>
      <c r="J369" s="79">
        <f t="shared" si="1"/>
        <v>0.098987626</v>
      </c>
      <c r="K369" s="80">
        <v>3.216921783</v>
      </c>
    </row>
    <row r="370">
      <c r="A370" s="1" t="s">
        <v>130</v>
      </c>
      <c r="B370" s="38">
        <v>666200.0</v>
      </c>
      <c r="C370" s="38">
        <v>1069.0</v>
      </c>
      <c r="D370" s="39">
        <f>sumif('PLA Sheet'!C:C,B370,'PLA Sheet'!H:H)</f>
        <v>183.6666667</v>
      </c>
      <c r="E370" s="78">
        <v>4.972053575</v>
      </c>
      <c r="F370" s="78">
        <f>sumif('PLA Sheet'!C:C,B370,'PLA Sheet'!J:J)/D370*9</f>
        <v>2.728588835</v>
      </c>
      <c r="G370" s="79">
        <v>0.439663237</v>
      </c>
      <c r="H370" s="79">
        <v>0.200187091</v>
      </c>
      <c r="I370" s="79">
        <v>0.360149673</v>
      </c>
      <c r="J370" s="79">
        <f t="shared" si="1"/>
        <v>0.079513564</v>
      </c>
      <c r="K370" s="80">
        <v>-5.628838106</v>
      </c>
    </row>
    <row r="371">
      <c r="A371" s="1" t="s">
        <v>294</v>
      </c>
      <c r="B371" s="38">
        <v>665152.0</v>
      </c>
      <c r="C371" s="38">
        <v>1795.0</v>
      </c>
      <c r="D371" s="39">
        <f>sumif('PLA Sheet'!C:C,B371,'PLA Sheet'!H:H)</f>
        <v>171.6666667</v>
      </c>
      <c r="E371" s="78">
        <v>4.97203473</v>
      </c>
      <c r="F371" s="78">
        <f>sumif('PLA Sheet'!C:C,B371,'PLA Sheet'!J:J)/D371*9</f>
        <v>3.276836126</v>
      </c>
      <c r="G371" s="79">
        <v>0.438997214</v>
      </c>
      <c r="H371" s="79">
        <v>0.184401114</v>
      </c>
      <c r="I371" s="79">
        <v>0.376601671</v>
      </c>
      <c r="J371" s="79">
        <f t="shared" si="1"/>
        <v>0.062395543</v>
      </c>
      <c r="K371" s="80">
        <v>8.869201221</v>
      </c>
    </row>
    <row r="372">
      <c r="A372" s="1" t="s">
        <v>336</v>
      </c>
      <c r="B372" s="38">
        <v>605488.0</v>
      </c>
      <c r="C372" s="38">
        <v>559.0</v>
      </c>
      <c r="D372" s="39">
        <f>sumif('PLA Sheet'!C:C,B372,'PLA Sheet'!H:H)</f>
        <v>171</v>
      </c>
      <c r="E372" s="78">
        <v>4.97093539</v>
      </c>
      <c r="F372" s="78">
        <f>sumif('PLA Sheet'!C:C,B372,'PLA Sheet'!J:J)/D372*9</f>
        <v>3.419079158</v>
      </c>
      <c r="G372" s="79">
        <v>0.445438283</v>
      </c>
      <c r="H372" s="79">
        <v>0.184257603</v>
      </c>
      <c r="I372" s="79">
        <v>0.370304114</v>
      </c>
      <c r="J372" s="79">
        <f t="shared" si="1"/>
        <v>0.075134169</v>
      </c>
      <c r="K372" s="80">
        <v>-3.624611467</v>
      </c>
    </row>
    <row r="373">
      <c r="A373" s="1" t="s">
        <v>624</v>
      </c>
      <c r="B373" s="38">
        <v>672710.0</v>
      </c>
      <c r="C373" s="38">
        <v>916.0</v>
      </c>
      <c r="D373" s="39">
        <f>sumif('PLA Sheet'!C:C,B373,'PLA Sheet'!H:H)</f>
        <v>12.66666667</v>
      </c>
      <c r="E373" s="78">
        <v>4.970130663</v>
      </c>
      <c r="F373" s="78">
        <f>sumif('PLA Sheet'!C:C,B373,'PLA Sheet'!J:J)/D373*9</f>
        <v>3.735653211</v>
      </c>
      <c r="G373" s="79">
        <v>0.449781659</v>
      </c>
      <c r="H373" s="79">
        <v>0.197598253</v>
      </c>
      <c r="I373" s="79">
        <v>0.352620087</v>
      </c>
      <c r="J373" s="79">
        <f t="shared" si="1"/>
        <v>0.097161572</v>
      </c>
      <c r="K373" s="80">
        <v>0.033731432</v>
      </c>
    </row>
    <row r="374">
      <c r="A374" s="1" t="s">
        <v>476</v>
      </c>
      <c r="B374" s="38">
        <v>500779.0</v>
      </c>
      <c r="C374" s="38">
        <v>2353.0</v>
      </c>
      <c r="D374" s="39">
        <f>sumif('PLA Sheet'!C:C,B374,'PLA Sheet'!H:H)</f>
        <v>131.6666667</v>
      </c>
      <c r="E374" s="78">
        <v>4.969511449</v>
      </c>
      <c r="F374" s="78">
        <f>sumif('PLA Sheet'!C:C,B374,'PLA Sheet'!J:J)/D374*9</f>
        <v>3.660872309</v>
      </c>
      <c r="G374" s="79">
        <v>0.443263918</v>
      </c>
      <c r="H374" s="79">
        <v>0.201444964</v>
      </c>
      <c r="I374" s="79">
        <v>0.355291118</v>
      </c>
      <c r="J374" s="79">
        <f t="shared" si="1"/>
        <v>0.0879728</v>
      </c>
      <c r="K374" s="80">
        <v>1.591189362</v>
      </c>
    </row>
    <row r="375">
      <c r="A375" s="1" t="s">
        <v>1061</v>
      </c>
      <c r="B375" s="38">
        <v>656756.0</v>
      </c>
      <c r="C375" s="38">
        <v>1647.0</v>
      </c>
      <c r="D375" s="39">
        <f>sumif('PLA Sheet'!C:C,B375,'PLA Sheet'!H:H)</f>
        <v>0</v>
      </c>
      <c r="E375" s="78">
        <v>4.967568561</v>
      </c>
      <c r="F375" s="78" t="str">
        <f>sumif('PLA Sheet'!C:C,B375,'PLA Sheet'!J:J)/D375*9</f>
        <v>#DIV/0!</v>
      </c>
      <c r="G375" s="79">
        <v>0.412264724</v>
      </c>
      <c r="H375" s="79">
        <v>0.204614451</v>
      </c>
      <c r="I375" s="79">
        <v>0.383120826</v>
      </c>
      <c r="J375" s="79">
        <f t="shared" si="1"/>
        <v>0.029143898</v>
      </c>
      <c r="K375" s="80">
        <v>-33.25458532</v>
      </c>
    </row>
    <row r="376">
      <c r="A376" s="1" t="s">
        <v>1062</v>
      </c>
      <c r="B376" s="38">
        <v>687792.0</v>
      </c>
      <c r="C376" s="38">
        <v>1243.0</v>
      </c>
      <c r="D376" s="39">
        <f>sumif('PLA Sheet'!C:C,B376,'PLA Sheet'!H:H)</f>
        <v>0</v>
      </c>
      <c r="E376" s="78">
        <v>4.96738175</v>
      </c>
      <c r="F376" s="78" t="str">
        <f>sumif('PLA Sheet'!C:C,B376,'PLA Sheet'!J:J)/D376*9</f>
        <v>#DIV/0!</v>
      </c>
      <c r="G376" s="79">
        <v>0.450522928</v>
      </c>
      <c r="H376" s="79">
        <v>0.177795656</v>
      </c>
      <c r="I376" s="79">
        <v>0.371681416</v>
      </c>
      <c r="J376" s="79">
        <f t="shared" si="1"/>
        <v>0.078841512</v>
      </c>
      <c r="K376" s="80">
        <v>5.732167047</v>
      </c>
    </row>
    <row r="377">
      <c r="A377" s="1" t="s">
        <v>1063</v>
      </c>
      <c r="B377" s="38">
        <v>656412.0</v>
      </c>
      <c r="C377" s="38">
        <v>997.0</v>
      </c>
      <c r="D377" s="39">
        <f>sumif('PLA Sheet'!C:C,B377,'PLA Sheet'!H:H)</f>
        <v>0</v>
      </c>
      <c r="E377" s="78">
        <v>4.96392583</v>
      </c>
      <c r="F377" s="78" t="str">
        <f>sumif('PLA Sheet'!C:C,B377,'PLA Sheet'!J:J)/D377*9</f>
        <v>#DIV/0!</v>
      </c>
      <c r="G377" s="79">
        <v>0.432296891</v>
      </c>
      <c r="H377" s="79">
        <v>0.197592778</v>
      </c>
      <c r="I377" s="79">
        <v>0.370110331</v>
      </c>
      <c r="J377" s="79">
        <f t="shared" si="1"/>
        <v>0.06218656</v>
      </c>
      <c r="K377" s="80">
        <v>5.522445123</v>
      </c>
    </row>
    <row r="378">
      <c r="A378" s="1" t="s">
        <v>454</v>
      </c>
      <c r="B378" s="38">
        <v>674370.0</v>
      </c>
      <c r="C378" s="38">
        <v>1012.0</v>
      </c>
      <c r="D378" s="39">
        <f>sumif('PLA Sheet'!C:C,B378,'PLA Sheet'!H:H)</f>
        <v>79.66666666</v>
      </c>
      <c r="E378" s="78">
        <v>4.962611969</v>
      </c>
      <c r="F378" s="78">
        <f>sumif('PLA Sheet'!C:C,B378,'PLA Sheet'!J:J)/D378*9</f>
        <v>3.844797402</v>
      </c>
      <c r="G378" s="79">
        <v>0.447628458</v>
      </c>
      <c r="H378" s="79">
        <v>0.169960474</v>
      </c>
      <c r="I378" s="79">
        <v>0.382411067</v>
      </c>
      <c r="J378" s="79">
        <f t="shared" si="1"/>
        <v>0.065217391</v>
      </c>
      <c r="K378" s="80">
        <v>13.18481009</v>
      </c>
    </row>
    <row r="379">
      <c r="A379" s="1" t="s">
        <v>317</v>
      </c>
      <c r="B379" s="38">
        <v>673929.0</v>
      </c>
      <c r="C379" s="38">
        <v>555.0</v>
      </c>
      <c r="D379" s="39">
        <f>sumif('PLA Sheet'!C:C,B379,'PLA Sheet'!H:H)</f>
        <v>64.33333334</v>
      </c>
      <c r="E379" s="78">
        <v>4.961219011</v>
      </c>
      <c r="F379" s="78">
        <f>sumif('PLA Sheet'!C:C,B379,'PLA Sheet'!J:J)/D379*9</f>
        <v>3.37185359</v>
      </c>
      <c r="G379" s="79">
        <v>0.477477477</v>
      </c>
      <c r="H379" s="79">
        <v>0.151351351</v>
      </c>
      <c r="I379" s="79">
        <v>0.371171171</v>
      </c>
      <c r="J379" s="79">
        <f t="shared" si="1"/>
        <v>0.106306306</v>
      </c>
      <c r="K379" s="80">
        <v>-4.394986799</v>
      </c>
    </row>
    <row r="380">
      <c r="A380" s="1" t="s">
        <v>440</v>
      </c>
      <c r="B380" s="38">
        <v>542888.0</v>
      </c>
      <c r="C380" s="38">
        <v>1002.0</v>
      </c>
      <c r="D380" s="39">
        <f>sumif('PLA Sheet'!C:C,B380,'PLA Sheet'!H:H)</f>
        <v>74</v>
      </c>
      <c r="E380" s="78">
        <v>4.961204141</v>
      </c>
      <c r="F380" s="78">
        <f>sumif('PLA Sheet'!C:C,B380,'PLA Sheet'!J:J)/D380*9</f>
        <v>3.298777541</v>
      </c>
      <c r="G380" s="79">
        <v>0.449101796</v>
      </c>
      <c r="H380" s="79">
        <v>0.223552894</v>
      </c>
      <c r="I380" s="79">
        <v>0.327345309</v>
      </c>
      <c r="J380" s="79">
        <f t="shared" si="1"/>
        <v>0.121756487</v>
      </c>
      <c r="K380" s="80">
        <v>-3.513788814</v>
      </c>
    </row>
    <row r="381">
      <c r="A381" s="1" t="s">
        <v>346</v>
      </c>
      <c r="B381" s="38">
        <v>660853.0</v>
      </c>
      <c r="C381" s="38">
        <v>953.0</v>
      </c>
      <c r="D381" s="39">
        <f>sumif('PLA Sheet'!C:C,B381,'PLA Sheet'!H:H)</f>
        <v>66</v>
      </c>
      <c r="E381" s="78">
        <v>4.961034349</v>
      </c>
      <c r="F381" s="78">
        <f>sumif('PLA Sheet'!C:C,B381,'PLA Sheet'!J:J)/D381*9</f>
        <v>3.447800318</v>
      </c>
      <c r="G381" s="79">
        <v>0.414480588</v>
      </c>
      <c r="H381" s="79">
        <v>0.231899265</v>
      </c>
      <c r="I381" s="79">
        <v>0.353620147</v>
      </c>
      <c r="J381" s="79">
        <f t="shared" si="1"/>
        <v>0.060860441</v>
      </c>
      <c r="K381" s="80">
        <v>3.052038543</v>
      </c>
    </row>
    <row r="382">
      <c r="A382" s="1" t="s">
        <v>1064</v>
      </c>
      <c r="B382" s="38">
        <v>667725.0</v>
      </c>
      <c r="C382" s="38">
        <v>576.0</v>
      </c>
      <c r="D382" s="39">
        <f>sumif('PLA Sheet'!C:C,B382,'PLA Sheet'!H:H)</f>
        <v>0</v>
      </c>
      <c r="E382" s="78">
        <v>4.956014847</v>
      </c>
      <c r="F382" s="78" t="str">
        <f>sumif('PLA Sheet'!C:C,B382,'PLA Sheet'!J:J)/D382*9</f>
        <v>#DIV/0!</v>
      </c>
      <c r="G382" s="79">
        <v>0.456597222</v>
      </c>
      <c r="H382" s="79">
        <v>0.138888889</v>
      </c>
      <c r="I382" s="79">
        <v>0.404513889</v>
      </c>
      <c r="J382" s="79">
        <f t="shared" si="1"/>
        <v>0.052083333</v>
      </c>
      <c r="K382" s="80">
        <v>-6.073221587</v>
      </c>
    </row>
    <row r="383">
      <c r="A383" s="1" t="s">
        <v>453</v>
      </c>
      <c r="B383" s="38">
        <v>592836.0</v>
      </c>
      <c r="C383" s="38">
        <v>1145.0</v>
      </c>
      <c r="D383" s="39">
        <f>sumif('PLA Sheet'!C:C,B383,'PLA Sheet'!H:H)</f>
        <v>123.6666667</v>
      </c>
      <c r="E383" s="78">
        <v>4.955714442</v>
      </c>
      <c r="F383" s="78">
        <f>sumif('PLA Sheet'!C:C,B383,'PLA Sheet'!J:J)/D383*9</f>
        <v>3.69319027</v>
      </c>
      <c r="G383" s="79">
        <v>0.447161572</v>
      </c>
      <c r="H383" s="79">
        <v>0.209606987</v>
      </c>
      <c r="I383" s="79">
        <v>0.343231441</v>
      </c>
      <c r="J383" s="79">
        <f t="shared" si="1"/>
        <v>0.103930131</v>
      </c>
      <c r="K383" s="80">
        <v>-14.41129352</v>
      </c>
    </row>
    <row r="384">
      <c r="A384" s="1" t="s">
        <v>493</v>
      </c>
      <c r="B384" s="38">
        <v>657514.0</v>
      </c>
      <c r="C384" s="38">
        <v>809.0</v>
      </c>
      <c r="D384" s="39">
        <f>sumif('PLA Sheet'!C:C,B384,'PLA Sheet'!H:H)</f>
        <v>51.66666666</v>
      </c>
      <c r="E384" s="78">
        <v>4.955565078</v>
      </c>
      <c r="F384" s="78">
        <f>sumif('PLA Sheet'!C:C,B384,'PLA Sheet'!J:J)/D384*9</f>
        <v>3.773005781</v>
      </c>
      <c r="G384" s="79">
        <v>0.462299135</v>
      </c>
      <c r="H384" s="79">
        <v>0.164400494</v>
      </c>
      <c r="I384" s="79">
        <v>0.373300371</v>
      </c>
      <c r="J384" s="79">
        <f t="shared" si="1"/>
        <v>0.088998764</v>
      </c>
      <c r="K384" s="80">
        <v>1.775546698</v>
      </c>
    </row>
    <row r="385">
      <c r="A385" s="1" t="s">
        <v>641</v>
      </c>
      <c r="B385" s="38">
        <v>680704.0</v>
      </c>
      <c r="C385" s="38">
        <v>837.0</v>
      </c>
      <c r="D385" s="39">
        <f>sumif('PLA Sheet'!C:C,B385,'PLA Sheet'!H:H)</f>
        <v>16.33333333</v>
      </c>
      <c r="E385" s="78">
        <v>4.955032185</v>
      </c>
      <c r="F385" s="78">
        <f>sumif('PLA Sheet'!C:C,B385,'PLA Sheet'!J:J)/D385*9</f>
        <v>3.585372979</v>
      </c>
      <c r="G385" s="79">
        <v>0.449223417</v>
      </c>
      <c r="H385" s="79">
        <v>0.17562724</v>
      </c>
      <c r="I385" s="79">
        <v>0.375149343</v>
      </c>
      <c r="J385" s="79">
        <f t="shared" si="1"/>
        <v>0.074074074</v>
      </c>
      <c r="K385" s="80">
        <v>3.613725079</v>
      </c>
    </row>
    <row r="386">
      <c r="A386" s="1" t="s">
        <v>580</v>
      </c>
      <c r="B386" s="38">
        <v>676272.0</v>
      </c>
      <c r="C386" s="38">
        <v>891.0</v>
      </c>
      <c r="D386" s="39">
        <f>sumif('PLA Sheet'!C:C,B386,'PLA Sheet'!H:H)</f>
        <v>5.000000001</v>
      </c>
      <c r="E386" s="78">
        <v>4.954228752</v>
      </c>
      <c r="F386" s="78">
        <f>sumif('PLA Sheet'!C:C,B386,'PLA Sheet'!J:J)/D386*9</f>
        <v>4.434359399</v>
      </c>
      <c r="G386" s="79">
        <v>0.47362514</v>
      </c>
      <c r="H386" s="79">
        <v>0.147025814</v>
      </c>
      <c r="I386" s="79">
        <v>0.379349046</v>
      </c>
      <c r="J386" s="79">
        <f t="shared" si="1"/>
        <v>0.094276094</v>
      </c>
      <c r="K386" s="80">
        <v>-9.066859834</v>
      </c>
    </row>
    <row r="387">
      <c r="A387" s="1" t="s">
        <v>217</v>
      </c>
      <c r="B387" s="38">
        <v>642701.0</v>
      </c>
      <c r="C387" s="38">
        <v>920.0</v>
      </c>
      <c r="D387" s="39">
        <f>sumif('PLA Sheet'!C:C,B387,'PLA Sheet'!H:H)</f>
        <v>70.33333333</v>
      </c>
      <c r="E387" s="78">
        <v>4.954118522</v>
      </c>
      <c r="F387" s="78">
        <f>sumif('PLA Sheet'!C:C,B387,'PLA Sheet'!J:J)/D387*9</f>
        <v>2.968128939</v>
      </c>
      <c r="G387" s="79">
        <v>0.427173913</v>
      </c>
      <c r="H387" s="79">
        <v>0.20326087</v>
      </c>
      <c r="I387" s="79">
        <v>0.369565217</v>
      </c>
      <c r="J387" s="79">
        <f t="shared" si="1"/>
        <v>0.057608696</v>
      </c>
      <c r="K387" s="80">
        <v>3.807671338</v>
      </c>
    </row>
    <row r="388">
      <c r="A388" s="1" t="s">
        <v>603</v>
      </c>
      <c r="B388" s="38">
        <v>608334.0</v>
      </c>
      <c r="C388" s="38">
        <v>1339.0</v>
      </c>
      <c r="D388" s="39">
        <f>sumif('PLA Sheet'!C:C,B388,'PLA Sheet'!H:H)</f>
        <v>29.33333333</v>
      </c>
      <c r="E388" s="78">
        <v>4.953880748</v>
      </c>
      <c r="F388" s="78">
        <f>sumif('PLA Sheet'!C:C,B388,'PLA Sheet'!J:J)/D388*9</f>
        <v>3.484619693</v>
      </c>
      <c r="G388" s="79">
        <v>0.421956684</v>
      </c>
      <c r="H388" s="79">
        <v>0.202389843</v>
      </c>
      <c r="I388" s="79">
        <v>0.375653473</v>
      </c>
      <c r="J388" s="79">
        <f t="shared" si="1"/>
        <v>0.046303211</v>
      </c>
      <c r="K388" s="80">
        <v>12.70146496</v>
      </c>
    </row>
    <row r="389">
      <c r="A389" s="1" t="s">
        <v>450</v>
      </c>
      <c r="B389" s="38">
        <v>682990.0</v>
      </c>
      <c r="C389" s="38">
        <v>713.0</v>
      </c>
      <c r="D389" s="39">
        <f>sumif('PLA Sheet'!C:C,B389,'PLA Sheet'!H:H)</f>
        <v>157.3333334</v>
      </c>
      <c r="E389" s="78">
        <v>4.952547443</v>
      </c>
      <c r="F389" s="78">
        <f>sumif('PLA Sheet'!C:C,B389,'PLA Sheet'!J:J)/D389*9</f>
        <v>3.468051896</v>
      </c>
      <c r="G389" s="79">
        <v>0.422159888</v>
      </c>
      <c r="H389" s="79">
        <v>0.193548387</v>
      </c>
      <c r="I389" s="79">
        <v>0.384291725</v>
      </c>
      <c r="J389" s="79">
        <f t="shared" si="1"/>
        <v>0.037868163</v>
      </c>
      <c r="K389" s="80">
        <v>-2.960470704</v>
      </c>
    </row>
    <row r="390">
      <c r="A390" s="1" t="s">
        <v>492</v>
      </c>
      <c r="B390" s="38">
        <v>671212.0</v>
      </c>
      <c r="C390" s="38">
        <v>865.0</v>
      </c>
      <c r="D390" s="39">
        <f>sumif('PLA Sheet'!C:C,B390,'PLA Sheet'!H:H)</f>
        <v>52</v>
      </c>
      <c r="E390" s="78">
        <v>4.949101535</v>
      </c>
      <c r="F390" s="78">
        <f>sumif('PLA Sheet'!C:C,B390,'PLA Sheet'!J:J)/D390*9</f>
        <v>4.203673789</v>
      </c>
      <c r="G390" s="79">
        <v>0.478612717</v>
      </c>
      <c r="H390" s="79">
        <v>0.153757225</v>
      </c>
      <c r="I390" s="79">
        <v>0.367630058</v>
      </c>
      <c r="J390" s="79">
        <f t="shared" si="1"/>
        <v>0.110982659</v>
      </c>
      <c r="K390" s="80">
        <v>2.284634369</v>
      </c>
    </row>
    <row r="391">
      <c r="A391" s="1" t="s">
        <v>379</v>
      </c>
      <c r="B391" s="38">
        <v>593423.0</v>
      </c>
      <c r="C391" s="38">
        <v>2169.0</v>
      </c>
      <c r="D391" s="39">
        <f>sumif('PLA Sheet'!C:C,B391,'PLA Sheet'!H:H)</f>
        <v>38.66666667</v>
      </c>
      <c r="E391" s="78">
        <v>4.948359788</v>
      </c>
      <c r="F391" s="78">
        <f>sumif('PLA Sheet'!C:C,B391,'PLA Sheet'!J:J)/D391*9</f>
        <v>3.644457207</v>
      </c>
      <c r="G391" s="79">
        <v>0.426463808</v>
      </c>
      <c r="H391" s="79">
        <v>0.193637621</v>
      </c>
      <c r="I391" s="79">
        <v>0.379898571</v>
      </c>
      <c r="J391" s="79">
        <f t="shared" si="1"/>
        <v>0.046565237</v>
      </c>
      <c r="K391" s="80">
        <v>16.49488158</v>
      </c>
    </row>
    <row r="392">
      <c r="A392" s="1" t="s">
        <v>288</v>
      </c>
      <c r="B392" s="38">
        <v>641755.0</v>
      </c>
      <c r="C392" s="38">
        <v>1073.0</v>
      </c>
      <c r="D392" s="39">
        <f>sumif('PLA Sheet'!C:C,B392,'PLA Sheet'!H:H)</f>
        <v>72.66666667</v>
      </c>
      <c r="E392" s="78">
        <v>4.945133654</v>
      </c>
      <c r="F392" s="78">
        <f>sumif('PLA Sheet'!C:C,B392,'PLA Sheet'!J:J)/D392*9</f>
        <v>3.253393982</v>
      </c>
      <c r="G392" s="79">
        <v>0.438956198</v>
      </c>
      <c r="H392" s="79">
        <v>0.166821994</v>
      </c>
      <c r="I392" s="79">
        <v>0.394221808</v>
      </c>
      <c r="J392" s="79">
        <f t="shared" si="1"/>
        <v>0.04473439</v>
      </c>
      <c r="K392" s="80">
        <v>4.731831364</v>
      </c>
    </row>
    <row r="393">
      <c r="A393" s="1" t="s">
        <v>596</v>
      </c>
      <c r="B393" s="38">
        <v>674072.0</v>
      </c>
      <c r="C393" s="38">
        <v>699.0</v>
      </c>
      <c r="D393" s="39">
        <f>sumif('PLA Sheet'!C:C,B393,'PLA Sheet'!H:H)</f>
        <v>6.666666668</v>
      </c>
      <c r="E393" s="78">
        <v>4.941578259</v>
      </c>
      <c r="F393" s="78">
        <f>sumif('PLA Sheet'!C:C,B393,'PLA Sheet'!J:J)/D393*9</f>
        <v>3.425055299</v>
      </c>
      <c r="G393" s="79">
        <v>0.442060086</v>
      </c>
      <c r="H393" s="79">
        <v>0.190271817</v>
      </c>
      <c r="I393" s="79">
        <v>0.367668097</v>
      </c>
      <c r="J393" s="79">
        <f t="shared" si="1"/>
        <v>0.074391989</v>
      </c>
      <c r="K393" s="80">
        <v>-4.061382448</v>
      </c>
    </row>
    <row r="394">
      <c r="A394" s="1" t="s">
        <v>682</v>
      </c>
      <c r="B394" s="38">
        <v>642048.0</v>
      </c>
      <c r="C394" s="38">
        <v>554.0</v>
      </c>
      <c r="D394" s="39">
        <f>sumif('PLA Sheet'!C:C,B394,'PLA Sheet'!H:H)</f>
        <v>13.33333333</v>
      </c>
      <c r="E394" s="78">
        <v>4.940992444</v>
      </c>
      <c r="F394" s="78">
        <f>sumif('PLA Sheet'!C:C,B394,'PLA Sheet'!J:J)/D394*9</f>
        <v>4.020863625</v>
      </c>
      <c r="G394" s="79">
        <v>0.436823105</v>
      </c>
      <c r="H394" s="79">
        <v>0.205776173</v>
      </c>
      <c r="I394" s="79">
        <v>0.357400722</v>
      </c>
      <c r="J394" s="79">
        <f t="shared" si="1"/>
        <v>0.079422383</v>
      </c>
      <c r="K394" s="80">
        <v>-1.280215608</v>
      </c>
    </row>
    <row r="395">
      <c r="A395" s="1" t="s">
        <v>464</v>
      </c>
      <c r="B395" s="38">
        <v>615698.0</v>
      </c>
      <c r="C395" s="38">
        <v>2392.0</v>
      </c>
      <c r="D395" s="39">
        <f>sumif('PLA Sheet'!C:C,B395,'PLA Sheet'!H:H)</f>
        <v>117.6666667</v>
      </c>
      <c r="E395" s="78">
        <v>4.939011253</v>
      </c>
      <c r="F395" s="78">
        <f>sumif('PLA Sheet'!C:C,B395,'PLA Sheet'!J:J)/D395*9</f>
        <v>3.866353572</v>
      </c>
      <c r="G395" s="79">
        <v>0.424749164</v>
      </c>
      <c r="H395" s="79">
        <v>0.193979933</v>
      </c>
      <c r="I395" s="79">
        <v>0.381270903</v>
      </c>
      <c r="J395" s="79">
        <f t="shared" si="1"/>
        <v>0.043478261</v>
      </c>
      <c r="K395" s="80">
        <v>12.55859457</v>
      </c>
    </row>
    <row r="396">
      <c r="A396" s="1" t="s">
        <v>506</v>
      </c>
      <c r="B396" s="38">
        <v>605177.0</v>
      </c>
      <c r="C396" s="38">
        <v>812.0</v>
      </c>
      <c r="D396" s="39">
        <f>sumif('PLA Sheet'!C:C,B396,'PLA Sheet'!H:H)</f>
        <v>33.66666667</v>
      </c>
      <c r="E396" s="78">
        <v>4.938854565</v>
      </c>
      <c r="F396" s="78">
        <f>sumif('PLA Sheet'!C:C,B396,'PLA Sheet'!J:J)/D396*9</f>
        <v>4.53195802</v>
      </c>
      <c r="G396" s="79">
        <v>0.438423645</v>
      </c>
      <c r="H396" s="79">
        <v>0.166256158</v>
      </c>
      <c r="I396" s="79">
        <v>0.395320197</v>
      </c>
      <c r="J396" s="79">
        <f t="shared" si="1"/>
        <v>0.043103448</v>
      </c>
      <c r="K396" s="80">
        <v>-3.747383505</v>
      </c>
    </row>
    <row r="397">
      <c r="A397" s="1" t="s">
        <v>489</v>
      </c>
      <c r="B397" s="38">
        <v>656222.0</v>
      </c>
      <c r="C397" s="38">
        <v>1045.0</v>
      </c>
      <c r="D397" s="39">
        <f>sumif('PLA Sheet'!C:C,B397,'PLA Sheet'!H:H)</f>
        <v>57.33333333</v>
      </c>
      <c r="E397" s="78">
        <v>4.937117489</v>
      </c>
      <c r="F397" s="78">
        <f>sumif('PLA Sheet'!C:C,B397,'PLA Sheet'!J:J)/D397*9</f>
        <v>3.739259983</v>
      </c>
      <c r="G397" s="79">
        <v>0.455502392</v>
      </c>
      <c r="H397" s="79">
        <v>0.142583732</v>
      </c>
      <c r="I397" s="79">
        <v>0.401913876</v>
      </c>
      <c r="J397" s="79">
        <f t="shared" si="1"/>
        <v>0.053588516</v>
      </c>
      <c r="K397" s="80">
        <v>-6.851990748</v>
      </c>
    </row>
    <row r="398">
      <c r="A398" s="1" t="s">
        <v>1065</v>
      </c>
      <c r="B398" s="38">
        <v>679525.0</v>
      </c>
      <c r="C398" s="38">
        <v>1819.0</v>
      </c>
      <c r="D398" s="39">
        <f>sumif('PLA Sheet'!C:C,B398,'PLA Sheet'!H:H)</f>
        <v>0</v>
      </c>
      <c r="E398" s="78">
        <v>4.935463515</v>
      </c>
      <c r="F398" s="78" t="str">
        <f>sumif('PLA Sheet'!C:C,B398,'PLA Sheet'!J:J)/D398*9</f>
        <v>#DIV/0!</v>
      </c>
      <c r="G398" s="79">
        <v>0.428257284</v>
      </c>
      <c r="H398" s="79">
        <v>0.21055525</v>
      </c>
      <c r="I398" s="79">
        <v>0.361187466</v>
      </c>
      <c r="J398" s="79">
        <f t="shared" si="1"/>
        <v>0.067069818</v>
      </c>
      <c r="K398" s="80">
        <v>-0.03541925</v>
      </c>
    </row>
    <row r="399">
      <c r="A399" s="1" t="s">
        <v>517</v>
      </c>
      <c r="B399" s="38">
        <v>683627.0</v>
      </c>
      <c r="C399" s="38">
        <v>920.0</v>
      </c>
      <c r="D399" s="39">
        <f>sumif('PLA Sheet'!C:C,B399,'PLA Sheet'!H:H)</f>
        <v>34.66666667</v>
      </c>
      <c r="E399" s="78">
        <v>4.934977402</v>
      </c>
      <c r="F399" s="78">
        <f>sumif('PLA Sheet'!C:C,B399,'PLA Sheet'!J:J)/D399*9</f>
        <v>4.329198433</v>
      </c>
      <c r="G399" s="79">
        <v>0.425</v>
      </c>
      <c r="H399" s="79">
        <v>0.213043478</v>
      </c>
      <c r="I399" s="79">
        <v>0.361956522</v>
      </c>
      <c r="J399" s="79">
        <f t="shared" si="1"/>
        <v>0.063043478</v>
      </c>
      <c r="K399" s="80">
        <v>-4.637940835</v>
      </c>
    </row>
    <row r="400">
      <c r="A400" s="1" t="s">
        <v>209</v>
      </c>
      <c r="B400" s="38">
        <v>694738.0</v>
      </c>
      <c r="C400" s="38">
        <v>517.0</v>
      </c>
      <c r="D400" s="39">
        <f>sumif('PLA Sheet'!C:C,B400,'PLA Sheet'!H:H)</f>
        <v>106.6666667</v>
      </c>
      <c r="E400" s="78">
        <v>4.934150764</v>
      </c>
      <c r="F400" s="78">
        <f>sumif('PLA Sheet'!C:C,B400,'PLA Sheet'!J:J)/D400*9</f>
        <v>2.956803919</v>
      </c>
      <c r="G400" s="79">
        <v>0.46615087</v>
      </c>
      <c r="H400" s="79">
        <v>0.13926499</v>
      </c>
      <c r="I400" s="79">
        <v>0.394584139</v>
      </c>
      <c r="J400" s="79">
        <f t="shared" si="1"/>
        <v>0.071566731</v>
      </c>
      <c r="K400" s="80">
        <v>1.266849496</v>
      </c>
    </row>
    <row r="401">
      <c r="A401" s="1" t="s">
        <v>620</v>
      </c>
      <c r="B401" s="38">
        <v>445926.0</v>
      </c>
      <c r="C401" s="38">
        <v>936.0</v>
      </c>
      <c r="D401" s="39">
        <f>sumif('PLA Sheet'!C:C,B401,'PLA Sheet'!H:H)</f>
        <v>7.999999999</v>
      </c>
      <c r="E401" s="78">
        <v>4.933165524</v>
      </c>
      <c r="F401" s="78">
        <f>sumif('PLA Sheet'!C:C,B401,'PLA Sheet'!J:J)/D401*9</f>
        <v>5.524709626</v>
      </c>
      <c r="G401" s="79">
        <v>0.442307692</v>
      </c>
      <c r="H401" s="79">
        <v>0.175213675</v>
      </c>
      <c r="I401" s="79">
        <v>0.382478632</v>
      </c>
      <c r="J401" s="79">
        <f t="shared" si="1"/>
        <v>0.05982906</v>
      </c>
      <c r="K401" s="80">
        <v>0.502330514</v>
      </c>
    </row>
    <row r="402">
      <c r="A402" s="1" t="s">
        <v>419</v>
      </c>
      <c r="B402" s="38">
        <v>681857.0</v>
      </c>
      <c r="C402" s="38">
        <v>1649.0</v>
      </c>
      <c r="D402" s="39">
        <f>sumif('PLA Sheet'!C:C,B402,'PLA Sheet'!H:H)</f>
        <v>68.66666667</v>
      </c>
      <c r="E402" s="78">
        <v>4.930331471</v>
      </c>
      <c r="F402" s="78">
        <f>sumif('PLA Sheet'!C:C,B402,'PLA Sheet'!J:J)/D402*9</f>
        <v>3.630643078</v>
      </c>
      <c r="G402" s="79">
        <v>0.418435415</v>
      </c>
      <c r="H402" s="79">
        <v>0.184354154</v>
      </c>
      <c r="I402" s="79">
        <v>0.397210431</v>
      </c>
      <c r="J402" s="79">
        <f t="shared" si="1"/>
        <v>0.021224984</v>
      </c>
      <c r="K402" s="80">
        <v>9.113769609</v>
      </c>
    </row>
    <row r="403">
      <c r="A403" s="1" t="s">
        <v>312</v>
      </c>
      <c r="B403" s="38">
        <v>650893.0</v>
      </c>
      <c r="C403" s="38">
        <v>867.0</v>
      </c>
      <c r="D403" s="39">
        <f>sumif('PLA Sheet'!C:C,B403,'PLA Sheet'!H:H)</f>
        <v>42.66666667</v>
      </c>
      <c r="E403" s="78">
        <v>4.925225174</v>
      </c>
      <c r="F403" s="78">
        <f>sumif('PLA Sheet'!C:C,B403,'PLA Sheet'!J:J)/D403*9</f>
        <v>3.354771937</v>
      </c>
      <c r="G403" s="79">
        <v>0.46366782</v>
      </c>
      <c r="H403" s="79">
        <v>0.160322953</v>
      </c>
      <c r="I403" s="79">
        <v>0.376009227</v>
      </c>
      <c r="J403" s="79">
        <f t="shared" si="1"/>
        <v>0.087658593</v>
      </c>
      <c r="K403" s="80">
        <v>-4.610094663</v>
      </c>
    </row>
    <row r="404">
      <c r="A404" s="1" t="s">
        <v>1066</v>
      </c>
      <c r="B404" s="38">
        <v>572020.0</v>
      </c>
      <c r="C404" s="38">
        <v>1688.0</v>
      </c>
      <c r="D404" s="39">
        <f>sumif('PLA Sheet'!C:C,B404,'PLA Sheet'!H:H)</f>
        <v>0</v>
      </c>
      <c r="E404" s="78">
        <v>4.92356369</v>
      </c>
      <c r="F404" s="78" t="str">
        <f>sumif('PLA Sheet'!C:C,B404,'PLA Sheet'!J:J)/D404*9</f>
        <v>#DIV/0!</v>
      </c>
      <c r="G404" s="79">
        <v>0.43542654</v>
      </c>
      <c r="H404" s="79">
        <v>0.192535545</v>
      </c>
      <c r="I404" s="79">
        <v>0.372037915</v>
      </c>
      <c r="J404" s="79">
        <f t="shared" si="1"/>
        <v>0.063388625</v>
      </c>
      <c r="K404" s="80">
        <v>1.692161537</v>
      </c>
    </row>
    <row r="405">
      <c r="A405" s="1" t="s">
        <v>447</v>
      </c>
      <c r="B405" s="38">
        <v>605463.0</v>
      </c>
      <c r="C405" s="38">
        <v>1146.0</v>
      </c>
      <c r="D405" s="39">
        <f>sumif('PLA Sheet'!C:C,B405,'PLA Sheet'!H:H)</f>
        <v>27.33333333</v>
      </c>
      <c r="E405" s="78">
        <v>4.919554351</v>
      </c>
      <c r="F405" s="78">
        <f>sumif('PLA Sheet'!C:C,B405,'PLA Sheet'!J:J)/D405*9</f>
        <v>4.327261683</v>
      </c>
      <c r="G405" s="79">
        <v>0.462478185</v>
      </c>
      <c r="H405" s="79">
        <v>0.135253054</v>
      </c>
      <c r="I405" s="79">
        <v>0.402268761</v>
      </c>
      <c r="J405" s="79">
        <f t="shared" si="1"/>
        <v>0.060209424</v>
      </c>
      <c r="K405" s="80">
        <v>9.713621874</v>
      </c>
    </row>
    <row r="406">
      <c r="A406" s="1" t="s">
        <v>1067</v>
      </c>
      <c r="B406" s="38">
        <v>686539.0</v>
      </c>
      <c r="C406" s="38">
        <v>985.0</v>
      </c>
      <c r="D406" s="39">
        <f>sumif('PLA Sheet'!C:C,B406,'PLA Sheet'!H:H)</f>
        <v>0</v>
      </c>
      <c r="E406" s="78">
        <v>4.918194409</v>
      </c>
      <c r="F406" s="78" t="str">
        <f>sumif('PLA Sheet'!C:C,B406,'PLA Sheet'!J:J)/D406*9</f>
        <v>#DIV/0!</v>
      </c>
      <c r="G406" s="79">
        <v>0.423350254</v>
      </c>
      <c r="H406" s="79">
        <v>0.2</v>
      </c>
      <c r="I406" s="79">
        <v>0.376649746</v>
      </c>
      <c r="J406" s="79">
        <f t="shared" si="1"/>
        <v>0.046700508</v>
      </c>
      <c r="K406" s="80">
        <v>-8.826717659</v>
      </c>
    </row>
    <row r="407">
      <c r="A407" s="1" t="s">
        <v>1068</v>
      </c>
      <c r="B407" s="38">
        <v>658648.0</v>
      </c>
      <c r="C407" s="38">
        <v>1238.0</v>
      </c>
      <c r="D407" s="39">
        <f>sumif('PLA Sheet'!C:C,B407,'PLA Sheet'!H:H)</f>
        <v>0</v>
      </c>
      <c r="E407" s="78">
        <v>4.916777808</v>
      </c>
      <c r="F407" s="78" t="str">
        <f>sumif('PLA Sheet'!C:C,B407,'PLA Sheet'!J:J)/D407*9</f>
        <v>#DIV/0!</v>
      </c>
      <c r="G407" s="79">
        <v>0.423263328</v>
      </c>
      <c r="H407" s="79">
        <v>0.195476575</v>
      </c>
      <c r="I407" s="79">
        <v>0.381260097</v>
      </c>
      <c r="J407" s="79">
        <f t="shared" si="1"/>
        <v>0.042003231</v>
      </c>
      <c r="K407" s="80">
        <v>11.82600489</v>
      </c>
    </row>
    <row r="408">
      <c r="A408" s="1" t="s">
        <v>366</v>
      </c>
      <c r="B408" s="38">
        <v>656550.0</v>
      </c>
      <c r="C408" s="38">
        <v>742.0</v>
      </c>
      <c r="D408" s="39">
        <f>sumif('PLA Sheet'!C:C,B408,'PLA Sheet'!H:H)</f>
        <v>115</v>
      </c>
      <c r="E408" s="78">
        <v>4.916067185</v>
      </c>
      <c r="F408" s="78">
        <f>sumif('PLA Sheet'!C:C,B408,'PLA Sheet'!J:J)/D408*9</f>
        <v>3.532396304</v>
      </c>
      <c r="G408" s="79">
        <v>0.409703504</v>
      </c>
      <c r="H408" s="79">
        <v>0.200808625</v>
      </c>
      <c r="I408" s="79">
        <v>0.389487871</v>
      </c>
      <c r="J408" s="79">
        <f t="shared" si="1"/>
        <v>0.020215633</v>
      </c>
      <c r="K408" s="80">
        <v>-6.433723885</v>
      </c>
    </row>
    <row r="409">
      <c r="A409" s="1" t="s">
        <v>590</v>
      </c>
      <c r="B409" s="38">
        <v>800049.0</v>
      </c>
      <c r="C409" s="38">
        <v>578.0</v>
      </c>
      <c r="D409" s="39">
        <f>sumif('PLA Sheet'!C:C,B409,'PLA Sheet'!H:H)</f>
        <v>30</v>
      </c>
      <c r="E409" s="78">
        <v>4.913424609</v>
      </c>
      <c r="F409" s="78">
        <f>sumif('PLA Sheet'!C:C,B409,'PLA Sheet'!J:J)/D409*9</f>
        <v>3.342618</v>
      </c>
      <c r="G409" s="79">
        <v>0.461937716</v>
      </c>
      <c r="H409" s="79">
        <v>0.164359862</v>
      </c>
      <c r="I409" s="79">
        <v>0.373702422</v>
      </c>
      <c r="J409" s="79">
        <f t="shared" si="1"/>
        <v>0.088235294</v>
      </c>
      <c r="K409" s="80">
        <v>-9.225829199</v>
      </c>
    </row>
    <row r="410">
      <c r="A410" s="1" t="s">
        <v>473</v>
      </c>
      <c r="B410" s="38">
        <v>527048.0</v>
      </c>
      <c r="C410" s="38">
        <v>1892.0</v>
      </c>
      <c r="D410" s="39">
        <f>sumif('PLA Sheet'!C:C,B410,'PLA Sheet'!H:H)</f>
        <v>56</v>
      </c>
      <c r="E410" s="78">
        <v>4.906361227</v>
      </c>
      <c r="F410" s="78">
        <f>sumif('PLA Sheet'!C:C,B410,'PLA Sheet'!J:J)/D410*9</f>
        <v>3.633393375</v>
      </c>
      <c r="G410" s="79">
        <v>0.411205074</v>
      </c>
      <c r="H410" s="79">
        <v>0.197145877</v>
      </c>
      <c r="I410" s="79">
        <v>0.391649049</v>
      </c>
      <c r="J410" s="79">
        <f t="shared" si="1"/>
        <v>0.019556025</v>
      </c>
      <c r="K410" s="80">
        <v>-10.63215232</v>
      </c>
    </row>
    <row r="411">
      <c r="A411" s="1" t="s">
        <v>903</v>
      </c>
      <c r="B411" s="38">
        <v>607179.0</v>
      </c>
      <c r="C411" s="38">
        <v>726.0</v>
      </c>
      <c r="D411" s="39">
        <f>sumif('PLA Sheet'!C:C,B411,'PLA Sheet'!H:H)</f>
        <v>4.333333333</v>
      </c>
      <c r="E411" s="78">
        <v>4.90601699</v>
      </c>
      <c r="F411" s="78">
        <f>sumif('PLA Sheet'!C:C,B411,'PLA Sheet'!J:J)/D411*9</f>
        <v>6.20958877</v>
      </c>
      <c r="G411" s="79">
        <v>0.450413223</v>
      </c>
      <c r="H411" s="79">
        <v>0.192837466</v>
      </c>
      <c r="I411" s="79">
        <v>0.356749311</v>
      </c>
      <c r="J411" s="79">
        <f t="shared" si="1"/>
        <v>0.093663912</v>
      </c>
      <c r="K411" s="80">
        <v>-12.37642194</v>
      </c>
    </row>
    <row r="412">
      <c r="A412" s="1" t="s">
        <v>482</v>
      </c>
      <c r="B412" s="38">
        <v>693312.0</v>
      </c>
      <c r="C412" s="38">
        <v>849.0</v>
      </c>
      <c r="D412" s="39">
        <f>sumif('PLA Sheet'!C:C,B412,'PLA Sheet'!H:H)</f>
        <v>38</v>
      </c>
      <c r="E412" s="78">
        <v>4.905071256</v>
      </c>
      <c r="F412" s="78">
        <f>sumif('PLA Sheet'!C:C,B412,'PLA Sheet'!J:J)/D412*9</f>
        <v>3.985671079</v>
      </c>
      <c r="G412" s="79">
        <v>0.453474676</v>
      </c>
      <c r="H412" s="79">
        <v>0.14958775</v>
      </c>
      <c r="I412" s="79">
        <v>0.396937574</v>
      </c>
      <c r="J412" s="79">
        <f t="shared" si="1"/>
        <v>0.056537102</v>
      </c>
      <c r="K412" s="80">
        <v>-6.790212188</v>
      </c>
    </row>
    <row r="413">
      <c r="A413" s="1" t="s">
        <v>500</v>
      </c>
      <c r="B413" s="38">
        <v>665871.0</v>
      </c>
      <c r="C413" s="38">
        <v>2155.0</v>
      </c>
      <c r="D413" s="39">
        <f>sumif('PLA Sheet'!C:C,B413,'PLA Sheet'!H:H)</f>
        <v>37</v>
      </c>
      <c r="E413" s="78">
        <v>4.899844434</v>
      </c>
      <c r="F413" s="78">
        <f>sumif('PLA Sheet'!C:C,B413,'PLA Sheet'!J:J)/D413*9</f>
        <v>3.653541243</v>
      </c>
      <c r="G413" s="79">
        <v>0.419953596</v>
      </c>
      <c r="H413" s="79">
        <v>0.187935035</v>
      </c>
      <c r="I413" s="79">
        <v>0.392111369</v>
      </c>
      <c r="J413" s="79">
        <f t="shared" si="1"/>
        <v>0.027842227</v>
      </c>
      <c r="K413" s="80">
        <v>16.50039166</v>
      </c>
    </row>
    <row r="414">
      <c r="A414" s="1" t="s">
        <v>858</v>
      </c>
      <c r="B414" s="38">
        <v>657024.0</v>
      </c>
      <c r="C414" s="38">
        <v>523.0</v>
      </c>
      <c r="D414" s="39">
        <f>sumif('PLA Sheet'!C:C,B414,'PLA Sheet'!H:H)</f>
        <v>5.333333334</v>
      </c>
      <c r="E414" s="78">
        <v>4.89979305</v>
      </c>
      <c r="F414" s="78">
        <f>sumif('PLA Sheet'!C:C,B414,'PLA Sheet'!J:J)/D414*9</f>
        <v>6.324193124</v>
      </c>
      <c r="G414" s="79">
        <v>0.426386233</v>
      </c>
      <c r="H414" s="79">
        <v>0.216061185</v>
      </c>
      <c r="I414" s="79">
        <v>0.357552581</v>
      </c>
      <c r="J414" s="79">
        <f t="shared" si="1"/>
        <v>0.068833652</v>
      </c>
      <c r="K414" s="80">
        <v>-3.475442418</v>
      </c>
    </row>
    <row r="415">
      <c r="A415" s="1" t="s">
        <v>303</v>
      </c>
      <c r="B415" s="38">
        <v>592662.0</v>
      </c>
      <c r="C415" s="38">
        <v>565.0</v>
      </c>
      <c r="D415" s="39">
        <f>sumif('PLA Sheet'!C:C,B415,'PLA Sheet'!H:H)</f>
        <v>182.3333333</v>
      </c>
      <c r="E415" s="78">
        <v>4.898774571</v>
      </c>
      <c r="F415" s="78">
        <f>sumif('PLA Sheet'!C:C,B415,'PLA Sheet'!J:J)/D415*9</f>
        <v>3.315347572</v>
      </c>
      <c r="G415" s="79">
        <v>0.453097345</v>
      </c>
      <c r="H415" s="79">
        <v>0.180530973</v>
      </c>
      <c r="I415" s="79">
        <v>0.366371681</v>
      </c>
      <c r="J415" s="79">
        <f t="shared" si="1"/>
        <v>0.086725664</v>
      </c>
      <c r="K415" s="80">
        <v>5.411288082</v>
      </c>
    </row>
    <row r="416">
      <c r="A416" s="1" t="s">
        <v>992</v>
      </c>
      <c r="B416" s="38">
        <v>623433.0</v>
      </c>
      <c r="C416" s="38">
        <v>569.0</v>
      </c>
      <c r="D416" s="39">
        <f>sumif('PLA Sheet'!C:C,B416,'PLA Sheet'!H:H)</f>
        <v>14.66666667</v>
      </c>
      <c r="E416" s="78">
        <v>4.896205616</v>
      </c>
      <c r="F416" s="78">
        <f>sumif('PLA Sheet'!C:C,B416,'PLA Sheet'!J:J)/D416*9</f>
        <v>3.369498137</v>
      </c>
      <c r="G416" s="79">
        <v>0.409490334</v>
      </c>
      <c r="H416" s="79">
        <v>0.205623902</v>
      </c>
      <c r="I416" s="79">
        <v>0.384885764</v>
      </c>
      <c r="J416" s="79">
        <f t="shared" si="1"/>
        <v>0.02460457</v>
      </c>
      <c r="K416" s="80">
        <v>0.621732549</v>
      </c>
    </row>
    <row r="417">
      <c r="A417" s="1" t="s">
        <v>1069</v>
      </c>
      <c r="B417" s="38">
        <v>675921.0</v>
      </c>
      <c r="C417" s="38">
        <v>533.0</v>
      </c>
      <c r="D417" s="39">
        <f>sumif('PLA Sheet'!C:C,B417,'PLA Sheet'!H:H)</f>
        <v>0</v>
      </c>
      <c r="E417" s="78">
        <v>4.892966959</v>
      </c>
      <c r="F417" s="78" t="str">
        <f>sumif('PLA Sheet'!C:C,B417,'PLA Sheet'!J:J)/D417*9</f>
        <v>#DIV/0!</v>
      </c>
      <c r="G417" s="79">
        <v>0.446529081</v>
      </c>
      <c r="H417" s="79">
        <v>0.189493433</v>
      </c>
      <c r="I417" s="79">
        <v>0.363977486</v>
      </c>
      <c r="J417" s="79">
        <f t="shared" si="1"/>
        <v>0.082551595</v>
      </c>
      <c r="K417" s="80">
        <v>-10.14903058</v>
      </c>
    </row>
    <row r="418">
      <c r="A418" s="1" t="s">
        <v>462</v>
      </c>
      <c r="B418" s="38">
        <v>623167.0</v>
      </c>
      <c r="C418" s="38">
        <v>2405.0</v>
      </c>
      <c r="D418" s="39">
        <f>sumif('PLA Sheet'!C:C,B418,'PLA Sheet'!H:H)</f>
        <v>43.66666667</v>
      </c>
      <c r="E418" s="78">
        <v>4.891463758</v>
      </c>
      <c r="F418" s="78">
        <f>sumif('PLA Sheet'!C:C,B418,'PLA Sheet'!J:J)/D418*9</f>
        <v>3.355097084</v>
      </c>
      <c r="G418" s="79">
        <v>0.412889813</v>
      </c>
      <c r="H418" s="79">
        <v>0.173804574</v>
      </c>
      <c r="I418" s="79">
        <v>0.413305613</v>
      </c>
      <c r="J418" s="79">
        <f t="shared" si="1"/>
        <v>-0.0004158</v>
      </c>
      <c r="K418" s="80">
        <v>-30.95295082</v>
      </c>
    </row>
    <row r="419">
      <c r="A419" s="1" t="s">
        <v>420</v>
      </c>
      <c r="B419" s="38">
        <v>547179.0</v>
      </c>
      <c r="C419" s="38">
        <v>2016.0</v>
      </c>
      <c r="D419" s="39">
        <f>sumif('PLA Sheet'!C:C,B419,'PLA Sheet'!H:H)</f>
        <v>141.6666667</v>
      </c>
      <c r="E419" s="78">
        <v>4.879337432</v>
      </c>
      <c r="F419" s="78">
        <f>sumif('PLA Sheet'!C:C,B419,'PLA Sheet'!J:J)/D419*9</f>
        <v>3.550474906</v>
      </c>
      <c r="G419" s="79">
        <v>0.413690476</v>
      </c>
      <c r="H419" s="79">
        <v>0.212301587</v>
      </c>
      <c r="I419" s="79">
        <v>0.374007937</v>
      </c>
      <c r="J419" s="79">
        <f t="shared" si="1"/>
        <v>0.039682539</v>
      </c>
      <c r="K419" s="80">
        <v>18.30944252</v>
      </c>
    </row>
    <row r="420">
      <c r="A420" s="1" t="s">
        <v>1070</v>
      </c>
      <c r="B420" s="38">
        <v>519043.0</v>
      </c>
      <c r="C420" s="38">
        <v>843.0</v>
      </c>
      <c r="D420" s="39">
        <f>sumif('PLA Sheet'!C:C,B420,'PLA Sheet'!H:H)</f>
        <v>0</v>
      </c>
      <c r="E420" s="78">
        <v>4.875925372</v>
      </c>
      <c r="F420" s="78" t="str">
        <f>sumif('PLA Sheet'!C:C,B420,'PLA Sheet'!J:J)/D420*9</f>
        <v>#DIV/0!</v>
      </c>
      <c r="G420" s="79">
        <v>0.424673784</v>
      </c>
      <c r="H420" s="79">
        <v>0.182680902</v>
      </c>
      <c r="I420" s="79">
        <v>0.392645314</v>
      </c>
      <c r="J420" s="79">
        <f t="shared" si="1"/>
        <v>0.03202847</v>
      </c>
      <c r="K420" s="80">
        <v>6.704048088</v>
      </c>
    </row>
    <row r="421">
      <c r="A421" s="1" t="s">
        <v>1071</v>
      </c>
      <c r="B421" s="38">
        <v>663567.0</v>
      </c>
      <c r="C421" s="38">
        <v>1034.0</v>
      </c>
      <c r="D421" s="39">
        <f>sumif('PLA Sheet'!C:C,B421,'PLA Sheet'!H:H)</f>
        <v>0</v>
      </c>
      <c r="E421" s="78">
        <v>4.875120861</v>
      </c>
      <c r="F421" s="78" t="str">
        <f>sumif('PLA Sheet'!C:C,B421,'PLA Sheet'!J:J)/D421*9</f>
        <v>#DIV/0!</v>
      </c>
      <c r="G421" s="79">
        <v>0.411992263</v>
      </c>
      <c r="H421" s="79">
        <v>0.218568665</v>
      </c>
      <c r="I421" s="79">
        <v>0.369439072</v>
      </c>
      <c r="J421" s="79">
        <f t="shared" si="1"/>
        <v>0.042553191</v>
      </c>
      <c r="K421" s="80">
        <v>-11.88766477</v>
      </c>
    </row>
    <row r="422">
      <c r="A422" s="1" t="s">
        <v>1072</v>
      </c>
      <c r="B422" s="38">
        <v>665622.0</v>
      </c>
      <c r="C422" s="38">
        <v>715.0</v>
      </c>
      <c r="D422" s="39">
        <f>sumif('PLA Sheet'!C:C,B422,'PLA Sheet'!H:H)</f>
        <v>0</v>
      </c>
      <c r="E422" s="78">
        <v>4.860778057</v>
      </c>
      <c r="F422" s="78" t="str">
        <f>sumif('PLA Sheet'!C:C,B422,'PLA Sheet'!J:J)/D422*9</f>
        <v>#DIV/0!</v>
      </c>
      <c r="G422" s="79">
        <v>0.408391608</v>
      </c>
      <c r="H422" s="79">
        <v>0.188811189</v>
      </c>
      <c r="I422" s="79">
        <v>0.402797203</v>
      </c>
      <c r="J422" s="79">
        <f t="shared" si="1"/>
        <v>0.005594405</v>
      </c>
      <c r="K422" s="80">
        <v>2.204225025</v>
      </c>
    </row>
    <row r="423">
      <c r="A423" s="1" t="s">
        <v>215</v>
      </c>
      <c r="B423" s="38">
        <v>656234.0</v>
      </c>
      <c r="C423" s="38">
        <v>525.0</v>
      </c>
      <c r="D423" s="39">
        <f>sumif('PLA Sheet'!C:C,B423,'PLA Sheet'!H:H)</f>
        <v>55.33333333</v>
      </c>
      <c r="E423" s="78">
        <v>4.860628152</v>
      </c>
      <c r="F423" s="78">
        <f>sumif('PLA Sheet'!C:C,B423,'PLA Sheet'!J:J)/D423*9</f>
        <v>2.964721175</v>
      </c>
      <c r="G423" s="79">
        <v>0.428571429</v>
      </c>
      <c r="H423" s="79">
        <v>0.211428571</v>
      </c>
      <c r="I423" s="79">
        <v>0.36</v>
      </c>
      <c r="J423" s="79">
        <f t="shared" si="1"/>
        <v>0.068571429</v>
      </c>
      <c r="K423" s="80">
        <v>-1.49484403</v>
      </c>
    </row>
    <row r="424">
      <c r="A424" s="1" t="s">
        <v>1073</v>
      </c>
      <c r="B424" s="38">
        <v>458681.0</v>
      </c>
      <c r="C424" s="38">
        <v>1842.0</v>
      </c>
      <c r="D424" s="39">
        <f>sumif('PLA Sheet'!C:C,B424,'PLA Sheet'!H:H)</f>
        <v>0</v>
      </c>
      <c r="E424" s="78">
        <v>4.857646462</v>
      </c>
      <c r="F424" s="78" t="str">
        <f>sumif('PLA Sheet'!C:C,B424,'PLA Sheet'!J:J)/D424*9</f>
        <v>#DIV/0!</v>
      </c>
      <c r="G424" s="79">
        <v>0.4082519</v>
      </c>
      <c r="H424" s="79">
        <v>0.193811075</v>
      </c>
      <c r="I424" s="79">
        <v>0.397937025</v>
      </c>
      <c r="J424" s="79">
        <f t="shared" si="1"/>
        <v>0.010314875</v>
      </c>
      <c r="K424" s="80">
        <v>4.340614275</v>
      </c>
    </row>
    <row r="425">
      <c r="A425" s="1" t="s">
        <v>275</v>
      </c>
      <c r="B425" s="38">
        <v>693821.0</v>
      </c>
      <c r="C425" s="38">
        <v>857.0</v>
      </c>
      <c r="D425" s="39">
        <f>sumif('PLA Sheet'!C:C,B425,'PLA Sheet'!H:H)</f>
        <v>156.3333333</v>
      </c>
      <c r="E425" s="78">
        <v>4.855235803</v>
      </c>
      <c r="F425" s="78">
        <f>sumif('PLA Sheet'!C:C,B425,'PLA Sheet'!J:J)/D425*9</f>
        <v>3.21557116</v>
      </c>
      <c r="G425" s="79">
        <v>0.402567095</v>
      </c>
      <c r="H425" s="79">
        <v>0.187864644</v>
      </c>
      <c r="I425" s="79">
        <v>0.409568261</v>
      </c>
      <c r="J425" s="79">
        <f t="shared" si="1"/>
        <v>-0.007001166</v>
      </c>
      <c r="K425" s="80">
        <v>-13.02011353</v>
      </c>
    </row>
    <row r="426">
      <c r="A426" s="1" t="s">
        <v>514</v>
      </c>
      <c r="B426" s="38">
        <v>806185.0</v>
      </c>
      <c r="C426" s="38">
        <v>1024.0</v>
      </c>
      <c r="D426" s="39">
        <f>sumif('PLA Sheet'!C:C,B426,'PLA Sheet'!H:H)</f>
        <v>65.66666667</v>
      </c>
      <c r="E426" s="78">
        <v>4.851566245</v>
      </c>
      <c r="F426" s="78">
        <f>sumif('PLA Sheet'!C:C,B426,'PLA Sheet'!J:J)/D426*9</f>
        <v>4.468687355</v>
      </c>
      <c r="G426" s="79">
        <v>0.438476563</v>
      </c>
      <c r="H426" s="79">
        <v>0.15234375</v>
      </c>
      <c r="I426" s="79">
        <v>0.409179688</v>
      </c>
      <c r="J426" s="79">
        <f t="shared" si="1"/>
        <v>0.029296875</v>
      </c>
      <c r="K426" s="80">
        <v>8.936315978</v>
      </c>
    </row>
    <row r="427">
      <c r="A427" s="1" t="s">
        <v>401</v>
      </c>
      <c r="B427" s="38">
        <v>593576.0</v>
      </c>
      <c r="C427" s="38">
        <v>840.0</v>
      </c>
      <c r="D427" s="39">
        <f>sumif('PLA Sheet'!C:C,B427,'PLA Sheet'!H:H)</f>
        <v>26.66666667</v>
      </c>
      <c r="E427" s="78">
        <v>4.846254949</v>
      </c>
      <c r="F427" s="78">
        <f>sumif('PLA Sheet'!C:C,B427,'PLA Sheet'!J:J)/D427*9</f>
        <v>4.324408425</v>
      </c>
      <c r="G427" s="79">
        <v>0.4</v>
      </c>
      <c r="H427" s="79">
        <v>0.20952381</v>
      </c>
      <c r="I427" s="79">
        <v>0.39047619</v>
      </c>
      <c r="J427" s="79">
        <f t="shared" si="1"/>
        <v>0.00952381</v>
      </c>
      <c r="K427" s="80">
        <v>7.697805286</v>
      </c>
    </row>
    <row r="428">
      <c r="A428" s="1" t="s">
        <v>646</v>
      </c>
      <c r="B428" s="38">
        <v>623211.0</v>
      </c>
      <c r="C428" s="38">
        <v>745.0</v>
      </c>
      <c r="D428" s="39">
        <f>sumif('PLA Sheet'!C:C,B428,'PLA Sheet'!H:H)</f>
        <v>63</v>
      </c>
      <c r="E428" s="78">
        <v>4.844205541</v>
      </c>
      <c r="F428" s="78">
        <f>sumif('PLA Sheet'!C:C,B428,'PLA Sheet'!J:J)/D428*9</f>
        <v>3.463607428</v>
      </c>
      <c r="G428" s="79">
        <v>0.420134228</v>
      </c>
      <c r="H428" s="79">
        <v>0.167785235</v>
      </c>
      <c r="I428" s="79">
        <v>0.412080537</v>
      </c>
      <c r="J428" s="79">
        <f t="shared" si="1"/>
        <v>0.008053691</v>
      </c>
      <c r="K428" s="80">
        <v>16.62502132</v>
      </c>
    </row>
    <row r="429">
      <c r="A429" s="1" t="s">
        <v>1074</v>
      </c>
      <c r="B429" s="38">
        <v>641712.0</v>
      </c>
      <c r="C429" s="38">
        <v>1501.0</v>
      </c>
      <c r="D429" s="39">
        <f>sumif('PLA Sheet'!C:C,B429,'PLA Sheet'!H:H)</f>
        <v>0</v>
      </c>
      <c r="E429" s="78">
        <v>4.8167221</v>
      </c>
      <c r="F429" s="78" t="str">
        <f>sumif('PLA Sheet'!C:C,B429,'PLA Sheet'!J:J)/D429*9</f>
        <v>#DIV/0!</v>
      </c>
      <c r="G429" s="79">
        <v>0.420386409</v>
      </c>
      <c r="H429" s="79">
        <v>0.186542305</v>
      </c>
      <c r="I429" s="79">
        <v>0.393071286</v>
      </c>
      <c r="J429" s="79">
        <f t="shared" si="1"/>
        <v>0.027315123</v>
      </c>
      <c r="K429" s="80">
        <v>-3.992282321</v>
      </c>
    </row>
    <row r="430">
      <c r="A430" s="1" t="s">
        <v>785</v>
      </c>
      <c r="B430" s="38">
        <v>682610.0</v>
      </c>
      <c r="C430" s="38">
        <v>1474.0</v>
      </c>
      <c r="D430" s="39">
        <f>sumif('PLA Sheet'!C:C,B430,'PLA Sheet'!H:H)</f>
        <v>11</v>
      </c>
      <c r="E430" s="78">
        <v>4.808510848</v>
      </c>
      <c r="F430" s="78">
        <f>sumif('PLA Sheet'!C:C,B430,'PLA Sheet'!J:J)/D430*9</f>
        <v>4.500183274</v>
      </c>
      <c r="G430" s="79">
        <v>0.411804613</v>
      </c>
      <c r="H430" s="79">
        <v>0.198778833</v>
      </c>
      <c r="I430" s="79">
        <v>0.389416554</v>
      </c>
      <c r="J430" s="79">
        <f t="shared" si="1"/>
        <v>0.022388059</v>
      </c>
      <c r="K430" s="80">
        <v>-6.964366569</v>
      </c>
    </row>
    <row r="431">
      <c r="A431" s="1" t="s">
        <v>1075</v>
      </c>
      <c r="B431" s="38">
        <v>621389.0</v>
      </c>
      <c r="C431" s="38">
        <v>1071.0</v>
      </c>
      <c r="D431" s="39">
        <f>sumif('PLA Sheet'!C:C,B431,'PLA Sheet'!H:H)</f>
        <v>0</v>
      </c>
      <c r="E431" s="78">
        <v>4.801810967</v>
      </c>
      <c r="F431" s="78" t="str">
        <f>sumif('PLA Sheet'!C:C,B431,'PLA Sheet'!J:J)/D431*9</f>
        <v>#DIV/0!</v>
      </c>
      <c r="G431" s="79">
        <v>0.377217554</v>
      </c>
      <c r="H431" s="79">
        <v>0.239962652</v>
      </c>
      <c r="I431" s="79">
        <v>0.382819795</v>
      </c>
      <c r="J431" s="79">
        <f t="shared" si="1"/>
        <v>-0.005602241</v>
      </c>
      <c r="K431" s="80">
        <v>-11.58271563</v>
      </c>
    </row>
    <row r="432">
      <c r="A432" s="1" t="s">
        <v>716</v>
      </c>
      <c r="B432" s="38">
        <v>663432.0</v>
      </c>
      <c r="C432" s="38">
        <v>770.0</v>
      </c>
      <c r="D432" s="39">
        <f>sumif('PLA Sheet'!C:C,B432,'PLA Sheet'!H:H)</f>
        <v>9.666666666</v>
      </c>
      <c r="E432" s="78">
        <v>4.793770156</v>
      </c>
      <c r="F432" s="78">
        <f>sumif('PLA Sheet'!C:C,B432,'PLA Sheet'!J:J)/D432*9</f>
        <v>4.965835345</v>
      </c>
      <c r="G432" s="79">
        <v>0.433766234</v>
      </c>
      <c r="H432" s="79">
        <v>0.167532468</v>
      </c>
      <c r="I432" s="79">
        <v>0.398701299</v>
      </c>
      <c r="J432" s="79">
        <f t="shared" si="1"/>
        <v>0.035064935</v>
      </c>
      <c r="K432" s="80">
        <v>-6.138145636</v>
      </c>
    </row>
    <row r="433">
      <c r="A433" s="1" t="s">
        <v>480</v>
      </c>
      <c r="B433" s="38">
        <v>647336.0</v>
      </c>
      <c r="C433" s="38">
        <v>1315.0</v>
      </c>
      <c r="D433" s="39">
        <f>sumif('PLA Sheet'!C:C,B433,'PLA Sheet'!H:H)</f>
        <v>89.66666666</v>
      </c>
      <c r="E433" s="78">
        <v>4.783954836</v>
      </c>
      <c r="F433" s="78">
        <f>sumif('PLA Sheet'!C:C,B433,'PLA Sheet'!J:J)/D433*9</f>
        <v>3.24118519</v>
      </c>
      <c r="G433" s="79">
        <v>0.407604563</v>
      </c>
      <c r="H433" s="79">
        <v>0.165779468</v>
      </c>
      <c r="I433" s="79">
        <v>0.42661597</v>
      </c>
      <c r="J433" s="79">
        <f t="shared" si="1"/>
        <v>-0.019011407</v>
      </c>
      <c r="K433" s="80">
        <v>7.876907679</v>
      </c>
    </row>
    <row r="434">
      <c r="A434" s="1" t="s">
        <v>745</v>
      </c>
      <c r="B434" s="38">
        <v>543518.0</v>
      </c>
      <c r="C434" s="38">
        <v>505.0</v>
      </c>
      <c r="D434" s="39">
        <f>sumif('PLA Sheet'!C:C,B434,'PLA Sheet'!H:H)</f>
        <v>16</v>
      </c>
      <c r="E434" s="78">
        <v>4.765840616</v>
      </c>
      <c r="F434" s="78">
        <f>sumif('PLA Sheet'!C:C,B434,'PLA Sheet'!J:J)/D434*9</f>
        <v>3.793458938</v>
      </c>
      <c r="G434" s="79">
        <v>0.427722772</v>
      </c>
      <c r="H434" s="79">
        <v>0.19009901</v>
      </c>
      <c r="I434" s="79">
        <v>0.382178218</v>
      </c>
      <c r="J434" s="79">
        <f t="shared" si="1"/>
        <v>0.045544554</v>
      </c>
      <c r="K434" s="80">
        <v>-0.373158486</v>
      </c>
    </row>
    <row r="435">
      <c r="A435" s="1" t="s">
        <v>458</v>
      </c>
      <c r="B435" s="38">
        <v>676130.0</v>
      </c>
      <c r="C435" s="38">
        <v>1139.0</v>
      </c>
      <c r="D435" s="39">
        <f>sumif('PLA Sheet'!C:C,B435,'PLA Sheet'!H:H)</f>
        <v>67</v>
      </c>
      <c r="E435" s="78">
        <v>4.760702139</v>
      </c>
      <c r="F435" s="78">
        <f>sumif('PLA Sheet'!C:C,B435,'PLA Sheet'!J:J)/D435*9</f>
        <v>3.617542209</v>
      </c>
      <c r="G435" s="79">
        <v>0.359086918</v>
      </c>
      <c r="H435" s="79">
        <v>0.275680421</v>
      </c>
      <c r="I435" s="79">
        <v>0.36523266</v>
      </c>
      <c r="J435" s="79">
        <f t="shared" si="1"/>
        <v>-0.006145742</v>
      </c>
      <c r="K435" s="80">
        <v>14.65474562</v>
      </c>
    </row>
    <row r="436">
      <c r="A436" s="1" t="s">
        <v>598</v>
      </c>
      <c r="B436" s="38">
        <v>686826.0</v>
      </c>
      <c r="C436" s="38">
        <v>994.0</v>
      </c>
      <c r="D436" s="39">
        <f>sumif('PLA Sheet'!C:C,B436,'PLA Sheet'!H:H)</f>
        <v>22</v>
      </c>
      <c r="E436" s="78">
        <v>4.743529132</v>
      </c>
      <c r="F436" s="78">
        <f>sumif('PLA Sheet'!C:C,B436,'PLA Sheet'!J:J)/D436*9</f>
        <v>4.330042364</v>
      </c>
      <c r="G436" s="79">
        <v>0.407444668</v>
      </c>
      <c r="H436" s="79">
        <v>0.180080483</v>
      </c>
      <c r="I436" s="79">
        <v>0.412474849</v>
      </c>
      <c r="J436" s="79">
        <f t="shared" si="1"/>
        <v>-0.005030181</v>
      </c>
      <c r="K436" s="80">
        <v>10.96516309</v>
      </c>
    </row>
    <row r="437">
      <c r="A437" s="1" t="s">
        <v>765</v>
      </c>
      <c r="B437" s="38">
        <v>663474.0</v>
      </c>
      <c r="C437" s="38">
        <v>1296.0</v>
      </c>
      <c r="D437" s="39">
        <f>sumif('PLA Sheet'!C:C,B437,'PLA Sheet'!H:H)</f>
        <v>5.666666668</v>
      </c>
      <c r="E437" s="78">
        <v>4.687377483</v>
      </c>
      <c r="F437" s="78">
        <f>sumif('PLA Sheet'!C:C,B437,'PLA Sheet'!J:J)/D437*9</f>
        <v>7.332698116</v>
      </c>
      <c r="G437" s="79">
        <v>0.413580247</v>
      </c>
      <c r="H437" s="79">
        <v>0.157407407</v>
      </c>
      <c r="I437" s="79">
        <v>0.429012346</v>
      </c>
      <c r="J437" s="79">
        <f t="shared" si="1"/>
        <v>-0.015432099</v>
      </c>
      <c r="K437" s="80">
        <v>-7.567328669</v>
      </c>
    </row>
    <row r="438">
      <c r="A438" s="1" t="s">
        <v>1076</v>
      </c>
      <c r="B438" s="38">
        <v>680897.0</v>
      </c>
      <c r="C438" s="38">
        <v>652.0</v>
      </c>
      <c r="D438" s="39">
        <f>sumif('PLA Sheet'!C:C,B438,'PLA Sheet'!H:H)</f>
        <v>0</v>
      </c>
      <c r="E438" s="78">
        <v>4.558373377</v>
      </c>
      <c r="F438" s="78" t="str">
        <f>sumif('PLA Sheet'!C:C,B438,'PLA Sheet'!J:J)/D438*9</f>
        <v>#DIV/0!</v>
      </c>
      <c r="G438" s="79">
        <v>0.429447853</v>
      </c>
      <c r="H438" s="79">
        <v>0.128834356</v>
      </c>
      <c r="I438" s="79">
        <v>0.441717791</v>
      </c>
      <c r="J438" s="79">
        <f t="shared" si="1"/>
        <v>-0.012269938</v>
      </c>
      <c r="K438" s="80">
        <v>-1.537578174</v>
      </c>
    </row>
  </sheetData>
  <conditionalFormatting sqref="G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E1:E1000 G1:G1000 J1:J1000">
    <cfRule type="colorScale" priority="5">
      <colorScale>
        <cfvo type="formula" val="min(E:E)"/>
        <cfvo type="formula" val="median(E:E)"/>
        <cfvo type="formula" val="max(E:E)"/>
        <color rgb="FFE67C73"/>
        <color rgb="FFFFFFFF"/>
        <color rgb="FF57BB8A"/>
      </colorScale>
    </cfRule>
  </conditionalFormatting>
  <conditionalFormatting sqref="F1:F1000 I1:I1000 K1:K1000">
    <cfRule type="colorScale" priority="6">
      <colorScale>
        <cfvo type="formula" val="min(F:F)"/>
        <cfvo type="formula" val="median(F:F)"/>
        <cfvo type="formula" val="max(F:F)"/>
        <color rgb="FF57BB8A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1.38"/>
    <col customWidth="1" min="3" max="3" width="9.38"/>
    <col customWidth="1" min="4" max="4" width="9.5"/>
  </cols>
  <sheetData>
    <row r="1">
      <c r="A1" s="32" t="s">
        <v>0</v>
      </c>
      <c r="B1" s="33" t="s">
        <v>5</v>
      </c>
      <c r="C1" s="33" t="s">
        <v>523</v>
      </c>
      <c r="D1" s="35" t="s">
        <v>524</v>
      </c>
      <c r="E1" s="36" t="s">
        <v>525</v>
      </c>
      <c r="F1" s="36" t="s">
        <v>526</v>
      </c>
      <c r="G1" s="36" t="s">
        <v>527</v>
      </c>
      <c r="H1" s="36" t="s">
        <v>528</v>
      </c>
      <c r="I1" s="71" t="s">
        <v>529</v>
      </c>
    </row>
    <row r="2" hidden="1">
      <c r="A2" s="1" t="s">
        <v>57</v>
      </c>
      <c r="B2" s="38">
        <v>594798.0</v>
      </c>
      <c r="C2" s="38">
        <v>447.0</v>
      </c>
      <c r="D2" s="40">
        <v>5.573837161</v>
      </c>
      <c r="E2" s="41">
        <v>0.545861298</v>
      </c>
      <c r="F2" s="41">
        <v>0.187919463</v>
      </c>
      <c r="G2" s="41">
        <v>0.266219239</v>
      </c>
      <c r="H2" s="79">
        <f t="shared" ref="H2:H683" si="1">E2-G2</f>
        <v>0.279642059</v>
      </c>
      <c r="I2" s="42">
        <v>-0.550377983</v>
      </c>
    </row>
    <row r="3">
      <c r="A3" s="1" t="s">
        <v>92</v>
      </c>
      <c r="B3" s="38">
        <v>681911.0</v>
      </c>
      <c r="C3" s="38">
        <v>847.0</v>
      </c>
      <c r="D3" s="40">
        <v>5.55217153</v>
      </c>
      <c r="E3" s="41">
        <v>0.583234947</v>
      </c>
      <c r="F3" s="41">
        <v>0.126328217</v>
      </c>
      <c r="G3" s="41">
        <v>0.290436836</v>
      </c>
      <c r="H3" s="79">
        <f t="shared" si="1"/>
        <v>0.292798111</v>
      </c>
      <c r="I3" s="42">
        <v>-15.60046842</v>
      </c>
    </row>
    <row r="4" hidden="1">
      <c r="A4" s="1" t="s">
        <v>94</v>
      </c>
      <c r="B4" s="38">
        <v>669093.0</v>
      </c>
      <c r="C4" s="38">
        <v>235.0</v>
      </c>
      <c r="D4" s="40">
        <v>5.502376919</v>
      </c>
      <c r="E4" s="41">
        <v>0.578723404</v>
      </c>
      <c r="F4" s="41">
        <v>0.136170213</v>
      </c>
      <c r="G4" s="41">
        <v>0.285106383</v>
      </c>
      <c r="H4" s="79">
        <f t="shared" si="1"/>
        <v>0.293617021</v>
      </c>
      <c r="I4" s="42">
        <v>-3.071440392</v>
      </c>
    </row>
    <row r="5" hidden="1">
      <c r="A5" s="1" t="s">
        <v>265</v>
      </c>
      <c r="B5" s="38">
        <v>669084.0</v>
      </c>
      <c r="C5" s="38">
        <v>369.0</v>
      </c>
      <c r="D5" s="40">
        <v>5.429255263</v>
      </c>
      <c r="E5" s="41">
        <v>0.528455285</v>
      </c>
      <c r="F5" s="41">
        <v>0.173441734</v>
      </c>
      <c r="G5" s="41">
        <v>0.298102981</v>
      </c>
      <c r="H5" s="79">
        <f t="shared" si="1"/>
        <v>0.230352304</v>
      </c>
      <c r="I5" s="42">
        <v>1.36874093</v>
      </c>
    </row>
    <row r="6">
      <c r="A6" s="1" t="s">
        <v>648</v>
      </c>
      <c r="B6" s="38">
        <v>623149.0</v>
      </c>
      <c r="C6" s="38">
        <v>1024.0</v>
      </c>
      <c r="D6" s="40">
        <v>5.421586176</v>
      </c>
      <c r="E6" s="41">
        <v>0.50390625</v>
      </c>
      <c r="F6" s="41">
        <v>0.317382813</v>
      </c>
      <c r="G6" s="41">
        <v>0.178710938</v>
      </c>
      <c r="H6" s="79">
        <f t="shared" si="1"/>
        <v>0.325195312</v>
      </c>
      <c r="I6" s="42">
        <v>-2.723246452</v>
      </c>
    </row>
    <row r="7" hidden="1">
      <c r="A7" s="1" t="s">
        <v>1021</v>
      </c>
      <c r="B7" s="38">
        <v>663704.0</v>
      </c>
      <c r="C7" s="38">
        <v>340.0</v>
      </c>
      <c r="D7" s="40">
        <v>5.384581476</v>
      </c>
      <c r="E7" s="41">
        <v>0.488235294</v>
      </c>
      <c r="F7" s="41">
        <v>0.226470588</v>
      </c>
      <c r="G7" s="41">
        <v>0.285294118</v>
      </c>
      <c r="H7" s="79">
        <f t="shared" si="1"/>
        <v>0.202941176</v>
      </c>
      <c r="I7" s="42">
        <v>0.867138441</v>
      </c>
    </row>
    <row r="8">
      <c r="A8" s="1" t="s">
        <v>132</v>
      </c>
      <c r="B8" s="38">
        <v>661403.0</v>
      </c>
      <c r="C8" s="38">
        <v>1105.0</v>
      </c>
      <c r="D8" s="40">
        <v>5.384578961</v>
      </c>
      <c r="E8" s="41">
        <v>0.539366516</v>
      </c>
      <c r="F8" s="41">
        <v>0.170135747</v>
      </c>
      <c r="G8" s="41">
        <v>0.290497738</v>
      </c>
      <c r="H8" s="79">
        <f t="shared" si="1"/>
        <v>0.248868778</v>
      </c>
      <c r="I8" s="42">
        <v>1.01849771</v>
      </c>
    </row>
    <row r="9">
      <c r="A9" s="1" t="s">
        <v>97</v>
      </c>
      <c r="B9" s="38">
        <v>656876.0</v>
      </c>
      <c r="C9" s="38">
        <v>670.0</v>
      </c>
      <c r="D9" s="40">
        <v>5.366946007</v>
      </c>
      <c r="E9" s="41">
        <v>0.528358209</v>
      </c>
      <c r="F9" s="41">
        <v>0.243283582</v>
      </c>
      <c r="G9" s="41">
        <v>0.228358209</v>
      </c>
      <c r="H9" s="79">
        <f t="shared" si="1"/>
        <v>0.3</v>
      </c>
      <c r="I9" s="42">
        <v>5.820788088</v>
      </c>
    </row>
    <row r="10">
      <c r="A10" s="1" t="s">
        <v>28</v>
      </c>
      <c r="B10" s="38">
        <v>643377.0</v>
      </c>
      <c r="C10" s="38">
        <v>1027.0</v>
      </c>
      <c r="D10" s="40">
        <v>5.357206538</v>
      </c>
      <c r="E10" s="41">
        <v>0.495618306</v>
      </c>
      <c r="F10" s="41">
        <v>0.348588121</v>
      </c>
      <c r="G10" s="41">
        <v>0.155793574</v>
      </c>
      <c r="H10" s="79">
        <f t="shared" si="1"/>
        <v>0.339824732</v>
      </c>
      <c r="I10" s="42">
        <v>1.570210303</v>
      </c>
    </row>
    <row r="11" hidden="1">
      <c r="A11" s="1" t="s">
        <v>1077</v>
      </c>
      <c r="B11" s="38">
        <v>607644.0</v>
      </c>
      <c r="C11" s="38">
        <v>333.0</v>
      </c>
      <c r="D11" s="40">
        <v>5.338743868</v>
      </c>
      <c r="E11" s="41">
        <v>0.498498498</v>
      </c>
      <c r="F11" s="41">
        <v>0.192192192</v>
      </c>
      <c r="G11" s="41">
        <v>0.309309309</v>
      </c>
      <c r="H11" s="79">
        <f t="shared" si="1"/>
        <v>0.189189189</v>
      </c>
      <c r="I11" s="42">
        <v>3.895362132</v>
      </c>
    </row>
    <row r="12">
      <c r="A12" s="1" t="s">
        <v>114</v>
      </c>
      <c r="B12" s="38">
        <v>642207.0</v>
      </c>
      <c r="C12" s="38">
        <v>939.0</v>
      </c>
      <c r="D12" s="40">
        <v>5.337812232</v>
      </c>
      <c r="E12" s="41">
        <v>0.517571885</v>
      </c>
      <c r="F12" s="41">
        <v>0.15228967</v>
      </c>
      <c r="G12" s="41">
        <v>0.330138445</v>
      </c>
      <c r="H12" s="79">
        <f t="shared" si="1"/>
        <v>0.18743344</v>
      </c>
      <c r="I12" s="42">
        <v>14.97129509</v>
      </c>
    </row>
    <row r="13">
      <c r="A13" s="1" t="s">
        <v>694</v>
      </c>
      <c r="B13" s="38">
        <v>623465.0</v>
      </c>
      <c r="C13" s="38">
        <v>906.0</v>
      </c>
      <c r="D13" s="40">
        <v>5.336850392</v>
      </c>
      <c r="E13" s="41">
        <v>0.501103753</v>
      </c>
      <c r="F13" s="41">
        <v>0.321192053</v>
      </c>
      <c r="G13" s="41">
        <v>0.177704194</v>
      </c>
      <c r="H13" s="79">
        <f t="shared" si="1"/>
        <v>0.323399559</v>
      </c>
      <c r="I13" s="42">
        <v>12.20695679</v>
      </c>
    </row>
    <row r="14">
      <c r="A14" s="1" t="s">
        <v>32</v>
      </c>
      <c r="B14" s="38">
        <v>656945.0</v>
      </c>
      <c r="C14" s="38">
        <v>1202.0</v>
      </c>
      <c r="D14" s="40">
        <v>5.328845562</v>
      </c>
      <c r="E14" s="41">
        <v>0.511647255</v>
      </c>
      <c r="F14" s="41">
        <v>0.1921797</v>
      </c>
      <c r="G14" s="41">
        <v>0.296173045</v>
      </c>
      <c r="H14" s="79">
        <f t="shared" si="1"/>
        <v>0.21547421</v>
      </c>
      <c r="I14" s="42">
        <v>3.462778514</v>
      </c>
    </row>
    <row r="15">
      <c r="A15" s="1" t="s">
        <v>270</v>
      </c>
      <c r="B15" s="38">
        <v>664854.0</v>
      </c>
      <c r="C15" s="38">
        <v>601.0</v>
      </c>
      <c r="D15" s="40">
        <v>5.319859216</v>
      </c>
      <c r="E15" s="41">
        <v>0.532445923</v>
      </c>
      <c r="F15" s="41">
        <v>0.138103161</v>
      </c>
      <c r="G15" s="41">
        <v>0.329450915</v>
      </c>
      <c r="H15" s="79">
        <f t="shared" si="1"/>
        <v>0.202995008</v>
      </c>
      <c r="I15" s="42">
        <v>7.932156755</v>
      </c>
    </row>
    <row r="16" hidden="1">
      <c r="A16" s="1" t="s">
        <v>1078</v>
      </c>
      <c r="B16" s="38">
        <v>543548.0</v>
      </c>
      <c r="C16" s="38">
        <v>161.0</v>
      </c>
      <c r="D16" s="40">
        <v>5.319665839</v>
      </c>
      <c r="E16" s="41">
        <v>0.472049689</v>
      </c>
      <c r="F16" s="41">
        <v>0.260869565</v>
      </c>
      <c r="G16" s="41">
        <v>0.267080745</v>
      </c>
      <c r="H16" s="79">
        <f t="shared" si="1"/>
        <v>0.204968944</v>
      </c>
      <c r="I16" s="42">
        <v>2.02376065</v>
      </c>
    </row>
    <row r="17">
      <c r="A17" s="1" t="s">
        <v>182</v>
      </c>
      <c r="B17" s="38">
        <v>621381.0</v>
      </c>
      <c r="C17" s="38">
        <v>1358.0</v>
      </c>
      <c r="D17" s="40">
        <v>5.313788144</v>
      </c>
      <c r="E17" s="41">
        <v>0.533136966</v>
      </c>
      <c r="F17" s="41">
        <v>0.154639175</v>
      </c>
      <c r="G17" s="41">
        <v>0.312223859</v>
      </c>
      <c r="H17" s="79">
        <f t="shared" si="1"/>
        <v>0.220913107</v>
      </c>
      <c r="I17" s="42">
        <v>1.899795285</v>
      </c>
    </row>
    <row r="18">
      <c r="A18" s="1" t="s">
        <v>235</v>
      </c>
      <c r="B18" s="38">
        <v>666974.0</v>
      </c>
      <c r="C18" s="38">
        <v>997.0</v>
      </c>
      <c r="D18" s="40">
        <v>5.310765194</v>
      </c>
      <c r="E18" s="41">
        <v>0.507522568</v>
      </c>
      <c r="F18" s="41">
        <v>0.179538616</v>
      </c>
      <c r="G18" s="41">
        <v>0.312938816</v>
      </c>
      <c r="H18" s="79">
        <f t="shared" si="1"/>
        <v>0.194583752</v>
      </c>
      <c r="I18" s="42">
        <v>3.475111497</v>
      </c>
    </row>
    <row r="19">
      <c r="A19" s="1" t="s">
        <v>261</v>
      </c>
      <c r="B19" s="38">
        <v>664126.0</v>
      </c>
      <c r="C19" s="38">
        <v>728.0</v>
      </c>
      <c r="D19" s="40">
        <v>5.306324864</v>
      </c>
      <c r="E19" s="41">
        <v>0.513736264</v>
      </c>
      <c r="F19" s="41">
        <v>0.184065934</v>
      </c>
      <c r="G19" s="41">
        <v>0.302197802</v>
      </c>
      <c r="H19" s="79">
        <f t="shared" si="1"/>
        <v>0.211538462</v>
      </c>
      <c r="I19" s="42">
        <v>9.436956995</v>
      </c>
    </row>
    <row r="20" hidden="1">
      <c r="A20" s="1" t="s">
        <v>658</v>
      </c>
      <c r="B20" s="38">
        <v>682171.0</v>
      </c>
      <c r="C20" s="38">
        <v>218.0</v>
      </c>
      <c r="D20" s="40">
        <v>5.302073495</v>
      </c>
      <c r="E20" s="41">
        <v>0.422018349</v>
      </c>
      <c r="F20" s="41">
        <v>0.440366972</v>
      </c>
      <c r="G20" s="41">
        <v>0.137614679</v>
      </c>
      <c r="H20" s="79">
        <f t="shared" si="1"/>
        <v>0.28440367</v>
      </c>
      <c r="I20" s="42">
        <v>5.199130719</v>
      </c>
    </row>
    <row r="21">
      <c r="A21" s="1" t="s">
        <v>343</v>
      </c>
      <c r="B21" s="38">
        <v>682243.0</v>
      </c>
      <c r="C21" s="38">
        <v>2080.0</v>
      </c>
      <c r="D21" s="40">
        <v>5.296741792</v>
      </c>
      <c r="E21" s="41">
        <v>0.487980769</v>
      </c>
      <c r="F21" s="41">
        <v>0.229807692</v>
      </c>
      <c r="G21" s="41">
        <v>0.282211538</v>
      </c>
      <c r="H21" s="79">
        <f t="shared" si="1"/>
        <v>0.205769231</v>
      </c>
      <c r="I21" s="42">
        <v>-9.765558107</v>
      </c>
    </row>
    <row r="22">
      <c r="A22" s="1" t="s">
        <v>460</v>
      </c>
      <c r="B22" s="38">
        <v>519151.0</v>
      </c>
      <c r="C22" s="38">
        <v>1016.0</v>
      </c>
      <c r="D22" s="40">
        <v>5.294158289</v>
      </c>
      <c r="E22" s="41">
        <v>0.506889764</v>
      </c>
      <c r="F22" s="41">
        <v>0.182086614</v>
      </c>
      <c r="G22" s="41">
        <v>0.311023622</v>
      </c>
      <c r="H22" s="79">
        <f t="shared" si="1"/>
        <v>0.195866142</v>
      </c>
      <c r="I22" s="42">
        <v>0.031003529</v>
      </c>
    </row>
    <row r="23">
      <c r="A23" s="1" t="s">
        <v>79</v>
      </c>
      <c r="B23" s="38">
        <v>554430.0</v>
      </c>
      <c r="C23" s="38">
        <v>3131.0</v>
      </c>
      <c r="D23" s="40">
        <v>5.287488021</v>
      </c>
      <c r="E23" s="41">
        <v>0.492175024</v>
      </c>
      <c r="F23" s="41">
        <v>0.232194187</v>
      </c>
      <c r="G23" s="41">
        <v>0.275630789</v>
      </c>
      <c r="H23" s="79">
        <f t="shared" si="1"/>
        <v>0.216544235</v>
      </c>
      <c r="I23" s="42">
        <v>4.975160405</v>
      </c>
    </row>
    <row r="24">
      <c r="A24" s="1" t="s">
        <v>116</v>
      </c>
      <c r="B24" s="38">
        <v>621051.0</v>
      </c>
      <c r="C24" s="38">
        <v>932.0</v>
      </c>
      <c r="D24" s="40">
        <v>5.283895253</v>
      </c>
      <c r="E24" s="41">
        <v>0.510729614</v>
      </c>
      <c r="F24" s="41">
        <v>0.311158798</v>
      </c>
      <c r="G24" s="41">
        <v>0.178111588</v>
      </c>
      <c r="H24" s="79">
        <f t="shared" si="1"/>
        <v>0.332618026</v>
      </c>
      <c r="I24" s="42">
        <v>3.94405085</v>
      </c>
    </row>
    <row r="25">
      <c r="A25" s="1" t="s">
        <v>412</v>
      </c>
      <c r="B25" s="38">
        <v>641482.0</v>
      </c>
      <c r="C25" s="38">
        <v>1055.0</v>
      </c>
      <c r="D25" s="40">
        <v>5.28202823</v>
      </c>
      <c r="E25" s="41">
        <v>0.500473934</v>
      </c>
      <c r="F25" s="41">
        <v>0.213270142</v>
      </c>
      <c r="G25" s="41">
        <v>0.286255924</v>
      </c>
      <c r="H25" s="79">
        <f t="shared" si="1"/>
        <v>0.21421801</v>
      </c>
      <c r="I25" s="42">
        <v>-2.877589927</v>
      </c>
    </row>
    <row r="26" hidden="1">
      <c r="A26" s="1" t="s">
        <v>108</v>
      </c>
      <c r="B26" s="38">
        <v>663423.0</v>
      </c>
      <c r="C26" s="38">
        <v>456.0</v>
      </c>
      <c r="D26" s="40">
        <v>5.281014568</v>
      </c>
      <c r="E26" s="41">
        <v>0.449561404</v>
      </c>
      <c r="F26" s="41">
        <v>0.322368421</v>
      </c>
      <c r="G26" s="41">
        <v>0.228070175</v>
      </c>
      <c r="H26" s="79">
        <f t="shared" si="1"/>
        <v>0.221491229</v>
      </c>
      <c r="I26" s="42">
        <v>-6.448905825</v>
      </c>
    </row>
    <row r="27">
      <c r="A27" s="1" t="s">
        <v>181</v>
      </c>
      <c r="B27" s="38">
        <v>641154.0</v>
      </c>
      <c r="C27" s="38">
        <v>2994.0</v>
      </c>
      <c r="D27" s="40">
        <v>5.278514217</v>
      </c>
      <c r="E27" s="41">
        <v>0.478623914</v>
      </c>
      <c r="F27" s="41">
        <v>0.275551102</v>
      </c>
      <c r="G27" s="41">
        <v>0.245824983</v>
      </c>
      <c r="H27" s="79">
        <f t="shared" si="1"/>
        <v>0.232798931</v>
      </c>
      <c r="I27" s="42">
        <v>7.226410658</v>
      </c>
    </row>
    <row r="28">
      <c r="A28" s="1" t="s">
        <v>684</v>
      </c>
      <c r="B28" s="38">
        <v>666619.0</v>
      </c>
      <c r="C28" s="38">
        <v>1036.0</v>
      </c>
      <c r="D28" s="40">
        <v>5.276135482</v>
      </c>
      <c r="E28" s="41">
        <v>0.487451737</v>
      </c>
      <c r="F28" s="41">
        <v>0.213320463</v>
      </c>
      <c r="G28" s="41">
        <v>0.299227799</v>
      </c>
      <c r="H28" s="79">
        <f t="shared" si="1"/>
        <v>0.188223938</v>
      </c>
      <c r="I28" s="42">
        <v>-3.469420839</v>
      </c>
    </row>
    <row r="29">
      <c r="A29" s="1" t="s">
        <v>1017</v>
      </c>
      <c r="B29" s="38">
        <v>677053.0</v>
      </c>
      <c r="C29" s="38">
        <v>953.0</v>
      </c>
      <c r="D29" s="40">
        <v>5.274896487</v>
      </c>
      <c r="E29" s="41">
        <v>0.519412382</v>
      </c>
      <c r="F29" s="41">
        <v>0.172088143</v>
      </c>
      <c r="G29" s="41">
        <v>0.308499475</v>
      </c>
      <c r="H29" s="79">
        <f t="shared" si="1"/>
        <v>0.210912907</v>
      </c>
      <c r="I29" s="42">
        <v>-1.284414033</v>
      </c>
    </row>
    <row r="30">
      <c r="A30" s="1" t="s">
        <v>1027</v>
      </c>
      <c r="B30" s="38">
        <v>543037.0</v>
      </c>
      <c r="C30" s="38">
        <v>3261.0</v>
      </c>
      <c r="D30" s="40">
        <v>5.272570374</v>
      </c>
      <c r="E30" s="41">
        <v>0.500459982</v>
      </c>
      <c r="F30" s="41">
        <v>0.173259736</v>
      </c>
      <c r="G30" s="41">
        <v>0.326280282</v>
      </c>
      <c r="H30" s="79">
        <f t="shared" si="1"/>
        <v>0.1741797</v>
      </c>
      <c r="I30" s="42">
        <v>5.606509051</v>
      </c>
    </row>
    <row r="31">
      <c r="A31" s="1" t="s">
        <v>735</v>
      </c>
      <c r="B31" s="38">
        <v>640462.0</v>
      </c>
      <c r="C31" s="38">
        <v>942.0</v>
      </c>
      <c r="D31" s="40">
        <v>5.272446954</v>
      </c>
      <c r="E31" s="41">
        <v>0.44373673</v>
      </c>
      <c r="F31" s="41">
        <v>0.367303609</v>
      </c>
      <c r="G31" s="41">
        <v>0.18895966</v>
      </c>
      <c r="H31" s="79">
        <f t="shared" si="1"/>
        <v>0.25477707</v>
      </c>
      <c r="I31" s="42">
        <v>-2.303007051</v>
      </c>
    </row>
    <row r="32">
      <c r="A32" s="1" t="s">
        <v>472</v>
      </c>
      <c r="B32" s="38">
        <v>675911.0</v>
      </c>
      <c r="C32" s="38">
        <v>3059.0</v>
      </c>
      <c r="D32" s="40">
        <v>5.271451556</v>
      </c>
      <c r="E32" s="41">
        <v>0.508336058</v>
      </c>
      <c r="F32" s="41">
        <v>0.178489703</v>
      </c>
      <c r="G32" s="41">
        <v>0.31317424</v>
      </c>
      <c r="H32" s="79">
        <f t="shared" si="1"/>
        <v>0.195161818</v>
      </c>
      <c r="I32" s="42">
        <v>-8.32265441</v>
      </c>
    </row>
    <row r="33">
      <c r="A33" s="1" t="s">
        <v>173</v>
      </c>
      <c r="B33" s="38">
        <v>641927.0</v>
      </c>
      <c r="C33" s="38">
        <v>2304.0</v>
      </c>
      <c r="D33" s="40">
        <v>5.267795841</v>
      </c>
      <c r="E33" s="41">
        <v>0.504340278</v>
      </c>
      <c r="F33" s="41">
        <v>0.181423611</v>
      </c>
      <c r="G33" s="41">
        <v>0.314236111</v>
      </c>
      <c r="H33" s="79">
        <f t="shared" si="1"/>
        <v>0.190104167</v>
      </c>
      <c r="I33" s="42">
        <v>5.494806578</v>
      </c>
    </row>
    <row r="34" hidden="1">
      <c r="A34" s="1" t="s">
        <v>1079</v>
      </c>
      <c r="B34" s="38">
        <v>665001.0</v>
      </c>
      <c r="C34" s="38">
        <v>270.0</v>
      </c>
      <c r="D34" s="40">
        <v>5.265959407</v>
      </c>
      <c r="E34" s="41">
        <v>0.437037037</v>
      </c>
      <c r="F34" s="41">
        <v>0.351851852</v>
      </c>
      <c r="G34" s="41">
        <v>0.211111111</v>
      </c>
      <c r="H34" s="79">
        <f t="shared" si="1"/>
        <v>0.225925926</v>
      </c>
      <c r="I34" s="42">
        <v>-1.97547025</v>
      </c>
    </row>
    <row r="35">
      <c r="A35" s="1" t="s">
        <v>421</v>
      </c>
      <c r="B35" s="38">
        <v>607192.0</v>
      </c>
      <c r="C35" s="38">
        <v>1870.0</v>
      </c>
      <c r="D35" s="40">
        <v>5.265364403</v>
      </c>
      <c r="E35" s="41">
        <v>0.47486631</v>
      </c>
      <c r="F35" s="41">
        <v>0.217112299</v>
      </c>
      <c r="G35" s="41">
        <v>0.30802139</v>
      </c>
      <c r="H35" s="79">
        <f t="shared" si="1"/>
        <v>0.16684492</v>
      </c>
      <c r="I35" s="42">
        <v>5.162685829</v>
      </c>
    </row>
    <row r="36" hidden="1">
      <c r="A36" s="1" t="s">
        <v>1080</v>
      </c>
      <c r="B36" s="38">
        <v>476595.0</v>
      </c>
      <c r="C36" s="38">
        <v>284.0</v>
      </c>
      <c r="D36" s="40">
        <v>5.264299905</v>
      </c>
      <c r="E36" s="41">
        <v>0.443661972</v>
      </c>
      <c r="F36" s="41">
        <v>0.320422535</v>
      </c>
      <c r="G36" s="41">
        <v>0.235915493</v>
      </c>
      <c r="H36" s="79">
        <f t="shared" si="1"/>
        <v>0.207746479</v>
      </c>
      <c r="I36" s="42">
        <v>-1.922734526</v>
      </c>
    </row>
    <row r="37" hidden="1">
      <c r="A37" s="1" t="s">
        <v>185</v>
      </c>
      <c r="B37" s="38">
        <v>664076.0</v>
      </c>
      <c r="C37" s="38">
        <v>208.0</v>
      </c>
      <c r="D37" s="40">
        <v>5.261816019</v>
      </c>
      <c r="E37" s="41">
        <v>0.509615385</v>
      </c>
      <c r="F37" s="41">
        <v>0.158653846</v>
      </c>
      <c r="G37" s="41">
        <v>0.331730769</v>
      </c>
      <c r="H37" s="79">
        <f t="shared" si="1"/>
        <v>0.177884616</v>
      </c>
      <c r="I37" s="42">
        <v>3.501725849</v>
      </c>
    </row>
    <row r="38" hidden="1">
      <c r="A38" s="1" t="s">
        <v>547</v>
      </c>
      <c r="B38" s="38">
        <v>642528.0</v>
      </c>
      <c r="C38" s="38">
        <v>228.0</v>
      </c>
      <c r="D38" s="40">
        <v>5.260734825</v>
      </c>
      <c r="E38" s="41">
        <v>0.504385965</v>
      </c>
      <c r="F38" s="41">
        <v>0.175438596</v>
      </c>
      <c r="G38" s="41">
        <v>0.320175439</v>
      </c>
      <c r="H38" s="79">
        <f t="shared" si="1"/>
        <v>0.184210526</v>
      </c>
      <c r="I38" s="42">
        <v>1.760406432</v>
      </c>
    </row>
    <row r="39" hidden="1">
      <c r="A39" s="1" t="s">
        <v>55</v>
      </c>
      <c r="B39" s="38">
        <v>641816.0</v>
      </c>
      <c r="C39" s="38">
        <v>418.0</v>
      </c>
      <c r="D39" s="40">
        <v>5.257632859</v>
      </c>
      <c r="E39" s="41">
        <v>0.504784689</v>
      </c>
      <c r="F39" s="41">
        <v>0.174641148</v>
      </c>
      <c r="G39" s="41">
        <v>0.320574163</v>
      </c>
      <c r="H39" s="79">
        <f t="shared" si="1"/>
        <v>0.184210526</v>
      </c>
      <c r="I39" s="42">
        <v>-3.3630306</v>
      </c>
    </row>
    <row r="40">
      <c r="A40" s="1" t="s">
        <v>666</v>
      </c>
      <c r="B40" s="38">
        <v>605154.0</v>
      </c>
      <c r="C40" s="38">
        <v>668.0</v>
      </c>
      <c r="D40" s="40">
        <v>5.255317386</v>
      </c>
      <c r="E40" s="41">
        <v>0.474550898</v>
      </c>
      <c r="F40" s="41">
        <v>0.19760479</v>
      </c>
      <c r="G40" s="41">
        <v>0.327844311</v>
      </c>
      <c r="H40" s="79">
        <f t="shared" si="1"/>
        <v>0.146706587</v>
      </c>
      <c r="I40" s="42">
        <v>2.468597019</v>
      </c>
    </row>
    <row r="41">
      <c r="A41" s="1" t="s">
        <v>653</v>
      </c>
      <c r="B41" s="38">
        <v>664139.0</v>
      </c>
      <c r="C41" s="38">
        <v>1205.0</v>
      </c>
      <c r="D41" s="40">
        <v>5.254455197</v>
      </c>
      <c r="E41" s="41">
        <v>0.47966805</v>
      </c>
      <c r="F41" s="41">
        <v>0.273029046</v>
      </c>
      <c r="G41" s="41">
        <v>0.247302905</v>
      </c>
      <c r="H41" s="79">
        <f t="shared" si="1"/>
        <v>0.232365145</v>
      </c>
      <c r="I41" s="42">
        <v>-0.152284558</v>
      </c>
    </row>
    <row r="42">
      <c r="A42" s="1" t="s">
        <v>1032</v>
      </c>
      <c r="B42" s="38">
        <v>671345.0</v>
      </c>
      <c r="C42" s="38">
        <v>1032.0</v>
      </c>
      <c r="D42" s="40">
        <v>5.252694575</v>
      </c>
      <c r="E42" s="41">
        <v>0.480620155</v>
      </c>
      <c r="F42" s="41">
        <v>0.206395349</v>
      </c>
      <c r="G42" s="41">
        <v>0.312984496</v>
      </c>
      <c r="H42" s="79">
        <f t="shared" si="1"/>
        <v>0.167635659</v>
      </c>
      <c r="I42" s="42">
        <v>4.586132098</v>
      </c>
    </row>
    <row r="43">
      <c r="A43" s="1" t="s">
        <v>1081</v>
      </c>
      <c r="B43" s="38">
        <v>543521.0</v>
      </c>
      <c r="C43" s="38">
        <v>1013.0</v>
      </c>
      <c r="D43" s="40">
        <v>5.251486119</v>
      </c>
      <c r="E43" s="41">
        <v>0.488647581</v>
      </c>
      <c r="F43" s="41">
        <v>0.323790721</v>
      </c>
      <c r="G43" s="41">
        <v>0.187561698</v>
      </c>
      <c r="H43" s="79">
        <f t="shared" si="1"/>
        <v>0.301085883</v>
      </c>
      <c r="I43" s="42">
        <v>-17.36763885</v>
      </c>
    </row>
    <row r="44">
      <c r="A44" s="1" t="s">
        <v>59</v>
      </c>
      <c r="B44" s="38">
        <v>623352.0</v>
      </c>
      <c r="C44" s="38">
        <v>1038.0</v>
      </c>
      <c r="D44" s="40">
        <v>5.251167721</v>
      </c>
      <c r="E44" s="41">
        <v>0.526011561</v>
      </c>
      <c r="F44" s="41">
        <v>0.131021195</v>
      </c>
      <c r="G44" s="41">
        <v>0.342967245</v>
      </c>
      <c r="H44" s="79">
        <f t="shared" si="1"/>
        <v>0.183044316</v>
      </c>
      <c r="I44" s="42">
        <v>3.990453057</v>
      </c>
    </row>
    <row r="45" hidden="1">
      <c r="A45" s="1" t="s">
        <v>1082</v>
      </c>
      <c r="B45" s="38">
        <v>622103.0</v>
      </c>
      <c r="C45" s="38">
        <v>214.0</v>
      </c>
      <c r="D45" s="40">
        <v>5.246696682</v>
      </c>
      <c r="E45" s="41">
        <v>0.514018692</v>
      </c>
      <c r="F45" s="41">
        <v>0.154205607</v>
      </c>
      <c r="G45" s="41">
        <v>0.331775701</v>
      </c>
      <c r="H45" s="79">
        <f t="shared" si="1"/>
        <v>0.182242991</v>
      </c>
      <c r="I45" s="42">
        <v>0.050788186</v>
      </c>
    </row>
    <row r="46">
      <c r="A46" s="1" t="s">
        <v>13</v>
      </c>
      <c r="B46" s="38">
        <v>656730.0</v>
      </c>
      <c r="C46" s="38">
        <v>594.0</v>
      </c>
      <c r="D46" s="40">
        <v>5.244345369</v>
      </c>
      <c r="E46" s="41">
        <v>0.511784512</v>
      </c>
      <c r="F46" s="41">
        <v>0.161616162</v>
      </c>
      <c r="G46" s="41">
        <v>0.326599327</v>
      </c>
      <c r="H46" s="79">
        <f t="shared" si="1"/>
        <v>0.185185185</v>
      </c>
      <c r="I46" s="42">
        <v>-6.125805784</v>
      </c>
    </row>
    <row r="47">
      <c r="A47" s="1" t="s">
        <v>983</v>
      </c>
      <c r="B47" s="38">
        <v>669459.0</v>
      </c>
      <c r="C47" s="38">
        <v>870.0</v>
      </c>
      <c r="D47" s="40">
        <v>5.242414523</v>
      </c>
      <c r="E47" s="41">
        <v>0.485057471</v>
      </c>
      <c r="F47" s="41">
        <v>0.222988506</v>
      </c>
      <c r="G47" s="41">
        <v>0.291954023</v>
      </c>
      <c r="H47" s="79">
        <f t="shared" si="1"/>
        <v>0.193103448</v>
      </c>
      <c r="I47" s="42">
        <v>-7.799512172</v>
      </c>
    </row>
    <row r="48">
      <c r="A48" s="1" t="s">
        <v>20</v>
      </c>
      <c r="B48" s="38">
        <v>643511.0</v>
      </c>
      <c r="C48" s="38">
        <v>1113.0</v>
      </c>
      <c r="D48" s="40">
        <v>5.240647272</v>
      </c>
      <c r="E48" s="41">
        <v>0.495058401</v>
      </c>
      <c r="F48" s="41">
        <v>0.169811321</v>
      </c>
      <c r="G48" s="41">
        <v>0.335130279</v>
      </c>
      <c r="H48" s="79">
        <f t="shared" si="1"/>
        <v>0.159928122</v>
      </c>
      <c r="I48" s="42">
        <v>0.877305467</v>
      </c>
    </row>
    <row r="49">
      <c r="A49" s="1" t="s">
        <v>1083</v>
      </c>
      <c r="B49" s="38">
        <v>622075.0</v>
      </c>
      <c r="C49" s="38">
        <v>781.0</v>
      </c>
      <c r="D49" s="40">
        <v>5.238568225</v>
      </c>
      <c r="E49" s="41">
        <v>0.457106274</v>
      </c>
      <c r="F49" s="41">
        <v>0.370038412</v>
      </c>
      <c r="G49" s="41">
        <v>0.172855314</v>
      </c>
      <c r="H49" s="79">
        <f t="shared" si="1"/>
        <v>0.28425096</v>
      </c>
      <c r="I49" s="42">
        <v>-0.227017313</v>
      </c>
    </row>
    <row r="50">
      <c r="A50" s="1" t="s">
        <v>128</v>
      </c>
      <c r="B50" s="38">
        <v>641941.0</v>
      </c>
      <c r="C50" s="38">
        <v>1050.0</v>
      </c>
      <c r="D50" s="40">
        <v>5.23586993</v>
      </c>
      <c r="E50" s="41">
        <v>0.485714286</v>
      </c>
      <c r="F50" s="41">
        <v>0.193333333</v>
      </c>
      <c r="G50" s="41">
        <v>0.320952381</v>
      </c>
      <c r="H50" s="79">
        <f t="shared" si="1"/>
        <v>0.164761905</v>
      </c>
      <c r="I50" s="42">
        <v>11.413459</v>
      </c>
    </row>
    <row r="51">
      <c r="A51" s="1" t="s">
        <v>190</v>
      </c>
      <c r="B51" s="38">
        <v>664208.0</v>
      </c>
      <c r="C51" s="38">
        <v>1025.0</v>
      </c>
      <c r="D51" s="40">
        <v>5.233877675</v>
      </c>
      <c r="E51" s="41">
        <v>0.508292683</v>
      </c>
      <c r="F51" s="41">
        <v>0.221463415</v>
      </c>
      <c r="G51" s="41">
        <v>0.270243902</v>
      </c>
      <c r="H51" s="79">
        <f t="shared" si="1"/>
        <v>0.238048781</v>
      </c>
      <c r="I51" s="42">
        <v>5.683931942</v>
      </c>
    </row>
    <row r="52" hidden="1">
      <c r="A52" s="1" t="s">
        <v>218</v>
      </c>
      <c r="B52" s="38">
        <v>669432.0</v>
      </c>
      <c r="C52" s="38">
        <v>328.0</v>
      </c>
      <c r="D52" s="40">
        <v>5.232047857</v>
      </c>
      <c r="E52" s="41">
        <v>0.509146341</v>
      </c>
      <c r="F52" s="41">
        <v>0.167682927</v>
      </c>
      <c r="G52" s="41">
        <v>0.323170732</v>
      </c>
      <c r="H52" s="79">
        <f t="shared" si="1"/>
        <v>0.185975609</v>
      </c>
      <c r="I52" s="42">
        <v>2.910948722</v>
      </c>
    </row>
    <row r="53" hidden="1">
      <c r="A53" s="1" t="s">
        <v>1084</v>
      </c>
      <c r="B53" s="38">
        <v>656814.0</v>
      </c>
      <c r="C53" s="38">
        <v>298.0</v>
      </c>
      <c r="D53" s="40">
        <v>5.230685963</v>
      </c>
      <c r="E53" s="41">
        <v>0.5</v>
      </c>
      <c r="F53" s="41">
        <v>0.181208054</v>
      </c>
      <c r="G53" s="41">
        <v>0.318791946</v>
      </c>
      <c r="H53" s="79">
        <f t="shared" si="1"/>
        <v>0.181208054</v>
      </c>
      <c r="I53" s="42">
        <v>-4.483651698</v>
      </c>
    </row>
    <row r="54" hidden="1">
      <c r="A54" s="1" t="s">
        <v>71</v>
      </c>
      <c r="B54" s="38">
        <v>573204.0</v>
      </c>
      <c r="C54" s="38">
        <v>469.0</v>
      </c>
      <c r="D54" s="40">
        <v>5.226101727</v>
      </c>
      <c r="E54" s="41">
        <v>0.501066098</v>
      </c>
      <c r="F54" s="41">
        <v>0.236673774</v>
      </c>
      <c r="G54" s="41">
        <v>0.262260128</v>
      </c>
      <c r="H54" s="79">
        <f t="shared" si="1"/>
        <v>0.23880597</v>
      </c>
      <c r="I54" s="42">
        <v>1.767412288</v>
      </c>
    </row>
    <row r="55">
      <c r="A55" s="1" t="s">
        <v>77</v>
      </c>
      <c r="B55" s="38">
        <v>657277.0</v>
      </c>
      <c r="C55" s="38">
        <v>3148.0</v>
      </c>
      <c r="D55" s="40">
        <v>5.221359791</v>
      </c>
      <c r="E55" s="41">
        <v>0.487928844</v>
      </c>
      <c r="F55" s="41">
        <v>0.186149936</v>
      </c>
      <c r="G55" s="41">
        <v>0.32592122</v>
      </c>
      <c r="H55" s="79">
        <f t="shared" si="1"/>
        <v>0.162007624</v>
      </c>
      <c r="I55" s="42">
        <v>-4.668131344</v>
      </c>
    </row>
    <row r="56">
      <c r="A56" s="1" t="s">
        <v>1085</v>
      </c>
      <c r="B56" s="38">
        <v>681806.0</v>
      </c>
      <c r="C56" s="38">
        <v>651.0</v>
      </c>
      <c r="D56" s="40">
        <v>5.21680827</v>
      </c>
      <c r="E56" s="41">
        <v>0.479262673</v>
      </c>
      <c r="F56" s="41">
        <v>0.231950845</v>
      </c>
      <c r="G56" s="41">
        <v>0.288786482</v>
      </c>
      <c r="H56" s="79">
        <f t="shared" si="1"/>
        <v>0.190476191</v>
      </c>
      <c r="I56" s="42">
        <v>3.738200868</v>
      </c>
    </row>
    <row r="57">
      <c r="A57" s="1" t="s">
        <v>865</v>
      </c>
      <c r="B57" s="38">
        <v>518886.0</v>
      </c>
      <c r="C57" s="38">
        <v>1112.0</v>
      </c>
      <c r="D57" s="40">
        <v>5.214741781</v>
      </c>
      <c r="E57" s="41">
        <v>0.500899281</v>
      </c>
      <c r="F57" s="41">
        <v>0.189748201</v>
      </c>
      <c r="G57" s="41">
        <v>0.309352518</v>
      </c>
      <c r="H57" s="79">
        <f t="shared" si="1"/>
        <v>0.191546763</v>
      </c>
      <c r="I57" s="42">
        <v>3.689024129</v>
      </c>
    </row>
    <row r="58">
      <c r="A58" s="1" t="s">
        <v>187</v>
      </c>
      <c r="B58" s="38">
        <v>641302.0</v>
      </c>
      <c r="C58" s="38">
        <v>670.0</v>
      </c>
      <c r="D58" s="40">
        <v>5.211179743</v>
      </c>
      <c r="E58" s="41">
        <v>0.449253731</v>
      </c>
      <c r="F58" s="41">
        <v>0.249253731</v>
      </c>
      <c r="G58" s="41">
        <v>0.301492537</v>
      </c>
      <c r="H58" s="79">
        <f t="shared" si="1"/>
        <v>0.147761194</v>
      </c>
      <c r="I58" s="42">
        <v>3.493441104</v>
      </c>
    </row>
    <row r="59">
      <c r="A59" s="1" t="s">
        <v>362</v>
      </c>
      <c r="B59" s="38">
        <v>573124.0</v>
      </c>
      <c r="C59" s="38">
        <v>824.0</v>
      </c>
      <c r="D59" s="40">
        <v>5.211140058</v>
      </c>
      <c r="E59" s="41">
        <v>0.450242718</v>
      </c>
      <c r="F59" s="41">
        <v>0.358009709</v>
      </c>
      <c r="G59" s="41">
        <v>0.191747573</v>
      </c>
      <c r="H59" s="79">
        <f t="shared" si="1"/>
        <v>0.258495145</v>
      </c>
      <c r="I59" s="42">
        <v>2.727563665</v>
      </c>
    </row>
    <row r="60">
      <c r="A60" s="1" t="s">
        <v>250</v>
      </c>
      <c r="B60" s="38">
        <v>676477.0</v>
      </c>
      <c r="C60" s="38">
        <v>1182.0</v>
      </c>
      <c r="D60" s="40">
        <v>5.211002887</v>
      </c>
      <c r="E60" s="41">
        <v>0.46108291</v>
      </c>
      <c r="F60" s="41">
        <v>0.27072758</v>
      </c>
      <c r="G60" s="41">
        <v>0.268189509</v>
      </c>
      <c r="H60" s="79">
        <f t="shared" si="1"/>
        <v>0.192893401</v>
      </c>
      <c r="I60" s="42">
        <v>-9.069828925</v>
      </c>
    </row>
    <row r="61">
      <c r="A61" s="1" t="s">
        <v>1030</v>
      </c>
      <c r="B61" s="38">
        <v>641729.0</v>
      </c>
      <c r="C61" s="38">
        <v>927.0</v>
      </c>
      <c r="D61" s="40">
        <v>5.209184065</v>
      </c>
      <c r="E61" s="41">
        <v>0.49622438</v>
      </c>
      <c r="F61" s="41">
        <v>0.190938511</v>
      </c>
      <c r="G61" s="41">
        <v>0.312837109</v>
      </c>
      <c r="H61" s="79">
        <f t="shared" si="1"/>
        <v>0.183387271</v>
      </c>
      <c r="I61" s="42">
        <v>-0.75578658</v>
      </c>
    </row>
    <row r="62">
      <c r="A62" s="1" t="s">
        <v>1057</v>
      </c>
      <c r="B62" s="38">
        <v>594835.0</v>
      </c>
      <c r="C62" s="38">
        <v>807.0</v>
      </c>
      <c r="D62" s="40">
        <v>5.207552724</v>
      </c>
      <c r="E62" s="41">
        <v>0.477075589</v>
      </c>
      <c r="F62" s="41">
        <v>0.229244114</v>
      </c>
      <c r="G62" s="41">
        <v>0.293680297</v>
      </c>
      <c r="H62" s="79">
        <f t="shared" si="1"/>
        <v>0.183395292</v>
      </c>
      <c r="I62" s="42">
        <v>0.489495578</v>
      </c>
    </row>
    <row r="63" hidden="1">
      <c r="A63" s="1" t="s">
        <v>637</v>
      </c>
      <c r="B63" s="38">
        <v>606930.0</v>
      </c>
      <c r="C63" s="38">
        <v>208.0</v>
      </c>
      <c r="D63" s="40">
        <v>5.204588149</v>
      </c>
      <c r="E63" s="41">
        <v>0.475961538</v>
      </c>
      <c r="F63" s="41">
        <v>0.216346154</v>
      </c>
      <c r="G63" s="41">
        <v>0.307692308</v>
      </c>
      <c r="H63" s="79">
        <f t="shared" si="1"/>
        <v>0.16826923</v>
      </c>
      <c r="I63" s="42">
        <v>-6.854757407</v>
      </c>
    </row>
    <row r="64">
      <c r="A64" s="1" t="s">
        <v>372</v>
      </c>
      <c r="B64" s="38">
        <v>671106.0</v>
      </c>
      <c r="C64" s="38">
        <v>2116.0</v>
      </c>
      <c r="D64" s="40">
        <v>5.202085143</v>
      </c>
      <c r="E64" s="41">
        <v>0.485349716</v>
      </c>
      <c r="F64" s="41">
        <v>0.265122873</v>
      </c>
      <c r="G64" s="41">
        <v>0.24952741</v>
      </c>
      <c r="H64" s="79">
        <f t="shared" si="1"/>
        <v>0.235822306</v>
      </c>
      <c r="I64" s="42">
        <v>-10.69319117</v>
      </c>
    </row>
    <row r="65">
      <c r="A65" s="1" t="s">
        <v>674</v>
      </c>
      <c r="B65" s="38">
        <v>621345.0</v>
      </c>
      <c r="C65" s="38">
        <v>1052.0</v>
      </c>
      <c r="D65" s="40">
        <v>5.200973264</v>
      </c>
      <c r="E65" s="41">
        <v>0.506653992</v>
      </c>
      <c r="F65" s="41">
        <v>0.161596958</v>
      </c>
      <c r="G65" s="41">
        <v>0.331749049</v>
      </c>
      <c r="H65" s="79">
        <f t="shared" si="1"/>
        <v>0.174904943</v>
      </c>
      <c r="I65" s="42">
        <v>1.642376616</v>
      </c>
    </row>
    <row r="66">
      <c r="A66" s="1" t="s">
        <v>329</v>
      </c>
      <c r="B66" s="38">
        <v>669160.0</v>
      </c>
      <c r="C66" s="38">
        <v>727.0</v>
      </c>
      <c r="D66" s="40">
        <v>5.199925692</v>
      </c>
      <c r="E66" s="41">
        <v>0.492434663</v>
      </c>
      <c r="F66" s="41">
        <v>0.191196699</v>
      </c>
      <c r="G66" s="41">
        <v>0.316368638</v>
      </c>
      <c r="H66" s="79">
        <f t="shared" si="1"/>
        <v>0.176066025</v>
      </c>
      <c r="I66" s="42">
        <v>14.04400801</v>
      </c>
    </row>
    <row r="67">
      <c r="A67" s="1" t="s">
        <v>1019</v>
      </c>
      <c r="B67" s="38">
        <v>680570.0</v>
      </c>
      <c r="C67" s="38">
        <v>2094.0</v>
      </c>
      <c r="D67" s="40">
        <v>5.199202238</v>
      </c>
      <c r="E67" s="41">
        <v>0.490448902</v>
      </c>
      <c r="F67" s="41">
        <v>0.179083095</v>
      </c>
      <c r="G67" s="41">
        <v>0.330468004</v>
      </c>
      <c r="H67" s="79">
        <f t="shared" si="1"/>
        <v>0.159980898</v>
      </c>
      <c r="I67" s="42">
        <v>-8.777054649</v>
      </c>
    </row>
    <row r="68" hidden="1">
      <c r="A68" s="1" t="s">
        <v>599</v>
      </c>
      <c r="B68" s="38">
        <v>669145.0</v>
      </c>
      <c r="C68" s="38">
        <v>213.0</v>
      </c>
      <c r="D68" s="40">
        <v>5.196642028</v>
      </c>
      <c r="E68" s="41">
        <v>0.464788732</v>
      </c>
      <c r="F68" s="41">
        <v>0.192488263</v>
      </c>
      <c r="G68" s="41">
        <v>0.342723005</v>
      </c>
      <c r="H68" s="79">
        <f t="shared" si="1"/>
        <v>0.122065727</v>
      </c>
      <c r="I68" s="42">
        <v>-3.547200143</v>
      </c>
    </row>
    <row r="69">
      <c r="A69" s="1" t="s">
        <v>283</v>
      </c>
      <c r="B69" s="38">
        <v>641401.0</v>
      </c>
      <c r="C69" s="38">
        <v>542.0</v>
      </c>
      <c r="D69" s="40">
        <v>5.191986869</v>
      </c>
      <c r="E69" s="41">
        <v>0.477859779</v>
      </c>
      <c r="F69" s="41">
        <v>0.201107011</v>
      </c>
      <c r="G69" s="41">
        <v>0.32103321</v>
      </c>
      <c r="H69" s="79">
        <f t="shared" si="1"/>
        <v>0.156826569</v>
      </c>
      <c r="I69" s="42">
        <v>0.598906875</v>
      </c>
    </row>
    <row r="70">
      <c r="A70" s="1" t="s">
        <v>1086</v>
      </c>
      <c r="B70" s="38">
        <v>666159.0</v>
      </c>
      <c r="C70" s="38">
        <v>1176.0</v>
      </c>
      <c r="D70" s="40">
        <v>5.189830102</v>
      </c>
      <c r="E70" s="41">
        <v>0.488945578</v>
      </c>
      <c r="F70" s="41">
        <v>0.149659864</v>
      </c>
      <c r="G70" s="41">
        <v>0.361394558</v>
      </c>
      <c r="H70" s="79">
        <f t="shared" si="1"/>
        <v>0.12755102</v>
      </c>
      <c r="I70" s="42">
        <v>4.110053275</v>
      </c>
    </row>
    <row r="71">
      <c r="A71" s="1" t="s">
        <v>642</v>
      </c>
      <c r="B71" s="38">
        <v>608371.0</v>
      </c>
      <c r="C71" s="38">
        <v>1048.0</v>
      </c>
      <c r="D71" s="40">
        <v>5.189616252</v>
      </c>
      <c r="E71" s="41">
        <v>0.516221374</v>
      </c>
      <c r="F71" s="41">
        <v>0.151717557</v>
      </c>
      <c r="G71" s="41">
        <v>0.332061069</v>
      </c>
      <c r="H71" s="79">
        <f t="shared" si="1"/>
        <v>0.184160305</v>
      </c>
      <c r="I71" s="42">
        <v>9.219830652</v>
      </c>
    </row>
    <row r="72">
      <c r="A72" s="1" t="s">
        <v>220</v>
      </c>
      <c r="B72" s="38">
        <v>663559.0</v>
      </c>
      <c r="C72" s="38">
        <v>1277.0</v>
      </c>
      <c r="D72" s="40">
        <v>5.188613837</v>
      </c>
      <c r="E72" s="41">
        <v>0.474549726</v>
      </c>
      <c r="F72" s="41">
        <v>0.196554424</v>
      </c>
      <c r="G72" s="41">
        <v>0.32889585</v>
      </c>
      <c r="H72" s="79">
        <f t="shared" si="1"/>
        <v>0.145653876</v>
      </c>
      <c r="I72" s="42">
        <v>-14.77719966</v>
      </c>
    </row>
    <row r="73" hidden="1">
      <c r="A73" s="1" t="s">
        <v>336</v>
      </c>
      <c r="B73" s="38">
        <v>605488.0</v>
      </c>
      <c r="C73" s="38">
        <v>206.0</v>
      </c>
      <c r="D73" s="40">
        <v>5.187749249</v>
      </c>
      <c r="E73" s="41">
        <v>0.441747573</v>
      </c>
      <c r="F73" s="41">
        <v>0.310679612</v>
      </c>
      <c r="G73" s="41">
        <v>0.247572816</v>
      </c>
      <c r="H73" s="79">
        <f t="shared" si="1"/>
        <v>0.194174757</v>
      </c>
      <c r="I73" s="42">
        <v>8.301440539</v>
      </c>
    </row>
    <row r="74">
      <c r="A74" s="1" t="s">
        <v>1043</v>
      </c>
      <c r="B74" s="38">
        <v>686973.0</v>
      </c>
      <c r="C74" s="38">
        <v>1082.0</v>
      </c>
      <c r="D74" s="40">
        <v>5.18573842</v>
      </c>
      <c r="E74" s="41">
        <v>0.475046211</v>
      </c>
      <c r="F74" s="41">
        <v>0.211645102</v>
      </c>
      <c r="G74" s="41">
        <v>0.313308688</v>
      </c>
      <c r="H74" s="79">
        <f t="shared" si="1"/>
        <v>0.161737523</v>
      </c>
      <c r="I74" s="42">
        <v>-0.09645103</v>
      </c>
    </row>
    <row r="75">
      <c r="A75" s="1" t="s">
        <v>93</v>
      </c>
      <c r="B75" s="38">
        <v>669194.0</v>
      </c>
      <c r="C75" s="38">
        <v>2332.0</v>
      </c>
      <c r="D75" s="40">
        <v>5.185369024</v>
      </c>
      <c r="E75" s="41">
        <v>0.48542024</v>
      </c>
      <c r="F75" s="41">
        <v>0.179674099</v>
      </c>
      <c r="G75" s="41">
        <v>0.33490566</v>
      </c>
      <c r="H75" s="79">
        <f t="shared" si="1"/>
        <v>0.15051458</v>
      </c>
      <c r="I75" s="42">
        <v>-27.26184466</v>
      </c>
    </row>
    <row r="76" hidden="1">
      <c r="A76" s="1" t="s">
        <v>174</v>
      </c>
      <c r="B76" s="38">
        <v>643338.0</v>
      </c>
      <c r="C76" s="38">
        <v>193.0</v>
      </c>
      <c r="D76" s="40">
        <v>5.18356128</v>
      </c>
      <c r="E76" s="41">
        <v>0.471502591</v>
      </c>
      <c r="F76" s="41">
        <v>0.233160622</v>
      </c>
      <c r="G76" s="41">
        <v>0.295336788</v>
      </c>
      <c r="H76" s="79">
        <f t="shared" si="1"/>
        <v>0.176165803</v>
      </c>
      <c r="I76" s="42">
        <v>-1.592245697</v>
      </c>
    </row>
    <row r="77" hidden="1">
      <c r="A77" s="1" t="s">
        <v>141</v>
      </c>
      <c r="B77" s="38">
        <v>670036.0</v>
      </c>
      <c r="C77" s="38">
        <v>194.0</v>
      </c>
      <c r="D77" s="40">
        <v>5.183099505</v>
      </c>
      <c r="E77" s="41">
        <v>0.484536082</v>
      </c>
      <c r="F77" s="41">
        <v>0.221649485</v>
      </c>
      <c r="G77" s="41">
        <v>0.293814433</v>
      </c>
      <c r="H77" s="79">
        <f t="shared" si="1"/>
        <v>0.190721649</v>
      </c>
      <c r="I77" s="42">
        <v>3.756377235</v>
      </c>
    </row>
    <row r="78">
      <c r="A78" s="1" t="s">
        <v>199</v>
      </c>
      <c r="B78" s="38">
        <v>664199.0</v>
      </c>
      <c r="C78" s="38">
        <v>1060.0</v>
      </c>
      <c r="D78" s="40">
        <v>5.182833706</v>
      </c>
      <c r="E78" s="41">
        <v>0.463207547</v>
      </c>
      <c r="F78" s="41">
        <v>0.250943396</v>
      </c>
      <c r="G78" s="41">
        <v>0.285849057</v>
      </c>
      <c r="H78" s="79">
        <f t="shared" si="1"/>
        <v>0.17735849</v>
      </c>
      <c r="I78" s="42">
        <v>-10.18331519</v>
      </c>
    </row>
    <row r="79">
      <c r="A79" s="1" t="s">
        <v>164</v>
      </c>
      <c r="B79" s="38">
        <v>669923.0</v>
      </c>
      <c r="C79" s="38">
        <v>2795.0</v>
      </c>
      <c r="D79" s="40">
        <v>5.181702827</v>
      </c>
      <c r="E79" s="41">
        <v>0.47763864</v>
      </c>
      <c r="F79" s="41">
        <v>0.205008945</v>
      </c>
      <c r="G79" s="41">
        <v>0.317352415</v>
      </c>
      <c r="H79" s="79">
        <f t="shared" si="1"/>
        <v>0.160286225</v>
      </c>
      <c r="I79" s="42">
        <v>-6.10732204</v>
      </c>
    </row>
    <row r="80">
      <c r="A80" s="1" t="s">
        <v>180</v>
      </c>
      <c r="B80" s="38">
        <v>642547.0</v>
      </c>
      <c r="C80" s="38">
        <v>2817.0</v>
      </c>
      <c r="D80" s="40">
        <v>5.180483744</v>
      </c>
      <c r="E80" s="41">
        <v>0.474263401</v>
      </c>
      <c r="F80" s="41">
        <v>0.188498403</v>
      </c>
      <c r="G80" s="41">
        <v>0.337238197</v>
      </c>
      <c r="H80" s="79">
        <f t="shared" si="1"/>
        <v>0.137025204</v>
      </c>
      <c r="I80" s="42">
        <v>5.82937312</v>
      </c>
    </row>
    <row r="81">
      <c r="A81" s="1" t="s">
        <v>87</v>
      </c>
      <c r="B81" s="38">
        <v>657097.0</v>
      </c>
      <c r="C81" s="38">
        <v>923.0</v>
      </c>
      <c r="D81" s="40">
        <v>5.178547883</v>
      </c>
      <c r="E81" s="41">
        <v>0.459371614</v>
      </c>
      <c r="F81" s="41">
        <v>0.274106176</v>
      </c>
      <c r="G81" s="41">
        <v>0.26652221</v>
      </c>
      <c r="H81" s="79">
        <f t="shared" si="1"/>
        <v>0.192849404</v>
      </c>
      <c r="I81" s="42">
        <v>4.599484376</v>
      </c>
    </row>
    <row r="82">
      <c r="A82" s="1" t="s">
        <v>110</v>
      </c>
      <c r="B82" s="38">
        <v>687330.0</v>
      </c>
      <c r="C82" s="38">
        <v>1057.0</v>
      </c>
      <c r="D82" s="40">
        <v>5.177776831</v>
      </c>
      <c r="E82" s="41">
        <v>0.429517502</v>
      </c>
      <c r="F82" s="41">
        <v>0.346263009</v>
      </c>
      <c r="G82" s="41">
        <v>0.224219489</v>
      </c>
      <c r="H82" s="79">
        <f t="shared" si="1"/>
        <v>0.205298013</v>
      </c>
      <c r="I82" s="42">
        <v>6.715832443</v>
      </c>
    </row>
    <row r="83">
      <c r="A83" s="1" t="s">
        <v>109</v>
      </c>
      <c r="B83" s="38">
        <v>601713.0</v>
      </c>
      <c r="C83" s="38">
        <v>2366.0</v>
      </c>
      <c r="D83" s="40">
        <v>5.17717741</v>
      </c>
      <c r="E83" s="41">
        <v>0.501690617</v>
      </c>
      <c r="F83" s="41">
        <v>0.174556213</v>
      </c>
      <c r="G83" s="41">
        <v>0.32375317</v>
      </c>
      <c r="H83" s="79">
        <f t="shared" si="1"/>
        <v>0.177937447</v>
      </c>
      <c r="I83" s="42">
        <v>6.326404054</v>
      </c>
    </row>
    <row r="84">
      <c r="A84" s="1" t="s">
        <v>1087</v>
      </c>
      <c r="B84" s="38">
        <v>663556.0</v>
      </c>
      <c r="C84" s="38">
        <v>1803.0</v>
      </c>
      <c r="D84" s="40">
        <v>5.176974495</v>
      </c>
      <c r="E84" s="41">
        <v>0.488630061</v>
      </c>
      <c r="F84" s="41">
        <v>0.188574598</v>
      </c>
      <c r="G84" s="41">
        <v>0.322795341</v>
      </c>
      <c r="H84" s="79">
        <f t="shared" si="1"/>
        <v>0.16583472</v>
      </c>
      <c r="I84" s="42">
        <v>2.564268704</v>
      </c>
    </row>
    <row r="85">
      <c r="A85" s="1" t="s">
        <v>162</v>
      </c>
      <c r="B85" s="38">
        <v>592426.0</v>
      </c>
      <c r="C85" s="38">
        <v>521.0</v>
      </c>
      <c r="D85" s="40">
        <v>5.175316098</v>
      </c>
      <c r="E85" s="41">
        <v>0.476007678</v>
      </c>
      <c r="F85" s="41">
        <v>0.193857965</v>
      </c>
      <c r="G85" s="41">
        <v>0.330134357</v>
      </c>
      <c r="H85" s="79">
        <f t="shared" si="1"/>
        <v>0.145873321</v>
      </c>
      <c r="I85" s="42">
        <v>0.469055631</v>
      </c>
    </row>
    <row r="86">
      <c r="A86" s="1" t="s">
        <v>408</v>
      </c>
      <c r="B86" s="38">
        <v>657376.0</v>
      </c>
      <c r="C86" s="38">
        <v>2688.0</v>
      </c>
      <c r="D86" s="40">
        <v>5.174294403</v>
      </c>
      <c r="E86" s="41">
        <v>0.45796131</v>
      </c>
      <c r="F86" s="41">
        <v>0.274925595</v>
      </c>
      <c r="G86" s="41">
        <v>0.267113095</v>
      </c>
      <c r="H86" s="79">
        <f t="shared" si="1"/>
        <v>0.190848215</v>
      </c>
      <c r="I86" s="42">
        <v>-5.321018161</v>
      </c>
    </row>
    <row r="87">
      <c r="A87" s="1" t="s">
        <v>342</v>
      </c>
      <c r="B87" s="38">
        <v>592094.0</v>
      </c>
      <c r="C87" s="38">
        <v>888.0</v>
      </c>
      <c r="D87" s="40">
        <v>5.173272767</v>
      </c>
      <c r="E87" s="41">
        <v>0.45045045</v>
      </c>
      <c r="F87" s="41">
        <v>0.293918919</v>
      </c>
      <c r="G87" s="41">
        <v>0.255630631</v>
      </c>
      <c r="H87" s="79">
        <f t="shared" si="1"/>
        <v>0.194819819</v>
      </c>
      <c r="I87" s="42">
        <v>11.270103</v>
      </c>
    </row>
    <row r="88">
      <c r="A88" s="1" t="s">
        <v>562</v>
      </c>
      <c r="B88" s="38">
        <v>669713.0</v>
      </c>
      <c r="C88" s="38">
        <v>1448.0</v>
      </c>
      <c r="D88" s="40">
        <v>5.170656942</v>
      </c>
      <c r="E88" s="41">
        <v>0.459944751</v>
      </c>
      <c r="F88" s="41">
        <v>0.305248619</v>
      </c>
      <c r="G88" s="41">
        <v>0.23480663</v>
      </c>
      <c r="H88" s="79">
        <f t="shared" si="1"/>
        <v>0.225138121</v>
      </c>
      <c r="I88" s="42">
        <v>4.443797765</v>
      </c>
    </row>
    <row r="89">
      <c r="A89" s="1" t="s">
        <v>413</v>
      </c>
      <c r="B89" s="38">
        <v>671737.0</v>
      </c>
      <c r="C89" s="38">
        <v>1808.0</v>
      </c>
      <c r="D89" s="40">
        <v>5.169105619</v>
      </c>
      <c r="E89" s="41">
        <v>0.495022124</v>
      </c>
      <c r="F89" s="41">
        <v>0.150995575</v>
      </c>
      <c r="G89" s="41">
        <v>0.353982301</v>
      </c>
      <c r="H89" s="79">
        <f t="shared" si="1"/>
        <v>0.141039823</v>
      </c>
      <c r="I89" s="42">
        <v>-7.651688832</v>
      </c>
    </row>
    <row r="90">
      <c r="A90" s="1" t="s">
        <v>251</v>
      </c>
      <c r="B90" s="38">
        <v>676664.0</v>
      </c>
      <c r="C90" s="38">
        <v>2840.0</v>
      </c>
      <c r="D90" s="40">
        <v>5.166675135</v>
      </c>
      <c r="E90" s="41">
        <v>0.464084507</v>
      </c>
      <c r="F90" s="41">
        <v>0.258450704</v>
      </c>
      <c r="G90" s="41">
        <v>0.277464789</v>
      </c>
      <c r="H90" s="79">
        <f t="shared" si="1"/>
        <v>0.186619718</v>
      </c>
      <c r="I90" s="42">
        <v>-14.06244502</v>
      </c>
    </row>
    <row r="91">
      <c r="A91" s="1" t="s">
        <v>1088</v>
      </c>
      <c r="B91" s="38">
        <v>628711.0</v>
      </c>
      <c r="C91" s="38">
        <v>1830.0</v>
      </c>
      <c r="D91" s="40">
        <v>5.165854655</v>
      </c>
      <c r="E91" s="41">
        <v>0.451912568</v>
      </c>
      <c r="F91" s="41">
        <v>0.300546448</v>
      </c>
      <c r="G91" s="41">
        <v>0.247540984</v>
      </c>
      <c r="H91" s="79">
        <f t="shared" si="1"/>
        <v>0.204371584</v>
      </c>
      <c r="I91" s="42">
        <v>-6.82773084</v>
      </c>
    </row>
    <row r="92">
      <c r="A92" s="1" t="s">
        <v>582</v>
      </c>
      <c r="B92" s="38">
        <v>680694.0</v>
      </c>
      <c r="C92" s="38">
        <v>2625.0</v>
      </c>
      <c r="D92" s="40">
        <v>5.164125428</v>
      </c>
      <c r="E92" s="41">
        <v>0.476190476</v>
      </c>
      <c r="F92" s="41">
        <v>0.17447619</v>
      </c>
      <c r="G92" s="41">
        <v>0.349333333</v>
      </c>
      <c r="H92" s="79">
        <f t="shared" si="1"/>
        <v>0.126857143</v>
      </c>
      <c r="I92" s="42">
        <v>24.80328736</v>
      </c>
    </row>
    <row r="93">
      <c r="A93" s="1" t="s">
        <v>1020</v>
      </c>
      <c r="B93" s="38">
        <v>676710.0</v>
      </c>
      <c r="C93" s="38">
        <v>2083.0</v>
      </c>
      <c r="D93" s="40">
        <v>5.161373177</v>
      </c>
      <c r="E93" s="41">
        <v>0.466634662</v>
      </c>
      <c r="F93" s="41">
        <v>0.213634181</v>
      </c>
      <c r="G93" s="41">
        <v>0.319731157</v>
      </c>
      <c r="H93" s="79">
        <f t="shared" si="1"/>
        <v>0.146903505</v>
      </c>
      <c r="I93" s="42">
        <v>0.473223932</v>
      </c>
    </row>
    <row r="94">
      <c r="A94" s="1" t="s">
        <v>177</v>
      </c>
      <c r="B94" s="38">
        <v>641793.0</v>
      </c>
      <c r="C94" s="38">
        <v>1300.0</v>
      </c>
      <c r="D94" s="40">
        <v>5.161372964</v>
      </c>
      <c r="E94" s="41">
        <v>0.472307692</v>
      </c>
      <c r="F94" s="41">
        <v>0.226923077</v>
      </c>
      <c r="G94" s="41">
        <v>0.300769231</v>
      </c>
      <c r="H94" s="79">
        <f t="shared" si="1"/>
        <v>0.171538461</v>
      </c>
      <c r="I94" s="42">
        <v>-7.204663101</v>
      </c>
    </row>
    <row r="95">
      <c r="A95" s="1" t="s">
        <v>800</v>
      </c>
      <c r="B95" s="38">
        <v>605242.0</v>
      </c>
      <c r="C95" s="38">
        <v>893.0</v>
      </c>
      <c r="D95" s="40">
        <v>5.160460329</v>
      </c>
      <c r="E95" s="41">
        <v>0.492721165</v>
      </c>
      <c r="F95" s="41">
        <v>0.240761478</v>
      </c>
      <c r="G95" s="41">
        <v>0.266517357</v>
      </c>
      <c r="H95" s="79">
        <f t="shared" si="1"/>
        <v>0.226203808</v>
      </c>
      <c r="I95" s="42">
        <v>3.075129215</v>
      </c>
    </row>
    <row r="96" hidden="1">
      <c r="A96" s="1" t="s">
        <v>1014</v>
      </c>
      <c r="B96" s="38">
        <v>593833.0</v>
      </c>
      <c r="C96" s="38">
        <v>157.0</v>
      </c>
      <c r="D96" s="40">
        <v>5.159154561</v>
      </c>
      <c r="E96" s="41">
        <v>0.47133758</v>
      </c>
      <c r="F96" s="41">
        <v>0.203821656</v>
      </c>
      <c r="G96" s="41">
        <v>0.324840764</v>
      </c>
      <c r="H96" s="79">
        <f t="shared" si="1"/>
        <v>0.146496816</v>
      </c>
      <c r="I96" s="42">
        <v>3.724237775</v>
      </c>
    </row>
    <row r="97">
      <c r="A97" s="1" t="s">
        <v>1089</v>
      </c>
      <c r="B97" s="38">
        <v>600921.0</v>
      </c>
      <c r="C97" s="38">
        <v>738.0</v>
      </c>
      <c r="D97" s="40">
        <v>5.158809858</v>
      </c>
      <c r="E97" s="41">
        <v>0.459349593</v>
      </c>
      <c r="F97" s="41">
        <v>0.208672087</v>
      </c>
      <c r="G97" s="41">
        <v>0.33197832</v>
      </c>
      <c r="H97" s="79">
        <f t="shared" si="1"/>
        <v>0.127371273</v>
      </c>
      <c r="I97" s="42">
        <v>-4.134315149</v>
      </c>
    </row>
    <row r="98">
      <c r="A98" s="1" t="s">
        <v>764</v>
      </c>
      <c r="B98" s="38">
        <v>612434.0</v>
      </c>
      <c r="C98" s="38">
        <v>999.0</v>
      </c>
      <c r="D98" s="40">
        <v>5.157949129</v>
      </c>
      <c r="E98" s="41">
        <v>0.507507508</v>
      </c>
      <c r="F98" s="41">
        <v>0.156156156</v>
      </c>
      <c r="G98" s="41">
        <v>0.336336336</v>
      </c>
      <c r="H98" s="79">
        <f t="shared" si="1"/>
        <v>0.171171172</v>
      </c>
      <c r="I98" s="42">
        <v>8.207907721</v>
      </c>
    </row>
    <row r="99">
      <c r="A99" s="1" t="s">
        <v>98</v>
      </c>
      <c r="B99" s="38">
        <v>605400.0</v>
      </c>
      <c r="C99" s="38">
        <v>3060.0</v>
      </c>
      <c r="D99" s="40">
        <v>5.157313463</v>
      </c>
      <c r="E99" s="41">
        <v>0.477777778</v>
      </c>
      <c r="F99" s="41">
        <v>0.187254902</v>
      </c>
      <c r="G99" s="41">
        <v>0.33496732</v>
      </c>
      <c r="H99" s="79">
        <f t="shared" si="1"/>
        <v>0.142810458</v>
      </c>
      <c r="I99" s="42">
        <v>-2.388043725</v>
      </c>
    </row>
    <row r="100">
      <c r="A100" s="1" t="s">
        <v>247</v>
      </c>
      <c r="B100" s="38">
        <v>605540.0</v>
      </c>
      <c r="C100" s="38">
        <v>1037.0</v>
      </c>
      <c r="D100" s="40">
        <v>5.156978827</v>
      </c>
      <c r="E100" s="41">
        <v>0.455159113</v>
      </c>
      <c r="F100" s="41">
        <v>0.208293153</v>
      </c>
      <c r="G100" s="41">
        <v>0.336547734</v>
      </c>
      <c r="H100" s="79">
        <f t="shared" si="1"/>
        <v>0.118611379</v>
      </c>
      <c r="I100" s="42">
        <v>23.27626854</v>
      </c>
    </row>
    <row r="101">
      <c r="A101" s="1" t="s">
        <v>207</v>
      </c>
      <c r="B101" s="38">
        <v>650633.0</v>
      </c>
      <c r="C101" s="38">
        <v>1666.0</v>
      </c>
      <c r="D101" s="40">
        <v>5.156507937</v>
      </c>
      <c r="E101" s="41">
        <v>0.443577431</v>
      </c>
      <c r="F101" s="41">
        <v>0.291716687</v>
      </c>
      <c r="G101" s="41">
        <v>0.264705882</v>
      </c>
      <c r="H101" s="79">
        <f t="shared" si="1"/>
        <v>0.178871549</v>
      </c>
      <c r="I101" s="42">
        <v>5.021655335</v>
      </c>
    </row>
    <row r="102">
      <c r="A102" s="1" t="s">
        <v>426</v>
      </c>
      <c r="B102" s="38">
        <v>642585.0</v>
      </c>
      <c r="C102" s="38">
        <v>970.0</v>
      </c>
      <c r="D102" s="40">
        <v>5.156487537</v>
      </c>
      <c r="E102" s="41">
        <v>0.515463918</v>
      </c>
      <c r="F102" s="41">
        <v>0.12371134</v>
      </c>
      <c r="G102" s="41">
        <v>0.360824742</v>
      </c>
      <c r="H102" s="79">
        <f t="shared" si="1"/>
        <v>0.154639176</v>
      </c>
      <c r="I102" s="42">
        <v>6.521300522</v>
      </c>
    </row>
    <row r="103" hidden="1">
      <c r="A103" s="1" t="s">
        <v>567</v>
      </c>
      <c r="B103" s="38">
        <v>592254.0</v>
      </c>
      <c r="C103" s="38">
        <v>284.0</v>
      </c>
      <c r="D103" s="40">
        <v>5.156318887</v>
      </c>
      <c r="E103" s="41">
        <v>0.454225352</v>
      </c>
      <c r="F103" s="41">
        <v>0.225352113</v>
      </c>
      <c r="G103" s="41">
        <v>0.320422535</v>
      </c>
      <c r="H103" s="79">
        <f t="shared" si="1"/>
        <v>0.133802817</v>
      </c>
      <c r="I103" s="42">
        <v>-1.152937281</v>
      </c>
    </row>
    <row r="104">
      <c r="A104" s="1" t="s">
        <v>326</v>
      </c>
      <c r="B104" s="38">
        <v>606160.0</v>
      </c>
      <c r="C104" s="38">
        <v>1245.0</v>
      </c>
      <c r="D104" s="40">
        <v>5.154968424</v>
      </c>
      <c r="E104" s="41">
        <v>0.461044177</v>
      </c>
      <c r="F104" s="41">
        <v>0.191164659</v>
      </c>
      <c r="G104" s="41">
        <v>0.347791165</v>
      </c>
      <c r="H104" s="79">
        <f t="shared" si="1"/>
        <v>0.113253012</v>
      </c>
      <c r="I104" s="42">
        <v>-8.62819245</v>
      </c>
    </row>
    <row r="105">
      <c r="A105" s="1" t="s">
        <v>150</v>
      </c>
      <c r="B105" s="38">
        <v>657746.0</v>
      </c>
      <c r="C105" s="38">
        <v>2594.0</v>
      </c>
      <c r="D105" s="40">
        <v>5.154849</v>
      </c>
      <c r="E105" s="41">
        <v>0.453739399</v>
      </c>
      <c r="F105" s="41">
        <v>0.247494217</v>
      </c>
      <c r="G105" s="41">
        <v>0.298766384</v>
      </c>
      <c r="H105" s="79">
        <f t="shared" si="1"/>
        <v>0.154973015</v>
      </c>
      <c r="I105" s="42">
        <v>-4.466456359</v>
      </c>
    </row>
    <row r="106">
      <c r="A106" s="1" t="s">
        <v>580</v>
      </c>
      <c r="B106" s="38">
        <v>676272.0</v>
      </c>
      <c r="C106" s="38">
        <v>1942.0</v>
      </c>
      <c r="D106" s="40">
        <v>5.153467612</v>
      </c>
      <c r="E106" s="41">
        <v>0.475798146</v>
      </c>
      <c r="F106" s="41">
        <v>0.198764161</v>
      </c>
      <c r="G106" s="41">
        <v>0.325437693</v>
      </c>
      <c r="H106" s="79">
        <f t="shared" si="1"/>
        <v>0.150360453</v>
      </c>
      <c r="I106" s="42">
        <v>3.336830573</v>
      </c>
    </row>
    <row r="107">
      <c r="A107" s="1" t="s">
        <v>153</v>
      </c>
      <c r="B107" s="38">
        <v>669302.0</v>
      </c>
      <c r="C107" s="38">
        <v>2900.0</v>
      </c>
      <c r="D107" s="40">
        <v>5.151391211</v>
      </c>
      <c r="E107" s="41">
        <v>0.454482759</v>
      </c>
      <c r="F107" s="41">
        <v>0.187241379</v>
      </c>
      <c r="G107" s="41">
        <v>0.358275862</v>
      </c>
      <c r="H107" s="79">
        <f t="shared" si="1"/>
        <v>0.096206897</v>
      </c>
      <c r="I107" s="42">
        <v>5.079494227</v>
      </c>
    </row>
    <row r="108">
      <c r="A108" s="1" t="s">
        <v>445</v>
      </c>
      <c r="B108" s="38">
        <v>663855.0</v>
      </c>
      <c r="C108" s="38">
        <v>1080.0</v>
      </c>
      <c r="D108" s="40">
        <v>5.151194431</v>
      </c>
      <c r="E108" s="41">
        <v>0.465740741</v>
      </c>
      <c r="F108" s="41">
        <v>0.230555556</v>
      </c>
      <c r="G108" s="41">
        <v>0.303703704</v>
      </c>
      <c r="H108" s="79">
        <f t="shared" si="1"/>
        <v>0.162037037</v>
      </c>
      <c r="I108" s="42">
        <v>3.770556757</v>
      </c>
    </row>
    <row r="109">
      <c r="A109" s="1" t="s">
        <v>965</v>
      </c>
      <c r="B109" s="38">
        <v>641585.0</v>
      </c>
      <c r="C109" s="38">
        <v>2191.0</v>
      </c>
      <c r="D109" s="40">
        <v>5.149266852</v>
      </c>
      <c r="E109" s="41">
        <v>0.486079416</v>
      </c>
      <c r="F109" s="41">
        <v>0.171611136</v>
      </c>
      <c r="G109" s="41">
        <v>0.342309448</v>
      </c>
      <c r="H109" s="79">
        <f t="shared" si="1"/>
        <v>0.143769968</v>
      </c>
      <c r="I109" s="42">
        <v>-14.82628884</v>
      </c>
    </row>
    <row r="110">
      <c r="A110" s="1" t="s">
        <v>348</v>
      </c>
      <c r="B110" s="38">
        <v>672578.0</v>
      </c>
      <c r="C110" s="38">
        <v>1243.0</v>
      </c>
      <c r="D110" s="40">
        <v>5.14815359</v>
      </c>
      <c r="E110" s="41">
        <v>0.474658085</v>
      </c>
      <c r="F110" s="41">
        <v>0.178600161</v>
      </c>
      <c r="G110" s="41">
        <v>0.346741754</v>
      </c>
      <c r="H110" s="79">
        <f t="shared" si="1"/>
        <v>0.127916331</v>
      </c>
      <c r="I110" s="42">
        <v>-0.763850965</v>
      </c>
    </row>
    <row r="111" hidden="1">
      <c r="A111" s="1" t="s">
        <v>231</v>
      </c>
      <c r="B111" s="38">
        <v>669211.0</v>
      </c>
      <c r="C111" s="38">
        <v>448.0</v>
      </c>
      <c r="D111" s="40">
        <v>5.148140355</v>
      </c>
      <c r="E111" s="41">
        <v>0.466517857</v>
      </c>
      <c r="F111" s="41">
        <v>0.185267857</v>
      </c>
      <c r="G111" s="41">
        <v>0.348214286</v>
      </c>
      <c r="H111" s="79">
        <f t="shared" si="1"/>
        <v>0.118303571</v>
      </c>
      <c r="I111" s="42">
        <v>-10.78222829</v>
      </c>
    </row>
    <row r="112">
      <c r="A112" s="1" t="s">
        <v>96</v>
      </c>
      <c r="B112" s="38">
        <v>690986.0</v>
      </c>
      <c r="C112" s="38">
        <v>577.0</v>
      </c>
      <c r="D112" s="40">
        <v>5.146301872</v>
      </c>
      <c r="E112" s="41">
        <v>0.457538995</v>
      </c>
      <c r="F112" s="41">
        <v>0.275563258</v>
      </c>
      <c r="G112" s="41">
        <v>0.266897747</v>
      </c>
      <c r="H112" s="79">
        <f t="shared" si="1"/>
        <v>0.190641248</v>
      </c>
      <c r="I112" s="42">
        <v>1.596661756</v>
      </c>
    </row>
    <row r="113">
      <c r="A113" s="1" t="s">
        <v>192</v>
      </c>
      <c r="B113" s="38">
        <v>642232.0</v>
      </c>
      <c r="C113" s="38">
        <v>1416.0</v>
      </c>
      <c r="D113" s="40">
        <v>5.14422321</v>
      </c>
      <c r="E113" s="41">
        <v>0.459039548</v>
      </c>
      <c r="F113" s="41">
        <v>0.201977401</v>
      </c>
      <c r="G113" s="41">
        <v>0.338983051</v>
      </c>
      <c r="H113" s="79">
        <f t="shared" si="1"/>
        <v>0.120056497</v>
      </c>
      <c r="I113" s="42">
        <v>-7.649282726</v>
      </c>
    </row>
    <row r="114" hidden="1">
      <c r="A114" s="1" t="s">
        <v>196</v>
      </c>
      <c r="B114" s="38">
        <v>670329.0</v>
      </c>
      <c r="C114" s="38">
        <v>266.0</v>
      </c>
      <c r="D114" s="40">
        <v>5.14178159</v>
      </c>
      <c r="E114" s="41">
        <v>0.488721805</v>
      </c>
      <c r="F114" s="41">
        <v>0.135338346</v>
      </c>
      <c r="G114" s="41">
        <v>0.37593985</v>
      </c>
      <c r="H114" s="79">
        <f t="shared" si="1"/>
        <v>0.112781955</v>
      </c>
      <c r="I114" s="42">
        <v>-5.385087121</v>
      </c>
    </row>
    <row r="115">
      <c r="A115" s="1" t="s">
        <v>443</v>
      </c>
      <c r="B115" s="38">
        <v>621366.0</v>
      </c>
      <c r="C115" s="38">
        <v>526.0</v>
      </c>
      <c r="D115" s="40">
        <v>5.139159527</v>
      </c>
      <c r="E115" s="41">
        <v>0.463878327</v>
      </c>
      <c r="F115" s="41">
        <v>0.260456274</v>
      </c>
      <c r="G115" s="41">
        <v>0.275665399</v>
      </c>
      <c r="H115" s="79">
        <f t="shared" si="1"/>
        <v>0.188212928</v>
      </c>
      <c r="I115" s="42">
        <v>7.811791366</v>
      </c>
    </row>
    <row r="116">
      <c r="A116" s="1" t="s">
        <v>869</v>
      </c>
      <c r="B116" s="38">
        <v>670950.0</v>
      </c>
      <c r="C116" s="38">
        <v>1338.0</v>
      </c>
      <c r="D116" s="40">
        <v>5.136911617</v>
      </c>
      <c r="E116" s="41">
        <v>0.483557549</v>
      </c>
      <c r="F116" s="41">
        <v>0.179372197</v>
      </c>
      <c r="G116" s="41">
        <v>0.337070254</v>
      </c>
      <c r="H116" s="79">
        <f t="shared" si="1"/>
        <v>0.146487295</v>
      </c>
      <c r="I116" s="42">
        <v>-1.138718451</v>
      </c>
    </row>
    <row r="117">
      <c r="A117" s="1" t="s">
        <v>44</v>
      </c>
      <c r="B117" s="38">
        <v>650911.0</v>
      </c>
      <c r="C117" s="38">
        <v>1450.0</v>
      </c>
      <c r="D117" s="40">
        <v>5.136158457</v>
      </c>
      <c r="E117" s="41">
        <v>0.454482759</v>
      </c>
      <c r="F117" s="41">
        <v>0.2</v>
      </c>
      <c r="G117" s="41">
        <v>0.345517241</v>
      </c>
      <c r="H117" s="79">
        <f t="shared" si="1"/>
        <v>0.108965518</v>
      </c>
      <c r="I117" s="42">
        <v>3.651239894</v>
      </c>
    </row>
    <row r="118">
      <c r="A118" s="1" t="s">
        <v>229</v>
      </c>
      <c r="B118" s="38">
        <v>645261.0</v>
      </c>
      <c r="C118" s="38">
        <v>2700.0</v>
      </c>
      <c r="D118" s="40">
        <v>5.135064366</v>
      </c>
      <c r="E118" s="41">
        <v>0.469259259</v>
      </c>
      <c r="F118" s="41">
        <v>0.198148148</v>
      </c>
      <c r="G118" s="41">
        <v>0.332592593</v>
      </c>
      <c r="H118" s="79">
        <f t="shared" si="1"/>
        <v>0.136666666</v>
      </c>
      <c r="I118" s="42">
        <v>0.201762596</v>
      </c>
    </row>
    <row r="119">
      <c r="A119" s="1" t="s">
        <v>563</v>
      </c>
      <c r="B119" s="38">
        <v>681867.0</v>
      </c>
      <c r="C119" s="38">
        <v>547.0</v>
      </c>
      <c r="D119" s="40">
        <v>5.134823594</v>
      </c>
      <c r="E119" s="41">
        <v>0.464351005</v>
      </c>
      <c r="F119" s="41">
        <v>0.244972578</v>
      </c>
      <c r="G119" s="41">
        <v>0.290676417</v>
      </c>
      <c r="H119" s="79">
        <f t="shared" si="1"/>
        <v>0.173674588</v>
      </c>
      <c r="I119" s="42">
        <v>-5.881039485</v>
      </c>
    </row>
    <row r="120" hidden="1">
      <c r="A120" s="1" t="s">
        <v>1090</v>
      </c>
      <c r="B120" s="38">
        <v>456713.0</v>
      </c>
      <c r="C120" s="38">
        <v>192.0</v>
      </c>
      <c r="D120" s="40">
        <v>5.134450771</v>
      </c>
      <c r="E120" s="41">
        <v>0.520833333</v>
      </c>
      <c r="F120" s="41">
        <v>0.151041667</v>
      </c>
      <c r="G120" s="41">
        <v>0.328125</v>
      </c>
      <c r="H120" s="79">
        <f t="shared" si="1"/>
        <v>0.192708333</v>
      </c>
      <c r="I120" s="42">
        <v>-2.394058999</v>
      </c>
    </row>
    <row r="121">
      <c r="A121" s="1" t="s">
        <v>73</v>
      </c>
      <c r="B121" s="38">
        <v>668881.0</v>
      </c>
      <c r="C121" s="38">
        <v>2050.0</v>
      </c>
      <c r="D121" s="40">
        <v>5.132685432</v>
      </c>
      <c r="E121" s="41">
        <v>0.475609756</v>
      </c>
      <c r="F121" s="41">
        <v>0.193658537</v>
      </c>
      <c r="G121" s="41">
        <v>0.330731707</v>
      </c>
      <c r="H121" s="79">
        <f t="shared" si="1"/>
        <v>0.144878049</v>
      </c>
      <c r="I121" s="42">
        <v>-5.967283161</v>
      </c>
    </row>
    <row r="122">
      <c r="A122" s="1" t="s">
        <v>632</v>
      </c>
      <c r="B122" s="38">
        <v>657240.0</v>
      </c>
      <c r="C122" s="38">
        <v>1204.0</v>
      </c>
      <c r="D122" s="40">
        <v>5.131708092</v>
      </c>
      <c r="E122" s="41">
        <v>0.455980066</v>
      </c>
      <c r="F122" s="41">
        <v>0.215116279</v>
      </c>
      <c r="G122" s="41">
        <v>0.328903654</v>
      </c>
      <c r="H122" s="79">
        <f t="shared" si="1"/>
        <v>0.127076412</v>
      </c>
      <c r="I122" s="42">
        <v>7.544181739</v>
      </c>
    </row>
    <row r="123">
      <c r="A123" s="1" t="s">
        <v>1036</v>
      </c>
      <c r="B123" s="38">
        <v>548389.0</v>
      </c>
      <c r="C123" s="38">
        <v>1444.0</v>
      </c>
      <c r="D123" s="40">
        <v>5.131683053</v>
      </c>
      <c r="E123" s="41">
        <v>0.444598338</v>
      </c>
      <c r="F123" s="41">
        <v>0.195290859</v>
      </c>
      <c r="G123" s="41">
        <v>0.360110803</v>
      </c>
      <c r="H123" s="79">
        <f t="shared" si="1"/>
        <v>0.084487535</v>
      </c>
      <c r="I123" s="42">
        <v>-12.87101971</v>
      </c>
    </row>
    <row r="124">
      <c r="A124" s="1" t="s">
        <v>254</v>
      </c>
      <c r="B124" s="38">
        <v>666374.0</v>
      </c>
      <c r="C124" s="38">
        <v>1289.0</v>
      </c>
      <c r="D124" s="40">
        <v>5.131262811</v>
      </c>
      <c r="E124" s="41">
        <v>0.489526765</v>
      </c>
      <c r="F124" s="41">
        <v>0.14352211</v>
      </c>
      <c r="G124" s="41">
        <v>0.366951125</v>
      </c>
      <c r="H124" s="79">
        <f t="shared" si="1"/>
        <v>0.12257564</v>
      </c>
      <c r="I124" s="42">
        <v>-13.86129046</v>
      </c>
    </row>
    <row r="125">
      <c r="A125" s="1" t="s">
        <v>95</v>
      </c>
      <c r="B125" s="38">
        <v>543243.0</v>
      </c>
      <c r="C125" s="38">
        <v>2792.0</v>
      </c>
      <c r="D125" s="40">
        <v>5.129456889</v>
      </c>
      <c r="E125" s="41">
        <v>0.46991404</v>
      </c>
      <c r="F125" s="41">
        <v>0.240687679</v>
      </c>
      <c r="G125" s="41">
        <v>0.289398281</v>
      </c>
      <c r="H125" s="79">
        <f t="shared" si="1"/>
        <v>0.180515759</v>
      </c>
      <c r="I125" s="42">
        <v>9.562081954</v>
      </c>
    </row>
    <row r="126" hidden="1">
      <c r="A126" s="1" t="s">
        <v>48</v>
      </c>
      <c r="B126" s="38">
        <v>552640.0</v>
      </c>
      <c r="C126" s="38">
        <v>184.0</v>
      </c>
      <c r="D126" s="40">
        <v>5.129343614</v>
      </c>
      <c r="E126" s="41">
        <v>0.467391304</v>
      </c>
      <c r="F126" s="41">
        <v>0.244565217</v>
      </c>
      <c r="G126" s="41">
        <v>0.288043478</v>
      </c>
      <c r="H126" s="79">
        <f t="shared" si="1"/>
        <v>0.179347826</v>
      </c>
      <c r="I126" s="42">
        <v>1.413563125</v>
      </c>
    </row>
    <row r="127">
      <c r="A127" s="1" t="s">
        <v>232</v>
      </c>
      <c r="B127" s="38">
        <v>579328.0</v>
      </c>
      <c r="C127" s="38">
        <v>2785.0</v>
      </c>
      <c r="D127" s="40">
        <v>5.127394314</v>
      </c>
      <c r="E127" s="41">
        <v>0.47037702</v>
      </c>
      <c r="F127" s="41">
        <v>0.168402154</v>
      </c>
      <c r="G127" s="41">
        <v>0.361220826</v>
      </c>
      <c r="H127" s="79">
        <f t="shared" si="1"/>
        <v>0.109156194</v>
      </c>
      <c r="I127" s="42">
        <v>-18.83828289</v>
      </c>
    </row>
    <row r="128">
      <c r="A128" s="1" t="s">
        <v>629</v>
      </c>
      <c r="B128" s="38">
        <v>518489.0</v>
      </c>
      <c r="C128" s="38">
        <v>891.0</v>
      </c>
      <c r="D128" s="40">
        <v>5.127043868</v>
      </c>
      <c r="E128" s="41">
        <v>0.47362514</v>
      </c>
      <c r="F128" s="41">
        <v>0.200897868</v>
      </c>
      <c r="G128" s="41">
        <v>0.325476992</v>
      </c>
      <c r="H128" s="79">
        <f t="shared" si="1"/>
        <v>0.148148148</v>
      </c>
      <c r="I128" s="42">
        <v>10.13277246</v>
      </c>
    </row>
    <row r="129">
      <c r="A129" s="1" t="s">
        <v>1091</v>
      </c>
      <c r="B129" s="38">
        <v>592741.0</v>
      </c>
      <c r="C129" s="38">
        <v>739.0</v>
      </c>
      <c r="D129" s="40">
        <v>5.124943543</v>
      </c>
      <c r="E129" s="41">
        <v>0.447902571</v>
      </c>
      <c r="F129" s="41">
        <v>0.266576455</v>
      </c>
      <c r="G129" s="41">
        <v>0.285520974</v>
      </c>
      <c r="H129" s="79">
        <f t="shared" si="1"/>
        <v>0.162381597</v>
      </c>
      <c r="I129" s="42">
        <v>-4.578393327</v>
      </c>
    </row>
    <row r="130" hidden="1">
      <c r="A130" s="1" t="s">
        <v>780</v>
      </c>
      <c r="B130" s="38">
        <v>686654.0</v>
      </c>
      <c r="C130" s="38">
        <v>205.0</v>
      </c>
      <c r="D130" s="40">
        <v>5.124297122</v>
      </c>
      <c r="E130" s="41">
        <v>0.502439024</v>
      </c>
      <c r="F130" s="41">
        <v>0.156097561</v>
      </c>
      <c r="G130" s="41">
        <v>0.341463415</v>
      </c>
      <c r="H130" s="79">
        <f t="shared" si="1"/>
        <v>0.160975609</v>
      </c>
      <c r="I130" s="42">
        <v>0.101306976</v>
      </c>
    </row>
    <row r="131">
      <c r="A131" s="1" t="s">
        <v>216</v>
      </c>
      <c r="B131" s="38">
        <v>621107.0</v>
      </c>
      <c r="C131" s="38">
        <v>2547.0</v>
      </c>
      <c r="D131" s="40">
        <v>5.122915778</v>
      </c>
      <c r="E131" s="41">
        <v>0.4393404</v>
      </c>
      <c r="F131" s="41">
        <v>0.233215548</v>
      </c>
      <c r="G131" s="41">
        <v>0.327444052</v>
      </c>
      <c r="H131" s="79">
        <f t="shared" si="1"/>
        <v>0.111896348</v>
      </c>
      <c r="I131" s="42">
        <v>19.46860564</v>
      </c>
    </row>
    <row r="132">
      <c r="A132" s="1" t="s">
        <v>122</v>
      </c>
      <c r="B132" s="38">
        <v>661395.0</v>
      </c>
      <c r="C132" s="38">
        <v>996.0</v>
      </c>
      <c r="D132" s="40">
        <v>5.12207313</v>
      </c>
      <c r="E132" s="41">
        <v>0.476907631</v>
      </c>
      <c r="F132" s="41">
        <v>0.184738956</v>
      </c>
      <c r="G132" s="41">
        <v>0.338353414</v>
      </c>
      <c r="H132" s="79">
        <f t="shared" si="1"/>
        <v>0.138554217</v>
      </c>
      <c r="I132" s="42">
        <v>6.408993481</v>
      </c>
    </row>
    <row r="133">
      <c r="A133" s="1" t="s">
        <v>195</v>
      </c>
      <c r="B133" s="38">
        <v>668678.0</v>
      </c>
      <c r="C133" s="38">
        <v>3222.0</v>
      </c>
      <c r="D133" s="40">
        <v>5.121997079</v>
      </c>
      <c r="E133" s="41">
        <v>0.456238361</v>
      </c>
      <c r="F133" s="41">
        <v>0.211980137</v>
      </c>
      <c r="G133" s="41">
        <v>0.331781502</v>
      </c>
      <c r="H133" s="79">
        <f t="shared" si="1"/>
        <v>0.124456859</v>
      </c>
      <c r="I133" s="42">
        <v>-13.44669364</v>
      </c>
    </row>
    <row r="134">
      <c r="A134" s="1" t="s">
        <v>435</v>
      </c>
      <c r="B134" s="38">
        <v>543056.0</v>
      </c>
      <c r="C134" s="38">
        <v>821.0</v>
      </c>
      <c r="D134" s="40">
        <v>5.121433557</v>
      </c>
      <c r="E134" s="41">
        <v>0.43361754</v>
      </c>
      <c r="F134" s="41">
        <v>0.244823386</v>
      </c>
      <c r="G134" s="41">
        <v>0.321559074</v>
      </c>
      <c r="H134" s="79">
        <f t="shared" si="1"/>
        <v>0.112058466</v>
      </c>
      <c r="I134" s="42">
        <v>2.002456975</v>
      </c>
    </row>
    <row r="135">
      <c r="A135" s="1" t="s">
        <v>461</v>
      </c>
      <c r="B135" s="38">
        <v>673540.0</v>
      </c>
      <c r="C135" s="38">
        <v>2763.0</v>
      </c>
      <c r="D135" s="40">
        <v>5.12016305</v>
      </c>
      <c r="E135" s="41">
        <v>0.465798046</v>
      </c>
      <c r="F135" s="41">
        <v>0.262395946</v>
      </c>
      <c r="G135" s="41">
        <v>0.271806008</v>
      </c>
      <c r="H135" s="79">
        <f t="shared" si="1"/>
        <v>0.193992038</v>
      </c>
      <c r="I135" s="42">
        <v>17.65535854</v>
      </c>
    </row>
    <row r="136" hidden="1">
      <c r="A136" s="1" t="s">
        <v>81</v>
      </c>
      <c r="B136" s="38">
        <v>663158.0</v>
      </c>
      <c r="C136" s="38">
        <v>443.0</v>
      </c>
      <c r="D136" s="40">
        <v>5.118463804</v>
      </c>
      <c r="E136" s="41">
        <v>0.460496614</v>
      </c>
      <c r="F136" s="41">
        <v>0.191873589</v>
      </c>
      <c r="G136" s="41">
        <v>0.347629797</v>
      </c>
      <c r="H136" s="79">
        <f t="shared" si="1"/>
        <v>0.112866817</v>
      </c>
      <c r="I136" s="42">
        <v>12.98066826</v>
      </c>
    </row>
    <row r="137">
      <c r="A137" s="1" t="s">
        <v>650</v>
      </c>
      <c r="B137" s="38">
        <v>640451.0</v>
      </c>
      <c r="C137" s="38">
        <v>951.0</v>
      </c>
      <c r="D137" s="40">
        <v>5.118177177</v>
      </c>
      <c r="E137" s="41">
        <v>0.480546793</v>
      </c>
      <c r="F137" s="41">
        <v>0.177707676</v>
      </c>
      <c r="G137" s="41">
        <v>0.341745531</v>
      </c>
      <c r="H137" s="79">
        <f t="shared" si="1"/>
        <v>0.138801262</v>
      </c>
      <c r="I137" s="42">
        <v>7.227905309</v>
      </c>
    </row>
    <row r="138" hidden="1">
      <c r="A138" s="1" t="s">
        <v>1092</v>
      </c>
      <c r="B138" s="38">
        <v>681402.0</v>
      </c>
      <c r="C138" s="38">
        <v>402.0</v>
      </c>
      <c r="D138" s="40">
        <v>5.117794403</v>
      </c>
      <c r="E138" s="41">
        <v>0.497512438</v>
      </c>
      <c r="F138" s="41">
        <v>0.176616915</v>
      </c>
      <c r="G138" s="41">
        <v>0.325870647</v>
      </c>
      <c r="H138" s="79">
        <f t="shared" si="1"/>
        <v>0.171641791</v>
      </c>
      <c r="I138" s="42">
        <v>-8.272533538</v>
      </c>
    </row>
    <row r="139">
      <c r="A139" s="1" t="s">
        <v>707</v>
      </c>
      <c r="B139" s="38">
        <v>641835.0</v>
      </c>
      <c r="C139" s="38">
        <v>801.0</v>
      </c>
      <c r="D139" s="40">
        <v>5.117359541</v>
      </c>
      <c r="E139" s="41">
        <v>0.470661673</v>
      </c>
      <c r="F139" s="41">
        <v>0.176029963</v>
      </c>
      <c r="G139" s="41">
        <v>0.353308365</v>
      </c>
      <c r="H139" s="79">
        <f t="shared" si="1"/>
        <v>0.117353308</v>
      </c>
      <c r="I139" s="42">
        <v>-3.337432704</v>
      </c>
    </row>
    <row r="140">
      <c r="A140" s="1" t="s">
        <v>726</v>
      </c>
      <c r="B140" s="38">
        <v>608717.0</v>
      </c>
      <c r="C140" s="38">
        <v>1344.0</v>
      </c>
      <c r="D140" s="40">
        <v>5.117296325</v>
      </c>
      <c r="E140" s="41">
        <v>0.463541667</v>
      </c>
      <c r="F140" s="41">
        <v>0.204613095</v>
      </c>
      <c r="G140" s="41">
        <v>0.331845238</v>
      </c>
      <c r="H140" s="79">
        <f t="shared" si="1"/>
        <v>0.131696429</v>
      </c>
      <c r="I140" s="42">
        <v>7.437274209</v>
      </c>
    </row>
    <row r="141">
      <c r="A141" s="1" t="s">
        <v>1025</v>
      </c>
      <c r="B141" s="38">
        <v>675627.0</v>
      </c>
      <c r="C141" s="38">
        <v>1135.0</v>
      </c>
      <c r="D141" s="40">
        <v>5.116943158</v>
      </c>
      <c r="E141" s="41">
        <v>0.440528634</v>
      </c>
      <c r="F141" s="41">
        <v>0.214977974</v>
      </c>
      <c r="G141" s="41">
        <v>0.344493392</v>
      </c>
      <c r="H141" s="79">
        <f t="shared" si="1"/>
        <v>0.096035242</v>
      </c>
      <c r="I141" s="42">
        <v>-18.10967535</v>
      </c>
    </row>
    <row r="142">
      <c r="A142" s="1" t="s">
        <v>652</v>
      </c>
      <c r="B142" s="38">
        <v>594580.0</v>
      </c>
      <c r="C142" s="38">
        <v>1013.0</v>
      </c>
      <c r="D142" s="40">
        <v>5.116714318</v>
      </c>
      <c r="E142" s="41">
        <v>0.453109576</v>
      </c>
      <c r="F142" s="41">
        <v>0.315893386</v>
      </c>
      <c r="G142" s="41">
        <v>0.230997038</v>
      </c>
      <c r="H142" s="79">
        <f t="shared" si="1"/>
        <v>0.222112538</v>
      </c>
      <c r="I142" s="42">
        <v>10.53793764</v>
      </c>
    </row>
    <row r="143">
      <c r="A143" s="1" t="s">
        <v>854</v>
      </c>
      <c r="B143" s="38">
        <v>656257.0</v>
      </c>
      <c r="C143" s="38">
        <v>675.0</v>
      </c>
      <c r="D143" s="40">
        <v>5.116134674</v>
      </c>
      <c r="E143" s="41">
        <v>0.46962963</v>
      </c>
      <c r="F143" s="41">
        <v>0.28</v>
      </c>
      <c r="G143" s="41">
        <v>0.25037037</v>
      </c>
      <c r="H143" s="79">
        <f t="shared" si="1"/>
        <v>0.21925926</v>
      </c>
      <c r="I143" s="42">
        <v>3.806685147</v>
      </c>
    </row>
    <row r="144">
      <c r="A144" s="1" t="s">
        <v>300</v>
      </c>
      <c r="B144" s="38">
        <v>506433.0</v>
      </c>
      <c r="C144" s="38">
        <v>2197.0</v>
      </c>
      <c r="D144" s="40">
        <v>5.115206222</v>
      </c>
      <c r="E144" s="41">
        <v>0.449248976</v>
      </c>
      <c r="F144" s="41">
        <v>0.243513883</v>
      </c>
      <c r="G144" s="41">
        <v>0.307237142</v>
      </c>
      <c r="H144" s="79">
        <f t="shared" si="1"/>
        <v>0.142011834</v>
      </c>
      <c r="I144" s="42">
        <v>-9.828755557</v>
      </c>
    </row>
    <row r="145">
      <c r="A145" s="1" t="s">
        <v>147</v>
      </c>
      <c r="B145" s="38">
        <v>608379.0</v>
      </c>
      <c r="C145" s="38">
        <v>2199.0</v>
      </c>
      <c r="D145" s="40">
        <v>5.115160981</v>
      </c>
      <c r="E145" s="41">
        <v>0.46111869</v>
      </c>
      <c r="F145" s="41">
        <v>0.173260573</v>
      </c>
      <c r="G145" s="41">
        <v>0.365620737</v>
      </c>
      <c r="H145" s="79">
        <f t="shared" si="1"/>
        <v>0.095497953</v>
      </c>
      <c r="I145" s="42">
        <v>14.20537739</v>
      </c>
    </row>
    <row r="146">
      <c r="A146" s="1" t="s">
        <v>256</v>
      </c>
      <c r="B146" s="38">
        <v>571760.0</v>
      </c>
      <c r="C146" s="38">
        <v>2580.0</v>
      </c>
      <c r="D146" s="40">
        <v>5.114928344</v>
      </c>
      <c r="E146" s="41">
        <v>0.486046512</v>
      </c>
      <c r="F146" s="41">
        <v>0.154263566</v>
      </c>
      <c r="G146" s="41">
        <v>0.359689922</v>
      </c>
      <c r="H146" s="79">
        <f t="shared" si="1"/>
        <v>0.12635659</v>
      </c>
      <c r="I146" s="42">
        <v>-18.68245096</v>
      </c>
    </row>
    <row r="147">
      <c r="A147" s="1" t="s">
        <v>663</v>
      </c>
      <c r="B147" s="38">
        <v>670059.0</v>
      </c>
      <c r="C147" s="38">
        <v>922.0</v>
      </c>
      <c r="D147" s="40">
        <v>5.11474108</v>
      </c>
      <c r="E147" s="41">
        <v>0.468546638</v>
      </c>
      <c r="F147" s="41">
        <v>0.260303688</v>
      </c>
      <c r="G147" s="41">
        <v>0.271149675</v>
      </c>
      <c r="H147" s="79">
        <f t="shared" si="1"/>
        <v>0.197396963</v>
      </c>
      <c r="I147" s="42">
        <v>0.426306733</v>
      </c>
    </row>
    <row r="148">
      <c r="A148" s="1" t="s">
        <v>1093</v>
      </c>
      <c r="B148" s="38">
        <v>660813.0</v>
      </c>
      <c r="C148" s="38">
        <v>921.0</v>
      </c>
      <c r="D148" s="40">
        <v>5.114228471</v>
      </c>
      <c r="E148" s="41">
        <v>0.469055375</v>
      </c>
      <c r="F148" s="41">
        <v>0.196525516</v>
      </c>
      <c r="G148" s="41">
        <v>0.33441911</v>
      </c>
      <c r="H148" s="79">
        <f t="shared" si="1"/>
        <v>0.134636265</v>
      </c>
      <c r="I148" s="42">
        <v>10.18908214</v>
      </c>
    </row>
    <row r="149">
      <c r="A149" s="1" t="s">
        <v>53</v>
      </c>
      <c r="B149" s="38">
        <v>642100.0</v>
      </c>
      <c r="C149" s="38">
        <v>778.0</v>
      </c>
      <c r="D149" s="40">
        <v>5.11287083</v>
      </c>
      <c r="E149" s="41">
        <v>0.462724936</v>
      </c>
      <c r="F149" s="41">
        <v>0.213367609</v>
      </c>
      <c r="G149" s="41">
        <v>0.323907455</v>
      </c>
      <c r="H149" s="79">
        <f t="shared" si="1"/>
        <v>0.138817481</v>
      </c>
      <c r="I149" s="42">
        <v>-1.432755472</v>
      </c>
    </row>
    <row r="150" hidden="1">
      <c r="A150" s="1" t="s">
        <v>359</v>
      </c>
      <c r="B150" s="38">
        <v>672391.0</v>
      </c>
      <c r="C150" s="38">
        <v>382.0</v>
      </c>
      <c r="D150" s="40">
        <v>5.111370196</v>
      </c>
      <c r="E150" s="41">
        <v>0.507853403</v>
      </c>
      <c r="F150" s="41">
        <v>0.120418848</v>
      </c>
      <c r="G150" s="41">
        <v>0.371727749</v>
      </c>
      <c r="H150" s="79">
        <f t="shared" si="1"/>
        <v>0.136125654</v>
      </c>
      <c r="I150" s="42">
        <v>-11.11036356</v>
      </c>
    </row>
    <row r="151">
      <c r="A151" s="1" t="s">
        <v>742</v>
      </c>
      <c r="B151" s="38">
        <v>606965.0</v>
      </c>
      <c r="C151" s="38">
        <v>675.0</v>
      </c>
      <c r="D151" s="40">
        <v>5.11003532</v>
      </c>
      <c r="E151" s="41">
        <v>0.438518519</v>
      </c>
      <c r="F151" s="41">
        <v>0.220740741</v>
      </c>
      <c r="G151" s="41">
        <v>0.340740741</v>
      </c>
      <c r="H151" s="79">
        <f t="shared" si="1"/>
        <v>0.097777778</v>
      </c>
      <c r="I151" s="42">
        <v>0.747542219</v>
      </c>
    </row>
    <row r="152">
      <c r="A152" s="1" t="s">
        <v>425</v>
      </c>
      <c r="B152" s="38">
        <v>621244.0</v>
      </c>
      <c r="C152" s="38">
        <v>2916.0</v>
      </c>
      <c r="D152" s="40">
        <v>5.109617463</v>
      </c>
      <c r="E152" s="41">
        <v>0.437585734</v>
      </c>
      <c r="F152" s="41">
        <v>0.299382716</v>
      </c>
      <c r="G152" s="41">
        <v>0.26303155</v>
      </c>
      <c r="H152" s="79">
        <f t="shared" si="1"/>
        <v>0.174554184</v>
      </c>
      <c r="I152" s="42">
        <v>-1.316958085</v>
      </c>
    </row>
    <row r="153" hidden="1">
      <c r="A153" s="1" t="s">
        <v>249</v>
      </c>
      <c r="B153" s="38">
        <v>592779.0</v>
      </c>
      <c r="C153" s="38">
        <v>435.0</v>
      </c>
      <c r="D153" s="40">
        <v>5.109386152</v>
      </c>
      <c r="E153" s="41">
        <v>0.489655172</v>
      </c>
      <c r="F153" s="41">
        <v>0.232183908</v>
      </c>
      <c r="G153" s="41">
        <v>0.27816092</v>
      </c>
      <c r="H153" s="79">
        <f t="shared" si="1"/>
        <v>0.211494252</v>
      </c>
      <c r="I153" s="42">
        <v>6.808070866</v>
      </c>
    </row>
    <row r="154" hidden="1">
      <c r="A154" s="1" t="s">
        <v>436</v>
      </c>
      <c r="B154" s="38">
        <v>547184.0</v>
      </c>
      <c r="C154" s="38">
        <v>271.0</v>
      </c>
      <c r="D154" s="40">
        <v>5.107665915</v>
      </c>
      <c r="E154" s="41">
        <v>0.387453875</v>
      </c>
      <c r="F154" s="41">
        <v>0.3099631</v>
      </c>
      <c r="G154" s="41">
        <v>0.302583026</v>
      </c>
      <c r="H154" s="79">
        <f t="shared" si="1"/>
        <v>0.084870849</v>
      </c>
      <c r="I154" s="42">
        <v>2.794305708</v>
      </c>
    </row>
    <row r="155" hidden="1">
      <c r="A155" s="1" t="s">
        <v>91</v>
      </c>
      <c r="B155" s="38">
        <v>669276.0</v>
      </c>
      <c r="C155" s="38">
        <v>389.0</v>
      </c>
      <c r="D155" s="40">
        <v>5.107290961</v>
      </c>
      <c r="E155" s="41">
        <v>0.483290488</v>
      </c>
      <c r="F155" s="41">
        <v>0.161953728</v>
      </c>
      <c r="G155" s="41">
        <v>0.354755784</v>
      </c>
      <c r="H155" s="79">
        <f t="shared" si="1"/>
        <v>0.128534704</v>
      </c>
      <c r="I155" s="42">
        <v>-3.145418547</v>
      </c>
    </row>
    <row r="156">
      <c r="A156" s="1" t="s">
        <v>124</v>
      </c>
      <c r="B156" s="38">
        <v>663941.0</v>
      </c>
      <c r="C156" s="38">
        <v>1292.0</v>
      </c>
      <c r="D156" s="40">
        <v>5.105090887</v>
      </c>
      <c r="E156" s="41">
        <v>0.452786378</v>
      </c>
      <c r="F156" s="41">
        <v>0.243034056</v>
      </c>
      <c r="G156" s="41">
        <v>0.304179567</v>
      </c>
      <c r="H156" s="79">
        <f t="shared" si="1"/>
        <v>0.148606811</v>
      </c>
      <c r="I156" s="42">
        <v>-12.67464369</v>
      </c>
    </row>
    <row r="157">
      <c r="A157" s="1" t="s">
        <v>136</v>
      </c>
      <c r="B157" s="38">
        <v>660271.0</v>
      </c>
      <c r="C157" s="38">
        <v>2072.0</v>
      </c>
      <c r="D157" s="40">
        <v>5.103453767</v>
      </c>
      <c r="E157" s="41">
        <v>0.452220077</v>
      </c>
      <c r="F157" s="41">
        <v>0.294401544</v>
      </c>
      <c r="G157" s="41">
        <v>0.253378378</v>
      </c>
      <c r="H157" s="79">
        <f t="shared" si="1"/>
        <v>0.198841699</v>
      </c>
      <c r="I157" s="42">
        <v>23.65176571</v>
      </c>
    </row>
    <row r="158">
      <c r="A158" s="1" t="s">
        <v>631</v>
      </c>
      <c r="B158" s="38">
        <v>669212.0</v>
      </c>
      <c r="C158" s="38">
        <v>1176.0</v>
      </c>
      <c r="D158" s="40">
        <v>5.102894474</v>
      </c>
      <c r="E158" s="41">
        <v>0.43707483</v>
      </c>
      <c r="F158" s="41">
        <v>0.204931973</v>
      </c>
      <c r="G158" s="41">
        <v>0.357993197</v>
      </c>
      <c r="H158" s="79">
        <f t="shared" si="1"/>
        <v>0.079081633</v>
      </c>
      <c r="I158" s="42">
        <v>-5.087915319</v>
      </c>
    </row>
    <row r="159">
      <c r="A159" s="1" t="s">
        <v>204</v>
      </c>
      <c r="B159" s="38">
        <v>669438.0</v>
      </c>
      <c r="C159" s="38">
        <v>948.0</v>
      </c>
      <c r="D159" s="40">
        <v>5.101961111</v>
      </c>
      <c r="E159" s="41">
        <v>0.46835443</v>
      </c>
      <c r="F159" s="41">
        <v>0.19092827</v>
      </c>
      <c r="G159" s="41">
        <v>0.3407173</v>
      </c>
      <c r="H159" s="79">
        <f t="shared" si="1"/>
        <v>0.12763713</v>
      </c>
      <c r="I159" s="42">
        <v>-6.373443845</v>
      </c>
    </row>
    <row r="160">
      <c r="A160" s="1" t="s">
        <v>678</v>
      </c>
      <c r="B160" s="38">
        <v>554340.0</v>
      </c>
      <c r="C160" s="38">
        <v>1092.0</v>
      </c>
      <c r="D160" s="40">
        <v>5.101956772</v>
      </c>
      <c r="E160" s="41">
        <v>0.455128205</v>
      </c>
      <c r="F160" s="41">
        <v>0.188644689</v>
      </c>
      <c r="G160" s="41">
        <v>0.356227106</v>
      </c>
      <c r="H160" s="79">
        <f t="shared" si="1"/>
        <v>0.098901099</v>
      </c>
      <c r="I160" s="42">
        <v>-11.10811603</v>
      </c>
    </row>
    <row r="161">
      <c r="A161" s="1" t="s">
        <v>151</v>
      </c>
      <c r="B161" s="38">
        <v>571948.0</v>
      </c>
      <c r="C161" s="38">
        <v>1016.0</v>
      </c>
      <c r="D161" s="40">
        <v>5.10165285</v>
      </c>
      <c r="E161" s="41">
        <v>0.451771654</v>
      </c>
      <c r="F161" s="41">
        <v>0.203740157</v>
      </c>
      <c r="G161" s="41">
        <v>0.344488189</v>
      </c>
      <c r="H161" s="79">
        <f t="shared" si="1"/>
        <v>0.107283465</v>
      </c>
      <c r="I161" s="42">
        <v>10.8491279</v>
      </c>
    </row>
    <row r="162">
      <c r="A162" s="1" t="s">
        <v>208</v>
      </c>
      <c r="B162" s="38">
        <v>605447.0</v>
      </c>
      <c r="C162" s="38">
        <v>904.0</v>
      </c>
      <c r="D162" s="40">
        <v>5.100751087</v>
      </c>
      <c r="E162" s="41">
        <v>0.480088496</v>
      </c>
      <c r="F162" s="41">
        <v>0.182522124</v>
      </c>
      <c r="G162" s="41">
        <v>0.337389381</v>
      </c>
      <c r="H162" s="79">
        <f t="shared" si="1"/>
        <v>0.142699115</v>
      </c>
      <c r="I162" s="42">
        <v>-4.415617869</v>
      </c>
    </row>
    <row r="163">
      <c r="A163" s="1" t="s">
        <v>183</v>
      </c>
      <c r="B163" s="38">
        <v>670280.0</v>
      </c>
      <c r="C163" s="38">
        <v>1083.0</v>
      </c>
      <c r="D163" s="40">
        <v>5.10046513</v>
      </c>
      <c r="E163" s="41">
        <v>0.467220683</v>
      </c>
      <c r="F163" s="41">
        <v>0.166204986</v>
      </c>
      <c r="G163" s="41">
        <v>0.366574331</v>
      </c>
      <c r="H163" s="79">
        <f t="shared" si="1"/>
        <v>0.100646352</v>
      </c>
      <c r="I163" s="42">
        <v>-0.565307229</v>
      </c>
    </row>
    <row r="164" hidden="1">
      <c r="A164" s="1" t="s">
        <v>975</v>
      </c>
      <c r="B164" s="38">
        <v>650671.0</v>
      </c>
      <c r="C164" s="38">
        <v>159.0</v>
      </c>
      <c r="D164" s="40">
        <v>5.098254195</v>
      </c>
      <c r="E164" s="41">
        <v>0.559748428</v>
      </c>
      <c r="F164" s="41">
        <v>0.144654088</v>
      </c>
      <c r="G164" s="41">
        <v>0.295597484</v>
      </c>
      <c r="H164" s="79">
        <f t="shared" si="1"/>
        <v>0.264150944</v>
      </c>
      <c r="I164" s="42">
        <v>0.165411549</v>
      </c>
    </row>
    <row r="165">
      <c r="A165" s="1" t="s">
        <v>41</v>
      </c>
      <c r="B165" s="38">
        <v>547973.0</v>
      </c>
      <c r="C165" s="38">
        <v>997.0</v>
      </c>
      <c r="D165" s="40">
        <v>5.097287895</v>
      </c>
      <c r="E165" s="41">
        <v>0.504513541</v>
      </c>
      <c r="F165" s="41">
        <v>0.132397192</v>
      </c>
      <c r="G165" s="41">
        <v>0.363089268</v>
      </c>
      <c r="H165" s="79">
        <f t="shared" si="1"/>
        <v>0.141424273</v>
      </c>
      <c r="I165" s="42">
        <v>12.59390176</v>
      </c>
    </row>
    <row r="166">
      <c r="A166" s="1" t="s">
        <v>686</v>
      </c>
      <c r="B166" s="38">
        <v>664875.0</v>
      </c>
      <c r="C166" s="38">
        <v>1162.0</v>
      </c>
      <c r="D166" s="40">
        <v>5.095915225</v>
      </c>
      <c r="E166" s="41">
        <v>0.428571429</v>
      </c>
      <c r="F166" s="41">
        <v>0.339931153</v>
      </c>
      <c r="G166" s="41">
        <v>0.231497418</v>
      </c>
      <c r="H166" s="79">
        <f t="shared" si="1"/>
        <v>0.197074011</v>
      </c>
      <c r="I166" s="42">
        <v>-4.015772707</v>
      </c>
    </row>
    <row r="167">
      <c r="A167" s="1" t="s">
        <v>475</v>
      </c>
      <c r="B167" s="38">
        <v>605130.0</v>
      </c>
      <c r="C167" s="38">
        <v>1185.0</v>
      </c>
      <c r="D167" s="40">
        <v>5.095662138</v>
      </c>
      <c r="E167" s="41">
        <v>0.460759494</v>
      </c>
      <c r="F167" s="41">
        <v>0.2</v>
      </c>
      <c r="G167" s="41">
        <v>0.339240506</v>
      </c>
      <c r="H167" s="79">
        <f t="shared" si="1"/>
        <v>0.121518988</v>
      </c>
      <c r="I167" s="42">
        <v>-0.469301926</v>
      </c>
    </row>
    <row r="168">
      <c r="A168" s="1" t="s">
        <v>292</v>
      </c>
      <c r="B168" s="38">
        <v>592773.0</v>
      </c>
      <c r="C168" s="38">
        <v>854.0</v>
      </c>
      <c r="D168" s="40">
        <v>5.094897444</v>
      </c>
      <c r="E168" s="41">
        <v>0.461358314</v>
      </c>
      <c r="F168" s="41">
        <v>0.173302108</v>
      </c>
      <c r="G168" s="41">
        <v>0.365339578</v>
      </c>
      <c r="H168" s="79">
        <f t="shared" si="1"/>
        <v>0.096018736</v>
      </c>
      <c r="I168" s="42">
        <v>3.429791667</v>
      </c>
    </row>
    <row r="169">
      <c r="A169" s="1" t="s">
        <v>155</v>
      </c>
      <c r="B169" s="38">
        <v>592332.0</v>
      </c>
      <c r="C169" s="38">
        <v>3037.0</v>
      </c>
      <c r="D169" s="40">
        <v>5.091068171</v>
      </c>
      <c r="E169" s="41">
        <v>0.449785973</v>
      </c>
      <c r="F169" s="41">
        <v>0.190977939</v>
      </c>
      <c r="G169" s="41">
        <v>0.359236088</v>
      </c>
      <c r="H169" s="79">
        <f t="shared" si="1"/>
        <v>0.090549885</v>
      </c>
      <c r="I169" s="42">
        <v>-1.287207025</v>
      </c>
    </row>
    <row r="170">
      <c r="A170" s="1" t="s">
        <v>428</v>
      </c>
      <c r="B170" s="38">
        <v>670102.0</v>
      </c>
      <c r="C170" s="38">
        <v>533.0</v>
      </c>
      <c r="D170" s="40">
        <v>5.090784366</v>
      </c>
      <c r="E170" s="41">
        <v>0.448405253</v>
      </c>
      <c r="F170" s="41">
        <v>0.204502814</v>
      </c>
      <c r="G170" s="41">
        <v>0.347091932</v>
      </c>
      <c r="H170" s="79">
        <f t="shared" si="1"/>
        <v>0.101313321</v>
      </c>
      <c r="I170" s="42">
        <v>5.732470514</v>
      </c>
    </row>
    <row r="171">
      <c r="A171" s="1" t="s">
        <v>584</v>
      </c>
      <c r="B171" s="38">
        <v>657006.0</v>
      </c>
      <c r="C171" s="38">
        <v>2571.0</v>
      </c>
      <c r="D171" s="40">
        <v>5.090187375</v>
      </c>
      <c r="E171" s="41">
        <v>0.448463633</v>
      </c>
      <c r="F171" s="41">
        <v>0.227926877</v>
      </c>
      <c r="G171" s="41">
        <v>0.32360949</v>
      </c>
      <c r="H171" s="79">
        <f t="shared" si="1"/>
        <v>0.124854143</v>
      </c>
      <c r="I171" s="42">
        <v>6.930379144</v>
      </c>
    </row>
    <row r="172">
      <c r="A172" s="1" t="s">
        <v>614</v>
      </c>
      <c r="B172" s="38">
        <v>663362.0</v>
      </c>
      <c r="C172" s="38">
        <v>669.0</v>
      </c>
      <c r="D172" s="40">
        <v>5.089994803</v>
      </c>
      <c r="E172" s="41">
        <v>0.452914798</v>
      </c>
      <c r="F172" s="41">
        <v>0.200298954</v>
      </c>
      <c r="G172" s="41">
        <v>0.346786248</v>
      </c>
      <c r="H172" s="79">
        <f t="shared" si="1"/>
        <v>0.10612855</v>
      </c>
      <c r="I172" s="42">
        <v>5.844515647</v>
      </c>
    </row>
    <row r="173">
      <c r="A173" s="1" t="s">
        <v>144</v>
      </c>
      <c r="B173" s="38">
        <v>670167.0</v>
      </c>
      <c r="C173" s="38">
        <v>814.0</v>
      </c>
      <c r="D173" s="40">
        <v>5.086260579</v>
      </c>
      <c r="E173" s="41">
        <v>0.461916462</v>
      </c>
      <c r="F173" s="41">
        <v>0.192874693</v>
      </c>
      <c r="G173" s="41">
        <v>0.345208845</v>
      </c>
      <c r="H173" s="79">
        <f t="shared" si="1"/>
        <v>0.116707617</v>
      </c>
      <c r="I173" s="42">
        <v>1.789817372</v>
      </c>
    </row>
    <row r="174">
      <c r="A174" s="1" t="s">
        <v>280</v>
      </c>
      <c r="B174" s="38">
        <v>608032.0</v>
      </c>
      <c r="C174" s="38">
        <v>1113.0</v>
      </c>
      <c r="D174" s="40">
        <v>5.086177847</v>
      </c>
      <c r="E174" s="41">
        <v>0.475292004</v>
      </c>
      <c r="F174" s="41">
        <v>0.182389937</v>
      </c>
      <c r="G174" s="41">
        <v>0.342318059</v>
      </c>
      <c r="H174" s="79">
        <f t="shared" si="1"/>
        <v>0.132973945</v>
      </c>
      <c r="I174" s="42">
        <v>-2.391250555</v>
      </c>
    </row>
    <row r="175" hidden="1">
      <c r="A175" s="1" t="s">
        <v>1094</v>
      </c>
      <c r="B175" s="38">
        <v>594577.0</v>
      </c>
      <c r="C175" s="38">
        <v>447.0</v>
      </c>
      <c r="D175" s="40">
        <v>5.086027651</v>
      </c>
      <c r="E175" s="41">
        <v>0.44966443</v>
      </c>
      <c r="F175" s="41">
        <v>0.230425056</v>
      </c>
      <c r="G175" s="41">
        <v>0.319910515</v>
      </c>
      <c r="H175" s="79">
        <f t="shared" si="1"/>
        <v>0.129753915</v>
      </c>
      <c r="I175" s="42">
        <v>-6.112203533</v>
      </c>
    </row>
    <row r="176">
      <c r="A176" s="1" t="s">
        <v>605</v>
      </c>
      <c r="B176" s="38">
        <v>489119.0</v>
      </c>
      <c r="C176" s="38">
        <v>1857.0</v>
      </c>
      <c r="D176" s="40">
        <v>5.084366507</v>
      </c>
      <c r="E176" s="41">
        <v>0.441572429</v>
      </c>
      <c r="F176" s="41">
        <v>0.210554658</v>
      </c>
      <c r="G176" s="41">
        <v>0.347872913</v>
      </c>
      <c r="H176" s="79">
        <f t="shared" si="1"/>
        <v>0.093699516</v>
      </c>
      <c r="I176" s="42">
        <v>21.98930173</v>
      </c>
    </row>
    <row r="177">
      <c r="A177" s="1" t="s">
        <v>263</v>
      </c>
      <c r="B177" s="38">
        <v>694297.0</v>
      </c>
      <c r="C177" s="38">
        <v>1601.0</v>
      </c>
      <c r="D177" s="40">
        <v>5.084315096</v>
      </c>
      <c r="E177" s="41">
        <v>0.44222361</v>
      </c>
      <c r="F177" s="41">
        <v>0.280449719</v>
      </c>
      <c r="G177" s="41">
        <v>0.277326671</v>
      </c>
      <c r="H177" s="79">
        <f t="shared" si="1"/>
        <v>0.164896939</v>
      </c>
      <c r="I177" s="42">
        <v>-12.93518693</v>
      </c>
    </row>
    <row r="178">
      <c r="A178" s="1" t="s">
        <v>323</v>
      </c>
      <c r="B178" s="38">
        <v>691587.0</v>
      </c>
      <c r="C178" s="38">
        <v>1522.0</v>
      </c>
      <c r="D178" s="40">
        <v>5.08252076</v>
      </c>
      <c r="E178" s="41">
        <v>0.46911958</v>
      </c>
      <c r="F178" s="41">
        <v>0.164257556</v>
      </c>
      <c r="G178" s="41">
        <v>0.366622865</v>
      </c>
      <c r="H178" s="79">
        <f t="shared" si="1"/>
        <v>0.102496715</v>
      </c>
      <c r="I178" s="42">
        <v>0.729035181</v>
      </c>
    </row>
    <row r="179" hidden="1">
      <c r="A179" s="1" t="s">
        <v>288</v>
      </c>
      <c r="B179" s="38">
        <v>641755.0</v>
      </c>
      <c r="C179" s="38">
        <v>291.0</v>
      </c>
      <c r="D179" s="40">
        <v>5.082447979</v>
      </c>
      <c r="E179" s="41">
        <v>0.439862543</v>
      </c>
      <c r="F179" s="41">
        <v>0.189003436</v>
      </c>
      <c r="G179" s="41">
        <v>0.371134021</v>
      </c>
      <c r="H179" s="79">
        <f t="shared" si="1"/>
        <v>0.068728522</v>
      </c>
      <c r="I179" s="42">
        <v>-0.910462575</v>
      </c>
    </row>
    <row r="180">
      <c r="A180" s="1" t="s">
        <v>99</v>
      </c>
      <c r="B180" s="38">
        <v>592791.0</v>
      </c>
      <c r="C180" s="38">
        <v>2511.0</v>
      </c>
      <c r="D180" s="40">
        <v>5.082386283</v>
      </c>
      <c r="E180" s="41">
        <v>0.425328554</v>
      </c>
      <c r="F180" s="41">
        <v>0.270410195</v>
      </c>
      <c r="G180" s="41">
        <v>0.30426125</v>
      </c>
      <c r="H180" s="79">
        <f t="shared" si="1"/>
        <v>0.121067304</v>
      </c>
      <c r="I180" s="42">
        <v>-2.02115656</v>
      </c>
    </row>
    <row r="181">
      <c r="A181" s="1" t="s">
        <v>1095</v>
      </c>
      <c r="B181" s="38">
        <v>622250.0</v>
      </c>
      <c r="C181" s="38">
        <v>809.0</v>
      </c>
      <c r="D181" s="40">
        <v>5.082059135</v>
      </c>
      <c r="E181" s="41">
        <v>0.48578492</v>
      </c>
      <c r="F181" s="41">
        <v>0.160692213</v>
      </c>
      <c r="G181" s="41">
        <v>0.353522868</v>
      </c>
      <c r="H181" s="79">
        <f t="shared" si="1"/>
        <v>0.132262052</v>
      </c>
      <c r="I181" s="42">
        <v>-3.786597604</v>
      </c>
    </row>
    <row r="182">
      <c r="A182" s="1" t="s">
        <v>146</v>
      </c>
      <c r="B182" s="38">
        <v>623437.0</v>
      </c>
      <c r="C182" s="38">
        <v>1039.0</v>
      </c>
      <c r="D182" s="40">
        <v>5.080890238</v>
      </c>
      <c r="E182" s="41">
        <v>0.467757459</v>
      </c>
      <c r="F182" s="41">
        <v>0.170356112</v>
      </c>
      <c r="G182" s="41">
        <v>0.361886429</v>
      </c>
      <c r="H182" s="79">
        <f t="shared" si="1"/>
        <v>0.10587103</v>
      </c>
      <c r="I182" s="42">
        <v>4.69306096</v>
      </c>
    </row>
    <row r="183">
      <c r="A183" s="1" t="s">
        <v>339</v>
      </c>
      <c r="B183" s="38">
        <v>686613.0</v>
      </c>
      <c r="C183" s="38">
        <v>2699.0</v>
      </c>
      <c r="D183" s="40">
        <v>5.07966698</v>
      </c>
      <c r="E183" s="41">
        <v>0.460170433</v>
      </c>
      <c r="F183" s="41">
        <v>0.19414598</v>
      </c>
      <c r="G183" s="41">
        <v>0.345683587</v>
      </c>
      <c r="H183" s="79">
        <f t="shared" si="1"/>
        <v>0.114486846</v>
      </c>
      <c r="I183" s="42">
        <v>0.935004415</v>
      </c>
    </row>
    <row r="184">
      <c r="A184" s="1" t="s">
        <v>382</v>
      </c>
      <c r="B184" s="38">
        <v>656288.0</v>
      </c>
      <c r="C184" s="38">
        <v>2068.0</v>
      </c>
      <c r="D184" s="40">
        <v>5.079413674</v>
      </c>
      <c r="E184" s="41">
        <v>0.457930368</v>
      </c>
      <c r="F184" s="41">
        <v>0.174564797</v>
      </c>
      <c r="G184" s="41">
        <v>0.367504836</v>
      </c>
      <c r="H184" s="79">
        <f t="shared" si="1"/>
        <v>0.090425532</v>
      </c>
      <c r="I184" s="42">
        <v>12.34758701</v>
      </c>
    </row>
    <row r="185">
      <c r="A185" s="1" t="s">
        <v>154</v>
      </c>
      <c r="B185" s="38">
        <v>445276.0</v>
      </c>
      <c r="C185" s="38">
        <v>704.0</v>
      </c>
      <c r="D185" s="40">
        <v>5.077569574</v>
      </c>
      <c r="E185" s="41">
        <v>0.490056818</v>
      </c>
      <c r="F185" s="41">
        <v>0.190340909</v>
      </c>
      <c r="G185" s="41">
        <v>0.319602273</v>
      </c>
      <c r="H185" s="79">
        <f t="shared" si="1"/>
        <v>0.170454545</v>
      </c>
      <c r="I185" s="42">
        <v>-5.606220113</v>
      </c>
    </row>
    <row r="186">
      <c r="A186" s="1" t="s">
        <v>895</v>
      </c>
      <c r="B186" s="38">
        <v>663773.0</v>
      </c>
      <c r="C186" s="38">
        <v>1119.0</v>
      </c>
      <c r="D186" s="40">
        <v>5.077398456</v>
      </c>
      <c r="E186" s="41">
        <v>0.433422699</v>
      </c>
      <c r="F186" s="41">
        <v>0.207327971</v>
      </c>
      <c r="G186" s="41">
        <v>0.35924933</v>
      </c>
      <c r="H186" s="79">
        <f t="shared" si="1"/>
        <v>0.074173369</v>
      </c>
      <c r="I186" s="42">
        <v>-3.025340313</v>
      </c>
    </row>
    <row r="187">
      <c r="A187" s="1" t="s">
        <v>240</v>
      </c>
      <c r="B187" s="38">
        <v>641329.0</v>
      </c>
      <c r="C187" s="38">
        <v>778.0</v>
      </c>
      <c r="D187" s="40">
        <v>5.077196905</v>
      </c>
      <c r="E187" s="41">
        <v>0.466580977</v>
      </c>
      <c r="F187" s="41">
        <v>0.165809769</v>
      </c>
      <c r="G187" s="41">
        <v>0.367609254</v>
      </c>
      <c r="H187" s="79">
        <f t="shared" si="1"/>
        <v>0.098971723</v>
      </c>
      <c r="I187" s="42">
        <v>7.206171844</v>
      </c>
    </row>
    <row r="188">
      <c r="A188" s="1" t="s">
        <v>298</v>
      </c>
      <c r="B188" s="38">
        <v>594902.0</v>
      </c>
      <c r="C188" s="38">
        <v>1372.0</v>
      </c>
      <c r="D188" s="40">
        <v>5.077169498</v>
      </c>
      <c r="E188" s="41">
        <v>0.445335277</v>
      </c>
      <c r="F188" s="41">
        <v>0.190962099</v>
      </c>
      <c r="G188" s="41">
        <v>0.363702624</v>
      </c>
      <c r="H188" s="79">
        <f t="shared" si="1"/>
        <v>0.081632653</v>
      </c>
      <c r="I188" s="42">
        <v>-14.47705081</v>
      </c>
    </row>
    <row r="189" hidden="1">
      <c r="A189" s="1" t="s">
        <v>963</v>
      </c>
      <c r="B189" s="38">
        <v>663462.0</v>
      </c>
      <c r="C189" s="38">
        <v>471.0</v>
      </c>
      <c r="D189" s="40">
        <v>5.075629505</v>
      </c>
      <c r="E189" s="41">
        <v>0.422505308</v>
      </c>
      <c r="F189" s="41">
        <v>0.269639066</v>
      </c>
      <c r="G189" s="41">
        <v>0.307855626</v>
      </c>
      <c r="H189" s="79">
        <f t="shared" si="1"/>
        <v>0.114649682</v>
      </c>
      <c r="I189" s="42">
        <v>3.538167999</v>
      </c>
    </row>
    <row r="190">
      <c r="A190" s="1" t="s">
        <v>440</v>
      </c>
      <c r="B190" s="38">
        <v>542888.0</v>
      </c>
      <c r="C190" s="38">
        <v>788.0</v>
      </c>
      <c r="D190" s="40">
        <v>5.075404522</v>
      </c>
      <c r="E190" s="41">
        <v>0.44035533</v>
      </c>
      <c r="F190" s="41">
        <v>0.214467005</v>
      </c>
      <c r="G190" s="41">
        <v>0.345177665</v>
      </c>
      <c r="H190" s="79">
        <f t="shared" si="1"/>
        <v>0.095177665</v>
      </c>
      <c r="I190" s="42">
        <v>15.98655061</v>
      </c>
    </row>
    <row r="191" hidden="1">
      <c r="A191" s="1" t="s">
        <v>518</v>
      </c>
      <c r="B191" s="38">
        <v>680689.0</v>
      </c>
      <c r="C191" s="38">
        <v>327.0</v>
      </c>
      <c r="D191" s="40">
        <v>5.074862101</v>
      </c>
      <c r="E191" s="41">
        <v>0.489296636</v>
      </c>
      <c r="F191" s="41">
        <v>0.149847095</v>
      </c>
      <c r="G191" s="41">
        <v>0.360856269</v>
      </c>
      <c r="H191" s="79">
        <f t="shared" si="1"/>
        <v>0.128440367</v>
      </c>
      <c r="I191" s="42">
        <v>3.779742573</v>
      </c>
    </row>
    <row r="192">
      <c r="A192" s="1" t="s">
        <v>194</v>
      </c>
      <c r="B192" s="38">
        <v>666157.0</v>
      </c>
      <c r="C192" s="38">
        <v>638.0</v>
      </c>
      <c r="D192" s="40">
        <v>5.074662696</v>
      </c>
      <c r="E192" s="41">
        <v>0.435736677</v>
      </c>
      <c r="F192" s="41">
        <v>0.211598746</v>
      </c>
      <c r="G192" s="41">
        <v>0.352664577</v>
      </c>
      <c r="H192" s="79">
        <f t="shared" si="1"/>
        <v>0.0830721</v>
      </c>
      <c r="I192" s="42">
        <v>-16.99917067</v>
      </c>
    </row>
    <row r="193">
      <c r="A193" s="1" t="s">
        <v>285</v>
      </c>
      <c r="B193" s="38">
        <v>607074.0</v>
      </c>
      <c r="C193" s="38">
        <v>1125.0</v>
      </c>
      <c r="D193" s="40">
        <v>5.073890394</v>
      </c>
      <c r="E193" s="41">
        <v>0.475555556</v>
      </c>
      <c r="F193" s="41">
        <v>0.174222222</v>
      </c>
      <c r="G193" s="41">
        <v>0.350222222</v>
      </c>
      <c r="H193" s="79">
        <f t="shared" si="1"/>
        <v>0.125333334</v>
      </c>
      <c r="I193" s="42">
        <v>-9.03523671</v>
      </c>
    </row>
    <row r="194">
      <c r="A194" s="1" t="s">
        <v>823</v>
      </c>
      <c r="B194" s="38">
        <v>656464.0</v>
      </c>
      <c r="C194" s="38">
        <v>1047.0</v>
      </c>
      <c r="D194" s="40">
        <v>5.073137414</v>
      </c>
      <c r="E194" s="41">
        <v>0.433619866</v>
      </c>
      <c r="F194" s="41">
        <v>0.213944604</v>
      </c>
      <c r="G194" s="41">
        <v>0.35243553</v>
      </c>
      <c r="H194" s="79">
        <f t="shared" si="1"/>
        <v>0.081184336</v>
      </c>
      <c r="I194" s="42">
        <v>20.2465842</v>
      </c>
    </row>
    <row r="195">
      <c r="A195" s="1" t="s">
        <v>976</v>
      </c>
      <c r="B195" s="38">
        <v>664353.0</v>
      </c>
      <c r="C195" s="38">
        <v>1084.0</v>
      </c>
      <c r="D195" s="40">
        <v>5.072146344</v>
      </c>
      <c r="E195" s="41">
        <v>0.426199262</v>
      </c>
      <c r="F195" s="41">
        <v>0.271217712</v>
      </c>
      <c r="G195" s="41">
        <v>0.302583026</v>
      </c>
      <c r="H195" s="79">
        <f t="shared" si="1"/>
        <v>0.123616236</v>
      </c>
      <c r="I195" s="42">
        <v>-5.263661548</v>
      </c>
    </row>
    <row r="196" hidden="1">
      <c r="A196" s="1" t="s">
        <v>295</v>
      </c>
      <c r="B196" s="38">
        <v>657585.0</v>
      </c>
      <c r="C196" s="38">
        <v>345.0</v>
      </c>
      <c r="D196" s="40">
        <v>5.07162042</v>
      </c>
      <c r="E196" s="41">
        <v>0.455072464</v>
      </c>
      <c r="F196" s="41">
        <v>0.220289855</v>
      </c>
      <c r="G196" s="41">
        <v>0.324637681</v>
      </c>
      <c r="H196" s="79">
        <f t="shared" si="1"/>
        <v>0.130434783</v>
      </c>
      <c r="I196" s="42">
        <v>-2.633662602</v>
      </c>
    </row>
    <row r="197">
      <c r="A197" s="1" t="s">
        <v>1096</v>
      </c>
      <c r="B197" s="38">
        <v>686839.0</v>
      </c>
      <c r="C197" s="38">
        <v>650.0</v>
      </c>
      <c r="D197" s="40">
        <v>5.071592423</v>
      </c>
      <c r="E197" s="41">
        <v>0.4</v>
      </c>
      <c r="F197" s="41">
        <v>0.330769231</v>
      </c>
      <c r="G197" s="41">
        <v>0.269230769</v>
      </c>
      <c r="H197" s="79">
        <f t="shared" si="1"/>
        <v>0.130769231</v>
      </c>
      <c r="I197" s="42">
        <v>-5.762300356</v>
      </c>
    </row>
    <row r="198">
      <c r="A198" s="1" t="s">
        <v>129</v>
      </c>
      <c r="B198" s="38">
        <v>686752.0</v>
      </c>
      <c r="C198" s="38">
        <v>645.0</v>
      </c>
      <c r="D198" s="40">
        <v>5.071438532</v>
      </c>
      <c r="E198" s="41">
        <v>0.452713178</v>
      </c>
      <c r="F198" s="41">
        <v>0.196899225</v>
      </c>
      <c r="G198" s="41">
        <v>0.350387597</v>
      </c>
      <c r="H198" s="79">
        <f t="shared" si="1"/>
        <v>0.102325581</v>
      </c>
      <c r="I198" s="42">
        <v>9.391586753</v>
      </c>
    </row>
    <row r="199" hidden="1">
      <c r="A199" s="1" t="s">
        <v>1097</v>
      </c>
      <c r="B199" s="38">
        <v>656887.0</v>
      </c>
      <c r="C199" s="38">
        <v>152.0</v>
      </c>
      <c r="D199" s="40">
        <v>5.070963829</v>
      </c>
      <c r="E199" s="41">
        <v>0.473684211</v>
      </c>
      <c r="F199" s="41">
        <v>0.151315789</v>
      </c>
      <c r="G199" s="41">
        <v>0.375</v>
      </c>
      <c r="H199" s="79">
        <f t="shared" si="1"/>
        <v>0.098684211</v>
      </c>
      <c r="I199" s="42">
        <v>3.919917147</v>
      </c>
    </row>
    <row r="200">
      <c r="A200" s="1" t="s">
        <v>690</v>
      </c>
      <c r="B200" s="38">
        <v>665625.0</v>
      </c>
      <c r="C200" s="38">
        <v>904.0</v>
      </c>
      <c r="D200" s="40">
        <v>5.069725185</v>
      </c>
      <c r="E200" s="41">
        <v>0.449115044</v>
      </c>
      <c r="F200" s="41">
        <v>0.180309735</v>
      </c>
      <c r="G200" s="41">
        <v>0.370575221</v>
      </c>
      <c r="H200" s="79">
        <f t="shared" si="1"/>
        <v>0.078539823</v>
      </c>
      <c r="I200" s="42">
        <v>1.689727504</v>
      </c>
    </row>
    <row r="201">
      <c r="A201" s="1" t="s">
        <v>107</v>
      </c>
      <c r="B201" s="38">
        <v>657571.0</v>
      </c>
      <c r="C201" s="38">
        <v>1057.0</v>
      </c>
      <c r="D201" s="40">
        <v>5.068766487</v>
      </c>
      <c r="E201" s="41">
        <v>0.487228004</v>
      </c>
      <c r="F201" s="41">
        <v>0.194891202</v>
      </c>
      <c r="G201" s="41">
        <v>0.317880795</v>
      </c>
      <c r="H201" s="79">
        <f t="shared" si="1"/>
        <v>0.169347209</v>
      </c>
      <c r="I201" s="42">
        <v>-7.130021744</v>
      </c>
    </row>
    <row r="202">
      <c r="A202" s="1" t="s">
        <v>159</v>
      </c>
      <c r="B202" s="38">
        <v>605483.0</v>
      </c>
      <c r="C202" s="38">
        <v>3142.0</v>
      </c>
      <c r="D202" s="40">
        <v>5.06832626</v>
      </c>
      <c r="E202" s="41">
        <v>0.462762572</v>
      </c>
      <c r="F202" s="41">
        <v>0.165181413</v>
      </c>
      <c r="G202" s="41">
        <v>0.372056015</v>
      </c>
      <c r="H202" s="79">
        <f t="shared" si="1"/>
        <v>0.090706557</v>
      </c>
      <c r="I202" s="42">
        <v>16.29633256</v>
      </c>
    </row>
    <row r="203">
      <c r="A203" s="1" t="s">
        <v>262</v>
      </c>
      <c r="B203" s="38">
        <v>676534.0</v>
      </c>
      <c r="C203" s="38">
        <v>510.0</v>
      </c>
      <c r="D203" s="40">
        <v>5.068029445</v>
      </c>
      <c r="E203" s="41">
        <v>0.478431373</v>
      </c>
      <c r="F203" s="41">
        <v>0.21372549</v>
      </c>
      <c r="G203" s="41">
        <v>0.307843137</v>
      </c>
      <c r="H203" s="79">
        <f t="shared" si="1"/>
        <v>0.170588236</v>
      </c>
      <c r="I203" s="42">
        <v>-2.328712343</v>
      </c>
    </row>
    <row r="204">
      <c r="A204" s="1" t="s">
        <v>272</v>
      </c>
      <c r="B204" s="38">
        <v>622491.0</v>
      </c>
      <c r="C204" s="38">
        <v>3166.0</v>
      </c>
      <c r="D204" s="40">
        <v>5.067589062</v>
      </c>
      <c r="E204" s="41">
        <v>0.45609602</v>
      </c>
      <c r="F204" s="41">
        <v>0.183828174</v>
      </c>
      <c r="G204" s="41">
        <v>0.360075805</v>
      </c>
      <c r="H204" s="79">
        <f t="shared" si="1"/>
        <v>0.096020215</v>
      </c>
      <c r="I204" s="42">
        <v>9.594828234</v>
      </c>
    </row>
    <row r="205">
      <c r="A205" s="1" t="s">
        <v>1098</v>
      </c>
      <c r="B205" s="38">
        <v>607755.0</v>
      </c>
      <c r="C205" s="38">
        <v>847.0</v>
      </c>
      <c r="D205" s="40">
        <v>5.067362396</v>
      </c>
      <c r="E205" s="41">
        <v>0.493506494</v>
      </c>
      <c r="F205" s="41">
        <v>0.140495868</v>
      </c>
      <c r="G205" s="41">
        <v>0.365997639</v>
      </c>
      <c r="H205" s="79">
        <f t="shared" si="1"/>
        <v>0.127508855</v>
      </c>
      <c r="I205" s="42">
        <v>-5.009208025</v>
      </c>
    </row>
    <row r="206" hidden="1">
      <c r="A206" s="1" t="s">
        <v>1099</v>
      </c>
      <c r="B206" s="38">
        <v>592848.0</v>
      </c>
      <c r="C206" s="38">
        <v>223.0</v>
      </c>
      <c r="D206" s="40">
        <v>5.066115735</v>
      </c>
      <c r="E206" s="41">
        <v>0.461883408</v>
      </c>
      <c r="F206" s="41">
        <v>0.143497758</v>
      </c>
      <c r="G206" s="41">
        <v>0.394618834</v>
      </c>
      <c r="H206" s="79">
        <f t="shared" si="1"/>
        <v>0.067264574</v>
      </c>
      <c r="I206" s="42">
        <v>2.164680284</v>
      </c>
    </row>
    <row r="207">
      <c r="A207" s="1" t="s">
        <v>1026</v>
      </c>
      <c r="B207" s="38">
        <v>518617.0</v>
      </c>
      <c r="C207" s="38">
        <v>979.0</v>
      </c>
      <c r="D207" s="40">
        <v>5.065194433</v>
      </c>
      <c r="E207" s="41">
        <v>0.475995914</v>
      </c>
      <c r="F207" s="41">
        <v>0.223697651</v>
      </c>
      <c r="G207" s="41">
        <v>0.300306435</v>
      </c>
      <c r="H207" s="79">
        <f t="shared" si="1"/>
        <v>0.175689479</v>
      </c>
      <c r="I207" s="42">
        <v>13.64675796</v>
      </c>
    </row>
    <row r="208">
      <c r="A208" s="1" t="s">
        <v>138</v>
      </c>
      <c r="B208" s="38">
        <v>621383.0</v>
      </c>
      <c r="C208" s="38">
        <v>1002.0</v>
      </c>
      <c r="D208" s="40">
        <v>5.065058532</v>
      </c>
      <c r="E208" s="41">
        <v>0.416167665</v>
      </c>
      <c r="F208" s="41">
        <v>0.224550898</v>
      </c>
      <c r="G208" s="41">
        <v>0.359281437</v>
      </c>
      <c r="H208" s="79">
        <f t="shared" si="1"/>
        <v>0.056886228</v>
      </c>
      <c r="I208" s="42">
        <v>2.568166292</v>
      </c>
    </row>
    <row r="209">
      <c r="A209" s="1" t="s">
        <v>479</v>
      </c>
      <c r="B209" s="38">
        <v>664299.0</v>
      </c>
      <c r="C209" s="38">
        <v>2861.0</v>
      </c>
      <c r="D209" s="40">
        <v>5.063335502</v>
      </c>
      <c r="E209" s="41">
        <v>0.466620063</v>
      </c>
      <c r="F209" s="41">
        <v>0.151345683</v>
      </c>
      <c r="G209" s="41">
        <v>0.382034254</v>
      </c>
      <c r="H209" s="79">
        <f t="shared" si="1"/>
        <v>0.084585809</v>
      </c>
      <c r="I209" s="42">
        <v>-11.44019598</v>
      </c>
    </row>
    <row r="210">
      <c r="A210" s="1" t="s">
        <v>282</v>
      </c>
      <c r="B210" s="38">
        <v>656302.0</v>
      </c>
      <c r="C210" s="38">
        <v>3244.0</v>
      </c>
      <c r="D210" s="40">
        <v>5.062232449</v>
      </c>
      <c r="E210" s="41">
        <v>0.45838471</v>
      </c>
      <c r="F210" s="41">
        <v>0.168002466</v>
      </c>
      <c r="G210" s="41">
        <v>0.373612824</v>
      </c>
      <c r="H210" s="79">
        <f t="shared" si="1"/>
        <v>0.084771886</v>
      </c>
      <c r="I210" s="42">
        <v>-20.81617371</v>
      </c>
    </row>
    <row r="211">
      <c r="A211" s="1" t="s">
        <v>1100</v>
      </c>
      <c r="B211" s="38">
        <v>608638.0</v>
      </c>
      <c r="C211" s="38">
        <v>698.0</v>
      </c>
      <c r="D211" s="40">
        <v>5.060915461</v>
      </c>
      <c r="E211" s="41">
        <v>0.459885387</v>
      </c>
      <c r="F211" s="41">
        <v>0.187679083</v>
      </c>
      <c r="G211" s="41">
        <v>0.35243553</v>
      </c>
      <c r="H211" s="79">
        <f t="shared" si="1"/>
        <v>0.107449857</v>
      </c>
      <c r="I211" s="42">
        <v>4.359701046</v>
      </c>
    </row>
    <row r="212">
      <c r="A212" s="1" t="s">
        <v>423</v>
      </c>
      <c r="B212" s="38">
        <v>656605.0</v>
      </c>
      <c r="C212" s="38">
        <v>3102.0</v>
      </c>
      <c r="D212" s="40">
        <v>5.059635875</v>
      </c>
      <c r="E212" s="41">
        <v>0.451644101</v>
      </c>
      <c r="F212" s="41">
        <v>0.23726628</v>
      </c>
      <c r="G212" s="41">
        <v>0.31108962</v>
      </c>
      <c r="H212" s="79">
        <f t="shared" si="1"/>
        <v>0.140554481</v>
      </c>
      <c r="I212" s="42">
        <v>6.461998145</v>
      </c>
    </row>
    <row r="213">
      <c r="A213" s="1" t="s">
        <v>697</v>
      </c>
      <c r="B213" s="38">
        <v>605347.0</v>
      </c>
      <c r="C213" s="38">
        <v>958.0</v>
      </c>
      <c r="D213" s="40">
        <v>5.059180656</v>
      </c>
      <c r="E213" s="41">
        <v>0.464509395</v>
      </c>
      <c r="F213" s="41">
        <v>0.188935282</v>
      </c>
      <c r="G213" s="41">
        <v>0.346555324</v>
      </c>
      <c r="H213" s="79">
        <f t="shared" si="1"/>
        <v>0.117954071</v>
      </c>
      <c r="I213" s="42">
        <v>-10.70766388</v>
      </c>
    </row>
    <row r="214" hidden="1">
      <c r="A214" s="1" t="s">
        <v>1101</v>
      </c>
      <c r="B214" s="38">
        <v>657031.0</v>
      </c>
      <c r="C214" s="38">
        <v>339.0</v>
      </c>
      <c r="D214" s="40">
        <v>5.058918195</v>
      </c>
      <c r="E214" s="41">
        <v>0.463126844</v>
      </c>
      <c r="F214" s="41">
        <v>0.185840708</v>
      </c>
      <c r="G214" s="41">
        <v>0.351032448</v>
      </c>
      <c r="H214" s="79">
        <f t="shared" si="1"/>
        <v>0.112094396</v>
      </c>
      <c r="I214" s="42">
        <v>-2.689558873</v>
      </c>
    </row>
    <row r="215">
      <c r="A215" s="1" t="s">
        <v>84</v>
      </c>
      <c r="B215" s="38">
        <v>669373.0</v>
      </c>
      <c r="C215" s="38">
        <v>1210.0</v>
      </c>
      <c r="D215" s="40">
        <v>5.058411034</v>
      </c>
      <c r="E215" s="41">
        <v>0.438842975</v>
      </c>
      <c r="F215" s="41">
        <v>0.217355372</v>
      </c>
      <c r="G215" s="41">
        <v>0.343801653</v>
      </c>
      <c r="H215" s="79">
        <f t="shared" si="1"/>
        <v>0.095041322</v>
      </c>
      <c r="I215" s="42">
        <v>21.06861698</v>
      </c>
    </row>
    <row r="216">
      <c r="A216" s="1" t="s">
        <v>542</v>
      </c>
      <c r="B216" s="38">
        <v>621237.0</v>
      </c>
      <c r="C216" s="38">
        <v>731.0</v>
      </c>
      <c r="D216" s="40">
        <v>5.058390488</v>
      </c>
      <c r="E216" s="41">
        <v>0.447332421</v>
      </c>
      <c r="F216" s="41">
        <v>0.20246238</v>
      </c>
      <c r="G216" s="41">
        <v>0.350205198</v>
      </c>
      <c r="H216" s="79">
        <f t="shared" si="1"/>
        <v>0.097127223</v>
      </c>
      <c r="I216" s="42">
        <v>12.9143273</v>
      </c>
    </row>
    <row r="217">
      <c r="A217" s="1" t="s">
        <v>267</v>
      </c>
      <c r="B217" s="38">
        <v>669387.0</v>
      </c>
      <c r="C217" s="38">
        <v>611.0</v>
      </c>
      <c r="D217" s="40">
        <v>5.057689026</v>
      </c>
      <c r="E217" s="41">
        <v>0.438625205</v>
      </c>
      <c r="F217" s="41">
        <v>0.253682488</v>
      </c>
      <c r="G217" s="41">
        <v>0.307692308</v>
      </c>
      <c r="H217" s="79">
        <f t="shared" si="1"/>
        <v>0.130932897</v>
      </c>
      <c r="I217" s="42">
        <v>4.294367309</v>
      </c>
    </row>
    <row r="218" hidden="1">
      <c r="A218" s="1" t="s">
        <v>1102</v>
      </c>
      <c r="B218" s="38">
        <v>660593.0</v>
      </c>
      <c r="C218" s="38">
        <v>332.0</v>
      </c>
      <c r="D218" s="40">
        <v>5.057181048</v>
      </c>
      <c r="E218" s="41">
        <v>0.46686747</v>
      </c>
      <c r="F218" s="41">
        <v>0.174698795</v>
      </c>
      <c r="G218" s="41">
        <v>0.358433735</v>
      </c>
      <c r="H218" s="79">
        <f t="shared" si="1"/>
        <v>0.108433735</v>
      </c>
      <c r="I218" s="42">
        <v>-1.117510838</v>
      </c>
    </row>
    <row r="219">
      <c r="A219" s="1" t="s">
        <v>210</v>
      </c>
      <c r="B219" s="38">
        <v>650556.0</v>
      </c>
      <c r="C219" s="38">
        <v>1204.0</v>
      </c>
      <c r="D219" s="40">
        <v>5.056891126</v>
      </c>
      <c r="E219" s="41">
        <v>0.466777409</v>
      </c>
      <c r="F219" s="41">
        <v>0.155315615</v>
      </c>
      <c r="G219" s="41">
        <v>0.377906977</v>
      </c>
      <c r="H219" s="79">
        <f t="shared" si="1"/>
        <v>0.088870432</v>
      </c>
      <c r="I219" s="42">
        <v>12.04835859</v>
      </c>
    </row>
    <row r="220">
      <c r="A220" s="1" t="s">
        <v>358</v>
      </c>
      <c r="B220" s="38">
        <v>434378.0</v>
      </c>
      <c r="C220" s="38">
        <v>2578.0</v>
      </c>
      <c r="D220" s="40">
        <v>5.056692324</v>
      </c>
      <c r="E220" s="41">
        <v>0.444918542</v>
      </c>
      <c r="F220" s="41">
        <v>0.193173002</v>
      </c>
      <c r="G220" s="41">
        <v>0.361908456</v>
      </c>
      <c r="H220" s="79">
        <f t="shared" si="1"/>
        <v>0.083010086</v>
      </c>
      <c r="I220" s="42">
        <v>8.34780781</v>
      </c>
    </row>
    <row r="221" hidden="1">
      <c r="A221" s="1" t="s">
        <v>157</v>
      </c>
      <c r="B221" s="38">
        <v>660825.0</v>
      </c>
      <c r="C221" s="38">
        <v>270.0</v>
      </c>
      <c r="D221" s="40">
        <v>5.056404267</v>
      </c>
      <c r="E221" s="41">
        <v>0.455555556</v>
      </c>
      <c r="F221" s="41">
        <v>0.225925926</v>
      </c>
      <c r="G221" s="41">
        <v>0.318518519</v>
      </c>
      <c r="H221" s="79">
        <f t="shared" si="1"/>
        <v>0.137037037</v>
      </c>
      <c r="I221" s="42">
        <v>1.513151387</v>
      </c>
    </row>
    <row r="222">
      <c r="A222" s="1" t="s">
        <v>569</v>
      </c>
      <c r="B222" s="38">
        <v>669947.0</v>
      </c>
      <c r="C222" s="38">
        <v>1438.0</v>
      </c>
      <c r="D222" s="40">
        <v>5.056390603</v>
      </c>
      <c r="E222" s="41">
        <v>0.456189152</v>
      </c>
      <c r="F222" s="41">
        <v>0.171766342</v>
      </c>
      <c r="G222" s="41">
        <v>0.372044506</v>
      </c>
      <c r="H222" s="79">
        <f t="shared" si="1"/>
        <v>0.084144646</v>
      </c>
      <c r="I222" s="42">
        <v>-23.53312369</v>
      </c>
    </row>
    <row r="223">
      <c r="A223" s="1" t="s">
        <v>319</v>
      </c>
      <c r="B223" s="38">
        <v>607481.0</v>
      </c>
      <c r="C223" s="38">
        <v>1085.0</v>
      </c>
      <c r="D223" s="40">
        <v>5.055465906</v>
      </c>
      <c r="E223" s="41">
        <v>0.426728111</v>
      </c>
      <c r="F223" s="41">
        <v>0.330875576</v>
      </c>
      <c r="G223" s="41">
        <v>0.242396313</v>
      </c>
      <c r="H223" s="79">
        <f t="shared" si="1"/>
        <v>0.184331798</v>
      </c>
      <c r="I223" s="42">
        <v>6.648157759</v>
      </c>
    </row>
    <row r="224">
      <c r="A224" s="1" t="s">
        <v>117</v>
      </c>
      <c r="B224" s="38">
        <v>596001.0</v>
      </c>
      <c r="C224" s="38">
        <v>1380.0</v>
      </c>
      <c r="D224" s="40">
        <v>5.05386959</v>
      </c>
      <c r="E224" s="41">
        <v>0.46884058</v>
      </c>
      <c r="F224" s="41">
        <v>0.182608696</v>
      </c>
      <c r="G224" s="41">
        <v>0.348550725</v>
      </c>
      <c r="H224" s="79">
        <f t="shared" si="1"/>
        <v>0.120289855</v>
      </c>
      <c r="I224" s="42">
        <v>-9.596522734</v>
      </c>
    </row>
    <row r="225">
      <c r="A225" s="1" t="s">
        <v>416</v>
      </c>
      <c r="B225" s="38">
        <v>608337.0</v>
      </c>
      <c r="C225" s="38">
        <v>3163.0</v>
      </c>
      <c r="D225" s="40">
        <v>5.051337117</v>
      </c>
      <c r="E225" s="41">
        <v>0.446095479</v>
      </c>
      <c r="F225" s="41">
        <v>0.174834018</v>
      </c>
      <c r="G225" s="41">
        <v>0.379070503</v>
      </c>
      <c r="H225" s="79">
        <f t="shared" si="1"/>
        <v>0.067024976</v>
      </c>
      <c r="I225" s="42">
        <v>2.274051244</v>
      </c>
    </row>
    <row r="226">
      <c r="A226" s="1" t="s">
        <v>644</v>
      </c>
      <c r="B226" s="38">
        <v>621363.0</v>
      </c>
      <c r="C226" s="38">
        <v>920.0</v>
      </c>
      <c r="D226" s="40">
        <v>5.051330789</v>
      </c>
      <c r="E226" s="41">
        <v>0.479347826</v>
      </c>
      <c r="F226" s="41">
        <v>0.164130435</v>
      </c>
      <c r="G226" s="41">
        <v>0.356521739</v>
      </c>
      <c r="H226" s="79">
        <f t="shared" si="1"/>
        <v>0.122826087</v>
      </c>
      <c r="I226" s="42">
        <v>1.497284585</v>
      </c>
    </row>
    <row r="227">
      <c r="A227" s="1" t="s">
        <v>74</v>
      </c>
      <c r="B227" s="38">
        <v>455119.0</v>
      </c>
      <c r="C227" s="38">
        <v>716.0</v>
      </c>
      <c r="D227" s="40">
        <v>5.050258865</v>
      </c>
      <c r="E227" s="41">
        <v>0.427374302</v>
      </c>
      <c r="F227" s="41">
        <v>0.23603352</v>
      </c>
      <c r="G227" s="41">
        <v>0.336592179</v>
      </c>
      <c r="H227" s="79">
        <f t="shared" si="1"/>
        <v>0.090782123</v>
      </c>
      <c r="I227" s="42">
        <v>10.63242173</v>
      </c>
    </row>
    <row r="228">
      <c r="A228" s="1" t="s">
        <v>1103</v>
      </c>
      <c r="B228" s="38">
        <v>547943.0</v>
      </c>
      <c r="C228" s="38">
        <v>823.0</v>
      </c>
      <c r="D228" s="40">
        <v>5.048612542</v>
      </c>
      <c r="E228" s="41">
        <v>0.437424058</v>
      </c>
      <c r="F228" s="41">
        <v>0.215066829</v>
      </c>
      <c r="G228" s="41">
        <v>0.347509113</v>
      </c>
      <c r="H228" s="79">
        <f t="shared" si="1"/>
        <v>0.089914945</v>
      </c>
      <c r="I228" s="42">
        <v>2.002081126</v>
      </c>
    </row>
    <row r="229">
      <c r="A229" s="1" t="s">
        <v>1104</v>
      </c>
      <c r="B229" s="38">
        <v>592826.0</v>
      </c>
      <c r="C229" s="38">
        <v>642.0</v>
      </c>
      <c r="D229" s="40">
        <v>5.047579511</v>
      </c>
      <c r="E229" s="41">
        <v>0.46728972</v>
      </c>
      <c r="F229" s="41">
        <v>0.163551402</v>
      </c>
      <c r="G229" s="41">
        <v>0.369158879</v>
      </c>
      <c r="H229" s="79">
        <f t="shared" si="1"/>
        <v>0.098130841</v>
      </c>
      <c r="I229" s="42">
        <v>-3.461529387</v>
      </c>
    </row>
    <row r="230">
      <c r="A230" s="1" t="s">
        <v>211</v>
      </c>
      <c r="B230" s="38">
        <v>668933.0</v>
      </c>
      <c r="C230" s="38">
        <v>2289.0</v>
      </c>
      <c r="D230" s="40">
        <v>5.045569919</v>
      </c>
      <c r="E230" s="41">
        <v>0.467016164</v>
      </c>
      <c r="F230" s="41">
        <v>0.19047619</v>
      </c>
      <c r="G230" s="41">
        <v>0.342507645</v>
      </c>
      <c r="H230" s="79">
        <f t="shared" si="1"/>
        <v>0.124508519</v>
      </c>
      <c r="I230" s="42">
        <v>-9.838880948</v>
      </c>
    </row>
    <row r="231" hidden="1">
      <c r="A231" s="1" t="s">
        <v>1105</v>
      </c>
      <c r="B231" s="38">
        <v>656786.0</v>
      </c>
      <c r="C231" s="38">
        <v>252.0</v>
      </c>
      <c r="D231" s="40">
        <v>5.04146781</v>
      </c>
      <c r="E231" s="41">
        <v>0.444444444</v>
      </c>
      <c r="F231" s="41">
        <v>0.198412698</v>
      </c>
      <c r="G231" s="41">
        <v>0.357142857</v>
      </c>
      <c r="H231" s="79">
        <f t="shared" si="1"/>
        <v>0.087301587</v>
      </c>
      <c r="I231" s="42">
        <v>-2.434087028</v>
      </c>
    </row>
    <row r="232">
      <c r="A232" s="1" t="s">
        <v>137</v>
      </c>
      <c r="B232" s="38">
        <v>453286.0</v>
      </c>
      <c r="C232" s="38">
        <v>2358.0</v>
      </c>
      <c r="D232" s="40">
        <v>5.040968399</v>
      </c>
      <c r="E232" s="41">
        <v>0.460135708</v>
      </c>
      <c r="F232" s="41">
        <v>0.195080577</v>
      </c>
      <c r="G232" s="41">
        <v>0.344783715</v>
      </c>
      <c r="H232" s="79">
        <f t="shared" si="1"/>
        <v>0.115351993</v>
      </c>
      <c r="I232" s="42">
        <v>0.748509338</v>
      </c>
    </row>
    <row r="233" hidden="1">
      <c r="A233" s="1" t="s">
        <v>175</v>
      </c>
      <c r="B233" s="38">
        <v>622503.0</v>
      </c>
      <c r="C233" s="38">
        <v>258.0</v>
      </c>
      <c r="D233" s="40">
        <v>5.039061109</v>
      </c>
      <c r="E233" s="41">
        <v>0.515503876</v>
      </c>
      <c r="F233" s="41">
        <v>0.11627907</v>
      </c>
      <c r="G233" s="41">
        <v>0.368217054</v>
      </c>
      <c r="H233" s="79">
        <f t="shared" si="1"/>
        <v>0.147286822</v>
      </c>
      <c r="I233" s="42">
        <v>-5.313901101</v>
      </c>
    </row>
    <row r="234" hidden="1">
      <c r="A234" s="1" t="s">
        <v>1106</v>
      </c>
      <c r="B234" s="38">
        <v>669169.0</v>
      </c>
      <c r="C234" s="38">
        <v>221.0</v>
      </c>
      <c r="D234" s="40">
        <v>5.036788652</v>
      </c>
      <c r="E234" s="41">
        <v>0.43438914</v>
      </c>
      <c r="F234" s="41">
        <v>0.230769231</v>
      </c>
      <c r="G234" s="41">
        <v>0.334841629</v>
      </c>
      <c r="H234" s="79">
        <f t="shared" si="1"/>
        <v>0.099547511</v>
      </c>
      <c r="I234" s="42">
        <v>-4.312734535</v>
      </c>
    </row>
    <row r="235">
      <c r="A235" s="1" t="s">
        <v>1040</v>
      </c>
      <c r="B235" s="38">
        <v>666129.0</v>
      </c>
      <c r="C235" s="38">
        <v>2465.0</v>
      </c>
      <c r="D235" s="40">
        <v>5.035686532</v>
      </c>
      <c r="E235" s="41">
        <v>0.443002028</v>
      </c>
      <c r="F235" s="41">
        <v>0.202839757</v>
      </c>
      <c r="G235" s="41">
        <v>0.354158215</v>
      </c>
      <c r="H235" s="79">
        <f t="shared" si="1"/>
        <v>0.088843813</v>
      </c>
      <c r="I235" s="42">
        <v>-0.538978278</v>
      </c>
    </row>
    <row r="236">
      <c r="A236" s="1" t="s">
        <v>1046</v>
      </c>
      <c r="B236" s="38">
        <v>519293.0</v>
      </c>
      <c r="C236" s="38">
        <v>857.0</v>
      </c>
      <c r="D236" s="40">
        <v>5.035331908</v>
      </c>
      <c r="E236" s="41">
        <v>0.435239207</v>
      </c>
      <c r="F236" s="41">
        <v>0.206534422</v>
      </c>
      <c r="G236" s="41">
        <v>0.358226371</v>
      </c>
      <c r="H236" s="79">
        <f t="shared" si="1"/>
        <v>0.077012836</v>
      </c>
      <c r="I236" s="42">
        <v>3.099335716</v>
      </c>
    </row>
    <row r="237">
      <c r="A237" s="1" t="s">
        <v>1035</v>
      </c>
      <c r="B237" s="38">
        <v>666745.0</v>
      </c>
      <c r="C237" s="38">
        <v>1433.0</v>
      </c>
      <c r="D237" s="40">
        <v>5.035204233</v>
      </c>
      <c r="E237" s="41">
        <v>0.459176553</v>
      </c>
      <c r="F237" s="41">
        <v>0.172365666</v>
      </c>
      <c r="G237" s="41">
        <v>0.368457781</v>
      </c>
      <c r="H237" s="79">
        <f t="shared" si="1"/>
        <v>0.090718772</v>
      </c>
      <c r="I237" s="42">
        <v>11.43579564</v>
      </c>
    </row>
    <row r="238">
      <c r="A238" s="1" t="s">
        <v>38</v>
      </c>
      <c r="B238" s="38">
        <v>595345.0</v>
      </c>
      <c r="C238" s="38">
        <v>1011.0</v>
      </c>
      <c r="D238" s="40">
        <v>5.034613361</v>
      </c>
      <c r="E238" s="41">
        <v>0.465875371</v>
      </c>
      <c r="F238" s="41">
        <v>0.144411474</v>
      </c>
      <c r="G238" s="41">
        <v>0.389713155</v>
      </c>
      <c r="H238" s="79">
        <f t="shared" si="1"/>
        <v>0.076162216</v>
      </c>
      <c r="I238" s="42">
        <v>-2.407525995</v>
      </c>
    </row>
    <row r="239">
      <c r="A239" s="1" t="s">
        <v>318</v>
      </c>
      <c r="B239" s="38">
        <v>681982.0</v>
      </c>
      <c r="C239" s="38">
        <v>592.0</v>
      </c>
      <c r="D239" s="40">
        <v>5.034085459</v>
      </c>
      <c r="E239" s="41">
        <v>0.462837838</v>
      </c>
      <c r="F239" s="41">
        <v>0.160472973</v>
      </c>
      <c r="G239" s="41">
        <v>0.376689189</v>
      </c>
      <c r="H239" s="79">
        <f t="shared" si="1"/>
        <v>0.086148649</v>
      </c>
      <c r="I239" s="42">
        <v>-7.73133489</v>
      </c>
    </row>
    <row r="240">
      <c r="A240" s="1" t="s">
        <v>1107</v>
      </c>
      <c r="B240" s="38">
        <v>446372.0</v>
      </c>
      <c r="C240" s="38">
        <v>988.0</v>
      </c>
      <c r="D240" s="40">
        <v>5.032538939</v>
      </c>
      <c r="E240" s="41">
        <v>0.472672065</v>
      </c>
      <c r="F240" s="41">
        <v>0.151821862</v>
      </c>
      <c r="G240" s="41">
        <v>0.375506073</v>
      </c>
      <c r="H240" s="79">
        <f t="shared" si="1"/>
        <v>0.097165992</v>
      </c>
      <c r="I240" s="42">
        <v>-15.74132997</v>
      </c>
    </row>
    <row r="241">
      <c r="A241" s="1" t="s">
        <v>1108</v>
      </c>
      <c r="B241" s="38">
        <v>641360.0</v>
      </c>
      <c r="C241" s="38">
        <v>1217.0</v>
      </c>
      <c r="D241" s="40">
        <v>5.032403145</v>
      </c>
      <c r="E241" s="41">
        <v>0.471651602</v>
      </c>
      <c r="F241" s="41">
        <v>0.150369762</v>
      </c>
      <c r="G241" s="41">
        <v>0.377978636</v>
      </c>
      <c r="H241" s="79">
        <f t="shared" si="1"/>
        <v>0.093672966</v>
      </c>
      <c r="I241" s="42">
        <v>-7.719780049</v>
      </c>
    </row>
    <row r="242">
      <c r="A242" s="1" t="s">
        <v>316</v>
      </c>
      <c r="B242" s="38">
        <v>656427.0</v>
      </c>
      <c r="C242" s="38">
        <v>2619.0</v>
      </c>
      <c r="D242" s="40">
        <v>5.03195798</v>
      </c>
      <c r="E242" s="41">
        <v>0.443680794</v>
      </c>
      <c r="F242" s="41">
        <v>0.192821688</v>
      </c>
      <c r="G242" s="41">
        <v>0.363497518</v>
      </c>
      <c r="H242" s="79">
        <f t="shared" si="1"/>
        <v>0.080183276</v>
      </c>
      <c r="I242" s="42">
        <v>-26.10829108</v>
      </c>
    </row>
    <row r="243">
      <c r="A243" s="1" t="s">
        <v>354</v>
      </c>
      <c r="B243" s="38">
        <v>669022.0</v>
      </c>
      <c r="C243" s="38">
        <v>2434.0</v>
      </c>
      <c r="D243" s="40">
        <v>5.031188963</v>
      </c>
      <c r="E243" s="41">
        <v>0.459326212</v>
      </c>
      <c r="F243" s="41">
        <v>0.180772391</v>
      </c>
      <c r="G243" s="41">
        <v>0.359901397</v>
      </c>
      <c r="H243" s="79">
        <f t="shared" si="1"/>
        <v>0.099424815</v>
      </c>
      <c r="I243" s="42">
        <v>-11.16149649</v>
      </c>
    </row>
    <row r="244" hidden="1">
      <c r="A244" s="1" t="s">
        <v>1109</v>
      </c>
      <c r="B244" s="38">
        <v>598264.0</v>
      </c>
      <c r="C244" s="38">
        <v>397.0</v>
      </c>
      <c r="D244" s="40">
        <v>5.030606529</v>
      </c>
      <c r="E244" s="41">
        <v>0.465994962</v>
      </c>
      <c r="F244" s="41">
        <v>0.171284635</v>
      </c>
      <c r="G244" s="41">
        <v>0.362720403</v>
      </c>
      <c r="H244" s="79">
        <f t="shared" si="1"/>
        <v>0.103274559</v>
      </c>
      <c r="I244" s="42">
        <v>-5.073107091</v>
      </c>
    </row>
    <row r="245">
      <c r="A245" s="1" t="s">
        <v>1110</v>
      </c>
      <c r="B245" s="38">
        <v>456501.0</v>
      </c>
      <c r="C245" s="38">
        <v>851.0</v>
      </c>
      <c r="D245" s="40">
        <v>5.030361227</v>
      </c>
      <c r="E245" s="41">
        <v>0.441833137</v>
      </c>
      <c r="F245" s="41">
        <v>0.215041128</v>
      </c>
      <c r="G245" s="41">
        <v>0.343125734</v>
      </c>
      <c r="H245" s="79">
        <f t="shared" si="1"/>
        <v>0.098707403</v>
      </c>
      <c r="I245" s="42">
        <v>1.683762763</v>
      </c>
    </row>
    <row r="246">
      <c r="A246" s="1" t="s">
        <v>585</v>
      </c>
      <c r="B246" s="38">
        <v>625643.0</v>
      </c>
      <c r="C246" s="38">
        <v>1185.0</v>
      </c>
      <c r="D246" s="40">
        <v>5.029044524</v>
      </c>
      <c r="E246" s="41">
        <v>0.448101266</v>
      </c>
      <c r="F246" s="41">
        <v>0.189873418</v>
      </c>
      <c r="G246" s="41">
        <v>0.362025316</v>
      </c>
      <c r="H246" s="79">
        <f t="shared" si="1"/>
        <v>0.08607595</v>
      </c>
      <c r="I246" s="42">
        <v>9.473487763</v>
      </c>
    </row>
    <row r="247">
      <c r="A247" s="1" t="s">
        <v>1034</v>
      </c>
      <c r="B247" s="38">
        <v>657508.0</v>
      </c>
      <c r="C247" s="38">
        <v>1066.0</v>
      </c>
      <c r="D247" s="40">
        <v>5.028477753</v>
      </c>
      <c r="E247" s="41">
        <v>0.458724203</v>
      </c>
      <c r="F247" s="41">
        <v>0.18011257</v>
      </c>
      <c r="G247" s="41">
        <v>0.361163227</v>
      </c>
      <c r="H247" s="79">
        <f t="shared" si="1"/>
        <v>0.097560976</v>
      </c>
      <c r="I247" s="42">
        <v>3.083228145</v>
      </c>
    </row>
    <row r="248" hidden="1">
      <c r="A248" s="1" t="s">
        <v>167</v>
      </c>
      <c r="B248" s="38">
        <v>694037.0</v>
      </c>
      <c r="C248" s="38">
        <v>490.0</v>
      </c>
      <c r="D248" s="40">
        <v>5.028179604</v>
      </c>
      <c r="E248" s="41">
        <v>0.495918367</v>
      </c>
      <c r="F248" s="41">
        <v>0.144897959</v>
      </c>
      <c r="G248" s="41">
        <v>0.359183673</v>
      </c>
      <c r="H248" s="79">
        <f t="shared" si="1"/>
        <v>0.136734694</v>
      </c>
      <c r="I248" s="42">
        <v>0.826768678</v>
      </c>
    </row>
    <row r="249">
      <c r="A249" s="1" t="s">
        <v>633</v>
      </c>
      <c r="B249" s="38">
        <v>663878.0</v>
      </c>
      <c r="C249" s="38">
        <v>726.0</v>
      </c>
      <c r="D249" s="40">
        <v>5.026616295</v>
      </c>
      <c r="E249" s="41">
        <v>0.480716253</v>
      </c>
      <c r="F249" s="41">
        <v>0.14600551</v>
      </c>
      <c r="G249" s="41">
        <v>0.373278237</v>
      </c>
      <c r="H249" s="79">
        <f t="shared" si="1"/>
        <v>0.107438016</v>
      </c>
      <c r="I249" s="42">
        <v>-2.050435102</v>
      </c>
    </row>
    <row r="250">
      <c r="A250" s="1" t="s">
        <v>1029</v>
      </c>
      <c r="B250" s="38">
        <v>674003.0</v>
      </c>
      <c r="C250" s="38">
        <v>970.0</v>
      </c>
      <c r="D250" s="40">
        <v>5.02582522</v>
      </c>
      <c r="E250" s="41">
        <v>0.435051546</v>
      </c>
      <c r="F250" s="41">
        <v>0.208247423</v>
      </c>
      <c r="G250" s="41">
        <v>0.356701031</v>
      </c>
      <c r="H250" s="79">
        <f t="shared" si="1"/>
        <v>0.078350515</v>
      </c>
      <c r="I250" s="42">
        <v>2.117649054</v>
      </c>
    </row>
    <row r="251">
      <c r="A251" s="1" t="s">
        <v>1111</v>
      </c>
      <c r="B251" s="38">
        <v>543507.0</v>
      </c>
      <c r="C251" s="38">
        <v>769.0</v>
      </c>
      <c r="D251" s="40">
        <v>5.025518811</v>
      </c>
      <c r="E251" s="41">
        <v>0.457737321</v>
      </c>
      <c r="F251" s="41">
        <v>0.180754226</v>
      </c>
      <c r="G251" s="41">
        <v>0.361508453</v>
      </c>
      <c r="H251" s="79">
        <f t="shared" si="1"/>
        <v>0.096228868</v>
      </c>
      <c r="I251" s="42">
        <v>6.308715964</v>
      </c>
    </row>
    <row r="252">
      <c r="A252" s="1" t="s">
        <v>1112</v>
      </c>
      <c r="B252" s="38">
        <v>656529.0</v>
      </c>
      <c r="C252" s="38">
        <v>842.0</v>
      </c>
      <c r="D252" s="40">
        <v>5.025388867</v>
      </c>
      <c r="E252" s="41">
        <v>0.45368171</v>
      </c>
      <c r="F252" s="41">
        <v>0.167458432</v>
      </c>
      <c r="G252" s="41">
        <v>0.378859857</v>
      </c>
      <c r="H252" s="79">
        <f t="shared" si="1"/>
        <v>0.074821853</v>
      </c>
      <c r="I252" s="42">
        <v>-3.148161523</v>
      </c>
    </row>
    <row r="253">
      <c r="A253" s="1" t="s">
        <v>715</v>
      </c>
      <c r="B253" s="38">
        <v>628317.0</v>
      </c>
      <c r="C253" s="38">
        <v>1683.0</v>
      </c>
      <c r="D253" s="40">
        <v>5.025225205</v>
      </c>
      <c r="E253" s="41">
        <v>0.418300654</v>
      </c>
      <c r="F253" s="41">
        <v>0.207961973</v>
      </c>
      <c r="G253" s="41">
        <v>0.373737374</v>
      </c>
      <c r="H253" s="79">
        <f t="shared" si="1"/>
        <v>0.04456328</v>
      </c>
      <c r="I253" s="42">
        <v>11.04769677</v>
      </c>
    </row>
    <row r="254">
      <c r="A254" s="1" t="s">
        <v>1113</v>
      </c>
      <c r="B254" s="38">
        <v>425844.0</v>
      </c>
      <c r="C254" s="38">
        <v>2204.0</v>
      </c>
      <c r="D254" s="40">
        <v>5.025199862</v>
      </c>
      <c r="E254" s="41">
        <v>0.426043557</v>
      </c>
      <c r="F254" s="41">
        <v>0.200090744</v>
      </c>
      <c r="G254" s="41">
        <v>0.373865699</v>
      </c>
      <c r="H254" s="79">
        <f t="shared" si="1"/>
        <v>0.052177858</v>
      </c>
      <c r="I254" s="42">
        <v>-15.8597573</v>
      </c>
    </row>
    <row r="255">
      <c r="A255" s="1" t="s">
        <v>953</v>
      </c>
      <c r="B255" s="38">
        <v>502085.0</v>
      </c>
      <c r="C255" s="38">
        <v>1060.0</v>
      </c>
      <c r="D255" s="40">
        <v>5.02464425</v>
      </c>
      <c r="E255" s="41">
        <v>0.460377358</v>
      </c>
      <c r="F255" s="41">
        <v>0.161320755</v>
      </c>
      <c r="G255" s="41">
        <v>0.378301887</v>
      </c>
      <c r="H255" s="79">
        <f t="shared" si="1"/>
        <v>0.082075471</v>
      </c>
      <c r="I255" s="42">
        <v>-0.135225314</v>
      </c>
    </row>
    <row r="256">
      <c r="A256" s="1" t="s">
        <v>293</v>
      </c>
      <c r="B256" s="38">
        <v>663738.0</v>
      </c>
      <c r="C256" s="38">
        <v>806.0</v>
      </c>
      <c r="D256" s="40">
        <v>5.024109996</v>
      </c>
      <c r="E256" s="41">
        <v>0.447890819</v>
      </c>
      <c r="F256" s="41">
        <v>0.188585608</v>
      </c>
      <c r="G256" s="41">
        <v>0.363523573</v>
      </c>
      <c r="H256" s="79">
        <f t="shared" si="1"/>
        <v>0.084367246</v>
      </c>
      <c r="I256" s="42">
        <v>-3.998086273</v>
      </c>
    </row>
    <row r="257">
      <c r="A257" s="1" t="s">
        <v>572</v>
      </c>
      <c r="B257" s="38">
        <v>669330.0</v>
      </c>
      <c r="C257" s="38">
        <v>1876.0</v>
      </c>
      <c r="D257" s="40">
        <v>5.023799103</v>
      </c>
      <c r="E257" s="41">
        <v>0.421108742</v>
      </c>
      <c r="F257" s="41">
        <v>0.198294243</v>
      </c>
      <c r="G257" s="41">
        <v>0.380597015</v>
      </c>
      <c r="H257" s="79">
        <f t="shared" si="1"/>
        <v>0.040511727</v>
      </c>
      <c r="I257" s="42">
        <v>23.12299926</v>
      </c>
    </row>
    <row r="258">
      <c r="A258" s="1" t="s">
        <v>171</v>
      </c>
      <c r="B258" s="38">
        <v>665795.0</v>
      </c>
      <c r="C258" s="38">
        <v>1789.0</v>
      </c>
      <c r="D258" s="40">
        <v>5.022812699</v>
      </c>
      <c r="E258" s="41">
        <v>0.458915595</v>
      </c>
      <c r="F258" s="41">
        <v>0.173281163</v>
      </c>
      <c r="G258" s="41">
        <v>0.367803242</v>
      </c>
      <c r="H258" s="79">
        <f t="shared" si="1"/>
        <v>0.091112353</v>
      </c>
      <c r="I258" s="42">
        <v>12.49379373</v>
      </c>
    </row>
    <row r="259" hidden="1">
      <c r="A259" s="1" t="s">
        <v>365</v>
      </c>
      <c r="B259" s="38">
        <v>680767.0</v>
      </c>
      <c r="C259" s="38">
        <v>185.0</v>
      </c>
      <c r="D259" s="40">
        <v>5.022163919</v>
      </c>
      <c r="E259" s="41">
        <v>0.437837838</v>
      </c>
      <c r="F259" s="41">
        <v>0.189189189</v>
      </c>
      <c r="G259" s="41">
        <v>0.372972973</v>
      </c>
      <c r="H259" s="79">
        <f t="shared" si="1"/>
        <v>0.064864865</v>
      </c>
      <c r="I259" s="42">
        <v>-4.118312398</v>
      </c>
    </row>
    <row r="260">
      <c r="A260" s="1" t="s">
        <v>1114</v>
      </c>
      <c r="B260" s="38">
        <v>502171.0</v>
      </c>
      <c r="C260" s="38">
        <v>2480.0</v>
      </c>
      <c r="D260" s="40">
        <v>5.021554985</v>
      </c>
      <c r="E260" s="41">
        <v>0.441935484</v>
      </c>
      <c r="F260" s="41">
        <v>0.202419355</v>
      </c>
      <c r="G260" s="41">
        <v>0.355645161</v>
      </c>
      <c r="H260" s="79">
        <f t="shared" si="1"/>
        <v>0.086290323</v>
      </c>
      <c r="I260" s="42">
        <v>-9.289291959</v>
      </c>
    </row>
    <row r="261">
      <c r="A261" s="1" t="s">
        <v>304</v>
      </c>
      <c r="B261" s="38">
        <v>666808.0</v>
      </c>
      <c r="C261" s="38">
        <v>1124.0</v>
      </c>
      <c r="D261" s="40">
        <v>5.020079915</v>
      </c>
      <c r="E261" s="41">
        <v>0.439501779</v>
      </c>
      <c r="F261" s="41">
        <v>0.18683274</v>
      </c>
      <c r="G261" s="41">
        <v>0.37366548</v>
      </c>
      <c r="H261" s="79">
        <f t="shared" si="1"/>
        <v>0.065836299</v>
      </c>
      <c r="I261" s="42">
        <v>11.11573725</v>
      </c>
    </row>
    <row r="262">
      <c r="A262" s="1" t="s">
        <v>148</v>
      </c>
      <c r="B262" s="38">
        <v>592866.0</v>
      </c>
      <c r="C262" s="38">
        <v>2591.0</v>
      </c>
      <c r="D262" s="40">
        <v>5.019423907</v>
      </c>
      <c r="E262" s="41">
        <v>0.424932459</v>
      </c>
      <c r="F262" s="41">
        <v>0.235816287</v>
      </c>
      <c r="G262" s="41">
        <v>0.339251254</v>
      </c>
      <c r="H262" s="79">
        <f t="shared" si="1"/>
        <v>0.085681205</v>
      </c>
      <c r="I262" s="42">
        <v>-14.28866741</v>
      </c>
    </row>
    <row r="263">
      <c r="A263" s="1" t="s">
        <v>1115</v>
      </c>
      <c r="B263" s="38">
        <v>598286.0</v>
      </c>
      <c r="C263" s="38">
        <v>653.0</v>
      </c>
      <c r="D263" s="40">
        <v>5.018868894</v>
      </c>
      <c r="E263" s="41">
        <v>0.407350689</v>
      </c>
      <c r="F263" s="41">
        <v>0.295558959</v>
      </c>
      <c r="G263" s="41">
        <v>0.297090352</v>
      </c>
      <c r="H263" s="79">
        <f t="shared" si="1"/>
        <v>0.110260337</v>
      </c>
      <c r="I263" s="42">
        <v>2.435049915</v>
      </c>
    </row>
    <row r="264">
      <c r="A264" s="1" t="s">
        <v>588</v>
      </c>
      <c r="B264" s="38">
        <v>502043.0</v>
      </c>
      <c r="C264" s="38">
        <v>3008.0</v>
      </c>
      <c r="D264" s="40">
        <v>5.018576096</v>
      </c>
      <c r="E264" s="41">
        <v>0.42918883</v>
      </c>
      <c r="F264" s="41">
        <v>0.249335106</v>
      </c>
      <c r="G264" s="41">
        <v>0.321476064</v>
      </c>
      <c r="H264" s="79">
        <f t="shared" si="1"/>
        <v>0.107712766</v>
      </c>
      <c r="I264" s="42">
        <v>-22.0758558</v>
      </c>
    </row>
    <row r="265">
      <c r="A265" s="1" t="s">
        <v>1116</v>
      </c>
      <c r="B265" s="38">
        <v>640470.0</v>
      </c>
      <c r="C265" s="38">
        <v>935.0</v>
      </c>
      <c r="D265" s="40">
        <v>5.018060323</v>
      </c>
      <c r="E265" s="41">
        <v>0.42459893</v>
      </c>
      <c r="F265" s="41">
        <v>0.221390374</v>
      </c>
      <c r="G265" s="41">
        <v>0.354010695</v>
      </c>
      <c r="H265" s="79">
        <f t="shared" si="1"/>
        <v>0.070588235</v>
      </c>
      <c r="I265" s="42">
        <v>10.4238745</v>
      </c>
    </row>
    <row r="266">
      <c r="A266" s="1" t="s">
        <v>491</v>
      </c>
      <c r="B266" s="38">
        <v>650644.0</v>
      </c>
      <c r="C266" s="38">
        <v>1993.0</v>
      </c>
      <c r="D266" s="40">
        <v>5.016276946</v>
      </c>
      <c r="E266" s="41">
        <v>0.437029604</v>
      </c>
      <c r="F266" s="41">
        <v>0.209734069</v>
      </c>
      <c r="G266" s="41">
        <v>0.353236327</v>
      </c>
      <c r="H266" s="79">
        <f t="shared" si="1"/>
        <v>0.083793277</v>
      </c>
      <c r="I266" s="42">
        <v>19.81706597</v>
      </c>
    </row>
    <row r="267">
      <c r="A267" s="1" t="s">
        <v>1041</v>
      </c>
      <c r="B267" s="38">
        <v>605397.0</v>
      </c>
      <c r="C267" s="38">
        <v>1536.0</v>
      </c>
      <c r="D267" s="40">
        <v>5.014849846</v>
      </c>
      <c r="E267" s="41">
        <v>0.423828125</v>
      </c>
      <c r="F267" s="41">
        <v>0.213541667</v>
      </c>
      <c r="G267" s="41">
        <v>0.362630208</v>
      </c>
      <c r="H267" s="79">
        <f t="shared" si="1"/>
        <v>0.061197917</v>
      </c>
      <c r="I267" s="42">
        <v>6.487485856</v>
      </c>
    </row>
    <row r="268">
      <c r="A268" s="1" t="s">
        <v>725</v>
      </c>
      <c r="B268" s="38">
        <v>675540.0</v>
      </c>
      <c r="C268" s="38">
        <v>1480.0</v>
      </c>
      <c r="D268" s="40">
        <v>5.014280593</v>
      </c>
      <c r="E268" s="41">
        <v>0.443243243</v>
      </c>
      <c r="F268" s="41">
        <v>0.200675676</v>
      </c>
      <c r="G268" s="41">
        <v>0.356081081</v>
      </c>
      <c r="H268" s="79">
        <f t="shared" si="1"/>
        <v>0.087162162</v>
      </c>
      <c r="I268" s="42">
        <v>-15.02398287</v>
      </c>
    </row>
    <row r="269">
      <c r="A269" s="1" t="s">
        <v>451</v>
      </c>
      <c r="B269" s="38">
        <v>623474.0</v>
      </c>
      <c r="C269" s="38">
        <v>505.0</v>
      </c>
      <c r="D269" s="40">
        <v>5.013858774</v>
      </c>
      <c r="E269" s="41">
        <v>0.441584158</v>
      </c>
      <c r="F269" s="41">
        <v>0.176237624</v>
      </c>
      <c r="G269" s="41">
        <v>0.382178218</v>
      </c>
      <c r="H269" s="79">
        <f t="shared" si="1"/>
        <v>0.05940594</v>
      </c>
      <c r="I269" s="42">
        <v>-0.024322132</v>
      </c>
    </row>
    <row r="270">
      <c r="A270" s="1" t="s">
        <v>452</v>
      </c>
      <c r="B270" s="38">
        <v>607625.0</v>
      </c>
      <c r="C270" s="38">
        <v>2352.0</v>
      </c>
      <c r="D270" s="40">
        <v>5.013630098</v>
      </c>
      <c r="E270" s="41">
        <v>0.433673469</v>
      </c>
      <c r="F270" s="41">
        <v>0.198129252</v>
      </c>
      <c r="G270" s="41">
        <v>0.368197279</v>
      </c>
      <c r="H270" s="79">
        <f t="shared" si="1"/>
        <v>0.06547619</v>
      </c>
      <c r="I270" s="42">
        <v>8.477229705</v>
      </c>
    </row>
    <row r="271">
      <c r="A271" s="1" t="s">
        <v>301</v>
      </c>
      <c r="B271" s="38">
        <v>656557.0</v>
      </c>
      <c r="C271" s="38">
        <v>1724.0</v>
      </c>
      <c r="D271" s="40">
        <v>5.013397875</v>
      </c>
      <c r="E271" s="41">
        <v>0.442575406</v>
      </c>
      <c r="F271" s="41">
        <v>0.207076566</v>
      </c>
      <c r="G271" s="41">
        <v>0.350348028</v>
      </c>
      <c r="H271" s="79">
        <f t="shared" si="1"/>
        <v>0.092227378</v>
      </c>
      <c r="I271" s="42">
        <v>3.558020157</v>
      </c>
    </row>
    <row r="272">
      <c r="A272" s="1" t="s">
        <v>312</v>
      </c>
      <c r="B272" s="38">
        <v>650893.0</v>
      </c>
      <c r="C272" s="38">
        <v>915.0</v>
      </c>
      <c r="D272" s="40">
        <v>5.012280605</v>
      </c>
      <c r="E272" s="41">
        <v>0.431693989</v>
      </c>
      <c r="F272" s="41">
        <v>0.196721311</v>
      </c>
      <c r="G272" s="41">
        <v>0.371584699</v>
      </c>
      <c r="H272" s="79">
        <f t="shared" si="1"/>
        <v>0.06010929</v>
      </c>
      <c r="I272" s="42">
        <v>-1.721530197</v>
      </c>
    </row>
    <row r="273" hidden="1">
      <c r="A273" s="1" t="s">
        <v>492</v>
      </c>
      <c r="B273" s="38">
        <v>671212.0</v>
      </c>
      <c r="C273" s="38">
        <v>240.0</v>
      </c>
      <c r="D273" s="40">
        <v>5.011832329</v>
      </c>
      <c r="E273" s="41">
        <v>0.466666667</v>
      </c>
      <c r="F273" s="41">
        <v>0.158333333</v>
      </c>
      <c r="G273" s="41">
        <v>0.375</v>
      </c>
      <c r="H273" s="79">
        <f t="shared" si="1"/>
        <v>0.091666667</v>
      </c>
      <c r="I273" s="42">
        <v>3.907282472</v>
      </c>
    </row>
    <row r="274">
      <c r="A274" s="1" t="s">
        <v>634</v>
      </c>
      <c r="B274" s="38">
        <v>606303.0</v>
      </c>
      <c r="C274" s="38">
        <v>1108.0</v>
      </c>
      <c r="D274" s="40">
        <v>5.011669695</v>
      </c>
      <c r="E274" s="41">
        <v>0.435920578</v>
      </c>
      <c r="F274" s="41">
        <v>0.198555957</v>
      </c>
      <c r="G274" s="41">
        <v>0.365523466</v>
      </c>
      <c r="H274" s="79">
        <f t="shared" si="1"/>
        <v>0.070397112</v>
      </c>
      <c r="I274" s="42">
        <v>7.603735268</v>
      </c>
    </row>
    <row r="275">
      <c r="A275" s="1" t="s">
        <v>291</v>
      </c>
      <c r="B275" s="38">
        <v>656271.0</v>
      </c>
      <c r="C275" s="38">
        <v>891.0</v>
      </c>
      <c r="D275" s="40">
        <v>5.011612687</v>
      </c>
      <c r="E275" s="41">
        <v>0.429854097</v>
      </c>
      <c r="F275" s="41">
        <v>0.197530864</v>
      </c>
      <c r="G275" s="41">
        <v>0.372615039</v>
      </c>
      <c r="H275" s="79">
        <f t="shared" si="1"/>
        <v>0.057239058</v>
      </c>
      <c r="I275" s="42">
        <v>-1.916541257</v>
      </c>
    </row>
    <row r="276">
      <c r="A276" s="1" t="s">
        <v>1070</v>
      </c>
      <c r="B276" s="38">
        <v>519043.0</v>
      </c>
      <c r="C276" s="38">
        <v>816.0</v>
      </c>
      <c r="D276" s="40">
        <v>5.011259121</v>
      </c>
      <c r="E276" s="41">
        <v>0.452205882</v>
      </c>
      <c r="F276" s="41">
        <v>0.166666667</v>
      </c>
      <c r="G276" s="41">
        <v>0.381127451</v>
      </c>
      <c r="H276" s="79">
        <f t="shared" si="1"/>
        <v>0.071078431</v>
      </c>
      <c r="I276" s="42">
        <v>-0.937596164</v>
      </c>
    </row>
    <row r="277">
      <c r="A277" s="1" t="s">
        <v>119</v>
      </c>
      <c r="B277" s="38">
        <v>669456.0</v>
      </c>
      <c r="C277" s="38">
        <v>1934.0</v>
      </c>
      <c r="D277" s="40">
        <v>5.010338583</v>
      </c>
      <c r="E277" s="41">
        <v>0.447259566</v>
      </c>
      <c r="F277" s="41">
        <v>0.187693899</v>
      </c>
      <c r="G277" s="41">
        <v>0.365046536</v>
      </c>
      <c r="H277" s="79">
        <f t="shared" si="1"/>
        <v>0.08221303</v>
      </c>
      <c r="I277" s="42">
        <v>-17.98544684</v>
      </c>
    </row>
    <row r="278" hidden="1">
      <c r="A278" s="1" t="s">
        <v>1117</v>
      </c>
      <c r="B278" s="38">
        <v>643256.0</v>
      </c>
      <c r="C278" s="38">
        <v>367.0</v>
      </c>
      <c r="D278" s="40">
        <v>5.009788907</v>
      </c>
      <c r="E278" s="41">
        <v>0.441416894</v>
      </c>
      <c r="F278" s="41">
        <v>0.19346049</v>
      </c>
      <c r="G278" s="41">
        <v>0.365122616</v>
      </c>
      <c r="H278" s="79">
        <f t="shared" si="1"/>
        <v>0.076294278</v>
      </c>
      <c r="I278" s="42">
        <v>-2.852911026</v>
      </c>
    </row>
    <row r="279" hidden="1">
      <c r="A279" s="1" t="s">
        <v>595</v>
      </c>
      <c r="B279" s="38">
        <v>677651.0</v>
      </c>
      <c r="C279" s="38">
        <v>463.0</v>
      </c>
      <c r="D279" s="40">
        <v>5.008272311</v>
      </c>
      <c r="E279" s="41">
        <v>0.444924406</v>
      </c>
      <c r="F279" s="41">
        <v>0.174946004</v>
      </c>
      <c r="G279" s="41">
        <v>0.38012959</v>
      </c>
      <c r="H279" s="79">
        <f t="shared" si="1"/>
        <v>0.064794816</v>
      </c>
      <c r="I279" s="42">
        <v>0.311159487</v>
      </c>
    </row>
    <row r="280">
      <c r="A280" s="1" t="s">
        <v>156</v>
      </c>
      <c r="B280" s="38">
        <v>519242.0</v>
      </c>
      <c r="C280" s="38">
        <v>1651.0</v>
      </c>
      <c r="D280" s="40">
        <v>5.007591192</v>
      </c>
      <c r="E280" s="41">
        <v>0.45608722</v>
      </c>
      <c r="F280" s="41">
        <v>0.179285282</v>
      </c>
      <c r="G280" s="41">
        <v>0.364627498</v>
      </c>
      <c r="H280" s="79">
        <f t="shared" si="1"/>
        <v>0.091459722</v>
      </c>
      <c r="I280" s="42">
        <v>8.848638126</v>
      </c>
    </row>
    <row r="281" hidden="1">
      <c r="A281" s="1" t="s">
        <v>63</v>
      </c>
      <c r="B281" s="38">
        <v>687888.0</v>
      </c>
      <c r="C281" s="38">
        <v>362.0</v>
      </c>
      <c r="D281" s="40">
        <v>5.005548727</v>
      </c>
      <c r="E281" s="41">
        <v>0.38121547</v>
      </c>
      <c r="F281" s="41">
        <v>0.337016575</v>
      </c>
      <c r="G281" s="41">
        <v>0.281767956</v>
      </c>
      <c r="H281" s="79">
        <f t="shared" si="1"/>
        <v>0.099447514</v>
      </c>
      <c r="I281" s="42">
        <v>-6.970013073</v>
      </c>
    </row>
    <row r="282">
      <c r="A282" s="1" t="s">
        <v>457</v>
      </c>
      <c r="B282" s="38">
        <v>477132.0</v>
      </c>
      <c r="C282" s="38">
        <v>2009.0</v>
      </c>
      <c r="D282" s="40">
        <v>5.005257829</v>
      </c>
      <c r="E282" s="41">
        <v>0.444997511</v>
      </c>
      <c r="F282" s="41">
        <v>0.18865107</v>
      </c>
      <c r="G282" s="41">
        <v>0.366351419</v>
      </c>
      <c r="H282" s="79">
        <f t="shared" si="1"/>
        <v>0.078646092</v>
      </c>
      <c r="I282" s="42">
        <v>12.74227526</v>
      </c>
    </row>
    <row r="283">
      <c r="A283" s="1" t="s">
        <v>244</v>
      </c>
      <c r="B283" s="38">
        <v>689266.0</v>
      </c>
      <c r="C283" s="38">
        <v>560.0</v>
      </c>
      <c r="D283" s="40">
        <v>5.00507412</v>
      </c>
      <c r="E283" s="41">
        <v>0.448214286</v>
      </c>
      <c r="F283" s="41">
        <v>0.2</v>
      </c>
      <c r="G283" s="41">
        <v>0.351785714</v>
      </c>
      <c r="H283" s="79">
        <f t="shared" si="1"/>
        <v>0.096428572</v>
      </c>
      <c r="I283" s="42">
        <v>-14.96077029</v>
      </c>
    </row>
    <row r="284">
      <c r="A284" s="1" t="s">
        <v>131</v>
      </c>
      <c r="B284" s="38">
        <v>676684.0</v>
      </c>
      <c r="C284" s="38">
        <v>774.0</v>
      </c>
      <c r="D284" s="40">
        <v>5.004655527</v>
      </c>
      <c r="E284" s="41">
        <v>0.431524548</v>
      </c>
      <c r="F284" s="41">
        <v>0.220930233</v>
      </c>
      <c r="G284" s="41">
        <v>0.34754522</v>
      </c>
      <c r="H284" s="79">
        <f t="shared" si="1"/>
        <v>0.083979328</v>
      </c>
      <c r="I284" s="42">
        <v>4.031425273</v>
      </c>
    </row>
    <row r="285" hidden="1">
      <c r="A285" s="1" t="s">
        <v>1118</v>
      </c>
      <c r="B285" s="38">
        <v>664942.0</v>
      </c>
      <c r="C285" s="38">
        <v>303.0</v>
      </c>
      <c r="D285" s="40">
        <v>5.004416545</v>
      </c>
      <c r="E285" s="41">
        <v>0.445544554</v>
      </c>
      <c r="F285" s="41">
        <v>0.178217822</v>
      </c>
      <c r="G285" s="41">
        <v>0.376237624</v>
      </c>
      <c r="H285" s="79">
        <f t="shared" si="1"/>
        <v>0.06930693</v>
      </c>
      <c r="I285" s="42">
        <v>-5.845908911</v>
      </c>
    </row>
    <row r="286" hidden="1">
      <c r="A286" s="1" t="s">
        <v>1119</v>
      </c>
      <c r="B286" s="38">
        <v>663989.0</v>
      </c>
      <c r="C286" s="38">
        <v>200.0</v>
      </c>
      <c r="D286" s="40">
        <v>5.003849975</v>
      </c>
      <c r="E286" s="41">
        <v>0.405</v>
      </c>
      <c r="F286" s="41">
        <v>0.23</v>
      </c>
      <c r="G286" s="41">
        <v>0.365</v>
      </c>
      <c r="H286" s="79">
        <f t="shared" si="1"/>
        <v>0.04</v>
      </c>
      <c r="I286" s="42">
        <v>-4.053151742</v>
      </c>
    </row>
    <row r="287" hidden="1">
      <c r="A287" s="1" t="s">
        <v>778</v>
      </c>
      <c r="B287" s="38">
        <v>622780.0</v>
      </c>
      <c r="C287" s="38">
        <v>485.0</v>
      </c>
      <c r="D287" s="40">
        <v>5.003328567</v>
      </c>
      <c r="E287" s="41">
        <v>0.459793814</v>
      </c>
      <c r="F287" s="41">
        <v>0.15257732</v>
      </c>
      <c r="G287" s="41">
        <v>0.387628866</v>
      </c>
      <c r="H287" s="79">
        <f t="shared" si="1"/>
        <v>0.072164948</v>
      </c>
      <c r="I287" s="42">
        <v>6.517606434</v>
      </c>
    </row>
    <row r="288">
      <c r="A288" s="1" t="s">
        <v>1120</v>
      </c>
      <c r="B288" s="38">
        <v>543475.0</v>
      </c>
      <c r="C288" s="38">
        <v>2804.0</v>
      </c>
      <c r="D288" s="40">
        <v>4.999624214</v>
      </c>
      <c r="E288" s="41">
        <v>0.421540656</v>
      </c>
      <c r="F288" s="41">
        <v>0.273537803</v>
      </c>
      <c r="G288" s="41">
        <v>0.304921541</v>
      </c>
      <c r="H288" s="79">
        <f t="shared" si="1"/>
        <v>0.116619115</v>
      </c>
      <c r="I288" s="42">
        <v>-10.08840081</v>
      </c>
    </row>
    <row r="289">
      <c r="A289" s="1" t="s">
        <v>286</v>
      </c>
      <c r="B289" s="38">
        <v>695243.0</v>
      </c>
      <c r="C289" s="38">
        <v>607.0</v>
      </c>
      <c r="D289" s="40">
        <v>4.999171695</v>
      </c>
      <c r="E289" s="41">
        <v>0.451400329</v>
      </c>
      <c r="F289" s="41">
        <v>0.163097199</v>
      </c>
      <c r="G289" s="41">
        <v>0.385502471</v>
      </c>
      <c r="H289" s="79">
        <f t="shared" si="1"/>
        <v>0.065897858</v>
      </c>
      <c r="I289" s="42">
        <v>5.49347851</v>
      </c>
    </row>
    <row r="290">
      <c r="A290" s="1" t="s">
        <v>858</v>
      </c>
      <c r="B290" s="38">
        <v>657024.0</v>
      </c>
      <c r="C290" s="38">
        <v>1048.0</v>
      </c>
      <c r="D290" s="40">
        <v>4.999032192</v>
      </c>
      <c r="E290" s="41">
        <v>0.427480916</v>
      </c>
      <c r="F290" s="41">
        <v>0.182251908</v>
      </c>
      <c r="G290" s="41">
        <v>0.390267176</v>
      </c>
      <c r="H290" s="79">
        <f t="shared" si="1"/>
        <v>0.03721374</v>
      </c>
      <c r="I290" s="42">
        <v>7.501343997</v>
      </c>
    </row>
    <row r="291">
      <c r="A291" s="1" t="s">
        <v>519</v>
      </c>
      <c r="B291" s="38">
        <v>682120.0</v>
      </c>
      <c r="C291" s="38">
        <v>506.0</v>
      </c>
      <c r="D291" s="40">
        <v>4.998546405</v>
      </c>
      <c r="E291" s="41">
        <v>0.432806324</v>
      </c>
      <c r="F291" s="41">
        <v>0.187747036</v>
      </c>
      <c r="G291" s="41">
        <v>0.37944664</v>
      </c>
      <c r="H291" s="79">
        <f t="shared" si="1"/>
        <v>0.053359684</v>
      </c>
      <c r="I291" s="42">
        <v>-1.799556607</v>
      </c>
    </row>
    <row r="292">
      <c r="A292" s="1" t="s">
        <v>308</v>
      </c>
      <c r="B292" s="38">
        <v>676440.0</v>
      </c>
      <c r="C292" s="38">
        <v>2314.0</v>
      </c>
      <c r="D292" s="40">
        <v>4.99782836</v>
      </c>
      <c r="E292" s="41">
        <v>0.437770095</v>
      </c>
      <c r="F292" s="41">
        <v>0.198789974</v>
      </c>
      <c r="G292" s="41">
        <v>0.363439931</v>
      </c>
      <c r="H292" s="79">
        <f t="shared" si="1"/>
        <v>0.074330164</v>
      </c>
      <c r="I292" s="42">
        <v>6.058266141</v>
      </c>
    </row>
    <row r="293">
      <c r="A293" s="1" t="s">
        <v>656</v>
      </c>
      <c r="B293" s="38">
        <v>605182.0</v>
      </c>
      <c r="C293" s="38">
        <v>2067.0</v>
      </c>
      <c r="D293" s="40">
        <v>4.997312289</v>
      </c>
      <c r="E293" s="41">
        <v>0.453313982</v>
      </c>
      <c r="F293" s="41">
        <v>0.173681664</v>
      </c>
      <c r="G293" s="41">
        <v>0.373004354</v>
      </c>
      <c r="H293" s="79">
        <f t="shared" si="1"/>
        <v>0.080309628</v>
      </c>
      <c r="I293" s="42">
        <v>-9.889532192</v>
      </c>
    </row>
    <row r="294">
      <c r="A294" s="1" t="s">
        <v>1121</v>
      </c>
      <c r="B294" s="38">
        <v>523260.0</v>
      </c>
      <c r="C294" s="38">
        <v>701.0</v>
      </c>
      <c r="D294" s="40">
        <v>4.995640287</v>
      </c>
      <c r="E294" s="41">
        <v>0.445078459</v>
      </c>
      <c r="F294" s="41">
        <v>0.199714693</v>
      </c>
      <c r="G294" s="41">
        <v>0.355206847</v>
      </c>
      <c r="H294" s="79">
        <f t="shared" si="1"/>
        <v>0.089871612</v>
      </c>
      <c r="I294" s="42">
        <v>9.502087222</v>
      </c>
    </row>
    <row r="295">
      <c r="A295" s="1" t="s">
        <v>1122</v>
      </c>
      <c r="B295" s="38">
        <v>425794.0</v>
      </c>
      <c r="C295" s="38">
        <v>1701.0</v>
      </c>
      <c r="D295" s="40">
        <v>4.994624878</v>
      </c>
      <c r="E295" s="41">
        <v>0.434450323</v>
      </c>
      <c r="F295" s="41">
        <v>0.164021164</v>
      </c>
      <c r="G295" s="41">
        <v>0.401528513</v>
      </c>
      <c r="H295" s="79">
        <f t="shared" si="1"/>
        <v>0.03292181</v>
      </c>
      <c r="I295" s="42">
        <v>-38.7936018</v>
      </c>
    </row>
    <row r="296" hidden="1">
      <c r="A296" s="1" t="s">
        <v>558</v>
      </c>
      <c r="B296" s="38">
        <v>596271.0</v>
      </c>
      <c r="C296" s="38">
        <v>440.0</v>
      </c>
      <c r="D296" s="40">
        <v>4.994147314</v>
      </c>
      <c r="E296" s="41">
        <v>0.393181818</v>
      </c>
      <c r="F296" s="41">
        <v>0.288636364</v>
      </c>
      <c r="G296" s="41">
        <v>0.318181818</v>
      </c>
      <c r="H296" s="79">
        <f t="shared" si="1"/>
        <v>0.075</v>
      </c>
      <c r="I296" s="42">
        <v>-4.706038697</v>
      </c>
    </row>
    <row r="297">
      <c r="A297" s="1" t="s">
        <v>238</v>
      </c>
      <c r="B297" s="38">
        <v>683769.0</v>
      </c>
      <c r="C297" s="38">
        <v>680.0</v>
      </c>
      <c r="D297" s="40">
        <v>4.99316596</v>
      </c>
      <c r="E297" s="41">
        <v>0.445588235</v>
      </c>
      <c r="F297" s="41">
        <v>0.189705882</v>
      </c>
      <c r="G297" s="41">
        <v>0.364705882</v>
      </c>
      <c r="H297" s="79">
        <f t="shared" si="1"/>
        <v>0.080882353</v>
      </c>
      <c r="I297" s="42">
        <v>-1.639936542</v>
      </c>
    </row>
    <row r="298">
      <c r="A298" s="1" t="s">
        <v>442</v>
      </c>
      <c r="B298" s="38">
        <v>669674.0</v>
      </c>
      <c r="C298" s="38">
        <v>766.0</v>
      </c>
      <c r="D298" s="40">
        <v>4.991878332</v>
      </c>
      <c r="E298" s="41">
        <v>0.455613577</v>
      </c>
      <c r="F298" s="41">
        <v>0.181462141</v>
      </c>
      <c r="G298" s="41">
        <v>0.362924282</v>
      </c>
      <c r="H298" s="79">
        <f t="shared" si="1"/>
        <v>0.092689295</v>
      </c>
      <c r="I298" s="42">
        <v>-8.293089012</v>
      </c>
    </row>
    <row r="299">
      <c r="A299" s="1" t="s">
        <v>1123</v>
      </c>
      <c r="B299" s="38">
        <v>686610.0</v>
      </c>
      <c r="C299" s="38">
        <v>2522.0</v>
      </c>
      <c r="D299" s="40">
        <v>4.991635892</v>
      </c>
      <c r="E299" s="41">
        <v>0.440523394</v>
      </c>
      <c r="F299" s="41">
        <v>0.250991277</v>
      </c>
      <c r="G299" s="41">
        <v>0.308485329</v>
      </c>
      <c r="H299" s="79">
        <f t="shared" si="1"/>
        <v>0.132038065</v>
      </c>
      <c r="I299" s="42">
        <v>-17.48477168</v>
      </c>
    </row>
    <row r="300" hidden="1">
      <c r="A300" s="1" t="s">
        <v>889</v>
      </c>
      <c r="B300" s="38">
        <v>683175.0</v>
      </c>
      <c r="C300" s="38">
        <v>380.0</v>
      </c>
      <c r="D300" s="40">
        <v>4.989949429</v>
      </c>
      <c r="E300" s="41">
        <v>0.444736842</v>
      </c>
      <c r="F300" s="41">
        <v>0.25</v>
      </c>
      <c r="G300" s="41">
        <v>0.305263158</v>
      </c>
      <c r="H300" s="79">
        <f t="shared" si="1"/>
        <v>0.139473684</v>
      </c>
      <c r="I300" s="42">
        <v>-1.447420257</v>
      </c>
    </row>
    <row r="301" hidden="1">
      <c r="A301" s="1" t="s">
        <v>1124</v>
      </c>
      <c r="B301" s="38">
        <v>642231.0</v>
      </c>
      <c r="C301" s="38">
        <v>228.0</v>
      </c>
      <c r="D301" s="40">
        <v>4.98846782</v>
      </c>
      <c r="E301" s="41">
        <v>0.399122807</v>
      </c>
      <c r="F301" s="41">
        <v>0.298245614</v>
      </c>
      <c r="G301" s="41">
        <v>0.302631579</v>
      </c>
      <c r="H301" s="79">
        <f t="shared" si="1"/>
        <v>0.096491228</v>
      </c>
      <c r="I301" s="42">
        <v>-0.49860205</v>
      </c>
    </row>
    <row r="302">
      <c r="A302" s="1" t="s">
        <v>641</v>
      </c>
      <c r="B302" s="38">
        <v>680704.0</v>
      </c>
      <c r="C302" s="38">
        <v>998.0</v>
      </c>
      <c r="D302" s="40">
        <v>4.988343364</v>
      </c>
      <c r="E302" s="41">
        <v>0.429859719</v>
      </c>
      <c r="F302" s="41">
        <v>0.175350701</v>
      </c>
      <c r="G302" s="41">
        <v>0.394789579</v>
      </c>
      <c r="H302" s="79">
        <f t="shared" si="1"/>
        <v>0.03507014</v>
      </c>
      <c r="I302" s="42">
        <v>10.77818915</v>
      </c>
    </row>
    <row r="303" hidden="1">
      <c r="A303" s="1" t="s">
        <v>934</v>
      </c>
      <c r="B303" s="38">
        <v>664948.0</v>
      </c>
      <c r="C303" s="38">
        <v>240.0</v>
      </c>
      <c r="D303" s="40">
        <v>4.987601083</v>
      </c>
      <c r="E303" s="41">
        <v>0.408333333</v>
      </c>
      <c r="F303" s="41">
        <v>0.208333333</v>
      </c>
      <c r="G303" s="41">
        <v>0.383333333</v>
      </c>
      <c r="H303" s="79">
        <f t="shared" si="1"/>
        <v>0.025</v>
      </c>
      <c r="I303" s="42">
        <v>-2.966105776</v>
      </c>
    </row>
    <row r="304">
      <c r="A304" s="1" t="s">
        <v>281</v>
      </c>
      <c r="B304" s="38">
        <v>622663.0</v>
      </c>
      <c r="C304" s="38">
        <v>1624.0</v>
      </c>
      <c r="D304" s="40">
        <v>4.987481872</v>
      </c>
      <c r="E304" s="41">
        <v>0.426108374</v>
      </c>
      <c r="F304" s="41">
        <v>0.216133005</v>
      </c>
      <c r="G304" s="41">
        <v>0.357758621</v>
      </c>
      <c r="H304" s="79">
        <f t="shared" si="1"/>
        <v>0.068349753</v>
      </c>
      <c r="I304" s="42">
        <v>-15.16999414</v>
      </c>
    </row>
    <row r="305">
      <c r="A305" s="1" t="s">
        <v>903</v>
      </c>
      <c r="B305" s="38">
        <v>607179.0</v>
      </c>
      <c r="C305" s="38">
        <v>915.0</v>
      </c>
      <c r="D305" s="40">
        <v>4.987326072</v>
      </c>
      <c r="E305" s="41">
        <v>0.443715847</v>
      </c>
      <c r="F305" s="41">
        <v>0.181420765</v>
      </c>
      <c r="G305" s="41">
        <v>0.374863388</v>
      </c>
      <c r="H305" s="79">
        <f t="shared" si="1"/>
        <v>0.068852459</v>
      </c>
      <c r="I305" s="42">
        <v>9.853617104</v>
      </c>
    </row>
    <row r="306">
      <c r="A306" s="1" t="s">
        <v>24</v>
      </c>
      <c r="B306" s="38">
        <v>672282.0</v>
      </c>
      <c r="C306" s="38">
        <v>2577.0</v>
      </c>
      <c r="D306" s="40">
        <v>4.986190614</v>
      </c>
      <c r="E306" s="41">
        <v>0.453240202</v>
      </c>
      <c r="F306" s="41">
        <v>0.173845557</v>
      </c>
      <c r="G306" s="41">
        <v>0.372914241</v>
      </c>
      <c r="H306" s="79">
        <f t="shared" si="1"/>
        <v>0.080325961</v>
      </c>
      <c r="I306" s="42">
        <v>-1.330116424</v>
      </c>
    </row>
    <row r="307" hidden="1">
      <c r="A307" s="1" t="s">
        <v>579</v>
      </c>
      <c r="B307" s="38">
        <v>686730.0</v>
      </c>
      <c r="C307" s="38">
        <v>290.0</v>
      </c>
      <c r="D307" s="40">
        <v>4.985180928</v>
      </c>
      <c r="E307" s="41">
        <v>0.437931034</v>
      </c>
      <c r="F307" s="41">
        <v>0.168965517</v>
      </c>
      <c r="G307" s="41">
        <v>0.393103448</v>
      </c>
      <c r="H307" s="79">
        <f t="shared" si="1"/>
        <v>0.044827586</v>
      </c>
      <c r="I307" s="42">
        <v>-0.95035995</v>
      </c>
    </row>
    <row r="308">
      <c r="A308" s="1" t="s">
        <v>817</v>
      </c>
      <c r="B308" s="38">
        <v>672335.0</v>
      </c>
      <c r="C308" s="38">
        <v>869.0</v>
      </c>
      <c r="D308" s="40">
        <v>4.98335553</v>
      </c>
      <c r="E308" s="41">
        <v>0.449942463</v>
      </c>
      <c r="F308" s="41">
        <v>0.20598389</v>
      </c>
      <c r="G308" s="41">
        <v>0.344073648</v>
      </c>
      <c r="H308" s="79">
        <f t="shared" si="1"/>
        <v>0.105868815</v>
      </c>
      <c r="I308" s="42">
        <v>-8.462061722</v>
      </c>
    </row>
    <row r="309">
      <c r="A309" s="1" t="s">
        <v>1031</v>
      </c>
      <c r="B309" s="38">
        <v>571882.0</v>
      </c>
      <c r="C309" s="38">
        <v>950.0</v>
      </c>
      <c r="D309" s="40">
        <v>4.982166949</v>
      </c>
      <c r="E309" s="41">
        <v>0.435789474</v>
      </c>
      <c r="F309" s="41">
        <v>0.196842105</v>
      </c>
      <c r="G309" s="41">
        <v>0.367368421</v>
      </c>
      <c r="H309" s="79">
        <f t="shared" si="1"/>
        <v>0.068421053</v>
      </c>
      <c r="I309" s="42">
        <v>6.720425864</v>
      </c>
    </row>
    <row r="310">
      <c r="A310" s="1" t="s">
        <v>504</v>
      </c>
      <c r="B310" s="38">
        <v>663372.0</v>
      </c>
      <c r="C310" s="38">
        <v>765.0</v>
      </c>
      <c r="D310" s="40">
        <v>4.980320416</v>
      </c>
      <c r="E310" s="41">
        <v>0.458823529</v>
      </c>
      <c r="F310" s="41">
        <v>0.17254902</v>
      </c>
      <c r="G310" s="41">
        <v>0.368627451</v>
      </c>
      <c r="H310" s="79">
        <f t="shared" si="1"/>
        <v>0.090196078</v>
      </c>
      <c r="I310" s="42">
        <v>0.455136982</v>
      </c>
    </row>
    <row r="311">
      <c r="A311" s="1" t="s">
        <v>311</v>
      </c>
      <c r="B311" s="38">
        <v>656546.0</v>
      </c>
      <c r="C311" s="38">
        <v>861.0</v>
      </c>
      <c r="D311" s="40">
        <v>4.97959133</v>
      </c>
      <c r="E311" s="41">
        <v>0.442508711</v>
      </c>
      <c r="F311" s="41">
        <v>0.195121951</v>
      </c>
      <c r="G311" s="41">
        <v>0.362369338</v>
      </c>
      <c r="H311" s="79">
        <f t="shared" si="1"/>
        <v>0.080139373</v>
      </c>
      <c r="I311" s="42">
        <v>19.74821013</v>
      </c>
    </row>
    <row r="312" hidden="1">
      <c r="A312" s="1" t="s">
        <v>444</v>
      </c>
      <c r="B312" s="38">
        <v>681869.0</v>
      </c>
      <c r="C312" s="38">
        <v>172.0</v>
      </c>
      <c r="D312" s="40">
        <v>4.979411424</v>
      </c>
      <c r="E312" s="41">
        <v>0.430232558</v>
      </c>
      <c r="F312" s="41">
        <v>0.197674419</v>
      </c>
      <c r="G312" s="41">
        <v>0.372093023</v>
      </c>
      <c r="H312" s="79">
        <f t="shared" si="1"/>
        <v>0.058139535</v>
      </c>
      <c r="I312" s="42">
        <v>-3.654570479</v>
      </c>
    </row>
    <row r="313">
      <c r="A313" s="1" t="s">
        <v>1125</v>
      </c>
      <c r="B313" s="38">
        <v>643493.0</v>
      </c>
      <c r="C313" s="38">
        <v>748.0</v>
      </c>
      <c r="D313" s="40">
        <v>4.978846103</v>
      </c>
      <c r="E313" s="41">
        <v>0.422459893</v>
      </c>
      <c r="F313" s="41">
        <v>0.191176471</v>
      </c>
      <c r="G313" s="41">
        <v>0.386363636</v>
      </c>
      <c r="H313" s="79">
        <f t="shared" si="1"/>
        <v>0.036096257</v>
      </c>
      <c r="I313" s="42">
        <v>3.837525779</v>
      </c>
    </row>
    <row r="314">
      <c r="A314" s="1" t="s">
        <v>103</v>
      </c>
      <c r="B314" s="38">
        <v>571946.0</v>
      </c>
      <c r="C314" s="38">
        <v>658.0</v>
      </c>
      <c r="D314" s="40">
        <v>4.977707663</v>
      </c>
      <c r="E314" s="41">
        <v>0.460486322</v>
      </c>
      <c r="F314" s="41">
        <v>0.168693009</v>
      </c>
      <c r="G314" s="41">
        <v>0.370820669</v>
      </c>
      <c r="H314" s="79">
        <f t="shared" si="1"/>
        <v>0.089665653</v>
      </c>
      <c r="I314" s="42">
        <v>14.27713342</v>
      </c>
    </row>
    <row r="315">
      <c r="A315" s="1" t="s">
        <v>1022</v>
      </c>
      <c r="B315" s="38">
        <v>608723.0</v>
      </c>
      <c r="C315" s="38">
        <v>657.0</v>
      </c>
      <c r="D315" s="40">
        <v>4.976834808</v>
      </c>
      <c r="E315" s="41">
        <v>0.429223744</v>
      </c>
      <c r="F315" s="41">
        <v>0.251141553</v>
      </c>
      <c r="G315" s="41">
        <v>0.319634703</v>
      </c>
      <c r="H315" s="79">
        <f t="shared" si="1"/>
        <v>0.109589041</v>
      </c>
      <c r="I315" s="42">
        <v>-5.345959587</v>
      </c>
    </row>
    <row r="316">
      <c r="A316" s="1" t="s">
        <v>600</v>
      </c>
      <c r="B316" s="38">
        <v>670174.0</v>
      </c>
      <c r="C316" s="38">
        <v>1369.0</v>
      </c>
      <c r="D316" s="40">
        <v>4.976110292</v>
      </c>
      <c r="E316" s="41">
        <v>0.417823229</v>
      </c>
      <c r="F316" s="41">
        <v>0.217677137</v>
      </c>
      <c r="G316" s="41">
        <v>0.364499635</v>
      </c>
      <c r="H316" s="79">
        <f t="shared" si="1"/>
        <v>0.053323594</v>
      </c>
      <c r="I316" s="42">
        <v>-1.598465984</v>
      </c>
    </row>
    <row r="317">
      <c r="A317" s="1" t="s">
        <v>1126</v>
      </c>
      <c r="B317" s="38">
        <v>622098.0</v>
      </c>
      <c r="C317" s="38">
        <v>1052.0</v>
      </c>
      <c r="D317" s="40">
        <v>4.975528231</v>
      </c>
      <c r="E317" s="41">
        <v>0.456273764</v>
      </c>
      <c r="F317" s="41">
        <v>0.147338403</v>
      </c>
      <c r="G317" s="41">
        <v>0.396387833</v>
      </c>
      <c r="H317" s="79">
        <f t="shared" si="1"/>
        <v>0.059885931</v>
      </c>
      <c r="I317" s="42">
        <v>-3.985714741</v>
      </c>
    </row>
    <row r="318">
      <c r="A318" s="1" t="s">
        <v>433</v>
      </c>
      <c r="B318" s="38">
        <v>642397.0</v>
      </c>
      <c r="C318" s="38">
        <v>958.0</v>
      </c>
      <c r="D318" s="40">
        <v>4.975101174</v>
      </c>
      <c r="E318" s="41">
        <v>0.446764092</v>
      </c>
      <c r="F318" s="41">
        <v>0.186847599</v>
      </c>
      <c r="G318" s="41">
        <v>0.366388309</v>
      </c>
      <c r="H318" s="79">
        <f t="shared" si="1"/>
        <v>0.080375783</v>
      </c>
      <c r="I318" s="42">
        <v>7.163392658</v>
      </c>
    </row>
    <row r="319">
      <c r="A319" s="1" t="s">
        <v>90</v>
      </c>
      <c r="B319" s="38">
        <v>693433.0</v>
      </c>
      <c r="C319" s="38">
        <v>1431.0</v>
      </c>
      <c r="D319" s="40">
        <v>4.974864869</v>
      </c>
      <c r="E319" s="41">
        <v>0.461914745</v>
      </c>
      <c r="F319" s="41">
        <v>0.178895877</v>
      </c>
      <c r="G319" s="41">
        <v>0.359189378</v>
      </c>
      <c r="H319" s="79">
        <f t="shared" si="1"/>
        <v>0.102725367</v>
      </c>
      <c r="I319" s="42">
        <v>5.102883563</v>
      </c>
    </row>
    <row r="320">
      <c r="A320" s="1" t="s">
        <v>225</v>
      </c>
      <c r="B320" s="38">
        <v>596133.0</v>
      </c>
      <c r="C320" s="38">
        <v>2240.0</v>
      </c>
      <c r="D320" s="40">
        <v>4.972656026</v>
      </c>
      <c r="E320" s="41">
        <v>0.419642857</v>
      </c>
      <c r="F320" s="41">
        <v>0.207142857</v>
      </c>
      <c r="G320" s="41">
        <v>0.373214286</v>
      </c>
      <c r="H320" s="79">
        <f t="shared" si="1"/>
        <v>0.046428571</v>
      </c>
      <c r="I320" s="42">
        <v>-15.89290295</v>
      </c>
    </row>
    <row r="321">
      <c r="A321" s="1" t="s">
        <v>115</v>
      </c>
      <c r="B321" s="38">
        <v>543135.0</v>
      </c>
      <c r="C321" s="38">
        <v>2217.0</v>
      </c>
      <c r="D321" s="40">
        <v>4.96968414</v>
      </c>
      <c r="E321" s="41">
        <v>0.436626071</v>
      </c>
      <c r="F321" s="41">
        <v>0.188092016</v>
      </c>
      <c r="G321" s="41">
        <v>0.375281912</v>
      </c>
      <c r="H321" s="79">
        <f t="shared" si="1"/>
        <v>0.061344159</v>
      </c>
      <c r="I321" s="42">
        <v>9.832526</v>
      </c>
    </row>
    <row r="322" hidden="1">
      <c r="A322" s="1" t="s">
        <v>1127</v>
      </c>
      <c r="B322" s="38">
        <v>686294.0</v>
      </c>
      <c r="C322" s="38">
        <v>436.0</v>
      </c>
      <c r="D322" s="40">
        <v>4.968912447</v>
      </c>
      <c r="E322" s="41">
        <v>0.435779817</v>
      </c>
      <c r="F322" s="41">
        <v>0.167431193</v>
      </c>
      <c r="G322" s="41">
        <v>0.396788991</v>
      </c>
      <c r="H322" s="79">
        <f t="shared" si="1"/>
        <v>0.038990826</v>
      </c>
      <c r="I322" s="42">
        <v>-10.62862817</v>
      </c>
    </row>
    <row r="323" hidden="1">
      <c r="A323" s="1" t="s">
        <v>509</v>
      </c>
      <c r="B323" s="38">
        <v>676106.0</v>
      </c>
      <c r="C323" s="38">
        <v>192.0</v>
      </c>
      <c r="D323" s="40">
        <v>4.96891074</v>
      </c>
      <c r="E323" s="41">
        <v>0.416666667</v>
      </c>
      <c r="F323" s="41">
        <v>0.208333333</v>
      </c>
      <c r="G323" s="41">
        <v>0.375</v>
      </c>
      <c r="H323" s="79">
        <f t="shared" si="1"/>
        <v>0.041666667</v>
      </c>
      <c r="I323" s="42">
        <v>-0.79429309</v>
      </c>
    </row>
    <row r="324" hidden="1">
      <c r="A324" s="1" t="s">
        <v>1128</v>
      </c>
      <c r="B324" s="38">
        <v>640444.0</v>
      </c>
      <c r="C324" s="38">
        <v>176.0</v>
      </c>
      <c r="D324" s="40">
        <v>4.968222267</v>
      </c>
      <c r="E324" s="41">
        <v>0.460227273</v>
      </c>
      <c r="F324" s="41">
        <v>0.204545455</v>
      </c>
      <c r="G324" s="41">
        <v>0.335227273</v>
      </c>
      <c r="H324" s="79">
        <f t="shared" si="1"/>
        <v>0.125</v>
      </c>
      <c r="I324" s="42">
        <v>-0.392861483</v>
      </c>
    </row>
    <row r="325">
      <c r="A325" s="1" t="s">
        <v>565</v>
      </c>
      <c r="B325" s="38">
        <v>680735.0</v>
      </c>
      <c r="C325" s="38">
        <v>573.0</v>
      </c>
      <c r="D325" s="40">
        <v>4.966721759</v>
      </c>
      <c r="E325" s="41">
        <v>0.464223386</v>
      </c>
      <c r="F325" s="41">
        <v>0.176265271</v>
      </c>
      <c r="G325" s="41">
        <v>0.359511344</v>
      </c>
      <c r="H325" s="79">
        <f t="shared" si="1"/>
        <v>0.104712042</v>
      </c>
      <c r="I325" s="42">
        <v>4.10149096</v>
      </c>
    </row>
    <row r="326" hidden="1">
      <c r="A326" s="1" t="s">
        <v>748</v>
      </c>
      <c r="B326" s="38">
        <v>643361.0</v>
      </c>
      <c r="C326" s="38">
        <v>416.0</v>
      </c>
      <c r="D326" s="40">
        <v>4.966699416</v>
      </c>
      <c r="E326" s="41">
        <v>0.4375</v>
      </c>
      <c r="F326" s="41">
        <v>0.182692308</v>
      </c>
      <c r="G326" s="41">
        <v>0.379807692</v>
      </c>
      <c r="H326" s="79">
        <f t="shared" si="1"/>
        <v>0.057692308</v>
      </c>
      <c r="I326" s="42">
        <v>0.422753321</v>
      </c>
    </row>
    <row r="327" hidden="1">
      <c r="A327" s="1" t="s">
        <v>1129</v>
      </c>
      <c r="B327" s="38">
        <v>542914.0</v>
      </c>
      <c r="C327" s="38">
        <v>320.0</v>
      </c>
      <c r="D327" s="40">
        <v>4.966502194</v>
      </c>
      <c r="E327" s="41">
        <v>0.43125</v>
      </c>
      <c r="F327" s="41">
        <v>0.203125</v>
      </c>
      <c r="G327" s="41">
        <v>0.365625</v>
      </c>
      <c r="H327" s="79">
        <f t="shared" si="1"/>
        <v>0.065625</v>
      </c>
      <c r="I327" s="42">
        <v>0.185525983</v>
      </c>
    </row>
    <row r="328" hidden="1">
      <c r="A328" s="1" t="s">
        <v>1130</v>
      </c>
      <c r="B328" s="38">
        <v>543351.0</v>
      </c>
      <c r="C328" s="38">
        <v>438.0</v>
      </c>
      <c r="D328" s="40">
        <v>4.966314753</v>
      </c>
      <c r="E328" s="41">
        <v>0.431506849</v>
      </c>
      <c r="F328" s="41">
        <v>0.214611872</v>
      </c>
      <c r="G328" s="41">
        <v>0.353881279</v>
      </c>
      <c r="H328" s="79">
        <f t="shared" si="1"/>
        <v>0.07762557</v>
      </c>
      <c r="I328" s="42">
        <v>4.631084401</v>
      </c>
    </row>
    <row r="329">
      <c r="A329" s="1" t="s">
        <v>169</v>
      </c>
      <c r="B329" s="38">
        <v>671096.0</v>
      </c>
      <c r="C329" s="38">
        <v>1892.0</v>
      </c>
      <c r="D329" s="40">
        <v>4.965646856</v>
      </c>
      <c r="E329" s="41">
        <v>0.421775899</v>
      </c>
      <c r="F329" s="41">
        <v>0.243128964</v>
      </c>
      <c r="G329" s="41">
        <v>0.335095137</v>
      </c>
      <c r="H329" s="79">
        <f t="shared" si="1"/>
        <v>0.086680762</v>
      </c>
      <c r="I329" s="42">
        <v>2.237768764</v>
      </c>
    </row>
    <row r="330">
      <c r="A330" s="1" t="s">
        <v>139</v>
      </c>
      <c r="B330" s="38">
        <v>640448.0</v>
      </c>
      <c r="C330" s="38">
        <v>1092.0</v>
      </c>
      <c r="D330" s="40">
        <v>4.964986685</v>
      </c>
      <c r="E330" s="41">
        <v>0.417582418</v>
      </c>
      <c r="F330" s="41">
        <v>0.201465201</v>
      </c>
      <c r="G330" s="41">
        <v>0.380952381</v>
      </c>
      <c r="H330" s="79">
        <f t="shared" si="1"/>
        <v>0.036630037</v>
      </c>
      <c r="I330" s="42">
        <v>2.238738404</v>
      </c>
    </row>
    <row r="331" hidden="1">
      <c r="A331" s="1" t="s">
        <v>566</v>
      </c>
      <c r="B331" s="38">
        <v>687830.0</v>
      </c>
      <c r="C331" s="38">
        <v>332.0</v>
      </c>
      <c r="D331" s="40">
        <v>4.964917075</v>
      </c>
      <c r="E331" s="41">
        <v>0.427710843</v>
      </c>
      <c r="F331" s="41">
        <v>0.204819277</v>
      </c>
      <c r="G331" s="41">
        <v>0.36746988</v>
      </c>
      <c r="H331" s="79">
        <f t="shared" si="1"/>
        <v>0.060240963</v>
      </c>
      <c r="I331" s="42">
        <v>4.891833291</v>
      </c>
    </row>
    <row r="332" hidden="1">
      <c r="A332" s="1" t="s">
        <v>1131</v>
      </c>
      <c r="B332" s="38">
        <v>682175.0</v>
      </c>
      <c r="C332" s="38">
        <v>432.0</v>
      </c>
      <c r="D332" s="40">
        <v>4.964091856</v>
      </c>
      <c r="E332" s="41">
        <v>0.435185185</v>
      </c>
      <c r="F332" s="41">
        <v>0.171296296</v>
      </c>
      <c r="G332" s="41">
        <v>0.393518519</v>
      </c>
      <c r="H332" s="79">
        <f t="shared" si="1"/>
        <v>0.041666666</v>
      </c>
      <c r="I332" s="42">
        <v>-5.663798868</v>
      </c>
    </row>
    <row r="333">
      <c r="A333" s="1" t="s">
        <v>1132</v>
      </c>
      <c r="B333" s="38">
        <v>656353.0</v>
      </c>
      <c r="C333" s="38">
        <v>835.0</v>
      </c>
      <c r="D333" s="40">
        <v>4.963115068</v>
      </c>
      <c r="E333" s="41">
        <v>0.423952096</v>
      </c>
      <c r="F333" s="41">
        <v>0.223952096</v>
      </c>
      <c r="G333" s="41">
        <v>0.352095808</v>
      </c>
      <c r="H333" s="79">
        <f t="shared" si="1"/>
        <v>0.071856288</v>
      </c>
      <c r="I333" s="42">
        <v>-19.21091206</v>
      </c>
    </row>
    <row r="334">
      <c r="A334" s="1" t="s">
        <v>429</v>
      </c>
      <c r="B334" s="38">
        <v>662253.0</v>
      </c>
      <c r="C334" s="38">
        <v>829.0</v>
      </c>
      <c r="D334" s="40">
        <v>4.963100157</v>
      </c>
      <c r="E334" s="41">
        <v>0.435464415</v>
      </c>
      <c r="F334" s="41">
        <v>0.189384801</v>
      </c>
      <c r="G334" s="41">
        <v>0.375150784</v>
      </c>
      <c r="H334" s="79">
        <f t="shared" si="1"/>
        <v>0.060313631</v>
      </c>
      <c r="I334" s="42">
        <v>0.940521731</v>
      </c>
    </row>
    <row r="335">
      <c r="A335" s="1" t="s">
        <v>402</v>
      </c>
      <c r="B335" s="38">
        <v>669684.0</v>
      </c>
      <c r="C335" s="38">
        <v>864.0</v>
      </c>
      <c r="D335" s="40">
        <v>4.961607513</v>
      </c>
      <c r="E335" s="41">
        <v>0.447916667</v>
      </c>
      <c r="F335" s="41">
        <v>0.146990741</v>
      </c>
      <c r="G335" s="41">
        <v>0.405092593</v>
      </c>
      <c r="H335" s="79">
        <f t="shared" si="1"/>
        <v>0.042824074</v>
      </c>
      <c r="I335" s="42">
        <v>-6.909457435</v>
      </c>
    </row>
    <row r="336">
      <c r="A336" s="1" t="s">
        <v>1066</v>
      </c>
      <c r="B336" s="38">
        <v>572020.0</v>
      </c>
      <c r="C336" s="38">
        <v>1677.0</v>
      </c>
      <c r="D336" s="40">
        <v>4.961347035</v>
      </c>
      <c r="E336" s="41">
        <v>0.437686345</v>
      </c>
      <c r="F336" s="41">
        <v>0.181872391</v>
      </c>
      <c r="G336" s="41">
        <v>0.380441264</v>
      </c>
      <c r="H336" s="79">
        <f t="shared" si="1"/>
        <v>0.057245081</v>
      </c>
      <c r="I336" s="42">
        <v>0.439679702</v>
      </c>
    </row>
    <row r="337">
      <c r="A337" s="1" t="s">
        <v>943</v>
      </c>
      <c r="B337" s="38">
        <v>548384.0</v>
      </c>
      <c r="C337" s="38">
        <v>970.0</v>
      </c>
      <c r="D337" s="40">
        <v>4.960808459</v>
      </c>
      <c r="E337" s="41">
        <v>0.426804124</v>
      </c>
      <c r="F337" s="41">
        <v>0.307216495</v>
      </c>
      <c r="G337" s="41">
        <v>0.265979381</v>
      </c>
      <c r="H337" s="79">
        <f t="shared" si="1"/>
        <v>0.160824743</v>
      </c>
      <c r="I337" s="42">
        <v>9.066198679</v>
      </c>
    </row>
    <row r="338">
      <c r="A338" s="1" t="s">
        <v>431</v>
      </c>
      <c r="B338" s="38">
        <v>669203.0</v>
      </c>
      <c r="C338" s="38">
        <v>3052.0</v>
      </c>
      <c r="D338" s="40">
        <v>4.960712709</v>
      </c>
      <c r="E338" s="41">
        <v>0.415792923</v>
      </c>
      <c r="F338" s="41">
        <v>0.205111402</v>
      </c>
      <c r="G338" s="41">
        <v>0.379095675</v>
      </c>
      <c r="H338" s="79">
        <f t="shared" si="1"/>
        <v>0.036697248</v>
      </c>
      <c r="I338" s="42">
        <v>42.39703563</v>
      </c>
    </row>
    <row r="339" hidden="1">
      <c r="A339" s="1" t="s">
        <v>1133</v>
      </c>
      <c r="B339" s="38">
        <v>542947.0</v>
      </c>
      <c r="C339" s="38">
        <v>452.0</v>
      </c>
      <c r="D339" s="40">
        <v>4.960448969</v>
      </c>
      <c r="E339" s="41">
        <v>0.411504425</v>
      </c>
      <c r="F339" s="41">
        <v>0.210176991</v>
      </c>
      <c r="G339" s="41">
        <v>0.378318584</v>
      </c>
      <c r="H339" s="79">
        <f t="shared" si="1"/>
        <v>0.033185841</v>
      </c>
      <c r="I339" s="42">
        <v>-4.632346615</v>
      </c>
    </row>
    <row r="340">
      <c r="A340" s="1" t="s">
        <v>222</v>
      </c>
      <c r="B340" s="38">
        <v>518876.0</v>
      </c>
      <c r="C340" s="38">
        <v>2786.0</v>
      </c>
      <c r="D340" s="40">
        <v>4.959574342</v>
      </c>
      <c r="E340" s="41">
        <v>0.422110553</v>
      </c>
      <c r="F340" s="41">
        <v>0.194903087</v>
      </c>
      <c r="G340" s="41">
        <v>0.38298636</v>
      </c>
      <c r="H340" s="79">
        <f t="shared" si="1"/>
        <v>0.039124193</v>
      </c>
      <c r="I340" s="42">
        <v>27.0200445</v>
      </c>
    </row>
    <row r="341">
      <c r="A341" s="1" t="s">
        <v>1134</v>
      </c>
      <c r="B341" s="38">
        <v>642545.0</v>
      </c>
      <c r="C341" s="38">
        <v>1331.0</v>
      </c>
      <c r="D341" s="40">
        <v>4.958833527</v>
      </c>
      <c r="E341" s="41">
        <v>0.431254696</v>
      </c>
      <c r="F341" s="41">
        <v>0.1878287</v>
      </c>
      <c r="G341" s="41">
        <v>0.380916604</v>
      </c>
      <c r="H341" s="79">
        <f t="shared" si="1"/>
        <v>0.050338092</v>
      </c>
      <c r="I341" s="42">
        <v>-14.22093765</v>
      </c>
    </row>
    <row r="342" hidden="1">
      <c r="A342" s="1" t="s">
        <v>49</v>
      </c>
      <c r="B342" s="38">
        <v>670970.0</v>
      </c>
      <c r="C342" s="38">
        <v>159.0</v>
      </c>
      <c r="D342" s="40">
        <v>4.958431673</v>
      </c>
      <c r="E342" s="41">
        <v>0.471698113</v>
      </c>
      <c r="F342" s="41">
        <v>0.150943396</v>
      </c>
      <c r="G342" s="41">
        <v>0.377358491</v>
      </c>
      <c r="H342" s="79">
        <f t="shared" si="1"/>
        <v>0.094339622</v>
      </c>
      <c r="I342" s="42">
        <v>-6.226962715</v>
      </c>
    </row>
    <row r="343">
      <c r="A343" s="1" t="s">
        <v>1135</v>
      </c>
      <c r="B343" s="38">
        <v>628708.0</v>
      </c>
      <c r="C343" s="38">
        <v>697.0</v>
      </c>
      <c r="D343" s="40">
        <v>4.95835325</v>
      </c>
      <c r="E343" s="41">
        <v>0.431850789</v>
      </c>
      <c r="F343" s="41">
        <v>0.218077475</v>
      </c>
      <c r="G343" s="41">
        <v>0.350071736</v>
      </c>
      <c r="H343" s="79">
        <f t="shared" si="1"/>
        <v>0.081779053</v>
      </c>
      <c r="I343" s="42">
        <v>-6.705971056</v>
      </c>
    </row>
    <row r="344">
      <c r="A344" s="1" t="s">
        <v>184</v>
      </c>
      <c r="B344" s="38">
        <v>628452.0</v>
      </c>
      <c r="C344" s="38">
        <v>858.0</v>
      </c>
      <c r="D344" s="40">
        <v>4.958301904</v>
      </c>
      <c r="E344" s="41">
        <v>0.403263403</v>
      </c>
      <c r="F344" s="41">
        <v>0.243589744</v>
      </c>
      <c r="G344" s="41">
        <v>0.353146853</v>
      </c>
      <c r="H344" s="79">
        <f t="shared" si="1"/>
        <v>0.05011655</v>
      </c>
      <c r="I344" s="42">
        <v>0.995213069</v>
      </c>
    </row>
    <row r="345" hidden="1">
      <c r="A345" s="1" t="s">
        <v>1001</v>
      </c>
      <c r="B345" s="38">
        <v>665665.0</v>
      </c>
      <c r="C345" s="38">
        <v>309.0</v>
      </c>
      <c r="D345" s="40">
        <v>4.95830065</v>
      </c>
      <c r="E345" s="41">
        <v>0.472491909</v>
      </c>
      <c r="F345" s="41">
        <v>0.145631068</v>
      </c>
      <c r="G345" s="41">
        <v>0.381877023</v>
      </c>
      <c r="H345" s="79">
        <f t="shared" si="1"/>
        <v>0.090614886</v>
      </c>
      <c r="I345" s="42">
        <v>1.994332638</v>
      </c>
    </row>
    <row r="346">
      <c r="A346" s="1" t="s">
        <v>1136</v>
      </c>
      <c r="B346" s="38">
        <v>663658.0</v>
      </c>
      <c r="C346" s="38">
        <v>674.0</v>
      </c>
      <c r="D346" s="40">
        <v>4.957938688</v>
      </c>
      <c r="E346" s="41">
        <v>0.46735905</v>
      </c>
      <c r="F346" s="41">
        <v>0.243323442</v>
      </c>
      <c r="G346" s="41">
        <v>0.289317507</v>
      </c>
      <c r="H346" s="79">
        <f t="shared" si="1"/>
        <v>0.178041543</v>
      </c>
      <c r="I346" s="42">
        <v>9.203669957</v>
      </c>
    </row>
    <row r="347">
      <c r="A347" s="1" t="s">
        <v>82</v>
      </c>
      <c r="B347" s="38">
        <v>663947.0</v>
      </c>
      <c r="C347" s="38">
        <v>1185.0</v>
      </c>
      <c r="D347" s="40">
        <v>4.957623532</v>
      </c>
      <c r="E347" s="41">
        <v>0.430379747</v>
      </c>
      <c r="F347" s="41">
        <v>0.18649789</v>
      </c>
      <c r="G347" s="41">
        <v>0.383122363</v>
      </c>
      <c r="H347" s="79">
        <f t="shared" si="1"/>
        <v>0.047257384</v>
      </c>
      <c r="I347" s="42">
        <v>18.63405791</v>
      </c>
    </row>
    <row r="348" hidden="1">
      <c r="A348" s="1" t="s">
        <v>217</v>
      </c>
      <c r="B348" s="38">
        <v>642701.0</v>
      </c>
      <c r="C348" s="38">
        <v>218.0</v>
      </c>
      <c r="D348" s="40">
        <v>4.957504417</v>
      </c>
      <c r="E348" s="41">
        <v>0.444954128</v>
      </c>
      <c r="F348" s="41">
        <v>0.183486239</v>
      </c>
      <c r="G348" s="41">
        <v>0.371559633</v>
      </c>
      <c r="H348" s="79">
        <f t="shared" si="1"/>
        <v>0.073394495</v>
      </c>
      <c r="I348" s="42">
        <v>1.822419194</v>
      </c>
    </row>
    <row r="349">
      <c r="A349" s="1" t="s">
        <v>1073</v>
      </c>
      <c r="B349" s="38">
        <v>458681.0</v>
      </c>
      <c r="C349" s="38">
        <v>3141.0</v>
      </c>
      <c r="D349" s="40">
        <v>4.95607196</v>
      </c>
      <c r="E349" s="41">
        <v>0.419611589</v>
      </c>
      <c r="F349" s="41">
        <v>0.212989494</v>
      </c>
      <c r="G349" s="41">
        <v>0.367398918</v>
      </c>
      <c r="H349" s="79">
        <f t="shared" si="1"/>
        <v>0.052212671</v>
      </c>
      <c r="I349" s="42">
        <v>-7.884829667</v>
      </c>
    </row>
    <row r="350">
      <c r="A350" s="1" t="s">
        <v>130</v>
      </c>
      <c r="B350" s="38">
        <v>666200.0</v>
      </c>
      <c r="C350" s="38">
        <v>2964.0</v>
      </c>
      <c r="D350" s="40">
        <v>4.956053937</v>
      </c>
      <c r="E350" s="41">
        <v>0.437921727</v>
      </c>
      <c r="F350" s="41">
        <v>0.191295547</v>
      </c>
      <c r="G350" s="41">
        <v>0.370782726</v>
      </c>
      <c r="H350" s="79">
        <f t="shared" si="1"/>
        <v>0.067139001</v>
      </c>
      <c r="I350" s="42">
        <v>-9.787059222</v>
      </c>
    </row>
    <row r="351">
      <c r="A351" s="1" t="s">
        <v>294</v>
      </c>
      <c r="B351" s="38">
        <v>665152.0</v>
      </c>
      <c r="C351" s="38">
        <v>2906.0</v>
      </c>
      <c r="D351" s="40">
        <v>4.953613483</v>
      </c>
      <c r="E351" s="41">
        <v>0.42842395</v>
      </c>
      <c r="F351" s="41">
        <v>0.201307639</v>
      </c>
      <c r="G351" s="41">
        <v>0.37026841</v>
      </c>
      <c r="H351" s="79">
        <f t="shared" si="1"/>
        <v>0.05815554</v>
      </c>
      <c r="I351" s="42">
        <v>-6.147485071</v>
      </c>
    </row>
    <row r="352" hidden="1">
      <c r="A352" s="1" t="s">
        <v>1137</v>
      </c>
      <c r="B352" s="38">
        <v>657248.0</v>
      </c>
      <c r="C352" s="38">
        <v>166.0</v>
      </c>
      <c r="D352" s="40">
        <v>4.953412849</v>
      </c>
      <c r="E352" s="41">
        <v>0.391566265</v>
      </c>
      <c r="F352" s="41">
        <v>0.385542169</v>
      </c>
      <c r="G352" s="41">
        <v>0.222891566</v>
      </c>
      <c r="H352" s="79">
        <f t="shared" si="1"/>
        <v>0.168674699</v>
      </c>
      <c r="I352" s="42">
        <v>-5.8042039</v>
      </c>
    </row>
    <row r="353">
      <c r="A353" s="1" t="s">
        <v>205</v>
      </c>
      <c r="B353" s="38">
        <v>666142.0</v>
      </c>
      <c r="C353" s="38">
        <v>1575.0</v>
      </c>
      <c r="D353" s="40">
        <v>4.952247816</v>
      </c>
      <c r="E353" s="41">
        <v>0.436190476</v>
      </c>
      <c r="F353" s="41">
        <v>0.181587302</v>
      </c>
      <c r="G353" s="41">
        <v>0.382222222</v>
      </c>
      <c r="H353" s="79">
        <f t="shared" si="1"/>
        <v>0.053968254</v>
      </c>
      <c r="I353" s="42">
        <v>15.13868345</v>
      </c>
    </row>
    <row r="354" hidden="1">
      <c r="A354" s="1" t="s">
        <v>872</v>
      </c>
      <c r="B354" s="38">
        <v>621057.0</v>
      </c>
      <c r="C354" s="38">
        <v>347.0</v>
      </c>
      <c r="D354" s="40">
        <v>4.952168084</v>
      </c>
      <c r="E354" s="41">
        <v>0.423631124</v>
      </c>
      <c r="F354" s="41">
        <v>0.175792507</v>
      </c>
      <c r="G354" s="41">
        <v>0.400576369</v>
      </c>
      <c r="H354" s="79">
        <f t="shared" si="1"/>
        <v>0.023054755</v>
      </c>
      <c r="I354" s="42">
        <v>-3.890262065</v>
      </c>
    </row>
    <row r="355" hidden="1">
      <c r="A355" s="1" t="s">
        <v>163</v>
      </c>
      <c r="B355" s="38">
        <v>663460.0</v>
      </c>
      <c r="C355" s="38">
        <v>263.0</v>
      </c>
      <c r="D355" s="40">
        <v>4.951817932</v>
      </c>
      <c r="E355" s="41">
        <v>0.429657795</v>
      </c>
      <c r="F355" s="41">
        <v>0.182509506</v>
      </c>
      <c r="G355" s="41">
        <v>0.3878327</v>
      </c>
      <c r="H355" s="79">
        <f t="shared" si="1"/>
        <v>0.041825095</v>
      </c>
      <c r="I355" s="42">
        <v>-2.015511947</v>
      </c>
    </row>
    <row r="356">
      <c r="A356" s="1" t="s">
        <v>420</v>
      </c>
      <c r="B356" s="38">
        <v>547179.0</v>
      </c>
      <c r="C356" s="38">
        <v>2347.0</v>
      </c>
      <c r="D356" s="40">
        <v>4.951710638</v>
      </c>
      <c r="E356" s="41">
        <v>0.412015339</v>
      </c>
      <c r="F356" s="41">
        <v>0.233915637</v>
      </c>
      <c r="G356" s="41">
        <v>0.354069024</v>
      </c>
      <c r="H356" s="79">
        <f t="shared" si="1"/>
        <v>0.057946315</v>
      </c>
      <c r="I356" s="42">
        <v>3.343687022</v>
      </c>
    </row>
    <row r="357">
      <c r="A357" s="1" t="s">
        <v>1051</v>
      </c>
      <c r="B357" s="38">
        <v>630023.0</v>
      </c>
      <c r="C357" s="38">
        <v>1330.0</v>
      </c>
      <c r="D357" s="40">
        <v>4.950921562</v>
      </c>
      <c r="E357" s="41">
        <v>0.427819549</v>
      </c>
      <c r="F357" s="41">
        <v>0.196240602</v>
      </c>
      <c r="G357" s="41">
        <v>0.37593985</v>
      </c>
      <c r="H357" s="79">
        <f t="shared" si="1"/>
        <v>0.051879699</v>
      </c>
      <c r="I357" s="42">
        <v>0.019474136</v>
      </c>
    </row>
    <row r="358">
      <c r="A358" s="1" t="s">
        <v>979</v>
      </c>
      <c r="B358" s="38">
        <v>676775.0</v>
      </c>
      <c r="C358" s="38">
        <v>591.0</v>
      </c>
      <c r="D358" s="40">
        <v>4.949892523</v>
      </c>
      <c r="E358" s="41">
        <v>0.38071066</v>
      </c>
      <c r="F358" s="41">
        <v>0.301184433</v>
      </c>
      <c r="G358" s="41">
        <v>0.318104907</v>
      </c>
      <c r="H358" s="79">
        <f t="shared" si="1"/>
        <v>0.062605753</v>
      </c>
      <c r="I358" s="42">
        <v>3.445658977</v>
      </c>
    </row>
    <row r="359" hidden="1">
      <c r="A359" s="1" t="s">
        <v>1138</v>
      </c>
      <c r="B359" s="38">
        <v>623451.0</v>
      </c>
      <c r="C359" s="38">
        <v>225.0</v>
      </c>
      <c r="D359" s="40">
        <v>4.948579871</v>
      </c>
      <c r="E359" s="41">
        <v>0.404444444</v>
      </c>
      <c r="F359" s="41">
        <v>0.2</v>
      </c>
      <c r="G359" s="41">
        <v>0.395555556</v>
      </c>
      <c r="H359" s="79">
        <f t="shared" si="1"/>
        <v>0.008888888</v>
      </c>
      <c r="I359" s="42">
        <v>2.401472358</v>
      </c>
    </row>
    <row r="360">
      <c r="A360" s="1" t="s">
        <v>828</v>
      </c>
      <c r="B360" s="38">
        <v>600917.0</v>
      </c>
      <c r="C360" s="38">
        <v>946.0</v>
      </c>
      <c r="D360" s="40">
        <v>4.948464525</v>
      </c>
      <c r="E360" s="41">
        <v>0.429175476</v>
      </c>
      <c r="F360" s="41">
        <v>0.156448203</v>
      </c>
      <c r="G360" s="41">
        <v>0.414376321</v>
      </c>
      <c r="H360" s="79">
        <f t="shared" si="1"/>
        <v>0.014799155</v>
      </c>
      <c r="I360" s="42">
        <v>8.848554071</v>
      </c>
    </row>
    <row r="361">
      <c r="A361" s="1" t="s">
        <v>685</v>
      </c>
      <c r="B361" s="38">
        <v>573009.0</v>
      </c>
      <c r="C361" s="38">
        <v>567.0</v>
      </c>
      <c r="D361" s="40">
        <v>4.947785984</v>
      </c>
      <c r="E361" s="41">
        <v>0.42680776</v>
      </c>
      <c r="F361" s="41">
        <v>0.211640212</v>
      </c>
      <c r="G361" s="41">
        <v>0.361552028</v>
      </c>
      <c r="H361" s="79">
        <f t="shared" si="1"/>
        <v>0.065255732</v>
      </c>
      <c r="I361" s="42">
        <v>4.06304251</v>
      </c>
    </row>
    <row r="362">
      <c r="A362" s="1" t="s">
        <v>1139</v>
      </c>
      <c r="B362" s="38">
        <v>661440.0</v>
      </c>
      <c r="C362" s="38">
        <v>608.0</v>
      </c>
      <c r="D362" s="40">
        <v>4.947160229</v>
      </c>
      <c r="E362" s="41">
        <v>0.434210526</v>
      </c>
      <c r="F362" s="41">
        <v>0.194078947</v>
      </c>
      <c r="G362" s="41">
        <v>0.371710526</v>
      </c>
      <c r="H362" s="79">
        <f t="shared" si="1"/>
        <v>0.0625</v>
      </c>
      <c r="I362" s="42">
        <v>0.89337681</v>
      </c>
    </row>
    <row r="363">
      <c r="A363" s="1" t="s">
        <v>189</v>
      </c>
      <c r="B363" s="38">
        <v>607536.0</v>
      </c>
      <c r="C363" s="38">
        <v>2390.0</v>
      </c>
      <c r="D363" s="40">
        <v>4.946668229</v>
      </c>
      <c r="E363" s="41">
        <v>0.419665272</v>
      </c>
      <c r="F363" s="41">
        <v>0.207112971</v>
      </c>
      <c r="G363" s="41">
        <v>0.373221757</v>
      </c>
      <c r="H363" s="79">
        <f t="shared" si="1"/>
        <v>0.046443515</v>
      </c>
      <c r="I363" s="42">
        <v>-25.85649294</v>
      </c>
    </row>
    <row r="364" hidden="1">
      <c r="A364" s="1" t="s">
        <v>1140</v>
      </c>
      <c r="B364" s="38">
        <v>686651.0</v>
      </c>
      <c r="C364" s="38">
        <v>223.0</v>
      </c>
      <c r="D364" s="40">
        <v>4.943465498</v>
      </c>
      <c r="E364" s="41">
        <v>0.461883408</v>
      </c>
      <c r="F364" s="41">
        <v>0.121076233</v>
      </c>
      <c r="G364" s="41">
        <v>0.417040359</v>
      </c>
      <c r="H364" s="79">
        <f t="shared" si="1"/>
        <v>0.044843049</v>
      </c>
      <c r="I364" s="42">
        <v>-5.519156187</v>
      </c>
    </row>
    <row r="365">
      <c r="A365" s="1" t="s">
        <v>268</v>
      </c>
      <c r="B365" s="38">
        <v>676395.0</v>
      </c>
      <c r="C365" s="38">
        <v>518.0</v>
      </c>
      <c r="D365" s="40">
        <v>4.942967516</v>
      </c>
      <c r="E365" s="41">
        <v>0.424710425</v>
      </c>
      <c r="F365" s="41">
        <v>0.227799228</v>
      </c>
      <c r="G365" s="41">
        <v>0.347490347</v>
      </c>
      <c r="H365" s="79">
        <f t="shared" si="1"/>
        <v>0.077220078</v>
      </c>
      <c r="I365" s="42">
        <v>4.59234852</v>
      </c>
    </row>
    <row r="366">
      <c r="A366" s="1" t="s">
        <v>422</v>
      </c>
      <c r="B366" s="38">
        <v>518585.0</v>
      </c>
      <c r="C366" s="38">
        <v>1111.0</v>
      </c>
      <c r="D366" s="40">
        <v>4.939611127</v>
      </c>
      <c r="E366" s="41">
        <v>0.423942394</v>
      </c>
      <c r="F366" s="41">
        <v>0.185418542</v>
      </c>
      <c r="G366" s="41">
        <v>0.390639064</v>
      </c>
      <c r="H366" s="79">
        <f t="shared" si="1"/>
        <v>0.03330333</v>
      </c>
      <c r="I366" s="42">
        <v>6.349996362</v>
      </c>
    </row>
    <row r="367">
      <c r="A367" s="1" t="s">
        <v>369</v>
      </c>
      <c r="B367" s="38">
        <v>596295.0</v>
      </c>
      <c r="C367" s="38">
        <v>2146.0</v>
      </c>
      <c r="D367" s="40">
        <v>4.93719795</v>
      </c>
      <c r="E367" s="41">
        <v>0.417520969</v>
      </c>
      <c r="F367" s="41">
        <v>0.209692451</v>
      </c>
      <c r="G367" s="41">
        <v>0.37278658</v>
      </c>
      <c r="H367" s="79">
        <f t="shared" si="1"/>
        <v>0.044734389</v>
      </c>
      <c r="I367" s="42">
        <v>-36.70359769</v>
      </c>
    </row>
    <row r="368">
      <c r="A368" s="1" t="s">
        <v>328</v>
      </c>
      <c r="B368" s="38">
        <v>663765.0</v>
      </c>
      <c r="C368" s="38">
        <v>857.0</v>
      </c>
      <c r="D368" s="40">
        <v>4.936486695</v>
      </c>
      <c r="E368" s="41">
        <v>0.422403734</v>
      </c>
      <c r="F368" s="41">
        <v>0.260210035</v>
      </c>
      <c r="G368" s="41">
        <v>0.317386231</v>
      </c>
      <c r="H368" s="79">
        <f t="shared" si="1"/>
        <v>0.105017503</v>
      </c>
      <c r="I368" s="42">
        <v>-6.710421856</v>
      </c>
    </row>
    <row r="369">
      <c r="A369" s="1" t="s">
        <v>1141</v>
      </c>
      <c r="B369" s="38">
        <v>663986.0</v>
      </c>
      <c r="C369" s="38">
        <v>1117.0</v>
      </c>
      <c r="D369" s="40">
        <v>4.936028467</v>
      </c>
      <c r="E369" s="41">
        <v>0.435989257</v>
      </c>
      <c r="F369" s="41">
        <v>0.191584602</v>
      </c>
      <c r="G369" s="41">
        <v>0.372426141</v>
      </c>
      <c r="H369" s="79">
        <f t="shared" si="1"/>
        <v>0.063563116</v>
      </c>
      <c r="I369" s="42">
        <v>-4.751413656</v>
      </c>
    </row>
    <row r="370">
      <c r="A370" s="1" t="s">
        <v>1142</v>
      </c>
      <c r="B370" s="38">
        <v>641703.0</v>
      </c>
      <c r="C370" s="38">
        <v>935.0</v>
      </c>
      <c r="D370" s="40">
        <v>4.935374348</v>
      </c>
      <c r="E370" s="41">
        <v>0.411764706</v>
      </c>
      <c r="F370" s="41">
        <v>0.247058824</v>
      </c>
      <c r="G370" s="41">
        <v>0.341176471</v>
      </c>
      <c r="H370" s="79">
        <f t="shared" si="1"/>
        <v>0.070588235</v>
      </c>
      <c r="I370" s="42">
        <v>1.550774951</v>
      </c>
    </row>
    <row r="371" hidden="1">
      <c r="A371" s="1" t="s">
        <v>1143</v>
      </c>
      <c r="B371" s="38">
        <v>665048.0</v>
      </c>
      <c r="C371" s="38">
        <v>344.0</v>
      </c>
      <c r="D371" s="40">
        <v>4.93528514</v>
      </c>
      <c r="E371" s="41">
        <v>0.453488372</v>
      </c>
      <c r="F371" s="41">
        <v>0.183139535</v>
      </c>
      <c r="G371" s="41">
        <v>0.363372093</v>
      </c>
      <c r="H371" s="79">
        <f t="shared" si="1"/>
        <v>0.090116279</v>
      </c>
      <c r="I371" s="42">
        <v>-0.240881637</v>
      </c>
    </row>
    <row r="372">
      <c r="A372" s="1" t="s">
        <v>373</v>
      </c>
      <c r="B372" s="38">
        <v>640455.0</v>
      </c>
      <c r="C372" s="38">
        <v>2037.0</v>
      </c>
      <c r="D372" s="40">
        <v>4.935050591</v>
      </c>
      <c r="E372" s="41">
        <v>0.428080511</v>
      </c>
      <c r="F372" s="41">
        <v>0.198821797</v>
      </c>
      <c r="G372" s="41">
        <v>0.373097693</v>
      </c>
      <c r="H372" s="79">
        <f t="shared" si="1"/>
        <v>0.054982818</v>
      </c>
      <c r="I372" s="42">
        <v>16.63799713</v>
      </c>
    </row>
    <row r="373" hidden="1">
      <c r="A373" s="1" t="s">
        <v>406</v>
      </c>
      <c r="B373" s="38">
        <v>669711.0</v>
      </c>
      <c r="C373" s="38">
        <v>341.0</v>
      </c>
      <c r="D373" s="40">
        <v>4.935013748</v>
      </c>
      <c r="E373" s="41">
        <v>0.439882698</v>
      </c>
      <c r="F373" s="41">
        <v>0.249266862</v>
      </c>
      <c r="G373" s="41">
        <v>0.31085044</v>
      </c>
      <c r="H373" s="79">
        <f t="shared" si="1"/>
        <v>0.129032258</v>
      </c>
      <c r="I373" s="42">
        <v>-3.215766225</v>
      </c>
    </row>
    <row r="374">
      <c r="A374" s="1" t="s">
        <v>1144</v>
      </c>
      <c r="B374" s="38">
        <v>657265.0</v>
      </c>
      <c r="C374" s="38">
        <v>649.0</v>
      </c>
      <c r="D374" s="40">
        <v>4.933753721</v>
      </c>
      <c r="E374" s="41">
        <v>0.440677966</v>
      </c>
      <c r="F374" s="41">
        <v>0.181818182</v>
      </c>
      <c r="G374" s="41">
        <v>0.377503852</v>
      </c>
      <c r="H374" s="79">
        <f t="shared" si="1"/>
        <v>0.063174114</v>
      </c>
      <c r="I374" s="42">
        <v>3.880232598</v>
      </c>
    </row>
    <row r="375" hidden="1">
      <c r="A375" s="1" t="s">
        <v>1145</v>
      </c>
      <c r="B375" s="38">
        <v>621294.0</v>
      </c>
      <c r="C375" s="38">
        <v>306.0</v>
      </c>
      <c r="D375" s="40">
        <v>4.932507565</v>
      </c>
      <c r="E375" s="41">
        <v>0.454248366</v>
      </c>
      <c r="F375" s="41">
        <v>0.22875817</v>
      </c>
      <c r="G375" s="41">
        <v>0.316993464</v>
      </c>
      <c r="H375" s="79">
        <f t="shared" si="1"/>
        <v>0.137254902</v>
      </c>
      <c r="I375" s="42">
        <v>2.146313523</v>
      </c>
    </row>
    <row r="376" hidden="1">
      <c r="A376" s="1" t="s">
        <v>1018</v>
      </c>
      <c r="B376" s="38">
        <v>668338.0</v>
      </c>
      <c r="C376" s="38">
        <v>222.0</v>
      </c>
      <c r="D376" s="40">
        <v>4.931195626</v>
      </c>
      <c r="E376" s="41">
        <v>0.436936937</v>
      </c>
      <c r="F376" s="41">
        <v>0.157657658</v>
      </c>
      <c r="G376" s="41">
        <v>0.405405405</v>
      </c>
      <c r="H376" s="79">
        <f t="shared" si="1"/>
        <v>0.031531532</v>
      </c>
      <c r="I376" s="42">
        <v>-1.443323821</v>
      </c>
    </row>
    <row r="377">
      <c r="A377" s="1" t="s">
        <v>313</v>
      </c>
      <c r="B377" s="38">
        <v>607067.0</v>
      </c>
      <c r="C377" s="38">
        <v>1977.0</v>
      </c>
      <c r="D377" s="40">
        <v>4.930168506</v>
      </c>
      <c r="E377" s="41">
        <v>0.410217501</v>
      </c>
      <c r="F377" s="41">
        <v>0.245321194</v>
      </c>
      <c r="G377" s="41">
        <v>0.344461305</v>
      </c>
      <c r="H377" s="79">
        <f t="shared" si="1"/>
        <v>0.065756196</v>
      </c>
      <c r="I377" s="42">
        <v>17.20191355</v>
      </c>
    </row>
    <row r="378">
      <c r="A378" s="1" t="s">
        <v>202</v>
      </c>
      <c r="B378" s="38">
        <v>677960.0</v>
      </c>
      <c r="C378" s="38">
        <v>1066.0</v>
      </c>
      <c r="D378" s="40">
        <v>4.929632283</v>
      </c>
      <c r="E378" s="41">
        <v>0.416510319</v>
      </c>
      <c r="F378" s="41">
        <v>0.246716698</v>
      </c>
      <c r="G378" s="41">
        <v>0.336772983</v>
      </c>
      <c r="H378" s="79">
        <f t="shared" si="1"/>
        <v>0.079737336</v>
      </c>
      <c r="I378" s="42">
        <v>-10.07691087</v>
      </c>
    </row>
    <row r="379" hidden="1">
      <c r="A379" s="1" t="s">
        <v>100</v>
      </c>
      <c r="B379" s="38">
        <v>676979.0</v>
      </c>
      <c r="C379" s="38">
        <v>290.0</v>
      </c>
      <c r="D379" s="40">
        <v>4.929001621</v>
      </c>
      <c r="E379" s="41">
        <v>0.465517241</v>
      </c>
      <c r="F379" s="41">
        <v>0.155172414</v>
      </c>
      <c r="G379" s="41">
        <v>0.379310345</v>
      </c>
      <c r="H379" s="79">
        <f t="shared" si="1"/>
        <v>0.086206896</v>
      </c>
      <c r="I379" s="42">
        <v>3.232682949</v>
      </c>
    </row>
    <row r="380">
      <c r="A380" s="1" t="s">
        <v>166</v>
      </c>
      <c r="B380" s="38">
        <v>608331.0</v>
      </c>
      <c r="C380" s="38">
        <v>1230.0</v>
      </c>
      <c r="D380" s="40">
        <v>4.928450667</v>
      </c>
      <c r="E380" s="41">
        <v>0.406504065</v>
      </c>
      <c r="F380" s="41">
        <v>0.214634146</v>
      </c>
      <c r="G380" s="41">
        <v>0.378861789</v>
      </c>
      <c r="H380" s="79">
        <f t="shared" si="1"/>
        <v>0.027642276</v>
      </c>
      <c r="I380" s="42">
        <v>6.173851836</v>
      </c>
    </row>
    <row r="381">
      <c r="A381" s="1" t="s">
        <v>1146</v>
      </c>
      <c r="B381" s="38">
        <v>621074.0</v>
      </c>
      <c r="C381" s="38">
        <v>710.0</v>
      </c>
      <c r="D381" s="40">
        <v>4.927687363</v>
      </c>
      <c r="E381" s="41">
        <v>0.435211268</v>
      </c>
      <c r="F381" s="41">
        <v>0.178873239</v>
      </c>
      <c r="G381" s="41">
        <v>0.385915493</v>
      </c>
      <c r="H381" s="79">
        <f t="shared" si="1"/>
        <v>0.049295775</v>
      </c>
      <c r="I381" s="42">
        <v>-4.556681257</v>
      </c>
    </row>
    <row r="382">
      <c r="A382" s="1" t="s">
        <v>772</v>
      </c>
      <c r="B382" s="38">
        <v>493603.0</v>
      </c>
      <c r="C382" s="38">
        <v>1013.0</v>
      </c>
      <c r="D382" s="40">
        <v>4.927643287</v>
      </c>
      <c r="E382" s="41">
        <v>0.410661402</v>
      </c>
      <c r="F382" s="41">
        <v>0.268509378</v>
      </c>
      <c r="G382" s="41">
        <v>0.32082922</v>
      </c>
      <c r="H382" s="79">
        <f t="shared" si="1"/>
        <v>0.089832182</v>
      </c>
      <c r="I382" s="42">
        <v>10.58641378</v>
      </c>
    </row>
    <row r="383">
      <c r="A383" s="1" t="s">
        <v>578</v>
      </c>
      <c r="B383" s="38">
        <v>592351.0</v>
      </c>
      <c r="C383" s="38">
        <v>2380.0</v>
      </c>
      <c r="D383" s="40">
        <v>4.927292458</v>
      </c>
      <c r="E383" s="41">
        <v>0.428571429</v>
      </c>
      <c r="F383" s="41">
        <v>0.198739496</v>
      </c>
      <c r="G383" s="41">
        <v>0.372689076</v>
      </c>
      <c r="H383" s="79">
        <f t="shared" si="1"/>
        <v>0.055882353</v>
      </c>
      <c r="I383" s="42">
        <v>-10.85214863</v>
      </c>
    </row>
    <row r="384">
      <c r="A384" s="1" t="s">
        <v>287</v>
      </c>
      <c r="B384" s="38">
        <v>571945.0</v>
      </c>
      <c r="C384" s="38">
        <v>3171.0</v>
      </c>
      <c r="D384" s="40">
        <v>4.925337139</v>
      </c>
      <c r="E384" s="41">
        <v>0.405234942</v>
      </c>
      <c r="F384" s="41">
        <v>0.21791233</v>
      </c>
      <c r="G384" s="41">
        <v>0.376852728</v>
      </c>
      <c r="H384" s="79">
        <f t="shared" si="1"/>
        <v>0.028382214</v>
      </c>
      <c r="I384" s="42">
        <v>-2.716794959</v>
      </c>
    </row>
    <row r="385">
      <c r="A385" s="1" t="s">
        <v>1147</v>
      </c>
      <c r="B385" s="38">
        <v>641627.0</v>
      </c>
      <c r="C385" s="38">
        <v>967.0</v>
      </c>
      <c r="D385" s="40">
        <v>4.923661481</v>
      </c>
      <c r="E385" s="41">
        <v>0.442605998</v>
      </c>
      <c r="F385" s="41">
        <v>0.182006205</v>
      </c>
      <c r="G385" s="41">
        <v>0.375387797</v>
      </c>
      <c r="H385" s="79">
        <f t="shared" si="1"/>
        <v>0.067218201</v>
      </c>
      <c r="I385" s="42">
        <v>-9.055593672</v>
      </c>
    </row>
    <row r="386" hidden="1">
      <c r="A386" s="1" t="s">
        <v>1148</v>
      </c>
      <c r="B386" s="38">
        <v>669395.0</v>
      </c>
      <c r="C386" s="38">
        <v>380.0</v>
      </c>
      <c r="D386" s="40">
        <v>4.923389808</v>
      </c>
      <c r="E386" s="41">
        <v>0.442105263</v>
      </c>
      <c r="F386" s="41">
        <v>0.281578947</v>
      </c>
      <c r="G386" s="41">
        <v>0.276315789</v>
      </c>
      <c r="H386" s="79">
        <f t="shared" si="1"/>
        <v>0.165789474</v>
      </c>
      <c r="I386" s="42">
        <v>-1.680810092</v>
      </c>
    </row>
    <row r="387">
      <c r="A387" s="1" t="s">
        <v>787</v>
      </c>
      <c r="B387" s="38">
        <v>668970.0</v>
      </c>
      <c r="C387" s="38">
        <v>601.0</v>
      </c>
      <c r="D387" s="40">
        <v>4.922867366</v>
      </c>
      <c r="E387" s="41">
        <v>0.432612313</v>
      </c>
      <c r="F387" s="41">
        <v>0.198003328</v>
      </c>
      <c r="G387" s="41">
        <v>0.369384359</v>
      </c>
      <c r="H387" s="79">
        <f t="shared" si="1"/>
        <v>0.063227954</v>
      </c>
      <c r="I387" s="42">
        <v>4.420956459</v>
      </c>
    </row>
    <row r="388">
      <c r="A388" s="1" t="s">
        <v>245</v>
      </c>
      <c r="B388" s="38">
        <v>571578.0</v>
      </c>
      <c r="C388" s="38">
        <v>2759.0</v>
      </c>
      <c r="D388" s="40">
        <v>4.922480792</v>
      </c>
      <c r="E388" s="41">
        <v>0.39905763</v>
      </c>
      <c r="F388" s="41">
        <v>0.219282349</v>
      </c>
      <c r="G388" s="41">
        <v>0.381660022</v>
      </c>
      <c r="H388" s="79">
        <f t="shared" si="1"/>
        <v>0.017397608</v>
      </c>
      <c r="I388" s="42">
        <v>-25.18849605</v>
      </c>
    </row>
    <row r="389">
      <c r="A389" s="1" t="s">
        <v>176</v>
      </c>
      <c r="B389" s="38">
        <v>686218.0</v>
      </c>
      <c r="C389" s="38">
        <v>1017.0</v>
      </c>
      <c r="D389" s="40">
        <v>4.922471086</v>
      </c>
      <c r="E389" s="41">
        <v>0.450344149</v>
      </c>
      <c r="F389" s="41">
        <v>0.161258604</v>
      </c>
      <c r="G389" s="41">
        <v>0.388397247</v>
      </c>
      <c r="H389" s="79">
        <f t="shared" si="1"/>
        <v>0.061946902</v>
      </c>
      <c r="I389" s="42">
        <v>3.289322662</v>
      </c>
    </row>
    <row r="390">
      <c r="A390" s="1" t="s">
        <v>1149</v>
      </c>
      <c r="B390" s="38">
        <v>668868.0</v>
      </c>
      <c r="C390" s="38">
        <v>1155.0</v>
      </c>
      <c r="D390" s="40">
        <v>4.921876675</v>
      </c>
      <c r="E390" s="41">
        <v>0.441558442</v>
      </c>
      <c r="F390" s="41">
        <v>0.174025974</v>
      </c>
      <c r="G390" s="41">
        <v>0.384415584</v>
      </c>
      <c r="H390" s="79">
        <f t="shared" si="1"/>
        <v>0.057142858</v>
      </c>
      <c r="I390" s="42">
        <v>-2.296135082</v>
      </c>
    </row>
    <row r="391">
      <c r="A391" s="1" t="s">
        <v>1150</v>
      </c>
      <c r="B391" s="38">
        <v>571901.0</v>
      </c>
      <c r="C391" s="38">
        <v>828.0</v>
      </c>
      <c r="D391" s="40">
        <v>4.921596181</v>
      </c>
      <c r="E391" s="41">
        <v>0.43115942</v>
      </c>
      <c r="F391" s="41">
        <v>0.193236715</v>
      </c>
      <c r="G391" s="41">
        <v>0.375603865</v>
      </c>
      <c r="H391" s="79">
        <f t="shared" si="1"/>
        <v>0.055555555</v>
      </c>
      <c r="I391" s="42">
        <v>-12.8800814</v>
      </c>
    </row>
    <row r="392">
      <c r="A392" s="1" t="s">
        <v>274</v>
      </c>
      <c r="B392" s="38">
        <v>543101.0</v>
      </c>
      <c r="C392" s="38">
        <v>1537.0</v>
      </c>
      <c r="D392" s="40">
        <v>4.921383848</v>
      </c>
      <c r="E392" s="41">
        <v>0.414443722</v>
      </c>
      <c r="F392" s="41">
        <v>0.19713728</v>
      </c>
      <c r="G392" s="41">
        <v>0.388418998</v>
      </c>
      <c r="H392" s="79">
        <f t="shared" si="1"/>
        <v>0.026024724</v>
      </c>
      <c r="I392" s="42">
        <v>-16.41743631</v>
      </c>
    </row>
    <row r="393" hidden="1">
      <c r="A393" s="1" t="s">
        <v>619</v>
      </c>
      <c r="B393" s="38">
        <v>683155.0</v>
      </c>
      <c r="C393" s="38">
        <v>162.0</v>
      </c>
      <c r="D393" s="40">
        <v>4.92126758</v>
      </c>
      <c r="E393" s="41">
        <v>0.407407407</v>
      </c>
      <c r="F393" s="41">
        <v>0.259259259</v>
      </c>
      <c r="G393" s="41">
        <v>0.333333333</v>
      </c>
      <c r="H393" s="79">
        <f t="shared" si="1"/>
        <v>0.074074074</v>
      </c>
      <c r="I393" s="42">
        <v>-2.240931061</v>
      </c>
    </row>
    <row r="394" hidden="1">
      <c r="A394" s="1" t="s">
        <v>586</v>
      </c>
      <c r="B394" s="38">
        <v>669721.0</v>
      </c>
      <c r="C394" s="38">
        <v>214.0</v>
      </c>
      <c r="D394" s="40">
        <v>4.920897196</v>
      </c>
      <c r="E394" s="41">
        <v>0.448598131</v>
      </c>
      <c r="F394" s="41">
        <v>0.158878505</v>
      </c>
      <c r="G394" s="41">
        <v>0.392523364</v>
      </c>
      <c r="H394" s="79">
        <f t="shared" si="1"/>
        <v>0.056074767</v>
      </c>
      <c r="I394" s="42">
        <v>4.319122839</v>
      </c>
    </row>
    <row r="395">
      <c r="A395" s="1" t="s">
        <v>396</v>
      </c>
      <c r="B395" s="38">
        <v>663623.0</v>
      </c>
      <c r="C395" s="38">
        <v>2125.0</v>
      </c>
      <c r="D395" s="40">
        <v>4.92076292</v>
      </c>
      <c r="E395" s="41">
        <v>0.435764706</v>
      </c>
      <c r="F395" s="41">
        <v>0.169882353</v>
      </c>
      <c r="G395" s="41">
        <v>0.394352941</v>
      </c>
      <c r="H395" s="79">
        <f t="shared" si="1"/>
        <v>0.041411765</v>
      </c>
      <c r="I395" s="42">
        <v>13.96871672</v>
      </c>
    </row>
    <row r="396" hidden="1">
      <c r="A396" s="1" t="s">
        <v>812</v>
      </c>
      <c r="B396" s="38">
        <v>676702.0</v>
      </c>
      <c r="C396" s="38">
        <v>172.0</v>
      </c>
      <c r="D396" s="40">
        <v>4.919750645</v>
      </c>
      <c r="E396" s="41">
        <v>0.412790698</v>
      </c>
      <c r="F396" s="41">
        <v>0.23255814</v>
      </c>
      <c r="G396" s="41">
        <v>0.354651163</v>
      </c>
      <c r="H396" s="79">
        <f t="shared" si="1"/>
        <v>0.058139535</v>
      </c>
      <c r="I396" s="42">
        <v>2.537613647</v>
      </c>
    </row>
    <row r="397">
      <c r="A397" s="1" t="s">
        <v>1028</v>
      </c>
      <c r="B397" s="38">
        <v>663776.0</v>
      </c>
      <c r="C397" s="38">
        <v>2612.0</v>
      </c>
      <c r="D397" s="40">
        <v>4.91868366</v>
      </c>
      <c r="E397" s="41">
        <v>0.423047473</v>
      </c>
      <c r="F397" s="41">
        <v>0.189509954</v>
      </c>
      <c r="G397" s="41">
        <v>0.387442573</v>
      </c>
      <c r="H397" s="79">
        <f t="shared" si="1"/>
        <v>0.0356049</v>
      </c>
      <c r="I397" s="42">
        <v>5.973359542</v>
      </c>
    </row>
    <row r="398">
      <c r="A398" s="1" t="s">
        <v>1151</v>
      </c>
      <c r="B398" s="38">
        <v>701643.0</v>
      </c>
      <c r="C398" s="38">
        <v>630.0</v>
      </c>
      <c r="D398" s="40">
        <v>4.918208762</v>
      </c>
      <c r="E398" s="41">
        <v>0.417460317</v>
      </c>
      <c r="F398" s="41">
        <v>0.285714286</v>
      </c>
      <c r="G398" s="41">
        <v>0.296825397</v>
      </c>
      <c r="H398" s="79">
        <f t="shared" si="1"/>
        <v>0.12063492</v>
      </c>
      <c r="I398" s="42">
        <v>0.445038967</v>
      </c>
    </row>
    <row r="399">
      <c r="A399" s="1" t="s">
        <v>1024</v>
      </c>
      <c r="B399" s="38">
        <v>502624.0</v>
      </c>
      <c r="C399" s="38">
        <v>1435.0</v>
      </c>
      <c r="D399" s="40">
        <v>4.918026729</v>
      </c>
      <c r="E399" s="41">
        <v>0.408362369</v>
      </c>
      <c r="F399" s="41">
        <v>0.216724739</v>
      </c>
      <c r="G399" s="41">
        <v>0.374912892</v>
      </c>
      <c r="H399" s="79">
        <f t="shared" si="1"/>
        <v>0.033449477</v>
      </c>
      <c r="I399" s="42">
        <v>-1.698165205</v>
      </c>
    </row>
    <row r="400">
      <c r="A400" s="1" t="s">
        <v>1152</v>
      </c>
      <c r="B400" s="38">
        <v>592789.0</v>
      </c>
      <c r="C400" s="38">
        <v>1390.0</v>
      </c>
      <c r="D400" s="40">
        <v>4.917293922</v>
      </c>
      <c r="E400" s="41">
        <v>0.401438849</v>
      </c>
      <c r="F400" s="41">
        <v>0.207194245</v>
      </c>
      <c r="G400" s="41">
        <v>0.391366906</v>
      </c>
      <c r="H400" s="79">
        <f t="shared" si="1"/>
        <v>0.010071943</v>
      </c>
      <c r="I400" s="42">
        <v>-6.395725993</v>
      </c>
    </row>
    <row r="401" hidden="1">
      <c r="A401" s="1" t="s">
        <v>306</v>
      </c>
      <c r="B401" s="38">
        <v>677944.0</v>
      </c>
      <c r="C401" s="38">
        <v>414.0</v>
      </c>
      <c r="D401" s="40">
        <v>4.916695531</v>
      </c>
      <c r="E401" s="41">
        <v>0.437198068</v>
      </c>
      <c r="F401" s="41">
        <v>0.176328502</v>
      </c>
      <c r="G401" s="41">
        <v>0.38647343</v>
      </c>
      <c r="H401" s="79">
        <f t="shared" si="1"/>
        <v>0.050724638</v>
      </c>
      <c r="I401" s="42">
        <v>-1.214014975</v>
      </c>
    </row>
    <row r="402">
      <c r="A402" s="1" t="s">
        <v>1153</v>
      </c>
      <c r="B402" s="38">
        <v>622772.0</v>
      </c>
      <c r="C402" s="38">
        <v>503.0</v>
      </c>
      <c r="D402" s="40">
        <v>4.91654266</v>
      </c>
      <c r="E402" s="41">
        <v>0.425447316</v>
      </c>
      <c r="F402" s="41">
        <v>0.196819085</v>
      </c>
      <c r="G402" s="41">
        <v>0.377733598</v>
      </c>
      <c r="H402" s="79">
        <f t="shared" si="1"/>
        <v>0.047713718</v>
      </c>
      <c r="I402" s="42">
        <v>6.525203612</v>
      </c>
    </row>
    <row r="403">
      <c r="A403" s="1" t="s">
        <v>410</v>
      </c>
      <c r="B403" s="38">
        <v>678394.0</v>
      </c>
      <c r="C403" s="38">
        <v>2601.0</v>
      </c>
      <c r="D403" s="40">
        <v>4.915317024</v>
      </c>
      <c r="E403" s="41">
        <v>0.415993849</v>
      </c>
      <c r="F403" s="41">
        <v>0.204152249</v>
      </c>
      <c r="G403" s="41">
        <v>0.379853902</v>
      </c>
      <c r="H403" s="79">
        <f t="shared" si="1"/>
        <v>0.036139947</v>
      </c>
      <c r="I403" s="42">
        <v>-3.287504114</v>
      </c>
    </row>
    <row r="404">
      <c r="A404" s="1" t="s">
        <v>1154</v>
      </c>
      <c r="B404" s="38">
        <v>608678.0</v>
      </c>
      <c r="C404" s="38">
        <v>881.0</v>
      </c>
      <c r="D404" s="40">
        <v>4.914503656</v>
      </c>
      <c r="E404" s="41">
        <v>0.407491487</v>
      </c>
      <c r="F404" s="41">
        <v>0.216799092</v>
      </c>
      <c r="G404" s="41">
        <v>0.375709421</v>
      </c>
      <c r="H404" s="79">
        <f t="shared" si="1"/>
        <v>0.031782066</v>
      </c>
      <c r="I404" s="42">
        <v>-5.591475416</v>
      </c>
    </row>
    <row r="405" hidden="1">
      <c r="A405" s="1" t="s">
        <v>724</v>
      </c>
      <c r="B405" s="38">
        <v>642239.0</v>
      </c>
      <c r="C405" s="38">
        <v>385.0</v>
      </c>
      <c r="D405" s="40">
        <v>4.914112361</v>
      </c>
      <c r="E405" s="41">
        <v>0.407792208</v>
      </c>
      <c r="F405" s="41">
        <v>0.2</v>
      </c>
      <c r="G405" s="41">
        <v>0.392207792</v>
      </c>
      <c r="H405" s="79">
        <f t="shared" si="1"/>
        <v>0.015584416</v>
      </c>
      <c r="I405" s="42">
        <v>-2.366702001</v>
      </c>
    </row>
    <row r="406" hidden="1">
      <c r="A406" s="1" t="s">
        <v>1155</v>
      </c>
      <c r="B406" s="38">
        <v>571539.0</v>
      </c>
      <c r="C406" s="38">
        <v>376.0</v>
      </c>
      <c r="D406" s="40">
        <v>4.913119902</v>
      </c>
      <c r="E406" s="41">
        <v>0.401595745</v>
      </c>
      <c r="F406" s="41">
        <v>0.287234043</v>
      </c>
      <c r="G406" s="41">
        <v>0.311170213</v>
      </c>
      <c r="H406" s="79">
        <f t="shared" si="1"/>
        <v>0.090425532</v>
      </c>
      <c r="I406" s="42">
        <v>2.649493451</v>
      </c>
    </row>
    <row r="407">
      <c r="A407" s="1" t="s">
        <v>403</v>
      </c>
      <c r="B407" s="38">
        <v>676254.0</v>
      </c>
      <c r="C407" s="38">
        <v>1073.0</v>
      </c>
      <c r="D407" s="40">
        <v>4.912661928</v>
      </c>
      <c r="E407" s="41">
        <v>0.413793103</v>
      </c>
      <c r="F407" s="41">
        <v>0.18359739</v>
      </c>
      <c r="G407" s="41">
        <v>0.402609506</v>
      </c>
      <c r="H407" s="79">
        <f t="shared" si="1"/>
        <v>0.011183597</v>
      </c>
      <c r="I407" s="42">
        <v>-0.803429498</v>
      </c>
    </row>
    <row r="408">
      <c r="A408" s="1" t="s">
        <v>432</v>
      </c>
      <c r="B408" s="38">
        <v>669467.0</v>
      </c>
      <c r="C408" s="38">
        <v>1106.0</v>
      </c>
      <c r="D408" s="40">
        <v>4.912315882</v>
      </c>
      <c r="E408" s="41">
        <v>0.405063291</v>
      </c>
      <c r="F408" s="41">
        <v>0.208860759</v>
      </c>
      <c r="G408" s="41">
        <v>0.386075949</v>
      </c>
      <c r="H408" s="79">
        <f t="shared" si="1"/>
        <v>0.018987342</v>
      </c>
      <c r="I408" s="42">
        <v>1.36713199</v>
      </c>
    </row>
    <row r="409" hidden="1">
      <c r="A409" s="1" t="s">
        <v>259</v>
      </c>
      <c r="B409" s="38">
        <v>663465.0</v>
      </c>
      <c r="C409" s="38">
        <v>199.0</v>
      </c>
      <c r="D409" s="40">
        <v>4.911960467</v>
      </c>
      <c r="E409" s="41">
        <v>0.432160804</v>
      </c>
      <c r="F409" s="41">
        <v>0.190954774</v>
      </c>
      <c r="G409" s="41">
        <v>0.376884422</v>
      </c>
      <c r="H409" s="79">
        <f t="shared" si="1"/>
        <v>0.055276382</v>
      </c>
      <c r="I409" s="42">
        <v>-4.799206881</v>
      </c>
    </row>
    <row r="410" hidden="1">
      <c r="A410" s="1" t="s">
        <v>1156</v>
      </c>
      <c r="B410" s="38">
        <v>666364.0</v>
      </c>
      <c r="C410" s="38">
        <v>388.0</v>
      </c>
      <c r="D410" s="40">
        <v>4.91019018</v>
      </c>
      <c r="E410" s="41">
        <v>0.445876289</v>
      </c>
      <c r="F410" s="41">
        <v>0.159793814</v>
      </c>
      <c r="G410" s="41">
        <v>0.394329897</v>
      </c>
      <c r="H410" s="79">
        <f t="shared" si="1"/>
        <v>0.051546392</v>
      </c>
      <c r="I410" s="42">
        <v>-3.630294157</v>
      </c>
    </row>
    <row r="411" hidden="1">
      <c r="A411" s="1" t="s">
        <v>1157</v>
      </c>
      <c r="B411" s="38">
        <v>669270.0</v>
      </c>
      <c r="C411" s="38">
        <v>194.0</v>
      </c>
      <c r="D411" s="40">
        <v>4.909914155</v>
      </c>
      <c r="E411" s="41">
        <v>0.407216495</v>
      </c>
      <c r="F411" s="41">
        <v>0.242268041</v>
      </c>
      <c r="G411" s="41">
        <v>0.350515464</v>
      </c>
      <c r="H411" s="79">
        <f t="shared" si="1"/>
        <v>0.056701031</v>
      </c>
      <c r="I411" s="42">
        <v>-1.749216455</v>
      </c>
    </row>
    <row r="412">
      <c r="A412" s="1" t="s">
        <v>376</v>
      </c>
      <c r="B412" s="38">
        <v>668909.0</v>
      </c>
      <c r="C412" s="38">
        <v>1376.0</v>
      </c>
      <c r="D412" s="40">
        <v>4.909091925</v>
      </c>
      <c r="E412" s="41">
        <v>0.438226744</v>
      </c>
      <c r="F412" s="41">
        <v>0.175872093</v>
      </c>
      <c r="G412" s="41">
        <v>0.385901163</v>
      </c>
      <c r="H412" s="79">
        <f t="shared" si="1"/>
        <v>0.052325581</v>
      </c>
      <c r="I412" s="42">
        <v>6.051943</v>
      </c>
    </row>
    <row r="413" hidden="1">
      <c r="A413" s="1" t="s">
        <v>1158</v>
      </c>
      <c r="B413" s="38">
        <v>687798.0</v>
      </c>
      <c r="C413" s="38">
        <v>389.0</v>
      </c>
      <c r="D413" s="40">
        <v>4.908540119</v>
      </c>
      <c r="E413" s="41">
        <v>0.42159383</v>
      </c>
      <c r="F413" s="41">
        <v>0.190231362</v>
      </c>
      <c r="G413" s="41">
        <v>0.388174807</v>
      </c>
      <c r="H413" s="79">
        <f t="shared" si="1"/>
        <v>0.033419023</v>
      </c>
      <c r="I413" s="42">
        <v>-5.822363787</v>
      </c>
    </row>
    <row r="414">
      <c r="A414" s="1" t="s">
        <v>1005</v>
      </c>
      <c r="B414" s="38">
        <v>676760.0</v>
      </c>
      <c r="C414" s="38">
        <v>880.0</v>
      </c>
      <c r="D414" s="40">
        <v>4.907891828</v>
      </c>
      <c r="E414" s="41">
        <v>0.459090909</v>
      </c>
      <c r="F414" s="41">
        <v>0.198863636</v>
      </c>
      <c r="G414" s="41">
        <v>0.342045455</v>
      </c>
      <c r="H414" s="79">
        <f t="shared" si="1"/>
        <v>0.117045454</v>
      </c>
      <c r="I414" s="42">
        <v>5.076537171</v>
      </c>
    </row>
    <row r="415" hidden="1">
      <c r="A415" s="1" t="s">
        <v>1159</v>
      </c>
      <c r="B415" s="38">
        <v>668665.0</v>
      </c>
      <c r="C415" s="38">
        <v>485.0</v>
      </c>
      <c r="D415" s="40">
        <v>4.90526667</v>
      </c>
      <c r="E415" s="41">
        <v>0.443298969</v>
      </c>
      <c r="F415" s="41">
        <v>0.183505155</v>
      </c>
      <c r="G415" s="41">
        <v>0.373195876</v>
      </c>
      <c r="H415" s="79">
        <f t="shared" si="1"/>
        <v>0.070103093</v>
      </c>
      <c r="I415" s="42">
        <v>-6.937105357</v>
      </c>
    </row>
    <row r="416">
      <c r="A416" s="1" t="s">
        <v>273</v>
      </c>
      <c r="B416" s="38">
        <v>667463.0</v>
      </c>
      <c r="C416" s="38">
        <v>524.0</v>
      </c>
      <c r="D416" s="40">
        <v>4.905105389</v>
      </c>
      <c r="E416" s="41">
        <v>0.38740458</v>
      </c>
      <c r="F416" s="41">
        <v>0.246183206</v>
      </c>
      <c r="G416" s="41">
        <v>0.366412214</v>
      </c>
      <c r="H416" s="79">
        <f t="shared" si="1"/>
        <v>0.020992366</v>
      </c>
      <c r="I416" s="42">
        <v>-8.719806326</v>
      </c>
    </row>
    <row r="417" hidden="1">
      <c r="A417" s="1" t="s">
        <v>1009</v>
      </c>
      <c r="B417" s="38">
        <v>671111.0</v>
      </c>
      <c r="C417" s="38">
        <v>373.0</v>
      </c>
      <c r="D417" s="40">
        <v>4.903670322</v>
      </c>
      <c r="E417" s="41">
        <v>0.423592493</v>
      </c>
      <c r="F417" s="41">
        <v>0.28150134</v>
      </c>
      <c r="G417" s="41">
        <v>0.294906166</v>
      </c>
      <c r="H417" s="79">
        <f t="shared" si="1"/>
        <v>0.128686327</v>
      </c>
      <c r="I417" s="42">
        <v>3.72372922</v>
      </c>
    </row>
    <row r="418">
      <c r="A418" s="1" t="s">
        <v>411</v>
      </c>
      <c r="B418" s="38">
        <v>605288.0</v>
      </c>
      <c r="C418" s="38">
        <v>1842.0</v>
      </c>
      <c r="D418" s="40">
        <v>4.903420848</v>
      </c>
      <c r="E418" s="41">
        <v>0.404451683</v>
      </c>
      <c r="F418" s="41">
        <v>0.207383279</v>
      </c>
      <c r="G418" s="41">
        <v>0.388165038</v>
      </c>
      <c r="H418" s="79">
        <f t="shared" si="1"/>
        <v>0.016286645</v>
      </c>
      <c r="I418" s="42">
        <v>-3.189123345</v>
      </c>
    </row>
    <row r="419">
      <c r="A419" s="1" t="s">
        <v>832</v>
      </c>
      <c r="B419" s="38">
        <v>664747.0</v>
      </c>
      <c r="C419" s="38">
        <v>1145.0</v>
      </c>
      <c r="D419" s="40">
        <v>4.902739753</v>
      </c>
      <c r="E419" s="41">
        <v>0.465502183</v>
      </c>
      <c r="F419" s="41">
        <v>0.152838428</v>
      </c>
      <c r="G419" s="41">
        <v>0.381659389</v>
      </c>
      <c r="H419" s="79">
        <f t="shared" si="1"/>
        <v>0.083842794</v>
      </c>
      <c r="I419" s="42">
        <v>5.782708601</v>
      </c>
    </row>
    <row r="420">
      <c r="A420" s="1" t="s">
        <v>867</v>
      </c>
      <c r="B420" s="38">
        <v>686747.0</v>
      </c>
      <c r="C420" s="38">
        <v>534.0</v>
      </c>
      <c r="D420" s="40">
        <v>4.902470893</v>
      </c>
      <c r="E420" s="41">
        <v>0.425093633</v>
      </c>
      <c r="F420" s="41">
        <v>0.161048689</v>
      </c>
      <c r="G420" s="41">
        <v>0.413857678</v>
      </c>
      <c r="H420" s="79">
        <f t="shared" si="1"/>
        <v>0.011235955</v>
      </c>
      <c r="I420" s="42">
        <v>1.759820515</v>
      </c>
    </row>
    <row r="421" hidden="1">
      <c r="A421" s="1" t="s">
        <v>1160</v>
      </c>
      <c r="B421" s="38">
        <v>666721.0</v>
      </c>
      <c r="C421" s="38">
        <v>337.0</v>
      </c>
      <c r="D421" s="40">
        <v>4.901377199</v>
      </c>
      <c r="E421" s="41">
        <v>0.412462908</v>
      </c>
      <c r="F421" s="41">
        <v>0.21958457</v>
      </c>
      <c r="G421" s="41">
        <v>0.367952522</v>
      </c>
      <c r="H421" s="79">
        <f t="shared" si="1"/>
        <v>0.044510386</v>
      </c>
      <c r="I421" s="42">
        <v>1.002573947</v>
      </c>
    </row>
    <row r="422">
      <c r="A422" s="1" t="s">
        <v>430</v>
      </c>
      <c r="B422" s="38">
        <v>670990.0</v>
      </c>
      <c r="C422" s="38">
        <v>709.0</v>
      </c>
      <c r="D422" s="40">
        <v>4.897349426</v>
      </c>
      <c r="E422" s="41">
        <v>0.430183357</v>
      </c>
      <c r="F422" s="41">
        <v>0.277856135</v>
      </c>
      <c r="G422" s="41">
        <v>0.291960508</v>
      </c>
      <c r="H422" s="79">
        <f t="shared" si="1"/>
        <v>0.138222849</v>
      </c>
      <c r="I422" s="42">
        <v>-0.861730053</v>
      </c>
    </row>
    <row r="423" hidden="1">
      <c r="A423" s="1" t="s">
        <v>749</v>
      </c>
      <c r="B423" s="38">
        <v>675989.0</v>
      </c>
      <c r="C423" s="38">
        <v>452.0</v>
      </c>
      <c r="D423" s="40">
        <v>4.897081367</v>
      </c>
      <c r="E423" s="41">
        <v>0.398230088</v>
      </c>
      <c r="F423" s="41">
        <v>0.278761062</v>
      </c>
      <c r="G423" s="41">
        <v>0.32300885</v>
      </c>
      <c r="H423" s="79">
        <f t="shared" si="1"/>
        <v>0.075221238</v>
      </c>
      <c r="I423" s="42">
        <v>-8.235221991</v>
      </c>
    </row>
    <row r="424">
      <c r="A424" s="1" t="s">
        <v>1161</v>
      </c>
      <c r="B424" s="38">
        <v>680739.0</v>
      </c>
      <c r="C424" s="38">
        <v>556.0</v>
      </c>
      <c r="D424" s="40">
        <v>4.896552385</v>
      </c>
      <c r="E424" s="41">
        <v>0.428057554</v>
      </c>
      <c r="F424" s="41">
        <v>0.196043165</v>
      </c>
      <c r="G424" s="41">
        <v>0.375899281</v>
      </c>
      <c r="H424" s="79">
        <f t="shared" si="1"/>
        <v>0.052158273</v>
      </c>
      <c r="I424" s="42">
        <v>-1.559197789</v>
      </c>
    </row>
    <row r="425">
      <c r="A425" s="1" t="s">
        <v>1162</v>
      </c>
      <c r="B425" s="38">
        <v>682227.0</v>
      </c>
      <c r="C425" s="38">
        <v>1920.0</v>
      </c>
      <c r="D425" s="40">
        <v>4.896242508</v>
      </c>
      <c r="E425" s="41">
        <v>0.405729167</v>
      </c>
      <c r="F425" s="41">
        <v>0.202083333</v>
      </c>
      <c r="G425" s="41">
        <v>0.3921875</v>
      </c>
      <c r="H425" s="79">
        <f t="shared" si="1"/>
        <v>0.013541667</v>
      </c>
      <c r="I425" s="42">
        <v>8.79048647</v>
      </c>
    </row>
    <row r="426">
      <c r="A426" s="1" t="s">
        <v>959</v>
      </c>
      <c r="B426" s="38">
        <v>541640.0</v>
      </c>
      <c r="C426" s="38">
        <v>959.0</v>
      </c>
      <c r="D426" s="40">
        <v>4.894446879</v>
      </c>
      <c r="E426" s="41">
        <v>0.402502607</v>
      </c>
      <c r="F426" s="41">
        <v>0.215849844</v>
      </c>
      <c r="G426" s="41">
        <v>0.38164755</v>
      </c>
      <c r="H426" s="79">
        <f t="shared" si="1"/>
        <v>0.020855057</v>
      </c>
      <c r="I426" s="42">
        <v>-17.09819083</v>
      </c>
    </row>
    <row r="427">
      <c r="A427" s="1" t="s">
        <v>729</v>
      </c>
      <c r="B427" s="38">
        <v>676680.0</v>
      </c>
      <c r="C427" s="38">
        <v>827.0</v>
      </c>
      <c r="D427" s="40">
        <v>4.893881071</v>
      </c>
      <c r="E427" s="41">
        <v>0.430471584</v>
      </c>
      <c r="F427" s="41">
        <v>0.182587666</v>
      </c>
      <c r="G427" s="41">
        <v>0.38694075</v>
      </c>
      <c r="H427" s="79">
        <f t="shared" si="1"/>
        <v>0.043530834</v>
      </c>
      <c r="I427" s="42">
        <v>13.35352888</v>
      </c>
    </row>
    <row r="428">
      <c r="A428" s="1" t="s">
        <v>86</v>
      </c>
      <c r="B428" s="38">
        <v>678606.0</v>
      </c>
      <c r="C428" s="38">
        <v>554.0</v>
      </c>
      <c r="D428" s="40">
        <v>4.893082229</v>
      </c>
      <c r="E428" s="41">
        <v>0.416967509</v>
      </c>
      <c r="F428" s="41">
        <v>0.173285199</v>
      </c>
      <c r="G428" s="41">
        <v>0.409747292</v>
      </c>
      <c r="H428" s="79">
        <f t="shared" si="1"/>
        <v>0.007220217</v>
      </c>
      <c r="I428" s="42">
        <v>-1.284964451</v>
      </c>
    </row>
    <row r="429">
      <c r="A429" s="1" t="s">
        <v>952</v>
      </c>
      <c r="B429" s="38">
        <v>664294.0</v>
      </c>
      <c r="C429" s="38">
        <v>956.0</v>
      </c>
      <c r="D429" s="40">
        <v>4.892721123</v>
      </c>
      <c r="E429" s="41">
        <v>0.415271967</v>
      </c>
      <c r="F429" s="41">
        <v>0.167364017</v>
      </c>
      <c r="G429" s="41">
        <v>0.417364017</v>
      </c>
      <c r="H429" s="79">
        <f t="shared" si="1"/>
        <v>-0.00209205</v>
      </c>
      <c r="I429" s="42">
        <v>11.52594963</v>
      </c>
    </row>
    <row r="430">
      <c r="A430" s="1" t="s">
        <v>226</v>
      </c>
      <c r="B430" s="38">
        <v>607259.0</v>
      </c>
      <c r="C430" s="38">
        <v>1734.0</v>
      </c>
      <c r="D430" s="40">
        <v>4.892621857</v>
      </c>
      <c r="E430" s="41">
        <v>0.404844291</v>
      </c>
      <c r="F430" s="41">
        <v>0.208189158</v>
      </c>
      <c r="G430" s="41">
        <v>0.386966551</v>
      </c>
      <c r="H430" s="79">
        <f t="shared" si="1"/>
        <v>0.01787774</v>
      </c>
      <c r="I430" s="42">
        <v>11.0178501</v>
      </c>
    </row>
    <row r="431">
      <c r="A431" s="1" t="s">
        <v>1053</v>
      </c>
      <c r="B431" s="38">
        <v>608344.0</v>
      </c>
      <c r="C431" s="38">
        <v>1259.0</v>
      </c>
      <c r="D431" s="40">
        <v>4.892329797</v>
      </c>
      <c r="E431" s="41">
        <v>0.416203336</v>
      </c>
      <c r="F431" s="41">
        <v>0.200158856</v>
      </c>
      <c r="G431" s="41">
        <v>0.383637808</v>
      </c>
      <c r="H431" s="79">
        <f t="shared" si="1"/>
        <v>0.032565528</v>
      </c>
      <c r="I431" s="42">
        <v>8.469953675</v>
      </c>
    </row>
    <row r="432">
      <c r="A432" s="1" t="s">
        <v>105</v>
      </c>
      <c r="B432" s="38">
        <v>624133.0</v>
      </c>
      <c r="C432" s="38">
        <v>2003.0</v>
      </c>
      <c r="D432" s="40">
        <v>4.892170571</v>
      </c>
      <c r="E432" s="41">
        <v>0.405891163</v>
      </c>
      <c r="F432" s="41">
        <v>0.213679481</v>
      </c>
      <c r="G432" s="41">
        <v>0.380429356</v>
      </c>
      <c r="H432" s="79">
        <f t="shared" si="1"/>
        <v>0.025461807</v>
      </c>
      <c r="I432" s="42">
        <v>1.383444507</v>
      </c>
    </row>
    <row r="433">
      <c r="A433" s="1" t="s">
        <v>803</v>
      </c>
      <c r="B433" s="38">
        <v>605218.0</v>
      </c>
      <c r="C433" s="38">
        <v>561.0</v>
      </c>
      <c r="D433" s="40">
        <v>4.891509105</v>
      </c>
      <c r="E433" s="41">
        <v>0.404634581</v>
      </c>
      <c r="F433" s="41">
        <v>0.210338681</v>
      </c>
      <c r="G433" s="41">
        <v>0.385026738</v>
      </c>
      <c r="H433" s="79">
        <f t="shared" si="1"/>
        <v>0.019607843</v>
      </c>
      <c r="I433" s="42">
        <v>1.44023724</v>
      </c>
    </row>
    <row r="434">
      <c r="A434" s="1" t="s">
        <v>1050</v>
      </c>
      <c r="B434" s="38">
        <v>642546.0</v>
      </c>
      <c r="C434" s="38">
        <v>547.0</v>
      </c>
      <c r="D434" s="40">
        <v>4.890685404</v>
      </c>
      <c r="E434" s="41">
        <v>0.436928702</v>
      </c>
      <c r="F434" s="41">
        <v>0.171846435</v>
      </c>
      <c r="G434" s="41">
        <v>0.391224863</v>
      </c>
      <c r="H434" s="79">
        <f t="shared" si="1"/>
        <v>0.045703839</v>
      </c>
      <c r="I434" s="42">
        <v>-6.928678286</v>
      </c>
    </row>
    <row r="435">
      <c r="A435" s="1" t="s">
        <v>299</v>
      </c>
      <c r="B435" s="38">
        <v>621112.0</v>
      </c>
      <c r="C435" s="38">
        <v>1859.0</v>
      </c>
      <c r="D435" s="40">
        <v>4.888155181</v>
      </c>
      <c r="E435" s="41">
        <v>0.399677246</v>
      </c>
      <c r="F435" s="41">
        <v>0.206562668</v>
      </c>
      <c r="G435" s="41">
        <v>0.393760086</v>
      </c>
      <c r="H435" s="79">
        <f t="shared" si="1"/>
        <v>0.00591716</v>
      </c>
      <c r="I435" s="42">
        <v>-6.660359175</v>
      </c>
    </row>
    <row r="436">
      <c r="A436" s="1" t="s">
        <v>1163</v>
      </c>
      <c r="B436" s="38">
        <v>543272.0</v>
      </c>
      <c r="C436" s="38">
        <v>963.0</v>
      </c>
      <c r="D436" s="40">
        <v>4.886991596</v>
      </c>
      <c r="E436" s="41">
        <v>0.403946002</v>
      </c>
      <c r="F436" s="41">
        <v>0.271028037</v>
      </c>
      <c r="G436" s="41">
        <v>0.325025961</v>
      </c>
      <c r="H436" s="79">
        <f t="shared" si="1"/>
        <v>0.078920041</v>
      </c>
      <c r="I436" s="42">
        <v>2.697429972</v>
      </c>
    </row>
    <row r="437">
      <c r="A437" s="1" t="s">
        <v>624</v>
      </c>
      <c r="B437" s="38">
        <v>672710.0</v>
      </c>
      <c r="C437" s="38">
        <v>1132.0</v>
      </c>
      <c r="D437" s="40">
        <v>4.88679054</v>
      </c>
      <c r="E437" s="41">
        <v>0.423144876</v>
      </c>
      <c r="F437" s="41">
        <v>0.196996466</v>
      </c>
      <c r="G437" s="41">
        <v>0.379858657</v>
      </c>
      <c r="H437" s="79">
        <f t="shared" si="1"/>
        <v>0.043286219</v>
      </c>
      <c r="I437" s="42">
        <v>-15.07022001</v>
      </c>
    </row>
    <row r="438">
      <c r="A438" s="1" t="s">
        <v>1164</v>
      </c>
      <c r="B438" s="38">
        <v>572403.0</v>
      </c>
      <c r="C438" s="38">
        <v>1015.0</v>
      </c>
      <c r="D438" s="40">
        <v>4.885086554</v>
      </c>
      <c r="E438" s="41">
        <v>0.398029557</v>
      </c>
      <c r="F438" s="41">
        <v>0.299507389</v>
      </c>
      <c r="G438" s="41">
        <v>0.302463054</v>
      </c>
      <c r="H438" s="79">
        <f t="shared" si="1"/>
        <v>0.095566503</v>
      </c>
      <c r="I438" s="42">
        <v>11.50242713</v>
      </c>
    </row>
    <row r="439">
      <c r="A439" s="1" t="s">
        <v>83</v>
      </c>
      <c r="B439" s="1">
        <v>571927.0</v>
      </c>
      <c r="C439" s="81">
        <v>1796.0</v>
      </c>
      <c r="D439" s="40">
        <v>4.884528823</v>
      </c>
      <c r="E439" s="41">
        <v>0.427060134</v>
      </c>
      <c r="F439" s="41">
        <v>0.180400891</v>
      </c>
      <c r="G439" s="41">
        <v>0.392538976</v>
      </c>
      <c r="H439" s="79">
        <f t="shared" si="1"/>
        <v>0.034521158</v>
      </c>
      <c r="I439" s="42">
        <v>12.88692852</v>
      </c>
    </row>
    <row r="440">
      <c r="A440" s="1" t="s">
        <v>248</v>
      </c>
      <c r="B440" s="1">
        <v>472610.0</v>
      </c>
      <c r="C440" s="81">
        <v>997.0</v>
      </c>
      <c r="D440" s="40">
        <v>4.884459241</v>
      </c>
      <c r="E440" s="41">
        <v>0.435305918</v>
      </c>
      <c r="F440" s="41">
        <v>0.183550652</v>
      </c>
      <c r="G440" s="41">
        <v>0.38114343</v>
      </c>
      <c r="H440" s="79">
        <f t="shared" si="1"/>
        <v>0.054162488</v>
      </c>
      <c r="I440" s="42">
        <v>3.246851538</v>
      </c>
    </row>
    <row r="441" hidden="1">
      <c r="A441" s="1" t="s">
        <v>696</v>
      </c>
      <c r="B441" s="1">
        <v>690829.0</v>
      </c>
      <c r="C441" s="81">
        <v>200.0</v>
      </c>
      <c r="D441" s="40">
        <v>4.883188635</v>
      </c>
      <c r="E441" s="41">
        <v>0.455</v>
      </c>
      <c r="F441" s="41">
        <v>0.145</v>
      </c>
      <c r="G441" s="41">
        <v>0.4</v>
      </c>
      <c r="H441" s="79">
        <f t="shared" si="1"/>
        <v>0.055</v>
      </c>
      <c r="I441" s="42">
        <v>0.424012279</v>
      </c>
    </row>
    <row r="442" hidden="1">
      <c r="A442" s="1" t="s">
        <v>1165</v>
      </c>
      <c r="B442" s="1">
        <v>656970.0</v>
      </c>
      <c r="C442" s="81">
        <v>361.0</v>
      </c>
      <c r="D442" s="40">
        <v>4.883133202</v>
      </c>
      <c r="E442" s="41">
        <v>0.448753463</v>
      </c>
      <c r="F442" s="41">
        <v>0.191135734</v>
      </c>
      <c r="G442" s="41">
        <v>0.360110803</v>
      </c>
      <c r="H442" s="79">
        <f t="shared" si="1"/>
        <v>0.08864266</v>
      </c>
      <c r="I442" s="42">
        <v>-8.059914214</v>
      </c>
    </row>
    <row r="443" hidden="1">
      <c r="A443" s="1" t="s">
        <v>447</v>
      </c>
      <c r="B443" s="1">
        <v>605463.0</v>
      </c>
      <c r="C443" s="81">
        <v>336.0</v>
      </c>
      <c r="D443" s="40">
        <v>4.88184183</v>
      </c>
      <c r="E443" s="41">
        <v>0.395833333</v>
      </c>
      <c r="F443" s="41">
        <v>0.211309524</v>
      </c>
      <c r="G443" s="41">
        <v>0.392857143</v>
      </c>
      <c r="H443" s="79">
        <f t="shared" si="1"/>
        <v>0.00297619</v>
      </c>
      <c r="I443" s="42">
        <v>-4.253207783</v>
      </c>
    </row>
    <row r="444">
      <c r="A444" s="1" t="s">
        <v>1010</v>
      </c>
      <c r="B444" s="1">
        <v>661527.0</v>
      </c>
      <c r="C444" s="81">
        <v>760.0</v>
      </c>
      <c r="D444" s="40">
        <v>4.881103788</v>
      </c>
      <c r="E444" s="41">
        <v>0.386842105</v>
      </c>
      <c r="F444" s="41">
        <v>0.289473684</v>
      </c>
      <c r="G444" s="41">
        <v>0.323684211</v>
      </c>
      <c r="H444" s="79">
        <f t="shared" si="1"/>
        <v>0.063157894</v>
      </c>
      <c r="I444" s="42">
        <v>-5.32677403</v>
      </c>
    </row>
    <row r="445" hidden="1">
      <c r="A445" s="1" t="s">
        <v>591</v>
      </c>
      <c r="B445" s="1">
        <v>670810.0</v>
      </c>
      <c r="C445" s="81">
        <v>190.0</v>
      </c>
      <c r="D445" s="40">
        <v>4.880004589</v>
      </c>
      <c r="E445" s="41">
        <v>0.415789474</v>
      </c>
      <c r="F445" s="41">
        <v>0.194736842</v>
      </c>
      <c r="G445" s="41">
        <v>0.389473684</v>
      </c>
      <c r="H445" s="79">
        <f t="shared" si="1"/>
        <v>0.02631579</v>
      </c>
      <c r="I445" s="42">
        <v>-1.92407457</v>
      </c>
    </row>
    <row r="446">
      <c r="A446" s="1" t="s">
        <v>453</v>
      </c>
      <c r="B446" s="1">
        <v>592836.0</v>
      </c>
      <c r="C446" s="81">
        <v>2812.0</v>
      </c>
      <c r="D446" s="40">
        <v>4.879615839</v>
      </c>
      <c r="E446" s="41">
        <v>0.405049787</v>
      </c>
      <c r="F446" s="41">
        <v>0.20625889</v>
      </c>
      <c r="G446" s="41">
        <v>0.388691323</v>
      </c>
      <c r="H446" s="79">
        <f t="shared" si="1"/>
        <v>0.016358464</v>
      </c>
      <c r="I446" s="42">
        <v>27.07506128</v>
      </c>
    </row>
    <row r="447">
      <c r="A447" s="1" t="s">
        <v>462</v>
      </c>
      <c r="B447" s="1">
        <v>623167.0</v>
      </c>
      <c r="C447" s="81">
        <v>1744.0</v>
      </c>
      <c r="D447" s="40">
        <v>4.879236366</v>
      </c>
      <c r="E447" s="41">
        <v>0.387614679</v>
      </c>
      <c r="F447" s="41">
        <v>0.208142202</v>
      </c>
      <c r="G447" s="41">
        <v>0.404243119</v>
      </c>
      <c r="H447" s="79">
        <f t="shared" si="1"/>
        <v>-0.01662844</v>
      </c>
      <c r="I447" s="42">
        <v>-30.76720458</v>
      </c>
    </row>
    <row r="448" hidden="1">
      <c r="A448" s="1" t="s">
        <v>1166</v>
      </c>
      <c r="B448" s="1">
        <v>660787.0</v>
      </c>
      <c r="C448" s="81">
        <v>392.0</v>
      </c>
      <c r="D448" s="40">
        <v>4.87910448</v>
      </c>
      <c r="E448" s="41">
        <v>0.392857143</v>
      </c>
      <c r="F448" s="41">
        <v>0.216836735</v>
      </c>
      <c r="G448" s="41">
        <v>0.390306122</v>
      </c>
      <c r="H448" s="79">
        <f t="shared" si="1"/>
        <v>0.002551021</v>
      </c>
      <c r="I448" s="42">
        <v>8.954709785</v>
      </c>
    </row>
    <row r="449">
      <c r="A449" s="1" t="s">
        <v>667</v>
      </c>
      <c r="B449" s="1">
        <v>689225.0</v>
      </c>
      <c r="C449" s="81">
        <v>620.0</v>
      </c>
      <c r="D449" s="40">
        <v>4.878501395</v>
      </c>
      <c r="E449" s="41">
        <v>0.396774194</v>
      </c>
      <c r="F449" s="41">
        <v>0.225806452</v>
      </c>
      <c r="G449" s="41">
        <v>0.377419355</v>
      </c>
      <c r="H449" s="79">
        <f t="shared" si="1"/>
        <v>0.019354839</v>
      </c>
      <c r="I449" s="42">
        <v>1.40700924</v>
      </c>
    </row>
    <row r="450" hidden="1">
      <c r="A450" s="1" t="s">
        <v>415</v>
      </c>
      <c r="B450" s="1">
        <v>656794.0</v>
      </c>
      <c r="C450" s="81">
        <v>279.0</v>
      </c>
      <c r="D450" s="40">
        <v>4.87820029</v>
      </c>
      <c r="E450" s="41">
        <v>0.448028674</v>
      </c>
      <c r="F450" s="41">
        <v>0.139784946</v>
      </c>
      <c r="G450" s="41">
        <v>0.41218638</v>
      </c>
      <c r="H450" s="79">
        <f t="shared" si="1"/>
        <v>0.035842294</v>
      </c>
      <c r="I450" s="42">
        <v>9.374309355</v>
      </c>
    </row>
    <row r="451">
      <c r="A451" s="1" t="s">
        <v>69</v>
      </c>
      <c r="B451" s="1">
        <v>657612.0</v>
      </c>
      <c r="C451" s="81">
        <v>707.0</v>
      </c>
      <c r="D451" s="40">
        <v>4.878073806</v>
      </c>
      <c r="E451" s="41">
        <v>0.424328147</v>
      </c>
      <c r="F451" s="41">
        <v>0.190947666</v>
      </c>
      <c r="G451" s="41">
        <v>0.384724187</v>
      </c>
      <c r="H451" s="79">
        <f t="shared" si="1"/>
        <v>0.03960396</v>
      </c>
      <c r="I451" s="42">
        <v>-18.95113836</v>
      </c>
    </row>
    <row r="452" hidden="1">
      <c r="A452" s="1" t="s">
        <v>511</v>
      </c>
      <c r="B452" s="1">
        <v>671131.0</v>
      </c>
      <c r="C452" s="81">
        <v>342.0</v>
      </c>
      <c r="D452" s="40">
        <v>4.877957336</v>
      </c>
      <c r="E452" s="41">
        <v>0.441520468</v>
      </c>
      <c r="F452" s="41">
        <v>0.152046784</v>
      </c>
      <c r="G452" s="41">
        <v>0.406432749</v>
      </c>
      <c r="H452" s="79">
        <f t="shared" si="1"/>
        <v>0.035087719</v>
      </c>
      <c r="I452" s="42">
        <v>-2.450241321</v>
      </c>
    </row>
    <row r="453">
      <c r="A453" s="1" t="s">
        <v>1063</v>
      </c>
      <c r="B453" s="1">
        <v>656412.0</v>
      </c>
      <c r="C453" s="81">
        <v>1026.0</v>
      </c>
      <c r="D453" s="40">
        <v>4.877618667</v>
      </c>
      <c r="E453" s="41">
        <v>0.399610136</v>
      </c>
      <c r="F453" s="41">
        <v>0.222222222</v>
      </c>
      <c r="G453" s="41">
        <v>0.378167641</v>
      </c>
      <c r="H453" s="79">
        <f t="shared" si="1"/>
        <v>0.021442495</v>
      </c>
      <c r="I453" s="42">
        <v>15.73219002</v>
      </c>
    </row>
    <row r="454" hidden="1">
      <c r="A454" s="1" t="s">
        <v>1167</v>
      </c>
      <c r="B454" s="1">
        <v>488984.0</v>
      </c>
      <c r="C454" s="81">
        <v>364.0</v>
      </c>
      <c r="D454" s="40">
        <v>4.876763648</v>
      </c>
      <c r="E454" s="41">
        <v>0.42032967</v>
      </c>
      <c r="F454" s="41">
        <v>0.214285714</v>
      </c>
      <c r="G454" s="41">
        <v>0.365384615</v>
      </c>
      <c r="H454" s="79">
        <f t="shared" si="1"/>
        <v>0.054945055</v>
      </c>
      <c r="I454" s="42">
        <v>-4.585484144</v>
      </c>
    </row>
    <row r="455">
      <c r="A455" s="1" t="s">
        <v>368</v>
      </c>
      <c r="B455" s="1">
        <v>593958.0</v>
      </c>
      <c r="C455" s="81">
        <v>2344.0</v>
      </c>
      <c r="D455" s="40">
        <v>4.8751148</v>
      </c>
      <c r="E455" s="41">
        <v>0.397610922</v>
      </c>
      <c r="F455" s="41">
        <v>0.205631399</v>
      </c>
      <c r="G455" s="41">
        <v>0.396757679</v>
      </c>
      <c r="H455" s="79">
        <f t="shared" si="1"/>
        <v>0.000853243</v>
      </c>
      <c r="I455" s="42">
        <v>26.43354655</v>
      </c>
    </row>
    <row r="456">
      <c r="A456" s="1" t="s">
        <v>1071</v>
      </c>
      <c r="B456" s="1">
        <v>663567.0</v>
      </c>
      <c r="C456" s="81">
        <v>1435.0</v>
      </c>
      <c r="D456" s="40">
        <v>4.874640746</v>
      </c>
      <c r="E456" s="41">
        <v>0.399303136</v>
      </c>
      <c r="F456" s="41">
        <v>0.23902439</v>
      </c>
      <c r="G456" s="41">
        <v>0.361672474</v>
      </c>
      <c r="H456" s="79">
        <f t="shared" si="1"/>
        <v>0.037630662</v>
      </c>
      <c r="I456" s="42">
        <v>-5.799913362</v>
      </c>
    </row>
    <row r="457" hidden="1">
      <c r="A457" s="1" t="s">
        <v>1168</v>
      </c>
      <c r="B457" s="1">
        <v>670124.0</v>
      </c>
      <c r="C457" s="81">
        <v>408.0</v>
      </c>
      <c r="D457" s="40">
        <v>4.872886797</v>
      </c>
      <c r="E457" s="41">
        <v>0.431372549</v>
      </c>
      <c r="F457" s="41">
        <v>0.257352941</v>
      </c>
      <c r="G457" s="41">
        <v>0.31127451</v>
      </c>
      <c r="H457" s="79">
        <f t="shared" si="1"/>
        <v>0.120098039</v>
      </c>
      <c r="I457" s="42">
        <v>-10.93356647</v>
      </c>
    </row>
    <row r="458">
      <c r="A458" s="1" t="s">
        <v>601</v>
      </c>
      <c r="B458" s="1">
        <v>642216.0</v>
      </c>
      <c r="C458" s="81">
        <v>528.0</v>
      </c>
      <c r="D458" s="40">
        <v>4.872320991</v>
      </c>
      <c r="E458" s="41">
        <v>0.412878788</v>
      </c>
      <c r="F458" s="41">
        <v>0.206439394</v>
      </c>
      <c r="G458" s="41">
        <v>0.380681818</v>
      </c>
      <c r="H458" s="79">
        <f t="shared" si="1"/>
        <v>0.03219697</v>
      </c>
      <c r="I458" s="42">
        <v>1.333200727</v>
      </c>
    </row>
    <row r="459" hidden="1">
      <c r="A459" s="1" t="s">
        <v>1169</v>
      </c>
      <c r="B459" s="1">
        <v>624522.0</v>
      </c>
      <c r="C459" s="81">
        <v>472.0</v>
      </c>
      <c r="D459" s="40">
        <v>4.871693536</v>
      </c>
      <c r="E459" s="41">
        <v>0.483050847</v>
      </c>
      <c r="F459" s="41">
        <v>0.158898305</v>
      </c>
      <c r="G459" s="41">
        <v>0.358050847</v>
      </c>
      <c r="H459" s="79">
        <f t="shared" si="1"/>
        <v>0.125</v>
      </c>
      <c r="I459" s="42">
        <v>4.173879203</v>
      </c>
    </row>
    <row r="460" hidden="1">
      <c r="A460" s="1" t="s">
        <v>1170</v>
      </c>
      <c r="B460" s="1">
        <v>502202.0</v>
      </c>
      <c r="C460" s="81">
        <v>335.0</v>
      </c>
      <c r="D460" s="40">
        <v>4.871394251</v>
      </c>
      <c r="E460" s="41">
        <v>0.4</v>
      </c>
      <c r="F460" s="41">
        <v>0.194029851</v>
      </c>
      <c r="G460" s="41">
        <v>0.405970149</v>
      </c>
      <c r="H460" s="79">
        <f t="shared" si="1"/>
        <v>-0.005970149</v>
      </c>
      <c r="I460" s="42">
        <v>4.203357712</v>
      </c>
    </row>
    <row r="461">
      <c r="A461" s="1" t="s">
        <v>424</v>
      </c>
      <c r="B461" s="1">
        <v>667755.0</v>
      </c>
      <c r="C461" s="81">
        <v>657.0</v>
      </c>
      <c r="D461" s="40">
        <v>4.871102866</v>
      </c>
      <c r="E461" s="41">
        <v>0.433789954</v>
      </c>
      <c r="F461" s="41">
        <v>0.179604262</v>
      </c>
      <c r="G461" s="41">
        <v>0.386605784</v>
      </c>
      <c r="H461" s="79">
        <f t="shared" si="1"/>
        <v>0.04718417</v>
      </c>
      <c r="I461" s="42">
        <v>3.62228682</v>
      </c>
    </row>
    <row r="462">
      <c r="A462" s="1" t="s">
        <v>383</v>
      </c>
      <c r="B462" s="1">
        <v>573186.0</v>
      </c>
      <c r="C462" s="81">
        <v>2123.0</v>
      </c>
      <c r="D462" s="40">
        <v>4.870349277</v>
      </c>
      <c r="E462" s="41">
        <v>0.368346679</v>
      </c>
      <c r="F462" s="41">
        <v>0.295807819</v>
      </c>
      <c r="G462" s="41">
        <v>0.335845502</v>
      </c>
      <c r="H462" s="79">
        <f t="shared" si="1"/>
        <v>0.032501177</v>
      </c>
      <c r="I462" s="42">
        <v>21.27767629</v>
      </c>
    </row>
    <row r="463">
      <c r="A463" s="1" t="s">
        <v>384</v>
      </c>
      <c r="B463" s="1">
        <v>666214.0</v>
      </c>
      <c r="C463" s="81">
        <v>1919.0</v>
      </c>
      <c r="D463" s="40">
        <v>4.870297864</v>
      </c>
      <c r="E463" s="41">
        <v>0.412193851</v>
      </c>
      <c r="F463" s="41">
        <v>0.190724336</v>
      </c>
      <c r="G463" s="41">
        <v>0.397081813</v>
      </c>
      <c r="H463" s="79">
        <f t="shared" si="1"/>
        <v>0.015112038</v>
      </c>
      <c r="I463" s="42">
        <v>-18.4658277</v>
      </c>
    </row>
    <row r="464" hidden="1">
      <c r="A464" s="1" t="s">
        <v>310</v>
      </c>
      <c r="B464" s="1">
        <v>607455.0</v>
      </c>
      <c r="C464" s="81">
        <v>158.0</v>
      </c>
      <c r="D464" s="40">
        <v>4.869891949</v>
      </c>
      <c r="E464" s="41">
        <v>0.5</v>
      </c>
      <c r="F464" s="41">
        <v>0.164556962</v>
      </c>
      <c r="G464" s="41">
        <v>0.335443038</v>
      </c>
      <c r="H464" s="79">
        <f t="shared" si="1"/>
        <v>0.164556962</v>
      </c>
      <c r="I464" s="42">
        <v>1.237532003</v>
      </c>
    </row>
    <row r="465">
      <c r="A465" s="1" t="s">
        <v>1171</v>
      </c>
      <c r="B465" s="1">
        <v>622065.0</v>
      </c>
      <c r="C465" s="81">
        <v>873.0</v>
      </c>
      <c r="D465" s="40">
        <v>4.868926991</v>
      </c>
      <c r="E465" s="41">
        <v>0.41580756</v>
      </c>
      <c r="F465" s="41">
        <v>0.197021764</v>
      </c>
      <c r="G465" s="41">
        <v>0.387170676</v>
      </c>
      <c r="H465" s="79">
        <f t="shared" si="1"/>
        <v>0.028636884</v>
      </c>
      <c r="I465" s="42">
        <v>3.695586672</v>
      </c>
    </row>
    <row r="466">
      <c r="A466" s="1" t="s">
        <v>404</v>
      </c>
      <c r="B466" s="1">
        <v>593974.0</v>
      </c>
      <c r="C466" s="81">
        <v>870.0</v>
      </c>
      <c r="D466" s="40">
        <v>4.866226515</v>
      </c>
      <c r="E466" s="41">
        <v>0.411494253</v>
      </c>
      <c r="F466" s="41">
        <v>0.195402299</v>
      </c>
      <c r="G466" s="41">
        <v>0.393103448</v>
      </c>
      <c r="H466" s="79">
        <f t="shared" si="1"/>
        <v>0.018390805</v>
      </c>
      <c r="I466" s="42">
        <v>11.38739899</v>
      </c>
    </row>
    <row r="467">
      <c r="A467" s="1" t="s">
        <v>439</v>
      </c>
      <c r="B467" s="1">
        <v>592454.0</v>
      </c>
      <c r="C467" s="81">
        <v>673.0</v>
      </c>
      <c r="D467" s="40">
        <v>4.865211254</v>
      </c>
      <c r="E467" s="41">
        <v>0.41307578</v>
      </c>
      <c r="F467" s="41">
        <v>0.200594354</v>
      </c>
      <c r="G467" s="41">
        <v>0.386329866</v>
      </c>
      <c r="H467" s="79">
        <f t="shared" si="1"/>
        <v>0.026745914</v>
      </c>
      <c r="I467" s="42">
        <v>14.40946426</v>
      </c>
    </row>
    <row r="468">
      <c r="A468" s="1" t="s">
        <v>113</v>
      </c>
      <c r="B468" s="1">
        <v>664285.0</v>
      </c>
      <c r="C468" s="81">
        <v>2932.0</v>
      </c>
      <c r="D468" s="40">
        <v>4.864113376</v>
      </c>
      <c r="E468" s="41">
        <v>0.395975443</v>
      </c>
      <c r="F468" s="41">
        <v>0.2053206</v>
      </c>
      <c r="G468" s="41">
        <v>0.398703956</v>
      </c>
      <c r="H468" s="79">
        <f t="shared" si="1"/>
        <v>-0.002728513</v>
      </c>
      <c r="I468" s="42">
        <v>13.2045347</v>
      </c>
    </row>
    <row r="469">
      <c r="A469" s="1" t="s">
        <v>606</v>
      </c>
      <c r="B469" s="1">
        <v>448179.0</v>
      </c>
      <c r="C469" s="81">
        <v>2509.0</v>
      </c>
      <c r="D469" s="40">
        <v>4.863438569</v>
      </c>
      <c r="E469" s="41">
        <v>0.426464727</v>
      </c>
      <c r="F469" s="41">
        <v>0.189717019</v>
      </c>
      <c r="G469" s="41">
        <v>0.383818254</v>
      </c>
      <c r="H469" s="79">
        <f t="shared" si="1"/>
        <v>0.042646473</v>
      </c>
      <c r="I469" s="42">
        <v>-20.16512305</v>
      </c>
    </row>
    <row r="470">
      <c r="A470" s="1" t="s">
        <v>469</v>
      </c>
      <c r="B470" s="1">
        <v>666277.0</v>
      </c>
      <c r="C470" s="81">
        <v>878.0</v>
      </c>
      <c r="D470" s="40">
        <v>4.863048903</v>
      </c>
      <c r="E470" s="41">
        <v>0.423690205</v>
      </c>
      <c r="F470" s="41">
        <v>0.186788155</v>
      </c>
      <c r="G470" s="41">
        <v>0.38952164</v>
      </c>
      <c r="H470" s="79">
        <f t="shared" si="1"/>
        <v>0.034168565</v>
      </c>
      <c r="I470" s="42">
        <v>3.879875696</v>
      </c>
    </row>
    <row r="471">
      <c r="A471" s="1" t="s">
        <v>1172</v>
      </c>
      <c r="B471" s="1">
        <v>670046.0</v>
      </c>
      <c r="C471" s="81">
        <v>538.0</v>
      </c>
      <c r="D471" s="40">
        <v>4.862592268</v>
      </c>
      <c r="E471" s="41">
        <v>0.392193309</v>
      </c>
      <c r="F471" s="41">
        <v>0.200743494</v>
      </c>
      <c r="G471" s="41">
        <v>0.407063197</v>
      </c>
      <c r="H471" s="79">
        <f t="shared" si="1"/>
        <v>-0.014869888</v>
      </c>
      <c r="I471" s="42">
        <v>-6.042834291</v>
      </c>
    </row>
    <row r="472">
      <c r="A472" s="1" t="s">
        <v>480</v>
      </c>
      <c r="B472" s="1">
        <v>647336.0</v>
      </c>
      <c r="C472" s="81">
        <v>533.0</v>
      </c>
      <c r="D472" s="40">
        <v>4.862572321</v>
      </c>
      <c r="E472" s="41">
        <v>0.427767355</v>
      </c>
      <c r="F472" s="41">
        <v>0.161350844</v>
      </c>
      <c r="G472" s="41">
        <v>0.410881801</v>
      </c>
      <c r="H472" s="79">
        <f t="shared" si="1"/>
        <v>0.016885554</v>
      </c>
      <c r="I472" s="42">
        <v>-3.625186843</v>
      </c>
    </row>
    <row r="473">
      <c r="A473" s="1" t="s">
        <v>862</v>
      </c>
      <c r="B473" s="1">
        <v>663546.0</v>
      </c>
      <c r="C473" s="81">
        <v>503.0</v>
      </c>
      <c r="D473" s="40">
        <v>4.86240519</v>
      </c>
      <c r="E473" s="41">
        <v>0.389662028</v>
      </c>
      <c r="F473" s="41">
        <v>0.254473161</v>
      </c>
      <c r="G473" s="41">
        <v>0.355864811</v>
      </c>
      <c r="H473" s="79">
        <f t="shared" si="1"/>
        <v>0.033797217</v>
      </c>
      <c r="I473" s="42">
        <v>-8.499776701</v>
      </c>
    </row>
    <row r="474">
      <c r="A474" s="1" t="s">
        <v>353</v>
      </c>
      <c r="B474" s="1">
        <v>663903.0</v>
      </c>
      <c r="C474" s="81">
        <v>2600.0</v>
      </c>
      <c r="D474" s="40">
        <v>4.861966707</v>
      </c>
      <c r="E474" s="41">
        <v>0.395</v>
      </c>
      <c r="F474" s="41">
        <v>0.215</v>
      </c>
      <c r="G474" s="41">
        <v>0.39</v>
      </c>
      <c r="H474" s="79">
        <f t="shared" si="1"/>
        <v>0.005</v>
      </c>
      <c r="I474" s="42">
        <v>-21.14653682</v>
      </c>
    </row>
    <row r="475">
      <c r="A475" s="1" t="s">
        <v>419</v>
      </c>
      <c r="B475" s="1">
        <v>681857.0</v>
      </c>
      <c r="C475" s="81">
        <v>1700.0</v>
      </c>
      <c r="D475" s="40">
        <v>4.861964416</v>
      </c>
      <c r="E475" s="41">
        <v>0.400588235</v>
      </c>
      <c r="F475" s="41">
        <v>0.198823529</v>
      </c>
      <c r="G475" s="41">
        <v>0.400588235</v>
      </c>
      <c r="H475" s="79">
        <f t="shared" si="1"/>
        <v>0</v>
      </c>
      <c r="I475" s="42">
        <v>23.94327845</v>
      </c>
    </row>
    <row r="476" hidden="1">
      <c r="A476" s="1" t="s">
        <v>1173</v>
      </c>
      <c r="B476" s="1">
        <v>622766.0</v>
      </c>
      <c r="C476" s="81">
        <v>208.0</v>
      </c>
      <c r="D476" s="40">
        <v>4.86152838</v>
      </c>
      <c r="E476" s="41">
        <v>0.403846154</v>
      </c>
      <c r="F476" s="41">
        <v>0.235576923</v>
      </c>
      <c r="G476" s="41">
        <v>0.360576923</v>
      </c>
      <c r="H476" s="79">
        <f t="shared" si="1"/>
        <v>0.043269231</v>
      </c>
      <c r="I476" s="42">
        <v>4.837227397</v>
      </c>
    </row>
    <row r="477" hidden="1">
      <c r="A477" s="1" t="s">
        <v>1174</v>
      </c>
      <c r="B477" s="1">
        <v>669952.0</v>
      </c>
      <c r="C477" s="81">
        <v>252.0</v>
      </c>
      <c r="D477" s="40">
        <v>4.8609175</v>
      </c>
      <c r="E477" s="41">
        <v>0.404761905</v>
      </c>
      <c r="F477" s="41">
        <v>0.242063492</v>
      </c>
      <c r="G477" s="41">
        <v>0.353174603</v>
      </c>
      <c r="H477" s="79">
        <f t="shared" si="1"/>
        <v>0.051587302</v>
      </c>
      <c r="I477" s="42">
        <v>-2.14598938</v>
      </c>
    </row>
    <row r="478" hidden="1">
      <c r="A478" s="1" t="s">
        <v>1175</v>
      </c>
      <c r="B478" s="1">
        <v>666720.0</v>
      </c>
      <c r="C478" s="81">
        <v>278.0</v>
      </c>
      <c r="D478" s="40">
        <v>4.858419932</v>
      </c>
      <c r="E478" s="41">
        <v>0.410071942</v>
      </c>
      <c r="F478" s="41">
        <v>0.154676259</v>
      </c>
      <c r="G478" s="41">
        <v>0.435251799</v>
      </c>
      <c r="H478" s="79">
        <f t="shared" si="1"/>
        <v>-0.025179857</v>
      </c>
      <c r="I478" s="42">
        <v>-2.723370658</v>
      </c>
    </row>
    <row r="479">
      <c r="A479" s="1" t="s">
        <v>450</v>
      </c>
      <c r="B479" s="1">
        <v>682990.0</v>
      </c>
      <c r="C479" s="81">
        <v>858.0</v>
      </c>
      <c r="D479" s="40">
        <v>4.856330439</v>
      </c>
      <c r="E479" s="41">
        <v>0.431235431</v>
      </c>
      <c r="F479" s="41">
        <v>0.180652681</v>
      </c>
      <c r="G479" s="41">
        <v>0.388111888</v>
      </c>
      <c r="H479" s="79">
        <f t="shared" si="1"/>
        <v>0.043123543</v>
      </c>
      <c r="I479" s="42">
        <v>-0.726265344</v>
      </c>
    </row>
    <row r="480">
      <c r="A480" s="1" t="s">
        <v>990</v>
      </c>
      <c r="B480" s="1">
        <v>543859.0</v>
      </c>
      <c r="C480" s="81">
        <v>1273.0</v>
      </c>
      <c r="D480" s="40">
        <v>4.854262629</v>
      </c>
      <c r="E480" s="41">
        <v>0.413982718</v>
      </c>
      <c r="F480" s="41">
        <v>0.196386489</v>
      </c>
      <c r="G480" s="41">
        <v>0.389630793</v>
      </c>
      <c r="H480" s="79">
        <f t="shared" si="1"/>
        <v>0.024351925</v>
      </c>
      <c r="I480" s="42">
        <v>13.66180909</v>
      </c>
    </row>
    <row r="481" hidden="1">
      <c r="A481" s="1" t="s">
        <v>1176</v>
      </c>
      <c r="B481" s="1">
        <v>572193.0</v>
      </c>
      <c r="C481" s="81">
        <v>229.0</v>
      </c>
      <c r="D481" s="40">
        <v>4.853980947</v>
      </c>
      <c r="E481" s="41">
        <v>0.414847162</v>
      </c>
      <c r="F481" s="41">
        <v>0.209606987</v>
      </c>
      <c r="G481" s="41">
        <v>0.375545852</v>
      </c>
      <c r="H481" s="79">
        <f t="shared" si="1"/>
        <v>0.03930131</v>
      </c>
      <c r="I481" s="42">
        <v>-6.649924298</v>
      </c>
    </row>
    <row r="482" hidden="1">
      <c r="A482" s="1" t="s">
        <v>884</v>
      </c>
      <c r="B482" s="1">
        <v>677865.0</v>
      </c>
      <c r="C482" s="81">
        <v>422.0</v>
      </c>
      <c r="D482" s="40">
        <v>4.852393962</v>
      </c>
      <c r="E482" s="41">
        <v>0.40521327</v>
      </c>
      <c r="F482" s="41">
        <v>0.21563981</v>
      </c>
      <c r="G482" s="41">
        <v>0.379146919</v>
      </c>
      <c r="H482" s="79">
        <f t="shared" si="1"/>
        <v>0.026066351</v>
      </c>
      <c r="I482" s="42">
        <v>0.279044023</v>
      </c>
    </row>
    <row r="483">
      <c r="A483" s="1" t="s">
        <v>1177</v>
      </c>
      <c r="B483" s="1">
        <v>661309.0</v>
      </c>
      <c r="C483" s="81">
        <v>940.0</v>
      </c>
      <c r="D483" s="40">
        <v>4.852025811</v>
      </c>
      <c r="E483" s="41">
        <v>0.409574468</v>
      </c>
      <c r="F483" s="41">
        <v>0.168085106</v>
      </c>
      <c r="G483" s="41">
        <v>0.422340426</v>
      </c>
      <c r="H483" s="79">
        <f t="shared" si="1"/>
        <v>-0.012765958</v>
      </c>
      <c r="I483" s="42">
        <v>-3.555305306</v>
      </c>
    </row>
    <row r="484" hidden="1">
      <c r="A484" s="1" t="s">
        <v>1178</v>
      </c>
      <c r="B484" s="1">
        <v>453178.0</v>
      </c>
      <c r="C484" s="81">
        <v>314.0</v>
      </c>
      <c r="D484" s="40">
        <v>4.850729268</v>
      </c>
      <c r="E484" s="41">
        <v>0.414012739</v>
      </c>
      <c r="F484" s="41">
        <v>0.149681529</v>
      </c>
      <c r="G484" s="41">
        <v>0.436305732</v>
      </c>
      <c r="H484" s="79">
        <f t="shared" si="1"/>
        <v>-0.022292993</v>
      </c>
      <c r="I484" s="42">
        <v>-1.042128255</v>
      </c>
    </row>
    <row r="485" hidden="1">
      <c r="A485" s="1" t="s">
        <v>1179</v>
      </c>
      <c r="B485" s="1">
        <v>669912.0</v>
      </c>
      <c r="C485" s="81">
        <v>191.0</v>
      </c>
      <c r="D485" s="40">
        <v>4.850617262</v>
      </c>
      <c r="E485" s="41">
        <v>0.42408377</v>
      </c>
      <c r="F485" s="41">
        <v>0.188481675</v>
      </c>
      <c r="G485" s="41">
        <v>0.387434555</v>
      </c>
      <c r="H485" s="79">
        <f t="shared" si="1"/>
        <v>0.036649215</v>
      </c>
      <c r="I485" s="42">
        <v>-1.359065592</v>
      </c>
    </row>
    <row r="486">
      <c r="A486" s="1" t="s">
        <v>1056</v>
      </c>
      <c r="B486" s="1">
        <v>592767.0</v>
      </c>
      <c r="C486" s="81">
        <v>2383.0</v>
      </c>
      <c r="D486" s="40">
        <v>4.849959858</v>
      </c>
      <c r="E486" s="41">
        <v>0.389844734</v>
      </c>
      <c r="F486" s="41">
        <v>0.213596307</v>
      </c>
      <c r="G486" s="41">
        <v>0.396558959</v>
      </c>
      <c r="H486" s="79">
        <f t="shared" si="1"/>
        <v>-0.006714225</v>
      </c>
      <c r="I486" s="42">
        <v>-14.55964544</v>
      </c>
    </row>
    <row r="487" hidden="1">
      <c r="A487" s="1" t="s">
        <v>709</v>
      </c>
      <c r="B487" s="1">
        <v>677020.0</v>
      </c>
      <c r="C487" s="81">
        <v>216.0</v>
      </c>
      <c r="D487" s="40">
        <v>4.848866898</v>
      </c>
      <c r="E487" s="41">
        <v>0.435185185</v>
      </c>
      <c r="F487" s="41">
        <v>0.171296296</v>
      </c>
      <c r="G487" s="41">
        <v>0.393518519</v>
      </c>
      <c r="H487" s="79">
        <f t="shared" si="1"/>
        <v>0.041666666</v>
      </c>
      <c r="I487" s="42">
        <v>-2.162293239</v>
      </c>
    </row>
    <row r="488" hidden="1">
      <c r="A488" s="1" t="s">
        <v>1060</v>
      </c>
      <c r="B488" s="1">
        <v>613534.0</v>
      </c>
      <c r="C488" s="81">
        <v>355.0</v>
      </c>
      <c r="D488" s="40">
        <v>4.847917907</v>
      </c>
      <c r="E488" s="41">
        <v>0.430985915</v>
      </c>
      <c r="F488" s="41">
        <v>0.177464789</v>
      </c>
      <c r="G488" s="41">
        <v>0.391549296</v>
      </c>
      <c r="H488" s="79">
        <f t="shared" si="1"/>
        <v>0.039436619</v>
      </c>
      <c r="I488" s="42">
        <v>1.654395751</v>
      </c>
    </row>
    <row r="489" hidden="1">
      <c r="A489" s="1" t="s">
        <v>513</v>
      </c>
      <c r="B489" s="1">
        <v>608566.0</v>
      </c>
      <c r="C489" s="81">
        <v>302.0</v>
      </c>
      <c r="D489" s="40">
        <v>4.847802807</v>
      </c>
      <c r="E489" s="41">
        <v>0.344370861</v>
      </c>
      <c r="F489" s="41">
        <v>0.215231788</v>
      </c>
      <c r="G489" s="41">
        <v>0.440397351</v>
      </c>
      <c r="H489" s="79">
        <f t="shared" si="1"/>
        <v>-0.09602649</v>
      </c>
      <c r="I489" s="42">
        <v>0.759570325</v>
      </c>
    </row>
    <row r="490" hidden="1">
      <c r="A490" s="1" t="s">
        <v>765</v>
      </c>
      <c r="B490" s="1">
        <v>663474.0</v>
      </c>
      <c r="C490" s="81">
        <v>298.0</v>
      </c>
      <c r="D490" s="40">
        <v>4.845816654</v>
      </c>
      <c r="E490" s="41">
        <v>0.463087248</v>
      </c>
      <c r="F490" s="41">
        <v>0.16442953</v>
      </c>
      <c r="G490" s="41">
        <v>0.372483221</v>
      </c>
      <c r="H490" s="79">
        <f t="shared" si="1"/>
        <v>0.090604027</v>
      </c>
      <c r="I490" s="42">
        <v>2.390635836</v>
      </c>
    </row>
    <row r="491" hidden="1">
      <c r="A491" s="1" t="s">
        <v>1180</v>
      </c>
      <c r="B491" s="1">
        <v>570666.0</v>
      </c>
      <c r="C491" s="81">
        <v>461.0</v>
      </c>
      <c r="D491" s="40">
        <v>4.845673299</v>
      </c>
      <c r="E491" s="41">
        <v>0.370932755</v>
      </c>
      <c r="F491" s="41">
        <v>0.247288503</v>
      </c>
      <c r="G491" s="41">
        <v>0.381778742</v>
      </c>
      <c r="H491" s="79">
        <f t="shared" si="1"/>
        <v>-0.010845987</v>
      </c>
      <c r="I491" s="42">
        <v>-13.95450584</v>
      </c>
    </row>
    <row r="492" hidden="1">
      <c r="A492" s="1" t="s">
        <v>1067</v>
      </c>
      <c r="B492" s="1">
        <v>686539.0</v>
      </c>
      <c r="C492" s="81">
        <v>192.0</v>
      </c>
      <c r="D492" s="40">
        <v>4.845367292</v>
      </c>
      <c r="E492" s="41">
        <v>0.40625</v>
      </c>
      <c r="F492" s="41">
        <v>0.1875</v>
      </c>
      <c r="G492" s="41">
        <v>0.40625</v>
      </c>
      <c r="H492" s="79">
        <f t="shared" si="1"/>
        <v>0</v>
      </c>
      <c r="I492" s="42">
        <v>-0.207506228</v>
      </c>
    </row>
    <row r="493">
      <c r="A493" s="1" t="s">
        <v>646</v>
      </c>
      <c r="B493" s="1">
        <v>623211.0</v>
      </c>
      <c r="C493" s="81">
        <v>998.0</v>
      </c>
      <c r="D493" s="40">
        <v>4.845168735</v>
      </c>
      <c r="E493" s="41">
        <v>0.404809619</v>
      </c>
      <c r="F493" s="41">
        <v>0.20240481</v>
      </c>
      <c r="G493" s="41">
        <v>0.392785571</v>
      </c>
      <c r="H493" s="79">
        <f t="shared" si="1"/>
        <v>0.012024048</v>
      </c>
      <c r="I493" s="42">
        <v>8.326396595</v>
      </c>
    </row>
    <row r="494">
      <c r="A494" s="1" t="s">
        <v>576</v>
      </c>
      <c r="B494" s="1">
        <v>660761.0</v>
      </c>
      <c r="C494" s="81">
        <v>615.0</v>
      </c>
      <c r="D494" s="40">
        <v>4.844640629</v>
      </c>
      <c r="E494" s="41">
        <v>0.4</v>
      </c>
      <c r="F494" s="41">
        <v>0.221138211</v>
      </c>
      <c r="G494" s="41">
        <v>0.378861789</v>
      </c>
      <c r="H494" s="79">
        <f t="shared" si="1"/>
        <v>0.021138211</v>
      </c>
      <c r="I494" s="42">
        <v>-11.3343316</v>
      </c>
    </row>
    <row r="495" hidden="1">
      <c r="A495" s="1" t="s">
        <v>1181</v>
      </c>
      <c r="B495" s="1">
        <v>663752.0</v>
      </c>
      <c r="C495" s="81">
        <v>165.0</v>
      </c>
      <c r="D495" s="40">
        <v>4.844480091</v>
      </c>
      <c r="E495" s="41">
        <v>0.387878788</v>
      </c>
      <c r="F495" s="41">
        <v>0.218181818</v>
      </c>
      <c r="G495" s="41">
        <v>0.393939394</v>
      </c>
      <c r="H495" s="79">
        <f t="shared" si="1"/>
        <v>-0.006060606</v>
      </c>
      <c r="I495" s="42">
        <v>-0.036324358</v>
      </c>
    </row>
    <row r="496">
      <c r="A496" s="1" t="s">
        <v>1182</v>
      </c>
      <c r="B496" s="1">
        <v>656578.0</v>
      </c>
      <c r="C496" s="81">
        <v>989.0</v>
      </c>
      <c r="D496" s="40">
        <v>4.844417306</v>
      </c>
      <c r="E496" s="41">
        <v>0.411526795</v>
      </c>
      <c r="F496" s="41">
        <v>0.193124368</v>
      </c>
      <c r="G496" s="41">
        <v>0.395348837</v>
      </c>
      <c r="H496" s="79">
        <f t="shared" si="1"/>
        <v>0.016177958</v>
      </c>
      <c r="I496" s="42">
        <v>5.239466387</v>
      </c>
    </row>
    <row r="497">
      <c r="A497" s="1" t="s">
        <v>874</v>
      </c>
      <c r="B497" s="1">
        <v>605513.0</v>
      </c>
      <c r="C497" s="81">
        <v>547.0</v>
      </c>
      <c r="D497" s="40">
        <v>4.844402035</v>
      </c>
      <c r="E497" s="41">
        <v>0.422303473</v>
      </c>
      <c r="F497" s="41">
        <v>0.182815356</v>
      </c>
      <c r="G497" s="41">
        <v>0.39488117</v>
      </c>
      <c r="H497" s="79">
        <f t="shared" si="1"/>
        <v>0.027422303</v>
      </c>
      <c r="I497" s="42">
        <v>-2.138248607</v>
      </c>
    </row>
    <row r="498">
      <c r="A498" s="1" t="s">
        <v>1048</v>
      </c>
      <c r="B498" s="1">
        <v>571656.0</v>
      </c>
      <c r="C498" s="81">
        <v>1206.0</v>
      </c>
      <c r="D498" s="40">
        <v>4.844099062</v>
      </c>
      <c r="E498" s="41">
        <v>0.419568823</v>
      </c>
      <c r="F498" s="41">
        <v>0.187396352</v>
      </c>
      <c r="G498" s="41">
        <v>0.393034826</v>
      </c>
      <c r="H498" s="79">
        <f t="shared" si="1"/>
        <v>0.026533997</v>
      </c>
      <c r="I498" s="42">
        <v>9.59272717</v>
      </c>
    </row>
    <row r="499">
      <c r="A499" s="1" t="s">
        <v>324</v>
      </c>
      <c r="B499" s="1">
        <v>471911.0</v>
      </c>
      <c r="C499" s="81">
        <v>1571.0</v>
      </c>
      <c r="D499" s="40">
        <v>4.844062113</v>
      </c>
      <c r="E499" s="41">
        <v>0.404201146</v>
      </c>
      <c r="F499" s="41">
        <v>0.211330363</v>
      </c>
      <c r="G499" s="41">
        <v>0.384468491</v>
      </c>
      <c r="H499" s="79">
        <f t="shared" si="1"/>
        <v>0.019732655</v>
      </c>
      <c r="I499" s="42">
        <v>-22.31301471</v>
      </c>
    </row>
    <row r="500">
      <c r="A500" s="1" t="s">
        <v>456</v>
      </c>
      <c r="B500" s="1">
        <v>605135.0</v>
      </c>
      <c r="C500" s="81">
        <v>3119.0</v>
      </c>
      <c r="D500" s="40">
        <v>4.843545913</v>
      </c>
      <c r="E500" s="41">
        <v>0.40493748</v>
      </c>
      <c r="F500" s="41">
        <v>0.20679705</v>
      </c>
      <c r="G500" s="41">
        <v>0.38826547</v>
      </c>
      <c r="H500" s="79">
        <f t="shared" si="1"/>
        <v>0.01667201</v>
      </c>
      <c r="I500" s="42">
        <v>36.21498238</v>
      </c>
    </row>
    <row r="501">
      <c r="A501" s="1" t="s">
        <v>246</v>
      </c>
      <c r="B501" s="1">
        <v>571510.0</v>
      </c>
      <c r="C501" s="81">
        <v>1173.0</v>
      </c>
      <c r="D501" s="40">
        <v>4.842684149</v>
      </c>
      <c r="E501" s="41">
        <v>0.406649616</v>
      </c>
      <c r="F501" s="41">
        <v>0.198635976</v>
      </c>
      <c r="G501" s="41">
        <v>0.394714408</v>
      </c>
      <c r="H501" s="79">
        <f t="shared" si="1"/>
        <v>0.011935208</v>
      </c>
      <c r="I501" s="42">
        <v>-3.653980764</v>
      </c>
    </row>
    <row r="502">
      <c r="A502" s="1" t="s">
        <v>796</v>
      </c>
      <c r="B502" s="1">
        <v>641540.0</v>
      </c>
      <c r="C502" s="81">
        <v>2659.0</v>
      </c>
      <c r="D502" s="40">
        <v>4.842568854</v>
      </c>
      <c r="E502" s="41">
        <v>0.406543813</v>
      </c>
      <c r="F502" s="41">
        <v>0.201579541</v>
      </c>
      <c r="G502" s="41">
        <v>0.391876645</v>
      </c>
      <c r="H502" s="79">
        <f t="shared" si="1"/>
        <v>0.014667168</v>
      </c>
      <c r="I502" s="42">
        <v>7.892878195</v>
      </c>
    </row>
    <row r="503">
      <c r="A503" s="1" t="s">
        <v>1183</v>
      </c>
      <c r="B503" s="1">
        <v>675916.0</v>
      </c>
      <c r="C503" s="81">
        <v>730.0</v>
      </c>
      <c r="D503" s="40">
        <v>4.842482053</v>
      </c>
      <c r="E503" s="41">
        <v>0.439726027</v>
      </c>
      <c r="F503" s="41">
        <v>0.163013699</v>
      </c>
      <c r="G503" s="41">
        <v>0.397260274</v>
      </c>
      <c r="H503" s="79">
        <f t="shared" si="1"/>
        <v>0.042465753</v>
      </c>
      <c r="I503" s="42">
        <v>8.33314944</v>
      </c>
    </row>
    <row r="504" hidden="1">
      <c r="A504" s="1" t="s">
        <v>1184</v>
      </c>
      <c r="B504" s="1">
        <v>656657.0</v>
      </c>
      <c r="C504" s="81">
        <v>173.0</v>
      </c>
      <c r="D504" s="40">
        <v>4.842439538</v>
      </c>
      <c r="E504" s="41">
        <v>0.404624277</v>
      </c>
      <c r="F504" s="41">
        <v>0.23699422</v>
      </c>
      <c r="G504" s="41">
        <v>0.358381503</v>
      </c>
      <c r="H504" s="79">
        <f t="shared" si="1"/>
        <v>0.046242774</v>
      </c>
      <c r="I504" s="42">
        <v>-0.004240786</v>
      </c>
    </row>
    <row r="505" hidden="1">
      <c r="A505" s="1" t="s">
        <v>1185</v>
      </c>
      <c r="B505" s="1">
        <v>593619.0</v>
      </c>
      <c r="C505" s="81">
        <v>317.0</v>
      </c>
      <c r="D505" s="40">
        <v>4.842029416</v>
      </c>
      <c r="E505" s="41">
        <v>0.429022082</v>
      </c>
      <c r="F505" s="41">
        <v>0.1829653</v>
      </c>
      <c r="G505" s="41">
        <v>0.388012618</v>
      </c>
      <c r="H505" s="79">
        <f t="shared" si="1"/>
        <v>0.041009464</v>
      </c>
      <c r="I505" s="42">
        <v>4.016138901</v>
      </c>
    </row>
    <row r="506">
      <c r="A506" s="1" t="s">
        <v>845</v>
      </c>
      <c r="B506" s="1">
        <v>596112.0</v>
      </c>
      <c r="C506" s="81">
        <v>756.0</v>
      </c>
      <c r="D506" s="40">
        <v>4.841732647</v>
      </c>
      <c r="E506" s="41">
        <v>0.382275132</v>
      </c>
      <c r="F506" s="41">
        <v>0.207671958</v>
      </c>
      <c r="G506" s="41">
        <v>0.41005291</v>
      </c>
      <c r="H506" s="79">
        <f t="shared" si="1"/>
        <v>-0.027777778</v>
      </c>
      <c r="I506" s="42">
        <v>11.58029255</v>
      </c>
    </row>
    <row r="507">
      <c r="A507" s="1" t="s">
        <v>302</v>
      </c>
      <c r="B507" s="1">
        <v>681190.0</v>
      </c>
      <c r="C507" s="81">
        <v>668.0</v>
      </c>
      <c r="D507" s="40">
        <v>4.838483871</v>
      </c>
      <c r="E507" s="41">
        <v>0.408682635</v>
      </c>
      <c r="F507" s="41">
        <v>0.239520958</v>
      </c>
      <c r="G507" s="41">
        <v>0.351796407</v>
      </c>
      <c r="H507" s="79">
        <f t="shared" si="1"/>
        <v>0.056886228</v>
      </c>
      <c r="I507" s="42">
        <v>9.145131245</v>
      </c>
    </row>
    <row r="508" hidden="1">
      <c r="A508" s="1" t="s">
        <v>693</v>
      </c>
      <c r="B508" s="1">
        <v>687396.0</v>
      </c>
      <c r="C508" s="81">
        <v>491.0</v>
      </c>
      <c r="D508" s="40">
        <v>4.837810715</v>
      </c>
      <c r="E508" s="41">
        <v>0.433808554</v>
      </c>
      <c r="F508" s="41">
        <v>0.185336049</v>
      </c>
      <c r="G508" s="41">
        <v>0.380855397</v>
      </c>
      <c r="H508" s="79">
        <f t="shared" si="1"/>
        <v>0.052953157</v>
      </c>
      <c r="I508" s="42">
        <v>3.03436495</v>
      </c>
    </row>
    <row r="509" hidden="1">
      <c r="A509" s="1" t="s">
        <v>219</v>
      </c>
      <c r="B509" s="1">
        <v>657044.0</v>
      </c>
      <c r="C509" s="81">
        <v>441.0</v>
      </c>
      <c r="D509" s="40">
        <v>4.837575526</v>
      </c>
      <c r="E509" s="41">
        <v>0.405895692</v>
      </c>
      <c r="F509" s="41">
        <v>0.183673469</v>
      </c>
      <c r="G509" s="41">
        <v>0.410430839</v>
      </c>
      <c r="H509" s="79">
        <f t="shared" si="1"/>
        <v>-0.004535147</v>
      </c>
      <c r="I509" s="42">
        <v>7.115391598</v>
      </c>
    </row>
    <row r="510" hidden="1">
      <c r="A510" s="1" t="s">
        <v>1186</v>
      </c>
      <c r="B510" s="1">
        <v>682967.0</v>
      </c>
      <c r="C510" s="81">
        <v>166.0</v>
      </c>
      <c r="D510" s="40">
        <v>4.837220735</v>
      </c>
      <c r="E510" s="41">
        <v>0.403614458</v>
      </c>
      <c r="F510" s="41">
        <v>0.186746988</v>
      </c>
      <c r="G510" s="41">
        <v>0.409638554</v>
      </c>
      <c r="H510" s="79">
        <f t="shared" si="1"/>
        <v>-0.006024096</v>
      </c>
      <c r="I510" s="42">
        <v>-2.430713915</v>
      </c>
    </row>
    <row r="511">
      <c r="A511" s="1" t="s">
        <v>1187</v>
      </c>
      <c r="B511" s="1">
        <v>660261.0</v>
      </c>
      <c r="C511" s="81">
        <v>1392.0</v>
      </c>
      <c r="D511" s="40">
        <v>4.836390627</v>
      </c>
      <c r="E511" s="41">
        <v>0.410201149</v>
      </c>
      <c r="F511" s="41">
        <v>0.192528736</v>
      </c>
      <c r="G511" s="41">
        <v>0.397270115</v>
      </c>
      <c r="H511" s="79">
        <f t="shared" si="1"/>
        <v>0.012931034</v>
      </c>
      <c r="I511" s="42">
        <v>4.819681799</v>
      </c>
    </row>
    <row r="512">
      <c r="A512" s="1" t="s">
        <v>399</v>
      </c>
      <c r="B512" s="1">
        <v>543294.0</v>
      </c>
      <c r="C512" s="81">
        <v>2093.0</v>
      </c>
      <c r="D512" s="40">
        <v>4.83631729</v>
      </c>
      <c r="E512" s="41">
        <v>0.373148591</v>
      </c>
      <c r="F512" s="41">
        <v>0.220735786</v>
      </c>
      <c r="G512" s="41">
        <v>0.406115624</v>
      </c>
      <c r="H512" s="79">
        <f t="shared" si="1"/>
        <v>-0.032967033</v>
      </c>
      <c r="I512" s="42">
        <v>9.09577008</v>
      </c>
    </row>
    <row r="513">
      <c r="A513" s="1" t="s">
        <v>1061</v>
      </c>
      <c r="B513" s="1">
        <v>656756.0</v>
      </c>
      <c r="C513" s="81">
        <v>2893.0</v>
      </c>
      <c r="D513" s="40">
        <v>4.835930024</v>
      </c>
      <c r="E513" s="41">
        <v>0.389561009</v>
      </c>
      <c r="F513" s="41">
        <v>0.212927757</v>
      </c>
      <c r="G513" s="41">
        <v>0.397511234</v>
      </c>
      <c r="H513" s="79">
        <f t="shared" si="1"/>
        <v>-0.007950225</v>
      </c>
      <c r="I513" s="42">
        <v>6.352836441</v>
      </c>
    </row>
    <row r="514">
      <c r="A514" s="1" t="s">
        <v>1188</v>
      </c>
      <c r="B514" s="1">
        <v>606149.0</v>
      </c>
      <c r="C514" s="81">
        <v>855.0</v>
      </c>
      <c r="D514" s="40">
        <v>4.835926987</v>
      </c>
      <c r="E514" s="41">
        <v>0.373099415</v>
      </c>
      <c r="F514" s="41">
        <v>0.207017544</v>
      </c>
      <c r="G514" s="41">
        <v>0.419883041</v>
      </c>
      <c r="H514" s="79">
        <f t="shared" si="1"/>
        <v>-0.046783626</v>
      </c>
      <c r="I514" s="42">
        <v>-5.93029416</v>
      </c>
    </row>
    <row r="515" hidden="1">
      <c r="A515" s="1" t="s">
        <v>683</v>
      </c>
      <c r="B515" s="1">
        <v>676092.0</v>
      </c>
      <c r="C515" s="81">
        <v>364.0</v>
      </c>
      <c r="D515" s="40">
        <v>4.835110425</v>
      </c>
      <c r="E515" s="41">
        <v>0.406593407</v>
      </c>
      <c r="F515" s="41">
        <v>0.236263736</v>
      </c>
      <c r="G515" s="41">
        <v>0.357142857</v>
      </c>
      <c r="H515" s="79">
        <f t="shared" si="1"/>
        <v>0.04945055</v>
      </c>
      <c r="I515" s="42">
        <v>-3.327074129</v>
      </c>
    </row>
    <row r="516">
      <c r="A516" s="1" t="s">
        <v>193</v>
      </c>
      <c r="B516" s="1">
        <v>668941.0</v>
      </c>
      <c r="C516" s="81">
        <v>544.0</v>
      </c>
      <c r="D516" s="40">
        <v>4.834013476</v>
      </c>
      <c r="E516" s="41">
        <v>0.380514706</v>
      </c>
      <c r="F516" s="41">
        <v>0.231617647</v>
      </c>
      <c r="G516" s="41">
        <v>0.387867647</v>
      </c>
      <c r="H516" s="79">
        <f t="shared" si="1"/>
        <v>-0.007352941</v>
      </c>
      <c r="I516" s="42">
        <v>7.530692211</v>
      </c>
    </row>
    <row r="517">
      <c r="A517" s="1" t="s">
        <v>473</v>
      </c>
      <c r="B517" s="1">
        <v>527048.0</v>
      </c>
      <c r="C517" s="81">
        <v>2207.0</v>
      </c>
      <c r="D517" s="40">
        <v>4.833709978</v>
      </c>
      <c r="E517" s="41">
        <v>0.38196647</v>
      </c>
      <c r="F517" s="41">
        <v>0.21205256</v>
      </c>
      <c r="G517" s="41">
        <v>0.40598097</v>
      </c>
      <c r="H517" s="79">
        <f t="shared" si="1"/>
        <v>-0.0240145</v>
      </c>
      <c r="I517" s="42">
        <v>-12.73708922</v>
      </c>
    </row>
    <row r="518">
      <c r="A518" s="1" t="s">
        <v>596</v>
      </c>
      <c r="B518" s="1">
        <v>674072.0</v>
      </c>
      <c r="C518" s="81">
        <v>1383.0</v>
      </c>
      <c r="D518" s="40">
        <v>4.831739191</v>
      </c>
      <c r="E518" s="41">
        <v>0.406362979</v>
      </c>
      <c r="F518" s="41">
        <v>0.190889371</v>
      </c>
      <c r="G518" s="41">
        <v>0.40274765</v>
      </c>
      <c r="H518" s="79">
        <f t="shared" si="1"/>
        <v>0.003615329</v>
      </c>
      <c r="I518" s="42">
        <v>-4.451334514</v>
      </c>
    </row>
    <row r="519">
      <c r="A519" s="1" t="s">
        <v>1189</v>
      </c>
      <c r="B519" s="1">
        <v>680723.0</v>
      </c>
      <c r="C519" s="81">
        <v>666.0</v>
      </c>
      <c r="D519" s="40">
        <v>4.831364856</v>
      </c>
      <c r="E519" s="41">
        <v>0.378378378</v>
      </c>
      <c r="F519" s="41">
        <v>0.283783784</v>
      </c>
      <c r="G519" s="41">
        <v>0.337837838</v>
      </c>
      <c r="H519" s="79">
        <f t="shared" si="1"/>
        <v>0.04054054</v>
      </c>
      <c r="I519" s="42">
        <v>-8.463147256</v>
      </c>
    </row>
    <row r="520" hidden="1">
      <c r="A520" s="1" t="s">
        <v>636</v>
      </c>
      <c r="B520" s="1">
        <v>663542.0</v>
      </c>
      <c r="C520" s="81">
        <v>164.0</v>
      </c>
      <c r="D520" s="40">
        <v>4.831320738</v>
      </c>
      <c r="E520" s="41">
        <v>0.402439024</v>
      </c>
      <c r="F520" s="41">
        <v>0.213414634</v>
      </c>
      <c r="G520" s="41">
        <v>0.384146341</v>
      </c>
      <c r="H520" s="79">
        <f t="shared" si="1"/>
        <v>0.018292683</v>
      </c>
      <c r="I520" s="42">
        <v>-1.57658765</v>
      </c>
    </row>
    <row r="521">
      <c r="A521" s="1" t="s">
        <v>417</v>
      </c>
      <c r="B521" s="1">
        <v>608718.0</v>
      </c>
      <c r="C521" s="81">
        <v>1120.0</v>
      </c>
      <c r="D521" s="40">
        <v>4.830913296</v>
      </c>
      <c r="E521" s="41">
        <v>0.410714286</v>
      </c>
      <c r="F521" s="41">
        <v>0.180357143</v>
      </c>
      <c r="G521" s="41">
        <v>0.408928571</v>
      </c>
      <c r="H521" s="79">
        <f t="shared" si="1"/>
        <v>0.001785715</v>
      </c>
      <c r="I521" s="42">
        <v>3.194407541</v>
      </c>
    </row>
    <row r="522" hidden="1">
      <c r="A522" s="1" t="s">
        <v>1190</v>
      </c>
      <c r="B522" s="1">
        <v>668676.0</v>
      </c>
      <c r="C522" s="81">
        <v>366.0</v>
      </c>
      <c r="D522" s="40">
        <v>4.829390934</v>
      </c>
      <c r="E522" s="41">
        <v>0.357923497</v>
      </c>
      <c r="F522" s="41">
        <v>0.24863388</v>
      </c>
      <c r="G522" s="41">
        <v>0.393442623</v>
      </c>
      <c r="H522" s="79">
        <f t="shared" si="1"/>
        <v>-0.035519126</v>
      </c>
      <c r="I522" s="42">
        <v>-14.33928648</v>
      </c>
    </row>
    <row r="523">
      <c r="A523" s="1" t="s">
        <v>279</v>
      </c>
      <c r="B523" s="1">
        <v>682842.0</v>
      </c>
      <c r="C523" s="81">
        <v>510.0</v>
      </c>
      <c r="D523" s="40">
        <v>4.829032147</v>
      </c>
      <c r="E523" s="41">
        <v>0.423529412</v>
      </c>
      <c r="F523" s="41">
        <v>0.188235294</v>
      </c>
      <c r="G523" s="41">
        <v>0.388235294</v>
      </c>
      <c r="H523" s="79">
        <f t="shared" si="1"/>
        <v>0.035294118</v>
      </c>
      <c r="I523" s="42">
        <v>13.34006626</v>
      </c>
    </row>
    <row r="524" hidden="1">
      <c r="A524" s="1" t="s">
        <v>1191</v>
      </c>
      <c r="B524" s="1">
        <v>678061.0</v>
      </c>
      <c r="C524" s="81">
        <v>424.0</v>
      </c>
      <c r="D524" s="40">
        <v>4.828353809</v>
      </c>
      <c r="E524" s="41">
        <v>0.443396226</v>
      </c>
      <c r="F524" s="41">
        <v>0.169811321</v>
      </c>
      <c r="G524" s="41">
        <v>0.386792453</v>
      </c>
      <c r="H524" s="79">
        <f t="shared" si="1"/>
        <v>0.056603773</v>
      </c>
      <c r="I524" s="42">
        <v>-1.611128096</v>
      </c>
    </row>
    <row r="525" hidden="1">
      <c r="A525" s="1" t="s">
        <v>1192</v>
      </c>
      <c r="B525" s="1">
        <v>594943.0</v>
      </c>
      <c r="C525" s="81">
        <v>457.0</v>
      </c>
      <c r="D525" s="40">
        <v>4.827121278</v>
      </c>
      <c r="E525" s="41">
        <v>0.402625821</v>
      </c>
      <c r="F525" s="41">
        <v>0.175054705</v>
      </c>
      <c r="G525" s="41">
        <v>0.422319475</v>
      </c>
      <c r="H525" s="79">
        <f t="shared" si="1"/>
        <v>-0.019693654</v>
      </c>
      <c r="I525" s="42">
        <v>1.2910357</v>
      </c>
    </row>
    <row r="526">
      <c r="A526" s="1" t="s">
        <v>1042</v>
      </c>
      <c r="B526" s="1">
        <v>676596.0</v>
      </c>
      <c r="C526" s="81">
        <v>747.0</v>
      </c>
      <c r="D526" s="40">
        <v>4.826318332</v>
      </c>
      <c r="E526" s="41">
        <v>0.401606426</v>
      </c>
      <c r="F526" s="41">
        <v>0.204819277</v>
      </c>
      <c r="G526" s="41">
        <v>0.393574297</v>
      </c>
      <c r="H526" s="79">
        <f t="shared" si="1"/>
        <v>0.008032129</v>
      </c>
      <c r="I526" s="42">
        <v>-2.791800249</v>
      </c>
    </row>
    <row r="527">
      <c r="A527" s="1" t="s">
        <v>1045</v>
      </c>
      <c r="B527" s="1">
        <v>571670.0</v>
      </c>
      <c r="C527" s="81">
        <v>953.0</v>
      </c>
      <c r="D527" s="40">
        <v>4.825530674</v>
      </c>
      <c r="E527" s="41">
        <v>0.371458552</v>
      </c>
      <c r="F527" s="41">
        <v>0.213011542</v>
      </c>
      <c r="G527" s="41">
        <v>0.415529906</v>
      </c>
      <c r="H527" s="79">
        <f t="shared" si="1"/>
        <v>-0.044071354</v>
      </c>
      <c r="I527" s="42">
        <v>-6.576074773</v>
      </c>
    </row>
    <row r="528">
      <c r="A528" s="1" t="s">
        <v>278</v>
      </c>
      <c r="B528" s="1">
        <v>542881.0</v>
      </c>
      <c r="C528" s="81">
        <v>2413.0</v>
      </c>
      <c r="D528" s="40">
        <v>4.823199763</v>
      </c>
      <c r="E528" s="41">
        <v>0.411106506</v>
      </c>
      <c r="F528" s="41">
        <v>0.180273518</v>
      </c>
      <c r="G528" s="41">
        <v>0.408619975</v>
      </c>
      <c r="H528" s="79">
        <f t="shared" si="1"/>
        <v>0.002486531</v>
      </c>
      <c r="I528" s="42">
        <v>-9.911127336</v>
      </c>
    </row>
    <row r="529" hidden="1">
      <c r="A529" s="1" t="s">
        <v>1193</v>
      </c>
      <c r="B529" s="1">
        <v>621368.0</v>
      </c>
      <c r="C529" s="81">
        <v>309.0</v>
      </c>
      <c r="D529" s="40">
        <v>4.822079447</v>
      </c>
      <c r="E529" s="41">
        <v>0.385113269</v>
      </c>
      <c r="F529" s="41">
        <v>0.220064725</v>
      </c>
      <c r="G529" s="41">
        <v>0.394822006</v>
      </c>
      <c r="H529" s="79">
        <f t="shared" si="1"/>
        <v>-0.009708737</v>
      </c>
      <c r="I529" s="42">
        <v>-6.24736269</v>
      </c>
    </row>
    <row r="530">
      <c r="A530" s="1" t="s">
        <v>227</v>
      </c>
      <c r="B530" s="1">
        <v>663687.0</v>
      </c>
      <c r="C530" s="81">
        <v>1101.0</v>
      </c>
      <c r="D530" s="40">
        <v>4.820386683</v>
      </c>
      <c r="E530" s="41">
        <v>0.422343324</v>
      </c>
      <c r="F530" s="41">
        <v>0.178019982</v>
      </c>
      <c r="G530" s="41">
        <v>0.399636694</v>
      </c>
      <c r="H530" s="79">
        <f t="shared" si="1"/>
        <v>0.02270663</v>
      </c>
      <c r="I530" s="42">
        <v>2.219508329</v>
      </c>
    </row>
    <row r="531">
      <c r="A531" s="1" t="s">
        <v>407</v>
      </c>
      <c r="B531" s="1">
        <v>668674.0</v>
      </c>
      <c r="C531" s="81">
        <v>1039.0</v>
      </c>
      <c r="D531" s="40">
        <v>4.816914563</v>
      </c>
      <c r="E531" s="41">
        <v>0.421559192</v>
      </c>
      <c r="F531" s="41">
        <v>0.168431184</v>
      </c>
      <c r="G531" s="41">
        <v>0.410009625</v>
      </c>
      <c r="H531" s="79">
        <f t="shared" si="1"/>
        <v>0.011549567</v>
      </c>
      <c r="I531" s="42">
        <v>12.59933458</v>
      </c>
    </row>
    <row r="532">
      <c r="A532" s="1" t="s">
        <v>813</v>
      </c>
      <c r="B532" s="1">
        <v>686753.0</v>
      </c>
      <c r="C532" s="81">
        <v>669.0</v>
      </c>
      <c r="D532" s="40">
        <v>4.816521274</v>
      </c>
      <c r="E532" s="41">
        <v>0.412556054</v>
      </c>
      <c r="F532" s="41">
        <v>0.189835575</v>
      </c>
      <c r="G532" s="41">
        <v>0.397608371</v>
      </c>
      <c r="H532" s="79">
        <f t="shared" si="1"/>
        <v>0.014947683</v>
      </c>
      <c r="I532" s="42">
        <v>-0.969592006</v>
      </c>
    </row>
    <row r="533">
      <c r="A533" s="1" t="s">
        <v>290</v>
      </c>
      <c r="B533" s="1">
        <v>669461.0</v>
      </c>
      <c r="C533" s="81">
        <v>990.0</v>
      </c>
      <c r="D533" s="40">
        <v>4.816041969</v>
      </c>
      <c r="E533" s="41">
        <v>0.419191919</v>
      </c>
      <c r="F533" s="41">
        <v>0.156565657</v>
      </c>
      <c r="G533" s="41">
        <v>0.424242424</v>
      </c>
      <c r="H533" s="79">
        <f t="shared" si="1"/>
        <v>-0.005050505</v>
      </c>
      <c r="I533" s="42">
        <v>-5.52528223</v>
      </c>
    </row>
    <row r="534">
      <c r="A534" s="1" t="s">
        <v>307</v>
      </c>
      <c r="B534" s="1">
        <v>656849.0</v>
      </c>
      <c r="C534" s="81">
        <v>1950.0</v>
      </c>
      <c r="D534" s="40">
        <v>4.815987527</v>
      </c>
      <c r="E534" s="41">
        <v>0.408205128</v>
      </c>
      <c r="F534" s="41">
        <v>0.176410256</v>
      </c>
      <c r="G534" s="41">
        <v>0.415384615</v>
      </c>
      <c r="H534" s="79">
        <f t="shared" si="1"/>
        <v>-0.007179487</v>
      </c>
      <c r="I534" s="42">
        <v>-7.049074379</v>
      </c>
    </row>
    <row r="535" hidden="1">
      <c r="A535" s="1" t="s">
        <v>1194</v>
      </c>
      <c r="B535" s="1">
        <v>672730.0</v>
      </c>
      <c r="C535" s="81">
        <v>166.0</v>
      </c>
      <c r="D535" s="40">
        <v>4.815113217</v>
      </c>
      <c r="E535" s="41">
        <v>0.379518072</v>
      </c>
      <c r="F535" s="41">
        <v>0.204819277</v>
      </c>
      <c r="G535" s="41">
        <v>0.415662651</v>
      </c>
      <c r="H535" s="79">
        <f t="shared" si="1"/>
        <v>-0.036144579</v>
      </c>
      <c r="I535" s="42">
        <v>-3.557805552</v>
      </c>
    </row>
    <row r="536">
      <c r="A536" s="1" t="s">
        <v>556</v>
      </c>
      <c r="B536" s="1">
        <v>696136.0</v>
      </c>
      <c r="C536" s="81">
        <v>579.0</v>
      </c>
      <c r="D536" s="40">
        <v>4.813831965</v>
      </c>
      <c r="E536" s="41">
        <v>0.350604491</v>
      </c>
      <c r="F536" s="41">
        <v>0.234887737</v>
      </c>
      <c r="G536" s="41">
        <v>0.414507772</v>
      </c>
      <c r="H536" s="79">
        <f t="shared" si="1"/>
        <v>-0.063903281</v>
      </c>
      <c r="I536" s="42">
        <v>2.061235722</v>
      </c>
    </row>
    <row r="537">
      <c r="A537" s="1" t="s">
        <v>1195</v>
      </c>
      <c r="B537" s="1">
        <v>669424.0</v>
      </c>
      <c r="C537" s="81">
        <v>670.0</v>
      </c>
      <c r="D537" s="40">
        <v>4.81263547</v>
      </c>
      <c r="E537" s="41">
        <v>0.431343284</v>
      </c>
      <c r="F537" s="41">
        <v>0.16119403</v>
      </c>
      <c r="G537" s="41">
        <v>0.407462687</v>
      </c>
      <c r="H537" s="79">
        <f t="shared" si="1"/>
        <v>0.023880597</v>
      </c>
      <c r="I537" s="42">
        <v>-1.659210629</v>
      </c>
    </row>
    <row r="538" hidden="1">
      <c r="A538" s="1" t="s">
        <v>714</v>
      </c>
      <c r="B538" s="1">
        <v>679885.0</v>
      </c>
      <c r="C538" s="81">
        <v>233.0</v>
      </c>
      <c r="D538" s="40">
        <v>4.812078292</v>
      </c>
      <c r="E538" s="41">
        <v>0.446351931</v>
      </c>
      <c r="F538" s="41">
        <v>0.154506438</v>
      </c>
      <c r="G538" s="41">
        <v>0.399141631</v>
      </c>
      <c r="H538" s="79">
        <f t="shared" si="1"/>
        <v>0.0472103</v>
      </c>
      <c r="I538" s="42">
        <v>-1.505501393</v>
      </c>
    </row>
    <row r="539">
      <c r="A539" s="1" t="s">
        <v>314</v>
      </c>
      <c r="B539" s="1">
        <v>669854.0</v>
      </c>
      <c r="C539" s="81">
        <v>894.0</v>
      </c>
      <c r="D539" s="40">
        <v>4.810022093</v>
      </c>
      <c r="E539" s="41">
        <v>0.402684564</v>
      </c>
      <c r="F539" s="41">
        <v>0.177852349</v>
      </c>
      <c r="G539" s="41">
        <v>0.419463087</v>
      </c>
      <c r="H539" s="79">
        <f t="shared" si="1"/>
        <v>-0.016778523</v>
      </c>
      <c r="I539" s="42">
        <v>-4.78205539</v>
      </c>
    </row>
    <row r="540">
      <c r="A540" s="1" t="s">
        <v>474</v>
      </c>
      <c r="B540" s="1">
        <v>450203.0</v>
      </c>
      <c r="C540" s="81">
        <v>2821.0</v>
      </c>
      <c r="D540" s="40">
        <v>4.808700976</v>
      </c>
      <c r="E540" s="41">
        <v>0.406238922</v>
      </c>
      <c r="F540" s="41">
        <v>0.18539525</v>
      </c>
      <c r="G540" s="41">
        <v>0.408365828</v>
      </c>
      <c r="H540" s="79">
        <f t="shared" si="1"/>
        <v>-0.002126906</v>
      </c>
      <c r="I540" s="42">
        <v>-0.896426238</v>
      </c>
    </row>
    <row r="541" hidden="1">
      <c r="A541" s="1" t="s">
        <v>465</v>
      </c>
      <c r="B541" s="1">
        <v>641672.0</v>
      </c>
      <c r="C541" s="81">
        <v>468.0</v>
      </c>
      <c r="D541" s="40">
        <v>4.808128604</v>
      </c>
      <c r="E541" s="41">
        <v>0.373931624</v>
      </c>
      <c r="F541" s="41">
        <v>0.22008547</v>
      </c>
      <c r="G541" s="41">
        <v>0.405982906</v>
      </c>
      <c r="H541" s="79">
        <f t="shared" si="1"/>
        <v>-0.032051282</v>
      </c>
      <c r="I541" s="42">
        <v>-5.458911011</v>
      </c>
    </row>
    <row r="542" hidden="1">
      <c r="A542" s="1" t="s">
        <v>1196</v>
      </c>
      <c r="B542" s="1">
        <v>670241.0</v>
      </c>
      <c r="C542" s="81">
        <v>305.0</v>
      </c>
      <c r="D542" s="40">
        <v>4.807389039</v>
      </c>
      <c r="E542" s="41">
        <v>0.390163934</v>
      </c>
      <c r="F542" s="41">
        <v>0.2</v>
      </c>
      <c r="G542" s="41">
        <v>0.409836066</v>
      </c>
      <c r="H542" s="79">
        <f t="shared" si="1"/>
        <v>-0.019672132</v>
      </c>
      <c r="I542" s="42">
        <v>3.34228144</v>
      </c>
    </row>
    <row r="543" hidden="1">
      <c r="A543" s="1" t="s">
        <v>340</v>
      </c>
      <c r="B543" s="1">
        <v>668984.0</v>
      </c>
      <c r="C543" s="81">
        <v>231.0</v>
      </c>
      <c r="D543" s="40">
        <v>4.807266571</v>
      </c>
      <c r="E543" s="41">
        <v>0.467532468</v>
      </c>
      <c r="F543" s="41">
        <v>0.16017316</v>
      </c>
      <c r="G543" s="41">
        <v>0.372294372</v>
      </c>
      <c r="H543" s="79">
        <f t="shared" si="1"/>
        <v>0.095238096</v>
      </c>
      <c r="I543" s="42">
        <v>-6.805122491</v>
      </c>
    </row>
    <row r="544">
      <c r="A544" s="1" t="s">
        <v>1197</v>
      </c>
      <c r="B544" s="1">
        <v>593334.0</v>
      </c>
      <c r="C544" s="81">
        <v>1629.0</v>
      </c>
      <c r="D544" s="40">
        <v>4.80669277</v>
      </c>
      <c r="E544" s="41">
        <v>0.396562308</v>
      </c>
      <c r="F544" s="41">
        <v>0.203192142</v>
      </c>
      <c r="G544" s="41">
        <v>0.400245549</v>
      </c>
      <c r="H544" s="79">
        <f t="shared" si="1"/>
        <v>-0.003683241</v>
      </c>
      <c r="I544" s="42">
        <v>8.708289635</v>
      </c>
    </row>
    <row r="545">
      <c r="A545" s="1" t="s">
        <v>140</v>
      </c>
      <c r="B545" s="1">
        <v>672582.0</v>
      </c>
      <c r="C545" s="81">
        <v>704.0</v>
      </c>
      <c r="D545" s="40">
        <v>4.80626479</v>
      </c>
      <c r="E545" s="41">
        <v>0.399147727</v>
      </c>
      <c r="F545" s="41">
        <v>0.197443182</v>
      </c>
      <c r="G545" s="41">
        <v>0.403409091</v>
      </c>
      <c r="H545" s="79">
        <f t="shared" si="1"/>
        <v>-0.004261364</v>
      </c>
      <c r="I545" s="42">
        <v>-0.90375767</v>
      </c>
    </row>
    <row r="546">
      <c r="A546" s="1" t="s">
        <v>454</v>
      </c>
      <c r="B546" s="1">
        <v>674370.0</v>
      </c>
      <c r="C546" s="81">
        <v>930.0</v>
      </c>
      <c r="D546" s="40">
        <v>4.804703642</v>
      </c>
      <c r="E546" s="41">
        <v>0.432258065</v>
      </c>
      <c r="F546" s="41">
        <v>0.162365591</v>
      </c>
      <c r="G546" s="41">
        <v>0.405376344</v>
      </c>
      <c r="H546" s="79">
        <f t="shared" si="1"/>
        <v>0.026881721</v>
      </c>
      <c r="I546" s="42">
        <v>0.218746554</v>
      </c>
    </row>
    <row r="547">
      <c r="A547" s="1" t="s">
        <v>1055</v>
      </c>
      <c r="B547" s="1">
        <v>622072.0</v>
      </c>
      <c r="C547" s="81">
        <v>1687.0</v>
      </c>
      <c r="D547" s="40">
        <v>4.803620791</v>
      </c>
      <c r="E547" s="41">
        <v>0.429164197</v>
      </c>
      <c r="F547" s="41">
        <v>0.176644932</v>
      </c>
      <c r="G547" s="41">
        <v>0.394190871</v>
      </c>
      <c r="H547" s="79">
        <f t="shared" si="1"/>
        <v>0.034973326</v>
      </c>
      <c r="I547" s="42">
        <v>-2.583099148</v>
      </c>
    </row>
    <row r="548">
      <c r="A548" s="1" t="s">
        <v>489</v>
      </c>
      <c r="B548" s="1">
        <v>656222.0</v>
      </c>
      <c r="C548" s="81">
        <v>725.0</v>
      </c>
      <c r="D548" s="40">
        <v>4.799957106</v>
      </c>
      <c r="E548" s="41">
        <v>0.409655172</v>
      </c>
      <c r="F548" s="41">
        <v>0.179310345</v>
      </c>
      <c r="G548" s="41">
        <v>0.411034483</v>
      </c>
      <c r="H548" s="79">
        <f t="shared" si="1"/>
        <v>-0.001379311</v>
      </c>
      <c r="I548" s="42">
        <v>0.494026943</v>
      </c>
    </row>
    <row r="549" hidden="1">
      <c r="A549" s="1" t="s">
        <v>1198</v>
      </c>
      <c r="B549" s="1">
        <v>650496.0</v>
      </c>
      <c r="C549" s="81">
        <v>210.0</v>
      </c>
      <c r="D549" s="40">
        <v>4.799377857</v>
      </c>
      <c r="E549" s="41">
        <v>0.40952381</v>
      </c>
      <c r="F549" s="41">
        <v>0.147619048</v>
      </c>
      <c r="G549" s="41">
        <v>0.442857143</v>
      </c>
      <c r="H549" s="79">
        <f t="shared" si="1"/>
        <v>-0.033333333</v>
      </c>
      <c r="I549" s="42">
        <v>-1.128716756</v>
      </c>
    </row>
    <row r="550">
      <c r="A550" s="1" t="s">
        <v>1199</v>
      </c>
      <c r="B550" s="1">
        <v>592229.0</v>
      </c>
      <c r="C550" s="81">
        <v>732.0</v>
      </c>
      <c r="D550" s="40">
        <v>4.799235305</v>
      </c>
      <c r="E550" s="41">
        <v>0.407103825</v>
      </c>
      <c r="F550" s="41">
        <v>0.213114754</v>
      </c>
      <c r="G550" s="41">
        <v>0.379781421</v>
      </c>
      <c r="H550" s="79">
        <f t="shared" si="1"/>
        <v>0.027322404</v>
      </c>
      <c r="I550" s="42">
        <v>1.737493011</v>
      </c>
    </row>
    <row r="551">
      <c r="A551" s="1" t="s">
        <v>1200</v>
      </c>
      <c r="B551" s="1">
        <v>666818.0</v>
      </c>
      <c r="C551" s="81">
        <v>538.0</v>
      </c>
      <c r="D551" s="40">
        <v>4.799170019</v>
      </c>
      <c r="E551" s="41">
        <v>0.412639405</v>
      </c>
      <c r="F551" s="41">
        <v>0.182156134</v>
      </c>
      <c r="G551" s="41">
        <v>0.405204461</v>
      </c>
      <c r="H551" s="79">
        <f t="shared" si="1"/>
        <v>0.007434944</v>
      </c>
      <c r="I551" s="42">
        <v>2.419935266</v>
      </c>
    </row>
    <row r="552">
      <c r="A552" s="1" t="s">
        <v>386</v>
      </c>
      <c r="B552" s="1">
        <v>656731.0</v>
      </c>
      <c r="C552" s="81">
        <v>2212.0</v>
      </c>
      <c r="D552" s="40">
        <v>4.799038379</v>
      </c>
      <c r="E552" s="41">
        <v>0.412296564</v>
      </c>
      <c r="F552" s="41">
        <v>0.171790235</v>
      </c>
      <c r="G552" s="41">
        <v>0.415913201</v>
      </c>
      <c r="H552" s="79">
        <f t="shared" si="1"/>
        <v>-0.003616637</v>
      </c>
      <c r="I552" s="42">
        <v>-6.72278215</v>
      </c>
    </row>
    <row r="553">
      <c r="A553" s="1" t="s">
        <v>499</v>
      </c>
      <c r="B553" s="1">
        <v>622554.0</v>
      </c>
      <c r="C553" s="81">
        <v>853.0</v>
      </c>
      <c r="D553" s="40">
        <v>4.797835242</v>
      </c>
      <c r="E553" s="41">
        <v>0.423212192</v>
      </c>
      <c r="F553" s="41">
        <v>0.168815944</v>
      </c>
      <c r="G553" s="41">
        <v>0.407971864</v>
      </c>
      <c r="H553" s="79">
        <f t="shared" si="1"/>
        <v>0.015240328</v>
      </c>
      <c r="I553" s="42">
        <v>0.285441916</v>
      </c>
    </row>
    <row r="554">
      <c r="A554" s="1" t="s">
        <v>931</v>
      </c>
      <c r="B554" s="1">
        <v>656638.0</v>
      </c>
      <c r="C554" s="81">
        <v>1137.0</v>
      </c>
      <c r="D554" s="40">
        <v>4.797600347</v>
      </c>
      <c r="E554" s="41">
        <v>0.402814424</v>
      </c>
      <c r="F554" s="41">
        <v>0.197009675</v>
      </c>
      <c r="G554" s="41">
        <v>0.400175901</v>
      </c>
      <c r="H554" s="79">
        <f t="shared" si="1"/>
        <v>0.002638523</v>
      </c>
      <c r="I554" s="42">
        <v>13.65158615</v>
      </c>
    </row>
    <row r="555">
      <c r="A555" s="1" t="s">
        <v>520</v>
      </c>
      <c r="B555" s="1">
        <v>641656.0</v>
      </c>
      <c r="C555" s="81">
        <v>971.0</v>
      </c>
      <c r="D555" s="40">
        <v>4.797256787</v>
      </c>
      <c r="E555" s="41">
        <v>0.399588054</v>
      </c>
      <c r="F555" s="41">
        <v>0.197734295</v>
      </c>
      <c r="G555" s="41">
        <v>0.402677652</v>
      </c>
      <c r="H555" s="79">
        <f t="shared" si="1"/>
        <v>-0.003089598</v>
      </c>
      <c r="I555" s="42">
        <v>7.583203242</v>
      </c>
    </row>
    <row r="556" hidden="1">
      <c r="A556" s="1" t="s">
        <v>1201</v>
      </c>
      <c r="B556" s="1">
        <v>641743.0</v>
      </c>
      <c r="C556" s="81">
        <v>228.0</v>
      </c>
      <c r="D556" s="40">
        <v>4.79676393</v>
      </c>
      <c r="E556" s="41">
        <v>0.399122807</v>
      </c>
      <c r="F556" s="41">
        <v>0.245614035</v>
      </c>
      <c r="G556" s="41">
        <v>0.355263158</v>
      </c>
      <c r="H556" s="79">
        <f t="shared" si="1"/>
        <v>0.043859649</v>
      </c>
      <c r="I556" s="42">
        <v>-3.014553115</v>
      </c>
    </row>
    <row r="557" hidden="1">
      <c r="A557" s="1" t="s">
        <v>1202</v>
      </c>
      <c r="B557" s="1">
        <v>642758.0</v>
      </c>
      <c r="C557" s="81">
        <v>175.0</v>
      </c>
      <c r="D557" s="40">
        <v>4.796523617</v>
      </c>
      <c r="E557" s="41">
        <v>0.405714286</v>
      </c>
      <c r="F557" s="41">
        <v>0.131428571</v>
      </c>
      <c r="G557" s="41">
        <v>0.462857143</v>
      </c>
      <c r="H557" s="79">
        <f t="shared" si="1"/>
        <v>-0.057142857</v>
      </c>
      <c r="I557" s="42">
        <v>-5.023933604</v>
      </c>
    </row>
    <row r="558">
      <c r="A558" s="1" t="s">
        <v>814</v>
      </c>
      <c r="B558" s="1">
        <v>614179.0</v>
      </c>
      <c r="C558" s="81">
        <v>801.0</v>
      </c>
      <c r="D558" s="40">
        <v>4.79468261</v>
      </c>
      <c r="E558" s="41">
        <v>0.420724095</v>
      </c>
      <c r="F558" s="41">
        <v>0.173533084</v>
      </c>
      <c r="G558" s="41">
        <v>0.405742821</v>
      </c>
      <c r="H558" s="79">
        <f t="shared" si="1"/>
        <v>0.014981274</v>
      </c>
      <c r="I558" s="42">
        <v>-3.48427279</v>
      </c>
    </row>
    <row r="559">
      <c r="A559" s="1" t="s">
        <v>355</v>
      </c>
      <c r="B559" s="1">
        <v>670912.0</v>
      </c>
      <c r="C559" s="81">
        <v>2957.0</v>
      </c>
      <c r="D559" s="40">
        <v>4.794539279</v>
      </c>
      <c r="E559" s="41">
        <v>0.397024011</v>
      </c>
      <c r="F559" s="41">
        <v>0.191748394</v>
      </c>
      <c r="G559" s="41">
        <v>0.411227596</v>
      </c>
      <c r="H559" s="79">
        <f t="shared" si="1"/>
        <v>-0.014203585</v>
      </c>
      <c r="I559" s="42">
        <v>10.53990861</v>
      </c>
    </row>
    <row r="560">
      <c r="A560" s="1" t="s">
        <v>269</v>
      </c>
      <c r="B560" s="1">
        <v>605280.0</v>
      </c>
      <c r="C560" s="81">
        <v>1005.0</v>
      </c>
      <c r="D560" s="40">
        <v>4.794006775</v>
      </c>
      <c r="E560" s="41">
        <v>0.399004975</v>
      </c>
      <c r="F560" s="41">
        <v>0.206965174</v>
      </c>
      <c r="G560" s="41">
        <v>0.394029851</v>
      </c>
      <c r="H560" s="79">
        <f t="shared" si="1"/>
        <v>0.004975124</v>
      </c>
      <c r="I560" s="42">
        <v>12.32854974</v>
      </c>
    </row>
    <row r="561">
      <c r="A561" s="1" t="s">
        <v>1203</v>
      </c>
      <c r="B561" s="1">
        <v>572971.0</v>
      </c>
      <c r="C561" s="81">
        <v>646.0</v>
      </c>
      <c r="D561" s="40">
        <v>4.793686421</v>
      </c>
      <c r="E561" s="41">
        <v>0.391640867</v>
      </c>
      <c r="F561" s="41">
        <v>0.196594427</v>
      </c>
      <c r="G561" s="41">
        <v>0.411764706</v>
      </c>
      <c r="H561" s="79">
        <f t="shared" si="1"/>
        <v>-0.020123839</v>
      </c>
      <c r="I561" s="42">
        <v>-7.473491255</v>
      </c>
    </row>
    <row r="562" hidden="1">
      <c r="A562" s="1" t="s">
        <v>389</v>
      </c>
      <c r="B562" s="1">
        <v>682052.0</v>
      </c>
      <c r="C562" s="81">
        <v>192.0</v>
      </c>
      <c r="D562" s="40">
        <v>4.793233068</v>
      </c>
      <c r="E562" s="41">
        <v>0.364583333</v>
      </c>
      <c r="F562" s="41">
        <v>0.25</v>
      </c>
      <c r="G562" s="41">
        <v>0.385416667</v>
      </c>
      <c r="H562" s="79">
        <f t="shared" si="1"/>
        <v>-0.020833334</v>
      </c>
      <c r="I562" s="42">
        <v>-1.910254592</v>
      </c>
    </row>
    <row r="563">
      <c r="A563" s="1" t="s">
        <v>1054</v>
      </c>
      <c r="B563" s="1">
        <v>641771.0</v>
      </c>
      <c r="C563" s="81">
        <v>767.0</v>
      </c>
      <c r="D563" s="40">
        <v>4.792824265</v>
      </c>
      <c r="E563" s="41">
        <v>0.396349413</v>
      </c>
      <c r="F563" s="41">
        <v>0.18904824</v>
      </c>
      <c r="G563" s="41">
        <v>0.414602347</v>
      </c>
      <c r="H563" s="79">
        <f t="shared" si="1"/>
        <v>-0.018252934</v>
      </c>
      <c r="I563" s="42">
        <v>-7.557340993</v>
      </c>
    </row>
    <row r="564" hidden="1">
      <c r="A564" s="1" t="s">
        <v>640</v>
      </c>
      <c r="B564" s="1">
        <v>663992.0</v>
      </c>
      <c r="C564" s="81">
        <v>377.0</v>
      </c>
      <c r="D564" s="40">
        <v>4.791729316</v>
      </c>
      <c r="E564" s="41">
        <v>0.429708223</v>
      </c>
      <c r="F564" s="41">
        <v>0.190981432</v>
      </c>
      <c r="G564" s="41">
        <v>0.379310345</v>
      </c>
      <c r="H564" s="79">
        <f t="shared" si="1"/>
        <v>0.050397878</v>
      </c>
      <c r="I564" s="42">
        <v>7.628319187</v>
      </c>
    </row>
    <row r="565">
      <c r="A565" s="1" t="s">
        <v>1204</v>
      </c>
      <c r="B565" s="1">
        <v>663558.0</v>
      </c>
      <c r="C565" s="81">
        <v>729.0</v>
      </c>
      <c r="D565" s="40">
        <v>4.790859791</v>
      </c>
      <c r="E565" s="41">
        <v>0.410150892</v>
      </c>
      <c r="F565" s="41">
        <v>0.167352538</v>
      </c>
      <c r="G565" s="41">
        <v>0.422496571</v>
      </c>
      <c r="H565" s="79">
        <f t="shared" si="1"/>
        <v>-0.012345679</v>
      </c>
      <c r="I565" s="42">
        <v>1.346790022</v>
      </c>
    </row>
    <row r="566">
      <c r="A566" s="1" t="s">
        <v>1205</v>
      </c>
      <c r="B566" s="1">
        <v>605200.0</v>
      </c>
      <c r="C566" s="81">
        <v>1480.0</v>
      </c>
      <c r="D566" s="40">
        <v>4.790225772</v>
      </c>
      <c r="E566" s="41">
        <v>0.362837838</v>
      </c>
      <c r="F566" s="41">
        <v>0.212162162</v>
      </c>
      <c r="G566" s="41">
        <v>0.425</v>
      </c>
      <c r="H566" s="79">
        <f t="shared" si="1"/>
        <v>-0.062162162</v>
      </c>
      <c r="I566" s="42">
        <v>-11.29170241</v>
      </c>
    </row>
    <row r="567">
      <c r="A567" s="1" t="s">
        <v>1206</v>
      </c>
      <c r="B567" s="1">
        <v>680686.0</v>
      </c>
      <c r="C567" s="81">
        <v>2790.0</v>
      </c>
      <c r="D567" s="40">
        <v>4.78516062</v>
      </c>
      <c r="E567" s="41">
        <v>0.394265233</v>
      </c>
      <c r="F567" s="41">
        <v>0.209318996</v>
      </c>
      <c r="G567" s="41">
        <v>0.396415771</v>
      </c>
      <c r="H567" s="79">
        <f t="shared" si="1"/>
        <v>-0.002150538</v>
      </c>
      <c r="I567" s="42">
        <v>-3.151839953</v>
      </c>
    </row>
    <row r="568" hidden="1">
      <c r="A568" s="1" t="s">
        <v>1207</v>
      </c>
      <c r="B568" s="1">
        <v>622251.0</v>
      </c>
      <c r="C568" s="81">
        <v>354.0</v>
      </c>
      <c r="D568" s="40">
        <v>4.784869059</v>
      </c>
      <c r="E568" s="41">
        <v>0.406779661</v>
      </c>
      <c r="F568" s="41">
        <v>0.192090395</v>
      </c>
      <c r="G568" s="41">
        <v>0.401129944</v>
      </c>
      <c r="H568" s="79">
        <f t="shared" si="1"/>
        <v>0.005649717</v>
      </c>
      <c r="I568" s="42">
        <v>5.177272184</v>
      </c>
    </row>
    <row r="569">
      <c r="A569" s="1" t="s">
        <v>1208</v>
      </c>
      <c r="B569" s="1">
        <v>676265.0</v>
      </c>
      <c r="C569" s="81">
        <v>694.0</v>
      </c>
      <c r="D569" s="40">
        <v>4.781665066</v>
      </c>
      <c r="E569" s="41">
        <v>0.42795389</v>
      </c>
      <c r="F569" s="41">
        <v>0.158501441</v>
      </c>
      <c r="G569" s="41">
        <v>0.413544669</v>
      </c>
      <c r="H569" s="79">
        <f t="shared" si="1"/>
        <v>0.014409221</v>
      </c>
      <c r="I569" s="42">
        <v>-8.546437653</v>
      </c>
    </row>
    <row r="570" hidden="1">
      <c r="A570" s="1" t="s">
        <v>877</v>
      </c>
      <c r="B570" s="1">
        <v>696147.0</v>
      </c>
      <c r="C570" s="81">
        <v>311.0</v>
      </c>
      <c r="D570" s="40">
        <v>4.780590897</v>
      </c>
      <c r="E570" s="41">
        <v>0.421221865</v>
      </c>
      <c r="F570" s="41">
        <v>0.131832797</v>
      </c>
      <c r="G570" s="41">
        <v>0.446945338</v>
      </c>
      <c r="H570" s="79">
        <f t="shared" si="1"/>
        <v>-0.025723473</v>
      </c>
      <c r="I570" s="42">
        <v>-1.673456761</v>
      </c>
    </row>
    <row r="571">
      <c r="A571" s="1" t="s">
        <v>1209</v>
      </c>
      <c r="B571" s="1">
        <v>543766.0</v>
      </c>
      <c r="C571" s="81">
        <v>767.0</v>
      </c>
      <c r="D571" s="40">
        <v>4.779605634</v>
      </c>
      <c r="E571" s="41">
        <v>0.388526728</v>
      </c>
      <c r="F571" s="41">
        <v>0.199478488</v>
      </c>
      <c r="G571" s="41">
        <v>0.411994785</v>
      </c>
      <c r="H571" s="79">
        <f t="shared" si="1"/>
        <v>-0.023468057</v>
      </c>
      <c r="I571" s="42">
        <v>7.040916499</v>
      </c>
    </row>
    <row r="572">
      <c r="A572" s="1" t="s">
        <v>1210</v>
      </c>
      <c r="B572" s="1">
        <v>650960.0</v>
      </c>
      <c r="C572" s="81">
        <v>566.0</v>
      </c>
      <c r="D572" s="40">
        <v>4.778877118</v>
      </c>
      <c r="E572" s="41">
        <v>0.418727915</v>
      </c>
      <c r="F572" s="41">
        <v>0.167844523</v>
      </c>
      <c r="G572" s="41">
        <v>0.413427562</v>
      </c>
      <c r="H572" s="79">
        <f t="shared" si="1"/>
        <v>0.005300353</v>
      </c>
      <c r="I572" s="42">
        <v>12.66012134</v>
      </c>
    </row>
    <row r="573" hidden="1">
      <c r="A573" s="1" t="s">
        <v>112</v>
      </c>
      <c r="B573" s="1">
        <v>683232.0</v>
      </c>
      <c r="C573" s="81">
        <v>358.0</v>
      </c>
      <c r="D573" s="40">
        <v>4.778617363</v>
      </c>
      <c r="E573" s="41">
        <v>0.446927374</v>
      </c>
      <c r="F573" s="41">
        <v>0.131284916</v>
      </c>
      <c r="G573" s="41">
        <v>0.421787709</v>
      </c>
      <c r="H573" s="79">
        <f t="shared" si="1"/>
        <v>0.025139665</v>
      </c>
      <c r="I573" s="42">
        <v>4.344511695</v>
      </c>
    </row>
    <row r="574" hidden="1">
      <c r="A574" s="1" t="s">
        <v>603</v>
      </c>
      <c r="B574" s="1">
        <v>608334.0</v>
      </c>
      <c r="C574" s="81">
        <v>157.0</v>
      </c>
      <c r="D574" s="40">
        <v>4.778097656</v>
      </c>
      <c r="E574" s="41">
        <v>0.388535032</v>
      </c>
      <c r="F574" s="41">
        <v>0.165605096</v>
      </c>
      <c r="G574" s="41">
        <v>0.445859873</v>
      </c>
      <c r="H574" s="79">
        <f t="shared" si="1"/>
        <v>-0.057324841</v>
      </c>
      <c r="I574" s="42">
        <v>5.280927989</v>
      </c>
    </row>
    <row r="575" hidden="1">
      <c r="A575" s="1" t="s">
        <v>149</v>
      </c>
      <c r="B575" s="1">
        <v>595928.0</v>
      </c>
      <c r="C575" s="81">
        <v>301.0</v>
      </c>
      <c r="D575" s="40">
        <v>4.777468645</v>
      </c>
      <c r="E575" s="41">
        <v>0.425249169</v>
      </c>
      <c r="F575" s="41">
        <v>0.176079734</v>
      </c>
      <c r="G575" s="41">
        <v>0.398671096</v>
      </c>
      <c r="H575" s="79">
        <f t="shared" si="1"/>
        <v>0.026578073</v>
      </c>
      <c r="I575" s="42">
        <v>-1.624233188</v>
      </c>
    </row>
    <row r="576">
      <c r="A576" s="1" t="s">
        <v>1211</v>
      </c>
      <c r="B576" s="1">
        <v>542585.0</v>
      </c>
      <c r="C576" s="81">
        <v>977.0</v>
      </c>
      <c r="D576" s="40">
        <v>4.7770756</v>
      </c>
      <c r="E576" s="41">
        <v>0.409416581</v>
      </c>
      <c r="F576" s="41">
        <v>0.18321392</v>
      </c>
      <c r="G576" s="41">
        <v>0.407369498</v>
      </c>
      <c r="H576" s="79">
        <f t="shared" si="1"/>
        <v>0.002047083</v>
      </c>
      <c r="I576" s="42">
        <v>-5.695518231</v>
      </c>
    </row>
    <row r="577">
      <c r="A577" s="1" t="s">
        <v>476</v>
      </c>
      <c r="B577" s="1">
        <v>500779.0</v>
      </c>
      <c r="C577" s="81">
        <v>1216.0</v>
      </c>
      <c r="D577" s="40">
        <v>4.772885034</v>
      </c>
      <c r="E577" s="41">
        <v>0.356907895</v>
      </c>
      <c r="F577" s="41">
        <v>0.238486842</v>
      </c>
      <c r="G577" s="41">
        <v>0.404605263</v>
      </c>
      <c r="H577" s="79">
        <f t="shared" si="1"/>
        <v>-0.047697368</v>
      </c>
      <c r="I577" s="42">
        <v>-3.354351154</v>
      </c>
    </row>
    <row r="578">
      <c r="A578" s="1" t="s">
        <v>455</v>
      </c>
      <c r="B578" s="1">
        <v>570632.0</v>
      </c>
      <c r="C578" s="81">
        <v>765.0</v>
      </c>
      <c r="D578" s="40">
        <v>4.772836804</v>
      </c>
      <c r="E578" s="41">
        <v>0.385620915</v>
      </c>
      <c r="F578" s="41">
        <v>0.207843137</v>
      </c>
      <c r="G578" s="41">
        <v>0.406535948</v>
      </c>
      <c r="H578" s="79">
        <f t="shared" si="1"/>
        <v>-0.020915033</v>
      </c>
      <c r="I578" s="42">
        <v>-5.313283676</v>
      </c>
    </row>
    <row r="579" hidden="1">
      <c r="A579" s="1" t="s">
        <v>1212</v>
      </c>
      <c r="B579" s="1">
        <v>676714.0</v>
      </c>
      <c r="C579" s="81">
        <v>238.0</v>
      </c>
      <c r="D579" s="40">
        <v>4.77231516</v>
      </c>
      <c r="E579" s="41">
        <v>0.386554622</v>
      </c>
      <c r="F579" s="41">
        <v>0.176470588</v>
      </c>
      <c r="G579" s="41">
        <v>0.43697479</v>
      </c>
      <c r="H579" s="79">
        <f t="shared" si="1"/>
        <v>-0.050420168</v>
      </c>
      <c r="I579" s="42">
        <v>-3.030505804</v>
      </c>
    </row>
    <row r="580" hidden="1">
      <c r="A580" s="1" t="s">
        <v>755</v>
      </c>
      <c r="B580" s="1">
        <v>646242.0</v>
      </c>
      <c r="C580" s="81">
        <v>160.0</v>
      </c>
      <c r="D580" s="40">
        <v>4.77229285</v>
      </c>
      <c r="E580" s="41">
        <v>0.41875</v>
      </c>
      <c r="F580" s="41">
        <v>0.2</v>
      </c>
      <c r="G580" s="41">
        <v>0.38125</v>
      </c>
      <c r="H580" s="79">
        <f t="shared" si="1"/>
        <v>0.0375</v>
      </c>
      <c r="I580" s="42">
        <v>-4.592165066</v>
      </c>
    </row>
    <row r="581" hidden="1">
      <c r="A581" s="1" t="s">
        <v>478</v>
      </c>
      <c r="B581" s="1">
        <v>656457.0</v>
      </c>
      <c r="C581" s="81">
        <v>262.0</v>
      </c>
      <c r="D581" s="40">
        <v>4.772232573</v>
      </c>
      <c r="E581" s="41">
        <v>0.374045802</v>
      </c>
      <c r="F581" s="41">
        <v>0.217557252</v>
      </c>
      <c r="G581" s="41">
        <v>0.408396947</v>
      </c>
      <c r="H581" s="79">
        <f t="shared" si="1"/>
        <v>-0.034351145</v>
      </c>
      <c r="I581" s="42">
        <v>-5.35991521</v>
      </c>
    </row>
    <row r="582">
      <c r="A582" s="1" t="s">
        <v>1213</v>
      </c>
      <c r="B582" s="1">
        <v>656061.0</v>
      </c>
      <c r="C582" s="81">
        <v>1035.0</v>
      </c>
      <c r="D582" s="40">
        <v>4.771099512</v>
      </c>
      <c r="E582" s="41">
        <v>0.414492754</v>
      </c>
      <c r="F582" s="41">
        <v>0.189371981</v>
      </c>
      <c r="G582" s="41">
        <v>0.396135266</v>
      </c>
      <c r="H582" s="79">
        <f t="shared" si="1"/>
        <v>0.018357488</v>
      </c>
      <c r="I582" s="42">
        <v>5.559117891</v>
      </c>
    </row>
    <row r="583" hidden="1">
      <c r="A583" s="1" t="s">
        <v>134</v>
      </c>
      <c r="B583" s="1">
        <v>677161.0</v>
      </c>
      <c r="C583" s="81">
        <v>178.0</v>
      </c>
      <c r="D583" s="40">
        <v>4.770994384</v>
      </c>
      <c r="E583" s="41">
        <v>0.387640449</v>
      </c>
      <c r="F583" s="41">
        <v>0.185393258</v>
      </c>
      <c r="G583" s="41">
        <v>0.426966292</v>
      </c>
      <c r="H583" s="79">
        <f t="shared" si="1"/>
        <v>-0.039325843</v>
      </c>
      <c r="I583" s="42">
        <v>1.665357096</v>
      </c>
    </row>
    <row r="584">
      <c r="A584" s="1" t="s">
        <v>178</v>
      </c>
      <c r="B584" s="1">
        <v>572955.0</v>
      </c>
      <c r="C584" s="81">
        <v>1076.0</v>
      </c>
      <c r="D584" s="40">
        <v>4.770227963</v>
      </c>
      <c r="E584" s="41">
        <v>0.387546468</v>
      </c>
      <c r="F584" s="41">
        <v>0.200743494</v>
      </c>
      <c r="G584" s="41">
        <v>0.411710037</v>
      </c>
      <c r="H584" s="79">
        <f t="shared" si="1"/>
        <v>-0.024163569</v>
      </c>
      <c r="I584" s="42">
        <v>-7.646566161</v>
      </c>
    </row>
    <row r="585">
      <c r="A585" s="1" t="s">
        <v>332</v>
      </c>
      <c r="B585" s="1">
        <v>641778.0</v>
      </c>
      <c r="C585" s="81">
        <v>838.0</v>
      </c>
      <c r="D585" s="40">
        <v>4.769447646</v>
      </c>
      <c r="E585" s="41">
        <v>0.393794749</v>
      </c>
      <c r="F585" s="41">
        <v>0.173031026</v>
      </c>
      <c r="G585" s="41">
        <v>0.433174224</v>
      </c>
      <c r="H585" s="79">
        <f t="shared" si="1"/>
        <v>-0.039379475</v>
      </c>
      <c r="I585" s="42">
        <v>-7.508568198</v>
      </c>
    </row>
    <row r="586">
      <c r="A586" s="1" t="s">
        <v>989</v>
      </c>
      <c r="B586" s="1">
        <v>666168.0</v>
      </c>
      <c r="C586" s="81">
        <v>893.0</v>
      </c>
      <c r="D586" s="40">
        <v>4.768953815</v>
      </c>
      <c r="E586" s="41">
        <v>0.410974244</v>
      </c>
      <c r="F586" s="41">
        <v>0.17581187</v>
      </c>
      <c r="G586" s="41">
        <v>0.413213886</v>
      </c>
      <c r="H586" s="79">
        <f t="shared" si="1"/>
        <v>-0.002239642</v>
      </c>
      <c r="I586" s="42">
        <v>-4.073070022</v>
      </c>
    </row>
    <row r="587">
      <c r="A587" s="1" t="s">
        <v>682</v>
      </c>
      <c r="B587" s="1">
        <v>642048.0</v>
      </c>
      <c r="C587" s="81">
        <v>780.0</v>
      </c>
      <c r="D587" s="40">
        <v>4.765632558</v>
      </c>
      <c r="E587" s="41">
        <v>0.394871795</v>
      </c>
      <c r="F587" s="41">
        <v>0.201282051</v>
      </c>
      <c r="G587" s="41">
        <v>0.403846154</v>
      </c>
      <c r="H587" s="79">
        <f t="shared" si="1"/>
        <v>-0.008974359</v>
      </c>
      <c r="I587" s="42">
        <v>7.50895382</v>
      </c>
    </row>
    <row r="588">
      <c r="A588" s="1" t="s">
        <v>458</v>
      </c>
      <c r="B588" s="1">
        <v>676130.0</v>
      </c>
      <c r="C588" s="81">
        <v>725.0</v>
      </c>
      <c r="D588" s="40">
        <v>4.762593066</v>
      </c>
      <c r="E588" s="41">
        <v>0.408275862</v>
      </c>
      <c r="F588" s="41">
        <v>0.169655172</v>
      </c>
      <c r="G588" s="41">
        <v>0.422068966</v>
      </c>
      <c r="H588" s="79">
        <f t="shared" si="1"/>
        <v>-0.013793104</v>
      </c>
      <c r="I588" s="42">
        <v>3.29749329</v>
      </c>
    </row>
    <row r="589">
      <c r="A589" s="1" t="s">
        <v>1214</v>
      </c>
      <c r="B589" s="1">
        <v>641871.0</v>
      </c>
      <c r="C589" s="81">
        <v>848.0</v>
      </c>
      <c r="D589" s="40">
        <v>4.762425936</v>
      </c>
      <c r="E589" s="41">
        <v>0.410377358</v>
      </c>
      <c r="F589" s="41">
        <v>0.1875</v>
      </c>
      <c r="G589" s="41">
        <v>0.402122642</v>
      </c>
      <c r="H589" s="79">
        <f t="shared" si="1"/>
        <v>0.008254716</v>
      </c>
      <c r="I589" s="42">
        <v>6.849554661</v>
      </c>
    </row>
    <row r="590">
      <c r="A590" s="1" t="s">
        <v>506</v>
      </c>
      <c r="B590" s="1">
        <v>605177.0</v>
      </c>
      <c r="C590" s="81">
        <v>914.0</v>
      </c>
      <c r="D590" s="40">
        <v>4.761779769</v>
      </c>
      <c r="E590" s="41">
        <v>0.387308534</v>
      </c>
      <c r="F590" s="41">
        <v>0.190371991</v>
      </c>
      <c r="G590" s="41">
        <v>0.422319475</v>
      </c>
      <c r="H590" s="79">
        <f t="shared" si="1"/>
        <v>-0.035010941</v>
      </c>
      <c r="I590" s="42">
        <v>7.651090193</v>
      </c>
    </row>
    <row r="591">
      <c r="A591" s="1" t="s">
        <v>1215</v>
      </c>
      <c r="B591" s="1">
        <v>571863.0</v>
      </c>
      <c r="C591" s="81">
        <v>567.0</v>
      </c>
      <c r="D591" s="40">
        <v>4.760434303</v>
      </c>
      <c r="E591" s="41">
        <v>0.380952381</v>
      </c>
      <c r="F591" s="41">
        <v>0.202821869</v>
      </c>
      <c r="G591" s="41">
        <v>0.41622575</v>
      </c>
      <c r="H591" s="79">
        <f t="shared" si="1"/>
        <v>-0.035273369</v>
      </c>
      <c r="I591" s="42">
        <v>-5.705915905</v>
      </c>
    </row>
    <row r="592">
      <c r="A592" s="1" t="s">
        <v>1216</v>
      </c>
      <c r="B592" s="1">
        <v>669796.0</v>
      </c>
      <c r="C592" s="81">
        <v>850.0</v>
      </c>
      <c r="D592" s="40">
        <v>4.760084039</v>
      </c>
      <c r="E592" s="41">
        <v>0.374117647</v>
      </c>
      <c r="F592" s="41">
        <v>0.196470588</v>
      </c>
      <c r="G592" s="41">
        <v>0.429411765</v>
      </c>
      <c r="H592" s="79">
        <f t="shared" si="1"/>
        <v>-0.055294118</v>
      </c>
      <c r="I592" s="42">
        <v>1.893261203</v>
      </c>
    </row>
    <row r="593">
      <c r="A593" s="1" t="s">
        <v>346</v>
      </c>
      <c r="B593" s="1">
        <v>660853.0</v>
      </c>
      <c r="C593" s="81">
        <v>1042.0</v>
      </c>
      <c r="D593" s="40">
        <v>4.759469336</v>
      </c>
      <c r="E593" s="41">
        <v>0.375239923</v>
      </c>
      <c r="F593" s="41">
        <v>0.212092131</v>
      </c>
      <c r="G593" s="41">
        <v>0.412667946</v>
      </c>
      <c r="H593" s="79">
        <f t="shared" si="1"/>
        <v>-0.037428023</v>
      </c>
      <c r="I593" s="42">
        <v>13.07991084</v>
      </c>
    </row>
    <row r="594" hidden="1">
      <c r="A594" s="1" t="s">
        <v>397</v>
      </c>
      <c r="B594" s="1">
        <v>660896.0</v>
      </c>
      <c r="C594" s="81">
        <v>317.0</v>
      </c>
      <c r="D594" s="40">
        <v>4.759357287</v>
      </c>
      <c r="E594" s="41">
        <v>0.394321767</v>
      </c>
      <c r="F594" s="41">
        <v>0.19873817</v>
      </c>
      <c r="G594" s="41">
        <v>0.406940063</v>
      </c>
      <c r="H594" s="79">
        <f t="shared" si="1"/>
        <v>-0.012618296</v>
      </c>
      <c r="I594" s="42">
        <v>5.731341451</v>
      </c>
    </row>
    <row r="595">
      <c r="A595" s="1" t="s">
        <v>1217</v>
      </c>
      <c r="B595" s="1">
        <v>527054.0</v>
      </c>
      <c r="C595" s="81">
        <v>1073.0</v>
      </c>
      <c r="D595" s="40">
        <v>4.758113803</v>
      </c>
      <c r="E595" s="41">
        <v>0.384902144</v>
      </c>
      <c r="F595" s="41">
        <v>0.19944082</v>
      </c>
      <c r="G595" s="41">
        <v>0.415657036</v>
      </c>
      <c r="H595" s="79">
        <f t="shared" si="1"/>
        <v>-0.030754892</v>
      </c>
      <c r="I595" s="42">
        <v>2.012547602</v>
      </c>
    </row>
    <row r="596">
      <c r="A596" s="1" t="s">
        <v>1218</v>
      </c>
      <c r="B596" s="1">
        <v>621076.0</v>
      </c>
      <c r="C596" s="81">
        <v>1084.0</v>
      </c>
      <c r="D596" s="40">
        <v>4.75718412</v>
      </c>
      <c r="E596" s="41">
        <v>0.387453875</v>
      </c>
      <c r="F596" s="41">
        <v>0.20295203</v>
      </c>
      <c r="G596" s="41">
        <v>0.409594096</v>
      </c>
      <c r="H596" s="79">
        <f t="shared" si="1"/>
        <v>-0.022140221</v>
      </c>
      <c r="I596" s="42">
        <v>1.458842775</v>
      </c>
    </row>
    <row r="597">
      <c r="A597" s="1" t="s">
        <v>387</v>
      </c>
      <c r="B597" s="1">
        <v>669060.0</v>
      </c>
      <c r="C597" s="81">
        <v>1145.0</v>
      </c>
      <c r="D597" s="40">
        <v>4.756110194</v>
      </c>
      <c r="E597" s="41">
        <v>0.373799127</v>
      </c>
      <c r="F597" s="41">
        <v>0.198253275</v>
      </c>
      <c r="G597" s="41">
        <v>0.427947598</v>
      </c>
      <c r="H597" s="79">
        <f t="shared" si="1"/>
        <v>-0.054148471</v>
      </c>
      <c r="I597" s="42">
        <v>12.05061869</v>
      </c>
    </row>
    <row r="598">
      <c r="A598" s="1" t="s">
        <v>870</v>
      </c>
      <c r="B598" s="1">
        <v>656629.0</v>
      </c>
      <c r="C598" s="81">
        <v>2410.0</v>
      </c>
      <c r="D598" s="40">
        <v>4.754583883</v>
      </c>
      <c r="E598" s="41">
        <v>0.415767635</v>
      </c>
      <c r="F598" s="41">
        <v>0.161410788</v>
      </c>
      <c r="G598" s="41">
        <v>0.422821577</v>
      </c>
      <c r="H598" s="79">
        <f t="shared" si="1"/>
        <v>-0.007053942</v>
      </c>
      <c r="I598" s="42">
        <v>-8.843242011</v>
      </c>
    </row>
    <row r="599" hidden="1">
      <c r="A599" s="1" t="s">
        <v>1219</v>
      </c>
      <c r="B599" s="1">
        <v>621295.0</v>
      </c>
      <c r="C599" s="81">
        <v>467.0</v>
      </c>
      <c r="D599" s="40">
        <v>4.75364521</v>
      </c>
      <c r="E599" s="41">
        <v>0.379014989</v>
      </c>
      <c r="F599" s="41">
        <v>0.229122056</v>
      </c>
      <c r="G599" s="41">
        <v>0.391862955</v>
      </c>
      <c r="H599" s="79">
        <f t="shared" si="1"/>
        <v>-0.012847966</v>
      </c>
      <c r="I599" s="42">
        <v>-1.805926644</v>
      </c>
    </row>
    <row r="600">
      <c r="A600" s="1" t="s">
        <v>763</v>
      </c>
      <c r="B600" s="1">
        <v>608665.0</v>
      </c>
      <c r="C600" s="81">
        <v>1099.0</v>
      </c>
      <c r="D600" s="40">
        <v>4.751319645</v>
      </c>
      <c r="E600" s="41">
        <v>0.411282985</v>
      </c>
      <c r="F600" s="41">
        <v>0.173794359</v>
      </c>
      <c r="G600" s="41">
        <v>0.414922657</v>
      </c>
      <c r="H600" s="79">
        <f t="shared" si="1"/>
        <v>-0.003639672</v>
      </c>
      <c r="I600" s="42">
        <v>6.649907157</v>
      </c>
    </row>
    <row r="601">
      <c r="A601" s="1" t="s">
        <v>620</v>
      </c>
      <c r="B601" s="1">
        <v>445926.0</v>
      </c>
      <c r="C601" s="81">
        <v>570.0</v>
      </c>
      <c r="D601" s="40">
        <v>4.750946377</v>
      </c>
      <c r="E601" s="41">
        <v>0.410526316</v>
      </c>
      <c r="F601" s="41">
        <v>0.168421053</v>
      </c>
      <c r="G601" s="41">
        <v>0.421052632</v>
      </c>
      <c r="H601" s="79">
        <f t="shared" si="1"/>
        <v>-0.010526316</v>
      </c>
      <c r="I601" s="42">
        <v>4.916393889</v>
      </c>
    </row>
    <row r="602">
      <c r="A602" s="1" t="s">
        <v>992</v>
      </c>
      <c r="B602" s="1">
        <v>623433.0</v>
      </c>
      <c r="C602" s="81">
        <v>545.0</v>
      </c>
      <c r="D602" s="40">
        <v>4.750590193</v>
      </c>
      <c r="E602" s="41">
        <v>0.359633028</v>
      </c>
      <c r="F602" s="41">
        <v>0.233027523</v>
      </c>
      <c r="G602" s="41">
        <v>0.40733945</v>
      </c>
      <c r="H602" s="79">
        <f t="shared" si="1"/>
        <v>-0.047706422</v>
      </c>
      <c r="I602" s="42">
        <v>3.627350355</v>
      </c>
    </row>
    <row r="603" hidden="1">
      <c r="A603" s="1" t="s">
        <v>1220</v>
      </c>
      <c r="B603" s="1">
        <v>607359.0</v>
      </c>
      <c r="C603" s="81">
        <v>205.0</v>
      </c>
      <c r="D603" s="40">
        <v>4.749036239</v>
      </c>
      <c r="E603" s="41">
        <v>0.409756098</v>
      </c>
      <c r="F603" s="41">
        <v>0.16097561</v>
      </c>
      <c r="G603" s="41">
        <v>0.429268293</v>
      </c>
      <c r="H603" s="79">
        <f t="shared" si="1"/>
        <v>-0.019512195</v>
      </c>
      <c r="I603" s="42">
        <v>-2.455979281</v>
      </c>
    </row>
    <row r="604" hidden="1">
      <c r="A604" s="1" t="s">
        <v>880</v>
      </c>
      <c r="B604" s="1">
        <v>676206.0</v>
      </c>
      <c r="C604" s="81">
        <v>285.0</v>
      </c>
      <c r="D604" s="40">
        <v>4.7490056</v>
      </c>
      <c r="E604" s="41">
        <v>0.428070175</v>
      </c>
      <c r="F604" s="41">
        <v>0.157894737</v>
      </c>
      <c r="G604" s="41">
        <v>0.414035088</v>
      </c>
      <c r="H604" s="79">
        <f t="shared" si="1"/>
        <v>0.014035087</v>
      </c>
      <c r="I604" s="42">
        <v>3.169220875</v>
      </c>
    </row>
    <row r="605">
      <c r="A605" s="1" t="s">
        <v>401</v>
      </c>
      <c r="B605" s="1">
        <v>593576.0</v>
      </c>
      <c r="C605" s="81">
        <v>1081.0</v>
      </c>
      <c r="D605" s="40">
        <v>4.748871859</v>
      </c>
      <c r="E605" s="41">
        <v>0.392229417</v>
      </c>
      <c r="F605" s="41">
        <v>0.184088807</v>
      </c>
      <c r="G605" s="41">
        <v>0.423681776</v>
      </c>
      <c r="H605" s="79">
        <f t="shared" si="1"/>
        <v>-0.031452359</v>
      </c>
      <c r="I605" s="42">
        <v>24.79082962</v>
      </c>
    </row>
    <row r="606">
      <c r="A606" s="1" t="s">
        <v>1047</v>
      </c>
      <c r="B606" s="1">
        <v>666205.0</v>
      </c>
      <c r="C606" s="81">
        <v>1442.0</v>
      </c>
      <c r="D606" s="40">
        <v>4.748267259</v>
      </c>
      <c r="E606" s="41">
        <v>0.378640777</v>
      </c>
      <c r="F606" s="41">
        <v>0.202496533</v>
      </c>
      <c r="G606" s="41">
        <v>0.418862691</v>
      </c>
      <c r="H606" s="79">
        <f t="shared" si="1"/>
        <v>-0.040221914</v>
      </c>
      <c r="I606" s="42">
        <v>-21.58607817</v>
      </c>
    </row>
    <row r="607" hidden="1">
      <c r="A607" s="1" t="s">
        <v>1221</v>
      </c>
      <c r="B607" s="1">
        <v>624647.0</v>
      </c>
      <c r="C607" s="81">
        <v>494.0</v>
      </c>
      <c r="D607" s="40">
        <v>4.747255607</v>
      </c>
      <c r="E607" s="41">
        <v>0.402834008</v>
      </c>
      <c r="F607" s="41">
        <v>0.172064777</v>
      </c>
      <c r="G607" s="41">
        <v>0.425101215</v>
      </c>
      <c r="H607" s="79">
        <f t="shared" si="1"/>
        <v>-0.022267207</v>
      </c>
      <c r="I607" s="42">
        <v>0.980936798</v>
      </c>
    </row>
    <row r="608" hidden="1">
      <c r="A608" s="1" t="s">
        <v>882</v>
      </c>
      <c r="B608" s="1">
        <v>647315.0</v>
      </c>
      <c r="C608" s="81">
        <v>198.0</v>
      </c>
      <c r="D608" s="40">
        <v>4.74356099</v>
      </c>
      <c r="E608" s="41">
        <v>0.409090909</v>
      </c>
      <c r="F608" s="41">
        <v>0.181818182</v>
      </c>
      <c r="G608" s="41">
        <v>0.409090909</v>
      </c>
      <c r="H608" s="79">
        <f t="shared" si="1"/>
        <v>0</v>
      </c>
      <c r="I608" s="42">
        <v>1.025818297</v>
      </c>
    </row>
    <row r="609">
      <c r="A609" s="1" t="s">
        <v>1222</v>
      </c>
      <c r="B609" s="1">
        <v>605498.0</v>
      </c>
      <c r="C609" s="81">
        <v>516.0</v>
      </c>
      <c r="D609" s="40">
        <v>4.74188755</v>
      </c>
      <c r="E609" s="41">
        <v>0.377906977</v>
      </c>
      <c r="F609" s="41">
        <v>0.240310078</v>
      </c>
      <c r="G609" s="41">
        <v>0.381782946</v>
      </c>
      <c r="H609" s="79">
        <f t="shared" si="1"/>
        <v>-0.003875969</v>
      </c>
      <c r="I609" s="42">
        <v>0.436305562</v>
      </c>
    </row>
    <row r="610">
      <c r="A610" s="1" t="s">
        <v>459</v>
      </c>
      <c r="B610" s="1">
        <v>664062.0</v>
      </c>
      <c r="C610" s="81">
        <v>1652.0</v>
      </c>
      <c r="D610" s="40">
        <v>4.741542341</v>
      </c>
      <c r="E610" s="41">
        <v>0.380750605</v>
      </c>
      <c r="F610" s="41">
        <v>0.1937046</v>
      </c>
      <c r="G610" s="41">
        <v>0.425544794</v>
      </c>
      <c r="H610" s="79">
        <f t="shared" si="1"/>
        <v>-0.044794189</v>
      </c>
      <c r="I610" s="42">
        <v>11.77287325</v>
      </c>
    </row>
    <row r="611">
      <c r="A611" s="1" t="s">
        <v>1068</v>
      </c>
      <c r="B611" s="1">
        <v>658648.0</v>
      </c>
      <c r="C611" s="81">
        <v>888.0</v>
      </c>
      <c r="D611" s="40">
        <v>4.739880492</v>
      </c>
      <c r="E611" s="41">
        <v>0.370495495</v>
      </c>
      <c r="F611" s="41">
        <v>0.189189189</v>
      </c>
      <c r="G611" s="41">
        <v>0.440315315</v>
      </c>
      <c r="H611" s="79">
        <f t="shared" si="1"/>
        <v>-0.06981982</v>
      </c>
      <c r="I611" s="42">
        <v>11.3169894</v>
      </c>
    </row>
    <row r="612">
      <c r="A612" s="1" t="s">
        <v>1038</v>
      </c>
      <c r="B612" s="1">
        <v>694813.0</v>
      </c>
      <c r="C612" s="81">
        <v>541.0</v>
      </c>
      <c r="D612" s="40">
        <v>4.738805778</v>
      </c>
      <c r="E612" s="41">
        <v>0.364140481</v>
      </c>
      <c r="F612" s="41">
        <v>0.218114603</v>
      </c>
      <c r="G612" s="41">
        <v>0.417744917</v>
      </c>
      <c r="H612" s="79">
        <f t="shared" si="1"/>
        <v>-0.053604436</v>
      </c>
      <c r="I612" s="42">
        <v>-13.11105535</v>
      </c>
    </row>
    <row r="613" hidden="1">
      <c r="A613" s="1" t="s">
        <v>1223</v>
      </c>
      <c r="B613" s="1">
        <v>666204.0</v>
      </c>
      <c r="C613" s="81">
        <v>402.0</v>
      </c>
      <c r="D613" s="40">
        <v>4.738119739</v>
      </c>
      <c r="E613" s="41">
        <v>0.405472637</v>
      </c>
      <c r="F613" s="41">
        <v>0.134328358</v>
      </c>
      <c r="G613" s="41">
        <v>0.460199005</v>
      </c>
      <c r="H613" s="79">
        <f t="shared" si="1"/>
        <v>-0.054726368</v>
      </c>
      <c r="I613" s="42">
        <v>8.053517192</v>
      </c>
    </row>
    <row r="614">
      <c r="A614" s="1" t="s">
        <v>464</v>
      </c>
      <c r="B614" s="1">
        <v>615698.0</v>
      </c>
      <c r="C614" s="81">
        <v>1697.0</v>
      </c>
      <c r="D614" s="40">
        <v>4.737927888</v>
      </c>
      <c r="E614" s="41">
        <v>0.39952858</v>
      </c>
      <c r="F614" s="41">
        <v>0.169711255</v>
      </c>
      <c r="G614" s="41">
        <v>0.430760165</v>
      </c>
      <c r="H614" s="79">
        <f t="shared" si="1"/>
        <v>-0.031231585</v>
      </c>
      <c r="I614" s="42">
        <v>-8.426742354</v>
      </c>
    </row>
    <row r="615" hidden="1">
      <c r="A615" s="1" t="s">
        <v>1224</v>
      </c>
      <c r="B615" s="1">
        <v>543901.0</v>
      </c>
      <c r="C615" s="81">
        <v>182.0</v>
      </c>
      <c r="D615" s="40">
        <v>4.735690357</v>
      </c>
      <c r="E615" s="41">
        <v>0.351648352</v>
      </c>
      <c r="F615" s="41">
        <v>0.230769231</v>
      </c>
      <c r="G615" s="41">
        <v>0.417582418</v>
      </c>
      <c r="H615" s="79">
        <f t="shared" si="1"/>
        <v>-0.065934066</v>
      </c>
      <c r="I615" s="42">
        <v>-4.574182189</v>
      </c>
    </row>
    <row r="616" hidden="1">
      <c r="A616" s="1" t="s">
        <v>1225</v>
      </c>
      <c r="B616" s="1">
        <v>570257.0</v>
      </c>
      <c r="C616" s="81">
        <v>213.0</v>
      </c>
      <c r="D616" s="40">
        <v>4.735035676</v>
      </c>
      <c r="E616" s="41">
        <v>0.399061033</v>
      </c>
      <c r="F616" s="41">
        <v>0.187793427</v>
      </c>
      <c r="G616" s="41">
        <v>0.41314554</v>
      </c>
      <c r="H616" s="79">
        <f t="shared" si="1"/>
        <v>-0.014084507</v>
      </c>
      <c r="I616" s="42">
        <v>0.880266634</v>
      </c>
    </row>
    <row r="617" hidden="1">
      <c r="A617" s="1" t="s">
        <v>1226</v>
      </c>
      <c r="B617" s="1">
        <v>682010.0</v>
      </c>
      <c r="C617" s="81">
        <v>335.0</v>
      </c>
      <c r="D617" s="40">
        <v>4.732657212</v>
      </c>
      <c r="E617" s="41">
        <v>0.397014925</v>
      </c>
      <c r="F617" s="41">
        <v>0.179104478</v>
      </c>
      <c r="G617" s="41">
        <v>0.423880597</v>
      </c>
      <c r="H617" s="79">
        <f t="shared" si="1"/>
        <v>-0.026865672</v>
      </c>
      <c r="I617" s="42">
        <v>-7.508015146</v>
      </c>
    </row>
    <row r="618">
      <c r="A618" s="1" t="s">
        <v>484</v>
      </c>
      <c r="B618" s="1">
        <v>682847.0</v>
      </c>
      <c r="C618" s="81">
        <v>1443.0</v>
      </c>
      <c r="D618" s="40">
        <v>4.729520333</v>
      </c>
      <c r="E618" s="41">
        <v>0.392931393</v>
      </c>
      <c r="F618" s="41">
        <v>0.181566182</v>
      </c>
      <c r="G618" s="41">
        <v>0.425502426</v>
      </c>
      <c r="H618" s="79">
        <f t="shared" si="1"/>
        <v>-0.032571033</v>
      </c>
      <c r="I618" s="42">
        <v>-13.31692931</v>
      </c>
    </row>
    <row r="619" hidden="1">
      <c r="A619" s="1" t="s">
        <v>1227</v>
      </c>
      <c r="B619" s="1">
        <v>665620.0</v>
      </c>
      <c r="C619" s="81">
        <v>286.0</v>
      </c>
      <c r="D619" s="40">
        <v>4.728069951</v>
      </c>
      <c r="E619" s="41">
        <v>0.423076923</v>
      </c>
      <c r="F619" s="41">
        <v>0.174825175</v>
      </c>
      <c r="G619" s="41">
        <v>0.402097902</v>
      </c>
      <c r="H619" s="79">
        <f t="shared" si="1"/>
        <v>0.020979021</v>
      </c>
      <c r="I619" s="42">
        <v>3.544341803</v>
      </c>
    </row>
    <row r="620" hidden="1">
      <c r="A620" s="1" t="s">
        <v>1228</v>
      </c>
      <c r="B620" s="1">
        <v>607968.0</v>
      </c>
      <c r="C620" s="81">
        <v>346.0</v>
      </c>
      <c r="D620" s="40">
        <v>4.726563723</v>
      </c>
      <c r="E620" s="41">
        <v>0.398843931</v>
      </c>
      <c r="F620" s="41">
        <v>0.196531792</v>
      </c>
      <c r="G620" s="41">
        <v>0.404624277</v>
      </c>
      <c r="H620" s="79">
        <f t="shared" si="1"/>
        <v>-0.005780346</v>
      </c>
      <c r="I620" s="42">
        <v>-6.806686785</v>
      </c>
    </row>
    <row r="621">
      <c r="A621" s="1" t="s">
        <v>704</v>
      </c>
      <c r="B621" s="1">
        <v>518397.0</v>
      </c>
      <c r="C621" s="81">
        <v>689.0</v>
      </c>
      <c r="D621" s="40">
        <v>4.725935772</v>
      </c>
      <c r="E621" s="41">
        <v>0.35413643</v>
      </c>
      <c r="F621" s="41">
        <v>0.201741655</v>
      </c>
      <c r="G621" s="41">
        <v>0.444121916</v>
      </c>
      <c r="H621" s="79">
        <f t="shared" si="1"/>
        <v>-0.089985486</v>
      </c>
      <c r="I621" s="42">
        <v>-5.184751734</v>
      </c>
    </row>
    <row r="622">
      <c r="A622" s="1" t="s">
        <v>1229</v>
      </c>
      <c r="B622" s="1">
        <v>657140.0</v>
      </c>
      <c r="C622" s="81">
        <v>572.0</v>
      </c>
      <c r="D622" s="40">
        <v>4.724814976</v>
      </c>
      <c r="E622" s="41">
        <v>0.393356643</v>
      </c>
      <c r="F622" s="41">
        <v>0.194055944</v>
      </c>
      <c r="G622" s="41">
        <v>0.412587413</v>
      </c>
      <c r="H622" s="79">
        <f t="shared" si="1"/>
        <v>-0.01923077</v>
      </c>
      <c r="I622" s="42">
        <v>-5.495940496</v>
      </c>
    </row>
    <row r="623">
      <c r="A623" s="1" t="s">
        <v>745</v>
      </c>
      <c r="B623" s="1">
        <v>543518.0</v>
      </c>
      <c r="C623" s="81">
        <v>1226.0</v>
      </c>
      <c r="D623" s="40">
        <v>4.724753199</v>
      </c>
      <c r="E623" s="41">
        <v>0.396411093</v>
      </c>
      <c r="F623" s="41">
        <v>0.17862969</v>
      </c>
      <c r="G623" s="41">
        <v>0.424959217</v>
      </c>
      <c r="H623" s="79">
        <f t="shared" si="1"/>
        <v>-0.028548124</v>
      </c>
      <c r="I623" s="42">
        <v>10.89176279</v>
      </c>
    </row>
    <row r="624">
      <c r="A624" s="1" t="s">
        <v>947</v>
      </c>
      <c r="B624" s="1">
        <v>681217.0</v>
      </c>
      <c r="C624" s="81">
        <v>879.0</v>
      </c>
      <c r="D624" s="40">
        <v>4.724137981</v>
      </c>
      <c r="E624" s="41">
        <v>0.386803185</v>
      </c>
      <c r="F624" s="41">
        <v>0.183162685</v>
      </c>
      <c r="G624" s="41">
        <v>0.43003413</v>
      </c>
      <c r="H624" s="79">
        <f t="shared" si="1"/>
        <v>-0.043230945</v>
      </c>
      <c r="I624" s="42">
        <v>11.09587822</v>
      </c>
    </row>
    <row r="625">
      <c r="A625" s="1" t="s">
        <v>493</v>
      </c>
      <c r="B625" s="1">
        <v>657514.0</v>
      </c>
      <c r="C625" s="81">
        <v>859.0</v>
      </c>
      <c r="D625" s="40">
        <v>4.722099999</v>
      </c>
      <c r="E625" s="41">
        <v>0.398137369</v>
      </c>
      <c r="F625" s="41">
        <v>0.173457509</v>
      </c>
      <c r="G625" s="41">
        <v>0.428405122</v>
      </c>
      <c r="H625" s="79">
        <f t="shared" si="1"/>
        <v>-0.030267753</v>
      </c>
      <c r="I625" s="42">
        <v>3.452343048</v>
      </c>
    </row>
    <row r="626">
      <c r="A626" s="1" t="s">
        <v>1074</v>
      </c>
      <c r="B626" s="1">
        <v>641712.0</v>
      </c>
      <c r="C626" s="81">
        <v>1306.0</v>
      </c>
      <c r="D626" s="40">
        <v>4.721713897</v>
      </c>
      <c r="E626" s="41">
        <v>0.372128637</v>
      </c>
      <c r="F626" s="41">
        <v>0.202143951</v>
      </c>
      <c r="G626" s="41">
        <v>0.425727412</v>
      </c>
      <c r="H626" s="79">
        <f t="shared" si="1"/>
        <v>-0.053598775</v>
      </c>
      <c r="I626" s="42">
        <v>-0.093451579</v>
      </c>
    </row>
    <row r="627" hidden="1">
      <c r="A627" s="1" t="s">
        <v>782</v>
      </c>
      <c r="B627" s="1">
        <v>681882.0</v>
      </c>
      <c r="C627" s="81">
        <v>437.0</v>
      </c>
      <c r="D627" s="40">
        <v>4.721069872</v>
      </c>
      <c r="E627" s="41">
        <v>0.359267735</v>
      </c>
      <c r="F627" s="41">
        <v>0.210526316</v>
      </c>
      <c r="G627" s="41">
        <v>0.43020595</v>
      </c>
      <c r="H627" s="79">
        <f t="shared" si="1"/>
        <v>-0.070938215</v>
      </c>
      <c r="I627" s="42">
        <v>-4.300569277</v>
      </c>
    </row>
    <row r="628">
      <c r="A628" s="1" t="s">
        <v>500</v>
      </c>
      <c r="B628" s="1">
        <v>665871.0</v>
      </c>
      <c r="C628" s="81">
        <v>1697.0</v>
      </c>
      <c r="D628" s="40">
        <v>4.715137405</v>
      </c>
      <c r="E628" s="41">
        <v>0.378314673</v>
      </c>
      <c r="F628" s="41">
        <v>0.194460813</v>
      </c>
      <c r="G628" s="41">
        <v>0.427224514</v>
      </c>
      <c r="H628" s="79">
        <f t="shared" si="1"/>
        <v>-0.048909841</v>
      </c>
      <c r="I628" s="42">
        <v>15.12040687</v>
      </c>
    </row>
    <row r="629" hidden="1">
      <c r="A629" s="1" t="s">
        <v>1230</v>
      </c>
      <c r="B629" s="1">
        <v>621249.0</v>
      </c>
      <c r="C629" s="81">
        <v>334.0</v>
      </c>
      <c r="D629" s="40">
        <v>4.714065757</v>
      </c>
      <c r="E629" s="41">
        <v>0.365269461</v>
      </c>
      <c r="F629" s="41">
        <v>0.221556886</v>
      </c>
      <c r="G629" s="41">
        <v>0.413173653</v>
      </c>
      <c r="H629" s="79">
        <f t="shared" si="1"/>
        <v>-0.047904192</v>
      </c>
      <c r="I629" s="42">
        <v>-1.856496822</v>
      </c>
    </row>
    <row r="630">
      <c r="A630" s="1" t="s">
        <v>275</v>
      </c>
      <c r="B630" s="1">
        <v>693821.0</v>
      </c>
      <c r="C630" s="81">
        <v>2815.0</v>
      </c>
      <c r="D630" s="40">
        <v>4.71198686</v>
      </c>
      <c r="E630" s="41">
        <v>0.362344583</v>
      </c>
      <c r="F630" s="41">
        <v>0.206394316</v>
      </c>
      <c r="G630" s="41">
        <v>0.431261101</v>
      </c>
      <c r="H630" s="79">
        <f t="shared" si="1"/>
        <v>-0.068916518</v>
      </c>
      <c r="I630" s="42">
        <v>16.89305367</v>
      </c>
    </row>
    <row r="631" hidden="1">
      <c r="A631" s="1" t="s">
        <v>333</v>
      </c>
      <c r="B631" s="1">
        <v>681892.0</v>
      </c>
      <c r="C631" s="81">
        <v>191.0</v>
      </c>
      <c r="D631" s="40">
        <v>4.710609272</v>
      </c>
      <c r="E631" s="41">
        <v>0.345549738</v>
      </c>
      <c r="F631" s="41">
        <v>0.22513089</v>
      </c>
      <c r="G631" s="41">
        <v>0.429319372</v>
      </c>
      <c r="H631" s="79">
        <f t="shared" si="1"/>
        <v>-0.083769634</v>
      </c>
      <c r="I631" s="42">
        <v>5.878436726</v>
      </c>
    </row>
    <row r="632">
      <c r="A632" s="1" t="s">
        <v>1065</v>
      </c>
      <c r="B632" s="1">
        <v>679525.0</v>
      </c>
      <c r="C632" s="81">
        <v>1334.0</v>
      </c>
      <c r="D632" s="40">
        <v>4.707304569</v>
      </c>
      <c r="E632" s="41">
        <v>0.362068966</v>
      </c>
      <c r="F632" s="41">
        <v>0.271364318</v>
      </c>
      <c r="G632" s="41">
        <v>0.366566717</v>
      </c>
      <c r="H632" s="79">
        <f t="shared" si="1"/>
        <v>-0.004497751</v>
      </c>
      <c r="I632" s="42">
        <v>-3.415405917</v>
      </c>
    </row>
    <row r="633" hidden="1">
      <c r="A633" s="1" t="s">
        <v>1231</v>
      </c>
      <c r="B633" s="1">
        <v>571479.0</v>
      </c>
      <c r="C633" s="81">
        <v>450.0</v>
      </c>
      <c r="D633" s="40">
        <v>4.70251802</v>
      </c>
      <c r="E633" s="41">
        <v>0.384444444</v>
      </c>
      <c r="F633" s="41">
        <v>0.215555556</v>
      </c>
      <c r="G633" s="41">
        <v>0.4</v>
      </c>
      <c r="H633" s="79">
        <f t="shared" si="1"/>
        <v>-0.015555556</v>
      </c>
      <c r="I633" s="42">
        <v>-2.596815945</v>
      </c>
    </row>
    <row r="634">
      <c r="A634" s="1" t="s">
        <v>1072</v>
      </c>
      <c r="B634" s="1">
        <v>665622.0</v>
      </c>
      <c r="C634" s="81">
        <v>1923.0</v>
      </c>
      <c r="D634" s="40">
        <v>4.700346198</v>
      </c>
      <c r="E634" s="41">
        <v>0.383775351</v>
      </c>
      <c r="F634" s="41">
        <v>0.182527301</v>
      </c>
      <c r="G634" s="41">
        <v>0.433697348</v>
      </c>
      <c r="H634" s="79">
        <f t="shared" si="1"/>
        <v>-0.049921997</v>
      </c>
      <c r="I634" s="42">
        <v>1.613278972</v>
      </c>
    </row>
    <row r="635">
      <c r="A635" s="1" t="s">
        <v>743</v>
      </c>
      <c r="B635" s="1">
        <v>657053.0</v>
      </c>
      <c r="C635" s="81">
        <v>1583.0</v>
      </c>
      <c r="D635" s="40">
        <v>4.696667386</v>
      </c>
      <c r="E635" s="41">
        <v>0.39418825</v>
      </c>
      <c r="F635" s="41">
        <v>0.177511055</v>
      </c>
      <c r="G635" s="41">
        <v>0.428300695</v>
      </c>
      <c r="H635" s="79">
        <f t="shared" si="1"/>
        <v>-0.034112445</v>
      </c>
      <c r="I635" s="42">
        <v>24.24965302</v>
      </c>
    </row>
    <row r="636">
      <c r="A636" s="1" t="s">
        <v>706</v>
      </c>
      <c r="B636" s="1">
        <v>694363.0</v>
      </c>
      <c r="C636" s="81">
        <v>855.0</v>
      </c>
      <c r="D636" s="40">
        <v>4.684881287</v>
      </c>
      <c r="E636" s="41">
        <v>0.373099415</v>
      </c>
      <c r="F636" s="41">
        <v>0.189473684</v>
      </c>
      <c r="G636" s="41">
        <v>0.437426901</v>
      </c>
      <c r="H636" s="79">
        <f t="shared" si="1"/>
        <v>-0.064327486</v>
      </c>
      <c r="I636" s="42">
        <v>-1.743485542</v>
      </c>
    </row>
    <row r="637">
      <c r="A637" s="1" t="s">
        <v>1232</v>
      </c>
      <c r="B637" s="1">
        <v>666201.0</v>
      </c>
      <c r="C637" s="81">
        <v>1675.0</v>
      </c>
      <c r="D637" s="40">
        <v>4.684692863</v>
      </c>
      <c r="E637" s="41">
        <v>0.40358209</v>
      </c>
      <c r="F637" s="41">
        <v>0.172537313</v>
      </c>
      <c r="G637" s="41">
        <v>0.423880597</v>
      </c>
      <c r="H637" s="79">
        <f t="shared" si="1"/>
        <v>-0.020298507</v>
      </c>
      <c r="I637" s="42">
        <v>1.645448202</v>
      </c>
    </row>
    <row r="638" hidden="1">
      <c r="A638" s="1" t="s">
        <v>1233</v>
      </c>
      <c r="B638" s="1">
        <v>656290.0</v>
      </c>
      <c r="C638" s="81">
        <v>326.0</v>
      </c>
      <c r="D638" s="40">
        <v>4.679577145</v>
      </c>
      <c r="E638" s="41">
        <v>0.377300613</v>
      </c>
      <c r="F638" s="41">
        <v>0.214723926</v>
      </c>
      <c r="G638" s="41">
        <v>0.40797546</v>
      </c>
      <c r="H638" s="79">
        <f t="shared" si="1"/>
        <v>-0.030674847</v>
      </c>
      <c r="I638" s="42">
        <v>4.216805378</v>
      </c>
    </row>
    <row r="639" hidden="1">
      <c r="A639" s="1" t="s">
        <v>1234</v>
      </c>
      <c r="B639" s="1">
        <v>607237.0</v>
      </c>
      <c r="C639" s="81">
        <v>475.0</v>
      </c>
      <c r="D639" s="40">
        <v>4.678769263</v>
      </c>
      <c r="E639" s="41">
        <v>0.381052632</v>
      </c>
      <c r="F639" s="41">
        <v>0.195789474</v>
      </c>
      <c r="G639" s="41">
        <v>0.423157895</v>
      </c>
      <c r="H639" s="79">
        <f t="shared" si="1"/>
        <v>-0.042105263</v>
      </c>
      <c r="I639" s="42">
        <v>2.056547318</v>
      </c>
    </row>
    <row r="640">
      <c r="A640" s="1" t="s">
        <v>739</v>
      </c>
      <c r="B640" s="1">
        <v>657756.0</v>
      </c>
      <c r="C640" s="81">
        <v>1550.0</v>
      </c>
      <c r="D640" s="40">
        <v>4.674349549</v>
      </c>
      <c r="E640" s="41">
        <v>0.363870968</v>
      </c>
      <c r="F640" s="41">
        <v>0.199354839</v>
      </c>
      <c r="G640" s="41">
        <v>0.436774194</v>
      </c>
      <c r="H640" s="79">
        <f t="shared" si="1"/>
        <v>-0.072903226</v>
      </c>
      <c r="I640" s="42">
        <v>-12.74770085</v>
      </c>
    </row>
    <row r="641">
      <c r="A641" s="1" t="s">
        <v>1235</v>
      </c>
      <c r="B641" s="1">
        <v>656232.0</v>
      </c>
      <c r="C641" s="81">
        <v>1382.0</v>
      </c>
      <c r="D641" s="40">
        <v>4.669018759</v>
      </c>
      <c r="E641" s="41">
        <v>0.374819103</v>
      </c>
      <c r="F641" s="41">
        <v>0.185962373</v>
      </c>
      <c r="G641" s="41">
        <v>0.439218524</v>
      </c>
      <c r="H641" s="79">
        <f t="shared" si="1"/>
        <v>-0.064399421</v>
      </c>
      <c r="I641" s="42">
        <v>7.392268012</v>
      </c>
    </row>
    <row r="642">
      <c r="A642" s="1" t="s">
        <v>846</v>
      </c>
      <c r="B642" s="1">
        <v>663804.0</v>
      </c>
      <c r="C642" s="81">
        <v>562.0</v>
      </c>
      <c r="D642" s="40">
        <v>4.668186968</v>
      </c>
      <c r="E642" s="41">
        <v>0.379003559</v>
      </c>
      <c r="F642" s="41">
        <v>0.176156584</v>
      </c>
      <c r="G642" s="41">
        <v>0.444839858</v>
      </c>
      <c r="H642" s="79">
        <f t="shared" si="1"/>
        <v>-0.065836299</v>
      </c>
      <c r="I642" s="42">
        <v>-1.205797281</v>
      </c>
    </row>
    <row r="643" hidden="1">
      <c r="A643" s="1" t="s">
        <v>1236</v>
      </c>
      <c r="B643" s="1">
        <v>672715.0</v>
      </c>
      <c r="C643" s="81">
        <v>381.0</v>
      </c>
      <c r="D643" s="40">
        <v>4.665863738</v>
      </c>
      <c r="E643" s="41">
        <v>0.362204724</v>
      </c>
      <c r="F643" s="41">
        <v>0.165354331</v>
      </c>
      <c r="G643" s="41">
        <v>0.472440945</v>
      </c>
      <c r="H643" s="79">
        <f t="shared" si="1"/>
        <v>-0.110236221</v>
      </c>
      <c r="I643" s="42">
        <v>0.927052269</v>
      </c>
    </row>
    <row r="644">
      <c r="A644" s="1" t="s">
        <v>483</v>
      </c>
      <c r="B644" s="1">
        <v>664192.0</v>
      </c>
      <c r="C644" s="81">
        <v>683.0</v>
      </c>
      <c r="D644" s="40">
        <v>4.664217114</v>
      </c>
      <c r="E644" s="41">
        <v>0.339677892</v>
      </c>
      <c r="F644" s="41">
        <v>0.206442167</v>
      </c>
      <c r="G644" s="41">
        <v>0.453879941</v>
      </c>
      <c r="H644" s="79">
        <f t="shared" si="1"/>
        <v>-0.114202049</v>
      </c>
      <c r="I644" s="42">
        <v>-0.447413045</v>
      </c>
    </row>
    <row r="645">
      <c r="A645" s="1" t="s">
        <v>1237</v>
      </c>
      <c r="B645" s="1">
        <v>621016.0</v>
      </c>
      <c r="C645" s="81">
        <v>1171.0</v>
      </c>
      <c r="D645" s="40">
        <v>4.650508535</v>
      </c>
      <c r="E645" s="41">
        <v>0.364645602</v>
      </c>
      <c r="F645" s="41">
        <v>0.207514944</v>
      </c>
      <c r="G645" s="41">
        <v>0.427839453</v>
      </c>
      <c r="H645" s="79">
        <f t="shared" si="1"/>
        <v>-0.063193851</v>
      </c>
      <c r="I645" s="42">
        <v>-1.904659938</v>
      </c>
    </row>
    <row r="646" hidden="1">
      <c r="A646" s="1" t="s">
        <v>214</v>
      </c>
      <c r="B646" s="1">
        <v>674444.0</v>
      </c>
      <c r="C646" s="81">
        <v>242.0</v>
      </c>
      <c r="D646" s="40">
        <v>4.646205682</v>
      </c>
      <c r="E646" s="41">
        <v>0.380165289</v>
      </c>
      <c r="F646" s="41">
        <v>0.194214876</v>
      </c>
      <c r="G646" s="41">
        <v>0.425619835</v>
      </c>
      <c r="H646" s="79">
        <f t="shared" si="1"/>
        <v>-0.045454546</v>
      </c>
      <c r="I646" s="42">
        <v>0.203889162</v>
      </c>
    </row>
    <row r="647" hidden="1">
      <c r="A647" s="1" t="s">
        <v>516</v>
      </c>
      <c r="B647" s="1">
        <v>700363.0</v>
      </c>
      <c r="C647" s="81">
        <v>451.0</v>
      </c>
      <c r="D647" s="40">
        <v>4.641784064</v>
      </c>
      <c r="E647" s="41">
        <v>0.354767184</v>
      </c>
      <c r="F647" s="41">
        <v>0.175166297</v>
      </c>
      <c r="G647" s="41">
        <v>0.470066519</v>
      </c>
      <c r="H647" s="79">
        <f t="shared" si="1"/>
        <v>-0.115299335</v>
      </c>
      <c r="I647" s="42">
        <v>6.85062789</v>
      </c>
    </row>
    <row r="648" hidden="1">
      <c r="A648" s="1" t="s">
        <v>1238</v>
      </c>
      <c r="B648" s="1">
        <v>650895.0</v>
      </c>
      <c r="C648" s="81">
        <v>162.0</v>
      </c>
      <c r="D648" s="40">
        <v>4.639211315</v>
      </c>
      <c r="E648" s="41">
        <v>0.382716049</v>
      </c>
      <c r="F648" s="41">
        <v>0.240740741</v>
      </c>
      <c r="G648" s="41">
        <v>0.37654321</v>
      </c>
      <c r="H648" s="79">
        <f t="shared" si="1"/>
        <v>0.006172839</v>
      </c>
      <c r="I648" s="42">
        <v>4.517101274</v>
      </c>
    </row>
    <row r="649" hidden="1">
      <c r="A649" s="1" t="s">
        <v>237</v>
      </c>
      <c r="B649" s="1">
        <v>663485.0</v>
      </c>
      <c r="C649" s="81">
        <v>404.0</v>
      </c>
      <c r="D649" s="40">
        <v>4.639080243</v>
      </c>
      <c r="E649" s="41">
        <v>0.413366337</v>
      </c>
      <c r="F649" s="41">
        <v>0.143564356</v>
      </c>
      <c r="G649" s="41">
        <v>0.443069307</v>
      </c>
      <c r="H649" s="79">
        <f t="shared" si="1"/>
        <v>-0.02970297</v>
      </c>
      <c r="I649" s="42">
        <v>5.559042975</v>
      </c>
    </row>
    <row r="650" hidden="1">
      <c r="A650" s="1" t="s">
        <v>1239</v>
      </c>
      <c r="B650" s="1">
        <v>661383.0</v>
      </c>
      <c r="C650" s="81">
        <v>237.0</v>
      </c>
      <c r="D650" s="40">
        <v>4.631361776</v>
      </c>
      <c r="E650" s="41">
        <v>0.367088608</v>
      </c>
      <c r="F650" s="41">
        <v>0.232067511</v>
      </c>
      <c r="G650" s="41">
        <v>0.400843882</v>
      </c>
      <c r="H650" s="79">
        <f t="shared" si="1"/>
        <v>-0.033755274</v>
      </c>
      <c r="I650" s="42">
        <v>3.752023324</v>
      </c>
    </row>
    <row r="651">
      <c r="A651" s="1" t="s">
        <v>1240</v>
      </c>
      <c r="B651" s="1">
        <v>672851.0</v>
      </c>
      <c r="C651" s="81">
        <v>915.0</v>
      </c>
      <c r="D651" s="40">
        <v>4.630073334</v>
      </c>
      <c r="E651" s="41">
        <v>0.357377049</v>
      </c>
      <c r="F651" s="41">
        <v>0.206557377</v>
      </c>
      <c r="G651" s="41">
        <v>0.436065574</v>
      </c>
      <c r="H651" s="79">
        <f t="shared" si="1"/>
        <v>-0.078688525</v>
      </c>
      <c r="I651" s="42">
        <v>-1.96684733</v>
      </c>
    </row>
    <row r="652" hidden="1">
      <c r="A652" s="1" t="s">
        <v>1037</v>
      </c>
      <c r="B652" s="1">
        <v>664776.0</v>
      </c>
      <c r="C652" s="81">
        <v>199.0</v>
      </c>
      <c r="D652" s="40">
        <v>4.626435256</v>
      </c>
      <c r="E652" s="41">
        <v>0.432160804</v>
      </c>
      <c r="F652" s="41">
        <v>0.135678392</v>
      </c>
      <c r="G652" s="41">
        <v>0.432160804</v>
      </c>
      <c r="H652" s="79">
        <f t="shared" si="1"/>
        <v>0</v>
      </c>
      <c r="I652" s="42">
        <v>-0.053153136</v>
      </c>
    </row>
    <row r="653" hidden="1">
      <c r="A653" s="1" t="s">
        <v>1241</v>
      </c>
      <c r="B653" s="1">
        <v>656818.0</v>
      </c>
      <c r="C653" s="81">
        <v>199.0</v>
      </c>
      <c r="D653" s="40">
        <v>4.620170905</v>
      </c>
      <c r="E653" s="41">
        <v>0.366834171</v>
      </c>
      <c r="F653" s="41">
        <v>0.206030151</v>
      </c>
      <c r="G653" s="41">
        <v>0.427135678</v>
      </c>
      <c r="H653" s="79">
        <f t="shared" si="1"/>
        <v>-0.060301507</v>
      </c>
      <c r="I653" s="42">
        <v>-6.929143303</v>
      </c>
    </row>
    <row r="654" hidden="1">
      <c r="A654" s="1" t="s">
        <v>598</v>
      </c>
      <c r="B654" s="1">
        <v>686826.0</v>
      </c>
      <c r="C654" s="81">
        <v>368.0</v>
      </c>
      <c r="D654" s="40">
        <v>4.61664847</v>
      </c>
      <c r="E654" s="41">
        <v>0.372282609</v>
      </c>
      <c r="F654" s="41">
        <v>0.168478261</v>
      </c>
      <c r="G654" s="41">
        <v>0.45923913</v>
      </c>
      <c r="H654" s="79">
        <f t="shared" si="1"/>
        <v>-0.086956521</v>
      </c>
      <c r="I654" s="42">
        <v>7.141246769</v>
      </c>
    </row>
    <row r="655">
      <c r="A655" s="1" t="s">
        <v>215</v>
      </c>
      <c r="B655" s="1">
        <v>656234.0</v>
      </c>
      <c r="C655" s="81">
        <v>1381.0</v>
      </c>
      <c r="D655" s="40">
        <v>4.614863773</v>
      </c>
      <c r="E655" s="41">
        <v>0.331643736</v>
      </c>
      <c r="F655" s="41">
        <v>0.228095583</v>
      </c>
      <c r="G655" s="41">
        <v>0.440260681</v>
      </c>
      <c r="H655" s="79">
        <f t="shared" si="1"/>
        <v>-0.108616945</v>
      </c>
      <c r="I655" s="42">
        <v>4.721673004</v>
      </c>
    </row>
    <row r="656" hidden="1">
      <c r="A656" s="1" t="s">
        <v>1242</v>
      </c>
      <c r="B656" s="1">
        <v>664028.0</v>
      </c>
      <c r="C656" s="81">
        <v>307.0</v>
      </c>
      <c r="D656" s="40">
        <v>4.612919192</v>
      </c>
      <c r="E656" s="41">
        <v>0.364820847</v>
      </c>
      <c r="F656" s="41">
        <v>0.175895765</v>
      </c>
      <c r="G656" s="41">
        <v>0.459283388</v>
      </c>
      <c r="H656" s="79">
        <f t="shared" si="1"/>
        <v>-0.094462541</v>
      </c>
      <c r="I656" s="42">
        <v>0.761857495</v>
      </c>
    </row>
    <row r="657" hidden="1">
      <c r="A657" s="1" t="s">
        <v>1243</v>
      </c>
      <c r="B657" s="1">
        <v>667427.0</v>
      </c>
      <c r="C657" s="81">
        <v>371.0</v>
      </c>
      <c r="D657" s="40">
        <v>4.612448154</v>
      </c>
      <c r="E657" s="41">
        <v>0.363881402</v>
      </c>
      <c r="F657" s="41">
        <v>0.150943396</v>
      </c>
      <c r="G657" s="41">
        <v>0.485175202</v>
      </c>
      <c r="H657" s="79">
        <f t="shared" si="1"/>
        <v>-0.1212938</v>
      </c>
      <c r="I657" s="42">
        <v>-1.040223579</v>
      </c>
    </row>
    <row r="658">
      <c r="A658" s="1" t="s">
        <v>1244</v>
      </c>
      <c r="B658" s="1">
        <v>666154.0</v>
      </c>
      <c r="C658" s="81">
        <v>576.0</v>
      </c>
      <c r="D658" s="40">
        <v>4.60477195</v>
      </c>
      <c r="E658" s="41">
        <v>0.328125</v>
      </c>
      <c r="F658" s="41">
        <v>0.232638889</v>
      </c>
      <c r="G658" s="41">
        <v>0.439236111</v>
      </c>
      <c r="H658" s="79">
        <f t="shared" si="1"/>
        <v>-0.111111111</v>
      </c>
      <c r="I658" s="42">
        <v>-5.999625195</v>
      </c>
    </row>
    <row r="659">
      <c r="A659" s="1" t="s">
        <v>297</v>
      </c>
      <c r="B659" s="1">
        <v>641745.0</v>
      </c>
      <c r="C659" s="81">
        <v>872.0</v>
      </c>
      <c r="D659" s="40">
        <v>4.601860094</v>
      </c>
      <c r="E659" s="41">
        <v>0.399082569</v>
      </c>
      <c r="F659" s="41">
        <v>0.175458716</v>
      </c>
      <c r="G659" s="41">
        <v>0.425458716</v>
      </c>
      <c r="H659" s="79">
        <f t="shared" si="1"/>
        <v>-0.026376147</v>
      </c>
      <c r="I659" s="42">
        <v>3.714162512</v>
      </c>
    </row>
    <row r="660">
      <c r="A660" s="1" t="s">
        <v>1075</v>
      </c>
      <c r="B660" s="1">
        <v>621389.0</v>
      </c>
      <c r="C660" s="81">
        <v>1255.0</v>
      </c>
      <c r="D660" s="40">
        <v>4.600515624</v>
      </c>
      <c r="E660" s="41">
        <v>0.326693227</v>
      </c>
      <c r="F660" s="41">
        <v>0.232669323</v>
      </c>
      <c r="G660" s="41">
        <v>0.44063745</v>
      </c>
      <c r="H660" s="79">
        <f t="shared" si="1"/>
        <v>-0.113944223</v>
      </c>
      <c r="I660" s="42">
        <v>-8.631039675</v>
      </c>
    </row>
    <row r="661" hidden="1">
      <c r="A661" s="1" t="s">
        <v>933</v>
      </c>
      <c r="B661" s="1">
        <v>685314.0</v>
      </c>
      <c r="C661" s="81">
        <v>151.0</v>
      </c>
      <c r="D661" s="40">
        <v>4.600165556</v>
      </c>
      <c r="E661" s="41">
        <v>0.311258278</v>
      </c>
      <c r="F661" s="41">
        <v>0.218543046</v>
      </c>
      <c r="G661" s="41">
        <v>0.470198675</v>
      </c>
      <c r="H661" s="79">
        <f t="shared" si="1"/>
        <v>-0.158940397</v>
      </c>
      <c r="I661" s="42">
        <v>3.600009994</v>
      </c>
    </row>
    <row r="662">
      <c r="A662" s="1" t="s">
        <v>1245</v>
      </c>
      <c r="B662" s="1">
        <v>685410.0</v>
      </c>
      <c r="C662" s="81">
        <v>545.0</v>
      </c>
      <c r="D662" s="40">
        <v>4.599788306</v>
      </c>
      <c r="E662" s="41">
        <v>0.335779817</v>
      </c>
      <c r="F662" s="41">
        <v>0.212844037</v>
      </c>
      <c r="G662" s="41">
        <v>0.451376147</v>
      </c>
      <c r="H662" s="79">
        <f t="shared" si="1"/>
        <v>-0.11559633</v>
      </c>
      <c r="I662" s="42">
        <v>-2.078688027</v>
      </c>
    </row>
    <row r="663" hidden="1">
      <c r="A663" s="1" t="s">
        <v>1246</v>
      </c>
      <c r="B663" s="1">
        <v>682051.0</v>
      </c>
      <c r="C663" s="81">
        <v>304.0</v>
      </c>
      <c r="D663" s="40">
        <v>4.596995614</v>
      </c>
      <c r="E663" s="41">
        <v>0.378289474</v>
      </c>
      <c r="F663" s="41">
        <v>0.180921053</v>
      </c>
      <c r="G663" s="41">
        <v>0.440789474</v>
      </c>
      <c r="H663" s="79">
        <f t="shared" si="1"/>
        <v>-0.0625</v>
      </c>
      <c r="I663" s="42">
        <v>-2.800318025</v>
      </c>
    </row>
    <row r="664">
      <c r="A664" s="1" t="s">
        <v>392</v>
      </c>
      <c r="B664" s="1">
        <v>489446.0</v>
      </c>
      <c r="C664" s="81">
        <v>1049.0</v>
      </c>
      <c r="D664" s="40">
        <v>4.596328189</v>
      </c>
      <c r="E664" s="41">
        <v>0.383222116</v>
      </c>
      <c r="F664" s="41">
        <v>0.185891325</v>
      </c>
      <c r="G664" s="41">
        <v>0.430886559</v>
      </c>
      <c r="H664" s="79">
        <f t="shared" si="1"/>
        <v>-0.047664443</v>
      </c>
      <c r="I664" s="42">
        <v>20.44848748</v>
      </c>
    </row>
    <row r="665">
      <c r="A665" s="1" t="s">
        <v>816</v>
      </c>
      <c r="B665" s="1">
        <v>663562.0</v>
      </c>
      <c r="C665" s="81">
        <v>594.0</v>
      </c>
      <c r="D665" s="40">
        <v>4.586712561</v>
      </c>
      <c r="E665" s="41">
        <v>0.361952862</v>
      </c>
      <c r="F665" s="41">
        <v>0.18013468</v>
      </c>
      <c r="G665" s="41">
        <v>0.457912458</v>
      </c>
      <c r="H665" s="79">
        <f t="shared" si="1"/>
        <v>-0.095959596</v>
      </c>
      <c r="I665" s="42">
        <v>-1.22424428</v>
      </c>
    </row>
    <row r="666" hidden="1">
      <c r="A666" s="1" t="s">
        <v>508</v>
      </c>
      <c r="B666" s="1">
        <v>674285.0</v>
      </c>
      <c r="C666" s="81">
        <v>238.0</v>
      </c>
      <c r="D666" s="40">
        <v>4.580331651</v>
      </c>
      <c r="E666" s="41">
        <v>0.382352941</v>
      </c>
      <c r="F666" s="41">
        <v>0.172268908</v>
      </c>
      <c r="G666" s="41">
        <v>0.445378151</v>
      </c>
      <c r="H666" s="79">
        <f t="shared" si="1"/>
        <v>-0.06302521</v>
      </c>
      <c r="I666" s="42">
        <v>-3.157079222</v>
      </c>
    </row>
    <row r="667" hidden="1">
      <c r="A667" s="1" t="s">
        <v>1247</v>
      </c>
      <c r="B667" s="1">
        <v>665734.0</v>
      </c>
      <c r="C667" s="81">
        <v>267.0</v>
      </c>
      <c r="D667" s="40">
        <v>4.578169569</v>
      </c>
      <c r="E667" s="41">
        <v>0.4082397</v>
      </c>
      <c r="F667" s="41">
        <v>0.131086142</v>
      </c>
      <c r="G667" s="41">
        <v>0.460674157</v>
      </c>
      <c r="H667" s="79">
        <f t="shared" si="1"/>
        <v>-0.052434457</v>
      </c>
      <c r="I667" s="42">
        <v>10.54972303</v>
      </c>
    </row>
    <row r="668">
      <c r="A668" s="1" t="s">
        <v>467</v>
      </c>
      <c r="B668" s="1">
        <v>643410.0</v>
      </c>
      <c r="C668" s="81">
        <v>1037.0</v>
      </c>
      <c r="D668" s="40">
        <v>4.534495473</v>
      </c>
      <c r="E668" s="41">
        <v>0.3780135</v>
      </c>
      <c r="F668" s="41">
        <v>0.172613308</v>
      </c>
      <c r="G668" s="41">
        <v>0.449373192</v>
      </c>
      <c r="H668" s="79">
        <f t="shared" si="1"/>
        <v>-0.071359692</v>
      </c>
      <c r="I668" s="42">
        <v>11.65471654</v>
      </c>
    </row>
    <row r="669" hidden="1">
      <c r="A669" s="1" t="s">
        <v>1248</v>
      </c>
      <c r="B669" s="1">
        <v>642770.0</v>
      </c>
      <c r="C669" s="81">
        <v>360.0</v>
      </c>
      <c r="D669" s="40">
        <v>4.528277861</v>
      </c>
      <c r="E669" s="41">
        <v>0.372222222</v>
      </c>
      <c r="F669" s="41">
        <v>0.202777778</v>
      </c>
      <c r="G669" s="41">
        <v>0.425</v>
      </c>
      <c r="H669" s="79">
        <f t="shared" si="1"/>
        <v>-0.052777778</v>
      </c>
      <c r="I669" s="42">
        <v>0.252238261</v>
      </c>
    </row>
    <row r="670" hidden="1">
      <c r="A670" s="1" t="s">
        <v>1249</v>
      </c>
      <c r="B670" s="1">
        <v>607457.0</v>
      </c>
      <c r="C670" s="81">
        <v>156.0</v>
      </c>
      <c r="D670" s="40">
        <v>4.52395475</v>
      </c>
      <c r="E670" s="41">
        <v>0.346153846</v>
      </c>
      <c r="F670" s="41">
        <v>0.185897436</v>
      </c>
      <c r="G670" s="41">
        <v>0.467948718</v>
      </c>
      <c r="H670" s="79">
        <f t="shared" si="1"/>
        <v>-0.121794872</v>
      </c>
      <c r="I670" s="42">
        <v>-5.359284104</v>
      </c>
    </row>
    <row r="671" hidden="1">
      <c r="A671" s="1" t="s">
        <v>1250</v>
      </c>
      <c r="B671" s="1">
        <v>663385.0</v>
      </c>
      <c r="C671" s="81">
        <v>248.0</v>
      </c>
      <c r="D671" s="40">
        <v>4.523487548</v>
      </c>
      <c r="E671" s="41">
        <v>0.346774194</v>
      </c>
      <c r="F671" s="41">
        <v>0.165322581</v>
      </c>
      <c r="G671" s="41">
        <v>0.487903226</v>
      </c>
      <c r="H671" s="79">
        <f t="shared" si="1"/>
        <v>-0.141129032</v>
      </c>
      <c r="I671" s="42">
        <v>-0.226741668</v>
      </c>
    </row>
    <row r="672" hidden="1">
      <c r="A672" s="1" t="s">
        <v>1251</v>
      </c>
      <c r="B672" s="1">
        <v>608328.0</v>
      </c>
      <c r="C672" s="81">
        <v>225.0</v>
      </c>
      <c r="D672" s="40">
        <v>4.517438458</v>
      </c>
      <c r="E672" s="41">
        <v>0.364444444</v>
      </c>
      <c r="F672" s="41">
        <v>0.16</v>
      </c>
      <c r="G672" s="41">
        <v>0.475555556</v>
      </c>
      <c r="H672" s="79">
        <f t="shared" si="1"/>
        <v>-0.111111112</v>
      </c>
      <c r="I672" s="42">
        <v>-5.750570406</v>
      </c>
    </row>
    <row r="673" hidden="1">
      <c r="A673" s="1" t="s">
        <v>1252</v>
      </c>
      <c r="B673" s="1">
        <v>660906.0</v>
      </c>
      <c r="C673" s="81">
        <v>306.0</v>
      </c>
      <c r="D673" s="40">
        <v>4.505659873</v>
      </c>
      <c r="E673" s="41">
        <v>0.316993464</v>
      </c>
      <c r="F673" s="41">
        <v>0.209150327</v>
      </c>
      <c r="G673" s="41">
        <v>0.473856209</v>
      </c>
      <c r="H673" s="79">
        <f t="shared" si="1"/>
        <v>-0.156862745</v>
      </c>
      <c r="I673" s="42">
        <v>0.838214237</v>
      </c>
    </row>
    <row r="674" hidden="1">
      <c r="A674" s="1" t="s">
        <v>1253</v>
      </c>
      <c r="B674" s="1">
        <v>596057.0</v>
      </c>
      <c r="C674" s="81">
        <v>255.0</v>
      </c>
      <c r="D674" s="40">
        <v>4.505172714</v>
      </c>
      <c r="E674" s="41">
        <v>0.356862745</v>
      </c>
      <c r="F674" s="41">
        <v>0.180392157</v>
      </c>
      <c r="G674" s="41">
        <v>0.462745098</v>
      </c>
      <c r="H674" s="79">
        <f t="shared" si="1"/>
        <v>-0.105882353</v>
      </c>
      <c r="I674" s="42">
        <v>3.575590028</v>
      </c>
    </row>
    <row r="675" hidden="1">
      <c r="A675" s="1" t="s">
        <v>1254</v>
      </c>
      <c r="B675" s="1">
        <v>518516.0</v>
      </c>
      <c r="C675" s="81">
        <v>346.0</v>
      </c>
      <c r="D675" s="40">
        <v>4.489980249</v>
      </c>
      <c r="E675" s="41">
        <v>0.369942197</v>
      </c>
      <c r="F675" s="41">
        <v>0.196531792</v>
      </c>
      <c r="G675" s="41">
        <v>0.433526012</v>
      </c>
      <c r="H675" s="79">
        <f t="shared" si="1"/>
        <v>-0.063583815</v>
      </c>
      <c r="I675" s="42">
        <v>-3.373428879</v>
      </c>
    </row>
    <row r="676" hidden="1">
      <c r="A676" s="1" t="s">
        <v>1255</v>
      </c>
      <c r="B676" s="1">
        <v>665896.0</v>
      </c>
      <c r="C676" s="81">
        <v>173.0</v>
      </c>
      <c r="D676" s="40">
        <v>4.467108358</v>
      </c>
      <c r="E676" s="41">
        <v>0.341040462</v>
      </c>
      <c r="F676" s="41">
        <v>0.202312139</v>
      </c>
      <c r="G676" s="41">
        <v>0.456647399</v>
      </c>
      <c r="H676" s="79">
        <f t="shared" si="1"/>
        <v>-0.115606937</v>
      </c>
      <c r="I676" s="42">
        <v>-3.257601576</v>
      </c>
    </row>
    <row r="677" hidden="1">
      <c r="A677" s="1" t="s">
        <v>1256</v>
      </c>
      <c r="B677" s="1">
        <v>544727.0</v>
      </c>
      <c r="C677" s="81">
        <v>255.0</v>
      </c>
      <c r="D677" s="40">
        <v>4.451327275</v>
      </c>
      <c r="E677" s="41">
        <v>0.325490196</v>
      </c>
      <c r="F677" s="41">
        <v>0.192156863</v>
      </c>
      <c r="G677" s="41">
        <v>0.482352941</v>
      </c>
      <c r="H677" s="79">
        <f t="shared" si="1"/>
        <v>-0.156862745</v>
      </c>
      <c r="I677" s="42">
        <v>3.0670727</v>
      </c>
    </row>
    <row r="678">
      <c r="A678" s="1" t="s">
        <v>1257</v>
      </c>
      <c r="B678" s="1">
        <v>453268.0</v>
      </c>
      <c r="C678" s="81">
        <v>921.0</v>
      </c>
      <c r="D678" s="40">
        <v>4.448382163</v>
      </c>
      <c r="E678" s="41">
        <v>0.386536374</v>
      </c>
      <c r="F678" s="41">
        <v>0.179153094</v>
      </c>
      <c r="G678" s="41">
        <v>0.434310532</v>
      </c>
      <c r="H678" s="79">
        <f t="shared" si="1"/>
        <v>-0.047774158</v>
      </c>
      <c r="I678" s="42">
        <v>20.48570754</v>
      </c>
    </row>
    <row r="679" hidden="1">
      <c r="A679" s="1" t="s">
        <v>1258</v>
      </c>
      <c r="B679" s="1">
        <v>622259.0</v>
      </c>
      <c r="C679" s="81">
        <v>309.0</v>
      </c>
      <c r="D679" s="40">
        <v>4.445471528</v>
      </c>
      <c r="E679" s="41">
        <v>0.330097087</v>
      </c>
      <c r="F679" s="41">
        <v>0.207119741</v>
      </c>
      <c r="G679" s="41">
        <v>0.462783172</v>
      </c>
      <c r="H679" s="79">
        <f t="shared" si="1"/>
        <v>-0.132686085</v>
      </c>
      <c r="I679" s="42">
        <v>-1.08349259</v>
      </c>
    </row>
    <row r="680" hidden="1">
      <c r="A680" s="1" t="s">
        <v>1259</v>
      </c>
      <c r="B680" s="1">
        <v>656981.0</v>
      </c>
      <c r="C680" s="81">
        <v>235.0</v>
      </c>
      <c r="D680" s="40">
        <v>4.445390502</v>
      </c>
      <c r="E680" s="41">
        <v>0.340425532</v>
      </c>
      <c r="F680" s="41">
        <v>0.153191489</v>
      </c>
      <c r="G680" s="41">
        <v>0.506382979</v>
      </c>
      <c r="H680" s="79">
        <f t="shared" si="1"/>
        <v>-0.165957447</v>
      </c>
      <c r="I680" s="42">
        <v>-3.969827545</v>
      </c>
    </row>
    <row r="681">
      <c r="A681" s="1" t="s">
        <v>1260</v>
      </c>
      <c r="B681" s="1">
        <v>659275.0</v>
      </c>
      <c r="C681" s="81">
        <v>603.0</v>
      </c>
      <c r="D681" s="40">
        <v>4.414171771</v>
      </c>
      <c r="E681" s="41">
        <v>0.341625207</v>
      </c>
      <c r="F681" s="41">
        <v>0.154228856</v>
      </c>
      <c r="G681" s="41">
        <v>0.504145937</v>
      </c>
      <c r="H681" s="79">
        <f t="shared" si="1"/>
        <v>-0.16252073</v>
      </c>
      <c r="I681" s="42">
        <v>-6.871972469</v>
      </c>
    </row>
    <row r="682" hidden="1">
      <c r="A682" s="1" t="s">
        <v>1261</v>
      </c>
      <c r="B682" s="1">
        <v>687145.0</v>
      </c>
      <c r="C682" s="81">
        <v>168.0</v>
      </c>
      <c r="D682" s="40">
        <v>4.367556857</v>
      </c>
      <c r="E682" s="41">
        <v>0.339285714</v>
      </c>
      <c r="F682" s="41">
        <v>0.18452381</v>
      </c>
      <c r="G682" s="41">
        <v>0.476190476</v>
      </c>
      <c r="H682" s="79">
        <f t="shared" si="1"/>
        <v>-0.136904762</v>
      </c>
      <c r="I682" s="42">
        <v>-6.322118714</v>
      </c>
    </row>
    <row r="683" hidden="1">
      <c r="A683" s="1" t="s">
        <v>1262</v>
      </c>
      <c r="B683" s="1">
        <v>656382.0</v>
      </c>
      <c r="C683" s="81">
        <v>350.0</v>
      </c>
      <c r="D683" s="40">
        <v>4.354195209</v>
      </c>
      <c r="E683" s="41">
        <v>0.274285714</v>
      </c>
      <c r="F683" s="41">
        <v>0.208571429</v>
      </c>
      <c r="G683" s="41">
        <v>0.517142857</v>
      </c>
      <c r="H683" s="79">
        <f t="shared" si="1"/>
        <v>-0.242857143</v>
      </c>
      <c r="I683" s="42">
        <v>-0.275934183</v>
      </c>
    </row>
    <row r="684">
      <c r="C684" s="82"/>
      <c r="D684" s="40"/>
      <c r="E684" s="79"/>
      <c r="F684" s="79"/>
      <c r="G684" s="79"/>
      <c r="H684" s="79"/>
      <c r="I684" s="83"/>
    </row>
    <row r="685">
      <c r="C685" s="82"/>
      <c r="D685" s="40"/>
      <c r="E685" s="79"/>
      <c r="F685" s="79"/>
      <c r="G685" s="79"/>
      <c r="H685" s="79"/>
      <c r="I685" s="83"/>
    </row>
    <row r="686">
      <c r="C686" s="82"/>
      <c r="D686" s="40"/>
      <c r="E686" s="79"/>
      <c r="F686" s="79"/>
      <c r="G686" s="79"/>
      <c r="H686" s="79"/>
      <c r="I686" s="83"/>
    </row>
    <row r="687">
      <c r="C687" s="82"/>
      <c r="D687" s="40"/>
      <c r="E687" s="79"/>
      <c r="F687" s="79"/>
      <c r="G687" s="79"/>
      <c r="H687" s="79"/>
      <c r="I687" s="83"/>
    </row>
    <row r="688">
      <c r="C688" s="82"/>
      <c r="D688" s="40"/>
      <c r="E688" s="79"/>
      <c r="F688" s="79"/>
      <c r="G688" s="79"/>
      <c r="H688" s="79"/>
      <c r="I688" s="83"/>
    </row>
    <row r="689">
      <c r="C689" s="82"/>
      <c r="D689" s="40"/>
      <c r="E689" s="79"/>
      <c r="F689" s="79"/>
      <c r="G689" s="79"/>
      <c r="H689" s="79"/>
      <c r="I689" s="83"/>
    </row>
    <row r="690">
      <c r="C690" s="82"/>
      <c r="D690" s="40"/>
      <c r="E690" s="79"/>
      <c r="F690" s="79"/>
      <c r="G690" s="79"/>
      <c r="H690" s="79"/>
      <c r="I690" s="83"/>
    </row>
    <row r="691">
      <c r="C691" s="82"/>
      <c r="D691" s="40"/>
      <c r="E691" s="79"/>
      <c r="F691" s="79"/>
      <c r="G691" s="79"/>
      <c r="H691" s="79"/>
      <c r="I691" s="83"/>
    </row>
    <row r="692">
      <c r="C692" s="82"/>
      <c r="D692" s="40"/>
      <c r="E692" s="79"/>
      <c r="F692" s="79"/>
      <c r="G692" s="79"/>
      <c r="H692" s="79"/>
      <c r="I692" s="83"/>
    </row>
    <row r="693">
      <c r="C693" s="82"/>
      <c r="D693" s="40"/>
      <c r="E693" s="79"/>
      <c r="F693" s="79"/>
      <c r="G693" s="79"/>
      <c r="H693" s="79"/>
      <c r="I693" s="83"/>
    </row>
    <row r="694">
      <c r="C694" s="82"/>
      <c r="D694" s="40"/>
      <c r="E694" s="79"/>
      <c r="F694" s="79"/>
      <c r="G694" s="79"/>
      <c r="H694" s="79"/>
      <c r="I694" s="83"/>
    </row>
    <row r="695">
      <c r="C695" s="82"/>
      <c r="D695" s="40"/>
      <c r="E695" s="79"/>
      <c r="F695" s="79"/>
      <c r="G695" s="79"/>
      <c r="H695" s="79"/>
      <c r="I695" s="83"/>
    </row>
    <row r="696">
      <c r="C696" s="82"/>
      <c r="D696" s="40"/>
      <c r="E696" s="79"/>
      <c r="F696" s="79"/>
      <c r="G696" s="79"/>
      <c r="H696" s="79"/>
      <c r="I696" s="83"/>
    </row>
    <row r="697">
      <c r="C697" s="82"/>
      <c r="D697" s="40"/>
      <c r="E697" s="79"/>
      <c r="F697" s="79"/>
      <c r="G697" s="79"/>
      <c r="H697" s="79"/>
      <c r="I697" s="83"/>
    </row>
    <row r="698">
      <c r="C698" s="82"/>
      <c r="D698" s="40"/>
      <c r="E698" s="79"/>
      <c r="F698" s="79"/>
      <c r="G698" s="79"/>
      <c r="H698" s="79"/>
      <c r="I698" s="83"/>
    </row>
    <row r="699">
      <c r="C699" s="82"/>
      <c r="D699" s="40"/>
      <c r="E699" s="79"/>
      <c r="F699" s="79"/>
      <c r="G699" s="79"/>
      <c r="H699" s="79"/>
      <c r="I699" s="83"/>
    </row>
    <row r="700">
      <c r="C700" s="82"/>
      <c r="D700" s="40"/>
      <c r="E700" s="79"/>
      <c r="F700" s="79"/>
      <c r="G700" s="79"/>
      <c r="H700" s="79"/>
      <c r="I700" s="83"/>
    </row>
    <row r="701">
      <c r="C701" s="82"/>
      <c r="D701" s="40"/>
      <c r="E701" s="79"/>
      <c r="F701" s="79"/>
      <c r="G701" s="79"/>
      <c r="H701" s="79"/>
      <c r="I701" s="83"/>
    </row>
    <row r="702">
      <c r="C702" s="82"/>
      <c r="D702" s="40"/>
      <c r="E702" s="79"/>
      <c r="F702" s="79"/>
      <c r="G702" s="79"/>
      <c r="H702" s="79"/>
      <c r="I702" s="83"/>
    </row>
    <row r="703">
      <c r="C703" s="82"/>
      <c r="D703" s="40"/>
      <c r="E703" s="79"/>
      <c r="F703" s="79"/>
      <c r="G703" s="79"/>
      <c r="H703" s="79"/>
      <c r="I703" s="83"/>
    </row>
    <row r="704">
      <c r="C704" s="82"/>
      <c r="D704" s="40"/>
      <c r="E704" s="79"/>
      <c r="F704" s="79"/>
      <c r="G704" s="79"/>
      <c r="H704" s="79"/>
      <c r="I704" s="83"/>
    </row>
    <row r="705">
      <c r="C705" s="82"/>
      <c r="D705" s="40"/>
      <c r="E705" s="79"/>
      <c r="F705" s="79"/>
      <c r="G705" s="79"/>
      <c r="H705" s="79"/>
      <c r="I705" s="83"/>
    </row>
    <row r="706">
      <c r="C706" s="82"/>
      <c r="D706" s="40"/>
      <c r="E706" s="79"/>
      <c r="F706" s="79"/>
      <c r="G706" s="79"/>
      <c r="H706" s="79"/>
      <c r="I706" s="83"/>
    </row>
    <row r="707">
      <c r="C707" s="82"/>
      <c r="D707" s="40"/>
      <c r="E707" s="79"/>
      <c r="F707" s="79"/>
      <c r="G707" s="79"/>
      <c r="H707" s="79"/>
      <c r="I707" s="83"/>
    </row>
    <row r="708">
      <c r="C708" s="82"/>
      <c r="D708" s="40"/>
      <c r="E708" s="79"/>
      <c r="F708" s="79"/>
      <c r="G708" s="79"/>
      <c r="H708" s="79"/>
      <c r="I708" s="83"/>
    </row>
    <row r="709">
      <c r="C709" s="82"/>
      <c r="D709" s="40"/>
      <c r="E709" s="79"/>
      <c r="F709" s="79"/>
      <c r="G709" s="79"/>
      <c r="H709" s="79"/>
      <c r="I709" s="83"/>
    </row>
    <row r="710">
      <c r="C710" s="82"/>
      <c r="D710" s="40"/>
      <c r="E710" s="79"/>
      <c r="F710" s="79"/>
      <c r="G710" s="79"/>
      <c r="H710" s="79"/>
      <c r="I710" s="83"/>
    </row>
    <row r="711">
      <c r="C711" s="82"/>
      <c r="D711" s="40"/>
      <c r="E711" s="79"/>
      <c r="F711" s="79"/>
      <c r="G711" s="79"/>
      <c r="H711" s="79"/>
      <c r="I711" s="83"/>
    </row>
    <row r="712">
      <c r="C712" s="82"/>
      <c r="D712" s="40"/>
      <c r="E712" s="79"/>
      <c r="F712" s="79"/>
      <c r="G712" s="79"/>
      <c r="H712" s="79"/>
      <c r="I712" s="83"/>
    </row>
    <row r="713">
      <c r="C713" s="82"/>
      <c r="D713" s="40"/>
      <c r="E713" s="79"/>
      <c r="F713" s="79"/>
      <c r="G713" s="79"/>
      <c r="H713" s="79"/>
      <c r="I713" s="83"/>
    </row>
    <row r="714">
      <c r="C714" s="82"/>
      <c r="D714" s="40"/>
      <c r="E714" s="79"/>
      <c r="F714" s="79"/>
      <c r="G714" s="79"/>
      <c r="H714" s="79"/>
      <c r="I714" s="83"/>
    </row>
    <row r="715">
      <c r="C715" s="82"/>
      <c r="D715" s="40"/>
      <c r="E715" s="79"/>
      <c r="F715" s="79"/>
      <c r="G715" s="79"/>
      <c r="H715" s="79"/>
      <c r="I715" s="83"/>
    </row>
    <row r="716">
      <c r="C716" s="82"/>
      <c r="D716" s="40"/>
      <c r="E716" s="79"/>
      <c r="F716" s="79"/>
      <c r="G716" s="79"/>
      <c r="H716" s="79"/>
      <c r="I716" s="83"/>
    </row>
    <row r="717">
      <c r="C717" s="82"/>
      <c r="D717" s="40"/>
      <c r="E717" s="79"/>
      <c r="F717" s="79"/>
      <c r="G717" s="79"/>
      <c r="H717" s="79"/>
      <c r="I717" s="83"/>
    </row>
    <row r="718">
      <c r="C718" s="82"/>
      <c r="D718" s="40"/>
      <c r="E718" s="79"/>
      <c r="F718" s="79"/>
      <c r="G718" s="79"/>
      <c r="H718" s="79"/>
      <c r="I718" s="83"/>
    </row>
    <row r="719">
      <c r="C719" s="82"/>
      <c r="D719" s="40"/>
      <c r="E719" s="79"/>
      <c r="F719" s="79"/>
      <c r="G719" s="79"/>
      <c r="H719" s="79"/>
      <c r="I719" s="83"/>
    </row>
    <row r="720">
      <c r="C720" s="82"/>
      <c r="D720" s="40"/>
      <c r="E720" s="79"/>
      <c r="F720" s="79"/>
      <c r="G720" s="79"/>
      <c r="H720" s="79"/>
      <c r="I720" s="83"/>
    </row>
    <row r="721">
      <c r="C721" s="82"/>
      <c r="D721" s="40"/>
      <c r="E721" s="79"/>
      <c r="F721" s="79"/>
      <c r="G721" s="79"/>
      <c r="H721" s="79"/>
      <c r="I721" s="83"/>
    </row>
    <row r="722">
      <c r="C722" s="82"/>
      <c r="D722" s="40"/>
      <c r="E722" s="79"/>
      <c r="F722" s="79"/>
      <c r="G722" s="79"/>
      <c r="H722" s="79"/>
      <c r="I722" s="83"/>
    </row>
    <row r="723">
      <c r="C723" s="82"/>
      <c r="D723" s="40"/>
      <c r="E723" s="79"/>
      <c r="F723" s="79"/>
      <c r="G723" s="79"/>
      <c r="H723" s="79"/>
      <c r="I723" s="83"/>
    </row>
    <row r="724">
      <c r="C724" s="82"/>
      <c r="D724" s="40"/>
      <c r="E724" s="79"/>
      <c r="F724" s="79"/>
      <c r="G724" s="79"/>
      <c r="H724" s="79"/>
      <c r="I724" s="83"/>
    </row>
    <row r="725">
      <c r="C725" s="82"/>
      <c r="D725" s="40"/>
      <c r="E725" s="79"/>
      <c r="F725" s="79"/>
      <c r="G725" s="79"/>
      <c r="H725" s="79"/>
      <c r="I725" s="83"/>
    </row>
    <row r="726">
      <c r="C726" s="82"/>
      <c r="D726" s="40"/>
      <c r="E726" s="79"/>
      <c r="F726" s="79"/>
      <c r="G726" s="79"/>
      <c r="H726" s="79"/>
      <c r="I726" s="83"/>
    </row>
    <row r="727">
      <c r="C727" s="82"/>
      <c r="D727" s="40"/>
      <c r="E727" s="79"/>
      <c r="F727" s="79"/>
      <c r="G727" s="79"/>
      <c r="H727" s="79"/>
      <c r="I727" s="83"/>
    </row>
    <row r="728">
      <c r="C728" s="82"/>
      <c r="D728" s="40"/>
      <c r="E728" s="79"/>
      <c r="F728" s="79"/>
      <c r="G728" s="79"/>
      <c r="H728" s="79"/>
      <c r="I728" s="83"/>
    </row>
    <row r="729">
      <c r="C729" s="82"/>
      <c r="D729" s="40"/>
      <c r="E729" s="79"/>
      <c r="F729" s="79"/>
      <c r="G729" s="79"/>
      <c r="H729" s="79"/>
      <c r="I729" s="83"/>
    </row>
    <row r="730">
      <c r="C730" s="82"/>
      <c r="D730" s="40"/>
      <c r="E730" s="79"/>
      <c r="F730" s="79"/>
      <c r="G730" s="79"/>
      <c r="H730" s="79"/>
      <c r="I730" s="83"/>
    </row>
    <row r="731">
      <c r="C731" s="82"/>
      <c r="D731" s="40"/>
      <c r="E731" s="79"/>
      <c r="F731" s="79"/>
      <c r="G731" s="79"/>
      <c r="H731" s="79"/>
      <c r="I731" s="83"/>
    </row>
    <row r="732">
      <c r="C732" s="82"/>
      <c r="D732" s="40"/>
      <c r="E732" s="79"/>
      <c r="F732" s="79"/>
      <c r="G732" s="79"/>
      <c r="H732" s="79"/>
      <c r="I732" s="83"/>
    </row>
    <row r="733">
      <c r="C733" s="82"/>
      <c r="D733" s="40"/>
      <c r="E733" s="79"/>
      <c r="F733" s="79"/>
      <c r="G733" s="79"/>
      <c r="H733" s="79"/>
      <c r="I733" s="83"/>
    </row>
    <row r="734">
      <c r="C734" s="82"/>
      <c r="D734" s="40"/>
      <c r="E734" s="79"/>
      <c r="F734" s="79"/>
      <c r="G734" s="79"/>
      <c r="H734" s="79"/>
      <c r="I734" s="83"/>
    </row>
    <row r="735">
      <c r="C735" s="82"/>
      <c r="D735" s="40"/>
      <c r="E735" s="79"/>
      <c r="F735" s="79"/>
      <c r="G735" s="79"/>
      <c r="H735" s="79"/>
      <c r="I735" s="83"/>
    </row>
    <row r="736">
      <c r="C736" s="82"/>
      <c r="D736" s="40"/>
      <c r="E736" s="79"/>
      <c r="F736" s="79"/>
      <c r="G736" s="79"/>
      <c r="H736" s="79"/>
      <c r="I736" s="83"/>
    </row>
    <row r="737">
      <c r="C737" s="82"/>
      <c r="D737" s="40"/>
      <c r="E737" s="79"/>
      <c r="F737" s="79"/>
      <c r="G737" s="79"/>
      <c r="H737" s="79"/>
      <c r="I737" s="83"/>
    </row>
    <row r="738">
      <c r="C738" s="82"/>
      <c r="D738" s="40"/>
      <c r="E738" s="79"/>
      <c r="F738" s="79"/>
      <c r="G738" s="79"/>
      <c r="H738" s="79"/>
      <c r="I738" s="83"/>
    </row>
    <row r="739">
      <c r="C739" s="82"/>
      <c r="D739" s="40"/>
      <c r="E739" s="79"/>
      <c r="F739" s="79"/>
      <c r="G739" s="79"/>
      <c r="H739" s="79"/>
      <c r="I739" s="83"/>
    </row>
    <row r="740">
      <c r="C740" s="82"/>
      <c r="D740" s="40"/>
      <c r="E740" s="79"/>
      <c r="F740" s="79"/>
      <c r="G740" s="79"/>
      <c r="H740" s="79"/>
      <c r="I740" s="83"/>
    </row>
    <row r="741">
      <c r="C741" s="82"/>
      <c r="D741" s="40"/>
      <c r="E741" s="79"/>
      <c r="F741" s="79"/>
      <c r="G741" s="79"/>
      <c r="H741" s="79"/>
      <c r="I741" s="83"/>
    </row>
    <row r="742">
      <c r="C742" s="82"/>
      <c r="D742" s="40"/>
      <c r="E742" s="79"/>
      <c r="F742" s="79"/>
      <c r="G742" s="79"/>
      <c r="H742" s="79"/>
      <c r="I742" s="83"/>
    </row>
    <row r="743">
      <c r="C743" s="82"/>
      <c r="D743" s="40"/>
      <c r="E743" s="79"/>
      <c r="F743" s="79"/>
      <c r="G743" s="79"/>
      <c r="H743" s="79"/>
      <c r="I743" s="83"/>
    </row>
    <row r="744">
      <c r="C744" s="82"/>
      <c r="D744" s="40"/>
      <c r="E744" s="79"/>
      <c r="F744" s="79"/>
      <c r="G744" s="79"/>
      <c r="H744" s="79"/>
      <c r="I744" s="83"/>
    </row>
    <row r="745">
      <c r="C745" s="82"/>
      <c r="D745" s="40"/>
      <c r="E745" s="79"/>
      <c r="F745" s="79"/>
      <c r="G745" s="79"/>
      <c r="H745" s="79"/>
      <c r="I745" s="83"/>
    </row>
    <row r="746">
      <c r="C746" s="82"/>
      <c r="D746" s="40"/>
      <c r="E746" s="79"/>
      <c r="F746" s="79"/>
      <c r="G746" s="79"/>
      <c r="H746" s="79"/>
      <c r="I746" s="83"/>
    </row>
    <row r="747">
      <c r="C747" s="82"/>
      <c r="D747" s="40"/>
      <c r="E747" s="79"/>
      <c r="F747" s="79"/>
      <c r="G747" s="79"/>
      <c r="H747" s="79"/>
      <c r="I747" s="83"/>
    </row>
    <row r="748">
      <c r="C748" s="82"/>
      <c r="D748" s="40"/>
      <c r="E748" s="79"/>
      <c r="F748" s="79"/>
      <c r="G748" s="79"/>
      <c r="H748" s="79"/>
      <c r="I748" s="83"/>
    </row>
    <row r="749">
      <c r="C749" s="82"/>
      <c r="D749" s="40"/>
      <c r="E749" s="79"/>
      <c r="F749" s="79"/>
      <c r="G749" s="79"/>
      <c r="H749" s="79"/>
      <c r="I749" s="83"/>
    </row>
    <row r="750">
      <c r="C750" s="82"/>
      <c r="D750" s="40"/>
      <c r="E750" s="79"/>
      <c r="F750" s="79"/>
      <c r="G750" s="79"/>
      <c r="H750" s="79"/>
      <c r="I750" s="83"/>
    </row>
    <row r="751">
      <c r="C751" s="82"/>
      <c r="D751" s="40"/>
      <c r="E751" s="79"/>
      <c r="F751" s="79"/>
      <c r="G751" s="79"/>
      <c r="H751" s="79"/>
      <c r="I751" s="83"/>
    </row>
    <row r="752">
      <c r="C752" s="82"/>
      <c r="D752" s="40"/>
      <c r="E752" s="79"/>
      <c r="F752" s="79"/>
      <c r="G752" s="79"/>
      <c r="H752" s="79"/>
      <c r="I752" s="83"/>
    </row>
    <row r="753">
      <c r="C753" s="82"/>
      <c r="D753" s="40"/>
      <c r="E753" s="79"/>
      <c r="F753" s="79"/>
      <c r="G753" s="79"/>
      <c r="H753" s="79"/>
      <c r="I753" s="83"/>
    </row>
    <row r="754">
      <c r="C754" s="82"/>
      <c r="D754" s="40"/>
      <c r="E754" s="79"/>
      <c r="F754" s="79"/>
      <c r="G754" s="79"/>
      <c r="H754" s="79"/>
      <c r="I754" s="83"/>
    </row>
    <row r="755">
      <c r="C755" s="82"/>
      <c r="D755" s="40"/>
      <c r="E755" s="79"/>
      <c r="F755" s="79"/>
      <c r="G755" s="79"/>
      <c r="H755" s="79"/>
      <c r="I755" s="83"/>
    </row>
    <row r="756">
      <c r="C756" s="82"/>
      <c r="D756" s="40"/>
      <c r="E756" s="79"/>
      <c r="F756" s="79"/>
      <c r="G756" s="79"/>
      <c r="H756" s="79"/>
      <c r="I756" s="83"/>
    </row>
    <row r="757">
      <c r="C757" s="82"/>
      <c r="D757" s="40"/>
      <c r="E757" s="79"/>
      <c r="F757" s="79"/>
      <c r="G757" s="79"/>
      <c r="H757" s="79"/>
      <c r="I757" s="83"/>
    </row>
    <row r="758">
      <c r="C758" s="82"/>
      <c r="D758" s="40"/>
      <c r="E758" s="79"/>
      <c r="F758" s="79"/>
      <c r="G758" s="79"/>
      <c r="H758" s="79"/>
      <c r="I758" s="83"/>
    </row>
    <row r="759">
      <c r="C759" s="82"/>
      <c r="D759" s="40"/>
      <c r="E759" s="79"/>
      <c r="F759" s="79"/>
      <c r="G759" s="79"/>
      <c r="H759" s="79"/>
      <c r="I759" s="83"/>
    </row>
    <row r="760">
      <c r="C760" s="82"/>
      <c r="D760" s="40"/>
      <c r="E760" s="79"/>
      <c r="F760" s="79"/>
      <c r="G760" s="79"/>
      <c r="H760" s="79"/>
      <c r="I760" s="83"/>
    </row>
    <row r="761">
      <c r="C761" s="82"/>
      <c r="D761" s="40"/>
      <c r="E761" s="79"/>
      <c r="F761" s="79"/>
      <c r="G761" s="79"/>
      <c r="H761" s="79"/>
      <c r="I761" s="83"/>
    </row>
    <row r="762">
      <c r="C762" s="82"/>
      <c r="D762" s="40"/>
      <c r="E762" s="79"/>
      <c r="F762" s="79"/>
      <c r="G762" s="79"/>
      <c r="H762" s="79"/>
      <c r="I762" s="83"/>
    </row>
    <row r="763">
      <c r="C763" s="82"/>
      <c r="D763" s="40"/>
      <c r="E763" s="79"/>
      <c r="F763" s="79"/>
      <c r="G763" s="79"/>
      <c r="H763" s="79"/>
      <c r="I763" s="83"/>
    </row>
    <row r="764">
      <c r="C764" s="82"/>
      <c r="D764" s="40"/>
      <c r="E764" s="79"/>
      <c r="F764" s="79"/>
      <c r="G764" s="79"/>
      <c r="H764" s="79"/>
      <c r="I764" s="83"/>
    </row>
    <row r="765">
      <c r="C765" s="82"/>
      <c r="D765" s="40"/>
      <c r="E765" s="79"/>
      <c r="F765" s="79"/>
      <c r="G765" s="79"/>
      <c r="H765" s="79"/>
      <c r="I765" s="83"/>
    </row>
    <row r="766">
      <c r="C766" s="82"/>
      <c r="D766" s="40"/>
      <c r="E766" s="79"/>
      <c r="F766" s="79"/>
      <c r="G766" s="79"/>
      <c r="H766" s="79"/>
      <c r="I766" s="83"/>
    </row>
    <row r="767">
      <c r="C767" s="82"/>
      <c r="D767" s="40"/>
      <c r="E767" s="79"/>
      <c r="F767" s="79"/>
      <c r="G767" s="79"/>
      <c r="H767" s="79"/>
      <c r="I767" s="83"/>
    </row>
    <row r="768">
      <c r="C768" s="82"/>
      <c r="D768" s="40"/>
      <c r="E768" s="79"/>
      <c r="F768" s="79"/>
      <c r="G768" s="79"/>
      <c r="H768" s="79"/>
      <c r="I768" s="83"/>
    </row>
    <row r="769">
      <c r="C769" s="82"/>
      <c r="D769" s="40"/>
      <c r="E769" s="79"/>
      <c r="F769" s="79"/>
      <c r="G769" s="79"/>
      <c r="H769" s="79"/>
      <c r="I769" s="83"/>
    </row>
    <row r="770">
      <c r="C770" s="82"/>
      <c r="D770" s="40"/>
      <c r="E770" s="79"/>
      <c r="F770" s="79"/>
      <c r="G770" s="79"/>
      <c r="H770" s="79"/>
      <c r="I770" s="83"/>
    </row>
    <row r="771">
      <c r="C771" s="82"/>
      <c r="D771" s="40"/>
      <c r="E771" s="79"/>
      <c r="F771" s="79"/>
      <c r="G771" s="79"/>
      <c r="H771" s="79"/>
      <c r="I771" s="83"/>
    </row>
    <row r="772">
      <c r="C772" s="82"/>
      <c r="D772" s="40"/>
      <c r="E772" s="79"/>
      <c r="F772" s="79"/>
      <c r="G772" s="79"/>
      <c r="H772" s="79"/>
      <c r="I772" s="83"/>
    </row>
    <row r="773">
      <c r="C773" s="82"/>
      <c r="D773" s="40"/>
      <c r="E773" s="79"/>
      <c r="F773" s="79"/>
      <c r="G773" s="79"/>
      <c r="H773" s="79"/>
      <c r="I773" s="83"/>
    </row>
    <row r="774">
      <c r="C774" s="82"/>
      <c r="D774" s="40"/>
      <c r="E774" s="79"/>
      <c r="F774" s="79"/>
      <c r="G774" s="79"/>
      <c r="H774" s="79"/>
      <c r="I774" s="83"/>
    </row>
    <row r="775">
      <c r="C775" s="82"/>
      <c r="D775" s="40"/>
      <c r="E775" s="79"/>
      <c r="F775" s="79"/>
      <c r="G775" s="79"/>
      <c r="H775" s="79"/>
      <c r="I775" s="83"/>
    </row>
    <row r="776">
      <c r="C776" s="82"/>
      <c r="D776" s="40"/>
      <c r="E776" s="79"/>
      <c r="F776" s="79"/>
      <c r="G776" s="79"/>
      <c r="H776" s="79"/>
      <c r="I776" s="83"/>
    </row>
    <row r="777">
      <c r="C777" s="82"/>
      <c r="D777" s="40"/>
      <c r="E777" s="79"/>
      <c r="F777" s="79"/>
      <c r="G777" s="79"/>
      <c r="H777" s="79"/>
      <c r="I777" s="83"/>
    </row>
    <row r="778">
      <c r="C778" s="82"/>
      <c r="D778" s="40"/>
      <c r="E778" s="79"/>
      <c r="F778" s="79"/>
      <c r="G778" s="79"/>
      <c r="H778" s="79"/>
      <c r="I778" s="83"/>
    </row>
    <row r="779">
      <c r="C779" s="82"/>
      <c r="D779" s="40"/>
      <c r="E779" s="79"/>
      <c r="F779" s="79"/>
      <c r="G779" s="79"/>
      <c r="H779" s="79"/>
      <c r="I779" s="83"/>
    </row>
    <row r="780">
      <c r="C780" s="82"/>
      <c r="D780" s="40"/>
      <c r="E780" s="79"/>
      <c r="F780" s="79"/>
      <c r="G780" s="79"/>
      <c r="H780" s="79"/>
      <c r="I780" s="83"/>
    </row>
    <row r="781">
      <c r="C781" s="82"/>
      <c r="D781" s="40"/>
      <c r="E781" s="79"/>
      <c r="F781" s="79"/>
      <c r="G781" s="79"/>
      <c r="H781" s="79"/>
      <c r="I781" s="83"/>
    </row>
    <row r="782">
      <c r="C782" s="82"/>
      <c r="D782" s="40"/>
      <c r="E782" s="79"/>
      <c r="F782" s="79"/>
      <c r="G782" s="79"/>
      <c r="H782" s="79"/>
      <c r="I782" s="83"/>
    </row>
    <row r="783">
      <c r="C783" s="82"/>
      <c r="D783" s="40"/>
      <c r="E783" s="79"/>
      <c r="F783" s="79"/>
      <c r="G783" s="79"/>
      <c r="H783" s="79"/>
      <c r="I783" s="83"/>
    </row>
    <row r="784">
      <c r="C784" s="82"/>
      <c r="D784" s="40"/>
      <c r="E784" s="79"/>
      <c r="F784" s="79"/>
      <c r="G784" s="79"/>
      <c r="H784" s="79"/>
      <c r="I784" s="83"/>
    </row>
    <row r="785">
      <c r="C785" s="82"/>
      <c r="D785" s="40"/>
      <c r="E785" s="79"/>
      <c r="F785" s="79"/>
      <c r="G785" s="79"/>
      <c r="H785" s="79"/>
      <c r="I785" s="83"/>
    </row>
    <row r="786">
      <c r="C786" s="82"/>
      <c r="D786" s="40"/>
      <c r="E786" s="79"/>
      <c r="F786" s="79"/>
      <c r="G786" s="79"/>
      <c r="H786" s="79"/>
      <c r="I786" s="83"/>
    </row>
    <row r="787">
      <c r="C787" s="82"/>
      <c r="D787" s="40"/>
      <c r="E787" s="79"/>
      <c r="F787" s="79"/>
      <c r="G787" s="79"/>
      <c r="H787" s="79"/>
      <c r="I787" s="83"/>
    </row>
    <row r="788">
      <c r="C788" s="82"/>
      <c r="D788" s="40"/>
      <c r="E788" s="79"/>
      <c r="F788" s="79"/>
      <c r="G788" s="79"/>
      <c r="H788" s="79"/>
      <c r="I788" s="83"/>
    </row>
    <row r="789">
      <c r="C789" s="82"/>
      <c r="D789" s="40"/>
      <c r="E789" s="79"/>
      <c r="F789" s="79"/>
      <c r="G789" s="79"/>
      <c r="H789" s="79"/>
      <c r="I789" s="83"/>
    </row>
    <row r="790">
      <c r="C790" s="82"/>
      <c r="D790" s="40"/>
      <c r="E790" s="79"/>
      <c r="F790" s="79"/>
      <c r="G790" s="79"/>
      <c r="H790" s="79"/>
      <c r="I790" s="83"/>
    </row>
    <row r="791">
      <c r="C791" s="82"/>
      <c r="D791" s="40"/>
      <c r="E791" s="79"/>
      <c r="F791" s="79"/>
      <c r="G791" s="79"/>
      <c r="H791" s="79"/>
      <c r="I791" s="83"/>
    </row>
    <row r="792">
      <c r="C792" s="82"/>
      <c r="D792" s="40"/>
      <c r="E792" s="79"/>
      <c r="F792" s="79"/>
      <c r="G792" s="79"/>
      <c r="H792" s="79"/>
      <c r="I792" s="83"/>
    </row>
    <row r="793">
      <c r="C793" s="82"/>
      <c r="D793" s="40"/>
      <c r="E793" s="79"/>
      <c r="F793" s="79"/>
      <c r="G793" s="79"/>
      <c r="H793" s="79"/>
      <c r="I793" s="83"/>
    </row>
    <row r="794">
      <c r="C794" s="82"/>
      <c r="D794" s="40"/>
      <c r="E794" s="79"/>
      <c r="F794" s="79"/>
      <c r="G794" s="79"/>
      <c r="H794" s="79"/>
      <c r="I794" s="83"/>
    </row>
    <row r="795">
      <c r="C795" s="82"/>
      <c r="D795" s="40"/>
      <c r="E795" s="79"/>
      <c r="F795" s="79"/>
      <c r="G795" s="79"/>
      <c r="H795" s="79"/>
      <c r="I795" s="83"/>
    </row>
    <row r="796">
      <c r="C796" s="82"/>
      <c r="D796" s="40"/>
      <c r="E796" s="79"/>
      <c r="F796" s="79"/>
      <c r="G796" s="79"/>
      <c r="H796" s="79"/>
      <c r="I796" s="83"/>
    </row>
    <row r="797">
      <c r="C797" s="82"/>
      <c r="D797" s="40"/>
      <c r="E797" s="79"/>
      <c r="F797" s="79"/>
      <c r="G797" s="79"/>
      <c r="H797" s="79"/>
      <c r="I797" s="83"/>
    </row>
    <row r="798">
      <c r="C798" s="82"/>
      <c r="D798" s="40"/>
      <c r="E798" s="79"/>
      <c r="F798" s="79"/>
      <c r="G798" s="79"/>
      <c r="H798" s="79"/>
      <c r="I798" s="83"/>
    </row>
    <row r="799">
      <c r="C799" s="82"/>
      <c r="D799" s="40"/>
      <c r="E799" s="79"/>
      <c r="F799" s="79"/>
      <c r="G799" s="79"/>
      <c r="H799" s="79"/>
      <c r="I799" s="83"/>
    </row>
    <row r="800">
      <c r="C800" s="82"/>
      <c r="D800" s="40"/>
      <c r="E800" s="79"/>
      <c r="F800" s="79"/>
      <c r="G800" s="79"/>
      <c r="H800" s="79"/>
      <c r="I800" s="83"/>
    </row>
    <row r="801">
      <c r="C801" s="82"/>
      <c r="D801" s="40"/>
      <c r="E801" s="79"/>
      <c r="F801" s="79"/>
      <c r="G801" s="79"/>
      <c r="H801" s="79"/>
      <c r="I801" s="83"/>
    </row>
    <row r="802">
      <c r="C802" s="82"/>
      <c r="D802" s="40"/>
      <c r="E802" s="79"/>
      <c r="F802" s="79"/>
      <c r="G802" s="79"/>
      <c r="H802" s="79"/>
      <c r="I802" s="83"/>
    </row>
    <row r="803">
      <c r="C803" s="82"/>
      <c r="D803" s="40"/>
      <c r="E803" s="79"/>
      <c r="F803" s="79"/>
      <c r="G803" s="79"/>
      <c r="H803" s="79"/>
      <c r="I803" s="83"/>
    </row>
    <row r="804">
      <c r="C804" s="82"/>
      <c r="D804" s="40"/>
      <c r="E804" s="79"/>
      <c r="F804" s="79"/>
      <c r="G804" s="79"/>
      <c r="H804" s="79"/>
      <c r="I804" s="83"/>
    </row>
    <row r="805">
      <c r="C805" s="82"/>
      <c r="D805" s="40"/>
      <c r="E805" s="79"/>
      <c r="F805" s="79"/>
      <c r="G805" s="79"/>
      <c r="H805" s="79"/>
      <c r="I805" s="83"/>
    </row>
    <row r="806">
      <c r="C806" s="82"/>
      <c r="D806" s="40"/>
      <c r="E806" s="79"/>
      <c r="F806" s="79"/>
      <c r="G806" s="79"/>
      <c r="H806" s="79"/>
      <c r="I806" s="83"/>
    </row>
    <row r="807">
      <c r="C807" s="82"/>
      <c r="D807" s="40"/>
      <c r="E807" s="79"/>
      <c r="F807" s="79"/>
      <c r="G807" s="79"/>
      <c r="H807" s="79"/>
      <c r="I807" s="83"/>
    </row>
    <row r="808">
      <c r="C808" s="82"/>
      <c r="D808" s="40"/>
      <c r="E808" s="79"/>
      <c r="F808" s="79"/>
      <c r="G808" s="79"/>
      <c r="H808" s="79"/>
      <c r="I808" s="83"/>
    </row>
    <row r="809">
      <c r="C809" s="82"/>
      <c r="D809" s="40"/>
      <c r="E809" s="79"/>
      <c r="F809" s="79"/>
      <c r="G809" s="79"/>
      <c r="H809" s="79"/>
      <c r="I809" s="83"/>
    </row>
    <row r="810">
      <c r="C810" s="82"/>
      <c r="D810" s="40"/>
      <c r="E810" s="79"/>
      <c r="F810" s="79"/>
      <c r="G810" s="79"/>
      <c r="H810" s="79"/>
      <c r="I810" s="83"/>
    </row>
    <row r="811">
      <c r="C811" s="82"/>
      <c r="D811" s="40"/>
      <c r="E811" s="79"/>
      <c r="F811" s="79"/>
      <c r="G811" s="79"/>
      <c r="H811" s="79"/>
      <c r="I811" s="83"/>
    </row>
    <row r="812">
      <c r="C812" s="82"/>
      <c r="D812" s="40"/>
      <c r="E812" s="79"/>
      <c r="F812" s="79"/>
      <c r="G812" s="79"/>
      <c r="H812" s="79"/>
      <c r="I812" s="83"/>
    </row>
    <row r="813">
      <c r="C813" s="82"/>
      <c r="D813" s="40"/>
      <c r="E813" s="79"/>
      <c r="F813" s="79"/>
      <c r="G813" s="79"/>
      <c r="H813" s="79"/>
      <c r="I813" s="83"/>
    </row>
    <row r="814">
      <c r="C814" s="82"/>
      <c r="D814" s="40"/>
      <c r="E814" s="79"/>
      <c r="F814" s="79"/>
      <c r="G814" s="79"/>
      <c r="H814" s="79"/>
      <c r="I814" s="83"/>
    </row>
    <row r="815">
      <c r="C815" s="82"/>
      <c r="D815" s="40"/>
      <c r="E815" s="79"/>
      <c r="F815" s="79"/>
      <c r="G815" s="79"/>
      <c r="H815" s="79"/>
      <c r="I815" s="83"/>
    </row>
    <row r="816">
      <c r="C816" s="82"/>
      <c r="D816" s="40"/>
      <c r="E816" s="79"/>
      <c r="F816" s="79"/>
      <c r="G816" s="79"/>
      <c r="H816" s="79"/>
      <c r="I816" s="83"/>
    </row>
    <row r="817">
      <c r="C817" s="82"/>
      <c r="D817" s="40"/>
      <c r="E817" s="79"/>
      <c r="F817" s="79"/>
      <c r="G817" s="79"/>
      <c r="H817" s="79"/>
      <c r="I817" s="83"/>
    </row>
    <row r="818">
      <c r="C818" s="82"/>
      <c r="D818" s="40"/>
      <c r="E818" s="79"/>
      <c r="F818" s="79"/>
      <c r="G818" s="79"/>
      <c r="H818" s="79"/>
      <c r="I818" s="83"/>
    </row>
    <row r="819">
      <c r="C819" s="82"/>
      <c r="D819" s="40"/>
      <c r="E819" s="79"/>
      <c r="F819" s="79"/>
      <c r="G819" s="79"/>
      <c r="H819" s="79"/>
      <c r="I819" s="83"/>
    </row>
    <row r="820">
      <c r="C820" s="82"/>
      <c r="D820" s="40"/>
      <c r="E820" s="79"/>
      <c r="F820" s="79"/>
      <c r="G820" s="79"/>
      <c r="H820" s="79"/>
      <c r="I820" s="83"/>
    </row>
    <row r="821">
      <c r="C821" s="82"/>
      <c r="D821" s="40"/>
      <c r="E821" s="79"/>
      <c r="F821" s="79"/>
      <c r="G821" s="79"/>
      <c r="H821" s="79"/>
      <c r="I821" s="83"/>
    </row>
    <row r="822">
      <c r="C822" s="82"/>
      <c r="D822" s="40"/>
      <c r="E822" s="79"/>
      <c r="F822" s="79"/>
      <c r="G822" s="79"/>
      <c r="H822" s="79"/>
      <c r="I822" s="83"/>
    </row>
    <row r="823">
      <c r="C823" s="82"/>
      <c r="D823" s="40"/>
      <c r="E823" s="79"/>
      <c r="F823" s="79"/>
      <c r="G823" s="79"/>
      <c r="H823" s="79"/>
      <c r="I823" s="83"/>
    </row>
    <row r="824">
      <c r="C824" s="82"/>
      <c r="D824" s="40"/>
      <c r="E824" s="79"/>
      <c r="F824" s="79"/>
      <c r="G824" s="79"/>
      <c r="H824" s="79"/>
      <c r="I824" s="83"/>
    </row>
    <row r="825">
      <c r="C825" s="82"/>
      <c r="D825" s="40"/>
      <c r="E825" s="79"/>
      <c r="F825" s="79"/>
      <c r="G825" s="79"/>
      <c r="H825" s="79"/>
      <c r="I825" s="83"/>
    </row>
    <row r="826">
      <c r="C826" s="82"/>
      <c r="D826" s="40"/>
      <c r="E826" s="79"/>
      <c r="F826" s="79"/>
      <c r="G826" s="79"/>
      <c r="H826" s="79"/>
      <c r="I826" s="83"/>
    </row>
    <row r="827">
      <c r="C827" s="82"/>
      <c r="D827" s="40"/>
      <c r="E827" s="79"/>
      <c r="F827" s="79"/>
      <c r="G827" s="79"/>
      <c r="H827" s="79"/>
      <c r="I827" s="83"/>
    </row>
    <row r="828">
      <c r="C828" s="82"/>
      <c r="D828" s="40"/>
      <c r="E828" s="79"/>
      <c r="F828" s="79"/>
      <c r="G828" s="79"/>
      <c r="H828" s="79"/>
      <c r="I828" s="83"/>
    </row>
    <row r="829">
      <c r="C829" s="82"/>
      <c r="D829" s="40"/>
      <c r="E829" s="79"/>
      <c r="F829" s="79"/>
      <c r="G829" s="79"/>
      <c r="H829" s="79"/>
      <c r="I829" s="83"/>
    </row>
    <row r="830">
      <c r="C830" s="82"/>
      <c r="D830" s="40"/>
      <c r="E830" s="79"/>
      <c r="F830" s="79"/>
      <c r="G830" s="79"/>
      <c r="H830" s="79"/>
      <c r="I830" s="83"/>
    </row>
    <row r="831">
      <c r="C831" s="82"/>
      <c r="D831" s="40"/>
      <c r="E831" s="79"/>
      <c r="F831" s="79"/>
      <c r="G831" s="79"/>
      <c r="H831" s="79"/>
      <c r="I831" s="83"/>
    </row>
    <row r="832">
      <c r="C832" s="82"/>
      <c r="D832" s="40"/>
      <c r="E832" s="79"/>
      <c r="F832" s="79"/>
      <c r="G832" s="79"/>
      <c r="H832" s="79"/>
      <c r="I832" s="83"/>
    </row>
    <row r="833">
      <c r="C833" s="82"/>
      <c r="D833" s="40"/>
      <c r="E833" s="79"/>
      <c r="F833" s="79"/>
      <c r="G833" s="79"/>
      <c r="H833" s="79"/>
      <c r="I833" s="83"/>
    </row>
    <row r="834">
      <c r="C834" s="82"/>
      <c r="D834" s="40"/>
      <c r="E834" s="79"/>
      <c r="F834" s="79"/>
      <c r="G834" s="79"/>
      <c r="H834" s="79"/>
      <c r="I834" s="83"/>
    </row>
    <row r="835">
      <c r="C835" s="82"/>
      <c r="D835" s="40"/>
      <c r="E835" s="79"/>
      <c r="F835" s="79"/>
      <c r="G835" s="79"/>
      <c r="H835" s="79"/>
      <c r="I835" s="83"/>
    </row>
    <row r="836">
      <c r="C836" s="82"/>
      <c r="D836" s="40"/>
      <c r="E836" s="79"/>
      <c r="F836" s="79"/>
      <c r="G836" s="79"/>
      <c r="H836" s="79"/>
      <c r="I836" s="83"/>
    </row>
    <row r="837">
      <c r="C837" s="82"/>
      <c r="D837" s="40"/>
      <c r="E837" s="79"/>
      <c r="F837" s="79"/>
      <c r="G837" s="79"/>
      <c r="H837" s="79"/>
      <c r="I837" s="83"/>
    </row>
    <row r="838">
      <c r="C838" s="82"/>
      <c r="D838" s="40"/>
      <c r="E838" s="79"/>
      <c r="F838" s="79"/>
      <c r="G838" s="79"/>
      <c r="H838" s="79"/>
      <c r="I838" s="83"/>
    </row>
    <row r="839">
      <c r="C839" s="82"/>
      <c r="D839" s="40"/>
      <c r="E839" s="79"/>
      <c r="F839" s="79"/>
      <c r="G839" s="79"/>
      <c r="H839" s="79"/>
      <c r="I839" s="83"/>
    </row>
    <row r="840">
      <c r="C840" s="82"/>
      <c r="D840" s="40"/>
      <c r="E840" s="79"/>
      <c r="F840" s="79"/>
      <c r="G840" s="79"/>
      <c r="H840" s="79"/>
      <c r="I840" s="83"/>
    </row>
    <row r="841">
      <c r="C841" s="82"/>
      <c r="D841" s="40"/>
      <c r="E841" s="79"/>
      <c r="F841" s="79"/>
      <c r="G841" s="79"/>
      <c r="H841" s="79"/>
      <c r="I841" s="83"/>
    </row>
    <row r="842">
      <c r="C842" s="82"/>
      <c r="D842" s="40"/>
      <c r="E842" s="79"/>
      <c r="F842" s="79"/>
      <c r="G842" s="79"/>
      <c r="H842" s="79"/>
      <c r="I842" s="83"/>
    </row>
    <row r="843">
      <c r="C843" s="82"/>
      <c r="D843" s="40"/>
      <c r="E843" s="79"/>
      <c r="F843" s="79"/>
      <c r="G843" s="79"/>
      <c r="H843" s="79"/>
      <c r="I843" s="83"/>
    </row>
    <row r="844">
      <c r="C844" s="82"/>
      <c r="D844" s="40"/>
      <c r="E844" s="79"/>
      <c r="F844" s="79"/>
      <c r="G844" s="79"/>
      <c r="H844" s="79"/>
      <c r="I844" s="83"/>
    </row>
    <row r="845">
      <c r="C845" s="82"/>
      <c r="D845" s="40"/>
      <c r="E845" s="79"/>
      <c r="F845" s="79"/>
      <c r="G845" s="79"/>
      <c r="H845" s="79"/>
      <c r="I845" s="83"/>
    </row>
    <row r="846">
      <c r="C846" s="82"/>
      <c r="D846" s="40"/>
      <c r="E846" s="79"/>
      <c r="F846" s="79"/>
      <c r="G846" s="79"/>
      <c r="H846" s="79"/>
      <c r="I846" s="83"/>
    </row>
    <row r="847">
      <c r="C847" s="82"/>
      <c r="D847" s="40"/>
      <c r="E847" s="79"/>
      <c r="F847" s="79"/>
      <c r="G847" s="79"/>
      <c r="H847" s="79"/>
      <c r="I847" s="83"/>
    </row>
    <row r="848">
      <c r="C848" s="82"/>
      <c r="D848" s="40"/>
      <c r="E848" s="79"/>
      <c r="F848" s="79"/>
      <c r="G848" s="79"/>
      <c r="H848" s="79"/>
      <c r="I848" s="83"/>
    </row>
    <row r="849">
      <c r="C849" s="82"/>
      <c r="D849" s="40"/>
      <c r="E849" s="79"/>
      <c r="F849" s="79"/>
      <c r="G849" s="79"/>
      <c r="H849" s="79"/>
      <c r="I849" s="83"/>
    </row>
    <row r="850">
      <c r="C850" s="82"/>
      <c r="D850" s="40"/>
      <c r="E850" s="79"/>
      <c r="F850" s="79"/>
      <c r="G850" s="79"/>
      <c r="H850" s="79"/>
      <c r="I850" s="83"/>
    </row>
    <row r="851">
      <c r="C851" s="82"/>
      <c r="D851" s="40"/>
      <c r="E851" s="79"/>
      <c r="F851" s="79"/>
      <c r="G851" s="79"/>
      <c r="H851" s="79"/>
      <c r="I851" s="83"/>
    </row>
    <row r="852">
      <c r="C852" s="82"/>
      <c r="D852" s="40"/>
      <c r="E852" s="79"/>
      <c r="F852" s="79"/>
      <c r="G852" s="79"/>
      <c r="H852" s="79"/>
      <c r="I852" s="83"/>
    </row>
    <row r="853">
      <c r="C853" s="82"/>
      <c r="D853" s="40"/>
      <c r="E853" s="79"/>
      <c r="F853" s="79"/>
      <c r="G853" s="79"/>
      <c r="H853" s="79"/>
      <c r="I853" s="83"/>
    </row>
    <row r="854">
      <c r="C854" s="82"/>
      <c r="D854" s="40"/>
      <c r="E854" s="79"/>
      <c r="F854" s="79"/>
      <c r="G854" s="79"/>
      <c r="H854" s="79"/>
      <c r="I854" s="83"/>
    </row>
    <row r="855">
      <c r="C855" s="82"/>
      <c r="D855" s="40"/>
      <c r="E855" s="79"/>
      <c r="F855" s="79"/>
      <c r="G855" s="79"/>
      <c r="H855" s="79"/>
      <c r="I855" s="83"/>
    </row>
    <row r="856">
      <c r="C856" s="82"/>
      <c r="D856" s="40"/>
      <c r="E856" s="79"/>
      <c r="F856" s="79"/>
      <c r="G856" s="79"/>
      <c r="H856" s="79"/>
      <c r="I856" s="83"/>
    </row>
    <row r="857">
      <c r="C857" s="82"/>
      <c r="D857" s="40"/>
      <c r="E857" s="79"/>
      <c r="F857" s="79"/>
      <c r="G857" s="79"/>
      <c r="H857" s="79"/>
      <c r="I857" s="83"/>
    </row>
    <row r="858">
      <c r="C858" s="82"/>
      <c r="D858" s="40"/>
      <c r="E858" s="79"/>
      <c r="F858" s="79"/>
      <c r="G858" s="79"/>
      <c r="H858" s="79"/>
      <c r="I858" s="83"/>
    </row>
    <row r="859">
      <c r="C859" s="82"/>
      <c r="D859" s="40"/>
      <c r="E859" s="79"/>
      <c r="F859" s="79"/>
      <c r="G859" s="79"/>
      <c r="H859" s="79"/>
      <c r="I859" s="83"/>
    </row>
    <row r="860">
      <c r="C860" s="82"/>
      <c r="D860" s="40"/>
      <c r="E860" s="79"/>
      <c r="F860" s="79"/>
      <c r="G860" s="79"/>
      <c r="H860" s="79"/>
      <c r="I860" s="83"/>
    </row>
    <row r="861">
      <c r="C861" s="82"/>
      <c r="D861" s="40"/>
      <c r="E861" s="79"/>
      <c r="F861" s="79"/>
      <c r="G861" s="79"/>
      <c r="H861" s="79"/>
      <c r="I861" s="83"/>
    </row>
    <row r="862">
      <c r="C862" s="82"/>
      <c r="D862" s="40"/>
      <c r="E862" s="79"/>
      <c r="F862" s="79"/>
      <c r="G862" s="79"/>
      <c r="H862" s="79"/>
      <c r="I862" s="83"/>
    </row>
    <row r="863">
      <c r="C863" s="82"/>
      <c r="D863" s="40"/>
      <c r="E863" s="79"/>
      <c r="F863" s="79"/>
      <c r="G863" s="79"/>
      <c r="H863" s="79"/>
      <c r="I863" s="83"/>
    </row>
    <row r="864">
      <c r="C864" s="82"/>
      <c r="D864" s="40"/>
      <c r="E864" s="79"/>
      <c r="F864" s="79"/>
      <c r="G864" s="79"/>
      <c r="H864" s="79"/>
      <c r="I864" s="83"/>
    </row>
    <row r="865">
      <c r="C865" s="82"/>
      <c r="D865" s="40"/>
      <c r="E865" s="79"/>
      <c r="F865" s="79"/>
      <c r="G865" s="79"/>
      <c r="H865" s="79"/>
      <c r="I865" s="83"/>
    </row>
    <row r="866">
      <c r="C866" s="82"/>
      <c r="D866" s="40"/>
      <c r="E866" s="79"/>
      <c r="F866" s="79"/>
      <c r="G866" s="79"/>
      <c r="H866" s="79"/>
      <c r="I866" s="83"/>
    </row>
    <row r="867">
      <c r="C867" s="82"/>
      <c r="D867" s="40"/>
      <c r="E867" s="79"/>
      <c r="F867" s="79"/>
      <c r="G867" s="79"/>
      <c r="H867" s="79"/>
      <c r="I867" s="83"/>
    </row>
    <row r="868">
      <c r="C868" s="82"/>
      <c r="D868" s="40"/>
      <c r="E868" s="79"/>
      <c r="F868" s="79"/>
      <c r="G868" s="79"/>
      <c r="H868" s="79"/>
      <c r="I868" s="83"/>
    </row>
    <row r="869">
      <c r="C869" s="82"/>
      <c r="D869" s="40"/>
      <c r="E869" s="79"/>
      <c r="F869" s="79"/>
      <c r="G869" s="79"/>
      <c r="H869" s="79"/>
      <c r="I869" s="83"/>
    </row>
    <row r="870">
      <c r="C870" s="82"/>
      <c r="D870" s="40"/>
      <c r="E870" s="79"/>
      <c r="F870" s="79"/>
      <c r="G870" s="79"/>
      <c r="H870" s="79"/>
      <c r="I870" s="83"/>
    </row>
    <row r="871">
      <c r="C871" s="82"/>
      <c r="D871" s="40"/>
      <c r="E871" s="79"/>
      <c r="F871" s="79"/>
      <c r="G871" s="79"/>
      <c r="H871" s="79"/>
      <c r="I871" s="83"/>
    </row>
    <row r="872">
      <c r="C872" s="82"/>
      <c r="D872" s="40"/>
      <c r="E872" s="79"/>
      <c r="F872" s="79"/>
      <c r="G872" s="79"/>
      <c r="H872" s="79"/>
      <c r="I872" s="83"/>
    </row>
    <row r="873">
      <c r="C873" s="82"/>
      <c r="D873" s="40"/>
      <c r="E873" s="79"/>
      <c r="F873" s="79"/>
      <c r="G873" s="79"/>
      <c r="H873" s="79"/>
      <c r="I873" s="83"/>
    </row>
    <row r="874">
      <c r="C874" s="82"/>
      <c r="D874" s="40"/>
      <c r="E874" s="79"/>
      <c r="F874" s="79"/>
      <c r="G874" s="79"/>
      <c r="H874" s="79"/>
      <c r="I874" s="83"/>
    </row>
    <row r="875">
      <c r="C875" s="82"/>
      <c r="D875" s="40"/>
      <c r="E875" s="79"/>
      <c r="F875" s="79"/>
      <c r="G875" s="79"/>
      <c r="H875" s="79"/>
      <c r="I875" s="83"/>
    </row>
    <row r="876">
      <c r="C876" s="82"/>
      <c r="D876" s="40"/>
      <c r="E876" s="79"/>
      <c r="F876" s="79"/>
      <c r="G876" s="79"/>
      <c r="H876" s="79"/>
      <c r="I876" s="83"/>
    </row>
    <row r="877">
      <c r="C877" s="82"/>
      <c r="D877" s="11"/>
      <c r="E877" s="79"/>
      <c r="F877" s="79"/>
      <c r="G877" s="79"/>
      <c r="H877" s="79"/>
      <c r="I877" s="83"/>
    </row>
    <row r="878">
      <c r="C878" s="82"/>
      <c r="D878" s="11"/>
      <c r="E878" s="79"/>
      <c r="F878" s="79"/>
      <c r="G878" s="79"/>
      <c r="H878" s="79"/>
      <c r="I878" s="83"/>
    </row>
    <row r="879">
      <c r="C879" s="82"/>
      <c r="D879" s="11"/>
      <c r="E879" s="79"/>
      <c r="F879" s="79"/>
      <c r="G879" s="79"/>
      <c r="H879" s="79"/>
      <c r="I879" s="83"/>
    </row>
    <row r="880">
      <c r="C880" s="82"/>
      <c r="D880" s="11"/>
      <c r="E880" s="79"/>
      <c r="F880" s="79"/>
      <c r="G880" s="79"/>
      <c r="H880" s="79"/>
      <c r="I880" s="83"/>
    </row>
    <row r="881">
      <c r="C881" s="82"/>
      <c r="D881" s="11"/>
      <c r="E881" s="79"/>
      <c r="F881" s="79"/>
      <c r="G881" s="79"/>
      <c r="H881" s="79"/>
      <c r="I881" s="83"/>
    </row>
    <row r="882">
      <c r="C882" s="82"/>
      <c r="D882" s="11"/>
      <c r="E882" s="79"/>
      <c r="F882" s="79"/>
      <c r="G882" s="79"/>
      <c r="H882" s="79"/>
      <c r="I882" s="83"/>
    </row>
    <row r="883">
      <c r="C883" s="82"/>
      <c r="D883" s="11"/>
      <c r="E883" s="79"/>
      <c r="F883" s="79"/>
      <c r="G883" s="79"/>
      <c r="H883" s="79"/>
      <c r="I883" s="83"/>
    </row>
    <row r="884">
      <c r="C884" s="82"/>
      <c r="D884" s="11"/>
      <c r="E884" s="79"/>
      <c r="F884" s="79"/>
      <c r="G884" s="79"/>
      <c r="H884" s="79"/>
      <c r="I884" s="83"/>
    </row>
    <row r="885">
      <c r="C885" s="82"/>
      <c r="D885" s="11"/>
      <c r="E885" s="79"/>
      <c r="F885" s="79"/>
      <c r="G885" s="79"/>
      <c r="H885" s="79"/>
      <c r="I885" s="83"/>
    </row>
    <row r="886">
      <c r="C886" s="82"/>
      <c r="D886" s="11"/>
      <c r="E886" s="79"/>
      <c r="F886" s="79"/>
      <c r="G886" s="79"/>
      <c r="H886" s="79"/>
      <c r="I886" s="83"/>
    </row>
    <row r="887">
      <c r="C887" s="82"/>
      <c r="D887" s="11"/>
      <c r="E887" s="79"/>
      <c r="F887" s="79"/>
      <c r="G887" s="79"/>
      <c r="H887" s="79"/>
      <c r="I887" s="83"/>
    </row>
    <row r="888">
      <c r="C888" s="82"/>
      <c r="D888" s="11"/>
      <c r="E888" s="79"/>
      <c r="F888" s="79"/>
      <c r="G888" s="79"/>
      <c r="H888" s="79"/>
      <c r="I888" s="83"/>
    </row>
    <row r="889">
      <c r="C889" s="82"/>
      <c r="D889" s="11"/>
      <c r="E889" s="79"/>
      <c r="F889" s="79"/>
      <c r="G889" s="79"/>
      <c r="H889" s="79"/>
      <c r="I889" s="83"/>
    </row>
    <row r="890">
      <c r="C890" s="82"/>
      <c r="D890" s="11"/>
      <c r="E890" s="79"/>
      <c r="F890" s="79"/>
      <c r="G890" s="79"/>
      <c r="H890" s="79"/>
      <c r="I890" s="83"/>
    </row>
    <row r="891">
      <c r="C891" s="82"/>
      <c r="D891" s="11"/>
      <c r="E891" s="79"/>
      <c r="F891" s="79"/>
      <c r="G891" s="79"/>
      <c r="H891" s="79"/>
      <c r="I891" s="83"/>
    </row>
    <row r="892">
      <c r="C892" s="82"/>
      <c r="D892" s="11"/>
      <c r="E892" s="79"/>
      <c r="F892" s="79"/>
      <c r="G892" s="79"/>
      <c r="H892" s="79"/>
      <c r="I892" s="83"/>
    </row>
    <row r="893">
      <c r="C893" s="82"/>
      <c r="D893" s="11"/>
      <c r="E893" s="79"/>
      <c r="F893" s="79"/>
      <c r="G893" s="79"/>
      <c r="H893" s="79"/>
      <c r="I893" s="83"/>
    </row>
    <row r="894">
      <c r="C894" s="82"/>
      <c r="D894" s="11"/>
      <c r="E894" s="79"/>
      <c r="F894" s="79"/>
      <c r="G894" s="79"/>
      <c r="H894" s="79"/>
      <c r="I894" s="83"/>
    </row>
    <row r="895">
      <c r="C895" s="82"/>
      <c r="D895" s="11"/>
      <c r="E895" s="79"/>
      <c r="F895" s="79"/>
      <c r="G895" s="79"/>
      <c r="H895" s="79"/>
      <c r="I895" s="83"/>
    </row>
    <row r="896">
      <c r="C896" s="82"/>
      <c r="D896" s="11"/>
      <c r="E896" s="79"/>
      <c r="F896" s="79"/>
      <c r="G896" s="79"/>
      <c r="H896" s="79"/>
      <c r="I896" s="83"/>
    </row>
    <row r="897">
      <c r="C897" s="82"/>
      <c r="D897" s="11"/>
      <c r="E897" s="79"/>
      <c r="F897" s="79"/>
      <c r="G897" s="79"/>
      <c r="H897" s="79"/>
      <c r="I897" s="83"/>
    </row>
    <row r="898">
      <c r="C898" s="82"/>
      <c r="D898" s="11"/>
      <c r="E898" s="79"/>
      <c r="F898" s="79"/>
      <c r="G898" s="79"/>
      <c r="H898" s="79"/>
      <c r="I898" s="83"/>
    </row>
    <row r="899">
      <c r="C899" s="82"/>
      <c r="D899" s="11"/>
      <c r="E899" s="79"/>
      <c r="F899" s="79"/>
      <c r="G899" s="79"/>
      <c r="H899" s="79"/>
      <c r="I899" s="83"/>
    </row>
    <row r="900">
      <c r="C900" s="82"/>
      <c r="D900" s="11"/>
      <c r="E900" s="79"/>
      <c r="F900" s="79"/>
      <c r="G900" s="79"/>
      <c r="H900" s="79"/>
      <c r="I900" s="83"/>
    </row>
    <row r="901">
      <c r="C901" s="82"/>
      <c r="D901" s="11"/>
      <c r="E901" s="79"/>
      <c r="F901" s="79"/>
      <c r="G901" s="79"/>
      <c r="H901" s="79"/>
      <c r="I901" s="83"/>
    </row>
    <row r="902">
      <c r="C902" s="82"/>
      <c r="D902" s="11"/>
      <c r="E902" s="79"/>
      <c r="F902" s="79"/>
      <c r="G902" s="79"/>
      <c r="H902" s="79"/>
      <c r="I902" s="83"/>
    </row>
    <row r="903">
      <c r="C903" s="82"/>
      <c r="D903" s="11"/>
      <c r="E903" s="79"/>
      <c r="F903" s="79"/>
      <c r="G903" s="79"/>
      <c r="H903" s="79"/>
      <c r="I903" s="83"/>
    </row>
    <row r="904">
      <c r="C904" s="82"/>
      <c r="D904" s="11"/>
      <c r="E904" s="79"/>
      <c r="F904" s="79"/>
      <c r="G904" s="79"/>
      <c r="H904" s="79"/>
      <c r="I904" s="83"/>
    </row>
    <row r="905">
      <c r="C905" s="82"/>
      <c r="D905" s="11"/>
      <c r="E905" s="79"/>
      <c r="F905" s="79"/>
      <c r="G905" s="79"/>
      <c r="H905" s="79"/>
      <c r="I905" s="83"/>
    </row>
    <row r="906">
      <c r="C906" s="82"/>
      <c r="D906" s="11"/>
      <c r="E906" s="79"/>
      <c r="F906" s="79"/>
      <c r="G906" s="79"/>
      <c r="H906" s="79"/>
      <c r="I906" s="83"/>
    </row>
    <row r="907">
      <c r="C907" s="82"/>
      <c r="D907" s="11"/>
      <c r="E907" s="79"/>
      <c r="F907" s="79"/>
      <c r="G907" s="79"/>
      <c r="H907" s="79"/>
      <c r="I907" s="83"/>
    </row>
    <row r="908">
      <c r="C908" s="82"/>
      <c r="D908" s="11"/>
      <c r="E908" s="79"/>
      <c r="F908" s="79"/>
      <c r="G908" s="79"/>
      <c r="H908" s="79"/>
      <c r="I908" s="83"/>
    </row>
    <row r="909">
      <c r="C909" s="82"/>
      <c r="D909" s="11"/>
      <c r="E909" s="79"/>
      <c r="F909" s="79"/>
      <c r="G909" s="79"/>
      <c r="H909" s="79"/>
      <c r="I909" s="83"/>
    </row>
    <row r="910">
      <c r="C910" s="82"/>
      <c r="D910" s="11"/>
      <c r="E910" s="79"/>
      <c r="F910" s="79"/>
      <c r="G910" s="79"/>
      <c r="H910" s="79"/>
      <c r="I910" s="83"/>
    </row>
    <row r="911">
      <c r="C911" s="82"/>
      <c r="D911" s="11"/>
      <c r="E911" s="79"/>
      <c r="F911" s="79"/>
      <c r="G911" s="79"/>
      <c r="H911" s="79"/>
      <c r="I911" s="83"/>
    </row>
    <row r="912">
      <c r="C912" s="82"/>
      <c r="D912" s="11"/>
      <c r="E912" s="79"/>
      <c r="F912" s="79"/>
      <c r="G912" s="79"/>
      <c r="H912" s="79"/>
      <c r="I912" s="83"/>
    </row>
    <row r="913">
      <c r="C913" s="82"/>
      <c r="D913" s="11"/>
      <c r="E913" s="79"/>
      <c r="F913" s="79"/>
      <c r="G913" s="79"/>
      <c r="H913" s="79"/>
      <c r="I913" s="83"/>
    </row>
    <row r="914">
      <c r="C914" s="82"/>
      <c r="D914" s="11"/>
      <c r="E914" s="79"/>
      <c r="F914" s="79"/>
      <c r="G914" s="79"/>
      <c r="H914" s="79"/>
      <c r="I914" s="83"/>
    </row>
    <row r="915">
      <c r="C915" s="82"/>
      <c r="D915" s="11"/>
      <c r="E915" s="79"/>
      <c r="F915" s="79"/>
      <c r="G915" s="79"/>
      <c r="H915" s="79"/>
      <c r="I915" s="83"/>
    </row>
    <row r="916">
      <c r="C916" s="82"/>
      <c r="D916" s="11"/>
      <c r="E916" s="79"/>
      <c r="F916" s="79"/>
      <c r="G916" s="79"/>
      <c r="H916" s="79"/>
      <c r="I916" s="83"/>
    </row>
    <row r="917">
      <c r="C917" s="82"/>
      <c r="D917" s="11"/>
      <c r="E917" s="79"/>
      <c r="F917" s="79"/>
      <c r="G917" s="79"/>
      <c r="H917" s="79"/>
      <c r="I917" s="83"/>
    </row>
    <row r="918">
      <c r="C918" s="82"/>
      <c r="D918" s="11"/>
      <c r="E918" s="79"/>
      <c r="F918" s="79"/>
      <c r="G918" s="79"/>
      <c r="H918" s="79"/>
      <c r="I918" s="83"/>
    </row>
    <row r="919">
      <c r="C919" s="82"/>
      <c r="D919" s="11"/>
      <c r="E919" s="79"/>
      <c r="F919" s="79"/>
      <c r="G919" s="79"/>
      <c r="H919" s="79"/>
      <c r="I919" s="83"/>
    </row>
    <row r="920">
      <c r="C920" s="82"/>
      <c r="D920" s="11"/>
      <c r="E920" s="79"/>
      <c r="F920" s="79"/>
      <c r="G920" s="79"/>
      <c r="H920" s="79"/>
      <c r="I920" s="83"/>
    </row>
    <row r="921">
      <c r="C921" s="82"/>
      <c r="D921" s="11"/>
      <c r="E921" s="79"/>
      <c r="F921" s="79"/>
      <c r="G921" s="79"/>
      <c r="H921" s="79"/>
      <c r="I921" s="83"/>
    </row>
    <row r="922">
      <c r="C922" s="82"/>
      <c r="D922" s="11"/>
      <c r="E922" s="79"/>
      <c r="F922" s="79"/>
      <c r="G922" s="79"/>
      <c r="H922" s="79"/>
      <c r="I922" s="83"/>
    </row>
    <row r="923">
      <c r="C923" s="82"/>
      <c r="D923" s="11"/>
      <c r="E923" s="79"/>
      <c r="F923" s="79"/>
      <c r="G923" s="79"/>
      <c r="H923" s="79"/>
      <c r="I923" s="83"/>
    </row>
    <row r="924">
      <c r="C924" s="82"/>
      <c r="D924" s="11"/>
      <c r="E924" s="79"/>
      <c r="F924" s="79"/>
      <c r="G924" s="79"/>
      <c r="H924" s="79"/>
      <c r="I924" s="83"/>
    </row>
    <row r="925">
      <c r="C925" s="82"/>
      <c r="D925" s="11"/>
      <c r="E925" s="79"/>
      <c r="F925" s="79"/>
      <c r="G925" s="79"/>
      <c r="H925" s="79"/>
      <c r="I925" s="83"/>
    </row>
    <row r="926">
      <c r="C926" s="82"/>
      <c r="D926" s="11"/>
      <c r="E926" s="79"/>
      <c r="F926" s="79"/>
      <c r="G926" s="79"/>
      <c r="H926" s="79"/>
      <c r="I926" s="83"/>
    </row>
    <row r="927">
      <c r="C927" s="82"/>
      <c r="D927" s="11"/>
      <c r="E927" s="79"/>
      <c r="F927" s="79"/>
      <c r="G927" s="79"/>
      <c r="H927" s="79"/>
      <c r="I927" s="83"/>
    </row>
    <row r="928">
      <c r="C928" s="82"/>
      <c r="D928" s="11"/>
      <c r="E928" s="79"/>
      <c r="F928" s="79"/>
      <c r="G928" s="79"/>
      <c r="H928" s="79"/>
      <c r="I928" s="83"/>
    </row>
    <row r="929">
      <c r="C929" s="82"/>
      <c r="D929" s="11"/>
      <c r="E929" s="79"/>
      <c r="F929" s="79"/>
      <c r="G929" s="79"/>
      <c r="H929" s="79"/>
      <c r="I929" s="83"/>
    </row>
    <row r="930">
      <c r="C930" s="82"/>
      <c r="D930" s="11"/>
      <c r="E930" s="79"/>
      <c r="F930" s="79"/>
      <c r="G930" s="79"/>
      <c r="H930" s="79"/>
      <c r="I930" s="83"/>
    </row>
    <row r="931">
      <c r="C931" s="82"/>
      <c r="D931" s="11"/>
      <c r="E931" s="79"/>
      <c r="F931" s="79"/>
      <c r="G931" s="79"/>
      <c r="H931" s="79"/>
      <c r="I931" s="83"/>
    </row>
    <row r="932">
      <c r="C932" s="82"/>
      <c r="D932" s="11"/>
      <c r="E932" s="79"/>
      <c r="F932" s="79"/>
      <c r="G932" s="79"/>
      <c r="H932" s="79"/>
      <c r="I932" s="83"/>
    </row>
    <row r="933">
      <c r="C933" s="82"/>
      <c r="D933" s="11"/>
      <c r="E933" s="79"/>
      <c r="F933" s="79"/>
      <c r="G933" s="79"/>
      <c r="H933" s="79"/>
      <c r="I933" s="83"/>
    </row>
    <row r="934">
      <c r="C934" s="82"/>
      <c r="D934" s="11"/>
      <c r="E934" s="79"/>
      <c r="F934" s="79"/>
      <c r="G934" s="79"/>
      <c r="H934" s="79"/>
      <c r="I934" s="83"/>
    </row>
    <row r="935">
      <c r="C935" s="82"/>
      <c r="D935" s="11"/>
      <c r="E935" s="79"/>
      <c r="F935" s="79"/>
      <c r="G935" s="79"/>
      <c r="H935" s="79"/>
      <c r="I935" s="83"/>
    </row>
    <row r="936">
      <c r="C936" s="82"/>
      <c r="D936" s="11"/>
      <c r="E936" s="79"/>
      <c r="F936" s="79"/>
      <c r="G936" s="79"/>
      <c r="H936" s="79"/>
      <c r="I936" s="83"/>
    </row>
    <row r="937">
      <c r="C937" s="82"/>
      <c r="D937" s="11"/>
      <c r="E937" s="79"/>
      <c r="F937" s="79"/>
      <c r="G937" s="79"/>
      <c r="H937" s="79"/>
      <c r="I937" s="83"/>
    </row>
    <row r="938">
      <c r="C938" s="82"/>
      <c r="D938" s="11"/>
      <c r="E938" s="79"/>
      <c r="F938" s="79"/>
      <c r="G938" s="79"/>
      <c r="H938" s="79"/>
      <c r="I938" s="83"/>
    </row>
    <row r="939">
      <c r="C939" s="82"/>
      <c r="D939" s="11"/>
      <c r="E939" s="79"/>
      <c r="F939" s="79"/>
      <c r="G939" s="79"/>
      <c r="H939" s="79"/>
      <c r="I939" s="83"/>
    </row>
    <row r="940">
      <c r="C940" s="82"/>
      <c r="D940" s="11"/>
      <c r="E940" s="79"/>
      <c r="F940" s="79"/>
      <c r="G940" s="79"/>
      <c r="H940" s="79"/>
      <c r="I940" s="83"/>
    </row>
    <row r="941">
      <c r="C941" s="82"/>
      <c r="D941" s="11"/>
      <c r="E941" s="79"/>
      <c r="F941" s="79"/>
      <c r="G941" s="79"/>
      <c r="H941" s="79"/>
      <c r="I941" s="83"/>
    </row>
    <row r="942">
      <c r="C942" s="82"/>
      <c r="D942" s="11"/>
      <c r="E942" s="79"/>
      <c r="F942" s="79"/>
      <c r="G942" s="79"/>
      <c r="H942" s="79"/>
      <c r="I942" s="83"/>
    </row>
    <row r="943">
      <c r="C943" s="82"/>
      <c r="D943" s="11"/>
      <c r="E943" s="79"/>
      <c r="F943" s="79"/>
      <c r="G943" s="79"/>
      <c r="H943" s="79"/>
      <c r="I943" s="83"/>
    </row>
    <row r="944">
      <c r="C944" s="82"/>
      <c r="D944" s="11"/>
      <c r="E944" s="79"/>
      <c r="F944" s="79"/>
      <c r="G944" s="79"/>
      <c r="H944" s="79"/>
      <c r="I944" s="83"/>
    </row>
    <row r="945">
      <c r="C945" s="82"/>
      <c r="D945" s="11"/>
      <c r="E945" s="79"/>
      <c r="F945" s="79"/>
      <c r="G945" s="79"/>
      <c r="H945" s="79"/>
      <c r="I945" s="83"/>
    </row>
    <row r="946">
      <c r="C946" s="82"/>
      <c r="D946" s="11"/>
      <c r="E946" s="79"/>
      <c r="F946" s="79"/>
      <c r="G946" s="79"/>
      <c r="H946" s="79"/>
      <c r="I946" s="83"/>
    </row>
    <row r="947">
      <c r="C947" s="82"/>
      <c r="D947" s="11"/>
      <c r="E947" s="79"/>
      <c r="F947" s="79"/>
      <c r="G947" s="79"/>
      <c r="H947" s="79"/>
      <c r="I947" s="83"/>
    </row>
    <row r="948">
      <c r="C948" s="82"/>
      <c r="D948" s="11"/>
      <c r="E948" s="79"/>
      <c r="F948" s="79"/>
      <c r="G948" s="79"/>
      <c r="H948" s="79"/>
      <c r="I948" s="83"/>
    </row>
    <row r="949">
      <c r="C949" s="82"/>
      <c r="D949" s="11"/>
      <c r="E949" s="79"/>
      <c r="F949" s="79"/>
      <c r="G949" s="79"/>
      <c r="H949" s="79"/>
      <c r="I949" s="83"/>
    </row>
    <row r="950">
      <c r="C950" s="82"/>
      <c r="D950" s="11"/>
      <c r="E950" s="79"/>
      <c r="F950" s="79"/>
      <c r="G950" s="79"/>
      <c r="H950" s="79"/>
      <c r="I950" s="83"/>
    </row>
    <row r="951">
      <c r="C951" s="82"/>
      <c r="D951" s="11"/>
      <c r="E951" s="79"/>
      <c r="F951" s="79"/>
      <c r="G951" s="79"/>
      <c r="H951" s="79"/>
      <c r="I951" s="83"/>
    </row>
    <row r="952">
      <c r="C952" s="82"/>
      <c r="D952" s="11"/>
      <c r="E952" s="79"/>
      <c r="F952" s="79"/>
      <c r="G952" s="79"/>
      <c r="H952" s="79"/>
      <c r="I952" s="83"/>
    </row>
    <row r="953">
      <c r="C953" s="82"/>
      <c r="D953" s="11"/>
      <c r="E953" s="79"/>
      <c r="F953" s="79"/>
      <c r="G953" s="79"/>
      <c r="H953" s="79"/>
      <c r="I953" s="83"/>
    </row>
    <row r="954">
      <c r="C954" s="82"/>
      <c r="D954" s="11"/>
      <c r="E954" s="79"/>
      <c r="F954" s="79"/>
      <c r="G954" s="79"/>
      <c r="H954" s="79"/>
      <c r="I954" s="83"/>
    </row>
    <row r="955">
      <c r="C955" s="82"/>
      <c r="D955" s="11"/>
      <c r="E955" s="79"/>
      <c r="F955" s="79"/>
      <c r="G955" s="79"/>
      <c r="H955" s="79"/>
      <c r="I955" s="83"/>
    </row>
    <row r="956">
      <c r="C956" s="82"/>
      <c r="D956" s="11"/>
      <c r="E956" s="79"/>
      <c r="F956" s="79"/>
      <c r="G956" s="79"/>
      <c r="H956" s="79"/>
      <c r="I956" s="83"/>
    </row>
    <row r="957">
      <c r="C957" s="82"/>
      <c r="D957" s="11"/>
      <c r="E957" s="79"/>
      <c r="F957" s="79"/>
      <c r="G957" s="79"/>
      <c r="H957" s="79"/>
      <c r="I957" s="83"/>
    </row>
    <row r="958">
      <c r="C958" s="82"/>
      <c r="D958" s="11"/>
      <c r="E958" s="79"/>
      <c r="F958" s="79"/>
      <c r="G958" s="79"/>
      <c r="H958" s="79"/>
      <c r="I958" s="83"/>
    </row>
    <row r="959">
      <c r="C959" s="82"/>
      <c r="D959" s="11"/>
      <c r="E959" s="79"/>
      <c r="F959" s="79"/>
      <c r="G959" s="79"/>
      <c r="H959" s="79"/>
      <c r="I959" s="83"/>
    </row>
    <row r="960">
      <c r="C960" s="82"/>
      <c r="D960" s="11"/>
      <c r="E960" s="79"/>
      <c r="F960" s="79"/>
      <c r="G960" s="79"/>
      <c r="H960" s="79"/>
      <c r="I960" s="83"/>
    </row>
    <row r="961">
      <c r="C961" s="82"/>
      <c r="D961" s="11"/>
      <c r="E961" s="79"/>
      <c r="F961" s="79"/>
      <c r="G961" s="79"/>
      <c r="H961" s="79"/>
      <c r="I961" s="83"/>
    </row>
    <row r="962">
      <c r="C962" s="82"/>
      <c r="D962" s="11"/>
      <c r="E962" s="79"/>
      <c r="F962" s="79"/>
      <c r="G962" s="79"/>
      <c r="H962" s="79"/>
      <c r="I962" s="83"/>
    </row>
    <row r="963">
      <c r="C963" s="82"/>
      <c r="D963" s="11"/>
      <c r="E963" s="79"/>
      <c r="F963" s="79"/>
      <c r="G963" s="79"/>
      <c r="H963" s="79"/>
      <c r="I963" s="83"/>
    </row>
    <row r="964">
      <c r="C964" s="82"/>
      <c r="D964" s="11"/>
      <c r="E964" s="79"/>
      <c r="F964" s="79"/>
      <c r="G964" s="79"/>
      <c r="H964" s="79"/>
      <c r="I964" s="83"/>
    </row>
    <row r="965">
      <c r="C965" s="82"/>
      <c r="D965" s="11"/>
      <c r="E965" s="79"/>
      <c r="F965" s="79"/>
      <c r="G965" s="79"/>
      <c r="H965" s="79"/>
      <c r="I965" s="83"/>
    </row>
    <row r="966">
      <c r="C966" s="82"/>
      <c r="D966" s="11"/>
      <c r="E966" s="79"/>
      <c r="F966" s="79"/>
      <c r="G966" s="79"/>
      <c r="H966" s="79"/>
      <c r="I966" s="83"/>
    </row>
    <row r="967">
      <c r="C967" s="82"/>
      <c r="D967" s="11"/>
      <c r="E967" s="79"/>
      <c r="F967" s="79"/>
      <c r="G967" s="79"/>
      <c r="H967" s="79"/>
      <c r="I967" s="83"/>
    </row>
    <row r="968">
      <c r="C968" s="82"/>
      <c r="D968" s="11"/>
      <c r="E968" s="79"/>
      <c r="F968" s="79"/>
      <c r="G968" s="79"/>
      <c r="H968" s="79"/>
      <c r="I968" s="83"/>
    </row>
    <row r="969">
      <c r="C969" s="82"/>
      <c r="D969" s="11"/>
      <c r="E969" s="79"/>
      <c r="F969" s="79"/>
      <c r="G969" s="79"/>
      <c r="H969" s="79"/>
      <c r="I969" s="83"/>
    </row>
    <row r="970">
      <c r="C970" s="82"/>
      <c r="D970" s="11"/>
      <c r="E970" s="79"/>
      <c r="F970" s="79"/>
      <c r="G970" s="79"/>
      <c r="H970" s="79"/>
      <c r="I970" s="83"/>
    </row>
    <row r="971">
      <c r="C971" s="82"/>
      <c r="D971" s="11"/>
      <c r="E971" s="79"/>
      <c r="F971" s="79"/>
      <c r="G971" s="79"/>
      <c r="H971" s="79"/>
      <c r="I971" s="83"/>
    </row>
    <row r="972">
      <c r="C972" s="82"/>
      <c r="D972" s="11"/>
      <c r="E972" s="79"/>
      <c r="F972" s="79"/>
      <c r="G972" s="79"/>
      <c r="H972" s="79"/>
      <c r="I972" s="83"/>
    </row>
    <row r="973">
      <c r="C973" s="82"/>
      <c r="D973" s="11"/>
      <c r="E973" s="79"/>
      <c r="F973" s="79"/>
      <c r="G973" s="79"/>
      <c r="H973" s="79"/>
      <c r="I973" s="83"/>
    </row>
    <row r="974">
      <c r="C974" s="82"/>
      <c r="D974" s="11"/>
      <c r="E974" s="79"/>
      <c r="F974" s="79"/>
      <c r="G974" s="79"/>
      <c r="H974" s="79"/>
      <c r="I974" s="83"/>
    </row>
    <row r="975">
      <c r="C975" s="82"/>
      <c r="D975" s="11"/>
      <c r="E975" s="79"/>
      <c r="F975" s="79"/>
      <c r="G975" s="79"/>
      <c r="H975" s="79"/>
      <c r="I975" s="83"/>
    </row>
    <row r="976">
      <c r="C976" s="82"/>
      <c r="D976" s="11"/>
      <c r="E976" s="79"/>
      <c r="F976" s="79"/>
      <c r="G976" s="79"/>
      <c r="H976" s="79"/>
      <c r="I976" s="83"/>
    </row>
    <row r="977">
      <c r="C977" s="82"/>
      <c r="D977" s="11"/>
      <c r="E977" s="79"/>
      <c r="F977" s="79"/>
      <c r="G977" s="79"/>
      <c r="H977" s="79"/>
      <c r="I977" s="83"/>
    </row>
    <row r="978">
      <c r="C978" s="82"/>
      <c r="D978" s="11"/>
      <c r="E978" s="79"/>
      <c r="F978" s="79"/>
      <c r="G978" s="79"/>
      <c r="H978" s="79"/>
      <c r="I978" s="83"/>
    </row>
    <row r="979">
      <c r="C979" s="82"/>
      <c r="D979" s="11"/>
      <c r="E979" s="79"/>
      <c r="F979" s="79"/>
      <c r="G979" s="79"/>
      <c r="H979" s="79"/>
      <c r="I979" s="83"/>
    </row>
    <row r="980">
      <c r="C980" s="82"/>
      <c r="D980" s="11"/>
      <c r="E980" s="79"/>
      <c r="F980" s="79"/>
      <c r="G980" s="79"/>
      <c r="H980" s="79"/>
      <c r="I980" s="83"/>
    </row>
    <row r="981">
      <c r="C981" s="82"/>
      <c r="D981" s="11"/>
      <c r="E981" s="79"/>
      <c r="F981" s="79"/>
      <c r="G981" s="79"/>
      <c r="H981" s="79"/>
      <c r="I981" s="83"/>
    </row>
    <row r="982">
      <c r="C982" s="82"/>
      <c r="D982" s="11"/>
      <c r="E982" s="79"/>
      <c r="F982" s="79"/>
      <c r="G982" s="79"/>
      <c r="H982" s="79"/>
      <c r="I982" s="83"/>
    </row>
    <row r="983">
      <c r="C983" s="82"/>
      <c r="D983" s="11"/>
      <c r="E983" s="79"/>
      <c r="F983" s="79"/>
      <c r="G983" s="79"/>
      <c r="H983" s="79"/>
      <c r="I983" s="83"/>
    </row>
    <row r="984">
      <c r="C984" s="82"/>
      <c r="D984" s="11"/>
      <c r="E984" s="79"/>
      <c r="F984" s="79"/>
      <c r="G984" s="79"/>
      <c r="H984" s="79"/>
      <c r="I984" s="83"/>
    </row>
    <row r="985">
      <c r="C985" s="82"/>
      <c r="D985" s="11"/>
      <c r="E985" s="79"/>
      <c r="F985" s="79"/>
      <c r="G985" s="79"/>
      <c r="H985" s="79"/>
      <c r="I985" s="83"/>
    </row>
    <row r="986">
      <c r="C986" s="82"/>
      <c r="D986" s="11"/>
      <c r="E986" s="79"/>
      <c r="F986" s="79"/>
      <c r="G986" s="79"/>
      <c r="H986" s="79"/>
      <c r="I986" s="83"/>
    </row>
    <row r="987">
      <c r="C987" s="82"/>
      <c r="D987" s="11"/>
      <c r="E987" s="79"/>
      <c r="F987" s="79"/>
      <c r="G987" s="79"/>
      <c r="H987" s="79"/>
      <c r="I987" s="83"/>
    </row>
    <row r="988">
      <c r="C988" s="82"/>
      <c r="D988" s="11"/>
      <c r="E988" s="79"/>
      <c r="F988" s="79"/>
      <c r="G988" s="79"/>
      <c r="H988" s="79"/>
      <c r="I988" s="83"/>
    </row>
    <row r="989">
      <c r="C989" s="82"/>
      <c r="D989" s="11"/>
      <c r="E989" s="79"/>
      <c r="F989" s="79"/>
      <c r="G989" s="79"/>
      <c r="H989" s="79"/>
      <c r="I989" s="83"/>
    </row>
    <row r="990">
      <c r="C990" s="82"/>
      <c r="D990" s="11"/>
      <c r="E990" s="79"/>
      <c r="F990" s="79"/>
      <c r="G990" s="79"/>
      <c r="H990" s="79"/>
      <c r="I990" s="83"/>
    </row>
    <row r="991">
      <c r="C991" s="82"/>
      <c r="D991" s="11"/>
      <c r="E991" s="79"/>
      <c r="F991" s="79"/>
      <c r="G991" s="79"/>
      <c r="H991" s="79"/>
      <c r="I991" s="83"/>
    </row>
    <row r="992">
      <c r="C992" s="82"/>
      <c r="D992" s="11"/>
      <c r="E992" s="79"/>
      <c r="F992" s="79"/>
      <c r="G992" s="79"/>
      <c r="H992" s="79"/>
      <c r="I992" s="83"/>
    </row>
    <row r="993">
      <c r="C993" s="82"/>
      <c r="D993" s="11"/>
      <c r="E993" s="79"/>
      <c r="F993" s="79"/>
      <c r="G993" s="79"/>
      <c r="H993" s="79"/>
      <c r="I993" s="83"/>
    </row>
    <row r="994">
      <c r="C994" s="82"/>
      <c r="D994" s="11"/>
      <c r="E994" s="79"/>
      <c r="F994" s="79"/>
      <c r="G994" s="79"/>
      <c r="H994" s="79"/>
      <c r="I994" s="83"/>
    </row>
    <row r="995">
      <c r="C995" s="82"/>
      <c r="D995" s="11"/>
      <c r="E995" s="79"/>
      <c r="F995" s="79"/>
      <c r="G995" s="79"/>
      <c r="H995" s="79"/>
      <c r="I995" s="83"/>
    </row>
    <row r="996">
      <c r="C996" s="82"/>
      <c r="D996" s="11"/>
      <c r="E996" s="79"/>
      <c r="F996" s="79"/>
      <c r="G996" s="79"/>
      <c r="H996" s="79"/>
      <c r="I996" s="83"/>
    </row>
    <row r="997">
      <c r="C997" s="82"/>
      <c r="D997" s="11"/>
      <c r="E997" s="79"/>
      <c r="F997" s="79"/>
      <c r="G997" s="79"/>
      <c r="H997" s="79"/>
      <c r="I997" s="83"/>
    </row>
    <row r="998">
      <c r="C998" s="82"/>
      <c r="D998" s="11"/>
      <c r="E998" s="79"/>
      <c r="F998" s="79"/>
      <c r="G998" s="79"/>
      <c r="H998" s="79"/>
      <c r="I998" s="83"/>
    </row>
    <row r="999">
      <c r="C999" s="82"/>
      <c r="D999" s="11"/>
      <c r="E999" s="79"/>
      <c r="F999" s="79"/>
      <c r="G999" s="79"/>
      <c r="H999" s="79"/>
      <c r="I999" s="83"/>
    </row>
    <row r="1000">
      <c r="C1000" s="82"/>
      <c r="D1000" s="11"/>
      <c r="E1000" s="79"/>
      <c r="F1000" s="79"/>
      <c r="G1000" s="79"/>
      <c r="H1000" s="79"/>
      <c r="I1000" s="83"/>
    </row>
  </sheetData>
  <autoFilter ref="$A$1:$I$683">
    <filterColumn colId="2">
      <customFilters>
        <customFilter operator="greaterThanOrEqual" val="500"/>
      </customFilters>
    </filterColumn>
  </autoFilter>
  <conditionalFormatting sqref="D875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73:D87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72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7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9:D870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7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5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4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60:D863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59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57:D858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55:D856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5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51:D853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48:D850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44:D847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43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41:D842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40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35:D839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34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31:D833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30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28:D829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20:D827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17:D81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15:D816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06:D814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05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04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803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99:D802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97:D798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96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95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82:D794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81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80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79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77:D778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72:D776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60:D771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59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58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54:D757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53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46:D752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45">
    <cfRule type="colorScale" priority="5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33:D744">
    <cfRule type="colorScale" priority="5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32">
    <cfRule type="colorScale" priority="5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30:D731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22:D729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21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12:D720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11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700:D710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98:D699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96:D697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94:D695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93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91:D692">
    <cfRule type="colorScale" priority="6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89:D690">
    <cfRule type="colorScale" priority="6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87:D688">
    <cfRule type="colorScale" priority="6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86">
    <cfRule type="colorScale" priority="6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684:D685">
    <cfRule type="colorScale" priority="6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D1:D683">
    <cfRule type="colorScale" priority="6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1000">
    <cfRule type="colorScale" priority="6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:H1000">
    <cfRule type="colorScale" priority="7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1000">
    <cfRule type="colorScale" priority="7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1000">
    <cfRule type="colorScale" priority="72">
      <colorScale>
        <cfvo type="min"/>
        <cfvo type="formula" val="0"/>
        <cfvo type="max"/>
        <color rgb="FF57BB8A"/>
        <color rgb="FFFFFFFF"/>
        <color rgb="FFE67C73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</cols>
  <sheetData>
    <row r="1">
      <c r="A1" s="32" t="s">
        <v>0</v>
      </c>
      <c r="B1" s="33" t="s">
        <v>5</v>
      </c>
      <c r="C1" s="33" t="s">
        <v>523</v>
      </c>
      <c r="D1" s="35" t="s">
        <v>524</v>
      </c>
      <c r="E1" s="36" t="s">
        <v>525</v>
      </c>
      <c r="F1" s="36" t="s">
        <v>526</v>
      </c>
      <c r="G1" s="36" t="s">
        <v>527</v>
      </c>
      <c r="H1" s="36" t="s">
        <v>528</v>
      </c>
      <c r="I1" s="71" t="s">
        <v>529</v>
      </c>
    </row>
    <row r="2" hidden="1">
      <c r="A2" s="1" t="s">
        <v>261</v>
      </c>
      <c r="B2" s="38">
        <v>664126.0</v>
      </c>
      <c r="C2" s="38">
        <v>350.0</v>
      </c>
      <c r="D2" s="40">
        <v>5.644839885</v>
      </c>
      <c r="E2" s="41">
        <v>0.582857143</v>
      </c>
      <c r="F2" s="41">
        <v>0.151428571</v>
      </c>
      <c r="G2" s="41">
        <v>0.265714286</v>
      </c>
      <c r="H2" s="79">
        <f t="shared" ref="H2:H669" si="1">E2-G2</f>
        <v>0.317142857</v>
      </c>
      <c r="I2" s="42">
        <v>1.845561647</v>
      </c>
    </row>
    <row r="3">
      <c r="A3" s="1" t="s">
        <v>132</v>
      </c>
      <c r="B3" s="38">
        <v>661403.0</v>
      </c>
      <c r="C3" s="38">
        <v>913.0</v>
      </c>
      <c r="D3" s="40">
        <v>5.561175371</v>
      </c>
      <c r="E3" s="41">
        <v>0.593647317</v>
      </c>
      <c r="F3" s="41">
        <v>0.188389923</v>
      </c>
      <c r="G3" s="41">
        <v>0.21796276</v>
      </c>
      <c r="H3" s="79">
        <f t="shared" si="1"/>
        <v>0.375684557</v>
      </c>
      <c r="I3" s="42">
        <v>13.28834816</v>
      </c>
    </row>
    <row r="4">
      <c r="A4" s="1" t="s">
        <v>57</v>
      </c>
      <c r="B4" s="38">
        <v>594798.0</v>
      </c>
      <c r="C4" s="38">
        <v>935.0</v>
      </c>
      <c r="D4" s="40">
        <v>5.446717224</v>
      </c>
      <c r="E4" s="41">
        <v>0.536898396</v>
      </c>
      <c r="F4" s="41">
        <v>0.171122995</v>
      </c>
      <c r="G4" s="41">
        <v>0.29197861</v>
      </c>
      <c r="H4" s="79">
        <f t="shared" si="1"/>
        <v>0.244919786</v>
      </c>
      <c r="I4" s="42">
        <v>-1.434564182</v>
      </c>
    </row>
    <row r="5" hidden="1">
      <c r="A5" s="1" t="s">
        <v>1078</v>
      </c>
      <c r="B5" s="38">
        <v>543548.0</v>
      </c>
      <c r="C5" s="38">
        <v>237.0</v>
      </c>
      <c r="D5" s="40">
        <v>5.407613734</v>
      </c>
      <c r="E5" s="41">
        <v>0.510548523</v>
      </c>
      <c r="F5" s="41">
        <v>0.189873418</v>
      </c>
      <c r="G5" s="41">
        <v>0.299578059</v>
      </c>
      <c r="H5" s="79">
        <f t="shared" si="1"/>
        <v>0.210970464</v>
      </c>
      <c r="I5" s="42">
        <v>-0.385632919</v>
      </c>
    </row>
    <row r="6">
      <c r="A6" s="1" t="s">
        <v>605</v>
      </c>
      <c r="B6" s="38">
        <v>489119.0</v>
      </c>
      <c r="C6" s="38">
        <v>562.0</v>
      </c>
      <c r="D6" s="40">
        <v>5.396496158</v>
      </c>
      <c r="E6" s="41">
        <v>0.521352313</v>
      </c>
      <c r="F6" s="41">
        <v>0.197508897</v>
      </c>
      <c r="G6" s="41">
        <v>0.28113879</v>
      </c>
      <c r="H6" s="79">
        <f t="shared" si="1"/>
        <v>0.240213523</v>
      </c>
      <c r="I6" s="42">
        <v>3.735768281</v>
      </c>
    </row>
    <row r="7">
      <c r="A7" s="1" t="s">
        <v>300</v>
      </c>
      <c r="B7" s="38">
        <v>506433.0</v>
      </c>
      <c r="C7" s="38">
        <v>2946.0</v>
      </c>
      <c r="D7" s="40">
        <v>5.36280256</v>
      </c>
      <c r="E7" s="41">
        <v>0.534962661</v>
      </c>
      <c r="F7" s="41">
        <v>0.175492193</v>
      </c>
      <c r="G7" s="41">
        <v>0.289545146</v>
      </c>
      <c r="H7" s="79">
        <f t="shared" si="1"/>
        <v>0.245417515</v>
      </c>
      <c r="I7" s="42">
        <v>17.55407717</v>
      </c>
    </row>
    <row r="8">
      <c r="A8" s="1" t="s">
        <v>79</v>
      </c>
      <c r="B8" s="38">
        <v>554430.0</v>
      </c>
      <c r="C8" s="38">
        <v>2334.0</v>
      </c>
      <c r="D8" s="40">
        <v>5.35847715</v>
      </c>
      <c r="E8" s="41">
        <v>0.507712082</v>
      </c>
      <c r="F8" s="41">
        <v>0.201799486</v>
      </c>
      <c r="G8" s="41">
        <v>0.290488432</v>
      </c>
      <c r="H8" s="79">
        <f t="shared" si="1"/>
        <v>0.21722365</v>
      </c>
      <c r="I8" s="42">
        <v>7.349884498</v>
      </c>
    </row>
    <row r="9">
      <c r="A9" s="1" t="s">
        <v>141</v>
      </c>
      <c r="B9" s="38">
        <v>670036.0</v>
      </c>
      <c r="C9" s="38">
        <v>893.0</v>
      </c>
      <c r="D9" s="40">
        <v>5.346990245</v>
      </c>
      <c r="E9" s="41">
        <v>0.546472564</v>
      </c>
      <c r="F9" s="41">
        <v>0.147816349</v>
      </c>
      <c r="G9" s="41">
        <v>0.305711086</v>
      </c>
      <c r="H9" s="79">
        <f t="shared" si="1"/>
        <v>0.240761478</v>
      </c>
      <c r="I9" s="42">
        <v>-4.511546861</v>
      </c>
    </row>
    <row r="10">
      <c r="A10" s="1" t="s">
        <v>98</v>
      </c>
      <c r="B10" s="38">
        <v>605400.0</v>
      </c>
      <c r="C10" s="38">
        <v>3007.0</v>
      </c>
      <c r="D10" s="40">
        <v>5.346532974</v>
      </c>
      <c r="E10" s="41">
        <v>0.501496508</v>
      </c>
      <c r="F10" s="41">
        <v>0.211506485</v>
      </c>
      <c r="G10" s="41">
        <v>0.286997007</v>
      </c>
      <c r="H10" s="79">
        <f t="shared" si="1"/>
        <v>0.214499501</v>
      </c>
      <c r="I10" s="42">
        <v>-9.117973174</v>
      </c>
    </row>
    <row r="11">
      <c r="A11" s="1" t="s">
        <v>1042</v>
      </c>
      <c r="B11" s="38">
        <v>676596.0</v>
      </c>
      <c r="C11" s="38">
        <v>658.0</v>
      </c>
      <c r="D11" s="40">
        <v>5.342018026</v>
      </c>
      <c r="E11" s="41">
        <v>0.504559271</v>
      </c>
      <c r="F11" s="41">
        <v>0.212765957</v>
      </c>
      <c r="G11" s="41">
        <v>0.282674772</v>
      </c>
      <c r="H11" s="79">
        <f t="shared" si="1"/>
        <v>0.221884499</v>
      </c>
      <c r="I11" s="42">
        <v>-11.49018866</v>
      </c>
    </row>
    <row r="12">
      <c r="A12" s="1" t="s">
        <v>757</v>
      </c>
      <c r="B12" s="38">
        <v>521230.0</v>
      </c>
      <c r="C12" s="38">
        <v>930.0</v>
      </c>
      <c r="D12" s="40">
        <v>5.335721929</v>
      </c>
      <c r="E12" s="41">
        <v>0.516129032</v>
      </c>
      <c r="F12" s="41">
        <v>0.161290323</v>
      </c>
      <c r="G12" s="41">
        <v>0.322580645</v>
      </c>
      <c r="H12" s="79">
        <f t="shared" si="1"/>
        <v>0.193548387</v>
      </c>
      <c r="I12" s="42">
        <v>-11.03982414</v>
      </c>
    </row>
    <row r="13">
      <c r="A13" s="1" t="s">
        <v>49</v>
      </c>
      <c r="B13" s="38">
        <v>670970.0</v>
      </c>
      <c r="C13" s="38">
        <v>536.0</v>
      </c>
      <c r="D13" s="40">
        <v>5.332726985</v>
      </c>
      <c r="E13" s="41">
        <v>0.529850746</v>
      </c>
      <c r="F13" s="41">
        <v>0.177238806</v>
      </c>
      <c r="G13" s="41">
        <v>0.292910448</v>
      </c>
      <c r="H13" s="79">
        <f t="shared" si="1"/>
        <v>0.236940298</v>
      </c>
      <c r="I13" s="42">
        <v>-3.559304623</v>
      </c>
    </row>
    <row r="14">
      <c r="A14" s="1" t="s">
        <v>674</v>
      </c>
      <c r="B14" s="38">
        <v>621345.0</v>
      </c>
      <c r="C14" s="38">
        <v>1088.0</v>
      </c>
      <c r="D14" s="40">
        <v>5.327938517</v>
      </c>
      <c r="E14" s="41">
        <v>0.507352941</v>
      </c>
      <c r="F14" s="41">
        <v>0.184742647</v>
      </c>
      <c r="G14" s="41">
        <v>0.307904412</v>
      </c>
      <c r="H14" s="79">
        <f t="shared" si="1"/>
        <v>0.199448529</v>
      </c>
      <c r="I14" s="42">
        <v>5.688944664</v>
      </c>
    </row>
    <row r="15">
      <c r="A15" s="1" t="s">
        <v>694</v>
      </c>
      <c r="B15" s="38">
        <v>623465.0</v>
      </c>
      <c r="C15" s="38">
        <v>916.0</v>
      </c>
      <c r="D15" s="40">
        <v>5.322032659</v>
      </c>
      <c r="E15" s="41">
        <v>0.524017467</v>
      </c>
      <c r="F15" s="41">
        <v>0.170305677</v>
      </c>
      <c r="G15" s="41">
        <v>0.305676856</v>
      </c>
      <c r="H15" s="79">
        <f t="shared" si="1"/>
        <v>0.218340611</v>
      </c>
      <c r="I15" s="42">
        <v>19.85449142</v>
      </c>
    </row>
    <row r="16">
      <c r="A16" s="1" t="s">
        <v>327</v>
      </c>
      <c r="B16" s="38">
        <v>621242.0</v>
      </c>
      <c r="C16" s="38">
        <v>924.0</v>
      </c>
      <c r="D16" s="40">
        <v>5.321003127</v>
      </c>
      <c r="E16" s="41">
        <v>0.520562771</v>
      </c>
      <c r="F16" s="41">
        <v>0.172077922</v>
      </c>
      <c r="G16" s="41">
        <v>0.307359307</v>
      </c>
      <c r="H16" s="79">
        <f t="shared" si="1"/>
        <v>0.213203464</v>
      </c>
      <c r="I16" s="42">
        <v>6.408693696</v>
      </c>
    </row>
    <row r="17">
      <c r="A17" s="1" t="s">
        <v>83</v>
      </c>
      <c r="B17" s="38">
        <v>571927.0</v>
      </c>
      <c r="C17" s="38">
        <v>835.0</v>
      </c>
      <c r="D17" s="40">
        <v>5.319129887</v>
      </c>
      <c r="E17" s="41">
        <v>0.517365269</v>
      </c>
      <c r="F17" s="41">
        <v>0.176047904</v>
      </c>
      <c r="G17" s="41">
        <v>0.306586826</v>
      </c>
      <c r="H17" s="79">
        <f t="shared" si="1"/>
        <v>0.210778443</v>
      </c>
      <c r="I17" s="42">
        <v>4.930446466</v>
      </c>
    </row>
    <row r="18">
      <c r="A18" s="1" t="s">
        <v>1030</v>
      </c>
      <c r="B18" s="38">
        <v>641729.0</v>
      </c>
      <c r="C18" s="38">
        <v>921.0</v>
      </c>
      <c r="D18" s="40">
        <v>5.318016295</v>
      </c>
      <c r="E18" s="41">
        <v>0.508143322</v>
      </c>
      <c r="F18" s="41">
        <v>0.194353963</v>
      </c>
      <c r="G18" s="41">
        <v>0.297502714</v>
      </c>
      <c r="H18" s="79">
        <f t="shared" si="1"/>
        <v>0.210640608</v>
      </c>
      <c r="I18" s="42">
        <v>-4.436253985</v>
      </c>
    </row>
    <row r="19">
      <c r="A19" s="1" t="s">
        <v>190</v>
      </c>
      <c r="B19" s="38">
        <v>664208.0</v>
      </c>
      <c r="C19" s="38">
        <v>1075.0</v>
      </c>
      <c r="D19" s="40">
        <v>5.311690972</v>
      </c>
      <c r="E19" s="41">
        <v>0.532093023</v>
      </c>
      <c r="F19" s="41">
        <v>0.15255814</v>
      </c>
      <c r="G19" s="41">
        <v>0.315348837</v>
      </c>
      <c r="H19" s="79">
        <f t="shared" si="1"/>
        <v>0.216744186</v>
      </c>
      <c r="I19" s="42">
        <v>-3.293273978</v>
      </c>
    </row>
    <row r="20">
      <c r="A20" s="1" t="s">
        <v>92</v>
      </c>
      <c r="B20" s="38">
        <v>681911.0</v>
      </c>
      <c r="C20" s="38">
        <v>934.0</v>
      </c>
      <c r="D20" s="40">
        <v>5.308247012</v>
      </c>
      <c r="E20" s="41">
        <v>0.531049251</v>
      </c>
      <c r="F20" s="41">
        <v>0.152034261</v>
      </c>
      <c r="G20" s="41">
        <v>0.316916488</v>
      </c>
      <c r="H20" s="79">
        <f t="shared" si="1"/>
        <v>0.214132763</v>
      </c>
      <c r="I20" s="42">
        <v>3.847436131</v>
      </c>
    </row>
    <row r="21">
      <c r="A21" s="1" t="s">
        <v>199</v>
      </c>
      <c r="B21" s="38">
        <v>664199.0</v>
      </c>
      <c r="C21" s="38">
        <v>843.0</v>
      </c>
      <c r="D21" s="40">
        <v>5.305564422</v>
      </c>
      <c r="E21" s="41">
        <v>0.492289442</v>
      </c>
      <c r="F21" s="41">
        <v>0.199288256</v>
      </c>
      <c r="G21" s="41">
        <v>0.308422301</v>
      </c>
      <c r="H21" s="79">
        <f t="shared" si="1"/>
        <v>0.183867141</v>
      </c>
      <c r="I21" s="42">
        <v>-3.230516288</v>
      </c>
    </row>
    <row r="22">
      <c r="A22" s="1" t="s">
        <v>1093</v>
      </c>
      <c r="B22" s="38">
        <v>660813.0</v>
      </c>
      <c r="C22" s="38">
        <v>669.0</v>
      </c>
      <c r="D22" s="40">
        <v>5.303874516</v>
      </c>
      <c r="E22" s="41">
        <v>0.535127055</v>
      </c>
      <c r="F22" s="41">
        <v>0.200298954</v>
      </c>
      <c r="G22" s="41">
        <v>0.264573991</v>
      </c>
      <c r="H22" s="79">
        <f t="shared" si="1"/>
        <v>0.270553064</v>
      </c>
      <c r="I22" s="42">
        <v>8.238800153</v>
      </c>
    </row>
    <row r="23">
      <c r="A23" s="1" t="s">
        <v>136</v>
      </c>
      <c r="B23" s="38">
        <v>660271.0</v>
      </c>
      <c r="C23" s="38">
        <v>2607.0</v>
      </c>
      <c r="D23" s="40">
        <v>5.302632051</v>
      </c>
      <c r="E23" s="41">
        <v>0.516685846</v>
      </c>
      <c r="F23" s="41">
        <v>0.169543537</v>
      </c>
      <c r="G23" s="41">
        <v>0.313770618</v>
      </c>
      <c r="H23" s="79">
        <f t="shared" si="1"/>
        <v>0.202915228</v>
      </c>
      <c r="I23" s="42">
        <v>10.79326414</v>
      </c>
    </row>
    <row r="24">
      <c r="A24" s="1" t="s">
        <v>1081</v>
      </c>
      <c r="B24" s="38">
        <v>543521.0</v>
      </c>
      <c r="C24" s="38">
        <v>1071.0</v>
      </c>
      <c r="D24" s="40">
        <v>5.299909781</v>
      </c>
      <c r="E24" s="41">
        <v>0.503267974</v>
      </c>
      <c r="F24" s="41">
        <v>0.206349206</v>
      </c>
      <c r="G24" s="41">
        <v>0.29038282</v>
      </c>
      <c r="H24" s="79">
        <f t="shared" si="1"/>
        <v>0.212885154</v>
      </c>
      <c r="I24" s="42">
        <v>1.813496981</v>
      </c>
    </row>
    <row r="25">
      <c r="A25" s="1" t="s">
        <v>97</v>
      </c>
      <c r="B25" s="38">
        <v>656876.0</v>
      </c>
      <c r="C25" s="38">
        <v>2205.0</v>
      </c>
      <c r="D25" s="40">
        <v>5.296590309</v>
      </c>
      <c r="E25" s="41">
        <v>0.500226757</v>
      </c>
      <c r="F25" s="41">
        <v>0.213605442</v>
      </c>
      <c r="G25" s="41">
        <v>0.2861678</v>
      </c>
      <c r="H25" s="79">
        <f t="shared" si="1"/>
        <v>0.214058957</v>
      </c>
      <c r="I25" s="42">
        <v>5.082144557</v>
      </c>
    </row>
    <row r="26">
      <c r="A26" s="1" t="s">
        <v>231</v>
      </c>
      <c r="B26" s="38">
        <v>669211.0</v>
      </c>
      <c r="C26" s="38">
        <v>1231.0</v>
      </c>
      <c r="D26" s="40">
        <v>5.296176775</v>
      </c>
      <c r="E26" s="41">
        <v>0.514216084</v>
      </c>
      <c r="F26" s="41">
        <v>0.201462226</v>
      </c>
      <c r="G26" s="41">
        <v>0.28432169</v>
      </c>
      <c r="H26" s="79">
        <f t="shared" si="1"/>
        <v>0.229894394</v>
      </c>
      <c r="I26" s="42">
        <v>-2.908758569</v>
      </c>
    </row>
    <row r="27">
      <c r="A27" s="1" t="s">
        <v>114</v>
      </c>
      <c r="B27" s="38">
        <v>642207.0</v>
      </c>
      <c r="C27" s="38">
        <v>1047.0</v>
      </c>
      <c r="D27" s="40">
        <v>5.2956946</v>
      </c>
      <c r="E27" s="41">
        <v>0.515759312</v>
      </c>
      <c r="F27" s="41">
        <v>0.157593123</v>
      </c>
      <c r="G27" s="41">
        <v>0.326647564</v>
      </c>
      <c r="H27" s="79">
        <f t="shared" si="1"/>
        <v>0.189111748</v>
      </c>
      <c r="I27" s="42">
        <v>15.6474645</v>
      </c>
    </row>
    <row r="28">
      <c r="A28" s="1" t="s">
        <v>175</v>
      </c>
      <c r="B28" s="38">
        <v>622503.0</v>
      </c>
      <c r="C28" s="38">
        <v>1052.0</v>
      </c>
      <c r="D28" s="40">
        <v>5.288251217</v>
      </c>
      <c r="E28" s="41">
        <v>0.508555133</v>
      </c>
      <c r="F28" s="41">
        <v>0.164448669</v>
      </c>
      <c r="G28" s="41">
        <v>0.326996198</v>
      </c>
      <c r="H28" s="79">
        <f t="shared" si="1"/>
        <v>0.181558935</v>
      </c>
      <c r="I28" s="42">
        <v>8.991591341</v>
      </c>
    </row>
    <row r="29">
      <c r="A29" s="1" t="s">
        <v>283</v>
      </c>
      <c r="B29" s="38">
        <v>641401.0</v>
      </c>
      <c r="C29" s="38">
        <v>707.0</v>
      </c>
      <c r="D29" s="40">
        <v>5.287496149</v>
      </c>
      <c r="E29" s="41">
        <v>0.507779349</v>
      </c>
      <c r="F29" s="41">
        <v>0.189533239</v>
      </c>
      <c r="G29" s="41">
        <v>0.302687412</v>
      </c>
      <c r="H29" s="79">
        <f t="shared" si="1"/>
        <v>0.205091937</v>
      </c>
      <c r="I29" s="42">
        <v>-6.186989728</v>
      </c>
    </row>
    <row r="30">
      <c r="A30" s="1" t="s">
        <v>685</v>
      </c>
      <c r="B30" s="38">
        <v>573009.0</v>
      </c>
      <c r="C30" s="38">
        <v>849.0</v>
      </c>
      <c r="D30" s="40">
        <v>5.284004319</v>
      </c>
      <c r="E30" s="41">
        <v>0.510011779</v>
      </c>
      <c r="F30" s="41">
        <v>0.200235571</v>
      </c>
      <c r="G30" s="41">
        <v>0.28975265</v>
      </c>
      <c r="H30" s="79">
        <f t="shared" si="1"/>
        <v>0.220259129</v>
      </c>
      <c r="I30" s="42">
        <v>-0.810667133</v>
      </c>
    </row>
    <row r="31">
      <c r="A31" s="1" t="s">
        <v>128</v>
      </c>
      <c r="B31" s="38">
        <v>641941.0</v>
      </c>
      <c r="C31" s="38">
        <v>1117.0</v>
      </c>
      <c r="D31" s="40">
        <v>5.281961831</v>
      </c>
      <c r="E31" s="41">
        <v>0.499552372</v>
      </c>
      <c r="F31" s="41">
        <v>0.190689346</v>
      </c>
      <c r="G31" s="41">
        <v>0.309758281</v>
      </c>
      <c r="H31" s="79">
        <f t="shared" si="1"/>
        <v>0.189794091</v>
      </c>
      <c r="I31" s="42">
        <v>-3.424023763</v>
      </c>
    </row>
    <row r="32">
      <c r="A32" s="1" t="s">
        <v>256</v>
      </c>
      <c r="B32" s="38">
        <v>571760.0</v>
      </c>
      <c r="C32" s="38">
        <v>1223.0</v>
      </c>
      <c r="D32" s="40">
        <v>5.280770786</v>
      </c>
      <c r="E32" s="41">
        <v>0.532297629</v>
      </c>
      <c r="F32" s="41">
        <v>0.161079313</v>
      </c>
      <c r="G32" s="41">
        <v>0.306623058</v>
      </c>
      <c r="H32" s="79">
        <f t="shared" si="1"/>
        <v>0.225674571</v>
      </c>
      <c r="I32" s="42">
        <v>-6.589842903</v>
      </c>
    </row>
    <row r="33">
      <c r="A33" s="1" t="s">
        <v>336</v>
      </c>
      <c r="B33" s="38">
        <v>605488.0</v>
      </c>
      <c r="C33" s="38">
        <v>2137.0</v>
      </c>
      <c r="D33" s="40">
        <v>5.277035886</v>
      </c>
      <c r="E33" s="41">
        <v>0.489939167</v>
      </c>
      <c r="F33" s="41">
        <v>0.204960225</v>
      </c>
      <c r="G33" s="41">
        <v>0.305100608</v>
      </c>
      <c r="H33" s="79">
        <f t="shared" si="1"/>
        <v>0.184838559</v>
      </c>
      <c r="I33" s="42">
        <v>2.31885506</v>
      </c>
    </row>
    <row r="34">
      <c r="A34" s="1" t="s">
        <v>1027</v>
      </c>
      <c r="B34" s="38">
        <v>543037.0</v>
      </c>
      <c r="C34" s="38">
        <v>3247.0</v>
      </c>
      <c r="D34" s="40">
        <v>5.274580075</v>
      </c>
      <c r="E34" s="41">
        <v>0.505697567</v>
      </c>
      <c r="F34" s="41">
        <v>0.161379735</v>
      </c>
      <c r="G34" s="41">
        <v>0.332922698</v>
      </c>
      <c r="H34" s="79">
        <f t="shared" si="1"/>
        <v>0.172774869</v>
      </c>
      <c r="I34" s="42">
        <v>-14.68452578</v>
      </c>
    </row>
    <row r="35" hidden="1">
      <c r="A35" s="1" t="s">
        <v>133</v>
      </c>
      <c r="B35" s="38">
        <v>663978.0</v>
      </c>
      <c r="C35" s="38">
        <v>360.0</v>
      </c>
      <c r="D35" s="40">
        <v>5.271852636</v>
      </c>
      <c r="E35" s="41">
        <v>0.516666667</v>
      </c>
      <c r="F35" s="41">
        <v>0.166666667</v>
      </c>
      <c r="G35" s="41">
        <v>0.316666667</v>
      </c>
      <c r="H35" s="79">
        <f t="shared" si="1"/>
        <v>0.2</v>
      </c>
      <c r="I35" s="42">
        <v>-4.124356373</v>
      </c>
    </row>
    <row r="36" hidden="1">
      <c r="A36" s="1" t="s">
        <v>35</v>
      </c>
      <c r="B36" s="38">
        <v>676083.0</v>
      </c>
      <c r="C36" s="38">
        <v>159.0</v>
      </c>
      <c r="D36" s="40">
        <v>5.268182711</v>
      </c>
      <c r="E36" s="41">
        <v>0.509433962</v>
      </c>
      <c r="F36" s="41">
        <v>0.163522013</v>
      </c>
      <c r="G36" s="41">
        <v>0.327044025</v>
      </c>
      <c r="H36" s="79">
        <f t="shared" si="1"/>
        <v>0.182389937</v>
      </c>
      <c r="I36" s="42">
        <v>-1.551723153</v>
      </c>
    </row>
    <row r="37">
      <c r="A37" s="1" t="s">
        <v>285</v>
      </c>
      <c r="B37" s="38">
        <v>607074.0</v>
      </c>
      <c r="C37" s="38">
        <v>2960.0</v>
      </c>
      <c r="D37" s="40">
        <v>5.266716135</v>
      </c>
      <c r="E37" s="41">
        <v>0.504391892</v>
      </c>
      <c r="F37" s="41">
        <v>0.17972973</v>
      </c>
      <c r="G37" s="41">
        <v>0.315878378</v>
      </c>
      <c r="H37" s="79">
        <f t="shared" si="1"/>
        <v>0.188513514</v>
      </c>
      <c r="I37" s="42">
        <v>10.18713682</v>
      </c>
    </row>
    <row r="38">
      <c r="A38" s="1" t="s">
        <v>1032</v>
      </c>
      <c r="B38" s="38">
        <v>671345.0</v>
      </c>
      <c r="C38" s="38">
        <v>953.0</v>
      </c>
      <c r="D38" s="40">
        <v>5.259813796</v>
      </c>
      <c r="E38" s="41">
        <v>0.488982162</v>
      </c>
      <c r="F38" s="41">
        <v>0.195173137</v>
      </c>
      <c r="G38" s="41">
        <v>0.315844701</v>
      </c>
      <c r="H38" s="79">
        <f t="shared" si="1"/>
        <v>0.173137461</v>
      </c>
      <c r="I38" s="42">
        <v>-6.820160489</v>
      </c>
    </row>
    <row r="39">
      <c r="A39" s="1" t="s">
        <v>1087</v>
      </c>
      <c r="B39" s="38">
        <v>663556.0</v>
      </c>
      <c r="C39" s="38">
        <v>2440.0</v>
      </c>
      <c r="D39" s="40">
        <v>5.256919782</v>
      </c>
      <c r="E39" s="41">
        <v>0.497540984</v>
      </c>
      <c r="F39" s="41">
        <v>0.180737705</v>
      </c>
      <c r="G39" s="41">
        <v>0.321721311</v>
      </c>
      <c r="H39" s="79">
        <f t="shared" si="1"/>
        <v>0.175819673</v>
      </c>
      <c r="I39" s="42">
        <v>10.23485199</v>
      </c>
    </row>
    <row r="40">
      <c r="A40" s="1" t="s">
        <v>943</v>
      </c>
      <c r="B40" s="38">
        <v>548384.0</v>
      </c>
      <c r="C40" s="38">
        <v>836.0</v>
      </c>
      <c r="D40" s="40">
        <v>5.252852963</v>
      </c>
      <c r="E40" s="41">
        <v>0.513157895</v>
      </c>
      <c r="F40" s="41">
        <v>0.178229665</v>
      </c>
      <c r="G40" s="41">
        <v>0.30861244</v>
      </c>
      <c r="H40" s="79">
        <f t="shared" si="1"/>
        <v>0.204545455</v>
      </c>
      <c r="I40" s="42">
        <v>7.525145154</v>
      </c>
    </row>
    <row r="41">
      <c r="A41" s="1" t="s">
        <v>865</v>
      </c>
      <c r="B41" s="38">
        <v>518886.0</v>
      </c>
      <c r="C41" s="38">
        <v>1047.0</v>
      </c>
      <c r="D41" s="40">
        <v>5.250012184</v>
      </c>
      <c r="E41" s="41">
        <v>0.512893983</v>
      </c>
      <c r="F41" s="41">
        <v>0.180515759</v>
      </c>
      <c r="G41" s="41">
        <v>0.306590258</v>
      </c>
      <c r="H41" s="79">
        <f t="shared" si="1"/>
        <v>0.206303725</v>
      </c>
      <c r="I41" s="42">
        <v>-6.917271576</v>
      </c>
    </row>
    <row r="42">
      <c r="A42" s="1" t="s">
        <v>479</v>
      </c>
      <c r="B42" s="38">
        <v>664299.0</v>
      </c>
      <c r="C42" s="38">
        <v>2534.0</v>
      </c>
      <c r="D42" s="40">
        <v>5.244944861</v>
      </c>
      <c r="E42" s="41">
        <v>0.511049724</v>
      </c>
      <c r="F42" s="41">
        <v>0.151144436</v>
      </c>
      <c r="G42" s="41">
        <v>0.337805841</v>
      </c>
      <c r="H42" s="79">
        <f t="shared" si="1"/>
        <v>0.173243883</v>
      </c>
      <c r="I42" s="42">
        <v>19.90494594</v>
      </c>
    </row>
    <row r="43">
      <c r="A43" s="1" t="s">
        <v>1108</v>
      </c>
      <c r="B43" s="38">
        <v>641360.0</v>
      </c>
      <c r="C43" s="38">
        <v>979.0</v>
      </c>
      <c r="D43" s="40">
        <v>5.243626371</v>
      </c>
      <c r="E43" s="41">
        <v>0.497446374</v>
      </c>
      <c r="F43" s="41">
        <v>0.188968335</v>
      </c>
      <c r="G43" s="41">
        <v>0.313585291</v>
      </c>
      <c r="H43" s="79">
        <f t="shared" si="1"/>
        <v>0.183861083</v>
      </c>
      <c r="I43" s="42">
        <v>-4.239404901</v>
      </c>
    </row>
    <row r="44">
      <c r="A44" s="1" t="s">
        <v>648</v>
      </c>
      <c r="B44" s="38">
        <v>623149.0</v>
      </c>
      <c r="C44" s="38">
        <v>963.0</v>
      </c>
      <c r="D44" s="40">
        <v>5.242231691</v>
      </c>
      <c r="E44" s="41">
        <v>0.518172378</v>
      </c>
      <c r="F44" s="41">
        <v>0.153686397</v>
      </c>
      <c r="G44" s="41">
        <v>0.328141225</v>
      </c>
      <c r="H44" s="79">
        <f t="shared" si="1"/>
        <v>0.190031153</v>
      </c>
      <c r="I44" s="42">
        <v>3.938228008</v>
      </c>
    </row>
    <row r="45">
      <c r="A45" s="1" t="s">
        <v>472</v>
      </c>
      <c r="B45" s="38">
        <v>675911.0</v>
      </c>
      <c r="C45" s="38">
        <v>2256.0</v>
      </c>
      <c r="D45" s="40">
        <v>5.240630444</v>
      </c>
      <c r="E45" s="41">
        <v>0.503989362</v>
      </c>
      <c r="F45" s="41">
        <v>0.170212766</v>
      </c>
      <c r="G45" s="41">
        <v>0.325797872</v>
      </c>
      <c r="H45" s="79">
        <f t="shared" si="1"/>
        <v>0.17819149</v>
      </c>
      <c r="I45" s="42">
        <v>11.05024094</v>
      </c>
    </row>
    <row r="46" hidden="1">
      <c r="A46" s="1" t="s">
        <v>1159</v>
      </c>
      <c r="B46" s="38">
        <v>668665.0</v>
      </c>
      <c r="C46" s="38">
        <v>372.0</v>
      </c>
      <c r="D46" s="40">
        <v>5.239600403</v>
      </c>
      <c r="E46" s="41">
        <v>0.516129032</v>
      </c>
      <c r="F46" s="41">
        <v>0.182795699</v>
      </c>
      <c r="G46" s="41">
        <v>0.301075269</v>
      </c>
      <c r="H46" s="79">
        <f t="shared" si="1"/>
        <v>0.215053763</v>
      </c>
      <c r="I46" s="42">
        <v>-1.642873103</v>
      </c>
    </row>
    <row r="47">
      <c r="A47" s="1" t="s">
        <v>1088</v>
      </c>
      <c r="B47" s="38">
        <v>628711.0</v>
      </c>
      <c r="C47" s="38">
        <v>2603.0</v>
      </c>
      <c r="D47" s="40">
        <v>5.238887595</v>
      </c>
      <c r="E47" s="41">
        <v>0.500576258</v>
      </c>
      <c r="F47" s="41">
        <v>0.206300423</v>
      </c>
      <c r="G47" s="41">
        <v>0.293123319</v>
      </c>
      <c r="H47" s="79">
        <f t="shared" si="1"/>
        <v>0.207452939</v>
      </c>
      <c r="I47" s="42">
        <v>15.33173591</v>
      </c>
    </row>
    <row r="48">
      <c r="A48" s="1" t="s">
        <v>216</v>
      </c>
      <c r="B48" s="38">
        <v>621107.0</v>
      </c>
      <c r="C48" s="38">
        <v>1181.0</v>
      </c>
      <c r="D48" s="40">
        <v>5.237364967</v>
      </c>
      <c r="E48" s="41">
        <v>0.469940728</v>
      </c>
      <c r="F48" s="41">
        <v>0.212531753</v>
      </c>
      <c r="G48" s="41">
        <v>0.317527519</v>
      </c>
      <c r="H48" s="79">
        <f t="shared" si="1"/>
        <v>0.152413209</v>
      </c>
      <c r="I48" s="42">
        <v>4.15006624</v>
      </c>
    </row>
    <row r="49" hidden="1">
      <c r="A49" s="1" t="s">
        <v>93</v>
      </c>
      <c r="B49" s="38">
        <v>669194.0</v>
      </c>
      <c r="C49" s="38">
        <v>252.0</v>
      </c>
      <c r="D49" s="40">
        <v>5.236133329</v>
      </c>
      <c r="E49" s="41">
        <v>0.527777778</v>
      </c>
      <c r="F49" s="41">
        <v>0.142857143</v>
      </c>
      <c r="G49" s="41">
        <v>0.329365079</v>
      </c>
      <c r="H49" s="79">
        <f t="shared" si="1"/>
        <v>0.198412699</v>
      </c>
      <c r="I49" s="42">
        <v>2.028180088</v>
      </c>
    </row>
    <row r="50">
      <c r="A50" s="1" t="s">
        <v>1036</v>
      </c>
      <c r="B50" s="38">
        <v>548389.0</v>
      </c>
      <c r="C50" s="38">
        <v>2008.0</v>
      </c>
      <c r="D50" s="40">
        <v>5.234747291</v>
      </c>
      <c r="E50" s="41">
        <v>0.471613546</v>
      </c>
      <c r="F50" s="41">
        <v>0.219621514</v>
      </c>
      <c r="G50" s="41">
        <v>0.30876494</v>
      </c>
      <c r="H50" s="79">
        <f t="shared" si="1"/>
        <v>0.162848606</v>
      </c>
      <c r="I50" s="42">
        <v>5.495538147</v>
      </c>
    </row>
    <row r="51">
      <c r="A51" s="1" t="s">
        <v>77</v>
      </c>
      <c r="B51" s="38">
        <v>657277.0</v>
      </c>
      <c r="C51" s="38">
        <v>2983.0</v>
      </c>
      <c r="D51" s="40">
        <v>5.231814314</v>
      </c>
      <c r="E51" s="41">
        <v>0.483070734</v>
      </c>
      <c r="F51" s="41">
        <v>0.217901442</v>
      </c>
      <c r="G51" s="41">
        <v>0.299027824</v>
      </c>
      <c r="H51" s="79">
        <f t="shared" si="1"/>
        <v>0.18404291</v>
      </c>
      <c r="I51" s="42">
        <v>10.94539138</v>
      </c>
    </row>
    <row r="52">
      <c r="A52" s="1" t="s">
        <v>195</v>
      </c>
      <c r="B52" s="38">
        <v>668678.0</v>
      </c>
      <c r="C52" s="38">
        <v>2908.0</v>
      </c>
      <c r="D52" s="40">
        <v>5.230590781</v>
      </c>
      <c r="E52" s="41">
        <v>0.489339752</v>
      </c>
      <c r="F52" s="41">
        <v>0.21045392</v>
      </c>
      <c r="G52" s="41">
        <v>0.300206327</v>
      </c>
      <c r="H52" s="79">
        <f t="shared" si="1"/>
        <v>0.189133425</v>
      </c>
      <c r="I52" s="42">
        <v>30.12135594</v>
      </c>
    </row>
    <row r="53" hidden="1">
      <c r="A53" s="1" t="s">
        <v>690</v>
      </c>
      <c r="B53" s="38">
        <v>665625.0</v>
      </c>
      <c r="C53" s="38">
        <v>306.0</v>
      </c>
      <c r="D53" s="40">
        <v>5.230485075</v>
      </c>
      <c r="E53" s="41">
        <v>0.493464052</v>
      </c>
      <c r="F53" s="41">
        <v>0.173202614</v>
      </c>
      <c r="G53" s="41">
        <v>0.333333333</v>
      </c>
      <c r="H53" s="79">
        <f t="shared" si="1"/>
        <v>0.160130719</v>
      </c>
      <c r="I53" s="42">
        <v>-5.001264774</v>
      </c>
    </row>
    <row r="54">
      <c r="A54" s="1" t="s">
        <v>629</v>
      </c>
      <c r="B54" s="38">
        <v>518489.0</v>
      </c>
      <c r="C54" s="38">
        <v>981.0</v>
      </c>
      <c r="D54" s="40">
        <v>5.22998644</v>
      </c>
      <c r="E54" s="41">
        <v>0.48216106</v>
      </c>
      <c r="F54" s="41">
        <v>0.220183486</v>
      </c>
      <c r="G54" s="41">
        <v>0.297655454</v>
      </c>
      <c r="H54" s="79">
        <f t="shared" si="1"/>
        <v>0.184505606</v>
      </c>
      <c r="I54" s="42">
        <v>-13.69747903</v>
      </c>
    </row>
    <row r="55" hidden="1">
      <c r="A55" s="1" t="s">
        <v>562</v>
      </c>
      <c r="B55" s="38">
        <v>669713.0</v>
      </c>
      <c r="C55" s="38">
        <v>489.0</v>
      </c>
      <c r="D55" s="40">
        <v>5.228208481</v>
      </c>
      <c r="E55" s="41">
        <v>0.486707566</v>
      </c>
      <c r="F55" s="41">
        <v>0.194274029</v>
      </c>
      <c r="G55" s="41">
        <v>0.319018405</v>
      </c>
      <c r="H55" s="79">
        <f t="shared" si="1"/>
        <v>0.167689161</v>
      </c>
      <c r="I55" s="42">
        <v>8.800961644</v>
      </c>
    </row>
    <row r="56" hidden="1">
      <c r="A56" s="1" t="s">
        <v>1119</v>
      </c>
      <c r="B56" s="38">
        <v>663989.0</v>
      </c>
      <c r="C56" s="38">
        <v>441.0</v>
      </c>
      <c r="D56" s="40">
        <v>5.227598902</v>
      </c>
      <c r="E56" s="41">
        <v>0.473922902</v>
      </c>
      <c r="F56" s="41">
        <v>0.222222222</v>
      </c>
      <c r="G56" s="41">
        <v>0.303854875</v>
      </c>
      <c r="H56" s="79">
        <f t="shared" si="1"/>
        <v>0.170068027</v>
      </c>
      <c r="I56" s="42">
        <v>-6.339780984</v>
      </c>
    </row>
    <row r="57">
      <c r="A57" s="1" t="s">
        <v>71</v>
      </c>
      <c r="B57" s="38">
        <v>573204.0</v>
      </c>
      <c r="C57" s="38">
        <v>981.0</v>
      </c>
      <c r="D57" s="40">
        <v>5.226777348</v>
      </c>
      <c r="E57" s="41">
        <v>0.500509684</v>
      </c>
      <c r="F57" s="41">
        <v>0.189602446</v>
      </c>
      <c r="G57" s="41">
        <v>0.30988787</v>
      </c>
      <c r="H57" s="79">
        <f t="shared" si="1"/>
        <v>0.190621814</v>
      </c>
      <c r="I57" s="42">
        <v>-1.739665124</v>
      </c>
    </row>
    <row r="58" hidden="1">
      <c r="A58" s="1" t="s">
        <v>185</v>
      </c>
      <c r="B58" s="38">
        <v>664076.0</v>
      </c>
      <c r="C58" s="38">
        <v>343.0</v>
      </c>
      <c r="D58" s="40">
        <v>5.225062808</v>
      </c>
      <c r="E58" s="41">
        <v>0.516034985</v>
      </c>
      <c r="F58" s="41">
        <v>0.192419825</v>
      </c>
      <c r="G58" s="41">
        <v>0.29154519</v>
      </c>
      <c r="H58" s="79">
        <f t="shared" si="1"/>
        <v>0.224489795</v>
      </c>
      <c r="I58" s="42">
        <v>2.645588932</v>
      </c>
    </row>
    <row r="59">
      <c r="A59" s="1" t="s">
        <v>122</v>
      </c>
      <c r="B59" s="38">
        <v>661395.0</v>
      </c>
      <c r="C59" s="38">
        <v>1016.0</v>
      </c>
      <c r="D59" s="40">
        <v>5.218204095</v>
      </c>
      <c r="E59" s="41">
        <v>0.502952756</v>
      </c>
      <c r="F59" s="41">
        <v>0.18503937</v>
      </c>
      <c r="G59" s="41">
        <v>0.312007874</v>
      </c>
      <c r="H59" s="79">
        <f t="shared" si="1"/>
        <v>0.190944882</v>
      </c>
      <c r="I59" s="42">
        <v>5.717090105</v>
      </c>
    </row>
    <row r="60">
      <c r="A60" s="1" t="s">
        <v>429</v>
      </c>
      <c r="B60" s="38">
        <v>662253.0</v>
      </c>
      <c r="C60" s="38">
        <v>1004.0</v>
      </c>
      <c r="D60" s="40">
        <v>5.218092105</v>
      </c>
      <c r="E60" s="41">
        <v>0.490039841</v>
      </c>
      <c r="F60" s="41">
        <v>0.212151394</v>
      </c>
      <c r="G60" s="41">
        <v>0.297808765</v>
      </c>
      <c r="H60" s="79">
        <f t="shared" si="1"/>
        <v>0.192231076</v>
      </c>
      <c r="I60" s="42">
        <v>6.130442979</v>
      </c>
    </row>
    <row r="61" hidden="1">
      <c r="A61" s="1" t="s">
        <v>174</v>
      </c>
      <c r="B61" s="38">
        <v>643338.0</v>
      </c>
      <c r="C61" s="38">
        <v>240.0</v>
      </c>
      <c r="D61" s="40">
        <v>5.21660246</v>
      </c>
      <c r="E61" s="41">
        <v>0.508333333</v>
      </c>
      <c r="F61" s="41">
        <v>0.195833333</v>
      </c>
      <c r="G61" s="41">
        <v>0.295833333</v>
      </c>
      <c r="H61" s="79">
        <f t="shared" si="1"/>
        <v>0.2125</v>
      </c>
      <c r="I61" s="42">
        <v>-1.814884908</v>
      </c>
    </row>
    <row r="62">
      <c r="A62" s="1" t="s">
        <v>460</v>
      </c>
      <c r="B62" s="38">
        <v>519151.0</v>
      </c>
      <c r="C62" s="38">
        <v>706.0</v>
      </c>
      <c r="D62" s="40">
        <v>5.21566713</v>
      </c>
      <c r="E62" s="41">
        <v>0.495750708</v>
      </c>
      <c r="F62" s="41">
        <v>0.178470255</v>
      </c>
      <c r="G62" s="41">
        <v>0.325779037</v>
      </c>
      <c r="H62" s="79">
        <f t="shared" si="1"/>
        <v>0.169971671</v>
      </c>
      <c r="I62" s="42">
        <v>3.510373556</v>
      </c>
    </row>
    <row r="63">
      <c r="A63" s="1" t="s">
        <v>405</v>
      </c>
      <c r="B63" s="38">
        <v>621111.0</v>
      </c>
      <c r="C63" s="38">
        <v>1043.0</v>
      </c>
      <c r="D63" s="40">
        <v>5.215161549</v>
      </c>
      <c r="E63" s="41">
        <v>0.509108341</v>
      </c>
      <c r="F63" s="41">
        <v>0.174496644</v>
      </c>
      <c r="G63" s="41">
        <v>0.316395014</v>
      </c>
      <c r="H63" s="79">
        <f t="shared" si="1"/>
        <v>0.192713327</v>
      </c>
      <c r="I63" s="42">
        <v>-11.5353039</v>
      </c>
    </row>
    <row r="64">
      <c r="A64" s="1" t="s">
        <v>207</v>
      </c>
      <c r="B64" s="38">
        <v>650633.0</v>
      </c>
      <c r="C64" s="38">
        <v>765.0</v>
      </c>
      <c r="D64" s="40">
        <v>5.213854392</v>
      </c>
      <c r="E64" s="41">
        <v>0.501960784</v>
      </c>
      <c r="F64" s="41">
        <v>0.180392157</v>
      </c>
      <c r="G64" s="41">
        <v>0.317647059</v>
      </c>
      <c r="H64" s="79">
        <f t="shared" si="1"/>
        <v>0.184313725</v>
      </c>
      <c r="I64" s="42">
        <v>6.931859593</v>
      </c>
    </row>
    <row r="65" hidden="1">
      <c r="A65" s="1" t="s">
        <v>1103</v>
      </c>
      <c r="B65" s="38">
        <v>547943.0</v>
      </c>
      <c r="C65" s="38">
        <v>391.0</v>
      </c>
      <c r="D65" s="40">
        <v>5.212148146</v>
      </c>
      <c r="E65" s="41">
        <v>0.452685422</v>
      </c>
      <c r="F65" s="41">
        <v>0.212276215</v>
      </c>
      <c r="G65" s="41">
        <v>0.335038363</v>
      </c>
      <c r="H65" s="79">
        <f t="shared" si="1"/>
        <v>0.117647059</v>
      </c>
      <c r="I65" s="42">
        <v>-6.535060763</v>
      </c>
    </row>
    <row r="66">
      <c r="A66" s="1" t="s">
        <v>412</v>
      </c>
      <c r="B66" s="38">
        <v>641482.0</v>
      </c>
      <c r="C66" s="38">
        <v>2456.0</v>
      </c>
      <c r="D66" s="40">
        <v>5.211272489</v>
      </c>
      <c r="E66" s="41">
        <v>0.498371336</v>
      </c>
      <c r="F66" s="41">
        <v>0.176302932</v>
      </c>
      <c r="G66" s="41">
        <v>0.325325733</v>
      </c>
      <c r="H66" s="79">
        <f t="shared" si="1"/>
        <v>0.173045603</v>
      </c>
      <c r="I66" s="42">
        <v>13.55778061</v>
      </c>
    </row>
    <row r="67" hidden="1">
      <c r="A67" s="1" t="s">
        <v>329</v>
      </c>
      <c r="B67" s="38">
        <v>669160.0</v>
      </c>
      <c r="C67" s="38">
        <v>467.0</v>
      </c>
      <c r="D67" s="40">
        <v>5.210330167</v>
      </c>
      <c r="E67" s="41">
        <v>0.505353319</v>
      </c>
      <c r="F67" s="41">
        <v>0.17987152</v>
      </c>
      <c r="G67" s="41">
        <v>0.314775161</v>
      </c>
      <c r="H67" s="79">
        <f t="shared" si="1"/>
        <v>0.190578158</v>
      </c>
      <c r="I67" s="42">
        <v>4.479162989</v>
      </c>
    </row>
    <row r="68">
      <c r="A68" s="1" t="s">
        <v>115</v>
      </c>
      <c r="B68" s="38">
        <v>543135.0</v>
      </c>
      <c r="C68" s="38">
        <v>1721.0</v>
      </c>
      <c r="D68" s="40">
        <v>5.209537095</v>
      </c>
      <c r="E68" s="41">
        <v>0.483439861</v>
      </c>
      <c r="F68" s="41">
        <v>0.203951191</v>
      </c>
      <c r="G68" s="41">
        <v>0.312608948</v>
      </c>
      <c r="H68" s="79">
        <f t="shared" si="1"/>
        <v>0.170830913</v>
      </c>
      <c r="I68" s="42">
        <v>-14.42071484</v>
      </c>
    </row>
    <row r="69">
      <c r="A69" s="1" t="s">
        <v>247</v>
      </c>
      <c r="B69" s="38">
        <v>605540.0</v>
      </c>
      <c r="C69" s="38">
        <v>2515.0</v>
      </c>
      <c r="D69" s="40">
        <v>5.209459924</v>
      </c>
      <c r="E69" s="41">
        <v>0.473956262</v>
      </c>
      <c r="F69" s="41">
        <v>0.21471173</v>
      </c>
      <c r="G69" s="41">
        <v>0.311332008</v>
      </c>
      <c r="H69" s="79">
        <f t="shared" si="1"/>
        <v>0.162624254</v>
      </c>
      <c r="I69" s="42">
        <v>27.20471425</v>
      </c>
    </row>
    <row r="70">
      <c r="A70" s="1" t="s">
        <v>155</v>
      </c>
      <c r="B70" s="38">
        <v>592332.0</v>
      </c>
      <c r="C70" s="38">
        <v>2762.0</v>
      </c>
      <c r="D70" s="40">
        <v>5.208474722</v>
      </c>
      <c r="E70" s="41">
        <v>0.478638668</v>
      </c>
      <c r="F70" s="41">
        <v>0.208182476</v>
      </c>
      <c r="G70" s="41">
        <v>0.313178856</v>
      </c>
      <c r="H70" s="79">
        <f t="shared" si="1"/>
        <v>0.165459812</v>
      </c>
      <c r="I70" s="42">
        <v>-38.64695996</v>
      </c>
    </row>
    <row r="71">
      <c r="A71" s="1" t="s">
        <v>229</v>
      </c>
      <c r="B71" s="38">
        <v>645261.0</v>
      </c>
      <c r="C71" s="38">
        <v>3222.0</v>
      </c>
      <c r="D71" s="40">
        <v>5.20834555</v>
      </c>
      <c r="E71" s="41">
        <v>0.491309745</v>
      </c>
      <c r="F71" s="41">
        <v>0.195530726</v>
      </c>
      <c r="G71" s="41">
        <v>0.313159528</v>
      </c>
      <c r="H71" s="79">
        <f t="shared" si="1"/>
        <v>0.178150217</v>
      </c>
      <c r="I71" s="42">
        <v>28.02723936</v>
      </c>
    </row>
    <row r="72">
      <c r="A72" s="1" t="s">
        <v>270</v>
      </c>
      <c r="B72" s="38">
        <v>664854.0</v>
      </c>
      <c r="C72" s="38">
        <v>955.0</v>
      </c>
      <c r="D72" s="40">
        <v>5.206486535</v>
      </c>
      <c r="E72" s="41">
        <v>0.504712042</v>
      </c>
      <c r="F72" s="41">
        <v>0.153926702</v>
      </c>
      <c r="G72" s="41">
        <v>0.341361257</v>
      </c>
      <c r="H72" s="79">
        <f t="shared" si="1"/>
        <v>0.163350785</v>
      </c>
      <c r="I72" s="42">
        <v>18.77672312</v>
      </c>
    </row>
    <row r="73">
      <c r="A73" s="1" t="s">
        <v>28</v>
      </c>
      <c r="B73" s="38">
        <v>643377.0</v>
      </c>
      <c r="C73" s="38">
        <v>1146.0</v>
      </c>
      <c r="D73" s="40">
        <v>5.205898503</v>
      </c>
      <c r="E73" s="41">
        <v>0.491273997</v>
      </c>
      <c r="F73" s="41">
        <v>0.178883072</v>
      </c>
      <c r="G73" s="41">
        <v>0.329842932</v>
      </c>
      <c r="H73" s="79">
        <f t="shared" si="1"/>
        <v>0.161431065</v>
      </c>
      <c r="I73" s="42">
        <v>8.644678549</v>
      </c>
    </row>
    <row r="74">
      <c r="A74" s="1" t="s">
        <v>653</v>
      </c>
      <c r="B74" s="38">
        <v>664139.0</v>
      </c>
      <c r="C74" s="38">
        <v>672.0</v>
      </c>
      <c r="D74" s="40">
        <v>5.204978034</v>
      </c>
      <c r="E74" s="41">
        <v>0.491071429</v>
      </c>
      <c r="F74" s="41">
        <v>0.183035714</v>
      </c>
      <c r="G74" s="41">
        <v>0.325892857</v>
      </c>
      <c r="H74" s="79">
        <f t="shared" si="1"/>
        <v>0.165178572</v>
      </c>
      <c r="I74" s="42">
        <v>0.524723459</v>
      </c>
    </row>
    <row r="75" hidden="1">
      <c r="A75" s="1" t="s">
        <v>1263</v>
      </c>
      <c r="B75" s="38">
        <v>670288.0</v>
      </c>
      <c r="C75" s="38">
        <v>170.0</v>
      </c>
      <c r="D75" s="40">
        <v>5.204898541</v>
      </c>
      <c r="E75" s="41">
        <v>0.505882353</v>
      </c>
      <c r="F75" s="41">
        <v>0.182352941</v>
      </c>
      <c r="G75" s="41">
        <v>0.311764706</v>
      </c>
      <c r="H75" s="79">
        <f t="shared" si="1"/>
        <v>0.194117647</v>
      </c>
      <c r="I75" s="42">
        <v>-2.280939118</v>
      </c>
    </row>
    <row r="76" hidden="1">
      <c r="A76" s="1" t="s">
        <v>1099</v>
      </c>
      <c r="B76" s="38">
        <v>592848.0</v>
      </c>
      <c r="C76" s="38">
        <v>208.0</v>
      </c>
      <c r="D76" s="40">
        <v>5.202537644</v>
      </c>
      <c r="E76" s="41">
        <v>0.485576923</v>
      </c>
      <c r="F76" s="41">
        <v>0.211538462</v>
      </c>
      <c r="G76" s="41">
        <v>0.302884615</v>
      </c>
      <c r="H76" s="79">
        <f t="shared" si="1"/>
        <v>0.182692308</v>
      </c>
      <c r="I76" s="42">
        <v>1.48135527</v>
      </c>
    </row>
    <row r="77">
      <c r="A77" s="1" t="s">
        <v>91</v>
      </c>
      <c r="B77" s="38">
        <v>669276.0</v>
      </c>
      <c r="C77" s="38">
        <v>727.0</v>
      </c>
      <c r="D77" s="40">
        <v>5.202482986</v>
      </c>
      <c r="E77" s="41">
        <v>0.480055021</v>
      </c>
      <c r="F77" s="41">
        <v>0.196698762</v>
      </c>
      <c r="G77" s="41">
        <v>0.323246217</v>
      </c>
      <c r="H77" s="79">
        <f t="shared" si="1"/>
        <v>0.156808804</v>
      </c>
      <c r="I77" s="42">
        <v>-2.997754651</v>
      </c>
    </row>
    <row r="78">
      <c r="A78" s="1" t="s">
        <v>108</v>
      </c>
      <c r="B78" s="38">
        <v>663423.0</v>
      </c>
      <c r="C78" s="38">
        <v>662.0</v>
      </c>
      <c r="D78" s="40">
        <v>5.202313985</v>
      </c>
      <c r="E78" s="41">
        <v>0.509063444</v>
      </c>
      <c r="F78" s="41">
        <v>0.181268882</v>
      </c>
      <c r="G78" s="41">
        <v>0.309667674</v>
      </c>
      <c r="H78" s="79">
        <f t="shared" si="1"/>
        <v>0.19939577</v>
      </c>
      <c r="I78" s="42">
        <v>-6.315383733</v>
      </c>
    </row>
    <row r="79">
      <c r="A79" s="1" t="s">
        <v>585</v>
      </c>
      <c r="B79" s="38">
        <v>625643.0</v>
      </c>
      <c r="C79" s="38">
        <v>978.0</v>
      </c>
      <c r="D79" s="40">
        <v>5.202258248</v>
      </c>
      <c r="E79" s="41">
        <v>0.478527607</v>
      </c>
      <c r="F79" s="41">
        <v>0.18609407</v>
      </c>
      <c r="G79" s="41">
        <v>0.335378323</v>
      </c>
      <c r="H79" s="79">
        <f t="shared" si="1"/>
        <v>0.143149284</v>
      </c>
      <c r="I79" s="42">
        <v>-5.84280632</v>
      </c>
    </row>
    <row r="80">
      <c r="A80" s="1" t="s">
        <v>181</v>
      </c>
      <c r="B80" s="38">
        <v>641154.0</v>
      </c>
      <c r="C80" s="38">
        <v>2885.0</v>
      </c>
      <c r="D80" s="40">
        <v>5.201058452</v>
      </c>
      <c r="E80" s="41">
        <v>0.483188908</v>
      </c>
      <c r="F80" s="41">
        <v>0.194800693</v>
      </c>
      <c r="G80" s="41">
        <v>0.322010399</v>
      </c>
      <c r="H80" s="79">
        <f t="shared" si="1"/>
        <v>0.161178509</v>
      </c>
      <c r="I80" s="42">
        <v>14.19609023</v>
      </c>
    </row>
    <row r="81">
      <c r="A81" s="1" t="s">
        <v>250</v>
      </c>
      <c r="B81" s="38">
        <v>676477.0</v>
      </c>
      <c r="C81" s="38">
        <v>1162.0</v>
      </c>
      <c r="D81" s="40">
        <v>5.197348143</v>
      </c>
      <c r="E81" s="41">
        <v>0.493115318</v>
      </c>
      <c r="F81" s="41">
        <v>0.181583477</v>
      </c>
      <c r="G81" s="41">
        <v>0.325301205</v>
      </c>
      <c r="H81" s="79">
        <f t="shared" si="1"/>
        <v>0.167814113</v>
      </c>
      <c r="I81" s="42">
        <v>2.854490492</v>
      </c>
    </row>
    <row r="82">
      <c r="A82" s="1" t="s">
        <v>716</v>
      </c>
      <c r="B82" s="38">
        <v>663432.0</v>
      </c>
      <c r="C82" s="38">
        <v>521.0</v>
      </c>
      <c r="D82" s="40">
        <v>5.194617213</v>
      </c>
      <c r="E82" s="41">
        <v>0.49328215</v>
      </c>
      <c r="F82" s="41">
        <v>0.197696737</v>
      </c>
      <c r="G82" s="41">
        <v>0.309021113</v>
      </c>
      <c r="H82" s="79">
        <f t="shared" si="1"/>
        <v>0.184261037</v>
      </c>
      <c r="I82" s="42">
        <v>-3.643975489</v>
      </c>
    </row>
    <row r="83">
      <c r="A83" s="1" t="s">
        <v>342</v>
      </c>
      <c r="B83" s="38">
        <v>592094.0</v>
      </c>
      <c r="C83" s="38">
        <v>932.0</v>
      </c>
      <c r="D83" s="40">
        <v>5.193270108</v>
      </c>
      <c r="E83" s="41">
        <v>0.497854077</v>
      </c>
      <c r="F83" s="41">
        <v>0.167381974</v>
      </c>
      <c r="G83" s="41">
        <v>0.334763948</v>
      </c>
      <c r="H83" s="79">
        <f t="shared" si="1"/>
        <v>0.163090129</v>
      </c>
      <c r="I83" s="42">
        <v>17.48490356</v>
      </c>
    </row>
    <row r="84">
      <c r="A84" s="1" t="s">
        <v>1264</v>
      </c>
      <c r="B84" s="38">
        <v>644364.0</v>
      </c>
      <c r="C84" s="38">
        <v>672.0</v>
      </c>
      <c r="D84" s="40">
        <v>5.193032214</v>
      </c>
      <c r="E84" s="41">
        <v>0.486607143</v>
      </c>
      <c r="F84" s="41">
        <v>0.217261905</v>
      </c>
      <c r="G84" s="41">
        <v>0.296130952</v>
      </c>
      <c r="H84" s="79">
        <f t="shared" si="1"/>
        <v>0.190476191</v>
      </c>
      <c r="I84" s="42">
        <v>-7.827519927</v>
      </c>
    </row>
    <row r="85">
      <c r="A85" s="1" t="s">
        <v>572</v>
      </c>
      <c r="B85" s="38">
        <v>669330.0</v>
      </c>
      <c r="C85" s="38">
        <v>1637.0</v>
      </c>
      <c r="D85" s="40">
        <v>5.192579186</v>
      </c>
      <c r="E85" s="41">
        <v>0.478924863</v>
      </c>
      <c r="F85" s="41">
        <v>0.207086133</v>
      </c>
      <c r="G85" s="41">
        <v>0.313989004</v>
      </c>
      <c r="H85" s="79">
        <f t="shared" si="1"/>
        <v>0.164935859</v>
      </c>
      <c r="I85" s="42">
        <v>-3.520276705</v>
      </c>
    </row>
    <row r="86">
      <c r="A86" s="1" t="s">
        <v>219</v>
      </c>
      <c r="B86" s="38">
        <v>657044.0</v>
      </c>
      <c r="C86" s="38">
        <v>672.0</v>
      </c>
      <c r="D86" s="40">
        <v>5.191327521</v>
      </c>
      <c r="E86" s="41">
        <v>0.5</v>
      </c>
      <c r="F86" s="41">
        <v>0.191964286</v>
      </c>
      <c r="G86" s="41">
        <v>0.308035714</v>
      </c>
      <c r="H86" s="79">
        <f t="shared" si="1"/>
        <v>0.191964286</v>
      </c>
      <c r="I86" s="42">
        <v>0.260318164</v>
      </c>
    </row>
    <row r="87">
      <c r="A87" s="1" t="s">
        <v>358</v>
      </c>
      <c r="B87" s="38">
        <v>434378.0</v>
      </c>
      <c r="C87" s="38">
        <v>2588.0</v>
      </c>
      <c r="D87" s="40">
        <v>5.187268939</v>
      </c>
      <c r="E87" s="41">
        <v>0.485316847</v>
      </c>
      <c r="F87" s="41">
        <v>0.195904173</v>
      </c>
      <c r="G87" s="41">
        <v>0.31877898</v>
      </c>
      <c r="H87" s="79">
        <f t="shared" si="1"/>
        <v>0.166537867</v>
      </c>
      <c r="I87" s="42">
        <v>25.86785221</v>
      </c>
    </row>
    <row r="88" hidden="1">
      <c r="A88" s="1" t="s">
        <v>1265</v>
      </c>
      <c r="B88" s="38">
        <v>643400.0</v>
      </c>
      <c r="C88" s="38">
        <v>192.0</v>
      </c>
      <c r="D88" s="40">
        <v>5.18648801</v>
      </c>
      <c r="E88" s="41">
        <v>0.473958333</v>
      </c>
      <c r="F88" s="41">
        <v>0.182291667</v>
      </c>
      <c r="G88" s="41">
        <v>0.34375</v>
      </c>
      <c r="H88" s="79">
        <f t="shared" si="1"/>
        <v>0.130208333</v>
      </c>
      <c r="I88" s="42">
        <v>0.961308762</v>
      </c>
    </row>
    <row r="89">
      <c r="A89" s="1" t="s">
        <v>817</v>
      </c>
      <c r="B89" s="38">
        <v>672335.0</v>
      </c>
      <c r="C89" s="38">
        <v>887.0</v>
      </c>
      <c r="D89" s="40">
        <v>5.186295017</v>
      </c>
      <c r="E89" s="41">
        <v>0.494926719</v>
      </c>
      <c r="F89" s="41">
        <v>0.191657272</v>
      </c>
      <c r="G89" s="41">
        <v>0.313416009</v>
      </c>
      <c r="H89" s="79">
        <f t="shared" si="1"/>
        <v>0.18151071</v>
      </c>
      <c r="I89" s="42">
        <v>-1.786129042</v>
      </c>
    </row>
    <row r="90" hidden="1">
      <c r="A90" s="1" t="s">
        <v>1266</v>
      </c>
      <c r="B90" s="38">
        <v>664054.0</v>
      </c>
      <c r="C90" s="38">
        <v>224.0</v>
      </c>
      <c r="D90" s="40">
        <v>5.183285348</v>
      </c>
      <c r="E90" s="41">
        <v>0.513392857</v>
      </c>
      <c r="F90" s="41">
        <v>0.138392857</v>
      </c>
      <c r="G90" s="41">
        <v>0.348214286</v>
      </c>
      <c r="H90" s="79">
        <f t="shared" si="1"/>
        <v>0.165178571</v>
      </c>
      <c r="I90" s="42">
        <v>-5.312200724</v>
      </c>
    </row>
    <row r="91">
      <c r="A91" s="1" t="s">
        <v>116</v>
      </c>
      <c r="B91" s="38">
        <v>621051.0</v>
      </c>
      <c r="C91" s="38">
        <v>868.0</v>
      </c>
      <c r="D91" s="40">
        <v>5.181809775</v>
      </c>
      <c r="E91" s="41">
        <v>0.497695853</v>
      </c>
      <c r="F91" s="41">
        <v>0.160138249</v>
      </c>
      <c r="G91" s="41">
        <v>0.342165899</v>
      </c>
      <c r="H91" s="79">
        <f t="shared" si="1"/>
        <v>0.155529954</v>
      </c>
      <c r="I91" s="42">
        <v>2.084864763</v>
      </c>
    </row>
    <row r="92">
      <c r="A92" s="1" t="s">
        <v>147</v>
      </c>
      <c r="B92" s="38">
        <v>608379.0</v>
      </c>
      <c r="C92" s="38">
        <v>1924.0</v>
      </c>
      <c r="D92" s="40">
        <v>5.180696007</v>
      </c>
      <c r="E92" s="41">
        <v>0.468295218</v>
      </c>
      <c r="F92" s="41">
        <v>0.186070686</v>
      </c>
      <c r="G92" s="41">
        <v>0.345634096</v>
      </c>
      <c r="H92" s="79">
        <f t="shared" si="1"/>
        <v>0.122661122</v>
      </c>
      <c r="I92" s="42">
        <v>1.448200169</v>
      </c>
    </row>
    <row r="93" hidden="1">
      <c r="A93" s="1" t="s">
        <v>1267</v>
      </c>
      <c r="B93" s="38">
        <v>503285.0</v>
      </c>
      <c r="C93" s="38">
        <v>385.0</v>
      </c>
      <c r="D93" s="40">
        <v>5.179376912</v>
      </c>
      <c r="E93" s="41">
        <v>0.516883117</v>
      </c>
      <c r="F93" s="41">
        <v>0.161038961</v>
      </c>
      <c r="G93" s="41">
        <v>0.322077922</v>
      </c>
      <c r="H93" s="79">
        <f t="shared" si="1"/>
        <v>0.194805195</v>
      </c>
      <c r="I93" s="42">
        <v>-1.992751269</v>
      </c>
    </row>
    <row r="94" hidden="1">
      <c r="A94" s="1" t="s">
        <v>1268</v>
      </c>
      <c r="B94" s="38">
        <v>621079.0</v>
      </c>
      <c r="C94" s="38">
        <v>154.0</v>
      </c>
      <c r="D94" s="40">
        <v>5.178517753</v>
      </c>
      <c r="E94" s="41">
        <v>0.467532468</v>
      </c>
      <c r="F94" s="41">
        <v>0.168831169</v>
      </c>
      <c r="G94" s="41">
        <v>0.363636364</v>
      </c>
      <c r="H94" s="79">
        <f t="shared" si="1"/>
        <v>0.103896104</v>
      </c>
      <c r="I94" s="42">
        <v>-2.517274293</v>
      </c>
    </row>
    <row r="95">
      <c r="A95" s="1" t="s">
        <v>976</v>
      </c>
      <c r="B95" s="38">
        <v>664353.0</v>
      </c>
      <c r="C95" s="38">
        <v>2616.0</v>
      </c>
      <c r="D95" s="40">
        <v>5.175233618</v>
      </c>
      <c r="E95" s="41">
        <v>0.484327217</v>
      </c>
      <c r="F95" s="41">
        <v>0.201070336</v>
      </c>
      <c r="G95" s="41">
        <v>0.314602446</v>
      </c>
      <c r="H95" s="79">
        <f t="shared" si="1"/>
        <v>0.169724771</v>
      </c>
      <c r="I95" s="42">
        <v>-18.14171645</v>
      </c>
    </row>
    <row r="96">
      <c r="A96" s="1" t="s">
        <v>1055</v>
      </c>
      <c r="B96" s="38">
        <v>622072.0</v>
      </c>
      <c r="C96" s="38">
        <v>2223.0</v>
      </c>
      <c r="D96" s="40">
        <v>5.173804911</v>
      </c>
      <c r="E96" s="41">
        <v>0.469635628</v>
      </c>
      <c r="F96" s="41">
        <v>0.199730094</v>
      </c>
      <c r="G96" s="41">
        <v>0.330634278</v>
      </c>
      <c r="H96" s="79">
        <f t="shared" si="1"/>
        <v>0.13900135</v>
      </c>
      <c r="I96" s="42">
        <v>-4.408025991</v>
      </c>
    </row>
    <row r="97">
      <c r="A97" s="1" t="s">
        <v>74</v>
      </c>
      <c r="B97" s="38">
        <v>455119.0</v>
      </c>
      <c r="C97" s="38">
        <v>854.0</v>
      </c>
      <c r="D97" s="40">
        <v>5.17286917</v>
      </c>
      <c r="E97" s="41">
        <v>0.451990632</v>
      </c>
      <c r="F97" s="41">
        <v>0.220140515</v>
      </c>
      <c r="G97" s="41">
        <v>0.327868852</v>
      </c>
      <c r="H97" s="79">
        <f t="shared" si="1"/>
        <v>0.12412178</v>
      </c>
      <c r="I97" s="42">
        <v>6.428355986</v>
      </c>
    </row>
    <row r="98">
      <c r="A98" s="1" t="s">
        <v>173</v>
      </c>
      <c r="B98" s="38">
        <v>641927.0</v>
      </c>
      <c r="C98" s="38">
        <v>845.0</v>
      </c>
      <c r="D98" s="40">
        <v>5.170250196</v>
      </c>
      <c r="E98" s="41">
        <v>0.459171598</v>
      </c>
      <c r="F98" s="41">
        <v>0.227218935</v>
      </c>
      <c r="G98" s="41">
        <v>0.313609467</v>
      </c>
      <c r="H98" s="79">
        <f t="shared" si="1"/>
        <v>0.145562131</v>
      </c>
      <c r="I98" s="42">
        <v>-1.050129383</v>
      </c>
    </row>
    <row r="99">
      <c r="A99" s="1" t="s">
        <v>1269</v>
      </c>
      <c r="B99" s="38">
        <v>592858.0</v>
      </c>
      <c r="C99" s="38">
        <v>1117.0</v>
      </c>
      <c r="D99" s="40">
        <v>5.169170192</v>
      </c>
      <c r="E99" s="41">
        <v>0.507609669</v>
      </c>
      <c r="F99" s="41">
        <v>0.173679499</v>
      </c>
      <c r="G99" s="41">
        <v>0.318710833</v>
      </c>
      <c r="H99" s="79">
        <f t="shared" si="1"/>
        <v>0.188898836</v>
      </c>
      <c r="I99" s="42">
        <v>-22.63200847</v>
      </c>
    </row>
    <row r="100">
      <c r="A100" s="1" t="s">
        <v>117</v>
      </c>
      <c r="B100" s="38">
        <v>596001.0</v>
      </c>
      <c r="C100" s="38">
        <v>1783.0</v>
      </c>
      <c r="D100" s="40">
        <v>5.168763073</v>
      </c>
      <c r="E100" s="41">
        <v>0.458216489</v>
      </c>
      <c r="F100" s="41">
        <v>0.207515423</v>
      </c>
      <c r="G100" s="41">
        <v>0.334268087</v>
      </c>
      <c r="H100" s="79">
        <f t="shared" si="1"/>
        <v>0.123948402</v>
      </c>
      <c r="I100" s="42">
        <v>-6.634312894</v>
      </c>
    </row>
    <row r="101">
      <c r="A101" s="1" t="s">
        <v>326</v>
      </c>
      <c r="B101" s="38">
        <v>606160.0</v>
      </c>
      <c r="C101" s="38">
        <v>1085.0</v>
      </c>
      <c r="D101" s="40">
        <v>5.168500901</v>
      </c>
      <c r="E101" s="41">
        <v>0.461751152</v>
      </c>
      <c r="F101" s="41">
        <v>0.211981567</v>
      </c>
      <c r="G101" s="41">
        <v>0.326267281</v>
      </c>
      <c r="H101" s="79">
        <f t="shared" si="1"/>
        <v>0.135483871</v>
      </c>
      <c r="I101" s="42">
        <v>11.51983605</v>
      </c>
    </row>
    <row r="102" hidden="1">
      <c r="A102" s="1" t="s">
        <v>895</v>
      </c>
      <c r="B102" s="38">
        <v>663773.0</v>
      </c>
      <c r="C102" s="38">
        <v>264.0</v>
      </c>
      <c r="D102" s="40">
        <v>5.168289735</v>
      </c>
      <c r="E102" s="41">
        <v>0.458333333</v>
      </c>
      <c r="F102" s="41">
        <v>0.178030303</v>
      </c>
      <c r="G102" s="41">
        <v>0.363636364</v>
      </c>
      <c r="H102" s="79">
        <f t="shared" si="1"/>
        <v>0.094696969</v>
      </c>
      <c r="I102" s="42">
        <v>-1.122272796</v>
      </c>
    </row>
    <row r="103" hidden="1">
      <c r="A103" s="1" t="s">
        <v>1270</v>
      </c>
      <c r="B103" s="38">
        <v>608716.0</v>
      </c>
      <c r="C103" s="38">
        <v>283.0</v>
      </c>
      <c r="D103" s="40">
        <v>5.166648767</v>
      </c>
      <c r="E103" s="41">
        <v>0.469964664</v>
      </c>
      <c r="F103" s="41">
        <v>0.208480565</v>
      </c>
      <c r="G103" s="41">
        <v>0.32155477</v>
      </c>
      <c r="H103" s="79">
        <f t="shared" si="1"/>
        <v>0.148409894</v>
      </c>
      <c r="I103" s="42">
        <v>-5.309092971</v>
      </c>
    </row>
    <row r="104">
      <c r="A104" s="1" t="s">
        <v>151</v>
      </c>
      <c r="B104" s="38">
        <v>571948.0</v>
      </c>
      <c r="C104" s="38">
        <v>1075.0</v>
      </c>
      <c r="D104" s="40">
        <v>5.166486597</v>
      </c>
      <c r="E104" s="41">
        <v>0.453023256</v>
      </c>
      <c r="F104" s="41">
        <v>0.195348837</v>
      </c>
      <c r="G104" s="41">
        <v>0.351627907</v>
      </c>
      <c r="H104" s="79">
        <f t="shared" si="1"/>
        <v>0.101395349</v>
      </c>
      <c r="I104" s="42">
        <v>0.516861118</v>
      </c>
    </row>
    <row r="105">
      <c r="A105" s="1" t="s">
        <v>1040</v>
      </c>
      <c r="B105" s="38">
        <v>666129.0</v>
      </c>
      <c r="C105" s="38">
        <v>1415.0</v>
      </c>
      <c r="D105" s="40">
        <v>5.16555078</v>
      </c>
      <c r="E105" s="41">
        <v>0.481978799</v>
      </c>
      <c r="F105" s="41">
        <v>0.209893993</v>
      </c>
      <c r="G105" s="41">
        <v>0.308127208</v>
      </c>
      <c r="H105" s="79">
        <f t="shared" si="1"/>
        <v>0.173851591</v>
      </c>
      <c r="I105" s="42">
        <v>0.545777804</v>
      </c>
    </row>
    <row r="106" hidden="1">
      <c r="A106" s="1" t="s">
        <v>1271</v>
      </c>
      <c r="B106" s="38">
        <v>607229.0</v>
      </c>
      <c r="C106" s="38">
        <v>207.0</v>
      </c>
      <c r="D106" s="40">
        <v>5.164803111</v>
      </c>
      <c r="E106" s="41">
        <v>0.449275362</v>
      </c>
      <c r="F106" s="41">
        <v>0.207729469</v>
      </c>
      <c r="G106" s="41">
        <v>0.342995169</v>
      </c>
      <c r="H106" s="79">
        <f t="shared" si="1"/>
        <v>0.106280193</v>
      </c>
      <c r="I106" s="42">
        <v>-4.095357276</v>
      </c>
    </row>
    <row r="107">
      <c r="A107" s="1" t="s">
        <v>73</v>
      </c>
      <c r="B107" s="38">
        <v>668881.0</v>
      </c>
      <c r="C107" s="38">
        <v>2179.0</v>
      </c>
      <c r="D107" s="40">
        <v>5.164734457</v>
      </c>
      <c r="E107" s="41">
        <v>0.489215236</v>
      </c>
      <c r="F107" s="41">
        <v>0.182193667</v>
      </c>
      <c r="G107" s="41">
        <v>0.328591097</v>
      </c>
      <c r="H107" s="79">
        <f t="shared" si="1"/>
        <v>0.160624139</v>
      </c>
      <c r="I107" s="42">
        <v>-1.438167709</v>
      </c>
    </row>
    <row r="108">
      <c r="A108" s="1" t="s">
        <v>1090</v>
      </c>
      <c r="B108" s="38">
        <v>456713.0</v>
      </c>
      <c r="C108" s="38">
        <v>902.0</v>
      </c>
      <c r="D108" s="40">
        <v>5.162599691</v>
      </c>
      <c r="E108" s="41">
        <v>0.483370288</v>
      </c>
      <c r="F108" s="41">
        <v>0.178492239</v>
      </c>
      <c r="G108" s="41">
        <v>0.338137472</v>
      </c>
      <c r="H108" s="79">
        <f t="shared" si="1"/>
        <v>0.145232816</v>
      </c>
      <c r="I108" s="42">
        <v>-0.301685716</v>
      </c>
    </row>
    <row r="109">
      <c r="A109" s="1" t="s">
        <v>1157</v>
      </c>
      <c r="B109" s="38">
        <v>669270.0</v>
      </c>
      <c r="C109" s="38">
        <v>895.0</v>
      </c>
      <c r="D109" s="40">
        <v>5.16177087</v>
      </c>
      <c r="E109" s="41">
        <v>0.488268156</v>
      </c>
      <c r="F109" s="41">
        <v>0.2</v>
      </c>
      <c r="G109" s="41">
        <v>0.311731844</v>
      </c>
      <c r="H109" s="79">
        <f t="shared" si="1"/>
        <v>0.176536312</v>
      </c>
      <c r="I109" s="42">
        <v>-6.761445652</v>
      </c>
    </row>
    <row r="110">
      <c r="A110" s="1" t="s">
        <v>1122</v>
      </c>
      <c r="B110" s="38">
        <v>425794.0</v>
      </c>
      <c r="C110" s="38">
        <v>3107.0</v>
      </c>
      <c r="D110" s="40">
        <v>5.16029565</v>
      </c>
      <c r="E110" s="41">
        <v>0.475378178</v>
      </c>
      <c r="F110" s="41">
        <v>0.179916318</v>
      </c>
      <c r="G110" s="41">
        <v>0.344705504</v>
      </c>
      <c r="H110" s="79">
        <f t="shared" si="1"/>
        <v>0.130672674</v>
      </c>
      <c r="I110" s="42">
        <v>-2.795676503</v>
      </c>
    </row>
    <row r="111" hidden="1">
      <c r="A111" s="1" t="s">
        <v>1017</v>
      </c>
      <c r="B111" s="38">
        <v>677053.0</v>
      </c>
      <c r="C111" s="38">
        <v>372.0</v>
      </c>
      <c r="D111" s="40">
        <v>5.159882462</v>
      </c>
      <c r="E111" s="41">
        <v>0.521505376</v>
      </c>
      <c r="F111" s="41">
        <v>0.161290323</v>
      </c>
      <c r="G111" s="41">
        <v>0.317204301</v>
      </c>
      <c r="H111" s="79">
        <f t="shared" si="1"/>
        <v>0.204301075</v>
      </c>
      <c r="I111" s="42">
        <v>-7.085918523</v>
      </c>
    </row>
    <row r="112">
      <c r="A112" s="1" t="s">
        <v>1001</v>
      </c>
      <c r="B112" s="38">
        <v>665665.0</v>
      </c>
      <c r="C112" s="38">
        <v>995.0</v>
      </c>
      <c r="D112" s="40">
        <v>5.159842201</v>
      </c>
      <c r="E112" s="41">
        <v>0.468341709</v>
      </c>
      <c r="F112" s="41">
        <v>0.19798995</v>
      </c>
      <c r="G112" s="41">
        <v>0.333668342</v>
      </c>
      <c r="H112" s="79">
        <f t="shared" si="1"/>
        <v>0.134673367</v>
      </c>
      <c r="I112" s="42">
        <v>-1.310506792</v>
      </c>
    </row>
    <row r="113">
      <c r="A113" s="1" t="s">
        <v>248</v>
      </c>
      <c r="B113" s="38">
        <v>472610.0</v>
      </c>
      <c r="C113" s="38">
        <v>963.0</v>
      </c>
      <c r="D113" s="40">
        <v>5.158882915</v>
      </c>
      <c r="E113" s="41">
        <v>0.495327103</v>
      </c>
      <c r="F113" s="41">
        <v>0.180685358</v>
      </c>
      <c r="G113" s="41">
        <v>0.323987539</v>
      </c>
      <c r="H113" s="79">
        <f t="shared" si="1"/>
        <v>0.171339564</v>
      </c>
      <c r="I113" s="42">
        <v>1.336599742</v>
      </c>
    </row>
    <row r="114">
      <c r="A114" s="1" t="s">
        <v>159</v>
      </c>
      <c r="B114" s="38">
        <v>605483.0</v>
      </c>
      <c r="C114" s="38">
        <v>2320.0</v>
      </c>
      <c r="D114" s="40">
        <v>5.158370019</v>
      </c>
      <c r="E114" s="41">
        <v>0.488362069</v>
      </c>
      <c r="F114" s="41">
        <v>0.175431034</v>
      </c>
      <c r="G114" s="41">
        <v>0.336206897</v>
      </c>
      <c r="H114" s="79">
        <f t="shared" si="1"/>
        <v>0.152155172</v>
      </c>
      <c r="I114" s="42">
        <v>-6.278715018</v>
      </c>
    </row>
    <row r="115" hidden="1">
      <c r="A115" s="1" t="s">
        <v>1097</v>
      </c>
      <c r="B115" s="38">
        <v>656887.0</v>
      </c>
      <c r="C115" s="38">
        <v>193.0</v>
      </c>
      <c r="D115" s="40">
        <v>5.156695363</v>
      </c>
      <c r="E115" s="41">
        <v>0.502590674</v>
      </c>
      <c r="F115" s="41">
        <v>0.160621762</v>
      </c>
      <c r="G115" s="41">
        <v>0.336787565</v>
      </c>
      <c r="H115" s="79">
        <f t="shared" si="1"/>
        <v>0.165803109</v>
      </c>
      <c r="I115" s="42">
        <v>1.709062254</v>
      </c>
    </row>
    <row r="116">
      <c r="A116" s="1" t="s">
        <v>1011</v>
      </c>
      <c r="B116" s="38">
        <v>667297.0</v>
      </c>
      <c r="C116" s="38">
        <v>748.0</v>
      </c>
      <c r="D116" s="40">
        <v>5.154852055</v>
      </c>
      <c r="E116" s="41">
        <v>0.485294118</v>
      </c>
      <c r="F116" s="41">
        <v>0.180481283</v>
      </c>
      <c r="G116" s="41">
        <v>0.334224599</v>
      </c>
      <c r="H116" s="79">
        <f t="shared" si="1"/>
        <v>0.151069519</v>
      </c>
      <c r="I116" s="42">
        <v>-1.435647621</v>
      </c>
    </row>
    <row r="117">
      <c r="A117" s="1" t="s">
        <v>13</v>
      </c>
      <c r="B117" s="38">
        <v>656730.0</v>
      </c>
      <c r="C117" s="38">
        <v>769.0</v>
      </c>
      <c r="D117" s="40">
        <v>5.153051047</v>
      </c>
      <c r="E117" s="41">
        <v>0.482444733</v>
      </c>
      <c r="F117" s="41">
        <v>0.193758127</v>
      </c>
      <c r="G117" s="41">
        <v>0.323797139</v>
      </c>
      <c r="H117" s="79">
        <f t="shared" si="1"/>
        <v>0.158647594</v>
      </c>
      <c r="I117" s="42">
        <v>-9.346318726</v>
      </c>
    </row>
    <row r="118">
      <c r="A118" s="1" t="s">
        <v>282</v>
      </c>
      <c r="B118" s="38">
        <v>656302.0</v>
      </c>
      <c r="C118" s="38">
        <v>3094.0</v>
      </c>
      <c r="D118" s="40">
        <v>5.152757809</v>
      </c>
      <c r="E118" s="41">
        <v>0.484809308</v>
      </c>
      <c r="F118" s="41">
        <v>0.170652877</v>
      </c>
      <c r="G118" s="41">
        <v>0.344537815</v>
      </c>
      <c r="H118" s="79">
        <f t="shared" si="1"/>
        <v>0.140271493</v>
      </c>
      <c r="I118" s="42">
        <v>6.047569915</v>
      </c>
    </row>
    <row r="119">
      <c r="A119" s="1" t="s">
        <v>99</v>
      </c>
      <c r="B119" s="38">
        <v>592791.0</v>
      </c>
      <c r="C119" s="38">
        <v>2777.0</v>
      </c>
      <c r="D119" s="40">
        <v>5.149728838</v>
      </c>
      <c r="E119" s="41">
        <v>0.464169968</v>
      </c>
      <c r="F119" s="41">
        <v>0.202016565</v>
      </c>
      <c r="G119" s="41">
        <v>0.333813468</v>
      </c>
      <c r="H119" s="79">
        <f t="shared" si="1"/>
        <v>0.1303565</v>
      </c>
      <c r="I119" s="42">
        <v>-8.695231232</v>
      </c>
    </row>
    <row r="120">
      <c r="A120" s="1" t="s">
        <v>192</v>
      </c>
      <c r="B120" s="38">
        <v>642232.0</v>
      </c>
      <c r="C120" s="38">
        <v>1343.0</v>
      </c>
      <c r="D120" s="40">
        <v>5.149172281</v>
      </c>
      <c r="E120" s="41">
        <v>0.486969471</v>
      </c>
      <c r="F120" s="41">
        <v>0.183172003</v>
      </c>
      <c r="G120" s="41">
        <v>0.329858526</v>
      </c>
      <c r="H120" s="79">
        <f t="shared" si="1"/>
        <v>0.157110945</v>
      </c>
      <c r="I120" s="42">
        <v>-7.148730403</v>
      </c>
    </row>
    <row r="121">
      <c r="A121" s="1" t="s">
        <v>475</v>
      </c>
      <c r="B121" s="38">
        <v>605130.0</v>
      </c>
      <c r="C121" s="38">
        <v>1186.0</v>
      </c>
      <c r="D121" s="40">
        <v>5.148428331</v>
      </c>
      <c r="E121" s="41">
        <v>0.467116358</v>
      </c>
      <c r="F121" s="41">
        <v>0.188870152</v>
      </c>
      <c r="G121" s="41">
        <v>0.344013491</v>
      </c>
      <c r="H121" s="79">
        <f t="shared" si="1"/>
        <v>0.123102867</v>
      </c>
      <c r="I121" s="42">
        <v>4.730111129</v>
      </c>
    </row>
    <row r="122" hidden="1">
      <c r="A122" s="1" t="s">
        <v>1116</v>
      </c>
      <c r="B122" s="38">
        <v>640470.0</v>
      </c>
      <c r="C122" s="38">
        <v>193.0</v>
      </c>
      <c r="D122" s="40">
        <v>5.14393072</v>
      </c>
      <c r="E122" s="41">
        <v>0.450777202</v>
      </c>
      <c r="F122" s="41">
        <v>0.191709845</v>
      </c>
      <c r="G122" s="41">
        <v>0.357512953</v>
      </c>
      <c r="H122" s="79">
        <f t="shared" si="1"/>
        <v>0.093264249</v>
      </c>
      <c r="I122" s="42">
        <v>2.295371657</v>
      </c>
    </row>
    <row r="123">
      <c r="A123" s="1" t="s">
        <v>697</v>
      </c>
      <c r="B123" s="38">
        <v>605347.0</v>
      </c>
      <c r="C123" s="38">
        <v>1152.0</v>
      </c>
      <c r="D123" s="40">
        <v>5.143897354</v>
      </c>
      <c r="E123" s="41">
        <v>0.503472222</v>
      </c>
      <c r="F123" s="41">
        <v>0.184895833</v>
      </c>
      <c r="G123" s="41">
        <v>0.311631944</v>
      </c>
      <c r="H123" s="79">
        <f t="shared" si="1"/>
        <v>0.191840278</v>
      </c>
      <c r="I123" s="42">
        <v>20.34162824</v>
      </c>
    </row>
    <row r="124" hidden="1">
      <c r="A124" s="1" t="s">
        <v>1044</v>
      </c>
      <c r="B124" s="38">
        <v>543339.0</v>
      </c>
      <c r="C124" s="38">
        <v>394.0</v>
      </c>
      <c r="D124" s="40">
        <v>5.143661736</v>
      </c>
      <c r="E124" s="41">
        <v>0.467005076</v>
      </c>
      <c r="F124" s="41">
        <v>0.177664975</v>
      </c>
      <c r="G124" s="41">
        <v>0.355329949</v>
      </c>
      <c r="H124" s="79">
        <f t="shared" si="1"/>
        <v>0.111675127</v>
      </c>
      <c r="I124" s="42">
        <v>1.962871157</v>
      </c>
    </row>
    <row r="125">
      <c r="A125" s="1" t="s">
        <v>1020</v>
      </c>
      <c r="B125" s="38">
        <v>676710.0</v>
      </c>
      <c r="C125" s="38">
        <v>1288.0</v>
      </c>
      <c r="D125" s="40">
        <v>5.141310457</v>
      </c>
      <c r="E125" s="41">
        <v>0.463509317</v>
      </c>
      <c r="F125" s="41">
        <v>0.188664596</v>
      </c>
      <c r="G125" s="41">
        <v>0.347826087</v>
      </c>
      <c r="H125" s="79">
        <f t="shared" si="1"/>
        <v>0.11568323</v>
      </c>
      <c r="I125" s="42">
        <v>-16.46918358</v>
      </c>
    </row>
    <row r="126">
      <c r="A126" s="1" t="s">
        <v>426</v>
      </c>
      <c r="B126" s="38">
        <v>642585.0</v>
      </c>
      <c r="C126" s="38">
        <v>982.0</v>
      </c>
      <c r="D126" s="40">
        <v>5.14016956</v>
      </c>
      <c r="E126" s="41">
        <v>0.50610998</v>
      </c>
      <c r="F126" s="41">
        <v>0.157841141</v>
      </c>
      <c r="G126" s="41">
        <v>0.33604888</v>
      </c>
      <c r="H126" s="79">
        <f t="shared" si="1"/>
        <v>0.1700611</v>
      </c>
      <c r="I126" s="42">
        <v>6.506646698</v>
      </c>
    </row>
    <row r="127">
      <c r="A127" s="1" t="s">
        <v>772</v>
      </c>
      <c r="B127" s="38">
        <v>493603.0</v>
      </c>
      <c r="C127" s="38">
        <v>1050.0</v>
      </c>
      <c r="D127" s="40">
        <v>5.138505129</v>
      </c>
      <c r="E127" s="41">
        <v>0.487619048</v>
      </c>
      <c r="F127" s="41">
        <v>0.16</v>
      </c>
      <c r="G127" s="41">
        <v>0.352380952</v>
      </c>
      <c r="H127" s="79">
        <f t="shared" si="1"/>
        <v>0.135238096</v>
      </c>
      <c r="I127" s="42">
        <v>4.405188393</v>
      </c>
    </row>
    <row r="128">
      <c r="A128" s="1" t="s">
        <v>59</v>
      </c>
      <c r="B128" s="38">
        <v>623352.0</v>
      </c>
      <c r="C128" s="38">
        <v>930.0</v>
      </c>
      <c r="D128" s="40">
        <v>5.137962908</v>
      </c>
      <c r="E128" s="41">
        <v>0.496774194</v>
      </c>
      <c r="F128" s="41">
        <v>0.131182796</v>
      </c>
      <c r="G128" s="41">
        <v>0.372043011</v>
      </c>
      <c r="H128" s="79">
        <f t="shared" si="1"/>
        <v>0.124731183</v>
      </c>
      <c r="I128" s="42">
        <v>-10.57444947</v>
      </c>
    </row>
    <row r="129">
      <c r="A129" s="1" t="s">
        <v>457</v>
      </c>
      <c r="B129" s="38">
        <v>477132.0</v>
      </c>
      <c r="C129" s="38">
        <v>1828.0</v>
      </c>
      <c r="D129" s="40">
        <v>5.137853389</v>
      </c>
      <c r="E129" s="41">
        <v>0.445842451</v>
      </c>
      <c r="F129" s="41">
        <v>0.219365427</v>
      </c>
      <c r="G129" s="41">
        <v>0.334792123</v>
      </c>
      <c r="H129" s="79">
        <f t="shared" si="1"/>
        <v>0.111050328</v>
      </c>
      <c r="I129" s="42">
        <v>-0.046363303</v>
      </c>
    </row>
    <row r="130">
      <c r="A130" s="1" t="s">
        <v>1126</v>
      </c>
      <c r="B130" s="38">
        <v>622098.0</v>
      </c>
      <c r="C130" s="38">
        <v>766.0</v>
      </c>
      <c r="D130" s="40">
        <v>5.137483527</v>
      </c>
      <c r="E130" s="41">
        <v>0.464751958</v>
      </c>
      <c r="F130" s="41">
        <v>0.184073107</v>
      </c>
      <c r="G130" s="41">
        <v>0.351174935</v>
      </c>
      <c r="H130" s="79">
        <f t="shared" si="1"/>
        <v>0.113577023</v>
      </c>
      <c r="I130" s="42">
        <v>-4.147589428</v>
      </c>
    </row>
    <row r="131">
      <c r="A131" s="1" t="s">
        <v>182</v>
      </c>
      <c r="B131" s="38">
        <v>621381.0</v>
      </c>
      <c r="C131" s="38">
        <v>761.0</v>
      </c>
      <c r="D131" s="40">
        <v>5.136877472</v>
      </c>
      <c r="E131" s="41">
        <v>0.521681997</v>
      </c>
      <c r="F131" s="41">
        <v>0.153745072</v>
      </c>
      <c r="G131" s="41">
        <v>0.32457293</v>
      </c>
      <c r="H131" s="79">
        <f t="shared" si="1"/>
        <v>0.197109067</v>
      </c>
      <c r="I131" s="42">
        <v>2.086996959</v>
      </c>
    </row>
    <row r="132">
      <c r="A132" s="1" t="s">
        <v>1107</v>
      </c>
      <c r="B132" s="38">
        <v>446372.0</v>
      </c>
      <c r="C132" s="38">
        <v>2417.0</v>
      </c>
      <c r="D132" s="40">
        <v>5.136578285</v>
      </c>
      <c r="E132" s="41">
        <v>0.4489036</v>
      </c>
      <c r="F132" s="41">
        <v>0.213074059</v>
      </c>
      <c r="G132" s="41">
        <v>0.338022342</v>
      </c>
      <c r="H132" s="79">
        <f t="shared" si="1"/>
        <v>0.110881258</v>
      </c>
      <c r="I132" s="42">
        <v>-32.8262561</v>
      </c>
    </row>
    <row r="133" hidden="1">
      <c r="A133" s="1" t="s">
        <v>789</v>
      </c>
      <c r="B133" s="38">
        <v>681799.0</v>
      </c>
      <c r="C133" s="38">
        <v>176.0</v>
      </c>
      <c r="D133" s="40">
        <v>5.135513784</v>
      </c>
      <c r="E133" s="41">
        <v>0.517045455</v>
      </c>
      <c r="F133" s="41">
        <v>0.159090909</v>
      </c>
      <c r="G133" s="41">
        <v>0.323863636</v>
      </c>
      <c r="H133" s="79">
        <f t="shared" si="1"/>
        <v>0.193181819</v>
      </c>
      <c r="I133" s="42">
        <v>1.363283577</v>
      </c>
    </row>
    <row r="134" hidden="1">
      <c r="A134" s="1" t="s">
        <v>1272</v>
      </c>
      <c r="B134" s="38">
        <v>606131.0</v>
      </c>
      <c r="C134" s="38">
        <v>283.0</v>
      </c>
      <c r="D134" s="40">
        <v>5.133369053</v>
      </c>
      <c r="E134" s="41">
        <v>0.427561837</v>
      </c>
      <c r="F134" s="41">
        <v>0.243816254</v>
      </c>
      <c r="G134" s="41">
        <v>0.328621908</v>
      </c>
      <c r="H134" s="79">
        <f t="shared" si="1"/>
        <v>0.098939929</v>
      </c>
      <c r="I134" s="42">
        <v>-5.202890582</v>
      </c>
    </row>
    <row r="135">
      <c r="A135" s="1" t="s">
        <v>650</v>
      </c>
      <c r="B135" s="38">
        <v>640451.0</v>
      </c>
      <c r="C135" s="38">
        <v>657.0</v>
      </c>
      <c r="D135" s="40">
        <v>5.13278056</v>
      </c>
      <c r="E135" s="41">
        <v>0.474885845</v>
      </c>
      <c r="F135" s="41">
        <v>0.196347032</v>
      </c>
      <c r="G135" s="41">
        <v>0.328767123</v>
      </c>
      <c r="H135" s="79">
        <f t="shared" si="1"/>
        <v>0.146118722</v>
      </c>
      <c r="I135" s="42">
        <v>-1.046649277</v>
      </c>
    </row>
    <row r="136" hidden="1">
      <c r="A136" s="1" t="s">
        <v>48</v>
      </c>
      <c r="B136" s="38">
        <v>552640.0</v>
      </c>
      <c r="C136" s="38">
        <v>232.0</v>
      </c>
      <c r="D136" s="40">
        <v>5.132492978</v>
      </c>
      <c r="E136" s="41">
        <v>0.474137931</v>
      </c>
      <c r="F136" s="41">
        <v>0.228448276</v>
      </c>
      <c r="G136" s="41">
        <v>0.297413793</v>
      </c>
      <c r="H136" s="79">
        <f t="shared" si="1"/>
        <v>0.176724138</v>
      </c>
      <c r="I136" s="42">
        <v>-1.194801617</v>
      </c>
    </row>
    <row r="137">
      <c r="A137" s="1" t="s">
        <v>576</v>
      </c>
      <c r="B137" s="38">
        <v>660761.0</v>
      </c>
      <c r="C137" s="38">
        <v>1762.0</v>
      </c>
      <c r="D137" s="40">
        <v>5.131588552</v>
      </c>
      <c r="E137" s="41">
        <v>0.473893303</v>
      </c>
      <c r="F137" s="41">
        <v>0.206015891</v>
      </c>
      <c r="G137" s="41">
        <v>0.320090806</v>
      </c>
      <c r="H137" s="79">
        <f t="shared" si="1"/>
        <v>0.153802497</v>
      </c>
      <c r="I137" s="42">
        <v>0.637346426</v>
      </c>
    </row>
    <row r="138" hidden="1">
      <c r="A138" s="1" t="s">
        <v>262</v>
      </c>
      <c r="B138" s="38">
        <v>676534.0</v>
      </c>
      <c r="C138" s="38">
        <v>430.0</v>
      </c>
      <c r="D138" s="40">
        <v>5.128882037</v>
      </c>
      <c r="E138" s="41">
        <v>0.481395349</v>
      </c>
      <c r="F138" s="41">
        <v>0.162790698</v>
      </c>
      <c r="G138" s="41">
        <v>0.355813953</v>
      </c>
      <c r="H138" s="79">
        <f t="shared" si="1"/>
        <v>0.125581396</v>
      </c>
      <c r="I138" s="42">
        <v>-4.86227621</v>
      </c>
    </row>
    <row r="139">
      <c r="A139" s="1" t="s">
        <v>1114</v>
      </c>
      <c r="B139" s="38">
        <v>502171.0</v>
      </c>
      <c r="C139" s="38">
        <v>2391.0</v>
      </c>
      <c r="D139" s="40">
        <v>5.128693401</v>
      </c>
      <c r="E139" s="41">
        <v>0.455457967</v>
      </c>
      <c r="F139" s="41">
        <v>0.203262233</v>
      </c>
      <c r="G139" s="41">
        <v>0.341279799</v>
      </c>
      <c r="H139" s="79">
        <f t="shared" si="1"/>
        <v>0.114178168</v>
      </c>
      <c r="I139" s="42">
        <v>2.462595297</v>
      </c>
    </row>
    <row r="140">
      <c r="A140" s="1" t="s">
        <v>658</v>
      </c>
      <c r="B140" s="38">
        <v>682171.0</v>
      </c>
      <c r="C140" s="38">
        <v>987.0</v>
      </c>
      <c r="D140" s="40">
        <v>5.126533045</v>
      </c>
      <c r="E140" s="41">
        <v>0.490374873</v>
      </c>
      <c r="F140" s="41">
        <v>0.188449848</v>
      </c>
      <c r="G140" s="41">
        <v>0.321175279</v>
      </c>
      <c r="H140" s="79">
        <f t="shared" si="1"/>
        <v>0.169199594</v>
      </c>
      <c r="I140" s="42">
        <v>1.156286894</v>
      </c>
    </row>
    <row r="141" hidden="1">
      <c r="A141" s="1" t="s">
        <v>1091</v>
      </c>
      <c r="B141" s="38">
        <v>592741.0</v>
      </c>
      <c r="C141" s="38">
        <v>469.0</v>
      </c>
      <c r="D141" s="40">
        <v>5.122712064</v>
      </c>
      <c r="E141" s="41">
        <v>0.44989339</v>
      </c>
      <c r="F141" s="41">
        <v>0.174840085</v>
      </c>
      <c r="G141" s="41">
        <v>0.375266525</v>
      </c>
      <c r="H141" s="79">
        <f t="shared" si="1"/>
        <v>0.074626865</v>
      </c>
      <c r="I141" s="42">
        <v>-4.864032016</v>
      </c>
    </row>
    <row r="142">
      <c r="A142" s="1" t="s">
        <v>184</v>
      </c>
      <c r="B142" s="38">
        <v>628452.0</v>
      </c>
      <c r="C142" s="38">
        <v>970.0</v>
      </c>
      <c r="D142" s="40">
        <v>5.122710089</v>
      </c>
      <c r="E142" s="41">
        <v>0.449484536</v>
      </c>
      <c r="F142" s="41">
        <v>0.210309278</v>
      </c>
      <c r="G142" s="41">
        <v>0.340206186</v>
      </c>
      <c r="H142" s="79">
        <f t="shared" si="1"/>
        <v>0.10927835</v>
      </c>
      <c r="I142" s="42">
        <v>8.698053008</v>
      </c>
    </row>
    <row r="143">
      <c r="A143" s="1" t="s">
        <v>55</v>
      </c>
      <c r="B143" s="38">
        <v>641816.0</v>
      </c>
      <c r="C143" s="38">
        <v>2081.0</v>
      </c>
      <c r="D143" s="40">
        <v>5.120294778</v>
      </c>
      <c r="E143" s="41">
        <v>0.463238827</v>
      </c>
      <c r="F143" s="41">
        <v>0.188370975</v>
      </c>
      <c r="G143" s="41">
        <v>0.348390197</v>
      </c>
      <c r="H143" s="79">
        <f t="shared" si="1"/>
        <v>0.11484863</v>
      </c>
      <c r="I143" s="42">
        <v>-4.494014914</v>
      </c>
    </row>
    <row r="144">
      <c r="A144" s="1" t="s">
        <v>1273</v>
      </c>
      <c r="B144" s="38">
        <v>622694.0</v>
      </c>
      <c r="C144" s="38">
        <v>1087.0</v>
      </c>
      <c r="D144" s="40">
        <v>5.119408197</v>
      </c>
      <c r="E144" s="41">
        <v>0.454461822</v>
      </c>
      <c r="F144" s="41">
        <v>0.199632015</v>
      </c>
      <c r="G144" s="41">
        <v>0.345906164</v>
      </c>
      <c r="H144" s="79">
        <f t="shared" si="1"/>
        <v>0.108555658</v>
      </c>
      <c r="I144" s="42">
        <v>-7.831592282</v>
      </c>
    </row>
    <row r="145">
      <c r="A145" s="1" t="s">
        <v>1125</v>
      </c>
      <c r="B145" s="38">
        <v>643493.0</v>
      </c>
      <c r="C145" s="38">
        <v>799.0</v>
      </c>
      <c r="D145" s="40">
        <v>5.117792432</v>
      </c>
      <c r="E145" s="41">
        <v>0.448060075</v>
      </c>
      <c r="F145" s="41">
        <v>0.224030038</v>
      </c>
      <c r="G145" s="41">
        <v>0.327909887</v>
      </c>
      <c r="H145" s="79">
        <f t="shared" si="1"/>
        <v>0.120150188</v>
      </c>
      <c r="I145" s="42">
        <v>-1.590867144</v>
      </c>
    </row>
    <row r="146">
      <c r="A146" s="1" t="s">
        <v>678</v>
      </c>
      <c r="B146" s="38">
        <v>554340.0</v>
      </c>
      <c r="C146" s="38">
        <v>1015.0</v>
      </c>
      <c r="D146" s="40">
        <v>5.117556958</v>
      </c>
      <c r="E146" s="41">
        <v>0.456157635</v>
      </c>
      <c r="F146" s="41">
        <v>0.2</v>
      </c>
      <c r="G146" s="41">
        <v>0.343842365</v>
      </c>
      <c r="H146" s="79">
        <f t="shared" si="1"/>
        <v>0.11231527</v>
      </c>
      <c r="I146" s="42">
        <v>5.998153278</v>
      </c>
    </row>
    <row r="147">
      <c r="A147" s="1" t="s">
        <v>666</v>
      </c>
      <c r="B147" s="38">
        <v>605154.0</v>
      </c>
      <c r="C147" s="38">
        <v>1082.0</v>
      </c>
      <c r="D147" s="40">
        <v>5.11606606</v>
      </c>
      <c r="E147" s="41">
        <v>0.471349353</v>
      </c>
      <c r="F147" s="41">
        <v>0.215341959</v>
      </c>
      <c r="G147" s="41">
        <v>0.313308688</v>
      </c>
      <c r="H147" s="79">
        <f t="shared" si="1"/>
        <v>0.158040665</v>
      </c>
      <c r="I147" s="42">
        <v>-14.38744444</v>
      </c>
    </row>
    <row r="148">
      <c r="A148" s="1" t="s">
        <v>38</v>
      </c>
      <c r="B148" s="38">
        <v>595345.0</v>
      </c>
      <c r="C148" s="38">
        <v>958.0</v>
      </c>
      <c r="D148" s="40">
        <v>5.113967123</v>
      </c>
      <c r="E148" s="41">
        <v>0.493736952</v>
      </c>
      <c r="F148" s="41">
        <v>0.16388309</v>
      </c>
      <c r="G148" s="41">
        <v>0.342379958</v>
      </c>
      <c r="H148" s="79">
        <f t="shared" si="1"/>
        <v>0.151356994</v>
      </c>
      <c r="I148" s="42">
        <v>10.33084862</v>
      </c>
    </row>
    <row r="149">
      <c r="A149" s="1" t="s">
        <v>211</v>
      </c>
      <c r="B149" s="38">
        <v>668933.0</v>
      </c>
      <c r="C149" s="38">
        <v>1645.0</v>
      </c>
      <c r="D149" s="40">
        <v>5.111540297</v>
      </c>
      <c r="E149" s="41">
        <v>0.485714286</v>
      </c>
      <c r="F149" s="41">
        <v>0.18662614</v>
      </c>
      <c r="G149" s="41">
        <v>0.327659574</v>
      </c>
      <c r="H149" s="79">
        <f t="shared" si="1"/>
        <v>0.158054712</v>
      </c>
      <c r="I149" s="42">
        <v>-7.121632711</v>
      </c>
    </row>
    <row r="150">
      <c r="A150" s="1" t="s">
        <v>1144</v>
      </c>
      <c r="B150" s="38">
        <v>657265.0</v>
      </c>
      <c r="C150" s="38">
        <v>596.0</v>
      </c>
      <c r="D150" s="40">
        <v>5.111508879</v>
      </c>
      <c r="E150" s="41">
        <v>0.474832215</v>
      </c>
      <c r="F150" s="41">
        <v>0.19966443</v>
      </c>
      <c r="G150" s="41">
        <v>0.325503356</v>
      </c>
      <c r="H150" s="79">
        <f t="shared" si="1"/>
        <v>0.149328859</v>
      </c>
      <c r="I150" s="42">
        <v>0.221456466</v>
      </c>
    </row>
    <row r="151">
      <c r="A151" s="1" t="s">
        <v>1045</v>
      </c>
      <c r="B151" s="38">
        <v>571670.0</v>
      </c>
      <c r="C151" s="38">
        <v>848.0</v>
      </c>
      <c r="D151" s="40">
        <v>5.111390224</v>
      </c>
      <c r="E151" s="41">
        <v>0.452830189</v>
      </c>
      <c r="F151" s="41">
        <v>0.220518868</v>
      </c>
      <c r="G151" s="41">
        <v>0.326650943</v>
      </c>
      <c r="H151" s="79">
        <f t="shared" si="1"/>
        <v>0.126179246</v>
      </c>
      <c r="I151" s="42">
        <v>10.41408264</v>
      </c>
    </row>
    <row r="152">
      <c r="A152" s="1" t="s">
        <v>144</v>
      </c>
      <c r="B152" s="38">
        <v>670167.0</v>
      </c>
      <c r="C152" s="38">
        <v>1009.0</v>
      </c>
      <c r="D152" s="40">
        <v>5.110585789</v>
      </c>
      <c r="E152" s="41">
        <v>0.466798811</v>
      </c>
      <c r="F152" s="41">
        <v>0.187314172</v>
      </c>
      <c r="G152" s="41">
        <v>0.345887017</v>
      </c>
      <c r="H152" s="79">
        <f t="shared" si="1"/>
        <v>0.120911794</v>
      </c>
      <c r="I152" s="42">
        <v>5.128362666</v>
      </c>
    </row>
    <row r="153">
      <c r="A153" s="1" t="s">
        <v>1129</v>
      </c>
      <c r="B153" s="38">
        <v>542914.0</v>
      </c>
      <c r="C153" s="38">
        <v>972.0</v>
      </c>
      <c r="D153" s="40">
        <v>5.110059156</v>
      </c>
      <c r="E153" s="41">
        <v>0.448559671</v>
      </c>
      <c r="F153" s="41">
        <v>0.229423868</v>
      </c>
      <c r="G153" s="41">
        <v>0.322016461</v>
      </c>
      <c r="H153" s="79">
        <f t="shared" si="1"/>
        <v>0.12654321</v>
      </c>
      <c r="I153" s="42">
        <v>4.509647238</v>
      </c>
    </row>
    <row r="154">
      <c r="A154" s="1" t="s">
        <v>1274</v>
      </c>
      <c r="B154" s="38">
        <v>453343.0</v>
      </c>
      <c r="C154" s="38">
        <v>879.0</v>
      </c>
      <c r="D154" s="40">
        <v>5.10982111</v>
      </c>
      <c r="E154" s="41">
        <v>0.451649602</v>
      </c>
      <c r="F154" s="41">
        <v>0.221843003</v>
      </c>
      <c r="G154" s="41">
        <v>0.326507395</v>
      </c>
      <c r="H154" s="79">
        <f t="shared" si="1"/>
        <v>0.125142207</v>
      </c>
      <c r="I154" s="42">
        <v>-8.307780476</v>
      </c>
    </row>
    <row r="155">
      <c r="A155" s="1" t="s">
        <v>903</v>
      </c>
      <c r="B155" s="38">
        <v>607179.0</v>
      </c>
      <c r="C155" s="38">
        <v>735.0</v>
      </c>
      <c r="D155" s="40">
        <v>5.108274261</v>
      </c>
      <c r="E155" s="41">
        <v>0.473469388</v>
      </c>
      <c r="F155" s="41">
        <v>0.180952381</v>
      </c>
      <c r="G155" s="41">
        <v>0.345578231</v>
      </c>
      <c r="H155" s="79">
        <f t="shared" si="1"/>
        <v>0.127891157</v>
      </c>
      <c r="I155" s="42">
        <v>2.091146296</v>
      </c>
    </row>
    <row r="156">
      <c r="A156" s="1" t="s">
        <v>404</v>
      </c>
      <c r="B156" s="38">
        <v>593974.0</v>
      </c>
      <c r="C156" s="38">
        <v>805.0</v>
      </c>
      <c r="D156" s="40">
        <v>5.104923809</v>
      </c>
      <c r="E156" s="41">
        <v>0.444720497</v>
      </c>
      <c r="F156" s="41">
        <v>0.197515528</v>
      </c>
      <c r="G156" s="41">
        <v>0.357763975</v>
      </c>
      <c r="H156" s="79">
        <f t="shared" si="1"/>
        <v>0.086956522</v>
      </c>
      <c r="I156" s="42">
        <v>1.45730966</v>
      </c>
    </row>
    <row r="157" hidden="1">
      <c r="A157" s="1" t="s">
        <v>1275</v>
      </c>
      <c r="B157" s="38">
        <v>489265.0</v>
      </c>
      <c r="C157" s="38">
        <v>330.0</v>
      </c>
      <c r="D157" s="40">
        <v>5.104711866</v>
      </c>
      <c r="E157" s="41">
        <v>0.415151515</v>
      </c>
      <c r="F157" s="41">
        <v>0.193939394</v>
      </c>
      <c r="G157" s="41">
        <v>0.390909091</v>
      </c>
      <c r="H157" s="79">
        <f t="shared" si="1"/>
        <v>0.024242424</v>
      </c>
      <c r="I157" s="42">
        <v>-2.335608092</v>
      </c>
    </row>
    <row r="158">
      <c r="A158" s="1" t="s">
        <v>1146</v>
      </c>
      <c r="B158" s="38">
        <v>621074.0</v>
      </c>
      <c r="C158" s="38">
        <v>861.0</v>
      </c>
      <c r="D158" s="40">
        <v>5.099938034</v>
      </c>
      <c r="E158" s="41">
        <v>0.468060395</v>
      </c>
      <c r="F158" s="41">
        <v>0.18931475</v>
      </c>
      <c r="G158" s="41">
        <v>0.342624855</v>
      </c>
      <c r="H158" s="79">
        <f t="shared" si="1"/>
        <v>0.12543554</v>
      </c>
      <c r="I158" s="42">
        <v>-1.711411059</v>
      </c>
    </row>
    <row r="159">
      <c r="A159" s="1" t="s">
        <v>164</v>
      </c>
      <c r="B159" s="38">
        <v>669923.0</v>
      </c>
      <c r="C159" s="38">
        <v>2077.0</v>
      </c>
      <c r="D159" s="40">
        <v>5.098287734</v>
      </c>
      <c r="E159" s="41">
        <v>0.466056813</v>
      </c>
      <c r="F159" s="41">
        <v>0.223880597</v>
      </c>
      <c r="G159" s="41">
        <v>0.31006259</v>
      </c>
      <c r="H159" s="79">
        <f t="shared" si="1"/>
        <v>0.155994223</v>
      </c>
      <c r="I159" s="42">
        <v>-5.403664246</v>
      </c>
    </row>
    <row r="160">
      <c r="A160" s="1" t="s">
        <v>1276</v>
      </c>
      <c r="B160" s="38">
        <v>641501.0</v>
      </c>
      <c r="C160" s="38">
        <v>656.0</v>
      </c>
      <c r="D160" s="40">
        <v>5.097014953</v>
      </c>
      <c r="E160" s="41">
        <v>0.448170732</v>
      </c>
      <c r="F160" s="41">
        <v>0.196646341</v>
      </c>
      <c r="G160" s="41">
        <v>0.355182927</v>
      </c>
      <c r="H160" s="79">
        <f t="shared" si="1"/>
        <v>0.092987805</v>
      </c>
      <c r="I160" s="42">
        <v>0.549820868</v>
      </c>
    </row>
    <row r="161">
      <c r="A161" s="1" t="s">
        <v>394</v>
      </c>
      <c r="B161" s="38">
        <v>621121.0</v>
      </c>
      <c r="C161" s="38">
        <v>752.0</v>
      </c>
      <c r="D161" s="40">
        <v>5.09609988</v>
      </c>
      <c r="E161" s="41">
        <v>0.482712766</v>
      </c>
      <c r="F161" s="41">
        <v>0.142287234</v>
      </c>
      <c r="G161" s="41">
        <v>0.375</v>
      </c>
      <c r="H161" s="79">
        <f t="shared" si="1"/>
        <v>0.107712766</v>
      </c>
      <c r="I161" s="42">
        <v>1.222888758</v>
      </c>
    </row>
    <row r="162">
      <c r="A162" s="1" t="s">
        <v>417</v>
      </c>
      <c r="B162" s="38">
        <v>608718.0</v>
      </c>
      <c r="C162" s="38">
        <v>1060.0</v>
      </c>
      <c r="D162" s="40">
        <v>5.095981573</v>
      </c>
      <c r="E162" s="41">
        <v>0.46509434</v>
      </c>
      <c r="F162" s="41">
        <v>0.178301887</v>
      </c>
      <c r="G162" s="41">
        <v>0.356603774</v>
      </c>
      <c r="H162" s="79">
        <f t="shared" si="1"/>
        <v>0.108490566</v>
      </c>
      <c r="I162" s="42">
        <v>6.03299797</v>
      </c>
    </row>
    <row r="163">
      <c r="A163" s="1" t="s">
        <v>69</v>
      </c>
      <c r="B163" s="38">
        <v>657612.0</v>
      </c>
      <c r="C163" s="38">
        <v>743.0</v>
      </c>
      <c r="D163" s="40">
        <v>5.094713157</v>
      </c>
      <c r="E163" s="41">
        <v>0.467025572</v>
      </c>
      <c r="F163" s="41">
        <v>0.177658143</v>
      </c>
      <c r="G163" s="41">
        <v>0.355316285</v>
      </c>
      <c r="H163" s="79">
        <f t="shared" si="1"/>
        <v>0.111709287</v>
      </c>
      <c r="I163" s="42">
        <v>-1.72120375</v>
      </c>
    </row>
    <row r="164">
      <c r="A164" s="1" t="s">
        <v>1277</v>
      </c>
      <c r="B164" s="38">
        <v>502179.0</v>
      </c>
      <c r="C164" s="38">
        <v>1847.0</v>
      </c>
      <c r="D164" s="40">
        <v>5.09268674</v>
      </c>
      <c r="E164" s="41">
        <v>0.456415809</v>
      </c>
      <c r="F164" s="41">
        <v>0.18624797</v>
      </c>
      <c r="G164" s="41">
        <v>0.357336221</v>
      </c>
      <c r="H164" s="79">
        <f t="shared" si="1"/>
        <v>0.099079588</v>
      </c>
      <c r="I164" s="42">
        <v>-31.1829493</v>
      </c>
    </row>
    <row r="165">
      <c r="A165" s="1" t="s">
        <v>278</v>
      </c>
      <c r="B165" s="38">
        <v>542881.0</v>
      </c>
      <c r="C165" s="38">
        <v>2553.0</v>
      </c>
      <c r="D165" s="40">
        <v>5.092587771</v>
      </c>
      <c r="E165" s="41">
        <v>0.457109283</v>
      </c>
      <c r="F165" s="41">
        <v>0.21190756</v>
      </c>
      <c r="G165" s="41">
        <v>0.330983157</v>
      </c>
      <c r="H165" s="79">
        <f t="shared" si="1"/>
        <v>0.126126126</v>
      </c>
      <c r="I165" s="42">
        <v>7.233941545</v>
      </c>
    </row>
    <row r="166" hidden="1">
      <c r="A166" s="1" t="s">
        <v>637</v>
      </c>
      <c r="B166" s="38">
        <v>606930.0</v>
      </c>
      <c r="C166" s="38">
        <v>359.0</v>
      </c>
      <c r="D166" s="40">
        <v>5.092205025</v>
      </c>
      <c r="E166" s="41">
        <v>0.495821727</v>
      </c>
      <c r="F166" s="41">
        <v>0.178272981</v>
      </c>
      <c r="G166" s="41">
        <v>0.325905292</v>
      </c>
      <c r="H166" s="79">
        <f t="shared" si="1"/>
        <v>0.169916435</v>
      </c>
      <c r="I166" s="42">
        <v>-6.61364582</v>
      </c>
    </row>
    <row r="167">
      <c r="A167" s="1" t="s">
        <v>119</v>
      </c>
      <c r="B167" s="38">
        <v>669456.0</v>
      </c>
      <c r="C167" s="38">
        <v>2848.0</v>
      </c>
      <c r="D167" s="40">
        <v>5.091454781</v>
      </c>
      <c r="E167" s="41">
        <v>0.456460674</v>
      </c>
      <c r="F167" s="41">
        <v>0.203651685</v>
      </c>
      <c r="G167" s="41">
        <v>0.33988764</v>
      </c>
      <c r="H167" s="79">
        <f t="shared" si="1"/>
        <v>0.116573034</v>
      </c>
      <c r="I167" s="42">
        <v>-19.63797409</v>
      </c>
    </row>
    <row r="168">
      <c r="A168" s="1" t="s">
        <v>1022</v>
      </c>
      <c r="B168" s="38">
        <v>608723.0</v>
      </c>
      <c r="C168" s="38">
        <v>1751.0</v>
      </c>
      <c r="D168" s="40">
        <v>5.088117544</v>
      </c>
      <c r="E168" s="41">
        <v>0.444317533</v>
      </c>
      <c r="F168" s="41">
        <v>0.209023415</v>
      </c>
      <c r="G168" s="41">
        <v>0.346659052</v>
      </c>
      <c r="H168" s="79">
        <f t="shared" si="1"/>
        <v>0.097658481</v>
      </c>
      <c r="I168" s="42">
        <v>-20.3701453</v>
      </c>
    </row>
    <row r="169">
      <c r="A169" s="1" t="s">
        <v>187</v>
      </c>
      <c r="B169" s="38">
        <v>641302.0</v>
      </c>
      <c r="C169" s="38">
        <v>1575.0</v>
      </c>
      <c r="D169" s="40">
        <v>5.087547797</v>
      </c>
      <c r="E169" s="41">
        <v>0.454603175</v>
      </c>
      <c r="F169" s="41">
        <v>0.217777778</v>
      </c>
      <c r="G169" s="41">
        <v>0.327619048</v>
      </c>
      <c r="H169" s="79">
        <f t="shared" si="1"/>
        <v>0.126984127</v>
      </c>
      <c r="I169" s="42">
        <v>-10.86383751</v>
      </c>
    </row>
    <row r="170">
      <c r="A170" s="1" t="s">
        <v>882</v>
      </c>
      <c r="B170" s="38">
        <v>647315.0</v>
      </c>
      <c r="C170" s="38">
        <v>531.0</v>
      </c>
      <c r="D170" s="40">
        <v>5.087122891</v>
      </c>
      <c r="E170" s="41">
        <v>0.451977401</v>
      </c>
      <c r="F170" s="41">
        <v>0.209039548</v>
      </c>
      <c r="G170" s="41">
        <v>0.338983051</v>
      </c>
      <c r="H170" s="79">
        <f t="shared" si="1"/>
        <v>0.11299435</v>
      </c>
      <c r="I170" s="42">
        <v>-5.67810889</v>
      </c>
    </row>
    <row r="171">
      <c r="A171" s="1" t="s">
        <v>1278</v>
      </c>
      <c r="B171" s="38">
        <v>641582.0</v>
      </c>
      <c r="C171" s="38">
        <v>751.0</v>
      </c>
      <c r="D171" s="40">
        <v>5.085554611</v>
      </c>
      <c r="E171" s="41">
        <v>0.459387483</v>
      </c>
      <c r="F171" s="41">
        <v>0.201065246</v>
      </c>
      <c r="G171" s="41">
        <v>0.33954727</v>
      </c>
      <c r="H171" s="79">
        <f t="shared" si="1"/>
        <v>0.119840213</v>
      </c>
      <c r="I171" s="42">
        <v>-2.874080021</v>
      </c>
    </row>
    <row r="172" hidden="1">
      <c r="A172" s="1" t="s">
        <v>319</v>
      </c>
      <c r="B172" s="38">
        <v>607481.0</v>
      </c>
      <c r="C172" s="38">
        <v>442.0</v>
      </c>
      <c r="D172" s="40">
        <v>5.083046751</v>
      </c>
      <c r="E172" s="41">
        <v>0.466063348</v>
      </c>
      <c r="F172" s="41">
        <v>0.187782805</v>
      </c>
      <c r="G172" s="41">
        <v>0.346153846</v>
      </c>
      <c r="H172" s="79">
        <f t="shared" si="1"/>
        <v>0.119909502</v>
      </c>
      <c r="I172" s="42">
        <v>-5.373811246</v>
      </c>
    </row>
    <row r="173" hidden="1">
      <c r="A173" s="1" t="s">
        <v>862</v>
      </c>
      <c r="B173" s="38">
        <v>663546.0</v>
      </c>
      <c r="C173" s="38">
        <v>467.0</v>
      </c>
      <c r="D173" s="40">
        <v>5.082413788</v>
      </c>
      <c r="E173" s="41">
        <v>0.481798715</v>
      </c>
      <c r="F173" s="41">
        <v>0.184154176</v>
      </c>
      <c r="G173" s="41">
        <v>0.334047109</v>
      </c>
      <c r="H173" s="79">
        <f t="shared" si="1"/>
        <v>0.147751606</v>
      </c>
      <c r="I173" s="42">
        <v>-2.123106542</v>
      </c>
    </row>
    <row r="174" hidden="1">
      <c r="A174" s="1" t="s">
        <v>1083</v>
      </c>
      <c r="B174" s="38">
        <v>622075.0</v>
      </c>
      <c r="C174" s="38">
        <v>449.0</v>
      </c>
      <c r="D174" s="40">
        <v>5.081749196</v>
      </c>
      <c r="E174" s="41">
        <v>0.483296214</v>
      </c>
      <c r="F174" s="41">
        <v>0.175946548</v>
      </c>
      <c r="G174" s="41">
        <v>0.340757238</v>
      </c>
      <c r="H174" s="79">
        <f t="shared" si="1"/>
        <v>0.142538976</v>
      </c>
      <c r="I174" s="42">
        <v>6.542865706</v>
      </c>
    </row>
    <row r="175">
      <c r="A175" s="1" t="s">
        <v>177</v>
      </c>
      <c r="B175" s="38">
        <v>641793.0</v>
      </c>
      <c r="C175" s="38">
        <v>755.0</v>
      </c>
      <c r="D175" s="40">
        <v>5.080798919</v>
      </c>
      <c r="E175" s="41">
        <v>0.456953642</v>
      </c>
      <c r="F175" s="41">
        <v>0.202649007</v>
      </c>
      <c r="G175" s="41">
        <v>0.340397351</v>
      </c>
      <c r="H175" s="79">
        <f t="shared" si="1"/>
        <v>0.116556291</v>
      </c>
      <c r="I175" s="42">
        <v>-7.448671018</v>
      </c>
    </row>
    <row r="176" hidden="1">
      <c r="A176" s="1" t="s">
        <v>558</v>
      </c>
      <c r="B176" s="38">
        <v>596271.0</v>
      </c>
      <c r="C176" s="38">
        <v>295.0</v>
      </c>
      <c r="D176" s="40">
        <v>5.080669692</v>
      </c>
      <c r="E176" s="41">
        <v>0.416949153</v>
      </c>
      <c r="F176" s="41">
        <v>0.288135593</v>
      </c>
      <c r="G176" s="41">
        <v>0.294915254</v>
      </c>
      <c r="H176" s="79">
        <f t="shared" si="1"/>
        <v>0.122033899</v>
      </c>
      <c r="I176" s="42">
        <v>-6.590556913</v>
      </c>
    </row>
    <row r="177" hidden="1">
      <c r="A177" s="1" t="s">
        <v>1139</v>
      </c>
      <c r="B177" s="38">
        <v>661440.0</v>
      </c>
      <c r="C177" s="38">
        <v>304.0</v>
      </c>
      <c r="D177" s="40">
        <v>5.080303737</v>
      </c>
      <c r="E177" s="41">
        <v>0.473684211</v>
      </c>
      <c r="F177" s="41">
        <v>0.177631579</v>
      </c>
      <c r="G177" s="41">
        <v>0.348684211</v>
      </c>
      <c r="H177" s="79">
        <f t="shared" si="1"/>
        <v>0.125</v>
      </c>
      <c r="I177" s="42">
        <v>1.917558952</v>
      </c>
    </row>
    <row r="178">
      <c r="A178" s="1" t="s">
        <v>431</v>
      </c>
      <c r="B178" s="38">
        <v>669203.0</v>
      </c>
      <c r="C178" s="38">
        <v>3246.0</v>
      </c>
      <c r="D178" s="40">
        <v>5.078598843</v>
      </c>
      <c r="E178" s="41">
        <v>0.459026494</v>
      </c>
      <c r="F178" s="41">
        <v>0.18207024</v>
      </c>
      <c r="G178" s="41">
        <v>0.358903266</v>
      </c>
      <c r="H178" s="79">
        <f t="shared" si="1"/>
        <v>0.100123228</v>
      </c>
      <c r="I178" s="42">
        <v>31.88424477</v>
      </c>
    </row>
    <row r="179" hidden="1">
      <c r="A179" s="1" t="s">
        <v>854</v>
      </c>
      <c r="B179" s="38">
        <v>656257.0</v>
      </c>
      <c r="C179" s="38">
        <v>412.0</v>
      </c>
      <c r="D179" s="40">
        <v>5.076593648</v>
      </c>
      <c r="E179" s="41">
        <v>0.502427184</v>
      </c>
      <c r="F179" s="41">
        <v>0.165048544</v>
      </c>
      <c r="G179" s="41">
        <v>0.332524272</v>
      </c>
      <c r="H179" s="79">
        <f t="shared" si="1"/>
        <v>0.169902912</v>
      </c>
      <c r="I179" s="42">
        <v>-5.005381969</v>
      </c>
    </row>
    <row r="180">
      <c r="A180" s="1" t="s">
        <v>1057</v>
      </c>
      <c r="B180" s="38">
        <v>594835.0</v>
      </c>
      <c r="C180" s="38">
        <v>2804.0</v>
      </c>
      <c r="D180" s="40">
        <v>5.076533378</v>
      </c>
      <c r="E180" s="41">
        <v>0.458273894</v>
      </c>
      <c r="F180" s="41">
        <v>0.199714693</v>
      </c>
      <c r="G180" s="41">
        <v>0.342011412</v>
      </c>
      <c r="H180" s="79">
        <f t="shared" si="1"/>
        <v>0.116262482</v>
      </c>
      <c r="I180" s="42">
        <v>-20.26423317</v>
      </c>
    </row>
    <row r="181" hidden="1">
      <c r="A181" s="1" t="s">
        <v>1100</v>
      </c>
      <c r="B181" s="38">
        <v>608638.0</v>
      </c>
      <c r="C181" s="38">
        <v>331.0</v>
      </c>
      <c r="D181" s="40">
        <v>5.076210949</v>
      </c>
      <c r="E181" s="41">
        <v>0.46223565</v>
      </c>
      <c r="F181" s="41">
        <v>0.226586103</v>
      </c>
      <c r="G181" s="41">
        <v>0.311178248</v>
      </c>
      <c r="H181" s="79">
        <f t="shared" si="1"/>
        <v>0.151057402</v>
      </c>
      <c r="I181" s="42">
        <v>3.81091613</v>
      </c>
    </row>
    <row r="182">
      <c r="A182" s="1" t="s">
        <v>547</v>
      </c>
      <c r="B182" s="38">
        <v>642528.0</v>
      </c>
      <c r="C182" s="38">
        <v>754.0</v>
      </c>
      <c r="D182" s="40">
        <v>5.075754045</v>
      </c>
      <c r="E182" s="41">
        <v>0.470822281</v>
      </c>
      <c r="F182" s="41">
        <v>0.194960212</v>
      </c>
      <c r="G182" s="41">
        <v>0.334217507</v>
      </c>
      <c r="H182" s="79">
        <f t="shared" si="1"/>
        <v>0.136604774</v>
      </c>
      <c r="I182" s="42">
        <v>-0.148175202</v>
      </c>
    </row>
    <row r="183">
      <c r="A183" s="1" t="s">
        <v>1113</v>
      </c>
      <c r="B183" s="38">
        <v>425844.0</v>
      </c>
      <c r="C183" s="38">
        <v>2262.0</v>
      </c>
      <c r="D183" s="40">
        <v>5.075484638</v>
      </c>
      <c r="E183" s="41">
        <v>0.419982317</v>
      </c>
      <c r="F183" s="41">
        <v>0.24005305</v>
      </c>
      <c r="G183" s="41">
        <v>0.339964633</v>
      </c>
      <c r="H183" s="79">
        <f t="shared" si="1"/>
        <v>0.080017684</v>
      </c>
      <c r="I183" s="42">
        <v>-18.10651103</v>
      </c>
    </row>
    <row r="184" hidden="1">
      <c r="A184" s="1" t="s">
        <v>1279</v>
      </c>
      <c r="B184" s="38">
        <v>570488.0</v>
      </c>
      <c r="C184" s="38">
        <v>283.0</v>
      </c>
      <c r="D184" s="40">
        <v>5.075333095</v>
      </c>
      <c r="E184" s="41">
        <v>0.51590106</v>
      </c>
      <c r="F184" s="41">
        <v>0.120141343</v>
      </c>
      <c r="G184" s="41">
        <v>0.363957597</v>
      </c>
      <c r="H184" s="79">
        <f t="shared" si="1"/>
        <v>0.151943463</v>
      </c>
      <c r="I184" s="42">
        <v>2.285356822</v>
      </c>
    </row>
    <row r="185">
      <c r="A185" s="1" t="s">
        <v>883</v>
      </c>
      <c r="B185" s="38">
        <v>664123.0</v>
      </c>
      <c r="C185" s="38">
        <v>802.0</v>
      </c>
      <c r="D185" s="40">
        <v>5.074672876</v>
      </c>
      <c r="E185" s="41">
        <v>0.450124688</v>
      </c>
      <c r="F185" s="41">
        <v>0.206982544</v>
      </c>
      <c r="G185" s="41">
        <v>0.342892768</v>
      </c>
      <c r="H185" s="79">
        <f t="shared" si="1"/>
        <v>0.10723192</v>
      </c>
      <c r="I185" s="42">
        <v>0.998187756</v>
      </c>
    </row>
    <row r="186">
      <c r="A186" s="1" t="s">
        <v>858</v>
      </c>
      <c r="B186" s="38">
        <v>657024.0</v>
      </c>
      <c r="C186" s="38">
        <v>870.0</v>
      </c>
      <c r="D186" s="40">
        <v>5.074405397</v>
      </c>
      <c r="E186" s="41">
        <v>0.477011494</v>
      </c>
      <c r="F186" s="41">
        <v>0.177011494</v>
      </c>
      <c r="G186" s="41">
        <v>0.345977011</v>
      </c>
      <c r="H186" s="79">
        <f t="shared" si="1"/>
        <v>0.131034483</v>
      </c>
      <c r="I186" s="42">
        <v>7.789655195</v>
      </c>
    </row>
    <row r="187">
      <c r="A187" s="1" t="s">
        <v>425</v>
      </c>
      <c r="B187" s="38">
        <v>621244.0</v>
      </c>
      <c r="C187" s="38">
        <v>2704.0</v>
      </c>
      <c r="D187" s="40">
        <v>5.072922877</v>
      </c>
      <c r="E187" s="41">
        <v>0.454881657</v>
      </c>
      <c r="F187" s="41">
        <v>0.215236686</v>
      </c>
      <c r="G187" s="41">
        <v>0.329881657</v>
      </c>
      <c r="H187" s="79">
        <f t="shared" si="1"/>
        <v>0.125</v>
      </c>
      <c r="I187" s="42">
        <v>-41.84015825</v>
      </c>
    </row>
    <row r="188">
      <c r="A188" s="1" t="s">
        <v>1280</v>
      </c>
      <c r="B188" s="38">
        <v>606424.0</v>
      </c>
      <c r="C188" s="38">
        <v>1006.0</v>
      </c>
      <c r="D188" s="40">
        <v>5.070674677</v>
      </c>
      <c r="E188" s="41">
        <v>0.464214712</v>
      </c>
      <c r="F188" s="41">
        <v>0.179920477</v>
      </c>
      <c r="G188" s="41">
        <v>0.355864811</v>
      </c>
      <c r="H188" s="79">
        <f t="shared" si="1"/>
        <v>0.108349901</v>
      </c>
      <c r="I188" s="42">
        <v>0.172668944</v>
      </c>
    </row>
    <row r="189">
      <c r="A189" s="1" t="s">
        <v>667</v>
      </c>
      <c r="B189" s="38">
        <v>689225.0</v>
      </c>
      <c r="C189" s="38">
        <v>1278.0</v>
      </c>
      <c r="D189" s="40">
        <v>5.070173208</v>
      </c>
      <c r="E189" s="41">
        <v>0.459311424</v>
      </c>
      <c r="F189" s="41">
        <v>0.183098592</v>
      </c>
      <c r="G189" s="41">
        <v>0.357589984</v>
      </c>
      <c r="H189" s="79">
        <f t="shared" si="1"/>
        <v>0.10172144</v>
      </c>
      <c r="I189" s="42">
        <v>-0.429701062</v>
      </c>
    </row>
    <row r="190" hidden="1">
      <c r="A190" s="1" t="s">
        <v>1214</v>
      </c>
      <c r="B190" s="38">
        <v>641871.0</v>
      </c>
      <c r="C190" s="38">
        <v>239.0</v>
      </c>
      <c r="D190" s="40">
        <v>5.068802561</v>
      </c>
      <c r="E190" s="41">
        <v>0.439330544</v>
      </c>
      <c r="F190" s="41">
        <v>0.242677824</v>
      </c>
      <c r="G190" s="41">
        <v>0.317991632</v>
      </c>
      <c r="H190" s="79">
        <f t="shared" si="1"/>
        <v>0.121338912</v>
      </c>
      <c r="I190" s="42">
        <v>-2.407518017</v>
      </c>
    </row>
    <row r="191">
      <c r="A191" s="1" t="s">
        <v>218</v>
      </c>
      <c r="B191" s="38">
        <v>669432.0</v>
      </c>
      <c r="C191" s="38">
        <v>1923.0</v>
      </c>
      <c r="D191" s="40">
        <v>5.06787509</v>
      </c>
      <c r="E191" s="41">
        <v>0.475299012</v>
      </c>
      <c r="F191" s="41">
        <v>0.176807072</v>
      </c>
      <c r="G191" s="41">
        <v>0.347893916</v>
      </c>
      <c r="H191" s="79">
        <f t="shared" si="1"/>
        <v>0.127405096</v>
      </c>
      <c r="I191" s="42">
        <v>-6.346426072</v>
      </c>
    </row>
    <row r="192">
      <c r="A192" s="1" t="s">
        <v>273</v>
      </c>
      <c r="B192" s="38">
        <v>667463.0</v>
      </c>
      <c r="C192" s="38">
        <v>742.0</v>
      </c>
      <c r="D192" s="40">
        <v>5.067654101</v>
      </c>
      <c r="E192" s="41">
        <v>0.455525606</v>
      </c>
      <c r="F192" s="41">
        <v>0.184636119</v>
      </c>
      <c r="G192" s="41">
        <v>0.359838275</v>
      </c>
      <c r="H192" s="79">
        <f t="shared" si="1"/>
        <v>0.095687331</v>
      </c>
      <c r="I192" s="42">
        <v>-8.884882261</v>
      </c>
    </row>
    <row r="193">
      <c r="A193" s="1" t="s">
        <v>240</v>
      </c>
      <c r="B193" s="38">
        <v>641329.0</v>
      </c>
      <c r="C193" s="38">
        <v>1161.0</v>
      </c>
      <c r="D193" s="40">
        <v>5.066945602</v>
      </c>
      <c r="E193" s="41">
        <v>0.447028424</v>
      </c>
      <c r="F193" s="41">
        <v>0.199827735</v>
      </c>
      <c r="G193" s="41">
        <v>0.353143842</v>
      </c>
      <c r="H193" s="79">
        <f t="shared" si="1"/>
        <v>0.093884582</v>
      </c>
      <c r="I193" s="42">
        <v>4.668363781</v>
      </c>
    </row>
    <row r="194">
      <c r="A194" s="1" t="s">
        <v>153</v>
      </c>
      <c r="B194" s="38">
        <v>669302.0</v>
      </c>
      <c r="C194" s="38">
        <v>2990.0</v>
      </c>
      <c r="D194" s="40">
        <v>5.066679478</v>
      </c>
      <c r="E194" s="41">
        <v>0.455183946</v>
      </c>
      <c r="F194" s="41">
        <v>0.193645485</v>
      </c>
      <c r="G194" s="41">
        <v>0.351170569</v>
      </c>
      <c r="H194" s="79">
        <f t="shared" si="1"/>
        <v>0.104013377</v>
      </c>
      <c r="I194" s="42">
        <v>-7.518956018</v>
      </c>
    </row>
    <row r="195">
      <c r="A195" s="1" t="s">
        <v>281</v>
      </c>
      <c r="B195" s="38">
        <v>622663.0</v>
      </c>
      <c r="C195" s="38">
        <v>1625.0</v>
      </c>
      <c r="D195" s="40">
        <v>5.066432571</v>
      </c>
      <c r="E195" s="41">
        <v>0.464615385</v>
      </c>
      <c r="F195" s="41">
        <v>0.199384615</v>
      </c>
      <c r="G195" s="41">
        <v>0.336</v>
      </c>
      <c r="H195" s="79">
        <f t="shared" si="1"/>
        <v>0.128615385</v>
      </c>
      <c r="I195" s="42">
        <v>14.59700293</v>
      </c>
    </row>
    <row r="196" hidden="1">
      <c r="A196" s="1" t="s">
        <v>742</v>
      </c>
      <c r="B196" s="38">
        <v>606965.0</v>
      </c>
      <c r="C196" s="38">
        <v>239.0</v>
      </c>
      <c r="D196" s="40">
        <v>5.066083146</v>
      </c>
      <c r="E196" s="41">
        <v>0.426778243</v>
      </c>
      <c r="F196" s="41">
        <v>0.20083682</v>
      </c>
      <c r="G196" s="41">
        <v>0.372384937</v>
      </c>
      <c r="H196" s="79">
        <f t="shared" si="1"/>
        <v>0.054393306</v>
      </c>
      <c r="I196" s="42">
        <v>-5.911752012</v>
      </c>
    </row>
    <row r="197">
      <c r="A197" s="1" t="s">
        <v>208</v>
      </c>
      <c r="B197" s="38">
        <v>605447.0</v>
      </c>
      <c r="C197" s="38">
        <v>971.0</v>
      </c>
      <c r="D197" s="40">
        <v>5.065600367</v>
      </c>
      <c r="E197" s="41">
        <v>0.483007209</v>
      </c>
      <c r="F197" s="41">
        <v>0.191555098</v>
      </c>
      <c r="G197" s="41">
        <v>0.325437693</v>
      </c>
      <c r="H197" s="79">
        <f t="shared" si="1"/>
        <v>0.157569516</v>
      </c>
      <c r="I197" s="42">
        <v>5.384529287</v>
      </c>
    </row>
    <row r="198">
      <c r="A198" s="1" t="s">
        <v>194</v>
      </c>
      <c r="B198" s="38">
        <v>666157.0</v>
      </c>
      <c r="C198" s="38">
        <v>1669.0</v>
      </c>
      <c r="D198" s="40">
        <v>5.064944869</v>
      </c>
      <c r="E198" s="41">
        <v>0.481126423</v>
      </c>
      <c r="F198" s="41">
        <v>0.186938286</v>
      </c>
      <c r="G198" s="41">
        <v>0.331935291</v>
      </c>
      <c r="H198" s="79">
        <f t="shared" si="1"/>
        <v>0.149191132</v>
      </c>
      <c r="I198" s="42">
        <v>4.47787577</v>
      </c>
    </row>
    <row r="199">
      <c r="A199" s="1" t="s">
        <v>499</v>
      </c>
      <c r="B199" s="38">
        <v>622554.0</v>
      </c>
      <c r="C199" s="38">
        <v>796.0</v>
      </c>
      <c r="D199" s="40">
        <v>5.06350255</v>
      </c>
      <c r="E199" s="41">
        <v>0.457286432</v>
      </c>
      <c r="F199" s="41">
        <v>0.199748744</v>
      </c>
      <c r="G199" s="41">
        <v>0.342964824</v>
      </c>
      <c r="H199" s="79">
        <f t="shared" si="1"/>
        <v>0.114321608</v>
      </c>
      <c r="I199" s="42">
        <v>6.819732581</v>
      </c>
    </row>
    <row r="200">
      <c r="A200" s="1" t="s">
        <v>489</v>
      </c>
      <c r="B200" s="38">
        <v>656222.0</v>
      </c>
      <c r="C200" s="38">
        <v>987.0</v>
      </c>
      <c r="D200" s="40">
        <v>5.06116653</v>
      </c>
      <c r="E200" s="41">
        <v>0.453900709</v>
      </c>
      <c r="F200" s="41">
        <v>0.19858156</v>
      </c>
      <c r="G200" s="41">
        <v>0.34751773</v>
      </c>
      <c r="H200" s="79">
        <f t="shared" si="1"/>
        <v>0.106382979</v>
      </c>
      <c r="I200" s="42">
        <v>-0.051495645</v>
      </c>
    </row>
    <row r="201" hidden="1">
      <c r="A201" s="1" t="s">
        <v>805</v>
      </c>
      <c r="B201" s="38">
        <v>656420.0</v>
      </c>
      <c r="C201" s="38">
        <v>343.0</v>
      </c>
      <c r="D201" s="40">
        <v>5.060348606</v>
      </c>
      <c r="E201" s="41">
        <v>0.405247813</v>
      </c>
      <c r="F201" s="41">
        <v>0.227405248</v>
      </c>
      <c r="G201" s="41">
        <v>0.367346939</v>
      </c>
      <c r="H201" s="79">
        <f t="shared" si="1"/>
        <v>0.037900874</v>
      </c>
      <c r="I201" s="42">
        <v>11.05945539</v>
      </c>
    </row>
    <row r="202">
      <c r="A202" s="1" t="s">
        <v>652</v>
      </c>
      <c r="B202" s="38">
        <v>594580.0</v>
      </c>
      <c r="C202" s="38">
        <v>729.0</v>
      </c>
      <c r="D202" s="40">
        <v>5.059937557</v>
      </c>
      <c r="E202" s="41">
        <v>0.477366255</v>
      </c>
      <c r="F202" s="41">
        <v>0.163237311</v>
      </c>
      <c r="G202" s="41">
        <v>0.359396433</v>
      </c>
      <c r="H202" s="79">
        <f t="shared" si="1"/>
        <v>0.117969822</v>
      </c>
      <c r="I202" s="42">
        <v>4.798015419</v>
      </c>
    </row>
    <row r="203">
      <c r="A203" s="1" t="s">
        <v>180</v>
      </c>
      <c r="B203" s="38">
        <v>642547.0</v>
      </c>
      <c r="C203" s="38">
        <v>1339.0</v>
      </c>
      <c r="D203" s="40">
        <v>5.059719953</v>
      </c>
      <c r="E203" s="41">
        <v>0.455563854</v>
      </c>
      <c r="F203" s="41">
        <v>0.185959671</v>
      </c>
      <c r="G203" s="41">
        <v>0.358476475</v>
      </c>
      <c r="H203" s="79">
        <f t="shared" si="1"/>
        <v>0.097087379</v>
      </c>
      <c r="I203" s="42">
        <v>7.598144753</v>
      </c>
    </row>
    <row r="204">
      <c r="A204" s="1" t="s">
        <v>764</v>
      </c>
      <c r="B204" s="38">
        <v>612434.0</v>
      </c>
      <c r="C204" s="38">
        <v>514.0</v>
      </c>
      <c r="D204" s="40">
        <v>5.059666747</v>
      </c>
      <c r="E204" s="41">
        <v>0.501945525</v>
      </c>
      <c r="F204" s="41">
        <v>0.13229572</v>
      </c>
      <c r="G204" s="41">
        <v>0.365758755</v>
      </c>
      <c r="H204" s="79">
        <f t="shared" si="1"/>
        <v>0.13618677</v>
      </c>
      <c r="I204" s="42">
        <v>1.171030005</v>
      </c>
    </row>
    <row r="205">
      <c r="A205" s="1" t="s">
        <v>1281</v>
      </c>
      <c r="B205" s="38">
        <v>641447.0</v>
      </c>
      <c r="C205" s="38">
        <v>571.0</v>
      </c>
      <c r="D205" s="40">
        <v>5.059423326</v>
      </c>
      <c r="E205" s="41">
        <v>0.420315236</v>
      </c>
      <c r="F205" s="41">
        <v>0.245183888</v>
      </c>
      <c r="G205" s="41">
        <v>0.334500876</v>
      </c>
      <c r="H205" s="79">
        <f t="shared" si="1"/>
        <v>0.08581436</v>
      </c>
      <c r="I205" s="42">
        <v>-3.767834611</v>
      </c>
    </row>
    <row r="206" hidden="1">
      <c r="A206" s="1" t="s">
        <v>125</v>
      </c>
      <c r="B206" s="38">
        <v>663554.0</v>
      </c>
      <c r="C206" s="38">
        <v>167.0</v>
      </c>
      <c r="D206" s="40">
        <v>5.059154287</v>
      </c>
      <c r="E206" s="41">
        <v>0.431137725</v>
      </c>
      <c r="F206" s="41">
        <v>0.191616766</v>
      </c>
      <c r="G206" s="41">
        <v>0.377245509</v>
      </c>
      <c r="H206" s="79">
        <f t="shared" si="1"/>
        <v>0.053892216</v>
      </c>
      <c r="I206" s="42">
        <v>-3.989477314</v>
      </c>
    </row>
    <row r="207">
      <c r="A207" s="1" t="s">
        <v>324</v>
      </c>
      <c r="B207" s="38">
        <v>471911.0</v>
      </c>
      <c r="C207" s="38">
        <v>2394.0</v>
      </c>
      <c r="D207" s="40">
        <v>5.057710322</v>
      </c>
      <c r="E207" s="41">
        <v>0.43817878</v>
      </c>
      <c r="F207" s="41">
        <v>0.202589808</v>
      </c>
      <c r="G207" s="41">
        <v>0.359231412</v>
      </c>
      <c r="H207" s="79">
        <f t="shared" si="1"/>
        <v>0.078947368</v>
      </c>
      <c r="I207" s="42">
        <v>-14.08947402</v>
      </c>
    </row>
    <row r="208">
      <c r="A208" s="1" t="s">
        <v>210</v>
      </c>
      <c r="B208" s="38">
        <v>650556.0</v>
      </c>
      <c r="C208" s="38">
        <v>1008.0</v>
      </c>
      <c r="D208" s="40">
        <v>5.057084972</v>
      </c>
      <c r="E208" s="41">
        <v>0.461309524</v>
      </c>
      <c r="F208" s="41">
        <v>0.186507937</v>
      </c>
      <c r="G208" s="41">
        <v>0.35218254</v>
      </c>
      <c r="H208" s="79">
        <f t="shared" si="1"/>
        <v>0.109126984</v>
      </c>
      <c r="I208" s="42">
        <v>-1.842414395</v>
      </c>
    </row>
    <row r="209" hidden="1">
      <c r="A209" s="1" t="s">
        <v>591</v>
      </c>
      <c r="B209" s="38">
        <v>670810.0</v>
      </c>
      <c r="C209" s="38">
        <v>260.0</v>
      </c>
      <c r="D209" s="40">
        <v>5.056506088</v>
      </c>
      <c r="E209" s="41">
        <v>0.45</v>
      </c>
      <c r="F209" s="41">
        <v>0.192307692</v>
      </c>
      <c r="G209" s="41">
        <v>0.357692308</v>
      </c>
      <c r="H209" s="79">
        <f t="shared" si="1"/>
        <v>0.092307692</v>
      </c>
      <c r="I209" s="42">
        <v>-7.018406443</v>
      </c>
    </row>
    <row r="210">
      <c r="A210" s="1" t="s">
        <v>408</v>
      </c>
      <c r="B210" s="38">
        <v>657376.0</v>
      </c>
      <c r="C210" s="38">
        <v>919.0</v>
      </c>
      <c r="D210" s="40">
        <v>5.055500281</v>
      </c>
      <c r="E210" s="41">
        <v>0.451577802</v>
      </c>
      <c r="F210" s="41">
        <v>0.188248096</v>
      </c>
      <c r="G210" s="41">
        <v>0.360174102</v>
      </c>
      <c r="H210" s="79">
        <f t="shared" si="1"/>
        <v>0.0914037</v>
      </c>
      <c r="I210" s="42">
        <v>8.769977562</v>
      </c>
    </row>
    <row r="211">
      <c r="A211" s="1" t="s">
        <v>166</v>
      </c>
      <c r="B211" s="38">
        <v>608331.0</v>
      </c>
      <c r="C211" s="38">
        <v>2793.0</v>
      </c>
      <c r="D211" s="40">
        <v>5.054308736</v>
      </c>
      <c r="E211" s="41">
        <v>0.432151808</v>
      </c>
      <c r="F211" s="41">
        <v>0.210526316</v>
      </c>
      <c r="G211" s="41">
        <v>0.357321876</v>
      </c>
      <c r="H211" s="79">
        <f t="shared" si="1"/>
        <v>0.074829932</v>
      </c>
      <c r="I211" s="42">
        <v>11.71446725</v>
      </c>
    </row>
    <row r="212" hidden="1">
      <c r="A212" s="1" t="s">
        <v>1031</v>
      </c>
      <c r="B212" s="38">
        <v>571882.0</v>
      </c>
      <c r="C212" s="38">
        <v>351.0</v>
      </c>
      <c r="D212" s="40">
        <v>5.054042199</v>
      </c>
      <c r="E212" s="41">
        <v>0.447293447</v>
      </c>
      <c r="F212" s="41">
        <v>0.239316239</v>
      </c>
      <c r="G212" s="41">
        <v>0.313390313</v>
      </c>
      <c r="H212" s="79">
        <f t="shared" si="1"/>
        <v>0.133903134</v>
      </c>
      <c r="I212" s="42">
        <v>-4.038281839</v>
      </c>
    </row>
    <row r="213" hidden="1">
      <c r="A213" s="1" t="s">
        <v>632</v>
      </c>
      <c r="B213" s="38">
        <v>657240.0</v>
      </c>
      <c r="C213" s="38">
        <v>410.0</v>
      </c>
      <c r="D213" s="40">
        <v>5.050656356</v>
      </c>
      <c r="E213" s="41">
        <v>0.480487805</v>
      </c>
      <c r="F213" s="41">
        <v>0.170731707</v>
      </c>
      <c r="G213" s="41">
        <v>0.348780488</v>
      </c>
      <c r="H213" s="79">
        <f t="shared" si="1"/>
        <v>0.131707317</v>
      </c>
      <c r="I213" s="42">
        <v>-9.986720919</v>
      </c>
    </row>
    <row r="214">
      <c r="A214" s="1" t="s">
        <v>542</v>
      </c>
      <c r="B214" s="38">
        <v>621237.0</v>
      </c>
      <c r="C214" s="38">
        <v>863.0</v>
      </c>
      <c r="D214" s="40">
        <v>5.050056254</v>
      </c>
      <c r="E214" s="41">
        <v>0.456546929</v>
      </c>
      <c r="F214" s="41">
        <v>0.209733488</v>
      </c>
      <c r="G214" s="41">
        <v>0.333719583</v>
      </c>
      <c r="H214" s="79">
        <f t="shared" si="1"/>
        <v>0.122827346</v>
      </c>
      <c r="I214" s="42">
        <v>3.17113513</v>
      </c>
    </row>
    <row r="215">
      <c r="A215" s="1" t="s">
        <v>401</v>
      </c>
      <c r="B215" s="38">
        <v>593576.0</v>
      </c>
      <c r="C215" s="38">
        <v>999.0</v>
      </c>
      <c r="D215" s="40">
        <v>5.049472495</v>
      </c>
      <c r="E215" s="41">
        <v>0.485485485</v>
      </c>
      <c r="F215" s="41">
        <v>0.187187187</v>
      </c>
      <c r="G215" s="41">
        <v>0.327327327</v>
      </c>
      <c r="H215" s="79">
        <f t="shared" si="1"/>
        <v>0.158158158</v>
      </c>
      <c r="I215" s="42">
        <v>8.56148906</v>
      </c>
    </row>
    <row r="216">
      <c r="A216" s="1" t="s">
        <v>272</v>
      </c>
      <c r="B216" s="38">
        <v>622491.0</v>
      </c>
      <c r="C216" s="38">
        <v>2481.0</v>
      </c>
      <c r="D216" s="40">
        <v>5.049103149</v>
      </c>
      <c r="E216" s="41">
        <v>0.46070133</v>
      </c>
      <c r="F216" s="41">
        <v>0.189842805</v>
      </c>
      <c r="G216" s="41">
        <v>0.349455865</v>
      </c>
      <c r="H216" s="79">
        <f t="shared" si="1"/>
        <v>0.111245465</v>
      </c>
      <c r="I216" s="42">
        <v>18.25540668</v>
      </c>
    </row>
    <row r="217">
      <c r="A217" s="1" t="s">
        <v>137</v>
      </c>
      <c r="B217" s="38">
        <v>453286.0</v>
      </c>
      <c r="C217" s="38">
        <v>2147.0</v>
      </c>
      <c r="D217" s="40">
        <v>5.048753308</v>
      </c>
      <c r="E217" s="41">
        <v>0.455053563</v>
      </c>
      <c r="F217" s="41">
        <v>0.199347927</v>
      </c>
      <c r="G217" s="41">
        <v>0.34559851</v>
      </c>
      <c r="H217" s="79">
        <f t="shared" si="1"/>
        <v>0.109455053</v>
      </c>
      <c r="I217" s="42">
        <v>1.916717212</v>
      </c>
    </row>
    <row r="218">
      <c r="A218" s="1" t="s">
        <v>81</v>
      </c>
      <c r="B218" s="38">
        <v>663158.0</v>
      </c>
      <c r="C218" s="38">
        <v>799.0</v>
      </c>
      <c r="D218" s="40">
        <v>5.048570976</v>
      </c>
      <c r="E218" s="41">
        <v>0.451814768</v>
      </c>
      <c r="F218" s="41">
        <v>0.202753442</v>
      </c>
      <c r="G218" s="41">
        <v>0.34543179</v>
      </c>
      <c r="H218" s="79">
        <f t="shared" si="1"/>
        <v>0.106382978</v>
      </c>
      <c r="I218" s="42">
        <v>14.88298009</v>
      </c>
    </row>
    <row r="219" hidden="1">
      <c r="A219" s="1" t="s">
        <v>259</v>
      </c>
      <c r="B219" s="38">
        <v>663465.0</v>
      </c>
      <c r="C219" s="38">
        <v>296.0</v>
      </c>
      <c r="D219" s="40">
        <v>5.047186747</v>
      </c>
      <c r="E219" s="41">
        <v>0.445945946</v>
      </c>
      <c r="F219" s="41">
        <v>0.199324324</v>
      </c>
      <c r="G219" s="41">
        <v>0.35472973</v>
      </c>
      <c r="H219" s="79">
        <f t="shared" si="1"/>
        <v>0.091216216</v>
      </c>
      <c r="I219" s="42">
        <v>-5.22541357</v>
      </c>
    </row>
    <row r="220">
      <c r="A220" s="1" t="s">
        <v>582</v>
      </c>
      <c r="B220" s="38">
        <v>680694.0</v>
      </c>
      <c r="C220" s="38">
        <v>1977.0</v>
      </c>
      <c r="D220" s="40">
        <v>5.046870374</v>
      </c>
      <c r="E220" s="41">
        <v>0.446130501</v>
      </c>
      <c r="F220" s="41">
        <v>0.209914011</v>
      </c>
      <c r="G220" s="41">
        <v>0.343955488</v>
      </c>
      <c r="H220" s="79">
        <f t="shared" si="1"/>
        <v>0.102175013</v>
      </c>
      <c r="I220" s="42">
        <v>-11.80269434</v>
      </c>
    </row>
    <row r="221">
      <c r="A221" s="1" t="s">
        <v>726</v>
      </c>
      <c r="B221" s="38">
        <v>608717.0</v>
      </c>
      <c r="C221" s="38">
        <v>1093.0</v>
      </c>
      <c r="D221" s="40">
        <v>5.046472931</v>
      </c>
      <c r="E221" s="41">
        <v>0.444647758</v>
      </c>
      <c r="F221" s="41">
        <v>0.196706313</v>
      </c>
      <c r="G221" s="41">
        <v>0.358645929</v>
      </c>
      <c r="H221" s="79">
        <f t="shared" si="1"/>
        <v>0.086001829</v>
      </c>
      <c r="I221" s="42">
        <v>-15.65776156</v>
      </c>
    </row>
    <row r="222">
      <c r="A222" s="1" t="s">
        <v>1179</v>
      </c>
      <c r="B222" s="38">
        <v>669912.0</v>
      </c>
      <c r="C222" s="38">
        <v>773.0</v>
      </c>
      <c r="D222" s="40">
        <v>5.04628721</v>
      </c>
      <c r="E222" s="41">
        <v>0.469598965</v>
      </c>
      <c r="F222" s="41">
        <v>0.174644243</v>
      </c>
      <c r="G222" s="41">
        <v>0.355756792</v>
      </c>
      <c r="H222" s="79">
        <f t="shared" si="1"/>
        <v>0.113842173</v>
      </c>
      <c r="I222" s="42">
        <v>-13.17574863</v>
      </c>
    </row>
    <row r="223">
      <c r="A223" s="1" t="s">
        <v>1141</v>
      </c>
      <c r="B223" s="38">
        <v>663986.0</v>
      </c>
      <c r="C223" s="38">
        <v>1018.0</v>
      </c>
      <c r="D223" s="40">
        <v>5.045676168</v>
      </c>
      <c r="E223" s="41">
        <v>0.459724951</v>
      </c>
      <c r="F223" s="41">
        <v>0.201375246</v>
      </c>
      <c r="G223" s="41">
        <v>0.338899804</v>
      </c>
      <c r="H223" s="79">
        <f t="shared" si="1"/>
        <v>0.120825147</v>
      </c>
      <c r="I223" s="42">
        <v>-4.343942999</v>
      </c>
    </row>
    <row r="224" hidden="1">
      <c r="A224" s="1" t="s">
        <v>422</v>
      </c>
      <c r="B224" s="38">
        <v>518585.0</v>
      </c>
      <c r="C224" s="38">
        <v>257.0</v>
      </c>
      <c r="D224" s="40">
        <v>5.045509798</v>
      </c>
      <c r="E224" s="41">
        <v>0.482490272</v>
      </c>
      <c r="F224" s="41">
        <v>0.151750973</v>
      </c>
      <c r="G224" s="41">
        <v>0.365758755</v>
      </c>
      <c r="H224" s="79">
        <f t="shared" si="1"/>
        <v>0.116731517</v>
      </c>
      <c r="I224" s="42">
        <v>2.192682649</v>
      </c>
    </row>
    <row r="225">
      <c r="A225" s="1" t="s">
        <v>1282</v>
      </c>
      <c r="B225" s="38">
        <v>545343.0</v>
      </c>
      <c r="C225" s="38">
        <v>542.0</v>
      </c>
      <c r="D225" s="40">
        <v>5.045115298</v>
      </c>
      <c r="E225" s="41">
        <v>0.474169742</v>
      </c>
      <c r="F225" s="41">
        <v>0.171586716</v>
      </c>
      <c r="G225" s="41">
        <v>0.354243542</v>
      </c>
      <c r="H225" s="79">
        <f t="shared" si="1"/>
        <v>0.1199262</v>
      </c>
      <c r="I225" s="42">
        <v>-6.818099309</v>
      </c>
    </row>
    <row r="226">
      <c r="A226" s="1" t="s">
        <v>386</v>
      </c>
      <c r="B226" s="38">
        <v>656731.0</v>
      </c>
      <c r="C226" s="38">
        <v>784.0</v>
      </c>
      <c r="D226" s="40">
        <v>5.044947508</v>
      </c>
      <c r="E226" s="41">
        <v>0.456632653</v>
      </c>
      <c r="F226" s="41">
        <v>0.176020408</v>
      </c>
      <c r="G226" s="41">
        <v>0.367346939</v>
      </c>
      <c r="H226" s="79">
        <f t="shared" si="1"/>
        <v>0.089285714</v>
      </c>
      <c r="I226" s="42">
        <v>-3.35453782</v>
      </c>
    </row>
    <row r="227" hidden="1">
      <c r="A227" s="1" t="s">
        <v>884</v>
      </c>
      <c r="B227" s="38">
        <v>677865.0</v>
      </c>
      <c r="C227" s="38">
        <v>340.0</v>
      </c>
      <c r="D227" s="40">
        <v>5.044369412</v>
      </c>
      <c r="E227" s="41">
        <v>0.458823529</v>
      </c>
      <c r="F227" s="41">
        <v>0.214705882</v>
      </c>
      <c r="G227" s="41">
        <v>0.326470588</v>
      </c>
      <c r="H227" s="79">
        <f t="shared" si="1"/>
        <v>0.132352941</v>
      </c>
      <c r="I227" s="42">
        <v>-1.524690133</v>
      </c>
    </row>
    <row r="228">
      <c r="A228" s="1" t="s">
        <v>1010</v>
      </c>
      <c r="B228" s="38">
        <v>661527.0</v>
      </c>
      <c r="C228" s="38">
        <v>589.0</v>
      </c>
      <c r="D228" s="40">
        <v>5.043423234</v>
      </c>
      <c r="E228" s="41">
        <v>0.451612903</v>
      </c>
      <c r="F228" s="41">
        <v>0.186757216</v>
      </c>
      <c r="G228" s="41">
        <v>0.361629881</v>
      </c>
      <c r="H228" s="79">
        <f t="shared" si="1"/>
        <v>0.089983022</v>
      </c>
      <c r="I228" s="42">
        <v>5.039885778</v>
      </c>
    </row>
    <row r="229">
      <c r="A229" s="1" t="s">
        <v>139</v>
      </c>
      <c r="B229" s="38">
        <v>640448.0</v>
      </c>
      <c r="C229" s="38">
        <v>1042.0</v>
      </c>
      <c r="D229" s="40">
        <v>5.043066702</v>
      </c>
      <c r="E229" s="41">
        <v>0.454894434</v>
      </c>
      <c r="F229" s="41">
        <v>0.183301344</v>
      </c>
      <c r="G229" s="41">
        <v>0.361804223</v>
      </c>
      <c r="H229" s="79">
        <f t="shared" si="1"/>
        <v>0.093090211</v>
      </c>
      <c r="I229" s="42">
        <v>1.416683432</v>
      </c>
    </row>
    <row r="230">
      <c r="A230" s="1" t="s">
        <v>1133</v>
      </c>
      <c r="B230" s="38">
        <v>542947.0</v>
      </c>
      <c r="C230" s="38">
        <v>763.0</v>
      </c>
      <c r="D230" s="40">
        <v>5.04267133</v>
      </c>
      <c r="E230" s="41">
        <v>0.445609436</v>
      </c>
      <c r="F230" s="41">
        <v>0.217562254</v>
      </c>
      <c r="G230" s="41">
        <v>0.336828309</v>
      </c>
      <c r="H230" s="79">
        <f t="shared" si="1"/>
        <v>0.108781127</v>
      </c>
      <c r="I230" s="42">
        <v>-5.420774966</v>
      </c>
    </row>
    <row r="231">
      <c r="A231" s="1" t="s">
        <v>686</v>
      </c>
      <c r="B231" s="38">
        <v>664875.0</v>
      </c>
      <c r="C231" s="38">
        <v>754.0</v>
      </c>
      <c r="D231" s="40">
        <v>5.042147355</v>
      </c>
      <c r="E231" s="41">
        <v>0.440318302</v>
      </c>
      <c r="F231" s="41">
        <v>0.213527851</v>
      </c>
      <c r="G231" s="41">
        <v>0.346153846</v>
      </c>
      <c r="H231" s="79">
        <f t="shared" si="1"/>
        <v>0.094164456</v>
      </c>
      <c r="I231" s="42">
        <v>-1.175279558</v>
      </c>
    </row>
    <row r="232">
      <c r="A232" s="1" t="s">
        <v>304</v>
      </c>
      <c r="B232" s="38">
        <v>666808.0</v>
      </c>
      <c r="C232" s="38">
        <v>1100.0</v>
      </c>
      <c r="D232" s="40">
        <v>5.041614985</v>
      </c>
      <c r="E232" s="41">
        <v>0.443636364</v>
      </c>
      <c r="F232" s="41">
        <v>0.22</v>
      </c>
      <c r="G232" s="41">
        <v>0.336363636</v>
      </c>
      <c r="H232" s="79">
        <f t="shared" si="1"/>
        <v>0.107272728</v>
      </c>
      <c r="I232" s="42">
        <v>2.229353581</v>
      </c>
    </row>
    <row r="233">
      <c r="A233" s="1" t="s">
        <v>599</v>
      </c>
      <c r="B233" s="38">
        <v>669145.0</v>
      </c>
      <c r="C233" s="38">
        <v>1123.0</v>
      </c>
      <c r="D233" s="40">
        <v>5.041030117</v>
      </c>
      <c r="E233" s="41">
        <v>0.434550312</v>
      </c>
      <c r="F233" s="41">
        <v>0.207479964</v>
      </c>
      <c r="G233" s="41">
        <v>0.357969724</v>
      </c>
      <c r="H233" s="79">
        <f t="shared" si="1"/>
        <v>0.076580588</v>
      </c>
      <c r="I233" s="42">
        <v>-25.79426301</v>
      </c>
    </row>
    <row r="234">
      <c r="A234" s="1" t="s">
        <v>1283</v>
      </c>
      <c r="B234" s="38">
        <v>668948.0</v>
      </c>
      <c r="C234" s="38">
        <v>570.0</v>
      </c>
      <c r="D234" s="40">
        <v>5.040951784</v>
      </c>
      <c r="E234" s="41">
        <v>0.459649123</v>
      </c>
      <c r="F234" s="41">
        <v>0.189473684</v>
      </c>
      <c r="G234" s="41">
        <v>0.350877193</v>
      </c>
      <c r="H234" s="79">
        <f t="shared" si="1"/>
        <v>0.10877193</v>
      </c>
      <c r="I234" s="42">
        <v>-4.880445977</v>
      </c>
    </row>
    <row r="235">
      <c r="A235" s="1" t="s">
        <v>1152</v>
      </c>
      <c r="B235" s="38">
        <v>592789.0</v>
      </c>
      <c r="C235" s="38">
        <v>1937.0</v>
      </c>
      <c r="D235" s="40">
        <v>5.040814461</v>
      </c>
      <c r="E235" s="41">
        <v>0.431078988</v>
      </c>
      <c r="F235" s="41">
        <v>0.218895199</v>
      </c>
      <c r="G235" s="41">
        <v>0.350025813</v>
      </c>
      <c r="H235" s="79">
        <f t="shared" si="1"/>
        <v>0.081053175</v>
      </c>
      <c r="I235" s="42">
        <v>-6.17614581</v>
      </c>
    </row>
    <row r="236">
      <c r="A236" s="1" t="s">
        <v>1132</v>
      </c>
      <c r="B236" s="38">
        <v>656353.0</v>
      </c>
      <c r="C236" s="38">
        <v>906.0</v>
      </c>
      <c r="D236" s="40">
        <v>5.040366193</v>
      </c>
      <c r="E236" s="41">
        <v>0.461368653</v>
      </c>
      <c r="F236" s="41">
        <v>0.194260486</v>
      </c>
      <c r="G236" s="41">
        <v>0.344370861</v>
      </c>
      <c r="H236" s="79">
        <f t="shared" si="1"/>
        <v>0.116997792</v>
      </c>
      <c r="I236" s="42">
        <v>-5.347100427</v>
      </c>
    </row>
    <row r="237">
      <c r="A237" s="1" t="s">
        <v>1034</v>
      </c>
      <c r="B237" s="38">
        <v>657508.0</v>
      </c>
      <c r="C237" s="38">
        <v>572.0</v>
      </c>
      <c r="D237" s="40">
        <v>5.04033196</v>
      </c>
      <c r="E237" s="41">
        <v>0.433566434</v>
      </c>
      <c r="F237" s="41">
        <v>0.20979021</v>
      </c>
      <c r="G237" s="41">
        <v>0.356643357</v>
      </c>
      <c r="H237" s="79">
        <f t="shared" si="1"/>
        <v>0.076923077</v>
      </c>
      <c r="I237" s="42">
        <v>-9.100165167</v>
      </c>
    </row>
    <row r="238">
      <c r="A238" s="1" t="s">
        <v>832</v>
      </c>
      <c r="B238" s="38">
        <v>664747.0</v>
      </c>
      <c r="C238" s="38">
        <v>1024.0</v>
      </c>
      <c r="D238" s="40">
        <v>5.040130287</v>
      </c>
      <c r="E238" s="41">
        <v>0.487304688</v>
      </c>
      <c r="F238" s="41">
        <v>0.165039063</v>
      </c>
      <c r="G238" s="41">
        <v>0.34765625</v>
      </c>
      <c r="H238" s="79">
        <f t="shared" si="1"/>
        <v>0.139648438</v>
      </c>
      <c r="I238" s="42">
        <v>14.12269462</v>
      </c>
    </row>
    <row r="239">
      <c r="A239" s="1" t="s">
        <v>131</v>
      </c>
      <c r="B239" s="38">
        <v>676684.0</v>
      </c>
      <c r="C239" s="38">
        <v>1074.0</v>
      </c>
      <c r="D239" s="40">
        <v>5.039844249</v>
      </c>
      <c r="E239" s="41">
        <v>0.447858473</v>
      </c>
      <c r="F239" s="41">
        <v>0.202979516</v>
      </c>
      <c r="G239" s="41">
        <v>0.349162011</v>
      </c>
      <c r="H239" s="79">
        <f t="shared" si="1"/>
        <v>0.098696462</v>
      </c>
      <c r="I239" s="42">
        <v>-4.971659106</v>
      </c>
    </row>
    <row r="240">
      <c r="A240" s="1" t="s">
        <v>644</v>
      </c>
      <c r="B240" s="38">
        <v>621363.0</v>
      </c>
      <c r="C240" s="38">
        <v>956.0</v>
      </c>
      <c r="D240" s="40">
        <v>5.039747984</v>
      </c>
      <c r="E240" s="41">
        <v>0.483263598</v>
      </c>
      <c r="F240" s="41">
        <v>0.162133891</v>
      </c>
      <c r="G240" s="41">
        <v>0.35460251</v>
      </c>
      <c r="H240" s="79">
        <f t="shared" si="1"/>
        <v>0.128661088</v>
      </c>
      <c r="I240" s="42">
        <v>-7.794578593</v>
      </c>
    </row>
    <row r="241" hidden="1">
      <c r="A241" s="1" t="s">
        <v>242</v>
      </c>
      <c r="B241" s="38">
        <v>669358.0</v>
      </c>
      <c r="C241" s="38">
        <v>439.0</v>
      </c>
      <c r="D241" s="40">
        <v>5.03939177</v>
      </c>
      <c r="E241" s="41">
        <v>0.451025057</v>
      </c>
      <c r="F241" s="41">
        <v>0.191343964</v>
      </c>
      <c r="G241" s="41">
        <v>0.357630979</v>
      </c>
      <c r="H241" s="79">
        <f t="shared" si="1"/>
        <v>0.093394078</v>
      </c>
      <c r="I241" s="42">
        <v>-3.566238816</v>
      </c>
    </row>
    <row r="242" hidden="1">
      <c r="A242" s="1" t="s">
        <v>238</v>
      </c>
      <c r="B242" s="38">
        <v>683769.0</v>
      </c>
      <c r="C242" s="38">
        <v>169.0</v>
      </c>
      <c r="D242" s="40">
        <v>5.03924874</v>
      </c>
      <c r="E242" s="41">
        <v>0.449704142</v>
      </c>
      <c r="F242" s="41">
        <v>0.165680473</v>
      </c>
      <c r="G242" s="41">
        <v>0.384615385</v>
      </c>
      <c r="H242" s="79">
        <f t="shared" si="1"/>
        <v>0.065088757</v>
      </c>
      <c r="I242" s="42">
        <v>-5.28256705</v>
      </c>
    </row>
    <row r="243">
      <c r="A243" s="1" t="s">
        <v>1056</v>
      </c>
      <c r="B243" s="38">
        <v>592767.0</v>
      </c>
      <c r="C243" s="38">
        <v>1701.0</v>
      </c>
      <c r="D243" s="40">
        <v>5.039122536</v>
      </c>
      <c r="E243" s="41">
        <v>0.423868313</v>
      </c>
      <c r="F243" s="41">
        <v>0.232216343</v>
      </c>
      <c r="G243" s="41">
        <v>0.343915344</v>
      </c>
      <c r="H243" s="79">
        <f t="shared" si="1"/>
        <v>0.079952969</v>
      </c>
      <c r="I243" s="42">
        <v>7.772084679</v>
      </c>
    </row>
    <row r="244">
      <c r="A244" s="1" t="s">
        <v>765</v>
      </c>
      <c r="B244" s="38">
        <v>663474.0</v>
      </c>
      <c r="C244" s="38">
        <v>2787.0</v>
      </c>
      <c r="D244" s="40">
        <v>5.038940073</v>
      </c>
      <c r="E244" s="41">
        <v>0.453534266</v>
      </c>
      <c r="F244" s="41">
        <v>0.19590958</v>
      </c>
      <c r="G244" s="41">
        <v>0.350556154</v>
      </c>
      <c r="H244" s="79">
        <f t="shared" si="1"/>
        <v>0.102978112</v>
      </c>
      <c r="I244" s="42">
        <v>2.630989862</v>
      </c>
    </row>
    <row r="245">
      <c r="A245" s="1" t="s">
        <v>1086</v>
      </c>
      <c r="B245" s="38">
        <v>666159.0</v>
      </c>
      <c r="C245" s="38">
        <v>981.0</v>
      </c>
      <c r="D245" s="40">
        <v>5.038344997</v>
      </c>
      <c r="E245" s="41">
        <v>0.444444444</v>
      </c>
      <c r="F245" s="41">
        <v>0.178389399</v>
      </c>
      <c r="G245" s="41">
        <v>0.377166157</v>
      </c>
      <c r="H245" s="79">
        <f t="shared" si="1"/>
        <v>0.067278287</v>
      </c>
      <c r="I245" s="42">
        <v>1.364763172</v>
      </c>
    </row>
    <row r="246">
      <c r="A246" s="1" t="s">
        <v>453</v>
      </c>
      <c r="B246" s="38">
        <v>592836.0</v>
      </c>
      <c r="C246" s="38">
        <v>2476.0</v>
      </c>
      <c r="D246" s="40">
        <v>5.037642253</v>
      </c>
      <c r="E246" s="41">
        <v>0.429321486</v>
      </c>
      <c r="F246" s="41">
        <v>0.212035541</v>
      </c>
      <c r="G246" s="41">
        <v>0.358642973</v>
      </c>
      <c r="H246" s="79">
        <f t="shared" si="1"/>
        <v>0.070678513</v>
      </c>
      <c r="I246" s="42">
        <v>7.973710172</v>
      </c>
    </row>
    <row r="247">
      <c r="A247" s="1" t="s">
        <v>1070</v>
      </c>
      <c r="B247" s="38">
        <v>519043.0</v>
      </c>
      <c r="C247" s="38">
        <v>1243.0</v>
      </c>
      <c r="D247" s="40">
        <v>5.037165737</v>
      </c>
      <c r="E247" s="41">
        <v>0.493966211</v>
      </c>
      <c r="F247" s="41">
        <v>0.152051488</v>
      </c>
      <c r="G247" s="41">
        <v>0.353982301</v>
      </c>
      <c r="H247" s="79">
        <f t="shared" si="1"/>
        <v>0.13998391</v>
      </c>
      <c r="I247" s="42">
        <v>11.70959883</v>
      </c>
    </row>
    <row r="248" hidden="1">
      <c r="A248" s="1" t="s">
        <v>1111</v>
      </c>
      <c r="B248" s="38">
        <v>543507.0</v>
      </c>
      <c r="C248" s="38">
        <v>448.0</v>
      </c>
      <c r="D248" s="40">
        <v>5.036853701</v>
      </c>
      <c r="E248" s="41">
        <v>0.430803571</v>
      </c>
      <c r="F248" s="41">
        <v>0.196428571</v>
      </c>
      <c r="G248" s="41">
        <v>0.372767857</v>
      </c>
      <c r="H248" s="79">
        <f t="shared" si="1"/>
        <v>0.058035714</v>
      </c>
      <c r="I248" s="42">
        <v>-4.233196516</v>
      </c>
    </row>
    <row r="249">
      <c r="A249" s="1" t="s">
        <v>656</v>
      </c>
      <c r="B249" s="38">
        <v>605182.0</v>
      </c>
      <c r="C249" s="38">
        <v>1911.0</v>
      </c>
      <c r="D249" s="40">
        <v>5.035716183</v>
      </c>
      <c r="E249" s="41">
        <v>0.466771324</v>
      </c>
      <c r="F249" s="41">
        <v>0.180533752</v>
      </c>
      <c r="G249" s="41">
        <v>0.352694924</v>
      </c>
      <c r="H249" s="79">
        <f t="shared" si="1"/>
        <v>0.1140764</v>
      </c>
      <c r="I249" s="42">
        <v>-2.131110641</v>
      </c>
    </row>
    <row r="250" hidden="1">
      <c r="A250" s="1" t="s">
        <v>1284</v>
      </c>
      <c r="B250" s="38">
        <v>501925.0</v>
      </c>
      <c r="C250" s="38">
        <v>449.0</v>
      </c>
      <c r="D250" s="40">
        <v>5.033262922</v>
      </c>
      <c r="E250" s="41">
        <v>0.44766147</v>
      </c>
      <c r="F250" s="41">
        <v>0.204899777</v>
      </c>
      <c r="G250" s="41">
        <v>0.347438753</v>
      </c>
      <c r="H250" s="79">
        <f t="shared" si="1"/>
        <v>0.100222717</v>
      </c>
      <c r="I250" s="42">
        <v>-8.015304275</v>
      </c>
    </row>
    <row r="251">
      <c r="A251" s="1" t="s">
        <v>456</v>
      </c>
      <c r="B251" s="38">
        <v>605135.0</v>
      </c>
      <c r="C251" s="38">
        <v>2870.0</v>
      </c>
      <c r="D251" s="40">
        <v>5.03318794</v>
      </c>
      <c r="E251" s="41">
        <v>0.441463415</v>
      </c>
      <c r="F251" s="41">
        <v>0.197212544</v>
      </c>
      <c r="G251" s="41">
        <v>0.361324042</v>
      </c>
      <c r="H251" s="79">
        <f t="shared" si="1"/>
        <v>0.080139373</v>
      </c>
      <c r="I251" s="42">
        <v>24.66741986</v>
      </c>
    </row>
    <row r="252">
      <c r="A252" s="1" t="s">
        <v>332</v>
      </c>
      <c r="B252" s="38">
        <v>641778.0</v>
      </c>
      <c r="C252" s="38">
        <v>2651.0</v>
      </c>
      <c r="D252" s="40">
        <v>5.032390807</v>
      </c>
      <c r="E252" s="41">
        <v>0.451904942</v>
      </c>
      <c r="F252" s="41">
        <v>0.18785364</v>
      </c>
      <c r="G252" s="41">
        <v>0.360241418</v>
      </c>
      <c r="H252" s="79">
        <f t="shared" si="1"/>
        <v>0.091663524</v>
      </c>
      <c r="I252" s="42">
        <v>5.650403565</v>
      </c>
    </row>
    <row r="253">
      <c r="A253" s="1" t="s">
        <v>1128</v>
      </c>
      <c r="B253" s="38">
        <v>640444.0</v>
      </c>
      <c r="C253" s="38">
        <v>1368.0</v>
      </c>
      <c r="D253" s="40">
        <v>5.031940618</v>
      </c>
      <c r="E253" s="41">
        <v>0.450292398</v>
      </c>
      <c r="F253" s="41">
        <v>0.174707602</v>
      </c>
      <c r="G253" s="41">
        <v>0.375</v>
      </c>
      <c r="H253" s="79">
        <f t="shared" si="1"/>
        <v>0.075292398</v>
      </c>
      <c r="I253" s="42">
        <v>13.58933621</v>
      </c>
    </row>
    <row r="254">
      <c r="A254" s="1" t="s">
        <v>440</v>
      </c>
      <c r="B254" s="38">
        <v>542888.0</v>
      </c>
      <c r="C254" s="38">
        <v>1036.0</v>
      </c>
      <c r="D254" s="40">
        <v>5.031789192</v>
      </c>
      <c r="E254" s="41">
        <v>0.44015444</v>
      </c>
      <c r="F254" s="41">
        <v>0.208494208</v>
      </c>
      <c r="G254" s="41">
        <v>0.351351351</v>
      </c>
      <c r="H254" s="79">
        <f t="shared" si="1"/>
        <v>0.088803089</v>
      </c>
      <c r="I254" s="42">
        <v>1.416525758</v>
      </c>
    </row>
    <row r="255" hidden="1">
      <c r="A255" s="1" t="s">
        <v>1285</v>
      </c>
      <c r="B255" s="38">
        <v>650382.0</v>
      </c>
      <c r="C255" s="38">
        <v>182.0</v>
      </c>
      <c r="D255" s="40">
        <v>5.031050648</v>
      </c>
      <c r="E255" s="41">
        <v>0.5</v>
      </c>
      <c r="F255" s="41">
        <v>0.164835165</v>
      </c>
      <c r="G255" s="41">
        <v>0.335164835</v>
      </c>
      <c r="H255" s="79">
        <f t="shared" si="1"/>
        <v>0.164835165</v>
      </c>
      <c r="I255" s="42">
        <v>-5.569179394</v>
      </c>
    </row>
    <row r="256">
      <c r="A256" s="1" t="s">
        <v>183</v>
      </c>
      <c r="B256" s="38">
        <v>670280.0</v>
      </c>
      <c r="C256" s="38">
        <v>837.0</v>
      </c>
      <c r="D256" s="40">
        <v>5.030575351</v>
      </c>
      <c r="E256" s="41">
        <v>0.452807646</v>
      </c>
      <c r="F256" s="41">
        <v>0.19474313</v>
      </c>
      <c r="G256" s="41">
        <v>0.352449223</v>
      </c>
      <c r="H256" s="79">
        <f t="shared" si="1"/>
        <v>0.100358423</v>
      </c>
      <c r="I256" s="42">
        <v>0.382137102</v>
      </c>
    </row>
    <row r="257">
      <c r="A257" s="1" t="s">
        <v>369</v>
      </c>
      <c r="B257" s="38">
        <v>596295.0</v>
      </c>
      <c r="C257" s="38">
        <v>2045.0</v>
      </c>
      <c r="D257" s="40">
        <v>5.029989424</v>
      </c>
      <c r="E257" s="41">
        <v>0.426405868</v>
      </c>
      <c r="F257" s="41">
        <v>0.218581907</v>
      </c>
      <c r="G257" s="41">
        <v>0.355012225</v>
      </c>
      <c r="H257" s="79">
        <f t="shared" si="1"/>
        <v>0.071393643</v>
      </c>
      <c r="I257" s="42">
        <v>-21.06855978</v>
      </c>
    </row>
    <row r="258">
      <c r="A258" s="1" t="s">
        <v>109</v>
      </c>
      <c r="B258" s="38">
        <v>601713.0</v>
      </c>
      <c r="C258" s="38">
        <v>3046.0</v>
      </c>
      <c r="D258" s="40">
        <v>5.029949953</v>
      </c>
      <c r="E258" s="41">
        <v>0.466185161</v>
      </c>
      <c r="F258" s="41">
        <v>0.170059094</v>
      </c>
      <c r="G258" s="41">
        <v>0.363755745</v>
      </c>
      <c r="H258" s="79">
        <f t="shared" si="1"/>
        <v>0.102429416</v>
      </c>
      <c r="I258" s="42">
        <v>-24.08344042</v>
      </c>
    </row>
    <row r="259">
      <c r="A259" s="1" t="s">
        <v>1286</v>
      </c>
      <c r="B259" s="38">
        <v>592717.0</v>
      </c>
      <c r="C259" s="38">
        <v>999.0</v>
      </c>
      <c r="D259" s="40">
        <v>5.029513225</v>
      </c>
      <c r="E259" s="41">
        <v>0.444444444</v>
      </c>
      <c r="F259" s="41">
        <v>0.198198198</v>
      </c>
      <c r="G259" s="41">
        <v>0.357357357</v>
      </c>
      <c r="H259" s="79">
        <f t="shared" si="1"/>
        <v>0.087087087</v>
      </c>
      <c r="I259" s="42">
        <v>-13.12865665</v>
      </c>
    </row>
    <row r="260" hidden="1">
      <c r="A260" s="1" t="s">
        <v>1287</v>
      </c>
      <c r="B260" s="38">
        <v>656803.0</v>
      </c>
      <c r="C260" s="38">
        <v>367.0</v>
      </c>
      <c r="D260" s="40">
        <v>5.028886698</v>
      </c>
      <c r="E260" s="41">
        <v>0.465940054</v>
      </c>
      <c r="F260" s="41">
        <v>0.155313351</v>
      </c>
      <c r="G260" s="41">
        <v>0.378746594</v>
      </c>
      <c r="H260" s="79">
        <f t="shared" si="1"/>
        <v>0.08719346</v>
      </c>
      <c r="I260" s="42">
        <v>-5.43011473</v>
      </c>
    </row>
    <row r="261">
      <c r="A261" s="1" t="s">
        <v>20</v>
      </c>
      <c r="B261" s="38">
        <v>643511.0</v>
      </c>
      <c r="C261" s="38">
        <v>1157.0</v>
      </c>
      <c r="D261" s="40">
        <v>5.02859658</v>
      </c>
      <c r="E261" s="41">
        <v>0.46326707</v>
      </c>
      <c r="F261" s="41">
        <v>0.16940363</v>
      </c>
      <c r="G261" s="41">
        <v>0.3673293</v>
      </c>
      <c r="H261" s="79">
        <f t="shared" si="1"/>
        <v>0.09593777</v>
      </c>
      <c r="I261" s="42">
        <v>-8.700167935</v>
      </c>
    </row>
    <row r="262">
      <c r="A262" s="1" t="s">
        <v>811</v>
      </c>
      <c r="B262" s="38">
        <v>622253.0</v>
      </c>
      <c r="C262" s="38">
        <v>1071.0</v>
      </c>
      <c r="D262" s="40">
        <v>5.026328194</v>
      </c>
      <c r="E262" s="41">
        <v>0.462184874</v>
      </c>
      <c r="F262" s="41">
        <v>0.206349206</v>
      </c>
      <c r="G262" s="41">
        <v>0.33146592</v>
      </c>
      <c r="H262" s="79">
        <f t="shared" si="1"/>
        <v>0.130718954</v>
      </c>
      <c r="I262" s="42">
        <v>14.52694918</v>
      </c>
    </row>
    <row r="263">
      <c r="A263" s="1" t="s">
        <v>1288</v>
      </c>
      <c r="B263" s="38">
        <v>544365.0</v>
      </c>
      <c r="C263" s="38">
        <v>710.0</v>
      </c>
      <c r="D263" s="40">
        <v>5.026282673</v>
      </c>
      <c r="E263" s="41">
        <v>0.438028169</v>
      </c>
      <c r="F263" s="41">
        <v>0.194366197</v>
      </c>
      <c r="G263" s="41">
        <v>0.367605634</v>
      </c>
      <c r="H263" s="79">
        <f t="shared" si="1"/>
        <v>0.070422535</v>
      </c>
      <c r="I263" s="42">
        <v>4.770312173</v>
      </c>
    </row>
    <row r="264">
      <c r="A264" s="1" t="s">
        <v>1073</v>
      </c>
      <c r="B264" s="38">
        <v>458681.0</v>
      </c>
      <c r="C264" s="38">
        <v>2011.0</v>
      </c>
      <c r="D264" s="40">
        <v>5.024614786</v>
      </c>
      <c r="E264" s="41">
        <v>0.438587767</v>
      </c>
      <c r="F264" s="41">
        <v>0.213823968</v>
      </c>
      <c r="G264" s="41">
        <v>0.347588265</v>
      </c>
      <c r="H264" s="79">
        <f t="shared" si="1"/>
        <v>0.090999502</v>
      </c>
      <c r="I264" s="42">
        <v>-5.658254662</v>
      </c>
    </row>
    <row r="265" hidden="1">
      <c r="A265" s="1" t="s">
        <v>157</v>
      </c>
      <c r="B265" s="38">
        <v>660825.0</v>
      </c>
      <c r="C265" s="38">
        <v>231.0</v>
      </c>
      <c r="D265" s="40">
        <v>5.024596788</v>
      </c>
      <c r="E265" s="41">
        <v>0.437229437</v>
      </c>
      <c r="F265" s="41">
        <v>0.220779221</v>
      </c>
      <c r="G265" s="41">
        <v>0.341991342</v>
      </c>
      <c r="H265" s="79">
        <f t="shared" si="1"/>
        <v>0.095238095</v>
      </c>
      <c r="I265" s="42">
        <v>1.260805745</v>
      </c>
    </row>
    <row r="266">
      <c r="A266" s="1" t="s">
        <v>383</v>
      </c>
      <c r="B266" s="38">
        <v>573186.0</v>
      </c>
      <c r="C266" s="38">
        <v>2160.0</v>
      </c>
      <c r="D266" s="40">
        <v>5.023930279</v>
      </c>
      <c r="E266" s="41">
        <v>0.434722222</v>
      </c>
      <c r="F266" s="41">
        <v>0.221759259</v>
      </c>
      <c r="G266" s="41">
        <v>0.343518519</v>
      </c>
      <c r="H266" s="79">
        <f t="shared" si="1"/>
        <v>0.091203703</v>
      </c>
      <c r="I266" s="42">
        <v>13.15668945</v>
      </c>
    </row>
    <row r="267">
      <c r="A267" s="1" t="s">
        <v>445</v>
      </c>
      <c r="B267" s="38">
        <v>663855.0</v>
      </c>
      <c r="C267" s="38">
        <v>1047.0</v>
      </c>
      <c r="D267" s="40">
        <v>5.023859165</v>
      </c>
      <c r="E267" s="41">
        <v>0.467048711</v>
      </c>
      <c r="F267" s="41">
        <v>0.166189112</v>
      </c>
      <c r="G267" s="41">
        <v>0.366762178</v>
      </c>
      <c r="H267" s="79">
        <f t="shared" si="1"/>
        <v>0.100286533</v>
      </c>
      <c r="I267" s="42">
        <v>13.60330905</v>
      </c>
    </row>
    <row r="268" hidden="1">
      <c r="A268" s="1" t="s">
        <v>345</v>
      </c>
      <c r="B268" s="38">
        <v>663574.0</v>
      </c>
      <c r="C268" s="38">
        <v>404.0</v>
      </c>
      <c r="D268" s="40">
        <v>5.02213921</v>
      </c>
      <c r="E268" s="41">
        <v>0.46039604</v>
      </c>
      <c r="F268" s="41">
        <v>0.155940594</v>
      </c>
      <c r="G268" s="41">
        <v>0.383663366</v>
      </c>
      <c r="H268" s="79">
        <f t="shared" si="1"/>
        <v>0.076732674</v>
      </c>
      <c r="I268" s="42">
        <v>-4.223227891</v>
      </c>
    </row>
    <row r="269">
      <c r="A269" s="1" t="s">
        <v>476</v>
      </c>
      <c r="B269" s="38">
        <v>500779.0</v>
      </c>
      <c r="C269" s="38">
        <v>2700.0</v>
      </c>
      <c r="D269" s="40">
        <v>5.021451408</v>
      </c>
      <c r="E269" s="41">
        <v>0.425555556</v>
      </c>
      <c r="F269" s="41">
        <v>0.21037037</v>
      </c>
      <c r="G269" s="41">
        <v>0.364074074</v>
      </c>
      <c r="H269" s="79">
        <f t="shared" si="1"/>
        <v>0.061481482</v>
      </c>
      <c r="I269" s="42">
        <v>3.0002328</v>
      </c>
    </row>
    <row r="270">
      <c r="A270" s="1" t="s">
        <v>1289</v>
      </c>
      <c r="B270" s="38">
        <v>459429.0</v>
      </c>
      <c r="C270" s="38">
        <v>622.0</v>
      </c>
      <c r="D270" s="40">
        <v>5.017962297</v>
      </c>
      <c r="E270" s="41">
        <v>0.438906752</v>
      </c>
      <c r="F270" s="41">
        <v>0.204180064</v>
      </c>
      <c r="G270" s="41">
        <v>0.356913183</v>
      </c>
      <c r="H270" s="79">
        <f t="shared" si="1"/>
        <v>0.081993569</v>
      </c>
      <c r="I270" s="42">
        <v>-5.980067465</v>
      </c>
    </row>
    <row r="271">
      <c r="A271" s="1" t="s">
        <v>1123</v>
      </c>
      <c r="B271" s="38">
        <v>686610.0</v>
      </c>
      <c r="C271" s="38">
        <v>585.0</v>
      </c>
      <c r="D271" s="40">
        <v>5.017857976</v>
      </c>
      <c r="E271" s="41">
        <v>0.430769231</v>
      </c>
      <c r="F271" s="41">
        <v>0.184615385</v>
      </c>
      <c r="G271" s="41">
        <v>0.384615385</v>
      </c>
      <c r="H271" s="79">
        <f t="shared" si="1"/>
        <v>0.046153846</v>
      </c>
      <c r="I271" s="42">
        <v>-3.200612572</v>
      </c>
    </row>
    <row r="272">
      <c r="A272" s="1" t="s">
        <v>1117</v>
      </c>
      <c r="B272" s="38">
        <v>643256.0</v>
      </c>
      <c r="C272" s="38">
        <v>1034.0</v>
      </c>
      <c r="D272" s="40">
        <v>5.01736662</v>
      </c>
      <c r="E272" s="41">
        <v>0.442940039</v>
      </c>
      <c r="F272" s="41">
        <v>0.193423598</v>
      </c>
      <c r="G272" s="41">
        <v>0.363636364</v>
      </c>
      <c r="H272" s="79">
        <f t="shared" si="1"/>
        <v>0.079303675</v>
      </c>
      <c r="I272" s="42">
        <v>-8.747099457</v>
      </c>
    </row>
    <row r="273">
      <c r="A273" s="1" t="s">
        <v>1183</v>
      </c>
      <c r="B273" s="38">
        <v>675916.0</v>
      </c>
      <c r="C273" s="38">
        <v>675.0</v>
      </c>
      <c r="D273" s="40">
        <v>5.017029219</v>
      </c>
      <c r="E273" s="41">
        <v>0.472592593</v>
      </c>
      <c r="F273" s="41">
        <v>0.139259259</v>
      </c>
      <c r="G273" s="41">
        <v>0.388148148</v>
      </c>
      <c r="H273" s="79">
        <f t="shared" si="1"/>
        <v>0.084444445</v>
      </c>
      <c r="I273" s="42">
        <v>5.172768676</v>
      </c>
    </row>
    <row r="274" hidden="1">
      <c r="A274" s="1" t="s">
        <v>704</v>
      </c>
      <c r="B274" s="38">
        <v>518397.0</v>
      </c>
      <c r="C274" s="38">
        <v>212.0</v>
      </c>
      <c r="D274" s="40">
        <v>5.016358571</v>
      </c>
      <c r="E274" s="41">
        <v>0.419811321</v>
      </c>
      <c r="F274" s="41">
        <v>0.20754717</v>
      </c>
      <c r="G274" s="41">
        <v>0.372641509</v>
      </c>
      <c r="H274" s="79">
        <f t="shared" si="1"/>
        <v>0.047169812</v>
      </c>
      <c r="I274" s="42">
        <v>3.838291516</v>
      </c>
    </row>
    <row r="275" hidden="1">
      <c r="A275" s="1" t="s">
        <v>1290</v>
      </c>
      <c r="B275" s="38">
        <v>676886.0</v>
      </c>
      <c r="C275" s="38">
        <v>265.0</v>
      </c>
      <c r="D275" s="40">
        <v>5.016217717</v>
      </c>
      <c r="E275" s="41">
        <v>0.467924528</v>
      </c>
      <c r="F275" s="41">
        <v>0.196226415</v>
      </c>
      <c r="G275" s="41">
        <v>0.335849057</v>
      </c>
      <c r="H275" s="79">
        <f t="shared" si="1"/>
        <v>0.132075471</v>
      </c>
      <c r="I275" s="42">
        <v>-0.987337244</v>
      </c>
    </row>
    <row r="276">
      <c r="A276" s="1" t="s">
        <v>1041</v>
      </c>
      <c r="B276" s="38">
        <v>605397.0</v>
      </c>
      <c r="C276" s="38">
        <v>2807.0</v>
      </c>
      <c r="D276" s="40">
        <v>5.015521004</v>
      </c>
      <c r="E276" s="41">
        <v>0.444602779</v>
      </c>
      <c r="F276" s="41">
        <v>0.201995012</v>
      </c>
      <c r="G276" s="41">
        <v>0.353402209</v>
      </c>
      <c r="H276" s="79">
        <f t="shared" si="1"/>
        <v>0.09120057</v>
      </c>
      <c r="I276" s="42">
        <v>28.17763823</v>
      </c>
    </row>
    <row r="277">
      <c r="A277" s="1" t="s">
        <v>588</v>
      </c>
      <c r="B277" s="38">
        <v>502043.0</v>
      </c>
      <c r="C277" s="38">
        <v>2717.0</v>
      </c>
      <c r="D277" s="40">
        <v>5.013401803</v>
      </c>
      <c r="E277" s="41">
        <v>0.438351123</v>
      </c>
      <c r="F277" s="41">
        <v>0.20979021</v>
      </c>
      <c r="G277" s="41">
        <v>0.351858668</v>
      </c>
      <c r="H277" s="79">
        <f t="shared" si="1"/>
        <v>0.086492455</v>
      </c>
      <c r="I277" s="42">
        <v>-5.174813132</v>
      </c>
    </row>
    <row r="278">
      <c r="A278" s="1" t="s">
        <v>1094</v>
      </c>
      <c r="B278" s="38">
        <v>594577.0</v>
      </c>
      <c r="C278" s="38">
        <v>881.0</v>
      </c>
      <c r="D278" s="40">
        <v>5.012180398</v>
      </c>
      <c r="E278" s="41">
        <v>0.434733258</v>
      </c>
      <c r="F278" s="41">
        <v>0.199772985</v>
      </c>
      <c r="G278" s="41">
        <v>0.365493757</v>
      </c>
      <c r="H278" s="79">
        <f t="shared" si="1"/>
        <v>0.069239501</v>
      </c>
      <c r="I278" s="42">
        <v>-8.162642321</v>
      </c>
    </row>
    <row r="279">
      <c r="A279" s="1" t="s">
        <v>32</v>
      </c>
      <c r="B279" s="38">
        <v>656945.0</v>
      </c>
      <c r="C279" s="38">
        <v>1247.0</v>
      </c>
      <c r="D279" s="40">
        <v>5.010779394</v>
      </c>
      <c r="E279" s="41">
        <v>0.468323978</v>
      </c>
      <c r="F279" s="41">
        <v>0.16840417</v>
      </c>
      <c r="G279" s="41">
        <v>0.363271852</v>
      </c>
      <c r="H279" s="79">
        <f t="shared" si="1"/>
        <v>0.105052126</v>
      </c>
      <c r="I279" s="42">
        <v>1.373130383</v>
      </c>
    </row>
    <row r="280">
      <c r="A280" s="1" t="s">
        <v>707</v>
      </c>
      <c r="B280" s="38">
        <v>641835.0</v>
      </c>
      <c r="C280" s="38">
        <v>725.0</v>
      </c>
      <c r="D280" s="40">
        <v>5.010388099</v>
      </c>
      <c r="E280" s="41">
        <v>0.442758621</v>
      </c>
      <c r="F280" s="41">
        <v>0.175172414</v>
      </c>
      <c r="G280" s="41">
        <v>0.382068966</v>
      </c>
      <c r="H280" s="79">
        <f t="shared" si="1"/>
        <v>0.060689655</v>
      </c>
      <c r="I280" s="42">
        <v>-2.660168552</v>
      </c>
    </row>
    <row r="281" hidden="1">
      <c r="A281" s="1" t="s">
        <v>1037</v>
      </c>
      <c r="B281" s="38">
        <v>664776.0</v>
      </c>
      <c r="C281" s="38">
        <v>266.0</v>
      </c>
      <c r="D281" s="40">
        <v>5.009259372</v>
      </c>
      <c r="E281" s="41">
        <v>0.45112782</v>
      </c>
      <c r="F281" s="41">
        <v>0.195488722</v>
      </c>
      <c r="G281" s="41">
        <v>0.353383459</v>
      </c>
      <c r="H281" s="79">
        <f t="shared" si="1"/>
        <v>0.097744361</v>
      </c>
      <c r="I281" s="42">
        <v>1.378567542</v>
      </c>
    </row>
    <row r="282">
      <c r="A282" s="1" t="s">
        <v>595</v>
      </c>
      <c r="B282" s="38">
        <v>677651.0</v>
      </c>
      <c r="C282" s="38">
        <v>2456.0</v>
      </c>
      <c r="D282" s="40">
        <v>5.008553488</v>
      </c>
      <c r="E282" s="41">
        <v>0.418566775</v>
      </c>
      <c r="F282" s="41">
        <v>0.203990228</v>
      </c>
      <c r="G282" s="41">
        <v>0.377442997</v>
      </c>
      <c r="H282" s="79">
        <f t="shared" si="1"/>
        <v>0.041123778</v>
      </c>
      <c r="I282" s="42">
        <v>-2.399736019</v>
      </c>
    </row>
    <row r="283">
      <c r="A283" s="1" t="s">
        <v>1291</v>
      </c>
      <c r="B283" s="38">
        <v>605521.0</v>
      </c>
      <c r="C283" s="38">
        <v>647.0</v>
      </c>
      <c r="D283" s="40">
        <v>5.008532456</v>
      </c>
      <c r="E283" s="41">
        <v>0.443585781</v>
      </c>
      <c r="F283" s="41">
        <v>0.191653787</v>
      </c>
      <c r="G283" s="41">
        <v>0.364760433</v>
      </c>
      <c r="H283" s="79">
        <f t="shared" si="1"/>
        <v>0.078825348</v>
      </c>
      <c r="I283" s="42">
        <v>-4.31684865</v>
      </c>
    </row>
    <row r="284">
      <c r="A284" s="1" t="s">
        <v>254</v>
      </c>
      <c r="B284" s="38">
        <v>666374.0</v>
      </c>
      <c r="C284" s="38">
        <v>908.0</v>
      </c>
      <c r="D284" s="40">
        <v>5.008180514</v>
      </c>
      <c r="E284" s="41">
        <v>0.486784141</v>
      </c>
      <c r="F284" s="41">
        <v>0.162995595</v>
      </c>
      <c r="G284" s="41">
        <v>0.350220264</v>
      </c>
      <c r="H284" s="79">
        <f t="shared" si="1"/>
        <v>0.136563877</v>
      </c>
      <c r="I284" s="42">
        <v>-6.989833114</v>
      </c>
    </row>
    <row r="285" hidden="1">
      <c r="A285" s="1" t="s">
        <v>53</v>
      </c>
      <c r="B285" s="38">
        <v>642100.0</v>
      </c>
      <c r="C285" s="38">
        <v>296.0</v>
      </c>
      <c r="D285" s="40">
        <v>5.006703162</v>
      </c>
      <c r="E285" s="41">
        <v>0.449324324</v>
      </c>
      <c r="F285" s="41">
        <v>0.192567568</v>
      </c>
      <c r="G285" s="41">
        <v>0.358108108</v>
      </c>
      <c r="H285" s="79">
        <f t="shared" si="1"/>
        <v>0.091216216</v>
      </c>
      <c r="I285" s="42">
        <v>1.292008376</v>
      </c>
    </row>
    <row r="286">
      <c r="A286" s="1" t="s">
        <v>1148</v>
      </c>
      <c r="B286" s="38">
        <v>669395.0</v>
      </c>
      <c r="C286" s="38">
        <v>1182.0</v>
      </c>
      <c r="D286" s="40">
        <v>5.005588546</v>
      </c>
      <c r="E286" s="41">
        <v>0.453468697</v>
      </c>
      <c r="F286" s="41">
        <v>0.168358714</v>
      </c>
      <c r="G286" s="41">
        <v>0.378172589</v>
      </c>
      <c r="H286" s="79">
        <f t="shared" si="1"/>
        <v>0.075296108</v>
      </c>
      <c r="I286" s="42">
        <v>9.65343442</v>
      </c>
    </row>
    <row r="287">
      <c r="A287" s="1" t="s">
        <v>321</v>
      </c>
      <c r="B287" s="38">
        <v>607200.0</v>
      </c>
      <c r="C287" s="38">
        <v>2387.0</v>
      </c>
      <c r="D287" s="40">
        <v>5.004585687</v>
      </c>
      <c r="E287" s="41">
        <v>0.436950147</v>
      </c>
      <c r="F287" s="41">
        <v>0.186007541</v>
      </c>
      <c r="G287" s="41">
        <v>0.377042313</v>
      </c>
      <c r="H287" s="79">
        <f t="shared" si="1"/>
        <v>0.059907834</v>
      </c>
      <c r="I287" s="42">
        <v>-11.79689041</v>
      </c>
    </row>
    <row r="288" hidden="1">
      <c r="A288" s="1" t="s">
        <v>1098</v>
      </c>
      <c r="B288" s="38">
        <v>607755.0</v>
      </c>
      <c r="C288" s="38">
        <v>151.0</v>
      </c>
      <c r="D288" s="40">
        <v>5.004414013</v>
      </c>
      <c r="E288" s="41">
        <v>0.523178808</v>
      </c>
      <c r="F288" s="41">
        <v>0.086092715</v>
      </c>
      <c r="G288" s="41">
        <v>0.390728477</v>
      </c>
      <c r="H288" s="79">
        <f t="shared" si="1"/>
        <v>0.132450331</v>
      </c>
      <c r="I288" s="42">
        <v>1.766672303</v>
      </c>
    </row>
    <row r="289">
      <c r="A289" s="1" t="s">
        <v>220</v>
      </c>
      <c r="B289" s="38">
        <v>663559.0</v>
      </c>
      <c r="C289" s="38">
        <v>1286.0</v>
      </c>
      <c r="D289" s="40">
        <v>5.004099431</v>
      </c>
      <c r="E289" s="41">
        <v>0.433125972</v>
      </c>
      <c r="F289" s="41">
        <v>0.228615863</v>
      </c>
      <c r="G289" s="41">
        <v>0.338258165</v>
      </c>
      <c r="H289" s="79">
        <f t="shared" si="1"/>
        <v>0.094867807</v>
      </c>
      <c r="I289" s="42">
        <v>-13.13536917</v>
      </c>
    </row>
    <row r="290">
      <c r="A290" s="1" t="s">
        <v>148</v>
      </c>
      <c r="B290" s="38">
        <v>592866.0</v>
      </c>
      <c r="C290" s="38">
        <v>1394.0</v>
      </c>
      <c r="D290" s="40">
        <v>5.004043138</v>
      </c>
      <c r="E290" s="41">
        <v>0.418938307</v>
      </c>
      <c r="F290" s="41">
        <v>0.227403156</v>
      </c>
      <c r="G290" s="41">
        <v>0.353658537</v>
      </c>
      <c r="H290" s="79">
        <f t="shared" si="1"/>
        <v>0.06527977</v>
      </c>
      <c r="I290" s="42">
        <v>-12.19767286</v>
      </c>
    </row>
    <row r="291">
      <c r="A291" s="1" t="s">
        <v>373</v>
      </c>
      <c r="B291" s="38">
        <v>640455.0</v>
      </c>
      <c r="C291" s="38">
        <v>2463.0</v>
      </c>
      <c r="D291" s="40">
        <v>5.003916433</v>
      </c>
      <c r="E291" s="41">
        <v>0.442549736</v>
      </c>
      <c r="F291" s="41">
        <v>0.189200162</v>
      </c>
      <c r="G291" s="41">
        <v>0.368250102</v>
      </c>
      <c r="H291" s="79">
        <f t="shared" si="1"/>
        <v>0.074299634</v>
      </c>
      <c r="I291" s="42">
        <v>-4.174835815</v>
      </c>
    </row>
    <row r="292">
      <c r="A292" s="1" t="s">
        <v>301</v>
      </c>
      <c r="B292" s="38">
        <v>656557.0</v>
      </c>
      <c r="C292" s="38">
        <v>911.0</v>
      </c>
      <c r="D292" s="40">
        <v>5.003607214</v>
      </c>
      <c r="E292" s="41">
        <v>0.458836443</v>
      </c>
      <c r="F292" s="41">
        <v>0.187705818</v>
      </c>
      <c r="G292" s="41">
        <v>0.353457739</v>
      </c>
      <c r="H292" s="79">
        <f t="shared" si="1"/>
        <v>0.105378704</v>
      </c>
      <c r="I292" s="42">
        <v>2.547237078</v>
      </c>
    </row>
    <row r="293">
      <c r="A293" s="1" t="s">
        <v>1229</v>
      </c>
      <c r="B293" s="38">
        <v>657140.0</v>
      </c>
      <c r="C293" s="38">
        <v>2668.0</v>
      </c>
      <c r="D293" s="40">
        <v>5.002943548</v>
      </c>
      <c r="E293" s="41">
        <v>0.464767616</v>
      </c>
      <c r="F293" s="41">
        <v>0.17916042</v>
      </c>
      <c r="G293" s="41">
        <v>0.356071964</v>
      </c>
      <c r="H293" s="79">
        <f t="shared" si="1"/>
        <v>0.108695652</v>
      </c>
      <c r="I293" s="42">
        <v>10.95077358</v>
      </c>
    </row>
    <row r="294">
      <c r="A294" s="1" t="s">
        <v>983</v>
      </c>
      <c r="B294" s="38">
        <v>669459.0</v>
      </c>
      <c r="C294" s="38">
        <v>582.0</v>
      </c>
      <c r="D294" s="40">
        <v>5.00214755</v>
      </c>
      <c r="E294" s="41">
        <v>0.43814433</v>
      </c>
      <c r="F294" s="41">
        <v>0.223367698</v>
      </c>
      <c r="G294" s="41">
        <v>0.338487973</v>
      </c>
      <c r="H294" s="79">
        <f t="shared" si="1"/>
        <v>0.099656357</v>
      </c>
      <c r="I294" s="42">
        <v>4.834581796</v>
      </c>
    </row>
    <row r="295">
      <c r="A295" s="1" t="s">
        <v>222</v>
      </c>
      <c r="B295" s="38">
        <v>518876.0</v>
      </c>
      <c r="C295" s="38">
        <v>3043.0</v>
      </c>
      <c r="D295" s="40">
        <v>5.001585168</v>
      </c>
      <c r="E295" s="41">
        <v>0.429838975</v>
      </c>
      <c r="F295" s="41">
        <v>0.195859349</v>
      </c>
      <c r="G295" s="41">
        <v>0.374301676</v>
      </c>
      <c r="H295" s="79">
        <f t="shared" si="1"/>
        <v>0.055537299</v>
      </c>
      <c r="I295" s="42">
        <v>21.22357244</v>
      </c>
    </row>
    <row r="296">
      <c r="A296" s="1" t="s">
        <v>975</v>
      </c>
      <c r="B296" s="38">
        <v>650671.0</v>
      </c>
      <c r="C296" s="38">
        <v>673.0</v>
      </c>
      <c r="D296" s="40">
        <v>5.000956614</v>
      </c>
      <c r="E296" s="41">
        <v>0.469539376</v>
      </c>
      <c r="F296" s="41">
        <v>0.170876672</v>
      </c>
      <c r="G296" s="41">
        <v>0.359583952</v>
      </c>
      <c r="H296" s="79">
        <f t="shared" si="1"/>
        <v>0.109955424</v>
      </c>
      <c r="I296" s="42">
        <v>2.56982553</v>
      </c>
    </row>
    <row r="297">
      <c r="A297" s="1" t="s">
        <v>362</v>
      </c>
      <c r="B297" s="38">
        <v>573124.0</v>
      </c>
      <c r="C297" s="38">
        <v>1072.0</v>
      </c>
      <c r="D297" s="40">
        <v>5.000467014</v>
      </c>
      <c r="E297" s="41">
        <v>0.474813433</v>
      </c>
      <c r="F297" s="41">
        <v>0.161380597</v>
      </c>
      <c r="G297" s="41">
        <v>0.36380597</v>
      </c>
      <c r="H297" s="79">
        <f t="shared" si="1"/>
        <v>0.111007463</v>
      </c>
      <c r="I297" s="42">
        <v>-4.238209456</v>
      </c>
    </row>
    <row r="298">
      <c r="A298" s="1" t="s">
        <v>171</v>
      </c>
      <c r="B298" s="38">
        <v>665795.0</v>
      </c>
      <c r="C298" s="38">
        <v>1206.0</v>
      </c>
      <c r="D298" s="40">
        <v>5.000060604</v>
      </c>
      <c r="E298" s="41">
        <v>0.453565506</v>
      </c>
      <c r="F298" s="41">
        <v>0.168325041</v>
      </c>
      <c r="G298" s="41">
        <v>0.378109453</v>
      </c>
      <c r="H298" s="79">
        <f t="shared" si="1"/>
        <v>0.075456053</v>
      </c>
      <c r="I298" s="42">
        <v>17.69323882</v>
      </c>
    </row>
    <row r="299" hidden="1">
      <c r="A299" s="1" t="s">
        <v>439</v>
      </c>
      <c r="B299" s="38">
        <v>592454.0</v>
      </c>
      <c r="C299" s="38">
        <v>173.0</v>
      </c>
      <c r="D299" s="40">
        <v>5.000032289</v>
      </c>
      <c r="E299" s="41">
        <v>0.439306358</v>
      </c>
      <c r="F299" s="41">
        <v>0.173410405</v>
      </c>
      <c r="G299" s="41">
        <v>0.387283237</v>
      </c>
      <c r="H299" s="79">
        <f t="shared" si="1"/>
        <v>0.052023121</v>
      </c>
      <c r="I299" s="42">
        <v>6.904892216</v>
      </c>
    </row>
    <row r="300" hidden="1">
      <c r="A300" s="1" t="s">
        <v>235</v>
      </c>
      <c r="B300" s="38">
        <v>666974.0</v>
      </c>
      <c r="C300" s="38">
        <v>391.0</v>
      </c>
      <c r="D300" s="40">
        <v>5.000008977</v>
      </c>
      <c r="E300" s="41">
        <v>0.447570332</v>
      </c>
      <c r="F300" s="41">
        <v>0.173913043</v>
      </c>
      <c r="G300" s="41">
        <v>0.378516624</v>
      </c>
      <c r="H300" s="79">
        <f t="shared" si="1"/>
        <v>0.069053708</v>
      </c>
      <c r="I300" s="42">
        <v>-5.140187699</v>
      </c>
    </row>
    <row r="301" hidden="1">
      <c r="A301" s="1" t="s">
        <v>1043</v>
      </c>
      <c r="B301" s="38">
        <v>686973.0</v>
      </c>
      <c r="C301" s="38">
        <v>410.0</v>
      </c>
      <c r="D301" s="40">
        <v>4.999836041</v>
      </c>
      <c r="E301" s="41">
        <v>0.436585366</v>
      </c>
      <c r="F301" s="41">
        <v>0.197560976</v>
      </c>
      <c r="G301" s="41">
        <v>0.365853659</v>
      </c>
      <c r="H301" s="79">
        <f t="shared" si="1"/>
        <v>0.070731707</v>
      </c>
      <c r="I301" s="42">
        <v>-1.535600153</v>
      </c>
    </row>
    <row r="302" hidden="1">
      <c r="A302" s="1" t="s">
        <v>265</v>
      </c>
      <c r="B302" s="38">
        <v>669084.0</v>
      </c>
      <c r="C302" s="38">
        <v>265.0</v>
      </c>
      <c r="D302" s="40">
        <v>4.998904521</v>
      </c>
      <c r="E302" s="41">
        <v>0.449056604</v>
      </c>
      <c r="F302" s="41">
        <v>0.19245283</v>
      </c>
      <c r="G302" s="41">
        <v>0.358490566</v>
      </c>
      <c r="H302" s="79">
        <f t="shared" si="1"/>
        <v>0.090566038</v>
      </c>
      <c r="I302" s="42">
        <v>-3.321873193</v>
      </c>
    </row>
    <row r="303">
      <c r="A303" s="1" t="s">
        <v>1292</v>
      </c>
      <c r="B303" s="38">
        <v>641726.0</v>
      </c>
      <c r="C303" s="38">
        <v>610.0</v>
      </c>
      <c r="D303" s="40">
        <v>4.998209797</v>
      </c>
      <c r="E303" s="41">
        <v>0.404918033</v>
      </c>
      <c r="F303" s="41">
        <v>0.22295082</v>
      </c>
      <c r="G303" s="41">
        <v>0.372131148</v>
      </c>
      <c r="H303" s="79">
        <f t="shared" si="1"/>
        <v>0.032786885</v>
      </c>
      <c r="I303" s="42">
        <v>-6.791861824</v>
      </c>
    </row>
    <row r="304">
      <c r="A304" s="1" t="s">
        <v>1225</v>
      </c>
      <c r="B304" s="38">
        <v>570257.0</v>
      </c>
      <c r="C304" s="38">
        <v>838.0</v>
      </c>
      <c r="D304" s="40">
        <v>4.998121841</v>
      </c>
      <c r="E304" s="41">
        <v>0.431980907</v>
      </c>
      <c r="F304" s="41">
        <v>0.215990453</v>
      </c>
      <c r="G304" s="41">
        <v>0.35202864</v>
      </c>
      <c r="H304" s="79">
        <f t="shared" si="1"/>
        <v>0.079952267</v>
      </c>
      <c r="I304" s="42">
        <v>8.264781887</v>
      </c>
    </row>
    <row r="305" hidden="1">
      <c r="A305" s="1" t="s">
        <v>1293</v>
      </c>
      <c r="B305" s="38">
        <v>572703.0</v>
      </c>
      <c r="C305" s="38">
        <v>240.0</v>
      </c>
      <c r="D305" s="40">
        <v>4.997855288</v>
      </c>
      <c r="E305" s="41">
        <v>0.475</v>
      </c>
      <c r="F305" s="41">
        <v>0.1625</v>
      </c>
      <c r="G305" s="41">
        <v>0.3625</v>
      </c>
      <c r="H305" s="79">
        <f t="shared" si="1"/>
        <v>0.1125</v>
      </c>
      <c r="I305" s="42">
        <v>5.033605154</v>
      </c>
    </row>
    <row r="306">
      <c r="A306" s="1" t="s">
        <v>451</v>
      </c>
      <c r="B306" s="38">
        <v>623474.0</v>
      </c>
      <c r="C306" s="38">
        <v>987.0</v>
      </c>
      <c r="D306" s="40">
        <v>4.997496802</v>
      </c>
      <c r="E306" s="41">
        <v>0.434650456</v>
      </c>
      <c r="F306" s="41">
        <v>0.186423506</v>
      </c>
      <c r="G306" s="41">
        <v>0.378926039</v>
      </c>
      <c r="H306" s="79">
        <f t="shared" si="1"/>
        <v>0.055724417</v>
      </c>
      <c r="I306" s="42">
        <v>9.210093877</v>
      </c>
    </row>
    <row r="307" hidden="1">
      <c r="A307" s="1" t="s">
        <v>1024</v>
      </c>
      <c r="B307" s="38">
        <v>502624.0</v>
      </c>
      <c r="C307" s="38">
        <v>485.0</v>
      </c>
      <c r="D307" s="40">
        <v>4.997185107</v>
      </c>
      <c r="E307" s="41">
        <v>0.435051546</v>
      </c>
      <c r="F307" s="41">
        <v>0.171134021</v>
      </c>
      <c r="G307" s="41">
        <v>0.393814433</v>
      </c>
      <c r="H307" s="79">
        <f t="shared" si="1"/>
        <v>0.041237113</v>
      </c>
      <c r="I307" s="42">
        <v>6.652508853</v>
      </c>
    </row>
    <row r="308" hidden="1">
      <c r="A308" s="1" t="s">
        <v>1047</v>
      </c>
      <c r="B308" s="38">
        <v>666205.0</v>
      </c>
      <c r="C308" s="38">
        <v>231.0</v>
      </c>
      <c r="D308" s="40">
        <v>4.996552684</v>
      </c>
      <c r="E308" s="41">
        <v>0.445887446</v>
      </c>
      <c r="F308" s="41">
        <v>0.207792208</v>
      </c>
      <c r="G308" s="41">
        <v>0.346320346</v>
      </c>
      <c r="H308" s="79">
        <f t="shared" si="1"/>
        <v>0.0995671</v>
      </c>
      <c r="I308" s="42">
        <v>2.407440394</v>
      </c>
    </row>
    <row r="309" hidden="1">
      <c r="A309" s="1" t="s">
        <v>339</v>
      </c>
      <c r="B309" s="38">
        <v>686613.0</v>
      </c>
      <c r="C309" s="38">
        <v>304.0</v>
      </c>
      <c r="D309" s="40">
        <v>4.995773421</v>
      </c>
      <c r="E309" s="41">
        <v>0.463815789</v>
      </c>
      <c r="F309" s="41">
        <v>0.226973684</v>
      </c>
      <c r="G309" s="41">
        <v>0.309210526</v>
      </c>
      <c r="H309" s="79">
        <f t="shared" si="1"/>
        <v>0.154605263</v>
      </c>
      <c r="I309" s="42">
        <v>1.105757152</v>
      </c>
    </row>
    <row r="310">
      <c r="A310" s="1" t="s">
        <v>1061</v>
      </c>
      <c r="B310" s="38">
        <v>656756.0</v>
      </c>
      <c r="C310" s="38">
        <v>2693.0</v>
      </c>
      <c r="D310" s="40">
        <v>4.993706792</v>
      </c>
      <c r="E310" s="41">
        <v>0.418863721</v>
      </c>
      <c r="F310" s="41">
        <v>0.224656517</v>
      </c>
      <c r="G310" s="41">
        <v>0.356479762</v>
      </c>
      <c r="H310" s="79">
        <f t="shared" si="1"/>
        <v>0.062383959</v>
      </c>
      <c r="I310" s="42">
        <v>10.91680253</v>
      </c>
    </row>
    <row r="311" hidden="1">
      <c r="A311" s="1" t="s">
        <v>1294</v>
      </c>
      <c r="B311" s="38">
        <v>572125.0</v>
      </c>
      <c r="C311" s="38">
        <v>292.0</v>
      </c>
      <c r="D311" s="40">
        <v>4.993256822</v>
      </c>
      <c r="E311" s="41">
        <v>0.438356164</v>
      </c>
      <c r="F311" s="41">
        <v>0.198630137</v>
      </c>
      <c r="G311" s="41">
        <v>0.363013699</v>
      </c>
      <c r="H311" s="79">
        <f t="shared" si="1"/>
        <v>0.075342465</v>
      </c>
      <c r="I311" s="42">
        <v>-1.732900645</v>
      </c>
    </row>
    <row r="312" hidden="1">
      <c r="A312" s="1" t="s">
        <v>178</v>
      </c>
      <c r="B312" s="38">
        <v>572955.0</v>
      </c>
      <c r="C312" s="38">
        <v>274.0</v>
      </c>
      <c r="D312" s="40">
        <v>4.99325</v>
      </c>
      <c r="E312" s="41">
        <v>0.430656934</v>
      </c>
      <c r="F312" s="41">
        <v>0.197080292</v>
      </c>
      <c r="G312" s="41">
        <v>0.372262774</v>
      </c>
      <c r="H312" s="79">
        <f t="shared" si="1"/>
        <v>0.05839416</v>
      </c>
      <c r="I312" s="42">
        <v>0.799382383</v>
      </c>
    </row>
    <row r="313">
      <c r="A313" s="1" t="s">
        <v>293</v>
      </c>
      <c r="B313" s="38">
        <v>663738.0</v>
      </c>
      <c r="C313" s="38">
        <v>2392.0</v>
      </c>
      <c r="D313" s="40">
        <v>4.990916263</v>
      </c>
      <c r="E313" s="41">
        <v>0.447324415</v>
      </c>
      <c r="F313" s="41">
        <v>0.191889632</v>
      </c>
      <c r="G313" s="41">
        <v>0.360785953</v>
      </c>
      <c r="H313" s="79">
        <f t="shared" si="1"/>
        <v>0.086538462</v>
      </c>
      <c r="I313" s="42">
        <v>-17.64558026</v>
      </c>
    </row>
    <row r="314">
      <c r="A314" s="1" t="s">
        <v>1295</v>
      </c>
      <c r="B314" s="38">
        <v>608648.0</v>
      </c>
      <c r="C314" s="38">
        <v>735.0</v>
      </c>
      <c r="D314" s="40">
        <v>4.98723999</v>
      </c>
      <c r="E314" s="41">
        <v>0.454421769</v>
      </c>
      <c r="F314" s="41">
        <v>0.172789116</v>
      </c>
      <c r="G314" s="41">
        <v>0.372789116</v>
      </c>
      <c r="H314" s="79">
        <f t="shared" si="1"/>
        <v>0.081632653</v>
      </c>
      <c r="I314" s="42">
        <v>-3.215440614</v>
      </c>
    </row>
    <row r="315" hidden="1">
      <c r="A315" s="1" t="s">
        <v>1296</v>
      </c>
      <c r="B315" s="38">
        <v>664202.0</v>
      </c>
      <c r="C315" s="38">
        <v>222.0</v>
      </c>
      <c r="D315" s="40">
        <v>4.986900941</v>
      </c>
      <c r="E315" s="41">
        <v>0.463963964</v>
      </c>
      <c r="F315" s="41">
        <v>0.157657658</v>
      </c>
      <c r="G315" s="41">
        <v>0.378378378</v>
      </c>
      <c r="H315" s="79">
        <f t="shared" si="1"/>
        <v>0.085585586</v>
      </c>
      <c r="I315" s="42">
        <v>1.744222054</v>
      </c>
    </row>
    <row r="316">
      <c r="A316" s="1" t="s">
        <v>423</v>
      </c>
      <c r="B316" s="38">
        <v>656605.0</v>
      </c>
      <c r="C316" s="38">
        <v>2638.0</v>
      </c>
      <c r="D316" s="40">
        <v>4.986786546</v>
      </c>
      <c r="E316" s="41">
        <v>0.440864291</v>
      </c>
      <c r="F316" s="41">
        <v>0.192570129</v>
      </c>
      <c r="G316" s="41">
        <v>0.36656558</v>
      </c>
      <c r="H316" s="79">
        <f t="shared" si="1"/>
        <v>0.074298711</v>
      </c>
      <c r="I316" s="42">
        <v>-1.858589676</v>
      </c>
    </row>
    <row r="317">
      <c r="A317" s="1" t="s">
        <v>1297</v>
      </c>
      <c r="B317" s="38">
        <v>656354.0</v>
      </c>
      <c r="C317" s="38">
        <v>1104.0</v>
      </c>
      <c r="D317" s="40">
        <v>4.985659061</v>
      </c>
      <c r="E317" s="41">
        <v>0.438405797</v>
      </c>
      <c r="F317" s="41">
        <v>0.196557971</v>
      </c>
      <c r="G317" s="41">
        <v>0.365036232</v>
      </c>
      <c r="H317" s="79">
        <f t="shared" si="1"/>
        <v>0.073369565</v>
      </c>
      <c r="I317" s="42">
        <v>-1.329280142</v>
      </c>
    </row>
    <row r="318">
      <c r="A318" s="1" t="s">
        <v>353</v>
      </c>
      <c r="B318" s="38">
        <v>663903.0</v>
      </c>
      <c r="C318" s="38">
        <v>2349.0</v>
      </c>
      <c r="D318" s="40">
        <v>4.984147699</v>
      </c>
      <c r="E318" s="41">
        <v>0.431673052</v>
      </c>
      <c r="F318" s="41">
        <v>0.205619413</v>
      </c>
      <c r="G318" s="41">
        <v>0.362707535</v>
      </c>
      <c r="H318" s="79">
        <f t="shared" si="1"/>
        <v>0.068965517</v>
      </c>
      <c r="I318" s="42">
        <v>2.027677068</v>
      </c>
    </row>
    <row r="319" hidden="1">
      <c r="A319" s="1" t="s">
        <v>773</v>
      </c>
      <c r="B319" s="38">
        <v>681810.0</v>
      </c>
      <c r="C319" s="38">
        <v>265.0</v>
      </c>
      <c r="D319" s="40">
        <v>4.983323758</v>
      </c>
      <c r="E319" s="41">
        <v>0.41509434</v>
      </c>
      <c r="F319" s="41">
        <v>0.169811321</v>
      </c>
      <c r="G319" s="41">
        <v>0.41509434</v>
      </c>
      <c r="H319" s="79">
        <f t="shared" si="1"/>
        <v>0</v>
      </c>
      <c r="I319" s="42">
        <v>-3.677395822</v>
      </c>
    </row>
    <row r="320">
      <c r="A320" s="1" t="s">
        <v>845</v>
      </c>
      <c r="B320" s="38">
        <v>596112.0</v>
      </c>
      <c r="C320" s="38">
        <v>905.0</v>
      </c>
      <c r="D320" s="40">
        <v>4.983179262</v>
      </c>
      <c r="E320" s="41">
        <v>0.436464088</v>
      </c>
      <c r="F320" s="41">
        <v>0.202209945</v>
      </c>
      <c r="G320" s="41">
        <v>0.361325967</v>
      </c>
      <c r="H320" s="79">
        <f t="shared" si="1"/>
        <v>0.075138121</v>
      </c>
      <c r="I320" s="42">
        <v>-13.1301766</v>
      </c>
    </row>
    <row r="321" hidden="1">
      <c r="A321" s="1" t="s">
        <v>1298</v>
      </c>
      <c r="B321" s="38">
        <v>518748.0</v>
      </c>
      <c r="C321" s="38">
        <v>274.0</v>
      </c>
      <c r="D321" s="40">
        <v>4.983111974</v>
      </c>
      <c r="E321" s="41">
        <v>0.46350365</v>
      </c>
      <c r="F321" s="41">
        <v>0.153284672</v>
      </c>
      <c r="G321" s="41">
        <v>0.383211679</v>
      </c>
      <c r="H321" s="79">
        <f t="shared" si="1"/>
        <v>0.080291971</v>
      </c>
      <c r="I321" s="42">
        <v>-5.542638869</v>
      </c>
    </row>
    <row r="322">
      <c r="A322" s="1" t="s">
        <v>113</v>
      </c>
      <c r="B322" s="38">
        <v>664285.0</v>
      </c>
      <c r="C322" s="38">
        <v>3005.0</v>
      </c>
      <c r="D322" s="40">
        <v>4.982958264</v>
      </c>
      <c r="E322" s="41">
        <v>0.435274542</v>
      </c>
      <c r="F322" s="41">
        <v>0.200665557</v>
      </c>
      <c r="G322" s="41">
        <v>0.3640599</v>
      </c>
      <c r="H322" s="79">
        <f t="shared" si="1"/>
        <v>0.071214642</v>
      </c>
      <c r="I322" s="42">
        <v>28.67873504</v>
      </c>
    </row>
    <row r="323">
      <c r="A323" s="1" t="s">
        <v>416</v>
      </c>
      <c r="B323" s="38">
        <v>608337.0</v>
      </c>
      <c r="C323" s="38">
        <v>2660.0</v>
      </c>
      <c r="D323" s="40">
        <v>4.980562369</v>
      </c>
      <c r="E323" s="41">
        <v>0.42556391</v>
      </c>
      <c r="F323" s="41">
        <v>0.195864662</v>
      </c>
      <c r="G323" s="41">
        <v>0.378571429</v>
      </c>
      <c r="H323" s="79">
        <f t="shared" si="1"/>
        <v>0.046992481</v>
      </c>
      <c r="I323" s="42">
        <v>-20.91406271</v>
      </c>
    </row>
    <row r="324">
      <c r="A324" s="1" t="s">
        <v>44</v>
      </c>
      <c r="B324" s="38">
        <v>650911.0</v>
      </c>
      <c r="C324" s="38">
        <v>657.0</v>
      </c>
      <c r="D324" s="40">
        <v>4.980531376</v>
      </c>
      <c r="E324" s="41">
        <v>0.442922374</v>
      </c>
      <c r="F324" s="41">
        <v>0.188736682</v>
      </c>
      <c r="G324" s="41">
        <v>0.368340944</v>
      </c>
      <c r="H324" s="79">
        <f t="shared" si="1"/>
        <v>0.07458143</v>
      </c>
      <c r="I324" s="42">
        <v>2.03747139</v>
      </c>
    </row>
    <row r="325">
      <c r="A325" s="1" t="s">
        <v>1080</v>
      </c>
      <c r="B325" s="38">
        <v>476595.0</v>
      </c>
      <c r="C325" s="38">
        <v>965.0</v>
      </c>
      <c r="D325" s="40">
        <v>4.980286446</v>
      </c>
      <c r="E325" s="41">
        <v>0.431088083</v>
      </c>
      <c r="F325" s="41">
        <v>0.180310881</v>
      </c>
      <c r="G325" s="41">
        <v>0.388601036</v>
      </c>
      <c r="H325" s="79">
        <f t="shared" si="1"/>
        <v>0.042487047</v>
      </c>
      <c r="I325" s="42">
        <v>-13.66637744</v>
      </c>
    </row>
    <row r="326">
      <c r="A326" s="1" t="s">
        <v>1212</v>
      </c>
      <c r="B326" s="38">
        <v>676714.0</v>
      </c>
      <c r="C326" s="38">
        <v>921.0</v>
      </c>
      <c r="D326" s="40">
        <v>4.979844393</v>
      </c>
      <c r="E326" s="41">
        <v>0.460369164</v>
      </c>
      <c r="F326" s="41">
        <v>0.1834962</v>
      </c>
      <c r="G326" s="41">
        <v>0.356134636</v>
      </c>
      <c r="H326" s="79">
        <f t="shared" si="1"/>
        <v>0.104234528</v>
      </c>
      <c r="I326" s="42">
        <v>0.704648533</v>
      </c>
    </row>
    <row r="327">
      <c r="A327" s="1" t="s">
        <v>251</v>
      </c>
      <c r="B327" s="38">
        <v>676664.0</v>
      </c>
      <c r="C327" s="38">
        <v>1065.0</v>
      </c>
      <c r="D327" s="40">
        <v>4.979490941</v>
      </c>
      <c r="E327" s="41">
        <v>0.460093897</v>
      </c>
      <c r="F327" s="41">
        <v>0.174647887</v>
      </c>
      <c r="G327" s="41">
        <v>0.365258216</v>
      </c>
      <c r="H327" s="79">
        <f t="shared" si="1"/>
        <v>0.094835681</v>
      </c>
      <c r="I327" s="42">
        <v>-9.22501561</v>
      </c>
    </row>
    <row r="328">
      <c r="A328" s="1" t="s">
        <v>634</v>
      </c>
      <c r="B328" s="38">
        <v>606303.0</v>
      </c>
      <c r="C328" s="38">
        <v>942.0</v>
      </c>
      <c r="D328" s="40">
        <v>4.979048584</v>
      </c>
      <c r="E328" s="41">
        <v>0.420382166</v>
      </c>
      <c r="F328" s="41">
        <v>0.215498938</v>
      </c>
      <c r="G328" s="41">
        <v>0.364118896</v>
      </c>
      <c r="H328" s="79">
        <f t="shared" si="1"/>
        <v>0.05626327</v>
      </c>
      <c r="I328" s="42">
        <v>-1.739868476</v>
      </c>
    </row>
    <row r="329">
      <c r="A329" s="1" t="s">
        <v>1299</v>
      </c>
      <c r="B329" s="38">
        <v>657093.0</v>
      </c>
      <c r="C329" s="38">
        <v>1625.0</v>
      </c>
      <c r="D329" s="40">
        <v>4.978775918</v>
      </c>
      <c r="E329" s="41">
        <v>0.428307692</v>
      </c>
      <c r="F329" s="41">
        <v>0.207384615</v>
      </c>
      <c r="G329" s="41">
        <v>0.364307692</v>
      </c>
      <c r="H329" s="79">
        <f t="shared" si="1"/>
        <v>0.064</v>
      </c>
      <c r="I329" s="42">
        <v>-27.95864652</v>
      </c>
    </row>
    <row r="330">
      <c r="A330" s="1" t="s">
        <v>303</v>
      </c>
      <c r="B330" s="38">
        <v>592662.0</v>
      </c>
      <c r="C330" s="38">
        <v>3024.0</v>
      </c>
      <c r="D330" s="40">
        <v>4.978114692</v>
      </c>
      <c r="E330" s="41">
        <v>0.446097884</v>
      </c>
      <c r="F330" s="41">
        <v>0.196097884</v>
      </c>
      <c r="G330" s="41">
        <v>0.357804233</v>
      </c>
      <c r="H330" s="79">
        <f t="shared" si="1"/>
        <v>0.088293651</v>
      </c>
      <c r="I330" s="42">
        <v>-9.424639921</v>
      </c>
    </row>
    <row r="331">
      <c r="A331" s="1" t="s">
        <v>952</v>
      </c>
      <c r="B331" s="38">
        <v>664294.0</v>
      </c>
      <c r="C331" s="38">
        <v>608.0</v>
      </c>
      <c r="D331" s="40">
        <v>4.97751575</v>
      </c>
      <c r="E331" s="41">
        <v>0.458881579</v>
      </c>
      <c r="F331" s="41">
        <v>0.167763158</v>
      </c>
      <c r="G331" s="41">
        <v>0.373355263</v>
      </c>
      <c r="H331" s="79">
        <f t="shared" si="1"/>
        <v>0.085526316</v>
      </c>
      <c r="I331" s="42">
        <v>-3.225475156</v>
      </c>
    </row>
    <row r="332">
      <c r="A332" s="1" t="s">
        <v>1300</v>
      </c>
      <c r="B332" s="38">
        <v>676050.0</v>
      </c>
      <c r="C332" s="38">
        <v>559.0</v>
      </c>
      <c r="D332" s="40">
        <v>4.976637272</v>
      </c>
      <c r="E332" s="41">
        <v>0.415026834</v>
      </c>
      <c r="F332" s="41">
        <v>0.198568873</v>
      </c>
      <c r="G332" s="41">
        <v>0.386404293</v>
      </c>
      <c r="H332" s="79">
        <f t="shared" si="1"/>
        <v>0.028622541</v>
      </c>
      <c r="I332" s="42">
        <v>-6.474034777</v>
      </c>
    </row>
    <row r="333">
      <c r="A333" s="1" t="s">
        <v>1301</v>
      </c>
      <c r="B333" s="38">
        <v>669618.0</v>
      </c>
      <c r="C333" s="38">
        <v>546.0</v>
      </c>
      <c r="D333" s="40">
        <v>4.976360832</v>
      </c>
      <c r="E333" s="41">
        <v>0.452380952</v>
      </c>
      <c r="F333" s="41">
        <v>0.181318681</v>
      </c>
      <c r="G333" s="41">
        <v>0.366300366</v>
      </c>
      <c r="H333" s="79">
        <f t="shared" si="1"/>
        <v>0.086080586</v>
      </c>
      <c r="I333" s="42">
        <v>0.953267009</v>
      </c>
    </row>
    <row r="334">
      <c r="A334" s="1" t="s">
        <v>264</v>
      </c>
      <c r="B334" s="38">
        <v>669920.0</v>
      </c>
      <c r="C334" s="38">
        <v>1148.0</v>
      </c>
      <c r="D334" s="40">
        <v>4.975462821</v>
      </c>
      <c r="E334" s="41">
        <v>0.43641115</v>
      </c>
      <c r="F334" s="41">
        <v>0.195121951</v>
      </c>
      <c r="G334" s="41">
        <v>0.368466899</v>
      </c>
      <c r="H334" s="79">
        <f t="shared" si="1"/>
        <v>0.067944251</v>
      </c>
      <c r="I334" s="42">
        <v>-16.37335621</v>
      </c>
    </row>
    <row r="335">
      <c r="A335" s="1" t="s">
        <v>287</v>
      </c>
      <c r="B335" s="38">
        <v>571945.0</v>
      </c>
      <c r="C335" s="38">
        <v>3131.0</v>
      </c>
      <c r="D335" s="40">
        <v>4.974281046</v>
      </c>
      <c r="E335" s="41">
        <v>0.418716065</v>
      </c>
      <c r="F335" s="41">
        <v>0.221335037</v>
      </c>
      <c r="G335" s="41">
        <v>0.359948898</v>
      </c>
      <c r="H335" s="79">
        <f t="shared" si="1"/>
        <v>0.058767167</v>
      </c>
      <c r="I335" s="42">
        <v>38.50612182</v>
      </c>
    </row>
    <row r="336" hidden="1">
      <c r="A336" s="1" t="s">
        <v>1025</v>
      </c>
      <c r="B336" s="38">
        <v>675627.0</v>
      </c>
      <c r="C336" s="38">
        <v>469.0</v>
      </c>
      <c r="D336" s="40">
        <v>4.973762661</v>
      </c>
      <c r="E336" s="41">
        <v>0.441364606</v>
      </c>
      <c r="F336" s="41">
        <v>0.217484009</v>
      </c>
      <c r="G336" s="41">
        <v>0.341151386</v>
      </c>
      <c r="H336" s="79">
        <f t="shared" si="1"/>
        <v>0.10021322</v>
      </c>
      <c r="I336" s="42">
        <v>-6.320523995</v>
      </c>
    </row>
    <row r="337">
      <c r="A337" s="1" t="s">
        <v>641</v>
      </c>
      <c r="B337" s="38">
        <v>680704.0</v>
      </c>
      <c r="C337" s="38">
        <v>721.0</v>
      </c>
      <c r="D337" s="40">
        <v>4.972587904</v>
      </c>
      <c r="E337" s="41">
        <v>0.439667129</v>
      </c>
      <c r="F337" s="41">
        <v>0.194174757</v>
      </c>
      <c r="G337" s="41">
        <v>0.366158114</v>
      </c>
      <c r="H337" s="79">
        <f t="shared" si="1"/>
        <v>0.073509015</v>
      </c>
      <c r="I337" s="42">
        <v>6.815009035</v>
      </c>
    </row>
    <row r="338">
      <c r="A338" s="1" t="s">
        <v>869</v>
      </c>
      <c r="B338" s="38">
        <v>670950.0</v>
      </c>
      <c r="C338" s="38">
        <v>1140.0</v>
      </c>
      <c r="D338" s="40">
        <v>4.971621795</v>
      </c>
      <c r="E338" s="41">
        <v>0.45877193</v>
      </c>
      <c r="F338" s="41">
        <v>0.15877193</v>
      </c>
      <c r="G338" s="41">
        <v>0.38245614</v>
      </c>
      <c r="H338" s="79">
        <f t="shared" si="1"/>
        <v>0.07631579</v>
      </c>
      <c r="I338" s="42">
        <v>-11.94218586</v>
      </c>
    </row>
    <row r="339">
      <c r="A339" s="1" t="s">
        <v>1302</v>
      </c>
      <c r="B339" s="38">
        <v>607216.0</v>
      </c>
      <c r="C339" s="38">
        <v>974.0</v>
      </c>
      <c r="D339" s="40">
        <v>4.971158851</v>
      </c>
      <c r="E339" s="41">
        <v>0.412731006</v>
      </c>
      <c r="F339" s="41">
        <v>0.205338809</v>
      </c>
      <c r="G339" s="41">
        <v>0.381930185</v>
      </c>
      <c r="H339" s="79">
        <f t="shared" si="1"/>
        <v>0.030800821</v>
      </c>
      <c r="I339" s="42">
        <v>4.406277413</v>
      </c>
    </row>
    <row r="340">
      <c r="A340" s="1" t="s">
        <v>269</v>
      </c>
      <c r="B340" s="38">
        <v>605280.0</v>
      </c>
      <c r="C340" s="38">
        <v>973.0</v>
      </c>
      <c r="D340" s="40">
        <v>4.971129182</v>
      </c>
      <c r="E340" s="41">
        <v>0.464542652</v>
      </c>
      <c r="F340" s="41">
        <v>0.167523124</v>
      </c>
      <c r="G340" s="41">
        <v>0.367934224</v>
      </c>
      <c r="H340" s="79">
        <f t="shared" si="1"/>
        <v>0.096608428</v>
      </c>
      <c r="I340" s="42">
        <v>16.73433938</v>
      </c>
    </row>
    <row r="341">
      <c r="A341" s="1" t="s">
        <v>245</v>
      </c>
      <c r="B341" s="38">
        <v>571578.0</v>
      </c>
      <c r="C341" s="38">
        <v>2601.0</v>
      </c>
      <c r="D341" s="40">
        <v>4.970984664</v>
      </c>
      <c r="E341" s="41">
        <v>0.422914264</v>
      </c>
      <c r="F341" s="41">
        <v>0.214532872</v>
      </c>
      <c r="G341" s="41">
        <v>0.362552864</v>
      </c>
      <c r="H341" s="79">
        <f t="shared" si="1"/>
        <v>0.0603614</v>
      </c>
      <c r="I341" s="42">
        <v>-51.9036926</v>
      </c>
    </row>
    <row r="342">
      <c r="A342" s="1" t="s">
        <v>578</v>
      </c>
      <c r="B342" s="38">
        <v>592351.0</v>
      </c>
      <c r="C342" s="38">
        <v>2042.0</v>
      </c>
      <c r="D342" s="40">
        <v>4.970961114</v>
      </c>
      <c r="E342" s="41">
        <v>0.434867777</v>
      </c>
      <c r="F342" s="41">
        <v>0.199314398</v>
      </c>
      <c r="G342" s="41">
        <v>0.365817826</v>
      </c>
      <c r="H342" s="79">
        <f t="shared" si="1"/>
        <v>0.069049951</v>
      </c>
      <c r="I342" s="42">
        <v>7.792304018</v>
      </c>
    </row>
    <row r="343">
      <c r="A343" s="1" t="s">
        <v>95</v>
      </c>
      <c r="B343" s="38">
        <v>543243.0</v>
      </c>
      <c r="C343" s="38">
        <v>1862.0</v>
      </c>
      <c r="D343" s="40">
        <v>4.969139992</v>
      </c>
      <c r="E343" s="41">
        <v>0.448979592</v>
      </c>
      <c r="F343" s="41">
        <v>0.184747583</v>
      </c>
      <c r="G343" s="41">
        <v>0.366272825</v>
      </c>
      <c r="H343" s="79">
        <f t="shared" si="1"/>
        <v>0.082706767</v>
      </c>
      <c r="I343" s="42">
        <v>5.530220478</v>
      </c>
    </row>
    <row r="344" hidden="1">
      <c r="A344" s="1" t="s">
        <v>1303</v>
      </c>
      <c r="B344" s="38">
        <v>676637.0</v>
      </c>
      <c r="C344" s="38">
        <v>211.0</v>
      </c>
      <c r="D344" s="40">
        <v>4.968073502</v>
      </c>
      <c r="E344" s="41">
        <v>0.412322275</v>
      </c>
      <c r="F344" s="41">
        <v>0.213270142</v>
      </c>
      <c r="G344" s="41">
        <v>0.374407583</v>
      </c>
      <c r="H344" s="79">
        <f t="shared" si="1"/>
        <v>0.037914692</v>
      </c>
      <c r="I344" s="42">
        <v>0.385779564</v>
      </c>
    </row>
    <row r="345">
      <c r="A345" s="1" t="s">
        <v>1206</v>
      </c>
      <c r="B345" s="38">
        <v>680686.0</v>
      </c>
      <c r="C345" s="38">
        <v>2572.0</v>
      </c>
      <c r="D345" s="40">
        <v>4.966963678</v>
      </c>
      <c r="E345" s="41">
        <v>0.446734059</v>
      </c>
      <c r="F345" s="41">
        <v>0.180015552</v>
      </c>
      <c r="G345" s="41">
        <v>0.373250389</v>
      </c>
      <c r="H345" s="79">
        <f t="shared" si="1"/>
        <v>0.07348367</v>
      </c>
      <c r="I345" s="42">
        <v>-11.16083588</v>
      </c>
    </row>
    <row r="346">
      <c r="A346" s="1" t="s">
        <v>1177</v>
      </c>
      <c r="B346" s="38">
        <v>661309.0</v>
      </c>
      <c r="C346" s="38">
        <v>1006.0</v>
      </c>
      <c r="D346" s="40">
        <v>4.966272438</v>
      </c>
      <c r="E346" s="41">
        <v>0.414512922</v>
      </c>
      <c r="F346" s="41">
        <v>0.208747515</v>
      </c>
      <c r="G346" s="41">
        <v>0.376739563</v>
      </c>
      <c r="H346" s="79">
        <f t="shared" si="1"/>
        <v>0.037773359</v>
      </c>
      <c r="I346" s="42">
        <v>-5.457547032</v>
      </c>
    </row>
    <row r="347">
      <c r="A347" s="1" t="s">
        <v>299</v>
      </c>
      <c r="B347" s="38">
        <v>621112.0</v>
      </c>
      <c r="C347" s="38">
        <v>1748.0</v>
      </c>
      <c r="D347" s="40">
        <v>4.965867188</v>
      </c>
      <c r="E347" s="41">
        <v>0.419336384</v>
      </c>
      <c r="F347" s="41">
        <v>0.192791762</v>
      </c>
      <c r="G347" s="41">
        <v>0.387871854</v>
      </c>
      <c r="H347" s="79">
        <f t="shared" si="1"/>
        <v>0.03146453</v>
      </c>
      <c r="I347" s="42">
        <v>-5.503143536</v>
      </c>
    </row>
    <row r="348">
      <c r="A348" s="1" t="s">
        <v>735</v>
      </c>
      <c r="B348" s="38">
        <v>640462.0</v>
      </c>
      <c r="C348" s="38">
        <v>1058.0</v>
      </c>
      <c r="D348" s="40">
        <v>4.965496369</v>
      </c>
      <c r="E348" s="41">
        <v>0.459357278</v>
      </c>
      <c r="F348" s="41">
        <v>0.192816635</v>
      </c>
      <c r="G348" s="41">
        <v>0.347826087</v>
      </c>
      <c r="H348" s="79">
        <f t="shared" si="1"/>
        <v>0.111531191</v>
      </c>
      <c r="I348" s="42">
        <v>7.133526815</v>
      </c>
    </row>
    <row r="349">
      <c r="A349" s="1" t="s">
        <v>1304</v>
      </c>
      <c r="B349" s="38">
        <v>605538.0</v>
      </c>
      <c r="C349" s="38">
        <v>745.0</v>
      </c>
      <c r="D349" s="40">
        <v>4.965428421</v>
      </c>
      <c r="E349" s="41">
        <v>0.4</v>
      </c>
      <c r="F349" s="41">
        <v>0.222818792</v>
      </c>
      <c r="G349" s="41">
        <v>0.377181208</v>
      </c>
      <c r="H349" s="79">
        <f t="shared" si="1"/>
        <v>0.022818792</v>
      </c>
      <c r="I349" s="42">
        <v>10.61582727</v>
      </c>
    </row>
    <row r="350">
      <c r="A350" s="1" t="s">
        <v>432</v>
      </c>
      <c r="B350" s="38">
        <v>669467.0</v>
      </c>
      <c r="C350" s="38">
        <v>1729.0</v>
      </c>
      <c r="D350" s="40">
        <v>4.965351136</v>
      </c>
      <c r="E350" s="41">
        <v>0.432620012</v>
      </c>
      <c r="F350" s="41">
        <v>0.198958936</v>
      </c>
      <c r="G350" s="41">
        <v>0.368421053</v>
      </c>
      <c r="H350" s="79">
        <f t="shared" si="1"/>
        <v>0.064198959</v>
      </c>
      <c r="I350" s="42">
        <v>1.674379858</v>
      </c>
    </row>
    <row r="351">
      <c r="A351" s="1" t="s">
        <v>1050</v>
      </c>
      <c r="B351" s="38">
        <v>642546.0</v>
      </c>
      <c r="C351" s="38">
        <v>506.0</v>
      </c>
      <c r="D351" s="40">
        <v>4.964933966</v>
      </c>
      <c r="E351" s="41">
        <v>0.434782609</v>
      </c>
      <c r="F351" s="41">
        <v>0.199604743</v>
      </c>
      <c r="G351" s="41">
        <v>0.365612648</v>
      </c>
      <c r="H351" s="79">
        <f t="shared" si="1"/>
        <v>0.069169961</v>
      </c>
      <c r="I351" s="42">
        <v>2.235451306</v>
      </c>
    </row>
    <row r="352">
      <c r="A352" s="1" t="s">
        <v>410</v>
      </c>
      <c r="B352" s="38">
        <v>678394.0</v>
      </c>
      <c r="C352" s="38">
        <v>984.0</v>
      </c>
      <c r="D352" s="40">
        <v>4.964591257</v>
      </c>
      <c r="E352" s="41">
        <v>0.449186992</v>
      </c>
      <c r="F352" s="41">
        <v>0.196138211</v>
      </c>
      <c r="G352" s="41">
        <v>0.354674797</v>
      </c>
      <c r="H352" s="79">
        <f t="shared" si="1"/>
        <v>0.094512195</v>
      </c>
      <c r="I352" s="42">
        <v>-16.71568193</v>
      </c>
    </row>
    <row r="353">
      <c r="A353" s="1" t="s">
        <v>800</v>
      </c>
      <c r="B353" s="38">
        <v>605242.0</v>
      </c>
      <c r="C353" s="38">
        <v>1034.0</v>
      </c>
      <c r="D353" s="40">
        <v>4.964572038</v>
      </c>
      <c r="E353" s="41">
        <v>0.434235977</v>
      </c>
      <c r="F353" s="41">
        <v>0.16827853</v>
      </c>
      <c r="G353" s="41">
        <v>0.397485493</v>
      </c>
      <c r="H353" s="79">
        <f t="shared" si="1"/>
        <v>0.036750484</v>
      </c>
      <c r="I353" s="42">
        <v>-7.519415812</v>
      </c>
    </row>
    <row r="354">
      <c r="A354" s="1" t="s">
        <v>1203</v>
      </c>
      <c r="B354" s="38">
        <v>572971.0</v>
      </c>
      <c r="C354" s="38">
        <v>1160.0</v>
      </c>
      <c r="D354" s="40">
        <v>4.963880772</v>
      </c>
      <c r="E354" s="41">
        <v>0.398275862</v>
      </c>
      <c r="F354" s="41">
        <v>0.232758621</v>
      </c>
      <c r="G354" s="41">
        <v>0.368965517</v>
      </c>
      <c r="H354" s="79">
        <f t="shared" si="1"/>
        <v>0.029310345</v>
      </c>
      <c r="I354" s="42">
        <v>-23.75888326</v>
      </c>
    </row>
    <row r="355">
      <c r="A355" s="1" t="s">
        <v>1154</v>
      </c>
      <c r="B355" s="38">
        <v>608678.0</v>
      </c>
      <c r="C355" s="38">
        <v>810.0</v>
      </c>
      <c r="D355" s="40">
        <v>4.963388177</v>
      </c>
      <c r="E355" s="41">
        <v>0.408641975</v>
      </c>
      <c r="F355" s="41">
        <v>0.227160494</v>
      </c>
      <c r="G355" s="41">
        <v>0.364197531</v>
      </c>
      <c r="H355" s="79">
        <f t="shared" si="1"/>
        <v>0.044444444</v>
      </c>
      <c r="I355" s="42">
        <v>-14.56032183</v>
      </c>
    </row>
    <row r="356">
      <c r="A356" s="1" t="s">
        <v>1305</v>
      </c>
      <c r="B356" s="38">
        <v>571710.0</v>
      </c>
      <c r="C356" s="38">
        <v>1016.0</v>
      </c>
      <c r="D356" s="40">
        <v>4.963297174</v>
      </c>
      <c r="E356" s="41">
        <v>0.437992126</v>
      </c>
      <c r="F356" s="41">
        <v>0.18996063</v>
      </c>
      <c r="G356" s="41">
        <v>0.372047244</v>
      </c>
      <c r="H356" s="79">
        <f t="shared" si="1"/>
        <v>0.065944882</v>
      </c>
      <c r="I356" s="42">
        <v>-0.25720822</v>
      </c>
    </row>
    <row r="357">
      <c r="A357" s="1" t="s">
        <v>138</v>
      </c>
      <c r="B357" s="38">
        <v>621383.0</v>
      </c>
      <c r="C357" s="38">
        <v>864.0</v>
      </c>
      <c r="D357" s="40">
        <v>4.961088358</v>
      </c>
      <c r="E357" s="41">
        <v>0.41087963</v>
      </c>
      <c r="F357" s="41">
        <v>0.25462963</v>
      </c>
      <c r="G357" s="41">
        <v>0.334490741</v>
      </c>
      <c r="H357" s="79">
        <f t="shared" si="1"/>
        <v>0.076388889</v>
      </c>
      <c r="I357" s="42">
        <v>16.01696426</v>
      </c>
    </row>
    <row r="358">
      <c r="A358" s="1" t="s">
        <v>291</v>
      </c>
      <c r="B358" s="38">
        <v>656271.0</v>
      </c>
      <c r="C358" s="38">
        <v>1315.0</v>
      </c>
      <c r="D358" s="40">
        <v>4.958539722</v>
      </c>
      <c r="E358" s="41">
        <v>0.44486692</v>
      </c>
      <c r="F358" s="41">
        <v>0.184790875</v>
      </c>
      <c r="G358" s="41">
        <v>0.370342205</v>
      </c>
      <c r="H358" s="79">
        <f t="shared" si="1"/>
        <v>0.074524715</v>
      </c>
      <c r="I358" s="42">
        <v>6.51629157</v>
      </c>
    </row>
    <row r="359">
      <c r="A359" s="1" t="s">
        <v>411</v>
      </c>
      <c r="B359" s="38">
        <v>605288.0</v>
      </c>
      <c r="C359" s="38">
        <v>1836.0</v>
      </c>
      <c r="D359" s="40">
        <v>4.95777742</v>
      </c>
      <c r="E359" s="41">
        <v>0.4291939</v>
      </c>
      <c r="F359" s="41">
        <v>0.208605664</v>
      </c>
      <c r="G359" s="41">
        <v>0.362200436</v>
      </c>
      <c r="H359" s="79">
        <f t="shared" si="1"/>
        <v>0.066993464</v>
      </c>
      <c r="I359" s="42">
        <v>11.28850659</v>
      </c>
    </row>
    <row r="360">
      <c r="A360" s="1" t="s">
        <v>310</v>
      </c>
      <c r="B360" s="38">
        <v>607455.0</v>
      </c>
      <c r="C360" s="38">
        <v>544.0</v>
      </c>
      <c r="D360" s="40">
        <v>4.957773748</v>
      </c>
      <c r="E360" s="41">
        <v>0.448529412</v>
      </c>
      <c r="F360" s="41">
        <v>0.181985294</v>
      </c>
      <c r="G360" s="41">
        <v>0.369485294</v>
      </c>
      <c r="H360" s="79">
        <f t="shared" si="1"/>
        <v>0.079044118</v>
      </c>
      <c r="I360" s="42">
        <v>-8.987353505</v>
      </c>
    </row>
    <row r="361">
      <c r="A361" s="1" t="s">
        <v>1197</v>
      </c>
      <c r="B361" s="38">
        <v>593334.0</v>
      </c>
      <c r="C361" s="38">
        <v>1071.0</v>
      </c>
      <c r="D361" s="40">
        <v>4.95666559</v>
      </c>
      <c r="E361" s="41">
        <v>0.410830999</v>
      </c>
      <c r="F361" s="41">
        <v>0.219421102</v>
      </c>
      <c r="G361" s="41">
        <v>0.369747899</v>
      </c>
      <c r="H361" s="79">
        <f t="shared" si="1"/>
        <v>0.0410831</v>
      </c>
      <c r="I361" s="42">
        <v>-1.009451147</v>
      </c>
    </row>
    <row r="362" hidden="1">
      <c r="A362" s="1" t="s">
        <v>1095</v>
      </c>
      <c r="B362" s="38">
        <v>622250.0</v>
      </c>
      <c r="C362" s="38">
        <v>415.0</v>
      </c>
      <c r="D362" s="40">
        <v>4.956598617</v>
      </c>
      <c r="E362" s="41">
        <v>0.431325301</v>
      </c>
      <c r="F362" s="41">
        <v>0.180722892</v>
      </c>
      <c r="G362" s="41">
        <v>0.387951807</v>
      </c>
      <c r="H362" s="79">
        <f t="shared" si="1"/>
        <v>0.043373494</v>
      </c>
      <c r="I362" s="42">
        <v>-8.177951413</v>
      </c>
    </row>
    <row r="363">
      <c r="A363" s="1" t="s">
        <v>225</v>
      </c>
      <c r="B363" s="38">
        <v>596133.0</v>
      </c>
      <c r="C363" s="38">
        <v>695.0</v>
      </c>
      <c r="D363" s="40">
        <v>4.956355509</v>
      </c>
      <c r="E363" s="41">
        <v>0.401438849</v>
      </c>
      <c r="F363" s="41">
        <v>0.223021583</v>
      </c>
      <c r="G363" s="41">
        <v>0.375539568</v>
      </c>
      <c r="H363" s="79">
        <f t="shared" si="1"/>
        <v>0.025899281</v>
      </c>
      <c r="I363" s="42">
        <v>-10.57520709</v>
      </c>
    </row>
    <row r="364">
      <c r="A364" s="1" t="s">
        <v>1112</v>
      </c>
      <c r="B364" s="38">
        <v>656529.0</v>
      </c>
      <c r="C364" s="38">
        <v>929.0</v>
      </c>
      <c r="D364" s="40">
        <v>4.95488046</v>
      </c>
      <c r="E364" s="41">
        <v>0.46393972</v>
      </c>
      <c r="F364" s="41">
        <v>0.17007535</v>
      </c>
      <c r="G364" s="41">
        <v>0.36598493</v>
      </c>
      <c r="H364" s="79">
        <f t="shared" si="1"/>
        <v>0.09795479</v>
      </c>
      <c r="I364" s="42">
        <v>14.34573355</v>
      </c>
    </row>
    <row r="365" hidden="1">
      <c r="A365" s="1" t="s">
        <v>1236</v>
      </c>
      <c r="B365" s="38">
        <v>672715.0</v>
      </c>
      <c r="C365" s="38">
        <v>383.0</v>
      </c>
      <c r="D365" s="40">
        <v>4.954873201</v>
      </c>
      <c r="E365" s="41">
        <v>0.45691906</v>
      </c>
      <c r="F365" s="41">
        <v>0.17232376</v>
      </c>
      <c r="G365" s="41">
        <v>0.37075718</v>
      </c>
      <c r="H365" s="79">
        <f t="shared" si="1"/>
        <v>0.08616188</v>
      </c>
      <c r="I365" s="42">
        <v>-4.978721317</v>
      </c>
    </row>
    <row r="366">
      <c r="A366" s="1" t="s">
        <v>200</v>
      </c>
      <c r="B366" s="38">
        <v>676879.0</v>
      </c>
      <c r="C366" s="38">
        <v>1862.0</v>
      </c>
      <c r="D366" s="40">
        <v>4.953868624</v>
      </c>
      <c r="E366" s="41">
        <v>0.426423201</v>
      </c>
      <c r="F366" s="41">
        <v>0.189581096</v>
      </c>
      <c r="G366" s="41">
        <v>0.383995704</v>
      </c>
      <c r="H366" s="79">
        <f t="shared" si="1"/>
        <v>0.042427497</v>
      </c>
      <c r="I366" s="42">
        <v>6.141855424</v>
      </c>
    </row>
    <row r="367">
      <c r="A367" s="1" t="s">
        <v>584</v>
      </c>
      <c r="B367" s="38">
        <v>657006.0</v>
      </c>
      <c r="C367" s="38">
        <v>2015.0</v>
      </c>
      <c r="D367" s="40">
        <v>4.953659346</v>
      </c>
      <c r="E367" s="41">
        <v>0.445657568</v>
      </c>
      <c r="F367" s="41">
        <v>0.19057072</v>
      </c>
      <c r="G367" s="41">
        <v>0.363771712</v>
      </c>
      <c r="H367" s="79">
        <f t="shared" si="1"/>
        <v>0.081885856</v>
      </c>
      <c r="I367" s="42">
        <v>11.74875514</v>
      </c>
    </row>
    <row r="368">
      <c r="A368" s="1" t="s">
        <v>1104</v>
      </c>
      <c r="B368" s="38">
        <v>592826.0</v>
      </c>
      <c r="C368" s="38">
        <v>1273.0</v>
      </c>
      <c r="D368" s="40">
        <v>4.952520017</v>
      </c>
      <c r="E368" s="41">
        <v>0.429693637</v>
      </c>
      <c r="F368" s="41">
        <v>0.200314218</v>
      </c>
      <c r="G368" s="41">
        <v>0.369992145</v>
      </c>
      <c r="H368" s="79">
        <f t="shared" si="1"/>
        <v>0.059701492</v>
      </c>
      <c r="I368" s="42">
        <v>0.233258608</v>
      </c>
    </row>
    <row r="369">
      <c r="A369" s="1" t="s">
        <v>1306</v>
      </c>
      <c r="B369" s="38">
        <v>489334.0</v>
      </c>
      <c r="C369" s="38">
        <v>695.0</v>
      </c>
      <c r="D369" s="40">
        <v>4.95189147</v>
      </c>
      <c r="E369" s="41">
        <v>0.391366906</v>
      </c>
      <c r="F369" s="41">
        <v>0.228776978</v>
      </c>
      <c r="G369" s="41">
        <v>0.379856115</v>
      </c>
      <c r="H369" s="79">
        <f t="shared" si="1"/>
        <v>0.011510791</v>
      </c>
      <c r="I369" s="42">
        <v>-3.695527158</v>
      </c>
    </row>
    <row r="370">
      <c r="A370" s="1" t="s">
        <v>1307</v>
      </c>
      <c r="B370" s="38">
        <v>595881.0</v>
      </c>
      <c r="C370" s="38">
        <v>1061.0</v>
      </c>
      <c r="D370" s="40">
        <v>4.950046819</v>
      </c>
      <c r="E370" s="41">
        <v>0.43072573</v>
      </c>
      <c r="F370" s="41">
        <v>0.199811499</v>
      </c>
      <c r="G370" s="41">
        <v>0.369462771</v>
      </c>
      <c r="H370" s="79">
        <f t="shared" si="1"/>
        <v>0.061262959</v>
      </c>
      <c r="I370" s="42">
        <v>-11.64398381</v>
      </c>
    </row>
    <row r="371">
      <c r="A371" s="1" t="s">
        <v>474</v>
      </c>
      <c r="B371" s="38">
        <v>450203.0</v>
      </c>
      <c r="C371" s="38">
        <v>2882.0</v>
      </c>
      <c r="D371" s="40">
        <v>4.949818176</v>
      </c>
      <c r="E371" s="41">
        <v>0.436502429</v>
      </c>
      <c r="F371" s="41">
        <v>0.183553088</v>
      </c>
      <c r="G371" s="41">
        <v>0.379944483</v>
      </c>
      <c r="H371" s="79">
        <f t="shared" si="1"/>
        <v>0.056557946</v>
      </c>
      <c r="I371" s="42">
        <v>6.351573957</v>
      </c>
    </row>
    <row r="372">
      <c r="A372" s="1" t="s">
        <v>348</v>
      </c>
      <c r="B372" s="38">
        <v>672578.0</v>
      </c>
      <c r="C372" s="38">
        <v>987.0</v>
      </c>
      <c r="D372" s="40">
        <v>4.949574841</v>
      </c>
      <c r="E372" s="41">
        <v>0.448834853</v>
      </c>
      <c r="F372" s="41">
        <v>0.188449848</v>
      </c>
      <c r="G372" s="41">
        <v>0.362715299</v>
      </c>
      <c r="H372" s="79">
        <f t="shared" si="1"/>
        <v>0.086119554</v>
      </c>
      <c r="I372" s="42">
        <v>-20.75274294</v>
      </c>
    </row>
    <row r="373" hidden="1">
      <c r="A373" s="1" t="s">
        <v>134</v>
      </c>
      <c r="B373" s="38">
        <v>677161.0</v>
      </c>
      <c r="C373" s="38">
        <v>220.0</v>
      </c>
      <c r="D373" s="40">
        <v>4.949553073</v>
      </c>
      <c r="E373" s="41">
        <v>0.427272727</v>
      </c>
      <c r="F373" s="41">
        <v>0.2</v>
      </c>
      <c r="G373" s="41">
        <v>0.372727273</v>
      </c>
      <c r="H373" s="79">
        <f t="shared" si="1"/>
        <v>0.054545454</v>
      </c>
      <c r="I373" s="42">
        <v>-2.20123379</v>
      </c>
    </row>
    <row r="374" hidden="1">
      <c r="A374" s="1" t="s">
        <v>447</v>
      </c>
      <c r="B374" s="38">
        <v>605463.0</v>
      </c>
      <c r="C374" s="38">
        <v>253.0</v>
      </c>
      <c r="D374" s="40">
        <v>4.949170292</v>
      </c>
      <c r="E374" s="41">
        <v>0.450592885</v>
      </c>
      <c r="F374" s="41">
        <v>0.166007905</v>
      </c>
      <c r="G374" s="41">
        <v>0.383399209</v>
      </c>
      <c r="H374" s="79">
        <f t="shared" si="1"/>
        <v>0.067193676</v>
      </c>
      <c r="I374" s="42">
        <v>-6.620986922</v>
      </c>
    </row>
    <row r="375">
      <c r="A375" s="1" t="s">
        <v>491</v>
      </c>
      <c r="B375" s="38">
        <v>650644.0</v>
      </c>
      <c r="C375" s="38">
        <v>1574.0</v>
      </c>
      <c r="D375" s="40">
        <v>4.94868543</v>
      </c>
      <c r="E375" s="41">
        <v>0.437102922</v>
      </c>
      <c r="F375" s="41">
        <v>0.185514612</v>
      </c>
      <c r="G375" s="41">
        <v>0.377382465</v>
      </c>
      <c r="H375" s="79">
        <f t="shared" si="1"/>
        <v>0.059720457</v>
      </c>
      <c r="I375" s="42">
        <v>2.148317964</v>
      </c>
    </row>
    <row r="376">
      <c r="A376" s="1" t="s">
        <v>24</v>
      </c>
      <c r="B376" s="38">
        <v>672282.0</v>
      </c>
      <c r="C376" s="38">
        <v>2158.0</v>
      </c>
      <c r="D376" s="40">
        <v>4.947458946</v>
      </c>
      <c r="E376" s="41">
        <v>0.449953661</v>
      </c>
      <c r="F376" s="41">
        <v>0.173772011</v>
      </c>
      <c r="G376" s="41">
        <v>0.376274328</v>
      </c>
      <c r="H376" s="79">
        <f t="shared" si="1"/>
        <v>0.073679333</v>
      </c>
      <c r="I376" s="42">
        <v>0.336798384</v>
      </c>
    </row>
    <row r="377" hidden="1">
      <c r="A377" s="1" t="s">
        <v>1308</v>
      </c>
      <c r="B377" s="38">
        <v>605195.0</v>
      </c>
      <c r="C377" s="38">
        <v>277.0</v>
      </c>
      <c r="D377" s="40">
        <v>4.947239632</v>
      </c>
      <c r="E377" s="41">
        <v>0.476534296</v>
      </c>
      <c r="F377" s="41">
        <v>0.14801444</v>
      </c>
      <c r="G377" s="41">
        <v>0.375451264</v>
      </c>
      <c r="H377" s="79">
        <f t="shared" si="1"/>
        <v>0.101083032</v>
      </c>
      <c r="I377" s="42">
        <v>2.241793338</v>
      </c>
    </row>
    <row r="378" hidden="1">
      <c r="A378" s="1" t="s">
        <v>934</v>
      </c>
      <c r="B378" s="38">
        <v>664948.0</v>
      </c>
      <c r="C378" s="38">
        <v>461.0</v>
      </c>
      <c r="D378" s="40">
        <v>4.946793278</v>
      </c>
      <c r="E378" s="41">
        <v>0.436008677</v>
      </c>
      <c r="F378" s="41">
        <v>0.195227766</v>
      </c>
      <c r="G378" s="41">
        <v>0.368763557</v>
      </c>
      <c r="H378" s="79">
        <f t="shared" si="1"/>
        <v>0.06724512</v>
      </c>
      <c r="I378" s="42">
        <v>-1.81696091</v>
      </c>
    </row>
    <row r="379">
      <c r="A379" s="1" t="s">
        <v>452</v>
      </c>
      <c r="B379" s="38">
        <v>607625.0</v>
      </c>
      <c r="C379" s="38">
        <v>1071.0</v>
      </c>
      <c r="D379" s="40">
        <v>4.946757259</v>
      </c>
      <c r="E379" s="41">
        <v>0.41923436</v>
      </c>
      <c r="F379" s="41">
        <v>0.216619981</v>
      </c>
      <c r="G379" s="41">
        <v>0.364145658</v>
      </c>
      <c r="H379" s="79">
        <f t="shared" si="1"/>
        <v>0.055088702</v>
      </c>
      <c r="I379" s="42">
        <v>1.884823976</v>
      </c>
    </row>
    <row r="380">
      <c r="A380" s="1" t="s">
        <v>379</v>
      </c>
      <c r="B380" s="38">
        <v>593423.0</v>
      </c>
      <c r="C380" s="38">
        <v>2304.0</v>
      </c>
      <c r="D380" s="40">
        <v>4.94536296</v>
      </c>
      <c r="E380" s="41">
        <v>0.408420139</v>
      </c>
      <c r="F380" s="41">
        <v>0.217013889</v>
      </c>
      <c r="G380" s="41">
        <v>0.374565972</v>
      </c>
      <c r="H380" s="79">
        <f t="shared" si="1"/>
        <v>0.033854167</v>
      </c>
      <c r="I380" s="42">
        <v>-4.44797597</v>
      </c>
    </row>
    <row r="381" hidden="1">
      <c r="A381" s="1" t="s">
        <v>1309</v>
      </c>
      <c r="B381" s="38">
        <v>622786.0</v>
      </c>
      <c r="C381" s="38">
        <v>349.0</v>
      </c>
      <c r="D381" s="40">
        <v>4.943759117</v>
      </c>
      <c r="E381" s="41">
        <v>0.41260745</v>
      </c>
      <c r="F381" s="41">
        <v>0.200573066</v>
      </c>
      <c r="G381" s="41">
        <v>0.386819484</v>
      </c>
      <c r="H381" s="79">
        <f t="shared" si="1"/>
        <v>0.025787966</v>
      </c>
      <c r="I381" s="42">
        <v>9.349554034</v>
      </c>
    </row>
    <row r="382" hidden="1">
      <c r="A382" s="1" t="s">
        <v>1310</v>
      </c>
      <c r="B382" s="38">
        <v>446321.0</v>
      </c>
      <c r="C382" s="38">
        <v>460.0</v>
      </c>
      <c r="D382" s="40">
        <v>4.94372755</v>
      </c>
      <c r="E382" s="41">
        <v>0.408695652</v>
      </c>
      <c r="F382" s="41">
        <v>0.239130435</v>
      </c>
      <c r="G382" s="41">
        <v>0.352173913</v>
      </c>
      <c r="H382" s="79">
        <f t="shared" si="1"/>
        <v>0.056521739</v>
      </c>
      <c r="I382" s="42">
        <v>1.634086716</v>
      </c>
    </row>
    <row r="383">
      <c r="A383" s="1" t="s">
        <v>1311</v>
      </c>
      <c r="B383" s="38">
        <v>656685.0</v>
      </c>
      <c r="C383" s="38">
        <v>744.0</v>
      </c>
      <c r="D383" s="40">
        <v>4.943719208</v>
      </c>
      <c r="E383" s="41">
        <v>0.412634409</v>
      </c>
      <c r="F383" s="41">
        <v>0.215053763</v>
      </c>
      <c r="G383" s="41">
        <v>0.372311828</v>
      </c>
      <c r="H383" s="79">
        <f t="shared" si="1"/>
        <v>0.040322581</v>
      </c>
      <c r="I383" s="42">
        <v>-7.807064442</v>
      </c>
    </row>
    <row r="384">
      <c r="A384" s="1" t="s">
        <v>620</v>
      </c>
      <c r="B384" s="38">
        <v>445926.0</v>
      </c>
      <c r="C384" s="38">
        <v>1194.0</v>
      </c>
      <c r="D384" s="40">
        <v>4.941870627</v>
      </c>
      <c r="E384" s="41">
        <v>0.453936348</v>
      </c>
      <c r="F384" s="41">
        <v>0.175879397</v>
      </c>
      <c r="G384" s="41">
        <v>0.370184255</v>
      </c>
      <c r="H384" s="79">
        <f t="shared" si="1"/>
        <v>0.083752093</v>
      </c>
      <c r="I384" s="42">
        <v>-3.156784277</v>
      </c>
    </row>
    <row r="385">
      <c r="A385" s="1" t="s">
        <v>84</v>
      </c>
      <c r="B385" s="38">
        <v>669373.0</v>
      </c>
      <c r="C385" s="38">
        <v>1893.0</v>
      </c>
      <c r="D385" s="40">
        <v>4.941862705</v>
      </c>
      <c r="E385" s="41">
        <v>0.427363973</v>
      </c>
      <c r="F385" s="41">
        <v>0.210776545</v>
      </c>
      <c r="G385" s="41">
        <v>0.361859482</v>
      </c>
      <c r="H385" s="79">
        <f t="shared" si="1"/>
        <v>0.065504491</v>
      </c>
      <c r="I385" s="42">
        <v>13.53138894</v>
      </c>
    </row>
    <row r="386">
      <c r="A386" s="1" t="s">
        <v>1312</v>
      </c>
      <c r="B386" s="38">
        <v>605164.0</v>
      </c>
      <c r="C386" s="38">
        <v>2165.0</v>
      </c>
      <c r="D386" s="40">
        <v>4.941507826</v>
      </c>
      <c r="E386" s="41">
        <v>0.406004619</v>
      </c>
      <c r="F386" s="41">
        <v>0.220323326</v>
      </c>
      <c r="G386" s="41">
        <v>0.373672055</v>
      </c>
      <c r="H386" s="79">
        <f t="shared" si="1"/>
        <v>0.032332564</v>
      </c>
      <c r="I386" s="42">
        <v>-16.3253845</v>
      </c>
    </row>
    <row r="387" hidden="1">
      <c r="A387" s="1" t="s">
        <v>1313</v>
      </c>
      <c r="B387" s="38">
        <v>592473.0</v>
      </c>
      <c r="C387" s="38">
        <v>313.0</v>
      </c>
      <c r="D387" s="40">
        <v>4.940213927</v>
      </c>
      <c r="E387" s="41">
        <v>0.440894569</v>
      </c>
      <c r="F387" s="41">
        <v>0.169329073</v>
      </c>
      <c r="G387" s="41">
        <v>0.389776358</v>
      </c>
      <c r="H387" s="79">
        <f t="shared" si="1"/>
        <v>0.051118211</v>
      </c>
      <c r="I387" s="42">
        <v>-0.435271284</v>
      </c>
    </row>
    <row r="388">
      <c r="A388" s="1" t="s">
        <v>600</v>
      </c>
      <c r="B388" s="38">
        <v>670174.0</v>
      </c>
      <c r="C388" s="38">
        <v>1184.0</v>
      </c>
      <c r="D388" s="40">
        <v>4.940052934</v>
      </c>
      <c r="E388" s="41">
        <v>0.422297297</v>
      </c>
      <c r="F388" s="41">
        <v>0.208614865</v>
      </c>
      <c r="G388" s="41">
        <v>0.369087838</v>
      </c>
      <c r="H388" s="79">
        <f t="shared" si="1"/>
        <v>0.053209459</v>
      </c>
      <c r="I388" s="42">
        <v>-10.93139152</v>
      </c>
    </row>
    <row r="389">
      <c r="A389" s="1" t="s">
        <v>307</v>
      </c>
      <c r="B389" s="38">
        <v>656849.0</v>
      </c>
      <c r="C389" s="38">
        <v>1870.0</v>
      </c>
      <c r="D389" s="40">
        <v>4.938828106</v>
      </c>
      <c r="E389" s="41">
        <v>0.430481283</v>
      </c>
      <c r="F389" s="41">
        <v>0.177540107</v>
      </c>
      <c r="G389" s="41">
        <v>0.39197861</v>
      </c>
      <c r="H389" s="79">
        <f t="shared" si="1"/>
        <v>0.038502673</v>
      </c>
      <c r="I389" s="42">
        <v>7.178989458</v>
      </c>
    </row>
    <row r="390" hidden="1">
      <c r="A390" s="1" t="s">
        <v>448</v>
      </c>
      <c r="B390" s="38">
        <v>657424.0</v>
      </c>
      <c r="C390" s="38">
        <v>187.0</v>
      </c>
      <c r="D390" s="40">
        <v>4.938799989</v>
      </c>
      <c r="E390" s="41">
        <v>0.427807487</v>
      </c>
      <c r="F390" s="41">
        <v>0.213903743</v>
      </c>
      <c r="G390" s="41">
        <v>0.35828877</v>
      </c>
      <c r="H390" s="79">
        <f t="shared" si="1"/>
        <v>0.069518717</v>
      </c>
      <c r="I390" s="42">
        <v>3.918803101</v>
      </c>
    </row>
    <row r="391">
      <c r="A391" s="1" t="s">
        <v>1026</v>
      </c>
      <c r="B391" s="38">
        <v>518617.0</v>
      </c>
      <c r="C391" s="38">
        <v>1150.0</v>
      </c>
      <c r="D391" s="40">
        <v>4.938789635</v>
      </c>
      <c r="E391" s="41">
        <v>0.474782609</v>
      </c>
      <c r="F391" s="41">
        <v>0.146956522</v>
      </c>
      <c r="G391" s="41">
        <v>0.37826087</v>
      </c>
      <c r="H391" s="79">
        <f t="shared" si="1"/>
        <v>0.096521739</v>
      </c>
      <c r="I391" s="42">
        <v>-3.070568771</v>
      </c>
    </row>
    <row r="392">
      <c r="A392" s="1" t="s">
        <v>784</v>
      </c>
      <c r="B392" s="38">
        <v>642121.0</v>
      </c>
      <c r="C392" s="38">
        <v>613.0</v>
      </c>
      <c r="D392" s="40">
        <v>4.93855952</v>
      </c>
      <c r="E392" s="41">
        <v>0.438825449</v>
      </c>
      <c r="F392" s="41">
        <v>0.195758564</v>
      </c>
      <c r="G392" s="41">
        <v>0.365415987</v>
      </c>
      <c r="H392" s="79">
        <f t="shared" si="1"/>
        <v>0.073409462</v>
      </c>
      <c r="I392" s="42">
        <v>-6.51964898</v>
      </c>
    </row>
    <row r="393" hidden="1">
      <c r="A393" s="1" t="s">
        <v>1171</v>
      </c>
      <c r="B393" s="38">
        <v>622065.0</v>
      </c>
      <c r="C393" s="38">
        <v>441.0</v>
      </c>
      <c r="D393" s="40">
        <v>4.938081696</v>
      </c>
      <c r="E393" s="41">
        <v>0.439909297</v>
      </c>
      <c r="F393" s="41">
        <v>0.20861678</v>
      </c>
      <c r="G393" s="41">
        <v>0.351473923</v>
      </c>
      <c r="H393" s="79">
        <f t="shared" si="1"/>
        <v>0.088435374</v>
      </c>
      <c r="I393" s="42">
        <v>-2.76285247</v>
      </c>
    </row>
    <row r="394">
      <c r="A394" s="1" t="s">
        <v>503</v>
      </c>
      <c r="B394" s="38">
        <v>642152.0</v>
      </c>
      <c r="C394" s="38">
        <v>934.0</v>
      </c>
      <c r="D394" s="40">
        <v>4.938002064</v>
      </c>
      <c r="E394" s="41">
        <v>0.438972163</v>
      </c>
      <c r="F394" s="41">
        <v>0.19379015</v>
      </c>
      <c r="G394" s="41">
        <v>0.367237687</v>
      </c>
      <c r="H394" s="79">
        <f t="shared" si="1"/>
        <v>0.071734476</v>
      </c>
      <c r="I394" s="42">
        <v>-7.871028849</v>
      </c>
    </row>
    <row r="395">
      <c r="A395" s="1" t="s">
        <v>1120</v>
      </c>
      <c r="B395" s="38">
        <v>543475.0</v>
      </c>
      <c r="C395" s="38">
        <v>2965.0</v>
      </c>
      <c r="D395" s="40">
        <v>4.937993828</v>
      </c>
      <c r="E395" s="41">
        <v>0.415851602</v>
      </c>
      <c r="F395" s="41">
        <v>0.200674536</v>
      </c>
      <c r="G395" s="41">
        <v>0.383473862</v>
      </c>
      <c r="H395" s="79">
        <f t="shared" si="1"/>
        <v>0.03237774</v>
      </c>
      <c r="I395" s="42">
        <v>-18.08599757</v>
      </c>
    </row>
    <row r="396">
      <c r="A396" s="1" t="s">
        <v>1314</v>
      </c>
      <c r="B396" s="38">
        <v>501985.0</v>
      </c>
      <c r="C396" s="38">
        <v>1739.0</v>
      </c>
      <c r="D396" s="40">
        <v>4.937638845</v>
      </c>
      <c r="E396" s="41">
        <v>0.433582519</v>
      </c>
      <c r="F396" s="41">
        <v>0.191489362</v>
      </c>
      <c r="G396" s="41">
        <v>0.37492812</v>
      </c>
      <c r="H396" s="79">
        <f t="shared" si="1"/>
        <v>0.058654399</v>
      </c>
      <c r="I396" s="42">
        <v>-18.96641159</v>
      </c>
    </row>
    <row r="397">
      <c r="A397" s="1" t="s">
        <v>1315</v>
      </c>
      <c r="B397" s="38">
        <v>528748.0</v>
      </c>
      <c r="C397" s="38">
        <v>746.0</v>
      </c>
      <c r="D397" s="40">
        <v>4.937291313</v>
      </c>
      <c r="E397" s="41">
        <v>0.412868633</v>
      </c>
      <c r="F397" s="41">
        <v>0.195710456</v>
      </c>
      <c r="G397" s="41">
        <v>0.391420912</v>
      </c>
      <c r="H397" s="79">
        <f t="shared" si="1"/>
        <v>0.021447721</v>
      </c>
      <c r="I397" s="42">
        <v>-3.799869467</v>
      </c>
    </row>
    <row r="398" hidden="1">
      <c r="A398" s="1" t="s">
        <v>274</v>
      </c>
      <c r="B398" s="38">
        <v>543101.0</v>
      </c>
      <c r="C398" s="38">
        <v>328.0</v>
      </c>
      <c r="D398" s="40">
        <v>4.936662503</v>
      </c>
      <c r="E398" s="41">
        <v>0.417682927</v>
      </c>
      <c r="F398" s="41">
        <v>0.161585366</v>
      </c>
      <c r="G398" s="41">
        <v>0.420731707</v>
      </c>
      <c r="H398" s="79">
        <f t="shared" si="1"/>
        <v>-0.00304878</v>
      </c>
      <c r="I398" s="42">
        <v>-16.79827435</v>
      </c>
    </row>
    <row r="399">
      <c r="A399" s="1" t="s">
        <v>105</v>
      </c>
      <c r="B399" s="38">
        <v>624133.0</v>
      </c>
      <c r="C399" s="38">
        <v>2544.0</v>
      </c>
      <c r="D399" s="40">
        <v>4.936517377</v>
      </c>
      <c r="E399" s="41">
        <v>0.426493711</v>
      </c>
      <c r="F399" s="41">
        <v>0.208333333</v>
      </c>
      <c r="G399" s="41">
        <v>0.365172956</v>
      </c>
      <c r="H399" s="79">
        <f t="shared" si="1"/>
        <v>0.061320755</v>
      </c>
      <c r="I399" s="42">
        <v>16.5680407</v>
      </c>
    </row>
    <row r="400">
      <c r="A400" s="1" t="s">
        <v>1085</v>
      </c>
      <c r="B400" s="38">
        <v>681806.0</v>
      </c>
      <c r="C400" s="38">
        <v>789.0</v>
      </c>
      <c r="D400" s="40">
        <v>4.936107919</v>
      </c>
      <c r="E400" s="41">
        <v>0.448669202</v>
      </c>
      <c r="F400" s="41">
        <v>0.173637516</v>
      </c>
      <c r="G400" s="41">
        <v>0.377693283</v>
      </c>
      <c r="H400" s="79">
        <f t="shared" si="1"/>
        <v>0.070975919</v>
      </c>
      <c r="I400" s="42">
        <v>3.227267028</v>
      </c>
    </row>
    <row r="401">
      <c r="A401" s="1" t="s">
        <v>205</v>
      </c>
      <c r="B401" s="38">
        <v>666142.0</v>
      </c>
      <c r="C401" s="38">
        <v>701.0</v>
      </c>
      <c r="D401" s="40">
        <v>4.935852211</v>
      </c>
      <c r="E401" s="41">
        <v>0.447931526</v>
      </c>
      <c r="F401" s="41">
        <v>0.161198288</v>
      </c>
      <c r="G401" s="41">
        <v>0.390870185</v>
      </c>
      <c r="H401" s="79">
        <f t="shared" si="1"/>
        <v>0.057061341</v>
      </c>
      <c r="I401" s="42">
        <v>-9.534042644</v>
      </c>
    </row>
    <row r="402" hidden="1">
      <c r="A402" s="1" t="s">
        <v>725</v>
      </c>
      <c r="B402" s="38">
        <v>675540.0</v>
      </c>
      <c r="C402" s="38">
        <v>164.0</v>
      </c>
      <c r="D402" s="40">
        <v>4.935821683</v>
      </c>
      <c r="E402" s="41">
        <v>0.475609756</v>
      </c>
      <c r="F402" s="41">
        <v>0.146341463</v>
      </c>
      <c r="G402" s="41">
        <v>0.37804878</v>
      </c>
      <c r="H402" s="79">
        <f t="shared" si="1"/>
        <v>0.097560976</v>
      </c>
      <c r="I402" s="42">
        <v>-5.158004437</v>
      </c>
    </row>
    <row r="403">
      <c r="A403" s="1" t="s">
        <v>1106</v>
      </c>
      <c r="B403" s="38">
        <v>669169.0</v>
      </c>
      <c r="C403" s="38">
        <v>1783.0</v>
      </c>
      <c r="D403" s="40">
        <v>4.935751631</v>
      </c>
      <c r="E403" s="41">
        <v>0.439147504</v>
      </c>
      <c r="F403" s="41">
        <v>0.186203029</v>
      </c>
      <c r="G403" s="41">
        <v>0.374649467</v>
      </c>
      <c r="H403" s="79">
        <f t="shared" si="1"/>
        <v>0.064498037</v>
      </c>
      <c r="I403" s="42">
        <v>-17.88632089</v>
      </c>
    </row>
    <row r="404">
      <c r="A404" s="1" t="s">
        <v>328</v>
      </c>
      <c r="B404" s="38">
        <v>663765.0</v>
      </c>
      <c r="C404" s="38">
        <v>691.0</v>
      </c>
      <c r="D404" s="40">
        <v>4.935203582</v>
      </c>
      <c r="E404" s="41">
        <v>0.405209841</v>
      </c>
      <c r="F404" s="41">
        <v>0.218523878</v>
      </c>
      <c r="G404" s="41">
        <v>0.376266281</v>
      </c>
      <c r="H404" s="79">
        <f t="shared" si="1"/>
        <v>0.02894356</v>
      </c>
      <c r="I404" s="42">
        <v>2.596313178</v>
      </c>
    </row>
    <row r="405">
      <c r="A405" s="1" t="s">
        <v>189</v>
      </c>
      <c r="B405" s="38">
        <v>607536.0</v>
      </c>
      <c r="C405" s="38">
        <v>2819.0</v>
      </c>
      <c r="D405" s="40">
        <v>4.934821059</v>
      </c>
      <c r="E405" s="41">
        <v>0.421426038</v>
      </c>
      <c r="F405" s="41">
        <v>0.21142249</v>
      </c>
      <c r="G405" s="41">
        <v>0.367151472</v>
      </c>
      <c r="H405" s="79">
        <f t="shared" si="1"/>
        <v>0.054274566</v>
      </c>
      <c r="I405" s="42">
        <v>-15.07585968</v>
      </c>
    </row>
    <row r="406">
      <c r="A406" s="1" t="s">
        <v>107</v>
      </c>
      <c r="B406" s="38">
        <v>657571.0</v>
      </c>
      <c r="C406" s="38">
        <v>569.0</v>
      </c>
      <c r="D406" s="40">
        <v>4.934721299</v>
      </c>
      <c r="E406" s="41">
        <v>0.467486819</v>
      </c>
      <c r="F406" s="41">
        <v>0.181019332</v>
      </c>
      <c r="G406" s="41">
        <v>0.351493849</v>
      </c>
      <c r="H406" s="79">
        <f t="shared" si="1"/>
        <v>0.11599297</v>
      </c>
      <c r="I406" s="42">
        <v>5.560381869</v>
      </c>
    </row>
    <row r="407">
      <c r="A407" s="1" t="s">
        <v>1316</v>
      </c>
      <c r="B407" s="38">
        <v>543606.0</v>
      </c>
      <c r="C407" s="38">
        <v>1785.0</v>
      </c>
      <c r="D407" s="40">
        <v>4.933020171</v>
      </c>
      <c r="E407" s="41">
        <v>0.416246499</v>
      </c>
      <c r="F407" s="41">
        <v>0.196638655</v>
      </c>
      <c r="G407" s="41">
        <v>0.387114846</v>
      </c>
      <c r="H407" s="79">
        <f t="shared" si="1"/>
        <v>0.029131653</v>
      </c>
      <c r="I407" s="42">
        <v>-3.990426718</v>
      </c>
    </row>
    <row r="408">
      <c r="A408" s="1" t="s">
        <v>1160</v>
      </c>
      <c r="B408" s="38">
        <v>666721.0</v>
      </c>
      <c r="C408" s="38">
        <v>691.0</v>
      </c>
      <c r="D408" s="40">
        <v>4.932868366</v>
      </c>
      <c r="E408" s="41">
        <v>0.406657019</v>
      </c>
      <c r="F408" s="41">
        <v>0.212735166</v>
      </c>
      <c r="G408" s="41">
        <v>0.380607815</v>
      </c>
      <c r="H408" s="79">
        <f t="shared" si="1"/>
        <v>0.026049204</v>
      </c>
      <c r="I408" s="42">
        <v>1.086889348</v>
      </c>
    </row>
    <row r="409">
      <c r="A409" s="1" t="s">
        <v>1317</v>
      </c>
      <c r="B409" s="38">
        <v>572070.0</v>
      </c>
      <c r="C409" s="38">
        <v>698.0</v>
      </c>
      <c r="D409" s="40">
        <v>4.932709802</v>
      </c>
      <c r="E409" s="41">
        <v>0.441260745</v>
      </c>
      <c r="F409" s="41">
        <v>0.180515759</v>
      </c>
      <c r="G409" s="41">
        <v>0.378223496</v>
      </c>
      <c r="H409" s="79">
        <f t="shared" si="1"/>
        <v>0.063037249</v>
      </c>
      <c r="I409" s="42">
        <v>-0.949552675</v>
      </c>
    </row>
    <row r="410">
      <c r="A410" s="1" t="s">
        <v>1208</v>
      </c>
      <c r="B410" s="38">
        <v>676265.0</v>
      </c>
      <c r="C410" s="38">
        <v>837.0</v>
      </c>
      <c r="D410" s="40">
        <v>4.932480041</v>
      </c>
      <c r="E410" s="41">
        <v>0.434886499</v>
      </c>
      <c r="F410" s="41">
        <v>0.19474313</v>
      </c>
      <c r="G410" s="41">
        <v>0.37037037</v>
      </c>
      <c r="H410" s="79">
        <f t="shared" si="1"/>
        <v>0.064516129</v>
      </c>
      <c r="I410" s="42">
        <v>-3.37404693</v>
      </c>
    </row>
    <row r="411" hidden="1">
      <c r="A411" s="1" t="s">
        <v>608</v>
      </c>
      <c r="B411" s="38">
        <v>547001.0</v>
      </c>
      <c r="C411" s="38">
        <v>446.0</v>
      </c>
      <c r="D411" s="40">
        <v>4.932115321</v>
      </c>
      <c r="E411" s="41">
        <v>0.428251121</v>
      </c>
      <c r="F411" s="41">
        <v>0.192825112</v>
      </c>
      <c r="G411" s="41">
        <v>0.378923767</v>
      </c>
      <c r="H411" s="79">
        <f t="shared" si="1"/>
        <v>0.049327354</v>
      </c>
      <c r="I411" s="42">
        <v>5.953957023</v>
      </c>
    </row>
    <row r="412">
      <c r="A412" s="1" t="s">
        <v>1110</v>
      </c>
      <c r="B412" s="38">
        <v>456501.0</v>
      </c>
      <c r="C412" s="38">
        <v>2354.0</v>
      </c>
      <c r="D412" s="40">
        <v>4.931873934</v>
      </c>
      <c r="E412" s="41">
        <v>0.407391674</v>
      </c>
      <c r="F412" s="41">
        <v>0.214103653</v>
      </c>
      <c r="G412" s="41">
        <v>0.378504673</v>
      </c>
      <c r="H412" s="79">
        <f t="shared" si="1"/>
        <v>0.028887001</v>
      </c>
      <c r="I412" s="42">
        <v>-12.52503761</v>
      </c>
    </row>
    <row r="413">
      <c r="A413" s="1" t="s">
        <v>226</v>
      </c>
      <c r="B413" s="38">
        <v>607259.0</v>
      </c>
      <c r="C413" s="38">
        <v>1710.0</v>
      </c>
      <c r="D413" s="40">
        <v>4.931392412</v>
      </c>
      <c r="E413" s="41">
        <v>0.418128655</v>
      </c>
      <c r="F413" s="41">
        <v>0.219883041</v>
      </c>
      <c r="G413" s="41">
        <v>0.361988304</v>
      </c>
      <c r="H413" s="79">
        <f t="shared" si="1"/>
        <v>0.056140351</v>
      </c>
      <c r="I413" s="42">
        <v>5.777123881</v>
      </c>
    </row>
    <row r="414">
      <c r="A414" s="1" t="s">
        <v>763</v>
      </c>
      <c r="B414" s="38">
        <v>608665.0</v>
      </c>
      <c r="C414" s="38">
        <v>1026.0</v>
      </c>
      <c r="D414" s="40">
        <v>4.929827059</v>
      </c>
      <c r="E414" s="41">
        <v>0.440545809</v>
      </c>
      <c r="F414" s="41">
        <v>0.18128655</v>
      </c>
      <c r="G414" s="41">
        <v>0.378167641</v>
      </c>
      <c r="H414" s="79">
        <f t="shared" si="1"/>
        <v>0.062378168</v>
      </c>
      <c r="I414" s="42">
        <v>-8.150770595</v>
      </c>
    </row>
    <row r="415">
      <c r="A415" s="1" t="s">
        <v>150</v>
      </c>
      <c r="B415" s="38">
        <v>657746.0</v>
      </c>
      <c r="C415" s="38">
        <v>2373.0</v>
      </c>
      <c r="D415" s="40">
        <v>4.929730303</v>
      </c>
      <c r="E415" s="41">
        <v>0.434049726</v>
      </c>
      <c r="F415" s="41">
        <v>0.201011378</v>
      </c>
      <c r="G415" s="41">
        <v>0.364938896</v>
      </c>
      <c r="H415" s="79">
        <f t="shared" si="1"/>
        <v>0.06911083</v>
      </c>
      <c r="I415" s="42">
        <v>4.488972281</v>
      </c>
    </row>
    <row r="416" hidden="1">
      <c r="A416" s="1" t="s">
        <v>1318</v>
      </c>
      <c r="B416" s="38">
        <v>672911.0</v>
      </c>
      <c r="C416" s="38">
        <v>162.0</v>
      </c>
      <c r="D416" s="40">
        <v>4.929102642</v>
      </c>
      <c r="E416" s="41">
        <v>0.419753086</v>
      </c>
      <c r="F416" s="41">
        <v>0.191358025</v>
      </c>
      <c r="G416" s="41">
        <v>0.388888889</v>
      </c>
      <c r="H416" s="79">
        <f t="shared" si="1"/>
        <v>0.030864197</v>
      </c>
      <c r="I416" s="42">
        <v>-0.1266863</v>
      </c>
    </row>
    <row r="417">
      <c r="A417" s="1" t="s">
        <v>1028</v>
      </c>
      <c r="B417" s="38">
        <v>663776.0</v>
      </c>
      <c r="C417" s="38">
        <v>2441.0</v>
      </c>
      <c r="D417" s="40">
        <v>4.92783092</v>
      </c>
      <c r="E417" s="41">
        <v>0.425645227</v>
      </c>
      <c r="F417" s="41">
        <v>0.207292093</v>
      </c>
      <c r="G417" s="41">
        <v>0.367062679</v>
      </c>
      <c r="H417" s="79">
        <f t="shared" si="1"/>
        <v>0.058582548</v>
      </c>
      <c r="I417" s="42">
        <v>1.612927818</v>
      </c>
    </row>
    <row r="418">
      <c r="A418" s="1" t="s">
        <v>430</v>
      </c>
      <c r="B418" s="38">
        <v>670990.0</v>
      </c>
      <c r="C418" s="38">
        <v>612.0</v>
      </c>
      <c r="D418" s="40">
        <v>4.926100673</v>
      </c>
      <c r="E418" s="41">
        <v>0.45751634</v>
      </c>
      <c r="F418" s="41">
        <v>0.176470588</v>
      </c>
      <c r="G418" s="41">
        <v>0.366013072</v>
      </c>
      <c r="H418" s="79">
        <f t="shared" si="1"/>
        <v>0.091503268</v>
      </c>
      <c r="I418" s="42">
        <v>0.138279812</v>
      </c>
    </row>
    <row r="419">
      <c r="A419" s="1" t="s">
        <v>594</v>
      </c>
      <c r="B419" s="38">
        <v>664141.0</v>
      </c>
      <c r="C419" s="38">
        <v>2354.0</v>
      </c>
      <c r="D419" s="40">
        <v>4.925798008</v>
      </c>
      <c r="E419" s="41">
        <v>0.42353441</v>
      </c>
      <c r="F419" s="41">
        <v>0.206457094</v>
      </c>
      <c r="G419" s="41">
        <v>0.370008496</v>
      </c>
      <c r="H419" s="79">
        <f t="shared" si="1"/>
        <v>0.053525914</v>
      </c>
      <c r="I419" s="42">
        <v>-13.63228182</v>
      </c>
    </row>
    <row r="420">
      <c r="A420" s="1" t="s">
        <v>1254</v>
      </c>
      <c r="B420" s="38">
        <v>518516.0</v>
      </c>
      <c r="C420" s="38">
        <v>2691.0</v>
      </c>
      <c r="D420" s="40">
        <v>4.925723655</v>
      </c>
      <c r="E420" s="41">
        <v>0.432924563</v>
      </c>
      <c r="F420" s="41">
        <v>0.190263842</v>
      </c>
      <c r="G420" s="41">
        <v>0.376811594</v>
      </c>
      <c r="H420" s="79">
        <f t="shared" si="1"/>
        <v>0.056112969</v>
      </c>
      <c r="I420" s="42">
        <v>-19.48960385</v>
      </c>
    </row>
    <row r="421" hidden="1">
      <c r="A421" s="1" t="s">
        <v>1319</v>
      </c>
      <c r="B421" s="38">
        <v>676720.0</v>
      </c>
      <c r="C421" s="38">
        <v>188.0</v>
      </c>
      <c r="D421" s="40">
        <v>4.925332856</v>
      </c>
      <c r="E421" s="41">
        <v>0.457446809</v>
      </c>
      <c r="F421" s="41">
        <v>0.14893617</v>
      </c>
      <c r="G421" s="41">
        <v>0.393617021</v>
      </c>
      <c r="H421" s="79">
        <f t="shared" si="1"/>
        <v>0.063829788</v>
      </c>
      <c r="I421" s="42">
        <v>-1.698961133</v>
      </c>
    </row>
    <row r="422">
      <c r="A422" s="1" t="s">
        <v>1230</v>
      </c>
      <c r="B422" s="38">
        <v>621249.0</v>
      </c>
      <c r="C422" s="38">
        <v>992.0</v>
      </c>
      <c r="D422" s="40">
        <v>4.924457015</v>
      </c>
      <c r="E422" s="41">
        <v>0.422379032</v>
      </c>
      <c r="F422" s="41">
        <v>0.210685484</v>
      </c>
      <c r="G422" s="41">
        <v>0.366935484</v>
      </c>
      <c r="H422" s="79">
        <f t="shared" si="1"/>
        <v>0.055443548</v>
      </c>
      <c r="I422" s="42">
        <v>8.219046539</v>
      </c>
    </row>
    <row r="423" hidden="1">
      <c r="A423" s="1" t="s">
        <v>1320</v>
      </c>
      <c r="B423" s="38">
        <v>596082.0</v>
      </c>
      <c r="C423" s="38">
        <v>307.0</v>
      </c>
      <c r="D423" s="40">
        <v>4.92427102</v>
      </c>
      <c r="E423" s="41">
        <v>0.456026059</v>
      </c>
      <c r="F423" s="41">
        <v>0.188925081</v>
      </c>
      <c r="G423" s="41">
        <v>0.35504886</v>
      </c>
      <c r="H423" s="79">
        <f t="shared" si="1"/>
        <v>0.100977199</v>
      </c>
      <c r="I423" s="42">
        <v>-0.186405585</v>
      </c>
    </row>
    <row r="424">
      <c r="A424" s="1" t="s">
        <v>1147</v>
      </c>
      <c r="B424" s="38">
        <v>641627.0</v>
      </c>
      <c r="C424" s="38">
        <v>748.0</v>
      </c>
      <c r="D424" s="40">
        <v>4.923284838</v>
      </c>
      <c r="E424" s="41">
        <v>0.449197861</v>
      </c>
      <c r="F424" s="41">
        <v>0.173796791</v>
      </c>
      <c r="G424" s="41">
        <v>0.377005348</v>
      </c>
      <c r="H424" s="79">
        <f t="shared" si="1"/>
        <v>0.072192513</v>
      </c>
      <c r="I424" s="42">
        <v>5.41189448</v>
      </c>
    </row>
    <row r="425">
      <c r="A425" s="1" t="s">
        <v>870</v>
      </c>
      <c r="B425" s="38">
        <v>656629.0</v>
      </c>
      <c r="C425" s="38">
        <v>1996.0</v>
      </c>
      <c r="D425" s="40">
        <v>4.92245848</v>
      </c>
      <c r="E425" s="41">
        <v>0.464428858</v>
      </c>
      <c r="F425" s="41">
        <v>0.170340681</v>
      </c>
      <c r="G425" s="41">
        <v>0.365230461</v>
      </c>
      <c r="H425" s="79">
        <f t="shared" si="1"/>
        <v>0.099198397</v>
      </c>
      <c r="I425" s="42">
        <v>3.833181213</v>
      </c>
    </row>
    <row r="426">
      <c r="A426" s="1" t="s">
        <v>731</v>
      </c>
      <c r="B426" s="38">
        <v>605507.0</v>
      </c>
      <c r="C426" s="38">
        <v>2056.0</v>
      </c>
      <c r="D426" s="40">
        <v>4.920110051</v>
      </c>
      <c r="E426" s="41">
        <v>0.417801556</v>
      </c>
      <c r="F426" s="41">
        <v>0.203307393</v>
      </c>
      <c r="G426" s="41">
        <v>0.378891051</v>
      </c>
      <c r="H426" s="79">
        <f t="shared" si="1"/>
        <v>0.038910505</v>
      </c>
      <c r="I426" s="42">
        <v>-5.574269517</v>
      </c>
    </row>
    <row r="427">
      <c r="A427" s="1" t="s">
        <v>1174</v>
      </c>
      <c r="B427" s="38">
        <v>669952.0</v>
      </c>
      <c r="C427" s="38">
        <v>1707.0</v>
      </c>
      <c r="D427" s="40">
        <v>4.91996768</v>
      </c>
      <c r="E427" s="41">
        <v>0.430579965</v>
      </c>
      <c r="F427" s="41">
        <v>0.188635032</v>
      </c>
      <c r="G427" s="41">
        <v>0.380785003</v>
      </c>
      <c r="H427" s="79">
        <f t="shared" si="1"/>
        <v>0.049794962</v>
      </c>
      <c r="I427" s="42">
        <v>-13.37558586</v>
      </c>
    </row>
    <row r="428">
      <c r="A428" s="1" t="s">
        <v>232</v>
      </c>
      <c r="B428" s="38">
        <v>579328.0</v>
      </c>
      <c r="C428" s="38">
        <v>1826.0</v>
      </c>
      <c r="D428" s="40">
        <v>4.919163941</v>
      </c>
      <c r="E428" s="41">
        <v>0.434282585</v>
      </c>
      <c r="F428" s="41">
        <v>0.17524644</v>
      </c>
      <c r="G428" s="41">
        <v>0.390470975</v>
      </c>
      <c r="H428" s="79">
        <f t="shared" si="1"/>
        <v>0.04381161</v>
      </c>
      <c r="I428" s="42">
        <v>-4.404801775</v>
      </c>
    </row>
    <row r="429" hidden="1">
      <c r="A429" s="1" t="s">
        <v>89</v>
      </c>
      <c r="B429" s="38">
        <v>669622.0</v>
      </c>
      <c r="C429" s="38">
        <v>273.0</v>
      </c>
      <c r="D429" s="40">
        <v>4.918761322</v>
      </c>
      <c r="E429" s="41">
        <v>0.43956044</v>
      </c>
      <c r="F429" s="41">
        <v>0.216117216</v>
      </c>
      <c r="G429" s="41">
        <v>0.344322344</v>
      </c>
      <c r="H429" s="79">
        <f t="shared" si="1"/>
        <v>0.095238096</v>
      </c>
      <c r="I429" s="42">
        <v>-0.114454493</v>
      </c>
    </row>
    <row r="430" hidden="1">
      <c r="A430" s="1" t="s">
        <v>1321</v>
      </c>
      <c r="B430" s="38">
        <v>664944.0</v>
      </c>
      <c r="C430" s="38">
        <v>206.0</v>
      </c>
      <c r="D430" s="40">
        <v>4.916843873</v>
      </c>
      <c r="E430" s="41">
        <v>0.412621359</v>
      </c>
      <c r="F430" s="41">
        <v>0.169902913</v>
      </c>
      <c r="G430" s="41">
        <v>0.417475728</v>
      </c>
      <c r="H430" s="79">
        <f t="shared" si="1"/>
        <v>-0.004854369</v>
      </c>
      <c r="I430" s="42">
        <v>-1.878607745</v>
      </c>
    </row>
    <row r="431" hidden="1">
      <c r="A431" s="1" t="s">
        <v>1322</v>
      </c>
      <c r="B431" s="38">
        <v>663378.0</v>
      </c>
      <c r="C431" s="38">
        <v>287.0</v>
      </c>
      <c r="D431" s="40">
        <v>4.915884638</v>
      </c>
      <c r="E431" s="41">
        <v>0.459930314</v>
      </c>
      <c r="F431" s="41">
        <v>0.174216028</v>
      </c>
      <c r="G431" s="41">
        <v>0.365853659</v>
      </c>
      <c r="H431" s="79">
        <f t="shared" si="1"/>
        <v>0.094076655</v>
      </c>
      <c r="I431" s="42">
        <v>-3.952562618</v>
      </c>
    </row>
    <row r="432" hidden="1">
      <c r="A432" s="1" t="s">
        <v>1079</v>
      </c>
      <c r="B432" s="38">
        <v>665001.0</v>
      </c>
      <c r="C432" s="38">
        <v>456.0</v>
      </c>
      <c r="D432" s="40">
        <v>4.915323971</v>
      </c>
      <c r="E432" s="41">
        <v>0.436403509</v>
      </c>
      <c r="F432" s="41">
        <v>0.190789474</v>
      </c>
      <c r="G432" s="41">
        <v>0.372807018</v>
      </c>
      <c r="H432" s="79">
        <f t="shared" si="1"/>
        <v>0.063596491</v>
      </c>
      <c r="I432" s="42">
        <v>-4.633023978</v>
      </c>
    </row>
    <row r="433">
      <c r="A433" s="1" t="s">
        <v>1046</v>
      </c>
      <c r="B433" s="38">
        <v>519293.0</v>
      </c>
      <c r="C433" s="38">
        <v>976.0</v>
      </c>
      <c r="D433" s="40">
        <v>4.915093958</v>
      </c>
      <c r="E433" s="41">
        <v>0.411885246</v>
      </c>
      <c r="F433" s="41">
        <v>0.229508197</v>
      </c>
      <c r="G433" s="41">
        <v>0.358606557</v>
      </c>
      <c r="H433" s="79">
        <f t="shared" si="1"/>
        <v>0.053278689</v>
      </c>
      <c r="I433" s="42">
        <v>-6.671381027</v>
      </c>
    </row>
    <row r="434" hidden="1">
      <c r="A434" s="1" t="s">
        <v>1323</v>
      </c>
      <c r="B434" s="38">
        <v>658431.0</v>
      </c>
      <c r="C434" s="38">
        <v>390.0</v>
      </c>
      <c r="D434" s="40">
        <v>4.914505794</v>
      </c>
      <c r="E434" s="41">
        <v>0.405128205</v>
      </c>
      <c r="F434" s="41">
        <v>0.220512821</v>
      </c>
      <c r="G434" s="41">
        <v>0.374358974</v>
      </c>
      <c r="H434" s="79">
        <f t="shared" si="1"/>
        <v>0.030769231</v>
      </c>
      <c r="I434" s="42">
        <v>-4.829622283</v>
      </c>
    </row>
    <row r="435">
      <c r="A435" s="1" t="s">
        <v>354</v>
      </c>
      <c r="B435" s="38">
        <v>669022.0</v>
      </c>
      <c r="C435" s="38">
        <v>1244.0</v>
      </c>
      <c r="D435" s="40">
        <v>4.914123775</v>
      </c>
      <c r="E435" s="41">
        <v>0.455787781</v>
      </c>
      <c r="F435" s="41">
        <v>0.165594855</v>
      </c>
      <c r="G435" s="41">
        <v>0.378617363</v>
      </c>
      <c r="H435" s="79">
        <f t="shared" si="1"/>
        <v>0.077170418</v>
      </c>
      <c r="I435" s="42">
        <v>-7.522768705</v>
      </c>
    </row>
    <row r="436">
      <c r="A436" s="1" t="s">
        <v>1135</v>
      </c>
      <c r="B436" s="38">
        <v>628708.0</v>
      </c>
      <c r="C436" s="38">
        <v>847.0</v>
      </c>
      <c r="D436" s="40">
        <v>4.913640831</v>
      </c>
      <c r="E436" s="41">
        <v>0.465171192</v>
      </c>
      <c r="F436" s="41">
        <v>0.190082645</v>
      </c>
      <c r="G436" s="41">
        <v>0.344746163</v>
      </c>
      <c r="H436" s="79">
        <f t="shared" si="1"/>
        <v>0.120425029</v>
      </c>
      <c r="I436" s="42">
        <v>1.825761467</v>
      </c>
    </row>
    <row r="437">
      <c r="A437" s="1" t="s">
        <v>481</v>
      </c>
      <c r="B437" s="38">
        <v>622608.0</v>
      </c>
      <c r="C437" s="38">
        <v>1507.0</v>
      </c>
      <c r="D437" s="40">
        <v>4.913410325</v>
      </c>
      <c r="E437" s="41">
        <v>0.398142004</v>
      </c>
      <c r="F437" s="41">
        <v>0.230922362</v>
      </c>
      <c r="G437" s="41">
        <v>0.370935634</v>
      </c>
      <c r="H437" s="79">
        <f t="shared" si="1"/>
        <v>0.02720637</v>
      </c>
      <c r="I437" s="42">
        <v>-37.08955827</v>
      </c>
    </row>
    <row r="438">
      <c r="A438" s="1" t="s">
        <v>1324</v>
      </c>
      <c r="B438" s="38">
        <v>592761.0</v>
      </c>
      <c r="C438" s="38">
        <v>1221.0</v>
      </c>
      <c r="D438" s="40">
        <v>4.912788237</v>
      </c>
      <c r="E438" s="41">
        <v>0.454545455</v>
      </c>
      <c r="F438" s="41">
        <v>0.171990172</v>
      </c>
      <c r="G438" s="41">
        <v>0.373464373</v>
      </c>
      <c r="H438" s="79">
        <f t="shared" si="1"/>
        <v>0.081081082</v>
      </c>
      <c r="I438" s="42">
        <v>6.509512956</v>
      </c>
    </row>
    <row r="439">
      <c r="A439" s="1" t="s">
        <v>1325</v>
      </c>
      <c r="B439" s="1">
        <v>596071.0</v>
      </c>
      <c r="C439" s="81">
        <v>630.0</v>
      </c>
      <c r="D439" s="40">
        <v>4.912346886</v>
      </c>
      <c r="E439" s="41">
        <v>0.420634921</v>
      </c>
      <c r="F439" s="41">
        <v>0.207936508</v>
      </c>
      <c r="G439" s="41">
        <v>0.371428571</v>
      </c>
      <c r="H439" s="79">
        <f t="shared" si="1"/>
        <v>0.04920635</v>
      </c>
      <c r="I439" s="42">
        <v>1.095403808</v>
      </c>
    </row>
    <row r="440">
      <c r="A440" s="1" t="s">
        <v>312</v>
      </c>
      <c r="B440" s="1">
        <v>650893.0</v>
      </c>
      <c r="C440" s="81">
        <v>731.0</v>
      </c>
      <c r="D440" s="40">
        <v>4.911681992</v>
      </c>
      <c r="E440" s="41">
        <v>0.432284542</v>
      </c>
      <c r="F440" s="41">
        <v>0.233926129</v>
      </c>
      <c r="G440" s="41">
        <v>0.33378933</v>
      </c>
      <c r="H440" s="79">
        <f t="shared" si="1"/>
        <v>0.098495212</v>
      </c>
      <c r="I440" s="42">
        <v>-2.579026634</v>
      </c>
    </row>
    <row r="441">
      <c r="A441" s="1" t="s">
        <v>359</v>
      </c>
      <c r="B441" s="1">
        <v>672391.0</v>
      </c>
      <c r="C441" s="81">
        <v>526.0</v>
      </c>
      <c r="D441" s="40">
        <v>4.910499937</v>
      </c>
      <c r="E441" s="41">
        <v>0.442965779</v>
      </c>
      <c r="F441" s="41">
        <v>0.171102662</v>
      </c>
      <c r="G441" s="41">
        <v>0.385931559</v>
      </c>
      <c r="H441" s="79">
        <f t="shared" si="1"/>
        <v>0.05703422</v>
      </c>
      <c r="I441" s="42">
        <v>-12.78665101</v>
      </c>
    </row>
    <row r="442" hidden="1">
      <c r="A442" s="1" t="s">
        <v>1181</v>
      </c>
      <c r="B442" s="1">
        <v>663752.0</v>
      </c>
      <c r="C442" s="81">
        <v>404.0</v>
      </c>
      <c r="D442" s="40">
        <v>4.905828156</v>
      </c>
      <c r="E442" s="41">
        <v>0.435643564</v>
      </c>
      <c r="F442" s="41">
        <v>0.185643564</v>
      </c>
      <c r="G442" s="41">
        <v>0.378712871</v>
      </c>
      <c r="H442" s="79">
        <f t="shared" si="1"/>
        <v>0.056930693</v>
      </c>
      <c r="I442" s="42">
        <v>-0.048653613</v>
      </c>
    </row>
    <row r="443">
      <c r="A443" s="1" t="s">
        <v>1169</v>
      </c>
      <c r="B443" s="1">
        <v>624522.0</v>
      </c>
      <c r="C443" s="81">
        <v>1795.0</v>
      </c>
      <c r="D443" s="40">
        <v>4.905031802</v>
      </c>
      <c r="E443" s="41">
        <v>0.426183844</v>
      </c>
      <c r="F443" s="41">
        <v>0.193871866</v>
      </c>
      <c r="G443" s="41">
        <v>0.37994429</v>
      </c>
      <c r="H443" s="79">
        <f t="shared" si="1"/>
        <v>0.046239554</v>
      </c>
      <c r="I443" s="42">
        <v>-5.726602256</v>
      </c>
    </row>
    <row r="444">
      <c r="A444" s="1" t="s">
        <v>1188</v>
      </c>
      <c r="B444" s="1">
        <v>606149.0</v>
      </c>
      <c r="C444" s="81">
        <v>981.0</v>
      </c>
      <c r="D444" s="40">
        <v>4.904783546</v>
      </c>
      <c r="E444" s="41">
        <v>0.410805301</v>
      </c>
      <c r="F444" s="41">
        <v>0.212028542</v>
      </c>
      <c r="G444" s="41">
        <v>0.377166157</v>
      </c>
      <c r="H444" s="79">
        <f t="shared" si="1"/>
        <v>0.033639144</v>
      </c>
      <c r="I444" s="42">
        <v>8.294670769</v>
      </c>
    </row>
    <row r="445">
      <c r="A445" s="1" t="s">
        <v>1202</v>
      </c>
      <c r="B445" s="1">
        <v>642758.0</v>
      </c>
      <c r="C445" s="81">
        <v>1000.0</v>
      </c>
      <c r="D445" s="40">
        <v>4.9030385</v>
      </c>
      <c r="E445" s="41">
        <v>0.402</v>
      </c>
      <c r="F445" s="41">
        <v>0.214</v>
      </c>
      <c r="G445" s="41">
        <v>0.384</v>
      </c>
      <c r="H445" s="79">
        <f t="shared" si="1"/>
        <v>0.018</v>
      </c>
      <c r="I445" s="42">
        <v>9.597716693</v>
      </c>
    </row>
    <row r="446" hidden="1">
      <c r="A446" s="1" t="s">
        <v>1326</v>
      </c>
      <c r="B446" s="1">
        <v>676641.0</v>
      </c>
      <c r="C446" s="81">
        <v>358.0</v>
      </c>
      <c r="D446" s="40">
        <v>4.901920534</v>
      </c>
      <c r="E446" s="41">
        <v>0.44972067</v>
      </c>
      <c r="F446" s="41">
        <v>0.167597765</v>
      </c>
      <c r="G446" s="41">
        <v>0.382681564</v>
      </c>
      <c r="H446" s="79">
        <f t="shared" si="1"/>
        <v>0.067039106</v>
      </c>
      <c r="I446" s="42">
        <v>-3.806243736</v>
      </c>
    </row>
    <row r="447">
      <c r="A447" s="1" t="s">
        <v>294</v>
      </c>
      <c r="B447" s="1">
        <v>665152.0</v>
      </c>
      <c r="C447" s="81">
        <v>1931.0</v>
      </c>
      <c r="D447" s="40">
        <v>4.90107342</v>
      </c>
      <c r="E447" s="41">
        <v>0.40600725</v>
      </c>
      <c r="F447" s="41">
        <v>0.226307613</v>
      </c>
      <c r="G447" s="41">
        <v>0.367685137</v>
      </c>
      <c r="H447" s="79">
        <f t="shared" si="1"/>
        <v>0.038322113</v>
      </c>
      <c r="I447" s="42">
        <v>-12.29036867</v>
      </c>
    </row>
    <row r="448">
      <c r="A448" s="1" t="s">
        <v>442</v>
      </c>
      <c r="B448" s="1">
        <v>669674.0</v>
      </c>
      <c r="C448" s="81">
        <v>731.0</v>
      </c>
      <c r="D448" s="40">
        <v>4.898689001</v>
      </c>
      <c r="E448" s="41">
        <v>0.43502052</v>
      </c>
      <c r="F448" s="41">
        <v>0.155950752</v>
      </c>
      <c r="G448" s="41">
        <v>0.409028728</v>
      </c>
      <c r="H448" s="79">
        <f t="shared" si="1"/>
        <v>0.025991792</v>
      </c>
      <c r="I448" s="42">
        <v>-2.90912313</v>
      </c>
    </row>
    <row r="449">
      <c r="A449" s="1" t="s">
        <v>1195</v>
      </c>
      <c r="B449" s="1">
        <v>669424.0</v>
      </c>
      <c r="C449" s="81">
        <v>780.0</v>
      </c>
      <c r="D449" s="40">
        <v>4.898598642</v>
      </c>
      <c r="E449" s="41">
        <v>0.435897436</v>
      </c>
      <c r="F449" s="41">
        <v>0.179487179</v>
      </c>
      <c r="G449" s="41">
        <v>0.384615385</v>
      </c>
      <c r="H449" s="79">
        <f t="shared" si="1"/>
        <v>0.051282051</v>
      </c>
      <c r="I449" s="42">
        <v>0.62221135</v>
      </c>
    </row>
    <row r="450">
      <c r="A450" s="1" t="s">
        <v>504</v>
      </c>
      <c r="B450" s="1">
        <v>663372.0</v>
      </c>
      <c r="C450" s="81">
        <v>1662.0</v>
      </c>
      <c r="D450" s="40">
        <v>4.897113385</v>
      </c>
      <c r="E450" s="41">
        <v>0.420577617</v>
      </c>
      <c r="F450" s="41">
        <v>0.207581227</v>
      </c>
      <c r="G450" s="41">
        <v>0.371841155</v>
      </c>
      <c r="H450" s="79">
        <f t="shared" si="1"/>
        <v>0.048736462</v>
      </c>
      <c r="I450" s="42">
        <v>-8.987841524</v>
      </c>
    </row>
    <row r="451">
      <c r="A451" s="1" t="s">
        <v>931</v>
      </c>
      <c r="B451" s="1">
        <v>656638.0</v>
      </c>
      <c r="C451" s="81">
        <v>1027.0</v>
      </c>
      <c r="D451" s="40">
        <v>4.897069926</v>
      </c>
      <c r="E451" s="41">
        <v>0.427458617</v>
      </c>
      <c r="F451" s="41">
        <v>0.17429406</v>
      </c>
      <c r="G451" s="41">
        <v>0.398247322</v>
      </c>
      <c r="H451" s="79">
        <f t="shared" si="1"/>
        <v>0.029211295</v>
      </c>
      <c r="I451" s="42">
        <v>3.10104741</v>
      </c>
    </row>
    <row r="452" hidden="1">
      <c r="A452" s="1" t="s">
        <v>288</v>
      </c>
      <c r="B452" s="1">
        <v>641755.0</v>
      </c>
      <c r="C452" s="81">
        <v>373.0</v>
      </c>
      <c r="D452" s="40">
        <v>4.896740383</v>
      </c>
      <c r="E452" s="41">
        <v>0.391420912</v>
      </c>
      <c r="F452" s="41">
        <v>0.211796247</v>
      </c>
      <c r="G452" s="41">
        <v>0.396782842</v>
      </c>
      <c r="H452" s="79">
        <f t="shared" si="1"/>
        <v>-0.00536193</v>
      </c>
      <c r="I452" s="42">
        <v>3.84781268</v>
      </c>
    </row>
    <row r="453">
      <c r="A453" s="1" t="s">
        <v>1193</v>
      </c>
      <c r="B453" s="1">
        <v>621368.0</v>
      </c>
      <c r="C453" s="81">
        <v>1776.0</v>
      </c>
      <c r="D453" s="40">
        <v>4.896244873</v>
      </c>
      <c r="E453" s="41">
        <v>0.42286036</v>
      </c>
      <c r="F453" s="41">
        <v>0.197072072</v>
      </c>
      <c r="G453" s="41">
        <v>0.380067568</v>
      </c>
      <c r="H453" s="79">
        <f t="shared" si="1"/>
        <v>0.042792792</v>
      </c>
      <c r="I453" s="42">
        <v>-7.391660808</v>
      </c>
    </row>
    <row r="454">
      <c r="A454" s="1" t="s">
        <v>1205</v>
      </c>
      <c r="B454" s="1">
        <v>605200.0</v>
      </c>
      <c r="C454" s="81">
        <v>2269.0</v>
      </c>
      <c r="D454" s="40">
        <v>4.895425498</v>
      </c>
      <c r="E454" s="41">
        <v>0.397531952</v>
      </c>
      <c r="F454" s="41">
        <v>0.199206699</v>
      </c>
      <c r="G454" s="41">
        <v>0.403261349</v>
      </c>
      <c r="H454" s="79">
        <f t="shared" si="1"/>
        <v>-0.005729397</v>
      </c>
      <c r="I454" s="42">
        <v>12.8824233</v>
      </c>
    </row>
    <row r="455">
      <c r="A455" s="1" t="s">
        <v>624</v>
      </c>
      <c r="B455" s="1">
        <v>672710.0</v>
      </c>
      <c r="C455" s="81">
        <v>1576.0</v>
      </c>
      <c r="D455" s="40">
        <v>4.894443681</v>
      </c>
      <c r="E455" s="41">
        <v>0.431472081</v>
      </c>
      <c r="F455" s="41">
        <v>0.182106599</v>
      </c>
      <c r="G455" s="41">
        <v>0.38642132</v>
      </c>
      <c r="H455" s="79">
        <f t="shared" si="1"/>
        <v>0.045050761</v>
      </c>
      <c r="I455" s="42">
        <v>-9.363878259</v>
      </c>
    </row>
    <row r="456" hidden="1">
      <c r="A456" s="1" t="s">
        <v>1248</v>
      </c>
      <c r="B456" s="1">
        <v>642770.0</v>
      </c>
      <c r="C456" s="81">
        <v>326.0</v>
      </c>
      <c r="D456" s="40">
        <v>4.894051248</v>
      </c>
      <c r="E456" s="41">
        <v>0.429447853</v>
      </c>
      <c r="F456" s="41">
        <v>0.174846626</v>
      </c>
      <c r="G456" s="41">
        <v>0.395705521</v>
      </c>
      <c r="H456" s="79">
        <f t="shared" si="1"/>
        <v>0.033742332</v>
      </c>
      <c r="I456" s="42">
        <v>-0.31844857</v>
      </c>
    </row>
    <row r="457">
      <c r="A457" s="1" t="s">
        <v>1121</v>
      </c>
      <c r="B457" s="1">
        <v>523260.0</v>
      </c>
      <c r="C457" s="81">
        <v>688.0</v>
      </c>
      <c r="D457" s="40">
        <v>4.893812461</v>
      </c>
      <c r="E457" s="41">
        <v>0.440406977</v>
      </c>
      <c r="F457" s="41">
        <v>0.186046512</v>
      </c>
      <c r="G457" s="41">
        <v>0.373546512</v>
      </c>
      <c r="H457" s="79">
        <f t="shared" si="1"/>
        <v>0.066860465</v>
      </c>
      <c r="I457" s="42">
        <v>-3.972340855</v>
      </c>
    </row>
    <row r="458">
      <c r="A458" s="1" t="s">
        <v>1069</v>
      </c>
      <c r="B458" s="1">
        <v>675921.0</v>
      </c>
      <c r="C458" s="81">
        <v>681.0</v>
      </c>
      <c r="D458" s="40">
        <v>4.891622811</v>
      </c>
      <c r="E458" s="41">
        <v>0.427312775</v>
      </c>
      <c r="F458" s="41">
        <v>0.187958884</v>
      </c>
      <c r="G458" s="41">
        <v>0.384728341</v>
      </c>
      <c r="H458" s="79">
        <f t="shared" si="1"/>
        <v>0.042584434</v>
      </c>
      <c r="I458" s="42">
        <v>-9.418789362</v>
      </c>
    </row>
    <row r="459" hidden="1">
      <c r="A459" s="1" t="s">
        <v>1327</v>
      </c>
      <c r="B459" s="1">
        <v>670090.0</v>
      </c>
      <c r="C459" s="81">
        <v>496.0</v>
      </c>
      <c r="D459" s="40">
        <v>4.891224831</v>
      </c>
      <c r="E459" s="41">
        <v>0.455645161</v>
      </c>
      <c r="F459" s="41">
        <v>0.191532258</v>
      </c>
      <c r="G459" s="41">
        <v>0.352822581</v>
      </c>
      <c r="H459" s="79">
        <f t="shared" si="1"/>
        <v>0.10282258</v>
      </c>
      <c r="I459" s="42">
        <v>0.195346727</v>
      </c>
    </row>
    <row r="460">
      <c r="A460" s="1" t="s">
        <v>1178</v>
      </c>
      <c r="B460" s="1">
        <v>453178.0</v>
      </c>
      <c r="C460" s="81">
        <v>863.0</v>
      </c>
      <c r="D460" s="40">
        <v>4.889505118</v>
      </c>
      <c r="E460" s="41">
        <v>0.417149479</v>
      </c>
      <c r="F460" s="41">
        <v>0.199304751</v>
      </c>
      <c r="G460" s="41">
        <v>0.383545771</v>
      </c>
      <c r="H460" s="79">
        <f t="shared" si="1"/>
        <v>0.033603708</v>
      </c>
      <c r="I460" s="42">
        <v>-18.62428071</v>
      </c>
    </row>
    <row r="461">
      <c r="A461" s="1" t="s">
        <v>368</v>
      </c>
      <c r="B461" s="1">
        <v>593958.0</v>
      </c>
      <c r="C461" s="81">
        <v>1457.0</v>
      </c>
      <c r="D461" s="40">
        <v>4.889388357</v>
      </c>
      <c r="E461" s="41">
        <v>0.405628003</v>
      </c>
      <c r="F461" s="41">
        <v>0.23266987</v>
      </c>
      <c r="G461" s="41">
        <v>0.361702128</v>
      </c>
      <c r="H461" s="79">
        <f t="shared" si="1"/>
        <v>0.043925875</v>
      </c>
      <c r="I461" s="42">
        <v>4.779362525</v>
      </c>
    </row>
    <row r="462">
      <c r="A462" s="1" t="s">
        <v>803</v>
      </c>
      <c r="B462" s="1">
        <v>605218.0</v>
      </c>
      <c r="C462" s="81">
        <v>1001.0</v>
      </c>
      <c r="D462" s="40">
        <v>4.888650113</v>
      </c>
      <c r="E462" s="41">
        <v>0.426573427</v>
      </c>
      <c r="F462" s="41">
        <v>0.188811189</v>
      </c>
      <c r="G462" s="41">
        <v>0.384615385</v>
      </c>
      <c r="H462" s="79">
        <f t="shared" si="1"/>
        <v>0.041958042</v>
      </c>
      <c r="I462" s="42">
        <v>2.986652856</v>
      </c>
    </row>
    <row r="463" hidden="1">
      <c r="A463" s="1" t="s">
        <v>1328</v>
      </c>
      <c r="B463" s="1">
        <v>661255.0</v>
      </c>
      <c r="C463" s="81">
        <v>195.0</v>
      </c>
      <c r="D463" s="40">
        <v>4.887788944</v>
      </c>
      <c r="E463" s="41">
        <v>0.430769231</v>
      </c>
      <c r="F463" s="41">
        <v>0.18974359</v>
      </c>
      <c r="G463" s="41">
        <v>0.379487179</v>
      </c>
      <c r="H463" s="79">
        <f t="shared" si="1"/>
        <v>0.051282052</v>
      </c>
      <c r="I463" s="42">
        <v>-3.049629645</v>
      </c>
    </row>
    <row r="464">
      <c r="A464" s="1" t="s">
        <v>959</v>
      </c>
      <c r="B464" s="1">
        <v>541640.0</v>
      </c>
      <c r="C464" s="81">
        <v>1211.0</v>
      </c>
      <c r="D464" s="40">
        <v>4.887043686</v>
      </c>
      <c r="E464" s="41">
        <v>0.405450041</v>
      </c>
      <c r="F464" s="41">
        <v>0.208092486</v>
      </c>
      <c r="G464" s="41">
        <v>0.386457473</v>
      </c>
      <c r="H464" s="79">
        <f t="shared" si="1"/>
        <v>0.018992568</v>
      </c>
      <c r="I464" s="42">
        <v>-2.069944066</v>
      </c>
    </row>
    <row r="465">
      <c r="A465" s="1" t="s">
        <v>154</v>
      </c>
      <c r="B465" s="1">
        <v>445276.0</v>
      </c>
      <c r="C465" s="81">
        <v>998.0</v>
      </c>
      <c r="D465" s="40">
        <v>4.886644424</v>
      </c>
      <c r="E465" s="41">
        <v>0.413827655</v>
      </c>
      <c r="F465" s="41">
        <v>0.205410822</v>
      </c>
      <c r="G465" s="41">
        <v>0.380761523</v>
      </c>
      <c r="H465" s="79">
        <f t="shared" si="1"/>
        <v>0.033066132</v>
      </c>
      <c r="I465" s="42">
        <v>14.55938549</v>
      </c>
    </row>
    <row r="466">
      <c r="A466" s="1" t="s">
        <v>1253</v>
      </c>
      <c r="B466" s="1">
        <v>596057.0</v>
      </c>
      <c r="C466" s="81">
        <v>1000.0</v>
      </c>
      <c r="D466" s="40">
        <v>4.886336286</v>
      </c>
      <c r="E466" s="41">
        <v>0.445</v>
      </c>
      <c r="F466" s="41">
        <v>0.184</v>
      </c>
      <c r="G466" s="41">
        <v>0.371</v>
      </c>
      <c r="H466" s="79">
        <f t="shared" si="1"/>
        <v>0.074</v>
      </c>
      <c r="I466" s="42">
        <v>5.758963906</v>
      </c>
    </row>
    <row r="467" hidden="1">
      <c r="A467" s="1" t="s">
        <v>484</v>
      </c>
      <c r="B467" s="1">
        <v>682847.0</v>
      </c>
      <c r="C467" s="81">
        <v>272.0</v>
      </c>
      <c r="D467" s="40">
        <v>4.886287316</v>
      </c>
      <c r="E467" s="41">
        <v>0.4375</v>
      </c>
      <c r="F467" s="41">
        <v>0.202205882</v>
      </c>
      <c r="G467" s="41">
        <v>0.360294118</v>
      </c>
      <c r="H467" s="79">
        <f t="shared" si="1"/>
        <v>0.077205882</v>
      </c>
      <c r="I467" s="42">
        <v>5.768261228</v>
      </c>
    </row>
    <row r="468">
      <c r="A468" s="1" t="s">
        <v>1329</v>
      </c>
      <c r="B468" s="1">
        <v>661269.0</v>
      </c>
      <c r="C468" s="81">
        <v>674.0</v>
      </c>
      <c r="D468" s="40">
        <v>4.885473766</v>
      </c>
      <c r="E468" s="41">
        <v>0.430267062</v>
      </c>
      <c r="F468" s="41">
        <v>0.192878338</v>
      </c>
      <c r="G468" s="41">
        <v>0.376854599</v>
      </c>
      <c r="H468" s="79">
        <f t="shared" si="1"/>
        <v>0.053412463</v>
      </c>
      <c r="I468" s="42">
        <v>-12.61687304</v>
      </c>
    </row>
    <row r="469" hidden="1">
      <c r="A469" s="1" t="s">
        <v>1330</v>
      </c>
      <c r="B469" s="1">
        <v>592346.0</v>
      </c>
      <c r="C469" s="81">
        <v>372.0</v>
      </c>
      <c r="D469" s="40">
        <v>4.884462661</v>
      </c>
      <c r="E469" s="41">
        <v>0.376344086</v>
      </c>
      <c r="F469" s="41">
        <v>0.220430108</v>
      </c>
      <c r="G469" s="41">
        <v>0.403225806</v>
      </c>
      <c r="H469" s="79">
        <f t="shared" si="1"/>
        <v>-0.02688172</v>
      </c>
      <c r="I469" s="42">
        <v>-3.22585191</v>
      </c>
    </row>
    <row r="470" hidden="1">
      <c r="A470" s="1" t="s">
        <v>846</v>
      </c>
      <c r="B470" s="1">
        <v>663804.0</v>
      </c>
      <c r="C470" s="81">
        <v>306.0</v>
      </c>
      <c r="D470" s="40">
        <v>4.882879748</v>
      </c>
      <c r="E470" s="41">
        <v>0.41503268</v>
      </c>
      <c r="F470" s="41">
        <v>0.179738562</v>
      </c>
      <c r="G470" s="41">
        <v>0.405228758</v>
      </c>
      <c r="H470" s="79">
        <f t="shared" si="1"/>
        <v>0.009803922</v>
      </c>
      <c r="I470" s="42">
        <v>-9.593973271</v>
      </c>
    </row>
    <row r="471">
      <c r="A471" s="1" t="s">
        <v>387</v>
      </c>
      <c r="B471" s="1">
        <v>669060.0</v>
      </c>
      <c r="C471" s="81">
        <v>1804.0</v>
      </c>
      <c r="D471" s="40">
        <v>4.882527207</v>
      </c>
      <c r="E471" s="41">
        <v>0.402439024</v>
      </c>
      <c r="F471" s="41">
        <v>0.216740576</v>
      </c>
      <c r="G471" s="41">
        <v>0.380820399</v>
      </c>
      <c r="H471" s="79">
        <f t="shared" si="1"/>
        <v>0.021618625</v>
      </c>
      <c r="I471" s="42">
        <v>-19.26845779</v>
      </c>
    </row>
    <row r="472">
      <c r="A472" s="1" t="s">
        <v>953</v>
      </c>
      <c r="B472" s="1">
        <v>502085.0</v>
      </c>
      <c r="C472" s="81">
        <v>1055.0</v>
      </c>
      <c r="D472" s="40">
        <v>4.881808708</v>
      </c>
      <c r="E472" s="41">
        <v>0.432227488</v>
      </c>
      <c r="F472" s="41">
        <v>0.198104265</v>
      </c>
      <c r="G472" s="41">
        <v>0.369668246</v>
      </c>
      <c r="H472" s="79">
        <f t="shared" si="1"/>
        <v>0.062559242</v>
      </c>
      <c r="I472" s="42">
        <v>10.2720687</v>
      </c>
    </row>
    <row r="473" hidden="1">
      <c r="A473" s="1" t="s">
        <v>1331</v>
      </c>
      <c r="B473" s="1">
        <v>642028.0</v>
      </c>
      <c r="C473" s="81">
        <v>415.0</v>
      </c>
      <c r="D473" s="40">
        <v>4.881722795</v>
      </c>
      <c r="E473" s="41">
        <v>0.412048193</v>
      </c>
      <c r="F473" s="41">
        <v>0.190361446</v>
      </c>
      <c r="G473" s="41">
        <v>0.397590361</v>
      </c>
      <c r="H473" s="79">
        <f t="shared" si="1"/>
        <v>0.014457832</v>
      </c>
      <c r="I473" s="42">
        <v>-1.105222714</v>
      </c>
    </row>
    <row r="474">
      <c r="A474" s="1" t="s">
        <v>631</v>
      </c>
      <c r="B474" s="1">
        <v>669212.0</v>
      </c>
      <c r="C474" s="81">
        <v>994.0</v>
      </c>
      <c r="D474" s="40">
        <v>4.880752975</v>
      </c>
      <c r="E474" s="41">
        <v>0.405432596</v>
      </c>
      <c r="F474" s="41">
        <v>0.225352113</v>
      </c>
      <c r="G474" s="41">
        <v>0.369215292</v>
      </c>
      <c r="H474" s="79">
        <f t="shared" si="1"/>
        <v>0.036217304</v>
      </c>
      <c r="I474" s="42">
        <v>12.19538134</v>
      </c>
    </row>
    <row r="475">
      <c r="A475" s="1" t="s">
        <v>316</v>
      </c>
      <c r="B475" s="1">
        <v>656427.0</v>
      </c>
      <c r="C475" s="81">
        <v>652.0</v>
      </c>
      <c r="D475" s="40">
        <v>4.878662492</v>
      </c>
      <c r="E475" s="41">
        <v>0.444785276</v>
      </c>
      <c r="F475" s="41">
        <v>0.18404908</v>
      </c>
      <c r="G475" s="41">
        <v>0.371165644</v>
      </c>
      <c r="H475" s="79">
        <f t="shared" si="1"/>
        <v>0.073619632</v>
      </c>
      <c r="I475" s="42">
        <v>-3.281396778</v>
      </c>
    </row>
    <row r="476">
      <c r="A476" s="1" t="s">
        <v>217</v>
      </c>
      <c r="B476" s="1">
        <v>642701.0</v>
      </c>
      <c r="C476" s="81">
        <v>981.0</v>
      </c>
      <c r="D476" s="40">
        <v>4.878642882</v>
      </c>
      <c r="E476" s="41">
        <v>0.437308869</v>
      </c>
      <c r="F476" s="41">
        <v>0.180428135</v>
      </c>
      <c r="G476" s="41">
        <v>0.382262997</v>
      </c>
      <c r="H476" s="79">
        <f t="shared" si="1"/>
        <v>0.055045872</v>
      </c>
      <c r="I476" s="42">
        <v>3.345427217</v>
      </c>
    </row>
    <row r="477">
      <c r="A477" s="1" t="s">
        <v>292</v>
      </c>
      <c r="B477" s="1">
        <v>592773.0</v>
      </c>
      <c r="C477" s="81">
        <v>869.0</v>
      </c>
      <c r="D477" s="40">
        <v>4.87646028</v>
      </c>
      <c r="E477" s="41">
        <v>0.453394707</v>
      </c>
      <c r="F477" s="41">
        <v>0.155350978</v>
      </c>
      <c r="G477" s="41">
        <v>0.391254315</v>
      </c>
      <c r="H477" s="79">
        <f t="shared" si="1"/>
        <v>0.062140392</v>
      </c>
      <c r="I477" s="42">
        <v>2.441205118</v>
      </c>
    </row>
    <row r="478">
      <c r="A478" s="1" t="s">
        <v>1053</v>
      </c>
      <c r="B478" s="1">
        <v>608344.0</v>
      </c>
      <c r="C478" s="81">
        <v>2590.0</v>
      </c>
      <c r="D478" s="40">
        <v>4.875891039</v>
      </c>
      <c r="E478" s="41">
        <v>0.401158301</v>
      </c>
      <c r="F478" s="41">
        <v>0.214285714</v>
      </c>
      <c r="G478" s="41">
        <v>0.384555985</v>
      </c>
      <c r="H478" s="79">
        <f t="shared" si="1"/>
        <v>0.016602316</v>
      </c>
      <c r="I478" s="42">
        <v>-0.798070106</v>
      </c>
    </row>
    <row r="479">
      <c r="A479" s="1" t="s">
        <v>1257</v>
      </c>
      <c r="B479" s="1">
        <v>453268.0</v>
      </c>
      <c r="C479" s="81">
        <v>945.0</v>
      </c>
      <c r="D479" s="40">
        <v>4.875323768</v>
      </c>
      <c r="E479" s="41">
        <v>0.457142857</v>
      </c>
      <c r="F479" s="41">
        <v>0.176719577</v>
      </c>
      <c r="G479" s="41">
        <v>0.366137566</v>
      </c>
      <c r="H479" s="79">
        <f t="shared" si="1"/>
        <v>0.091005291</v>
      </c>
      <c r="I479" s="42">
        <v>20.42419162</v>
      </c>
    </row>
    <row r="480" hidden="1">
      <c r="A480" s="1" t="s">
        <v>1182</v>
      </c>
      <c r="B480" s="1">
        <v>656578.0</v>
      </c>
      <c r="C480" s="81">
        <v>155.0</v>
      </c>
      <c r="D480" s="40">
        <v>4.874173239</v>
      </c>
      <c r="E480" s="41">
        <v>0.406451613</v>
      </c>
      <c r="F480" s="41">
        <v>0.232258065</v>
      </c>
      <c r="G480" s="41">
        <v>0.361290323</v>
      </c>
      <c r="H480" s="79">
        <f t="shared" si="1"/>
        <v>0.04516129</v>
      </c>
      <c r="I480" s="42">
        <v>1.023996525</v>
      </c>
    </row>
    <row r="481">
      <c r="A481" s="1" t="s">
        <v>828</v>
      </c>
      <c r="B481" s="1">
        <v>600917.0</v>
      </c>
      <c r="C481" s="81">
        <v>777.0</v>
      </c>
      <c r="D481" s="40">
        <v>4.873598337</v>
      </c>
      <c r="E481" s="41">
        <v>0.416988417</v>
      </c>
      <c r="F481" s="41">
        <v>0.189189189</v>
      </c>
      <c r="G481" s="41">
        <v>0.393822394</v>
      </c>
      <c r="H481" s="79">
        <f t="shared" si="1"/>
        <v>0.023166023</v>
      </c>
      <c r="I481" s="42">
        <v>-1.341107677</v>
      </c>
    </row>
    <row r="482" hidden="1">
      <c r="A482" s="1" t="s">
        <v>1241</v>
      </c>
      <c r="B482" s="1">
        <v>656818.0</v>
      </c>
      <c r="C482" s="81">
        <v>467.0</v>
      </c>
      <c r="D482" s="40">
        <v>4.872731931</v>
      </c>
      <c r="E482" s="41">
        <v>0.44111349</v>
      </c>
      <c r="F482" s="41">
        <v>0.177730193</v>
      </c>
      <c r="G482" s="41">
        <v>0.381156317</v>
      </c>
      <c r="H482" s="79">
        <f t="shared" si="1"/>
        <v>0.059957173</v>
      </c>
      <c r="I482" s="42">
        <v>8.083401103</v>
      </c>
    </row>
    <row r="483">
      <c r="A483" s="1" t="s">
        <v>355</v>
      </c>
      <c r="B483" s="1">
        <v>670912.0</v>
      </c>
      <c r="C483" s="81">
        <v>970.0</v>
      </c>
      <c r="D483" s="40">
        <v>4.872562563</v>
      </c>
      <c r="E483" s="41">
        <v>0.417525773</v>
      </c>
      <c r="F483" s="41">
        <v>0.195876289</v>
      </c>
      <c r="G483" s="41">
        <v>0.386597938</v>
      </c>
      <c r="H483" s="79">
        <f t="shared" si="1"/>
        <v>0.030927835</v>
      </c>
      <c r="I483" s="42">
        <v>8.628277372</v>
      </c>
    </row>
    <row r="484">
      <c r="A484" s="1" t="s">
        <v>335</v>
      </c>
      <c r="B484" s="1">
        <v>663436.0</v>
      </c>
      <c r="C484" s="81">
        <v>1031.0</v>
      </c>
      <c r="D484" s="40">
        <v>4.87223961</v>
      </c>
      <c r="E484" s="41">
        <v>0.408341416</v>
      </c>
      <c r="F484" s="41">
        <v>0.217264791</v>
      </c>
      <c r="G484" s="41">
        <v>0.374393792</v>
      </c>
      <c r="H484" s="79">
        <f t="shared" si="1"/>
        <v>0.033947624</v>
      </c>
      <c r="I484" s="42">
        <v>-0.935492859</v>
      </c>
    </row>
    <row r="485">
      <c r="A485" s="1" t="s">
        <v>1149</v>
      </c>
      <c r="B485" s="1">
        <v>668868.0</v>
      </c>
      <c r="C485" s="81">
        <v>574.0</v>
      </c>
      <c r="D485" s="40">
        <v>4.871627197</v>
      </c>
      <c r="E485" s="41">
        <v>0.404181185</v>
      </c>
      <c r="F485" s="41">
        <v>0.200348432</v>
      </c>
      <c r="G485" s="41">
        <v>0.395470383</v>
      </c>
      <c r="H485" s="79">
        <f t="shared" si="1"/>
        <v>0.008710802</v>
      </c>
      <c r="I485" s="42">
        <v>12.19297959</v>
      </c>
    </row>
    <row r="486">
      <c r="A486" s="1" t="s">
        <v>1332</v>
      </c>
      <c r="B486" s="1">
        <v>502042.0</v>
      </c>
      <c r="C486" s="81">
        <v>1776.0</v>
      </c>
      <c r="D486" s="40">
        <v>4.870741375</v>
      </c>
      <c r="E486" s="41">
        <v>0.426801802</v>
      </c>
      <c r="F486" s="41">
        <v>0.179054054</v>
      </c>
      <c r="G486" s="41">
        <v>0.394144144</v>
      </c>
      <c r="H486" s="79">
        <f t="shared" si="1"/>
        <v>0.032657658</v>
      </c>
      <c r="I486" s="42">
        <v>3.87484585</v>
      </c>
    </row>
    <row r="487" hidden="1">
      <c r="A487" s="1" t="s">
        <v>813</v>
      </c>
      <c r="B487" s="1">
        <v>686753.0</v>
      </c>
      <c r="C487" s="81">
        <v>365.0</v>
      </c>
      <c r="D487" s="40">
        <v>4.868553342</v>
      </c>
      <c r="E487" s="41">
        <v>0.408219178</v>
      </c>
      <c r="F487" s="41">
        <v>0.243835616</v>
      </c>
      <c r="G487" s="41">
        <v>0.347945205</v>
      </c>
      <c r="H487" s="79">
        <f t="shared" si="1"/>
        <v>0.060273973</v>
      </c>
      <c r="I487" s="42">
        <v>4.684080037</v>
      </c>
    </row>
    <row r="488">
      <c r="A488" s="1" t="s">
        <v>1134</v>
      </c>
      <c r="B488" s="1">
        <v>642545.0</v>
      </c>
      <c r="C488" s="81">
        <v>1114.0</v>
      </c>
      <c r="D488" s="40">
        <v>4.867652588</v>
      </c>
      <c r="E488" s="41">
        <v>0.39497307</v>
      </c>
      <c r="F488" s="41">
        <v>0.222621185</v>
      </c>
      <c r="G488" s="41">
        <v>0.382405745</v>
      </c>
      <c r="H488" s="79">
        <f t="shared" si="1"/>
        <v>0.012567325</v>
      </c>
      <c r="I488" s="42">
        <v>8.128930041</v>
      </c>
    </row>
    <row r="489">
      <c r="A489" s="1" t="s">
        <v>163</v>
      </c>
      <c r="B489" s="1">
        <v>663460.0</v>
      </c>
      <c r="C489" s="81">
        <v>2248.0</v>
      </c>
      <c r="D489" s="40">
        <v>4.867311558</v>
      </c>
      <c r="E489" s="41">
        <v>0.418594306</v>
      </c>
      <c r="F489" s="41">
        <v>0.189501779</v>
      </c>
      <c r="G489" s="41">
        <v>0.391903915</v>
      </c>
      <c r="H489" s="79">
        <f t="shared" si="1"/>
        <v>0.026690391</v>
      </c>
      <c r="I489" s="42">
        <v>-28.28350497</v>
      </c>
    </row>
    <row r="490">
      <c r="A490" s="1" t="s">
        <v>1333</v>
      </c>
      <c r="B490" s="1">
        <v>592716.0</v>
      </c>
      <c r="C490" s="81">
        <v>1600.0</v>
      </c>
      <c r="D490" s="40">
        <v>4.867299382</v>
      </c>
      <c r="E490" s="41">
        <v>0.394375</v>
      </c>
      <c r="F490" s="41">
        <v>0.2125</v>
      </c>
      <c r="G490" s="41">
        <v>0.393125</v>
      </c>
      <c r="H490" s="79">
        <f t="shared" si="1"/>
        <v>0.00125</v>
      </c>
      <c r="I490" s="42">
        <v>1.37099432</v>
      </c>
    </row>
    <row r="491">
      <c r="A491" s="1" t="s">
        <v>775</v>
      </c>
      <c r="B491" s="1">
        <v>666120.0</v>
      </c>
      <c r="C491" s="81">
        <v>1988.0</v>
      </c>
      <c r="D491" s="40">
        <v>4.866670387</v>
      </c>
      <c r="E491" s="41">
        <v>0.406438632</v>
      </c>
      <c r="F491" s="41">
        <v>0.190643863</v>
      </c>
      <c r="G491" s="41">
        <v>0.402917505</v>
      </c>
      <c r="H491" s="79">
        <f t="shared" si="1"/>
        <v>0.003521127</v>
      </c>
      <c r="I491" s="42">
        <v>-11.43386412</v>
      </c>
    </row>
    <row r="492" hidden="1">
      <c r="A492" s="1" t="s">
        <v>1334</v>
      </c>
      <c r="B492" s="1">
        <v>669804.0</v>
      </c>
      <c r="C492" s="81">
        <v>192.0</v>
      </c>
      <c r="D492" s="40">
        <v>4.866521208</v>
      </c>
      <c r="E492" s="41">
        <v>0.442708333</v>
      </c>
      <c r="F492" s="41">
        <v>0.1875</v>
      </c>
      <c r="G492" s="41">
        <v>0.369791667</v>
      </c>
      <c r="H492" s="79">
        <f t="shared" si="1"/>
        <v>0.072916666</v>
      </c>
      <c r="I492" s="42">
        <v>2.201345645</v>
      </c>
    </row>
    <row r="493" hidden="1">
      <c r="A493" s="1" t="s">
        <v>1166</v>
      </c>
      <c r="B493" s="1">
        <v>660787.0</v>
      </c>
      <c r="C493" s="81">
        <v>444.0</v>
      </c>
      <c r="D493" s="40">
        <v>4.86485263</v>
      </c>
      <c r="E493" s="41">
        <v>0.441441441</v>
      </c>
      <c r="F493" s="41">
        <v>0.189189189</v>
      </c>
      <c r="G493" s="41">
        <v>0.369369369</v>
      </c>
      <c r="H493" s="79">
        <f t="shared" si="1"/>
        <v>0.072072072</v>
      </c>
      <c r="I493" s="42">
        <v>2.879215348</v>
      </c>
    </row>
    <row r="494">
      <c r="A494" s="1" t="s">
        <v>1089</v>
      </c>
      <c r="B494" s="1">
        <v>600921.0</v>
      </c>
      <c r="C494" s="81">
        <v>990.0</v>
      </c>
      <c r="D494" s="40">
        <v>4.86435744</v>
      </c>
      <c r="E494" s="41">
        <v>0.413131313</v>
      </c>
      <c r="F494" s="41">
        <v>0.218181818</v>
      </c>
      <c r="G494" s="41">
        <v>0.368686869</v>
      </c>
      <c r="H494" s="79">
        <f t="shared" si="1"/>
        <v>0.044444444</v>
      </c>
      <c r="I494" s="42">
        <v>4.920446268</v>
      </c>
    </row>
    <row r="495">
      <c r="A495" s="1" t="s">
        <v>1176</v>
      </c>
      <c r="B495" s="1">
        <v>572193.0</v>
      </c>
      <c r="C495" s="81">
        <v>884.0</v>
      </c>
      <c r="D495" s="40">
        <v>4.862398126</v>
      </c>
      <c r="E495" s="41">
        <v>0.414027149</v>
      </c>
      <c r="F495" s="41">
        <v>0.194570136</v>
      </c>
      <c r="G495" s="41">
        <v>0.391402715</v>
      </c>
      <c r="H495" s="79">
        <f t="shared" si="1"/>
        <v>0.022624434</v>
      </c>
      <c r="I495" s="42">
        <v>2.67077185</v>
      </c>
    </row>
    <row r="496">
      <c r="A496" s="1" t="s">
        <v>462</v>
      </c>
      <c r="B496" s="1">
        <v>623167.0</v>
      </c>
      <c r="C496" s="81">
        <v>2184.0</v>
      </c>
      <c r="D496" s="40">
        <v>4.86237878</v>
      </c>
      <c r="E496" s="41">
        <v>0.391483516</v>
      </c>
      <c r="F496" s="41">
        <v>0.200549451</v>
      </c>
      <c r="G496" s="41">
        <v>0.407967033</v>
      </c>
      <c r="H496" s="79">
        <f t="shared" si="1"/>
        <v>-0.016483517</v>
      </c>
      <c r="I496" s="42">
        <v>-14.02558338</v>
      </c>
    </row>
    <row r="497">
      <c r="A497" s="1" t="s">
        <v>280</v>
      </c>
      <c r="B497" s="1">
        <v>608032.0</v>
      </c>
      <c r="C497" s="81">
        <v>1014.0</v>
      </c>
      <c r="D497" s="40">
        <v>4.861084389</v>
      </c>
      <c r="E497" s="41">
        <v>0.426035503</v>
      </c>
      <c r="F497" s="41">
        <v>0.186390533</v>
      </c>
      <c r="G497" s="41">
        <v>0.387573964</v>
      </c>
      <c r="H497" s="79">
        <f t="shared" si="1"/>
        <v>0.038461539</v>
      </c>
      <c r="I497" s="42">
        <v>8.942899339</v>
      </c>
    </row>
    <row r="498">
      <c r="A498" s="1" t="s">
        <v>1170</v>
      </c>
      <c r="B498" s="1">
        <v>502202.0</v>
      </c>
      <c r="C498" s="81">
        <v>1056.0</v>
      </c>
      <c r="D498" s="40">
        <v>4.861062828</v>
      </c>
      <c r="E498" s="41">
        <v>0.408143939</v>
      </c>
      <c r="F498" s="41">
        <v>0.201704545</v>
      </c>
      <c r="G498" s="41">
        <v>0.390151515</v>
      </c>
      <c r="H498" s="79">
        <f t="shared" si="1"/>
        <v>0.017992424</v>
      </c>
      <c r="I498" s="42">
        <v>10.4504722</v>
      </c>
    </row>
    <row r="499" hidden="1">
      <c r="A499" s="1" t="s">
        <v>1335</v>
      </c>
      <c r="B499" s="1">
        <v>664092.0</v>
      </c>
      <c r="C499" s="81">
        <v>436.0</v>
      </c>
      <c r="D499" s="40">
        <v>4.860316011</v>
      </c>
      <c r="E499" s="41">
        <v>0.428899083</v>
      </c>
      <c r="F499" s="41">
        <v>0.167431193</v>
      </c>
      <c r="G499" s="41">
        <v>0.403669725</v>
      </c>
      <c r="H499" s="79">
        <f t="shared" si="1"/>
        <v>0.025229358</v>
      </c>
      <c r="I499" s="42">
        <v>2.150456902</v>
      </c>
    </row>
    <row r="500" hidden="1">
      <c r="A500" s="1" t="s">
        <v>1336</v>
      </c>
      <c r="B500" s="1">
        <v>643615.0</v>
      </c>
      <c r="C500" s="81">
        <v>247.0</v>
      </c>
      <c r="D500" s="40">
        <v>4.86015347</v>
      </c>
      <c r="E500" s="41">
        <v>0.465587045</v>
      </c>
      <c r="F500" s="41">
        <v>0.178137652</v>
      </c>
      <c r="G500" s="41">
        <v>0.356275304</v>
      </c>
      <c r="H500" s="79">
        <f t="shared" si="1"/>
        <v>0.109311741</v>
      </c>
      <c r="I500" s="42">
        <v>-11.03797928</v>
      </c>
    </row>
    <row r="501">
      <c r="A501" s="1" t="s">
        <v>130</v>
      </c>
      <c r="B501" s="1">
        <v>666200.0</v>
      </c>
      <c r="C501" s="81">
        <v>1625.0</v>
      </c>
      <c r="D501" s="40">
        <v>4.859124639</v>
      </c>
      <c r="E501" s="41">
        <v>0.404923077</v>
      </c>
      <c r="F501" s="41">
        <v>0.2</v>
      </c>
      <c r="G501" s="41">
        <v>0.395076923</v>
      </c>
      <c r="H501" s="79">
        <f t="shared" si="1"/>
        <v>0.009846154</v>
      </c>
      <c r="I501" s="42">
        <v>16.45810693</v>
      </c>
    </row>
    <row r="502">
      <c r="A502" s="1" t="s">
        <v>399</v>
      </c>
      <c r="B502" s="1">
        <v>543294.0</v>
      </c>
      <c r="C502" s="81">
        <v>1336.0</v>
      </c>
      <c r="D502" s="40">
        <v>4.858531939</v>
      </c>
      <c r="E502" s="41">
        <v>0.372754491</v>
      </c>
      <c r="F502" s="41">
        <v>0.232784431</v>
      </c>
      <c r="G502" s="41">
        <v>0.394461078</v>
      </c>
      <c r="H502" s="79">
        <f t="shared" si="1"/>
        <v>-0.021706587</v>
      </c>
      <c r="I502" s="42">
        <v>4.574525677</v>
      </c>
    </row>
    <row r="503" hidden="1">
      <c r="A503" s="1" t="s">
        <v>372</v>
      </c>
      <c r="B503" s="1">
        <v>663531.0</v>
      </c>
      <c r="C503" s="81">
        <v>161.0</v>
      </c>
      <c r="D503" s="40">
        <v>4.857920925</v>
      </c>
      <c r="E503" s="41">
        <v>0.409937888</v>
      </c>
      <c r="F503" s="41">
        <v>0.186335404</v>
      </c>
      <c r="G503" s="41">
        <v>0.403726708</v>
      </c>
      <c r="H503" s="79">
        <f t="shared" si="1"/>
        <v>0.00621118</v>
      </c>
      <c r="I503" s="42">
        <v>-4.176948971</v>
      </c>
    </row>
    <row r="504">
      <c r="A504" s="1" t="s">
        <v>297</v>
      </c>
      <c r="B504" s="1">
        <v>641745.0</v>
      </c>
      <c r="C504" s="81">
        <v>2251.0</v>
      </c>
      <c r="D504" s="40">
        <v>4.857353708</v>
      </c>
      <c r="E504" s="41">
        <v>0.393158596</v>
      </c>
      <c r="F504" s="41">
        <v>0.211461573</v>
      </c>
      <c r="G504" s="41">
        <v>0.395379831</v>
      </c>
      <c r="H504" s="79">
        <f t="shared" si="1"/>
        <v>-0.002221235</v>
      </c>
      <c r="I504" s="42">
        <v>-13.10547063</v>
      </c>
    </row>
    <row r="505" hidden="1">
      <c r="A505" s="1" t="s">
        <v>1337</v>
      </c>
      <c r="B505" s="1">
        <v>594311.0</v>
      </c>
      <c r="C505" s="81">
        <v>466.0</v>
      </c>
      <c r="D505" s="40">
        <v>4.857121745</v>
      </c>
      <c r="E505" s="41">
        <v>0.420600858</v>
      </c>
      <c r="F505" s="41">
        <v>0.199570815</v>
      </c>
      <c r="G505" s="41">
        <v>0.379828326</v>
      </c>
      <c r="H505" s="79">
        <f t="shared" si="1"/>
        <v>0.040772532</v>
      </c>
      <c r="I505" s="42">
        <v>6.511309907</v>
      </c>
    </row>
    <row r="506">
      <c r="A506" s="1" t="s">
        <v>513</v>
      </c>
      <c r="B506" s="1">
        <v>608566.0</v>
      </c>
      <c r="C506" s="81">
        <v>2812.0</v>
      </c>
      <c r="D506" s="40">
        <v>4.856627068</v>
      </c>
      <c r="E506" s="41">
        <v>0.395092461</v>
      </c>
      <c r="F506" s="41">
        <v>0.209103841</v>
      </c>
      <c r="G506" s="41">
        <v>0.395803698</v>
      </c>
      <c r="H506" s="79">
        <f t="shared" si="1"/>
        <v>-0.000711237</v>
      </c>
      <c r="I506" s="42">
        <v>-6.942404311</v>
      </c>
    </row>
    <row r="507" hidden="1">
      <c r="A507" s="1" t="s">
        <v>1235</v>
      </c>
      <c r="B507" s="1">
        <v>656232.0</v>
      </c>
      <c r="C507" s="81">
        <v>226.0</v>
      </c>
      <c r="D507" s="40">
        <v>4.85623108</v>
      </c>
      <c r="E507" s="41">
        <v>0.402654867</v>
      </c>
      <c r="F507" s="41">
        <v>0.181415929</v>
      </c>
      <c r="G507" s="41">
        <v>0.415929204</v>
      </c>
      <c r="H507" s="79">
        <f t="shared" si="1"/>
        <v>-0.013274337</v>
      </c>
      <c r="I507" s="42">
        <v>5.060592614</v>
      </c>
    </row>
    <row r="508">
      <c r="A508" s="1" t="s">
        <v>500</v>
      </c>
      <c r="B508" s="1">
        <v>665871.0</v>
      </c>
      <c r="C508" s="81">
        <v>686.0</v>
      </c>
      <c r="D508" s="40">
        <v>4.855719009</v>
      </c>
      <c r="E508" s="41">
        <v>0.422740525</v>
      </c>
      <c r="F508" s="41">
        <v>0.192419825</v>
      </c>
      <c r="G508" s="41">
        <v>0.38483965</v>
      </c>
      <c r="H508" s="79">
        <f t="shared" si="1"/>
        <v>0.037900875</v>
      </c>
      <c r="I508" s="42">
        <v>4.290637288</v>
      </c>
    </row>
    <row r="509">
      <c r="A509" s="1" t="s">
        <v>1238</v>
      </c>
      <c r="B509" s="1">
        <v>650895.0</v>
      </c>
      <c r="C509" s="81">
        <v>835.0</v>
      </c>
      <c r="D509" s="40">
        <v>4.855183023</v>
      </c>
      <c r="E509" s="41">
        <v>0.403592814</v>
      </c>
      <c r="F509" s="41">
        <v>0.195209581</v>
      </c>
      <c r="G509" s="41">
        <v>0.401197605</v>
      </c>
      <c r="H509" s="79">
        <f t="shared" si="1"/>
        <v>0.002395209</v>
      </c>
      <c r="I509" s="42">
        <v>14.55819599</v>
      </c>
    </row>
    <row r="510">
      <c r="A510" s="1" t="s">
        <v>560</v>
      </c>
      <c r="B510" s="1">
        <v>660730.0</v>
      </c>
      <c r="C510" s="81">
        <v>534.0</v>
      </c>
      <c r="D510" s="40">
        <v>4.854188109</v>
      </c>
      <c r="E510" s="41">
        <v>0.406367041</v>
      </c>
      <c r="F510" s="41">
        <v>0.213483146</v>
      </c>
      <c r="G510" s="41">
        <v>0.380149813</v>
      </c>
      <c r="H510" s="79">
        <f t="shared" si="1"/>
        <v>0.026217228</v>
      </c>
      <c r="I510" s="42">
        <v>-16.12644193</v>
      </c>
    </row>
    <row r="511">
      <c r="A511" s="1" t="s">
        <v>1232</v>
      </c>
      <c r="B511" s="1">
        <v>666201.0</v>
      </c>
      <c r="C511" s="81">
        <v>2921.0</v>
      </c>
      <c r="D511" s="40">
        <v>4.852650143</v>
      </c>
      <c r="E511" s="41">
        <v>0.400890106</v>
      </c>
      <c r="F511" s="41">
        <v>0.21841835</v>
      </c>
      <c r="G511" s="41">
        <v>0.380691544</v>
      </c>
      <c r="H511" s="79">
        <f t="shared" si="1"/>
        <v>0.020198562</v>
      </c>
      <c r="I511" s="42">
        <v>24.49635312</v>
      </c>
    </row>
    <row r="512" hidden="1">
      <c r="A512" s="1" t="s">
        <v>989</v>
      </c>
      <c r="B512" s="1">
        <v>666168.0</v>
      </c>
      <c r="C512" s="81">
        <v>365.0</v>
      </c>
      <c r="D512" s="40">
        <v>4.85262706</v>
      </c>
      <c r="E512" s="41">
        <v>0.449315068</v>
      </c>
      <c r="F512" s="41">
        <v>0.194520548</v>
      </c>
      <c r="G512" s="41">
        <v>0.356164384</v>
      </c>
      <c r="H512" s="79">
        <f t="shared" si="1"/>
        <v>0.093150684</v>
      </c>
      <c r="I512" s="42">
        <v>4.563660821</v>
      </c>
    </row>
    <row r="513">
      <c r="A513" s="1" t="s">
        <v>384</v>
      </c>
      <c r="B513" s="1">
        <v>666214.0</v>
      </c>
      <c r="C513" s="81">
        <v>549.0</v>
      </c>
      <c r="D513" s="40">
        <v>4.852401297</v>
      </c>
      <c r="E513" s="41">
        <v>0.404371585</v>
      </c>
      <c r="F513" s="41">
        <v>0.189435337</v>
      </c>
      <c r="G513" s="41">
        <v>0.406193078</v>
      </c>
      <c r="H513" s="79">
        <f t="shared" si="1"/>
        <v>-0.001821493</v>
      </c>
      <c r="I513" s="42">
        <v>7.336502702</v>
      </c>
    </row>
    <row r="514" hidden="1">
      <c r="A514" s="1" t="s">
        <v>668</v>
      </c>
      <c r="B514" s="1">
        <v>519008.0</v>
      </c>
      <c r="C514" s="81">
        <v>485.0</v>
      </c>
      <c r="D514" s="40">
        <v>4.851888229</v>
      </c>
      <c r="E514" s="41">
        <v>0.395876289</v>
      </c>
      <c r="F514" s="41">
        <v>0.224742268</v>
      </c>
      <c r="G514" s="41">
        <v>0.379381443</v>
      </c>
      <c r="H514" s="79">
        <f t="shared" si="1"/>
        <v>0.016494846</v>
      </c>
      <c r="I514" s="42">
        <v>-6.466974326</v>
      </c>
    </row>
    <row r="515" hidden="1">
      <c r="A515" s="1" t="s">
        <v>1338</v>
      </c>
      <c r="B515" s="1">
        <v>657770.0</v>
      </c>
      <c r="C515" s="81">
        <v>444.0</v>
      </c>
      <c r="D515" s="40">
        <v>4.850758511</v>
      </c>
      <c r="E515" s="41">
        <v>0.418918919</v>
      </c>
      <c r="F515" s="41">
        <v>0.191441441</v>
      </c>
      <c r="G515" s="41">
        <v>0.38963964</v>
      </c>
      <c r="H515" s="79">
        <f t="shared" si="1"/>
        <v>0.029279279</v>
      </c>
      <c r="I515" s="42">
        <v>-5.716988734</v>
      </c>
    </row>
    <row r="516">
      <c r="A516" s="1" t="s">
        <v>1339</v>
      </c>
      <c r="B516" s="1">
        <v>608349.0</v>
      </c>
      <c r="C516" s="81">
        <v>789.0</v>
      </c>
      <c r="D516" s="40">
        <v>4.848224324</v>
      </c>
      <c r="E516" s="41">
        <v>0.452471483</v>
      </c>
      <c r="F516" s="41">
        <v>0.145754119</v>
      </c>
      <c r="G516" s="41">
        <v>0.401774398</v>
      </c>
      <c r="H516" s="79">
        <f t="shared" si="1"/>
        <v>0.050697085</v>
      </c>
      <c r="I516" s="42">
        <v>2.252991727</v>
      </c>
    </row>
    <row r="517">
      <c r="A517" s="1" t="s">
        <v>683</v>
      </c>
      <c r="B517" s="1">
        <v>676092.0</v>
      </c>
      <c r="C517" s="81">
        <v>579.0</v>
      </c>
      <c r="D517" s="40">
        <v>4.847628786</v>
      </c>
      <c r="E517" s="41">
        <v>0.385146805</v>
      </c>
      <c r="F517" s="41">
        <v>0.21761658</v>
      </c>
      <c r="G517" s="41">
        <v>0.397236615</v>
      </c>
      <c r="H517" s="79">
        <f t="shared" si="1"/>
        <v>-0.01208981</v>
      </c>
      <c r="I517" s="42">
        <v>-7.168592245</v>
      </c>
    </row>
    <row r="518">
      <c r="A518" s="1" t="s">
        <v>606</v>
      </c>
      <c r="B518" s="1">
        <v>448179.0</v>
      </c>
      <c r="C518" s="81">
        <v>1974.0</v>
      </c>
      <c r="D518" s="40">
        <v>4.845039822</v>
      </c>
      <c r="E518" s="41">
        <v>0.425531915</v>
      </c>
      <c r="F518" s="41">
        <v>0.186423506</v>
      </c>
      <c r="G518" s="41">
        <v>0.38804458</v>
      </c>
      <c r="H518" s="79">
        <f t="shared" si="1"/>
        <v>0.037487335</v>
      </c>
      <c r="I518" s="42">
        <v>-17.34291277</v>
      </c>
    </row>
    <row r="519">
      <c r="A519" s="1" t="s">
        <v>1340</v>
      </c>
      <c r="B519" s="1">
        <v>571800.0</v>
      </c>
      <c r="C519" s="81">
        <v>1745.0</v>
      </c>
      <c r="D519" s="40">
        <v>4.843625175</v>
      </c>
      <c r="E519" s="41">
        <v>0.404011461</v>
      </c>
      <c r="F519" s="41">
        <v>0.205157593</v>
      </c>
      <c r="G519" s="41">
        <v>0.390830946</v>
      </c>
      <c r="H519" s="79">
        <f t="shared" si="1"/>
        <v>0.013180515</v>
      </c>
      <c r="I519" s="42">
        <v>-15.27307894</v>
      </c>
    </row>
    <row r="520">
      <c r="A520" s="1" t="s">
        <v>1048</v>
      </c>
      <c r="B520" s="1">
        <v>571656.0</v>
      </c>
      <c r="C520" s="81">
        <v>827.0</v>
      </c>
      <c r="D520" s="40">
        <v>4.843616937</v>
      </c>
      <c r="E520" s="41">
        <v>0.425634825</v>
      </c>
      <c r="F520" s="41">
        <v>0.174123337</v>
      </c>
      <c r="G520" s="41">
        <v>0.400241838</v>
      </c>
      <c r="H520" s="79">
        <f t="shared" si="1"/>
        <v>0.025392987</v>
      </c>
      <c r="I520" s="42">
        <v>7.74921165</v>
      </c>
    </row>
    <row r="521">
      <c r="A521" s="1" t="s">
        <v>464</v>
      </c>
      <c r="B521" s="1">
        <v>615698.0</v>
      </c>
      <c r="C521" s="81">
        <v>2793.0</v>
      </c>
      <c r="D521" s="40">
        <v>4.842408348</v>
      </c>
      <c r="E521" s="41">
        <v>0.399570354</v>
      </c>
      <c r="F521" s="41">
        <v>0.220909416</v>
      </c>
      <c r="G521" s="41">
        <v>0.379520229</v>
      </c>
      <c r="H521" s="79">
        <f t="shared" si="1"/>
        <v>0.020050125</v>
      </c>
      <c r="I521" s="42">
        <v>3.588183968</v>
      </c>
    </row>
    <row r="522" hidden="1">
      <c r="A522" s="1" t="s">
        <v>1341</v>
      </c>
      <c r="B522" s="1">
        <v>605151.0</v>
      </c>
      <c r="C522" s="81">
        <v>303.0</v>
      </c>
      <c r="D522" s="40">
        <v>4.841969287</v>
      </c>
      <c r="E522" s="41">
        <v>0.442244224</v>
      </c>
      <c r="F522" s="41">
        <v>0.168316832</v>
      </c>
      <c r="G522" s="41">
        <v>0.389438944</v>
      </c>
      <c r="H522" s="79">
        <f t="shared" si="1"/>
        <v>0.05280528</v>
      </c>
      <c r="I522" s="42">
        <v>3.188448984</v>
      </c>
    </row>
    <row r="523">
      <c r="A523" s="1" t="s">
        <v>1342</v>
      </c>
      <c r="B523" s="1">
        <v>518553.0</v>
      </c>
      <c r="C523" s="81">
        <v>1164.0</v>
      </c>
      <c r="D523" s="40">
        <v>4.84030644</v>
      </c>
      <c r="E523" s="41">
        <v>0.41838488</v>
      </c>
      <c r="F523" s="41">
        <v>0.191580756</v>
      </c>
      <c r="G523" s="41">
        <v>0.390034364</v>
      </c>
      <c r="H523" s="79">
        <f t="shared" si="1"/>
        <v>0.028350516</v>
      </c>
      <c r="I523" s="42">
        <v>3.97395083</v>
      </c>
    </row>
    <row r="524">
      <c r="A524" s="1" t="s">
        <v>1343</v>
      </c>
      <c r="B524" s="1">
        <v>656793.0</v>
      </c>
      <c r="C524" s="81">
        <v>1197.0</v>
      </c>
      <c r="D524" s="40">
        <v>4.839852903</v>
      </c>
      <c r="E524" s="41">
        <v>0.412698413</v>
      </c>
      <c r="F524" s="41">
        <v>0.189640769</v>
      </c>
      <c r="G524" s="41">
        <v>0.397660819</v>
      </c>
      <c r="H524" s="79">
        <f t="shared" si="1"/>
        <v>0.015037594</v>
      </c>
      <c r="I524" s="42">
        <v>-6.298942453</v>
      </c>
    </row>
    <row r="525">
      <c r="A525" s="1" t="s">
        <v>1207</v>
      </c>
      <c r="B525" s="1">
        <v>622251.0</v>
      </c>
      <c r="C525" s="81">
        <v>715.0</v>
      </c>
      <c r="D525" s="40">
        <v>4.839789916</v>
      </c>
      <c r="E525" s="41">
        <v>0.432167832</v>
      </c>
      <c r="F525" s="41">
        <v>0.193006993</v>
      </c>
      <c r="G525" s="41">
        <v>0.374825175</v>
      </c>
      <c r="H525" s="79">
        <f t="shared" si="1"/>
        <v>0.057342657</v>
      </c>
      <c r="I525" s="42">
        <v>-0.344498361</v>
      </c>
    </row>
    <row r="526" hidden="1">
      <c r="A526" s="1" t="s">
        <v>1167</v>
      </c>
      <c r="B526" s="1">
        <v>488984.0</v>
      </c>
      <c r="C526" s="81">
        <v>346.0</v>
      </c>
      <c r="D526" s="40">
        <v>4.839135925</v>
      </c>
      <c r="E526" s="41">
        <v>0.404624277</v>
      </c>
      <c r="F526" s="41">
        <v>0.23699422</v>
      </c>
      <c r="G526" s="41">
        <v>0.358381503</v>
      </c>
      <c r="H526" s="79">
        <f t="shared" si="1"/>
        <v>0.046242774</v>
      </c>
      <c r="I526" s="42">
        <v>3.29379206</v>
      </c>
    </row>
    <row r="527">
      <c r="A527" s="1" t="s">
        <v>1150</v>
      </c>
      <c r="B527" s="1">
        <v>571901.0</v>
      </c>
      <c r="C527" s="81">
        <v>957.0</v>
      </c>
      <c r="D527" s="40">
        <v>4.838528149</v>
      </c>
      <c r="E527" s="41">
        <v>0.420062696</v>
      </c>
      <c r="F527" s="41">
        <v>0.199582027</v>
      </c>
      <c r="G527" s="41">
        <v>0.380355277</v>
      </c>
      <c r="H527" s="79">
        <f t="shared" si="1"/>
        <v>0.039707419</v>
      </c>
      <c r="I527" s="42">
        <v>4.417550967</v>
      </c>
    </row>
    <row r="528" hidden="1">
      <c r="A528" s="1" t="s">
        <v>1344</v>
      </c>
      <c r="B528" s="1">
        <v>643230.0</v>
      </c>
      <c r="C528" s="81">
        <v>155.0</v>
      </c>
      <c r="D528" s="40">
        <v>4.838244942</v>
      </c>
      <c r="E528" s="41">
        <v>0.425806452</v>
      </c>
      <c r="F528" s="41">
        <v>0.141935484</v>
      </c>
      <c r="G528" s="41">
        <v>0.432258065</v>
      </c>
      <c r="H528" s="79">
        <f t="shared" si="1"/>
        <v>-0.006451613</v>
      </c>
      <c r="I528" s="42">
        <v>0.612656892</v>
      </c>
    </row>
    <row r="529" hidden="1">
      <c r="A529" s="1" t="s">
        <v>140</v>
      </c>
      <c r="B529" s="1">
        <v>672582.0</v>
      </c>
      <c r="C529" s="81">
        <v>156.0</v>
      </c>
      <c r="D529" s="40">
        <v>4.838070763</v>
      </c>
      <c r="E529" s="41">
        <v>0.403846154</v>
      </c>
      <c r="F529" s="41">
        <v>0.205128205</v>
      </c>
      <c r="G529" s="41">
        <v>0.391025641</v>
      </c>
      <c r="H529" s="79">
        <f t="shared" si="1"/>
        <v>0.012820513</v>
      </c>
      <c r="I529" s="42">
        <v>0.415694316</v>
      </c>
    </row>
    <row r="530">
      <c r="A530" s="1" t="s">
        <v>1204</v>
      </c>
      <c r="B530" s="1">
        <v>663558.0</v>
      </c>
      <c r="C530" s="81">
        <v>670.0</v>
      </c>
      <c r="D530" s="40">
        <v>4.836485836</v>
      </c>
      <c r="E530" s="41">
        <v>0.425373134</v>
      </c>
      <c r="F530" s="41">
        <v>0.164179104</v>
      </c>
      <c r="G530" s="41">
        <v>0.410447761</v>
      </c>
      <c r="H530" s="79">
        <f t="shared" si="1"/>
        <v>0.014925373</v>
      </c>
      <c r="I530" s="42">
        <v>7.098183369</v>
      </c>
    </row>
    <row r="531" hidden="1">
      <c r="A531" s="1" t="s">
        <v>406</v>
      </c>
      <c r="B531" s="1">
        <v>669711.0</v>
      </c>
      <c r="C531" s="81">
        <v>185.0</v>
      </c>
      <c r="D531" s="40">
        <v>4.836334908</v>
      </c>
      <c r="E531" s="41">
        <v>0.454054054</v>
      </c>
      <c r="F531" s="41">
        <v>0.167567568</v>
      </c>
      <c r="G531" s="41">
        <v>0.378378378</v>
      </c>
      <c r="H531" s="79">
        <f t="shared" si="1"/>
        <v>0.075675676</v>
      </c>
      <c r="I531" s="42">
        <v>1.908691766</v>
      </c>
    </row>
    <row r="532">
      <c r="A532" s="1" t="s">
        <v>1251</v>
      </c>
      <c r="B532" s="1">
        <v>608328.0</v>
      </c>
      <c r="C532" s="81">
        <v>1170.0</v>
      </c>
      <c r="D532" s="40">
        <v>4.836293136</v>
      </c>
      <c r="E532" s="41">
        <v>0.414529915</v>
      </c>
      <c r="F532" s="41">
        <v>0.178632479</v>
      </c>
      <c r="G532" s="41">
        <v>0.406837607</v>
      </c>
      <c r="H532" s="79">
        <f t="shared" si="1"/>
        <v>0.007692308</v>
      </c>
      <c r="I532" s="42">
        <v>6.669655999</v>
      </c>
    </row>
    <row r="533">
      <c r="A533" s="1" t="s">
        <v>1345</v>
      </c>
      <c r="B533" s="1">
        <v>621248.0</v>
      </c>
      <c r="C533" s="81">
        <v>507.0</v>
      </c>
      <c r="D533" s="40">
        <v>4.836261815</v>
      </c>
      <c r="E533" s="41">
        <v>0.41617357</v>
      </c>
      <c r="F533" s="41">
        <v>0.189349112</v>
      </c>
      <c r="G533" s="41">
        <v>0.394477318</v>
      </c>
      <c r="H533" s="79">
        <f t="shared" si="1"/>
        <v>0.021696252</v>
      </c>
      <c r="I533" s="42">
        <v>-8.018850153</v>
      </c>
    </row>
    <row r="534">
      <c r="A534" s="1" t="s">
        <v>420</v>
      </c>
      <c r="B534" s="1">
        <v>547179.0</v>
      </c>
      <c r="C534" s="81">
        <v>1642.0</v>
      </c>
      <c r="D534" s="40">
        <v>4.835542198</v>
      </c>
      <c r="E534" s="41">
        <v>0.411084044</v>
      </c>
      <c r="F534" s="41">
        <v>0.202801462</v>
      </c>
      <c r="G534" s="41">
        <v>0.386114495</v>
      </c>
      <c r="H534" s="79">
        <f t="shared" si="1"/>
        <v>0.024969549</v>
      </c>
      <c r="I534" s="42">
        <v>11.70732212</v>
      </c>
    </row>
    <row r="535">
      <c r="A535" s="1" t="s">
        <v>1190</v>
      </c>
      <c r="B535" s="1">
        <v>668676.0</v>
      </c>
      <c r="C535" s="81">
        <v>2139.0</v>
      </c>
      <c r="D535" s="40">
        <v>4.835246355</v>
      </c>
      <c r="E535" s="41">
        <v>0.405329593</v>
      </c>
      <c r="F535" s="41">
        <v>0.199625993</v>
      </c>
      <c r="G535" s="41">
        <v>0.395044413</v>
      </c>
      <c r="H535" s="79">
        <f t="shared" si="1"/>
        <v>0.01028518</v>
      </c>
      <c r="I535" s="42">
        <v>-17.05234815</v>
      </c>
    </row>
    <row r="536">
      <c r="A536" s="1" t="s">
        <v>1168</v>
      </c>
      <c r="B536" s="1">
        <v>670124.0</v>
      </c>
      <c r="C536" s="81">
        <v>1278.0</v>
      </c>
      <c r="D536" s="40">
        <v>4.835095451</v>
      </c>
      <c r="E536" s="41">
        <v>0.407668232</v>
      </c>
      <c r="F536" s="41">
        <v>0.179968701</v>
      </c>
      <c r="G536" s="41">
        <v>0.412363067</v>
      </c>
      <c r="H536" s="79">
        <f t="shared" si="1"/>
        <v>-0.004694835</v>
      </c>
      <c r="I536" s="42">
        <v>-13.92193384</v>
      </c>
    </row>
    <row r="537">
      <c r="A537" s="1" t="s">
        <v>1346</v>
      </c>
      <c r="B537" s="1">
        <v>606625.0</v>
      </c>
      <c r="C537" s="81">
        <v>637.0</v>
      </c>
      <c r="D537" s="40">
        <v>4.834459159</v>
      </c>
      <c r="E537" s="41">
        <v>0.433281005</v>
      </c>
      <c r="F537" s="41">
        <v>0.186813187</v>
      </c>
      <c r="G537" s="41">
        <v>0.379905808</v>
      </c>
      <c r="H537" s="79">
        <f t="shared" si="1"/>
        <v>0.053375197</v>
      </c>
      <c r="I537" s="42">
        <v>-1.821689885</v>
      </c>
    </row>
    <row r="538">
      <c r="A538" s="1" t="s">
        <v>1180</v>
      </c>
      <c r="B538" s="1">
        <v>570666.0</v>
      </c>
      <c r="C538" s="81">
        <v>1209.0</v>
      </c>
      <c r="D538" s="40">
        <v>4.834432711</v>
      </c>
      <c r="E538" s="41">
        <v>0.395368073</v>
      </c>
      <c r="F538" s="41">
        <v>0.224979322</v>
      </c>
      <c r="G538" s="41">
        <v>0.379652605</v>
      </c>
      <c r="H538" s="79">
        <f t="shared" si="1"/>
        <v>0.015715468</v>
      </c>
      <c r="I538" s="42">
        <v>4.045042377</v>
      </c>
    </row>
    <row r="539" hidden="1">
      <c r="A539" s="1" t="s">
        <v>1347</v>
      </c>
      <c r="B539" s="1">
        <v>667498.0</v>
      </c>
      <c r="C539" s="81">
        <v>282.0</v>
      </c>
      <c r="D539" s="40">
        <v>4.833324457</v>
      </c>
      <c r="E539" s="41">
        <v>0.414893617</v>
      </c>
      <c r="F539" s="41">
        <v>0.195035461</v>
      </c>
      <c r="G539" s="41">
        <v>0.390070922</v>
      </c>
      <c r="H539" s="79">
        <f t="shared" si="1"/>
        <v>0.024822695</v>
      </c>
      <c r="I539" s="42">
        <v>-2.790800066</v>
      </c>
    </row>
    <row r="540">
      <c r="A540" s="1" t="s">
        <v>455</v>
      </c>
      <c r="B540" s="1">
        <v>570632.0</v>
      </c>
      <c r="C540" s="81">
        <v>1604.0</v>
      </c>
      <c r="D540" s="40">
        <v>4.83272143</v>
      </c>
      <c r="E540" s="41">
        <v>0.396508728</v>
      </c>
      <c r="F540" s="41">
        <v>0.208229426</v>
      </c>
      <c r="G540" s="41">
        <v>0.395261845</v>
      </c>
      <c r="H540" s="79">
        <f t="shared" si="1"/>
        <v>0.001246883</v>
      </c>
      <c r="I540" s="42">
        <v>-9.715352019</v>
      </c>
    </row>
    <row r="541" hidden="1">
      <c r="A541" s="1" t="s">
        <v>1219</v>
      </c>
      <c r="B541" s="1">
        <v>621295.0</v>
      </c>
      <c r="C541" s="81">
        <v>476.0</v>
      </c>
      <c r="D541" s="40">
        <v>4.831834029</v>
      </c>
      <c r="E541" s="41">
        <v>0.401260504</v>
      </c>
      <c r="F541" s="41">
        <v>0.195378151</v>
      </c>
      <c r="G541" s="41">
        <v>0.403361345</v>
      </c>
      <c r="H541" s="79">
        <f t="shared" si="1"/>
        <v>-0.002100841</v>
      </c>
      <c r="I541" s="42">
        <v>-6.397839608</v>
      </c>
    </row>
    <row r="542">
      <c r="A542" s="1" t="s">
        <v>1161</v>
      </c>
      <c r="B542" s="1">
        <v>680739.0</v>
      </c>
      <c r="C542" s="81">
        <v>1102.0</v>
      </c>
      <c r="D542" s="40">
        <v>4.829376446</v>
      </c>
      <c r="E542" s="41">
        <v>0.390199637</v>
      </c>
      <c r="F542" s="41">
        <v>0.218693285</v>
      </c>
      <c r="G542" s="41">
        <v>0.391107078</v>
      </c>
      <c r="H542" s="79">
        <f t="shared" si="1"/>
        <v>-0.000907441</v>
      </c>
      <c r="I542" s="42">
        <v>-9.472939093</v>
      </c>
    </row>
    <row r="543">
      <c r="A543" s="1" t="s">
        <v>1074</v>
      </c>
      <c r="B543" s="1">
        <v>641712.0</v>
      </c>
      <c r="C543" s="81">
        <v>2233.0</v>
      </c>
      <c r="D543" s="40">
        <v>4.826605529</v>
      </c>
      <c r="E543" s="41">
        <v>0.402149575</v>
      </c>
      <c r="F543" s="41">
        <v>0.200179131</v>
      </c>
      <c r="G543" s="41">
        <v>0.397671294</v>
      </c>
      <c r="H543" s="79">
        <f t="shared" si="1"/>
        <v>0.004478281</v>
      </c>
      <c r="I543" s="42">
        <v>-1.894980656</v>
      </c>
    </row>
    <row r="544">
      <c r="A544" s="1" t="s">
        <v>506</v>
      </c>
      <c r="B544" s="1">
        <v>605177.0</v>
      </c>
      <c r="C544" s="81">
        <v>889.0</v>
      </c>
      <c r="D544" s="40">
        <v>4.826194904</v>
      </c>
      <c r="E544" s="41">
        <v>0.377952756</v>
      </c>
      <c r="F544" s="41">
        <v>0.235095613</v>
      </c>
      <c r="G544" s="41">
        <v>0.386951631</v>
      </c>
      <c r="H544" s="79">
        <f t="shared" si="1"/>
        <v>-0.008998875</v>
      </c>
      <c r="I544" s="42">
        <v>1.017230549</v>
      </c>
    </row>
    <row r="545">
      <c r="A545" s="1" t="s">
        <v>41</v>
      </c>
      <c r="B545" s="1">
        <v>547973.0</v>
      </c>
      <c r="C545" s="81">
        <v>674.0</v>
      </c>
      <c r="D545" s="40">
        <v>4.826189412</v>
      </c>
      <c r="E545" s="41">
        <v>0.43620178</v>
      </c>
      <c r="F545" s="41">
        <v>0.129080119</v>
      </c>
      <c r="G545" s="41">
        <v>0.434718101</v>
      </c>
      <c r="H545" s="79">
        <f t="shared" si="1"/>
        <v>0.001483679</v>
      </c>
      <c r="I545" s="42">
        <v>5.261823025</v>
      </c>
    </row>
    <row r="546" hidden="1">
      <c r="A546" s="1" t="s">
        <v>1348</v>
      </c>
      <c r="B546" s="1">
        <v>664042.0</v>
      </c>
      <c r="C546" s="81">
        <v>208.0</v>
      </c>
      <c r="D546" s="40">
        <v>4.826102601</v>
      </c>
      <c r="E546" s="41">
        <v>0.418269231</v>
      </c>
      <c r="F546" s="41">
        <v>0.230769231</v>
      </c>
      <c r="G546" s="41">
        <v>0.350961538</v>
      </c>
      <c r="H546" s="79">
        <f t="shared" si="1"/>
        <v>0.067307693</v>
      </c>
      <c r="I546" s="42">
        <v>-1.221798933</v>
      </c>
    </row>
    <row r="547" hidden="1">
      <c r="A547" s="1" t="s">
        <v>1349</v>
      </c>
      <c r="B547" s="1">
        <v>592390.0</v>
      </c>
      <c r="C547" s="81">
        <v>394.0</v>
      </c>
      <c r="D547" s="40">
        <v>4.825791391</v>
      </c>
      <c r="E547" s="41">
        <v>0.423857868</v>
      </c>
      <c r="F547" s="41">
        <v>0.180203046</v>
      </c>
      <c r="G547" s="41">
        <v>0.395939086</v>
      </c>
      <c r="H547" s="79">
        <f t="shared" si="1"/>
        <v>0.027918782</v>
      </c>
      <c r="I547" s="42">
        <v>-5.858269957</v>
      </c>
    </row>
    <row r="548">
      <c r="A548" s="1" t="s">
        <v>984</v>
      </c>
      <c r="B548" s="1">
        <v>656458.0</v>
      </c>
      <c r="C548" s="81">
        <v>786.0</v>
      </c>
      <c r="D548" s="40">
        <v>4.823921864</v>
      </c>
      <c r="E548" s="41">
        <v>0.456743003</v>
      </c>
      <c r="F548" s="41">
        <v>0.155216285</v>
      </c>
      <c r="G548" s="41">
        <v>0.388040712</v>
      </c>
      <c r="H548" s="79">
        <f t="shared" si="1"/>
        <v>0.068702291</v>
      </c>
      <c r="I548" s="42">
        <v>2.791742241</v>
      </c>
    </row>
    <row r="549">
      <c r="A549" s="1" t="s">
        <v>1138</v>
      </c>
      <c r="B549" s="1">
        <v>623451.0</v>
      </c>
      <c r="C549" s="81">
        <v>938.0</v>
      </c>
      <c r="D549" s="40">
        <v>4.822112636</v>
      </c>
      <c r="E549" s="41">
        <v>0.382729211</v>
      </c>
      <c r="F549" s="41">
        <v>0.227078891</v>
      </c>
      <c r="G549" s="41">
        <v>0.390191898</v>
      </c>
      <c r="H549" s="79">
        <f t="shared" si="1"/>
        <v>-0.007462687</v>
      </c>
      <c r="I549" s="42">
        <v>16.45438432</v>
      </c>
    </row>
    <row r="550">
      <c r="A550" s="1" t="s">
        <v>459</v>
      </c>
      <c r="B550" s="1">
        <v>664062.0</v>
      </c>
      <c r="C550" s="81">
        <v>1914.0</v>
      </c>
      <c r="D550" s="40">
        <v>4.8217591</v>
      </c>
      <c r="E550" s="41">
        <v>0.396029258</v>
      </c>
      <c r="F550" s="41">
        <v>0.198014629</v>
      </c>
      <c r="G550" s="41">
        <v>0.405956113</v>
      </c>
      <c r="H550" s="79">
        <f t="shared" si="1"/>
        <v>-0.009926855</v>
      </c>
      <c r="I550" s="42">
        <v>36.7556447</v>
      </c>
    </row>
    <row r="551" hidden="1">
      <c r="A551" s="1" t="s">
        <v>1350</v>
      </c>
      <c r="B551" s="1">
        <v>656322.0</v>
      </c>
      <c r="C551" s="81">
        <v>235.0</v>
      </c>
      <c r="D551" s="40">
        <v>4.818289013</v>
      </c>
      <c r="E551" s="41">
        <v>0.476595745</v>
      </c>
      <c r="F551" s="41">
        <v>0.161702128</v>
      </c>
      <c r="G551" s="41">
        <v>0.361702128</v>
      </c>
      <c r="H551" s="79">
        <f t="shared" si="1"/>
        <v>0.114893617</v>
      </c>
      <c r="I551" s="42">
        <v>2.941454455</v>
      </c>
    </row>
    <row r="552" hidden="1">
      <c r="A552" s="1" t="s">
        <v>1351</v>
      </c>
      <c r="B552" s="1">
        <v>570663.0</v>
      </c>
      <c r="C552" s="81">
        <v>421.0</v>
      </c>
      <c r="D552" s="40">
        <v>4.818081228</v>
      </c>
      <c r="E552" s="41">
        <v>0.427553444</v>
      </c>
      <c r="F552" s="41">
        <v>0.16152019</v>
      </c>
      <c r="G552" s="41">
        <v>0.410926366</v>
      </c>
      <c r="H552" s="79">
        <f t="shared" si="1"/>
        <v>0.016627078</v>
      </c>
      <c r="I552" s="42">
        <v>-4.332730487</v>
      </c>
    </row>
    <row r="553">
      <c r="A553" s="1" t="s">
        <v>1352</v>
      </c>
      <c r="B553" s="1">
        <v>434671.0</v>
      </c>
      <c r="C553" s="81">
        <v>1218.0</v>
      </c>
      <c r="D553" s="40">
        <v>4.817900854</v>
      </c>
      <c r="E553" s="41">
        <v>0.380952381</v>
      </c>
      <c r="F553" s="41">
        <v>0.175697865</v>
      </c>
      <c r="G553" s="41">
        <v>0.443349754</v>
      </c>
      <c r="H553" s="79">
        <f t="shared" si="1"/>
        <v>-0.062397373</v>
      </c>
      <c r="I553" s="42">
        <v>16.83898319</v>
      </c>
    </row>
    <row r="554" hidden="1">
      <c r="A554" s="1" t="s">
        <v>947</v>
      </c>
      <c r="B554" s="1">
        <v>681217.0</v>
      </c>
      <c r="C554" s="81">
        <v>492.0</v>
      </c>
      <c r="D554" s="40">
        <v>4.817061457</v>
      </c>
      <c r="E554" s="41">
        <v>0.424796748</v>
      </c>
      <c r="F554" s="41">
        <v>0.180894309</v>
      </c>
      <c r="G554" s="41">
        <v>0.394308943</v>
      </c>
      <c r="H554" s="79">
        <f t="shared" si="1"/>
        <v>0.030487805</v>
      </c>
      <c r="I554" s="42">
        <v>-6.10940954</v>
      </c>
    </row>
    <row r="555">
      <c r="A555" s="1" t="s">
        <v>1005</v>
      </c>
      <c r="B555" s="1">
        <v>676760.0</v>
      </c>
      <c r="C555" s="81">
        <v>746.0</v>
      </c>
      <c r="D555" s="40">
        <v>4.816454017</v>
      </c>
      <c r="E555" s="41">
        <v>0.446380697</v>
      </c>
      <c r="F555" s="41">
        <v>0.142091153</v>
      </c>
      <c r="G555" s="41">
        <v>0.41152815</v>
      </c>
      <c r="H555" s="79">
        <f t="shared" si="1"/>
        <v>0.034852547</v>
      </c>
      <c r="I555" s="42">
        <v>7.043329072</v>
      </c>
    </row>
    <row r="556">
      <c r="A556" s="1" t="s">
        <v>796</v>
      </c>
      <c r="B556" s="1">
        <v>641540.0</v>
      </c>
      <c r="C556" s="81">
        <v>2529.0</v>
      </c>
      <c r="D556" s="40">
        <v>4.815738803</v>
      </c>
      <c r="E556" s="41">
        <v>0.390668248</v>
      </c>
      <c r="F556" s="41">
        <v>0.211150652</v>
      </c>
      <c r="G556" s="41">
        <v>0.398181099</v>
      </c>
      <c r="H556" s="79">
        <f t="shared" si="1"/>
        <v>-0.007512851</v>
      </c>
      <c r="I556" s="42">
        <v>-7.299809658</v>
      </c>
    </row>
    <row r="557">
      <c r="A557" s="1" t="s">
        <v>129</v>
      </c>
      <c r="B557" s="1">
        <v>686752.0</v>
      </c>
      <c r="C557" s="81">
        <v>730.0</v>
      </c>
      <c r="D557" s="40">
        <v>4.813409678</v>
      </c>
      <c r="E557" s="41">
        <v>0.438356164</v>
      </c>
      <c r="F557" s="41">
        <v>0.175342466</v>
      </c>
      <c r="G557" s="41">
        <v>0.38630137</v>
      </c>
      <c r="H557" s="79">
        <f t="shared" si="1"/>
        <v>0.052054794</v>
      </c>
      <c r="I557" s="42">
        <v>6.039900865</v>
      </c>
    </row>
    <row r="558">
      <c r="A558" s="1" t="s">
        <v>1353</v>
      </c>
      <c r="B558" s="1">
        <v>456034.0</v>
      </c>
      <c r="C558" s="81">
        <v>586.0</v>
      </c>
      <c r="D558" s="40">
        <v>4.810660616</v>
      </c>
      <c r="E558" s="41">
        <v>0.360068259</v>
      </c>
      <c r="F558" s="41">
        <v>0.242320819</v>
      </c>
      <c r="G558" s="41">
        <v>0.397610922</v>
      </c>
      <c r="H558" s="79">
        <f t="shared" si="1"/>
        <v>-0.037542663</v>
      </c>
      <c r="I558" s="42">
        <v>5.671684452</v>
      </c>
    </row>
    <row r="559">
      <c r="A559" s="1" t="s">
        <v>473</v>
      </c>
      <c r="B559" s="1">
        <v>527048.0</v>
      </c>
      <c r="C559" s="81">
        <v>2937.0</v>
      </c>
      <c r="D559" s="40">
        <v>4.809635698</v>
      </c>
      <c r="E559" s="41">
        <v>0.38474634</v>
      </c>
      <c r="F559" s="41">
        <v>0.214504597</v>
      </c>
      <c r="G559" s="41">
        <v>0.400749064</v>
      </c>
      <c r="H559" s="79">
        <f t="shared" si="1"/>
        <v>-0.016002724</v>
      </c>
      <c r="I559" s="42">
        <v>-4.234368288</v>
      </c>
    </row>
    <row r="560">
      <c r="A560" s="1" t="s">
        <v>814</v>
      </c>
      <c r="B560" s="1">
        <v>614179.0</v>
      </c>
      <c r="C560" s="81">
        <v>1094.0</v>
      </c>
      <c r="D560" s="40">
        <v>4.809146931</v>
      </c>
      <c r="E560" s="41">
        <v>0.429616088</v>
      </c>
      <c r="F560" s="41">
        <v>0.160877514</v>
      </c>
      <c r="G560" s="41">
        <v>0.409506399</v>
      </c>
      <c r="H560" s="79">
        <f t="shared" si="1"/>
        <v>0.020109689</v>
      </c>
      <c r="I560" s="42">
        <v>0.123450458</v>
      </c>
    </row>
    <row r="561">
      <c r="A561" s="1" t="s">
        <v>1054</v>
      </c>
      <c r="B561" s="1">
        <v>641771.0</v>
      </c>
      <c r="C561" s="81">
        <v>2353.0</v>
      </c>
      <c r="D561" s="40">
        <v>4.808738179</v>
      </c>
      <c r="E561" s="41">
        <v>0.405014875</v>
      </c>
      <c r="F561" s="41">
        <v>0.181470463</v>
      </c>
      <c r="G561" s="41">
        <v>0.413514662</v>
      </c>
      <c r="H561" s="79">
        <f t="shared" si="1"/>
        <v>-0.008499787</v>
      </c>
      <c r="I561" s="42">
        <v>-17.85031176</v>
      </c>
    </row>
    <row r="562">
      <c r="A562" s="1" t="s">
        <v>1165</v>
      </c>
      <c r="B562" s="1">
        <v>656970.0</v>
      </c>
      <c r="C562" s="81">
        <v>1123.0</v>
      </c>
      <c r="D562" s="40">
        <v>4.806993855</v>
      </c>
      <c r="E562" s="41">
        <v>0.390917186</v>
      </c>
      <c r="F562" s="41">
        <v>0.193232413</v>
      </c>
      <c r="G562" s="41">
        <v>0.415850401</v>
      </c>
      <c r="H562" s="79">
        <f t="shared" si="1"/>
        <v>-0.024933215</v>
      </c>
      <c r="I562" s="42">
        <v>-2.891242254</v>
      </c>
    </row>
    <row r="563">
      <c r="A563" s="1" t="s">
        <v>290</v>
      </c>
      <c r="B563" s="1">
        <v>669461.0</v>
      </c>
      <c r="C563" s="81">
        <v>645.0</v>
      </c>
      <c r="D563" s="40">
        <v>4.806262369</v>
      </c>
      <c r="E563" s="41">
        <v>0.403100775</v>
      </c>
      <c r="F563" s="41">
        <v>0.198449612</v>
      </c>
      <c r="G563" s="41">
        <v>0.398449612</v>
      </c>
      <c r="H563" s="79">
        <f t="shared" si="1"/>
        <v>0.004651163</v>
      </c>
      <c r="I563" s="42">
        <v>-7.152790021</v>
      </c>
    </row>
    <row r="564" hidden="1">
      <c r="A564" s="1" t="s">
        <v>1354</v>
      </c>
      <c r="B564" s="1">
        <v>543238.0</v>
      </c>
      <c r="C564" s="81">
        <v>383.0</v>
      </c>
      <c r="D564" s="40">
        <v>4.805879185</v>
      </c>
      <c r="E564" s="41">
        <v>0.428198433</v>
      </c>
      <c r="F564" s="41">
        <v>0.154046997</v>
      </c>
      <c r="G564" s="41">
        <v>0.417754569</v>
      </c>
      <c r="H564" s="79">
        <f t="shared" si="1"/>
        <v>0.010443864</v>
      </c>
      <c r="I564" s="42">
        <v>0.962905851</v>
      </c>
    </row>
    <row r="565" hidden="1">
      <c r="A565" s="1" t="s">
        <v>910</v>
      </c>
      <c r="B565" s="1">
        <v>656686.0</v>
      </c>
      <c r="C565" s="81">
        <v>425.0</v>
      </c>
      <c r="D565" s="40">
        <v>4.805443066</v>
      </c>
      <c r="E565" s="41">
        <v>0.392941176</v>
      </c>
      <c r="F565" s="41">
        <v>0.209411765</v>
      </c>
      <c r="G565" s="41">
        <v>0.397647059</v>
      </c>
      <c r="H565" s="79">
        <f t="shared" si="1"/>
        <v>-0.004705883</v>
      </c>
      <c r="I565" s="42">
        <v>-4.177310821</v>
      </c>
    </row>
    <row r="566" hidden="1">
      <c r="A566" s="1" t="s">
        <v>1355</v>
      </c>
      <c r="B566" s="1">
        <v>657272.0</v>
      </c>
      <c r="C566" s="81">
        <v>438.0</v>
      </c>
      <c r="D566" s="40">
        <v>4.804777199</v>
      </c>
      <c r="E566" s="41">
        <v>0.404109589</v>
      </c>
      <c r="F566" s="41">
        <v>0.210045662</v>
      </c>
      <c r="G566" s="41">
        <v>0.385844749</v>
      </c>
      <c r="H566" s="79">
        <f t="shared" si="1"/>
        <v>0.01826484</v>
      </c>
      <c r="I566" s="42">
        <v>-2.907277548</v>
      </c>
    </row>
    <row r="567" hidden="1">
      <c r="A567" s="1" t="s">
        <v>82</v>
      </c>
      <c r="B567" s="1">
        <v>663947.0</v>
      </c>
      <c r="C567" s="81">
        <v>158.0</v>
      </c>
      <c r="D567" s="40">
        <v>4.803799127</v>
      </c>
      <c r="E567" s="41">
        <v>0.360759494</v>
      </c>
      <c r="F567" s="41">
        <v>0.215189873</v>
      </c>
      <c r="G567" s="41">
        <v>0.424050633</v>
      </c>
      <c r="H567" s="79">
        <f t="shared" si="1"/>
        <v>-0.063291139</v>
      </c>
      <c r="I567" s="42">
        <v>0.486272358</v>
      </c>
    </row>
    <row r="568" hidden="1">
      <c r="A568" s="1" t="s">
        <v>1356</v>
      </c>
      <c r="B568" s="1">
        <v>605525.0</v>
      </c>
      <c r="C568" s="81">
        <v>483.0</v>
      </c>
      <c r="D568" s="40">
        <v>4.802274099</v>
      </c>
      <c r="E568" s="41">
        <v>0.393374741</v>
      </c>
      <c r="F568" s="41">
        <v>0.223602484</v>
      </c>
      <c r="G568" s="41">
        <v>0.383022774</v>
      </c>
      <c r="H568" s="79">
        <f t="shared" si="1"/>
        <v>0.010351967</v>
      </c>
      <c r="I568" s="42">
        <v>4.173327905</v>
      </c>
    </row>
    <row r="569" hidden="1">
      <c r="A569" s="1" t="s">
        <v>443</v>
      </c>
      <c r="B569" s="1">
        <v>621366.0</v>
      </c>
      <c r="C569" s="81">
        <v>407.0</v>
      </c>
      <c r="D569" s="40">
        <v>4.801916548</v>
      </c>
      <c r="E569" s="41">
        <v>0.447174447</v>
      </c>
      <c r="F569" s="41">
        <v>0.171990172</v>
      </c>
      <c r="G569" s="41">
        <v>0.380835381</v>
      </c>
      <c r="H569" s="79">
        <f t="shared" si="1"/>
        <v>0.066339066</v>
      </c>
      <c r="I569" s="42">
        <v>-1.986837829</v>
      </c>
    </row>
    <row r="570" hidden="1">
      <c r="A570" s="1" t="s">
        <v>102</v>
      </c>
      <c r="B570" s="1">
        <v>656986.0</v>
      </c>
      <c r="C570" s="81">
        <v>362.0</v>
      </c>
      <c r="D570" s="40">
        <v>4.797938986</v>
      </c>
      <c r="E570" s="41">
        <v>0.414364641</v>
      </c>
      <c r="F570" s="41">
        <v>0.20441989</v>
      </c>
      <c r="G570" s="41">
        <v>0.38121547</v>
      </c>
      <c r="H570" s="79">
        <f t="shared" si="1"/>
        <v>0.033149171</v>
      </c>
      <c r="I570" s="42">
        <v>-5.388121708</v>
      </c>
    </row>
    <row r="571">
      <c r="A571" s="1" t="s">
        <v>1163</v>
      </c>
      <c r="B571" s="1">
        <v>543272.0</v>
      </c>
      <c r="C571" s="81">
        <v>809.0</v>
      </c>
      <c r="D571" s="40">
        <v>4.796426417</v>
      </c>
      <c r="E571" s="41">
        <v>0.411619283</v>
      </c>
      <c r="F571" s="41">
        <v>0.189122373</v>
      </c>
      <c r="G571" s="41">
        <v>0.399258344</v>
      </c>
      <c r="H571" s="79">
        <f t="shared" si="1"/>
        <v>0.012360939</v>
      </c>
      <c r="I571" s="42">
        <v>5.352080029</v>
      </c>
    </row>
    <row r="572" hidden="1">
      <c r="A572" s="1" t="s">
        <v>246</v>
      </c>
      <c r="B572" s="1">
        <v>571510.0</v>
      </c>
      <c r="C572" s="81">
        <v>191.0</v>
      </c>
      <c r="D572" s="40">
        <v>4.79487278</v>
      </c>
      <c r="E572" s="41">
        <v>0.408376963</v>
      </c>
      <c r="F572" s="41">
        <v>0.209424084</v>
      </c>
      <c r="G572" s="41">
        <v>0.382198953</v>
      </c>
      <c r="H572" s="79">
        <f t="shared" si="1"/>
        <v>0.02617801</v>
      </c>
      <c r="I572" s="42">
        <v>5.237294165</v>
      </c>
    </row>
    <row r="573">
      <c r="A573" s="1" t="s">
        <v>1237</v>
      </c>
      <c r="B573" s="1">
        <v>621016.0</v>
      </c>
      <c r="C573" s="81">
        <v>678.0</v>
      </c>
      <c r="D573" s="40">
        <v>4.794687497</v>
      </c>
      <c r="E573" s="41">
        <v>0.411504425</v>
      </c>
      <c r="F573" s="41">
        <v>0.191740413</v>
      </c>
      <c r="G573" s="41">
        <v>0.396755162</v>
      </c>
      <c r="H573" s="79">
        <f t="shared" si="1"/>
        <v>0.014749263</v>
      </c>
      <c r="I573" s="42">
        <v>-0.145067358</v>
      </c>
    </row>
    <row r="574">
      <c r="A574" s="1" t="s">
        <v>1357</v>
      </c>
      <c r="B574" s="1">
        <v>665621.0</v>
      </c>
      <c r="C574" s="81">
        <v>874.0</v>
      </c>
      <c r="D574" s="40">
        <v>4.794507136</v>
      </c>
      <c r="E574" s="41">
        <v>0.392448513</v>
      </c>
      <c r="F574" s="41">
        <v>0.200228833</v>
      </c>
      <c r="G574" s="41">
        <v>0.407322654</v>
      </c>
      <c r="H574" s="79">
        <f t="shared" si="1"/>
        <v>-0.014874141</v>
      </c>
      <c r="I574" s="42">
        <v>6.823653078</v>
      </c>
    </row>
    <row r="575" hidden="1">
      <c r="A575" s="1" t="s">
        <v>1358</v>
      </c>
      <c r="B575" s="1">
        <v>656954.0</v>
      </c>
      <c r="C575" s="81">
        <v>177.0</v>
      </c>
      <c r="D575" s="40">
        <v>4.794471186</v>
      </c>
      <c r="E575" s="41">
        <v>0.401129944</v>
      </c>
      <c r="F575" s="41">
        <v>0.186440678</v>
      </c>
      <c r="G575" s="41">
        <v>0.412429379</v>
      </c>
      <c r="H575" s="79">
        <f t="shared" si="1"/>
        <v>-0.011299435</v>
      </c>
      <c r="I575" s="42">
        <v>1.343488397</v>
      </c>
    </row>
    <row r="576" hidden="1">
      <c r="A576" s="1" t="s">
        <v>400</v>
      </c>
      <c r="B576" s="1">
        <v>670955.0</v>
      </c>
      <c r="C576" s="81">
        <v>291.0</v>
      </c>
      <c r="D576" s="40">
        <v>4.794174663</v>
      </c>
      <c r="E576" s="41">
        <v>0.41580756</v>
      </c>
      <c r="F576" s="41">
        <v>0.16838488</v>
      </c>
      <c r="G576" s="41">
        <v>0.41580756</v>
      </c>
      <c r="H576" s="79">
        <f t="shared" si="1"/>
        <v>0</v>
      </c>
      <c r="I576" s="42">
        <v>-0.28762531</v>
      </c>
    </row>
    <row r="577" hidden="1">
      <c r="A577" s="1" t="s">
        <v>123</v>
      </c>
      <c r="B577" s="1">
        <v>678692.0</v>
      </c>
      <c r="C577" s="81">
        <v>181.0</v>
      </c>
      <c r="D577" s="40">
        <v>4.790091221</v>
      </c>
      <c r="E577" s="41">
        <v>0.397790055</v>
      </c>
      <c r="F577" s="41">
        <v>0.138121547</v>
      </c>
      <c r="G577" s="41">
        <v>0.464088398</v>
      </c>
      <c r="H577" s="79">
        <f t="shared" si="1"/>
        <v>-0.066298343</v>
      </c>
      <c r="I577" s="42">
        <v>1.348974082</v>
      </c>
    </row>
    <row r="578" hidden="1">
      <c r="A578" s="1" t="s">
        <v>1124</v>
      </c>
      <c r="B578" s="1">
        <v>642231.0</v>
      </c>
      <c r="C578" s="81">
        <v>278.0</v>
      </c>
      <c r="D578" s="40">
        <v>4.788796813</v>
      </c>
      <c r="E578" s="41">
        <v>0.399280576</v>
      </c>
      <c r="F578" s="41">
        <v>0.165467626</v>
      </c>
      <c r="G578" s="41">
        <v>0.435251799</v>
      </c>
      <c r="H578" s="79">
        <f t="shared" si="1"/>
        <v>-0.035971223</v>
      </c>
      <c r="I578" s="42">
        <v>-5.342329423</v>
      </c>
    </row>
    <row r="579" hidden="1">
      <c r="A579" s="1" t="s">
        <v>823</v>
      </c>
      <c r="B579" s="1">
        <v>656464.0</v>
      </c>
      <c r="C579" s="81">
        <v>462.0</v>
      </c>
      <c r="D579" s="40">
        <v>4.784664435</v>
      </c>
      <c r="E579" s="41">
        <v>0.385281385</v>
      </c>
      <c r="F579" s="41">
        <v>0.218614719</v>
      </c>
      <c r="G579" s="41">
        <v>0.396103896</v>
      </c>
      <c r="H579" s="79">
        <f t="shared" si="1"/>
        <v>-0.010822511</v>
      </c>
      <c r="I579" s="42">
        <v>-2.390887777</v>
      </c>
    </row>
    <row r="580" hidden="1">
      <c r="A580" s="1" t="s">
        <v>1359</v>
      </c>
      <c r="B580" s="1">
        <v>642130.0</v>
      </c>
      <c r="C580" s="81">
        <v>301.0</v>
      </c>
      <c r="D580" s="40">
        <v>4.784191196</v>
      </c>
      <c r="E580" s="41">
        <v>0.408637874</v>
      </c>
      <c r="F580" s="41">
        <v>0.182724252</v>
      </c>
      <c r="G580" s="41">
        <v>0.408637874</v>
      </c>
      <c r="H580" s="79">
        <f t="shared" si="1"/>
        <v>0</v>
      </c>
      <c r="I580" s="42">
        <v>-0.346542888</v>
      </c>
    </row>
    <row r="581" hidden="1">
      <c r="A581" s="1" t="s">
        <v>1360</v>
      </c>
      <c r="B581" s="1">
        <v>605156.0</v>
      </c>
      <c r="C581" s="81">
        <v>154.0</v>
      </c>
      <c r="D581" s="40">
        <v>4.784130299</v>
      </c>
      <c r="E581" s="41">
        <v>0.409090909</v>
      </c>
      <c r="F581" s="41">
        <v>0.188311688</v>
      </c>
      <c r="G581" s="41">
        <v>0.402597403</v>
      </c>
      <c r="H581" s="79">
        <f t="shared" si="1"/>
        <v>0.006493506</v>
      </c>
      <c r="I581" s="42">
        <v>-0.281448135</v>
      </c>
    </row>
    <row r="582" hidden="1">
      <c r="A582" s="1" t="s">
        <v>1361</v>
      </c>
      <c r="B582" s="1">
        <v>663753.0</v>
      </c>
      <c r="C582" s="81">
        <v>239.0</v>
      </c>
      <c r="D582" s="40">
        <v>4.781703297</v>
      </c>
      <c r="E582" s="41">
        <v>0.410041841</v>
      </c>
      <c r="F582" s="41">
        <v>0.213389121</v>
      </c>
      <c r="G582" s="41">
        <v>0.376569038</v>
      </c>
      <c r="H582" s="79">
        <f t="shared" si="1"/>
        <v>0.033472803</v>
      </c>
      <c r="I582" s="42">
        <v>1.719191962</v>
      </c>
    </row>
    <row r="583" hidden="1">
      <c r="A583" s="1" t="s">
        <v>1362</v>
      </c>
      <c r="B583" s="1">
        <v>643316.0</v>
      </c>
      <c r="C583" s="81">
        <v>229.0</v>
      </c>
      <c r="D583" s="40">
        <v>4.780978671</v>
      </c>
      <c r="E583" s="41">
        <v>0.419213974</v>
      </c>
      <c r="F583" s="41">
        <v>0.187772926</v>
      </c>
      <c r="G583" s="41">
        <v>0.3930131</v>
      </c>
      <c r="H583" s="79">
        <f t="shared" si="1"/>
        <v>0.026200874</v>
      </c>
      <c r="I583" s="42">
        <v>1.078214453</v>
      </c>
    </row>
    <row r="584">
      <c r="A584" s="1" t="s">
        <v>1137</v>
      </c>
      <c r="B584" s="1">
        <v>657248.0</v>
      </c>
      <c r="C584" s="81">
        <v>2199.0</v>
      </c>
      <c r="D584" s="40">
        <v>4.776728546</v>
      </c>
      <c r="E584" s="41">
        <v>0.410641201</v>
      </c>
      <c r="F584" s="41">
        <v>0.174170077</v>
      </c>
      <c r="G584" s="41">
        <v>0.415188722</v>
      </c>
      <c r="H584" s="79">
        <f t="shared" si="1"/>
        <v>-0.004547521</v>
      </c>
      <c r="I584" s="42">
        <v>11.44986755</v>
      </c>
    </row>
    <row r="585">
      <c r="A585" s="1" t="s">
        <v>1363</v>
      </c>
      <c r="B585" s="1">
        <v>617228.0</v>
      </c>
      <c r="C585" s="81">
        <v>834.0</v>
      </c>
      <c r="D585" s="40">
        <v>4.776337851</v>
      </c>
      <c r="E585" s="41">
        <v>0.394484412</v>
      </c>
      <c r="F585" s="41">
        <v>0.201438849</v>
      </c>
      <c r="G585" s="41">
        <v>0.404076739</v>
      </c>
      <c r="H585" s="79">
        <f t="shared" si="1"/>
        <v>-0.009592327</v>
      </c>
      <c r="I585" s="42">
        <v>-1.105908779</v>
      </c>
    </row>
    <row r="586">
      <c r="A586" s="1" t="s">
        <v>467</v>
      </c>
      <c r="B586" s="1">
        <v>643410.0</v>
      </c>
      <c r="C586" s="81">
        <v>1074.0</v>
      </c>
      <c r="D586" s="40">
        <v>4.77452425</v>
      </c>
      <c r="E586" s="41">
        <v>0.40689013</v>
      </c>
      <c r="F586" s="41">
        <v>0.189013035</v>
      </c>
      <c r="G586" s="41">
        <v>0.404096834</v>
      </c>
      <c r="H586" s="79">
        <f t="shared" si="1"/>
        <v>0.002793296</v>
      </c>
      <c r="I586" s="42">
        <v>9.304294112</v>
      </c>
    </row>
    <row r="587">
      <c r="A587" s="1" t="s">
        <v>1184</v>
      </c>
      <c r="B587" s="1">
        <v>656657.0</v>
      </c>
      <c r="C587" s="81">
        <v>1011.0</v>
      </c>
      <c r="D587" s="40">
        <v>4.773252</v>
      </c>
      <c r="E587" s="41">
        <v>0.417408506</v>
      </c>
      <c r="F587" s="41">
        <v>0.175074184</v>
      </c>
      <c r="G587" s="41">
        <v>0.40751731</v>
      </c>
      <c r="H587" s="79">
        <f t="shared" si="1"/>
        <v>0.009891196</v>
      </c>
      <c r="I587" s="42">
        <v>-9.124996436</v>
      </c>
    </row>
    <row r="588" hidden="1">
      <c r="A588" s="1" t="s">
        <v>1364</v>
      </c>
      <c r="B588" s="1">
        <v>621219.0</v>
      </c>
      <c r="C588" s="81">
        <v>301.0</v>
      </c>
      <c r="D588" s="40">
        <v>4.769059561</v>
      </c>
      <c r="E588" s="41">
        <v>0.382059801</v>
      </c>
      <c r="F588" s="41">
        <v>0.23255814</v>
      </c>
      <c r="G588" s="41">
        <v>0.38538206</v>
      </c>
      <c r="H588" s="79">
        <f t="shared" si="1"/>
        <v>-0.003322259</v>
      </c>
      <c r="I588" s="42">
        <v>-8.030887955</v>
      </c>
    </row>
    <row r="589">
      <c r="A589" s="1" t="s">
        <v>1075</v>
      </c>
      <c r="B589" s="1">
        <v>621389.0</v>
      </c>
      <c r="C589" s="81">
        <v>670.0</v>
      </c>
      <c r="D589" s="40">
        <v>4.765105596</v>
      </c>
      <c r="E589" s="41">
        <v>0.358208955</v>
      </c>
      <c r="F589" s="41">
        <v>0.249253731</v>
      </c>
      <c r="G589" s="41">
        <v>0.392537313</v>
      </c>
      <c r="H589" s="79">
        <f t="shared" si="1"/>
        <v>-0.034328358</v>
      </c>
      <c r="I589" s="42">
        <v>-0.537591963</v>
      </c>
    </row>
    <row r="590" hidden="1">
      <c r="A590" s="1" t="s">
        <v>1164</v>
      </c>
      <c r="B590" s="1">
        <v>572403.0</v>
      </c>
      <c r="C590" s="81">
        <v>418.0</v>
      </c>
      <c r="D590" s="40">
        <v>4.763867687</v>
      </c>
      <c r="E590" s="41">
        <v>0.397129187</v>
      </c>
      <c r="F590" s="41">
        <v>0.200956938</v>
      </c>
      <c r="G590" s="41">
        <v>0.401913876</v>
      </c>
      <c r="H590" s="79">
        <f t="shared" si="1"/>
        <v>-0.004784689</v>
      </c>
      <c r="I590" s="42">
        <v>-3.614138183</v>
      </c>
    </row>
    <row r="591" hidden="1">
      <c r="A591" s="1" t="s">
        <v>1365</v>
      </c>
      <c r="B591" s="1">
        <v>650204.0</v>
      </c>
      <c r="C591" s="81">
        <v>363.0</v>
      </c>
      <c r="D591" s="40">
        <v>4.763676421</v>
      </c>
      <c r="E591" s="41">
        <v>0.371900826</v>
      </c>
      <c r="F591" s="41">
        <v>0.203856749</v>
      </c>
      <c r="G591" s="41">
        <v>0.424242424</v>
      </c>
      <c r="H591" s="79">
        <f t="shared" si="1"/>
        <v>-0.052341598</v>
      </c>
      <c r="I591" s="42">
        <v>-6.103093006</v>
      </c>
    </row>
    <row r="592" hidden="1">
      <c r="A592" s="1" t="s">
        <v>1366</v>
      </c>
      <c r="B592" s="1">
        <v>592804.0</v>
      </c>
      <c r="C592" s="81">
        <v>361.0</v>
      </c>
      <c r="D592" s="40">
        <v>4.763264762</v>
      </c>
      <c r="E592" s="41">
        <v>0.44598338</v>
      </c>
      <c r="F592" s="41">
        <v>0.135734072</v>
      </c>
      <c r="G592" s="41">
        <v>0.418282548</v>
      </c>
      <c r="H592" s="79">
        <f t="shared" si="1"/>
        <v>0.027700832</v>
      </c>
      <c r="I592" s="42">
        <v>-0.716231215</v>
      </c>
    </row>
    <row r="593" hidden="1">
      <c r="A593" s="1" t="s">
        <v>1367</v>
      </c>
      <c r="B593" s="1">
        <v>676194.0</v>
      </c>
      <c r="C593" s="81">
        <v>365.0</v>
      </c>
      <c r="D593" s="40">
        <v>4.762870359</v>
      </c>
      <c r="E593" s="41">
        <v>0.405479452</v>
      </c>
      <c r="F593" s="41">
        <v>0.178082192</v>
      </c>
      <c r="G593" s="41">
        <v>0.416438356</v>
      </c>
      <c r="H593" s="79">
        <f t="shared" si="1"/>
        <v>-0.010958904</v>
      </c>
      <c r="I593" s="42">
        <v>-4.061932218</v>
      </c>
    </row>
    <row r="594" hidden="1">
      <c r="A594" s="1" t="s">
        <v>1018</v>
      </c>
      <c r="B594" s="1">
        <v>668338.0</v>
      </c>
      <c r="C594" s="81">
        <v>227.0</v>
      </c>
      <c r="D594" s="40">
        <v>4.759454921</v>
      </c>
      <c r="E594" s="41">
        <v>0.422907489</v>
      </c>
      <c r="F594" s="41">
        <v>0.167400881</v>
      </c>
      <c r="G594" s="41">
        <v>0.40969163</v>
      </c>
      <c r="H594" s="79">
        <f t="shared" si="1"/>
        <v>0.013215859</v>
      </c>
      <c r="I594" s="42">
        <v>-4.789373496</v>
      </c>
    </row>
    <row r="595" hidden="1">
      <c r="A595" s="1" t="s">
        <v>1368</v>
      </c>
      <c r="B595" s="1">
        <v>676660.0</v>
      </c>
      <c r="C595" s="81">
        <v>157.0</v>
      </c>
      <c r="D595" s="40">
        <v>4.758666459</v>
      </c>
      <c r="E595" s="41">
        <v>0.394904459</v>
      </c>
      <c r="F595" s="41">
        <v>0.203821656</v>
      </c>
      <c r="G595" s="41">
        <v>0.401273885</v>
      </c>
      <c r="H595" s="79">
        <f t="shared" si="1"/>
        <v>-0.006369426</v>
      </c>
      <c r="I595" s="42">
        <v>0.175227985</v>
      </c>
    </row>
    <row r="596" hidden="1">
      <c r="A596" s="1" t="s">
        <v>1369</v>
      </c>
      <c r="B596" s="1">
        <v>573668.0</v>
      </c>
      <c r="C596" s="81">
        <v>174.0</v>
      </c>
      <c r="D596" s="40">
        <v>4.758204851</v>
      </c>
      <c r="E596" s="41">
        <v>0.425287356</v>
      </c>
      <c r="F596" s="41">
        <v>0.155172414</v>
      </c>
      <c r="G596" s="41">
        <v>0.41954023</v>
      </c>
      <c r="H596" s="79">
        <f t="shared" si="1"/>
        <v>0.005747126</v>
      </c>
      <c r="I596" s="42">
        <v>1.957470534</v>
      </c>
    </row>
    <row r="597">
      <c r="A597" s="1" t="s">
        <v>1256</v>
      </c>
      <c r="B597" s="1">
        <v>544727.0</v>
      </c>
      <c r="C597" s="81">
        <v>807.0</v>
      </c>
      <c r="D597" s="40">
        <v>4.758111281</v>
      </c>
      <c r="E597" s="41">
        <v>0.397769517</v>
      </c>
      <c r="F597" s="41">
        <v>0.190830235</v>
      </c>
      <c r="G597" s="41">
        <v>0.411400248</v>
      </c>
      <c r="H597" s="79">
        <f t="shared" si="1"/>
        <v>-0.013630731</v>
      </c>
      <c r="I597" s="42">
        <v>-7.614966262</v>
      </c>
    </row>
    <row r="598">
      <c r="A598" s="1" t="s">
        <v>1370</v>
      </c>
      <c r="B598" s="1">
        <v>501381.0</v>
      </c>
      <c r="C598" s="81">
        <v>727.0</v>
      </c>
      <c r="D598" s="40">
        <v>4.757180898</v>
      </c>
      <c r="E598" s="41">
        <v>0.342503439</v>
      </c>
      <c r="F598" s="41">
        <v>0.233837689</v>
      </c>
      <c r="G598" s="41">
        <v>0.423658872</v>
      </c>
      <c r="H598" s="79">
        <f t="shared" si="1"/>
        <v>-0.081155433</v>
      </c>
      <c r="I598" s="42">
        <v>-6.967057776</v>
      </c>
    </row>
    <row r="599">
      <c r="A599" s="1" t="s">
        <v>1213</v>
      </c>
      <c r="B599" s="1">
        <v>656061.0</v>
      </c>
      <c r="C599" s="81">
        <v>703.0</v>
      </c>
      <c r="D599" s="40">
        <v>4.756395869</v>
      </c>
      <c r="E599" s="41">
        <v>0.394025605</v>
      </c>
      <c r="F599" s="41">
        <v>0.201991465</v>
      </c>
      <c r="G599" s="41">
        <v>0.40398293</v>
      </c>
      <c r="H599" s="79">
        <f t="shared" si="1"/>
        <v>-0.009957325</v>
      </c>
      <c r="I599" s="42">
        <v>2.741539966</v>
      </c>
    </row>
    <row r="600">
      <c r="A600" s="1" t="s">
        <v>275</v>
      </c>
      <c r="B600" s="1">
        <v>693821.0</v>
      </c>
      <c r="C600" s="81">
        <v>865.0</v>
      </c>
      <c r="D600" s="40">
        <v>4.756251458</v>
      </c>
      <c r="E600" s="41">
        <v>0.383815029</v>
      </c>
      <c r="F600" s="41">
        <v>0.202312139</v>
      </c>
      <c r="G600" s="41">
        <v>0.413872832</v>
      </c>
      <c r="H600" s="79">
        <f t="shared" si="1"/>
        <v>-0.030057803</v>
      </c>
      <c r="I600" s="42">
        <v>8.948501671</v>
      </c>
    </row>
    <row r="601">
      <c r="A601" s="1" t="s">
        <v>1371</v>
      </c>
      <c r="B601" s="1">
        <v>598287.0</v>
      </c>
      <c r="C601" s="81">
        <v>828.0</v>
      </c>
      <c r="D601" s="40">
        <v>4.750763865</v>
      </c>
      <c r="E601" s="41">
        <v>0.40821256</v>
      </c>
      <c r="F601" s="41">
        <v>0.219806763</v>
      </c>
      <c r="G601" s="41">
        <v>0.371980676</v>
      </c>
      <c r="H601" s="79">
        <f t="shared" si="1"/>
        <v>0.036231884</v>
      </c>
      <c r="I601" s="42">
        <v>3.223650918</v>
      </c>
    </row>
    <row r="602" hidden="1">
      <c r="A602" s="1" t="s">
        <v>1372</v>
      </c>
      <c r="B602" s="1">
        <v>642203.0</v>
      </c>
      <c r="C602" s="81">
        <v>329.0</v>
      </c>
      <c r="D602" s="40">
        <v>4.748877517</v>
      </c>
      <c r="E602" s="41">
        <v>0.373860182</v>
      </c>
      <c r="F602" s="41">
        <v>0.255319149</v>
      </c>
      <c r="G602" s="41">
        <v>0.370820669</v>
      </c>
      <c r="H602" s="79">
        <f t="shared" si="1"/>
        <v>0.003039513</v>
      </c>
      <c r="I602" s="42">
        <v>-3.928030055</v>
      </c>
    </row>
    <row r="603">
      <c r="A603" s="1" t="s">
        <v>346</v>
      </c>
      <c r="B603" s="1">
        <v>660853.0</v>
      </c>
      <c r="C603" s="81">
        <v>810.0</v>
      </c>
      <c r="D603" s="40">
        <v>4.73928277</v>
      </c>
      <c r="E603" s="41">
        <v>0.382716049</v>
      </c>
      <c r="F603" s="41">
        <v>0.224691358</v>
      </c>
      <c r="G603" s="41">
        <v>0.392592593</v>
      </c>
      <c r="H603" s="79">
        <f t="shared" si="1"/>
        <v>-0.009876544</v>
      </c>
      <c r="I603" s="42">
        <v>9.652203676</v>
      </c>
    </row>
    <row r="604">
      <c r="A604" s="1" t="s">
        <v>478</v>
      </c>
      <c r="B604" s="1">
        <v>656457.0</v>
      </c>
      <c r="C604" s="81">
        <v>563.0</v>
      </c>
      <c r="D604" s="40">
        <v>4.738566836</v>
      </c>
      <c r="E604" s="41">
        <v>0.373001776</v>
      </c>
      <c r="F604" s="41">
        <v>0.207815275</v>
      </c>
      <c r="G604" s="41">
        <v>0.419182948</v>
      </c>
      <c r="H604" s="79">
        <f t="shared" si="1"/>
        <v>-0.046181172</v>
      </c>
      <c r="I604" s="42">
        <v>3.967221009</v>
      </c>
    </row>
    <row r="605" hidden="1">
      <c r="A605" s="1" t="s">
        <v>193</v>
      </c>
      <c r="B605" s="1">
        <v>668941.0</v>
      </c>
      <c r="C605" s="81">
        <v>271.0</v>
      </c>
      <c r="D605" s="40">
        <v>4.738042517</v>
      </c>
      <c r="E605" s="41">
        <v>0.350553506</v>
      </c>
      <c r="F605" s="41">
        <v>0.221402214</v>
      </c>
      <c r="G605" s="41">
        <v>0.42804428</v>
      </c>
      <c r="H605" s="79">
        <f t="shared" si="1"/>
        <v>-0.077490774</v>
      </c>
      <c r="I605" s="42">
        <v>0.826155371</v>
      </c>
    </row>
    <row r="606">
      <c r="A606" s="1" t="s">
        <v>1109</v>
      </c>
      <c r="B606" s="1">
        <v>598264.0</v>
      </c>
      <c r="C606" s="81">
        <v>686.0</v>
      </c>
      <c r="D606" s="40">
        <v>4.737769675</v>
      </c>
      <c r="E606" s="41">
        <v>0.403790087</v>
      </c>
      <c r="F606" s="41">
        <v>0.195335277</v>
      </c>
      <c r="G606" s="41">
        <v>0.400874636</v>
      </c>
      <c r="H606" s="79">
        <f t="shared" si="1"/>
        <v>0.002915451</v>
      </c>
      <c r="I606" s="42">
        <v>-4.763057889</v>
      </c>
    </row>
    <row r="607" hidden="1">
      <c r="A607" s="1" t="s">
        <v>739</v>
      </c>
      <c r="B607" s="1">
        <v>657756.0</v>
      </c>
      <c r="C607" s="81">
        <v>368.0</v>
      </c>
      <c r="D607" s="40">
        <v>4.73513344</v>
      </c>
      <c r="E607" s="41">
        <v>0.372282609</v>
      </c>
      <c r="F607" s="41">
        <v>0.222826087</v>
      </c>
      <c r="G607" s="41">
        <v>0.404891304</v>
      </c>
      <c r="H607" s="79">
        <f t="shared" si="1"/>
        <v>-0.032608695</v>
      </c>
      <c r="I607" s="42">
        <v>-12.40568939</v>
      </c>
    </row>
    <row r="608" hidden="1">
      <c r="A608" s="1" t="s">
        <v>1373</v>
      </c>
      <c r="B608" s="1">
        <v>667376.0</v>
      </c>
      <c r="C608" s="81">
        <v>208.0</v>
      </c>
      <c r="D608" s="40">
        <v>4.727608861</v>
      </c>
      <c r="E608" s="41">
        <v>0.355769231</v>
      </c>
      <c r="F608" s="41">
        <v>0.211538462</v>
      </c>
      <c r="G608" s="41">
        <v>0.432692308</v>
      </c>
      <c r="H608" s="79">
        <f t="shared" si="1"/>
        <v>-0.076923077</v>
      </c>
      <c r="I608" s="42">
        <v>-0.417138459</v>
      </c>
    </row>
    <row r="609" hidden="1">
      <c r="A609" s="1" t="s">
        <v>1200</v>
      </c>
      <c r="B609" s="1">
        <v>666818.0</v>
      </c>
      <c r="C609" s="81">
        <v>355.0</v>
      </c>
      <c r="D609" s="40">
        <v>4.722820842</v>
      </c>
      <c r="E609" s="41">
        <v>0.408450704</v>
      </c>
      <c r="F609" s="41">
        <v>0.185915493</v>
      </c>
      <c r="G609" s="41">
        <v>0.405633803</v>
      </c>
      <c r="H609" s="79">
        <f t="shared" si="1"/>
        <v>0.002816901</v>
      </c>
      <c r="I609" s="42">
        <v>-6.035094742</v>
      </c>
    </row>
    <row r="610">
      <c r="A610" s="1" t="s">
        <v>596</v>
      </c>
      <c r="B610" s="1">
        <v>674072.0</v>
      </c>
      <c r="C610" s="81">
        <v>767.0</v>
      </c>
      <c r="D610" s="40">
        <v>4.722269887</v>
      </c>
      <c r="E610" s="41">
        <v>0.415906128</v>
      </c>
      <c r="F610" s="41">
        <v>0.190352021</v>
      </c>
      <c r="G610" s="41">
        <v>0.393741851</v>
      </c>
      <c r="H610" s="79">
        <f t="shared" si="1"/>
        <v>0.022164277</v>
      </c>
      <c r="I610" s="42">
        <v>-0.299108175</v>
      </c>
    </row>
    <row r="611">
      <c r="A611" s="1" t="s">
        <v>546</v>
      </c>
      <c r="B611" s="1">
        <v>663455.0</v>
      </c>
      <c r="C611" s="81">
        <v>1029.0</v>
      </c>
      <c r="D611" s="40">
        <v>4.717650734</v>
      </c>
      <c r="E611" s="41">
        <v>0.405247813</v>
      </c>
      <c r="F611" s="41">
        <v>0.192419825</v>
      </c>
      <c r="G611" s="41">
        <v>0.402332362</v>
      </c>
      <c r="H611" s="79">
        <f t="shared" si="1"/>
        <v>0.002915451</v>
      </c>
      <c r="I611" s="42">
        <v>3.83790719</v>
      </c>
    </row>
    <row r="612">
      <c r="A612" s="1" t="s">
        <v>1234</v>
      </c>
      <c r="B612" s="1">
        <v>607237.0</v>
      </c>
      <c r="C612" s="81">
        <v>793.0</v>
      </c>
      <c r="D612" s="40">
        <v>4.715766279</v>
      </c>
      <c r="E612" s="41">
        <v>0.393442623</v>
      </c>
      <c r="F612" s="41">
        <v>0.194199243</v>
      </c>
      <c r="G612" s="41">
        <v>0.412358134</v>
      </c>
      <c r="H612" s="79">
        <f t="shared" si="1"/>
        <v>-0.018915511</v>
      </c>
      <c r="I612" s="42">
        <v>11.29784716</v>
      </c>
    </row>
    <row r="613">
      <c r="A613" s="1" t="s">
        <v>1374</v>
      </c>
      <c r="B613" s="1">
        <v>517008.0</v>
      </c>
      <c r="C613" s="81">
        <v>795.0</v>
      </c>
      <c r="D613" s="40">
        <v>4.712341497</v>
      </c>
      <c r="E613" s="41">
        <v>0.355974843</v>
      </c>
      <c r="F613" s="41">
        <v>0.216352201</v>
      </c>
      <c r="G613" s="41">
        <v>0.427672956</v>
      </c>
      <c r="H613" s="79">
        <f t="shared" si="1"/>
        <v>-0.071698113</v>
      </c>
      <c r="I613" s="42">
        <v>-12.74866138</v>
      </c>
    </row>
    <row r="614">
      <c r="A614" s="1" t="s">
        <v>1063</v>
      </c>
      <c r="B614" s="1">
        <v>656412.0</v>
      </c>
      <c r="C614" s="81">
        <v>957.0</v>
      </c>
      <c r="D614" s="40">
        <v>4.708369146</v>
      </c>
      <c r="E614" s="41">
        <v>0.370950888</v>
      </c>
      <c r="F614" s="41">
        <v>0.228840125</v>
      </c>
      <c r="G614" s="41">
        <v>0.400208986</v>
      </c>
      <c r="H614" s="79">
        <f t="shared" si="1"/>
        <v>-0.029258098</v>
      </c>
      <c r="I614" s="42">
        <v>-7.512769107</v>
      </c>
    </row>
    <row r="615" hidden="1">
      <c r="A615" s="1" t="s">
        <v>1211</v>
      </c>
      <c r="B615" s="1">
        <v>542585.0</v>
      </c>
      <c r="C615" s="81">
        <v>425.0</v>
      </c>
      <c r="D615" s="40">
        <v>4.707321101</v>
      </c>
      <c r="E615" s="41">
        <v>0.404705882</v>
      </c>
      <c r="F615" s="41">
        <v>0.185882353</v>
      </c>
      <c r="G615" s="41">
        <v>0.409411765</v>
      </c>
      <c r="H615" s="79">
        <f t="shared" si="1"/>
        <v>-0.004705883</v>
      </c>
      <c r="I615" s="42">
        <v>9.209897405</v>
      </c>
    </row>
    <row r="616">
      <c r="A616" s="1" t="s">
        <v>1243</v>
      </c>
      <c r="B616" s="1">
        <v>667427.0</v>
      </c>
      <c r="C616" s="81">
        <v>882.0</v>
      </c>
      <c r="D616" s="40">
        <v>4.705340494</v>
      </c>
      <c r="E616" s="41">
        <v>0.388888889</v>
      </c>
      <c r="F616" s="41">
        <v>0.174603175</v>
      </c>
      <c r="G616" s="41">
        <v>0.436507937</v>
      </c>
      <c r="H616" s="79">
        <f t="shared" si="1"/>
        <v>-0.047619048</v>
      </c>
      <c r="I616" s="42">
        <v>12.53127937</v>
      </c>
    </row>
    <row r="617">
      <c r="A617" s="1" t="s">
        <v>1246</v>
      </c>
      <c r="B617" s="1">
        <v>682051.0</v>
      </c>
      <c r="C617" s="81">
        <v>1009.0</v>
      </c>
      <c r="D617" s="40">
        <v>4.705181976</v>
      </c>
      <c r="E617" s="41">
        <v>0.376610505</v>
      </c>
      <c r="F617" s="41">
        <v>0.195242815</v>
      </c>
      <c r="G617" s="41">
        <v>0.42814668</v>
      </c>
      <c r="H617" s="79">
        <f t="shared" si="1"/>
        <v>-0.051536175</v>
      </c>
      <c r="I617" s="42">
        <v>-0.687217082</v>
      </c>
    </row>
    <row r="618" hidden="1">
      <c r="A618" s="1" t="s">
        <v>1375</v>
      </c>
      <c r="B618" s="1">
        <v>676831.0</v>
      </c>
      <c r="C618" s="81">
        <v>262.0</v>
      </c>
      <c r="D618" s="40">
        <v>4.705062424</v>
      </c>
      <c r="E618" s="41">
        <v>0.396946565</v>
      </c>
      <c r="F618" s="41">
        <v>0.20610687</v>
      </c>
      <c r="G618" s="41">
        <v>0.396946565</v>
      </c>
      <c r="H618" s="79">
        <f t="shared" si="1"/>
        <v>0</v>
      </c>
      <c r="I618" s="42">
        <v>1.865063257</v>
      </c>
    </row>
    <row r="619">
      <c r="A619" s="1" t="s">
        <v>433</v>
      </c>
      <c r="B619" s="1">
        <v>642397.0</v>
      </c>
      <c r="C619" s="81">
        <v>1097.0</v>
      </c>
      <c r="D619" s="40">
        <v>4.704664599</v>
      </c>
      <c r="E619" s="41">
        <v>0.42023701</v>
      </c>
      <c r="F619" s="41">
        <v>0.163172288</v>
      </c>
      <c r="G619" s="41">
        <v>0.416590702</v>
      </c>
      <c r="H619" s="79">
        <f t="shared" si="1"/>
        <v>0.003646308</v>
      </c>
      <c r="I619" s="42">
        <v>8.037138841</v>
      </c>
    </row>
    <row r="620">
      <c r="A620" s="1" t="s">
        <v>1376</v>
      </c>
      <c r="B620" s="1">
        <v>664161.0</v>
      </c>
      <c r="C620" s="81">
        <v>648.0</v>
      </c>
      <c r="D620" s="40">
        <v>4.701906824</v>
      </c>
      <c r="E620" s="41">
        <v>0.350308642</v>
      </c>
      <c r="F620" s="41">
        <v>0.217592593</v>
      </c>
      <c r="G620" s="41">
        <v>0.432098765</v>
      </c>
      <c r="H620" s="79">
        <f t="shared" si="1"/>
        <v>-0.081790123</v>
      </c>
      <c r="I620" s="42">
        <v>-0.505227914</v>
      </c>
    </row>
    <row r="621">
      <c r="A621" s="1" t="s">
        <v>646</v>
      </c>
      <c r="B621" s="1">
        <v>623211.0</v>
      </c>
      <c r="C621" s="81">
        <v>618.0</v>
      </c>
      <c r="D621" s="40">
        <v>4.70067117</v>
      </c>
      <c r="E621" s="41">
        <v>0.388349515</v>
      </c>
      <c r="F621" s="41">
        <v>0.190938511</v>
      </c>
      <c r="G621" s="41">
        <v>0.420711974</v>
      </c>
      <c r="H621" s="79">
        <f t="shared" si="1"/>
        <v>-0.032362459</v>
      </c>
      <c r="I621" s="42">
        <v>9.1627636</v>
      </c>
    </row>
    <row r="622" hidden="1">
      <c r="A622" s="1" t="s">
        <v>1377</v>
      </c>
      <c r="B622" s="1">
        <v>658551.0</v>
      </c>
      <c r="C622" s="81">
        <v>325.0</v>
      </c>
      <c r="D622" s="40">
        <v>4.699295889</v>
      </c>
      <c r="E622" s="41">
        <v>0.412307692</v>
      </c>
      <c r="F622" s="41">
        <v>0.181538462</v>
      </c>
      <c r="G622" s="41">
        <v>0.406153846</v>
      </c>
      <c r="H622" s="79">
        <f t="shared" si="1"/>
        <v>0.006153846</v>
      </c>
      <c r="I622" s="42">
        <v>-0.154018035</v>
      </c>
    </row>
    <row r="623">
      <c r="A623" s="1" t="s">
        <v>1231</v>
      </c>
      <c r="B623" s="1">
        <v>571479.0</v>
      </c>
      <c r="C623" s="81">
        <v>948.0</v>
      </c>
      <c r="D623" s="40">
        <v>4.699089876</v>
      </c>
      <c r="E623" s="41">
        <v>0.373417722</v>
      </c>
      <c r="F623" s="41">
        <v>0.205696203</v>
      </c>
      <c r="G623" s="41">
        <v>0.420886076</v>
      </c>
      <c r="H623" s="79">
        <f t="shared" si="1"/>
        <v>-0.047468354</v>
      </c>
      <c r="I623" s="42">
        <v>-4.928561875</v>
      </c>
    </row>
    <row r="624">
      <c r="A624" s="1" t="s">
        <v>215</v>
      </c>
      <c r="B624" s="1">
        <v>656234.0</v>
      </c>
      <c r="C624" s="81">
        <v>741.0</v>
      </c>
      <c r="D624" s="40">
        <v>4.697315117</v>
      </c>
      <c r="E624" s="41">
        <v>0.38731444</v>
      </c>
      <c r="F624" s="41">
        <v>0.198380567</v>
      </c>
      <c r="G624" s="41">
        <v>0.414304993</v>
      </c>
      <c r="H624" s="79">
        <f t="shared" si="1"/>
        <v>-0.026990553</v>
      </c>
      <c r="I624" s="42">
        <v>1.883484246</v>
      </c>
    </row>
    <row r="625" hidden="1">
      <c r="A625" s="1" t="s">
        <v>1378</v>
      </c>
      <c r="B625" s="1">
        <v>623485.0</v>
      </c>
      <c r="C625" s="81">
        <v>373.0</v>
      </c>
      <c r="D625" s="40">
        <v>4.696415622</v>
      </c>
      <c r="E625" s="41">
        <v>0.375335121</v>
      </c>
      <c r="F625" s="41">
        <v>0.227882038</v>
      </c>
      <c r="G625" s="41">
        <v>0.396782842</v>
      </c>
      <c r="H625" s="79">
        <f t="shared" si="1"/>
        <v>-0.021447721</v>
      </c>
      <c r="I625" s="42">
        <v>-3.405647642</v>
      </c>
    </row>
    <row r="626">
      <c r="A626" s="1" t="s">
        <v>311</v>
      </c>
      <c r="B626" s="1">
        <v>656546.0</v>
      </c>
      <c r="C626" s="81">
        <v>838.0</v>
      </c>
      <c r="D626" s="40">
        <v>4.694503422</v>
      </c>
      <c r="E626" s="41">
        <v>0.412887828</v>
      </c>
      <c r="F626" s="41">
        <v>0.143198091</v>
      </c>
      <c r="G626" s="41">
        <v>0.443914081</v>
      </c>
      <c r="H626" s="79">
        <f t="shared" si="1"/>
        <v>-0.031026253</v>
      </c>
      <c r="I626" s="42">
        <v>3.036828434</v>
      </c>
    </row>
    <row r="627" hidden="1">
      <c r="A627" s="1" t="s">
        <v>1379</v>
      </c>
      <c r="B627" s="1">
        <v>665645.0</v>
      </c>
      <c r="C627" s="81">
        <v>204.0</v>
      </c>
      <c r="D627" s="40">
        <v>4.690450578</v>
      </c>
      <c r="E627" s="41">
        <v>0.416666667</v>
      </c>
      <c r="F627" s="41">
        <v>0.171568627</v>
      </c>
      <c r="G627" s="41">
        <v>0.411764706</v>
      </c>
      <c r="H627" s="79">
        <f t="shared" si="1"/>
        <v>0.004901961</v>
      </c>
      <c r="I627" s="42">
        <v>-2.453939061</v>
      </c>
    </row>
    <row r="628">
      <c r="A628" s="1" t="s">
        <v>237</v>
      </c>
      <c r="B628" s="1">
        <v>663485.0</v>
      </c>
      <c r="C628" s="81">
        <v>596.0</v>
      </c>
      <c r="D628" s="40">
        <v>4.690241324</v>
      </c>
      <c r="E628" s="41">
        <v>0.369127517</v>
      </c>
      <c r="F628" s="41">
        <v>0.208053691</v>
      </c>
      <c r="G628" s="41">
        <v>0.422818792</v>
      </c>
      <c r="H628" s="79">
        <f t="shared" si="1"/>
        <v>-0.053691275</v>
      </c>
      <c r="I628" s="42">
        <v>1.795473922</v>
      </c>
    </row>
    <row r="629">
      <c r="A629" s="1" t="s">
        <v>1380</v>
      </c>
      <c r="B629" s="1">
        <v>475479.0</v>
      </c>
      <c r="C629" s="81">
        <v>1146.0</v>
      </c>
      <c r="D629" s="40">
        <v>4.689822086</v>
      </c>
      <c r="E629" s="41">
        <v>0.368237347</v>
      </c>
      <c r="F629" s="41">
        <v>0.205933682</v>
      </c>
      <c r="G629" s="41">
        <v>0.42582897</v>
      </c>
      <c r="H629" s="79">
        <f t="shared" si="1"/>
        <v>-0.057591623</v>
      </c>
      <c r="I629" s="42">
        <v>8.014775563</v>
      </c>
    </row>
    <row r="630">
      <c r="A630" s="1" t="s">
        <v>1218</v>
      </c>
      <c r="B630" s="1">
        <v>621076.0</v>
      </c>
      <c r="C630" s="81">
        <v>2214.0</v>
      </c>
      <c r="D630" s="40">
        <v>4.678376623</v>
      </c>
      <c r="E630" s="41">
        <v>0.364046974</v>
      </c>
      <c r="F630" s="41">
        <v>0.203703704</v>
      </c>
      <c r="G630" s="41">
        <v>0.432249322</v>
      </c>
      <c r="H630" s="79">
        <f t="shared" si="1"/>
        <v>-0.068202348</v>
      </c>
      <c r="I630" s="42">
        <v>9.515833664</v>
      </c>
    </row>
    <row r="631" hidden="1">
      <c r="A631" s="1" t="s">
        <v>1381</v>
      </c>
      <c r="B631" s="1">
        <v>685503.0</v>
      </c>
      <c r="C631" s="81">
        <v>387.0</v>
      </c>
      <c r="D631" s="40">
        <v>4.678224145</v>
      </c>
      <c r="E631" s="41">
        <v>0.379844961</v>
      </c>
      <c r="F631" s="41">
        <v>0.227390181</v>
      </c>
      <c r="G631" s="41">
        <v>0.392764858</v>
      </c>
      <c r="H631" s="79">
        <f t="shared" si="1"/>
        <v>-0.012919897</v>
      </c>
      <c r="I631" s="42">
        <v>-13.67392707</v>
      </c>
    </row>
    <row r="632" hidden="1">
      <c r="A632" s="1" t="s">
        <v>662</v>
      </c>
      <c r="B632" s="1">
        <v>655889.0</v>
      </c>
      <c r="C632" s="81">
        <v>202.0</v>
      </c>
      <c r="D632" s="40">
        <v>4.675101658</v>
      </c>
      <c r="E632" s="41">
        <v>0.381188119</v>
      </c>
      <c r="F632" s="41">
        <v>0.217821782</v>
      </c>
      <c r="G632" s="41">
        <v>0.400990099</v>
      </c>
      <c r="H632" s="79">
        <f t="shared" si="1"/>
        <v>-0.01980198</v>
      </c>
      <c r="I632" s="42">
        <v>1.961725389</v>
      </c>
    </row>
    <row r="633">
      <c r="A633" s="1" t="s">
        <v>1209</v>
      </c>
      <c r="B633" s="1">
        <v>543766.0</v>
      </c>
      <c r="C633" s="81">
        <v>949.0</v>
      </c>
      <c r="D633" s="40">
        <v>4.67369994</v>
      </c>
      <c r="E633" s="41">
        <v>0.358271865</v>
      </c>
      <c r="F633" s="41">
        <v>0.208640674</v>
      </c>
      <c r="G633" s="41">
        <v>0.43308746</v>
      </c>
      <c r="H633" s="79">
        <f t="shared" si="1"/>
        <v>-0.074815595</v>
      </c>
      <c r="I633" s="42">
        <v>-1.575958086</v>
      </c>
    </row>
    <row r="634" hidden="1">
      <c r="A634" s="1" t="s">
        <v>1382</v>
      </c>
      <c r="B634" s="1">
        <v>621082.0</v>
      </c>
      <c r="C634" s="81">
        <v>298.0</v>
      </c>
      <c r="D634" s="40">
        <v>4.671227238</v>
      </c>
      <c r="E634" s="41">
        <v>0.359060403</v>
      </c>
      <c r="F634" s="41">
        <v>0.187919463</v>
      </c>
      <c r="G634" s="41">
        <v>0.453020134</v>
      </c>
      <c r="H634" s="79">
        <f t="shared" si="1"/>
        <v>-0.093959731</v>
      </c>
      <c r="I634" s="42">
        <v>0.565423206</v>
      </c>
    </row>
    <row r="635">
      <c r="A635" s="1" t="s">
        <v>1223</v>
      </c>
      <c r="B635" s="1">
        <v>666204.0</v>
      </c>
      <c r="C635" s="81">
        <v>534.0</v>
      </c>
      <c r="D635" s="40">
        <v>4.66954317</v>
      </c>
      <c r="E635" s="41">
        <v>0.352059925</v>
      </c>
      <c r="F635" s="41">
        <v>0.200374532</v>
      </c>
      <c r="G635" s="41">
        <v>0.447565543</v>
      </c>
      <c r="H635" s="79">
        <f t="shared" si="1"/>
        <v>-0.095505618</v>
      </c>
      <c r="I635" s="42">
        <v>3.276517246</v>
      </c>
    </row>
    <row r="636">
      <c r="A636" s="1" t="s">
        <v>1239</v>
      </c>
      <c r="B636" s="1">
        <v>661383.0</v>
      </c>
      <c r="C636" s="81">
        <v>557.0</v>
      </c>
      <c r="D636" s="40">
        <v>4.66939958</v>
      </c>
      <c r="E636" s="41">
        <v>0.360861759</v>
      </c>
      <c r="F636" s="41">
        <v>0.222621185</v>
      </c>
      <c r="G636" s="41">
        <v>0.416517056</v>
      </c>
      <c r="H636" s="79">
        <f t="shared" si="1"/>
        <v>-0.055655297</v>
      </c>
      <c r="I636" s="42">
        <v>-0.038175883</v>
      </c>
    </row>
    <row r="637">
      <c r="A637" s="1" t="s">
        <v>1383</v>
      </c>
      <c r="B637" s="1">
        <v>605194.0</v>
      </c>
      <c r="C637" s="81">
        <v>737.0</v>
      </c>
      <c r="D637" s="40">
        <v>4.657106814</v>
      </c>
      <c r="E637" s="41">
        <v>0.394843962</v>
      </c>
      <c r="F637" s="41">
        <v>0.18046133</v>
      </c>
      <c r="G637" s="41">
        <v>0.424694708</v>
      </c>
      <c r="H637" s="79">
        <f t="shared" si="1"/>
        <v>-0.029850746</v>
      </c>
      <c r="I637" s="42">
        <v>8.526144188</v>
      </c>
    </row>
    <row r="638">
      <c r="A638" s="1" t="s">
        <v>1384</v>
      </c>
      <c r="B638" s="1">
        <v>468504.0</v>
      </c>
      <c r="C638" s="81">
        <v>776.0</v>
      </c>
      <c r="D638" s="40">
        <v>4.653910624</v>
      </c>
      <c r="E638" s="41">
        <v>0.324742268</v>
      </c>
      <c r="F638" s="41">
        <v>0.243556701</v>
      </c>
      <c r="G638" s="41">
        <v>0.431701031</v>
      </c>
      <c r="H638" s="79">
        <f t="shared" si="1"/>
        <v>-0.106958763</v>
      </c>
      <c r="I638" s="42">
        <v>-6.11357763</v>
      </c>
    </row>
    <row r="639">
      <c r="A639" s="1" t="s">
        <v>415</v>
      </c>
      <c r="B639" s="1">
        <v>656794.0</v>
      </c>
      <c r="C639" s="81">
        <v>505.0</v>
      </c>
      <c r="D639" s="40">
        <v>4.651997251</v>
      </c>
      <c r="E639" s="41">
        <v>0.382178218</v>
      </c>
      <c r="F639" s="41">
        <v>0.18019802</v>
      </c>
      <c r="G639" s="41">
        <v>0.437623762</v>
      </c>
      <c r="H639" s="79">
        <f t="shared" si="1"/>
        <v>-0.055445544</v>
      </c>
      <c r="I639" s="42">
        <v>-4.597082784</v>
      </c>
    </row>
    <row r="640">
      <c r="A640" s="1" t="s">
        <v>834</v>
      </c>
      <c r="B640" s="1">
        <v>519326.0</v>
      </c>
      <c r="C640" s="81">
        <v>1061.0</v>
      </c>
      <c r="D640" s="40">
        <v>4.650984218</v>
      </c>
      <c r="E640" s="41">
        <v>0.38265787</v>
      </c>
      <c r="F640" s="41">
        <v>0.224316682</v>
      </c>
      <c r="G640" s="41">
        <v>0.393025448</v>
      </c>
      <c r="H640" s="79">
        <f t="shared" si="1"/>
        <v>-0.010367578</v>
      </c>
      <c r="I640" s="42">
        <v>-0.239431664</v>
      </c>
    </row>
    <row r="641" hidden="1">
      <c r="A641" s="1" t="s">
        <v>1385</v>
      </c>
      <c r="B641" s="1">
        <v>650530.0</v>
      </c>
      <c r="C641" s="81">
        <v>313.0</v>
      </c>
      <c r="D641" s="40">
        <v>4.642037629</v>
      </c>
      <c r="E641" s="41">
        <v>0.408945687</v>
      </c>
      <c r="F641" s="41">
        <v>0.178913738</v>
      </c>
      <c r="G641" s="41">
        <v>0.412140575</v>
      </c>
      <c r="H641" s="79">
        <f t="shared" si="1"/>
        <v>-0.003194888</v>
      </c>
      <c r="I641" s="42">
        <v>2.436525353</v>
      </c>
    </row>
    <row r="642" hidden="1">
      <c r="A642" s="1" t="s">
        <v>435</v>
      </c>
      <c r="B642" s="1">
        <v>543056.0</v>
      </c>
      <c r="C642" s="81">
        <v>227.0</v>
      </c>
      <c r="D642" s="40">
        <v>4.635086084</v>
      </c>
      <c r="E642" s="41">
        <v>0.387665198</v>
      </c>
      <c r="F642" s="41">
        <v>0.167400881</v>
      </c>
      <c r="G642" s="41">
        <v>0.444933921</v>
      </c>
      <c r="H642" s="79">
        <f t="shared" si="1"/>
        <v>-0.057268723</v>
      </c>
      <c r="I642" s="42">
        <v>3.423728485</v>
      </c>
    </row>
    <row r="643" hidden="1">
      <c r="A643" s="1" t="s">
        <v>1386</v>
      </c>
      <c r="B643" s="1">
        <v>501625.0</v>
      </c>
      <c r="C643" s="81">
        <v>267.0</v>
      </c>
      <c r="D643" s="40">
        <v>4.626466045</v>
      </c>
      <c r="E643" s="41">
        <v>0.404494382</v>
      </c>
      <c r="F643" s="41">
        <v>0.202247191</v>
      </c>
      <c r="G643" s="41">
        <v>0.393258427</v>
      </c>
      <c r="H643" s="79">
        <f t="shared" si="1"/>
        <v>0.011235955</v>
      </c>
      <c r="I643" s="42">
        <v>-0.767252924</v>
      </c>
    </row>
    <row r="644" hidden="1">
      <c r="A644" s="1" t="s">
        <v>663</v>
      </c>
      <c r="B644" s="1">
        <v>670059.0</v>
      </c>
      <c r="C644" s="81">
        <v>421.0</v>
      </c>
      <c r="D644" s="40">
        <v>4.624462629</v>
      </c>
      <c r="E644" s="41">
        <v>0.41567696</v>
      </c>
      <c r="F644" s="41">
        <v>0.163895487</v>
      </c>
      <c r="G644" s="41">
        <v>0.420427553</v>
      </c>
      <c r="H644" s="79">
        <f t="shared" si="1"/>
        <v>-0.004750593</v>
      </c>
      <c r="I644" s="42">
        <v>2.436768425</v>
      </c>
    </row>
    <row r="645">
      <c r="A645" s="1" t="s">
        <v>730</v>
      </c>
      <c r="B645" s="1">
        <v>554431.0</v>
      </c>
      <c r="C645" s="81">
        <v>705.0</v>
      </c>
      <c r="D645" s="40">
        <v>4.620673119</v>
      </c>
      <c r="E645" s="41">
        <v>0.432624113</v>
      </c>
      <c r="F645" s="41">
        <v>0.163120567</v>
      </c>
      <c r="G645" s="41">
        <v>0.404255319</v>
      </c>
      <c r="H645" s="79">
        <f t="shared" si="1"/>
        <v>0.028368794</v>
      </c>
      <c r="I645" s="42">
        <v>6.588738429</v>
      </c>
    </row>
    <row r="646" hidden="1">
      <c r="A646" s="1" t="s">
        <v>1387</v>
      </c>
      <c r="B646" s="1">
        <v>621593.0</v>
      </c>
      <c r="C646" s="81">
        <v>257.0</v>
      </c>
      <c r="D646" s="40">
        <v>4.617905619</v>
      </c>
      <c r="E646" s="41">
        <v>0.39688716</v>
      </c>
      <c r="F646" s="41">
        <v>0.190661479</v>
      </c>
      <c r="G646" s="41">
        <v>0.412451362</v>
      </c>
      <c r="H646" s="79">
        <f t="shared" si="1"/>
        <v>-0.015564202</v>
      </c>
      <c r="I646" s="42">
        <v>-5.825561055</v>
      </c>
    </row>
    <row r="647" hidden="1">
      <c r="A647" s="1" t="s">
        <v>743</v>
      </c>
      <c r="B647" s="1">
        <v>657053.0</v>
      </c>
      <c r="C647" s="81">
        <v>430.0</v>
      </c>
      <c r="D647" s="40">
        <v>4.607454707</v>
      </c>
      <c r="E647" s="41">
        <v>0.409302326</v>
      </c>
      <c r="F647" s="41">
        <v>0.146511628</v>
      </c>
      <c r="G647" s="41">
        <v>0.444186047</v>
      </c>
      <c r="H647" s="79">
        <f t="shared" si="1"/>
        <v>-0.034883721</v>
      </c>
      <c r="I647" s="42">
        <v>8.034900582</v>
      </c>
    </row>
    <row r="648">
      <c r="A648" s="1" t="s">
        <v>1240</v>
      </c>
      <c r="B648" s="1">
        <v>672851.0</v>
      </c>
      <c r="C648" s="81">
        <v>1195.0</v>
      </c>
      <c r="D648" s="40">
        <v>4.607435517</v>
      </c>
      <c r="E648" s="41">
        <v>0.365690377</v>
      </c>
      <c r="F648" s="41">
        <v>0.220920502</v>
      </c>
      <c r="G648" s="41">
        <v>0.413389121</v>
      </c>
      <c r="H648" s="79">
        <f t="shared" si="1"/>
        <v>-0.047698744</v>
      </c>
      <c r="I648" s="42">
        <v>-7.321404649</v>
      </c>
    </row>
    <row r="649" hidden="1">
      <c r="A649" s="1" t="s">
        <v>1388</v>
      </c>
      <c r="B649" s="1">
        <v>608652.0</v>
      </c>
      <c r="C649" s="81">
        <v>282.0</v>
      </c>
      <c r="D649" s="40">
        <v>4.606731613</v>
      </c>
      <c r="E649" s="41">
        <v>0.365248227</v>
      </c>
      <c r="F649" s="41">
        <v>0.184397163</v>
      </c>
      <c r="G649" s="41">
        <v>0.45035461</v>
      </c>
      <c r="H649" s="79">
        <f t="shared" si="1"/>
        <v>-0.085106383</v>
      </c>
      <c r="I649" s="42">
        <v>-3.519237063</v>
      </c>
    </row>
    <row r="650" hidden="1">
      <c r="A650" s="1" t="s">
        <v>1389</v>
      </c>
      <c r="B650" s="1">
        <v>667465.0</v>
      </c>
      <c r="C650" s="81">
        <v>172.0</v>
      </c>
      <c r="D650" s="40">
        <v>4.59787425</v>
      </c>
      <c r="E650" s="41">
        <v>0.36627907</v>
      </c>
      <c r="F650" s="41">
        <v>0.156976744</v>
      </c>
      <c r="G650" s="41">
        <v>0.476744186</v>
      </c>
      <c r="H650" s="79">
        <f t="shared" si="1"/>
        <v>-0.110465116</v>
      </c>
      <c r="I650" s="42">
        <v>0.611685882</v>
      </c>
    </row>
    <row r="651" hidden="1">
      <c r="A651" s="1" t="s">
        <v>1185</v>
      </c>
      <c r="B651" s="1">
        <v>593619.0</v>
      </c>
      <c r="C651" s="81">
        <v>362.0</v>
      </c>
      <c r="D651" s="40">
        <v>4.591854771</v>
      </c>
      <c r="E651" s="41">
        <v>0.372928177</v>
      </c>
      <c r="F651" s="41">
        <v>0.201657459</v>
      </c>
      <c r="G651" s="41">
        <v>0.425414365</v>
      </c>
      <c r="H651" s="79">
        <f t="shared" si="1"/>
        <v>-0.052486188</v>
      </c>
      <c r="I651" s="42">
        <v>-5.32951119</v>
      </c>
    </row>
    <row r="652">
      <c r="A652" s="1" t="s">
        <v>1390</v>
      </c>
      <c r="B652" s="1">
        <v>503449.0</v>
      </c>
      <c r="C652" s="81">
        <v>685.0</v>
      </c>
      <c r="D652" s="40">
        <v>4.590104277</v>
      </c>
      <c r="E652" s="41">
        <v>0.353284672</v>
      </c>
      <c r="F652" s="41">
        <v>0.191240876</v>
      </c>
      <c r="G652" s="41">
        <v>0.455474453</v>
      </c>
      <c r="H652" s="79">
        <f t="shared" si="1"/>
        <v>-0.102189781</v>
      </c>
      <c r="I652" s="42">
        <v>5.570344418</v>
      </c>
    </row>
    <row r="653" hidden="1">
      <c r="A653" s="1" t="s">
        <v>1391</v>
      </c>
      <c r="B653" s="1">
        <v>671790.0</v>
      </c>
      <c r="C653" s="81">
        <v>330.0</v>
      </c>
      <c r="D653" s="40">
        <v>4.556018415</v>
      </c>
      <c r="E653" s="41">
        <v>0.363636364</v>
      </c>
      <c r="F653" s="41">
        <v>0.203030303</v>
      </c>
      <c r="G653" s="41">
        <v>0.433333333</v>
      </c>
      <c r="H653" s="79">
        <f t="shared" si="1"/>
        <v>-0.069696969</v>
      </c>
      <c r="I653" s="42">
        <v>-2.465101352</v>
      </c>
    </row>
    <row r="654" hidden="1">
      <c r="A654" s="1" t="s">
        <v>1392</v>
      </c>
      <c r="B654" s="1">
        <v>643290.0</v>
      </c>
      <c r="C654" s="81">
        <v>463.0</v>
      </c>
      <c r="D654" s="40">
        <v>4.549325443</v>
      </c>
      <c r="E654" s="41">
        <v>0.367170626</v>
      </c>
      <c r="F654" s="41">
        <v>0.187904968</v>
      </c>
      <c r="G654" s="41">
        <v>0.444924406</v>
      </c>
      <c r="H654" s="79">
        <f t="shared" si="1"/>
        <v>-0.07775378</v>
      </c>
      <c r="I654" s="42">
        <v>-3.995551749</v>
      </c>
    </row>
    <row r="655" hidden="1">
      <c r="A655" s="1" t="s">
        <v>1252</v>
      </c>
      <c r="B655" s="1">
        <v>660906.0</v>
      </c>
      <c r="C655" s="81">
        <v>204.0</v>
      </c>
      <c r="D655" s="40">
        <v>4.546425456</v>
      </c>
      <c r="E655" s="41">
        <v>0.387254902</v>
      </c>
      <c r="F655" s="41">
        <v>0.171568627</v>
      </c>
      <c r="G655" s="41">
        <v>0.441176471</v>
      </c>
      <c r="H655" s="79">
        <f t="shared" si="1"/>
        <v>-0.053921569</v>
      </c>
      <c r="I655" s="42">
        <v>-2.435910847</v>
      </c>
    </row>
    <row r="656">
      <c r="A656" s="1" t="s">
        <v>418</v>
      </c>
      <c r="B656" s="1">
        <v>657649.0</v>
      </c>
      <c r="C656" s="81">
        <v>643.0</v>
      </c>
      <c r="D656" s="40">
        <v>4.545809205</v>
      </c>
      <c r="E656" s="41">
        <v>0.351477449</v>
      </c>
      <c r="F656" s="41">
        <v>0.208398134</v>
      </c>
      <c r="G656" s="41">
        <v>0.440124417</v>
      </c>
      <c r="H656" s="79">
        <f t="shared" si="1"/>
        <v>-0.088646968</v>
      </c>
      <c r="I656" s="42">
        <v>1.66887689</v>
      </c>
    </row>
    <row r="657" hidden="1">
      <c r="A657" s="1" t="s">
        <v>1393</v>
      </c>
      <c r="B657" s="1">
        <v>668873.0</v>
      </c>
      <c r="C657" s="81">
        <v>234.0</v>
      </c>
      <c r="D657" s="40">
        <v>4.538669432</v>
      </c>
      <c r="E657" s="41">
        <v>0.376068376</v>
      </c>
      <c r="F657" s="41">
        <v>0.158119658</v>
      </c>
      <c r="G657" s="41">
        <v>0.465811966</v>
      </c>
      <c r="H657" s="79">
        <f t="shared" si="1"/>
        <v>-0.08974359</v>
      </c>
      <c r="I657" s="42">
        <v>2.536131037</v>
      </c>
    </row>
    <row r="658" hidden="1">
      <c r="A658" s="1" t="s">
        <v>1394</v>
      </c>
      <c r="B658" s="1">
        <v>664337.0</v>
      </c>
      <c r="C658" s="81">
        <v>465.0</v>
      </c>
      <c r="D658" s="40">
        <v>4.525186695</v>
      </c>
      <c r="E658" s="41">
        <v>0.344086022</v>
      </c>
      <c r="F658" s="41">
        <v>0.187096774</v>
      </c>
      <c r="G658" s="41">
        <v>0.468817204</v>
      </c>
      <c r="H658" s="79">
        <f t="shared" si="1"/>
        <v>-0.124731182</v>
      </c>
      <c r="I658" s="42">
        <v>-5.484250034</v>
      </c>
    </row>
    <row r="659">
      <c r="A659" s="1" t="s">
        <v>1260</v>
      </c>
      <c r="B659" s="1">
        <v>659275.0</v>
      </c>
      <c r="C659" s="81">
        <v>577.0</v>
      </c>
      <c r="D659" s="40">
        <v>4.493787549</v>
      </c>
      <c r="E659" s="41">
        <v>0.334488735</v>
      </c>
      <c r="F659" s="41">
        <v>0.220103986</v>
      </c>
      <c r="G659" s="41">
        <v>0.445407279</v>
      </c>
      <c r="H659" s="79">
        <f t="shared" si="1"/>
        <v>-0.110918544</v>
      </c>
      <c r="I659" s="42">
        <v>1.50800713</v>
      </c>
    </row>
    <row r="660" hidden="1">
      <c r="A660" s="1" t="s">
        <v>295</v>
      </c>
      <c r="B660" s="1">
        <v>657585.0</v>
      </c>
      <c r="C660" s="81">
        <v>196.0</v>
      </c>
      <c r="D660" s="40">
        <v>4.472485061</v>
      </c>
      <c r="E660" s="41">
        <v>0.336734694</v>
      </c>
      <c r="F660" s="41">
        <v>0.239795918</v>
      </c>
      <c r="G660" s="41">
        <v>0.423469388</v>
      </c>
      <c r="H660" s="79">
        <f t="shared" si="1"/>
        <v>-0.086734694</v>
      </c>
      <c r="I660" s="42">
        <v>-3.485205262</v>
      </c>
    </row>
    <row r="661" hidden="1">
      <c r="A661" s="1" t="s">
        <v>755</v>
      </c>
      <c r="B661" s="1">
        <v>646242.0</v>
      </c>
      <c r="C661" s="81">
        <v>236.0</v>
      </c>
      <c r="D661" s="40">
        <v>4.457189576</v>
      </c>
      <c r="E661" s="41">
        <v>0.351694915</v>
      </c>
      <c r="F661" s="41">
        <v>0.216101695</v>
      </c>
      <c r="G661" s="41">
        <v>0.43220339</v>
      </c>
      <c r="H661" s="79">
        <f t="shared" si="1"/>
        <v>-0.080508475</v>
      </c>
      <c r="I661" s="42">
        <v>-0.831991855</v>
      </c>
    </row>
    <row r="662" hidden="1">
      <c r="A662" s="1" t="s">
        <v>1172</v>
      </c>
      <c r="B662" s="1">
        <v>670046.0</v>
      </c>
      <c r="C662" s="81">
        <v>192.0</v>
      </c>
      <c r="D662" s="40">
        <v>4.397697401</v>
      </c>
      <c r="E662" s="41">
        <v>0.333333333</v>
      </c>
      <c r="F662" s="41">
        <v>0.171875</v>
      </c>
      <c r="G662" s="41">
        <v>0.494791667</v>
      </c>
      <c r="H662" s="79">
        <f t="shared" si="1"/>
        <v>-0.161458334</v>
      </c>
      <c r="I662" s="42">
        <v>0.42922574</v>
      </c>
    </row>
    <row r="663" hidden="1">
      <c r="A663" s="1" t="s">
        <v>1395</v>
      </c>
      <c r="B663" s="1">
        <v>641394.0</v>
      </c>
      <c r="C663" s="81">
        <v>158.0</v>
      </c>
      <c r="D663" s="40">
        <v>4.390733089</v>
      </c>
      <c r="E663" s="41">
        <v>0.392405063</v>
      </c>
      <c r="F663" s="41">
        <v>0.164556962</v>
      </c>
      <c r="G663" s="41">
        <v>0.443037975</v>
      </c>
      <c r="H663" s="79">
        <f t="shared" si="1"/>
        <v>-0.050632912</v>
      </c>
      <c r="I663" s="42">
        <v>-4.051603126</v>
      </c>
    </row>
    <row r="664" hidden="1">
      <c r="A664" s="1" t="s">
        <v>1396</v>
      </c>
      <c r="B664" s="1">
        <v>681885.0</v>
      </c>
      <c r="C664" s="81">
        <v>165.0</v>
      </c>
      <c r="D664" s="40">
        <v>4.355747939</v>
      </c>
      <c r="E664" s="41">
        <v>0.375757576</v>
      </c>
      <c r="F664" s="41">
        <v>0.139393939</v>
      </c>
      <c r="G664" s="41">
        <v>0.484848485</v>
      </c>
      <c r="H664" s="79">
        <f t="shared" si="1"/>
        <v>-0.109090909</v>
      </c>
      <c r="I664" s="42">
        <v>-1.54195044</v>
      </c>
    </row>
    <row r="665" hidden="1">
      <c r="A665" s="1" t="s">
        <v>1250</v>
      </c>
      <c r="B665" s="1">
        <v>663385.0</v>
      </c>
      <c r="C665" s="81">
        <v>334.0</v>
      </c>
      <c r="D665" s="40">
        <v>4.351503731</v>
      </c>
      <c r="E665" s="41">
        <v>0.347305389</v>
      </c>
      <c r="F665" s="41">
        <v>0.146706587</v>
      </c>
      <c r="G665" s="41">
        <v>0.505988024</v>
      </c>
      <c r="H665" s="79">
        <f t="shared" si="1"/>
        <v>-0.158682635</v>
      </c>
      <c r="I665" s="42">
        <v>1.142183569</v>
      </c>
    </row>
    <row r="666" hidden="1">
      <c r="A666" s="1" t="s">
        <v>1255</v>
      </c>
      <c r="B666" s="1">
        <v>665896.0</v>
      </c>
      <c r="C666" s="81">
        <v>263.0</v>
      </c>
      <c r="D666" s="40">
        <v>4.328993156</v>
      </c>
      <c r="E666" s="41">
        <v>0.357414449</v>
      </c>
      <c r="F666" s="41">
        <v>0.178707224</v>
      </c>
      <c r="G666" s="41">
        <v>0.463878327</v>
      </c>
      <c r="H666" s="79">
        <f t="shared" si="1"/>
        <v>-0.106463878</v>
      </c>
      <c r="I666" s="42">
        <v>5.117233348</v>
      </c>
    </row>
    <row r="667" hidden="1">
      <c r="A667" s="1" t="s">
        <v>1397</v>
      </c>
      <c r="B667" s="1">
        <v>669935.0</v>
      </c>
      <c r="C667" s="81">
        <v>151.0</v>
      </c>
      <c r="D667" s="40">
        <v>4.117949609</v>
      </c>
      <c r="E667" s="41">
        <v>0.317880795</v>
      </c>
      <c r="F667" s="41">
        <v>0.218543046</v>
      </c>
      <c r="G667" s="41">
        <v>0.463576159</v>
      </c>
      <c r="H667" s="79">
        <f t="shared" si="1"/>
        <v>-0.145695364</v>
      </c>
      <c r="I667" s="42">
        <v>-2.908599949</v>
      </c>
    </row>
    <row r="668" hidden="1">
      <c r="A668" s="1" t="s">
        <v>1398</v>
      </c>
      <c r="B668" s="1">
        <v>659262.0</v>
      </c>
      <c r="C668" s="81">
        <v>317.0</v>
      </c>
      <c r="D668" s="40">
        <v>4.101917524</v>
      </c>
      <c r="E668" s="41">
        <v>0.283911672</v>
      </c>
      <c r="F668" s="41">
        <v>0.1829653</v>
      </c>
      <c r="G668" s="41">
        <v>0.533123028</v>
      </c>
      <c r="H668" s="79">
        <f t="shared" si="1"/>
        <v>-0.249211356</v>
      </c>
      <c r="I668" s="42">
        <v>6.11452984</v>
      </c>
    </row>
    <row r="669" hidden="1">
      <c r="A669" s="1" t="s">
        <v>1399</v>
      </c>
      <c r="B669" s="1">
        <v>593643.0</v>
      </c>
      <c r="C669" s="81">
        <v>150.0</v>
      </c>
      <c r="D669" s="40">
        <v>3.7747465</v>
      </c>
      <c r="E669" s="41">
        <v>0.233333333</v>
      </c>
      <c r="F669" s="41">
        <v>0.1</v>
      </c>
      <c r="G669" s="41">
        <v>0.666666667</v>
      </c>
      <c r="H669" s="79">
        <f t="shared" si="1"/>
        <v>-0.433333334</v>
      </c>
      <c r="I669" s="42">
        <v>0.918417243</v>
      </c>
    </row>
    <row r="670" hidden="1">
      <c r="C670" s="81"/>
      <c r="D670" s="40"/>
      <c r="E670" s="41"/>
      <c r="F670" s="41"/>
      <c r="G670" s="41"/>
      <c r="H670" s="79"/>
      <c r="I670" s="42"/>
    </row>
    <row r="671" hidden="1">
      <c r="C671" s="81"/>
      <c r="D671" s="40"/>
      <c r="E671" s="41"/>
      <c r="F671" s="41"/>
      <c r="G671" s="41"/>
      <c r="H671" s="79"/>
      <c r="I671" s="42"/>
    </row>
    <row r="672" hidden="1">
      <c r="C672" s="81"/>
      <c r="D672" s="40"/>
      <c r="E672" s="41"/>
      <c r="F672" s="41"/>
      <c r="G672" s="41"/>
      <c r="H672" s="79"/>
      <c r="I672" s="42"/>
    </row>
    <row r="673" hidden="1">
      <c r="C673" s="81"/>
      <c r="D673" s="40"/>
      <c r="E673" s="41"/>
      <c r="F673" s="41"/>
      <c r="G673" s="41"/>
      <c r="H673" s="79"/>
      <c r="I673" s="42"/>
    </row>
    <row r="674" hidden="1">
      <c r="C674" s="81"/>
      <c r="D674" s="40"/>
      <c r="E674" s="41"/>
      <c r="F674" s="41"/>
      <c r="G674" s="41"/>
      <c r="H674" s="79"/>
      <c r="I674" s="42"/>
    </row>
    <row r="675" hidden="1">
      <c r="C675" s="81"/>
      <c r="D675" s="40"/>
      <c r="E675" s="41"/>
      <c r="F675" s="41"/>
      <c r="G675" s="41"/>
      <c r="H675" s="79"/>
      <c r="I675" s="42"/>
    </row>
    <row r="676" hidden="1">
      <c r="C676" s="81"/>
      <c r="D676" s="40"/>
      <c r="E676" s="41"/>
      <c r="F676" s="41"/>
      <c r="G676" s="41"/>
      <c r="H676" s="79"/>
      <c r="I676" s="42"/>
    </row>
    <row r="677" hidden="1">
      <c r="C677" s="81"/>
      <c r="D677" s="40"/>
      <c r="E677" s="41"/>
      <c r="F677" s="41"/>
      <c r="G677" s="41"/>
      <c r="H677" s="79"/>
      <c r="I677" s="42"/>
    </row>
    <row r="678" hidden="1">
      <c r="C678" s="81"/>
      <c r="D678" s="40"/>
      <c r="E678" s="41"/>
      <c r="F678" s="41"/>
      <c r="G678" s="41"/>
      <c r="H678" s="79"/>
      <c r="I678" s="42"/>
    </row>
    <row r="679" hidden="1">
      <c r="C679" s="81"/>
      <c r="D679" s="40"/>
      <c r="E679" s="41"/>
      <c r="F679" s="41"/>
      <c r="G679" s="41"/>
      <c r="H679" s="79"/>
      <c r="I679" s="42"/>
    </row>
    <row r="680" hidden="1">
      <c r="C680" s="81"/>
      <c r="D680" s="40"/>
      <c r="E680" s="41"/>
      <c r="F680" s="41"/>
      <c r="G680" s="41"/>
      <c r="H680" s="79"/>
      <c r="I680" s="42"/>
    </row>
    <row r="681" hidden="1">
      <c r="C681" s="81"/>
      <c r="D681" s="40"/>
      <c r="E681" s="41"/>
      <c r="F681" s="41"/>
      <c r="G681" s="41"/>
      <c r="H681" s="79"/>
      <c r="I681" s="42"/>
    </row>
    <row r="682" hidden="1">
      <c r="C682" s="81"/>
      <c r="D682" s="40"/>
      <c r="E682" s="41"/>
      <c r="F682" s="41"/>
      <c r="G682" s="41"/>
      <c r="H682" s="79"/>
      <c r="I682" s="42"/>
    </row>
    <row r="683" hidden="1">
      <c r="C683" s="81"/>
      <c r="D683" s="40"/>
      <c r="E683" s="41"/>
      <c r="F683" s="41"/>
      <c r="G683" s="41"/>
      <c r="H683" s="79"/>
      <c r="I683" s="42"/>
    </row>
    <row r="684">
      <c r="E684" s="84"/>
      <c r="F684" s="84"/>
      <c r="G684" s="84"/>
    </row>
    <row r="685">
      <c r="E685" s="84"/>
      <c r="F685" s="84"/>
      <c r="G685" s="84"/>
    </row>
    <row r="686">
      <c r="E686" s="84"/>
      <c r="F686" s="84"/>
      <c r="G686" s="84"/>
    </row>
    <row r="687">
      <c r="E687" s="84"/>
      <c r="F687" s="84"/>
      <c r="G687" s="84"/>
    </row>
    <row r="688">
      <c r="E688" s="84"/>
      <c r="F688" s="84"/>
      <c r="G688" s="84"/>
    </row>
    <row r="689">
      <c r="E689" s="84"/>
      <c r="F689" s="84"/>
      <c r="G689" s="84"/>
    </row>
    <row r="690">
      <c r="E690" s="84"/>
      <c r="F690" s="84"/>
      <c r="G690" s="84"/>
    </row>
    <row r="691">
      <c r="E691" s="84"/>
      <c r="F691" s="84"/>
      <c r="G691" s="84"/>
    </row>
    <row r="692">
      <c r="E692" s="84"/>
      <c r="F692" s="84"/>
      <c r="G692" s="84"/>
    </row>
    <row r="693">
      <c r="E693" s="84"/>
      <c r="F693" s="84"/>
      <c r="G693" s="84"/>
    </row>
    <row r="694">
      <c r="E694" s="84"/>
      <c r="F694" s="84"/>
      <c r="G694" s="84"/>
    </row>
    <row r="695">
      <c r="E695" s="84"/>
      <c r="F695" s="84"/>
      <c r="G695" s="84"/>
    </row>
    <row r="696">
      <c r="E696" s="84"/>
      <c r="F696" s="84"/>
      <c r="G696" s="84"/>
    </row>
    <row r="697">
      <c r="E697" s="84"/>
      <c r="F697" s="84"/>
      <c r="G697" s="84"/>
    </row>
    <row r="698">
      <c r="E698" s="84"/>
      <c r="F698" s="84"/>
      <c r="G698" s="84"/>
    </row>
    <row r="699">
      <c r="E699" s="84"/>
      <c r="F699" s="84"/>
      <c r="G699" s="84"/>
    </row>
    <row r="700">
      <c r="E700" s="84"/>
      <c r="F700" s="84"/>
      <c r="G700" s="84"/>
    </row>
    <row r="701">
      <c r="E701" s="84"/>
      <c r="F701" s="84"/>
      <c r="G701" s="84"/>
    </row>
    <row r="702">
      <c r="E702" s="84"/>
      <c r="F702" s="84"/>
      <c r="G702" s="84"/>
    </row>
    <row r="703">
      <c r="E703" s="84"/>
      <c r="F703" s="84"/>
      <c r="G703" s="84"/>
    </row>
    <row r="704">
      <c r="E704" s="84"/>
      <c r="F704" s="84"/>
      <c r="G704" s="84"/>
    </row>
    <row r="705">
      <c r="E705" s="84"/>
      <c r="F705" s="84"/>
      <c r="G705" s="84"/>
    </row>
    <row r="706">
      <c r="E706" s="84"/>
      <c r="F706" s="84"/>
      <c r="G706" s="84"/>
    </row>
    <row r="707">
      <c r="E707" s="84"/>
      <c r="F707" s="84"/>
      <c r="G707" s="84"/>
    </row>
    <row r="708">
      <c r="E708" s="84"/>
      <c r="F708" s="84"/>
      <c r="G708" s="84"/>
    </row>
    <row r="709">
      <c r="E709" s="84"/>
      <c r="F709" s="84"/>
      <c r="G709" s="84"/>
    </row>
    <row r="710">
      <c r="E710" s="84"/>
      <c r="F710" s="84"/>
      <c r="G710" s="84"/>
    </row>
    <row r="711">
      <c r="E711" s="84"/>
      <c r="F711" s="84"/>
      <c r="G711" s="84"/>
    </row>
    <row r="712">
      <c r="E712" s="84"/>
      <c r="F712" s="84"/>
      <c r="G712" s="84"/>
    </row>
    <row r="713">
      <c r="E713" s="84"/>
      <c r="F713" s="84"/>
      <c r="G713" s="84"/>
    </row>
    <row r="714">
      <c r="E714" s="84"/>
      <c r="F714" s="84"/>
      <c r="G714" s="84"/>
    </row>
    <row r="715">
      <c r="E715" s="84"/>
      <c r="F715" s="84"/>
      <c r="G715" s="84"/>
    </row>
    <row r="716">
      <c r="E716" s="84"/>
      <c r="F716" s="84"/>
      <c r="G716" s="84"/>
    </row>
    <row r="717">
      <c r="E717" s="84"/>
      <c r="F717" s="84"/>
      <c r="G717" s="84"/>
    </row>
    <row r="718">
      <c r="E718" s="84"/>
      <c r="F718" s="84"/>
      <c r="G718" s="84"/>
    </row>
    <row r="719">
      <c r="E719" s="84"/>
      <c r="F719" s="84"/>
      <c r="G719" s="84"/>
    </row>
    <row r="720">
      <c r="E720" s="84"/>
      <c r="F720" s="84"/>
      <c r="G720" s="84"/>
    </row>
    <row r="721">
      <c r="E721" s="84"/>
      <c r="F721" s="84"/>
      <c r="G721" s="84"/>
    </row>
    <row r="722">
      <c r="E722" s="84"/>
      <c r="F722" s="84"/>
      <c r="G722" s="84"/>
    </row>
    <row r="723">
      <c r="E723" s="84"/>
      <c r="F723" s="84"/>
      <c r="G723" s="84"/>
    </row>
    <row r="724">
      <c r="E724" s="84"/>
      <c r="F724" s="84"/>
      <c r="G724" s="84"/>
    </row>
    <row r="725">
      <c r="E725" s="84"/>
      <c r="F725" s="84"/>
      <c r="G725" s="84"/>
    </row>
    <row r="726">
      <c r="E726" s="84"/>
      <c r="F726" s="84"/>
      <c r="G726" s="84"/>
    </row>
    <row r="727">
      <c r="E727" s="84"/>
      <c r="F727" s="84"/>
      <c r="G727" s="84"/>
    </row>
    <row r="728">
      <c r="E728" s="84"/>
      <c r="F728" s="84"/>
      <c r="G728" s="84"/>
    </row>
    <row r="729">
      <c r="E729" s="84"/>
      <c r="F729" s="84"/>
      <c r="G729" s="84"/>
    </row>
    <row r="730">
      <c r="E730" s="84"/>
      <c r="F730" s="84"/>
      <c r="G730" s="84"/>
    </row>
    <row r="731">
      <c r="E731" s="84"/>
      <c r="F731" s="84"/>
      <c r="G731" s="84"/>
    </row>
    <row r="732">
      <c r="E732" s="84"/>
      <c r="F732" s="84"/>
      <c r="G732" s="84"/>
    </row>
    <row r="733">
      <c r="E733" s="84"/>
      <c r="F733" s="84"/>
      <c r="G733" s="84"/>
    </row>
    <row r="734">
      <c r="E734" s="84"/>
      <c r="F734" s="84"/>
      <c r="G734" s="84"/>
    </row>
    <row r="735">
      <c r="E735" s="84"/>
      <c r="F735" s="84"/>
      <c r="G735" s="84"/>
    </row>
    <row r="736">
      <c r="E736" s="84"/>
      <c r="F736" s="84"/>
      <c r="G736" s="84"/>
    </row>
    <row r="737">
      <c r="E737" s="84"/>
      <c r="F737" s="84"/>
      <c r="G737" s="84"/>
    </row>
    <row r="738">
      <c r="E738" s="84"/>
      <c r="F738" s="84"/>
      <c r="G738" s="84"/>
    </row>
    <row r="739">
      <c r="E739" s="84"/>
      <c r="F739" s="84"/>
      <c r="G739" s="84"/>
    </row>
    <row r="740">
      <c r="E740" s="84"/>
      <c r="F740" s="84"/>
      <c r="G740" s="84"/>
    </row>
    <row r="741">
      <c r="E741" s="84"/>
      <c r="F741" s="84"/>
      <c r="G741" s="84"/>
    </row>
    <row r="742">
      <c r="E742" s="84"/>
      <c r="F742" s="84"/>
      <c r="G742" s="84"/>
    </row>
    <row r="743">
      <c r="E743" s="84"/>
      <c r="F743" s="84"/>
      <c r="G743" s="84"/>
    </row>
    <row r="744">
      <c r="E744" s="84"/>
      <c r="F744" s="84"/>
      <c r="G744" s="84"/>
    </row>
    <row r="745">
      <c r="E745" s="84"/>
      <c r="F745" s="84"/>
      <c r="G745" s="84"/>
    </row>
    <row r="746">
      <c r="E746" s="84"/>
      <c r="F746" s="84"/>
      <c r="G746" s="84"/>
    </row>
    <row r="747">
      <c r="E747" s="84"/>
      <c r="F747" s="84"/>
      <c r="G747" s="84"/>
    </row>
    <row r="748">
      <c r="E748" s="84"/>
      <c r="F748" s="84"/>
      <c r="G748" s="84"/>
    </row>
    <row r="749">
      <c r="E749" s="84"/>
      <c r="F749" s="84"/>
      <c r="G749" s="84"/>
    </row>
    <row r="750">
      <c r="E750" s="84"/>
      <c r="F750" s="84"/>
      <c r="G750" s="84"/>
    </row>
    <row r="751">
      <c r="E751" s="84"/>
      <c r="F751" s="84"/>
      <c r="G751" s="84"/>
    </row>
    <row r="752">
      <c r="E752" s="84"/>
      <c r="F752" s="84"/>
      <c r="G752" s="84"/>
    </row>
    <row r="753">
      <c r="E753" s="84"/>
      <c r="F753" s="84"/>
      <c r="G753" s="84"/>
    </row>
    <row r="754">
      <c r="E754" s="84"/>
      <c r="F754" s="84"/>
      <c r="G754" s="84"/>
    </row>
    <row r="755">
      <c r="E755" s="84"/>
      <c r="F755" s="84"/>
      <c r="G755" s="84"/>
    </row>
    <row r="756">
      <c r="E756" s="84"/>
      <c r="F756" s="84"/>
      <c r="G756" s="84"/>
    </row>
    <row r="757">
      <c r="E757" s="84"/>
      <c r="F757" s="84"/>
      <c r="G757" s="84"/>
    </row>
    <row r="758">
      <c r="E758" s="84"/>
      <c r="F758" s="84"/>
      <c r="G758" s="84"/>
    </row>
    <row r="759">
      <c r="E759" s="84"/>
      <c r="F759" s="84"/>
      <c r="G759" s="84"/>
    </row>
    <row r="760">
      <c r="E760" s="84"/>
      <c r="F760" s="84"/>
      <c r="G760" s="84"/>
    </row>
    <row r="761">
      <c r="E761" s="84"/>
      <c r="F761" s="84"/>
      <c r="G761" s="84"/>
    </row>
    <row r="762">
      <c r="E762" s="84"/>
      <c r="F762" s="84"/>
      <c r="G762" s="84"/>
    </row>
    <row r="763">
      <c r="E763" s="84"/>
      <c r="F763" s="84"/>
      <c r="G763" s="84"/>
    </row>
    <row r="764">
      <c r="E764" s="84"/>
      <c r="F764" s="84"/>
      <c r="G764" s="84"/>
    </row>
    <row r="765">
      <c r="E765" s="84"/>
      <c r="F765" s="84"/>
      <c r="G765" s="84"/>
    </row>
    <row r="766">
      <c r="E766" s="84"/>
      <c r="F766" s="84"/>
      <c r="G766" s="84"/>
    </row>
    <row r="767">
      <c r="E767" s="84"/>
      <c r="F767" s="84"/>
      <c r="G767" s="84"/>
    </row>
    <row r="768">
      <c r="E768" s="84"/>
      <c r="F768" s="84"/>
      <c r="G768" s="84"/>
    </row>
    <row r="769">
      <c r="E769" s="84"/>
      <c r="F769" s="84"/>
      <c r="G769" s="84"/>
    </row>
    <row r="770">
      <c r="E770" s="84"/>
      <c r="F770" s="84"/>
      <c r="G770" s="84"/>
    </row>
    <row r="771">
      <c r="E771" s="84"/>
      <c r="F771" s="84"/>
      <c r="G771" s="84"/>
    </row>
    <row r="772">
      <c r="E772" s="84"/>
      <c r="F772" s="84"/>
      <c r="G772" s="84"/>
    </row>
    <row r="773">
      <c r="E773" s="84"/>
      <c r="F773" s="84"/>
      <c r="G773" s="84"/>
    </row>
    <row r="774">
      <c r="E774" s="84"/>
      <c r="F774" s="84"/>
      <c r="G774" s="84"/>
    </row>
    <row r="775">
      <c r="E775" s="84"/>
      <c r="F775" s="84"/>
      <c r="G775" s="84"/>
    </row>
    <row r="776">
      <c r="E776" s="84"/>
      <c r="F776" s="84"/>
      <c r="G776" s="84"/>
    </row>
    <row r="777">
      <c r="E777" s="84"/>
      <c r="F777" s="84"/>
      <c r="G777" s="84"/>
    </row>
    <row r="778">
      <c r="E778" s="84"/>
      <c r="F778" s="84"/>
      <c r="G778" s="84"/>
    </row>
    <row r="779">
      <c r="E779" s="84"/>
      <c r="F779" s="84"/>
      <c r="G779" s="84"/>
    </row>
    <row r="780">
      <c r="E780" s="84"/>
      <c r="F780" s="84"/>
      <c r="G780" s="84"/>
    </row>
    <row r="781">
      <c r="E781" s="84"/>
      <c r="F781" s="84"/>
      <c r="G781" s="84"/>
    </row>
    <row r="782">
      <c r="E782" s="84"/>
      <c r="F782" s="84"/>
      <c r="G782" s="84"/>
    </row>
    <row r="783">
      <c r="E783" s="84"/>
      <c r="F783" s="84"/>
      <c r="G783" s="84"/>
    </row>
    <row r="784">
      <c r="E784" s="84"/>
      <c r="F784" s="84"/>
      <c r="G784" s="84"/>
    </row>
    <row r="785">
      <c r="E785" s="84"/>
      <c r="F785" s="84"/>
      <c r="G785" s="84"/>
    </row>
    <row r="786">
      <c r="E786" s="84"/>
      <c r="F786" s="84"/>
      <c r="G786" s="84"/>
    </row>
    <row r="787">
      <c r="E787" s="84"/>
      <c r="F787" s="84"/>
      <c r="G787" s="84"/>
    </row>
    <row r="788">
      <c r="E788" s="84"/>
      <c r="F788" s="84"/>
      <c r="G788" s="84"/>
    </row>
    <row r="789">
      <c r="E789" s="84"/>
      <c r="F789" s="84"/>
      <c r="G789" s="84"/>
    </row>
    <row r="790">
      <c r="E790" s="84"/>
      <c r="F790" s="84"/>
      <c r="G790" s="84"/>
    </row>
    <row r="791">
      <c r="E791" s="84"/>
      <c r="F791" s="84"/>
      <c r="G791" s="84"/>
    </row>
    <row r="792">
      <c r="E792" s="84"/>
      <c r="F792" s="84"/>
      <c r="G792" s="84"/>
    </row>
    <row r="793">
      <c r="E793" s="84"/>
      <c r="F793" s="84"/>
      <c r="G793" s="84"/>
    </row>
    <row r="794">
      <c r="E794" s="84"/>
      <c r="F794" s="84"/>
      <c r="G794" s="84"/>
    </row>
    <row r="795">
      <c r="E795" s="84"/>
      <c r="F795" s="84"/>
      <c r="G795" s="84"/>
    </row>
    <row r="796">
      <c r="E796" s="84"/>
      <c r="F796" s="84"/>
      <c r="G796" s="84"/>
    </row>
    <row r="797">
      <c r="E797" s="84"/>
      <c r="F797" s="84"/>
      <c r="G797" s="84"/>
    </row>
    <row r="798">
      <c r="E798" s="84"/>
      <c r="F798" s="84"/>
      <c r="G798" s="84"/>
    </row>
    <row r="799">
      <c r="E799" s="84"/>
      <c r="F799" s="84"/>
      <c r="G799" s="84"/>
    </row>
    <row r="800">
      <c r="E800" s="84"/>
      <c r="F800" s="84"/>
      <c r="G800" s="84"/>
    </row>
    <row r="801">
      <c r="E801" s="84"/>
      <c r="F801" s="84"/>
      <c r="G801" s="84"/>
    </row>
    <row r="802">
      <c r="E802" s="84"/>
      <c r="F802" s="84"/>
      <c r="G802" s="84"/>
    </row>
    <row r="803">
      <c r="E803" s="84"/>
      <c r="F803" s="84"/>
      <c r="G803" s="84"/>
    </row>
    <row r="804">
      <c r="E804" s="84"/>
      <c r="F804" s="84"/>
      <c r="G804" s="84"/>
    </row>
    <row r="805">
      <c r="E805" s="84"/>
      <c r="F805" s="84"/>
      <c r="G805" s="84"/>
    </row>
    <row r="806">
      <c r="E806" s="84"/>
      <c r="F806" s="84"/>
      <c r="G806" s="84"/>
    </row>
    <row r="807">
      <c r="E807" s="84"/>
      <c r="F807" s="84"/>
      <c r="G807" s="84"/>
    </row>
    <row r="808">
      <c r="E808" s="84"/>
      <c r="F808" s="84"/>
      <c r="G808" s="84"/>
    </row>
    <row r="809">
      <c r="E809" s="84"/>
      <c r="F809" s="84"/>
      <c r="G809" s="84"/>
    </row>
    <row r="810">
      <c r="E810" s="84"/>
      <c r="F810" s="84"/>
      <c r="G810" s="84"/>
    </row>
    <row r="811">
      <c r="E811" s="84"/>
      <c r="F811" s="84"/>
      <c r="G811" s="84"/>
    </row>
    <row r="812">
      <c r="E812" s="84"/>
      <c r="F812" s="84"/>
      <c r="G812" s="84"/>
    </row>
    <row r="813">
      <c r="E813" s="84"/>
      <c r="F813" s="84"/>
      <c r="G813" s="84"/>
    </row>
    <row r="814">
      <c r="E814" s="84"/>
      <c r="F814" s="84"/>
      <c r="G814" s="84"/>
    </row>
    <row r="815">
      <c r="E815" s="84"/>
      <c r="F815" s="84"/>
      <c r="G815" s="84"/>
    </row>
    <row r="816">
      <c r="E816" s="84"/>
      <c r="F816" s="84"/>
      <c r="G816" s="84"/>
    </row>
    <row r="817">
      <c r="E817" s="84"/>
      <c r="F817" s="84"/>
      <c r="G817" s="84"/>
    </row>
    <row r="818">
      <c r="E818" s="84"/>
      <c r="F818" s="84"/>
      <c r="G818" s="84"/>
    </row>
    <row r="819">
      <c r="E819" s="84"/>
      <c r="F819" s="84"/>
      <c r="G819" s="84"/>
    </row>
    <row r="820">
      <c r="E820" s="84"/>
      <c r="F820" s="84"/>
      <c r="G820" s="84"/>
    </row>
    <row r="821">
      <c r="E821" s="84"/>
      <c r="F821" s="84"/>
      <c r="G821" s="84"/>
    </row>
    <row r="822">
      <c r="E822" s="84"/>
      <c r="F822" s="84"/>
      <c r="G822" s="84"/>
    </row>
    <row r="823">
      <c r="E823" s="84"/>
      <c r="F823" s="84"/>
      <c r="G823" s="84"/>
    </row>
    <row r="824">
      <c r="E824" s="84"/>
      <c r="F824" s="84"/>
      <c r="G824" s="84"/>
    </row>
    <row r="825">
      <c r="E825" s="84"/>
      <c r="F825" s="84"/>
      <c r="G825" s="84"/>
    </row>
    <row r="826">
      <c r="E826" s="84"/>
      <c r="F826" s="84"/>
      <c r="G826" s="84"/>
    </row>
    <row r="827">
      <c r="E827" s="84"/>
      <c r="F827" s="84"/>
      <c r="G827" s="84"/>
    </row>
    <row r="828">
      <c r="E828" s="84"/>
      <c r="F828" s="84"/>
      <c r="G828" s="84"/>
    </row>
    <row r="829">
      <c r="E829" s="84"/>
      <c r="F829" s="84"/>
      <c r="G829" s="84"/>
    </row>
    <row r="830">
      <c r="E830" s="84"/>
      <c r="F830" s="84"/>
      <c r="G830" s="84"/>
    </row>
    <row r="831">
      <c r="E831" s="84"/>
      <c r="F831" s="84"/>
      <c r="G831" s="84"/>
    </row>
    <row r="832">
      <c r="E832" s="84"/>
      <c r="F832" s="84"/>
      <c r="G832" s="84"/>
    </row>
    <row r="833">
      <c r="E833" s="84"/>
      <c r="F833" s="84"/>
      <c r="G833" s="84"/>
    </row>
    <row r="834">
      <c r="E834" s="84"/>
      <c r="F834" s="84"/>
      <c r="G834" s="84"/>
    </row>
    <row r="835">
      <c r="E835" s="84"/>
      <c r="F835" s="84"/>
      <c r="G835" s="84"/>
    </row>
    <row r="836">
      <c r="E836" s="84"/>
      <c r="F836" s="84"/>
      <c r="G836" s="84"/>
    </row>
    <row r="837">
      <c r="E837" s="84"/>
      <c r="F837" s="84"/>
      <c r="G837" s="84"/>
    </row>
    <row r="838">
      <c r="E838" s="84"/>
      <c r="F838" s="84"/>
      <c r="G838" s="84"/>
    </row>
    <row r="839">
      <c r="E839" s="84"/>
      <c r="F839" s="84"/>
      <c r="G839" s="84"/>
    </row>
    <row r="840">
      <c r="E840" s="84"/>
      <c r="F840" s="84"/>
      <c r="G840" s="84"/>
    </row>
    <row r="841">
      <c r="E841" s="84"/>
      <c r="F841" s="84"/>
      <c r="G841" s="84"/>
    </row>
    <row r="842">
      <c r="E842" s="84"/>
      <c r="F842" s="84"/>
      <c r="G842" s="84"/>
    </row>
    <row r="843">
      <c r="E843" s="84"/>
      <c r="F843" s="84"/>
      <c r="G843" s="84"/>
    </row>
    <row r="844">
      <c r="E844" s="84"/>
      <c r="F844" s="84"/>
      <c r="G844" s="84"/>
    </row>
    <row r="845">
      <c r="E845" s="84"/>
      <c r="F845" s="84"/>
      <c r="G845" s="84"/>
    </row>
    <row r="846">
      <c r="E846" s="84"/>
      <c r="F846" s="84"/>
      <c r="G846" s="84"/>
    </row>
    <row r="847">
      <c r="E847" s="84"/>
      <c r="F847" s="84"/>
      <c r="G847" s="84"/>
    </row>
    <row r="848">
      <c r="E848" s="84"/>
      <c r="F848" s="84"/>
      <c r="G848" s="84"/>
    </row>
    <row r="849">
      <c r="E849" s="84"/>
      <c r="F849" s="84"/>
      <c r="G849" s="84"/>
    </row>
    <row r="850">
      <c r="E850" s="84"/>
      <c r="F850" s="84"/>
      <c r="G850" s="84"/>
    </row>
    <row r="851">
      <c r="E851" s="84"/>
      <c r="F851" s="84"/>
      <c r="G851" s="84"/>
    </row>
    <row r="852">
      <c r="E852" s="84"/>
      <c r="F852" s="84"/>
      <c r="G852" s="84"/>
    </row>
    <row r="853">
      <c r="E853" s="84"/>
      <c r="F853" s="84"/>
      <c r="G853" s="84"/>
    </row>
    <row r="854">
      <c r="E854" s="84"/>
      <c r="F854" s="84"/>
      <c r="G854" s="84"/>
    </row>
    <row r="855">
      <c r="E855" s="84"/>
      <c r="F855" s="84"/>
      <c r="G855" s="84"/>
    </row>
    <row r="856">
      <c r="E856" s="84"/>
      <c r="F856" s="84"/>
      <c r="G856" s="84"/>
    </row>
    <row r="857">
      <c r="E857" s="84"/>
      <c r="F857" s="84"/>
      <c r="G857" s="84"/>
    </row>
    <row r="858">
      <c r="E858" s="84"/>
      <c r="F858" s="84"/>
      <c r="G858" s="84"/>
    </row>
    <row r="859">
      <c r="E859" s="84"/>
      <c r="F859" s="84"/>
      <c r="G859" s="84"/>
    </row>
    <row r="860">
      <c r="E860" s="84"/>
      <c r="F860" s="84"/>
      <c r="G860" s="84"/>
    </row>
    <row r="861">
      <c r="E861" s="84"/>
      <c r="F861" s="84"/>
      <c r="G861" s="84"/>
    </row>
    <row r="862">
      <c r="E862" s="84"/>
      <c r="F862" s="84"/>
      <c r="G862" s="84"/>
    </row>
    <row r="863">
      <c r="E863" s="84"/>
      <c r="F863" s="84"/>
      <c r="G863" s="84"/>
    </row>
    <row r="864">
      <c r="E864" s="84"/>
      <c r="F864" s="84"/>
      <c r="G864" s="84"/>
    </row>
    <row r="865">
      <c r="E865" s="84"/>
      <c r="F865" s="84"/>
      <c r="G865" s="84"/>
    </row>
    <row r="866">
      <c r="E866" s="84"/>
      <c r="F866" s="84"/>
      <c r="G866" s="84"/>
    </row>
    <row r="867">
      <c r="E867" s="84"/>
      <c r="F867" s="84"/>
      <c r="G867" s="84"/>
    </row>
    <row r="868">
      <c r="E868" s="84"/>
      <c r="F868" s="84"/>
      <c r="G868" s="84"/>
    </row>
    <row r="869">
      <c r="E869" s="84"/>
      <c r="F869" s="84"/>
      <c r="G869" s="84"/>
    </row>
    <row r="870">
      <c r="E870" s="84"/>
      <c r="F870" s="84"/>
      <c r="G870" s="84"/>
    </row>
    <row r="871">
      <c r="E871" s="84"/>
      <c r="F871" s="84"/>
      <c r="G871" s="84"/>
    </row>
    <row r="872">
      <c r="E872" s="84"/>
      <c r="F872" s="84"/>
      <c r="G872" s="84"/>
    </row>
    <row r="873">
      <c r="E873" s="84"/>
      <c r="F873" s="84"/>
      <c r="G873" s="84"/>
    </row>
    <row r="874">
      <c r="E874" s="84"/>
      <c r="F874" s="84"/>
      <c r="G874" s="84"/>
    </row>
    <row r="875">
      <c r="E875" s="84"/>
      <c r="F875" s="84"/>
      <c r="G875" s="84"/>
    </row>
    <row r="876">
      <c r="E876" s="84"/>
      <c r="F876" s="84"/>
      <c r="G876" s="84"/>
    </row>
    <row r="877">
      <c r="E877" s="84"/>
      <c r="F877" s="84"/>
      <c r="G877" s="84"/>
    </row>
    <row r="878">
      <c r="E878" s="84"/>
      <c r="F878" s="84"/>
      <c r="G878" s="84"/>
    </row>
    <row r="879">
      <c r="E879" s="84"/>
      <c r="F879" s="84"/>
      <c r="G879" s="84"/>
    </row>
    <row r="880">
      <c r="E880" s="84"/>
      <c r="F880" s="84"/>
      <c r="G880" s="84"/>
    </row>
    <row r="881">
      <c r="E881" s="84"/>
      <c r="F881" s="84"/>
      <c r="G881" s="84"/>
    </row>
    <row r="882">
      <c r="E882" s="84"/>
      <c r="F882" s="84"/>
      <c r="G882" s="84"/>
    </row>
    <row r="883">
      <c r="E883" s="84"/>
      <c r="F883" s="84"/>
      <c r="G883" s="84"/>
    </row>
    <row r="884">
      <c r="E884" s="84"/>
      <c r="F884" s="84"/>
      <c r="G884" s="84"/>
    </row>
    <row r="885">
      <c r="E885" s="84"/>
      <c r="F885" s="84"/>
      <c r="G885" s="84"/>
    </row>
    <row r="886">
      <c r="E886" s="84"/>
      <c r="F886" s="84"/>
      <c r="G886" s="84"/>
    </row>
    <row r="887">
      <c r="E887" s="84"/>
      <c r="F887" s="84"/>
      <c r="G887" s="84"/>
    </row>
    <row r="888">
      <c r="E888" s="84"/>
      <c r="F888" s="84"/>
      <c r="G888" s="84"/>
    </row>
    <row r="889">
      <c r="E889" s="84"/>
      <c r="F889" s="84"/>
      <c r="G889" s="84"/>
    </row>
    <row r="890">
      <c r="E890" s="84"/>
      <c r="F890" s="84"/>
      <c r="G890" s="84"/>
    </row>
    <row r="891">
      <c r="E891" s="84"/>
      <c r="F891" s="84"/>
      <c r="G891" s="84"/>
    </row>
    <row r="892">
      <c r="E892" s="84"/>
      <c r="F892" s="84"/>
      <c r="G892" s="84"/>
    </row>
    <row r="893">
      <c r="E893" s="84"/>
      <c r="F893" s="84"/>
      <c r="G893" s="84"/>
    </row>
    <row r="894">
      <c r="E894" s="84"/>
      <c r="F894" s="84"/>
      <c r="G894" s="84"/>
    </row>
    <row r="895">
      <c r="E895" s="84"/>
      <c r="F895" s="84"/>
      <c r="G895" s="84"/>
    </row>
    <row r="896">
      <c r="E896" s="84"/>
      <c r="F896" s="84"/>
      <c r="G896" s="84"/>
    </row>
    <row r="897">
      <c r="E897" s="84"/>
      <c r="F897" s="84"/>
      <c r="G897" s="84"/>
    </row>
    <row r="898">
      <c r="E898" s="84"/>
      <c r="F898" s="84"/>
      <c r="G898" s="84"/>
    </row>
    <row r="899">
      <c r="E899" s="84"/>
      <c r="F899" s="84"/>
      <c r="G899" s="84"/>
    </row>
    <row r="900">
      <c r="E900" s="84"/>
      <c r="F900" s="84"/>
      <c r="G900" s="84"/>
    </row>
    <row r="901">
      <c r="E901" s="84"/>
      <c r="F901" s="84"/>
      <c r="G901" s="84"/>
    </row>
    <row r="902">
      <c r="E902" s="84"/>
      <c r="F902" s="84"/>
      <c r="G902" s="84"/>
    </row>
    <row r="903">
      <c r="E903" s="84"/>
      <c r="F903" s="84"/>
      <c r="G903" s="84"/>
    </row>
    <row r="904">
      <c r="E904" s="84"/>
      <c r="F904" s="84"/>
      <c r="G904" s="84"/>
    </row>
    <row r="905">
      <c r="E905" s="84"/>
      <c r="F905" s="84"/>
      <c r="G905" s="84"/>
    </row>
    <row r="906">
      <c r="E906" s="84"/>
      <c r="F906" s="84"/>
      <c r="G906" s="84"/>
    </row>
    <row r="907">
      <c r="E907" s="84"/>
      <c r="F907" s="84"/>
      <c r="G907" s="84"/>
    </row>
    <row r="908">
      <c r="E908" s="84"/>
      <c r="F908" s="84"/>
      <c r="G908" s="84"/>
    </row>
    <row r="909">
      <c r="E909" s="84"/>
      <c r="F909" s="84"/>
      <c r="G909" s="84"/>
    </row>
    <row r="910">
      <c r="E910" s="84"/>
      <c r="F910" s="84"/>
      <c r="G910" s="84"/>
    </row>
    <row r="911">
      <c r="E911" s="84"/>
      <c r="F911" s="84"/>
      <c r="G911" s="84"/>
    </row>
    <row r="912">
      <c r="E912" s="84"/>
      <c r="F912" s="84"/>
      <c r="G912" s="84"/>
    </row>
    <row r="913">
      <c r="E913" s="84"/>
      <c r="F913" s="84"/>
      <c r="G913" s="84"/>
    </row>
    <row r="914">
      <c r="E914" s="84"/>
      <c r="F914" s="84"/>
      <c r="G914" s="84"/>
    </row>
    <row r="915">
      <c r="E915" s="84"/>
      <c r="F915" s="84"/>
      <c r="G915" s="84"/>
    </row>
    <row r="916">
      <c r="E916" s="84"/>
      <c r="F916" s="84"/>
      <c r="G916" s="84"/>
    </row>
    <row r="917">
      <c r="E917" s="84"/>
      <c r="F917" s="84"/>
      <c r="G917" s="84"/>
    </row>
    <row r="918">
      <c r="E918" s="84"/>
      <c r="F918" s="84"/>
      <c r="G918" s="84"/>
    </row>
    <row r="919">
      <c r="E919" s="84"/>
      <c r="F919" s="84"/>
      <c r="G919" s="84"/>
    </row>
    <row r="920">
      <c r="E920" s="84"/>
      <c r="F920" s="84"/>
      <c r="G920" s="84"/>
    </row>
    <row r="921">
      <c r="E921" s="84"/>
      <c r="F921" s="84"/>
      <c r="G921" s="84"/>
    </row>
    <row r="922">
      <c r="E922" s="84"/>
      <c r="F922" s="84"/>
      <c r="G922" s="84"/>
    </row>
    <row r="923">
      <c r="E923" s="84"/>
      <c r="F923" s="84"/>
      <c r="G923" s="84"/>
    </row>
    <row r="924">
      <c r="E924" s="84"/>
      <c r="F924" s="84"/>
      <c r="G924" s="84"/>
    </row>
    <row r="925">
      <c r="E925" s="84"/>
      <c r="F925" s="84"/>
      <c r="G925" s="84"/>
    </row>
    <row r="926">
      <c r="E926" s="84"/>
      <c r="F926" s="84"/>
      <c r="G926" s="84"/>
    </row>
    <row r="927">
      <c r="E927" s="84"/>
      <c r="F927" s="84"/>
      <c r="G927" s="84"/>
    </row>
    <row r="928">
      <c r="E928" s="84"/>
      <c r="F928" s="84"/>
      <c r="G928" s="84"/>
    </row>
    <row r="929">
      <c r="E929" s="84"/>
      <c r="F929" s="84"/>
      <c r="G929" s="84"/>
    </row>
    <row r="930">
      <c r="E930" s="84"/>
      <c r="F930" s="84"/>
      <c r="G930" s="84"/>
    </row>
    <row r="931">
      <c r="E931" s="84"/>
      <c r="F931" s="84"/>
      <c r="G931" s="84"/>
    </row>
    <row r="932">
      <c r="E932" s="84"/>
      <c r="F932" s="84"/>
      <c r="G932" s="84"/>
    </row>
    <row r="933">
      <c r="E933" s="84"/>
      <c r="F933" s="84"/>
      <c r="G933" s="84"/>
    </row>
    <row r="934">
      <c r="E934" s="84"/>
      <c r="F934" s="84"/>
      <c r="G934" s="84"/>
    </row>
    <row r="935">
      <c r="E935" s="84"/>
      <c r="F935" s="84"/>
      <c r="G935" s="84"/>
    </row>
    <row r="936">
      <c r="E936" s="84"/>
      <c r="F936" s="84"/>
      <c r="G936" s="84"/>
    </row>
    <row r="937">
      <c r="E937" s="84"/>
      <c r="F937" s="84"/>
      <c r="G937" s="84"/>
    </row>
    <row r="938">
      <c r="E938" s="84"/>
      <c r="F938" s="84"/>
      <c r="G938" s="84"/>
    </row>
    <row r="939">
      <c r="E939" s="84"/>
      <c r="F939" s="84"/>
      <c r="G939" s="84"/>
    </row>
    <row r="940">
      <c r="E940" s="84"/>
      <c r="F940" s="84"/>
      <c r="G940" s="84"/>
    </row>
    <row r="941">
      <c r="E941" s="84"/>
      <c r="F941" s="84"/>
      <c r="G941" s="84"/>
    </row>
    <row r="942">
      <c r="E942" s="84"/>
      <c r="F942" s="84"/>
      <c r="G942" s="84"/>
    </row>
    <row r="943">
      <c r="E943" s="84"/>
      <c r="F943" s="84"/>
      <c r="G943" s="84"/>
    </row>
    <row r="944">
      <c r="E944" s="84"/>
      <c r="F944" s="84"/>
      <c r="G944" s="84"/>
    </row>
    <row r="945">
      <c r="E945" s="84"/>
      <c r="F945" s="84"/>
      <c r="G945" s="84"/>
    </row>
    <row r="946">
      <c r="E946" s="84"/>
      <c r="F946" s="84"/>
      <c r="G946" s="84"/>
    </row>
    <row r="947">
      <c r="E947" s="84"/>
      <c r="F947" s="84"/>
      <c r="G947" s="84"/>
    </row>
    <row r="948">
      <c r="E948" s="84"/>
      <c r="F948" s="84"/>
      <c r="G948" s="84"/>
    </row>
    <row r="949">
      <c r="E949" s="84"/>
      <c r="F949" s="84"/>
      <c r="G949" s="84"/>
    </row>
    <row r="950">
      <c r="E950" s="84"/>
      <c r="F950" s="84"/>
      <c r="G950" s="84"/>
    </row>
    <row r="951">
      <c r="E951" s="84"/>
      <c r="F951" s="84"/>
      <c r="G951" s="84"/>
    </row>
    <row r="952">
      <c r="E952" s="84"/>
      <c r="F952" s="84"/>
      <c r="G952" s="84"/>
    </row>
    <row r="953">
      <c r="E953" s="84"/>
      <c r="F953" s="84"/>
      <c r="G953" s="84"/>
    </row>
    <row r="954">
      <c r="E954" s="84"/>
      <c r="F954" s="84"/>
      <c r="G954" s="84"/>
    </row>
    <row r="955">
      <c r="E955" s="84"/>
      <c r="F955" s="84"/>
      <c r="G955" s="84"/>
    </row>
    <row r="956">
      <c r="E956" s="84"/>
      <c r="F956" s="84"/>
      <c r="G956" s="84"/>
    </row>
    <row r="957">
      <c r="E957" s="84"/>
      <c r="F957" s="84"/>
      <c r="G957" s="84"/>
    </row>
    <row r="958">
      <c r="E958" s="84"/>
      <c r="F958" s="84"/>
      <c r="G958" s="84"/>
    </row>
    <row r="959">
      <c r="E959" s="84"/>
      <c r="F959" s="84"/>
      <c r="G959" s="84"/>
    </row>
    <row r="960">
      <c r="E960" s="84"/>
      <c r="F960" s="84"/>
      <c r="G960" s="84"/>
    </row>
    <row r="961">
      <c r="E961" s="84"/>
      <c r="F961" s="84"/>
      <c r="G961" s="84"/>
    </row>
    <row r="962">
      <c r="E962" s="84"/>
      <c r="F962" s="84"/>
      <c r="G962" s="84"/>
    </row>
    <row r="963">
      <c r="E963" s="84"/>
      <c r="F963" s="84"/>
      <c r="G963" s="84"/>
    </row>
    <row r="964">
      <c r="E964" s="84"/>
      <c r="F964" s="84"/>
      <c r="G964" s="84"/>
    </row>
    <row r="965">
      <c r="E965" s="84"/>
      <c r="F965" s="84"/>
      <c r="G965" s="84"/>
    </row>
    <row r="966">
      <c r="E966" s="84"/>
      <c r="F966" s="84"/>
      <c r="G966" s="84"/>
    </row>
    <row r="967">
      <c r="E967" s="84"/>
      <c r="F967" s="84"/>
      <c r="G967" s="84"/>
    </row>
    <row r="968">
      <c r="E968" s="84"/>
      <c r="F968" s="84"/>
      <c r="G968" s="84"/>
    </row>
    <row r="969">
      <c r="E969" s="84"/>
      <c r="F969" s="84"/>
      <c r="G969" s="84"/>
    </row>
    <row r="970">
      <c r="E970" s="84"/>
      <c r="F970" s="84"/>
      <c r="G970" s="84"/>
    </row>
    <row r="971">
      <c r="E971" s="84"/>
      <c r="F971" s="84"/>
      <c r="G971" s="84"/>
    </row>
    <row r="972">
      <c r="E972" s="84"/>
      <c r="F972" s="84"/>
      <c r="G972" s="84"/>
    </row>
    <row r="973">
      <c r="E973" s="84"/>
      <c r="F973" s="84"/>
      <c r="G973" s="84"/>
    </row>
    <row r="974">
      <c r="E974" s="84"/>
      <c r="F974" s="84"/>
      <c r="G974" s="84"/>
    </row>
    <row r="975">
      <c r="E975" s="84"/>
      <c r="F975" s="84"/>
      <c r="G975" s="84"/>
    </row>
    <row r="976">
      <c r="E976" s="84"/>
      <c r="F976" s="84"/>
      <c r="G976" s="84"/>
    </row>
    <row r="977">
      <c r="E977" s="84"/>
      <c r="F977" s="84"/>
      <c r="G977" s="84"/>
    </row>
    <row r="978">
      <c r="E978" s="84"/>
      <c r="F978" s="84"/>
      <c r="G978" s="84"/>
    </row>
    <row r="979">
      <c r="E979" s="84"/>
      <c r="F979" s="84"/>
      <c r="G979" s="84"/>
    </row>
    <row r="980">
      <c r="E980" s="84"/>
      <c r="F980" s="84"/>
      <c r="G980" s="84"/>
    </row>
    <row r="981">
      <c r="E981" s="84"/>
      <c r="F981" s="84"/>
      <c r="G981" s="84"/>
    </row>
    <row r="982">
      <c r="E982" s="84"/>
      <c r="F982" s="84"/>
      <c r="G982" s="84"/>
    </row>
    <row r="983">
      <c r="E983" s="84"/>
      <c r="F983" s="84"/>
      <c r="G983" s="84"/>
    </row>
    <row r="984">
      <c r="E984" s="84"/>
      <c r="F984" s="84"/>
      <c r="G984" s="84"/>
    </row>
    <row r="985">
      <c r="E985" s="84"/>
      <c r="F985" s="84"/>
      <c r="G985" s="84"/>
    </row>
    <row r="986">
      <c r="E986" s="84"/>
      <c r="F986" s="84"/>
      <c r="G986" s="84"/>
    </row>
    <row r="987">
      <c r="E987" s="84"/>
      <c r="F987" s="84"/>
      <c r="G987" s="84"/>
    </row>
    <row r="988">
      <c r="E988" s="84"/>
      <c r="F988" s="84"/>
      <c r="G988" s="84"/>
    </row>
    <row r="989">
      <c r="E989" s="84"/>
      <c r="F989" s="84"/>
      <c r="G989" s="84"/>
    </row>
    <row r="990">
      <c r="E990" s="84"/>
      <c r="F990" s="84"/>
      <c r="G990" s="84"/>
    </row>
    <row r="991">
      <c r="E991" s="84"/>
      <c r="F991" s="84"/>
      <c r="G991" s="84"/>
    </row>
    <row r="992">
      <c r="E992" s="84"/>
      <c r="F992" s="84"/>
      <c r="G992" s="84"/>
    </row>
    <row r="993">
      <c r="E993" s="84"/>
      <c r="F993" s="84"/>
      <c r="G993" s="84"/>
    </row>
    <row r="994">
      <c r="E994" s="84"/>
      <c r="F994" s="84"/>
      <c r="G994" s="84"/>
    </row>
    <row r="995">
      <c r="E995" s="84"/>
      <c r="F995" s="84"/>
      <c r="G995" s="84"/>
    </row>
    <row r="996">
      <c r="E996" s="84"/>
      <c r="F996" s="84"/>
      <c r="G996" s="84"/>
    </row>
    <row r="997">
      <c r="E997" s="84"/>
      <c r="F997" s="84"/>
      <c r="G997" s="84"/>
    </row>
    <row r="998">
      <c r="E998" s="84"/>
      <c r="F998" s="84"/>
      <c r="G998" s="84"/>
    </row>
    <row r="999">
      <c r="E999" s="84"/>
      <c r="F999" s="84"/>
      <c r="G999" s="84"/>
    </row>
    <row r="1000">
      <c r="E1000" s="84"/>
      <c r="F1000" s="84"/>
      <c r="G1000" s="84"/>
    </row>
  </sheetData>
  <autoFilter ref="$A$1:$I$683">
    <filterColumn colId="2">
      <customFilters>
        <customFilter operator="greaterThanOrEqual" val="500"/>
      </customFilters>
    </filterColumn>
  </autoFilter>
  <conditionalFormatting sqref="D1:D68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1:E68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:H68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1:G683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I1:I683">
    <cfRule type="colorScale" priority="5">
      <colorScale>
        <cfvo type="min"/>
        <cfvo type="formula" val="0"/>
        <cfvo type="max"/>
        <color rgb="FF57BB8A"/>
        <color rgb="FFFFFFFF"/>
        <color rgb="FFE67C73"/>
      </colorScale>
    </cfRule>
  </conditionalFormatting>
  <drawing r:id="rId1"/>
</worksheet>
</file>